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lobmo\OneDrive\Personal Vault\Aviation\Delta Air Lines\Pay\TMP\TMP Versions\"/>
    </mc:Choice>
  </mc:AlternateContent>
  <xr:revisionPtr revIDLastSave="0" documentId="13_ncr:1_{F965938C-27AA-4462-9026-729D6022D825}" xr6:coauthVersionLast="47" xr6:coauthVersionMax="47" xr10:uidLastSave="{00000000-0000-0000-0000-000000000000}"/>
  <bookViews>
    <workbookView xWindow="-38520" yWindow="-120" windowWidth="38640" windowHeight="21120" tabRatio="766" xr2:uid="{81AD06C7-8CFB-4F09-B1BD-3458883B2106}"/>
  </bookViews>
  <sheets>
    <sheet name="WELCOME" sheetId="47" r:id="rId1"/>
    <sheet name="2023" sheetId="2" r:id="rId2"/>
    <sheet name="2023DATA" sheetId="8" state="hidden" r:id="rId3"/>
    <sheet name="2023DATA2" sheetId="46" state="hidden" r:id="rId4"/>
    <sheet name="2023DATA3" sheetId="48" state="hidden" r:id="rId5"/>
    <sheet name="2024" sheetId="14" r:id="rId6"/>
    <sheet name="2025" sheetId="22" r:id="rId7"/>
    <sheet name="2026" sheetId="23" r:id="rId8"/>
    <sheet name="2024DATA" sheetId="17" state="hidden" r:id="rId9"/>
    <sheet name="2025DATA" sheetId="24" state="hidden" r:id="rId10"/>
    <sheet name="2026DATA" sheetId="30" state="hidden" r:id="rId11"/>
    <sheet name="CASH EARNINGS" sheetId="39" r:id="rId12"/>
    <sheet name="PAS VS PS" sheetId="41" r:id="rId13"/>
    <sheet name="AVG PAY PER DAY" sheetId="42" r:id="rId14"/>
    <sheet name="BLOCK FLT TIME" sheetId="43" r:id="rId15"/>
    <sheet name="PAY DATA" sheetId="45" state="hidden" r:id="rId16"/>
    <sheet name="Pay Scales" sheetId="7" r:id="rId17"/>
    <sheet name="DATA" sheetId="3" state="hidden" r:id="rId18"/>
  </sheets>
  <definedNames>
    <definedName name="_1">'2026'!$A$7</definedName>
    <definedName name="_2">'2026'!$A$38</definedName>
    <definedName name="_2023">'Pay Scales'!$P$2</definedName>
    <definedName name="_2023_10">'Pay Scales'!$R$3</definedName>
    <definedName name="_2023_11">'Pay Scales'!$Q$3</definedName>
    <definedName name="_2023_12">'Pay Scales'!$P$3</definedName>
    <definedName name="_3">'2026'!$A$69</definedName>
    <definedName name="_4">'2026'!$A$100</definedName>
    <definedName name="_5">'2026'!$A$131</definedName>
    <definedName name="_6">'2026'!$A$162</definedName>
    <definedName name="_A">'2024'!$A$7</definedName>
    <definedName name="_A1">'2025'!$A$7</definedName>
    <definedName name="_A2">'2025'!$A$38</definedName>
    <definedName name="_A3">'2025'!$A$69</definedName>
    <definedName name="_A4">'2025'!$A$100</definedName>
    <definedName name="_A5">'2025'!$A$131</definedName>
    <definedName name="_A6">'2025'!$A$162</definedName>
    <definedName name="_AC1">'2023'!$A$7</definedName>
    <definedName name="_AC2">'2023'!$A$38</definedName>
    <definedName name="_AC3">'2023'!$A$69</definedName>
    <definedName name="_AC4">'2023'!$A$100</definedName>
    <definedName name="_AC5">'2023'!$A$131</definedName>
    <definedName name="_AC6">'2023'!$A$162</definedName>
    <definedName name="_B">'2024'!$A$38</definedName>
    <definedName name="_C">'2024'!$A$69</definedName>
    <definedName name="_D">'2024'!$A$100</definedName>
    <definedName name="_E">'2024'!$A$131</definedName>
    <definedName name="_F">'2024'!$A$162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66" i="23" l="1"/>
  <c r="N166" i="23"/>
  <c r="M166" i="23"/>
  <c r="L166" i="23"/>
  <c r="K166" i="23"/>
  <c r="J166" i="23"/>
  <c r="I166" i="23"/>
  <c r="H166" i="23"/>
  <c r="G166" i="23"/>
  <c r="F166" i="23"/>
  <c r="E166" i="23"/>
  <c r="D166" i="23"/>
  <c r="O135" i="23"/>
  <c r="N135" i="23"/>
  <c r="M135" i="23"/>
  <c r="L135" i="23"/>
  <c r="K135" i="23"/>
  <c r="J135" i="23"/>
  <c r="I135" i="23"/>
  <c r="H135" i="23"/>
  <c r="G135" i="23"/>
  <c r="F135" i="23"/>
  <c r="E135" i="23"/>
  <c r="D135" i="23"/>
  <c r="O104" i="23"/>
  <c r="N104" i="23"/>
  <c r="M104" i="23"/>
  <c r="L104" i="23"/>
  <c r="K104" i="23"/>
  <c r="J104" i="23"/>
  <c r="I104" i="23"/>
  <c r="H104" i="23"/>
  <c r="G104" i="23"/>
  <c r="F104" i="23"/>
  <c r="E104" i="23"/>
  <c r="D104" i="23"/>
  <c r="O73" i="23"/>
  <c r="N73" i="23"/>
  <c r="M73" i="23"/>
  <c r="L73" i="23"/>
  <c r="K73" i="23"/>
  <c r="J73" i="23"/>
  <c r="I73" i="23"/>
  <c r="H73" i="23"/>
  <c r="G73" i="23"/>
  <c r="F73" i="23"/>
  <c r="E73" i="23"/>
  <c r="D73" i="23"/>
  <c r="O42" i="23"/>
  <c r="N42" i="23"/>
  <c r="M42" i="23"/>
  <c r="L42" i="23"/>
  <c r="K42" i="23"/>
  <c r="J42" i="23"/>
  <c r="I42" i="23"/>
  <c r="H42" i="23"/>
  <c r="G42" i="23"/>
  <c r="F42" i="23"/>
  <c r="E42" i="23"/>
  <c r="D42" i="23"/>
  <c r="O11" i="23"/>
  <c r="N11" i="23"/>
  <c r="M11" i="23"/>
  <c r="L11" i="23"/>
  <c r="K11" i="23"/>
  <c r="J11" i="23"/>
  <c r="I11" i="23"/>
  <c r="H11" i="23"/>
  <c r="G11" i="23"/>
  <c r="F11" i="23"/>
  <c r="E11" i="23"/>
  <c r="D11" i="23"/>
  <c r="O166" i="22"/>
  <c r="N166" i="22"/>
  <c r="M166" i="22"/>
  <c r="L166" i="22"/>
  <c r="K166" i="22"/>
  <c r="J166" i="22"/>
  <c r="I166" i="22"/>
  <c r="H166" i="22"/>
  <c r="G166" i="22"/>
  <c r="F166" i="22"/>
  <c r="E166" i="22"/>
  <c r="D166" i="22"/>
  <c r="O135" i="22"/>
  <c r="N135" i="22"/>
  <c r="M135" i="22"/>
  <c r="L135" i="22"/>
  <c r="K135" i="22"/>
  <c r="J135" i="22"/>
  <c r="I135" i="22"/>
  <c r="H135" i="22"/>
  <c r="G135" i="22"/>
  <c r="F135" i="22"/>
  <c r="E135" i="22"/>
  <c r="D135" i="22"/>
  <c r="O104" i="22"/>
  <c r="N104" i="22"/>
  <c r="M104" i="22"/>
  <c r="L104" i="22"/>
  <c r="K104" i="22"/>
  <c r="J104" i="22"/>
  <c r="I104" i="22"/>
  <c r="H104" i="22"/>
  <c r="G104" i="22"/>
  <c r="F104" i="22"/>
  <c r="E104" i="22"/>
  <c r="D104" i="22"/>
  <c r="O73" i="22"/>
  <c r="N73" i="22"/>
  <c r="M73" i="22"/>
  <c r="L73" i="22"/>
  <c r="K73" i="22"/>
  <c r="J73" i="22"/>
  <c r="I73" i="22"/>
  <c r="H73" i="22"/>
  <c r="G73" i="22"/>
  <c r="F73" i="22"/>
  <c r="E73" i="22"/>
  <c r="D73" i="22"/>
  <c r="O42" i="22"/>
  <c r="N42" i="22"/>
  <c r="M42" i="22"/>
  <c r="L42" i="22"/>
  <c r="K42" i="22"/>
  <c r="J42" i="22"/>
  <c r="I42" i="22"/>
  <c r="H42" i="22"/>
  <c r="G42" i="22"/>
  <c r="F42" i="22"/>
  <c r="E42" i="22"/>
  <c r="D42" i="22"/>
  <c r="O11" i="22"/>
  <c r="N11" i="22"/>
  <c r="M11" i="22"/>
  <c r="L11" i="22"/>
  <c r="K11" i="22"/>
  <c r="J11" i="22"/>
  <c r="I11" i="22"/>
  <c r="H11" i="22"/>
  <c r="G11" i="22"/>
  <c r="F11" i="22"/>
  <c r="E11" i="22"/>
  <c r="D11" i="22"/>
  <c r="O166" i="14"/>
  <c r="N166" i="14"/>
  <c r="M166" i="14"/>
  <c r="L166" i="14"/>
  <c r="K166" i="14"/>
  <c r="J166" i="14"/>
  <c r="I166" i="14"/>
  <c r="H166" i="14"/>
  <c r="G166" i="14"/>
  <c r="F166" i="14"/>
  <c r="E166" i="14"/>
  <c r="D166" i="14"/>
  <c r="O135" i="14"/>
  <c r="N135" i="14"/>
  <c r="M135" i="14"/>
  <c r="L135" i="14"/>
  <c r="K135" i="14"/>
  <c r="J135" i="14"/>
  <c r="I135" i="14"/>
  <c r="H135" i="14"/>
  <c r="G135" i="14"/>
  <c r="F135" i="14"/>
  <c r="E135" i="14"/>
  <c r="D135" i="14"/>
  <c r="O104" i="14"/>
  <c r="N104" i="14"/>
  <c r="M104" i="14"/>
  <c r="L104" i="14"/>
  <c r="K104" i="14"/>
  <c r="J104" i="14"/>
  <c r="I104" i="14"/>
  <c r="H104" i="14"/>
  <c r="G104" i="14"/>
  <c r="F104" i="14"/>
  <c r="E104" i="14"/>
  <c r="D104" i="14"/>
  <c r="O73" i="14"/>
  <c r="N73" i="14"/>
  <c r="M73" i="14"/>
  <c r="L73" i="14"/>
  <c r="K73" i="14"/>
  <c r="J73" i="14"/>
  <c r="I73" i="14"/>
  <c r="H73" i="14"/>
  <c r="G73" i="14"/>
  <c r="F73" i="14"/>
  <c r="E73" i="14"/>
  <c r="D73" i="14"/>
  <c r="O42" i="14"/>
  <c r="N42" i="14"/>
  <c r="M42" i="14"/>
  <c r="L42" i="14"/>
  <c r="K42" i="14"/>
  <c r="J42" i="14"/>
  <c r="I42" i="14"/>
  <c r="H42" i="14"/>
  <c r="G42" i="14"/>
  <c r="F42" i="14"/>
  <c r="E42" i="14"/>
  <c r="D42" i="14"/>
  <c r="O11" i="14"/>
  <c r="N11" i="14"/>
  <c r="M11" i="14"/>
  <c r="L11" i="14"/>
  <c r="K11" i="14"/>
  <c r="J11" i="14"/>
  <c r="I11" i="14"/>
  <c r="H11" i="14"/>
  <c r="G11" i="14"/>
  <c r="F11" i="14"/>
  <c r="E11" i="14"/>
  <c r="D11" i="14"/>
  <c r="E166" i="2" l="1"/>
  <c r="F166" i="2"/>
  <c r="G166" i="2"/>
  <c r="H166" i="2"/>
  <c r="I166" i="2"/>
  <c r="J166" i="2"/>
  <c r="K166" i="2"/>
  <c r="L166" i="2"/>
  <c r="M166" i="2"/>
  <c r="N166" i="2"/>
  <c r="O166" i="2"/>
  <c r="E135" i="2"/>
  <c r="F135" i="2"/>
  <c r="G135" i="2"/>
  <c r="H135" i="2"/>
  <c r="I135" i="2"/>
  <c r="J135" i="2"/>
  <c r="K135" i="2"/>
  <c r="L135" i="2"/>
  <c r="M135" i="2"/>
  <c r="N135" i="2"/>
  <c r="O135" i="2"/>
  <c r="E104" i="2"/>
  <c r="F104" i="2"/>
  <c r="G104" i="2"/>
  <c r="H104" i="2"/>
  <c r="I104" i="2"/>
  <c r="J104" i="2"/>
  <c r="K104" i="2"/>
  <c r="L104" i="2"/>
  <c r="M104" i="2"/>
  <c r="N104" i="2"/>
  <c r="O104" i="2"/>
  <c r="E73" i="2"/>
  <c r="F73" i="2"/>
  <c r="G73" i="2"/>
  <c r="H73" i="2"/>
  <c r="I73" i="2"/>
  <c r="J73" i="2"/>
  <c r="K73" i="2"/>
  <c r="L73" i="2"/>
  <c r="M73" i="2"/>
  <c r="N73" i="2"/>
  <c r="O73" i="2"/>
  <c r="E42" i="2"/>
  <c r="F42" i="2"/>
  <c r="G42" i="2"/>
  <c r="H42" i="2"/>
  <c r="I42" i="2"/>
  <c r="J42" i="2"/>
  <c r="K42" i="2"/>
  <c r="L42" i="2"/>
  <c r="M42" i="2"/>
  <c r="N42" i="2"/>
  <c r="O42" i="2"/>
  <c r="D166" i="2"/>
  <c r="D135" i="2"/>
  <c r="D104" i="2"/>
  <c r="D73" i="2"/>
  <c r="D42" i="2"/>
  <c r="M11" i="2"/>
  <c r="N11" i="2"/>
  <c r="O11" i="2"/>
  <c r="E11" i="2"/>
  <c r="F11" i="2"/>
  <c r="G11" i="2"/>
  <c r="H11" i="2"/>
  <c r="I11" i="2"/>
  <c r="J11" i="2"/>
  <c r="K11" i="2"/>
  <c r="L11" i="2"/>
  <c r="D11" i="2"/>
  <c r="Q276" i="23"/>
  <c r="Q276" i="22"/>
  <c r="Q276" i="14"/>
  <c r="Q268" i="23"/>
  <c r="P268" i="23"/>
  <c r="Q267" i="23"/>
  <c r="P267" i="23" s="1"/>
  <c r="Q268" i="22"/>
  <c r="P268" i="22"/>
  <c r="Q267" i="22"/>
  <c r="P267" i="22" s="1"/>
  <c r="Q268" i="14"/>
  <c r="P268" i="14"/>
  <c r="Q267" i="14"/>
  <c r="P267" i="14" s="1"/>
  <c r="Q276" i="2"/>
  <c r="P268" i="2"/>
  <c r="P267" i="2"/>
  <c r="Q268" i="2"/>
  <c r="Q267" i="2"/>
  <c r="E244" i="23"/>
  <c r="F244" i="23"/>
  <c r="G244" i="23"/>
  <c r="H244" i="23"/>
  <c r="I244" i="23"/>
  <c r="J244" i="23"/>
  <c r="K244" i="23"/>
  <c r="L244" i="23"/>
  <c r="M244" i="23"/>
  <c r="N244" i="23"/>
  <c r="O244" i="23"/>
  <c r="D244" i="23"/>
  <c r="E244" i="22"/>
  <c r="F244" i="22"/>
  <c r="G244" i="22"/>
  <c r="H244" i="22"/>
  <c r="I244" i="22"/>
  <c r="J244" i="22"/>
  <c r="K244" i="22"/>
  <c r="L244" i="22"/>
  <c r="M244" i="22"/>
  <c r="N244" i="22"/>
  <c r="O244" i="22"/>
  <c r="D244" i="22"/>
  <c r="F244" i="14"/>
  <c r="G244" i="14"/>
  <c r="H244" i="14"/>
  <c r="I244" i="14"/>
  <c r="J244" i="14"/>
  <c r="K244" i="14"/>
  <c r="L244" i="14"/>
  <c r="M244" i="14"/>
  <c r="N244" i="14"/>
  <c r="O244" i="14"/>
  <c r="O228" i="23"/>
  <c r="N228" i="23"/>
  <c r="M228" i="23"/>
  <c r="L228" i="23"/>
  <c r="K228" i="23"/>
  <c r="J228" i="23"/>
  <c r="I228" i="23"/>
  <c r="H228" i="23"/>
  <c r="G228" i="23"/>
  <c r="F228" i="23"/>
  <c r="E228" i="23"/>
  <c r="D228" i="23"/>
  <c r="O228" i="22"/>
  <c r="N228" i="22"/>
  <c r="M228" i="22"/>
  <c r="L228" i="22"/>
  <c r="K228" i="22"/>
  <c r="J228" i="22"/>
  <c r="I228" i="22"/>
  <c r="H228" i="22"/>
  <c r="G228" i="22"/>
  <c r="F228" i="22"/>
  <c r="E228" i="22"/>
  <c r="D228" i="22"/>
  <c r="O228" i="2"/>
  <c r="N228" i="2"/>
  <c r="M228" i="2"/>
  <c r="L228" i="2"/>
  <c r="K228" i="2"/>
  <c r="J228" i="2"/>
  <c r="I228" i="2"/>
  <c r="H228" i="2"/>
  <c r="G228" i="2"/>
  <c r="F228" i="2"/>
  <c r="E228" i="2"/>
  <c r="D228" i="2"/>
  <c r="E228" i="14"/>
  <c r="F228" i="14"/>
  <c r="G228" i="14"/>
  <c r="H228" i="14"/>
  <c r="I228" i="14"/>
  <c r="J228" i="14"/>
  <c r="K228" i="14"/>
  <c r="L228" i="14"/>
  <c r="M228" i="14"/>
  <c r="N228" i="14"/>
  <c r="O228" i="14"/>
  <c r="D228" i="14"/>
  <c r="O35" i="23"/>
  <c r="N35" i="23"/>
  <c r="M35" i="23"/>
  <c r="L35" i="23"/>
  <c r="K35" i="23"/>
  <c r="J35" i="23"/>
  <c r="I35" i="23"/>
  <c r="H35" i="23"/>
  <c r="G35" i="23"/>
  <c r="F35" i="23"/>
  <c r="E35" i="23"/>
  <c r="D35" i="23"/>
  <c r="O33" i="23"/>
  <c r="N33" i="23"/>
  <c r="M33" i="23"/>
  <c r="L33" i="23"/>
  <c r="K33" i="23"/>
  <c r="J33" i="23"/>
  <c r="I33" i="23"/>
  <c r="H33" i="23"/>
  <c r="G33" i="23"/>
  <c r="F33" i="23"/>
  <c r="E33" i="23"/>
  <c r="D33" i="23"/>
  <c r="O31" i="23"/>
  <c r="N31" i="23"/>
  <c r="M31" i="23"/>
  <c r="L31" i="23"/>
  <c r="K31" i="23"/>
  <c r="J31" i="23"/>
  <c r="I31" i="23"/>
  <c r="H31" i="23"/>
  <c r="G31" i="23"/>
  <c r="F31" i="23"/>
  <c r="E31" i="23"/>
  <c r="D31" i="23"/>
  <c r="O29" i="23"/>
  <c r="N29" i="23"/>
  <c r="M29" i="23"/>
  <c r="L29" i="23"/>
  <c r="K29" i="23"/>
  <c r="J29" i="23"/>
  <c r="I29" i="23"/>
  <c r="H29" i="23"/>
  <c r="G29" i="23"/>
  <c r="F29" i="23"/>
  <c r="E29" i="23"/>
  <c r="D29" i="23"/>
  <c r="O27" i="23"/>
  <c r="N27" i="23"/>
  <c r="M27" i="23"/>
  <c r="L27" i="23"/>
  <c r="K27" i="23"/>
  <c r="J27" i="23"/>
  <c r="I27" i="23"/>
  <c r="H27" i="23"/>
  <c r="G27" i="23"/>
  <c r="F27" i="23"/>
  <c r="E27" i="23"/>
  <c r="D27" i="23"/>
  <c r="O25" i="23"/>
  <c r="N25" i="23"/>
  <c r="M25" i="23"/>
  <c r="L25" i="23"/>
  <c r="K25" i="23"/>
  <c r="J25" i="23"/>
  <c r="I25" i="23"/>
  <c r="H25" i="23"/>
  <c r="G25" i="23"/>
  <c r="F25" i="23"/>
  <c r="E25" i="23"/>
  <c r="D25" i="23"/>
  <c r="O23" i="23"/>
  <c r="N23" i="23"/>
  <c r="M23" i="23"/>
  <c r="L23" i="23"/>
  <c r="K23" i="23"/>
  <c r="J23" i="23"/>
  <c r="I23" i="23"/>
  <c r="H23" i="23"/>
  <c r="G23" i="23"/>
  <c r="F23" i="23"/>
  <c r="E23" i="23"/>
  <c r="D23" i="23"/>
  <c r="O21" i="23"/>
  <c r="N21" i="23"/>
  <c r="M21" i="23"/>
  <c r="L21" i="23"/>
  <c r="K21" i="23"/>
  <c r="J21" i="23"/>
  <c r="I21" i="23"/>
  <c r="H21" i="23"/>
  <c r="G21" i="23"/>
  <c r="F21" i="23"/>
  <c r="E21" i="23"/>
  <c r="D21" i="23"/>
  <c r="O19" i="23"/>
  <c r="N19" i="23"/>
  <c r="M19" i="23"/>
  <c r="L19" i="23"/>
  <c r="K19" i="23"/>
  <c r="J19" i="23"/>
  <c r="I19" i="23"/>
  <c r="H19" i="23"/>
  <c r="G19" i="23"/>
  <c r="F19" i="23"/>
  <c r="E19" i="23"/>
  <c r="D19" i="23"/>
  <c r="O17" i="23"/>
  <c r="N17" i="23"/>
  <c r="M17" i="23"/>
  <c r="L17" i="23"/>
  <c r="K17" i="23"/>
  <c r="J17" i="23"/>
  <c r="I17" i="23"/>
  <c r="H17" i="23"/>
  <c r="G17" i="23"/>
  <c r="F17" i="23"/>
  <c r="E17" i="23"/>
  <c r="D17" i="23"/>
  <c r="O15" i="23"/>
  <c r="N15" i="23"/>
  <c r="M15" i="23"/>
  <c r="L15" i="23"/>
  <c r="K15" i="23"/>
  <c r="J15" i="23"/>
  <c r="I15" i="23"/>
  <c r="H15" i="23"/>
  <c r="G15" i="23"/>
  <c r="F15" i="23"/>
  <c r="E15" i="23"/>
  <c r="D15" i="23"/>
  <c r="O13" i="23"/>
  <c r="N13" i="23"/>
  <c r="M13" i="23"/>
  <c r="L13" i="23"/>
  <c r="K13" i="23"/>
  <c r="J13" i="23"/>
  <c r="I13" i="23"/>
  <c r="H13" i="23"/>
  <c r="G13" i="23"/>
  <c r="F13" i="23"/>
  <c r="E13" i="23"/>
  <c r="D13" i="23"/>
  <c r="O9" i="23"/>
  <c r="N9" i="23"/>
  <c r="M9" i="23"/>
  <c r="L9" i="23"/>
  <c r="K9" i="23"/>
  <c r="J9" i="23"/>
  <c r="I9" i="23"/>
  <c r="H9" i="23"/>
  <c r="G9" i="23"/>
  <c r="F9" i="23"/>
  <c r="E9" i="23"/>
  <c r="D9" i="23"/>
  <c r="O35" i="22"/>
  <c r="N35" i="22"/>
  <c r="M35" i="22"/>
  <c r="L35" i="22"/>
  <c r="K35" i="22"/>
  <c r="J35" i="22"/>
  <c r="I35" i="22"/>
  <c r="H35" i="22"/>
  <c r="G35" i="22"/>
  <c r="F35" i="22"/>
  <c r="E35" i="22"/>
  <c r="D35" i="22"/>
  <c r="O33" i="22"/>
  <c r="N33" i="22"/>
  <c r="M33" i="22"/>
  <c r="L33" i="22"/>
  <c r="K33" i="22"/>
  <c r="J33" i="22"/>
  <c r="I33" i="22"/>
  <c r="H33" i="22"/>
  <c r="G33" i="22"/>
  <c r="F33" i="22"/>
  <c r="E33" i="22"/>
  <c r="D33" i="22"/>
  <c r="O31" i="22"/>
  <c r="N31" i="22"/>
  <c r="M31" i="22"/>
  <c r="L31" i="22"/>
  <c r="K31" i="22"/>
  <c r="J31" i="22"/>
  <c r="I31" i="22"/>
  <c r="H31" i="22"/>
  <c r="G31" i="22"/>
  <c r="F31" i="22"/>
  <c r="E31" i="22"/>
  <c r="D31" i="22"/>
  <c r="O29" i="22"/>
  <c r="N29" i="22"/>
  <c r="M29" i="22"/>
  <c r="L29" i="22"/>
  <c r="K29" i="22"/>
  <c r="J29" i="22"/>
  <c r="I29" i="22"/>
  <c r="H29" i="22"/>
  <c r="G29" i="22"/>
  <c r="F29" i="22"/>
  <c r="E29" i="22"/>
  <c r="D29" i="22"/>
  <c r="O27" i="22"/>
  <c r="N27" i="22"/>
  <c r="M27" i="22"/>
  <c r="L27" i="22"/>
  <c r="K27" i="22"/>
  <c r="J27" i="22"/>
  <c r="I27" i="22"/>
  <c r="H27" i="22"/>
  <c r="G27" i="22"/>
  <c r="F27" i="22"/>
  <c r="E27" i="22"/>
  <c r="D27" i="22"/>
  <c r="O25" i="22"/>
  <c r="N25" i="22"/>
  <c r="M25" i="22"/>
  <c r="L25" i="22"/>
  <c r="K25" i="22"/>
  <c r="J25" i="22"/>
  <c r="I25" i="22"/>
  <c r="H25" i="22"/>
  <c r="G25" i="22"/>
  <c r="F25" i="22"/>
  <c r="E25" i="22"/>
  <c r="D25" i="22"/>
  <c r="O23" i="22"/>
  <c r="N23" i="22"/>
  <c r="M23" i="22"/>
  <c r="L23" i="22"/>
  <c r="K23" i="22"/>
  <c r="J23" i="22"/>
  <c r="I23" i="22"/>
  <c r="H23" i="22"/>
  <c r="G23" i="22"/>
  <c r="F23" i="22"/>
  <c r="E23" i="22"/>
  <c r="D23" i="22"/>
  <c r="O21" i="22"/>
  <c r="N21" i="22"/>
  <c r="M21" i="22"/>
  <c r="L21" i="22"/>
  <c r="K21" i="22"/>
  <c r="J21" i="22"/>
  <c r="I21" i="22"/>
  <c r="H21" i="22"/>
  <c r="G21" i="22"/>
  <c r="F21" i="22"/>
  <c r="E21" i="22"/>
  <c r="D21" i="22"/>
  <c r="O19" i="22"/>
  <c r="N19" i="22"/>
  <c r="M19" i="22"/>
  <c r="L19" i="22"/>
  <c r="K19" i="22"/>
  <c r="J19" i="22"/>
  <c r="I19" i="22"/>
  <c r="H19" i="22"/>
  <c r="G19" i="22"/>
  <c r="F19" i="22"/>
  <c r="E19" i="22"/>
  <c r="D19" i="22"/>
  <c r="O17" i="22"/>
  <c r="N17" i="22"/>
  <c r="M17" i="22"/>
  <c r="L17" i="22"/>
  <c r="K17" i="22"/>
  <c r="J17" i="22"/>
  <c r="I17" i="22"/>
  <c r="H17" i="22"/>
  <c r="G17" i="22"/>
  <c r="F17" i="22"/>
  <c r="E17" i="22"/>
  <c r="D17" i="22"/>
  <c r="O15" i="22"/>
  <c r="N15" i="22"/>
  <c r="M15" i="22"/>
  <c r="L15" i="22"/>
  <c r="K15" i="22"/>
  <c r="J15" i="22"/>
  <c r="I15" i="22"/>
  <c r="H15" i="22"/>
  <c r="G15" i="22"/>
  <c r="F15" i="22"/>
  <c r="E15" i="22"/>
  <c r="D15" i="22"/>
  <c r="O13" i="22"/>
  <c r="N13" i="22"/>
  <c r="M13" i="22"/>
  <c r="L13" i="22"/>
  <c r="K13" i="22"/>
  <c r="J13" i="22"/>
  <c r="I13" i="22"/>
  <c r="H13" i="22"/>
  <c r="G13" i="22"/>
  <c r="F13" i="22"/>
  <c r="E13" i="22"/>
  <c r="D13" i="22"/>
  <c r="O9" i="22"/>
  <c r="N9" i="22"/>
  <c r="M9" i="22"/>
  <c r="L9" i="22"/>
  <c r="K9" i="22"/>
  <c r="J9" i="22"/>
  <c r="I9" i="22"/>
  <c r="H9" i="22"/>
  <c r="G9" i="22"/>
  <c r="F9" i="22"/>
  <c r="E9" i="22"/>
  <c r="D9" i="22"/>
  <c r="O66" i="23"/>
  <c r="N66" i="23"/>
  <c r="M66" i="23"/>
  <c r="L66" i="23"/>
  <c r="K66" i="23"/>
  <c r="J66" i="23"/>
  <c r="I66" i="23"/>
  <c r="H66" i="23"/>
  <c r="G66" i="23"/>
  <c r="F66" i="23"/>
  <c r="E66" i="23"/>
  <c r="D66" i="23"/>
  <c r="O64" i="23"/>
  <c r="N64" i="23"/>
  <c r="M64" i="23"/>
  <c r="L64" i="23"/>
  <c r="K64" i="23"/>
  <c r="J64" i="23"/>
  <c r="I64" i="23"/>
  <c r="H64" i="23"/>
  <c r="G64" i="23"/>
  <c r="F64" i="23"/>
  <c r="E64" i="23"/>
  <c r="D64" i="23"/>
  <c r="O62" i="23"/>
  <c r="N62" i="23"/>
  <c r="M62" i="23"/>
  <c r="L62" i="23"/>
  <c r="K62" i="23"/>
  <c r="J62" i="23"/>
  <c r="I62" i="23"/>
  <c r="H62" i="23"/>
  <c r="G62" i="23"/>
  <c r="F62" i="23"/>
  <c r="E62" i="23"/>
  <c r="D62" i="23"/>
  <c r="O60" i="23"/>
  <c r="N60" i="23"/>
  <c r="M60" i="23"/>
  <c r="L60" i="23"/>
  <c r="K60" i="23"/>
  <c r="J60" i="23"/>
  <c r="I60" i="23"/>
  <c r="H60" i="23"/>
  <c r="G60" i="23"/>
  <c r="F60" i="23"/>
  <c r="E60" i="23"/>
  <c r="D60" i="23"/>
  <c r="O58" i="23"/>
  <c r="N58" i="23"/>
  <c r="M58" i="23"/>
  <c r="L58" i="23"/>
  <c r="K58" i="23"/>
  <c r="J58" i="23"/>
  <c r="I58" i="23"/>
  <c r="H58" i="23"/>
  <c r="G58" i="23"/>
  <c r="F58" i="23"/>
  <c r="E58" i="23"/>
  <c r="D58" i="23"/>
  <c r="O56" i="23"/>
  <c r="N56" i="23"/>
  <c r="M56" i="23"/>
  <c r="L56" i="23"/>
  <c r="K56" i="23"/>
  <c r="J56" i="23"/>
  <c r="I56" i="23"/>
  <c r="H56" i="23"/>
  <c r="G56" i="23"/>
  <c r="F56" i="23"/>
  <c r="E56" i="23"/>
  <c r="D56" i="23"/>
  <c r="O54" i="23"/>
  <c r="N54" i="23"/>
  <c r="M54" i="23"/>
  <c r="L54" i="23"/>
  <c r="K54" i="23"/>
  <c r="J54" i="23"/>
  <c r="I54" i="23"/>
  <c r="H54" i="23"/>
  <c r="G54" i="23"/>
  <c r="F54" i="23"/>
  <c r="E54" i="23"/>
  <c r="D54" i="23"/>
  <c r="O52" i="23"/>
  <c r="N52" i="23"/>
  <c r="M52" i="23"/>
  <c r="L52" i="23"/>
  <c r="K52" i="23"/>
  <c r="J52" i="23"/>
  <c r="I52" i="23"/>
  <c r="H52" i="23"/>
  <c r="G52" i="23"/>
  <c r="F52" i="23"/>
  <c r="E52" i="23"/>
  <c r="D52" i="23"/>
  <c r="O50" i="23"/>
  <c r="N50" i="23"/>
  <c r="M50" i="23"/>
  <c r="L50" i="23"/>
  <c r="K50" i="23"/>
  <c r="J50" i="23"/>
  <c r="I50" i="23"/>
  <c r="H50" i="23"/>
  <c r="G50" i="23"/>
  <c r="F50" i="23"/>
  <c r="E50" i="23"/>
  <c r="D50" i="23"/>
  <c r="O48" i="23"/>
  <c r="N48" i="23"/>
  <c r="M48" i="23"/>
  <c r="L48" i="23"/>
  <c r="K48" i="23"/>
  <c r="J48" i="23"/>
  <c r="I48" i="23"/>
  <c r="H48" i="23"/>
  <c r="G48" i="23"/>
  <c r="F48" i="23"/>
  <c r="E48" i="23"/>
  <c r="D48" i="23"/>
  <c r="O46" i="23"/>
  <c r="N46" i="23"/>
  <c r="M46" i="23"/>
  <c r="L46" i="23"/>
  <c r="K46" i="23"/>
  <c r="J46" i="23"/>
  <c r="I46" i="23"/>
  <c r="H46" i="23"/>
  <c r="G46" i="23"/>
  <c r="F46" i="23"/>
  <c r="E46" i="23"/>
  <c r="D46" i="23"/>
  <c r="O44" i="23"/>
  <c r="N44" i="23"/>
  <c r="M44" i="23"/>
  <c r="L44" i="23"/>
  <c r="K44" i="23"/>
  <c r="J44" i="23"/>
  <c r="I44" i="23"/>
  <c r="H44" i="23"/>
  <c r="G44" i="23"/>
  <c r="F44" i="23"/>
  <c r="E44" i="23"/>
  <c r="D44" i="23"/>
  <c r="O40" i="23"/>
  <c r="N40" i="23"/>
  <c r="M40" i="23"/>
  <c r="L40" i="23"/>
  <c r="K40" i="23"/>
  <c r="J40" i="23"/>
  <c r="I40" i="23"/>
  <c r="H40" i="23"/>
  <c r="G40" i="23"/>
  <c r="F40" i="23"/>
  <c r="E40" i="23"/>
  <c r="D40" i="23"/>
  <c r="O66" i="22"/>
  <c r="N66" i="22"/>
  <c r="M66" i="22"/>
  <c r="L66" i="22"/>
  <c r="K66" i="22"/>
  <c r="J66" i="22"/>
  <c r="I66" i="22"/>
  <c r="H66" i="22"/>
  <c r="G66" i="22"/>
  <c r="F66" i="22"/>
  <c r="E66" i="22"/>
  <c r="D66" i="22"/>
  <c r="O64" i="22"/>
  <c r="N64" i="22"/>
  <c r="M64" i="22"/>
  <c r="L64" i="22"/>
  <c r="K64" i="22"/>
  <c r="J64" i="22"/>
  <c r="I64" i="22"/>
  <c r="H64" i="22"/>
  <c r="G64" i="22"/>
  <c r="F64" i="22"/>
  <c r="E64" i="22"/>
  <c r="D64" i="22"/>
  <c r="O62" i="22"/>
  <c r="N62" i="22"/>
  <c r="M62" i="22"/>
  <c r="L62" i="22"/>
  <c r="K62" i="22"/>
  <c r="J62" i="22"/>
  <c r="I62" i="22"/>
  <c r="H62" i="22"/>
  <c r="G62" i="22"/>
  <c r="F62" i="22"/>
  <c r="E62" i="22"/>
  <c r="D62" i="22"/>
  <c r="O60" i="22"/>
  <c r="N60" i="22"/>
  <c r="M60" i="22"/>
  <c r="L60" i="22"/>
  <c r="K60" i="22"/>
  <c r="J60" i="22"/>
  <c r="I60" i="22"/>
  <c r="H60" i="22"/>
  <c r="G60" i="22"/>
  <c r="F60" i="22"/>
  <c r="E60" i="22"/>
  <c r="D60" i="22"/>
  <c r="O58" i="22"/>
  <c r="N58" i="22"/>
  <c r="M58" i="22"/>
  <c r="L58" i="22"/>
  <c r="K58" i="22"/>
  <c r="J58" i="22"/>
  <c r="I58" i="22"/>
  <c r="H58" i="22"/>
  <c r="G58" i="22"/>
  <c r="F58" i="22"/>
  <c r="E58" i="22"/>
  <c r="D58" i="22"/>
  <c r="O56" i="22"/>
  <c r="N56" i="22"/>
  <c r="M56" i="22"/>
  <c r="L56" i="22"/>
  <c r="K56" i="22"/>
  <c r="J56" i="22"/>
  <c r="I56" i="22"/>
  <c r="H56" i="22"/>
  <c r="G56" i="22"/>
  <c r="F56" i="22"/>
  <c r="E56" i="22"/>
  <c r="D56" i="22"/>
  <c r="O54" i="22"/>
  <c r="N54" i="22"/>
  <c r="M54" i="22"/>
  <c r="L54" i="22"/>
  <c r="K54" i="22"/>
  <c r="J54" i="22"/>
  <c r="I54" i="22"/>
  <c r="H54" i="22"/>
  <c r="G54" i="22"/>
  <c r="F54" i="22"/>
  <c r="E54" i="22"/>
  <c r="D54" i="22"/>
  <c r="O52" i="22"/>
  <c r="N52" i="22"/>
  <c r="M52" i="22"/>
  <c r="L52" i="22"/>
  <c r="K52" i="22"/>
  <c r="J52" i="22"/>
  <c r="I52" i="22"/>
  <c r="H52" i="22"/>
  <c r="G52" i="22"/>
  <c r="F52" i="22"/>
  <c r="E52" i="22"/>
  <c r="D52" i="22"/>
  <c r="O50" i="22"/>
  <c r="N50" i="22"/>
  <c r="M50" i="22"/>
  <c r="L50" i="22"/>
  <c r="K50" i="22"/>
  <c r="J50" i="22"/>
  <c r="I50" i="22"/>
  <c r="H50" i="22"/>
  <c r="G50" i="22"/>
  <c r="F50" i="22"/>
  <c r="E50" i="22"/>
  <c r="D50" i="22"/>
  <c r="O48" i="22"/>
  <c r="N48" i="22"/>
  <c r="M48" i="22"/>
  <c r="L48" i="22"/>
  <c r="K48" i="22"/>
  <c r="J48" i="22"/>
  <c r="I48" i="22"/>
  <c r="H48" i="22"/>
  <c r="G48" i="22"/>
  <c r="F48" i="22"/>
  <c r="E48" i="22"/>
  <c r="D48" i="22"/>
  <c r="O46" i="22"/>
  <c r="N46" i="22"/>
  <c r="M46" i="22"/>
  <c r="L46" i="22"/>
  <c r="K46" i="22"/>
  <c r="J46" i="22"/>
  <c r="I46" i="22"/>
  <c r="H46" i="22"/>
  <c r="G46" i="22"/>
  <c r="F46" i="22"/>
  <c r="E46" i="22"/>
  <c r="D46" i="22"/>
  <c r="O44" i="22"/>
  <c r="N44" i="22"/>
  <c r="M44" i="22"/>
  <c r="L44" i="22"/>
  <c r="K44" i="22"/>
  <c r="J44" i="22"/>
  <c r="I44" i="22"/>
  <c r="H44" i="22"/>
  <c r="G44" i="22"/>
  <c r="F44" i="22"/>
  <c r="E44" i="22"/>
  <c r="D44" i="22"/>
  <c r="O40" i="22"/>
  <c r="N40" i="22"/>
  <c r="M40" i="22"/>
  <c r="L40" i="22"/>
  <c r="K40" i="22"/>
  <c r="J40" i="22"/>
  <c r="I40" i="22"/>
  <c r="H40" i="22"/>
  <c r="G40" i="22"/>
  <c r="F40" i="22"/>
  <c r="E40" i="22"/>
  <c r="D40" i="22"/>
  <c r="O97" i="23"/>
  <c r="N97" i="23"/>
  <c r="M97" i="23"/>
  <c r="L97" i="23"/>
  <c r="K97" i="23"/>
  <c r="J97" i="23"/>
  <c r="I97" i="23"/>
  <c r="H97" i="23"/>
  <c r="G97" i="23"/>
  <c r="F97" i="23"/>
  <c r="E97" i="23"/>
  <c r="D97" i="23"/>
  <c r="O95" i="23"/>
  <c r="N95" i="23"/>
  <c r="M95" i="23"/>
  <c r="L95" i="23"/>
  <c r="K95" i="23"/>
  <c r="J95" i="23"/>
  <c r="I95" i="23"/>
  <c r="H95" i="23"/>
  <c r="G95" i="23"/>
  <c r="F95" i="23"/>
  <c r="E95" i="23"/>
  <c r="D95" i="23"/>
  <c r="O93" i="23"/>
  <c r="N93" i="23"/>
  <c r="M93" i="23"/>
  <c r="L93" i="23"/>
  <c r="K93" i="23"/>
  <c r="J93" i="23"/>
  <c r="I93" i="23"/>
  <c r="H93" i="23"/>
  <c r="G93" i="23"/>
  <c r="F93" i="23"/>
  <c r="E93" i="23"/>
  <c r="D93" i="23"/>
  <c r="O91" i="23"/>
  <c r="N91" i="23"/>
  <c r="M91" i="23"/>
  <c r="L91" i="23"/>
  <c r="K91" i="23"/>
  <c r="J91" i="23"/>
  <c r="I91" i="23"/>
  <c r="H91" i="23"/>
  <c r="G91" i="23"/>
  <c r="F91" i="23"/>
  <c r="E91" i="23"/>
  <c r="D91" i="23"/>
  <c r="O89" i="23"/>
  <c r="N89" i="23"/>
  <c r="M89" i="23"/>
  <c r="L89" i="23"/>
  <c r="K89" i="23"/>
  <c r="J89" i="23"/>
  <c r="I89" i="23"/>
  <c r="H89" i="23"/>
  <c r="G89" i="23"/>
  <c r="F89" i="23"/>
  <c r="E89" i="23"/>
  <c r="D89" i="23"/>
  <c r="O87" i="23"/>
  <c r="N87" i="23"/>
  <c r="M87" i="23"/>
  <c r="L87" i="23"/>
  <c r="K87" i="23"/>
  <c r="J87" i="23"/>
  <c r="I87" i="23"/>
  <c r="H87" i="23"/>
  <c r="G87" i="23"/>
  <c r="F87" i="23"/>
  <c r="E87" i="23"/>
  <c r="D87" i="23"/>
  <c r="O85" i="23"/>
  <c r="N85" i="23"/>
  <c r="M85" i="23"/>
  <c r="L85" i="23"/>
  <c r="K85" i="23"/>
  <c r="J85" i="23"/>
  <c r="I85" i="23"/>
  <c r="H85" i="23"/>
  <c r="G85" i="23"/>
  <c r="F85" i="23"/>
  <c r="E85" i="23"/>
  <c r="D85" i="23"/>
  <c r="O83" i="23"/>
  <c r="N83" i="23"/>
  <c r="M83" i="23"/>
  <c r="L83" i="23"/>
  <c r="K83" i="23"/>
  <c r="J83" i="23"/>
  <c r="I83" i="23"/>
  <c r="H83" i="23"/>
  <c r="G83" i="23"/>
  <c r="F83" i="23"/>
  <c r="E83" i="23"/>
  <c r="D83" i="23"/>
  <c r="O81" i="23"/>
  <c r="N81" i="23"/>
  <c r="M81" i="23"/>
  <c r="L81" i="23"/>
  <c r="K81" i="23"/>
  <c r="J81" i="23"/>
  <c r="I81" i="23"/>
  <c r="H81" i="23"/>
  <c r="G81" i="23"/>
  <c r="F81" i="23"/>
  <c r="E81" i="23"/>
  <c r="D81" i="23"/>
  <c r="O79" i="23"/>
  <c r="N79" i="23"/>
  <c r="M79" i="23"/>
  <c r="L79" i="23"/>
  <c r="K79" i="23"/>
  <c r="J79" i="23"/>
  <c r="I79" i="23"/>
  <c r="H79" i="23"/>
  <c r="G79" i="23"/>
  <c r="F79" i="23"/>
  <c r="E79" i="23"/>
  <c r="D79" i="23"/>
  <c r="O77" i="23"/>
  <c r="N77" i="23"/>
  <c r="M77" i="23"/>
  <c r="L77" i="23"/>
  <c r="K77" i="23"/>
  <c r="J77" i="23"/>
  <c r="I77" i="23"/>
  <c r="H77" i="23"/>
  <c r="G77" i="23"/>
  <c r="F77" i="23"/>
  <c r="E77" i="23"/>
  <c r="D77" i="23"/>
  <c r="O75" i="23"/>
  <c r="N75" i="23"/>
  <c r="M75" i="23"/>
  <c r="L75" i="23"/>
  <c r="K75" i="23"/>
  <c r="J75" i="23"/>
  <c r="I75" i="23"/>
  <c r="H75" i="23"/>
  <c r="G75" i="23"/>
  <c r="F75" i="23"/>
  <c r="E75" i="23"/>
  <c r="D75" i="23"/>
  <c r="O71" i="23"/>
  <c r="N71" i="23"/>
  <c r="M71" i="23"/>
  <c r="L71" i="23"/>
  <c r="K71" i="23"/>
  <c r="J71" i="23"/>
  <c r="I71" i="23"/>
  <c r="H71" i="23"/>
  <c r="G71" i="23"/>
  <c r="F71" i="23"/>
  <c r="E71" i="23"/>
  <c r="D71" i="23"/>
  <c r="O97" i="22"/>
  <c r="N97" i="22"/>
  <c r="M97" i="22"/>
  <c r="L97" i="22"/>
  <c r="K97" i="22"/>
  <c r="J97" i="22"/>
  <c r="I97" i="22"/>
  <c r="H97" i="22"/>
  <c r="G97" i="22"/>
  <c r="F97" i="22"/>
  <c r="E97" i="22"/>
  <c r="D97" i="22"/>
  <c r="O95" i="22"/>
  <c r="N95" i="22"/>
  <c r="M95" i="22"/>
  <c r="L95" i="22"/>
  <c r="K95" i="22"/>
  <c r="J95" i="22"/>
  <c r="I95" i="22"/>
  <c r="H95" i="22"/>
  <c r="G95" i="22"/>
  <c r="F95" i="22"/>
  <c r="E95" i="22"/>
  <c r="D95" i="22"/>
  <c r="O93" i="22"/>
  <c r="N93" i="22"/>
  <c r="M93" i="22"/>
  <c r="L93" i="22"/>
  <c r="K93" i="22"/>
  <c r="J93" i="22"/>
  <c r="I93" i="22"/>
  <c r="H93" i="22"/>
  <c r="G93" i="22"/>
  <c r="F93" i="22"/>
  <c r="E93" i="22"/>
  <c r="D93" i="22"/>
  <c r="O91" i="22"/>
  <c r="N91" i="22"/>
  <c r="M91" i="22"/>
  <c r="L91" i="22"/>
  <c r="K91" i="22"/>
  <c r="J91" i="22"/>
  <c r="I91" i="22"/>
  <c r="H91" i="22"/>
  <c r="G91" i="22"/>
  <c r="F91" i="22"/>
  <c r="E91" i="22"/>
  <c r="D91" i="22"/>
  <c r="O89" i="22"/>
  <c r="N89" i="22"/>
  <c r="M89" i="22"/>
  <c r="L89" i="22"/>
  <c r="K89" i="22"/>
  <c r="J89" i="22"/>
  <c r="I89" i="22"/>
  <c r="H89" i="22"/>
  <c r="G89" i="22"/>
  <c r="F89" i="22"/>
  <c r="E89" i="22"/>
  <c r="D89" i="22"/>
  <c r="O87" i="22"/>
  <c r="N87" i="22"/>
  <c r="M87" i="22"/>
  <c r="L87" i="22"/>
  <c r="K87" i="22"/>
  <c r="J87" i="22"/>
  <c r="I87" i="22"/>
  <c r="H87" i="22"/>
  <c r="G87" i="22"/>
  <c r="F87" i="22"/>
  <c r="E87" i="22"/>
  <c r="D87" i="22"/>
  <c r="O85" i="22"/>
  <c r="N85" i="22"/>
  <c r="M85" i="22"/>
  <c r="L85" i="22"/>
  <c r="K85" i="22"/>
  <c r="J85" i="22"/>
  <c r="I85" i="22"/>
  <c r="H85" i="22"/>
  <c r="G85" i="22"/>
  <c r="F85" i="22"/>
  <c r="E85" i="22"/>
  <c r="D85" i="22"/>
  <c r="O83" i="22"/>
  <c r="N83" i="22"/>
  <c r="M83" i="22"/>
  <c r="L83" i="22"/>
  <c r="K83" i="22"/>
  <c r="J83" i="22"/>
  <c r="I83" i="22"/>
  <c r="H83" i="22"/>
  <c r="G83" i="22"/>
  <c r="F83" i="22"/>
  <c r="E83" i="22"/>
  <c r="D83" i="22"/>
  <c r="O81" i="22"/>
  <c r="N81" i="22"/>
  <c r="M81" i="22"/>
  <c r="L81" i="22"/>
  <c r="K81" i="22"/>
  <c r="J81" i="22"/>
  <c r="I81" i="22"/>
  <c r="H81" i="22"/>
  <c r="G81" i="22"/>
  <c r="F81" i="22"/>
  <c r="E81" i="22"/>
  <c r="D81" i="22"/>
  <c r="O79" i="22"/>
  <c r="N79" i="22"/>
  <c r="M79" i="22"/>
  <c r="L79" i="22"/>
  <c r="K79" i="22"/>
  <c r="J79" i="22"/>
  <c r="I79" i="22"/>
  <c r="H79" i="22"/>
  <c r="G79" i="22"/>
  <c r="F79" i="22"/>
  <c r="E79" i="22"/>
  <c r="D79" i="22"/>
  <c r="O77" i="22"/>
  <c r="N77" i="22"/>
  <c r="M77" i="22"/>
  <c r="L77" i="22"/>
  <c r="K77" i="22"/>
  <c r="J77" i="22"/>
  <c r="I77" i="22"/>
  <c r="H77" i="22"/>
  <c r="G77" i="22"/>
  <c r="F77" i="22"/>
  <c r="E77" i="22"/>
  <c r="D77" i="22"/>
  <c r="O75" i="22"/>
  <c r="N75" i="22"/>
  <c r="M75" i="22"/>
  <c r="L75" i="22"/>
  <c r="K75" i="22"/>
  <c r="J75" i="22"/>
  <c r="I75" i="22"/>
  <c r="H75" i="22"/>
  <c r="G75" i="22"/>
  <c r="F75" i="22"/>
  <c r="E75" i="22"/>
  <c r="D75" i="22"/>
  <c r="O71" i="22"/>
  <c r="N71" i="22"/>
  <c r="M71" i="22"/>
  <c r="L71" i="22"/>
  <c r="K71" i="22"/>
  <c r="J71" i="22"/>
  <c r="I71" i="22"/>
  <c r="H71" i="22"/>
  <c r="G71" i="22"/>
  <c r="F71" i="22"/>
  <c r="E71" i="22"/>
  <c r="D71" i="22"/>
  <c r="O128" i="23"/>
  <c r="N128" i="23"/>
  <c r="M128" i="23"/>
  <c r="L128" i="23"/>
  <c r="K128" i="23"/>
  <c r="J128" i="23"/>
  <c r="I128" i="23"/>
  <c r="H128" i="23"/>
  <c r="G128" i="23"/>
  <c r="F128" i="23"/>
  <c r="E128" i="23"/>
  <c r="D128" i="23"/>
  <c r="O126" i="23"/>
  <c r="N126" i="23"/>
  <c r="M126" i="23"/>
  <c r="L126" i="23"/>
  <c r="K126" i="23"/>
  <c r="J126" i="23"/>
  <c r="I126" i="23"/>
  <c r="H126" i="23"/>
  <c r="G126" i="23"/>
  <c r="F126" i="23"/>
  <c r="E126" i="23"/>
  <c r="D126" i="23"/>
  <c r="O124" i="23"/>
  <c r="N124" i="23"/>
  <c r="M124" i="23"/>
  <c r="L124" i="23"/>
  <c r="K124" i="23"/>
  <c r="J124" i="23"/>
  <c r="I124" i="23"/>
  <c r="H124" i="23"/>
  <c r="G124" i="23"/>
  <c r="F124" i="23"/>
  <c r="E124" i="23"/>
  <c r="D124" i="23"/>
  <c r="O122" i="23"/>
  <c r="N122" i="23"/>
  <c r="M122" i="23"/>
  <c r="L122" i="23"/>
  <c r="K122" i="23"/>
  <c r="J122" i="23"/>
  <c r="I122" i="23"/>
  <c r="H122" i="23"/>
  <c r="G122" i="23"/>
  <c r="F122" i="23"/>
  <c r="E122" i="23"/>
  <c r="D122" i="23"/>
  <c r="O120" i="23"/>
  <c r="N120" i="23"/>
  <c r="M120" i="23"/>
  <c r="L120" i="23"/>
  <c r="K120" i="23"/>
  <c r="J120" i="23"/>
  <c r="I120" i="23"/>
  <c r="H120" i="23"/>
  <c r="G120" i="23"/>
  <c r="F120" i="23"/>
  <c r="E120" i="23"/>
  <c r="D120" i="23"/>
  <c r="O118" i="23"/>
  <c r="N118" i="23"/>
  <c r="M118" i="23"/>
  <c r="L118" i="23"/>
  <c r="K118" i="23"/>
  <c r="J118" i="23"/>
  <c r="I118" i="23"/>
  <c r="H118" i="23"/>
  <c r="G118" i="23"/>
  <c r="F118" i="23"/>
  <c r="E118" i="23"/>
  <c r="D118" i="23"/>
  <c r="O116" i="23"/>
  <c r="N116" i="23"/>
  <c r="M116" i="23"/>
  <c r="L116" i="23"/>
  <c r="K116" i="23"/>
  <c r="J116" i="23"/>
  <c r="I116" i="23"/>
  <c r="H116" i="23"/>
  <c r="G116" i="23"/>
  <c r="F116" i="23"/>
  <c r="E116" i="23"/>
  <c r="D116" i="23"/>
  <c r="O114" i="23"/>
  <c r="N114" i="23"/>
  <c r="M114" i="23"/>
  <c r="L114" i="23"/>
  <c r="K114" i="23"/>
  <c r="J114" i="23"/>
  <c r="I114" i="23"/>
  <c r="H114" i="23"/>
  <c r="G114" i="23"/>
  <c r="F114" i="23"/>
  <c r="E114" i="23"/>
  <c r="D114" i="23"/>
  <c r="O112" i="23"/>
  <c r="N112" i="23"/>
  <c r="M112" i="23"/>
  <c r="L112" i="23"/>
  <c r="K112" i="23"/>
  <c r="J112" i="23"/>
  <c r="I112" i="23"/>
  <c r="H112" i="23"/>
  <c r="G112" i="23"/>
  <c r="F112" i="23"/>
  <c r="E112" i="23"/>
  <c r="D112" i="23"/>
  <c r="O110" i="23"/>
  <c r="N110" i="23"/>
  <c r="M110" i="23"/>
  <c r="L110" i="23"/>
  <c r="K110" i="23"/>
  <c r="J110" i="23"/>
  <c r="I110" i="23"/>
  <c r="H110" i="23"/>
  <c r="G110" i="23"/>
  <c r="F110" i="23"/>
  <c r="E110" i="23"/>
  <c r="D110" i="23"/>
  <c r="O108" i="23"/>
  <c r="N108" i="23"/>
  <c r="M108" i="23"/>
  <c r="L108" i="23"/>
  <c r="K108" i="23"/>
  <c r="J108" i="23"/>
  <c r="I108" i="23"/>
  <c r="H108" i="23"/>
  <c r="G108" i="23"/>
  <c r="F108" i="23"/>
  <c r="E108" i="23"/>
  <c r="D108" i="23"/>
  <c r="O106" i="23"/>
  <c r="N106" i="23"/>
  <c r="M106" i="23"/>
  <c r="L106" i="23"/>
  <c r="K106" i="23"/>
  <c r="J106" i="23"/>
  <c r="I106" i="23"/>
  <c r="H106" i="23"/>
  <c r="G106" i="23"/>
  <c r="F106" i="23"/>
  <c r="E106" i="23"/>
  <c r="D106" i="23"/>
  <c r="O102" i="23"/>
  <c r="N102" i="23"/>
  <c r="M102" i="23"/>
  <c r="L102" i="23"/>
  <c r="K102" i="23"/>
  <c r="J102" i="23"/>
  <c r="I102" i="23"/>
  <c r="H102" i="23"/>
  <c r="G102" i="23"/>
  <c r="F102" i="23"/>
  <c r="E102" i="23"/>
  <c r="D102" i="23"/>
  <c r="O128" i="22"/>
  <c r="N128" i="22"/>
  <c r="M128" i="22"/>
  <c r="L128" i="22"/>
  <c r="K128" i="22"/>
  <c r="J128" i="22"/>
  <c r="I128" i="22"/>
  <c r="H128" i="22"/>
  <c r="G128" i="22"/>
  <c r="F128" i="22"/>
  <c r="E128" i="22"/>
  <c r="D128" i="22"/>
  <c r="O126" i="22"/>
  <c r="N126" i="22"/>
  <c r="M126" i="22"/>
  <c r="L126" i="22"/>
  <c r="K126" i="22"/>
  <c r="J126" i="22"/>
  <c r="I126" i="22"/>
  <c r="H126" i="22"/>
  <c r="G126" i="22"/>
  <c r="F126" i="22"/>
  <c r="E126" i="22"/>
  <c r="D126" i="22"/>
  <c r="O124" i="22"/>
  <c r="N124" i="22"/>
  <c r="M124" i="22"/>
  <c r="L124" i="22"/>
  <c r="K124" i="22"/>
  <c r="J124" i="22"/>
  <c r="I124" i="22"/>
  <c r="H124" i="22"/>
  <c r="G124" i="22"/>
  <c r="F124" i="22"/>
  <c r="E124" i="22"/>
  <c r="D124" i="22"/>
  <c r="O122" i="22"/>
  <c r="N122" i="22"/>
  <c r="M122" i="22"/>
  <c r="L122" i="22"/>
  <c r="K122" i="22"/>
  <c r="J122" i="22"/>
  <c r="I122" i="22"/>
  <c r="H122" i="22"/>
  <c r="G122" i="22"/>
  <c r="F122" i="22"/>
  <c r="E122" i="22"/>
  <c r="D122" i="22"/>
  <c r="O120" i="22"/>
  <c r="N120" i="22"/>
  <c r="M120" i="22"/>
  <c r="L120" i="22"/>
  <c r="K120" i="22"/>
  <c r="J120" i="22"/>
  <c r="I120" i="22"/>
  <c r="H120" i="22"/>
  <c r="G120" i="22"/>
  <c r="F120" i="22"/>
  <c r="E120" i="22"/>
  <c r="D120" i="22"/>
  <c r="O118" i="22"/>
  <c r="N118" i="22"/>
  <c r="M118" i="22"/>
  <c r="L118" i="22"/>
  <c r="K118" i="22"/>
  <c r="J118" i="22"/>
  <c r="I118" i="22"/>
  <c r="H118" i="22"/>
  <c r="G118" i="22"/>
  <c r="F118" i="22"/>
  <c r="E118" i="22"/>
  <c r="D118" i="22"/>
  <c r="O116" i="22"/>
  <c r="N116" i="22"/>
  <c r="M116" i="22"/>
  <c r="L116" i="22"/>
  <c r="K116" i="22"/>
  <c r="J116" i="22"/>
  <c r="I116" i="22"/>
  <c r="H116" i="22"/>
  <c r="G116" i="22"/>
  <c r="F116" i="22"/>
  <c r="E116" i="22"/>
  <c r="D116" i="22"/>
  <c r="O114" i="22"/>
  <c r="N114" i="22"/>
  <c r="M114" i="22"/>
  <c r="L114" i="22"/>
  <c r="K114" i="22"/>
  <c r="J114" i="22"/>
  <c r="I114" i="22"/>
  <c r="H114" i="22"/>
  <c r="G114" i="22"/>
  <c r="F114" i="22"/>
  <c r="E114" i="22"/>
  <c r="D114" i="22"/>
  <c r="O112" i="22"/>
  <c r="N112" i="22"/>
  <c r="M112" i="22"/>
  <c r="L112" i="22"/>
  <c r="K112" i="22"/>
  <c r="J112" i="22"/>
  <c r="I112" i="22"/>
  <c r="H112" i="22"/>
  <c r="G112" i="22"/>
  <c r="F112" i="22"/>
  <c r="E112" i="22"/>
  <c r="D112" i="22"/>
  <c r="O110" i="22"/>
  <c r="N110" i="22"/>
  <c r="M110" i="22"/>
  <c r="L110" i="22"/>
  <c r="K110" i="22"/>
  <c r="J110" i="22"/>
  <c r="I110" i="22"/>
  <c r="H110" i="22"/>
  <c r="G110" i="22"/>
  <c r="F110" i="22"/>
  <c r="E110" i="22"/>
  <c r="D110" i="22"/>
  <c r="O108" i="22"/>
  <c r="N108" i="22"/>
  <c r="M108" i="22"/>
  <c r="L108" i="22"/>
  <c r="K108" i="22"/>
  <c r="J108" i="22"/>
  <c r="I108" i="22"/>
  <c r="H108" i="22"/>
  <c r="G108" i="22"/>
  <c r="F108" i="22"/>
  <c r="E108" i="22"/>
  <c r="D108" i="22"/>
  <c r="O106" i="22"/>
  <c r="N106" i="22"/>
  <c r="M106" i="22"/>
  <c r="L106" i="22"/>
  <c r="K106" i="22"/>
  <c r="J106" i="22"/>
  <c r="I106" i="22"/>
  <c r="H106" i="22"/>
  <c r="G106" i="22"/>
  <c r="F106" i="22"/>
  <c r="E106" i="22"/>
  <c r="D106" i="22"/>
  <c r="O102" i="22"/>
  <c r="N102" i="22"/>
  <c r="M102" i="22"/>
  <c r="L102" i="22"/>
  <c r="K102" i="22"/>
  <c r="J102" i="22"/>
  <c r="I102" i="22"/>
  <c r="H102" i="22"/>
  <c r="G102" i="22"/>
  <c r="F102" i="22"/>
  <c r="E102" i="22"/>
  <c r="D102" i="22"/>
  <c r="D102" i="14"/>
  <c r="E102" i="14"/>
  <c r="F102" i="14"/>
  <c r="G102" i="14"/>
  <c r="H102" i="14"/>
  <c r="I102" i="14"/>
  <c r="J102" i="14"/>
  <c r="K102" i="14"/>
  <c r="L102" i="14"/>
  <c r="M102" i="14"/>
  <c r="N102" i="14"/>
  <c r="O102" i="14"/>
  <c r="D106" i="14"/>
  <c r="E106" i="14"/>
  <c r="F106" i="14"/>
  <c r="G106" i="14"/>
  <c r="H106" i="14"/>
  <c r="I106" i="14"/>
  <c r="J106" i="14"/>
  <c r="K106" i="14"/>
  <c r="L106" i="14"/>
  <c r="M106" i="14"/>
  <c r="N106" i="14"/>
  <c r="O106" i="14"/>
  <c r="D108" i="14"/>
  <c r="E108" i="14"/>
  <c r="F108" i="14"/>
  <c r="G108" i="14"/>
  <c r="H108" i="14"/>
  <c r="I108" i="14"/>
  <c r="J108" i="14"/>
  <c r="K108" i="14"/>
  <c r="L108" i="14"/>
  <c r="M108" i="14"/>
  <c r="N108" i="14"/>
  <c r="O108" i="14"/>
  <c r="D110" i="14"/>
  <c r="E110" i="14"/>
  <c r="F110" i="14"/>
  <c r="G110" i="14"/>
  <c r="H110" i="14"/>
  <c r="I110" i="14"/>
  <c r="J110" i="14"/>
  <c r="K110" i="14"/>
  <c r="L110" i="14"/>
  <c r="M110" i="14"/>
  <c r="N110" i="14"/>
  <c r="O110" i="14"/>
  <c r="D112" i="14"/>
  <c r="E112" i="14"/>
  <c r="F112" i="14"/>
  <c r="G112" i="14"/>
  <c r="H112" i="14"/>
  <c r="I112" i="14"/>
  <c r="J112" i="14"/>
  <c r="K112" i="14"/>
  <c r="L112" i="14"/>
  <c r="M112" i="14"/>
  <c r="N112" i="14"/>
  <c r="O112" i="14"/>
  <c r="D114" i="14"/>
  <c r="E114" i="14"/>
  <c r="F114" i="14"/>
  <c r="G114" i="14"/>
  <c r="H114" i="14"/>
  <c r="I114" i="14"/>
  <c r="J114" i="14"/>
  <c r="K114" i="14"/>
  <c r="L114" i="14"/>
  <c r="M114" i="14"/>
  <c r="N114" i="14"/>
  <c r="O114" i="14"/>
  <c r="D116" i="14"/>
  <c r="E116" i="14"/>
  <c r="F116" i="14"/>
  <c r="G116" i="14"/>
  <c r="H116" i="14"/>
  <c r="I116" i="14"/>
  <c r="J116" i="14"/>
  <c r="K116" i="14"/>
  <c r="L116" i="14"/>
  <c r="M116" i="14"/>
  <c r="N116" i="14"/>
  <c r="O116" i="14"/>
  <c r="D118" i="14"/>
  <c r="E118" i="14"/>
  <c r="F118" i="14"/>
  <c r="G118" i="14"/>
  <c r="H118" i="14"/>
  <c r="I118" i="14"/>
  <c r="J118" i="14"/>
  <c r="K118" i="14"/>
  <c r="L118" i="14"/>
  <c r="M118" i="14"/>
  <c r="N118" i="14"/>
  <c r="O118" i="14"/>
  <c r="D120" i="14"/>
  <c r="E120" i="14"/>
  <c r="F120" i="14"/>
  <c r="G120" i="14"/>
  <c r="H120" i="14"/>
  <c r="I120" i="14"/>
  <c r="J120" i="14"/>
  <c r="K120" i="14"/>
  <c r="L120" i="14"/>
  <c r="M120" i="14"/>
  <c r="N120" i="14"/>
  <c r="O120" i="14"/>
  <c r="D122" i="14"/>
  <c r="E122" i="14"/>
  <c r="F122" i="14"/>
  <c r="G122" i="14"/>
  <c r="H122" i="14"/>
  <c r="I122" i="14"/>
  <c r="J122" i="14"/>
  <c r="K122" i="14"/>
  <c r="L122" i="14"/>
  <c r="M122" i="14"/>
  <c r="N122" i="14"/>
  <c r="O122" i="14"/>
  <c r="D124" i="14"/>
  <c r="E124" i="14"/>
  <c r="F124" i="14"/>
  <c r="G124" i="14"/>
  <c r="H124" i="14"/>
  <c r="I124" i="14"/>
  <c r="J124" i="14"/>
  <c r="K124" i="14"/>
  <c r="L124" i="14"/>
  <c r="M124" i="14"/>
  <c r="N124" i="14"/>
  <c r="O124" i="14"/>
  <c r="D126" i="14"/>
  <c r="E126" i="14"/>
  <c r="F126" i="14"/>
  <c r="G126" i="14"/>
  <c r="H126" i="14"/>
  <c r="I126" i="14"/>
  <c r="J126" i="14"/>
  <c r="K126" i="14"/>
  <c r="L126" i="14"/>
  <c r="M126" i="14"/>
  <c r="N126" i="14"/>
  <c r="O126" i="14"/>
  <c r="D128" i="14"/>
  <c r="E128" i="14"/>
  <c r="F128" i="14"/>
  <c r="G128" i="14"/>
  <c r="H128" i="14"/>
  <c r="I128" i="14"/>
  <c r="J128" i="14"/>
  <c r="K128" i="14"/>
  <c r="L128" i="14"/>
  <c r="M128" i="14"/>
  <c r="N128" i="14"/>
  <c r="O128" i="14"/>
  <c r="O159" i="23"/>
  <c r="N159" i="23"/>
  <c r="M159" i="23"/>
  <c r="L159" i="23"/>
  <c r="K159" i="23"/>
  <c r="J159" i="23"/>
  <c r="I159" i="23"/>
  <c r="H159" i="23"/>
  <c r="G159" i="23"/>
  <c r="F159" i="23"/>
  <c r="E159" i="23"/>
  <c r="D159" i="23"/>
  <c r="O157" i="23"/>
  <c r="N157" i="23"/>
  <c r="M157" i="23"/>
  <c r="L157" i="23"/>
  <c r="K157" i="23"/>
  <c r="J157" i="23"/>
  <c r="I157" i="23"/>
  <c r="H157" i="23"/>
  <c r="G157" i="23"/>
  <c r="F157" i="23"/>
  <c r="E157" i="23"/>
  <c r="D157" i="23"/>
  <c r="O155" i="23"/>
  <c r="N155" i="23"/>
  <c r="M155" i="23"/>
  <c r="L155" i="23"/>
  <c r="K155" i="23"/>
  <c r="J155" i="23"/>
  <c r="I155" i="23"/>
  <c r="H155" i="23"/>
  <c r="G155" i="23"/>
  <c r="F155" i="23"/>
  <c r="E155" i="23"/>
  <c r="D155" i="23"/>
  <c r="O153" i="23"/>
  <c r="N153" i="23"/>
  <c r="M153" i="23"/>
  <c r="L153" i="23"/>
  <c r="K153" i="23"/>
  <c r="J153" i="23"/>
  <c r="I153" i="23"/>
  <c r="H153" i="23"/>
  <c r="G153" i="23"/>
  <c r="F153" i="23"/>
  <c r="E153" i="23"/>
  <c r="D153" i="23"/>
  <c r="O151" i="23"/>
  <c r="N151" i="23"/>
  <c r="M151" i="23"/>
  <c r="L151" i="23"/>
  <c r="K151" i="23"/>
  <c r="J151" i="23"/>
  <c r="I151" i="23"/>
  <c r="H151" i="23"/>
  <c r="G151" i="23"/>
  <c r="F151" i="23"/>
  <c r="E151" i="23"/>
  <c r="D151" i="23"/>
  <c r="O149" i="23"/>
  <c r="N149" i="23"/>
  <c r="M149" i="23"/>
  <c r="L149" i="23"/>
  <c r="K149" i="23"/>
  <c r="J149" i="23"/>
  <c r="I149" i="23"/>
  <c r="H149" i="23"/>
  <c r="G149" i="23"/>
  <c r="F149" i="23"/>
  <c r="E149" i="23"/>
  <c r="D149" i="23"/>
  <c r="O147" i="23"/>
  <c r="N147" i="23"/>
  <c r="M147" i="23"/>
  <c r="L147" i="23"/>
  <c r="K147" i="23"/>
  <c r="J147" i="23"/>
  <c r="I147" i="23"/>
  <c r="H147" i="23"/>
  <c r="G147" i="23"/>
  <c r="F147" i="23"/>
  <c r="E147" i="23"/>
  <c r="D147" i="23"/>
  <c r="O145" i="23"/>
  <c r="N145" i="23"/>
  <c r="M145" i="23"/>
  <c r="L145" i="23"/>
  <c r="K145" i="23"/>
  <c r="J145" i="23"/>
  <c r="I145" i="23"/>
  <c r="H145" i="23"/>
  <c r="G145" i="23"/>
  <c r="F145" i="23"/>
  <c r="E145" i="23"/>
  <c r="D145" i="23"/>
  <c r="O143" i="23"/>
  <c r="N143" i="23"/>
  <c r="M143" i="23"/>
  <c r="L143" i="23"/>
  <c r="K143" i="23"/>
  <c r="J143" i="23"/>
  <c r="I143" i="23"/>
  <c r="H143" i="23"/>
  <c r="G143" i="23"/>
  <c r="F143" i="23"/>
  <c r="E143" i="23"/>
  <c r="D143" i="23"/>
  <c r="O141" i="23"/>
  <c r="N141" i="23"/>
  <c r="M141" i="23"/>
  <c r="L141" i="23"/>
  <c r="K141" i="23"/>
  <c r="J141" i="23"/>
  <c r="I141" i="23"/>
  <c r="H141" i="23"/>
  <c r="G141" i="23"/>
  <c r="F141" i="23"/>
  <c r="E141" i="23"/>
  <c r="D141" i="23"/>
  <c r="O139" i="23"/>
  <c r="N139" i="23"/>
  <c r="M139" i="23"/>
  <c r="L139" i="23"/>
  <c r="K139" i="23"/>
  <c r="J139" i="23"/>
  <c r="I139" i="23"/>
  <c r="H139" i="23"/>
  <c r="G139" i="23"/>
  <c r="F139" i="23"/>
  <c r="E139" i="23"/>
  <c r="D139" i="23"/>
  <c r="O137" i="23"/>
  <c r="N137" i="23"/>
  <c r="M137" i="23"/>
  <c r="L137" i="23"/>
  <c r="K137" i="23"/>
  <c r="J137" i="23"/>
  <c r="I137" i="23"/>
  <c r="H137" i="23"/>
  <c r="G137" i="23"/>
  <c r="F137" i="23"/>
  <c r="E137" i="23"/>
  <c r="D137" i="23"/>
  <c r="O133" i="23"/>
  <c r="N133" i="23"/>
  <c r="M133" i="23"/>
  <c r="L133" i="23"/>
  <c r="K133" i="23"/>
  <c r="J133" i="23"/>
  <c r="I133" i="23"/>
  <c r="H133" i="23"/>
  <c r="G133" i="23"/>
  <c r="F133" i="23"/>
  <c r="E133" i="23"/>
  <c r="D133" i="23"/>
  <c r="O159" i="22"/>
  <c r="N159" i="22"/>
  <c r="M159" i="22"/>
  <c r="L159" i="22"/>
  <c r="K159" i="22"/>
  <c r="J159" i="22"/>
  <c r="I159" i="22"/>
  <c r="H159" i="22"/>
  <c r="G159" i="22"/>
  <c r="F159" i="22"/>
  <c r="E159" i="22"/>
  <c r="D159" i="22"/>
  <c r="O157" i="22"/>
  <c r="N157" i="22"/>
  <c r="M157" i="22"/>
  <c r="L157" i="22"/>
  <c r="K157" i="22"/>
  <c r="J157" i="22"/>
  <c r="I157" i="22"/>
  <c r="H157" i="22"/>
  <c r="G157" i="22"/>
  <c r="F157" i="22"/>
  <c r="E157" i="22"/>
  <c r="D157" i="22"/>
  <c r="O155" i="22"/>
  <c r="N155" i="22"/>
  <c r="M155" i="22"/>
  <c r="L155" i="22"/>
  <c r="K155" i="22"/>
  <c r="J155" i="22"/>
  <c r="I155" i="22"/>
  <c r="H155" i="22"/>
  <c r="G155" i="22"/>
  <c r="F155" i="22"/>
  <c r="E155" i="22"/>
  <c r="D155" i="22"/>
  <c r="O153" i="22"/>
  <c r="N153" i="22"/>
  <c r="M153" i="22"/>
  <c r="L153" i="22"/>
  <c r="K153" i="22"/>
  <c r="J153" i="22"/>
  <c r="I153" i="22"/>
  <c r="H153" i="22"/>
  <c r="G153" i="22"/>
  <c r="F153" i="22"/>
  <c r="E153" i="22"/>
  <c r="D153" i="22"/>
  <c r="O151" i="22"/>
  <c r="N151" i="22"/>
  <c r="M151" i="22"/>
  <c r="L151" i="22"/>
  <c r="K151" i="22"/>
  <c r="J151" i="22"/>
  <c r="I151" i="22"/>
  <c r="H151" i="22"/>
  <c r="G151" i="22"/>
  <c r="F151" i="22"/>
  <c r="E151" i="22"/>
  <c r="D151" i="22"/>
  <c r="O149" i="22"/>
  <c r="N149" i="22"/>
  <c r="M149" i="22"/>
  <c r="L149" i="22"/>
  <c r="K149" i="22"/>
  <c r="J149" i="22"/>
  <c r="I149" i="22"/>
  <c r="H149" i="22"/>
  <c r="G149" i="22"/>
  <c r="F149" i="22"/>
  <c r="E149" i="22"/>
  <c r="D149" i="22"/>
  <c r="O147" i="22"/>
  <c r="N147" i="22"/>
  <c r="M147" i="22"/>
  <c r="L147" i="22"/>
  <c r="K147" i="22"/>
  <c r="J147" i="22"/>
  <c r="I147" i="22"/>
  <c r="H147" i="22"/>
  <c r="G147" i="22"/>
  <c r="F147" i="22"/>
  <c r="E147" i="22"/>
  <c r="D147" i="22"/>
  <c r="O145" i="22"/>
  <c r="N145" i="22"/>
  <c r="M145" i="22"/>
  <c r="L145" i="22"/>
  <c r="K145" i="22"/>
  <c r="J145" i="22"/>
  <c r="I145" i="22"/>
  <c r="H145" i="22"/>
  <c r="G145" i="22"/>
  <c r="F145" i="22"/>
  <c r="E145" i="22"/>
  <c r="D145" i="22"/>
  <c r="O143" i="22"/>
  <c r="N143" i="22"/>
  <c r="M143" i="22"/>
  <c r="L143" i="22"/>
  <c r="K143" i="22"/>
  <c r="J143" i="22"/>
  <c r="I143" i="22"/>
  <c r="H143" i="22"/>
  <c r="G143" i="22"/>
  <c r="F143" i="22"/>
  <c r="E143" i="22"/>
  <c r="D143" i="22"/>
  <c r="O141" i="22"/>
  <c r="N141" i="22"/>
  <c r="M141" i="22"/>
  <c r="L141" i="22"/>
  <c r="K141" i="22"/>
  <c r="J141" i="22"/>
  <c r="I141" i="22"/>
  <c r="H141" i="22"/>
  <c r="G141" i="22"/>
  <c r="F141" i="22"/>
  <c r="E141" i="22"/>
  <c r="D141" i="22"/>
  <c r="O139" i="22"/>
  <c r="N139" i="22"/>
  <c r="M139" i="22"/>
  <c r="L139" i="22"/>
  <c r="K139" i="22"/>
  <c r="J139" i="22"/>
  <c r="I139" i="22"/>
  <c r="H139" i="22"/>
  <c r="G139" i="22"/>
  <c r="F139" i="22"/>
  <c r="E139" i="22"/>
  <c r="D139" i="22"/>
  <c r="O137" i="22"/>
  <c r="N137" i="22"/>
  <c r="M137" i="22"/>
  <c r="L137" i="22"/>
  <c r="K137" i="22"/>
  <c r="J137" i="22"/>
  <c r="I137" i="22"/>
  <c r="H137" i="22"/>
  <c r="G137" i="22"/>
  <c r="F137" i="22"/>
  <c r="E137" i="22"/>
  <c r="D137" i="22"/>
  <c r="O133" i="22"/>
  <c r="N133" i="22"/>
  <c r="M133" i="22"/>
  <c r="L133" i="22"/>
  <c r="K133" i="22"/>
  <c r="J133" i="22"/>
  <c r="I133" i="22"/>
  <c r="H133" i="22"/>
  <c r="G133" i="22"/>
  <c r="F133" i="22"/>
  <c r="E133" i="22"/>
  <c r="D133" i="22"/>
  <c r="O159" i="14"/>
  <c r="N159" i="14"/>
  <c r="M159" i="14"/>
  <c r="L159" i="14"/>
  <c r="K159" i="14"/>
  <c r="J159" i="14"/>
  <c r="I159" i="14"/>
  <c r="H159" i="14"/>
  <c r="G159" i="14"/>
  <c r="F159" i="14"/>
  <c r="E159" i="14"/>
  <c r="D159" i="14"/>
  <c r="O157" i="14"/>
  <c r="N157" i="14"/>
  <c r="M157" i="14"/>
  <c r="L157" i="14"/>
  <c r="K157" i="14"/>
  <c r="J157" i="14"/>
  <c r="I157" i="14"/>
  <c r="H157" i="14"/>
  <c r="G157" i="14"/>
  <c r="F157" i="14"/>
  <c r="E157" i="14"/>
  <c r="D157" i="14"/>
  <c r="O155" i="14"/>
  <c r="N155" i="14"/>
  <c r="M155" i="14"/>
  <c r="L155" i="14"/>
  <c r="K155" i="14"/>
  <c r="J155" i="14"/>
  <c r="I155" i="14"/>
  <c r="H155" i="14"/>
  <c r="G155" i="14"/>
  <c r="F155" i="14"/>
  <c r="E155" i="14"/>
  <c r="D155" i="14"/>
  <c r="O153" i="14"/>
  <c r="N153" i="14"/>
  <c r="M153" i="14"/>
  <c r="L153" i="14"/>
  <c r="K153" i="14"/>
  <c r="J153" i="14"/>
  <c r="I153" i="14"/>
  <c r="H153" i="14"/>
  <c r="G153" i="14"/>
  <c r="F153" i="14"/>
  <c r="E153" i="14"/>
  <c r="D153" i="14"/>
  <c r="O151" i="14"/>
  <c r="N151" i="14"/>
  <c r="M151" i="14"/>
  <c r="L151" i="14"/>
  <c r="K151" i="14"/>
  <c r="J151" i="14"/>
  <c r="I151" i="14"/>
  <c r="H151" i="14"/>
  <c r="G151" i="14"/>
  <c r="F151" i="14"/>
  <c r="E151" i="14"/>
  <c r="D151" i="14"/>
  <c r="O149" i="14"/>
  <c r="N149" i="14"/>
  <c r="M149" i="14"/>
  <c r="L149" i="14"/>
  <c r="K149" i="14"/>
  <c r="J149" i="14"/>
  <c r="I149" i="14"/>
  <c r="H149" i="14"/>
  <c r="G149" i="14"/>
  <c r="F149" i="14"/>
  <c r="E149" i="14"/>
  <c r="D149" i="14"/>
  <c r="O147" i="14"/>
  <c r="N147" i="14"/>
  <c r="M147" i="14"/>
  <c r="L147" i="14"/>
  <c r="K147" i="14"/>
  <c r="J147" i="14"/>
  <c r="I147" i="14"/>
  <c r="H147" i="14"/>
  <c r="G147" i="14"/>
  <c r="F147" i="14"/>
  <c r="E147" i="14"/>
  <c r="D147" i="14"/>
  <c r="O145" i="14"/>
  <c r="N145" i="14"/>
  <c r="M145" i="14"/>
  <c r="L145" i="14"/>
  <c r="K145" i="14"/>
  <c r="J145" i="14"/>
  <c r="I145" i="14"/>
  <c r="H145" i="14"/>
  <c r="G145" i="14"/>
  <c r="F145" i="14"/>
  <c r="E145" i="14"/>
  <c r="D145" i="14"/>
  <c r="O143" i="14"/>
  <c r="N143" i="14"/>
  <c r="M143" i="14"/>
  <c r="L143" i="14"/>
  <c r="K143" i="14"/>
  <c r="J143" i="14"/>
  <c r="I143" i="14"/>
  <c r="H143" i="14"/>
  <c r="G143" i="14"/>
  <c r="F143" i="14"/>
  <c r="E143" i="14"/>
  <c r="D143" i="14"/>
  <c r="O141" i="14"/>
  <c r="N141" i="14"/>
  <c r="M141" i="14"/>
  <c r="L141" i="14"/>
  <c r="K141" i="14"/>
  <c r="J141" i="14"/>
  <c r="I141" i="14"/>
  <c r="H141" i="14"/>
  <c r="G141" i="14"/>
  <c r="F141" i="14"/>
  <c r="E141" i="14"/>
  <c r="D141" i="14"/>
  <c r="O139" i="14"/>
  <c r="N139" i="14"/>
  <c r="M139" i="14"/>
  <c r="L139" i="14"/>
  <c r="K139" i="14"/>
  <c r="J139" i="14"/>
  <c r="I139" i="14"/>
  <c r="H139" i="14"/>
  <c r="G139" i="14"/>
  <c r="F139" i="14"/>
  <c r="E139" i="14"/>
  <c r="D139" i="14"/>
  <c r="O137" i="14"/>
  <c r="N137" i="14"/>
  <c r="M137" i="14"/>
  <c r="L137" i="14"/>
  <c r="K137" i="14"/>
  <c r="J137" i="14"/>
  <c r="I137" i="14"/>
  <c r="H137" i="14"/>
  <c r="G137" i="14"/>
  <c r="F137" i="14"/>
  <c r="E137" i="14"/>
  <c r="D137" i="14"/>
  <c r="O133" i="14"/>
  <c r="N133" i="14"/>
  <c r="M133" i="14"/>
  <c r="L133" i="14"/>
  <c r="K133" i="14"/>
  <c r="J133" i="14"/>
  <c r="I133" i="14"/>
  <c r="H133" i="14"/>
  <c r="G133" i="14"/>
  <c r="F133" i="14"/>
  <c r="E133" i="14"/>
  <c r="D133" i="14"/>
  <c r="O97" i="14"/>
  <c r="N97" i="14"/>
  <c r="M97" i="14"/>
  <c r="L97" i="14"/>
  <c r="K97" i="14"/>
  <c r="J97" i="14"/>
  <c r="I97" i="14"/>
  <c r="H97" i="14"/>
  <c r="G97" i="14"/>
  <c r="F97" i="14"/>
  <c r="E97" i="14"/>
  <c r="D97" i="14"/>
  <c r="O95" i="14"/>
  <c r="N95" i="14"/>
  <c r="M95" i="14"/>
  <c r="L95" i="14"/>
  <c r="K95" i="14"/>
  <c r="J95" i="14"/>
  <c r="I95" i="14"/>
  <c r="H95" i="14"/>
  <c r="G95" i="14"/>
  <c r="F95" i="14"/>
  <c r="E95" i="14"/>
  <c r="D95" i="14"/>
  <c r="O93" i="14"/>
  <c r="N93" i="14"/>
  <c r="M93" i="14"/>
  <c r="L93" i="14"/>
  <c r="K93" i="14"/>
  <c r="J93" i="14"/>
  <c r="I93" i="14"/>
  <c r="H93" i="14"/>
  <c r="G93" i="14"/>
  <c r="F93" i="14"/>
  <c r="E93" i="14"/>
  <c r="D93" i="14"/>
  <c r="O91" i="14"/>
  <c r="N91" i="14"/>
  <c r="M91" i="14"/>
  <c r="L91" i="14"/>
  <c r="K91" i="14"/>
  <c r="J91" i="14"/>
  <c r="I91" i="14"/>
  <c r="H91" i="14"/>
  <c r="G91" i="14"/>
  <c r="F91" i="14"/>
  <c r="E91" i="14"/>
  <c r="D91" i="14"/>
  <c r="O89" i="14"/>
  <c r="N89" i="14"/>
  <c r="M89" i="14"/>
  <c r="L89" i="14"/>
  <c r="K89" i="14"/>
  <c r="J89" i="14"/>
  <c r="I89" i="14"/>
  <c r="H89" i="14"/>
  <c r="G89" i="14"/>
  <c r="F89" i="14"/>
  <c r="E89" i="14"/>
  <c r="D89" i="14"/>
  <c r="O87" i="14"/>
  <c r="N87" i="14"/>
  <c r="M87" i="14"/>
  <c r="L87" i="14"/>
  <c r="K87" i="14"/>
  <c r="J87" i="14"/>
  <c r="I87" i="14"/>
  <c r="H87" i="14"/>
  <c r="G87" i="14"/>
  <c r="F87" i="14"/>
  <c r="E87" i="14"/>
  <c r="D87" i="14"/>
  <c r="O85" i="14"/>
  <c r="N85" i="14"/>
  <c r="M85" i="14"/>
  <c r="L85" i="14"/>
  <c r="K85" i="14"/>
  <c r="J85" i="14"/>
  <c r="I85" i="14"/>
  <c r="H85" i="14"/>
  <c r="G85" i="14"/>
  <c r="F85" i="14"/>
  <c r="E85" i="14"/>
  <c r="D85" i="14"/>
  <c r="O83" i="14"/>
  <c r="N83" i="14"/>
  <c r="M83" i="14"/>
  <c r="L83" i="14"/>
  <c r="K83" i="14"/>
  <c r="J83" i="14"/>
  <c r="I83" i="14"/>
  <c r="H83" i="14"/>
  <c r="G83" i="14"/>
  <c r="F83" i="14"/>
  <c r="E83" i="14"/>
  <c r="D83" i="14"/>
  <c r="O81" i="14"/>
  <c r="N81" i="14"/>
  <c r="M81" i="14"/>
  <c r="L81" i="14"/>
  <c r="K81" i="14"/>
  <c r="J81" i="14"/>
  <c r="I81" i="14"/>
  <c r="H81" i="14"/>
  <c r="G81" i="14"/>
  <c r="F81" i="14"/>
  <c r="E81" i="14"/>
  <c r="D81" i="14"/>
  <c r="O79" i="14"/>
  <c r="N79" i="14"/>
  <c r="M79" i="14"/>
  <c r="L79" i="14"/>
  <c r="K79" i="14"/>
  <c r="J79" i="14"/>
  <c r="I79" i="14"/>
  <c r="H79" i="14"/>
  <c r="G79" i="14"/>
  <c r="F79" i="14"/>
  <c r="E79" i="14"/>
  <c r="D79" i="14"/>
  <c r="O77" i="14"/>
  <c r="N77" i="14"/>
  <c r="M77" i="14"/>
  <c r="L77" i="14"/>
  <c r="K77" i="14"/>
  <c r="J77" i="14"/>
  <c r="I77" i="14"/>
  <c r="H77" i="14"/>
  <c r="G77" i="14"/>
  <c r="F77" i="14"/>
  <c r="E77" i="14"/>
  <c r="D77" i="14"/>
  <c r="O75" i="14"/>
  <c r="N75" i="14"/>
  <c r="M75" i="14"/>
  <c r="L75" i="14"/>
  <c r="K75" i="14"/>
  <c r="J75" i="14"/>
  <c r="I75" i="14"/>
  <c r="H75" i="14"/>
  <c r="G75" i="14"/>
  <c r="F75" i="14"/>
  <c r="E75" i="14"/>
  <c r="D75" i="14"/>
  <c r="O71" i="14"/>
  <c r="N71" i="14"/>
  <c r="M71" i="14"/>
  <c r="L71" i="14"/>
  <c r="K71" i="14"/>
  <c r="J71" i="14"/>
  <c r="I71" i="14"/>
  <c r="H71" i="14"/>
  <c r="G71" i="14"/>
  <c r="F71" i="14"/>
  <c r="E71" i="14"/>
  <c r="D71" i="14"/>
  <c r="O66" i="14"/>
  <c r="N66" i="14"/>
  <c r="M66" i="14"/>
  <c r="L66" i="14"/>
  <c r="K66" i="14"/>
  <c r="J66" i="14"/>
  <c r="I66" i="14"/>
  <c r="H66" i="14"/>
  <c r="G66" i="14"/>
  <c r="F66" i="14"/>
  <c r="E66" i="14"/>
  <c r="D66" i="14"/>
  <c r="O64" i="14"/>
  <c r="N64" i="14"/>
  <c r="M64" i="14"/>
  <c r="L64" i="14"/>
  <c r="K64" i="14"/>
  <c r="J64" i="14"/>
  <c r="I64" i="14"/>
  <c r="H64" i="14"/>
  <c r="G64" i="14"/>
  <c r="F64" i="14"/>
  <c r="E64" i="14"/>
  <c r="D64" i="14"/>
  <c r="O62" i="14"/>
  <c r="N62" i="14"/>
  <c r="M62" i="14"/>
  <c r="L62" i="14"/>
  <c r="K62" i="14"/>
  <c r="J62" i="14"/>
  <c r="I62" i="14"/>
  <c r="H62" i="14"/>
  <c r="G62" i="14"/>
  <c r="F62" i="14"/>
  <c r="E62" i="14"/>
  <c r="D62" i="14"/>
  <c r="O60" i="14"/>
  <c r="N60" i="14"/>
  <c r="M60" i="14"/>
  <c r="L60" i="14"/>
  <c r="K60" i="14"/>
  <c r="J60" i="14"/>
  <c r="I60" i="14"/>
  <c r="H60" i="14"/>
  <c r="G60" i="14"/>
  <c r="F60" i="14"/>
  <c r="E60" i="14"/>
  <c r="D60" i="14"/>
  <c r="O58" i="14"/>
  <c r="N58" i="14"/>
  <c r="M58" i="14"/>
  <c r="L58" i="14"/>
  <c r="K58" i="14"/>
  <c r="J58" i="14"/>
  <c r="I58" i="14"/>
  <c r="H58" i="14"/>
  <c r="G58" i="14"/>
  <c r="F58" i="14"/>
  <c r="E58" i="14"/>
  <c r="D58" i="14"/>
  <c r="O56" i="14"/>
  <c r="N56" i="14"/>
  <c r="M56" i="14"/>
  <c r="L56" i="14"/>
  <c r="K56" i="14"/>
  <c r="J56" i="14"/>
  <c r="I56" i="14"/>
  <c r="H56" i="14"/>
  <c r="G56" i="14"/>
  <c r="F56" i="14"/>
  <c r="E56" i="14"/>
  <c r="D56" i="14"/>
  <c r="O54" i="14"/>
  <c r="N54" i="14"/>
  <c r="M54" i="14"/>
  <c r="L54" i="14"/>
  <c r="K54" i="14"/>
  <c r="J54" i="14"/>
  <c r="I54" i="14"/>
  <c r="H54" i="14"/>
  <c r="G54" i="14"/>
  <c r="F54" i="14"/>
  <c r="E54" i="14"/>
  <c r="D54" i="14"/>
  <c r="O52" i="14"/>
  <c r="N52" i="14"/>
  <c r="M52" i="14"/>
  <c r="L52" i="14"/>
  <c r="K52" i="14"/>
  <c r="J52" i="14"/>
  <c r="I52" i="14"/>
  <c r="H52" i="14"/>
  <c r="G52" i="14"/>
  <c r="F52" i="14"/>
  <c r="E52" i="14"/>
  <c r="D52" i="14"/>
  <c r="O50" i="14"/>
  <c r="N50" i="14"/>
  <c r="M50" i="14"/>
  <c r="L50" i="14"/>
  <c r="K50" i="14"/>
  <c r="J50" i="14"/>
  <c r="I50" i="14"/>
  <c r="H50" i="14"/>
  <c r="G50" i="14"/>
  <c r="F50" i="14"/>
  <c r="E50" i="14"/>
  <c r="D50" i="14"/>
  <c r="O48" i="14"/>
  <c r="N48" i="14"/>
  <c r="M48" i="14"/>
  <c r="L48" i="14"/>
  <c r="K48" i="14"/>
  <c r="J48" i="14"/>
  <c r="I48" i="14"/>
  <c r="H48" i="14"/>
  <c r="G48" i="14"/>
  <c r="F48" i="14"/>
  <c r="E48" i="14"/>
  <c r="D48" i="14"/>
  <c r="O46" i="14"/>
  <c r="N46" i="14"/>
  <c r="M46" i="14"/>
  <c r="L46" i="14"/>
  <c r="K46" i="14"/>
  <c r="J46" i="14"/>
  <c r="I46" i="14"/>
  <c r="H46" i="14"/>
  <c r="G46" i="14"/>
  <c r="F46" i="14"/>
  <c r="E46" i="14"/>
  <c r="D46" i="14"/>
  <c r="O44" i="14"/>
  <c r="N44" i="14"/>
  <c r="M44" i="14"/>
  <c r="L44" i="14"/>
  <c r="K44" i="14"/>
  <c r="J44" i="14"/>
  <c r="I44" i="14"/>
  <c r="H44" i="14"/>
  <c r="G44" i="14"/>
  <c r="F44" i="14"/>
  <c r="E44" i="14"/>
  <c r="D44" i="14"/>
  <c r="O40" i="14"/>
  <c r="N40" i="14"/>
  <c r="M40" i="14"/>
  <c r="L40" i="14"/>
  <c r="K40" i="14"/>
  <c r="J40" i="14"/>
  <c r="I40" i="14"/>
  <c r="H40" i="14"/>
  <c r="G40" i="14"/>
  <c r="F40" i="14"/>
  <c r="E40" i="14"/>
  <c r="D40" i="14"/>
  <c r="O35" i="14"/>
  <c r="N35" i="14"/>
  <c r="M35" i="14"/>
  <c r="L35" i="14"/>
  <c r="K35" i="14"/>
  <c r="J35" i="14"/>
  <c r="I35" i="14"/>
  <c r="H35" i="14"/>
  <c r="G35" i="14"/>
  <c r="F35" i="14"/>
  <c r="E35" i="14"/>
  <c r="D35" i="14"/>
  <c r="O33" i="14"/>
  <c r="N33" i="14"/>
  <c r="M33" i="14"/>
  <c r="L33" i="14"/>
  <c r="K33" i="14"/>
  <c r="J33" i="14"/>
  <c r="I33" i="14"/>
  <c r="H33" i="14"/>
  <c r="G33" i="14"/>
  <c r="F33" i="14"/>
  <c r="E33" i="14"/>
  <c r="D33" i="14"/>
  <c r="O31" i="14"/>
  <c r="N31" i="14"/>
  <c r="M31" i="14"/>
  <c r="L31" i="14"/>
  <c r="K31" i="14"/>
  <c r="J31" i="14"/>
  <c r="I31" i="14"/>
  <c r="H31" i="14"/>
  <c r="G31" i="14"/>
  <c r="F31" i="14"/>
  <c r="E31" i="14"/>
  <c r="D31" i="14"/>
  <c r="O29" i="14"/>
  <c r="N29" i="14"/>
  <c r="M29" i="14"/>
  <c r="L29" i="14"/>
  <c r="K29" i="14"/>
  <c r="J29" i="14"/>
  <c r="I29" i="14"/>
  <c r="H29" i="14"/>
  <c r="G29" i="14"/>
  <c r="F29" i="14"/>
  <c r="E29" i="14"/>
  <c r="D29" i="14"/>
  <c r="O27" i="14"/>
  <c r="N27" i="14"/>
  <c r="M27" i="14"/>
  <c r="L27" i="14"/>
  <c r="K27" i="14"/>
  <c r="J27" i="14"/>
  <c r="I27" i="14"/>
  <c r="H27" i="14"/>
  <c r="G27" i="14"/>
  <c r="F27" i="14"/>
  <c r="E27" i="14"/>
  <c r="D27" i="14"/>
  <c r="O25" i="14"/>
  <c r="N25" i="14"/>
  <c r="M25" i="14"/>
  <c r="L25" i="14"/>
  <c r="K25" i="14"/>
  <c r="J25" i="14"/>
  <c r="I25" i="14"/>
  <c r="H25" i="14"/>
  <c r="G25" i="14"/>
  <c r="F25" i="14"/>
  <c r="E25" i="14"/>
  <c r="D25" i="14"/>
  <c r="O23" i="14"/>
  <c r="N23" i="14"/>
  <c r="M23" i="14"/>
  <c r="L23" i="14"/>
  <c r="K23" i="14"/>
  <c r="J23" i="14"/>
  <c r="I23" i="14"/>
  <c r="H23" i="14"/>
  <c r="G23" i="14"/>
  <c r="F23" i="14"/>
  <c r="E23" i="14"/>
  <c r="D23" i="14"/>
  <c r="O21" i="14"/>
  <c r="N21" i="14"/>
  <c r="M21" i="14"/>
  <c r="L21" i="14"/>
  <c r="K21" i="14"/>
  <c r="J21" i="14"/>
  <c r="I21" i="14"/>
  <c r="H21" i="14"/>
  <c r="G21" i="14"/>
  <c r="F21" i="14"/>
  <c r="E21" i="14"/>
  <c r="D21" i="14"/>
  <c r="O19" i="14"/>
  <c r="N19" i="14"/>
  <c r="M19" i="14"/>
  <c r="L19" i="14"/>
  <c r="K19" i="14"/>
  <c r="J19" i="14"/>
  <c r="I19" i="14"/>
  <c r="H19" i="14"/>
  <c r="G19" i="14"/>
  <c r="F19" i="14"/>
  <c r="E19" i="14"/>
  <c r="D19" i="14"/>
  <c r="O17" i="14"/>
  <c r="N17" i="14"/>
  <c r="M17" i="14"/>
  <c r="L17" i="14"/>
  <c r="K17" i="14"/>
  <c r="J17" i="14"/>
  <c r="I17" i="14"/>
  <c r="H17" i="14"/>
  <c r="G17" i="14"/>
  <c r="F17" i="14"/>
  <c r="E17" i="14"/>
  <c r="D17" i="14"/>
  <c r="O15" i="14"/>
  <c r="N15" i="14"/>
  <c r="M15" i="14"/>
  <c r="L15" i="14"/>
  <c r="K15" i="14"/>
  <c r="J15" i="14"/>
  <c r="I15" i="14"/>
  <c r="H15" i="14"/>
  <c r="G15" i="14"/>
  <c r="F15" i="14"/>
  <c r="E15" i="14"/>
  <c r="D15" i="14"/>
  <c r="O13" i="14"/>
  <c r="N13" i="14"/>
  <c r="M13" i="14"/>
  <c r="L13" i="14"/>
  <c r="K13" i="14"/>
  <c r="J13" i="14"/>
  <c r="I13" i="14"/>
  <c r="H13" i="14"/>
  <c r="G13" i="14"/>
  <c r="F13" i="14"/>
  <c r="E13" i="14"/>
  <c r="D13" i="14"/>
  <c r="O9" i="14"/>
  <c r="N9" i="14"/>
  <c r="M9" i="14"/>
  <c r="L9" i="14"/>
  <c r="K9" i="14"/>
  <c r="J9" i="14"/>
  <c r="I9" i="14"/>
  <c r="H9" i="14"/>
  <c r="G9" i="14"/>
  <c r="F9" i="14"/>
  <c r="E9" i="14"/>
  <c r="D9" i="14"/>
  <c r="O35" i="2"/>
  <c r="N35" i="2"/>
  <c r="M35" i="2"/>
  <c r="L35" i="2"/>
  <c r="K35" i="2"/>
  <c r="J35" i="2"/>
  <c r="I35" i="2"/>
  <c r="H35" i="2"/>
  <c r="G35" i="2"/>
  <c r="F35" i="2"/>
  <c r="E35" i="2"/>
  <c r="D35" i="2"/>
  <c r="O33" i="2"/>
  <c r="N33" i="2"/>
  <c r="M33" i="2"/>
  <c r="L33" i="2"/>
  <c r="K33" i="2"/>
  <c r="J33" i="2"/>
  <c r="I33" i="2"/>
  <c r="H33" i="2"/>
  <c r="G33" i="2"/>
  <c r="F33" i="2"/>
  <c r="E33" i="2"/>
  <c r="D33" i="2"/>
  <c r="O31" i="2"/>
  <c r="N31" i="2"/>
  <c r="M31" i="2"/>
  <c r="L31" i="2"/>
  <c r="K31" i="2"/>
  <c r="J31" i="2"/>
  <c r="I31" i="2"/>
  <c r="H31" i="2"/>
  <c r="G31" i="2"/>
  <c r="F31" i="2"/>
  <c r="E31" i="2"/>
  <c r="D31" i="2"/>
  <c r="O29" i="2"/>
  <c r="N29" i="2"/>
  <c r="M29" i="2"/>
  <c r="L29" i="2"/>
  <c r="K29" i="2"/>
  <c r="J29" i="2"/>
  <c r="I29" i="2"/>
  <c r="H29" i="2"/>
  <c r="G29" i="2"/>
  <c r="F29" i="2"/>
  <c r="E29" i="2"/>
  <c r="D29" i="2"/>
  <c r="O27" i="2"/>
  <c r="N27" i="2"/>
  <c r="M27" i="2"/>
  <c r="L27" i="2"/>
  <c r="K27" i="2"/>
  <c r="J27" i="2"/>
  <c r="I27" i="2"/>
  <c r="H27" i="2"/>
  <c r="G27" i="2"/>
  <c r="F27" i="2"/>
  <c r="E27" i="2"/>
  <c r="D27" i="2"/>
  <c r="O25" i="2"/>
  <c r="N25" i="2"/>
  <c r="M25" i="2"/>
  <c r="L25" i="2"/>
  <c r="K25" i="2"/>
  <c r="J25" i="2"/>
  <c r="I25" i="2"/>
  <c r="H25" i="2"/>
  <c r="G25" i="2"/>
  <c r="F25" i="2"/>
  <c r="E25" i="2"/>
  <c r="D25" i="2"/>
  <c r="O23" i="2"/>
  <c r="N23" i="2"/>
  <c r="M23" i="2"/>
  <c r="L23" i="2"/>
  <c r="K23" i="2"/>
  <c r="J23" i="2"/>
  <c r="I23" i="2"/>
  <c r="H23" i="2"/>
  <c r="G23" i="2"/>
  <c r="F23" i="2"/>
  <c r="E23" i="2"/>
  <c r="D23" i="2"/>
  <c r="O21" i="2"/>
  <c r="N21" i="2"/>
  <c r="M21" i="2"/>
  <c r="L21" i="2"/>
  <c r="K21" i="2"/>
  <c r="J21" i="2"/>
  <c r="I21" i="2"/>
  <c r="H21" i="2"/>
  <c r="G21" i="2"/>
  <c r="F21" i="2"/>
  <c r="E21" i="2"/>
  <c r="D21" i="2"/>
  <c r="N19" i="2"/>
  <c r="M19" i="2"/>
  <c r="L19" i="2"/>
  <c r="K19" i="2"/>
  <c r="J19" i="2"/>
  <c r="I19" i="2"/>
  <c r="H19" i="2"/>
  <c r="G19" i="2"/>
  <c r="F19" i="2"/>
  <c r="E19" i="2"/>
  <c r="D19" i="2"/>
  <c r="M17" i="2"/>
  <c r="L17" i="2"/>
  <c r="J17" i="2"/>
  <c r="O15" i="2"/>
  <c r="N15" i="2"/>
  <c r="M15" i="2"/>
  <c r="L15" i="2"/>
  <c r="K15" i="2"/>
  <c r="J15" i="2"/>
  <c r="I15" i="2"/>
  <c r="G15" i="2"/>
  <c r="E15" i="2"/>
  <c r="D15" i="2"/>
  <c r="N13" i="2"/>
  <c r="M13" i="2"/>
  <c r="L13" i="2"/>
  <c r="K13" i="2"/>
  <c r="J13" i="2"/>
  <c r="I13" i="2"/>
  <c r="G13" i="2"/>
  <c r="E13" i="2"/>
  <c r="D13" i="2"/>
  <c r="J9" i="2"/>
  <c r="L9" i="2"/>
  <c r="M9" i="2"/>
  <c r="O66" i="2"/>
  <c r="N66" i="2"/>
  <c r="M66" i="2"/>
  <c r="L66" i="2"/>
  <c r="K66" i="2"/>
  <c r="J66" i="2"/>
  <c r="I66" i="2"/>
  <c r="H66" i="2"/>
  <c r="G66" i="2"/>
  <c r="F66" i="2"/>
  <c r="E66" i="2"/>
  <c r="D66" i="2"/>
  <c r="O64" i="2"/>
  <c r="N64" i="2"/>
  <c r="M64" i="2"/>
  <c r="L64" i="2"/>
  <c r="K64" i="2"/>
  <c r="J64" i="2"/>
  <c r="I64" i="2"/>
  <c r="H64" i="2"/>
  <c r="G64" i="2"/>
  <c r="F64" i="2"/>
  <c r="E64" i="2"/>
  <c r="D64" i="2"/>
  <c r="O62" i="2"/>
  <c r="N62" i="2"/>
  <c r="M62" i="2"/>
  <c r="L62" i="2"/>
  <c r="K62" i="2"/>
  <c r="J62" i="2"/>
  <c r="I62" i="2"/>
  <c r="H62" i="2"/>
  <c r="G62" i="2"/>
  <c r="F62" i="2"/>
  <c r="E62" i="2"/>
  <c r="D62" i="2"/>
  <c r="O60" i="2"/>
  <c r="N60" i="2"/>
  <c r="M60" i="2"/>
  <c r="L60" i="2"/>
  <c r="K60" i="2"/>
  <c r="J60" i="2"/>
  <c r="I60" i="2"/>
  <c r="H60" i="2"/>
  <c r="G60" i="2"/>
  <c r="F60" i="2"/>
  <c r="E60" i="2"/>
  <c r="N58" i="2"/>
  <c r="K58" i="2"/>
  <c r="J58" i="2"/>
  <c r="I58" i="2"/>
  <c r="F58" i="2"/>
  <c r="D58" i="2"/>
  <c r="O56" i="2"/>
  <c r="N56" i="2"/>
  <c r="M56" i="2"/>
  <c r="L56" i="2"/>
  <c r="K56" i="2"/>
  <c r="J56" i="2"/>
  <c r="I56" i="2"/>
  <c r="H56" i="2"/>
  <c r="G56" i="2"/>
  <c r="F56" i="2"/>
  <c r="E56" i="2"/>
  <c r="D56" i="2"/>
  <c r="O54" i="2"/>
  <c r="N54" i="2"/>
  <c r="M54" i="2"/>
  <c r="L54" i="2"/>
  <c r="K54" i="2"/>
  <c r="J54" i="2"/>
  <c r="I54" i="2"/>
  <c r="H54" i="2"/>
  <c r="G54" i="2"/>
  <c r="F54" i="2"/>
  <c r="E54" i="2"/>
  <c r="D54" i="2"/>
  <c r="O52" i="2"/>
  <c r="N52" i="2"/>
  <c r="M52" i="2"/>
  <c r="L52" i="2"/>
  <c r="J52" i="2"/>
  <c r="I52" i="2"/>
  <c r="H52" i="2"/>
  <c r="G52" i="2"/>
  <c r="F52" i="2"/>
  <c r="E52" i="2"/>
  <c r="D52" i="2"/>
  <c r="N50" i="2"/>
  <c r="M50" i="2"/>
  <c r="L50" i="2"/>
  <c r="K50" i="2"/>
  <c r="J50" i="2"/>
  <c r="I50" i="2"/>
  <c r="G50" i="2"/>
  <c r="F50" i="2"/>
  <c r="E50" i="2"/>
  <c r="D50" i="2"/>
  <c r="F48" i="2"/>
  <c r="O46" i="2"/>
  <c r="I46" i="2"/>
  <c r="H46" i="2"/>
  <c r="D46" i="2"/>
  <c r="H44" i="2"/>
  <c r="D44" i="2"/>
  <c r="F40" i="2"/>
  <c r="O97" i="2"/>
  <c r="N97" i="2"/>
  <c r="M97" i="2"/>
  <c r="L97" i="2"/>
  <c r="K97" i="2"/>
  <c r="J97" i="2"/>
  <c r="I97" i="2"/>
  <c r="H97" i="2"/>
  <c r="G97" i="2"/>
  <c r="F97" i="2"/>
  <c r="E97" i="2"/>
  <c r="D97" i="2"/>
  <c r="O95" i="2"/>
  <c r="N95" i="2"/>
  <c r="M95" i="2"/>
  <c r="L95" i="2"/>
  <c r="K95" i="2"/>
  <c r="J95" i="2"/>
  <c r="I95" i="2"/>
  <c r="H95" i="2"/>
  <c r="G95" i="2"/>
  <c r="F95" i="2"/>
  <c r="E95" i="2"/>
  <c r="D95" i="2"/>
  <c r="O93" i="2"/>
  <c r="N93" i="2"/>
  <c r="M93" i="2"/>
  <c r="L93" i="2"/>
  <c r="K93" i="2"/>
  <c r="J93" i="2"/>
  <c r="I93" i="2"/>
  <c r="H93" i="2"/>
  <c r="G93" i="2"/>
  <c r="E93" i="2"/>
  <c r="D93" i="2"/>
  <c r="O91" i="2"/>
  <c r="N91" i="2"/>
  <c r="M91" i="2"/>
  <c r="L91" i="2"/>
  <c r="K91" i="2"/>
  <c r="J91" i="2"/>
  <c r="I91" i="2"/>
  <c r="H91" i="2"/>
  <c r="G91" i="2"/>
  <c r="F91" i="2"/>
  <c r="E91" i="2"/>
  <c r="D91" i="2"/>
  <c r="O89" i="2"/>
  <c r="N89" i="2"/>
  <c r="L89" i="2"/>
  <c r="J89" i="2"/>
  <c r="I89" i="2"/>
  <c r="H89" i="2"/>
  <c r="G89" i="2"/>
  <c r="D89" i="2"/>
  <c r="O87" i="2"/>
  <c r="N87" i="2"/>
  <c r="M87" i="2"/>
  <c r="L87" i="2"/>
  <c r="K87" i="2"/>
  <c r="J87" i="2"/>
  <c r="I87" i="2"/>
  <c r="H87" i="2"/>
  <c r="G87" i="2"/>
  <c r="F87" i="2"/>
  <c r="E87" i="2"/>
  <c r="D87" i="2"/>
  <c r="O85" i="2"/>
  <c r="N85" i="2"/>
  <c r="M85" i="2"/>
  <c r="L85" i="2"/>
  <c r="K85" i="2"/>
  <c r="J85" i="2"/>
  <c r="I85" i="2"/>
  <c r="H85" i="2"/>
  <c r="G85" i="2"/>
  <c r="F85" i="2"/>
  <c r="E85" i="2"/>
  <c r="D85" i="2"/>
  <c r="O83" i="2"/>
  <c r="N83" i="2"/>
  <c r="L83" i="2"/>
  <c r="K83" i="2"/>
  <c r="J83" i="2"/>
  <c r="I83" i="2"/>
  <c r="H83" i="2"/>
  <c r="G83" i="2"/>
  <c r="F83" i="2"/>
  <c r="E83" i="2"/>
  <c r="D83" i="2"/>
  <c r="N81" i="2"/>
  <c r="M81" i="2"/>
  <c r="K81" i="2"/>
  <c r="J81" i="2"/>
  <c r="I81" i="2"/>
  <c r="H81" i="2"/>
  <c r="G81" i="2"/>
  <c r="F81" i="2"/>
  <c r="D81" i="2"/>
  <c r="F79" i="2"/>
  <c r="O77" i="2"/>
  <c r="N77" i="2"/>
  <c r="M77" i="2"/>
  <c r="K77" i="2"/>
  <c r="H77" i="2"/>
  <c r="G77" i="2"/>
  <c r="F77" i="2"/>
  <c r="D77" i="2"/>
  <c r="O75" i="2"/>
  <c r="N75" i="2"/>
  <c r="M75" i="2"/>
  <c r="K75" i="2"/>
  <c r="H75" i="2"/>
  <c r="G75" i="2"/>
  <c r="F75" i="2"/>
  <c r="E75" i="2"/>
  <c r="D75" i="2"/>
  <c r="F71" i="2"/>
  <c r="O159" i="2"/>
  <c r="N159" i="2"/>
  <c r="M159" i="2"/>
  <c r="L159" i="2"/>
  <c r="K159" i="2"/>
  <c r="J159" i="2"/>
  <c r="I159" i="2"/>
  <c r="H159" i="2"/>
  <c r="G159" i="2"/>
  <c r="F159" i="2"/>
  <c r="E159" i="2"/>
  <c r="D159" i="2"/>
  <c r="O157" i="2"/>
  <c r="N157" i="2"/>
  <c r="M157" i="2"/>
  <c r="L157" i="2"/>
  <c r="K157" i="2"/>
  <c r="J157" i="2"/>
  <c r="I157" i="2"/>
  <c r="H157" i="2"/>
  <c r="G157" i="2"/>
  <c r="F157" i="2"/>
  <c r="E157" i="2"/>
  <c r="D157" i="2"/>
  <c r="O155" i="2"/>
  <c r="N155" i="2"/>
  <c r="M155" i="2"/>
  <c r="L155" i="2"/>
  <c r="K155" i="2"/>
  <c r="J155" i="2"/>
  <c r="I155" i="2"/>
  <c r="H155" i="2"/>
  <c r="G155" i="2"/>
  <c r="F155" i="2"/>
  <c r="E155" i="2"/>
  <c r="D155" i="2"/>
  <c r="O153" i="2"/>
  <c r="N153" i="2"/>
  <c r="M153" i="2"/>
  <c r="L153" i="2"/>
  <c r="K153" i="2"/>
  <c r="J153" i="2"/>
  <c r="I153" i="2"/>
  <c r="H153" i="2"/>
  <c r="G153" i="2"/>
  <c r="F153" i="2"/>
  <c r="E153" i="2"/>
  <c r="D153" i="2"/>
  <c r="O151" i="2"/>
  <c r="N151" i="2"/>
  <c r="M151" i="2"/>
  <c r="L151" i="2"/>
  <c r="K151" i="2"/>
  <c r="J151" i="2"/>
  <c r="I151" i="2"/>
  <c r="H151" i="2"/>
  <c r="G151" i="2"/>
  <c r="F151" i="2"/>
  <c r="E151" i="2"/>
  <c r="D151" i="2"/>
  <c r="O149" i="2"/>
  <c r="N149" i="2"/>
  <c r="M149" i="2"/>
  <c r="L149" i="2"/>
  <c r="K149" i="2"/>
  <c r="J149" i="2"/>
  <c r="I149" i="2"/>
  <c r="H149" i="2"/>
  <c r="G149" i="2"/>
  <c r="F149" i="2"/>
  <c r="E149" i="2"/>
  <c r="D149" i="2"/>
  <c r="O147" i="2"/>
  <c r="N147" i="2"/>
  <c r="M147" i="2"/>
  <c r="L147" i="2"/>
  <c r="K147" i="2"/>
  <c r="J147" i="2"/>
  <c r="I147" i="2"/>
  <c r="H147" i="2"/>
  <c r="G147" i="2"/>
  <c r="F147" i="2"/>
  <c r="E147" i="2"/>
  <c r="D147" i="2"/>
  <c r="O145" i="2"/>
  <c r="N145" i="2"/>
  <c r="M145" i="2"/>
  <c r="L145" i="2"/>
  <c r="K145" i="2"/>
  <c r="J145" i="2"/>
  <c r="I145" i="2"/>
  <c r="H145" i="2"/>
  <c r="G145" i="2"/>
  <c r="F145" i="2"/>
  <c r="E145" i="2"/>
  <c r="D145" i="2"/>
  <c r="O143" i="2"/>
  <c r="N143" i="2"/>
  <c r="M143" i="2"/>
  <c r="L143" i="2"/>
  <c r="K143" i="2"/>
  <c r="J143" i="2"/>
  <c r="I143" i="2"/>
  <c r="H143" i="2"/>
  <c r="G143" i="2"/>
  <c r="F143" i="2"/>
  <c r="E143" i="2"/>
  <c r="D143" i="2"/>
  <c r="O141" i="2"/>
  <c r="N141" i="2"/>
  <c r="M141" i="2"/>
  <c r="L141" i="2"/>
  <c r="K141" i="2"/>
  <c r="J141" i="2"/>
  <c r="I141" i="2"/>
  <c r="H141" i="2"/>
  <c r="G141" i="2"/>
  <c r="F141" i="2"/>
  <c r="E141" i="2"/>
  <c r="D141" i="2"/>
  <c r="O139" i="2"/>
  <c r="N139" i="2"/>
  <c r="M139" i="2"/>
  <c r="L139" i="2"/>
  <c r="K139" i="2"/>
  <c r="J139" i="2"/>
  <c r="I139" i="2"/>
  <c r="H139" i="2"/>
  <c r="G139" i="2"/>
  <c r="F139" i="2"/>
  <c r="E139" i="2"/>
  <c r="D139" i="2"/>
  <c r="O137" i="2"/>
  <c r="N137" i="2"/>
  <c r="M137" i="2"/>
  <c r="L137" i="2"/>
  <c r="K137" i="2"/>
  <c r="J137" i="2"/>
  <c r="I137" i="2"/>
  <c r="H137" i="2"/>
  <c r="G137" i="2"/>
  <c r="F137" i="2"/>
  <c r="E137" i="2"/>
  <c r="D137" i="2"/>
  <c r="E133" i="2"/>
  <c r="F133" i="2"/>
  <c r="G133" i="2"/>
  <c r="H133" i="2"/>
  <c r="I133" i="2"/>
  <c r="J133" i="2"/>
  <c r="K133" i="2"/>
  <c r="L133" i="2"/>
  <c r="M133" i="2"/>
  <c r="N133" i="2"/>
  <c r="O133" i="2"/>
  <c r="D133" i="2"/>
  <c r="O128" i="2"/>
  <c r="N128" i="2"/>
  <c r="M128" i="2"/>
  <c r="L128" i="2"/>
  <c r="K128" i="2"/>
  <c r="J128" i="2"/>
  <c r="I128" i="2"/>
  <c r="H128" i="2"/>
  <c r="G128" i="2"/>
  <c r="F128" i="2"/>
  <c r="E128" i="2"/>
  <c r="D128" i="2"/>
  <c r="O126" i="2"/>
  <c r="N126" i="2"/>
  <c r="M126" i="2"/>
  <c r="L126" i="2"/>
  <c r="K126" i="2"/>
  <c r="J126" i="2"/>
  <c r="I126" i="2"/>
  <c r="H126" i="2"/>
  <c r="G126" i="2"/>
  <c r="F126" i="2"/>
  <c r="E126" i="2"/>
  <c r="D126" i="2"/>
  <c r="O124" i="2"/>
  <c r="N124" i="2"/>
  <c r="M124" i="2"/>
  <c r="L124" i="2"/>
  <c r="K124" i="2"/>
  <c r="J124" i="2"/>
  <c r="I124" i="2"/>
  <c r="H124" i="2"/>
  <c r="G124" i="2"/>
  <c r="F124" i="2"/>
  <c r="E124" i="2"/>
  <c r="D124" i="2"/>
  <c r="O122" i="2"/>
  <c r="N122" i="2"/>
  <c r="M122" i="2"/>
  <c r="L122" i="2"/>
  <c r="K122" i="2"/>
  <c r="J122" i="2"/>
  <c r="I122" i="2"/>
  <c r="H122" i="2"/>
  <c r="G122" i="2"/>
  <c r="F122" i="2"/>
  <c r="E122" i="2"/>
  <c r="D122" i="2"/>
  <c r="O120" i="2"/>
  <c r="N120" i="2"/>
  <c r="M120" i="2"/>
  <c r="L120" i="2"/>
  <c r="K120" i="2"/>
  <c r="J120" i="2"/>
  <c r="I120" i="2"/>
  <c r="H120" i="2"/>
  <c r="G120" i="2"/>
  <c r="F120" i="2"/>
  <c r="E120" i="2"/>
  <c r="D120" i="2"/>
  <c r="O118" i="2"/>
  <c r="N118" i="2"/>
  <c r="M118" i="2"/>
  <c r="L118" i="2"/>
  <c r="K118" i="2"/>
  <c r="J118" i="2"/>
  <c r="I118" i="2"/>
  <c r="H118" i="2"/>
  <c r="G118" i="2"/>
  <c r="F118" i="2"/>
  <c r="E118" i="2"/>
  <c r="D118" i="2"/>
  <c r="O116" i="2"/>
  <c r="N116" i="2"/>
  <c r="M116" i="2"/>
  <c r="L116" i="2"/>
  <c r="K116" i="2"/>
  <c r="J116" i="2"/>
  <c r="I116" i="2"/>
  <c r="H116" i="2"/>
  <c r="G116" i="2"/>
  <c r="F116" i="2"/>
  <c r="E116" i="2"/>
  <c r="D116" i="2"/>
  <c r="O114" i="2"/>
  <c r="N114" i="2"/>
  <c r="M114" i="2"/>
  <c r="L114" i="2"/>
  <c r="K114" i="2"/>
  <c r="J114" i="2"/>
  <c r="I114" i="2"/>
  <c r="H114" i="2"/>
  <c r="G114" i="2"/>
  <c r="F114" i="2"/>
  <c r="E114" i="2"/>
  <c r="D114" i="2"/>
  <c r="O112" i="2"/>
  <c r="N112" i="2"/>
  <c r="M112" i="2"/>
  <c r="L112" i="2"/>
  <c r="K112" i="2"/>
  <c r="J112" i="2"/>
  <c r="I112" i="2"/>
  <c r="H112" i="2"/>
  <c r="G112" i="2"/>
  <c r="F112" i="2"/>
  <c r="E112" i="2"/>
  <c r="D112" i="2"/>
  <c r="O110" i="2"/>
  <c r="N110" i="2"/>
  <c r="M110" i="2"/>
  <c r="L110" i="2"/>
  <c r="K110" i="2"/>
  <c r="J110" i="2"/>
  <c r="I110" i="2"/>
  <c r="H110" i="2"/>
  <c r="G110" i="2"/>
  <c r="F110" i="2"/>
  <c r="E110" i="2"/>
  <c r="D110" i="2"/>
  <c r="O108" i="2"/>
  <c r="N108" i="2"/>
  <c r="M108" i="2"/>
  <c r="L108" i="2"/>
  <c r="K108" i="2"/>
  <c r="J108" i="2"/>
  <c r="I108" i="2"/>
  <c r="H108" i="2"/>
  <c r="G108" i="2"/>
  <c r="F108" i="2"/>
  <c r="E108" i="2"/>
  <c r="D108" i="2"/>
  <c r="O106" i="2"/>
  <c r="N106" i="2"/>
  <c r="M106" i="2"/>
  <c r="L106" i="2"/>
  <c r="K106" i="2"/>
  <c r="J106" i="2"/>
  <c r="I106" i="2"/>
  <c r="H106" i="2"/>
  <c r="G106" i="2"/>
  <c r="F106" i="2"/>
  <c r="E106" i="2"/>
  <c r="D106" i="2"/>
  <c r="E102" i="2"/>
  <c r="F102" i="2"/>
  <c r="G102" i="2"/>
  <c r="H102" i="2"/>
  <c r="I102" i="2"/>
  <c r="J102" i="2"/>
  <c r="K102" i="2"/>
  <c r="L102" i="2"/>
  <c r="M102" i="2"/>
  <c r="N102" i="2"/>
  <c r="O102" i="2"/>
  <c r="D102" i="2"/>
  <c r="O192" i="2" l="1"/>
  <c r="N192" i="2"/>
  <c r="M192" i="2"/>
  <c r="L192" i="2"/>
  <c r="K192" i="2"/>
  <c r="J192" i="2"/>
  <c r="I192" i="2"/>
  <c r="H192" i="2"/>
  <c r="G192" i="2"/>
  <c r="F192" i="2"/>
  <c r="E192" i="2"/>
  <c r="D192" i="2"/>
  <c r="O161" i="2"/>
  <c r="N161" i="2"/>
  <c r="M161" i="2"/>
  <c r="L161" i="2"/>
  <c r="K161" i="2"/>
  <c r="J161" i="2"/>
  <c r="I161" i="2"/>
  <c r="H161" i="2"/>
  <c r="G161" i="2"/>
  <c r="F161" i="2"/>
  <c r="E161" i="2"/>
  <c r="D161" i="2"/>
  <c r="O275" i="2"/>
  <c r="N275" i="2"/>
  <c r="M275" i="2"/>
  <c r="L275" i="2"/>
  <c r="K275" i="2"/>
  <c r="J275" i="2"/>
  <c r="I275" i="2"/>
  <c r="H275" i="2"/>
  <c r="G275" i="2"/>
  <c r="F275" i="2"/>
  <c r="E275" i="2"/>
  <c r="D275" i="2"/>
  <c r="Q273" i="2"/>
  <c r="P273" i="2" s="1"/>
  <c r="Q272" i="2"/>
  <c r="P272" i="2" s="1"/>
  <c r="Q271" i="2"/>
  <c r="P271" i="2" s="1"/>
  <c r="Q270" i="2"/>
  <c r="P270" i="2" s="1"/>
  <c r="O269" i="2"/>
  <c r="N269" i="2"/>
  <c r="N274" i="2" s="1"/>
  <c r="M269" i="2"/>
  <c r="L269" i="2"/>
  <c r="K269" i="2"/>
  <c r="J269" i="2"/>
  <c r="I269" i="2"/>
  <c r="H269" i="2"/>
  <c r="G269" i="2"/>
  <c r="F269" i="2"/>
  <c r="E269" i="2"/>
  <c r="D269" i="2"/>
  <c r="Q266" i="2"/>
  <c r="P266" i="2" s="1"/>
  <c r="Q265" i="2"/>
  <c r="P265" i="2" s="1"/>
  <c r="Q264" i="2"/>
  <c r="P264" i="2" s="1"/>
  <c r="O261" i="2"/>
  <c r="N261" i="2"/>
  <c r="M261" i="2"/>
  <c r="L261" i="2"/>
  <c r="K261" i="2"/>
  <c r="J261" i="2"/>
  <c r="I261" i="2"/>
  <c r="H261" i="2"/>
  <c r="G261" i="2"/>
  <c r="F261" i="2"/>
  <c r="E261" i="2"/>
  <c r="D261" i="2"/>
  <c r="O260" i="2"/>
  <c r="N260" i="2"/>
  <c r="M260" i="2"/>
  <c r="L260" i="2"/>
  <c r="K260" i="2"/>
  <c r="J260" i="2"/>
  <c r="I260" i="2"/>
  <c r="H260" i="2"/>
  <c r="G260" i="2"/>
  <c r="F260" i="2"/>
  <c r="E260" i="2"/>
  <c r="D260" i="2"/>
  <c r="O259" i="2"/>
  <c r="N259" i="2"/>
  <c r="M259" i="2"/>
  <c r="L259" i="2"/>
  <c r="K259" i="2"/>
  <c r="J259" i="2"/>
  <c r="J262" i="2" s="1"/>
  <c r="I259" i="2"/>
  <c r="H259" i="2"/>
  <c r="G259" i="2"/>
  <c r="F259" i="2"/>
  <c r="E259" i="2"/>
  <c r="D259" i="2"/>
  <c r="O258" i="2"/>
  <c r="N258" i="2"/>
  <c r="M258" i="2"/>
  <c r="L258" i="2"/>
  <c r="K258" i="2"/>
  <c r="J258" i="2"/>
  <c r="I258" i="2"/>
  <c r="H258" i="2"/>
  <c r="G258" i="2"/>
  <c r="F258" i="2"/>
  <c r="E258" i="2"/>
  <c r="D258" i="2"/>
  <c r="Q257" i="2"/>
  <c r="P257" i="2" s="1"/>
  <c r="Q256" i="2"/>
  <c r="P256" i="2" s="1"/>
  <c r="Q255" i="2"/>
  <c r="P255" i="2" s="1"/>
  <c r="O254" i="2"/>
  <c r="N254" i="2"/>
  <c r="M254" i="2"/>
  <c r="L254" i="2"/>
  <c r="K254" i="2"/>
  <c r="J254" i="2"/>
  <c r="I254" i="2"/>
  <c r="H254" i="2"/>
  <c r="G254" i="2"/>
  <c r="F254" i="2"/>
  <c r="E254" i="2"/>
  <c r="D254" i="2"/>
  <c r="Q253" i="2"/>
  <c r="P253" i="2" s="1"/>
  <c r="Q252" i="2"/>
  <c r="P252" i="2" s="1"/>
  <c r="Q251" i="2"/>
  <c r="P251" i="2" s="1"/>
  <c r="O250" i="2"/>
  <c r="N250" i="2"/>
  <c r="M250" i="2"/>
  <c r="L250" i="2"/>
  <c r="L274" i="2" s="1"/>
  <c r="K250" i="2"/>
  <c r="K274" i="2" s="1"/>
  <c r="J250" i="2"/>
  <c r="I250" i="2"/>
  <c r="H250" i="2"/>
  <c r="G250" i="2"/>
  <c r="G274" i="2" s="1"/>
  <c r="F250" i="2"/>
  <c r="F274" i="2" s="1"/>
  <c r="E250" i="2"/>
  <c r="E274" i="2" s="1"/>
  <c r="D250" i="2"/>
  <c r="D274" i="2" s="1"/>
  <c r="Q249" i="2"/>
  <c r="P249" i="2" s="1"/>
  <c r="Q248" i="2"/>
  <c r="P248" i="2" s="1"/>
  <c r="Q247" i="2"/>
  <c r="P247" i="2" s="1"/>
  <c r="O275" i="23"/>
  <c r="N275" i="23"/>
  <c r="M275" i="23"/>
  <c r="L275" i="23"/>
  <c r="K275" i="23"/>
  <c r="J275" i="23"/>
  <c r="I275" i="23"/>
  <c r="H275" i="23"/>
  <c r="G275" i="23"/>
  <c r="F275" i="23"/>
  <c r="E275" i="23"/>
  <c r="D275" i="23"/>
  <c r="Q275" i="23" s="1"/>
  <c r="P275" i="23" s="1"/>
  <c r="O274" i="23"/>
  <c r="N274" i="23"/>
  <c r="M274" i="23"/>
  <c r="L274" i="23"/>
  <c r="K274" i="23"/>
  <c r="J274" i="23"/>
  <c r="I274" i="23"/>
  <c r="H274" i="23"/>
  <c r="P274" i="23" s="1"/>
  <c r="G274" i="23"/>
  <c r="F274" i="23"/>
  <c r="E274" i="23"/>
  <c r="D274" i="23"/>
  <c r="Q273" i="23"/>
  <c r="P273" i="23" s="1"/>
  <c r="Q272" i="23"/>
  <c r="P272" i="23"/>
  <c r="Q271" i="23"/>
  <c r="P271" i="23"/>
  <c r="Q270" i="23"/>
  <c r="P270" i="23"/>
  <c r="O269" i="23"/>
  <c r="N269" i="23"/>
  <c r="M269" i="23"/>
  <c r="L269" i="23"/>
  <c r="K269" i="23"/>
  <c r="J269" i="23"/>
  <c r="I269" i="23"/>
  <c r="H269" i="23"/>
  <c r="G269" i="23"/>
  <c r="F269" i="23"/>
  <c r="Q269" i="23" s="1"/>
  <c r="P269" i="23" s="1"/>
  <c r="E269" i="23"/>
  <c r="D269" i="23"/>
  <c r="Q266" i="23"/>
  <c r="P266" i="23"/>
  <c r="Q265" i="23"/>
  <c r="P265" i="23"/>
  <c r="Q264" i="23"/>
  <c r="P264" i="23"/>
  <c r="O261" i="23"/>
  <c r="N261" i="23"/>
  <c r="M261" i="23"/>
  <c r="L261" i="23"/>
  <c r="K261" i="23"/>
  <c r="K262" i="23" s="1"/>
  <c r="J261" i="23"/>
  <c r="J262" i="23" s="1"/>
  <c r="I261" i="23"/>
  <c r="H261" i="23"/>
  <c r="G261" i="23"/>
  <c r="F261" i="23"/>
  <c r="E261" i="23"/>
  <c r="D261" i="23"/>
  <c r="O260" i="23"/>
  <c r="N260" i="23"/>
  <c r="M260" i="23"/>
  <c r="L260" i="23"/>
  <c r="L262" i="23" s="1"/>
  <c r="K260" i="23"/>
  <c r="J260" i="23"/>
  <c r="I260" i="23"/>
  <c r="H260" i="23"/>
  <c r="H262" i="23" s="1"/>
  <c r="G260" i="23"/>
  <c r="F260" i="23"/>
  <c r="E260" i="23"/>
  <c r="D260" i="23"/>
  <c r="Q260" i="23" s="1"/>
  <c r="P260" i="23" s="1"/>
  <c r="O259" i="23"/>
  <c r="O262" i="23" s="1"/>
  <c r="N259" i="23"/>
  <c r="N262" i="23" s="1"/>
  <c r="M259" i="23"/>
  <c r="M262" i="23" s="1"/>
  <c r="L259" i="23"/>
  <c r="K259" i="23"/>
  <c r="J259" i="23"/>
  <c r="I259" i="23"/>
  <c r="I262" i="23" s="1"/>
  <c r="H259" i="23"/>
  <c r="G259" i="23"/>
  <c r="G262" i="23" s="1"/>
  <c r="F259" i="23"/>
  <c r="F262" i="23" s="1"/>
  <c r="E259" i="23"/>
  <c r="E262" i="23" s="1"/>
  <c r="D259" i="23"/>
  <c r="D262" i="23" s="1"/>
  <c r="O258" i="23"/>
  <c r="N258" i="23"/>
  <c r="M258" i="23"/>
  <c r="L258" i="23"/>
  <c r="K258" i="23"/>
  <c r="J258" i="23"/>
  <c r="I258" i="23"/>
  <c r="H258" i="23"/>
  <c r="G258" i="23"/>
  <c r="F258" i="23"/>
  <c r="E258" i="23"/>
  <c r="D258" i="23"/>
  <c r="Q258" i="23" s="1"/>
  <c r="P258" i="23" s="1"/>
  <c r="Q257" i="23"/>
  <c r="P257" i="23" s="1"/>
  <c r="Q256" i="23"/>
  <c r="P256" i="23" s="1"/>
  <c r="Q255" i="23"/>
  <c r="P255" i="23" s="1"/>
  <c r="O254" i="23"/>
  <c r="N254" i="23"/>
  <c r="M254" i="23"/>
  <c r="L254" i="23"/>
  <c r="K254" i="23"/>
  <c r="J254" i="23"/>
  <c r="I254" i="23"/>
  <c r="H254" i="23"/>
  <c r="G254" i="23"/>
  <c r="F254" i="23"/>
  <c r="E254" i="23"/>
  <c r="D254" i="23"/>
  <c r="Q254" i="23" s="1"/>
  <c r="P254" i="23" s="1"/>
  <c r="Q253" i="23"/>
  <c r="P253" i="23"/>
  <c r="Q252" i="23"/>
  <c r="P252" i="23"/>
  <c r="Q251" i="23"/>
  <c r="P251" i="23" s="1"/>
  <c r="O250" i="23"/>
  <c r="N250" i="23"/>
  <c r="M250" i="23"/>
  <c r="L250" i="23"/>
  <c r="K250" i="23"/>
  <c r="J250" i="23"/>
  <c r="I250" i="23"/>
  <c r="H250" i="23"/>
  <c r="G250" i="23"/>
  <c r="F250" i="23"/>
  <c r="E250" i="23"/>
  <c r="D250" i="23"/>
  <c r="Q250" i="23" s="1"/>
  <c r="Q249" i="23"/>
  <c r="P249" i="23" s="1"/>
  <c r="Q248" i="23"/>
  <c r="P248" i="23"/>
  <c r="Q247" i="23"/>
  <c r="P247" i="23"/>
  <c r="Q242" i="23"/>
  <c r="P242" i="23" s="1"/>
  <c r="Q240" i="23"/>
  <c r="P240" i="23" s="1"/>
  <c r="Q238" i="23"/>
  <c r="P238" i="23" s="1"/>
  <c r="Q236" i="23"/>
  <c r="P236" i="23" s="1"/>
  <c r="Q234" i="23"/>
  <c r="P234" i="23" s="1"/>
  <c r="Q232" i="23"/>
  <c r="P232" i="23" s="1"/>
  <c r="O231" i="23"/>
  <c r="N231" i="23"/>
  <c r="M231" i="23"/>
  <c r="L231" i="23"/>
  <c r="K231" i="23"/>
  <c r="J231" i="23"/>
  <c r="I231" i="23"/>
  <c r="H231" i="23"/>
  <c r="G231" i="23"/>
  <c r="F231" i="23"/>
  <c r="E231" i="23"/>
  <c r="D231" i="23"/>
  <c r="Q231" i="23" s="1"/>
  <c r="P231" i="23" s="1"/>
  <c r="Q230" i="23"/>
  <c r="P230" i="23" s="1"/>
  <c r="Q229" i="23"/>
  <c r="P229" i="23"/>
  <c r="O275" i="22"/>
  <c r="N275" i="22"/>
  <c r="M275" i="22"/>
  <c r="L275" i="22"/>
  <c r="K275" i="22"/>
  <c r="J275" i="22"/>
  <c r="I275" i="22"/>
  <c r="H275" i="22"/>
  <c r="G275" i="22"/>
  <c r="F275" i="22"/>
  <c r="E275" i="22"/>
  <c r="D275" i="22"/>
  <c r="Q275" i="22" s="1"/>
  <c r="P275" i="22" s="1"/>
  <c r="O274" i="22"/>
  <c r="N274" i="22"/>
  <c r="M274" i="22"/>
  <c r="L274" i="22"/>
  <c r="K274" i="22"/>
  <c r="J274" i="22"/>
  <c r="I274" i="22"/>
  <c r="H274" i="22"/>
  <c r="P274" i="22" s="1"/>
  <c r="G274" i="22"/>
  <c r="F274" i="22"/>
  <c r="E274" i="22"/>
  <c r="D274" i="22"/>
  <c r="Q273" i="22"/>
  <c r="P273" i="22" s="1"/>
  <c r="Q272" i="22"/>
  <c r="P272" i="22"/>
  <c r="Q271" i="22"/>
  <c r="P271" i="22"/>
  <c r="Q270" i="22"/>
  <c r="P270" i="22"/>
  <c r="O269" i="22"/>
  <c r="N269" i="22"/>
  <c r="M269" i="22"/>
  <c r="L269" i="22"/>
  <c r="K269" i="22"/>
  <c r="J269" i="22"/>
  <c r="I269" i="22"/>
  <c r="H269" i="22"/>
  <c r="G269" i="22"/>
  <c r="F269" i="22"/>
  <c r="Q269" i="22" s="1"/>
  <c r="P269" i="22" s="1"/>
  <c r="E269" i="22"/>
  <c r="D269" i="22"/>
  <c r="Q266" i="22"/>
  <c r="P266" i="22"/>
  <c r="Q265" i="22"/>
  <c r="P265" i="22"/>
  <c r="Q264" i="22"/>
  <c r="P264" i="22"/>
  <c r="O261" i="22"/>
  <c r="N261" i="22"/>
  <c r="M261" i="22"/>
  <c r="L261" i="22"/>
  <c r="K261" i="22"/>
  <c r="K262" i="22" s="1"/>
  <c r="J261" i="22"/>
  <c r="J262" i="22" s="1"/>
  <c r="I261" i="22"/>
  <c r="H261" i="22"/>
  <c r="G261" i="22"/>
  <c r="F261" i="22"/>
  <c r="E261" i="22"/>
  <c r="D261" i="22"/>
  <c r="O260" i="22"/>
  <c r="N260" i="22"/>
  <c r="M260" i="22"/>
  <c r="L260" i="22"/>
  <c r="L262" i="22" s="1"/>
  <c r="K260" i="22"/>
  <c r="J260" i="22"/>
  <c r="I260" i="22"/>
  <c r="H260" i="22"/>
  <c r="H262" i="22" s="1"/>
  <c r="G260" i="22"/>
  <c r="G262" i="22" s="1"/>
  <c r="F260" i="22"/>
  <c r="E260" i="22"/>
  <c r="D260" i="22"/>
  <c r="Q260" i="22" s="1"/>
  <c r="P260" i="22" s="1"/>
  <c r="O259" i="22"/>
  <c r="O262" i="22" s="1"/>
  <c r="N259" i="22"/>
  <c r="N262" i="22" s="1"/>
  <c r="M259" i="22"/>
  <c r="M262" i="22" s="1"/>
  <c r="L259" i="22"/>
  <c r="K259" i="22"/>
  <c r="J259" i="22"/>
  <c r="I259" i="22"/>
  <c r="I262" i="22" s="1"/>
  <c r="H259" i="22"/>
  <c r="G259" i="22"/>
  <c r="F259" i="22"/>
  <c r="F262" i="22" s="1"/>
  <c r="E259" i="22"/>
  <c r="E262" i="22" s="1"/>
  <c r="D259" i="22"/>
  <c r="D262" i="22" s="1"/>
  <c r="O258" i="22"/>
  <c r="N258" i="22"/>
  <c r="M258" i="22"/>
  <c r="L258" i="22"/>
  <c r="K258" i="22"/>
  <c r="J258" i="22"/>
  <c r="I258" i="22"/>
  <c r="H258" i="22"/>
  <c r="G258" i="22"/>
  <c r="F258" i="22"/>
  <c r="E258" i="22"/>
  <c r="D258" i="22"/>
  <c r="Q258" i="22" s="1"/>
  <c r="P258" i="22" s="1"/>
  <c r="Q257" i="22"/>
  <c r="P257" i="22" s="1"/>
  <c r="Q256" i="22"/>
  <c r="P256" i="22"/>
  <c r="Q255" i="22"/>
  <c r="P255" i="22" s="1"/>
  <c r="O254" i="22"/>
  <c r="N254" i="22"/>
  <c r="M254" i="22"/>
  <c r="L254" i="22"/>
  <c r="K254" i="22"/>
  <c r="J254" i="22"/>
  <c r="I254" i="22"/>
  <c r="H254" i="22"/>
  <c r="G254" i="22"/>
  <c r="F254" i="22"/>
  <c r="E254" i="22"/>
  <c r="D254" i="22"/>
  <c r="Q254" i="22" s="1"/>
  <c r="P254" i="22" s="1"/>
  <c r="Q253" i="22"/>
  <c r="P253" i="22" s="1"/>
  <c r="Q252" i="22"/>
  <c r="P252" i="22"/>
  <c r="Q251" i="22"/>
  <c r="P251" i="22" s="1"/>
  <c r="O250" i="22"/>
  <c r="N250" i="22"/>
  <c r="M250" i="22"/>
  <c r="L250" i="22"/>
  <c r="K250" i="22"/>
  <c r="J250" i="22"/>
  <c r="I250" i="22"/>
  <c r="H250" i="22"/>
  <c r="G250" i="22"/>
  <c r="F250" i="22"/>
  <c r="E250" i="22"/>
  <c r="D250" i="22"/>
  <c r="Q250" i="22" s="1"/>
  <c r="Q249" i="22"/>
  <c r="P249" i="22" s="1"/>
  <c r="Q248" i="22"/>
  <c r="P248" i="22"/>
  <c r="Q247" i="22"/>
  <c r="P247" i="22" s="1"/>
  <c r="Q242" i="22"/>
  <c r="P242" i="22" s="1"/>
  <c r="Q240" i="22"/>
  <c r="P240" i="22" s="1"/>
  <c r="Q238" i="22"/>
  <c r="P238" i="22" s="1"/>
  <c r="Q236" i="22"/>
  <c r="P236" i="22" s="1"/>
  <c r="Q234" i="22"/>
  <c r="P234" i="22" s="1"/>
  <c r="Q232" i="22"/>
  <c r="P232" i="22" s="1"/>
  <c r="O231" i="22"/>
  <c r="N231" i="22"/>
  <c r="M231" i="22"/>
  <c r="L231" i="22"/>
  <c r="K231" i="22"/>
  <c r="J231" i="22"/>
  <c r="I231" i="22"/>
  <c r="H231" i="22"/>
  <c r="G231" i="22"/>
  <c r="F231" i="22"/>
  <c r="E231" i="22"/>
  <c r="D231" i="22"/>
  <c r="Q231" i="22" s="1"/>
  <c r="P231" i="22" s="1"/>
  <c r="Q230" i="22"/>
  <c r="P230" i="22" s="1"/>
  <c r="Q229" i="22"/>
  <c r="P229" i="22"/>
  <c r="D259" i="14"/>
  <c r="E259" i="14"/>
  <c r="F259" i="14"/>
  <c r="G259" i="14"/>
  <c r="H259" i="14"/>
  <c r="I259" i="14"/>
  <c r="J259" i="14"/>
  <c r="J262" i="14" s="1"/>
  <c r="K259" i="14"/>
  <c r="K262" i="14" s="1"/>
  <c r="L259" i="14"/>
  <c r="M259" i="14"/>
  <c r="N259" i="14"/>
  <c r="N262" i="14" s="1"/>
  <c r="O259" i="14"/>
  <c r="D260" i="14"/>
  <c r="E260" i="14"/>
  <c r="F260" i="14"/>
  <c r="G260" i="14"/>
  <c r="H260" i="14"/>
  <c r="I260" i="14"/>
  <c r="J260" i="14"/>
  <c r="K260" i="14"/>
  <c r="L260" i="14"/>
  <c r="L262" i="14" s="1"/>
  <c r="M260" i="14"/>
  <c r="M262" i="14" s="1"/>
  <c r="N260" i="14"/>
  <c r="O260" i="14"/>
  <c r="D261" i="14"/>
  <c r="E261" i="14"/>
  <c r="F261" i="14"/>
  <c r="G261" i="14"/>
  <c r="H261" i="14"/>
  <c r="I261" i="14"/>
  <c r="J261" i="14"/>
  <c r="K261" i="14"/>
  <c r="L261" i="14"/>
  <c r="M261" i="14"/>
  <c r="N261" i="14"/>
  <c r="O261" i="14"/>
  <c r="G262" i="14"/>
  <c r="H262" i="14"/>
  <c r="I262" i="14"/>
  <c r="O262" i="14"/>
  <c r="Q264" i="14"/>
  <c r="P264" i="14" s="1"/>
  <c r="Q265" i="14"/>
  <c r="P265" i="14" s="1"/>
  <c r="Q266" i="14"/>
  <c r="P266" i="14" s="1"/>
  <c r="D269" i="14"/>
  <c r="E269" i="14"/>
  <c r="F269" i="14"/>
  <c r="G269" i="14"/>
  <c r="H269" i="14"/>
  <c r="I269" i="14"/>
  <c r="J269" i="14"/>
  <c r="K269" i="14"/>
  <c r="L269" i="14"/>
  <c r="M269" i="14"/>
  <c r="N269" i="14"/>
  <c r="O269" i="14"/>
  <c r="Q270" i="14"/>
  <c r="P270" i="14" s="1"/>
  <c r="Q271" i="14"/>
  <c r="P271" i="14" s="1"/>
  <c r="Q272" i="14"/>
  <c r="P272" i="14" s="1"/>
  <c r="Q273" i="14"/>
  <c r="P273" i="14" s="1"/>
  <c r="D274" i="14"/>
  <c r="E274" i="14"/>
  <c r="F274" i="14"/>
  <c r="G274" i="14"/>
  <c r="H274" i="14"/>
  <c r="I274" i="14"/>
  <c r="J274" i="14"/>
  <c r="K274" i="14"/>
  <c r="L274" i="14"/>
  <c r="M274" i="14"/>
  <c r="N274" i="14"/>
  <c r="O274" i="14"/>
  <c r="D275" i="14"/>
  <c r="Q275" i="14" s="1"/>
  <c r="P275" i="14" s="1"/>
  <c r="E275" i="14"/>
  <c r="F275" i="14"/>
  <c r="G275" i="14"/>
  <c r="H275" i="14"/>
  <c r="I275" i="14"/>
  <c r="J275" i="14"/>
  <c r="K275" i="14"/>
  <c r="L275" i="14"/>
  <c r="M275" i="14"/>
  <c r="N275" i="14"/>
  <c r="O275" i="14"/>
  <c r="Q242" i="2"/>
  <c r="P242" i="2" s="1"/>
  <c r="Q240" i="2"/>
  <c r="P240" i="2" s="1"/>
  <c r="Q238" i="2"/>
  <c r="P238" i="2" s="1"/>
  <c r="Q236" i="2"/>
  <c r="P236" i="2" s="1"/>
  <c r="Q234" i="2"/>
  <c r="P234" i="2" s="1"/>
  <c r="Q232" i="2"/>
  <c r="P232" i="2" s="1"/>
  <c r="O231" i="2"/>
  <c r="N231" i="2"/>
  <c r="M231" i="2"/>
  <c r="L231" i="2"/>
  <c r="K231" i="2"/>
  <c r="J231" i="2"/>
  <c r="I231" i="2"/>
  <c r="H231" i="2"/>
  <c r="G231" i="2"/>
  <c r="F231" i="2"/>
  <c r="E231" i="2"/>
  <c r="D231" i="2"/>
  <c r="Q230" i="2"/>
  <c r="P230" i="2" s="1"/>
  <c r="Q229" i="2"/>
  <c r="P229" i="2" s="1"/>
  <c r="D227" i="2"/>
  <c r="D226" i="2"/>
  <c r="E226" i="2" s="1"/>
  <c r="O191" i="2"/>
  <c r="N191" i="2"/>
  <c r="M191" i="2"/>
  <c r="L191" i="2"/>
  <c r="K191" i="2"/>
  <c r="J191" i="2"/>
  <c r="I191" i="2"/>
  <c r="H191" i="2"/>
  <c r="G191" i="2"/>
  <c r="F191" i="2"/>
  <c r="E191" i="2"/>
  <c r="D191" i="2"/>
  <c r="O191" i="14"/>
  <c r="O192" i="14" s="1"/>
  <c r="N191" i="14"/>
  <c r="N192" i="14" s="1"/>
  <c r="M191" i="14"/>
  <c r="M192" i="14" s="1"/>
  <c r="L191" i="14"/>
  <c r="L192" i="14" s="1"/>
  <c r="K191" i="14"/>
  <c r="K192" i="14" s="1"/>
  <c r="J191" i="14"/>
  <c r="J192" i="14" s="1"/>
  <c r="I191" i="14"/>
  <c r="I192" i="14" s="1"/>
  <c r="H191" i="14"/>
  <c r="H192" i="14" s="1"/>
  <c r="G191" i="14"/>
  <c r="G192" i="14" s="1"/>
  <c r="F191" i="14"/>
  <c r="F192" i="14" s="1"/>
  <c r="E191" i="14"/>
  <c r="E192" i="14" s="1"/>
  <c r="D191" i="14"/>
  <c r="D192" i="14" s="1"/>
  <c r="O160" i="14"/>
  <c r="O161" i="14" s="1"/>
  <c r="N160" i="14"/>
  <c r="N161" i="14" s="1"/>
  <c r="M160" i="14"/>
  <c r="M161" i="14" s="1"/>
  <c r="L160" i="14"/>
  <c r="L161" i="14" s="1"/>
  <c r="K160" i="14"/>
  <c r="K161" i="14" s="1"/>
  <c r="J160" i="14"/>
  <c r="J161" i="14" s="1"/>
  <c r="I160" i="14"/>
  <c r="I161" i="14" s="1"/>
  <c r="H160" i="14"/>
  <c r="H161" i="14" s="1"/>
  <c r="G160" i="14"/>
  <c r="G161" i="14" s="1"/>
  <c r="F160" i="14"/>
  <c r="F161" i="14" s="1"/>
  <c r="E160" i="14"/>
  <c r="E161" i="14" s="1"/>
  <c r="D160" i="14"/>
  <c r="D161" i="14" s="1"/>
  <c r="O191" i="22"/>
  <c r="O192" i="22" s="1"/>
  <c r="N191" i="22"/>
  <c r="N192" i="22" s="1"/>
  <c r="M191" i="22"/>
  <c r="M192" i="22" s="1"/>
  <c r="L191" i="22"/>
  <c r="L192" i="22" s="1"/>
  <c r="K191" i="22"/>
  <c r="K192" i="22" s="1"/>
  <c r="J191" i="22"/>
  <c r="J192" i="22" s="1"/>
  <c r="I191" i="22"/>
  <c r="I192" i="22" s="1"/>
  <c r="H191" i="22"/>
  <c r="H192" i="22" s="1"/>
  <c r="G191" i="22"/>
  <c r="G192" i="22" s="1"/>
  <c r="F191" i="22"/>
  <c r="F192" i="22" s="1"/>
  <c r="E191" i="22"/>
  <c r="E192" i="22" s="1"/>
  <c r="D191" i="22"/>
  <c r="D192" i="22" s="1"/>
  <c r="O160" i="2"/>
  <c r="N160" i="2"/>
  <c r="M160" i="2"/>
  <c r="L160" i="2"/>
  <c r="K160" i="2"/>
  <c r="J160" i="2"/>
  <c r="I160" i="2"/>
  <c r="H160" i="2"/>
  <c r="G160" i="2"/>
  <c r="F160" i="2"/>
  <c r="E160" i="2"/>
  <c r="D160" i="2"/>
  <c r="O129" i="14"/>
  <c r="O130" i="14" s="1"/>
  <c r="N129" i="14"/>
  <c r="N130" i="14" s="1"/>
  <c r="M129" i="14"/>
  <c r="M130" i="14" s="1"/>
  <c r="L129" i="14"/>
  <c r="L130" i="14" s="1"/>
  <c r="K129" i="14"/>
  <c r="K130" i="14" s="1"/>
  <c r="J129" i="14"/>
  <c r="J130" i="14" s="1"/>
  <c r="I129" i="14"/>
  <c r="I130" i="14" s="1"/>
  <c r="H129" i="14"/>
  <c r="H130" i="14" s="1"/>
  <c r="G129" i="14"/>
  <c r="G130" i="14" s="1"/>
  <c r="F129" i="14"/>
  <c r="F130" i="14" s="1"/>
  <c r="E129" i="14"/>
  <c r="E130" i="14" s="1"/>
  <c r="D129" i="14"/>
  <c r="D130" i="14" s="1"/>
  <c r="O160" i="22"/>
  <c r="O161" i="22" s="1"/>
  <c r="N160" i="22"/>
  <c r="N161" i="22" s="1"/>
  <c r="M160" i="22"/>
  <c r="M161" i="22" s="1"/>
  <c r="L160" i="22"/>
  <c r="L161" i="22" s="1"/>
  <c r="K160" i="22"/>
  <c r="K161" i="22" s="1"/>
  <c r="J160" i="22"/>
  <c r="J161" i="22" s="1"/>
  <c r="I160" i="22"/>
  <c r="I161" i="22" s="1"/>
  <c r="H160" i="22"/>
  <c r="H161" i="22" s="1"/>
  <c r="G160" i="22"/>
  <c r="G161" i="22" s="1"/>
  <c r="F160" i="22"/>
  <c r="F161" i="22" s="1"/>
  <c r="E160" i="22"/>
  <c r="E161" i="22" s="1"/>
  <c r="D160" i="22"/>
  <c r="D161" i="22" s="1"/>
  <c r="O129" i="22"/>
  <c r="O130" i="22" s="1"/>
  <c r="N129" i="22"/>
  <c r="N130" i="22" s="1"/>
  <c r="M129" i="22"/>
  <c r="M130" i="22" s="1"/>
  <c r="L129" i="22"/>
  <c r="L130" i="22" s="1"/>
  <c r="K129" i="22"/>
  <c r="K130" i="22" s="1"/>
  <c r="J129" i="22"/>
  <c r="J130" i="22" s="1"/>
  <c r="I129" i="22"/>
  <c r="I130" i="22" s="1"/>
  <c r="H129" i="22"/>
  <c r="H130" i="22" s="1"/>
  <c r="G129" i="22"/>
  <c r="G130" i="22" s="1"/>
  <c r="F129" i="22"/>
  <c r="F130" i="22" s="1"/>
  <c r="E129" i="22"/>
  <c r="E130" i="22" s="1"/>
  <c r="D129" i="22"/>
  <c r="D130" i="22" s="1"/>
  <c r="O129" i="2"/>
  <c r="N129" i="2"/>
  <c r="M129" i="2"/>
  <c r="L129" i="2"/>
  <c r="K129" i="2"/>
  <c r="J129" i="2"/>
  <c r="I129" i="2"/>
  <c r="H129" i="2"/>
  <c r="H130" i="2" s="1"/>
  <c r="G129" i="2"/>
  <c r="F129" i="2"/>
  <c r="F130" i="2" s="1"/>
  <c r="E129" i="2"/>
  <c r="D129" i="2"/>
  <c r="D130" i="2" s="1"/>
  <c r="O98" i="2"/>
  <c r="N98" i="2"/>
  <c r="M98" i="2"/>
  <c r="L98" i="2"/>
  <c r="K98" i="2"/>
  <c r="J98" i="2"/>
  <c r="I98" i="2"/>
  <c r="H98" i="2"/>
  <c r="G98" i="2"/>
  <c r="F98" i="2"/>
  <c r="E98" i="2"/>
  <c r="D98" i="2"/>
  <c r="O98" i="14"/>
  <c r="O99" i="14" s="1"/>
  <c r="N98" i="14"/>
  <c r="N99" i="14" s="1"/>
  <c r="M98" i="14"/>
  <c r="M99" i="14" s="1"/>
  <c r="L98" i="14"/>
  <c r="L99" i="14" s="1"/>
  <c r="K98" i="14"/>
  <c r="K99" i="14" s="1"/>
  <c r="J98" i="14"/>
  <c r="J99" i="14" s="1"/>
  <c r="I98" i="14"/>
  <c r="I99" i="14" s="1"/>
  <c r="H98" i="14"/>
  <c r="H99" i="14" s="1"/>
  <c r="G98" i="14"/>
  <c r="G99" i="14" s="1"/>
  <c r="F98" i="14"/>
  <c r="F99" i="14" s="1"/>
  <c r="E98" i="14"/>
  <c r="E99" i="14" s="1"/>
  <c r="D98" i="14"/>
  <c r="D99" i="14" s="1"/>
  <c r="O98" i="22"/>
  <c r="O99" i="22" s="1"/>
  <c r="N98" i="22"/>
  <c r="N99" i="22" s="1"/>
  <c r="M98" i="22"/>
  <c r="M99" i="22" s="1"/>
  <c r="L98" i="22"/>
  <c r="L99" i="22" s="1"/>
  <c r="K98" i="22"/>
  <c r="K99" i="22" s="1"/>
  <c r="J98" i="22"/>
  <c r="J99" i="22" s="1"/>
  <c r="I98" i="22"/>
  <c r="I99" i="22" s="1"/>
  <c r="H98" i="22"/>
  <c r="H99" i="22" s="1"/>
  <c r="G98" i="22"/>
  <c r="G99" i="22" s="1"/>
  <c r="F98" i="22"/>
  <c r="F99" i="22" s="1"/>
  <c r="E98" i="22"/>
  <c r="E99" i="22" s="1"/>
  <c r="D98" i="22"/>
  <c r="D99" i="22" s="1"/>
  <c r="B96" i="22"/>
  <c r="B94" i="22"/>
  <c r="B92" i="22"/>
  <c r="B90" i="22"/>
  <c r="O191" i="23"/>
  <c r="O192" i="23" s="1"/>
  <c r="N191" i="23"/>
  <c r="N192" i="23" s="1"/>
  <c r="M191" i="23"/>
  <c r="M192" i="23" s="1"/>
  <c r="L191" i="23"/>
  <c r="L192" i="23" s="1"/>
  <c r="K191" i="23"/>
  <c r="K192" i="23" s="1"/>
  <c r="J191" i="23"/>
  <c r="J192" i="23" s="1"/>
  <c r="I191" i="23"/>
  <c r="I192" i="23" s="1"/>
  <c r="H191" i="23"/>
  <c r="H192" i="23" s="1"/>
  <c r="G191" i="23"/>
  <c r="G192" i="23" s="1"/>
  <c r="F191" i="23"/>
  <c r="F192" i="23" s="1"/>
  <c r="E191" i="23"/>
  <c r="E192" i="23" s="1"/>
  <c r="D191" i="23"/>
  <c r="D192" i="23" s="1"/>
  <c r="O160" i="23"/>
  <c r="O161" i="23" s="1"/>
  <c r="N160" i="23"/>
  <c r="N161" i="23" s="1"/>
  <c r="M160" i="23"/>
  <c r="M161" i="23" s="1"/>
  <c r="L160" i="23"/>
  <c r="L161" i="23" s="1"/>
  <c r="K160" i="23"/>
  <c r="K161" i="23" s="1"/>
  <c r="J160" i="23"/>
  <c r="J161" i="23" s="1"/>
  <c r="I160" i="23"/>
  <c r="I161" i="23" s="1"/>
  <c r="H160" i="23"/>
  <c r="H161" i="23" s="1"/>
  <c r="G160" i="23"/>
  <c r="G161" i="23" s="1"/>
  <c r="F160" i="23"/>
  <c r="F161" i="23" s="1"/>
  <c r="E160" i="23"/>
  <c r="E161" i="23" s="1"/>
  <c r="D160" i="23"/>
  <c r="D161" i="23" s="1"/>
  <c r="O129" i="23"/>
  <c r="O130" i="23" s="1"/>
  <c r="N129" i="23"/>
  <c r="N130" i="23" s="1"/>
  <c r="M129" i="23"/>
  <c r="M130" i="23" s="1"/>
  <c r="L129" i="23"/>
  <c r="L130" i="23" s="1"/>
  <c r="K129" i="23"/>
  <c r="K130" i="23" s="1"/>
  <c r="J129" i="23"/>
  <c r="J130" i="23" s="1"/>
  <c r="I129" i="23"/>
  <c r="I130" i="23" s="1"/>
  <c r="H129" i="23"/>
  <c r="H130" i="23" s="1"/>
  <c r="G129" i="23"/>
  <c r="G130" i="23" s="1"/>
  <c r="F129" i="23"/>
  <c r="F130" i="23" s="1"/>
  <c r="E129" i="23"/>
  <c r="E130" i="23" s="1"/>
  <c r="D129" i="23"/>
  <c r="D130" i="23" s="1"/>
  <c r="B127" i="23"/>
  <c r="B125" i="23"/>
  <c r="B123" i="23"/>
  <c r="B121" i="23"/>
  <c r="O98" i="23"/>
  <c r="O99" i="23" s="1"/>
  <c r="N98" i="23"/>
  <c r="N99" i="23" s="1"/>
  <c r="M98" i="23"/>
  <c r="M99" i="23" s="1"/>
  <c r="L98" i="23"/>
  <c r="L99" i="23" s="1"/>
  <c r="K98" i="23"/>
  <c r="K99" i="23" s="1"/>
  <c r="J98" i="23"/>
  <c r="J99" i="23" s="1"/>
  <c r="I98" i="23"/>
  <c r="I99" i="23" s="1"/>
  <c r="H98" i="23"/>
  <c r="H99" i="23" s="1"/>
  <c r="G98" i="23"/>
  <c r="G99" i="23" s="1"/>
  <c r="F98" i="23"/>
  <c r="F99" i="23" s="1"/>
  <c r="E98" i="23"/>
  <c r="E99" i="23" s="1"/>
  <c r="D98" i="23"/>
  <c r="D99" i="23" s="1"/>
  <c r="B96" i="23"/>
  <c r="B94" i="23"/>
  <c r="B92" i="23"/>
  <c r="B90" i="23"/>
  <c r="O67" i="2"/>
  <c r="N67" i="2"/>
  <c r="M67" i="2"/>
  <c r="L67" i="2"/>
  <c r="K67" i="2"/>
  <c r="J67" i="2"/>
  <c r="I67" i="2"/>
  <c r="H67" i="2"/>
  <c r="G67" i="2"/>
  <c r="F67" i="2"/>
  <c r="E67" i="2"/>
  <c r="D67" i="2"/>
  <c r="B65" i="2"/>
  <c r="B63" i="2"/>
  <c r="B61" i="2"/>
  <c r="B59" i="2"/>
  <c r="O67" i="14"/>
  <c r="O68" i="14" s="1"/>
  <c r="N67" i="14"/>
  <c r="N68" i="14" s="1"/>
  <c r="M67" i="14"/>
  <c r="M68" i="14" s="1"/>
  <c r="L67" i="14"/>
  <c r="L68" i="14" s="1"/>
  <c r="K67" i="14"/>
  <c r="K68" i="14" s="1"/>
  <c r="J67" i="14"/>
  <c r="J68" i="14" s="1"/>
  <c r="I67" i="14"/>
  <c r="I68" i="14" s="1"/>
  <c r="H67" i="14"/>
  <c r="H68" i="14" s="1"/>
  <c r="G67" i="14"/>
  <c r="G68" i="14" s="1"/>
  <c r="F67" i="14"/>
  <c r="F68" i="14" s="1"/>
  <c r="E67" i="14"/>
  <c r="E68" i="14" s="1"/>
  <c r="D67" i="14"/>
  <c r="D68" i="14" s="1"/>
  <c r="B65" i="14"/>
  <c r="B63" i="14"/>
  <c r="B61" i="14"/>
  <c r="B59" i="14"/>
  <c r="O67" i="22"/>
  <c r="O68" i="22" s="1"/>
  <c r="N67" i="22"/>
  <c r="N68" i="22" s="1"/>
  <c r="M67" i="22"/>
  <c r="M68" i="22" s="1"/>
  <c r="L67" i="22"/>
  <c r="L68" i="22" s="1"/>
  <c r="K67" i="22"/>
  <c r="K68" i="22" s="1"/>
  <c r="J67" i="22"/>
  <c r="J68" i="22" s="1"/>
  <c r="I67" i="22"/>
  <c r="H67" i="22"/>
  <c r="H68" i="22" s="1"/>
  <c r="G67" i="22"/>
  <c r="G68" i="22" s="1"/>
  <c r="F67" i="22"/>
  <c r="F68" i="22" s="1"/>
  <c r="E67" i="22"/>
  <c r="E68" i="22" s="1"/>
  <c r="D67" i="22"/>
  <c r="D68" i="22" s="1"/>
  <c r="B65" i="22"/>
  <c r="B63" i="22"/>
  <c r="B61" i="22"/>
  <c r="B59" i="22"/>
  <c r="O36" i="22"/>
  <c r="O37" i="22" s="1"/>
  <c r="N36" i="22"/>
  <c r="N37" i="22" s="1"/>
  <c r="M36" i="22"/>
  <c r="M37" i="22" s="1"/>
  <c r="L36" i="22"/>
  <c r="L37" i="22" s="1"/>
  <c r="K36" i="22"/>
  <c r="K37" i="22" s="1"/>
  <c r="J36" i="22"/>
  <c r="J37" i="22" s="1"/>
  <c r="I36" i="22"/>
  <c r="I37" i="22" s="1"/>
  <c r="H36" i="22"/>
  <c r="H37" i="22" s="1"/>
  <c r="G36" i="22"/>
  <c r="G37" i="22" s="1"/>
  <c r="F36" i="22"/>
  <c r="F37" i="22" s="1"/>
  <c r="E36" i="22"/>
  <c r="E37" i="22" s="1"/>
  <c r="D36" i="22"/>
  <c r="D37" i="22" s="1"/>
  <c r="O36" i="14"/>
  <c r="O37" i="14" s="1"/>
  <c r="N36" i="14"/>
  <c r="N37" i="14" s="1"/>
  <c r="M36" i="14"/>
  <c r="M37" i="14" s="1"/>
  <c r="L36" i="14"/>
  <c r="L37" i="14" s="1"/>
  <c r="K36" i="14"/>
  <c r="K37" i="14" s="1"/>
  <c r="J36" i="14"/>
  <c r="J37" i="14" s="1"/>
  <c r="I36" i="14"/>
  <c r="I37" i="14" s="1"/>
  <c r="H36" i="14"/>
  <c r="H37" i="14" s="1"/>
  <c r="G36" i="14"/>
  <c r="G37" i="14" s="1"/>
  <c r="F36" i="14"/>
  <c r="F37" i="14" s="1"/>
  <c r="E36" i="14"/>
  <c r="E37" i="14" s="1"/>
  <c r="D36" i="14"/>
  <c r="D37" i="14" s="1"/>
  <c r="O36" i="2"/>
  <c r="N36" i="2"/>
  <c r="M36" i="2"/>
  <c r="M37" i="2" s="1"/>
  <c r="L36" i="2"/>
  <c r="K36" i="2"/>
  <c r="J36" i="2"/>
  <c r="J37" i="2" s="1"/>
  <c r="I36" i="2"/>
  <c r="H36" i="2"/>
  <c r="G36" i="2"/>
  <c r="F36" i="2"/>
  <c r="E36" i="2"/>
  <c r="D36" i="2"/>
  <c r="O2" i="23"/>
  <c r="N2" i="23"/>
  <c r="M2" i="23"/>
  <c r="L2" i="23"/>
  <c r="K2" i="23"/>
  <c r="J2" i="23"/>
  <c r="I2" i="23"/>
  <c r="H2" i="23"/>
  <c r="G2" i="23"/>
  <c r="F2" i="23"/>
  <c r="E2" i="23"/>
  <c r="D2" i="23"/>
  <c r="AF6" i="30" s="1"/>
  <c r="O219" i="23"/>
  <c r="N219" i="23"/>
  <c r="M219" i="23"/>
  <c r="L219" i="23"/>
  <c r="K219" i="23"/>
  <c r="J219" i="23"/>
  <c r="I219" i="23"/>
  <c r="H219" i="23"/>
  <c r="G219" i="23"/>
  <c r="F219" i="23"/>
  <c r="E219" i="23"/>
  <c r="B219" i="23"/>
  <c r="O217" i="23"/>
  <c r="N217" i="23"/>
  <c r="M217" i="23"/>
  <c r="L217" i="23"/>
  <c r="K217" i="23"/>
  <c r="J217" i="23"/>
  <c r="I217" i="23"/>
  <c r="H217" i="23"/>
  <c r="G217" i="23"/>
  <c r="F217" i="23"/>
  <c r="E217" i="23"/>
  <c r="B217" i="23"/>
  <c r="O215" i="23"/>
  <c r="N215" i="23"/>
  <c r="M215" i="23"/>
  <c r="L215" i="23"/>
  <c r="K215" i="23"/>
  <c r="J215" i="23"/>
  <c r="I215" i="23"/>
  <c r="H215" i="23"/>
  <c r="G215" i="23"/>
  <c r="F215" i="23"/>
  <c r="E215" i="23"/>
  <c r="B215" i="23"/>
  <c r="O213" i="23"/>
  <c r="N213" i="23"/>
  <c r="M213" i="23"/>
  <c r="L213" i="23"/>
  <c r="K213" i="23"/>
  <c r="J213" i="23"/>
  <c r="I213" i="23"/>
  <c r="H213" i="23"/>
  <c r="G213" i="23"/>
  <c r="F213" i="23"/>
  <c r="E213" i="23"/>
  <c r="B213" i="23"/>
  <c r="O211" i="23"/>
  <c r="N211" i="23"/>
  <c r="M211" i="23"/>
  <c r="L211" i="23"/>
  <c r="K211" i="23"/>
  <c r="J211" i="23"/>
  <c r="I211" i="23"/>
  <c r="H211" i="23"/>
  <c r="G211" i="23"/>
  <c r="F211" i="23"/>
  <c r="E211" i="23"/>
  <c r="O209" i="23"/>
  <c r="N209" i="23"/>
  <c r="M209" i="23"/>
  <c r="L209" i="23"/>
  <c r="K209" i="23"/>
  <c r="J209" i="23"/>
  <c r="I209" i="23"/>
  <c r="H209" i="23"/>
  <c r="G209" i="23"/>
  <c r="F209" i="23"/>
  <c r="E209" i="23"/>
  <c r="O207" i="23"/>
  <c r="N207" i="23"/>
  <c r="M207" i="23"/>
  <c r="L207" i="23"/>
  <c r="K207" i="23"/>
  <c r="J207" i="23"/>
  <c r="I207" i="23"/>
  <c r="H207" i="23"/>
  <c r="G207" i="23"/>
  <c r="F207" i="23"/>
  <c r="E207" i="23"/>
  <c r="O205" i="23"/>
  <c r="N205" i="23"/>
  <c r="M205" i="23"/>
  <c r="L205" i="23"/>
  <c r="K205" i="23"/>
  <c r="J205" i="23"/>
  <c r="I205" i="23"/>
  <c r="H205" i="23"/>
  <c r="G205" i="23"/>
  <c r="F205" i="23"/>
  <c r="E205" i="23"/>
  <c r="O203" i="23"/>
  <c r="N203" i="23"/>
  <c r="M203" i="23"/>
  <c r="L203" i="23"/>
  <c r="K203" i="23"/>
  <c r="J203" i="23"/>
  <c r="I203" i="23"/>
  <c r="H203" i="23"/>
  <c r="G203" i="23"/>
  <c r="F203" i="23"/>
  <c r="E203" i="23"/>
  <c r="O201" i="23"/>
  <c r="N201" i="23"/>
  <c r="M201" i="23"/>
  <c r="L201" i="23"/>
  <c r="K201" i="23"/>
  <c r="J201" i="23"/>
  <c r="I201" i="23"/>
  <c r="H201" i="23"/>
  <c r="G201" i="23"/>
  <c r="F201" i="23"/>
  <c r="E201" i="23"/>
  <c r="O199" i="23"/>
  <c r="N199" i="23"/>
  <c r="M199" i="23"/>
  <c r="L199" i="23"/>
  <c r="K199" i="23"/>
  <c r="J199" i="23"/>
  <c r="I199" i="23"/>
  <c r="H199" i="23"/>
  <c r="G199" i="23"/>
  <c r="F199" i="23"/>
  <c r="E199" i="23"/>
  <c r="O197" i="23"/>
  <c r="N197" i="23"/>
  <c r="M197" i="23"/>
  <c r="L197" i="23"/>
  <c r="K197" i="23"/>
  <c r="J197" i="23"/>
  <c r="I197" i="23"/>
  <c r="H197" i="23"/>
  <c r="G197" i="23"/>
  <c r="F197" i="23"/>
  <c r="E197" i="23"/>
  <c r="O195" i="23"/>
  <c r="N195" i="23"/>
  <c r="M195" i="23"/>
  <c r="L195" i="23"/>
  <c r="K195" i="23"/>
  <c r="J195" i="23"/>
  <c r="I195" i="23"/>
  <c r="H195" i="23"/>
  <c r="G195" i="23"/>
  <c r="F195" i="23"/>
  <c r="E195" i="23"/>
  <c r="D195" i="23"/>
  <c r="O193" i="23"/>
  <c r="N193" i="23"/>
  <c r="M193" i="23"/>
  <c r="L193" i="23"/>
  <c r="K193" i="23"/>
  <c r="J193" i="23"/>
  <c r="I193" i="23"/>
  <c r="H193" i="23"/>
  <c r="G193" i="23"/>
  <c r="F193" i="23"/>
  <c r="E193" i="23"/>
  <c r="D193" i="23"/>
  <c r="Q189" i="23"/>
  <c r="P189" i="23" s="1"/>
  <c r="B189" i="23"/>
  <c r="Q187" i="23"/>
  <c r="P187" i="23" s="1"/>
  <c r="B187" i="23"/>
  <c r="Q185" i="23"/>
  <c r="P185" i="23" s="1"/>
  <c r="B185" i="23"/>
  <c r="Q183" i="23"/>
  <c r="P183" i="23" s="1"/>
  <c r="B183" i="23"/>
  <c r="Q181" i="23"/>
  <c r="P181" i="23" s="1"/>
  <c r="Q179" i="23"/>
  <c r="P179" i="23" s="1"/>
  <c r="Q177" i="23"/>
  <c r="P177" i="23" s="1"/>
  <c r="Q175" i="23"/>
  <c r="P175" i="23" s="1"/>
  <c r="Q173" i="23"/>
  <c r="P173" i="23" s="1"/>
  <c r="Q171" i="23"/>
  <c r="P171" i="23" s="1"/>
  <c r="Q169" i="23"/>
  <c r="P169" i="23" s="1"/>
  <c r="Q167" i="23"/>
  <c r="P167" i="23" s="1"/>
  <c r="Q165" i="23"/>
  <c r="P165" i="23" s="1"/>
  <c r="Q163" i="23"/>
  <c r="P163" i="23" s="1"/>
  <c r="Q158" i="23"/>
  <c r="P158" i="23" s="1"/>
  <c r="B158" i="23"/>
  <c r="Q156" i="23"/>
  <c r="P156" i="23" s="1"/>
  <c r="B156" i="23"/>
  <c r="Q154" i="23"/>
  <c r="P154" i="23" s="1"/>
  <c r="B154" i="23"/>
  <c r="Q152" i="23"/>
  <c r="P152" i="23" s="1"/>
  <c r="B152" i="23"/>
  <c r="Q150" i="23"/>
  <c r="P150" i="23" s="1"/>
  <c r="Q148" i="23"/>
  <c r="P148" i="23" s="1"/>
  <c r="Q146" i="23"/>
  <c r="P146" i="23" s="1"/>
  <c r="Q144" i="23"/>
  <c r="P144" i="23" s="1"/>
  <c r="Q142" i="23"/>
  <c r="P142" i="23" s="1"/>
  <c r="Q140" i="23"/>
  <c r="P140" i="23" s="1"/>
  <c r="Q138" i="23"/>
  <c r="P138" i="23" s="1"/>
  <c r="Q136" i="23"/>
  <c r="P136" i="23" s="1"/>
  <c r="Q134" i="23"/>
  <c r="P134" i="23" s="1"/>
  <c r="Q132" i="23"/>
  <c r="P132" i="23" s="1"/>
  <c r="Q127" i="23"/>
  <c r="P127" i="23" s="1"/>
  <c r="Q125" i="23"/>
  <c r="P125" i="23" s="1"/>
  <c r="Q123" i="23"/>
  <c r="P123" i="23" s="1"/>
  <c r="Q121" i="23"/>
  <c r="P121" i="23" s="1"/>
  <c r="Q119" i="23"/>
  <c r="P119" i="23" s="1"/>
  <c r="Q117" i="23"/>
  <c r="P117" i="23" s="1"/>
  <c r="Q115" i="23"/>
  <c r="P115" i="23" s="1"/>
  <c r="Q113" i="23"/>
  <c r="P113" i="23" s="1"/>
  <c r="Q111" i="23"/>
  <c r="P111" i="23" s="1"/>
  <c r="Q109" i="23"/>
  <c r="P109" i="23" s="1"/>
  <c r="Q107" i="23"/>
  <c r="P107" i="23" s="1"/>
  <c r="Q105" i="23"/>
  <c r="P105" i="23" s="1"/>
  <c r="Q103" i="23"/>
  <c r="P103" i="23" s="1"/>
  <c r="Q101" i="23"/>
  <c r="P101" i="23" s="1"/>
  <c r="Q96" i="23"/>
  <c r="P96" i="23" s="1"/>
  <c r="Q94" i="23"/>
  <c r="P94" i="23" s="1"/>
  <c r="Q92" i="23"/>
  <c r="P92" i="23" s="1"/>
  <c r="Q90" i="23"/>
  <c r="P90" i="23" s="1"/>
  <c r="Q88" i="23"/>
  <c r="P88" i="23" s="1"/>
  <c r="Q86" i="23"/>
  <c r="P86" i="23" s="1"/>
  <c r="Q84" i="23"/>
  <c r="P84" i="23" s="1"/>
  <c r="Q82" i="23"/>
  <c r="P82" i="23" s="1"/>
  <c r="Q80" i="23"/>
  <c r="P80" i="23" s="1"/>
  <c r="Q78" i="23"/>
  <c r="P78" i="23" s="1"/>
  <c r="Q76" i="23"/>
  <c r="P76" i="23" s="1"/>
  <c r="Q74" i="23"/>
  <c r="P74" i="23" s="1"/>
  <c r="Q72" i="23"/>
  <c r="P72" i="23" s="1"/>
  <c r="Q70" i="23"/>
  <c r="P70" i="23" s="1"/>
  <c r="O67" i="23"/>
  <c r="O68" i="23" s="1"/>
  <c r="N67" i="23"/>
  <c r="N68" i="23" s="1"/>
  <c r="M67" i="23"/>
  <c r="M68" i="23" s="1"/>
  <c r="L67" i="23"/>
  <c r="L68" i="23" s="1"/>
  <c r="K67" i="23"/>
  <c r="K68" i="23" s="1"/>
  <c r="J67" i="23"/>
  <c r="J68" i="23" s="1"/>
  <c r="I67" i="23"/>
  <c r="I68" i="23" s="1"/>
  <c r="H67" i="23"/>
  <c r="H68" i="23" s="1"/>
  <c r="G67" i="23"/>
  <c r="G68" i="23" s="1"/>
  <c r="F67" i="23"/>
  <c r="F68" i="23" s="1"/>
  <c r="E67" i="23"/>
  <c r="E68" i="23" s="1"/>
  <c r="D67" i="23"/>
  <c r="D68" i="23" s="1"/>
  <c r="Q65" i="23"/>
  <c r="P65" i="23" s="1"/>
  <c r="B65" i="23"/>
  <c r="Q63" i="23"/>
  <c r="P63" i="23" s="1"/>
  <c r="B63" i="23"/>
  <c r="Q61" i="23"/>
  <c r="P61" i="23" s="1"/>
  <c r="B61" i="23"/>
  <c r="Q59" i="23"/>
  <c r="P59" i="23" s="1"/>
  <c r="B59" i="23"/>
  <c r="Q57" i="23"/>
  <c r="P57" i="23" s="1"/>
  <c r="Q55" i="23"/>
  <c r="P55" i="23" s="1"/>
  <c r="Q53" i="23"/>
  <c r="P53" i="23" s="1"/>
  <c r="Q51" i="23"/>
  <c r="P51" i="23" s="1"/>
  <c r="Q49" i="23"/>
  <c r="P49" i="23" s="1"/>
  <c r="Q47" i="23"/>
  <c r="P47" i="23" s="1"/>
  <c r="Q45" i="23"/>
  <c r="P45" i="23" s="1"/>
  <c r="Q43" i="23"/>
  <c r="P43" i="23" s="1"/>
  <c r="Q41" i="23"/>
  <c r="P41" i="23" s="1"/>
  <c r="Q39" i="23"/>
  <c r="P39" i="23" s="1"/>
  <c r="O36" i="23"/>
  <c r="O37" i="23" s="1"/>
  <c r="N36" i="23"/>
  <c r="N37" i="23" s="1"/>
  <c r="M36" i="23"/>
  <c r="M37" i="23" s="1"/>
  <c r="L36" i="23"/>
  <c r="L37" i="23" s="1"/>
  <c r="K36" i="23"/>
  <c r="K37" i="23" s="1"/>
  <c r="J36" i="23"/>
  <c r="J37" i="23" s="1"/>
  <c r="I36" i="23"/>
  <c r="I37" i="23" s="1"/>
  <c r="H36" i="23"/>
  <c r="H37" i="23" s="1"/>
  <c r="G36" i="23"/>
  <c r="G37" i="23" s="1"/>
  <c r="F36" i="23"/>
  <c r="F37" i="23" s="1"/>
  <c r="E36" i="23"/>
  <c r="E37" i="23" s="1"/>
  <c r="Q10" i="23"/>
  <c r="P10" i="23" s="1"/>
  <c r="Q8" i="23"/>
  <c r="P8" i="23" s="1"/>
  <c r="O2" i="22"/>
  <c r="N2" i="22"/>
  <c r="M2" i="22"/>
  <c r="L2" i="22"/>
  <c r="K2" i="22"/>
  <c r="J2" i="22"/>
  <c r="I2" i="22"/>
  <c r="H2" i="22"/>
  <c r="G2" i="22"/>
  <c r="F2" i="22"/>
  <c r="E2" i="22"/>
  <c r="D2" i="22"/>
  <c r="O219" i="22"/>
  <c r="N219" i="22"/>
  <c r="M219" i="22"/>
  <c r="L219" i="22"/>
  <c r="K219" i="22"/>
  <c r="J219" i="22"/>
  <c r="I219" i="22"/>
  <c r="H219" i="22"/>
  <c r="G219" i="22"/>
  <c r="F219" i="22"/>
  <c r="E219" i="22"/>
  <c r="D219" i="22"/>
  <c r="B219" i="22"/>
  <c r="O217" i="22"/>
  <c r="N217" i="22"/>
  <c r="M217" i="22"/>
  <c r="L217" i="22"/>
  <c r="K217" i="22"/>
  <c r="J217" i="22"/>
  <c r="I217" i="22"/>
  <c r="H217" i="22"/>
  <c r="G217" i="22"/>
  <c r="F217" i="22"/>
  <c r="E217" i="22"/>
  <c r="D217" i="22"/>
  <c r="B217" i="22"/>
  <c r="O215" i="22"/>
  <c r="N215" i="22"/>
  <c r="M215" i="22"/>
  <c r="L215" i="22"/>
  <c r="K215" i="22"/>
  <c r="J215" i="22"/>
  <c r="I215" i="22"/>
  <c r="H215" i="22"/>
  <c r="G215" i="22"/>
  <c r="F215" i="22"/>
  <c r="E215" i="22"/>
  <c r="D215" i="22"/>
  <c r="B215" i="22"/>
  <c r="O213" i="22"/>
  <c r="N213" i="22"/>
  <c r="M213" i="22"/>
  <c r="L213" i="22"/>
  <c r="K213" i="22"/>
  <c r="J213" i="22"/>
  <c r="I213" i="22"/>
  <c r="H213" i="22"/>
  <c r="G213" i="22"/>
  <c r="F213" i="22"/>
  <c r="E213" i="22"/>
  <c r="D213" i="22"/>
  <c r="B213" i="22"/>
  <c r="O211" i="22"/>
  <c r="N211" i="22"/>
  <c r="M211" i="22"/>
  <c r="L211" i="22"/>
  <c r="K211" i="22"/>
  <c r="J211" i="22"/>
  <c r="I211" i="22"/>
  <c r="H211" i="22"/>
  <c r="G211" i="22"/>
  <c r="F211" i="22"/>
  <c r="E211" i="22"/>
  <c r="D211" i="22"/>
  <c r="O209" i="22"/>
  <c r="N209" i="22"/>
  <c r="M209" i="22"/>
  <c r="L209" i="22"/>
  <c r="K209" i="22"/>
  <c r="J209" i="22"/>
  <c r="I209" i="22"/>
  <c r="H209" i="22"/>
  <c r="G209" i="22"/>
  <c r="F209" i="22"/>
  <c r="E209" i="22"/>
  <c r="D209" i="22"/>
  <c r="O207" i="22"/>
  <c r="N207" i="22"/>
  <c r="M207" i="22"/>
  <c r="L207" i="22"/>
  <c r="K207" i="22"/>
  <c r="J207" i="22"/>
  <c r="I207" i="22"/>
  <c r="H207" i="22"/>
  <c r="G207" i="22"/>
  <c r="F207" i="22"/>
  <c r="E207" i="22"/>
  <c r="D207" i="22"/>
  <c r="O205" i="22"/>
  <c r="N205" i="22"/>
  <c r="M205" i="22"/>
  <c r="L205" i="22"/>
  <c r="K205" i="22"/>
  <c r="J205" i="22"/>
  <c r="I205" i="22"/>
  <c r="H205" i="22"/>
  <c r="G205" i="22"/>
  <c r="F205" i="22"/>
  <c r="E205" i="22"/>
  <c r="D205" i="22"/>
  <c r="O203" i="22"/>
  <c r="N203" i="22"/>
  <c r="M203" i="22"/>
  <c r="L203" i="22"/>
  <c r="K203" i="22"/>
  <c r="J203" i="22"/>
  <c r="I203" i="22"/>
  <c r="H203" i="22"/>
  <c r="G203" i="22"/>
  <c r="F203" i="22"/>
  <c r="E203" i="22"/>
  <c r="D203" i="22"/>
  <c r="O201" i="22"/>
  <c r="N201" i="22"/>
  <c r="M201" i="22"/>
  <c r="L201" i="22"/>
  <c r="K201" i="22"/>
  <c r="J201" i="22"/>
  <c r="I201" i="22"/>
  <c r="H201" i="22"/>
  <c r="G201" i="22"/>
  <c r="F201" i="22"/>
  <c r="E201" i="22"/>
  <c r="D201" i="22"/>
  <c r="O199" i="22"/>
  <c r="N199" i="22"/>
  <c r="M199" i="22"/>
  <c r="L199" i="22"/>
  <c r="K199" i="22"/>
  <c r="J199" i="22"/>
  <c r="I199" i="22"/>
  <c r="H199" i="22"/>
  <c r="G199" i="22"/>
  <c r="F199" i="22"/>
  <c r="E199" i="22"/>
  <c r="D199" i="22"/>
  <c r="O197" i="22"/>
  <c r="N197" i="22"/>
  <c r="M197" i="22"/>
  <c r="L197" i="22"/>
  <c r="K197" i="22"/>
  <c r="J197" i="22"/>
  <c r="I197" i="22"/>
  <c r="H197" i="22"/>
  <c r="G197" i="22"/>
  <c r="F197" i="22"/>
  <c r="E197" i="22"/>
  <c r="D197" i="22"/>
  <c r="O195" i="22"/>
  <c r="N195" i="22"/>
  <c r="M195" i="22"/>
  <c r="L195" i="22"/>
  <c r="K195" i="22"/>
  <c r="J195" i="22"/>
  <c r="I195" i="22"/>
  <c r="H195" i="22"/>
  <c r="G195" i="22"/>
  <c r="F195" i="22"/>
  <c r="E195" i="22"/>
  <c r="D195" i="22"/>
  <c r="O193" i="22"/>
  <c r="N193" i="22"/>
  <c r="M193" i="22"/>
  <c r="L193" i="22"/>
  <c r="K193" i="22"/>
  <c r="J193" i="22"/>
  <c r="I193" i="22"/>
  <c r="H193" i="22"/>
  <c r="G193" i="22"/>
  <c r="F193" i="22"/>
  <c r="E193" i="22"/>
  <c r="D193" i="22"/>
  <c r="Q189" i="22"/>
  <c r="P189" i="22" s="1"/>
  <c r="B189" i="22"/>
  <c r="Q187" i="22"/>
  <c r="P187" i="22" s="1"/>
  <c r="B187" i="22"/>
  <c r="Q185" i="22"/>
  <c r="P185" i="22" s="1"/>
  <c r="B185" i="22"/>
  <c r="Q183" i="22"/>
  <c r="P183" i="22" s="1"/>
  <c r="B183" i="22"/>
  <c r="Q181" i="22"/>
  <c r="P181" i="22" s="1"/>
  <c r="Q179" i="22"/>
  <c r="P179" i="22" s="1"/>
  <c r="Q177" i="22"/>
  <c r="P177" i="22" s="1"/>
  <c r="Q175" i="22"/>
  <c r="P175" i="22" s="1"/>
  <c r="Q173" i="22"/>
  <c r="P173" i="22" s="1"/>
  <c r="Q171" i="22"/>
  <c r="P171" i="22" s="1"/>
  <c r="Q169" i="22"/>
  <c r="P169" i="22" s="1"/>
  <c r="Q167" i="22"/>
  <c r="P167" i="22" s="1"/>
  <c r="Q165" i="22"/>
  <c r="P165" i="22" s="1"/>
  <c r="Q163" i="22"/>
  <c r="P163" i="22" s="1"/>
  <c r="Q158" i="22"/>
  <c r="P158" i="22" s="1"/>
  <c r="B158" i="22"/>
  <c r="Q156" i="22"/>
  <c r="P156" i="22" s="1"/>
  <c r="B156" i="22"/>
  <c r="Q154" i="22"/>
  <c r="P154" i="22" s="1"/>
  <c r="B154" i="22"/>
  <c r="Q152" i="22"/>
  <c r="P152" i="22" s="1"/>
  <c r="B152" i="22"/>
  <c r="Q150" i="22"/>
  <c r="P150" i="22" s="1"/>
  <c r="Q148" i="22"/>
  <c r="P148" i="22" s="1"/>
  <c r="Q146" i="22"/>
  <c r="P146" i="22" s="1"/>
  <c r="Q144" i="22"/>
  <c r="P144" i="22" s="1"/>
  <c r="Q142" i="22"/>
  <c r="P142" i="22" s="1"/>
  <c r="Q140" i="22"/>
  <c r="P140" i="22" s="1"/>
  <c r="Q138" i="22"/>
  <c r="P138" i="22" s="1"/>
  <c r="Q136" i="22"/>
  <c r="P136" i="22" s="1"/>
  <c r="Q134" i="22"/>
  <c r="P134" i="22" s="1"/>
  <c r="Q132" i="22"/>
  <c r="P132" i="22" s="1"/>
  <c r="Q127" i="22"/>
  <c r="P127" i="22" s="1"/>
  <c r="B127" i="22"/>
  <c r="Q125" i="22"/>
  <c r="P125" i="22" s="1"/>
  <c r="B125" i="22"/>
  <c r="Q123" i="22"/>
  <c r="P123" i="22" s="1"/>
  <c r="B123" i="22"/>
  <c r="Q121" i="22"/>
  <c r="P121" i="22" s="1"/>
  <c r="B121" i="22"/>
  <c r="Q119" i="22"/>
  <c r="P119" i="22" s="1"/>
  <c r="Q117" i="22"/>
  <c r="P117" i="22" s="1"/>
  <c r="Q115" i="22"/>
  <c r="P115" i="22" s="1"/>
  <c r="Q113" i="22"/>
  <c r="P113" i="22" s="1"/>
  <c r="Q111" i="22"/>
  <c r="P111" i="22" s="1"/>
  <c r="Q109" i="22"/>
  <c r="P109" i="22" s="1"/>
  <c r="Q107" i="22"/>
  <c r="P107" i="22" s="1"/>
  <c r="Q105" i="22"/>
  <c r="P105" i="22" s="1"/>
  <c r="Q103" i="22"/>
  <c r="P103" i="22" s="1"/>
  <c r="Q101" i="22"/>
  <c r="P101" i="22" s="1"/>
  <c r="Q96" i="22"/>
  <c r="P96" i="22" s="1"/>
  <c r="Q94" i="22"/>
  <c r="P94" i="22" s="1"/>
  <c r="Q92" i="22"/>
  <c r="P92" i="22" s="1"/>
  <c r="Q90" i="22"/>
  <c r="P90" i="22" s="1"/>
  <c r="Q88" i="22"/>
  <c r="P88" i="22" s="1"/>
  <c r="Q86" i="22"/>
  <c r="P86" i="22" s="1"/>
  <c r="Q84" i="22"/>
  <c r="P84" i="22" s="1"/>
  <c r="Q82" i="22"/>
  <c r="P82" i="22" s="1"/>
  <c r="Q80" i="22"/>
  <c r="P80" i="22" s="1"/>
  <c r="Q78" i="22"/>
  <c r="P78" i="22" s="1"/>
  <c r="Q76" i="22"/>
  <c r="P76" i="22" s="1"/>
  <c r="Q74" i="22"/>
  <c r="P74" i="22" s="1"/>
  <c r="Q72" i="22"/>
  <c r="P72" i="22" s="1"/>
  <c r="Q70" i="22"/>
  <c r="P70" i="22" s="1"/>
  <c r="Q65" i="22"/>
  <c r="P65" i="22" s="1"/>
  <c r="Q63" i="22"/>
  <c r="P63" i="22" s="1"/>
  <c r="Q61" i="22"/>
  <c r="P61" i="22" s="1"/>
  <c r="Q59" i="22"/>
  <c r="P59" i="22" s="1"/>
  <c r="Q57" i="22"/>
  <c r="P57" i="22" s="1"/>
  <c r="Q55" i="22"/>
  <c r="P55" i="22" s="1"/>
  <c r="Q53" i="22"/>
  <c r="P53" i="22" s="1"/>
  <c r="Q51" i="22"/>
  <c r="P51" i="22" s="1"/>
  <c r="Q49" i="22"/>
  <c r="P49" i="22" s="1"/>
  <c r="Q47" i="22"/>
  <c r="P47" i="22" s="1"/>
  <c r="Q45" i="22"/>
  <c r="P45" i="22" s="1"/>
  <c r="Q43" i="22"/>
  <c r="P43" i="22" s="1"/>
  <c r="Q41" i="22"/>
  <c r="P41" i="22" s="1"/>
  <c r="Q39" i="22"/>
  <c r="P39" i="22" s="1"/>
  <c r="Q34" i="22"/>
  <c r="P34" i="22" s="1"/>
  <c r="Q32" i="22"/>
  <c r="P32" i="22" s="1"/>
  <c r="Q30" i="22"/>
  <c r="P30" i="22" s="1"/>
  <c r="Q28" i="22"/>
  <c r="P28" i="22" s="1"/>
  <c r="Q26" i="22"/>
  <c r="P26" i="22" s="1"/>
  <c r="Q24" i="22"/>
  <c r="P24" i="22" s="1"/>
  <c r="Q22" i="22"/>
  <c r="P22" i="22" s="1"/>
  <c r="Q20" i="22"/>
  <c r="P20" i="22" s="1"/>
  <c r="Q18" i="22"/>
  <c r="P18" i="22" s="1"/>
  <c r="Q16" i="22"/>
  <c r="P16" i="22" s="1"/>
  <c r="Q14" i="22"/>
  <c r="P14" i="22" s="1"/>
  <c r="Q12" i="22"/>
  <c r="P12" i="22" s="1"/>
  <c r="Q10" i="22"/>
  <c r="P10" i="22" s="1"/>
  <c r="Q8" i="22"/>
  <c r="P8" i="22" s="1"/>
  <c r="Q230" i="14"/>
  <c r="P230" i="14" s="1"/>
  <c r="Q229" i="14"/>
  <c r="P229" i="14" s="1"/>
  <c r="Q238" i="14"/>
  <c r="P238" i="14" s="1"/>
  <c r="O2" i="14"/>
  <c r="N2" i="14"/>
  <c r="M2" i="14"/>
  <c r="L2" i="14"/>
  <c r="K2" i="14"/>
  <c r="J2" i="14"/>
  <c r="I2" i="14"/>
  <c r="H2" i="14"/>
  <c r="G2" i="14"/>
  <c r="F2" i="14"/>
  <c r="E2" i="14"/>
  <c r="D2" i="14"/>
  <c r="O258" i="14"/>
  <c r="N258" i="14"/>
  <c r="M258" i="14"/>
  <c r="L258" i="14"/>
  <c r="K258" i="14"/>
  <c r="J258" i="14"/>
  <c r="I258" i="14"/>
  <c r="H258" i="14"/>
  <c r="G258" i="14"/>
  <c r="F258" i="14"/>
  <c r="E258" i="14"/>
  <c r="D258" i="14"/>
  <c r="Q257" i="14"/>
  <c r="P257" i="14" s="1"/>
  <c r="Q256" i="14"/>
  <c r="P256" i="14" s="1"/>
  <c r="Q255" i="14"/>
  <c r="P255" i="14" s="1"/>
  <c r="O254" i="14"/>
  <c r="N254" i="14"/>
  <c r="M254" i="14"/>
  <c r="L254" i="14"/>
  <c r="K254" i="14"/>
  <c r="J254" i="14"/>
  <c r="I254" i="14"/>
  <c r="H254" i="14"/>
  <c r="G254" i="14"/>
  <c r="F254" i="14"/>
  <c r="E254" i="14"/>
  <c r="D254" i="14"/>
  <c r="Q253" i="14"/>
  <c r="P253" i="14" s="1"/>
  <c r="Q252" i="14"/>
  <c r="P252" i="14" s="1"/>
  <c r="Q251" i="14"/>
  <c r="P251" i="14" s="1"/>
  <c r="O250" i="14"/>
  <c r="N250" i="14"/>
  <c r="M250" i="14"/>
  <c r="L250" i="14"/>
  <c r="K250" i="14"/>
  <c r="J250" i="14"/>
  <c r="I250" i="14"/>
  <c r="H250" i="14"/>
  <c r="G250" i="14"/>
  <c r="F250" i="14"/>
  <c r="E250" i="14"/>
  <c r="D250" i="14"/>
  <c r="Q249" i="14"/>
  <c r="P249" i="14" s="1"/>
  <c r="Q248" i="14"/>
  <c r="P248" i="14" s="1"/>
  <c r="Q247" i="14"/>
  <c r="P247" i="14" s="1"/>
  <c r="Q242" i="14"/>
  <c r="P242" i="14" s="1"/>
  <c r="Q240" i="14"/>
  <c r="P240" i="14" s="1"/>
  <c r="Q236" i="14"/>
  <c r="P236" i="14" s="1"/>
  <c r="Q234" i="14"/>
  <c r="P234" i="14" s="1"/>
  <c r="Q232" i="14"/>
  <c r="P232" i="14" s="1"/>
  <c r="O231" i="14"/>
  <c r="N231" i="14"/>
  <c r="M231" i="14"/>
  <c r="L231" i="14"/>
  <c r="K231" i="14"/>
  <c r="J231" i="14"/>
  <c r="I231" i="14"/>
  <c r="H231" i="14"/>
  <c r="G231" i="14"/>
  <c r="F231" i="14"/>
  <c r="E231" i="14"/>
  <c r="D231" i="14"/>
  <c r="O219" i="14"/>
  <c r="N219" i="14"/>
  <c r="M219" i="14"/>
  <c r="L219" i="14"/>
  <c r="K219" i="14"/>
  <c r="J219" i="14"/>
  <c r="I219" i="14"/>
  <c r="H219" i="14"/>
  <c r="G219" i="14"/>
  <c r="F219" i="14"/>
  <c r="E219" i="14"/>
  <c r="D219" i="14"/>
  <c r="B219" i="14"/>
  <c r="O217" i="14"/>
  <c r="N217" i="14"/>
  <c r="M217" i="14"/>
  <c r="L217" i="14"/>
  <c r="K217" i="14"/>
  <c r="J217" i="14"/>
  <c r="I217" i="14"/>
  <c r="H217" i="14"/>
  <c r="G217" i="14"/>
  <c r="F217" i="14"/>
  <c r="E217" i="14"/>
  <c r="D217" i="14"/>
  <c r="B217" i="14"/>
  <c r="O215" i="14"/>
  <c r="N215" i="14"/>
  <c r="M215" i="14"/>
  <c r="L215" i="14"/>
  <c r="K215" i="14"/>
  <c r="J215" i="14"/>
  <c r="I215" i="14"/>
  <c r="H215" i="14"/>
  <c r="G215" i="14"/>
  <c r="F215" i="14"/>
  <c r="E215" i="14"/>
  <c r="D215" i="14"/>
  <c r="B215" i="14"/>
  <c r="O213" i="14"/>
  <c r="N213" i="14"/>
  <c r="M213" i="14"/>
  <c r="L213" i="14"/>
  <c r="K213" i="14"/>
  <c r="J213" i="14"/>
  <c r="I213" i="14"/>
  <c r="H213" i="14"/>
  <c r="G213" i="14"/>
  <c r="F213" i="14"/>
  <c r="E213" i="14"/>
  <c r="D213" i="14"/>
  <c r="B213" i="14"/>
  <c r="O211" i="14"/>
  <c r="N211" i="14"/>
  <c r="M211" i="14"/>
  <c r="L211" i="14"/>
  <c r="K211" i="14"/>
  <c r="J211" i="14"/>
  <c r="I211" i="14"/>
  <c r="H211" i="14"/>
  <c r="G211" i="14"/>
  <c r="F211" i="14"/>
  <c r="E211" i="14"/>
  <c r="D211" i="14"/>
  <c r="O209" i="14"/>
  <c r="N209" i="14"/>
  <c r="M209" i="14"/>
  <c r="L209" i="14"/>
  <c r="K209" i="14"/>
  <c r="J209" i="14"/>
  <c r="I209" i="14"/>
  <c r="H209" i="14"/>
  <c r="G209" i="14"/>
  <c r="F209" i="14"/>
  <c r="E209" i="14"/>
  <c r="D209" i="14"/>
  <c r="O207" i="14"/>
  <c r="N207" i="14"/>
  <c r="M207" i="14"/>
  <c r="L207" i="14"/>
  <c r="K207" i="14"/>
  <c r="J207" i="14"/>
  <c r="I207" i="14"/>
  <c r="H207" i="14"/>
  <c r="G207" i="14"/>
  <c r="F207" i="14"/>
  <c r="E207" i="14"/>
  <c r="D207" i="14"/>
  <c r="O205" i="14"/>
  <c r="N205" i="14"/>
  <c r="M205" i="14"/>
  <c r="L205" i="14"/>
  <c r="K205" i="14"/>
  <c r="J205" i="14"/>
  <c r="I205" i="14"/>
  <c r="H205" i="14"/>
  <c r="G205" i="14"/>
  <c r="F205" i="14"/>
  <c r="E205" i="14"/>
  <c r="D205" i="14"/>
  <c r="O203" i="14"/>
  <c r="N203" i="14"/>
  <c r="M203" i="14"/>
  <c r="L203" i="14"/>
  <c r="K203" i="14"/>
  <c r="J203" i="14"/>
  <c r="I203" i="14"/>
  <c r="H203" i="14"/>
  <c r="G203" i="14"/>
  <c r="F203" i="14"/>
  <c r="E203" i="14"/>
  <c r="D203" i="14"/>
  <c r="O201" i="14"/>
  <c r="N201" i="14"/>
  <c r="M201" i="14"/>
  <c r="L201" i="14"/>
  <c r="K201" i="14"/>
  <c r="J201" i="14"/>
  <c r="I201" i="14"/>
  <c r="H201" i="14"/>
  <c r="G201" i="14"/>
  <c r="F201" i="14"/>
  <c r="E201" i="14"/>
  <c r="D201" i="14"/>
  <c r="O199" i="14"/>
  <c r="N199" i="14"/>
  <c r="M199" i="14"/>
  <c r="L199" i="14"/>
  <c r="K199" i="14"/>
  <c r="J199" i="14"/>
  <c r="I199" i="14"/>
  <c r="H199" i="14"/>
  <c r="G199" i="14"/>
  <c r="F199" i="14"/>
  <c r="E199" i="14"/>
  <c r="D199" i="14"/>
  <c r="O197" i="14"/>
  <c r="N197" i="14"/>
  <c r="M197" i="14"/>
  <c r="L197" i="14"/>
  <c r="K197" i="14"/>
  <c r="J197" i="14"/>
  <c r="I197" i="14"/>
  <c r="H197" i="14"/>
  <c r="G197" i="14"/>
  <c r="F197" i="14"/>
  <c r="E197" i="14"/>
  <c r="D197" i="14"/>
  <c r="O195" i="14"/>
  <c r="N195" i="14"/>
  <c r="M195" i="14"/>
  <c r="L195" i="14"/>
  <c r="K195" i="14"/>
  <c r="J195" i="14"/>
  <c r="I195" i="14"/>
  <c r="H195" i="14"/>
  <c r="G195" i="14"/>
  <c r="F195" i="14"/>
  <c r="E195" i="14"/>
  <c r="D195" i="14"/>
  <c r="O193" i="14"/>
  <c r="N193" i="14"/>
  <c r="M193" i="14"/>
  <c r="L193" i="14"/>
  <c r="K193" i="14"/>
  <c r="J193" i="14"/>
  <c r="I193" i="14"/>
  <c r="H193" i="14"/>
  <c r="G193" i="14"/>
  <c r="F193" i="14"/>
  <c r="E193" i="14"/>
  <c r="D193" i="14"/>
  <c r="Q189" i="14"/>
  <c r="P189" i="14" s="1"/>
  <c r="B189" i="14"/>
  <c r="Q187" i="14"/>
  <c r="P187" i="14" s="1"/>
  <c r="B187" i="14"/>
  <c r="Q185" i="14"/>
  <c r="P185" i="14" s="1"/>
  <c r="B185" i="14"/>
  <c r="Q183" i="14"/>
  <c r="P183" i="14" s="1"/>
  <c r="B183" i="14"/>
  <c r="Q181" i="14"/>
  <c r="P181" i="14" s="1"/>
  <c r="Q179" i="14"/>
  <c r="P179" i="14" s="1"/>
  <c r="Q177" i="14"/>
  <c r="P177" i="14" s="1"/>
  <c r="Q175" i="14"/>
  <c r="P175" i="14" s="1"/>
  <c r="Q173" i="14"/>
  <c r="P173" i="14" s="1"/>
  <c r="Q171" i="14"/>
  <c r="P171" i="14" s="1"/>
  <c r="Q169" i="14"/>
  <c r="P169" i="14" s="1"/>
  <c r="Q167" i="14"/>
  <c r="P167" i="14" s="1"/>
  <c r="Q165" i="14"/>
  <c r="P165" i="14" s="1"/>
  <c r="Q163" i="14"/>
  <c r="P163" i="14" s="1"/>
  <c r="Q158" i="14"/>
  <c r="P158" i="14" s="1"/>
  <c r="B158" i="14"/>
  <c r="Q156" i="14"/>
  <c r="P156" i="14" s="1"/>
  <c r="B156" i="14"/>
  <c r="Q154" i="14"/>
  <c r="P154" i="14" s="1"/>
  <c r="B154" i="14"/>
  <c r="Q152" i="14"/>
  <c r="P152" i="14" s="1"/>
  <c r="B152" i="14"/>
  <c r="Q150" i="14"/>
  <c r="P150" i="14" s="1"/>
  <c r="Q148" i="14"/>
  <c r="P148" i="14" s="1"/>
  <c r="Q146" i="14"/>
  <c r="P146" i="14" s="1"/>
  <c r="Q144" i="14"/>
  <c r="P144" i="14" s="1"/>
  <c r="Q142" i="14"/>
  <c r="P142" i="14" s="1"/>
  <c r="Q140" i="14"/>
  <c r="P140" i="14" s="1"/>
  <c r="Q138" i="14"/>
  <c r="P138" i="14" s="1"/>
  <c r="Q136" i="14"/>
  <c r="P136" i="14" s="1"/>
  <c r="Q134" i="14"/>
  <c r="P134" i="14" s="1"/>
  <c r="Q132" i="14"/>
  <c r="P132" i="14" s="1"/>
  <c r="Q127" i="14"/>
  <c r="P127" i="14" s="1"/>
  <c r="B127" i="14"/>
  <c r="Q125" i="14"/>
  <c r="P125" i="14" s="1"/>
  <c r="B125" i="14"/>
  <c r="Q123" i="14"/>
  <c r="P123" i="14" s="1"/>
  <c r="B123" i="14"/>
  <c r="Q121" i="14"/>
  <c r="P121" i="14" s="1"/>
  <c r="B121" i="14"/>
  <c r="Q119" i="14"/>
  <c r="P119" i="14" s="1"/>
  <c r="Q117" i="14"/>
  <c r="P117" i="14" s="1"/>
  <c r="Q115" i="14"/>
  <c r="P115" i="14" s="1"/>
  <c r="Q113" i="14"/>
  <c r="P113" i="14" s="1"/>
  <c r="Q111" i="14"/>
  <c r="P111" i="14" s="1"/>
  <c r="Q109" i="14"/>
  <c r="P109" i="14" s="1"/>
  <c r="Q107" i="14"/>
  <c r="P107" i="14" s="1"/>
  <c r="Q105" i="14"/>
  <c r="P105" i="14" s="1"/>
  <c r="Q103" i="14"/>
  <c r="P103" i="14" s="1"/>
  <c r="Q101" i="14"/>
  <c r="P101" i="14" s="1"/>
  <c r="Q96" i="14"/>
  <c r="P96" i="14" s="1"/>
  <c r="B96" i="14"/>
  <c r="Q94" i="14"/>
  <c r="P94" i="14" s="1"/>
  <c r="B94" i="14"/>
  <c r="Q92" i="14"/>
  <c r="P92" i="14" s="1"/>
  <c r="B92" i="14"/>
  <c r="Q90" i="14"/>
  <c r="P90" i="14" s="1"/>
  <c r="B90" i="14"/>
  <c r="Q88" i="14"/>
  <c r="P88" i="14" s="1"/>
  <c r="Q86" i="14"/>
  <c r="P86" i="14" s="1"/>
  <c r="Q84" i="14"/>
  <c r="P84" i="14" s="1"/>
  <c r="Q82" i="14"/>
  <c r="P82" i="14" s="1"/>
  <c r="Q80" i="14"/>
  <c r="P80" i="14" s="1"/>
  <c r="Q78" i="14"/>
  <c r="P78" i="14" s="1"/>
  <c r="Q76" i="14"/>
  <c r="P76" i="14" s="1"/>
  <c r="Q74" i="14"/>
  <c r="P74" i="14" s="1"/>
  <c r="Q72" i="14"/>
  <c r="P72" i="14" s="1"/>
  <c r="Q70" i="14"/>
  <c r="P70" i="14" s="1"/>
  <c r="Q65" i="14"/>
  <c r="P65" i="14" s="1"/>
  <c r="Q63" i="14"/>
  <c r="P63" i="14" s="1"/>
  <c r="Q61" i="14"/>
  <c r="P61" i="14" s="1"/>
  <c r="Q59" i="14"/>
  <c r="P59" i="14" s="1"/>
  <c r="Q57" i="14"/>
  <c r="P57" i="14" s="1"/>
  <c r="Q55" i="14"/>
  <c r="P55" i="14" s="1"/>
  <c r="Q53" i="14"/>
  <c r="P53" i="14" s="1"/>
  <c r="Q51" i="14"/>
  <c r="P51" i="14" s="1"/>
  <c r="Q49" i="14"/>
  <c r="P49" i="14" s="1"/>
  <c r="Q47" i="14"/>
  <c r="P47" i="14" s="1"/>
  <c r="Q45" i="14"/>
  <c r="P45" i="14" s="1"/>
  <c r="Q43" i="14"/>
  <c r="P43" i="14" s="1"/>
  <c r="Q41" i="14"/>
  <c r="P41" i="14" s="1"/>
  <c r="Q39" i="14"/>
  <c r="P39" i="14" s="1"/>
  <c r="Q34" i="14"/>
  <c r="P34" i="14" s="1"/>
  <c r="Q32" i="14"/>
  <c r="P32" i="14" s="1"/>
  <c r="Q30" i="14"/>
  <c r="P30" i="14" s="1"/>
  <c r="Q28" i="14"/>
  <c r="P28" i="14" s="1"/>
  <c r="Q26" i="14"/>
  <c r="P26" i="14" s="1"/>
  <c r="Q24" i="14"/>
  <c r="P24" i="14" s="1"/>
  <c r="Q22" i="14"/>
  <c r="P22" i="14" s="1"/>
  <c r="Q20" i="14"/>
  <c r="P20" i="14" s="1"/>
  <c r="Q18" i="14"/>
  <c r="P18" i="14" s="1"/>
  <c r="Q16" i="14"/>
  <c r="P16" i="14" s="1"/>
  <c r="Q14" i="14"/>
  <c r="P14" i="14" s="1"/>
  <c r="Q12" i="14"/>
  <c r="P12" i="14" s="1"/>
  <c r="Q10" i="14"/>
  <c r="P10" i="14" s="1"/>
  <c r="Q8" i="14"/>
  <c r="P8" i="14" s="1"/>
  <c r="B96" i="2"/>
  <c r="B94" i="2"/>
  <c r="B92" i="2"/>
  <c r="B90" i="2"/>
  <c r="B219" i="2"/>
  <c r="B217" i="2"/>
  <c r="B215" i="2"/>
  <c r="B213" i="2"/>
  <c r="B189" i="2"/>
  <c r="B187" i="2"/>
  <c r="B185" i="2"/>
  <c r="B183" i="2"/>
  <c r="B158" i="2"/>
  <c r="B156" i="2"/>
  <c r="B154" i="2"/>
  <c r="B152" i="2"/>
  <c r="B127" i="2"/>
  <c r="B125" i="2"/>
  <c r="B123" i="2"/>
  <c r="B121" i="2"/>
  <c r="E193" i="2"/>
  <c r="F193" i="2"/>
  <c r="G193" i="2"/>
  <c r="H193" i="2"/>
  <c r="I193" i="2"/>
  <c r="J193" i="2"/>
  <c r="K193" i="2"/>
  <c r="L193" i="2"/>
  <c r="M193" i="2"/>
  <c r="N193" i="2"/>
  <c r="O193" i="2"/>
  <c r="E195" i="2"/>
  <c r="F195" i="2"/>
  <c r="G195" i="2"/>
  <c r="H195" i="2"/>
  <c r="I195" i="2"/>
  <c r="J195" i="2"/>
  <c r="K195" i="2"/>
  <c r="L195" i="2"/>
  <c r="M195" i="2"/>
  <c r="N195" i="2"/>
  <c r="O195" i="2"/>
  <c r="E197" i="2"/>
  <c r="F197" i="2"/>
  <c r="G197" i="2"/>
  <c r="H197" i="2"/>
  <c r="I197" i="2"/>
  <c r="J197" i="2"/>
  <c r="K197" i="2"/>
  <c r="L197" i="2"/>
  <c r="M197" i="2"/>
  <c r="N197" i="2"/>
  <c r="O197" i="2"/>
  <c r="E199" i="2"/>
  <c r="F199" i="2"/>
  <c r="G199" i="2"/>
  <c r="H199" i="2"/>
  <c r="I199" i="2"/>
  <c r="J199" i="2"/>
  <c r="K199" i="2"/>
  <c r="L199" i="2"/>
  <c r="M199" i="2"/>
  <c r="N199" i="2"/>
  <c r="O199" i="2"/>
  <c r="E201" i="2"/>
  <c r="F201" i="2"/>
  <c r="G201" i="2"/>
  <c r="H201" i="2"/>
  <c r="I201" i="2"/>
  <c r="J201" i="2"/>
  <c r="K201" i="2"/>
  <c r="L201" i="2"/>
  <c r="M201" i="2"/>
  <c r="N201" i="2"/>
  <c r="O201" i="2"/>
  <c r="E203" i="2"/>
  <c r="F203" i="2"/>
  <c r="G203" i="2"/>
  <c r="H203" i="2"/>
  <c r="I203" i="2"/>
  <c r="J203" i="2"/>
  <c r="K203" i="2"/>
  <c r="L203" i="2"/>
  <c r="M203" i="2"/>
  <c r="N203" i="2"/>
  <c r="O203" i="2"/>
  <c r="E205" i="2"/>
  <c r="F205" i="2"/>
  <c r="G205" i="2"/>
  <c r="H205" i="2"/>
  <c r="I205" i="2"/>
  <c r="J205" i="2"/>
  <c r="K205" i="2"/>
  <c r="L205" i="2"/>
  <c r="M205" i="2"/>
  <c r="N205" i="2"/>
  <c r="O205" i="2"/>
  <c r="E207" i="2"/>
  <c r="F207" i="2"/>
  <c r="G207" i="2"/>
  <c r="H207" i="2"/>
  <c r="I207" i="2"/>
  <c r="J207" i="2"/>
  <c r="K207" i="2"/>
  <c r="L207" i="2"/>
  <c r="M207" i="2"/>
  <c r="N207" i="2"/>
  <c r="O207" i="2"/>
  <c r="E209" i="2"/>
  <c r="F209" i="2"/>
  <c r="G209" i="2"/>
  <c r="H209" i="2"/>
  <c r="I209" i="2"/>
  <c r="J209" i="2"/>
  <c r="K209" i="2"/>
  <c r="L209" i="2"/>
  <c r="M209" i="2"/>
  <c r="N209" i="2"/>
  <c r="O209" i="2"/>
  <c r="E211" i="2"/>
  <c r="F211" i="2"/>
  <c r="G211" i="2"/>
  <c r="H211" i="2"/>
  <c r="I211" i="2"/>
  <c r="J211" i="2"/>
  <c r="K211" i="2"/>
  <c r="L211" i="2"/>
  <c r="M211" i="2"/>
  <c r="N211" i="2"/>
  <c r="O211" i="2"/>
  <c r="E213" i="2"/>
  <c r="F213" i="2"/>
  <c r="G213" i="2"/>
  <c r="H213" i="2"/>
  <c r="I213" i="2"/>
  <c r="J213" i="2"/>
  <c r="K213" i="2"/>
  <c r="L213" i="2"/>
  <c r="M213" i="2"/>
  <c r="N213" i="2"/>
  <c r="O213" i="2"/>
  <c r="E215" i="2"/>
  <c r="F215" i="2"/>
  <c r="G215" i="2"/>
  <c r="H215" i="2"/>
  <c r="I215" i="2"/>
  <c r="J215" i="2"/>
  <c r="K215" i="2"/>
  <c r="L215" i="2"/>
  <c r="M215" i="2"/>
  <c r="N215" i="2"/>
  <c r="O215" i="2"/>
  <c r="E217" i="2"/>
  <c r="F217" i="2"/>
  <c r="G217" i="2"/>
  <c r="H217" i="2"/>
  <c r="I217" i="2"/>
  <c r="J217" i="2"/>
  <c r="K217" i="2"/>
  <c r="L217" i="2"/>
  <c r="M217" i="2"/>
  <c r="N217" i="2"/>
  <c r="O217" i="2"/>
  <c r="E219" i="2"/>
  <c r="F219" i="2"/>
  <c r="G219" i="2"/>
  <c r="H219" i="2"/>
  <c r="I219" i="2"/>
  <c r="J219" i="2"/>
  <c r="K219" i="2"/>
  <c r="L219" i="2"/>
  <c r="M219" i="2"/>
  <c r="N219" i="2"/>
  <c r="O219" i="2"/>
  <c r="D195" i="2"/>
  <c r="D197" i="2"/>
  <c r="D199" i="2"/>
  <c r="D201" i="2"/>
  <c r="D203" i="2"/>
  <c r="D205" i="2"/>
  <c r="D207" i="2"/>
  <c r="D209" i="2"/>
  <c r="D211" i="2"/>
  <c r="D213" i="2"/>
  <c r="D215" i="2"/>
  <c r="D217" i="2"/>
  <c r="D219" i="2"/>
  <c r="D193" i="2"/>
  <c r="Q189" i="2"/>
  <c r="P189" i="2" s="1"/>
  <c r="Q187" i="2"/>
  <c r="P187" i="2" s="1"/>
  <c r="Q185" i="2"/>
  <c r="P185" i="2" s="1"/>
  <c r="Q158" i="2"/>
  <c r="P158" i="2" s="1"/>
  <c r="Q156" i="2"/>
  <c r="P156" i="2" s="1"/>
  <c r="Q154" i="2"/>
  <c r="P154" i="2" s="1"/>
  <c r="Q127" i="2"/>
  <c r="P127" i="2" s="1"/>
  <c r="Q125" i="2"/>
  <c r="P125" i="2" s="1"/>
  <c r="Q123" i="2"/>
  <c r="P123" i="2" s="1"/>
  <c r="Q96" i="2"/>
  <c r="P96" i="2" s="1"/>
  <c r="Q94" i="2"/>
  <c r="P94" i="2" s="1"/>
  <c r="Q92" i="2"/>
  <c r="P92" i="2" s="1"/>
  <c r="Q65" i="2"/>
  <c r="P65" i="2" s="1"/>
  <c r="Q63" i="2"/>
  <c r="P63" i="2" s="1"/>
  <c r="Q61" i="2"/>
  <c r="P61" i="2" s="1"/>
  <c r="Q39" i="2"/>
  <c r="P39" i="2" s="1"/>
  <c r="Q41" i="2"/>
  <c r="P41" i="2" s="1"/>
  <c r="Q43" i="2"/>
  <c r="P43" i="2" s="1"/>
  <c r="Q45" i="2"/>
  <c r="P45" i="2" s="1"/>
  <c r="Q47" i="2"/>
  <c r="P47" i="2" s="1"/>
  <c r="Q49" i="2"/>
  <c r="P49" i="2" s="1"/>
  <c r="Q51" i="2"/>
  <c r="P51" i="2" s="1"/>
  <c r="Q53" i="2"/>
  <c r="P53" i="2" s="1"/>
  <c r="Q55" i="2"/>
  <c r="P55" i="2" s="1"/>
  <c r="Q57" i="2"/>
  <c r="P57" i="2" s="1"/>
  <c r="Q59" i="2"/>
  <c r="P59" i="2" s="1"/>
  <c r="Q70" i="2"/>
  <c r="P70" i="2" s="1"/>
  <c r="Q72" i="2"/>
  <c r="P72" i="2" s="1"/>
  <c r="Q74" i="2"/>
  <c r="P74" i="2" s="1"/>
  <c r="Q34" i="2"/>
  <c r="P34" i="2" s="1"/>
  <c r="Q32" i="2"/>
  <c r="P32" i="2" s="1"/>
  <c r="Q30" i="2"/>
  <c r="P30" i="2" s="1"/>
  <c r="Q231" i="2" l="1"/>
  <c r="P231" i="2" s="1"/>
  <c r="H274" i="2"/>
  <c r="I274" i="2"/>
  <c r="J274" i="2"/>
  <c r="N262" i="2"/>
  <c r="O262" i="2"/>
  <c r="D262" i="14"/>
  <c r="F262" i="14"/>
  <c r="Q261" i="14"/>
  <c r="P261" i="14" s="1"/>
  <c r="Q260" i="14"/>
  <c r="P260" i="14" s="1"/>
  <c r="E262" i="14"/>
  <c r="Q262" i="14" s="1"/>
  <c r="P262" i="14" s="1"/>
  <c r="Q269" i="14"/>
  <c r="P269" i="14" s="1"/>
  <c r="P274" i="14"/>
  <c r="Q259" i="14"/>
  <c r="P259" i="14" s="1"/>
  <c r="I222" i="22"/>
  <c r="I68" i="22"/>
  <c r="O274" i="2"/>
  <c r="M274" i="2"/>
  <c r="P274" i="2" s="1"/>
  <c r="M262" i="2"/>
  <c r="L262" i="2"/>
  <c r="K262" i="2"/>
  <c r="I262" i="2"/>
  <c r="H262" i="2"/>
  <c r="G262" i="2"/>
  <c r="F262" i="2"/>
  <c r="Q261" i="2"/>
  <c r="P261" i="2" s="1"/>
  <c r="Q258" i="2"/>
  <c r="P258" i="2" s="1"/>
  <c r="Q260" i="2"/>
  <c r="P260" i="2" s="1"/>
  <c r="Q254" i="2"/>
  <c r="P254" i="2" s="1"/>
  <c r="E262" i="2"/>
  <c r="Q259" i="2"/>
  <c r="P259" i="2" s="1"/>
  <c r="Q275" i="2"/>
  <c r="P275" i="2" s="1"/>
  <c r="Q269" i="2"/>
  <c r="P269" i="2" s="1"/>
  <c r="D262" i="2"/>
  <c r="Q250" i="2"/>
  <c r="Q262" i="23"/>
  <c r="P262" i="23" s="1"/>
  <c r="P250" i="23"/>
  <c r="Q259" i="23"/>
  <c r="P259" i="23" s="1"/>
  <c r="Q261" i="23"/>
  <c r="P261" i="23" s="1"/>
  <c r="Q262" i="22"/>
  <c r="P262" i="22" s="1"/>
  <c r="P250" i="22"/>
  <c r="Q259" i="22"/>
  <c r="P259" i="22" s="1"/>
  <c r="Q261" i="22"/>
  <c r="P261" i="22" s="1"/>
  <c r="E227" i="2"/>
  <c r="F227" i="2" s="1"/>
  <c r="M222" i="22"/>
  <c r="G222" i="22"/>
  <c r="K222" i="22"/>
  <c r="Q258" i="14"/>
  <c r="P258" i="14" s="1"/>
  <c r="H222" i="14"/>
  <c r="Q254" i="14"/>
  <c r="P254" i="14" s="1"/>
  <c r="G222" i="14"/>
  <c r="Q231" i="14"/>
  <c r="P231" i="14" s="1"/>
  <c r="Q250" i="14"/>
  <c r="Q191" i="23"/>
  <c r="P191" i="23" s="1"/>
  <c r="Q160" i="23"/>
  <c r="P160" i="23" s="1"/>
  <c r="Q129" i="23"/>
  <c r="P129" i="23" s="1"/>
  <c r="Q98" i="23"/>
  <c r="P98" i="23" s="1"/>
  <c r="J222" i="22"/>
  <c r="Q191" i="22"/>
  <c r="P191" i="22" s="1"/>
  <c r="O222" i="22"/>
  <c r="Q160" i="22"/>
  <c r="P160" i="22" s="1"/>
  <c r="L222" i="22"/>
  <c r="Q129" i="22"/>
  <c r="P129" i="22" s="1"/>
  <c r="H222" i="22"/>
  <c r="Q98" i="22"/>
  <c r="P98" i="22" s="1"/>
  <c r="H221" i="22"/>
  <c r="N222" i="22"/>
  <c r="L221" i="22"/>
  <c r="M221" i="22"/>
  <c r="N221" i="22"/>
  <c r="Q67" i="22"/>
  <c r="P67" i="22" s="1"/>
  <c r="G221" i="22"/>
  <c r="Q191" i="14"/>
  <c r="P191" i="14" s="1"/>
  <c r="Q160" i="14"/>
  <c r="P160" i="14" s="1"/>
  <c r="Q129" i="14"/>
  <c r="P129" i="14" s="1"/>
  <c r="L222" i="14"/>
  <c r="M222" i="14"/>
  <c r="K222" i="14"/>
  <c r="O222" i="14"/>
  <c r="J222" i="14"/>
  <c r="N222" i="14"/>
  <c r="Q98" i="14"/>
  <c r="P98" i="14" s="1"/>
  <c r="I222" i="14"/>
  <c r="Q67" i="14"/>
  <c r="P67" i="14" s="1"/>
  <c r="G221" i="14"/>
  <c r="H221" i="14"/>
  <c r="I221" i="14"/>
  <c r="K221" i="14"/>
  <c r="F222" i="14"/>
  <c r="M221" i="14"/>
  <c r="O221" i="14"/>
  <c r="D221" i="22"/>
  <c r="O221" i="22"/>
  <c r="E222" i="14"/>
  <c r="E244" i="14" s="1"/>
  <c r="L221" i="14"/>
  <c r="E221" i="14"/>
  <c r="Q205" i="22"/>
  <c r="P205" i="22" s="1"/>
  <c r="E222" i="22"/>
  <c r="Q195" i="23"/>
  <c r="P195" i="23" s="1"/>
  <c r="D222" i="14"/>
  <c r="D244" i="14" s="1"/>
  <c r="J221" i="14"/>
  <c r="N221" i="14"/>
  <c r="Q219" i="14"/>
  <c r="P219" i="14" s="1"/>
  <c r="D222" i="22"/>
  <c r="I221" i="22"/>
  <c r="J221" i="22"/>
  <c r="Q217" i="22"/>
  <c r="P217" i="22" s="1"/>
  <c r="K221" i="22"/>
  <c r="Q201" i="22"/>
  <c r="P201" i="22" s="1"/>
  <c r="Q213" i="22"/>
  <c r="P213" i="22" s="1"/>
  <c r="Q195" i="22"/>
  <c r="P195" i="22" s="1"/>
  <c r="Q199" i="22"/>
  <c r="P199" i="22" s="1"/>
  <c r="Q207" i="22"/>
  <c r="P207" i="22" s="1"/>
  <c r="Q211" i="22"/>
  <c r="P211" i="22" s="1"/>
  <c r="E221" i="22"/>
  <c r="Q219" i="22"/>
  <c r="P219" i="22" s="1"/>
  <c r="Q203" i="22"/>
  <c r="P203" i="22" s="1"/>
  <c r="Q215" i="22"/>
  <c r="P215" i="22" s="1"/>
  <c r="Q197" i="22"/>
  <c r="P197" i="22" s="1"/>
  <c r="Q209" i="22"/>
  <c r="P209" i="22" s="1"/>
  <c r="Q203" i="14"/>
  <c r="P203" i="14" s="1"/>
  <c r="Q215" i="14"/>
  <c r="P215" i="14" s="1"/>
  <c r="Q193" i="14"/>
  <c r="P193" i="14" s="1"/>
  <c r="Q197" i="14"/>
  <c r="P197" i="14" s="1"/>
  <c r="Q205" i="14"/>
  <c r="P205" i="14" s="1"/>
  <c r="Q209" i="14"/>
  <c r="P209" i="14" s="1"/>
  <c r="F221" i="14"/>
  <c r="Q217" i="14"/>
  <c r="P217" i="14" s="1"/>
  <c r="Q201" i="14"/>
  <c r="P201" i="14" s="1"/>
  <c r="Q213" i="14"/>
  <c r="P213" i="14" s="1"/>
  <c r="Q195" i="14"/>
  <c r="P195" i="14" s="1"/>
  <c r="Q199" i="14"/>
  <c r="P199" i="14" s="1"/>
  <c r="Q207" i="14"/>
  <c r="P207" i="14" s="1"/>
  <c r="Q211" i="14"/>
  <c r="P211" i="14" s="1"/>
  <c r="K222" i="23"/>
  <c r="G222" i="23"/>
  <c r="I222" i="23"/>
  <c r="N222" i="23"/>
  <c r="O222" i="23"/>
  <c r="J221" i="23"/>
  <c r="K221" i="23"/>
  <c r="L221" i="23"/>
  <c r="M221" i="23"/>
  <c r="N221" i="23"/>
  <c r="O221" i="23"/>
  <c r="D197" i="23"/>
  <c r="Q197" i="23" s="1"/>
  <c r="P197" i="23" s="1"/>
  <c r="Q12" i="23"/>
  <c r="P12" i="23" s="1"/>
  <c r="E222" i="23"/>
  <c r="H222" i="23"/>
  <c r="J222" i="23"/>
  <c r="L222" i="23"/>
  <c r="M222" i="23"/>
  <c r="Q67" i="23"/>
  <c r="P67" i="23" s="1"/>
  <c r="D221" i="23"/>
  <c r="E221" i="23"/>
  <c r="G221" i="23"/>
  <c r="H221" i="23"/>
  <c r="I221" i="23"/>
  <c r="F222" i="23"/>
  <c r="F221" i="23"/>
  <c r="Q193" i="23"/>
  <c r="P193" i="23" s="1"/>
  <c r="Q36" i="22"/>
  <c r="P36" i="22" s="1"/>
  <c r="F222" i="22"/>
  <c r="F221" i="22"/>
  <c r="Q193" i="22"/>
  <c r="P193" i="22" s="1"/>
  <c r="Q36" i="14"/>
  <c r="P36" i="14" s="1"/>
  <c r="D221" i="14"/>
  <c r="Q217" i="2"/>
  <c r="P217" i="2" s="1"/>
  <c r="Q219" i="2"/>
  <c r="P219" i="2" s="1"/>
  <c r="Q215" i="2"/>
  <c r="P215" i="2" s="1"/>
  <c r="Q67" i="2"/>
  <c r="P67" i="2" s="1"/>
  <c r="P250" i="14" l="1"/>
  <c r="Q262" i="2"/>
  <c r="P262" i="2" s="1"/>
  <c r="P250" i="2"/>
  <c r="F226" i="2"/>
  <c r="G226" i="2" s="1"/>
  <c r="Q221" i="22"/>
  <c r="P221" i="22" s="1"/>
  <c r="Q222" i="14"/>
  <c r="P222" i="14" s="1"/>
  <c r="Q221" i="14"/>
  <c r="P221" i="14" s="1"/>
  <c r="Q221" i="23"/>
  <c r="P221" i="23" s="1"/>
  <c r="Q222" i="22"/>
  <c r="P222" i="22" s="1"/>
  <c r="H2" i="2"/>
  <c r="D2" i="2"/>
  <c r="E2" i="2"/>
  <c r="F2" i="2"/>
  <c r="G2" i="2"/>
  <c r="I2" i="2"/>
  <c r="J2" i="2"/>
  <c r="K2" i="2"/>
  <c r="L2" i="2"/>
  <c r="M2" i="2"/>
  <c r="N2" i="2"/>
  <c r="O2" i="2"/>
  <c r="G227" i="2" l="1"/>
  <c r="H227" i="2" s="1"/>
  <c r="D199" i="23"/>
  <c r="Q199" i="23" s="1"/>
  <c r="P199" i="23" s="1"/>
  <c r="Q14" i="23"/>
  <c r="P14" i="23" s="1"/>
  <c r="CR3" i="48"/>
  <c r="CD3" i="48"/>
  <c r="BP3" i="48"/>
  <c r="BB3" i="48"/>
  <c r="AN3" i="48"/>
  <c r="CQ3" i="48"/>
  <c r="CC3" i="48"/>
  <c r="BO3" i="48"/>
  <c r="BA3" i="48"/>
  <c r="AM3" i="48"/>
  <c r="Y3" i="48"/>
  <c r="CP3" i="48"/>
  <c r="CB3" i="48"/>
  <c r="BN3" i="48"/>
  <c r="AZ3" i="48"/>
  <c r="AL3" i="48"/>
  <c r="X3" i="48"/>
  <c r="CO3" i="48"/>
  <c r="CA3" i="48"/>
  <c r="BM3" i="48"/>
  <c r="AY3" i="48"/>
  <c r="W3" i="48"/>
  <c r="CN3" i="48"/>
  <c r="BZ3" i="48"/>
  <c r="BL3" i="48"/>
  <c r="AX3" i="48"/>
  <c r="AJ3" i="48"/>
  <c r="V3" i="48"/>
  <c r="CM3" i="48"/>
  <c r="BY3" i="48"/>
  <c r="BK3" i="48"/>
  <c r="AW3" i="48"/>
  <c r="AI3" i="48"/>
  <c r="CL3" i="48"/>
  <c r="BX3" i="48"/>
  <c r="BJ3" i="48"/>
  <c r="AV3" i="48"/>
  <c r="AH3" i="48"/>
  <c r="T3" i="48"/>
  <c r="AK3" i="48"/>
  <c r="Z3" i="48"/>
  <c r="U3" i="48"/>
  <c r="H226" i="2" l="1"/>
  <c r="I226" i="2" s="1"/>
  <c r="I227" i="2" l="1"/>
  <c r="J227" i="2" s="1"/>
  <c r="Q16" i="23"/>
  <c r="P16" i="23" s="1"/>
  <c r="D201" i="23"/>
  <c r="Q201" i="23" s="1"/>
  <c r="P201" i="23" s="1"/>
  <c r="K221" i="2"/>
  <c r="AC21" i="17"/>
  <c r="CN77" i="17"/>
  <c r="R117" i="17"/>
  <c r="X183" i="17"/>
  <c r="X220" i="17"/>
  <c r="Y249" i="17"/>
  <c r="Z311" i="17"/>
  <c r="W377" i="17"/>
  <c r="X412" i="17"/>
  <c r="G221" i="2"/>
  <c r="CQ440" i="30"/>
  <c r="CJ421" i="30"/>
  <c r="CU380" i="30"/>
  <c r="CK332" i="30"/>
  <c r="CJ272" i="30"/>
  <c r="CG242" i="30"/>
  <c r="AP210" i="30"/>
  <c r="X124" i="30"/>
  <c r="AT91" i="30"/>
  <c r="V75" i="30"/>
  <c r="AG6" i="30"/>
  <c r="AP428" i="24"/>
  <c r="BY393" i="24"/>
  <c r="AA382" i="24"/>
  <c r="T311" i="24"/>
  <c r="Y292" i="24"/>
  <c r="CP234" i="24"/>
  <c r="AT206" i="24"/>
  <c r="BI180" i="24"/>
  <c r="X449" i="17"/>
  <c r="V307" i="17"/>
  <c r="W152" i="17"/>
  <c r="AJ109" i="8"/>
  <c r="AN123" i="8"/>
  <c r="X181" i="8"/>
  <c r="J221" i="2"/>
  <c r="I221" i="2"/>
  <c r="Q183" i="2"/>
  <c r="P183" i="2" s="1"/>
  <c r="Q181" i="2"/>
  <c r="P181" i="2" s="1"/>
  <c r="Q179" i="2"/>
  <c r="P179" i="2" s="1"/>
  <c r="Q177" i="2"/>
  <c r="P177" i="2" s="1"/>
  <c r="Q175" i="2"/>
  <c r="P175" i="2" s="1"/>
  <c r="Q173" i="2"/>
  <c r="P173" i="2" s="1"/>
  <c r="Q171" i="2"/>
  <c r="P171" i="2" s="1"/>
  <c r="Q169" i="2"/>
  <c r="P169" i="2" s="1"/>
  <c r="Q167" i="2"/>
  <c r="P167" i="2" s="1"/>
  <c r="Q165" i="2"/>
  <c r="P165" i="2" s="1"/>
  <c r="Q163" i="2"/>
  <c r="P163" i="2" s="1"/>
  <c r="Q152" i="2"/>
  <c r="P152" i="2" s="1"/>
  <c r="Q150" i="2"/>
  <c r="P150" i="2" s="1"/>
  <c r="Q148" i="2"/>
  <c r="P148" i="2" s="1"/>
  <c r="Q146" i="2"/>
  <c r="P146" i="2" s="1"/>
  <c r="Q144" i="2"/>
  <c r="P144" i="2" s="1"/>
  <c r="Q142" i="2"/>
  <c r="P142" i="2" s="1"/>
  <c r="Q140" i="2"/>
  <c r="P140" i="2" s="1"/>
  <c r="Q138" i="2"/>
  <c r="P138" i="2" s="1"/>
  <c r="Q136" i="2"/>
  <c r="P136" i="2" s="1"/>
  <c r="Q134" i="2"/>
  <c r="P134" i="2" s="1"/>
  <c r="Q132" i="2"/>
  <c r="P132" i="2" s="1"/>
  <c r="Q121" i="2"/>
  <c r="P121" i="2" s="1"/>
  <c r="Q119" i="2"/>
  <c r="P119" i="2" s="1"/>
  <c r="Q117" i="2"/>
  <c r="P117" i="2" s="1"/>
  <c r="Q115" i="2"/>
  <c r="P115" i="2" s="1"/>
  <c r="Q113" i="2"/>
  <c r="P113" i="2" s="1"/>
  <c r="Q111" i="2"/>
  <c r="P111" i="2" s="1"/>
  <c r="Q109" i="2"/>
  <c r="P109" i="2" s="1"/>
  <c r="Q107" i="2"/>
  <c r="P107" i="2" s="1"/>
  <c r="Q105" i="2"/>
  <c r="P105" i="2" s="1"/>
  <c r="Q103" i="2"/>
  <c r="P103" i="2" s="1"/>
  <c r="Q101" i="2"/>
  <c r="P101" i="2" s="1"/>
  <c r="Q90" i="2"/>
  <c r="P90" i="2" s="1"/>
  <c r="Q88" i="2"/>
  <c r="P88" i="2" s="1"/>
  <c r="Q86" i="2"/>
  <c r="P86" i="2" s="1"/>
  <c r="Q84" i="2"/>
  <c r="P84" i="2" s="1"/>
  <c r="Q82" i="2"/>
  <c r="P82" i="2" s="1"/>
  <c r="Q80" i="2"/>
  <c r="P80" i="2" s="1"/>
  <c r="Q78" i="2"/>
  <c r="P78" i="2" s="1"/>
  <c r="Q76" i="2"/>
  <c r="P76" i="2" s="1"/>
  <c r="Q28" i="2"/>
  <c r="P28" i="2" s="1"/>
  <c r="Q26" i="2"/>
  <c r="P26" i="2" s="1"/>
  <c r="Q24" i="2"/>
  <c r="P24" i="2" s="1"/>
  <c r="Q22" i="2"/>
  <c r="P22" i="2" s="1"/>
  <c r="Q20" i="2"/>
  <c r="P20" i="2" s="1"/>
  <c r="Q18" i="2"/>
  <c r="P18" i="2" s="1"/>
  <c r="Q16" i="2"/>
  <c r="P16" i="2" s="1"/>
  <c r="Q14" i="2"/>
  <c r="P14" i="2" s="1"/>
  <c r="Q12" i="2"/>
  <c r="P12" i="2" s="1"/>
  <c r="Q10" i="2"/>
  <c r="P10" i="2" s="1"/>
  <c r="Q8" i="2"/>
  <c r="P8" i="2" s="1"/>
  <c r="CO437" i="30"/>
  <c r="CJ435" i="30"/>
  <c r="CT434" i="30"/>
  <c r="CG456" i="30"/>
  <c r="CE456" i="30"/>
  <c r="CF454" i="30"/>
  <c r="CD454" i="30"/>
  <c r="CD452" i="30"/>
  <c r="CB452" i="30"/>
  <c r="BX452" i="30"/>
  <c r="BZ450" i="30"/>
  <c r="CF447" i="30"/>
  <c r="CA438" i="30"/>
  <c r="CD436" i="30"/>
  <c r="CB436" i="30"/>
  <c r="BZ434" i="30"/>
  <c r="BX434" i="30"/>
  <c r="BV434" i="30"/>
  <c r="CD429" i="30"/>
  <c r="CB429" i="30"/>
  <c r="CA427" i="30"/>
  <c r="BH459" i="30"/>
  <c r="BS458" i="30"/>
  <c r="BL458" i="30"/>
  <c r="BJ458" i="30"/>
  <c r="BS456" i="30"/>
  <c r="BM456" i="30"/>
  <c r="BJ456" i="30"/>
  <c r="BH456" i="30"/>
  <c r="BR455" i="30"/>
  <c r="BQ455" i="30"/>
  <c r="BN455" i="30"/>
  <c r="BM455" i="30"/>
  <c r="BK455" i="30"/>
  <c r="BN454" i="30"/>
  <c r="BM454" i="30"/>
  <c r="BK454" i="30"/>
  <c r="BJ454" i="30"/>
  <c r="BH454" i="30"/>
  <c r="BS453" i="30"/>
  <c r="BR453" i="30"/>
  <c r="BQ453" i="30"/>
  <c r="BN453" i="30"/>
  <c r="BI453" i="30"/>
  <c r="BH453" i="30"/>
  <c r="BS452" i="30"/>
  <c r="BR452" i="30"/>
  <c r="BQ452" i="30"/>
  <c r="BN452" i="30"/>
  <c r="BM452" i="30"/>
  <c r="BL452" i="30"/>
  <c r="BK452" i="30"/>
  <c r="BJ452" i="30"/>
  <c r="BH452" i="30"/>
  <c r="BS451" i="30"/>
  <c r="BR451" i="30"/>
  <c r="BN451" i="30"/>
  <c r="BM451" i="30"/>
  <c r="BK451" i="30"/>
  <c r="BJ451" i="30"/>
  <c r="BI451" i="30"/>
  <c r="BH451" i="30"/>
  <c r="BS450" i="30"/>
  <c r="BM450" i="30"/>
  <c r="BL450" i="30"/>
  <c r="BK450" i="30"/>
  <c r="BJ450" i="30"/>
  <c r="BH450" i="30"/>
  <c r="BS449" i="30"/>
  <c r="BR449" i="30"/>
  <c r="BQ449" i="30"/>
  <c r="BN449" i="30"/>
  <c r="BM449" i="30"/>
  <c r="BK449" i="30"/>
  <c r="BJ449" i="30"/>
  <c r="BI449" i="30"/>
  <c r="BS448" i="30"/>
  <c r="BR448" i="30"/>
  <c r="BQ448" i="30"/>
  <c r="BN448" i="30"/>
  <c r="BM448" i="30"/>
  <c r="BL448" i="30"/>
  <c r="BK448" i="30"/>
  <c r="BH448" i="30"/>
  <c r="BS447" i="30"/>
  <c r="BR447" i="30"/>
  <c r="BQ447" i="30"/>
  <c r="BN447" i="30"/>
  <c r="BM447" i="30"/>
  <c r="BK447" i="30"/>
  <c r="BJ447" i="30"/>
  <c r="BI447" i="30"/>
  <c r="BH447" i="30"/>
  <c r="BS446" i="30"/>
  <c r="BR446" i="30"/>
  <c r="BQ446" i="30"/>
  <c r="BN446" i="30"/>
  <c r="BM446" i="30"/>
  <c r="BL446" i="30"/>
  <c r="BK446" i="30"/>
  <c r="BJ446" i="30"/>
  <c r="BH446" i="30"/>
  <c r="BS445" i="30"/>
  <c r="BR445" i="30"/>
  <c r="BQ445" i="30"/>
  <c r="BN445" i="30"/>
  <c r="BM445" i="30"/>
  <c r="BK445" i="30"/>
  <c r="BJ445" i="30"/>
  <c r="BI445" i="30"/>
  <c r="BH445" i="30"/>
  <c r="BS444" i="30"/>
  <c r="BR444" i="30"/>
  <c r="BQ444" i="30"/>
  <c r="BN444" i="30"/>
  <c r="BM444" i="30"/>
  <c r="BL444" i="30"/>
  <c r="BK444" i="30"/>
  <c r="BJ444" i="30"/>
  <c r="BH444" i="30"/>
  <c r="BS443" i="30"/>
  <c r="BR443" i="30"/>
  <c r="BQ443" i="30"/>
  <c r="BN443" i="30"/>
  <c r="BM443" i="30"/>
  <c r="BK443" i="30"/>
  <c r="BJ443" i="30"/>
  <c r="BI443" i="30"/>
  <c r="BH443" i="30"/>
  <c r="BS442" i="30"/>
  <c r="BR442" i="30"/>
  <c r="BQ442" i="30"/>
  <c r="BN442" i="30"/>
  <c r="BM442" i="30"/>
  <c r="BL442" i="30"/>
  <c r="BK442" i="30"/>
  <c r="BJ442" i="30"/>
  <c r="BH442" i="30"/>
  <c r="BS441" i="30"/>
  <c r="BR441" i="30"/>
  <c r="BQ441" i="30"/>
  <c r="BN441" i="30"/>
  <c r="BM441" i="30"/>
  <c r="BK441" i="30"/>
  <c r="BJ441" i="30"/>
  <c r="BI441" i="30"/>
  <c r="BH441" i="30"/>
  <c r="BS440" i="30"/>
  <c r="BR440" i="30"/>
  <c r="BQ440" i="30"/>
  <c r="BN440" i="30"/>
  <c r="BM440" i="30"/>
  <c r="BL440" i="30"/>
  <c r="BK440" i="30"/>
  <c r="BJ440" i="30"/>
  <c r="BH440" i="30"/>
  <c r="BS439" i="30"/>
  <c r="BR439" i="30"/>
  <c r="BQ439" i="30"/>
  <c r="BN439" i="30"/>
  <c r="BM439" i="30"/>
  <c r="BK439" i="30"/>
  <c r="BJ439" i="30"/>
  <c r="BI439" i="30"/>
  <c r="BH439" i="30"/>
  <c r="BS438" i="30"/>
  <c r="BR438" i="30"/>
  <c r="BQ438" i="30"/>
  <c r="BN438" i="30"/>
  <c r="BM438" i="30"/>
  <c r="BL438" i="30"/>
  <c r="BK438" i="30"/>
  <c r="BJ438" i="30"/>
  <c r="BH438" i="30"/>
  <c r="BS437" i="30"/>
  <c r="BR437" i="30"/>
  <c r="BQ437" i="30"/>
  <c r="BN437" i="30"/>
  <c r="BM437" i="30"/>
  <c r="BK437" i="30"/>
  <c r="BJ437" i="30"/>
  <c r="BI437" i="30"/>
  <c r="BH437" i="30"/>
  <c r="BS436" i="30"/>
  <c r="BR436" i="30"/>
  <c r="BQ436" i="30"/>
  <c r="BN436" i="30"/>
  <c r="BM436" i="30"/>
  <c r="BL436" i="30"/>
  <c r="BK436" i="30"/>
  <c r="BJ436" i="30"/>
  <c r="BH436" i="30"/>
  <c r="BS435" i="30"/>
  <c r="BR435" i="30"/>
  <c r="BQ435" i="30"/>
  <c r="BN435" i="30"/>
  <c r="BM435" i="30"/>
  <c r="BK435" i="30"/>
  <c r="BJ435" i="30"/>
  <c r="BI435" i="30"/>
  <c r="BH435" i="30"/>
  <c r="BS434" i="30"/>
  <c r="BR434" i="30"/>
  <c r="BQ434" i="30"/>
  <c r="BN434" i="30"/>
  <c r="BM434" i="30"/>
  <c r="BL434" i="30"/>
  <c r="BK434" i="30"/>
  <c r="BJ434" i="30"/>
  <c r="BH434" i="30"/>
  <c r="BS433" i="30"/>
  <c r="BR433" i="30"/>
  <c r="BQ433" i="30"/>
  <c r="BN433" i="30"/>
  <c r="BM433" i="30"/>
  <c r="BK433" i="30"/>
  <c r="BJ433" i="30"/>
  <c r="BI433" i="30"/>
  <c r="BH433" i="30"/>
  <c r="BS432" i="30"/>
  <c r="BR432" i="30"/>
  <c r="BQ432" i="30"/>
  <c r="BN432" i="30"/>
  <c r="BM432" i="30"/>
  <c r="BL432" i="30"/>
  <c r="BK432" i="30"/>
  <c r="BJ432" i="30"/>
  <c r="BH432" i="30"/>
  <c r="BS431" i="30"/>
  <c r="BR431" i="30"/>
  <c r="BQ431" i="30"/>
  <c r="BN431" i="30"/>
  <c r="BM431" i="30"/>
  <c r="BK431" i="30"/>
  <c r="BJ431" i="30"/>
  <c r="BI431" i="30"/>
  <c r="BH431" i="30"/>
  <c r="BS430" i="30"/>
  <c r="BR430" i="30"/>
  <c r="BQ430" i="30"/>
  <c r="BN430" i="30"/>
  <c r="BM430" i="30"/>
  <c r="BL430" i="30"/>
  <c r="BK430" i="30"/>
  <c r="BJ430" i="30"/>
  <c r="BH430" i="30"/>
  <c r="BS429" i="30"/>
  <c r="BR429" i="30"/>
  <c r="BQ429" i="30"/>
  <c r="BN429" i="30"/>
  <c r="BM429" i="30"/>
  <c r="BK429" i="30"/>
  <c r="BJ429" i="30"/>
  <c r="BI429" i="30"/>
  <c r="BH429" i="30"/>
  <c r="BS428" i="30"/>
  <c r="BR428" i="30"/>
  <c r="BQ428" i="30"/>
  <c r="BN428" i="30"/>
  <c r="BM428" i="30"/>
  <c r="BL428" i="30"/>
  <c r="BK428" i="30"/>
  <c r="BJ428" i="30"/>
  <c r="BH428" i="30"/>
  <c r="BS427" i="30"/>
  <c r="BR427" i="30"/>
  <c r="BQ427" i="30"/>
  <c r="BN427" i="30"/>
  <c r="BM427" i="30"/>
  <c r="BK427" i="30"/>
  <c r="BJ427" i="30"/>
  <c r="BI427" i="30"/>
  <c r="BH427" i="30"/>
  <c r="BS426" i="30"/>
  <c r="BR426" i="30"/>
  <c r="BQ426" i="30"/>
  <c r="BP426" i="30"/>
  <c r="BO426" i="30"/>
  <c r="BN426" i="30"/>
  <c r="BM426" i="30"/>
  <c r="BL426" i="30"/>
  <c r="BK426" i="30"/>
  <c r="BJ426" i="30"/>
  <c r="BI426" i="30"/>
  <c r="BH426" i="30"/>
  <c r="BS425" i="30"/>
  <c r="BR425" i="30"/>
  <c r="BQ425" i="30"/>
  <c r="BP425" i="30"/>
  <c r="BO425" i="30"/>
  <c r="BN425" i="30"/>
  <c r="BM425" i="30"/>
  <c r="BL425" i="30"/>
  <c r="BK425" i="30"/>
  <c r="BJ425" i="30"/>
  <c r="BI425" i="30"/>
  <c r="BH425" i="30"/>
  <c r="BS424" i="30"/>
  <c r="BR424" i="30"/>
  <c r="BQ424" i="30"/>
  <c r="BP424" i="30"/>
  <c r="BO424" i="30"/>
  <c r="BN424" i="30"/>
  <c r="BM424" i="30"/>
  <c r="BL424" i="30"/>
  <c r="BK424" i="30"/>
  <c r="BJ424" i="30"/>
  <c r="BI424" i="30"/>
  <c r="BH424" i="30"/>
  <c r="BE459" i="30"/>
  <c r="BD459" i="30"/>
  <c r="BC459" i="30"/>
  <c r="BB459" i="30"/>
  <c r="BA459" i="30"/>
  <c r="AZ459" i="30"/>
  <c r="AY459" i="30"/>
  <c r="AX459" i="30"/>
  <c r="AW459" i="30"/>
  <c r="AV459" i="30"/>
  <c r="AU459" i="30"/>
  <c r="AT459" i="30"/>
  <c r="BE458" i="30"/>
  <c r="BD458" i="30"/>
  <c r="BC458" i="30"/>
  <c r="BB458" i="30"/>
  <c r="BA458" i="30"/>
  <c r="AZ458" i="30"/>
  <c r="AY458" i="30"/>
  <c r="AX458" i="30"/>
  <c r="AW458" i="30"/>
  <c r="AV458" i="30"/>
  <c r="AU458" i="30"/>
  <c r="AT458" i="30"/>
  <c r="BE457" i="30"/>
  <c r="BD457" i="30"/>
  <c r="BC457" i="30"/>
  <c r="BB457" i="30"/>
  <c r="BA457" i="30"/>
  <c r="AZ457" i="30"/>
  <c r="AY457" i="30"/>
  <c r="AX457" i="30"/>
  <c r="AW457" i="30"/>
  <c r="AV457" i="30"/>
  <c r="AU457" i="30"/>
  <c r="AT457" i="30"/>
  <c r="BE456" i="30"/>
  <c r="BD456" i="30"/>
  <c r="BC456" i="30"/>
  <c r="BB456" i="30"/>
  <c r="BA456" i="30"/>
  <c r="AZ456" i="30"/>
  <c r="AY456" i="30"/>
  <c r="AX456" i="30"/>
  <c r="AW456" i="30"/>
  <c r="AV456" i="30"/>
  <c r="AU456" i="30"/>
  <c r="AT456" i="30"/>
  <c r="BE455" i="30"/>
  <c r="BD455" i="30"/>
  <c r="BC455" i="30"/>
  <c r="BB455" i="30"/>
  <c r="BA455" i="30"/>
  <c r="AZ455" i="30"/>
  <c r="AY455" i="30"/>
  <c r="AX455" i="30"/>
  <c r="AW455" i="30"/>
  <c r="AV455" i="30"/>
  <c r="AU455" i="30"/>
  <c r="AT455" i="30"/>
  <c r="BE454" i="30"/>
  <c r="BD454" i="30"/>
  <c r="BC454" i="30"/>
  <c r="BB454" i="30"/>
  <c r="BA454" i="30"/>
  <c r="AZ454" i="30"/>
  <c r="AY454" i="30"/>
  <c r="AX454" i="30"/>
  <c r="AW454" i="30"/>
  <c r="AV454" i="30"/>
  <c r="AU454" i="30"/>
  <c r="AT454" i="30"/>
  <c r="BE453" i="30"/>
  <c r="BD453" i="30"/>
  <c r="BC453" i="30"/>
  <c r="BB453" i="30"/>
  <c r="BA453" i="30"/>
  <c r="AZ453" i="30"/>
  <c r="AY453" i="30"/>
  <c r="AX453" i="30"/>
  <c r="AW453" i="30"/>
  <c r="AV453" i="30"/>
  <c r="AU453" i="30"/>
  <c r="AT453" i="30"/>
  <c r="BE452" i="30"/>
  <c r="BD452" i="30"/>
  <c r="BC452" i="30"/>
  <c r="BB452" i="30"/>
  <c r="BA452" i="30"/>
  <c r="AZ452" i="30"/>
  <c r="AY452" i="30"/>
  <c r="AX452" i="30"/>
  <c r="AW452" i="30"/>
  <c r="AV452" i="30"/>
  <c r="AU452" i="30"/>
  <c r="AT452" i="30"/>
  <c r="BE451" i="30"/>
  <c r="BD451" i="30"/>
  <c r="BC451" i="30"/>
  <c r="BB451" i="30"/>
  <c r="BA451" i="30"/>
  <c r="AZ451" i="30"/>
  <c r="AY451" i="30"/>
  <c r="AX451" i="30"/>
  <c r="AW451" i="30"/>
  <c r="AV451" i="30"/>
  <c r="AU451" i="30"/>
  <c r="AT451" i="30"/>
  <c r="BE450" i="30"/>
  <c r="BD450" i="30"/>
  <c r="BC450" i="30"/>
  <c r="BB450" i="30"/>
  <c r="BA450" i="30"/>
  <c r="AZ450" i="30"/>
  <c r="AY450" i="30"/>
  <c r="AX450" i="30"/>
  <c r="AW450" i="30"/>
  <c r="AV450" i="30"/>
  <c r="AU450" i="30"/>
  <c r="AT450" i="30"/>
  <c r="BE449" i="30"/>
  <c r="BD449" i="30"/>
  <c r="BC449" i="30"/>
  <c r="BB449" i="30"/>
  <c r="BA449" i="30"/>
  <c r="AZ449" i="30"/>
  <c r="AY449" i="30"/>
  <c r="AX449" i="30"/>
  <c r="AW449" i="30"/>
  <c r="AV449" i="30"/>
  <c r="AU449" i="30"/>
  <c r="AT449" i="30"/>
  <c r="BE448" i="30"/>
  <c r="BD448" i="30"/>
  <c r="BC448" i="30"/>
  <c r="BB448" i="30"/>
  <c r="BA448" i="30"/>
  <c r="AZ448" i="30"/>
  <c r="AY448" i="30"/>
  <c r="AX448" i="30"/>
  <c r="AW448" i="30"/>
  <c r="AV448" i="30"/>
  <c r="AU448" i="30"/>
  <c r="AT448" i="30"/>
  <c r="BE447" i="30"/>
  <c r="BD447" i="30"/>
  <c r="BC447" i="30"/>
  <c r="BB447" i="30"/>
  <c r="BA447" i="30"/>
  <c r="AZ447" i="30"/>
  <c r="AY447" i="30"/>
  <c r="AX447" i="30"/>
  <c r="AW447" i="30"/>
  <c r="AV447" i="30"/>
  <c r="AU447" i="30"/>
  <c r="AT447" i="30"/>
  <c r="BE446" i="30"/>
  <c r="BD446" i="30"/>
  <c r="BC446" i="30"/>
  <c r="BB446" i="30"/>
  <c r="BA446" i="30"/>
  <c r="AZ446" i="30"/>
  <c r="AY446" i="30"/>
  <c r="AX446" i="30"/>
  <c r="AW446" i="30"/>
  <c r="AV446" i="30"/>
  <c r="AU446" i="30"/>
  <c r="AT446" i="30"/>
  <c r="BE445" i="30"/>
  <c r="BD445" i="30"/>
  <c r="BC445" i="30"/>
  <c r="BB445" i="30"/>
  <c r="BA445" i="30"/>
  <c r="AZ445" i="30"/>
  <c r="AY445" i="30"/>
  <c r="AX445" i="30"/>
  <c r="AW445" i="30"/>
  <c r="AV445" i="30"/>
  <c r="AU445" i="30"/>
  <c r="AT445" i="30"/>
  <c r="BE444" i="30"/>
  <c r="BD444" i="30"/>
  <c r="BC444" i="30"/>
  <c r="BB444" i="30"/>
  <c r="BA444" i="30"/>
  <c r="AZ444" i="30"/>
  <c r="AY444" i="30"/>
  <c r="AX444" i="30"/>
  <c r="AW444" i="30"/>
  <c r="AV444" i="30"/>
  <c r="AU444" i="30"/>
  <c r="AT444" i="30"/>
  <c r="BE443" i="30"/>
  <c r="BD443" i="30"/>
  <c r="BC443" i="30"/>
  <c r="BB443" i="30"/>
  <c r="BA443" i="30"/>
  <c r="AZ443" i="30"/>
  <c r="AY443" i="30"/>
  <c r="AX443" i="30"/>
  <c r="AW443" i="30"/>
  <c r="AV443" i="30"/>
  <c r="AU443" i="30"/>
  <c r="AT443" i="30"/>
  <c r="BE442" i="30"/>
  <c r="BD442" i="30"/>
  <c r="BC442" i="30"/>
  <c r="BB442" i="30"/>
  <c r="BA442" i="30"/>
  <c r="AZ442" i="30"/>
  <c r="AY442" i="30"/>
  <c r="AX442" i="30"/>
  <c r="AW442" i="30"/>
  <c r="AV442" i="30"/>
  <c r="AU442" i="30"/>
  <c r="AT442" i="30"/>
  <c r="BE441" i="30"/>
  <c r="BD441" i="30"/>
  <c r="BC441" i="30"/>
  <c r="BB441" i="30"/>
  <c r="BA441" i="30"/>
  <c r="AZ441" i="30"/>
  <c r="AY441" i="30"/>
  <c r="AX441" i="30"/>
  <c r="AW441" i="30"/>
  <c r="AV441" i="30"/>
  <c r="AU441" i="30"/>
  <c r="AT441" i="30"/>
  <c r="BE440" i="30"/>
  <c r="BD440" i="30"/>
  <c r="BC440" i="30"/>
  <c r="BB440" i="30"/>
  <c r="BA440" i="30"/>
  <c r="AZ440" i="30"/>
  <c r="AY440" i="30"/>
  <c r="AX440" i="30"/>
  <c r="AW440" i="30"/>
  <c r="AV440" i="30"/>
  <c r="AU440" i="30"/>
  <c r="AT440" i="30"/>
  <c r="BE439" i="30"/>
  <c r="BD439" i="30"/>
  <c r="BC439" i="30"/>
  <c r="BB439" i="30"/>
  <c r="BA439" i="30"/>
  <c r="AZ439" i="30"/>
  <c r="AY439" i="30"/>
  <c r="AX439" i="30"/>
  <c r="AW439" i="30"/>
  <c r="AV439" i="30"/>
  <c r="AU439" i="30"/>
  <c r="AT439" i="30"/>
  <c r="BE438" i="30"/>
  <c r="BD438" i="30"/>
  <c r="BC438" i="30"/>
  <c r="BB438" i="30"/>
  <c r="BA438" i="30"/>
  <c r="AZ438" i="30"/>
  <c r="AY438" i="30"/>
  <c r="AX438" i="30"/>
  <c r="AW438" i="30"/>
  <c r="AV438" i="30"/>
  <c r="AU438" i="30"/>
  <c r="AT438" i="30"/>
  <c r="BE437" i="30"/>
  <c r="BD437" i="30"/>
  <c r="BC437" i="30"/>
  <c r="BB437" i="30"/>
  <c r="BA437" i="30"/>
  <c r="AZ437" i="30"/>
  <c r="AY437" i="30"/>
  <c r="AX437" i="30"/>
  <c r="AW437" i="30"/>
  <c r="AV437" i="30"/>
  <c r="AU437" i="30"/>
  <c r="AT437" i="30"/>
  <c r="BE436" i="30"/>
  <c r="BD436" i="30"/>
  <c r="BC436" i="30"/>
  <c r="BB436" i="30"/>
  <c r="BA436" i="30"/>
  <c r="AZ436" i="30"/>
  <c r="AY436" i="30"/>
  <c r="AX436" i="30"/>
  <c r="AW436" i="30"/>
  <c r="AV436" i="30"/>
  <c r="AU436" i="30"/>
  <c r="AT436" i="30"/>
  <c r="BE435" i="30"/>
  <c r="BD435" i="30"/>
  <c r="BC435" i="30"/>
  <c r="BB435" i="30"/>
  <c r="BA435" i="30"/>
  <c r="AZ435" i="30"/>
  <c r="AY435" i="30"/>
  <c r="AX435" i="30"/>
  <c r="AW435" i="30"/>
  <c r="AV435" i="30"/>
  <c r="AU435" i="30"/>
  <c r="AT435" i="30"/>
  <c r="BE434" i="30"/>
  <c r="BD434" i="30"/>
  <c r="BC434" i="30"/>
  <c r="BB434" i="30"/>
  <c r="BA434" i="30"/>
  <c r="AZ434" i="30"/>
  <c r="AY434" i="30"/>
  <c r="AX434" i="30"/>
  <c r="AW434" i="30"/>
  <c r="AV434" i="30"/>
  <c r="AU434" i="30"/>
  <c r="AT434" i="30"/>
  <c r="BE433" i="30"/>
  <c r="BD433" i="30"/>
  <c r="BC433" i="30"/>
  <c r="BB433" i="30"/>
  <c r="BA433" i="30"/>
  <c r="AZ433" i="30"/>
  <c r="AY433" i="30"/>
  <c r="AX433" i="30"/>
  <c r="AW433" i="30"/>
  <c r="AV433" i="30"/>
  <c r="AU433" i="30"/>
  <c r="AT433" i="30"/>
  <c r="BE432" i="30"/>
  <c r="BD432" i="30"/>
  <c r="BC432" i="30"/>
  <c r="BB432" i="30"/>
  <c r="BA432" i="30"/>
  <c r="AZ432" i="30"/>
  <c r="AY432" i="30"/>
  <c r="AX432" i="30"/>
  <c r="AW432" i="30"/>
  <c r="AV432" i="30"/>
  <c r="AU432" i="30"/>
  <c r="AT432" i="30"/>
  <c r="BE431" i="30"/>
  <c r="BD431" i="30"/>
  <c r="BC431" i="30"/>
  <c r="BB431" i="30"/>
  <c r="BA431" i="30"/>
  <c r="AZ431" i="30"/>
  <c r="AY431" i="30"/>
  <c r="AX431" i="30"/>
  <c r="AW431" i="30"/>
  <c r="AV431" i="30"/>
  <c r="AU431" i="30"/>
  <c r="AT431" i="30"/>
  <c r="BE430" i="30"/>
  <c r="BD430" i="30"/>
  <c r="BC430" i="30"/>
  <c r="BB430" i="30"/>
  <c r="BA430" i="30"/>
  <c r="AZ430" i="30"/>
  <c r="AY430" i="30"/>
  <c r="AX430" i="30"/>
  <c r="AW430" i="30"/>
  <c r="AV430" i="30"/>
  <c r="AU430" i="30"/>
  <c r="AT430" i="30"/>
  <c r="BE429" i="30"/>
  <c r="BD429" i="30"/>
  <c r="BC429" i="30"/>
  <c r="BB429" i="30"/>
  <c r="BA429" i="30"/>
  <c r="AZ429" i="30"/>
  <c r="AY429" i="30"/>
  <c r="AX429" i="30"/>
  <c r="AW429" i="30"/>
  <c r="AV429" i="30"/>
  <c r="AU429" i="30"/>
  <c r="AT429" i="30"/>
  <c r="BE428" i="30"/>
  <c r="BD428" i="30"/>
  <c r="BC428" i="30"/>
  <c r="BB428" i="30"/>
  <c r="BA428" i="30"/>
  <c r="AZ428" i="30"/>
  <c r="AY428" i="30"/>
  <c r="AX428" i="30"/>
  <c r="AW428" i="30"/>
  <c r="AV428" i="30"/>
  <c r="AU428" i="30"/>
  <c r="AT428" i="30"/>
  <c r="BE427" i="30"/>
  <c r="BD427" i="30"/>
  <c r="BC427" i="30"/>
  <c r="BB427" i="30"/>
  <c r="BA427" i="30"/>
  <c r="AZ427" i="30"/>
  <c r="AY427" i="30"/>
  <c r="AX427" i="30"/>
  <c r="AW427" i="30"/>
  <c r="AV427" i="30"/>
  <c r="AU427" i="30"/>
  <c r="AT427" i="30"/>
  <c r="BE426" i="30"/>
  <c r="BD426" i="30"/>
  <c r="BC426" i="30"/>
  <c r="BB426" i="30"/>
  <c r="BA426" i="30"/>
  <c r="AZ426" i="30"/>
  <c r="AY426" i="30"/>
  <c r="AX426" i="30"/>
  <c r="AW426" i="30"/>
  <c r="AV426" i="30"/>
  <c r="AU426" i="30"/>
  <c r="AT426" i="30"/>
  <c r="BE425" i="30"/>
  <c r="BD425" i="30"/>
  <c r="BC425" i="30"/>
  <c r="BB425" i="30"/>
  <c r="BA425" i="30"/>
  <c r="AZ425" i="30"/>
  <c r="AY425" i="30"/>
  <c r="AX425" i="30"/>
  <c r="AW425" i="30"/>
  <c r="AV425" i="30"/>
  <c r="AU425" i="30"/>
  <c r="AT425" i="30"/>
  <c r="BE424" i="30"/>
  <c r="BD424" i="30"/>
  <c r="BC424" i="30"/>
  <c r="BB424" i="30"/>
  <c r="BA424" i="30"/>
  <c r="AZ424" i="30"/>
  <c r="AY424" i="30"/>
  <c r="AX424" i="30"/>
  <c r="AW424" i="30"/>
  <c r="AV424" i="30"/>
  <c r="AU424" i="30"/>
  <c r="AT424" i="30"/>
  <c r="AV393" i="30"/>
  <c r="BA225" i="30"/>
  <c r="AZ225" i="30"/>
  <c r="AY225" i="30"/>
  <c r="AX224" i="30"/>
  <c r="BE221" i="30"/>
  <c r="AY207" i="30"/>
  <c r="AX207" i="30"/>
  <c r="AW205" i="30"/>
  <c r="AX203" i="30"/>
  <c r="BC201" i="30"/>
  <c r="BB201" i="30"/>
  <c r="AY201" i="30"/>
  <c r="AX201" i="30"/>
  <c r="AT201" i="30"/>
  <c r="AZ198" i="30"/>
  <c r="AQ459" i="30"/>
  <c r="AP459" i="30"/>
  <c r="AO459" i="30"/>
  <c r="AN459" i="30"/>
  <c r="AM459" i="30"/>
  <c r="AL459" i="30"/>
  <c r="AK459" i="30"/>
  <c r="AJ459" i="30"/>
  <c r="AI459" i="30"/>
  <c r="AH459" i="30"/>
  <c r="AG459" i="30"/>
  <c r="AF459" i="30"/>
  <c r="AQ458" i="30"/>
  <c r="AP458" i="30"/>
  <c r="AO458" i="30"/>
  <c r="AN458" i="30"/>
  <c r="AM458" i="30"/>
  <c r="AL458" i="30"/>
  <c r="AK458" i="30"/>
  <c r="AJ458" i="30"/>
  <c r="AI458" i="30"/>
  <c r="AH458" i="30"/>
  <c r="AG458" i="30"/>
  <c r="AF458" i="30"/>
  <c r="AQ457" i="30"/>
  <c r="AP457" i="30"/>
  <c r="AO457" i="30"/>
  <c r="AN457" i="30"/>
  <c r="AM457" i="30"/>
  <c r="AL457" i="30"/>
  <c r="AK457" i="30"/>
  <c r="AJ457" i="30"/>
  <c r="AI457" i="30"/>
  <c r="AH457" i="30"/>
  <c r="AG457" i="30"/>
  <c r="AF457" i="30"/>
  <c r="AQ456" i="30"/>
  <c r="AP456" i="30"/>
  <c r="AO456" i="30"/>
  <c r="AN456" i="30"/>
  <c r="AM456" i="30"/>
  <c r="AL456" i="30"/>
  <c r="AK456" i="30"/>
  <c r="AJ456" i="30"/>
  <c r="AI456" i="30"/>
  <c r="AH456" i="30"/>
  <c r="AG456" i="30"/>
  <c r="AF456" i="30"/>
  <c r="AQ455" i="30"/>
  <c r="AP455" i="30"/>
  <c r="AO455" i="30"/>
  <c r="AN455" i="30"/>
  <c r="AM455" i="30"/>
  <c r="AL455" i="30"/>
  <c r="AK455" i="30"/>
  <c r="AJ455" i="30"/>
  <c r="AI455" i="30"/>
  <c r="AH455" i="30"/>
  <c r="AG455" i="30"/>
  <c r="AF455" i="30"/>
  <c r="AQ454" i="30"/>
  <c r="AP454" i="30"/>
  <c r="AO454" i="30"/>
  <c r="AN454" i="30"/>
  <c r="AM454" i="30"/>
  <c r="AL454" i="30"/>
  <c r="AK454" i="30"/>
  <c r="AJ454" i="30"/>
  <c r="AI454" i="30"/>
  <c r="AH454" i="30"/>
  <c r="AG454" i="30"/>
  <c r="AF454" i="30"/>
  <c r="AQ453" i="30"/>
  <c r="AP453" i="30"/>
  <c r="AO453" i="30"/>
  <c r="AN453" i="30"/>
  <c r="AM453" i="30"/>
  <c r="AL453" i="30"/>
  <c r="AK453" i="30"/>
  <c r="AJ453" i="30"/>
  <c r="AI453" i="30"/>
  <c r="AH453" i="30"/>
  <c r="AG453" i="30"/>
  <c r="AF453" i="30"/>
  <c r="AQ452" i="30"/>
  <c r="AP452" i="30"/>
  <c r="AO452" i="30"/>
  <c r="AN452" i="30"/>
  <c r="AM452" i="30"/>
  <c r="AL452" i="30"/>
  <c r="AK452" i="30"/>
  <c r="AJ452" i="30"/>
  <c r="AI452" i="30"/>
  <c r="AH452" i="30"/>
  <c r="AG452" i="30"/>
  <c r="AF452" i="30"/>
  <c r="AQ451" i="30"/>
  <c r="AP451" i="30"/>
  <c r="AO451" i="30"/>
  <c r="AN451" i="30"/>
  <c r="AM451" i="30"/>
  <c r="AL451" i="30"/>
  <c r="AK451" i="30"/>
  <c r="AJ451" i="30"/>
  <c r="AI451" i="30"/>
  <c r="AH451" i="30"/>
  <c r="AG451" i="30"/>
  <c r="AF451" i="30"/>
  <c r="AQ450" i="30"/>
  <c r="AP450" i="30"/>
  <c r="AO450" i="30"/>
  <c r="AN450" i="30"/>
  <c r="AM450" i="30"/>
  <c r="AL450" i="30"/>
  <c r="AK450" i="30"/>
  <c r="AJ450" i="30"/>
  <c r="AI450" i="30"/>
  <c r="AH450" i="30"/>
  <c r="AG450" i="30"/>
  <c r="AF450" i="30"/>
  <c r="AQ449" i="30"/>
  <c r="AP449" i="30"/>
  <c r="AO449" i="30"/>
  <c r="AN449" i="30"/>
  <c r="AM449" i="30"/>
  <c r="AL449" i="30"/>
  <c r="AK449" i="30"/>
  <c r="AJ449" i="30"/>
  <c r="AI449" i="30"/>
  <c r="AH449" i="30"/>
  <c r="AG449" i="30"/>
  <c r="AF449" i="30"/>
  <c r="AQ448" i="30"/>
  <c r="AP448" i="30"/>
  <c r="AO448" i="30"/>
  <c r="AN448" i="30"/>
  <c r="AM448" i="30"/>
  <c r="AL448" i="30"/>
  <c r="AK448" i="30"/>
  <c r="AJ448" i="30"/>
  <c r="AI448" i="30"/>
  <c r="AH448" i="30"/>
  <c r="AG448" i="30"/>
  <c r="AF448" i="30"/>
  <c r="AQ447" i="30"/>
  <c r="AP447" i="30"/>
  <c r="AO447" i="30"/>
  <c r="AN447" i="30"/>
  <c r="AM447" i="30"/>
  <c r="AL447" i="30"/>
  <c r="AK447" i="30"/>
  <c r="AJ447" i="30"/>
  <c r="AI447" i="30"/>
  <c r="AH447" i="30"/>
  <c r="AG447" i="30"/>
  <c r="AF447" i="30"/>
  <c r="AQ446" i="30"/>
  <c r="AP446" i="30"/>
  <c r="AO446" i="30"/>
  <c r="AN446" i="30"/>
  <c r="AM446" i="30"/>
  <c r="AL446" i="30"/>
  <c r="AK446" i="30"/>
  <c r="AJ446" i="30"/>
  <c r="AI446" i="30"/>
  <c r="AH446" i="30"/>
  <c r="AG446" i="30"/>
  <c r="AF446" i="30"/>
  <c r="AQ445" i="30"/>
  <c r="AP445" i="30"/>
  <c r="AO445" i="30"/>
  <c r="AN445" i="30"/>
  <c r="AM445" i="30"/>
  <c r="AL445" i="30"/>
  <c r="AK445" i="30"/>
  <c r="AJ445" i="30"/>
  <c r="AI445" i="30"/>
  <c r="AH445" i="30"/>
  <c r="AG445" i="30"/>
  <c r="AF445" i="30"/>
  <c r="AQ444" i="30"/>
  <c r="AP444" i="30"/>
  <c r="AO444" i="30"/>
  <c r="AN444" i="30"/>
  <c r="AM444" i="30"/>
  <c r="AL444" i="30"/>
  <c r="AK444" i="30"/>
  <c r="AJ444" i="30"/>
  <c r="AI444" i="30"/>
  <c r="AH444" i="30"/>
  <c r="AG444" i="30"/>
  <c r="AF444" i="30"/>
  <c r="AQ443" i="30"/>
  <c r="AP443" i="30"/>
  <c r="AO443" i="30"/>
  <c r="AN443" i="30"/>
  <c r="AM443" i="30"/>
  <c r="AL443" i="30"/>
  <c r="AK443" i="30"/>
  <c r="AJ443" i="30"/>
  <c r="AI443" i="30"/>
  <c r="AH443" i="30"/>
  <c r="AG443" i="30"/>
  <c r="AF443" i="30"/>
  <c r="AQ442" i="30"/>
  <c r="AP442" i="30"/>
  <c r="AO442" i="30"/>
  <c r="AN442" i="30"/>
  <c r="AM442" i="30"/>
  <c r="AL442" i="30"/>
  <c r="AK442" i="30"/>
  <c r="AJ442" i="30"/>
  <c r="AI442" i="30"/>
  <c r="AH442" i="30"/>
  <c r="AG442" i="30"/>
  <c r="AF442" i="30"/>
  <c r="AQ441" i="30"/>
  <c r="AP441" i="30"/>
  <c r="AO441" i="30"/>
  <c r="AN441" i="30"/>
  <c r="AM441" i="30"/>
  <c r="AL441" i="30"/>
  <c r="AK441" i="30"/>
  <c r="AJ441" i="30"/>
  <c r="AI441" i="30"/>
  <c r="AH441" i="30"/>
  <c r="AG441" i="30"/>
  <c r="AF441" i="30"/>
  <c r="AQ440" i="30"/>
  <c r="AP440" i="30"/>
  <c r="AO440" i="30"/>
  <c r="AN440" i="30"/>
  <c r="AM440" i="30"/>
  <c r="AL440" i="30"/>
  <c r="AK440" i="30"/>
  <c r="AJ440" i="30"/>
  <c r="AI440" i="30"/>
  <c r="AH440" i="30"/>
  <c r="AG440" i="30"/>
  <c r="AF440" i="30"/>
  <c r="AQ439" i="30"/>
  <c r="AP439" i="30"/>
  <c r="AO439" i="30"/>
  <c r="AN439" i="30"/>
  <c r="AM439" i="30"/>
  <c r="AL439" i="30"/>
  <c r="AK439" i="30"/>
  <c r="AJ439" i="30"/>
  <c r="AI439" i="30"/>
  <c r="AH439" i="30"/>
  <c r="AG439" i="30"/>
  <c r="AF439" i="30"/>
  <c r="AQ438" i="30"/>
  <c r="AP438" i="30"/>
  <c r="AO438" i="30"/>
  <c r="AN438" i="30"/>
  <c r="AM438" i="30"/>
  <c r="AL438" i="30"/>
  <c r="AK438" i="30"/>
  <c r="AJ438" i="30"/>
  <c r="AI438" i="30"/>
  <c r="AH438" i="30"/>
  <c r="AG438" i="30"/>
  <c r="AF438" i="30"/>
  <c r="AQ437" i="30"/>
  <c r="AP437" i="30"/>
  <c r="AO437" i="30"/>
  <c r="AN437" i="30"/>
  <c r="AM437" i="30"/>
  <c r="AL437" i="30"/>
  <c r="AK437" i="30"/>
  <c r="AJ437" i="30"/>
  <c r="AI437" i="30"/>
  <c r="AH437" i="30"/>
  <c r="AG437" i="30"/>
  <c r="AF437" i="30"/>
  <c r="AQ436" i="30"/>
  <c r="AP436" i="30"/>
  <c r="AO436" i="30"/>
  <c r="AN436" i="30"/>
  <c r="AM436" i="30"/>
  <c r="AL436" i="30"/>
  <c r="AK436" i="30"/>
  <c r="AJ436" i="30"/>
  <c r="AI436" i="30"/>
  <c r="AH436" i="30"/>
  <c r="AG436" i="30"/>
  <c r="AF436" i="30"/>
  <c r="AQ435" i="30"/>
  <c r="AP435" i="30"/>
  <c r="AO435" i="30"/>
  <c r="AN435" i="30"/>
  <c r="AM435" i="30"/>
  <c r="AL435" i="30"/>
  <c r="AK435" i="30"/>
  <c r="AJ435" i="30"/>
  <c r="AI435" i="30"/>
  <c r="AH435" i="30"/>
  <c r="AG435" i="30"/>
  <c r="AF435" i="30"/>
  <c r="AQ434" i="30"/>
  <c r="AP434" i="30"/>
  <c r="AO434" i="30"/>
  <c r="AN434" i="30"/>
  <c r="AM434" i="30"/>
  <c r="AL434" i="30"/>
  <c r="AK434" i="30"/>
  <c r="AJ434" i="30"/>
  <c r="AI434" i="30"/>
  <c r="AH434" i="30"/>
  <c r="AG434" i="30"/>
  <c r="AF434" i="30"/>
  <c r="AQ433" i="30"/>
  <c r="AP433" i="30"/>
  <c r="AO433" i="30"/>
  <c r="AN433" i="30"/>
  <c r="AM433" i="30"/>
  <c r="AL433" i="30"/>
  <c r="AK433" i="30"/>
  <c r="AJ433" i="30"/>
  <c r="AI433" i="30"/>
  <c r="AH433" i="30"/>
  <c r="AG433" i="30"/>
  <c r="AF433" i="30"/>
  <c r="AQ432" i="30"/>
  <c r="AP432" i="30"/>
  <c r="AO432" i="30"/>
  <c r="AN432" i="30"/>
  <c r="AM432" i="30"/>
  <c r="AL432" i="30"/>
  <c r="AK432" i="30"/>
  <c r="AJ432" i="30"/>
  <c r="AI432" i="30"/>
  <c r="AH432" i="30"/>
  <c r="AG432" i="30"/>
  <c r="AF432" i="30"/>
  <c r="AQ431" i="30"/>
  <c r="AP431" i="30"/>
  <c r="AO431" i="30"/>
  <c r="AN431" i="30"/>
  <c r="AM431" i="30"/>
  <c r="AL431" i="30"/>
  <c r="AK431" i="30"/>
  <c r="AJ431" i="30"/>
  <c r="AI431" i="30"/>
  <c r="AH431" i="30"/>
  <c r="AG431" i="30"/>
  <c r="AF431" i="30"/>
  <c r="AQ430" i="30"/>
  <c r="AP430" i="30"/>
  <c r="AO430" i="30"/>
  <c r="AN430" i="30"/>
  <c r="AM430" i="30"/>
  <c r="AL430" i="30"/>
  <c r="AK430" i="30"/>
  <c r="AJ430" i="30"/>
  <c r="AI430" i="30"/>
  <c r="AH430" i="30"/>
  <c r="AG430" i="30"/>
  <c r="AF430" i="30"/>
  <c r="AQ429" i="30"/>
  <c r="AP429" i="30"/>
  <c r="AO429" i="30"/>
  <c r="AN429" i="30"/>
  <c r="AM429" i="30"/>
  <c r="AL429" i="30"/>
  <c r="AK429" i="30"/>
  <c r="AJ429" i="30"/>
  <c r="AI429" i="30"/>
  <c r="AH429" i="30"/>
  <c r="AG429" i="30"/>
  <c r="AF429" i="30"/>
  <c r="AQ428" i="30"/>
  <c r="AP428" i="30"/>
  <c r="AO428" i="30"/>
  <c r="AN428" i="30"/>
  <c r="AM428" i="30"/>
  <c r="AL428" i="30"/>
  <c r="AK428" i="30"/>
  <c r="AJ428" i="30"/>
  <c r="AI428" i="30"/>
  <c r="AH428" i="30"/>
  <c r="AG428" i="30"/>
  <c r="AF428" i="30"/>
  <c r="AQ427" i="30"/>
  <c r="AP427" i="30"/>
  <c r="AO427" i="30"/>
  <c r="AN427" i="30"/>
  <c r="AM427" i="30"/>
  <c r="AL427" i="30"/>
  <c r="AK427" i="30"/>
  <c r="AJ427" i="30"/>
  <c r="AI427" i="30"/>
  <c r="AH427" i="30"/>
  <c r="AG427" i="30"/>
  <c r="AF427" i="30"/>
  <c r="AQ426" i="30"/>
  <c r="AP426" i="30"/>
  <c r="AO426" i="30"/>
  <c r="AN426" i="30"/>
  <c r="AM426" i="30"/>
  <c r="AL426" i="30"/>
  <c r="AK426" i="30"/>
  <c r="AJ426" i="30"/>
  <c r="AI426" i="30"/>
  <c r="AH426" i="30"/>
  <c r="AG426" i="30"/>
  <c r="AF426" i="30"/>
  <c r="AQ425" i="30"/>
  <c r="AP425" i="30"/>
  <c r="AO425" i="30"/>
  <c r="AN425" i="30"/>
  <c r="AM425" i="30"/>
  <c r="AL425" i="30"/>
  <c r="AK425" i="30"/>
  <c r="AJ425" i="30"/>
  <c r="AI425" i="30"/>
  <c r="AH425" i="30"/>
  <c r="AG425" i="30"/>
  <c r="AF425" i="30"/>
  <c r="AQ424" i="30"/>
  <c r="AP424" i="30"/>
  <c r="AO424" i="30"/>
  <c r="AN424" i="30"/>
  <c r="AM424" i="30"/>
  <c r="AL424" i="30"/>
  <c r="AK424" i="30"/>
  <c r="AJ424" i="30"/>
  <c r="AI424" i="30"/>
  <c r="AH424" i="30"/>
  <c r="AG424" i="30"/>
  <c r="AF424" i="30"/>
  <c r="AF391" i="30"/>
  <c r="AP390" i="30"/>
  <c r="AF389" i="30"/>
  <c r="AN229" i="30"/>
  <c r="AN228" i="30"/>
  <c r="AK225" i="30"/>
  <c r="AJ225" i="30"/>
  <c r="AK223" i="30"/>
  <c r="AJ221" i="30"/>
  <c r="AH219" i="30"/>
  <c r="AF219" i="30"/>
  <c r="AP218" i="30"/>
  <c r="AO218" i="30"/>
  <c r="AP217" i="30"/>
  <c r="AJ217" i="30"/>
  <c r="AI217" i="30"/>
  <c r="AL201" i="30"/>
  <c r="AL199" i="30"/>
  <c r="AK199" i="30"/>
  <c r="AP196" i="30"/>
  <c r="AO196" i="30"/>
  <c r="AK116" i="30"/>
  <c r="AJ92" i="30"/>
  <c r="AQ91" i="30"/>
  <c r="AJ37" i="30"/>
  <c r="AI37" i="30"/>
  <c r="AP26" i="30"/>
  <c r="AL24" i="30"/>
  <c r="AC459" i="30"/>
  <c r="AB459" i="30"/>
  <c r="AA459" i="30"/>
  <c r="Z459" i="30"/>
  <c r="Y459" i="30"/>
  <c r="X459" i="30"/>
  <c r="W459" i="30"/>
  <c r="V459" i="30"/>
  <c r="U459" i="30"/>
  <c r="T459" i="30"/>
  <c r="S459" i="30"/>
  <c r="R459" i="30"/>
  <c r="AC458" i="30"/>
  <c r="AB458" i="30"/>
  <c r="AA458" i="30"/>
  <c r="Z458" i="30"/>
  <c r="Y458" i="30"/>
  <c r="X458" i="30"/>
  <c r="W458" i="30"/>
  <c r="V458" i="30"/>
  <c r="U458" i="30"/>
  <c r="T458" i="30"/>
  <c r="S458" i="30"/>
  <c r="R458" i="30"/>
  <c r="AC457" i="30"/>
  <c r="AB457" i="30"/>
  <c r="AA457" i="30"/>
  <c r="Z457" i="30"/>
  <c r="Y457" i="30"/>
  <c r="X457" i="30"/>
  <c r="W457" i="30"/>
  <c r="V457" i="30"/>
  <c r="U457" i="30"/>
  <c r="T457" i="30"/>
  <c r="S457" i="30"/>
  <c r="R457" i="30"/>
  <c r="AC456" i="30"/>
  <c r="AB456" i="30"/>
  <c r="AA456" i="30"/>
  <c r="Z456" i="30"/>
  <c r="Y456" i="30"/>
  <c r="X456" i="30"/>
  <c r="W456" i="30"/>
  <c r="V456" i="30"/>
  <c r="U456" i="30"/>
  <c r="T456" i="30"/>
  <c r="S456" i="30"/>
  <c r="R456" i="30"/>
  <c r="AC455" i="30"/>
  <c r="AB455" i="30"/>
  <c r="AA455" i="30"/>
  <c r="Z455" i="30"/>
  <c r="Y455" i="30"/>
  <c r="X455" i="30"/>
  <c r="W455" i="30"/>
  <c r="V455" i="30"/>
  <c r="U455" i="30"/>
  <c r="T455" i="30"/>
  <c r="S455" i="30"/>
  <c r="R455" i="30"/>
  <c r="AC454" i="30"/>
  <c r="AB454" i="30"/>
  <c r="AA454" i="30"/>
  <c r="Z454" i="30"/>
  <c r="Y454" i="30"/>
  <c r="X454" i="30"/>
  <c r="W454" i="30"/>
  <c r="V454" i="30"/>
  <c r="U454" i="30"/>
  <c r="T454" i="30"/>
  <c r="S454" i="30"/>
  <c r="R454" i="30"/>
  <c r="AC453" i="30"/>
  <c r="AB453" i="30"/>
  <c r="AA453" i="30"/>
  <c r="Z453" i="30"/>
  <c r="Y453" i="30"/>
  <c r="X453" i="30"/>
  <c r="W453" i="30"/>
  <c r="V453" i="30"/>
  <c r="U453" i="30"/>
  <c r="T453" i="30"/>
  <c r="S453" i="30"/>
  <c r="R453" i="30"/>
  <c r="AC452" i="30"/>
  <c r="AB452" i="30"/>
  <c r="AA452" i="30"/>
  <c r="Z452" i="30"/>
  <c r="Y452" i="30"/>
  <c r="X452" i="30"/>
  <c r="W452" i="30"/>
  <c r="V452" i="30"/>
  <c r="U452" i="30"/>
  <c r="T452" i="30"/>
  <c r="S452" i="30"/>
  <c r="R452" i="30"/>
  <c r="AC451" i="30"/>
  <c r="AB451" i="30"/>
  <c r="AA451" i="30"/>
  <c r="Z451" i="30"/>
  <c r="Y451" i="30"/>
  <c r="X451" i="30"/>
  <c r="W451" i="30"/>
  <c r="V451" i="30"/>
  <c r="U451" i="30"/>
  <c r="T451" i="30"/>
  <c r="S451" i="30"/>
  <c r="R451" i="30"/>
  <c r="AC450" i="30"/>
  <c r="AB450" i="30"/>
  <c r="AA450" i="30"/>
  <c r="Z450" i="30"/>
  <c r="Y450" i="30"/>
  <c r="X450" i="30"/>
  <c r="W450" i="30"/>
  <c r="V450" i="30"/>
  <c r="U450" i="30"/>
  <c r="T450" i="30"/>
  <c r="S450" i="30"/>
  <c r="R450" i="30"/>
  <c r="AC449" i="30"/>
  <c r="AB449" i="30"/>
  <c r="AA449" i="30"/>
  <c r="Z449" i="30"/>
  <c r="Y449" i="30"/>
  <c r="X449" i="30"/>
  <c r="W449" i="30"/>
  <c r="V449" i="30"/>
  <c r="U449" i="30"/>
  <c r="T449" i="30"/>
  <c r="S449" i="30"/>
  <c r="R449" i="30"/>
  <c r="AC448" i="30"/>
  <c r="AB448" i="30"/>
  <c r="AA448" i="30"/>
  <c r="Z448" i="30"/>
  <c r="Y448" i="30"/>
  <c r="X448" i="30"/>
  <c r="W448" i="30"/>
  <c r="V448" i="30"/>
  <c r="U448" i="30"/>
  <c r="T448" i="30"/>
  <c r="S448" i="30"/>
  <c r="R448" i="30"/>
  <c r="AC447" i="30"/>
  <c r="AB447" i="30"/>
  <c r="AA447" i="30"/>
  <c r="Z447" i="30"/>
  <c r="Y447" i="30"/>
  <c r="X447" i="30"/>
  <c r="W447" i="30"/>
  <c r="V447" i="30"/>
  <c r="U447" i="30"/>
  <c r="T447" i="30"/>
  <c r="S447" i="30"/>
  <c r="R447" i="30"/>
  <c r="AC446" i="30"/>
  <c r="AB446" i="30"/>
  <c r="AA446" i="30"/>
  <c r="Z446" i="30"/>
  <c r="Y446" i="30"/>
  <c r="X446" i="30"/>
  <c r="W446" i="30"/>
  <c r="V446" i="30"/>
  <c r="U446" i="30"/>
  <c r="T446" i="30"/>
  <c r="S446" i="30"/>
  <c r="R446" i="30"/>
  <c r="AC445" i="30"/>
  <c r="AB445" i="30"/>
  <c r="AA445" i="30"/>
  <c r="Z445" i="30"/>
  <c r="Y445" i="30"/>
  <c r="X445" i="30"/>
  <c r="W445" i="30"/>
  <c r="V445" i="30"/>
  <c r="U445" i="30"/>
  <c r="T445" i="30"/>
  <c r="S445" i="30"/>
  <c r="R445" i="30"/>
  <c r="AC444" i="30"/>
  <c r="AB444" i="30"/>
  <c r="AA444" i="30"/>
  <c r="Z444" i="30"/>
  <c r="Y444" i="30"/>
  <c r="X444" i="30"/>
  <c r="W444" i="30"/>
  <c r="V444" i="30"/>
  <c r="U444" i="30"/>
  <c r="T444" i="30"/>
  <c r="S444" i="30"/>
  <c r="R444" i="30"/>
  <c r="AC443" i="30"/>
  <c r="AB443" i="30"/>
  <c r="AA443" i="30"/>
  <c r="Z443" i="30"/>
  <c r="Y443" i="30"/>
  <c r="X443" i="30"/>
  <c r="W443" i="30"/>
  <c r="V443" i="30"/>
  <c r="U443" i="30"/>
  <c r="T443" i="30"/>
  <c r="S443" i="30"/>
  <c r="R443" i="30"/>
  <c r="AC442" i="30"/>
  <c r="AB442" i="30"/>
  <c r="AA442" i="30"/>
  <c r="Z442" i="30"/>
  <c r="Y442" i="30"/>
  <c r="X442" i="30"/>
  <c r="W442" i="30"/>
  <c r="V442" i="30"/>
  <c r="U442" i="30"/>
  <c r="T442" i="30"/>
  <c r="S442" i="30"/>
  <c r="R442" i="30"/>
  <c r="AC441" i="30"/>
  <c r="AB441" i="30"/>
  <c r="AA441" i="30"/>
  <c r="Z441" i="30"/>
  <c r="Y441" i="30"/>
  <c r="X441" i="30"/>
  <c r="W441" i="30"/>
  <c r="V441" i="30"/>
  <c r="U441" i="30"/>
  <c r="T441" i="30"/>
  <c r="S441" i="30"/>
  <c r="R441" i="30"/>
  <c r="AC440" i="30"/>
  <c r="AB440" i="30"/>
  <c r="AA440" i="30"/>
  <c r="Z440" i="30"/>
  <c r="Y440" i="30"/>
  <c r="X440" i="30"/>
  <c r="W440" i="30"/>
  <c r="V440" i="30"/>
  <c r="U440" i="30"/>
  <c r="T440" i="30"/>
  <c r="S440" i="30"/>
  <c r="R440" i="30"/>
  <c r="AC439" i="30"/>
  <c r="AB439" i="30"/>
  <c r="AA439" i="30"/>
  <c r="Z439" i="30"/>
  <c r="Y439" i="30"/>
  <c r="X439" i="30"/>
  <c r="W439" i="30"/>
  <c r="V439" i="30"/>
  <c r="U439" i="30"/>
  <c r="T439" i="30"/>
  <c r="S439" i="30"/>
  <c r="R439" i="30"/>
  <c r="AC438" i="30"/>
  <c r="AB438" i="30"/>
  <c r="AA438" i="30"/>
  <c r="Z438" i="30"/>
  <c r="Y438" i="30"/>
  <c r="X438" i="30"/>
  <c r="W438" i="30"/>
  <c r="V438" i="30"/>
  <c r="U438" i="30"/>
  <c r="T438" i="30"/>
  <c r="S438" i="30"/>
  <c r="R438" i="30"/>
  <c r="AC437" i="30"/>
  <c r="AB437" i="30"/>
  <c r="AA437" i="30"/>
  <c r="Z437" i="30"/>
  <c r="Y437" i="30"/>
  <c r="X437" i="30"/>
  <c r="W437" i="30"/>
  <c r="V437" i="30"/>
  <c r="U437" i="30"/>
  <c r="T437" i="30"/>
  <c r="S437" i="30"/>
  <c r="R437" i="30"/>
  <c r="AC436" i="30"/>
  <c r="AB436" i="30"/>
  <c r="AA436" i="30"/>
  <c r="Z436" i="30"/>
  <c r="Y436" i="30"/>
  <c r="X436" i="30"/>
  <c r="W436" i="30"/>
  <c r="V436" i="30"/>
  <c r="U436" i="30"/>
  <c r="T436" i="30"/>
  <c r="S436" i="30"/>
  <c r="R436" i="30"/>
  <c r="AC435" i="30"/>
  <c r="AB435" i="30"/>
  <c r="AA435" i="30"/>
  <c r="Z435" i="30"/>
  <c r="Y435" i="30"/>
  <c r="X435" i="30"/>
  <c r="W435" i="30"/>
  <c r="V435" i="30"/>
  <c r="U435" i="30"/>
  <c r="T435" i="30"/>
  <c r="S435" i="30"/>
  <c r="R435" i="30"/>
  <c r="AC434" i="30"/>
  <c r="AB434" i="30"/>
  <c r="AA434" i="30"/>
  <c r="Z434" i="30"/>
  <c r="Y434" i="30"/>
  <c r="X434" i="30"/>
  <c r="W434" i="30"/>
  <c r="V434" i="30"/>
  <c r="U434" i="30"/>
  <c r="T434" i="30"/>
  <c r="S434" i="30"/>
  <c r="R434" i="30"/>
  <c r="AC433" i="30"/>
  <c r="AB433" i="30"/>
  <c r="AA433" i="30"/>
  <c r="Z433" i="30"/>
  <c r="Y433" i="30"/>
  <c r="X433" i="30"/>
  <c r="W433" i="30"/>
  <c r="V433" i="30"/>
  <c r="U433" i="30"/>
  <c r="T433" i="30"/>
  <c r="S433" i="30"/>
  <c r="R433" i="30"/>
  <c r="AC432" i="30"/>
  <c r="AB432" i="30"/>
  <c r="AA432" i="30"/>
  <c r="Z432" i="30"/>
  <c r="Y432" i="30"/>
  <c r="X432" i="30"/>
  <c r="W432" i="30"/>
  <c r="V432" i="30"/>
  <c r="U432" i="30"/>
  <c r="T432" i="30"/>
  <c r="S432" i="30"/>
  <c r="R432" i="30"/>
  <c r="AC431" i="30"/>
  <c r="AB431" i="30"/>
  <c r="AA431" i="30"/>
  <c r="Z431" i="30"/>
  <c r="Y431" i="30"/>
  <c r="X431" i="30"/>
  <c r="W431" i="30"/>
  <c r="V431" i="30"/>
  <c r="U431" i="30"/>
  <c r="T431" i="30"/>
  <c r="S431" i="30"/>
  <c r="R431" i="30"/>
  <c r="AC430" i="30"/>
  <c r="AB430" i="30"/>
  <c r="AA430" i="30"/>
  <c r="Z430" i="30"/>
  <c r="Y430" i="30"/>
  <c r="X430" i="30"/>
  <c r="W430" i="30"/>
  <c r="V430" i="30"/>
  <c r="U430" i="30"/>
  <c r="T430" i="30"/>
  <c r="S430" i="30"/>
  <c r="R430" i="30"/>
  <c r="AC429" i="30"/>
  <c r="AB429" i="30"/>
  <c r="AA429" i="30"/>
  <c r="Z429" i="30"/>
  <c r="Y429" i="30"/>
  <c r="X429" i="30"/>
  <c r="W429" i="30"/>
  <c r="V429" i="30"/>
  <c r="U429" i="30"/>
  <c r="T429" i="30"/>
  <c r="S429" i="30"/>
  <c r="R429" i="30"/>
  <c r="AC428" i="30"/>
  <c r="AB428" i="30"/>
  <c r="AA428" i="30"/>
  <c r="Z428" i="30"/>
  <c r="Y428" i="30"/>
  <c r="X428" i="30"/>
  <c r="W428" i="30"/>
  <c r="V428" i="30"/>
  <c r="U428" i="30"/>
  <c r="T428" i="30"/>
  <c r="S428" i="30"/>
  <c r="R428" i="30"/>
  <c r="AC427" i="30"/>
  <c r="AB427" i="30"/>
  <c r="AA427" i="30"/>
  <c r="Z427" i="30"/>
  <c r="Y427" i="30"/>
  <c r="X427" i="30"/>
  <c r="W427" i="30"/>
  <c r="V427" i="30"/>
  <c r="U427" i="30"/>
  <c r="T427" i="30"/>
  <c r="S427" i="30"/>
  <c r="R427" i="30"/>
  <c r="AC426" i="30"/>
  <c r="AB426" i="30"/>
  <c r="AA426" i="30"/>
  <c r="Z426" i="30"/>
  <c r="Y426" i="30"/>
  <c r="X426" i="30"/>
  <c r="W426" i="30"/>
  <c r="V426" i="30"/>
  <c r="U426" i="30"/>
  <c r="T426" i="30"/>
  <c r="S426" i="30"/>
  <c r="R426" i="30"/>
  <c r="AC425" i="30"/>
  <c r="AB425" i="30"/>
  <c r="AA425" i="30"/>
  <c r="Z425" i="30"/>
  <c r="Y425" i="30"/>
  <c r="X425" i="30"/>
  <c r="W425" i="30"/>
  <c r="V425" i="30"/>
  <c r="U425" i="30"/>
  <c r="T425" i="30"/>
  <c r="S425" i="30"/>
  <c r="R425" i="30"/>
  <c r="AC424" i="30"/>
  <c r="AB424" i="30"/>
  <c r="AA424" i="30"/>
  <c r="Z424" i="30"/>
  <c r="Y424" i="30"/>
  <c r="X424" i="30"/>
  <c r="W424" i="30"/>
  <c r="V424" i="30"/>
  <c r="U424" i="30"/>
  <c r="T424" i="30"/>
  <c r="S424" i="30"/>
  <c r="R424" i="30"/>
  <c r="AC228" i="30"/>
  <c r="AB228" i="30"/>
  <c r="AA228" i="30"/>
  <c r="Z228" i="30"/>
  <c r="W228" i="30"/>
  <c r="T228" i="30"/>
  <c r="X227" i="30"/>
  <c r="AC218" i="30"/>
  <c r="AC217" i="30"/>
  <c r="AB217" i="30"/>
  <c r="AB216" i="30"/>
  <c r="V215" i="30"/>
  <c r="Z214" i="30"/>
  <c r="V214" i="30"/>
  <c r="R214" i="30"/>
  <c r="AB207" i="30"/>
  <c r="W207" i="30"/>
  <c r="R207" i="30"/>
  <c r="AB206" i="30"/>
  <c r="AA206" i="30"/>
  <c r="W206" i="30"/>
  <c r="AB102" i="30"/>
  <c r="W100" i="30"/>
  <c r="V100" i="30"/>
  <c r="R98" i="30"/>
  <c r="Z97" i="30"/>
  <c r="AA91" i="30"/>
  <c r="Z91" i="30"/>
  <c r="X90" i="30"/>
  <c r="V15" i="30"/>
  <c r="BW459" i="24"/>
  <c r="CC455" i="24"/>
  <c r="BD457" i="24"/>
  <c r="BC457" i="24"/>
  <c r="AV440" i="24"/>
  <c r="AZ437" i="24"/>
  <c r="AY437" i="24"/>
  <c r="AH458" i="24"/>
  <c r="AJ240" i="24"/>
  <c r="U252" i="24"/>
  <c r="S252" i="24"/>
  <c r="AB251" i="24"/>
  <c r="W88" i="24"/>
  <c r="T88" i="24"/>
  <c r="S88" i="24"/>
  <c r="R88" i="24"/>
  <c r="AC87" i="24"/>
  <c r="J226" i="2" l="1"/>
  <c r="K226" i="2" s="1"/>
  <c r="AG389" i="30"/>
  <c r="AF401" i="30"/>
  <c r="AW393" i="30"/>
  <c r="AG401" i="30"/>
  <c r="AU395" i="30"/>
  <c r="AP402" i="30"/>
  <c r="AV395" i="30"/>
  <c r="AF403" i="30"/>
  <c r="AV405" i="30"/>
  <c r="AC352" i="30"/>
  <c r="AF413" i="30"/>
  <c r="AW405" i="30"/>
  <c r="S353" i="30"/>
  <c r="AG413" i="30"/>
  <c r="AU407" i="30"/>
  <c r="AP414" i="30"/>
  <c r="AV407" i="30"/>
  <c r="U392" i="30"/>
  <c r="AF415" i="30"/>
  <c r="AV417" i="30"/>
  <c r="AC393" i="30"/>
  <c r="AW417" i="30"/>
  <c r="T394" i="30"/>
  <c r="AU419" i="30"/>
  <c r="U394" i="30"/>
  <c r="AV419" i="30"/>
  <c r="U404" i="30"/>
  <c r="BS401" i="30"/>
  <c r="AC405" i="30"/>
  <c r="BH402" i="30"/>
  <c r="T406" i="30"/>
  <c r="BK407" i="30"/>
  <c r="BI408" i="30"/>
  <c r="U406" i="30"/>
  <c r="U416" i="30"/>
  <c r="AB362" i="30"/>
  <c r="AC417" i="30"/>
  <c r="T418" i="30"/>
  <c r="U418" i="30"/>
  <c r="T353" i="30"/>
  <c r="S394" i="30"/>
  <c r="S406" i="30"/>
  <c r="S418" i="30"/>
  <c r="AH389" i="30"/>
  <c r="AH401" i="30"/>
  <c r="AH413" i="30"/>
  <c r="BE394" i="30"/>
  <c r="BE406" i="30"/>
  <c r="BE418" i="30"/>
  <c r="BI407" i="30"/>
  <c r="S363" i="30"/>
  <c r="AC395" i="30"/>
  <c r="AC407" i="30"/>
  <c r="AC419" i="30"/>
  <c r="AG391" i="30"/>
  <c r="AG403" i="30"/>
  <c r="AG415" i="30"/>
  <c r="AW395" i="30"/>
  <c r="AW407" i="30"/>
  <c r="AW419" i="30"/>
  <c r="BJ408" i="30"/>
  <c r="T371" i="30"/>
  <c r="S396" i="30"/>
  <c r="S408" i="30"/>
  <c r="S420" i="30"/>
  <c r="AH391" i="30"/>
  <c r="AH403" i="30"/>
  <c r="AH415" i="30"/>
  <c r="BE396" i="30"/>
  <c r="BE408" i="30"/>
  <c r="BE420" i="30"/>
  <c r="BL414" i="30"/>
  <c r="R373" i="30"/>
  <c r="T396" i="30"/>
  <c r="T408" i="30"/>
  <c r="T420" i="30"/>
  <c r="AP392" i="30"/>
  <c r="AP404" i="30"/>
  <c r="AP416" i="30"/>
  <c r="AU397" i="30"/>
  <c r="AU409" i="30"/>
  <c r="AU421" i="30"/>
  <c r="BN414" i="30"/>
  <c r="S373" i="30"/>
  <c r="U396" i="30"/>
  <c r="U408" i="30"/>
  <c r="U420" i="30"/>
  <c r="AF393" i="30"/>
  <c r="AF405" i="30"/>
  <c r="AF417" i="30"/>
  <c r="AV397" i="30"/>
  <c r="AV409" i="30"/>
  <c r="AV421" i="30"/>
  <c r="BI415" i="30"/>
  <c r="T383" i="30"/>
  <c r="AC409" i="30"/>
  <c r="AC421" i="30"/>
  <c r="AG393" i="30"/>
  <c r="AG405" i="30"/>
  <c r="AG417" i="30"/>
  <c r="AW397" i="30"/>
  <c r="AW409" i="30"/>
  <c r="AW421" i="30"/>
  <c r="BK415" i="30"/>
  <c r="AC397" i="30"/>
  <c r="S386" i="30"/>
  <c r="S398" i="30"/>
  <c r="S410" i="30"/>
  <c r="AH393" i="30"/>
  <c r="AH405" i="30"/>
  <c r="AH417" i="30"/>
  <c r="BE386" i="30"/>
  <c r="BE398" i="30"/>
  <c r="BE410" i="30"/>
  <c r="BP387" i="30"/>
  <c r="BO421" i="30"/>
  <c r="R363" i="30"/>
  <c r="T398" i="30"/>
  <c r="T410" i="30"/>
  <c r="AQ348" i="30"/>
  <c r="AP394" i="30"/>
  <c r="AP406" i="30"/>
  <c r="AP418" i="30"/>
  <c r="AU387" i="30"/>
  <c r="AU399" i="30"/>
  <c r="AU411" i="30"/>
  <c r="BK388" i="30"/>
  <c r="BY388" i="30"/>
  <c r="CQ404" i="30"/>
  <c r="AF349" i="30"/>
  <c r="AF395" i="30"/>
  <c r="AF407" i="30"/>
  <c r="AF419" i="30"/>
  <c r="AV387" i="30"/>
  <c r="AV399" i="30"/>
  <c r="AV411" i="30"/>
  <c r="BL388" i="30"/>
  <c r="CA388" i="30"/>
  <c r="CT418" i="30"/>
  <c r="U398" i="30"/>
  <c r="U410" i="30"/>
  <c r="AC387" i="30"/>
  <c r="AG360" i="30"/>
  <c r="AG395" i="30"/>
  <c r="AG407" i="30"/>
  <c r="AG419" i="30"/>
  <c r="AW387" i="30"/>
  <c r="AW399" i="30"/>
  <c r="AW411" i="30"/>
  <c r="BM388" i="30"/>
  <c r="CB388" i="30"/>
  <c r="CU421" i="30"/>
  <c r="AC411" i="30"/>
  <c r="S388" i="30"/>
  <c r="S400" i="30"/>
  <c r="S412" i="30"/>
  <c r="AH362" i="30"/>
  <c r="AH395" i="30"/>
  <c r="AH407" i="30"/>
  <c r="AH419" i="30"/>
  <c r="BE388" i="30"/>
  <c r="BE400" i="30"/>
  <c r="BE412" i="30"/>
  <c r="BO391" i="30"/>
  <c r="CB410" i="30"/>
  <c r="T386" i="30"/>
  <c r="U386" i="30"/>
  <c r="AC399" i="30"/>
  <c r="T388" i="30"/>
  <c r="T400" i="30"/>
  <c r="T412" i="30"/>
  <c r="AI362" i="30"/>
  <c r="AP396" i="30"/>
  <c r="AP408" i="30"/>
  <c r="AP420" i="30"/>
  <c r="AU389" i="30"/>
  <c r="AU401" i="30"/>
  <c r="AU413" i="30"/>
  <c r="BQ391" i="30"/>
  <c r="CD410" i="30"/>
  <c r="U388" i="30"/>
  <c r="U400" i="30"/>
  <c r="U412" i="30"/>
  <c r="AF374" i="30"/>
  <c r="AF397" i="30"/>
  <c r="AF409" i="30"/>
  <c r="AF421" i="30"/>
  <c r="AV389" i="30"/>
  <c r="AV401" i="30"/>
  <c r="AV413" i="30"/>
  <c r="BI392" i="30"/>
  <c r="CB418" i="30"/>
  <c r="AC389" i="30"/>
  <c r="AC401" i="30"/>
  <c r="AC413" i="30"/>
  <c r="AJ376" i="30"/>
  <c r="AG397" i="30"/>
  <c r="AG409" i="30"/>
  <c r="AG421" i="30"/>
  <c r="AW389" i="30"/>
  <c r="AW401" i="30"/>
  <c r="AW413" i="30"/>
  <c r="BL392" i="30"/>
  <c r="S390" i="30"/>
  <c r="S402" i="30"/>
  <c r="S414" i="30"/>
  <c r="AK376" i="30"/>
  <c r="AH397" i="30"/>
  <c r="AH409" i="30"/>
  <c r="AH421" i="30"/>
  <c r="BE390" i="30"/>
  <c r="BE402" i="30"/>
  <c r="BE414" i="30"/>
  <c r="BL395" i="30"/>
  <c r="T390" i="30"/>
  <c r="T402" i="30"/>
  <c r="T414" i="30"/>
  <c r="AP386" i="30"/>
  <c r="AP398" i="30"/>
  <c r="AP410" i="30"/>
  <c r="AU391" i="30"/>
  <c r="AU403" i="30"/>
  <c r="AU415" i="30"/>
  <c r="BQ395" i="30"/>
  <c r="U390" i="30"/>
  <c r="U402" i="30"/>
  <c r="U414" i="30"/>
  <c r="AF387" i="30"/>
  <c r="AF399" i="30"/>
  <c r="AF411" i="30"/>
  <c r="AV391" i="30"/>
  <c r="AV403" i="30"/>
  <c r="AV415" i="30"/>
  <c r="BR395" i="30"/>
  <c r="AC415" i="30"/>
  <c r="AG387" i="30"/>
  <c r="AG399" i="30"/>
  <c r="AG411" i="30"/>
  <c r="AW391" i="30"/>
  <c r="AW403" i="30"/>
  <c r="AW415" i="30"/>
  <c r="BS395" i="30"/>
  <c r="AC391" i="30"/>
  <c r="S392" i="30"/>
  <c r="S404" i="30"/>
  <c r="S416" i="30"/>
  <c r="AH387" i="30"/>
  <c r="AH399" i="30"/>
  <c r="AH411" i="30"/>
  <c r="BE392" i="30"/>
  <c r="BE404" i="30"/>
  <c r="BE416" i="30"/>
  <c r="BS400" i="30"/>
  <c r="AC403" i="30"/>
  <c r="T392" i="30"/>
  <c r="T404" i="30"/>
  <c r="T416" i="30"/>
  <c r="AP388" i="30"/>
  <c r="AP400" i="30"/>
  <c r="AP412" i="30"/>
  <c r="AU393" i="30"/>
  <c r="AU405" i="30"/>
  <c r="AU417" i="30"/>
  <c r="BI401" i="30"/>
  <c r="CM68" i="8"/>
  <c r="CN79" i="48"/>
  <c r="BL79" i="48"/>
  <c r="AJ79" i="48"/>
  <c r="CN78" i="48"/>
  <c r="BL78" i="48"/>
  <c r="AJ78" i="48"/>
  <c r="CN77" i="48"/>
  <c r="BL77" i="48"/>
  <c r="AJ77" i="48"/>
  <c r="CN76" i="48"/>
  <c r="BL76" i="48"/>
  <c r="AJ76" i="48"/>
  <c r="CN75" i="48"/>
  <c r="BL75" i="48"/>
  <c r="AJ75" i="48"/>
  <c r="CN74" i="48"/>
  <c r="BL74" i="48"/>
  <c r="AJ74" i="48"/>
  <c r="CN73" i="48"/>
  <c r="BL73" i="48"/>
  <c r="AJ73" i="48"/>
  <c r="CN72" i="48"/>
  <c r="BL72" i="48"/>
  <c r="AJ72" i="48"/>
  <c r="CN71" i="48"/>
  <c r="BL71" i="48"/>
  <c r="AJ71" i="48"/>
  <c r="CN70" i="48"/>
  <c r="BL70" i="48"/>
  <c r="AJ70" i="48"/>
  <c r="CN69" i="48"/>
  <c r="BL69" i="48"/>
  <c r="AJ69" i="48"/>
  <c r="CN68" i="48"/>
  <c r="BL68" i="48"/>
  <c r="AJ68" i="48"/>
  <c r="CN67" i="48"/>
  <c r="BL67" i="48"/>
  <c r="AJ67" i="48"/>
  <c r="CN66" i="48"/>
  <c r="BL66" i="48"/>
  <c r="AJ66" i="48"/>
  <c r="CN65" i="48"/>
  <c r="BL65" i="48"/>
  <c r="AJ65" i="48"/>
  <c r="CN64" i="48"/>
  <c r="BL64" i="48"/>
  <c r="AJ64" i="48"/>
  <c r="CN63" i="48"/>
  <c r="BL63" i="48"/>
  <c r="AJ63" i="48"/>
  <c r="CN62" i="48"/>
  <c r="BL62" i="48"/>
  <c r="AJ62" i="48"/>
  <c r="CN61" i="48"/>
  <c r="BL61" i="48"/>
  <c r="AJ61" i="48"/>
  <c r="CN60" i="48"/>
  <c r="BL60" i="48"/>
  <c r="AJ60" i="48"/>
  <c r="CN59" i="48"/>
  <c r="BL59" i="48"/>
  <c r="AJ59" i="48"/>
  <c r="CN58" i="48"/>
  <c r="BL58" i="48"/>
  <c r="AJ58" i="48"/>
  <c r="CN57" i="48"/>
  <c r="BL57" i="48"/>
  <c r="AJ57" i="48"/>
  <c r="CM79" i="48"/>
  <c r="BK79" i="48"/>
  <c r="AI79" i="48"/>
  <c r="CM78" i="48"/>
  <c r="BK78" i="48"/>
  <c r="AI78" i="48"/>
  <c r="CM77" i="48"/>
  <c r="BK77" i="48"/>
  <c r="AI77" i="48"/>
  <c r="CM76" i="48"/>
  <c r="BK76" i="48"/>
  <c r="AI76" i="48"/>
  <c r="CM75" i="48"/>
  <c r="BK75" i="48"/>
  <c r="AI75" i="48"/>
  <c r="CM74" i="48"/>
  <c r="BK74" i="48"/>
  <c r="AI74" i="48"/>
  <c r="CM73" i="48"/>
  <c r="BK73" i="48"/>
  <c r="AI73" i="48"/>
  <c r="CM72" i="48"/>
  <c r="BK72" i="48"/>
  <c r="AI72" i="48"/>
  <c r="CM71" i="48"/>
  <c r="BK71" i="48"/>
  <c r="AI71" i="48"/>
  <c r="CM70" i="48"/>
  <c r="BK70" i="48"/>
  <c r="AI70" i="48"/>
  <c r="CM69" i="48"/>
  <c r="BK69" i="48"/>
  <c r="AI69" i="48"/>
  <c r="CM68" i="48"/>
  <c r="BK68" i="48"/>
  <c r="AI68" i="48"/>
  <c r="CM67" i="48"/>
  <c r="BK67" i="48"/>
  <c r="AI67" i="48"/>
  <c r="CM66" i="48"/>
  <c r="BK66" i="48"/>
  <c r="AI66" i="48"/>
  <c r="CM65" i="48"/>
  <c r="BK65" i="48"/>
  <c r="AI65" i="48"/>
  <c r="CM64" i="48"/>
  <c r="BK64" i="48"/>
  <c r="AI64" i="48"/>
  <c r="CM63" i="48"/>
  <c r="BK63" i="48"/>
  <c r="AI63" i="48"/>
  <c r="CM62" i="48"/>
  <c r="BK62" i="48"/>
  <c r="AI62" i="48"/>
  <c r="CM61" i="48"/>
  <c r="BK61" i="48"/>
  <c r="AI61" i="48"/>
  <c r="CM60" i="48"/>
  <c r="BK60" i="48"/>
  <c r="AI60" i="48"/>
  <c r="CM59" i="48"/>
  <c r="BK59" i="48"/>
  <c r="AI59" i="48"/>
  <c r="CM58" i="48"/>
  <c r="BK58" i="48"/>
  <c r="AI58" i="48"/>
  <c r="CM57" i="48"/>
  <c r="BK57" i="48"/>
  <c r="AI57" i="48"/>
  <c r="CM56" i="48"/>
  <c r="BK56" i="48"/>
  <c r="AI56" i="48"/>
  <c r="CM55" i="48"/>
  <c r="BK55" i="48"/>
  <c r="AI55" i="48"/>
  <c r="CL79" i="48"/>
  <c r="BJ79" i="48"/>
  <c r="AH79" i="48"/>
  <c r="CL78" i="48"/>
  <c r="BJ78" i="48"/>
  <c r="AH78" i="48"/>
  <c r="CL77" i="48"/>
  <c r="BJ77" i="48"/>
  <c r="AH77" i="48"/>
  <c r="CL76" i="48"/>
  <c r="BJ76" i="48"/>
  <c r="AH76" i="48"/>
  <c r="CL75" i="48"/>
  <c r="BJ75" i="48"/>
  <c r="AH75" i="48"/>
  <c r="CL74" i="48"/>
  <c r="BJ74" i="48"/>
  <c r="AH74" i="48"/>
  <c r="CL73" i="48"/>
  <c r="BJ73" i="48"/>
  <c r="AH73" i="48"/>
  <c r="CL72" i="48"/>
  <c r="BJ72" i="48"/>
  <c r="AH72" i="48"/>
  <c r="CL71" i="48"/>
  <c r="BJ71" i="48"/>
  <c r="AH71" i="48"/>
  <c r="CL70" i="48"/>
  <c r="BJ70" i="48"/>
  <c r="AH70" i="48"/>
  <c r="CL69" i="48"/>
  <c r="BJ69" i="48"/>
  <c r="AH69" i="48"/>
  <c r="CL68" i="48"/>
  <c r="BJ68" i="48"/>
  <c r="AH68" i="48"/>
  <c r="CL67" i="48"/>
  <c r="BJ67" i="48"/>
  <c r="AH67" i="48"/>
  <c r="CL66" i="48"/>
  <c r="BJ66" i="48"/>
  <c r="AH66" i="48"/>
  <c r="CL65" i="48"/>
  <c r="BJ65" i="48"/>
  <c r="AH65" i="48"/>
  <c r="CL64" i="48"/>
  <c r="BJ64" i="48"/>
  <c r="AH64" i="48"/>
  <c r="CL63" i="48"/>
  <c r="BJ63" i="48"/>
  <c r="AH63" i="48"/>
  <c r="CL62" i="48"/>
  <c r="BJ62" i="48"/>
  <c r="AH62" i="48"/>
  <c r="CL61" i="48"/>
  <c r="BJ61" i="48"/>
  <c r="AH61" i="48"/>
  <c r="CL60" i="48"/>
  <c r="BJ60" i="48"/>
  <c r="AH60" i="48"/>
  <c r="CL59" i="48"/>
  <c r="BJ59" i="48"/>
  <c r="AH59" i="48"/>
  <c r="CL58" i="48"/>
  <c r="BJ58" i="48"/>
  <c r="AH58" i="48"/>
  <c r="CL57" i="48"/>
  <c r="BJ57" i="48"/>
  <c r="AH57" i="48"/>
  <c r="CL56" i="48"/>
  <c r="BJ56" i="48"/>
  <c r="AH56" i="48"/>
  <c r="CL55" i="48"/>
  <c r="BJ55" i="48"/>
  <c r="CK79" i="48"/>
  <c r="BI79" i="48"/>
  <c r="AG79" i="48"/>
  <c r="CK78" i="48"/>
  <c r="BI78" i="48"/>
  <c r="AG78" i="48"/>
  <c r="CK77" i="48"/>
  <c r="BI77" i="48"/>
  <c r="AG77" i="48"/>
  <c r="CK76" i="48"/>
  <c r="BI76" i="48"/>
  <c r="AG76" i="48"/>
  <c r="CK75" i="48"/>
  <c r="BI75" i="48"/>
  <c r="AG75" i="48"/>
  <c r="CK74" i="48"/>
  <c r="BI74" i="48"/>
  <c r="AG74" i="48"/>
  <c r="CK73" i="48"/>
  <c r="BI73" i="48"/>
  <c r="AG73" i="48"/>
  <c r="CK72" i="48"/>
  <c r="BI72" i="48"/>
  <c r="AG72" i="48"/>
  <c r="CK71" i="48"/>
  <c r="BI71" i="48"/>
  <c r="AG71" i="48"/>
  <c r="CK70" i="48"/>
  <c r="BI70" i="48"/>
  <c r="AG70" i="48"/>
  <c r="CK69" i="48"/>
  <c r="BI69" i="48"/>
  <c r="AG69" i="48"/>
  <c r="CK68" i="48"/>
  <c r="BI68" i="48"/>
  <c r="AG68" i="48"/>
  <c r="CK67" i="48"/>
  <c r="BI67" i="48"/>
  <c r="AG67" i="48"/>
  <c r="CK66" i="48"/>
  <c r="BI66" i="48"/>
  <c r="AG66" i="48"/>
  <c r="CK65" i="48"/>
  <c r="BI65" i="48"/>
  <c r="AG65" i="48"/>
  <c r="CK64" i="48"/>
  <c r="BI64" i="48"/>
  <c r="AG64" i="48"/>
  <c r="CK63" i="48"/>
  <c r="BI63" i="48"/>
  <c r="AG63" i="48"/>
  <c r="CK62" i="48"/>
  <c r="BI62" i="48"/>
  <c r="AG62" i="48"/>
  <c r="CK61" i="48"/>
  <c r="BI61" i="48"/>
  <c r="AG61" i="48"/>
  <c r="CK60" i="48"/>
  <c r="BI60" i="48"/>
  <c r="AG60" i="48"/>
  <c r="CK59" i="48"/>
  <c r="BI59" i="48"/>
  <c r="AG59" i="48"/>
  <c r="CK58" i="48"/>
  <c r="BI58" i="48"/>
  <c r="AG58" i="48"/>
  <c r="CK57" i="48"/>
  <c r="BI57" i="48"/>
  <c r="CJ79" i="48"/>
  <c r="BH79" i="48"/>
  <c r="AF79" i="48"/>
  <c r="CJ78" i="48"/>
  <c r="BH78" i="48"/>
  <c r="AF78" i="48"/>
  <c r="CJ77" i="48"/>
  <c r="BH77" i="48"/>
  <c r="AF77" i="48"/>
  <c r="CJ76" i="48"/>
  <c r="BH76" i="48"/>
  <c r="AF76" i="48"/>
  <c r="CJ75" i="48"/>
  <c r="BH75" i="48"/>
  <c r="AF75" i="48"/>
  <c r="CJ74" i="48"/>
  <c r="BH74" i="48"/>
  <c r="AF74" i="48"/>
  <c r="CJ73" i="48"/>
  <c r="BH73" i="48"/>
  <c r="AF73" i="48"/>
  <c r="CJ72" i="48"/>
  <c r="BH72" i="48"/>
  <c r="AF72" i="48"/>
  <c r="CJ71" i="48"/>
  <c r="BH71" i="48"/>
  <c r="AF71" i="48"/>
  <c r="CJ70" i="48"/>
  <c r="BH70" i="48"/>
  <c r="AF70" i="48"/>
  <c r="CJ69" i="48"/>
  <c r="BH69" i="48"/>
  <c r="AF69" i="48"/>
  <c r="CJ68" i="48"/>
  <c r="BH68" i="48"/>
  <c r="AF68" i="48"/>
  <c r="CJ67" i="48"/>
  <c r="BH67" i="48"/>
  <c r="AF67" i="48"/>
  <c r="CJ66" i="48"/>
  <c r="BH66" i="48"/>
  <c r="AF66" i="48"/>
  <c r="CJ65" i="48"/>
  <c r="BH65" i="48"/>
  <c r="AF65" i="48"/>
  <c r="CJ64" i="48"/>
  <c r="BH64" i="48"/>
  <c r="AF64" i="48"/>
  <c r="CJ63" i="48"/>
  <c r="BH63" i="48"/>
  <c r="AF63" i="48"/>
  <c r="CJ62" i="48"/>
  <c r="BH62" i="48"/>
  <c r="AF62" i="48"/>
  <c r="CJ61" i="48"/>
  <c r="BH61" i="48"/>
  <c r="AF61" i="48"/>
  <c r="CJ60" i="48"/>
  <c r="BH60" i="48"/>
  <c r="AF60" i="48"/>
  <c r="CJ59" i="48"/>
  <c r="BH59" i="48"/>
  <c r="AF59" i="48"/>
  <c r="CJ58" i="48"/>
  <c r="BH58" i="48"/>
  <c r="AF58" i="48"/>
  <c r="CJ57" i="48"/>
  <c r="BH57" i="48"/>
  <c r="AF57" i="48"/>
  <c r="CJ56" i="48"/>
  <c r="BH56" i="48"/>
  <c r="AF56" i="48"/>
  <c r="CG79" i="48"/>
  <c r="BE79" i="48"/>
  <c r="AC79" i="48"/>
  <c r="CG78" i="48"/>
  <c r="BE78" i="48"/>
  <c r="AC78" i="48"/>
  <c r="CG77" i="48"/>
  <c r="BE77" i="48"/>
  <c r="AC77" i="48"/>
  <c r="CG76" i="48"/>
  <c r="BE76" i="48"/>
  <c r="AC76" i="48"/>
  <c r="CG75" i="48"/>
  <c r="BE75" i="48"/>
  <c r="AC75" i="48"/>
  <c r="CG74" i="48"/>
  <c r="BE74" i="48"/>
  <c r="AC74" i="48"/>
  <c r="CG73" i="48"/>
  <c r="BE73" i="48"/>
  <c r="AC73" i="48"/>
  <c r="CG72" i="48"/>
  <c r="BE72" i="48"/>
  <c r="AC72" i="48"/>
  <c r="CG71" i="48"/>
  <c r="BE71" i="48"/>
  <c r="AC71" i="48"/>
  <c r="CG70" i="48"/>
  <c r="BE70" i="48"/>
  <c r="AC70" i="48"/>
  <c r="CG69" i="48"/>
  <c r="BE69" i="48"/>
  <c r="AC69" i="48"/>
  <c r="CG68" i="48"/>
  <c r="BE68" i="48"/>
  <c r="AC68" i="48"/>
  <c r="CG67" i="48"/>
  <c r="BE67" i="48"/>
  <c r="AC67" i="48"/>
  <c r="CG66" i="48"/>
  <c r="BE66" i="48"/>
  <c r="AC66" i="48"/>
  <c r="CG65" i="48"/>
  <c r="BE65" i="48"/>
  <c r="AC65" i="48"/>
  <c r="CG64" i="48"/>
  <c r="BE64" i="48"/>
  <c r="AC64" i="48"/>
  <c r="CG63" i="48"/>
  <c r="BE63" i="48"/>
  <c r="AC63" i="48"/>
  <c r="CG62" i="48"/>
  <c r="BE62" i="48"/>
  <c r="AC62" i="48"/>
  <c r="CG61" i="48"/>
  <c r="BE61" i="48"/>
  <c r="AC61" i="48"/>
  <c r="CG60" i="48"/>
  <c r="BE60" i="48"/>
  <c r="AC60" i="48"/>
  <c r="CG59" i="48"/>
  <c r="BE59" i="48"/>
  <c r="AC59" i="48"/>
  <c r="CG58" i="48"/>
  <c r="BE58" i="48"/>
  <c r="AC58" i="48"/>
  <c r="CG57" i="48"/>
  <c r="BE57" i="48"/>
  <c r="AC57" i="48"/>
  <c r="CG56" i="48"/>
  <c r="BE56" i="48"/>
  <c r="AC56" i="48"/>
  <c r="CG55" i="48"/>
  <c r="BE55" i="48"/>
  <c r="AC55" i="48"/>
  <c r="CG54" i="48"/>
  <c r="CF79" i="48"/>
  <c r="BD79" i="48"/>
  <c r="AB79" i="48"/>
  <c r="CF78" i="48"/>
  <c r="BD78" i="48"/>
  <c r="AB78" i="48"/>
  <c r="CF77" i="48"/>
  <c r="BD77" i="48"/>
  <c r="AB77" i="48"/>
  <c r="CF76" i="48"/>
  <c r="BD76" i="48"/>
  <c r="AB76" i="48"/>
  <c r="CF75" i="48"/>
  <c r="BD75" i="48"/>
  <c r="AB75" i="48"/>
  <c r="CF74" i="48"/>
  <c r="BD74" i="48"/>
  <c r="AB74" i="48"/>
  <c r="CF73" i="48"/>
  <c r="BD73" i="48"/>
  <c r="AB73" i="48"/>
  <c r="CF72" i="48"/>
  <c r="BD72" i="48"/>
  <c r="AB72" i="48"/>
  <c r="CF71" i="48"/>
  <c r="BD71" i="48"/>
  <c r="AB71" i="48"/>
  <c r="CF70" i="48"/>
  <c r="BD70" i="48"/>
  <c r="AB70" i="48"/>
  <c r="CF69" i="48"/>
  <c r="BD69" i="48"/>
  <c r="AB69" i="48"/>
  <c r="CF68" i="48"/>
  <c r="BD68" i="48"/>
  <c r="AB68" i="48"/>
  <c r="CF67" i="48"/>
  <c r="BD67" i="48"/>
  <c r="AB67" i="48"/>
  <c r="CF66" i="48"/>
  <c r="BD66" i="48"/>
  <c r="AB66" i="48"/>
  <c r="CF65" i="48"/>
  <c r="BD65" i="48"/>
  <c r="AB65" i="48"/>
  <c r="CF64" i="48"/>
  <c r="BD64" i="48"/>
  <c r="AB64" i="48"/>
  <c r="CF63" i="48"/>
  <c r="BD63" i="48"/>
  <c r="AB63" i="48"/>
  <c r="CF62" i="48"/>
  <c r="BD62" i="48"/>
  <c r="AB62" i="48"/>
  <c r="CF61" i="48"/>
  <c r="BD61" i="48"/>
  <c r="AB61" i="48"/>
  <c r="CF60" i="48"/>
  <c r="BD60" i="48"/>
  <c r="AB60" i="48"/>
  <c r="CF59" i="48"/>
  <c r="BD59" i="48"/>
  <c r="AB59" i="48"/>
  <c r="CF58" i="48"/>
  <c r="BD58" i="48"/>
  <c r="AB58" i="48"/>
  <c r="CF57" i="48"/>
  <c r="BD57" i="48"/>
  <c r="AB57" i="48"/>
  <c r="CF56" i="48"/>
  <c r="BD56" i="48"/>
  <c r="AB56" i="48"/>
  <c r="CF55" i="48"/>
  <c r="BD55" i="48"/>
  <c r="AB55" i="48"/>
  <c r="CF54" i="48"/>
  <c r="BD54" i="48"/>
  <c r="AB54" i="48"/>
  <c r="CF53" i="48"/>
  <c r="BD53" i="48"/>
  <c r="AB53" i="48"/>
  <c r="CF52" i="48"/>
  <c r="BD52" i="48"/>
  <c r="AB52" i="48"/>
  <c r="CF51" i="48"/>
  <c r="CE79" i="48"/>
  <c r="BC79" i="48"/>
  <c r="AA79" i="48"/>
  <c r="CE78" i="48"/>
  <c r="BC78" i="48"/>
  <c r="AA78" i="48"/>
  <c r="CE77" i="48"/>
  <c r="BC77" i="48"/>
  <c r="AA77" i="48"/>
  <c r="CE76" i="48"/>
  <c r="BC76" i="48"/>
  <c r="AA76" i="48"/>
  <c r="CE75" i="48"/>
  <c r="BC75" i="48"/>
  <c r="AA75" i="48"/>
  <c r="CE74" i="48"/>
  <c r="BC74" i="48"/>
  <c r="AA74" i="48"/>
  <c r="CE73" i="48"/>
  <c r="BC73" i="48"/>
  <c r="AA73" i="48"/>
  <c r="CE72" i="48"/>
  <c r="BC72" i="48"/>
  <c r="AA72" i="48"/>
  <c r="CE71" i="48"/>
  <c r="BC71" i="48"/>
  <c r="AA71" i="48"/>
  <c r="CE70" i="48"/>
  <c r="BC70" i="48"/>
  <c r="AA70" i="48"/>
  <c r="CE69" i="48"/>
  <c r="BC69" i="48"/>
  <c r="AA69" i="48"/>
  <c r="CE68" i="48"/>
  <c r="BC68" i="48"/>
  <c r="AA68" i="48"/>
  <c r="CE67" i="48"/>
  <c r="BC67" i="48"/>
  <c r="AA67" i="48"/>
  <c r="CE66" i="48"/>
  <c r="BC66" i="48"/>
  <c r="AA66" i="48"/>
  <c r="CE65" i="48"/>
  <c r="BC65" i="48"/>
  <c r="AA65" i="48"/>
  <c r="CE64" i="48"/>
  <c r="BC64" i="48"/>
  <c r="AA64" i="48"/>
  <c r="CE63" i="48"/>
  <c r="BC63" i="48"/>
  <c r="AA63" i="48"/>
  <c r="CE62" i="48"/>
  <c r="BC62" i="48"/>
  <c r="AA62" i="48"/>
  <c r="CE61" i="48"/>
  <c r="BC61" i="48"/>
  <c r="AA61" i="48"/>
  <c r="CE60" i="48"/>
  <c r="BC60" i="48"/>
  <c r="AA60" i="48"/>
  <c r="CE59" i="48"/>
  <c r="BC59" i="48"/>
  <c r="AA59" i="48"/>
  <c r="CE58" i="48"/>
  <c r="BC58" i="48"/>
  <c r="AA58" i="48"/>
  <c r="CE57" i="48"/>
  <c r="BC57" i="48"/>
  <c r="AA57" i="48"/>
  <c r="CE56" i="48"/>
  <c r="BC56" i="48"/>
  <c r="AA56" i="48"/>
  <c r="CE55" i="48"/>
  <c r="BC55" i="48"/>
  <c r="AA55" i="48"/>
  <c r="CD79" i="48"/>
  <c r="BB79" i="48"/>
  <c r="Z79" i="48"/>
  <c r="CD78" i="48"/>
  <c r="BB78" i="48"/>
  <c r="Z78" i="48"/>
  <c r="CD77" i="48"/>
  <c r="BB77" i="48"/>
  <c r="Z77" i="48"/>
  <c r="CD76" i="48"/>
  <c r="BB76" i="48"/>
  <c r="Z76" i="48"/>
  <c r="CD75" i="48"/>
  <c r="BB75" i="48"/>
  <c r="Z75" i="48"/>
  <c r="CD74" i="48"/>
  <c r="BB74" i="48"/>
  <c r="Z74" i="48"/>
  <c r="CD73" i="48"/>
  <c r="BB73" i="48"/>
  <c r="Z73" i="48"/>
  <c r="CD72" i="48"/>
  <c r="BB72" i="48"/>
  <c r="Z72" i="48"/>
  <c r="CD71" i="48"/>
  <c r="BB71" i="48"/>
  <c r="Z71" i="48"/>
  <c r="CD70" i="48"/>
  <c r="BB70" i="48"/>
  <c r="Z70" i="48"/>
  <c r="CD69" i="48"/>
  <c r="BB69" i="48"/>
  <c r="Z69" i="48"/>
  <c r="CD68" i="48"/>
  <c r="BB68" i="48"/>
  <c r="Z68" i="48"/>
  <c r="CD67" i="48"/>
  <c r="BB67" i="48"/>
  <c r="Z67" i="48"/>
  <c r="CD66" i="48"/>
  <c r="BB66" i="48"/>
  <c r="Z66" i="48"/>
  <c r="CD65" i="48"/>
  <c r="BB65" i="48"/>
  <c r="Z65" i="48"/>
  <c r="CD64" i="48"/>
  <c r="BB64" i="48"/>
  <c r="Z64" i="48"/>
  <c r="CD63" i="48"/>
  <c r="BB63" i="48"/>
  <c r="Z63" i="48"/>
  <c r="CD62" i="48"/>
  <c r="BB62" i="48"/>
  <c r="Z62" i="48"/>
  <c r="CD61" i="48"/>
  <c r="BB61" i="48"/>
  <c r="Z61" i="48"/>
  <c r="CD60" i="48"/>
  <c r="BB60" i="48"/>
  <c r="Z60" i="48"/>
  <c r="CD59" i="48"/>
  <c r="BB59" i="48"/>
  <c r="Z59" i="48"/>
  <c r="CD58" i="48"/>
  <c r="BB58" i="48"/>
  <c r="Z58" i="48"/>
  <c r="CD57" i="48"/>
  <c r="BB57" i="48"/>
  <c r="Z57" i="48"/>
  <c r="CD56" i="48"/>
  <c r="BB56" i="48"/>
  <c r="Z56" i="48"/>
  <c r="CD55" i="48"/>
  <c r="BB55" i="48"/>
  <c r="Z55" i="48"/>
  <c r="CD54" i="48"/>
  <c r="BB54" i="48"/>
  <c r="Z54" i="48"/>
  <c r="CC79" i="48"/>
  <c r="BA79" i="48"/>
  <c r="Y79" i="48"/>
  <c r="CC78" i="48"/>
  <c r="BA78" i="48"/>
  <c r="Y78" i="48"/>
  <c r="CC77" i="48"/>
  <c r="BA77" i="48"/>
  <c r="Y77" i="48"/>
  <c r="CC76" i="48"/>
  <c r="BA76" i="48"/>
  <c r="Y76" i="48"/>
  <c r="CC75" i="48"/>
  <c r="BA75" i="48"/>
  <c r="Y75" i="48"/>
  <c r="CC74" i="48"/>
  <c r="BA74" i="48"/>
  <c r="Y74" i="48"/>
  <c r="CC73" i="48"/>
  <c r="BA73" i="48"/>
  <c r="Y73" i="48"/>
  <c r="CC72" i="48"/>
  <c r="BA72" i="48"/>
  <c r="Y72" i="48"/>
  <c r="CC71" i="48"/>
  <c r="BA71" i="48"/>
  <c r="Y71" i="48"/>
  <c r="CC70" i="48"/>
  <c r="BA70" i="48"/>
  <c r="Y70" i="48"/>
  <c r="CC69" i="48"/>
  <c r="BA69" i="48"/>
  <c r="Y69" i="48"/>
  <c r="CC68" i="48"/>
  <c r="BA68" i="48"/>
  <c r="Y68" i="48"/>
  <c r="CC67" i="48"/>
  <c r="BA67" i="48"/>
  <c r="Y67" i="48"/>
  <c r="CC66" i="48"/>
  <c r="BA66" i="48"/>
  <c r="Y66" i="48"/>
  <c r="CC65" i="48"/>
  <c r="BA65" i="48"/>
  <c r="Y65" i="48"/>
  <c r="CC64" i="48"/>
  <c r="BA64" i="48"/>
  <c r="Y64" i="48"/>
  <c r="CC63" i="48"/>
  <c r="BA63" i="48"/>
  <c r="Y63" i="48"/>
  <c r="CC62" i="48"/>
  <c r="BA62" i="48"/>
  <c r="Y62" i="48"/>
  <c r="CC61" i="48"/>
  <c r="BA61" i="48"/>
  <c r="Y61" i="48"/>
  <c r="CC60" i="48"/>
  <c r="BA60" i="48"/>
  <c r="Y60" i="48"/>
  <c r="CC59" i="48"/>
  <c r="BA59" i="48"/>
  <c r="Y59" i="48"/>
  <c r="CC58" i="48"/>
  <c r="BA58" i="48"/>
  <c r="Y58" i="48"/>
  <c r="CC57" i="48"/>
  <c r="BA57" i="48"/>
  <c r="Y57" i="48"/>
  <c r="CC56" i="48"/>
  <c r="BA56" i="48"/>
  <c r="Y56" i="48"/>
  <c r="CC55" i="48"/>
  <c r="BA55" i="48"/>
  <c r="Y55" i="48"/>
  <c r="CC54" i="48"/>
  <c r="BA54" i="48"/>
  <c r="Y54" i="48"/>
  <c r="CB79" i="48"/>
  <c r="AZ79" i="48"/>
  <c r="X79" i="48"/>
  <c r="CB78" i="48"/>
  <c r="AZ78" i="48"/>
  <c r="X78" i="48"/>
  <c r="CB77" i="48"/>
  <c r="AZ77" i="48"/>
  <c r="X77" i="48"/>
  <c r="CB76" i="48"/>
  <c r="AZ76" i="48"/>
  <c r="X76" i="48"/>
  <c r="CB75" i="48"/>
  <c r="AZ75" i="48"/>
  <c r="X75" i="48"/>
  <c r="CB74" i="48"/>
  <c r="AZ74" i="48"/>
  <c r="X74" i="48"/>
  <c r="CB73" i="48"/>
  <c r="AZ73" i="48"/>
  <c r="X73" i="48"/>
  <c r="CB72" i="48"/>
  <c r="AZ72" i="48"/>
  <c r="X72" i="48"/>
  <c r="CB71" i="48"/>
  <c r="AZ71" i="48"/>
  <c r="X71" i="48"/>
  <c r="CB70" i="48"/>
  <c r="AZ70" i="48"/>
  <c r="X70" i="48"/>
  <c r="CB69" i="48"/>
  <c r="AZ69" i="48"/>
  <c r="X69" i="48"/>
  <c r="CB68" i="48"/>
  <c r="AZ68" i="48"/>
  <c r="X68" i="48"/>
  <c r="CB67" i="48"/>
  <c r="AZ67" i="48"/>
  <c r="X67" i="48"/>
  <c r="CB66" i="48"/>
  <c r="AZ66" i="48"/>
  <c r="X66" i="48"/>
  <c r="CB65" i="48"/>
  <c r="AZ65" i="48"/>
  <c r="X65" i="48"/>
  <c r="CB64" i="48"/>
  <c r="AZ64" i="48"/>
  <c r="X64" i="48"/>
  <c r="CB63" i="48"/>
  <c r="AZ63" i="48"/>
  <c r="X63" i="48"/>
  <c r="CB62" i="48"/>
  <c r="AZ62" i="48"/>
  <c r="X62" i="48"/>
  <c r="CB61" i="48"/>
  <c r="AZ61" i="48"/>
  <c r="X61" i="48"/>
  <c r="CB60" i="48"/>
  <c r="AZ60" i="48"/>
  <c r="X60" i="48"/>
  <c r="CB59" i="48"/>
  <c r="AZ59" i="48"/>
  <c r="X59" i="48"/>
  <c r="CB58" i="48"/>
  <c r="AZ58" i="48"/>
  <c r="X58" i="48"/>
  <c r="CB57" i="48"/>
  <c r="AZ57" i="48"/>
  <c r="X57" i="48"/>
  <c r="CB56" i="48"/>
  <c r="AZ56" i="48"/>
  <c r="X56" i="48"/>
  <c r="CB55" i="48"/>
  <c r="AZ55" i="48"/>
  <c r="X55" i="48"/>
  <c r="CB54" i="48"/>
  <c r="AZ54" i="48"/>
  <c r="X54" i="48"/>
  <c r="CA79" i="48"/>
  <c r="AY79" i="48"/>
  <c r="W79" i="48"/>
  <c r="CA78" i="48"/>
  <c r="AY78" i="48"/>
  <c r="W78" i="48"/>
  <c r="CA77" i="48"/>
  <c r="AY77" i="48"/>
  <c r="W77" i="48"/>
  <c r="CA76" i="48"/>
  <c r="AY76" i="48"/>
  <c r="W76" i="48"/>
  <c r="CA75" i="48"/>
  <c r="AY75" i="48"/>
  <c r="W75" i="48"/>
  <c r="CA74" i="48"/>
  <c r="AY74" i="48"/>
  <c r="W74" i="48"/>
  <c r="CA73" i="48"/>
  <c r="AY73" i="48"/>
  <c r="W73" i="48"/>
  <c r="CA72" i="48"/>
  <c r="AY72" i="48"/>
  <c r="W72" i="48"/>
  <c r="CA71" i="48"/>
  <c r="AY71" i="48"/>
  <c r="W71" i="48"/>
  <c r="CA70" i="48"/>
  <c r="AY70" i="48"/>
  <c r="W70" i="48"/>
  <c r="CA69" i="48"/>
  <c r="AY69" i="48"/>
  <c r="W69" i="48"/>
  <c r="CA68" i="48"/>
  <c r="AY68" i="48"/>
  <c r="W68" i="48"/>
  <c r="CA67" i="48"/>
  <c r="AY67" i="48"/>
  <c r="W67" i="48"/>
  <c r="CA66" i="48"/>
  <c r="AY66" i="48"/>
  <c r="W66" i="48"/>
  <c r="CA65" i="48"/>
  <c r="AY65" i="48"/>
  <c r="W65" i="48"/>
  <c r="CA64" i="48"/>
  <c r="AY64" i="48"/>
  <c r="W64" i="48"/>
  <c r="CA63" i="48"/>
  <c r="AY63" i="48"/>
  <c r="W63" i="48"/>
  <c r="CA62" i="48"/>
  <c r="AY62" i="48"/>
  <c r="W62" i="48"/>
  <c r="CA61" i="48"/>
  <c r="AY61" i="48"/>
  <c r="W61" i="48"/>
  <c r="CA60" i="48"/>
  <c r="AY60" i="48"/>
  <c r="W60" i="48"/>
  <c r="CA59" i="48"/>
  <c r="AY59" i="48"/>
  <c r="W59" i="48"/>
  <c r="CA58" i="48"/>
  <c r="AY58" i="48"/>
  <c r="W58" i="48"/>
  <c r="CA57" i="48"/>
  <c r="AY57" i="48"/>
  <c r="W57" i="48"/>
  <c r="CA56" i="48"/>
  <c r="AY56" i="48"/>
  <c r="W56" i="48"/>
  <c r="CA55" i="48"/>
  <c r="AY55" i="48"/>
  <c r="W55" i="48"/>
  <c r="CA54" i="48"/>
  <c r="AY54" i="48"/>
  <c r="W54" i="48"/>
  <c r="CA53" i="48"/>
  <c r="BZ79" i="48"/>
  <c r="AX79" i="48"/>
  <c r="V79" i="48"/>
  <c r="BZ78" i="48"/>
  <c r="AX78" i="48"/>
  <c r="V78" i="48"/>
  <c r="BZ77" i="48"/>
  <c r="AX77" i="48"/>
  <c r="V77" i="48"/>
  <c r="BZ76" i="48"/>
  <c r="AX76" i="48"/>
  <c r="V76" i="48"/>
  <c r="BZ75" i="48"/>
  <c r="AX75" i="48"/>
  <c r="V75" i="48"/>
  <c r="BZ74" i="48"/>
  <c r="AX74" i="48"/>
  <c r="V74" i="48"/>
  <c r="BZ73" i="48"/>
  <c r="AX73" i="48"/>
  <c r="V73" i="48"/>
  <c r="BZ72" i="48"/>
  <c r="AX72" i="48"/>
  <c r="V72" i="48"/>
  <c r="BZ71" i="48"/>
  <c r="AX71" i="48"/>
  <c r="V71" i="48"/>
  <c r="BZ70" i="48"/>
  <c r="AX70" i="48"/>
  <c r="V70" i="48"/>
  <c r="BZ69" i="48"/>
  <c r="AX69" i="48"/>
  <c r="V69" i="48"/>
  <c r="BZ68" i="48"/>
  <c r="AX68" i="48"/>
  <c r="V68" i="48"/>
  <c r="BZ67" i="48"/>
  <c r="AX67" i="48"/>
  <c r="V67" i="48"/>
  <c r="BZ66" i="48"/>
  <c r="AX66" i="48"/>
  <c r="V66" i="48"/>
  <c r="BZ65" i="48"/>
  <c r="AX65" i="48"/>
  <c r="V65" i="48"/>
  <c r="BZ64" i="48"/>
  <c r="AX64" i="48"/>
  <c r="V64" i="48"/>
  <c r="BZ63" i="48"/>
  <c r="AX63" i="48"/>
  <c r="V63" i="48"/>
  <c r="BZ62" i="48"/>
  <c r="AX62" i="48"/>
  <c r="V62" i="48"/>
  <c r="BZ61" i="48"/>
  <c r="AX61" i="48"/>
  <c r="V61" i="48"/>
  <c r="BZ60" i="48"/>
  <c r="AX60" i="48"/>
  <c r="V60" i="48"/>
  <c r="BZ59" i="48"/>
  <c r="AX59" i="48"/>
  <c r="V59" i="48"/>
  <c r="BZ58" i="48"/>
  <c r="AX58" i="48"/>
  <c r="V58" i="48"/>
  <c r="BZ57" i="48"/>
  <c r="AX57" i="48"/>
  <c r="BY79" i="48"/>
  <c r="AW79" i="48"/>
  <c r="U79" i="48"/>
  <c r="BY78" i="48"/>
  <c r="AW78" i="48"/>
  <c r="U78" i="48"/>
  <c r="BY77" i="48"/>
  <c r="AW77" i="48"/>
  <c r="U77" i="48"/>
  <c r="BY76" i="48"/>
  <c r="AW76" i="48"/>
  <c r="U76" i="48"/>
  <c r="BY75" i="48"/>
  <c r="AW75" i="48"/>
  <c r="U75" i="48"/>
  <c r="BY74" i="48"/>
  <c r="AW74" i="48"/>
  <c r="U74" i="48"/>
  <c r="BY73" i="48"/>
  <c r="AW73" i="48"/>
  <c r="U73" i="48"/>
  <c r="BY72" i="48"/>
  <c r="AW72" i="48"/>
  <c r="U72" i="48"/>
  <c r="BY71" i="48"/>
  <c r="AW71" i="48"/>
  <c r="U71" i="48"/>
  <c r="BY70" i="48"/>
  <c r="AW70" i="48"/>
  <c r="U70" i="48"/>
  <c r="BY69" i="48"/>
  <c r="AW69" i="48"/>
  <c r="U69" i="48"/>
  <c r="BY68" i="48"/>
  <c r="AW68" i="48"/>
  <c r="U68" i="48"/>
  <c r="BY67" i="48"/>
  <c r="AW67" i="48"/>
  <c r="U67" i="48"/>
  <c r="BY66" i="48"/>
  <c r="AW66" i="48"/>
  <c r="U66" i="48"/>
  <c r="BY65" i="48"/>
  <c r="AW65" i="48"/>
  <c r="U65" i="48"/>
  <c r="BY64" i="48"/>
  <c r="AW64" i="48"/>
  <c r="U64" i="48"/>
  <c r="BY63" i="48"/>
  <c r="AW63" i="48"/>
  <c r="U63" i="48"/>
  <c r="BY62" i="48"/>
  <c r="AW62" i="48"/>
  <c r="U62" i="48"/>
  <c r="BY61" i="48"/>
  <c r="AW61" i="48"/>
  <c r="U61" i="48"/>
  <c r="BY60" i="48"/>
  <c r="AW60" i="48"/>
  <c r="U60" i="48"/>
  <c r="BY59" i="48"/>
  <c r="AW59" i="48"/>
  <c r="U59" i="48"/>
  <c r="BY58" i="48"/>
  <c r="BX79" i="48"/>
  <c r="AV79" i="48"/>
  <c r="T79" i="48"/>
  <c r="BX78" i="48"/>
  <c r="AV78" i="48"/>
  <c r="T78" i="48"/>
  <c r="BX77" i="48"/>
  <c r="AV77" i="48"/>
  <c r="T77" i="48"/>
  <c r="BX76" i="48"/>
  <c r="AV76" i="48"/>
  <c r="T76" i="48"/>
  <c r="BX75" i="48"/>
  <c r="AV75" i="48"/>
  <c r="T75" i="48"/>
  <c r="BX74" i="48"/>
  <c r="AV74" i="48"/>
  <c r="T74" i="48"/>
  <c r="BX73" i="48"/>
  <c r="AV73" i="48"/>
  <c r="T73" i="48"/>
  <c r="BX72" i="48"/>
  <c r="AV72" i="48"/>
  <c r="T72" i="48"/>
  <c r="BX71" i="48"/>
  <c r="AV71" i="48"/>
  <c r="T71" i="48"/>
  <c r="BX70" i="48"/>
  <c r="AV70" i="48"/>
  <c r="T70" i="48"/>
  <c r="BX69" i="48"/>
  <c r="AV69" i="48"/>
  <c r="T69" i="48"/>
  <c r="BX68" i="48"/>
  <c r="AV68" i="48"/>
  <c r="T68" i="48"/>
  <c r="BX67" i="48"/>
  <c r="AV67" i="48"/>
  <c r="T67" i="48"/>
  <c r="BX66" i="48"/>
  <c r="AV66" i="48"/>
  <c r="T66" i="48"/>
  <c r="BX65" i="48"/>
  <c r="AV65" i="48"/>
  <c r="T65" i="48"/>
  <c r="BX64" i="48"/>
  <c r="AV64" i="48"/>
  <c r="T64" i="48"/>
  <c r="BX63" i="48"/>
  <c r="AV63" i="48"/>
  <c r="T63" i="48"/>
  <c r="BX62" i="48"/>
  <c r="AV62" i="48"/>
  <c r="T62" i="48"/>
  <c r="BX61" i="48"/>
  <c r="AV61" i="48"/>
  <c r="T61" i="48"/>
  <c r="BX60" i="48"/>
  <c r="AV60" i="48"/>
  <c r="T60" i="48"/>
  <c r="BX59" i="48"/>
  <c r="AV59" i="48"/>
  <c r="T59" i="48"/>
  <c r="BX58" i="48"/>
  <c r="AV58" i="48"/>
  <c r="T58" i="48"/>
  <c r="BX57" i="48"/>
  <c r="AV57" i="48"/>
  <c r="BW79" i="48"/>
  <c r="AU79" i="48"/>
  <c r="S79" i="48"/>
  <c r="BW78" i="48"/>
  <c r="AU78" i="48"/>
  <c r="S78" i="48"/>
  <c r="BW77" i="48"/>
  <c r="AU77" i="48"/>
  <c r="S77" i="48"/>
  <c r="BW76" i="48"/>
  <c r="AU76" i="48"/>
  <c r="S76" i="48"/>
  <c r="BW75" i="48"/>
  <c r="AU75" i="48"/>
  <c r="S75" i="48"/>
  <c r="BW74" i="48"/>
  <c r="AU74" i="48"/>
  <c r="S74" i="48"/>
  <c r="BW73" i="48"/>
  <c r="AU73" i="48"/>
  <c r="S73" i="48"/>
  <c r="BW72" i="48"/>
  <c r="AU72" i="48"/>
  <c r="S72" i="48"/>
  <c r="BW71" i="48"/>
  <c r="AU71" i="48"/>
  <c r="S71" i="48"/>
  <c r="BW70" i="48"/>
  <c r="AU70" i="48"/>
  <c r="S70" i="48"/>
  <c r="BW69" i="48"/>
  <c r="AU69" i="48"/>
  <c r="S69" i="48"/>
  <c r="BW68" i="48"/>
  <c r="AU68" i="48"/>
  <c r="S68" i="48"/>
  <c r="BW67" i="48"/>
  <c r="AU67" i="48"/>
  <c r="S67" i="48"/>
  <c r="BW66" i="48"/>
  <c r="AU66" i="48"/>
  <c r="S66" i="48"/>
  <c r="BW65" i="48"/>
  <c r="AU65" i="48"/>
  <c r="S65" i="48"/>
  <c r="BW64" i="48"/>
  <c r="AU64" i="48"/>
  <c r="S64" i="48"/>
  <c r="BW63" i="48"/>
  <c r="AU63" i="48"/>
  <c r="S63" i="48"/>
  <c r="BW62" i="48"/>
  <c r="AU62" i="48"/>
  <c r="S62" i="48"/>
  <c r="BW61" i="48"/>
  <c r="AU61" i="48"/>
  <c r="S61" i="48"/>
  <c r="BW60" i="48"/>
  <c r="AU60" i="48"/>
  <c r="S60" i="48"/>
  <c r="BW59" i="48"/>
  <c r="AU59" i="48"/>
  <c r="S59" i="48"/>
  <c r="BW58" i="48"/>
  <c r="AU58" i="48"/>
  <c r="S58" i="48"/>
  <c r="BW57" i="48"/>
  <c r="AU57" i="48"/>
  <c r="S57" i="48"/>
  <c r="BW56" i="48"/>
  <c r="BV79" i="48"/>
  <c r="AT79" i="48"/>
  <c r="R79" i="48"/>
  <c r="BV78" i="48"/>
  <c r="AT78" i="48"/>
  <c r="R78" i="48"/>
  <c r="BV77" i="48"/>
  <c r="AT77" i="48"/>
  <c r="R77" i="48"/>
  <c r="BV76" i="48"/>
  <c r="AT76" i="48"/>
  <c r="R76" i="48"/>
  <c r="BV75" i="48"/>
  <c r="AT75" i="48"/>
  <c r="R75" i="48"/>
  <c r="BV74" i="48"/>
  <c r="AT74" i="48"/>
  <c r="R74" i="48"/>
  <c r="BV73" i="48"/>
  <c r="AT73" i="48"/>
  <c r="R73" i="48"/>
  <c r="BV72" i="48"/>
  <c r="AT72" i="48"/>
  <c r="R72" i="48"/>
  <c r="BV71" i="48"/>
  <c r="AT71" i="48"/>
  <c r="R71" i="48"/>
  <c r="BV70" i="48"/>
  <c r="AT70" i="48"/>
  <c r="R70" i="48"/>
  <c r="BV69" i="48"/>
  <c r="AT69" i="48"/>
  <c r="R69" i="48"/>
  <c r="BV68" i="48"/>
  <c r="AT68" i="48"/>
  <c r="R68" i="48"/>
  <c r="BV67" i="48"/>
  <c r="AT67" i="48"/>
  <c r="R67" i="48"/>
  <c r="BV66" i="48"/>
  <c r="AT66" i="48"/>
  <c r="R66" i="48"/>
  <c r="BV65" i="48"/>
  <c r="AT65" i="48"/>
  <c r="R65" i="48"/>
  <c r="BV64" i="48"/>
  <c r="AT64" i="48"/>
  <c r="R64" i="48"/>
  <c r="BV63" i="48"/>
  <c r="AT63" i="48"/>
  <c r="R63" i="48"/>
  <c r="BV62" i="48"/>
  <c r="AT62" i="48"/>
  <c r="R62" i="48"/>
  <c r="BV61" i="48"/>
  <c r="AT61" i="48"/>
  <c r="R61" i="48"/>
  <c r="BV60" i="48"/>
  <c r="AT60" i="48"/>
  <c r="R60" i="48"/>
  <c r="BV59" i="48"/>
  <c r="AT59" i="48"/>
  <c r="R59" i="48"/>
  <c r="BV58" i="48"/>
  <c r="CU79" i="48"/>
  <c r="BS79" i="48"/>
  <c r="AQ79" i="48"/>
  <c r="CU78" i="48"/>
  <c r="BS78" i="48"/>
  <c r="AQ78" i="48"/>
  <c r="CU77" i="48"/>
  <c r="BS77" i="48"/>
  <c r="AQ77" i="48"/>
  <c r="CU76" i="48"/>
  <c r="BS76" i="48"/>
  <c r="AQ76" i="48"/>
  <c r="CU75" i="48"/>
  <c r="BS75" i="48"/>
  <c r="AQ75" i="48"/>
  <c r="CU74" i="48"/>
  <c r="BS74" i="48"/>
  <c r="AQ74" i="48"/>
  <c r="CU73" i="48"/>
  <c r="BS73" i="48"/>
  <c r="AQ73" i="48"/>
  <c r="CU72" i="48"/>
  <c r="BS72" i="48"/>
  <c r="AQ72" i="48"/>
  <c r="CU71" i="48"/>
  <c r="BS71" i="48"/>
  <c r="AQ71" i="48"/>
  <c r="CU70" i="48"/>
  <c r="BS70" i="48"/>
  <c r="AQ70" i="48"/>
  <c r="CU69" i="48"/>
  <c r="BS69" i="48"/>
  <c r="AQ69" i="48"/>
  <c r="CU68" i="48"/>
  <c r="BS68" i="48"/>
  <c r="AQ68" i="48"/>
  <c r="CU67" i="48"/>
  <c r="BS67" i="48"/>
  <c r="AQ67" i="48"/>
  <c r="CU66" i="48"/>
  <c r="BS66" i="48"/>
  <c r="AQ66" i="48"/>
  <c r="CU65" i="48"/>
  <c r="BS65" i="48"/>
  <c r="AQ65" i="48"/>
  <c r="CU64" i="48"/>
  <c r="BS64" i="48"/>
  <c r="AQ64" i="48"/>
  <c r="CU63" i="48"/>
  <c r="BS63" i="48"/>
  <c r="AQ63" i="48"/>
  <c r="CU62" i="48"/>
  <c r="BS62" i="48"/>
  <c r="AQ62" i="48"/>
  <c r="CU61" i="48"/>
  <c r="BS61" i="48"/>
  <c r="AQ61" i="48"/>
  <c r="CU60" i="48"/>
  <c r="BS60" i="48"/>
  <c r="AQ60" i="48"/>
  <c r="CU59" i="48"/>
  <c r="BS59" i="48"/>
  <c r="AQ59" i="48"/>
  <c r="CU58" i="48"/>
  <c r="BS58" i="48"/>
  <c r="AQ58" i="48"/>
  <c r="CU57" i="48"/>
  <c r="BS57" i="48"/>
  <c r="AQ57" i="48"/>
  <c r="CU56" i="48"/>
  <c r="BS56" i="48"/>
  <c r="AQ56" i="48"/>
  <c r="CT79" i="48"/>
  <c r="BR79" i="48"/>
  <c r="AP79" i="48"/>
  <c r="CT78" i="48"/>
  <c r="BR78" i="48"/>
  <c r="AP78" i="48"/>
  <c r="CT77" i="48"/>
  <c r="BR77" i="48"/>
  <c r="AP77" i="48"/>
  <c r="CT76" i="48"/>
  <c r="BR76" i="48"/>
  <c r="AP76" i="48"/>
  <c r="CT75" i="48"/>
  <c r="BR75" i="48"/>
  <c r="AP75" i="48"/>
  <c r="CT74" i="48"/>
  <c r="BR74" i="48"/>
  <c r="AP74" i="48"/>
  <c r="CT73" i="48"/>
  <c r="BR73" i="48"/>
  <c r="AP73" i="48"/>
  <c r="CT72" i="48"/>
  <c r="BR72" i="48"/>
  <c r="AP72" i="48"/>
  <c r="CT71" i="48"/>
  <c r="BR71" i="48"/>
  <c r="AP71" i="48"/>
  <c r="CT70" i="48"/>
  <c r="BR70" i="48"/>
  <c r="AP70" i="48"/>
  <c r="CT69" i="48"/>
  <c r="BR69" i="48"/>
  <c r="AP69" i="48"/>
  <c r="CT68" i="48"/>
  <c r="BR68" i="48"/>
  <c r="AP68" i="48"/>
  <c r="CT67" i="48"/>
  <c r="BR67" i="48"/>
  <c r="AP67" i="48"/>
  <c r="CT66" i="48"/>
  <c r="BR66" i="48"/>
  <c r="AP66" i="48"/>
  <c r="CT65" i="48"/>
  <c r="BR65" i="48"/>
  <c r="AP65" i="48"/>
  <c r="CT64" i="48"/>
  <c r="BR64" i="48"/>
  <c r="AP64" i="48"/>
  <c r="CT63" i="48"/>
  <c r="BR63" i="48"/>
  <c r="AP63" i="48"/>
  <c r="CT62" i="48"/>
  <c r="BR62" i="48"/>
  <c r="AP62" i="48"/>
  <c r="CT61" i="48"/>
  <c r="BR61" i="48"/>
  <c r="AP61" i="48"/>
  <c r="CT60" i="48"/>
  <c r="BR60" i="48"/>
  <c r="AP60" i="48"/>
  <c r="CT59" i="48"/>
  <c r="BR59" i="48"/>
  <c r="AP59" i="48"/>
  <c r="CT58" i="48"/>
  <c r="BR58" i="48"/>
  <c r="AP58" i="48"/>
  <c r="CS79" i="48"/>
  <c r="BQ79" i="48"/>
  <c r="AO79" i="48"/>
  <c r="CS78" i="48"/>
  <c r="BQ78" i="48"/>
  <c r="AO78" i="48"/>
  <c r="CS77" i="48"/>
  <c r="BQ77" i="48"/>
  <c r="AO77" i="48"/>
  <c r="CS76" i="48"/>
  <c r="BQ76" i="48"/>
  <c r="AO76" i="48"/>
  <c r="CS75" i="48"/>
  <c r="BQ75" i="48"/>
  <c r="AO75" i="48"/>
  <c r="CS74" i="48"/>
  <c r="BQ74" i="48"/>
  <c r="AO74" i="48"/>
  <c r="CS73" i="48"/>
  <c r="BQ73" i="48"/>
  <c r="AO73" i="48"/>
  <c r="CS72" i="48"/>
  <c r="BQ72" i="48"/>
  <c r="AO72" i="48"/>
  <c r="CS71" i="48"/>
  <c r="BQ71" i="48"/>
  <c r="AO71" i="48"/>
  <c r="CS70" i="48"/>
  <c r="BQ70" i="48"/>
  <c r="AO70" i="48"/>
  <c r="CS69" i="48"/>
  <c r="BQ69" i="48"/>
  <c r="AO69" i="48"/>
  <c r="CS68" i="48"/>
  <c r="BQ68" i="48"/>
  <c r="AO68" i="48"/>
  <c r="CS67" i="48"/>
  <c r="BQ67" i="48"/>
  <c r="AO67" i="48"/>
  <c r="CS66" i="48"/>
  <c r="BQ66" i="48"/>
  <c r="AO66" i="48"/>
  <c r="CS65" i="48"/>
  <c r="BQ65" i="48"/>
  <c r="AO65" i="48"/>
  <c r="CS64" i="48"/>
  <c r="BQ64" i="48"/>
  <c r="AO64" i="48"/>
  <c r="CS63" i="48"/>
  <c r="BQ63" i="48"/>
  <c r="AO63" i="48"/>
  <c r="CS62" i="48"/>
  <c r="BQ62" i="48"/>
  <c r="AO62" i="48"/>
  <c r="CS61" i="48"/>
  <c r="BQ61" i="48"/>
  <c r="AO61" i="48"/>
  <c r="CS60" i="48"/>
  <c r="BQ60" i="48"/>
  <c r="AO60" i="48"/>
  <c r="CS59" i="48"/>
  <c r="BQ59" i="48"/>
  <c r="AO59" i="48"/>
  <c r="CS58" i="48"/>
  <c r="BQ58" i="48"/>
  <c r="AO58" i="48"/>
  <c r="CR79" i="48"/>
  <c r="BP79" i="48"/>
  <c r="AN79" i="48"/>
  <c r="CR78" i="48"/>
  <c r="BP78" i="48"/>
  <c r="AN78" i="48"/>
  <c r="CR77" i="48"/>
  <c r="BP77" i="48"/>
  <c r="AN77" i="48"/>
  <c r="CR76" i="48"/>
  <c r="BP76" i="48"/>
  <c r="AN76" i="48"/>
  <c r="CR75" i="48"/>
  <c r="BP75" i="48"/>
  <c r="AN75" i="48"/>
  <c r="CR74" i="48"/>
  <c r="BP74" i="48"/>
  <c r="AN74" i="48"/>
  <c r="CR73" i="48"/>
  <c r="BP73" i="48"/>
  <c r="AN73" i="48"/>
  <c r="CR72" i="48"/>
  <c r="BP72" i="48"/>
  <c r="AN72" i="48"/>
  <c r="CR71" i="48"/>
  <c r="BP71" i="48"/>
  <c r="AN71" i="48"/>
  <c r="CR70" i="48"/>
  <c r="BP70" i="48"/>
  <c r="AN70" i="48"/>
  <c r="CR69" i="48"/>
  <c r="BP69" i="48"/>
  <c r="AN69" i="48"/>
  <c r="CR68" i="48"/>
  <c r="BP68" i="48"/>
  <c r="AN68" i="48"/>
  <c r="CR67" i="48"/>
  <c r="BP67" i="48"/>
  <c r="AN67" i="48"/>
  <c r="CR66" i="48"/>
  <c r="BP66" i="48"/>
  <c r="AN66" i="48"/>
  <c r="CR65" i="48"/>
  <c r="BP65" i="48"/>
  <c r="AN65" i="48"/>
  <c r="CR64" i="48"/>
  <c r="BP64" i="48"/>
  <c r="AN64" i="48"/>
  <c r="CR63" i="48"/>
  <c r="BP63" i="48"/>
  <c r="AN63" i="48"/>
  <c r="CR62" i="48"/>
  <c r="BP62" i="48"/>
  <c r="AN62" i="48"/>
  <c r="CR61" i="48"/>
  <c r="BP61" i="48"/>
  <c r="AN61" i="48"/>
  <c r="CR60" i="48"/>
  <c r="BP60" i="48"/>
  <c r="AN60" i="48"/>
  <c r="CR59" i="48"/>
  <c r="BP59" i="48"/>
  <c r="AN59" i="48"/>
  <c r="CR58" i="48"/>
  <c r="BP58" i="48"/>
  <c r="AN58" i="48"/>
  <c r="CR57" i="48"/>
  <c r="BP57" i="48"/>
  <c r="AN57" i="48"/>
  <c r="CR56" i="48"/>
  <c r="BP56" i="48"/>
  <c r="CQ79" i="48"/>
  <c r="BO79" i="48"/>
  <c r="AM79" i="48"/>
  <c r="CQ78" i="48"/>
  <c r="BO78" i="48"/>
  <c r="AM78" i="48"/>
  <c r="CQ77" i="48"/>
  <c r="BO77" i="48"/>
  <c r="AM77" i="48"/>
  <c r="CQ76" i="48"/>
  <c r="BO76" i="48"/>
  <c r="AM76" i="48"/>
  <c r="CQ75" i="48"/>
  <c r="BO75" i="48"/>
  <c r="AM75" i="48"/>
  <c r="CQ74" i="48"/>
  <c r="BO74" i="48"/>
  <c r="AM74" i="48"/>
  <c r="CQ73" i="48"/>
  <c r="BO73" i="48"/>
  <c r="AM73" i="48"/>
  <c r="CQ72" i="48"/>
  <c r="BO72" i="48"/>
  <c r="AM72" i="48"/>
  <c r="CQ71" i="48"/>
  <c r="BO71" i="48"/>
  <c r="AM71" i="48"/>
  <c r="CQ70" i="48"/>
  <c r="BO70" i="48"/>
  <c r="AM70" i="48"/>
  <c r="CQ69" i="48"/>
  <c r="BO69" i="48"/>
  <c r="AM69" i="48"/>
  <c r="CQ68" i="48"/>
  <c r="BO68" i="48"/>
  <c r="AM68" i="48"/>
  <c r="CQ67" i="48"/>
  <c r="BO67" i="48"/>
  <c r="AM67" i="48"/>
  <c r="CQ66" i="48"/>
  <c r="BO66" i="48"/>
  <c r="AM66" i="48"/>
  <c r="CQ65" i="48"/>
  <c r="BO65" i="48"/>
  <c r="AM65" i="48"/>
  <c r="CQ64" i="48"/>
  <c r="BO64" i="48"/>
  <c r="AM64" i="48"/>
  <c r="CQ63" i="48"/>
  <c r="BO63" i="48"/>
  <c r="AM63" i="48"/>
  <c r="CQ62" i="48"/>
  <c r="BO62" i="48"/>
  <c r="AM62" i="48"/>
  <c r="CQ61" i="48"/>
  <c r="BO61" i="48"/>
  <c r="AM61" i="48"/>
  <c r="CQ60" i="48"/>
  <c r="BO60" i="48"/>
  <c r="AM60" i="48"/>
  <c r="CQ59" i="48"/>
  <c r="BO59" i="48"/>
  <c r="AM59" i="48"/>
  <c r="CQ58" i="48"/>
  <c r="BO58" i="48"/>
  <c r="AM58" i="48"/>
  <c r="CQ57" i="48"/>
  <c r="BO57" i="48"/>
  <c r="AM57" i="48"/>
  <c r="CQ56" i="48"/>
  <c r="BO56" i="48"/>
  <c r="AM56" i="48"/>
  <c r="CQ55" i="48"/>
  <c r="BO55" i="48"/>
  <c r="AM55" i="48"/>
  <c r="CP79" i="48"/>
  <c r="BN79" i="48"/>
  <c r="AL79" i="48"/>
  <c r="CP78" i="48"/>
  <c r="BN78" i="48"/>
  <c r="AL78" i="48"/>
  <c r="CP77" i="48"/>
  <c r="BN77" i="48"/>
  <c r="AL77" i="48"/>
  <c r="CP76" i="48"/>
  <c r="BN76" i="48"/>
  <c r="AL76" i="48"/>
  <c r="CP75" i="48"/>
  <c r="BN75" i="48"/>
  <c r="AL75" i="48"/>
  <c r="CP74" i="48"/>
  <c r="BN74" i="48"/>
  <c r="AL74" i="48"/>
  <c r="CP73" i="48"/>
  <c r="BN73" i="48"/>
  <c r="AL73" i="48"/>
  <c r="CP72" i="48"/>
  <c r="BN72" i="48"/>
  <c r="AL72" i="48"/>
  <c r="CP71" i="48"/>
  <c r="BN71" i="48"/>
  <c r="AL71" i="48"/>
  <c r="CP70" i="48"/>
  <c r="BN70" i="48"/>
  <c r="AL70" i="48"/>
  <c r="CP69" i="48"/>
  <c r="BN69" i="48"/>
  <c r="AL69" i="48"/>
  <c r="CP68" i="48"/>
  <c r="BN68" i="48"/>
  <c r="AL68" i="48"/>
  <c r="CP67" i="48"/>
  <c r="BN67" i="48"/>
  <c r="AL67" i="48"/>
  <c r="CP66" i="48"/>
  <c r="BN66" i="48"/>
  <c r="AL66" i="48"/>
  <c r="CP65" i="48"/>
  <c r="BN65" i="48"/>
  <c r="AL65" i="48"/>
  <c r="CP64" i="48"/>
  <c r="BN64" i="48"/>
  <c r="AL64" i="48"/>
  <c r="CP63" i="48"/>
  <c r="BN63" i="48"/>
  <c r="AL63" i="48"/>
  <c r="CP62" i="48"/>
  <c r="BN62" i="48"/>
  <c r="AL62" i="48"/>
  <c r="CP61" i="48"/>
  <c r="BN61" i="48"/>
  <c r="AL61" i="48"/>
  <c r="CP60" i="48"/>
  <c r="BN60" i="48"/>
  <c r="AL60" i="48"/>
  <c r="CP59" i="48"/>
  <c r="CO79" i="48"/>
  <c r="BM79" i="48"/>
  <c r="AK79" i="48"/>
  <c r="CO78" i="48"/>
  <c r="BM78" i="48"/>
  <c r="AK78" i="48"/>
  <c r="CO77" i="48"/>
  <c r="BM77" i="48"/>
  <c r="AK77" i="48"/>
  <c r="CO76" i="48"/>
  <c r="BM76" i="48"/>
  <c r="AK76" i="48"/>
  <c r="CO75" i="48"/>
  <c r="BM75" i="48"/>
  <c r="AK75" i="48"/>
  <c r="CO74" i="48"/>
  <c r="BM74" i="48"/>
  <c r="AK74" i="48"/>
  <c r="CO73" i="48"/>
  <c r="BM73" i="48"/>
  <c r="AK73" i="48"/>
  <c r="CO72" i="48"/>
  <c r="BM72" i="48"/>
  <c r="AK72" i="48"/>
  <c r="CO71" i="48"/>
  <c r="BM71" i="48"/>
  <c r="AK71" i="48"/>
  <c r="CO70" i="48"/>
  <c r="BM70" i="48"/>
  <c r="AK70" i="48"/>
  <c r="CO69" i="48"/>
  <c r="BM69" i="48"/>
  <c r="AK69" i="48"/>
  <c r="CO68" i="48"/>
  <c r="BM68" i="48"/>
  <c r="AK68" i="48"/>
  <c r="CO67" i="48"/>
  <c r="BM67" i="48"/>
  <c r="AK67" i="48"/>
  <c r="CO66" i="48"/>
  <c r="BM66" i="48"/>
  <c r="AK66" i="48"/>
  <c r="CO65" i="48"/>
  <c r="BM65" i="48"/>
  <c r="AK65" i="48"/>
  <c r="CO64" i="48"/>
  <c r="BM64" i="48"/>
  <c r="AK64" i="48"/>
  <c r="CO63" i="48"/>
  <c r="BM63" i="48"/>
  <c r="AK63" i="48"/>
  <c r="CO62" i="48"/>
  <c r="BM62" i="48"/>
  <c r="AK62" i="48"/>
  <c r="CO61" i="48"/>
  <c r="BM61" i="48"/>
  <c r="AK61" i="48"/>
  <c r="CO60" i="48"/>
  <c r="BM60" i="48"/>
  <c r="AK60" i="48"/>
  <c r="CO59" i="48"/>
  <c r="BM59" i="48"/>
  <c r="AK59" i="48"/>
  <c r="CO58" i="48"/>
  <c r="BM58" i="48"/>
  <c r="AK58" i="48"/>
  <c r="CO57" i="48"/>
  <c r="BM57" i="48"/>
  <c r="AK57" i="48"/>
  <c r="CO56" i="48"/>
  <c r="BM56" i="48"/>
  <c r="AK56" i="48"/>
  <c r="CO55" i="48"/>
  <c r="BM55" i="48"/>
  <c r="AK55" i="48"/>
  <c r="CO54" i="48"/>
  <c r="U58" i="48"/>
  <c r="CK56" i="48"/>
  <c r="S56" i="48"/>
  <c r="AW55" i="48"/>
  <c r="CN54" i="48"/>
  <c r="BC54" i="48"/>
  <c r="R54" i="48"/>
  <c r="BR53" i="48"/>
  <c r="AO53" i="48"/>
  <c r="CR52" i="48"/>
  <c r="BO52" i="48"/>
  <c r="AL52" i="48"/>
  <c r="CO51" i="48"/>
  <c r="BL51" i="48"/>
  <c r="AJ51" i="48"/>
  <c r="CN50" i="48"/>
  <c r="BL50" i="48"/>
  <c r="AJ50" i="48"/>
  <c r="CN49" i="48"/>
  <c r="BL49" i="48"/>
  <c r="AJ49" i="48"/>
  <c r="CN48" i="48"/>
  <c r="BL48" i="48"/>
  <c r="AJ48" i="48"/>
  <c r="CN47" i="48"/>
  <c r="BL47" i="48"/>
  <c r="AJ47" i="48"/>
  <c r="CN46" i="48"/>
  <c r="BL46" i="48"/>
  <c r="AJ46" i="48"/>
  <c r="CN45" i="48"/>
  <c r="BL45" i="48"/>
  <c r="AJ45" i="48"/>
  <c r="CN44" i="48"/>
  <c r="BL44" i="48"/>
  <c r="AJ44" i="48"/>
  <c r="R58" i="48"/>
  <c r="BZ56" i="48"/>
  <c r="R56" i="48"/>
  <c r="AV55" i="48"/>
  <c r="CM54" i="48"/>
  <c r="AX54" i="48"/>
  <c r="CU53" i="48"/>
  <c r="BQ53" i="48"/>
  <c r="AN53" i="48"/>
  <c r="CQ52" i="48"/>
  <c r="BN52" i="48"/>
  <c r="AK52" i="48"/>
  <c r="CN51" i="48"/>
  <c r="BK51" i="48"/>
  <c r="AI51" i="48"/>
  <c r="CM50" i="48"/>
  <c r="BK50" i="48"/>
  <c r="AI50" i="48"/>
  <c r="CM49" i="48"/>
  <c r="BK49" i="48"/>
  <c r="AI49" i="48"/>
  <c r="CM48" i="48"/>
  <c r="BK48" i="48"/>
  <c r="AI48" i="48"/>
  <c r="CM47" i="48"/>
  <c r="BK47" i="48"/>
  <c r="AI47" i="48"/>
  <c r="CM46" i="48"/>
  <c r="BK46" i="48"/>
  <c r="AI46" i="48"/>
  <c r="CM45" i="48"/>
  <c r="BK45" i="48"/>
  <c r="AI45" i="48"/>
  <c r="CM44" i="48"/>
  <c r="BK44" i="48"/>
  <c r="AI44" i="48"/>
  <c r="CT57" i="48"/>
  <c r="BY56" i="48"/>
  <c r="CU55" i="48"/>
  <c r="AU55" i="48"/>
  <c r="CL54" i="48"/>
  <c r="AW54" i="48"/>
  <c r="CT53" i="48"/>
  <c r="BP53" i="48"/>
  <c r="AM53" i="48"/>
  <c r="CP52" i="48"/>
  <c r="BM52" i="48"/>
  <c r="AJ52" i="48"/>
  <c r="CM51" i="48"/>
  <c r="BJ51" i="48"/>
  <c r="AH51" i="48"/>
  <c r="CL50" i="48"/>
  <c r="BJ50" i="48"/>
  <c r="AH50" i="48"/>
  <c r="CL49" i="48"/>
  <c r="BJ49" i="48"/>
  <c r="AH49" i="48"/>
  <c r="CL48" i="48"/>
  <c r="BJ48" i="48"/>
  <c r="AH48" i="48"/>
  <c r="CL47" i="48"/>
  <c r="BJ47" i="48"/>
  <c r="AH47" i="48"/>
  <c r="CL46" i="48"/>
  <c r="BJ46" i="48"/>
  <c r="AH46" i="48"/>
  <c r="CL45" i="48"/>
  <c r="BJ45" i="48"/>
  <c r="AH45" i="48"/>
  <c r="CL44" i="48"/>
  <c r="BJ44" i="48"/>
  <c r="AH44" i="48"/>
  <c r="CS57" i="48"/>
  <c r="BX56" i="48"/>
  <c r="CT55" i="48"/>
  <c r="AT55" i="48"/>
  <c r="CK54" i="48"/>
  <c r="AV54" i="48"/>
  <c r="CS53" i="48"/>
  <c r="BO53" i="48"/>
  <c r="AL53" i="48"/>
  <c r="CO52" i="48"/>
  <c r="BL52" i="48"/>
  <c r="AI52" i="48"/>
  <c r="CL51" i="48"/>
  <c r="BI51" i="48"/>
  <c r="AG51" i="48"/>
  <c r="CK50" i="48"/>
  <c r="BI50" i="48"/>
  <c r="AG50" i="48"/>
  <c r="CK49" i="48"/>
  <c r="BI49" i="48"/>
  <c r="AG49" i="48"/>
  <c r="CK48" i="48"/>
  <c r="BI48" i="48"/>
  <c r="AG48" i="48"/>
  <c r="CK47" i="48"/>
  <c r="BI47" i="48"/>
  <c r="AG47" i="48"/>
  <c r="CK46" i="48"/>
  <c r="BI46" i="48"/>
  <c r="AG46" i="48"/>
  <c r="CK45" i="48"/>
  <c r="BI45" i="48"/>
  <c r="AG45" i="48"/>
  <c r="CK44" i="48"/>
  <c r="BI44" i="48"/>
  <c r="AG44" i="48"/>
  <c r="CP57" i="48"/>
  <c r="BV56" i="48"/>
  <c r="CS55" i="48"/>
  <c r="AQ55" i="48"/>
  <c r="CJ54" i="48"/>
  <c r="AU54" i="48"/>
  <c r="CR53" i="48"/>
  <c r="BN53" i="48"/>
  <c r="AK53" i="48"/>
  <c r="CN52" i="48"/>
  <c r="BK52" i="48"/>
  <c r="AH52" i="48"/>
  <c r="CK51" i="48"/>
  <c r="BH51" i="48"/>
  <c r="AF51" i="48"/>
  <c r="CJ50" i="48"/>
  <c r="BH50" i="48"/>
  <c r="AF50" i="48"/>
  <c r="CJ49" i="48"/>
  <c r="BH49" i="48"/>
  <c r="AF49" i="48"/>
  <c r="CJ48" i="48"/>
  <c r="BH48" i="48"/>
  <c r="AF48" i="48"/>
  <c r="CJ47" i="48"/>
  <c r="BH47" i="48"/>
  <c r="AF47" i="48"/>
  <c r="CJ46" i="48"/>
  <c r="BH46" i="48"/>
  <c r="AF46" i="48"/>
  <c r="CJ45" i="48"/>
  <c r="BH45" i="48"/>
  <c r="AF45" i="48"/>
  <c r="CJ44" i="48"/>
  <c r="BH44" i="48"/>
  <c r="AF44" i="48"/>
  <c r="BY57" i="48"/>
  <c r="BR56" i="48"/>
  <c r="CR55" i="48"/>
  <c r="AP55" i="48"/>
  <c r="CE54" i="48"/>
  <c r="AT54" i="48"/>
  <c r="CQ53" i="48"/>
  <c r="BM53" i="48"/>
  <c r="AJ53" i="48"/>
  <c r="CM52" i="48"/>
  <c r="BJ52" i="48"/>
  <c r="AG52" i="48"/>
  <c r="CJ51" i="48"/>
  <c r="BE51" i="48"/>
  <c r="AC51" i="48"/>
  <c r="CG50" i="48"/>
  <c r="BE50" i="48"/>
  <c r="AC50" i="48"/>
  <c r="CG49" i="48"/>
  <c r="BE49" i="48"/>
  <c r="AC49" i="48"/>
  <c r="CG48" i="48"/>
  <c r="BE48" i="48"/>
  <c r="AC48" i="48"/>
  <c r="CG47" i="48"/>
  <c r="BE47" i="48"/>
  <c r="AC47" i="48"/>
  <c r="CG46" i="48"/>
  <c r="BE46" i="48"/>
  <c r="AC46" i="48"/>
  <c r="CG45" i="48"/>
  <c r="BE45" i="48"/>
  <c r="AC45" i="48"/>
  <c r="CG44" i="48"/>
  <c r="BE44" i="48"/>
  <c r="AC44" i="48"/>
  <c r="BV57" i="48"/>
  <c r="BQ56" i="48"/>
  <c r="CP55" i="48"/>
  <c r="AO55" i="48"/>
  <c r="BZ54" i="48"/>
  <c r="AQ54" i="48"/>
  <c r="CP53" i="48"/>
  <c r="BL53" i="48"/>
  <c r="AI53" i="48"/>
  <c r="CL52" i="48"/>
  <c r="BI52" i="48"/>
  <c r="AF52" i="48"/>
  <c r="CG51" i="48"/>
  <c r="BD51" i="48"/>
  <c r="AB51" i="48"/>
  <c r="CF50" i="48"/>
  <c r="BD50" i="48"/>
  <c r="AB50" i="48"/>
  <c r="CF49" i="48"/>
  <c r="BD49" i="48"/>
  <c r="AB49" i="48"/>
  <c r="CF48" i="48"/>
  <c r="BD48" i="48"/>
  <c r="AB48" i="48"/>
  <c r="CF47" i="48"/>
  <c r="BD47" i="48"/>
  <c r="AB47" i="48"/>
  <c r="CF46" i="48"/>
  <c r="BD46" i="48"/>
  <c r="AB46" i="48"/>
  <c r="CF45" i="48"/>
  <c r="BD45" i="48"/>
  <c r="AB45" i="48"/>
  <c r="CF44" i="48"/>
  <c r="BD44" i="48"/>
  <c r="AB44" i="48"/>
  <c r="BR57" i="48"/>
  <c r="BN56" i="48"/>
  <c r="CN55" i="48"/>
  <c r="AN55" i="48"/>
  <c r="BY54" i="48"/>
  <c r="AP54" i="48"/>
  <c r="CO53" i="48"/>
  <c r="BK53" i="48"/>
  <c r="AH53" i="48"/>
  <c r="CK52" i="48"/>
  <c r="BH52" i="48"/>
  <c r="AC52" i="48"/>
  <c r="CE51" i="48"/>
  <c r="BC51" i="48"/>
  <c r="AA51" i="48"/>
  <c r="CE50" i="48"/>
  <c r="BC50" i="48"/>
  <c r="AA50" i="48"/>
  <c r="CE49" i="48"/>
  <c r="BC49" i="48"/>
  <c r="AA49" i="48"/>
  <c r="CE48" i="48"/>
  <c r="BC48" i="48"/>
  <c r="AA48" i="48"/>
  <c r="CE47" i="48"/>
  <c r="BC47" i="48"/>
  <c r="AA47" i="48"/>
  <c r="CE46" i="48"/>
  <c r="BC46" i="48"/>
  <c r="AA46" i="48"/>
  <c r="CE45" i="48"/>
  <c r="BC45" i="48"/>
  <c r="AA45" i="48"/>
  <c r="CE44" i="48"/>
  <c r="BC44" i="48"/>
  <c r="AA44" i="48"/>
  <c r="BQ57" i="48"/>
  <c r="BL56" i="48"/>
  <c r="CK55" i="48"/>
  <c r="AL55" i="48"/>
  <c r="BX54" i="48"/>
  <c r="AO54" i="48"/>
  <c r="CN53" i="48"/>
  <c r="BJ53" i="48"/>
  <c r="AG53" i="48"/>
  <c r="CJ52" i="48"/>
  <c r="BE52" i="48"/>
  <c r="AA52" i="48"/>
  <c r="CD51" i="48"/>
  <c r="BB51" i="48"/>
  <c r="Z51" i="48"/>
  <c r="CD50" i="48"/>
  <c r="BB50" i="48"/>
  <c r="Z50" i="48"/>
  <c r="CD49" i="48"/>
  <c r="BB49" i="48"/>
  <c r="Z49" i="48"/>
  <c r="CD48" i="48"/>
  <c r="BB48" i="48"/>
  <c r="Z48" i="48"/>
  <c r="CD47" i="48"/>
  <c r="BB47" i="48"/>
  <c r="Z47" i="48"/>
  <c r="CD46" i="48"/>
  <c r="BB46" i="48"/>
  <c r="Z46" i="48"/>
  <c r="CD45" i="48"/>
  <c r="BB45" i="48"/>
  <c r="Z45" i="48"/>
  <c r="CD44" i="48"/>
  <c r="BB44" i="48"/>
  <c r="Z44" i="48"/>
  <c r="BN57" i="48"/>
  <c r="BI56" i="48"/>
  <c r="CJ55" i="48"/>
  <c r="AJ55" i="48"/>
  <c r="BW54" i="48"/>
  <c r="AN54" i="48"/>
  <c r="CM53" i="48"/>
  <c r="BI53" i="48"/>
  <c r="AF53" i="48"/>
  <c r="CG52" i="48"/>
  <c r="BC52" i="48"/>
  <c r="Z52" i="48"/>
  <c r="CC51" i="48"/>
  <c r="BA51" i="48"/>
  <c r="Y51" i="48"/>
  <c r="CC50" i="48"/>
  <c r="BA50" i="48"/>
  <c r="Y50" i="48"/>
  <c r="CC49" i="48"/>
  <c r="BA49" i="48"/>
  <c r="Y49" i="48"/>
  <c r="CC48" i="48"/>
  <c r="BA48" i="48"/>
  <c r="Y48" i="48"/>
  <c r="CC47" i="48"/>
  <c r="BA47" i="48"/>
  <c r="Y47" i="48"/>
  <c r="CC46" i="48"/>
  <c r="BA46" i="48"/>
  <c r="Y46" i="48"/>
  <c r="CC45" i="48"/>
  <c r="BA45" i="48"/>
  <c r="Y45" i="48"/>
  <c r="CC44" i="48"/>
  <c r="BA44" i="48"/>
  <c r="Y44" i="48"/>
  <c r="AW57" i="48"/>
  <c r="AX56" i="48"/>
  <c r="BZ55" i="48"/>
  <c r="AH55" i="48"/>
  <c r="BV54" i="48"/>
  <c r="AM54" i="48"/>
  <c r="CL53" i="48"/>
  <c r="BH53" i="48"/>
  <c r="AC53" i="48"/>
  <c r="CE52" i="48"/>
  <c r="BB52" i="48"/>
  <c r="Y52" i="48"/>
  <c r="CB51" i="48"/>
  <c r="AZ51" i="48"/>
  <c r="X51" i="48"/>
  <c r="CB50" i="48"/>
  <c r="AZ50" i="48"/>
  <c r="X50" i="48"/>
  <c r="CB49" i="48"/>
  <c r="AZ49" i="48"/>
  <c r="X49" i="48"/>
  <c r="CB48" i="48"/>
  <c r="AZ48" i="48"/>
  <c r="X48" i="48"/>
  <c r="CB47" i="48"/>
  <c r="AZ47" i="48"/>
  <c r="X47" i="48"/>
  <c r="CB46" i="48"/>
  <c r="AZ46" i="48"/>
  <c r="X46" i="48"/>
  <c r="CB45" i="48"/>
  <c r="AZ45" i="48"/>
  <c r="X45" i="48"/>
  <c r="CB44" i="48"/>
  <c r="AZ44" i="48"/>
  <c r="X44" i="48"/>
  <c r="AT57" i="48"/>
  <c r="AW56" i="48"/>
  <c r="BY55" i="48"/>
  <c r="AG55" i="48"/>
  <c r="BS54" i="48"/>
  <c r="AL54" i="48"/>
  <c r="CK53" i="48"/>
  <c r="BE53" i="48"/>
  <c r="AA53" i="48"/>
  <c r="CD52" i="48"/>
  <c r="BA52" i="48"/>
  <c r="X52" i="48"/>
  <c r="CA51" i="48"/>
  <c r="AY51" i="48"/>
  <c r="W51" i="48"/>
  <c r="CA50" i="48"/>
  <c r="AY50" i="48"/>
  <c r="W50" i="48"/>
  <c r="CA49" i="48"/>
  <c r="AY49" i="48"/>
  <c r="W49" i="48"/>
  <c r="CA48" i="48"/>
  <c r="AY48" i="48"/>
  <c r="W48" i="48"/>
  <c r="CA47" i="48"/>
  <c r="AY47" i="48"/>
  <c r="W47" i="48"/>
  <c r="CA46" i="48"/>
  <c r="AY46" i="48"/>
  <c r="W46" i="48"/>
  <c r="CA45" i="48"/>
  <c r="AY45" i="48"/>
  <c r="W45" i="48"/>
  <c r="CA44" i="48"/>
  <c r="AY44" i="48"/>
  <c r="W44" i="48"/>
  <c r="AP57" i="48"/>
  <c r="AV56" i="48"/>
  <c r="BX55" i="48"/>
  <c r="AF55" i="48"/>
  <c r="BR54" i="48"/>
  <c r="AK54" i="48"/>
  <c r="CJ53" i="48"/>
  <c r="BC53" i="48"/>
  <c r="Z53" i="48"/>
  <c r="CC52" i="48"/>
  <c r="AZ52" i="48"/>
  <c r="W52" i="48"/>
  <c r="BZ51" i="48"/>
  <c r="AX51" i="48"/>
  <c r="V51" i="48"/>
  <c r="BZ50" i="48"/>
  <c r="AX50" i="48"/>
  <c r="V50" i="48"/>
  <c r="BZ49" i="48"/>
  <c r="AX49" i="48"/>
  <c r="V49" i="48"/>
  <c r="BZ48" i="48"/>
  <c r="AX48" i="48"/>
  <c r="V48" i="48"/>
  <c r="BZ47" i="48"/>
  <c r="AX47" i="48"/>
  <c r="V47" i="48"/>
  <c r="BZ46" i="48"/>
  <c r="AX46" i="48"/>
  <c r="V46" i="48"/>
  <c r="BZ45" i="48"/>
  <c r="AX45" i="48"/>
  <c r="V45" i="48"/>
  <c r="BZ44" i="48"/>
  <c r="AX44" i="48"/>
  <c r="V44" i="48"/>
  <c r="AO57" i="48"/>
  <c r="AU56" i="48"/>
  <c r="BW55" i="48"/>
  <c r="V55" i="48"/>
  <c r="BQ54" i="48"/>
  <c r="AJ54" i="48"/>
  <c r="CG53" i="48"/>
  <c r="BB53" i="48"/>
  <c r="Y53" i="48"/>
  <c r="CB52" i="48"/>
  <c r="AY52" i="48"/>
  <c r="V52" i="48"/>
  <c r="BY51" i="48"/>
  <c r="AW51" i="48"/>
  <c r="U51" i="48"/>
  <c r="BY50" i="48"/>
  <c r="AW50" i="48"/>
  <c r="U50" i="48"/>
  <c r="BY49" i="48"/>
  <c r="AW49" i="48"/>
  <c r="U49" i="48"/>
  <c r="BY48" i="48"/>
  <c r="AW48" i="48"/>
  <c r="U48" i="48"/>
  <c r="BY47" i="48"/>
  <c r="AW47" i="48"/>
  <c r="U47" i="48"/>
  <c r="BY46" i="48"/>
  <c r="AW46" i="48"/>
  <c r="U46" i="48"/>
  <c r="BY45" i="48"/>
  <c r="AW45" i="48"/>
  <c r="U45" i="48"/>
  <c r="BY44" i="48"/>
  <c r="AW44" i="48"/>
  <c r="U44" i="48"/>
  <c r="AL57" i="48"/>
  <c r="AT56" i="48"/>
  <c r="BV55" i="48"/>
  <c r="U55" i="48"/>
  <c r="BP54" i="48"/>
  <c r="AI54" i="48"/>
  <c r="CE53" i="48"/>
  <c r="BA53" i="48"/>
  <c r="X53" i="48"/>
  <c r="CA52" i="48"/>
  <c r="AX52" i="48"/>
  <c r="U52" i="48"/>
  <c r="BX51" i="48"/>
  <c r="AV51" i="48"/>
  <c r="T51" i="48"/>
  <c r="BX50" i="48"/>
  <c r="AV50" i="48"/>
  <c r="T50" i="48"/>
  <c r="BX49" i="48"/>
  <c r="AV49" i="48"/>
  <c r="T49" i="48"/>
  <c r="BX48" i="48"/>
  <c r="AV48" i="48"/>
  <c r="T48" i="48"/>
  <c r="BX47" i="48"/>
  <c r="AV47" i="48"/>
  <c r="T47" i="48"/>
  <c r="BX46" i="48"/>
  <c r="AV46" i="48"/>
  <c r="T46" i="48"/>
  <c r="BX45" i="48"/>
  <c r="AV45" i="48"/>
  <c r="T45" i="48"/>
  <c r="BX44" i="48"/>
  <c r="AV44" i="48"/>
  <c r="T44" i="48"/>
  <c r="AG57" i="48"/>
  <c r="AP56" i="48"/>
  <c r="BS55" i="48"/>
  <c r="T55" i="48"/>
  <c r="BO54" i="48"/>
  <c r="AH54" i="48"/>
  <c r="CD53" i="48"/>
  <c r="AZ53" i="48"/>
  <c r="W53" i="48"/>
  <c r="BZ52" i="48"/>
  <c r="AW52" i="48"/>
  <c r="T52" i="48"/>
  <c r="BW51" i="48"/>
  <c r="AU51" i="48"/>
  <c r="S51" i="48"/>
  <c r="BW50" i="48"/>
  <c r="AU50" i="48"/>
  <c r="S50" i="48"/>
  <c r="BW49" i="48"/>
  <c r="AU49" i="48"/>
  <c r="S49" i="48"/>
  <c r="BW48" i="48"/>
  <c r="AU48" i="48"/>
  <c r="S48" i="48"/>
  <c r="BW47" i="48"/>
  <c r="AU47" i="48"/>
  <c r="S47" i="48"/>
  <c r="BW46" i="48"/>
  <c r="AU46" i="48"/>
  <c r="S46" i="48"/>
  <c r="BW45" i="48"/>
  <c r="AU45" i="48"/>
  <c r="S45" i="48"/>
  <c r="BW44" i="48"/>
  <c r="AU44" i="48"/>
  <c r="S44" i="48"/>
  <c r="V57" i="48"/>
  <c r="AO56" i="48"/>
  <c r="BR55" i="48"/>
  <c r="S55" i="48"/>
  <c r="BN54" i="48"/>
  <c r="AG54" i="48"/>
  <c r="CC53" i="48"/>
  <c r="AY53" i="48"/>
  <c r="V53" i="48"/>
  <c r="BY52" i="48"/>
  <c r="AV52" i="48"/>
  <c r="S52" i="48"/>
  <c r="BV51" i="48"/>
  <c r="AT51" i="48"/>
  <c r="R51" i="48"/>
  <c r="BV50" i="48"/>
  <c r="AT50" i="48"/>
  <c r="R50" i="48"/>
  <c r="BV49" i="48"/>
  <c r="AT49" i="48"/>
  <c r="R49" i="48"/>
  <c r="BV48" i="48"/>
  <c r="AT48" i="48"/>
  <c r="R48" i="48"/>
  <c r="BV47" i="48"/>
  <c r="AT47" i="48"/>
  <c r="R47" i="48"/>
  <c r="BV46" i="48"/>
  <c r="AT46" i="48"/>
  <c r="R46" i="48"/>
  <c r="BV45" i="48"/>
  <c r="AT45" i="48"/>
  <c r="R45" i="48"/>
  <c r="BV44" i="48"/>
  <c r="AT44" i="48"/>
  <c r="R44" i="48"/>
  <c r="BN59" i="48"/>
  <c r="U57" i="48"/>
  <c r="AN56" i="48"/>
  <c r="BQ55" i="48"/>
  <c r="R55" i="48"/>
  <c r="BM54" i="48"/>
  <c r="AF54" i="48"/>
  <c r="CB53" i="48"/>
  <c r="AX53" i="48"/>
  <c r="U53" i="48"/>
  <c r="BX52" i="48"/>
  <c r="AU52" i="48"/>
  <c r="R52" i="48"/>
  <c r="BS51" i="48"/>
  <c r="AQ51" i="48"/>
  <c r="CU50" i="48"/>
  <c r="BS50" i="48"/>
  <c r="AQ50" i="48"/>
  <c r="CU49" i="48"/>
  <c r="BS49" i="48"/>
  <c r="AQ49" i="48"/>
  <c r="CU48" i="48"/>
  <c r="BS48" i="48"/>
  <c r="AQ48" i="48"/>
  <c r="CU47" i="48"/>
  <c r="BS47" i="48"/>
  <c r="AQ47" i="48"/>
  <c r="CU46" i="48"/>
  <c r="BS46" i="48"/>
  <c r="AQ46" i="48"/>
  <c r="CU45" i="48"/>
  <c r="BS45" i="48"/>
  <c r="AQ45" i="48"/>
  <c r="CU44" i="48"/>
  <c r="BS44" i="48"/>
  <c r="AQ44" i="48"/>
  <c r="AL59" i="48"/>
  <c r="T57" i="48"/>
  <c r="AL56" i="48"/>
  <c r="BP55" i="48"/>
  <c r="CU54" i="48"/>
  <c r="BL54" i="48"/>
  <c r="AC54" i="48"/>
  <c r="BZ53" i="48"/>
  <c r="AW53" i="48"/>
  <c r="T53" i="48"/>
  <c r="BW52" i="48"/>
  <c r="AT52" i="48"/>
  <c r="CU51" i="48"/>
  <c r="BR51" i="48"/>
  <c r="AP51" i="48"/>
  <c r="CT50" i="48"/>
  <c r="BR50" i="48"/>
  <c r="AP50" i="48"/>
  <c r="CT49" i="48"/>
  <c r="BR49" i="48"/>
  <c r="AP49" i="48"/>
  <c r="CT48" i="48"/>
  <c r="BR48" i="48"/>
  <c r="AP48" i="48"/>
  <c r="CT47" i="48"/>
  <c r="BR47" i="48"/>
  <c r="AP47" i="48"/>
  <c r="CT46" i="48"/>
  <c r="BR46" i="48"/>
  <c r="AP46" i="48"/>
  <c r="CT45" i="48"/>
  <c r="BR45" i="48"/>
  <c r="AP45" i="48"/>
  <c r="CT44" i="48"/>
  <c r="BR44" i="48"/>
  <c r="AP44" i="48"/>
  <c r="CP58" i="48"/>
  <c r="R57" i="48"/>
  <c r="AJ56" i="48"/>
  <c r="BN55" i="48"/>
  <c r="CT54" i="48"/>
  <c r="BK54" i="48"/>
  <c r="AA54" i="48"/>
  <c r="BY53" i="48"/>
  <c r="AV53" i="48"/>
  <c r="S53" i="48"/>
  <c r="BV52" i="48"/>
  <c r="AQ52" i="48"/>
  <c r="CT51" i="48"/>
  <c r="BQ51" i="48"/>
  <c r="AO51" i="48"/>
  <c r="CS50" i="48"/>
  <c r="BQ50" i="48"/>
  <c r="AO50" i="48"/>
  <c r="CS49" i="48"/>
  <c r="BQ49" i="48"/>
  <c r="AO49" i="48"/>
  <c r="CS48" i="48"/>
  <c r="BQ48" i="48"/>
  <c r="AO48" i="48"/>
  <c r="CS47" i="48"/>
  <c r="BQ47" i="48"/>
  <c r="AO47" i="48"/>
  <c r="CS46" i="48"/>
  <c r="BQ46" i="48"/>
  <c r="AO46" i="48"/>
  <c r="CS45" i="48"/>
  <c r="BQ45" i="48"/>
  <c r="AO45" i="48"/>
  <c r="CS44" i="48"/>
  <c r="BQ44" i="48"/>
  <c r="AO44" i="48"/>
  <c r="BN58" i="48"/>
  <c r="CT56" i="48"/>
  <c r="AG56" i="48"/>
  <c r="BL55" i="48"/>
  <c r="CS54" i="48"/>
  <c r="BJ54" i="48"/>
  <c r="V54" i="48"/>
  <c r="BX53" i="48"/>
  <c r="AU53" i="48"/>
  <c r="R53" i="48"/>
  <c r="BS52" i="48"/>
  <c r="AP52" i="48"/>
  <c r="CS51" i="48"/>
  <c r="BP51" i="48"/>
  <c r="AN51" i="48"/>
  <c r="CR50" i="48"/>
  <c r="BP50" i="48"/>
  <c r="AN50" i="48"/>
  <c r="CR49" i="48"/>
  <c r="BP49" i="48"/>
  <c r="AN49" i="48"/>
  <c r="CR48" i="48"/>
  <c r="BP48" i="48"/>
  <c r="AN48" i="48"/>
  <c r="CR47" i="48"/>
  <c r="BP47" i="48"/>
  <c r="AN47" i="48"/>
  <c r="CR46" i="48"/>
  <c r="BP46" i="48"/>
  <c r="AN46" i="48"/>
  <c r="CR45" i="48"/>
  <c r="BP45" i="48"/>
  <c r="AN45" i="48"/>
  <c r="CR44" i="48"/>
  <c r="BP44" i="48"/>
  <c r="AN44" i="48"/>
  <c r="AW58" i="48"/>
  <c r="CS56" i="48"/>
  <c r="V56" i="48"/>
  <c r="BI55" i="48"/>
  <c r="CR54" i="48"/>
  <c r="BI54" i="48"/>
  <c r="U54" i="48"/>
  <c r="BW53" i="48"/>
  <c r="AT53" i="48"/>
  <c r="CU52" i="48"/>
  <c r="BR52" i="48"/>
  <c r="AO52" i="48"/>
  <c r="CR51" i="48"/>
  <c r="BO51" i="48"/>
  <c r="AM51" i="48"/>
  <c r="CQ50" i="48"/>
  <c r="BO50" i="48"/>
  <c r="AM50" i="48"/>
  <c r="CQ49" i="48"/>
  <c r="BO49" i="48"/>
  <c r="AM49" i="48"/>
  <c r="CQ48" i="48"/>
  <c r="BO48" i="48"/>
  <c r="AM48" i="48"/>
  <c r="CQ47" i="48"/>
  <c r="BO47" i="48"/>
  <c r="AM47" i="48"/>
  <c r="CQ46" i="48"/>
  <c r="BO46" i="48"/>
  <c r="AM46" i="48"/>
  <c r="CQ45" i="48"/>
  <c r="BO45" i="48"/>
  <c r="AM45" i="48"/>
  <c r="CQ44" i="48"/>
  <c r="BO44" i="48"/>
  <c r="AM44" i="48"/>
  <c r="AT58" i="48"/>
  <c r="CP56" i="48"/>
  <c r="U56" i="48"/>
  <c r="BH55" i="48"/>
  <c r="CQ54" i="48"/>
  <c r="BH54" i="48"/>
  <c r="T54" i="48"/>
  <c r="BV53" i="48"/>
  <c r="AQ53" i="48"/>
  <c r="CT52" i="48"/>
  <c r="BQ52" i="48"/>
  <c r="AN52" i="48"/>
  <c r="CQ51" i="48"/>
  <c r="BN51" i="48"/>
  <c r="AL51" i="48"/>
  <c r="CP50" i="48"/>
  <c r="BN50" i="48"/>
  <c r="AL50" i="48"/>
  <c r="CP49" i="48"/>
  <c r="BN49" i="48"/>
  <c r="AL49" i="48"/>
  <c r="CP48" i="48"/>
  <c r="BN48" i="48"/>
  <c r="AL48" i="48"/>
  <c r="CP47" i="48"/>
  <c r="BN47" i="48"/>
  <c r="AL47" i="48"/>
  <c r="CP46" i="48"/>
  <c r="BN46" i="48"/>
  <c r="AL46" i="48"/>
  <c r="CP45" i="48"/>
  <c r="BN45" i="48"/>
  <c r="AL45" i="48"/>
  <c r="CP44" i="48"/>
  <c r="BN44" i="48"/>
  <c r="AL44" i="48"/>
  <c r="AL58" i="48"/>
  <c r="CN56" i="48"/>
  <c r="T56" i="48"/>
  <c r="AX55" i="48"/>
  <c r="CP54" i="48"/>
  <c r="BE54" i="48"/>
  <c r="S54" i="48"/>
  <c r="BS53" i="48"/>
  <c r="AP53" i="48"/>
  <c r="CS52" i="48"/>
  <c r="BP52" i="48"/>
  <c r="AM52" i="48"/>
  <c r="CP51" i="48"/>
  <c r="BM51" i="48"/>
  <c r="AK51" i="48"/>
  <c r="CO50" i="48"/>
  <c r="BM50" i="48"/>
  <c r="AK50" i="48"/>
  <c r="CO49" i="48"/>
  <c r="BM49" i="48"/>
  <c r="AK49" i="48"/>
  <c r="CO48" i="48"/>
  <c r="BM48" i="48"/>
  <c r="AK48" i="48"/>
  <c r="CO47" i="48"/>
  <c r="BM47" i="48"/>
  <c r="AK47" i="48"/>
  <c r="CO46" i="48"/>
  <c r="BM46" i="48"/>
  <c r="AK46" i="48"/>
  <c r="CO45" i="48"/>
  <c r="BM45" i="48"/>
  <c r="AK45" i="48"/>
  <c r="CO44" i="48"/>
  <c r="BM44" i="48"/>
  <c r="AK44" i="48"/>
  <c r="AQ39" i="8"/>
  <c r="CN41" i="48"/>
  <c r="BL41" i="48"/>
  <c r="AJ41" i="48"/>
  <c r="CN40" i="48"/>
  <c r="BL40" i="48"/>
  <c r="AJ40" i="48"/>
  <c r="CN39" i="48"/>
  <c r="BL39" i="48"/>
  <c r="AJ39" i="48"/>
  <c r="CN38" i="48"/>
  <c r="BL38" i="48"/>
  <c r="AJ38" i="48"/>
  <c r="CN37" i="48"/>
  <c r="BL37" i="48"/>
  <c r="AJ37" i="48"/>
  <c r="CN36" i="48"/>
  <c r="BL36" i="48"/>
  <c r="AJ36" i="48"/>
  <c r="CN35" i="48"/>
  <c r="BL35" i="48"/>
  <c r="AJ35" i="48"/>
  <c r="CN34" i="48"/>
  <c r="BL34" i="48"/>
  <c r="AJ34" i="48"/>
  <c r="CN33" i="48"/>
  <c r="BL33" i="48"/>
  <c r="AJ33" i="48"/>
  <c r="CN32" i="48"/>
  <c r="BL32" i="48"/>
  <c r="AJ32" i="48"/>
  <c r="CN31" i="48"/>
  <c r="BL31" i="48"/>
  <c r="AJ31" i="48"/>
  <c r="CN30" i="48"/>
  <c r="BL30" i="48"/>
  <c r="AJ30" i="48"/>
  <c r="CN29" i="48"/>
  <c r="BL29" i="48"/>
  <c r="AJ29" i="48"/>
  <c r="CN28" i="48"/>
  <c r="BL28" i="48"/>
  <c r="AJ28" i="48"/>
  <c r="CN27" i="48"/>
  <c r="BL27" i="48"/>
  <c r="AJ27" i="48"/>
  <c r="CN26" i="48"/>
  <c r="BL26" i="48"/>
  <c r="AJ26" i="48"/>
  <c r="CN25" i="48"/>
  <c r="CM41" i="48"/>
  <c r="BK41" i="48"/>
  <c r="AI41" i="48"/>
  <c r="CM40" i="48"/>
  <c r="BK40" i="48"/>
  <c r="AI40" i="48"/>
  <c r="CM39" i="48"/>
  <c r="BK39" i="48"/>
  <c r="AI39" i="48"/>
  <c r="CM38" i="48"/>
  <c r="BK38" i="48"/>
  <c r="AI38" i="48"/>
  <c r="CM37" i="48"/>
  <c r="BK37" i="48"/>
  <c r="AI37" i="48"/>
  <c r="CM36" i="48"/>
  <c r="BK36" i="48"/>
  <c r="AI36" i="48"/>
  <c r="CM35" i="48"/>
  <c r="BK35" i="48"/>
  <c r="AI35" i="48"/>
  <c r="CM34" i="48"/>
  <c r="BK34" i="48"/>
  <c r="AI34" i="48"/>
  <c r="CM33" i="48"/>
  <c r="BK33" i="48"/>
  <c r="AI33" i="48"/>
  <c r="CM32" i="48"/>
  <c r="BK32" i="48"/>
  <c r="AI32" i="48"/>
  <c r="CM31" i="48"/>
  <c r="BK31" i="48"/>
  <c r="AI31" i="48"/>
  <c r="CM30" i="48"/>
  <c r="BK30" i="48"/>
  <c r="AI30" i="48"/>
  <c r="CM29" i="48"/>
  <c r="BK29" i="48"/>
  <c r="AI29" i="48"/>
  <c r="CM28" i="48"/>
  <c r="BK28" i="48"/>
  <c r="AI28" i="48"/>
  <c r="CM27" i="48"/>
  <c r="BK27" i="48"/>
  <c r="AI27" i="48"/>
  <c r="CM26" i="48"/>
  <c r="BK26" i="48"/>
  <c r="AI26" i="48"/>
  <c r="CM25" i="48"/>
  <c r="CL41" i="48"/>
  <c r="BJ41" i="48"/>
  <c r="AH41" i="48"/>
  <c r="CL40" i="48"/>
  <c r="BJ40" i="48"/>
  <c r="AH40" i="48"/>
  <c r="CL39" i="48"/>
  <c r="BJ39" i="48"/>
  <c r="AH39" i="48"/>
  <c r="CL38" i="48"/>
  <c r="BJ38" i="48"/>
  <c r="AH38" i="48"/>
  <c r="CL37" i="48"/>
  <c r="BJ37" i="48"/>
  <c r="AH37" i="48"/>
  <c r="CL36" i="48"/>
  <c r="BJ36" i="48"/>
  <c r="AH36" i="48"/>
  <c r="CL35" i="48"/>
  <c r="BJ35" i="48"/>
  <c r="AH35" i="48"/>
  <c r="CL34" i="48"/>
  <c r="BJ34" i="48"/>
  <c r="AH34" i="48"/>
  <c r="CL33" i="48"/>
  <c r="BJ33" i="48"/>
  <c r="AH33" i="48"/>
  <c r="CL32" i="48"/>
  <c r="BJ32" i="48"/>
  <c r="AH32" i="48"/>
  <c r="CL31" i="48"/>
  <c r="BJ31" i="48"/>
  <c r="AH31" i="48"/>
  <c r="CL30" i="48"/>
  <c r="BJ30" i="48"/>
  <c r="AH30" i="48"/>
  <c r="CL29" i="48"/>
  <c r="BJ29" i="48"/>
  <c r="AH29" i="48"/>
  <c r="CL28" i="48"/>
  <c r="BJ28" i="48"/>
  <c r="AH28" i="48"/>
  <c r="CL27" i="48"/>
  <c r="BJ27" i="48"/>
  <c r="AH27" i="48"/>
  <c r="CL26" i="48"/>
  <c r="BJ26" i="48"/>
  <c r="AH26" i="48"/>
  <c r="CL25" i="48"/>
  <c r="CK41" i="48"/>
  <c r="BI41" i="48"/>
  <c r="AG41" i="48"/>
  <c r="CK40" i="48"/>
  <c r="BI40" i="48"/>
  <c r="AG40" i="48"/>
  <c r="CK39" i="48"/>
  <c r="BI39" i="48"/>
  <c r="AG39" i="48"/>
  <c r="CK38" i="48"/>
  <c r="BI38" i="48"/>
  <c r="AG38" i="48"/>
  <c r="CK37" i="48"/>
  <c r="BI37" i="48"/>
  <c r="AG37" i="48"/>
  <c r="CK36" i="48"/>
  <c r="BI36" i="48"/>
  <c r="AG36" i="48"/>
  <c r="CK35" i="48"/>
  <c r="BI35" i="48"/>
  <c r="AG35" i="48"/>
  <c r="CK34" i="48"/>
  <c r="BI34" i="48"/>
  <c r="AG34" i="48"/>
  <c r="CK33" i="48"/>
  <c r="BI33" i="48"/>
  <c r="AG33" i="48"/>
  <c r="CK32" i="48"/>
  <c r="BI32" i="48"/>
  <c r="AG32" i="48"/>
  <c r="CK31" i="48"/>
  <c r="BI31" i="48"/>
  <c r="AG31" i="48"/>
  <c r="CK30" i="48"/>
  <c r="BI30" i="48"/>
  <c r="AG30" i="48"/>
  <c r="CK29" i="48"/>
  <c r="BI29" i="48"/>
  <c r="AG29" i="48"/>
  <c r="CK28" i="48"/>
  <c r="BI28" i="48"/>
  <c r="CJ41" i="48"/>
  <c r="BH41" i="48"/>
  <c r="AF41" i="48"/>
  <c r="CJ40" i="48"/>
  <c r="BH40" i="48"/>
  <c r="AF40" i="48"/>
  <c r="CJ39" i="48"/>
  <c r="BH39" i="48"/>
  <c r="AF39" i="48"/>
  <c r="CJ38" i="48"/>
  <c r="BH38" i="48"/>
  <c r="AF38" i="48"/>
  <c r="CJ37" i="48"/>
  <c r="BH37" i="48"/>
  <c r="AF37" i="48"/>
  <c r="CJ36" i="48"/>
  <c r="BH36" i="48"/>
  <c r="AF36" i="48"/>
  <c r="CJ35" i="48"/>
  <c r="BH35" i="48"/>
  <c r="AF35" i="48"/>
  <c r="CJ34" i="48"/>
  <c r="BH34" i="48"/>
  <c r="AF34" i="48"/>
  <c r="CJ33" i="48"/>
  <c r="BH33" i="48"/>
  <c r="AF33" i="48"/>
  <c r="CJ32" i="48"/>
  <c r="BH32" i="48"/>
  <c r="AF32" i="48"/>
  <c r="CJ31" i="48"/>
  <c r="BH31" i="48"/>
  <c r="AF31" i="48"/>
  <c r="CJ30" i="48"/>
  <c r="BH30" i="48"/>
  <c r="AF30" i="48"/>
  <c r="CJ29" i="48"/>
  <c r="BH29" i="48"/>
  <c r="AF29" i="48"/>
  <c r="CJ28" i="48"/>
  <c r="BH28" i="48"/>
  <c r="AF28" i="48"/>
  <c r="CJ27" i="48"/>
  <c r="BH27" i="48"/>
  <c r="AF27" i="48"/>
  <c r="CJ26" i="48"/>
  <c r="BH26" i="48"/>
  <c r="AF26" i="48"/>
  <c r="CG41" i="48"/>
  <c r="BE41" i="48"/>
  <c r="AC41" i="48"/>
  <c r="CG40" i="48"/>
  <c r="BE40" i="48"/>
  <c r="AC40" i="48"/>
  <c r="CG39" i="48"/>
  <c r="BE39" i="48"/>
  <c r="AC39" i="48"/>
  <c r="CG38" i="48"/>
  <c r="BE38" i="48"/>
  <c r="AC38" i="48"/>
  <c r="CG37" i="48"/>
  <c r="BE37" i="48"/>
  <c r="AC37" i="48"/>
  <c r="CG36" i="48"/>
  <c r="BE36" i="48"/>
  <c r="AC36" i="48"/>
  <c r="CG35" i="48"/>
  <c r="BE35" i="48"/>
  <c r="AC35" i="48"/>
  <c r="CG34" i="48"/>
  <c r="BE34" i="48"/>
  <c r="AC34" i="48"/>
  <c r="CG33" i="48"/>
  <c r="BE33" i="48"/>
  <c r="AC33" i="48"/>
  <c r="CG32" i="48"/>
  <c r="BE32" i="48"/>
  <c r="AC32" i="48"/>
  <c r="CG31" i="48"/>
  <c r="BE31" i="48"/>
  <c r="AC31" i="48"/>
  <c r="CG30" i="48"/>
  <c r="BE30" i="48"/>
  <c r="AC30" i="48"/>
  <c r="CG29" i="48"/>
  <c r="BE29" i="48"/>
  <c r="AC29" i="48"/>
  <c r="CG28" i="48"/>
  <c r="BE28" i="48"/>
  <c r="AC28" i="48"/>
  <c r="CG27" i="48"/>
  <c r="BE27" i="48"/>
  <c r="AC27" i="48"/>
  <c r="CG26" i="48"/>
  <c r="BE26" i="48"/>
  <c r="AC26" i="48"/>
  <c r="CG25" i="48"/>
  <c r="CF41" i="48"/>
  <c r="BD41" i="48"/>
  <c r="AB41" i="48"/>
  <c r="CF40" i="48"/>
  <c r="BD40" i="48"/>
  <c r="AB40" i="48"/>
  <c r="CF39" i="48"/>
  <c r="BD39" i="48"/>
  <c r="AB39" i="48"/>
  <c r="CF38" i="48"/>
  <c r="BD38" i="48"/>
  <c r="AB38" i="48"/>
  <c r="CF37" i="48"/>
  <c r="BD37" i="48"/>
  <c r="AB37" i="48"/>
  <c r="CF36" i="48"/>
  <c r="BD36" i="48"/>
  <c r="AB36" i="48"/>
  <c r="CF35" i="48"/>
  <c r="BD35" i="48"/>
  <c r="AB35" i="48"/>
  <c r="CF34" i="48"/>
  <c r="BD34" i="48"/>
  <c r="AB34" i="48"/>
  <c r="CF33" i="48"/>
  <c r="BD33" i="48"/>
  <c r="AB33" i="48"/>
  <c r="CF32" i="48"/>
  <c r="BD32" i="48"/>
  <c r="AB32" i="48"/>
  <c r="CF31" i="48"/>
  <c r="BD31" i="48"/>
  <c r="AB31" i="48"/>
  <c r="CF30" i="48"/>
  <c r="BD30" i="48"/>
  <c r="AB30" i="48"/>
  <c r="CF29" i="48"/>
  <c r="BD29" i="48"/>
  <c r="AB29" i="48"/>
  <c r="CF28" i="48"/>
  <c r="BD28" i="48"/>
  <c r="AB28" i="48"/>
  <c r="CF27" i="48"/>
  <c r="BD27" i="48"/>
  <c r="AB27" i="48"/>
  <c r="CF26" i="48"/>
  <c r="BD26" i="48"/>
  <c r="AB26" i="48"/>
  <c r="CF25" i="48"/>
  <c r="BD25" i="48"/>
  <c r="AB25" i="48"/>
  <c r="CF24" i="48"/>
  <c r="CE41" i="48"/>
  <c r="BC41" i="48"/>
  <c r="AA41" i="48"/>
  <c r="CE40" i="48"/>
  <c r="BC40" i="48"/>
  <c r="AA40" i="48"/>
  <c r="CE39" i="48"/>
  <c r="BC39" i="48"/>
  <c r="AA39" i="48"/>
  <c r="CE38" i="48"/>
  <c r="BC38" i="48"/>
  <c r="AA38" i="48"/>
  <c r="CE37" i="48"/>
  <c r="BC37" i="48"/>
  <c r="AA37" i="48"/>
  <c r="CE36" i="48"/>
  <c r="BC36" i="48"/>
  <c r="AA36" i="48"/>
  <c r="CE35" i="48"/>
  <c r="BC35" i="48"/>
  <c r="AA35" i="48"/>
  <c r="CE34" i="48"/>
  <c r="BC34" i="48"/>
  <c r="AA34" i="48"/>
  <c r="CE33" i="48"/>
  <c r="BC33" i="48"/>
  <c r="AA33" i="48"/>
  <c r="CE32" i="48"/>
  <c r="BC32" i="48"/>
  <c r="AA32" i="48"/>
  <c r="CE31" i="48"/>
  <c r="BC31" i="48"/>
  <c r="AA31" i="48"/>
  <c r="CE30" i="48"/>
  <c r="BC30" i="48"/>
  <c r="AA30" i="48"/>
  <c r="CE29" i="48"/>
  <c r="BC29" i="48"/>
  <c r="AA29" i="48"/>
  <c r="CE28" i="48"/>
  <c r="BC28" i="48"/>
  <c r="AA28" i="48"/>
  <c r="CE27" i="48"/>
  <c r="BC27" i="48"/>
  <c r="CD41" i="48"/>
  <c r="BB41" i="48"/>
  <c r="Z41" i="48"/>
  <c r="CD40" i="48"/>
  <c r="BB40" i="48"/>
  <c r="Z40" i="48"/>
  <c r="CD39" i="48"/>
  <c r="BB39" i="48"/>
  <c r="Z39" i="48"/>
  <c r="CD38" i="48"/>
  <c r="BB38" i="48"/>
  <c r="Z38" i="48"/>
  <c r="CD37" i="48"/>
  <c r="BB37" i="48"/>
  <c r="Z37" i="48"/>
  <c r="CD36" i="48"/>
  <c r="BB36" i="48"/>
  <c r="Z36" i="48"/>
  <c r="CD35" i="48"/>
  <c r="BB35" i="48"/>
  <c r="Z35" i="48"/>
  <c r="CD34" i="48"/>
  <c r="BB34" i="48"/>
  <c r="Z34" i="48"/>
  <c r="CD33" i="48"/>
  <c r="BB33" i="48"/>
  <c r="Z33" i="48"/>
  <c r="CD32" i="48"/>
  <c r="BB32" i="48"/>
  <c r="Z32" i="48"/>
  <c r="CD31" i="48"/>
  <c r="BB31" i="48"/>
  <c r="Z31" i="48"/>
  <c r="CD30" i="48"/>
  <c r="BB30" i="48"/>
  <c r="Z30" i="48"/>
  <c r="CD29" i="48"/>
  <c r="BB29" i="48"/>
  <c r="Z29" i="48"/>
  <c r="CD28" i="48"/>
  <c r="BB28" i="48"/>
  <c r="Z28" i="48"/>
  <c r="CD27" i="48"/>
  <c r="BB27" i="48"/>
  <c r="Z27" i="48"/>
  <c r="CD26" i="48"/>
  <c r="BB26" i="48"/>
  <c r="Z26" i="48"/>
  <c r="CD25" i="48"/>
  <c r="CC41" i="48"/>
  <c r="BA41" i="48"/>
  <c r="Y41" i="48"/>
  <c r="CC40" i="48"/>
  <c r="BA40" i="48"/>
  <c r="Y40" i="48"/>
  <c r="CC39" i="48"/>
  <c r="BA39" i="48"/>
  <c r="Y39" i="48"/>
  <c r="CC38" i="48"/>
  <c r="BA38" i="48"/>
  <c r="Y38" i="48"/>
  <c r="CC37" i="48"/>
  <c r="BA37" i="48"/>
  <c r="Y37" i="48"/>
  <c r="CC36" i="48"/>
  <c r="BA36" i="48"/>
  <c r="Y36" i="48"/>
  <c r="CC35" i="48"/>
  <c r="BA35" i="48"/>
  <c r="Y35" i="48"/>
  <c r="CC34" i="48"/>
  <c r="BA34" i="48"/>
  <c r="Y34" i="48"/>
  <c r="CC33" i="48"/>
  <c r="BA33" i="48"/>
  <c r="Y33" i="48"/>
  <c r="CC32" i="48"/>
  <c r="BA32" i="48"/>
  <c r="Y32" i="48"/>
  <c r="CC31" i="48"/>
  <c r="BA31" i="48"/>
  <c r="Y31" i="48"/>
  <c r="CC30" i="48"/>
  <c r="BA30" i="48"/>
  <c r="Y30" i="48"/>
  <c r="CC29" i="48"/>
  <c r="BA29" i="48"/>
  <c r="Y29" i="48"/>
  <c r="CC28" i="48"/>
  <c r="BA28" i="48"/>
  <c r="Y28" i="48"/>
  <c r="CC27" i="48"/>
  <c r="BA27" i="48"/>
  <c r="Y27" i="48"/>
  <c r="CC26" i="48"/>
  <c r="BA26" i="48"/>
  <c r="Y26" i="48"/>
  <c r="CC25" i="48"/>
  <c r="CB41" i="48"/>
  <c r="AZ41" i="48"/>
  <c r="X41" i="48"/>
  <c r="CB40" i="48"/>
  <c r="AZ40" i="48"/>
  <c r="X40" i="48"/>
  <c r="CB39" i="48"/>
  <c r="AZ39" i="48"/>
  <c r="X39" i="48"/>
  <c r="CB38" i="48"/>
  <c r="AZ38" i="48"/>
  <c r="X38" i="48"/>
  <c r="CB37" i="48"/>
  <c r="AZ37" i="48"/>
  <c r="X37" i="48"/>
  <c r="CB36" i="48"/>
  <c r="AZ36" i="48"/>
  <c r="X36" i="48"/>
  <c r="CB35" i="48"/>
  <c r="AZ35" i="48"/>
  <c r="X35" i="48"/>
  <c r="CB34" i="48"/>
  <c r="AZ34" i="48"/>
  <c r="X34" i="48"/>
  <c r="CB33" i="48"/>
  <c r="AZ33" i="48"/>
  <c r="X33" i="48"/>
  <c r="CB32" i="48"/>
  <c r="AZ32" i="48"/>
  <c r="X32" i="48"/>
  <c r="CB31" i="48"/>
  <c r="AZ31" i="48"/>
  <c r="X31" i="48"/>
  <c r="CB30" i="48"/>
  <c r="AZ30" i="48"/>
  <c r="X30" i="48"/>
  <c r="CB29" i="48"/>
  <c r="AZ29" i="48"/>
  <c r="X29" i="48"/>
  <c r="CB28" i="48"/>
  <c r="AZ28" i="48"/>
  <c r="CA41" i="48"/>
  <c r="AY41" i="48"/>
  <c r="W41" i="48"/>
  <c r="CA40" i="48"/>
  <c r="AY40" i="48"/>
  <c r="W40" i="48"/>
  <c r="CA39" i="48"/>
  <c r="AY39" i="48"/>
  <c r="W39" i="48"/>
  <c r="CA38" i="48"/>
  <c r="AY38" i="48"/>
  <c r="W38" i="48"/>
  <c r="CA37" i="48"/>
  <c r="AY37" i="48"/>
  <c r="W37" i="48"/>
  <c r="CA36" i="48"/>
  <c r="AY36" i="48"/>
  <c r="W36" i="48"/>
  <c r="CA35" i="48"/>
  <c r="AY35" i="48"/>
  <c r="W35" i="48"/>
  <c r="CA34" i="48"/>
  <c r="AY34" i="48"/>
  <c r="W34" i="48"/>
  <c r="CA33" i="48"/>
  <c r="AY33" i="48"/>
  <c r="W33" i="48"/>
  <c r="CA32" i="48"/>
  <c r="AY32" i="48"/>
  <c r="W32" i="48"/>
  <c r="CA31" i="48"/>
  <c r="AY31" i="48"/>
  <c r="W31" i="48"/>
  <c r="CA30" i="48"/>
  <c r="AY30" i="48"/>
  <c r="W30" i="48"/>
  <c r="CA29" i="48"/>
  <c r="AY29" i="48"/>
  <c r="W29" i="48"/>
  <c r="CA28" i="48"/>
  <c r="AY28" i="48"/>
  <c r="BZ41" i="48"/>
  <c r="AX41" i="48"/>
  <c r="V41" i="48"/>
  <c r="BZ40" i="48"/>
  <c r="AX40" i="48"/>
  <c r="V40" i="48"/>
  <c r="BZ39" i="48"/>
  <c r="AX39" i="48"/>
  <c r="V39" i="48"/>
  <c r="BZ38" i="48"/>
  <c r="AX38" i="48"/>
  <c r="V38" i="48"/>
  <c r="BZ37" i="48"/>
  <c r="AX37" i="48"/>
  <c r="V37" i="48"/>
  <c r="BZ36" i="48"/>
  <c r="AX36" i="48"/>
  <c r="V36" i="48"/>
  <c r="BZ35" i="48"/>
  <c r="AX35" i="48"/>
  <c r="V35" i="48"/>
  <c r="BZ34" i="48"/>
  <c r="AX34" i="48"/>
  <c r="V34" i="48"/>
  <c r="BZ33" i="48"/>
  <c r="AX33" i="48"/>
  <c r="V33" i="48"/>
  <c r="BZ32" i="48"/>
  <c r="AX32" i="48"/>
  <c r="V32" i="48"/>
  <c r="BZ31" i="48"/>
  <c r="AX31" i="48"/>
  <c r="V31" i="48"/>
  <c r="BY41" i="48"/>
  <c r="AW41" i="48"/>
  <c r="U41" i="48"/>
  <c r="BY40" i="48"/>
  <c r="AW40" i="48"/>
  <c r="U40" i="48"/>
  <c r="BY39" i="48"/>
  <c r="AW39" i="48"/>
  <c r="U39" i="48"/>
  <c r="BY38" i="48"/>
  <c r="AW38" i="48"/>
  <c r="U38" i="48"/>
  <c r="BY37" i="48"/>
  <c r="AW37" i="48"/>
  <c r="U37" i="48"/>
  <c r="BY36" i="48"/>
  <c r="AW36" i="48"/>
  <c r="U36" i="48"/>
  <c r="BY35" i="48"/>
  <c r="AW35" i="48"/>
  <c r="U35" i="48"/>
  <c r="BY34" i="48"/>
  <c r="BX41" i="48"/>
  <c r="AV41" i="48"/>
  <c r="T41" i="48"/>
  <c r="BX40" i="48"/>
  <c r="AV40" i="48"/>
  <c r="T40" i="48"/>
  <c r="BX39" i="48"/>
  <c r="AV39" i="48"/>
  <c r="T39" i="48"/>
  <c r="BX38" i="48"/>
  <c r="AV38" i="48"/>
  <c r="T38" i="48"/>
  <c r="BX37" i="48"/>
  <c r="AV37" i="48"/>
  <c r="T37" i="48"/>
  <c r="BX36" i="48"/>
  <c r="AV36" i="48"/>
  <c r="T36" i="48"/>
  <c r="BX35" i="48"/>
  <c r="AV35" i="48"/>
  <c r="T35" i="48"/>
  <c r="BX34" i="48"/>
  <c r="AV34" i="48"/>
  <c r="T34" i="48"/>
  <c r="BX33" i="48"/>
  <c r="AV33" i="48"/>
  <c r="T33" i="48"/>
  <c r="BX32" i="48"/>
  <c r="BW41" i="48"/>
  <c r="AU41" i="48"/>
  <c r="S41" i="48"/>
  <c r="BW40" i="48"/>
  <c r="AU40" i="48"/>
  <c r="S40" i="48"/>
  <c r="BW39" i="48"/>
  <c r="AU39" i="48"/>
  <c r="S39" i="48"/>
  <c r="BW38" i="48"/>
  <c r="AU38" i="48"/>
  <c r="S38" i="48"/>
  <c r="BW37" i="48"/>
  <c r="AU37" i="48"/>
  <c r="S37" i="48"/>
  <c r="BW36" i="48"/>
  <c r="AU36" i="48"/>
  <c r="S36" i="48"/>
  <c r="BW35" i="48"/>
  <c r="AU35" i="48"/>
  <c r="S35" i="48"/>
  <c r="BV41" i="48"/>
  <c r="AT41" i="48"/>
  <c r="R41" i="48"/>
  <c r="BV40" i="48"/>
  <c r="AT40" i="48"/>
  <c r="R40" i="48"/>
  <c r="BV39" i="48"/>
  <c r="AT39" i="48"/>
  <c r="R39" i="48"/>
  <c r="BV38" i="48"/>
  <c r="AT38" i="48"/>
  <c r="R38" i="48"/>
  <c r="BV37" i="48"/>
  <c r="AT37" i="48"/>
  <c r="R37" i="48"/>
  <c r="BV36" i="48"/>
  <c r="AT36" i="48"/>
  <c r="R36" i="48"/>
  <c r="BV35" i="48"/>
  <c r="AT35" i="48"/>
  <c r="R35" i="48"/>
  <c r="BV34" i="48"/>
  <c r="CU41" i="48"/>
  <c r="BS41" i="48"/>
  <c r="AQ41" i="48"/>
  <c r="CU40" i="48"/>
  <c r="BS40" i="48"/>
  <c r="AQ40" i="48"/>
  <c r="CU39" i="48"/>
  <c r="BS39" i="48"/>
  <c r="AQ39" i="48"/>
  <c r="CU38" i="48"/>
  <c r="BS38" i="48"/>
  <c r="AQ38" i="48"/>
  <c r="CU37" i="48"/>
  <c r="BS37" i="48"/>
  <c r="AQ37" i="48"/>
  <c r="CU36" i="48"/>
  <c r="BS36" i="48"/>
  <c r="AQ36" i="48"/>
  <c r="CU35" i="48"/>
  <c r="BS35" i="48"/>
  <c r="AQ35" i="48"/>
  <c r="CU34" i="48"/>
  <c r="BS34" i="48"/>
  <c r="AQ34" i="48"/>
  <c r="CU33" i="48"/>
  <c r="CT41" i="48"/>
  <c r="BR41" i="48"/>
  <c r="AP41" i="48"/>
  <c r="CT40" i="48"/>
  <c r="BR40" i="48"/>
  <c r="AP40" i="48"/>
  <c r="CT39" i="48"/>
  <c r="BR39" i="48"/>
  <c r="AP39" i="48"/>
  <c r="CT38" i="48"/>
  <c r="BR38" i="48"/>
  <c r="AP38" i="48"/>
  <c r="CT37" i="48"/>
  <c r="BR37" i="48"/>
  <c r="AP37" i="48"/>
  <c r="CT36" i="48"/>
  <c r="BR36" i="48"/>
  <c r="AP36" i="48"/>
  <c r="CT35" i="48"/>
  <c r="BR35" i="48"/>
  <c r="AP35" i="48"/>
  <c r="CT34" i="48"/>
  <c r="BR34" i="48"/>
  <c r="CS41" i="48"/>
  <c r="BQ41" i="48"/>
  <c r="AO41" i="48"/>
  <c r="CS40" i="48"/>
  <c r="BQ40" i="48"/>
  <c r="AO40" i="48"/>
  <c r="CS39" i="48"/>
  <c r="BQ39" i="48"/>
  <c r="AO39" i="48"/>
  <c r="CS38" i="48"/>
  <c r="BQ38" i="48"/>
  <c r="AO38" i="48"/>
  <c r="CS37" i="48"/>
  <c r="BQ37" i="48"/>
  <c r="AO37" i="48"/>
  <c r="CS36" i="48"/>
  <c r="BQ36" i="48"/>
  <c r="AO36" i="48"/>
  <c r="CS35" i="48"/>
  <c r="BQ35" i="48"/>
  <c r="AO35" i="48"/>
  <c r="CS34" i="48"/>
  <c r="BQ34" i="48"/>
  <c r="AO34" i="48"/>
  <c r="CR41" i="48"/>
  <c r="BP41" i="48"/>
  <c r="AN41" i="48"/>
  <c r="CR40" i="48"/>
  <c r="BP40" i="48"/>
  <c r="AN40" i="48"/>
  <c r="CR39" i="48"/>
  <c r="BP39" i="48"/>
  <c r="AN39" i="48"/>
  <c r="CR38" i="48"/>
  <c r="BP38" i="48"/>
  <c r="AN38" i="48"/>
  <c r="CR37" i="48"/>
  <c r="BP37" i="48"/>
  <c r="AN37" i="48"/>
  <c r="CR36" i="48"/>
  <c r="BP36" i="48"/>
  <c r="AN36" i="48"/>
  <c r="CR35" i="48"/>
  <c r="BP35" i="48"/>
  <c r="AN35" i="48"/>
  <c r="CR34" i="48"/>
  <c r="BP34" i="48"/>
  <c r="CQ41" i="48"/>
  <c r="BO41" i="48"/>
  <c r="AM41" i="48"/>
  <c r="CQ40" i="48"/>
  <c r="BO40" i="48"/>
  <c r="AM40" i="48"/>
  <c r="CQ39" i="48"/>
  <c r="BO39" i="48"/>
  <c r="AM39" i="48"/>
  <c r="CQ38" i="48"/>
  <c r="BO38" i="48"/>
  <c r="AM38" i="48"/>
  <c r="CQ37" i="48"/>
  <c r="BO37" i="48"/>
  <c r="AM37" i="48"/>
  <c r="CQ36" i="48"/>
  <c r="BO36" i="48"/>
  <c r="AM36" i="48"/>
  <c r="CQ35" i="48"/>
  <c r="BO35" i="48"/>
  <c r="AM35" i="48"/>
  <c r="CQ34" i="48"/>
  <c r="BO34" i="48"/>
  <c r="AM34" i="48"/>
  <c r="CP41" i="48"/>
  <c r="BN41" i="48"/>
  <c r="AL41" i="48"/>
  <c r="CP40" i="48"/>
  <c r="BN40" i="48"/>
  <c r="AL40" i="48"/>
  <c r="CP39" i="48"/>
  <c r="BN39" i="48"/>
  <c r="AL39" i="48"/>
  <c r="CP38" i="48"/>
  <c r="BN38" i="48"/>
  <c r="AL38" i="48"/>
  <c r="CP37" i="48"/>
  <c r="CO41" i="48"/>
  <c r="BM41" i="48"/>
  <c r="AK41" i="48"/>
  <c r="CO40" i="48"/>
  <c r="BM40" i="48"/>
  <c r="AK40" i="48"/>
  <c r="CO39" i="48"/>
  <c r="BM39" i="48"/>
  <c r="AK39" i="48"/>
  <c r="CO38" i="48"/>
  <c r="BM38" i="48"/>
  <c r="AK38" i="48"/>
  <c r="CO37" i="48"/>
  <c r="BM37" i="48"/>
  <c r="AK37" i="48"/>
  <c r="CO36" i="48"/>
  <c r="BM36" i="48"/>
  <c r="AK36" i="48"/>
  <c r="BN35" i="48"/>
  <c r="CO33" i="48"/>
  <c r="CU32" i="48"/>
  <c r="AN32" i="48"/>
  <c r="BN31" i="48"/>
  <c r="BZ30" i="48"/>
  <c r="V30" i="48"/>
  <c r="AX29" i="48"/>
  <c r="BZ28" i="48"/>
  <c r="AG28" i="48"/>
  <c r="BR27" i="48"/>
  <c r="W27" i="48"/>
  <c r="BQ26" i="48"/>
  <c r="W26" i="48"/>
  <c r="BR25" i="48"/>
  <c r="AO25" i="48"/>
  <c r="CR24" i="48"/>
  <c r="BO24" i="48"/>
  <c r="AM24" i="48"/>
  <c r="CQ23" i="48"/>
  <c r="BO23" i="48"/>
  <c r="AM23" i="48"/>
  <c r="CQ22" i="48"/>
  <c r="BO22" i="48"/>
  <c r="AM22" i="48"/>
  <c r="CQ21" i="48"/>
  <c r="BO21" i="48"/>
  <c r="AM21" i="48"/>
  <c r="CQ20" i="48"/>
  <c r="BO20" i="48"/>
  <c r="AM20" i="48"/>
  <c r="CQ19" i="48"/>
  <c r="BO19" i="48"/>
  <c r="AM19" i="48"/>
  <c r="CQ18" i="48"/>
  <c r="BO18" i="48"/>
  <c r="AM18" i="48"/>
  <c r="CQ17" i="48"/>
  <c r="BO17" i="48"/>
  <c r="AM17" i="48"/>
  <c r="CQ16" i="48"/>
  <c r="BO16" i="48"/>
  <c r="AM16" i="48"/>
  <c r="CQ15" i="48"/>
  <c r="BO15" i="48"/>
  <c r="AM15" i="48"/>
  <c r="CQ14" i="48"/>
  <c r="BO14" i="48"/>
  <c r="AM14" i="48"/>
  <c r="CQ13" i="48"/>
  <c r="BO13" i="48"/>
  <c r="AM13" i="48"/>
  <c r="CQ12" i="48"/>
  <c r="BO12" i="48"/>
  <c r="AM12" i="48"/>
  <c r="CQ11" i="48"/>
  <c r="BO11" i="48"/>
  <c r="AM11" i="48"/>
  <c r="CQ10" i="48"/>
  <c r="BO10" i="48"/>
  <c r="AM10" i="48"/>
  <c r="CQ9" i="48"/>
  <c r="BO9" i="48"/>
  <c r="AM9" i="48"/>
  <c r="CQ8" i="48"/>
  <c r="BO8" i="48"/>
  <c r="AM8" i="48"/>
  <c r="CQ7" i="48"/>
  <c r="BO7" i="48"/>
  <c r="AM7" i="48"/>
  <c r="CQ6" i="48"/>
  <c r="BO6" i="48"/>
  <c r="AM6" i="48"/>
  <c r="BM35" i="48"/>
  <c r="BY33" i="48"/>
  <c r="CT32" i="48"/>
  <c r="AM32" i="48"/>
  <c r="BM31" i="48"/>
  <c r="BY30" i="48"/>
  <c r="U30" i="48"/>
  <c r="AW29" i="48"/>
  <c r="BY28" i="48"/>
  <c r="X28" i="48"/>
  <c r="BQ27" i="48"/>
  <c r="V27" i="48"/>
  <c r="BP26" i="48"/>
  <c r="V26" i="48"/>
  <c r="BQ25" i="48"/>
  <c r="AN25" i="48"/>
  <c r="CQ24" i="48"/>
  <c r="BN24" i="48"/>
  <c r="AL24" i="48"/>
  <c r="CP23" i="48"/>
  <c r="BN23" i="48"/>
  <c r="AL23" i="48"/>
  <c r="CP22" i="48"/>
  <c r="BN22" i="48"/>
  <c r="AL22" i="48"/>
  <c r="CP21" i="48"/>
  <c r="BN21" i="48"/>
  <c r="AL21" i="48"/>
  <c r="CP20" i="48"/>
  <c r="BN20" i="48"/>
  <c r="AL20" i="48"/>
  <c r="CP19" i="48"/>
  <c r="BN19" i="48"/>
  <c r="AL19" i="48"/>
  <c r="CP18" i="48"/>
  <c r="BN18" i="48"/>
  <c r="AL18" i="48"/>
  <c r="CP17" i="48"/>
  <c r="BN17" i="48"/>
  <c r="AL17" i="48"/>
  <c r="CP16" i="48"/>
  <c r="BN16" i="48"/>
  <c r="AL16" i="48"/>
  <c r="CP15" i="48"/>
  <c r="BN15" i="48"/>
  <c r="AL15" i="48"/>
  <c r="CP14" i="48"/>
  <c r="BN14" i="48"/>
  <c r="AL14" i="48"/>
  <c r="CP13" i="48"/>
  <c r="BN13" i="48"/>
  <c r="AL13" i="48"/>
  <c r="CP12" i="48"/>
  <c r="BN12" i="48"/>
  <c r="AL12" i="48"/>
  <c r="CP11" i="48"/>
  <c r="BN11" i="48"/>
  <c r="AL11" i="48"/>
  <c r="CP10" i="48"/>
  <c r="BN10" i="48"/>
  <c r="AL10" i="48"/>
  <c r="CP9" i="48"/>
  <c r="BN9" i="48"/>
  <c r="AL9" i="48"/>
  <c r="CP8" i="48"/>
  <c r="BN8" i="48"/>
  <c r="AL8" i="48"/>
  <c r="CP7" i="48"/>
  <c r="BN7" i="48"/>
  <c r="AL7" i="48"/>
  <c r="CP6" i="48"/>
  <c r="BN6" i="48"/>
  <c r="AL6" i="48"/>
  <c r="AL35" i="48"/>
  <c r="BW33" i="48"/>
  <c r="CS32" i="48"/>
  <c r="AL32" i="48"/>
  <c r="AW31" i="48"/>
  <c r="BX30" i="48"/>
  <c r="T30" i="48"/>
  <c r="AV29" i="48"/>
  <c r="BX28" i="48"/>
  <c r="W28" i="48"/>
  <c r="BP27" i="48"/>
  <c r="U27" i="48"/>
  <c r="BO26" i="48"/>
  <c r="U26" i="48"/>
  <c r="BP25" i="48"/>
  <c r="AM25" i="48"/>
  <c r="CP24" i="48"/>
  <c r="BM24" i="48"/>
  <c r="AK24" i="48"/>
  <c r="CO23" i="48"/>
  <c r="BM23" i="48"/>
  <c r="AK23" i="48"/>
  <c r="CO22" i="48"/>
  <c r="BM22" i="48"/>
  <c r="AK22" i="48"/>
  <c r="CO21" i="48"/>
  <c r="BM21" i="48"/>
  <c r="AK21" i="48"/>
  <c r="CO20" i="48"/>
  <c r="BM20" i="48"/>
  <c r="AK20" i="48"/>
  <c r="CO19" i="48"/>
  <c r="BM19" i="48"/>
  <c r="AK19" i="48"/>
  <c r="CO18" i="48"/>
  <c r="BM18" i="48"/>
  <c r="AK18" i="48"/>
  <c r="CO17" i="48"/>
  <c r="BM17" i="48"/>
  <c r="AK17" i="48"/>
  <c r="CO16" i="48"/>
  <c r="BM16" i="48"/>
  <c r="AK16" i="48"/>
  <c r="CO15" i="48"/>
  <c r="BM15" i="48"/>
  <c r="AK15" i="48"/>
  <c r="CO14" i="48"/>
  <c r="BM14" i="48"/>
  <c r="AK14" i="48"/>
  <c r="CO13" i="48"/>
  <c r="BM13" i="48"/>
  <c r="AK13" i="48"/>
  <c r="CO12" i="48"/>
  <c r="BM12" i="48"/>
  <c r="AK12" i="48"/>
  <c r="CO11" i="48"/>
  <c r="BM11" i="48"/>
  <c r="AK11" i="48"/>
  <c r="CO10" i="48"/>
  <c r="BM10" i="48"/>
  <c r="AK10" i="48"/>
  <c r="CO9" i="48"/>
  <c r="BM9" i="48"/>
  <c r="AK9" i="48"/>
  <c r="CO8" i="48"/>
  <c r="BM8" i="48"/>
  <c r="AK8" i="48"/>
  <c r="CO7" i="48"/>
  <c r="BM7" i="48"/>
  <c r="AK7" i="48"/>
  <c r="CO6" i="48"/>
  <c r="BM6" i="48"/>
  <c r="AK6" i="48"/>
  <c r="X7" i="48"/>
  <c r="AO6" i="48"/>
  <c r="AK35" i="48"/>
  <c r="BV33" i="48"/>
  <c r="CR32" i="48"/>
  <c r="AK32" i="48"/>
  <c r="AV31" i="48"/>
  <c r="BW30" i="48"/>
  <c r="S30" i="48"/>
  <c r="AU29" i="48"/>
  <c r="BW28" i="48"/>
  <c r="V28" i="48"/>
  <c r="BO27" i="48"/>
  <c r="T27" i="48"/>
  <c r="BN26" i="48"/>
  <c r="T26" i="48"/>
  <c r="BO25" i="48"/>
  <c r="AL25" i="48"/>
  <c r="CO24" i="48"/>
  <c r="BL24" i="48"/>
  <c r="AJ24" i="48"/>
  <c r="CN23" i="48"/>
  <c r="BL23" i="48"/>
  <c r="AJ23" i="48"/>
  <c r="CN22" i="48"/>
  <c r="BL22" i="48"/>
  <c r="AJ22" i="48"/>
  <c r="CN21" i="48"/>
  <c r="BL21" i="48"/>
  <c r="AJ21" i="48"/>
  <c r="CN20" i="48"/>
  <c r="BL20" i="48"/>
  <c r="AJ20" i="48"/>
  <c r="CN19" i="48"/>
  <c r="BL19" i="48"/>
  <c r="AJ19" i="48"/>
  <c r="CN18" i="48"/>
  <c r="BL18" i="48"/>
  <c r="AJ18" i="48"/>
  <c r="CN17" i="48"/>
  <c r="BL17" i="48"/>
  <c r="AJ17" i="48"/>
  <c r="CN16" i="48"/>
  <c r="BL16" i="48"/>
  <c r="AJ16" i="48"/>
  <c r="CN15" i="48"/>
  <c r="BL15" i="48"/>
  <c r="AJ15" i="48"/>
  <c r="CN14" i="48"/>
  <c r="BL14" i="48"/>
  <c r="AJ14" i="48"/>
  <c r="CN13" i="48"/>
  <c r="BL13" i="48"/>
  <c r="AJ13" i="48"/>
  <c r="CN12" i="48"/>
  <c r="BL12" i="48"/>
  <c r="AJ12" i="48"/>
  <c r="CN11" i="48"/>
  <c r="BL11" i="48"/>
  <c r="AJ11" i="48"/>
  <c r="CN10" i="48"/>
  <c r="BL10" i="48"/>
  <c r="AJ10" i="48"/>
  <c r="CN9" i="48"/>
  <c r="BL9" i="48"/>
  <c r="AJ9" i="48"/>
  <c r="CN8" i="48"/>
  <c r="BL8" i="48"/>
  <c r="AJ8" i="48"/>
  <c r="CN7" i="48"/>
  <c r="BL7" i="48"/>
  <c r="AJ7" i="48"/>
  <c r="CN6" i="48"/>
  <c r="BL6" i="48"/>
  <c r="AJ6" i="48"/>
  <c r="Y6" i="48"/>
  <c r="CP34" i="48"/>
  <c r="BS33" i="48"/>
  <c r="CQ32" i="48"/>
  <c r="U32" i="48"/>
  <c r="AU31" i="48"/>
  <c r="BV30" i="48"/>
  <c r="R30" i="48"/>
  <c r="AT29" i="48"/>
  <c r="BV28" i="48"/>
  <c r="U28" i="48"/>
  <c r="BN27" i="48"/>
  <c r="S27" i="48"/>
  <c r="BM26" i="48"/>
  <c r="S26" i="48"/>
  <c r="BN25" i="48"/>
  <c r="AK25" i="48"/>
  <c r="CN24" i="48"/>
  <c r="BK24" i="48"/>
  <c r="AI24" i="48"/>
  <c r="CM23" i="48"/>
  <c r="BK23" i="48"/>
  <c r="AI23" i="48"/>
  <c r="CM22" i="48"/>
  <c r="BK22" i="48"/>
  <c r="AI22" i="48"/>
  <c r="CM21" i="48"/>
  <c r="BK21" i="48"/>
  <c r="AI21" i="48"/>
  <c r="CM20" i="48"/>
  <c r="BK20" i="48"/>
  <c r="AI20" i="48"/>
  <c r="CM19" i="48"/>
  <c r="BK19" i="48"/>
  <c r="AI19" i="48"/>
  <c r="CM18" i="48"/>
  <c r="BK18" i="48"/>
  <c r="AI18" i="48"/>
  <c r="CM17" i="48"/>
  <c r="BK17" i="48"/>
  <c r="AI17" i="48"/>
  <c r="CM16" i="48"/>
  <c r="BK16" i="48"/>
  <c r="AI16" i="48"/>
  <c r="CM15" i="48"/>
  <c r="BK15" i="48"/>
  <c r="AI15" i="48"/>
  <c r="CM14" i="48"/>
  <c r="BK14" i="48"/>
  <c r="AI14" i="48"/>
  <c r="CM13" i="48"/>
  <c r="BK13" i="48"/>
  <c r="AI13" i="48"/>
  <c r="CM12" i="48"/>
  <c r="BK12" i="48"/>
  <c r="AI12" i="48"/>
  <c r="CM11" i="48"/>
  <c r="BK11" i="48"/>
  <c r="AI11" i="48"/>
  <c r="CM10" i="48"/>
  <c r="BK10" i="48"/>
  <c r="AI10" i="48"/>
  <c r="CM9" i="48"/>
  <c r="BK9" i="48"/>
  <c r="AI9" i="48"/>
  <c r="CM8" i="48"/>
  <c r="BK8" i="48"/>
  <c r="AI8" i="48"/>
  <c r="CM7" i="48"/>
  <c r="BK7" i="48"/>
  <c r="AI7" i="48"/>
  <c r="CM6" i="48"/>
  <c r="BK6" i="48"/>
  <c r="AI6" i="48"/>
  <c r="BA7" i="48"/>
  <c r="CO34" i="48"/>
  <c r="BR33" i="48"/>
  <c r="CP32" i="48"/>
  <c r="T32" i="48"/>
  <c r="AT31" i="48"/>
  <c r="BS30" i="48"/>
  <c r="CU29" i="48"/>
  <c r="AQ29" i="48"/>
  <c r="BS28" i="48"/>
  <c r="T28" i="48"/>
  <c r="BM27" i="48"/>
  <c r="R27" i="48"/>
  <c r="BI26" i="48"/>
  <c r="R26" i="48"/>
  <c r="BM25" i="48"/>
  <c r="AJ25" i="48"/>
  <c r="CM24" i="48"/>
  <c r="BJ24" i="48"/>
  <c r="AH24" i="48"/>
  <c r="CL23" i="48"/>
  <c r="BJ23" i="48"/>
  <c r="AH23" i="48"/>
  <c r="CL22" i="48"/>
  <c r="BJ22" i="48"/>
  <c r="AH22" i="48"/>
  <c r="CL21" i="48"/>
  <c r="BJ21" i="48"/>
  <c r="AH21" i="48"/>
  <c r="CL20" i="48"/>
  <c r="BJ20" i="48"/>
  <c r="AH20" i="48"/>
  <c r="CL19" i="48"/>
  <c r="BJ19" i="48"/>
  <c r="AH19" i="48"/>
  <c r="CL18" i="48"/>
  <c r="BJ18" i="48"/>
  <c r="AH18" i="48"/>
  <c r="CL17" i="48"/>
  <c r="BJ17" i="48"/>
  <c r="AH17" i="48"/>
  <c r="CL16" i="48"/>
  <c r="BJ16" i="48"/>
  <c r="AH16" i="48"/>
  <c r="CL15" i="48"/>
  <c r="BJ15" i="48"/>
  <c r="AH15" i="48"/>
  <c r="CL14" i="48"/>
  <c r="BJ14" i="48"/>
  <c r="AH14" i="48"/>
  <c r="CL13" i="48"/>
  <c r="BJ13" i="48"/>
  <c r="AH13" i="48"/>
  <c r="CL12" i="48"/>
  <c r="BJ12" i="48"/>
  <c r="AH12" i="48"/>
  <c r="CL11" i="48"/>
  <c r="BJ11" i="48"/>
  <c r="AH11" i="48"/>
  <c r="CL10" i="48"/>
  <c r="BJ10" i="48"/>
  <c r="AH10" i="48"/>
  <c r="CL9" i="48"/>
  <c r="BJ9" i="48"/>
  <c r="AH9" i="48"/>
  <c r="CL8" i="48"/>
  <c r="BJ8" i="48"/>
  <c r="AH8" i="48"/>
  <c r="CL7" i="48"/>
  <c r="BJ7" i="48"/>
  <c r="AH7" i="48"/>
  <c r="CL6" i="48"/>
  <c r="BJ6" i="48"/>
  <c r="AH6" i="48"/>
  <c r="BW34" i="48"/>
  <c r="BQ33" i="48"/>
  <c r="CO32" i="48"/>
  <c r="S32" i="48"/>
  <c r="AQ31" i="48"/>
  <c r="BR30" i="48"/>
  <c r="CT29" i="48"/>
  <c r="AP29" i="48"/>
  <c r="BR28" i="48"/>
  <c r="S28" i="48"/>
  <c r="BI27" i="48"/>
  <c r="CU26" i="48"/>
  <c r="BC26" i="48"/>
  <c r="CU25" i="48"/>
  <c r="BL25" i="48"/>
  <c r="AI25" i="48"/>
  <c r="CL24" i="48"/>
  <c r="BI24" i="48"/>
  <c r="AG24" i="48"/>
  <c r="CK23" i="48"/>
  <c r="BI23" i="48"/>
  <c r="AG23" i="48"/>
  <c r="CK22" i="48"/>
  <c r="BI22" i="48"/>
  <c r="AG22" i="48"/>
  <c r="CK21" i="48"/>
  <c r="BI21" i="48"/>
  <c r="AG21" i="48"/>
  <c r="CK20" i="48"/>
  <c r="BI20" i="48"/>
  <c r="AG20" i="48"/>
  <c r="CK19" i="48"/>
  <c r="BI19" i="48"/>
  <c r="AG19" i="48"/>
  <c r="CK18" i="48"/>
  <c r="BI18" i="48"/>
  <c r="AG18" i="48"/>
  <c r="CK17" i="48"/>
  <c r="BI17" i="48"/>
  <c r="AG17" i="48"/>
  <c r="CK16" i="48"/>
  <c r="BI16" i="48"/>
  <c r="AG16" i="48"/>
  <c r="CK15" i="48"/>
  <c r="BI15" i="48"/>
  <c r="AG15" i="48"/>
  <c r="CK14" i="48"/>
  <c r="BI14" i="48"/>
  <c r="AG14" i="48"/>
  <c r="CK13" i="48"/>
  <c r="BI13" i="48"/>
  <c r="AG13" i="48"/>
  <c r="CK12" i="48"/>
  <c r="BI12" i="48"/>
  <c r="AG12" i="48"/>
  <c r="CK11" i="48"/>
  <c r="BI11" i="48"/>
  <c r="AG11" i="48"/>
  <c r="CK10" i="48"/>
  <c r="BI10" i="48"/>
  <c r="AG10" i="48"/>
  <c r="CK9" i="48"/>
  <c r="BI9" i="48"/>
  <c r="AG9" i="48"/>
  <c r="CK8" i="48"/>
  <c r="BI8" i="48"/>
  <c r="AG8" i="48"/>
  <c r="CK7" i="48"/>
  <c r="BI7" i="48"/>
  <c r="AG7" i="48"/>
  <c r="CK6" i="48"/>
  <c r="BI6" i="48"/>
  <c r="AG6" i="48"/>
  <c r="X6" i="48"/>
  <c r="AO7" i="48"/>
  <c r="BN34" i="48"/>
  <c r="BP33" i="48"/>
  <c r="BY32" i="48"/>
  <c r="R32" i="48"/>
  <c r="AP31" i="48"/>
  <c r="BQ30" i="48"/>
  <c r="CS29" i="48"/>
  <c r="AO29" i="48"/>
  <c r="BQ28" i="48"/>
  <c r="R28" i="48"/>
  <c r="AZ27" i="48"/>
  <c r="CT26" i="48"/>
  <c r="AZ26" i="48"/>
  <c r="CT25" i="48"/>
  <c r="BK25" i="48"/>
  <c r="AH25" i="48"/>
  <c r="CK24" i="48"/>
  <c r="BH24" i="48"/>
  <c r="AF24" i="48"/>
  <c r="CJ23" i="48"/>
  <c r="BH23" i="48"/>
  <c r="AF23" i="48"/>
  <c r="CJ22" i="48"/>
  <c r="BH22" i="48"/>
  <c r="AF22" i="48"/>
  <c r="CJ21" i="48"/>
  <c r="BH21" i="48"/>
  <c r="AF21" i="48"/>
  <c r="CJ20" i="48"/>
  <c r="BH20" i="48"/>
  <c r="AF20" i="48"/>
  <c r="CJ19" i="48"/>
  <c r="BH19" i="48"/>
  <c r="AF19" i="48"/>
  <c r="CJ18" i="48"/>
  <c r="BH18" i="48"/>
  <c r="AF18" i="48"/>
  <c r="CJ17" i="48"/>
  <c r="BH17" i="48"/>
  <c r="AF17" i="48"/>
  <c r="CJ16" i="48"/>
  <c r="BH16" i="48"/>
  <c r="AF16" i="48"/>
  <c r="CJ15" i="48"/>
  <c r="BH15" i="48"/>
  <c r="AF15" i="48"/>
  <c r="CJ14" i="48"/>
  <c r="BH14" i="48"/>
  <c r="AF14" i="48"/>
  <c r="CJ13" i="48"/>
  <c r="BH13" i="48"/>
  <c r="AF13" i="48"/>
  <c r="CJ12" i="48"/>
  <c r="BH12" i="48"/>
  <c r="AF12" i="48"/>
  <c r="CJ11" i="48"/>
  <c r="BH11" i="48"/>
  <c r="AF11" i="48"/>
  <c r="CJ10" i="48"/>
  <c r="BH10" i="48"/>
  <c r="AF10" i="48"/>
  <c r="CJ9" i="48"/>
  <c r="BH9" i="48"/>
  <c r="AF9" i="48"/>
  <c r="CJ8" i="48"/>
  <c r="BH8" i="48"/>
  <c r="AF8" i="48"/>
  <c r="CJ7" i="48"/>
  <c r="BH7" i="48"/>
  <c r="AF7" i="48"/>
  <c r="CJ6" i="48"/>
  <c r="BH6" i="48"/>
  <c r="AF6" i="48"/>
  <c r="AZ6" i="48"/>
  <c r="BM34" i="48"/>
  <c r="BO33" i="48"/>
  <c r="BW32" i="48"/>
  <c r="CU31" i="48"/>
  <c r="AO31" i="48"/>
  <c r="BP30" i="48"/>
  <c r="CR29" i="48"/>
  <c r="AN29" i="48"/>
  <c r="BP28" i="48"/>
  <c r="CU27" i="48"/>
  <c r="AY27" i="48"/>
  <c r="CS26" i="48"/>
  <c r="AY26" i="48"/>
  <c r="CS25" i="48"/>
  <c r="BJ25" i="48"/>
  <c r="AG25" i="48"/>
  <c r="CJ24" i="48"/>
  <c r="BE24" i="48"/>
  <c r="AC24" i="48"/>
  <c r="CG23" i="48"/>
  <c r="BE23" i="48"/>
  <c r="AC23" i="48"/>
  <c r="CG22" i="48"/>
  <c r="BE22" i="48"/>
  <c r="AC22" i="48"/>
  <c r="CG21" i="48"/>
  <c r="BE21" i="48"/>
  <c r="AC21" i="48"/>
  <c r="CG20" i="48"/>
  <c r="BE20" i="48"/>
  <c r="AC20" i="48"/>
  <c r="CG19" i="48"/>
  <c r="BE19" i="48"/>
  <c r="AC19" i="48"/>
  <c r="CG18" i="48"/>
  <c r="BE18" i="48"/>
  <c r="AC18" i="48"/>
  <c r="CG17" i="48"/>
  <c r="BE17" i="48"/>
  <c r="AC17" i="48"/>
  <c r="CG16" i="48"/>
  <c r="BE16" i="48"/>
  <c r="AC16" i="48"/>
  <c r="CG15" i="48"/>
  <c r="BE15" i="48"/>
  <c r="AC15" i="48"/>
  <c r="CG14" i="48"/>
  <c r="BE14" i="48"/>
  <c r="AC14" i="48"/>
  <c r="CG13" i="48"/>
  <c r="BE13" i="48"/>
  <c r="AC13" i="48"/>
  <c r="CG12" i="48"/>
  <c r="BE12" i="48"/>
  <c r="AC12" i="48"/>
  <c r="CG11" i="48"/>
  <c r="BE11" i="48"/>
  <c r="AC11" i="48"/>
  <c r="CG10" i="48"/>
  <c r="BE10" i="48"/>
  <c r="AC10" i="48"/>
  <c r="CG9" i="48"/>
  <c r="BE9" i="48"/>
  <c r="AC9" i="48"/>
  <c r="CG8" i="48"/>
  <c r="BE8" i="48"/>
  <c r="AC8" i="48"/>
  <c r="CG7" i="48"/>
  <c r="BE7" i="48"/>
  <c r="AC7" i="48"/>
  <c r="CG6" i="48"/>
  <c r="BE6" i="48"/>
  <c r="AC6" i="48"/>
  <c r="BA6" i="48"/>
  <c r="BQ6" i="48"/>
  <c r="AW34" i="48"/>
  <c r="BN33" i="48"/>
  <c r="BV32" i="48"/>
  <c r="CT31" i="48"/>
  <c r="AN31" i="48"/>
  <c r="BO30" i="48"/>
  <c r="CQ29" i="48"/>
  <c r="AM29" i="48"/>
  <c r="BO28" i="48"/>
  <c r="CT27" i="48"/>
  <c r="AX27" i="48"/>
  <c r="CR26" i="48"/>
  <c r="AX26" i="48"/>
  <c r="CR25" i="48"/>
  <c r="BI25" i="48"/>
  <c r="AF25" i="48"/>
  <c r="CG24" i="48"/>
  <c r="BD24" i="48"/>
  <c r="AB24" i="48"/>
  <c r="CF23" i="48"/>
  <c r="BD23" i="48"/>
  <c r="AB23" i="48"/>
  <c r="CF22" i="48"/>
  <c r="BD22" i="48"/>
  <c r="AB22" i="48"/>
  <c r="CF21" i="48"/>
  <c r="BD21" i="48"/>
  <c r="AB21" i="48"/>
  <c r="CF20" i="48"/>
  <c r="BD20" i="48"/>
  <c r="AB20" i="48"/>
  <c r="CF19" i="48"/>
  <c r="BD19" i="48"/>
  <c r="AB19" i="48"/>
  <c r="CF18" i="48"/>
  <c r="BD18" i="48"/>
  <c r="AB18" i="48"/>
  <c r="CF17" i="48"/>
  <c r="BD17" i="48"/>
  <c r="AB17" i="48"/>
  <c r="CF16" i="48"/>
  <c r="BD16" i="48"/>
  <c r="AB16" i="48"/>
  <c r="CF15" i="48"/>
  <c r="BD15" i="48"/>
  <c r="AB15" i="48"/>
  <c r="CF14" i="48"/>
  <c r="BD14" i="48"/>
  <c r="AB14" i="48"/>
  <c r="CF13" i="48"/>
  <c r="BD13" i="48"/>
  <c r="AB13" i="48"/>
  <c r="CF12" i="48"/>
  <c r="BD12" i="48"/>
  <c r="AB12" i="48"/>
  <c r="CF11" i="48"/>
  <c r="BD11" i="48"/>
  <c r="AB11" i="48"/>
  <c r="CF10" i="48"/>
  <c r="BD10" i="48"/>
  <c r="AB10" i="48"/>
  <c r="CF9" i="48"/>
  <c r="BD9" i="48"/>
  <c r="AB9" i="48"/>
  <c r="CF8" i="48"/>
  <c r="BD8" i="48"/>
  <c r="AB8" i="48"/>
  <c r="CF7" i="48"/>
  <c r="BD7" i="48"/>
  <c r="AB7" i="48"/>
  <c r="CF6" i="48"/>
  <c r="BD6" i="48"/>
  <c r="AB6" i="48"/>
  <c r="Y7" i="48"/>
  <c r="AU34" i="48"/>
  <c r="BM33" i="48"/>
  <c r="BS32" i="48"/>
  <c r="CS31" i="48"/>
  <c r="AM31" i="48"/>
  <c r="BN30" i="48"/>
  <c r="CP29" i="48"/>
  <c r="AL29" i="48"/>
  <c r="BN28" i="48"/>
  <c r="CS27" i="48"/>
  <c r="AW27" i="48"/>
  <c r="CQ26" i="48"/>
  <c r="AW26" i="48"/>
  <c r="CQ25" i="48"/>
  <c r="BH25" i="48"/>
  <c r="AC25" i="48"/>
  <c r="CE24" i="48"/>
  <c r="BC24" i="48"/>
  <c r="AA24" i="48"/>
  <c r="CE23" i="48"/>
  <c r="BC23" i="48"/>
  <c r="AA23" i="48"/>
  <c r="CE22" i="48"/>
  <c r="BC22" i="48"/>
  <c r="AA22" i="48"/>
  <c r="CE21" i="48"/>
  <c r="BC21" i="48"/>
  <c r="AA21" i="48"/>
  <c r="CE20" i="48"/>
  <c r="BC20" i="48"/>
  <c r="AA20" i="48"/>
  <c r="CE19" i="48"/>
  <c r="BC19" i="48"/>
  <c r="AA19" i="48"/>
  <c r="CE18" i="48"/>
  <c r="BC18" i="48"/>
  <c r="AA18" i="48"/>
  <c r="CE17" i="48"/>
  <c r="BC17" i="48"/>
  <c r="AA17" i="48"/>
  <c r="CE16" i="48"/>
  <c r="BC16" i="48"/>
  <c r="AA16" i="48"/>
  <c r="CE15" i="48"/>
  <c r="BC15" i="48"/>
  <c r="AA15" i="48"/>
  <c r="CE14" i="48"/>
  <c r="BC14" i="48"/>
  <c r="AA14" i="48"/>
  <c r="CE13" i="48"/>
  <c r="BC13" i="48"/>
  <c r="AA13" i="48"/>
  <c r="CE12" i="48"/>
  <c r="BC12" i="48"/>
  <c r="AA12" i="48"/>
  <c r="CE11" i="48"/>
  <c r="BC11" i="48"/>
  <c r="AA11" i="48"/>
  <c r="CE10" i="48"/>
  <c r="BC10" i="48"/>
  <c r="AA10" i="48"/>
  <c r="CE9" i="48"/>
  <c r="BC9" i="48"/>
  <c r="AA9" i="48"/>
  <c r="CE8" i="48"/>
  <c r="BC8" i="48"/>
  <c r="AA8" i="48"/>
  <c r="CE7" i="48"/>
  <c r="BC7" i="48"/>
  <c r="AA7" i="48"/>
  <c r="CE6" i="48"/>
  <c r="BC6" i="48"/>
  <c r="AA6" i="48"/>
  <c r="CC6" i="48"/>
  <c r="CS6" i="48"/>
  <c r="AT34" i="48"/>
  <c r="AW33" i="48"/>
  <c r="BR32" i="48"/>
  <c r="CR31" i="48"/>
  <c r="AL31" i="48"/>
  <c r="BM30" i="48"/>
  <c r="CO29" i="48"/>
  <c r="AK29" i="48"/>
  <c r="BM28" i="48"/>
  <c r="CR27" i="48"/>
  <c r="AV27" i="48"/>
  <c r="CP26" i="48"/>
  <c r="AV26" i="48"/>
  <c r="CP25" i="48"/>
  <c r="BE25" i="48"/>
  <c r="AA25" i="48"/>
  <c r="CD24" i="48"/>
  <c r="BB24" i="48"/>
  <c r="Z24" i="48"/>
  <c r="CD23" i="48"/>
  <c r="BB23" i="48"/>
  <c r="Z23" i="48"/>
  <c r="CD22" i="48"/>
  <c r="BB22" i="48"/>
  <c r="Z22" i="48"/>
  <c r="CD21" i="48"/>
  <c r="BB21" i="48"/>
  <c r="Z21" i="48"/>
  <c r="CD20" i="48"/>
  <c r="BB20" i="48"/>
  <c r="Z20" i="48"/>
  <c r="CD19" i="48"/>
  <c r="BB19" i="48"/>
  <c r="Z19" i="48"/>
  <c r="CD18" i="48"/>
  <c r="BB18" i="48"/>
  <c r="Z18" i="48"/>
  <c r="CD17" i="48"/>
  <c r="BB17" i="48"/>
  <c r="Z17" i="48"/>
  <c r="CD16" i="48"/>
  <c r="BB16" i="48"/>
  <c r="Z16" i="48"/>
  <c r="CD15" i="48"/>
  <c r="BB15" i="48"/>
  <c r="Z15" i="48"/>
  <c r="CD14" i="48"/>
  <c r="BB14" i="48"/>
  <c r="Z14" i="48"/>
  <c r="CD13" i="48"/>
  <c r="BB13" i="48"/>
  <c r="Z13" i="48"/>
  <c r="CD12" i="48"/>
  <c r="BB12" i="48"/>
  <c r="Z12" i="48"/>
  <c r="CD11" i="48"/>
  <c r="BB11" i="48"/>
  <c r="Z11" i="48"/>
  <c r="CD10" i="48"/>
  <c r="BB10" i="48"/>
  <c r="Z10" i="48"/>
  <c r="CD9" i="48"/>
  <c r="BB9" i="48"/>
  <c r="Z9" i="48"/>
  <c r="CD8" i="48"/>
  <c r="BB8" i="48"/>
  <c r="Z8" i="48"/>
  <c r="CD7" i="48"/>
  <c r="BB7" i="48"/>
  <c r="Z7" i="48"/>
  <c r="CD6" i="48"/>
  <c r="BB6" i="48"/>
  <c r="Z6" i="48"/>
  <c r="CB6" i="48"/>
  <c r="AP34" i="48"/>
  <c r="AU33" i="48"/>
  <c r="BQ32" i="48"/>
  <c r="CQ31" i="48"/>
  <c r="AK31" i="48"/>
  <c r="AX30" i="48"/>
  <c r="BZ29" i="48"/>
  <c r="V29" i="48"/>
  <c r="AX28" i="48"/>
  <c r="CQ27" i="48"/>
  <c r="AU27" i="48"/>
  <c r="CO26" i="48"/>
  <c r="AU26" i="48"/>
  <c r="CO25" i="48"/>
  <c r="BC25" i="48"/>
  <c r="Z25" i="48"/>
  <c r="CC24" i="48"/>
  <c r="BA24" i="48"/>
  <c r="Y24" i="48"/>
  <c r="CC23" i="48"/>
  <c r="BA23" i="48"/>
  <c r="Y23" i="48"/>
  <c r="CC22" i="48"/>
  <c r="BA22" i="48"/>
  <c r="Y22" i="48"/>
  <c r="CC21" i="48"/>
  <c r="BA21" i="48"/>
  <c r="Y21" i="48"/>
  <c r="CC20" i="48"/>
  <c r="BA20" i="48"/>
  <c r="Y20" i="48"/>
  <c r="CC19" i="48"/>
  <c r="BA19" i="48"/>
  <c r="Y19" i="48"/>
  <c r="CC18" i="48"/>
  <c r="BA18" i="48"/>
  <c r="Y18" i="48"/>
  <c r="CC17" i="48"/>
  <c r="BA17" i="48"/>
  <c r="Y17" i="48"/>
  <c r="CC16" i="48"/>
  <c r="BA16" i="48"/>
  <c r="Y16" i="48"/>
  <c r="CC15" i="48"/>
  <c r="BA15" i="48"/>
  <c r="Y15" i="48"/>
  <c r="CC14" i="48"/>
  <c r="BA14" i="48"/>
  <c r="Y14" i="48"/>
  <c r="CC13" i="48"/>
  <c r="BA13" i="48"/>
  <c r="Y13" i="48"/>
  <c r="CC12" i="48"/>
  <c r="BA12" i="48"/>
  <c r="Y12" i="48"/>
  <c r="CC11" i="48"/>
  <c r="BA11" i="48"/>
  <c r="Y11" i="48"/>
  <c r="CC10" i="48"/>
  <c r="BA10" i="48"/>
  <c r="Y10" i="48"/>
  <c r="CC9" i="48"/>
  <c r="BA9" i="48"/>
  <c r="Y9" i="48"/>
  <c r="CC8" i="48"/>
  <c r="BA8" i="48"/>
  <c r="Y8" i="48"/>
  <c r="CC7" i="48"/>
  <c r="AN34" i="48"/>
  <c r="AT33" i="48"/>
  <c r="BP32" i="48"/>
  <c r="CP31" i="48"/>
  <c r="U31" i="48"/>
  <c r="AW30" i="48"/>
  <c r="BY29" i="48"/>
  <c r="U29" i="48"/>
  <c r="AW28" i="48"/>
  <c r="CP27" i="48"/>
  <c r="AT27" i="48"/>
  <c r="CK26" i="48"/>
  <c r="AT26" i="48"/>
  <c r="CK25" i="48"/>
  <c r="BB25" i="48"/>
  <c r="Y25" i="48"/>
  <c r="CB24" i="48"/>
  <c r="AZ24" i="48"/>
  <c r="X24" i="48"/>
  <c r="CB23" i="48"/>
  <c r="AZ23" i="48"/>
  <c r="X23" i="48"/>
  <c r="CB22" i="48"/>
  <c r="AZ22" i="48"/>
  <c r="X22" i="48"/>
  <c r="CB21" i="48"/>
  <c r="AZ21" i="48"/>
  <c r="X21" i="48"/>
  <c r="CB20" i="48"/>
  <c r="AZ20" i="48"/>
  <c r="X20" i="48"/>
  <c r="CB19" i="48"/>
  <c r="AZ19" i="48"/>
  <c r="X19" i="48"/>
  <c r="CB18" i="48"/>
  <c r="AZ18" i="48"/>
  <c r="X18" i="48"/>
  <c r="CB17" i="48"/>
  <c r="AZ17" i="48"/>
  <c r="X17" i="48"/>
  <c r="CB16" i="48"/>
  <c r="AZ16" i="48"/>
  <c r="X16" i="48"/>
  <c r="CB15" i="48"/>
  <c r="AZ15" i="48"/>
  <c r="X15" i="48"/>
  <c r="CB14" i="48"/>
  <c r="AZ14" i="48"/>
  <c r="X14" i="48"/>
  <c r="CB13" i="48"/>
  <c r="AZ13" i="48"/>
  <c r="X13" i="48"/>
  <c r="CB12" i="48"/>
  <c r="AZ12" i="48"/>
  <c r="X12" i="48"/>
  <c r="CB11" i="48"/>
  <c r="AZ11" i="48"/>
  <c r="X11" i="48"/>
  <c r="CB10" i="48"/>
  <c r="AZ10" i="48"/>
  <c r="X10" i="48"/>
  <c r="CB9" i="48"/>
  <c r="AZ9" i="48"/>
  <c r="X9" i="48"/>
  <c r="CB8" i="48"/>
  <c r="AZ8" i="48"/>
  <c r="X8" i="48"/>
  <c r="CB7" i="48"/>
  <c r="AL34" i="48"/>
  <c r="AQ33" i="48"/>
  <c r="BO32" i="48"/>
  <c r="CO31" i="48"/>
  <c r="T31" i="48"/>
  <c r="AV30" i="48"/>
  <c r="BX29" i="48"/>
  <c r="T29" i="48"/>
  <c r="AV28" i="48"/>
  <c r="CO27" i="48"/>
  <c r="AQ27" i="48"/>
  <c r="CE26" i="48"/>
  <c r="AQ26" i="48"/>
  <c r="CJ25" i="48"/>
  <c r="BA25" i="48"/>
  <c r="X25" i="48"/>
  <c r="CA24" i="48"/>
  <c r="AY24" i="48"/>
  <c r="W24" i="48"/>
  <c r="CA23" i="48"/>
  <c r="AY23" i="48"/>
  <c r="W23" i="48"/>
  <c r="CA22" i="48"/>
  <c r="AY22" i="48"/>
  <c r="W22" i="48"/>
  <c r="CA21" i="48"/>
  <c r="AY21" i="48"/>
  <c r="W21" i="48"/>
  <c r="CA20" i="48"/>
  <c r="AY20" i="48"/>
  <c r="W20" i="48"/>
  <c r="CA19" i="48"/>
  <c r="AY19" i="48"/>
  <c r="W19" i="48"/>
  <c r="CA18" i="48"/>
  <c r="AY18" i="48"/>
  <c r="W18" i="48"/>
  <c r="CA17" i="48"/>
  <c r="AY17" i="48"/>
  <c r="W17" i="48"/>
  <c r="CA16" i="48"/>
  <c r="AY16" i="48"/>
  <c r="W16" i="48"/>
  <c r="CA15" i="48"/>
  <c r="AY15" i="48"/>
  <c r="W15" i="48"/>
  <c r="CA14" i="48"/>
  <c r="AY14" i="48"/>
  <c r="W14" i="48"/>
  <c r="CA13" i="48"/>
  <c r="AY13" i="48"/>
  <c r="W13" i="48"/>
  <c r="CA12" i="48"/>
  <c r="AY12" i="48"/>
  <c r="W12" i="48"/>
  <c r="CA11" i="48"/>
  <c r="AY11" i="48"/>
  <c r="W11" i="48"/>
  <c r="CA10" i="48"/>
  <c r="AY10" i="48"/>
  <c r="W10" i="48"/>
  <c r="CA9" i="48"/>
  <c r="AY9" i="48"/>
  <c r="W9" i="48"/>
  <c r="CA8" i="48"/>
  <c r="AY8" i="48"/>
  <c r="W8" i="48"/>
  <c r="CA7" i="48"/>
  <c r="AY7" i="48"/>
  <c r="W7" i="48"/>
  <c r="CA6" i="48"/>
  <c r="AY6" i="48"/>
  <c r="W6" i="48"/>
  <c r="AK34" i="48"/>
  <c r="AP33" i="48"/>
  <c r="BN32" i="48"/>
  <c r="BY31" i="48"/>
  <c r="S31" i="48"/>
  <c r="AU30" i="48"/>
  <c r="BW29" i="48"/>
  <c r="S29" i="48"/>
  <c r="AU28" i="48"/>
  <c r="CK27" i="48"/>
  <c r="AP27" i="48"/>
  <c r="CB26" i="48"/>
  <c r="AP26" i="48"/>
  <c r="CE25" i="48"/>
  <c r="AZ25" i="48"/>
  <c r="W25" i="48"/>
  <c r="BZ24" i="48"/>
  <c r="AX24" i="48"/>
  <c r="V24" i="48"/>
  <c r="BZ23" i="48"/>
  <c r="AX23" i="48"/>
  <c r="V23" i="48"/>
  <c r="BZ22" i="48"/>
  <c r="AX22" i="48"/>
  <c r="V22" i="48"/>
  <c r="BZ21" i="48"/>
  <c r="AX21" i="48"/>
  <c r="V21" i="48"/>
  <c r="BZ20" i="48"/>
  <c r="AX20" i="48"/>
  <c r="V20" i="48"/>
  <c r="BZ19" i="48"/>
  <c r="AX19" i="48"/>
  <c r="V19" i="48"/>
  <c r="BZ18" i="48"/>
  <c r="AX18" i="48"/>
  <c r="V18" i="48"/>
  <c r="BZ17" i="48"/>
  <c r="AX17" i="48"/>
  <c r="V17" i="48"/>
  <c r="BZ16" i="48"/>
  <c r="AX16" i="48"/>
  <c r="V16" i="48"/>
  <c r="BZ15" i="48"/>
  <c r="AX15" i="48"/>
  <c r="V15" i="48"/>
  <c r="BZ14" i="48"/>
  <c r="AX14" i="48"/>
  <c r="V14" i="48"/>
  <c r="BZ13" i="48"/>
  <c r="AX13" i="48"/>
  <c r="V13" i="48"/>
  <c r="BZ12" i="48"/>
  <c r="AX12" i="48"/>
  <c r="V12" i="48"/>
  <c r="BZ11" i="48"/>
  <c r="AX11" i="48"/>
  <c r="V11" i="48"/>
  <c r="BZ10" i="48"/>
  <c r="AX10" i="48"/>
  <c r="V10" i="48"/>
  <c r="BZ9" i="48"/>
  <c r="AX9" i="48"/>
  <c r="V9" i="48"/>
  <c r="BZ8" i="48"/>
  <c r="AX8" i="48"/>
  <c r="V8" i="48"/>
  <c r="BZ7" i="48"/>
  <c r="AX7" i="48"/>
  <c r="V7" i="48"/>
  <c r="BZ6" i="48"/>
  <c r="AX6" i="48"/>
  <c r="V6" i="48"/>
  <c r="U34" i="48"/>
  <c r="AO33" i="48"/>
  <c r="BM32" i="48"/>
  <c r="BX31" i="48"/>
  <c r="R31" i="48"/>
  <c r="AT30" i="48"/>
  <c r="BV29" i="48"/>
  <c r="R29" i="48"/>
  <c r="AT28" i="48"/>
  <c r="CB27" i="48"/>
  <c r="AO27" i="48"/>
  <c r="CA26" i="48"/>
  <c r="AO26" i="48"/>
  <c r="CB25" i="48"/>
  <c r="AY25" i="48"/>
  <c r="V25" i="48"/>
  <c r="BY24" i="48"/>
  <c r="AW24" i="48"/>
  <c r="U24" i="48"/>
  <c r="BY23" i="48"/>
  <c r="AW23" i="48"/>
  <c r="U23" i="48"/>
  <c r="BY22" i="48"/>
  <c r="AW22" i="48"/>
  <c r="U22" i="48"/>
  <c r="BY21" i="48"/>
  <c r="AW21" i="48"/>
  <c r="U21" i="48"/>
  <c r="BY20" i="48"/>
  <c r="AW20" i="48"/>
  <c r="U20" i="48"/>
  <c r="BY19" i="48"/>
  <c r="AW19" i="48"/>
  <c r="U19" i="48"/>
  <c r="BY18" i="48"/>
  <c r="AW18" i="48"/>
  <c r="U18" i="48"/>
  <c r="BY17" i="48"/>
  <c r="AW17" i="48"/>
  <c r="U17" i="48"/>
  <c r="BY16" i="48"/>
  <c r="AW16" i="48"/>
  <c r="U16" i="48"/>
  <c r="BY15" i="48"/>
  <c r="AW15" i="48"/>
  <c r="U15" i="48"/>
  <c r="BY14" i="48"/>
  <c r="AW14" i="48"/>
  <c r="U14" i="48"/>
  <c r="BY13" i="48"/>
  <c r="AW13" i="48"/>
  <c r="U13" i="48"/>
  <c r="BY12" i="48"/>
  <c r="AW12" i="48"/>
  <c r="U12" i="48"/>
  <c r="BY11" i="48"/>
  <c r="AW11" i="48"/>
  <c r="U11" i="48"/>
  <c r="BY10" i="48"/>
  <c r="AW10" i="48"/>
  <c r="U10" i="48"/>
  <c r="BY9" i="48"/>
  <c r="AW9" i="48"/>
  <c r="U9" i="48"/>
  <c r="BY8" i="48"/>
  <c r="AW8" i="48"/>
  <c r="U8" i="48"/>
  <c r="BY7" i="48"/>
  <c r="AW7" i="48"/>
  <c r="U7" i="48"/>
  <c r="BY6" i="48"/>
  <c r="AW6" i="48"/>
  <c r="U6" i="48"/>
  <c r="BN37" i="48"/>
  <c r="S34" i="48"/>
  <c r="AN33" i="48"/>
  <c r="AW32" i="48"/>
  <c r="BW31" i="48"/>
  <c r="CU30" i="48"/>
  <c r="AQ30" i="48"/>
  <c r="BS29" i="48"/>
  <c r="CU28" i="48"/>
  <c r="AQ28" i="48"/>
  <c r="CA27" i="48"/>
  <c r="AN27" i="48"/>
  <c r="BZ26" i="48"/>
  <c r="AN26" i="48"/>
  <c r="CA25" i="48"/>
  <c r="AX25" i="48"/>
  <c r="U25" i="48"/>
  <c r="BX24" i="48"/>
  <c r="AV24" i="48"/>
  <c r="T24" i="48"/>
  <c r="BX23" i="48"/>
  <c r="AV23" i="48"/>
  <c r="T23" i="48"/>
  <c r="BX22" i="48"/>
  <c r="AV22" i="48"/>
  <c r="T22" i="48"/>
  <c r="BX21" i="48"/>
  <c r="AV21" i="48"/>
  <c r="T21" i="48"/>
  <c r="BX20" i="48"/>
  <c r="AV20" i="48"/>
  <c r="T20" i="48"/>
  <c r="BX19" i="48"/>
  <c r="AV19" i="48"/>
  <c r="T19" i="48"/>
  <c r="BX18" i="48"/>
  <c r="AV18" i="48"/>
  <c r="T18" i="48"/>
  <c r="BX17" i="48"/>
  <c r="AV17" i="48"/>
  <c r="T17" i="48"/>
  <c r="BX16" i="48"/>
  <c r="AV16" i="48"/>
  <c r="T16" i="48"/>
  <c r="BX15" i="48"/>
  <c r="AV15" i="48"/>
  <c r="T15" i="48"/>
  <c r="BX14" i="48"/>
  <c r="AV14" i="48"/>
  <c r="T14" i="48"/>
  <c r="BX13" i="48"/>
  <c r="AV13" i="48"/>
  <c r="T13" i="48"/>
  <c r="BX12" i="48"/>
  <c r="AV12" i="48"/>
  <c r="T12" i="48"/>
  <c r="BX11" i="48"/>
  <c r="AV11" i="48"/>
  <c r="T11" i="48"/>
  <c r="BX10" i="48"/>
  <c r="AV10" i="48"/>
  <c r="T10" i="48"/>
  <c r="BX9" i="48"/>
  <c r="AV9" i="48"/>
  <c r="T9" i="48"/>
  <c r="BX8" i="48"/>
  <c r="AV8" i="48"/>
  <c r="T8" i="48"/>
  <c r="BX7" i="48"/>
  <c r="AV7" i="48"/>
  <c r="T7" i="48"/>
  <c r="BX6" i="48"/>
  <c r="AV6" i="48"/>
  <c r="T6" i="48"/>
  <c r="AL37" i="48"/>
  <c r="R34" i="48"/>
  <c r="AM33" i="48"/>
  <c r="AV32" i="48"/>
  <c r="BV31" i="48"/>
  <c r="CT30" i="48"/>
  <c r="AP30" i="48"/>
  <c r="BR29" i="48"/>
  <c r="CT28" i="48"/>
  <c r="AP28" i="48"/>
  <c r="BZ27" i="48"/>
  <c r="AM27" i="48"/>
  <c r="BY26" i="48"/>
  <c r="AM26" i="48"/>
  <c r="BZ25" i="48"/>
  <c r="AW25" i="48"/>
  <c r="T25" i="48"/>
  <c r="BW24" i="48"/>
  <c r="AU24" i="48"/>
  <c r="S24" i="48"/>
  <c r="BW23" i="48"/>
  <c r="AU23" i="48"/>
  <c r="S23" i="48"/>
  <c r="BW22" i="48"/>
  <c r="AU22" i="48"/>
  <c r="S22" i="48"/>
  <c r="BW21" i="48"/>
  <c r="AU21" i="48"/>
  <c r="S21" i="48"/>
  <c r="BW20" i="48"/>
  <c r="AU20" i="48"/>
  <c r="S20" i="48"/>
  <c r="BW19" i="48"/>
  <c r="AU19" i="48"/>
  <c r="S19" i="48"/>
  <c r="BW18" i="48"/>
  <c r="AU18" i="48"/>
  <c r="S18" i="48"/>
  <c r="BW17" i="48"/>
  <c r="AU17" i="48"/>
  <c r="S17" i="48"/>
  <c r="BW16" i="48"/>
  <c r="AU16" i="48"/>
  <c r="S16" i="48"/>
  <c r="BW15" i="48"/>
  <c r="AU15" i="48"/>
  <c r="S15" i="48"/>
  <c r="BW14" i="48"/>
  <c r="AU14" i="48"/>
  <c r="S14" i="48"/>
  <c r="BW13" i="48"/>
  <c r="AU13" i="48"/>
  <c r="S13" i="48"/>
  <c r="BW12" i="48"/>
  <c r="AU12" i="48"/>
  <c r="S12" i="48"/>
  <c r="BW11" i="48"/>
  <c r="AU11" i="48"/>
  <c r="S11" i="48"/>
  <c r="BW10" i="48"/>
  <c r="AU10" i="48"/>
  <c r="S10" i="48"/>
  <c r="BW9" i="48"/>
  <c r="AU9" i="48"/>
  <c r="S9" i="48"/>
  <c r="BW8" i="48"/>
  <c r="AU8" i="48"/>
  <c r="S8" i="48"/>
  <c r="BW7" i="48"/>
  <c r="AU7" i="48"/>
  <c r="S7" i="48"/>
  <c r="BW6" i="48"/>
  <c r="AU6" i="48"/>
  <c r="S6" i="48"/>
  <c r="CP36" i="48"/>
  <c r="CT33" i="48"/>
  <c r="AL33" i="48"/>
  <c r="AU32" i="48"/>
  <c r="BS31" i="48"/>
  <c r="CS30" i="48"/>
  <c r="AO30" i="48"/>
  <c r="BQ29" i="48"/>
  <c r="CS28" i="48"/>
  <c r="AO28" i="48"/>
  <c r="BY27" i="48"/>
  <c r="AL27" i="48"/>
  <c r="BX26" i="48"/>
  <c r="AL26" i="48"/>
  <c r="BY25" i="48"/>
  <c r="AV25" i="48"/>
  <c r="S25" i="48"/>
  <c r="BV24" i="48"/>
  <c r="AT24" i="48"/>
  <c r="R24" i="48"/>
  <c r="BV23" i="48"/>
  <c r="AT23" i="48"/>
  <c r="R23" i="48"/>
  <c r="BV22" i="48"/>
  <c r="AT22" i="48"/>
  <c r="R22" i="48"/>
  <c r="BV21" i="48"/>
  <c r="AT21" i="48"/>
  <c r="R21" i="48"/>
  <c r="BV20" i="48"/>
  <c r="AT20" i="48"/>
  <c r="R20" i="48"/>
  <c r="BV19" i="48"/>
  <c r="AT19" i="48"/>
  <c r="R19" i="48"/>
  <c r="BV18" i="48"/>
  <c r="AT18" i="48"/>
  <c r="R18" i="48"/>
  <c r="BV17" i="48"/>
  <c r="AT17" i="48"/>
  <c r="R17" i="48"/>
  <c r="BV16" i="48"/>
  <c r="AT16" i="48"/>
  <c r="R16" i="48"/>
  <c r="BV15" i="48"/>
  <c r="AT15" i="48"/>
  <c r="R15" i="48"/>
  <c r="BV14" i="48"/>
  <c r="AT14" i="48"/>
  <c r="R14" i="48"/>
  <c r="BV13" i="48"/>
  <c r="AT13" i="48"/>
  <c r="R13" i="48"/>
  <c r="BV12" i="48"/>
  <c r="AT12" i="48"/>
  <c r="R12" i="48"/>
  <c r="BV11" i="48"/>
  <c r="AT11" i="48"/>
  <c r="R11" i="48"/>
  <c r="BV10" i="48"/>
  <c r="AT10" i="48"/>
  <c r="R10" i="48"/>
  <c r="BV9" i="48"/>
  <c r="AT9" i="48"/>
  <c r="R9" i="48"/>
  <c r="BV8" i="48"/>
  <c r="AT8" i="48"/>
  <c r="R8" i="48"/>
  <c r="BV7" i="48"/>
  <c r="AT7" i="48"/>
  <c r="R7" i="48"/>
  <c r="BV6" i="48"/>
  <c r="AT6" i="48"/>
  <c r="R6" i="48"/>
  <c r="BN36" i="48"/>
  <c r="CS33" i="48"/>
  <c r="AK33" i="48"/>
  <c r="AT32" i="48"/>
  <c r="BR31" i="48"/>
  <c r="CR30" i="48"/>
  <c r="AN30" i="48"/>
  <c r="BP29" i="48"/>
  <c r="CR28" i="48"/>
  <c r="AN28" i="48"/>
  <c r="BX27" i="48"/>
  <c r="AK27" i="48"/>
  <c r="BW26" i="48"/>
  <c r="AK26" i="48"/>
  <c r="BX25" i="48"/>
  <c r="AU25" i="48"/>
  <c r="R25" i="48"/>
  <c r="BS24" i="48"/>
  <c r="AQ24" i="48"/>
  <c r="CU23" i="48"/>
  <c r="BS23" i="48"/>
  <c r="AQ23" i="48"/>
  <c r="CU22" i="48"/>
  <c r="BS22" i="48"/>
  <c r="AQ22" i="48"/>
  <c r="CU21" i="48"/>
  <c r="BS21" i="48"/>
  <c r="AQ21" i="48"/>
  <c r="CU20" i="48"/>
  <c r="BS20" i="48"/>
  <c r="AQ20" i="48"/>
  <c r="CU19" i="48"/>
  <c r="BS19" i="48"/>
  <c r="AQ19" i="48"/>
  <c r="CU18" i="48"/>
  <c r="BS18" i="48"/>
  <c r="AQ18" i="48"/>
  <c r="CU17" i="48"/>
  <c r="BS17" i="48"/>
  <c r="AQ17" i="48"/>
  <c r="CU16" i="48"/>
  <c r="BS16" i="48"/>
  <c r="AQ16" i="48"/>
  <c r="CU15" i="48"/>
  <c r="BS15" i="48"/>
  <c r="AQ15" i="48"/>
  <c r="CU14" i="48"/>
  <c r="BS14" i="48"/>
  <c r="AQ14" i="48"/>
  <c r="CU13" i="48"/>
  <c r="BS13" i="48"/>
  <c r="AQ13" i="48"/>
  <c r="CU12" i="48"/>
  <c r="BS12" i="48"/>
  <c r="AQ12" i="48"/>
  <c r="CU11" i="48"/>
  <c r="BS11" i="48"/>
  <c r="AQ11" i="48"/>
  <c r="CU10" i="48"/>
  <c r="BS10" i="48"/>
  <c r="AQ10" i="48"/>
  <c r="CU9" i="48"/>
  <c r="BS9" i="48"/>
  <c r="AQ9" i="48"/>
  <c r="CU8" i="48"/>
  <c r="BS8" i="48"/>
  <c r="AQ8" i="48"/>
  <c r="CU7" i="48"/>
  <c r="BS7" i="48"/>
  <c r="AQ7" i="48"/>
  <c r="CU6" i="48"/>
  <c r="BS6" i="48"/>
  <c r="AQ6" i="48"/>
  <c r="AL36" i="48"/>
  <c r="CR33" i="48"/>
  <c r="U33" i="48"/>
  <c r="AQ32" i="48"/>
  <c r="BQ31" i="48"/>
  <c r="CQ30" i="48"/>
  <c r="AM30" i="48"/>
  <c r="BO29" i="48"/>
  <c r="CQ28" i="48"/>
  <c r="AM28" i="48"/>
  <c r="BW27" i="48"/>
  <c r="AG27" i="48"/>
  <c r="BV26" i="48"/>
  <c r="AG26" i="48"/>
  <c r="BW25" i="48"/>
  <c r="AT25" i="48"/>
  <c r="CU24" i="48"/>
  <c r="BR24" i="48"/>
  <c r="AP24" i="48"/>
  <c r="CT23" i="48"/>
  <c r="BR23" i="48"/>
  <c r="AP23" i="48"/>
  <c r="CT22" i="48"/>
  <c r="BR22" i="48"/>
  <c r="AP22" i="48"/>
  <c r="CT21" i="48"/>
  <c r="BR21" i="48"/>
  <c r="AP21" i="48"/>
  <c r="CT20" i="48"/>
  <c r="BR20" i="48"/>
  <c r="AP20" i="48"/>
  <c r="CT19" i="48"/>
  <c r="BR19" i="48"/>
  <c r="AP19" i="48"/>
  <c r="CT18" i="48"/>
  <c r="BR18" i="48"/>
  <c r="AP18" i="48"/>
  <c r="CT17" i="48"/>
  <c r="BR17" i="48"/>
  <c r="AP17" i="48"/>
  <c r="CT16" i="48"/>
  <c r="BR16" i="48"/>
  <c r="AP16" i="48"/>
  <c r="CT15" i="48"/>
  <c r="BR15" i="48"/>
  <c r="AP15" i="48"/>
  <c r="CT14" i="48"/>
  <c r="BR14" i="48"/>
  <c r="AP14" i="48"/>
  <c r="CT13" i="48"/>
  <c r="BR13" i="48"/>
  <c r="AP13" i="48"/>
  <c r="CT12" i="48"/>
  <c r="BR12" i="48"/>
  <c r="AP12" i="48"/>
  <c r="CT11" i="48"/>
  <c r="BR11" i="48"/>
  <c r="AP11" i="48"/>
  <c r="CT10" i="48"/>
  <c r="BR10" i="48"/>
  <c r="AP10" i="48"/>
  <c r="CT9" i="48"/>
  <c r="BR9" i="48"/>
  <c r="AP9" i="48"/>
  <c r="CT8" i="48"/>
  <c r="BR8" i="48"/>
  <c r="AP8" i="48"/>
  <c r="CT7" i="48"/>
  <c r="BR7" i="48"/>
  <c r="AP7" i="48"/>
  <c r="CT6" i="48"/>
  <c r="BR6" i="48"/>
  <c r="AP6" i="48"/>
  <c r="CP35" i="48"/>
  <c r="CQ33" i="48"/>
  <c r="S33" i="48"/>
  <c r="AP32" i="48"/>
  <c r="BP31" i="48"/>
  <c r="CP30" i="48"/>
  <c r="AL30" i="48"/>
  <c r="BN29" i="48"/>
  <c r="CP28" i="48"/>
  <c r="AL28" i="48"/>
  <c r="BV27" i="48"/>
  <c r="AA27" i="48"/>
  <c r="BS26" i="48"/>
  <c r="AA26" i="48"/>
  <c r="BV25" i="48"/>
  <c r="AQ25" i="48"/>
  <c r="CT24" i="48"/>
  <c r="BQ24" i="48"/>
  <c r="AO24" i="48"/>
  <c r="CS23" i="48"/>
  <c r="BQ23" i="48"/>
  <c r="AO23" i="48"/>
  <c r="CS22" i="48"/>
  <c r="BQ22" i="48"/>
  <c r="AO22" i="48"/>
  <c r="CS21" i="48"/>
  <c r="BQ21" i="48"/>
  <c r="AO21" i="48"/>
  <c r="CS20" i="48"/>
  <c r="BQ20" i="48"/>
  <c r="AO20" i="48"/>
  <c r="CS19" i="48"/>
  <c r="BQ19" i="48"/>
  <c r="AO19" i="48"/>
  <c r="CS18" i="48"/>
  <c r="BQ18" i="48"/>
  <c r="AO18" i="48"/>
  <c r="CS17" i="48"/>
  <c r="BQ17" i="48"/>
  <c r="AO17" i="48"/>
  <c r="CS16" i="48"/>
  <c r="BQ16" i="48"/>
  <c r="AO16" i="48"/>
  <c r="CS15" i="48"/>
  <c r="BQ15" i="48"/>
  <c r="AO15" i="48"/>
  <c r="CS14" i="48"/>
  <c r="BQ14" i="48"/>
  <c r="AO14" i="48"/>
  <c r="CS13" i="48"/>
  <c r="BQ13" i="48"/>
  <c r="AO13" i="48"/>
  <c r="CS12" i="48"/>
  <c r="BQ12" i="48"/>
  <c r="AO12" i="48"/>
  <c r="CS11" i="48"/>
  <c r="BQ11" i="48"/>
  <c r="AO11" i="48"/>
  <c r="CS10" i="48"/>
  <c r="BQ10" i="48"/>
  <c r="AO10" i="48"/>
  <c r="CS9" i="48"/>
  <c r="BQ9" i="48"/>
  <c r="AO9" i="48"/>
  <c r="CS8" i="48"/>
  <c r="BQ8" i="48"/>
  <c r="AO8" i="48"/>
  <c r="CS7" i="48"/>
  <c r="BQ7" i="48"/>
  <c r="CO35" i="48"/>
  <c r="CP33" i="48"/>
  <c r="R33" i="48"/>
  <c r="AO32" i="48"/>
  <c r="BO31" i="48"/>
  <c r="CO30" i="48"/>
  <c r="AK30" i="48"/>
  <c r="BM29" i="48"/>
  <c r="CO28" i="48"/>
  <c r="AK28" i="48"/>
  <c r="BS27" i="48"/>
  <c r="X27" i="48"/>
  <c r="BR26" i="48"/>
  <c r="X26" i="48"/>
  <c r="BS25" i="48"/>
  <c r="AP25" i="48"/>
  <c r="CS24" i="48"/>
  <c r="BP24" i="48"/>
  <c r="AN24" i="48"/>
  <c r="CR23" i="48"/>
  <c r="BP23" i="48"/>
  <c r="AN23" i="48"/>
  <c r="CR22" i="48"/>
  <c r="BP22" i="48"/>
  <c r="AN22" i="48"/>
  <c r="CR21" i="48"/>
  <c r="BP21" i="48"/>
  <c r="AN21" i="48"/>
  <c r="CR20" i="48"/>
  <c r="BP20" i="48"/>
  <c r="AN20" i="48"/>
  <c r="CR19" i="48"/>
  <c r="BP19" i="48"/>
  <c r="AN19" i="48"/>
  <c r="CR18" i="48"/>
  <c r="BP18" i="48"/>
  <c r="AN18" i="48"/>
  <c r="CR17" i="48"/>
  <c r="BP17" i="48"/>
  <c r="AN17" i="48"/>
  <c r="CR16" i="48"/>
  <c r="BP16" i="48"/>
  <c r="AN16" i="48"/>
  <c r="CR15" i="48"/>
  <c r="BP15" i="48"/>
  <c r="AN15" i="48"/>
  <c r="CR14" i="48"/>
  <c r="BP14" i="48"/>
  <c r="AN14" i="48"/>
  <c r="CR13" i="48"/>
  <c r="BP13" i="48"/>
  <c r="AN13" i="48"/>
  <c r="CR12" i="48"/>
  <c r="BP12" i="48"/>
  <c r="AN12" i="48"/>
  <c r="CR11" i="48"/>
  <c r="BP11" i="48"/>
  <c r="AN11" i="48"/>
  <c r="CR10" i="48"/>
  <c r="BP10" i="48"/>
  <c r="AN10" i="48"/>
  <c r="CR9" i="48"/>
  <c r="BP9" i="48"/>
  <c r="AN9" i="48"/>
  <c r="CR8" i="48"/>
  <c r="BP8" i="48"/>
  <c r="AN8" i="48"/>
  <c r="CR7" i="48"/>
  <c r="BP7" i="48"/>
  <c r="AN7" i="48"/>
  <c r="CR6" i="48"/>
  <c r="BP6" i="48"/>
  <c r="AN6" i="48"/>
  <c r="AZ7" i="48"/>
  <c r="CC407" i="30"/>
  <c r="CR401" i="30"/>
  <c r="R353" i="30"/>
  <c r="AC362" i="30"/>
  <c r="AC372" i="30"/>
  <c r="R386" i="30"/>
  <c r="R388" i="30"/>
  <c r="R390" i="30"/>
  <c r="R392" i="30"/>
  <c r="R394" i="30"/>
  <c r="R396" i="30"/>
  <c r="R398" i="30"/>
  <c r="R400" i="30"/>
  <c r="R402" i="30"/>
  <c r="R404" i="30"/>
  <c r="R406" i="30"/>
  <c r="R408" i="30"/>
  <c r="R410" i="30"/>
  <c r="R412" i="30"/>
  <c r="R414" i="30"/>
  <c r="R416" i="30"/>
  <c r="R418" i="30"/>
  <c r="R420" i="30"/>
  <c r="AH360" i="30"/>
  <c r="AG374" i="30"/>
  <c r="AQ386" i="30"/>
  <c r="AQ388" i="30"/>
  <c r="AQ390" i="30"/>
  <c r="AQ392" i="30"/>
  <c r="AQ394" i="30"/>
  <c r="AQ396" i="30"/>
  <c r="AQ398" i="30"/>
  <c r="AQ400" i="30"/>
  <c r="AQ402" i="30"/>
  <c r="AQ404" i="30"/>
  <c r="AQ406" i="30"/>
  <c r="AQ408" i="30"/>
  <c r="AQ410" i="30"/>
  <c r="AQ412" i="30"/>
  <c r="AQ414" i="30"/>
  <c r="AQ416" i="30"/>
  <c r="AQ418" i="30"/>
  <c r="AQ420" i="30"/>
  <c r="AT387" i="30"/>
  <c r="AT389" i="30"/>
  <c r="AT391" i="30"/>
  <c r="AT393" i="30"/>
  <c r="AT395" i="30"/>
  <c r="AT397" i="30"/>
  <c r="AT399" i="30"/>
  <c r="AT401" i="30"/>
  <c r="AT403" i="30"/>
  <c r="AT405" i="30"/>
  <c r="AT407" i="30"/>
  <c r="AT409" i="30"/>
  <c r="AT411" i="30"/>
  <c r="AT413" i="30"/>
  <c r="AT415" i="30"/>
  <c r="AT417" i="30"/>
  <c r="AT419" i="30"/>
  <c r="AT421" i="30"/>
  <c r="BH388" i="30"/>
  <c r="BP391" i="30"/>
  <c r="BM395" i="30"/>
  <c r="BH401" i="30"/>
  <c r="BJ407" i="30"/>
  <c r="BM414" i="30"/>
  <c r="BV386" i="30"/>
  <c r="BZ410" i="30"/>
  <c r="CS401" i="30"/>
  <c r="AB364" i="30"/>
  <c r="AC374" i="30"/>
  <c r="V386" i="30"/>
  <c r="V388" i="30"/>
  <c r="V390" i="30"/>
  <c r="V392" i="30"/>
  <c r="V394" i="30"/>
  <c r="V396" i="30"/>
  <c r="V398" i="30"/>
  <c r="V400" i="30"/>
  <c r="V402" i="30"/>
  <c r="V404" i="30"/>
  <c r="V406" i="30"/>
  <c r="V408" i="30"/>
  <c r="V410" i="30"/>
  <c r="V412" i="30"/>
  <c r="V414" i="30"/>
  <c r="V416" i="30"/>
  <c r="V418" i="30"/>
  <c r="V420" i="30"/>
  <c r="AH349" i="30"/>
  <c r="AK362" i="30"/>
  <c r="AM376" i="30"/>
  <c r="AI387" i="30"/>
  <c r="AI389" i="30"/>
  <c r="AI391" i="30"/>
  <c r="AI393" i="30"/>
  <c r="AI395" i="30"/>
  <c r="AI397" i="30"/>
  <c r="AI399" i="30"/>
  <c r="AI401" i="30"/>
  <c r="AI403" i="30"/>
  <c r="AI405" i="30"/>
  <c r="AI407" i="30"/>
  <c r="AI409" i="30"/>
  <c r="AI411" i="30"/>
  <c r="AI413" i="30"/>
  <c r="AI415" i="30"/>
  <c r="AI417" i="30"/>
  <c r="AI419" i="30"/>
  <c r="AI421" i="30"/>
  <c r="AU355" i="30"/>
  <c r="AX387" i="30"/>
  <c r="AX389" i="30"/>
  <c r="AX391" i="30"/>
  <c r="AX393" i="30"/>
  <c r="AX395" i="30"/>
  <c r="AX397" i="30"/>
  <c r="AX399" i="30"/>
  <c r="AX401" i="30"/>
  <c r="AX403" i="30"/>
  <c r="AX405" i="30"/>
  <c r="AX407" i="30"/>
  <c r="AX409" i="30"/>
  <c r="AX411" i="30"/>
  <c r="AX413" i="30"/>
  <c r="AX415" i="30"/>
  <c r="AX417" i="30"/>
  <c r="AX419" i="30"/>
  <c r="AX421" i="30"/>
  <c r="BN388" i="30"/>
  <c r="BM392" i="30"/>
  <c r="BK396" i="30"/>
  <c r="BI402" i="30"/>
  <c r="BK408" i="30"/>
  <c r="BL415" i="30"/>
  <c r="CG390" i="30"/>
  <c r="CD418" i="30"/>
  <c r="AG349" i="30"/>
  <c r="R355" i="30"/>
  <c r="AC364" i="30"/>
  <c r="R375" i="30"/>
  <c r="W386" i="30"/>
  <c r="W388" i="30"/>
  <c r="W390" i="30"/>
  <c r="W392" i="30"/>
  <c r="W394" i="30"/>
  <c r="W396" i="30"/>
  <c r="W398" i="30"/>
  <c r="W400" i="30"/>
  <c r="W402" i="30"/>
  <c r="W404" i="30"/>
  <c r="W406" i="30"/>
  <c r="W408" i="30"/>
  <c r="W410" i="30"/>
  <c r="W412" i="30"/>
  <c r="W414" i="30"/>
  <c r="W416" i="30"/>
  <c r="W418" i="30"/>
  <c r="W420" i="30"/>
  <c r="AG351" i="30"/>
  <c r="AI364" i="30"/>
  <c r="AN378" i="30"/>
  <c r="AJ387" i="30"/>
  <c r="AJ389" i="30"/>
  <c r="AJ391" i="30"/>
  <c r="AJ393" i="30"/>
  <c r="AJ395" i="30"/>
  <c r="AJ397" i="30"/>
  <c r="AJ399" i="30"/>
  <c r="AJ401" i="30"/>
  <c r="AJ403" i="30"/>
  <c r="AJ405" i="30"/>
  <c r="AJ407" i="30"/>
  <c r="AJ409" i="30"/>
  <c r="AJ411" i="30"/>
  <c r="AJ413" i="30"/>
  <c r="AJ415" i="30"/>
  <c r="AJ417" i="30"/>
  <c r="AJ419" i="30"/>
  <c r="AJ421" i="30"/>
  <c r="AT357" i="30"/>
  <c r="AY387" i="30"/>
  <c r="AY389" i="30"/>
  <c r="AY391" i="30"/>
  <c r="AY393" i="30"/>
  <c r="AY395" i="30"/>
  <c r="AY397" i="30"/>
  <c r="AY399" i="30"/>
  <c r="AY401" i="30"/>
  <c r="AY403" i="30"/>
  <c r="AY405" i="30"/>
  <c r="AY407" i="30"/>
  <c r="AY409" i="30"/>
  <c r="AY411" i="30"/>
  <c r="AY413" i="30"/>
  <c r="AY415" i="30"/>
  <c r="AY417" i="30"/>
  <c r="AY419" i="30"/>
  <c r="AY421" i="30"/>
  <c r="BO388" i="30"/>
  <c r="BN392" i="30"/>
  <c r="BN396" i="30"/>
  <c r="BP402" i="30"/>
  <c r="BS408" i="30"/>
  <c r="BM415" i="30"/>
  <c r="BV391" i="30"/>
  <c r="T373" i="30"/>
  <c r="AL376" i="30"/>
  <c r="AC354" i="30"/>
  <c r="S355" i="30"/>
  <c r="R365" i="30"/>
  <c r="S375" i="30"/>
  <c r="X386" i="30"/>
  <c r="X388" i="30"/>
  <c r="X390" i="30"/>
  <c r="X392" i="30"/>
  <c r="X394" i="30"/>
  <c r="X396" i="30"/>
  <c r="X398" i="30"/>
  <c r="X400" i="30"/>
  <c r="X402" i="30"/>
  <c r="X404" i="30"/>
  <c r="X406" i="30"/>
  <c r="X408" i="30"/>
  <c r="X410" i="30"/>
  <c r="X412" i="30"/>
  <c r="X414" i="30"/>
  <c r="X416" i="30"/>
  <c r="X418" i="30"/>
  <c r="X420" i="30"/>
  <c r="AH351" i="30"/>
  <c r="AJ364" i="30"/>
  <c r="AO378" i="30"/>
  <c r="AK387" i="30"/>
  <c r="AK389" i="30"/>
  <c r="AK391" i="30"/>
  <c r="AK393" i="30"/>
  <c r="AK395" i="30"/>
  <c r="AK397" i="30"/>
  <c r="AK399" i="30"/>
  <c r="AK401" i="30"/>
  <c r="AK403" i="30"/>
  <c r="AK405" i="30"/>
  <c r="AK407" i="30"/>
  <c r="AK409" i="30"/>
  <c r="AK411" i="30"/>
  <c r="AK413" i="30"/>
  <c r="AK415" i="30"/>
  <c r="AK417" i="30"/>
  <c r="AK419" i="30"/>
  <c r="AK421" i="30"/>
  <c r="AV357" i="30"/>
  <c r="AZ387" i="30"/>
  <c r="AZ389" i="30"/>
  <c r="AZ391" i="30"/>
  <c r="AZ393" i="30"/>
  <c r="AZ395" i="30"/>
  <c r="AZ397" i="30"/>
  <c r="AZ399" i="30"/>
  <c r="AZ401" i="30"/>
  <c r="AZ403" i="30"/>
  <c r="AZ405" i="30"/>
  <c r="AZ407" i="30"/>
  <c r="AZ409" i="30"/>
  <c r="AZ411" i="30"/>
  <c r="AZ413" i="30"/>
  <c r="AZ415" i="30"/>
  <c r="AZ417" i="30"/>
  <c r="AZ419" i="30"/>
  <c r="AZ421" i="30"/>
  <c r="BP388" i="30"/>
  <c r="BP392" i="30"/>
  <c r="BP396" i="30"/>
  <c r="BR402" i="30"/>
  <c r="BI409" i="30"/>
  <c r="BL416" i="30"/>
  <c r="CF392" i="30"/>
  <c r="T355" i="30"/>
  <c r="S365" i="30"/>
  <c r="T375" i="30"/>
  <c r="Y386" i="30"/>
  <c r="Y388" i="30"/>
  <c r="Y390" i="30"/>
  <c r="Y392" i="30"/>
  <c r="Y394" i="30"/>
  <c r="Y396" i="30"/>
  <c r="Y398" i="30"/>
  <c r="Y400" i="30"/>
  <c r="Y402" i="30"/>
  <c r="Y404" i="30"/>
  <c r="Y406" i="30"/>
  <c r="Y408" i="30"/>
  <c r="Y410" i="30"/>
  <c r="Y412" i="30"/>
  <c r="Y414" i="30"/>
  <c r="Y416" i="30"/>
  <c r="Y418" i="30"/>
  <c r="Y420" i="30"/>
  <c r="AJ351" i="30"/>
  <c r="AK364" i="30"/>
  <c r="AP378" i="30"/>
  <c r="AL387" i="30"/>
  <c r="AL389" i="30"/>
  <c r="AL391" i="30"/>
  <c r="AL393" i="30"/>
  <c r="AL395" i="30"/>
  <c r="AL397" i="30"/>
  <c r="AL399" i="30"/>
  <c r="AL401" i="30"/>
  <c r="AL403" i="30"/>
  <c r="AL405" i="30"/>
  <c r="AL407" i="30"/>
  <c r="AL409" i="30"/>
  <c r="AL411" i="30"/>
  <c r="AL413" i="30"/>
  <c r="AL415" i="30"/>
  <c r="AL417" i="30"/>
  <c r="AL419" i="30"/>
  <c r="AL421" i="30"/>
  <c r="AW357" i="30"/>
  <c r="BA387" i="30"/>
  <c r="BA389" i="30"/>
  <c r="BA391" i="30"/>
  <c r="BA393" i="30"/>
  <c r="BA395" i="30"/>
  <c r="BA397" i="30"/>
  <c r="BA399" i="30"/>
  <c r="BA401" i="30"/>
  <c r="BA403" i="30"/>
  <c r="BA405" i="30"/>
  <c r="BA407" i="30"/>
  <c r="BA409" i="30"/>
  <c r="BA411" i="30"/>
  <c r="BA413" i="30"/>
  <c r="BA415" i="30"/>
  <c r="BA417" i="30"/>
  <c r="BA419" i="30"/>
  <c r="BA421" i="30"/>
  <c r="BH389" i="30"/>
  <c r="BQ392" i="30"/>
  <c r="BQ396" i="30"/>
  <c r="BS402" i="30"/>
  <c r="BJ409" i="30"/>
  <c r="BM416" i="30"/>
  <c r="BW393" i="30"/>
  <c r="AB356" i="30"/>
  <c r="T365" i="30"/>
  <c r="AC376" i="30"/>
  <c r="Z386" i="30"/>
  <c r="Z388" i="30"/>
  <c r="Z390" i="30"/>
  <c r="Z392" i="30"/>
  <c r="Z394" i="30"/>
  <c r="Z396" i="30"/>
  <c r="Z398" i="30"/>
  <c r="Z400" i="30"/>
  <c r="Z402" i="30"/>
  <c r="Z404" i="30"/>
  <c r="Z406" i="30"/>
  <c r="Z408" i="30"/>
  <c r="Z410" i="30"/>
  <c r="Z412" i="30"/>
  <c r="Z414" i="30"/>
  <c r="Z416" i="30"/>
  <c r="Z418" i="30"/>
  <c r="Z420" i="30"/>
  <c r="AK351" i="30"/>
  <c r="AL364" i="30"/>
  <c r="AI379" i="30"/>
  <c r="AM387" i="30"/>
  <c r="AM389" i="30"/>
  <c r="AM391" i="30"/>
  <c r="AM393" i="30"/>
  <c r="AM395" i="30"/>
  <c r="AM397" i="30"/>
  <c r="AM399" i="30"/>
  <c r="AM401" i="30"/>
  <c r="AM403" i="30"/>
  <c r="AM405" i="30"/>
  <c r="AM407" i="30"/>
  <c r="AM409" i="30"/>
  <c r="AM411" i="30"/>
  <c r="AM413" i="30"/>
  <c r="AM415" i="30"/>
  <c r="AM417" i="30"/>
  <c r="AM419" i="30"/>
  <c r="AM421" i="30"/>
  <c r="BB369" i="30"/>
  <c r="BB387" i="30"/>
  <c r="BB389" i="30"/>
  <c r="BB391" i="30"/>
  <c r="BB393" i="30"/>
  <c r="BB395" i="30"/>
  <c r="BB397" i="30"/>
  <c r="BB399" i="30"/>
  <c r="BB401" i="30"/>
  <c r="BB403" i="30"/>
  <c r="BB405" i="30"/>
  <c r="BB407" i="30"/>
  <c r="BB409" i="30"/>
  <c r="BB411" i="30"/>
  <c r="BB413" i="30"/>
  <c r="BB415" i="30"/>
  <c r="BB417" i="30"/>
  <c r="BB419" i="30"/>
  <c r="BB421" i="30"/>
  <c r="BI389" i="30"/>
  <c r="BR392" i="30"/>
  <c r="BR396" i="30"/>
  <c r="BH403" i="30"/>
  <c r="BK409" i="30"/>
  <c r="BN416" i="30"/>
  <c r="BX393" i="30"/>
  <c r="AC356" i="30"/>
  <c r="AB366" i="30"/>
  <c r="R377" i="30"/>
  <c r="AA386" i="30"/>
  <c r="AA388" i="30"/>
  <c r="AA390" i="30"/>
  <c r="AA392" i="30"/>
  <c r="AA394" i="30"/>
  <c r="AA396" i="30"/>
  <c r="AA398" i="30"/>
  <c r="AA400" i="30"/>
  <c r="AA402" i="30"/>
  <c r="AA404" i="30"/>
  <c r="AA406" i="30"/>
  <c r="AA408" i="30"/>
  <c r="AA410" i="30"/>
  <c r="AA412" i="30"/>
  <c r="AA414" i="30"/>
  <c r="AA416" i="30"/>
  <c r="AA418" i="30"/>
  <c r="AA420" i="30"/>
  <c r="AI353" i="30"/>
  <c r="AL366" i="30"/>
  <c r="AL381" i="30"/>
  <c r="AN387" i="30"/>
  <c r="AN389" i="30"/>
  <c r="AN391" i="30"/>
  <c r="AN393" i="30"/>
  <c r="AN395" i="30"/>
  <c r="AN397" i="30"/>
  <c r="AN399" i="30"/>
  <c r="AN401" i="30"/>
  <c r="AN403" i="30"/>
  <c r="AN405" i="30"/>
  <c r="AN407" i="30"/>
  <c r="AN409" i="30"/>
  <c r="AN411" i="30"/>
  <c r="AN413" i="30"/>
  <c r="AN415" i="30"/>
  <c r="AN417" i="30"/>
  <c r="AN419" i="30"/>
  <c r="AN421" i="30"/>
  <c r="BB371" i="30"/>
  <c r="BC387" i="30"/>
  <c r="BC389" i="30"/>
  <c r="BC391" i="30"/>
  <c r="BC393" i="30"/>
  <c r="BC395" i="30"/>
  <c r="BC397" i="30"/>
  <c r="BC399" i="30"/>
  <c r="BC401" i="30"/>
  <c r="BC403" i="30"/>
  <c r="BC405" i="30"/>
  <c r="BC407" i="30"/>
  <c r="BC409" i="30"/>
  <c r="BC411" i="30"/>
  <c r="BC413" i="30"/>
  <c r="BC415" i="30"/>
  <c r="BC417" i="30"/>
  <c r="BC419" i="30"/>
  <c r="BC421" i="30"/>
  <c r="BJ389" i="30"/>
  <c r="BJ393" i="30"/>
  <c r="BS396" i="30"/>
  <c r="BI403" i="30"/>
  <c r="BJ410" i="30"/>
  <c r="BJ417" i="30"/>
  <c r="BY393" i="30"/>
  <c r="R357" i="30"/>
  <c r="AC366" i="30"/>
  <c r="S377" i="30"/>
  <c r="AB386" i="30"/>
  <c r="AB388" i="30"/>
  <c r="AB390" i="30"/>
  <c r="AB392" i="30"/>
  <c r="AB394" i="30"/>
  <c r="AB396" i="30"/>
  <c r="AB398" i="30"/>
  <c r="AB400" i="30"/>
  <c r="AB402" i="30"/>
  <c r="AB404" i="30"/>
  <c r="AB406" i="30"/>
  <c r="AB408" i="30"/>
  <c r="AB410" i="30"/>
  <c r="AB412" i="30"/>
  <c r="AB414" i="30"/>
  <c r="AB416" i="30"/>
  <c r="AB418" i="30"/>
  <c r="AB420" i="30"/>
  <c r="AJ353" i="30"/>
  <c r="AM366" i="30"/>
  <c r="AN381" i="30"/>
  <c r="AO387" i="30"/>
  <c r="AO389" i="30"/>
  <c r="AO391" i="30"/>
  <c r="AO393" i="30"/>
  <c r="AO395" i="30"/>
  <c r="AO397" i="30"/>
  <c r="AO399" i="30"/>
  <c r="AO401" i="30"/>
  <c r="AO403" i="30"/>
  <c r="AO405" i="30"/>
  <c r="AO407" i="30"/>
  <c r="AO409" i="30"/>
  <c r="AO411" i="30"/>
  <c r="AO413" i="30"/>
  <c r="AO415" i="30"/>
  <c r="AO417" i="30"/>
  <c r="AO419" i="30"/>
  <c r="AO421" i="30"/>
  <c r="BD371" i="30"/>
  <c r="BD387" i="30"/>
  <c r="BD389" i="30"/>
  <c r="BD391" i="30"/>
  <c r="BD393" i="30"/>
  <c r="BD395" i="30"/>
  <c r="BD397" i="30"/>
  <c r="BD399" i="30"/>
  <c r="BD401" i="30"/>
  <c r="BD403" i="30"/>
  <c r="BD405" i="30"/>
  <c r="BD407" i="30"/>
  <c r="BD409" i="30"/>
  <c r="BD411" i="30"/>
  <c r="BD413" i="30"/>
  <c r="BD415" i="30"/>
  <c r="BD417" i="30"/>
  <c r="BD419" i="30"/>
  <c r="BD421" i="30"/>
  <c r="BN389" i="30"/>
  <c r="BK393" i="30"/>
  <c r="BQ397" i="30"/>
  <c r="BH404" i="30"/>
  <c r="BK410" i="30"/>
  <c r="BL417" i="30"/>
  <c r="CB395" i="30"/>
  <c r="T377" i="30"/>
  <c r="AC390" i="30"/>
  <c r="AC396" i="30"/>
  <c r="AC402" i="30"/>
  <c r="AC406" i="30"/>
  <c r="AC408" i="30"/>
  <c r="AC410" i="30"/>
  <c r="AC412" i="30"/>
  <c r="AC414" i="30"/>
  <c r="AC416" i="30"/>
  <c r="AC418" i="30"/>
  <c r="AL353" i="30"/>
  <c r="AN366" i="30"/>
  <c r="AO381" i="30"/>
  <c r="AP387" i="30"/>
  <c r="AP389" i="30"/>
  <c r="AP391" i="30"/>
  <c r="AP393" i="30"/>
  <c r="AP395" i="30"/>
  <c r="AP397" i="30"/>
  <c r="AP399" i="30"/>
  <c r="AP401" i="30"/>
  <c r="AP403" i="30"/>
  <c r="AP405" i="30"/>
  <c r="AP407" i="30"/>
  <c r="AP409" i="30"/>
  <c r="AP411" i="30"/>
  <c r="AP413" i="30"/>
  <c r="AP415" i="30"/>
  <c r="AP417" i="30"/>
  <c r="AP419" i="30"/>
  <c r="AP421" i="30"/>
  <c r="AT372" i="30"/>
  <c r="BE387" i="30"/>
  <c r="BE389" i="30"/>
  <c r="BE391" i="30"/>
  <c r="BE393" i="30"/>
  <c r="BE395" i="30"/>
  <c r="BE397" i="30"/>
  <c r="BE399" i="30"/>
  <c r="BE401" i="30"/>
  <c r="BE403" i="30"/>
  <c r="BE405" i="30"/>
  <c r="BE407" i="30"/>
  <c r="BE409" i="30"/>
  <c r="BE411" i="30"/>
  <c r="BE413" i="30"/>
  <c r="BE415" i="30"/>
  <c r="BE417" i="30"/>
  <c r="BE419" i="30"/>
  <c r="BE421" i="30"/>
  <c r="BO389" i="30"/>
  <c r="BL393" i="30"/>
  <c r="BR397" i="30"/>
  <c r="BI404" i="30"/>
  <c r="BL410" i="30"/>
  <c r="BM417" i="30"/>
  <c r="CE397" i="30"/>
  <c r="R367" i="30"/>
  <c r="AC388" i="30"/>
  <c r="AC392" i="30"/>
  <c r="AC398" i="30"/>
  <c r="AC404" i="30"/>
  <c r="AC420" i="30"/>
  <c r="AB348" i="30"/>
  <c r="T357" i="30"/>
  <c r="S367" i="30"/>
  <c r="AC378" i="30"/>
  <c r="R387" i="30"/>
  <c r="R389" i="30"/>
  <c r="R391" i="30"/>
  <c r="R393" i="30"/>
  <c r="R395" i="30"/>
  <c r="R397" i="30"/>
  <c r="R399" i="30"/>
  <c r="R401" i="30"/>
  <c r="R403" i="30"/>
  <c r="R405" i="30"/>
  <c r="R407" i="30"/>
  <c r="R409" i="30"/>
  <c r="R411" i="30"/>
  <c r="R413" i="30"/>
  <c r="R415" i="30"/>
  <c r="R417" i="30"/>
  <c r="R419" i="30"/>
  <c r="R421" i="30"/>
  <c r="AM353" i="30"/>
  <c r="AO366" i="30"/>
  <c r="AP381" i="30"/>
  <c r="AQ387" i="30"/>
  <c r="AQ389" i="30"/>
  <c r="AQ391" i="30"/>
  <c r="AQ393" i="30"/>
  <c r="AQ395" i="30"/>
  <c r="AQ397" i="30"/>
  <c r="AQ399" i="30"/>
  <c r="AQ401" i="30"/>
  <c r="AQ403" i="30"/>
  <c r="AQ405" i="30"/>
  <c r="AQ407" i="30"/>
  <c r="AQ409" i="30"/>
  <c r="AQ411" i="30"/>
  <c r="AQ413" i="30"/>
  <c r="AQ415" i="30"/>
  <c r="AQ417" i="30"/>
  <c r="AQ419" i="30"/>
  <c r="AQ421" i="30"/>
  <c r="AT386" i="30"/>
  <c r="AT388" i="30"/>
  <c r="AT390" i="30"/>
  <c r="AT392" i="30"/>
  <c r="AT394" i="30"/>
  <c r="AT396" i="30"/>
  <c r="AT398" i="30"/>
  <c r="AT400" i="30"/>
  <c r="AT402" i="30"/>
  <c r="AT404" i="30"/>
  <c r="AT406" i="30"/>
  <c r="AT408" i="30"/>
  <c r="AT410" i="30"/>
  <c r="AT412" i="30"/>
  <c r="AT414" i="30"/>
  <c r="AT416" i="30"/>
  <c r="AT418" i="30"/>
  <c r="AT420" i="30"/>
  <c r="BJ386" i="30"/>
  <c r="BP389" i="30"/>
  <c r="BP393" i="30"/>
  <c r="BH398" i="30"/>
  <c r="BJ404" i="30"/>
  <c r="BS410" i="30"/>
  <c r="BN417" i="30"/>
  <c r="CF397" i="30"/>
  <c r="S357" i="30"/>
  <c r="AC386" i="30"/>
  <c r="AC394" i="30"/>
  <c r="AC400" i="30"/>
  <c r="AC348" i="30"/>
  <c r="AB358" i="30"/>
  <c r="T367" i="30"/>
  <c r="R379" i="30"/>
  <c r="S387" i="30"/>
  <c r="S389" i="30"/>
  <c r="S391" i="30"/>
  <c r="S393" i="30"/>
  <c r="S395" i="30"/>
  <c r="S397" i="30"/>
  <c r="S399" i="30"/>
  <c r="S401" i="30"/>
  <c r="S403" i="30"/>
  <c r="S405" i="30"/>
  <c r="S407" i="30"/>
  <c r="S409" i="30"/>
  <c r="S411" i="30"/>
  <c r="S413" i="30"/>
  <c r="S415" i="30"/>
  <c r="S417" i="30"/>
  <c r="S419" i="30"/>
  <c r="S421" i="30"/>
  <c r="AL355" i="30"/>
  <c r="AQ368" i="30"/>
  <c r="AF386" i="30"/>
  <c r="AF388" i="30"/>
  <c r="AF390" i="30"/>
  <c r="AF392" i="30"/>
  <c r="AF394" i="30"/>
  <c r="AF396" i="30"/>
  <c r="AF398" i="30"/>
  <c r="AF400" i="30"/>
  <c r="AF402" i="30"/>
  <c r="AF404" i="30"/>
  <c r="AF406" i="30"/>
  <c r="AF408" i="30"/>
  <c r="AF410" i="30"/>
  <c r="AF412" i="30"/>
  <c r="AF414" i="30"/>
  <c r="AF416" i="30"/>
  <c r="AF418" i="30"/>
  <c r="AF420" i="30"/>
  <c r="AU386" i="30"/>
  <c r="AU388" i="30"/>
  <c r="AU390" i="30"/>
  <c r="AU392" i="30"/>
  <c r="AU394" i="30"/>
  <c r="AU396" i="30"/>
  <c r="AU398" i="30"/>
  <c r="AU400" i="30"/>
  <c r="AU402" i="30"/>
  <c r="AU404" i="30"/>
  <c r="AU406" i="30"/>
  <c r="AU408" i="30"/>
  <c r="AU410" i="30"/>
  <c r="AU412" i="30"/>
  <c r="AU414" i="30"/>
  <c r="AU416" i="30"/>
  <c r="AU418" i="30"/>
  <c r="AU420" i="30"/>
  <c r="BK386" i="30"/>
  <c r="BI390" i="30"/>
  <c r="BQ393" i="30"/>
  <c r="BO398" i="30"/>
  <c r="BQ404" i="30"/>
  <c r="BI411" i="30"/>
  <c r="BM418" i="30"/>
  <c r="BV398" i="30"/>
  <c r="T389" i="30"/>
  <c r="T403" i="30"/>
  <c r="T413" i="30"/>
  <c r="T415" i="30"/>
  <c r="T417" i="30"/>
  <c r="T419" i="30"/>
  <c r="T421" i="30"/>
  <c r="AM355" i="30"/>
  <c r="AF369" i="30"/>
  <c r="AG386" i="30"/>
  <c r="AG388" i="30"/>
  <c r="AG390" i="30"/>
  <c r="AG392" i="30"/>
  <c r="AG394" i="30"/>
  <c r="AG396" i="30"/>
  <c r="AG398" i="30"/>
  <c r="AG400" i="30"/>
  <c r="AG402" i="30"/>
  <c r="AG404" i="30"/>
  <c r="AG406" i="30"/>
  <c r="AG408" i="30"/>
  <c r="AG410" i="30"/>
  <c r="AG412" i="30"/>
  <c r="AG414" i="30"/>
  <c r="AG416" i="30"/>
  <c r="AG418" i="30"/>
  <c r="AG420" i="30"/>
  <c r="AV386" i="30"/>
  <c r="AV388" i="30"/>
  <c r="AV390" i="30"/>
  <c r="AV392" i="30"/>
  <c r="AV394" i="30"/>
  <c r="AV396" i="30"/>
  <c r="AV398" i="30"/>
  <c r="AV400" i="30"/>
  <c r="AV402" i="30"/>
  <c r="AV404" i="30"/>
  <c r="AV406" i="30"/>
  <c r="AV408" i="30"/>
  <c r="AV410" i="30"/>
  <c r="AV412" i="30"/>
  <c r="AV414" i="30"/>
  <c r="AV416" i="30"/>
  <c r="AV418" i="30"/>
  <c r="AV420" i="30"/>
  <c r="BL386" i="30"/>
  <c r="BL390" i="30"/>
  <c r="BR393" i="30"/>
  <c r="BQ398" i="30"/>
  <c r="BS404" i="30"/>
  <c r="BJ411" i="30"/>
  <c r="BN418" i="30"/>
  <c r="BV400" i="30"/>
  <c r="S349" i="30"/>
  <c r="R359" i="30"/>
  <c r="AC368" i="30"/>
  <c r="T379" i="30"/>
  <c r="U387" i="30"/>
  <c r="U389" i="30"/>
  <c r="U391" i="30"/>
  <c r="U393" i="30"/>
  <c r="U395" i="30"/>
  <c r="U397" i="30"/>
  <c r="U399" i="30"/>
  <c r="U401" i="30"/>
  <c r="U403" i="30"/>
  <c r="U405" i="30"/>
  <c r="U407" i="30"/>
  <c r="U409" i="30"/>
  <c r="U411" i="30"/>
  <c r="U413" i="30"/>
  <c r="U415" i="30"/>
  <c r="U417" i="30"/>
  <c r="U419" i="30"/>
  <c r="U421" i="30"/>
  <c r="AN355" i="30"/>
  <c r="AG369" i="30"/>
  <c r="AH386" i="30"/>
  <c r="AH388" i="30"/>
  <c r="AH390" i="30"/>
  <c r="AH392" i="30"/>
  <c r="AH394" i="30"/>
  <c r="AH396" i="30"/>
  <c r="AH398" i="30"/>
  <c r="AH400" i="30"/>
  <c r="AH402" i="30"/>
  <c r="AH404" i="30"/>
  <c r="AH406" i="30"/>
  <c r="AH408" i="30"/>
  <c r="AH410" i="30"/>
  <c r="AH412" i="30"/>
  <c r="AH414" i="30"/>
  <c r="AH416" i="30"/>
  <c r="AH418" i="30"/>
  <c r="AH420" i="30"/>
  <c r="AW386" i="30"/>
  <c r="AW388" i="30"/>
  <c r="AW390" i="30"/>
  <c r="AW392" i="30"/>
  <c r="AW394" i="30"/>
  <c r="AW396" i="30"/>
  <c r="AW398" i="30"/>
  <c r="AW400" i="30"/>
  <c r="AW402" i="30"/>
  <c r="AW404" i="30"/>
  <c r="AW406" i="30"/>
  <c r="AW408" i="30"/>
  <c r="AW410" i="30"/>
  <c r="AW412" i="30"/>
  <c r="AW414" i="30"/>
  <c r="AW416" i="30"/>
  <c r="AW418" i="30"/>
  <c r="AW420" i="30"/>
  <c r="BM386" i="30"/>
  <c r="BM390" i="30"/>
  <c r="BJ394" i="30"/>
  <c r="BR398" i="30"/>
  <c r="BH405" i="30"/>
  <c r="BL411" i="30"/>
  <c r="BO418" i="30"/>
  <c r="BX400" i="30"/>
  <c r="S359" i="30"/>
  <c r="R369" i="30"/>
  <c r="AC380" i="30"/>
  <c r="V387" i="30"/>
  <c r="V389" i="30"/>
  <c r="V391" i="30"/>
  <c r="V393" i="30"/>
  <c r="V395" i="30"/>
  <c r="V397" i="30"/>
  <c r="V399" i="30"/>
  <c r="V401" i="30"/>
  <c r="V403" i="30"/>
  <c r="V405" i="30"/>
  <c r="V407" i="30"/>
  <c r="V409" i="30"/>
  <c r="V411" i="30"/>
  <c r="V413" i="30"/>
  <c r="V415" i="30"/>
  <c r="V417" i="30"/>
  <c r="V419" i="30"/>
  <c r="V421" i="30"/>
  <c r="AO355" i="30"/>
  <c r="AH369" i="30"/>
  <c r="AI386" i="30"/>
  <c r="AI388" i="30"/>
  <c r="AI390" i="30"/>
  <c r="AI392" i="30"/>
  <c r="AI394" i="30"/>
  <c r="AI396" i="30"/>
  <c r="AI398" i="30"/>
  <c r="AI400" i="30"/>
  <c r="AI402" i="30"/>
  <c r="AI404" i="30"/>
  <c r="AI406" i="30"/>
  <c r="AI408" i="30"/>
  <c r="AI410" i="30"/>
  <c r="AI412" i="30"/>
  <c r="AI414" i="30"/>
  <c r="AI416" i="30"/>
  <c r="AI418" i="30"/>
  <c r="AI420" i="30"/>
  <c r="AX386" i="30"/>
  <c r="AX388" i="30"/>
  <c r="AX390" i="30"/>
  <c r="AX392" i="30"/>
  <c r="AX394" i="30"/>
  <c r="AX396" i="30"/>
  <c r="AX398" i="30"/>
  <c r="AX400" i="30"/>
  <c r="AX402" i="30"/>
  <c r="AX404" i="30"/>
  <c r="AX406" i="30"/>
  <c r="AX408" i="30"/>
  <c r="AX410" i="30"/>
  <c r="AX412" i="30"/>
  <c r="AX414" i="30"/>
  <c r="AX416" i="30"/>
  <c r="AX418" i="30"/>
  <c r="AX420" i="30"/>
  <c r="BN386" i="30"/>
  <c r="BN390" i="30"/>
  <c r="BM394" i="30"/>
  <c r="BS398" i="30"/>
  <c r="BI405" i="30"/>
  <c r="BK412" i="30"/>
  <c r="BJ419" i="30"/>
  <c r="BY400" i="30"/>
  <c r="AB350" i="30"/>
  <c r="R381" i="30"/>
  <c r="W387" i="30"/>
  <c r="W389" i="30"/>
  <c r="W391" i="30"/>
  <c r="W393" i="30"/>
  <c r="W395" i="30"/>
  <c r="W397" i="30"/>
  <c r="W399" i="30"/>
  <c r="W401" i="30"/>
  <c r="W403" i="30"/>
  <c r="W405" i="30"/>
  <c r="W407" i="30"/>
  <c r="W409" i="30"/>
  <c r="W411" i="30"/>
  <c r="W413" i="30"/>
  <c r="W415" i="30"/>
  <c r="W417" i="30"/>
  <c r="W419" i="30"/>
  <c r="W421" i="30"/>
  <c r="AO357" i="30"/>
  <c r="AJ371" i="30"/>
  <c r="AJ386" i="30"/>
  <c r="AJ388" i="30"/>
  <c r="AJ390" i="30"/>
  <c r="AJ392" i="30"/>
  <c r="AJ394" i="30"/>
  <c r="AJ396" i="30"/>
  <c r="AJ398" i="30"/>
  <c r="AJ400" i="30"/>
  <c r="AJ402" i="30"/>
  <c r="AJ404" i="30"/>
  <c r="AJ406" i="30"/>
  <c r="AJ408" i="30"/>
  <c r="AJ410" i="30"/>
  <c r="AJ412" i="30"/>
  <c r="AJ414" i="30"/>
  <c r="AJ416" i="30"/>
  <c r="AJ418" i="30"/>
  <c r="AJ420" i="30"/>
  <c r="AY386" i="30"/>
  <c r="AY388" i="30"/>
  <c r="AY390" i="30"/>
  <c r="AY392" i="30"/>
  <c r="AY394" i="30"/>
  <c r="AY396" i="30"/>
  <c r="AY398" i="30"/>
  <c r="AY400" i="30"/>
  <c r="AY402" i="30"/>
  <c r="AY404" i="30"/>
  <c r="AY406" i="30"/>
  <c r="AY408" i="30"/>
  <c r="AY410" i="30"/>
  <c r="AY412" i="30"/>
  <c r="AY414" i="30"/>
  <c r="AY416" i="30"/>
  <c r="AY418" i="30"/>
  <c r="AY420" i="30"/>
  <c r="BO386" i="30"/>
  <c r="BO390" i="30"/>
  <c r="BN394" i="30"/>
  <c r="BH399" i="30"/>
  <c r="BJ405" i="30"/>
  <c r="BL412" i="30"/>
  <c r="BM419" i="30"/>
  <c r="BZ400" i="30"/>
  <c r="AB354" i="30"/>
  <c r="AB368" i="30"/>
  <c r="T393" i="30"/>
  <c r="T405" i="30"/>
  <c r="T349" i="30"/>
  <c r="AC350" i="30"/>
  <c r="AB360" i="30"/>
  <c r="T369" i="30"/>
  <c r="S381" i="30"/>
  <c r="X387" i="30"/>
  <c r="X389" i="30"/>
  <c r="X391" i="30"/>
  <c r="X393" i="30"/>
  <c r="X395" i="30"/>
  <c r="X397" i="30"/>
  <c r="X399" i="30"/>
  <c r="X401" i="30"/>
  <c r="X403" i="30"/>
  <c r="X405" i="30"/>
  <c r="X407" i="30"/>
  <c r="X409" i="30"/>
  <c r="X411" i="30"/>
  <c r="X413" i="30"/>
  <c r="X415" i="30"/>
  <c r="X417" i="30"/>
  <c r="X419" i="30"/>
  <c r="X421" i="30"/>
  <c r="AP357" i="30"/>
  <c r="AK371" i="30"/>
  <c r="AK386" i="30"/>
  <c r="AK388" i="30"/>
  <c r="AK390" i="30"/>
  <c r="AK392" i="30"/>
  <c r="AK394" i="30"/>
  <c r="AK396" i="30"/>
  <c r="AK398" i="30"/>
  <c r="AK400" i="30"/>
  <c r="AK402" i="30"/>
  <c r="AK404" i="30"/>
  <c r="AK406" i="30"/>
  <c r="AK408" i="30"/>
  <c r="AK410" i="30"/>
  <c r="AK412" i="30"/>
  <c r="AK414" i="30"/>
  <c r="AK416" i="30"/>
  <c r="AK418" i="30"/>
  <c r="AK420" i="30"/>
  <c r="AZ386" i="30"/>
  <c r="AZ388" i="30"/>
  <c r="AZ390" i="30"/>
  <c r="AZ392" i="30"/>
  <c r="AZ394" i="30"/>
  <c r="AZ396" i="30"/>
  <c r="AZ398" i="30"/>
  <c r="AZ400" i="30"/>
  <c r="AZ402" i="30"/>
  <c r="AZ404" i="30"/>
  <c r="AZ406" i="30"/>
  <c r="AZ408" i="30"/>
  <c r="AZ410" i="30"/>
  <c r="AZ412" i="30"/>
  <c r="AZ414" i="30"/>
  <c r="AZ416" i="30"/>
  <c r="AZ418" i="30"/>
  <c r="AZ420" i="30"/>
  <c r="BS386" i="30"/>
  <c r="BP390" i="30"/>
  <c r="BO394" i="30"/>
  <c r="BR399" i="30"/>
  <c r="BI406" i="30"/>
  <c r="BM412" i="30"/>
  <c r="BN419" i="30"/>
  <c r="BZ402" i="30"/>
  <c r="T409" i="30"/>
  <c r="R351" i="30"/>
  <c r="AC360" i="30"/>
  <c r="AB370" i="30"/>
  <c r="T381" i="30"/>
  <c r="Y387" i="30"/>
  <c r="Y389" i="30"/>
  <c r="Y391" i="30"/>
  <c r="Y393" i="30"/>
  <c r="Y395" i="30"/>
  <c r="Y397" i="30"/>
  <c r="Y399" i="30"/>
  <c r="Y401" i="30"/>
  <c r="Y403" i="30"/>
  <c r="Y405" i="30"/>
  <c r="Y407" i="30"/>
  <c r="Y409" i="30"/>
  <c r="Y411" i="30"/>
  <c r="Y413" i="30"/>
  <c r="Y415" i="30"/>
  <c r="Y417" i="30"/>
  <c r="Y419" i="30"/>
  <c r="Y421" i="30"/>
  <c r="AQ357" i="30"/>
  <c r="AL371" i="30"/>
  <c r="AL386" i="30"/>
  <c r="AL388" i="30"/>
  <c r="AL390" i="30"/>
  <c r="AL392" i="30"/>
  <c r="AL394" i="30"/>
  <c r="AL396" i="30"/>
  <c r="AL398" i="30"/>
  <c r="AL400" i="30"/>
  <c r="AL402" i="30"/>
  <c r="AL404" i="30"/>
  <c r="AL406" i="30"/>
  <c r="AL408" i="30"/>
  <c r="AL410" i="30"/>
  <c r="AL412" i="30"/>
  <c r="AL414" i="30"/>
  <c r="AL416" i="30"/>
  <c r="AL418" i="30"/>
  <c r="AL420" i="30"/>
  <c r="BA386" i="30"/>
  <c r="BA388" i="30"/>
  <c r="BA390" i="30"/>
  <c r="BA392" i="30"/>
  <c r="BA394" i="30"/>
  <c r="BA396" i="30"/>
  <c r="BA398" i="30"/>
  <c r="BA400" i="30"/>
  <c r="BA402" i="30"/>
  <c r="BA404" i="30"/>
  <c r="BA406" i="30"/>
  <c r="BA408" i="30"/>
  <c r="BA410" i="30"/>
  <c r="BA412" i="30"/>
  <c r="BA414" i="30"/>
  <c r="BA416" i="30"/>
  <c r="BA418" i="30"/>
  <c r="BA420" i="30"/>
  <c r="BH387" i="30"/>
  <c r="BQ390" i="30"/>
  <c r="BP394" i="30"/>
  <c r="BS399" i="30"/>
  <c r="BJ406" i="30"/>
  <c r="BH413" i="30"/>
  <c r="BO419" i="30"/>
  <c r="CB402" i="30"/>
  <c r="T363" i="30"/>
  <c r="AJ362" i="30"/>
  <c r="T411" i="30"/>
  <c r="S351" i="30"/>
  <c r="AC382" i="30"/>
  <c r="Z387" i="30"/>
  <c r="Z389" i="30"/>
  <c r="Z391" i="30"/>
  <c r="Z393" i="30"/>
  <c r="Z395" i="30"/>
  <c r="Z397" i="30"/>
  <c r="Z399" i="30"/>
  <c r="Z401" i="30"/>
  <c r="Z403" i="30"/>
  <c r="Z405" i="30"/>
  <c r="Z407" i="30"/>
  <c r="Z409" i="30"/>
  <c r="Z411" i="30"/>
  <c r="Z413" i="30"/>
  <c r="Z415" i="30"/>
  <c r="Z417" i="30"/>
  <c r="Z419" i="30"/>
  <c r="Z421" i="30"/>
  <c r="AF358" i="30"/>
  <c r="AM371" i="30"/>
  <c r="AM386" i="30"/>
  <c r="AM388" i="30"/>
  <c r="AM390" i="30"/>
  <c r="AM392" i="30"/>
  <c r="AM394" i="30"/>
  <c r="AM396" i="30"/>
  <c r="AM398" i="30"/>
  <c r="AM400" i="30"/>
  <c r="AM402" i="30"/>
  <c r="AM404" i="30"/>
  <c r="AM406" i="30"/>
  <c r="AM408" i="30"/>
  <c r="AM410" i="30"/>
  <c r="AM412" i="30"/>
  <c r="AM414" i="30"/>
  <c r="AM416" i="30"/>
  <c r="AM418" i="30"/>
  <c r="AM420" i="30"/>
  <c r="BB386" i="30"/>
  <c r="BB388" i="30"/>
  <c r="BB390" i="30"/>
  <c r="BB392" i="30"/>
  <c r="BB394" i="30"/>
  <c r="BB396" i="30"/>
  <c r="BB398" i="30"/>
  <c r="BB400" i="30"/>
  <c r="BB402" i="30"/>
  <c r="BB404" i="30"/>
  <c r="BB406" i="30"/>
  <c r="BB408" i="30"/>
  <c r="BB410" i="30"/>
  <c r="BB412" i="30"/>
  <c r="BB414" i="30"/>
  <c r="BB416" i="30"/>
  <c r="BB418" i="30"/>
  <c r="BB420" i="30"/>
  <c r="BI387" i="30"/>
  <c r="BI391" i="30"/>
  <c r="BQ394" i="30"/>
  <c r="BH400" i="30"/>
  <c r="BK406" i="30"/>
  <c r="BJ413" i="30"/>
  <c r="BK421" i="30"/>
  <c r="CD402" i="30"/>
  <c r="R349" i="30"/>
  <c r="S379" i="30"/>
  <c r="T391" i="30"/>
  <c r="T397" i="30"/>
  <c r="T401" i="30"/>
  <c r="T359" i="30"/>
  <c r="R361" i="30"/>
  <c r="T351" i="30"/>
  <c r="S361" i="30"/>
  <c r="R371" i="30"/>
  <c r="R383" i="30"/>
  <c r="AA387" i="30"/>
  <c r="AA389" i="30"/>
  <c r="AA391" i="30"/>
  <c r="AA393" i="30"/>
  <c r="AA395" i="30"/>
  <c r="AA397" i="30"/>
  <c r="AA399" i="30"/>
  <c r="AA401" i="30"/>
  <c r="AA403" i="30"/>
  <c r="AA405" i="30"/>
  <c r="AA407" i="30"/>
  <c r="AA409" i="30"/>
  <c r="AA411" i="30"/>
  <c r="AA413" i="30"/>
  <c r="AA415" i="30"/>
  <c r="AA417" i="30"/>
  <c r="AA419" i="30"/>
  <c r="AA421" i="30"/>
  <c r="AQ359" i="30"/>
  <c r="AP373" i="30"/>
  <c r="AN386" i="30"/>
  <c r="AN388" i="30"/>
  <c r="AN390" i="30"/>
  <c r="AN392" i="30"/>
  <c r="AN394" i="30"/>
  <c r="AN396" i="30"/>
  <c r="AN398" i="30"/>
  <c r="AN400" i="30"/>
  <c r="AN402" i="30"/>
  <c r="AN404" i="30"/>
  <c r="AN406" i="30"/>
  <c r="AN408" i="30"/>
  <c r="AN410" i="30"/>
  <c r="AN412" i="30"/>
  <c r="AN414" i="30"/>
  <c r="AN416" i="30"/>
  <c r="AN418" i="30"/>
  <c r="AN420" i="30"/>
  <c r="BC386" i="30"/>
  <c r="BC388" i="30"/>
  <c r="BC390" i="30"/>
  <c r="BC392" i="30"/>
  <c r="BC394" i="30"/>
  <c r="BC396" i="30"/>
  <c r="BC398" i="30"/>
  <c r="BC400" i="30"/>
  <c r="BC402" i="30"/>
  <c r="BC404" i="30"/>
  <c r="BC406" i="30"/>
  <c r="BC408" i="30"/>
  <c r="BC410" i="30"/>
  <c r="BC412" i="30"/>
  <c r="BC414" i="30"/>
  <c r="BC416" i="30"/>
  <c r="BC418" i="30"/>
  <c r="BC420" i="30"/>
  <c r="BN387" i="30"/>
  <c r="BJ391" i="30"/>
  <c r="BR394" i="30"/>
  <c r="BP400" i="30"/>
  <c r="BR406" i="30"/>
  <c r="BK413" i="30"/>
  <c r="BM421" i="30"/>
  <c r="BZ407" i="30"/>
  <c r="AC358" i="30"/>
  <c r="T387" i="30"/>
  <c r="T395" i="30"/>
  <c r="T399" i="30"/>
  <c r="T407" i="30"/>
  <c r="S369" i="30"/>
  <c r="AC370" i="30"/>
  <c r="AB352" i="30"/>
  <c r="T361" i="30"/>
  <c r="S371" i="30"/>
  <c r="S383" i="30"/>
  <c r="AB387" i="30"/>
  <c r="AB389" i="30"/>
  <c r="AB391" i="30"/>
  <c r="AB393" i="30"/>
  <c r="AB395" i="30"/>
  <c r="AB397" i="30"/>
  <c r="AB399" i="30"/>
  <c r="AB401" i="30"/>
  <c r="AB403" i="30"/>
  <c r="AB405" i="30"/>
  <c r="AB407" i="30"/>
  <c r="AB409" i="30"/>
  <c r="AB411" i="30"/>
  <c r="AB413" i="30"/>
  <c r="AB415" i="30"/>
  <c r="AB417" i="30"/>
  <c r="AB419" i="30"/>
  <c r="AB421" i="30"/>
  <c r="AF360" i="30"/>
  <c r="AQ373" i="30"/>
  <c r="AO386" i="30"/>
  <c r="AO388" i="30"/>
  <c r="AO390" i="30"/>
  <c r="AO392" i="30"/>
  <c r="AO394" i="30"/>
  <c r="AO396" i="30"/>
  <c r="AO398" i="30"/>
  <c r="AO400" i="30"/>
  <c r="AO402" i="30"/>
  <c r="AO404" i="30"/>
  <c r="AO406" i="30"/>
  <c r="AO408" i="30"/>
  <c r="AO410" i="30"/>
  <c r="AO412" i="30"/>
  <c r="AO414" i="30"/>
  <c r="AO416" i="30"/>
  <c r="AO418" i="30"/>
  <c r="AO420" i="30"/>
  <c r="BD386" i="30"/>
  <c r="BD388" i="30"/>
  <c r="BD390" i="30"/>
  <c r="BD392" i="30"/>
  <c r="BD394" i="30"/>
  <c r="BD396" i="30"/>
  <c r="BD398" i="30"/>
  <c r="BD400" i="30"/>
  <c r="BD402" i="30"/>
  <c r="BD404" i="30"/>
  <c r="BD406" i="30"/>
  <c r="BD408" i="30"/>
  <c r="BD410" i="30"/>
  <c r="BD412" i="30"/>
  <c r="BD414" i="30"/>
  <c r="BD416" i="30"/>
  <c r="BD418" i="30"/>
  <c r="BD420" i="30"/>
  <c r="BO387" i="30"/>
  <c r="BK391" i="30"/>
  <c r="BJ395" i="30"/>
  <c r="BR400" i="30"/>
  <c r="BH407" i="30"/>
  <c r="BL413" i="30"/>
  <c r="BN421" i="30"/>
  <c r="CB407" i="30"/>
  <c r="U349" i="30"/>
  <c r="U351" i="30"/>
  <c r="U353" i="30"/>
  <c r="U355" i="30"/>
  <c r="U357" i="30"/>
  <c r="U359" i="30"/>
  <c r="U361" i="30"/>
  <c r="U363" i="30"/>
  <c r="U365" i="30"/>
  <c r="U367" i="30"/>
  <c r="U369" i="30"/>
  <c r="U371" i="30"/>
  <c r="U373" i="30"/>
  <c r="U375" i="30"/>
  <c r="U377" i="30"/>
  <c r="U379" i="30"/>
  <c r="U381" i="30"/>
  <c r="U383" i="30"/>
  <c r="AI349" i="30"/>
  <c r="AL351" i="30"/>
  <c r="AN353" i="30"/>
  <c r="AP355" i="30"/>
  <c r="AG358" i="30"/>
  <c r="AJ360" i="30"/>
  <c r="AL362" i="30"/>
  <c r="AN364" i="30"/>
  <c r="AP366" i="30"/>
  <c r="AI369" i="30"/>
  <c r="AO371" i="30"/>
  <c r="AH374" i="30"/>
  <c r="AN376" i="30"/>
  <c r="AJ379" i="30"/>
  <c r="AQ381" i="30"/>
  <c r="AY357" i="30"/>
  <c r="AU372" i="30"/>
  <c r="V353" i="30"/>
  <c r="V363" i="30"/>
  <c r="V365" i="30"/>
  <c r="V367" i="30"/>
  <c r="V369" i="30"/>
  <c r="V371" i="30"/>
  <c r="V373" i="30"/>
  <c r="V375" i="30"/>
  <c r="V377" i="30"/>
  <c r="V379" i="30"/>
  <c r="V381" i="30"/>
  <c r="V383" i="30"/>
  <c r="AJ349" i="30"/>
  <c r="AM351" i="30"/>
  <c r="AO353" i="30"/>
  <c r="AQ355" i="30"/>
  <c r="AH358" i="30"/>
  <c r="AK360" i="30"/>
  <c r="AM362" i="30"/>
  <c r="AO364" i="30"/>
  <c r="AQ366" i="30"/>
  <c r="AJ369" i="30"/>
  <c r="AP371" i="30"/>
  <c r="AI374" i="30"/>
  <c r="AQ376" i="30"/>
  <c r="AK379" i="30"/>
  <c r="AG382" i="30"/>
  <c r="AZ359" i="30"/>
  <c r="AV374" i="30"/>
  <c r="W357" i="30"/>
  <c r="W371" i="30"/>
  <c r="W373" i="30"/>
  <c r="W375" i="30"/>
  <c r="AK349" i="30"/>
  <c r="AN351" i="30"/>
  <c r="AP353" i="30"/>
  <c r="AF356" i="30"/>
  <c r="AI358" i="30"/>
  <c r="AL360" i="30"/>
  <c r="AN362" i="30"/>
  <c r="AQ364" i="30"/>
  <c r="AF367" i="30"/>
  <c r="AK369" i="30"/>
  <c r="AQ371" i="30"/>
  <c r="AJ374" i="30"/>
  <c r="AF377" i="30"/>
  <c r="AL379" i="30"/>
  <c r="AH382" i="30"/>
  <c r="BB359" i="30"/>
  <c r="AX374" i="30"/>
  <c r="X365" i="30"/>
  <c r="AL349" i="30"/>
  <c r="AO351" i="30"/>
  <c r="AF354" i="30"/>
  <c r="AG356" i="30"/>
  <c r="AJ358" i="30"/>
  <c r="AM360" i="30"/>
  <c r="AO362" i="30"/>
  <c r="AF365" i="30"/>
  <c r="AG367" i="30"/>
  <c r="AL369" i="30"/>
  <c r="AF372" i="30"/>
  <c r="AN374" i="30"/>
  <c r="AG377" i="30"/>
  <c r="AM379" i="30"/>
  <c r="AI382" i="30"/>
  <c r="BC359" i="30"/>
  <c r="AY374" i="30"/>
  <c r="V355" i="30"/>
  <c r="W351" i="30"/>
  <c r="W367" i="30"/>
  <c r="W381" i="30"/>
  <c r="X351" i="30"/>
  <c r="X363" i="30"/>
  <c r="X381" i="30"/>
  <c r="Y349" i="30"/>
  <c r="Y351" i="30"/>
  <c r="Y353" i="30"/>
  <c r="Y355" i="30"/>
  <c r="Y357" i="30"/>
  <c r="Y359" i="30"/>
  <c r="Y361" i="30"/>
  <c r="Y363" i="30"/>
  <c r="Y365" i="30"/>
  <c r="Y367" i="30"/>
  <c r="Y369" i="30"/>
  <c r="Y371" i="30"/>
  <c r="Y373" i="30"/>
  <c r="Y375" i="30"/>
  <c r="Y377" i="30"/>
  <c r="Y379" i="30"/>
  <c r="Y381" i="30"/>
  <c r="Y383" i="30"/>
  <c r="AN349" i="30"/>
  <c r="AP351" i="30"/>
  <c r="AG354" i="30"/>
  <c r="AH356" i="30"/>
  <c r="AK358" i="30"/>
  <c r="AN360" i="30"/>
  <c r="AP362" i="30"/>
  <c r="AG365" i="30"/>
  <c r="AH367" i="30"/>
  <c r="AM369" i="30"/>
  <c r="AG372" i="30"/>
  <c r="AO374" i="30"/>
  <c r="AH377" i="30"/>
  <c r="AN379" i="30"/>
  <c r="AK382" i="30"/>
  <c r="BD359" i="30"/>
  <c r="AZ374" i="30"/>
  <c r="V349" i="30"/>
  <c r="V361" i="30"/>
  <c r="W349" i="30"/>
  <c r="W365" i="30"/>
  <c r="W383" i="30"/>
  <c r="X349" i="30"/>
  <c r="X359" i="30"/>
  <c r="X373" i="30"/>
  <c r="Z349" i="30"/>
  <c r="Z351" i="30"/>
  <c r="Z353" i="30"/>
  <c r="Z355" i="30"/>
  <c r="Z357" i="30"/>
  <c r="Z359" i="30"/>
  <c r="Z361" i="30"/>
  <c r="Z363" i="30"/>
  <c r="Z365" i="30"/>
  <c r="Z367" i="30"/>
  <c r="Z369" i="30"/>
  <c r="Z371" i="30"/>
  <c r="Z373" i="30"/>
  <c r="Z375" i="30"/>
  <c r="Z377" i="30"/>
  <c r="Z379" i="30"/>
  <c r="Z381" i="30"/>
  <c r="Z383" i="30"/>
  <c r="AO349" i="30"/>
  <c r="AQ351" i="30"/>
  <c r="AH354" i="30"/>
  <c r="AJ356" i="30"/>
  <c r="AL358" i="30"/>
  <c r="AO360" i="30"/>
  <c r="AF363" i="30"/>
  <c r="AH365" i="30"/>
  <c r="AJ367" i="30"/>
  <c r="AN369" i="30"/>
  <c r="AJ372" i="30"/>
  <c r="AP374" i="30"/>
  <c r="AI377" i="30"/>
  <c r="AO379" i="30"/>
  <c r="AL382" i="30"/>
  <c r="BD361" i="30"/>
  <c r="AZ376" i="30"/>
  <c r="V357" i="30"/>
  <c r="W359" i="30"/>
  <c r="X357" i="30"/>
  <c r="X371" i="30"/>
  <c r="X383" i="30"/>
  <c r="AA353" i="30"/>
  <c r="AA359" i="30"/>
  <c r="AA361" i="30"/>
  <c r="AA367" i="30"/>
  <c r="AA369" i="30"/>
  <c r="AA371" i="30"/>
  <c r="AA373" i="30"/>
  <c r="AA375" i="30"/>
  <c r="AA377" i="30"/>
  <c r="AA379" i="30"/>
  <c r="AA381" i="30"/>
  <c r="AA383" i="30"/>
  <c r="AP349" i="30"/>
  <c r="AF352" i="30"/>
  <c r="AI354" i="30"/>
  <c r="AK356" i="30"/>
  <c r="AM358" i="30"/>
  <c r="AP360" i="30"/>
  <c r="AG363" i="30"/>
  <c r="AI365" i="30"/>
  <c r="AK367" i="30"/>
  <c r="AO369" i="30"/>
  <c r="AK372" i="30"/>
  <c r="AQ374" i="30"/>
  <c r="AK377" i="30"/>
  <c r="AP379" i="30"/>
  <c r="AM382" i="30"/>
  <c r="AT362" i="30"/>
  <c r="BB376" i="30"/>
  <c r="V351" i="30"/>
  <c r="W361" i="30"/>
  <c r="X355" i="30"/>
  <c r="X369" i="30"/>
  <c r="X379" i="30"/>
  <c r="AA351" i="30"/>
  <c r="AA357" i="30"/>
  <c r="AA363" i="30"/>
  <c r="AB349" i="30"/>
  <c r="AB351" i="30"/>
  <c r="AB353" i="30"/>
  <c r="AB355" i="30"/>
  <c r="AB357" i="30"/>
  <c r="AB359" i="30"/>
  <c r="AB361" i="30"/>
  <c r="AB363" i="30"/>
  <c r="AB365" i="30"/>
  <c r="AB367" i="30"/>
  <c r="AB369" i="30"/>
  <c r="AB371" i="30"/>
  <c r="AB373" i="30"/>
  <c r="AB375" i="30"/>
  <c r="AB377" i="30"/>
  <c r="AB379" i="30"/>
  <c r="AB381" i="30"/>
  <c r="AB383" i="30"/>
  <c r="AQ349" i="30"/>
  <c r="AG352" i="30"/>
  <c r="AJ354" i="30"/>
  <c r="AL356" i="30"/>
  <c r="AN358" i="30"/>
  <c r="AQ360" i="30"/>
  <c r="AH363" i="30"/>
  <c r="AJ365" i="30"/>
  <c r="AL367" i="30"/>
  <c r="AG370" i="30"/>
  <c r="AL372" i="30"/>
  <c r="AF375" i="30"/>
  <c r="AL377" i="30"/>
  <c r="AF380" i="30"/>
  <c r="AN382" i="30"/>
  <c r="AW362" i="30"/>
  <c r="BC376" i="30"/>
  <c r="BW386" i="30"/>
  <c r="BV405" i="30"/>
  <c r="CD438" i="30"/>
  <c r="V359" i="30"/>
  <c r="W355" i="30"/>
  <c r="W369" i="30"/>
  <c r="W379" i="30"/>
  <c r="X353" i="30"/>
  <c r="X367" i="30"/>
  <c r="X377" i="30"/>
  <c r="AA349" i="30"/>
  <c r="AA355" i="30"/>
  <c r="AA365" i="30"/>
  <c r="AC349" i="30"/>
  <c r="AC351" i="30"/>
  <c r="AC353" i="30"/>
  <c r="AC355" i="30"/>
  <c r="AC357" i="30"/>
  <c r="AC359" i="30"/>
  <c r="AC361" i="30"/>
  <c r="AC363" i="30"/>
  <c r="AC365" i="30"/>
  <c r="AC367" i="30"/>
  <c r="AC369" i="30"/>
  <c r="AC371" i="30"/>
  <c r="AC373" i="30"/>
  <c r="AC375" i="30"/>
  <c r="AC377" i="30"/>
  <c r="AC379" i="30"/>
  <c r="AC381" i="30"/>
  <c r="AC383" i="30"/>
  <c r="AF350" i="30"/>
  <c r="AH352" i="30"/>
  <c r="AK354" i="30"/>
  <c r="AN356" i="30"/>
  <c r="AO358" i="30"/>
  <c r="AF361" i="30"/>
  <c r="AI363" i="30"/>
  <c r="AK365" i="30"/>
  <c r="AM367" i="30"/>
  <c r="AH370" i="30"/>
  <c r="AN372" i="30"/>
  <c r="AG375" i="30"/>
  <c r="AM377" i="30"/>
  <c r="AG380" i="30"/>
  <c r="AO382" i="30"/>
  <c r="AX362" i="30"/>
  <c r="AT377" i="30"/>
  <c r="BX386" i="30"/>
  <c r="BW405" i="30"/>
  <c r="CD445" i="30"/>
  <c r="W353" i="30"/>
  <c r="W363" i="30"/>
  <c r="W377" i="30"/>
  <c r="X361" i="30"/>
  <c r="X375" i="30"/>
  <c r="R348" i="30"/>
  <c r="R350" i="30"/>
  <c r="R352" i="30"/>
  <c r="R354" i="30"/>
  <c r="R356" i="30"/>
  <c r="R358" i="30"/>
  <c r="R360" i="30"/>
  <c r="R362" i="30"/>
  <c r="R364" i="30"/>
  <c r="R366" i="30"/>
  <c r="R368" i="30"/>
  <c r="R370" i="30"/>
  <c r="R372" i="30"/>
  <c r="R374" i="30"/>
  <c r="R376" i="30"/>
  <c r="R378" i="30"/>
  <c r="R380" i="30"/>
  <c r="R382" i="30"/>
  <c r="AG350" i="30"/>
  <c r="AJ352" i="30"/>
  <c r="AL354" i="30"/>
  <c r="AO356" i="30"/>
  <c r="AP358" i="30"/>
  <c r="AG361" i="30"/>
  <c r="AJ363" i="30"/>
  <c r="AL365" i="30"/>
  <c r="AQ367" i="30"/>
  <c r="AI370" i="30"/>
  <c r="AO372" i="30"/>
  <c r="AH375" i="30"/>
  <c r="AN377" i="30"/>
  <c r="AI380" i="30"/>
  <c r="AP382" i="30"/>
  <c r="BC349" i="30"/>
  <c r="AX364" i="30"/>
  <c r="AT379" i="30"/>
  <c r="BV407" i="30"/>
  <c r="S348" i="30"/>
  <c r="S350" i="30"/>
  <c r="S352" i="30"/>
  <c r="S354" i="30"/>
  <c r="S356" i="30"/>
  <c r="S358" i="30"/>
  <c r="S360" i="30"/>
  <c r="S362" i="30"/>
  <c r="S364" i="30"/>
  <c r="S366" i="30"/>
  <c r="S368" i="30"/>
  <c r="S370" i="30"/>
  <c r="S372" i="30"/>
  <c r="S374" i="30"/>
  <c r="S376" i="30"/>
  <c r="S378" i="30"/>
  <c r="S380" i="30"/>
  <c r="S382" i="30"/>
  <c r="AF348" i="30"/>
  <c r="AH350" i="30"/>
  <c r="AK352" i="30"/>
  <c r="AM354" i="30"/>
  <c r="AP356" i="30"/>
  <c r="AQ358" i="30"/>
  <c r="AH361" i="30"/>
  <c r="AK363" i="30"/>
  <c r="AN365" i="30"/>
  <c r="AF368" i="30"/>
  <c r="AJ370" i="30"/>
  <c r="AP372" i="30"/>
  <c r="AJ375" i="30"/>
  <c r="AO377" i="30"/>
  <c r="AJ380" i="30"/>
  <c r="AQ382" i="30"/>
  <c r="BE349" i="30"/>
  <c r="AZ364" i="30"/>
  <c r="AV379" i="30"/>
  <c r="T348" i="30"/>
  <c r="T350" i="30"/>
  <c r="T352" i="30"/>
  <c r="T354" i="30"/>
  <c r="T356" i="30"/>
  <c r="T358" i="30"/>
  <c r="T360" i="30"/>
  <c r="T362" i="30"/>
  <c r="T364" i="30"/>
  <c r="T366" i="30"/>
  <c r="T368" i="30"/>
  <c r="T370" i="30"/>
  <c r="T372" i="30"/>
  <c r="T374" i="30"/>
  <c r="T376" i="30"/>
  <c r="T378" i="30"/>
  <c r="T380" i="30"/>
  <c r="T382" i="30"/>
  <c r="AG348" i="30"/>
  <c r="AI350" i="30"/>
  <c r="AL352" i="30"/>
  <c r="AN354" i="30"/>
  <c r="AQ356" i="30"/>
  <c r="AF359" i="30"/>
  <c r="AI361" i="30"/>
  <c r="AL363" i="30"/>
  <c r="AO365" i="30"/>
  <c r="AG368" i="30"/>
  <c r="AK370" i="30"/>
  <c r="AQ372" i="30"/>
  <c r="AK375" i="30"/>
  <c r="AP377" i="30"/>
  <c r="AK380" i="30"/>
  <c r="AF383" i="30"/>
  <c r="AT350" i="30"/>
  <c r="BA364" i="30"/>
  <c r="AW379" i="30"/>
  <c r="U348" i="30"/>
  <c r="U350" i="30"/>
  <c r="U352" i="30"/>
  <c r="U354" i="30"/>
  <c r="U356" i="30"/>
  <c r="U358" i="30"/>
  <c r="U360" i="30"/>
  <c r="U362" i="30"/>
  <c r="U364" i="30"/>
  <c r="U366" i="30"/>
  <c r="U368" i="30"/>
  <c r="U370" i="30"/>
  <c r="U372" i="30"/>
  <c r="U374" i="30"/>
  <c r="U376" i="30"/>
  <c r="U378" i="30"/>
  <c r="U380" i="30"/>
  <c r="U382" i="30"/>
  <c r="AH348" i="30"/>
  <c r="AJ350" i="30"/>
  <c r="AM352" i="30"/>
  <c r="AO354" i="30"/>
  <c r="AF357" i="30"/>
  <c r="AH359" i="30"/>
  <c r="AJ361" i="30"/>
  <c r="AM363" i="30"/>
  <c r="AP365" i="30"/>
  <c r="AH368" i="30"/>
  <c r="AM370" i="30"/>
  <c r="AF373" i="30"/>
  <c r="AL375" i="30"/>
  <c r="AF378" i="30"/>
  <c r="AN380" i="30"/>
  <c r="AJ383" i="30"/>
  <c r="AU350" i="30"/>
  <c r="BB364" i="30"/>
  <c r="AX379" i="30"/>
  <c r="V354" i="30"/>
  <c r="V360" i="30"/>
  <c r="V362" i="30"/>
  <c r="V364" i="30"/>
  <c r="V366" i="30"/>
  <c r="V368" i="30"/>
  <c r="V370" i="30"/>
  <c r="V372" i="30"/>
  <c r="V374" i="30"/>
  <c r="V376" i="30"/>
  <c r="V378" i="30"/>
  <c r="V380" i="30"/>
  <c r="V382" i="30"/>
  <c r="AI348" i="30"/>
  <c r="AK350" i="30"/>
  <c r="AN352" i="30"/>
  <c r="AP354" i="30"/>
  <c r="AG357" i="30"/>
  <c r="AJ359" i="30"/>
  <c r="AK361" i="30"/>
  <c r="AN363" i="30"/>
  <c r="AQ365" i="30"/>
  <c r="AJ368" i="30"/>
  <c r="AN370" i="30"/>
  <c r="AG373" i="30"/>
  <c r="AM375" i="30"/>
  <c r="AG378" i="30"/>
  <c r="AO380" i="30"/>
  <c r="AK383" i="30"/>
  <c r="AU352" i="30"/>
  <c r="BD366" i="30"/>
  <c r="AX381" i="30"/>
  <c r="W358" i="30"/>
  <c r="W366" i="30"/>
  <c r="W370" i="30"/>
  <c r="W376" i="30"/>
  <c r="W378" i="30"/>
  <c r="W380" i="30"/>
  <c r="W382" i="30"/>
  <c r="AJ348" i="30"/>
  <c r="AL350" i="30"/>
  <c r="AO352" i="30"/>
  <c r="AF355" i="30"/>
  <c r="AH357" i="30"/>
  <c r="AK359" i="30"/>
  <c r="AL361" i="30"/>
  <c r="AO363" i="30"/>
  <c r="AF366" i="30"/>
  <c r="AK368" i="30"/>
  <c r="AO370" i="30"/>
  <c r="AH373" i="30"/>
  <c r="AN375" i="30"/>
  <c r="AH378" i="30"/>
  <c r="AP380" i="30"/>
  <c r="AL383" i="30"/>
  <c r="AY352" i="30"/>
  <c r="AT367" i="30"/>
  <c r="BB381" i="30"/>
  <c r="X350" i="30"/>
  <c r="X372" i="30"/>
  <c r="AK348" i="30"/>
  <c r="AN350" i="30"/>
  <c r="AP352" i="30"/>
  <c r="AG355" i="30"/>
  <c r="AI357" i="30"/>
  <c r="AL359" i="30"/>
  <c r="AM361" i="30"/>
  <c r="AP363" i="30"/>
  <c r="AG366" i="30"/>
  <c r="AL368" i="30"/>
  <c r="AP370" i="30"/>
  <c r="AI373" i="30"/>
  <c r="AO375" i="30"/>
  <c r="AI378" i="30"/>
  <c r="AQ380" i="30"/>
  <c r="AM383" i="30"/>
  <c r="AZ352" i="30"/>
  <c r="AU367" i="30"/>
  <c r="BC381" i="30"/>
  <c r="V352" i="30"/>
  <c r="V356" i="30"/>
  <c r="W350" i="30"/>
  <c r="W356" i="30"/>
  <c r="W362" i="30"/>
  <c r="W372" i="30"/>
  <c r="X352" i="30"/>
  <c r="X358" i="30"/>
  <c r="X362" i="30"/>
  <c r="X368" i="30"/>
  <c r="X374" i="30"/>
  <c r="X380" i="30"/>
  <c r="Y348" i="30"/>
  <c r="Y350" i="30"/>
  <c r="Y352" i="30"/>
  <c r="Y354" i="30"/>
  <c r="Y356" i="30"/>
  <c r="Y358" i="30"/>
  <c r="Y360" i="30"/>
  <c r="Y362" i="30"/>
  <c r="Y364" i="30"/>
  <c r="Y366" i="30"/>
  <c r="Y368" i="30"/>
  <c r="Y370" i="30"/>
  <c r="Y372" i="30"/>
  <c r="Y374" i="30"/>
  <c r="Y376" i="30"/>
  <c r="Y378" i="30"/>
  <c r="Y380" i="30"/>
  <c r="Y382" i="30"/>
  <c r="AL348" i="30"/>
  <c r="AO350" i="30"/>
  <c r="AQ352" i="30"/>
  <c r="AH355" i="30"/>
  <c r="AJ357" i="30"/>
  <c r="AM359" i="30"/>
  <c r="AN361" i="30"/>
  <c r="AQ363" i="30"/>
  <c r="AH366" i="30"/>
  <c r="AM368" i="30"/>
  <c r="AF371" i="30"/>
  <c r="AK373" i="30"/>
  <c r="AP375" i="30"/>
  <c r="AJ378" i="30"/>
  <c r="AF381" i="30"/>
  <c r="AN383" i="30"/>
  <c r="BA352" i="30"/>
  <c r="AV367" i="30"/>
  <c r="BD381" i="30"/>
  <c r="BW414" i="30"/>
  <c r="V350" i="30"/>
  <c r="V358" i="30"/>
  <c r="W348" i="30"/>
  <c r="W354" i="30"/>
  <c r="W364" i="30"/>
  <c r="W374" i="30"/>
  <c r="X348" i="30"/>
  <c r="X354" i="30"/>
  <c r="X360" i="30"/>
  <c r="X366" i="30"/>
  <c r="X376" i="30"/>
  <c r="X382" i="30"/>
  <c r="Z348" i="30"/>
  <c r="Z354" i="30"/>
  <c r="Z358" i="30"/>
  <c r="Z360" i="30"/>
  <c r="Z364" i="30"/>
  <c r="Z366" i="30"/>
  <c r="Z368" i="30"/>
  <c r="Z370" i="30"/>
  <c r="Z372" i="30"/>
  <c r="Z374" i="30"/>
  <c r="Z376" i="30"/>
  <c r="Z378" i="30"/>
  <c r="Z380" i="30"/>
  <c r="Z382" i="30"/>
  <c r="AN348" i="30"/>
  <c r="AP350" i="30"/>
  <c r="AF353" i="30"/>
  <c r="AI355" i="30"/>
  <c r="AK357" i="30"/>
  <c r="AN359" i="30"/>
  <c r="AO361" i="30"/>
  <c r="AF364" i="30"/>
  <c r="AI366" i="30"/>
  <c r="AN368" i="30"/>
  <c r="AG371" i="30"/>
  <c r="AL373" i="30"/>
  <c r="AQ375" i="30"/>
  <c r="AK378" i="30"/>
  <c r="AG381" i="30"/>
  <c r="AQ383" i="30"/>
  <c r="BA354" i="30"/>
  <c r="AX369" i="30"/>
  <c r="BC383" i="30"/>
  <c r="BX414" i="30"/>
  <c r="V348" i="30"/>
  <c r="W352" i="30"/>
  <c r="W360" i="30"/>
  <c r="W368" i="30"/>
  <c r="X356" i="30"/>
  <c r="X364" i="30"/>
  <c r="X370" i="30"/>
  <c r="X378" i="30"/>
  <c r="Z350" i="30"/>
  <c r="Z352" i="30"/>
  <c r="Z356" i="30"/>
  <c r="Z362" i="30"/>
  <c r="AA348" i="30"/>
  <c r="AA350" i="30"/>
  <c r="AA352" i="30"/>
  <c r="AA354" i="30"/>
  <c r="AA356" i="30"/>
  <c r="AA358" i="30"/>
  <c r="AA360" i="30"/>
  <c r="AA362" i="30"/>
  <c r="AA364" i="30"/>
  <c r="AA366" i="30"/>
  <c r="AA368" i="30"/>
  <c r="AA370" i="30"/>
  <c r="AA372" i="30"/>
  <c r="AA374" i="30"/>
  <c r="AA376" i="30"/>
  <c r="AA378" i="30"/>
  <c r="AA380" i="30"/>
  <c r="AA382" i="30"/>
  <c r="AO348" i="30"/>
  <c r="AQ350" i="30"/>
  <c r="AG353" i="30"/>
  <c r="AJ355" i="30"/>
  <c r="AL357" i="30"/>
  <c r="AO359" i="30"/>
  <c r="AP361" i="30"/>
  <c r="AG364" i="30"/>
  <c r="AJ366" i="30"/>
  <c r="AO368" i="30"/>
  <c r="AH371" i="30"/>
  <c r="AN373" i="30"/>
  <c r="AF376" i="30"/>
  <c r="AL378" i="30"/>
  <c r="AH381" i="30"/>
  <c r="BC354" i="30"/>
  <c r="AZ369" i="30"/>
  <c r="BY395" i="30"/>
  <c r="CF417" i="30"/>
  <c r="CU386" i="30"/>
  <c r="AB372" i="30"/>
  <c r="AB374" i="30"/>
  <c r="AB376" i="30"/>
  <c r="AB378" i="30"/>
  <c r="AB380" i="30"/>
  <c r="AB382" i="30"/>
  <c r="AP348" i="30"/>
  <c r="AF351" i="30"/>
  <c r="AH353" i="30"/>
  <c r="AK355" i="30"/>
  <c r="AN357" i="30"/>
  <c r="AP359" i="30"/>
  <c r="AG362" i="30"/>
  <c r="AH364" i="30"/>
  <c r="AK366" i="30"/>
  <c r="AP368" i="30"/>
  <c r="AI371" i="30"/>
  <c r="AO373" i="30"/>
  <c r="AG376" i="30"/>
  <c r="AM378" i="30"/>
  <c r="AI381" i="30"/>
  <c r="AT355" i="30"/>
  <c r="BA369" i="30"/>
  <c r="CA395" i="30"/>
  <c r="CA418" i="30"/>
  <c r="CP401" i="30"/>
  <c r="BO365" i="30"/>
  <c r="BQ365" i="30"/>
  <c r="BR365" i="30"/>
  <c r="BI368" i="30"/>
  <c r="BR457" i="30"/>
  <c r="CC395" i="30"/>
  <c r="CE410" i="30"/>
  <c r="BV448" i="30"/>
  <c r="BH458" i="30"/>
  <c r="CC397" i="30"/>
  <c r="CF413" i="30"/>
  <c r="BV450" i="30"/>
  <c r="BV414" i="30"/>
  <c r="BX450" i="30"/>
  <c r="BQ454" i="30"/>
  <c r="CC388" i="30"/>
  <c r="CE402" i="30"/>
  <c r="CD431" i="30"/>
  <c r="CO389" i="30"/>
  <c r="BR454" i="30"/>
  <c r="CB390" i="30"/>
  <c r="CE404" i="30"/>
  <c r="CF431" i="30"/>
  <c r="CP389" i="30"/>
  <c r="BS454" i="30"/>
  <c r="CF390" i="30"/>
  <c r="CG404" i="30"/>
  <c r="BV432" i="30"/>
  <c r="CQ389" i="30"/>
  <c r="BH348" i="30"/>
  <c r="BK368" i="30"/>
  <c r="BI348" i="30"/>
  <c r="BM368" i="30"/>
  <c r="BM350" i="30"/>
  <c r="BN370" i="30"/>
  <c r="BO350" i="30"/>
  <c r="BR370" i="30"/>
  <c r="BP350" i="30"/>
  <c r="BS370" i="30"/>
  <c r="BS352" i="30"/>
  <c r="BH373" i="30"/>
  <c r="BJ353" i="30"/>
  <c r="BL373" i="30"/>
  <c r="BK353" i="30"/>
  <c r="BO373" i="30"/>
  <c r="BN355" i="30"/>
  <c r="BR375" i="30"/>
  <c r="BP355" i="30"/>
  <c r="BH376" i="30"/>
  <c r="BQ355" i="30"/>
  <c r="BI376" i="30"/>
  <c r="BR357" i="30"/>
  <c r="BP378" i="30"/>
  <c r="BK358" i="30"/>
  <c r="BR378" i="30"/>
  <c r="BL358" i="30"/>
  <c r="BS378" i="30"/>
  <c r="BM360" i="30"/>
  <c r="BM381" i="30"/>
  <c r="BO360" i="30"/>
  <c r="BO381" i="30"/>
  <c r="BQ360" i="30"/>
  <c r="BP381" i="30"/>
  <c r="BH363" i="30"/>
  <c r="BJ363" i="30"/>
  <c r="BK363" i="30"/>
  <c r="BX376" i="30"/>
  <c r="BD349" i="30"/>
  <c r="AX352" i="30"/>
  <c r="BB354" i="30"/>
  <c r="AU357" i="30"/>
  <c r="BA359" i="30"/>
  <c r="BE361" i="30"/>
  <c r="AY364" i="30"/>
  <c r="BE366" i="30"/>
  <c r="AY369" i="30"/>
  <c r="BC371" i="30"/>
  <c r="AW374" i="30"/>
  <c r="BA376" i="30"/>
  <c r="AU379" i="30"/>
  <c r="AY381" i="30"/>
  <c r="BE383" i="30"/>
  <c r="BN350" i="30"/>
  <c r="BH353" i="30"/>
  <c r="BO355" i="30"/>
  <c r="BJ358" i="30"/>
  <c r="BN360" i="30"/>
  <c r="BI363" i="30"/>
  <c r="BP365" i="30"/>
  <c r="BJ368" i="30"/>
  <c r="BQ370" i="30"/>
  <c r="BI373" i="30"/>
  <c r="BS375" i="30"/>
  <c r="BQ378" i="30"/>
  <c r="BN381" i="30"/>
  <c r="BO396" i="30"/>
  <c r="BP398" i="30"/>
  <c r="BQ400" i="30"/>
  <c r="BQ402" i="30"/>
  <c r="BR404" i="30"/>
  <c r="BS406" i="30"/>
  <c r="BH409" i="30"/>
  <c r="BH411" i="30"/>
  <c r="BI413" i="30"/>
  <c r="BJ415" i="30"/>
  <c r="BK417" i="30"/>
  <c r="BL419" i="30"/>
  <c r="BL421" i="30"/>
  <c r="BY376" i="30"/>
  <c r="BZ388" i="30"/>
  <c r="CC390" i="30"/>
  <c r="CG392" i="30"/>
  <c r="BZ395" i="30"/>
  <c r="CD397" i="30"/>
  <c r="BW400" i="30"/>
  <c r="CA402" i="30"/>
  <c r="CF404" i="30"/>
  <c r="BW407" i="30"/>
  <c r="CA410" i="30"/>
  <c r="CG413" i="30"/>
  <c r="BV418" i="30"/>
  <c r="CK387" i="30"/>
  <c r="CQ401" i="30"/>
  <c r="CT421" i="30"/>
  <c r="BJ348" i="30"/>
  <c r="BQ350" i="30"/>
  <c r="BL353" i="30"/>
  <c r="BR355" i="30"/>
  <c r="BM358" i="30"/>
  <c r="BR360" i="30"/>
  <c r="BL363" i="30"/>
  <c r="BS365" i="30"/>
  <c r="BN368" i="30"/>
  <c r="BH371" i="30"/>
  <c r="BP373" i="30"/>
  <c r="BJ376" i="30"/>
  <c r="BH379" i="30"/>
  <c r="BQ381" i="30"/>
  <c r="AV350" i="30"/>
  <c r="BB352" i="30"/>
  <c r="AV355" i="30"/>
  <c r="BB357" i="30"/>
  <c r="BE359" i="30"/>
  <c r="AY362" i="30"/>
  <c r="BC364" i="30"/>
  <c r="AW367" i="30"/>
  <c r="BC369" i="30"/>
  <c r="AW372" i="30"/>
  <c r="BB374" i="30"/>
  <c r="AU377" i="30"/>
  <c r="AY379" i="30"/>
  <c r="BE381" i="30"/>
  <c r="BK348" i="30"/>
  <c r="BR350" i="30"/>
  <c r="BM353" i="30"/>
  <c r="BS355" i="30"/>
  <c r="BN358" i="30"/>
  <c r="BS360" i="30"/>
  <c r="BN363" i="30"/>
  <c r="BH366" i="30"/>
  <c r="BO368" i="30"/>
  <c r="BI371" i="30"/>
  <c r="BQ373" i="30"/>
  <c r="BK376" i="30"/>
  <c r="BI379" i="30"/>
  <c r="BR381" i="30"/>
  <c r="BL409" i="30"/>
  <c r="BM411" i="30"/>
  <c r="BM413" i="30"/>
  <c r="BN415" i="30"/>
  <c r="BO417" i="30"/>
  <c r="BP419" i="30"/>
  <c r="BP421" i="30"/>
  <c r="BY386" i="30"/>
  <c r="CD388" i="30"/>
  <c r="BW391" i="30"/>
  <c r="BZ393" i="30"/>
  <c r="CD395" i="30"/>
  <c r="BW398" i="30"/>
  <c r="CA400" i="30"/>
  <c r="CF402" i="30"/>
  <c r="BX405" i="30"/>
  <c r="CD407" i="30"/>
  <c r="CF410" i="30"/>
  <c r="CF414" i="30"/>
  <c r="CE418" i="30"/>
  <c r="CR389" i="30"/>
  <c r="CR404" i="30"/>
  <c r="AT348" i="30"/>
  <c r="AW350" i="30"/>
  <c r="BC352" i="30"/>
  <c r="AW355" i="30"/>
  <c r="BC357" i="30"/>
  <c r="AT360" i="30"/>
  <c r="AZ362" i="30"/>
  <c r="BD364" i="30"/>
  <c r="AX367" i="30"/>
  <c r="BD369" i="30"/>
  <c r="AX372" i="30"/>
  <c r="BC374" i="30"/>
  <c r="AV377" i="30"/>
  <c r="AZ379" i="30"/>
  <c r="AT382" i="30"/>
  <c r="BL348" i="30"/>
  <c r="BS350" i="30"/>
  <c r="BN353" i="30"/>
  <c r="BH356" i="30"/>
  <c r="BO358" i="30"/>
  <c r="BJ361" i="30"/>
  <c r="BO363" i="30"/>
  <c r="BI366" i="30"/>
  <c r="BP368" i="30"/>
  <c r="BJ371" i="30"/>
  <c r="BR373" i="30"/>
  <c r="BP376" i="30"/>
  <c r="BJ379" i="30"/>
  <c r="BH382" i="30"/>
  <c r="BP386" i="30"/>
  <c r="BQ388" i="30"/>
  <c r="BR390" i="30"/>
  <c r="BS392" i="30"/>
  <c r="BS394" i="30"/>
  <c r="BH397" i="30"/>
  <c r="BI399" i="30"/>
  <c r="BJ401" i="30"/>
  <c r="BJ403" i="30"/>
  <c r="BK405" i="30"/>
  <c r="BL407" i="30"/>
  <c r="BM409" i="30"/>
  <c r="BN411" i="30"/>
  <c r="BN413" i="30"/>
  <c r="BO415" i="30"/>
  <c r="BP417" i="30"/>
  <c r="BQ419" i="30"/>
  <c r="BQ421" i="30"/>
  <c r="BZ386" i="30"/>
  <c r="CE388" i="30"/>
  <c r="BX391" i="30"/>
  <c r="CC393" i="30"/>
  <c r="CF395" i="30"/>
  <c r="BX398" i="30"/>
  <c r="CB400" i="30"/>
  <c r="CG402" i="30"/>
  <c r="BZ405" i="30"/>
  <c r="CF407" i="30"/>
  <c r="BV411" i="30"/>
  <c r="CG414" i="30"/>
  <c r="CF418" i="30"/>
  <c r="CS389" i="30"/>
  <c r="CS404" i="30"/>
  <c r="CQ437" i="30"/>
  <c r="AU348" i="30"/>
  <c r="AZ350" i="30"/>
  <c r="BD352" i="30"/>
  <c r="AX355" i="30"/>
  <c r="BD357" i="30"/>
  <c r="AU360" i="30"/>
  <c r="BA362" i="30"/>
  <c r="BE364" i="30"/>
  <c r="AY367" i="30"/>
  <c r="BE369" i="30"/>
  <c r="AY372" i="30"/>
  <c r="BD374" i="30"/>
  <c r="AX377" i="30"/>
  <c r="BA379" i="30"/>
  <c r="AU382" i="30"/>
  <c r="BM348" i="30"/>
  <c r="BH351" i="30"/>
  <c r="BO353" i="30"/>
  <c r="BJ356" i="30"/>
  <c r="BP358" i="30"/>
  <c r="BK361" i="30"/>
  <c r="BP363" i="30"/>
  <c r="BK366" i="30"/>
  <c r="BQ368" i="30"/>
  <c r="BK371" i="30"/>
  <c r="BS373" i="30"/>
  <c r="BQ376" i="30"/>
  <c r="BM379" i="30"/>
  <c r="BI382" i="30"/>
  <c r="BQ386" i="30"/>
  <c r="BR388" i="30"/>
  <c r="BS390" i="30"/>
  <c r="BH393" i="30"/>
  <c r="BH395" i="30"/>
  <c r="BI397" i="30"/>
  <c r="BJ399" i="30"/>
  <c r="BK401" i="30"/>
  <c r="BL403" i="30"/>
  <c r="BL405" i="30"/>
  <c r="BM407" i="30"/>
  <c r="BN409" i="30"/>
  <c r="BO411" i="30"/>
  <c r="BO413" i="30"/>
  <c r="BP415" i="30"/>
  <c r="BQ417" i="30"/>
  <c r="BR419" i="30"/>
  <c r="BR421" i="30"/>
  <c r="CA386" i="30"/>
  <c r="CF388" i="30"/>
  <c r="BY391" i="30"/>
  <c r="CD393" i="30"/>
  <c r="CG395" i="30"/>
  <c r="BY398" i="30"/>
  <c r="CC400" i="30"/>
  <c r="BV403" i="30"/>
  <c r="CA405" i="30"/>
  <c r="BV408" i="30"/>
  <c r="BY411" i="30"/>
  <c r="BW415" i="30"/>
  <c r="CG418" i="30"/>
  <c r="CU389" i="30"/>
  <c r="CT404" i="30"/>
  <c r="CM457" i="30"/>
  <c r="AV348" i="30"/>
  <c r="BB350" i="30"/>
  <c r="BE352" i="30"/>
  <c r="AY355" i="30"/>
  <c r="BE357" i="30"/>
  <c r="AX360" i="30"/>
  <c r="BB362" i="30"/>
  <c r="AV365" i="30"/>
  <c r="AZ367" i="30"/>
  <c r="AT370" i="30"/>
  <c r="AZ372" i="30"/>
  <c r="BE374" i="30"/>
  <c r="AY377" i="30"/>
  <c r="BB379" i="30"/>
  <c r="AV382" i="30"/>
  <c r="BQ348" i="30"/>
  <c r="BI351" i="30"/>
  <c r="BP353" i="30"/>
  <c r="BK356" i="30"/>
  <c r="BQ358" i="30"/>
  <c r="BL361" i="30"/>
  <c r="BQ363" i="30"/>
  <c r="BL366" i="30"/>
  <c r="BR368" i="30"/>
  <c r="BM371" i="30"/>
  <c r="BH374" i="30"/>
  <c r="BR376" i="30"/>
  <c r="BN379" i="30"/>
  <c r="BL382" i="30"/>
  <c r="BR386" i="30"/>
  <c r="BS388" i="30"/>
  <c r="BH391" i="30"/>
  <c r="BI393" i="30"/>
  <c r="BI395" i="30"/>
  <c r="BJ397" i="30"/>
  <c r="BK399" i="30"/>
  <c r="BL401" i="30"/>
  <c r="BM403" i="30"/>
  <c r="BM405" i="30"/>
  <c r="BN407" i="30"/>
  <c r="BO409" i="30"/>
  <c r="BP411" i="30"/>
  <c r="BP413" i="30"/>
  <c r="BQ415" i="30"/>
  <c r="BR417" i="30"/>
  <c r="BS419" i="30"/>
  <c r="CB386" i="30"/>
  <c r="CG388" i="30"/>
  <c r="BZ391" i="30"/>
  <c r="CE393" i="30"/>
  <c r="BV396" i="30"/>
  <c r="BZ398" i="30"/>
  <c r="CE400" i="30"/>
  <c r="BW403" i="30"/>
  <c r="CB405" i="30"/>
  <c r="BW408" i="30"/>
  <c r="BZ411" i="30"/>
  <c r="BX415" i="30"/>
  <c r="BV419" i="30"/>
  <c r="CK392" i="30"/>
  <c r="CJ405" i="30"/>
  <c r="AW348" i="30"/>
  <c r="BC350" i="30"/>
  <c r="AT353" i="30"/>
  <c r="AZ355" i="30"/>
  <c r="AT358" i="30"/>
  <c r="AZ360" i="30"/>
  <c r="BC362" i="30"/>
  <c r="AW365" i="30"/>
  <c r="BA367" i="30"/>
  <c r="AU370" i="30"/>
  <c r="BA372" i="30"/>
  <c r="AT375" i="30"/>
  <c r="AZ377" i="30"/>
  <c r="AT380" i="30"/>
  <c r="AW382" i="30"/>
  <c r="BR348" i="30"/>
  <c r="BK351" i="30"/>
  <c r="BQ353" i="30"/>
  <c r="BL356" i="30"/>
  <c r="BR358" i="30"/>
  <c r="BM361" i="30"/>
  <c r="BR363" i="30"/>
  <c r="BM366" i="30"/>
  <c r="BH369" i="30"/>
  <c r="BN371" i="30"/>
  <c r="BI374" i="30"/>
  <c r="BH377" i="30"/>
  <c r="BO379" i="30"/>
  <c r="BN382" i="30"/>
  <c r="BK397" i="30"/>
  <c r="BL399" i="30"/>
  <c r="BM401" i="30"/>
  <c r="BN403" i="30"/>
  <c r="BN405" i="30"/>
  <c r="BO407" i="30"/>
  <c r="BP409" i="30"/>
  <c r="BQ411" i="30"/>
  <c r="BQ413" i="30"/>
  <c r="BR415" i="30"/>
  <c r="BS417" i="30"/>
  <c r="BH420" i="30"/>
  <c r="CD386" i="30"/>
  <c r="BV389" i="30"/>
  <c r="CA391" i="30"/>
  <c r="CF393" i="30"/>
  <c r="BW396" i="30"/>
  <c r="CA398" i="30"/>
  <c r="CF400" i="30"/>
  <c r="BX403" i="30"/>
  <c r="CC405" i="30"/>
  <c r="BX408" i="30"/>
  <c r="CA411" i="30"/>
  <c r="BZ415" i="30"/>
  <c r="CC419" i="30"/>
  <c r="CM392" i="30"/>
  <c r="CT407" i="30"/>
  <c r="AX348" i="30"/>
  <c r="BD350" i="30"/>
  <c r="AU353" i="30"/>
  <c r="BA355" i="30"/>
  <c r="AU358" i="30"/>
  <c r="BA360" i="30"/>
  <c r="AT363" i="30"/>
  <c r="AX365" i="30"/>
  <c r="BB367" i="30"/>
  <c r="AV370" i="30"/>
  <c r="BB372" i="30"/>
  <c r="AV375" i="30"/>
  <c r="BA377" i="30"/>
  <c r="AU380" i="30"/>
  <c r="AX382" i="30"/>
  <c r="BI349" i="30"/>
  <c r="BN351" i="30"/>
  <c r="BS353" i="30"/>
  <c r="BM356" i="30"/>
  <c r="BS358" i="30"/>
  <c r="BN361" i="30"/>
  <c r="BS363" i="30"/>
  <c r="BN366" i="30"/>
  <c r="BI369" i="30"/>
  <c r="BO371" i="30"/>
  <c r="BK374" i="30"/>
  <c r="BI377" i="30"/>
  <c r="BS379" i="30"/>
  <c r="BO382" i="30"/>
  <c r="BL397" i="30"/>
  <c r="BM399" i="30"/>
  <c r="BN401" i="30"/>
  <c r="BO403" i="30"/>
  <c r="BO405" i="30"/>
  <c r="BP407" i="30"/>
  <c r="BQ409" i="30"/>
  <c r="BR411" i="30"/>
  <c r="BR413" i="30"/>
  <c r="BS415" i="30"/>
  <c r="BH418" i="30"/>
  <c r="BI420" i="30"/>
  <c r="CE386" i="30"/>
  <c r="BW389" i="30"/>
  <c r="CB391" i="30"/>
  <c r="CG393" i="30"/>
  <c r="BZ396" i="30"/>
  <c r="CC398" i="30"/>
  <c r="CG400" i="30"/>
  <c r="BY403" i="30"/>
  <c r="CD405" i="30"/>
  <c r="BY408" i="30"/>
  <c r="CB411" i="30"/>
  <c r="CC415" i="30"/>
  <c r="CD419" i="30"/>
  <c r="CO392" i="30"/>
  <c r="CU407" i="30"/>
  <c r="AY348" i="30"/>
  <c r="BE350" i="30"/>
  <c r="AV353" i="30"/>
  <c r="BB355" i="30"/>
  <c r="AV358" i="30"/>
  <c r="BB360" i="30"/>
  <c r="AU363" i="30"/>
  <c r="AY365" i="30"/>
  <c r="BC367" i="30"/>
  <c r="AW370" i="30"/>
  <c r="BC372" i="30"/>
  <c r="AW375" i="30"/>
  <c r="BB377" i="30"/>
  <c r="AV380" i="30"/>
  <c r="AY382" i="30"/>
  <c r="BJ349" i="30"/>
  <c r="BO351" i="30"/>
  <c r="BH354" i="30"/>
  <c r="BO356" i="30"/>
  <c r="BH359" i="30"/>
  <c r="BO361" i="30"/>
  <c r="BJ364" i="30"/>
  <c r="BO366" i="30"/>
  <c r="BJ369" i="30"/>
  <c r="BQ371" i="30"/>
  <c r="BL374" i="30"/>
  <c r="BJ377" i="30"/>
  <c r="BH380" i="30"/>
  <c r="BP382" i="30"/>
  <c r="BM397" i="30"/>
  <c r="BN399" i="30"/>
  <c r="BO401" i="30"/>
  <c r="BP403" i="30"/>
  <c r="BP405" i="30"/>
  <c r="BQ407" i="30"/>
  <c r="BR409" i="30"/>
  <c r="BS411" i="30"/>
  <c r="BH414" i="30"/>
  <c r="BH416" i="30"/>
  <c r="BI418" i="30"/>
  <c r="BJ420" i="30"/>
  <c r="CF386" i="30"/>
  <c r="BX389" i="30"/>
  <c r="CC391" i="30"/>
  <c r="BV394" i="30"/>
  <c r="CA396" i="30"/>
  <c r="CD398" i="30"/>
  <c r="BV401" i="30"/>
  <c r="BZ403" i="30"/>
  <c r="CE405" i="30"/>
  <c r="BZ408" i="30"/>
  <c r="CC411" i="30"/>
  <c r="CE415" i="30"/>
  <c r="BZ420" i="30"/>
  <c r="CP392" i="30"/>
  <c r="CJ408" i="30"/>
  <c r="AO367" i="30"/>
  <c r="AP369" i="30"/>
  <c r="AH372" i="30"/>
  <c r="AK374" i="30"/>
  <c r="AO376" i="30"/>
  <c r="AF379" i="30"/>
  <c r="AJ381" i="30"/>
  <c r="AO383" i="30"/>
  <c r="AZ348" i="30"/>
  <c r="AT351" i="30"/>
  <c r="AZ353" i="30"/>
  <c r="BC355" i="30"/>
  <c r="AW358" i="30"/>
  <c r="BC360" i="30"/>
  <c r="AV363" i="30"/>
  <c r="BB365" i="30"/>
  <c r="BD367" i="30"/>
  <c r="AX370" i="30"/>
  <c r="BD372" i="30"/>
  <c r="AX375" i="30"/>
  <c r="BC377" i="30"/>
  <c r="AW380" i="30"/>
  <c r="AZ382" i="30"/>
  <c r="BK349" i="30"/>
  <c r="BP351" i="30"/>
  <c r="BK354" i="30"/>
  <c r="BP356" i="30"/>
  <c r="BK359" i="30"/>
  <c r="BP361" i="30"/>
  <c r="BK364" i="30"/>
  <c r="BP366" i="30"/>
  <c r="BK369" i="30"/>
  <c r="BR371" i="30"/>
  <c r="BM374" i="30"/>
  <c r="BK377" i="30"/>
  <c r="BI380" i="30"/>
  <c r="BQ382" i="30"/>
  <c r="BJ387" i="30"/>
  <c r="BK389" i="30"/>
  <c r="BL391" i="30"/>
  <c r="BM393" i="30"/>
  <c r="BN395" i="30"/>
  <c r="BN397" i="30"/>
  <c r="BO399" i="30"/>
  <c r="BP401" i="30"/>
  <c r="BQ403" i="30"/>
  <c r="BQ405" i="30"/>
  <c r="BR407" i="30"/>
  <c r="BS409" i="30"/>
  <c r="BH412" i="30"/>
  <c r="BI414" i="30"/>
  <c r="BI416" i="30"/>
  <c r="BJ418" i="30"/>
  <c r="BK420" i="30"/>
  <c r="BV387" i="30"/>
  <c r="BZ389" i="30"/>
  <c r="CD391" i="30"/>
  <c r="BW394" i="30"/>
  <c r="CB396" i="30"/>
  <c r="CE398" i="30"/>
  <c r="BW401" i="30"/>
  <c r="CB403" i="30"/>
  <c r="CF405" i="30"/>
  <c r="CA408" i="30"/>
  <c r="CE411" i="30"/>
  <c r="BW416" i="30"/>
  <c r="CD420" i="30"/>
  <c r="CQ392" i="30"/>
  <c r="CQ408" i="30"/>
  <c r="AP367" i="30"/>
  <c r="AF370" i="30"/>
  <c r="AI372" i="30"/>
  <c r="AM374" i="30"/>
  <c r="AP376" i="30"/>
  <c r="AH379" i="30"/>
  <c r="AK381" i="30"/>
  <c r="AP383" i="30"/>
  <c r="BB348" i="30"/>
  <c r="AU351" i="30"/>
  <c r="BA353" i="30"/>
  <c r="BD355" i="30"/>
  <c r="AX358" i="30"/>
  <c r="BD360" i="30"/>
  <c r="AW363" i="30"/>
  <c r="BC365" i="30"/>
  <c r="AU368" i="30"/>
  <c r="AY370" i="30"/>
  <c r="BE372" i="30"/>
  <c r="AY375" i="30"/>
  <c r="BD377" i="30"/>
  <c r="AX380" i="30"/>
  <c r="BB382" i="30"/>
  <c r="BL349" i="30"/>
  <c r="BQ351" i="30"/>
  <c r="BL354" i="30"/>
  <c r="BQ356" i="30"/>
  <c r="BL359" i="30"/>
  <c r="BQ361" i="30"/>
  <c r="BL364" i="30"/>
  <c r="BQ366" i="30"/>
  <c r="BL369" i="30"/>
  <c r="BS371" i="30"/>
  <c r="BP374" i="30"/>
  <c r="BL377" i="30"/>
  <c r="BJ380" i="30"/>
  <c r="BR382" i="30"/>
  <c r="BL387" i="30"/>
  <c r="BL389" i="30"/>
  <c r="BM391" i="30"/>
  <c r="BN393" i="30"/>
  <c r="BO395" i="30"/>
  <c r="BO397" i="30"/>
  <c r="BP399" i="30"/>
  <c r="BQ401" i="30"/>
  <c r="BR403" i="30"/>
  <c r="BR405" i="30"/>
  <c r="BS407" i="30"/>
  <c r="BH410" i="30"/>
  <c r="BI412" i="30"/>
  <c r="BJ414" i="30"/>
  <c r="BJ416" i="30"/>
  <c r="BK418" i="30"/>
  <c r="BL420" i="30"/>
  <c r="CE349" i="30"/>
  <c r="BW387" i="30"/>
  <c r="CA389" i="30"/>
  <c r="CE391" i="30"/>
  <c r="BX394" i="30"/>
  <c r="CC396" i="30"/>
  <c r="CF398" i="30"/>
  <c r="BX401" i="30"/>
  <c r="CC403" i="30"/>
  <c r="CG405" i="30"/>
  <c r="CC408" i="30"/>
  <c r="CF411" i="30"/>
  <c r="BX416" i="30"/>
  <c r="CE420" i="30"/>
  <c r="CS394" i="30"/>
  <c r="CP411" i="30"/>
  <c r="BC348" i="30"/>
  <c r="AV351" i="30"/>
  <c r="BB353" i="30"/>
  <c r="AT356" i="30"/>
  <c r="AY358" i="30"/>
  <c r="BE360" i="30"/>
  <c r="AY363" i="30"/>
  <c r="BD365" i="30"/>
  <c r="AX368" i="30"/>
  <c r="AZ370" i="30"/>
  <c r="AT373" i="30"/>
  <c r="AZ375" i="30"/>
  <c r="BE377" i="30"/>
  <c r="AY380" i="30"/>
  <c r="BE382" i="30"/>
  <c r="BM349" i="30"/>
  <c r="BR351" i="30"/>
  <c r="BM354" i="30"/>
  <c r="BH357" i="30"/>
  <c r="BM359" i="30"/>
  <c r="BS361" i="30"/>
  <c r="BM364" i="30"/>
  <c r="BR366" i="30"/>
  <c r="BM369" i="30"/>
  <c r="BH372" i="30"/>
  <c r="BQ374" i="30"/>
  <c r="BM377" i="30"/>
  <c r="BL380" i="30"/>
  <c r="BJ383" i="30"/>
  <c r="BM387" i="30"/>
  <c r="BM389" i="30"/>
  <c r="BN391" i="30"/>
  <c r="BO393" i="30"/>
  <c r="BP395" i="30"/>
  <c r="BP397" i="30"/>
  <c r="BQ399" i="30"/>
  <c r="BR401" i="30"/>
  <c r="BS403" i="30"/>
  <c r="BH406" i="30"/>
  <c r="BH408" i="30"/>
  <c r="BI410" i="30"/>
  <c r="BJ412" i="30"/>
  <c r="BK414" i="30"/>
  <c r="BK416" i="30"/>
  <c r="BL418" i="30"/>
  <c r="BM420" i="30"/>
  <c r="CF349" i="30"/>
  <c r="BX387" i="30"/>
  <c r="CB389" i="30"/>
  <c r="CF391" i="30"/>
  <c r="BY394" i="30"/>
  <c r="CD396" i="30"/>
  <c r="BW399" i="30"/>
  <c r="BZ401" i="30"/>
  <c r="CD403" i="30"/>
  <c r="BV406" i="30"/>
  <c r="CF408" i="30"/>
  <c r="CB412" i="30"/>
  <c r="BY416" i="30"/>
  <c r="CF420" i="30"/>
  <c r="CT394" i="30"/>
  <c r="CQ411" i="30"/>
  <c r="BD348" i="30"/>
  <c r="AW351" i="30"/>
  <c r="BC353" i="30"/>
  <c r="AU356" i="30"/>
  <c r="AZ358" i="30"/>
  <c r="AT361" i="30"/>
  <c r="AZ363" i="30"/>
  <c r="BE365" i="30"/>
  <c r="AY368" i="30"/>
  <c r="BA370" i="30"/>
  <c r="AU373" i="30"/>
  <c r="BA375" i="30"/>
  <c r="AU378" i="30"/>
  <c r="AZ380" i="30"/>
  <c r="AT383" i="30"/>
  <c r="BN349" i="30"/>
  <c r="BI352" i="30"/>
  <c r="BN354" i="30"/>
  <c r="BI357" i="30"/>
  <c r="BN359" i="30"/>
  <c r="BH362" i="30"/>
  <c r="BO364" i="30"/>
  <c r="BS366" i="30"/>
  <c r="BN369" i="30"/>
  <c r="BI372" i="30"/>
  <c r="BR374" i="30"/>
  <c r="BP377" i="30"/>
  <c r="BM380" i="30"/>
  <c r="BK383" i="30"/>
  <c r="BN420" i="30"/>
  <c r="BV350" i="30"/>
  <c r="BY387" i="30"/>
  <c r="CC389" i="30"/>
  <c r="BV392" i="30"/>
  <c r="BZ394" i="30"/>
  <c r="CE396" i="30"/>
  <c r="BX399" i="30"/>
  <c r="CA401" i="30"/>
  <c r="CE403" i="30"/>
  <c r="BW406" i="30"/>
  <c r="BV409" i="30"/>
  <c r="CC412" i="30"/>
  <c r="BZ416" i="30"/>
  <c r="BW421" i="30"/>
  <c r="CL395" i="30"/>
  <c r="CS411" i="30"/>
  <c r="BE348" i="30"/>
  <c r="AX351" i="30"/>
  <c r="BD353" i="30"/>
  <c r="AV356" i="30"/>
  <c r="BB358" i="30"/>
  <c r="AU361" i="30"/>
  <c r="BA363" i="30"/>
  <c r="AT366" i="30"/>
  <c r="AZ368" i="30"/>
  <c r="BB370" i="30"/>
  <c r="AV373" i="30"/>
  <c r="BB375" i="30"/>
  <c r="AV378" i="30"/>
  <c r="BA380" i="30"/>
  <c r="AU383" i="30"/>
  <c r="BO349" i="30"/>
  <c r="BJ352" i="30"/>
  <c r="BO354" i="30"/>
  <c r="BJ357" i="30"/>
  <c r="BQ359" i="30"/>
  <c r="BI362" i="30"/>
  <c r="BP364" i="30"/>
  <c r="BK367" i="30"/>
  <c r="BO369" i="30"/>
  <c r="BJ372" i="30"/>
  <c r="BI375" i="30"/>
  <c r="BQ377" i="30"/>
  <c r="BO380" i="30"/>
  <c r="BL383" i="30"/>
  <c r="BO420" i="30"/>
  <c r="BW350" i="30"/>
  <c r="BZ387" i="30"/>
  <c r="CE389" i="30"/>
  <c r="BW392" i="30"/>
  <c r="CA394" i="30"/>
  <c r="CF396" i="30"/>
  <c r="BY399" i="30"/>
  <c r="CB401" i="30"/>
  <c r="CF403" i="30"/>
  <c r="BY406" i="30"/>
  <c r="BW409" i="30"/>
  <c r="CF412" i="30"/>
  <c r="CA416" i="30"/>
  <c r="BX421" i="30"/>
  <c r="CM395" i="30"/>
  <c r="CU411" i="30"/>
  <c r="AT349" i="30"/>
  <c r="AY351" i="30"/>
  <c r="BE353" i="30"/>
  <c r="AY356" i="30"/>
  <c r="BC358" i="30"/>
  <c r="AV361" i="30"/>
  <c r="BB363" i="30"/>
  <c r="AU366" i="30"/>
  <c r="BA368" i="30"/>
  <c r="BC370" i="30"/>
  <c r="AW373" i="30"/>
  <c r="BC375" i="30"/>
  <c r="AW378" i="30"/>
  <c r="BB380" i="30"/>
  <c r="AV383" i="30"/>
  <c r="BQ349" i="30"/>
  <c r="BK352" i="30"/>
  <c r="BP354" i="30"/>
  <c r="BK357" i="30"/>
  <c r="BR359" i="30"/>
  <c r="BK362" i="30"/>
  <c r="BQ364" i="30"/>
  <c r="BL367" i="30"/>
  <c r="BP369" i="30"/>
  <c r="BL372" i="30"/>
  <c r="BJ375" i="30"/>
  <c r="BS377" i="30"/>
  <c r="BP380" i="30"/>
  <c r="BN383" i="30"/>
  <c r="BP420" i="30"/>
  <c r="CF353" i="30"/>
  <c r="CA387" i="30"/>
  <c r="CF389" i="30"/>
  <c r="BX392" i="30"/>
  <c r="CB394" i="30"/>
  <c r="CG396" i="30"/>
  <c r="BZ399" i="30"/>
  <c r="CC401" i="30"/>
  <c r="CG403" i="30"/>
  <c r="BZ406" i="30"/>
  <c r="BX409" i="30"/>
  <c r="CG412" i="30"/>
  <c r="CB416" i="30"/>
  <c r="CA421" i="30"/>
  <c r="CN395" i="30"/>
  <c r="CT414" i="30"/>
  <c r="AU349" i="30"/>
  <c r="BA351" i="30"/>
  <c r="AT354" i="30"/>
  <c r="AZ356" i="30"/>
  <c r="BD358" i="30"/>
  <c r="AX361" i="30"/>
  <c r="BC363" i="30"/>
  <c r="AV366" i="30"/>
  <c r="BB368" i="30"/>
  <c r="AV371" i="30"/>
  <c r="AX373" i="30"/>
  <c r="BD375" i="30"/>
  <c r="AX378" i="30"/>
  <c r="BC380" i="30"/>
  <c r="AW383" i="30"/>
  <c r="BR349" i="30"/>
  <c r="BL352" i="30"/>
  <c r="BQ354" i="30"/>
  <c r="BL357" i="30"/>
  <c r="BS359" i="30"/>
  <c r="BN362" i="30"/>
  <c r="BR364" i="30"/>
  <c r="BM367" i="30"/>
  <c r="BQ369" i="30"/>
  <c r="BM372" i="30"/>
  <c r="BK375" i="30"/>
  <c r="BH378" i="30"/>
  <c r="BQ380" i="30"/>
  <c r="BP383" i="30"/>
  <c r="BQ387" i="30"/>
  <c r="BQ389" i="30"/>
  <c r="BR391" i="30"/>
  <c r="BS393" i="30"/>
  <c r="BH396" i="30"/>
  <c r="BI398" i="30"/>
  <c r="BI400" i="30"/>
  <c r="BJ402" i="30"/>
  <c r="BK404" i="30"/>
  <c r="BL406" i="30"/>
  <c r="BL408" i="30"/>
  <c r="BM410" i="30"/>
  <c r="BN412" i="30"/>
  <c r="BO414" i="30"/>
  <c r="BP416" i="30"/>
  <c r="BP418" i="30"/>
  <c r="BQ420" i="30"/>
  <c r="CG353" i="30"/>
  <c r="CC387" i="30"/>
  <c r="CG389" i="30"/>
  <c r="BY392" i="30"/>
  <c r="CD394" i="30"/>
  <c r="BV397" i="30"/>
  <c r="CA399" i="30"/>
  <c r="CF401" i="30"/>
  <c r="BW404" i="30"/>
  <c r="CA406" i="30"/>
  <c r="BY409" i="30"/>
  <c r="BV413" i="30"/>
  <c r="CC416" i="30"/>
  <c r="CU397" i="30"/>
  <c r="CU414" i="30"/>
  <c r="AV349" i="30"/>
  <c r="BB351" i="30"/>
  <c r="AU354" i="30"/>
  <c r="BA356" i="30"/>
  <c r="BE358" i="30"/>
  <c r="AY361" i="30"/>
  <c r="BD363" i="30"/>
  <c r="AX366" i="30"/>
  <c r="BC368" i="30"/>
  <c r="AW371" i="30"/>
  <c r="AY373" i="30"/>
  <c r="BE375" i="30"/>
  <c r="AY378" i="30"/>
  <c r="BD380" i="30"/>
  <c r="AX383" i="30"/>
  <c r="BS349" i="30"/>
  <c r="BN352" i="30"/>
  <c r="BR354" i="30"/>
  <c r="BM357" i="30"/>
  <c r="BH360" i="30"/>
  <c r="BO362" i="30"/>
  <c r="BS364" i="30"/>
  <c r="BN367" i="30"/>
  <c r="BS369" i="30"/>
  <c r="BN372" i="30"/>
  <c r="BM375" i="30"/>
  <c r="BJ378" i="30"/>
  <c r="BS380" i="30"/>
  <c r="BQ383" i="30"/>
  <c r="BR387" i="30"/>
  <c r="BR389" i="30"/>
  <c r="BS391" i="30"/>
  <c r="BH394" i="30"/>
  <c r="BI396" i="30"/>
  <c r="BJ398" i="30"/>
  <c r="BJ400" i="30"/>
  <c r="BK402" i="30"/>
  <c r="BL404" i="30"/>
  <c r="BM406" i="30"/>
  <c r="BM408" i="30"/>
  <c r="BN410" i="30"/>
  <c r="BO412" i="30"/>
  <c r="BP414" i="30"/>
  <c r="BQ416" i="30"/>
  <c r="BQ418" i="30"/>
  <c r="BR420" i="30"/>
  <c r="CB358" i="30"/>
  <c r="CD387" i="30"/>
  <c r="BV390" i="30"/>
  <c r="BZ392" i="30"/>
  <c r="CE394" i="30"/>
  <c r="BW397" i="30"/>
  <c r="CB399" i="30"/>
  <c r="CG401" i="30"/>
  <c r="BX404" i="30"/>
  <c r="CB406" i="30"/>
  <c r="BZ409" i="30"/>
  <c r="BW413" i="30"/>
  <c r="BY417" i="30"/>
  <c r="CL398" i="30"/>
  <c r="CJ415" i="30"/>
  <c r="AW349" i="30"/>
  <c r="BC351" i="30"/>
  <c r="AV354" i="30"/>
  <c r="BB356" i="30"/>
  <c r="AT359" i="30"/>
  <c r="AZ361" i="30"/>
  <c r="AT364" i="30"/>
  <c r="AY366" i="30"/>
  <c r="BD368" i="30"/>
  <c r="AX371" i="30"/>
  <c r="BB373" i="30"/>
  <c r="AT376" i="30"/>
  <c r="AZ378" i="30"/>
  <c r="AT381" i="30"/>
  <c r="AY383" i="30"/>
  <c r="BH350" i="30"/>
  <c r="BO352" i="30"/>
  <c r="BI355" i="30"/>
  <c r="BN357" i="30"/>
  <c r="BI360" i="30"/>
  <c r="BP362" i="30"/>
  <c r="BH365" i="30"/>
  <c r="BO367" i="30"/>
  <c r="BH370" i="30"/>
  <c r="BP372" i="30"/>
  <c r="BN375" i="30"/>
  <c r="BK378" i="30"/>
  <c r="BH381" i="30"/>
  <c r="BR383" i="30"/>
  <c r="BS387" i="30"/>
  <c r="BH390" i="30"/>
  <c r="BH392" i="30"/>
  <c r="BI394" i="30"/>
  <c r="BJ396" i="30"/>
  <c r="BK398" i="30"/>
  <c r="BK400" i="30"/>
  <c r="BL402" i="30"/>
  <c r="BM404" i="30"/>
  <c r="BN406" i="30"/>
  <c r="BN408" i="30"/>
  <c r="BO410" i="30"/>
  <c r="BP412" i="30"/>
  <c r="BQ414" i="30"/>
  <c r="BR416" i="30"/>
  <c r="BR418" i="30"/>
  <c r="BS420" i="30"/>
  <c r="CC358" i="30"/>
  <c r="CE387" i="30"/>
  <c r="BW390" i="30"/>
  <c r="CB392" i="30"/>
  <c r="CF394" i="30"/>
  <c r="BX397" i="30"/>
  <c r="CC399" i="30"/>
  <c r="BV402" i="30"/>
  <c r="BY404" i="30"/>
  <c r="CC406" i="30"/>
  <c r="CA409" i="30"/>
  <c r="BX413" i="30"/>
  <c r="BZ417" i="30"/>
  <c r="CQ386" i="30"/>
  <c r="CM398" i="30"/>
  <c r="CO415" i="30"/>
  <c r="AX349" i="30"/>
  <c r="BD351" i="30"/>
  <c r="AW354" i="30"/>
  <c r="BC356" i="30"/>
  <c r="AU359" i="30"/>
  <c r="BA361" i="30"/>
  <c r="AU364" i="30"/>
  <c r="AZ366" i="30"/>
  <c r="BE368" i="30"/>
  <c r="AY371" i="30"/>
  <c r="BC373" i="30"/>
  <c r="AU376" i="30"/>
  <c r="BA378" i="30"/>
  <c r="AU381" i="30"/>
  <c r="AZ383" i="30"/>
  <c r="BJ350" i="30"/>
  <c r="BP352" i="30"/>
  <c r="BK355" i="30"/>
  <c r="BO357" i="30"/>
  <c r="BJ360" i="30"/>
  <c r="BQ362" i="30"/>
  <c r="BK365" i="30"/>
  <c r="BP367" i="30"/>
  <c r="BK370" i="30"/>
  <c r="BQ372" i="30"/>
  <c r="BO375" i="30"/>
  <c r="BL378" i="30"/>
  <c r="BJ381" i="30"/>
  <c r="BS383" i="30"/>
  <c r="BL398" i="30"/>
  <c r="BL400" i="30"/>
  <c r="BM402" i="30"/>
  <c r="BN404" i="30"/>
  <c r="BO406" i="30"/>
  <c r="BP408" i="30"/>
  <c r="BP410" i="30"/>
  <c r="BQ412" i="30"/>
  <c r="BR414" i="30"/>
  <c r="BS416" i="30"/>
  <c r="BS418" i="30"/>
  <c r="BH421" i="30"/>
  <c r="CF362" i="30"/>
  <c r="CF387" i="30"/>
  <c r="BX390" i="30"/>
  <c r="CC392" i="30"/>
  <c r="CG394" i="30"/>
  <c r="BZ397" i="30"/>
  <c r="CD399" i="30"/>
  <c r="BW402" i="30"/>
  <c r="BZ404" i="30"/>
  <c r="CD406" i="30"/>
  <c r="CE409" i="30"/>
  <c r="CA413" i="30"/>
  <c r="CA417" i="30"/>
  <c r="CR386" i="30"/>
  <c r="CO398" i="30"/>
  <c r="CO418" i="30"/>
  <c r="AQ379" i="30"/>
  <c r="AJ382" i="30"/>
  <c r="AY349" i="30"/>
  <c r="BE351" i="30"/>
  <c r="AX354" i="30"/>
  <c r="BD356" i="30"/>
  <c r="AX359" i="30"/>
  <c r="BB361" i="30"/>
  <c r="AV364" i="30"/>
  <c r="BB366" i="30"/>
  <c r="AT369" i="30"/>
  <c r="AZ371" i="30"/>
  <c r="BD373" i="30"/>
  <c r="AX376" i="30"/>
  <c r="BB378" i="30"/>
  <c r="AV381" i="30"/>
  <c r="BA383" i="30"/>
  <c r="BK350" i="30"/>
  <c r="BQ352" i="30"/>
  <c r="BL355" i="30"/>
  <c r="BP357" i="30"/>
  <c r="BK360" i="30"/>
  <c r="BR362" i="30"/>
  <c r="BM365" i="30"/>
  <c r="BQ367" i="30"/>
  <c r="BL370" i="30"/>
  <c r="BR372" i="30"/>
  <c r="BP375" i="30"/>
  <c r="BM378" i="30"/>
  <c r="BK381" i="30"/>
  <c r="BH386" i="30"/>
  <c r="BI388" i="30"/>
  <c r="BJ390" i="30"/>
  <c r="BJ392" i="30"/>
  <c r="BK394" i="30"/>
  <c r="BL396" i="30"/>
  <c r="BM398" i="30"/>
  <c r="BM400" i="30"/>
  <c r="BN402" i="30"/>
  <c r="BO404" i="30"/>
  <c r="BP406" i="30"/>
  <c r="BQ408" i="30"/>
  <c r="BQ410" i="30"/>
  <c r="BR412" i="30"/>
  <c r="BS414" i="30"/>
  <c r="BH417" i="30"/>
  <c r="BH419" i="30"/>
  <c r="BI421" i="30"/>
  <c r="CG362" i="30"/>
  <c r="BW388" i="30"/>
  <c r="BZ390" i="30"/>
  <c r="CD392" i="30"/>
  <c r="BV395" i="30"/>
  <c r="CA397" i="30"/>
  <c r="CE399" i="30"/>
  <c r="BX402" i="30"/>
  <c r="CC404" i="30"/>
  <c r="CF406" i="30"/>
  <c r="BW410" i="30"/>
  <c r="CD413" i="30"/>
  <c r="CB417" i="30"/>
  <c r="CS386" i="30"/>
  <c r="CQ398" i="30"/>
  <c r="CQ418" i="30"/>
  <c r="BB349" i="30"/>
  <c r="AT352" i="30"/>
  <c r="AZ354" i="30"/>
  <c r="BE356" i="30"/>
  <c r="AY359" i="30"/>
  <c r="BC361" i="30"/>
  <c r="AW364" i="30"/>
  <c r="BC366" i="30"/>
  <c r="AU369" i="30"/>
  <c r="BA371" i="30"/>
  <c r="AU374" i="30"/>
  <c r="AY376" i="30"/>
  <c r="BC378" i="30"/>
  <c r="AW381" i="30"/>
  <c r="BB383" i="30"/>
  <c r="BL350" i="30"/>
  <c r="BR352" i="30"/>
  <c r="BM355" i="30"/>
  <c r="BQ357" i="30"/>
  <c r="BL360" i="30"/>
  <c r="BS362" i="30"/>
  <c r="BN365" i="30"/>
  <c r="BH368" i="30"/>
  <c r="BM370" i="30"/>
  <c r="BS372" i="30"/>
  <c r="BQ375" i="30"/>
  <c r="BO378" i="30"/>
  <c r="BL381" i="30"/>
  <c r="BI386" i="30"/>
  <c r="BJ388" i="30"/>
  <c r="BK390" i="30"/>
  <c r="BK392" i="30"/>
  <c r="BL394" i="30"/>
  <c r="BM396" i="30"/>
  <c r="BN398" i="30"/>
  <c r="BN400" i="30"/>
  <c r="BO402" i="30"/>
  <c r="BP404" i="30"/>
  <c r="BQ406" i="30"/>
  <c r="BR408" i="30"/>
  <c r="BR410" i="30"/>
  <c r="BS412" i="30"/>
  <c r="BH415" i="30"/>
  <c r="BI417" i="30"/>
  <c r="BI419" i="30"/>
  <c r="BJ421" i="30"/>
  <c r="BW376" i="30"/>
  <c r="BX388" i="30"/>
  <c r="CA390" i="30"/>
  <c r="CE392" i="30"/>
  <c r="BW395" i="30"/>
  <c r="CB397" i="30"/>
  <c r="CF399" i="30"/>
  <c r="BY402" i="30"/>
  <c r="CD404" i="30"/>
  <c r="CG406" i="30"/>
  <c r="BY410" i="30"/>
  <c r="CE413" i="30"/>
  <c r="CD417" i="30"/>
  <c r="CT386" i="30"/>
  <c r="CO401" i="30"/>
  <c r="CR418" i="30"/>
  <c r="BV363" i="30"/>
  <c r="BW363" i="30"/>
  <c r="CF366" i="30"/>
  <c r="CG366" i="30"/>
  <c r="BV367" i="30"/>
  <c r="CC367" i="30"/>
  <c r="BV371" i="30"/>
  <c r="BY371" i="30"/>
  <c r="CB371" i="30"/>
  <c r="CG371" i="30"/>
  <c r="CO360" i="30"/>
  <c r="BZ376" i="30"/>
  <c r="CK362" i="30"/>
  <c r="BY380" i="30"/>
  <c r="CM362" i="30"/>
  <c r="CA380" i="30"/>
  <c r="CO362" i="30"/>
  <c r="BX354" i="30"/>
  <c r="CB380" i="30"/>
  <c r="BY354" i="30"/>
  <c r="CE380" i="30"/>
  <c r="BZ358" i="30"/>
  <c r="CA358" i="30"/>
  <c r="W317" i="30"/>
  <c r="X317" i="30"/>
  <c r="T318" i="30"/>
  <c r="CK408" i="30"/>
  <c r="CT411" i="30"/>
  <c r="CK415" i="30"/>
  <c r="CS418" i="30"/>
  <c r="AC334" i="30"/>
  <c r="BZ421" i="30"/>
  <c r="CJ387" i="30"/>
  <c r="CT389" i="30"/>
  <c r="CR392" i="30"/>
  <c r="CO395" i="30"/>
  <c r="CR398" i="30"/>
  <c r="CT401" i="30"/>
  <c r="CK405" i="30"/>
  <c r="CR408" i="30"/>
  <c r="CJ412" i="30"/>
  <c r="CP415" i="30"/>
  <c r="CU418" i="30"/>
  <c r="CS392" i="30"/>
  <c r="CP395" i="30"/>
  <c r="CS398" i="30"/>
  <c r="CU401" i="30"/>
  <c r="CL405" i="30"/>
  <c r="CS408" i="30"/>
  <c r="CK412" i="30"/>
  <c r="CR415" i="30"/>
  <c r="CJ419" i="30"/>
  <c r="R338" i="30"/>
  <c r="BI317" i="30"/>
  <c r="CC409" i="30"/>
  <c r="CG411" i="30"/>
  <c r="BY414" i="30"/>
  <c r="CD416" i="30"/>
  <c r="BW419" i="30"/>
  <c r="CB421" i="30"/>
  <c r="CL387" i="30"/>
  <c r="CJ390" i="30"/>
  <c r="CT392" i="30"/>
  <c r="CQ395" i="30"/>
  <c r="CT398" i="30"/>
  <c r="CJ402" i="30"/>
  <c r="CN405" i="30"/>
  <c r="CT408" i="30"/>
  <c r="CN412" i="30"/>
  <c r="CS415" i="30"/>
  <c r="CL419" i="30"/>
  <c r="CU459" i="30"/>
  <c r="W335" i="30"/>
  <c r="S338" i="30"/>
  <c r="BK323" i="30"/>
  <c r="CA407" i="30"/>
  <c r="CD409" i="30"/>
  <c r="BV412" i="30"/>
  <c r="BZ414" i="30"/>
  <c r="CE416" i="30"/>
  <c r="BX419" i="30"/>
  <c r="CC421" i="30"/>
  <c r="CM387" i="30"/>
  <c r="CK390" i="30"/>
  <c r="CU392" i="30"/>
  <c r="CS395" i="30"/>
  <c r="CU398" i="30"/>
  <c r="CK402" i="30"/>
  <c r="CR405" i="30"/>
  <c r="CU408" i="30"/>
  <c r="CP412" i="30"/>
  <c r="CT415" i="30"/>
  <c r="CN419" i="30"/>
  <c r="BH324" i="30"/>
  <c r="BW412" i="30"/>
  <c r="CB414" i="30"/>
  <c r="CF416" i="30"/>
  <c r="BY419" i="30"/>
  <c r="CD421" i="30"/>
  <c r="CN387" i="30"/>
  <c r="CL390" i="30"/>
  <c r="CK393" i="30"/>
  <c r="CU395" i="30"/>
  <c r="CJ399" i="30"/>
  <c r="CL402" i="30"/>
  <c r="CS405" i="30"/>
  <c r="CL409" i="30"/>
  <c r="CQ412" i="30"/>
  <c r="CU415" i="30"/>
  <c r="CO419" i="30"/>
  <c r="AC325" i="30"/>
  <c r="W343" i="30"/>
  <c r="AU324" i="30"/>
  <c r="BI325" i="30"/>
  <c r="CF409" i="30"/>
  <c r="BX412" i="30"/>
  <c r="CC414" i="30"/>
  <c r="CG416" i="30"/>
  <c r="BZ419" i="30"/>
  <c r="CE421" i="30"/>
  <c r="CO387" i="30"/>
  <c r="CM390" i="30"/>
  <c r="CL393" i="30"/>
  <c r="CJ396" i="30"/>
  <c r="CK399" i="30"/>
  <c r="CO402" i="30"/>
  <c r="CT405" i="30"/>
  <c r="CM409" i="30"/>
  <c r="CR412" i="30"/>
  <c r="CK416" i="30"/>
  <c r="CT419" i="30"/>
  <c r="X335" i="30"/>
  <c r="AN324" i="30"/>
  <c r="BO330" i="30"/>
  <c r="BZ412" i="30"/>
  <c r="CD414" i="30"/>
  <c r="BV417" i="30"/>
  <c r="CA419" i="30"/>
  <c r="CF421" i="30"/>
  <c r="CP387" i="30"/>
  <c r="CO390" i="30"/>
  <c r="CM393" i="30"/>
  <c r="CK396" i="30"/>
  <c r="CL399" i="30"/>
  <c r="CP402" i="30"/>
  <c r="CJ406" i="30"/>
  <c r="CO409" i="30"/>
  <c r="CS412" i="30"/>
  <c r="CM416" i="30"/>
  <c r="CL420" i="30"/>
  <c r="AO328" i="30"/>
  <c r="CE407" i="30"/>
  <c r="BX410" i="30"/>
  <c r="CA412" i="30"/>
  <c r="CE414" i="30"/>
  <c r="BW417" i="30"/>
  <c r="CB419" i="30"/>
  <c r="CG421" i="30"/>
  <c r="CS387" i="30"/>
  <c r="CP390" i="30"/>
  <c r="CN393" i="30"/>
  <c r="CL396" i="30"/>
  <c r="CO399" i="30"/>
  <c r="CJ403" i="30"/>
  <c r="CK406" i="30"/>
  <c r="CQ409" i="30"/>
  <c r="CJ413" i="30"/>
  <c r="CN416" i="30"/>
  <c r="CM420" i="30"/>
  <c r="AM329" i="30"/>
  <c r="CU387" i="30"/>
  <c r="CR390" i="30"/>
  <c r="CO393" i="30"/>
  <c r="CM396" i="30"/>
  <c r="CP399" i="30"/>
  <c r="CK403" i="30"/>
  <c r="CL406" i="30"/>
  <c r="CR409" i="30"/>
  <c r="CL413" i="30"/>
  <c r="CQ416" i="30"/>
  <c r="CO420" i="30"/>
  <c r="AN329" i="30"/>
  <c r="CJ388" i="30"/>
  <c r="CS390" i="30"/>
  <c r="CQ393" i="30"/>
  <c r="CN396" i="30"/>
  <c r="CR399" i="30"/>
  <c r="CL403" i="30"/>
  <c r="CM406" i="30"/>
  <c r="CT409" i="30"/>
  <c r="CM413" i="30"/>
  <c r="CS416" i="30"/>
  <c r="CP420" i="30"/>
  <c r="AI334" i="30"/>
  <c r="CE419" i="30"/>
  <c r="CK388" i="30"/>
  <c r="CU390" i="30"/>
  <c r="CR393" i="30"/>
  <c r="CP396" i="30"/>
  <c r="CS399" i="30"/>
  <c r="CM403" i="30"/>
  <c r="CQ406" i="30"/>
  <c r="CJ410" i="30"/>
  <c r="CP413" i="30"/>
  <c r="CT416" i="30"/>
  <c r="CQ420" i="30"/>
  <c r="AP344" i="30"/>
  <c r="CF419" i="30"/>
  <c r="CL388" i="30"/>
  <c r="CJ391" i="30"/>
  <c r="CS393" i="30"/>
  <c r="CQ396" i="30"/>
  <c r="CL400" i="30"/>
  <c r="CN403" i="30"/>
  <c r="CU406" i="30"/>
  <c r="CK410" i="30"/>
  <c r="CQ413" i="30"/>
  <c r="CM417" i="30"/>
  <c r="CR420" i="30"/>
  <c r="BY415" i="30"/>
  <c r="CC417" i="30"/>
  <c r="BV420" i="30"/>
  <c r="CM388" i="30"/>
  <c r="CK391" i="30"/>
  <c r="CU393" i="30"/>
  <c r="CR396" i="30"/>
  <c r="CM400" i="30"/>
  <c r="CO403" i="30"/>
  <c r="CJ407" i="30"/>
  <c r="CP410" i="30"/>
  <c r="CR413" i="30"/>
  <c r="CO417" i="30"/>
  <c r="CS420" i="30"/>
  <c r="BW420" i="30"/>
  <c r="CN388" i="30"/>
  <c r="CL391" i="30"/>
  <c r="CJ394" i="30"/>
  <c r="CS396" i="30"/>
  <c r="CN400" i="30"/>
  <c r="CS403" i="30"/>
  <c r="CM407" i="30"/>
  <c r="CQ410" i="30"/>
  <c r="CS413" i="30"/>
  <c r="CP417" i="30"/>
  <c r="CT420" i="30"/>
  <c r="BX420" i="30"/>
  <c r="CJ386" i="30"/>
  <c r="CR388" i="30"/>
  <c r="CM391" i="30"/>
  <c r="CK394" i="30"/>
  <c r="CJ397" i="30"/>
  <c r="CO400" i="30"/>
  <c r="CU403" i="30"/>
  <c r="CN407" i="30"/>
  <c r="CR410" i="30"/>
  <c r="CU413" i="30"/>
  <c r="CQ417" i="30"/>
  <c r="CM421" i="30"/>
  <c r="CB408" i="30"/>
  <c r="CG410" i="30"/>
  <c r="BZ413" i="30"/>
  <c r="CD415" i="30"/>
  <c r="CG417" i="30"/>
  <c r="BY420" i="30"/>
  <c r="CK386" i="30"/>
  <c r="CS388" i="30"/>
  <c r="CN391" i="30"/>
  <c r="CL394" i="30"/>
  <c r="CN397" i="30"/>
  <c r="CQ400" i="30"/>
  <c r="CM404" i="30"/>
  <c r="CO407" i="30"/>
  <c r="CS410" i="30"/>
  <c r="CP414" i="30"/>
  <c r="CS417" i="30"/>
  <c r="CO421" i="30"/>
  <c r="CL386" i="30"/>
  <c r="CK389" i="30"/>
  <c r="CP391" i="30"/>
  <c r="CN394" i="30"/>
  <c r="CO397" i="30"/>
  <c r="CT400" i="30"/>
  <c r="CN404" i="30"/>
  <c r="CP407" i="30"/>
  <c r="CT410" i="30"/>
  <c r="CQ414" i="30"/>
  <c r="CT417" i="30"/>
  <c r="CP421" i="30"/>
  <c r="T315" i="30"/>
  <c r="CD408" i="30"/>
  <c r="BW411" i="30"/>
  <c r="CB413" i="30"/>
  <c r="CF415" i="30"/>
  <c r="BW418" i="30"/>
  <c r="CA420" i="30"/>
  <c r="CN386" i="30"/>
  <c r="CL389" i="30"/>
  <c r="CS391" i="30"/>
  <c r="CO394" i="30"/>
  <c r="CQ397" i="30"/>
  <c r="CU400" i="30"/>
  <c r="CO404" i="30"/>
  <c r="CR407" i="30"/>
  <c r="CU410" i="30"/>
  <c r="CR414" i="30"/>
  <c r="CU417" i="30"/>
  <c r="CR421" i="30"/>
  <c r="X315" i="30"/>
  <c r="CE408" i="30"/>
  <c r="BX411" i="30"/>
  <c r="CC413" i="30"/>
  <c r="BV416" i="30"/>
  <c r="BZ418" i="30"/>
  <c r="CC420" i="30"/>
  <c r="CO386" i="30"/>
  <c r="CM389" i="30"/>
  <c r="CT391" i="30"/>
  <c r="CQ394" i="30"/>
  <c r="CS397" i="30"/>
  <c r="CM401" i="30"/>
  <c r="CP404" i="30"/>
  <c r="CS407" i="30"/>
  <c r="CK411" i="30"/>
  <c r="CS414" i="30"/>
  <c r="CJ418" i="30"/>
  <c r="CS421" i="30"/>
  <c r="Y338" i="30"/>
  <c r="AM334" i="30"/>
  <c r="BK331" i="30"/>
  <c r="AC318" i="30"/>
  <c r="R319" i="30"/>
  <c r="X339" i="30"/>
  <c r="AN334" i="30"/>
  <c r="BB311" i="30"/>
  <c r="BS331" i="30"/>
  <c r="AN338" i="30"/>
  <c r="AW312" i="30"/>
  <c r="BO339" i="30"/>
  <c r="AA321" i="30"/>
  <c r="Y341" i="30"/>
  <c r="AO339" i="30"/>
  <c r="BB312" i="30"/>
  <c r="BM345" i="30"/>
  <c r="AP339" i="30"/>
  <c r="AZ317" i="30"/>
  <c r="BR345" i="30"/>
  <c r="Z321" i="30"/>
  <c r="Z341" i="30"/>
  <c r="AC322" i="30"/>
  <c r="AB342" i="30"/>
  <c r="AJ344" i="30"/>
  <c r="BD317" i="30"/>
  <c r="Y339" i="30"/>
  <c r="Z322" i="30"/>
  <c r="R323" i="30"/>
  <c r="V343" i="30"/>
  <c r="AM344" i="30"/>
  <c r="BC318" i="30"/>
  <c r="AU325" i="30"/>
  <c r="AV325" i="30"/>
  <c r="CR220" i="30"/>
  <c r="AC345" i="30"/>
  <c r="AC326" i="30"/>
  <c r="AY330" i="30"/>
  <c r="CL223" i="30"/>
  <c r="X327" i="30"/>
  <c r="AN313" i="30"/>
  <c r="AT331" i="30"/>
  <c r="CK227" i="30"/>
  <c r="AA329" i="30"/>
  <c r="AQ313" i="30"/>
  <c r="AY331" i="30"/>
  <c r="V310" i="30"/>
  <c r="AB329" i="30"/>
  <c r="AI315" i="30"/>
  <c r="BB336" i="30"/>
  <c r="AB310" i="30"/>
  <c r="AA330" i="30"/>
  <c r="AP318" i="30"/>
  <c r="AU337" i="30"/>
  <c r="AN319" i="30"/>
  <c r="AV337" i="30"/>
  <c r="BL219" i="30"/>
  <c r="R326" i="30"/>
  <c r="Z326" i="30"/>
  <c r="AC310" i="30"/>
  <c r="AO319" i="30"/>
  <c r="AT342" i="30"/>
  <c r="BM220" i="30"/>
  <c r="BV210" i="30"/>
  <c r="W331" i="30"/>
  <c r="Y313" i="30"/>
  <c r="X331" i="30"/>
  <c r="Z313" i="30"/>
  <c r="AB333" i="30"/>
  <c r="AI324" i="30"/>
  <c r="AT344" i="30"/>
  <c r="BR231" i="30"/>
  <c r="AB345" i="30"/>
  <c r="S314" i="30"/>
  <c r="AC333" i="30"/>
  <c r="AM324" i="30"/>
  <c r="AX344" i="30"/>
  <c r="BL316" i="30"/>
  <c r="BX350" i="30"/>
  <c r="BZ354" i="30"/>
  <c r="CD358" i="30"/>
  <c r="BX363" i="30"/>
  <c r="CD367" i="30"/>
  <c r="BV372" i="30"/>
  <c r="CA376" i="30"/>
  <c r="CF380" i="30"/>
  <c r="CS364" i="30"/>
  <c r="BY350" i="30"/>
  <c r="CA354" i="30"/>
  <c r="CE358" i="30"/>
  <c r="BY363" i="30"/>
  <c r="BW368" i="30"/>
  <c r="BW372" i="30"/>
  <c r="CB376" i="30"/>
  <c r="BX381" i="30"/>
  <c r="CT364" i="30"/>
  <c r="CA350" i="30"/>
  <c r="CD354" i="30"/>
  <c r="BX359" i="30"/>
  <c r="CB363" i="30"/>
  <c r="BX368" i="30"/>
  <c r="CC372" i="30"/>
  <c r="CE376" i="30"/>
  <c r="CA381" i="30"/>
  <c r="CO365" i="30"/>
  <c r="CB350" i="30"/>
  <c r="CE354" i="30"/>
  <c r="BY359" i="30"/>
  <c r="CE363" i="30"/>
  <c r="BY368" i="30"/>
  <c r="CD372" i="30"/>
  <c r="CF376" i="30"/>
  <c r="CC381" i="30"/>
  <c r="CN348" i="30"/>
  <c r="CJ366" i="30"/>
  <c r="CG350" i="30"/>
  <c r="BX355" i="30"/>
  <c r="BZ359" i="30"/>
  <c r="CF363" i="30"/>
  <c r="CB368" i="30"/>
  <c r="CG372" i="30"/>
  <c r="BW377" i="30"/>
  <c r="CF381" i="30"/>
  <c r="CO348" i="30"/>
  <c r="CK368" i="30"/>
  <c r="BV351" i="30"/>
  <c r="BY355" i="30"/>
  <c r="CB359" i="30"/>
  <c r="CG363" i="30"/>
  <c r="CC368" i="30"/>
  <c r="BW373" i="30"/>
  <c r="BX377" i="30"/>
  <c r="BV382" i="30"/>
  <c r="CJ350" i="30"/>
  <c r="CR368" i="30"/>
  <c r="BW351" i="30"/>
  <c r="BZ355" i="30"/>
  <c r="CE359" i="30"/>
  <c r="BV364" i="30"/>
  <c r="CD368" i="30"/>
  <c r="BX373" i="30"/>
  <c r="CG377" i="30"/>
  <c r="BW382" i="30"/>
  <c r="CK351" i="30"/>
  <c r="CU368" i="30"/>
  <c r="BY351" i="30"/>
  <c r="CC355" i="30"/>
  <c r="CF359" i="30"/>
  <c r="BW364" i="30"/>
  <c r="CE368" i="30"/>
  <c r="CC373" i="30"/>
  <c r="BV378" i="30"/>
  <c r="BX382" i="30"/>
  <c r="CR351" i="30"/>
  <c r="CU369" i="30"/>
  <c r="BZ351" i="30"/>
  <c r="CF355" i="30"/>
  <c r="BV360" i="30"/>
  <c r="BX364" i="30"/>
  <c r="BX369" i="30"/>
  <c r="CE373" i="30"/>
  <c r="BW378" i="30"/>
  <c r="CC382" i="30"/>
  <c r="CN352" i="30"/>
  <c r="CO370" i="30"/>
  <c r="BQ315" i="30"/>
  <c r="BY352" i="30"/>
  <c r="CA356" i="30"/>
  <c r="BZ360" i="30"/>
  <c r="BV365" i="30"/>
  <c r="BY369" i="30"/>
  <c r="CF373" i="30"/>
  <c r="BX378" i="30"/>
  <c r="BV383" i="30"/>
  <c r="CS352" i="30"/>
  <c r="CN371" i="30"/>
  <c r="CA352" i="30"/>
  <c r="CB356" i="30"/>
  <c r="CB360" i="30"/>
  <c r="BW365" i="30"/>
  <c r="BZ369" i="30"/>
  <c r="CG373" i="30"/>
  <c r="BY378" i="30"/>
  <c r="BY383" i="30"/>
  <c r="CK353" i="30"/>
  <c r="CQ373" i="30"/>
  <c r="BY348" i="30"/>
  <c r="CB352" i="30"/>
  <c r="CC356" i="30"/>
  <c r="CF360" i="30"/>
  <c r="BZ365" i="30"/>
  <c r="CC369" i="30"/>
  <c r="BV374" i="30"/>
  <c r="CD378" i="30"/>
  <c r="BZ383" i="30"/>
  <c r="CL353" i="30"/>
  <c r="CK377" i="30"/>
  <c r="BZ348" i="30"/>
  <c r="CC352" i="30"/>
  <c r="CD356" i="30"/>
  <c r="BX361" i="30"/>
  <c r="CA365" i="30"/>
  <c r="CE369" i="30"/>
  <c r="BW374" i="30"/>
  <c r="CF378" i="30"/>
  <c r="CA383" i="30"/>
  <c r="CN355" i="30"/>
  <c r="CO377" i="30"/>
  <c r="CB348" i="30"/>
  <c r="CD352" i="30"/>
  <c r="CF356" i="30"/>
  <c r="CA361" i="30"/>
  <c r="CB365" i="30"/>
  <c r="CF369" i="30"/>
  <c r="BX374" i="30"/>
  <c r="CG378" i="30"/>
  <c r="CE383" i="30"/>
  <c r="CP355" i="30"/>
  <c r="CT377" i="30"/>
  <c r="CE348" i="30"/>
  <c r="CG352" i="30"/>
  <c r="CG356" i="30"/>
  <c r="CB361" i="30"/>
  <c r="CE365" i="30"/>
  <c r="CG369" i="30"/>
  <c r="CA374" i="30"/>
  <c r="BV379" i="30"/>
  <c r="CF383" i="30"/>
  <c r="CM356" i="30"/>
  <c r="CP383" i="30"/>
  <c r="CF348" i="30"/>
  <c r="BW353" i="30"/>
  <c r="BW357" i="30"/>
  <c r="CC361" i="30"/>
  <c r="CG365" i="30"/>
  <c r="BX370" i="30"/>
  <c r="CB374" i="30"/>
  <c r="BX379" i="30"/>
  <c r="CG383" i="30"/>
  <c r="CP356" i="30"/>
  <c r="CG348" i="30"/>
  <c r="BY353" i="30"/>
  <c r="BX357" i="30"/>
  <c r="BV362" i="30"/>
  <c r="BX366" i="30"/>
  <c r="BY370" i="30"/>
  <c r="CC374" i="30"/>
  <c r="CA379" i="30"/>
  <c r="CT356" i="30"/>
  <c r="BV349" i="30"/>
  <c r="CB353" i="30"/>
  <c r="CG357" i="30"/>
  <c r="BX362" i="30"/>
  <c r="BZ366" i="30"/>
  <c r="CD370" i="30"/>
  <c r="CD374" i="30"/>
  <c r="CG379" i="30"/>
  <c r="CN357" i="30"/>
  <c r="BO337" i="30"/>
  <c r="CA349" i="30"/>
  <c r="CD353" i="30"/>
  <c r="BV358" i="30"/>
  <c r="BY362" i="30"/>
  <c r="CA366" i="30"/>
  <c r="CF370" i="30"/>
  <c r="CG374" i="30"/>
  <c r="BV380" i="30"/>
  <c r="CS358" i="30"/>
  <c r="BN339" i="30"/>
  <c r="CD349" i="30"/>
  <c r="CE353" i="30"/>
  <c r="BY358" i="30"/>
  <c r="BZ362" i="30"/>
  <c r="CE366" i="30"/>
  <c r="CG370" i="30"/>
  <c r="CF375" i="30"/>
  <c r="BW380" i="30"/>
  <c r="CU359" i="30"/>
  <c r="BQ281" i="30"/>
  <c r="BQ307" i="30"/>
  <c r="CR321" i="30"/>
  <c r="CM322" i="30"/>
  <c r="CA286" i="30"/>
  <c r="AT275" i="30"/>
  <c r="BW321" i="30"/>
  <c r="AW295" i="30"/>
  <c r="BX322" i="30"/>
  <c r="CE340" i="30"/>
  <c r="CF340" i="30"/>
  <c r="V284" i="30"/>
  <c r="AA296" i="30"/>
  <c r="AM277" i="30"/>
  <c r="T299" i="30"/>
  <c r="AQ291" i="30"/>
  <c r="AI307" i="30"/>
  <c r="W286" i="30"/>
  <c r="CU250" i="30"/>
  <c r="R256" i="30"/>
  <c r="AT267" i="30"/>
  <c r="X262" i="30"/>
  <c r="AC265" i="30"/>
  <c r="AH236" i="30"/>
  <c r="AL260" i="30"/>
  <c r="W239" i="30"/>
  <c r="R300" i="30"/>
  <c r="BE298" i="30"/>
  <c r="AC275" i="30"/>
  <c r="AB287" i="30"/>
  <c r="S300" i="30"/>
  <c r="X311" i="30"/>
  <c r="Y315" i="30"/>
  <c r="AB319" i="30"/>
  <c r="V323" i="30"/>
  <c r="Z327" i="30"/>
  <c r="Y331" i="30"/>
  <c r="Z335" i="30"/>
  <c r="Z339" i="30"/>
  <c r="T344" i="30"/>
  <c r="AN278" i="30"/>
  <c r="AP292" i="30"/>
  <c r="AG310" i="30"/>
  <c r="AJ315" i="30"/>
  <c r="AG320" i="30"/>
  <c r="AO324" i="30"/>
  <c r="AF330" i="30"/>
  <c r="AQ334" i="30"/>
  <c r="AQ339" i="30"/>
  <c r="AL345" i="30"/>
  <c r="BD275" i="30"/>
  <c r="BC299" i="30"/>
  <c r="BC312" i="30"/>
  <c r="BD318" i="30"/>
  <c r="AX325" i="30"/>
  <c r="BB331" i="30"/>
  <c r="AW337" i="30"/>
  <c r="AY344" i="30"/>
  <c r="BQ282" i="30"/>
  <c r="BK310" i="30"/>
  <c r="BJ317" i="30"/>
  <c r="BJ325" i="30"/>
  <c r="BH332" i="30"/>
  <c r="BP339" i="30"/>
  <c r="BX296" i="30"/>
  <c r="BY322" i="30"/>
  <c r="CG340" i="30"/>
  <c r="CU282" i="30"/>
  <c r="CO324" i="30"/>
  <c r="Z276" i="30"/>
  <c r="V288" i="30"/>
  <c r="S302" i="30"/>
  <c r="Z311" i="30"/>
  <c r="Z315" i="30"/>
  <c r="AC319" i="30"/>
  <c r="W323" i="30"/>
  <c r="AA327" i="30"/>
  <c r="Z331" i="30"/>
  <c r="AA335" i="30"/>
  <c r="R340" i="30"/>
  <c r="U344" i="30"/>
  <c r="AO278" i="30"/>
  <c r="AK293" i="30"/>
  <c r="AH310" i="30"/>
  <c r="AM315" i="30"/>
  <c r="AH320" i="30"/>
  <c r="AP324" i="30"/>
  <c r="AG330" i="30"/>
  <c r="AF335" i="30"/>
  <c r="AF340" i="30"/>
  <c r="AQ345" i="30"/>
  <c r="AT277" i="30"/>
  <c r="BA300" i="30"/>
  <c r="AT313" i="30"/>
  <c r="AU319" i="30"/>
  <c r="AY325" i="30"/>
  <c r="BC331" i="30"/>
  <c r="BA337" i="30"/>
  <c r="AZ344" i="30"/>
  <c r="BI286" i="30"/>
  <c r="BL310" i="30"/>
  <c r="BN317" i="30"/>
  <c r="BK325" i="30"/>
  <c r="BI332" i="30"/>
  <c r="BQ339" i="30"/>
  <c r="BY296" i="30"/>
  <c r="CC322" i="30"/>
  <c r="BY341" i="30"/>
  <c r="CM283" i="30"/>
  <c r="CP326" i="30"/>
  <c r="CP361" i="30"/>
  <c r="CJ369" i="30"/>
  <c r="CU377" i="30"/>
  <c r="AH280" i="30"/>
  <c r="AJ294" i="30"/>
  <c r="AI310" i="30"/>
  <c r="AN315" i="30"/>
  <c r="AL320" i="30"/>
  <c r="AQ324" i="30"/>
  <c r="AH330" i="30"/>
  <c r="AG335" i="30"/>
  <c r="AH340" i="30"/>
  <c r="AT279" i="30"/>
  <c r="BB300" i="30"/>
  <c r="AZ313" i="30"/>
  <c r="BC319" i="30"/>
  <c r="AZ325" i="30"/>
  <c r="BD331" i="30"/>
  <c r="AU338" i="30"/>
  <c r="BA344" i="30"/>
  <c r="BK287" i="30"/>
  <c r="BM310" i="30"/>
  <c r="BL318" i="30"/>
  <c r="BM325" i="30"/>
  <c r="BH333" i="30"/>
  <c r="BR339" i="30"/>
  <c r="CD296" i="30"/>
  <c r="CD322" i="30"/>
  <c r="CB342" i="30"/>
  <c r="CN283" i="30"/>
  <c r="CL328" i="30"/>
  <c r="CP378" i="30"/>
  <c r="BR281" i="30"/>
  <c r="AC276" i="30"/>
  <c r="R320" i="30"/>
  <c r="V344" i="30"/>
  <c r="R277" i="30"/>
  <c r="W344" i="30"/>
  <c r="AI280" i="30"/>
  <c r="AL295" i="30"/>
  <c r="AN310" i="30"/>
  <c r="AO315" i="30"/>
  <c r="AO320" i="30"/>
  <c r="AF325" i="30"/>
  <c r="AI330" i="30"/>
  <c r="AH335" i="30"/>
  <c r="AI340" i="30"/>
  <c r="BB279" i="30"/>
  <c r="AT301" i="30"/>
  <c r="BA313" i="30"/>
  <c r="AY320" i="30"/>
  <c r="BA325" i="30"/>
  <c r="AT332" i="30"/>
  <c r="AZ338" i="30"/>
  <c r="BB344" i="30"/>
  <c r="BN287" i="30"/>
  <c r="BN310" i="30"/>
  <c r="BO318" i="30"/>
  <c r="BR325" i="30"/>
  <c r="BI333" i="30"/>
  <c r="BS339" i="30"/>
  <c r="BW301" i="30"/>
  <c r="BW327" i="30"/>
  <c r="CC342" i="30"/>
  <c r="CQ284" i="30"/>
  <c r="CM328" i="30"/>
  <c r="CL379" i="30"/>
  <c r="AJ280" i="30"/>
  <c r="AK296" i="30"/>
  <c r="AH311" i="30"/>
  <c r="AQ315" i="30"/>
  <c r="AP320" i="30"/>
  <c r="AG325" i="30"/>
  <c r="AL330" i="30"/>
  <c r="AI335" i="30"/>
  <c r="AJ340" i="30"/>
  <c r="BC282" i="30"/>
  <c r="AX301" i="30"/>
  <c r="AU314" i="30"/>
  <c r="AZ320" i="30"/>
  <c r="AT326" i="30"/>
  <c r="AU332" i="30"/>
  <c r="AT339" i="30"/>
  <c r="BC344" i="30"/>
  <c r="BO289" i="30"/>
  <c r="BO310" i="30"/>
  <c r="BP318" i="30"/>
  <c r="BS325" i="30"/>
  <c r="BN333" i="30"/>
  <c r="BH340" i="30"/>
  <c r="CF301" i="30"/>
  <c r="BX327" i="30"/>
  <c r="CA343" i="30"/>
  <c r="CL290" i="30"/>
  <c r="CP329" i="30"/>
  <c r="CP379" i="30"/>
  <c r="AJ307" i="30"/>
  <c r="AB327" i="30"/>
  <c r="AC327" i="30"/>
  <c r="R328" i="30"/>
  <c r="Z340" i="30"/>
  <c r="S278" i="30"/>
  <c r="X289" i="30"/>
  <c r="W302" i="30"/>
  <c r="W312" i="30"/>
  <c r="W316" i="30"/>
  <c r="U320" i="30"/>
  <c r="X324" i="30"/>
  <c r="S328" i="30"/>
  <c r="U332" i="30"/>
  <c r="S336" i="30"/>
  <c r="AA340" i="30"/>
  <c r="Y344" i="30"/>
  <c r="AP280" i="30"/>
  <c r="AL296" i="30"/>
  <c r="AK311" i="30"/>
  <c r="AF316" i="30"/>
  <c r="AG321" i="30"/>
  <c r="AH326" i="30"/>
  <c r="AM330" i="30"/>
  <c r="AJ335" i="30"/>
  <c r="AO340" i="30"/>
  <c r="AZ284" i="30"/>
  <c r="BB303" i="30"/>
  <c r="AV314" i="30"/>
  <c r="BA320" i="30"/>
  <c r="AZ326" i="30"/>
  <c r="AV332" i="30"/>
  <c r="AU339" i="30"/>
  <c r="AW345" i="30"/>
  <c r="BP289" i="30"/>
  <c r="BI311" i="30"/>
  <c r="BI319" i="30"/>
  <c r="BH326" i="30"/>
  <c r="BR333" i="30"/>
  <c r="BK340" i="30"/>
  <c r="CA307" i="30"/>
  <c r="CB327" i="30"/>
  <c r="CD343" i="30"/>
  <c r="CU290" i="30"/>
  <c r="CO331" i="30"/>
  <c r="CR353" i="30"/>
  <c r="CP362" i="30"/>
  <c r="CO371" i="30"/>
  <c r="CQ379" i="30"/>
  <c r="AQ280" i="30"/>
  <c r="AP296" i="30"/>
  <c r="AL311" i="30"/>
  <c r="AJ316" i="30"/>
  <c r="AI321" i="30"/>
  <c r="AI326" i="30"/>
  <c r="AN330" i="30"/>
  <c r="AK335" i="30"/>
  <c r="AG341" i="30"/>
  <c r="BC284" i="30"/>
  <c r="BC303" i="30"/>
  <c r="BA314" i="30"/>
  <c r="BB320" i="30"/>
  <c r="BA326" i="30"/>
  <c r="AX332" i="30"/>
  <c r="AV339" i="30"/>
  <c r="AX345" i="30"/>
  <c r="BQ289" i="30"/>
  <c r="BN311" i="30"/>
  <c r="BJ319" i="30"/>
  <c r="BI326" i="30"/>
  <c r="BH334" i="30"/>
  <c r="BS340" i="30"/>
  <c r="CE307" i="30"/>
  <c r="BZ329" i="30"/>
  <c r="CN291" i="30"/>
  <c r="CU331" i="30"/>
  <c r="CR354" i="30"/>
  <c r="CQ362" i="30"/>
  <c r="CQ371" i="30"/>
  <c r="CK380" i="30"/>
  <c r="AB275" i="30"/>
  <c r="R332" i="30"/>
  <c r="S316" i="30"/>
  <c r="R278" i="30"/>
  <c r="T332" i="30"/>
  <c r="T278" i="30"/>
  <c r="Y324" i="30"/>
  <c r="Z336" i="30"/>
  <c r="AA344" i="30"/>
  <c r="U278" i="30"/>
  <c r="Y290" i="30"/>
  <c r="Y302" i="30"/>
  <c r="Y312" i="30"/>
  <c r="AA316" i="30"/>
  <c r="W320" i="30"/>
  <c r="Z324" i="30"/>
  <c r="AA328" i="30"/>
  <c r="W332" i="30"/>
  <c r="AA336" i="30"/>
  <c r="S341" i="30"/>
  <c r="AB344" i="30"/>
  <c r="AJ282" i="30"/>
  <c r="AF298" i="30"/>
  <c r="AP311" i="30"/>
  <c r="AK316" i="30"/>
  <c r="AJ321" i="30"/>
  <c r="AJ326" i="30"/>
  <c r="AO330" i="30"/>
  <c r="AL335" i="30"/>
  <c r="AH341" i="30"/>
  <c r="BD284" i="30"/>
  <c r="AV304" i="30"/>
  <c r="BB314" i="30"/>
  <c r="BC320" i="30"/>
  <c r="AT327" i="30"/>
  <c r="AZ332" i="30"/>
  <c r="AW339" i="30"/>
  <c r="BA345" i="30"/>
  <c r="BR289" i="30"/>
  <c r="BO311" i="30"/>
  <c r="BM319" i="30"/>
  <c r="BJ326" i="30"/>
  <c r="BI334" i="30"/>
  <c r="BM341" i="30"/>
  <c r="CF307" i="30"/>
  <c r="CA329" i="30"/>
  <c r="CU295" i="30"/>
  <c r="CM332" i="30"/>
  <c r="CS354" i="30"/>
  <c r="CL363" i="30"/>
  <c r="CL372" i="30"/>
  <c r="CO380" i="30"/>
  <c r="BR307" i="30"/>
  <c r="BX287" i="30"/>
  <c r="AB288" i="30"/>
  <c r="X323" i="30"/>
  <c r="V340" i="30"/>
  <c r="S320" i="30"/>
  <c r="W324" i="30"/>
  <c r="V290" i="30"/>
  <c r="V278" i="30"/>
  <c r="AB290" i="30"/>
  <c r="Z302" i="30"/>
  <c r="Z312" i="30"/>
  <c r="R317" i="30"/>
  <c r="X320" i="30"/>
  <c r="AB324" i="30"/>
  <c r="AB328" i="30"/>
  <c r="X332" i="30"/>
  <c r="AC336" i="30"/>
  <c r="T341" i="30"/>
  <c r="AC344" i="30"/>
  <c r="AQ282" i="30"/>
  <c r="AI298" i="30"/>
  <c r="AQ311" i="30"/>
  <c r="AN316" i="30"/>
  <c r="AK321" i="30"/>
  <c r="AN326" i="30"/>
  <c r="AJ331" i="30"/>
  <c r="AP335" i="30"/>
  <c r="AJ341" i="30"/>
  <c r="BE284" i="30"/>
  <c r="AW304" i="30"/>
  <c r="AU315" i="30"/>
  <c r="AT321" i="30"/>
  <c r="AV327" i="30"/>
  <c r="AU334" i="30"/>
  <c r="AX339" i="30"/>
  <c r="BB345" i="30"/>
  <c r="BS289" i="30"/>
  <c r="BP311" i="30"/>
  <c r="BN319" i="30"/>
  <c r="BK326" i="30"/>
  <c r="BJ334" i="30"/>
  <c r="BQ341" i="30"/>
  <c r="CC310" i="30"/>
  <c r="CF330" i="30"/>
  <c r="CL303" i="30"/>
  <c r="CR336" i="30"/>
  <c r="CU354" i="30"/>
  <c r="CT363" i="30"/>
  <c r="CN372" i="30"/>
  <c r="CP380" i="30"/>
  <c r="V324" i="30"/>
  <c r="V312" i="30"/>
  <c r="R336" i="30"/>
  <c r="X312" i="30"/>
  <c r="W278" i="30"/>
  <c r="AB291" i="30"/>
  <c r="R304" i="30"/>
  <c r="AB312" i="30"/>
  <c r="S317" i="30"/>
  <c r="V321" i="30"/>
  <c r="R325" i="30"/>
  <c r="AC328" i="30"/>
  <c r="X333" i="30"/>
  <c r="R337" i="30"/>
  <c r="U341" i="30"/>
  <c r="R345" i="30"/>
  <c r="AF283" i="30"/>
  <c r="AI299" i="30"/>
  <c r="AF312" i="30"/>
  <c r="AO316" i="30"/>
  <c r="AL321" i="30"/>
  <c r="AO326" i="30"/>
  <c r="AK331" i="30"/>
  <c r="AQ335" i="30"/>
  <c r="AO341" i="30"/>
  <c r="AT285" i="30"/>
  <c r="BC306" i="30"/>
  <c r="AV315" i="30"/>
  <c r="AU321" i="30"/>
  <c r="AZ327" i="30"/>
  <c r="AX334" i="30"/>
  <c r="AT340" i="30"/>
  <c r="BC345" i="30"/>
  <c r="BJ292" i="30"/>
  <c r="BM312" i="30"/>
  <c r="BP319" i="30"/>
  <c r="BL326" i="30"/>
  <c r="BK334" i="30"/>
  <c r="BR341" i="30"/>
  <c r="CD312" i="30"/>
  <c r="BW331" i="30"/>
  <c r="CN303" i="30"/>
  <c r="CJ339" i="30"/>
  <c r="CL355" i="30"/>
  <c r="CK364" i="30"/>
  <c r="CO372" i="30"/>
  <c r="CS382" i="30"/>
  <c r="T302" i="30"/>
  <c r="AB335" i="30"/>
  <c r="AC288" i="30"/>
  <c r="S332" i="30"/>
  <c r="R289" i="30"/>
  <c r="T320" i="30"/>
  <c r="X344" i="30"/>
  <c r="X302" i="30"/>
  <c r="X278" i="30"/>
  <c r="AC291" i="30"/>
  <c r="S304" i="30"/>
  <c r="V313" i="30"/>
  <c r="T317" i="30"/>
  <c r="W321" i="30"/>
  <c r="S325" i="30"/>
  <c r="X329" i="30"/>
  <c r="Y333" i="30"/>
  <c r="V337" i="30"/>
  <c r="V341" i="30"/>
  <c r="V345" i="30"/>
  <c r="AG283" i="30"/>
  <c r="AJ299" i="30"/>
  <c r="AG312" i="30"/>
  <c r="AP316" i="30"/>
  <c r="AM321" i="30"/>
  <c r="AP326" i="30"/>
  <c r="AJ332" i="30"/>
  <c r="AF336" i="30"/>
  <c r="AP341" i="30"/>
  <c r="AU285" i="30"/>
  <c r="BD306" i="30"/>
  <c r="BB315" i="30"/>
  <c r="AV321" i="30"/>
  <c r="BA327" i="30"/>
  <c r="BE334" i="30"/>
  <c r="AU340" i="30"/>
  <c r="BD345" i="30"/>
  <c r="BR272" i="30"/>
  <c r="BM294" i="30"/>
  <c r="BQ312" i="30"/>
  <c r="BK320" i="30"/>
  <c r="BM326" i="30"/>
  <c r="BL334" i="30"/>
  <c r="BO342" i="30"/>
  <c r="CE312" i="30"/>
  <c r="CF331" i="30"/>
  <c r="CK311" i="30"/>
  <c r="CJ343" i="30"/>
  <c r="CM355" i="30"/>
  <c r="CM364" i="30"/>
  <c r="CT372" i="30"/>
  <c r="CT382" i="30"/>
  <c r="CR282" i="30"/>
  <c r="R316" i="30"/>
  <c r="U302" i="30"/>
  <c r="W340" i="30"/>
  <c r="V302" i="30"/>
  <c r="Z316" i="30"/>
  <c r="Y328" i="30"/>
  <c r="AB340" i="30"/>
  <c r="AB278" i="30"/>
  <c r="R292" i="30"/>
  <c r="W305" i="30"/>
  <c r="W313" i="30"/>
  <c r="U317" i="30"/>
  <c r="X321" i="30"/>
  <c r="T325" i="30"/>
  <c r="Y329" i="30"/>
  <c r="Z333" i="30"/>
  <c r="W337" i="30"/>
  <c r="W341" i="30"/>
  <c r="Z345" i="30"/>
  <c r="AJ283" i="30"/>
  <c r="AK299" i="30"/>
  <c r="AH312" i="30"/>
  <c r="AN317" i="30"/>
  <c r="AQ322" i="30"/>
  <c r="AK327" i="30"/>
  <c r="AN332" i="30"/>
  <c r="AQ337" i="30"/>
  <c r="AL342" i="30"/>
  <c r="AY286" i="30"/>
  <c r="BE306" i="30"/>
  <c r="AY316" i="30"/>
  <c r="AZ322" i="30"/>
  <c r="AW328" i="30"/>
  <c r="AT335" i="30"/>
  <c r="BD340" i="30"/>
  <c r="BQ273" i="30"/>
  <c r="BO295" i="30"/>
  <c r="BP313" i="30"/>
  <c r="BM320" i="30"/>
  <c r="BI327" i="30"/>
  <c r="BM334" i="30"/>
  <c r="BP342" i="30"/>
  <c r="BW274" i="30"/>
  <c r="BZ313" i="30"/>
  <c r="CC332" i="30"/>
  <c r="CL311" i="30"/>
  <c r="CO343" i="30"/>
  <c r="CN364" i="30"/>
  <c r="CN373" i="30"/>
  <c r="CJ383" i="30"/>
  <c r="AA311" i="30"/>
  <c r="U312" i="30"/>
  <c r="AC335" i="30"/>
  <c r="V316" i="30"/>
  <c r="V320" i="30"/>
  <c r="V332" i="30"/>
  <c r="R279" i="30"/>
  <c r="S293" i="30"/>
  <c r="Z305" i="30"/>
  <c r="X313" i="30"/>
  <c r="V317" i="30"/>
  <c r="Y321" i="30"/>
  <c r="AB325" i="30"/>
  <c r="Z329" i="30"/>
  <c r="AA333" i="30"/>
  <c r="AC337" i="30"/>
  <c r="X341" i="30"/>
  <c r="AA345" i="30"/>
  <c r="AK283" i="30"/>
  <c r="AL299" i="30"/>
  <c r="AL312" i="30"/>
  <c r="AO317" i="30"/>
  <c r="AF323" i="30"/>
  <c r="AL327" i="30"/>
  <c r="AO332" i="30"/>
  <c r="AF338" i="30"/>
  <c r="AP342" i="30"/>
  <c r="AZ286" i="30"/>
  <c r="AY307" i="30"/>
  <c r="AZ316" i="30"/>
  <c r="BA322" i="30"/>
  <c r="BA328" i="30"/>
  <c r="AX335" i="30"/>
  <c r="BE340" i="30"/>
  <c r="BR273" i="30"/>
  <c r="BP295" i="30"/>
  <c r="BI314" i="30"/>
  <c r="BP320" i="30"/>
  <c r="BJ327" i="30"/>
  <c r="BN334" i="30"/>
  <c r="BQ342" i="30"/>
  <c r="CB278" i="30"/>
  <c r="CF313" i="30"/>
  <c r="CE333" i="30"/>
  <c r="CP311" i="30"/>
  <c r="CP343" i="30"/>
  <c r="CQ364" i="30"/>
  <c r="CO373" i="30"/>
  <c r="CK383" i="30"/>
  <c r="R306" i="30"/>
  <c r="AL283" i="30"/>
  <c r="AP299" i="30"/>
  <c r="AG313" i="30"/>
  <c r="AP317" i="30"/>
  <c r="AG323" i="30"/>
  <c r="AM327" i="30"/>
  <c r="AP332" i="30"/>
  <c r="AG338" i="30"/>
  <c r="AF343" i="30"/>
  <c r="BA286" i="30"/>
  <c r="BB307" i="30"/>
  <c r="BB316" i="30"/>
  <c r="BB322" i="30"/>
  <c r="BB328" i="30"/>
  <c r="AY335" i="30"/>
  <c r="AV341" i="30"/>
  <c r="BS273" i="30"/>
  <c r="BI296" i="30"/>
  <c r="BK314" i="30"/>
  <c r="BQ320" i="30"/>
  <c r="BM327" i="30"/>
  <c r="BO334" i="30"/>
  <c r="BN343" i="30"/>
  <c r="CD280" i="30"/>
  <c r="CD316" i="30"/>
  <c r="CF333" i="30"/>
  <c r="CQ311" i="30"/>
  <c r="CS343" i="30"/>
  <c r="AQ286" i="30"/>
  <c r="AH300" i="30"/>
  <c r="AI313" i="30"/>
  <c r="AQ317" i="30"/>
  <c r="AH323" i="30"/>
  <c r="AJ328" i="30"/>
  <c r="AQ332" i="30"/>
  <c r="AH338" i="30"/>
  <c r="AM343" i="30"/>
  <c r="AY288" i="30"/>
  <c r="BD310" i="30"/>
  <c r="BC316" i="30"/>
  <c r="BC322" i="30"/>
  <c r="AY329" i="30"/>
  <c r="AZ335" i="30"/>
  <c r="AZ341" i="30"/>
  <c r="BH274" i="30"/>
  <c r="BJ296" i="30"/>
  <c r="BL315" i="30"/>
  <c r="BP321" i="30"/>
  <c r="BL328" i="30"/>
  <c r="BK336" i="30"/>
  <c r="BN344" i="30"/>
  <c r="BX281" i="30"/>
  <c r="CE316" i="30"/>
  <c r="BZ334" i="30"/>
  <c r="CP312" i="30"/>
  <c r="CN344" i="30"/>
  <c r="CL374" i="30"/>
  <c r="CR383" i="30"/>
  <c r="AF287" i="30"/>
  <c r="AJ300" i="30"/>
  <c r="AJ313" i="30"/>
  <c r="AK318" i="30"/>
  <c r="AI323" i="30"/>
  <c r="AK328" i="30"/>
  <c r="AF333" i="30"/>
  <c r="AI338" i="30"/>
  <c r="AN343" i="30"/>
  <c r="AZ288" i="30"/>
  <c r="AV311" i="30"/>
  <c r="BD316" i="30"/>
  <c r="BD322" i="30"/>
  <c r="BC329" i="30"/>
  <c r="BA335" i="30"/>
  <c r="BB341" i="30"/>
  <c r="BI274" i="30"/>
  <c r="BM298" i="30"/>
  <c r="BM315" i="30"/>
  <c r="BQ321" i="30"/>
  <c r="BI329" i="30"/>
  <c r="BL336" i="30"/>
  <c r="BO344" i="30"/>
  <c r="BX282" i="30"/>
  <c r="BZ317" i="30"/>
  <c r="CD334" i="30"/>
  <c r="CL314" i="30"/>
  <c r="CN374" i="30"/>
  <c r="CS383" i="30"/>
  <c r="AG287" i="30"/>
  <c r="AK300" i="30"/>
  <c r="AK313" i="30"/>
  <c r="AM318" i="30"/>
  <c r="AJ323" i="30"/>
  <c r="AL328" i="30"/>
  <c r="AG333" i="30"/>
  <c r="AJ338" i="30"/>
  <c r="AO343" i="30"/>
  <c r="BA288" i="30"/>
  <c r="AY311" i="30"/>
  <c r="AW317" i="30"/>
  <c r="BE322" i="30"/>
  <c r="AV330" i="30"/>
  <c r="BB335" i="30"/>
  <c r="BC341" i="30"/>
  <c r="BK276" i="30"/>
  <c r="BI299" i="30"/>
  <c r="BN315" i="30"/>
  <c r="BR321" i="30"/>
  <c r="BJ329" i="30"/>
  <c r="BM336" i="30"/>
  <c r="BP344" i="30"/>
  <c r="BZ282" i="30"/>
  <c r="CE318" i="30"/>
  <c r="CA337" i="30"/>
  <c r="CM314" i="30"/>
  <c r="CO374" i="30"/>
  <c r="X286" i="30"/>
  <c r="AQ277" i="30"/>
  <c r="AU275" i="30"/>
  <c r="V293" i="30"/>
  <c r="R280" i="30"/>
  <c r="S294" i="30"/>
  <c r="T306" i="30"/>
  <c r="Y317" i="30"/>
  <c r="S326" i="30"/>
  <c r="W330" i="30"/>
  <c r="T338" i="30"/>
  <c r="S282" i="30"/>
  <c r="V306" i="30"/>
  <c r="W322" i="30"/>
  <c r="X330" i="30"/>
  <c r="V338" i="30"/>
  <c r="T282" i="30"/>
  <c r="T296" i="30"/>
  <c r="W306" i="30"/>
  <c r="AC313" i="30"/>
  <c r="AA317" i="30"/>
  <c r="X322" i="30"/>
  <c r="U326" i="30"/>
  <c r="Y330" i="30"/>
  <c r="T334" i="30"/>
  <c r="W338" i="30"/>
  <c r="Z342" i="30"/>
  <c r="AI287" i="30"/>
  <c r="AN302" i="30"/>
  <c r="AL313" i="30"/>
  <c r="AN318" i="30"/>
  <c r="AQ323" i="30"/>
  <c r="AM328" i="30"/>
  <c r="AF334" i="30"/>
  <c r="AK338" i="30"/>
  <c r="AP343" i="30"/>
  <c r="BC288" i="30"/>
  <c r="AZ311" i="30"/>
  <c r="AX317" i="30"/>
  <c r="BE323" i="30"/>
  <c r="AW330" i="30"/>
  <c r="AT336" i="30"/>
  <c r="BD341" i="30"/>
  <c r="BL276" i="30"/>
  <c r="BP301" i="30"/>
  <c r="BO315" i="30"/>
  <c r="BI322" i="30"/>
  <c r="BR329" i="30"/>
  <c r="BQ336" i="30"/>
  <c r="BQ344" i="30"/>
  <c r="BV284" i="30"/>
  <c r="BY319" i="30"/>
  <c r="BZ339" i="30"/>
  <c r="CQ314" i="30"/>
  <c r="CQ348" i="30"/>
  <c r="CP357" i="30"/>
  <c r="CK366" i="30"/>
  <c r="CL375" i="30"/>
  <c r="AO292" i="30"/>
  <c r="AC279" i="30"/>
  <c r="AC293" i="30"/>
  <c r="S306" i="30"/>
  <c r="W280" i="30"/>
  <c r="AA313" i="30"/>
  <c r="AB321" i="30"/>
  <c r="R334" i="30"/>
  <c r="R342" i="30"/>
  <c r="T294" i="30"/>
  <c r="AB313" i="30"/>
  <c r="Z317" i="30"/>
  <c r="T326" i="30"/>
  <c r="S334" i="30"/>
  <c r="S342" i="30"/>
  <c r="U282" i="30"/>
  <c r="V296" i="30"/>
  <c r="U310" i="30"/>
  <c r="R314" i="30"/>
  <c r="S318" i="30"/>
  <c r="Y322" i="30"/>
  <c r="V326" i="30"/>
  <c r="Z330" i="30"/>
  <c r="AB334" i="30"/>
  <c r="X338" i="30"/>
  <c r="AA342" i="30"/>
  <c r="AK273" i="30"/>
  <c r="AJ287" i="30"/>
  <c r="AL303" i="30"/>
  <c r="AM313" i="30"/>
  <c r="AO318" i="30"/>
  <c r="AH324" i="30"/>
  <c r="AN328" i="30"/>
  <c r="AG334" i="30"/>
  <c r="AL338" i="30"/>
  <c r="AH344" i="30"/>
  <c r="BD288" i="30"/>
  <c r="BA311" i="30"/>
  <c r="AY317" i="30"/>
  <c r="AT324" i="30"/>
  <c r="AX330" i="30"/>
  <c r="AU336" i="30"/>
  <c r="BE341" i="30"/>
  <c r="BM276" i="30"/>
  <c r="BQ301" i="30"/>
  <c r="BP315" i="30"/>
  <c r="BJ323" i="30"/>
  <c r="BM330" i="30"/>
  <c r="BS336" i="30"/>
  <c r="BL345" i="30"/>
  <c r="BW284" i="30"/>
  <c r="BV320" i="30"/>
  <c r="BX340" i="30"/>
  <c r="CJ317" i="30"/>
  <c r="CM349" i="30"/>
  <c r="CT357" i="30"/>
  <c r="CM366" i="30"/>
  <c r="CT375" i="30"/>
  <c r="BX284" i="30"/>
  <c r="CA320" i="30"/>
  <c r="BY340" i="30"/>
  <c r="CL317" i="30"/>
  <c r="CO349" i="30"/>
  <c r="CU357" i="30"/>
  <c r="CO366" i="30"/>
  <c r="CU375" i="30"/>
  <c r="AI276" i="30"/>
  <c r="AP303" i="30"/>
  <c r="AT290" i="30"/>
  <c r="BP276" i="30"/>
  <c r="Z284" i="30"/>
  <c r="Z310" i="30"/>
  <c r="AA322" i="30"/>
  <c r="AB330" i="30"/>
  <c r="Z338" i="30"/>
  <c r="AK277" i="30"/>
  <c r="AI290" i="30"/>
  <c r="AO306" i="30"/>
  <c r="AO313" i="30"/>
  <c r="AQ318" i="30"/>
  <c r="AJ324" i="30"/>
  <c r="AQ328" i="30"/>
  <c r="AJ334" i="30"/>
  <c r="AL339" i="30"/>
  <c r="AK344" i="30"/>
  <c r="AU273" i="30"/>
  <c r="BC290" i="30"/>
  <c r="BE311" i="30"/>
  <c r="BA317" i="30"/>
  <c r="AV324" i="30"/>
  <c r="BD330" i="30"/>
  <c r="BC336" i="30"/>
  <c r="AY343" i="30"/>
  <c r="BK280" i="30"/>
  <c r="BS301" i="30"/>
  <c r="BH316" i="30"/>
  <c r="BO323" i="30"/>
  <c r="BP330" i="30"/>
  <c r="BI338" i="30"/>
  <c r="BN345" i="30"/>
  <c r="BY284" i="30"/>
  <c r="CB320" i="30"/>
  <c r="CB340" i="30"/>
  <c r="CO317" i="30"/>
  <c r="CP349" i="30"/>
  <c r="CM358" i="30"/>
  <c r="CJ367" i="30"/>
  <c r="CP376" i="30"/>
  <c r="AH290" i="30"/>
  <c r="BR301" i="30"/>
  <c r="R298" i="30"/>
  <c r="T314" i="30"/>
  <c r="AA318" i="30"/>
  <c r="AA326" i="30"/>
  <c r="R335" i="30"/>
  <c r="AC342" i="30"/>
  <c r="AC285" i="30"/>
  <c r="S299" i="30"/>
  <c r="AA310" i="30"/>
  <c r="S315" i="30"/>
  <c r="AB318" i="30"/>
  <c r="AB322" i="30"/>
  <c r="AB326" i="30"/>
  <c r="AC330" i="30"/>
  <c r="V335" i="30"/>
  <c r="W339" i="30"/>
  <c r="U343" i="30"/>
  <c r="AL277" i="30"/>
  <c r="AM290" i="30"/>
  <c r="AH307" i="30"/>
  <c r="AP313" i="30"/>
  <c r="AF319" i="30"/>
  <c r="AL324" i="30"/>
  <c r="AL329" i="30"/>
  <c r="AK334" i="30"/>
  <c r="AN339" i="30"/>
  <c r="AL344" i="30"/>
  <c r="AX273" i="30"/>
  <c r="AW294" i="30"/>
  <c r="AV312" i="30"/>
  <c r="BB317" i="30"/>
  <c r="AT325" i="30"/>
  <c r="BE330" i="30"/>
  <c r="AT337" i="30"/>
  <c r="AZ343" i="30"/>
  <c r="BP281" i="30"/>
  <c r="BJ304" i="30"/>
  <c r="BI316" i="30"/>
  <c r="BP323" i="30"/>
  <c r="BQ330" i="30"/>
  <c r="BS338" i="30"/>
  <c r="BQ345" i="30"/>
  <c r="CE284" i="30"/>
  <c r="CE320" i="30"/>
  <c r="CD340" i="30"/>
  <c r="CQ321" i="30"/>
  <c r="CR349" i="30"/>
  <c r="CP358" i="30"/>
  <c r="CT367" i="30"/>
  <c r="CQ376" i="30"/>
  <c r="H221" i="2"/>
  <c r="M221" i="2"/>
  <c r="CO457" i="30"/>
  <c r="AL262" i="30"/>
  <c r="AU267" i="30"/>
  <c r="BQ241" i="30"/>
  <c r="AY269" i="30"/>
  <c r="BR241" i="30"/>
  <c r="AA256" i="30"/>
  <c r="S260" i="30"/>
  <c r="AJ263" i="30"/>
  <c r="T260" i="30"/>
  <c r="BP250" i="30"/>
  <c r="AI264" i="30"/>
  <c r="W262" i="30"/>
  <c r="AJ264" i="30"/>
  <c r="BP252" i="30"/>
  <c r="AM264" i="30"/>
  <c r="BR252" i="30"/>
  <c r="AG234" i="30"/>
  <c r="AN265" i="30"/>
  <c r="BL269" i="30"/>
  <c r="CS234" i="30"/>
  <c r="W265" i="30"/>
  <c r="V239" i="30"/>
  <c r="AB265" i="30"/>
  <c r="AL234" i="30"/>
  <c r="AO265" i="30"/>
  <c r="BM269" i="30"/>
  <c r="CT250" i="30"/>
  <c r="BA234" i="30"/>
  <c r="CE235" i="30"/>
  <c r="AP238" i="30"/>
  <c r="AT236" i="30"/>
  <c r="CF235" i="30"/>
  <c r="AB242" i="30"/>
  <c r="S267" i="30"/>
  <c r="AQ238" i="30"/>
  <c r="AY245" i="30"/>
  <c r="CG235" i="30"/>
  <c r="CA236" i="30"/>
  <c r="R240" i="30"/>
  <c r="R243" i="30"/>
  <c r="CG237" i="30"/>
  <c r="AO238" i="30"/>
  <c r="V245" i="30"/>
  <c r="AK248" i="30"/>
  <c r="BE247" i="30"/>
  <c r="BV238" i="30"/>
  <c r="S240" i="30"/>
  <c r="AC242" i="30"/>
  <c r="BB247" i="30"/>
  <c r="BC247" i="30"/>
  <c r="T249" i="30"/>
  <c r="AL248" i="30"/>
  <c r="BA249" i="30"/>
  <c r="CG263" i="30"/>
  <c r="AC266" i="30"/>
  <c r="R267" i="30"/>
  <c r="AB268" i="30"/>
  <c r="AF239" i="30"/>
  <c r="AJ239" i="30"/>
  <c r="U249" i="30"/>
  <c r="AQ256" i="30"/>
  <c r="BB249" i="30"/>
  <c r="BV264" i="30"/>
  <c r="T252" i="30"/>
  <c r="AI257" i="30"/>
  <c r="BE255" i="30"/>
  <c r="BQ234" i="30"/>
  <c r="CE266" i="30"/>
  <c r="AT256" i="30"/>
  <c r="BR234" i="30"/>
  <c r="CG266" i="30"/>
  <c r="AK257" i="30"/>
  <c r="BE256" i="30"/>
  <c r="BM235" i="30"/>
  <c r="X252" i="30"/>
  <c r="AC253" i="30"/>
  <c r="W254" i="30"/>
  <c r="AN257" i="30"/>
  <c r="AT257" i="30"/>
  <c r="BI238" i="30"/>
  <c r="X254" i="30"/>
  <c r="AQ257" i="30"/>
  <c r="AU257" i="30"/>
  <c r="BL238" i="30"/>
  <c r="AJ257" i="30"/>
  <c r="Y254" i="30"/>
  <c r="AI258" i="30"/>
  <c r="AV257" i="30"/>
  <c r="BO238" i="30"/>
  <c r="Z254" i="30"/>
  <c r="AJ258" i="30"/>
  <c r="AX259" i="30"/>
  <c r="BJ241" i="30"/>
  <c r="BM241" i="30"/>
  <c r="BI90" i="30"/>
  <c r="BK93" i="30"/>
  <c r="BS103" i="30"/>
  <c r="S49" i="30"/>
  <c r="W50" i="30"/>
  <c r="W71" i="30"/>
  <c r="S74" i="30"/>
  <c r="AA73" i="30"/>
  <c r="CN93" i="30"/>
  <c r="BM56" i="8"/>
  <c r="BK66" i="8"/>
  <c r="AI44" i="8"/>
  <c r="BH76" i="8"/>
  <c r="AI46" i="8"/>
  <c r="CA49" i="8"/>
  <c r="AI48" i="8"/>
  <c r="CB58" i="8"/>
  <c r="AI50" i="8"/>
  <c r="CA68" i="8"/>
  <c r="AI52" i="8"/>
  <c r="CO44" i="8"/>
  <c r="AI54" i="8"/>
  <c r="CO60" i="8"/>
  <c r="AK56" i="8"/>
  <c r="CO76" i="8"/>
  <c r="AM58" i="8"/>
  <c r="AO60" i="8"/>
  <c r="AQ62" i="8"/>
  <c r="AJ65" i="8"/>
  <c r="AO67" i="8"/>
  <c r="AM70" i="8"/>
  <c r="AJ73" i="8"/>
  <c r="AJ76" i="8"/>
  <c r="AT44" i="8"/>
  <c r="AW48" i="8"/>
  <c r="BA52" i="8"/>
  <c r="AT58" i="8"/>
  <c r="AW64" i="8"/>
  <c r="AY73" i="8"/>
  <c r="AC78" i="8"/>
  <c r="BN46" i="8"/>
  <c r="CN418" i="30"/>
  <c r="CL421" i="30"/>
  <c r="AH44" i="8"/>
  <c r="AH46" i="8"/>
  <c r="AH48" i="8"/>
  <c r="AH50" i="8"/>
  <c r="AH52" i="8"/>
  <c r="AH54" i="8"/>
  <c r="AJ56" i="8"/>
  <c r="AL58" i="8"/>
  <c r="AN60" i="8"/>
  <c r="AP62" i="8"/>
  <c r="AG65" i="8"/>
  <c r="AN67" i="8"/>
  <c r="AL70" i="8"/>
  <c r="AG73" i="8"/>
  <c r="AI76" i="8"/>
  <c r="AK79" i="8"/>
  <c r="AV48" i="8"/>
  <c r="AZ52" i="8"/>
  <c r="AY57" i="8"/>
  <c r="AT64" i="8"/>
  <c r="AZ72" i="8"/>
  <c r="BM46" i="8"/>
  <c r="BK56" i="8"/>
  <c r="BH66" i="8"/>
  <c r="BM75" i="8"/>
  <c r="CB48" i="8"/>
  <c r="CA58" i="8"/>
  <c r="BY68" i="8"/>
  <c r="CM44" i="8"/>
  <c r="CM60" i="8"/>
  <c r="CM76" i="8"/>
  <c r="AJ44" i="8"/>
  <c r="AJ46" i="8"/>
  <c r="AJ48" i="8"/>
  <c r="AJ50" i="8"/>
  <c r="AJ52" i="8"/>
  <c r="AJ54" i="8"/>
  <c r="AL56" i="8"/>
  <c r="AN58" i="8"/>
  <c r="AP60" i="8"/>
  <c r="AF63" i="8"/>
  <c r="AK65" i="8"/>
  <c r="AF68" i="8"/>
  <c r="AN70" i="8"/>
  <c r="AK73" i="8"/>
  <c r="AK76" i="8"/>
  <c r="AV44" i="8"/>
  <c r="AX48" i="8"/>
  <c r="BC52" i="8"/>
  <c r="AW58" i="8"/>
  <c r="AY64" i="8"/>
  <c r="AT74" i="8"/>
  <c r="BM47" i="8"/>
  <c r="BN56" i="8"/>
  <c r="BM66" i="8"/>
  <c r="BK76" i="8"/>
  <c r="BV50" i="8"/>
  <c r="CA59" i="8"/>
  <c r="CB68" i="8"/>
  <c r="CP44" i="8"/>
  <c r="CP60" i="8"/>
  <c r="CP76" i="8"/>
  <c r="AK44" i="8"/>
  <c r="AK46" i="8"/>
  <c r="AK48" i="8"/>
  <c r="AK50" i="8"/>
  <c r="AK52" i="8"/>
  <c r="AK54" i="8"/>
  <c r="AM56" i="8"/>
  <c r="AO58" i="8"/>
  <c r="AQ60" i="8"/>
  <c r="AG63" i="8"/>
  <c r="AL65" i="8"/>
  <c r="AH68" i="8"/>
  <c r="AO70" i="8"/>
  <c r="AL73" i="8"/>
  <c r="AL76" i="8"/>
  <c r="AW44" i="8"/>
  <c r="AY48" i="8"/>
  <c r="BD52" i="8"/>
  <c r="AY58" i="8"/>
  <c r="AZ64" i="8"/>
  <c r="AW74" i="8"/>
  <c r="BH48" i="8"/>
  <c r="BM57" i="8"/>
  <c r="BN66" i="8"/>
  <c r="BM76" i="8"/>
  <c r="BY50" i="8"/>
  <c r="BV60" i="8"/>
  <c r="CA69" i="8"/>
  <c r="CM46" i="8"/>
  <c r="CM62" i="8"/>
  <c r="CM78" i="8"/>
  <c r="AL44" i="8"/>
  <c r="AL46" i="8"/>
  <c r="AL48" i="8"/>
  <c r="AL50" i="8"/>
  <c r="AL52" i="8"/>
  <c r="AL54" i="8"/>
  <c r="AN56" i="8"/>
  <c r="AP58" i="8"/>
  <c r="AF61" i="8"/>
  <c r="AH63" i="8"/>
  <c r="AM65" i="8"/>
  <c r="AI68" i="8"/>
  <c r="AP70" i="8"/>
  <c r="AM73" i="8"/>
  <c r="AM76" i="8"/>
  <c r="AX44" i="8"/>
  <c r="AZ48" i="8"/>
  <c r="AU53" i="8"/>
  <c r="AZ58" i="8"/>
  <c r="BD64" i="8"/>
  <c r="AY74" i="8"/>
  <c r="BK48" i="8"/>
  <c r="BH58" i="8"/>
  <c r="BM67" i="8"/>
  <c r="BN76" i="8"/>
  <c r="CA50" i="8"/>
  <c r="BY60" i="8"/>
  <c r="BV70" i="8"/>
  <c r="CO46" i="8"/>
  <c r="CO62" i="8"/>
  <c r="CO78" i="8"/>
  <c r="AM44" i="8"/>
  <c r="AM46" i="8"/>
  <c r="AM48" i="8"/>
  <c r="AM50" i="8"/>
  <c r="AM52" i="8"/>
  <c r="AM54" i="8"/>
  <c r="AO56" i="8"/>
  <c r="AQ58" i="8"/>
  <c r="AG61" i="8"/>
  <c r="AI63" i="8"/>
  <c r="AN65" i="8"/>
  <c r="AJ68" i="8"/>
  <c r="AQ70" i="8"/>
  <c r="AF74" i="8"/>
  <c r="AO76" i="8"/>
  <c r="AY44" i="8"/>
  <c r="BA48" i="8"/>
  <c r="AY53" i="8"/>
  <c r="BA58" i="8"/>
  <c r="AY65" i="8"/>
  <c r="AZ74" i="8"/>
  <c r="BM48" i="8"/>
  <c r="BK58" i="8"/>
  <c r="BH68" i="8"/>
  <c r="BM77" i="8"/>
  <c r="CB50" i="8"/>
  <c r="CA60" i="8"/>
  <c r="BY70" i="8"/>
  <c r="CP46" i="8"/>
  <c r="CP62" i="8"/>
  <c r="CP78" i="8"/>
  <c r="AN44" i="8"/>
  <c r="AN46" i="8"/>
  <c r="AN48" i="8"/>
  <c r="AN50" i="8"/>
  <c r="AN52" i="8"/>
  <c r="AN54" i="8"/>
  <c r="AP56" i="8"/>
  <c r="AF59" i="8"/>
  <c r="AH61" i="8"/>
  <c r="AJ63" i="8"/>
  <c r="AO65" i="8"/>
  <c r="AK68" i="8"/>
  <c r="AF71" i="8"/>
  <c r="AH74" i="8"/>
  <c r="AP76" i="8"/>
  <c r="AZ44" i="8"/>
  <c r="BC48" i="8"/>
  <c r="AT54" i="8"/>
  <c r="BC58" i="8"/>
  <c r="AT66" i="8"/>
  <c r="AY75" i="8"/>
  <c r="BN48" i="8"/>
  <c r="BM58" i="8"/>
  <c r="BK68" i="8"/>
  <c r="BH78" i="8"/>
  <c r="CA51" i="8"/>
  <c r="CB60" i="8"/>
  <c r="CA70" i="8"/>
  <c r="CM48" i="8"/>
  <c r="CM64" i="8"/>
  <c r="AM70" i="17"/>
  <c r="BZ79" i="30"/>
  <c r="BL45" i="30"/>
  <c r="BB47" i="30"/>
  <c r="AF60" i="30"/>
  <c r="AO44" i="8"/>
  <c r="AO46" i="8"/>
  <c r="AO48" i="8"/>
  <c r="AO50" i="8"/>
  <c r="AO52" i="8"/>
  <c r="AO54" i="8"/>
  <c r="AQ56" i="8"/>
  <c r="AG59" i="8"/>
  <c r="AI61" i="8"/>
  <c r="AK63" i="8"/>
  <c r="AF66" i="8"/>
  <c r="AL68" i="8"/>
  <c r="AG71" i="8"/>
  <c r="AI74" i="8"/>
  <c r="AQ76" i="8"/>
  <c r="BA44" i="8"/>
  <c r="BD48" i="8"/>
  <c r="AW54" i="8"/>
  <c r="BD58" i="8"/>
  <c r="AW66" i="8"/>
  <c r="AT76" i="8"/>
  <c r="BM49" i="8"/>
  <c r="BN58" i="8"/>
  <c r="BM68" i="8"/>
  <c r="BK78" i="8"/>
  <c r="BV52" i="8"/>
  <c r="CA61" i="8"/>
  <c r="CB70" i="8"/>
  <c r="CO48" i="8"/>
  <c r="CO64" i="8"/>
  <c r="AZ61" i="17"/>
  <c r="AP44" i="8"/>
  <c r="AP46" i="8"/>
  <c r="AP48" i="8"/>
  <c r="AP50" i="8"/>
  <c r="AP52" i="8"/>
  <c r="AP54" i="8"/>
  <c r="AF57" i="8"/>
  <c r="AH59" i="8"/>
  <c r="AJ61" i="8"/>
  <c r="AL63" i="8"/>
  <c r="AH66" i="8"/>
  <c r="AM68" i="8"/>
  <c r="AJ71" i="8"/>
  <c r="AJ74" i="8"/>
  <c r="AG77" i="8"/>
  <c r="BC44" i="8"/>
  <c r="AU49" i="8"/>
  <c r="AX54" i="8"/>
  <c r="AU59" i="8"/>
  <c r="AY66" i="8"/>
  <c r="AW76" i="8"/>
  <c r="BH50" i="8"/>
  <c r="BM59" i="8"/>
  <c r="BN68" i="8"/>
  <c r="BM78" i="8"/>
  <c r="BY52" i="8"/>
  <c r="BV62" i="8"/>
  <c r="BV72" i="8"/>
  <c r="CP48" i="8"/>
  <c r="CP64" i="8"/>
  <c r="AQ44" i="8"/>
  <c r="AQ46" i="8"/>
  <c r="AQ48" i="8"/>
  <c r="AQ50" i="8"/>
  <c r="AQ52" i="8"/>
  <c r="AQ54" i="8"/>
  <c r="AG57" i="8"/>
  <c r="AI59" i="8"/>
  <c r="AK61" i="8"/>
  <c r="AM63" i="8"/>
  <c r="AI66" i="8"/>
  <c r="AN68" i="8"/>
  <c r="AK71" i="8"/>
  <c r="AK74" i="8"/>
  <c r="AJ77" i="8"/>
  <c r="BD44" i="8"/>
  <c r="AY49" i="8"/>
  <c r="AY54" i="8"/>
  <c r="AY59" i="8"/>
  <c r="AZ66" i="8"/>
  <c r="AY76" i="8"/>
  <c r="BK50" i="8"/>
  <c r="BH60" i="8"/>
  <c r="BM69" i="8"/>
  <c r="BN78" i="8"/>
  <c r="CA52" i="8"/>
  <c r="BY62" i="8"/>
  <c r="BY72" i="8"/>
  <c r="CM50" i="8"/>
  <c r="CM66" i="8"/>
  <c r="AF45" i="8"/>
  <c r="AF47" i="8"/>
  <c r="AF49" i="8"/>
  <c r="AF51" i="8"/>
  <c r="AF53" i="8"/>
  <c r="AF55" i="8"/>
  <c r="AH57" i="8"/>
  <c r="AJ59" i="8"/>
  <c r="AL61" i="8"/>
  <c r="AN63" i="8"/>
  <c r="AJ66" i="8"/>
  <c r="AO68" i="8"/>
  <c r="AL71" i="8"/>
  <c r="AL74" i="8"/>
  <c r="AK77" i="8"/>
  <c r="AU45" i="8"/>
  <c r="AT50" i="8"/>
  <c r="AZ54" i="8"/>
  <c r="AT60" i="8"/>
  <c r="AY67" i="8"/>
  <c r="AZ76" i="8"/>
  <c r="BM50" i="8"/>
  <c r="BK60" i="8"/>
  <c r="BH70" i="8"/>
  <c r="BM79" i="8"/>
  <c r="CB52" i="8"/>
  <c r="CA62" i="8"/>
  <c r="CA72" i="8"/>
  <c r="CO50" i="8"/>
  <c r="CO66" i="8"/>
  <c r="AG45" i="8"/>
  <c r="AG47" i="8"/>
  <c r="AG49" i="8"/>
  <c r="AG51" i="8"/>
  <c r="AG53" i="8"/>
  <c r="AG55" i="8"/>
  <c r="AI57" i="8"/>
  <c r="AK59" i="8"/>
  <c r="AM61" i="8"/>
  <c r="AO63" i="8"/>
  <c r="AK66" i="8"/>
  <c r="AP68" i="8"/>
  <c r="AM71" i="8"/>
  <c r="AM74" i="8"/>
  <c r="AL77" i="8"/>
  <c r="AY45" i="8"/>
  <c r="AW50" i="8"/>
  <c r="BA54" i="8"/>
  <c r="AW60" i="8"/>
  <c r="AT68" i="8"/>
  <c r="AY77" i="8"/>
  <c r="BN50" i="8"/>
  <c r="BM60" i="8"/>
  <c r="BK70" i="8"/>
  <c r="BV44" i="8"/>
  <c r="CA53" i="8"/>
  <c r="CB62" i="8"/>
  <c r="CB72" i="8"/>
  <c r="CP50" i="8"/>
  <c r="CP66" i="8"/>
  <c r="CK397" i="30"/>
  <c r="CT399" i="30"/>
  <c r="CQ402" i="30"/>
  <c r="CO405" i="30"/>
  <c r="CN408" i="30"/>
  <c r="CL411" i="30"/>
  <c r="CK414" i="30"/>
  <c r="CU416" i="30"/>
  <c r="CU419" i="30"/>
  <c r="CM440" i="30"/>
  <c r="AH45" i="8"/>
  <c r="AH47" i="8"/>
  <c r="AH49" i="8"/>
  <c r="AH51" i="8"/>
  <c r="AH53" i="8"/>
  <c r="AH55" i="8"/>
  <c r="AJ57" i="8"/>
  <c r="AL59" i="8"/>
  <c r="AN61" i="8"/>
  <c r="AF64" i="8"/>
  <c r="AL66" i="8"/>
  <c r="AQ68" i="8"/>
  <c r="AF72" i="8"/>
  <c r="AN74" i="8"/>
  <c r="AM77" i="8"/>
  <c r="AT46" i="8"/>
  <c r="AX50" i="8"/>
  <c r="BC54" i="8"/>
  <c r="AY60" i="8"/>
  <c r="AW68" i="8"/>
  <c r="AT78" i="8"/>
  <c r="BM51" i="8"/>
  <c r="BN60" i="8"/>
  <c r="BM70" i="8"/>
  <c r="BY44" i="8"/>
  <c r="BV54" i="8"/>
  <c r="CA63" i="8"/>
  <c r="BV74" i="8"/>
  <c r="CM52" i="8"/>
  <c r="CL397" i="30"/>
  <c r="CJ400" i="30"/>
  <c r="CR402" i="30"/>
  <c r="CP405" i="30"/>
  <c r="CO408" i="30"/>
  <c r="CN411" i="30"/>
  <c r="CL414" i="30"/>
  <c r="CK417" i="30"/>
  <c r="CJ420" i="30"/>
  <c r="CO440" i="30"/>
  <c r="CK78" i="8"/>
  <c r="CK76" i="8"/>
  <c r="CK74" i="8"/>
  <c r="CK72" i="8"/>
  <c r="CK70" i="8"/>
  <c r="CK68" i="8"/>
  <c r="CK66" i="8"/>
  <c r="CK64" i="8"/>
  <c r="CK62" i="8"/>
  <c r="CK60" i="8"/>
  <c r="CK58" i="8"/>
  <c r="CK56" i="8"/>
  <c r="CK54" i="8"/>
  <c r="CK52" i="8"/>
  <c r="CK50" i="8"/>
  <c r="CK48" i="8"/>
  <c r="CK46" i="8"/>
  <c r="CK44" i="8"/>
  <c r="BW78" i="8"/>
  <c r="BW76" i="8"/>
  <c r="BW74" i="8"/>
  <c r="BW72" i="8"/>
  <c r="BW70" i="8"/>
  <c r="BW68" i="8"/>
  <c r="BW66" i="8"/>
  <c r="BW64" i="8"/>
  <c r="BW62" i="8"/>
  <c r="BW60" i="8"/>
  <c r="BW58" i="8"/>
  <c r="BW56" i="8"/>
  <c r="BW54" i="8"/>
  <c r="BW52" i="8"/>
  <c r="BW50" i="8"/>
  <c r="BW48" i="8"/>
  <c r="BW46" i="8"/>
  <c r="BW44" i="8"/>
  <c r="BI78" i="8"/>
  <c r="BI76" i="8"/>
  <c r="BI74" i="8"/>
  <c r="BI72" i="8"/>
  <c r="BI70" i="8"/>
  <c r="BI68" i="8"/>
  <c r="BI66" i="8"/>
  <c r="BI64" i="8"/>
  <c r="BI62" i="8"/>
  <c r="BI60" i="8"/>
  <c r="BI58" i="8"/>
  <c r="BI56" i="8"/>
  <c r="BI54" i="8"/>
  <c r="BI52" i="8"/>
  <c r="BI50" i="8"/>
  <c r="BI48" i="8"/>
  <c r="BI46" i="8"/>
  <c r="BI44" i="8"/>
  <c r="AU78" i="8"/>
  <c r="AU76" i="8"/>
  <c r="AU74" i="8"/>
  <c r="AU72" i="8"/>
  <c r="AU70" i="8"/>
  <c r="AU68" i="8"/>
  <c r="AU66" i="8"/>
  <c r="AU64" i="8"/>
  <c r="AU62" i="8"/>
  <c r="AU60" i="8"/>
  <c r="AU58" i="8"/>
  <c r="AU56" i="8"/>
  <c r="AU54" i="8"/>
  <c r="AU52" i="8"/>
  <c r="AU50" i="8"/>
  <c r="AU48" i="8"/>
  <c r="AU46" i="8"/>
  <c r="AU44" i="8"/>
  <c r="AG78" i="8"/>
  <c r="AG76" i="8"/>
  <c r="AG74" i="8"/>
  <c r="AG72" i="8"/>
  <c r="AG70" i="8"/>
  <c r="AG68" i="8"/>
  <c r="AG66" i="8"/>
  <c r="AG64" i="8"/>
  <c r="CJ78" i="8"/>
  <c r="CJ76" i="8"/>
  <c r="CJ74" i="8"/>
  <c r="CJ72" i="8"/>
  <c r="CJ70" i="8"/>
  <c r="CJ68" i="8"/>
  <c r="CJ66" i="8"/>
  <c r="CJ64" i="8"/>
  <c r="CJ62" i="8"/>
  <c r="CJ60" i="8"/>
  <c r="CJ58" i="8"/>
  <c r="CJ56" i="8"/>
  <c r="CJ54" i="8"/>
  <c r="CJ52" i="8"/>
  <c r="CJ50" i="8"/>
  <c r="CJ48" i="8"/>
  <c r="CJ46" i="8"/>
  <c r="CJ44" i="8"/>
  <c r="CU79" i="8"/>
  <c r="CU77" i="8"/>
  <c r="CU75" i="8"/>
  <c r="CU73" i="8"/>
  <c r="CU71" i="8"/>
  <c r="CU69" i="8"/>
  <c r="CU67" i="8"/>
  <c r="CU65" i="8"/>
  <c r="CU63" i="8"/>
  <c r="CU61" i="8"/>
  <c r="CU59" i="8"/>
  <c r="CU57" i="8"/>
  <c r="CU55" i="8"/>
  <c r="CU53" i="8"/>
  <c r="CU51" i="8"/>
  <c r="CU49" i="8"/>
  <c r="CU47" i="8"/>
  <c r="CU45" i="8"/>
  <c r="CG79" i="8"/>
  <c r="CG77" i="8"/>
  <c r="CG75" i="8"/>
  <c r="CG73" i="8"/>
  <c r="CG71" i="8"/>
  <c r="CG69" i="8"/>
  <c r="CG67" i="8"/>
  <c r="CG65" i="8"/>
  <c r="CG63" i="8"/>
  <c r="CG61" i="8"/>
  <c r="CG59" i="8"/>
  <c r="CG57" i="8"/>
  <c r="CG55" i="8"/>
  <c r="CG53" i="8"/>
  <c r="CG51" i="8"/>
  <c r="CG49" i="8"/>
  <c r="CG47" i="8"/>
  <c r="CG45" i="8"/>
  <c r="BS79" i="8"/>
  <c r="BS77" i="8"/>
  <c r="BS75" i="8"/>
  <c r="BS73" i="8"/>
  <c r="BS71" i="8"/>
  <c r="BS69" i="8"/>
  <c r="BS67" i="8"/>
  <c r="BS65" i="8"/>
  <c r="BS63" i="8"/>
  <c r="BS61" i="8"/>
  <c r="BS59" i="8"/>
  <c r="BS57" i="8"/>
  <c r="BS55" i="8"/>
  <c r="BS53" i="8"/>
  <c r="BS51" i="8"/>
  <c r="BS49" i="8"/>
  <c r="BS47" i="8"/>
  <c r="BS45" i="8"/>
  <c r="BE79" i="8"/>
  <c r="BE77" i="8"/>
  <c r="BE75" i="8"/>
  <c r="BE73" i="8"/>
  <c r="BE71" i="8"/>
  <c r="BE69" i="8"/>
  <c r="BE67" i="8"/>
  <c r="BE65" i="8"/>
  <c r="BE63" i="8"/>
  <c r="BE61" i="8"/>
  <c r="BE59" i="8"/>
  <c r="BE57" i="8"/>
  <c r="BE55" i="8"/>
  <c r="BE53" i="8"/>
  <c r="BE51" i="8"/>
  <c r="BE49" i="8"/>
  <c r="BE47" i="8"/>
  <c r="BE45" i="8"/>
  <c r="AQ79" i="8"/>
  <c r="AQ77" i="8"/>
  <c r="AQ75" i="8"/>
  <c r="AQ73" i="8"/>
  <c r="AQ71" i="8"/>
  <c r="AQ69" i="8"/>
  <c r="AQ67" i="8"/>
  <c r="AQ65" i="8"/>
  <c r="AQ63" i="8"/>
  <c r="AQ61" i="8"/>
  <c r="AQ59" i="8"/>
  <c r="AQ57" i="8"/>
  <c r="AQ55" i="8"/>
  <c r="CT79" i="8"/>
  <c r="CT77" i="8"/>
  <c r="CT75" i="8"/>
  <c r="CT73" i="8"/>
  <c r="CT71" i="8"/>
  <c r="CT69" i="8"/>
  <c r="CT67" i="8"/>
  <c r="CT65" i="8"/>
  <c r="CT63" i="8"/>
  <c r="CT61" i="8"/>
  <c r="CT59" i="8"/>
  <c r="CT57" i="8"/>
  <c r="CT55" i="8"/>
  <c r="CT53" i="8"/>
  <c r="CT51" i="8"/>
  <c r="CT49" i="8"/>
  <c r="CT47" i="8"/>
  <c r="CT45" i="8"/>
  <c r="CF79" i="8"/>
  <c r="CF77" i="8"/>
  <c r="CF75" i="8"/>
  <c r="CF73" i="8"/>
  <c r="CF71" i="8"/>
  <c r="CF69" i="8"/>
  <c r="CF67" i="8"/>
  <c r="CF65" i="8"/>
  <c r="CF63" i="8"/>
  <c r="CF61" i="8"/>
  <c r="CF59" i="8"/>
  <c r="CF57" i="8"/>
  <c r="CF55" i="8"/>
  <c r="CF53" i="8"/>
  <c r="CF51" i="8"/>
  <c r="CF49" i="8"/>
  <c r="CF47" i="8"/>
  <c r="CF45" i="8"/>
  <c r="BR79" i="8"/>
  <c r="BR77" i="8"/>
  <c r="BR75" i="8"/>
  <c r="BR73" i="8"/>
  <c r="BR71" i="8"/>
  <c r="BR69" i="8"/>
  <c r="BR67" i="8"/>
  <c r="BR65" i="8"/>
  <c r="BR63" i="8"/>
  <c r="BR61" i="8"/>
  <c r="BR59" i="8"/>
  <c r="BR57" i="8"/>
  <c r="BR55" i="8"/>
  <c r="BR53" i="8"/>
  <c r="BR51" i="8"/>
  <c r="BR49" i="8"/>
  <c r="BR47" i="8"/>
  <c r="BR45" i="8"/>
  <c r="BD79" i="8"/>
  <c r="BD77" i="8"/>
  <c r="BD75" i="8"/>
  <c r="BD73" i="8"/>
  <c r="BD71" i="8"/>
  <c r="BD69" i="8"/>
  <c r="BD67" i="8"/>
  <c r="BD65" i="8"/>
  <c r="BD63" i="8"/>
  <c r="BD61" i="8"/>
  <c r="BD59" i="8"/>
  <c r="BD57" i="8"/>
  <c r="BD55" i="8"/>
  <c r="BD53" i="8"/>
  <c r="BD51" i="8"/>
  <c r="BD49" i="8"/>
  <c r="BD47" i="8"/>
  <c r="BD45" i="8"/>
  <c r="AP79" i="8"/>
  <c r="AP77" i="8"/>
  <c r="AP75" i="8"/>
  <c r="AP73" i="8"/>
  <c r="AP71" i="8"/>
  <c r="AP69" i="8"/>
  <c r="AP67" i="8"/>
  <c r="AP65" i="8"/>
  <c r="AP63" i="8"/>
  <c r="AP61" i="8"/>
  <c r="AP59" i="8"/>
  <c r="AP57" i="8"/>
  <c r="AP55" i="8"/>
  <c r="CS79" i="8"/>
  <c r="CS77" i="8"/>
  <c r="CS75" i="8"/>
  <c r="CS73" i="8"/>
  <c r="CS71" i="8"/>
  <c r="CS69" i="8"/>
  <c r="CS67" i="8"/>
  <c r="CS65" i="8"/>
  <c r="CS63" i="8"/>
  <c r="CS61" i="8"/>
  <c r="CS59" i="8"/>
  <c r="CS57" i="8"/>
  <c r="CS55" i="8"/>
  <c r="CS53" i="8"/>
  <c r="CS51" i="8"/>
  <c r="CS49" i="8"/>
  <c r="CS47" i="8"/>
  <c r="CS45" i="8"/>
  <c r="CE79" i="8"/>
  <c r="CE77" i="8"/>
  <c r="CE75" i="8"/>
  <c r="CE73" i="8"/>
  <c r="CE71" i="8"/>
  <c r="CE69" i="8"/>
  <c r="CE67" i="8"/>
  <c r="CE65" i="8"/>
  <c r="CE63" i="8"/>
  <c r="CE61" i="8"/>
  <c r="CE59" i="8"/>
  <c r="CE57" i="8"/>
  <c r="CE55" i="8"/>
  <c r="CE53" i="8"/>
  <c r="CE51" i="8"/>
  <c r="CE49" i="8"/>
  <c r="CE47" i="8"/>
  <c r="CE45" i="8"/>
  <c r="BQ79" i="8"/>
  <c r="BQ77" i="8"/>
  <c r="BQ75" i="8"/>
  <c r="BQ73" i="8"/>
  <c r="BQ71" i="8"/>
  <c r="BQ69" i="8"/>
  <c r="BQ67" i="8"/>
  <c r="BQ65" i="8"/>
  <c r="BQ63" i="8"/>
  <c r="BQ61" i="8"/>
  <c r="BQ59" i="8"/>
  <c r="BQ57" i="8"/>
  <c r="BQ55" i="8"/>
  <c r="BQ53" i="8"/>
  <c r="BQ51" i="8"/>
  <c r="BQ49" i="8"/>
  <c r="BQ47" i="8"/>
  <c r="BQ45" i="8"/>
  <c r="BC79" i="8"/>
  <c r="BC77" i="8"/>
  <c r="BC75" i="8"/>
  <c r="BC73" i="8"/>
  <c r="BC71" i="8"/>
  <c r="BC69" i="8"/>
  <c r="BC67" i="8"/>
  <c r="BC65" i="8"/>
  <c r="BC63" i="8"/>
  <c r="BC61" i="8"/>
  <c r="BC59" i="8"/>
  <c r="BC57" i="8"/>
  <c r="BC55" i="8"/>
  <c r="BC53" i="8"/>
  <c r="BC51" i="8"/>
  <c r="BC49" i="8"/>
  <c r="BC47" i="8"/>
  <c r="BC45" i="8"/>
  <c r="AO79" i="8"/>
  <c r="AO77" i="8"/>
  <c r="AO75" i="8"/>
  <c r="AO73" i="8"/>
  <c r="AO71" i="8"/>
  <c r="AO69" i="8"/>
  <c r="CR79" i="8"/>
  <c r="CR77" i="8"/>
  <c r="CR75" i="8"/>
  <c r="CR73" i="8"/>
  <c r="CR71" i="8"/>
  <c r="CR69" i="8"/>
  <c r="CR67" i="8"/>
  <c r="CR65" i="8"/>
  <c r="CR63" i="8"/>
  <c r="CR61" i="8"/>
  <c r="CR59" i="8"/>
  <c r="CR57" i="8"/>
  <c r="CR55" i="8"/>
  <c r="CR53" i="8"/>
  <c r="CR51" i="8"/>
  <c r="CR49" i="8"/>
  <c r="CR47" i="8"/>
  <c r="CR45" i="8"/>
  <c r="CD79" i="8"/>
  <c r="CD77" i="8"/>
  <c r="CD75" i="8"/>
  <c r="CD73" i="8"/>
  <c r="CD71" i="8"/>
  <c r="CD69" i="8"/>
  <c r="CD67" i="8"/>
  <c r="CD65" i="8"/>
  <c r="CD63" i="8"/>
  <c r="CD61" i="8"/>
  <c r="CD59" i="8"/>
  <c r="CD57" i="8"/>
  <c r="CD55" i="8"/>
  <c r="CD53" i="8"/>
  <c r="CD51" i="8"/>
  <c r="CD49" i="8"/>
  <c r="CD47" i="8"/>
  <c r="CD45" i="8"/>
  <c r="BP79" i="8"/>
  <c r="BP77" i="8"/>
  <c r="BP75" i="8"/>
  <c r="BP73" i="8"/>
  <c r="BP71" i="8"/>
  <c r="BP69" i="8"/>
  <c r="BP67" i="8"/>
  <c r="BP65" i="8"/>
  <c r="BP63" i="8"/>
  <c r="BP61" i="8"/>
  <c r="BP59" i="8"/>
  <c r="BP57" i="8"/>
  <c r="BP55" i="8"/>
  <c r="BP53" i="8"/>
  <c r="BP51" i="8"/>
  <c r="BP49" i="8"/>
  <c r="BP47" i="8"/>
  <c r="BP45" i="8"/>
  <c r="BB79" i="8"/>
  <c r="BB77" i="8"/>
  <c r="BB75" i="8"/>
  <c r="BB73" i="8"/>
  <c r="BB71" i="8"/>
  <c r="BB69" i="8"/>
  <c r="BB67" i="8"/>
  <c r="BB65" i="8"/>
  <c r="BB63" i="8"/>
  <c r="BB61" i="8"/>
  <c r="BB59" i="8"/>
  <c r="BB57" i="8"/>
  <c r="BB55" i="8"/>
  <c r="BB53" i="8"/>
  <c r="BB51" i="8"/>
  <c r="BB49" i="8"/>
  <c r="BB47" i="8"/>
  <c r="BB45" i="8"/>
  <c r="AN79" i="8"/>
  <c r="AN77" i="8"/>
  <c r="AN75" i="8"/>
  <c r="AN73" i="8"/>
  <c r="AN71" i="8"/>
  <c r="AN69" i="8"/>
  <c r="CQ79" i="8"/>
  <c r="CQ77" i="8"/>
  <c r="CQ75" i="8"/>
  <c r="CQ73" i="8"/>
  <c r="CQ71" i="8"/>
  <c r="CQ69" i="8"/>
  <c r="CQ67" i="8"/>
  <c r="CQ65" i="8"/>
  <c r="CQ63" i="8"/>
  <c r="CQ61" i="8"/>
  <c r="CQ59" i="8"/>
  <c r="CQ57" i="8"/>
  <c r="CQ55" i="8"/>
  <c r="CQ53" i="8"/>
  <c r="CQ51" i="8"/>
  <c r="CQ49" i="8"/>
  <c r="CQ47" i="8"/>
  <c r="CQ45" i="8"/>
  <c r="CC79" i="8"/>
  <c r="CC77" i="8"/>
  <c r="CC75" i="8"/>
  <c r="CC73" i="8"/>
  <c r="CC71" i="8"/>
  <c r="CC69" i="8"/>
  <c r="CC67" i="8"/>
  <c r="CC65" i="8"/>
  <c r="CC63" i="8"/>
  <c r="CC61" i="8"/>
  <c r="CC59" i="8"/>
  <c r="CC57" i="8"/>
  <c r="CC55" i="8"/>
  <c r="CC53" i="8"/>
  <c r="CC51" i="8"/>
  <c r="CC49" i="8"/>
  <c r="CC47" i="8"/>
  <c r="CC45" i="8"/>
  <c r="BO79" i="8"/>
  <c r="BO77" i="8"/>
  <c r="BO75" i="8"/>
  <c r="BO73" i="8"/>
  <c r="BO71" i="8"/>
  <c r="BO69" i="8"/>
  <c r="BO67" i="8"/>
  <c r="BO65" i="8"/>
  <c r="BO63" i="8"/>
  <c r="BO61" i="8"/>
  <c r="BO59" i="8"/>
  <c r="BO57" i="8"/>
  <c r="BO55" i="8"/>
  <c r="BO53" i="8"/>
  <c r="BO51" i="8"/>
  <c r="BO49" i="8"/>
  <c r="BO47" i="8"/>
  <c r="BO45" i="8"/>
  <c r="BA79" i="8"/>
  <c r="BA77" i="8"/>
  <c r="BA75" i="8"/>
  <c r="BA73" i="8"/>
  <c r="BA71" i="8"/>
  <c r="BA69" i="8"/>
  <c r="BA67" i="8"/>
  <c r="BA65" i="8"/>
  <c r="BA63" i="8"/>
  <c r="BA61" i="8"/>
  <c r="BA59" i="8"/>
  <c r="BA57" i="8"/>
  <c r="BA55" i="8"/>
  <c r="BA53" i="8"/>
  <c r="BA51" i="8"/>
  <c r="BA49" i="8"/>
  <c r="BA47" i="8"/>
  <c r="BA45" i="8"/>
  <c r="AM79" i="8"/>
  <c r="CP79" i="8"/>
  <c r="CP77" i="8"/>
  <c r="CP75" i="8"/>
  <c r="CP73" i="8"/>
  <c r="CP71" i="8"/>
  <c r="CP69" i="8"/>
  <c r="CP67" i="8"/>
  <c r="CP65" i="8"/>
  <c r="CP63" i="8"/>
  <c r="CP61" i="8"/>
  <c r="CP59" i="8"/>
  <c r="CP57" i="8"/>
  <c r="CP55" i="8"/>
  <c r="CP53" i="8"/>
  <c r="CP51" i="8"/>
  <c r="CP49" i="8"/>
  <c r="CP47" i="8"/>
  <c r="CP45" i="8"/>
  <c r="CB79" i="8"/>
  <c r="CB77" i="8"/>
  <c r="CB75" i="8"/>
  <c r="CB73" i="8"/>
  <c r="CB71" i="8"/>
  <c r="CB69" i="8"/>
  <c r="CB67" i="8"/>
  <c r="CB65" i="8"/>
  <c r="CB63" i="8"/>
  <c r="CB61" i="8"/>
  <c r="CB59" i="8"/>
  <c r="CB57" i="8"/>
  <c r="CB55" i="8"/>
  <c r="CB53" i="8"/>
  <c r="CB51" i="8"/>
  <c r="CB49" i="8"/>
  <c r="CB47" i="8"/>
  <c r="CB45" i="8"/>
  <c r="BN79" i="8"/>
  <c r="BN77" i="8"/>
  <c r="BN75" i="8"/>
  <c r="BN73" i="8"/>
  <c r="BN71" i="8"/>
  <c r="BN69" i="8"/>
  <c r="BN67" i="8"/>
  <c r="BN65" i="8"/>
  <c r="BN63" i="8"/>
  <c r="BN61" i="8"/>
  <c r="BN59" i="8"/>
  <c r="BN57" i="8"/>
  <c r="BN55" i="8"/>
  <c r="BN53" i="8"/>
  <c r="BN51" i="8"/>
  <c r="BN49" i="8"/>
  <c r="BN47" i="8"/>
  <c r="BN45" i="8"/>
  <c r="AZ79" i="8"/>
  <c r="AZ77" i="8"/>
  <c r="AZ75" i="8"/>
  <c r="AZ73" i="8"/>
  <c r="AZ71" i="8"/>
  <c r="AZ69" i="8"/>
  <c r="AZ67" i="8"/>
  <c r="AZ65" i="8"/>
  <c r="AZ63" i="8"/>
  <c r="AZ61" i="8"/>
  <c r="AZ59" i="8"/>
  <c r="AZ57" i="8"/>
  <c r="AZ55" i="8"/>
  <c r="AZ53" i="8"/>
  <c r="AZ51" i="8"/>
  <c r="AZ49" i="8"/>
  <c r="AZ47" i="8"/>
  <c r="AZ45" i="8"/>
  <c r="AL79" i="8"/>
  <c r="CO79" i="8"/>
  <c r="CO77" i="8"/>
  <c r="CO75" i="8"/>
  <c r="CO73" i="8"/>
  <c r="CO71" i="8"/>
  <c r="CO69" i="8"/>
  <c r="CO67" i="8"/>
  <c r="CO65" i="8"/>
  <c r="CO63" i="8"/>
  <c r="CO61" i="8"/>
  <c r="CO59" i="8"/>
  <c r="CO57" i="8"/>
  <c r="CO55" i="8"/>
  <c r="CO53" i="8"/>
  <c r="CO51" i="8"/>
  <c r="CO49" i="8"/>
  <c r="CO47" i="8"/>
  <c r="CO45" i="8"/>
  <c r="CA79" i="8"/>
  <c r="CA77" i="8"/>
  <c r="CA75" i="8"/>
  <c r="CA73" i="8"/>
  <c r="CA71" i="8"/>
  <c r="CN79" i="8"/>
  <c r="CN77" i="8"/>
  <c r="CN75" i="8"/>
  <c r="CN73" i="8"/>
  <c r="CN71" i="8"/>
  <c r="CN69" i="8"/>
  <c r="CN67" i="8"/>
  <c r="CN65" i="8"/>
  <c r="CN63" i="8"/>
  <c r="CN61" i="8"/>
  <c r="CN59" i="8"/>
  <c r="CN57" i="8"/>
  <c r="CN55" i="8"/>
  <c r="CN53" i="8"/>
  <c r="CN51" i="8"/>
  <c r="CN49" i="8"/>
  <c r="CN47" i="8"/>
  <c r="CN45" i="8"/>
  <c r="BZ79" i="8"/>
  <c r="BZ77" i="8"/>
  <c r="BZ75" i="8"/>
  <c r="BZ73" i="8"/>
  <c r="BZ71" i="8"/>
  <c r="BZ69" i="8"/>
  <c r="BZ67" i="8"/>
  <c r="BZ65" i="8"/>
  <c r="BZ63" i="8"/>
  <c r="BZ61" i="8"/>
  <c r="BZ59" i="8"/>
  <c r="BZ57" i="8"/>
  <c r="BZ55" i="8"/>
  <c r="BZ53" i="8"/>
  <c r="BZ51" i="8"/>
  <c r="BZ49" i="8"/>
  <c r="BZ47" i="8"/>
  <c r="BZ45" i="8"/>
  <c r="BL79" i="8"/>
  <c r="BL77" i="8"/>
  <c r="BL75" i="8"/>
  <c r="BL73" i="8"/>
  <c r="BL71" i="8"/>
  <c r="BL69" i="8"/>
  <c r="BL67" i="8"/>
  <c r="BL65" i="8"/>
  <c r="BL63" i="8"/>
  <c r="BL61" i="8"/>
  <c r="BL59" i="8"/>
  <c r="BL57" i="8"/>
  <c r="BL55" i="8"/>
  <c r="BL53" i="8"/>
  <c r="BL51" i="8"/>
  <c r="BL49" i="8"/>
  <c r="BL47" i="8"/>
  <c r="BL45" i="8"/>
  <c r="AX79" i="8"/>
  <c r="AX77" i="8"/>
  <c r="AX75" i="8"/>
  <c r="AX73" i="8"/>
  <c r="AX71" i="8"/>
  <c r="AX69" i="8"/>
  <c r="AX67" i="8"/>
  <c r="AX65" i="8"/>
  <c r="AX63" i="8"/>
  <c r="AX61" i="8"/>
  <c r="AX59" i="8"/>
  <c r="AX57" i="8"/>
  <c r="AX55" i="8"/>
  <c r="AX53" i="8"/>
  <c r="AX51" i="8"/>
  <c r="AX49" i="8"/>
  <c r="AX47" i="8"/>
  <c r="AX45" i="8"/>
  <c r="AJ79" i="8"/>
  <c r="CM79" i="8"/>
  <c r="CM77" i="8"/>
  <c r="CM75" i="8"/>
  <c r="CM73" i="8"/>
  <c r="CM71" i="8"/>
  <c r="CM69" i="8"/>
  <c r="CM67" i="8"/>
  <c r="CM65" i="8"/>
  <c r="CM63" i="8"/>
  <c r="CM61" i="8"/>
  <c r="CM59" i="8"/>
  <c r="CM57" i="8"/>
  <c r="CM55" i="8"/>
  <c r="CM53" i="8"/>
  <c r="CM51" i="8"/>
  <c r="CM49" i="8"/>
  <c r="CM47" i="8"/>
  <c r="CM45" i="8"/>
  <c r="BY79" i="8"/>
  <c r="BY77" i="8"/>
  <c r="BY75" i="8"/>
  <c r="BY73" i="8"/>
  <c r="BY71" i="8"/>
  <c r="BY69" i="8"/>
  <c r="BY67" i="8"/>
  <c r="BY65" i="8"/>
  <c r="BY63" i="8"/>
  <c r="BY61" i="8"/>
  <c r="BY59" i="8"/>
  <c r="BY57" i="8"/>
  <c r="BY55" i="8"/>
  <c r="BY53" i="8"/>
  <c r="BY51" i="8"/>
  <c r="BY49" i="8"/>
  <c r="BY47" i="8"/>
  <c r="BY45" i="8"/>
  <c r="BK79" i="8"/>
  <c r="BK77" i="8"/>
  <c r="BK75" i="8"/>
  <c r="BK73" i="8"/>
  <c r="BK71" i="8"/>
  <c r="BK69" i="8"/>
  <c r="BK67" i="8"/>
  <c r="BK65" i="8"/>
  <c r="BK63" i="8"/>
  <c r="BK61" i="8"/>
  <c r="BK59" i="8"/>
  <c r="BK57" i="8"/>
  <c r="BK55" i="8"/>
  <c r="BK53" i="8"/>
  <c r="BK51" i="8"/>
  <c r="BK49" i="8"/>
  <c r="BK47" i="8"/>
  <c r="BK45" i="8"/>
  <c r="AW79" i="8"/>
  <c r="AW77" i="8"/>
  <c r="AW75" i="8"/>
  <c r="AW73" i="8"/>
  <c r="AW71" i="8"/>
  <c r="AW69" i="8"/>
  <c r="AW67" i="8"/>
  <c r="AW65" i="8"/>
  <c r="AW63" i="8"/>
  <c r="AW61" i="8"/>
  <c r="AW59" i="8"/>
  <c r="AW57" i="8"/>
  <c r="AW55" i="8"/>
  <c r="AW53" i="8"/>
  <c r="AW51" i="8"/>
  <c r="AW49" i="8"/>
  <c r="AW47" i="8"/>
  <c r="AW45" i="8"/>
  <c r="AI79" i="8"/>
  <c r="AI77" i="8"/>
  <c r="AI75" i="8"/>
  <c r="AI73" i="8"/>
  <c r="AI71" i="8"/>
  <c r="AI69" i="8"/>
  <c r="AI67" i="8"/>
  <c r="AI65" i="8"/>
  <c r="CL79" i="8"/>
  <c r="CL77" i="8"/>
  <c r="CL75" i="8"/>
  <c r="CL73" i="8"/>
  <c r="CL71" i="8"/>
  <c r="CL69" i="8"/>
  <c r="CL67" i="8"/>
  <c r="CL65" i="8"/>
  <c r="CL63" i="8"/>
  <c r="CL61" i="8"/>
  <c r="CL59" i="8"/>
  <c r="CL57" i="8"/>
  <c r="CL55" i="8"/>
  <c r="CL53" i="8"/>
  <c r="CL51" i="8"/>
  <c r="CL49" i="8"/>
  <c r="CL47" i="8"/>
  <c r="CL45" i="8"/>
  <c r="BX79" i="8"/>
  <c r="BX77" i="8"/>
  <c r="BX75" i="8"/>
  <c r="BX73" i="8"/>
  <c r="BX71" i="8"/>
  <c r="BX69" i="8"/>
  <c r="BX67" i="8"/>
  <c r="BX65" i="8"/>
  <c r="BX63" i="8"/>
  <c r="BX61" i="8"/>
  <c r="BX59" i="8"/>
  <c r="BX57" i="8"/>
  <c r="BX55" i="8"/>
  <c r="BX53" i="8"/>
  <c r="BX51" i="8"/>
  <c r="BX49" i="8"/>
  <c r="BX47" i="8"/>
  <c r="BX45" i="8"/>
  <c r="BJ79" i="8"/>
  <c r="BJ77" i="8"/>
  <c r="BJ75" i="8"/>
  <c r="BJ73" i="8"/>
  <c r="BJ71" i="8"/>
  <c r="BJ69" i="8"/>
  <c r="BJ67" i="8"/>
  <c r="BJ65" i="8"/>
  <c r="BJ63" i="8"/>
  <c r="BJ61" i="8"/>
  <c r="BJ59" i="8"/>
  <c r="BJ57" i="8"/>
  <c r="BJ55" i="8"/>
  <c r="BJ53" i="8"/>
  <c r="BJ51" i="8"/>
  <c r="BJ49" i="8"/>
  <c r="BJ47" i="8"/>
  <c r="BJ45" i="8"/>
  <c r="AV79" i="8"/>
  <c r="AV77" i="8"/>
  <c r="AV75" i="8"/>
  <c r="AV73" i="8"/>
  <c r="AV71" i="8"/>
  <c r="AV69" i="8"/>
  <c r="AV67" i="8"/>
  <c r="AV65" i="8"/>
  <c r="AV63" i="8"/>
  <c r="AV61" i="8"/>
  <c r="AV59" i="8"/>
  <c r="AV57" i="8"/>
  <c r="AV55" i="8"/>
  <c r="AV53" i="8"/>
  <c r="AV51" i="8"/>
  <c r="AV49" i="8"/>
  <c r="AV47" i="8"/>
  <c r="AV45" i="8"/>
  <c r="AH79" i="8"/>
  <c r="AH77" i="8"/>
  <c r="AH75" i="8"/>
  <c r="AH73" i="8"/>
  <c r="AH71" i="8"/>
  <c r="AH69" i="8"/>
  <c r="AH67" i="8"/>
  <c r="AH65" i="8"/>
  <c r="CK79" i="8"/>
  <c r="CK77" i="8"/>
  <c r="CK75" i="8"/>
  <c r="CK73" i="8"/>
  <c r="CK71" i="8"/>
  <c r="CK69" i="8"/>
  <c r="CK67" i="8"/>
  <c r="CK65" i="8"/>
  <c r="CK63" i="8"/>
  <c r="CK61" i="8"/>
  <c r="CK59" i="8"/>
  <c r="CK57" i="8"/>
  <c r="CK55" i="8"/>
  <c r="CK53" i="8"/>
  <c r="CK51" i="8"/>
  <c r="CK49" i="8"/>
  <c r="CK47" i="8"/>
  <c r="CK45" i="8"/>
  <c r="BW79" i="8"/>
  <c r="BW77" i="8"/>
  <c r="BW75" i="8"/>
  <c r="BW73" i="8"/>
  <c r="BW71" i="8"/>
  <c r="BW69" i="8"/>
  <c r="BW67" i="8"/>
  <c r="BW65" i="8"/>
  <c r="BW63" i="8"/>
  <c r="BW61" i="8"/>
  <c r="BW59" i="8"/>
  <c r="BW57" i="8"/>
  <c r="BW55" i="8"/>
  <c r="BW53" i="8"/>
  <c r="BW51" i="8"/>
  <c r="BW49" i="8"/>
  <c r="BW47" i="8"/>
  <c r="BW45" i="8"/>
  <c r="BI79" i="8"/>
  <c r="BI77" i="8"/>
  <c r="BI75" i="8"/>
  <c r="BI73" i="8"/>
  <c r="BI71" i="8"/>
  <c r="BI69" i="8"/>
  <c r="BI67" i="8"/>
  <c r="BI65" i="8"/>
  <c r="BI63" i="8"/>
  <c r="BI61" i="8"/>
  <c r="BI59" i="8"/>
  <c r="BI57" i="8"/>
  <c r="BI55" i="8"/>
  <c r="BI53" i="8"/>
  <c r="BI51" i="8"/>
  <c r="BI49" i="8"/>
  <c r="BI47" i="8"/>
  <c r="BI45" i="8"/>
  <c r="AU79" i="8"/>
  <c r="AU77" i="8"/>
  <c r="AU75" i="8"/>
  <c r="AU73" i="8"/>
  <c r="AU71" i="8"/>
  <c r="AU69" i="8"/>
  <c r="AU67" i="8"/>
  <c r="AU65" i="8"/>
  <c r="AU63" i="8"/>
  <c r="AU61" i="8"/>
  <c r="CJ79" i="8"/>
  <c r="CJ77" i="8"/>
  <c r="CJ75" i="8"/>
  <c r="CJ73" i="8"/>
  <c r="CJ71" i="8"/>
  <c r="CJ69" i="8"/>
  <c r="CJ67" i="8"/>
  <c r="CJ65" i="8"/>
  <c r="CJ63" i="8"/>
  <c r="CJ61" i="8"/>
  <c r="CJ59" i="8"/>
  <c r="CJ57" i="8"/>
  <c r="CJ55" i="8"/>
  <c r="CJ53" i="8"/>
  <c r="CJ51" i="8"/>
  <c r="CJ49" i="8"/>
  <c r="CJ47" i="8"/>
  <c r="CJ45" i="8"/>
  <c r="BV79" i="8"/>
  <c r="BV77" i="8"/>
  <c r="BV75" i="8"/>
  <c r="BV73" i="8"/>
  <c r="BV71" i="8"/>
  <c r="BV69" i="8"/>
  <c r="BV67" i="8"/>
  <c r="BV65" i="8"/>
  <c r="BV63" i="8"/>
  <c r="BV61" i="8"/>
  <c r="BV59" i="8"/>
  <c r="BV57" i="8"/>
  <c r="BV55" i="8"/>
  <c r="BV53" i="8"/>
  <c r="BV51" i="8"/>
  <c r="BV49" i="8"/>
  <c r="BV47" i="8"/>
  <c r="BV45" i="8"/>
  <c r="BH79" i="8"/>
  <c r="BH77" i="8"/>
  <c r="BH75" i="8"/>
  <c r="BH73" i="8"/>
  <c r="BH71" i="8"/>
  <c r="BH69" i="8"/>
  <c r="BH67" i="8"/>
  <c r="BH65" i="8"/>
  <c r="BH63" i="8"/>
  <c r="BH61" i="8"/>
  <c r="BH59" i="8"/>
  <c r="BH57" i="8"/>
  <c r="BH55" i="8"/>
  <c r="BH53" i="8"/>
  <c r="BH51" i="8"/>
  <c r="BH49" i="8"/>
  <c r="BH47" i="8"/>
  <c r="BH45" i="8"/>
  <c r="AT79" i="8"/>
  <c r="AT77" i="8"/>
  <c r="AT75" i="8"/>
  <c r="AT73" i="8"/>
  <c r="AT71" i="8"/>
  <c r="AT69" i="8"/>
  <c r="AT67" i="8"/>
  <c r="AT65" i="8"/>
  <c r="AT63" i="8"/>
  <c r="AT61" i="8"/>
  <c r="AT59" i="8"/>
  <c r="AT57" i="8"/>
  <c r="AT55" i="8"/>
  <c r="AT53" i="8"/>
  <c r="AT51" i="8"/>
  <c r="AT49" i="8"/>
  <c r="AT47" i="8"/>
  <c r="AT45" i="8"/>
  <c r="AF79" i="8"/>
  <c r="AF77" i="8"/>
  <c r="CU78" i="8"/>
  <c r="CU76" i="8"/>
  <c r="CU74" i="8"/>
  <c r="CU72" i="8"/>
  <c r="CU70" i="8"/>
  <c r="CU68" i="8"/>
  <c r="CU66" i="8"/>
  <c r="CU64" i="8"/>
  <c r="CU62" i="8"/>
  <c r="CU60" i="8"/>
  <c r="CU58" i="8"/>
  <c r="CU56" i="8"/>
  <c r="CU54" i="8"/>
  <c r="CU52" i="8"/>
  <c r="CU50" i="8"/>
  <c r="CU48" i="8"/>
  <c r="CU46" i="8"/>
  <c r="CU44" i="8"/>
  <c r="CG78" i="8"/>
  <c r="CG76" i="8"/>
  <c r="CG74" i="8"/>
  <c r="CG72" i="8"/>
  <c r="CG70" i="8"/>
  <c r="CG68" i="8"/>
  <c r="CG66" i="8"/>
  <c r="CG64" i="8"/>
  <c r="CG62" i="8"/>
  <c r="CG60" i="8"/>
  <c r="CG58" i="8"/>
  <c r="CG56" i="8"/>
  <c r="CG54" i="8"/>
  <c r="CG52" i="8"/>
  <c r="CG50" i="8"/>
  <c r="CG48" i="8"/>
  <c r="CG46" i="8"/>
  <c r="CG44" i="8"/>
  <c r="BS78" i="8"/>
  <c r="BS76" i="8"/>
  <c r="BS74" i="8"/>
  <c r="BS72" i="8"/>
  <c r="BS70" i="8"/>
  <c r="BS68" i="8"/>
  <c r="BS66" i="8"/>
  <c r="BS64" i="8"/>
  <c r="BS62" i="8"/>
  <c r="BS60" i="8"/>
  <c r="BS58" i="8"/>
  <c r="BS56" i="8"/>
  <c r="BS54" i="8"/>
  <c r="BS52" i="8"/>
  <c r="BS50" i="8"/>
  <c r="BS48" i="8"/>
  <c r="BS46" i="8"/>
  <c r="BS44" i="8"/>
  <c r="BE78" i="8"/>
  <c r="BE76" i="8"/>
  <c r="BE74" i="8"/>
  <c r="BE72" i="8"/>
  <c r="BE70" i="8"/>
  <c r="BE68" i="8"/>
  <c r="BE66" i="8"/>
  <c r="BE64" i="8"/>
  <c r="BE62" i="8"/>
  <c r="BE60" i="8"/>
  <c r="BE58" i="8"/>
  <c r="BE56" i="8"/>
  <c r="BE54" i="8"/>
  <c r="BE52" i="8"/>
  <c r="BE50" i="8"/>
  <c r="BE48" i="8"/>
  <c r="BE46" i="8"/>
  <c r="BE44" i="8"/>
  <c r="CT78" i="8"/>
  <c r="CT76" i="8"/>
  <c r="CT74" i="8"/>
  <c r="CT72" i="8"/>
  <c r="CT70" i="8"/>
  <c r="CT68" i="8"/>
  <c r="CT66" i="8"/>
  <c r="CT64" i="8"/>
  <c r="CT62" i="8"/>
  <c r="CT60" i="8"/>
  <c r="CT58" i="8"/>
  <c r="CT56" i="8"/>
  <c r="CT54" i="8"/>
  <c r="CT52" i="8"/>
  <c r="CT50" i="8"/>
  <c r="CT48" i="8"/>
  <c r="CT46" i="8"/>
  <c r="CT44" i="8"/>
  <c r="CF78" i="8"/>
  <c r="CF76" i="8"/>
  <c r="CF74" i="8"/>
  <c r="CF72" i="8"/>
  <c r="CF70" i="8"/>
  <c r="CF68" i="8"/>
  <c r="CF66" i="8"/>
  <c r="CF64" i="8"/>
  <c r="CF62" i="8"/>
  <c r="CF60" i="8"/>
  <c r="CF58" i="8"/>
  <c r="CF56" i="8"/>
  <c r="CF54" i="8"/>
  <c r="CF52" i="8"/>
  <c r="CF50" i="8"/>
  <c r="CF48" i="8"/>
  <c r="CF46" i="8"/>
  <c r="CF44" i="8"/>
  <c r="BR78" i="8"/>
  <c r="BR76" i="8"/>
  <c r="BR74" i="8"/>
  <c r="BR72" i="8"/>
  <c r="BR70" i="8"/>
  <c r="BR68" i="8"/>
  <c r="BR66" i="8"/>
  <c r="BR64" i="8"/>
  <c r="BR62" i="8"/>
  <c r="BR60" i="8"/>
  <c r="BR58" i="8"/>
  <c r="BR56" i="8"/>
  <c r="BR54" i="8"/>
  <c r="BR52" i="8"/>
  <c r="BR50" i="8"/>
  <c r="BR48" i="8"/>
  <c r="BR46" i="8"/>
  <c r="BR44" i="8"/>
  <c r="BD78" i="8"/>
  <c r="BD76" i="8"/>
  <c r="BD74" i="8"/>
  <c r="BD72" i="8"/>
  <c r="BD70" i="8"/>
  <c r="BD68" i="8"/>
  <c r="BD66" i="8"/>
  <c r="CS78" i="8"/>
  <c r="CS76" i="8"/>
  <c r="CS74" i="8"/>
  <c r="CS72" i="8"/>
  <c r="CS70" i="8"/>
  <c r="CS68" i="8"/>
  <c r="CS66" i="8"/>
  <c r="CS64" i="8"/>
  <c r="CS62" i="8"/>
  <c r="CS60" i="8"/>
  <c r="CS58" i="8"/>
  <c r="CS56" i="8"/>
  <c r="CS54" i="8"/>
  <c r="CS52" i="8"/>
  <c r="CS50" i="8"/>
  <c r="CS48" i="8"/>
  <c r="CS46" i="8"/>
  <c r="CS44" i="8"/>
  <c r="CE78" i="8"/>
  <c r="CE76" i="8"/>
  <c r="CE74" i="8"/>
  <c r="CE72" i="8"/>
  <c r="CE70" i="8"/>
  <c r="CE68" i="8"/>
  <c r="CE66" i="8"/>
  <c r="CE64" i="8"/>
  <c r="CE62" i="8"/>
  <c r="CE60" i="8"/>
  <c r="CE58" i="8"/>
  <c r="CE56" i="8"/>
  <c r="CE54" i="8"/>
  <c r="CE52" i="8"/>
  <c r="CE50" i="8"/>
  <c r="CE48" i="8"/>
  <c r="CE46" i="8"/>
  <c r="CE44" i="8"/>
  <c r="BQ78" i="8"/>
  <c r="BQ76" i="8"/>
  <c r="BQ74" i="8"/>
  <c r="BQ72" i="8"/>
  <c r="BQ70" i="8"/>
  <c r="BQ68" i="8"/>
  <c r="BQ66" i="8"/>
  <c r="BQ64" i="8"/>
  <c r="BQ62" i="8"/>
  <c r="BQ60" i="8"/>
  <c r="BQ58" i="8"/>
  <c r="BQ56" i="8"/>
  <c r="BQ54" i="8"/>
  <c r="BQ52" i="8"/>
  <c r="BQ50" i="8"/>
  <c r="BQ48" i="8"/>
  <c r="BQ46" i="8"/>
  <c r="BQ44" i="8"/>
  <c r="BC78" i="8"/>
  <c r="BC76" i="8"/>
  <c r="BC74" i="8"/>
  <c r="BC72" i="8"/>
  <c r="BC70" i="8"/>
  <c r="BC68" i="8"/>
  <c r="BC66" i="8"/>
  <c r="BC64" i="8"/>
  <c r="BC62" i="8"/>
  <c r="CR78" i="8"/>
  <c r="CR76" i="8"/>
  <c r="CR74" i="8"/>
  <c r="CR72" i="8"/>
  <c r="CR70" i="8"/>
  <c r="CR68" i="8"/>
  <c r="CR66" i="8"/>
  <c r="CR64" i="8"/>
  <c r="CR62" i="8"/>
  <c r="CR60" i="8"/>
  <c r="CR58" i="8"/>
  <c r="CR56" i="8"/>
  <c r="CR54" i="8"/>
  <c r="CR52" i="8"/>
  <c r="CR50" i="8"/>
  <c r="CR48" i="8"/>
  <c r="CR46" i="8"/>
  <c r="CR44" i="8"/>
  <c r="CD78" i="8"/>
  <c r="CD76" i="8"/>
  <c r="CD74" i="8"/>
  <c r="CD72" i="8"/>
  <c r="CD70" i="8"/>
  <c r="CD68" i="8"/>
  <c r="CD66" i="8"/>
  <c r="CD64" i="8"/>
  <c r="CD62" i="8"/>
  <c r="CD60" i="8"/>
  <c r="CD58" i="8"/>
  <c r="CD56" i="8"/>
  <c r="CD54" i="8"/>
  <c r="CD52" i="8"/>
  <c r="CD50" i="8"/>
  <c r="CD48" i="8"/>
  <c r="CD46" i="8"/>
  <c r="CD44" i="8"/>
  <c r="BP78" i="8"/>
  <c r="BP76" i="8"/>
  <c r="BP74" i="8"/>
  <c r="BP72" i="8"/>
  <c r="BP70" i="8"/>
  <c r="BP68" i="8"/>
  <c r="BP66" i="8"/>
  <c r="BP64" i="8"/>
  <c r="BP62" i="8"/>
  <c r="BP60" i="8"/>
  <c r="BP58" i="8"/>
  <c r="BP56" i="8"/>
  <c r="BP54" i="8"/>
  <c r="BP52" i="8"/>
  <c r="BP50" i="8"/>
  <c r="BP48" i="8"/>
  <c r="BP46" i="8"/>
  <c r="BP44" i="8"/>
  <c r="BB78" i="8"/>
  <c r="BB76" i="8"/>
  <c r="BB74" i="8"/>
  <c r="BB72" i="8"/>
  <c r="BB70" i="8"/>
  <c r="BB68" i="8"/>
  <c r="BB66" i="8"/>
  <c r="BB64" i="8"/>
  <c r="BB62" i="8"/>
  <c r="BB60" i="8"/>
  <c r="BB58" i="8"/>
  <c r="BB56" i="8"/>
  <c r="BB54" i="8"/>
  <c r="BB52" i="8"/>
  <c r="BB50" i="8"/>
  <c r="BB48" i="8"/>
  <c r="BB46" i="8"/>
  <c r="BB44" i="8"/>
  <c r="AN78" i="8"/>
  <c r="AN76" i="8"/>
  <c r="CQ78" i="8"/>
  <c r="CQ76" i="8"/>
  <c r="CQ74" i="8"/>
  <c r="CQ72" i="8"/>
  <c r="CQ70" i="8"/>
  <c r="CQ68" i="8"/>
  <c r="CQ66" i="8"/>
  <c r="CQ64" i="8"/>
  <c r="CQ62" i="8"/>
  <c r="CQ60" i="8"/>
  <c r="CQ58" i="8"/>
  <c r="CQ56" i="8"/>
  <c r="CQ54" i="8"/>
  <c r="CQ52" i="8"/>
  <c r="CQ50" i="8"/>
  <c r="CQ48" i="8"/>
  <c r="CQ46" i="8"/>
  <c r="CQ44" i="8"/>
  <c r="CC78" i="8"/>
  <c r="CC76" i="8"/>
  <c r="CC74" i="8"/>
  <c r="CC72" i="8"/>
  <c r="CC70" i="8"/>
  <c r="CC68" i="8"/>
  <c r="CC66" i="8"/>
  <c r="CC64" i="8"/>
  <c r="CC62" i="8"/>
  <c r="CC60" i="8"/>
  <c r="CC58" i="8"/>
  <c r="CC56" i="8"/>
  <c r="CC54" i="8"/>
  <c r="CC52" i="8"/>
  <c r="CC50" i="8"/>
  <c r="CC48" i="8"/>
  <c r="CC46" i="8"/>
  <c r="CC44" i="8"/>
  <c r="BO78" i="8"/>
  <c r="BO76" i="8"/>
  <c r="BO74" i="8"/>
  <c r="BO72" i="8"/>
  <c r="BO70" i="8"/>
  <c r="BO68" i="8"/>
  <c r="BO66" i="8"/>
  <c r="BO64" i="8"/>
  <c r="BO62" i="8"/>
  <c r="BO60" i="8"/>
  <c r="BO58" i="8"/>
  <c r="BO56" i="8"/>
  <c r="BO54" i="8"/>
  <c r="BO52" i="8"/>
  <c r="BO50" i="8"/>
  <c r="BO48" i="8"/>
  <c r="BO46" i="8"/>
  <c r="BO44" i="8"/>
  <c r="BA78" i="8"/>
  <c r="BA76" i="8"/>
  <c r="BA74" i="8"/>
  <c r="BA72" i="8"/>
  <c r="BA70" i="8"/>
  <c r="BA68" i="8"/>
  <c r="BA66" i="8"/>
  <c r="BA64" i="8"/>
  <c r="BA62" i="8"/>
  <c r="CN78" i="8"/>
  <c r="CN76" i="8"/>
  <c r="CN74" i="8"/>
  <c r="CN72" i="8"/>
  <c r="CN70" i="8"/>
  <c r="CN68" i="8"/>
  <c r="CN66" i="8"/>
  <c r="CN64" i="8"/>
  <c r="CN62" i="8"/>
  <c r="CN60" i="8"/>
  <c r="CN58" i="8"/>
  <c r="CN56" i="8"/>
  <c r="CN54" i="8"/>
  <c r="CN52" i="8"/>
  <c r="CN50" i="8"/>
  <c r="CN48" i="8"/>
  <c r="CN46" i="8"/>
  <c r="CN44" i="8"/>
  <c r="BZ78" i="8"/>
  <c r="BZ76" i="8"/>
  <c r="BZ74" i="8"/>
  <c r="BZ72" i="8"/>
  <c r="BZ70" i="8"/>
  <c r="BZ68" i="8"/>
  <c r="BZ66" i="8"/>
  <c r="BZ64" i="8"/>
  <c r="BZ62" i="8"/>
  <c r="BZ60" i="8"/>
  <c r="BZ58" i="8"/>
  <c r="BZ56" i="8"/>
  <c r="BZ54" i="8"/>
  <c r="BZ52" i="8"/>
  <c r="BZ50" i="8"/>
  <c r="BZ48" i="8"/>
  <c r="BZ46" i="8"/>
  <c r="BZ44" i="8"/>
  <c r="BL78" i="8"/>
  <c r="BL76" i="8"/>
  <c r="BL74" i="8"/>
  <c r="BL72" i="8"/>
  <c r="BL70" i="8"/>
  <c r="BL68" i="8"/>
  <c r="BL66" i="8"/>
  <c r="BL64" i="8"/>
  <c r="BL62" i="8"/>
  <c r="BL60" i="8"/>
  <c r="BL58" i="8"/>
  <c r="BL56" i="8"/>
  <c r="BL54" i="8"/>
  <c r="BL52" i="8"/>
  <c r="BL50" i="8"/>
  <c r="BL48" i="8"/>
  <c r="BL46" i="8"/>
  <c r="BL44" i="8"/>
  <c r="AX78" i="8"/>
  <c r="AX76" i="8"/>
  <c r="AX74" i="8"/>
  <c r="AX72" i="8"/>
  <c r="AX70" i="8"/>
  <c r="AX68" i="8"/>
  <c r="AX66" i="8"/>
  <c r="AX64" i="8"/>
  <c r="AX62" i="8"/>
  <c r="AX60" i="8"/>
  <c r="AX58" i="8"/>
  <c r="AX56" i="8"/>
  <c r="CL78" i="8"/>
  <c r="CL76" i="8"/>
  <c r="CL74" i="8"/>
  <c r="CL72" i="8"/>
  <c r="CL70" i="8"/>
  <c r="CL68" i="8"/>
  <c r="CL66" i="8"/>
  <c r="CL64" i="8"/>
  <c r="CL62" i="8"/>
  <c r="CL60" i="8"/>
  <c r="CL58" i="8"/>
  <c r="CL56" i="8"/>
  <c r="CL54" i="8"/>
  <c r="CL52" i="8"/>
  <c r="CL50" i="8"/>
  <c r="CL48" i="8"/>
  <c r="CL46" i="8"/>
  <c r="CL44" i="8"/>
  <c r="BX78" i="8"/>
  <c r="BX76" i="8"/>
  <c r="BX74" i="8"/>
  <c r="BX72" i="8"/>
  <c r="BX70" i="8"/>
  <c r="BX68" i="8"/>
  <c r="BX66" i="8"/>
  <c r="BX64" i="8"/>
  <c r="BX62" i="8"/>
  <c r="BX60" i="8"/>
  <c r="BX58" i="8"/>
  <c r="BX56" i="8"/>
  <c r="BX54" i="8"/>
  <c r="BX52" i="8"/>
  <c r="BX50" i="8"/>
  <c r="BX48" i="8"/>
  <c r="BX46" i="8"/>
  <c r="BX44" i="8"/>
  <c r="BJ78" i="8"/>
  <c r="BJ76" i="8"/>
  <c r="BJ74" i="8"/>
  <c r="BJ72" i="8"/>
  <c r="BJ70" i="8"/>
  <c r="BJ68" i="8"/>
  <c r="BJ66" i="8"/>
  <c r="BJ64" i="8"/>
  <c r="BJ62" i="8"/>
  <c r="BJ60" i="8"/>
  <c r="BJ58" i="8"/>
  <c r="BJ56" i="8"/>
  <c r="BJ54" i="8"/>
  <c r="BJ52" i="8"/>
  <c r="BJ50" i="8"/>
  <c r="BJ48" i="8"/>
  <c r="BJ46" i="8"/>
  <c r="BJ44" i="8"/>
  <c r="AV78" i="8"/>
  <c r="AV76" i="8"/>
  <c r="AV74" i="8"/>
  <c r="AV72" i="8"/>
  <c r="AV70" i="8"/>
  <c r="AV68" i="8"/>
  <c r="AV66" i="8"/>
  <c r="AV64" i="8"/>
  <c r="AV62" i="8"/>
  <c r="AV60" i="8"/>
  <c r="AV58" i="8"/>
  <c r="AV56" i="8"/>
  <c r="AV54" i="8"/>
  <c r="AV52" i="8"/>
  <c r="AV50" i="8"/>
  <c r="AI45" i="8"/>
  <c r="AI47" i="8"/>
  <c r="AI49" i="8"/>
  <c r="AI51" i="8"/>
  <c r="AI53" i="8"/>
  <c r="AI55" i="8"/>
  <c r="AK57" i="8"/>
  <c r="AM59" i="8"/>
  <c r="AO61" i="8"/>
  <c r="AH64" i="8"/>
  <c r="AM66" i="8"/>
  <c r="AF69" i="8"/>
  <c r="AH72" i="8"/>
  <c r="AO74" i="8"/>
  <c r="AF78" i="8"/>
  <c r="AV46" i="8"/>
  <c r="AY50" i="8"/>
  <c r="BD54" i="8"/>
  <c r="AZ60" i="8"/>
  <c r="AY68" i="8"/>
  <c r="AW78" i="8"/>
  <c r="BH52" i="8"/>
  <c r="BM61" i="8"/>
  <c r="BN70" i="8"/>
  <c r="CA44" i="8"/>
  <c r="BY54" i="8"/>
  <c r="BV64" i="8"/>
  <c r="BY74" i="8"/>
  <c r="CO52" i="8"/>
  <c r="CO68" i="8"/>
  <c r="CM397" i="30"/>
  <c r="CK400" i="30"/>
  <c r="CS402" i="30"/>
  <c r="CQ405" i="30"/>
  <c r="CP408" i="30"/>
  <c r="CO411" i="30"/>
  <c r="CO414" i="30"/>
  <c r="CL417" i="30"/>
  <c r="CK420" i="30"/>
  <c r="CN69" i="17"/>
  <c r="AH49" i="17"/>
  <c r="AJ47" i="17"/>
  <c r="AU59" i="17"/>
  <c r="AM68" i="17"/>
  <c r="AJ45" i="8"/>
  <c r="AJ47" i="8"/>
  <c r="AJ49" i="8"/>
  <c r="AJ51" i="8"/>
  <c r="AJ53" i="8"/>
  <c r="AJ55" i="8"/>
  <c r="AL57" i="8"/>
  <c r="AN59" i="8"/>
  <c r="AF62" i="8"/>
  <c r="AI64" i="8"/>
  <c r="AN66" i="8"/>
  <c r="AG69" i="8"/>
  <c r="AI72" i="8"/>
  <c r="AP74" i="8"/>
  <c r="AH78" i="8"/>
  <c r="AW46" i="8"/>
  <c r="AZ50" i="8"/>
  <c r="AU55" i="8"/>
  <c r="BA60" i="8"/>
  <c r="AZ68" i="8"/>
  <c r="AY78" i="8"/>
  <c r="BK52" i="8"/>
  <c r="BH62" i="8"/>
  <c r="BM71" i="8"/>
  <c r="CB44" i="8"/>
  <c r="CA54" i="8"/>
  <c r="BY64" i="8"/>
  <c r="CA74" i="8"/>
  <c r="CP52" i="8"/>
  <c r="CP68" i="8"/>
  <c r="AK45" i="8"/>
  <c r="AK47" i="8"/>
  <c r="AK49" i="8"/>
  <c r="AK51" i="8"/>
  <c r="AK53" i="8"/>
  <c r="AK55" i="8"/>
  <c r="AM57" i="8"/>
  <c r="AO59" i="8"/>
  <c r="AG62" i="8"/>
  <c r="AJ64" i="8"/>
  <c r="AO66" i="8"/>
  <c r="AJ69" i="8"/>
  <c r="AJ72" i="8"/>
  <c r="AQ74" i="8"/>
  <c r="AI78" i="8"/>
  <c r="AX46" i="8"/>
  <c r="BA50" i="8"/>
  <c r="AY55" i="8"/>
  <c r="BC60" i="8"/>
  <c r="AY69" i="8"/>
  <c r="AZ78" i="8"/>
  <c r="BM52" i="8"/>
  <c r="BK62" i="8"/>
  <c r="BH72" i="8"/>
  <c r="CA45" i="8"/>
  <c r="CB54" i="8"/>
  <c r="CA64" i="8"/>
  <c r="CB74" i="8"/>
  <c r="CM54" i="8"/>
  <c r="CM70" i="8"/>
  <c r="AL45" i="8"/>
  <c r="AL47" i="8"/>
  <c r="AL49" i="8"/>
  <c r="AL51" i="8"/>
  <c r="AL53" i="8"/>
  <c r="AL55" i="8"/>
  <c r="AN57" i="8"/>
  <c r="AF60" i="8"/>
  <c r="AH62" i="8"/>
  <c r="AK64" i="8"/>
  <c r="AP66" i="8"/>
  <c r="AK69" i="8"/>
  <c r="AK72" i="8"/>
  <c r="AF75" i="8"/>
  <c r="AJ78" i="8"/>
  <c r="AY46" i="8"/>
  <c r="BC50" i="8"/>
  <c r="AT56" i="8"/>
  <c r="BD60" i="8"/>
  <c r="AT70" i="8"/>
  <c r="AY79" i="8"/>
  <c r="BN52" i="8"/>
  <c r="BM62" i="8"/>
  <c r="BK72" i="8"/>
  <c r="BV46" i="8"/>
  <c r="CA55" i="8"/>
  <c r="CB64" i="8"/>
  <c r="BV76" i="8"/>
  <c r="CO54" i="8"/>
  <c r="CO70" i="8"/>
  <c r="AM45" i="8"/>
  <c r="AM47" i="8"/>
  <c r="AM49" i="8"/>
  <c r="AM51" i="8"/>
  <c r="AM53" i="8"/>
  <c r="AM55" i="8"/>
  <c r="AO57" i="8"/>
  <c r="AG60" i="8"/>
  <c r="AI62" i="8"/>
  <c r="AL64" i="8"/>
  <c r="AQ66" i="8"/>
  <c r="AL69" i="8"/>
  <c r="AL72" i="8"/>
  <c r="AG75" i="8"/>
  <c r="AK78" i="8"/>
  <c r="AZ46" i="8"/>
  <c r="BD50" i="8"/>
  <c r="AW56" i="8"/>
  <c r="AY61" i="8"/>
  <c r="AW70" i="8"/>
  <c r="BH44" i="8"/>
  <c r="BM53" i="8"/>
  <c r="BN62" i="8"/>
  <c r="BM72" i="8"/>
  <c r="BY46" i="8"/>
  <c r="BV56" i="8"/>
  <c r="CA65" i="8"/>
  <c r="BY76" i="8"/>
  <c r="CP54" i="8"/>
  <c r="CP70" i="8"/>
  <c r="AN45" i="8"/>
  <c r="AN47" i="8"/>
  <c r="AN49" i="8"/>
  <c r="AN51" i="8"/>
  <c r="AN53" i="8"/>
  <c r="AN55" i="8"/>
  <c r="AF58" i="8"/>
  <c r="AH60" i="8"/>
  <c r="AJ62" i="8"/>
  <c r="AM64" i="8"/>
  <c r="AF67" i="8"/>
  <c r="AM69" i="8"/>
  <c r="AM72" i="8"/>
  <c r="AJ75" i="8"/>
  <c r="AL78" i="8"/>
  <c r="BA46" i="8"/>
  <c r="AU51" i="8"/>
  <c r="AY56" i="8"/>
  <c r="AT62" i="8"/>
  <c r="AY70" i="8"/>
  <c r="BK44" i="8"/>
  <c r="BH54" i="8"/>
  <c r="BM63" i="8"/>
  <c r="BN72" i="8"/>
  <c r="CA46" i="8"/>
  <c r="BY56" i="8"/>
  <c r="BV66" i="8"/>
  <c r="CA76" i="8"/>
  <c r="CM56" i="8"/>
  <c r="CM72" i="8"/>
  <c r="CN61" i="24"/>
  <c r="BZ63" i="24"/>
  <c r="AO45" i="8"/>
  <c r="AO47" i="8"/>
  <c r="AO49" i="8"/>
  <c r="AO51" i="8"/>
  <c r="AO53" i="8"/>
  <c r="AO55" i="8"/>
  <c r="AG58" i="8"/>
  <c r="AI60" i="8"/>
  <c r="AK62" i="8"/>
  <c r="AN64" i="8"/>
  <c r="AG67" i="8"/>
  <c r="AF70" i="8"/>
  <c r="AN72" i="8"/>
  <c r="AK75" i="8"/>
  <c r="AM78" i="8"/>
  <c r="BC46" i="8"/>
  <c r="AY51" i="8"/>
  <c r="AZ56" i="8"/>
  <c r="AW62" i="8"/>
  <c r="AZ70" i="8"/>
  <c r="BM44" i="8"/>
  <c r="BK54" i="8"/>
  <c r="BH64" i="8"/>
  <c r="BM73" i="8"/>
  <c r="CB46" i="8"/>
  <c r="CA56" i="8"/>
  <c r="BY66" i="8"/>
  <c r="CB76" i="8"/>
  <c r="CO56" i="8"/>
  <c r="CO72" i="8"/>
  <c r="AP45" i="8"/>
  <c r="AP47" i="8"/>
  <c r="AP49" i="8"/>
  <c r="AP51" i="8"/>
  <c r="AP53" i="8"/>
  <c r="AF56" i="8"/>
  <c r="AH58" i="8"/>
  <c r="AJ60" i="8"/>
  <c r="AL62" i="8"/>
  <c r="AO64" i="8"/>
  <c r="AJ67" i="8"/>
  <c r="AH70" i="8"/>
  <c r="AO72" i="8"/>
  <c r="AL75" i="8"/>
  <c r="AO78" i="8"/>
  <c r="BD46" i="8"/>
  <c r="AT52" i="8"/>
  <c r="BA56" i="8"/>
  <c r="AY62" i="8"/>
  <c r="AY71" i="8"/>
  <c r="BN44" i="8"/>
  <c r="BM54" i="8"/>
  <c r="BK64" i="8"/>
  <c r="BH74" i="8"/>
  <c r="CA47" i="8"/>
  <c r="CB56" i="8"/>
  <c r="CA66" i="8"/>
  <c r="BV78" i="8"/>
  <c r="CP56" i="8"/>
  <c r="CP72" i="8"/>
  <c r="AQ45" i="8"/>
  <c r="AQ47" i="8"/>
  <c r="AQ49" i="8"/>
  <c r="AQ51" i="8"/>
  <c r="AQ53" i="8"/>
  <c r="AG56" i="8"/>
  <c r="AI58" i="8"/>
  <c r="AK60" i="8"/>
  <c r="AM62" i="8"/>
  <c r="AP64" i="8"/>
  <c r="AK67" i="8"/>
  <c r="AI70" i="8"/>
  <c r="AP72" i="8"/>
  <c r="AM75" i="8"/>
  <c r="AP78" i="8"/>
  <c r="AU47" i="8"/>
  <c r="AW52" i="8"/>
  <c r="BC56" i="8"/>
  <c r="AZ62" i="8"/>
  <c r="AT72" i="8"/>
  <c r="BM45" i="8"/>
  <c r="BN54" i="8"/>
  <c r="BM64" i="8"/>
  <c r="BK74" i="8"/>
  <c r="BV48" i="8"/>
  <c r="CA57" i="8"/>
  <c r="CB66" i="8"/>
  <c r="BY78" i="8"/>
  <c r="CM58" i="8"/>
  <c r="CM74" i="8"/>
  <c r="AF44" i="8"/>
  <c r="AF46" i="8"/>
  <c r="AF48" i="8"/>
  <c r="AF50" i="8"/>
  <c r="AF52" i="8"/>
  <c r="AF54" i="8"/>
  <c r="AH56" i="8"/>
  <c r="AJ58" i="8"/>
  <c r="AL60" i="8"/>
  <c r="AN62" i="8"/>
  <c r="AQ64" i="8"/>
  <c r="AL67" i="8"/>
  <c r="AJ70" i="8"/>
  <c r="AQ72" i="8"/>
  <c r="AF76" i="8"/>
  <c r="AQ78" i="8"/>
  <c r="AY47" i="8"/>
  <c r="AX52" i="8"/>
  <c r="BD56" i="8"/>
  <c r="BD62" i="8"/>
  <c r="AW72" i="8"/>
  <c r="BH46" i="8"/>
  <c r="BM55" i="8"/>
  <c r="BN64" i="8"/>
  <c r="BM74" i="8"/>
  <c r="BY48" i="8"/>
  <c r="BV58" i="8"/>
  <c r="CA67" i="8"/>
  <c r="CA78" i="8"/>
  <c r="CO58" i="8"/>
  <c r="CO74" i="8"/>
  <c r="CP398" i="30"/>
  <c r="CN401" i="30"/>
  <c r="CJ404" i="30"/>
  <c r="CS406" i="30"/>
  <c r="CP409" i="30"/>
  <c r="CO412" i="30"/>
  <c r="CM415" i="30"/>
  <c r="CL418" i="30"/>
  <c r="AG44" i="8"/>
  <c r="AG46" i="8"/>
  <c r="AG48" i="8"/>
  <c r="AG50" i="8"/>
  <c r="AG52" i="8"/>
  <c r="AG54" i="8"/>
  <c r="AI56" i="8"/>
  <c r="AK58" i="8"/>
  <c r="AM60" i="8"/>
  <c r="AO62" i="8"/>
  <c r="AF65" i="8"/>
  <c r="AM67" i="8"/>
  <c r="AK70" i="8"/>
  <c r="AF73" i="8"/>
  <c r="AH76" i="8"/>
  <c r="AG79" i="8"/>
  <c r="AT48" i="8"/>
  <c r="AY52" i="8"/>
  <c r="AU57" i="8"/>
  <c r="AY63" i="8"/>
  <c r="AY72" i="8"/>
  <c r="BK46" i="8"/>
  <c r="BH56" i="8"/>
  <c r="BM65" i="8"/>
  <c r="BN74" i="8"/>
  <c r="CA48" i="8"/>
  <c r="BY58" i="8"/>
  <c r="BV68" i="8"/>
  <c r="CB78" i="8"/>
  <c r="CP58" i="8"/>
  <c r="CP74" i="8"/>
  <c r="AI60" i="30"/>
  <c r="BD47" i="30"/>
  <c r="BL47" i="30"/>
  <c r="AK60" i="30"/>
  <c r="AW48" i="30"/>
  <c r="BL49" i="30"/>
  <c r="AI45" i="30"/>
  <c r="AM62" i="30"/>
  <c r="BB50" i="30"/>
  <c r="BZ53" i="30"/>
  <c r="AK45" i="30"/>
  <c r="AG63" i="30"/>
  <c r="AX51" i="30"/>
  <c r="BZ57" i="30"/>
  <c r="AM45" i="30"/>
  <c r="AJ63" i="30"/>
  <c r="AZ51" i="30"/>
  <c r="BZ61" i="30"/>
  <c r="AI47" i="30"/>
  <c r="AL65" i="30"/>
  <c r="AW54" i="30"/>
  <c r="CN65" i="30"/>
  <c r="AK47" i="30"/>
  <c r="AN65" i="30"/>
  <c r="AY54" i="30"/>
  <c r="CN69" i="30"/>
  <c r="AM47" i="30"/>
  <c r="AP65" i="30"/>
  <c r="BA54" i="30"/>
  <c r="CN73" i="30"/>
  <c r="AI49" i="30"/>
  <c r="AI68" i="30"/>
  <c r="BA57" i="30"/>
  <c r="AK49" i="30"/>
  <c r="AK68" i="30"/>
  <c r="BD57" i="30"/>
  <c r="AM49" i="30"/>
  <c r="AM68" i="30"/>
  <c r="AW58" i="30"/>
  <c r="AI51" i="30"/>
  <c r="AK71" i="30"/>
  <c r="AW61" i="30"/>
  <c r="AK51" i="30"/>
  <c r="AM71" i="30"/>
  <c r="AY61" i="30"/>
  <c r="AM51" i="30"/>
  <c r="AO71" i="30"/>
  <c r="BA61" i="30"/>
  <c r="AI53" i="30"/>
  <c r="AI74" i="30"/>
  <c r="AZ64" i="30"/>
  <c r="AK53" i="30"/>
  <c r="AK74" i="30"/>
  <c r="BB64" i="30"/>
  <c r="AM53" i="30"/>
  <c r="AM74" i="30"/>
  <c r="AX65" i="30"/>
  <c r="AL55" i="30"/>
  <c r="AK77" i="30"/>
  <c r="AX68" i="30"/>
  <c r="AN55" i="30"/>
  <c r="AM77" i="30"/>
  <c r="AZ68" i="30"/>
  <c r="AP55" i="30"/>
  <c r="AO77" i="30"/>
  <c r="AX69" i="30"/>
  <c r="AO57" i="30"/>
  <c r="AY44" i="30"/>
  <c r="AX73" i="30"/>
  <c r="AQ57" i="30"/>
  <c r="BA44" i="30"/>
  <c r="BA73" i="30"/>
  <c r="AG58" i="30"/>
  <c r="AW45" i="30"/>
  <c r="BE73" i="30"/>
  <c r="AL45" i="24"/>
  <c r="CN51" i="24"/>
  <c r="AL47" i="24"/>
  <c r="CN75" i="24"/>
  <c r="AL49" i="24"/>
  <c r="AL51" i="24"/>
  <c r="AL53" i="24"/>
  <c r="AM55" i="24"/>
  <c r="AN57" i="24"/>
  <c r="AO59" i="24"/>
  <c r="AP61" i="24"/>
  <c r="AQ63" i="24"/>
  <c r="AF66" i="24"/>
  <c r="AH68" i="24"/>
  <c r="AM70" i="24"/>
  <c r="AL73" i="24"/>
  <c r="AI76" i="24"/>
  <c r="AI79" i="24"/>
  <c r="AT46" i="24"/>
  <c r="AX49" i="24"/>
  <c r="BA52" i="24"/>
  <c r="AY56" i="24"/>
  <c r="AX63" i="24"/>
  <c r="BL51" i="24"/>
  <c r="BL75" i="24"/>
  <c r="AI49" i="17"/>
  <c r="AO70" i="17"/>
  <c r="BB61" i="17"/>
  <c r="AJ49" i="17"/>
  <c r="AO72" i="17"/>
  <c r="AV64" i="17"/>
  <c r="AH51" i="17"/>
  <c r="AF73" i="17"/>
  <c r="AX64" i="17"/>
  <c r="AI51" i="17"/>
  <c r="AF75" i="17"/>
  <c r="AX67" i="17"/>
  <c r="AJ51" i="17"/>
  <c r="AH75" i="17"/>
  <c r="BA67" i="17"/>
  <c r="AH53" i="17"/>
  <c r="AH77" i="17"/>
  <c r="AU71" i="17"/>
  <c r="AI53" i="17"/>
  <c r="AJ77" i="17"/>
  <c r="AX71" i="17"/>
  <c r="AJ53" i="17"/>
  <c r="AJ79" i="17"/>
  <c r="AV76" i="17"/>
  <c r="AJ55" i="17"/>
  <c r="AL79" i="17"/>
  <c r="AX77" i="17"/>
  <c r="AK55" i="17"/>
  <c r="AZ45" i="17"/>
  <c r="BO51" i="17"/>
  <c r="AL55" i="17"/>
  <c r="BB45" i="17"/>
  <c r="BL53" i="17"/>
  <c r="AL57" i="17"/>
  <c r="BB47" i="17"/>
  <c r="BN67" i="17"/>
  <c r="AN57" i="17"/>
  <c r="BD47" i="17"/>
  <c r="BL69" i="17"/>
  <c r="AN59" i="17"/>
  <c r="BD49" i="17"/>
  <c r="CB47" i="17"/>
  <c r="AP59" i="17"/>
  <c r="AT50" i="17"/>
  <c r="BZ49" i="17"/>
  <c r="AP61" i="17"/>
  <c r="AT52" i="17"/>
  <c r="CB63" i="17"/>
  <c r="AF62" i="17"/>
  <c r="AW52" i="17"/>
  <c r="BZ65" i="17"/>
  <c r="AH45" i="17"/>
  <c r="AF64" i="17"/>
  <c r="AX54" i="17"/>
  <c r="CB79" i="17"/>
  <c r="AI45" i="17"/>
  <c r="AI64" i="17"/>
  <c r="AZ54" i="17"/>
  <c r="CN45" i="17"/>
  <c r="AJ45" i="17"/>
  <c r="AI66" i="17"/>
  <c r="BA56" i="17"/>
  <c r="CP59" i="17"/>
  <c r="AH47" i="17"/>
  <c r="AK66" i="17"/>
  <c r="BC56" i="17"/>
  <c r="CN61" i="17"/>
  <c r="AI47" i="17"/>
  <c r="AK68" i="17"/>
  <c r="BD58" i="17"/>
  <c r="CP75" i="17"/>
  <c r="CS456" i="30"/>
  <c r="CS459" i="30"/>
  <c r="CT456" i="30"/>
  <c r="CT453" i="30"/>
  <c r="CJ451" i="30"/>
  <c r="CK448" i="30"/>
  <c r="CL445" i="30"/>
  <c r="CO442" i="30"/>
  <c r="CR439" i="30"/>
  <c r="CK437" i="30"/>
  <c r="CN434" i="30"/>
  <c r="CP431" i="30"/>
  <c r="CR428" i="30"/>
  <c r="CT425" i="30"/>
  <c r="CF458" i="30"/>
  <c r="CB456" i="30"/>
  <c r="BY454" i="30"/>
  <c r="BV452" i="30"/>
  <c r="CF449" i="30"/>
  <c r="CB447" i="30"/>
  <c r="BX445" i="30"/>
  <c r="CF442" i="30"/>
  <c r="CB440" i="30"/>
  <c r="BY438" i="30"/>
  <c r="BV436" i="30"/>
  <c r="CF433" i="30"/>
  <c r="CB431" i="30"/>
  <c r="BX429" i="30"/>
  <c r="CF426" i="30"/>
  <c r="CB424" i="30"/>
  <c r="BS459" i="30"/>
  <c r="BQ457" i="30"/>
  <c r="BP455" i="30"/>
  <c r="BP453" i="30"/>
  <c r="BP451" i="30"/>
  <c r="BP449" i="30"/>
  <c r="BP447" i="30"/>
  <c r="BP445" i="30"/>
  <c r="BP443" i="30"/>
  <c r="BP441" i="30"/>
  <c r="BP439" i="30"/>
  <c r="BP437" i="30"/>
  <c r="BP435" i="30"/>
  <c r="BP433" i="30"/>
  <c r="BP431" i="30"/>
  <c r="BP429" i="30"/>
  <c r="BP427" i="30"/>
  <c r="CQ459" i="30"/>
  <c r="CQ456" i="30"/>
  <c r="CS453" i="30"/>
  <c r="CT450" i="30"/>
  <c r="CT447" i="30"/>
  <c r="CK445" i="30"/>
  <c r="CM442" i="30"/>
  <c r="CQ439" i="30"/>
  <c r="CU436" i="30"/>
  <c r="CL434" i="30"/>
  <c r="CO431" i="30"/>
  <c r="CQ428" i="30"/>
  <c r="CS425" i="30"/>
  <c r="CE458" i="30"/>
  <c r="CA456" i="30"/>
  <c r="BX454" i="30"/>
  <c r="CF451" i="30"/>
  <c r="CC449" i="30"/>
  <c r="CA447" i="30"/>
  <c r="BW445" i="30"/>
  <c r="CE442" i="30"/>
  <c r="CA440" i="30"/>
  <c r="BX438" i="30"/>
  <c r="CF435" i="30"/>
  <c r="CC433" i="30"/>
  <c r="CA431" i="30"/>
  <c r="BW429" i="30"/>
  <c r="CE426" i="30"/>
  <c r="CA424" i="30"/>
  <c r="BR459" i="30"/>
  <c r="BP457" i="30"/>
  <c r="BO455" i="30"/>
  <c r="BO453" i="30"/>
  <c r="BO451" i="30"/>
  <c r="BO449" i="30"/>
  <c r="BO447" i="30"/>
  <c r="BO445" i="30"/>
  <c r="BO443" i="30"/>
  <c r="BO441" i="30"/>
  <c r="BO439" i="30"/>
  <c r="BO437" i="30"/>
  <c r="BO435" i="30"/>
  <c r="BO433" i="30"/>
  <c r="BO431" i="30"/>
  <c r="BO429" i="30"/>
  <c r="BO427" i="30"/>
  <c r="CP459" i="30"/>
  <c r="CP456" i="30"/>
  <c r="CR453" i="30"/>
  <c r="CS450" i="30"/>
  <c r="CR447" i="30"/>
  <c r="CJ445" i="30"/>
  <c r="CL442" i="30"/>
  <c r="CO439" i="30"/>
  <c r="CR436" i="30"/>
  <c r="CJ434" i="30"/>
  <c r="CN431" i="30"/>
  <c r="CP428" i="30"/>
  <c r="CR425" i="30"/>
  <c r="CD458" i="30"/>
  <c r="BZ456" i="30"/>
  <c r="BW454" i="30"/>
  <c r="CE451" i="30"/>
  <c r="CB449" i="30"/>
  <c r="BZ447" i="30"/>
  <c r="BV445" i="30"/>
  <c r="CD442" i="30"/>
  <c r="BZ440" i="30"/>
  <c r="BW438" i="30"/>
  <c r="CE435" i="30"/>
  <c r="CB433" i="30"/>
  <c r="BZ431" i="30"/>
  <c r="BV429" i="30"/>
  <c r="CD426" i="30"/>
  <c r="BZ424" i="30"/>
  <c r="BQ459" i="30"/>
  <c r="BO457" i="30"/>
  <c r="CM459" i="30"/>
  <c r="CO456" i="30"/>
  <c r="CQ453" i="30"/>
  <c r="CP450" i="30"/>
  <c r="CQ447" i="30"/>
  <c r="CU444" i="30"/>
  <c r="CK442" i="30"/>
  <c r="CM439" i="30"/>
  <c r="CQ436" i="30"/>
  <c r="CU433" i="30"/>
  <c r="CM431" i="30"/>
  <c r="CO428" i="30"/>
  <c r="CQ425" i="30"/>
  <c r="CC458" i="30"/>
  <c r="BY456" i="30"/>
  <c r="CG453" i="30"/>
  <c r="CD451" i="30"/>
  <c r="CA449" i="30"/>
  <c r="BY447" i="30"/>
  <c r="CG444" i="30"/>
  <c r="CC442" i="30"/>
  <c r="BY440" i="30"/>
  <c r="CG437" i="30"/>
  <c r="CD435" i="30"/>
  <c r="CA433" i="30"/>
  <c r="BY431" i="30"/>
  <c r="CG428" i="30"/>
  <c r="CC426" i="30"/>
  <c r="BY424" i="30"/>
  <c r="BP459" i="30"/>
  <c r="BM457" i="30"/>
  <c r="CL459" i="30"/>
  <c r="CN456" i="30"/>
  <c r="CP453" i="30"/>
  <c r="CO450" i="30"/>
  <c r="CP447" i="30"/>
  <c r="CR444" i="30"/>
  <c r="CJ442" i="30"/>
  <c r="CL439" i="30"/>
  <c r="CO436" i="30"/>
  <c r="CR433" i="30"/>
  <c r="CK431" i="30"/>
  <c r="CN428" i="30"/>
  <c r="CP425" i="30"/>
  <c r="CB458" i="30"/>
  <c r="BX456" i="30"/>
  <c r="CF453" i="30"/>
  <c r="CC451" i="30"/>
  <c r="BZ449" i="30"/>
  <c r="BX447" i="30"/>
  <c r="CF444" i="30"/>
  <c r="CB442" i="30"/>
  <c r="BX440" i="30"/>
  <c r="CF437" i="30"/>
  <c r="CC435" i="30"/>
  <c r="BZ433" i="30"/>
  <c r="BX431" i="30"/>
  <c r="CF428" i="30"/>
  <c r="CB426" i="30"/>
  <c r="BX424" i="30"/>
  <c r="BN459" i="30"/>
  <c r="BL457" i="30"/>
  <c r="BL455" i="30"/>
  <c r="BL453" i="30"/>
  <c r="BL451" i="30"/>
  <c r="BL449" i="30"/>
  <c r="BL447" i="30"/>
  <c r="BL445" i="30"/>
  <c r="BL443" i="30"/>
  <c r="BL441" i="30"/>
  <c r="BL439" i="30"/>
  <c r="BL437" i="30"/>
  <c r="BL435" i="30"/>
  <c r="BL433" i="30"/>
  <c r="BL431" i="30"/>
  <c r="BL429" i="30"/>
  <c r="BL427" i="30"/>
  <c r="CK459" i="30"/>
  <c r="CM456" i="30"/>
  <c r="CO453" i="30"/>
  <c r="CN450" i="30"/>
  <c r="CO447" i="30"/>
  <c r="CQ444" i="30"/>
  <c r="CU441" i="30"/>
  <c r="CK439" i="30"/>
  <c r="CM436" i="30"/>
  <c r="CQ433" i="30"/>
  <c r="CJ431" i="30"/>
  <c r="CL428" i="30"/>
  <c r="CO425" i="30"/>
  <c r="CA458" i="30"/>
  <c r="BW456" i="30"/>
  <c r="CE453" i="30"/>
  <c r="CB451" i="30"/>
  <c r="BX449" i="30"/>
  <c r="CG446" i="30"/>
  <c r="CE444" i="30"/>
  <c r="CA442" i="30"/>
  <c r="BW440" i="30"/>
  <c r="CE437" i="30"/>
  <c r="CB435" i="30"/>
  <c r="BX433" i="30"/>
  <c r="CG430" i="30"/>
  <c r="CE428" i="30"/>
  <c r="CA426" i="30"/>
  <c r="BW424" i="30"/>
  <c r="BM459" i="30"/>
  <c r="BK457" i="30"/>
  <c r="CJ459" i="30"/>
  <c r="CL456" i="30"/>
  <c r="CL453" i="30"/>
  <c r="CM450" i="30"/>
  <c r="CN447" i="30"/>
  <c r="CP444" i="30"/>
  <c r="CT441" i="30"/>
  <c r="CJ439" i="30"/>
  <c r="CL436" i="30"/>
  <c r="CO433" i="30"/>
  <c r="CU430" i="30"/>
  <c r="CK428" i="30"/>
  <c r="CM425" i="30"/>
  <c r="BZ458" i="30"/>
  <c r="BV456" i="30"/>
  <c r="CD453" i="30"/>
  <c r="CA451" i="30"/>
  <c r="BW449" i="30"/>
  <c r="CF446" i="30"/>
  <c r="CD444" i="30"/>
  <c r="BZ442" i="30"/>
  <c r="BV440" i="30"/>
  <c r="CD437" i="30"/>
  <c r="CA435" i="30"/>
  <c r="BW433" i="30"/>
  <c r="CF430" i="30"/>
  <c r="CD428" i="30"/>
  <c r="BZ426" i="30"/>
  <c r="BV424" i="30"/>
  <c r="BL459" i="30"/>
  <c r="BJ457" i="30"/>
  <c r="BJ455" i="30"/>
  <c r="CU458" i="30"/>
  <c r="CK456" i="30"/>
  <c r="CK453" i="30"/>
  <c r="CL450" i="30"/>
  <c r="CM447" i="30"/>
  <c r="CO444" i="30"/>
  <c r="CR441" i="30"/>
  <c r="CU438" i="30"/>
  <c r="CK436" i="30"/>
  <c r="CM433" i="30"/>
  <c r="CR430" i="30"/>
  <c r="CJ428" i="30"/>
  <c r="CL425" i="30"/>
  <c r="BY458" i="30"/>
  <c r="CG455" i="30"/>
  <c r="CC453" i="30"/>
  <c r="BY451" i="30"/>
  <c r="BV449" i="30"/>
  <c r="CE446" i="30"/>
  <c r="CC444" i="30"/>
  <c r="BY442" i="30"/>
  <c r="CG439" i="30"/>
  <c r="CC437" i="30"/>
  <c r="BY435" i="30"/>
  <c r="BV433" i="30"/>
  <c r="CE430" i="30"/>
  <c r="CC428" i="30"/>
  <c r="BY426" i="30"/>
  <c r="BK459" i="30"/>
  <c r="BI457" i="30"/>
  <c r="BI455" i="30"/>
  <c r="CT458" i="30"/>
  <c r="CT455" i="30"/>
  <c r="CU452" i="30"/>
  <c r="CK450" i="30"/>
  <c r="CL447" i="30"/>
  <c r="CN444" i="30"/>
  <c r="CQ441" i="30"/>
  <c r="CT438" i="30"/>
  <c r="CJ436" i="30"/>
  <c r="CL433" i="30"/>
  <c r="CO430" i="30"/>
  <c r="CU427" i="30"/>
  <c r="CK425" i="30"/>
  <c r="BX458" i="30"/>
  <c r="CF455" i="30"/>
  <c r="CB453" i="30"/>
  <c r="BX451" i="30"/>
  <c r="CG448" i="30"/>
  <c r="CD446" i="30"/>
  <c r="CB444" i="30"/>
  <c r="BX442" i="30"/>
  <c r="CF439" i="30"/>
  <c r="CB437" i="30"/>
  <c r="BX435" i="30"/>
  <c r="CG432" i="30"/>
  <c r="CD430" i="30"/>
  <c r="CB428" i="30"/>
  <c r="BX426" i="30"/>
  <c r="BJ459" i="30"/>
  <c r="BH457" i="30"/>
  <c r="BH455" i="30"/>
  <c r="CS458" i="30"/>
  <c r="CR455" i="30"/>
  <c r="CT452" i="30"/>
  <c r="CJ450" i="30"/>
  <c r="CK447" i="30"/>
  <c r="CM444" i="30"/>
  <c r="CP441" i="30"/>
  <c r="CR438" i="30"/>
  <c r="CU435" i="30"/>
  <c r="CK433" i="30"/>
  <c r="CM430" i="30"/>
  <c r="CR427" i="30"/>
  <c r="CJ425" i="30"/>
  <c r="BW458" i="30"/>
  <c r="CE455" i="30"/>
  <c r="CA453" i="30"/>
  <c r="BW451" i="30"/>
  <c r="CF448" i="30"/>
  <c r="CB446" i="30"/>
  <c r="BY444" i="30"/>
  <c r="BW442" i="30"/>
  <c r="CE439" i="30"/>
  <c r="CA437" i="30"/>
  <c r="BW435" i="30"/>
  <c r="CF432" i="30"/>
  <c r="CB430" i="30"/>
  <c r="BY428" i="30"/>
  <c r="BW426" i="30"/>
  <c r="CP458" i="30"/>
  <c r="CQ455" i="30"/>
  <c r="CS452" i="30"/>
  <c r="CU449" i="30"/>
  <c r="CJ447" i="30"/>
  <c r="CL444" i="30"/>
  <c r="CO441" i="30"/>
  <c r="CQ438" i="30"/>
  <c r="CT435" i="30"/>
  <c r="CJ433" i="30"/>
  <c r="CL430" i="30"/>
  <c r="CQ427" i="30"/>
  <c r="CU424" i="30"/>
  <c r="BV458" i="30"/>
  <c r="CD455" i="30"/>
  <c r="BZ453" i="30"/>
  <c r="BV451" i="30"/>
  <c r="CE448" i="30"/>
  <c r="CA446" i="30"/>
  <c r="BX444" i="30"/>
  <c r="BV442" i="30"/>
  <c r="CD439" i="30"/>
  <c r="BZ437" i="30"/>
  <c r="BV435" i="30"/>
  <c r="CE432" i="30"/>
  <c r="CA430" i="30"/>
  <c r="BX428" i="30"/>
  <c r="BV426" i="30"/>
  <c r="CO458" i="30"/>
  <c r="CP455" i="30"/>
  <c r="CR452" i="30"/>
  <c r="CT449" i="30"/>
  <c r="CU446" i="30"/>
  <c r="CK444" i="30"/>
  <c r="CM441" i="30"/>
  <c r="CP438" i="30"/>
  <c r="CR435" i="30"/>
  <c r="CU432" i="30"/>
  <c r="CK430" i="30"/>
  <c r="CO427" i="30"/>
  <c r="CQ424" i="30"/>
  <c r="CG457" i="30"/>
  <c r="CC455" i="30"/>
  <c r="BY453" i="30"/>
  <c r="CG450" i="30"/>
  <c r="CC448" i="30"/>
  <c r="BZ446" i="30"/>
  <c r="BW444" i="30"/>
  <c r="CG441" i="30"/>
  <c r="CC439" i="30"/>
  <c r="BY437" i="30"/>
  <c r="CG434" i="30"/>
  <c r="CC432" i="30"/>
  <c r="BZ430" i="30"/>
  <c r="BW428" i="30"/>
  <c r="CG425" i="30"/>
  <c r="CN458" i="30"/>
  <c r="CO455" i="30"/>
  <c r="CQ452" i="30"/>
  <c r="CS449" i="30"/>
  <c r="CT446" i="30"/>
  <c r="CJ444" i="30"/>
  <c r="CL441" i="30"/>
  <c r="CO438" i="30"/>
  <c r="CQ435" i="30"/>
  <c r="CT432" i="30"/>
  <c r="CU429" i="30"/>
  <c r="CL427" i="30"/>
  <c r="CP424" i="30"/>
  <c r="CF457" i="30"/>
  <c r="CB455" i="30"/>
  <c r="BX453" i="30"/>
  <c r="CF450" i="30"/>
  <c r="CB448" i="30"/>
  <c r="BY446" i="30"/>
  <c r="BV444" i="30"/>
  <c r="CF441" i="30"/>
  <c r="CB439" i="30"/>
  <c r="BX437" i="30"/>
  <c r="CF434" i="30"/>
  <c r="CB432" i="30"/>
  <c r="BY430" i="30"/>
  <c r="BV428" i="30"/>
  <c r="CF425" i="30"/>
  <c r="BR458" i="30"/>
  <c r="BP456" i="30"/>
  <c r="BP454" i="30"/>
  <c r="BP452" i="30"/>
  <c r="BP450" i="30"/>
  <c r="BP448" i="30"/>
  <c r="BP446" i="30"/>
  <c r="BP444" i="30"/>
  <c r="BP442" i="30"/>
  <c r="BP440" i="30"/>
  <c r="BP438" i="30"/>
  <c r="BP436" i="30"/>
  <c r="BP434" i="30"/>
  <c r="BP432" i="30"/>
  <c r="BP430" i="30"/>
  <c r="BP428" i="30"/>
  <c r="CM458" i="30"/>
  <c r="CN455" i="30"/>
  <c r="CP452" i="30"/>
  <c r="CR449" i="30"/>
  <c r="CS446" i="30"/>
  <c r="CU443" i="30"/>
  <c r="CK441" i="30"/>
  <c r="CN438" i="30"/>
  <c r="CP435" i="30"/>
  <c r="CQ432" i="30"/>
  <c r="CT429" i="30"/>
  <c r="CK427" i="30"/>
  <c r="CN424" i="30"/>
  <c r="CF459" i="30"/>
  <c r="CC457" i="30"/>
  <c r="CA455" i="30"/>
  <c r="BW453" i="30"/>
  <c r="CE450" i="30"/>
  <c r="CA448" i="30"/>
  <c r="BX446" i="30"/>
  <c r="CF443" i="30"/>
  <c r="CC441" i="30"/>
  <c r="CA439" i="30"/>
  <c r="BW437" i="30"/>
  <c r="CE434" i="30"/>
  <c r="CA432" i="30"/>
  <c r="BX430" i="30"/>
  <c r="CF427" i="30"/>
  <c r="CC425" i="30"/>
  <c r="BQ458" i="30"/>
  <c r="BO456" i="30"/>
  <c r="BO454" i="30"/>
  <c r="BO452" i="30"/>
  <c r="BO450" i="30"/>
  <c r="BO448" i="30"/>
  <c r="BO446" i="30"/>
  <c r="BO444" i="30"/>
  <c r="BO442" i="30"/>
  <c r="BO440" i="30"/>
  <c r="BO438" i="30"/>
  <c r="BO436" i="30"/>
  <c r="BO434" i="30"/>
  <c r="BO432" i="30"/>
  <c r="BO430" i="30"/>
  <c r="BO428" i="30"/>
  <c r="CJ458" i="30"/>
  <c r="CM455" i="30"/>
  <c r="CO452" i="30"/>
  <c r="CQ449" i="30"/>
  <c r="CR446" i="30"/>
  <c r="CT443" i="30"/>
  <c r="CJ441" i="30"/>
  <c r="CM438" i="30"/>
  <c r="CO435" i="30"/>
  <c r="CP432" i="30"/>
  <c r="CS429" i="30"/>
  <c r="CJ427" i="30"/>
  <c r="CL424" i="30"/>
  <c r="CE459" i="30"/>
  <c r="CB457" i="30"/>
  <c r="BZ455" i="30"/>
  <c r="BV453" i="30"/>
  <c r="CD450" i="30"/>
  <c r="BZ448" i="30"/>
  <c r="BW446" i="30"/>
  <c r="CE443" i="30"/>
  <c r="CB441" i="30"/>
  <c r="BZ439" i="30"/>
  <c r="BV437" i="30"/>
  <c r="CD434" i="30"/>
  <c r="BZ432" i="30"/>
  <c r="BW430" i="30"/>
  <c r="CE427" i="30"/>
  <c r="CB425" i="30"/>
  <c r="BP458" i="30"/>
  <c r="CU457" i="30"/>
  <c r="CJ455" i="30"/>
  <c r="CM452" i="30"/>
  <c r="CO449" i="30"/>
  <c r="CQ446" i="30"/>
  <c r="CS443" i="30"/>
  <c r="CU440" i="30"/>
  <c r="CL438" i="30"/>
  <c r="CM435" i="30"/>
  <c r="CO432" i="30"/>
  <c r="CQ429" i="30"/>
  <c r="CT426" i="30"/>
  <c r="CK424" i="30"/>
  <c r="CD459" i="30"/>
  <c r="CA457" i="30"/>
  <c r="BY455" i="30"/>
  <c r="CG452" i="30"/>
  <c r="CC450" i="30"/>
  <c r="BY448" i="30"/>
  <c r="CG445" i="30"/>
  <c r="CD443" i="30"/>
  <c r="CA441" i="30"/>
  <c r="BY439" i="30"/>
  <c r="CG436" i="30"/>
  <c r="CC434" i="30"/>
  <c r="BY432" i="30"/>
  <c r="CG429" i="30"/>
  <c r="CD427" i="30"/>
  <c r="CA425" i="30"/>
  <c r="BO458" i="30"/>
  <c r="CS457" i="30"/>
  <c r="CU454" i="30"/>
  <c r="CJ452" i="30"/>
  <c r="CN449" i="30"/>
  <c r="CP446" i="30"/>
  <c r="CR443" i="30"/>
  <c r="CT440" i="30"/>
  <c r="CK438" i="30"/>
  <c r="CL435" i="30"/>
  <c r="CN432" i="30"/>
  <c r="CP429" i="30"/>
  <c r="CS426" i="30"/>
  <c r="CC459" i="30"/>
  <c r="BZ457" i="30"/>
  <c r="BX455" i="30"/>
  <c r="CF452" i="30"/>
  <c r="CB450" i="30"/>
  <c r="BX448" i="30"/>
  <c r="CF445" i="30"/>
  <c r="CC443" i="30"/>
  <c r="BZ441" i="30"/>
  <c r="BX439" i="30"/>
  <c r="CF436" i="30"/>
  <c r="CB434" i="30"/>
  <c r="BX432" i="30"/>
  <c r="CF429" i="30"/>
  <c r="CC427" i="30"/>
  <c r="BZ425" i="30"/>
  <c r="BN458" i="30"/>
  <c r="BL456" i="30"/>
  <c r="CP457" i="30"/>
  <c r="CR454" i="30"/>
  <c r="CU451" i="30"/>
  <c r="CM449" i="30"/>
  <c r="CO446" i="30"/>
  <c r="CQ443" i="30"/>
  <c r="CS440" i="30"/>
  <c r="CU437" i="30"/>
  <c r="CK435" i="30"/>
  <c r="CM432" i="30"/>
  <c r="CO429" i="30"/>
  <c r="CO426" i="30"/>
  <c r="CB459" i="30"/>
  <c r="BX457" i="30"/>
  <c r="CG454" i="30"/>
  <c r="CE452" i="30"/>
  <c r="CA450" i="30"/>
  <c r="BW448" i="30"/>
  <c r="CE445" i="30"/>
  <c r="CB443" i="30"/>
  <c r="BX441" i="30"/>
  <c r="CG438" i="30"/>
  <c r="CE436" i="30"/>
  <c r="CA434" i="30"/>
  <c r="BW432" i="30"/>
  <c r="CE429" i="30"/>
  <c r="CB427" i="30"/>
  <c r="BX425" i="30"/>
  <c r="BM458" i="30"/>
  <c r="BK456" i="30"/>
  <c r="CN457" i="30"/>
  <c r="CO454" i="30"/>
  <c r="CP451" i="30"/>
  <c r="CT448" i="30"/>
  <c r="CM446" i="30"/>
  <c r="CO443" i="30"/>
  <c r="CP440" i="30"/>
  <c r="CR437" i="30"/>
  <c r="CU434" i="30"/>
  <c r="CK432" i="30"/>
  <c r="CK429" i="30"/>
  <c r="CM426" i="30"/>
  <c r="BY459" i="30"/>
  <c r="BV457" i="30"/>
  <c r="CE454" i="30"/>
  <c r="CC452" i="30"/>
  <c r="BY450" i="30"/>
  <c r="CG447" i="30"/>
  <c r="CC445" i="30"/>
  <c r="BY443" i="30"/>
  <c r="BV441" i="30"/>
  <c r="CE438" i="30"/>
  <c r="CC436" i="30"/>
  <c r="BY434" i="30"/>
  <c r="CG431" i="30"/>
  <c r="CC429" i="30"/>
  <c r="BY427" i="30"/>
  <c r="BV425" i="30"/>
  <c r="BK458" i="30"/>
  <c r="BI456" i="30"/>
  <c r="BI454" i="30"/>
  <c r="BI452" i="30"/>
  <c r="BI450" i="30"/>
  <c r="BI448" i="30"/>
  <c r="BI446" i="30"/>
  <c r="BI444" i="30"/>
  <c r="BI442" i="30"/>
  <c r="BI440" i="30"/>
  <c r="BI438" i="30"/>
  <c r="BI436" i="30"/>
  <c r="BI434" i="30"/>
  <c r="BI432" i="30"/>
  <c r="BI430" i="30"/>
  <c r="BI428" i="30"/>
  <c r="CL457" i="30"/>
  <c r="CM454" i="30"/>
  <c r="CM451" i="30"/>
  <c r="CN448" i="30"/>
  <c r="CS445" i="30"/>
  <c r="CL443" i="30"/>
  <c r="CN440" i="30"/>
  <c r="CP437" i="30"/>
  <c r="CS434" i="30"/>
  <c r="CS431" i="30"/>
  <c r="CU428" i="30"/>
  <c r="CK426" i="30"/>
  <c r="BW459" i="30"/>
  <c r="CF456" i="30"/>
  <c r="CB454" i="30"/>
  <c r="BY452" i="30"/>
  <c r="BW450" i="30"/>
  <c r="CE447" i="30"/>
  <c r="CA445" i="30"/>
  <c r="BW443" i="30"/>
  <c r="CF440" i="30"/>
  <c r="CB438" i="30"/>
  <c r="BY436" i="30"/>
  <c r="BW434" i="30"/>
  <c r="CE431" i="30"/>
  <c r="CA429" i="30"/>
  <c r="BW427" i="30"/>
  <c r="CF424" i="30"/>
  <c r="BI458" i="30"/>
  <c r="BS455" i="30"/>
  <c r="CT459" i="30"/>
  <c r="CU456" i="30"/>
  <c r="CK454" i="30"/>
  <c r="CK451" i="30"/>
  <c r="CL448" i="30"/>
  <c r="CO445" i="30"/>
  <c r="CS442" i="30"/>
  <c r="CL440" i="30"/>
  <c r="CL437" i="30"/>
  <c r="CO434" i="30"/>
  <c r="CQ431" i="30"/>
  <c r="CS428" i="30"/>
  <c r="CU425" i="30"/>
  <c r="CG458" i="30"/>
  <c r="CC456" i="30"/>
  <c r="BZ454" i="30"/>
  <c r="BW452" i="30"/>
  <c r="CG449" i="30"/>
  <c r="CC447" i="30"/>
  <c r="BY445" i="30"/>
  <c r="CG442" i="30"/>
  <c r="CC440" i="30"/>
  <c r="BZ438" i="30"/>
  <c r="BW436" i="30"/>
  <c r="CG433" i="30"/>
  <c r="CC431" i="30"/>
  <c r="BY429" i="30"/>
  <c r="CG426" i="30"/>
  <c r="CC424" i="30"/>
  <c r="CS437" i="30"/>
  <c r="BX436" i="30"/>
  <c r="CA454" i="30"/>
  <c r="CT442" i="30"/>
  <c r="CM443" i="30"/>
  <c r="CP443" i="30"/>
  <c r="CQ445" i="30"/>
  <c r="CT445" i="30"/>
  <c r="BN450" i="30"/>
  <c r="BJ453" i="30"/>
  <c r="BN456" i="30"/>
  <c r="CF438" i="30"/>
  <c r="BW457" i="30"/>
  <c r="CN446" i="30"/>
  <c r="BQ450" i="30"/>
  <c r="BK453" i="30"/>
  <c r="BQ456" i="30"/>
  <c r="CE440" i="30"/>
  <c r="BV459" i="30"/>
  <c r="CJ426" i="30"/>
  <c r="CM448" i="30"/>
  <c r="BJ448" i="30"/>
  <c r="BR450" i="30"/>
  <c r="BM453" i="30"/>
  <c r="BR456" i="30"/>
  <c r="CG440" i="30"/>
  <c r="BX459" i="30"/>
  <c r="CL426" i="30"/>
  <c r="CQ448" i="30"/>
  <c r="BW441" i="30"/>
  <c r="CA459" i="30"/>
  <c r="CN426" i="30"/>
  <c r="CJ449" i="30"/>
  <c r="CE424" i="30"/>
  <c r="BV443" i="30"/>
  <c r="CT428" i="30"/>
  <c r="CL451" i="30"/>
  <c r="CG424" i="30"/>
  <c r="BX443" i="30"/>
  <c r="CJ429" i="30"/>
  <c r="CO451" i="30"/>
  <c r="BW425" i="30"/>
  <c r="CA443" i="30"/>
  <c r="CL429" i="30"/>
  <c r="CR451" i="30"/>
  <c r="BV427" i="30"/>
  <c r="BZ445" i="30"/>
  <c r="CR431" i="30"/>
  <c r="CL454" i="30"/>
  <c r="BX427" i="30"/>
  <c r="CB445" i="30"/>
  <c r="CT431" i="30"/>
  <c r="CN454" i="30"/>
  <c r="CL432" i="30"/>
  <c r="CP454" i="30"/>
  <c r="BH449" i="30"/>
  <c r="BQ451" i="30"/>
  <c r="BL454" i="30"/>
  <c r="BI459" i="30"/>
  <c r="BZ429" i="30"/>
  <c r="CD447" i="30"/>
  <c r="CP434" i="30"/>
  <c r="CK457" i="30"/>
  <c r="AH45" i="30"/>
  <c r="AH47" i="30"/>
  <c r="AH49" i="30"/>
  <c r="AH51" i="30"/>
  <c r="AH53" i="30"/>
  <c r="AK55" i="30"/>
  <c r="AN57" i="30"/>
  <c r="AQ59" i="30"/>
  <c r="AL62" i="30"/>
  <c r="AK65" i="30"/>
  <c r="AF68" i="30"/>
  <c r="AJ71" i="30"/>
  <c r="AF74" i="30"/>
  <c r="AJ77" i="30"/>
  <c r="AX44" i="30"/>
  <c r="BA47" i="30"/>
  <c r="BA50" i="30"/>
  <c r="BE53" i="30"/>
  <c r="AZ57" i="30"/>
  <c r="BB60" i="30"/>
  <c r="AY64" i="30"/>
  <c r="AW68" i="30"/>
  <c r="AW73" i="30"/>
  <c r="BB79" i="30"/>
  <c r="BZ51" i="30"/>
  <c r="CN63" i="30"/>
  <c r="AJ45" i="30"/>
  <c r="AJ47" i="30"/>
  <c r="AJ49" i="30"/>
  <c r="AJ51" i="30"/>
  <c r="AJ53" i="30"/>
  <c r="AM55" i="30"/>
  <c r="AP57" i="30"/>
  <c r="AH60" i="30"/>
  <c r="AN62" i="30"/>
  <c r="AM65" i="30"/>
  <c r="AJ68" i="30"/>
  <c r="AL71" i="30"/>
  <c r="AJ74" i="30"/>
  <c r="AL77" i="30"/>
  <c r="AZ44" i="30"/>
  <c r="BC47" i="30"/>
  <c r="AW51" i="30"/>
  <c r="AX54" i="30"/>
  <c r="BB57" i="30"/>
  <c r="AX61" i="30"/>
  <c r="BA64" i="30"/>
  <c r="AY68" i="30"/>
  <c r="AY73" i="30"/>
  <c r="BP45" i="30"/>
  <c r="BZ55" i="30"/>
  <c r="CN67" i="30"/>
  <c r="AL45" i="30"/>
  <c r="AL47" i="30"/>
  <c r="AL49" i="30"/>
  <c r="AL51" i="30"/>
  <c r="AL53" i="30"/>
  <c r="AO55" i="30"/>
  <c r="AF58" i="30"/>
  <c r="AJ60" i="30"/>
  <c r="AI63" i="30"/>
  <c r="AO65" i="30"/>
  <c r="AL68" i="30"/>
  <c r="AN71" i="30"/>
  <c r="AL74" i="30"/>
  <c r="AN77" i="30"/>
  <c r="BB44" i="30"/>
  <c r="BE47" i="30"/>
  <c r="AY51" i="30"/>
  <c r="AZ54" i="30"/>
  <c r="BE57" i="30"/>
  <c r="AZ61" i="30"/>
  <c r="AW65" i="30"/>
  <c r="AW69" i="30"/>
  <c r="BB73" i="30"/>
  <c r="BP47" i="30"/>
  <c r="BZ59" i="30"/>
  <c r="CN71" i="30"/>
  <c r="AN45" i="30"/>
  <c r="AN47" i="30"/>
  <c r="AN49" i="30"/>
  <c r="AN51" i="30"/>
  <c r="AN53" i="30"/>
  <c r="AQ55" i="30"/>
  <c r="AH58" i="30"/>
  <c r="AL60" i="30"/>
  <c r="AK63" i="30"/>
  <c r="AQ65" i="30"/>
  <c r="AN68" i="30"/>
  <c r="AP71" i="30"/>
  <c r="AN74" i="30"/>
  <c r="AP77" i="30"/>
  <c r="AX45" i="30"/>
  <c r="AX48" i="30"/>
  <c r="BA51" i="30"/>
  <c r="BB54" i="30"/>
  <c r="AX58" i="30"/>
  <c r="BB61" i="30"/>
  <c r="AY65" i="30"/>
  <c r="AY69" i="30"/>
  <c r="AW74" i="30"/>
  <c r="BL51" i="30"/>
  <c r="BZ63" i="30"/>
  <c r="CN75" i="30"/>
  <c r="AO45" i="30"/>
  <c r="AO47" i="30"/>
  <c r="AO49" i="30"/>
  <c r="AO51" i="30"/>
  <c r="AO53" i="30"/>
  <c r="AF56" i="30"/>
  <c r="AI58" i="30"/>
  <c r="AM60" i="30"/>
  <c r="AL63" i="30"/>
  <c r="AF66" i="30"/>
  <c r="AI69" i="30"/>
  <c r="AQ71" i="30"/>
  <c r="AI75" i="30"/>
  <c r="AQ77" i="30"/>
  <c r="AY45" i="30"/>
  <c r="AY48" i="30"/>
  <c r="BB51" i="30"/>
  <c r="AW55" i="30"/>
  <c r="AY58" i="30"/>
  <c r="BD61" i="30"/>
  <c r="AZ65" i="30"/>
  <c r="BA69" i="30"/>
  <c r="AY74" i="30"/>
  <c r="BL53" i="30"/>
  <c r="BZ65" i="30"/>
  <c r="CN77" i="30"/>
  <c r="AP45" i="30"/>
  <c r="AP47" i="30"/>
  <c r="AP49" i="30"/>
  <c r="AP51" i="30"/>
  <c r="AP53" i="30"/>
  <c r="AG56" i="30"/>
  <c r="AJ58" i="30"/>
  <c r="AN60" i="30"/>
  <c r="AM63" i="30"/>
  <c r="AH66" i="30"/>
  <c r="AJ69" i="30"/>
  <c r="AF72" i="30"/>
  <c r="AJ75" i="30"/>
  <c r="AI78" i="30"/>
  <c r="AZ45" i="30"/>
  <c r="AZ48" i="30"/>
  <c r="BC51" i="30"/>
  <c r="AX55" i="30"/>
  <c r="AZ58" i="30"/>
  <c r="BE61" i="30"/>
  <c r="BA65" i="30"/>
  <c r="BB69" i="30"/>
  <c r="AZ74" i="30"/>
  <c r="BL55" i="30"/>
  <c r="BZ67" i="30"/>
  <c r="CN79" i="30"/>
  <c r="AQ45" i="30"/>
  <c r="AQ47" i="30"/>
  <c r="AQ49" i="30"/>
  <c r="AQ51" i="30"/>
  <c r="AQ53" i="30"/>
  <c r="AH56" i="30"/>
  <c r="AK58" i="30"/>
  <c r="AG61" i="30"/>
  <c r="AN63" i="30"/>
  <c r="AI66" i="30"/>
  <c r="AK69" i="30"/>
  <c r="AI72" i="30"/>
  <c r="AK75" i="30"/>
  <c r="AJ78" i="30"/>
  <c r="BA45" i="30"/>
  <c r="BA48" i="30"/>
  <c r="BD51" i="30"/>
  <c r="AY55" i="30"/>
  <c r="BA58" i="30"/>
  <c r="AW62" i="30"/>
  <c r="BB65" i="30"/>
  <c r="BE69" i="30"/>
  <c r="AW75" i="30"/>
  <c r="BL57" i="30"/>
  <c r="BZ69" i="30"/>
  <c r="AF44" i="30"/>
  <c r="AF46" i="30"/>
  <c r="AF48" i="30"/>
  <c r="AF50" i="30"/>
  <c r="AF52" i="30"/>
  <c r="AF54" i="30"/>
  <c r="AI56" i="30"/>
  <c r="AL58" i="30"/>
  <c r="AI61" i="30"/>
  <c r="AO63" i="30"/>
  <c r="AJ66" i="30"/>
  <c r="AL69" i="30"/>
  <c r="AJ72" i="30"/>
  <c r="AL75" i="30"/>
  <c r="AK78" i="30"/>
  <c r="BB45" i="30"/>
  <c r="BB48" i="30"/>
  <c r="BE51" i="30"/>
  <c r="AZ55" i="30"/>
  <c r="BB58" i="30"/>
  <c r="AX62" i="30"/>
  <c r="BE65" i="30"/>
  <c r="AW70" i="30"/>
  <c r="AX75" i="30"/>
  <c r="BL59" i="30"/>
  <c r="BZ71" i="30"/>
  <c r="AG44" i="30"/>
  <c r="AG46" i="30"/>
  <c r="AG48" i="30"/>
  <c r="AG50" i="30"/>
  <c r="AG52" i="30"/>
  <c r="AG54" i="30"/>
  <c r="AJ56" i="30"/>
  <c r="AM58" i="30"/>
  <c r="AJ61" i="30"/>
  <c r="AP63" i="30"/>
  <c r="AK66" i="30"/>
  <c r="AM69" i="30"/>
  <c r="AK72" i="30"/>
  <c r="AM75" i="30"/>
  <c r="AL78" i="30"/>
  <c r="BC45" i="30"/>
  <c r="AW49" i="30"/>
  <c r="AW52" i="30"/>
  <c r="BA55" i="30"/>
  <c r="AW59" i="30"/>
  <c r="AY62" i="30"/>
  <c r="AW66" i="30"/>
  <c r="AX70" i="30"/>
  <c r="AY75" i="30"/>
  <c r="BL61" i="30"/>
  <c r="BZ73" i="30"/>
  <c r="AH44" i="30"/>
  <c r="AH46" i="30"/>
  <c r="AH48" i="30"/>
  <c r="AH50" i="30"/>
  <c r="AH52" i="30"/>
  <c r="AH54" i="30"/>
  <c r="AK56" i="30"/>
  <c r="AN58" i="30"/>
  <c r="AK61" i="30"/>
  <c r="AQ63" i="30"/>
  <c r="AL66" i="30"/>
  <c r="AN69" i="30"/>
  <c r="AL72" i="30"/>
  <c r="AN75" i="30"/>
  <c r="AM78" i="30"/>
  <c r="BD45" i="30"/>
  <c r="AX49" i="30"/>
  <c r="AX52" i="30"/>
  <c r="BB55" i="30"/>
  <c r="AX59" i="30"/>
  <c r="AZ62" i="30"/>
  <c r="AX66" i="30"/>
  <c r="AY70" i="30"/>
  <c r="BA75" i="30"/>
  <c r="BL63" i="30"/>
  <c r="BZ75" i="30"/>
  <c r="AI44" i="30"/>
  <c r="AI46" i="30"/>
  <c r="AI48" i="30"/>
  <c r="AI50" i="30"/>
  <c r="AI52" i="30"/>
  <c r="AI54" i="30"/>
  <c r="AL56" i="30"/>
  <c r="AF59" i="30"/>
  <c r="AL61" i="30"/>
  <c r="AF64" i="30"/>
  <c r="AM66" i="30"/>
  <c r="AO69" i="30"/>
  <c r="AM72" i="30"/>
  <c r="AO75" i="30"/>
  <c r="AN78" i="30"/>
  <c r="BE45" i="30"/>
  <c r="AY49" i="30"/>
  <c r="AY52" i="30"/>
  <c r="BD55" i="30"/>
  <c r="AY59" i="30"/>
  <c r="BA62" i="30"/>
  <c r="AY66" i="30"/>
  <c r="AZ70" i="30"/>
  <c r="BB75" i="30"/>
  <c r="BL65" i="30"/>
  <c r="BZ77" i="30"/>
  <c r="AJ44" i="30"/>
  <c r="AJ46" i="30"/>
  <c r="AJ48" i="30"/>
  <c r="AJ50" i="30"/>
  <c r="AJ52" i="30"/>
  <c r="AJ54" i="30"/>
  <c r="AM56" i="30"/>
  <c r="AG59" i="30"/>
  <c r="AM61" i="30"/>
  <c r="AH64" i="30"/>
  <c r="AN66" i="30"/>
  <c r="AP69" i="30"/>
  <c r="AN72" i="30"/>
  <c r="AP75" i="30"/>
  <c r="AI79" i="30"/>
  <c r="AW46" i="30"/>
  <c r="AZ49" i="30"/>
  <c r="AZ52" i="30"/>
  <c r="BE55" i="30"/>
  <c r="AZ59" i="30"/>
  <c r="BB62" i="30"/>
  <c r="AZ66" i="30"/>
  <c r="AW71" i="30"/>
  <c r="BE75" i="30"/>
  <c r="BL67" i="30"/>
  <c r="X65" i="30"/>
  <c r="CL79" i="30"/>
  <c r="CL77" i="30"/>
  <c r="CL75" i="30"/>
  <c r="CL73" i="30"/>
  <c r="CL71" i="30"/>
  <c r="CL69" i="30"/>
  <c r="CL67" i="30"/>
  <c r="CL65" i="30"/>
  <c r="CL63" i="30"/>
  <c r="CL61" i="30"/>
  <c r="CL59" i="30"/>
  <c r="CL57" i="30"/>
  <c r="CL55" i="30"/>
  <c r="CL53" i="30"/>
  <c r="CL51" i="30"/>
  <c r="CL49" i="30"/>
  <c r="CL47" i="30"/>
  <c r="CL45" i="30"/>
  <c r="BX79" i="30"/>
  <c r="BX77" i="30"/>
  <c r="BX75" i="30"/>
  <c r="BX73" i="30"/>
  <c r="BX71" i="30"/>
  <c r="BX69" i="30"/>
  <c r="BX67" i="30"/>
  <c r="BX65" i="30"/>
  <c r="BX63" i="30"/>
  <c r="BX61" i="30"/>
  <c r="BX59" i="30"/>
  <c r="BX57" i="30"/>
  <c r="BX55" i="30"/>
  <c r="BX53" i="30"/>
  <c r="BX51" i="30"/>
  <c r="BX49" i="30"/>
  <c r="BX47" i="30"/>
  <c r="BX45" i="30"/>
  <c r="BJ79" i="30"/>
  <c r="BJ77" i="30"/>
  <c r="BJ75" i="30"/>
  <c r="BJ73" i="30"/>
  <c r="BJ71" i="30"/>
  <c r="BJ69" i="30"/>
  <c r="BJ67" i="30"/>
  <c r="BJ65" i="30"/>
  <c r="BJ63" i="30"/>
  <c r="BJ61" i="30"/>
  <c r="BJ59" i="30"/>
  <c r="BJ57" i="30"/>
  <c r="BJ55" i="30"/>
  <c r="BJ53" i="30"/>
  <c r="BJ51" i="30"/>
  <c r="BJ49" i="30"/>
  <c r="BJ47" i="30"/>
  <c r="BJ45" i="30"/>
  <c r="AV79" i="30"/>
  <c r="AV77" i="30"/>
  <c r="AV75" i="30"/>
  <c r="AV73" i="30"/>
  <c r="AV71" i="30"/>
  <c r="AV69" i="30"/>
  <c r="AV67" i="30"/>
  <c r="AV65" i="30"/>
  <c r="AV63" i="30"/>
  <c r="AV61" i="30"/>
  <c r="AV59" i="30"/>
  <c r="AV57" i="30"/>
  <c r="AV55" i="30"/>
  <c r="AV53" i="30"/>
  <c r="AV51" i="30"/>
  <c r="AV49" i="30"/>
  <c r="AV47" i="30"/>
  <c r="AV45" i="30"/>
  <c r="AH79" i="30"/>
  <c r="AH77" i="30"/>
  <c r="AH75" i="30"/>
  <c r="AH73" i="30"/>
  <c r="AH71" i="30"/>
  <c r="AH69" i="30"/>
  <c r="AH67" i="30"/>
  <c r="AH65" i="30"/>
  <c r="AH63" i="30"/>
  <c r="AH61" i="30"/>
  <c r="CK79" i="30"/>
  <c r="CK77" i="30"/>
  <c r="CK75" i="30"/>
  <c r="CK73" i="30"/>
  <c r="CK71" i="30"/>
  <c r="CK69" i="30"/>
  <c r="CK67" i="30"/>
  <c r="CK65" i="30"/>
  <c r="CK63" i="30"/>
  <c r="CK61" i="30"/>
  <c r="CK59" i="30"/>
  <c r="CK57" i="30"/>
  <c r="CK55" i="30"/>
  <c r="CK53" i="30"/>
  <c r="CK51" i="30"/>
  <c r="CK49" i="30"/>
  <c r="CK47" i="30"/>
  <c r="CK45" i="30"/>
  <c r="BW79" i="30"/>
  <c r="BW77" i="30"/>
  <c r="BW75" i="30"/>
  <c r="BW73" i="30"/>
  <c r="BW71" i="30"/>
  <c r="BW69" i="30"/>
  <c r="BW67" i="30"/>
  <c r="BW65" i="30"/>
  <c r="BW63" i="30"/>
  <c r="BW61" i="30"/>
  <c r="BW59" i="30"/>
  <c r="BW57" i="30"/>
  <c r="BW55" i="30"/>
  <c r="BW53" i="30"/>
  <c r="BW51" i="30"/>
  <c r="BW49" i="30"/>
  <c r="BW47" i="30"/>
  <c r="BW45" i="30"/>
  <c r="BI79" i="30"/>
  <c r="BI77" i="30"/>
  <c r="BI75" i="30"/>
  <c r="BI73" i="30"/>
  <c r="BI71" i="30"/>
  <c r="BI69" i="30"/>
  <c r="BI67" i="30"/>
  <c r="BI65" i="30"/>
  <c r="BI63" i="30"/>
  <c r="BI61" i="30"/>
  <c r="BI59" i="30"/>
  <c r="BI57" i="30"/>
  <c r="BI55" i="30"/>
  <c r="BI53" i="30"/>
  <c r="BI51" i="30"/>
  <c r="BI49" i="30"/>
  <c r="BI47" i="30"/>
  <c r="BI45" i="30"/>
  <c r="AU79" i="30"/>
  <c r="AU77" i="30"/>
  <c r="AU75" i="30"/>
  <c r="AU73" i="30"/>
  <c r="AU71" i="30"/>
  <c r="AU69" i="30"/>
  <c r="AU67" i="30"/>
  <c r="AU65" i="30"/>
  <c r="AU63" i="30"/>
  <c r="AU61" i="30"/>
  <c r="AU59" i="30"/>
  <c r="AU57" i="30"/>
  <c r="AU55" i="30"/>
  <c r="AU53" i="30"/>
  <c r="AU51" i="30"/>
  <c r="AU49" i="30"/>
  <c r="AU47" i="30"/>
  <c r="AU45" i="30"/>
  <c r="AG79" i="30"/>
  <c r="AG77" i="30"/>
  <c r="AG75" i="30"/>
  <c r="AG73" i="30"/>
  <c r="AG71" i="30"/>
  <c r="AG69" i="30"/>
  <c r="AG67" i="30"/>
  <c r="CJ79" i="30"/>
  <c r="CJ77" i="30"/>
  <c r="CJ75" i="30"/>
  <c r="CJ73" i="30"/>
  <c r="CJ71" i="30"/>
  <c r="CJ69" i="30"/>
  <c r="CJ67" i="30"/>
  <c r="CJ65" i="30"/>
  <c r="CJ63" i="30"/>
  <c r="CJ61" i="30"/>
  <c r="CJ59" i="30"/>
  <c r="CJ57" i="30"/>
  <c r="CJ55" i="30"/>
  <c r="CJ53" i="30"/>
  <c r="CJ51" i="30"/>
  <c r="CJ49" i="30"/>
  <c r="CJ47" i="30"/>
  <c r="CJ45" i="30"/>
  <c r="BV79" i="30"/>
  <c r="BV77" i="30"/>
  <c r="BV75" i="30"/>
  <c r="BV73" i="30"/>
  <c r="BV71" i="30"/>
  <c r="BV69" i="30"/>
  <c r="BV67" i="30"/>
  <c r="BV65" i="30"/>
  <c r="BV63" i="30"/>
  <c r="BV61" i="30"/>
  <c r="BV59" i="30"/>
  <c r="BV57" i="30"/>
  <c r="BV55" i="30"/>
  <c r="BV53" i="30"/>
  <c r="BV51" i="30"/>
  <c r="BV49" i="30"/>
  <c r="BV47" i="30"/>
  <c r="BV45" i="30"/>
  <c r="BH79" i="30"/>
  <c r="BH77" i="30"/>
  <c r="BH75" i="30"/>
  <c r="BH73" i="30"/>
  <c r="BH71" i="30"/>
  <c r="BH69" i="30"/>
  <c r="BH67" i="30"/>
  <c r="BH65" i="30"/>
  <c r="BH63" i="30"/>
  <c r="BH61" i="30"/>
  <c r="BH59" i="30"/>
  <c r="BH57" i="30"/>
  <c r="BH55" i="30"/>
  <c r="BH53" i="30"/>
  <c r="BH51" i="30"/>
  <c r="BH49" i="30"/>
  <c r="BH47" i="30"/>
  <c r="BH45" i="30"/>
  <c r="AT79" i="30"/>
  <c r="AT77" i="30"/>
  <c r="AT75" i="30"/>
  <c r="AT73" i="30"/>
  <c r="AT71" i="30"/>
  <c r="AT69" i="30"/>
  <c r="AT67" i="30"/>
  <c r="AT65" i="30"/>
  <c r="AT63" i="30"/>
  <c r="AT61" i="30"/>
  <c r="AT59" i="30"/>
  <c r="AT57" i="30"/>
  <c r="AT55" i="30"/>
  <c r="AT53" i="30"/>
  <c r="AT51" i="30"/>
  <c r="AT49" i="30"/>
  <c r="AT47" i="30"/>
  <c r="AT45" i="30"/>
  <c r="AF79" i="30"/>
  <c r="AF77" i="30"/>
  <c r="AF75" i="30"/>
  <c r="AF73" i="30"/>
  <c r="AF71" i="30"/>
  <c r="AF69" i="30"/>
  <c r="AF67" i="30"/>
  <c r="AF65" i="30"/>
  <c r="AF63" i="30"/>
  <c r="AF61" i="30"/>
  <c r="CU78" i="30"/>
  <c r="CU76" i="30"/>
  <c r="CU74" i="30"/>
  <c r="CU72" i="30"/>
  <c r="CU70" i="30"/>
  <c r="CU68" i="30"/>
  <c r="CU66" i="30"/>
  <c r="CU64" i="30"/>
  <c r="CU62" i="30"/>
  <c r="CU60" i="30"/>
  <c r="CU58" i="30"/>
  <c r="CU56" i="30"/>
  <c r="CU54" i="30"/>
  <c r="CU52" i="30"/>
  <c r="CU50" i="30"/>
  <c r="CU48" i="30"/>
  <c r="CU46" i="30"/>
  <c r="CU44" i="30"/>
  <c r="CG78" i="30"/>
  <c r="CG76" i="30"/>
  <c r="CG74" i="30"/>
  <c r="CG72" i="30"/>
  <c r="CG70" i="30"/>
  <c r="CG68" i="30"/>
  <c r="CG66" i="30"/>
  <c r="CG64" i="30"/>
  <c r="CG62" i="30"/>
  <c r="CG60" i="30"/>
  <c r="CG58" i="30"/>
  <c r="CG56" i="30"/>
  <c r="CG54" i="30"/>
  <c r="CG52" i="30"/>
  <c r="CG50" i="30"/>
  <c r="CG48" i="30"/>
  <c r="CG46" i="30"/>
  <c r="CG44" i="30"/>
  <c r="BS78" i="30"/>
  <c r="BS76" i="30"/>
  <c r="BS74" i="30"/>
  <c r="BS72" i="30"/>
  <c r="BS70" i="30"/>
  <c r="BS68" i="30"/>
  <c r="BS66" i="30"/>
  <c r="BS64" i="30"/>
  <c r="BS62" i="30"/>
  <c r="BS60" i="30"/>
  <c r="BS58" i="30"/>
  <c r="BS56" i="30"/>
  <c r="BS54" i="30"/>
  <c r="BS52" i="30"/>
  <c r="BS50" i="30"/>
  <c r="BS48" i="30"/>
  <c r="BS46" i="30"/>
  <c r="BS44" i="30"/>
  <c r="BE78" i="30"/>
  <c r="BE76" i="30"/>
  <c r="BE74" i="30"/>
  <c r="BE72" i="30"/>
  <c r="BE70" i="30"/>
  <c r="BE68" i="30"/>
  <c r="BE66" i="30"/>
  <c r="BE64" i="30"/>
  <c r="BE62" i="30"/>
  <c r="BE60" i="30"/>
  <c r="BE58" i="30"/>
  <c r="BE56" i="30"/>
  <c r="BE54" i="30"/>
  <c r="BE52" i="30"/>
  <c r="BE50" i="30"/>
  <c r="BE48" i="30"/>
  <c r="BE46" i="30"/>
  <c r="BE44" i="30"/>
  <c r="AQ78" i="30"/>
  <c r="AQ76" i="30"/>
  <c r="AQ74" i="30"/>
  <c r="AQ72" i="30"/>
  <c r="AQ70" i="30"/>
  <c r="AQ68" i="30"/>
  <c r="AQ66" i="30"/>
  <c r="AQ64" i="30"/>
  <c r="AQ62" i="30"/>
  <c r="AQ60" i="30"/>
  <c r="AQ58" i="30"/>
  <c r="AQ56" i="30"/>
  <c r="AQ54" i="30"/>
  <c r="CT78" i="30"/>
  <c r="CT76" i="30"/>
  <c r="CT74" i="30"/>
  <c r="CT72" i="30"/>
  <c r="CT70" i="30"/>
  <c r="CT68" i="30"/>
  <c r="CT66" i="30"/>
  <c r="CT64" i="30"/>
  <c r="CT62" i="30"/>
  <c r="CT60" i="30"/>
  <c r="CT58" i="30"/>
  <c r="CT56" i="30"/>
  <c r="CT54" i="30"/>
  <c r="CT52" i="30"/>
  <c r="CT50" i="30"/>
  <c r="CT48" i="30"/>
  <c r="CT46" i="30"/>
  <c r="CT44" i="30"/>
  <c r="CF78" i="30"/>
  <c r="CF76" i="30"/>
  <c r="CF74" i="30"/>
  <c r="CF72" i="30"/>
  <c r="CF70" i="30"/>
  <c r="CF68" i="30"/>
  <c r="CF66" i="30"/>
  <c r="CF64" i="30"/>
  <c r="CF62" i="30"/>
  <c r="CF60" i="30"/>
  <c r="CF58" i="30"/>
  <c r="CF56" i="30"/>
  <c r="CF54" i="30"/>
  <c r="CF52" i="30"/>
  <c r="CF50" i="30"/>
  <c r="CF48" i="30"/>
  <c r="CF46" i="30"/>
  <c r="CF44" i="30"/>
  <c r="BR78" i="30"/>
  <c r="BR76" i="30"/>
  <c r="BR74" i="30"/>
  <c r="BR72" i="30"/>
  <c r="BR70" i="30"/>
  <c r="BR68" i="30"/>
  <c r="BR66" i="30"/>
  <c r="BR64" i="30"/>
  <c r="BR62" i="30"/>
  <c r="BR60" i="30"/>
  <c r="BR58" i="30"/>
  <c r="BR56" i="30"/>
  <c r="BR54" i="30"/>
  <c r="BR52" i="30"/>
  <c r="BR50" i="30"/>
  <c r="BR48" i="30"/>
  <c r="BR46" i="30"/>
  <c r="BR44" i="30"/>
  <c r="BD78" i="30"/>
  <c r="BD76" i="30"/>
  <c r="BD74" i="30"/>
  <c r="BD72" i="30"/>
  <c r="BD70" i="30"/>
  <c r="BD68" i="30"/>
  <c r="BD66" i="30"/>
  <c r="BD64" i="30"/>
  <c r="BD62" i="30"/>
  <c r="BD60" i="30"/>
  <c r="BD58" i="30"/>
  <c r="BD56" i="30"/>
  <c r="BD54" i="30"/>
  <c r="BD52" i="30"/>
  <c r="BD50" i="30"/>
  <c r="BD48" i="30"/>
  <c r="BD46" i="30"/>
  <c r="BD44" i="30"/>
  <c r="AP78" i="30"/>
  <c r="AP76" i="30"/>
  <c r="AP74" i="30"/>
  <c r="AP72" i="30"/>
  <c r="AP70" i="30"/>
  <c r="AP68" i="30"/>
  <c r="AP66" i="30"/>
  <c r="AP64" i="30"/>
  <c r="AP62" i="30"/>
  <c r="AP60" i="30"/>
  <c r="AP58" i="30"/>
  <c r="AP56" i="30"/>
  <c r="AP54" i="30"/>
  <c r="CS78" i="30"/>
  <c r="CS76" i="30"/>
  <c r="CS74" i="30"/>
  <c r="CS72" i="30"/>
  <c r="CS70" i="30"/>
  <c r="CS68" i="30"/>
  <c r="CS66" i="30"/>
  <c r="CS64" i="30"/>
  <c r="CS62" i="30"/>
  <c r="CS60" i="30"/>
  <c r="CS58" i="30"/>
  <c r="CS56" i="30"/>
  <c r="CS54" i="30"/>
  <c r="CS52" i="30"/>
  <c r="CS50" i="30"/>
  <c r="CS48" i="30"/>
  <c r="CS46" i="30"/>
  <c r="CS44" i="30"/>
  <c r="CE78" i="30"/>
  <c r="CE76" i="30"/>
  <c r="CE74" i="30"/>
  <c r="CE72" i="30"/>
  <c r="CE70" i="30"/>
  <c r="CE68" i="30"/>
  <c r="CE66" i="30"/>
  <c r="CE64" i="30"/>
  <c r="CE62" i="30"/>
  <c r="CE60" i="30"/>
  <c r="CE58" i="30"/>
  <c r="CE56" i="30"/>
  <c r="CE54" i="30"/>
  <c r="CE52" i="30"/>
  <c r="CE50" i="30"/>
  <c r="CE48" i="30"/>
  <c r="CE46" i="30"/>
  <c r="CE44" i="30"/>
  <c r="BQ78" i="30"/>
  <c r="BQ76" i="30"/>
  <c r="BQ74" i="30"/>
  <c r="BQ72" i="30"/>
  <c r="BQ70" i="30"/>
  <c r="BQ68" i="30"/>
  <c r="BQ66" i="30"/>
  <c r="BQ64" i="30"/>
  <c r="BQ62" i="30"/>
  <c r="BQ60" i="30"/>
  <c r="BQ58" i="30"/>
  <c r="BQ56" i="30"/>
  <c r="BQ54" i="30"/>
  <c r="BQ52" i="30"/>
  <c r="BQ50" i="30"/>
  <c r="BQ48" i="30"/>
  <c r="BQ46" i="30"/>
  <c r="BQ44" i="30"/>
  <c r="BC78" i="30"/>
  <c r="BC76" i="30"/>
  <c r="BC74" i="30"/>
  <c r="BC72" i="30"/>
  <c r="BC70" i="30"/>
  <c r="BC68" i="30"/>
  <c r="BC66" i="30"/>
  <c r="BC64" i="30"/>
  <c r="BC62" i="30"/>
  <c r="BC60" i="30"/>
  <c r="BC58" i="30"/>
  <c r="BC56" i="30"/>
  <c r="BC54" i="30"/>
  <c r="BC52" i="30"/>
  <c r="BC50" i="30"/>
  <c r="BC48" i="30"/>
  <c r="BC46" i="30"/>
  <c r="BC44" i="30"/>
  <c r="AO78" i="30"/>
  <c r="AO76" i="30"/>
  <c r="AO74" i="30"/>
  <c r="AO72" i="30"/>
  <c r="AO70" i="30"/>
  <c r="AO68" i="30"/>
  <c r="AO66" i="30"/>
  <c r="AO64" i="30"/>
  <c r="AO62" i="30"/>
  <c r="AO60" i="30"/>
  <c r="AO58" i="30"/>
  <c r="AO56" i="30"/>
  <c r="AO54" i="30"/>
  <c r="CR78" i="30"/>
  <c r="CR76" i="30"/>
  <c r="CR74" i="30"/>
  <c r="CR72" i="30"/>
  <c r="CR70" i="30"/>
  <c r="CR68" i="30"/>
  <c r="CR66" i="30"/>
  <c r="CR64" i="30"/>
  <c r="CR62" i="30"/>
  <c r="CR60" i="30"/>
  <c r="CR58" i="30"/>
  <c r="CR56" i="30"/>
  <c r="CR54" i="30"/>
  <c r="CR52" i="30"/>
  <c r="CR50" i="30"/>
  <c r="CR48" i="30"/>
  <c r="CR46" i="30"/>
  <c r="CR44" i="30"/>
  <c r="CD78" i="30"/>
  <c r="CD76" i="30"/>
  <c r="CD74" i="30"/>
  <c r="CD72" i="30"/>
  <c r="CD70" i="30"/>
  <c r="CD68" i="30"/>
  <c r="CD66" i="30"/>
  <c r="CD64" i="30"/>
  <c r="CD62" i="30"/>
  <c r="CD60" i="30"/>
  <c r="CD58" i="30"/>
  <c r="CD56" i="30"/>
  <c r="CD54" i="30"/>
  <c r="CD52" i="30"/>
  <c r="CD50" i="30"/>
  <c r="CD48" i="30"/>
  <c r="CD46" i="30"/>
  <c r="CD44" i="30"/>
  <c r="BP78" i="30"/>
  <c r="BP76" i="30"/>
  <c r="BP74" i="30"/>
  <c r="BP72" i="30"/>
  <c r="BP70" i="30"/>
  <c r="BP68" i="30"/>
  <c r="BP66" i="30"/>
  <c r="BP64" i="30"/>
  <c r="BP62" i="30"/>
  <c r="BP60" i="30"/>
  <c r="BP58" i="30"/>
  <c r="BP56" i="30"/>
  <c r="BP54" i="30"/>
  <c r="BP52" i="30"/>
  <c r="BP50" i="30"/>
  <c r="BP48" i="30"/>
  <c r="BP46" i="30"/>
  <c r="BP44" i="30"/>
  <c r="BB78" i="30"/>
  <c r="BB76" i="30"/>
  <c r="BB74" i="30"/>
  <c r="BB72" i="30"/>
  <c r="BB70" i="30"/>
  <c r="BB68" i="30"/>
  <c r="CQ78" i="30"/>
  <c r="CQ76" i="30"/>
  <c r="CQ74" i="30"/>
  <c r="CQ72" i="30"/>
  <c r="CQ70" i="30"/>
  <c r="CQ68" i="30"/>
  <c r="CQ66" i="30"/>
  <c r="CQ64" i="30"/>
  <c r="CQ62" i="30"/>
  <c r="CQ60" i="30"/>
  <c r="CQ58" i="30"/>
  <c r="CQ56" i="30"/>
  <c r="CQ54" i="30"/>
  <c r="CQ52" i="30"/>
  <c r="CQ50" i="30"/>
  <c r="CQ48" i="30"/>
  <c r="CQ46" i="30"/>
  <c r="CQ44" i="30"/>
  <c r="CC78" i="30"/>
  <c r="CC76" i="30"/>
  <c r="CC74" i="30"/>
  <c r="CC72" i="30"/>
  <c r="CC70" i="30"/>
  <c r="CC68" i="30"/>
  <c r="CC66" i="30"/>
  <c r="CC64" i="30"/>
  <c r="CC62" i="30"/>
  <c r="CC60" i="30"/>
  <c r="CC58" i="30"/>
  <c r="CC56" i="30"/>
  <c r="CC54" i="30"/>
  <c r="CC52" i="30"/>
  <c r="CC50" i="30"/>
  <c r="CC48" i="30"/>
  <c r="CC46" i="30"/>
  <c r="CC44" i="30"/>
  <c r="BO78" i="30"/>
  <c r="BO76" i="30"/>
  <c r="BO74" i="30"/>
  <c r="BO72" i="30"/>
  <c r="BO70" i="30"/>
  <c r="BO68" i="30"/>
  <c r="BO66" i="30"/>
  <c r="BO64" i="30"/>
  <c r="BO62" i="30"/>
  <c r="BO60" i="30"/>
  <c r="BO58" i="30"/>
  <c r="BO56" i="30"/>
  <c r="BO54" i="30"/>
  <c r="BO52" i="30"/>
  <c r="BO50" i="30"/>
  <c r="BO48" i="30"/>
  <c r="BO46" i="30"/>
  <c r="BO44" i="30"/>
  <c r="BA78" i="30"/>
  <c r="BA76" i="30"/>
  <c r="BA74" i="30"/>
  <c r="BA72" i="30"/>
  <c r="BA70" i="30"/>
  <c r="BA68" i="30"/>
  <c r="CP78" i="30"/>
  <c r="CP76" i="30"/>
  <c r="CP74" i="30"/>
  <c r="CP72" i="30"/>
  <c r="CP70" i="30"/>
  <c r="CP68" i="30"/>
  <c r="CP66" i="30"/>
  <c r="CP64" i="30"/>
  <c r="CP62" i="30"/>
  <c r="CP60" i="30"/>
  <c r="CP58" i="30"/>
  <c r="CP56" i="30"/>
  <c r="CP54" i="30"/>
  <c r="CP52" i="30"/>
  <c r="CP50" i="30"/>
  <c r="CP48" i="30"/>
  <c r="CP46" i="30"/>
  <c r="CP44" i="30"/>
  <c r="CB78" i="30"/>
  <c r="CB76" i="30"/>
  <c r="CB74" i="30"/>
  <c r="CB72" i="30"/>
  <c r="CB70" i="30"/>
  <c r="CB68" i="30"/>
  <c r="CB66" i="30"/>
  <c r="CB64" i="30"/>
  <c r="CB62" i="30"/>
  <c r="CB60" i="30"/>
  <c r="CB58" i="30"/>
  <c r="CB56" i="30"/>
  <c r="CB54" i="30"/>
  <c r="CB52" i="30"/>
  <c r="CB50" i="30"/>
  <c r="CB48" i="30"/>
  <c r="CB46" i="30"/>
  <c r="CB44" i="30"/>
  <c r="BN78" i="30"/>
  <c r="BN76" i="30"/>
  <c r="BN74" i="30"/>
  <c r="BN72" i="30"/>
  <c r="BN70" i="30"/>
  <c r="BN68" i="30"/>
  <c r="BN66" i="30"/>
  <c r="BN64" i="30"/>
  <c r="BN62" i="30"/>
  <c r="BN60" i="30"/>
  <c r="BN58" i="30"/>
  <c r="BN56" i="30"/>
  <c r="BN54" i="30"/>
  <c r="BN52" i="30"/>
  <c r="BN50" i="30"/>
  <c r="BN48" i="30"/>
  <c r="BN46" i="30"/>
  <c r="BN44" i="30"/>
  <c r="AZ78" i="30"/>
  <c r="CO78" i="30"/>
  <c r="CO76" i="30"/>
  <c r="CO74" i="30"/>
  <c r="CO72" i="30"/>
  <c r="CO70" i="30"/>
  <c r="CO68" i="30"/>
  <c r="CO66" i="30"/>
  <c r="CO64" i="30"/>
  <c r="CO62" i="30"/>
  <c r="CO60" i="30"/>
  <c r="CO58" i="30"/>
  <c r="CO56" i="30"/>
  <c r="CO54" i="30"/>
  <c r="CO52" i="30"/>
  <c r="CO50" i="30"/>
  <c r="CO48" i="30"/>
  <c r="CO46" i="30"/>
  <c r="CO44" i="30"/>
  <c r="CA78" i="30"/>
  <c r="CA76" i="30"/>
  <c r="CA74" i="30"/>
  <c r="CA72" i="30"/>
  <c r="CA70" i="30"/>
  <c r="CA68" i="30"/>
  <c r="CA66" i="30"/>
  <c r="CA64" i="30"/>
  <c r="CA62" i="30"/>
  <c r="CA60" i="30"/>
  <c r="CA58" i="30"/>
  <c r="CA56" i="30"/>
  <c r="CA54" i="30"/>
  <c r="CA52" i="30"/>
  <c r="CA50" i="30"/>
  <c r="CA48" i="30"/>
  <c r="CA46" i="30"/>
  <c r="CA44" i="30"/>
  <c r="BM78" i="30"/>
  <c r="BM76" i="30"/>
  <c r="BM74" i="30"/>
  <c r="BM72" i="30"/>
  <c r="BM70" i="30"/>
  <c r="BM68" i="30"/>
  <c r="BM66" i="30"/>
  <c r="BM64" i="30"/>
  <c r="BM62" i="30"/>
  <c r="BM60" i="30"/>
  <c r="BM58" i="30"/>
  <c r="BM56" i="30"/>
  <c r="BM54" i="30"/>
  <c r="BM52" i="30"/>
  <c r="BM50" i="30"/>
  <c r="BM48" i="30"/>
  <c r="BM46" i="30"/>
  <c r="BM44" i="30"/>
  <c r="AY78" i="30"/>
  <c r="AY76" i="30"/>
  <c r="CN78" i="30"/>
  <c r="CN76" i="30"/>
  <c r="CN74" i="30"/>
  <c r="CN72" i="30"/>
  <c r="CN70" i="30"/>
  <c r="CN68" i="30"/>
  <c r="CN66" i="30"/>
  <c r="CN64" i="30"/>
  <c r="CN62" i="30"/>
  <c r="CN60" i="30"/>
  <c r="CN58" i="30"/>
  <c r="CN56" i="30"/>
  <c r="CN54" i="30"/>
  <c r="CN52" i="30"/>
  <c r="CN50" i="30"/>
  <c r="CN48" i="30"/>
  <c r="CN46" i="30"/>
  <c r="CN44" i="30"/>
  <c r="BZ78" i="30"/>
  <c r="BZ76" i="30"/>
  <c r="BZ74" i="30"/>
  <c r="BZ72" i="30"/>
  <c r="BZ70" i="30"/>
  <c r="BZ68" i="30"/>
  <c r="BZ66" i="30"/>
  <c r="BZ64" i="30"/>
  <c r="BZ62" i="30"/>
  <c r="BZ60" i="30"/>
  <c r="BZ58" i="30"/>
  <c r="BZ56" i="30"/>
  <c r="BZ54" i="30"/>
  <c r="BZ52" i="30"/>
  <c r="BZ50" i="30"/>
  <c r="BZ48" i="30"/>
  <c r="BZ46" i="30"/>
  <c r="BZ44" i="30"/>
  <c r="BL78" i="30"/>
  <c r="BL76" i="30"/>
  <c r="BL74" i="30"/>
  <c r="BL72" i="30"/>
  <c r="BL70" i="30"/>
  <c r="BL68" i="30"/>
  <c r="BL66" i="30"/>
  <c r="BL64" i="30"/>
  <c r="BL62" i="30"/>
  <c r="BL60" i="30"/>
  <c r="BL58" i="30"/>
  <c r="BL56" i="30"/>
  <c r="BL54" i="30"/>
  <c r="BL52" i="30"/>
  <c r="BL50" i="30"/>
  <c r="BL48" i="30"/>
  <c r="BL46" i="30"/>
  <c r="BL44" i="30"/>
  <c r="AX78" i="30"/>
  <c r="AX76" i="30"/>
  <c r="AX74" i="30"/>
  <c r="CM78" i="30"/>
  <c r="CM76" i="30"/>
  <c r="CM74" i="30"/>
  <c r="CM72" i="30"/>
  <c r="CM70" i="30"/>
  <c r="CM68" i="30"/>
  <c r="CM66" i="30"/>
  <c r="CM64" i="30"/>
  <c r="CM62" i="30"/>
  <c r="CM60" i="30"/>
  <c r="CM58" i="30"/>
  <c r="CM56" i="30"/>
  <c r="CM54" i="30"/>
  <c r="CM52" i="30"/>
  <c r="CM50" i="30"/>
  <c r="CM48" i="30"/>
  <c r="CM46" i="30"/>
  <c r="CM44" i="30"/>
  <c r="BY78" i="30"/>
  <c r="BY76" i="30"/>
  <c r="BY74" i="30"/>
  <c r="BY72" i="30"/>
  <c r="BY70" i="30"/>
  <c r="BY68" i="30"/>
  <c r="BY66" i="30"/>
  <c r="BY64" i="30"/>
  <c r="BY62" i="30"/>
  <c r="BY60" i="30"/>
  <c r="BY58" i="30"/>
  <c r="BY56" i="30"/>
  <c r="BY54" i="30"/>
  <c r="BY52" i="30"/>
  <c r="BY50" i="30"/>
  <c r="BY48" i="30"/>
  <c r="BY46" i="30"/>
  <c r="BY44" i="30"/>
  <c r="BK78" i="30"/>
  <c r="BK76" i="30"/>
  <c r="BK74" i="30"/>
  <c r="BK72" i="30"/>
  <c r="BK70" i="30"/>
  <c r="BK68" i="30"/>
  <c r="BK66" i="30"/>
  <c r="BK64" i="30"/>
  <c r="BK62" i="30"/>
  <c r="BK60" i="30"/>
  <c r="BK58" i="30"/>
  <c r="BK56" i="30"/>
  <c r="BK54" i="30"/>
  <c r="BK52" i="30"/>
  <c r="BK50" i="30"/>
  <c r="BK48" i="30"/>
  <c r="BK46" i="30"/>
  <c r="BK44" i="30"/>
  <c r="AW78" i="30"/>
  <c r="AW76" i="30"/>
  <c r="CL78" i="30"/>
  <c r="CL76" i="30"/>
  <c r="CL74" i="30"/>
  <c r="CL72" i="30"/>
  <c r="CL70" i="30"/>
  <c r="CL68" i="30"/>
  <c r="CL66" i="30"/>
  <c r="CL64" i="30"/>
  <c r="CL62" i="30"/>
  <c r="CL60" i="30"/>
  <c r="CL58" i="30"/>
  <c r="CL56" i="30"/>
  <c r="CL54" i="30"/>
  <c r="CL52" i="30"/>
  <c r="CL50" i="30"/>
  <c r="CL48" i="30"/>
  <c r="CL46" i="30"/>
  <c r="CL44" i="30"/>
  <c r="BX78" i="30"/>
  <c r="BX76" i="30"/>
  <c r="BX74" i="30"/>
  <c r="BX72" i="30"/>
  <c r="BX70" i="30"/>
  <c r="BX68" i="30"/>
  <c r="BX66" i="30"/>
  <c r="BX64" i="30"/>
  <c r="BX62" i="30"/>
  <c r="BX60" i="30"/>
  <c r="BX58" i="30"/>
  <c r="BX56" i="30"/>
  <c r="BX54" i="30"/>
  <c r="BX52" i="30"/>
  <c r="BX50" i="30"/>
  <c r="BX48" i="30"/>
  <c r="BX46" i="30"/>
  <c r="BX44" i="30"/>
  <c r="BJ78" i="30"/>
  <c r="BJ76" i="30"/>
  <c r="BJ74" i="30"/>
  <c r="BJ72" i="30"/>
  <c r="BJ70" i="30"/>
  <c r="BJ68" i="30"/>
  <c r="BJ66" i="30"/>
  <c r="BJ64" i="30"/>
  <c r="BJ62" i="30"/>
  <c r="BJ60" i="30"/>
  <c r="BJ58" i="30"/>
  <c r="BJ56" i="30"/>
  <c r="BJ54" i="30"/>
  <c r="BJ52" i="30"/>
  <c r="BJ50" i="30"/>
  <c r="BJ48" i="30"/>
  <c r="BJ46" i="30"/>
  <c r="BJ44" i="30"/>
  <c r="AV78" i="30"/>
  <c r="AV76" i="30"/>
  <c r="AV74" i="30"/>
  <c r="AV72" i="30"/>
  <c r="AV70" i="30"/>
  <c r="AV68" i="30"/>
  <c r="AV66" i="30"/>
  <c r="AV64" i="30"/>
  <c r="AV62" i="30"/>
  <c r="AV60" i="30"/>
  <c r="AV58" i="30"/>
  <c r="AV56" i="30"/>
  <c r="AV54" i="30"/>
  <c r="AV52" i="30"/>
  <c r="AV50" i="30"/>
  <c r="AV48" i="30"/>
  <c r="AV46" i="30"/>
  <c r="AV44" i="30"/>
  <c r="AH78" i="30"/>
  <c r="AH76" i="30"/>
  <c r="AH74" i="30"/>
  <c r="AH72" i="30"/>
  <c r="AH70" i="30"/>
  <c r="AH68" i="30"/>
  <c r="CK78" i="30"/>
  <c r="CK76" i="30"/>
  <c r="CK74" i="30"/>
  <c r="CK72" i="30"/>
  <c r="CK70" i="30"/>
  <c r="CK68" i="30"/>
  <c r="CK66" i="30"/>
  <c r="CK64" i="30"/>
  <c r="CK62" i="30"/>
  <c r="CK60" i="30"/>
  <c r="CK58" i="30"/>
  <c r="CK56" i="30"/>
  <c r="CK54" i="30"/>
  <c r="CK52" i="30"/>
  <c r="CK50" i="30"/>
  <c r="CK48" i="30"/>
  <c r="CK46" i="30"/>
  <c r="CK44" i="30"/>
  <c r="BW78" i="30"/>
  <c r="BW76" i="30"/>
  <c r="BW74" i="30"/>
  <c r="BW72" i="30"/>
  <c r="BW70" i="30"/>
  <c r="BW68" i="30"/>
  <c r="BW66" i="30"/>
  <c r="BW64" i="30"/>
  <c r="BW62" i="30"/>
  <c r="BW60" i="30"/>
  <c r="BW58" i="30"/>
  <c r="BW56" i="30"/>
  <c r="BW54" i="30"/>
  <c r="BW52" i="30"/>
  <c r="BW50" i="30"/>
  <c r="BW48" i="30"/>
  <c r="BW46" i="30"/>
  <c r="BW44" i="30"/>
  <c r="BI78" i="30"/>
  <c r="BI76" i="30"/>
  <c r="BI74" i="30"/>
  <c r="BI72" i="30"/>
  <c r="BI70" i="30"/>
  <c r="BI68" i="30"/>
  <c r="BI66" i="30"/>
  <c r="BI64" i="30"/>
  <c r="BI62" i="30"/>
  <c r="BI60" i="30"/>
  <c r="BI58" i="30"/>
  <c r="BI56" i="30"/>
  <c r="BI54" i="30"/>
  <c r="BI52" i="30"/>
  <c r="BI50" i="30"/>
  <c r="BI48" i="30"/>
  <c r="BI46" i="30"/>
  <c r="BI44" i="30"/>
  <c r="AU78" i="30"/>
  <c r="AU76" i="30"/>
  <c r="AU74" i="30"/>
  <c r="AU72" i="30"/>
  <c r="AU70" i="30"/>
  <c r="AU68" i="30"/>
  <c r="AU66" i="30"/>
  <c r="AU64" i="30"/>
  <c r="AU62" i="30"/>
  <c r="AU60" i="30"/>
  <c r="AU58" i="30"/>
  <c r="AU56" i="30"/>
  <c r="AU54" i="30"/>
  <c r="AU52" i="30"/>
  <c r="AU50" i="30"/>
  <c r="AU48" i="30"/>
  <c r="AU46" i="30"/>
  <c r="AU44" i="30"/>
  <c r="AG78" i="30"/>
  <c r="AG76" i="30"/>
  <c r="AG74" i="30"/>
  <c r="AG72" i="30"/>
  <c r="AG70" i="30"/>
  <c r="AG68" i="30"/>
  <c r="AG66" i="30"/>
  <c r="AG64" i="30"/>
  <c r="AG62" i="30"/>
  <c r="AG60" i="30"/>
  <c r="CJ78" i="30"/>
  <c r="CJ76" i="30"/>
  <c r="CJ74" i="30"/>
  <c r="CJ72" i="30"/>
  <c r="CJ70" i="30"/>
  <c r="CJ68" i="30"/>
  <c r="CJ66" i="30"/>
  <c r="CJ64" i="30"/>
  <c r="CJ62" i="30"/>
  <c r="CJ60" i="30"/>
  <c r="CJ58" i="30"/>
  <c r="CJ56" i="30"/>
  <c r="CJ54" i="30"/>
  <c r="CJ52" i="30"/>
  <c r="CJ50" i="30"/>
  <c r="CJ48" i="30"/>
  <c r="CJ46" i="30"/>
  <c r="CJ44" i="30"/>
  <c r="BV78" i="30"/>
  <c r="BV76" i="30"/>
  <c r="BV74" i="30"/>
  <c r="BV72" i="30"/>
  <c r="BV70" i="30"/>
  <c r="BV68" i="30"/>
  <c r="BV66" i="30"/>
  <c r="BV64" i="30"/>
  <c r="BV62" i="30"/>
  <c r="BV60" i="30"/>
  <c r="BV58" i="30"/>
  <c r="BV56" i="30"/>
  <c r="BV54" i="30"/>
  <c r="BV52" i="30"/>
  <c r="BV50" i="30"/>
  <c r="BV48" i="30"/>
  <c r="BV46" i="30"/>
  <c r="BV44" i="30"/>
  <c r="BH78" i="30"/>
  <c r="BH76" i="30"/>
  <c r="BH74" i="30"/>
  <c r="BH72" i="30"/>
  <c r="BH70" i="30"/>
  <c r="BH68" i="30"/>
  <c r="BH66" i="30"/>
  <c r="BH64" i="30"/>
  <c r="BH62" i="30"/>
  <c r="BH60" i="30"/>
  <c r="BH58" i="30"/>
  <c r="BH56" i="30"/>
  <c r="BH54" i="30"/>
  <c r="BH52" i="30"/>
  <c r="BH50" i="30"/>
  <c r="BH48" i="30"/>
  <c r="BH46" i="30"/>
  <c r="BH44" i="30"/>
  <c r="AT78" i="30"/>
  <c r="AT76" i="30"/>
  <c r="AT74" i="30"/>
  <c r="AT72" i="30"/>
  <c r="AT70" i="30"/>
  <c r="AT68" i="30"/>
  <c r="AT66" i="30"/>
  <c r="AT64" i="30"/>
  <c r="AT62" i="30"/>
  <c r="AT60" i="30"/>
  <c r="AT58" i="30"/>
  <c r="AT56" i="30"/>
  <c r="AT54" i="30"/>
  <c r="AT52" i="30"/>
  <c r="AT50" i="30"/>
  <c r="AT48" i="30"/>
  <c r="AT46" i="30"/>
  <c r="AT44" i="30"/>
  <c r="AF78" i="30"/>
  <c r="CU79" i="30"/>
  <c r="CU77" i="30"/>
  <c r="CU75" i="30"/>
  <c r="CU73" i="30"/>
  <c r="CU71" i="30"/>
  <c r="CU69" i="30"/>
  <c r="CU67" i="30"/>
  <c r="CU65" i="30"/>
  <c r="CU63" i="30"/>
  <c r="CU61" i="30"/>
  <c r="CU59" i="30"/>
  <c r="CU57" i="30"/>
  <c r="CU55" i="30"/>
  <c r="CU53" i="30"/>
  <c r="CU51" i="30"/>
  <c r="CU49" i="30"/>
  <c r="CU47" i="30"/>
  <c r="CU45" i="30"/>
  <c r="CG79" i="30"/>
  <c r="CG77" i="30"/>
  <c r="CG75" i="30"/>
  <c r="CG73" i="30"/>
  <c r="CG71" i="30"/>
  <c r="CG69" i="30"/>
  <c r="CG67" i="30"/>
  <c r="CG65" i="30"/>
  <c r="CG63" i="30"/>
  <c r="CG61" i="30"/>
  <c r="CG59" i="30"/>
  <c r="CG57" i="30"/>
  <c r="CG55" i="30"/>
  <c r="CG53" i="30"/>
  <c r="CG51" i="30"/>
  <c r="CG49" i="30"/>
  <c r="CG47" i="30"/>
  <c r="CG45" i="30"/>
  <c r="BS79" i="30"/>
  <c r="BS77" i="30"/>
  <c r="BS75" i="30"/>
  <c r="BS73" i="30"/>
  <c r="BS71" i="30"/>
  <c r="BS69" i="30"/>
  <c r="BS67" i="30"/>
  <c r="BS65" i="30"/>
  <c r="BS63" i="30"/>
  <c r="BS61" i="30"/>
  <c r="BS59" i="30"/>
  <c r="BS57" i="30"/>
  <c r="BS55" i="30"/>
  <c r="BS53" i="30"/>
  <c r="BS51" i="30"/>
  <c r="BS49" i="30"/>
  <c r="BS47" i="30"/>
  <c r="BS45" i="30"/>
  <c r="BE79" i="30"/>
  <c r="CT79" i="30"/>
  <c r="CT77" i="30"/>
  <c r="CT75" i="30"/>
  <c r="CT73" i="30"/>
  <c r="CT71" i="30"/>
  <c r="CT69" i="30"/>
  <c r="CT67" i="30"/>
  <c r="CT65" i="30"/>
  <c r="CT63" i="30"/>
  <c r="CT61" i="30"/>
  <c r="CT59" i="30"/>
  <c r="CT57" i="30"/>
  <c r="CT55" i="30"/>
  <c r="CT53" i="30"/>
  <c r="CT51" i="30"/>
  <c r="CT49" i="30"/>
  <c r="CT47" i="30"/>
  <c r="CT45" i="30"/>
  <c r="CF79" i="30"/>
  <c r="CF77" i="30"/>
  <c r="CF75" i="30"/>
  <c r="CF73" i="30"/>
  <c r="CF71" i="30"/>
  <c r="CF69" i="30"/>
  <c r="CF67" i="30"/>
  <c r="CF65" i="30"/>
  <c r="CF63" i="30"/>
  <c r="CF61" i="30"/>
  <c r="CF59" i="30"/>
  <c r="CF57" i="30"/>
  <c r="CF55" i="30"/>
  <c r="CF53" i="30"/>
  <c r="CF51" i="30"/>
  <c r="CF49" i="30"/>
  <c r="CF47" i="30"/>
  <c r="CF45" i="30"/>
  <c r="BR79" i="30"/>
  <c r="BR77" i="30"/>
  <c r="BR75" i="30"/>
  <c r="BR73" i="30"/>
  <c r="BR71" i="30"/>
  <c r="BR69" i="30"/>
  <c r="BR67" i="30"/>
  <c r="BR65" i="30"/>
  <c r="BR63" i="30"/>
  <c r="BR61" i="30"/>
  <c r="BR59" i="30"/>
  <c r="BR57" i="30"/>
  <c r="BR55" i="30"/>
  <c r="BR53" i="30"/>
  <c r="BR51" i="30"/>
  <c r="BR49" i="30"/>
  <c r="BR47" i="30"/>
  <c r="BR45" i="30"/>
  <c r="BD79" i="30"/>
  <c r="BD77" i="30"/>
  <c r="BD75" i="30"/>
  <c r="BD73" i="30"/>
  <c r="BD71" i="30"/>
  <c r="BD69" i="30"/>
  <c r="BD67" i="30"/>
  <c r="BD65" i="30"/>
  <c r="BD63" i="30"/>
  <c r="CS79" i="30"/>
  <c r="CS77" i="30"/>
  <c r="CS75" i="30"/>
  <c r="CS73" i="30"/>
  <c r="CS71" i="30"/>
  <c r="CS69" i="30"/>
  <c r="CS67" i="30"/>
  <c r="CS65" i="30"/>
  <c r="CS63" i="30"/>
  <c r="CS61" i="30"/>
  <c r="CS59" i="30"/>
  <c r="CS57" i="30"/>
  <c r="CS55" i="30"/>
  <c r="CS53" i="30"/>
  <c r="CS51" i="30"/>
  <c r="CS49" i="30"/>
  <c r="CS47" i="30"/>
  <c r="CS45" i="30"/>
  <c r="CE79" i="30"/>
  <c r="CE77" i="30"/>
  <c r="CE75" i="30"/>
  <c r="CE73" i="30"/>
  <c r="CE71" i="30"/>
  <c r="CE69" i="30"/>
  <c r="CE67" i="30"/>
  <c r="CE65" i="30"/>
  <c r="CE63" i="30"/>
  <c r="CE61" i="30"/>
  <c r="CE59" i="30"/>
  <c r="CE57" i="30"/>
  <c r="CE55" i="30"/>
  <c r="CE53" i="30"/>
  <c r="CE51" i="30"/>
  <c r="CE49" i="30"/>
  <c r="CE47" i="30"/>
  <c r="CE45" i="30"/>
  <c r="BQ79" i="30"/>
  <c r="BQ77" i="30"/>
  <c r="BQ75" i="30"/>
  <c r="BQ73" i="30"/>
  <c r="BQ71" i="30"/>
  <c r="BQ69" i="30"/>
  <c r="BQ67" i="30"/>
  <c r="BQ65" i="30"/>
  <c r="BQ63" i="30"/>
  <c r="BQ61" i="30"/>
  <c r="BQ59" i="30"/>
  <c r="BQ57" i="30"/>
  <c r="BQ55" i="30"/>
  <c r="BQ53" i="30"/>
  <c r="BQ51" i="30"/>
  <c r="BQ49" i="30"/>
  <c r="BQ47" i="30"/>
  <c r="BQ45" i="30"/>
  <c r="BC79" i="30"/>
  <c r="BC77" i="30"/>
  <c r="BC75" i="30"/>
  <c r="BC73" i="30"/>
  <c r="BC71" i="30"/>
  <c r="BC69" i="30"/>
  <c r="BC67" i="30"/>
  <c r="BC65" i="30"/>
  <c r="BC63" i="30"/>
  <c r="BC61" i="30"/>
  <c r="BC59" i="30"/>
  <c r="BC57" i="30"/>
  <c r="BC55" i="30"/>
  <c r="BC53" i="30"/>
  <c r="CR79" i="30"/>
  <c r="CR77" i="30"/>
  <c r="CR75" i="30"/>
  <c r="CR73" i="30"/>
  <c r="CR71" i="30"/>
  <c r="CR69" i="30"/>
  <c r="CR67" i="30"/>
  <c r="CR65" i="30"/>
  <c r="CR63" i="30"/>
  <c r="CR61" i="30"/>
  <c r="CR59" i="30"/>
  <c r="CR57" i="30"/>
  <c r="CR55" i="30"/>
  <c r="CR53" i="30"/>
  <c r="CR51" i="30"/>
  <c r="CR49" i="30"/>
  <c r="CR47" i="30"/>
  <c r="CR45" i="30"/>
  <c r="CD79" i="30"/>
  <c r="CD77" i="30"/>
  <c r="CD75" i="30"/>
  <c r="CD73" i="30"/>
  <c r="CD71" i="30"/>
  <c r="CD69" i="30"/>
  <c r="CD67" i="30"/>
  <c r="CD65" i="30"/>
  <c r="CD63" i="30"/>
  <c r="CD61" i="30"/>
  <c r="CD59" i="30"/>
  <c r="CD57" i="30"/>
  <c r="CD55" i="30"/>
  <c r="CD53" i="30"/>
  <c r="CD51" i="30"/>
  <c r="CD49" i="30"/>
  <c r="CD47" i="30"/>
  <c r="CD45" i="30"/>
  <c r="BP79" i="30"/>
  <c r="BP77" i="30"/>
  <c r="BP75" i="30"/>
  <c r="BP73" i="30"/>
  <c r="BP71" i="30"/>
  <c r="BP69" i="30"/>
  <c r="BP67" i="30"/>
  <c r="BP65" i="30"/>
  <c r="BP63" i="30"/>
  <c r="BP61" i="30"/>
  <c r="BP59" i="30"/>
  <c r="BP57" i="30"/>
  <c r="BP55" i="30"/>
  <c r="BP53" i="30"/>
  <c r="BP51" i="30"/>
  <c r="BP49" i="30"/>
  <c r="CQ79" i="30"/>
  <c r="CQ77" i="30"/>
  <c r="CQ75" i="30"/>
  <c r="CQ73" i="30"/>
  <c r="CQ71" i="30"/>
  <c r="CQ69" i="30"/>
  <c r="CQ67" i="30"/>
  <c r="CQ65" i="30"/>
  <c r="CQ63" i="30"/>
  <c r="CQ61" i="30"/>
  <c r="CQ59" i="30"/>
  <c r="CQ57" i="30"/>
  <c r="CQ55" i="30"/>
  <c r="CQ53" i="30"/>
  <c r="CQ51" i="30"/>
  <c r="CQ49" i="30"/>
  <c r="CQ47" i="30"/>
  <c r="CQ45" i="30"/>
  <c r="CC79" i="30"/>
  <c r="CC77" i="30"/>
  <c r="CC75" i="30"/>
  <c r="CC73" i="30"/>
  <c r="CC71" i="30"/>
  <c r="CC69" i="30"/>
  <c r="CC67" i="30"/>
  <c r="CC65" i="30"/>
  <c r="CC63" i="30"/>
  <c r="CC61" i="30"/>
  <c r="CC59" i="30"/>
  <c r="CC57" i="30"/>
  <c r="CC55" i="30"/>
  <c r="CC53" i="30"/>
  <c r="CC51" i="30"/>
  <c r="CC49" i="30"/>
  <c r="CC47" i="30"/>
  <c r="CC45" i="30"/>
  <c r="BO79" i="30"/>
  <c r="BO77" i="30"/>
  <c r="BO75" i="30"/>
  <c r="BO73" i="30"/>
  <c r="BO71" i="30"/>
  <c r="BO69" i="30"/>
  <c r="BO67" i="30"/>
  <c r="BO65" i="30"/>
  <c r="BO63" i="30"/>
  <c r="BO61" i="30"/>
  <c r="BO59" i="30"/>
  <c r="BO57" i="30"/>
  <c r="BO55" i="30"/>
  <c r="BO53" i="30"/>
  <c r="BO51" i="30"/>
  <c r="BO49" i="30"/>
  <c r="BO47" i="30"/>
  <c r="BO45" i="30"/>
  <c r="BA79" i="30"/>
  <c r="CP79" i="30"/>
  <c r="CP77" i="30"/>
  <c r="CP75" i="30"/>
  <c r="CP73" i="30"/>
  <c r="CP71" i="30"/>
  <c r="CP69" i="30"/>
  <c r="CP67" i="30"/>
  <c r="CP65" i="30"/>
  <c r="CP63" i="30"/>
  <c r="CP61" i="30"/>
  <c r="CP59" i="30"/>
  <c r="CP57" i="30"/>
  <c r="CP55" i="30"/>
  <c r="CP53" i="30"/>
  <c r="CP51" i="30"/>
  <c r="CP49" i="30"/>
  <c r="CP47" i="30"/>
  <c r="CP45" i="30"/>
  <c r="CB79" i="30"/>
  <c r="CB77" i="30"/>
  <c r="CB75" i="30"/>
  <c r="CB73" i="30"/>
  <c r="CB71" i="30"/>
  <c r="CB69" i="30"/>
  <c r="CB67" i="30"/>
  <c r="CB65" i="30"/>
  <c r="CB63" i="30"/>
  <c r="CB61" i="30"/>
  <c r="CB59" i="30"/>
  <c r="CB57" i="30"/>
  <c r="CB55" i="30"/>
  <c r="CB53" i="30"/>
  <c r="CB51" i="30"/>
  <c r="CB49" i="30"/>
  <c r="CB47" i="30"/>
  <c r="CB45" i="30"/>
  <c r="BN79" i="30"/>
  <c r="BN77" i="30"/>
  <c r="BN75" i="30"/>
  <c r="BN73" i="30"/>
  <c r="BN71" i="30"/>
  <c r="BN69" i="30"/>
  <c r="BN67" i="30"/>
  <c r="BN65" i="30"/>
  <c r="BN63" i="30"/>
  <c r="BN61" i="30"/>
  <c r="BN59" i="30"/>
  <c r="BN57" i="30"/>
  <c r="BN55" i="30"/>
  <c r="BN53" i="30"/>
  <c r="BN51" i="30"/>
  <c r="BN49" i="30"/>
  <c r="BN47" i="30"/>
  <c r="BN45" i="30"/>
  <c r="AZ79" i="30"/>
  <c r="AZ77" i="30"/>
  <c r="AZ75" i="30"/>
  <c r="AZ73" i="30"/>
  <c r="AZ71" i="30"/>
  <c r="AZ69" i="30"/>
  <c r="CO79" i="30"/>
  <c r="CO77" i="30"/>
  <c r="CO75" i="30"/>
  <c r="CO73" i="30"/>
  <c r="CO71" i="30"/>
  <c r="CO69" i="30"/>
  <c r="CO67" i="30"/>
  <c r="CO65" i="30"/>
  <c r="CO63" i="30"/>
  <c r="CO61" i="30"/>
  <c r="CO59" i="30"/>
  <c r="CO57" i="30"/>
  <c r="CO55" i="30"/>
  <c r="CO53" i="30"/>
  <c r="CO51" i="30"/>
  <c r="CO49" i="30"/>
  <c r="CO47" i="30"/>
  <c r="CO45" i="30"/>
  <c r="CA79" i="30"/>
  <c r="CA77" i="30"/>
  <c r="CA75" i="30"/>
  <c r="CA73" i="30"/>
  <c r="CA71" i="30"/>
  <c r="CA69" i="30"/>
  <c r="CA67" i="30"/>
  <c r="CA65" i="30"/>
  <c r="CA63" i="30"/>
  <c r="CA61" i="30"/>
  <c r="CA59" i="30"/>
  <c r="CA57" i="30"/>
  <c r="CA55" i="30"/>
  <c r="CA53" i="30"/>
  <c r="CA51" i="30"/>
  <c r="CA49" i="30"/>
  <c r="CA47" i="30"/>
  <c r="CA45" i="30"/>
  <c r="BM79" i="30"/>
  <c r="BM77" i="30"/>
  <c r="BM75" i="30"/>
  <c r="BM73" i="30"/>
  <c r="BM71" i="30"/>
  <c r="BM69" i="30"/>
  <c r="BM67" i="30"/>
  <c r="BM65" i="30"/>
  <c r="BM63" i="30"/>
  <c r="BM61" i="30"/>
  <c r="BM59" i="30"/>
  <c r="BM57" i="30"/>
  <c r="BM55" i="30"/>
  <c r="BM53" i="30"/>
  <c r="BM51" i="30"/>
  <c r="BM49" i="30"/>
  <c r="BM47" i="30"/>
  <c r="BM45" i="30"/>
  <c r="CM79" i="30"/>
  <c r="CM77" i="30"/>
  <c r="CM75" i="30"/>
  <c r="CM73" i="30"/>
  <c r="CM71" i="30"/>
  <c r="CM69" i="30"/>
  <c r="CM67" i="30"/>
  <c r="CM65" i="30"/>
  <c r="CM63" i="30"/>
  <c r="CM61" i="30"/>
  <c r="CM59" i="30"/>
  <c r="CM57" i="30"/>
  <c r="CM55" i="30"/>
  <c r="CM53" i="30"/>
  <c r="CM51" i="30"/>
  <c r="CM49" i="30"/>
  <c r="CM47" i="30"/>
  <c r="CM45" i="30"/>
  <c r="BY79" i="30"/>
  <c r="BY77" i="30"/>
  <c r="BY75" i="30"/>
  <c r="BY73" i="30"/>
  <c r="BY71" i="30"/>
  <c r="BY69" i="30"/>
  <c r="BY67" i="30"/>
  <c r="BY65" i="30"/>
  <c r="BY63" i="30"/>
  <c r="BY61" i="30"/>
  <c r="BY59" i="30"/>
  <c r="BY57" i="30"/>
  <c r="BY55" i="30"/>
  <c r="BY53" i="30"/>
  <c r="BY51" i="30"/>
  <c r="BY49" i="30"/>
  <c r="BY47" i="30"/>
  <c r="BY45" i="30"/>
  <c r="BK79" i="30"/>
  <c r="BK77" i="30"/>
  <c r="BK75" i="30"/>
  <c r="BK73" i="30"/>
  <c r="BK71" i="30"/>
  <c r="BK69" i="30"/>
  <c r="BK67" i="30"/>
  <c r="BK65" i="30"/>
  <c r="BK63" i="30"/>
  <c r="BK61" i="30"/>
  <c r="BK59" i="30"/>
  <c r="BK57" i="30"/>
  <c r="BK55" i="30"/>
  <c r="BK53" i="30"/>
  <c r="BK51" i="30"/>
  <c r="BK49" i="30"/>
  <c r="BK47" i="30"/>
  <c r="BK45" i="30"/>
  <c r="AW79" i="30"/>
  <c r="AK44" i="30"/>
  <c r="AK46" i="30"/>
  <c r="AK48" i="30"/>
  <c r="AK50" i="30"/>
  <c r="AK52" i="30"/>
  <c r="AK54" i="30"/>
  <c r="AN56" i="30"/>
  <c r="AH59" i="30"/>
  <c r="AN61" i="30"/>
  <c r="AI64" i="30"/>
  <c r="AI67" i="30"/>
  <c r="AQ69" i="30"/>
  <c r="AI73" i="30"/>
  <c r="AQ75" i="30"/>
  <c r="AJ79" i="30"/>
  <c r="AX46" i="30"/>
  <c r="BA49" i="30"/>
  <c r="BA52" i="30"/>
  <c r="AW56" i="30"/>
  <c r="BA59" i="30"/>
  <c r="AW63" i="30"/>
  <c r="BA66" i="30"/>
  <c r="AX71" i="30"/>
  <c r="AZ76" i="30"/>
  <c r="BL69" i="30"/>
  <c r="CN45" i="30"/>
  <c r="AL44" i="30"/>
  <c r="AL46" i="30"/>
  <c r="AL48" i="30"/>
  <c r="AL50" i="30"/>
  <c r="AL52" i="30"/>
  <c r="AL54" i="30"/>
  <c r="AF57" i="30"/>
  <c r="AI59" i="30"/>
  <c r="AO61" i="30"/>
  <c r="AJ64" i="30"/>
  <c r="AJ67" i="30"/>
  <c r="AF70" i="30"/>
  <c r="AJ73" i="30"/>
  <c r="AF76" i="30"/>
  <c r="AK79" i="30"/>
  <c r="AY46" i="30"/>
  <c r="BB49" i="30"/>
  <c r="BB52" i="30"/>
  <c r="AX56" i="30"/>
  <c r="BB59" i="30"/>
  <c r="AX63" i="30"/>
  <c r="BB66" i="30"/>
  <c r="AY71" i="30"/>
  <c r="AW77" i="30"/>
  <c r="BL71" i="30"/>
  <c r="CN47" i="30"/>
  <c r="AM44" i="30"/>
  <c r="AM46" i="30"/>
  <c r="AM48" i="30"/>
  <c r="AM50" i="30"/>
  <c r="AM52" i="30"/>
  <c r="AM54" i="30"/>
  <c r="AG57" i="30"/>
  <c r="AJ59" i="30"/>
  <c r="AP61" i="30"/>
  <c r="AK64" i="30"/>
  <c r="AK67" i="30"/>
  <c r="AI70" i="30"/>
  <c r="AK73" i="30"/>
  <c r="AI76" i="30"/>
  <c r="AL79" i="30"/>
  <c r="AZ46" i="30"/>
  <c r="BC49" i="30"/>
  <c r="AW53" i="30"/>
  <c r="AY56" i="30"/>
  <c r="BD59" i="30"/>
  <c r="AY63" i="30"/>
  <c r="AW67" i="30"/>
  <c r="BA71" i="30"/>
  <c r="AX77" i="30"/>
  <c r="BL73" i="30"/>
  <c r="CN49" i="30"/>
  <c r="AN44" i="30"/>
  <c r="AN46" i="30"/>
  <c r="AN48" i="30"/>
  <c r="AN50" i="30"/>
  <c r="AN52" i="30"/>
  <c r="AN54" i="30"/>
  <c r="AH57" i="30"/>
  <c r="AK59" i="30"/>
  <c r="AQ61" i="30"/>
  <c r="AL64" i="30"/>
  <c r="AL67" i="30"/>
  <c r="AJ70" i="30"/>
  <c r="AL73" i="30"/>
  <c r="AJ76" i="30"/>
  <c r="AM79" i="30"/>
  <c r="BA46" i="30"/>
  <c r="BD49" i="30"/>
  <c r="AX53" i="30"/>
  <c r="AZ56" i="30"/>
  <c r="BE59" i="30"/>
  <c r="AZ63" i="30"/>
  <c r="AX67" i="30"/>
  <c r="BB71" i="30"/>
  <c r="AY77" i="30"/>
  <c r="BL75" i="30"/>
  <c r="CN51" i="30"/>
  <c r="AO44" i="30"/>
  <c r="AO46" i="30"/>
  <c r="AO48" i="30"/>
  <c r="AO50" i="30"/>
  <c r="AO52" i="30"/>
  <c r="AF55" i="30"/>
  <c r="AI57" i="30"/>
  <c r="AL59" i="30"/>
  <c r="AF62" i="30"/>
  <c r="AM64" i="30"/>
  <c r="AM67" i="30"/>
  <c r="AK70" i="30"/>
  <c r="AM73" i="30"/>
  <c r="AK76" i="30"/>
  <c r="AN79" i="30"/>
  <c r="BB46" i="30"/>
  <c r="BE49" i="30"/>
  <c r="AY53" i="30"/>
  <c r="BA56" i="30"/>
  <c r="AW60" i="30"/>
  <c r="BA63" i="30"/>
  <c r="AY67" i="30"/>
  <c r="BE71" i="30"/>
  <c r="BA77" i="30"/>
  <c r="BL77" i="30"/>
  <c r="CN53" i="30"/>
  <c r="AP44" i="30"/>
  <c r="AP46" i="30"/>
  <c r="AP48" i="30"/>
  <c r="AP50" i="30"/>
  <c r="AP52" i="30"/>
  <c r="AG55" i="30"/>
  <c r="AJ57" i="30"/>
  <c r="AM59" i="30"/>
  <c r="AH62" i="30"/>
  <c r="AN64" i="30"/>
  <c r="AN67" i="30"/>
  <c r="AL70" i="30"/>
  <c r="AN73" i="30"/>
  <c r="AL76" i="30"/>
  <c r="AO79" i="30"/>
  <c r="AW47" i="30"/>
  <c r="AW50" i="30"/>
  <c r="AZ53" i="30"/>
  <c r="BB56" i="30"/>
  <c r="AX60" i="30"/>
  <c r="BB63" i="30"/>
  <c r="AZ67" i="30"/>
  <c r="AW72" i="30"/>
  <c r="BB77" i="30"/>
  <c r="BL79" i="30"/>
  <c r="CN55" i="30"/>
  <c r="AQ44" i="30"/>
  <c r="AQ46" i="30"/>
  <c r="AQ48" i="30"/>
  <c r="AQ50" i="30"/>
  <c r="AQ52" i="30"/>
  <c r="AH55" i="30"/>
  <c r="AK57" i="30"/>
  <c r="AN59" i="30"/>
  <c r="AI62" i="30"/>
  <c r="AG65" i="30"/>
  <c r="AO67" i="30"/>
  <c r="AM70" i="30"/>
  <c r="AO73" i="30"/>
  <c r="AM76" i="30"/>
  <c r="AP79" i="30"/>
  <c r="AX47" i="30"/>
  <c r="AX50" i="30"/>
  <c r="BA53" i="30"/>
  <c r="AW57" i="30"/>
  <c r="AY60" i="30"/>
  <c r="BE63" i="30"/>
  <c r="BA67" i="30"/>
  <c r="AX72" i="30"/>
  <c r="BE77" i="30"/>
  <c r="BZ45" i="30"/>
  <c r="CN57" i="30"/>
  <c r="AF45" i="30"/>
  <c r="AF47" i="30"/>
  <c r="AF49" i="30"/>
  <c r="AF51" i="30"/>
  <c r="AF53" i="30"/>
  <c r="AI55" i="30"/>
  <c r="AL57" i="30"/>
  <c r="AO59" i="30"/>
  <c r="AJ62" i="30"/>
  <c r="AI65" i="30"/>
  <c r="AP67" i="30"/>
  <c r="AN70" i="30"/>
  <c r="AP73" i="30"/>
  <c r="AN76" i="30"/>
  <c r="AQ79" i="30"/>
  <c r="AY47" i="30"/>
  <c r="AY50" i="30"/>
  <c r="BB53" i="30"/>
  <c r="AX57" i="30"/>
  <c r="AZ60" i="30"/>
  <c r="AW64" i="30"/>
  <c r="BB67" i="30"/>
  <c r="AY72" i="30"/>
  <c r="AX79" i="30"/>
  <c r="BZ47" i="30"/>
  <c r="CN59" i="30"/>
  <c r="AG45" i="30"/>
  <c r="AG47" i="30"/>
  <c r="AG49" i="30"/>
  <c r="AG51" i="30"/>
  <c r="AG53" i="30"/>
  <c r="AJ55" i="30"/>
  <c r="AM57" i="30"/>
  <c r="AP59" i="30"/>
  <c r="AK62" i="30"/>
  <c r="AJ65" i="30"/>
  <c r="AQ67" i="30"/>
  <c r="AI71" i="30"/>
  <c r="AQ73" i="30"/>
  <c r="AI77" i="30"/>
  <c r="AW44" i="30"/>
  <c r="AZ47" i="30"/>
  <c r="AZ50" i="30"/>
  <c r="BD53" i="30"/>
  <c r="AY57" i="30"/>
  <c r="BA60" i="30"/>
  <c r="AX64" i="30"/>
  <c r="BE67" i="30"/>
  <c r="AZ72" i="30"/>
  <c r="AY79" i="30"/>
  <c r="BZ49" i="30"/>
  <c r="CN61" i="30"/>
  <c r="AI45" i="24"/>
  <c r="AI47" i="24"/>
  <c r="AI49" i="24"/>
  <c r="AI51" i="24"/>
  <c r="AI53" i="24"/>
  <c r="AJ55" i="24"/>
  <c r="AK57" i="24"/>
  <c r="AL59" i="24"/>
  <c r="AM61" i="24"/>
  <c r="AN63" i="24"/>
  <c r="AO65" i="24"/>
  <c r="AP67" i="24"/>
  <c r="AI70" i="24"/>
  <c r="AI73" i="24"/>
  <c r="AQ75" i="24"/>
  <c r="AN78" i="24"/>
  <c r="BA45" i="24"/>
  <c r="BB48" i="24"/>
  <c r="AW52" i="24"/>
  <c r="AT56" i="24"/>
  <c r="AZ61" i="24"/>
  <c r="BN47" i="24"/>
  <c r="BN71" i="24"/>
  <c r="CB59" i="24"/>
  <c r="CP47" i="24"/>
  <c r="CP71" i="24"/>
  <c r="AJ45" i="24"/>
  <c r="AJ47" i="24"/>
  <c r="AJ49" i="24"/>
  <c r="AJ51" i="24"/>
  <c r="AJ53" i="24"/>
  <c r="AK55" i="24"/>
  <c r="AL57" i="24"/>
  <c r="AM59" i="24"/>
  <c r="AN61" i="24"/>
  <c r="AO63" i="24"/>
  <c r="AP65" i="24"/>
  <c r="AQ67" i="24"/>
  <c r="AK70" i="24"/>
  <c r="AJ73" i="24"/>
  <c r="AF76" i="24"/>
  <c r="AO78" i="24"/>
  <c r="BB45" i="24"/>
  <c r="BC48" i="24"/>
  <c r="AY52" i="24"/>
  <c r="AV56" i="24"/>
  <c r="BA61" i="24"/>
  <c r="BL49" i="24"/>
  <c r="BL73" i="24"/>
  <c r="BZ61" i="24"/>
  <c r="CN49" i="24"/>
  <c r="CN73" i="24"/>
  <c r="AK45" i="24"/>
  <c r="AK47" i="24"/>
  <c r="AK49" i="24"/>
  <c r="AK51" i="24"/>
  <c r="AK53" i="24"/>
  <c r="AL55" i="24"/>
  <c r="AM57" i="24"/>
  <c r="AN59" i="24"/>
  <c r="AO61" i="24"/>
  <c r="AP63" i="24"/>
  <c r="AQ65" i="24"/>
  <c r="AF68" i="24"/>
  <c r="AL70" i="24"/>
  <c r="AK73" i="24"/>
  <c r="AH76" i="24"/>
  <c r="AG79" i="24"/>
  <c r="BE45" i="24"/>
  <c r="AU49" i="24"/>
  <c r="AZ52" i="24"/>
  <c r="AW56" i="24"/>
  <c r="AW62" i="24"/>
  <c r="BN49" i="24"/>
  <c r="BN73" i="24"/>
  <c r="CB61" i="24"/>
  <c r="CP49" i="24"/>
  <c r="CP73" i="24"/>
  <c r="AM45" i="24"/>
  <c r="AM47" i="24"/>
  <c r="AM49" i="24"/>
  <c r="AM51" i="24"/>
  <c r="AM53" i="24"/>
  <c r="AN55" i="24"/>
  <c r="AO57" i="24"/>
  <c r="AP59" i="24"/>
  <c r="AQ61" i="24"/>
  <c r="AF64" i="24"/>
  <c r="AH66" i="24"/>
  <c r="AI68" i="24"/>
  <c r="AN70" i="24"/>
  <c r="AM73" i="24"/>
  <c r="AK76" i="24"/>
  <c r="AJ79" i="24"/>
  <c r="AV46" i="24"/>
  <c r="AZ49" i="24"/>
  <c r="BC52" i="24"/>
  <c r="AZ56" i="24"/>
  <c r="AZ63" i="24"/>
  <c r="BN51" i="24"/>
  <c r="BN75" i="24"/>
  <c r="CB63" i="24"/>
  <c r="CP51" i="24"/>
  <c r="CP75" i="24"/>
  <c r="AN45" i="24"/>
  <c r="AN47" i="24"/>
  <c r="AN49" i="24"/>
  <c r="AN51" i="24"/>
  <c r="AN53" i="24"/>
  <c r="AO55" i="24"/>
  <c r="AP57" i="24"/>
  <c r="AQ59" i="24"/>
  <c r="AF62" i="24"/>
  <c r="AH64" i="24"/>
  <c r="AI66" i="24"/>
  <c r="AJ68" i="24"/>
  <c r="AO70" i="24"/>
  <c r="AN73" i="24"/>
  <c r="AL76" i="24"/>
  <c r="AK79" i="24"/>
  <c r="AW46" i="24"/>
  <c r="BA49" i="24"/>
  <c r="AU53" i="24"/>
  <c r="BA56" i="24"/>
  <c r="AX65" i="24"/>
  <c r="BL53" i="24"/>
  <c r="BL77" i="24"/>
  <c r="BZ65" i="24"/>
  <c r="CN53" i="24"/>
  <c r="CN77" i="24"/>
  <c r="AO45" i="24"/>
  <c r="AO47" i="24"/>
  <c r="AO49" i="24"/>
  <c r="AO51" i="24"/>
  <c r="AO53" i="24"/>
  <c r="AP55" i="24"/>
  <c r="AQ57" i="24"/>
  <c r="AF60" i="24"/>
  <c r="AH62" i="24"/>
  <c r="AI64" i="24"/>
  <c r="AJ66" i="24"/>
  <c r="AK68" i="24"/>
  <c r="AG71" i="24"/>
  <c r="AO73" i="24"/>
  <c r="AM76" i="24"/>
  <c r="AL79" i="24"/>
  <c r="AY46" i="24"/>
  <c r="BB49" i="24"/>
  <c r="AX53" i="24"/>
  <c r="BC56" i="24"/>
  <c r="AZ65" i="24"/>
  <c r="BN53" i="24"/>
  <c r="BN77" i="24"/>
  <c r="CB65" i="24"/>
  <c r="CP53" i="24"/>
  <c r="CP77" i="24"/>
  <c r="AP45" i="24"/>
  <c r="AP47" i="24"/>
  <c r="AP49" i="24"/>
  <c r="AP51" i="24"/>
  <c r="AP53" i="24"/>
  <c r="AQ55" i="24"/>
  <c r="AF58" i="24"/>
  <c r="AH60" i="24"/>
  <c r="AI62" i="24"/>
  <c r="AJ64" i="24"/>
  <c r="AK66" i="24"/>
  <c r="AL68" i="24"/>
  <c r="AI71" i="24"/>
  <c r="AQ73" i="24"/>
  <c r="AN76" i="24"/>
  <c r="AM79" i="24"/>
  <c r="AZ46" i="24"/>
  <c r="BE49" i="24"/>
  <c r="AZ53" i="24"/>
  <c r="AU57" i="24"/>
  <c r="AX67" i="24"/>
  <c r="BL55" i="24"/>
  <c r="BL79" i="24"/>
  <c r="BZ67" i="24"/>
  <c r="CN55" i="24"/>
  <c r="CN79" i="24"/>
  <c r="AQ45" i="24"/>
  <c r="AQ47" i="24"/>
  <c r="AQ49" i="24"/>
  <c r="AQ51" i="24"/>
  <c r="AQ53" i="24"/>
  <c r="AF56" i="24"/>
  <c r="AH58" i="24"/>
  <c r="AI60" i="24"/>
  <c r="AJ62" i="24"/>
  <c r="AK64" i="24"/>
  <c r="AL66" i="24"/>
  <c r="AM68" i="24"/>
  <c r="AJ71" i="24"/>
  <c r="AF74" i="24"/>
  <c r="AO76" i="24"/>
  <c r="AN79" i="24"/>
  <c r="BA46" i="24"/>
  <c r="AT50" i="24"/>
  <c r="BA53" i="24"/>
  <c r="AX57" i="24"/>
  <c r="AZ67" i="24"/>
  <c r="BN55" i="24"/>
  <c r="BN79" i="24"/>
  <c r="CB67" i="24"/>
  <c r="CP55" i="24"/>
  <c r="CP79" i="24"/>
  <c r="AF44" i="24"/>
  <c r="AF46" i="24"/>
  <c r="AF48" i="24"/>
  <c r="AF50" i="24"/>
  <c r="AF52" i="24"/>
  <c r="AF54" i="24"/>
  <c r="AH56" i="24"/>
  <c r="AI58" i="24"/>
  <c r="AJ60" i="24"/>
  <c r="AK62" i="24"/>
  <c r="AL64" i="24"/>
  <c r="AM66" i="24"/>
  <c r="AN68" i="24"/>
  <c r="AK71" i="24"/>
  <c r="AH74" i="24"/>
  <c r="AG77" i="24"/>
  <c r="AO79" i="24"/>
  <c r="BB46" i="24"/>
  <c r="AV50" i="24"/>
  <c r="BB53" i="24"/>
  <c r="AZ57" i="24"/>
  <c r="AX69" i="24"/>
  <c r="BL57" i="24"/>
  <c r="BZ45" i="24"/>
  <c r="BZ69" i="24"/>
  <c r="CN57" i="24"/>
  <c r="AG44" i="24"/>
  <c r="AG46" i="24"/>
  <c r="AG48" i="24"/>
  <c r="AG50" i="24"/>
  <c r="AG52" i="24"/>
  <c r="AH54" i="24"/>
  <c r="AI56" i="24"/>
  <c r="AJ58" i="24"/>
  <c r="AK60" i="24"/>
  <c r="AL62" i="24"/>
  <c r="AM64" i="24"/>
  <c r="AN66" i="24"/>
  <c r="AO68" i="24"/>
  <c r="AL71" i="24"/>
  <c r="AI74" i="24"/>
  <c r="AI77" i="24"/>
  <c r="AQ79" i="24"/>
  <c r="BC46" i="24"/>
  <c r="AW50" i="24"/>
  <c r="BE53" i="24"/>
  <c r="BA57" i="24"/>
  <c r="AZ69" i="24"/>
  <c r="BN57" i="24"/>
  <c r="CB45" i="24"/>
  <c r="CB69" i="24"/>
  <c r="CP57" i="24"/>
  <c r="AH44" i="24"/>
  <c r="AH46" i="24"/>
  <c r="AH48" i="24"/>
  <c r="AH50" i="24"/>
  <c r="AH52" i="24"/>
  <c r="AI54" i="24"/>
  <c r="AJ56" i="24"/>
  <c r="AK58" i="24"/>
  <c r="AL60" i="24"/>
  <c r="AM62" i="24"/>
  <c r="AN64" i="24"/>
  <c r="AO66" i="24"/>
  <c r="AP68" i="24"/>
  <c r="AM71" i="24"/>
  <c r="AK74" i="24"/>
  <c r="AJ77" i="24"/>
  <c r="AT44" i="24"/>
  <c r="AU47" i="24"/>
  <c r="AY50" i="24"/>
  <c r="AT54" i="24"/>
  <c r="BB57" i="24"/>
  <c r="AX71" i="24"/>
  <c r="BL59" i="24"/>
  <c r="BZ47" i="24"/>
  <c r="BZ71" i="24"/>
  <c r="CN59" i="24"/>
  <c r="AI44" i="24"/>
  <c r="AI46" i="24"/>
  <c r="AI48" i="24"/>
  <c r="AI50" i="24"/>
  <c r="AI52" i="24"/>
  <c r="AJ54" i="24"/>
  <c r="AK56" i="24"/>
  <c r="AL58" i="24"/>
  <c r="AM60" i="24"/>
  <c r="AN62" i="24"/>
  <c r="AO64" i="24"/>
  <c r="AP66" i="24"/>
  <c r="AG69" i="24"/>
  <c r="AN71" i="24"/>
  <c r="AL74" i="24"/>
  <c r="AK77" i="24"/>
  <c r="AV44" i="24"/>
  <c r="AX47" i="24"/>
  <c r="AZ50" i="24"/>
  <c r="AV54" i="24"/>
  <c r="BE57" i="24"/>
  <c r="AZ71" i="24"/>
  <c r="BN59" i="24"/>
  <c r="CB47" i="24"/>
  <c r="CB71" i="24"/>
  <c r="CP59" i="24"/>
  <c r="AJ44" i="24"/>
  <c r="AJ46" i="24"/>
  <c r="AJ48" i="24"/>
  <c r="AJ50" i="24"/>
  <c r="AJ52" i="24"/>
  <c r="AK54" i="24"/>
  <c r="AL56" i="24"/>
  <c r="AM58" i="24"/>
  <c r="AN60" i="24"/>
  <c r="AO62" i="24"/>
  <c r="AP64" i="24"/>
  <c r="AQ66" i="24"/>
  <c r="AH69" i="24"/>
  <c r="AO71" i="24"/>
  <c r="AM74" i="24"/>
  <c r="AL77" i="24"/>
  <c r="AW44" i="24"/>
  <c r="AY47" i="24"/>
  <c r="BA50" i="24"/>
  <c r="AW54" i="24"/>
  <c r="AT58" i="24"/>
  <c r="AX73" i="24"/>
  <c r="BL61" i="24"/>
  <c r="BZ49" i="24"/>
  <c r="BZ73" i="24"/>
  <c r="AB78" i="24"/>
  <c r="CL79" i="24"/>
  <c r="CL77" i="24"/>
  <c r="CL75" i="24"/>
  <c r="CL73" i="24"/>
  <c r="CL71" i="24"/>
  <c r="CL69" i="24"/>
  <c r="CL67" i="24"/>
  <c r="CL65" i="24"/>
  <c r="CL63" i="24"/>
  <c r="CL61" i="24"/>
  <c r="CL59" i="24"/>
  <c r="CL57" i="24"/>
  <c r="CL55" i="24"/>
  <c r="CL53" i="24"/>
  <c r="CL51" i="24"/>
  <c r="CL49" i="24"/>
  <c r="CL47" i="24"/>
  <c r="CL45" i="24"/>
  <c r="BX79" i="24"/>
  <c r="BX77" i="24"/>
  <c r="BX75" i="24"/>
  <c r="BX73" i="24"/>
  <c r="BX71" i="24"/>
  <c r="BX69" i="24"/>
  <c r="BX67" i="24"/>
  <c r="BX65" i="24"/>
  <c r="BX63" i="24"/>
  <c r="BX61" i="24"/>
  <c r="BX59" i="24"/>
  <c r="BX57" i="24"/>
  <c r="BX55" i="24"/>
  <c r="BX53" i="24"/>
  <c r="BX51" i="24"/>
  <c r="BX49" i="24"/>
  <c r="BX47" i="24"/>
  <c r="BX45" i="24"/>
  <c r="BJ79" i="24"/>
  <c r="BJ77" i="24"/>
  <c r="BJ75" i="24"/>
  <c r="BJ73" i="24"/>
  <c r="BJ71" i="24"/>
  <c r="BJ69" i="24"/>
  <c r="BJ67" i="24"/>
  <c r="BJ65" i="24"/>
  <c r="BJ63" i="24"/>
  <c r="BJ61" i="24"/>
  <c r="BJ59" i="24"/>
  <c r="BJ57" i="24"/>
  <c r="BJ55" i="24"/>
  <c r="BJ53" i="24"/>
  <c r="BJ51" i="24"/>
  <c r="BJ49" i="24"/>
  <c r="BJ47" i="24"/>
  <c r="BJ45" i="24"/>
  <c r="AV79" i="24"/>
  <c r="AV77" i="24"/>
  <c r="AV75" i="24"/>
  <c r="AV73" i="24"/>
  <c r="AV71" i="24"/>
  <c r="AV69" i="24"/>
  <c r="AV67" i="24"/>
  <c r="AV65" i="24"/>
  <c r="AV63" i="24"/>
  <c r="AV61" i="24"/>
  <c r="AV59" i="24"/>
  <c r="AV57" i="24"/>
  <c r="AV55" i="24"/>
  <c r="AV53" i="24"/>
  <c r="AV51" i="24"/>
  <c r="AV49" i="24"/>
  <c r="AV47" i="24"/>
  <c r="AV45" i="24"/>
  <c r="AH79" i="24"/>
  <c r="AH77" i="24"/>
  <c r="AH75" i="24"/>
  <c r="AH73" i="24"/>
  <c r="AH71" i="24"/>
  <c r="CK79" i="24"/>
  <c r="CK77" i="24"/>
  <c r="CK75" i="24"/>
  <c r="CK73" i="24"/>
  <c r="CK71" i="24"/>
  <c r="CK69" i="24"/>
  <c r="CK67" i="24"/>
  <c r="CK65" i="24"/>
  <c r="CK63" i="24"/>
  <c r="CK61" i="24"/>
  <c r="CK59" i="24"/>
  <c r="CK57" i="24"/>
  <c r="CK55" i="24"/>
  <c r="CK53" i="24"/>
  <c r="CK51" i="24"/>
  <c r="CK49" i="24"/>
  <c r="CK47" i="24"/>
  <c r="CK45" i="24"/>
  <c r="BW79" i="24"/>
  <c r="BW77" i="24"/>
  <c r="BW75" i="24"/>
  <c r="BW73" i="24"/>
  <c r="BW71" i="24"/>
  <c r="BW69" i="24"/>
  <c r="BW67" i="24"/>
  <c r="BW65" i="24"/>
  <c r="BW63" i="24"/>
  <c r="BW61" i="24"/>
  <c r="BW59" i="24"/>
  <c r="BW57" i="24"/>
  <c r="BW55" i="24"/>
  <c r="BW53" i="24"/>
  <c r="BW51" i="24"/>
  <c r="BW49" i="24"/>
  <c r="BW47" i="24"/>
  <c r="BW45" i="24"/>
  <c r="BI79" i="24"/>
  <c r="BI77" i="24"/>
  <c r="BI75" i="24"/>
  <c r="BI73" i="24"/>
  <c r="BI71" i="24"/>
  <c r="BI69" i="24"/>
  <c r="BI67" i="24"/>
  <c r="BI65" i="24"/>
  <c r="BI63" i="24"/>
  <c r="BI61" i="24"/>
  <c r="BI59" i="24"/>
  <c r="BI57" i="24"/>
  <c r="BI55" i="24"/>
  <c r="BI53" i="24"/>
  <c r="BI51" i="24"/>
  <c r="BI49" i="24"/>
  <c r="BI47" i="24"/>
  <c r="BI45" i="24"/>
  <c r="AU79" i="24"/>
  <c r="AU77" i="24"/>
  <c r="AU75" i="24"/>
  <c r="AU73" i="24"/>
  <c r="AU71" i="24"/>
  <c r="AU69" i="24"/>
  <c r="AU67" i="24"/>
  <c r="AU65" i="24"/>
  <c r="AU63" i="24"/>
  <c r="AU61" i="24"/>
  <c r="AU59" i="24"/>
  <c r="CJ79" i="24"/>
  <c r="CJ77" i="24"/>
  <c r="CJ75" i="24"/>
  <c r="CJ73" i="24"/>
  <c r="CJ71" i="24"/>
  <c r="CJ69" i="24"/>
  <c r="CJ67" i="24"/>
  <c r="CJ65" i="24"/>
  <c r="CJ63" i="24"/>
  <c r="CJ61" i="24"/>
  <c r="CJ59" i="24"/>
  <c r="CJ57" i="24"/>
  <c r="CJ55" i="24"/>
  <c r="CJ53" i="24"/>
  <c r="CJ51" i="24"/>
  <c r="CJ49" i="24"/>
  <c r="CJ47" i="24"/>
  <c r="CJ45" i="24"/>
  <c r="BV79" i="24"/>
  <c r="BV77" i="24"/>
  <c r="BV75" i="24"/>
  <c r="BV73" i="24"/>
  <c r="BV71" i="24"/>
  <c r="BV69" i="24"/>
  <c r="BV67" i="24"/>
  <c r="BV65" i="24"/>
  <c r="BV63" i="24"/>
  <c r="BV61" i="24"/>
  <c r="BV59" i="24"/>
  <c r="BV57" i="24"/>
  <c r="BV55" i="24"/>
  <c r="BV53" i="24"/>
  <c r="BV51" i="24"/>
  <c r="BV49" i="24"/>
  <c r="BV47" i="24"/>
  <c r="BV45" i="24"/>
  <c r="BH79" i="24"/>
  <c r="BH77" i="24"/>
  <c r="BH75" i="24"/>
  <c r="BH73" i="24"/>
  <c r="BH71" i="24"/>
  <c r="BH69" i="24"/>
  <c r="BH67" i="24"/>
  <c r="BH65" i="24"/>
  <c r="BH63" i="24"/>
  <c r="BH61" i="24"/>
  <c r="BH59" i="24"/>
  <c r="BH57" i="24"/>
  <c r="BH55" i="24"/>
  <c r="BH53" i="24"/>
  <c r="BH51" i="24"/>
  <c r="BH49" i="24"/>
  <c r="BH47" i="24"/>
  <c r="BH45" i="24"/>
  <c r="AT79" i="24"/>
  <c r="AT77" i="24"/>
  <c r="AT75" i="24"/>
  <c r="AT73" i="24"/>
  <c r="AT71" i="24"/>
  <c r="AT69" i="24"/>
  <c r="AT67" i="24"/>
  <c r="AT65" i="24"/>
  <c r="AT63" i="24"/>
  <c r="AT61" i="24"/>
  <c r="AT59" i="24"/>
  <c r="AT57" i="24"/>
  <c r="AT55" i="24"/>
  <c r="AT53" i="24"/>
  <c r="AT51" i="24"/>
  <c r="AT49" i="24"/>
  <c r="AT47" i="24"/>
  <c r="AT45" i="24"/>
  <c r="AF79" i="24"/>
  <c r="AF77" i="24"/>
  <c r="AF75" i="24"/>
  <c r="AF73" i="24"/>
  <c r="AF71" i="24"/>
  <c r="AF69" i="24"/>
  <c r="CU78" i="24"/>
  <c r="CU76" i="24"/>
  <c r="CU74" i="24"/>
  <c r="CU72" i="24"/>
  <c r="CU70" i="24"/>
  <c r="CU68" i="24"/>
  <c r="CU66" i="24"/>
  <c r="CU64" i="24"/>
  <c r="CU62" i="24"/>
  <c r="CU60" i="24"/>
  <c r="CU58" i="24"/>
  <c r="CU56" i="24"/>
  <c r="CU54" i="24"/>
  <c r="CU52" i="24"/>
  <c r="CU50" i="24"/>
  <c r="CU48" i="24"/>
  <c r="CU46" i="24"/>
  <c r="CU44" i="24"/>
  <c r="CG78" i="24"/>
  <c r="CG76" i="24"/>
  <c r="CG74" i="24"/>
  <c r="CG72" i="24"/>
  <c r="CG70" i="24"/>
  <c r="CG68" i="24"/>
  <c r="CG66" i="24"/>
  <c r="CG64" i="24"/>
  <c r="CG62" i="24"/>
  <c r="CG60" i="24"/>
  <c r="CG58" i="24"/>
  <c r="CG56" i="24"/>
  <c r="CG54" i="24"/>
  <c r="CG52" i="24"/>
  <c r="CG50" i="24"/>
  <c r="CG48" i="24"/>
  <c r="CG46" i="24"/>
  <c r="CG44" i="24"/>
  <c r="BS78" i="24"/>
  <c r="BS76" i="24"/>
  <c r="BS74" i="24"/>
  <c r="BS72" i="24"/>
  <c r="BS70" i="24"/>
  <c r="BS68" i="24"/>
  <c r="BS66" i="24"/>
  <c r="BS64" i="24"/>
  <c r="BS62" i="24"/>
  <c r="BS60" i="24"/>
  <c r="BS58" i="24"/>
  <c r="BS56" i="24"/>
  <c r="BS54" i="24"/>
  <c r="BS52" i="24"/>
  <c r="BS50" i="24"/>
  <c r="BS48" i="24"/>
  <c r="BS46" i="24"/>
  <c r="BS44" i="24"/>
  <c r="BE78" i="24"/>
  <c r="BE76" i="24"/>
  <c r="BE74" i="24"/>
  <c r="BE72" i="24"/>
  <c r="BE70" i="24"/>
  <c r="BE68" i="24"/>
  <c r="BE66" i="24"/>
  <c r="BE64" i="24"/>
  <c r="BE62" i="24"/>
  <c r="BE60" i="24"/>
  <c r="BE58" i="24"/>
  <c r="BE56" i="24"/>
  <c r="BE54" i="24"/>
  <c r="BE52" i="24"/>
  <c r="BE50" i="24"/>
  <c r="BE48" i="24"/>
  <c r="BE46" i="24"/>
  <c r="BE44" i="24"/>
  <c r="AQ78" i="24"/>
  <c r="AQ76" i="24"/>
  <c r="AQ74" i="24"/>
  <c r="AQ72" i="24"/>
  <c r="AQ70" i="24"/>
  <c r="AQ68" i="24"/>
  <c r="CT78" i="24"/>
  <c r="CT76" i="24"/>
  <c r="CT74" i="24"/>
  <c r="CT72" i="24"/>
  <c r="CT70" i="24"/>
  <c r="CT68" i="24"/>
  <c r="CT66" i="24"/>
  <c r="CT64" i="24"/>
  <c r="CT62" i="24"/>
  <c r="CT60" i="24"/>
  <c r="CT58" i="24"/>
  <c r="CT56" i="24"/>
  <c r="CT54" i="24"/>
  <c r="CT52" i="24"/>
  <c r="CT50" i="24"/>
  <c r="CT48" i="24"/>
  <c r="CT46" i="24"/>
  <c r="CT44" i="24"/>
  <c r="CF78" i="24"/>
  <c r="CF76" i="24"/>
  <c r="CF74" i="24"/>
  <c r="CF72" i="24"/>
  <c r="CF70" i="24"/>
  <c r="CF68" i="24"/>
  <c r="CF66" i="24"/>
  <c r="CF64" i="24"/>
  <c r="CF62" i="24"/>
  <c r="CF60" i="24"/>
  <c r="CF58" i="24"/>
  <c r="CF56" i="24"/>
  <c r="CF54" i="24"/>
  <c r="CF52" i="24"/>
  <c r="CF50" i="24"/>
  <c r="CF48" i="24"/>
  <c r="CF46" i="24"/>
  <c r="CF44" i="24"/>
  <c r="BR78" i="24"/>
  <c r="BR76" i="24"/>
  <c r="BR74" i="24"/>
  <c r="BR72" i="24"/>
  <c r="BR70" i="24"/>
  <c r="BR68" i="24"/>
  <c r="BR66" i="24"/>
  <c r="BR64" i="24"/>
  <c r="BR62" i="24"/>
  <c r="BR60" i="24"/>
  <c r="BR58" i="24"/>
  <c r="BR56" i="24"/>
  <c r="BR54" i="24"/>
  <c r="BR52" i="24"/>
  <c r="BR50" i="24"/>
  <c r="BR48" i="24"/>
  <c r="BR46" i="24"/>
  <c r="BR44" i="24"/>
  <c r="BD78" i="24"/>
  <c r="BD76" i="24"/>
  <c r="BD74" i="24"/>
  <c r="BD72" i="24"/>
  <c r="BD70" i="24"/>
  <c r="BD68" i="24"/>
  <c r="BD66" i="24"/>
  <c r="BD64" i="24"/>
  <c r="BD62" i="24"/>
  <c r="BD60" i="24"/>
  <c r="BD58" i="24"/>
  <c r="BD56" i="24"/>
  <c r="BD54" i="24"/>
  <c r="BD52" i="24"/>
  <c r="BD50" i="24"/>
  <c r="BD48" i="24"/>
  <c r="BD46" i="24"/>
  <c r="BD44" i="24"/>
  <c r="AP78" i="24"/>
  <c r="AP76" i="24"/>
  <c r="AP74" i="24"/>
  <c r="AP72" i="24"/>
  <c r="AP70" i="24"/>
  <c r="CS78" i="24"/>
  <c r="CS76" i="24"/>
  <c r="CS74" i="24"/>
  <c r="CS72" i="24"/>
  <c r="CS70" i="24"/>
  <c r="CS68" i="24"/>
  <c r="CS66" i="24"/>
  <c r="CS64" i="24"/>
  <c r="CS62" i="24"/>
  <c r="CS60" i="24"/>
  <c r="CS58" i="24"/>
  <c r="CS56" i="24"/>
  <c r="CS54" i="24"/>
  <c r="CS52" i="24"/>
  <c r="CS50" i="24"/>
  <c r="CS48" i="24"/>
  <c r="CS46" i="24"/>
  <c r="CS44" i="24"/>
  <c r="CE78" i="24"/>
  <c r="CE76" i="24"/>
  <c r="CE74" i="24"/>
  <c r="CE72" i="24"/>
  <c r="CE70" i="24"/>
  <c r="CE68" i="24"/>
  <c r="CE66" i="24"/>
  <c r="CE64" i="24"/>
  <c r="CE62" i="24"/>
  <c r="CE60" i="24"/>
  <c r="CE58" i="24"/>
  <c r="CE56" i="24"/>
  <c r="CE54" i="24"/>
  <c r="CE52" i="24"/>
  <c r="CE50" i="24"/>
  <c r="CE48" i="24"/>
  <c r="CE46" i="24"/>
  <c r="CE44" i="24"/>
  <c r="BQ78" i="24"/>
  <c r="BQ76" i="24"/>
  <c r="BQ74" i="24"/>
  <c r="BQ72" i="24"/>
  <c r="BQ70" i="24"/>
  <c r="BQ68" i="24"/>
  <c r="BQ66" i="24"/>
  <c r="BQ64" i="24"/>
  <c r="BQ62" i="24"/>
  <c r="BQ60" i="24"/>
  <c r="BQ58" i="24"/>
  <c r="BQ56" i="24"/>
  <c r="BQ54" i="24"/>
  <c r="BQ52" i="24"/>
  <c r="BQ50" i="24"/>
  <c r="BQ48" i="24"/>
  <c r="BQ46" i="24"/>
  <c r="BQ44" i="24"/>
  <c r="BC78" i="24"/>
  <c r="BC76" i="24"/>
  <c r="BC74" i="24"/>
  <c r="BC72" i="24"/>
  <c r="BC70" i="24"/>
  <c r="BC68" i="24"/>
  <c r="BC66" i="24"/>
  <c r="BC64" i="24"/>
  <c r="BC62" i="24"/>
  <c r="BC60" i="24"/>
  <c r="BC58" i="24"/>
  <c r="CR78" i="24"/>
  <c r="CR76" i="24"/>
  <c r="CR74" i="24"/>
  <c r="CR72" i="24"/>
  <c r="CR70" i="24"/>
  <c r="CR68" i="24"/>
  <c r="CR66" i="24"/>
  <c r="CR64" i="24"/>
  <c r="CR62" i="24"/>
  <c r="CR60" i="24"/>
  <c r="CR58" i="24"/>
  <c r="CR56" i="24"/>
  <c r="CR54" i="24"/>
  <c r="CR52" i="24"/>
  <c r="CR50" i="24"/>
  <c r="CR48" i="24"/>
  <c r="CR46" i="24"/>
  <c r="CR44" i="24"/>
  <c r="CD78" i="24"/>
  <c r="CD76" i="24"/>
  <c r="CD74" i="24"/>
  <c r="CD72" i="24"/>
  <c r="CD70" i="24"/>
  <c r="CD68" i="24"/>
  <c r="CD66" i="24"/>
  <c r="CD64" i="24"/>
  <c r="CD62" i="24"/>
  <c r="CD60" i="24"/>
  <c r="CD58" i="24"/>
  <c r="CD56" i="24"/>
  <c r="CD54" i="24"/>
  <c r="CD52" i="24"/>
  <c r="CD50" i="24"/>
  <c r="CD48" i="24"/>
  <c r="CD46" i="24"/>
  <c r="CD44" i="24"/>
  <c r="BP78" i="24"/>
  <c r="BP76" i="24"/>
  <c r="BP74" i="24"/>
  <c r="BP72" i="24"/>
  <c r="BP70" i="24"/>
  <c r="BP68" i="24"/>
  <c r="BP66" i="24"/>
  <c r="BP64" i="24"/>
  <c r="BP62" i="24"/>
  <c r="BP60" i="24"/>
  <c r="BP58" i="24"/>
  <c r="BP56" i="24"/>
  <c r="BP54" i="24"/>
  <c r="BP52" i="24"/>
  <c r="BP50" i="24"/>
  <c r="BP48" i="24"/>
  <c r="BP46" i="24"/>
  <c r="BP44" i="24"/>
  <c r="BB78" i="24"/>
  <c r="BB76" i="24"/>
  <c r="BB74" i="24"/>
  <c r="BB72" i="24"/>
  <c r="BB70" i="24"/>
  <c r="BB68" i="24"/>
  <c r="BB66" i="24"/>
  <c r="BB64" i="24"/>
  <c r="BB62" i="24"/>
  <c r="BB60" i="24"/>
  <c r="BB58" i="24"/>
  <c r="BB56" i="24"/>
  <c r="BB54" i="24"/>
  <c r="BB52" i="24"/>
  <c r="CQ78" i="24"/>
  <c r="CQ76" i="24"/>
  <c r="CQ74" i="24"/>
  <c r="CQ72" i="24"/>
  <c r="CQ70" i="24"/>
  <c r="CQ68" i="24"/>
  <c r="CQ66" i="24"/>
  <c r="CQ64" i="24"/>
  <c r="CQ62" i="24"/>
  <c r="CQ60" i="24"/>
  <c r="CQ58" i="24"/>
  <c r="CQ56" i="24"/>
  <c r="CQ54" i="24"/>
  <c r="CQ52" i="24"/>
  <c r="CQ50" i="24"/>
  <c r="CQ48" i="24"/>
  <c r="CQ46" i="24"/>
  <c r="CQ44" i="24"/>
  <c r="CC78" i="24"/>
  <c r="CC76" i="24"/>
  <c r="CC74" i="24"/>
  <c r="CC72" i="24"/>
  <c r="CC70" i="24"/>
  <c r="CC68" i="24"/>
  <c r="CC66" i="24"/>
  <c r="CC64" i="24"/>
  <c r="CC62" i="24"/>
  <c r="CC60" i="24"/>
  <c r="CC58" i="24"/>
  <c r="CC56" i="24"/>
  <c r="CC54" i="24"/>
  <c r="CC52" i="24"/>
  <c r="CC50" i="24"/>
  <c r="CC48" i="24"/>
  <c r="CC46" i="24"/>
  <c r="CC44" i="24"/>
  <c r="BO78" i="24"/>
  <c r="BO76" i="24"/>
  <c r="BO74" i="24"/>
  <c r="BO72" i="24"/>
  <c r="BO70" i="24"/>
  <c r="BO68" i="24"/>
  <c r="BO66" i="24"/>
  <c r="BO64" i="24"/>
  <c r="BO62" i="24"/>
  <c r="BO60" i="24"/>
  <c r="BO58" i="24"/>
  <c r="BO56" i="24"/>
  <c r="BO54" i="24"/>
  <c r="BO52" i="24"/>
  <c r="BO50" i="24"/>
  <c r="BO48" i="24"/>
  <c r="BO46" i="24"/>
  <c r="BO44" i="24"/>
  <c r="BA78" i="24"/>
  <c r="BA76" i="24"/>
  <c r="BA74" i="24"/>
  <c r="BA72" i="24"/>
  <c r="BA70" i="24"/>
  <c r="BA68" i="24"/>
  <c r="BA66" i="24"/>
  <c r="BA64" i="24"/>
  <c r="BA62" i="24"/>
  <c r="BA60" i="24"/>
  <c r="BA58" i="24"/>
  <c r="CP78" i="24"/>
  <c r="CP76" i="24"/>
  <c r="CP74" i="24"/>
  <c r="CP72" i="24"/>
  <c r="CP70" i="24"/>
  <c r="CP68" i="24"/>
  <c r="CP66" i="24"/>
  <c r="CP64" i="24"/>
  <c r="CP62" i="24"/>
  <c r="CP60" i="24"/>
  <c r="CP58" i="24"/>
  <c r="CP56" i="24"/>
  <c r="CP54" i="24"/>
  <c r="CP52" i="24"/>
  <c r="CP50" i="24"/>
  <c r="CP48" i="24"/>
  <c r="CP46" i="24"/>
  <c r="CP44" i="24"/>
  <c r="CB78" i="24"/>
  <c r="CB76" i="24"/>
  <c r="CB74" i="24"/>
  <c r="CB72" i="24"/>
  <c r="CB70" i="24"/>
  <c r="CB68" i="24"/>
  <c r="CB66" i="24"/>
  <c r="CB64" i="24"/>
  <c r="CB62" i="24"/>
  <c r="CB60" i="24"/>
  <c r="CB58" i="24"/>
  <c r="CB56" i="24"/>
  <c r="CB54" i="24"/>
  <c r="CB52" i="24"/>
  <c r="CB50" i="24"/>
  <c r="CB48" i="24"/>
  <c r="CB46" i="24"/>
  <c r="CB44" i="24"/>
  <c r="BN78" i="24"/>
  <c r="BN76" i="24"/>
  <c r="BN74" i="24"/>
  <c r="BN72" i="24"/>
  <c r="BN70" i="24"/>
  <c r="BN68" i="24"/>
  <c r="BN66" i="24"/>
  <c r="BN64" i="24"/>
  <c r="BN62" i="24"/>
  <c r="BN60" i="24"/>
  <c r="BN58" i="24"/>
  <c r="BN56" i="24"/>
  <c r="BN54" i="24"/>
  <c r="BN52" i="24"/>
  <c r="BN50" i="24"/>
  <c r="BN48" i="24"/>
  <c r="BN46" i="24"/>
  <c r="BN44" i="24"/>
  <c r="AZ78" i="24"/>
  <c r="AZ76" i="24"/>
  <c r="AZ74" i="24"/>
  <c r="AZ72" i="24"/>
  <c r="AZ70" i="24"/>
  <c r="AZ68" i="24"/>
  <c r="AZ66" i="24"/>
  <c r="AZ64" i="24"/>
  <c r="AZ62" i="24"/>
  <c r="AZ60" i="24"/>
  <c r="CO78" i="24"/>
  <c r="CO76" i="24"/>
  <c r="CO74" i="24"/>
  <c r="CO72" i="24"/>
  <c r="CO70" i="24"/>
  <c r="CO68" i="24"/>
  <c r="CO66" i="24"/>
  <c r="CO64" i="24"/>
  <c r="CO62" i="24"/>
  <c r="CO60" i="24"/>
  <c r="CO58" i="24"/>
  <c r="CO56" i="24"/>
  <c r="CO54" i="24"/>
  <c r="CO52" i="24"/>
  <c r="CO50" i="24"/>
  <c r="CO48" i="24"/>
  <c r="CO46" i="24"/>
  <c r="CO44" i="24"/>
  <c r="CA78" i="24"/>
  <c r="CA76" i="24"/>
  <c r="CA74" i="24"/>
  <c r="CA72" i="24"/>
  <c r="CA70" i="24"/>
  <c r="CA68" i="24"/>
  <c r="CA66" i="24"/>
  <c r="CA64" i="24"/>
  <c r="CA62" i="24"/>
  <c r="CA60" i="24"/>
  <c r="CA58" i="24"/>
  <c r="CA56" i="24"/>
  <c r="CA54" i="24"/>
  <c r="CA52" i="24"/>
  <c r="CA50" i="24"/>
  <c r="CA48" i="24"/>
  <c r="CA46" i="24"/>
  <c r="CA44" i="24"/>
  <c r="BM78" i="24"/>
  <c r="BM76" i="24"/>
  <c r="BM74" i="24"/>
  <c r="BM72" i="24"/>
  <c r="BM70" i="24"/>
  <c r="BM68" i="24"/>
  <c r="BM66" i="24"/>
  <c r="BM64" i="24"/>
  <c r="BM62" i="24"/>
  <c r="BM60" i="24"/>
  <c r="BM58" i="24"/>
  <c r="BM56" i="24"/>
  <c r="BM54" i="24"/>
  <c r="BM52" i="24"/>
  <c r="BM50" i="24"/>
  <c r="BM48" i="24"/>
  <c r="BM46" i="24"/>
  <c r="BM44" i="24"/>
  <c r="AY78" i="24"/>
  <c r="AY76" i="24"/>
  <c r="AY74" i="24"/>
  <c r="AY72" i="24"/>
  <c r="AY70" i="24"/>
  <c r="AY68" i="24"/>
  <c r="AY66" i="24"/>
  <c r="AY64" i="24"/>
  <c r="AY62" i="24"/>
  <c r="AY60" i="24"/>
  <c r="AY58" i="24"/>
  <c r="CN78" i="24"/>
  <c r="CN76" i="24"/>
  <c r="CN74" i="24"/>
  <c r="CN72" i="24"/>
  <c r="CN70" i="24"/>
  <c r="CN68" i="24"/>
  <c r="CN66" i="24"/>
  <c r="CN64" i="24"/>
  <c r="CN62" i="24"/>
  <c r="CN60" i="24"/>
  <c r="CN58" i="24"/>
  <c r="CN56" i="24"/>
  <c r="CN54" i="24"/>
  <c r="CN52" i="24"/>
  <c r="CN50" i="24"/>
  <c r="CN48" i="24"/>
  <c r="CN46" i="24"/>
  <c r="CN44" i="24"/>
  <c r="BZ78" i="24"/>
  <c r="BZ76" i="24"/>
  <c r="BZ74" i="24"/>
  <c r="BZ72" i="24"/>
  <c r="BZ70" i="24"/>
  <c r="BZ68" i="24"/>
  <c r="BZ66" i="24"/>
  <c r="BZ64" i="24"/>
  <c r="BZ62" i="24"/>
  <c r="BZ60" i="24"/>
  <c r="BZ58" i="24"/>
  <c r="BZ56" i="24"/>
  <c r="BZ54" i="24"/>
  <c r="BZ52" i="24"/>
  <c r="BZ50" i="24"/>
  <c r="BZ48" i="24"/>
  <c r="BZ46" i="24"/>
  <c r="BZ44" i="24"/>
  <c r="BL78" i="24"/>
  <c r="BL76" i="24"/>
  <c r="BL74" i="24"/>
  <c r="BL72" i="24"/>
  <c r="BL70" i="24"/>
  <c r="BL68" i="24"/>
  <c r="BL66" i="24"/>
  <c r="BL64" i="24"/>
  <c r="BL62" i="24"/>
  <c r="BL60" i="24"/>
  <c r="BL58" i="24"/>
  <c r="BL56" i="24"/>
  <c r="BL54" i="24"/>
  <c r="BL52" i="24"/>
  <c r="BL50" i="24"/>
  <c r="BL48" i="24"/>
  <c r="BL46" i="24"/>
  <c r="BL44" i="24"/>
  <c r="AX78" i="24"/>
  <c r="AX76" i="24"/>
  <c r="AX74" i="24"/>
  <c r="AX72" i="24"/>
  <c r="AX70" i="24"/>
  <c r="AX68" i="24"/>
  <c r="AX66" i="24"/>
  <c r="AX64" i="24"/>
  <c r="AX62" i="24"/>
  <c r="AX60" i="24"/>
  <c r="AX58" i="24"/>
  <c r="AX56" i="24"/>
  <c r="AX54" i="24"/>
  <c r="AX52" i="24"/>
  <c r="AX50" i="24"/>
  <c r="AX48" i="24"/>
  <c r="AX46" i="24"/>
  <c r="AX44" i="24"/>
  <c r="AJ78" i="24"/>
  <c r="AJ76" i="24"/>
  <c r="AJ74" i="24"/>
  <c r="AJ72" i="24"/>
  <c r="AJ70" i="24"/>
  <c r="CM78" i="24"/>
  <c r="CM76" i="24"/>
  <c r="CM74" i="24"/>
  <c r="CM72" i="24"/>
  <c r="CM70" i="24"/>
  <c r="CM68" i="24"/>
  <c r="CM66" i="24"/>
  <c r="CM64" i="24"/>
  <c r="CM62" i="24"/>
  <c r="CM60" i="24"/>
  <c r="CM58" i="24"/>
  <c r="CM56" i="24"/>
  <c r="CM54" i="24"/>
  <c r="CM52" i="24"/>
  <c r="CM50" i="24"/>
  <c r="CM48" i="24"/>
  <c r="CM46" i="24"/>
  <c r="CM44" i="24"/>
  <c r="BY78" i="24"/>
  <c r="BY76" i="24"/>
  <c r="BY74" i="24"/>
  <c r="BY72" i="24"/>
  <c r="BY70" i="24"/>
  <c r="BY68" i="24"/>
  <c r="BY66" i="24"/>
  <c r="BY64" i="24"/>
  <c r="BY62" i="24"/>
  <c r="BY60" i="24"/>
  <c r="BY58" i="24"/>
  <c r="BY56" i="24"/>
  <c r="BY54" i="24"/>
  <c r="BY52" i="24"/>
  <c r="BY50" i="24"/>
  <c r="BY48" i="24"/>
  <c r="BY46" i="24"/>
  <c r="BY44" i="24"/>
  <c r="BK78" i="24"/>
  <c r="BK76" i="24"/>
  <c r="BK74" i="24"/>
  <c r="BK72" i="24"/>
  <c r="BK70" i="24"/>
  <c r="BK68" i="24"/>
  <c r="BK66" i="24"/>
  <c r="BK64" i="24"/>
  <c r="BK62" i="24"/>
  <c r="BK60" i="24"/>
  <c r="BK58" i="24"/>
  <c r="BK56" i="24"/>
  <c r="BK54" i="24"/>
  <c r="BK52" i="24"/>
  <c r="BK50" i="24"/>
  <c r="BK48" i="24"/>
  <c r="BK46" i="24"/>
  <c r="BK44" i="24"/>
  <c r="AW78" i="24"/>
  <c r="AW76" i="24"/>
  <c r="AW74" i="24"/>
  <c r="AW72" i="24"/>
  <c r="AW70" i="24"/>
  <c r="AW68" i="24"/>
  <c r="AW66" i="24"/>
  <c r="AW64" i="24"/>
  <c r="CL78" i="24"/>
  <c r="CL76" i="24"/>
  <c r="CL74" i="24"/>
  <c r="CL72" i="24"/>
  <c r="CL70" i="24"/>
  <c r="CL68" i="24"/>
  <c r="CL66" i="24"/>
  <c r="CL64" i="24"/>
  <c r="CL62" i="24"/>
  <c r="CL60" i="24"/>
  <c r="CL58" i="24"/>
  <c r="CL56" i="24"/>
  <c r="CL54" i="24"/>
  <c r="CL52" i="24"/>
  <c r="CL50" i="24"/>
  <c r="CL48" i="24"/>
  <c r="CL46" i="24"/>
  <c r="CL44" i="24"/>
  <c r="BX78" i="24"/>
  <c r="BX76" i="24"/>
  <c r="BX74" i="24"/>
  <c r="BX72" i="24"/>
  <c r="BX70" i="24"/>
  <c r="BX68" i="24"/>
  <c r="BX66" i="24"/>
  <c r="BX64" i="24"/>
  <c r="BX62" i="24"/>
  <c r="BX60" i="24"/>
  <c r="BX58" i="24"/>
  <c r="BX56" i="24"/>
  <c r="BX54" i="24"/>
  <c r="BX52" i="24"/>
  <c r="BX50" i="24"/>
  <c r="BX48" i="24"/>
  <c r="BX46" i="24"/>
  <c r="BX44" i="24"/>
  <c r="BJ78" i="24"/>
  <c r="BJ76" i="24"/>
  <c r="BJ74" i="24"/>
  <c r="BJ72" i="24"/>
  <c r="BJ70" i="24"/>
  <c r="BJ68" i="24"/>
  <c r="BJ66" i="24"/>
  <c r="BJ64" i="24"/>
  <c r="BJ62" i="24"/>
  <c r="BJ60" i="24"/>
  <c r="BJ58" i="24"/>
  <c r="BJ56" i="24"/>
  <c r="BJ54" i="24"/>
  <c r="BJ52" i="24"/>
  <c r="BJ50" i="24"/>
  <c r="BJ48" i="24"/>
  <c r="BJ46" i="24"/>
  <c r="BJ44" i="24"/>
  <c r="AV78" i="24"/>
  <c r="AV76" i="24"/>
  <c r="AV74" i="24"/>
  <c r="AV72" i="24"/>
  <c r="AV70" i="24"/>
  <c r="AV68" i="24"/>
  <c r="AV66" i="24"/>
  <c r="AV64" i="24"/>
  <c r="AV62" i="24"/>
  <c r="AV60" i="24"/>
  <c r="CK78" i="24"/>
  <c r="CK76" i="24"/>
  <c r="CK74" i="24"/>
  <c r="CK72" i="24"/>
  <c r="CK70" i="24"/>
  <c r="CK68" i="24"/>
  <c r="CK66" i="24"/>
  <c r="CK64" i="24"/>
  <c r="CK62" i="24"/>
  <c r="CK60" i="24"/>
  <c r="CK58" i="24"/>
  <c r="CK56" i="24"/>
  <c r="CK54" i="24"/>
  <c r="CK52" i="24"/>
  <c r="CK50" i="24"/>
  <c r="CK48" i="24"/>
  <c r="CK46" i="24"/>
  <c r="CK44" i="24"/>
  <c r="BW78" i="24"/>
  <c r="BW76" i="24"/>
  <c r="BW74" i="24"/>
  <c r="BW72" i="24"/>
  <c r="BW70" i="24"/>
  <c r="BW68" i="24"/>
  <c r="BW66" i="24"/>
  <c r="BW64" i="24"/>
  <c r="BW62" i="24"/>
  <c r="BW60" i="24"/>
  <c r="BW58" i="24"/>
  <c r="BW56" i="24"/>
  <c r="BW54" i="24"/>
  <c r="BW52" i="24"/>
  <c r="BW50" i="24"/>
  <c r="BW48" i="24"/>
  <c r="BW46" i="24"/>
  <c r="BW44" i="24"/>
  <c r="BI78" i="24"/>
  <c r="BI76" i="24"/>
  <c r="BI74" i="24"/>
  <c r="BI72" i="24"/>
  <c r="BI70" i="24"/>
  <c r="BI68" i="24"/>
  <c r="BI66" i="24"/>
  <c r="BI64" i="24"/>
  <c r="BI62" i="24"/>
  <c r="BI60" i="24"/>
  <c r="BI58" i="24"/>
  <c r="BI56" i="24"/>
  <c r="BI54" i="24"/>
  <c r="BI52" i="24"/>
  <c r="BI50" i="24"/>
  <c r="BI48" i="24"/>
  <c r="BI46" i="24"/>
  <c r="BI44" i="24"/>
  <c r="AU78" i="24"/>
  <c r="AU76" i="24"/>
  <c r="AU74" i="24"/>
  <c r="AU72" i="24"/>
  <c r="AU70" i="24"/>
  <c r="AU68" i="24"/>
  <c r="AU66" i="24"/>
  <c r="AU64" i="24"/>
  <c r="AU62" i="24"/>
  <c r="AU60" i="24"/>
  <c r="AU58" i="24"/>
  <c r="AU56" i="24"/>
  <c r="AU54" i="24"/>
  <c r="AU52" i="24"/>
  <c r="AU50" i="24"/>
  <c r="AU48" i="24"/>
  <c r="AU46" i="24"/>
  <c r="AU44" i="24"/>
  <c r="AG78" i="24"/>
  <c r="AG76" i="24"/>
  <c r="AG74" i="24"/>
  <c r="AG72" i="24"/>
  <c r="AG70" i="24"/>
  <c r="AG68" i="24"/>
  <c r="AG66" i="24"/>
  <c r="AG64" i="24"/>
  <c r="AG62" i="24"/>
  <c r="AG60" i="24"/>
  <c r="AG58" i="24"/>
  <c r="AG56" i="24"/>
  <c r="AG54" i="24"/>
  <c r="CJ78" i="24"/>
  <c r="CJ76" i="24"/>
  <c r="CJ74" i="24"/>
  <c r="CJ72" i="24"/>
  <c r="CJ70" i="24"/>
  <c r="CJ68" i="24"/>
  <c r="CJ66" i="24"/>
  <c r="CJ64" i="24"/>
  <c r="CJ62" i="24"/>
  <c r="CJ60" i="24"/>
  <c r="CJ58" i="24"/>
  <c r="CJ56" i="24"/>
  <c r="CJ54" i="24"/>
  <c r="CJ52" i="24"/>
  <c r="CJ50" i="24"/>
  <c r="CJ48" i="24"/>
  <c r="CJ46" i="24"/>
  <c r="CJ44" i="24"/>
  <c r="BV78" i="24"/>
  <c r="BV76" i="24"/>
  <c r="BV74" i="24"/>
  <c r="BV72" i="24"/>
  <c r="BV70" i="24"/>
  <c r="BV68" i="24"/>
  <c r="BV66" i="24"/>
  <c r="BV64" i="24"/>
  <c r="BV62" i="24"/>
  <c r="BV60" i="24"/>
  <c r="BV58" i="24"/>
  <c r="BV56" i="24"/>
  <c r="BV54" i="24"/>
  <c r="BV52" i="24"/>
  <c r="BV50" i="24"/>
  <c r="BV48" i="24"/>
  <c r="BV46" i="24"/>
  <c r="BV44" i="24"/>
  <c r="BH78" i="24"/>
  <c r="BH76" i="24"/>
  <c r="BH74" i="24"/>
  <c r="BH72" i="24"/>
  <c r="BH70" i="24"/>
  <c r="BH68" i="24"/>
  <c r="BH66" i="24"/>
  <c r="BH64" i="24"/>
  <c r="BH62" i="24"/>
  <c r="BH60" i="24"/>
  <c r="BH58" i="24"/>
  <c r="BH56" i="24"/>
  <c r="BH54" i="24"/>
  <c r="BH52" i="24"/>
  <c r="BH50" i="24"/>
  <c r="BH48" i="24"/>
  <c r="BH46" i="24"/>
  <c r="BH44" i="24"/>
  <c r="AT78" i="24"/>
  <c r="AT76" i="24"/>
  <c r="AT74" i="24"/>
  <c r="AT72" i="24"/>
  <c r="AT70" i="24"/>
  <c r="AT68" i="24"/>
  <c r="AT66" i="24"/>
  <c r="AT64" i="24"/>
  <c r="AT62" i="24"/>
  <c r="CU79" i="24"/>
  <c r="CU77" i="24"/>
  <c r="CU75" i="24"/>
  <c r="CU73" i="24"/>
  <c r="CU71" i="24"/>
  <c r="CU69" i="24"/>
  <c r="CU67" i="24"/>
  <c r="CU65" i="24"/>
  <c r="CU63" i="24"/>
  <c r="CU61" i="24"/>
  <c r="CU59" i="24"/>
  <c r="CU57" i="24"/>
  <c r="CU55" i="24"/>
  <c r="CU53" i="24"/>
  <c r="CU51" i="24"/>
  <c r="CU49" i="24"/>
  <c r="CU47" i="24"/>
  <c r="CU45" i="24"/>
  <c r="CG79" i="24"/>
  <c r="CG77" i="24"/>
  <c r="CG75" i="24"/>
  <c r="CG73" i="24"/>
  <c r="CG71" i="24"/>
  <c r="CG69" i="24"/>
  <c r="CG67" i="24"/>
  <c r="CG65" i="24"/>
  <c r="CG63" i="24"/>
  <c r="CG61" i="24"/>
  <c r="CG59" i="24"/>
  <c r="CG57" i="24"/>
  <c r="CG55" i="24"/>
  <c r="CG53" i="24"/>
  <c r="CG51" i="24"/>
  <c r="CG49" i="24"/>
  <c r="CG47" i="24"/>
  <c r="CG45" i="24"/>
  <c r="BS79" i="24"/>
  <c r="BS77" i="24"/>
  <c r="BS75" i="24"/>
  <c r="BS73" i="24"/>
  <c r="BS71" i="24"/>
  <c r="BS69" i="24"/>
  <c r="BS67" i="24"/>
  <c r="BS65" i="24"/>
  <c r="BS63" i="24"/>
  <c r="BS61" i="24"/>
  <c r="BS59" i="24"/>
  <c r="BS57" i="24"/>
  <c r="BS55" i="24"/>
  <c r="BS53" i="24"/>
  <c r="BS51" i="24"/>
  <c r="BS49" i="24"/>
  <c r="BS47" i="24"/>
  <c r="BS45" i="24"/>
  <c r="BE79" i="24"/>
  <c r="BE77" i="24"/>
  <c r="BE75" i="24"/>
  <c r="BE73" i="24"/>
  <c r="BE71" i="24"/>
  <c r="BE69" i="24"/>
  <c r="BE67" i="24"/>
  <c r="BE65" i="24"/>
  <c r="BE63" i="24"/>
  <c r="BE61" i="24"/>
  <c r="CT79" i="24"/>
  <c r="CT77" i="24"/>
  <c r="CT75" i="24"/>
  <c r="CT73" i="24"/>
  <c r="CT71" i="24"/>
  <c r="CT69" i="24"/>
  <c r="CT67" i="24"/>
  <c r="CT65" i="24"/>
  <c r="CT63" i="24"/>
  <c r="CT61" i="24"/>
  <c r="CT59" i="24"/>
  <c r="CT57" i="24"/>
  <c r="CT55" i="24"/>
  <c r="CT53" i="24"/>
  <c r="CT51" i="24"/>
  <c r="CT49" i="24"/>
  <c r="CT47" i="24"/>
  <c r="CT45" i="24"/>
  <c r="CF79" i="24"/>
  <c r="CF77" i="24"/>
  <c r="CF75" i="24"/>
  <c r="CF73" i="24"/>
  <c r="CF71" i="24"/>
  <c r="CF69" i="24"/>
  <c r="CF67" i="24"/>
  <c r="CF65" i="24"/>
  <c r="CF63" i="24"/>
  <c r="CF61" i="24"/>
  <c r="CF59" i="24"/>
  <c r="CF57" i="24"/>
  <c r="CF55" i="24"/>
  <c r="CF53" i="24"/>
  <c r="CF51" i="24"/>
  <c r="CF49" i="24"/>
  <c r="CF47" i="24"/>
  <c r="CF45" i="24"/>
  <c r="BR79" i="24"/>
  <c r="BR77" i="24"/>
  <c r="BR75" i="24"/>
  <c r="BR73" i="24"/>
  <c r="BR71" i="24"/>
  <c r="BR69" i="24"/>
  <c r="BR67" i="24"/>
  <c r="BR65" i="24"/>
  <c r="BR63" i="24"/>
  <c r="BR61" i="24"/>
  <c r="BR59" i="24"/>
  <c r="BR57" i="24"/>
  <c r="BR55" i="24"/>
  <c r="BR53" i="24"/>
  <c r="BR51" i="24"/>
  <c r="BR49" i="24"/>
  <c r="BR47" i="24"/>
  <c r="BR45" i="24"/>
  <c r="BD79" i="24"/>
  <c r="BD77" i="24"/>
  <c r="BD75" i="24"/>
  <c r="BD73" i="24"/>
  <c r="BD71" i="24"/>
  <c r="BD69" i="24"/>
  <c r="BD67" i="24"/>
  <c r="BD65" i="24"/>
  <c r="BD63" i="24"/>
  <c r="BD61" i="24"/>
  <c r="BD59" i="24"/>
  <c r="BD57" i="24"/>
  <c r="BD55" i="24"/>
  <c r="BD53" i="24"/>
  <c r="BD51" i="24"/>
  <c r="BD49" i="24"/>
  <c r="BD47" i="24"/>
  <c r="BD45" i="24"/>
  <c r="AP79" i="24"/>
  <c r="AP77" i="24"/>
  <c r="AP75" i="24"/>
  <c r="AP73" i="24"/>
  <c r="AP71" i="24"/>
  <c r="AP69" i="24"/>
  <c r="CS79" i="24"/>
  <c r="CS77" i="24"/>
  <c r="CS75" i="24"/>
  <c r="CS73" i="24"/>
  <c r="CS71" i="24"/>
  <c r="CS69" i="24"/>
  <c r="CS67" i="24"/>
  <c r="CS65" i="24"/>
  <c r="CS63" i="24"/>
  <c r="CS61" i="24"/>
  <c r="CS59" i="24"/>
  <c r="CS57" i="24"/>
  <c r="CS55" i="24"/>
  <c r="CS53" i="24"/>
  <c r="CS51" i="24"/>
  <c r="CS49" i="24"/>
  <c r="CS47" i="24"/>
  <c r="CS45" i="24"/>
  <c r="CE79" i="24"/>
  <c r="CE77" i="24"/>
  <c r="CE75" i="24"/>
  <c r="CE73" i="24"/>
  <c r="CE71" i="24"/>
  <c r="CE69" i="24"/>
  <c r="CE67" i="24"/>
  <c r="CE65" i="24"/>
  <c r="CE63" i="24"/>
  <c r="CE61" i="24"/>
  <c r="CE59" i="24"/>
  <c r="CE57" i="24"/>
  <c r="CE55" i="24"/>
  <c r="CE53" i="24"/>
  <c r="CE51" i="24"/>
  <c r="CE49" i="24"/>
  <c r="CE47" i="24"/>
  <c r="CE45" i="24"/>
  <c r="BQ79" i="24"/>
  <c r="BQ77" i="24"/>
  <c r="BQ75" i="24"/>
  <c r="BQ73" i="24"/>
  <c r="BQ71" i="24"/>
  <c r="BQ69" i="24"/>
  <c r="BQ67" i="24"/>
  <c r="BQ65" i="24"/>
  <c r="BQ63" i="24"/>
  <c r="BQ61" i="24"/>
  <c r="BQ59" i="24"/>
  <c r="BQ57" i="24"/>
  <c r="BQ55" i="24"/>
  <c r="BQ53" i="24"/>
  <c r="BQ51" i="24"/>
  <c r="BQ49" i="24"/>
  <c r="BQ47" i="24"/>
  <c r="BQ45" i="24"/>
  <c r="BC79" i="24"/>
  <c r="BC77" i="24"/>
  <c r="BC75" i="24"/>
  <c r="BC73" i="24"/>
  <c r="BC71" i="24"/>
  <c r="BC69" i="24"/>
  <c r="BC67" i="24"/>
  <c r="BC65" i="24"/>
  <c r="BC63" i="24"/>
  <c r="BC61" i="24"/>
  <c r="BC59" i="24"/>
  <c r="BC57" i="24"/>
  <c r="BC55" i="24"/>
  <c r="BC53" i="24"/>
  <c r="BC51" i="24"/>
  <c r="BC49" i="24"/>
  <c r="BC47" i="24"/>
  <c r="BC45" i="24"/>
  <c r="CR79" i="24"/>
  <c r="CR77" i="24"/>
  <c r="CR75" i="24"/>
  <c r="CR73" i="24"/>
  <c r="CR71" i="24"/>
  <c r="CR69" i="24"/>
  <c r="CR67" i="24"/>
  <c r="CR65" i="24"/>
  <c r="CR63" i="24"/>
  <c r="CR61" i="24"/>
  <c r="CR59" i="24"/>
  <c r="CR57" i="24"/>
  <c r="CR55" i="24"/>
  <c r="CR53" i="24"/>
  <c r="CR51" i="24"/>
  <c r="CR49" i="24"/>
  <c r="CR47" i="24"/>
  <c r="CR45" i="24"/>
  <c r="CD79" i="24"/>
  <c r="CD77" i="24"/>
  <c r="CD75" i="24"/>
  <c r="CD73" i="24"/>
  <c r="CD71" i="24"/>
  <c r="CD69" i="24"/>
  <c r="CD67" i="24"/>
  <c r="CD65" i="24"/>
  <c r="CD63" i="24"/>
  <c r="CD61" i="24"/>
  <c r="CD59" i="24"/>
  <c r="CD57" i="24"/>
  <c r="CD55" i="24"/>
  <c r="CD53" i="24"/>
  <c r="CD51" i="24"/>
  <c r="CD49" i="24"/>
  <c r="CD47" i="24"/>
  <c r="CD45" i="24"/>
  <c r="BP79" i="24"/>
  <c r="BP77" i="24"/>
  <c r="BP75" i="24"/>
  <c r="BP73" i="24"/>
  <c r="BP71" i="24"/>
  <c r="BP69" i="24"/>
  <c r="BP67" i="24"/>
  <c r="BP65" i="24"/>
  <c r="BP63" i="24"/>
  <c r="BP61" i="24"/>
  <c r="BP59" i="24"/>
  <c r="BP57" i="24"/>
  <c r="BP55" i="24"/>
  <c r="BP53" i="24"/>
  <c r="BP51" i="24"/>
  <c r="BP49" i="24"/>
  <c r="BP47" i="24"/>
  <c r="BP45" i="24"/>
  <c r="BB79" i="24"/>
  <c r="BB77" i="24"/>
  <c r="BB75" i="24"/>
  <c r="BB73" i="24"/>
  <c r="BB71" i="24"/>
  <c r="BB69" i="24"/>
  <c r="BB67" i="24"/>
  <c r="BB65" i="24"/>
  <c r="BB63" i="24"/>
  <c r="BB61" i="24"/>
  <c r="BB59" i="24"/>
  <c r="CQ79" i="24"/>
  <c r="CQ77" i="24"/>
  <c r="CQ75" i="24"/>
  <c r="CQ73" i="24"/>
  <c r="CQ71" i="24"/>
  <c r="CQ69" i="24"/>
  <c r="CQ67" i="24"/>
  <c r="CQ65" i="24"/>
  <c r="CQ63" i="24"/>
  <c r="CQ61" i="24"/>
  <c r="CQ59" i="24"/>
  <c r="CQ57" i="24"/>
  <c r="CQ55" i="24"/>
  <c r="CQ53" i="24"/>
  <c r="CQ51" i="24"/>
  <c r="CQ49" i="24"/>
  <c r="CQ47" i="24"/>
  <c r="CQ45" i="24"/>
  <c r="CC79" i="24"/>
  <c r="CC77" i="24"/>
  <c r="CC75" i="24"/>
  <c r="CC73" i="24"/>
  <c r="CC71" i="24"/>
  <c r="CC69" i="24"/>
  <c r="CC67" i="24"/>
  <c r="CC65" i="24"/>
  <c r="CC63" i="24"/>
  <c r="CC61" i="24"/>
  <c r="CC59" i="24"/>
  <c r="CC57" i="24"/>
  <c r="CC55" i="24"/>
  <c r="CC53" i="24"/>
  <c r="CC51" i="24"/>
  <c r="CC49" i="24"/>
  <c r="CC47" i="24"/>
  <c r="CC45" i="24"/>
  <c r="BO79" i="24"/>
  <c r="BO77" i="24"/>
  <c r="BO75" i="24"/>
  <c r="BO73" i="24"/>
  <c r="BO71" i="24"/>
  <c r="BO69" i="24"/>
  <c r="BO67" i="24"/>
  <c r="BO65" i="24"/>
  <c r="BO63" i="24"/>
  <c r="BO61" i="24"/>
  <c r="BO59" i="24"/>
  <c r="BO57" i="24"/>
  <c r="BO55" i="24"/>
  <c r="BO53" i="24"/>
  <c r="BO51" i="24"/>
  <c r="BO49" i="24"/>
  <c r="BO47" i="24"/>
  <c r="BO45" i="24"/>
  <c r="BA79" i="24"/>
  <c r="BA77" i="24"/>
  <c r="BA75" i="24"/>
  <c r="BA73" i="24"/>
  <c r="BA71" i="24"/>
  <c r="BA69" i="24"/>
  <c r="BA67" i="24"/>
  <c r="BA65" i="24"/>
  <c r="BA63" i="24"/>
  <c r="CO79" i="24"/>
  <c r="CO77" i="24"/>
  <c r="CO75" i="24"/>
  <c r="CO73" i="24"/>
  <c r="CO71" i="24"/>
  <c r="CO69" i="24"/>
  <c r="CO67" i="24"/>
  <c r="CO65" i="24"/>
  <c r="CO63" i="24"/>
  <c r="CO61" i="24"/>
  <c r="CO59" i="24"/>
  <c r="CO57" i="24"/>
  <c r="CO55" i="24"/>
  <c r="CO53" i="24"/>
  <c r="CO51" i="24"/>
  <c r="CO49" i="24"/>
  <c r="CO47" i="24"/>
  <c r="CO45" i="24"/>
  <c r="CA79" i="24"/>
  <c r="CA77" i="24"/>
  <c r="CA75" i="24"/>
  <c r="CA73" i="24"/>
  <c r="CA71" i="24"/>
  <c r="CA69" i="24"/>
  <c r="CA67" i="24"/>
  <c r="CA65" i="24"/>
  <c r="CA63" i="24"/>
  <c r="CA61" i="24"/>
  <c r="CA59" i="24"/>
  <c r="CA57" i="24"/>
  <c r="CA55" i="24"/>
  <c r="CA53" i="24"/>
  <c r="CA51" i="24"/>
  <c r="CA49" i="24"/>
  <c r="CA47" i="24"/>
  <c r="CA45" i="24"/>
  <c r="BM79" i="24"/>
  <c r="BM77" i="24"/>
  <c r="BM75" i="24"/>
  <c r="BM73" i="24"/>
  <c r="BM71" i="24"/>
  <c r="BM69" i="24"/>
  <c r="BM67" i="24"/>
  <c r="BM65" i="24"/>
  <c r="BM63" i="24"/>
  <c r="BM61" i="24"/>
  <c r="BM59" i="24"/>
  <c r="BM57" i="24"/>
  <c r="BM55" i="24"/>
  <c r="BM53" i="24"/>
  <c r="BM51" i="24"/>
  <c r="BM49" i="24"/>
  <c r="BM47" i="24"/>
  <c r="BM45" i="24"/>
  <c r="AY79" i="24"/>
  <c r="AY77" i="24"/>
  <c r="AY75" i="24"/>
  <c r="AY73" i="24"/>
  <c r="AY71" i="24"/>
  <c r="AY69" i="24"/>
  <c r="AY67" i="24"/>
  <c r="AY65" i="24"/>
  <c r="AY63" i="24"/>
  <c r="AY61" i="24"/>
  <c r="AY59" i="24"/>
  <c r="AY57" i="24"/>
  <c r="AY55" i="24"/>
  <c r="AY53" i="24"/>
  <c r="AY51" i="24"/>
  <c r="AY49" i="24"/>
  <c r="CM79" i="24"/>
  <c r="CM77" i="24"/>
  <c r="CM75" i="24"/>
  <c r="CM73" i="24"/>
  <c r="CM71" i="24"/>
  <c r="CM69" i="24"/>
  <c r="CM67" i="24"/>
  <c r="CM65" i="24"/>
  <c r="CM63" i="24"/>
  <c r="CM61" i="24"/>
  <c r="CM59" i="24"/>
  <c r="CM57" i="24"/>
  <c r="CM55" i="24"/>
  <c r="CM53" i="24"/>
  <c r="CM51" i="24"/>
  <c r="CM49" i="24"/>
  <c r="CM47" i="24"/>
  <c r="CM45" i="24"/>
  <c r="BY79" i="24"/>
  <c r="BY77" i="24"/>
  <c r="BY75" i="24"/>
  <c r="BY73" i="24"/>
  <c r="BY71" i="24"/>
  <c r="BY69" i="24"/>
  <c r="BY67" i="24"/>
  <c r="BY65" i="24"/>
  <c r="BY63" i="24"/>
  <c r="BY61" i="24"/>
  <c r="BY59" i="24"/>
  <c r="BY57" i="24"/>
  <c r="BY55" i="24"/>
  <c r="BY53" i="24"/>
  <c r="BY51" i="24"/>
  <c r="BY49" i="24"/>
  <c r="BY47" i="24"/>
  <c r="BY45" i="24"/>
  <c r="BK79" i="24"/>
  <c r="BK77" i="24"/>
  <c r="BK75" i="24"/>
  <c r="BK73" i="24"/>
  <c r="BK71" i="24"/>
  <c r="BK69" i="24"/>
  <c r="BK67" i="24"/>
  <c r="BK65" i="24"/>
  <c r="BK63" i="24"/>
  <c r="BK61" i="24"/>
  <c r="BK59" i="24"/>
  <c r="BK57" i="24"/>
  <c r="BK55" i="24"/>
  <c r="BK53" i="24"/>
  <c r="BK51" i="24"/>
  <c r="BK49" i="24"/>
  <c r="BK47" i="24"/>
  <c r="BK45" i="24"/>
  <c r="AW79" i="24"/>
  <c r="AW77" i="24"/>
  <c r="AW75" i="24"/>
  <c r="AW73" i="24"/>
  <c r="AW71" i="24"/>
  <c r="AW69" i="24"/>
  <c r="AW67" i="24"/>
  <c r="AW65" i="24"/>
  <c r="AW63" i="24"/>
  <c r="AW61" i="24"/>
  <c r="AW59" i="24"/>
  <c r="AW57" i="24"/>
  <c r="AW55" i="24"/>
  <c r="AW53" i="24"/>
  <c r="AW51" i="24"/>
  <c r="AW49" i="24"/>
  <c r="AW47" i="24"/>
  <c r="AK44" i="24"/>
  <c r="AK46" i="24"/>
  <c r="AK48" i="24"/>
  <c r="AK50" i="24"/>
  <c r="AK52" i="24"/>
  <c r="AL54" i="24"/>
  <c r="AM56" i="24"/>
  <c r="AN58" i="24"/>
  <c r="AO60" i="24"/>
  <c r="AP62" i="24"/>
  <c r="AQ64" i="24"/>
  <c r="AF67" i="24"/>
  <c r="AI69" i="24"/>
  <c r="AQ71" i="24"/>
  <c r="AN74" i="24"/>
  <c r="AM77" i="24"/>
  <c r="AY44" i="24"/>
  <c r="AZ47" i="24"/>
  <c r="BB50" i="24"/>
  <c r="AY54" i="24"/>
  <c r="AV58" i="24"/>
  <c r="AZ73" i="24"/>
  <c r="BN61" i="24"/>
  <c r="CB49" i="24"/>
  <c r="CB73" i="24"/>
  <c r="CP61" i="24"/>
  <c r="AL44" i="24"/>
  <c r="AL46" i="24"/>
  <c r="AL48" i="24"/>
  <c r="AL50" i="24"/>
  <c r="AL52" i="24"/>
  <c r="AM54" i="24"/>
  <c r="AN56" i="24"/>
  <c r="AO58" i="24"/>
  <c r="AP60" i="24"/>
  <c r="AQ62" i="24"/>
  <c r="AF65" i="24"/>
  <c r="AG67" i="24"/>
  <c r="AJ69" i="24"/>
  <c r="AF72" i="24"/>
  <c r="AO74" i="24"/>
  <c r="AN77" i="24"/>
  <c r="AZ44" i="24"/>
  <c r="BA47" i="24"/>
  <c r="BC50" i="24"/>
  <c r="AZ54" i="24"/>
  <c r="AW58" i="24"/>
  <c r="AX75" i="24"/>
  <c r="BL63" i="24"/>
  <c r="BZ51" i="24"/>
  <c r="BZ75" i="24"/>
  <c r="CN63" i="24"/>
  <c r="AM44" i="24"/>
  <c r="AM46" i="24"/>
  <c r="AM48" i="24"/>
  <c r="AM50" i="24"/>
  <c r="AM52" i="24"/>
  <c r="AN54" i="24"/>
  <c r="AO56" i="24"/>
  <c r="AP58" i="24"/>
  <c r="AQ60" i="24"/>
  <c r="AF63" i="24"/>
  <c r="AG65" i="24"/>
  <c r="AH67" i="24"/>
  <c r="AK69" i="24"/>
  <c r="AH72" i="24"/>
  <c r="AG75" i="24"/>
  <c r="AO77" i="24"/>
  <c r="BA44" i="24"/>
  <c r="BB47" i="24"/>
  <c r="AU51" i="24"/>
  <c r="BA54" i="24"/>
  <c r="AZ58" i="24"/>
  <c r="AZ75" i="24"/>
  <c r="BN63" i="24"/>
  <c r="CB51" i="24"/>
  <c r="CB75" i="24"/>
  <c r="CP63" i="24"/>
  <c r="AN44" i="24"/>
  <c r="AN46" i="24"/>
  <c r="AN48" i="24"/>
  <c r="AN50" i="24"/>
  <c r="AN52" i="24"/>
  <c r="AO54" i="24"/>
  <c r="AP56" i="24"/>
  <c r="AQ58" i="24"/>
  <c r="AF61" i="24"/>
  <c r="AG63" i="24"/>
  <c r="AH65" i="24"/>
  <c r="AI67" i="24"/>
  <c r="AL69" i="24"/>
  <c r="AI72" i="24"/>
  <c r="AI75" i="24"/>
  <c r="AQ77" i="24"/>
  <c r="BB44" i="24"/>
  <c r="BE47" i="24"/>
  <c r="AX51" i="24"/>
  <c r="BC54" i="24"/>
  <c r="AX59" i="24"/>
  <c r="AX77" i="24"/>
  <c r="BL65" i="24"/>
  <c r="BZ53" i="24"/>
  <c r="BZ77" i="24"/>
  <c r="CN65" i="24"/>
  <c r="AO44" i="24"/>
  <c r="AO46" i="24"/>
  <c r="AO48" i="24"/>
  <c r="AO50" i="24"/>
  <c r="AO52" i="24"/>
  <c r="AP54" i="24"/>
  <c r="AQ56" i="24"/>
  <c r="AF59" i="24"/>
  <c r="AG61" i="24"/>
  <c r="AH63" i="24"/>
  <c r="AI65" i="24"/>
  <c r="AJ67" i="24"/>
  <c r="AM69" i="24"/>
  <c r="AK72" i="24"/>
  <c r="AJ75" i="24"/>
  <c r="AF78" i="24"/>
  <c r="BC44" i="24"/>
  <c r="AT48" i="24"/>
  <c r="AZ51" i="24"/>
  <c r="AU55" i="24"/>
  <c r="AZ59" i="24"/>
  <c r="AZ77" i="24"/>
  <c r="BN65" i="24"/>
  <c r="CB53" i="24"/>
  <c r="CB77" i="24"/>
  <c r="CP65" i="24"/>
  <c r="AP44" i="24"/>
  <c r="AP46" i="24"/>
  <c r="AP48" i="24"/>
  <c r="AP50" i="24"/>
  <c r="AP52" i="24"/>
  <c r="AQ54" i="24"/>
  <c r="AF57" i="24"/>
  <c r="AG59" i="24"/>
  <c r="AH61" i="24"/>
  <c r="AI63" i="24"/>
  <c r="AJ65" i="24"/>
  <c r="AK67" i="24"/>
  <c r="AN69" i="24"/>
  <c r="AL72" i="24"/>
  <c r="AK75" i="24"/>
  <c r="AH78" i="24"/>
  <c r="AU45" i="24"/>
  <c r="AV48" i="24"/>
  <c r="BA51" i="24"/>
  <c r="AX55" i="24"/>
  <c r="BA59" i="24"/>
  <c r="AX79" i="24"/>
  <c r="BL67" i="24"/>
  <c r="BZ55" i="24"/>
  <c r="BZ79" i="24"/>
  <c r="CN67" i="24"/>
  <c r="AQ44" i="24"/>
  <c r="AQ46" i="24"/>
  <c r="AQ48" i="24"/>
  <c r="AQ50" i="24"/>
  <c r="AQ52" i="24"/>
  <c r="AF55" i="24"/>
  <c r="AG57" i="24"/>
  <c r="AH59" i="24"/>
  <c r="AI61" i="24"/>
  <c r="AJ63" i="24"/>
  <c r="AK65" i="24"/>
  <c r="AL67" i="24"/>
  <c r="AO69" i="24"/>
  <c r="AM72" i="24"/>
  <c r="AL75" i="24"/>
  <c r="AI78" i="24"/>
  <c r="AW45" i="24"/>
  <c r="AW48" i="24"/>
  <c r="BB51" i="24"/>
  <c r="AZ55" i="24"/>
  <c r="BE59" i="24"/>
  <c r="AZ79" i="24"/>
  <c r="BN67" i="24"/>
  <c r="CB55" i="24"/>
  <c r="CB79" i="24"/>
  <c r="CP67" i="24"/>
  <c r="AF45" i="24"/>
  <c r="AF47" i="24"/>
  <c r="AF49" i="24"/>
  <c r="AF51" i="24"/>
  <c r="AF53" i="24"/>
  <c r="AG55" i="24"/>
  <c r="AH57" i="24"/>
  <c r="AI59" i="24"/>
  <c r="AJ61" i="24"/>
  <c r="AK63" i="24"/>
  <c r="AL65" i="24"/>
  <c r="AM67" i="24"/>
  <c r="AQ69" i="24"/>
  <c r="AN72" i="24"/>
  <c r="AM75" i="24"/>
  <c r="AK78" i="24"/>
  <c r="AX45" i="24"/>
  <c r="AY48" i="24"/>
  <c r="BE51" i="24"/>
  <c r="BA55" i="24"/>
  <c r="AT60" i="24"/>
  <c r="BL45" i="24"/>
  <c r="BL69" i="24"/>
  <c r="BZ57" i="24"/>
  <c r="CN45" i="24"/>
  <c r="CN69" i="24"/>
  <c r="AG45" i="24"/>
  <c r="AG47" i="24"/>
  <c r="AG49" i="24"/>
  <c r="AG51" i="24"/>
  <c r="AG53" i="24"/>
  <c r="AH55" i="24"/>
  <c r="AI57" i="24"/>
  <c r="AJ59" i="24"/>
  <c r="AK61" i="24"/>
  <c r="AL63" i="24"/>
  <c r="AM65" i="24"/>
  <c r="AN67" i="24"/>
  <c r="AF70" i="24"/>
  <c r="AO72" i="24"/>
  <c r="AN75" i="24"/>
  <c r="AL78" i="24"/>
  <c r="AY45" i="24"/>
  <c r="AZ48" i="24"/>
  <c r="AT52" i="24"/>
  <c r="BB55" i="24"/>
  <c r="AW60" i="24"/>
  <c r="BN45" i="24"/>
  <c r="BN69" i="24"/>
  <c r="CB57" i="24"/>
  <c r="CP45" i="24"/>
  <c r="CP69" i="24"/>
  <c r="AH45" i="24"/>
  <c r="AH47" i="24"/>
  <c r="AH49" i="24"/>
  <c r="AH51" i="24"/>
  <c r="AH53" i="24"/>
  <c r="AI55" i="24"/>
  <c r="AJ57" i="24"/>
  <c r="AK59" i="24"/>
  <c r="AL61" i="24"/>
  <c r="AM63" i="24"/>
  <c r="AN65" i="24"/>
  <c r="AO67" i="24"/>
  <c r="AH70" i="24"/>
  <c r="AG73" i="24"/>
  <c r="AO75" i="24"/>
  <c r="AM78" i="24"/>
  <c r="AZ45" i="24"/>
  <c r="BA48" i="24"/>
  <c r="AV52" i="24"/>
  <c r="BE55" i="24"/>
  <c r="AX61" i="24"/>
  <c r="BL47" i="24"/>
  <c r="BL71" i="24"/>
  <c r="BZ59" i="24"/>
  <c r="CN47" i="24"/>
  <c r="CN71" i="24"/>
  <c r="AG45" i="17"/>
  <c r="AG47" i="17"/>
  <c r="AG49" i="17"/>
  <c r="AG51" i="17"/>
  <c r="AG53" i="17"/>
  <c r="AI55" i="17"/>
  <c r="AK57" i="17"/>
  <c r="AM59" i="17"/>
  <c r="AO61" i="17"/>
  <c r="AQ63" i="17"/>
  <c r="AH66" i="17"/>
  <c r="AJ68" i="17"/>
  <c r="AL70" i="17"/>
  <c r="AN72" i="17"/>
  <c r="AP74" i="17"/>
  <c r="AG77" i="17"/>
  <c r="AI79" i="17"/>
  <c r="AY45" i="17"/>
  <c r="BA47" i="17"/>
  <c r="BC49" i="17"/>
  <c r="BE51" i="17"/>
  <c r="AW54" i="17"/>
  <c r="AZ56" i="17"/>
  <c r="BC58" i="17"/>
  <c r="AX61" i="17"/>
  <c r="AT64" i="17"/>
  <c r="AV67" i="17"/>
  <c r="AW70" i="17"/>
  <c r="BA75" i="17"/>
  <c r="BN51" i="17"/>
  <c r="BL67" i="17"/>
  <c r="BZ47" i="17"/>
  <c r="BZ63" i="17"/>
  <c r="BZ79" i="17"/>
  <c r="CN59" i="17"/>
  <c r="CN75" i="17"/>
  <c r="AM57" i="17"/>
  <c r="AO59" i="17"/>
  <c r="AQ61" i="17"/>
  <c r="AH64" i="17"/>
  <c r="AJ66" i="17"/>
  <c r="AL68" i="17"/>
  <c r="AN70" i="17"/>
  <c r="AP72" i="17"/>
  <c r="AG75" i="17"/>
  <c r="AI77" i="17"/>
  <c r="AK79" i="17"/>
  <c r="BA45" i="17"/>
  <c r="BC47" i="17"/>
  <c r="BE49" i="17"/>
  <c r="AV52" i="17"/>
  <c r="AY54" i="17"/>
  <c r="BB56" i="17"/>
  <c r="AT59" i="17"/>
  <c r="BA61" i="17"/>
  <c r="AW64" i="17"/>
  <c r="AZ67" i="17"/>
  <c r="AV71" i="17"/>
  <c r="AV77" i="17"/>
  <c r="BJ53" i="17"/>
  <c r="BO67" i="17"/>
  <c r="CC47" i="17"/>
  <c r="CC63" i="17"/>
  <c r="CC79" i="17"/>
  <c r="CQ59" i="17"/>
  <c r="CQ75" i="17"/>
  <c r="AK45" i="17"/>
  <c r="AK47" i="17"/>
  <c r="AK49" i="17"/>
  <c r="AK51" i="17"/>
  <c r="AK53" i="17"/>
  <c r="AM55" i="17"/>
  <c r="AO57" i="17"/>
  <c r="AQ59" i="17"/>
  <c r="AH62" i="17"/>
  <c r="AJ64" i="17"/>
  <c r="AL66" i="17"/>
  <c r="AN68" i="17"/>
  <c r="AP70" i="17"/>
  <c r="AG73" i="17"/>
  <c r="AI75" i="17"/>
  <c r="AK77" i="17"/>
  <c r="AM79" i="17"/>
  <c r="BC45" i="17"/>
  <c r="BE47" i="17"/>
  <c r="AV50" i="17"/>
  <c r="AX52" i="17"/>
  <c r="BA54" i="17"/>
  <c r="BD56" i="17"/>
  <c r="AV59" i="17"/>
  <c r="BC61" i="17"/>
  <c r="AY64" i="17"/>
  <c r="BB67" i="17"/>
  <c r="AZ71" i="17"/>
  <c r="AZ77" i="17"/>
  <c r="BN53" i="17"/>
  <c r="BN69" i="17"/>
  <c r="CB49" i="17"/>
  <c r="CB65" i="17"/>
  <c r="CP45" i="17"/>
  <c r="CP61" i="17"/>
  <c r="CP77" i="17"/>
  <c r="AL45" i="17"/>
  <c r="AL47" i="17"/>
  <c r="AL49" i="17"/>
  <c r="AL51" i="17"/>
  <c r="AL53" i="17"/>
  <c r="AN55" i="17"/>
  <c r="AP57" i="17"/>
  <c r="AF60" i="17"/>
  <c r="AI62" i="17"/>
  <c r="AK64" i="17"/>
  <c r="AM66" i="17"/>
  <c r="AO68" i="17"/>
  <c r="AF71" i="17"/>
  <c r="AH73" i="17"/>
  <c r="AJ75" i="17"/>
  <c r="AL77" i="17"/>
  <c r="AN79" i="17"/>
  <c r="BD45" i="17"/>
  <c r="AT48" i="17"/>
  <c r="AW50" i="17"/>
  <c r="AY52" i="17"/>
  <c r="BB54" i="17"/>
  <c r="AT57" i="17"/>
  <c r="AX59" i="17"/>
  <c r="BD61" i="17"/>
  <c r="BA64" i="17"/>
  <c r="BD67" i="17"/>
  <c r="BA71" i="17"/>
  <c r="BA77" i="17"/>
  <c r="BO53" i="17"/>
  <c r="BO69" i="17"/>
  <c r="CC49" i="17"/>
  <c r="CC65" i="17"/>
  <c r="CQ45" i="17"/>
  <c r="CQ61" i="17"/>
  <c r="CQ77" i="17"/>
  <c r="AM45" i="17"/>
  <c r="AM47" i="17"/>
  <c r="AM49" i="17"/>
  <c r="AM51" i="17"/>
  <c r="AM53" i="17"/>
  <c r="AO55" i="17"/>
  <c r="AQ57" i="17"/>
  <c r="AH60" i="17"/>
  <c r="AJ62" i="17"/>
  <c r="AL64" i="17"/>
  <c r="AN66" i="17"/>
  <c r="AP68" i="17"/>
  <c r="AG71" i="17"/>
  <c r="AI73" i="17"/>
  <c r="AK75" i="17"/>
  <c r="AM77" i="17"/>
  <c r="AO79" i="17"/>
  <c r="BE45" i="17"/>
  <c r="AV48" i="17"/>
  <c r="AX50" i="17"/>
  <c r="AZ52" i="17"/>
  <c r="BC54" i="17"/>
  <c r="AU57" i="17"/>
  <c r="AZ59" i="17"/>
  <c r="BE61" i="17"/>
  <c r="BB64" i="17"/>
  <c r="BE67" i="17"/>
  <c r="BB71" i="17"/>
  <c r="AV79" i="17"/>
  <c r="BL55" i="17"/>
  <c r="BL71" i="17"/>
  <c r="BZ51" i="17"/>
  <c r="BZ67" i="17"/>
  <c r="CN47" i="17"/>
  <c r="CN63" i="17"/>
  <c r="CN79" i="17"/>
  <c r="AN45" i="17"/>
  <c r="AN47" i="17"/>
  <c r="AN49" i="17"/>
  <c r="AN51" i="17"/>
  <c r="AN53" i="17"/>
  <c r="AP55" i="17"/>
  <c r="AF58" i="17"/>
  <c r="AI60" i="17"/>
  <c r="AK62" i="17"/>
  <c r="AM64" i="17"/>
  <c r="AO66" i="17"/>
  <c r="AF69" i="17"/>
  <c r="AH71" i="17"/>
  <c r="AJ73" i="17"/>
  <c r="AL75" i="17"/>
  <c r="AN77" i="17"/>
  <c r="AP79" i="17"/>
  <c r="AT46" i="17"/>
  <c r="AW48" i="17"/>
  <c r="AY50" i="17"/>
  <c r="BA52" i="17"/>
  <c r="BD54" i="17"/>
  <c r="AV57" i="17"/>
  <c r="BA59" i="17"/>
  <c r="AT62" i="17"/>
  <c r="AT65" i="17"/>
  <c r="AT68" i="17"/>
  <c r="BD71" i="17"/>
  <c r="AX79" i="17"/>
  <c r="BN55" i="17"/>
  <c r="BN71" i="17"/>
  <c r="CB51" i="17"/>
  <c r="CB67" i="17"/>
  <c r="CP47" i="17"/>
  <c r="CP63" i="17"/>
  <c r="CP79" i="17"/>
  <c r="AO45" i="17"/>
  <c r="AO47" i="17"/>
  <c r="AO49" i="17"/>
  <c r="AO51" i="17"/>
  <c r="AO53" i="17"/>
  <c r="AQ55" i="17"/>
  <c r="AH58" i="17"/>
  <c r="AJ60" i="17"/>
  <c r="AL62" i="17"/>
  <c r="AN64" i="17"/>
  <c r="AP66" i="17"/>
  <c r="AG69" i="17"/>
  <c r="AI71" i="17"/>
  <c r="AK73" i="17"/>
  <c r="AM75" i="17"/>
  <c r="AO77" i="17"/>
  <c r="AQ79" i="17"/>
  <c r="AV46" i="17"/>
  <c r="AX48" i="17"/>
  <c r="AZ50" i="17"/>
  <c r="BB52" i="17"/>
  <c r="AT55" i="17"/>
  <c r="AX57" i="17"/>
  <c r="BB59" i="17"/>
  <c r="AV62" i="17"/>
  <c r="AU65" i="17"/>
  <c r="AV68" i="17"/>
  <c r="BE71" i="17"/>
  <c r="AZ79" i="17"/>
  <c r="BO55" i="17"/>
  <c r="BO71" i="17"/>
  <c r="CC51" i="17"/>
  <c r="CC67" i="17"/>
  <c r="CQ47" i="17"/>
  <c r="CQ63" i="17"/>
  <c r="CQ79" i="17"/>
  <c r="AP45" i="17"/>
  <c r="AP47" i="17"/>
  <c r="AP49" i="17"/>
  <c r="AP51" i="17"/>
  <c r="AP53" i="17"/>
  <c r="AF56" i="17"/>
  <c r="AI58" i="17"/>
  <c r="AK60" i="17"/>
  <c r="AM62" i="17"/>
  <c r="AO64" i="17"/>
  <c r="AF67" i="17"/>
  <c r="AH69" i="17"/>
  <c r="AJ71" i="17"/>
  <c r="AL73" i="17"/>
  <c r="AN75" i="17"/>
  <c r="AP77" i="17"/>
  <c r="AT44" i="17"/>
  <c r="AW46" i="17"/>
  <c r="AY48" i="17"/>
  <c r="BA50" i="17"/>
  <c r="BC52" i="17"/>
  <c r="AU55" i="17"/>
  <c r="AY57" i="17"/>
  <c r="BC59" i="17"/>
  <c r="AW62" i="17"/>
  <c r="AV65" i="17"/>
  <c r="AW68" i="17"/>
  <c r="AT72" i="17"/>
  <c r="BA79" i="17"/>
  <c r="BL57" i="17"/>
  <c r="BL73" i="17"/>
  <c r="BZ53" i="17"/>
  <c r="BZ69" i="17"/>
  <c r="CN49" i="17"/>
  <c r="CN65" i="17"/>
  <c r="AQ45" i="17"/>
  <c r="AQ47" i="17"/>
  <c r="AQ49" i="17"/>
  <c r="AQ51" i="17"/>
  <c r="AQ53" i="17"/>
  <c r="AH56" i="17"/>
  <c r="AJ58" i="17"/>
  <c r="AL60" i="17"/>
  <c r="AN62" i="17"/>
  <c r="AP64" i="17"/>
  <c r="AG67" i="17"/>
  <c r="AI69" i="17"/>
  <c r="AK71" i="17"/>
  <c r="AM73" i="17"/>
  <c r="AO75" i="17"/>
  <c r="AQ77" i="17"/>
  <c r="AV44" i="17"/>
  <c r="AX46" i="17"/>
  <c r="AZ48" i="17"/>
  <c r="BB50" i="17"/>
  <c r="BD52" i="17"/>
  <c r="AV55" i="17"/>
  <c r="AZ57" i="17"/>
  <c r="BD59" i="17"/>
  <c r="AX62" i="17"/>
  <c r="AX65" i="17"/>
  <c r="AX68" i="17"/>
  <c r="AV72" i="17"/>
  <c r="BJ45" i="17"/>
  <c r="BN57" i="17"/>
  <c r="BN73" i="17"/>
  <c r="CB53" i="17"/>
  <c r="CB69" i="17"/>
  <c r="CP49" i="17"/>
  <c r="CP65" i="17"/>
  <c r="AF44" i="17"/>
  <c r="AF46" i="17"/>
  <c r="AF48" i="17"/>
  <c r="AF50" i="17"/>
  <c r="AF52" i="17"/>
  <c r="AF54" i="17"/>
  <c r="AI56" i="17"/>
  <c r="AK58" i="17"/>
  <c r="AM60" i="17"/>
  <c r="AO62" i="17"/>
  <c r="AF65" i="17"/>
  <c r="AH67" i="17"/>
  <c r="AJ69" i="17"/>
  <c r="AL71" i="17"/>
  <c r="AN73" i="17"/>
  <c r="AP75" i="17"/>
  <c r="AF78" i="17"/>
  <c r="AW44" i="17"/>
  <c r="AY46" i="17"/>
  <c r="BA48" i="17"/>
  <c r="BC50" i="17"/>
  <c r="AT53" i="17"/>
  <c r="AX55" i="17"/>
  <c r="BA57" i="17"/>
  <c r="BE59" i="17"/>
  <c r="AY62" i="17"/>
  <c r="AZ65" i="17"/>
  <c r="AY68" i="17"/>
  <c r="AW72" i="17"/>
  <c r="BL45" i="17"/>
  <c r="BO57" i="17"/>
  <c r="BO73" i="17"/>
  <c r="CC53" i="17"/>
  <c r="CC69" i="17"/>
  <c r="CQ49" i="17"/>
  <c r="CQ65" i="17"/>
  <c r="AG44" i="17"/>
  <c r="AG46" i="17"/>
  <c r="AG48" i="17"/>
  <c r="AG50" i="17"/>
  <c r="AG52" i="17"/>
  <c r="AH54" i="17"/>
  <c r="AJ56" i="17"/>
  <c r="AL58" i="17"/>
  <c r="AN60" i="17"/>
  <c r="AP62" i="17"/>
  <c r="AG65" i="17"/>
  <c r="AI67" i="17"/>
  <c r="AK69" i="17"/>
  <c r="AM71" i="17"/>
  <c r="AO73" i="17"/>
  <c r="AQ75" i="17"/>
  <c r="AH78" i="17"/>
  <c r="AX44" i="17"/>
  <c r="AZ46" i="17"/>
  <c r="BB48" i="17"/>
  <c r="BD50" i="17"/>
  <c r="AU53" i="17"/>
  <c r="AY55" i="17"/>
  <c r="BB57" i="17"/>
  <c r="AT60" i="17"/>
  <c r="BA62" i="17"/>
  <c r="BA65" i="17"/>
  <c r="BA68" i="17"/>
  <c r="AU73" i="17"/>
  <c r="BN45" i="17"/>
  <c r="BL59" i="17"/>
  <c r="BL75" i="17"/>
  <c r="BZ55" i="17"/>
  <c r="BZ71" i="17"/>
  <c r="CN51" i="17"/>
  <c r="CN67" i="17"/>
  <c r="AH44" i="17"/>
  <c r="AH46" i="17"/>
  <c r="AH48" i="17"/>
  <c r="AH50" i="17"/>
  <c r="AH52" i="17"/>
  <c r="AI54" i="17"/>
  <c r="AK56" i="17"/>
  <c r="AM58" i="17"/>
  <c r="AO60" i="17"/>
  <c r="AF63" i="17"/>
  <c r="AH65" i="17"/>
  <c r="AJ67" i="17"/>
  <c r="AL69" i="17"/>
  <c r="AN71" i="17"/>
  <c r="AP73" i="17"/>
  <c r="AF76" i="17"/>
  <c r="AI78" i="17"/>
  <c r="AY44" i="17"/>
  <c r="BA46" i="17"/>
  <c r="BC48" i="17"/>
  <c r="AT51" i="17"/>
  <c r="AV53" i="17"/>
  <c r="AZ55" i="17"/>
  <c r="BC57" i="17"/>
  <c r="AV60" i="17"/>
  <c r="BB62" i="17"/>
  <c r="BB65" i="17"/>
  <c r="BB68" i="17"/>
  <c r="AV73" i="17"/>
  <c r="BO45" i="17"/>
  <c r="BN59" i="17"/>
  <c r="BN75" i="17"/>
  <c r="CB55" i="17"/>
  <c r="CB71" i="17"/>
  <c r="CP51" i="17"/>
  <c r="CP67" i="17"/>
  <c r="AI44" i="17"/>
  <c r="AI46" i="17"/>
  <c r="AI48" i="17"/>
  <c r="AI50" i="17"/>
  <c r="AI52" i="17"/>
  <c r="AJ54" i="17"/>
  <c r="AL56" i="17"/>
  <c r="AN58" i="17"/>
  <c r="AP60" i="17"/>
  <c r="AG63" i="17"/>
  <c r="AI65" i="17"/>
  <c r="AK67" i="17"/>
  <c r="AM69" i="17"/>
  <c r="AO71" i="17"/>
  <c r="AQ73" i="17"/>
  <c r="AH76" i="17"/>
  <c r="AJ78" i="17"/>
  <c r="AZ44" i="17"/>
  <c r="BB46" i="17"/>
  <c r="BD48" i="17"/>
  <c r="AU51" i="17"/>
  <c r="AX53" i="17"/>
  <c r="BA55" i="17"/>
  <c r="BD57" i="17"/>
  <c r="AW60" i="17"/>
  <c r="BC62" i="17"/>
  <c r="BD65" i="17"/>
  <c r="AU69" i="17"/>
  <c r="AX73" i="17"/>
  <c r="BJ47" i="17"/>
  <c r="BO59" i="17"/>
  <c r="BO75" i="17"/>
  <c r="CC55" i="17"/>
  <c r="CC71" i="17"/>
  <c r="CQ51" i="17"/>
  <c r="CQ67" i="17"/>
  <c r="AJ44" i="17"/>
  <c r="AJ46" i="17"/>
  <c r="AJ48" i="17"/>
  <c r="AJ50" i="17"/>
  <c r="AJ52" i="17"/>
  <c r="AK54" i="17"/>
  <c r="AM56" i="17"/>
  <c r="AO58" i="17"/>
  <c r="AF61" i="17"/>
  <c r="AH63" i="17"/>
  <c r="AJ65" i="17"/>
  <c r="AL67" i="17"/>
  <c r="AN69" i="17"/>
  <c r="AP71" i="17"/>
  <c r="AF74" i="17"/>
  <c r="AI76" i="17"/>
  <c r="AK78" i="17"/>
  <c r="BA44" i="17"/>
  <c r="BC46" i="17"/>
  <c r="AT49" i="17"/>
  <c r="AV51" i="17"/>
  <c r="AY53" i="17"/>
  <c r="BB55" i="17"/>
  <c r="BE57" i="17"/>
  <c r="AX60" i="17"/>
  <c r="AT63" i="17"/>
  <c r="BE65" i="17"/>
  <c r="AV69" i="17"/>
  <c r="AZ73" i="17"/>
  <c r="BL47" i="17"/>
  <c r="BL61" i="17"/>
  <c r="BL77" i="17"/>
  <c r="BZ57" i="17"/>
  <c r="BZ73" i="17"/>
  <c r="CN53" i="17"/>
  <c r="CL79" i="17"/>
  <c r="CL77" i="17"/>
  <c r="CL75" i="17"/>
  <c r="CL73" i="17"/>
  <c r="CL71" i="17"/>
  <c r="CL69" i="17"/>
  <c r="CL67" i="17"/>
  <c r="CL65" i="17"/>
  <c r="CL63" i="17"/>
  <c r="CL61" i="17"/>
  <c r="CL59" i="17"/>
  <c r="CL57" i="17"/>
  <c r="CL55" i="17"/>
  <c r="CL53" i="17"/>
  <c r="CL51" i="17"/>
  <c r="CL49" i="17"/>
  <c r="CL47" i="17"/>
  <c r="CL45" i="17"/>
  <c r="BX79" i="17"/>
  <c r="BX77" i="17"/>
  <c r="BX75" i="17"/>
  <c r="BX73" i="17"/>
  <c r="BX71" i="17"/>
  <c r="BX69" i="17"/>
  <c r="BX67" i="17"/>
  <c r="BX65" i="17"/>
  <c r="BX63" i="17"/>
  <c r="BX61" i="17"/>
  <c r="BX59" i="17"/>
  <c r="BX57" i="17"/>
  <c r="BX55" i="17"/>
  <c r="BX53" i="17"/>
  <c r="BX51" i="17"/>
  <c r="BX49" i="17"/>
  <c r="BX47" i="17"/>
  <c r="BX45" i="17"/>
  <c r="BJ79" i="17"/>
  <c r="BJ77" i="17"/>
  <c r="BJ75" i="17"/>
  <c r="BJ73" i="17"/>
  <c r="BJ71" i="17"/>
  <c r="BJ69" i="17"/>
  <c r="BJ67" i="17"/>
  <c r="BJ65" i="17"/>
  <c r="BJ63" i="17"/>
  <c r="BJ61" i="17"/>
  <c r="BJ59" i="17"/>
  <c r="BJ57" i="17"/>
  <c r="BJ55" i="17"/>
  <c r="CK79" i="17"/>
  <c r="CK77" i="17"/>
  <c r="CK75" i="17"/>
  <c r="CK73" i="17"/>
  <c r="CK71" i="17"/>
  <c r="CK69" i="17"/>
  <c r="CK67" i="17"/>
  <c r="CK65" i="17"/>
  <c r="CK63" i="17"/>
  <c r="CK61" i="17"/>
  <c r="CK59" i="17"/>
  <c r="CK57" i="17"/>
  <c r="CK55" i="17"/>
  <c r="CK53" i="17"/>
  <c r="CK51" i="17"/>
  <c r="CK49" i="17"/>
  <c r="CK47" i="17"/>
  <c r="CK45" i="17"/>
  <c r="BW79" i="17"/>
  <c r="BW77" i="17"/>
  <c r="BW75" i="17"/>
  <c r="BW73" i="17"/>
  <c r="BW71" i="17"/>
  <c r="BW69" i="17"/>
  <c r="BW67" i="17"/>
  <c r="BW65" i="17"/>
  <c r="BW63" i="17"/>
  <c r="BW61" i="17"/>
  <c r="BW59" i="17"/>
  <c r="BW57" i="17"/>
  <c r="BW55" i="17"/>
  <c r="BW53" i="17"/>
  <c r="BW51" i="17"/>
  <c r="BW49" i="17"/>
  <c r="BW47" i="17"/>
  <c r="BW45" i="17"/>
  <c r="BI79" i="17"/>
  <c r="BI77" i="17"/>
  <c r="BI75" i="17"/>
  <c r="BI73" i="17"/>
  <c r="BI71" i="17"/>
  <c r="BI69" i="17"/>
  <c r="BI67" i="17"/>
  <c r="BI65" i="17"/>
  <c r="BI63" i="17"/>
  <c r="BI61" i="17"/>
  <c r="BI59" i="17"/>
  <c r="BI57" i="17"/>
  <c r="BI55" i="17"/>
  <c r="BI53" i="17"/>
  <c r="BI51" i="17"/>
  <c r="BI49" i="17"/>
  <c r="BI47" i="17"/>
  <c r="BI45" i="17"/>
  <c r="AU79" i="17"/>
  <c r="AU77" i="17"/>
  <c r="AU75" i="17"/>
  <c r="CJ79" i="17"/>
  <c r="CJ77" i="17"/>
  <c r="CJ75" i="17"/>
  <c r="CJ73" i="17"/>
  <c r="CJ71" i="17"/>
  <c r="CJ69" i="17"/>
  <c r="CJ67" i="17"/>
  <c r="CJ65" i="17"/>
  <c r="CJ63" i="17"/>
  <c r="CJ61" i="17"/>
  <c r="CJ59" i="17"/>
  <c r="CJ57" i="17"/>
  <c r="CJ55" i="17"/>
  <c r="CJ53" i="17"/>
  <c r="CJ51" i="17"/>
  <c r="CJ49" i="17"/>
  <c r="CJ47" i="17"/>
  <c r="CJ45" i="17"/>
  <c r="BV79" i="17"/>
  <c r="BV77" i="17"/>
  <c r="BV75" i="17"/>
  <c r="BV73" i="17"/>
  <c r="BV71" i="17"/>
  <c r="BV69" i="17"/>
  <c r="BV67" i="17"/>
  <c r="BV65" i="17"/>
  <c r="BV63" i="17"/>
  <c r="BV61" i="17"/>
  <c r="BV59" i="17"/>
  <c r="BV57" i="17"/>
  <c r="BV55" i="17"/>
  <c r="BV53" i="17"/>
  <c r="BV51" i="17"/>
  <c r="BV49" i="17"/>
  <c r="BV47" i="17"/>
  <c r="BV45" i="17"/>
  <c r="BH79" i="17"/>
  <c r="BH77" i="17"/>
  <c r="BH75" i="17"/>
  <c r="BH73" i="17"/>
  <c r="BH71" i="17"/>
  <c r="BH69" i="17"/>
  <c r="BH67" i="17"/>
  <c r="BH65" i="17"/>
  <c r="BH63" i="17"/>
  <c r="BH61" i="17"/>
  <c r="BH59" i="17"/>
  <c r="BH57" i="17"/>
  <c r="BH55" i="17"/>
  <c r="BH53" i="17"/>
  <c r="BH51" i="17"/>
  <c r="BH49" i="17"/>
  <c r="BH47" i="17"/>
  <c r="BH45" i="17"/>
  <c r="AT79" i="17"/>
  <c r="AT77" i="17"/>
  <c r="AT75" i="17"/>
  <c r="AT73" i="17"/>
  <c r="AT71" i="17"/>
  <c r="AT69" i="17"/>
  <c r="AT67" i="17"/>
  <c r="CU78" i="17"/>
  <c r="CU76" i="17"/>
  <c r="CU74" i="17"/>
  <c r="CU72" i="17"/>
  <c r="CU70" i="17"/>
  <c r="CU68" i="17"/>
  <c r="CU66" i="17"/>
  <c r="CU64" i="17"/>
  <c r="CU62" i="17"/>
  <c r="CU60" i="17"/>
  <c r="CU58" i="17"/>
  <c r="CU56" i="17"/>
  <c r="CU54" i="17"/>
  <c r="CU52" i="17"/>
  <c r="CU50" i="17"/>
  <c r="CU48" i="17"/>
  <c r="CU46" i="17"/>
  <c r="CU44" i="17"/>
  <c r="CG78" i="17"/>
  <c r="CG76" i="17"/>
  <c r="CG74" i="17"/>
  <c r="CG72" i="17"/>
  <c r="CG70" i="17"/>
  <c r="CG68" i="17"/>
  <c r="CG66" i="17"/>
  <c r="CG64" i="17"/>
  <c r="CG62" i="17"/>
  <c r="CG60" i="17"/>
  <c r="CG58" i="17"/>
  <c r="CG56" i="17"/>
  <c r="CG54" i="17"/>
  <c r="CG52" i="17"/>
  <c r="CG50" i="17"/>
  <c r="CG48" i="17"/>
  <c r="CG46" i="17"/>
  <c r="CG44" i="17"/>
  <c r="BS78" i="17"/>
  <c r="BS76" i="17"/>
  <c r="BS74" i="17"/>
  <c r="BS72" i="17"/>
  <c r="BS70" i="17"/>
  <c r="BS68" i="17"/>
  <c r="BS66" i="17"/>
  <c r="BS64" i="17"/>
  <c r="BS62" i="17"/>
  <c r="BS60" i="17"/>
  <c r="BS58" i="17"/>
  <c r="BS56" i="17"/>
  <c r="BS54" i="17"/>
  <c r="BS52" i="17"/>
  <c r="BS50" i="17"/>
  <c r="BS48" i="17"/>
  <c r="BS46" i="17"/>
  <c r="BS44" i="17"/>
  <c r="BE78" i="17"/>
  <c r="BE76" i="17"/>
  <c r="BE74" i="17"/>
  <c r="BE72" i="17"/>
  <c r="BE70" i="17"/>
  <c r="BE68" i="17"/>
  <c r="BE66" i="17"/>
  <c r="BE64" i="17"/>
  <c r="BE62" i="17"/>
  <c r="BE60" i="17"/>
  <c r="BE58" i="17"/>
  <c r="BE56" i="17"/>
  <c r="BE54" i="17"/>
  <c r="BE52" i="17"/>
  <c r="BE50" i="17"/>
  <c r="BE48" i="17"/>
  <c r="BE46" i="17"/>
  <c r="BE44" i="17"/>
  <c r="AQ78" i="17"/>
  <c r="AQ76" i="17"/>
  <c r="AQ74" i="17"/>
  <c r="AQ72" i="17"/>
  <c r="AQ70" i="17"/>
  <c r="AQ68" i="17"/>
  <c r="AQ66" i="17"/>
  <c r="AQ64" i="17"/>
  <c r="AQ62" i="17"/>
  <c r="AQ60" i="17"/>
  <c r="AQ58" i="17"/>
  <c r="AQ56" i="17"/>
  <c r="AQ54" i="17"/>
  <c r="CT78" i="17"/>
  <c r="CT76" i="17"/>
  <c r="CT74" i="17"/>
  <c r="CT72" i="17"/>
  <c r="CT70" i="17"/>
  <c r="CT68" i="17"/>
  <c r="CT66" i="17"/>
  <c r="CT64" i="17"/>
  <c r="CT62" i="17"/>
  <c r="CT60" i="17"/>
  <c r="CT58" i="17"/>
  <c r="CT56" i="17"/>
  <c r="CT54" i="17"/>
  <c r="CT52" i="17"/>
  <c r="CT50" i="17"/>
  <c r="CT48" i="17"/>
  <c r="CT46" i="17"/>
  <c r="CT44" i="17"/>
  <c r="CF78" i="17"/>
  <c r="CF76" i="17"/>
  <c r="CF74" i="17"/>
  <c r="CF72" i="17"/>
  <c r="CF70" i="17"/>
  <c r="CF68" i="17"/>
  <c r="CF66" i="17"/>
  <c r="CF64" i="17"/>
  <c r="CF62" i="17"/>
  <c r="CF60" i="17"/>
  <c r="CF58" i="17"/>
  <c r="CF56" i="17"/>
  <c r="CF54" i="17"/>
  <c r="CF52" i="17"/>
  <c r="CF50" i="17"/>
  <c r="CF48" i="17"/>
  <c r="CF46" i="17"/>
  <c r="CF44" i="17"/>
  <c r="BR78" i="17"/>
  <c r="BR76" i="17"/>
  <c r="BR74" i="17"/>
  <c r="BR72" i="17"/>
  <c r="BR70" i="17"/>
  <c r="BR68" i="17"/>
  <c r="BR66" i="17"/>
  <c r="BR64" i="17"/>
  <c r="BR62" i="17"/>
  <c r="BR60" i="17"/>
  <c r="BR58" i="17"/>
  <c r="BR56" i="17"/>
  <c r="BR54" i="17"/>
  <c r="BR52" i="17"/>
  <c r="BR50" i="17"/>
  <c r="BR48" i="17"/>
  <c r="BR46" i="17"/>
  <c r="BR44" i="17"/>
  <c r="BD78" i="17"/>
  <c r="BD76" i="17"/>
  <c r="BD74" i="17"/>
  <c r="BD72" i="17"/>
  <c r="BD70" i="17"/>
  <c r="BD68" i="17"/>
  <c r="BD66" i="17"/>
  <c r="BD64" i="17"/>
  <c r="BD62" i="17"/>
  <c r="CS78" i="17"/>
  <c r="CS76" i="17"/>
  <c r="CS74" i="17"/>
  <c r="CS72" i="17"/>
  <c r="CS70" i="17"/>
  <c r="CS68" i="17"/>
  <c r="CS66" i="17"/>
  <c r="CS64" i="17"/>
  <c r="CS62" i="17"/>
  <c r="CS60" i="17"/>
  <c r="CS58" i="17"/>
  <c r="CS56" i="17"/>
  <c r="CS54" i="17"/>
  <c r="CS52" i="17"/>
  <c r="CS50" i="17"/>
  <c r="CS48" i="17"/>
  <c r="CS46" i="17"/>
  <c r="CS44" i="17"/>
  <c r="CE78" i="17"/>
  <c r="CE76" i="17"/>
  <c r="CE74" i="17"/>
  <c r="CE72" i="17"/>
  <c r="CE70" i="17"/>
  <c r="CE68" i="17"/>
  <c r="CE66" i="17"/>
  <c r="CE64" i="17"/>
  <c r="CE62" i="17"/>
  <c r="CE60" i="17"/>
  <c r="CE58" i="17"/>
  <c r="CE56" i="17"/>
  <c r="CE54" i="17"/>
  <c r="CE52" i="17"/>
  <c r="CE50" i="17"/>
  <c r="CE48" i="17"/>
  <c r="CE46" i="17"/>
  <c r="CE44" i="17"/>
  <c r="BQ78" i="17"/>
  <c r="BQ76" i="17"/>
  <c r="BQ74" i="17"/>
  <c r="BQ72" i="17"/>
  <c r="BQ70" i="17"/>
  <c r="BQ68" i="17"/>
  <c r="BQ66" i="17"/>
  <c r="BQ64" i="17"/>
  <c r="BQ62" i="17"/>
  <c r="BQ60" i="17"/>
  <c r="BQ58" i="17"/>
  <c r="BQ56" i="17"/>
  <c r="BQ54" i="17"/>
  <c r="BQ52" i="17"/>
  <c r="BQ50" i="17"/>
  <c r="BQ48" i="17"/>
  <c r="BQ46" i="17"/>
  <c r="BQ44" i="17"/>
  <c r="BC78" i="17"/>
  <c r="BC76" i="17"/>
  <c r="BC74" i="17"/>
  <c r="BC72" i="17"/>
  <c r="BC70" i="17"/>
  <c r="BC68" i="17"/>
  <c r="BC66" i="17"/>
  <c r="BC64" i="17"/>
  <c r="CR78" i="17"/>
  <c r="CR76" i="17"/>
  <c r="CR74" i="17"/>
  <c r="CR72" i="17"/>
  <c r="CR70" i="17"/>
  <c r="CR68" i="17"/>
  <c r="CR66" i="17"/>
  <c r="CR64" i="17"/>
  <c r="CR62" i="17"/>
  <c r="CR60" i="17"/>
  <c r="CR58" i="17"/>
  <c r="CR56" i="17"/>
  <c r="CR54" i="17"/>
  <c r="CR52" i="17"/>
  <c r="CR50" i="17"/>
  <c r="CR48" i="17"/>
  <c r="CR46" i="17"/>
  <c r="CR44" i="17"/>
  <c r="CD78" i="17"/>
  <c r="CD76" i="17"/>
  <c r="CD74" i="17"/>
  <c r="CD72" i="17"/>
  <c r="CD70" i="17"/>
  <c r="CD68" i="17"/>
  <c r="CD66" i="17"/>
  <c r="CD64" i="17"/>
  <c r="CD62" i="17"/>
  <c r="CD60" i="17"/>
  <c r="CD58" i="17"/>
  <c r="CD56" i="17"/>
  <c r="CD54" i="17"/>
  <c r="CD52" i="17"/>
  <c r="CD50" i="17"/>
  <c r="CD48" i="17"/>
  <c r="CD46" i="17"/>
  <c r="CD44" i="17"/>
  <c r="BP78" i="17"/>
  <c r="BP76" i="17"/>
  <c r="BP74" i="17"/>
  <c r="BP72" i="17"/>
  <c r="BP70" i="17"/>
  <c r="BP68" i="17"/>
  <c r="BP66" i="17"/>
  <c r="BP64" i="17"/>
  <c r="BP62" i="17"/>
  <c r="BP60" i="17"/>
  <c r="BP58" i="17"/>
  <c r="BP56" i="17"/>
  <c r="BP54" i="17"/>
  <c r="BP52" i="17"/>
  <c r="BP50" i="17"/>
  <c r="BP48" i="17"/>
  <c r="BP46" i="17"/>
  <c r="BP44" i="17"/>
  <c r="BB78" i="17"/>
  <c r="BB76" i="17"/>
  <c r="BB74" i="17"/>
  <c r="BB72" i="17"/>
  <c r="BB70" i="17"/>
  <c r="CQ78" i="17"/>
  <c r="CQ76" i="17"/>
  <c r="CQ74" i="17"/>
  <c r="CQ72" i="17"/>
  <c r="CQ70" i="17"/>
  <c r="CQ68" i="17"/>
  <c r="CQ66" i="17"/>
  <c r="CQ64" i="17"/>
  <c r="CQ62" i="17"/>
  <c r="CQ60" i="17"/>
  <c r="CQ58" i="17"/>
  <c r="CQ56" i="17"/>
  <c r="CQ54" i="17"/>
  <c r="CQ52" i="17"/>
  <c r="CQ50" i="17"/>
  <c r="CQ48" i="17"/>
  <c r="CQ46" i="17"/>
  <c r="CQ44" i="17"/>
  <c r="CC78" i="17"/>
  <c r="CC76" i="17"/>
  <c r="CC74" i="17"/>
  <c r="CC72" i="17"/>
  <c r="CC70" i="17"/>
  <c r="CC68" i="17"/>
  <c r="CC66" i="17"/>
  <c r="CC64" i="17"/>
  <c r="CC62" i="17"/>
  <c r="CC60" i="17"/>
  <c r="CC58" i="17"/>
  <c r="CC56" i="17"/>
  <c r="CC54" i="17"/>
  <c r="CC52" i="17"/>
  <c r="CC50" i="17"/>
  <c r="CC48" i="17"/>
  <c r="CC46" i="17"/>
  <c r="CC44" i="17"/>
  <c r="BO78" i="17"/>
  <c r="BO76" i="17"/>
  <c r="BO74" i="17"/>
  <c r="BO72" i="17"/>
  <c r="BO70" i="17"/>
  <c r="BO68" i="17"/>
  <c r="BO66" i="17"/>
  <c r="BO64" i="17"/>
  <c r="BO62" i="17"/>
  <c r="BO60" i="17"/>
  <c r="BO58" i="17"/>
  <c r="BO56" i="17"/>
  <c r="BO54" i="17"/>
  <c r="BO52" i="17"/>
  <c r="BO50" i="17"/>
  <c r="BO48" i="17"/>
  <c r="BO46" i="17"/>
  <c r="BO44" i="17"/>
  <c r="BA78" i="17"/>
  <c r="BA76" i="17"/>
  <c r="BA74" i="17"/>
  <c r="BA72" i="17"/>
  <c r="BA70" i="17"/>
  <c r="CP78" i="17"/>
  <c r="CP76" i="17"/>
  <c r="CP74" i="17"/>
  <c r="CP72" i="17"/>
  <c r="CP70" i="17"/>
  <c r="CP68" i="17"/>
  <c r="CP66" i="17"/>
  <c r="CP64" i="17"/>
  <c r="CP62" i="17"/>
  <c r="CP60" i="17"/>
  <c r="CP58" i="17"/>
  <c r="CP56" i="17"/>
  <c r="CP54" i="17"/>
  <c r="CP52" i="17"/>
  <c r="CP50" i="17"/>
  <c r="CP48" i="17"/>
  <c r="CP46" i="17"/>
  <c r="CP44" i="17"/>
  <c r="CB78" i="17"/>
  <c r="CB76" i="17"/>
  <c r="CB74" i="17"/>
  <c r="CB72" i="17"/>
  <c r="CB70" i="17"/>
  <c r="CB68" i="17"/>
  <c r="CB66" i="17"/>
  <c r="CB64" i="17"/>
  <c r="CB62" i="17"/>
  <c r="CB60" i="17"/>
  <c r="CB58" i="17"/>
  <c r="CB56" i="17"/>
  <c r="CB54" i="17"/>
  <c r="CB52" i="17"/>
  <c r="CB50" i="17"/>
  <c r="CB48" i="17"/>
  <c r="CB46" i="17"/>
  <c r="CB44" i="17"/>
  <c r="BN78" i="17"/>
  <c r="BN76" i="17"/>
  <c r="BN74" i="17"/>
  <c r="BN72" i="17"/>
  <c r="BN70" i="17"/>
  <c r="BN68" i="17"/>
  <c r="BN66" i="17"/>
  <c r="BN64" i="17"/>
  <c r="BN62" i="17"/>
  <c r="BN60" i="17"/>
  <c r="BN58" i="17"/>
  <c r="BN56" i="17"/>
  <c r="BN54" i="17"/>
  <c r="BN52" i="17"/>
  <c r="BN50" i="17"/>
  <c r="BN48" i="17"/>
  <c r="BN46" i="17"/>
  <c r="BN44" i="17"/>
  <c r="AZ78" i="17"/>
  <c r="AZ76" i="17"/>
  <c r="AZ74" i="17"/>
  <c r="AZ72" i="17"/>
  <c r="AZ70" i="17"/>
  <c r="AZ68" i="17"/>
  <c r="AZ66" i="17"/>
  <c r="AZ64" i="17"/>
  <c r="AZ62" i="17"/>
  <c r="AZ60" i="17"/>
  <c r="CO78" i="17"/>
  <c r="CO76" i="17"/>
  <c r="CO74" i="17"/>
  <c r="CO72" i="17"/>
  <c r="CO70" i="17"/>
  <c r="CO68" i="17"/>
  <c r="CO66" i="17"/>
  <c r="CO64" i="17"/>
  <c r="CO62" i="17"/>
  <c r="CO60" i="17"/>
  <c r="CO58" i="17"/>
  <c r="CO56" i="17"/>
  <c r="CO54" i="17"/>
  <c r="CO52" i="17"/>
  <c r="CO50" i="17"/>
  <c r="CO48" i="17"/>
  <c r="CO46" i="17"/>
  <c r="CO44" i="17"/>
  <c r="CA78" i="17"/>
  <c r="CA76" i="17"/>
  <c r="CA74" i="17"/>
  <c r="CA72" i="17"/>
  <c r="CA70" i="17"/>
  <c r="CA68" i="17"/>
  <c r="CA66" i="17"/>
  <c r="CA64" i="17"/>
  <c r="CA62" i="17"/>
  <c r="CA60" i="17"/>
  <c r="CA58" i="17"/>
  <c r="CA56" i="17"/>
  <c r="CA54" i="17"/>
  <c r="CA52" i="17"/>
  <c r="CA50" i="17"/>
  <c r="CA48" i="17"/>
  <c r="CA46" i="17"/>
  <c r="CA44" i="17"/>
  <c r="BM78" i="17"/>
  <c r="BM76" i="17"/>
  <c r="BM74" i="17"/>
  <c r="BM72" i="17"/>
  <c r="BM70" i="17"/>
  <c r="BM68" i="17"/>
  <c r="BM66" i="17"/>
  <c r="BM64" i="17"/>
  <c r="BM62" i="17"/>
  <c r="BM60" i="17"/>
  <c r="BM58" i="17"/>
  <c r="BM56" i="17"/>
  <c r="BM54" i="17"/>
  <c r="BM52" i="17"/>
  <c r="BM50" i="17"/>
  <c r="BM48" i="17"/>
  <c r="BM46" i="17"/>
  <c r="BM44" i="17"/>
  <c r="AY78" i="17"/>
  <c r="AY76" i="17"/>
  <c r="AY74" i="17"/>
  <c r="AY72" i="17"/>
  <c r="AY70" i="17"/>
  <c r="CN78" i="17"/>
  <c r="CN76" i="17"/>
  <c r="CN74" i="17"/>
  <c r="CN72" i="17"/>
  <c r="CN70" i="17"/>
  <c r="CN68" i="17"/>
  <c r="CN66" i="17"/>
  <c r="CN64" i="17"/>
  <c r="CN62" i="17"/>
  <c r="CN60" i="17"/>
  <c r="CN58" i="17"/>
  <c r="CN56" i="17"/>
  <c r="CN54" i="17"/>
  <c r="CN52" i="17"/>
  <c r="CN50" i="17"/>
  <c r="CN48" i="17"/>
  <c r="CN46" i="17"/>
  <c r="CN44" i="17"/>
  <c r="BZ78" i="17"/>
  <c r="BZ76" i="17"/>
  <c r="BZ74" i="17"/>
  <c r="BZ72" i="17"/>
  <c r="BZ70" i="17"/>
  <c r="BZ68" i="17"/>
  <c r="BZ66" i="17"/>
  <c r="BZ64" i="17"/>
  <c r="BZ62" i="17"/>
  <c r="BZ60" i="17"/>
  <c r="BZ58" i="17"/>
  <c r="BZ56" i="17"/>
  <c r="BZ54" i="17"/>
  <c r="BZ52" i="17"/>
  <c r="BZ50" i="17"/>
  <c r="BZ48" i="17"/>
  <c r="BZ46" i="17"/>
  <c r="BZ44" i="17"/>
  <c r="BL78" i="17"/>
  <c r="BL76" i="17"/>
  <c r="BL74" i="17"/>
  <c r="BL72" i="17"/>
  <c r="BL70" i="17"/>
  <c r="BL68" i="17"/>
  <c r="BL66" i="17"/>
  <c r="BL64" i="17"/>
  <c r="BL62" i="17"/>
  <c r="BL60" i="17"/>
  <c r="BL58" i="17"/>
  <c r="BL56" i="17"/>
  <c r="BL54" i="17"/>
  <c r="BL52" i="17"/>
  <c r="BL50" i="17"/>
  <c r="BL48" i="17"/>
  <c r="BL46" i="17"/>
  <c r="BL44" i="17"/>
  <c r="AX78" i="17"/>
  <c r="AX76" i="17"/>
  <c r="AX74" i="17"/>
  <c r="AX72" i="17"/>
  <c r="AX70" i="17"/>
  <c r="CM78" i="17"/>
  <c r="CM76" i="17"/>
  <c r="CM74" i="17"/>
  <c r="CM72" i="17"/>
  <c r="CM70" i="17"/>
  <c r="CM68" i="17"/>
  <c r="CM66" i="17"/>
  <c r="CM64" i="17"/>
  <c r="CM62" i="17"/>
  <c r="CM60" i="17"/>
  <c r="CM58" i="17"/>
  <c r="CM56" i="17"/>
  <c r="CM54" i="17"/>
  <c r="CM52" i="17"/>
  <c r="CM50" i="17"/>
  <c r="CM48" i="17"/>
  <c r="CM46" i="17"/>
  <c r="CM44" i="17"/>
  <c r="BY78" i="17"/>
  <c r="BY76" i="17"/>
  <c r="BY74" i="17"/>
  <c r="BY72" i="17"/>
  <c r="BY70" i="17"/>
  <c r="BY68" i="17"/>
  <c r="BY66" i="17"/>
  <c r="BY64" i="17"/>
  <c r="BY62" i="17"/>
  <c r="BY60" i="17"/>
  <c r="BY58" i="17"/>
  <c r="BY56" i="17"/>
  <c r="BY54" i="17"/>
  <c r="BY52" i="17"/>
  <c r="BY50" i="17"/>
  <c r="BY48" i="17"/>
  <c r="BY46" i="17"/>
  <c r="BY44" i="17"/>
  <c r="BK78" i="17"/>
  <c r="BK76" i="17"/>
  <c r="BK74" i="17"/>
  <c r="BK72" i="17"/>
  <c r="BK70" i="17"/>
  <c r="BK68" i="17"/>
  <c r="BK66" i="17"/>
  <c r="BK64" i="17"/>
  <c r="BK62" i="17"/>
  <c r="BK60" i="17"/>
  <c r="BK58" i="17"/>
  <c r="BK56" i="17"/>
  <c r="BK54" i="17"/>
  <c r="BK52" i="17"/>
  <c r="BK50" i="17"/>
  <c r="BK48" i="17"/>
  <c r="BK46" i="17"/>
  <c r="BK44" i="17"/>
  <c r="AW78" i="17"/>
  <c r="AW76" i="17"/>
  <c r="AW74" i="17"/>
  <c r="CL78" i="17"/>
  <c r="CL76" i="17"/>
  <c r="CL74" i="17"/>
  <c r="CL72" i="17"/>
  <c r="CL70" i="17"/>
  <c r="CL68" i="17"/>
  <c r="CL66" i="17"/>
  <c r="CL64" i="17"/>
  <c r="CL62" i="17"/>
  <c r="CL60" i="17"/>
  <c r="CL58" i="17"/>
  <c r="CL56" i="17"/>
  <c r="CL54" i="17"/>
  <c r="CL52" i="17"/>
  <c r="CL50" i="17"/>
  <c r="CL48" i="17"/>
  <c r="CL46" i="17"/>
  <c r="CL44" i="17"/>
  <c r="BX78" i="17"/>
  <c r="BX76" i="17"/>
  <c r="BX74" i="17"/>
  <c r="BX72" i="17"/>
  <c r="BX70" i="17"/>
  <c r="BX68" i="17"/>
  <c r="BX66" i="17"/>
  <c r="BX64" i="17"/>
  <c r="BX62" i="17"/>
  <c r="BX60" i="17"/>
  <c r="BX58" i="17"/>
  <c r="BX56" i="17"/>
  <c r="BX54" i="17"/>
  <c r="BX52" i="17"/>
  <c r="BX50" i="17"/>
  <c r="BX48" i="17"/>
  <c r="BX46" i="17"/>
  <c r="BX44" i="17"/>
  <c r="BJ78" i="17"/>
  <c r="BJ76" i="17"/>
  <c r="BJ74" i="17"/>
  <c r="BJ72" i="17"/>
  <c r="BJ70" i="17"/>
  <c r="BJ68" i="17"/>
  <c r="BJ66" i="17"/>
  <c r="BJ64" i="17"/>
  <c r="BJ62" i="17"/>
  <c r="BJ60" i="17"/>
  <c r="BJ58" i="17"/>
  <c r="BJ56" i="17"/>
  <c r="BJ54" i="17"/>
  <c r="BJ52" i="17"/>
  <c r="BJ50" i="17"/>
  <c r="BJ48" i="17"/>
  <c r="BJ46" i="17"/>
  <c r="BJ44" i="17"/>
  <c r="AV78" i="17"/>
  <c r="CK78" i="17"/>
  <c r="CK76" i="17"/>
  <c r="CK74" i="17"/>
  <c r="CK72" i="17"/>
  <c r="CK70" i="17"/>
  <c r="CK68" i="17"/>
  <c r="CK66" i="17"/>
  <c r="CK64" i="17"/>
  <c r="CK62" i="17"/>
  <c r="CK60" i="17"/>
  <c r="CK58" i="17"/>
  <c r="CK56" i="17"/>
  <c r="CK54" i="17"/>
  <c r="CK52" i="17"/>
  <c r="CK50" i="17"/>
  <c r="CK48" i="17"/>
  <c r="CK46" i="17"/>
  <c r="CK44" i="17"/>
  <c r="BW78" i="17"/>
  <c r="BW76" i="17"/>
  <c r="BW74" i="17"/>
  <c r="BW72" i="17"/>
  <c r="BW70" i="17"/>
  <c r="BW68" i="17"/>
  <c r="BW66" i="17"/>
  <c r="BW64" i="17"/>
  <c r="BW62" i="17"/>
  <c r="BW60" i="17"/>
  <c r="BW58" i="17"/>
  <c r="BW56" i="17"/>
  <c r="BW54" i="17"/>
  <c r="BW52" i="17"/>
  <c r="BW50" i="17"/>
  <c r="BW48" i="17"/>
  <c r="BW46" i="17"/>
  <c r="BW44" i="17"/>
  <c r="BI78" i="17"/>
  <c r="BI76" i="17"/>
  <c r="BI74" i="17"/>
  <c r="BI72" i="17"/>
  <c r="BI70" i="17"/>
  <c r="BI68" i="17"/>
  <c r="BI66" i="17"/>
  <c r="BI64" i="17"/>
  <c r="BI62" i="17"/>
  <c r="BI60" i="17"/>
  <c r="BI58" i="17"/>
  <c r="BI56" i="17"/>
  <c r="BI54" i="17"/>
  <c r="BI52" i="17"/>
  <c r="BI50" i="17"/>
  <c r="BI48" i="17"/>
  <c r="BI46" i="17"/>
  <c r="BI44" i="17"/>
  <c r="AU78" i="17"/>
  <c r="AU76" i="17"/>
  <c r="AU74" i="17"/>
  <c r="AU72" i="17"/>
  <c r="AU70" i="17"/>
  <c r="AU68" i="17"/>
  <c r="AU66" i="17"/>
  <c r="AU64" i="17"/>
  <c r="AU62" i="17"/>
  <c r="AU60" i="17"/>
  <c r="AU58" i="17"/>
  <c r="AU56" i="17"/>
  <c r="AU54" i="17"/>
  <c r="AU52" i="17"/>
  <c r="AU50" i="17"/>
  <c r="AU48" i="17"/>
  <c r="AU46" i="17"/>
  <c r="AU44" i="17"/>
  <c r="AG78" i="17"/>
  <c r="AG76" i="17"/>
  <c r="AG74" i="17"/>
  <c r="AG72" i="17"/>
  <c r="AG70" i="17"/>
  <c r="AG68" i="17"/>
  <c r="AG66" i="17"/>
  <c r="AG64" i="17"/>
  <c r="AG62" i="17"/>
  <c r="AG60" i="17"/>
  <c r="AG58" i="17"/>
  <c r="AG56" i="17"/>
  <c r="AG54" i="17"/>
  <c r="CJ78" i="17"/>
  <c r="CJ76" i="17"/>
  <c r="CJ74" i="17"/>
  <c r="CJ72" i="17"/>
  <c r="CJ70" i="17"/>
  <c r="CJ68" i="17"/>
  <c r="CJ66" i="17"/>
  <c r="CJ64" i="17"/>
  <c r="CJ62" i="17"/>
  <c r="CJ60" i="17"/>
  <c r="CJ58" i="17"/>
  <c r="CJ56" i="17"/>
  <c r="CJ54" i="17"/>
  <c r="CJ52" i="17"/>
  <c r="CJ50" i="17"/>
  <c r="CJ48" i="17"/>
  <c r="CJ46" i="17"/>
  <c r="CJ44" i="17"/>
  <c r="BV78" i="17"/>
  <c r="BV76" i="17"/>
  <c r="BV74" i="17"/>
  <c r="BV72" i="17"/>
  <c r="BV70" i="17"/>
  <c r="BV68" i="17"/>
  <c r="BV66" i="17"/>
  <c r="BV64" i="17"/>
  <c r="BV62" i="17"/>
  <c r="BV60" i="17"/>
  <c r="BV58" i="17"/>
  <c r="BV56" i="17"/>
  <c r="BV54" i="17"/>
  <c r="BV52" i="17"/>
  <c r="BV50" i="17"/>
  <c r="BV48" i="17"/>
  <c r="BV46" i="17"/>
  <c r="BV44" i="17"/>
  <c r="BH78" i="17"/>
  <c r="BH76" i="17"/>
  <c r="BH74" i="17"/>
  <c r="BH72" i="17"/>
  <c r="BH70" i="17"/>
  <c r="BH68" i="17"/>
  <c r="BH66" i="17"/>
  <c r="BH64" i="17"/>
  <c r="BH62" i="17"/>
  <c r="BH60" i="17"/>
  <c r="BH58" i="17"/>
  <c r="BH56" i="17"/>
  <c r="BH54" i="17"/>
  <c r="BH52" i="17"/>
  <c r="BH50" i="17"/>
  <c r="BH48" i="17"/>
  <c r="BH46" i="17"/>
  <c r="BH44" i="17"/>
  <c r="AT78" i="17"/>
  <c r="AT76" i="17"/>
  <c r="AT74" i="17"/>
  <c r="CU79" i="17"/>
  <c r="CU77" i="17"/>
  <c r="CU75" i="17"/>
  <c r="CU73" i="17"/>
  <c r="CU71" i="17"/>
  <c r="CU69" i="17"/>
  <c r="CU67" i="17"/>
  <c r="CU65" i="17"/>
  <c r="CU63" i="17"/>
  <c r="CU61" i="17"/>
  <c r="CU59" i="17"/>
  <c r="CU57" i="17"/>
  <c r="CU55" i="17"/>
  <c r="CU53" i="17"/>
  <c r="CU51" i="17"/>
  <c r="CU49" i="17"/>
  <c r="CU47" i="17"/>
  <c r="CU45" i="17"/>
  <c r="CG79" i="17"/>
  <c r="CG77" i="17"/>
  <c r="CG75" i="17"/>
  <c r="CG73" i="17"/>
  <c r="CG71" i="17"/>
  <c r="CG69" i="17"/>
  <c r="CG67" i="17"/>
  <c r="CG65" i="17"/>
  <c r="CG63" i="17"/>
  <c r="CG61" i="17"/>
  <c r="CG59" i="17"/>
  <c r="CG57" i="17"/>
  <c r="CG55" i="17"/>
  <c r="CG53" i="17"/>
  <c r="CG51" i="17"/>
  <c r="CG49" i="17"/>
  <c r="CG47" i="17"/>
  <c r="CG45" i="17"/>
  <c r="BS79" i="17"/>
  <c r="BS77" i="17"/>
  <c r="BS75" i="17"/>
  <c r="BS73" i="17"/>
  <c r="BS71" i="17"/>
  <c r="BS69" i="17"/>
  <c r="BS67" i="17"/>
  <c r="BS65" i="17"/>
  <c r="BS63" i="17"/>
  <c r="BS61" i="17"/>
  <c r="BS59" i="17"/>
  <c r="BS57" i="17"/>
  <c r="BS55" i="17"/>
  <c r="BS53" i="17"/>
  <c r="BS51" i="17"/>
  <c r="BS49" i="17"/>
  <c r="BS47" i="17"/>
  <c r="BS45" i="17"/>
  <c r="BE79" i="17"/>
  <c r="BE77" i="17"/>
  <c r="BE75" i="17"/>
  <c r="CT79" i="17"/>
  <c r="CT77" i="17"/>
  <c r="CT75" i="17"/>
  <c r="CT73" i="17"/>
  <c r="CT71" i="17"/>
  <c r="CT69" i="17"/>
  <c r="CT67" i="17"/>
  <c r="CT65" i="17"/>
  <c r="CT63" i="17"/>
  <c r="CT61" i="17"/>
  <c r="CT59" i="17"/>
  <c r="CT57" i="17"/>
  <c r="CT55" i="17"/>
  <c r="CT53" i="17"/>
  <c r="CT51" i="17"/>
  <c r="CT49" i="17"/>
  <c r="CT47" i="17"/>
  <c r="CT45" i="17"/>
  <c r="CF79" i="17"/>
  <c r="CF77" i="17"/>
  <c r="CF75" i="17"/>
  <c r="CF73" i="17"/>
  <c r="CF71" i="17"/>
  <c r="CF69" i="17"/>
  <c r="CF67" i="17"/>
  <c r="CF65" i="17"/>
  <c r="CF63" i="17"/>
  <c r="CF61" i="17"/>
  <c r="CF59" i="17"/>
  <c r="CF57" i="17"/>
  <c r="CF55" i="17"/>
  <c r="CF53" i="17"/>
  <c r="CF51" i="17"/>
  <c r="CF49" i="17"/>
  <c r="CF47" i="17"/>
  <c r="CF45" i="17"/>
  <c r="BR79" i="17"/>
  <c r="BR77" i="17"/>
  <c r="BR75" i="17"/>
  <c r="BR73" i="17"/>
  <c r="BR71" i="17"/>
  <c r="BR69" i="17"/>
  <c r="BR67" i="17"/>
  <c r="BR65" i="17"/>
  <c r="BR63" i="17"/>
  <c r="BR61" i="17"/>
  <c r="BR59" i="17"/>
  <c r="BR57" i="17"/>
  <c r="BR55" i="17"/>
  <c r="BR53" i="17"/>
  <c r="BR51" i="17"/>
  <c r="BR49" i="17"/>
  <c r="BR47" i="17"/>
  <c r="BR45" i="17"/>
  <c r="BD79" i="17"/>
  <c r="BD77" i="17"/>
  <c r="BD75" i="17"/>
  <c r="CS79" i="17"/>
  <c r="CS77" i="17"/>
  <c r="CS75" i="17"/>
  <c r="CS73" i="17"/>
  <c r="CS71" i="17"/>
  <c r="CS69" i="17"/>
  <c r="CS67" i="17"/>
  <c r="CS65" i="17"/>
  <c r="CS63" i="17"/>
  <c r="CS61" i="17"/>
  <c r="CS59" i="17"/>
  <c r="CS57" i="17"/>
  <c r="CS55" i="17"/>
  <c r="CS53" i="17"/>
  <c r="CS51" i="17"/>
  <c r="CS49" i="17"/>
  <c r="CS47" i="17"/>
  <c r="CS45" i="17"/>
  <c r="CE79" i="17"/>
  <c r="CE77" i="17"/>
  <c r="CE75" i="17"/>
  <c r="CE73" i="17"/>
  <c r="CE71" i="17"/>
  <c r="CE69" i="17"/>
  <c r="CE67" i="17"/>
  <c r="CE65" i="17"/>
  <c r="CE63" i="17"/>
  <c r="CE61" i="17"/>
  <c r="CE59" i="17"/>
  <c r="CE57" i="17"/>
  <c r="CE55" i="17"/>
  <c r="CE53" i="17"/>
  <c r="CE51" i="17"/>
  <c r="CE49" i="17"/>
  <c r="CE47" i="17"/>
  <c r="CE45" i="17"/>
  <c r="BQ79" i="17"/>
  <c r="BQ77" i="17"/>
  <c r="BQ75" i="17"/>
  <c r="BQ73" i="17"/>
  <c r="BQ71" i="17"/>
  <c r="BQ69" i="17"/>
  <c r="BQ67" i="17"/>
  <c r="BQ65" i="17"/>
  <c r="BQ63" i="17"/>
  <c r="BQ61" i="17"/>
  <c r="BQ59" i="17"/>
  <c r="BQ57" i="17"/>
  <c r="BQ55" i="17"/>
  <c r="BQ53" i="17"/>
  <c r="BQ51" i="17"/>
  <c r="BQ49" i="17"/>
  <c r="BQ47" i="17"/>
  <c r="BQ45" i="17"/>
  <c r="BC79" i="17"/>
  <c r="BC77" i="17"/>
  <c r="BC75" i="17"/>
  <c r="BC73" i="17"/>
  <c r="BC71" i="17"/>
  <c r="BC69" i="17"/>
  <c r="BC67" i="17"/>
  <c r="BC65" i="17"/>
  <c r="BC63" i="17"/>
  <c r="CR79" i="17"/>
  <c r="CR77" i="17"/>
  <c r="CR75" i="17"/>
  <c r="CR73" i="17"/>
  <c r="CR71" i="17"/>
  <c r="CR69" i="17"/>
  <c r="CR67" i="17"/>
  <c r="CR65" i="17"/>
  <c r="CR63" i="17"/>
  <c r="CR61" i="17"/>
  <c r="CR59" i="17"/>
  <c r="CR57" i="17"/>
  <c r="CR55" i="17"/>
  <c r="CR53" i="17"/>
  <c r="CR51" i="17"/>
  <c r="CR49" i="17"/>
  <c r="CR47" i="17"/>
  <c r="CR45" i="17"/>
  <c r="CD79" i="17"/>
  <c r="CD77" i="17"/>
  <c r="CD75" i="17"/>
  <c r="CD73" i="17"/>
  <c r="CD71" i="17"/>
  <c r="CD69" i="17"/>
  <c r="CD67" i="17"/>
  <c r="CD65" i="17"/>
  <c r="CD63" i="17"/>
  <c r="CD61" i="17"/>
  <c r="CD59" i="17"/>
  <c r="CD57" i="17"/>
  <c r="CD55" i="17"/>
  <c r="CD53" i="17"/>
  <c r="CD51" i="17"/>
  <c r="CD49" i="17"/>
  <c r="CD47" i="17"/>
  <c r="CD45" i="17"/>
  <c r="BP79" i="17"/>
  <c r="BP77" i="17"/>
  <c r="BP75" i="17"/>
  <c r="BP73" i="17"/>
  <c r="BP71" i="17"/>
  <c r="BP69" i="17"/>
  <c r="BP67" i="17"/>
  <c r="BP65" i="17"/>
  <c r="BP63" i="17"/>
  <c r="BP61" i="17"/>
  <c r="BP59" i="17"/>
  <c r="BP57" i="17"/>
  <c r="BP55" i="17"/>
  <c r="BP53" i="17"/>
  <c r="BP51" i="17"/>
  <c r="BP49" i="17"/>
  <c r="BP47" i="17"/>
  <c r="BP45" i="17"/>
  <c r="BB79" i="17"/>
  <c r="BB77" i="17"/>
  <c r="BB75" i="17"/>
  <c r="CO79" i="17"/>
  <c r="CO77" i="17"/>
  <c r="CO75" i="17"/>
  <c r="CO73" i="17"/>
  <c r="CO71" i="17"/>
  <c r="CO69" i="17"/>
  <c r="CO67" i="17"/>
  <c r="CO65" i="17"/>
  <c r="CO63" i="17"/>
  <c r="CO61" i="17"/>
  <c r="CO59" i="17"/>
  <c r="CO57" i="17"/>
  <c r="CO55" i="17"/>
  <c r="CO53" i="17"/>
  <c r="CO51" i="17"/>
  <c r="CO49" i="17"/>
  <c r="CO47" i="17"/>
  <c r="CO45" i="17"/>
  <c r="CA79" i="17"/>
  <c r="CA77" i="17"/>
  <c r="CA75" i="17"/>
  <c r="CA73" i="17"/>
  <c r="CA71" i="17"/>
  <c r="CA69" i="17"/>
  <c r="CA67" i="17"/>
  <c r="CA65" i="17"/>
  <c r="CA63" i="17"/>
  <c r="CA61" i="17"/>
  <c r="CA59" i="17"/>
  <c r="CA57" i="17"/>
  <c r="CA55" i="17"/>
  <c r="CA53" i="17"/>
  <c r="CA51" i="17"/>
  <c r="CA49" i="17"/>
  <c r="CA47" i="17"/>
  <c r="CA45" i="17"/>
  <c r="BM79" i="17"/>
  <c r="BM77" i="17"/>
  <c r="BM75" i="17"/>
  <c r="BM73" i="17"/>
  <c r="BM71" i="17"/>
  <c r="BM69" i="17"/>
  <c r="BM67" i="17"/>
  <c r="BM65" i="17"/>
  <c r="BM63" i="17"/>
  <c r="BM61" i="17"/>
  <c r="BM59" i="17"/>
  <c r="BM57" i="17"/>
  <c r="BM55" i="17"/>
  <c r="BM53" i="17"/>
  <c r="BM51" i="17"/>
  <c r="BM49" i="17"/>
  <c r="BM47" i="17"/>
  <c r="BM45" i="17"/>
  <c r="AY79" i="17"/>
  <c r="AY77" i="17"/>
  <c r="AY75" i="17"/>
  <c r="AY73" i="17"/>
  <c r="AY71" i="17"/>
  <c r="AY69" i="17"/>
  <c r="AY67" i="17"/>
  <c r="AY65" i="17"/>
  <c r="AY63" i="17"/>
  <c r="AY61" i="17"/>
  <c r="AY59" i="17"/>
  <c r="CM79" i="17"/>
  <c r="CM77" i="17"/>
  <c r="CM75" i="17"/>
  <c r="CM73" i="17"/>
  <c r="CM71" i="17"/>
  <c r="CM69" i="17"/>
  <c r="CM67" i="17"/>
  <c r="CM65" i="17"/>
  <c r="CM63" i="17"/>
  <c r="CM61" i="17"/>
  <c r="CM59" i="17"/>
  <c r="CM57" i="17"/>
  <c r="CM55" i="17"/>
  <c r="CM53" i="17"/>
  <c r="CM51" i="17"/>
  <c r="CM49" i="17"/>
  <c r="CM47" i="17"/>
  <c r="CM45" i="17"/>
  <c r="BY79" i="17"/>
  <c r="BY77" i="17"/>
  <c r="BY75" i="17"/>
  <c r="BY73" i="17"/>
  <c r="BY71" i="17"/>
  <c r="BY69" i="17"/>
  <c r="BY67" i="17"/>
  <c r="BY65" i="17"/>
  <c r="BY63" i="17"/>
  <c r="BY61" i="17"/>
  <c r="BY59" i="17"/>
  <c r="BY57" i="17"/>
  <c r="BY55" i="17"/>
  <c r="BY53" i="17"/>
  <c r="BY51" i="17"/>
  <c r="BY49" i="17"/>
  <c r="BY47" i="17"/>
  <c r="BY45" i="17"/>
  <c r="BK79" i="17"/>
  <c r="BK77" i="17"/>
  <c r="BK75" i="17"/>
  <c r="BK73" i="17"/>
  <c r="BK71" i="17"/>
  <c r="BK69" i="17"/>
  <c r="BK67" i="17"/>
  <c r="BK65" i="17"/>
  <c r="BK63" i="17"/>
  <c r="BK61" i="17"/>
  <c r="BK59" i="17"/>
  <c r="BK57" i="17"/>
  <c r="BK55" i="17"/>
  <c r="BK53" i="17"/>
  <c r="BK51" i="17"/>
  <c r="BK49" i="17"/>
  <c r="BK47" i="17"/>
  <c r="BK45" i="17"/>
  <c r="AW79" i="17"/>
  <c r="AW77" i="17"/>
  <c r="AW75" i="17"/>
  <c r="AW73" i="17"/>
  <c r="AW71" i="17"/>
  <c r="AW69" i="17"/>
  <c r="AW67" i="17"/>
  <c r="AW65" i="17"/>
  <c r="AW63" i="17"/>
  <c r="AW61" i="17"/>
  <c r="AW59" i="17"/>
  <c r="AW57" i="17"/>
  <c r="AW55" i="17"/>
  <c r="AW53" i="17"/>
  <c r="AK44" i="17"/>
  <c r="AK46" i="17"/>
  <c r="AK48" i="17"/>
  <c r="AK50" i="17"/>
  <c r="AK52" i="17"/>
  <c r="AL54" i="17"/>
  <c r="AN56" i="17"/>
  <c r="AP58" i="17"/>
  <c r="AG61" i="17"/>
  <c r="AI63" i="17"/>
  <c r="AK65" i="17"/>
  <c r="AM67" i="17"/>
  <c r="AO69" i="17"/>
  <c r="AQ71" i="17"/>
  <c r="AH74" i="17"/>
  <c r="AJ76" i="17"/>
  <c r="AL78" i="17"/>
  <c r="BB44" i="17"/>
  <c r="BD46" i="17"/>
  <c r="AU49" i="17"/>
  <c r="AW51" i="17"/>
  <c r="AZ53" i="17"/>
  <c r="BC55" i="17"/>
  <c r="AT58" i="17"/>
  <c r="AY60" i="17"/>
  <c r="AU63" i="17"/>
  <c r="AT66" i="17"/>
  <c r="AX69" i="17"/>
  <c r="BA73" i="17"/>
  <c r="BN47" i="17"/>
  <c r="BN61" i="17"/>
  <c r="BN77" i="17"/>
  <c r="CB57" i="17"/>
  <c r="CB73" i="17"/>
  <c r="CP53" i="17"/>
  <c r="CP69" i="17"/>
  <c r="AL44" i="17"/>
  <c r="AL46" i="17"/>
  <c r="AL48" i="17"/>
  <c r="AL50" i="17"/>
  <c r="AL52" i="17"/>
  <c r="AM54" i="17"/>
  <c r="AO56" i="17"/>
  <c r="AF59" i="17"/>
  <c r="AH61" i="17"/>
  <c r="AJ63" i="17"/>
  <c r="AL65" i="17"/>
  <c r="AN67" i="17"/>
  <c r="AP69" i="17"/>
  <c r="AF72" i="17"/>
  <c r="AI74" i="17"/>
  <c r="AK76" i="17"/>
  <c r="AM78" i="17"/>
  <c r="BC44" i="17"/>
  <c r="AT47" i="17"/>
  <c r="AV49" i="17"/>
  <c r="AX51" i="17"/>
  <c r="BA53" i="17"/>
  <c r="BD55" i="17"/>
  <c r="AV58" i="17"/>
  <c r="BA60" i="17"/>
  <c r="AV63" i="17"/>
  <c r="AV66" i="17"/>
  <c r="AZ69" i="17"/>
  <c r="BB73" i="17"/>
  <c r="BO47" i="17"/>
  <c r="BO61" i="17"/>
  <c r="BO77" i="17"/>
  <c r="CC57" i="17"/>
  <c r="CC73" i="17"/>
  <c r="CQ53" i="17"/>
  <c r="CQ69" i="17"/>
  <c r="AM44" i="17"/>
  <c r="AM46" i="17"/>
  <c r="AM48" i="17"/>
  <c r="AM50" i="17"/>
  <c r="AM52" i="17"/>
  <c r="AN54" i="17"/>
  <c r="AP56" i="17"/>
  <c r="AG59" i="17"/>
  <c r="AI61" i="17"/>
  <c r="AK63" i="17"/>
  <c r="AM65" i="17"/>
  <c r="AO67" i="17"/>
  <c r="AQ69" i="17"/>
  <c r="AH72" i="17"/>
  <c r="AJ74" i="17"/>
  <c r="AL76" i="17"/>
  <c r="AN78" i="17"/>
  <c r="BD44" i="17"/>
  <c r="AU47" i="17"/>
  <c r="AW49" i="17"/>
  <c r="AY51" i="17"/>
  <c r="BB53" i="17"/>
  <c r="BE55" i="17"/>
  <c r="AW58" i="17"/>
  <c r="BB60" i="17"/>
  <c r="AX63" i="17"/>
  <c r="AW66" i="17"/>
  <c r="BA69" i="17"/>
  <c r="BD73" i="17"/>
  <c r="BJ49" i="17"/>
  <c r="BL63" i="17"/>
  <c r="BL79" i="17"/>
  <c r="BZ59" i="17"/>
  <c r="BZ75" i="17"/>
  <c r="CN55" i="17"/>
  <c r="CN71" i="17"/>
  <c r="AN44" i="17"/>
  <c r="AN46" i="17"/>
  <c r="AN48" i="17"/>
  <c r="AN50" i="17"/>
  <c r="AN52" i="17"/>
  <c r="AO54" i="17"/>
  <c r="AF57" i="17"/>
  <c r="AH59" i="17"/>
  <c r="AJ61" i="17"/>
  <c r="AL63" i="17"/>
  <c r="AN65" i="17"/>
  <c r="AP67" i="17"/>
  <c r="AF70" i="17"/>
  <c r="AI72" i="17"/>
  <c r="AK74" i="17"/>
  <c r="AM76" i="17"/>
  <c r="AO78" i="17"/>
  <c r="AT45" i="17"/>
  <c r="AV47" i="17"/>
  <c r="AX49" i="17"/>
  <c r="AZ51" i="17"/>
  <c r="BC53" i="17"/>
  <c r="AT56" i="17"/>
  <c r="AX58" i="17"/>
  <c r="BC60" i="17"/>
  <c r="AZ63" i="17"/>
  <c r="AX66" i="17"/>
  <c r="BB69" i="17"/>
  <c r="BE73" i="17"/>
  <c r="BL49" i="17"/>
  <c r="BN63" i="17"/>
  <c r="BN79" i="17"/>
  <c r="CB59" i="17"/>
  <c r="CB75" i="17"/>
  <c r="CP55" i="17"/>
  <c r="CP71" i="17"/>
  <c r="AO44" i="17"/>
  <c r="AO46" i="17"/>
  <c r="AO48" i="17"/>
  <c r="AO50" i="17"/>
  <c r="AO52" i="17"/>
  <c r="AP54" i="17"/>
  <c r="AG57" i="17"/>
  <c r="AI59" i="17"/>
  <c r="AK61" i="17"/>
  <c r="AM63" i="17"/>
  <c r="AO65" i="17"/>
  <c r="AQ67" i="17"/>
  <c r="AH70" i="17"/>
  <c r="AJ72" i="17"/>
  <c r="AL74" i="17"/>
  <c r="AN76" i="17"/>
  <c r="AP78" i="17"/>
  <c r="AU45" i="17"/>
  <c r="AW47" i="17"/>
  <c r="AY49" i="17"/>
  <c r="BA51" i="17"/>
  <c r="BD53" i="17"/>
  <c r="AV56" i="17"/>
  <c r="AY58" i="17"/>
  <c r="BD60" i="17"/>
  <c r="BA63" i="17"/>
  <c r="AY66" i="17"/>
  <c r="BD69" i="17"/>
  <c r="AV74" i="17"/>
  <c r="BN49" i="17"/>
  <c r="BO63" i="17"/>
  <c r="BO79" i="17"/>
  <c r="CC59" i="17"/>
  <c r="CC75" i="17"/>
  <c r="CQ55" i="17"/>
  <c r="CQ71" i="17"/>
  <c r="AP44" i="17"/>
  <c r="AP46" i="17"/>
  <c r="AP48" i="17"/>
  <c r="AP50" i="17"/>
  <c r="AP52" i="17"/>
  <c r="AF55" i="17"/>
  <c r="AH57" i="17"/>
  <c r="AJ59" i="17"/>
  <c r="AL61" i="17"/>
  <c r="AN63" i="17"/>
  <c r="AP65" i="17"/>
  <c r="AF68" i="17"/>
  <c r="AI70" i="17"/>
  <c r="AK72" i="17"/>
  <c r="AM74" i="17"/>
  <c r="AO76" i="17"/>
  <c r="AF79" i="17"/>
  <c r="AV45" i="17"/>
  <c r="AX47" i="17"/>
  <c r="AZ49" i="17"/>
  <c r="BB51" i="17"/>
  <c r="BE53" i="17"/>
  <c r="AW56" i="17"/>
  <c r="AZ58" i="17"/>
  <c r="AT61" i="17"/>
  <c r="BB63" i="17"/>
  <c r="BA66" i="17"/>
  <c r="BE69" i="17"/>
  <c r="AV75" i="17"/>
  <c r="BO49" i="17"/>
  <c r="BL65" i="17"/>
  <c r="BZ45" i="17"/>
  <c r="BZ61" i="17"/>
  <c r="BZ77" i="17"/>
  <c r="CN57" i="17"/>
  <c r="CN73" i="17"/>
  <c r="AQ44" i="17"/>
  <c r="AQ46" i="17"/>
  <c r="AQ48" i="17"/>
  <c r="AQ50" i="17"/>
  <c r="AQ52" i="17"/>
  <c r="AG55" i="17"/>
  <c r="AI57" i="17"/>
  <c r="AK59" i="17"/>
  <c r="AM61" i="17"/>
  <c r="AO63" i="17"/>
  <c r="AQ65" i="17"/>
  <c r="AH68" i="17"/>
  <c r="AJ70" i="17"/>
  <c r="AL72" i="17"/>
  <c r="AN74" i="17"/>
  <c r="AP76" i="17"/>
  <c r="AG79" i="17"/>
  <c r="AW45" i="17"/>
  <c r="AY47" i="17"/>
  <c r="BA49" i="17"/>
  <c r="BC51" i="17"/>
  <c r="AT54" i="17"/>
  <c r="AX56" i="17"/>
  <c r="BA58" i="17"/>
  <c r="AU61" i="17"/>
  <c r="BD63" i="17"/>
  <c r="BB66" i="17"/>
  <c r="AT70" i="17"/>
  <c r="AX75" i="17"/>
  <c r="BJ51" i="17"/>
  <c r="BN65" i="17"/>
  <c r="CB45" i="17"/>
  <c r="CB61" i="17"/>
  <c r="CB77" i="17"/>
  <c r="CP57" i="17"/>
  <c r="CP73" i="17"/>
  <c r="AF45" i="17"/>
  <c r="AF47" i="17"/>
  <c r="AF49" i="17"/>
  <c r="AF51" i="17"/>
  <c r="AF53" i="17"/>
  <c r="AH55" i="17"/>
  <c r="AJ57" i="17"/>
  <c r="AL59" i="17"/>
  <c r="AN61" i="17"/>
  <c r="AP63" i="17"/>
  <c r="AF66" i="17"/>
  <c r="AI68" i="17"/>
  <c r="AK70" i="17"/>
  <c r="AM72" i="17"/>
  <c r="AO74" i="17"/>
  <c r="AF77" i="17"/>
  <c r="AH79" i="17"/>
  <c r="AX45" i="17"/>
  <c r="AZ47" i="17"/>
  <c r="BB49" i="17"/>
  <c r="BD51" i="17"/>
  <c r="AV54" i="17"/>
  <c r="AY56" i="17"/>
  <c r="BB58" i="17"/>
  <c r="AV61" i="17"/>
  <c r="BE63" i="17"/>
  <c r="AU67" i="17"/>
  <c r="AV70" i="17"/>
  <c r="AZ75" i="17"/>
  <c r="BL51" i="17"/>
  <c r="BO65" i="17"/>
  <c r="CC45" i="17"/>
  <c r="CC61" i="17"/>
  <c r="CC77" i="17"/>
  <c r="CQ57" i="17"/>
  <c r="CQ73" i="17"/>
  <c r="O221" i="2"/>
  <c r="F221" i="2"/>
  <c r="L221" i="2"/>
  <c r="N221" i="2"/>
  <c r="M222" i="2"/>
  <c r="M244" i="2" s="1"/>
  <c r="E221" i="2"/>
  <c r="F222" i="2"/>
  <c r="F244" i="2" s="1"/>
  <c r="G222" i="2"/>
  <c r="G244" i="2" s="1"/>
  <c r="K222" i="2"/>
  <c r="K244" i="2" s="1"/>
  <c r="L222" i="2"/>
  <c r="L244" i="2" s="1"/>
  <c r="O222" i="2"/>
  <c r="O244" i="2" s="1"/>
  <c r="N222" i="2"/>
  <c r="N244" i="2" s="1"/>
  <c r="E222" i="2"/>
  <c r="E244" i="2" s="1"/>
  <c r="J222" i="2"/>
  <c r="J244" i="2" s="1"/>
  <c r="I222" i="2"/>
  <c r="I244" i="2" s="1"/>
  <c r="H222" i="2"/>
  <c r="H244" i="2" s="1"/>
  <c r="D221" i="2"/>
  <c r="D222" i="2"/>
  <c r="D244" i="2" s="1"/>
  <c r="BS112" i="30"/>
  <c r="Y51" i="30"/>
  <c r="BI117" i="30"/>
  <c r="T66" i="30"/>
  <c r="BQ196" i="30"/>
  <c r="U209" i="30"/>
  <c r="AF203" i="30"/>
  <c r="AM248" i="30"/>
  <c r="AB209" i="30"/>
  <c r="Y272" i="30"/>
  <c r="T300" i="30"/>
  <c r="AF250" i="30"/>
  <c r="AK294" i="30"/>
  <c r="AY301" i="30"/>
  <c r="BK274" i="30"/>
  <c r="CU292" i="30"/>
  <c r="Y70" i="30"/>
  <c r="AC209" i="30"/>
  <c r="AA244" i="30"/>
  <c r="Z272" i="30"/>
  <c r="AB286" i="30"/>
  <c r="V300" i="30"/>
  <c r="S312" i="30"/>
  <c r="X316" i="30"/>
  <c r="Z320" i="30"/>
  <c r="W325" i="30"/>
  <c r="AC329" i="30"/>
  <c r="Z334" i="30"/>
  <c r="AA338" i="30"/>
  <c r="R344" i="30"/>
  <c r="AH208" i="30"/>
  <c r="AJ250" i="30"/>
  <c r="AQ278" i="30"/>
  <c r="AO294" i="30"/>
  <c r="AI311" i="30"/>
  <c r="AL316" i="30"/>
  <c r="AN321" i="30"/>
  <c r="AQ327" i="30"/>
  <c r="AH333" i="30"/>
  <c r="AP338" i="30"/>
  <c r="AN344" i="30"/>
  <c r="AT242" i="30"/>
  <c r="AY280" i="30"/>
  <c r="AU303" i="30"/>
  <c r="BC314" i="30"/>
  <c r="AX321" i="30"/>
  <c r="AW329" i="30"/>
  <c r="BC335" i="30"/>
  <c r="AX342" i="30"/>
  <c r="BK213" i="30"/>
  <c r="BL275" i="30"/>
  <c r="BH301" i="30"/>
  <c r="BR315" i="30"/>
  <c r="BJ324" i="30"/>
  <c r="BJ332" i="30"/>
  <c r="BI340" i="30"/>
  <c r="CB262" i="30"/>
  <c r="BZ312" i="30"/>
  <c r="CE332" i="30"/>
  <c r="CN295" i="30"/>
  <c r="CS341" i="30"/>
  <c r="W51" i="30"/>
  <c r="BR111" i="30"/>
  <c r="X51" i="30"/>
  <c r="T209" i="30"/>
  <c r="AN201" i="30"/>
  <c r="U66" i="30"/>
  <c r="V244" i="30"/>
  <c r="AC268" i="30"/>
  <c r="AV239" i="30"/>
  <c r="BO200" i="30"/>
  <c r="BV239" i="30"/>
  <c r="U68" i="30"/>
  <c r="Z244" i="30"/>
  <c r="AA286" i="30"/>
  <c r="AG208" i="30"/>
  <c r="AP278" i="30"/>
  <c r="BE241" i="30"/>
  <c r="AU280" i="30"/>
  <c r="BS200" i="30"/>
  <c r="BL299" i="30"/>
  <c r="CF239" i="30"/>
  <c r="S71" i="30"/>
  <c r="Y210" i="30"/>
  <c r="AB244" i="30"/>
  <c r="V274" i="30"/>
  <c r="AC286" i="30"/>
  <c r="Z300" i="30"/>
  <c r="T312" i="30"/>
  <c r="Y316" i="30"/>
  <c r="AA320" i="30"/>
  <c r="X325" i="30"/>
  <c r="R330" i="30"/>
  <c r="AA334" i="30"/>
  <c r="S339" i="30"/>
  <c r="S344" i="30"/>
  <c r="AQ13" i="30"/>
  <c r="AI208" i="30"/>
  <c r="AM250" i="30"/>
  <c r="AF279" i="30"/>
  <c r="AP294" i="30"/>
  <c r="AJ311" i="30"/>
  <c r="AM316" i="30"/>
  <c r="AJ322" i="30"/>
  <c r="AF328" i="30"/>
  <c r="AI333" i="30"/>
  <c r="AH339" i="30"/>
  <c r="AO344" i="30"/>
  <c r="AX245" i="30"/>
  <c r="BD280" i="30"/>
  <c r="BA303" i="30"/>
  <c r="BD314" i="30"/>
  <c r="AY322" i="30"/>
  <c r="AX329" i="30"/>
  <c r="BD335" i="30"/>
  <c r="AX343" i="30"/>
  <c r="BK218" i="30"/>
  <c r="BM275" i="30"/>
  <c r="BO301" i="30"/>
  <c r="BS315" i="30"/>
  <c r="BH325" i="30"/>
  <c r="BP332" i="30"/>
  <c r="BJ340" i="30"/>
  <c r="BV263" i="30"/>
  <c r="CB312" i="30"/>
  <c r="BY333" i="30"/>
  <c r="CP295" i="30"/>
  <c r="CT342" i="30"/>
  <c r="CN459" i="30"/>
  <c r="AK92" i="30"/>
  <c r="Z106" i="30"/>
  <c r="R229" i="30"/>
  <c r="AH100" i="30"/>
  <c r="BA207" i="30"/>
  <c r="AM101" i="30"/>
  <c r="BB269" i="30"/>
  <c r="CU262" i="30"/>
  <c r="T11" i="30"/>
  <c r="W281" i="30"/>
  <c r="AO101" i="30"/>
  <c r="AK287" i="30"/>
  <c r="AV293" i="30"/>
  <c r="BJ260" i="30"/>
  <c r="R15" i="30"/>
  <c r="T204" i="30"/>
  <c r="V236" i="30"/>
  <c r="S264" i="30"/>
  <c r="Y281" i="30"/>
  <c r="R295" i="30"/>
  <c r="Z307" i="30"/>
  <c r="V314" i="30"/>
  <c r="S319" i="30"/>
  <c r="Y323" i="30"/>
  <c r="T328" i="30"/>
  <c r="R333" i="30"/>
  <c r="Z337" i="30"/>
  <c r="AA341" i="30"/>
  <c r="AH108" i="30"/>
  <c r="AI238" i="30"/>
  <c r="AM272" i="30"/>
  <c r="AM288" i="30"/>
  <c r="AL305" i="30"/>
  <c r="AO314" i="30"/>
  <c r="AI320" i="30"/>
  <c r="AH325" i="30"/>
  <c r="AG331" i="30"/>
  <c r="AN336" i="30"/>
  <c r="AG343" i="30"/>
  <c r="AW218" i="30"/>
  <c r="AX272" i="30"/>
  <c r="AT294" i="30"/>
  <c r="AY312" i="30"/>
  <c r="AV319" i="30"/>
  <c r="AU326" i="30"/>
  <c r="BB332" i="30"/>
  <c r="AV340" i="30"/>
  <c r="BK260" i="30"/>
  <c r="BI290" i="30"/>
  <c r="BR312" i="30"/>
  <c r="BR320" i="30"/>
  <c r="BK329" i="30"/>
  <c r="BR337" i="30"/>
  <c r="BS345" i="30"/>
  <c r="CD289" i="30"/>
  <c r="CG322" i="30"/>
  <c r="CF343" i="30"/>
  <c r="CQ265" i="30"/>
  <c r="CM325" i="30"/>
  <c r="AL92" i="30"/>
  <c r="AB112" i="30"/>
  <c r="AM92" i="30"/>
  <c r="U229" i="30"/>
  <c r="AO236" i="30"/>
  <c r="AX217" i="30"/>
  <c r="BM257" i="30"/>
  <c r="V203" i="30"/>
  <c r="R264" i="30"/>
  <c r="U294" i="30"/>
  <c r="AO237" i="30"/>
  <c r="AW272" i="30"/>
  <c r="CA289" i="30"/>
  <c r="S15" i="30"/>
  <c r="T206" i="30"/>
  <c r="Y238" i="30"/>
  <c r="T264" i="30"/>
  <c r="Z281" i="30"/>
  <c r="Z295" i="30"/>
  <c r="S310" i="30"/>
  <c r="W314" i="30"/>
  <c r="Z319" i="30"/>
  <c r="Z323" i="30"/>
  <c r="W328" i="30"/>
  <c r="S333" i="30"/>
  <c r="AA337" i="30"/>
  <c r="AB341" i="30"/>
  <c r="AL113" i="30"/>
  <c r="AK238" i="30"/>
  <c r="AN272" i="30"/>
  <c r="AP288" i="30"/>
  <c r="AO305" i="30"/>
  <c r="AP314" i="30"/>
  <c r="AJ320" i="30"/>
  <c r="AI325" i="30"/>
  <c r="AH331" i="30"/>
  <c r="AJ337" i="30"/>
  <c r="AH343" i="30"/>
  <c r="BE220" i="30"/>
  <c r="AY272" i="30"/>
  <c r="AU294" i="30"/>
  <c r="AZ312" i="30"/>
  <c r="AX319" i="30"/>
  <c r="AX326" i="30"/>
  <c r="BC332" i="30"/>
  <c r="AZ340" i="30"/>
  <c r="BL85" i="30"/>
  <c r="BJ261" i="30"/>
  <c r="BO291" i="30"/>
  <c r="BH313" i="30"/>
  <c r="BH321" i="30"/>
  <c r="BN329" i="30"/>
  <c r="BS337" i="30"/>
  <c r="BZ196" i="30"/>
  <c r="BV290" i="30"/>
  <c r="CA323" i="30"/>
  <c r="BW344" i="30"/>
  <c r="CN267" i="30"/>
  <c r="CO325" i="30"/>
  <c r="X106" i="30"/>
  <c r="AC112" i="30"/>
  <c r="W198" i="30"/>
  <c r="Y262" i="30"/>
  <c r="AG266" i="30"/>
  <c r="V230" i="30"/>
  <c r="U307" i="30"/>
  <c r="AJ269" i="30"/>
  <c r="AF304" i="30"/>
  <c r="BB217" i="30"/>
  <c r="BH290" i="30"/>
  <c r="CK263" i="30"/>
  <c r="T15" i="30"/>
  <c r="U206" i="30"/>
  <c r="S239" i="30"/>
  <c r="Y264" i="30"/>
  <c r="R282" i="30"/>
  <c r="S296" i="30"/>
  <c r="T310" i="30"/>
  <c r="X314" i="30"/>
  <c r="AA319" i="30"/>
  <c r="R324" i="30"/>
  <c r="X328" i="30"/>
  <c r="W333" i="30"/>
  <c r="AB337" i="30"/>
  <c r="AC341" i="30"/>
  <c r="AM113" i="30"/>
  <c r="AL238" i="30"/>
  <c r="AH273" i="30"/>
  <c r="AG290" i="30"/>
  <c r="AN306" i="30"/>
  <c r="AQ314" i="30"/>
  <c r="AK320" i="30"/>
  <c r="AM325" i="30"/>
  <c r="AI331" i="30"/>
  <c r="AK337" i="30"/>
  <c r="AJ343" i="30"/>
  <c r="AT221" i="30"/>
  <c r="AZ272" i="30"/>
  <c r="AV294" i="30"/>
  <c r="BA312" i="30"/>
  <c r="AZ319" i="30"/>
  <c r="AY326" i="30"/>
  <c r="BD332" i="30"/>
  <c r="BB340" i="30"/>
  <c r="BQ89" i="30"/>
  <c r="BS268" i="30"/>
  <c r="BQ291" i="30"/>
  <c r="BO313" i="30"/>
  <c r="BN321" i="30"/>
  <c r="BP329" i="30"/>
  <c r="BH338" i="30"/>
  <c r="CD198" i="30"/>
  <c r="CG292" i="30"/>
  <c r="CB323" i="30"/>
  <c r="BX344" i="30"/>
  <c r="CL326" i="30"/>
  <c r="AM458" i="24"/>
  <c r="BB258" i="24"/>
  <c r="AT261" i="24"/>
  <c r="S243" i="24"/>
  <c r="AY265" i="24"/>
  <c r="T243" i="24"/>
  <c r="AZ426" i="24"/>
  <c r="V243" i="24"/>
  <c r="AT429" i="24"/>
  <c r="Y243" i="24"/>
  <c r="AZ431" i="24"/>
  <c r="T244" i="24"/>
  <c r="BC436" i="24"/>
  <c r="Z250" i="24"/>
  <c r="AV437" i="24"/>
  <c r="U251" i="24"/>
  <c r="AX437" i="24"/>
  <c r="AF242" i="24"/>
  <c r="CM237" i="24"/>
  <c r="CR237" i="24"/>
  <c r="AO248" i="24"/>
  <c r="AL249" i="24"/>
  <c r="CS249" i="24"/>
  <c r="AF262" i="24"/>
  <c r="CL451" i="24"/>
  <c r="AH263" i="24"/>
  <c r="AQ439" i="24"/>
  <c r="AP240" i="24"/>
  <c r="AK242" i="24"/>
  <c r="AJ248" i="24"/>
  <c r="AK248" i="24"/>
  <c r="AQ261" i="24"/>
  <c r="CT249" i="24"/>
  <c r="AK446" i="24"/>
  <c r="AK240" i="24"/>
  <c r="AL240" i="24"/>
  <c r="AM240" i="24"/>
  <c r="CL236" i="24"/>
  <c r="CM236" i="24"/>
  <c r="CN237" i="24"/>
  <c r="CP238" i="24"/>
  <c r="CP239" i="24"/>
  <c r="AG262" i="24"/>
  <c r="AN446" i="24"/>
  <c r="CP11" i="30"/>
  <c r="AI108" i="30"/>
  <c r="CG6" i="30"/>
  <c r="AB10" i="30"/>
  <c r="Y90" i="30"/>
  <c r="AJ108" i="30"/>
  <c r="S11" i="30"/>
  <c r="Z90" i="30"/>
  <c r="R209" i="30"/>
  <c r="AJ113" i="30"/>
  <c r="AL225" i="30"/>
  <c r="AU215" i="30"/>
  <c r="BQ203" i="30"/>
  <c r="CD6" i="30"/>
  <c r="BE35" i="30"/>
  <c r="BC35" i="30"/>
  <c r="BB35" i="30"/>
  <c r="AJ22" i="30"/>
  <c r="AF24" i="30"/>
  <c r="X10" i="30"/>
  <c r="BN41" i="30"/>
  <c r="AN14" i="30"/>
  <c r="W10" i="30"/>
  <c r="BR27" i="30"/>
  <c r="AQ6" i="30"/>
  <c r="BJ27" i="30"/>
  <c r="AH6" i="30"/>
  <c r="AZ28" i="30"/>
  <c r="AA10" i="30"/>
  <c r="AY19" i="30"/>
  <c r="AB8" i="30"/>
  <c r="BC6" i="30"/>
  <c r="S25" i="30"/>
  <c r="AB36" i="30"/>
  <c r="AB15" i="30"/>
  <c r="AB51" i="30"/>
  <c r="AC51" i="30"/>
  <c r="R52" i="30"/>
  <c r="S117" i="30"/>
  <c r="AW33" i="30"/>
  <c r="S54" i="30"/>
  <c r="AT36" i="30"/>
  <c r="T54" i="30"/>
  <c r="Z225" i="30"/>
  <c r="BB82" i="30"/>
  <c r="CQ292" i="30"/>
  <c r="CS302" i="30"/>
  <c r="CR278" i="30"/>
  <c r="CF292" i="30"/>
  <c r="CE276" i="30"/>
  <c r="BI304" i="30"/>
  <c r="BQ293" i="30"/>
  <c r="BJ282" i="30"/>
  <c r="BQ272" i="30"/>
  <c r="AX307" i="30"/>
  <c r="AT298" i="30"/>
  <c r="AX288" i="30"/>
  <c r="AW278" i="30"/>
  <c r="AG305" i="30"/>
  <c r="AO296" i="30"/>
  <c r="AQ289" i="30"/>
  <c r="AM282" i="30"/>
  <c r="AM275" i="30"/>
  <c r="Z303" i="30"/>
  <c r="W297" i="30"/>
  <c r="AA291" i="30"/>
  <c r="AB285" i="30"/>
  <c r="AA278" i="30"/>
  <c r="S273" i="30"/>
  <c r="CO302" i="30"/>
  <c r="CR302" i="30"/>
  <c r="CU277" i="30"/>
  <c r="CC292" i="30"/>
  <c r="CA276" i="30"/>
  <c r="BR303" i="30"/>
  <c r="BM293" i="30"/>
  <c r="BI282" i="30"/>
  <c r="BP272" i="30"/>
  <c r="AU307" i="30"/>
  <c r="BC297" i="30"/>
  <c r="AW287" i="30"/>
  <c r="AV278" i="30"/>
  <c r="AF305" i="30"/>
  <c r="AN296" i="30"/>
  <c r="AO289" i="30"/>
  <c r="AL282" i="30"/>
  <c r="AL275" i="30"/>
  <c r="R303" i="30"/>
  <c r="V297" i="30"/>
  <c r="S291" i="30"/>
  <c r="AA285" i="30"/>
  <c r="Z278" i="30"/>
  <c r="AB272" i="30"/>
  <c r="CB274" i="30"/>
  <c r="BH302" i="30"/>
  <c r="BS281" i="30"/>
  <c r="CQ302" i="30"/>
  <c r="CT277" i="30"/>
  <c r="CB292" i="30"/>
  <c r="BZ276" i="30"/>
  <c r="BI302" i="30"/>
  <c r="BL292" i="30"/>
  <c r="BH282" i="30"/>
  <c r="AT307" i="30"/>
  <c r="AV297" i="30"/>
  <c r="AV287" i="30"/>
  <c r="AU278" i="30"/>
  <c r="AQ304" i="30"/>
  <c r="AM296" i="30"/>
  <c r="AF289" i="30"/>
  <c r="AK282" i="30"/>
  <c r="AN274" i="30"/>
  <c r="AA302" i="30"/>
  <c r="U297" i="30"/>
  <c r="R291" i="30"/>
  <c r="V285" i="30"/>
  <c r="Y278" i="30"/>
  <c r="AA272" i="30"/>
  <c r="CK276" i="30"/>
  <c r="BW290" i="30"/>
  <c r="BK292" i="30"/>
  <c r="CS287" i="30"/>
  <c r="CF297" i="30"/>
  <c r="CB279" i="30"/>
  <c r="BK296" i="30"/>
  <c r="BJ286" i="30"/>
  <c r="BJ276" i="30"/>
  <c r="AZ302" i="30"/>
  <c r="BE291" i="30"/>
  <c r="AV281" i="30"/>
  <c r="AG307" i="30"/>
  <c r="AI300" i="30"/>
  <c r="AQ292" i="30"/>
  <c r="AI286" i="30"/>
  <c r="AP277" i="30"/>
  <c r="U306" i="30"/>
  <c r="U300" i="30"/>
  <c r="R294" i="30"/>
  <c r="V287" i="30"/>
  <c r="X281" i="30"/>
  <c r="U275" i="30"/>
  <c r="CO286" i="30"/>
  <c r="CC297" i="30"/>
  <c r="CD278" i="30"/>
  <c r="CM295" i="30"/>
  <c r="BZ289" i="30"/>
  <c r="BM300" i="30"/>
  <c r="BM287" i="30"/>
  <c r="BK275" i="30"/>
  <c r="AU298" i="30"/>
  <c r="AX286" i="30"/>
  <c r="AY275" i="30"/>
  <c r="AM306" i="30"/>
  <c r="AF299" i="30"/>
  <c r="AF290" i="30"/>
  <c r="AM281" i="30"/>
  <c r="AJ273" i="30"/>
  <c r="AB301" i="30"/>
  <c r="AC294" i="30"/>
  <c r="AA287" i="30"/>
  <c r="AB280" i="30"/>
  <c r="Z273" i="30"/>
  <c r="CL294" i="30"/>
  <c r="BW289" i="30"/>
  <c r="BL300" i="30"/>
  <c r="BL287" i="30"/>
  <c r="BQ274" i="30"/>
  <c r="BB296" i="30"/>
  <c r="AZ285" i="30"/>
  <c r="AX275" i="30"/>
  <c r="AJ306" i="30"/>
  <c r="AJ298" i="30"/>
  <c r="AQ288" i="30"/>
  <c r="AI281" i="30"/>
  <c r="AI273" i="30"/>
  <c r="AA301" i="30"/>
  <c r="AB294" i="30"/>
  <c r="R287" i="30"/>
  <c r="AA280" i="30"/>
  <c r="Y273" i="30"/>
  <c r="CT293" i="30"/>
  <c r="CM279" i="30"/>
  <c r="BZ299" i="30"/>
  <c r="CD277" i="30"/>
  <c r="BI306" i="30"/>
  <c r="BI294" i="30"/>
  <c r="BO281" i="30"/>
  <c r="AZ303" i="30"/>
  <c r="AT292" i="30"/>
  <c r="AT280" i="30"/>
  <c r="AO301" i="30"/>
  <c r="AM293" i="30"/>
  <c r="AJ286" i="30"/>
  <c r="AH277" i="30"/>
  <c r="Y305" i="30"/>
  <c r="T298" i="30"/>
  <c r="AA290" i="30"/>
  <c r="R284" i="30"/>
  <c r="AB276" i="30"/>
  <c r="CS278" i="30"/>
  <c r="BY299" i="30"/>
  <c r="CC277" i="30"/>
  <c r="BN305" i="30"/>
  <c r="BR293" i="30"/>
  <c r="BL280" i="30"/>
  <c r="AV303" i="30"/>
  <c r="BD291" i="30"/>
  <c r="BC279" i="30"/>
  <c r="AN301" i="30"/>
  <c r="AL293" i="30"/>
  <c r="AM285" i="30"/>
  <c r="AJ276" i="30"/>
  <c r="X305" i="30"/>
  <c r="S298" i="30"/>
  <c r="Z290" i="30"/>
  <c r="AC283" i="30"/>
  <c r="AA276" i="30"/>
  <c r="CR306" i="30"/>
  <c r="CJ276" i="30"/>
  <c r="CO306" i="30"/>
  <c r="CM275" i="30"/>
  <c r="CC296" i="30"/>
  <c r="BY277" i="30"/>
  <c r="BL305" i="30"/>
  <c r="BI292" i="30"/>
  <c r="BJ280" i="30"/>
  <c r="BB302" i="30"/>
  <c r="AU291" i="30"/>
  <c r="BA279" i="30"/>
  <c r="AI301" i="30"/>
  <c r="AJ293" i="30"/>
  <c r="AO283" i="30"/>
  <c r="AF276" i="30"/>
  <c r="V305" i="30"/>
  <c r="T297" i="30"/>
  <c r="X290" i="30"/>
  <c r="U283" i="30"/>
  <c r="S276" i="30"/>
  <c r="CM306" i="30"/>
  <c r="CL275" i="30"/>
  <c r="BZ296" i="30"/>
  <c r="BX277" i="30"/>
  <c r="BK305" i="30"/>
  <c r="BH292" i="30"/>
  <c r="BI280" i="30"/>
  <c r="BA302" i="30"/>
  <c r="AT291" i="30"/>
  <c r="AZ279" i="30"/>
  <c r="AH301" i="30"/>
  <c r="AF293" i="30"/>
  <c r="AN283" i="30"/>
  <c r="AQ275" i="30"/>
  <c r="U305" i="30"/>
  <c r="AB296" i="30"/>
  <c r="W290" i="30"/>
  <c r="T283" i="30"/>
  <c r="R276" i="30"/>
  <c r="CL288" i="30"/>
  <c r="BX295" i="30"/>
  <c r="BN295" i="30"/>
  <c r="BL279" i="30"/>
  <c r="AY306" i="30"/>
  <c r="BD292" i="30"/>
  <c r="AX278" i="30"/>
  <c r="AF302" i="30"/>
  <c r="AN292" i="30"/>
  <c r="AF282" i="30"/>
  <c r="T307" i="30"/>
  <c r="W298" i="30"/>
  <c r="W289" i="30"/>
  <c r="T281" i="30"/>
  <c r="X272" i="30"/>
  <c r="CT287" i="30"/>
  <c r="BW295" i="30"/>
  <c r="BM295" i="30"/>
  <c r="BM277" i="30"/>
  <c r="BE305" i="30"/>
  <c r="BA292" i="30"/>
  <c r="BE277" i="30"/>
  <c r="AQ301" i="30"/>
  <c r="AJ292" i="30"/>
  <c r="AN281" i="30"/>
  <c r="S307" i="30"/>
  <c r="V289" i="30"/>
  <c r="AC280" i="30"/>
  <c r="BH295" i="30"/>
  <c r="BJ277" i="30"/>
  <c r="BD305" i="30"/>
  <c r="BA277" i="30"/>
  <c r="AP301" i="30"/>
  <c r="AH281" i="30"/>
  <c r="U298" i="30"/>
  <c r="CT285" i="30"/>
  <c r="AX304" i="30"/>
  <c r="V298" i="30"/>
  <c r="CN286" i="30"/>
  <c r="BV295" i="30"/>
  <c r="AZ292" i="30"/>
  <c r="AF292" i="30"/>
  <c r="Z306" i="30"/>
  <c r="U289" i="30"/>
  <c r="X280" i="30"/>
  <c r="CE293" i="30"/>
  <c r="BS294" i="30"/>
  <c r="BQ276" i="30"/>
  <c r="AX291" i="30"/>
  <c r="CT302" i="30"/>
  <c r="CF306" i="30"/>
  <c r="CA278" i="30"/>
  <c r="BO300" i="30"/>
  <c r="BP285" i="30"/>
  <c r="BA296" i="30"/>
  <c r="AY284" i="30"/>
  <c r="AI306" i="30"/>
  <c r="AK295" i="30"/>
  <c r="AO286" i="30"/>
  <c r="AN275" i="30"/>
  <c r="Z301" i="30"/>
  <c r="R293" i="30"/>
  <c r="U284" i="30"/>
  <c r="AA275" i="30"/>
  <c r="T284" i="30"/>
  <c r="CB304" i="30"/>
  <c r="BH300" i="30"/>
  <c r="BE283" i="30"/>
  <c r="AG306" i="30"/>
  <c r="AG295" i="30"/>
  <c r="AK286" i="30"/>
  <c r="AL274" i="30"/>
  <c r="W301" i="30"/>
  <c r="S284" i="30"/>
  <c r="AA274" i="30"/>
  <c r="CR298" i="30"/>
  <c r="CA304" i="30"/>
  <c r="BS299" i="30"/>
  <c r="BD283" i="30"/>
  <c r="AF306" i="30"/>
  <c r="AJ285" i="30"/>
  <c r="V292" i="30"/>
  <c r="AB283" i="30"/>
  <c r="CN296" i="30"/>
  <c r="CG276" i="30"/>
  <c r="BI284" i="30"/>
  <c r="BB295" i="30"/>
  <c r="AQ305" i="30"/>
  <c r="AM283" i="30"/>
  <c r="U292" i="30"/>
  <c r="S283" i="30"/>
  <c r="CK302" i="30"/>
  <c r="BZ305" i="30"/>
  <c r="CG277" i="30"/>
  <c r="BN300" i="30"/>
  <c r="BO285" i="30"/>
  <c r="AZ296" i="30"/>
  <c r="AT284" i="30"/>
  <c r="AH306" i="30"/>
  <c r="AI295" i="30"/>
  <c r="AN286" i="30"/>
  <c r="AM274" i="30"/>
  <c r="X301" i="30"/>
  <c r="AA292" i="30"/>
  <c r="AB274" i="30"/>
  <c r="CM301" i="30"/>
  <c r="CF277" i="30"/>
  <c r="BJ285" i="30"/>
  <c r="AW296" i="30"/>
  <c r="Z292" i="30"/>
  <c r="BZ277" i="30"/>
  <c r="BJ284" i="30"/>
  <c r="AV296" i="30"/>
  <c r="AF295" i="30"/>
  <c r="AK274" i="30"/>
  <c r="V301" i="30"/>
  <c r="Z274" i="30"/>
  <c r="BZ302" i="30"/>
  <c r="BR299" i="30"/>
  <c r="AW283" i="30"/>
  <c r="AQ294" i="30"/>
  <c r="AJ274" i="30"/>
  <c r="S301" i="30"/>
  <c r="W274" i="30"/>
  <c r="Z55" i="30"/>
  <c r="AA249" i="30"/>
  <c r="R286" i="30"/>
  <c r="AA307" i="30"/>
  <c r="AL273" i="30"/>
  <c r="BA243" i="30"/>
  <c r="AU277" i="30"/>
  <c r="BH8" i="30"/>
  <c r="BP244" i="30"/>
  <c r="BR283" i="30"/>
  <c r="BL304" i="30"/>
  <c r="CC241" i="30"/>
  <c r="BX302" i="30"/>
  <c r="CO274" i="30"/>
  <c r="AA63" i="30"/>
  <c r="AB196" i="30"/>
  <c r="T226" i="30"/>
  <c r="S250" i="30"/>
  <c r="X273" i="30"/>
  <c r="S286" i="30"/>
  <c r="X296" i="30"/>
  <c r="AB307" i="30"/>
  <c r="AH246" i="30"/>
  <c r="AM273" i="30"/>
  <c r="AP287" i="30"/>
  <c r="AP300" i="30"/>
  <c r="AY244" i="30"/>
  <c r="AV277" i="30"/>
  <c r="AV298" i="30"/>
  <c r="BJ23" i="30"/>
  <c r="BQ244" i="30"/>
  <c r="BS283" i="30"/>
  <c r="BM305" i="30"/>
  <c r="BY302" i="30"/>
  <c r="CT274" i="30"/>
  <c r="CM93" i="30"/>
  <c r="AF111" i="30"/>
  <c r="Y112" i="30"/>
  <c r="AQ110" i="30"/>
  <c r="X112" i="30"/>
  <c r="AP110" i="30"/>
  <c r="Z107" i="30"/>
  <c r="BS89" i="30"/>
  <c r="R90" i="30"/>
  <c r="BC115" i="30"/>
  <c r="AQ114" i="30"/>
  <c r="V85" i="30"/>
  <c r="AY105" i="30"/>
  <c r="AP113" i="30"/>
  <c r="BK85" i="30"/>
  <c r="AO91" i="30"/>
  <c r="U100" i="30"/>
  <c r="AK86" i="30"/>
  <c r="T100" i="30"/>
  <c r="AK84" i="30"/>
  <c r="AB97" i="30"/>
  <c r="AA97" i="30"/>
  <c r="X117" i="30"/>
  <c r="AF117" i="30"/>
  <c r="V117" i="30"/>
  <c r="W117" i="30"/>
  <c r="AQ116" i="30"/>
  <c r="S90" i="30"/>
  <c r="R87" i="30"/>
  <c r="BE115" i="30"/>
  <c r="AB87" i="30"/>
  <c r="AU105" i="30"/>
  <c r="BA104" i="30"/>
  <c r="AC86" i="30"/>
  <c r="AX97" i="30"/>
  <c r="AV33" i="30"/>
  <c r="CD230" i="30"/>
  <c r="BP205" i="30"/>
  <c r="AT215" i="30"/>
  <c r="AM228" i="30"/>
  <c r="AI209" i="30"/>
  <c r="AB218" i="30"/>
  <c r="S206" i="30"/>
  <c r="CE213" i="30"/>
  <c r="BM205" i="30"/>
  <c r="CC229" i="30"/>
  <c r="BO205" i="30"/>
  <c r="BC208" i="30"/>
  <c r="AK228" i="30"/>
  <c r="AG209" i="30"/>
  <c r="AA230" i="30"/>
  <c r="V218" i="30"/>
  <c r="Z204" i="30"/>
  <c r="CB229" i="30"/>
  <c r="BN205" i="30"/>
  <c r="BD207" i="30"/>
  <c r="AJ228" i="30"/>
  <c r="AF209" i="30"/>
  <c r="Z230" i="30"/>
  <c r="U218" i="30"/>
  <c r="Y204" i="30"/>
  <c r="BL227" i="30"/>
  <c r="AY224" i="30"/>
  <c r="BD197" i="30"/>
  <c r="AM217" i="30"/>
  <c r="AN198" i="30"/>
  <c r="AA225" i="30"/>
  <c r="AA209" i="30"/>
  <c r="X196" i="30"/>
  <c r="BI201" i="30"/>
  <c r="AU225" i="30"/>
  <c r="AO216" i="30"/>
  <c r="Y228" i="30"/>
  <c r="Z213" i="30"/>
  <c r="Z196" i="30"/>
  <c r="BH201" i="30"/>
  <c r="AT225" i="30"/>
  <c r="AQ214" i="30"/>
  <c r="X228" i="30"/>
  <c r="Z210" i="30"/>
  <c r="W196" i="30"/>
  <c r="BX212" i="30"/>
  <c r="BE204" i="30"/>
  <c r="AM222" i="30"/>
  <c r="AN203" i="30"/>
  <c r="V219" i="30"/>
  <c r="Z203" i="30"/>
  <c r="BW210" i="30"/>
  <c r="BD204" i="30"/>
  <c r="AK222" i="30"/>
  <c r="AH203" i="30"/>
  <c r="R219" i="30"/>
  <c r="W203" i="30"/>
  <c r="CB204" i="30"/>
  <c r="BJ227" i="30"/>
  <c r="AW203" i="30"/>
  <c r="AF221" i="30"/>
  <c r="AP201" i="30"/>
  <c r="S218" i="30"/>
  <c r="R203" i="30"/>
  <c r="CD200" i="30"/>
  <c r="BI227" i="30"/>
  <c r="AU203" i="30"/>
  <c r="AQ220" i="30"/>
  <c r="AO201" i="30"/>
  <c r="R218" i="30"/>
  <c r="AC202" i="30"/>
  <c r="BN200" i="30"/>
  <c r="AY219" i="30"/>
  <c r="AN220" i="30"/>
  <c r="AN196" i="30"/>
  <c r="U214" i="30"/>
  <c r="BM200" i="30"/>
  <c r="AX219" i="30"/>
  <c r="AM220" i="30"/>
  <c r="T214" i="30"/>
  <c r="BR198" i="30"/>
  <c r="AQ219" i="30"/>
  <c r="Y230" i="30"/>
  <c r="AU219" i="30"/>
  <c r="S214" i="30"/>
  <c r="BH198" i="30"/>
  <c r="BO223" i="30"/>
  <c r="BB229" i="30"/>
  <c r="AZ196" i="30"/>
  <c r="AN231" i="30"/>
  <c r="AN207" i="30"/>
  <c r="T221" i="30"/>
  <c r="AC201" i="30"/>
  <c r="BD228" i="30"/>
  <c r="AG231" i="30"/>
  <c r="AK207" i="30"/>
  <c r="Z198" i="30"/>
  <c r="AX226" i="30"/>
  <c r="AJ207" i="30"/>
  <c r="Y198" i="30"/>
  <c r="BQ221" i="30"/>
  <c r="BB225" i="30"/>
  <c r="AJ230" i="30"/>
  <c r="AA220" i="30"/>
  <c r="BN223" i="30"/>
  <c r="AU229" i="30"/>
  <c r="AH231" i="30"/>
  <c r="AM207" i="30"/>
  <c r="S221" i="30"/>
  <c r="AB198" i="30"/>
  <c r="BM223" i="30"/>
  <c r="AC220" i="30"/>
  <c r="BL223" i="30"/>
  <c r="AF231" i="30"/>
  <c r="AB220" i="30"/>
  <c r="AO203" i="30"/>
  <c r="X198" i="30"/>
  <c r="X222" i="30"/>
  <c r="AK209" i="30"/>
  <c r="BK246" i="30"/>
  <c r="AY264" i="30"/>
  <c r="BD241" i="30"/>
  <c r="AJ260" i="30"/>
  <c r="AF246" i="30"/>
  <c r="AA259" i="30"/>
  <c r="AC245" i="30"/>
  <c r="X235" i="30"/>
  <c r="BN269" i="30"/>
  <c r="BJ246" i="30"/>
  <c r="BC262" i="30"/>
  <c r="BC241" i="30"/>
  <c r="AI260" i="30"/>
  <c r="AQ245" i="30"/>
  <c r="Z259" i="30"/>
  <c r="X245" i="30"/>
  <c r="BR244" i="30"/>
  <c r="BO269" i="30"/>
  <c r="BK245" i="30"/>
  <c r="BA259" i="30"/>
  <c r="AW241" i="30"/>
  <c r="AH260" i="30"/>
  <c r="AO245" i="30"/>
  <c r="X259" i="30"/>
  <c r="W245" i="30"/>
  <c r="CN248" i="30"/>
  <c r="CD242" i="30"/>
  <c r="BO254" i="30"/>
  <c r="BC269" i="30"/>
  <c r="BD247" i="30"/>
  <c r="AF266" i="30"/>
  <c r="AK250" i="30"/>
  <c r="AG237" i="30"/>
  <c r="W264" i="30"/>
  <c r="S252" i="30"/>
  <c r="Z239" i="30"/>
  <c r="CO247" i="30"/>
  <c r="CD241" i="30"/>
  <c r="CO250" i="30"/>
  <c r="CB256" i="30"/>
  <c r="BQ249" i="30"/>
  <c r="AW255" i="30"/>
  <c r="AQ253" i="30"/>
  <c r="AI237" i="30"/>
  <c r="AC258" i="30"/>
  <c r="X244" i="30"/>
  <c r="CR249" i="30"/>
  <c r="CA256" i="30"/>
  <c r="BO249" i="30"/>
  <c r="BC252" i="30"/>
  <c r="AP253" i="30"/>
  <c r="AH237" i="30"/>
  <c r="AB258" i="30"/>
  <c r="W244" i="30"/>
  <c r="CU248" i="30"/>
  <c r="BQ261" i="30"/>
  <c r="BP234" i="30"/>
  <c r="BB266" i="30"/>
  <c r="AX240" i="30"/>
  <c r="AJ262" i="30"/>
  <c r="AN245" i="30"/>
  <c r="S265" i="30"/>
  <c r="R251" i="30"/>
  <c r="X238" i="30"/>
  <c r="BP261" i="30"/>
  <c r="BO234" i="30"/>
  <c r="BA266" i="30"/>
  <c r="AW239" i="30"/>
  <c r="AI262" i="30"/>
  <c r="AN244" i="30"/>
  <c r="Z264" i="30"/>
  <c r="AC250" i="30"/>
  <c r="V238" i="30"/>
  <c r="BI261" i="30"/>
  <c r="AZ264" i="30"/>
  <c r="AU239" i="30"/>
  <c r="AK260" i="30"/>
  <c r="AG243" i="30"/>
  <c r="X264" i="30"/>
  <c r="AA250" i="30"/>
  <c r="U236" i="30"/>
  <c r="BQ260" i="30"/>
  <c r="AZ259" i="30"/>
  <c r="BB238" i="30"/>
  <c r="AG260" i="30"/>
  <c r="AF243" i="30"/>
  <c r="U264" i="30"/>
  <c r="U250" i="30"/>
  <c r="AB235" i="30"/>
  <c r="BZ262" i="30"/>
  <c r="BO250" i="30"/>
  <c r="BB255" i="30"/>
  <c r="AQ268" i="30"/>
  <c r="AQ247" i="30"/>
  <c r="AA252" i="30"/>
  <c r="AA235" i="30"/>
  <c r="CC256" i="30"/>
  <c r="BN250" i="30"/>
  <c r="AY255" i="30"/>
  <c r="AP268" i="30"/>
  <c r="AM247" i="30"/>
  <c r="V269" i="30"/>
  <c r="Z235" i="30"/>
  <c r="BZ256" i="30"/>
  <c r="BA251" i="30"/>
  <c r="AJ246" i="30"/>
  <c r="R269" i="30"/>
  <c r="BZ254" i="30"/>
  <c r="BR249" i="30"/>
  <c r="Z252" i="30"/>
  <c r="BS249" i="30"/>
  <c r="AO268" i="30"/>
  <c r="Y252" i="30"/>
  <c r="CS242" i="30"/>
  <c r="BR268" i="30"/>
  <c r="BE266" i="30"/>
  <c r="AF256" i="30"/>
  <c r="R260" i="30"/>
  <c r="AA242" i="30"/>
  <c r="CM242" i="30"/>
  <c r="BR263" i="30"/>
  <c r="AG253" i="30"/>
  <c r="T257" i="30"/>
  <c r="V242" i="30"/>
  <c r="CK240" i="30"/>
  <c r="BI262" i="30"/>
  <c r="AP250" i="30"/>
  <c r="S257" i="30"/>
  <c r="U240" i="30"/>
  <c r="AY259" i="30"/>
  <c r="AN250" i="30"/>
  <c r="R257" i="30"/>
  <c r="CP242" i="30"/>
  <c r="BM264" i="30"/>
  <c r="BD266" i="30"/>
  <c r="AG255" i="30"/>
  <c r="AC259" i="30"/>
  <c r="Z242" i="30"/>
  <c r="BC266" i="30"/>
  <c r="BB264" i="30"/>
  <c r="CL235" i="30"/>
  <c r="BR261" i="30"/>
  <c r="T240" i="30"/>
  <c r="U125" i="30"/>
  <c r="AN210" i="30"/>
  <c r="AO242" i="30"/>
  <c r="AV243" i="30"/>
  <c r="CB241" i="30"/>
  <c r="AB225" i="30"/>
  <c r="AO210" i="30"/>
  <c r="AL287" i="30"/>
  <c r="AC196" i="30"/>
  <c r="T250" i="30"/>
  <c r="R274" i="30"/>
  <c r="T286" i="30"/>
  <c r="AJ86" i="30"/>
  <c r="AM213" i="30"/>
  <c r="AI246" i="30"/>
  <c r="AO275" i="30"/>
  <c r="AQ287" i="30"/>
  <c r="AM301" i="30"/>
  <c r="BE197" i="30"/>
  <c r="AZ244" i="30"/>
  <c r="AZ277" i="30"/>
  <c r="AY298" i="30"/>
  <c r="BL23" i="30"/>
  <c r="BK247" i="30"/>
  <c r="BQ285" i="30"/>
  <c r="BR306" i="30"/>
  <c r="BX248" i="30"/>
  <c r="CG306" i="30"/>
  <c r="CJ275" i="30"/>
  <c r="R71" i="30"/>
  <c r="R49" i="30"/>
  <c r="AA70" i="30"/>
  <c r="AB48" i="30"/>
  <c r="Z70" i="30"/>
  <c r="S47" i="30"/>
  <c r="R54" i="30"/>
  <c r="S51" i="30"/>
  <c r="X75" i="30"/>
  <c r="AC50" i="30"/>
  <c r="S64" i="30"/>
  <c r="AB63" i="30"/>
  <c r="T59" i="30"/>
  <c r="T56" i="30"/>
  <c r="X66" i="30"/>
  <c r="W66" i="30"/>
  <c r="V66" i="30"/>
  <c r="Z46" i="30"/>
  <c r="W75" i="30"/>
  <c r="V46" i="30"/>
  <c r="AA116" i="30"/>
  <c r="AC53" i="30"/>
  <c r="T117" i="30"/>
  <c r="W221" i="30"/>
  <c r="AJ209" i="30"/>
  <c r="AX35" i="30"/>
  <c r="Z249" i="30"/>
  <c r="BO244" i="30"/>
  <c r="AA196" i="30"/>
  <c r="W273" i="30"/>
  <c r="W296" i="30"/>
  <c r="AJ244" i="30"/>
  <c r="AO300" i="30"/>
  <c r="BE90" i="30"/>
  <c r="AX295" i="30"/>
  <c r="V227" i="30"/>
  <c r="Y296" i="30"/>
  <c r="S66" i="30"/>
  <c r="V198" i="30"/>
  <c r="W227" i="30"/>
  <c r="AB250" i="30"/>
  <c r="S274" i="30"/>
  <c r="U286" i="30"/>
  <c r="Z296" i="30"/>
  <c r="AP91" i="30"/>
  <c r="AN213" i="30"/>
  <c r="AF248" i="30"/>
  <c r="AP275" i="30"/>
  <c r="AI288" i="30"/>
  <c r="AG302" i="30"/>
  <c r="AT198" i="30"/>
  <c r="AW245" i="30"/>
  <c r="BC278" i="30"/>
  <c r="AZ298" i="30"/>
  <c r="BM33" i="30"/>
  <c r="BM248" i="30"/>
  <c r="BH286" i="30"/>
  <c r="BL307" i="30"/>
  <c r="BY254" i="30"/>
  <c r="BX307" i="30"/>
  <c r="CM282" i="30"/>
  <c r="AA312" i="30"/>
  <c r="AB316" i="30"/>
  <c r="Y320" i="30"/>
  <c r="AA324" i="30"/>
  <c r="Z328" i="30"/>
  <c r="Y332" i="30"/>
  <c r="AB336" i="30"/>
  <c r="R341" i="30"/>
  <c r="Z344" i="30"/>
  <c r="AN314" i="30"/>
  <c r="AM319" i="30"/>
  <c r="AK324" i="30"/>
  <c r="AP328" i="30"/>
  <c r="AH334" i="30"/>
  <c r="AO338" i="30"/>
  <c r="AI344" i="30"/>
  <c r="AX312" i="30"/>
  <c r="BC317" i="30"/>
  <c r="AW324" i="30"/>
  <c r="AZ330" i="30"/>
  <c r="AV336" i="30"/>
  <c r="AU342" i="30"/>
  <c r="BJ310" i="30"/>
  <c r="BH317" i="30"/>
  <c r="BM324" i="30"/>
  <c r="BR331" i="30"/>
  <c r="BI339" i="30"/>
  <c r="CF319" i="30"/>
  <c r="CB337" i="30"/>
  <c r="CS312" i="30"/>
  <c r="CT343" i="30"/>
  <c r="R311" i="30"/>
  <c r="U315" i="30"/>
  <c r="V319" i="30"/>
  <c r="S323" i="30"/>
  <c r="R327" i="30"/>
  <c r="R331" i="30"/>
  <c r="S335" i="30"/>
  <c r="AB338" i="30"/>
  <c r="R343" i="30"/>
  <c r="AI312" i="30"/>
  <c r="AQ316" i="30"/>
  <c r="AO321" i="30"/>
  <c r="AQ326" i="30"/>
  <c r="AM331" i="30"/>
  <c r="AO336" i="30"/>
  <c r="AQ341" i="30"/>
  <c r="BE315" i="30"/>
  <c r="BB321" i="30"/>
  <c r="BB327" i="30"/>
  <c r="AY334" i="30"/>
  <c r="AW340" i="30"/>
  <c r="BM314" i="30"/>
  <c r="BI321" i="30"/>
  <c r="BR328" i="30"/>
  <c r="BP335" i="30"/>
  <c r="BR342" i="30"/>
  <c r="CF310" i="30"/>
  <c r="CA330" i="30"/>
  <c r="CQ329" i="30"/>
  <c r="V311" i="30"/>
  <c r="V315" i="30"/>
  <c r="W319" i="30"/>
  <c r="T323" i="30"/>
  <c r="V327" i="30"/>
  <c r="S331" i="30"/>
  <c r="T335" i="30"/>
  <c r="AC338" i="30"/>
  <c r="S343" i="30"/>
  <c r="AJ312" i="30"/>
  <c r="AF317" i="30"/>
  <c r="AG322" i="30"/>
  <c r="AG327" i="30"/>
  <c r="AN331" i="30"/>
  <c r="AP336" i="30"/>
  <c r="AF342" i="30"/>
  <c r="AW316" i="30"/>
  <c r="BC321" i="30"/>
  <c r="BE327" i="30"/>
  <c r="BB334" i="30"/>
  <c r="AX340" i="30"/>
  <c r="BN314" i="30"/>
  <c r="BJ321" i="30"/>
  <c r="BS328" i="30"/>
  <c r="BS335" i="30"/>
  <c r="BH343" i="30"/>
  <c r="BY311" i="30"/>
  <c r="CB330" i="30"/>
  <c r="CN330" i="30"/>
  <c r="W311" i="30"/>
  <c r="W315" i="30"/>
  <c r="X319" i="30"/>
  <c r="U323" i="30"/>
  <c r="W327" i="30"/>
  <c r="T331" i="30"/>
  <c r="U335" i="30"/>
  <c r="R339" i="30"/>
  <c r="T343" i="30"/>
  <c r="AK312" i="30"/>
  <c r="AJ317" i="30"/>
  <c r="AI322" i="30"/>
  <c r="AJ327" i="30"/>
  <c r="AI332" i="30"/>
  <c r="AH337" i="30"/>
  <c r="AG342" i="30"/>
  <c r="AX316" i="30"/>
  <c r="AX322" i="30"/>
  <c r="AV328" i="30"/>
  <c r="BC334" i="30"/>
  <c r="AY340" i="30"/>
  <c r="BQ314" i="30"/>
  <c r="BM321" i="30"/>
  <c r="BH329" i="30"/>
  <c r="BI336" i="30"/>
  <c r="BM343" i="30"/>
  <c r="BZ311" i="30"/>
  <c r="CE330" i="30"/>
  <c r="CS330" i="30"/>
  <c r="Y255" i="24"/>
  <c r="AU98" i="24"/>
  <c r="AB434" i="24"/>
  <c r="CA234" i="24"/>
  <c r="AC436" i="24"/>
  <c r="BB106" i="24"/>
  <c r="BE106" i="24"/>
  <c r="AC438" i="24"/>
  <c r="AY200" i="24"/>
  <c r="CC247" i="24"/>
  <c r="Y439" i="24"/>
  <c r="CD247" i="24"/>
  <c r="V441" i="24"/>
  <c r="AZ207" i="24"/>
  <c r="BV248" i="24"/>
  <c r="R256" i="24"/>
  <c r="S256" i="24"/>
  <c r="T266" i="24"/>
  <c r="CA113" i="24"/>
  <c r="BY234" i="24"/>
  <c r="Z363" i="24"/>
  <c r="BZ234" i="24"/>
  <c r="BB98" i="24"/>
  <c r="BA106" i="24"/>
  <c r="S437" i="24"/>
  <c r="CF235" i="24"/>
  <c r="Z437" i="24"/>
  <c r="CG235" i="24"/>
  <c r="AU206" i="24"/>
  <c r="W441" i="24"/>
  <c r="BB207" i="24"/>
  <c r="BW248" i="24"/>
  <c r="CE103" i="24"/>
  <c r="Y441" i="24"/>
  <c r="BD257" i="24"/>
  <c r="BZ450" i="24"/>
  <c r="T82" i="24"/>
  <c r="Z446" i="24"/>
  <c r="AT258" i="24"/>
  <c r="CD450" i="24"/>
  <c r="U267" i="24"/>
  <c r="CE234" i="24"/>
  <c r="W82" i="24"/>
  <c r="AV258" i="24"/>
  <c r="BX455" i="24"/>
  <c r="W15" i="30"/>
  <c r="AF27" i="30"/>
  <c r="BR41" i="30"/>
  <c r="BZ12" i="30"/>
  <c r="CM310" i="30"/>
  <c r="CT336" i="30"/>
  <c r="CO355" i="30"/>
  <c r="CL366" i="30"/>
  <c r="CP377" i="30"/>
  <c r="CP449" i="30"/>
  <c r="CJ453" i="30"/>
  <c r="AA15" i="30"/>
  <c r="AG27" i="30"/>
  <c r="AC29" i="30"/>
  <c r="AJ39" i="30"/>
  <c r="R30" i="30"/>
  <c r="AK39" i="30"/>
  <c r="V32" i="30"/>
  <c r="AL41" i="30"/>
  <c r="AB34" i="30"/>
  <c r="AM41" i="30"/>
  <c r="AC34" i="30"/>
  <c r="AN41" i="30"/>
  <c r="R35" i="30"/>
  <c r="S35" i="30"/>
  <c r="CL315" i="30"/>
  <c r="CR345" i="30"/>
  <c r="CN358" i="30"/>
  <c r="CN370" i="30"/>
  <c r="AC100" i="24"/>
  <c r="S101" i="24"/>
  <c r="Y203" i="24"/>
  <c r="AA203" i="24"/>
  <c r="BO234" i="24"/>
  <c r="BP234" i="24"/>
  <c r="T240" i="24"/>
  <c r="AF268" i="24"/>
  <c r="U240" i="24"/>
  <c r="AL89" i="24"/>
  <c r="AV251" i="24"/>
  <c r="V240" i="24"/>
  <c r="AW251" i="24"/>
  <c r="AZ251" i="24"/>
  <c r="AO210" i="24"/>
  <c r="AB241" i="24"/>
  <c r="V425" i="24"/>
  <c r="AP210" i="24"/>
  <c r="AQ390" i="24"/>
  <c r="AX252" i="24"/>
  <c r="BN266" i="24"/>
  <c r="CR93" i="24"/>
  <c r="AV234" i="24"/>
  <c r="Z203" i="24"/>
  <c r="AL263" i="24"/>
  <c r="BM132" i="24"/>
  <c r="AX234" i="24"/>
  <c r="AB212" i="24"/>
  <c r="BI234" i="24"/>
  <c r="AC212" i="24"/>
  <c r="AZ234" i="24"/>
  <c r="BA235" i="24"/>
  <c r="T380" i="24"/>
  <c r="AI89" i="24"/>
  <c r="BP254" i="24"/>
  <c r="S382" i="24"/>
  <c r="BQ254" i="24"/>
  <c r="V414" i="24"/>
  <c r="AP358" i="24"/>
  <c r="T241" i="24"/>
  <c r="T425" i="24"/>
  <c r="AG359" i="24"/>
  <c r="AC241" i="24"/>
  <c r="Y425" i="24"/>
  <c r="AJ220" i="24"/>
  <c r="AG434" i="24"/>
  <c r="BB252" i="24"/>
  <c r="BP266" i="24"/>
  <c r="CQ96" i="24"/>
  <c r="AA100" i="24"/>
  <c r="AB100" i="24"/>
  <c r="BD207" i="24"/>
  <c r="V267" i="24"/>
  <c r="AJ263" i="24"/>
  <c r="AK263" i="24"/>
  <c r="X370" i="24"/>
  <c r="BH234" i="24"/>
  <c r="Z370" i="24"/>
  <c r="AY234" i="24"/>
  <c r="AH89" i="24"/>
  <c r="BH235" i="24"/>
  <c r="AC381" i="24"/>
  <c r="AM89" i="24"/>
  <c r="T382" i="24"/>
  <c r="AF358" i="24"/>
  <c r="AY251" i="24"/>
  <c r="R241" i="24"/>
  <c r="AH207" i="24"/>
  <c r="BR265" i="24"/>
  <c r="BS265" i="24"/>
  <c r="AC242" i="24"/>
  <c r="AA425" i="24"/>
  <c r="AL220" i="24"/>
  <c r="AH438" i="24"/>
  <c r="BD252" i="24"/>
  <c r="BH267" i="24"/>
  <c r="CR96" i="24"/>
  <c r="Y197" i="24"/>
  <c r="AW223" i="24"/>
  <c r="W267" i="24"/>
  <c r="AW234" i="24"/>
  <c r="AO263" i="24"/>
  <c r="AG267" i="24"/>
  <c r="AB370" i="24"/>
  <c r="AM267" i="24"/>
  <c r="R213" i="24"/>
  <c r="T376" i="24"/>
  <c r="AQ267" i="24"/>
  <c r="BD235" i="24"/>
  <c r="AG322" i="24"/>
  <c r="AJ322" i="24"/>
  <c r="W240" i="24"/>
  <c r="AJ200" i="24"/>
  <c r="BQ265" i="24"/>
  <c r="BA251" i="24"/>
  <c r="R243" i="24"/>
  <c r="T429" i="24"/>
  <c r="AK223" i="24"/>
  <c r="AM439" i="24"/>
  <c r="AV257" i="24"/>
  <c r="BO459" i="24"/>
  <c r="S213" i="24"/>
  <c r="AN223" i="24"/>
  <c r="X213" i="24"/>
  <c r="AO223" i="24"/>
  <c r="BQ196" i="24"/>
  <c r="W11" i="30"/>
  <c r="S92" i="30"/>
  <c r="U117" i="30"/>
  <c r="AL39" i="30"/>
  <c r="AL86" i="30"/>
  <c r="AK113" i="30"/>
  <c r="AZ36" i="30"/>
  <c r="BP89" i="30"/>
  <c r="BR200" i="30"/>
  <c r="BK227" i="30"/>
  <c r="CC230" i="30"/>
  <c r="CG310" i="30"/>
  <c r="BV321" i="30"/>
  <c r="BX331" i="30"/>
  <c r="BV341" i="30"/>
  <c r="CJ314" i="30"/>
  <c r="CN328" i="30"/>
  <c r="CM344" i="30"/>
  <c r="BI41" i="30"/>
  <c r="CT28" i="30"/>
  <c r="CA18" i="30"/>
  <c r="CM28" i="30"/>
  <c r="CF16" i="30"/>
  <c r="BV7" i="30"/>
  <c r="BI204" i="24"/>
  <c r="CG7" i="30"/>
  <c r="CK10" i="30"/>
  <c r="BK204" i="24"/>
  <c r="AI226" i="24"/>
  <c r="CU92" i="30"/>
  <c r="CL99" i="30"/>
  <c r="CU98" i="30"/>
  <c r="R215" i="24"/>
  <c r="AK226" i="24"/>
  <c r="BN204" i="24"/>
  <c r="U15" i="30"/>
  <c r="AC97" i="30"/>
  <c r="AI6" i="30"/>
  <c r="AH92" i="30"/>
  <c r="AI114" i="30"/>
  <c r="AW91" i="30"/>
  <c r="BJ90" i="30"/>
  <c r="BP203" i="30"/>
  <c r="CA12" i="30"/>
  <c r="CA312" i="30"/>
  <c r="CA322" i="30"/>
  <c r="BX333" i="30"/>
  <c r="BY343" i="30"/>
  <c r="CP12" i="30"/>
  <c r="CN99" i="30"/>
  <c r="CS314" i="30"/>
  <c r="CP330" i="30"/>
  <c r="S215" i="24"/>
  <c r="AL226" i="24"/>
  <c r="BK225" i="24"/>
  <c r="AP6" i="30"/>
  <c r="AI92" i="30"/>
  <c r="AJ114" i="30"/>
  <c r="AX91" i="30"/>
  <c r="BK90" i="30"/>
  <c r="CB12" i="30"/>
  <c r="CU27" i="30"/>
  <c r="CU99" i="30"/>
  <c r="R214" i="24"/>
  <c r="AC214" i="24"/>
  <c r="T215" i="24"/>
  <c r="BL225" i="24"/>
  <c r="BB91" i="30"/>
  <c r="BH93" i="30"/>
  <c r="BY21" i="30"/>
  <c r="BW100" i="30"/>
  <c r="CU28" i="30"/>
  <c r="CJ100" i="30"/>
  <c r="CT206" i="30"/>
  <c r="CB222" i="30"/>
  <c r="BX222" i="30"/>
  <c r="CB207" i="30"/>
  <c r="CO229" i="30"/>
  <c r="CB200" i="30"/>
  <c r="Y213" i="24"/>
  <c r="BE91" i="30"/>
  <c r="BI93" i="30"/>
  <c r="CG21" i="30"/>
  <c r="BZ100" i="30"/>
  <c r="CQ29" i="30"/>
  <c r="CL102" i="30"/>
  <c r="BN225" i="24"/>
  <c r="X225" i="24"/>
  <c r="BQ225" i="24"/>
  <c r="AJ14" i="30"/>
  <c r="BD93" i="30"/>
  <c r="BJ93" i="30"/>
  <c r="CB22" i="30"/>
  <c r="BY101" i="30"/>
  <c r="CT32" i="30"/>
  <c r="CL104" i="30"/>
  <c r="CM317" i="30"/>
  <c r="CC27" i="30"/>
  <c r="CE105" i="30"/>
  <c r="CU32" i="30"/>
  <c r="CN108" i="30"/>
  <c r="CQ336" i="30"/>
  <c r="CU340" i="30"/>
  <c r="CK326" i="30"/>
  <c r="CU312" i="30"/>
  <c r="CF336" i="30"/>
  <c r="CD327" i="30"/>
  <c r="BX319" i="30"/>
  <c r="CL340" i="30"/>
  <c r="CR325" i="30"/>
  <c r="CT312" i="30"/>
  <c r="CD345" i="30"/>
  <c r="CE336" i="30"/>
  <c r="CC327" i="30"/>
  <c r="BW319" i="30"/>
  <c r="CQ337" i="30"/>
  <c r="CJ337" i="30"/>
  <c r="CJ323" i="30"/>
  <c r="CO311" i="30"/>
  <c r="CE344" i="30"/>
  <c r="CA335" i="30"/>
  <c r="BV327" i="30"/>
  <c r="BX318" i="30"/>
  <c r="CO333" i="30"/>
  <c r="CO321" i="30"/>
  <c r="BX343" i="30"/>
  <c r="BV334" i="30"/>
  <c r="BZ325" i="30"/>
  <c r="CD315" i="30"/>
  <c r="BI226" i="24"/>
  <c r="U25" i="30"/>
  <c r="AO15" i="30"/>
  <c r="AM96" i="30"/>
  <c r="AJ117" i="30"/>
  <c r="AV7" i="30"/>
  <c r="AY97" i="30"/>
  <c r="BI8" i="30"/>
  <c r="BH97" i="30"/>
  <c r="BQ205" i="30"/>
  <c r="CD27" i="30"/>
  <c r="BW106" i="30"/>
  <c r="BZ314" i="30"/>
  <c r="CG324" i="30"/>
  <c r="CG334" i="30"/>
  <c r="CG344" i="30"/>
  <c r="CP33" i="30"/>
  <c r="CP109" i="30"/>
  <c r="CP317" i="30"/>
  <c r="CJ333" i="30"/>
  <c r="CQ380" i="30"/>
  <c r="CU383" i="30"/>
  <c r="CO376" i="30"/>
  <c r="CQ368" i="30"/>
  <c r="CN360" i="30"/>
  <c r="CR352" i="30"/>
  <c r="CE382" i="30"/>
  <c r="BZ377" i="30"/>
  <c r="CB372" i="30"/>
  <c r="CB367" i="30"/>
  <c r="CE362" i="30"/>
  <c r="CD357" i="30"/>
  <c r="CF352" i="30"/>
  <c r="BX348" i="30"/>
  <c r="CT383" i="30"/>
  <c r="CK376" i="30"/>
  <c r="CM368" i="30"/>
  <c r="CM360" i="30"/>
  <c r="CP352" i="30"/>
  <c r="CD382" i="30"/>
  <c r="BY377" i="30"/>
  <c r="BY372" i="30"/>
  <c r="BW367" i="30"/>
  <c r="CA362" i="30"/>
  <c r="BZ357" i="30"/>
  <c r="CE352" i="30"/>
  <c r="CQ383" i="30"/>
  <c r="CM375" i="30"/>
  <c r="CS367" i="30"/>
  <c r="CJ360" i="30"/>
  <c r="CS351" i="30"/>
  <c r="CL383" i="30"/>
  <c r="CK375" i="30"/>
  <c r="CU366" i="30"/>
  <c r="CU358" i="30"/>
  <c r="CQ351" i="30"/>
  <c r="CG381" i="30"/>
  <c r="CC376" i="30"/>
  <c r="CC371" i="30"/>
  <c r="CD366" i="30"/>
  <c r="CD361" i="30"/>
  <c r="CE356" i="30"/>
  <c r="BZ352" i="30"/>
  <c r="CS380" i="30"/>
  <c r="CL373" i="30"/>
  <c r="CN365" i="30"/>
  <c r="CR357" i="30"/>
  <c r="CQ349" i="30"/>
  <c r="CD380" i="30"/>
  <c r="CG375" i="30"/>
  <c r="CA370" i="30"/>
  <c r="CC365" i="30"/>
  <c r="CA360" i="30"/>
  <c r="CA355" i="30"/>
  <c r="CE350" i="30"/>
  <c r="AN225" i="24"/>
  <c r="Y215" i="24"/>
  <c r="AA225" i="24"/>
  <c r="CF196" i="24"/>
  <c r="CU220" i="24"/>
  <c r="T83" i="30"/>
  <c r="AC101" i="30"/>
  <c r="AC228" i="24"/>
  <c r="BK226" i="24"/>
  <c r="CG196" i="24"/>
  <c r="V25" i="30"/>
  <c r="Y83" i="30"/>
  <c r="U102" i="30"/>
  <c r="AG21" i="30"/>
  <c r="AN96" i="30"/>
  <c r="AK117" i="30"/>
  <c r="AJ211" i="30"/>
  <c r="AG230" i="30"/>
  <c r="AM312" i="30"/>
  <c r="AM317" i="30"/>
  <c r="AH322" i="30"/>
  <c r="AF327" i="30"/>
  <c r="AL331" i="30"/>
  <c r="AM336" i="30"/>
  <c r="AK341" i="30"/>
  <c r="AW7" i="30"/>
  <c r="BB97" i="30"/>
  <c r="AX205" i="30"/>
  <c r="AY229" i="30"/>
  <c r="AT314" i="30"/>
  <c r="AY319" i="30"/>
  <c r="AW325" i="30"/>
  <c r="BA330" i="30"/>
  <c r="BE335" i="30"/>
  <c r="BA341" i="30"/>
  <c r="BN9" i="30"/>
  <c r="BI97" i="30"/>
  <c r="BR208" i="30"/>
  <c r="BQ311" i="30"/>
  <c r="BO317" i="30"/>
  <c r="BQ323" i="30"/>
  <c r="BL329" i="30"/>
  <c r="BL335" i="30"/>
  <c r="BK341" i="30"/>
  <c r="BY28" i="30"/>
  <c r="CC106" i="30"/>
  <c r="CA314" i="30"/>
  <c r="BV325" i="30"/>
  <c r="BV335" i="30"/>
  <c r="BV345" i="30"/>
  <c r="CO35" i="30"/>
  <c r="CS109" i="30"/>
  <c r="CQ317" i="30"/>
  <c r="CK333" i="30"/>
  <c r="CK350" i="30"/>
  <c r="CK360" i="30"/>
  <c r="CP369" i="30"/>
  <c r="CT378" i="30"/>
  <c r="CN420" i="30"/>
  <c r="CS419" i="30"/>
  <c r="CP416" i="30"/>
  <c r="CO413" i="30"/>
  <c r="CN410" i="30"/>
  <c r="CL407" i="30"/>
  <c r="CL404" i="30"/>
  <c r="CL401" i="30"/>
  <c r="CK398" i="30"/>
  <c r="CK395" i="30"/>
  <c r="CJ392" i="30"/>
  <c r="CJ389" i="30"/>
  <c r="BV421" i="30"/>
  <c r="BY418" i="30"/>
  <c r="CB415" i="30"/>
  <c r="CE412" i="30"/>
  <c r="BV410" i="30"/>
  <c r="BY407" i="30"/>
  <c r="CB404" i="30"/>
  <c r="CE401" i="30"/>
  <c r="BV399" i="30"/>
  <c r="BY396" i="30"/>
  <c r="CB393" i="30"/>
  <c r="CE390" i="30"/>
  <c r="BV388" i="30"/>
  <c r="CQ419" i="30"/>
  <c r="CO416" i="30"/>
  <c r="CN413" i="30"/>
  <c r="CL410" i="30"/>
  <c r="CK407" i="30"/>
  <c r="CK404" i="30"/>
  <c r="CK401" i="30"/>
  <c r="CJ398" i="30"/>
  <c r="CU394" i="30"/>
  <c r="CU391" i="30"/>
  <c r="CT388" i="30"/>
  <c r="CG420" i="30"/>
  <c r="BX418" i="30"/>
  <c r="CA415" i="30"/>
  <c r="CD412" i="30"/>
  <c r="CG409" i="30"/>
  <c r="BX407" i="30"/>
  <c r="CA404" i="30"/>
  <c r="CD401" i="30"/>
  <c r="CG398" i="30"/>
  <c r="BX396" i="30"/>
  <c r="CA393" i="30"/>
  <c r="CD390" i="30"/>
  <c r="CG387" i="30"/>
  <c r="CM419" i="30"/>
  <c r="CL416" i="30"/>
  <c r="CK413" i="30"/>
  <c r="CU409" i="30"/>
  <c r="CT406" i="30"/>
  <c r="CT403" i="30"/>
  <c r="CS400" i="30"/>
  <c r="CR397" i="30"/>
  <c r="CR394" i="30"/>
  <c r="CR391" i="30"/>
  <c r="CQ388" i="30"/>
  <c r="CK419" i="30"/>
  <c r="CJ416" i="30"/>
  <c r="CT412" i="30"/>
  <c r="CS409" i="30"/>
  <c r="CR406" i="30"/>
  <c r="CQ403" i="30"/>
  <c r="CP400" i="30"/>
  <c r="CP397" i="30"/>
  <c r="CP394" i="30"/>
  <c r="CO391" i="30"/>
  <c r="CO388" i="30"/>
  <c r="CB420" i="30"/>
  <c r="CE417" i="30"/>
  <c r="BV415" i="30"/>
  <c r="BY412" i="30"/>
  <c r="CB409" i="30"/>
  <c r="CE406" i="30"/>
  <c r="BV404" i="30"/>
  <c r="BY401" i="30"/>
  <c r="CB398" i="30"/>
  <c r="CE395" i="30"/>
  <c r="BV393" i="30"/>
  <c r="BY390" i="30"/>
  <c r="CB387" i="30"/>
  <c r="CQ421" i="30"/>
  <c r="CP418" i="30"/>
  <c r="CN415" i="30"/>
  <c r="CL412" i="30"/>
  <c r="CK409" i="30"/>
  <c r="CU405" i="30"/>
  <c r="CU402" i="30"/>
  <c r="CU399" i="30"/>
  <c r="CT396" i="30"/>
  <c r="CT393" i="30"/>
  <c r="CT390" i="30"/>
  <c r="CT387" i="30"/>
  <c r="CG419" i="30"/>
  <c r="BX417" i="30"/>
  <c r="CA414" i="30"/>
  <c r="CD411" i="30"/>
  <c r="CG408" i="30"/>
  <c r="BX406" i="30"/>
  <c r="CA403" i="30"/>
  <c r="CD400" i="30"/>
  <c r="CG397" i="30"/>
  <c r="BX395" i="30"/>
  <c r="CA392" i="30"/>
  <c r="CD389" i="30"/>
  <c r="CG386" i="30"/>
  <c r="AQ224" i="24"/>
  <c r="BX196" i="24"/>
  <c r="S229" i="24"/>
  <c r="BL226" i="24"/>
  <c r="BY203" i="24"/>
  <c r="AA25" i="30"/>
  <c r="Z83" i="30"/>
  <c r="AA102" i="30"/>
  <c r="AH21" i="30"/>
  <c r="AO96" i="30"/>
  <c r="BE14" i="30"/>
  <c r="AX98" i="30"/>
  <c r="BP11" i="30"/>
  <c r="BL97" i="30"/>
  <c r="BH209" i="30"/>
  <c r="BR311" i="30"/>
  <c r="BQ317" i="30"/>
  <c r="BS323" i="30"/>
  <c r="BM329" i="30"/>
  <c r="BM335" i="30"/>
  <c r="BL341" i="30"/>
  <c r="BV38" i="30"/>
  <c r="CD106" i="30"/>
  <c r="CB314" i="30"/>
  <c r="CA325" i="30"/>
  <c r="BX335" i="30"/>
  <c r="BW345" i="30"/>
  <c r="CR209" i="30"/>
  <c r="CT319" i="30"/>
  <c r="CL333" i="30"/>
  <c r="CJ351" i="30"/>
  <c r="CL360" i="30"/>
  <c r="CR369" i="30"/>
  <c r="CU378" i="30"/>
  <c r="CR457" i="30"/>
  <c r="CL458" i="30"/>
  <c r="CL455" i="30"/>
  <c r="CL452" i="30"/>
  <c r="CL449" i="30"/>
  <c r="CL446" i="30"/>
  <c r="CK443" i="30"/>
  <c r="CT439" i="30"/>
  <c r="CT436" i="30"/>
  <c r="CT433" i="30"/>
  <c r="CT430" i="30"/>
  <c r="CT427" i="30"/>
  <c r="CT424" i="30"/>
  <c r="CE457" i="30"/>
  <c r="BW455" i="30"/>
  <c r="CA452" i="30"/>
  <c r="CE449" i="30"/>
  <c r="BW447" i="30"/>
  <c r="CA444" i="30"/>
  <c r="CE441" i="30"/>
  <c r="BW439" i="30"/>
  <c r="CA436" i="30"/>
  <c r="CE433" i="30"/>
  <c r="BW431" i="30"/>
  <c r="CA428" i="30"/>
  <c r="CE425" i="30"/>
  <c r="CK458" i="30"/>
  <c r="CK455" i="30"/>
  <c r="CK452" i="30"/>
  <c r="CK449" i="30"/>
  <c r="CK446" i="30"/>
  <c r="CU442" i="30"/>
  <c r="CS439" i="30"/>
  <c r="CS436" i="30"/>
  <c r="CS433" i="30"/>
  <c r="CS430" i="30"/>
  <c r="CS427" i="30"/>
  <c r="CS424" i="30"/>
  <c r="CD457" i="30"/>
  <c r="BV455" i="30"/>
  <c r="BZ452" i="30"/>
  <c r="CD449" i="30"/>
  <c r="BV447" i="30"/>
  <c r="BZ444" i="30"/>
  <c r="CD441" i="30"/>
  <c r="BV439" i="30"/>
  <c r="BZ436" i="30"/>
  <c r="CD433" i="30"/>
  <c r="BV431" i="30"/>
  <c r="BZ428" i="30"/>
  <c r="CD425" i="30"/>
  <c r="BS457" i="30"/>
  <c r="CT457" i="30"/>
  <c r="CT454" i="30"/>
  <c r="CS451" i="30"/>
  <c r="CS448" i="30"/>
  <c r="CR445" i="30"/>
  <c r="CP442" i="30"/>
  <c r="CP439" i="30"/>
  <c r="CP436" i="30"/>
  <c r="CP433" i="30"/>
  <c r="CP430" i="30"/>
  <c r="CP427" i="30"/>
  <c r="CO424" i="30"/>
  <c r="CQ457" i="30"/>
  <c r="CQ454" i="30"/>
  <c r="CQ451" i="30"/>
  <c r="CP448" i="30"/>
  <c r="CP445" i="30"/>
  <c r="CN442" i="30"/>
  <c r="CN439" i="30"/>
  <c r="CN436" i="30"/>
  <c r="CN433" i="30"/>
  <c r="CN430" i="30"/>
  <c r="CM427" i="30"/>
  <c r="CM424" i="30"/>
  <c r="CG459" i="30"/>
  <c r="BY457" i="30"/>
  <c r="CC454" i="30"/>
  <c r="CG451" i="30"/>
  <c r="BY449" i="30"/>
  <c r="CC446" i="30"/>
  <c r="CG443" i="30"/>
  <c r="BY441" i="30"/>
  <c r="CC438" i="30"/>
  <c r="CG435" i="30"/>
  <c r="BY433" i="30"/>
  <c r="CC430" i="30"/>
  <c r="CG427" i="30"/>
  <c r="BY425" i="30"/>
  <c r="BN457" i="30"/>
  <c r="CJ457" i="30"/>
  <c r="CU453" i="30"/>
  <c r="CU450" i="30"/>
  <c r="CS447" i="30"/>
  <c r="CS444" i="30"/>
  <c r="CS441" i="30"/>
  <c r="CS438" i="30"/>
  <c r="CS435" i="30"/>
  <c r="CS432" i="30"/>
  <c r="CR429" i="30"/>
  <c r="CP426" i="30"/>
  <c r="BZ459" i="30"/>
  <c r="CD456" i="30"/>
  <c r="BV454" i="30"/>
  <c r="BZ451" i="30"/>
  <c r="CD448" i="30"/>
  <c r="BV446" i="30"/>
  <c r="BZ443" i="30"/>
  <c r="CD440" i="30"/>
  <c r="BV438" i="30"/>
  <c r="BZ435" i="30"/>
  <c r="CD432" i="30"/>
  <c r="BV430" i="30"/>
  <c r="BZ427" i="30"/>
  <c r="CD424" i="30"/>
  <c r="BO459" i="30"/>
  <c r="BX204" i="24"/>
  <c r="S29" i="30"/>
  <c r="AI21" i="30"/>
  <c r="AP96" i="30"/>
  <c r="AT15" i="30"/>
  <c r="BC98" i="30"/>
  <c r="BP12" i="30"/>
  <c r="BM97" i="30"/>
  <c r="BW38" i="30"/>
  <c r="CA111" i="30"/>
  <c r="CC314" i="30"/>
  <c r="CB325" i="30"/>
  <c r="BY335" i="30"/>
  <c r="BZ345" i="30"/>
  <c r="CT209" i="30"/>
  <c r="CU319" i="30"/>
  <c r="CM333" i="30"/>
  <c r="BH226" i="24"/>
  <c r="Z230" i="24"/>
  <c r="BM226" i="24"/>
  <c r="AA230" i="24"/>
  <c r="CA205" i="24"/>
  <c r="X29" i="30"/>
  <c r="W85" i="30"/>
  <c r="AC102" i="30"/>
  <c r="AJ21" i="30"/>
  <c r="AI97" i="30"/>
  <c r="AW15" i="30"/>
  <c r="BB101" i="30"/>
  <c r="AZ207" i="30"/>
  <c r="BQ12" i="30"/>
  <c r="BN97" i="30"/>
  <c r="BI214" i="30"/>
  <c r="BP312" i="30"/>
  <c r="BN318" i="30"/>
  <c r="BI324" i="30"/>
  <c r="BO329" i="30"/>
  <c r="BQ335" i="30"/>
  <c r="BN341" i="30"/>
  <c r="BX38" i="30"/>
  <c r="BZ112" i="30"/>
  <c r="CG314" i="30"/>
  <c r="CD325" i="30"/>
  <c r="CB335" i="30"/>
  <c r="CU209" i="30"/>
  <c r="CJ320" i="30"/>
  <c r="CP333" i="30"/>
  <c r="CL351" i="30"/>
  <c r="CU360" i="30"/>
  <c r="CL370" i="30"/>
  <c r="CN379" i="30"/>
  <c r="CB205" i="24"/>
  <c r="Y29" i="30"/>
  <c r="X85" i="30"/>
  <c r="W105" i="30"/>
  <c r="AP21" i="30"/>
  <c r="AJ97" i="30"/>
  <c r="AY15" i="30"/>
  <c r="BC101" i="30"/>
  <c r="BR12" i="30"/>
  <c r="BP99" i="30"/>
  <c r="BQ215" i="30"/>
  <c r="CB38" i="30"/>
  <c r="BX113" i="30"/>
  <c r="BV315" i="30"/>
  <c r="CF325" i="30"/>
  <c r="CC335" i="30"/>
  <c r="CN214" i="30"/>
  <c r="CK321" i="30"/>
  <c r="CP334" i="30"/>
  <c r="Y225" i="24"/>
  <c r="AW200" i="24"/>
  <c r="Z29" i="30"/>
  <c r="Y85" i="30"/>
  <c r="X105" i="30"/>
  <c r="AQ21" i="30"/>
  <c r="AK97" i="30"/>
  <c r="BE18" i="30"/>
  <c r="BD101" i="30"/>
  <c r="BO16" i="30"/>
  <c r="BM103" i="30"/>
  <c r="BH216" i="30"/>
  <c r="CC38" i="30"/>
  <c r="BX196" i="30"/>
  <c r="CE315" i="30"/>
  <c r="CC326" i="30"/>
  <c r="BY336" i="30"/>
  <c r="CS215" i="30"/>
  <c r="CL321" i="30"/>
  <c r="CO335" i="30"/>
  <c r="BJ204" i="24"/>
  <c r="X197" i="24"/>
  <c r="AX200" i="24"/>
  <c r="AB29" i="30"/>
  <c r="Z85" i="30"/>
  <c r="W106" i="30"/>
  <c r="AF22" i="30"/>
  <c r="AG100" i="30"/>
  <c r="AV19" i="30"/>
  <c r="BE101" i="30"/>
  <c r="BB208" i="30"/>
  <c r="BI23" i="30"/>
  <c r="BR103" i="30"/>
  <c r="BJ218" i="30"/>
  <c r="BS312" i="30"/>
  <c r="BH319" i="30"/>
  <c r="BR324" i="30"/>
  <c r="BS329" i="30"/>
  <c r="BJ336" i="30"/>
  <c r="BS341" i="30"/>
  <c r="CD38" i="30"/>
  <c r="BY196" i="30"/>
  <c r="CG315" i="30"/>
  <c r="CD326" i="30"/>
  <c r="BZ336" i="30"/>
  <c r="CM216" i="30"/>
  <c r="CN321" i="30"/>
  <c r="CQ335" i="30"/>
  <c r="CO352" i="30"/>
  <c r="CL362" i="30"/>
  <c r="CJ371" i="30"/>
  <c r="CS379" i="30"/>
  <c r="T198" i="24"/>
  <c r="AM204" i="24"/>
  <c r="AU205" i="24"/>
  <c r="S30" i="30"/>
  <c r="S87" i="30"/>
  <c r="AC106" i="30"/>
  <c r="AK24" i="30"/>
  <c r="AN101" i="30"/>
  <c r="BA28" i="30"/>
  <c r="AX105" i="30"/>
  <c r="BR25" i="30"/>
  <c r="BP112" i="30"/>
  <c r="BL220" i="30"/>
  <c r="CC200" i="30"/>
  <c r="CF316" i="30"/>
  <c r="BY327" i="30"/>
  <c r="BX339" i="30"/>
  <c r="CO223" i="30"/>
  <c r="CS321" i="30"/>
  <c r="CL337" i="30"/>
  <c r="R198" i="24"/>
  <c r="AT205" i="24"/>
  <c r="BR26" i="30"/>
  <c r="V203" i="24"/>
  <c r="AP204" i="24"/>
  <c r="AW205" i="24"/>
  <c r="W6" i="30"/>
  <c r="AC33" i="30"/>
  <c r="AC87" i="30"/>
  <c r="AA107" i="30"/>
  <c r="AK26" i="30"/>
  <c r="AP101" i="30"/>
  <c r="AQ202" i="30"/>
  <c r="AQ218" i="30"/>
  <c r="AI343" i="30"/>
  <c r="AY29" i="30"/>
  <c r="AV106" i="30"/>
  <c r="AY217" i="30"/>
  <c r="AV316" i="30"/>
  <c r="AW321" i="30"/>
  <c r="BE326" i="30"/>
  <c r="AW332" i="30"/>
  <c r="AT338" i="30"/>
  <c r="BA343" i="30"/>
  <c r="BS26" i="30"/>
  <c r="BQ115" i="30"/>
  <c r="BP220" i="30"/>
  <c r="BJ314" i="30"/>
  <c r="BO319" i="30"/>
  <c r="BL325" i="30"/>
  <c r="BI331" i="30"/>
  <c r="BR336" i="30"/>
  <c r="BS342" i="30"/>
  <c r="CE200" i="30"/>
  <c r="BY318" i="30"/>
  <c r="BW328" i="30"/>
  <c r="CA339" i="30"/>
  <c r="CB349" i="30"/>
  <c r="CB354" i="30"/>
  <c r="BW360" i="30"/>
  <c r="BV366" i="30"/>
  <c r="CD371" i="30"/>
  <c r="CA377" i="30"/>
  <c r="CB383" i="30"/>
  <c r="CM230" i="30"/>
  <c r="CQ322" i="30"/>
  <c r="CK339" i="30"/>
  <c r="CU353" i="30"/>
  <c r="CS362" i="30"/>
  <c r="CM372" i="30"/>
  <c r="CK381" i="30"/>
  <c r="CP388" i="30"/>
  <c r="CN392" i="30"/>
  <c r="CT395" i="30"/>
  <c r="CM399" i="30"/>
  <c r="CT402" i="30"/>
  <c r="CP406" i="30"/>
  <c r="CO410" i="30"/>
  <c r="CJ414" i="30"/>
  <c r="CR417" i="30"/>
  <c r="CN421" i="30"/>
  <c r="CU426" i="30"/>
  <c r="CQ430" i="30"/>
  <c r="CM434" i="30"/>
  <c r="CT437" i="30"/>
  <c r="CN441" i="30"/>
  <c r="CT444" i="30"/>
  <c r="CO448" i="30"/>
  <c r="CN452" i="30"/>
  <c r="CS455" i="30"/>
  <c r="CO459" i="30"/>
  <c r="CN383" i="30"/>
  <c r="AV205" i="24"/>
  <c r="BC28" i="30"/>
  <c r="R34" i="30"/>
  <c r="AN26" i="30"/>
  <c r="AQ101" i="30"/>
  <c r="BB29" i="30"/>
  <c r="AV108" i="30"/>
  <c r="BH27" i="30"/>
  <c r="BR115" i="30"/>
  <c r="BO221" i="30"/>
  <c r="CG200" i="30"/>
  <c r="CB318" i="30"/>
  <c r="BZ328" i="30"/>
  <c r="CB339" i="30"/>
  <c r="CU322" i="30"/>
  <c r="CJ341" i="30"/>
  <c r="AK200" i="24"/>
  <c r="U198" i="24"/>
  <c r="AO204" i="24"/>
  <c r="W203" i="24"/>
  <c r="AG205" i="24"/>
  <c r="AX205" i="24"/>
  <c r="V8" i="30"/>
  <c r="U88" i="30"/>
  <c r="S108" i="30"/>
  <c r="X203" i="24"/>
  <c r="AI205" i="24"/>
  <c r="AA8" i="30"/>
  <c r="AA34" i="30"/>
  <c r="V88" i="30"/>
  <c r="W112" i="30"/>
  <c r="AO26" i="30"/>
  <c r="AG108" i="30"/>
  <c r="AG203" i="30"/>
  <c r="AG219" i="30"/>
  <c r="AU33" i="30"/>
  <c r="AZ108" i="30"/>
  <c r="BC217" i="30"/>
  <c r="BA321" i="30"/>
  <c r="AU327" i="30"/>
  <c r="AY332" i="30"/>
  <c r="AV338" i="30"/>
  <c r="AU344" i="30"/>
  <c r="BI27" i="30"/>
  <c r="BS115" i="30"/>
  <c r="BP221" i="30"/>
  <c r="BL314" i="30"/>
  <c r="BS319" i="30"/>
  <c r="BN325" i="30"/>
  <c r="BL331" i="30"/>
  <c r="BN337" i="30"/>
  <c r="BL343" i="30"/>
  <c r="CD201" i="30"/>
  <c r="CD318" i="30"/>
  <c r="CD328" i="30"/>
  <c r="BW340" i="30"/>
  <c r="CN324" i="30"/>
  <c r="CR341" i="30"/>
  <c r="CJ222" i="30"/>
  <c r="CR459" i="30"/>
  <c r="BW222" i="30"/>
  <c r="CP23" i="30"/>
  <c r="CN311" i="30"/>
  <c r="CR322" i="30"/>
  <c r="CP350" i="30"/>
  <c r="CJ358" i="30"/>
  <c r="CT365" i="30"/>
  <c r="CM373" i="30"/>
  <c r="CQ387" i="30"/>
  <c r="CQ390" i="30"/>
  <c r="CP393" i="30"/>
  <c r="CO396" i="30"/>
  <c r="CN399" i="30"/>
  <c r="CN402" i="30"/>
  <c r="CM405" i="30"/>
  <c r="CM408" i="30"/>
  <c r="CM411" i="30"/>
  <c r="CM414" i="30"/>
  <c r="CN417" i="30"/>
  <c r="CN425" i="30"/>
  <c r="CM428" i="30"/>
  <c r="CL431" i="30"/>
  <c r="CK434" i="30"/>
  <c r="CJ437" i="30"/>
  <c r="CK440" i="30"/>
  <c r="CJ443" i="30"/>
  <c r="CU445" i="30"/>
  <c r="CU448" i="30"/>
  <c r="CT451" i="30"/>
  <c r="CS454" i="30"/>
  <c r="CQ209" i="30"/>
  <c r="V380" i="24"/>
  <c r="AJ321" i="24"/>
  <c r="S99" i="24"/>
  <c r="AC415" i="24"/>
  <c r="AQ88" i="24"/>
  <c r="AI356" i="24"/>
  <c r="AK322" i="24"/>
  <c r="AL322" i="24"/>
  <c r="R99" i="24"/>
  <c r="V415" i="24"/>
  <c r="AF85" i="24"/>
  <c r="AN322" i="24"/>
  <c r="CL97" i="24"/>
  <c r="W99" i="24"/>
  <c r="S416" i="24"/>
  <c r="AF89" i="24"/>
  <c r="AN356" i="24"/>
  <c r="X99" i="24"/>
  <c r="U416" i="24"/>
  <c r="AG89" i="24"/>
  <c r="AO357" i="24"/>
  <c r="AB103" i="24"/>
  <c r="AF90" i="24"/>
  <c r="AF392" i="24"/>
  <c r="AC103" i="24"/>
  <c r="AB274" i="24"/>
  <c r="AI90" i="24"/>
  <c r="AO393" i="24"/>
  <c r="BL88" i="24"/>
  <c r="X104" i="24"/>
  <c r="W279" i="24"/>
  <c r="AH110" i="24"/>
  <c r="BM88" i="24"/>
  <c r="S114" i="24"/>
  <c r="X279" i="24"/>
  <c r="AN110" i="24"/>
  <c r="BN88" i="24"/>
  <c r="T114" i="24"/>
  <c r="R283" i="24"/>
  <c r="AO110" i="24"/>
  <c r="BO88" i="24"/>
  <c r="BQ326" i="24"/>
  <c r="CP343" i="24"/>
  <c r="AA116" i="24"/>
  <c r="AC352" i="24"/>
  <c r="BO330" i="24"/>
  <c r="CF348" i="24"/>
  <c r="CG370" i="24"/>
  <c r="T354" i="24"/>
  <c r="AI111" i="24"/>
  <c r="BR144" i="24"/>
  <c r="BS88" i="24"/>
  <c r="R353" i="24"/>
  <c r="W117" i="24"/>
  <c r="V362" i="24"/>
  <c r="BM146" i="24"/>
  <c r="AQ110" i="24"/>
  <c r="W362" i="24"/>
  <c r="V117" i="24"/>
  <c r="Y362" i="24"/>
  <c r="AH111" i="24"/>
  <c r="AA362" i="24"/>
  <c r="W363" i="24"/>
  <c r="BW181" i="24"/>
  <c r="V382" i="24"/>
  <c r="AF408" i="24"/>
  <c r="X393" i="24"/>
  <c r="AQ407" i="24"/>
  <c r="V388" i="24"/>
  <c r="AG407" i="24"/>
  <c r="AC386" i="24"/>
  <c r="Y397" i="24"/>
  <c r="X397" i="24"/>
  <c r="Y393" i="24"/>
  <c r="Y386" i="24"/>
  <c r="AF391" i="24"/>
  <c r="T415" i="24"/>
  <c r="W386" i="24"/>
  <c r="AP390" i="24"/>
  <c r="S406" i="24"/>
  <c r="R402" i="24"/>
  <c r="AL390" i="24"/>
  <c r="W405" i="24"/>
  <c r="X418" i="24"/>
  <c r="R300" i="24"/>
  <c r="U447" i="24"/>
  <c r="AK396" i="24"/>
  <c r="BA330" i="24"/>
  <c r="X447" i="24"/>
  <c r="AL396" i="24"/>
  <c r="BP403" i="24"/>
  <c r="AQ8" i="30"/>
  <c r="BD36" i="30"/>
  <c r="CF344" i="24"/>
  <c r="AB67" i="30"/>
  <c r="X70" i="30"/>
  <c r="AA58" i="30"/>
  <c r="Y46" i="30"/>
  <c r="W70" i="30"/>
  <c r="Z58" i="30"/>
  <c r="X46" i="30"/>
  <c r="V68" i="30"/>
  <c r="AB56" i="30"/>
  <c r="W46" i="30"/>
  <c r="T68" i="30"/>
  <c r="S56" i="30"/>
  <c r="AB55" i="30"/>
  <c r="S68" i="30"/>
  <c r="R56" i="30"/>
  <c r="AA66" i="30"/>
  <c r="AC55" i="30"/>
  <c r="Z66" i="30"/>
  <c r="W78" i="30"/>
  <c r="AC64" i="30"/>
  <c r="V51" i="30"/>
  <c r="X71" i="30"/>
  <c r="X56" i="30"/>
  <c r="Y73" i="30"/>
  <c r="AB58" i="30"/>
  <c r="Y71" i="30"/>
  <c r="T73" i="30"/>
  <c r="W56" i="30"/>
  <c r="U56" i="30"/>
  <c r="W76" i="30"/>
  <c r="Z63" i="30"/>
  <c r="AC48" i="30"/>
  <c r="AB397" i="24"/>
  <c r="AF401" i="24"/>
  <c r="AY332" i="24"/>
  <c r="BN404" i="24"/>
  <c r="T18" i="30"/>
  <c r="Y75" i="30"/>
  <c r="CR107" i="30"/>
  <c r="CN109" i="30"/>
  <c r="BY110" i="30"/>
  <c r="BY87" i="30"/>
  <c r="CU115" i="30"/>
  <c r="CP82" i="30"/>
  <c r="BZ110" i="30"/>
  <c r="CB85" i="30"/>
  <c r="BL103" i="30"/>
  <c r="BM88" i="30"/>
  <c r="AZ110" i="30"/>
  <c r="AZ96" i="30"/>
  <c r="AY82" i="30"/>
  <c r="CQ115" i="30"/>
  <c r="CG109" i="30"/>
  <c r="BV84" i="30"/>
  <c r="BK103" i="30"/>
  <c r="BJ88" i="30"/>
  <c r="AY109" i="30"/>
  <c r="AX95" i="30"/>
  <c r="CP115" i="30"/>
  <c r="CE106" i="30"/>
  <c r="CF83" i="30"/>
  <c r="BQ117" i="30"/>
  <c r="BI103" i="30"/>
  <c r="BR87" i="30"/>
  <c r="AX109" i="30"/>
  <c r="AX94" i="30"/>
  <c r="CR86" i="30"/>
  <c r="BX101" i="30"/>
  <c r="BL111" i="30"/>
  <c r="BH96" i="30"/>
  <c r="AU115" i="30"/>
  <c r="AT98" i="30"/>
  <c r="AT83" i="30"/>
  <c r="AO110" i="30"/>
  <c r="AP99" i="30"/>
  <c r="AG89" i="30"/>
  <c r="V112" i="30"/>
  <c r="T102" i="30"/>
  <c r="AA92" i="30"/>
  <c r="Y82" i="30"/>
  <c r="CQ86" i="30"/>
  <c r="BW101" i="30"/>
  <c r="BK111" i="30"/>
  <c r="BP95" i="30"/>
  <c r="AY113" i="30"/>
  <c r="BE97" i="30"/>
  <c r="BE82" i="30"/>
  <c r="AQ108" i="30"/>
  <c r="AP97" i="30"/>
  <c r="AK87" i="30"/>
  <c r="U112" i="30"/>
  <c r="S102" i="30"/>
  <c r="Z92" i="30"/>
  <c r="X82" i="30"/>
  <c r="CO83" i="30"/>
  <c r="CB100" i="30"/>
  <c r="BI111" i="30"/>
  <c r="BO95" i="30"/>
  <c r="AZ112" i="30"/>
  <c r="BD97" i="30"/>
  <c r="BD82" i="30"/>
  <c r="AP108" i="30"/>
  <c r="AO97" i="30"/>
  <c r="AJ87" i="30"/>
  <c r="T112" i="30"/>
  <c r="R102" i="30"/>
  <c r="W92" i="30"/>
  <c r="W82" i="30"/>
  <c r="CN83" i="30"/>
  <c r="CA100" i="30"/>
  <c r="CK87" i="30"/>
  <c r="BX89" i="30"/>
  <c r="BR102" i="30"/>
  <c r="BK82" i="30"/>
  <c r="AZ104" i="30"/>
  <c r="AT87" i="30"/>
  <c r="AP107" i="30"/>
  <c r="AI95" i="30"/>
  <c r="AF84" i="30"/>
  <c r="V116" i="30"/>
  <c r="S105" i="30"/>
  <c r="Y93" i="30"/>
  <c r="AA82" i="30"/>
  <c r="CG117" i="30"/>
  <c r="BH82" i="30"/>
  <c r="BB84" i="30"/>
  <c r="AJ82" i="30"/>
  <c r="AB114" i="30"/>
  <c r="T82" i="30"/>
  <c r="BZ87" i="30"/>
  <c r="BA84" i="30"/>
  <c r="CJ87" i="30"/>
  <c r="CG87" i="30"/>
  <c r="BR100" i="30"/>
  <c r="BJ82" i="30"/>
  <c r="AY104" i="30"/>
  <c r="BE86" i="30"/>
  <c r="AO107" i="30"/>
  <c r="AH95" i="30"/>
  <c r="AP83" i="30"/>
  <c r="R115" i="30"/>
  <c r="R105" i="30"/>
  <c r="X93" i="30"/>
  <c r="Z82" i="30"/>
  <c r="AW104" i="30"/>
  <c r="AP94" i="30"/>
  <c r="T93" i="30"/>
  <c r="BX114" i="30"/>
  <c r="BQ99" i="30"/>
  <c r="AT102" i="30"/>
  <c r="AN105" i="30"/>
  <c r="AG82" i="30"/>
  <c r="CS86" i="30"/>
  <c r="CB87" i="30"/>
  <c r="BQ100" i="30"/>
  <c r="BI82" i="30"/>
  <c r="AX104" i="30"/>
  <c r="BD86" i="30"/>
  <c r="AH107" i="30"/>
  <c r="AF95" i="30"/>
  <c r="AN82" i="30"/>
  <c r="AC114" i="30"/>
  <c r="AA104" i="30"/>
  <c r="U93" i="30"/>
  <c r="U82" i="30"/>
  <c r="CM83" i="30"/>
  <c r="CA87" i="30"/>
  <c r="BH100" i="30"/>
  <c r="AF106" i="30"/>
  <c r="R103" i="30"/>
  <c r="AG94" i="30"/>
  <c r="CJ102" i="30"/>
  <c r="CA94" i="30"/>
  <c r="BI108" i="30"/>
  <c r="BM86" i="30"/>
  <c r="BB110" i="30"/>
  <c r="BB90" i="30"/>
  <c r="AJ103" i="30"/>
  <c r="AH91" i="30"/>
  <c r="AC117" i="30"/>
  <c r="Y106" i="30"/>
  <c r="AA94" i="30"/>
  <c r="CM100" i="30"/>
  <c r="CA93" i="30"/>
  <c r="BH108" i="30"/>
  <c r="BP85" i="30"/>
  <c r="AU109" i="30"/>
  <c r="AV90" i="30"/>
  <c r="BX111" i="30"/>
  <c r="BI116" i="30"/>
  <c r="BM96" i="30"/>
  <c r="BC97" i="30"/>
  <c r="AG111" i="30"/>
  <c r="AH97" i="30"/>
  <c r="AF82" i="30"/>
  <c r="AC111" i="30"/>
  <c r="S98" i="30"/>
  <c r="AA87" i="30"/>
  <c r="BW111" i="30"/>
  <c r="BH116" i="30"/>
  <c r="BN95" i="30"/>
  <c r="CS92" i="30"/>
  <c r="CB98" i="30"/>
  <c r="BH111" i="30"/>
  <c r="BN88" i="30"/>
  <c r="BA96" i="30"/>
  <c r="AG114" i="30"/>
  <c r="AF100" i="30"/>
  <c r="AP85" i="30"/>
  <c r="W116" i="30"/>
  <c r="AB101" i="30"/>
  <c r="T88" i="30"/>
  <c r="AN97" i="30"/>
  <c r="X100" i="30"/>
  <c r="CN92" i="30"/>
  <c r="BV98" i="30"/>
  <c r="BP110" i="30"/>
  <c r="BQ87" i="30"/>
  <c r="AV94" i="30"/>
  <c r="AF114" i="30"/>
  <c r="AQ99" i="30"/>
  <c r="AM84" i="30"/>
  <c r="Y114" i="30"/>
  <c r="AA101" i="30"/>
  <c r="S88" i="30"/>
  <c r="CL87" i="30"/>
  <c r="CC94" i="30"/>
  <c r="BK110" i="30"/>
  <c r="BO85" i="30"/>
  <c r="BE93" i="30"/>
  <c r="AQ113" i="30"/>
  <c r="AL84" i="30"/>
  <c r="X114" i="30"/>
  <c r="R88" i="30"/>
  <c r="CQ104" i="30"/>
  <c r="CD111" i="30"/>
  <c r="BS96" i="30"/>
  <c r="AT105" i="30"/>
  <c r="AN103" i="30"/>
  <c r="AM89" i="30"/>
  <c r="Y107" i="30"/>
  <c r="AB94" i="30"/>
  <c r="CN104" i="30"/>
  <c r="CB111" i="30"/>
  <c r="BL93" i="30"/>
  <c r="BD104" i="30"/>
  <c r="R311" i="24"/>
  <c r="AH411" i="24"/>
  <c r="BQ404" i="24"/>
  <c r="W19" i="30"/>
  <c r="V60" i="30"/>
  <c r="T108" i="30"/>
  <c r="AK29" i="30"/>
  <c r="AJ102" i="30"/>
  <c r="BC82" i="30"/>
  <c r="BH104" i="30"/>
  <c r="CE83" i="30"/>
  <c r="S311" i="24"/>
  <c r="AK414" i="24"/>
  <c r="W60" i="30"/>
  <c r="U108" i="30"/>
  <c r="AP10" i="30"/>
  <c r="AT112" i="30"/>
  <c r="CU116" i="30"/>
  <c r="AI418" i="24"/>
  <c r="AA60" i="30"/>
  <c r="Y109" i="30"/>
  <c r="AG31" i="30"/>
  <c r="AP86" i="30"/>
  <c r="BJ406" i="24"/>
  <c r="R44" i="30"/>
  <c r="Z109" i="30"/>
  <c r="AM225" i="30"/>
  <c r="AT230" i="30"/>
  <c r="CU117" i="30"/>
  <c r="CL256" i="30"/>
  <c r="CQ266" i="30"/>
  <c r="CO242" i="30"/>
  <c r="CF266" i="30"/>
  <c r="BV248" i="30"/>
  <c r="CT269" i="30"/>
  <c r="CM248" i="30"/>
  <c r="BX268" i="30"/>
  <c r="CA248" i="30"/>
  <c r="BK265" i="30"/>
  <c r="BQ253" i="30"/>
  <c r="BK244" i="30"/>
  <c r="BB262" i="30"/>
  <c r="AX253" i="30"/>
  <c r="AY242" i="30"/>
  <c r="CQ269" i="30"/>
  <c r="CJ248" i="30"/>
  <c r="BW268" i="30"/>
  <c r="BZ248" i="30"/>
  <c r="BJ265" i="30"/>
  <c r="BP253" i="30"/>
  <c r="BJ244" i="30"/>
  <c r="BA262" i="30"/>
  <c r="AU253" i="30"/>
  <c r="AX242" i="30"/>
  <c r="CP269" i="30"/>
  <c r="CP247" i="30"/>
  <c r="CF267" i="30"/>
  <c r="BY248" i="30"/>
  <c r="BI265" i="30"/>
  <c r="BM253" i="30"/>
  <c r="BJ243" i="30"/>
  <c r="AZ262" i="30"/>
  <c r="AT253" i="30"/>
  <c r="AU242" i="30"/>
  <c r="CM259" i="30"/>
  <c r="CB253" i="30"/>
  <c r="BH268" i="30"/>
  <c r="BI256" i="30"/>
  <c r="BN244" i="30"/>
  <c r="AW262" i="30"/>
  <c r="AZ250" i="30"/>
  <c r="AW240" i="30"/>
  <c r="AM265" i="30"/>
  <c r="AH257" i="30"/>
  <c r="AP248" i="30"/>
  <c r="AG242" i="30"/>
  <c r="AB267" i="30"/>
  <c r="AC261" i="30"/>
  <c r="AC254" i="30"/>
  <c r="X248" i="30"/>
  <c r="U242" i="30"/>
  <c r="W235" i="30"/>
  <c r="CJ258" i="30"/>
  <c r="CB251" i="30"/>
  <c r="BS267" i="30"/>
  <c r="BH256" i="30"/>
  <c r="BM244" i="30"/>
  <c r="AV262" i="30"/>
  <c r="BE249" i="30"/>
  <c r="AV240" i="30"/>
  <c r="AQ264" i="30"/>
  <c r="AG257" i="30"/>
  <c r="AO248" i="30"/>
  <c r="AH241" i="30"/>
  <c r="AA267" i="30"/>
  <c r="Z260" i="30"/>
  <c r="AB254" i="30"/>
  <c r="V248" i="30"/>
  <c r="U241" i="30"/>
  <c r="T235" i="30"/>
  <c r="CT256" i="30"/>
  <c r="CA251" i="30"/>
  <c r="BR267" i="30"/>
  <c r="BP254" i="30"/>
  <c r="BQ242" i="30"/>
  <c r="BD261" i="30"/>
  <c r="BD249" i="30"/>
  <c r="AU240" i="30"/>
  <c r="AP264" i="30"/>
  <c r="AF257" i="30"/>
  <c r="AN248" i="30"/>
  <c r="AQ240" i="30"/>
  <c r="Z267" i="30"/>
  <c r="Y260" i="30"/>
  <c r="AA254" i="30"/>
  <c r="S248" i="30"/>
  <c r="S241" i="30"/>
  <c r="S235" i="30"/>
  <c r="CU255" i="30"/>
  <c r="BZ251" i="30"/>
  <c r="CT268" i="30"/>
  <c r="CJ239" i="30"/>
  <c r="BV245" i="30"/>
  <c r="BM268" i="30"/>
  <c r="BJ254" i="30"/>
  <c r="BI241" i="30"/>
  <c r="BA261" i="30"/>
  <c r="AZ249" i="30"/>
  <c r="BB237" i="30"/>
  <c r="AH262" i="30"/>
  <c r="AJ252" i="30"/>
  <c r="AI244" i="30"/>
  <c r="AG236" i="30"/>
  <c r="Z263" i="30"/>
  <c r="Z255" i="30"/>
  <c r="S249" i="30"/>
  <c r="Z240" i="30"/>
  <c r="U234" i="30"/>
  <c r="CC243" i="30"/>
  <c r="BP267" i="30"/>
  <c r="AX248" i="30"/>
  <c r="AG261" i="30"/>
  <c r="AB262" i="30"/>
  <c r="W240" i="30"/>
  <c r="CO235" i="30"/>
  <c r="BV267" i="30"/>
  <c r="AK269" i="30"/>
  <c r="AM234" i="30"/>
  <c r="Z262" i="30"/>
  <c r="CS268" i="30"/>
  <c r="CK236" i="30"/>
  <c r="CF244" i="30"/>
  <c r="BI268" i="30"/>
  <c r="BL253" i="30"/>
  <c r="BH241" i="30"/>
  <c r="AY260" i="30"/>
  <c r="AY249" i="30"/>
  <c r="AY237" i="30"/>
  <c r="AQ269" i="30"/>
  <c r="AO261" i="30"/>
  <c r="AI252" i="30"/>
  <c r="AH244" i="30"/>
  <c r="AF236" i="30"/>
  <c r="R263" i="30"/>
  <c r="Y255" i="30"/>
  <c r="R249" i="30"/>
  <c r="Y240" i="30"/>
  <c r="T234" i="30"/>
  <c r="BJ253" i="30"/>
  <c r="BE259" i="30"/>
  <c r="AG252" i="30"/>
  <c r="AN234" i="30"/>
  <c r="W255" i="30"/>
  <c r="CA243" i="30"/>
  <c r="BI253" i="30"/>
  <c r="BP238" i="30"/>
  <c r="BB259" i="30"/>
  <c r="AU236" i="30"/>
  <c r="AM260" i="30"/>
  <c r="AH243" i="30"/>
  <c r="AC269" i="30"/>
  <c r="U255" i="30"/>
  <c r="V240" i="30"/>
  <c r="CM268" i="30"/>
  <c r="CJ236" i="30"/>
  <c r="BZ268" i="30"/>
  <c r="CB244" i="30"/>
  <c r="BQ267" i="30"/>
  <c r="BK253" i="30"/>
  <c r="BS240" i="30"/>
  <c r="AT260" i="30"/>
  <c r="AZ248" i="30"/>
  <c r="AY236" i="30"/>
  <c r="AM269" i="30"/>
  <c r="AK261" i="30"/>
  <c r="AH252" i="30"/>
  <c r="AM243" i="30"/>
  <c r="AO234" i="30"/>
  <c r="AC262" i="30"/>
  <c r="X255" i="30"/>
  <c r="AB248" i="30"/>
  <c r="X240" i="30"/>
  <c r="CL268" i="30"/>
  <c r="CR235" i="30"/>
  <c r="BY268" i="30"/>
  <c r="BQ238" i="30"/>
  <c r="AV236" i="30"/>
  <c r="AL269" i="30"/>
  <c r="AL243" i="30"/>
  <c r="R248" i="30"/>
  <c r="CO267" i="30"/>
  <c r="BO267" i="30"/>
  <c r="AW248" i="30"/>
  <c r="AF252" i="30"/>
  <c r="Z247" i="30"/>
  <c r="CT262" i="30"/>
  <c r="CD262" i="30"/>
  <c r="CE237" i="30"/>
  <c r="BK256" i="30"/>
  <c r="BK238" i="30"/>
  <c r="AZ266" i="30"/>
  <c r="AU251" i="30"/>
  <c r="AV235" i="30"/>
  <c r="AK262" i="30"/>
  <c r="AH251" i="30"/>
  <c r="AO239" i="30"/>
  <c r="Z268" i="30"/>
  <c r="AB259" i="30"/>
  <c r="S251" i="30"/>
  <c r="W243" i="30"/>
  <c r="Z234" i="30"/>
  <c r="CP260" i="30"/>
  <c r="CC262" i="30"/>
  <c r="CG236" i="30"/>
  <c r="BJ256" i="30"/>
  <c r="BJ238" i="30"/>
  <c r="BC264" i="30"/>
  <c r="BC249" i="30"/>
  <c r="BD234" i="30"/>
  <c r="CN244" i="30"/>
  <c r="CG253" i="30"/>
  <c r="BL261" i="30"/>
  <c r="BN246" i="30"/>
  <c r="BD256" i="30"/>
  <c r="AX243" i="30"/>
  <c r="AQ266" i="30"/>
  <c r="AM256" i="30"/>
  <c r="AG246" i="30"/>
  <c r="AF237" i="30"/>
  <c r="V264" i="30"/>
  <c r="R255" i="30"/>
  <c r="S246" i="30"/>
  <c r="W238" i="30"/>
  <c r="CT242" i="30"/>
  <c r="CC253" i="30"/>
  <c r="BK261" i="30"/>
  <c r="BM246" i="30"/>
  <c r="CO260" i="30"/>
  <c r="CC245" i="30"/>
  <c r="BM265" i="30"/>
  <c r="BN249" i="30"/>
  <c r="BD263" i="30"/>
  <c r="BD245" i="30"/>
  <c r="AO262" i="30"/>
  <c r="AQ251" i="30"/>
  <c r="AN239" i="30"/>
  <c r="R262" i="30"/>
  <c r="W252" i="30"/>
  <c r="U244" i="30"/>
  <c r="R235" i="30"/>
  <c r="W260" i="30"/>
  <c r="X243" i="30"/>
  <c r="CN260" i="30"/>
  <c r="BW245" i="30"/>
  <c r="BL265" i="30"/>
  <c r="BM249" i="30"/>
  <c r="BC263" i="30"/>
  <c r="BC245" i="30"/>
  <c r="AN262" i="30"/>
  <c r="AI251" i="30"/>
  <c r="AM239" i="30"/>
  <c r="X260" i="30"/>
  <c r="V252" i="30"/>
  <c r="T244" i="30"/>
  <c r="V234" i="30"/>
  <c r="CQ259" i="30"/>
  <c r="BW243" i="30"/>
  <c r="BN264" i="30"/>
  <c r="BN248" i="30"/>
  <c r="AX263" i="30"/>
  <c r="BA245" i="30"/>
  <c r="AM262" i="30"/>
  <c r="AG251" i="30"/>
  <c r="AL239" i="30"/>
  <c r="U252" i="30"/>
  <c r="CK235" i="30"/>
  <c r="CA258" i="30"/>
  <c r="BL257" i="30"/>
  <c r="BI237" i="30"/>
  <c r="AX269" i="30"/>
  <c r="BE254" i="30"/>
  <c r="BA238" i="30"/>
  <c r="AQ267" i="30"/>
  <c r="AJ256" i="30"/>
  <c r="AP245" i="30"/>
  <c r="AF234" i="30"/>
  <c r="R265" i="30"/>
  <c r="AB256" i="30"/>
  <c r="T246" i="30"/>
  <c r="T238" i="30"/>
  <c r="CU234" i="30"/>
  <c r="CC257" i="30"/>
  <c r="BL256" i="30"/>
  <c r="BH237" i="30"/>
  <c r="AW268" i="30"/>
  <c r="BD254" i="30"/>
  <c r="BC237" i="30"/>
  <c r="AI267" i="30"/>
  <c r="AG256" i="30"/>
  <c r="V457" i="24"/>
  <c r="AO428" i="24"/>
  <c r="AW404" i="24"/>
  <c r="S44" i="30"/>
  <c r="V76" i="30"/>
  <c r="S199" i="30"/>
  <c r="W236" i="30"/>
  <c r="V267" i="30"/>
  <c r="AO34" i="30"/>
  <c r="AF87" i="30"/>
  <c r="AH200" i="30"/>
  <c r="AK239" i="30"/>
  <c r="AF254" i="30"/>
  <c r="AX87" i="30"/>
  <c r="BD211" i="30"/>
  <c r="AT234" i="30"/>
  <c r="BD269" i="30"/>
  <c r="BN257" i="30"/>
  <c r="CM196" i="30"/>
  <c r="AV405" i="24"/>
  <c r="AB20" i="30"/>
  <c r="T61" i="30"/>
  <c r="R97" i="30"/>
  <c r="T201" i="30"/>
  <c r="AB222" i="30"/>
  <c r="R258" i="30"/>
  <c r="AH242" i="30"/>
  <c r="AX14" i="30"/>
  <c r="AX112" i="30"/>
  <c r="AZ253" i="30"/>
  <c r="BP258" i="30"/>
  <c r="BV214" i="30"/>
  <c r="AW405" i="24"/>
  <c r="X78" i="30"/>
  <c r="R237" i="30"/>
  <c r="AL11" i="30"/>
  <c r="AG36" i="30"/>
  <c r="AK89" i="30"/>
  <c r="AJ105" i="30"/>
  <c r="AJ200" i="30"/>
  <c r="AN212" i="30"/>
  <c r="AG226" i="30"/>
  <c r="AI242" i="30"/>
  <c r="AO254" i="30"/>
  <c r="AF268" i="30"/>
  <c r="AY14" i="30"/>
  <c r="BA89" i="30"/>
  <c r="AY112" i="30"/>
  <c r="AZ214" i="30"/>
  <c r="AX234" i="30"/>
  <c r="AT255" i="30"/>
  <c r="BH41" i="30"/>
  <c r="BK108" i="30"/>
  <c r="BS212" i="30"/>
  <c r="BR236" i="30"/>
  <c r="BO259" i="30"/>
  <c r="CB94" i="30"/>
  <c r="BW215" i="30"/>
  <c r="CG256" i="30"/>
  <c r="CN251" i="30"/>
  <c r="CD170" i="24"/>
  <c r="S343" i="24"/>
  <c r="R343" i="24"/>
  <c r="AB333" i="24"/>
  <c r="Y333" i="24"/>
  <c r="AB329" i="24"/>
  <c r="U330" i="24"/>
  <c r="T330" i="24"/>
  <c r="BQ327" i="24"/>
  <c r="S313" i="24"/>
  <c r="Y343" i="24"/>
  <c r="W343" i="24"/>
  <c r="T343" i="24"/>
  <c r="AT335" i="24"/>
  <c r="BK333" i="24"/>
  <c r="BB383" i="24"/>
  <c r="BA383" i="24"/>
  <c r="AZ383" i="24"/>
  <c r="BA380" i="24"/>
  <c r="AM370" i="24"/>
  <c r="AX380" i="24"/>
  <c r="AK370" i="24"/>
  <c r="AK359" i="24"/>
  <c r="AZ357" i="24"/>
  <c r="BE356" i="24"/>
  <c r="AH359" i="24"/>
  <c r="T363" i="24"/>
  <c r="AY353" i="24"/>
  <c r="AN370" i="24"/>
  <c r="CK352" i="24"/>
  <c r="BJ365" i="24"/>
  <c r="T365" i="24"/>
  <c r="AK394" i="24"/>
  <c r="BO161" i="24"/>
  <c r="BM450" i="24"/>
  <c r="S429" i="24"/>
  <c r="BN447" i="24"/>
  <c r="R429" i="24"/>
  <c r="BM447" i="24"/>
  <c r="S426" i="24"/>
  <c r="AG458" i="24"/>
  <c r="AB436" i="24"/>
  <c r="AP448" i="24"/>
  <c r="AC434" i="24"/>
  <c r="AQ451" i="24"/>
  <c r="AA435" i="24"/>
  <c r="R435" i="24"/>
  <c r="AJ450" i="24"/>
  <c r="BI447" i="24"/>
  <c r="BC437" i="24"/>
  <c r="U457" i="24"/>
  <c r="AN431" i="24"/>
  <c r="AA437" i="24"/>
  <c r="CP447" i="24"/>
  <c r="BX449" i="24"/>
  <c r="AT457" i="24"/>
  <c r="V452" i="24"/>
  <c r="U452" i="24"/>
  <c r="BX431" i="24"/>
  <c r="CN446" i="24"/>
  <c r="CF447" i="24"/>
  <c r="BD454" i="24"/>
  <c r="AW454" i="24"/>
  <c r="Y447" i="24"/>
  <c r="AL428" i="24"/>
  <c r="Z397" i="24"/>
  <c r="AA310" i="24"/>
  <c r="AU332" i="24"/>
  <c r="S18" i="30"/>
  <c r="AZ7" i="30"/>
  <c r="BN33" i="30"/>
  <c r="Z452" i="24"/>
  <c r="W37" i="30"/>
  <c r="AI27" i="30"/>
  <c r="BA7" i="30"/>
  <c r="BP33" i="30"/>
  <c r="AV353" i="24"/>
  <c r="AA452" i="24"/>
  <c r="Z75" i="30"/>
  <c r="BD408" i="24"/>
  <c r="BA129" i="30"/>
  <c r="CA133" i="30"/>
  <c r="AC452" i="24"/>
  <c r="BH405" i="24"/>
  <c r="X19" i="30"/>
  <c r="AA75" i="30"/>
  <c r="AN29" i="30"/>
  <c r="AN86" i="30"/>
  <c r="BD83" i="30"/>
  <c r="BP34" i="30"/>
  <c r="BI104" i="30"/>
  <c r="CM446" i="24"/>
  <c r="AZ167" i="30"/>
  <c r="CF159" i="30"/>
  <c r="AT171" i="30"/>
  <c r="V453" i="24"/>
  <c r="BM405" i="24"/>
  <c r="Y20" i="30"/>
  <c r="T76" i="30"/>
  <c r="AP102" i="30"/>
  <c r="AZ8" i="30"/>
  <c r="AU112" i="30"/>
  <c r="BQ34" i="30"/>
  <c r="BP104" i="30"/>
  <c r="CP219" i="30"/>
  <c r="CL215" i="30"/>
  <c r="CA226" i="30"/>
  <c r="CB206" i="30"/>
  <c r="CK220" i="30"/>
  <c r="BX227" i="30"/>
  <c r="CA207" i="30"/>
  <c r="BM230" i="30"/>
  <c r="BK219" i="30"/>
  <c r="BQ208" i="30"/>
  <c r="BP196" i="30"/>
  <c r="AT231" i="30"/>
  <c r="BD220" i="30"/>
  <c r="AZ210" i="30"/>
  <c r="BE200" i="30"/>
  <c r="CS216" i="30"/>
  <c r="BW227" i="30"/>
  <c r="CC206" i="30"/>
  <c r="BL230" i="30"/>
  <c r="BJ219" i="30"/>
  <c r="BS205" i="30"/>
  <c r="BO196" i="30"/>
  <c r="BE230" i="30"/>
  <c r="BD219" i="30"/>
  <c r="AV210" i="30"/>
  <c r="BD200" i="30"/>
  <c r="CR216" i="30"/>
  <c r="BV227" i="30"/>
  <c r="CA206" i="30"/>
  <c r="BL229" i="30"/>
  <c r="BQ218" i="30"/>
  <c r="BR205" i="30"/>
  <c r="BD230" i="30"/>
  <c r="AZ219" i="30"/>
  <c r="AU210" i="30"/>
  <c r="AY199" i="30"/>
  <c r="CN229" i="30"/>
  <c r="CP197" i="30"/>
  <c r="BX229" i="30"/>
  <c r="BX204" i="30"/>
  <c r="BQ228" i="30"/>
  <c r="BH217" i="30"/>
  <c r="BJ204" i="30"/>
  <c r="AU226" i="30"/>
  <c r="AX215" i="30"/>
  <c r="BB204" i="30"/>
  <c r="AM231" i="30"/>
  <c r="AG223" i="30"/>
  <c r="AK214" i="30"/>
  <c r="AF206" i="30"/>
  <c r="AJ197" i="30"/>
  <c r="S226" i="30"/>
  <c r="AA218" i="30"/>
  <c r="R212" i="30"/>
  <c r="X204" i="30"/>
  <c r="U198" i="30"/>
  <c r="CS196" i="30"/>
  <c r="BW226" i="30"/>
  <c r="CM229" i="30"/>
  <c r="CO197" i="30"/>
  <c r="BY226" i="30"/>
  <c r="BW204" i="30"/>
  <c r="BP228" i="30"/>
  <c r="BS216" i="30"/>
  <c r="BI204" i="30"/>
  <c r="AT226" i="30"/>
  <c r="AW215" i="30"/>
  <c r="BA203" i="30"/>
  <c r="AL231" i="30"/>
  <c r="AF223" i="30"/>
  <c r="AJ214" i="30"/>
  <c r="AQ205" i="30"/>
  <c r="AF197" i="30"/>
  <c r="R226" i="30"/>
  <c r="X218" i="30"/>
  <c r="V211" i="30"/>
  <c r="W204" i="30"/>
  <c r="T198" i="30"/>
  <c r="CD203" i="30"/>
  <c r="CL229" i="30"/>
  <c r="CN197" i="30"/>
  <c r="BX226" i="30"/>
  <c r="CE203" i="30"/>
  <c r="BO228" i="30"/>
  <c r="BI216" i="30"/>
  <c r="BR203" i="30"/>
  <c r="BE225" i="30"/>
  <c r="AV215" i="30"/>
  <c r="AZ203" i="30"/>
  <c r="AK231" i="30"/>
  <c r="AN222" i="30"/>
  <c r="AQ213" i="30"/>
  <c r="AP205" i="30"/>
  <c r="AQ196" i="30"/>
  <c r="AC225" i="30"/>
  <c r="W218" i="30"/>
  <c r="R211" i="30"/>
  <c r="V204" i="30"/>
  <c r="R197" i="30"/>
  <c r="CL227" i="30"/>
  <c r="CR206" i="30"/>
  <c r="CF220" i="30"/>
  <c r="BW196" i="30"/>
  <c r="BH227" i="30"/>
  <c r="BK212" i="30"/>
  <c r="BN197" i="30"/>
  <c r="AU224" i="30"/>
  <c r="BB210" i="30"/>
  <c r="BC197" i="30"/>
  <c r="AI225" i="30"/>
  <c r="AP214" i="30"/>
  <c r="AO205" i="30"/>
  <c r="AM196" i="30"/>
  <c r="S224" i="30"/>
  <c r="Z216" i="30"/>
  <c r="AA208" i="30"/>
  <c r="S201" i="30"/>
  <c r="BN224" i="30"/>
  <c r="BJ197" i="30"/>
  <c r="BC209" i="30"/>
  <c r="AK224" i="30"/>
  <c r="AJ196" i="30"/>
  <c r="T216" i="30"/>
  <c r="BR196" i="30"/>
  <c r="AT222" i="30"/>
  <c r="AG196" i="30"/>
  <c r="T231" i="30"/>
  <c r="X199" i="30"/>
  <c r="CP205" i="30"/>
  <c r="BW220" i="30"/>
  <c r="BS226" i="30"/>
  <c r="BP211" i="30"/>
  <c r="BM197" i="30"/>
  <c r="AU223" i="30"/>
  <c r="BA210" i="30"/>
  <c r="BB197" i="30"/>
  <c r="AH225" i="30"/>
  <c r="AO214" i="30"/>
  <c r="AN205" i="30"/>
  <c r="AL196" i="30"/>
  <c r="R224" i="30"/>
  <c r="V216" i="30"/>
  <c r="Z208" i="30"/>
  <c r="R201" i="30"/>
  <c r="BN211" i="30"/>
  <c r="BD222" i="30"/>
  <c r="AJ205" i="30"/>
  <c r="U231" i="30"/>
  <c r="R208" i="30"/>
  <c r="BJ211" i="30"/>
  <c r="AU209" i="30"/>
  <c r="AL223" i="30"/>
  <c r="AF205" i="30"/>
  <c r="R223" i="30"/>
  <c r="AC207" i="30"/>
  <c r="CU203" i="30"/>
  <c r="BW217" i="30"/>
  <c r="BO224" i="30"/>
  <c r="BO211" i="30"/>
  <c r="BL197" i="30"/>
  <c r="AT223" i="30"/>
  <c r="BD209" i="30"/>
  <c r="AY197" i="30"/>
  <c r="AL224" i="30"/>
  <c r="AL214" i="30"/>
  <c r="AM205" i="30"/>
  <c r="AK196" i="30"/>
  <c r="V231" i="30"/>
  <c r="V223" i="30"/>
  <c r="U216" i="30"/>
  <c r="S208" i="30"/>
  <c r="R200" i="30"/>
  <c r="CR203" i="30"/>
  <c r="CA216" i="30"/>
  <c r="AU197" i="30"/>
  <c r="AP213" i="30"/>
  <c r="U223" i="30"/>
  <c r="Y199" i="30"/>
  <c r="CL200" i="30"/>
  <c r="CE215" i="30"/>
  <c r="BJ224" i="30"/>
  <c r="BD196" i="30"/>
  <c r="AO213" i="30"/>
  <c r="S216" i="30"/>
  <c r="CJ223" i="30"/>
  <c r="BY204" i="30"/>
  <c r="BS220" i="30"/>
  <c r="BJ205" i="30"/>
  <c r="AT219" i="30"/>
  <c r="BC204" i="30"/>
  <c r="AL228" i="30"/>
  <c r="AN218" i="30"/>
  <c r="AF208" i="30"/>
  <c r="AF196" i="30"/>
  <c r="Y222" i="30"/>
  <c r="X213" i="30"/>
  <c r="S204" i="30"/>
  <c r="CK222" i="30"/>
  <c r="CE201" i="30"/>
  <c r="BR220" i="30"/>
  <c r="BO204" i="30"/>
  <c r="BA218" i="30"/>
  <c r="AY203" i="30"/>
  <c r="CS206" i="30"/>
  <c r="CA215" i="30"/>
  <c r="BI229" i="30"/>
  <c r="BR212" i="30"/>
  <c r="BC225" i="30"/>
  <c r="AX212" i="30"/>
  <c r="AV196" i="30"/>
  <c r="AL222" i="30"/>
  <c r="AP211" i="30"/>
  <c r="AM201" i="30"/>
  <c r="S228" i="30"/>
  <c r="T218" i="30"/>
  <c r="S209" i="30"/>
  <c r="AA198" i="30"/>
  <c r="CT197" i="30"/>
  <c r="BX215" i="30"/>
  <c r="BJ228" i="30"/>
  <c r="BQ212" i="30"/>
  <c r="CN215" i="30"/>
  <c r="CD213" i="30"/>
  <c r="BJ231" i="30"/>
  <c r="BO209" i="30"/>
  <c r="AX229" i="30"/>
  <c r="BA212" i="30"/>
  <c r="AU196" i="30"/>
  <c r="AI228" i="30"/>
  <c r="AH217" i="30"/>
  <c r="AK203" i="30"/>
  <c r="W222" i="30"/>
  <c r="R213" i="30"/>
  <c r="AA202" i="30"/>
  <c r="X221" i="30"/>
  <c r="R202" i="30"/>
  <c r="CM215" i="30"/>
  <c r="BZ213" i="30"/>
  <c r="BI228" i="30"/>
  <c r="BJ209" i="30"/>
  <c r="AW229" i="30"/>
  <c r="AZ212" i="30"/>
  <c r="AT196" i="30"/>
  <c r="AG228" i="30"/>
  <c r="AG217" i="30"/>
  <c r="AJ203" i="30"/>
  <c r="R222" i="30"/>
  <c r="AC212" i="30"/>
  <c r="Z202" i="30"/>
  <c r="CQ214" i="30"/>
  <c r="CA212" i="30"/>
  <c r="BR227" i="30"/>
  <c r="BI209" i="30"/>
  <c r="AV229" i="30"/>
  <c r="AY212" i="30"/>
  <c r="AJ227" i="30"/>
  <c r="AF217" i="30"/>
  <c r="AI203" i="30"/>
  <c r="S231" i="30"/>
  <c r="AB212" i="30"/>
  <c r="CD225" i="30"/>
  <c r="BJ217" i="30"/>
  <c r="BQ198" i="30"/>
  <c r="AY218" i="30"/>
  <c r="AT203" i="30"/>
  <c r="AF220" i="30"/>
  <c r="AH209" i="30"/>
  <c r="AM198" i="30"/>
  <c r="U226" i="30"/>
  <c r="AA216" i="30"/>
  <c r="V206" i="30"/>
  <c r="Y196" i="30"/>
  <c r="CA225" i="30"/>
  <c r="BI217" i="30"/>
  <c r="BI198" i="30"/>
  <c r="AX218" i="30"/>
  <c r="BC202" i="30"/>
  <c r="T313" i="24"/>
  <c r="AA456" i="24"/>
  <c r="AK428" i="24"/>
  <c r="AY386" i="24"/>
  <c r="Z20" i="30"/>
  <c r="AB60" i="30"/>
  <c r="AA95" i="30"/>
  <c r="R199" i="30"/>
  <c r="Z222" i="30"/>
  <c r="AF11" i="30"/>
  <c r="AN34" i="30"/>
  <c r="AQ86" i="30"/>
  <c r="AK103" i="30"/>
  <c r="AG200" i="30"/>
  <c r="AO211" i="30"/>
  <c r="BC11" i="30"/>
  <c r="AV112" i="30"/>
  <c r="BR34" i="30"/>
  <c r="BS104" i="30"/>
  <c r="BP209" i="30"/>
  <c r="CD89" i="30"/>
  <c r="U406" i="24"/>
  <c r="S61" i="30"/>
  <c r="AA109" i="30"/>
  <c r="AB210" i="30"/>
  <c r="R246" i="30"/>
  <c r="AQ211" i="30"/>
  <c r="BS34" i="30"/>
  <c r="BI211" i="30"/>
  <c r="BN235" i="30"/>
  <c r="CL251" i="30"/>
  <c r="Z329" i="24"/>
  <c r="R46" i="30"/>
  <c r="V78" i="30"/>
  <c r="AB109" i="30"/>
  <c r="AC210" i="30"/>
  <c r="AC236" i="30"/>
  <c r="W267" i="30"/>
  <c r="AJ11" i="30"/>
  <c r="AP34" i="30"/>
  <c r="AH89" i="30"/>
  <c r="AI105" i="30"/>
  <c r="AI200" i="30"/>
  <c r="AI212" i="30"/>
  <c r="AO225" i="30"/>
  <c r="AL254" i="30"/>
  <c r="AP266" i="30"/>
  <c r="AY87" i="30"/>
  <c r="AT212" i="30"/>
  <c r="AU234" i="30"/>
  <c r="BR37" i="30"/>
  <c r="BJ108" i="30"/>
  <c r="BN212" i="30"/>
  <c r="BQ236" i="30"/>
  <c r="BZ93" i="30"/>
  <c r="CF256" i="30"/>
  <c r="CS197" i="30"/>
  <c r="CM251" i="30"/>
  <c r="AA329" i="24"/>
  <c r="U407" i="24"/>
  <c r="AP429" i="24"/>
  <c r="BM426" i="24"/>
  <c r="Z24" i="30"/>
  <c r="S46" i="30"/>
  <c r="AB61" i="30"/>
  <c r="S97" i="30"/>
  <c r="AC109" i="30"/>
  <c r="Z201" i="30"/>
  <c r="S213" i="30"/>
  <c r="T224" i="30"/>
  <c r="W247" i="30"/>
  <c r="S258" i="30"/>
  <c r="X267" i="30"/>
  <c r="Z343" i="24"/>
  <c r="T414" i="24"/>
  <c r="AQ431" i="24"/>
  <c r="BE407" i="24"/>
  <c r="BH427" i="24"/>
  <c r="AA24" i="30"/>
  <c r="T46" i="30"/>
  <c r="AC61" i="30"/>
  <c r="Y78" i="30"/>
  <c r="W97" i="30"/>
  <c r="AB111" i="30"/>
  <c r="AA201" i="30"/>
  <c r="T213" i="30"/>
  <c r="U224" i="30"/>
  <c r="V237" i="30"/>
  <c r="X247" i="30"/>
  <c r="T258" i="30"/>
  <c r="W268" i="30"/>
  <c r="AJ12" i="30"/>
  <c r="AH36" i="30"/>
  <c r="AL89" i="30"/>
  <c r="AQ107" i="30"/>
  <c r="AK200" i="30"/>
  <c r="AQ212" i="30"/>
  <c r="AH226" i="30"/>
  <c r="AM242" i="30"/>
  <c r="AP254" i="30"/>
  <c r="AH268" i="30"/>
  <c r="AZ14" i="30"/>
  <c r="BD89" i="30"/>
  <c r="AY115" i="30"/>
  <c r="BB214" i="30"/>
  <c r="AY234" i="30"/>
  <c r="AU255" i="30"/>
  <c r="BH110" i="30"/>
  <c r="BI213" i="30"/>
  <c r="BS236" i="30"/>
  <c r="BH260" i="30"/>
  <c r="CG99" i="30"/>
  <c r="CG220" i="30"/>
  <c r="CB258" i="30"/>
  <c r="CJ207" i="30"/>
  <c r="CT255" i="30"/>
  <c r="AC274" i="24"/>
  <c r="T279" i="24"/>
  <c r="U292" i="24"/>
  <c r="X292" i="24"/>
  <c r="BN361" i="24"/>
  <c r="AA292" i="24"/>
  <c r="BJ403" i="24"/>
  <c r="BO403" i="24"/>
  <c r="CR40" i="30"/>
  <c r="CM14" i="30"/>
  <c r="BZ17" i="30"/>
  <c r="CT22" i="30"/>
  <c r="CD16" i="30"/>
  <c r="BP30" i="30"/>
  <c r="BH12" i="30"/>
  <c r="AU22" i="30"/>
  <c r="CS22" i="30"/>
  <c r="BZ16" i="30"/>
  <c r="BO30" i="30"/>
  <c r="BS11" i="30"/>
  <c r="BC39" i="30"/>
  <c r="AT22" i="30"/>
  <c r="CQ14" i="30"/>
  <c r="CD14" i="30"/>
  <c r="BN30" i="30"/>
  <c r="BQ11" i="30"/>
  <c r="BB39" i="30"/>
  <c r="BE21" i="30"/>
  <c r="CO12" i="30"/>
  <c r="BW28" i="30"/>
  <c r="BQ40" i="30"/>
  <c r="BM18" i="30"/>
  <c r="AX22" i="30"/>
  <c r="AN31" i="30"/>
  <c r="AQ16" i="30"/>
  <c r="AB33" i="30"/>
  <c r="X20" i="30"/>
  <c r="Z6" i="30"/>
  <c r="CM12" i="30"/>
  <c r="BV28" i="30"/>
  <c r="BQ38" i="30"/>
  <c r="BL18" i="30"/>
  <c r="AV22" i="30"/>
  <c r="AI31" i="30"/>
  <c r="AP16" i="30"/>
  <c r="X32" i="30"/>
  <c r="W20" i="30"/>
  <c r="Y6" i="30"/>
  <c r="CK12" i="30"/>
  <c r="CE27" i="30"/>
  <c r="BS37" i="30"/>
  <c r="BP16" i="30"/>
  <c r="BA20" i="30"/>
  <c r="AH31" i="30"/>
  <c r="AO16" i="30"/>
  <c r="W32" i="30"/>
  <c r="Y19" i="30"/>
  <c r="X6" i="30"/>
  <c r="CR11" i="30"/>
  <c r="CF37" i="30"/>
  <c r="BH21" i="30"/>
  <c r="BE25" i="30"/>
  <c r="AG32" i="30"/>
  <c r="AQ18" i="30"/>
  <c r="AC41" i="30"/>
  <c r="Y27" i="30"/>
  <c r="AC14" i="30"/>
  <c r="AP31" i="30"/>
  <c r="S13" i="30"/>
  <c r="AL16" i="30"/>
  <c r="BZ33" i="30"/>
  <c r="BP19" i="30"/>
  <c r="BA25" i="30"/>
  <c r="AF32" i="30"/>
  <c r="AF17" i="30"/>
  <c r="AB41" i="30"/>
  <c r="U27" i="30"/>
  <c r="Y13" i="30"/>
  <c r="R27" i="30"/>
  <c r="BJ19" i="30"/>
  <c r="AB25" i="30"/>
  <c r="BZ28" i="30"/>
  <c r="BP18" i="30"/>
  <c r="AY22" i="30"/>
  <c r="AO31" i="30"/>
  <c r="BY33" i="30"/>
  <c r="BK19" i="30"/>
  <c r="AZ25" i="30"/>
  <c r="AQ31" i="30"/>
  <c r="AN16" i="30"/>
  <c r="U40" i="30"/>
  <c r="X13" i="30"/>
  <c r="BX33" i="30"/>
  <c r="AV23" i="30"/>
  <c r="AM16" i="30"/>
  <c r="T40" i="30"/>
  <c r="BV26" i="30"/>
  <c r="BO18" i="30"/>
  <c r="AW28" i="30"/>
  <c r="AJ29" i="30"/>
  <c r="AK11" i="30"/>
  <c r="U34" i="30"/>
  <c r="AC17" i="30"/>
  <c r="CE25" i="30"/>
  <c r="BN18" i="30"/>
  <c r="AZ20" i="30"/>
  <c r="CA6" i="30"/>
  <c r="BO33" i="30"/>
  <c r="BD35" i="30"/>
  <c r="BA8" i="30"/>
  <c r="AN37" i="30"/>
  <c r="AK21" i="30"/>
  <c r="S40" i="30"/>
  <c r="AC24" i="30"/>
  <c r="V10" i="30"/>
  <c r="CS41" i="30"/>
  <c r="BZ6" i="30"/>
  <c r="CA17" i="30"/>
  <c r="BS15" i="30"/>
  <c r="BE29" i="30"/>
  <c r="AH37" i="30"/>
  <c r="AJ19" i="30"/>
  <c r="R39" i="30"/>
  <c r="AC22" i="30"/>
  <c r="AB38" i="30"/>
  <c r="BY17" i="30"/>
  <c r="BH13" i="30"/>
  <c r="BD29" i="30"/>
  <c r="AG37" i="30"/>
  <c r="AF19" i="30"/>
  <c r="AC38" i="30"/>
  <c r="AB22" i="30"/>
  <c r="BX17" i="30"/>
  <c r="BS12" i="30"/>
  <c r="BC29" i="30"/>
  <c r="AF37" i="30"/>
  <c r="AK16" i="30"/>
  <c r="Y22" i="30"/>
  <c r="CA38" i="30"/>
  <c r="BL27" i="30"/>
  <c r="BA39" i="30"/>
  <c r="BE11" i="30"/>
  <c r="AJ26" i="30"/>
  <c r="AJ6" i="30"/>
  <c r="AA29" i="30"/>
  <c r="V11" i="30"/>
  <c r="BZ38" i="30"/>
  <c r="BK27" i="30"/>
  <c r="BE36" i="30"/>
  <c r="BD11" i="30"/>
  <c r="AA397" i="24"/>
  <c r="S37" i="30"/>
  <c r="AH27" i="30"/>
  <c r="AB310" i="24"/>
  <c r="U60" i="30"/>
  <c r="AF9" i="30"/>
  <c r="S398" i="24"/>
  <c r="BE334" i="24"/>
  <c r="Z38" i="30"/>
  <c r="AB92" i="30"/>
  <c r="AJ9" i="30"/>
  <c r="AM86" i="30"/>
  <c r="BB7" i="30"/>
  <c r="BC110" i="30"/>
  <c r="BO34" i="30"/>
  <c r="CP110" i="30"/>
  <c r="AC398" i="24"/>
  <c r="AX383" i="24"/>
  <c r="AA38" i="30"/>
  <c r="AC94" i="30"/>
  <c r="AO102" i="30"/>
  <c r="BC7" i="30"/>
  <c r="BY89" i="30"/>
  <c r="AC401" i="24"/>
  <c r="AY383" i="24"/>
  <c r="AA39" i="30"/>
  <c r="Y95" i="30"/>
  <c r="AQ10" i="30"/>
  <c r="AV84" i="30"/>
  <c r="CA89" i="30"/>
  <c r="CT117" i="30"/>
  <c r="T406" i="24"/>
  <c r="U76" i="30"/>
  <c r="AA210" i="30"/>
  <c r="AW84" i="30"/>
  <c r="BC211" i="30"/>
  <c r="CF213" i="30"/>
  <c r="Z325" i="24"/>
  <c r="BH418" i="24"/>
  <c r="AA20" i="30"/>
  <c r="AA96" i="30"/>
  <c r="AA222" i="30"/>
  <c r="AC257" i="30"/>
  <c r="AG11" i="30"/>
  <c r="AH105" i="30"/>
  <c r="AN225" i="30"/>
  <c r="AO266" i="30"/>
  <c r="AV14" i="30"/>
  <c r="AW112" i="30"/>
  <c r="AY253" i="30"/>
  <c r="BS107" i="30"/>
  <c r="CC90" i="30"/>
  <c r="CG213" i="30"/>
  <c r="CD256" i="30"/>
  <c r="T407" i="24"/>
  <c r="BN424" i="24"/>
  <c r="T247" i="30"/>
  <c r="W344" i="24"/>
  <c r="U414" i="24"/>
  <c r="AF432" i="24"/>
  <c r="AV409" i="24"/>
  <c r="BL451" i="24"/>
  <c r="AB24" i="30"/>
  <c r="U46" i="30"/>
  <c r="R62" i="30"/>
  <c r="S82" i="30"/>
  <c r="Y97" i="30"/>
  <c r="S112" i="30"/>
  <c r="AB201" i="30"/>
  <c r="W213" i="30"/>
  <c r="V224" i="30"/>
  <c r="S238" i="30"/>
  <c r="Y247" i="30"/>
  <c r="AA258" i="30"/>
  <c r="AA268" i="30"/>
  <c r="AK12" i="30"/>
  <c r="AI36" i="30"/>
  <c r="AJ91" i="30"/>
  <c r="AF108" i="30"/>
  <c r="AL200" i="30"/>
  <c r="AF213" i="30"/>
  <c r="AP226" i="30"/>
  <c r="AN242" i="30"/>
  <c r="AF255" i="30"/>
  <c r="AN268" i="30"/>
  <c r="BA14" i="30"/>
  <c r="BD90" i="30"/>
  <c r="AZ115" i="30"/>
  <c r="BC214" i="30"/>
  <c r="AZ234" i="30"/>
  <c r="AV255" i="30"/>
  <c r="BM41" i="30"/>
  <c r="BO111" i="30"/>
  <c r="BJ213" i="30"/>
  <c r="BJ237" i="30"/>
  <c r="BI260" i="30"/>
  <c r="BV100" i="30"/>
  <c r="BV221" i="30"/>
  <c r="BX262" i="30"/>
  <c r="CP209" i="30"/>
  <c r="CP259" i="30"/>
  <c r="CD101" i="24"/>
  <c r="AW106" i="24"/>
  <c r="AF110" i="24"/>
  <c r="R90" i="24"/>
  <c r="AV106" i="24"/>
  <c r="AQ109" i="24"/>
  <c r="Z88" i="24"/>
  <c r="BK95" i="24"/>
  <c r="AZ99" i="24"/>
  <c r="AP104" i="24"/>
  <c r="Y88" i="24"/>
  <c r="AC114" i="24"/>
  <c r="BH89" i="24"/>
  <c r="BJ95" i="24"/>
  <c r="Y114" i="24"/>
  <c r="BI95" i="24"/>
  <c r="X114" i="24"/>
  <c r="U114" i="24"/>
  <c r="AX106" i="24"/>
  <c r="AP110" i="24"/>
  <c r="U116" i="24"/>
  <c r="CE104" i="24"/>
  <c r="X88" i="24"/>
  <c r="R114" i="24"/>
  <c r="CR151" i="24"/>
  <c r="BP125" i="24"/>
  <c r="BJ125" i="24"/>
  <c r="BM128" i="24"/>
  <c r="BR146" i="24"/>
  <c r="S90" i="24"/>
  <c r="AJ90" i="24"/>
  <c r="BC98" i="24"/>
  <c r="W90" i="24"/>
  <c r="AG110" i="24"/>
  <c r="AZ106" i="24"/>
  <c r="CR220" i="24"/>
  <c r="CF229" i="24"/>
  <c r="AM225" i="24"/>
  <c r="Y230" i="24"/>
  <c r="AC202" i="24"/>
  <c r="BY206" i="24"/>
  <c r="AL225" i="24"/>
  <c r="V230" i="24"/>
  <c r="AB199" i="24"/>
  <c r="BX206" i="24"/>
  <c r="AK225" i="24"/>
  <c r="U230" i="24"/>
  <c r="AC198" i="24"/>
  <c r="CN222" i="24"/>
  <c r="AW230" i="24"/>
  <c r="AI200" i="24"/>
  <c r="W225" i="24"/>
  <c r="AX223" i="24"/>
  <c r="AA215" i="24"/>
  <c r="CJ222" i="24"/>
  <c r="AV230" i="24"/>
  <c r="AH200" i="24"/>
  <c r="U225" i="24"/>
  <c r="AZ223" i="24"/>
  <c r="T225" i="24"/>
  <c r="AP199" i="24"/>
  <c r="CQ221" i="24"/>
  <c r="AQ199" i="24"/>
  <c r="CL221" i="24"/>
  <c r="AA212" i="24"/>
  <c r="AK220" i="24"/>
  <c r="AU207" i="24"/>
  <c r="CQ261" i="24"/>
  <c r="BO255" i="24"/>
  <c r="AT235" i="24"/>
  <c r="AP267" i="24"/>
  <c r="V259" i="24"/>
  <c r="BM255" i="24"/>
  <c r="BB234" i="24"/>
  <c r="AO267" i="24"/>
  <c r="U259" i="24"/>
  <c r="BK255" i="24"/>
  <c r="BA234" i="24"/>
  <c r="AN267" i="24"/>
  <c r="T256" i="24"/>
  <c r="CB237" i="24"/>
  <c r="BP265" i="24"/>
  <c r="AG248" i="24"/>
  <c r="X255" i="24"/>
  <c r="CF236" i="24"/>
  <c r="AM242" i="24"/>
  <c r="BX237" i="24"/>
  <c r="BO265" i="24"/>
  <c r="AN246" i="24"/>
  <c r="W255" i="24"/>
  <c r="BS256" i="24"/>
  <c r="AN242" i="24"/>
  <c r="V255" i="24"/>
  <c r="BW237" i="24"/>
  <c r="BP256" i="24"/>
  <c r="U255" i="24"/>
  <c r="R229" i="24"/>
  <c r="BN226" i="24"/>
  <c r="S272" i="30"/>
  <c r="AC287" i="30"/>
  <c r="T304" i="30"/>
  <c r="AN290" i="30"/>
  <c r="AY273" i="30"/>
  <c r="BD299" i="30"/>
  <c r="BO279" i="30"/>
  <c r="BS306" i="30"/>
  <c r="T272" i="30"/>
  <c r="V277" i="30"/>
  <c r="Z282" i="30"/>
  <c r="R288" i="30"/>
  <c r="X293" i="30"/>
  <c r="Y298" i="30"/>
  <c r="V304" i="30"/>
  <c r="AG278" i="30"/>
  <c r="AQ283" i="30"/>
  <c r="AO290" i="30"/>
  <c r="AK297" i="30"/>
  <c r="AN304" i="30"/>
  <c r="BC274" i="30"/>
  <c r="AY283" i="30"/>
  <c r="AZ291" i="30"/>
  <c r="AU300" i="30"/>
  <c r="BD307" i="30"/>
  <c r="BP279" i="30"/>
  <c r="BN288" i="30"/>
  <c r="BO297" i="30"/>
  <c r="BH307" i="30"/>
  <c r="CC287" i="30"/>
  <c r="CE302" i="30"/>
  <c r="CL292" i="30"/>
  <c r="V282" i="30"/>
  <c r="X298" i="30"/>
  <c r="AF278" i="30"/>
  <c r="AP283" i="30"/>
  <c r="AM304" i="30"/>
  <c r="AY291" i="30"/>
  <c r="BC307" i="30"/>
  <c r="BN297" i="30"/>
  <c r="BY287" i="30"/>
  <c r="V272" i="30"/>
  <c r="W277" i="30"/>
  <c r="AA282" i="30"/>
  <c r="S288" i="30"/>
  <c r="AA293" i="30"/>
  <c r="Z298" i="30"/>
  <c r="W304" i="30"/>
  <c r="AK278" i="30"/>
  <c r="AH285" i="30"/>
  <c r="AP290" i="30"/>
  <c r="AL297" i="30"/>
  <c r="AO304" i="30"/>
  <c r="BD274" i="30"/>
  <c r="AZ283" i="30"/>
  <c r="BB291" i="30"/>
  <c r="AX300" i="30"/>
  <c r="BQ279" i="30"/>
  <c r="BQ288" i="30"/>
  <c r="BJ298" i="30"/>
  <c r="BI307" i="30"/>
  <c r="BX272" i="30"/>
  <c r="CF287" i="30"/>
  <c r="CG302" i="30"/>
  <c r="CO307" i="30"/>
  <c r="CJ302" i="30"/>
  <c r="CM284" i="30"/>
  <c r="CE304" i="30"/>
  <c r="BX293" i="30"/>
  <c r="BW281" i="30"/>
  <c r="CK305" i="30"/>
  <c r="CJ290" i="30"/>
  <c r="CD307" i="30"/>
  <c r="BV296" i="30"/>
  <c r="CE283" i="30"/>
  <c r="BL306" i="30"/>
  <c r="BH299" i="30"/>
  <c r="BN291" i="30"/>
  <c r="BQ283" i="30"/>
  <c r="BI276" i="30"/>
  <c r="AU302" i="30"/>
  <c r="AV295" i="30"/>
  <c r="AW288" i="30"/>
  <c r="AX280" i="30"/>
  <c r="AX274" i="30"/>
  <c r="AQ302" i="30"/>
  <c r="CL304" i="30"/>
  <c r="CM289" i="30"/>
  <c r="CC307" i="30"/>
  <c r="CC295" i="30"/>
  <c r="CD283" i="30"/>
  <c r="BK306" i="30"/>
  <c r="BS298" i="30"/>
  <c r="BH291" i="30"/>
  <c r="BN283" i="30"/>
  <c r="BH276" i="30"/>
  <c r="BC301" i="30"/>
  <c r="BB294" i="30"/>
  <c r="AY287" i="30"/>
  <c r="AW280" i="30"/>
  <c r="AW274" i="30"/>
  <c r="CR303" i="30"/>
  <c r="CM288" i="30"/>
  <c r="CB307" i="30"/>
  <c r="BZ295" i="30"/>
  <c r="CA282" i="30"/>
  <c r="BJ306" i="30"/>
  <c r="BR298" i="30"/>
  <c r="BJ290" i="30"/>
  <c r="BH283" i="30"/>
  <c r="BN275" i="30"/>
  <c r="BB301" i="30"/>
  <c r="AX294" i="30"/>
  <c r="AX287" i="30"/>
  <c r="AV280" i="30"/>
  <c r="BB273" i="30"/>
  <c r="CS299" i="30"/>
  <c r="CQ280" i="30"/>
  <c r="CA300" i="30"/>
  <c r="BW287" i="30"/>
  <c r="CD273" i="30"/>
  <c r="BQ303" i="30"/>
  <c r="BK295" i="30"/>
  <c r="BS286" i="30"/>
  <c r="BK279" i="30"/>
  <c r="BC305" i="30"/>
  <c r="BB297" i="30"/>
  <c r="BC289" i="30"/>
  <c r="AX282" i="30"/>
  <c r="BB274" i="30"/>
  <c r="AF303" i="30"/>
  <c r="AI297" i="30"/>
  <c r="AO291" i="30"/>
  <c r="AP285" i="30"/>
  <c r="AG280" i="30"/>
  <c r="AH274" i="30"/>
  <c r="AA304" i="30"/>
  <c r="AC299" i="30"/>
  <c r="AA294" i="30"/>
  <c r="U290" i="30"/>
  <c r="U285" i="30"/>
  <c r="V280" i="30"/>
  <c r="T275" i="30"/>
  <c r="BY272" i="30"/>
  <c r="CR299" i="30"/>
  <c r="CU279" i="30"/>
  <c r="BZ300" i="30"/>
  <c r="BV287" i="30"/>
  <c r="CE272" i="30"/>
  <c r="BP303" i="30"/>
  <c r="BJ295" i="30"/>
  <c r="BR286" i="30"/>
  <c r="BJ278" i="30"/>
  <c r="BB305" i="30"/>
  <c r="AX297" i="30"/>
  <c r="BB289" i="30"/>
  <c r="BE281" i="30"/>
  <c r="AZ274" i="30"/>
  <c r="AP302" i="30"/>
  <c r="AH297" i="30"/>
  <c r="AN291" i="30"/>
  <c r="AO285" i="30"/>
  <c r="AI279" i="30"/>
  <c r="AG274" i="30"/>
  <c r="Z304" i="30"/>
  <c r="AB299" i="30"/>
  <c r="W294" i="30"/>
  <c r="S290" i="30"/>
  <c r="AB284" i="30"/>
  <c r="T280" i="30"/>
  <c r="S275" i="30"/>
  <c r="CB286" i="30"/>
  <c r="CO299" i="30"/>
  <c r="CT279" i="30"/>
  <c r="CF299" i="30"/>
  <c r="CD286" i="30"/>
  <c r="BZ272" i="30"/>
  <c r="BJ302" i="30"/>
  <c r="BI295" i="30"/>
  <c r="BK286" i="30"/>
  <c r="BI278" i="30"/>
  <c r="BB304" i="30"/>
  <c r="AW297" i="30"/>
  <c r="AY289" i="30"/>
  <c r="BD281" i="30"/>
  <c r="AY274" i="30"/>
  <c r="AO302" i="30"/>
  <c r="AG297" i="30"/>
  <c r="AM291" i="30"/>
  <c r="AN285" i="30"/>
  <c r="AG279" i="30"/>
  <c r="AN273" i="30"/>
  <c r="Y304" i="30"/>
  <c r="AA299" i="30"/>
  <c r="V294" i="30"/>
  <c r="R290" i="30"/>
  <c r="AA284" i="30"/>
  <c r="S280" i="30"/>
  <c r="R275" i="30"/>
  <c r="CM299" i="30"/>
  <c r="CN279" i="30"/>
  <c r="CB299" i="30"/>
  <c r="U277" i="30"/>
  <c r="W293" i="30"/>
  <c r="AJ297" i="30"/>
  <c r="AX283" i="30"/>
  <c r="BK288" i="30"/>
  <c r="CA302" i="30"/>
  <c r="CK292" i="30"/>
  <c r="W272" i="30"/>
  <c r="AA277" i="30"/>
  <c r="R283" i="30"/>
  <c r="T288" i="30"/>
  <c r="AB293" i="30"/>
  <c r="AA298" i="30"/>
  <c r="AB304" i="30"/>
  <c r="AF272" i="30"/>
  <c r="AM278" i="30"/>
  <c r="AI285" i="30"/>
  <c r="AP291" i="30"/>
  <c r="AM297" i="30"/>
  <c r="AP304" i="30"/>
  <c r="BE274" i="30"/>
  <c r="BA283" i="30"/>
  <c r="BC291" i="30"/>
  <c r="AY300" i="30"/>
  <c r="BR279" i="30"/>
  <c r="BM289" i="30"/>
  <c r="BL298" i="30"/>
  <c r="BK307" i="30"/>
  <c r="CF273" i="30"/>
  <c r="CG288" i="30"/>
  <c r="BZ304" i="30"/>
  <c r="CS292" i="30"/>
  <c r="CO341" i="30"/>
  <c r="CR335" i="30"/>
  <c r="CQ325" i="30"/>
  <c r="CM315" i="30"/>
  <c r="BY344" i="30"/>
  <c r="BX337" i="30"/>
  <c r="CE329" i="30"/>
  <c r="CB322" i="30"/>
  <c r="BW315" i="30"/>
  <c r="CK340" i="30"/>
  <c r="CQ328" i="30"/>
  <c r="CQ319" i="30"/>
  <c r="BV340" i="30"/>
  <c r="CB332" i="30"/>
  <c r="BY325" i="30"/>
  <c r="BY317" i="30"/>
  <c r="BN342" i="30"/>
  <c r="BM337" i="30"/>
  <c r="BO332" i="30"/>
  <c r="BP327" i="30"/>
  <c r="BI323" i="30"/>
  <c r="BK318" i="30"/>
  <c r="BN313" i="30"/>
  <c r="AV343" i="30"/>
  <c r="AY338" i="30"/>
  <c r="BE333" i="30"/>
  <c r="AV329" i="30"/>
  <c r="AZ324" i="30"/>
  <c r="AT320" i="30"/>
  <c r="AY315" i="30"/>
  <c r="AU311" i="30"/>
  <c r="AP345" i="30"/>
  <c r="AN341" i="30"/>
  <c r="AP337" i="30"/>
  <c r="AQ333" i="30"/>
  <c r="AQ329" i="30"/>
  <c r="AG326" i="30"/>
  <c r="AF322" i="30"/>
  <c r="AJ318" i="30"/>
  <c r="AM314" i="30"/>
  <c r="AM310" i="30"/>
  <c r="CT339" i="30"/>
  <c r="CP328" i="30"/>
  <c r="CK319" i="30"/>
  <c r="CE339" i="30"/>
  <c r="BV332" i="30"/>
  <c r="BX325" i="30"/>
  <c r="BX317" i="30"/>
  <c r="BM342" i="30"/>
  <c r="BL337" i="30"/>
  <c r="BL332" i="30"/>
  <c r="BO327" i="30"/>
  <c r="BN322" i="30"/>
  <c r="BJ318" i="30"/>
  <c r="BM313" i="30"/>
  <c r="BD342" i="30"/>
  <c r="AX338" i="30"/>
  <c r="BD333" i="30"/>
  <c r="AU329" i="30"/>
  <c r="AY324" i="30"/>
  <c r="BE319" i="30"/>
  <c r="AX315" i="30"/>
  <c r="AT311" i="30"/>
  <c r="AN345" i="30"/>
  <c r="AM341" i="30"/>
  <c r="AO337" i="30"/>
  <c r="AK333" i="30"/>
  <c r="AP329" i="30"/>
  <c r="AO325" i="30"/>
  <c r="AQ321" i="30"/>
  <c r="AG318" i="30"/>
  <c r="AI314" i="30"/>
  <c r="AK310" i="30"/>
  <c r="CS339" i="30"/>
  <c r="CO328" i="30"/>
  <c r="CR317" i="30"/>
  <c r="CD339" i="30"/>
  <c r="CG331" i="30"/>
  <c r="BW325" i="30"/>
  <c r="BV317" i="30"/>
  <c r="BL342" i="30"/>
  <c r="BK337" i="30"/>
  <c r="BK332" i="30"/>
  <c r="BN327" i="30"/>
  <c r="BM322" i="30"/>
  <c r="BR317" i="30"/>
  <c r="BI313" i="30"/>
  <c r="AY342" i="30"/>
  <c r="AW338" i="30"/>
  <c r="AX333" i="30"/>
  <c r="BC328" i="30"/>
  <c r="AX324" i="30"/>
  <c r="BD319" i="30"/>
  <c r="AW315" i="30"/>
  <c r="BE310" i="30"/>
  <c r="AM345" i="30"/>
  <c r="AL341" i="30"/>
  <c r="AL337" i="30"/>
  <c r="AJ333" i="30"/>
  <c r="AO329" i="30"/>
  <c r="AN325" i="30"/>
  <c r="AP321" i="30"/>
  <c r="AF318" i="30"/>
  <c r="AH314" i="30"/>
  <c r="AJ310" i="30"/>
  <c r="S311" i="30"/>
  <c r="Y314" i="30"/>
  <c r="U318" i="30"/>
  <c r="AC321" i="30"/>
  <c r="Y325" i="30"/>
  <c r="R329" i="30"/>
  <c r="Z332" i="30"/>
  <c r="W336" i="30"/>
  <c r="S340" i="30"/>
  <c r="AA343" i="30"/>
  <c r="AO310" i="30"/>
  <c r="AF315" i="30"/>
  <c r="AG319" i="30"/>
  <c r="AK323" i="30"/>
  <c r="AN327" i="30"/>
  <c r="AO331" i="30"/>
  <c r="AG336" i="30"/>
  <c r="AP340" i="30"/>
  <c r="AF345" i="30"/>
  <c r="AW313" i="30"/>
  <c r="AZ318" i="30"/>
  <c r="AU323" i="30"/>
  <c r="AX328" i="30"/>
  <c r="BE332" i="30"/>
  <c r="BA338" i="30"/>
  <c r="BC343" i="30"/>
  <c r="BH312" i="30"/>
  <c r="BK317" i="30"/>
  <c r="BJ322" i="30"/>
  <c r="BQ327" i="30"/>
  <c r="BK333" i="30"/>
  <c r="BM338" i="30"/>
  <c r="BO343" i="30"/>
  <c r="CA313" i="30"/>
  <c r="CF321" i="30"/>
  <c r="CB329" i="30"/>
  <c r="CC337" i="30"/>
  <c r="CE345" i="30"/>
  <c r="CK316" i="30"/>
  <c r="CQ326" i="30"/>
  <c r="CL339" i="30"/>
  <c r="T311" i="30"/>
  <c r="Z314" i="30"/>
  <c r="V318" i="30"/>
  <c r="R322" i="30"/>
  <c r="Z325" i="30"/>
  <c r="V329" i="30"/>
  <c r="AA332" i="30"/>
  <c r="X336" i="30"/>
  <c r="T340" i="30"/>
  <c r="AB343" i="30"/>
  <c r="AF311" i="30"/>
  <c r="AG315" i="30"/>
  <c r="AH319" i="30"/>
  <c r="AL323" i="30"/>
  <c r="AO327" i="30"/>
  <c r="AQ331" i="30"/>
  <c r="AH336" i="30"/>
  <c r="AQ340" i="30"/>
  <c r="AG345" i="30"/>
  <c r="AX313" i="30"/>
  <c r="BA318" i="30"/>
  <c r="AV323" i="30"/>
  <c r="AY328" i="30"/>
  <c r="AT333" i="30"/>
  <c r="BB338" i="30"/>
  <c r="BD343" i="30"/>
  <c r="BJ312" i="30"/>
  <c r="BL317" i="30"/>
  <c r="BK322" i="30"/>
  <c r="BS327" i="30"/>
  <c r="BL333" i="30"/>
  <c r="BQ338" i="30"/>
  <c r="BI344" i="30"/>
  <c r="CD313" i="30"/>
  <c r="CG321" i="30"/>
  <c r="CD329" i="30"/>
  <c r="CD337" i="30"/>
  <c r="CF345" i="30"/>
  <c r="CQ316" i="30"/>
  <c r="CR327" i="30"/>
  <c r="CP339" i="30"/>
  <c r="U311" i="30"/>
  <c r="AA314" i="30"/>
  <c r="Z318" i="30"/>
  <c r="S322" i="30"/>
  <c r="AA325" i="30"/>
  <c r="W329" i="30"/>
  <c r="AB332" i="30"/>
  <c r="Y336" i="30"/>
  <c r="U340" i="30"/>
  <c r="AC343" i="30"/>
  <c r="AG311" i="30"/>
  <c r="AH315" i="30"/>
  <c r="AL319" i="30"/>
  <c r="AM323" i="30"/>
  <c r="AP327" i="30"/>
  <c r="AH332" i="30"/>
  <c r="AI336" i="30"/>
  <c r="AF341" i="30"/>
  <c r="AK345" i="30"/>
  <c r="AY313" i="30"/>
  <c r="BB318" i="30"/>
  <c r="BD323" i="30"/>
  <c r="AZ328" i="30"/>
  <c r="AT334" i="30"/>
  <c r="BE338" i="30"/>
  <c r="BE343" i="30"/>
  <c r="BK312" i="30"/>
  <c r="BM317" i="30"/>
  <c r="BL322" i="30"/>
  <c r="BK328" i="30"/>
  <c r="BM333" i="30"/>
  <c r="BR338" i="30"/>
  <c r="BM344" i="30"/>
  <c r="CE313" i="30"/>
  <c r="BW322" i="30"/>
  <c r="BZ330" i="30"/>
  <c r="CE337" i="30"/>
  <c r="CU316" i="30"/>
  <c r="CS327" i="30"/>
  <c r="CQ339" i="30"/>
  <c r="CN378" i="30"/>
  <c r="CT370" i="30"/>
  <c r="CM363" i="30"/>
  <c r="CL356" i="30"/>
  <c r="CL349" i="30"/>
  <c r="BZ380" i="30"/>
  <c r="BV375" i="30"/>
  <c r="BZ370" i="30"/>
  <c r="CD365" i="30"/>
  <c r="CC360" i="30"/>
  <c r="BY356" i="30"/>
  <c r="BX351" i="30"/>
  <c r="BS381" i="30"/>
  <c r="BN378" i="30"/>
  <c r="BH375" i="30"/>
  <c r="CK421" i="30"/>
  <c r="CK418" i="30"/>
  <c r="CL415" i="30"/>
  <c r="CM412" i="30"/>
  <c r="CN409" i="30"/>
  <c r="CO406" i="30"/>
  <c r="CP403" i="30"/>
  <c r="CR400" i="30"/>
  <c r="CT397" i="30"/>
  <c r="CJ395" i="30"/>
  <c r="CL392" i="30"/>
  <c r="CN389" i="30"/>
  <c r="CP386" i="30"/>
  <c r="BY421" i="30"/>
  <c r="CC418" i="30"/>
  <c r="CG415" i="30"/>
  <c r="BY413" i="30"/>
  <c r="CC410" i="30"/>
  <c r="CG407" i="30"/>
  <c r="BY405" i="30"/>
  <c r="CC402" i="30"/>
  <c r="CG399" i="30"/>
  <c r="BY397" i="30"/>
  <c r="CC394" i="30"/>
  <c r="CG391" i="30"/>
  <c r="BY389" i="30"/>
  <c r="CC386" i="30"/>
  <c r="BS421" i="30"/>
  <c r="BK419" i="30"/>
  <c r="BO416" i="30"/>
  <c r="BS413" i="30"/>
  <c r="BK411" i="30"/>
  <c r="BO408" i="30"/>
  <c r="BS405" i="30"/>
  <c r="BK403" i="30"/>
  <c r="BO400" i="30"/>
  <c r="BS397" i="30"/>
  <c r="BK395" i="30"/>
  <c r="BO392" i="30"/>
  <c r="BS389" i="30"/>
  <c r="BK387" i="30"/>
  <c r="Y82" i="24"/>
  <c r="AI116" i="24"/>
  <c r="CG206" i="24"/>
  <c r="V107" i="24"/>
  <c r="AY236" i="24"/>
  <c r="BJ97" i="24"/>
  <c r="BQ205" i="24"/>
  <c r="BN237" i="24"/>
  <c r="BM267" i="24"/>
  <c r="CD88" i="24"/>
  <c r="BW207" i="24"/>
  <c r="CC248" i="24"/>
  <c r="CS99" i="24"/>
  <c r="CJ250" i="24"/>
  <c r="AA193" i="24"/>
  <c r="BB177" i="24"/>
  <c r="W192" i="24"/>
  <c r="AX177" i="24"/>
  <c r="U192" i="24"/>
  <c r="AV177" i="24"/>
  <c r="Y184" i="24"/>
  <c r="AX166" i="24"/>
  <c r="X184" i="24"/>
  <c r="AU162" i="24"/>
  <c r="W177" i="24"/>
  <c r="AT162" i="24"/>
  <c r="AP189" i="24"/>
  <c r="AO189" i="24"/>
  <c r="AK188" i="24"/>
  <c r="AH188" i="24"/>
  <c r="Y174" i="24"/>
  <c r="AG166" i="24"/>
  <c r="X174" i="24"/>
  <c r="AI163" i="24"/>
  <c r="W174" i="24"/>
  <c r="AH163" i="24"/>
  <c r="AC173" i="24"/>
  <c r="AJ162" i="24"/>
  <c r="AB173" i="24"/>
  <c r="AI162" i="24"/>
  <c r="X169" i="24"/>
  <c r="Z168" i="24"/>
  <c r="AF162" i="24"/>
  <c r="W164" i="24"/>
  <c r="AG162" i="24"/>
  <c r="AA166" i="24"/>
  <c r="AL161" i="24"/>
  <c r="V164" i="24"/>
  <c r="U164" i="24"/>
  <c r="AI161" i="24"/>
  <c r="AV186" i="24"/>
  <c r="BE185" i="24"/>
  <c r="BV169" i="24"/>
  <c r="AT82" i="24"/>
  <c r="AA82" i="24"/>
  <c r="AC230" i="24"/>
  <c r="AO226" i="24"/>
  <c r="CR99" i="24"/>
  <c r="X274" i="24"/>
  <c r="AN303" i="24"/>
  <c r="AL298" i="24"/>
  <c r="AI290" i="24"/>
  <c r="AH290" i="24"/>
  <c r="AG290" i="24"/>
  <c r="AI274" i="24"/>
  <c r="AQ289" i="24"/>
  <c r="AO289" i="24"/>
  <c r="S293" i="24"/>
  <c r="BQ298" i="24"/>
  <c r="W292" i="24"/>
  <c r="AC82" i="24"/>
  <c r="W91" i="24"/>
  <c r="AA135" i="24"/>
  <c r="R204" i="24"/>
  <c r="AC216" i="24"/>
  <c r="R231" i="24"/>
  <c r="AA246" i="24"/>
  <c r="Y259" i="24"/>
  <c r="AQ96" i="24"/>
  <c r="AJ116" i="24"/>
  <c r="AI211" i="24"/>
  <c r="AP226" i="24"/>
  <c r="AO249" i="24"/>
  <c r="AI268" i="24"/>
  <c r="AY88" i="24"/>
  <c r="BD112" i="24"/>
  <c r="BC214" i="24"/>
  <c r="BE266" i="24"/>
  <c r="R83" i="24"/>
  <c r="X91" i="24"/>
  <c r="W107" i="24"/>
  <c r="X138" i="24"/>
  <c r="U204" i="24"/>
  <c r="R220" i="24"/>
  <c r="U231" i="24"/>
  <c r="AB246" i="24"/>
  <c r="Z259" i="24"/>
  <c r="AF97" i="24"/>
  <c r="AK116" i="24"/>
  <c r="AJ211" i="24"/>
  <c r="AF227" i="24"/>
  <c r="AP252" i="24"/>
  <c r="AJ268" i="24"/>
  <c r="AT91" i="24"/>
  <c r="AY113" i="24"/>
  <c r="BD214" i="24"/>
  <c r="AX240" i="24"/>
  <c r="AT267" i="24"/>
  <c r="BK97" i="24"/>
  <c r="BS205" i="24"/>
  <c r="BO237" i="24"/>
  <c r="BN267" i="24"/>
  <c r="CE88" i="24"/>
  <c r="BX207" i="24"/>
  <c r="CD249" i="24"/>
  <c r="CR100" i="24"/>
  <c r="CK250" i="24"/>
  <c r="AZ112" i="24"/>
  <c r="S135" i="24"/>
  <c r="CC88" i="24"/>
  <c r="S83" i="24"/>
  <c r="U92" i="24"/>
  <c r="X107" i="24"/>
  <c r="AB168" i="24"/>
  <c r="X206" i="24"/>
  <c r="S220" i="24"/>
  <c r="V231" i="24"/>
  <c r="T248" i="24"/>
  <c r="AA259" i="24"/>
  <c r="AH98" i="24"/>
  <c r="AM116" i="24"/>
  <c r="AM211" i="24"/>
  <c r="AK227" i="24"/>
  <c r="AQ252" i="24"/>
  <c r="AG269" i="24"/>
  <c r="AU91" i="24"/>
  <c r="AZ113" i="24"/>
  <c r="BE214" i="24"/>
  <c r="BB241" i="24"/>
  <c r="AU267" i="24"/>
  <c r="BL97" i="24"/>
  <c r="BO206" i="24"/>
  <c r="BQ245" i="24"/>
  <c r="BM268" i="24"/>
  <c r="BY95" i="24"/>
  <c r="BY207" i="24"/>
  <c r="CE249" i="24"/>
  <c r="CQ113" i="24"/>
  <c r="CN252" i="24"/>
  <c r="Z90" i="24"/>
  <c r="BS96" i="24"/>
  <c r="T135" i="24"/>
  <c r="X95" i="24"/>
  <c r="AJ231" i="24"/>
  <c r="BP268" i="24"/>
  <c r="BQ286" i="24"/>
  <c r="BO205" i="24"/>
  <c r="U107" i="24"/>
  <c r="BH97" i="24"/>
  <c r="W231" i="24"/>
  <c r="BJ98" i="24"/>
  <c r="AU215" i="24"/>
  <c r="CG256" i="24"/>
  <c r="Y83" i="24"/>
  <c r="Z95" i="24"/>
  <c r="AA107" i="24"/>
  <c r="T177" i="24"/>
  <c r="AA206" i="24"/>
  <c r="Y220" i="24"/>
  <c r="Y231" i="24"/>
  <c r="V249" i="24"/>
  <c r="Y260" i="24"/>
  <c r="AQ98" i="24"/>
  <c r="AF137" i="24"/>
  <c r="AG212" i="24"/>
  <c r="AF235" i="24"/>
  <c r="AO253" i="24"/>
  <c r="AU94" i="24"/>
  <c r="AY116" i="24"/>
  <c r="BE215" i="24"/>
  <c r="AT242" i="24"/>
  <c r="BC267" i="24"/>
  <c r="BP98" i="24"/>
  <c r="BH212" i="24"/>
  <c r="BK246" i="24"/>
  <c r="CA96" i="24"/>
  <c r="BV209" i="24"/>
  <c r="BV257" i="24"/>
  <c r="CR117" i="24"/>
  <c r="CR252" i="24"/>
  <c r="BZ206" i="24"/>
  <c r="U83" i="24"/>
  <c r="AP98" i="24"/>
  <c r="CQ252" i="24"/>
  <c r="AA95" i="24"/>
  <c r="AB107" i="24"/>
  <c r="U177" i="24"/>
  <c r="U207" i="24"/>
  <c r="Z220" i="24"/>
  <c r="Z231" i="24"/>
  <c r="AA260" i="24"/>
  <c r="AF99" i="24"/>
  <c r="AQ197" i="24"/>
  <c r="AH212" i="24"/>
  <c r="AO235" i="24"/>
  <c r="AP253" i="24"/>
  <c r="AV94" i="24"/>
  <c r="BE116" i="24"/>
  <c r="AT216" i="24"/>
  <c r="AV242" i="24"/>
  <c r="BD267" i="24"/>
  <c r="BL109" i="24"/>
  <c r="BI212" i="24"/>
  <c r="BL246" i="24"/>
  <c r="BZ100" i="24"/>
  <c r="CA211" i="24"/>
  <c r="BW257" i="24"/>
  <c r="CS117" i="24"/>
  <c r="CO253" i="24"/>
  <c r="AC126" i="24"/>
  <c r="BZ95" i="24"/>
  <c r="BS211" i="24"/>
  <c r="Z83" i="24"/>
  <c r="W249" i="24"/>
  <c r="AA83" i="24"/>
  <c r="AB95" i="24"/>
  <c r="U108" i="24"/>
  <c r="V196" i="24"/>
  <c r="V207" i="24"/>
  <c r="T221" i="24"/>
  <c r="T234" i="24"/>
  <c r="X249" i="24"/>
  <c r="AB260" i="24"/>
  <c r="AN83" i="24"/>
  <c r="AG99" i="24"/>
  <c r="AF198" i="24"/>
  <c r="AI212" i="24"/>
  <c r="AP235" i="24"/>
  <c r="AH254" i="24"/>
  <c r="AW94" i="24"/>
  <c r="AT117" i="24"/>
  <c r="AW216" i="24"/>
  <c r="AY242" i="24"/>
  <c r="BE267" i="24"/>
  <c r="BI110" i="24"/>
  <c r="BJ212" i="24"/>
  <c r="BM246" i="24"/>
  <c r="BX101" i="24"/>
  <c r="CG221" i="24"/>
  <c r="BY257" i="24"/>
  <c r="CP253" i="24"/>
  <c r="AN95" i="24"/>
  <c r="AF211" i="24"/>
  <c r="Y206" i="24"/>
  <c r="BC241" i="24"/>
  <c r="X260" i="24"/>
  <c r="BY96" i="24"/>
  <c r="W84" i="24"/>
  <c r="AC95" i="24"/>
  <c r="V108" i="24"/>
  <c r="Z196" i="24"/>
  <c r="X207" i="24"/>
  <c r="U221" i="24"/>
  <c r="U234" i="24"/>
  <c r="Y249" i="24"/>
  <c r="AC260" i="24"/>
  <c r="AO83" i="24"/>
  <c r="AM101" i="24"/>
  <c r="AG198" i="24"/>
  <c r="AF213" i="24"/>
  <c r="AQ235" i="24"/>
  <c r="AI254" i="24"/>
  <c r="BB94" i="24"/>
  <c r="AW117" i="24"/>
  <c r="BA216" i="24"/>
  <c r="AV249" i="24"/>
  <c r="AT268" i="24"/>
  <c r="BJ110" i="24"/>
  <c r="BK212" i="24"/>
  <c r="BN246" i="24"/>
  <c r="BZ101" i="24"/>
  <c r="BW222" i="24"/>
  <c r="BZ257" i="24"/>
  <c r="CM196" i="24"/>
  <c r="CS260" i="24"/>
  <c r="X117" i="24"/>
  <c r="AO132" i="24"/>
  <c r="AB126" i="24"/>
  <c r="AA126" i="24"/>
  <c r="AC124" i="24"/>
  <c r="T120" i="24"/>
  <c r="AT154" i="24"/>
  <c r="AZ148" i="24"/>
  <c r="AY148" i="24"/>
  <c r="AW148" i="24"/>
  <c r="AX138" i="24"/>
  <c r="BB122" i="24"/>
  <c r="CA149" i="24"/>
  <c r="CG147" i="24"/>
  <c r="BV148" i="24"/>
  <c r="CB147" i="24"/>
  <c r="AJ146" i="24"/>
  <c r="AK150" i="24"/>
  <c r="AC155" i="24"/>
  <c r="AI149" i="24"/>
  <c r="AB152" i="24"/>
  <c r="V152" i="24"/>
  <c r="AH150" i="24"/>
  <c r="AC154" i="24"/>
  <c r="AK135" i="24"/>
  <c r="AB136" i="24"/>
  <c r="BO132" i="24"/>
  <c r="BR149" i="24"/>
  <c r="AC134" i="24"/>
  <c r="CS97" i="24"/>
  <c r="AC196" i="24"/>
  <c r="S236" i="24"/>
  <c r="AP101" i="24"/>
  <c r="AH213" i="24"/>
  <c r="AH236" i="24"/>
  <c r="AX198" i="24"/>
  <c r="BB216" i="24"/>
  <c r="AU268" i="24"/>
  <c r="BK110" i="24"/>
  <c r="BN212" i="24"/>
  <c r="BO247" i="24"/>
  <c r="CA101" i="24"/>
  <c r="CB222" i="24"/>
  <c r="CA258" i="24"/>
  <c r="CO196" i="24"/>
  <c r="CT260" i="24"/>
  <c r="BR245" i="24"/>
  <c r="AA248" i="24"/>
  <c r="W261" i="24"/>
  <c r="AP83" i="24"/>
  <c r="AJ198" i="24"/>
  <c r="AJ254" i="24"/>
  <c r="AW249" i="24"/>
  <c r="Z84" i="24"/>
  <c r="X96" i="24"/>
  <c r="AB108" i="24"/>
  <c r="R197" i="24"/>
  <c r="S208" i="24"/>
  <c r="W221" i="24"/>
  <c r="W236" i="24"/>
  <c r="AA249" i="24"/>
  <c r="X265" i="24"/>
  <c r="AQ83" i="24"/>
  <c r="AQ102" i="24"/>
  <c r="AK198" i="24"/>
  <c r="AI213" i="24"/>
  <c r="AP239" i="24"/>
  <c r="AG255" i="24"/>
  <c r="BE96" i="24"/>
  <c r="BC198" i="24"/>
  <c r="BE220" i="24"/>
  <c r="AX249" i="24"/>
  <c r="BB283" i="24"/>
  <c r="BL110" i="24"/>
  <c r="BS212" i="24"/>
  <c r="BP247" i="24"/>
  <c r="CC222" i="24"/>
  <c r="CB258" i="24"/>
  <c r="CR214" i="24"/>
  <c r="CK261" i="24"/>
  <c r="AH17" i="24"/>
  <c r="AB26" i="24"/>
  <c r="T23" i="24"/>
  <c r="CS112" i="24"/>
  <c r="CR91" i="24"/>
  <c r="BZ113" i="24"/>
  <c r="BX95" i="24"/>
  <c r="BM117" i="24"/>
  <c r="BK105" i="24"/>
  <c r="BH95" i="24"/>
  <c r="BN82" i="24"/>
  <c r="AW112" i="24"/>
  <c r="BB103" i="24"/>
  <c r="AT94" i="24"/>
  <c r="AZ86" i="24"/>
  <c r="AH116" i="24"/>
  <c r="AI109" i="24"/>
  <c r="AL101" i="24"/>
  <c r="AQ94" i="24"/>
  <c r="AP88" i="24"/>
  <c r="AB112" i="24"/>
  <c r="R106" i="24"/>
  <c r="W100" i="24"/>
  <c r="S95" i="24"/>
  <c r="CR112" i="24"/>
  <c r="CQ91" i="24"/>
  <c r="BX113" i="24"/>
  <c r="BW95" i="24"/>
  <c r="BS114" i="24"/>
  <c r="BL104" i="24"/>
  <c r="BO94" i="24"/>
  <c r="BM82" i="24"/>
  <c r="AV112" i="24"/>
  <c r="BA103" i="24"/>
  <c r="BE93" i="24"/>
  <c r="AY86" i="24"/>
  <c r="AG116" i="24"/>
  <c r="AH109" i="24"/>
  <c r="AK101" i="24"/>
  <c r="AP94" i="24"/>
  <c r="AO88" i="24"/>
  <c r="U112" i="24"/>
  <c r="AC105" i="24"/>
  <c r="V100" i="24"/>
  <c r="R95" i="24"/>
  <c r="CQ112" i="24"/>
  <c r="CP91" i="24"/>
  <c r="BW113" i="24"/>
  <c r="CD93" i="24"/>
  <c r="BR114" i="24"/>
  <c r="BK104" i="24"/>
  <c r="BN94" i="24"/>
  <c r="BK82" i="24"/>
  <c r="AU112" i="24"/>
  <c r="AZ103" i="24"/>
  <c r="BD93" i="24"/>
  <c r="AU86" i="24"/>
  <c r="AF116" i="24"/>
  <c r="AO108" i="24"/>
  <c r="AP100" i="24"/>
  <c r="AO94" i="24"/>
  <c r="AN88" i="24"/>
  <c r="T112" i="24"/>
  <c r="AB105" i="24"/>
  <c r="U100" i="24"/>
  <c r="AC94" i="24"/>
  <c r="CP112" i="24"/>
  <c r="CK91" i="24"/>
  <c r="CF112" i="24"/>
  <c r="BZ93" i="24"/>
  <c r="BQ114" i="24"/>
  <c r="BH104" i="24"/>
  <c r="BL94" i="24"/>
  <c r="BJ82" i="24"/>
  <c r="BD111" i="24"/>
  <c r="AY103" i="24"/>
  <c r="BC93" i="24"/>
  <c r="AT86" i="24"/>
  <c r="AP115" i="24"/>
  <c r="AN108" i="24"/>
  <c r="AO100" i="24"/>
  <c r="AN94" i="24"/>
  <c r="AQ86" i="24"/>
  <c r="S112" i="24"/>
  <c r="AA105" i="24"/>
  <c r="AB99" i="24"/>
  <c r="S94" i="24"/>
  <c r="CO112" i="24"/>
  <c r="CR90" i="24"/>
  <c r="CF111" i="24"/>
  <c r="BZ92" i="24"/>
  <c r="BQ113" i="24"/>
  <c r="BS103" i="24"/>
  <c r="BK94" i="24"/>
  <c r="BI82" i="24"/>
  <c r="BB111" i="24"/>
  <c r="BD102" i="24"/>
  <c r="BB93" i="24"/>
  <c r="AV85" i="24"/>
  <c r="AO115" i="24"/>
  <c r="AM108" i="24"/>
  <c r="AN100" i="24"/>
  <c r="AM94" i="24"/>
  <c r="AP86" i="24"/>
  <c r="Z117" i="24"/>
  <c r="R112" i="24"/>
  <c r="AB104" i="24"/>
  <c r="Y99" i="24"/>
  <c r="R93" i="24"/>
  <c r="CT111" i="24"/>
  <c r="CT83" i="24"/>
  <c r="CE108" i="24"/>
  <c r="BY92" i="24"/>
  <c r="BP113" i="24"/>
  <c r="BQ103" i="24"/>
  <c r="BJ94" i="24"/>
  <c r="BH82" i="24"/>
  <c r="AW111" i="24"/>
  <c r="BD100" i="24"/>
  <c r="BA93" i="24"/>
  <c r="AU85" i="24"/>
  <c r="AH115" i="24"/>
  <c r="AL108" i="24"/>
  <c r="AM100" i="24"/>
  <c r="AJ94" i="24"/>
  <c r="AO86" i="24"/>
  <c r="CP111" i="24"/>
  <c r="CS83" i="24"/>
  <c r="CD108" i="24"/>
  <c r="BX92" i="24"/>
  <c r="BO113" i="24"/>
  <c r="BO103" i="24"/>
  <c r="BL91" i="24"/>
  <c r="AV111" i="24"/>
  <c r="BC100" i="24"/>
  <c r="BA92" i="24"/>
  <c r="AT85" i="24"/>
  <c r="AG115" i="24"/>
  <c r="AQ107" i="24"/>
  <c r="AL100" i="24"/>
  <c r="AG94" i="24"/>
  <c r="AN86" i="24"/>
  <c r="CL111" i="24"/>
  <c r="CR83" i="24"/>
  <c r="CC108" i="24"/>
  <c r="CF91" i="24"/>
  <c r="BM113" i="24"/>
  <c r="BN103" i="24"/>
  <c r="BK91" i="24"/>
  <c r="AW110" i="24"/>
  <c r="BB100" i="24"/>
  <c r="AZ92" i="24"/>
  <c r="BE84" i="24"/>
  <c r="AF115" i="24"/>
  <c r="AI106" i="24"/>
  <c r="AK100" i="24"/>
  <c r="AF94" i="24"/>
  <c r="AH86" i="24"/>
  <c r="CK111" i="24"/>
  <c r="CQ83" i="24"/>
  <c r="CC107" i="24"/>
  <c r="CE91" i="24"/>
  <c r="BR112" i="24"/>
  <c r="BL103" i="24"/>
  <c r="BJ91" i="24"/>
  <c r="AV110" i="24"/>
  <c r="AV100" i="24"/>
  <c r="AY92" i="24"/>
  <c r="AW84" i="24"/>
  <c r="AO114" i="24"/>
  <c r="AH106" i="24"/>
  <c r="AN99" i="24"/>
  <c r="AQ93" i="24"/>
  <c r="AQ85" i="24"/>
  <c r="CQ110" i="24"/>
  <c r="CP83" i="24"/>
  <c r="BY107" i="24"/>
  <c r="CC91" i="24"/>
  <c r="BQ112" i="24"/>
  <c r="BK103" i="24"/>
  <c r="BI91" i="24"/>
  <c r="BC109" i="24"/>
  <c r="AU100" i="24"/>
  <c r="AX92" i="24"/>
  <c r="AV84" i="24"/>
  <c r="AN114" i="24"/>
  <c r="AG106" i="24"/>
  <c r="AM99" i="24"/>
  <c r="AP93" i="24"/>
  <c r="AP85" i="24"/>
  <c r="U117" i="24"/>
  <c r="S110" i="24"/>
  <c r="W104" i="24"/>
  <c r="AC98" i="24"/>
  <c r="W92" i="24"/>
  <c r="CO108" i="24"/>
  <c r="CP82" i="24"/>
  <c r="BX107" i="24"/>
  <c r="BY91" i="24"/>
  <c r="BS111" i="24"/>
  <c r="BJ103" i="24"/>
  <c r="BH91" i="24"/>
  <c r="BB109" i="24"/>
  <c r="AT100" i="24"/>
  <c r="AW92" i="24"/>
  <c r="BE82" i="24"/>
  <c r="AH114" i="24"/>
  <c r="AP105" i="24"/>
  <c r="AL99" i="24"/>
  <c r="AN93" i="24"/>
  <c r="AO85" i="24"/>
  <c r="T117" i="24"/>
  <c r="AC109" i="24"/>
  <c r="V104" i="24"/>
  <c r="AB98" i="24"/>
  <c r="CQ107" i="24"/>
  <c r="CE106" i="24"/>
  <c r="CB89" i="24"/>
  <c r="BR111" i="24"/>
  <c r="BK102" i="24"/>
  <c r="BS90" i="24"/>
  <c r="BA109" i="24"/>
  <c r="BE99" i="24"/>
  <c r="AV92" i="24"/>
  <c r="BD82" i="24"/>
  <c r="AG114" i="24"/>
  <c r="AN105" i="24"/>
  <c r="AK99" i="24"/>
  <c r="AM93" i="24"/>
  <c r="AN85" i="24"/>
  <c r="S117" i="24"/>
  <c r="AB109" i="24"/>
  <c r="U104" i="24"/>
  <c r="AA98" i="24"/>
  <c r="CN107" i="24"/>
  <c r="CF105" i="24"/>
  <c r="CA89" i="24"/>
  <c r="BQ111" i="24"/>
  <c r="BH102" i="24"/>
  <c r="BQ90" i="24"/>
  <c r="BB117" i="24"/>
  <c r="AZ109" i="24"/>
  <c r="BD99" i="24"/>
  <c r="BC91" i="24"/>
  <c r="BC82" i="24"/>
  <c r="AF114" i="24"/>
  <c r="AM105" i="24"/>
  <c r="AJ99" i="24"/>
  <c r="AN91" i="24"/>
  <c r="AM85" i="24"/>
  <c r="R117" i="24"/>
  <c r="AA109" i="24"/>
  <c r="T104" i="24"/>
  <c r="Z98" i="24"/>
  <c r="AB91" i="24"/>
  <c r="CT106" i="24"/>
  <c r="CC105" i="24"/>
  <c r="BX89" i="24"/>
  <c r="BO111" i="24"/>
  <c r="BJ101" i="24"/>
  <c r="BS89" i="24"/>
  <c r="BA117" i="24"/>
  <c r="AW109" i="24"/>
  <c r="BC99" i="24"/>
  <c r="BA91" i="24"/>
  <c r="AX82" i="24"/>
  <c r="AN113" i="24"/>
  <c r="AL105" i="24"/>
  <c r="AI99" i="24"/>
  <c r="AM91" i="24"/>
  <c r="AL85" i="24"/>
  <c r="AC116" i="24"/>
  <c r="X109" i="24"/>
  <c r="S104" i="24"/>
  <c r="S97" i="24"/>
  <c r="AA91" i="24"/>
  <c r="CN101" i="24"/>
  <c r="CF104" i="24"/>
  <c r="BW89" i="24"/>
  <c r="BN111" i="24"/>
  <c r="BI101" i="24"/>
  <c r="BJ89" i="24"/>
  <c r="AZ117" i="24"/>
  <c r="AV107" i="24"/>
  <c r="BA99" i="24"/>
  <c r="AZ91" i="24"/>
  <c r="AU82" i="24"/>
  <c r="AM113" i="24"/>
  <c r="AK105" i="24"/>
  <c r="AH99" i="24"/>
  <c r="AL91" i="24"/>
  <c r="AK85" i="24"/>
  <c r="AB116" i="24"/>
  <c r="W109" i="24"/>
  <c r="R104" i="24"/>
  <c r="R97" i="24"/>
  <c r="Z91" i="24"/>
  <c r="CK101" i="24"/>
  <c r="CK93" i="24"/>
  <c r="CB88" i="24"/>
  <c r="BI109" i="24"/>
  <c r="BQ87" i="24"/>
  <c r="AX105" i="24"/>
  <c r="AW88" i="24"/>
  <c r="AP109" i="24"/>
  <c r="AL95" i="24"/>
  <c r="AM83" i="24"/>
  <c r="Z113" i="24"/>
  <c r="AA103" i="24"/>
  <c r="W95" i="24"/>
  <c r="Z87" i="24"/>
  <c r="S82" i="24"/>
  <c r="CS92" i="24"/>
  <c r="CF83" i="24"/>
  <c r="BS105" i="24"/>
  <c r="BM87" i="24"/>
  <c r="AZ104" i="24"/>
  <c r="BE87" i="24"/>
  <c r="AJ109" i="24"/>
  <c r="T113" i="24"/>
  <c r="U95" i="24"/>
  <c r="R87" i="24"/>
  <c r="T86" i="24"/>
  <c r="CT92" i="24"/>
  <c r="BX84" i="24"/>
  <c r="BO106" i="24"/>
  <c r="BN87" i="24"/>
  <c r="BA104" i="24"/>
  <c r="AV88" i="24"/>
  <c r="AO109" i="24"/>
  <c r="AI95" i="24"/>
  <c r="Y113" i="24"/>
  <c r="V103" i="24"/>
  <c r="V95" i="24"/>
  <c r="Y87" i="24"/>
  <c r="R82" i="24"/>
  <c r="AH95" i="24"/>
  <c r="U103" i="24"/>
  <c r="CT91" i="24"/>
  <c r="CD83" i="24"/>
  <c r="BR105" i="24"/>
  <c r="BL87" i="24"/>
  <c r="AY104" i="24"/>
  <c r="BA87" i="24"/>
  <c r="AJ105" i="24"/>
  <c r="AG95" i="24"/>
  <c r="S113" i="24"/>
  <c r="T103" i="24"/>
  <c r="T95" i="24"/>
  <c r="AC86" i="24"/>
  <c r="AC112" i="24"/>
  <c r="S103" i="24"/>
  <c r="AC92" i="24"/>
  <c r="X86" i="24"/>
  <c r="BL105" i="24"/>
  <c r="BD103" i="24"/>
  <c r="V92" i="24"/>
  <c r="BJ99" i="24"/>
  <c r="CS91" i="24"/>
  <c r="BY117" i="24"/>
  <c r="BX83" i="24"/>
  <c r="BQ105" i="24"/>
  <c r="BK87" i="24"/>
  <c r="AX104" i="24"/>
  <c r="AW87" i="24"/>
  <c r="AI105" i="24"/>
  <c r="AF95" i="24"/>
  <c r="CB116" i="24"/>
  <c r="BP105" i="24"/>
  <c r="BS86" i="24"/>
  <c r="AU104" i="24"/>
  <c r="AV87" i="24"/>
  <c r="AH105" i="24"/>
  <c r="AK91" i="24"/>
  <c r="AC111" i="24"/>
  <c r="W101" i="24"/>
  <c r="AB92" i="24"/>
  <c r="W86" i="24"/>
  <c r="BP86" i="24"/>
  <c r="AG91" i="24"/>
  <c r="U101" i="24"/>
  <c r="U86" i="24"/>
  <c r="BY116" i="24"/>
  <c r="BC86" i="24"/>
  <c r="AQ104" i="24"/>
  <c r="T101" i="24"/>
  <c r="CA116" i="24"/>
  <c r="BN105" i="24"/>
  <c r="BR86" i="24"/>
  <c r="AT104" i="24"/>
  <c r="BE86" i="24"/>
  <c r="AG105" i="24"/>
  <c r="AJ91" i="24"/>
  <c r="AB111" i="24"/>
  <c r="V101" i="24"/>
  <c r="AA92" i="24"/>
  <c r="V86" i="24"/>
  <c r="BM105" i="24"/>
  <c r="AF105" i="24"/>
  <c r="X111" i="24"/>
  <c r="X92" i="24"/>
  <c r="BS83" i="24"/>
  <c r="AX117" i="24"/>
  <c r="AF91" i="24"/>
  <c r="T110" i="24"/>
  <c r="BX116" i="24"/>
  <c r="BR83" i="24"/>
  <c r="BZ116" i="24"/>
  <c r="AY117" i="24"/>
  <c r="BE103" i="24"/>
  <c r="BD86" i="24"/>
  <c r="CF113" i="24"/>
  <c r="BI99" i="24"/>
  <c r="BI83" i="24"/>
  <c r="AV117" i="24"/>
  <c r="AT99" i="24"/>
  <c r="BA86" i="24"/>
  <c r="AK104" i="24"/>
  <c r="AP90" i="24"/>
  <c r="U109" i="24"/>
  <c r="R101" i="24"/>
  <c r="Y91" i="24"/>
  <c r="R86" i="24"/>
  <c r="CD103" i="24"/>
  <c r="BI98" i="24"/>
  <c r="AX116" i="24"/>
  <c r="BE97" i="24"/>
  <c r="AL116" i="24"/>
  <c r="AK103" i="24"/>
  <c r="AQ89" i="24"/>
  <c r="W108" i="24"/>
  <c r="X100" i="24"/>
  <c r="S91" i="24"/>
  <c r="Y84" i="24"/>
  <c r="X82" i="24"/>
  <c r="AJ111" i="24"/>
  <c r="BP96" i="24"/>
  <c r="AB203" i="24"/>
  <c r="AQ210" i="24"/>
  <c r="CP98" i="24"/>
  <c r="T91" i="24"/>
  <c r="X259" i="24"/>
  <c r="BE235" i="24"/>
  <c r="T83" i="24"/>
  <c r="T220" i="24"/>
  <c r="AI98" i="24"/>
  <c r="AI253" i="24"/>
  <c r="AV91" i="24"/>
  <c r="AV267" i="24"/>
  <c r="Z107" i="24"/>
  <c r="U220" i="24"/>
  <c r="AL231" i="24"/>
  <c r="AY267" i="24"/>
  <c r="X84" i="24"/>
  <c r="W96" i="24"/>
  <c r="AA108" i="24"/>
  <c r="R208" i="24"/>
  <c r="V221" i="24"/>
  <c r="Z249" i="24"/>
  <c r="BC96" i="24"/>
  <c r="AB85" i="24"/>
  <c r="Y96" i="24"/>
  <c r="T109" i="24"/>
  <c r="S197" i="24"/>
  <c r="U208" i="24"/>
  <c r="X222" i="24"/>
  <c r="Z238" i="24"/>
  <c r="AB249" i="24"/>
  <c r="Y265" i="24"/>
  <c r="AM84" i="24"/>
  <c r="AF103" i="24"/>
  <c r="AO198" i="24"/>
  <c r="AG214" i="24"/>
  <c r="AQ239" i="24"/>
  <c r="AG256" i="24"/>
  <c r="AU97" i="24"/>
  <c r="BD198" i="24"/>
  <c r="AW221" i="24"/>
  <c r="BC249" i="24"/>
  <c r="BC283" i="24"/>
  <c r="BN110" i="24"/>
  <c r="BS213" i="24"/>
  <c r="BQ247" i="24"/>
  <c r="BX102" i="24"/>
  <c r="CE222" i="24"/>
  <c r="BX260" i="24"/>
  <c r="CM218" i="24"/>
  <c r="CP261" i="24"/>
  <c r="X90" i="24"/>
  <c r="AQ90" i="24"/>
  <c r="AU107" i="24"/>
  <c r="Y117" i="24"/>
  <c r="Z82" i="24"/>
  <c r="BR96" i="24"/>
  <c r="R91" i="24"/>
  <c r="AB215" i="24"/>
  <c r="AK96" i="24"/>
  <c r="AN226" i="24"/>
  <c r="BA112" i="24"/>
  <c r="Y244" i="24"/>
  <c r="BP205" i="24"/>
  <c r="X176" i="24"/>
  <c r="AB259" i="24"/>
  <c r="AI117" i="24"/>
  <c r="AI269" i="24"/>
  <c r="AT215" i="24"/>
  <c r="BP206" i="24"/>
  <c r="CA207" i="24"/>
  <c r="CO252" i="24"/>
  <c r="Y95" i="24"/>
  <c r="AA176" i="24"/>
  <c r="Z206" i="24"/>
  <c r="X231" i="24"/>
  <c r="AJ117" i="24"/>
  <c r="AO211" i="24"/>
  <c r="AJ253" i="24"/>
  <c r="AW91" i="24"/>
  <c r="BB113" i="24"/>
  <c r="BE241" i="24"/>
  <c r="BK98" i="24"/>
  <c r="BJ246" i="24"/>
  <c r="BX208" i="24"/>
  <c r="CL114" i="24"/>
  <c r="AC85" i="24"/>
  <c r="Z96" i="24"/>
  <c r="V109" i="24"/>
  <c r="T197" i="24"/>
  <c r="Y211" i="24"/>
  <c r="Y222" i="24"/>
  <c r="AA238" i="24"/>
  <c r="AC249" i="24"/>
  <c r="AB265" i="24"/>
  <c r="AN84" i="24"/>
  <c r="AJ103" i="24"/>
  <c r="AG199" i="24"/>
  <c r="AL217" i="24"/>
  <c r="AF240" i="24"/>
  <c r="AH256" i="24"/>
  <c r="AY97" i="24"/>
  <c r="BB199" i="24"/>
  <c r="AX221" i="24"/>
  <c r="AX250" i="24"/>
  <c r="BC284" i="24"/>
  <c r="BL111" i="24"/>
  <c r="BH214" i="24"/>
  <c r="BR247" i="24"/>
  <c r="BZ102" i="24"/>
  <c r="CG222" i="24"/>
  <c r="BZ260" i="24"/>
  <c r="CK219" i="24"/>
  <c r="AM95" i="24"/>
  <c r="AQ111" i="24"/>
  <c r="CO98" i="24"/>
  <c r="BB86" i="24"/>
  <c r="Y104" i="24"/>
  <c r="CR97" i="24"/>
  <c r="Y90" i="24"/>
  <c r="AK111" i="24"/>
  <c r="AY112" i="24"/>
  <c r="BQ96" i="24"/>
  <c r="S106" i="24"/>
  <c r="AL113" i="24"/>
  <c r="AU214" i="24"/>
  <c r="CK267" i="24"/>
  <c r="CR260" i="24"/>
  <c r="CM248" i="24"/>
  <c r="CO234" i="24"/>
  <c r="BZ268" i="24"/>
  <c r="CE256" i="24"/>
  <c r="BW245" i="24"/>
  <c r="BI265" i="24"/>
  <c r="BI254" i="24"/>
  <c r="BK244" i="24"/>
  <c r="AX265" i="24"/>
  <c r="AU257" i="24"/>
  <c r="AY248" i="24"/>
  <c r="AV239" i="24"/>
  <c r="AF267" i="24"/>
  <c r="AH259" i="24"/>
  <c r="AO252" i="24"/>
  <c r="AN245" i="24"/>
  <c r="AM239" i="24"/>
  <c r="AA264" i="24"/>
  <c r="T259" i="24"/>
  <c r="AB253" i="24"/>
  <c r="S248" i="24"/>
  <c r="AB242" i="24"/>
  <c r="AC236" i="24"/>
  <c r="CP260" i="24"/>
  <c r="CL248" i="24"/>
  <c r="BY268" i="24"/>
  <c r="CC256" i="24"/>
  <c r="CG243" i="24"/>
  <c r="BH265" i="24"/>
  <c r="BH254" i="24"/>
  <c r="BS243" i="24"/>
  <c r="AW265" i="24"/>
  <c r="BD256" i="24"/>
  <c r="AX248" i="24"/>
  <c r="AU239" i="24"/>
  <c r="AL266" i="24"/>
  <c r="AG259" i="24"/>
  <c r="AN252" i="24"/>
  <c r="AM245" i="24"/>
  <c r="AL239" i="24"/>
  <c r="AC269" i="24"/>
  <c r="X264" i="24"/>
  <c r="S259" i="24"/>
  <c r="AA253" i="24"/>
  <c r="R248" i="24"/>
  <c r="U242" i="24"/>
  <c r="AB236" i="24"/>
  <c r="CK259" i="24"/>
  <c r="CP247" i="24"/>
  <c r="BW268" i="24"/>
  <c r="BY256" i="24"/>
  <c r="CE241" i="24"/>
  <c r="BS264" i="24"/>
  <c r="BP253" i="24"/>
  <c r="BR243" i="24"/>
  <c r="AV265" i="24"/>
  <c r="BC256" i="24"/>
  <c r="AW248" i="24"/>
  <c r="AT239" i="24"/>
  <c r="AH266" i="24"/>
  <c r="AF259" i="24"/>
  <c r="AL252" i="24"/>
  <c r="AL245" i="24"/>
  <c r="AH239" i="24"/>
  <c r="W269" i="24"/>
  <c r="W264" i="24"/>
  <c r="R259" i="24"/>
  <c r="Z253" i="24"/>
  <c r="V247" i="24"/>
  <c r="T242" i="24"/>
  <c r="AA236" i="24"/>
  <c r="CJ259" i="24"/>
  <c r="CM246" i="24"/>
  <c r="BV268" i="24"/>
  <c r="BX256" i="24"/>
  <c r="CD241" i="24"/>
  <c r="BQ264" i="24"/>
  <c r="BO253" i="24"/>
  <c r="BL242" i="24"/>
  <c r="AU265" i="24"/>
  <c r="AU256" i="24"/>
  <c r="AV248" i="24"/>
  <c r="BE238" i="24"/>
  <c r="AH265" i="24"/>
  <c r="AN258" i="24"/>
  <c r="AK252" i="24"/>
  <c r="AK245" i="24"/>
  <c r="AG239" i="24"/>
  <c r="V269" i="24"/>
  <c r="V264" i="24"/>
  <c r="AC258" i="24"/>
  <c r="W252" i="24"/>
  <c r="U247" i="24"/>
  <c r="S242" i="24"/>
  <c r="Z236" i="24"/>
  <c r="CU258" i="24"/>
  <c r="CP245" i="24"/>
  <c r="CC266" i="24"/>
  <c r="BX255" i="24"/>
  <c r="CC241" i="24"/>
  <c r="BS262" i="24"/>
  <c r="BN253" i="24"/>
  <c r="BO241" i="24"/>
  <c r="AT265" i="24"/>
  <c r="AT256" i="24"/>
  <c r="AU248" i="24"/>
  <c r="BD238" i="24"/>
  <c r="AG265" i="24"/>
  <c r="AM258" i="24"/>
  <c r="AJ252" i="24"/>
  <c r="AJ245" i="24"/>
  <c r="AQ238" i="24"/>
  <c r="AC268" i="24"/>
  <c r="Y263" i="24"/>
  <c r="AB258" i="24"/>
  <c r="V252" i="24"/>
  <c r="T247" i="24"/>
  <c r="R242" i="24"/>
  <c r="Y236" i="24"/>
  <c r="CS258" i="24"/>
  <c r="CR244" i="24"/>
  <c r="CB266" i="24"/>
  <c r="CD254" i="24"/>
  <c r="CA241" i="24"/>
  <c r="BQ262" i="24"/>
  <c r="BL253" i="24"/>
  <c r="BM241" i="24"/>
  <c r="AW264" i="24"/>
  <c r="BE255" i="24"/>
  <c r="AV247" i="24"/>
  <c r="BC238" i="24"/>
  <c r="AF265" i="24"/>
  <c r="AL258" i="24"/>
  <c r="AI252" i="24"/>
  <c r="AH245" i="24"/>
  <c r="AP238" i="24"/>
  <c r="AB268" i="24"/>
  <c r="X263" i="24"/>
  <c r="AA258" i="24"/>
  <c r="CO258" i="24"/>
  <c r="CO244" i="24"/>
  <c r="BV265" i="24"/>
  <c r="CC254" i="24"/>
  <c r="BY241" i="24"/>
  <c r="BL262" i="24"/>
  <c r="BK253" i="24"/>
  <c r="BL241" i="24"/>
  <c r="AU264" i="24"/>
  <c r="BD255" i="24"/>
  <c r="BD245" i="24"/>
  <c r="BB238" i="24"/>
  <c r="AQ264" i="24"/>
  <c r="AK258" i="24"/>
  <c r="AP251" i="24"/>
  <c r="AG245" i="24"/>
  <c r="AO238" i="24"/>
  <c r="AA268" i="24"/>
  <c r="W263" i="24"/>
  <c r="R258" i="24"/>
  <c r="CS257" i="24"/>
  <c r="CN244" i="24"/>
  <c r="CF264" i="24"/>
  <c r="BY252" i="24"/>
  <c r="BX241" i="24"/>
  <c r="BK262" i="24"/>
  <c r="BS251" i="24"/>
  <c r="BJ241" i="24"/>
  <c r="AT264" i="24"/>
  <c r="BC255" i="24"/>
  <c r="BC245" i="24"/>
  <c r="BE237" i="24"/>
  <c r="AL264" i="24"/>
  <c r="AJ258" i="24"/>
  <c r="AO251" i="24"/>
  <c r="AF245" i="24"/>
  <c r="AN238" i="24"/>
  <c r="Z268" i="24"/>
  <c r="S263" i="24"/>
  <c r="AC257" i="24"/>
  <c r="CQ257" i="24"/>
  <c r="CM244" i="24"/>
  <c r="CE264" i="24"/>
  <c r="CD251" i="24"/>
  <c r="CE240" i="24"/>
  <c r="BJ262" i="24"/>
  <c r="BS250" i="24"/>
  <c r="BM240" i="24"/>
  <c r="BE263" i="24"/>
  <c r="BB255" i="24"/>
  <c r="BB245" i="24"/>
  <c r="BA237" i="24"/>
  <c r="AK264" i="24"/>
  <c r="AI258" i="24"/>
  <c r="AL251" i="24"/>
  <c r="AQ244" i="24"/>
  <c r="AH237" i="24"/>
  <c r="Y268" i="24"/>
  <c r="R263" i="24"/>
  <c r="W257" i="24"/>
  <c r="CM256" i="24"/>
  <c r="CP243" i="24"/>
  <c r="CC264" i="24"/>
  <c r="CC251" i="24"/>
  <c r="CC240" i="24"/>
  <c r="BH262" i="24"/>
  <c r="BR250" i="24"/>
  <c r="BL240" i="24"/>
  <c r="BC263" i="24"/>
  <c r="AW255" i="24"/>
  <c r="AX245" i="24"/>
  <c r="AZ237" i="24"/>
  <c r="AJ264" i="24"/>
  <c r="AN257" i="24"/>
  <c r="AI251" i="24"/>
  <c r="AI244" i="24"/>
  <c r="AG237" i="24"/>
  <c r="X268" i="24"/>
  <c r="AC262" i="24"/>
  <c r="V257" i="24"/>
  <c r="AA251" i="24"/>
  <c r="X246" i="24"/>
  <c r="AC240" i="24"/>
  <c r="AB235" i="24"/>
  <c r="CO254" i="24"/>
  <c r="CT241" i="24"/>
  <c r="CB264" i="24"/>
  <c r="CB251" i="24"/>
  <c r="BW239" i="24"/>
  <c r="BS261" i="24"/>
  <c r="BP250" i="24"/>
  <c r="BS239" i="24"/>
  <c r="BC262" i="24"/>
  <c r="BD253" i="24"/>
  <c r="AW245" i="24"/>
  <c r="AY237" i="24"/>
  <c r="AI264" i="24"/>
  <c r="AJ257" i="24"/>
  <c r="AH251" i="24"/>
  <c r="AH244" i="24"/>
  <c r="AN236" i="24"/>
  <c r="V268" i="24"/>
  <c r="AB262" i="24"/>
  <c r="U257" i="24"/>
  <c r="Z251" i="24"/>
  <c r="W246" i="24"/>
  <c r="AB240" i="24"/>
  <c r="AA235" i="24"/>
  <c r="CM254" i="24"/>
  <c r="CR241" i="24"/>
  <c r="CA264" i="24"/>
  <c r="CA251" i="24"/>
  <c r="BV239" i="24"/>
  <c r="BQ261" i="24"/>
  <c r="BO250" i="24"/>
  <c r="BR239" i="24"/>
  <c r="BB262" i="24"/>
  <c r="BC253" i="24"/>
  <c r="AV245" i="24"/>
  <c r="AX237" i="24"/>
  <c r="AH264" i="24"/>
  <c r="AI257" i="24"/>
  <c r="AO250" i="24"/>
  <c r="AG244" i="24"/>
  <c r="AL236" i="24"/>
  <c r="U268" i="24"/>
  <c r="AA262" i="24"/>
  <c r="AC256" i="24"/>
  <c r="Y251" i="24"/>
  <c r="V246" i="24"/>
  <c r="AA240" i="24"/>
  <c r="Z235" i="24"/>
  <c r="CK254" i="24"/>
  <c r="CP241" i="24"/>
  <c r="BY263" i="24"/>
  <c r="CG250" i="24"/>
  <c r="CG238" i="24"/>
  <c r="BP261" i="24"/>
  <c r="BK250" i="24"/>
  <c r="BN239" i="24"/>
  <c r="AY262" i="24"/>
  <c r="AZ253" i="24"/>
  <c r="BD244" i="24"/>
  <c r="AV237" i="24"/>
  <c r="AG264" i="24"/>
  <c r="AH257" i="24"/>
  <c r="AJ250" i="24"/>
  <c r="AF244" i="24"/>
  <c r="AK236" i="24"/>
  <c r="T268" i="24"/>
  <c r="Z262" i="24"/>
  <c r="AB256" i="24"/>
  <c r="X251" i="24"/>
  <c r="U246" i="24"/>
  <c r="Z240" i="24"/>
  <c r="Y235" i="24"/>
  <c r="CU269" i="24"/>
  <c r="CJ254" i="24"/>
  <c r="CO241" i="24"/>
  <c r="CG262" i="24"/>
  <c r="CB250" i="24"/>
  <c r="CB238" i="24"/>
  <c r="BM259" i="24"/>
  <c r="BJ250" i="24"/>
  <c r="BM239" i="24"/>
  <c r="AX262" i="24"/>
  <c r="AT253" i="24"/>
  <c r="BB244" i="24"/>
  <c r="BA236" i="24"/>
  <c r="AQ263" i="24"/>
  <c r="AG257" i="24"/>
  <c r="AI250" i="24"/>
  <c r="AQ242" i="24"/>
  <c r="AJ236" i="24"/>
  <c r="S268" i="24"/>
  <c r="AC261" i="24"/>
  <c r="AA256" i="24"/>
  <c r="W251" i="24"/>
  <c r="T246" i="24"/>
  <c r="Y240" i="24"/>
  <c r="X235" i="24"/>
  <c r="CP266" i="24"/>
  <c r="CU253" i="24"/>
  <c r="CU240" i="24"/>
  <c r="CA261" i="24"/>
  <c r="BZ250" i="24"/>
  <c r="CA238" i="24"/>
  <c r="BI259" i="24"/>
  <c r="BH249" i="24"/>
  <c r="BL239" i="24"/>
  <c r="AW262" i="24"/>
  <c r="BE252" i="24"/>
  <c r="BA244" i="24"/>
  <c r="AZ236" i="24"/>
  <c r="AP263" i="24"/>
  <c r="AF257" i="24"/>
  <c r="AH250" i="24"/>
  <c r="AP242" i="24"/>
  <c r="AI236" i="24"/>
  <c r="R268" i="24"/>
  <c r="AB261" i="24"/>
  <c r="U256" i="24"/>
  <c r="V251" i="24"/>
  <c r="S246" i="24"/>
  <c r="X240" i="24"/>
  <c r="W235" i="24"/>
  <c r="CO266" i="24"/>
  <c r="CT253" i="24"/>
  <c r="CT240" i="24"/>
  <c r="BZ261" i="24"/>
  <c r="CF249" i="24"/>
  <c r="CQ249" i="24"/>
  <c r="CE269" i="24"/>
  <c r="CB247" i="24"/>
  <c r="BJ265" i="24"/>
  <c r="BL245" i="24"/>
  <c r="BE260" i="24"/>
  <c r="BA248" i="24"/>
  <c r="AL261" i="24"/>
  <c r="AF248" i="24"/>
  <c r="AQ234" i="24"/>
  <c r="V265" i="24"/>
  <c r="T255" i="24"/>
  <c r="Z246" i="24"/>
  <c r="Y238" i="24"/>
  <c r="CC269" i="24"/>
  <c r="BL244" i="24"/>
  <c r="AW260" i="24"/>
  <c r="AY244" i="24"/>
  <c r="AJ261" i="24"/>
  <c r="AO234" i="24"/>
  <c r="T265" i="24"/>
  <c r="AB254" i="24"/>
  <c r="R246" i="24"/>
  <c r="W238" i="24"/>
  <c r="CP249" i="24"/>
  <c r="CD269" i="24"/>
  <c r="CA246" i="24"/>
  <c r="BH259" i="24"/>
  <c r="BM244" i="24"/>
  <c r="BB260" i="24"/>
  <c r="AZ244" i="24"/>
  <c r="AK261" i="24"/>
  <c r="AQ247" i="24"/>
  <c r="AP234" i="24"/>
  <c r="U265" i="24"/>
  <c r="AC254" i="24"/>
  <c r="Y246" i="24"/>
  <c r="X238" i="24"/>
  <c r="CP248" i="24"/>
  <c r="BZ246" i="24"/>
  <c r="BO258" i="24"/>
  <c r="AP247" i="24"/>
  <c r="CO248" i="24"/>
  <c r="CB269" i="24"/>
  <c r="CD245" i="24"/>
  <c r="BN258" i="24"/>
  <c r="BH239" i="24"/>
  <c r="AV260" i="24"/>
  <c r="AX244" i="24"/>
  <c r="AI261" i="24"/>
  <c r="AH247" i="24"/>
  <c r="AL234" i="24"/>
  <c r="S265" i="24"/>
  <c r="AA254" i="24"/>
  <c r="AC245" i="24"/>
  <c r="R238" i="24"/>
  <c r="X254" i="24"/>
  <c r="Z245" i="24"/>
  <c r="Y237" i="24"/>
  <c r="CK265" i="24"/>
  <c r="BE258" i="24"/>
  <c r="Z261" i="24"/>
  <c r="CN248" i="24"/>
  <c r="CA269" i="24"/>
  <c r="CC245" i="24"/>
  <c r="BH258" i="24"/>
  <c r="BO238" i="24"/>
  <c r="AY259" i="24"/>
  <c r="AW244" i="24"/>
  <c r="AF260" i="24"/>
  <c r="AG247" i="24"/>
  <c r="AH234" i="24"/>
  <c r="R265" i="24"/>
  <c r="CL266" i="24"/>
  <c r="CQ240" i="24"/>
  <c r="BZ269" i="24"/>
  <c r="CB245" i="24"/>
  <c r="BS257" i="24"/>
  <c r="BK238" i="24"/>
  <c r="AV259" i="24"/>
  <c r="BE243" i="24"/>
  <c r="AQ259" i="24"/>
  <c r="AF247" i="24"/>
  <c r="AC264" i="24"/>
  <c r="W254" i="24"/>
  <c r="AC244" i="24"/>
  <c r="X237" i="24"/>
  <c r="AO259" i="24"/>
  <c r="AA261" i="24"/>
  <c r="U254" i="24"/>
  <c r="V237" i="24"/>
  <c r="BY238" i="24"/>
  <c r="BH257" i="24"/>
  <c r="AQ256" i="24"/>
  <c r="T254" i="24"/>
  <c r="X236" i="24"/>
  <c r="CU264" i="24"/>
  <c r="BQ237" i="24"/>
  <c r="CR265" i="24"/>
  <c r="CP240" i="24"/>
  <c r="BW269" i="24"/>
  <c r="BY245" i="24"/>
  <c r="BR257" i="24"/>
  <c r="BI238" i="24"/>
  <c r="AU259" i="24"/>
  <c r="BD242" i="24"/>
  <c r="AP259" i="24"/>
  <c r="AQ246" i="24"/>
  <c r="AB264" i="24"/>
  <c r="V254" i="24"/>
  <c r="AB244" i="24"/>
  <c r="W237" i="24"/>
  <c r="AP246" i="24"/>
  <c r="AA244" i="24"/>
  <c r="CU239" i="24"/>
  <c r="BY261" i="24"/>
  <c r="BR237" i="24"/>
  <c r="AO246" i="24"/>
  <c r="Z244" i="24"/>
  <c r="CT239" i="24"/>
  <c r="CD237" i="24"/>
  <c r="CQ265" i="24"/>
  <c r="CO240" i="24"/>
  <c r="BV269" i="24"/>
  <c r="BX245" i="24"/>
  <c r="BQ257" i="24"/>
  <c r="BS237" i="24"/>
  <c r="AT259" i="24"/>
  <c r="BC242" i="24"/>
  <c r="BB242" i="24"/>
  <c r="CU263" i="24"/>
  <c r="CR239" i="24"/>
  <c r="CF260" i="24"/>
  <c r="CC237" i="24"/>
  <c r="BQ256" i="24"/>
  <c r="BP237" i="24"/>
  <c r="AW258" i="24"/>
  <c r="AX242" i="24"/>
  <c r="AH269" i="24"/>
  <c r="AJ256" i="24"/>
  <c r="AO242" i="24"/>
  <c r="V261" i="24"/>
  <c r="T252" i="24"/>
  <c r="U244" i="24"/>
  <c r="V236" i="24"/>
  <c r="CR262" i="24"/>
  <c r="CO238" i="24"/>
  <c r="CQ262" i="24"/>
  <c r="CM238" i="24"/>
  <c r="BY260" i="24"/>
  <c r="BV237" i="24"/>
  <c r="BL255" i="24"/>
  <c r="BM236" i="24"/>
  <c r="AW257" i="24"/>
  <c r="BD241" i="24"/>
  <c r="AH268" i="24"/>
  <c r="AF256" i="24"/>
  <c r="AG242" i="24"/>
  <c r="Z260" i="24"/>
  <c r="AA250" i="24"/>
  <c r="U243" i="24"/>
  <c r="AC215" i="24"/>
  <c r="AN249" i="24"/>
  <c r="AV214" i="24"/>
  <c r="BN236" i="24"/>
  <c r="BA113" i="24"/>
  <c r="CR113" i="24"/>
  <c r="S86" i="24"/>
  <c r="AA96" i="24"/>
  <c r="AA113" i="24"/>
  <c r="U197" i="24"/>
  <c r="AC211" i="24"/>
  <c r="Z222" i="24"/>
  <c r="AB238" i="24"/>
  <c r="AC265" i="24"/>
  <c r="AO84" i="24"/>
  <c r="AL103" i="24"/>
  <c r="AH199" i="24"/>
  <c r="AM217" i="24"/>
  <c r="AG240" i="24"/>
  <c r="AI256" i="24"/>
  <c r="AZ97" i="24"/>
  <c r="BC199" i="24"/>
  <c r="AZ221" i="24"/>
  <c r="BB250" i="24"/>
  <c r="BM111" i="24"/>
  <c r="BL214" i="24"/>
  <c r="BS247" i="24"/>
  <c r="CD102" i="24"/>
  <c r="BV223" i="24"/>
  <c r="CA260" i="24"/>
  <c r="CN219" i="24"/>
  <c r="CP262" i="24"/>
  <c r="AB96" i="24"/>
  <c r="AC222" i="24"/>
  <c r="R266" i="24"/>
  <c r="AP84" i="24"/>
  <c r="AM103" i="24"/>
  <c r="AI199" i="24"/>
  <c r="AN217" i="24"/>
  <c r="AH240" i="24"/>
  <c r="BA97" i="24"/>
  <c r="BD199" i="24"/>
  <c r="BA221" i="24"/>
  <c r="BC250" i="24"/>
  <c r="BS117" i="24"/>
  <c r="BO222" i="24"/>
  <c r="BL248" i="24"/>
  <c r="BW103" i="24"/>
  <c r="CD229" i="24"/>
  <c r="CC260" i="24"/>
  <c r="CK263" i="24"/>
  <c r="Z104" i="24"/>
  <c r="AA104" i="24"/>
  <c r="CR217" i="24"/>
  <c r="CQ210" i="24"/>
  <c r="CC228" i="24"/>
  <c r="CE215" i="24"/>
  <c r="BX203" i="24"/>
  <c r="BR231" i="24"/>
  <c r="BS221" i="24"/>
  <c r="BR211" i="24"/>
  <c r="BM202" i="24"/>
  <c r="AU229" i="24"/>
  <c r="BD220" i="24"/>
  <c r="AU213" i="24"/>
  <c r="BE204" i="24"/>
  <c r="AI231" i="24"/>
  <c r="AJ223" i="24"/>
  <c r="AM216" i="24"/>
  <c r="AN210" i="24"/>
  <c r="AL204" i="24"/>
  <c r="AO196" i="24"/>
  <c r="X229" i="24"/>
  <c r="T224" i="24"/>
  <c r="T218" i="24"/>
  <c r="Z212" i="24"/>
  <c r="T207" i="24"/>
  <c r="AA201" i="24"/>
  <c r="CT231" i="24"/>
  <c r="CO210" i="24"/>
  <c r="BZ228" i="24"/>
  <c r="CD215" i="24"/>
  <c r="BW203" i="24"/>
  <c r="BH231" i="24"/>
  <c r="BR221" i="24"/>
  <c r="BN211" i="24"/>
  <c r="BM201" i="24"/>
  <c r="AT229" i="24"/>
  <c r="BC220" i="24"/>
  <c r="AT213" i="24"/>
  <c r="BD204" i="24"/>
  <c r="AH231" i="24"/>
  <c r="AI223" i="24"/>
  <c r="AL216" i="24"/>
  <c r="AK210" i="24"/>
  <c r="AK204" i="24"/>
  <c r="AN196" i="24"/>
  <c r="W229" i="24"/>
  <c r="S224" i="24"/>
  <c r="S218" i="24"/>
  <c r="Y212" i="24"/>
  <c r="S207" i="24"/>
  <c r="W201" i="24"/>
  <c r="CP229" i="24"/>
  <c r="CN210" i="24"/>
  <c r="BY228" i="24"/>
  <c r="CC215" i="24"/>
  <c r="BV203" i="24"/>
  <c r="BM230" i="24"/>
  <c r="BH220" i="24"/>
  <c r="BH211" i="24"/>
  <c r="BL201" i="24"/>
  <c r="BE228" i="24"/>
  <c r="BB220" i="24"/>
  <c r="BE212" i="24"/>
  <c r="BB204" i="24"/>
  <c r="AG231" i="24"/>
  <c r="AH223" i="24"/>
  <c r="AK216" i="24"/>
  <c r="AJ210" i="24"/>
  <c r="AI203" i="24"/>
  <c r="AK196" i="24"/>
  <c r="V229" i="24"/>
  <c r="R224" i="24"/>
  <c r="R218" i="24"/>
  <c r="X212" i="24"/>
  <c r="R207" i="24"/>
  <c r="V201" i="24"/>
  <c r="CM229" i="24"/>
  <c r="CJ210" i="24"/>
  <c r="BW228" i="24"/>
  <c r="CD214" i="24"/>
  <c r="CG202" i="24"/>
  <c r="BS229" i="24"/>
  <c r="BS219" i="24"/>
  <c r="BS210" i="24"/>
  <c r="BK201" i="24"/>
  <c r="BD228" i="24"/>
  <c r="AX220" i="24"/>
  <c r="BD212" i="24"/>
  <c r="AW203" i="24"/>
  <c r="AJ229" i="24"/>
  <c r="AF223" i="24"/>
  <c r="AI216" i="24"/>
  <c r="AI210" i="24"/>
  <c r="AH203" i="24"/>
  <c r="AJ196" i="24"/>
  <c r="U229" i="24"/>
  <c r="AC223" i="24"/>
  <c r="AC217" i="24"/>
  <c r="W212" i="24"/>
  <c r="AC206" i="24"/>
  <c r="U201" i="24"/>
  <c r="CL229" i="24"/>
  <c r="CQ209" i="24"/>
  <c r="CE226" i="24"/>
  <c r="CB214" i="24"/>
  <c r="CF202" i="24"/>
  <c r="BQ229" i="24"/>
  <c r="BR219" i="24"/>
  <c r="BQ210" i="24"/>
  <c r="BJ201" i="24"/>
  <c r="BC228" i="24"/>
  <c r="AW220" i="24"/>
  <c r="BC212" i="24"/>
  <c r="AT203" i="24"/>
  <c r="AH229" i="24"/>
  <c r="AQ222" i="24"/>
  <c r="AH216" i="24"/>
  <c r="AQ209" i="24"/>
  <c r="AG203" i="24"/>
  <c r="AH196" i="24"/>
  <c r="T229" i="24"/>
  <c r="R223" i="24"/>
  <c r="AB217" i="24"/>
  <c r="T212" i="24"/>
  <c r="AB206" i="24"/>
  <c r="T201" i="24"/>
  <c r="CK229" i="24"/>
  <c r="CP209" i="24"/>
  <c r="CB226" i="24"/>
  <c r="BW214" i="24"/>
  <c r="CE202" i="24"/>
  <c r="BN229" i="24"/>
  <c r="BQ219" i="24"/>
  <c r="BP210" i="24"/>
  <c r="BI201" i="24"/>
  <c r="AW228" i="24"/>
  <c r="AV220" i="24"/>
  <c r="AW211" i="24"/>
  <c r="AV202" i="24"/>
  <c r="AG229" i="24"/>
  <c r="AP222" i="24"/>
  <c r="AG216" i="24"/>
  <c r="AK209" i="24"/>
  <c r="AH202" i="24"/>
  <c r="AG196" i="24"/>
  <c r="CS228" i="24"/>
  <c r="CM209" i="24"/>
  <c r="CA226" i="24"/>
  <c r="BV214" i="24"/>
  <c r="BZ202" i="24"/>
  <c r="BM229" i="24"/>
  <c r="BP219" i="24"/>
  <c r="BL210" i="24"/>
  <c r="BS200" i="24"/>
  <c r="BB227" i="24"/>
  <c r="BB219" i="24"/>
  <c r="AV211" i="24"/>
  <c r="AU202" i="24"/>
  <c r="AF229" i="24"/>
  <c r="AO222" i="24"/>
  <c r="AF216" i="24"/>
  <c r="AG209" i="24"/>
  <c r="AG202" i="24"/>
  <c r="CS227" i="24"/>
  <c r="CT207" i="24"/>
  <c r="BZ226" i="24"/>
  <c r="CD213" i="24"/>
  <c r="BW202" i="24"/>
  <c r="BL229" i="24"/>
  <c r="BO219" i="24"/>
  <c r="BK210" i="24"/>
  <c r="BR198" i="24"/>
  <c r="BA227" i="24"/>
  <c r="BA219" i="24"/>
  <c r="AU211" i="24"/>
  <c r="AT202" i="24"/>
  <c r="AQ228" i="24"/>
  <c r="AI222" i="24"/>
  <c r="AQ215" i="24"/>
  <c r="AF209" i="24"/>
  <c r="AF202" i="24"/>
  <c r="CQ227" i="24"/>
  <c r="CS207" i="24"/>
  <c r="BY226" i="24"/>
  <c r="CC213" i="24"/>
  <c r="CF201" i="24"/>
  <c r="BK229" i="24"/>
  <c r="BN219" i="24"/>
  <c r="BI210" i="24"/>
  <c r="BN198" i="24"/>
  <c r="AY227" i="24"/>
  <c r="AZ219" i="24"/>
  <c r="AT211" i="24"/>
  <c r="BD201" i="24"/>
  <c r="AP228" i="24"/>
  <c r="AH222" i="24"/>
  <c r="AP215" i="24"/>
  <c r="AQ208" i="24"/>
  <c r="AQ201" i="24"/>
  <c r="CP227" i="24"/>
  <c r="CL207" i="24"/>
  <c r="BX226" i="24"/>
  <c r="CA213" i="24"/>
  <c r="CE201" i="24"/>
  <c r="BQ228" i="24"/>
  <c r="BK219" i="24"/>
  <c r="BN209" i="24"/>
  <c r="BM198" i="24"/>
  <c r="AX227" i="24"/>
  <c r="AY219" i="24"/>
  <c r="AU210" i="24"/>
  <c r="BC201" i="24"/>
  <c r="AJ228" i="24"/>
  <c r="AG222" i="24"/>
  <c r="AO215" i="24"/>
  <c r="AP208" i="24"/>
  <c r="AL201" i="24"/>
  <c r="AA228" i="24"/>
  <c r="W222" i="24"/>
  <c r="AA216" i="24"/>
  <c r="X211" i="24"/>
  <c r="Y205" i="24"/>
  <c r="AA199" i="24"/>
  <c r="CJ227" i="24"/>
  <c r="CN205" i="24"/>
  <c r="BW226" i="24"/>
  <c r="BZ213" i="24"/>
  <c r="CD201" i="24"/>
  <c r="BP228" i="24"/>
  <c r="BJ219" i="24"/>
  <c r="BI209" i="24"/>
  <c r="BR197" i="24"/>
  <c r="AW227" i="24"/>
  <c r="AX219" i="24"/>
  <c r="BD209" i="24"/>
  <c r="AZ201" i="24"/>
  <c r="AI228" i="24"/>
  <c r="AF222" i="24"/>
  <c r="AN215" i="24"/>
  <c r="AO208" i="24"/>
  <c r="AK201" i="24"/>
  <c r="Z227" i="24"/>
  <c r="V222" i="24"/>
  <c r="Z216" i="24"/>
  <c r="W211" i="24"/>
  <c r="X205" i="24"/>
  <c r="X199" i="24"/>
  <c r="CN226" i="24"/>
  <c r="CK205" i="24"/>
  <c r="BV226" i="24"/>
  <c r="BY213" i="24"/>
  <c r="CF197" i="24"/>
  <c r="BM228" i="24"/>
  <c r="BI219" i="24"/>
  <c r="BH209" i="24"/>
  <c r="BP197" i="24"/>
  <c r="BB226" i="24"/>
  <c r="AW219" i="24"/>
  <c r="BC209" i="24"/>
  <c r="AT201" i="24"/>
  <c r="AO227" i="24"/>
  <c r="AQ221" i="24"/>
  <c r="AI215" i="24"/>
  <c r="AL207" i="24"/>
  <c r="AG201" i="24"/>
  <c r="Y227" i="24"/>
  <c r="U222" i="24"/>
  <c r="U216" i="24"/>
  <c r="V211" i="24"/>
  <c r="V205" i="24"/>
  <c r="V199" i="24"/>
  <c r="CP225" i="24"/>
  <c r="CQ204" i="24"/>
  <c r="CC223" i="24"/>
  <c r="BY212" i="24"/>
  <c r="CE197" i="24"/>
  <c r="BL228" i="24"/>
  <c r="BR217" i="24"/>
  <c r="BS208" i="24"/>
  <c r="BN197" i="24"/>
  <c r="BA226" i="24"/>
  <c r="AV219" i="24"/>
  <c r="BB208" i="24"/>
  <c r="BE200" i="24"/>
  <c r="AN227" i="24"/>
  <c r="AF221" i="24"/>
  <c r="AH215" i="24"/>
  <c r="AK207" i="24"/>
  <c r="AF201" i="24"/>
  <c r="X227" i="24"/>
  <c r="T222" i="24"/>
  <c r="T216" i="24"/>
  <c r="Z210" i="24"/>
  <c r="X204" i="24"/>
  <c r="U199" i="24"/>
  <c r="CS224" i="24"/>
  <c r="CN204" i="24"/>
  <c r="CB223" i="24"/>
  <c r="BX212" i="24"/>
  <c r="BX197" i="24"/>
  <c r="BK228" i="24"/>
  <c r="BQ217" i="24"/>
  <c r="BH207" i="24"/>
  <c r="BM197" i="24"/>
  <c r="AZ226" i="24"/>
  <c r="AZ218" i="24"/>
  <c r="AY208" i="24"/>
  <c r="BD200" i="24"/>
  <c r="AM227" i="24"/>
  <c r="AN220" i="24"/>
  <c r="AJ214" i="24"/>
  <c r="AJ207" i="24"/>
  <c r="AQ200" i="24"/>
  <c r="W227" i="24"/>
  <c r="S222" i="24"/>
  <c r="S216" i="24"/>
  <c r="Y210" i="24"/>
  <c r="W204" i="24"/>
  <c r="T199" i="24"/>
  <c r="CR224" i="24"/>
  <c r="CM203" i="24"/>
  <c r="BW223" i="24"/>
  <c r="CD211" i="24"/>
  <c r="BW197" i="24"/>
  <c r="BH227" i="24"/>
  <c r="BP217" i="24"/>
  <c r="BQ206" i="24"/>
  <c r="BK197" i="24"/>
  <c r="AY226" i="24"/>
  <c r="AY218" i="24"/>
  <c r="AX208" i="24"/>
  <c r="BC200" i="24"/>
  <c r="AL227" i="24"/>
  <c r="AM220" i="24"/>
  <c r="AI214" i="24"/>
  <c r="AI207" i="24"/>
  <c r="AP200" i="24"/>
  <c r="V227" i="24"/>
  <c r="R222" i="24"/>
  <c r="R216" i="24"/>
  <c r="X210" i="24"/>
  <c r="V204" i="24"/>
  <c r="S199" i="24"/>
  <c r="CQ224" i="24"/>
  <c r="CN202" i="24"/>
  <c r="CQ214" i="24"/>
  <c r="CE221" i="24"/>
  <c r="BN222" i="24"/>
  <c r="BH204" i="24"/>
  <c r="AU230" i="24"/>
  <c r="AT214" i="24"/>
  <c r="AT198" i="24"/>
  <c r="AI220" i="24"/>
  <c r="AG207" i="24"/>
  <c r="AP196" i="24"/>
  <c r="AB228" i="24"/>
  <c r="AC219" i="24"/>
  <c r="W210" i="24"/>
  <c r="AB202" i="24"/>
  <c r="CP213" i="24"/>
  <c r="CE218" i="24"/>
  <c r="BL222" i="24"/>
  <c r="BQ203" i="24"/>
  <c r="AV229" i="24"/>
  <c r="BB213" i="24"/>
  <c r="AG220" i="24"/>
  <c r="AQ206" i="24"/>
  <c r="AA219" i="24"/>
  <c r="U210" i="24"/>
  <c r="X202" i="24"/>
  <c r="CQ213" i="24"/>
  <c r="CF218" i="24"/>
  <c r="BM222" i="24"/>
  <c r="BR203" i="24"/>
  <c r="AW229" i="24"/>
  <c r="BC213" i="24"/>
  <c r="BE197" i="24"/>
  <c r="AH220" i="24"/>
  <c r="AF207" i="24"/>
  <c r="AC226" i="24"/>
  <c r="AB219" i="24"/>
  <c r="V210" i="24"/>
  <c r="Y202" i="24"/>
  <c r="AX197" i="24"/>
  <c r="AB226" i="24"/>
  <c r="AZ224" i="24"/>
  <c r="CQ211" i="24"/>
  <c r="CD218" i="24"/>
  <c r="BJ222" i="24"/>
  <c r="BP203" i="24"/>
  <c r="AV226" i="24"/>
  <c r="BA213" i="24"/>
  <c r="AW197" i="24"/>
  <c r="AO219" i="24"/>
  <c r="AI206" i="24"/>
  <c r="W226" i="24"/>
  <c r="Z219" i="24"/>
  <c r="V209" i="24"/>
  <c r="R202" i="24"/>
  <c r="T226" i="24"/>
  <c r="Y219" i="24"/>
  <c r="S209" i="24"/>
  <c r="BZ217" i="24"/>
  <c r="BL216" i="24"/>
  <c r="AM231" i="24"/>
  <c r="AB225" i="24"/>
  <c r="AC199" i="24"/>
  <c r="CN198" i="24"/>
  <c r="CN211" i="24"/>
  <c r="CC218" i="24"/>
  <c r="BH222" i="24"/>
  <c r="BI203" i="24"/>
  <c r="BE225" i="24"/>
  <c r="AV213" i="24"/>
  <c r="BB196" i="24"/>
  <c r="AN219" i="24"/>
  <c r="AH206" i="24"/>
  <c r="AC201" i="24"/>
  <c r="CM202" i="24"/>
  <c r="CF217" i="24"/>
  <c r="BL217" i="24"/>
  <c r="BO202" i="24"/>
  <c r="BD225" i="24"/>
  <c r="AW208" i="24"/>
  <c r="AP231" i="24"/>
  <c r="AN218" i="24"/>
  <c r="AM205" i="24"/>
  <c r="S226" i="24"/>
  <c r="V218" i="24"/>
  <c r="R209" i="24"/>
  <c r="AB201" i="24"/>
  <c r="AN231" i="24"/>
  <c r="AC225" i="24"/>
  <c r="AB208" i="24"/>
  <c r="CP200" i="24"/>
  <c r="BI197" i="24"/>
  <c r="BE207" i="24"/>
  <c r="AQ217" i="24"/>
  <c r="Y217" i="24"/>
  <c r="CF215" i="24"/>
  <c r="BH197" i="24"/>
  <c r="CL201" i="24"/>
  <c r="CB217" i="24"/>
  <c r="BO216" i="24"/>
  <c r="BN202" i="24"/>
  <c r="BC225" i="24"/>
  <c r="AV208" i="24"/>
  <c r="AO231" i="24"/>
  <c r="AG218" i="24"/>
  <c r="AL205" i="24"/>
  <c r="R226" i="24"/>
  <c r="U218" i="24"/>
  <c r="AC208" i="24"/>
  <c r="S201" i="24"/>
  <c r="AK205" i="24"/>
  <c r="Z217" i="24"/>
  <c r="R200" i="24"/>
  <c r="AJ205" i="24"/>
  <c r="Z208" i="24"/>
  <c r="BJ215" i="24"/>
  <c r="CK201" i="24"/>
  <c r="CA217" i="24"/>
  <c r="BM216" i="24"/>
  <c r="BJ197" i="24"/>
  <c r="BA224" i="24"/>
  <c r="AT208" i="24"/>
  <c r="AF218" i="24"/>
  <c r="CR196" i="24"/>
  <c r="CB211" i="24"/>
  <c r="BI215" i="24"/>
  <c r="BS196" i="24"/>
  <c r="AY223" i="24"/>
  <c r="BC207" i="24"/>
  <c r="AK231" i="24"/>
  <c r="AO217" i="24"/>
  <c r="AH205" i="24"/>
  <c r="Z225" i="24"/>
  <c r="AB216" i="24"/>
  <c r="T208" i="24"/>
  <c r="R199" i="24"/>
  <c r="CK196" i="24"/>
  <c r="CJ196" i="24"/>
  <c r="BV208" i="24"/>
  <c r="BR213" i="24"/>
  <c r="BB221" i="24"/>
  <c r="AV206" i="24"/>
  <c r="AQ226" i="24"/>
  <c r="AH214" i="24"/>
  <c r="AN204" i="24"/>
  <c r="AA231" i="24"/>
  <c r="V225" i="24"/>
  <c r="Z215" i="24"/>
  <c r="W207" i="24"/>
  <c r="S198" i="24"/>
  <c r="AB230" i="24"/>
  <c r="AB82" i="24"/>
  <c r="AC203" i="24"/>
  <c r="AP96" i="24"/>
  <c r="AG268" i="24"/>
  <c r="AX88" i="24"/>
  <c r="BC112" i="24"/>
  <c r="AZ265" i="24"/>
  <c r="BI267" i="24"/>
  <c r="CB248" i="24"/>
  <c r="CU249" i="24"/>
  <c r="Y107" i="24"/>
  <c r="U248" i="24"/>
  <c r="AN211" i="24"/>
  <c r="CF256" i="24"/>
  <c r="R250" i="24"/>
  <c r="AZ287" i="24"/>
  <c r="AA87" i="24"/>
  <c r="AB113" i="24"/>
  <c r="V197" i="24"/>
  <c r="R212" i="24"/>
  <c r="AC238" i="24"/>
  <c r="T250" i="24"/>
  <c r="AO256" i="24"/>
  <c r="AB87" i="24"/>
  <c r="AC96" i="24"/>
  <c r="AC113" i="24"/>
  <c r="W197" i="24"/>
  <c r="S212" i="24"/>
  <c r="U224" i="24"/>
  <c r="S240" i="24"/>
  <c r="U250" i="24"/>
  <c r="S266" i="24"/>
  <c r="AQ84" i="24"/>
  <c r="AN103" i="24"/>
  <c r="AO199" i="24"/>
  <c r="AP217" i="24"/>
  <c r="AI240" i="24"/>
  <c r="AP261" i="24"/>
  <c r="BB97" i="24"/>
  <c r="BE199" i="24"/>
  <c r="BA222" i="24"/>
  <c r="BE250" i="24"/>
  <c r="BI125" i="24"/>
  <c r="BP222" i="24"/>
  <c r="BS248" i="24"/>
  <c r="BX103" i="24"/>
  <c r="CE229" i="24"/>
  <c r="BW261" i="24"/>
  <c r="CS220" i="24"/>
  <c r="CL263" i="24"/>
  <c r="CK40" i="30"/>
  <c r="AM192" i="30"/>
  <c r="CJ344" i="30"/>
  <c r="AC8" i="30"/>
  <c r="Z13" i="30"/>
  <c r="U18" i="30"/>
  <c r="R23" i="30"/>
  <c r="S28" i="30"/>
  <c r="Y32" i="30"/>
  <c r="X37" i="30"/>
  <c r="AM9" i="30"/>
  <c r="AO14" i="30"/>
  <c r="AL19" i="30"/>
  <c r="AM24" i="30"/>
  <c r="AP29" i="30"/>
  <c r="AQ34" i="30"/>
  <c r="AN39" i="30"/>
  <c r="AT12" i="30"/>
  <c r="AZ19" i="30"/>
  <c r="AT26" i="30"/>
  <c r="BB33" i="30"/>
  <c r="AW40" i="30"/>
  <c r="BO9" i="30"/>
  <c r="BQ16" i="30"/>
  <c r="BP23" i="30"/>
  <c r="BQ30" i="30"/>
  <c r="BR38" i="30"/>
  <c r="CC12" i="30"/>
  <c r="CC22" i="30"/>
  <c r="CA33" i="30"/>
  <c r="CU23" i="30"/>
  <c r="S9" i="30"/>
  <c r="AA13" i="30"/>
  <c r="V18" i="30"/>
  <c r="S23" i="30"/>
  <c r="T28" i="30"/>
  <c r="Z32" i="30"/>
  <c r="AA37" i="30"/>
  <c r="T44" i="30"/>
  <c r="T49" i="30"/>
  <c r="W54" i="30"/>
  <c r="V59" i="30"/>
  <c r="T64" i="30"/>
  <c r="S69" i="30"/>
  <c r="T74" i="30"/>
  <c r="Z78" i="30"/>
  <c r="AN9" i="30"/>
  <c r="AP14" i="30"/>
  <c r="AM19" i="30"/>
  <c r="AN24" i="30"/>
  <c r="AQ29" i="30"/>
  <c r="AF35" i="30"/>
  <c r="AO39" i="30"/>
  <c r="AU12" i="30"/>
  <c r="BB19" i="30"/>
  <c r="AU26" i="30"/>
  <c r="BC33" i="30"/>
  <c r="AT41" i="30"/>
  <c r="BP9" i="30"/>
  <c r="BJ17" i="30"/>
  <c r="BQ23" i="30"/>
  <c r="BR30" i="30"/>
  <c r="BS38" i="30"/>
  <c r="CF12" i="30"/>
  <c r="BV23" i="30"/>
  <c r="CE33" i="30"/>
  <c r="CL24" i="30"/>
  <c r="T9" i="30"/>
  <c r="T14" i="30"/>
  <c r="AB18" i="30"/>
  <c r="T23" i="30"/>
  <c r="U28" i="30"/>
  <c r="AA32" i="30"/>
  <c r="AB37" i="30"/>
  <c r="AA44" i="30"/>
  <c r="Y49" i="30"/>
  <c r="X54" i="30"/>
  <c r="W59" i="30"/>
  <c r="U64" i="30"/>
  <c r="T69" i="30"/>
  <c r="U74" i="30"/>
  <c r="AC78" i="30"/>
  <c r="AA85" i="30"/>
  <c r="AA90" i="30"/>
  <c r="AB95" i="30"/>
  <c r="Y100" i="30"/>
  <c r="AA105" i="30"/>
  <c r="R110" i="30"/>
  <c r="X115" i="30"/>
  <c r="AO9" i="30"/>
  <c r="AQ14" i="30"/>
  <c r="AN19" i="30"/>
  <c r="AO24" i="30"/>
  <c r="AH30" i="30"/>
  <c r="AG35" i="30"/>
  <c r="AP39" i="30"/>
  <c r="AN84" i="30"/>
  <c r="AN89" i="30"/>
  <c r="AJ95" i="30"/>
  <c r="AK100" i="30"/>
  <c r="AG106" i="30"/>
  <c r="AH111" i="30"/>
  <c r="AL117" i="30"/>
  <c r="AV12" i="30"/>
  <c r="BC19" i="30"/>
  <c r="AV26" i="30"/>
  <c r="BD33" i="30"/>
  <c r="AX41" i="30"/>
  <c r="AZ87" i="30"/>
  <c r="AY95" i="30"/>
  <c r="AU102" i="30"/>
  <c r="AZ109" i="30"/>
  <c r="AT116" i="30"/>
  <c r="BQ9" i="30"/>
  <c r="BM17" i="30"/>
  <c r="BI24" i="30"/>
  <c r="BI31" i="30"/>
  <c r="BH39" i="30"/>
  <c r="BN86" i="30"/>
  <c r="BM93" i="30"/>
  <c r="BO101" i="30"/>
  <c r="BL108" i="30"/>
  <c r="BJ116" i="30"/>
  <c r="BX13" i="30"/>
  <c r="CA24" i="30"/>
  <c r="BW34" i="30"/>
  <c r="BW84" i="30"/>
  <c r="BV96" i="30"/>
  <c r="CF106" i="30"/>
  <c r="CN24" i="30"/>
  <c r="CP94" i="30"/>
  <c r="CJ112" i="30"/>
  <c r="U9" i="30"/>
  <c r="U14" i="30"/>
  <c r="AC18" i="30"/>
  <c r="U23" i="30"/>
  <c r="V28" i="30"/>
  <c r="AB32" i="30"/>
  <c r="S38" i="30"/>
  <c r="AB44" i="30"/>
  <c r="Z49" i="30"/>
  <c r="Y54" i="30"/>
  <c r="X59" i="30"/>
  <c r="W64" i="30"/>
  <c r="U69" i="30"/>
  <c r="V74" i="30"/>
  <c r="W79" i="30"/>
  <c r="AB85" i="30"/>
  <c r="AB90" i="30"/>
  <c r="AC95" i="30"/>
  <c r="Z100" i="30"/>
  <c r="AB105" i="30"/>
  <c r="S110" i="30"/>
  <c r="Y115" i="30"/>
  <c r="AP9" i="30"/>
  <c r="AF15" i="30"/>
  <c r="AF20" i="30"/>
  <c r="AP24" i="30"/>
  <c r="AI30" i="30"/>
  <c r="AH35" i="30"/>
  <c r="AQ39" i="30"/>
  <c r="AO84" i="30"/>
  <c r="AO89" i="30"/>
  <c r="AK95" i="30"/>
  <c r="AN100" i="30"/>
  <c r="AH106" i="30"/>
  <c r="AH112" i="30"/>
  <c r="AM117" i="30"/>
  <c r="AY12" i="30"/>
  <c r="BD19" i="30"/>
  <c r="AW26" i="30"/>
  <c r="BE33" i="30"/>
  <c r="AY41" i="30"/>
  <c r="BA87" i="30"/>
  <c r="BA95" i="30"/>
  <c r="AV102" i="30"/>
  <c r="BA109" i="30"/>
  <c r="AU116" i="30"/>
  <c r="BI10" i="30"/>
  <c r="BN17" i="30"/>
  <c r="BL24" i="30"/>
  <c r="BM32" i="30"/>
  <c r="BM39" i="30"/>
  <c r="BO86" i="30"/>
  <c r="BN93" i="30"/>
  <c r="BQ101" i="30"/>
  <c r="BP108" i="30"/>
  <c r="BK116" i="30"/>
  <c r="CC13" i="30"/>
  <c r="CB24" i="30"/>
  <c r="BZ35" i="30"/>
  <c r="BX84" i="30"/>
  <c r="BW96" i="30"/>
  <c r="BX107" i="30"/>
  <c r="CN6" i="30"/>
  <c r="CM26" i="30"/>
  <c r="CS94" i="30"/>
  <c r="CM112" i="30"/>
  <c r="V9" i="30"/>
  <c r="W14" i="30"/>
  <c r="R19" i="30"/>
  <c r="V23" i="30"/>
  <c r="W28" i="30"/>
  <c r="T33" i="30"/>
  <c r="T38" i="30"/>
  <c r="AC44" i="30"/>
  <c r="AA49" i="30"/>
  <c r="AB54" i="30"/>
  <c r="AB59" i="30"/>
  <c r="X64" i="30"/>
  <c r="AA69" i="30"/>
  <c r="W74" i="30"/>
  <c r="X79" i="30"/>
  <c r="T86" i="30"/>
  <c r="AC90" i="30"/>
  <c r="T96" i="30"/>
  <c r="S101" i="30"/>
  <c r="AC105" i="30"/>
  <c r="AB110" i="30"/>
  <c r="Z115" i="30"/>
  <c r="AQ9" i="30"/>
  <c r="AG15" i="30"/>
  <c r="AM20" i="30"/>
  <c r="AQ24" i="30"/>
  <c r="AJ30" i="30"/>
  <c r="AI35" i="30"/>
  <c r="AF40" i="30"/>
  <c r="AP84" i="30"/>
  <c r="AN90" i="30"/>
  <c r="AL95" i="30"/>
  <c r="AQ100" i="30"/>
  <c r="AI106" i="30"/>
  <c r="AI112" i="30"/>
  <c r="AQ117" i="30"/>
  <c r="AU6" i="30"/>
  <c r="AZ12" i="30"/>
  <c r="AT20" i="30"/>
  <c r="AX27" i="30"/>
  <c r="AT34" i="30"/>
  <c r="AZ41" i="30"/>
  <c r="BB87" i="30"/>
  <c r="BB95" i="30"/>
  <c r="AZ102" i="30"/>
  <c r="BB109" i="30"/>
  <c r="AV116" i="30"/>
  <c r="BJ10" i="30"/>
  <c r="BR17" i="30"/>
  <c r="BM24" i="30"/>
  <c r="BN32" i="30"/>
  <c r="BR39" i="30"/>
  <c r="BP86" i="30"/>
  <c r="BO93" i="30"/>
  <c r="BR101" i="30"/>
  <c r="BS108" i="30"/>
  <c r="BL116" i="30"/>
  <c r="BJ202" i="30"/>
  <c r="BQ209" i="30"/>
  <c r="BM217" i="30"/>
  <c r="BP224" i="30"/>
  <c r="CD13" i="30"/>
  <c r="CG24" i="30"/>
  <c r="CA35" i="30"/>
  <c r="BY84" i="30"/>
  <c r="BX96" i="30"/>
  <c r="BY108" i="30"/>
  <c r="BZ197" i="30"/>
  <c r="BX210" i="30"/>
  <c r="CB223" i="30"/>
  <c r="CJ7" i="30"/>
  <c r="CK27" i="30"/>
  <c r="CR96" i="30"/>
  <c r="CN112" i="30"/>
  <c r="CU208" i="30"/>
  <c r="CS223" i="30"/>
  <c r="W9" i="30"/>
  <c r="X14" i="30"/>
  <c r="S19" i="30"/>
  <c r="W23" i="30"/>
  <c r="AA28" i="30"/>
  <c r="X33" i="30"/>
  <c r="U38" i="30"/>
  <c r="S45" i="30"/>
  <c r="S50" i="30"/>
  <c r="AC54" i="30"/>
  <c r="AC59" i="30"/>
  <c r="Y64" i="30"/>
  <c r="AB69" i="30"/>
  <c r="X74" i="30"/>
  <c r="Y79" i="30"/>
  <c r="U86" i="30"/>
  <c r="R91" i="30"/>
  <c r="U96" i="30"/>
  <c r="T101" i="30"/>
  <c r="R106" i="30"/>
  <c r="AC110" i="30"/>
  <c r="AA115" i="30"/>
  <c r="S197" i="30"/>
  <c r="S202" i="30"/>
  <c r="S207" i="30"/>
  <c r="S212" i="30"/>
  <c r="AC216" i="30"/>
  <c r="S222" i="30"/>
  <c r="V226" i="30"/>
  <c r="W231" i="30"/>
  <c r="AJ10" i="30"/>
  <c r="AH15" i="30"/>
  <c r="AN20" i="30"/>
  <c r="AN25" i="30"/>
  <c r="AO30" i="30"/>
  <c r="AJ35" i="30"/>
  <c r="AI40" i="30"/>
  <c r="AQ84" i="30"/>
  <c r="AO90" i="30"/>
  <c r="AM95" i="30"/>
  <c r="AF101" i="30"/>
  <c r="AN106" i="30"/>
  <c r="AJ112" i="30"/>
  <c r="AK142" i="30"/>
  <c r="AM200" i="30"/>
  <c r="AJ206" i="30"/>
  <c r="AJ212" i="30"/>
  <c r="AQ217" i="30"/>
  <c r="AM223" i="30"/>
  <c r="AO229" i="30"/>
  <c r="AY6" i="30"/>
  <c r="BE12" i="30"/>
  <c r="AU20" i="30"/>
  <c r="AY27" i="30"/>
  <c r="BC34" i="30"/>
  <c r="BA41" i="30"/>
  <c r="BC87" i="30"/>
  <c r="AV96" i="30"/>
  <c r="BA102" i="30"/>
  <c r="BC109" i="30"/>
  <c r="AU117" i="30"/>
  <c r="AT202" i="30"/>
  <c r="AV209" i="30"/>
  <c r="AY215" i="30"/>
  <c r="AV223" i="30"/>
  <c r="AW230" i="30"/>
  <c r="AX239" i="30"/>
  <c r="AT246" i="30"/>
  <c r="BA253" i="30"/>
  <c r="BA260" i="30"/>
  <c r="AV267" i="30"/>
  <c r="BK10" i="30"/>
  <c r="BH18" i="30"/>
  <c r="BQ24" i="30"/>
  <c r="BO32" i="30"/>
  <c r="BS39" i="30"/>
  <c r="BI87" i="30"/>
  <c r="BP93" i="30"/>
  <c r="BS101" i="30"/>
  <c r="BH109" i="30"/>
  <c r="BO116" i="30"/>
  <c r="BO202" i="30"/>
  <c r="BR209" i="30"/>
  <c r="BN217" i="30"/>
  <c r="BQ224" i="30"/>
  <c r="BS234" i="30"/>
  <c r="BR242" i="30"/>
  <c r="BH250" i="30"/>
  <c r="BL258" i="30"/>
  <c r="BI266" i="30"/>
  <c r="CE13" i="30"/>
  <c r="BV25" i="30"/>
  <c r="CC35" i="30"/>
  <c r="BZ84" i="30"/>
  <c r="CB96" i="30"/>
  <c r="CF108" i="30"/>
  <c r="CA197" i="30"/>
  <c r="BY211" i="30"/>
  <c r="CC223" i="30"/>
  <c r="BY238" i="30"/>
  <c r="CC251" i="30"/>
  <c r="BW264" i="30"/>
  <c r="CK7" i="30"/>
  <c r="CL27" i="30"/>
  <c r="CS96" i="30"/>
  <c r="CJ113" i="30"/>
  <c r="CJ209" i="30"/>
  <c r="CT223" i="30"/>
  <c r="CO244" i="30"/>
  <c r="CK261" i="30"/>
  <c r="X9" i="30"/>
  <c r="Y14" i="30"/>
  <c r="T19" i="30"/>
  <c r="T24" i="30"/>
  <c r="AB28" i="30"/>
  <c r="Y33" i="30"/>
  <c r="W38" i="30"/>
  <c r="T45" i="30"/>
  <c r="T50" i="30"/>
  <c r="W55" i="30"/>
  <c r="R60" i="30"/>
  <c r="Z64" i="30"/>
  <c r="AC69" i="30"/>
  <c r="Y74" i="30"/>
  <c r="AB79" i="30"/>
  <c r="V86" i="30"/>
  <c r="W91" i="30"/>
  <c r="X96" i="30"/>
  <c r="X101" i="30"/>
  <c r="S106" i="30"/>
  <c r="R111" i="30"/>
  <c r="S116" i="30"/>
  <c r="X197" i="30"/>
  <c r="W202" i="30"/>
  <c r="T207" i="30"/>
  <c r="T212" i="30"/>
  <c r="R217" i="30"/>
  <c r="T222" i="30"/>
  <c r="W226" i="30"/>
  <c r="AC231" i="30"/>
  <c r="Z238" i="30"/>
  <c r="Z243" i="30"/>
  <c r="Y248" i="30"/>
  <c r="V253" i="30"/>
  <c r="U258" i="30"/>
  <c r="W263" i="30"/>
  <c r="AC267" i="30"/>
  <c r="AK10" i="30"/>
  <c r="AJ15" i="30"/>
  <c r="AO20" i="30"/>
  <c r="AO25" i="30"/>
  <c r="AP30" i="30"/>
  <c r="AK35" i="30"/>
  <c r="AF41" i="30"/>
  <c r="AF85" i="30"/>
  <c r="AQ90" i="30"/>
  <c r="AN95" i="30"/>
  <c r="AJ101" i="30"/>
  <c r="AQ106" i="30"/>
  <c r="AK112" i="30"/>
  <c r="AK175" i="30"/>
  <c r="AN200" i="30"/>
  <c r="AK206" i="30"/>
  <c r="AK212" i="30"/>
  <c r="AF218" i="30"/>
  <c r="AN223" i="30"/>
  <c r="AP229" i="30"/>
  <c r="AP237" i="30"/>
  <c r="AI243" i="30"/>
  <c r="AQ248" i="30"/>
  <c r="AN255" i="30"/>
  <c r="AL261" i="30"/>
  <c r="AJ267" i="30"/>
  <c r="AZ6" i="30"/>
  <c r="AX13" i="30"/>
  <c r="AV20" i="30"/>
  <c r="AT28" i="30"/>
  <c r="BD34" i="30"/>
  <c r="BB41" i="30"/>
  <c r="AT88" i="30"/>
  <c r="AW96" i="30"/>
  <c r="BB102" i="30"/>
  <c r="AV110" i="30"/>
  <c r="BE117" i="30"/>
  <c r="AX202" i="30"/>
  <c r="AX209" i="30"/>
  <c r="AZ215" i="30"/>
  <c r="BD223" i="30"/>
  <c r="AX230" i="30"/>
  <c r="BD239" i="30"/>
  <c r="BD246" i="30"/>
  <c r="BD253" i="30"/>
  <c r="AX261" i="30"/>
  <c r="AX267" i="30"/>
  <c r="BN10" i="30"/>
  <c r="BI18" i="30"/>
  <c r="BH25" i="30"/>
  <c r="BP32" i="30"/>
  <c r="BL40" i="30"/>
  <c r="BK87" i="30"/>
  <c r="BQ93" i="30"/>
  <c r="BO102" i="30"/>
  <c r="BI109" i="30"/>
  <c r="BR116" i="30"/>
  <c r="BP202" i="30"/>
  <c r="BS209" i="30"/>
  <c r="BO217" i="30"/>
  <c r="BR224" i="30"/>
  <c r="BH235" i="30"/>
  <c r="BS242" i="30"/>
  <c r="BI250" i="30"/>
  <c r="BM258" i="30"/>
  <c r="BJ266" i="30"/>
  <c r="BZ14" i="30"/>
  <c r="BW25" i="30"/>
  <c r="CD35" i="30"/>
  <c r="CA84" i="30"/>
  <c r="CC96" i="30"/>
  <c r="BZ109" i="30"/>
  <c r="CC197" i="30"/>
  <c r="CF211" i="30"/>
  <c r="CD223" i="30"/>
  <c r="CB238" i="30"/>
  <c r="CF251" i="30"/>
  <c r="BV266" i="30"/>
  <c r="CL7" i="30"/>
  <c r="CM27" i="30"/>
  <c r="CU97" i="30"/>
  <c r="CR114" i="30"/>
  <c r="CK209" i="30"/>
  <c r="CQ226" i="30"/>
  <c r="CP244" i="30"/>
  <c r="CS261" i="30"/>
  <c r="R10" i="30"/>
  <c r="AA14" i="30"/>
  <c r="U19" i="30"/>
  <c r="U24" i="30"/>
  <c r="AC28" i="30"/>
  <c r="Z33" i="30"/>
  <c r="X38" i="30"/>
  <c r="U45" i="30"/>
  <c r="U50" i="30"/>
  <c r="X55" i="30"/>
  <c r="S60" i="30"/>
  <c r="AA64" i="30"/>
  <c r="T70" i="30"/>
  <c r="Z74" i="30"/>
  <c r="AC79" i="30"/>
  <c r="W86" i="30"/>
  <c r="X91" i="30"/>
  <c r="Y96" i="30"/>
  <c r="Y101" i="30"/>
  <c r="T106" i="30"/>
  <c r="S111" i="30"/>
  <c r="T116" i="30"/>
  <c r="Y197" i="30"/>
  <c r="X202" i="30"/>
  <c r="U207" i="30"/>
  <c r="X212" i="30"/>
  <c r="S217" i="30"/>
  <c r="U222" i="30"/>
  <c r="AC226" i="30"/>
  <c r="R234" i="30"/>
  <c r="AA238" i="30"/>
  <c r="AA243" i="30"/>
  <c r="Z248" i="30"/>
  <c r="W253" i="30"/>
  <c r="V258" i="30"/>
  <c r="X263" i="30"/>
  <c r="R268" i="30"/>
  <c r="AN10" i="30"/>
  <c r="AK15" i="30"/>
  <c r="AP20" i="30"/>
  <c r="AP25" i="30"/>
  <c r="AQ30" i="30"/>
  <c r="AN35" i="30"/>
  <c r="AJ41" i="30"/>
  <c r="AJ85" i="30"/>
  <c r="AF91" i="30"/>
  <c r="AF96" i="30"/>
  <c r="AK101" i="30"/>
  <c r="AF107" i="30"/>
  <c r="AL112" i="30"/>
  <c r="AJ181" i="30"/>
  <c r="AO200" i="30"/>
  <c r="AQ206" i="30"/>
  <c r="AL212" i="30"/>
  <c r="AI218" i="30"/>
  <c r="AF224" i="30"/>
  <c r="AQ229" i="30"/>
  <c r="AG238" i="30"/>
  <c r="AJ243" i="30"/>
  <c r="AF249" i="30"/>
  <c r="AO255" i="30"/>
  <c r="AM261" i="30"/>
  <c r="AM267" i="30"/>
  <c r="BA6" i="30"/>
  <c r="BE13" i="30"/>
  <c r="AX20" i="30"/>
  <c r="AU28" i="30"/>
  <c r="AU35" i="30"/>
  <c r="BC41" i="30"/>
  <c r="BD88" i="30"/>
  <c r="AX96" i="30"/>
  <c r="BC102" i="30"/>
  <c r="AX110" i="30"/>
  <c r="AY202" i="30"/>
  <c r="AY209" i="30"/>
  <c r="BA215" i="30"/>
  <c r="BE223" i="30"/>
  <c r="AY230" i="30"/>
  <c r="BE239" i="30"/>
  <c r="BE246" i="30"/>
  <c r="AV254" i="30"/>
  <c r="AY261" i="30"/>
  <c r="BB267" i="30"/>
  <c r="BQ10" i="30"/>
  <c r="BJ18" i="30"/>
  <c r="BP25" i="30"/>
  <c r="BQ32" i="30"/>
  <c r="BM40" i="30"/>
  <c r="BL87" i="30"/>
  <c r="BL95" i="30"/>
  <c r="BP102" i="30"/>
  <c r="BN109" i="30"/>
  <c r="BS116" i="30"/>
  <c r="BQ202" i="30"/>
  <c r="BM210" i="30"/>
  <c r="BP217" i="30"/>
  <c r="BS224" i="30"/>
  <c r="BI235" i="30"/>
  <c r="BH243" i="30"/>
  <c r="BJ250" i="30"/>
  <c r="BN258" i="30"/>
  <c r="BK266" i="30"/>
  <c r="CA14" i="30"/>
  <c r="BX25" i="30"/>
  <c r="CG35" i="30"/>
  <c r="CB84" i="30"/>
  <c r="CD97" i="30"/>
  <c r="CA109" i="30"/>
  <c r="CD197" i="30"/>
  <c r="BV212" i="30"/>
  <c r="CE223" i="30"/>
  <c r="CC238" i="30"/>
  <c r="BX252" i="30"/>
  <c r="CA266" i="30"/>
  <c r="CL9" i="30"/>
  <c r="CO27" i="30"/>
  <c r="CJ98" i="30"/>
  <c r="CN115" i="30"/>
  <c r="CL209" i="30"/>
  <c r="CT226" i="30"/>
  <c r="CM245" i="30"/>
  <c r="CT261" i="30"/>
  <c r="U10" i="30"/>
  <c r="AB14" i="30"/>
  <c r="V19" i="30"/>
  <c r="V24" i="30"/>
  <c r="R29" i="30"/>
  <c r="AA33" i="30"/>
  <c r="Y38" i="30"/>
  <c r="AC45" i="30"/>
  <c r="V50" i="30"/>
  <c r="Y55" i="30"/>
  <c r="T60" i="30"/>
  <c r="AB64" i="30"/>
  <c r="V70" i="30"/>
  <c r="U75" i="30"/>
  <c r="R82" i="30"/>
  <c r="AB86" i="30"/>
  <c r="Y91" i="30"/>
  <c r="Z96" i="30"/>
  <c r="Z101" i="30"/>
  <c r="U106" i="30"/>
  <c r="X111" i="30"/>
  <c r="U116" i="30"/>
  <c r="Z197" i="30"/>
  <c r="Y202" i="30"/>
  <c r="V207" i="30"/>
  <c r="AA212" i="30"/>
  <c r="AA217" i="30"/>
  <c r="V222" i="30"/>
  <c r="R227" i="30"/>
  <c r="S234" i="30"/>
  <c r="AB238" i="30"/>
  <c r="S244" i="30"/>
  <c r="AA248" i="30"/>
  <c r="AB253" i="30"/>
  <c r="Z258" i="30"/>
  <c r="Y263" i="30"/>
  <c r="S268" i="30"/>
  <c r="AO10" i="30"/>
  <c r="AL15" i="30"/>
  <c r="AF21" i="30"/>
  <c r="AH26" i="30"/>
  <c r="AF31" i="30"/>
  <c r="AF36" i="30"/>
  <c r="AK41" i="30"/>
  <c r="AO85" i="30"/>
  <c r="AG91" i="30"/>
  <c r="AI96" i="30"/>
  <c r="AL101" i="30"/>
  <c r="AG107" i="30"/>
  <c r="AF113" i="30"/>
  <c r="AJ186" i="30"/>
  <c r="AP200" i="30"/>
  <c r="AF207" i="30"/>
  <c r="AM212" i="30"/>
  <c r="AJ218" i="30"/>
  <c r="AJ224" i="30"/>
  <c r="AF230" i="30"/>
  <c r="AH238" i="30"/>
  <c r="AK243" i="30"/>
  <c r="AN249" i="30"/>
  <c r="AQ255" i="30"/>
  <c r="AN261" i="30"/>
  <c r="AN267" i="30"/>
  <c r="BB6" i="30"/>
  <c r="AU14" i="30"/>
  <c r="AY20" i="30"/>
  <c r="AV28" i="30"/>
  <c r="AV35" i="30"/>
  <c r="AX82" i="30"/>
  <c r="AZ89" i="30"/>
  <c r="AY96" i="30"/>
  <c r="AT103" i="30"/>
  <c r="AY110" i="30"/>
  <c r="BB202" i="30"/>
  <c r="AZ209" i="30"/>
  <c r="AU216" i="30"/>
  <c r="AT224" i="30"/>
  <c r="BC230" i="30"/>
  <c r="AT240" i="30"/>
  <c r="AY247" i="30"/>
  <c r="AW254" i="30"/>
  <c r="AZ261" i="30"/>
  <c r="BC267" i="30"/>
  <c r="BR10" i="30"/>
  <c r="BK18" i="30"/>
  <c r="BQ25" i="30"/>
  <c r="BL33" i="30"/>
  <c r="BN40" i="30"/>
  <c r="BP87" i="30"/>
  <c r="BM95" i="30"/>
  <c r="BQ102" i="30"/>
  <c r="BO109" i="30"/>
  <c r="BH117" i="30"/>
  <c r="BO203" i="30"/>
  <c r="BH211" i="30"/>
  <c r="BI218" i="30"/>
  <c r="BR226" i="30"/>
  <c r="BJ235" i="30"/>
  <c r="BI243" i="30"/>
  <c r="BM250" i="30"/>
  <c r="BO258" i="30"/>
  <c r="BQ266" i="30"/>
  <c r="CB14" i="30"/>
  <c r="CD25" i="30"/>
  <c r="BX36" i="30"/>
  <c r="BW85" i="30"/>
  <c r="CE97" i="30"/>
  <c r="CF109" i="30"/>
  <c r="CB198" i="30"/>
  <c r="BW212" i="30"/>
  <c r="CG224" i="30"/>
  <c r="CE238" i="30"/>
  <c r="CA252" i="30"/>
  <c r="CD266" i="30"/>
  <c r="CT9" i="30"/>
  <c r="CT27" i="30"/>
  <c r="CP98" i="30"/>
  <c r="CO115" i="30"/>
  <c r="CM209" i="30"/>
  <c r="CU226" i="30"/>
  <c r="CT246" i="30"/>
  <c r="CK262" i="30"/>
  <c r="R7" i="30"/>
  <c r="T30" i="30"/>
  <c r="AJ27" i="30"/>
  <c r="BA23" i="30"/>
  <c r="AX9" i="30"/>
  <c r="BD38" i="30"/>
  <c r="AT114" i="30"/>
  <c r="BK98" i="30"/>
  <c r="BX30" i="30"/>
  <c r="V26" i="30"/>
  <c r="AA52" i="30"/>
  <c r="Y67" i="30"/>
  <c r="X89" i="30"/>
  <c r="AB108" i="30"/>
  <c r="AA204" i="30"/>
  <c r="AA224" i="30"/>
  <c r="AJ18" i="30"/>
  <c r="AM33" i="30"/>
  <c r="AM93" i="30"/>
  <c r="AG110" i="30"/>
  <c r="AP203" i="30"/>
  <c r="AK227" i="30"/>
  <c r="BD16" i="30"/>
  <c r="AV206" i="30"/>
  <c r="CF230" i="30"/>
  <c r="X7" i="30"/>
  <c r="AQ38" i="30"/>
  <c r="S215" i="30"/>
  <c r="AP227" i="30"/>
  <c r="AW17" i="30"/>
  <c r="AY31" i="30"/>
  <c r="AV39" i="30"/>
  <c r="BA86" i="30"/>
  <c r="BD92" i="30"/>
  <c r="BD100" i="30"/>
  <c r="AW107" i="30"/>
  <c r="BD114" i="30"/>
  <c r="AU199" i="30"/>
  <c r="BB206" i="30"/>
  <c r="AW214" i="30"/>
  <c r="BA220" i="30"/>
  <c r="BC227" i="30"/>
  <c r="BC236" i="30"/>
  <c r="BD250" i="30"/>
  <c r="AZ258" i="30"/>
  <c r="BO7" i="30"/>
  <c r="BI15" i="30"/>
  <c r="BP22" i="30"/>
  <c r="BI30" i="30"/>
  <c r="BH37" i="30"/>
  <c r="BH85" i="30"/>
  <c r="BM92" i="30"/>
  <c r="BS98" i="30"/>
  <c r="BH107" i="30"/>
  <c r="BK114" i="30"/>
  <c r="BS199" i="30"/>
  <c r="BN206" i="30"/>
  <c r="BK215" i="30"/>
  <c r="BI223" i="30"/>
  <c r="BQ229" i="30"/>
  <c r="BK240" i="30"/>
  <c r="BR247" i="30"/>
  <c r="BM255" i="30"/>
  <c r="BP262" i="30"/>
  <c r="CF10" i="30"/>
  <c r="CF20" i="30"/>
  <c r="BZ32" i="30"/>
  <c r="CE92" i="30"/>
  <c r="BX105" i="30"/>
  <c r="BW115" i="30"/>
  <c r="CF205" i="30"/>
  <c r="CC219" i="30"/>
  <c r="BY231" i="30"/>
  <c r="BZ247" i="30"/>
  <c r="BY260" i="30"/>
  <c r="CM20" i="30"/>
  <c r="CK39" i="30"/>
  <c r="CU91" i="30"/>
  <c r="CU106" i="30"/>
  <c r="CL203" i="30"/>
  <c r="CK219" i="30"/>
  <c r="CO237" i="30"/>
  <c r="W16" i="30"/>
  <c r="AC25" i="30"/>
  <c r="V40" i="30"/>
  <c r="AI7" i="30"/>
  <c r="AJ17" i="30"/>
  <c r="AN32" i="30"/>
  <c r="AY16" i="30"/>
  <c r="AT30" i="30"/>
  <c r="BM6" i="30"/>
  <c r="BI21" i="30"/>
  <c r="BQ35" i="30"/>
  <c r="CF18" i="30"/>
  <c r="CQ35" i="30"/>
  <c r="V79" i="30"/>
  <c r="Z76" i="30"/>
  <c r="R74" i="30"/>
  <c r="V71" i="30"/>
  <c r="Z68" i="30"/>
  <c r="R66" i="30"/>
  <c r="V63" i="30"/>
  <c r="Z60" i="30"/>
  <c r="R58" i="30"/>
  <c r="V55" i="30"/>
  <c r="Z52" i="30"/>
  <c r="R50" i="30"/>
  <c r="V47" i="30"/>
  <c r="Z44" i="30"/>
  <c r="X76" i="30"/>
  <c r="X68" i="30"/>
  <c r="T63" i="30"/>
  <c r="T55" i="30"/>
  <c r="AB49" i="30"/>
  <c r="U79" i="30"/>
  <c r="Y76" i="30"/>
  <c r="AC73" i="30"/>
  <c r="U71" i="30"/>
  <c r="Y68" i="30"/>
  <c r="AC65" i="30"/>
  <c r="U63" i="30"/>
  <c r="Y60" i="30"/>
  <c r="AC57" i="30"/>
  <c r="U55" i="30"/>
  <c r="Y52" i="30"/>
  <c r="AC49" i="30"/>
  <c r="U47" i="30"/>
  <c r="Y44" i="30"/>
  <c r="T79" i="30"/>
  <c r="AB73" i="30"/>
  <c r="T71" i="30"/>
  <c r="AB65" i="30"/>
  <c r="X60" i="30"/>
  <c r="AB57" i="30"/>
  <c r="X52" i="30"/>
  <c r="T47" i="30"/>
  <c r="X44" i="30"/>
  <c r="Z77" i="30"/>
  <c r="R75" i="30"/>
  <c r="V72" i="30"/>
  <c r="Z69" i="30"/>
  <c r="R67" i="30"/>
  <c r="V64" i="30"/>
  <c r="Z61" i="30"/>
  <c r="R59" i="30"/>
  <c r="V56" i="30"/>
  <c r="Z53" i="30"/>
  <c r="R51" i="30"/>
  <c r="V48" i="30"/>
  <c r="Z45" i="30"/>
  <c r="S78" i="30"/>
  <c r="S75" i="30"/>
  <c r="R72" i="30"/>
  <c r="R69" i="30"/>
  <c r="AA65" i="30"/>
  <c r="AA62" i="30"/>
  <c r="AA59" i="30"/>
  <c r="AA56" i="30"/>
  <c r="AA53" i="30"/>
  <c r="Z50" i="30"/>
  <c r="Z47" i="30"/>
  <c r="W44" i="30"/>
  <c r="AB74" i="30"/>
  <c r="AB68" i="30"/>
  <c r="Y62" i="30"/>
  <c r="Y56" i="30"/>
  <c r="X50" i="30"/>
  <c r="X47" i="30"/>
  <c r="R78" i="30"/>
  <c r="AC74" i="30"/>
  <c r="AC71" i="30"/>
  <c r="AC68" i="30"/>
  <c r="Z65" i="30"/>
  <c r="Z62" i="30"/>
  <c r="Z59" i="30"/>
  <c r="Z56" i="30"/>
  <c r="Y53" i="30"/>
  <c r="Y50" i="30"/>
  <c r="Y47" i="30"/>
  <c r="V44" i="30"/>
  <c r="AC77" i="30"/>
  <c r="AB71" i="30"/>
  <c r="Y65" i="30"/>
  <c r="Y59" i="30"/>
  <c r="X53" i="30"/>
  <c r="U44" i="30"/>
  <c r="S79" i="30"/>
  <c r="S76" i="30"/>
  <c r="S73" i="30"/>
  <c r="S70" i="30"/>
  <c r="S67" i="30"/>
  <c r="R64" i="30"/>
  <c r="R61" i="30"/>
  <c r="AA57" i="30"/>
  <c r="AA54" i="30"/>
  <c r="AA51" i="30"/>
  <c r="AA48" i="30"/>
  <c r="AA45" i="30"/>
  <c r="R79" i="30"/>
  <c r="R76" i="30"/>
  <c r="R73" i="30"/>
  <c r="R70" i="30"/>
  <c r="AC66" i="30"/>
  <c r="AC63" i="30"/>
  <c r="AC60" i="30"/>
  <c r="Z57" i="30"/>
  <c r="Z54" i="30"/>
  <c r="Z51" i="30"/>
  <c r="Z48" i="30"/>
  <c r="Y45" i="30"/>
  <c r="AA79" i="30"/>
  <c r="AC75" i="30"/>
  <c r="X72" i="30"/>
  <c r="AA68" i="30"/>
  <c r="S65" i="30"/>
  <c r="Y61" i="30"/>
  <c r="T58" i="30"/>
  <c r="V54" i="30"/>
  <c r="AB50" i="30"/>
  <c r="AC46" i="30"/>
  <c r="Z79" i="30"/>
  <c r="AB75" i="30"/>
  <c r="W72" i="30"/>
  <c r="W68" i="30"/>
  <c r="R65" i="30"/>
  <c r="X61" i="30"/>
  <c r="S58" i="30"/>
  <c r="U54" i="30"/>
  <c r="AA50" i="30"/>
  <c r="AB46" i="30"/>
  <c r="V77" i="30"/>
  <c r="Z73" i="30"/>
  <c r="U70" i="30"/>
  <c r="Y66" i="30"/>
  <c r="AC62" i="30"/>
  <c r="U59" i="30"/>
  <c r="AA55" i="30"/>
  <c r="S52" i="30"/>
  <c r="X48" i="30"/>
  <c r="R45" i="30"/>
  <c r="X77" i="30"/>
  <c r="X73" i="30"/>
  <c r="Y69" i="30"/>
  <c r="W65" i="30"/>
  <c r="AA61" i="30"/>
  <c r="W57" i="30"/>
  <c r="W53" i="30"/>
  <c r="X49" i="30"/>
  <c r="AB45" i="30"/>
  <c r="X45" i="30"/>
  <c r="V69" i="30"/>
  <c r="T57" i="30"/>
  <c r="U49" i="30"/>
  <c r="W77" i="30"/>
  <c r="W73" i="30"/>
  <c r="X69" i="30"/>
  <c r="V65" i="30"/>
  <c r="W61" i="30"/>
  <c r="V57" i="30"/>
  <c r="V53" i="30"/>
  <c r="W49" i="30"/>
  <c r="T77" i="30"/>
  <c r="U61" i="30"/>
  <c r="V45" i="30"/>
  <c r="U77" i="30"/>
  <c r="V73" i="30"/>
  <c r="W69" i="30"/>
  <c r="U65" i="30"/>
  <c r="V61" i="30"/>
  <c r="U57" i="30"/>
  <c r="U53" i="30"/>
  <c r="V49" i="30"/>
  <c r="W45" i="30"/>
  <c r="U73" i="30"/>
  <c r="T65" i="30"/>
  <c r="T53" i="30"/>
  <c r="AB78" i="30"/>
  <c r="T75" i="30"/>
  <c r="AC70" i="30"/>
  <c r="U67" i="30"/>
  <c r="S63" i="30"/>
  <c r="S59" i="30"/>
  <c r="S55" i="30"/>
  <c r="U51" i="30"/>
  <c r="R47" i="30"/>
  <c r="AA78" i="30"/>
  <c r="AA74" i="30"/>
  <c r="AB70" i="30"/>
  <c r="T67" i="30"/>
  <c r="R63" i="30"/>
  <c r="AC58" i="30"/>
  <c r="R55" i="30"/>
  <c r="T51" i="30"/>
  <c r="AA46" i="30"/>
  <c r="S7" i="30"/>
  <c r="X16" i="30"/>
  <c r="R26" i="30"/>
  <c r="U35" i="30"/>
  <c r="W47" i="30"/>
  <c r="AC56" i="30"/>
  <c r="AB66" i="30"/>
  <c r="AA76" i="30"/>
  <c r="AM12" i="30"/>
  <c r="AP22" i="30"/>
  <c r="AQ32" i="30"/>
  <c r="AZ16" i="30"/>
  <c r="AV30" i="30"/>
  <c r="BJ13" i="30"/>
  <c r="BH28" i="30"/>
  <c r="BX19" i="30"/>
  <c r="CE40" i="30"/>
  <c r="CS14" i="30"/>
  <c r="T7" i="30"/>
  <c r="Y16" i="30"/>
  <c r="S26" i="30"/>
  <c r="AB35" i="30"/>
  <c r="AA47" i="30"/>
  <c r="R57" i="30"/>
  <c r="V67" i="30"/>
  <c r="AB76" i="30"/>
  <c r="W88" i="30"/>
  <c r="Y103" i="30"/>
  <c r="AK7" i="30"/>
  <c r="AP17" i="30"/>
  <c r="AL27" i="30"/>
  <c r="AQ37" i="30"/>
  <c r="AO82" i="30"/>
  <c r="AN92" i="30"/>
  <c r="AF104" i="30"/>
  <c r="AF115" i="30"/>
  <c r="BA16" i="30"/>
  <c r="AX37" i="30"/>
  <c r="AT92" i="30"/>
  <c r="AW106" i="30"/>
  <c r="BR6" i="30"/>
  <c r="BO21" i="30"/>
  <c r="BS35" i="30"/>
  <c r="BL90" i="30"/>
  <c r="BH105" i="30"/>
  <c r="BW9" i="30"/>
  <c r="BY19" i="30"/>
  <c r="BW41" i="30"/>
  <c r="CD90" i="30"/>
  <c r="BZ114" i="30"/>
  <c r="CL15" i="30"/>
  <c r="CM36" i="30"/>
  <c r="CM87" i="30"/>
  <c r="CR104" i="30"/>
  <c r="AB11" i="30"/>
  <c r="T21" i="30"/>
  <c r="AC30" i="30"/>
  <c r="AC35" i="30"/>
  <c r="AB47" i="30"/>
  <c r="S57" i="30"/>
  <c r="W67" i="30"/>
  <c r="AC76" i="30"/>
  <c r="S84" i="30"/>
  <c r="AA93" i="30"/>
  <c r="AA103" i="30"/>
  <c r="S113" i="30"/>
  <c r="AL7" i="30"/>
  <c r="AG18" i="30"/>
  <c r="AM27" i="30"/>
  <c r="AH88" i="30"/>
  <c r="AF98" i="30"/>
  <c r="AQ109" i="30"/>
  <c r="BB16" i="30"/>
  <c r="BC30" i="30"/>
  <c r="BD84" i="30"/>
  <c r="BE98" i="30"/>
  <c r="BA113" i="30"/>
  <c r="BN28" i="30"/>
  <c r="BR83" i="30"/>
  <c r="BJ98" i="30"/>
  <c r="BI113" i="30"/>
  <c r="BZ29" i="30"/>
  <c r="CG101" i="30"/>
  <c r="CO15" i="30"/>
  <c r="BI183" i="30"/>
  <c r="AW175" i="30"/>
  <c r="AC180" i="30"/>
  <c r="U162" i="30"/>
  <c r="AB164" i="30"/>
  <c r="AQ167" i="30"/>
  <c r="AF181" i="30"/>
  <c r="U188" i="30"/>
  <c r="Z189" i="30"/>
  <c r="W189" i="30"/>
  <c r="W185" i="30"/>
  <c r="BH178" i="30"/>
  <c r="AC188" i="30"/>
  <c r="AO166" i="30"/>
  <c r="AN165" i="30"/>
  <c r="AC11" i="30"/>
  <c r="AC21" i="30"/>
  <c r="R31" i="30"/>
  <c r="AB40" i="30"/>
  <c r="W52" i="30"/>
  <c r="V62" i="30"/>
  <c r="T72" i="30"/>
  <c r="T84" i="30"/>
  <c r="AC93" i="30"/>
  <c r="AB103" i="30"/>
  <c r="W113" i="30"/>
  <c r="AP12" i="30"/>
  <c r="AN27" i="30"/>
  <c r="AF93" i="30"/>
  <c r="AH104" i="30"/>
  <c r="AH115" i="30"/>
  <c r="BC16" i="30"/>
  <c r="AU24" i="30"/>
  <c r="BD30" i="30"/>
  <c r="AZ92" i="30"/>
  <c r="AW99" i="30"/>
  <c r="AY106" i="30"/>
  <c r="BH7" i="30"/>
  <c r="BQ21" i="30"/>
  <c r="BI36" i="30"/>
  <c r="BQ90" i="30"/>
  <c r="BJ113" i="30"/>
  <c r="CA19" i="30"/>
  <c r="BZ91" i="30"/>
  <c r="CB114" i="30"/>
  <c r="CQ17" i="30"/>
  <c r="CO89" i="30"/>
  <c r="W7" i="30"/>
  <c r="U17" i="30"/>
  <c r="S31" i="30"/>
  <c r="AC40" i="30"/>
  <c r="Y57" i="30"/>
  <c r="U72" i="30"/>
  <c r="S77" i="30"/>
  <c r="R94" i="30"/>
  <c r="AC103" i="30"/>
  <c r="AA113" i="30"/>
  <c r="S200" i="30"/>
  <c r="AA214" i="30"/>
  <c r="V229" i="30"/>
  <c r="AK8" i="30"/>
  <c r="AI23" i="30"/>
  <c r="AN38" i="30"/>
  <c r="AF83" i="30"/>
  <c r="AH98" i="30"/>
  <c r="AI115" i="30"/>
  <c r="AL209" i="30"/>
  <c r="AK221" i="30"/>
  <c r="BA9" i="30"/>
  <c r="AV31" i="30"/>
  <c r="BD85" i="30"/>
  <c r="AX99" i="30"/>
  <c r="AU114" i="30"/>
  <c r="BB212" i="30"/>
  <c r="BB226" i="30"/>
  <c r="BH14" i="30"/>
  <c r="BO98" i="30"/>
  <c r="BZ9" i="30"/>
  <c r="BY30" i="30"/>
  <c r="CF41" i="30"/>
  <c r="BW103" i="30"/>
  <c r="CC114" i="30"/>
  <c r="CA217" i="30"/>
  <c r="CL19" i="30"/>
  <c r="CU89" i="30"/>
  <c r="CM200" i="30"/>
  <c r="CS267" i="30"/>
  <c r="CK265" i="30"/>
  <c r="CO262" i="30"/>
  <c r="CS259" i="30"/>
  <c r="CK257" i="30"/>
  <c r="CO254" i="30"/>
  <c r="CS251" i="30"/>
  <c r="CK249" i="30"/>
  <c r="CO246" i="30"/>
  <c r="CS243" i="30"/>
  <c r="CK241" i="30"/>
  <c r="CO238" i="30"/>
  <c r="CS235" i="30"/>
  <c r="CJ269" i="30"/>
  <c r="CN266" i="30"/>
  <c r="CR263" i="30"/>
  <c r="CJ261" i="30"/>
  <c r="CN258" i="30"/>
  <c r="CR255" i="30"/>
  <c r="CJ253" i="30"/>
  <c r="CN250" i="30"/>
  <c r="CR247" i="30"/>
  <c r="CJ245" i="30"/>
  <c r="CN242" i="30"/>
  <c r="CR239" i="30"/>
  <c r="CJ237" i="30"/>
  <c r="CN234" i="30"/>
  <c r="CS269" i="30"/>
  <c r="CU266" i="30"/>
  <c r="CK264" i="30"/>
  <c r="CM261" i="30"/>
  <c r="CO258" i="30"/>
  <c r="CP255" i="30"/>
  <c r="CR252" i="30"/>
  <c r="CT249" i="30"/>
  <c r="CJ247" i="30"/>
  <c r="CL244" i="30"/>
  <c r="CN241" i="30"/>
  <c r="CP238" i="30"/>
  <c r="CQ235" i="30"/>
  <c r="CR269" i="30"/>
  <c r="CT266" i="30"/>
  <c r="CJ264" i="30"/>
  <c r="CL261" i="30"/>
  <c r="CM258" i="30"/>
  <c r="CO255" i="30"/>
  <c r="CQ252" i="30"/>
  <c r="CS249" i="30"/>
  <c r="CU246" i="30"/>
  <c r="CK244" i="30"/>
  <c r="CM241" i="30"/>
  <c r="CN238" i="30"/>
  <c r="CP235" i="30"/>
  <c r="CO268" i="30"/>
  <c r="CO265" i="30"/>
  <c r="CN262" i="30"/>
  <c r="CN259" i="30"/>
  <c r="CN256" i="30"/>
  <c r="CN253" i="30"/>
  <c r="CM250" i="30"/>
  <c r="CM247" i="30"/>
  <c r="CM244" i="30"/>
  <c r="CJ241" i="30"/>
  <c r="CU269" i="30"/>
  <c r="CS266" i="30"/>
  <c r="CS263" i="30"/>
  <c r="CR260" i="30"/>
  <c r="CR257" i="30"/>
  <c r="CR254" i="30"/>
  <c r="CQ251" i="30"/>
  <c r="CQ248" i="30"/>
  <c r="CQ245" i="30"/>
  <c r="CQ242" i="30"/>
  <c r="CP239" i="30"/>
  <c r="CP236" i="30"/>
  <c r="CJ268" i="30"/>
  <c r="CS264" i="30"/>
  <c r="CQ261" i="30"/>
  <c r="CL258" i="30"/>
  <c r="CJ255" i="30"/>
  <c r="CT251" i="30"/>
  <c r="CP248" i="30"/>
  <c r="CN245" i="30"/>
  <c r="CK242" i="30"/>
  <c r="CU238" i="30"/>
  <c r="CT235" i="30"/>
  <c r="CO269" i="30"/>
  <c r="CL266" i="30"/>
  <c r="CJ263" i="30"/>
  <c r="CT259" i="30"/>
  <c r="CQ256" i="30"/>
  <c r="CO253" i="30"/>
  <c r="CK250" i="30"/>
  <c r="CS246" i="30"/>
  <c r="CP243" i="30"/>
  <c r="CN240" i="30"/>
  <c r="CM237" i="30"/>
  <c r="CK234" i="30"/>
  <c r="CC268" i="30"/>
  <c r="CG265" i="30"/>
  <c r="BY263" i="30"/>
  <c r="CC260" i="30"/>
  <c r="CG257" i="30"/>
  <c r="BY255" i="30"/>
  <c r="CC252" i="30"/>
  <c r="CG249" i="30"/>
  <c r="BY247" i="30"/>
  <c r="CC244" i="30"/>
  <c r="CG241" i="30"/>
  <c r="BY239" i="30"/>
  <c r="CC236" i="30"/>
  <c r="CU267" i="30"/>
  <c r="CP264" i="30"/>
  <c r="CU260" i="30"/>
  <c r="CP257" i="30"/>
  <c r="CK254" i="30"/>
  <c r="CS250" i="30"/>
  <c r="CN247" i="30"/>
  <c r="CR243" i="30"/>
  <c r="CM240" i="30"/>
  <c r="CU236" i="30"/>
  <c r="CE267" i="30"/>
  <c r="BV265" i="30"/>
  <c r="BY262" i="30"/>
  <c r="CB259" i="30"/>
  <c r="CE256" i="30"/>
  <c r="BV254" i="30"/>
  <c r="BY251" i="30"/>
  <c r="CB248" i="30"/>
  <c r="CE245" i="30"/>
  <c r="BV243" i="30"/>
  <c r="BY240" i="30"/>
  <c r="CB237" i="30"/>
  <c r="CE234" i="30"/>
  <c r="CT267" i="30"/>
  <c r="CO264" i="30"/>
  <c r="CT260" i="30"/>
  <c r="CO257" i="30"/>
  <c r="CJ254" i="30"/>
  <c r="CR250" i="30"/>
  <c r="CL247" i="30"/>
  <c r="CQ243" i="30"/>
  <c r="CL240" i="30"/>
  <c r="CT236" i="30"/>
  <c r="CL269" i="30"/>
  <c r="CS265" i="30"/>
  <c r="CM262" i="30"/>
  <c r="CU258" i="30"/>
  <c r="CN255" i="30"/>
  <c r="CJ252" i="30"/>
  <c r="CO248" i="30"/>
  <c r="CK245" i="30"/>
  <c r="CR241" i="30"/>
  <c r="CK238" i="30"/>
  <c r="CT234" i="30"/>
  <c r="CQ268" i="30"/>
  <c r="CT264" i="30"/>
  <c r="CS260" i="30"/>
  <c r="CJ257" i="30"/>
  <c r="CM253" i="30"/>
  <c r="CO249" i="30"/>
  <c r="CS245" i="30"/>
  <c r="CU241" i="30"/>
  <c r="CJ238" i="30"/>
  <c r="CP234" i="30"/>
  <c r="CA269" i="30"/>
  <c r="CC266" i="30"/>
  <c r="CE263" i="30"/>
  <c r="CG260" i="30"/>
  <c r="BW258" i="30"/>
  <c r="BX255" i="30"/>
  <c r="BZ252" i="30"/>
  <c r="CB249" i="30"/>
  <c r="CD246" i="30"/>
  <c r="CF243" i="30"/>
  <c r="BV241" i="30"/>
  <c r="BX238" i="30"/>
  <c r="BZ235" i="30"/>
  <c r="CP268" i="30"/>
  <c r="CR264" i="30"/>
  <c r="CQ260" i="30"/>
  <c r="CU256" i="30"/>
  <c r="CL253" i="30"/>
  <c r="CN249" i="30"/>
  <c r="CR245" i="30"/>
  <c r="CT241" i="30"/>
  <c r="CU237" i="30"/>
  <c r="CO234" i="30"/>
  <c r="BZ269" i="30"/>
  <c r="CB266" i="30"/>
  <c r="CD263" i="30"/>
  <c r="CF260" i="30"/>
  <c r="BV258" i="30"/>
  <c r="BW255" i="30"/>
  <c r="BY252" i="30"/>
  <c r="CA249" i="30"/>
  <c r="CC246" i="30"/>
  <c r="CE243" i="30"/>
  <c r="CG240" i="30"/>
  <c r="BW238" i="30"/>
  <c r="BY235" i="30"/>
  <c r="CK266" i="30"/>
  <c r="CP262" i="30"/>
  <c r="CR258" i="30"/>
  <c r="CS254" i="30"/>
  <c r="CJ251" i="30"/>
  <c r="CK247" i="30"/>
  <c r="CL243" i="30"/>
  <c r="CO239" i="30"/>
  <c r="CU235" i="30"/>
  <c r="CC267" i="30"/>
  <c r="CE264" i="30"/>
  <c r="CG261" i="30"/>
  <c r="BW259" i="30"/>
  <c r="BY256" i="30"/>
  <c r="CA253" i="30"/>
  <c r="CC250" i="30"/>
  <c r="CE247" i="30"/>
  <c r="CG244" i="30"/>
  <c r="BW242" i="30"/>
  <c r="BX239" i="30"/>
  <c r="BZ236" i="30"/>
  <c r="CM266" i="30"/>
  <c r="CJ262" i="30"/>
  <c r="CT257" i="30"/>
  <c r="CR253" i="30"/>
  <c r="CM249" i="30"/>
  <c r="CL245" i="30"/>
  <c r="CT240" i="30"/>
  <c r="CS236" i="30"/>
  <c r="CA267" i="30"/>
  <c r="BZ264" i="30"/>
  <c r="BY261" i="30"/>
  <c r="BX258" i="30"/>
  <c r="CF254" i="30"/>
  <c r="CE251" i="30"/>
  <c r="CD248" i="30"/>
  <c r="CB245" i="30"/>
  <c r="CA242" i="30"/>
  <c r="BZ239" i="30"/>
  <c r="BW236" i="30"/>
  <c r="CJ266" i="30"/>
  <c r="CU261" i="30"/>
  <c r="CS257" i="30"/>
  <c r="CQ253" i="30"/>
  <c r="CL249" i="30"/>
  <c r="CU244" i="30"/>
  <c r="CS240" i="30"/>
  <c r="CR236" i="30"/>
  <c r="BZ267" i="30"/>
  <c r="BY264" i="30"/>
  <c r="BX261" i="30"/>
  <c r="CF257" i="30"/>
  <c r="CE254" i="30"/>
  <c r="CD251" i="30"/>
  <c r="CC248" i="30"/>
  <c r="CA245" i="30"/>
  <c r="BZ242" i="30"/>
  <c r="BW239" i="30"/>
  <c r="BV236" i="30"/>
  <c r="CQ267" i="30"/>
  <c r="CO263" i="30"/>
  <c r="CO259" i="30"/>
  <c r="CL255" i="30"/>
  <c r="CK251" i="30"/>
  <c r="CQ246" i="30"/>
  <c r="CR242" i="30"/>
  <c r="CQ238" i="30"/>
  <c r="CM234" i="30"/>
  <c r="CD268" i="30"/>
  <c r="CB265" i="30"/>
  <c r="CA262" i="30"/>
  <c r="BY259" i="30"/>
  <c r="BW256" i="30"/>
  <c r="BV253" i="30"/>
  <c r="CF249" i="30"/>
  <c r="CE246" i="30"/>
  <c r="CB243" i="30"/>
  <c r="CA240" i="30"/>
  <c r="BY237" i="30"/>
  <c r="BX234" i="30"/>
  <c r="CK269" i="30"/>
  <c r="CN264" i="30"/>
  <c r="CU259" i="30"/>
  <c r="CM255" i="30"/>
  <c r="CQ250" i="30"/>
  <c r="CJ246" i="30"/>
  <c r="CO241" i="30"/>
  <c r="CQ236" i="30"/>
  <c r="CB268" i="30"/>
  <c r="BX265" i="30"/>
  <c r="CD261" i="30"/>
  <c r="BZ258" i="30"/>
  <c r="CC254" i="30"/>
  <c r="BX251" i="30"/>
  <c r="CF247" i="30"/>
  <c r="BZ244" i="30"/>
  <c r="CF240" i="30"/>
  <c r="CA237" i="30"/>
  <c r="BV234" i="30"/>
  <c r="CU268" i="30"/>
  <c r="CM264" i="30"/>
  <c r="CR259" i="30"/>
  <c r="CK255" i="30"/>
  <c r="CP250" i="30"/>
  <c r="CU245" i="30"/>
  <c r="CL241" i="30"/>
  <c r="CO236" i="30"/>
  <c r="CA268" i="30"/>
  <c r="BW265" i="30"/>
  <c r="CC261" i="30"/>
  <c r="BY258" i="30"/>
  <c r="CB254" i="30"/>
  <c r="BW251" i="30"/>
  <c r="CD247" i="30"/>
  <c r="BY244" i="30"/>
  <c r="CE240" i="30"/>
  <c r="BZ237" i="30"/>
  <c r="CO266" i="30"/>
  <c r="CR261" i="30"/>
  <c r="CS256" i="30"/>
  <c r="CM252" i="30"/>
  <c r="CT247" i="30"/>
  <c r="CJ243" i="30"/>
  <c r="CR238" i="30"/>
  <c r="CF269" i="30"/>
  <c r="BZ266" i="30"/>
  <c r="CG262" i="30"/>
  <c r="CC259" i="30"/>
  <c r="BV256" i="30"/>
  <c r="CD252" i="30"/>
  <c r="BW249" i="30"/>
  <c r="CD245" i="30"/>
  <c r="BX242" i="30"/>
  <c r="CD238" i="30"/>
  <c r="BX235" i="30"/>
  <c r="CR268" i="30"/>
  <c r="CN263" i="30"/>
  <c r="CQ258" i="30"/>
  <c r="CK253" i="30"/>
  <c r="CL248" i="30"/>
  <c r="CK243" i="30"/>
  <c r="CT237" i="30"/>
  <c r="CC269" i="30"/>
  <c r="CE265" i="30"/>
  <c r="BV262" i="30"/>
  <c r="CE257" i="30"/>
  <c r="BX254" i="30"/>
  <c r="CA250" i="30"/>
  <c r="CB246" i="30"/>
  <c r="CF242" i="30"/>
  <c r="CG238" i="30"/>
  <c r="BW235" i="30"/>
  <c r="BL267" i="30"/>
  <c r="BP264" i="30"/>
  <c r="BH262" i="30"/>
  <c r="BL259" i="30"/>
  <c r="BP256" i="30"/>
  <c r="BH254" i="30"/>
  <c r="BL251" i="30"/>
  <c r="BP248" i="30"/>
  <c r="BH246" i="30"/>
  <c r="BL243" i="30"/>
  <c r="BP240" i="30"/>
  <c r="BH238" i="30"/>
  <c r="BL235" i="30"/>
  <c r="BE268" i="30"/>
  <c r="AW266" i="30"/>
  <c r="BA263" i="30"/>
  <c r="BE260" i="30"/>
  <c r="AW258" i="30"/>
  <c r="BA255" i="30"/>
  <c r="BE252" i="30"/>
  <c r="AW250" i="30"/>
  <c r="BA247" i="30"/>
  <c r="BE244" i="30"/>
  <c r="AW242" i="30"/>
  <c r="BA239" i="30"/>
  <c r="BE236" i="30"/>
  <c r="AW234" i="30"/>
  <c r="CN268" i="30"/>
  <c r="CM263" i="30"/>
  <c r="CP258" i="30"/>
  <c r="CU252" i="30"/>
  <c r="CK248" i="30"/>
  <c r="CU242" i="30"/>
  <c r="CS237" i="30"/>
  <c r="CB269" i="30"/>
  <c r="CD265" i="30"/>
  <c r="CF261" i="30"/>
  <c r="CD257" i="30"/>
  <c r="BW254" i="30"/>
  <c r="BZ250" i="30"/>
  <c r="CA246" i="30"/>
  <c r="CE242" i="30"/>
  <c r="CF238" i="30"/>
  <c r="BV235" i="30"/>
  <c r="BS269" i="30"/>
  <c r="BK267" i="30"/>
  <c r="BO264" i="30"/>
  <c r="BS261" i="30"/>
  <c r="BK259" i="30"/>
  <c r="BO256" i="30"/>
  <c r="BS253" i="30"/>
  <c r="BK251" i="30"/>
  <c r="BO248" i="30"/>
  <c r="BS245" i="30"/>
  <c r="BK243" i="30"/>
  <c r="BO240" i="30"/>
  <c r="BS237" i="30"/>
  <c r="BK235" i="30"/>
  <c r="BD268" i="30"/>
  <c r="AV266" i="30"/>
  <c r="AZ263" i="30"/>
  <c r="BD260" i="30"/>
  <c r="AV258" i="30"/>
  <c r="AZ255" i="30"/>
  <c r="BD252" i="30"/>
  <c r="AV250" i="30"/>
  <c r="AZ247" i="30"/>
  <c r="BD244" i="30"/>
  <c r="AV242" i="30"/>
  <c r="AZ239" i="30"/>
  <c r="BD236" i="30"/>
  <c r="AV234" i="30"/>
  <c r="CP265" i="30"/>
  <c r="CM260" i="30"/>
  <c r="CQ255" i="30"/>
  <c r="CJ250" i="30"/>
  <c r="CS244" i="30"/>
  <c r="CT239" i="30"/>
  <c r="CJ235" i="30"/>
  <c r="BW267" i="30"/>
  <c r="BZ263" i="30"/>
  <c r="CD259" i="30"/>
  <c r="CE255" i="30"/>
  <c r="CG251" i="30"/>
  <c r="BW248" i="30"/>
  <c r="BX244" i="30"/>
  <c r="BZ240" i="30"/>
  <c r="CD236" i="30"/>
  <c r="BL268" i="30"/>
  <c r="BP265" i="30"/>
  <c r="BH263" i="30"/>
  <c r="BL260" i="30"/>
  <c r="BP257" i="30"/>
  <c r="BH255" i="30"/>
  <c r="BL252" i="30"/>
  <c r="BP249" i="30"/>
  <c r="BH247" i="30"/>
  <c r="BL244" i="30"/>
  <c r="BP241" i="30"/>
  <c r="BH239" i="30"/>
  <c r="BL236" i="30"/>
  <c r="BE269" i="30"/>
  <c r="AW267" i="30"/>
  <c r="BA264" i="30"/>
  <c r="BE261" i="30"/>
  <c r="AW259" i="30"/>
  <c r="BA256" i="30"/>
  <c r="BE253" i="30"/>
  <c r="AW251" i="30"/>
  <c r="BA248" i="30"/>
  <c r="BE245" i="30"/>
  <c r="AW243" i="30"/>
  <c r="BA240" i="30"/>
  <c r="BE237" i="30"/>
  <c r="AW235" i="30"/>
  <c r="CN269" i="30"/>
  <c r="CP263" i="30"/>
  <c r="CU257" i="30"/>
  <c r="CL252" i="30"/>
  <c r="CP246" i="30"/>
  <c r="CR240" i="30"/>
  <c r="CN235" i="30"/>
  <c r="CF265" i="30"/>
  <c r="CA261" i="30"/>
  <c r="BX257" i="30"/>
  <c r="BX253" i="30"/>
  <c r="CG248" i="30"/>
  <c r="CE244" i="30"/>
  <c r="CB240" i="30"/>
  <c r="BY236" i="30"/>
  <c r="BQ268" i="30"/>
  <c r="BR265" i="30"/>
  <c r="BR262" i="30"/>
  <c r="BS259" i="30"/>
  <c r="BH257" i="30"/>
  <c r="BI254" i="30"/>
  <c r="BH251" i="30"/>
  <c r="BI248" i="30"/>
  <c r="BJ245" i="30"/>
  <c r="BK242" i="30"/>
  <c r="BL239" i="30"/>
  <c r="BM236" i="30"/>
  <c r="BE267" i="30"/>
  <c r="AT265" i="30"/>
  <c r="AU262" i="30"/>
  <c r="AU259" i="30"/>
  <c r="AV256" i="30"/>
  <c r="AW253" i="30"/>
  <c r="AX250" i="30"/>
  <c r="AW247" i="30"/>
  <c r="AX244" i="30"/>
  <c r="AY241" i="30"/>
  <c r="AZ238" i="30"/>
  <c r="BA235" i="30"/>
  <c r="CM269" i="30"/>
  <c r="CL263" i="30"/>
  <c r="CQ257" i="30"/>
  <c r="CK252" i="30"/>
  <c r="CN246" i="30"/>
  <c r="CQ240" i="30"/>
  <c r="CM235" i="30"/>
  <c r="CG269" i="30"/>
  <c r="CC265" i="30"/>
  <c r="BZ261" i="30"/>
  <c r="BW257" i="30"/>
  <c r="BW253" i="30"/>
  <c r="CF248" i="30"/>
  <c r="CD244" i="30"/>
  <c r="BX240" i="30"/>
  <c r="BX236" i="30"/>
  <c r="BP268" i="30"/>
  <c r="BQ265" i="30"/>
  <c r="BQ262" i="30"/>
  <c r="BR259" i="30"/>
  <c r="BS256" i="30"/>
  <c r="BR253" i="30"/>
  <c r="BS250" i="30"/>
  <c r="BH248" i="30"/>
  <c r="BI245" i="30"/>
  <c r="BJ242" i="30"/>
  <c r="BK239" i="30"/>
  <c r="BK236" i="30"/>
  <c r="BD267" i="30"/>
  <c r="BE264" i="30"/>
  <c r="AT262" i="30"/>
  <c r="AT259" i="30"/>
  <c r="AU256" i="30"/>
  <c r="AV253" i="30"/>
  <c r="AU250" i="30"/>
  <c r="AV247" i="30"/>
  <c r="AW244" i="30"/>
  <c r="AX241" i="30"/>
  <c r="AY238" i="30"/>
  <c r="AZ235" i="30"/>
  <c r="AH269" i="30"/>
  <c r="AL266" i="30"/>
  <c r="AP263" i="30"/>
  <c r="AH261" i="30"/>
  <c r="AL258" i="30"/>
  <c r="AP255" i="30"/>
  <c r="AH253" i="30"/>
  <c r="AL250" i="30"/>
  <c r="CR265" i="30"/>
  <c r="CK260" i="30"/>
  <c r="CN254" i="30"/>
  <c r="CS248" i="30"/>
  <c r="CM243" i="30"/>
  <c r="CP237" i="30"/>
  <c r="BY267" i="30"/>
  <c r="BW263" i="30"/>
  <c r="CG258" i="30"/>
  <c r="CD254" i="30"/>
  <c r="CB250" i="30"/>
  <c r="BX246" i="30"/>
  <c r="CF241" i="30"/>
  <c r="CF237" i="30"/>
  <c r="BQ269" i="30"/>
  <c r="BR266" i="30"/>
  <c r="BS263" i="30"/>
  <c r="BH261" i="30"/>
  <c r="BI258" i="30"/>
  <c r="BJ255" i="30"/>
  <c r="BJ252" i="30"/>
  <c r="BK249" i="30"/>
  <c r="BL246" i="30"/>
  <c r="BM243" i="30"/>
  <c r="BL240" i="30"/>
  <c r="BM237" i="30"/>
  <c r="BN234" i="30"/>
  <c r="AU269" i="30"/>
  <c r="AT266" i="30"/>
  <c r="AU263" i="30"/>
  <c r="AV260" i="30"/>
  <c r="AW257" i="30"/>
  <c r="AX254" i="30"/>
  <c r="AY251" i="30"/>
  <c r="AY248" i="30"/>
  <c r="AZ245" i="30"/>
  <c r="BA242" i="30"/>
  <c r="BB239" i="30"/>
  <c r="BA236" i="30"/>
  <c r="CJ265" i="30"/>
  <c r="CT258" i="30"/>
  <c r="CN252" i="30"/>
  <c r="CK246" i="30"/>
  <c r="CS239" i="30"/>
  <c r="BW269" i="30"/>
  <c r="CB264" i="30"/>
  <c r="BV260" i="30"/>
  <c r="CB255" i="30"/>
  <c r="CE250" i="30"/>
  <c r="BV246" i="30"/>
  <c r="CA241" i="30"/>
  <c r="CF236" i="30"/>
  <c r="BH269" i="30"/>
  <c r="BO265" i="30"/>
  <c r="BM262" i="30"/>
  <c r="BI259" i="30"/>
  <c r="BS255" i="30"/>
  <c r="BQ252" i="30"/>
  <c r="CU264" i="30"/>
  <c r="CS258" i="30"/>
  <c r="CU251" i="30"/>
  <c r="CT245" i="30"/>
  <c r="CQ239" i="30"/>
  <c r="BV269" i="30"/>
  <c r="CA264" i="30"/>
  <c r="CG259" i="30"/>
  <c r="CA255" i="30"/>
  <c r="CD250" i="30"/>
  <c r="CG245" i="30"/>
  <c r="BZ241" i="30"/>
  <c r="CE236" i="30"/>
  <c r="CQ264" i="30"/>
  <c r="CK258" i="30"/>
  <c r="CR251" i="30"/>
  <c r="CP245" i="30"/>
  <c r="CN239" i="30"/>
  <c r="CG268" i="30"/>
  <c r="BX264" i="30"/>
  <c r="CF259" i="30"/>
  <c r="BZ255" i="30"/>
  <c r="BY250" i="30"/>
  <c r="CF245" i="30"/>
  <c r="BY241" i="30"/>
  <c r="CB236" i="30"/>
  <c r="CK268" i="30"/>
  <c r="CP261" i="30"/>
  <c r="CQ254" i="30"/>
  <c r="CU247" i="30"/>
  <c r="CU240" i="30"/>
  <c r="CQ234" i="30"/>
  <c r="BY266" i="30"/>
  <c r="CE260" i="30"/>
  <c r="BX256" i="30"/>
  <c r="CG250" i="30"/>
  <c r="BZ245" i="30"/>
  <c r="BW240" i="30"/>
  <c r="CA235" i="30"/>
  <c r="BK269" i="30"/>
  <c r="BH266" i="30"/>
  <c r="BN262" i="30"/>
  <c r="BH259" i="30"/>
  <c r="BQ255" i="30"/>
  <c r="BN252" i="30"/>
  <c r="BJ249" i="30"/>
  <c r="BR245" i="30"/>
  <c r="BP242" i="30"/>
  <c r="BN239" i="30"/>
  <c r="BI236" i="30"/>
  <c r="BA267" i="30"/>
  <c r="AX264" i="30"/>
  <c r="AV261" i="30"/>
  <c r="BD257" i="30"/>
  <c r="BB254" i="30"/>
  <c r="AZ251" i="30"/>
  <c r="AV248" i="30"/>
  <c r="AT245" i="30"/>
  <c r="BB241" i="30"/>
  <c r="AX238" i="30"/>
  <c r="AU235" i="30"/>
  <c r="AI269" i="30"/>
  <c r="AK266" i="30"/>
  <c r="AN263" i="30"/>
  <c r="AQ260" i="30"/>
  <c r="AH258" i="30"/>
  <c r="AK255" i="30"/>
  <c r="AN252" i="30"/>
  <c r="AQ249" i="30"/>
  <c r="AI247" i="30"/>
  <c r="AM244" i="30"/>
  <c r="AQ241" i="30"/>
  <c r="AI239" i="30"/>
  <c r="AM236" i="30"/>
  <c r="U269" i="30"/>
  <c r="Y266" i="30"/>
  <c r="AC263" i="30"/>
  <c r="U261" i="30"/>
  <c r="Y258" i="30"/>
  <c r="AC255" i="30"/>
  <c r="U253" i="30"/>
  <c r="Y250" i="30"/>
  <c r="AC247" i="30"/>
  <c r="U245" i="30"/>
  <c r="Y242" i="30"/>
  <c r="AC239" i="30"/>
  <c r="U237" i="30"/>
  <c r="Y234" i="30"/>
  <c r="CP267" i="30"/>
  <c r="CN261" i="30"/>
  <c r="CM254" i="30"/>
  <c r="CQ247" i="30"/>
  <c r="CO240" i="30"/>
  <c r="CJ234" i="30"/>
  <c r="BW266" i="30"/>
  <c r="CB260" i="30"/>
  <c r="CF255" i="30"/>
  <c r="BX245" i="30"/>
  <c r="CG239" i="30"/>
  <c r="CF234" i="30"/>
  <c r="BN265" i="30"/>
  <c r="BR258" i="30"/>
  <c r="BK252" i="30"/>
  <c r="BP245" i="30"/>
  <c r="BJ239" i="30"/>
  <c r="AV264" i="30"/>
  <c r="AF269" i="30"/>
  <c r="AO260" i="30"/>
  <c r="AL252" i="30"/>
  <c r="AK244" i="30"/>
  <c r="AG239" i="30"/>
  <c r="S269" i="30"/>
  <c r="AA263" i="30"/>
  <c r="AA255" i="30"/>
  <c r="W250" i="30"/>
  <c r="S245" i="30"/>
  <c r="S237" i="30"/>
  <c r="CR267" i="30"/>
  <c r="CO261" i="30"/>
  <c r="CP254" i="30"/>
  <c r="CS247" i="30"/>
  <c r="CP240" i="30"/>
  <c r="CL234" i="30"/>
  <c r="BX266" i="30"/>
  <c r="CD260" i="30"/>
  <c r="CG255" i="30"/>
  <c r="CF250" i="30"/>
  <c r="BY245" i="30"/>
  <c r="BV240" i="30"/>
  <c r="CG234" i="30"/>
  <c r="BJ269" i="30"/>
  <c r="BS265" i="30"/>
  <c r="BL262" i="30"/>
  <c r="BS258" i="30"/>
  <c r="BP255" i="30"/>
  <c r="BM252" i="30"/>
  <c r="BI249" i="30"/>
  <c r="BQ245" i="30"/>
  <c r="BO242" i="30"/>
  <c r="BM239" i="30"/>
  <c r="BH236" i="30"/>
  <c r="AZ267" i="30"/>
  <c r="AW264" i="30"/>
  <c r="AU261" i="30"/>
  <c r="BC257" i="30"/>
  <c r="BA254" i="30"/>
  <c r="AX251" i="30"/>
  <c r="AU248" i="30"/>
  <c r="BC244" i="30"/>
  <c r="BA241" i="30"/>
  <c r="AW238" i="30"/>
  <c r="AT235" i="30"/>
  <c r="AG269" i="30"/>
  <c r="AJ266" i="30"/>
  <c r="AM263" i="30"/>
  <c r="AP260" i="30"/>
  <c r="AG258" i="30"/>
  <c r="AJ255" i="30"/>
  <c r="AM252" i="30"/>
  <c r="AP249" i="30"/>
  <c r="AH247" i="30"/>
  <c r="AL244" i="30"/>
  <c r="AP241" i="30"/>
  <c r="AH239" i="30"/>
  <c r="AL236" i="30"/>
  <c r="T269" i="30"/>
  <c r="X266" i="30"/>
  <c r="AB263" i="30"/>
  <c r="T261" i="30"/>
  <c r="X258" i="30"/>
  <c r="AB255" i="30"/>
  <c r="T253" i="30"/>
  <c r="X250" i="30"/>
  <c r="AB247" i="30"/>
  <c r="T245" i="30"/>
  <c r="X242" i="30"/>
  <c r="AB239" i="30"/>
  <c r="T237" i="30"/>
  <c r="X234" i="30"/>
  <c r="BX250" i="30"/>
  <c r="BI269" i="30"/>
  <c r="BK262" i="30"/>
  <c r="BO255" i="30"/>
  <c r="BH249" i="30"/>
  <c r="BN242" i="30"/>
  <c r="BS235" i="30"/>
  <c r="AY267" i="30"/>
  <c r="AT261" i="30"/>
  <c r="BB257" i="30"/>
  <c r="AZ254" i="30"/>
  <c r="AV251" i="30"/>
  <c r="AT248" i="30"/>
  <c r="BB244" i="30"/>
  <c r="AZ241" i="30"/>
  <c r="AV238" i="30"/>
  <c r="BE234" i="30"/>
  <c r="AI266" i="30"/>
  <c r="AL263" i="30"/>
  <c r="AF258" i="30"/>
  <c r="AI255" i="30"/>
  <c r="AO249" i="30"/>
  <c r="AG247" i="30"/>
  <c r="AO241" i="30"/>
  <c r="AK236" i="30"/>
  <c r="W266" i="30"/>
  <c r="S261" i="30"/>
  <c r="W258" i="30"/>
  <c r="S253" i="30"/>
  <c r="AA247" i="30"/>
  <c r="W242" i="30"/>
  <c r="AA239" i="30"/>
  <c r="W234" i="30"/>
  <c r="CT263" i="30"/>
  <c r="CR256" i="30"/>
  <c r="CL250" i="30"/>
  <c r="CO243" i="30"/>
  <c r="CN236" i="30"/>
  <c r="BV268" i="30"/>
  <c r="CF262" i="30"/>
  <c r="CB257" i="30"/>
  <c r="CE252" i="30"/>
  <c r="CB247" i="30"/>
  <c r="CC242" i="30"/>
  <c r="CC237" i="30"/>
  <c r="BI267" i="30"/>
  <c r="BQ263" i="30"/>
  <c r="BN260" i="30"/>
  <c r="BJ257" i="30"/>
  <c r="BO253" i="30"/>
  <c r="BL250" i="30"/>
  <c r="BJ247" i="30"/>
  <c r="BS243" i="30"/>
  <c r="BQ240" i="30"/>
  <c r="BL237" i="30"/>
  <c r="BJ234" i="30"/>
  <c r="BC268" i="30"/>
  <c r="BA265" i="30"/>
  <c r="AY262" i="30"/>
  <c r="AV259" i="30"/>
  <c r="BD255" i="30"/>
  <c r="AZ252" i="30"/>
  <c r="AX249" i="30"/>
  <c r="AV246" i="30"/>
  <c r="BE242" i="30"/>
  <c r="BC239" i="30"/>
  <c r="AX236" i="30"/>
  <c r="AL267" i="30"/>
  <c r="AO264" i="30"/>
  <c r="AF262" i="30"/>
  <c r="AI259" i="30"/>
  <c r="AL256" i="30"/>
  <c r="AO253" i="30"/>
  <c r="AF251" i="30"/>
  <c r="AI248" i="30"/>
  <c r="AM245" i="30"/>
  <c r="AQ242" i="30"/>
  <c r="AI240" i="30"/>
  <c r="AM237" i="30"/>
  <c r="AQ234" i="30"/>
  <c r="Y267" i="30"/>
  <c r="AC264" i="30"/>
  <c r="U262" i="30"/>
  <c r="Y259" i="30"/>
  <c r="AC256" i="30"/>
  <c r="U254" i="30"/>
  <c r="Y251" i="30"/>
  <c r="AC248" i="30"/>
  <c r="U246" i="30"/>
  <c r="Y243" i="30"/>
  <c r="AC240" i="30"/>
  <c r="U238" i="30"/>
  <c r="Y235" i="30"/>
  <c r="CQ263" i="30"/>
  <c r="CP256" i="30"/>
  <c r="CU249" i="30"/>
  <c r="CN243" i="30"/>
  <c r="CM236" i="30"/>
  <c r="CG267" i="30"/>
  <c r="CE262" i="30"/>
  <c r="CA257" i="30"/>
  <c r="CB252" i="30"/>
  <c r="CA247" i="30"/>
  <c r="CB242" i="30"/>
  <c r="BX237" i="30"/>
  <c r="BH267" i="30"/>
  <c r="BP263" i="30"/>
  <c r="BM260" i="30"/>
  <c r="BI257" i="30"/>
  <c r="BN253" i="30"/>
  <c r="BK250" i="30"/>
  <c r="BI247" i="30"/>
  <c r="BR243" i="30"/>
  <c r="BN240" i="30"/>
  <c r="BK237" i="30"/>
  <c r="BI234" i="30"/>
  <c r="BB268" i="30"/>
  <c r="AZ265" i="30"/>
  <c r="AX262" i="30"/>
  <c r="BE258" i="30"/>
  <c r="BC255" i="30"/>
  <c r="AY252" i="30"/>
  <c r="AW249" i="30"/>
  <c r="AU246" i="30"/>
  <c r="BD242" i="30"/>
  <c r="AY239" i="30"/>
  <c r="AW236" i="30"/>
  <c r="AK267" i="30"/>
  <c r="AN264" i="30"/>
  <c r="AQ261" i="30"/>
  <c r="AH259" i="30"/>
  <c r="AK256" i="30"/>
  <c r="AN253" i="30"/>
  <c r="AQ250" i="30"/>
  <c r="AH248" i="30"/>
  <c r="AL245" i="30"/>
  <c r="AP242" i="30"/>
  <c r="AH240" i="30"/>
  <c r="AL237" i="30"/>
  <c r="AP234" i="30"/>
  <c r="CS262" i="30"/>
  <c r="CU254" i="30"/>
  <c r="CR246" i="30"/>
  <c r="CS238" i="30"/>
  <c r="BY265" i="30"/>
  <c r="BX259" i="30"/>
  <c r="BZ253" i="30"/>
  <c r="BX247" i="30"/>
  <c r="BX241" i="30"/>
  <c r="CC234" i="30"/>
  <c r="BN267" i="30"/>
  <c r="BM263" i="30"/>
  <c r="BN259" i="30"/>
  <c r="BL255" i="30"/>
  <c r="BN251" i="30"/>
  <c r="BO247" i="30"/>
  <c r="BQ243" i="30"/>
  <c r="BS239" i="30"/>
  <c r="BR235" i="30"/>
  <c r="AV268" i="30"/>
  <c r="AU264" i="30"/>
  <c r="AX260" i="30"/>
  <c r="BB256" i="30"/>
  <c r="BB252" i="30"/>
  <c r="BE248" i="30"/>
  <c r="AV245" i="30"/>
  <c r="AT241" i="30"/>
  <c r="AX237" i="30"/>
  <c r="AP269" i="30"/>
  <c r="AN266" i="30"/>
  <c r="AH263" i="30"/>
  <c r="AF260" i="30"/>
  <c r="AP256" i="30"/>
  <c r="AL253" i="30"/>
  <c r="AI250" i="30"/>
  <c r="AQ246" i="30"/>
  <c r="AP243" i="30"/>
  <c r="AO240" i="30"/>
  <c r="AN237" i="30"/>
  <c r="AK234" i="30"/>
  <c r="V268" i="30"/>
  <c r="V265" i="30"/>
  <c r="V262" i="30"/>
  <c r="U259" i="30"/>
  <c r="U256" i="30"/>
  <c r="R253" i="30"/>
  <c r="R250" i="30"/>
  <c r="R247" i="30"/>
  <c r="R244" i="30"/>
  <c r="R241" i="30"/>
  <c r="AC237" i="30"/>
  <c r="AC234" i="30"/>
  <c r="AN269" i="30"/>
  <c r="AF263" i="30"/>
  <c r="AN256" i="30"/>
  <c r="AG250" i="30"/>
  <c r="AN243" i="30"/>
  <c r="AM240" i="30"/>
  <c r="AI234" i="30"/>
  <c r="T268" i="30"/>
  <c r="S262" i="30"/>
  <c r="S256" i="30"/>
  <c r="AB249" i="30"/>
  <c r="AB243" i="30"/>
  <c r="AA237" i="30"/>
  <c r="CF252" i="30"/>
  <c r="BZ234" i="30"/>
  <c r="BS266" i="30"/>
  <c r="BS254" i="30"/>
  <c r="BP239" i="30"/>
  <c r="CR262" i="30"/>
  <c r="CT254" i="30"/>
  <c r="CM246" i="30"/>
  <c r="CM238" i="30"/>
  <c r="CG264" i="30"/>
  <c r="BV259" i="30"/>
  <c r="BY253" i="30"/>
  <c r="BW247" i="30"/>
  <c r="BW241" i="30"/>
  <c r="CB234" i="30"/>
  <c r="BM267" i="30"/>
  <c r="BL263" i="30"/>
  <c r="BM259" i="30"/>
  <c r="BK255" i="30"/>
  <c r="BM251" i="30"/>
  <c r="BN247" i="30"/>
  <c r="BP243" i="30"/>
  <c r="BR239" i="30"/>
  <c r="BQ235" i="30"/>
  <c r="AU268" i="30"/>
  <c r="AT264" i="30"/>
  <c r="AW260" i="30"/>
  <c r="AZ256" i="30"/>
  <c r="BA252" i="30"/>
  <c r="BD248" i="30"/>
  <c r="AU245" i="30"/>
  <c r="BE240" i="30"/>
  <c r="AW237" i="30"/>
  <c r="AO269" i="30"/>
  <c r="AM266" i="30"/>
  <c r="AG263" i="30"/>
  <c r="AQ259" i="30"/>
  <c r="AO256" i="30"/>
  <c r="AK253" i="30"/>
  <c r="AH250" i="30"/>
  <c r="AP246" i="30"/>
  <c r="AO243" i="30"/>
  <c r="AN240" i="30"/>
  <c r="AK237" i="30"/>
  <c r="AJ234" i="30"/>
  <c r="U268" i="30"/>
  <c r="U265" i="30"/>
  <c r="T262" i="30"/>
  <c r="T259" i="30"/>
  <c r="T256" i="30"/>
  <c r="AC252" i="30"/>
  <c r="AC249" i="30"/>
  <c r="AC246" i="30"/>
  <c r="AC243" i="30"/>
  <c r="AB240" i="30"/>
  <c r="AB237" i="30"/>
  <c r="AB234" i="30"/>
  <c r="CQ262" i="30"/>
  <c r="CL254" i="30"/>
  <c r="CL246" i="30"/>
  <c r="CL238" i="30"/>
  <c r="CF264" i="30"/>
  <c r="CF258" i="30"/>
  <c r="CG252" i="30"/>
  <c r="BV247" i="30"/>
  <c r="CD240" i="30"/>
  <c r="CA234" i="30"/>
  <c r="BJ267" i="30"/>
  <c r="BK263" i="30"/>
  <c r="BJ259" i="30"/>
  <c r="BI255" i="30"/>
  <c r="BJ251" i="30"/>
  <c r="BM247" i="30"/>
  <c r="BO243" i="30"/>
  <c r="BQ239" i="30"/>
  <c r="BP235" i="30"/>
  <c r="AT268" i="30"/>
  <c r="BE263" i="30"/>
  <c r="AU260" i="30"/>
  <c r="AY256" i="30"/>
  <c r="AX252" i="30"/>
  <c r="BC248" i="30"/>
  <c r="BA244" i="30"/>
  <c r="BD240" i="30"/>
  <c r="AV237" i="30"/>
  <c r="AH266" i="30"/>
  <c r="AP259" i="30"/>
  <c r="AJ253" i="30"/>
  <c r="AO246" i="30"/>
  <c r="AJ237" i="30"/>
  <c r="T265" i="30"/>
  <c r="S259" i="30"/>
  <c r="AB252" i="30"/>
  <c r="AB246" i="30"/>
  <c r="AA240" i="30"/>
  <c r="AA234" i="30"/>
  <c r="CL262" i="30"/>
  <c r="CU253" i="30"/>
  <c r="CO245" i="30"/>
  <c r="CR237" i="30"/>
  <c r="CD264" i="30"/>
  <c r="CE258" i="30"/>
  <c r="CG246" i="30"/>
  <c r="CC240" i="30"/>
  <c r="BJ263" i="30"/>
  <c r="BQ258" i="30"/>
  <c r="BI251" i="30"/>
  <c r="BL247" i="30"/>
  <c r="BN243" i="30"/>
  <c r="BO235" i="30"/>
  <c r="CP266" i="30"/>
  <c r="CN257" i="30"/>
  <c r="CQ249" i="30"/>
  <c r="CJ242" i="30"/>
  <c r="CD267" i="30"/>
  <c r="CE261" i="30"/>
  <c r="CC255" i="30"/>
  <c r="BY249" i="30"/>
  <c r="BZ243" i="30"/>
  <c r="CD237" i="30"/>
  <c r="BO268" i="30"/>
  <c r="BR264" i="30"/>
  <c r="BS260" i="30"/>
  <c r="BR256" i="30"/>
  <c r="BH253" i="30"/>
  <c r="BS248" i="30"/>
  <c r="BH245" i="30"/>
  <c r="BL241" i="30"/>
  <c r="BO237" i="30"/>
  <c r="BA269" i="30"/>
  <c r="BC265" i="30"/>
  <c r="BC261" i="30"/>
  <c r="AT258" i="30"/>
  <c r="AU254" i="30"/>
  <c r="AY250" i="30"/>
  <c r="AZ246" i="30"/>
  <c r="BB242" i="30"/>
  <c r="BD238" i="30"/>
  <c r="BC234" i="30"/>
  <c r="AP267" i="30"/>
  <c r="AL264" i="30"/>
  <c r="AJ261" i="30"/>
  <c r="AP257" i="30"/>
  <c r="AN254" i="30"/>
  <c r="AL251" i="30"/>
  <c r="AJ248" i="30"/>
  <c r="AG245" i="30"/>
  <c r="AF242" i="30"/>
  <c r="AN238" i="30"/>
  <c r="AM235" i="30"/>
  <c r="Y269" i="30"/>
  <c r="V266" i="30"/>
  <c r="V263" i="30"/>
  <c r="V260" i="30"/>
  <c r="V257" i="30"/>
  <c r="V254" i="30"/>
  <c r="U251" i="30"/>
  <c r="U248" i="30"/>
  <c r="R245" i="30"/>
  <c r="R242" i="30"/>
  <c r="R239" i="30"/>
  <c r="R236" i="30"/>
  <c r="CU265" i="30"/>
  <c r="CM257" i="30"/>
  <c r="CP249" i="30"/>
  <c r="CS241" i="30"/>
  <c r="CB267" i="30"/>
  <c r="CB261" i="30"/>
  <c r="BV255" i="30"/>
  <c r="BX249" i="30"/>
  <c r="BY243" i="30"/>
  <c r="BW237" i="30"/>
  <c r="BN268" i="30"/>
  <c r="BQ264" i="30"/>
  <c r="BR260" i="30"/>
  <c r="BQ256" i="30"/>
  <c r="BS252" i="30"/>
  <c r="BR248" i="30"/>
  <c r="BS244" i="30"/>
  <c r="BK241" i="30"/>
  <c r="BN237" i="30"/>
  <c r="AZ269" i="30"/>
  <c r="BB265" i="30"/>
  <c r="BB261" i="30"/>
  <c r="BE257" i="30"/>
  <c r="AT254" i="30"/>
  <c r="AT250" i="30"/>
  <c r="AY246" i="30"/>
  <c r="AZ242" i="30"/>
  <c r="BC238" i="30"/>
  <c r="BB234" i="30"/>
  <c r="AO267" i="30"/>
  <c r="AK264" i="30"/>
  <c r="AI261" i="30"/>
  <c r="AO257" i="30"/>
  <c r="AM254" i="30"/>
  <c r="AK251" i="30"/>
  <c r="AG248" i="30"/>
  <c r="AF245" i="30"/>
  <c r="AN241" i="30"/>
  <c r="AM238" i="30"/>
  <c r="AL235" i="30"/>
  <c r="X269" i="30"/>
  <c r="U266" i="30"/>
  <c r="U263" i="30"/>
  <c r="U260" i="30"/>
  <c r="U257" i="30"/>
  <c r="T254" i="30"/>
  <c r="T251" i="30"/>
  <c r="T248" i="30"/>
  <c r="AC244" i="30"/>
  <c r="AC241" i="30"/>
  <c r="AC238" i="30"/>
  <c r="AC235" i="30"/>
  <c r="CT265" i="30"/>
  <c r="CL257" i="30"/>
  <c r="CJ249" i="30"/>
  <c r="CQ241" i="30"/>
  <c r="BX267" i="30"/>
  <c r="BW261" i="30"/>
  <c r="CG254" i="30"/>
  <c r="BV249" i="30"/>
  <c r="BX243" i="30"/>
  <c r="BV237" i="30"/>
  <c r="CM265" i="30"/>
  <c r="CT253" i="30"/>
  <c r="CJ244" i="30"/>
  <c r="CR234" i="30"/>
  <c r="CA265" i="30"/>
  <c r="BZ257" i="30"/>
  <c r="CE249" i="30"/>
  <c r="BY242" i="30"/>
  <c r="BW234" i="30"/>
  <c r="BN266" i="30"/>
  <c r="BO261" i="30"/>
  <c r="BK257" i="30"/>
  <c r="BS251" i="30"/>
  <c r="BS246" i="30"/>
  <c r="BL242" i="30"/>
  <c r="BR237" i="30"/>
  <c r="BD265" i="30"/>
  <c r="AW261" i="30"/>
  <c r="BC256" i="30"/>
  <c r="BE251" i="30"/>
  <c r="AX247" i="30"/>
  <c r="AU243" i="30"/>
  <c r="AU238" i="30"/>
  <c r="AH267" i="30"/>
  <c r="AI263" i="30"/>
  <c r="AK259" i="30"/>
  <c r="AM255" i="30"/>
  <c r="AO251" i="30"/>
  <c r="AP247" i="30"/>
  <c r="AG244" i="30"/>
  <c r="AJ240" i="30"/>
  <c r="AN236" i="30"/>
  <c r="CL265" i="30"/>
  <c r="CS253" i="30"/>
  <c r="CU243" i="30"/>
  <c r="BZ265" i="30"/>
  <c r="BY257" i="30"/>
  <c r="CD249" i="30"/>
  <c r="BV242" i="30"/>
  <c r="BM266" i="30"/>
  <c r="BN261" i="30"/>
  <c r="BN256" i="30"/>
  <c r="BR251" i="30"/>
  <c r="BR246" i="30"/>
  <c r="BI242" i="30"/>
  <c r="BQ237" i="30"/>
  <c r="AY265" i="30"/>
  <c r="BC260" i="30"/>
  <c r="AX256" i="30"/>
  <c r="BD251" i="30"/>
  <c r="AU247" i="30"/>
  <c r="AT243" i="30"/>
  <c r="AT238" i="30"/>
  <c r="AG267" i="30"/>
  <c r="AQ262" i="30"/>
  <c r="AJ259" i="30"/>
  <c r="AL255" i="30"/>
  <c r="AN251" i="30"/>
  <c r="AO247" i="30"/>
  <c r="AF244" i="30"/>
  <c r="AG240" i="30"/>
  <c r="AJ236" i="30"/>
  <c r="CL264" i="30"/>
  <c r="CP253" i="30"/>
  <c r="CT243" i="30"/>
  <c r="CC264" i="30"/>
  <c r="BV257" i="30"/>
  <c r="CC249" i="30"/>
  <c r="CE241" i="30"/>
  <c r="BL266" i="30"/>
  <c r="BM261" i="30"/>
  <c r="BM256" i="30"/>
  <c r="BQ251" i="30"/>
  <c r="BQ246" i="30"/>
  <c r="BH242" i="30"/>
  <c r="BP237" i="30"/>
  <c r="AX265" i="30"/>
  <c r="BB260" i="30"/>
  <c r="AW256" i="30"/>
  <c r="BC251" i="30"/>
  <c r="AT247" i="30"/>
  <c r="BC242" i="30"/>
  <c r="BD237" i="30"/>
  <c r="AF267" i="30"/>
  <c r="AP262" i="30"/>
  <c r="AG259" i="30"/>
  <c r="AH255" i="30"/>
  <c r="AM251" i="30"/>
  <c r="AN247" i="30"/>
  <c r="AQ243" i="30"/>
  <c r="AF240" i="30"/>
  <c r="AI236" i="30"/>
  <c r="CL260" i="30"/>
  <c r="CT248" i="30"/>
  <c r="CN237" i="30"/>
  <c r="BY269" i="30"/>
  <c r="CA260" i="30"/>
  <c r="BW252" i="30"/>
  <c r="CG243" i="30"/>
  <c r="CC235" i="30"/>
  <c r="BK268" i="30"/>
  <c r="BI263" i="30"/>
  <c r="BR257" i="30"/>
  <c r="BO252" i="30"/>
  <c r="BP246" i="30"/>
  <c r="BO241" i="30"/>
  <c r="BP236" i="30"/>
  <c r="AT269" i="30"/>
  <c r="BB263" i="30"/>
  <c r="BC258" i="30"/>
  <c r="BC253" i="30"/>
  <c r="AT249" i="30"/>
  <c r="BC243" i="30"/>
  <c r="AT239" i="30"/>
  <c r="AQ265" i="30"/>
  <c r="AG262" i="30"/>
  <c r="AM257" i="30"/>
  <c r="AM253" i="30"/>
  <c r="AH249" i="30"/>
  <c r="AI245" i="30"/>
  <c r="AG241" i="30"/>
  <c r="AQ236" i="30"/>
  <c r="Y268" i="30"/>
  <c r="AB264" i="30"/>
  <c r="W261" i="30"/>
  <c r="AA257" i="30"/>
  <c r="S254" i="30"/>
  <c r="Z250" i="30"/>
  <c r="AA246" i="30"/>
  <c r="U243" i="30"/>
  <c r="Y239" i="30"/>
  <c r="T236" i="30"/>
  <c r="CJ260" i="30"/>
  <c r="CR248" i="30"/>
  <c r="CL237" i="30"/>
  <c r="BX269" i="30"/>
  <c r="BZ260" i="30"/>
  <c r="BV252" i="30"/>
  <c r="CD243" i="30"/>
  <c r="CB235" i="30"/>
  <c r="BJ268" i="30"/>
  <c r="BS262" i="30"/>
  <c r="BQ257" i="30"/>
  <c r="BI252" i="30"/>
  <c r="BO246" i="30"/>
  <c r="BN241" i="30"/>
  <c r="BO236" i="30"/>
  <c r="BA268" i="30"/>
  <c r="AY263" i="30"/>
  <c r="BB258" i="30"/>
  <c r="BB253" i="30"/>
  <c r="BB248" i="30"/>
  <c r="BB243" i="30"/>
  <c r="BE238" i="30"/>
  <c r="AP265" i="30"/>
  <c r="AP261" i="30"/>
  <c r="AL257" i="30"/>
  <c r="AI253" i="30"/>
  <c r="AG249" i="30"/>
  <c r="AH245" i="30"/>
  <c r="AF241" i="30"/>
  <c r="AP236" i="30"/>
  <c r="X268" i="30"/>
  <c r="AA264" i="30"/>
  <c r="V261" i="30"/>
  <c r="Z257" i="30"/>
  <c r="R254" i="30"/>
  <c r="V250" i="30"/>
  <c r="Z246" i="30"/>
  <c r="T243" i="30"/>
  <c r="X239" i="30"/>
  <c r="S236" i="30"/>
  <c r="CN265" i="30"/>
  <c r="CP252" i="30"/>
  <c r="CL242" i="30"/>
  <c r="CC263" i="30"/>
  <c r="CD255" i="30"/>
  <c r="CF246" i="30"/>
  <c r="CA238" i="30"/>
  <c r="BH265" i="30"/>
  <c r="BQ259" i="30"/>
  <c r="BL254" i="30"/>
  <c r="BL249" i="30"/>
  <c r="BI244" i="30"/>
  <c r="BN238" i="30"/>
  <c r="AU266" i="30"/>
  <c r="AZ260" i="30"/>
  <c r="AX255" i="30"/>
  <c r="BB250" i="30"/>
  <c r="BB245" i="30"/>
  <c r="AY240" i="30"/>
  <c r="BC235" i="30"/>
  <c r="AG268" i="30"/>
  <c r="AQ263" i="30"/>
  <c r="AL259" i="30"/>
  <c r="AQ254" i="30"/>
  <c r="AO250" i="30"/>
  <c r="AK246" i="30"/>
  <c r="AL242" i="30"/>
  <c r="AJ238" i="30"/>
  <c r="AH234" i="30"/>
  <c r="T266" i="30"/>
  <c r="AA262" i="30"/>
  <c r="R259" i="30"/>
  <c r="V255" i="30"/>
  <c r="AC251" i="30"/>
  <c r="W248" i="30"/>
  <c r="Y244" i="30"/>
  <c r="T241" i="30"/>
  <c r="W237" i="30"/>
  <c r="CU263" i="30"/>
  <c r="CO252" i="30"/>
  <c r="CP241" i="30"/>
  <c r="CB263" i="30"/>
  <c r="CA254" i="30"/>
  <c r="BZ246" i="30"/>
  <c r="BZ238" i="30"/>
  <c r="BS264" i="30"/>
  <c r="BP259" i="30"/>
  <c r="BK254" i="30"/>
  <c r="BQ248" i="30"/>
  <c r="BH244" i="30"/>
  <c r="BM238" i="30"/>
  <c r="CM267" i="30"/>
  <c r="CS255" i="30"/>
  <c r="CJ240" i="30"/>
  <c r="BX260" i="30"/>
  <c r="BV251" i="30"/>
  <c r="CE239" i="30"/>
  <c r="BL264" i="30"/>
  <c r="BK258" i="30"/>
  <c r="BH252" i="30"/>
  <c r="BI246" i="30"/>
  <c r="BJ240" i="30"/>
  <c r="BM234" i="30"/>
  <c r="AW269" i="30"/>
  <c r="AW263" i="30"/>
  <c r="AU258" i="30"/>
  <c r="AW252" i="30"/>
  <c r="BC246" i="30"/>
  <c r="AV241" i="30"/>
  <c r="BE235" i="30"/>
  <c r="AM268" i="30"/>
  <c r="AH264" i="30"/>
  <c r="AF259" i="30"/>
  <c r="AK254" i="30"/>
  <c r="AM249" i="30"/>
  <c r="AK245" i="30"/>
  <c r="AP240" i="30"/>
  <c r="AQ235" i="30"/>
  <c r="AB269" i="30"/>
  <c r="AA265" i="30"/>
  <c r="AA261" i="30"/>
  <c r="AB257" i="30"/>
  <c r="AA253" i="30"/>
  <c r="Y249" i="30"/>
  <c r="AB245" i="30"/>
  <c r="AA241" i="30"/>
  <c r="R238" i="30"/>
  <c r="CJ267" i="30"/>
  <c r="CL239" i="30"/>
  <c r="CF268" i="30"/>
  <c r="BZ249" i="30"/>
  <c r="BI264" i="30"/>
  <c r="BR250" i="30"/>
  <c r="BO239" i="30"/>
  <c r="AY268" i="30"/>
  <c r="AY257" i="30"/>
  <c r="AX246" i="30"/>
  <c r="AY235" i="30"/>
  <c r="AO263" i="30"/>
  <c r="AP244" i="30"/>
  <c r="AN235" i="30"/>
  <c r="X261" i="30"/>
  <c r="X253" i="30"/>
  <c r="X241" i="30"/>
  <c r="CR266" i="30"/>
  <c r="CK239" i="30"/>
  <c r="BZ259" i="30"/>
  <c r="BO257" i="30"/>
  <c r="BL245" i="30"/>
  <c r="BB251" i="30"/>
  <c r="AI268" i="30"/>
  <c r="AI249" i="30"/>
  <c r="CL267" i="30"/>
  <c r="CT252" i="30"/>
  <c r="CU239" i="30"/>
  <c r="CE269" i="30"/>
  <c r="BW260" i="30"/>
  <c r="BW250" i="30"/>
  <c r="CD239" i="30"/>
  <c r="BK264" i="30"/>
  <c r="BJ258" i="30"/>
  <c r="BP251" i="30"/>
  <c r="BO245" i="30"/>
  <c r="BI240" i="30"/>
  <c r="BL234" i="30"/>
  <c r="AV269" i="30"/>
  <c r="AV263" i="30"/>
  <c r="BA257" i="30"/>
  <c r="AV252" i="30"/>
  <c r="BB246" i="30"/>
  <c r="AU241" i="30"/>
  <c r="BD235" i="30"/>
  <c r="AL268" i="30"/>
  <c r="AG264" i="30"/>
  <c r="AQ258" i="30"/>
  <c r="AJ254" i="30"/>
  <c r="AL249" i="30"/>
  <c r="AJ245" i="30"/>
  <c r="AL240" i="30"/>
  <c r="AP235" i="30"/>
  <c r="AA269" i="30"/>
  <c r="Z265" i="30"/>
  <c r="Z261" i="30"/>
  <c r="Y257" i="30"/>
  <c r="Z253" i="30"/>
  <c r="X249" i="30"/>
  <c r="AA245" i="30"/>
  <c r="Z241" i="30"/>
  <c r="Z237" i="30"/>
  <c r="AH254" i="30"/>
  <c r="W269" i="30"/>
  <c r="V249" i="30"/>
  <c r="CE248" i="30"/>
  <c r="BP269" i="30"/>
  <c r="BQ250" i="30"/>
  <c r="BD262" i="30"/>
  <c r="AW246" i="30"/>
  <c r="AX235" i="30"/>
  <c r="AN258" i="30"/>
  <c r="AP239" i="30"/>
  <c r="CK267" i="30"/>
  <c r="CS252" i="30"/>
  <c r="CM239" i="30"/>
  <c r="CD269" i="30"/>
  <c r="CE259" i="30"/>
  <c r="BV250" i="30"/>
  <c r="CC239" i="30"/>
  <c r="BJ264" i="30"/>
  <c r="BH258" i="30"/>
  <c r="BO251" i="30"/>
  <c r="BN245" i="30"/>
  <c r="BH240" i="30"/>
  <c r="BK234" i="30"/>
  <c r="AZ268" i="30"/>
  <c r="AT263" i="30"/>
  <c r="AZ257" i="30"/>
  <c r="AU252" i="30"/>
  <c r="BA246" i="30"/>
  <c r="BC240" i="30"/>
  <c r="BB235" i="30"/>
  <c r="AK268" i="30"/>
  <c r="AF264" i="30"/>
  <c r="AP258" i="30"/>
  <c r="AI254" i="30"/>
  <c r="AK249" i="30"/>
  <c r="AQ244" i="30"/>
  <c r="AK240" i="30"/>
  <c r="AO235" i="30"/>
  <c r="Z269" i="30"/>
  <c r="Y265" i="30"/>
  <c r="Y261" i="30"/>
  <c r="X257" i="30"/>
  <c r="Y253" i="30"/>
  <c r="W249" i="30"/>
  <c r="Z245" i="30"/>
  <c r="Y241" i="30"/>
  <c r="Y237" i="30"/>
  <c r="CP251" i="30"/>
  <c r="CA259" i="30"/>
  <c r="CB239" i="30"/>
  <c r="BR269" i="30"/>
  <c r="BS257" i="30"/>
  <c r="BM245" i="30"/>
  <c r="BH234" i="30"/>
  <c r="BE262" i="30"/>
  <c r="AT252" i="30"/>
  <c r="BB240" i="30"/>
  <c r="AJ268" i="30"/>
  <c r="AO258" i="30"/>
  <c r="AJ249" i="30"/>
  <c r="AQ239" i="30"/>
  <c r="X265" i="30"/>
  <c r="W257" i="30"/>
  <c r="Y245" i="30"/>
  <c r="X237" i="30"/>
  <c r="CO251" i="30"/>
  <c r="CE268" i="30"/>
  <c r="CA239" i="30"/>
  <c r="BH264" i="30"/>
  <c r="BI239" i="30"/>
  <c r="AX268" i="30"/>
  <c r="AX257" i="30"/>
  <c r="AZ240" i="30"/>
  <c r="AK263" i="30"/>
  <c r="AG254" i="30"/>
  <c r="AO244" i="30"/>
  <c r="AK235" i="30"/>
  <c r="CL259" i="30"/>
  <c r="CT244" i="30"/>
  <c r="CF263" i="30"/>
  <c r="CF253" i="30"/>
  <c r="CA244" i="30"/>
  <c r="BY234" i="30"/>
  <c r="BP266" i="30"/>
  <c r="BP260" i="30"/>
  <c r="BN254" i="30"/>
  <c r="BL248" i="30"/>
  <c r="BM242" i="30"/>
  <c r="BN236" i="30"/>
  <c r="BE265" i="30"/>
  <c r="BD259" i="30"/>
  <c r="BC254" i="30"/>
  <c r="AV249" i="30"/>
  <c r="AZ243" i="30"/>
  <c r="BA237" i="30"/>
  <c r="AL265" i="30"/>
  <c r="AF261" i="30"/>
  <c r="AI256" i="30"/>
  <c r="AP251" i="30"/>
  <c r="AN246" i="30"/>
  <c r="AK242" i="30"/>
  <c r="AF238" i="30"/>
  <c r="U267" i="30"/>
  <c r="T263" i="30"/>
  <c r="W259" i="30"/>
  <c r="T255" i="30"/>
  <c r="W251" i="30"/>
  <c r="V247" i="30"/>
  <c r="V243" i="30"/>
  <c r="U239" i="30"/>
  <c r="V235" i="30"/>
  <c r="CK259" i="30"/>
  <c r="CR244" i="30"/>
  <c r="CA263" i="30"/>
  <c r="CE253" i="30"/>
  <c r="BW244" i="30"/>
  <c r="BO266" i="30"/>
  <c r="BO260" i="30"/>
  <c r="BM254" i="30"/>
  <c r="BK248" i="30"/>
  <c r="BS241" i="30"/>
  <c r="BJ236" i="30"/>
  <c r="AW265" i="30"/>
  <c r="BC259" i="30"/>
  <c r="AY254" i="30"/>
  <c r="AU249" i="30"/>
  <c r="AY243" i="30"/>
  <c r="AZ237" i="30"/>
  <c r="AK265" i="30"/>
  <c r="AN260" i="30"/>
  <c r="AH256" i="30"/>
  <c r="AJ251" i="30"/>
  <c r="AM246" i="30"/>
  <c r="AJ242" i="30"/>
  <c r="AQ237" i="30"/>
  <c r="T267" i="30"/>
  <c r="S263" i="30"/>
  <c r="V259" i="30"/>
  <c r="S255" i="30"/>
  <c r="V251" i="30"/>
  <c r="U247" i="30"/>
  <c r="S243" i="30"/>
  <c r="T239" i="30"/>
  <c r="U235" i="30"/>
  <c r="CJ259" i="30"/>
  <c r="CQ244" i="30"/>
  <c r="BX263" i="30"/>
  <c r="CD253" i="30"/>
  <c r="BV244" i="30"/>
  <c r="W12" i="30"/>
  <c r="V17" i="30"/>
  <c r="S22" i="30"/>
  <c r="W26" i="30"/>
  <c r="T31" i="30"/>
  <c r="T36" i="30"/>
  <c r="U41" i="30"/>
  <c r="S48" i="30"/>
  <c r="U58" i="30"/>
  <c r="X62" i="30"/>
  <c r="Z67" i="30"/>
  <c r="Y72" i="30"/>
  <c r="Y77" i="30"/>
  <c r="X84" i="30"/>
  <c r="Y89" i="30"/>
  <c r="S94" i="30"/>
  <c r="AB98" i="30"/>
  <c r="R104" i="30"/>
  <c r="AC161" i="30"/>
  <c r="AB204" i="30"/>
  <c r="AB214" i="30"/>
  <c r="R225" i="30"/>
  <c r="X236" i="30"/>
  <c r="V246" i="30"/>
  <c r="V256" i="30"/>
  <c r="R266" i="30"/>
  <c r="AL8" i="30"/>
  <c r="AK18" i="30"/>
  <c r="AN28" i="30"/>
  <c r="AM88" i="30"/>
  <c r="AJ104" i="30"/>
  <c r="AP198" i="30"/>
  <c r="AM209" i="30"/>
  <c r="AL221" i="30"/>
  <c r="AF235" i="30"/>
  <c r="AL246" i="30"/>
  <c r="AF265" i="30"/>
  <c r="AU17" i="30"/>
  <c r="AU86" i="30"/>
  <c r="AW206" i="30"/>
  <c r="BM7" i="30"/>
  <c r="BL22" i="30"/>
  <c r="BJ84" i="30"/>
  <c r="BP98" i="30"/>
  <c r="BL113" i="30"/>
  <c r="BL206" i="30"/>
  <c r="BS221" i="30"/>
  <c r="BR238" i="30"/>
  <c r="BQ254" i="30"/>
  <c r="CA9" i="30"/>
  <c r="BW31" i="30"/>
  <c r="CG91" i="30"/>
  <c r="CF114" i="30"/>
  <c r="CB217" i="30"/>
  <c r="BW246" i="30"/>
  <c r="CM19" i="30"/>
  <c r="CQ106" i="30"/>
  <c r="CJ202" i="30"/>
  <c r="CL236" i="30"/>
  <c r="CJ256" i="30"/>
  <c r="W17" i="30"/>
  <c r="X36" i="30"/>
  <c r="V58" i="30"/>
  <c r="Z89" i="30"/>
  <c r="U210" i="30"/>
  <c r="BC24" i="30"/>
  <c r="AU39" i="30"/>
  <c r="BC92" i="30"/>
  <c r="AV107" i="30"/>
  <c r="AT199" i="30"/>
  <c r="AT213" i="30"/>
  <c r="AW227" i="30"/>
  <c r="BE243" i="30"/>
  <c r="AY258" i="30"/>
  <c r="BN7" i="30"/>
  <c r="BO22" i="30"/>
  <c r="BP84" i="30"/>
  <c r="BR98" i="30"/>
  <c r="BS113" i="30"/>
  <c r="BM206" i="30"/>
  <c r="BH223" i="30"/>
  <c r="BS238" i="30"/>
  <c r="BR254" i="30"/>
  <c r="CC9" i="30"/>
  <c r="BY31" i="30"/>
  <c r="CF103" i="30"/>
  <c r="CE205" i="30"/>
  <c r="BX231" i="30"/>
  <c r="CD258" i="30"/>
  <c r="CP19" i="30"/>
  <c r="CO90" i="30"/>
  <c r="CS202" i="30"/>
  <c r="CK237" i="30"/>
  <c r="AB12" i="30"/>
  <c r="U22" i="30"/>
  <c r="AB31" i="30"/>
  <c r="Y41" i="30"/>
  <c r="R53" i="30"/>
  <c r="W63" i="30"/>
  <c r="AB77" i="30"/>
  <c r="AA89" i="30"/>
  <c r="X99" i="30"/>
  <c r="V109" i="30"/>
  <c r="AC181" i="30"/>
  <c r="Y205" i="30"/>
  <c r="T220" i="30"/>
  <c r="S230" i="30"/>
  <c r="AB241" i="30"/>
  <c r="AA251" i="30"/>
  <c r="AC260" i="30"/>
  <c r="AN13" i="30"/>
  <c r="AO23" i="30"/>
  <c r="AP33" i="30"/>
  <c r="AL83" i="30"/>
  <c r="AP93" i="30"/>
  <c r="AK110" i="30"/>
  <c r="AF199" i="30"/>
  <c r="AI216" i="30"/>
  <c r="AH235" i="30"/>
  <c r="AP252" i="30"/>
  <c r="AH265" i="30"/>
  <c r="BD24" i="30"/>
  <c r="AV265" i="30"/>
  <c r="T8" i="30"/>
  <c r="AC12" i="30"/>
  <c r="Y17" i="30"/>
  <c r="W22" i="30"/>
  <c r="AB26" i="30"/>
  <c r="S32" i="30"/>
  <c r="Z36" i="30"/>
  <c r="Z41" i="30"/>
  <c r="W48" i="30"/>
  <c r="S53" i="30"/>
  <c r="X58" i="30"/>
  <c r="X63" i="30"/>
  <c r="AC67" i="30"/>
  <c r="AB72" i="30"/>
  <c r="T78" i="30"/>
  <c r="AA84" i="30"/>
  <c r="AB89" i="30"/>
  <c r="V94" i="30"/>
  <c r="AA99" i="30"/>
  <c r="X104" i="30"/>
  <c r="W109" i="30"/>
  <c r="U114" i="30"/>
  <c r="T182" i="30"/>
  <c r="AB200" i="30"/>
  <c r="Z205" i="30"/>
  <c r="W210" i="30"/>
  <c r="T215" i="30"/>
  <c r="V220" i="30"/>
  <c r="U225" i="30"/>
  <c r="T230" i="30"/>
  <c r="AA236" i="30"/>
  <c r="S242" i="30"/>
  <c r="Y246" i="30"/>
  <c r="AB251" i="30"/>
  <c r="Y256" i="30"/>
  <c r="R261" i="30"/>
  <c r="AA266" i="30"/>
  <c r="AO8" i="30"/>
  <c r="AO13" i="30"/>
  <c r="AN18" i="30"/>
  <c r="AP23" i="30"/>
  <c r="AF29" i="30"/>
  <c r="AQ33" i="30"/>
  <c r="AH39" i="30"/>
  <c r="AN83" i="30"/>
  <c r="AP88" i="30"/>
  <c r="AQ93" i="30"/>
  <c r="AN99" i="30"/>
  <c r="AF105" i="30"/>
  <c r="AM110" i="30"/>
  <c r="AN115" i="30"/>
  <c r="AG199" i="30"/>
  <c r="AM204" i="30"/>
  <c r="AF210" i="30"/>
  <c r="AJ216" i="30"/>
  <c r="AO221" i="30"/>
  <c r="AQ227" i="30"/>
  <c r="AI235" i="30"/>
  <c r="AL241" i="30"/>
  <c r="AK247" i="30"/>
  <c r="AQ252" i="30"/>
  <c r="AN259" i="30"/>
  <c r="AI265" i="30"/>
  <c r="AT11" i="30"/>
  <c r="BA17" i="30"/>
  <c r="AT25" i="30"/>
  <c r="AZ31" i="30"/>
  <c r="AY39" i="30"/>
  <c r="BB86" i="30"/>
  <c r="BE92" i="30"/>
  <c r="BE100" i="30"/>
  <c r="AX107" i="30"/>
  <c r="BE114" i="30"/>
  <c r="AV199" i="30"/>
  <c r="BC206" i="30"/>
  <c r="AX214" i="30"/>
  <c r="BB220" i="30"/>
  <c r="AZ228" i="30"/>
  <c r="AT237" i="30"/>
  <c r="AU244" i="30"/>
  <c r="BE250" i="30"/>
  <c r="BA258" i="30"/>
  <c r="AX266" i="30"/>
  <c r="BR7" i="30"/>
  <c r="BJ15" i="30"/>
  <c r="BS22" i="30"/>
  <c r="BL30" i="30"/>
  <c r="BK37" i="30"/>
  <c r="BI85" i="30"/>
  <c r="BQ92" i="30"/>
  <c r="BJ99" i="30"/>
  <c r="BI107" i="30"/>
  <c r="BL114" i="30"/>
  <c r="BK200" i="30"/>
  <c r="BQ206" i="30"/>
  <c r="BL215" i="30"/>
  <c r="BJ223" i="30"/>
  <c r="BJ230" i="30"/>
  <c r="BM240" i="30"/>
  <c r="BS247" i="30"/>
  <c r="BN255" i="30"/>
  <c r="BN263" i="30"/>
  <c r="BY11" i="30"/>
  <c r="BW21" i="30"/>
  <c r="CC32" i="30"/>
  <c r="CF92" i="30"/>
  <c r="CA105" i="30"/>
  <c r="CD117" i="30"/>
  <c r="BW206" i="30"/>
  <c r="CE219" i="30"/>
  <c r="CD234" i="30"/>
  <c r="CC247" i="30"/>
  <c r="BV261" i="30"/>
  <c r="CN20" i="30"/>
  <c r="CJ92" i="30"/>
  <c r="CP203" i="30"/>
  <c r="CQ237" i="30"/>
  <c r="CM256" i="30"/>
  <c r="CR41" i="30"/>
  <c r="CO38" i="30"/>
  <c r="CL35" i="30"/>
  <c r="CP31" i="30"/>
  <c r="CK28" i="30"/>
  <c r="CT24" i="30"/>
  <c r="CQ21" i="30"/>
  <c r="CS17" i="30"/>
  <c r="CP14" i="30"/>
  <c r="CM11" i="30"/>
  <c r="CT7" i="30"/>
  <c r="CN41" i="30"/>
  <c r="CJ38" i="30"/>
  <c r="CM34" i="30"/>
  <c r="CL40" i="30"/>
  <c r="CL36" i="30"/>
  <c r="CS32" i="30"/>
  <c r="CM29" i="30"/>
  <c r="CP25" i="30"/>
  <c r="CL22" i="30"/>
  <c r="CT18" i="30"/>
  <c r="CU14" i="30"/>
  <c r="CQ11" i="30"/>
  <c r="CM8" i="30"/>
  <c r="CP41" i="30"/>
  <c r="CK38" i="30"/>
  <c r="CL34" i="30"/>
  <c r="CR30" i="30"/>
  <c r="CN27" i="30"/>
  <c r="CQ23" i="30"/>
  <c r="CK20" i="30"/>
  <c r="CS16" i="30"/>
  <c r="CM13" i="30"/>
  <c r="CP9" i="30"/>
  <c r="CM6" i="30"/>
  <c r="CN40" i="30"/>
  <c r="CK36" i="30"/>
  <c r="CP32" i="30"/>
  <c r="CO28" i="30"/>
  <c r="CU24" i="30"/>
  <c r="CU20" i="30"/>
  <c r="CM17" i="30"/>
  <c r="CS13" i="30"/>
  <c r="CR9" i="30"/>
  <c r="CL6" i="30"/>
  <c r="CM40" i="30"/>
  <c r="CJ36" i="30"/>
  <c r="CO32" i="30"/>
  <c r="CN28" i="30"/>
  <c r="CS24" i="30"/>
  <c r="CT20" i="30"/>
  <c r="CL17" i="30"/>
  <c r="CR13" i="30"/>
  <c r="CQ9" i="30"/>
  <c r="CK6" i="30"/>
  <c r="CO41" i="30"/>
  <c r="CS37" i="30"/>
  <c r="CQ33" i="30"/>
  <c r="CK30" i="30"/>
  <c r="CL26" i="30"/>
  <c r="CP22" i="30"/>
  <c r="CJ19" i="30"/>
  <c r="CT14" i="30"/>
  <c r="CN11" i="30"/>
  <c r="CO7" i="30"/>
  <c r="CP40" i="30"/>
  <c r="CT35" i="30"/>
  <c r="CQ31" i="30"/>
  <c r="CQ27" i="30"/>
  <c r="CL23" i="30"/>
  <c r="CO19" i="30"/>
  <c r="CK15" i="30"/>
  <c r="CK11" i="30"/>
  <c r="CT6" i="30"/>
  <c r="CC41" i="30"/>
  <c r="CG38" i="30"/>
  <c r="BY36" i="30"/>
  <c r="CC33" i="30"/>
  <c r="CG30" i="30"/>
  <c r="CO40" i="30"/>
  <c r="CS35" i="30"/>
  <c r="CO31" i="30"/>
  <c r="CP27" i="30"/>
  <c r="CK23" i="30"/>
  <c r="CN19" i="30"/>
  <c r="CJ15" i="30"/>
  <c r="CJ11" i="30"/>
  <c r="CS6" i="30"/>
  <c r="CT41" i="30"/>
  <c r="CR37" i="30"/>
  <c r="CM33" i="30"/>
  <c r="CP29" i="30"/>
  <c r="CK25" i="30"/>
  <c r="CP20" i="30"/>
  <c r="CR16" i="30"/>
  <c r="CN12" i="30"/>
  <c r="CQ8" i="30"/>
  <c r="CS38" i="30"/>
  <c r="CT33" i="30"/>
  <c r="CS29" i="30"/>
  <c r="CJ25" i="30"/>
  <c r="CL20" i="30"/>
  <c r="CU15" i="30"/>
  <c r="CO11" i="30"/>
  <c r="CQ6" i="30"/>
  <c r="BV40" i="30"/>
  <c r="BY37" i="30"/>
  <c r="CB34" i="30"/>
  <c r="CE31" i="30"/>
  <c r="BV29" i="30"/>
  <c r="BZ26" i="30"/>
  <c r="CD23" i="30"/>
  <c r="BV21" i="30"/>
  <c r="BZ18" i="30"/>
  <c r="CD15" i="30"/>
  <c r="BV13" i="30"/>
  <c r="CR38" i="30"/>
  <c r="CS33" i="30"/>
  <c r="CR29" i="30"/>
  <c r="CR24" i="30"/>
  <c r="CJ20" i="30"/>
  <c r="CQ15" i="30"/>
  <c r="CL11" i="30"/>
  <c r="CP6" i="30"/>
  <c r="CG39" i="30"/>
  <c r="BX37" i="30"/>
  <c r="CA34" i="30"/>
  <c r="CD31" i="30"/>
  <c r="CG28" i="30"/>
  <c r="BY26" i="30"/>
  <c r="CC23" i="30"/>
  <c r="CG20" i="30"/>
  <c r="BY18" i="30"/>
  <c r="CC15" i="30"/>
  <c r="CG12" i="30"/>
  <c r="BY10" i="30"/>
  <c r="CC7" i="30"/>
  <c r="CS40" i="30"/>
  <c r="CR35" i="30"/>
  <c r="CU30" i="30"/>
  <c r="CT26" i="30"/>
  <c r="CK22" i="30"/>
  <c r="CO17" i="30"/>
  <c r="CS12" i="30"/>
  <c r="CP8" i="30"/>
  <c r="BV41" i="30"/>
  <c r="BY38" i="30"/>
  <c r="CB35" i="30"/>
  <c r="CE32" i="30"/>
  <c r="BV30" i="30"/>
  <c r="BZ27" i="30"/>
  <c r="CU39" i="30"/>
  <c r="CK35" i="30"/>
  <c r="CJ30" i="30"/>
  <c r="CQ24" i="30"/>
  <c r="CR19" i="30"/>
  <c r="CO14" i="30"/>
  <c r="CN9" i="30"/>
  <c r="BX39" i="30"/>
  <c r="BW36" i="30"/>
  <c r="BW33" i="30"/>
  <c r="BW30" i="30"/>
  <c r="BW27" i="30"/>
  <c r="BY24" i="30"/>
  <c r="CA21" i="30"/>
  <c r="CC18" i="30"/>
  <c r="CE15" i="30"/>
  <c r="CE12" i="30"/>
  <c r="BV10" i="30"/>
  <c r="BY7" i="30"/>
  <c r="CQ39" i="30"/>
  <c r="CJ35" i="30"/>
  <c r="CU29" i="30"/>
  <c r="CP24" i="30"/>
  <c r="CQ19" i="30"/>
  <c r="CN14" i="30"/>
  <c r="CM9" i="30"/>
  <c r="BW39" i="30"/>
  <c r="BV36" i="30"/>
  <c r="BV33" i="30"/>
  <c r="CG29" i="30"/>
  <c r="BV27" i="30"/>
  <c r="BX24" i="30"/>
  <c r="BZ21" i="30"/>
  <c r="CB18" i="30"/>
  <c r="CB15" i="30"/>
  <c r="CD12" i="30"/>
  <c r="CG9" i="30"/>
  <c r="BX7" i="30"/>
  <c r="CT36" i="30"/>
  <c r="CU31" i="30"/>
  <c r="CU26" i="30"/>
  <c r="CT21" i="30"/>
  <c r="CQ16" i="30"/>
  <c r="CS11" i="30"/>
  <c r="CO6" i="30"/>
  <c r="BZ40" i="30"/>
  <c r="BZ37" i="30"/>
  <c r="BX34" i="30"/>
  <c r="BX31" i="30"/>
  <c r="BX28" i="30"/>
  <c r="BY25" i="30"/>
  <c r="CA22" i="30"/>
  <c r="CC19" i="30"/>
  <c r="CE16" i="30"/>
  <c r="CG13" i="30"/>
  <c r="BW11" i="30"/>
  <c r="BZ8" i="30"/>
  <c r="CU38" i="30"/>
  <c r="CL33" i="30"/>
  <c r="CS27" i="30"/>
  <c r="CN22" i="30"/>
  <c r="CT16" i="30"/>
  <c r="CU10" i="30"/>
  <c r="BZ39" i="30"/>
  <c r="CF35" i="30"/>
  <c r="CB32" i="30"/>
  <c r="BY29" i="30"/>
  <c r="CG25" i="30"/>
  <c r="CF22" i="30"/>
  <c r="CE19" i="30"/>
  <c r="CC16" i="30"/>
  <c r="CB13" i="30"/>
  <c r="CA10" i="30"/>
  <c r="BZ7" i="30"/>
  <c r="BS40" i="30"/>
  <c r="BK38" i="30"/>
  <c r="BO35" i="30"/>
  <c r="BS32" i="30"/>
  <c r="BK30" i="30"/>
  <c r="BO27" i="30"/>
  <c r="BS24" i="30"/>
  <c r="BK22" i="30"/>
  <c r="BO19" i="30"/>
  <c r="BS16" i="30"/>
  <c r="BK14" i="30"/>
  <c r="BO11" i="30"/>
  <c r="BS8" i="30"/>
  <c r="BK6" i="30"/>
  <c r="BE39" i="30"/>
  <c r="AW37" i="30"/>
  <c r="BA34" i="30"/>
  <c r="BE31" i="30"/>
  <c r="AW29" i="30"/>
  <c r="BA26" i="30"/>
  <c r="BE23" i="30"/>
  <c r="AW21" i="30"/>
  <c r="BA18" i="30"/>
  <c r="BE15" i="30"/>
  <c r="AW13" i="30"/>
  <c r="BA10" i="30"/>
  <c r="BE7" i="30"/>
  <c r="CT38" i="30"/>
  <c r="CK33" i="30"/>
  <c r="CR27" i="30"/>
  <c r="CM22" i="30"/>
  <c r="CP16" i="30"/>
  <c r="CT10" i="30"/>
  <c r="BY39" i="30"/>
  <c r="CE35" i="30"/>
  <c r="CA32" i="30"/>
  <c r="BX29" i="30"/>
  <c r="CF25" i="30"/>
  <c r="CE22" i="30"/>
  <c r="CD19" i="30"/>
  <c r="CB16" i="30"/>
  <c r="CA13" i="30"/>
  <c r="BZ10" i="30"/>
  <c r="BW7" i="30"/>
  <c r="BR40" i="30"/>
  <c r="BJ38" i="30"/>
  <c r="BN35" i="30"/>
  <c r="BR32" i="30"/>
  <c r="BJ30" i="30"/>
  <c r="BN27" i="30"/>
  <c r="BR24" i="30"/>
  <c r="BJ22" i="30"/>
  <c r="BN19" i="30"/>
  <c r="BR16" i="30"/>
  <c r="BJ14" i="30"/>
  <c r="BN11" i="30"/>
  <c r="BR8" i="30"/>
  <c r="BJ6" i="30"/>
  <c r="BD39" i="30"/>
  <c r="AV37" i="30"/>
  <c r="AZ34" i="30"/>
  <c r="BD31" i="30"/>
  <c r="AV29" i="30"/>
  <c r="AZ26" i="30"/>
  <c r="BD23" i="30"/>
  <c r="AV21" i="30"/>
  <c r="AZ18" i="30"/>
  <c r="BD15" i="30"/>
  <c r="AV13" i="30"/>
  <c r="AZ10" i="30"/>
  <c r="BD7" i="30"/>
  <c r="CL41" i="30"/>
  <c r="CP35" i="30"/>
  <c r="CL30" i="30"/>
  <c r="CM24" i="30"/>
  <c r="CQ18" i="30"/>
  <c r="CU12" i="30"/>
  <c r="CQ7" i="30"/>
  <c r="CC40" i="30"/>
  <c r="BW37" i="30"/>
  <c r="CF33" i="30"/>
  <c r="CB30" i="30"/>
  <c r="BY27" i="30"/>
  <c r="BV24" i="30"/>
  <c r="CE20" i="30"/>
  <c r="CD17" i="30"/>
  <c r="CC14" i="30"/>
  <c r="CB11" i="30"/>
  <c r="CB8" i="30"/>
  <c r="BS41" i="30"/>
  <c r="BK39" i="30"/>
  <c r="BO36" i="30"/>
  <c r="BS33" i="30"/>
  <c r="BK31" i="30"/>
  <c r="BO28" i="30"/>
  <c r="BS25" i="30"/>
  <c r="BK23" i="30"/>
  <c r="BO20" i="30"/>
  <c r="BS17" i="30"/>
  <c r="BK15" i="30"/>
  <c r="BO12" i="30"/>
  <c r="BS9" i="30"/>
  <c r="BK7" i="30"/>
  <c r="BE40" i="30"/>
  <c r="AW38" i="30"/>
  <c r="BA35" i="30"/>
  <c r="BE32" i="30"/>
  <c r="AW30" i="30"/>
  <c r="BA27" i="30"/>
  <c r="BE24" i="30"/>
  <c r="AW22" i="30"/>
  <c r="BA19" i="30"/>
  <c r="BE16" i="30"/>
  <c r="AW14" i="30"/>
  <c r="BA11" i="30"/>
  <c r="BE8" i="30"/>
  <c r="AW6" i="30"/>
  <c r="CJ41" i="30"/>
  <c r="CT34" i="30"/>
  <c r="CL28" i="30"/>
  <c r="CO22" i="30"/>
  <c r="CM16" i="30"/>
  <c r="CS9" i="30"/>
  <c r="BY40" i="30"/>
  <c r="CC36" i="30"/>
  <c r="CF32" i="30"/>
  <c r="BW29" i="30"/>
  <c r="CB25" i="30"/>
  <c r="BW22" i="30"/>
  <c r="CE18" i="30"/>
  <c r="BW15" i="30"/>
  <c r="CE11" i="30"/>
  <c r="CA8" i="30"/>
  <c r="BI40" i="30"/>
  <c r="BJ37" i="30"/>
  <c r="BK34" i="30"/>
  <c r="BL31" i="30"/>
  <c r="BL28" i="30"/>
  <c r="BM25" i="30"/>
  <c r="BN22" i="30"/>
  <c r="BM19" i="30"/>
  <c r="BN16" i="30"/>
  <c r="BO13" i="30"/>
  <c r="BP10" i="30"/>
  <c r="BQ7" i="30"/>
  <c r="AX39" i="30"/>
  <c r="AY36" i="30"/>
  <c r="AZ33" i="30"/>
  <c r="BA30" i="30"/>
  <c r="BB27" i="30"/>
  <c r="BB24" i="30"/>
  <c r="BC21" i="30"/>
  <c r="BD18" i="30"/>
  <c r="BC15" i="30"/>
  <c r="BD12" i="30"/>
  <c r="BE9" i="30"/>
  <c r="AT7" i="30"/>
  <c r="CU40" i="30"/>
  <c r="CQ34" i="30"/>
  <c r="CJ28" i="30"/>
  <c r="CJ22" i="30"/>
  <c r="CL16" i="30"/>
  <c r="CO9" i="30"/>
  <c r="BX40" i="30"/>
  <c r="CB36" i="30"/>
  <c r="CD32" i="30"/>
  <c r="CF28" i="30"/>
  <c r="CA25" i="30"/>
  <c r="BV22" i="30"/>
  <c r="CD18" i="30"/>
  <c r="BV15" i="30"/>
  <c r="CD11" i="30"/>
  <c r="BY8" i="30"/>
  <c r="BH40" i="30"/>
  <c r="BI37" i="30"/>
  <c r="BJ34" i="30"/>
  <c r="BJ31" i="30"/>
  <c r="BK28" i="30"/>
  <c r="BL25" i="30"/>
  <c r="BM22" i="30"/>
  <c r="BL19" i="30"/>
  <c r="BM16" i="30"/>
  <c r="BN13" i="30"/>
  <c r="BO10" i="30"/>
  <c r="BP7" i="30"/>
  <c r="AW39" i="30"/>
  <c r="AX36" i="30"/>
  <c r="AY33" i="30"/>
  <c r="AZ30" i="30"/>
  <c r="AZ27" i="30"/>
  <c r="BA24" i="30"/>
  <c r="BB21" i="30"/>
  <c r="BC18" i="30"/>
  <c r="BB15" i="30"/>
  <c r="BC12" i="30"/>
  <c r="BD9" i="30"/>
  <c r="BE6" i="30"/>
  <c r="CU36" i="30"/>
  <c r="CQ30" i="30"/>
  <c r="CO24" i="30"/>
  <c r="CL18" i="30"/>
  <c r="CL12" i="30"/>
  <c r="CJ6" i="30"/>
  <c r="CB41" i="30"/>
  <c r="CG37" i="30"/>
  <c r="BY34" i="30"/>
  <c r="CC30" i="30"/>
  <c r="CF26" i="30"/>
  <c r="BZ23" i="30"/>
  <c r="BV20" i="30"/>
  <c r="CA16" i="30"/>
  <c r="BW13" i="30"/>
  <c r="CB9" i="30"/>
  <c r="BY6" i="30"/>
  <c r="BK41" i="30"/>
  <c r="BL38" i="30"/>
  <c r="BK35" i="30"/>
  <c r="BL32" i="30"/>
  <c r="BM29" i="30"/>
  <c r="BN26" i="30"/>
  <c r="BO23" i="30"/>
  <c r="BP20" i="30"/>
  <c r="BP17" i="30"/>
  <c r="BQ14" i="30"/>
  <c r="BR11" i="30"/>
  <c r="BQ8" i="30"/>
  <c r="AZ40" i="30"/>
  <c r="BA37" i="30"/>
  <c r="BB34" i="30"/>
  <c r="BA31" i="30"/>
  <c r="BB28" i="30"/>
  <c r="BC25" i="30"/>
  <c r="BD22" i="30"/>
  <c r="BE19" i="30"/>
  <c r="AT17" i="30"/>
  <c r="AT14" i="30"/>
  <c r="AU11" i="30"/>
  <c r="AV8" i="30"/>
  <c r="CJ39" i="30"/>
  <c r="CN32" i="30"/>
  <c r="CQ25" i="30"/>
  <c r="CU18" i="30"/>
  <c r="CJ12" i="30"/>
  <c r="CE41" i="30"/>
  <c r="CE37" i="30"/>
  <c r="CD33" i="30"/>
  <c r="CC29" i="30"/>
  <c r="CC25" i="30"/>
  <c r="CE21" i="30"/>
  <c r="CF17" i="30"/>
  <c r="BX14" i="30"/>
  <c r="CB10" i="30"/>
  <c r="CC6" i="30"/>
  <c r="CQ38" i="30"/>
  <c r="CM32" i="30"/>
  <c r="CO25" i="30"/>
  <c r="CM18" i="30"/>
  <c r="CU11" i="30"/>
  <c r="CD41" i="30"/>
  <c r="CD37" i="30"/>
  <c r="CB33" i="30"/>
  <c r="CB29" i="30"/>
  <c r="BZ25" i="30"/>
  <c r="CD21" i="30"/>
  <c r="CE17" i="30"/>
  <c r="BW14" i="30"/>
  <c r="BX10" i="30"/>
  <c r="CB6" i="30"/>
  <c r="CP38" i="30"/>
  <c r="CL32" i="30"/>
  <c r="CN25" i="30"/>
  <c r="CK18" i="30"/>
  <c r="CT11" i="30"/>
  <c r="CQ41" i="30"/>
  <c r="CO33" i="30"/>
  <c r="CK26" i="30"/>
  <c r="CK19" i="30"/>
  <c r="CQ10" i="30"/>
  <c r="CA39" i="30"/>
  <c r="BV35" i="30"/>
  <c r="CE30" i="30"/>
  <c r="CB26" i="30"/>
  <c r="BZ22" i="30"/>
  <c r="BW18" i="30"/>
  <c r="BY14" i="30"/>
  <c r="CF9" i="30"/>
  <c r="BW6" i="30"/>
  <c r="BQ41" i="30"/>
  <c r="BO38" i="30"/>
  <c r="BJ35" i="30"/>
  <c r="BH32" i="30"/>
  <c r="BR28" i="30"/>
  <c r="BO25" i="30"/>
  <c r="BI22" i="30"/>
  <c r="BS18" i="30"/>
  <c r="BQ15" i="30"/>
  <c r="BN12" i="30"/>
  <c r="BL9" i="30"/>
  <c r="BH6" i="30"/>
  <c r="BD40" i="30"/>
  <c r="BB37" i="30"/>
  <c r="AW34" i="30"/>
  <c r="AU31" i="30"/>
  <c r="BE27" i="30"/>
  <c r="AZ24" i="30"/>
  <c r="AX21" i="30"/>
  <c r="AT18" i="30"/>
  <c r="BD14" i="30"/>
  <c r="BB11" i="30"/>
  <c r="AY8" i="30"/>
  <c r="AI41" i="30"/>
  <c r="AM38" i="30"/>
  <c r="AQ35" i="30"/>
  <c r="AI33" i="30"/>
  <c r="AM30" i="30"/>
  <c r="AQ27" i="30"/>
  <c r="AI25" i="30"/>
  <c r="AM22" i="30"/>
  <c r="AQ19" i="30"/>
  <c r="AI17" i="30"/>
  <c r="AM14" i="30"/>
  <c r="AQ11" i="30"/>
  <c r="AI9" i="30"/>
  <c r="AM6" i="30"/>
  <c r="R40" i="30"/>
  <c r="V37" i="30"/>
  <c r="Z34" i="30"/>
  <c r="R32" i="30"/>
  <c r="V29" i="30"/>
  <c r="Z26" i="30"/>
  <c r="R24" i="30"/>
  <c r="V21" i="30"/>
  <c r="Z18" i="30"/>
  <c r="R16" i="30"/>
  <c r="V13" i="30"/>
  <c r="Z10" i="30"/>
  <c r="R8" i="30"/>
  <c r="CK41" i="30"/>
  <c r="CS25" i="30"/>
  <c r="CR17" i="30"/>
  <c r="CL10" i="30"/>
  <c r="CF34" i="30"/>
  <c r="BX26" i="30"/>
  <c r="CG17" i="30"/>
  <c r="CD9" i="30"/>
  <c r="BO41" i="30"/>
  <c r="BH35" i="30"/>
  <c r="BP28" i="30"/>
  <c r="BS21" i="30"/>
  <c r="BO15" i="30"/>
  <c r="BJ9" i="30"/>
  <c r="AW8" i="30"/>
  <c r="AK38" i="30"/>
  <c r="AK30" i="30"/>
  <c r="AK22" i="30"/>
  <c r="AK14" i="30"/>
  <c r="AK6" i="30"/>
  <c r="AB39" i="30"/>
  <c r="CM41" i="30"/>
  <c r="CN33" i="30"/>
  <c r="CT25" i="30"/>
  <c r="CT17" i="30"/>
  <c r="CM10" i="30"/>
  <c r="BV39" i="30"/>
  <c r="CG34" i="30"/>
  <c r="CD30" i="30"/>
  <c r="CA26" i="30"/>
  <c r="BY22" i="30"/>
  <c r="BV18" i="30"/>
  <c r="BV14" i="30"/>
  <c r="CE9" i="30"/>
  <c r="BV6" i="30"/>
  <c r="BP41" i="30"/>
  <c r="BN38" i="30"/>
  <c r="BI35" i="30"/>
  <c r="BS31" i="30"/>
  <c r="BQ28" i="30"/>
  <c r="BN25" i="30"/>
  <c r="BH22" i="30"/>
  <c r="BR18" i="30"/>
  <c r="BP15" i="30"/>
  <c r="BM12" i="30"/>
  <c r="BK9" i="30"/>
  <c r="BC40" i="30"/>
  <c r="AZ37" i="30"/>
  <c r="AV34" i="30"/>
  <c r="AT31" i="30"/>
  <c r="BD27" i="30"/>
  <c r="AY24" i="30"/>
  <c r="AU21" i="30"/>
  <c r="BE17" i="30"/>
  <c r="BC14" i="30"/>
  <c r="AZ11" i="30"/>
  <c r="AX8" i="30"/>
  <c r="AH41" i="30"/>
  <c r="AL38" i="30"/>
  <c r="AP35" i="30"/>
  <c r="AH33" i="30"/>
  <c r="AL30" i="30"/>
  <c r="AP27" i="30"/>
  <c r="AH25" i="30"/>
  <c r="AL22" i="30"/>
  <c r="AP19" i="30"/>
  <c r="AH17" i="30"/>
  <c r="AL14" i="30"/>
  <c r="AP11" i="30"/>
  <c r="AH9" i="30"/>
  <c r="AL6" i="30"/>
  <c r="AC39" i="30"/>
  <c r="U37" i="30"/>
  <c r="Y34" i="30"/>
  <c r="AC31" i="30"/>
  <c r="U29" i="30"/>
  <c r="Y26" i="30"/>
  <c r="AC23" i="30"/>
  <c r="U21" i="30"/>
  <c r="Y18" i="30"/>
  <c r="AC15" i="30"/>
  <c r="U13" i="30"/>
  <c r="Y10" i="30"/>
  <c r="AC7" i="30"/>
  <c r="CJ33" i="30"/>
  <c r="CF38" i="30"/>
  <c r="CA30" i="30"/>
  <c r="BX22" i="30"/>
  <c r="CF13" i="30"/>
  <c r="BM38" i="30"/>
  <c r="BR31" i="30"/>
  <c r="BK25" i="30"/>
  <c r="BQ18" i="30"/>
  <c r="BL12" i="30"/>
  <c r="BB40" i="30"/>
  <c r="AY37" i="30"/>
  <c r="AU34" i="30"/>
  <c r="BE30" i="30"/>
  <c r="BC27" i="30"/>
  <c r="AX24" i="30"/>
  <c r="AT21" i="30"/>
  <c r="BD17" i="30"/>
  <c r="BB14" i="30"/>
  <c r="AY11" i="30"/>
  <c r="AG41" i="30"/>
  <c r="AO35" i="30"/>
  <c r="AG33" i="30"/>
  <c r="AO27" i="30"/>
  <c r="AG25" i="30"/>
  <c r="AO19" i="30"/>
  <c r="AG17" i="30"/>
  <c r="AO11" i="30"/>
  <c r="AG9" i="30"/>
  <c r="T37" i="30"/>
  <c r="X34" i="30"/>
  <c r="CO36" i="30"/>
  <c r="CS28" i="30"/>
  <c r="CP21" i="30"/>
  <c r="CJ14" i="30"/>
  <c r="CU6" i="30"/>
  <c r="CG40" i="30"/>
  <c r="CD36" i="30"/>
  <c r="BW32" i="30"/>
  <c r="CG27" i="30"/>
  <c r="CF23" i="30"/>
  <c r="CF19" i="30"/>
  <c r="CF15" i="30"/>
  <c r="CC11" i="30"/>
  <c r="CE7" i="30"/>
  <c r="BP39" i="30"/>
  <c r="BM36" i="30"/>
  <c r="BK33" i="30"/>
  <c r="BS29" i="30"/>
  <c r="BQ26" i="30"/>
  <c r="BN23" i="30"/>
  <c r="BK20" i="30"/>
  <c r="BI17" i="30"/>
  <c r="BQ13" i="30"/>
  <c r="BM10" i="30"/>
  <c r="BJ7" i="30"/>
  <c r="BE41" i="30"/>
  <c r="BC38" i="30"/>
  <c r="AZ35" i="30"/>
  <c r="AX32" i="30"/>
  <c r="AT29" i="30"/>
  <c r="BD25" i="30"/>
  <c r="BA22" i="30"/>
  <c r="AX19" i="30"/>
  <c r="AV16" i="30"/>
  <c r="BB12" i="30"/>
  <c r="AZ9" i="30"/>
  <c r="AX6" i="30"/>
  <c r="AM39" i="30"/>
  <c r="AQ36" i="30"/>
  <c r="AI34" i="30"/>
  <c r="AM31" i="30"/>
  <c r="AQ28" i="30"/>
  <c r="AI26" i="30"/>
  <c r="AM23" i="30"/>
  <c r="AQ20" i="30"/>
  <c r="AI18" i="30"/>
  <c r="AM15" i="30"/>
  <c r="AQ12" i="30"/>
  <c r="AI10" i="30"/>
  <c r="AM7" i="30"/>
  <c r="R41" i="30"/>
  <c r="V38" i="30"/>
  <c r="Z35" i="30"/>
  <c r="R33" i="30"/>
  <c r="V30" i="30"/>
  <c r="Z27" i="30"/>
  <c r="R25" i="30"/>
  <c r="V22" i="30"/>
  <c r="Z19" i="30"/>
  <c r="R17" i="30"/>
  <c r="V14" i="30"/>
  <c r="Z11" i="30"/>
  <c r="R9" i="30"/>
  <c r="V6" i="30"/>
  <c r="CN36" i="30"/>
  <c r="CP28" i="30"/>
  <c r="CM21" i="30"/>
  <c r="CU13" i="30"/>
  <c r="CR6" i="30"/>
  <c r="CF40" i="30"/>
  <c r="CA36" i="30"/>
  <c r="BV32" i="30"/>
  <c r="CF27" i="30"/>
  <c r="CE23" i="30"/>
  <c r="CB19" i="30"/>
  <c r="CA15" i="30"/>
  <c r="CA11" i="30"/>
  <c r="CD7" i="30"/>
  <c r="BO39" i="30"/>
  <c r="BL36" i="30"/>
  <c r="BJ33" i="30"/>
  <c r="BR29" i="30"/>
  <c r="BP26" i="30"/>
  <c r="BM23" i="30"/>
  <c r="BJ20" i="30"/>
  <c r="BH17" i="30"/>
  <c r="BP13" i="30"/>
  <c r="BL10" i="30"/>
  <c r="BI7" i="30"/>
  <c r="BD41" i="30"/>
  <c r="BB38" i="30"/>
  <c r="AY35" i="30"/>
  <c r="AW32" i="30"/>
  <c r="BE28" i="30"/>
  <c r="BB25" i="30"/>
  <c r="AZ22" i="30"/>
  <c r="AW19" i="30"/>
  <c r="AU16" i="30"/>
  <c r="BA12" i="30"/>
  <c r="AY9" i="30"/>
  <c r="AV6" i="30"/>
  <c r="CQ40" i="30"/>
  <c r="CT30" i="30"/>
  <c r="CR22" i="30"/>
  <c r="CT13" i="30"/>
  <c r="CA40" i="30"/>
  <c r="BX35" i="30"/>
  <c r="CF29" i="30"/>
  <c r="CF24" i="30"/>
  <c r="BY20" i="30"/>
  <c r="BY15" i="30"/>
  <c r="CE10" i="30"/>
  <c r="BL39" i="30"/>
  <c r="BP35" i="30"/>
  <c r="BO31" i="30"/>
  <c r="BQ27" i="30"/>
  <c r="BH24" i="30"/>
  <c r="BI20" i="30"/>
  <c r="BJ16" i="30"/>
  <c r="BK12" i="30"/>
  <c r="BM8" i="30"/>
  <c r="BA40" i="30"/>
  <c r="BC36" i="30"/>
  <c r="AT33" i="30"/>
  <c r="AX29" i="30"/>
  <c r="AX25" i="30"/>
  <c r="AZ21" i="30"/>
  <c r="AZ17" i="30"/>
  <c r="BC13" i="30"/>
  <c r="AT10" i="30"/>
  <c r="AT6" i="30"/>
  <c r="AM40" i="30"/>
  <c r="AM37" i="30"/>
  <c r="AM34" i="30"/>
  <c r="AL31" i="30"/>
  <c r="AL28" i="30"/>
  <c r="AL25" i="30"/>
  <c r="AI22" i="30"/>
  <c r="AI19" i="30"/>
  <c r="AI16" i="30"/>
  <c r="AI13" i="30"/>
  <c r="AH10" i="30"/>
  <c r="AH7" i="30"/>
  <c r="W39" i="30"/>
  <c r="W36" i="30"/>
  <c r="W33" i="30"/>
  <c r="X30" i="30"/>
  <c r="X27" i="30"/>
  <c r="Y24" i="30"/>
  <c r="Z21" i="30"/>
  <c r="AA18" i="30"/>
  <c r="Z15" i="30"/>
  <c r="AA12" i="30"/>
  <c r="AB9" i="30"/>
  <c r="AC6" i="30"/>
  <c r="AK37" i="30"/>
  <c r="AJ31" i="30"/>
  <c r="AJ25" i="30"/>
  <c r="AG22" i="30"/>
  <c r="AG16" i="30"/>
  <c r="AF10" i="30"/>
  <c r="U39" i="30"/>
  <c r="U33" i="30"/>
  <c r="V27" i="30"/>
  <c r="X21" i="30"/>
  <c r="X15" i="30"/>
  <c r="Y12" i="30"/>
  <c r="AA6" i="30"/>
  <c r="CD34" i="30"/>
  <c r="CG19" i="30"/>
  <c r="BW10" i="30"/>
  <c r="CP39" i="30"/>
  <c r="CS30" i="30"/>
  <c r="CQ22" i="30"/>
  <c r="CQ13" i="30"/>
  <c r="BW40" i="30"/>
  <c r="BW35" i="30"/>
  <c r="CE29" i="30"/>
  <c r="CE24" i="30"/>
  <c r="BX20" i="30"/>
  <c r="BX15" i="30"/>
  <c r="CD10" i="30"/>
  <c r="BJ39" i="30"/>
  <c r="BM35" i="30"/>
  <c r="BN31" i="30"/>
  <c r="BP27" i="30"/>
  <c r="BS23" i="30"/>
  <c r="BH20" i="30"/>
  <c r="BI16" i="30"/>
  <c r="BJ12" i="30"/>
  <c r="BL8" i="30"/>
  <c r="AY40" i="30"/>
  <c r="BB36" i="30"/>
  <c r="BD32" i="30"/>
  <c r="AU29" i="30"/>
  <c r="AW25" i="30"/>
  <c r="AY21" i="30"/>
  <c r="AY17" i="30"/>
  <c r="BB13" i="30"/>
  <c r="BC9" i="30"/>
  <c r="AL40" i="30"/>
  <c r="AL37" i="30"/>
  <c r="AL34" i="30"/>
  <c r="AK31" i="30"/>
  <c r="AK28" i="30"/>
  <c r="AK25" i="30"/>
  <c r="AH22" i="30"/>
  <c r="AH19" i="30"/>
  <c r="AH16" i="30"/>
  <c r="AH13" i="30"/>
  <c r="AG10" i="30"/>
  <c r="AG7" i="30"/>
  <c r="V39" i="30"/>
  <c r="V36" i="30"/>
  <c r="V33" i="30"/>
  <c r="W30" i="30"/>
  <c r="W27" i="30"/>
  <c r="X24" i="30"/>
  <c r="Y21" i="30"/>
  <c r="X18" i="30"/>
  <c r="Y15" i="30"/>
  <c r="Z12" i="30"/>
  <c r="AA9" i="30"/>
  <c r="AB6" i="30"/>
  <c r="CO39" i="30"/>
  <c r="CP30" i="30"/>
  <c r="CU21" i="30"/>
  <c r="CP13" i="30"/>
  <c r="CF39" i="30"/>
  <c r="CE34" i="30"/>
  <c r="CD29" i="30"/>
  <c r="CD24" i="30"/>
  <c r="BW20" i="30"/>
  <c r="CG14" i="30"/>
  <c r="CC10" i="30"/>
  <c r="BI39" i="30"/>
  <c r="BL35" i="30"/>
  <c r="BM31" i="30"/>
  <c r="BM27" i="30"/>
  <c r="BR23" i="30"/>
  <c r="BS19" i="30"/>
  <c r="BH16" i="30"/>
  <c r="BI12" i="30"/>
  <c r="BK8" i="30"/>
  <c r="AX40" i="30"/>
  <c r="BA36" i="30"/>
  <c r="BC32" i="30"/>
  <c r="BD28" i="30"/>
  <c r="AV25" i="30"/>
  <c r="BE20" i="30"/>
  <c r="AX17" i="30"/>
  <c r="BA13" i="30"/>
  <c r="BB9" i="30"/>
  <c r="AK40" i="30"/>
  <c r="AK34" i="30"/>
  <c r="AJ28" i="30"/>
  <c r="AG19" i="30"/>
  <c r="AG13" i="30"/>
  <c r="AF7" i="30"/>
  <c r="U36" i="30"/>
  <c r="U30" i="30"/>
  <c r="W24" i="30"/>
  <c r="W18" i="30"/>
  <c r="Z9" i="30"/>
  <c r="CL39" i="30"/>
  <c r="CO30" i="30"/>
  <c r="CS21" i="30"/>
  <c r="CT12" i="30"/>
  <c r="CE39" i="30"/>
  <c r="CA29" i="30"/>
  <c r="CC24" i="30"/>
  <c r="CF14" i="30"/>
  <c r="CM35" i="30"/>
  <c r="CR25" i="30"/>
  <c r="CU16" i="30"/>
  <c r="CN8" i="30"/>
  <c r="BV37" i="30"/>
  <c r="CF31" i="30"/>
  <c r="CG26" i="30"/>
  <c r="CF21" i="30"/>
  <c r="BW17" i="30"/>
  <c r="BY12" i="30"/>
  <c r="CF7" i="30"/>
  <c r="BP40" i="30"/>
  <c r="BS36" i="30"/>
  <c r="BI33" i="30"/>
  <c r="BK29" i="30"/>
  <c r="BJ25" i="30"/>
  <c r="BM21" i="30"/>
  <c r="BQ17" i="30"/>
  <c r="BS13" i="30"/>
  <c r="BH10" i="30"/>
  <c r="BL6" i="30"/>
  <c r="AX38" i="30"/>
  <c r="AY34" i="30"/>
  <c r="AY30" i="30"/>
  <c r="BC26" i="30"/>
  <c r="AT23" i="30"/>
  <c r="AU19" i="30"/>
  <c r="AV15" i="30"/>
  <c r="AW11" i="30"/>
  <c r="AY7" i="30"/>
  <c r="AP41" i="30"/>
  <c r="AP38" i="30"/>
  <c r="AM35" i="30"/>
  <c r="AM32" i="30"/>
  <c r="AM29" i="30"/>
  <c r="AM26" i="30"/>
  <c r="AL23" i="30"/>
  <c r="AL20" i="30"/>
  <c r="AL17" i="30"/>
  <c r="AI14" i="30"/>
  <c r="AI11" i="30"/>
  <c r="AI8" i="30"/>
  <c r="Z40" i="30"/>
  <c r="Z37" i="30"/>
  <c r="W34" i="30"/>
  <c r="X31" i="30"/>
  <c r="Y28" i="30"/>
  <c r="Z25" i="30"/>
  <c r="AA22" i="30"/>
  <c r="AB19" i="30"/>
  <c r="AB16" i="30"/>
  <c r="AC13" i="30"/>
  <c r="R11" i="30"/>
  <c r="S8" i="30"/>
  <c r="CU34" i="30"/>
  <c r="CM25" i="30"/>
  <c r="CO16" i="30"/>
  <c r="CL8" i="30"/>
  <c r="CG36" i="30"/>
  <c r="CC31" i="30"/>
  <c r="CE26" i="30"/>
  <c r="CC21" i="30"/>
  <c r="BV17" i="30"/>
  <c r="BX12" i="30"/>
  <c r="CB7" i="30"/>
  <c r="BO40" i="30"/>
  <c r="BR36" i="30"/>
  <c r="BH33" i="30"/>
  <c r="BJ29" i="30"/>
  <c r="BI25" i="30"/>
  <c r="BL21" i="30"/>
  <c r="BO17" i="30"/>
  <c r="BR13" i="30"/>
  <c r="BR9" i="30"/>
  <c r="BI6" i="30"/>
  <c r="AV38" i="30"/>
  <c r="AX34" i="30"/>
  <c r="AX30" i="30"/>
  <c r="BB26" i="30"/>
  <c r="BE22" i="30"/>
  <c r="AT19" i="30"/>
  <c r="AU15" i="30"/>
  <c r="AV11" i="30"/>
  <c r="AX7" i="30"/>
  <c r="AO41" i="30"/>
  <c r="AO38" i="30"/>
  <c r="AL35" i="30"/>
  <c r="AL32" i="30"/>
  <c r="AL29" i="30"/>
  <c r="AL26" i="30"/>
  <c r="AK23" i="30"/>
  <c r="AK20" i="30"/>
  <c r="AK17" i="30"/>
  <c r="AH14" i="30"/>
  <c r="AH11" i="30"/>
  <c r="AH8" i="30"/>
  <c r="Y40" i="30"/>
  <c r="Y37" i="30"/>
  <c r="V34" i="30"/>
  <c r="W31" i="30"/>
  <c r="X28" i="30"/>
  <c r="Y25" i="30"/>
  <c r="Z22" i="30"/>
  <c r="AA19" i="30"/>
  <c r="AA16" i="30"/>
  <c r="AB13" i="30"/>
  <c r="AC10" i="30"/>
  <c r="AB7" i="30"/>
  <c r="CK34" i="30"/>
  <c r="CL25" i="30"/>
  <c r="CN16" i="30"/>
  <c r="CU7" i="30"/>
  <c r="CG41" i="30"/>
  <c r="CF36" i="30"/>
  <c r="CB31" i="30"/>
  <c r="CD26" i="30"/>
  <c r="CB21" i="30"/>
  <c r="CG16" i="30"/>
  <c r="BW12" i="30"/>
  <c r="CA7" i="30"/>
  <c r="CK31" i="30"/>
  <c r="CU19" i="30"/>
  <c r="CT8" i="30"/>
  <c r="CC37" i="30"/>
  <c r="BV31" i="30"/>
  <c r="BZ24" i="30"/>
  <c r="BX18" i="30"/>
  <c r="BV12" i="30"/>
  <c r="BX6" i="30"/>
  <c r="BP38" i="30"/>
  <c r="BH34" i="30"/>
  <c r="BO29" i="30"/>
  <c r="BP24" i="30"/>
  <c r="BN20" i="30"/>
  <c r="BN15" i="30"/>
  <c r="BJ11" i="30"/>
  <c r="BQ6" i="30"/>
  <c r="AW41" i="30"/>
  <c r="AW36" i="30"/>
  <c r="AT32" i="30"/>
  <c r="AW27" i="30"/>
  <c r="AU23" i="30"/>
  <c r="AW18" i="30"/>
  <c r="BD13" i="30"/>
  <c r="AU9" i="30"/>
  <c r="AJ40" i="30"/>
  <c r="AP36" i="30"/>
  <c r="AK33" i="30"/>
  <c r="AO29" i="30"/>
  <c r="AG26" i="30"/>
  <c r="AN22" i="30"/>
  <c r="AO18" i="30"/>
  <c r="AI15" i="30"/>
  <c r="AM11" i="30"/>
  <c r="AF8" i="30"/>
  <c r="CJ31" i="30"/>
  <c r="CT19" i="30"/>
  <c r="CS8" i="30"/>
  <c r="CB37" i="30"/>
  <c r="CF30" i="30"/>
  <c r="BW24" i="30"/>
  <c r="CC17" i="30"/>
  <c r="CG11" i="30"/>
  <c r="BI38" i="30"/>
  <c r="BR33" i="30"/>
  <c r="BN29" i="30"/>
  <c r="BO24" i="30"/>
  <c r="BM20" i="30"/>
  <c r="BM15" i="30"/>
  <c r="BI11" i="30"/>
  <c r="BP6" i="30"/>
  <c r="AV41" i="30"/>
  <c r="AV36" i="30"/>
  <c r="BC31" i="30"/>
  <c r="AV27" i="30"/>
  <c r="BC22" i="30"/>
  <c r="AV18" i="30"/>
  <c r="AZ13" i="30"/>
  <c r="AT9" i="30"/>
  <c r="CN30" i="30"/>
  <c r="CS19" i="30"/>
  <c r="CR8" i="30"/>
  <c r="CA37" i="30"/>
  <c r="BZ30" i="30"/>
  <c r="CG23" i="30"/>
  <c r="CB17" i="30"/>
  <c r="CF11" i="30"/>
  <c r="BH38" i="30"/>
  <c r="BQ33" i="30"/>
  <c r="BL29" i="30"/>
  <c r="BN24" i="30"/>
  <c r="BL20" i="30"/>
  <c r="BL15" i="30"/>
  <c r="BH11" i="30"/>
  <c r="BO6" i="30"/>
  <c r="AU41" i="30"/>
  <c r="AU36" i="30"/>
  <c r="BB31" i="30"/>
  <c r="AU27" i="30"/>
  <c r="BB22" i="30"/>
  <c r="AU18" i="30"/>
  <c r="AY13" i="30"/>
  <c r="BD8" i="30"/>
  <c r="CN35" i="30"/>
  <c r="CR21" i="30"/>
  <c r="CJ9" i="30"/>
  <c r="BZ41" i="30"/>
  <c r="BV34" i="30"/>
  <c r="CB27" i="30"/>
  <c r="CA20" i="30"/>
  <c r="BZ13" i="30"/>
  <c r="CF6" i="30"/>
  <c r="BQ39" i="30"/>
  <c r="BN34" i="30"/>
  <c r="BP29" i="30"/>
  <c r="BK24" i="30"/>
  <c r="BI19" i="30"/>
  <c r="BM14" i="30"/>
  <c r="BM9" i="30"/>
  <c r="BA38" i="30"/>
  <c r="BA33" i="30"/>
  <c r="AY28" i="30"/>
  <c r="AZ23" i="30"/>
  <c r="AY18" i="30"/>
  <c r="AU13" i="30"/>
  <c r="AU8" i="30"/>
  <c r="AH40" i="30"/>
  <c r="AM36" i="30"/>
  <c r="AP32" i="30"/>
  <c r="AH29" i="30"/>
  <c r="AM25" i="30"/>
  <c r="AM21" i="30"/>
  <c r="AF18" i="30"/>
  <c r="AG14" i="30"/>
  <c r="AM10" i="30"/>
  <c r="AO6" i="30"/>
  <c r="X41" i="30"/>
  <c r="R38" i="30"/>
  <c r="T34" i="30"/>
  <c r="AB30" i="30"/>
  <c r="T27" i="30"/>
  <c r="Z23" i="30"/>
  <c r="V20" i="30"/>
  <c r="AC16" i="30"/>
  <c r="W13" i="30"/>
  <c r="AC9" i="30"/>
  <c r="U6" i="30"/>
  <c r="CR33" i="30"/>
  <c r="CS20" i="30"/>
  <c r="CU8" i="30"/>
  <c r="BY41" i="30"/>
  <c r="CG33" i="30"/>
  <c r="CA27" i="30"/>
  <c r="BZ20" i="30"/>
  <c r="BY13" i="30"/>
  <c r="CE6" i="30"/>
  <c r="BN39" i="30"/>
  <c r="BM34" i="30"/>
  <c r="BI29" i="30"/>
  <c r="BJ24" i="30"/>
  <c r="BH19" i="30"/>
  <c r="BL14" i="30"/>
  <c r="BI9" i="30"/>
  <c r="AZ38" i="30"/>
  <c r="AX33" i="30"/>
  <c r="AX28" i="30"/>
  <c r="AY23" i="30"/>
  <c r="AX18" i="30"/>
  <c r="AT13" i="30"/>
  <c r="AT8" i="30"/>
  <c r="AG40" i="30"/>
  <c r="AL36" i="30"/>
  <c r="AO32" i="30"/>
  <c r="AG29" i="30"/>
  <c r="AF25" i="30"/>
  <c r="AL21" i="30"/>
  <c r="AQ17" i="30"/>
  <c r="AF14" i="30"/>
  <c r="AL10" i="30"/>
  <c r="AN6" i="30"/>
  <c r="W41" i="30"/>
  <c r="AC37" i="30"/>
  <c r="S34" i="30"/>
  <c r="AA30" i="30"/>
  <c r="S27" i="30"/>
  <c r="Y23" i="30"/>
  <c r="U20" i="30"/>
  <c r="Z16" i="30"/>
  <c r="T13" i="30"/>
  <c r="Y9" i="30"/>
  <c r="T6" i="30"/>
  <c r="CL38" i="30"/>
  <c r="CJ27" i="30"/>
  <c r="CL14" i="30"/>
  <c r="CE36" i="30"/>
  <c r="CE28" i="30"/>
  <c r="CG22" i="30"/>
  <c r="BW16" i="30"/>
  <c r="BV9" i="30"/>
  <c r="BL41" i="30"/>
  <c r="BK36" i="30"/>
  <c r="BH31" i="30"/>
  <c r="BL26" i="30"/>
  <c r="BK21" i="30"/>
  <c r="BL16" i="30"/>
  <c r="BK11" i="30"/>
  <c r="AU40" i="30"/>
  <c r="AW35" i="30"/>
  <c r="AU30" i="30"/>
  <c r="AY25" i="30"/>
  <c r="AW20" i="30"/>
  <c r="AX15" i="30"/>
  <c r="AX10" i="30"/>
  <c r="AQ41" i="30"/>
  <c r="AF38" i="30"/>
  <c r="AH34" i="30"/>
  <c r="AN30" i="30"/>
  <c r="AQ26" i="30"/>
  <c r="AH23" i="30"/>
  <c r="AK19" i="30"/>
  <c r="AN15" i="30"/>
  <c r="AG12" i="30"/>
  <c r="AJ8" i="30"/>
  <c r="S39" i="30"/>
  <c r="Y35" i="30"/>
  <c r="T32" i="30"/>
  <c r="Z28" i="30"/>
  <c r="T25" i="30"/>
  <c r="AA21" i="30"/>
  <c r="R18" i="30"/>
  <c r="Z14" i="30"/>
  <c r="U11" i="30"/>
  <c r="Y7" i="30"/>
  <c r="CU37" i="30"/>
  <c r="CQ26" i="30"/>
  <c r="CK14" i="30"/>
  <c r="BZ36" i="30"/>
  <c r="CD28" i="30"/>
  <c r="CD22" i="30"/>
  <c r="BV16" i="30"/>
  <c r="CG8" i="30"/>
  <c r="BJ41" i="30"/>
  <c r="BJ36" i="30"/>
  <c r="BS30" i="30"/>
  <c r="BK26" i="30"/>
  <c r="BJ21" i="30"/>
  <c r="BK16" i="30"/>
  <c r="BS10" i="30"/>
  <c r="CR32" i="30"/>
  <c r="CP17" i="30"/>
  <c r="CB40" i="30"/>
  <c r="BY32" i="30"/>
  <c r="CB23" i="30"/>
  <c r="BY16" i="30"/>
  <c r="CD8" i="30"/>
  <c r="BP37" i="30"/>
  <c r="BK32" i="30"/>
  <c r="BO26" i="30"/>
  <c r="BS20" i="30"/>
  <c r="BR14" i="30"/>
  <c r="BH9" i="30"/>
  <c r="AY38" i="30"/>
  <c r="BB32" i="30"/>
  <c r="AT27" i="30"/>
  <c r="BD21" i="30"/>
  <c r="AX16" i="30"/>
  <c r="BC10" i="30"/>
  <c r="AQ40" i="30"/>
  <c r="AO36" i="30"/>
  <c r="AK32" i="30"/>
  <c r="AM28" i="30"/>
  <c r="AJ24" i="30"/>
  <c r="AJ20" i="30"/>
  <c r="AJ16" i="30"/>
  <c r="AI12" i="30"/>
  <c r="AQ7" i="30"/>
  <c r="Z39" i="30"/>
  <c r="AA35" i="30"/>
  <c r="AA31" i="30"/>
  <c r="R28" i="30"/>
  <c r="S24" i="30"/>
  <c r="T20" i="30"/>
  <c r="V16" i="30"/>
  <c r="V12" i="30"/>
  <c r="Z8" i="30"/>
  <c r="CM30" i="30"/>
  <c r="CA31" i="30"/>
  <c r="BZ15" i="30"/>
  <c r="BQ31" i="30"/>
  <c r="BR19" i="30"/>
  <c r="BN8" i="30"/>
  <c r="AY32" i="30"/>
  <c r="BC20" i="30"/>
  <c r="AW10" i="30"/>
  <c r="AJ36" i="30"/>
  <c r="AG28" i="30"/>
  <c r="AP15" i="30"/>
  <c r="V35" i="30"/>
  <c r="X23" i="30"/>
  <c r="S16" i="30"/>
  <c r="CP15" i="30"/>
  <c r="BZ31" i="30"/>
  <c r="CE14" i="30"/>
  <c r="BP31" i="30"/>
  <c r="BQ19" i="30"/>
  <c r="BJ8" i="30"/>
  <c r="AV32" i="30"/>
  <c r="AZ15" i="30"/>
  <c r="CQ32" i="30"/>
  <c r="CN17" i="30"/>
  <c r="CD39" i="30"/>
  <c r="BX32" i="30"/>
  <c r="CA23" i="30"/>
  <c r="BX16" i="30"/>
  <c r="CC8" i="30"/>
  <c r="BO37" i="30"/>
  <c r="BJ32" i="30"/>
  <c r="BM26" i="30"/>
  <c r="BR20" i="30"/>
  <c r="BP14" i="30"/>
  <c r="BP8" i="30"/>
  <c r="AU38" i="30"/>
  <c r="BA32" i="30"/>
  <c r="BE26" i="30"/>
  <c r="BA21" i="30"/>
  <c r="AW16" i="30"/>
  <c r="BB10" i="30"/>
  <c r="AP40" i="30"/>
  <c r="AN36" i="30"/>
  <c r="AJ32" i="30"/>
  <c r="AI28" i="30"/>
  <c r="AI24" i="30"/>
  <c r="AI20" i="30"/>
  <c r="AF16" i="30"/>
  <c r="AH12" i="30"/>
  <c r="AP7" i="30"/>
  <c r="Y39" i="30"/>
  <c r="X35" i="30"/>
  <c r="Z31" i="30"/>
  <c r="AC27" i="30"/>
  <c r="AB23" i="30"/>
  <c r="S20" i="30"/>
  <c r="U16" i="30"/>
  <c r="U12" i="30"/>
  <c r="Y8" i="30"/>
  <c r="AN40" i="30"/>
  <c r="AN11" i="30"/>
  <c r="AA27" i="30"/>
  <c r="S12" i="30"/>
  <c r="BL37" i="30"/>
  <c r="BI14" i="30"/>
  <c r="AX26" i="30"/>
  <c r="AV10" i="30"/>
  <c r="CL31" i="30"/>
  <c r="CK17" i="30"/>
  <c r="CC39" i="30"/>
  <c r="CG31" i="30"/>
  <c r="BY23" i="30"/>
  <c r="CG15" i="30"/>
  <c r="BX8" i="30"/>
  <c r="BN37" i="30"/>
  <c r="BI32" i="30"/>
  <c r="BJ26" i="30"/>
  <c r="BQ20" i="30"/>
  <c r="BO14" i="30"/>
  <c r="BO8" i="30"/>
  <c r="AT38" i="30"/>
  <c r="AZ32" i="30"/>
  <c r="BD26" i="30"/>
  <c r="BD20" i="30"/>
  <c r="AT16" i="30"/>
  <c r="AY10" i="30"/>
  <c r="AO40" i="30"/>
  <c r="AK36" i="30"/>
  <c r="AI32" i="30"/>
  <c r="AH28" i="30"/>
  <c r="AH24" i="30"/>
  <c r="AH20" i="30"/>
  <c r="AQ15" i="30"/>
  <c r="AF12" i="30"/>
  <c r="AO7" i="30"/>
  <c r="X39" i="30"/>
  <c r="W35" i="30"/>
  <c r="Y31" i="30"/>
  <c r="AB27" i="30"/>
  <c r="AA23" i="30"/>
  <c r="R20" i="30"/>
  <c r="T16" i="30"/>
  <c r="T12" i="30"/>
  <c r="X8" i="30"/>
  <c r="CJ17" i="30"/>
  <c r="CB39" i="30"/>
  <c r="BX23" i="30"/>
  <c r="BW8" i="30"/>
  <c r="BM37" i="30"/>
  <c r="BI26" i="30"/>
  <c r="BN14" i="30"/>
  <c r="BE37" i="30"/>
  <c r="AY26" i="30"/>
  <c r="BA15" i="30"/>
  <c r="AH32" i="30"/>
  <c r="AG24" i="30"/>
  <c r="AG20" i="30"/>
  <c r="AN7" i="30"/>
  <c r="T39" i="30"/>
  <c r="V31" i="30"/>
  <c r="AC19" i="30"/>
  <c r="W8" i="30"/>
  <c r="CT29" i="30"/>
  <c r="CE38" i="30"/>
  <c r="BW23" i="30"/>
  <c r="BV8" i="30"/>
  <c r="BH26" i="30"/>
  <c r="BD37" i="30"/>
  <c r="BB20" i="30"/>
  <c r="CQ37" i="30"/>
  <c r="CO23" i="30"/>
  <c r="CK9" i="30"/>
  <c r="BY35" i="30"/>
  <c r="BX27" i="30"/>
  <c r="BW19" i="30"/>
  <c r="BX11" i="30"/>
  <c r="BK40" i="30"/>
  <c r="BL34" i="30"/>
  <c r="BJ28" i="30"/>
  <c r="BR22" i="30"/>
  <c r="BL17" i="30"/>
  <c r="BM11" i="30"/>
  <c r="AV40" i="30"/>
  <c r="AT35" i="30"/>
  <c r="BA29" i="30"/>
  <c r="BC23" i="30"/>
  <c r="BC17" i="30"/>
  <c r="AX12" i="30"/>
  <c r="AU7" i="30"/>
  <c r="AI38" i="30"/>
  <c r="AG34" i="30"/>
  <c r="AG30" i="30"/>
  <c r="AF26" i="30"/>
  <c r="AO21" i="30"/>
  <c r="AO17" i="30"/>
  <c r="AM13" i="30"/>
  <c r="AL9" i="30"/>
  <c r="T41" i="30"/>
  <c r="R37" i="30"/>
  <c r="S33" i="30"/>
  <c r="W29" i="30"/>
  <c r="X25" i="30"/>
  <c r="AB21" i="30"/>
  <c r="AA17" i="30"/>
  <c r="S14" i="30"/>
  <c r="T10" i="30"/>
  <c r="S6" i="30"/>
  <c r="CP37" i="30"/>
  <c r="CJ23" i="30"/>
  <c r="CO8" i="30"/>
  <c r="CC34" i="30"/>
  <c r="CC26" i="30"/>
  <c r="BV19" i="30"/>
  <c r="BV11" i="30"/>
  <c r="BJ40" i="30"/>
  <c r="BI34" i="30"/>
  <c r="BI28" i="30"/>
  <c r="BQ22" i="30"/>
  <c r="BK17" i="30"/>
  <c r="BL11" i="30"/>
  <c r="AT40" i="30"/>
  <c r="BE34" i="30"/>
  <c r="AZ29" i="30"/>
  <c r="BB23" i="30"/>
  <c r="BB17" i="30"/>
  <c r="AW12" i="30"/>
  <c r="BD6" i="30"/>
  <c r="AH38" i="30"/>
  <c r="AF34" i="30"/>
  <c r="AF30" i="30"/>
  <c r="AQ25" i="30"/>
  <c r="AN21" i="30"/>
  <c r="AN17" i="30"/>
  <c r="AL13" i="30"/>
  <c r="AK9" i="30"/>
  <c r="S41" i="30"/>
  <c r="AC36" i="30"/>
  <c r="AC32" i="30"/>
  <c r="T29" i="30"/>
  <c r="W25" i="30"/>
  <c r="W21" i="30"/>
  <c r="Z17" i="30"/>
  <c r="R14" i="30"/>
  <c r="S10" i="30"/>
  <c r="R6" i="30"/>
  <c r="CM37" i="30"/>
  <c r="CU22" i="30"/>
  <c r="CP7" i="30"/>
  <c r="BZ34" i="30"/>
  <c r="BW26" i="30"/>
  <c r="CG18" i="30"/>
  <c r="CG10" i="30"/>
  <c r="X11" i="30"/>
  <c r="AC20" i="30"/>
  <c r="T35" i="30"/>
  <c r="AL12" i="30"/>
  <c r="AO22" i="30"/>
  <c r="AO37" i="30"/>
  <c r="BB8" i="30"/>
  <c r="AW23" i="30"/>
  <c r="AT37" i="30"/>
  <c r="BI13" i="30"/>
  <c r="BS27" i="30"/>
  <c r="CE8" i="30"/>
  <c r="CA28" i="30"/>
  <c r="CD40" i="30"/>
  <c r="CR14" i="30"/>
  <c r="Y11" i="30"/>
  <c r="R21" i="30"/>
  <c r="Y30" i="30"/>
  <c r="W40" i="30"/>
  <c r="T52" i="30"/>
  <c r="S62" i="30"/>
  <c r="Z71" i="30"/>
  <c r="AJ7" i="30"/>
  <c r="AM17" i="30"/>
  <c r="AK27" i="30"/>
  <c r="AP37" i="30"/>
  <c r="BC8" i="30"/>
  <c r="AX23" i="30"/>
  <c r="AU37" i="30"/>
  <c r="BN6" i="30"/>
  <c r="BN21" i="30"/>
  <c r="BR35" i="30"/>
  <c r="CF8" i="30"/>
  <c r="CB28" i="30"/>
  <c r="CU35" i="30"/>
  <c r="CS115" i="30"/>
  <c r="CK113" i="30"/>
  <c r="CO110" i="30"/>
  <c r="CS107" i="30"/>
  <c r="CK105" i="30"/>
  <c r="CO102" i="30"/>
  <c r="CJ117" i="30"/>
  <c r="CN114" i="30"/>
  <c r="CR111" i="30"/>
  <c r="CJ109" i="30"/>
  <c r="CT115" i="30"/>
  <c r="CU112" i="30"/>
  <c r="CK110" i="30"/>
  <c r="CM107" i="30"/>
  <c r="CP104" i="30"/>
  <c r="CS101" i="30"/>
  <c r="CK99" i="30"/>
  <c r="CO96" i="30"/>
  <c r="CS93" i="30"/>
  <c r="CK91" i="30"/>
  <c r="CO88" i="30"/>
  <c r="CS85" i="30"/>
  <c r="CK83" i="30"/>
  <c r="CR115" i="30"/>
  <c r="CT112" i="30"/>
  <c r="CJ110" i="30"/>
  <c r="CL107" i="30"/>
  <c r="CO104" i="30"/>
  <c r="CR101" i="30"/>
  <c r="CJ99" i="30"/>
  <c r="CN96" i="30"/>
  <c r="CR93" i="30"/>
  <c r="CJ91" i="30"/>
  <c r="CN88" i="30"/>
  <c r="CR85" i="30"/>
  <c r="CJ83" i="30"/>
  <c r="CK117" i="30"/>
  <c r="CJ114" i="30"/>
  <c r="CJ111" i="30"/>
  <c r="CJ108" i="30"/>
  <c r="CJ105" i="30"/>
  <c r="CK102" i="30"/>
  <c r="CM99" i="30"/>
  <c r="CM96" i="30"/>
  <c r="CO93" i="30"/>
  <c r="CQ90" i="30"/>
  <c r="CS87" i="30"/>
  <c r="CU84" i="30"/>
  <c r="CK82" i="30"/>
  <c r="CJ115" i="30"/>
  <c r="CU111" i="30"/>
  <c r="CS108" i="30"/>
  <c r="CS105" i="30"/>
  <c r="CS102" i="30"/>
  <c r="CS99" i="30"/>
  <c r="CT96" i="30"/>
  <c r="CU93" i="30"/>
  <c r="CT90" i="30"/>
  <c r="CU87" i="30"/>
  <c r="CJ85" i="30"/>
  <c r="CJ82" i="30"/>
  <c r="CP116" i="30"/>
  <c r="CO113" i="30"/>
  <c r="CM110" i="30"/>
  <c r="CJ107" i="30"/>
  <c r="CJ104" i="30"/>
  <c r="CJ101" i="30"/>
  <c r="CK98" i="30"/>
  <c r="CL95" i="30"/>
  <c r="CM92" i="30"/>
  <c r="CN89" i="30"/>
  <c r="CO86" i="30"/>
  <c r="CP83" i="30"/>
  <c r="CG116" i="30"/>
  <c r="BY114" i="30"/>
  <c r="CC111" i="30"/>
  <c r="CG108" i="30"/>
  <c r="BY106" i="30"/>
  <c r="CC103" i="30"/>
  <c r="CG100" i="30"/>
  <c r="BY98" i="30"/>
  <c r="CC95" i="30"/>
  <c r="CG92" i="30"/>
  <c r="BY90" i="30"/>
  <c r="CC87" i="30"/>
  <c r="CG84" i="30"/>
  <c r="BY82" i="30"/>
  <c r="CT116" i="30"/>
  <c r="CQ113" i="30"/>
  <c r="CL110" i="30"/>
  <c r="CS106" i="30"/>
  <c r="CQ103" i="30"/>
  <c r="CO100" i="30"/>
  <c r="CN97" i="30"/>
  <c r="CM94" i="30"/>
  <c r="CL91" i="30"/>
  <c r="CT87" i="30"/>
  <c r="CR84" i="30"/>
  <c r="CS116" i="30"/>
  <c r="CP113" i="30"/>
  <c r="CU109" i="30"/>
  <c r="CR106" i="30"/>
  <c r="CP103" i="30"/>
  <c r="CN100" i="30"/>
  <c r="CM97" i="30"/>
  <c r="CL94" i="30"/>
  <c r="CU90" i="30"/>
  <c r="CR87" i="30"/>
  <c r="CQ84" i="30"/>
  <c r="CS114" i="30"/>
  <c r="CO111" i="30"/>
  <c r="CL108" i="30"/>
  <c r="CT104" i="30"/>
  <c r="CP101" i="30"/>
  <c r="CO98" i="30"/>
  <c r="CN95" i="30"/>
  <c r="CL92" i="30"/>
  <c r="CK89" i="30"/>
  <c r="CJ86" i="30"/>
  <c r="CS82" i="30"/>
  <c r="CQ117" i="30"/>
  <c r="CU113" i="30"/>
  <c r="CN110" i="30"/>
  <c r="CO106" i="30"/>
  <c r="CJ103" i="30"/>
  <c r="CP99" i="30"/>
  <c r="CU95" i="30"/>
  <c r="CQ92" i="30"/>
  <c r="CL89" i="30"/>
  <c r="CQ85" i="30"/>
  <c r="CM82" i="30"/>
  <c r="BV116" i="30"/>
  <c r="BY113" i="30"/>
  <c r="CB110" i="30"/>
  <c r="CE107" i="30"/>
  <c r="BV105" i="30"/>
  <c r="BY102" i="30"/>
  <c r="CB99" i="30"/>
  <c r="CE96" i="30"/>
  <c r="BV94" i="30"/>
  <c r="BY91" i="30"/>
  <c r="CB88" i="30"/>
  <c r="CE85" i="30"/>
  <c r="BV83" i="30"/>
  <c r="CP117" i="30"/>
  <c r="CT113" i="30"/>
  <c r="CT109" i="30"/>
  <c r="CN106" i="30"/>
  <c r="CU102" i="30"/>
  <c r="CO99" i="30"/>
  <c r="CT95" i="30"/>
  <c r="CP92" i="30"/>
  <c r="CJ89" i="30"/>
  <c r="CP85" i="30"/>
  <c r="CL82" i="30"/>
  <c r="CM115" i="30"/>
  <c r="CQ111" i="30"/>
  <c r="CU107" i="30"/>
  <c r="CM104" i="30"/>
  <c r="CS100" i="30"/>
  <c r="CO97" i="30"/>
  <c r="CT93" i="30"/>
  <c r="CM90" i="30"/>
  <c r="CU86" i="30"/>
  <c r="CQ83" i="30"/>
  <c r="CL116" i="30"/>
  <c r="CL112" i="30"/>
  <c r="CM108" i="30"/>
  <c r="CK104" i="30"/>
  <c r="CL100" i="30"/>
  <c r="CP96" i="30"/>
  <c r="CR92" i="30"/>
  <c r="CS88" i="30"/>
  <c r="CT84" i="30"/>
  <c r="CD116" i="30"/>
  <c r="CF113" i="30"/>
  <c r="BV111" i="30"/>
  <c r="BX108" i="30"/>
  <c r="BZ105" i="30"/>
  <c r="CB102" i="30"/>
  <c r="CD99" i="30"/>
  <c r="CF96" i="30"/>
  <c r="CG93" i="30"/>
  <c r="BW91" i="30"/>
  <c r="BY88" i="30"/>
  <c r="CA85" i="30"/>
  <c r="CC82" i="30"/>
  <c r="CK116" i="30"/>
  <c r="CK112" i="30"/>
  <c r="CK108" i="30"/>
  <c r="CU103" i="30"/>
  <c r="CK100" i="30"/>
  <c r="CL96" i="30"/>
  <c r="CO92" i="30"/>
  <c r="CR88" i="30"/>
  <c r="CS84" i="30"/>
  <c r="CC116" i="30"/>
  <c r="CE113" i="30"/>
  <c r="CG110" i="30"/>
  <c r="BW108" i="30"/>
  <c r="BY105" i="30"/>
  <c r="CA102" i="30"/>
  <c r="CC99" i="30"/>
  <c r="CD96" i="30"/>
  <c r="CF93" i="30"/>
  <c r="BV91" i="30"/>
  <c r="BX88" i="30"/>
  <c r="BZ85" i="30"/>
  <c r="CB82" i="30"/>
  <c r="CS117" i="30"/>
  <c r="CR113" i="30"/>
  <c r="CO109" i="30"/>
  <c r="CQ105" i="30"/>
  <c r="CQ101" i="30"/>
  <c r="CT97" i="30"/>
  <c r="CK94" i="30"/>
  <c r="CK90" i="30"/>
  <c r="CP86" i="30"/>
  <c r="CQ82" i="30"/>
  <c r="CE117" i="30"/>
  <c r="CG114" i="30"/>
  <c r="BW112" i="30"/>
  <c r="BY109" i="30"/>
  <c r="CA106" i="30"/>
  <c r="CB103" i="30"/>
  <c r="CD100" i="30"/>
  <c r="CF97" i="30"/>
  <c r="BV95" i="30"/>
  <c r="BX92" i="30"/>
  <c r="BZ89" i="30"/>
  <c r="CB86" i="30"/>
  <c r="CD83" i="30"/>
  <c r="CN116" i="30"/>
  <c r="CT111" i="30"/>
  <c r="CO107" i="30"/>
  <c r="CK103" i="30"/>
  <c r="CR98" i="30"/>
  <c r="CR94" i="30"/>
  <c r="CN90" i="30"/>
  <c r="CM86" i="30"/>
  <c r="BY117" i="30"/>
  <c r="BW114" i="30"/>
  <c r="CF110" i="30"/>
  <c r="CD107" i="30"/>
  <c r="CC104" i="30"/>
  <c r="CB101" i="30"/>
  <c r="CA98" i="30"/>
  <c r="BY95" i="30"/>
  <c r="BW92" i="30"/>
  <c r="BV89" i="30"/>
  <c r="CG85" i="30"/>
  <c r="CE82" i="30"/>
  <c r="CM116" i="30"/>
  <c r="CS111" i="30"/>
  <c r="CN107" i="30"/>
  <c r="CT102" i="30"/>
  <c r="CQ98" i="30"/>
  <c r="CQ94" i="30"/>
  <c r="CL90" i="30"/>
  <c r="CL86" i="30"/>
  <c r="BX117" i="30"/>
  <c r="BV114" i="30"/>
  <c r="CE110" i="30"/>
  <c r="CC107" i="30"/>
  <c r="CB104" i="30"/>
  <c r="CA101" i="30"/>
  <c r="BZ98" i="30"/>
  <c r="BX95" i="30"/>
  <c r="BV92" i="30"/>
  <c r="CG88" i="30"/>
  <c r="CF85" i="30"/>
  <c r="CD82" i="30"/>
  <c r="CN113" i="30"/>
  <c r="CK109" i="30"/>
  <c r="CS104" i="30"/>
  <c r="CP100" i="30"/>
  <c r="CJ96" i="30"/>
  <c r="CT91" i="30"/>
  <c r="CP87" i="30"/>
  <c r="CR83" i="30"/>
  <c r="BY115" i="30"/>
  <c r="BX112" i="30"/>
  <c r="BV109" i="30"/>
  <c r="CF105" i="30"/>
  <c r="CE102" i="30"/>
  <c r="CA99" i="30"/>
  <c r="BZ96" i="30"/>
  <c r="BY93" i="30"/>
  <c r="BW90" i="30"/>
  <c r="BV87" i="30"/>
  <c r="CG83" i="30"/>
  <c r="CM113" i="30"/>
  <c r="CQ108" i="30"/>
  <c r="CR103" i="30"/>
  <c r="CT98" i="30"/>
  <c r="CO94" i="30"/>
  <c r="CR89" i="30"/>
  <c r="CK85" i="30"/>
  <c r="CE114" i="30"/>
  <c r="BZ111" i="30"/>
  <c r="CF107" i="30"/>
  <c r="BY104" i="30"/>
  <c r="CF100" i="30"/>
  <c r="CA97" i="30"/>
  <c r="BW94" i="30"/>
  <c r="CB90" i="30"/>
  <c r="BW87" i="30"/>
  <c r="CC83" i="30"/>
  <c r="BN115" i="30"/>
  <c r="BR112" i="30"/>
  <c r="BJ110" i="30"/>
  <c r="BN107" i="30"/>
  <c r="BR104" i="30"/>
  <c r="BJ102" i="30"/>
  <c r="BN99" i="30"/>
  <c r="BR96" i="30"/>
  <c r="BJ94" i="30"/>
  <c r="BN91" i="30"/>
  <c r="BR88" i="30"/>
  <c r="BJ86" i="30"/>
  <c r="BN83" i="30"/>
  <c r="AW117" i="30"/>
  <c r="BA114" i="30"/>
  <c r="BE111" i="30"/>
  <c r="AW109" i="30"/>
  <c r="BA106" i="30"/>
  <c r="BE103" i="30"/>
  <c r="AW101" i="30"/>
  <c r="BA98" i="30"/>
  <c r="BE95" i="30"/>
  <c r="AW93" i="30"/>
  <c r="BA90" i="30"/>
  <c r="BE87" i="30"/>
  <c r="AW85" i="30"/>
  <c r="BA82" i="30"/>
  <c r="CL113" i="30"/>
  <c r="CP108" i="30"/>
  <c r="CO103" i="30"/>
  <c r="CS98" i="30"/>
  <c r="CN94" i="30"/>
  <c r="CQ89" i="30"/>
  <c r="CP84" i="30"/>
  <c r="CD114" i="30"/>
  <c r="BY111" i="30"/>
  <c r="CB107" i="30"/>
  <c r="BX104" i="30"/>
  <c r="CE100" i="30"/>
  <c r="BZ97" i="30"/>
  <c r="CE93" i="30"/>
  <c r="CA90" i="30"/>
  <c r="CG86" i="30"/>
  <c r="CB83" i="30"/>
  <c r="BM115" i="30"/>
  <c r="BQ112" i="30"/>
  <c r="BI110" i="30"/>
  <c r="BM107" i="30"/>
  <c r="BQ104" i="30"/>
  <c r="BI102" i="30"/>
  <c r="BM99" i="30"/>
  <c r="BQ96" i="30"/>
  <c r="BI94" i="30"/>
  <c r="BM91" i="30"/>
  <c r="BQ88" i="30"/>
  <c r="BI86" i="30"/>
  <c r="BM83" i="30"/>
  <c r="AV117" i="30"/>
  <c r="AZ114" i="30"/>
  <c r="BD111" i="30"/>
  <c r="AV109" i="30"/>
  <c r="AZ106" i="30"/>
  <c r="BD103" i="30"/>
  <c r="AV101" i="30"/>
  <c r="AZ98" i="30"/>
  <c r="BD95" i="30"/>
  <c r="AV93" i="30"/>
  <c r="AZ90" i="30"/>
  <c r="BD87" i="30"/>
  <c r="AV85" i="30"/>
  <c r="AZ82" i="30"/>
  <c r="CL115" i="30"/>
  <c r="CQ110" i="30"/>
  <c r="CP105" i="30"/>
  <c r="CT100" i="30"/>
  <c r="CS95" i="30"/>
  <c r="CP91" i="30"/>
  <c r="CT86" i="30"/>
  <c r="CN82" i="30"/>
  <c r="CG115" i="30"/>
  <c r="CC112" i="30"/>
  <c r="BX109" i="30"/>
  <c r="CD105" i="30"/>
  <c r="BW102" i="30"/>
  <c r="CE98" i="30"/>
  <c r="BZ95" i="30"/>
  <c r="CE91" i="30"/>
  <c r="BZ88" i="30"/>
  <c r="CE84" i="30"/>
  <c r="BN116" i="30"/>
  <c r="BR113" i="30"/>
  <c r="BJ111" i="30"/>
  <c r="BN108" i="30"/>
  <c r="BR105" i="30"/>
  <c r="BJ103" i="30"/>
  <c r="BN100" i="30"/>
  <c r="BR97" i="30"/>
  <c r="BJ95" i="30"/>
  <c r="BN92" i="30"/>
  <c r="BR89" i="30"/>
  <c r="BJ87" i="30"/>
  <c r="BN84" i="30"/>
  <c r="BA115" i="30"/>
  <c r="BE112" i="30"/>
  <c r="AW110" i="30"/>
  <c r="BA107" i="30"/>
  <c r="BE104" i="30"/>
  <c r="AW102" i="30"/>
  <c r="BA99" i="30"/>
  <c r="BE96" i="30"/>
  <c r="AW94" i="30"/>
  <c r="BA91" i="30"/>
  <c r="BE88" i="30"/>
  <c r="AW86" i="30"/>
  <c r="BA83" i="30"/>
  <c r="CM117" i="30"/>
  <c r="CP111" i="30"/>
  <c r="CL106" i="30"/>
  <c r="CL101" i="30"/>
  <c r="CR95" i="30"/>
  <c r="CS90" i="30"/>
  <c r="CT85" i="30"/>
  <c r="CC115" i="30"/>
  <c r="CF111" i="30"/>
  <c r="BV108" i="30"/>
  <c r="BV104" i="30"/>
  <c r="BY100" i="30"/>
  <c r="CA96" i="30"/>
  <c r="CD92" i="30"/>
  <c r="CF88" i="30"/>
  <c r="BV85" i="30"/>
  <c r="BK115" i="30"/>
  <c r="BL112" i="30"/>
  <c r="BM109" i="30"/>
  <c r="BN106" i="30"/>
  <c r="BO103" i="30"/>
  <c r="BP100" i="30"/>
  <c r="BP97" i="30"/>
  <c r="BQ94" i="30"/>
  <c r="BR91" i="30"/>
  <c r="BS88" i="30"/>
  <c r="BR85" i="30"/>
  <c r="BS82" i="30"/>
  <c r="BB117" i="30"/>
  <c r="BC114" i="30"/>
  <c r="BB111" i="30"/>
  <c r="BC108" i="30"/>
  <c r="BD105" i="30"/>
  <c r="BE102" i="30"/>
  <c r="AT100" i="30"/>
  <c r="AU97" i="30"/>
  <c r="AU94" i="30"/>
  <c r="AV91" i="30"/>
  <c r="AW88" i="30"/>
  <c r="AX85" i="30"/>
  <c r="AW82" i="30"/>
  <c r="CL117" i="30"/>
  <c r="CN111" i="30"/>
  <c r="CK106" i="30"/>
  <c r="CK101" i="30"/>
  <c r="CQ95" i="30"/>
  <c r="CR90" i="30"/>
  <c r="CO85" i="30"/>
  <c r="CB115" i="30"/>
  <c r="CE111" i="30"/>
  <c r="CG107" i="30"/>
  <c r="CG103" i="30"/>
  <c r="BX100" i="30"/>
  <c r="BY96" i="30"/>
  <c r="CC92" i="30"/>
  <c r="CE88" i="30"/>
  <c r="CF84" i="30"/>
  <c r="BJ115" i="30"/>
  <c r="BK112" i="30"/>
  <c r="BL109" i="30"/>
  <c r="BM106" i="30"/>
  <c r="BN103" i="30"/>
  <c r="BO100" i="30"/>
  <c r="BO97" i="30"/>
  <c r="BP94" i="30"/>
  <c r="BQ91" i="30"/>
  <c r="BP88" i="30"/>
  <c r="BQ85" i="30"/>
  <c r="BR82" i="30"/>
  <c r="BA117" i="30"/>
  <c r="BB114" i="30"/>
  <c r="BA111" i="30"/>
  <c r="BB108" i="30"/>
  <c r="BC105" i="30"/>
  <c r="BD102" i="30"/>
  <c r="BE99" i="30"/>
  <c r="AT97" i="30"/>
  <c r="AT94" i="30"/>
  <c r="AU91" i="30"/>
  <c r="AV88" i="30"/>
  <c r="AU85" i="30"/>
  <c r="AV82" i="30"/>
  <c r="CL114" i="30"/>
  <c r="CO108" i="30"/>
  <c r="CR102" i="30"/>
  <c r="CS97" i="30"/>
  <c r="CT92" i="30"/>
  <c r="CO87" i="30"/>
  <c r="CR82" i="30"/>
  <c r="BV117" i="30"/>
  <c r="BW113" i="30"/>
  <c r="CB109" i="30"/>
  <c r="CC105" i="30"/>
  <c r="CE101" i="30"/>
  <c r="CG97" i="30"/>
  <c r="BY94" i="30"/>
  <c r="BX90" i="30"/>
  <c r="CA86" i="30"/>
  <c r="CA82" i="30"/>
  <c r="BM116" i="30"/>
  <c r="BN113" i="30"/>
  <c r="BO110" i="30"/>
  <c r="BP107" i="30"/>
  <c r="BO104" i="30"/>
  <c r="BP101" i="30"/>
  <c r="BQ98" i="30"/>
  <c r="BR95" i="30"/>
  <c r="BS92" i="30"/>
  <c r="BH90" i="30"/>
  <c r="BH87" i="30"/>
  <c r="BI84" i="30"/>
  <c r="BD115" i="30"/>
  <c r="BD112" i="30"/>
  <c r="BE109" i="30"/>
  <c r="AT107" i="30"/>
  <c r="AU104" i="30"/>
  <c r="AT101" i="30"/>
  <c r="AU98" i="30"/>
  <c r="AV95" i="30"/>
  <c r="AW92" i="30"/>
  <c r="AX89" i="30"/>
  <c r="AY86" i="30"/>
  <c r="AY83" i="30"/>
  <c r="CR117" i="30"/>
  <c r="CM111" i="30"/>
  <c r="CR105" i="30"/>
  <c r="CT99" i="30"/>
  <c r="CJ94" i="30"/>
  <c r="CP88" i="30"/>
  <c r="CL83" i="30"/>
  <c r="BY116" i="30"/>
  <c r="BY112" i="30"/>
  <c r="CA107" i="30"/>
  <c r="CA103" i="30"/>
  <c r="BY99" i="30"/>
  <c r="BW95" i="30"/>
  <c r="CG90" i="30"/>
  <c r="CE86" i="30"/>
  <c r="BZ82" i="30"/>
  <c r="CO117" i="30"/>
  <c r="CL111" i="30"/>
  <c r="CO105" i="30"/>
  <c r="CR99" i="30"/>
  <c r="CQ93" i="30"/>
  <c r="CM88" i="30"/>
  <c r="CU82" i="30"/>
  <c r="BX116" i="30"/>
  <c r="BV112" i="30"/>
  <c r="BZ107" i="30"/>
  <c r="BZ103" i="30"/>
  <c r="BX99" i="30"/>
  <c r="CG94" i="30"/>
  <c r="CF90" i="30"/>
  <c r="CD86" i="30"/>
  <c r="BX82" i="30"/>
  <c r="CN117" i="30"/>
  <c r="CK111" i="30"/>
  <c r="CN105" i="30"/>
  <c r="CQ99" i="30"/>
  <c r="CP93" i="30"/>
  <c r="CL88" i="30"/>
  <c r="CT82" i="30"/>
  <c r="BW116" i="30"/>
  <c r="CG111" i="30"/>
  <c r="BY107" i="30"/>
  <c r="BY103" i="30"/>
  <c r="BW99" i="30"/>
  <c r="CF94" i="30"/>
  <c r="CE90" i="30"/>
  <c r="CC86" i="30"/>
  <c r="BW82" i="30"/>
  <c r="CP114" i="30"/>
  <c r="CQ107" i="30"/>
  <c r="CN101" i="30"/>
  <c r="CJ95" i="30"/>
  <c r="CT88" i="30"/>
  <c r="CO82" i="30"/>
  <c r="CD115" i="30"/>
  <c r="CD110" i="30"/>
  <c r="CB106" i="30"/>
  <c r="CF101" i="30"/>
  <c r="BX97" i="30"/>
  <c r="CB92" i="30"/>
  <c r="CF87" i="30"/>
  <c r="BZ83" i="30"/>
  <c r="BL117" i="30"/>
  <c r="BJ114" i="30"/>
  <c r="BS110" i="30"/>
  <c r="BQ107" i="30"/>
  <c r="BL104" i="30"/>
  <c r="BJ101" i="30"/>
  <c r="BH98" i="30"/>
  <c r="BO94" i="30"/>
  <c r="BK91" i="30"/>
  <c r="BI88" i="30"/>
  <c r="BS84" i="30"/>
  <c r="AZ116" i="30"/>
  <c r="AX113" i="30"/>
  <c r="AU110" i="30"/>
  <c r="BD106" i="30"/>
  <c r="AZ103" i="30"/>
  <c r="AX100" i="30"/>
  <c r="AV97" i="30"/>
  <c r="BC93" i="30"/>
  <c r="AY90" i="30"/>
  <c r="AW87" i="30"/>
  <c r="AU84" i="30"/>
  <c r="AI117" i="30"/>
  <c r="AM114" i="30"/>
  <c r="AQ111" i="30"/>
  <c r="AI109" i="30"/>
  <c r="AM106" i="30"/>
  <c r="AQ103" i="30"/>
  <c r="AI101" i="30"/>
  <c r="AM98" i="30"/>
  <c r="AQ95" i="30"/>
  <c r="AI93" i="30"/>
  <c r="AM90" i="30"/>
  <c r="AQ87" i="30"/>
  <c r="AI85" i="30"/>
  <c r="AM82" i="30"/>
  <c r="R116" i="30"/>
  <c r="V113" i="30"/>
  <c r="Z110" i="30"/>
  <c r="R108" i="30"/>
  <c r="V105" i="30"/>
  <c r="Z102" i="30"/>
  <c r="R100" i="30"/>
  <c r="V97" i="30"/>
  <c r="Z94" i="30"/>
  <c r="R92" i="30"/>
  <c r="V89" i="30"/>
  <c r="Z86" i="30"/>
  <c r="R84" i="30"/>
  <c r="CM114" i="30"/>
  <c r="CK107" i="30"/>
  <c r="CU100" i="30"/>
  <c r="CT94" i="30"/>
  <c r="CK88" i="30"/>
  <c r="BZ115" i="30"/>
  <c r="BX106" i="30"/>
  <c r="CC101" i="30"/>
  <c r="BZ92" i="30"/>
  <c r="BX83" i="30"/>
  <c r="BH114" i="30"/>
  <c r="BL107" i="30"/>
  <c r="BH101" i="30"/>
  <c r="BM94" i="30"/>
  <c r="BS87" i="30"/>
  <c r="AU87" i="30"/>
  <c r="AK114" i="30"/>
  <c r="AK106" i="30"/>
  <c r="AK98" i="30"/>
  <c r="AK90" i="30"/>
  <c r="AK82" i="30"/>
  <c r="X110" i="30"/>
  <c r="X102" i="30"/>
  <c r="T97" i="30"/>
  <c r="AB91" i="30"/>
  <c r="AB83" i="30"/>
  <c r="CO114" i="30"/>
  <c r="CP107" i="30"/>
  <c r="CM101" i="30"/>
  <c r="CU94" i="30"/>
  <c r="CQ88" i="30"/>
  <c r="CA115" i="30"/>
  <c r="CC110" i="30"/>
  <c r="BZ106" i="30"/>
  <c r="CD101" i="30"/>
  <c r="BW97" i="30"/>
  <c r="CA92" i="30"/>
  <c r="CE87" i="30"/>
  <c r="BY83" i="30"/>
  <c r="BK117" i="30"/>
  <c r="BI114" i="30"/>
  <c r="BR110" i="30"/>
  <c r="BO107" i="30"/>
  <c r="BK104" i="30"/>
  <c r="BI101" i="30"/>
  <c r="BS97" i="30"/>
  <c r="BN94" i="30"/>
  <c r="BJ91" i="30"/>
  <c r="BH88" i="30"/>
  <c r="BR84" i="30"/>
  <c r="AY116" i="30"/>
  <c r="AW113" i="30"/>
  <c r="AT110" i="30"/>
  <c r="BC106" i="30"/>
  <c r="AY103" i="30"/>
  <c r="AW100" i="30"/>
  <c r="BD96" i="30"/>
  <c r="BB93" i="30"/>
  <c r="AX90" i="30"/>
  <c r="AV87" i="30"/>
  <c r="AT84" i="30"/>
  <c r="AH117" i="30"/>
  <c r="AL114" i="30"/>
  <c r="AP111" i="30"/>
  <c r="AH109" i="30"/>
  <c r="AL106" i="30"/>
  <c r="AP103" i="30"/>
  <c r="AH101" i="30"/>
  <c r="AL98" i="30"/>
  <c r="AP95" i="30"/>
  <c r="AH93" i="30"/>
  <c r="AL90" i="30"/>
  <c r="AP87" i="30"/>
  <c r="AH85" i="30"/>
  <c r="AL82" i="30"/>
  <c r="AC115" i="30"/>
  <c r="U113" i="30"/>
  <c r="Y110" i="30"/>
  <c r="AC107" i="30"/>
  <c r="U105" i="30"/>
  <c r="Y102" i="30"/>
  <c r="AC99" i="30"/>
  <c r="U97" i="30"/>
  <c r="Y94" i="30"/>
  <c r="AC91" i="30"/>
  <c r="U89" i="30"/>
  <c r="Y86" i="30"/>
  <c r="AC83" i="30"/>
  <c r="CA110" i="30"/>
  <c r="BV97" i="30"/>
  <c r="CD87" i="30"/>
  <c r="BJ117" i="30"/>
  <c r="BQ110" i="30"/>
  <c r="BJ104" i="30"/>
  <c r="BQ97" i="30"/>
  <c r="BI91" i="30"/>
  <c r="BQ84" i="30"/>
  <c r="AX116" i="30"/>
  <c r="AV113" i="30"/>
  <c r="BD109" i="30"/>
  <c r="BB106" i="30"/>
  <c r="AX103" i="30"/>
  <c r="AV100" i="30"/>
  <c r="BC96" i="30"/>
  <c r="BA93" i="30"/>
  <c r="AW90" i="30"/>
  <c r="BE83" i="30"/>
  <c r="AG117" i="30"/>
  <c r="AO111" i="30"/>
  <c r="AG109" i="30"/>
  <c r="AO103" i="30"/>
  <c r="AG101" i="30"/>
  <c r="AO95" i="30"/>
  <c r="AG93" i="30"/>
  <c r="AO87" i="30"/>
  <c r="AG85" i="30"/>
  <c r="AB115" i="30"/>
  <c r="T113" i="30"/>
  <c r="AB107" i="30"/>
  <c r="T105" i="30"/>
  <c r="AB99" i="30"/>
  <c r="X94" i="30"/>
  <c r="T89" i="30"/>
  <c r="X86" i="30"/>
  <c r="CO116" i="30"/>
  <c r="CR109" i="30"/>
  <c r="CN103" i="30"/>
  <c r="CL97" i="30"/>
  <c r="CN91" i="30"/>
  <c r="CN84" i="30"/>
  <c r="CC117" i="30"/>
  <c r="CG112" i="30"/>
  <c r="CB108" i="30"/>
  <c r="CD103" i="30"/>
  <c r="CF98" i="30"/>
  <c r="BZ94" i="30"/>
  <c r="CC89" i="30"/>
  <c r="CD84" i="30"/>
  <c r="BL115" i="30"/>
  <c r="BH112" i="30"/>
  <c r="BR108" i="30"/>
  <c r="BO105" i="30"/>
  <c r="BM102" i="30"/>
  <c r="BI99" i="30"/>
  <c r="BS95" i="30"/>
  <c r="BP92" i="30"/>
  <c r="BM89" i="30"/>
  <c r="BK86" i="30"/>
  <c r="BQ82" i="30"/>
  <c r="BD117" i="30"/>
  <c r="AX114" i="30"/>
  <c r="AV111" i="30"/>
  <c r="AT108" i="30"/>
  <c r="BC104" i="30"/>
  <c r="BA101" i="30"/>
  <c r="AW98" i="30"/>
  <c r="AT95" i="30"/>
  <c r="BD91" i="30"/>
  <c r="BA88" i="30"/>
  <c r="AY85" i="30"/>
  <c r="AM115" i="30"/>
  <c r="AQ112" i="30"/>
  <c r="AI110" i="30"/>
  <c r="AM107" i="30"/>
  <c r="AQ104" i="30"/>
  <c r="AI102" i="30"/>
  <c r="AM99" i="30"/>
  <c r="AQ96" i="30"/>
  <c r="AI94" i="30"/>
  <c r="AM91" i="30"/>
  <c r="AQ88" i="30"/>
  <c r="AI86" i="30"/>
  <c r="AM83" i="30"/>
  <c r="R117" i="30"/>
  <c r="V114" i="30"/>
  <c r="Z111" i="30"/>
  <c r="R109" i="30"/>
  <c r="V106" i="30"/>
  <c r="Z103" i="30"/>
  <c r="R101" i="30"/>
  <c r="V98" i="30"/>
  <c r="Z95" i="30"/>
  <c r="R93" i="30"/>
  <c r="V90" i="30"/>
  <c r="Z87" i="30"/>
  <c r="R85" i="30"/>
  <c r="V82" i="30"/>
  <c r="CJ116" i="30"/>
  <c r="CQ109" i="30"/>
  <c r="CM103" i="30"/>
  <c r="CK97" i="30"/>
  <c r="CM91" i="30"/>
  <c r="CM84" i="30"/>
  <c r="CB117" i="30"/>
  <c r="CF112" i="30"/>
  <c r="CA108" i="30"/>
  <c r="BX103" i="30"/>
  <c r="CD98" i="30"/>
  <c r="BX94" i="30"/>
  <c r="CB89" i="30"/>
  <c r="CC84" i="30"/>
  <c r="BI115" i="30"/>
  <c r="BS111" i="30"/>
  <c r="BQ108" i="30"/>
  <c r="BN105" i="30"/>
  <c r="BL102" i="30"/>
  <c r="BH99" i="30"/>
  <c r="BQ95" i="30"/>
  <c r="BO92" i="30"/>
  <c r="BL89" i="30"/>
  <c r="BH86" i="30"/>
  <c r="BP82" i="30"/>
  <c r="BC117" i="30"/>
  <c r="AW114" i="30"/>
  <c r="AU111" i="30"/>
  <c r="BE107" i="30"/>
  <c r="BB104" i="30"/>
  <c r="AZ101" i="30"/>
  <c r="AV98" i="30"/>
  <c r="BE94" i="30"/>
  <c r="BC91" i="30"/>
  <c r="AZ88" i="30"/>
  <c r="AT85" i="30"/>
  <c r="CU110" i="30"/>
  <c r="CS103" i="30"/>
  <c r="CQ96" i="30"/>
  <c r="CU88" i="30"/>
  <c r="CG113" i="30"/>
  <c r="CE108" i="30"/>
  <c r="CG102" i="30"/>
  <c r="CC97" i="30"/>
  <c r="CF91" i="30"/>
  <c r="BY86" i="30"/>
  <c r="BP117" i="30"/>
  <c r="BQ113" i="30"/>
  <c r="BS109" i="30"/>
  <c r="BJ106" i="30"/>
  <c r="BN102" i="30"/>
  <c r="BN98" i="30"/>
  <c r="BR94" i="30"/>
  <c r="BP90" i="30"/>
  <c r="BS86" i="30"/>
  <c r="BJ83" i="30"/>
  <c r="AX115" i="30"/>
  <c r="AY111" i="30"/>
  <c r="BB107" i="30"/>
  <c r="BC103" i="30"/>
  <c r="BC99" i="30"/>
  <c r="AU96" i="30"/>
  <c r="AX92" i="30"/>
  <c r="AY88" i="30"/>
  <c r="AZ84" i="30"/>
  <c r="AP117" i="30"/>
  <c r="AP114" i="30"/>
  <c r="AM111" i="30"/>
  <c r="AM108" i="30"/>
  <c r="AM105" i="30"/>
  <c r="AM102" i="30"/>
  <c r="AL99" i="30"/>
  <c r="AL96" i="30"/>
  <c r="AL93" i="30"/>
  <c r="AI90" i="30"/>
  <c r="AI87" i="30"/>
  <c r="AI84" i="30"/>
  <c r="Z116" i="30"/>
  <c r="Z113" i="30"/>
  <c r="W110" i="30"/>
  <c r="W107" i="30"/>
  <c r="W104" i="30"/>
  <c r="W101" i="30"/>
  <c r="W98" i="30"/>
  <c r="V95" i="30"/>
  <c r="V92" i="30"/>
  <c r="S89" i="30"/>
  <c r="S86" i="30"/>
  <c r="S83" i="30"/>
  <c r="AN114" i="30"/>
  <c r="AK108" i="30"/>
  <c r="AK102" i="30"/>
  <c r="AJ99" i="30"/>
  <c r="AJ93" i="30"/>
  <c r="AG87" i="30"/>
  <c r="AG84" i="30"/>
  <c r="X113" i="30"/>
  <c r="U107" i="30"/>
  <c r="U101" i="30"/>
  <c r="T95" i="30"/>
  <c r="AC88" i="30"/>
  <c r="AC82" i="30"/>
  <c r="CC102" i="30"/>
  <c r="BV86" i="30"/>
  <c r="BM113" i="30"/>
  <c r="CT110" i="30"/>
  <c r="CL103" i="30"/>
  <c r="CK96" i="30"/>
  <c r="CJ88" i="30"/>
  <c r="CD113" i="30"/>
  <c r="CD108" i="30"/>
  <c r="CF102" i="30"/>
  <c r="CB97" i="30"/>
  <c r="CD91" i="30"/>
  <c r="BX86" i="30"/>
  <c r="BO117" i="30"/>
  <c r="BP113" i="30"/>
  <c r="BR109" i="30"/>
  <c r="BI106" i="30"/>
  <c r="BK102" i="30"/>
  <c r="BM98" i="30"/>
  <c r="BL94" i="30"/>
  <c r="BO90" i="30"/>
  <c r="BR86" i="30"/>
  <c r="BI83" i="30"/>
  <c r="AW115" i="30"/>
  <c r="AX111" i="30"/>
  <c r="AZ107" i="30"/>
  <c r="BB103" i="30"/>
  <c r="BB99" i="30"/>
  <c r="AT96" i="30"/>
  <c r="AV92" i="30"/>
  <c r="AX88" i="30"/>
  <c r="AY84" i="30"/>
  <c r="AO117" i="30"/>
  <c r="AO114" i="30"/>
  <c r="AL111" i="30"/>
  <c r="AL108" i="30"/>
  <c r="AL105" i="30"/>
  <c r="AL102" i="30"/>
  <c r="AK99" i="30"/>
  <c r="AK96" i="30"/>
  <c r="AK93" i="30"/>
  <c r="AH90" i="30"/>
  <c r="AH87" i="30"/>
  <c r="AH84" i="30"/>
  <c r="Y116" i="30"/>
  <c r="Y113" i="30"/>
  <c r="V110" i="30"/>
  <c r="V107" i="30"/>
  <c r="V104" i="30"/>
  <c r="V101" i="30"/>
  <c r="U98" i="30"/>
  <c r="U95" i="30"/>
  <c r="U92" i="30"/>
  <c r="R89" i="30"/>
  <c r="R86" i="30"/>
  <c r="R83" i="30"/>
  <c r="CS110" i="30"/>
  <c r="CQ102" i="30"/>
  <c r="CP95" i="30"/>
  <c r="CQ87" i="30"/>
  <c r="CC113" i="30"/>
  <c r="CC108" i="30"/>
  <c r="CD102" i="30"/>
  <c r="BY97" i="30"/>
  <c r="CC91" i="30"/>
  <c r="BW86" i="30"/>
  <c r="BN117" i="30"/>
  <c r="BO113" i="30"/>
  <c r="BQ109" i="30"/>
  <c r="BH106" i="30"/>
  <c r="BH102" i="30"/>
  <c r="BL98" i="30"/>
  <c r="BK94" i="30"/>
  <c r="BN90" i="30"/>
  <c r="BQ86" i="30"/>
  <c r="BH83" i="30"/>
  <c r="AV115" i="30"/>
  <c r="AW111" i="30"/>
  <c r="AY107" i="30"/>
  <c r="BA103" i="30"/>
  <c r="AZ99" i="30"/>
  <c r="BC95" i="30"/>
  <c r="AU92" i="30"/>
  <c r="AU88" i="30"/>
  <c r="AX84" i="30"/>
  <c r="AN117" i="30"/>
  <c r="AK111" i="30"/>
  <c r="AK105" i="30"/>
  <c r="AJ96" i="30"/>
  <c r="AG90" i="30"/>
  <c r="X116" i="30"/>
  <c r="U110" i="30"/>
  <c r="U104" i="30"/>
  <c r="T98" i="30"/>
  <c r="T92" i="30"/>
  <c r="AC85" i="30"/>
  <c r="CR110" i="30"/>
  <c r="CP102" i="30"/>
  <c r="CO95" i="30"/>
  <c r="CN87" i="30"/>
  <c r="CB113" i="30"/>
  <c r="BZ108" i="30"/>
  <c r="CG96" i="30"/>
  <c r="CB91" i="30"/>
  <c r="BM117" i="30"/>
  <c r="BP109" i="30"/>
  <c r="CQ114" i="30"/>
  <c r="CM106" i="30"/>
  <c r="CN98" i="30"/>
  <c r="CR91" i="30"/>
  <c r="CJ84" i="30"/>
  <c r="BZ116" i="30"/>
  <c r="BX110" i="30"/>
  <c r="BW105" i="30"/>
  <c r="CF99" i="30"/>
  <c r="CD93" i="30"/>
  <c r="CC88" i="30"/>
  <c r="BW83" i="30"/>
  <c r="BO115" i="30"/>
  <c r="BN111" i="30"/>
  <c r="BR107" i="30"/>
  <c r="BQ103" i="30"/>
  <c r="BS99" i="30"/>
  <c r="BJ96" i="30"/>
  <c r="BK92" i="30"/>
  <c r="BL88" i="30"/>
  <c r="BM84" i="30"/>
  <c r="BC116" i="30"/>
  <c r="BC112" i="30"/>
  <c r="AT109" i="30"/>
  <c r="AW105" i="30"/>
  <c r="AY101" i="30"/>
  <c r="BA97" i="30"/>
  <c r="AZ93" i="30"/>
  <c r="BC89" i="30"/>
  <c r="AT86" i="30"/>
  <c r="AU82" i="30"/>
  <c r="AQ115" i="30"/>
  <c r="AP112" i="30"/>
  <c r="AP109" i="30"/>
  <c r="AP106" i="30"/>
  <c r="AM103" i="30"/>
  <c r="AM100" i="30"/>
  <c r="AM97" i="30"/>
  <c r="AM94" i="30"/>
  <c r="AL91" i="30"/>
  <c r="AL88" i="30"/>
  <c r="AL85" i="30"/>
  <c r="AI82" i="30"/>
  <c r="AA117" i="30"/>
  <c r="AA114" i="30"/>
  <c r="AA111" i="30"/>
  <c r="Z108" i="30"/>
  <c r="Z105" i="30"/>
  <c r="W102" i="30"/>
  <c r="W99" i="30"/>
  <c r="W96" i="30"/>
  <c r="W93" i="30"/>
  <c r="W90" i="30"/>
  <c r="V87" i="30"/>
  <c r="V84" i="30"/>
  <c r="CK114" i="30"/>
  <c r="CJ106" i="30"/>
  <c r="CM98" i="30"/>
  <c r="CQ91" i="30"/>
  <c r="CU83" i="30"/>
  <c r="CF115" i="30"/>
  <c r="BW110" i="30"/>
  <c r="CG104" i="30"/>
  <c r="CE99" i="30"/>
  <c r="CC93" i="30"/>
  <c r="CA88" i="30"/>
  <c r="CG82" i="30"/>
  <c r="BH115" i="30"/>
  <c r="BM111" i="30"/>
  <c r="BK107" i="30"/>
  <c r="BP103" i="30"/>
  <c r="BR99" i="30"/>
  <c r="BI96" i="30"/>
  <c r="BJ92" i="30"/>
  <c r="BK88" i="30"/>
  <c r="BL84" i="30"/>
  <c r="BB116" i="30"/>
  <c r="BB112" i="30"/>
  <c r="BE108" i="30"/>
  <c r="AV105" i="30"/>
  <c r="AX101" i="30"/>
  <c r="AZ97" i="30"/>
  <c r="AY93" i="30"/>
  <c r="BB89" i="30"/>
  <c r="BE85" i="30"/>
  <c r="AT82" i="30"/>
  <c r="AP115" i="30"/>
  <c r="AO112" i="30"/>
  <c r="AO109" i="30"/>
  <c r="AO106" i="30"/>
  <c r="AL103" i="30"/>
  <c r="AL100" i="30"/>
  <c r="AL97" i="30"/>
  <c r="AL94" i="30"/>
  <c r="AK91" i="30"/>
  <c r="AK88" i="30"/>
  <c r="AK85" i="30"/>
  <c r="AH82" i="30"/>
  <c r="Z117" i="30"/>
  <c r="Z114" i="30"/>
  <c r="Y111" i="30"/>
  <c r="Y108" i="30"/>
  <c r="Y105" i="30"/>
  <c r="V102" i="30"/>
  <c r="V99" i="30"/>
  <c r="V96" i="30"/>
  <c r="V93" i="30"/>
  <c r="U90" i="30"/>
  <c r="U87" i="30"/>
  <c r="U84" i="30"/>
  <c r="CS113" i="30"/>
  <c r="CU105" i="30"/>
  <c r="CL98" i="30"/>
  <c r="CO91" i="30"/>
  <c r="CT83" i="30"/>
  <c r="CE115" i="30"/>
  <c r="BV110" i="30"/>
  <c r="CF104" i="30"/>
  <c r="BZ99" i="30"/>
  <c r="CB93" i="30"/>
  <c r="BW88" i="30"/>
  <c r="CF82" i="30"/>
  <c r="CS112" i="30"/>
  <c r="CT103" i="30"/>
  <c r="CL93" i="30"/>
  <c r="CO84" i="30"/>
  <c r="BW117" i="30"/>
  <c r="CE109" i="30"/>
  <c r="BZ102" i="30"/>
  <c r="CE95" i="30"/>
  <c r="BW89" i="30"/>
  <c r="BP115" i="30"/>
  <c r="BN110" i="30"/>
  <c r="BQ105" i="30"/>
  <c r="BL101" i="30"/>
  <c r="BP96" i="30"/>
  <c r="BL92" i="30"/>
  <c r="BO87" i="30"/>
  <c r="BK83" i="30"/>
  <c r="AZ117" i="30"/>
  <c r="AU113" i="30"/>
  <c r="AY108" i="30"/>
  <c r="AV104" i="30"/>
  <c r="AV99" i="30"/>
  <c r="BC94" i="30"/>
  <c r="AU90" i="30"/>
  <c r="BC85" i="30"/>
  <c r="AN116" i="30"/>
  <c r="AI113" i="30"/>
  <c r="AM109" i="30"/>
  <c r="AQ105" i="30"/>
  <c r="AH102" i="30"/>
  <c r="AO98" i="30"/>
  <c r="AG95" i="30"/>
  <c r="AN91" i="30"/>
  <c r="AF88" i="30"/>
  <c r="AJ84" i="30"/>
  <c r="CR112" i="30"/>
  <c r="CN102" i="30"/>
  <c r="CK93" i="30"/>
  <c r="CL84" i="30"/>
  <c r="CF116" i="30"/>
  <c r="CD109" i="30"/>
  <c r="BX102" i="30"/>
  <c r="CD95" i="30"/>
  <c r="CD88" i="30"/>
  <c r="BS114" i="30"/>
  <c r="BM110" i="30"/>
  <c r="BP105" i="30"/>
  <c r="BK101" i="30"/>
  <c r="BO96" i="30"/>
  <c r="BI92" i="30"/>
  <c r="BN87" i="30"/>
  <c r="BO82" i="30"/>
  <c r="AY117" i="30"/>
  <c r="AT113" i="30"/>
  <c r="AX108" i="30"/>
  <c r="AT104" i="30"/>
  <c r="AU99" i="30"/>
  <c r="BB94" i="30"/>
  <c r="AT90" i="30"/>
  <c r="BB85" i="30"/>
  <c r="AM116" i="30"/>
  <c r="AH113" i="30"/>
  <c r="AL109" i="30"/>
  <c r="AP105" i="30"/>
  <c r="AG102" i="30"/>
  <c r="CQ112" i="30"/>
  <c r="CM102" i="30"/>
  <c r="CJ93" i="30"/>
  <c r="CK84" i="30"/>
  <c r="CE116" i="30"/>
  <c r="CC109" i="30"/>
  <c r="BV102" i="30"/>
  <c r="CB95" i="30"/>
  <c r="BV88" i="30"/>
  <c r="BR114" i="30"/>
  <c r="BL110" i="30"/>
  <c r="BM105" i="30"/>
  <c r="BS100" i="30"/>
  <c r="BN96" i="30"/>
  <c r="BH92" i="30"/>
  <c r="BM87" i="30"/>
  <c r="BN82" i="30"/>
  <c r="AX117" i="30"/>
  <c r="BA112" i="30"/>
  <c r="AW108" i="30"/>
  <c r="AW103" i="30"/>
  <c r="AT99" i="30"/>
  <c r="BA94" i="30"/>
  <c r="BE89" i="30"/>
  <c r="BA85" i="30"/>
  <c r="AL116" i="30"/>
  <c r="AG113" i="30"/>
  <c r="AK109" i="30"/>
  <c r="AO105" i="30"/>
  <c r="AF102" i="30"/>
  <c r="AJ98" i="30"/>
  <c r="AQ94" i="30"/>
  <c r="AI91" i="30"/>
  <c r="AM87" i="30"/>
  <c r="AQ83" i="30"/>
  <c r="CP112" i="30"/>
  <c r="CT101" i="30"/>
  <c r="CS91" i="30"/>
  <c r="CA113" i="30"/>
  <c r="BV106" i="30"/>
  <c r="BX98" i="30"/>
  <c r="BZ90" i="30"/>
  <c r="CA83" i="30"/>
  <c r="BP114" i="30"/>
  <c r="BK109" i="30"/>
  <c r="BN104" i="30"/>
  <c r="BO99" i="30"/>
  <c r="BH94" i="30"/>
  <c r="BO89" i="30"/>
  <c r="BO84" i="30"/>
  <c r="BD113" i="30"/>
  <c r="BD108" i="30"/>
  <c r="AV103" i="30"/>
  <c r="BB98" i="30"/>
  <c r="AX93" i="30"/>
  <c r="BC88" i="30"/>
  <c r="AX83" i="30"/>
  <c r="AP116" i="30"/>
  <c r="AN112" i="30"/>
  <c r="AO108" i="30"/>
  <c r="AO104" i="30"/>
  <c r="AP100" i="30"/>
  <c r="AG97" i="30"/>
  <c r="AQ92" i="30"/>
  <c r="AJ89" i="30"/>
  <c r="AN85" i="30"/>
  <c r="AB117" i="30"/>
  <c r="T114" i="30"/>
  <c r="AA110" i="30"/>
  <c r="AB106" i="30"/>
  <c r="V103" i="30"/>
  <c r="Z99" i="30"/>
  <c r="S96" i="30"/>
  <c r="Y92" i="30"/>
  <c r="Z88" i="30"/>
  <c r="U85" i="30"/>
  <c r="CO112" i="30"/>
  <c r="CO101" i="30"/>
  <c r="CP90" i="30"/>
  <c r="BZ113" i="30"/>
  <c r="CG105" i="30"/>
  <c r="BW98" i="30"/>
  <c r="BV90" i="30"/>
  <c r="BV82" i="30"/>
  <c r="BO114" i="30"/>
  <c r="BJ109" i="30"/>
  <c r="BM104" i="30"/>
  <c r="BL99" i="30"/>
  <c r="BS93" i="30"/>
  <c r="BN89" i="30"/>
  <c r="BK84" i="30"/>
  <c r="BC113" i="30"/>
  <c r="BA108" i="30"/>
  <c r="AU103" i="30"/>
  <c r="AY98" i="30"/>
  <c r="AU93" i="30"/>
  <c r="BB88" i="30"/>
  <c r="AW83" i="30"/>
  <c r="AO116" i="30"/>
  <c r="AM112" i="30"/>
  <c r="AN108" i="30"/>
  <c r="AN104" i="30"/>
  <c r="AO100" i="30"/>
  <c r="AF97" i="30"/>
  <c r="AP92" i="30"/>
  <c r="AI89" i="30"/>
  <c r="AM85" i="30"/>
  <c r="Y117" i="30"/>
  <c r="S114" i="30"/>
  <c r="T110" i="30"/>
  <c r="AA106" i="30"/>
  <c r="U103" i="30"/>
  <c r="Y99" i="30"/>
  <c r="R96" i="30"/>
  <c r="X92" i="30"/>
  <c r="Y88" i="30"/>
  <c r="T85" i="30"/>
  <c r="CR116" i="30"/>
  <c r="CP106" i="30"/>
  <c r="CM95" i="30"/>
  <c r="CN85" i="30"/>
  <c r="BZ117" i="30"/>
  <c r="BW109" i="30"/>
  <c r="BV101" i="30"/>
  <c r="BX93" i="30"/>
  <c r="BY85" i="30"/>
  <c r="BQ116" i="30"/>
  <c r="BQ111" i="30"/>
  <c r="BP106" i="30"/>
  <c r="BN101" i="30"/>
  <c r="BL96" i="30"/>
  <c r="BH91" i="30"/>
  <c r="BL86" i="30"/>
  <c r="BB115" i="30"/>
  <c r="BA110" i="30"/>
  <c r="BA105" i="30"/>
  <c r="BB100" i="30"/>
  <c r="AZ95" i="30"/>
  <c r="BC90" i="30"/>
  <c r="AZ85" i="30"/>
  <c r="AH114" i="30"/>
  <c r="AL110" i="30"/>
  <c r="AJ106" i="30"/>
  <c r="AN102" i="30"/>
  <c r="AI98" i="30"/>
  <c r="AN94" i="30"/>
  <c r="AP90" i="30"/>
  <c r="AO86" i="30"/>
  <c r="AG83" i="30"/>
  <c r="W115" i="30"/>
  <c r="R112" i="30"/>
  <c r="V108" i="30"/>
  <c r="Z104" i="30"/>
  <c r="AC100" i="30"/>
  <c r="X97" i="30"/>
  <c r="AB93" i="30"/>
  <c r="T90" i="30"/>
  <c r="AA86" i="30"/>
  <c r="AB82" i="30"/>
  <c r="CQ116" i="30"/>
  <c r="CT105" i="30"/>
  <c r="CK95" i="30"/>
  <c r="CM85" i="30"/>
  <c r="CB116" i="30"/>
  <c r="CC100" i="30"/>
  <c r="BW93" i="30"/>
  <c r="BX85" i="30"/>
  <c r="BP116" i="30"/>
  <c r="BP111" i="30"/>
  <c r="BO106" i="30"/>
  <c r="BM101" i="30"/>
  <c r="BK96" i="30"/>
  <c r="BS90" i="30"/>
  <c r="BS85" i="30"/>
  <c r="CM109" i="30"/>
  <c r="CR97" i="30"/>
  <c r="CN86" i="30"/>
  <c r="BV113" i="30"/>
  <c r="CE104" i="30"/>
  <c r="CG95" i="30"/>
  <c r="BX87" i="30"/>
  <c r="BO112" i="30"/>
  <c r="BR106" i="30"/>
  <c r="BM100" i="30"/>
  <c r="BK95" i="30"/>
  <c r="BK89" i="30"/>
  <c r="BQ83" i="30"/>
  <c r="AT117" i="30"/>
  <c r="BC111" i="30"/>
  <c r="AU106" i="30"/>
  <c r="BC100" i="30"/>
  <c r="AW95" i="30"/>
  <c r="AY89" i="30"/>
  <c r="BC83" i="30"/>
  <c r="AI116" i="30"/>
  <c r="AG112" i="30"/>
  <c r="AN107" i="30"/>
  <c r="AI103" i="30"/>
  <c r="AF99" i="30"/>
  <c r="AO94" i="30"/>
  <c r="AJ90" i="30"/>
  <c r="AH86" i="30"/>
  <c r="V115" i="30"/>
  <c r="W111" i="30"/>
  <c r="X107" i="30"/>
  <c r="X103" i="30"/>
  <c r="U99" i="30"/>
  <c r="X95" i="30"/>
  <c r="V91" i="30"/>
  <c r="Y87" i="30"/>
  <c r="X83" i="30"/>
  <c r="CJ97" i="30"/>
  <c r="CL85" i="30"/>
  <c r="BZ104" i="30"/>
  <c r="CD85" i="30"/>
  <c r="BS117" i="30"/>
  <c r="BK106" i="30"/>
  <c r="BS94" i="30"/>
  <c r="BL83" i="30"/>
  <c r="BA116" i="30"/>
  <c r="BB105" i="30"/>
  <c r="AZ94" i="30"/>
  <c r="AV83" i="30"/>
  <c r="AJ111" i="30"/>
  <c r="AF103" i="30"/>
  <c r="AP89" i="30"/>
  <c r="T111" i="30"/>
  <c r="S103" i="30"/>
  <c r="S91" i="30"/>
  <c r="U83" i="30"/>
  <c r="CR108" i="30"/>
  <c r="CS83" i="30"/>
  <c r="CA112" i="30"/>
  <c r="CD94" i="30"/>
  <c r="BR117" i="30"/>
  <c r="BS105" i="30"/>
  <c r="BR93" i="30"/>
  <c r="BM82" i="30"/>
  <c r="AZ105" i="30"/>
  <c r="AT89" i="30"/>
  <c r="AI111" i="30"/>
  <c r="CL109" i="30"/>
  <c r="CQ97" i="30"/>
  <c r="CK86" i="30"/>
  <c r="CE112" i="30"/>
  <c r="CD104" i="30"/>
  <c r="CF95" i="30"/>
  <c r="CF86" i="30"/>
  <c r="BN112" i="30"/>
  <c r="BQ106" i="30"/>
  <c r="BL100" i="30"/>
  <c r="BI95" i="30"/>
  <c r="BJ89" i="30"/>
  <c r="BP83" i="30"/>
  <c r="BE116" i="30"/>
  <c r="AZ111" i="30"/>
  <c r="AT106" i="30"/>
  <c r="BA100" i="30"/>
  <c r="AU95" i="30"/>
  <c r="AW89" i="30"/>
  <c r="BB83" i="30"/>
  <c r="AH116" i="30"/>
  <c r="AF112" i="30"/>
  <c r="AL107" i="30"/>
  <c r="AH103" i="30"/>
  <c r="AQ98" i="30"/>
  <c r="AK94" i="30"/>
  <c r="AF90" i="30"/>
  <c r="AG86" i="30"/>
  <c r="U115" i="30"/>
  <c r="V111" i="30"/>
  <c r="T107" i="30"/>
  <c r="W103" i="30"/>
  <c r="T99" i="30"/>
  <c r="W95" i="30"/>
  <c r="U91" i="30"/>
  <c r="X87" i="30"/>
  <c r="W83" i="30"/>
  <c r="AN98" i="30"/>
  <c r="R99" i="30"/>
  <c r="BI100" i="30"/>
  <c r="AW116" i="30"/>
  <c r="AU100" i="30"/>
  <c r="AU83" i="30"/>
  <c r="AQ102" i="30"/>
  <c r="CU108" i="30"/>
  <c r="CP97" i="30"/>
  <c r="CU85" i="30"/>
  <c r="CD112" i="30"/>
  <c r="CA104" i="30"/>
  <c r="CA95" i="30"/>
  <c r="BZ86" i="30"/>
  <c r="BM112" i="30"/>
  <c r="BL106" i="30"/>
  <c r="BK100" i="30"/>
  <c r="BH95" i="30"/>
  <c r="BI89" i="30"/>
  <c r="BO83" i="30"/>
  <c r="BD116" i="30"/>
  <c r="AT111" i="30"/>
  <c r="BE105" i="30"/>
  <c r="AZ100" i="30"/>
  <c r="BD94" i="30"/>
  <c r="AV89" i="30"/>
  <c r="AZ83" i="30"/>
  <c r="AG116" i="30"/>
  <c r="AN111" i="30"/>
  <c r="AK107" i="30"/>
  <c r="AG103" i="30"/>
  <c r="AP98" i="30"/>
  <c r="AJ94" i="30"/>
  <c r="AQ89" i="30"/>
  <c r="AF86" i="30"/>
  <c r="T115" i="30"/>
  <c r="U111" i="30"/>
  <c r="S107" i="30"/>
  <c r="T103" i="30"/>
  <c r="S99" i="30"/>
  <c r="S95" i="30"/>
  <c r="T91" i="30"/>
  <c r="W87" i="30"/>
  <c r="V83" i="30"/>
  <c r="CT108" i="30"/>
  <c r="CB112" i="30"/>
  <c r="CE94" i="30"/>
  <c r="BJ112" i="30"/>
  <c r="BJ100" i="30"/>
  <c r="BH89" i="30"/>
  <c r="BE110" i="30"/>
  <c r="AY100" i="30"/>
  <c r="AU89" i="30"/>
  <c r="AF116" i="30"/>
  <c r="AJ107" i="30"/>
  <c r="AH94" i="30"/>
  <c r="AQ85" i="30"/>
  <c r="S115" i="30"/>
  <c r="R107" i="30"/>
  <c r="R95" i="30"/>
  <c r="T87" i="30"/>
  <c r="CU96" i="30"/>
  <c r="BW104" i="30"/>
  <c r="CC85" i="30"/>
  <c r="BI112" i="30"/>
  <c r="BO88" i="30"/>
  <c r="BD110" i="30"/>
  <c r="AY94" i="30"/>
  <c r="AO115" i="30"/>
  <c r="AI107" i="30"/>
  <c r="CK115" i="30"/>
  <c r="CU101" i="30"/>
  <c r="CT89" i="30"/>
  <c r="CA117" i="30"/>
  <c r="BW107" i="30"/>
  <c r="BV99" i="30"/>
  <c r="CG89" i="30"/>
  <c r="BN114" i="30"/>
  <c r="BO108" i="30"/>
  <c r="BH103" i="30"/>
  <c r="BK97" i="30"/>
  <c r="BO91" i="30"/>
  <c r="BN85" i="30"/>
  <c r="BE113" i="30"/>
  <c r="AU108" i="30"/>
  <c r="AY102" i="30"/>
  <c r="AW97" i="30"/>
  <c r="AZ91" i="30"/>
  <c r="AX86" i="30"/>
  <c r="AO113" i="30"/>
  <c r="AJ109" i="30"/>
  <c r="AP104" i="30"/>
  <c r="AJ100" i="30"/>
  <c r="AH96" i="30"/>
  <c r="AG92" i="30"/>
  <c r="AN87" i="30"/>
  <c r="AK83" i="30"/>
  <c r="AC116" i="30"/>
  <c r="AA112" i="30"/>
  <c r="S109" i="30"/>
  <c r="AC104" i="30"/>
  <c r="AB100" i="30"/>
  <c r="AC96" i="30"/>
  <c r="S93" i="30"/>
  <c r="AB88" i="30"/>
  <c r="AC84" i="30"/>
  <c r="CU114" i="30"/>
  <c r="CR100" i="30"/>
  <c r="CS89" i="30"/>
  <c r="CA116" i="30"/>
  <c r="BV107" i="30"/>
  <c r="CG98" i="30"/>
  <c r="CF89" i="30"/>
  <c r="BM114" i="30"/>
  <c r="BM108" i="30"/>
  <c r="BS102" i="30"/>
  <c r="BJ97" i="30"/>
  <c r="BL91" i="30"/>
  <c r="BM85" i="30"/>
  <c r="BB113" i="30"/>
  <c r="BD107" i="30"/>
  <c r="AX102" i="30"/>
  <c r="BB96" i="30"/>
  <c r="AY91" i="30"/>
  <c r="AV86" i="30"/>
  <c r="AN113" i="30"/>
  <c r="AF109" i="30"/>
  <c r="AM104" i="30"/>
  <c r="AI100" i="30"/>
  <c r="AG96" i="30"/>
  <c r="AF92" i="30"/>
  <c r="AL87" i="30"/>
  <c r="AJ83" i="30"/>
  <c r="AB116" i="30"/>
  <c r="Z112" i="30"/>
  <c r="AC108" i="30"/>
  <c r="AB104" i="30"/>
  <c r="AA100" i="30"/>
  <c r="AB96" i="30"/>
  <c r="AC92" i="30"/>
  <c r="AA88" i="30"/>
  <c r="AB84" i="30"/>
  <c r="CT114" i="30"/>
  <c r="CQ100" i="30"/>
  <c r="CP89" i="30"/>
  <c r="BX115" i="30"/>
  <c r="CG106" i="30"/>
  <c r="CC98" i="30"/>
  <c r="CE89" i="30"/>
  <c r="AA11" i="30"/>
  <c r="S21" i="30"/>
  <c r="Z30" i="30"/>
  <c r="X40" i="30"/>
  <c r="U52" i="30"/>
  <c r="T62" i="30"/>
  <c r="AA71" i="30"/>
  <c r="AA83" i="30"/>
  <c r="Z93" i="30"/>
  <c r="X98" i="30"/>
  <c r="W108" i="30"/>
  <c r="R113" i="30"/>
  <c r="AN12" i="30"/>
  <c r="AQ22" i="30"/>
  <c r="AF33" i="30"/>
  <c r="AG88" i="30"/>
  <c r="AQ97" i="30"/>
  <c r="AN109" i="30"/>
  <c r="AV9" i="30"/>
  <c r="BB30" i="30"/>
  <c r="BC84" i="30"/>
  <c r="BD98" i="30"/>
  <c r="AZ113" i="30"/>
  <c r="BK13" i="30"/>
  <c r="BM28" i="30"/>
  <c r="BL82" i="30"/>
  <c r="BI98" i="30"/>
  <c r="BH113" i="30"/>
  <c r="CC28" i="30"/>
  <c r="BZ101" i="30"/>
  <c r="CG152" i="30"/>
  <c r="CG134" i="30"/>
  <c r="U7" i="30"/>
  <c r="S17" i="30"/>
  <c r="T26" i="30"/>
  <c r="AA40" i="30"/>
  <c r="V52" i="30"/>
  <c r="U62" i="30"/>
  <c r="S72" i="30"/>
  <c r="X88" i="30"/>
  <c r="Y98" i="30"/>
  <c r="X108" i="30"/>
  <c r="AB126" i="30"/>
  <c r="AO12" i="30"/>
  <c r="AF23" i="30"/>
  <c r="AJ33" i="30"/>
  <c r="AG38" i="30"/>
  <c r="AP82" i="30"/>
  <c r="AO92" i="30"/>
  <c r="AG104" i="30"/>
  <c r="AG115" i="30"/>
  <c r="AW9" i="30"/>
  <c r="AT24" i="30"/>
  <c r="BC37" i="30"/>
  <c r="AY92" i="30"/>
  <c r="AX106" i="30"/>
  <c r="BS6" i="30"/>
  <c r="BL13" i="30"/>
  <c r="BP21" i="30"/>
  <c r="BH36" i="30"/>
  <c r="BM90" i="30"/>
  <c r="BI105" i="30"/>
  <c r="BX9" i="30"/>
  <c r="BZ19" i="30"/>
  <c r="BX41" i="30"/>
  <c r="BX91" i="30"/>
  <c r="CA114" i="30"/>
  <c r="CP36" i="30"/>
  <c r="CM89" i="30"/>
  <c r="CU104" i="30"/>
  <c r="V7" i="30"/>
  <c r="T17" i="30"/>
  <c r="U26" i="30"/>
  <c r="R36" i="30"/>
  <c r="AC47" i="30"/>
  <c r="X57" i="30"/>
  <c r="X67" i="30"/>
  <c r="R77" i="30"/>
  <c r="W89" i="30"/>
  <c r="Z98" i="30"/>
  <c r="AA108" i="30"/>
  <c r="AC127" i="30"/>
  <c r="AG8" i="30"/>
  <c r="AH18" i="30"/>
  <c r="AG23" i="30"/>
  <c r="AL33" i="30"/>
  <c r="AJ38" i="30"/>
  <c r="AQ82" i="30"/>
  <c r="AI88" i="30"/>
  <c r="AG98" i="30"/>
  <c r="AF110" i="30"/>
  <c r="BE84" i="30"/>
  <c r="BM13" i="30"/>
  <c r="BS28" i="30"/>
  <c r="BS83" i="30"/>
  <c r="BJ105" i="30"/>
  <c r="BY9" i="30"/>
  <c r="CA41" i="30"/>
  <c r="BV103" i="30"/>
  <c r="CS36" i="30"/>
  <c r="CL105" i="30"/>
  <c r="CK231" i="30"/>
  <c r="CO228" i="30"/>
  <c r="CS225" i="30"/>
  <c r="CK223" i="30"/>
  <c r="CO220" i="30"/>
  <c r="CS217" i="30"/>
  <c r="CK215" i="30"/>
  <c r="CO212" i="30"/>
  <c r="CS209" i="30"/>
  <c r="CK207" i="30"/>
  <c r="CO204" i="30"/>
  <c r="CS201" i="30"/>
  <c r="CK199" i="30"/>
  <c r="CO196" i="30"/>
  <c r="CR229" i="30"/>
  <c r="CJ227" i="30"/>
  <c r="CN224" i="30"/>
  <c r="CR221" i="30"/>
  <c r="CJ219" i="30"/>
  <c r="CN216" i="30"/>
  <c r="CR213" i="30"/>
  <c r="CJ211" i="30"/>
  <c r="CN208" i="30"/>
  <c r="CR205" i="30"/>
  <c r="CJ203" i="30"/>
  <c r="CN200" i="30"/>
  <c r="CR197" i="30"/>
  <c r="CS230" i="30"/>
  <c r="CU227" i="30"/>
  <c r="CK225" i="30"/>
  <c r="CM222" i="30"/>
  <c r="CO219" i="30"/>
  <c r="CQ216" i="30"/>
  <c r="CS213" i="30"/>
  <c r="CT210" i="30"/>
  <c r="CJ208" i="30"/>
  <c r="CL205" i="30"/>
  <c r="CN202" i="30"/>
  <c r="CP199" i="30"/>
  <c r="CR196" i="30"/>
  <c r="CR230" i="30"/>
  <c r="CT227" i="30"/>
  <c r="CJ225" i="30"/>
  <c r="CL222" i="30"/>
  <c r="CN219" i="30"/>
  <c r="CP216" i="30"/>
  <c r="CQ213" i="30"/>
  <c r="CS210" i="30"/>
  <c r="CU207" i="30"/>
  <c r="CK205" i="30"/>
  <c r="CM202" i="30"/>
  <c r="CO199" i="30"/>
  <c r="CQ196" i="30"/>
  <c r="CP231" i="30"/>
  <c r="CP228" i="30"/>
  <c r="CO225" i="30"/>
  <c r="CO222" i="30"/>
  <c r="CM219" i="30"/>
  <c r="CL216" i="30"/>
  <c r="CL213" i="30"/>
  <c r="CL210" i="30"/>
  <c r="CL207" i="30"/>
  <c r="CK204" i="30"/>
  <c r="CK201" i="30"/>
  <c r="CK198" i="30"/>
  <c r="CP230" i="30"/>
  <c r="CO227" i="30"/>
  <c r="CM224" i="30"/>
  <c r="CL221" i="30"/>
  <c r="CK218" i="30"/>
  <c r="CU214" i="30"/>
  <c r="CT211" i="30"/>
  <c r="CS208" i="30"/>
  <c r="CQ205" i="30"/>
  <c r="CP202" i="30"/>
  <c r="CM199" i="30"/>
  <c r="CK196" i="30"/>
  <c r="CJ229" i="30"/>
  <c r="CU225" i="30"/>
  <c r="CS222" i="30"/>
  <c r="CR219" i="30"/>
  <c r="CO216" i="30"/>
  <c r="CM213" i="30"/>
  <c r="CK210" i="30"/>
  <c r="CU206" i="30"/>
  <c r="CT203" i="30"/>
  <c r="CS200" i="30"/>
  <c r="CQ197" i="30"/>
  <c r="CG231" i="30"/>
  <c r="BY229" i="30"/>
  <c r="CC226" i="30"/>
  <c r="CG223" i="30"/>
  <c r="BY221" i="30"/>
  <c r="CC218" i="30"/>
  <c r="CG215" i="30"/>
  <c r="BY213" i="30"/>
  <c r="CC210" i="30"/>
  <c r="CG207" i="30"/>
  <c r="BY205" i="30"/>
  <c r="CC202" i="30"/>
  <c r="CG199" i="30"/>
  <c r="BY197" i="30"/>
  <c r="CR231" i="30"/>
  <c r="CM228" i="30"/>
  <c r="CT224" i="30"/>
  <c r="CP221" i="30"/>
  <c r="CM218" i="30"/>
  <c r="CT214" i="30"/>
  <c r="CQ211" i="30"/>
  <c r="CM208" i="30"/>
  <c r="CT204" i="30"/>
  <c r="CP201" i="30"/>
  <c r="CM198" i="30"/>
  <c r="BV230" i="30"/>
  <c r="BY227" i="30"/>
  <c r="CB224" i="30"/>
  <c r="CE221" i="30"/>
  <c r="BV219" i="30"/>
  <c r="BY216" i="30"/>
  <c r="CB213" i="30"/>
  <c r="CE210" i="30"/>
  <c r="BV208" i="30"/>
  <c r="BX205" i="30"/>
  <c r="CA202" i="30"/>
  <c r="CD199" i="30"/>
  <c r="CQ231" i="30"/>
  <c r="CL228" i="30"/>
  <c r="CS224" i="30"/>
  <c r="CO221" i="30"/>
  <c r="CL218" i="30"/>
  <c r="CS214" i="30"/>
  <c r="CP211" i="30"/>
  <c r="CL208" i="30"/>
  <c r="CS204" i="30"/>
  <c r="CO201" i="30"/>
  <c r="CL198" i="30"/>
  <c r="CP229" i="30"/>
  <c r="CM226" i="30"/>
  <c r="CU222" i="30"/>
  <c r="CQ219" i="30"/>
  <c r="CJ216" i="30"/>
  <c r="CS212" i="30"/>
  <c r="CO209" i="30"/>
  <c r="CL206" i="30"/>
  <c r="CT202" i="30"/>
  <c r="CQ199" i="30"/>
  <c r="CJ196" i="30"/>
  <c r="CT228" i="30"/>
  <c r="CL225" i="30"/>
  <c r="CM221" i="30"/>
  <c r="CQ217" i="30"/>
  <c r="CK214" i="30"/>
  <c r="CN210" i="30"/>
  <c r="CQ206" i="30"/>
  <c r="CK203" i="30"/>
  <c r="CL199" i="30"/>
  <c r="CB230" i="30"/>
  <c r="CD227" i="30"/>
  <c r="CF224" i="30"/>
  <c r="BV222" i="30"/>
  <c r="BX219" i="30"/>
  <c r="BZ216" i="30"/>
  <c r="CA213" i="30"/>
  <c r="CB210" i="30"/>
  <c r="CD207" i="30"/>
  <c r="CF204" i="30"/>
  <c r="BV202" i="30"/>
  <c r="BX199" i="30"/>
  <c r="CA196" i="30"/>
  <c r="CS228" i="30"/>
  <c r="CU224" i="30"/>
  <c r="CK221" i="30"/>
  <c r="CP217" i="30"/>
  <c r="CJ214" i="30"/>
  <c r="CM210" i="30"/>
  <c r="CP206" i="30"/>
  <c r="CU202" i="30"/>
  <c r="CJ199" i="30"/>
  <c r="CA230" i="30"/>
  <c r="CC227" i="30"/>
  <c r="CE224" i="30"/>
  <c r="CG221" i="30"/>
  <c r="BW219" i="30"/>
  <c r="CK230" i="30"/>
  <c r="CP226" i="30"/>
  <c r="CT222" i="30"/>
  <c r="CU218" i="30"/>
  <c r="CO215" i="30"/>
  <c r="CS211" i="30"/>
  <c r="CT207" i="30"/>
  <c r="CM204" i="30"/>
  <c r="CQ200" i="30"/>
  <c r="CJ197" i="30"/>
  <c r="CB231" i="30"/>
  <c r="CD228" i="30"/>
  <c r="CF225" i="30"/>
  <c r="BV223" i="30"/>
  <c r="BX220" i="30"/>
  <c r="BZ217" i="30"/>
  <c r="CB214" i="30"/>
  <c r="CD211" i="30"/>
  <c r="CF208" i="30"/>
  <c r="BV206" i="30"/>
  <c r="BX203" i="30"/>
  <c r="BZ200" i="30"/>
  <c r="CB197" i="30"/>
  <c r="CT230" i="30"/>
  <c r="CS226" i="30"/>
  <c r="CR222" i="30"/>
  <c r="CQ218" i="30"/>
  <c r="CP214" i="30"/>
  <c r="CP210" i="30"/>
  <c r="CN206" i="30"/>
  <c r="CL202" i="30"/>
  <c r="CN198" i="30"/>
  <c r="BV231" i="30"/>
  <c r="CG227" i="30"/>
  <c r="CD224" i="30"/>
  <c r="CB221" i="30"/>
  <c r="BZ218" i="30"/>
  <c r="BZ215" i="30"/>
  <c r="BZ212" i="30"/>
  <c r="BZ209" i="30"/>
  <c r="BZ206" i="30"/>
  <c r="BZ203" i="30"/>
  <c r="BY200" i="30"/>
  <c r="BX197" i="30"/>
  <c r="CQ230" i="30"/>
  <c r="CR226" i="30"/>
  <c r="CQ222" i="30"/>
  <c r="CP218" i="30"/>
  <c r="CO214" i="30"/>
  <c r="CO210" i="30"/>
  <c r="CM206" i="30"/>
  <c r="CK202" i="30"/>
  <c r="CJ198" i="30"/>
  <c r="CG230" i="30"/>
  <c r="CF227" i="30"/>
  <c r="CC224" i="30"/>
  <c r="CA221" i="30"/>
  <c r="BY218" i="30"/>
  <c r="BY215" i="30"/>
  <c r="BY212" i="30"/>
  <c r="BY209" i="30"/>
  <c r="BY206" i="30"/>
  <c r="BY203" i="30"/>
  <c r="BX200" i="30"/>
  <c r="BW197" i="30"/>
  <c r="CK228" i="30"/>
  <c r="CJ224" i="30"/>
  <c r="CL220" i="30"/>
  <c r="CU215" i="30"/>
  <c r="CK212" i="30"/>
  <c r="CS207" i="30"/>
  <c r="CS203" i="30"/>
  <c r="CU199" i="30"/>
  <c r="BV229" i="30"/>
  <c r="CG225" i="30"/>
  <c r="CE222" i="30"/>
  <c r="CD219" i="30"/>
  <c r="CC216" i="30"/>
  <c r="CC213" i="30"/>
  <c r="BZ210" i="30"/>
  <c r="BZ207" i="30"/>
  <c r="BZ204" i="30"/>
  <c r="BZ201" i="30"/>
  <c r="BZ198" i="30"/>
  <c r="CL230" i="30"/>
  <c r="CT225" i="30"/>
  <c r="CJ221" i="30"/>
  <c r="CU216" i="30"/>
  <c r="CN212" i="30"/>
  <c r="CR207" i="30"/>
  <c r="CO203" i="30"/>
  <c r="CS198" i="30"/>
  <c r="CB228" i="30"/>
  <c r="BX225" i="30"/>
  <c r="CC221" i="30"/>
  <c r="BV218" i="30"/>
  <c r="CE214" i="30"/>
  <c r="CA211" i="30"/>
  <c r="BX208" i="30"/>
  <c r="CD204" i="30"/>
  <c r="CA201" i="30"/>
  <c r="BW198" i="30"/>
  <c r="CJ230" i="30"/>
  <c r="CR225" i="30"/>
  <c r="CU220" i="30"/>
  <c r="CT216" i="30"/>
  <c r="CM212" i="30"/>
  <c r="CQ207" i="30"/>
  <c r="CN203" i="30"/>
  <c r="CR198" i="30"/>
  <c r="CF231" i="30"/>
  <c r="CA228" i="30"/>
  <c r="BW225" i="30"/>
  <c r="BZ221" i="30"/>
  <c r="CG217" i="30"/>
  <c r="CD214" i="30"/>
  <c r="BZ211" i="30"/>
  <c r="BW208" i="30"/>
  <c r="CC204" i="30"/>
  <c r="BY201" i="30"/>
  <c r="BV198" i="30"/>
  <c r="CU231" i="30"/>
  <c r="CN227" i="30"/>
  <c r="CM223" i="30"/>
  <c r="CO218" i="30"/>
  <c r="CU213" i="30"/>
  <c r="CN209" i="30"/>
  <c r="CJ205" i="30"/>
  <c r="CP200" i="30"/>
  <c r="CL196" i="30"/>
  <c r="CE229" i="30"/>
  <c r="BZ226" i="30"/>
  <c r="CG222" i="30"/>
  <c r="CB219" i="30"/>
  <c r="BV216" i="30"/>
  <c r="CD212" i="30"/>
  <c r="CA209" i="30"/>
  <c r="CG205" i="30"/>
  <c r="CD202" i="30"/>
  <c r="BY199" i="30"/>
  <c r="BV196" i="30"/>
  <c r="CL231" i="30"/>
  <c r="CL226" i="30"/>
  <c r="CT220" i="30"/>
  <c r="CK216" i="30"/>
  <c r="CM211" i="30"/>
  <c r="CK206" i="30"/>
  <c r="CM201" i="30"/>
  <c r="CP196" i="30"/>
  <c r="CA229" i="30"/>
  <c r="CC225" i="30"/>
  <c r="CF221" i="30"/>
  <c r="CE217" i="30"/>
  <c r="BX214" i="30"/>
  <c r="CA210" i="30"/>
  <c r="CF206" i="30"/>
  <c r="BW203" i="30"/>
  <c r="CA199" i="30"/>
  <c r="BP230" i="30"/>
  <c r="BH228" i="30"/>
  <c r="BL225" i="30"/>
  <c r="BP222" i="30"/>
  <c r="BH220" i="30"/>
  <c r="BL217" i="30"/>
  <c r="BP214" i="30"/>
  <c r="BH212" i="30"/>
  <c r="BL209" i="30"/>
  <c r="BP206" i="30"/>
  <c r="BH204" i="30"/>
  <c r="BL201" i="30"/>
  <c r="BP198" i="30"/>
  <c r="BH196" i="30"/>
  <c r="BA229" i="30"/>
  <c r="BE226" i="30"/>
  <c r="AW224" i="30"/>
  <c r="BA221" i="30"/>
  <c r="BE218" i="30"/>
  <c r="AW216" i="30"/>
  <c r="BA213" i="30"/>
  <c r="BE210" i="30"/>
  <c r="AW208" i="30"/>
  <c r="BA205" i="30"/>
  <c r="BE202" i="30"/>
  <c r="AW200" i="30"/>
  <c r="BA197" i="30"/>
  <c r="CJ231" i="30"/>
  <c r="CK226" i="30"/>
  <c r="CS220" i="30"/>
  <c r="CT215" i="30"/>
  <c r="CL211" i="30"/>
  <c r="CJ206" i="30"/>
  <c r="CL201" i="30"/>
  <c r="CN196" i="30"/>
  <c r="BZ229" i="30"/>
  <c r="CB225" i="30"/>
  <c r="CD221" i="30"/>
  <c r="CD217" i="30"/>
  <c r="BW214" i="30"/>
  <c r="BY210" i="30"/>
  <c r="CE206" i="30"/>
  <c r="BV203" i="30"/>
  <c r="BZ199" i="30"/>
  <c r="BO230" i="30"/>
  <c r="BS227" i="30"/>
  <c r="BK225" i="30"/>
  <c r="BO222" i="30"/>
  <c r="BS219" i="30"/>
  <c r="BK217" i="30"/>
  <c r="BO214" i="30"/>
  <c r="BS211" i="30"/>
  <c r="BK209" i="30"/>
  <c r="BO206" i="30"/>
  <c r="BS203" i="30"/>
  <c r="BK201" i="30"/>
  <c r="BO198" i="30"/>
  <c r="AZ229" i="30"/>
  <c r="BD226" i="30"/>
  <c r="AV224" i="30"/>
  <c r="AZ221" i="30"/>
  <c r="BD218" i="30"/>
  <c r="AV216" i="30"/>
  <c r="AZ213" i="30"/>
  <c r="BD210" i="30"/>
  <c r="AV208" i="30"/>
  <c r="AZ205" i="30"/>
  <c r="BD202" i="30"/>
  <c r="AV200" i="30"/>
  <c r="AZ197" i="30"/>
  <c r="CS227" i="30"/>
  <c r="CN223" i="30"/>
  <c r="CU217" i="30"/>
  <c r="CJ213" i="30"/>
  <c r="CP208" i="30"/>
  <c r="CM203" i="30"/>
  <c r="CU197" i="30"/>
  <c r="CE230" i="30"/>
  <c r="CG226" i="30"/>
  <c r="BY223" i="30"/>
  <c r="CA219" i="30"/>
  <c r="CC215" i="30"/>
  <c r="CG211" i="30"/>
  <c r="BZ208" i="30"/>
  <c r="CA204" i="30"/>
  <c r="CF200" i="30"/>
  <c r="BV197" i="30"/>
  <c r="BP231" i="30"/>
  <c r="BH229" i="30"/>
  <c r="BL226" i="30"/>
  <c r="BP223" i="30"/>
  <c r="BH221" i="30"/>
  <c r="BL218" i="30"/>
  <c r="BP215" i="30"/>
  <c r="BH213" i="30"/>
  <c r="BL210" i="30"/>
  <c r="BP207" i="30"/>
  <c r="BH205" i="30"/>
  <c r="BL202" i="30"/>
  <c r="BP199" i="30"/>
  <c r="BH197" i="30"/>
  <c r="BA230" i="30"/>
  <c r="BE227" i="30"/>
  <c r="AW225" i="30"/>
  <c r="BA222" i="30"/>
  <c r="BE219" i="30"/>
  <c r="AW217" i="30"/>
  <c r="BA214" i="30"/>
  <c r="BE211" i="30"/>
  <c r="AW209" i="30"/>
  <c r="BA206" i="30"/>
  <c r="BE203" i="30"/>
  <c r="AW201" i="30"/>
  <c r="BA198" i="30"/>
  <c r="CJ228" i="30"/>
  <c r="CP222" i="30"/>
  <c r="CL217" i="30"/>
  <c r="CR211" i="30"/>
  <c r="CU205" i="30"/>
  <c r="CR200" i="30"/>
  <c r="BW230" i="30"/>
  <c r="BV226" i="30"/>
  <c r="BX221" i="30"/>
  <c r="BY217" i="30"/>
  <c r="BX213" i="30"/>
  <c r="BX209" i="30"/>
  <c r="BZ205" i="30"/>
  <c r="BW201" i="30"/>
  <c r="CG196" i="30"/>
  <c r="BM231" i="30"/>
  <c r="BN228" i="30"/>
  <c r="BO225" i="30"/>
  <c r="BN222" i="30"/>
  <c r="BO219" i="30"/>
  <c r="BP216" i="30"/>
  <c r="BQ213" i="30"/>
  <c r="BR210" i="30"/>
  <c r="BS207" i="30"/>
  <c r="BS204" i="30"/>
  <c r="BH202" i="30"/>
  <c r="BI199" i="30"/>
  <c r="BJ196" i="30"/>
  <c r="BB230" i="30"/>
  <c r="BB227" i="30"/>
  <c r="BC224" i="30"/>
  <c r="BD221" i="30"/>
  <c r="BC218" i="30"/>
  <c r="BD215" i="30"/>
  <c r="BE212" i="30"/>
  <c r="AT210" i="30"/>
  <c r="AU207" i="30"/>
  <c r="AV204" i="30"/>
  <c r="AV201" i="30"/>
  <c r="AW198" i="30"/>
  <c r="CR227" i="30"/>
  <c r="CN222" i="30"/>
  <c r="CK217" i="30"/>
  <c r="CO211" i="30"/>
  <c r="CT205" i="30"/>
  <c r="CO200" i="30"/>
  <c r="CG229" i="30"/>
  <c r="CE225" i="30"/>
  <c r="BW221" i="30"/>
  <c r="BX217" i="30"/>
  <c r="BW213" i="30"/>
  <c r="BW209" i="30"/>
  <c r="BW205" i="30"/>
  <c r="BV201" i="30"/>
  <c r="CF196" i="30"/>
  <c r="BL231" i="30"/>
  <c r="BM228" i="30"/>
  <c r="BN225" i="30"/>
  <c r="BM222" i="30"/>
  <c r="BN219" i="30"/>
  <c r="BO216" i="30"/>
  <c r="BP213" i="30"/>
  <c r="BQ210" i="30"/>
  <c r="BR207" i="30"/>
  <c r="BR204" i="30"/>
  <c r="BS201" i="30"/>
  <c r="BH199" i="30"/>
  <c r="BI196" i="30"/>
  <c r="AZ230" i="30"/>
  <c r="BA227" i="30"/>
  <c r="BB224" i="30"/>
  <c r="BC221" i="30"/>
  <c r="BB218" i="30"/>
  <c r="BC215" i="30"/>
  <c r="BD212" i="30"/>
  <c r="BE209" i="30"/>
  <c r="AT207" i="30"/>
  <c r="AU204" i="30"/>
  <c r="AU201" i="30"/>
  <c r="AV198" i="30"/>
  <c r="CT229" i="30"/>
  <c r="CO224" i="30"/>
  <c r="CL219" i="30"/>
  <c r="CP213" i="30"/>
  <c r="CQ208" i="30"/>
  <c r="CR202" i="30"/>
  <c r="CM197" i="30"/>
  <c r="CC231" i="30"/>
  <c r="BZ227" i="30"/>
  <c r="BZ223" i="30"/>
  <c r="CG218" i="30"/>
  <c r="CG214" i="30"/>
  <c r="CG210" i="30"/>
  <c r="CD206" i="30"/>
  <c r="CB202" i="30"/>
  <c r="CC198" i="30"/>
  <c r="BO229" i="30"/>
  <c r="BP226" i="30"/>
  <c r="BQ223" i="30"/>
  <c r="BQ220" i="30"/>
  <c r="BR217" i="30"/>
  <c r="BS214" i="30"/>
  <c r="BR211" i="30"/>
  <c r="BS208" i="30"/>
  <c r="BH206" i="30"/>
  <c r="BI203" i="30"/>
  <c r="BJ200" i="30"/>
  <c r="BK197" i="30"/>
  <c r="BB231" i="30"/>
  <c r="BC228" i="30"/>
  <c r="BD225" i="30"/>
  <c r="BE222" i="30"/>
  <c r="AT220" i="30"/>
  <c r="AT217" i="30"/>
  <c r="AU214" i="30"/>
  <c r="AV211" i="30"/>
  <c r="AU208" i="30"/>
  <c r="AV205" i="30"/>
  <c r="AW202" i="30"/>
  <c r="AX199" i="30"/>
  <c r="AY196" i="30"/>
  <c r="CT231" i="30"/>
  <c r="CQ225" i="30"/>
  <c r="CU219" i="30"/>
  <c r="CT213" i="30"/>
  <c r="CP207" i="30"/>
  <c r="CR201" i="30"/>
  <c r="BX230" i="30"/>
  <c r="BZ225" i="30"/>
  <c r="CC220" i="30"/>
  <c r="BX216" i="30"/>
  <c r="CE211" i="30"/>
  <c r="BX207" i="30"/>
  <c r="CE202" i="30"/>
  <c r="BY198" i="30"/>
  <c r="CS231" i="30"/>
  <c r="CP225" i="30"/>
  <c r="CT219" i="30"/>
  <c r="CO213" i="30"/>
  <c r="CO207" i="30"/>
  <c r="CQ201" i="30"/>
  <c r="CF229" i="30"/>
  <c r="BY225" i="30"/>
  <c r="CB220" i="30"/>
  <c r="BW216" i="30"/>
  <c r="CC211" i="30"/>
  <c r="BW207" i="30"/>
  <c r="BZ202" i="30"/>
  <c r="BX198" i="30"/>
  <c r="CO231" i="30"/>
  <c r="CN225" i="30"/>
  <c r="CS219" i="30"/>
  <c r="CN213" i="30"/>
  <c r="CN207" i="30"/>
  <c r="CN201" i="30"/>
  <c r="CD229" i="30"/>
  <c r="BV225" i="30"/>
  <c r="CA220" i="30"/>
  <c r="CF215" i="30"/>
  <c r="CB211" i="30"/>
  <c r="BV207" i="30"/>
  <c r="BY202" i="30"/>
  <c r="CG197" i="30"/>
  <c r="CM225" i="30"/>
  <c r="CS218" i="30"/>
  <c r="CL212" i="30"/>
  <c r="CN205" i="30"/>
  <c r="CT198" i="30"/>
  <c r="BX228" i="30"/>
  <c r="BX223" i="30"/>
  <c r="BW218" i="30"/>
  <c r="CG212" i="30"/>
  <c r="BY208" i="30"/>
  <c r="CB203" i="30"/>
  <c r="CA198" i="30"/>
  <c r="BS230" i="30"/>
  <c r="BO227" i="30"/>
  <c r="BM224" i="30"/>
  <c r="BK221" i="30"/>
  <c r="BH218" i="30"/>
  <c r="BQ214" i="30"/>
  <c r="BM211" i="30"/>
  <c r="BK208" i="30"/>
  <c r="BI205" i="30"/>
  <c r="BP201" i="30"/>
  <c r="BL198" i="30"/>
  <c r="BE229" i="30"/>
  <c r="BA226" i="30"/>
  <c r="AY223" i="30"/>
  <c r="AW220" i="30"/>
  <c r="BE216" i="30"/>
  <c r="BC213" i="30"/>
  <c r="AY210" i="30"/>
  <c r="AW207" i="30"/>
  <c r="BD203" i="30"/>
  <c r="BB200" i="30"/>
  <c r="AX197" i="30"/>
  <c r="AQ231" i="30"/>
  <c r="AI229" i="30"/>
  <c r="AM226" i="30"/>
  <c r="AQ223" i="30"/>
  <c r="AI221" i="30"/>
  <c r="AM218" i="30"/>
  <c r="AQ215" i="30"/>
  <c r="AI213" i="30"/>
  <c r="AM210" i="30"/>
  <c r="AQ207" i="30"/>
  <c r="AI205" i="30"/>
  <c r="AM202" i="30"/>
  <c r="AQ199" i="30"/>
  <c r="AI197" i="30"/>
  <c r="AC229" i="30"/>
  <c r="U227" i="30"/>
  <c r="Y224" i="30"/>
  <c r="AC221" i="30"/>
  <c r="U219" i="30"/>
  <c r="Y216" i="30"/>
  <c r="AC213" i="30"/>
  <c r="U211" i="30"/>
  <c r="Y208" i="30"/>
  <c r="AC205" i="30"/>
  <c r="U203" i="30"/>
  <c r="Y200" i="30"/>
  <c r="AC197" i="30"/>
  <c r="CQ224" i="30"/>
  <c r="CN218" i="30"/>
  <c r="CU211" i="30"/>
  <c r="CU204" i="30"/>
  <c r="CP198" i="30"/>
  <c r="CF222" i="30"/>
  <c r="CC217" i="30"/>
  <c r="CE207" i="30"/>
  <c r="CE197" i="30"/>
  <c r="BQ230" i="30"/>
  <c r="BK224" i="30"/>
  <c r="BQ217" i="30"/>
  <c r="BK211" i="30"/>
  <c r="BP204" i="30"/>
  <c r="BJ198" i="30"/>
  <c r="AW210" i="30"/>
  <c r="AG229" i="30"/>
  <c r="AG221" i="30"/>
  <c r="AG213" i="30"/>
  <c r="AO207" i="30"/>
  <c r="AO199" i="30"/>
  <c r="S227" i="30"/>
  <c r="S219" i="30"/>
  <c r="S211" i="30"/>
  <c r="S203" i="30"/>
  <c r="CR224" i="30"/>
  <c r="CR218" i="30"/>
  <c r="CJ212" i="30"/>
  <c r="CM205" i="30"/>
  <c r="CQ198" i="30"/>
  <c r="BW228" i="30"/>
  <c r="BW223" i="30"/>
  <c r="CF217" i="30"/>
  <c r="CF212" i="30"/>
  <c r="CF207" i="30"/>
  <c r="CA203" i="30"/>
  <c r="CF197" i="30"/>
  <c r="BR230" i="30"/>
  <c r="BN227" i="30"/>
  <c r="BL224" i="30"/>
  <c r="BJ221" i="30"/>
  <c r="BS217" i="30"/>
  <c r="BN214" i="30"/>
  <c r="BL211" i="30"/>
  <c r="BJ208" i="30"/>
  <c r="BQ204" i="30"/>
  <c r="BO201" i="30"/>
  <c r="BK198" i="30"/>
  <c r="BD229" i="30"/>
  <c r="AZ226" i="30"/>
  <c r="AX223" i="30"/>
  <c r="AV220" i="30"/>
  <c r="BD216" i="30"/>
  <c r="BB213" i="30"/>
  <c r="AX210" i="30"/>
  <c r="AV207" i="30"/>
  <c r="BC203" i="30"/>
  <c r="BA200" i="30"/>
  <c r="AW197" i="30"/>
  <c r="AP231" i="30"/>
  <c r="AH229" i="30"/>
  <c r="AL226" i="30"/>
  <c r="AP223" i="30"/>
  <c r="AH221" i="30"/>
  <c r="AL218" i="30"/>
  <c r="AP215" i="30"/>
  <c r="AH213" i="30"/>
  <c r="AL210" i="30"/>
  <c r="AP207" i="30"/>
  <c r="AH205" i="30"/>
  <c r="AL202" i="30"/>
  <c r="AP199" i="30"/>
  <c r="AH197" i="30"/>
  <c r="AB229" i="30"/>
  <c r="T227" i="30"/>
  <c r="X224" i="30"/>
  <c r="AB221" i="30"/>
  <c r="T219" i="30"/>
  <c r="X216" i="30"/>
  <c r="AB213" i="30"/>
  <c r="T211" i="30"/>
  <c r="X208" i="30"/>
  <c r="AB205" i="30"/>
  <c r="T203" i="30"/>
  <c r="X200" i="30"/>
  <c r="AB197" i="30"/>
  <c r="BV228" i="30"/>
  <c r="CE212" i="30"/>
  <c r="CG202" i="30"/>
  <c r="BM227" i="30"/>
  <c r="BI221" i="30"/>
  <c r="BM214" i="30"/>
  <c r="BI208" i="30"/>
  <c r="BN201" i="30"/>
  <c r="BC229" i="30"/>
  <c r="AY226" i="30"/>
  <c r="AW223" i="30"/>
  <c r="AU220" i="30"/>
  <c r="BC216" i="30"/>
  <c r="AY213" i="30"/>
  <c r="BE206" i="30"/>
  <c r="BB203" i="30"/>
  <c r="AZ200" i="30"/>
  <c r="AV197" i="30"/>
  <c r="AO231" i="30"/>
  <c r="AK226" i="30"/>
  <c r="AO223" i="30"/>
  <c r="AK218" i="30"/>
  <c r="AO215" i="30"/>
  <c r="AK210" i="30"/>
  <c r="AG205" i="30"/>
  <c r="AK202" i="30"/>
  <c r="AG197" i="30"/>
  <c r="AA229" i="30"/>
  <c r="W224" i="30"/>
  <c r="AA221" i="30"/>
  <c r="W216" i="30"/>
  <c r="AA213" i="30"/>
  <c r="W208" i="30"/>
  <c r="AA205" i="30"/>
  <c r="W200" i="30"/>
  <c r="AA197" i="30"/>
  <c r="CN228" i="30"/>
  <c r="CQ221" i="30"/>
  <c r="CJ215" i="30"/>
  <c r="CR208" i="30"/>
  <c r="CJ201" i="30"/>
  <c r="BZ230" i="30"/>
  <c r="CA224" i="30"/>
  <c r="CG219" i="30"/>
  <c r="CF214" i="30"/>
  <c r="CF209" i="30"/>
  <c r="CG204" i="30"/>
  <c r="BV200" i="30"/>
  <c r="BS228" i="30"/>
  <c r="BQ225" i="30"/>
  <c r="BK222" i="30"/>
  <c r="BI219" i="30"/>
  <c r="BS215" i="30"/>
  <c r="BP212" i="30"/>
  <c r="BN209" i="30"/>
  <c r="BJ206" i="30"/>
  <c r="BS202" i="30"/>
  <c r="BQ199" i="30"/>
  <c r="BN196" i="30"/>
  <c r="AV231" i="30"/>
  <c r="AT228" i="30"/>
  <c r="BA224" i="30"/>
  <c r="AW221" i="30"/>
  <c r="AU218" i="30"/>
  <c r="BE214" i="30"/>
  <c r="BB211" i="30"/>
  <c r="AZ208" i="30"/>
  <c r="AU205" i="30"/>
  <c r="BE201" i="30"/>
  <c r="BC198" i="30"/>
  <c r="AI230" i="30"/>
  <c r="AM227" i="30"/>
  <c r="AQ224" i="30"/>
  <c r="AI222" i="30"/>
  <c r="AM219" i="30"/>
  <c r="AQ216" i="30"/>
  <c r="AI214" i="30"/>
  <c r="AM211" i="30"/>
  <c r="AQ208" i="30"/>
  <c r="AI206" i="30"/>
  <c r="AM203" i="30"/>
  <c r="AQ200" i="30"/>
  <c r="AI198" i="30"/>
  <c r="AC230" i="30"/>
  <c r="U228" i="30"/>
  <c r="Y225" i="30"/>
  <c r="AC222" i="30"/>
  <c r="U220" i="30"/>
  <c r="Y217" i="30"/>
  <c r="AC214" i="30"/>
  <c r="U212" i="30"/>
  <c r="Y209" i="30"/>
  <c r="AC206" i="30"/>
  <c r="U204" i="30"/>
  <c r="Y201" i="30"/>
  <c r="AC198" i="30"/>
  <c r="U196" i="30"/>
  <c r="CQ227" i="30"/>
  <c r="CN221" i="30"/>
  <c r="CR214" i="30"/>
  <c r="CO208" i="30"/>
  <c r="CU200" i="30"/>
  <c r="BY230" i="30"/>
  <c r="BZ224" i="30"/>
  <c r="CF219" i="30"/>
  <c r="CC214" i="30"/>
  <c r="CE209" i="30"/>
  <c r="CE204" i="30"/>
  <c r="CF199" i="30"/>
  <c r="BR228" i="30"/>
  <c r="BP225" i="30"/>
  <c r="BJ222" i="30"/>
  <c r="BH219" i="30"/>
  <c r="BR215" i="30"/>
  <c r="BO212" i="30"/>
  <c r="BM209" i="30"/>
  <c r="BI206" i="30"/>
  <c r="BR202" i="30"/>
  <c r="BO199" i="30"/>
  <c r="BM196" i="30"/>
  <c r="AU231" i="30"/>
  <c r="BD227" i="30"/>
  <c r="AZ224" i="30"/>
  <c r="AV221" i="30"/>
  <c r="AT218" i="30"/>
  <c r="BD214" i="30"/>
  <c r="BA211" i="30"/>
  <c r="AY208" i="30"/>
  <c r="AT205" i="30"/>
  <c r="BD201" i="30"/>
  <c r="BB198" i="30"/>
  <c r="AH230" i="30"/>
  <c r="AL227" i="30"/>
  <c r="AP224" i="30"/>
  <c r="AH222" i="30"/>
  <c r="AL219" i="30"/>
  <c r="AP216" i="30"/>
  <c r="AH214" i="30"/>
  <c r="CK229" i="30"/>
  <c r="CQ220" i="30"/>
  <c r="CT212" i="30"/>
  <c r="CQ204" i="30"/>
  <c r="CL197" i="30"/>
  <c r="CF226" i="30"/>
  <c r="CE220" i="30"/>
  <c r="BV215" i="30"/>
  <c r="CG208" i="30"/>
  <c r="CC203" i="30"/>
  <c r="CE196" i="30"/>
  <c r="BI230" i="30"/>
  <c r="BM226" i="30"/>
  <c r="BQ222" i="30"/>
  <c r="BP218" i="30"/>
  <c r="BH215" i="30"/>
  <c r="BS210" i="30"/>
  <c r="BI207" i="30"/>
  <c r="BL203" i="30"/>
  <c r="BM199" i="30"/>
  <c r="AZ231" i="30"/>
  <c r="AZ227" i="30"/>
  <c r="BC223" i="30"/>
  <c r="BC219" i="30"/>
  <c r="AT216" i="30"/>
  <c r="AW212" i="30"/>
  <c r="BA208" i="30"/>
  <c r="BA204" i="30"/>
  <c r="BC200" i="30"/>
  <c r="BC196" i="30"/>
  <c r="AJ229" i="30"/>
  <c r="AF226" i="30"/>
  <c r="AQ222" i="30"/>
  <c r="AP219" i="30"/>
  <c r="AM216" i="30"/>
  <c r="AL213" i="30"/>
  <c r="AI210" i="30"/>
  <c r="AI207" i="30"/>
  <c r="AI204" i="30"/>
  <c r="AI201" i="30"/>
  <c r="AH198" i="30"/>
  <c r="Z229" i="30"/>
  <c r="Z226" i="30"/>
  <c r="Z223" i="30"/>
  <c r="Z220" i="30"/>
  <c r="Z217" i="30"/>
  <c r="Y214" i="30"/>
  <c r="Y211" i="30"/>
  <c r="V208" i="30"/>
  <c r="V205" i="30"/>
  <c r="V202" i="30"/>
  <c r="V199" i="30"/>
  <c r="V196" i="30"/>
  <c r="AX231" i="30"/>
  <c r="AP225" i="30"/>
  <c r="AO222" i="30"/>
  <c r="AK216" i="30"/>
  <c r="AG210" i="30"/>
  <c r="AG204" i="30"/>
  <c r="AF198" i="30"/>
  <c r="X229" i="30"/>
  <c r="X223" i="30"/>
  <c r="W217" i="30"/>
  <c r="W211" i="30"/>
  <c r="T205" i="30"/>
  <c r="T199" i="30"/>
  <c r="S196" i="30"/>
  <c r="CM220" i="30"/>
  <c r="BY214" i="30"/>
  <c r="CB196" i="30"/>
  <c r="BI226" i="30"/>
  <c r="BK214" i="30"/>
  <c r="BH203" i="30"/>
  <c r="CU228" i="30"/>
  <c r="CP220" i="30"/>
  <c r="CR212" i="30"/>
  <c r="CP204" i="30"/>
  <c r="CK197" i="30"/>
  <c r="CE226" i="30"/>
  <c r="CD220" i="30"/>
  <c r="CA214" i="30"/>
  <c r="CE208" i="30"/>
  <c r="CF202" i="30"/>
  <c r="CD196" i="30"/>
  <c r="BH230" i="30"/>
  <c r="BK226" i="30"/>
  <c r="BL222" i="30"/>
  <c r="BO218" i="30"/>
  <c r="BR214" i="30"/>
  <c r="BP210" i="30"/>
  <c r="BH207" i="30"/>
  <c r="BK203" i="30"/>
  <c r="BL199" i="30"/>
  <c r="AY231" i="30"/>
  <c r="AY227" i="30"/>
  <c r="BB223" i="30"/>
  <c r="BB219" i="30"/>
  <c r="BE215" i="30"/>
  <c r="AV212" i="30"/>
  <c r="AX208" i="30"/>
  <c r="AZ204" i="30"/>
  <c r="AY200" i="30"/>
  <c r="BB196" i="30"/>
  <c r="AF229" i="30"/>
  <c r="AQ225" i="30"/>
  <c r="AP222" i="30"/>
  <c r="AO219" i="30"/>
  <c r="AL216" i="30"/>
  <c r="AK213" i="30"/>
  <c r="AH210" i="30"/>
  <c r="AH207" i="30"/>
  <c r="AH204" i="30"/>
  <c r="AH201" i="30"/>
  <c r="AG198" i="30"/>
  <c r="Y229" i="30"/>
  <c r="Y226" i="30"/>
  <c r="Y223" i="30"/>
  <c r="Y220" i="30"/>
  <c r="X217" i="30"/>
  <c r="X214" i="30"/>
  <c r="X211" i="30"/>
  <c r="U208" i="30"/>
  <c r="U205" i="30"/>
  <c r="U202" i="30"/>
  <c r="U199" i="30"/>
  <c r="T196" i="30"/>
  <c r="CR228" i="30"/>
  <c r="CN220" i="30"/>
  <c r="CQ212" i="30"/>
  <c r="CN204" i="30"/>
  <c r="CU196" i="30"/>
  <c r="CD226" i="30"/>
  <c r="BZ220" i="30"/>
  <c r="BZ214" i="30"/>
  <c r="CD208" i="30"/>
  <c r="BX202" i="30"/>
  <c r="CC196" i="30"/>
  <c r="BS229" i="30"/>
  <c r="BJ226" i="30"/>
  <c r="BI222" i="30"/>
  <c r="BN218" i="30"/>
  <c r="BL214" i="30"/>
  <c r="BO210" i="30"/>
  <c r="BS206" i="30"/>
  <c r="BJ203" i="30"/>
  <c r="BK199" i="30"/>
  <c r="AX227" i="30"/>
  <c r="BA223" i="30"/>
  <c r="BA219" i="30"/>
  <c r="BB215" i="30"/>
  <c r="AU212" i="30"/>
  <c r="AT208" i="30"/>
  <c r="AY204" i="30"/>
  <c r="AX200" i="30"/>
  <c r="BA196" i="30"/>
  <c r="AQ228" i="30"/>
  <c r="AN219" i="30"/>
  <c r="AJ213" i="30"/>
  <c r="AG207" i="30"/>
  <c r="AG201" i="30"/>
  <c r="X226" i="30"/>
  <c r="X220" i="30"/>
  <c r="W214" i="30"/>
  <c r="T208" i="30"/>
  <c r="T202" i="30"/>
  <c r="CQ228" i="30"/>
  <c r="CP212" i="30"/>
  <c r="CL204" i="30"/>
  <c r="CT196" i="30"/>
  <c r="CB226" i="30"/>
  <c r="BY220" i="30"/>
  <c r="CC208" i="30"/>
  <c r="BW202" i="30"/>
  <c r="BR229" i="30"/>
  <c r="BH222" i="30"/>
  <c r="BM218" i="30"/>
  <c r="BN210" i="30"/>
  <c r="BR206" i="30"/>
  <c r="BJ199" i="30"/>
  <c r="CM231" i="30"/>
  <c r="CR223" i="30"/>
  <c r="CR215" i="30"/>
  <c r="CT208" i="30"/>
  <c r="CJ200" i="30"/>
  <c r="CG228" i="30"/>
  <c r="CA223" i="30"/>
  <c r="CG216" i="30"/>
  <c r="BW211" i="30"/>
  <c r="CB205" i="30"/>
  <c r="CB199" i="30"/>
  <c r="BQ231" i="30"/>
  <c r="BQ227" i="30"/>
  <c r="BS223" i="30"/>
  <c r="BJ220" i="30"/>
  <c r="BK216" i="30"/>
  <c r="BM212" i="30"/>
  <c r="BO208" i="30"/>
  <c r="BN204" i="30"/>
  <c r="BQ200" i="30"/>
  <c r="BI197" i="30"/>
  <c r="AT229" i="30"/>
  <c r="AX225" i="30"/>
  <c r="AX221" i="30"/>
  <c r="BA217" i="30"/>
  <c r="BD213" i="30"/>
  <c r="BB209" i="30"/>
  <c r="AT206" i="30"/>
  <c r="AV202" i="30"/>
  <c r="AX198" i="30"/>
  <c r="AL230" i="30"/>
  <c r="AI227" i="30"/>
  <c r="AH224" i="30"/>
  <c r="AP220" i="30"/>
  <c r="AO217" i="30"/>
  <c r="AN214" i="30"/>
  <c r="AL211" i="30"/>
  <c r="AL208" i="30"/>
  <c r="AL205" i="30"/>
  <c r="AI202" i="30"/>
  <c r="AI199" i="30"/>
  <c r="AI196" i="30"/>
  <c r="R231" i="30"/>
  <c r="AC227" i="30"/>
  <c r="AC224" i="30"/>
  <c r="Z221" i="30"/>
  <c r="Z218" i="30"/>
  <c r="Z215" i="30"/>
  <c r="Z212" i="30"/>
  <c r="Z209" i="30"/>
  <c r="Y206" i="30"/>
  <c r="Y203" i="30"/>
  <c r="V200" i="30"/>
  <c r="V197" i="30"/>
  <c r="CU230" i="30"/>
  <c r="CQ223" i="30"/>
  <c r="CQ215" i="30"/>
  <c r="CK208" i="30"/>
  <c r="CT199" i="30"/>
  <c r="CF228" i="30"/>
  <c r="CD222" i="30"/>
  <c r="CF216" i="30"/>
  <c r="BV211" i="30"/>
  <c r="CA205" i="30"/>
  <c r="BW199" i="30"/>
  <c r="BO231" i="30"/>
  <c r="BP227" i="30"/>
  <c r="BR223" i="30"/>
  <c r="BI220" i="30"/>
  <c r="BJ216" i="30"/>
  <c r="BL212" i="30"/>
  <c r="BN208" i="30"/>
  <c r="BM204" i="30"/>
  <c r="BP200" i="30"/>
  <c r="BS196" i="30"/>
  <c r="BE228" i="30"/>
  <c r="AV225" i="30"/>
  <c r="AU221" i="30"/>
  <c r="AZ217" i="30"/>
  <c r="AX213" i="30"/>
  <c r="BA209" i="30"/>
  <c r="BE205" i="30"/>
  <c r="AU202" i="30"/>
  <c r="AU198" i="30"/>
  <c r="AK230" i="30"/>
  <c r="AH227" i="30"/>
  <c r="AG224" i="30"/>
  <c r="AO220" i="30"/>
  <c r="AN217" i="30"/>
  <c r="AM214" i="30"/>
  <c r="AK211" i="30"/>
  <c r="AK208" i="30"/>
  <c r="AK205" i="30"/>
  <c r="AH202" i="30"/>
  <c r="AH199" i="30"/>
  <c r="AH196" i="30"/>
  <c r="AB230" i="30"/>
  <c r="AB227" i="30"/>
  <c r="AB224" i="30"/>
  <c r="Y221" i="30"/>
  <c r="Y218" i="30"/>
  <c r="Y215" i="30"/>
  <c r="Y212" i="30"/>
  <c r="X209" i="30"/>
  <c r="X206" i="30"/>
  <c r="X203" i="30"/>
  <c r="U200" i="30"/>
  <c r="U197" i="30"/>
  <c r="CO230" i="30"/>
  <c r="CP223" i="30"/>
  <c r="CP215" i="30"/>
  <c r="CM207" i="30"/>
  <c r="CS199" i="30"/>
  <c r="CE228" i="30"/>
  <c r="CC222" i="30"/>
  <c r="CE216" i="30"/>
  <c r="CF210" i="30"/>
  <c r="BV205" i="30"/>
  <c r="BV199" i="30"/>
  <c r="CU221" i="30"/>
  <c r="CR210" i="30"/>
  <c r="CU201" i="30"/>
  <c r="BX224" i="30"/>
  <c r="BV217" i="30"/>
  <c r="CC209" i="30"/>
  <c r="CC201" i="30"/>
  <c r="BI231" i="30"/>
  <c r="BN226" i="30"/>
  <c r="BN221" i="30"/>
  <c r="BR216" i="30"/>
  <c r="BJ212" i="30"/>
  <c r="BL207" i="30"/>
  <c r="BN202" i="30"/>
  <c r="BQ197" i="30"/>
  <c r="BD231" i="30"/>
  <c r="AU227" i="30"/>
  <c r="AZ222" i="30"/>
  <c r="AV218" i="30"/>
  <c r="AW213" i="30"/>
  <c r="AT209" i="30"/>
  <c r="AX204" i="30"/>
  <c r="BB199" i="30"/>
  <c r="AQ230" i="30"/>
  <c r="AG227" i="30"/>
  <c r="AJ223" i="30"/>
  <c r="AK219" i="30"/>
  <c r="AN215" i="30"/>
  <c r="AH212" i="30"/>
  <c r="AN208" i="30"/>
  <c r="AP204" i="30"/>
  <c r="AK201" i="30"/>
  <c r="AN197" i="30"/>
  <c r="CN231" i="30"/>
  <c r="CT221" i="30"/>
  <c r="CQ210" i="30"/>
  <c r="CT201" i="30"/>
  <c r="CE231" i="30"/>
  <c r="BW224" i="30"/>
  <c r="CD216" i="30"/>
  <c r="CB209" i="30"/>
  <c r="CB201" i="30"/>
  <c r="BH231" i="30"/>
  <c r="BH226" i="30"/>
  <c r="BM221" i="30"/>
  <c r="BQ216" i="30"/>
  <c r="BI212" i="30"/>
  <c r="BK207" i="30"/>
  <c r="BM202" i="30"/>
  <c r="BP197" i="30"/>
  <c r="BC231" i="30"/>
  <c r="AT227" i="30"/>
  <c r="AY222" i="30"/>
  <c r="BE217" i="30"/>
  <c r="AV213" i="30"/>
  <c r="BE208" i="30"/>
  <c r="AW204" i="30"/>
  <c r="BA199" i="30"/>
  <c r="AP230" i="30"/>
  <c r="AF227" i="30"/>
  <c r="AI223" i="30"/>
  <c r="AJ219" i="30"/>
  <c r="AM215" i="30"/>
  <c r="AG212" i="30"/>
  <c r="AM208" i="30"/>
  <c r="AO204" i="30"/>
  <c r="AJ201" i="30"/>
  <c r="AM197" i="30"/>
  <c r="CN230" i="30"/>
  <c r="CS221" i="30"/>
  <c r="CJ210" i="30"/>
  <c r="CT200" i="30"/>
  <c r="CD231" i="30"/>
  <c r="BV224" i="30"/>
  <c r="CB216" i="30"/>
  <c r="BV209" i="30"/>
  <c r="BX201" i="30"/>
  <c r="BN230" i="30"/>
  <c r="BS225" i="30"/>
  <c r="BL221" i="30"/>
  <c r="BN216" i="30"/>
  <c r="BQ211" i="30"/>
  <c r="BJ207" i="30"/>
  <c r="BK202" i="30"/>
  <c r="BO197" i="30"/>
  <c r="BA231" i="30"/>
  <c r="BC226" i="30"/>
  <c r="AX222" i="30"/>
  <c r="BD217" i="30"/>
  <c r="AU213" i="30"/>
  <c r="BD208" i="30"/>
  <c r="AT204" i="30"/>
  <c r="AZ199" i="30"/>
  <c r="AO230" i="30"/>
  <c r="AQ226" i="30"/>
  <c r="AH223" i="30"/>
  <c r="AI219" i="30"/>
  <c r="AL215" i="30"/>
  <c r="AF212" i="30"/>
  <c r="AJ208" i="30"/>
  <c r="AN204" i="30"/>
  <c r="AF201" i="30"/>
  <c r="AL197" i="30"/>
  <c r="CK224" i="30"/>
  <c r="CL214" i="30"/>
  <c r="CQ202" i="30"/>
  <c r="BY224" i="30"/>
  <c r="CD215" i="30"/>
  <c r="BY207" i="30"/>
  <c r="CC199" i="30"/>
  <c r="BK229" i="30"/>
  <c r="BI224" i="30"/>
  <c r="BS218" i="30"/>
  <c r="BN213" i="30"/>
  <c r="BP208" i="30"/>
  <c r="BN203" i="30"/>
  <c r="BS197" i="30"/>
  <c r="BE231" i="30"/>
  <c r="AW226" i="30"/>
  <c r="BB221" i="30"/>
  <c r="AZ216" i="30"/>
  <c r="AY211" i="30"/>
  <c r="AY206" i="30"/>
  <c r="BA201" i="30"/>
  <c r="AX196" i="30"/>
  <c r="AN230" i="30"/>
  <c r="AJ226" i="30"/>
  <c r="AJ222" i="30"/>
  <c r="AH218" i="30"/>
  <c r="AG214" i="30"/>
  <c r="AQ209" i="30"/>
  <c r="AH206" i="30"/>
  <c r="AG202" i="30"/>
  <c r="AK198" i="30"/>
  <c r="X230" i="30"/>
  <c r="AB226" i="30"/>
  <c r="T223" i="30"/>
  <c r="Z219" i="30"/>
  <c r="R216" i="30"/>
  <c r="W212" i="30"/>
  <c r="AC208" i="30"/>
  <c r="R205" i="30"/>
  <c r="X201" i="30"/>
  <c r="S198" i="30"/>
  <c r="CU223" i="30"/>
  <c r="CK213" i="30"/>
  <c r="CO202" i="30"/>
  <c r="CF223" i="30"/>
  <c r="CB215" i="30"/>
  <c r="CG206" i="30"/>
  <c r="CG198" i="30"/>
  <c r="BJ229" i="30"/>
  <c r="BH224" i="30"/>
  <c r="BR218" i="30"/>
  <c r="BM213" i="30"/>
  <c r="BM208" i="30"/>
  <c r="BM203" i="30"/>
  <c r="BR197" i="30"/>
  <c r="AW231" i="30"/>
  <c r="AV226" i="30"/>
  <c r="AY221" i="30"/>
  <c r="AY216" i="30"/>
  <c r="AX211" i="30"/>
  <c r="AX206" i="30"/>
  <c r="AZ201" i="30"/>
  <c r="AW196" i="30"/>
  <c r="AM230" i="30"/>
  <c r="AI226" i="30"/>
  <c r="AG222" i="30"/>
  <c r="AG218" i="30"/>
  <c r="AF214" i="30"/>
  <c r="AP209" i="30"/>
  <c r="AG206" i="30"/>
  <c r="AF202" i="30"/>
  <c r="AJ198" i="30"/>
  <c r="W230" i="30"/>
  <c r="AA226" i="30"/>
  <c r="S223" i="30"/>
  <c r="Y219" i="30"/>
  <c r="AC215" i="30"/>
  <c r="V212" i="30"/>
  <c r="AB208" i="30"/>
  <c r="AC204" i="30"/>
  <c r="W201" i="30"/>
  <c r="R198" i="30"/>
  <c r="CP227" i="30"/>
  <c r="CM217" i="30"/>
  <c r="CO206" i="30"/>
  <c r="CB227" i="30"/>
  <c r="BY219" i="30"/>
  <c r="BX211" i="30"/>
  <c r="CG201" i="30"/>
  <c r="BN231" i="30"/>
  <c r="BR225" i="30"/>
  <c r="BO220" i="30"/>
  <c r="BN215" i="30"/>
  <c r="BI210" i="30"/>
  <c r="BL205" i="30"/>
  <c r="BI200" i="30"/>
  <c r="BA228" i="30"/>
  <c r="AZ223" i="30"/>
  <c r="AZ218" i="30"/>
  <c r="BE213" i="30"/>
  <c r="BE207" i="30"/>
  <c r="AV203" i="30"/>
  <c r="AY198" i="30"/>
  <c r="AH228" i="30"/>
  <c r="AI224" i="30"/>
  <c r="AG220" i="30"/>
  <c r="AK215" i="30"/>
  <c r="AN211" i="30"/>
  <c r="AL207" i="30"/>
  <c r="AL203" i="30"/>
  <c r="AM199" i="30"/>
  <c r="AA231" i="30"/>
  <c r="V228" i="30"/>
  <c r="Z224" i="30"/>
  <c r="R221" i="30"/>
  <c r="U217" i="30"/>
  <c r="Y213" i="30"/>
  <c r="T210" i="30"/>
  <c r="Z206" i="30"/>
  <c r="AB202" i="30"/>
  <c r="W199" i="30"/>
  <c r="CM227" i="30"/>
  <c r="CJ217" i="30"/>
  <c r="CS205" i="30"/>
  <c r="CA227" i="30"/>
  <c r="CF218" i="30"/>
  <c r="CD210" i="30"/>
  <c r="CF201" i="30"/>
  <c r="BK231" i="30"/>
  <c r="BM225" i="30"/>
  <c r="BN220" i="30"/>
  <c r="BM215" i="30"/>
  <c r="BH210" i="30"/>
  <c r="BK205" i="30"/>
  <c r="BH200" i="30"/>
  <c r="CO226" i="30"/>
  <c r="CM214" i="30"/>
  <c r="CK200" i="30"/>
  <c r="BW229" i="30"/>
  <c r="BZ219" i="30"/>
  <c r="CG209" i="30"/>
  <c r="CA200" i="30"/>
  <c r="BQ226" i="30"/>
  <c r="BK220" i="30"/>
  <c r="BH214" i="30"/>
  <c r="BL208" i="30"/>
  <c r="BI202" i="30"/>
  <c r="BL196" i="30"/>
  <c r="AY228" i="30"/>
  <c r="BC222" i="30"/>
  <c r="AV217" i="30"/>
  <c r="AZ211" i="30"/>
  <c r="AU206" i="30"/>
  <c r="AU200" i="30"/>
  <c r="AM229" i="30"/>
  <c r="AG225" i="30"/>
  <c r="AL220" i="30"/>
  <c r="AG216" i="30"/>
  <c r="AI211" i="30"/>
  <c r="AP206" i="30"/>
  <c r="AP202" i="30"/>
  <c r="AL198" i="30"/>
  <c r="AB231" i="30"/>
  <c r="R228" i="30"/>
  <c r="AC223" i="30"/>
  <c r="AC219" i="30"/>
  <c r="AB215" i="30"/>
  <c r="AC211" i="30"/>
  <c r="AA207" i="30"/>
  <c r="R204" i="30"/>
  <c r="AC199" i="30"/>
  <c r="CP224" i="30"/>
  <c r="CK211" i="30"/>
  <c r="CU198" i="30"/>
  <c r="BY228" i="30"/>
  <c r="CF198" i="30"/>
  <c r="BP219" i="30"/>
  <c r="BO207" i="30"/>
  <c r="BA216" i="30"/>
  <c r="BB205" i="30"/>
  <c r="AI220" i="30"/>
  <c r="AF211" i="30"/>
  <c r="AO197" i="30"/>
  <c r="X231" i="30"/>
  <c r="X219" i="30"/>
  <c r="X207" i="30"/>
  <c r="Z199" i="30"/>
  <c r="CU210" i="30"/>
  <c r="CE227" i="30"/>
  <c r="CC207" i="30"/>
  <c r="BS231" i="30"/>
  <c r="BM219" i="30"/>
  <c r="BN207" i="30"/>
  <c r="AU222" i="30"/>
  <c r="AY205" i="30"/>
  <c r="AO228" i="30"/>
  <c r="AH215" i="30"/>
  <c r="AQ201" i="30"/>
  <c r="CN226" i="30"/>
  <c r="CU212" i="30"/>
  <c r="CR199" i="30"/>
  <c r="CC228" i="30"/>
  <c r="CE218" i="30"/>
  <c r="CD209" i="30"/>
  <c r="BW200" i="30"/>
  <c r="BO226" i="30"/>
  <c r="BR219" i="30"/>
  <c r="BS213" i="30"/>
  <c r="BH208" i="30"/>
  <c r="BR201" i="30"/>
  <c r="BK196" i="30"/>
  <c r="AX228" i="30"/>
  <c r="BB222" i="30"/>
  <c r="AU217" i="30"/>
  <c r="AW211" i="30"/>
  <c r="BD205" i="30"/>
  <c r="AT200" i="30"/>
  <c r="AL229" i="30"/>
  <c r="AF225" i="30"/>
  <c r="AK220" i="30"/>
  <c r="AF216" i="30"/>
  <c r="AH211" i="30"/>
  <c r="AO206" i="30"/>
  <c r="AO202" i="30"/>
  <c r="AQ197" i="30"/>
  <c r="Z231" i="30"/>
  <c r="AA227" i="30"/>
  <c r="AB223" i="30"/>
  <c r="AB219" i="30"/>
  <c r="AA215" i="30"/>
  <c r="AB211" i="30"/>
  <c r="Z207" i="30"/>
  <c r="AC203" i="30"/>
  <c r="AB199" i="30"/>
  <c r="CA208" i="30"/>
  <c r="AV222" i="30"/>
  <c r="AN224" i="30"/>
  <c r="AJ202" i="30"/>
  <c r="Y227" i="30"/>
  <c r="Z211" i="30"/>
  <c r="BH225" i="30"/>
  <c r="BJ201" i="30"/>
  <c r="AX216" i="30"/>
  <c r="AH220" i="30"/>
  <c r="AK197" i="30"/>
  <c r="CJ226" i="30"/>
  <c r="CN211" i="30"/>
  <c r="CN199" i="30"/>
  <c r="BZ228" i="30"/>
  <c r="CD218" i="30"/>
  <c r="CB208" i="30"/>
  <c r="CE199" i="30"/>
  <c r="BJ225" i="30"/>
  <c r="BQ219" i="30"/>
  <c r="BR213" i="30"/>
  <c r="BQ207" i="30"/>
  <c r="BQ201" i="30"/>
  <c r="AW228" i="30"/>
  <c r="AW222" i="30"/>
  <c r="BB216" i="30"/>
  <c r="AU211" i="30"/>
  <c r="BC205" i="30"/>
  <c r="BE199" i="30"/>
  <c r="AK229" i="30"/>
  <c r="AO224" i="30"/>
  <c r="AJ220" i="30"/>
  <c r="AJ215" i="30"/>
  <c r="AG211" i="30"/>
  <c r="AN206" i="30"/>
  <c r="AN202" i="30"/>
  <c r="AP197" i="30"/>
  <c r="Y231" i="30"/>
  <c r="Z227" i="30"/>
  <c r="AA223" i="30"/>
  <c r="AA219" i="30"/>
  <c r="X215" i="30"/>
  <c r="AA211" i="30"/>
  <c r="Y207" i="30"/>
  <c r="AB203" i="30"/>
  <c r="AA199" i="30"/>
  <c r="CB218" i="30"/>
  <c r="BI225" i="30"/>
  <c r="BO213" i="30"/>
  <c r="BM201" i="30"/>
  <c r="AV228" i="30"/>
  <c r="AT211" i="30"/>
  <c r="BD199" i="30"/>
  <c r="AP228" i="30"/>
  <c r="AI215" i="30"/>
  <c r="AM206" i="30"/>
  <c r="W223" i="30"/>
  <c r="W215" i="30"/>
  <c r="AA203" i="30"/>
  <c r="CL224" i="30"/>
  <c r="CO198" i="30"/>
  <c r="CA218" i="30"/>
  <c r="CE198" i="30"/>
  <c r="BL213" i="30"/>
  <c r="AU228" i="30"/>
  <c r="BC210" i="30"/>
  <c r="BC199" i="30"/>
  <c r="AM224" i="30"/>
  <c r="AQ210" i="30"/>
  <c r="AL206" i="30"/>
  <c r="CU229" i="30"/>
  <c r="CR217" i="30"/>
  <c r="CO205" i="30"/>
  <c r="CA222" i="30"/>
  <c r="BV213" i="30"/>
  <c r="BV204" i="30"/>
  <c r="BL228" i="30"/>
  <c r="BS222" i="30"/>
  <c r="BM216" i="30"/>
  <c r="BK210" i="30"/>
  <c r="BL204" i="30"/>
  <c r="BN198" i="30"/>
  <c r="AV230" i="30"/>
  <c r="BE224" i="30"/>
  <c r="AW219" i="30"/>
  <c r="AV214" i="30"/>
  <c r="BC207" i="30"/>
  <c r="BA202" i="30"/>
  <c r="AT197" i="30"/>
  <c r="AJ231" i="30"/>
  <c r="AO226" i="30"/>
  <c r="AQ221" i="30"/>
  <c r="AL217" i="30"/>
  <c r="AP212" i="30"/>
  <c r="AP208" i="30"/>
  <c r="AF204" i="30"/>
  <c r="AF200" i="30"/>
  <c r="T229" i="30"/>
  <c r="W225" i="30"/>
  <c r="V221" i="30"/>
  <c r="V217" i="30"/>
  <c r="V213" i="30"/>
  <c r="W209" i="30"/>
  <c r="X205" i="30"/>
  <c r="V201" i="30"/>
  <c r="W197" i="30"/>
  <c r="CS229" i="30"/>
  <c r="CO217" i="30"/>
  <c r="CR204" i="30"/>
  <c r="CA231" i="30"/>
  <c r="BZ222" i="30"/>
  <c r="CC212" i="30"/>
  <c r="CG203" i="30"/>
  <c r="BK228" i="30"/>
  <c r="BR222" i="30"/>
  <c r="BL216" i="30"/>
  <c r="BJ210" i="30"/>
  <c r="BK204" i="30"/>
  <c r="BM198" i="30"/>
  <c r="AU230" i="30"/>
  <c r="BD224" i="30"/>
  <c r="AV219" i="30"/>
  <c r="AT214" i="30"/>
  <c r="BB207" i="30"/>
  <c r="AZ202" i="30"/>
  <c r="BE196" i="30"/>
  <c r="AI231" i="30"/>
  <c r="AN226" i="30"/>
  <c r="AP221" i="30"/>
  <c r="AK217" i="30"/>
  <c r="AO212" i="30"/>
  <c r="AO208" i="30"/>
  <c r="AQ203" i="30"/>
  <c r="AN199" i="30"/>
  <c r="S229" i="30"/>
  <c r="V225" i="30"/>
  <c r="U221" i="30"/>
  <c r="T217" i="30"/>
  <c r="U213" i="30"/>
  <c r="V209" i="30"/>
  <c r="W205" i="30"/>
  <c r="U201" i="30"/>
  <c r="T197" i="30"/>
  <c r="CQ229" i="30"/>
  <c r="CN217" i="30"/>
  <c r="CJ204" i="30"/>
  <c r="BZ231" i="30"/>
  <c r="BY222" i="30"/>
  <c r="CB212" i="30"/>
  <c r="CF203" i="30"/>
  <c r="R12" i="30"/>
  <c r="R22" i="30"/>
  <c r="S36" i="30"/>
  <c r="R48" i="30"/>
  <c r="W62" i="30"/>
  <c r="W84" i="30"/>
  <c r="AA98" i="30"/>
  <c r="T134" i="30"/>
  <c r="R210" i="30"/>
  <c r="W219" i="30"/>
  <c r="AF13" i="30"/>
  <c r="AF28" i="30"/>
  <c r="AJ88" i="30"/>
  <c r="AI104" i="30"/>
  <c r="AO198" i="30"/>
  <c r="AF215" i="30"/>
  <c r="AV24" i="30"/>
  <c r="BE38" i="30"/>
  <c r="BA92" i="30"/>
  <c r="BE106" i="30"/>
  <c r="BD198" i="30"/>
  <c r="AX220" i="30"/>
  <c r="BL7" i="30"/>
  <c r="BR21" i="30"/>
  <c r="BH29" i="30"/>
  <c r="BN36" i="30"/>
  <c r="BH84" i="30"/>
  <c r="BR90" i="30"/>
  <c r="BK105" i="30"/>
  <c r="BK113" i="30"/>
  <c r="BS198" i="30"/>
  <c r="BK206" i="30"/>
  <c r="BJ214" i="30"/>
  <c r="BR221" i="30"/>
  <c r="BM229" i="30"/>
  <c r="CB20" i="30"/>
  <c r="CA91" i="30"/>
  <c r="CC205" i="30"/>
  <c r="CT37" i="30"/>
  <c r="CM105" i="30"/>
  <c r="CT217" i="30"/>
  <c r="AB52" i="30"/>
  <c r="T109" i="30"/>
  <c r="AB113" i="30"/>
  <c r="T200" i="30"/>
  <c r="S210" i="30"/>
  <c r="R220" i="30"/>
  <c r="W229" i="30"/>
  <c r="V241" i="30"/>
  <c r="X251" i="30"/>
  <c r="AA260" i="30"/>
  <c r="AJ13" i="30"/>
  <c r="AJ23" i="30"/>
  <c r="AN33" i="30"/>
  <c r="AH83" i="30"/>
  <c r="AN93" i="30"/>
  <c r="AG99" i="30"/>
  <c r="AH110" i="30"/>
  <c r="AJ115" i="30"/>
  <c r="AJ204" i="30"/>
  <c r="AG215" i="30"/>
  <c r="AN227" i="30"/>
  <c r="AI241" i="30"/>
  <c r="AK252" i="30"/>
  <c r="AK258" i="30"/>
  <c r="AU10" i="30"/>
  <c r="AW24" i="30"/>
  <c r="AW31" i="30"/>
  <c r="AT39" i="30"/>
  <c r="BB92" i="30"/>
  <c r="AY99" i="30"/>
  <c r="AU107" i="30"/>
  <c r="AV114" i="30"/>
  <c r="BE198" i="30"/>
  <c r="BC212" i="30"/>
  <c r="AY220" i="30"/>
  <c r="AV227" i="30"/>
  <c r="AZ236" i="30"/>
  <c r="BD243" i="30"/>
  <c r="BA250" i="30"/>
  <c r="AX258" i="30"/>
  <c r="BD264" i="30"/>
  <c r="BS14" i="30"/>
  <c r="BQ29" i="30"/>
  <c r="BP36" i="30"/>
  <c r="BP91" i="30"/>
  <c r="BL105" i="30"/>
  <c r="BN199" i="30"/>
  <c r="BI215" i="30"/>
  <c r="BN229" i="30"/>
  <c r="BP247" i="30"/>
  <c r="BJ262" i="30"/>
  <c r="CC20" i="30"/>
  <c r="CE103" i="30"/>
  <c r="CD205" i="30"/>
  <c r="BW231" i="30"/>
  <c r="CC258" i="30"/>
  <c r="CM38" i="30"/>
  <c r="CJ90" i="30"/>
  <c r="CJ218" i="30"/>
  <c r="Z7" i="30"/>
  <c r="X12" i="30"/>
  <c r="T22" i="30"/>
  <c r="X26" i="30"/>
  <c r="U31" i="30"/>
  <c r="V41" i="30"/>
  <c r="T48" i="30"/>
  <c r="AC52" i="30"/>
  <c r="AB62" i="30"/>
  <c r="AA67" i="30"/>
  <c r="Z72" i="30"/>
  <c r="AA77" i="30"/>
  <c r="Y84" i="30"/>
  <c r="T94" i="30"/>
  <c r="AC98" i="30"/>
  <c r="S104" i="30"/>
  <c r="U109" i="30"/>
  <c r="AC113" i="30"/>
  <c r="W181" i="30"/>
  <c r="Z200" i="30"/>
  <c r="S205" i="30"/>
  <c r="R215" i="30"/>
  <c r="S220" i="30"/>
  <c r="S225" i="30"/>
  <c r="R230" i="30"/>
  <c r="Y236" i="30"/>
  <c r="W241" i="30"/>
  <c r="W246" i="30"/>
  <c r="Z251" i="30"/>
  <c r="W256" i="30"/>
  <c r="AB260" i="30"/>
  <c r="S266" i="30"/>
  <c r="AM8" i="30"/>
  <c r="AK13" i="30"/>
  <c r="AL18" i="30"/>
  <c r="AN23" i="30"/>
  <c r="AO28" i="30"/>
  <c r="AO33" i="30"/>
  <c r="AF39" i="30"/>
  <c r="AI83" i="30"/>
  <c r="AN88" i="30"/>
  <c r="AO93" i="30"/>
  <c r="AH99" i="30"/>
  <c r="AK104" i="30"/>
  <c r="AJ110" i="30"/>
  <c r="AK115" i="30"/>
  <c r="AQ198" i="30"/>
  <c r="AK204" i="30"/>
  <c r="AN209" i="30"/>
  <c r="AH216" i="30"/>
  <c r="AM221" i="30"/>
  <c r="AO227" i="30"/>
  <c r="AG235" i="30"/>
  <c r="AJ241" i="30"/>
  <c r="AF247" i="30"/>
  <c r="AO252" i="30"/>
  <c r="AM258" i="30"/>
  <c r="AG265" i="30"/>
  <c r="BD10" i="30"/>
  <c r="AV17" i="30"/>
  <c r="AX31" i="30"/>
  <c r="AZ86" i="30"/>
  <c r="BD99" i="30"/>
  <c r="AY114" i="30"/>
  <c r="AZ206" i="30"/>
  <c r="AZ220" i="30"/>
  <c r="BB236" i="30"/>
  <c r="BC250" i="30"/>
  <c r="AU265" i="30"/>
  <c r="BH15" i="30"/>
  <c r="BH30" i="30"/>
  <c r="BQ36" i="30"/>
  <c r="BS91" i="30"/>
  <c r="BS106" i="30"/>
  <c r="BR199" i="30"/>
  <c r="BJ215" i="30"/>
  <c r="BP229" i="30"/>
  <c r="BQ247" i="30"/>
  <c r="BO262" i="30"/>
  <c r="CD20" i="30"/>
  <c r="BY92" i="30"/>
  <c r="BV115" i="30"/>
  <c r="BX218" i="30"/>
  <c r="BY246" i="30"/>
  <c r="CN38" i="30"/>
  <c r="CT106" i="30"/>
  <c r="CT218" i="30"/>
  <c r="CK256" i="30"/>
  <c r="AA7" i="30"/>
  <c r="X17" i="30"/>
  <c r="AA26" i="30"/>
  <c r="Y36" i="30"/>
  <c r="U48" i="30"/>
  <c r="W58" i="30"/>
  <c r="AA72" i="30"/>
  <c r="Z84" i="30"/>
  <c r="U94" i="30"/>
  <c r="T104" i="30"/>
  <c r="R114" i="30"/>
  <c r="AA200" i="30"/>
  <c r="V210" i="30"/>
  <c r="T225" i="30"/>
  <c r="Z236" i="30"/>
  <c r="X246" i="30"/>
  <c r="X256" i="30"/>
  <c r="Z266" i="30"/>
  <c r="AN8" i="30"/>
  <c r="AM18" i="30"/>
  <c r="AP28" i="30"/>
  <c r="AG39" i="30"/>
  <c r="AO88" i="30"/>
  <c r="AI99" i="30"/>
  <c r="AL104" i="30"/>
  <c r="AL115" i="30"/>
  <c r="AL204" i="30"/>
  <c r="AO209" i="30"/>
  <c r="AN221" i="30"/>
  <c r="AK241" i="30"/>
  <c r="AJ247" i="30"/>
  <c r="AM259" i="30"/>
  <c r="BE10" i="30"/>
  <c r="AT244" i="30"/>
  <c r="U8" i="30"/>
  <c r="R13" i="30"/>
  <c r="AB17" i="30"/>
  <c r="X22" i="30"/>
  <c r="AC26" i="30"/>
  <c r="U32" i="30"/>
  <c r="AA36" i="30"/>
  <c r="AA41" i="30"/>
  <c r="Y48" i="30"/>
  <c r="AB53" i="30"/>
  <c r="Y58" i="30"/>
  <c r="Y63" i="30"/>
  <c r="R68" i="30"/>
  <c r="AC72" i="30"/>
  <c r="U78" i="30"/>
  <c r="S85" i="30"/>
  <c r="AC89" i="30"/>
  <c r="W94" i="30"/>
  <c r="S100" i="30"/>
  <c r="Y104" i="30"/>
  <c r="X109" i="30"/>
  <c r="W114" i="30"/>
  <c r="R196" i="30"/>
  <c r="AC200" i="30"/>
  <c r="R206" i="30"/>
  <c r="X210" i="30"/>
  <c r="U215" i="30"/>
  <c r="W220" i="30"/>
  <c r="X225" i="30"/>
  <c r="U230" i="30"/>
  <c r="AB236" i="30"/>
  <c r="T242" i="30"/>
  <c r="S247" i="30"/>
  <c r="R252" i="30"/>
  <c r="Z256" i="30"/>
  <c r="AB261" i="30"/>
  <c r="AB266" i="30"/>
  <c r="AP8" i="30"/>
  <c r="AP13" i="30"/>
  <c r="AP18" i="30"/>
  <c r="AQ23" i="30"/>
  <c r="AI29" i="30"/>
  <c r="AJ34" i="30"/>
  <c r="AI39" i="30"/>
  <c r="AO83" i="30"/>
  <c r="AF89" i="30"/>
  <c r="AF94" i="30"/>
  <c r="AO99" i="30"/>
  <c r="AG105" i="30"/>
  <c r="AN110" i="30"/>
  <c r="AJ116" i="30"/>
  <c r="AJ199" i="30"/>
  <c r="AQ204" i="30"/>
  <c r="AJ210" i="30"/>
  <c r="AN216" i="30"/>
  <c r="AF222" i="30"/>
  <c r="AF228" i="30"/>
  <c r="AJ235" i="30"/>
  <c r="AM241" i="30"/>
  <c r="AL247" i="30"/>
  <c r="AF253" i="30"/>
  <c r="AO259" i="30"/>
  <c r="AJ265" i="30"/>
  <c r="AX11" i="30"/>
  <c r="BB18" i="30"/>
  <c r="AU25" i="30"/>
  <c r="AU32" i="30"/>
  <c r="AZ39" i="30"/>
  <c r="BC86" i="30"/>
  <c r="AT93" i="30"/>
  <c r="AU101" i="30"/>
  <c r="BC107" i="30"/>
  <c r="AT115" i="30"/>
  <c r="AW199" i="30"/>
  <c r="BD206" i="30"/>
  <c r="AY214" i="30"/>
  <c r="BC220" i="30"/>
  <c r="BB228" i="30"/>
  <c r="AU237" i="30"/>
  <c r="AV244" i="30"/>
  <c r="AT251" i="30"/>
  <c r="BD258" i="30"/>
  <c r="AY266" i="30"/>
  <c r="BS7" i="30"/>
  <c r="BR15" i="30"/>
  <c r="BH23" i="30"/>
  <c r="BM30" i="30"/>
  <c r="BQ37" i="30"/>
  <c r="BJ85" i="30"/>
  <c r="BR92" i="30"/>
  <c r="BK99" i="30"/>
  <c r="BJ107" i="30"/>
  <c r="BQ114" i="30"/>
  <c r="BL200" i="30"/>
  <c r="BM207" i="30"/>
  <c r="BO215" i="30"/>
  <c r="BK223" i="30"/>
  <c r="BK230" i="30"/>
  <c r="BR240" i="30"/>
  <c r="BJ248" i="30"/>
  <c r="BR255" i="30"/>
  <c r="BO263" i="30"/>
  <c r="BZ11" i="30"/>
  <c r="BX21" i="30"/>
  <c r="CG32" i="30"/>
  <c r="BV93" i="30"/>
  <c r="CB105" i="30"/>
  <c r="CF117" i="30"/>
  <c r="BX206" i="30"/>
  <c r="BV220" i="30"/>
  <c r="CD235" i="30"/>
  <c r="CG247" i="30"/>
  <c r="BW262" i="30"/>
  <c r="CO20" i="30"/>
  <c r="CT40" i="30"/>
  <c r="CK92" i="30"/>
  <c r="CT107" i="30"/>
  <c r="CQ203" i="30"/>
  <c r="CJ220" i="30"/>
  <c r="CT238" i="30"/>
  <c r="CO256" i="30"/>
  <c r="AC272" i="30"/>
  <c r="S277" i="30"/>
  <c r="R281" i="30"/>
  <c r="S285" i="30"/>
  <c r="S289" i="30"/>
  <c r="T293" i="30"/>
  <c r="AC296" i="30"/>
  <c r="T301" i="30"/>
  <c r="S305" i="30"/>
  <c r="AG272" i="30"/>
  <c r="AI277" i="30"/>
  <c r="AO281" i="30"/>
  <c r="AL286" i="30"/>
  <c r="AQ290" i="30"/>
  <c r="AM295" i="30"/>
  <c r="AM300" i="30"/>
  <c r="AJ305" i="30"/>
  <c r="AV273" i="30"/>
  <c r="AY278" i="30"/>
  <c r="AU284" i="30"/>
  <c r="BD289" i="30"/>
  <c r="BC295" i="30"/>
  <c r="AZ301" i="30"/>
  <c r="AV307" i="30"/>
  <c r="BI275" i="30"/>
  <c r="BM280" i="30"/>
  <c r="BH287" i="30"/>
  <c r="BN293" i="30"/>
  <c r="BO299" i="30"/>
  <c r="BO305" i="30"/>
  <c r="CB276" i="30"/>
  <c r="BV286" i="30"/>
  <c r="CA295" i="30"/>
  <c r="CC304" i="30"/>
  <c r="CT273" i="30"/>
  <c r="CP286" i="30"/>
  <c r="CT299" i="30"/>
  <c r="R273" i="30"/>
  <c r="T277" i="30"/>
  <c r="S281" i="30"/>
  <c r="T285" i="30"/>
  <c r="T289" i="30"/>
  <c r="U293" i="30"/>
  <c r="R297" i="30"/>
  <c r="U301" i="30"/>
  <c r="T305" i="30"/>
  <c r="AJ272" i="30"/>
  <c r="AJ277" i="30"/>
  <c r="AQ281" i="30"/>
  <c r="AM286" i="30"/>
  <c r="AG291" i="30"/>
  <c r="AG296" i="30"/>
  <c r="AN300" i="30"/>
  <c r="AK305" i="30"/>
  <c r="AW273" i="30"/>
  <c r="AZ278" i="30"/>
  <c r="AX284" i="30"/>
  <c r="BE289" i="30"/>
  <c r="BD295" i="30"/>
  <c r="BA301" i="30"/>
  <c r="AW307" i="30"/>
  <c r="BJ275" i="30"/>
  <c r="BN280" i="30"/>
  <c r="BI287" i="30"/>
  <c r="BO293" i="30"/>
  <c r="BQ299" i="30"/>
  <c r="BP305" i="30"/>
  <c r="CC276" i="30"/>
  <c r="BX286" i="30"/>
  <c r="CB295" i="30"/>
  <c r="CD304" i="30"/>
  <c r="CN274" i="30"/>
  <c r="CU286" i="30"/>
  <c r="CS300" i="30"/>
  <c r="V279" i="30"/>
  <c r="V283" i="30"/>
  <c r="V295" i="30"/>
  <c r="V303" i="30"/>
  <c r="V307" i="30"/>
  <c r="AF284" i="30"/>
  <c r="AN293" i="30"/>
  <c r="AX276" i="30"/>
  <c r="BB287" i="30"/>
  <c r="AX293" i="30"/>
  <c r="BC304" i="30"/>
  <c r="BO278" i="30"/>
  <c r="BK290" i="30"/>
  <c r="BK303" i="30"/>
  <c r="BZ281" i="30"/>
  <c r="BX301" i="30"/>
  <c r="W275" i="30"/>
  <c r="Z279" i="30"/>
  <c r="W283" i="30"/>
  <c r="X287" i="30"/>
  <c r="U291" i="30"/>
  <c r="W295" i="30"/>
  <c r="V299" i="30"/>
  <c r="W303" i="30"/>
  <c r="W307" i="30"/>
  <c r="AI275" i="30"/>
  <c r="AP279" i="30"/>
  <c r="AG284" i="30"/>
  <c r="AH289" i="30"/>
  <c r="AQ293" i="30"/>
  <c r="AL298" i="30"/>
  <c r="AI303" i="30"/>
  <c r="AY276" i="30"/>
  <c r="AU282" i="30"/>
  <c r="BC287" i="30"/>
  <c r="BC293" i="30"/>
  <c r="AU299" i="30"/>
  <c r="BD304" i="30"/>
  <c r="BI272" i="30"/>
  <c r="BR278" i="30"/>
  <c r="BL284" i="30"/>
  <c r="BQ290" i="30"/>
  <c r="BM296" i="30"/>
  <c r="BL303" i="30"/>
  <c r="CA281" i="30"/>
  <c r="CG290" i="30"/>
  <c r="CA301" i="30"/>
  <c r="CS281" i="30"/>
  <c r="CR294" i="30"/>
  <c r="CU306" i="30"/>
  <c r="T291" i="30"/>
  <c r="AO279" i="30"/>
  <c r="AG303" i="30"/>
  <c r="Y275" i="30"/>
  <c r="AA279" i="30"/>
  <c r="X283" i="30"/>
  <c r="Y287" i="30"/>
  <c r="V291" i="30"/>
  <c r="X295" i="30"/>
  <c r="Y299" i="30"/>
  <c r="X303" i="30"/>
  <c r="X307" i="30"/>
  <c r="AJ275" i="30"/>
  <c r="AQ279" i="30"/>
  <c r="AK284" i="30"/>
  <c r="AK289" i="30"/>
  <c r="AF294" i="30"/>
  <c r="AP298" i="30"/>
  <c r="AJ303" i="30"/>
  <c r="AZ276" i="30"/>
  <c r="AV282" i="30"/>
  <c r="AU288" i="30"/>
  <c r="BD293" i="30"/>
  <c r="AV299" i="30"/>
  <c r="BE304" i="30"/>
  <c r="BL272" i="30"/>
  <c r="BS278" i="30"/>
  <c r="BP284" i="30"/>
  <c r="BR290" i="30"/>
  <c r="BN296" i="30"/>
  <c r="BN303" i="30"/>
  <c r="CB281" i="30"/>
  <c r="BV292" i="30"/>
  <c r="CB301" i="30"/>
  <c r="CT281" i="30"/>
  <c r="CT294" i="30"/>
  <c r="CK307" i="30"/>
  <c r="CO304" i="30"/>
  <c r="CS301" i="30"/>
  <c r="CK299" i="30"/>
  <c r="CO296" i="30"/>
  <c r="CS293" i="30"/>
  <c r="CK291" i="30"/>
  <c r="CO288" i="30"/>
  <c r="CS285" i="30"/>
  <c r="CK283" i="30"/>
  <c r="CO280" i="30"/>
  <c r="CS277" i="30"/>
  <c r="CK275" i="30"/>
  <c r="CO272" i="30"/>
  <c r="CR305" i="30"/>
  <c r="CJ303" i="30"/>
  <c r="CN300" i="30"/>
  <c r="CR297" i="30"/>
  <c r="CJ295" i="30"/>
  <c r="CN292" i="30"/>
  <c r="CR289" i="30"/>
  <c r="CJ287" i="30"/>
  <c r="CN284" i="30"/>
  <c r="CR281" i="30"/>
  <c r="CJ279" i="30"/>
  <c r="CN276" i="30"/>
  <c r="CR273" i="30"/>
  <c r="CU305" i="30"/>
  <c r="CK303" i="30"/>
  <c r="CL300" i="30"/>
  <c r="CN297" i="30"/>
  <c r="CP294" i="30"/>
  <c r="CR291" i="30"/>
  <c r="CT288" i="30"/>
  <c r="CJ286" i="30"/>
  <c r="CL283" i="30"/>
  <c r="CM280" i="30"/>
  <c r="CO277" i="30"/>
  <c r="CQ274" i="30"/>
  <c r="CT305" i="30"/>
  <c r="CU302" i="30"/>
  <c r="CK300" i="30"/>
  <c r="CM297" i="30"/>
  <c r="CO294" i="30"/>
  <c r="CQ291" i="30"/>
  <c r="CS288" i="30"/>
  <c r="CU285" i="30"/>
  <c r="CJ283" i="30"/>
  <c r="CL280" i="30"/>
  <c r="CN277" i="30"/>
  <c r="CP274" i="30"/>
  <c r="CT306" i="30"/>
  <c r="CT303" i="30"/>
  <c r="CT300" i="30"/>
  <c r="CT297" i="30"/>
  <c r="CS294" i="30"/>
  <c r="CS291" i="30"/>
  <c r="CQ288" i="30"/>
  <c r="CP285" i="30"/>
  <c r="CP282" i="30"/>
  <c r="CP279" i="30"/>
  <c r="CP276" i="30"/>
  <c r="CO273" i="30"/>
  <c r="CL305" i="30"/>
  <c r="CL302" i="30"/>
  <c r="CL299" i="30"/>
  <c r="CK296" i="30"/>
  <c r="CK293" i="30"/>
  <c r="CK290" i="30"/>
  <c r="CK287" i="30"/>
  <c r="CJ284" i="30"/>
  <c r="CJ281" i="30"/>
  <c r="CJ278" i="30"/>
  <c r="CU274" i="30"/>
  <c r="CP305" i="30"/>
  <c r="CN302" i="30"/>
  <c r="CJ299" i="30"/>
  <c r="CT295" i="30"/>
  <c r="CR292" i="30"/>
  <c r="CO289" i="30"/>
  <c r="CM286" i="30"/>
  <c r="CT282" i="30"/>
  <c r="CR279" i="30"/>
  <c r="CO276" i="30"/>
  <c r="CL273" i="30"/>
  <c r="CL307" i="30"/>
  <c r="CU303" i="30"/>
  <c r="CR300" i="30"/>
  <c r="CO297" i="30"/>
  <c r="CK294" i="30"/>
  <c r="CT290" i="30"/>
  <c r="CR287" i="30"/>
  <c r="CP284" i="30"/>
  <c r="CM281" i="30"/>
  <c r="CK278" i="30"/>
  <c r="CS274" i="30"/>
  <c r="CG307" i="30"/>
  <c r="BY305" i="30"/>
  <c r="CC302" i="30"/>
  <c r="CG299" i="30"/>
  <c r="BY297" i="30"/>
  <c r="CC294" i="30"/>
  <c r="CG291" i="30"/>
  <c r="BY289" i="30"/>
  <c r="CC286" i="30"/>
  <c r="CG283" i="30"/>
  <c r="BY281" i="30"/>
  <c r="CC278" i="30"/>
  <c r="CG275" i="30"/>
  <c r="BY273" i="30"/>
  <c r="CT307" i="30"/>
  <c r="CP304" i="30"/>
  <c r="CK301" i="30"/>
  <c r="CQ297" i="30"/>
  <c r="CJ294" i="30"/>
  <c r="CQ290" i="30"/>
  <c r="CM287" i="30"/>
  <c r="CS283" i="30"/>
  <c r="CN280" i="30"/>
  <c r="CT276" i="30"/>
  <c r="CN273" i="30"/>
  <c r="CC305" i="30"/>
  <c r="CF302" i="30"/>
  <c r="BW300" i="30"/>
  <c r="BZ297" i="30"/>
  <c r="CB294" i="30"/>
  <c r="CE291" i="30"/>
  <c r="BV289" i="30"/>
  <c r="BY286" i="30"/>
  <c r="CB283" i="30"/>
  <c r="CE280" i="30"/>
  <c r="BV278" i="30"/>
  <c r="BY275" i="30"/>
  <c r="CB272" i="30"/>
  <c r="CS307" i="30"/>
  <c r="CN304" i="30"/>
  <c r="CJ301" i="30"/>
  <c r="CP297" i="30"/>
  <c r="CU293" i="30"/>
  <c r="CP290" i="30"/>
  <c r="CL287" i="30"/>
  <c r="CR283" i="30"/>
  <c r="CK280" i="30"/>
  <c r="CS276" i="30"/>
  <c r="CM273" i="30"/>
  <c r="CS305" i="30"/>
  <c r="CM302" i="30"/>
  <c r="CS298" i="30"/>
  <c r="CO295" i="30"/>
  <c r="CJ292" i="30"/>
  <c r="CN288" i="30"/>
  <c r="CJ285" i="30"/>
  <c r="CQ281" i="30"/>
  <c r="CM278" i="30"/>
  <c r="CR274" i="30"/>
  <c r="CT304" i="30"/>
  <c r="CL301" i="30"/>
  <c r="CJ297" i="30"/>
  <c r="CN293" i="30"/>
  <c r="CQ289" i="30"/>
  <c r="CR285" i="30"/>
  <c r="CJ282" i="30"/>
  <c r="CN278" i="30"/>
  <c r="CM274" i="30"/>
  <c r="CB305" i="30"/>
  <c r="CD302" i="30"/>
  <c r="CE299" i="30"/>
  <c r="CG296" i="30"/>
  <c r="BW294" i="30"/>
  <c r="BY291" i="30"/>
  <c r="CA288" i="30"/>
  <c r="CC285" i="30"/>
  <c r="CE282" i="30"/>
  <c r="CG279" i="30"/>
  <c r="BW277" i="30"/>
  <c r="BY274" i="30"/>
  <c r="CS304" i="30"/>
  <c r="CU300" i="30"/>
  <c r="CU296" i="30"/>
  <c r="CM293" i="30"/>
  <c r="CP289" i="30"/>
  <c r="CQ285" i="30"/>
  <c r="CU281" i="30"/>
  <c r="CL278" i="30"/>
  <c r="CL274" i="30"/>
  <c r="CA305" i="30"/>
  <c r="CB302" i="30"/>
  <c r="CD299" i="30"/>
  <c r="CF296" i="30"/>
  <c r="BV294" i="30"/>
  <c r="BX291" i="30"/>
  <c r="BZ288" i="30"/>
  <c r="CB285" i="30"/>
  <c r="CD282" i="30"/>
  <c r="CF279" i="30"/>
  <c r="BV277" i="30"/>
  <c r="BX274" i="30"/>
  <c r="CN306" i="30"/>
  <c r="CP302" i="30"/>
  <c r="CQ298" i="30"/>
  <c r="CU294" i="30"/>
  <c r="CJ291" i="30"/>
  <c r="CN287" i="30"/>
  <c r="CO283" i="30"/>
  <c r="CO279" i="30"/>
  <c r="CS275" i="30"/>
  <c r="CK272" i="30"/>
  <c r="CC306" i="30"/>
  <c r="CE303" i="30"/>
  <c r="CG300" i="30"/>
  <c r="BW298" i="30"/>
  <c r="BY295" i="30"/>
  <c r="CA292" i="30"/>
  <c r="CC289" i="30"/>
  <c r="CE286" i="30"/>
  <c r="CF283" i="30"/>
  <c r="BV281" i="30"/>
  <c r="BX278" i="30"/>
  <c r="BZ275" i="30"/>
  <c r="CA272" i="30"/>
  <c r="CL306" i="30"/>
  <c r="CT301" i="30"/>
  <c r="CU297" i="30"/>
  <c r="CO293" i="30"/>
  <c r="CL289" i="30"/>
  <c r="CU284" i="30"/>
  <c r="CT280" i="30"/>
  <c r="CQ276" i="30"/>
  <c r="CP272" i="30"/>
  <c r="BW307" i="30"/>
  <c r="BV304" i="30"/>
  <c r="CF300" i="30"/>
  <c r="CE297" i="30"/>
  <c r="CD294" i="30"/>
  <c r="CA291" i="30"/>
  <c r="BX288" i="30"/>
  <c r="BW285" i="30"/>
  <c r="BV282" i="30"/>
  <c r="CG278" i="30"/>
  <c r="CE275" i="30"/>
  <c r="CD272" i="30"/>
  <c r="CK306" i="30"/>
  <c r="CR301" i="30"/>
  <c r="CS297" i="30"/>
  <c r="CL293" i="30"/>
  <c r="CK289" i="30"/>
  <c r="CT284" i="30"/>
  <c r="CS280" i="30"/>
  <c r="CM276" i="30"/>
  <c r="CN272" i="30"/>
  <c r="BV307" i="30"/>
  <c r="CG303" i="30"/>
  <c r="CE300" i="30"/>
  <c r="CD297" i="30"/>
  <c r="CA294" i="30"/>
  <c r="BZ291" i="30"/>
  <c r="BW288" i="30"/>
  <c r="BV285" i="30"/>
  <c r="CG281" i="30"/>
  <c r="CF278" i="30"/>
  <c r="CD275" i="30"/>
  <c r="CC272" i="30"/>
  <c r="CP307" i="30"/>
  <c r="CO303" i="30"/>
  <c r="CN299" i="30"/>
  <c r="CL295" i="30"/>
  <c r="CS290" i="30"/>
  <c r="CQ286" i="30"/>
  <c r="CN282" i="30"/>
  <c r="CO278" i="30"/>
  <c r="CU273" i="30"/>
  <c r="BV305" i="30"/>
  <c r="CG301" i="30"/>
  <c r="CF298" i="30"/>
  <c r="CE295" i="30"/>
  <c r="CD292" i="30"/>
  <c r="CB289" i="30"/>
  <c r="BZ286" i="30"/>
  <c r="BX283" i="30"/>
  <c r="BW280" i="30"/>
  <c r="CF276" i="30"/>
  <c r="CE273" i="30"/>
  <c r="CQ303" i="30"/>
  <c r="CU298" i="30"/>
  <c r="CN294" i="30"/>
  <c r="CT289" i="30"/>
  <c r="CK285" i="30"/>
  <c r="CP280" i="30"/>
  <c r="CR275" i="30"/>
  <c r="BW305" i="30"/>
  <c r="CD301" i="30"/>
  <c r="BZ298" i="30"/>
  <c r="CG294" i="30"/>
  <c r="BW291" i="30"/>
  <c r="CE287" i="30"/>
  <c r="CA284" i="30"/>
  <c r="CG280" i="30"/>
  <c r="CB277" i="30"/>
  <c r="BV274" i="30"/>
  <c r="CP303" i="30"/>
  <c r="CT298" i="30"/>
  <c r="CM294" i="30"/>
  <c r="CS289" i="30"/>
  <c r="CS284" i="30"/>
  <c r="CJ280" i="30"/>
  <c r="CQ275" i="30"/>
  <c r="CG304" i="30"/>
  <c r="CC301" i="30"/>
  <c r="BY298" i="30"/>
  <c r="CF294" i="30"/>
  <c r="BV291" i="30"/>
  <c r="CD287" i="30"/>
  <c r="BZ284" i="30"/>
  <c r="CF280" i="30"/>
  <c r="CA277" i="30"/>
  <c r="CG273" i="30"/>
  <c r="CM305" i="30"/>
  <c r="CP300" i="30"/>
  <c r="CJ296" i="30"/>
  <c r="CO291" i="30"/>
  <c r="CS286" i="30"/>
  <c r="CL282" i="30"/>
  <c r="CP277" i="30"/>
  <c r="CT272" i="30"/>
  <c r="CA306" i="30"/>
  <c r="BW303" i="30"/>
  <c r="CA299" i="30"/>
  <c r="BW296" i="30"/>
  <c r="CE292" i="30"/>
  <c r="BX289" i="30"/>
  <c r="CE285" i="30"/>
  <c r="BY282" i="30"/>
  <c r="CE278" i="30"/>
  <c r="BX275" i="30"/>
  <c r="CQ306" i="30"/>
  <c r="CO301" i="30"/>
  <c r="CM296" i="30"/>
  <c r="CM291" i="30"/>
  <c r="CL286" i="30"/>
  <c r="CK281" i="30"/>
  <c r="CT275" i="30"/>
  <c r="BV306" i="30"/>
  <c r="BW302" i="30"/>
  <c r="CA298" i="30"/>
  <c r="BY294" i="30"/>
  <c r="CB290" i="30"/>
  <c r="CG286" i="30"/>
  <c r="BV283" i="30"/>
  <c r="BY279" i="30"/>
  <c r="CA275" i="30"/>
  <c r="BP306" i="30"/>
  <c r="BH304" i="30"/>
  <c r="BL301" i="30"/>
  <c r="BP298" i="30"/>
  <c r="BH296" i="30"/>
  <c r="BL293" i="30"/>
  <c r="BP290" i="30"/>
  <c r="BH288" i="30"/>
  <c r="BL285" i="30"/>
  <c r="BP282" i="30"/>
  <c r="BH280" i="30"/>
  <c r="BL277" i="30"/>
  <c r="BP274" i="30"/>
  <c r="BH272" i="30"/>
  <c r="BA305" i="30"/>
  <c r="BE302" i="30"/>
  <c r="AW300" i="30"/>
  <c r="BA297" i="30"/>
  <c r="BE294" i="30"/>
  <c r="AW292" i="30"/>
  <c r="BA289" i="30"/>
  <c r="BE286" i="30"/>
  <c r="AW284" i="30"/>
  <c r="BA281" i="30"/>
  <c r="BE278" i="30"/>
  <c r="AW276" i="30"/>
  <c r="BA273" i="30"/>
  <c r="CP306" i="30"/>
  <c r="CN301" i="30"/>
  <c r="CL296" i="30"/>
  <c r="CL291" i="30"/>
  <c r="CK286" i="30"/>
  <c r="CU280" i="30"/>
  <c r="CP275" i="30"/>
  <c r="CG305" i="30"/>
  <c r="BV302" i="30"/>
  <c r="BX298" i="30"/>
  <c r="BX294" i="30"/>
  <c r="CA290" i="30"/>
  <c r="CF286" i="30"/>
  <c r="CG282" i="30"/>
  <c r="BX279" i="30"/>
  <c r="BW275" i="30"/>
  <c r="BO306" i="30"/>
  <c r="BS303" i="30"/>
  <c r="BK301" i="30"/>
  <c r="BO298" i="30"/>
  <c r="BS295" i="30"/>
  <c r="BK293" i="30"/>
  <c r="BO290" i="30"/>
  <c r="BS287" i="30"/>
  <c r="BK285" i="30"/>
  <c r="BO282" i="30"/>
  <c r="BS279" i="30"/>
  <c r="BK277" i="30"/>
  <c r="BO274" i="30"/>
  <c r="AZ305" i="30"/>
  <c r="BD302" i="30"/>
  <c r="AV300" i="30"/>
  <c r="AZ297" i="30"/>
  <c r="BD294" i="30"/>
  <c r="AV292" i="30"/>
  <c r="AZ289" i="30"/>
  <c r="BD286" i="30"/>
  <c r="AV284" i="30"/>
  <c r="AZ281" i="30"/>
  <c r="BD278" i="30"/>
  <c r="AV276" i="30"/>
  <c r="AZ273" i="30"/>
  <c r="CM303" i="30"/>
  <c r="CM298" i="30"/>
  <c r="CT292" i="30"/>
  <c r="CU287" i="30"/>
  <c r="CS282" i="30"/>
  <c r="CR277" i="30"/>
  <c r="CR272" i="30"/>
  <c r="BZ307" i="30"/>
  <c r="CB303" i="30"/>
  <c r="CC299" i="30"/>
  <c r="CG295" i="30"/>
  <c r="BX292" i="30"/>
  <c r="BY288" i="30"/>
  <c r="CB284" i="30"/>
  <c r="CB280" i="30"/>
  <c r="CD276" i="30"/>
  <c r="BV273" i="30"/>
  <c r="BP307" i="30"/>
  <c r="BH305" i="30"/>
  <c r="BL302" i="30"/>
  <c r="BP299" i="30"/>
  <c r="BH297" i="30"/>
  <c r="BL294" i="30"/>
  <c r="BP291" i="30"/>
  <c r="BH289" i="30"/>
  <c r="BL286" i="30"/>
  <c r="BP283" i="30"/>
  <c r="BH281" i="30"/>
  <c r="BL278" i="30"/>
  <c r="BP275" i="30"/>
  <c r="BH273" i="30"/>
  <c r="BA306" i="30"/>
  <c r="BE303" i="30"/>
  <c r="AW301" i="30"/>
  <c r="BA298" i="30"/>
  <c r="BE295" i="30"/>
  <c r="AW293" i="30"/>
  <c r="BA290" i="30"/>
  <c r="BE287" i="30"/>
  <c r="AW285" i="30"/>
  <c r="BA282" i="30"/>
  <c r="BE279" i="30"/>
  <c r="AW277" i="30"/>
  <c r="BA274" i="30"/>
  <c r="CJ305" i="30"/>
  <c r="CQ299" i="30"/>
  <c r="CR293" i="30"/>
  <c r="CK288" i="30"/>
  <c r="CQ282" i="30"/>
  <c r="CJ277" i="30"/>
  <c r="CE305" i="30"/>
  <c r="BZ301" i="30"/>
  <c r="BW297" i="30"/>
  <c r="BW293" i="30"/>
  <c r="CF288" i="30"/>
  <c r="CD284" i="30"/>
  <c r="BZ280" i="30"/>
  <c r="BY276" i="30"/>
  <c r="BV272" i="30"/>
  <c r="BH306" i="30"/>
  <c r="BI303" i="30"/>
  <c r="BJ300" i="30"/>
  <c r="BK297" i="30"/>
  <c r="BK294" i="30"/>
  <c r="BL291" i="30"/>
  <c r="BM288" i="30"/>
  <c r="BN285" i="30"/>
  <c r="BM282" i="30"/>
  <c r="BN279" i="30"/>
  <c r="BO276" i="30"/>
  <c r="BP273" i="30"/>
  <c r="AV305" i="30"/>
  <c r="AW302" i="30"/>
  <c r="AX299" i="30"/>
  <c r="AY296" i="30"/>
  <c r="AZ293" i="30"/>
  <c r="AZ290" i="30"/>
  <c r="BA287" i="30"/>
  <c r="BB284" i="30"/>
  <c r="BC281" i="30"/>
  <c r="BB278" i="30"/>
  <c r="BC275" i="30"/>
  <c r="BD272" i="30"/>
  <c r="CU304" i="30"/>
  <c r="CP299" i="30"/>
  <c r="CQ293" i="30"/>
  <c r="CJ288" i="30"/>
  <c r="CO282" i="30"/>
  <c r="CU276" i="30"/>
  <c r="CD305" i="30"/>
  <c r="BY301" i="30"/>
  <c r="BV297" i="30"/>
  <c r="BV293" i="30"/>
  <c r="CE288" i="30"/>
  <c r="CC284" i="30"/>
  <c r="BY280" i="30"/>
  <c r="BX276" i="30"/>
  <c r="BS305" i="30"/>
  <c r="BH303" i="30"/>
  <c r="BI300" i="30"/>
  <c r="BJ297" i="30"/>
  <c r="BJ294" i="30"/>
  <c r="BK291" i="30"/>
  <c r="BL288" i="30"/>
  <c r="BM285" i="30"/>
  <c r="BL282" i="30"/>
  <c r="BM279" i="30"/>
  <c r="BN276" i="30"/>
  <c r="BO273" i="30"/>
  <c r="AU305" i="30"/>
  <c r="AV302" i="30"/>
  <c r="AW299" i="30"/>
  <c r="AX296" i="30"/>
  <c r="AY293" i="30"/>
  <c r="AY290" i="30"/>
  <c r="AZ287" i="30"/>
  <c r="BA284" i="30"/>
  <c r="BB281" i="30"/>
  <c r="BA278" i="30"/>
  <c r="BB275" i="30"/>
  <c r="BC272" i="30"/>
  <c r="AP305" i="30"/>
  <c r="AH303" i="30"/>
  <c r="AL300" i="30"/>
  <c r="AP297" i="30"/>
  <c r="AH295" i="30"/>
  <c r="AL292" i="30"/>
  <c r="AP289" i="30"/>
  <c r="AH287" i="30"/>
  <c r="AL284" i="30"/>
  <c r="AP281" i="30"/>
  <c r="AH279" i="30"/>
  <c r="AL276" i="30"/>
  <c r="AP273" i="30"/>
  <c r="CM307" i="30"/>
  <c r="CQ301" i="30"/>
  <c r="CS295" i="30"/>
  <c r="CM290" i="30"/>
  <c r="CO284" i="30"/>
  <c r="CU278" i="30"/>
  <c r="CP273" i="30"/>
  <c r="BY307" i="30"/>
  <c r="BX303" i="30"/>
  <c r="CG298" i="30"/>
  <c r="CE294" i="30"/>
  <c r="BY290" i="30"/>
  <c r="BW286" i="30"/>
  <c r="CF281" i="30"/>
  <c r="CE277" i="30"/>
  <c r="CB273" i="30"/>
  <c r="BJ307" i="30"/>
  <c r="BK304" i="30"/>
  <c r="BJ301" i="30"/>
  <c r="BK298" i="30"/>
  <c r="BL295" i="30"/>
  <c r="BM292" i="30"/>
  <c r="BN289" i="30"/>
  <c r="BO286" i="30"/>
  <c r="BO283" i="30"/>
  <c r="BP280" i="30"/>
  <c r="BQ277" i="30"/>
  <c r="BR274" i="30"/>
  <c r="AX306" i="30"/>
  <c r="AY303" i="30"/>
  <c r="AZ300" i="30"/>
  <c r="AY297" i="30"/>
  <c r="AZ294" i="30"/>
  <c r="BA291" i="30"/>
  <c r="BB288" i="30"/>
  <c r="BC285" i="30"/>
  <c r="BD282" i="30"/>
  <c r="BD279" i="30"/>
  <c r="BE276" i="30"/>
  <c r="AT274" i="30"/>
  <c r="CK304" i="30"/>
  <c r="CK298" i="30"/>
  <c r="CU291" i="30"/>
  <c r="CN285" i="30"/>
  <c r="CL279" i="30"/>
  <c r="CJ273" i="30"/>
  <c r="CF303" i="30"/>
  <c r="BX299" i="30"/>
  <c r="BZ294" i="30"/>
  <c r="CG289" i="30"/>
  <c r="BY285" i="30"/>
  <c r="CC280" i="30"/>
  <c r="BV276" i="30"/>
  <c r="BQ306" i="30"/>
  <c r="BM303" i="30"/>
  <c r="BK300" i="30"/>
  <c r="BR296" i="30"/>
  <c r="BP293" i="30"/>
  <c r="BL290" i="30"/>
  <c r="BJ287" i="30"/>
  <c r="BH284" i="30"/>
  <c r="BQ280" i="30"/>
  <c r="BN277" i="30"/>
  <c r="BJ274" i="30"/>
  <c r="CJ304" i="30"/>
  <c r="CJ298" i="30"/>
  <c r="CT291" i="30"/>
  <c r="CM285" i="30"/>
  <c r="CK279" i="30"/>
  <c r="CU272" i="30"/>
  <c r="CD303" i="30"/>
  <c r="BW299" i="30"/>
  <c r="CG293" i="30"/>
  <c r="CF289" i="30"/>
  <c r="BX285" i="30"/>
  <c r="CA280" i="30"/>
  <c r="CF275" i="30"/>
  <c r="CS303" i="30"/>
  <c r="CL297" i="30"/>
  <c r="CP291" i="30"/>
  <c r="CL285" i="30"/>
  <c r="CT278" i="30"/>
  <c r="CS272" i="30"/>
  <c r="CC303" i="30"/>
  <c r="BV299" i="30"/>
  <c r="CF293" i="30"/>
  <c r="CE289" i="30"/>
  <c r="CG284" i="30"/>
  <c r="BX280" i="30"/>
  <c r="CC275" i="30"/>
  <c r="CR304" i="30"/>
  <c r="CL298" i="30"/>
  <c r="CR290" i="30"/>
  <c r="CU283" i="30"/>
  <c r="CL277" i="30"/>
  <c r="BY304" i="30"/>
  <c r="CE298" i="30"/>
  <c r="CB293" i="30"/>
  <c r="CC288" i="30"/>
  <c r="CA283" i="30"/>
  <c r="BZ278" i="30"/>
  <c r="BZ273" i="30"/>
  <c r="BQ304" i="30"/>
  <c r="BN301" i="30"/>
  <c r="BH298" i="30"/>
  <c r="BQ294" i="30"/>
  <c r="BM291" i="30"/>
  <c r="BR287" i="30"/>
  <c r="BO284" i="30"/>
  <c r="BL281" i="30"/>
  <c r="BH278" i="30"/>
  <c r="BN274" i="30"/>
  <c r="AX305" i="30"/>
  <c r="AT302" i="30"/>
  <c r="BD298" i="30"/>
  <c r="BA295" i="30"/>
  <c r="AY292" i="30"/>
  <c r="AU289" i="30"/>
  <c r="BE285" i="30"/>
  <c r="BB282" i="30"/>
  <c r="AY279" i="30"/>
  <c r="AU276" i="30"/>
  <c r="BE272" i="30"/>
  <c r="AF307" i="30"/>
  <c r="AI304" i="30"/>
  <c r="AL301" i="30"/>
  <c r="AO298" i="30"/>
  <c r="AF296" i="30"/>
  <c r="AI293" i="30"/>
  <c r="AL290" i="30"/>
  <c r="AO287" i="30"/>
  <c r="AF285" i="30"/>
  <c r="AI282" i="30"/>
  <c r="AL279" i="30"/>
  <c r="AO276" i="30"/>
  <c r="AF274" i="30"/>
  <c r="AC305" i="30"/>
  <c r="U303" i="30"/>
  <c r="Y300" i="30"/>
  <c r="AC297" i="30"/>
  <c r="U295" i="30"/>
  <c r="Y292" i="30"/>
  <c r="AC289" i="30"/>
  <c r="U287" i="30"/>
  <c r="Y284" i="30"/>
  <c r="AC281" i="30"/>
  <c r="U279" i="30"/>
  <c r="Y276" i="30"/>
  <c r="AC273" i="30"/>
  <c r="CM304" i="30"/>
  <c r="CT296" i="30"/>
  <c r="CN290" i="30"/>
  <c r="CQ283" i="30"/>
  <c r="BW304" i="30"/>
  <c r="CC298" i="30"/>
  <c r="BZ293" i="30"/>
  <c r="BV288" i="30"/>
  <c r="BY283" i="30"/>
  <c r="BW273" i="30"/>
  <c r="BS307" i="30"/>
  <c r="BI301" i="30"/>
  <c r="BO294" i="30"/>
  <c r="BP287" i="30"/>
  <c r="BJ281" i="30"/>
  <c r="BL274" i="30"/>
  <c r="AJ301" i="30"/>
  <c r="AG293" i="30"/>
  <c r="AG282" i="30"/>
  <c r="S303" i="30"/>
  <c r="S295" i="30"/>
  <c r="S287" i="30"/>
  <c r="S279" i="30"/>
  <c r="CQ304" i="30"/>
  <c r="CK297" i="30"/>
  <c r="CO290" i="30"/>
  <c r="CT283" i="30"/>
  <c r="CK277" i="30"/>
  <c r="BX304" i="30"/>
  <c r="CD298" i="30"/>
  <c r="CA293" i="30"/>
  <c r="CB288" i="30"/>
  <c r="BZ283" i="30"/>
  <c r="BY278" i="30"/>
  <c r="BX273" i="30"/>
  <c r="BP304" i="30"/>
  <c r="BM301" i="30"/>
  <c r="BS297" i="30"/>
  <c r="BP294" i="30"/>
  <c r="BJ291" i="30"/>
  <c r="BQ287" i="30"/>
  <c r="BN284" i="30"/>
  <c r="BK281" i="30"/>
  <c r="BS277" i="30"/>
  <c r="BM274" i="30"/>
  <c r="AW305" i="30"/>
  <c r="BE301" i="30"/>
  <c r="BC298" i="30"/>
  <c r="AZ295" i="30"/>
  <c r="AX292" i="30"/>
  <c r="AT289" i="30"/>
  <c r="BD285" i="30"/>
  <c r="AZ282" i="30"/>
  <c r="AX279" i="30"/>
  <c r="AT276" i="30"/>
  <c r="BB272" i="30"/>
  <c r="AQ306" i="30"/>
  <c r="AH304" i="30"/>
  <c r="AK301" i="30"/>
  <c r="AN298" i="30"/>
  <c r="AQ295" i="30"/>
  <c r="AH293" i="30"/>
  <c r="AK290" i="30"/>
  <c r="AN287" i="30"/>
  <c r="AQ284" i="30"/>
  <c r="AH282" i="30"/>
  <c r="AK279" i="30"/>
  <c r="AN276" i="30"/>
  <c r="AQ273" i="30"/>
  <c r="AB305" i="30"/>
  <c r="T303" i="30"/>
  <c r="X300" i="30"/>
  <c r="AB297" i="30"/>
  <c r="T295" i="30"/>
  <c r="X292" i="30"/>
  <c r="AB289" i="30"/>
  <c r="T287" i="30"/>
  <c r="X284" i="30"/>
  <c r="AB281" i="30"/>
  <c r="T279" i="30"/>
  <c r="X276" i="30"/>
  <c r="AB273" i="30"/>
  <c r="CR276" i="30"/>
  <c r="BW278" i="30"/>
  <c r="BO304" i="30"/>
  <c r="BR297" i="30"/>
  <c r="BI291" i="30"/>
  <c r="BM284" i="30"/>
  <c r="BR277" i="30"/>
  <c r="AT305" i="30"/>
  <c r="BD301" i="30"/>
  <c r="BB298" i="30"/>
  <c r="AY295" i="30"/>
  <c r="AU292" i="30"/>
  <c r="BE288" i="30"/>
  <c r="BB285" i="30"/>
  <c r="AY282" i="30"/>
  <c r="AW279" i="30"/>
  <c r="BE275" i="30"/>
  <c r="BA272" i="30"/>
  <c r="AP306" i="30"/>
  <c r="AG304" i="30"/>
  <c r="AM298" i="30"/>
  <c r="AP295" i="30"/>
  <c r="AJ290" i="30"/>
  <c r="AM287" i="30"/>
  <c r="AP284" i="30"/>
  <c r="AJ279" i="30"/>
  <c r="AM276" i="30"/>
  <c r="AO273" i="30"/>
  <c r="AA305" i="30"/>
  <c r="W300" i="30"/>
  <c r="AA297" i="30"/>
  <c r="W292" i="30"/>
  <c r="AA289" i="30"/>
  <c r="W284" i="30"/>
  <c r="AA281" i="30"/>
  <c r="W276" i="30"/>
  <c r="AA273" i="30"/>
  <c r="CN307" i="30"/>
  <c r="CM300" i="30"/>
  <c r="CP293" i="30"/>
  <c r="CT286" i="30"/>
  <c r="CS279" i="30"/>
  <c r="CK273" i="30"/>
  <c r="BX306" i="30"/>
  <c r="CD300" i="30"/>
  <c r="CF295" i="30"/>
  <c r="CD290" i="30"/>
  <c r="CD285" i="30"/>
  <c r="BV280" i="30"/>
  <c r="CF274" i="30"/>
  <c r="BR305" i="30"/>
  <c r="BO302" i="30"/>
  <c r="BK299" i="30"/>
  <c r="BR295" i="30"/>
  <c r="BO292" i="30"/>
  <c r="BK289" i="30"/>
  <c r="BS285" i="30"/>
  <c r="BN282" i="30"/>
  <c r="BI279" i="30"/>
  <c r="BR275" i="30"/>
  <c r="BN272" i="30"/>
  <c r="BB306" i="30"/>
  <c r="AX303" i="30"/>
  <c r="AT300" i="30"/>
  <c r="BD296" i="30"/>
  <c r="BB293" i="30"/>
  <c r="AW290" i="30"/>
  <c r="AU287" i="30"/>
  <c r="BC283" i="30"/>
  <c r="BA280" i="30"/>
  <c r="AY277" i="30"/>
  <c r="AV274" i="30"/>
  <c r="AI305" i="30"/>
  <c r="AL302" i="30"/>
  <c r="AO299" i="30"/>
  <c r="AF297" i="30"/>
  <c r="AI294" i="30"/>
  <c r="AL291" i="30"/>
  <c r="AO288" i="30"/>
  <c r="AF286" i="30"/>
  <c r="AI283" i="30"/>
  <c r="AL280" i="30"/>
  <c r="AO277" i="30"/>
  <c r="AF275" i="30"/>
  <c r="AI272" i="30"/>
  <c r="AC306" i="30"/>
  <c r="U304" i="30"/>
  <c r="Y301" i="30"/>
  <c r="AC298" i="30"/>
  <c r="U296" i="30"/>
  <c r="Y293" i="30"/>
  <c r="AC290" i="30"/>
  <c r="U288" i="30"/>
  <c r="Y285" i="30"/>
  <c r="AC282" i="30"/>
  <c r="U280" i="30"/>
  <c r="Y277" i="30"/>
  <c r="AC274" i="30"/>
  <c r="U272" i="30"/>
  <c r="CJ307" i="30"/>
  <c r="CJ300" i="30"/>
  <c r="CJ293" i="30"/>
  <c r="CR286" i="30"/>
  <c r="CQ279" i="30"/>
  <c r="CQ272" i="30"/>
  <c r="BW306" i="30"/>
  <c r="CC300" i="30"/>
  <c r="CD295" i="30"/>
  <c r="CC290" i="30"/>
  <c r="CA285" i="30"/>
  <c r="CE279" i="30"/>
  <c r="CE274" i="30"/>
  <c r="BQ305" i="30"/>
  <c r="BN302" i="30"/>
  <c r="BJ299" i="30"/>
  <c r="BQ295" i="30"/>
  <c r="BN292" i="30"/>
  <c r="BJ289" i="30"/>
  <c r="BR285" i="30"/>
  <c r="BK282" i="30"/>
  <c r="BH279" i="30"/>
  <c r="BQ275" i="30"/>
  <c r="BM272" i="30"/>
  <c r="AZ306" i="30"/>
  <c r="AW303" i="30"/>
  <c r="BE299" i="30"/>
  <c r="BC296" i="30"/>
  <c r="BA293" i="30"/>
  <c r="AV290" i="30"/>
  <c r="AT287" i="30"/>
  <c r="BB283" i="30"/>
  <c r="AZ280" i="30"/>
  <c r="AX277" i="30"/>
  <c r="AU274" i="30"/>
  <c r="AQ307" i="30"/>
  <c r="AH305" i="30"/>
  <c r="AK302" i="30"/>
  <c r="AN299" i="30"/>
  <c r="AQ296" i="30"/>
  <c r="AH294" i="30"/>
  <c r="AK291" i="30"/>
  <c r="AN288" i="30"/>
  <c r="AQ285" i="30"/>
  <c r="AH283" i="30"/>
  <c r="AK280" i="30"/>
  <c r="AN277" i="30"/>
  <c r="AQ274" i="30"/>
  <c r="AH272" i="30"/>
  <c r="CJ306" i="30"/>
  <c r="CS296" i="30"/>
  <c r="CJ289" i="30"/>
  <c r="CO281" i="30"/>
  <c r="CS273" i="30"/>
  <c r="CA303" i="30"/>
  <c r="CB297" i="30"/>
  <c r="CF291" i="30"/>
  <c r="CG285" i="30"/>
  <c r="CA279" i="30"/>
  <c r="CC273" i="30"/>
  <c r="BJ305" i="30"/>
  <c r="BS300" i="30"/>
  <c r="BI297" i="30"/>
  <c r="BI293" i="30"/>
  <c r="BL289" i="30"/>
  <c r="BI285" i="30"/>
  <c r="BM281" i="30"/>
  <c r="BI277" i="30"/>
  <c r="BK273" i="30"/>
  <c r="BA304" i="30"/>
  <c r="BE300" i="30"/>
  <c r="AU297" i="30"/>
  <c r="AU293" i="30"/>
  <c r="AX289" i="30"/>
  <c r="AY285" i="30"/>
  <c r="AY281" i="30"/>
  <c r="BD277" i="30"/>
  <c r="BE273" i="30"/>
  <c r="AN307" i="30"/>
  <c r="AL304" i="30"/>
  <c r="AG301" i="30"/>
  <c r="AQ297" i="30"/>
  <c r="AN294" i="30"/>
  <c r="AJ291" i="30"/>
  <c r="AH288" i="30"/>
  <c r="AO284" i="30"/>
  <c r="AL281" i="30"/>
  <c r="AJ278" i="30"/>
  <c r="AH275" i="30"/>
  <c r="R307" i="30"/>
  <c r="AC303" i="30"/>
  <c r="AC300" i="30"/>
  <c r="Z297" i="30"/>
  <c r="Z294" i="30"/>
  <c r="Z291" i="30"/>
  <c r="Z288" i="30"/>
  <c r="Z285" i="30"/>
  <c r="Y282" i="30"/>
  <c r="Y279" i="30"/>
  <c r="V276" i="30"/>
  <c r="V273" i="30"/>
  <c r="AJ304" i="30"/>
  <c r="AN297" i="30"/>
  <c r="AH291" i="30"/>
  <c r="AM284" i="30"/>
  <c r="AH278" i="30"/>
  <c r="AA306" i="30"/>
  <c r="AA300" i="30"/>
  <c r="X294" i="30"/>
  <c r="X288" i="30"/>
  <c r="W282" i="30"/>
  <c r="T276" i="30"/>
  <c r="CE296" i="30"/>
  <c r="CF284" i="30"/>
  <c r="CF272" i="30"/>
  <c r="BR304" i="30"/>
  <c r="BR292" i="30"/>
  <c r="BR280" i="30"/>
  <c r="CQ305" i="30"/>
  <c r="CR296" i="30"/>
  <c r="CU288" i="30"/>
  <c r="CN281" i="30"/>
  <c r="CQ273" i="30"/>
  <c r="BZ303" i="30"/>
  <c r="CA297" i="30"/>
  <c r="CD291" i="30"/>
  <c r="CF285" i="30"/>
  <c r="BZ279" i="30"/>
  <c r="CA273" i="30"/>
  <c r="BI305" i="30"/>
  <c r="BR300" i="30"/>
  <c r="BS296" i="30"/>
  <c r="BH293" i="30"/>
  <c r="BI289" i="30"/>
  <c r="BH285" i="30"/>
  <c r="BI281" i="30"/>
  <c r="BH277" i="30"/>
  <c r="BJ273" i="30"/>
  <c r="AZ304" i="30"/>
  <c r="BD300" i="30"/>
  <c r="AT297" i="30"/>
  <c r="AT293" i="30"/>
  <c r="AW289" i="30"/>
  <c r="AX285" i="30"/>
  <c r="AX281" i="30"/>
  <c r="BC277" i="30"/>
  <c r="BD273" i="30"/>
  <c r="AM307" i="30"/>
  <c r="AK304" i="30"/>
  <c r="AF301" i="30"/>
  <c r="AO297" i="30"/>
  <c r="AM294" i="30"/>
  <c r="AI291" i="30"/>
  <c r="AG288" i="30"/>
  <c r="AN284" i="30"/>
  <c r="AK281" i="30"/>
  <c r="AI278" i="30"/>
  <c r="AG275" i="30"/>
  <c r="AB306" i="30"/>
  <c r="AB303" i="30"/>
  <c r="AB300" i="30"/>
  <c r="Y297" i="30"/>
  <c r="Y294" i="30"/>
  <c r="Y291" i="30"/>
  <c r="Y288" i="30"/>
  <c r="X285" i="30"/>
  <c r="X282" i="30"/>
  <c r="X279" i="30"/>
  <c r="U276" i="30"/>
  <c r="U273" i="30"/>
  <c r="CO305" i="30"/>
  <c r="CQ296" i="30"/>
  <c r="CR288" i="30"/>
  <c r="CL281" i="30"/>
  <c r="CM272" i="30"/>
  <c r="BY303" i="30"/>
  <c r="BX297" i="30"/>
  <c r="CC291" i="30"/>
  <c r="BZ285" i="30"/>
  <c r="BW279" i="30"/>
  <c r="CG272" i="30"/>
  <c r="BS304" i="30"/>
  <c r="BQ300" i="30"/>
  <c r="BQ296" i="30"/>
  <c r="BS292" i="30"/>
  <c r="BS288" i="30"/>
  <c r="BS284" i="30"/>
  <c r="BS280" i="30"/>
  <c r="BS276" i="30"/>
  <c r="BI273" i="30"/>
  <c r="AY304" i="30"/>
  <c r="BC300" i="30"/>
  <c r="BE296" i="30"/>
  <c r="BE292" i="30"/>
  <c r="AV289" i="30"/>
  <c r="AV285" i="30"/>
  <c r="AW281" i="30"/>
  <c r="BB277" i="30"/>
  <c r="BC273" i="30"/>
  <c r="AL307" i="30"/>
  <c r="AQ300" i="30"/>
  <c r="AL294" i="30"/>
  <c r="AF288" i="30"/>
  <c r="AJ281" i="30"/>
  <c r="AP274" i="30"/>
  <c r="AA303" i="30"/>
  <c r="X297" i="30"/>
  <c r="X291" i="30"/>
  <c r="W285" i="30"/>
  <c r="W279" i="30"/>
  <c r="T273" i="30"/>
  <c r="CN305" i="30"/>
  <c r="CP296" i="30"/>
  <c r="CP288" i="30"/>
  <c r="CR280" i="30"/>
  <c r="CL272" i="30"/>
  <c r="BV303" i="30"/>
  <c r="CB291" i="30"/>
  <c r="BV279" i="30"/>
  <c r="BP300" i="30"/>
  <c r="BP296" i="30"/>
  <c r="BR288" i="30"/>
  <c r="BR284" i="30"/>
  <c r="BR276" i="30"/>
  <c r="BS272" i="30"/>
  <c r="CQ300" i="30"/>
  <c r="CP292" i="30"/>
  <c r="CL284" i="30"/>
  <c r="CU275" i="30"/>
  <c r="BZ306" i="30"/>
  <c r="BY300" i="30"/>
  <c r="CD293" i="30"/>
  <c r="CB287" i="30"/>
  <c r="CE281" i="30"/>
  <c r="BW276" i="30"/>
  <c r="BN306" i="30"/>
  <c r="BP302" i="30"/>
  <c r="BQ298" i="30"/>
  <c r="BR294" i="30"/>
  <c r="BN290" i="30"/>
  <c r="BQ286" i="30"/>
  <c r="BS282" i="30"/>
  <c r="BQ278" i="30"/>
  <c r="BH275" i="30"/>
  <c r="AV306" i="30"/>
  <c r="AY302" i="30"/>
  <c r="AX298" i="30"/>
  <c r="BA294" i="30"/>
  <c r="BE290" i="30"/>
  <c r="BC286" i="30"/>
  <c r="AV283" i="30"/>
  <c r="AV279" i="30"/>
  <c r="AW275" i="30"/>
  <c r="AN305" i="30"/>
  <c r="AJ302" i="30"/>
  <c r="AH299" i="30"/>
  <c r="AO295" i="30"/>
  <c r="AM292" i="30"/>
  <c r="AJ289" i="30"/>
  <c r="AH286" i="30"/>
  <c r="AP282" i="30"/>
  <c r="AN279" i="30"/>
  <c r="AH276" i="30"/>
  <c r="AF273" i="30"/>
  <c r="R305" i="30"/>
  <c r="R302" i="30"/>
  <c r="R299" i="30"/>
  <c r="AC295" i="30"/>
  <c r="AC292" i="30"/>
  <c r="Z289" i="30"/>
  <c r="Z286" i="30"/>
  <c r="Z283" i="30"/>
  <c r="Z280" i="30"/>
  <c r="Z277" i="30"/>
  <c r="Y274" i="30"/>
  <c r="CO300" i="30"/>
  <c r="CO292" i="30"/>
  <c r="CK284" i="30"/>
  <c r="CO275" i="30"/>
  <c r="BY306" i="30"/>
  <c r="BX300" i="30"/>
  <c r="CC293" i="30"/>
  <c r="CA287" i="30"/>
  <c r="CD281" i="30"/>
  <c r="CB275" i="30"/>
  <c r="BM306" i="30"/>
  <c r="BM302" i="30"/>
  <c r="BN298" i="30"/>
  <c r="BN294" i="30"/>
  <c r="BM290" i="30"/>
  <c r="BP286" i="30"/>
  <c r="BR282" i="30"/>
  <c r="BP278" i="30"/>
  <c r="BS274" i="30"/>
  <c r="AU306" i="30"/>
  <c r="AX302" i="30"/>
  <c r="AW298" i="30"/>
  <c r="AY294" i="30"/>
  <c r="BD290" i="30"/>
  <c r="BB286" i="30"/>
  <c r="AU283" i="30"/>
  <c r="AU279" i="30"/>
  <c r="AV275" i="30"/>
  <c r="AM305" i="30"/>
  <c r="AI302" i="30"/>
  <c r="AG299" i="30"/>
  <c r="AN295" i="30"/>
  <c r="AK292" i="30"/>
  <c r="AI289" i="30"/>
  <c r="AG286" i="30"/>
  <c r="AO282" i="30"/>
  <c r="AM279" i="30"/>
  <c r="AG276" i="30"/>
  <c r="AQ272" i="30"/>
  <c r="AC307" i="30"/>
  <c r="AC304" i="30"/>
  <c r="AC301" i="30"/>
  <c r="AB298" i="30"/>
  <c r="AB295" i="30"/>
  <c r="AB292" i="30"/>
  <c r="Y289" i="30"/>
  <c r="Y286" i="30"/>
  <c r="Y283" i="30"/>
  <c r="Y280" i="30"/>
  <c r="X277" i="30"/>
  <c r="X274" i="30"/>
  <c r="CU299" i="30"/>
  <c r="CM292" i="30"/>
  <c r="CP283" i="30"/>
  <c r="CN275" i="30"/>
  <c r="CF305" i="30"/>
  <c r="BV300" i="30"/>
  <c r="BY293" i="30"/>
  <c r="BZ287" i="30"/>
  <c r="CC281" i="30"/>
  <c r="BV275" i="30"/>
  <c r="CP298" i="30"/>
  <c r="CQ287" i="30"/>
  <c r="CQ277" i="30"/>
  <c r="CE306" i="30"/>
  <c r="CB298" i="30"/>
  <c r="CE290" i="30"/>
  <c r="CF282" i="30"/>
  <c r="CG274" i="30"/>
  <c r="BO307" i="30"/>
  <c r="BS302" i="30"/>
  <c r="BI298" i="30"/>
  <c r="BJ293" i="30"/>
  <c r="BJ288" i="30"/>
  <c r="BL283" i="30"/>
  <c r="BN278" i="30"/>
  <c r="BN273" i="30"/>
  <c r="AU304" i="30"/>
  <c r="BA299" i="30"/>
  <c r="AU295" i="30"/>
  <c r="BB290" i="30"/>
  <c r="AU286" i="30"/>
  <c r="AU281" i="30"/>
  <c r="BC276" i="30"/>
  <c r="AV272" i="30"/>
  <c r="AP307" i="30"/>
  <c r="AO303" i="30"/>
  <c r="AG300" i="30"/>
  <c r="AJ296" i="30"/>
  <c r="AI292" i="30"/>
  <c r="AL288" i="30"/>
  <c r="AJ284" i="30"/>
  <c r="AO280" i="30"/>
  <c r="AF277" i="30"/>
  <c r="AG273" i="30"/>
  <c r="CU307" i="30"/>
  <c r="CO298" i="30"/>
  <c r="CP287" i="30"/>
  <c r="CM277" i="30"/>
  <c r="CD306" i="30"/>
  <c r="BV298" i="30"/>
  <c r="BZ290" i="30"/>
  <c r="CC282" i="30"/>
  <c r="CD274" i="30"/>
  <c r="BN307" i="30"/>
  <c r="BR302" i="30"/>
  <c r="BQ297" i="30"/>
  <c r="BQ292" i="30"/>
  <c r="BI288" i="30"/>
  <c r="BK283" i="30"/>
  <c r="BM278" i="30"/>
  <c r="BM273" i="30"/>
  <c r="AT304" i="30"/>
  <c r="AZ299" i="30"/>
  <c r="AT295" i="30"/>
  <c r="AX290" i="30"/>
  <c r="AT286" i="30"/>
  <c r="AT281" i="30"/>
  <c r="BB276" i="30"/>
  <c r="AU272" i="30"/>
  <c r="AO307" i="30"/>
  <c r="AN303" i="30"/>
  <c r="AF300" i="30"/>
  <c r="AI296" i="30"/>
  <c r="AH292" i="30"/>
  <c r="AK288" i="30"/>
  <c r="AI284" i="30"/>
  <c r="AN280" i="30"/>
  <c r="AQ276" i="30"/>
  <c r="AP272" i="30"/>
  <c r="CR307" i="30"/>
  <c r="CN298" i="30"/>
  <c r="CO287" i="30"/>
  <c r="CL276" i="30"/>
  <c r="CB306" i="30"/>
  <c r="CG297" i="30"/>
  <c r="BX290" i="30"/>
  <c r="CB282" i="30"/>
  <c r="CC274" i="30"/>
  <c r="BM307" i="30"/>
  <c r="BQ302" i="30"/>
  <c r="BP297" i="30"/>
  <c r="BP292" i="30"/>
  <c r="BO287" i="30"/>
  <c r="BJ283" i="30"/>
  <c r="BK278" i="30"/>
  <c r="BL273" i="30"/>
  <c r="BE307" i="30"/>
  <c r="BD303" i="30"/>
  <c r="AY299" i="30"/>
  <c r="BC294" i="30"/>
  <c r="AU290" i="30"/>
  <c r="BA285" i="30"/>
  <c r="BE280" i="30"/>
  <c r="BA276" i="30"/>
  <c r="AT272" i="30"/>
  <c r="AK307" i="30"/>
  <c r="AM303" i="30"/>
  <c r="AQ299" i="30"/>
  <c r="AH296" i="30"/>
  <c r="AG292" i="30"/>
  <c r="AJ288" i="30"/>
  <c r="AH284" i="30"/>
  <c r="AM280" i="30"/>
  <c r="AP276" i="30"/>
  <c r="AO272" i="30"/>
  <c r="CR295" i="30"/>
  <c r="CO285" i="30"/>
  <c r="CK274" i="30"/>
  <c r="BX305" i="30"/>
  <c r="CB296" i="30"/>
  <c r="CD288" i="30"/>
  <c r="CD279" i="30"/>
  <c r="BJ303" i="30"/>
  <c r="BM297" i="30"/>
  <c r="BS291" i="30"/>
  <c r="BN286" i="30"/>
  <c r="BN281" i="30"/>
  <c r="BS275" i="30"/>
  <c r="AW306" i="30"/>
  <c r="AV301" i="30"/>
  <c r="AU296" i="30"/>
  <c r="AW291" i="30"/>
  <c r="AW286" i="30"/>
  <c r="BC280" i="30"/>
  <c r="BA275" i="30"/>
  <c r="AL306" i="30"/>
  <c r="AM302" i="30"/>
  <c r="AH298" i="30"/>
  <c r="AP293" i="30"/>
  <c r="AN289" i="30"/>
  <c r="AL285" i="30"/>
  <c r="AG281" i="30"/>
  <c r="AG277" i="30"/>
  <c r="AL272" i="30"/>
  <c r="Y306" i="30"/>
  <c r="AC302" i="30"/>
  <c r="X299" i="30"/>
  <c r="R296" i="30"/>
  <c r="T292" i="30"/>
  <c r="AA288" i="30"/>
  <c r="R285" i="30"/>
  <c r="V281" i="30"/>
  <c r="AC277" i="30"/>
  <c r="U274" i="30"/>
  <c r="CQ307" i="30"/>
  <c r="CQ295" i="30"/>
  <c r="CR284" i="30"/>
  <c r="CJ274" i="30"/>
  <c r="CF304" i="30"/>
  <c r="CA296" i="30"/>
  <c r="CG287" i="30"/>
  <c r="CC279" i="30"/>
  <c r="BK302" i="30"/>
  <c r="BL297" i="30"/>
  <c r="BR291" i="30"/>
  <c r="BM286" i="30"/>
  <c r="BO280" i="30"/>
  <c r="BO275" i="30"/>
  <c r="AT306" i="30"/>
  <c r="AU301" i="30"/>
  <c r="AT296" i="30"/>
  <c r="AV291" i="30"/>
  <c r="AV286" i="30"/>
  <c r="BB280" i="30"/>
  <c r="AZ275" i="30"/>
  <c r="AK306" i="30"/>
  <c r="AH302" i="30"/>
  <c r="AG298" i="30"/>
  <c r="AO293" i="30"/>
  <c r="AM289" i="30"/>
  <c r="AK285" i="30"/>
  <c r="AF281" i="30"/>
  <c r="AK276" i="30"/>
  <c r="AK272" i="30"/>
  <c r="X306" i="30"/>
  <c r="AB302" i="30"/>
  <c r="W299" i="30"/>
  <c r="AA295" i="30"/>
  <c r="S292" i="30"/>
  <c r="W288" i="30"/>
  <c r="AC284" i="30"/>
  <c r="U281" i="30"/>
  <c r="AB277" i="30"/>
  <c r="T274" i="30"/>
  <c r="CU301" i="30"/>
  <c r="CU289" i="30"/>
  <c r="CQ278" i="30"/>
  <c r="BV301" i="30"/>
  <c r="BY292" i="30"/>
  <c r="CC283" i="30"/>
  <c r="CA274" i="30"/>
  <c r="BN304" i="30"/>
  <c r="BN299" i="30"/>
  <c r="BH294" i="30"/>
  <c r="BP288" i="30"/>
  <c r="BM283" i="30"/>
  <c r="BP277" i="30"/>
  <c r="BK272" i="30"/>
  <c r="BA307" i="30"/>
  <c r="AT303" i="30"/>
  <c r="BE297" i="30"/>
  <c r="BC292" i="30"/>
  <c r="AT288" i="30"/>
  <c r="AT283" i="30"/>
  <c r="AT278" i="30"/>
  <c r="AT273" i="30"/>
  <c r="AQ303" i="30"/>
  <c r="AM299" i="30"/>
  <c r="AJ295" i="30"/>
  <c r="AF291" i="30"/>
  <c r="AP286" i="30"/>
  <c r="AN282" i="30"/>
  <c r="AL278" i="30"/>
  <c r="AI274" i="30"/>
  <c r="X304" i="30"/>
  <c r="R301" i="30"/>
  <c r="S297" i="30"/>
  <c r="Z293" i="30"/>
  <c r="T290" i="30"/>
  <c r="V286" i="30"/>
  <c r="AB282" i="30"/>
  <c r="AC278" i="30"/>
  <c r="X275" i="30"/>
  <c r="R272" i="30"/>
  <c r="CP301" i="30"/>
  <c r="CN289" i="30"/>
  <c r="CP278" i="30"/>
  <c r="CB300" i="30"/>
  <c r="BW292" i="30"/>
  <c r="BW283" i="30"/>
  <c r="BZ274" i="30"/>
  <c r="BM304" i="30"/>
  <c r="BM299" i="30"/>
  <c r="BS293" i="30"/>
  <c r="BO288" i="30"/>
  <c r="BI283" i="30"/>
  <c r="BO277" i="30"/>
  <c r="BJ272" i="30"/>
  <c r="AZ307" i="30"/>
  <c r="BC302" i="30"/>
  <c r="BD297" i="30"/>
  <c r="BB292" i="30"/>
  <c r="BD287" i="30"/>
  <c r="BE282" i="30"/>
  <c r="V275" i="30"/>
  <c r="W287" i="30"/>
  <c r="U299" i="30"/>
  <c r="AO274" i="30"/>
  <c r="AG289" i="30"/>
  <c r="AK298" i="30"/>
  <c r="AT282" i="30"/>
  <c r="AT299" i="30"/>
  <c r="BK284" i="30"/>
  <c r="BL296" i="30"/>
  <c r="CF290" i="30"/>
  <c r="CP281" i="30"/>
  <c r="CQ294" i="30"/>
  <c r="CS306" i="30"/>
  <c r="Z275" i="30"/>
  <c r="AB279" i="30"/>
  <c r="AA283" i="30"/>
  <c r="Z287" i="30"/>
  <c r="W291" i="30"/>
  <c r="Y295" i="30"/>
  <c r="Z299" i="30"/>
  <c r="Y303" i="30"/>
  <c r="Y307" i="30"/>
  <c r="AK275" i="30"/>
  <c r="AF280" i="30"/>
  <c r="AG285" i="30"/>
  <c r="AL289" i="30"/>
  <c r="AG294" i="30"/>
  <c r="AQ298" i="30"/>
  <c r="AK303" i="30"/>
  <c r="BD276" i="30"/>
  <c r="AW282" i="30"/>
  <c r="AV288" i="30"/>
  <c r="BE293" i="30"/>
  <c r="BB299" i="30"/>
  <c r="AY305" i="30"/>
  <c r="BO272" i="30"/>
  <c r="BJ279" i="30"/>
  <c r="BQ284" i="30"/>
  <c r="BS290" i="30"/>
  <c r="BO296" i="30"/>
  <c r="BO303" i="30"/>
  <c r="BW272" i="30"/>
  <c r="BW282" i="30"/>
  <c r="BZ292" i="30"/>
  <c r="CE301" i="30"/>
  <c r="CK282" i="30"/>
  <c r="CK295" i="30"/>
  <c r="AC312" i="30"/>
  <c r="T316" i="30"/>
  <c r="T319" i="30"/>
  <c r="T322" i="30"/>
  <c r="U325" i="30"/>
  <c r="U328" i="30"/>
  <c r="U331" i="30"/>
  <c r="U334" i="30"/>
  <c r="X337" i="30"/>
  <c r="X340" i="30"/>
  <c r="X343" i="30"/>
  <c r="AP310" i="30"/>
  <c r="AF314" i="30"/>
  <c r="AK317" i="30"/>
  <c r="AM320" i="30"/>
  <c r="AF324" i="30"/>
  <c r="AH327" i="30"/>
  <c r="AJ330" i="30"/>
  <c r="AL333" i="30"/>
  <c r="AF337" i="30"/>
  <c r="AK340" i="30"/>
  <c r="AF344" i="30"/>
  <c r="AT312" i="30"/>
  <c r="BC315" i="30"/>
  <c r="BA319" i="30"/>
  <c r="AW323" i="30"/>
  <c r="AX327" i="30"/>
  <c r="AU331" i="30"/>
  <c r="AU335" i="30"/>
  <c r="BC338" i="30"/>
  <c r="BB342" i="30"/>
  <c r="BN312" i="30"/>
  <c r="BJ316" i="30"/>
  <c r="BN320" i="30"/>
  <c r="BK324" i="30"/>
  <c r="BN328" i="30"/>
  <c r="BM332" i="30"/>
  <c r="BN336" i="30"/>
  <c r="BO340" i="30"/>
  <c r="BJ345" i="30"/>
  <c r="CG313" i="30"/>
  <c r="BW320" i="30"/>
  <c r="BW326" i="30"/>
  <c r="BW332" i="30"/>
  <c r="CC338" i="30"/>
  <c r="CB344" i="30"/>
  <c r="CT310" i="30"/>
  <c r="CU318" i="30"/>
  <c r="CR326" i="30"/>
  <c r="CK336" i="30"/>
  <c r="CR344" i="30"/>
  <c r="R310" i="30"/>
  <c r="R313" i="30"/>
  <c r="U316" i="30"/>
  <c r="U319" i="30"/>
  <c r="V322" i="30"/>
  <c r="V325" i="30"/>
  <c r="V328" i="30"/>
  <c r="V331" i="30"/>
  <c r="V334" i="30"/>
  <c r="Y337" i="30"/>
  <c r="Y340" i="30"/>
  <c r="Z343" i="30"/>
  <c r="AQ310" i="30"/>
  <c r="AG314" i="30"/>
  <c r="AL317" i="30"/>
  <c r="AN320" i="30"/>
  <c r="AG324" i="30"/>
  <c r="AI327" i="30"/>
  <c r="AK330" i="30"/>
  <c r="AP333" i="30"/>
  <c r="AG337" i="30"/>
  <c r="AN340" i="30"/>
  <c r="AG344" i="30"/>
  <c r="AU312" i="30"/>
  <c r="BD315" i="30"/>
  <c r="BB319" i="30"/>
  <c r="BC323" i="30"/>
  <c r="AY327" i="30"/>
  <c r="AX331" i="30"/>
  <c r="AV335" i="30"/>
  <c r="BD338" i="30"/>
  <c r="BC342" i="30"/>
  <c r="BO312" i="30"/>
  <c r="BK316" i="30"/>
  <c r="BO320" i="30"/>
  <c r="BL324" i="30"/>
  <c r="BO328" i="30"/>
  <c r="BN332" i="30"/>
  <c r="BO336" i="30"/>
  <c r="BR340" i="30"/>
  <c r="BK345" i="30"/>
  <c r="BX314" i="30"/>
  <c r="BZ320" i="30"/>
  <c r="BY326" i="30"/>
  <c r="CA332" i="30"/>
  <c r="CF338" i="30"/>
  <c r="CD344" i="30"/>
  <c r="CJ311" i="30"/>
  <c r="CJ319" i="30"/>
  <c r="CS326" i="30"/>
  <c r="CL336" i="30"/>
  <c r="CS344" i="30"/>
  <c r="AB311" i="30"/>
  <c r="AB317" i="30"/>
  <c r="S324" i="30"/>
  <c r="S330" i="30"/>
  <c r="T336" i="30"/>
  <c r="T342" i="30"/>
  <c r="AG316" i="30"/>
  <c r="AK322" i="30"/>
  <c r="AF329" i="30"/>
  <c r="AM335" i="30"/>
  <c r="AQ338" i="30"/>
  <c r="AX310" i="30"/>
  <c r="AX314" i="30"/>
  <c r="BE317" i="30"/>
  <c r="AU322" i="30"/>
  <c r="BB325" i="30"/>
  <c r="AZ329" i="30"/>
  <c r="AY333" i="30"/>
  <c r="AX337" i="30"/>
  <c r="AW341" i="30"/>
  <c r="AT345" i="30"/>
  <c r="BP310" i="30"/>
  <c r="BR314" i="30"/>
  <c r="BQ318" i="30"/>
  <c r="BO322" i="30"/>
  <c r="BN326" i="30"/>
  <c r="BR330" i="30"/>
  <c r="BR334" i="30"/>
  <c r="BJ339" i="30"/>
  <c r="BI343" i="30"/>
  <c r="CB311" i="30"/>
  <c r="CC317" i="30"/>
  <c r="CC323" i="30"/>
  <c r="CF329" i="30"/>
  <c r="CD335" i="30"/>
  <c r="BW342" i="30"/>
  <c r="CN315" i="30"/>
  <c r="CK323" i="30"/>
  <c r="CS332" i="30"/>
  <c r="CL341" i="30"/>
  <c r="AC311" i="30"/>
  <c r="AC314" i="30"/>
  <c r="AC317" i="30"/>
  <c r="AC320" i="30"/>
  <c r="T324" i="30"/>
  <c r="T327" i="30"/>
  <c r="T330" i="30"/>
  <c r="U333" i="30"/>
  <c r="U336" i="30"/>
  <c r="U339" i="30"/>
  <c r="U342" i="30"/>
  <c r="X345" i="30"/>
  <c r="AQ312" i="30"/>
  <c r="AH316" i="30"/>
  <c r="AJ319" i="30"/>
  <c r="AL322" i="30"/>
  <c r="AQ325" i="30"/>
  <c r="AG329" i="30"/>
  <c r="AL332" i="30"/>
  <c r="AN335" i="30"/>
  <c r="AF339" i="30"/>
  <c r="AN342" i="30"/>
  <c r="AY310" i="30"/>
  <c r="AY314" i="30"/>
  <c r="AT318" i="30"/>
  <c r="AV322" i="30"/>
  <c r="BC325" i="30"/>
  <c r="BA329" i="30"/>
  <c r="AZ333" i="30"/>
  <c r="AY337" i="30"/>
  <c r="AX341" i="30"/>
  <c r="AU345" i="30"/>
  <c r="BQ310" i="30"/>
  <c r="BS314" i="30"/>
  <c r="BR318" i="30"/>
  <c r="BR322" i="30"/>
  <c r="BS326" i="30"/>
  <c r="BS330" i="30"/>
  <c r="BJ335" i="30"/>
  <c r="BK339" i="30"/>
  <c r="BJ343" i="30"/>
  <c r="BV312" i="30"/>
  <c r="CE317" i="30"/>
  <c r="CD323" i="30"/>
  <c r="CG329" i="30"/>
  <c r="CE335" i="30"/>
  <c r="BX342" i="30"/>
  <c r="CQ315" i="30"/>
  <c r="CL323" i="30"/>
  <c r="CT332" i="30"/>
  <c r="CP345" i="30"/>
  <c r="CQ342" i="30"/>
  <c r="CR339" i="30"/>
  <c r="CS336" i="30"/>
  <c r="CT333" i="30"/>
  <c r="CU330" i="30"/>
  <c r="CU327" i="30"/>
  <c r="CK325" i="30"/>
  <c r="CO322" i="30"/>
  <c r="CS319" i="30"/>
  <c r="CK317" i="30"/>
  <c r="CO314" i="30"/>
  <c r="CS311" i="30"/>
  <c r="CK344" i="30"/>
  <c r="CK341" i="30"/>
  <c r="CL338" i="30"/>
  <c r="CK335" i="30"/>
  <c r="CL332" i="30"/>
  <c r="CM329" i="30"/>
  <c r="CN326" i="30"/>
  <c r="CR323" i="30"/>
  <c r="CJ321" i="30"/>
  <c r="CN318" i="30"/>
  <c r="CR315" i="30"/>
  <c r="CJ313" i="30"/>
  <c r="CN310" i="30"/>
  <c r="CR343" i="30"/>
  <c r="CO340" i="30"/>
  <c r="CN337" i="30"/>
  <c r="CM334" i="30"/>
  <c r="CL331" i="30"/>
  <c r="CK328" i="30"/>
  <c r="CU324" i="30"/>
  <c r="CK322" i="30"/>
  <c r="CM319" i="30"/>
  <c r="CO316" i="30"/>
  <c r="CQ313" i="30"/>
  <c r="CS310" i="30"/>
  <c r="CQ343" i="30"/>
  <c r="CN340" i="30"/>
  <c r="CM337" i="30"/>
  <c r="CL334" i="30"/>
  <c r="CK331" i="30"/>
  <c r="CT327" i="30"/>
  <c r="CT324" i="30"/>
  <c r="CJ322" i="30"/>
  <c r="CL319" i="30"/>
  <c r="CN316" i="30"/>
  <c r="CP313" i="30"/>
  <c r="CR310" i="30"/>
  <c r="CU343" i="30"/>
  <c r="CP340" i="30"/>
  <c r="CK337" i="30"/>
  <c r="CS333" i="30"/>
  <c r="CO330" i="30"/>
  <c r="CJ327" i="30"/>
  <c r="CJ324" i="30"/>
  <c r="CU320" i="30"/>
  <c r="CU317" i="30"/>
  <c r="CU314" i="30"/>
  <c r="CU311" i="30"/>
  <c r="CN345" i="30"/>
  <c r="CK342" i="30"/>
  <c r="CT338" i="30"/>
  <c r="CP335" i="30"/>
  <c r="CJ332" i="30"/>
  <c r="CS328" i="30"/>
  <c r="CP325" i="30"/>
  <c r="CP322" i="30"/>
  <c r="CO319" i="30"/>
  <c r="CM316" i="30"/>
  <c r="CM313" i="30"/>
  <c r="CL310" i="30"/>
  <c r="CU344" i="30"/>
  <c r="CP341" i="30"/>
  <c r="CS337" i="30"/>
  <c r="CN334" i="30"/>
  <c r="CQ330" i="30"/>
  <c r="CU326" i="30"/>
  <c r="CS323" i="30"/>
  <c r="CP320" i="30"/>
  <c r="CN317" i="30"/>
  <c r="CK314" i="30"/>
  <c r="CU310" i="30"/>
  <c r="CU342" i="30"/>
  <c r="CO339" i="30"/>
  <c r="CU335" i="30"/>
  <c r="CN332" i="30"/>
  <c r="CT328" i="30"/>
  <c r="CN325" i="30"/>
  <c r="CU321" i="30"/>
  <c r="CS318" i="30"/>
  <c r="CP315" i="30"/>
  <c r="CN312" i="30"/>
  <c r="CC344" i="30"/>
  <c r="CG341" i="30"/>
  <c r="BY339" i="30"/>
  <c r="CC336" i="30"/>
  <c r="CG333" i="30"/>
  <c r="BY331" i="30"/>
  <c r="CC328" i="30"/>
  <c r="CG325" i="30"/>
  <c r="BY323" i="30"/>
  <c r="CC320" i="30"/>
  <c r="CG317" i="30"/>
  <c r="BY315" i="30"/>
  <c r="CC312" i="30"/>
  <c r="CO342" i="30"/>
  <c r="CS338" i="30"/>
  <c r="CT334" i="30"/>
  <c r="CM331" i="30"/>
  <c r="CL327" i="30"/>
  <c r="CQ323" i="30"/>
  <c r="CM320" i="30"/>
  <c r="CT316" i="30"/>
  <c r="CN313" i="30"/>
  <c r="BZ343" i="30"/>
  <c r="CC340" i="30"/>
  <c r="CF337" i="30"/>
  <c r="BW335" i="30"/>
  <c r="BZ332" i="30"/>
  <c r="CC329" i="30"/>
  <c r="CF326" i="30"/>
  <c r="BW324" i="30"/>
  <c r="BZ321" i="30"/>
  <c r="CC318" i="30"/>
  <c r="CF315" i="30"/>
  <c r="BW313" i="30"/>
  <c r="BZ310" i="30"/>
  <c r="CN342" i="30"/>
  <c r="CQ338" i="30"/>
  <c r="CS334" i="30"/>
  <c r="CJ331" i="30"/>
  <c r="CK327" i="30"/>
  <c r="CP323" i="30"/>
  <c r="CL320" i="30"/>
  <c r="CS316" i="30"/>
  <c r="CL313" i="30"/>
  <c r="CL344" i="30"/>
  <c r="CJ340" i="30"/>
  <c r="CN336" i="30"/>
  <c r="CP332" i="30"/>
  <c r="CR328" i="30"/>
  <c r="CJ325" i="30"/>
  <c r="CP321" i="30"/>
  <c r="CK318" i="30"/>
  <c r="CR314" i="30"/>
  <c r="CM311" i="30"/>
  <c r="CR342" i="30"/>
  <c r="CO338" i="30"/>
  <c r="CK334" i="30"/>
  <c r="CT329" i="30"/>
  <c r="CU325" i="30"/>
  <c r="CL322" i="30"/>
  <c r="CM318" i="30"/>
  <c r="CP314" i="30"/>
  <c r="CQ310" i="30"/>
  <c r="CA344" i="30"/>
  <c r="CC341" i="30"/>
  <c r="CE338" i="30"/>
  <c r="CG335" i="30"/>
  <c r="BW333" i="30"/>
  <c r="BY330" i="30"/>
  <c r="CA327" i="30"/>
  <c r="CC324" i="30"/>
  <c r="CE321" i="30"/>
  <c r="CG318" i="30"/>
  <c r="BW316" i="30"/>
  <c r="BY313" i="30"/>
  <c r="CA310" i="30"/>
  <c r="CP342" i="30"/>
  <c r="CN338" i="30"/>
  <c r="CJ334" i="30"/>
  <c r="CS329" i="30"/>
  <c r="CT325" i="30"/>
  <c r="CT321" i="30"/>
  <c r="CL318" i="30"/>
  <c r="CN314" i="30"/>
  <c r="CP310" i="30"/>
  <c r="BZ344" i="30"/>
  <c r="CB341" i="30"/>
  <c r="CD338" i="30"/>
  <c r="CF335" i="30"/>
  <c r="BV333" i="30"/>
  <c r="BX330" i="30"/>
  <c r="BZ327" i="30"/>
  <c r="CB324" i="30"/>
  <c r="CD321" i="30"/>
  <c r="CF318" i="30"/>
  <c r="BV316" i="30"/>
  <c r="BX313" i="30"/>
  <c r="BY310" i="30"/>
  <c r="CO344" i="30"/>
  <c r="CU339" i="30"/>
  <c r="CT335" i="30"/>
  <c r="CR331" i="30"/>
  <c r="CP327" i="30"/>
  <c r="CN323" i="30"/>
  <c r="CR319" i="30"/>
  <c r="CT315" i="30"/>
  <c r="CK312" i="30"/>
  <c r="CB345" i="30"/>
  <c r="CD342" i="30"/>
  <c r="CF339" i="30"/>
  <c r="BV337" i="30"/>
  <c r="BX334" i="30"/>
  <c r="BZ331" i="30"/>
  <c r="CA328" i="30"/>
  <c r="CC325" i="30"/>
  <c r="CE322" i="30"/>
  <c r="CG319" i="30"/>
  <c r="BW317" i="30"/>
  <c r="BY314" i="30"/>
  <c r="CA311" i="30"/>
  <c r="CL343" i="30"/>
  <c r="CU338" i="30"/>
  <c r="CR333" i="30"/>
  <c r="CN329" i="30"/>
  <c r="CR324" i="30"/>
  <c r="CR320" i="30"/>
  <c r="CP316" i="30"/>
  <c r="CM312" i="30"/>
  <c r="CC343" i="30"/>
  <c r="CA340" i="30"/>
  <c r="BZ337" i="30"/>
  <c r="BY334" i="30"/>
  <c r="BV331" i="30"/>
  <c r="CG327" i="30"/>
  <c r="CF324" i="30"/>
  <c r="CC321" i="30"/>
  <c r="CA318" i="30"/>
  <c r="BZ315" i="30"/>
  <c r="BX312" i="30"/>
  <c r="CK343" i="30"/>
  <c r="CP338" i="30"/>
  <c r="CQ333" i="30"/>
  <c r="CL329" i="30"/>
  <c r="CQ324" i="30"/>
  <c r="CQ320" i="30"/>
  <c r="CL316" i="30"/>
  <c r="CL312" i="30"/>
  <c r="CB343" i="30"/>
  <c r="BZ340" i="30"/>
  <c r="BY337" i="30"/>
  <c r="BW334" i="30"/>
  <c r="CG330" i="30"/>
  <c r="CF327" i="30"/>
  <c r="CE324" i="30"/>
  <c r="CB321" i="30"/>
  <c r="BZ318" i="30"/>
  <c r="BX315" i="30"/>
  <c r="BW312" i="30"/>
  <c r="CJ345" i="30"/>
  <c r="CM340" i="30"/>
  <c r="CS335" i="30"/>
  <c r="CN331" i="30"/>
  <c r="CO326" i="30"/>
  <c r="CN322" i="30"/>
  <c r="CT317" i="30"/>
  <c r="CT313" i="30"/>
  <c r="CF344" i="30"/>
  <c r="CD341" i="30"/>
  <c r="CA338" i="30"/>
  <c r="BZ335" i="30"/>
  <c r="BX332" i="30"/>
  <c r="BW329" i="30"/>
  <c r="BV326" i="30"/>
  <c r="CF322" i="30"/>
  <c r="CD319" i="30"/>
  <c r="CC316" i="30"/>
  <c r="CB313" i="30"/>
  <c r="BX310" i="30"/>
  <c r="CQ344" i="30"/>
  <c r="CN339" i="30"/>
  <c r="CO334" i="30"/>
  <c r="CJ329" i="30"/>
  <c r="CL324" i="30"/>
  <c r="CP319" i="30"/>
  <c r="CJ315" i="30"/>
  <c r="CK310" i="30"/>
  <c r="BY345" i="30"/>
  <c r="CF341" i="30"/>
  <c r="BY338" i="30"/>
  <c r="CF334" i="30"/>
  <c r="CB331" i="30"/>
  <c r="BV328" i="30"/>
  <c r="BZ324" i="30"/>
  <c r="CG320" i="30"/>
  <c r="CB317" i="30"/>
  <c r="BW314" i="30"/>
  <c r="CE310" i="30"/>
  <c r="CP344" i="30"/>
  <c r="CM339" i="30"/>
  <c r="CU333" i="30"/>
  <c r="CU328" i="30"/>
  <c r="CK324" i="30"/>
  <c r="CN319" i="30"/>
  <c r="CT314" i="30"/>
  <c r="CJ310" i="30"/>
  <c r="BX345" i="30"/>
  <c r="CE341" i="30"/>
  <c r="BX338" i="30"/>
  <c r="CE334" i="30"/>
  <c r="CA331" i="30"/>
  <c r="CE327" i="30"/>
  <c r="BY324" i="30"/>
  <c r="CF320" i="30"/>
  <c r="CA317" i="30"/>
  <c r="BV314" i="30"/>
  <c r="CD310" i="30"/>
  <c r="CM341" i="30"/>
  <c r="CM336" i="30"/>
  <c r="CT330" i="30"/>
  <c r="CJ326" i="30"/>
  <c r="CM321" i="30"/>
  <c r="CR316" i="30"/>
  <c r="CT311" i="30"/>
  <c r="BV343" i="30"/>
  <c r="CC339" i="30"/>
  <c r="BX336" i="30"/>
  <c r="CD332" i="30"/>
  <c r="BY329" i="30"/>
  <c r="CE325" i="30"/>
  <c r="BZ322" i="30"/>
  <c r="BV319" i="30"/>
  <c r="CA315" i="30"/>
  <c r="CF311" i="30"/>
  <c r="BR343" i="30"/>
  <c r="BJ341" i="30"/>
  <c r="BN338" i="30"/>
  <c r="BR335" i="30"/>
  <c r="BJ333" i="30"/>
  <c r="BN330" i="30"/>
  <c r="BR327" i="30"/>
  <c r="CT345" i="30"/>
  <c r="CT340" i="30"/>
  <c r="CJ335" i="30"/>
  <c r="CO329" i="30"/>
  <c r="CT323" i="30"/>
  <c r="CR318" i="30"/>
  <c r="CR313" i="30"/>
  <c r="BZ342" i="30"/>
  <c r="CB338" i="30"/>
  <c r="CC334" i="30"/>
  <c r="CD330" i="30"/>
  <c r="CG326" i="30"/>
  <c r="BX323" i="30"/>
  <c r="CA319" i="30"/>
  <c r="CC315" i="30"/>
  <c r="CD311" i="30"/>
  <c r="BS343" i="30"/>
  <c r="BI341" i="30"/>
  <c r="BL338" i="30"/>
  <c r="BO335" i="30"/>
  <c r="BR332" i="30"/>
  <c r="BI330" i="30"/>
  <c r="BL327" i="30"/>
  <c r="BP324" i="30"/>
  <c r="BH322" i="30"/>
  <c r="BL319" i="30"/>
  <c r="BP316" i="30"/>
  <c r="BH314" i="30"/>
  <c r="BL311" i="30"/>
  <c r="BE344" i="30"/>
  <c r="AW342" i="30"/>
  <c r="BA339" i="30"/>
  <c r="BE336" i="30"/>
  <c r="AW334" i="30"/>
  <c r="BA331" i="30"/>
  <c r="BE328" i="30"/>
  <c r="AW326" i="30"/>
  <c r="BA323" i="30"/>
  <c r="BE320" i="30"/>
  <c r="AW318" i="30"/>
  <c r="BA315" i="30"/>
  <c r="BE312" i="30"/>
  <c r="AW310" i="30"/>
  <c r="AQ343" i="30"/>
  <c r="AI341" i="30"/>
  <c r="AM338" i="30"/>
  <c r="CS345" i="30"/>
  <c r="CS340" i="30"/>
  <c r="CU334" i="30"/>
  <c r="CK329" i="30"/>
  <c r="CO323" i="30"/>
  <c r="CQ318" i="30"/>
  <c r="CO313" i="30"/>
  <c r="CG345" i="30"/>
  <c r="BY342" i="30"/>
  <c r="BZ338" i="30"/>
  <c r="CB334" i="30"/>
  <c r="CC330" i="30"/>
  <c r="CE326" i="30"/>
  <c r="BW323" i="30"/>
  <c r="BZ319" i="30"/>
  <c r="CB315" i="30"/>
  <c r="CC311" i="30"/>
  <c r="BQ343" i="30"/>
  <c r="BH341" i="30"/>
  <c r="BK338" i="30"/>
  <c r="BN335" i="30"/>
  <c r="BQ332" i="30"/>
  <c r="BH330" i="30"/>
  <c r="BK327" i="30"/>
  <c r="BO324" i="30"/>
  <c r="BS321" i="30"/>
  <c r="BK319" i="30"/>
  <c r="BO316" i="30"/>
  <c r="BS313" i="30"/>
  <c r="BK311" i="30"/>
  <c r="BD344" i="30"/>
  <c r="AV342" i="30"/>
  <c r="AZ339" i="30"/>
  <c r="BD336" i="30"/>
  <c r="AV334" i="30"/>
  <c r="AZ331" i="30"/>
  <c r="BD328" i="30"/>
  <c r="AV326" i="30"/>
  <c r="AZ323" i="30"/>
  <c r="BD320" i="30"/>
  <c r="AV318" i="30"/>
  <c r="AZ315" i="30"/>
  <c r="BD312" i="30"/>
  <c r="AV310" i="30"/>
  <c r="CM342" i="30"/>
  <c r="CU336" i="30"/>
  <c r="CQ331" i="30"/>
  <c r="CS325" i="30"/>
  <c r="CS320" i="30"/>
  <c r="CO315" i="30"/>
  <c r="CO310" i="30"/>
  <c r="CE343" i="30"/>
  <c r="CG339" i="30"/>
  <c r="BW336" i="30"/>
  <c r="BY332" i="30"/>
  <c r="CB328" i="30"/>
  <c r="CD324" i="30"/>
  <c r="CD320" i="30"/>
  <c r="CG316" i="30"/>
  <c r="BV313" i="30"/>
  <c r="BS344" i="30"/>
  <c r="BJ342" i="30"/>
  <c r="BM339" i="30"/>
  <c r="BP336" i="30"/>
  <c r="BS333" i="30"/>
  <c r="BJ331" i="30"/>
  <c r="BM328" i="30"/>
  <c r="BP325" i="30"/>
  <c r="BH323" i="30"/>
  <c r="BL320" i="30"/>
  <c r="BP317" i="30"/>
  <c r="BH315" i="30"/>
  <c r="BL312" i="30"/>
  <c r="BE345" i="30"/>
  <c r="AW343" i="30"/>
  <c r="BA340" i="30"/>
  <c r="BE337" i="30"/>
  <c r="AW335" i="30"/>
  <c r="BA332" i="30"/>
  <c r="BE329" i="30"/>
  <c r="AW327" i="30"/>
  <c r="BA324" i="30"/>
  <c r="BE321" i="30"/>
  <c r="AW319" i="30"/>
  <c r="BA316" i="30"/>
  <c r="BE313" i="30"/>
  <c r="AW311" i="30"/>
  <c r="AQ344" i="30"/>
  <c r="AI342" i="30"/>
  <c r="AM339" i="30"/>
  <c r="AQ336" i="30"/>
  <c r="CL342" i="30"/>
  <c r="CP336" i="30"/>
  <c r="CL330" i="30"/>
  <c r="CM324" i="30"/>
  <c r="CO318" i="30"/>
  <c r="CR312" i="30"/>
  <c r="CC345" i="30"/>
  <c r="BX341" i="30"/>
  <c r="BW337" i="30"/>
  <c r="CG332" i="30"/>
  <c r="CF328" i="30"/>
  <c r="CA324" i="30"/>
  <c r="BY320" i="30"/>
  <c r="BY316" i="30"/>
  <c r="CG311" i="30"/>
  <c r="BH344" i="30"/>
  <c r="BQ340" i="30"/>
  <c r="BQ337" i="30"/>
  <c r="BQ334" i="30"/>
  <c r="BQ331" i="30"/>
  <c r="BQ328" i="30"/>
  <c r="BQ325" i="30"/>
  <c r="BQ322" i="30"/>
  <c r="BR319" i="30"/>
  <c r="BS316" i="30"/>
  <c r="BR313" i="30"/>
  <c r="BS310" i="30"/>
  <c r="AZ345" i="30"/>
  <c r="BA342" i="30"/>
  <c r="BB339" i="30"/>
  <c r="BA336" i="30"/>
  <c r="BB333" i="30"/>
  <c r="BC330" i="30"/>
  <c r="BD327" i="30"/>
  <c r="BE324" i="30"/>
  <c r="AT322" i="30"/>
  <c r="AT319" i="30"/>
  <c r="AU316" i="30"/>
  <c r="AV313" i="30"/>
  <c r="AU310" i="30"/>
  <c r="CJ342" i="30"/>
  <c r="CO336" i="30"/>
  <c r="CK330" i="30"/>
  <c r="CU323" i="30"/>
  <c r="CJ318" i="30"/>
  <c r="CQ312" i="30"/>
  <c r="CA345" i="30"/>
  <c r="BW341" i="30"/>
  <c r="CG336" i="30"/>
  <c r="CF332" i="30"/>
  <c r="CE328" i="30"/>
  <c r="BX324" i="30"/>
  <c r="BX320" i="30"/>
  <c r="BX316" i="30"/>
  <c r="CE311" i="30"/>
  <c r="BP343" i="30"/>
  <c r="BP340" i="30"/>
  <c r="BP337" i="30"/>
  <c r="BP334" i="30"/>
  <c r="BP331" i="30"/>
  <c r="BP328" i="30"/>
  <c r="BO325" i="30"/>
  <c r="BP322" i="30"/>
  <c r="BQ319" i="30"/>
  <c r="BR316" i="30"/>
  <c r="BQ313" i="30"/>
  <c r="BR310" i="30"/>
  <c r="AY345" i="30"/>
  <c r="AZ342" i="30"/>
  <c r="AY339" i="30"/>
  <c r="AZ336" i="30"/>
  <c r="BA333" i="30"/>
  <c r="BB330" i="30"/>
  <c r="BC327" i="30"/>
  <c r="BD324" i="30"/>
  <c r="BD321" i="30"/>
  <c r="BE318" i="30"/>
  <c r="AT316" i="30"/>
  <c r="AU313" i="30"/>
  <c r="AT310" i="30"/>
  <c r="AO345" i="30"/>
  <c r="AQ342" i="30"/>
  <c r="AG340" i="30"/>
  <c r="AI337" i="30"/>
  <c r="AL334" i="30"/>
  <c r="AP331" i="30"/>
  <c r="AH329" i="30"/>
  <c r="AL326" i="30"/>
  <c r="AP323" i="30"/>
  <c r="AH321" i="30"/>
  <c r="AL318" i="30"/>
  <c r="AP315" i="30"/>
  <c r="AH313" i="30"/>
  <c r="AL310" i="30"/>
  <c r="CT344" i="30"/>
  <c r="CM338" i="30"/>
  <c r="CO332" i="30"/>
  <c r="CM326" i="30"/>
  <c r="CO320" i="30"/>
  <c r="CK315" i="30"/>
  <c r="CG342" i="30"/>
  <c r="CG338" i="30"/>
  <c r="CA334" i="30"/>
  <c r="BW330" i="30"/>
  <c r="BX326" i="30"/>
  <c r="BV322" i="30"/>
  <c r="CD317" i="30"/>
  <c r="CC313" i="30"/>
  <c r="BI345" i="30"/>
  <c r="BH342" i="30"/>
  <c r="BH339" i="30"/>
  <c r="BH336" i="30"/>
  <c r="BS332" i="30"/>
  <c r="BQ329" i="30"/>
  <c r="BQ326" i="30"/>
  <c r="BR323" i="30"/>
  <c r="BS320" i="30"/>
  <c r="BH318" i="30"/>
  <c r="BI315" i="30"/>
  <c r="BI312" i="30"/>
  <c r="BB343" i="30"/>
  <c r="BC340" i="30"/>
  <c r="BC337" i="30"/>
  <c r="BD334" i="30"/>
  <c r="BE331" i="30"/>
  <c r="AT329" i="30"/>
  <c r="BE325" i="30"/>
  <c r="AT323" i="30"/>
  <c r="AU320" i="30"/>
  <c r="AV317" i="30"/>
  <c r="AW314" i="30"/>
  <c r="AX311" i="30"/>
  <c r="CM345" i="30"/>
  <c r="CK338" i="30"/>
  <c r="CT331" i="30"/>
  <c r="CL325" i="30"/>
  <c r="CT318" i="30"/>
  <c r="CO312" i="30"/>
  <c r="BW343" i="30"/>
  <c r="BW338" i="30"/>
  <c r="CC333" i="30"/>
  <c r="BX329" i="30"/>
  <c r="BV324" i="30"/>
  <c r="CE319" i="30"/>
  <c r="CF314" i="30"/>
  <c r="CB310" i="30"/>
  <c r="BH345" i="30"/>
  <c r="BP341" i="30"/>
  <c r="BJ338" i="30"/>
  <c r="BS334" i="30"/>
  <c r="BN331" i="30"/>
  <c r="BJ328" i="30"/>
  <c r="BS324" i="30"/>
  <c r="BO321" i="30"/>
  <c r="BM318" i="30"/>
  <c r="BK315" i="30"/>
  <c r="BS311" i="30"/>
  <c r="CL345" i="30"/>
  <c r="CT337" i="30"/>
  <c r="CS331" i="30"/>
  <c r="CS324" i="30"/>
  <c r="CP318" i="30"/>
  <c r="CJ312" i="30"/>
  <c r="CF342" i="30"/>
  <c r="BV338" i="30"/>
  <c r="CB333" i="30"/>
  <c r="BV329" i="30"/>
  <c r="CG323" i="30"/>
  <c r="CC319" i="30"/>
  <c r="CE314" i="30"/>
  <c r="BW310" i="30"/>
  <c r="BR344" i="30"/>
  <c r="BO341" i="30"/>
  <c r="CK345" i="30"/>
  <c r="CR337" i="30"/>
  <c r="CP331" i="30"/>
  <c r="CP324" i="30"/>
  <c r="CS317" i="30"/>
  <c r="CR311" i="30"/>
  <c r="CE342" i="30"/>
  <c r="CG337" i="30"/>
  <c r="CA333" i="30"/>
  <c r="CG328" i="30"/>
  <c r="CF323" i="30"/>
  <c r="CB319" i="30"/>
  <c r="CD314" i="30"/>
  <c r="BV310" i="30"/>
  <c r="CS342" i="30"/>
  <c r="CL335" i="30"/>
  <c r="CQ327" i="30"/>
  <c r="CT320" i="30"/>
  <c r="CU313" i="30"/>
  <c r="BV342" i="30"/>
  <c r="CD336" i="30"/>
  <c r="CE331" i="30"/>
  <c r="CB326" i="30"/>
  <c r="CA321" i="30"/>
  <c r="CB316" i="30"/>
  <c r="BX311" i="30"/>
  <c r="BL344" i="30"/>
  <c r="BN340" i="30"/>
  <c r="BJ337" i="30"/>
  <c r="BQ333" i="30"/>
  <c r="BL330" i="30"/>
  <c r="BR326" i="30"/>
  <c r="BN323" i="30"/>
  <c r="BJ320" i="30"/>
  <c r="BQ316" i="30"/>
  <c r="BL313" i="30"/>
  <c r="BI310" i="30"/>
  <c r="AU343" i="30"/>
  <c r="BE339" i="30"/>
  <c r="AY336" i="30"/>
  <c r="AW333" i="30"/>
  <c r="AU330" i="30"/>
  <c r="BD326" i="30"/>
  <c r="BB323" i="30"/>
  <c r="AX320" i="30"/>
  <c r="AU317" i="30"/>
  <c r="BD313" i="30"/>
  <c r="BB310" i="30"/>
  <c r="AJ345" i="30"/>
  <c r="AK342" i="30"/>
  <c r="AK339" i="30"/>
  <c r="AL336" i="30"/>
  <c r="AO333" i="30"/>
  <c r="AF331" i="30"/>
  <c r="AI328" i="30"/>
  <c r="AL325" i="30"/>
  <c r="AO322" i="30"/>
  <c r="AF320" i="30"/>
  <c r="AI317" i="30"/>
  <c r="AL314" i="30"/>
  <c r="AO311" i="30"/>
  <c r="U345" i="30"/>
  <c r="Y342" i="30"/>
  <c r="AC339" i="30"/>
  <c r="U337" i="30"/>
  <c r="Y334" i="30"/>
  <c r="AC331" i="30"/>
  <c r="U329" i="30"/>
  <c r="Y326" i="30"/>
  <c r="AC323" i="30"/>
  <c r="U321" i="30"/>
  <c r="Y318" i="30"/>
  <c r="AC315" i="30"/>
  <c r="U313" i="30"/>
  <c r="Y310" i="30"/>
  <c r="CT341" i="30"/>
  <c r="CQ334" i="30"/>
  <c r="CT326" i="30"/>
  <c r="CK320" i="30"/>
  <c r="CK313" i="30"/>
  <c r="BZ341" i="30"/>
  <c r="CA336" i="30"/>
  <c r="CC331" i="30"/>
  <c r="BZ326" i="30"/>
  <c r="BX321" i="30"/>
  <c r="BZ316" i="30"/>
  <c r="BJ344" i="30"/>
  <c r="BH337" i="30"/>
  <c r="BJ330" i="30"/>
  <c r="BL323" i="30"/>
  <c r="BM316" i="30"/>
  <c r="BE342" i="30"/>
  <c r="AW336" i="30"/>
  <c r="BD329" i="30"/>
  <c r="AH345" i="30"/>
  <c r="AI339" i="30"/>
  <c r="AP330" i="30"/>
  <c r="AM322" i="30"/>
  <c r="AM311" i="30"/>
  <c r="W342" i="30"/>
  <c r="W334" i="30"/>
  <c r="W326" i="30"/>
  <c r="W318" i="30"/>
  <c r="W310" i="30"/>
  <c r="CU341" i="30"/>
  <c r="CR334" i="30"/>
  <c r="CO327" i="30"/>
  <c r="CN320" i="30"/>
  <c r="CS313" i="30"/>
  <c r="CA341" i="30"/>
  <c r="CB336" i="30"/>
  <c r="CD331" i="30"/>
  <c r="CA326" i="30"/>
  <c r="BY321" i="30"/>
  <c r="CA316" i="30"/>
  <c r="BW311" i="30"/>
  <c r="BK344" i="30"/>
  <c r="BM340" i="30"/>
  <c r="BI337" i="30"/>
  <c r="BP333" i="30"/>
  <c r="BK330" i="30"/>
  <c r="BP326" i="30"/>
  <c r="BM323" i="30"/>
  <c r="BI320" i="30"/>
  <c r="BN316" i="30"/>
  <c r="BK313" i="30"/>
  <c r="BH310" i="30"/>
  <c r="AT343" i="30"/>
  <c r="BD339" i="30"/>
  <c r="AX336" i="30"/>
  <c r="AV333" i="30"/>
  <c r="AT330" i="30"/>
  <c r="BC326" i="30"/>
  <c r="AY323" i="30"/>
  <c r="AW320" i="30"/>
  <c r="AT317" i="30"/>
  <c r="BC313" i="30"/>
  <c r="BA310" i="30"/>
  <c r="AI345" i="30"/>
  <c r="AJ342" i="30"/>
  <c r="AJ339" i="30"/>
  <c r="AK336" i="30"/>
  <c r="AN333" i="30"/>
  <c r="AQ330" i="30"/>
  <c r="AH328" i="30"/>
  <c r="AK325" i="30"/>
  <c r="AN322" i="30"/>
  <c r="AQ319" i="30"/>
  <c r="AH317" i="30"/>
  <c r="AK314" i="30"/>
  <c r="AN311" i="30"/>
  <c r="T345" i="30"/>
  <c r="X342" i="30"/>
  <c r="AB339" i="30"/>
  <c r="T337" i="30"/>
  <c r="X334" i="30"/>
  <c r="AB331" i="30"/>
  <c r="T329" i="30"/>
  <c r="X326" i="30"/>
  <c r="AB323" i="30"/>
  <c r="T321" i="30"/>
  <c r="X318" i="30"/>
  <c r="AB315" i="30"/>
  <c r="T313" i="30"/>
  <c r="X310" i="30"/>
  <c r="BV311" i="30"/>
  <c r="BL340" i="30"/>
  <c r="BO333" i="30"/>
  <c r="BO326" i="30"/>
  <c r="BH320" i="30"/>
  <c r="BJ313" i="30"/>
  <c r="BC339" i="30"/>
  <c r="AU333" i="30"/>
  <c r="BB326" i="30"/>
  <c r="AX323" i="30"/>
  <c r="AV320" i="30"/>
  <c r="BE316" i="30"/>
  <c r="BB313" i="30"/>
  <c r="AZ310" i="30"/>
  <c r="AH342" i="30"/>
  <c r="AJ336" i="30"/>
  <c r="AM333" i="30"/>
  <c r="AG328" i="30"/>
  <c r="AJ325" i="30"/>
  <c r="AP319" i="30"/>
  <c r="AG317" i="30"/>
  <c r="AJ314" i="30"/>
  <c r="S345" i="30"/>
  <c r="AA339" i="30"/>
  <c r="S337" i="30"/>
  <c r="AA331" i="30"/>
  <c r="S329" i="30"/>
  <c r="AA323" i="30"/>
  <c r="S321" i="30"/>
  <c r="AA315" i="30"/>
  <c r="S313" i="30"/>
  <c r="CQ345" i="30"/>
  <c r="CP337" i="30"/>
  <c r="CM330" i="30"/>
  <c r="CT322" i="30"/>
  <c r="CJ316" i="30"/>
  <c r="BV344" i="30"/>
  <c r="BW339" i="30"/>
  <c r="CD333" i="30"/>
  <c r="BY328" i="30"/>
  <c r="BZ323" i="30"/>
  <c r="BW318" i="30"/>
  <c r="CG312" i="30"/>
  <c r="BP345" i="30"/>
  <c r="BK342" i="30"/>
  <c r="BP338" i="30"/>
  <c r="BI335" i="30"/>
  <c r="BO331" i="30"/>
  <c r="BI328" i="30"/>
  <c r="BQ324" i="30"/>
  <c r="BL321" i="30"/>
  <c r="BI318" i="30"/>
  <c r="BP314" i="30"/>
  <c r="BM311" i="30"/>
  <c r="AW344" i="30"/>
  <c r="AU341" i="30"/>
  <c r="BD337" i="30"/>
  <c r="BA334" i="30"/>
  <c r="AW331" i="30"/>
  <c r="AU328" i="30"/>
  <c r="BC324" i="30"/>
  <c r="AZ321" i="30"/>
  <c r="AX318" i="30"/>
  <c r="AT315" i="30"/>
  <c r="BD311" i="30"/>
  <c r="AL343" i="30"/>
  <c r="AM340" i="30"/>
  <c r="AN337" i="30"/>
  <c r="AP334" i="30"/>
  <c r="AG332" i="30"/>
  <c r="AJ329" i="30"/>
  <c r="AM326" i="30"/>
  <c r="AO323" i="30"/>
  <c r="AF321" i="30"/>
  <c r="AI318" i="30"/>
  <c r="AL315" i="30"/>
  <c r="AO312" i="30"/>
  <c r="AF310" i="30"/>
  <c r="Y343" i="30"/>
  <c r="AC340" i="30"/>
  <c r="U338" i="30"/>
  <c r="Y335" i="30"/>
  <c r="AC332" i="30"/>
  <c r="U330" i="30"/>
  <c r="Y327" i="30"/>
  <c r="AC324" i="30"/>
  <c r="U322" i="30"/>
  <c r="Y319" i="30"/>
  <c r="AC316" i="30"/>
  <c r="U314" i="30"/>
  <c r="Y311" i="30"/>
  <c r="CO345" i="30"/>
  <c r="CO337" i="30"/>
  <c r="CR329" i="30"/>
  <c r="CS322" i="30"/>
  <c r="CU315" i="30"/>
  <c r="CG343" i="30"/>
  <c r="BV339" i="30"/>
  <c r="BZ333" i="30"/>
  <c r="BX328" i="30"/>
  <c r="BV323" i="30"/>
  <c r="BV318" i="30"/>
  <c r="CF312" i="30"/>
  <c r="BO345" i="30"/>
  <c r="BI342" i="30"/>
  <c r="BO338" i="30"/>
  <c r="BH335" i="30"/>
  <c r="BM331" i="30"/>
  <c r="BH328" i="30"/>
  <c r="BN324" i="30"/>
  <c r="BK321" i="30"/>
  <c r="BS317" i="30"/>
  <c r="BO314" i="30"/>
  <c r="BJ311" i="30"/>
  <c r="AV344" i="30"/>
  <c r="AT341" i="30"/>
  <c r="BB337" i="30"/>
  <c r="AZ334" i="30"/>
  <c r="AV331" i="30"/>
  <c r="AT328" i="30"/>
  <c r="BB324" i="30"/>
  <c r="AY321" i="30"/>
  <c r="AU318" i="30"/>
  <c r="BE314" i="30"/>
  <c r="BC311" i="30"/>
  <c r="AK343" i="30"/>
  <c r="AL340" i="30"/>
  <c r="AM337" i="30"/>
  <c r="AO334" i="30"/>
  <c r="AF332" i="30"/>
  <c r="AI329" i="30"/>
  <c r="AK326" i="30"/>
  <c r="AN323" i="30"/>
  <c r="AQ320" i="30"/>
  <c r="AH318" i="30"/>
  <c r="AK315" i="30"/>
  <c r="AN312" i="30"/>
  <c r="AB314" i="30"/>
  <c r="AB320" i="30"/>
  <c r="S327" i="30"/>
  <c r="T333" i="30"/>
  <c r="T339" i="30"/>
  <c r="W345" i="30"/>
  <c r="AP312" i="30"/>
  <c r="AI319" i="30"/>
  <c r="AP325" i="30"/>
  <c r="AK332" i="30"/>
  <c r="AM342" i="30"/>
  <c r="R312" i="30"/>
  <c r="R315" i="30"/>
  <c r="R318" i="30"/>
  <c r="R321" i="30"/>
  <c r="U324" i="30"/>
  <c r="U327" i="30"/>
  <c r="V330" i="30"/>
  <c r="V333" i="30"/>
  <c r="V336" i="30"/>
  <c r="V339" i="30"/>
  <c r="V342" i="30"/>
  <c r="Y345" i="30"/>
  <c r="AF313" i="30"/>
  <c r="AI316" i="30"/>
  <c r="AK319" i="30"/>
  <c r="AP322" i="30"/>
  <c r="AF326" i="30"/>
  <c r="AK329" i="30"/>
  <c r="AM332" i="30"/>
  <c r="AO335" i="30"/>
  <c r="AG339" i="30"/>
  <c r="AO342" i="30"/>
  <c r="BC310" i="30"/>
  <c r="AZ314" i="30"/>
  <c r="AY318" i="30"/>
  <c r="AW322" i="30"/>
  <c r="BD325" i="30"/>
  <c r="BB329" i="30"/>
  <c r="BC333" i="30"/>
  <c r="AZ337" i="30"/>
  <c r="AY341" i="30"/>
  <c r="AV345" i="30"/>
  <c r="BH311" i="30"/>
  <c r="BJ315" i="30"/>
  <c r="BS318" i="30"/>
  <c r="BS322" i="30"/>
  <c r="BH327" i="30"/>
  <c r="BH331" i="30"/>
  <c r="BK335" i="30"/>
  <c r="BL339" i="30"/>
  <c r="BK343" i="30"/>
  <c r="BY312" i="30"/>
  <c r="CF317" i="30"/>
  <c r="CE323" i="30"/>
  <c r="BV330" i="30"/>
  <c r="BV336" i="30"/>
  <c r="CA342" i="30"/>
  <c r="CS315" i="30"/>
  <c r="CM323" i="30"/>
  <c r="CU332" i="30"/>
  <c r="CQ341" i="30"/>
  <c r="CU382" i="30"/>
  <c r="CT379" i="30"/>
  <c r="CU376" i="30"/>
  <c r="CJ374" i="30"/>
  <c r="CK371" i="30"/>
  <c r="CL368" i="30"/>
  <c r="CM365" i="30"/>
  <c r="CN362" i="30"/>
  <c r="CO359" i="30"/>
  <c r="CO356" i="30"/>
  <c r="CP353" i="30"/>
  <c r="CO350" i="30"/>
  <c r="CN381" i="30"/>
  <c r="CO378" i="30"/>
  <c r="CP375" i="30"/>
  <c r="CP372" i="30"/>
  <c r="CQ369" i="30"/>
  <c r="CP366" i="30"/>
  <c r="CQ363" i="30"/>
  <c r="CR360" i="30"/>
  <c r="CS357" i="30"/>
  <c r="CT354" i="30"/>
  <c r="CU351" i="30"/>
  <c r="CJ349" i="30"/>
  <c r="CO383" i="30"/>
  <c r="CM380" i="30"/>
  <c r="CJ377" i="30"/>
  <c r="CT373" i="30"/>
  <c r="CS370" i="30"/>
  <c r="CR367" i="30"/>
  <c r="CP364" i="30"/>
  <c r="CO361" i="30"/>
  <c r="CL358" i="30"/>
  <c r="CK355" i="30"/>
  <c r="CJ352" i="30"/>
  <c r="CT348" i="30"/>
  <c r="CF382" i="30"/>
  <c r="BX380" i="30"/>
  <c r="CB377" i="30"/>
  <c r="CF374" i="30"/>
  <c r="CM383" i="30"/>
  <c r="CL380" i="30"/>
  <c r="CT376" i="30"/>
  <c r="CS373" i="30"/>
  <c r="CR370" i="30"/>
  <c r="CQ367" i="30"/>
  <c r="CO364" i="30"/>
  <c r="CL361" i="30"/>
  <c r="CK358" i="30"/>
  <c r="CJ355" i="30"/>
  <c r="CT351" i="30"/>
  <c r="CS348" i="30"/>
  <c r="CP382" i="30"/>
  <c r="CM379" i="30"/>
  <c r="CJ376" i="30"/>
  <c r="CS372" i="30"/>
  <c r="CL369" i="30"/>
  <c r="CU365" i="30"/>
  <c r="CR362" i="30"/>
  <c r="CM359" i="30"/>
  <c r="CT355" i="30"/>
  <c r="CQ352" i="30"/>
  <c r="CN349" i="30"/>
  <c r="CJ381" i="30"/>
  <c r="CR377" i="30"/>
  <c r="CM374" i="30"/>
  <c r="CU370" i="30"/>
  <c r="CP367" i="30"/>
  <c r="CL364" i="30"/>
  <c r="CS360" i="30"/>
  <c r="CO357" i="30"/>
  <c r="CL354" i="30"/>
  <c r="CT350" i="30"/>
  <c r="CO382" i="30"/>
  <c r="CJ379" i="30"/>
  <c r="CQ375" i="30"/>
  <c r="CT371" i="30"/>
  <c r="CO368" i="30"/>
  <c r="CU364" i="30"/>
  <c r="CK361" i="30"/>
  <c r="CQ357" i="30"/>
  <c r="CK354" i="30"/>
  <c r="CN350" i="30"/>
  <c r="CT380" i="30"/>
  <c r="CL377" i="30"/>
  <c r="CP373" i="30"/>
  <c r="CK370" i="30"/>
  <c r="CN366" i="30"/>
  <c r="CU362" i="30"/>
  <c r="CP359" i="30"/>
  <c r="CR355" i="30"/>
  <c r="CM352" i="30"/>
  <c r="CP348" i="30"/>
  <c r="CB381" i="30"/>
  <c r="CE378" i="30"/>
  <c r="BV376" i="30"/>
  <c r="BY373" i="30"/>
  <c r="CC370" i="30"/>
  <c r="CG367" i="30"/>
  <c r="BY365" i="30"/>
  <c r="CC362" i="30"/>
  <c r="CG359" i="30"/>
  <c r="BY357" i="30"/>
  <c r="CC354" i="30"/>
  <c r="CG351" i="30"/>
  <c r="BY349" i="30"/>
  <c r="CN382" i="30"/>
  <c r="CS378" i="30"/>
  <c r="CJ375" i="30"/>
  <c r="CM371" i="30"/>
  <c r="CM367" i="30"/>
  <c r="CO363" i="30"/>
  <c r="CT359" i="30"/>
  <c r="CK356" i="30"/>
  <c r="CL352" i="30"/>
  <c r="CM348" i="30"/>
  <c r="BZ381" i="30"/>
  <c r="CB378" i="30"/>
  <c r="CD375" i="30"/>
  <c r="CF372" i="30"/>
  <c r="BW370" i="30"/>
  <c r="BZ367" i="30"/>
  <c r="CC364" i="30"/>
  <c r="CF361" i="30"/>
  <c r="BW359" i="30"/>
  <c r="BZ356" i="30"/>
  <c r="CC353" i="30"/>
  <c r="CF350" i="30"/>
  <c r="BW348" i="30"/>
  <c r="CM382" i="30"/>
  <c r="CR378" i="30"/>
  <c r="CU374" i="30"/>
  <c r="CL371" i="30"/>
  <c r="CL367" i="30"/>
  <c r="CN363" i="30"/>
  <c r="CS359" i="30"/>
  <c r="CS355" i="30"/>
  <c r="CK352" i="30"/>
  <c r="CL348" i="30"/>
  <c r="BY381" i="30"/>
  <c r="CA378" i="30"/>
  <c r="CC375" i="30"/>
  <c r="CE372" i="30"/>
  <c r="BV370" i="30"/>
  <c r="BY367" i="30"/>
  <c r="CB364" i="30"/>
  <c r="CE361" i="30"/>
  <c r="BV359" i="30"/>
  <c r="CN380" i="30"/>
  <c r="CN376" i="30"/>
  <c r="CQ372" i="30"/>
  <c r="CS368" i="30"/>
  <c r="CK365" i="30"/>
  <c r="CJ361" i="30"/>
  <c r="CM357" i="30"/>
  <c r="CQ353" i="30"/>
  <c r="CS349" i="30"/>
  <c r="CA382" i="30"/>
  <c r="CC379" i="30"/>
  <c r="CL382" i="30"/>
  <c r="CM378" i="30"/>
  <c r="CK374" i="30"/>
  <c r="CT369" i="30"/>
  <c r="CR365" i="30"/>
  <c r="CR361" i="30"/>
  <c r="CL357" i="30"/>
  <c r="CJ353" i="30"/>
  <c r="CK349" i="30"/>
  <c r="CE381" i="30"/>
  <c r="CC378" i="30"/>
  <c r="CA375" i="30"/>
  <c r="CA372" i="30"/>
  <c r="CB369" i="30"/>
  <c r="CC366" i="30"/>
  <c r="CD363" i="30"/>
  <c r="CE360" i="30"/>
  <c r="CF357" i="30"/>
  <c r="BV355" i="30"/>
  <c r="BX352" i="30"/>
  <c r="BZ349" i="30"/>
  <c r="CK382" i="30"/>
  <c r="CL378" i="30"/>
  <c r="CU373" i="30"/>
  <c r="CS369" i="30"/>
  <c r="CQ365" i="30"/>
  <c r="CQ361" i="30"/>
  <c r="CK357" i="30"/>
  <c r="CU352" i="30"/>
  <c r="CU348" i="30"/>
  <c r="CD381" i="30"/>
  <c r="BZ378" i="30"/>
  <c r="BZ375" i="30"/>
  <c r="BZ372" i="30"/>
  <c r="CA369" i="30"/>
  <c r="CB366" i="30"/>
  <c r="CC363" i="30"/>
  <c r="CD360" i="30"/>
  <c r="CE357" i="30"/>
  <c r="CG354" i="30"/>
  <c r="BW352" i="30"/>
  <c r="BX349" i="30"/>
  <c r="CR379" i="30"/>
  <c r="CS375" i="30"/>
  <c r="CP371" i="30"/>
  <c r="CK367" i="30"/>
  <c r="CJ363" i="30"/>
  <c r="CT358" i="30"/>
  <c r="CQ354" i="30"/>
  <c r="CM350" i="30"/>
  <c r="CG382" i="30"/>
  <c r="CE379" i="30"/>
  <c r="CD376" i="30"/>
  <c r="CD373" i="30"/>
  <c r="CE370" i="30"/>
  <c r="CE367" i="30"/>
  <c r="CF364" i="30"/>
  <c r="CG361" i="30"/>
  <c r="CF358" i="30"/>
  <c r="BV356" i="30"/>
  <c r="BX353" i="30"/>
  <c r="BZ350" i="30"/>
  <c r="CJ382" i="30"/>
  <c r="CS377" i="30"/>
  <c r="CK373" i="30"/>
  <c r="CP368" i="30"/>
  <c r="CS363" i="30"/>
  <c r="CK359" i="30"/>
  <c r="CP354" i="30"/>
  <c r="CU349" i="30"/>
  <c r="BV381" i="30"/>
  <c r="CD377" i="30"/>
  <c r="BZ374" i="30"/>
  <c r="BX371" i="30"/>
  <c r="BV368" i="30"/>
  <c r="CD364" i="30"/>
  <c r="BZ361" i="30"/>
  <c r="BX358" i="30"/>
  <c r="BW355" i="30"/>
  <c r="CE351" i="30"/>
  <c r="CD348" i="30"/>
  <c r="CU381" i="30"/>
  <c r="CQ377" i="30"/>
  <c r="CJ373" i="30"/>
  <c r="CN368" i="30"/>
  <c r="CR363" i="30"/>
  <c r="CJ359" i="30"/>
  <c r="CO354" i="30"/>
  <c r="CT349" i="30"/>
  <c r="CG380" i="30"/>
  <c r="CC377" i="30"/>
  <c r="BY374" i="30"/>
  <c r="BW371" i="30"/>
  <c r="CF367" i="30"/>
  <c r="CA364" i="30"/>
  <c r="BY361" i="30"/>
  <c r="BW358" i="30"/>
  <c r="CF354" i="30"/>
  <c r="CD351" i="30"/>
  <c r="CC348" i="30"/>
  <c r="BS382" i="30"/>
  <c r="BK380" i="30"/>
  <c r="BO377" i="30"/>
  <c r="BS374" i="30"/>
  <c r="BK372" i="30"/>
  <c r="CO379" i="30"/>
  <c r="CT374" i="30"/>
  <c r="CM370" i="30"/>
  <c r="CP365" i="30"/>
  <c r="CQ360" i="30"/>
  <c r="CN356" i="30"/>
  <c r="CP351" i="30"/>
  <c r="CB382" i="30"/>
  <c r="BW379" i="30"/>
  <c r="CE375" i="30"/>
  <c r="BX372" i="30"/>
  <c r="BV369" i="30"/>
  <c r="CF365" i="30"/>
  <c r="CD362" i="30"/>
  <c r="CA359" i="30"/>
  <c r="BX356" i="30"/>
  <c r="BV353" i="30"/>
  <c r="CG349" i="30"/>
  <c r="CT381" i="30"/>
  <c r="CS376" i="30"/>
  <c r="CK372" i="30"/>
  <c r="CT366" i="30"/>
  <c r="CU361" i="30"/>
  <c r="CS356" i="30"/>
  <c r="CO351" i="30"/>
  <c r="BX383" i="30"/>
  <c r="BZ379" i="30"/>
  <c r="CB375" i="30"/>
  <c r="CF371" i="30"/>
  <c r="CA368" i="30"/>
  <c r="CG364" i="30"/>
  <c r="BW361" i="30"/>
  <c r="CB357" i="30"/>
  <c r="BW354" i="30"/>
  <c r="CD350" i="30"/>
  <c r="CS381" i="30"/>
  <c r="CR376" i="30"/>
  <c r="CS371" i="30"/>
  <c r="CS366" i="30"/>
  <c r="CT361" i="30"/>
  <c r="CQ356" i="30"/>
  <c r="CM351" i="30"/>
  <c r="BW383" i="30"/>
  <c r="BY379" i="30"/>
  <c r="BY375" i="30"/>
  <c r="CE371" i="30"/>
  <c r="BZ368" i="30"/>
  <c r="CE364" i="30"/>
  <c r="BV361" i="30"/>
  <c r="CA357" i="30"/>
  <c r="BV354" i="30"/>
  <c r="CC350" i="30"/>
  <c r="BM382" i="30"/>
  <c r="BP379" i="30"/>
  <c r="BS376" i="30"/>
  <c r="BJ374" i="30"/>
  <c r="CK379" i="30"/>
  <c r="CR373" i="30"/>
  <c r="CT368" i="30"/>
  <c r="CP363" i="30"/>
  <c r="CO358" i="30"/>
  <c r="CO353" i="30"/>
  <c r="CK348" i="30"/>
  <c r="CC380" i="30"/>
  <c r="CG376" i="30"/>
  <c r="BZ373" i="30"/>
  <c r="CD369" i="30"/>
  <c r="BW366" i="30"/>
  <c r="CB362" i="30"/>
  <c r="CG358" i="30"/>
  <c r="CB355" i="30"/>
  <c r="BV352" i="30"/>
  <c r="CA348" i="30"/>
  <c r="BO383" i="30"/>
  <c r="BR380" i="30"/>
  <c r="BI378" i="30"/>
  <c r="BL375" i="30"/>
  <c r="BO372" i="30"/>
  <c r="BR369" i="30"/>
  <c r="BJ367" i="30"/>
  <c r="BN364" i="30"/>
  <c r="BR361" i="30"/>
  <c r="BJ359" i="30"/>
  <c r="BN356" i="30"/>
  <c r="BR353" i="30"/>
  <c r="BJ351" i="30"/>
  <c r="BN348" i="30"/>
  <c r="CR381" i="30"/>
  <c r="CM376" i="30"/>
  <c r="CQ370" i="30"/>
  <c r="CL365" i="30"/>
  <c r="CR359" i="30"/>
  <c r="CT353" i="30"/>
  <c r="CD383" i="30"/>
  <c r="CD379" i="30"/>
  <c r="BX375" i="30"/>
  <c r="CA371" i="30"/>
  <c r="CA367" i="30"/>
  <c r="CA363" i="30"/>
  <c r="CD359" i="30"/>
  <c r="CE355" i="30"/>
  <c r="CF351" i="30"/>
  <c r="BV348" i="30"/>
  <c r="BK382" i="30"/>
  <c r="BL379" i="30"/>
  <c r="BM376" i="30"/>
  <c r="BN373" i="30"/>
  <c r="BP370" i="30"/>
  <c r="BS367" i="30"/>
  <c r="BJ365" i="30"/>
  <c r="BM362" i="30"/>
  <c r="BP359" i="30"/>
  <c r="BS356" i="30"/>
  <c r="BJ354" i="30"/>
  <c r="BM351" i="30"/>
  <c r="BP348" i="30"/>
  <c r="BA381" i="30"/>
  <c r="BE378" i="30"/>
  <c r="AW376" i="30"/>
  <c r="BA373" i="30"/>
  <c r="BE370" i="30"/>
  <c r="AW368" i="30"/>
  <c r="BA365" i="30"/>
  <c r="BE362" i="30"/>
  <c r="AW360" i="30"/>
  <c r="BA357" i="30"/>
  <c r="BE354" i="30"/>
  <c r="AW352" i="30"/>
  <c r="BA349" i="30"/>
  <c r="AI383" i="30"/>
  <c r="AM380" i="30"/>
  <c r="AQ377" i="30"/>
  <c r="AI375" i="30"/>
  <c r="AM372" i="30"/>
  <c r="AQ369" i="30"/>
  <c r="AI367" i="30"/>
  <c r="AM364" i="30"/>
  <c r="AQ361" i="30"/>
  <c r="AI359" i="30"/>
  <c r="AM356" i="30"/>
  <c r="AQ353" i="30"/>
  <c r="AI351" i="30"/>
  <c r="AM348" i="30"/>
  <c r="CQ381" i="30"/>
  <c r="CL376" i="30"/>
  <c r="CP370" i="30"/>
  <c r="CJ365" i="30"/>
  <c r="CQ359" i="30"/>
  <c r="CS353" i="30"/>
  <c r="CC383" i="30"/>
  <c r="CB379" i="30"/>
  <c r="BW375" i="30"/>
  <c r="BZ371" i="30"/>
  <c r="BX367" i="30"/>
  <c r="BZ363" i="30"/>
  <c r="CC359" i="30"/>
  <c r="CD355" i="30"/>
  <c r="CC351" i="30"/>
  <c r="BJ382" i="30"/>
  <c r="BK379" i="30"/>
  <c r="BL376" i="30"/>
  <c r="BM373" i="30"/>
  <c r="BO370" i="30"/>
  <c r="BR367" i="30"/>
  <c r="BI365" i="30"/>
  <c r="BL362" i="30"/>
  <c r="BO359" i="30"/>
  <c r="BR356" i="30"/>
  <c r="BI354" i="30"/>
  <c r="BL351" i="30"/>
  <c r="BO348" i="30"/>
  <c r="AZ381" i="30"/>
  <c r="BD378" i="30"/>
  <c r="AV376" i="30"/>
  <c r="AZ373" i="30"/>
  <c r="BD370" i="30"/>
  <c r="AV368" i="30"/>
  <c r="AZ365" i="30"/>
  <c r="BD362" i="30"/>
  <c r="AV360" i="30"/>
  <c r="AZ357" i="30"/>
  <c r="BD354" i="30"/>
  <c r="AV352" i="30"/>
  <c r="AZ349" i="30"/>
  <c r="AH383" i="30"/>
  <c r="AL380" i="30"/>
  <c r="CQ378" i="30"/>
  <c r="CU372" i="30"/>
  <c r="CO367" i="30"/>
  <c r="CS361" i="30"/>
  <c r="CQ355" i="30"/>
  <c r="CL350" i="30"/>
  <c r="BW381" i="30"/>
  <c r="BV377" i="30"/>
  <c r="BV373" i="30"/>
  <c r="CG368" i="30"/>
  <c r="BX365" i="30"/>
  <c r="CG360" i="30"/>
  <c r="BV357" i="30"/>
  <c r="BZ353" i="30"/>
  <c r="CC349" i="30"/>
  <c r="BM383" i="30"/>
  <c r="BN380" i="30"/>
  <c r="BN377" i="30"/>
  <c r="BO374" i="30"/>
  <c r="BP371" i="30"/>
  <c r="BS368" i="30"/>
  <c r="BJ366" i="30"/>
  <c r="BM363" i="30"/>
  <c r="BP360" i="30"/>
  <c r="BS357" i="30"/>
  <c r="BJ355" i="30"/>
  <c r="BM352" i="30"/>
  <c r="BP349" i="30"/>
  <c r="BA382" i="30"/>
  <c r="BE379" i="30"/>
  <c r="AW377" i="30"/>
  <c r="BA374" i="30"/>
  <c r="BE371" i="30"/>
  <c r="AW369" i="30"/>
  <c r="BA366" i="30"/>
  <c r="BE363" i="30"/>
  <c r="AW361" i="30"/>
  <c r="BA358" i="30"/>
  <c r="BE355" i="30"/>
  <c r="AW353" i="30"/>
  <c r="BA350" i="30"/>
  <c r="AM381" i="30"/>
  <c r="AQ378" i="30"/>
  <c r="AI376" i="30"/>
  <c r="AM373" i="30"/>
  <c r="AQ370" i="30"/>
  <c r="AI368" i="30"/>
  <c r="AM365" i="30"/>
  <c r="AQ362" i="30"/>
  <c r="AI360" i="30"/>
  <c r="AM357" i="30"/>
  <c r="AQ354" i="30"/>
  <c r="AI352" i="30"/>
  <c r="AM349" i="30"/>
  <c r="CP381" i="30"/>
  <c r="CR375" i="30"/>
  <c r="CO369" i="30"/>
  <c r="CK363" i="30"/>
  <c r="CJ357" i="30"/>
  <c r="CU350" i="30"/>
  <c r="BZ382" i="30"/>
  <c r="CF377" i="30"/>
  <c r="CB373" i="30"/>
  <c r="BW369" i="30"/>
  <c r="BZ364" i="30"/>
  <c r="BY360" i="30"/>
  <c r="BW356" i="30"/>
  <c r="CB351" i="30"/>
  <c r="BI383" i="30"/>
  <c r="BR379" i="30"/>
  <c r="BO376" i="30"/>
  <c r="BK373" i="30"/>
  <c r="BJ370" i="30"/>
  <c r="BI367" i="30"/>
  <c r="BI364" i="30"/>
  <c r="BI361" i="30"/>
  <c r="BI358" i="30"/>
  <c r="BH355" i="30"/>
  <c r="BH352" i="30"/>
  <c r="BH349" i="30"/>
  <c r="BD382" i="30"/>
  <c r="BD379" i="30"/>
  <c r="BE376" i="30"/>
  <c r="AT374" i="30"/>
  <c r="AU371" i="30"/>
  <c r="AT368" i="30"/>
  <c r="AU365" i="30"/>
  <c r="AV362" i="30"/>
  <c r="AW359" i="30"/>
  <c r="AX356" i="30"/>
  <c r="AY353" i="30"/>
  <c r="AY350" i="30"/>
  <c r="CO381" i="30"/>
  <c r="CO375" i="30"/>
  <c r="CK369" i="30"/>
  <c r="CT362" i="30"/>
  <c r="CU356" i="30"/>
  <c r="CS350" i="30"/>
  <c r="BY382" i="30"/>
  <c r="CE377" i="30"/>
  <c r="CA373" i="30"/>
  <c r="CF368" i="30"/>
  <c r="BY364" i="30"/>
  <c r="BX360" i="30"/>
  <c r="CG355" i="30"/>
  <c r="CA351" i="30"/>
  <c r="BH383" i="30"/>
  <c r="BQ379" i="30"/>
  <c r="BN376" i="30"/>
  <c r="BJ373" i="30"/>
  <c r="BI370" i="30"/>
  <c r="BH367" i="30"/>
  <c r="BH364" i="30"/>
  <c r="BH361" i="30"/>
  <c r="BH358" i="30"/>
  <c r="BS354" i="30"/>
  <c r="BS351" i="30"/>
  <c r="BS348" i="30"/>
  <c r="BC382" i="30"/>
  <c r="BC379" i="30"/>
  <c r="BD376" i="30"/>
  <c r="BE373" i="30"/>
  <c r="AT371" i="30"/>
  <c r="BE367" i="30"/>
  <c r="AT365" i="30"/>
  <c r="AU362" i="30"/>
  <c r="AV359" i="30"/>
  <c r="AW356" i="30"/>
  <c r="AX353" i="30"/>
  <c r="AX350" i="30"/>
  <c r="AF382" i="30"/>
  <c r="AG379" i="30"/>
  <c r="AH376" i="30"/>
  <c r="AJ373" i="30"/>
  <c r="AL370" i="30"/>
  <c r="AN367" i="30"/>
  <c r="AP364" i="30"/>
  <c r="AF362" i="30"/>
  <c r="AG359" i="30"/>
  <c r="AI356" i="30"/>
  <c r="AK353" i="30"/>
  <c r="AM350" i="30"/>
  <c r="CK378" i="30"/>
  <c r="CR371" i="30"/>
  <c r="CS365" i="30"/>
  <c r="CL359" i="30"/>
  <c r="CT352" i="30"/>
  <c r="CF379" i="30"/>
  <c r="CE374" i="30"/>
  <c r="CB370" i="30"/>
  <c r="BY366" i="30"/>
  <c r="BW362" i="30"/>
  <c r="CC357" i="30"/>
  <c r="CA353" i="30"/>
  <c r="BW349" i="30"/>
  <c r="BI381" i="30"/>
  <c r="BR377" i="30"/>
  <c r="BN374" i="30"/>
  <c r="BL371" i="30"/>
  <c r="BL368" i="30"/>
  <c r="BL365" i="30"/>
  <c r="BJ362" i="30"/>
  <c r="BI359" i="30"/>
  <c r="BI356" i="30"/>
  <c r="BI353" i="30"/>
  <c r="BI350" i="30"/>
  <c r="BD383" i="30"/>
  <c r="BE380" i="30"/>
  <c r="AT378" i="30"/>
  <c r="AU375" i="30"/>
  <c r="AV372" i="30"/>
  <c r="AV369" i="30"/>
  <c r="AW366" i="30"/>
  <c r="AX363" i="30"/>
  <c r="AY360" i="30"/>
  <c r="AX357" i="30"/>
  <c r="AY354" i="30"/>
  <c r="AZ351" i="30"/>
  <c r="BA348" i="30"/>
  <c r="AG383" i="30"/>
  <c r="AH380" i="30"/>
  <c r="AJ377" i="30"/>
  <c r="AL374" i="30"/>
  <c r="AN371" i="30"/>
  <c r="CM354" i="30"/>
  <c r="CP360" i="30"/>
  <c r="CU367" i="30"/>
  <c r="CP374" i="30"/>
  <c r="CL381" i="30"/>
  <c r="CN354" i="30"/>
  <c r="CT360" i="30"/>
  <c r="CJ368" i="30"/>
  <c r="CS374" i="30"/>
  <c r="CM381" i="30"/>
  <c r="CR419" i="30"/>
  <c r="CJ417" i="30"/>
  <c r="CN414" i="30"/>
  <c r="CR411" i="30"/>
  <c r="CJ409" i="30"/>
  <c r="CN406" i="30"/>
  <c r="CR403" i="30"/>
  <c r="CJ401" i="30"/>
  <c r="CN398" i="30"/>
  <c r="CR395" i="30"/>
  <c r="CJ393" i="30"/>
  <c r="CN390" i="30"/>
  <c r="CR387" i="30"/>
  <c r="CU420" i="30"/>
  <c r="CM418" i="30"/>
  <c r="CQ415" i="30"/>
  <c r="CU412" i="30"/>
  <c r="CM410" i="30"/>
  <c r="CQ407" i="30"/>
  <c r="CU404" i="30"/>
  <c r="CM402" i="30"/>
  <c r="CQ399" i="30"/>
  <c r="CU396" i="30"/>
  <c r="CM394" i="30"/>
  <c r="CQ391" i="30"/>
  <c r="CU388" i="30"/>
  <c r="CM386" i="30"/>
  <c r="CL408" i="30"/>
  <c r="CJ411" i="30"/>
  <c r="CT413" i="30"/>
  <c r="CR416" i="30"/>
  <c r="CP419" i="30"/>
  <c r="CT113" i="24"/>
  <c r="CR109" i="24"/>
  <c r="CP105" i="24"/>
  <c r="CL101" i="24"/>
  <c r="CT96" i="24"/>
  <c r="CR92" i="24"/>
  <c r="CP88" i="24"/>
  <c r="CL84" i="24"/>
  <c r="CM116" i="24"/>
  <c r="CT115" i="24"/>
  <c r="CR111" i="24"/>
  <c r="CP107" i="24"/>
  <c r="CL103" i="24"/>
  <c r="CT98" i="24"/>
  <c r="CR94" i="24"/>
  <c r="CP90" i="24"/>
  <c r="CL86" i="24"/>
  <c r="BW117" i="24"/>
  <c r="CC113" i="24"/>
  <c r="BZ110" i="24"/>
  <c r="CF106" i="24"/>
  <c r="CB103" i="24"/>
  <c r="BY100" i="24"/>
  <c r="CE96" i="24"/>
  <c r="CA93" i="24"/>
  <c r="BX90" i="24"/>
  <c r="CD86" i="24"/>
  <c r="BZ83" i="24"/>
  <c r="CP116" i="24"/>
  <c r="CS111" i="24"/>
  <c r="CL107" i="24"/>
  <c r="CR102" i="24"/>
  <c r="CL98" i="24"/>
  <c r="CQ93" i="24"/>
  <c r="CK89" i="24"/>
  <c r="CQ84" i="24"/>
  <c r="BX115" i="24"/>
  <c r="CC111" i="24"/>
  <c r="BY108" i="24"/>
  <c r="CD104" i="24"/>
  <c r="BY101" i="24"/>
  <c r="CD97" i="24"/>
  <c r="BZ94" i="24"/>
  <c r="CE90" i="24"/>
  <c r="BZ87" i="24"/>
  <c r="CE83" i="24"/>
  <c r="CS113" i="24"/>
  <c r="CN109" i="24"/>
  <c r="CS104" i="24"/>
  <c r="CO100" i="24"/>
  <c r="CR95" i="24"/>
  <c r="CL91" i="24"/>
  <c r="CR86" i="24"/>
  <c r="CL82" i="24"/>
  <c r="CD116" i="24"/>
  <c r="BY113" i="24"/>
  <c r="CD109" i="24"/>
  <c r="BZ106" i="24"/>
  <c r="CE102" i="24"/>
  <c r="BZ99" i="24"/>
  <c r="CE95" i="24"/>
  <c r="CA92" i="24"/>
  <c r="CF88" i="24"/>
  <c r="CA85" i="24"/>
  <c r="CR114" i="24"/>
  <c r="CS109" i="24"/>
  <c r="CT104" i="24"/>
  <c r="CT99" i="24"/>
  <c r="CL95" i="24"/>
  <c r="CO90" i="24"/>
  <c r="CP85" i="24"/>
  <c r="CD117" i="24"/>
  <c r="BX114" i="24"/>
  <c r="CA110" i="24"/>
  <c r="CC106" i="24"/>
  <c r="CF102" i="24"/>
  <c r="BX99" i="24"/>
  <c r="CA95" i="24"/>
  <c r="CD91" i="24"/>
  <c r="BX88" i="24"/>
  <c r="CA84" i="24"/>
  <c r="BQ115" i="24"/>
  <c r="BI113" i="24"/>
  <c r="BM110" i="24"/>
  <c r="BQ107" i="24"/>
  <c r="BI105" i="24"/>
  <c r="BM102" i="24"/>
  <c r="BQ99" i="24"/>
  <c r="BI97" i="24"/>
  <c r="BM94" i="24"/>
  <c r="BQ91" i="24"/>
  <c r="BI89" i="24"/>
  <c r="BM86" i="24"/>
  <c r="BQ83" i="24"/>
  <c r="AU117" i="24"/>
  <c r="AY114" i="24"/>
  <c r="BC111" i="24"/>
  <c r="AU109" i="24"/>
  <c r="AY106" i="24"/>
  <c r="BC103" i="24"/>
  <c r="AU101" i="24"/>
  <c r="AY98" i="24"/>
  <c r="BC95" i="24"/>
  <c r="AU93" i="24"/>
  <c r="AY90" i="24"/>
  <c r="BC87" i="24"/>
  <c r="CT116" i="24"/>
  <c r="CL112" i="24"/>
  <c r="CK107" i="24"/>
  <c r="CO102" i="24"/>
  <c r="CP97" i="24"/>
  <c r="CQ92" i="24"/>
  <c r="CR87" i="24"/>
  <c r="CT82" i="24"/>
  <c r="CD115" i="24"/>
  <c r="BX112" i="24"/>
  <c r="CA108" i="24"/>
  <c r="CC104" i="24"/>
  <c r="CF100" i="24"/>
  <c r="BY97" i="24"/>
  <c r="CB93" i="24"/>
  <c r="CD89" i="24"/>
  <c r="BX86" i="24"/>
  <c r="CA82" i="24"/>
  <c r="BH117" i="24"/>
  <c r="BL114" i="24"/>
  <c r="BP111" i="24"/>
  <c r="BH109" i="24"/>
  <c r="BL106" i="24"/>
  <c r="BP103" i="24"/>
  <c r="BH101" i="24"/>
  <c r="BL98" i="24"/>
  <c r="BP95" i="24"/>
  <c r="BH93" i="24"/>
  <c r="BL90" i="24"/>
  <c r="BP87" i="24"/>
  <c r="BH85" i="24"/>
  <c r="BL82" i="24"/>
  <c r="BB115" i="24"/>
  <c r="AT113" i="24"/>
  <c r="AX110" i="24"/>
  <c r="BB107" i="24"/>
  <c r="AT105" i="24"/>
  <c r="AX102" i="24"/>
  <c r="BB99" i="24"/>
  <c r="AT97" i="24"/>
  <c r="AX94" i="24"/>
  <c r="BB91" i="24"/>
  <c r="AT89" i="24"/>
  <c r="AX86" i="24"/>
  <c r="CK113" i="24"/>
  <c r="CT107" i="24"/>
  <c r="CS102" i="24"/>
  <c r="CQ97" i="24"/>
  <c r="CO92" i="24"/>
  <c r="CL87" i="24"/>
  <c r="CE117" i="24"/>
  <c r="CE113" i="24"/>
  <c r="CE109" i="24"/>
  <c r="CE105" i="24"/>
  <c r="CF101" i="24"/>
  <c r="BX98" i="24"/>
  <c r="BX94" i="24"/>
  <c r="BY90" i="24"/>
  <c r="BY86" i="24"/>
  <c r="BY82" i="24"/>
  <c r="BJ115" i="24"/>
  <c r="BL112" i="24"/>
  <c r="BN109" i="24"/>
  <c r="BP106" i="24"/>
  <c r="CT117" i="24"/>
  <c r="CT112" i="24"/>
  <c r="CS107" i="24"/>
  <c r="CQ102" i="24"/>
  <c r="CN97" i="24"/>
  <c r="CL92" i="24"/>
  <c r="CK87" i="24"/>
  <c r="CC117" i="24"/>
  <c r="CD113" i="24"/>
  <c r="CC109" i="24"/>
  <c r="CD105" i="24"/>
  <c r="CE101" i="24"/>
  <c r="CF97" i="24"/>
  <c r="CF93" i="24"/>
  <c r="CF89" i="24"/>
  <c r="CF85" i="24"/>
  <c r="BX82" i="24"/>
  <c r="CN117" i="24"/>
  <c r="CQ111" i="24"/>
  <c r="CO106" i="24"/>
  <c r="CS100" i="24"/>
  <c r="CN95" i="24"/>
  <c r="CR89" i="24"/>
  <c r="CO84" i="24"/>
  <c r="CE114" i="24"/>
  <c r="CD110" i="24"/>
  <c r="CA106" i="24"/>
  <c r="BY102" i="24"/>
  <c r="CE97" i="24"/>
  <c r="CC93" i="24"/>
  <c r="BZ89" i="24"/>
  <c r="BX85" i="24"/>
  <c r="CQ114" i="24"/>
  <c r="CT108" i="24"/>
  <c r="CQ103" i="24"/>
  <c r="CT97" i="24"/>
  <c r="CP92" i="24"/>
  <c r="CS86" i="24"/>
  <c r="CC116" i="24"/>
  <c r="CB112" i="24"/>
  <c r="BZ108" i="24"/>
  <c r="BX104" i="24"/>
  <c r="CE99" i="24"/>
  <c r="CC95" i="24"/>
  <c r="CA91" i="24"/>
  <c r="BY87" i="24"/>
  <c r="BW83" i="24"/>
  <c r="BM116" i="24"/>
  <c r="BN113" i="24"/>
  <c r="BO110" i="24"/>
  <c r="BO107" i="24"/>
  <c r="BP104" i="24"/>
  <c r="BR101" i="24"/>
  <c r="BH99" i="24"/>
  <c r="BJ96" i="24"/>
  <c r="BL93" i="24"/>
  <c r="BN90" i="24"/>
  <c r="BO87" i="24"/>
  <c r="BQ84" i="24"/>
  <c r="AZ115" i="24"/>
  <c r="BB112" i="24"/>
  <c r="BD109" i="24"/>
  <c r="AT107" i="24"/>
  <c r="AV104" i="24"/>
  <c r="AX101" i="24"/>
  <c r="AZ98" i="24"/>
  <c r="BA95" i="24"/>
  <c r="BC92" i="24"/>
  <c r="BE89" i="24"/>
  <c r="AU87" i="24"/>
  <c r="AX84" i="24"/>
  <c r="CS116" i="24"/>
  <c r="CT110" i="24"/>
  <c r="CL105" i="24"/>
  <c r="CN99" i="24"/>
  <c r="CP93" i="24"/>
  <c r="CQ87" i="24"/>
  <c r="BX117" i="24"/>
  <c r="CC112" i="24"/>
  <c r="CF107" i="24"/>
  <c r="CC103" i="24"/>
  <c r="BW99" i="24"/>
  <c r="CD94" i="24"/>
  <c r="BZ90" i="24"/>
  <c r="CB85" i="24"/>
  <c r="BN115" i="24"/>
  <c r="BN112" i="24"/>
  <c r="BM109" i="24"/>
  <c r="BM106" i="24"/>
  <c r="BM103" i="24"/>
  <c r="BN100" i="24"/>
  <c r="BO97" i="24"/>
  <c r="BP94" i="24"/>
  <c r="BP91" i="24"/>
  <c r="BQ88" i="24"/>
  <c r="BR85" i="24"/>
  <c r="BS82" i="24"/>
  <c r="CR116" i="24"/>
  <c r="CS110" i="24"/>
  <c r="CK105" i="24"/>
  <c r="CL99" i="24"/>
  <c r="CN93" i="24"/>
  <c r="CP87" i="24"/>
  <c r="CF116" i="24"/>
  <c r="CA112" i="24"/>
  <c r="CE107" i="24"/>
  <c r="CA103" i="24"/>
  <c r="CF98" i="24"/>
  <c r="CC94" i="24"/>
  <c r="CE89" i="24"/>
  <c r="BZ85" i="24"/>
  <c r="CQ116" i="24"/>
  <c r="CR110" i="24"/>
  <c r="CR104" i="24"/>
  <c r="CK99" i="24"/>
  <c r="CL93" i="24"/>
  <c r="CN87" i="24"/>
  <c r="CE116" i="24"/>
  <c r="BZ112" i="24"/>
  <c r="CD107" i="24"/>
  <c r="BZ103" i="24"/>
  <c r="CE98" i="24"/>
  <c r="CB94" i="24"/>
  <c r="CC89" i="24"/>
  <c r="BY85" i="24"/>
  <c r="CP113" i="24"/>
  <c r="CS106" i="24"/>
  <c r="CQ100" i="24"/>
  <c r="CL94" i="24"/>
  <c r="CS87" i="24"/>
  <c r="CF117" i="24"/>
  <c r="CE112" i="24"/>
  <c r="CB107" i="24"/>
  <c r="CC102" i="24"/>
  <c r="CB97" i="24"/>
  <c r="CD92" i="24"/>
  <c r="CE87" i="24"/>
  <c r="CF82" i="24"/>
  <c r="BJ117" i="24"/>
  <c r="BH114" i="24"/>
  <c r="BS110" i="24"/>
  <c r="BR107" i="24"/>
  <c r="BO104" i="24"/>
  <c r="BO101" i="24"/>
  <c r="BO98" i="24"/>
  <c r="BN95" i="24"/>
  <c r="BN92" i="24"/>
  <c r="BN89" i="24"/>
  <c r="BN86" i="24"/>
  <c r="BM83" i="24"/>
  <c r="BD116" i="24"/>
  <c r="BE113" i="24"/>
  <c r="AT111" i="24"/>
  <c r="AU108" i="24"/>
  <c r="AV105" i="24"/>
  <c r="AV102" i="24"/>
  <c r="AW99" i="24"/>
  <c r="AX96" i="24"/>
  <c r="AY93" i="24"/>
  <c r="AZ90" i="24"/>
  <c r="AZ87" i="24"/>
  <c r="BB84" i="24"/>
  <c r="AG117" i="24"/>
  <c r="AK114" i="24"/>
  <c r="AO111" i="24"/>
  <c r="AG109" i="24"/>
  <c r="AK106" i="24"/>
  <c r="CN113" i="24"/>
  <c r="CR106" i="24"/>
  <c r="CP100" i="24"/>
  <c r="CT93" i="24"/>
  <c r="CT86" i="24"/>
  <c r="CB117" i="24"/>
  <c r="CD112" i="24"/>
  <c r="CA107" i="24"/>
  <c r="CB102" i="24"/>
  <c r="CA97" i="24"/>
  <c r="CC92" i="24"/>
  <c r="CD87" i="24"/>
  <c r="CE82" i="24"/>
  <c r="BI117" i="24"/>
  <c r="BS113" i="24"/>
  <c r="BR110" i="24"/>
  <c r="BP107" i="24"/>
  <c r="BN104" i="24"/>
  <c r="BN101" i="24"/>
  <c r="BN98" i="24"/>
  <c r="BM95" i="24"/>
  <c r="BM92" i="24"/>
  <c r="BM89" i="24"/>
  <c r="BL86" i="24"/>
  <c r="BL83" i="24"/>
  <c r="BC116" i="24"/>
  <c r="BD113" i="24"/>
  <c r="BE110" i="24"/>
  <c r="AT108" i="24"/>
  <c r="AU105" i="24"/>
  <c r="AU102" i="24"/>
  <c r="AV99" i="24"/>
  <c r="AW96" i="24"/>
  <c r="AX93" i="24"/>
  <c r="AX90" i="24"/>
  <c r="AY87" i="24"/>
  <c r="BA84" i="24"/>
  <c r="AF117" i="24"/>
  <c r="AJ114" i="24"/>
  <c r="AN111" i="24"/>
  <c r="AF109" i="24"/>
  <c r="CL113" i="24"/>
  <c r="CQ106" i="24"/>
  <c r="CL100" i="24"/>
  <c r="CS93" i="24"/>
  <c r="CQ86" i="24"/>
  <c r="CA117" i="24"/>
  <c r="BY112" i="24"/>
  <c r="BZ107" i="24"/>
  <c r="CA102" i="24"/>
  <c r="BZ97" i="24"/>
  <c r="CB92" i="24"/>
  <c r="CC87" i="24"/>
  <c r="CD82" i="24"/>
  <c r="BS116" i="24"/>
  <c r="BR113" i="24"/>
  <c r="BQ110" i="24"/>
  <c r="BN107" i="24"/>
  <c r="BM104" i="24"/>
  <c r="BM101" i="24"/>
  <c r="BM98" i="24"/>
  <c r="BL95" i="24"/>
  <c r="BL92" i="24"/>
  <c r="BL89" i="24"/>
  <c r="BK86" i="24"/>
  <c r="BK83" i="24"/>
  <c r="BB116" i="24"/>
  <c r="BC113" i="24"/>
  <c r="BD110" i="24"/>
  <c r="BE107" i="24"/>
  <c r="BE104" i="24"/>
  <c r="AT102" i="24"/>
  <c r="AU99" i="24"/>
  <c r="AV96" i="24"/>
  <c r="AW93" i="24"/>
  <c r="AW90" i="24"/>
  <c r="AX87" i="24"/>
  <c r="AZ84" i="24"/>
  <c r="AQ116" i="24"/>
  <c r="AI114" i="24"/>
  <c r="AM111" i="24"/>
  <c r="AQ108" i="24"/>
  <c r="CP117" i="24"/>
  <c r="CL110" i="24"/>
  <c r="CK103" i="24"/>
  <c r="CT95" i="24"/>
  <c r="CT88" i="24"/>
  <c r="CO82" i="24"/>
  <c r="BZ115" i="24"/>
  <c r="CF109" i="24"/>
  <c r="CB104" i="24"/>
  <c r="BY99" i="24"/>
  <c r="BY93" i="24"/>
  <c r="BY88" i="24"/>
  <c r="CB82" i="24"/>
  <c r="BQ116" i="24"/>
  <c r="BL113" i="24"/>
  <c r="BS109" i="24"/>
  <c r="BN106" i="24"/>
  <c r="BI103" i="24"/>
  <c r="BR99" i="24"/>
  <c r="BN96" i="24"/>
  <c r="BJ93" i="24"/>
  <c r="BR89" i="24"/>
  <c r="BO86" i="24"/>
  <c r="BH83" i="24"/>
  <c r="BD114" i="24"/>
  <c r="BA111" i="24"/>
  <c r="AY108" i="24"/>
  <c r="AW105" i="24"/>
  <c r="BC101" i="24"/>
  <c r="BA98" i="24"/>
  <c r="AW95" i="24"/>
  <c r="AU92" i="24"/>
  <c r="BD88" i="24"/>
  <c r="BB85" i="24"/>
  <c r="BB82" i="24"/>
  <c r="AL115" i="24"/>
  <c r="AM112" i="24"/>
  <c r="AN109" i="24"/>
  <c r="AO106" i="24"/>
  <c r="AF104" i="24"/>
  <c r="AJ101" i="24"/>
  <c r="AN98" i="24"/>
  <c r="AF96" i="24"/>
  <c r="AJ93" i="24"/>
  <c r="AN90" i="24"/>
  <c r="AF88" i="24"/>
  <c r="AJ85" i="24"/>
  <c r="AN82" i="24"/>
  <c r="T116" i="24"/>
  <c r="X113" i="24"/>
  <c r="AB110" i="24"/>
  <c r="T108" i="24"/>
  <c r="X105" i="24"/>
  <c r="AB102" i="24"/>
  <c r="T100" i="24"/>
  <c r="X97" i="24"/>
  <c r="AB94" i="24"/>
  <c r="T92" i="24"/>
  <c r="X89" i="24"/>
  <c r="AB86" i="24"/>
  <c r="T84" i="24"/>
  <c r="CO116" i="24"/>
  <c r="CQ88" i="24"/>
  <c r="BY104" i="24"/>
  <c r="CA87" i="24"/>
  <c r="BP109" i="24"/>
  <c r="BN99" i="24"/>
  <c r="BO89" i="24"/>
  <c r="BC117" i="24"/>
  <c r="BB104" i="24"/>
  <c r="BD91" i="24"/>
  <c r="AY82" i="24"/>
  <c r="AJ112" i="24"/>
  <c r="AL106" i="24"/>
  <c r="AK98" i="24"/>
  <c r="AK90" i="24"/>
  <c r="AK82" i="24"/>
  <c r="AC115" i="24"/>
  <c r="U105" i="24"/>
  <c r="U97" i="24"/>
  <c r="U89" i="24"/>
  <c r="BY109" i="24"/>
  <c r="CE92" i="24"/>
  <c r="BO109" i="24"/>
  <c r="BH106" i="24"/>
  <c r="BQ102" i="24"/>
  <c r="BI96" i="24"/>
  <c r="BK89" i="24"/>
  <c r="BO82" i="24"/>
  <c r="CL117" i="24"/>
  <c r="CT109" i="24"/>
  <c r="CT102" i="24"/>
  <c r="CS95" i="24"/>
  <c r="CS88" i="24"/>
  <c r="BY115" i="24"/>
  <c r="CB109" i="24"/>
  <c r="CA104" i="24"/>
  <c r="CD98" i="24"/>
  <c r="BX93" i="24"/>
  <c r="CF87" i="24"/>
  <c r="BZ82" i="24"/>
  <c r="BP116" i="24"/>
  <c r="BK113" i="24"/>
  <c r="BR109" i="24"/>
  <c r="BK106" i="24"/>
  <c r="BH103" i="24"/>
  <c r="BP99" i="24"/>
  <c r="BM96" i="24"/>
  <c r="BI93" i="24"/>
  <c r="BQ89" i="24"/>
  <c r="BJ86" i="24"/>
  <c r="BR82" i="24"/>
  <c r="BE117" i="24"/>
  <c r="BC114" i="24"/>
  <c r="AZ111" i="24"/>
  <c r="AX108" i="24"/>
  <c r="BD104" i="24"/>
  <c r="BB101" i="24"/>
  <c r="AX98" i="24"/>
  <c r="AV95" i="24"/>
  <c r="AT92" i="24"/>
  <c r="BC88" i="24"/>
  <c r="BA85" i="24"/>
  <c r="BA82" i="24"/>
  <c r="AK115" i="24"/>
  <c r="AL112" i="24"/>
  <c r="AM109" i="24"/>
  <c r="AN106" i="24"/>
  <c r="AQ103" i="24"/>
  <c r="AI101" i="24"/>
  <c r="AM98" i="24"/>
  <c r="AQ95" i="24"/>
  <c r="AI93" i="24"/>
  <c r="AM90" i="24"/>
  <c r="AQ87" i="24"/>
  <c r="AI85" i="24"/>
  <c r="AM82" i="24"/>
  <c r="S116" i="24"/>
  <c r="W113" i="24"/>
  <c r="AA110" i="24"/>
  <c r="S108" i="24"/>
  <c r="W105" i="24"/>
  <c r="AA102" i="24"/>
  <c r="S100" i="24"/>
  <c r="W97" i="24"/>
  <c r="AA94" i="24"/>
  <c r="S92" i="24"/>
  <c r="W89" i="24"/>
  <c r="AA86" i="24"/>
  <c r="S84" i="24"/>
  <c r="CP109" i="24"/>
  <c r="BZ109" i="24"/>
  <c r="CB98" i="24"/>
  <c r="BH113" i="24"/>
  <c r="BR102" i="24"/>
  <c r="BK96" i="24"/>
  <c r="BH86" i="24"/>
  <c r="AX111" i="24"/>
  <c r="AV98" i="24"/>
  <c r="BA88" i="24"/>
  <c r="AI115" i="24"/>
  <c r="AO103" i="24"/>
  <c r="AO95" i="24"/>
  <c r="AO87" i="24"/>
  <c r="Y110" i="24"/>
  <c r="Y102" i="24"/>
  <c r="Y94" i="24"/>
  <c r="Y86" i="24"/>
  <c r="BL116" i="24"/>
  <c r="BM99" i="24"/>
  <c r="BS85" i="24"/>
  <c r="CK117" i="24"/>
  <c r="CQ109" i="24"/>
  <c r="CP102" i="24"/>
  <c r="CQ95" i="24"/>
  <c r="CR88" i="24"/>
  <c r="BW115" i="24"/>
  <c r="CA109" i="24"/>
  <c r="BZ104" i="24"/>
  <c r="CC98" i="24"/>
  <c r="BW93" i="24"/>
  <c r="CB87" i="24"/>
  <c r="BO116" i="24"/>
  <c r="BJ113" i="24"/>
  <c r="BQ109" i="24"/>
  <c r="BJ106" i="24"/>
  <c r="BS102" i="24"/>
  <c r="BO99" i="24"/>
  <c r="BL96" i="24"/>
  <c r="BS92" i="24"/>
  <c r="BP89" i="24"/>
  <c r="BI86" i="24"/>
  <c r="BQ82" i="24"/>
  <c r="BD117" i="24"/>
  <c r="BB114" i="24"/>
  <c r="AY111" i="24"/>
  <c r="AW108" i="24"/>
  <c r="BC104" i="24"/>
  <c r="BA101" i="24"/>
  <c r="AW98" i="24"/>
  <c r="AU95" i="24"/>
  <c r="BE91" i="24"/>
  <c r="BB88" i="24"/>
  <c r="AZ85" i="24"/>
  <c r="AZ82" i="24"/>
  <c r="AJ115" i="24"/>
  <c r="AK112" i="24"/>
  <c r="AL109" i="24"/>
  <c r="AM106" i="24"/>
  <c r="AP103" i="24"/>
  <c r="AH101" i="24"/>
  <c r="AL98" i="24"/>
  <c r="AP95" i="24"/>
  <c r="AH93" i="24"/>
  <c r="AL90" i="24"/>
  <c r="AP87" i="24"/>
  <c r="AH85" i="24"/>
  <c r="AL82" i="24"/>
  <c r="R116" i="24"/>
  <c r="V113" i="24"/>
  <c r="Z110" i="24"/>
  <c r="R108" i="24"/>
  <c r="V105" i="24"/>
  <c r="Z102" i="24"/>
  <c r="R100" i="24"/>
  <c r="V97" i="24"/>
  <c r="Z94" i="24"/>
  <c r="R92" i="24"/>
  <c r="V89" i="24"/>
  <c r="Z86" i="24"/>
  <c r="R84" i="24"/>
  <c r="CL102" i="24"/>
  <c r="CP95" i="24"/>
  <c r="CF114" i="24"/>
  <c r="CF92" i="24"/>
  <c r="BN116" i="24"/>
  <c r="BI106" i="24"/>
  <c r="BR92" i="24"/>
  <c r="BP82" i="24"/>
  <c r="BA114" i="24"/>
  <c r="AV108" i="24"/>
  <c r="AZ101" i="24"/>
  <c r="AT95" i="24"/>
  <c r="AY85" i="24"/>
  <c r="AK109" i="24"/>
  <c r="AG101" i="24"/>
  <c r="AG93" i="24"/>
  <c r="AG85" i="24"/>
  <c r="U113" i="24"/>
  <c r="AC107" i="24"/>
  <c r="AC99" i="24"/>
  <c r="AC91" i="24"/>
  <c r="AC83" i="24"/>
  <c r="CL116" i="24"/>
  <c r="CL109" i="24"/>
  <c r="CT101" i="24"/>
  <c r="CK95" i="24"/>
  <c r="CO88" i="24"/>
  <c r="CD114" i="24"/>
  <c r="CF103" i="24"/>
  <c r="CA98" i="24"/>
  <c r="BX87" i="24"/>
  <c r="BS112" i="24"/>
  <c r="BQ92" i="24"/>
  <c r="CR115" i="24"/>
  <c r="CL108" i="24"/>
  <c r="CP99" i="24"/>
  <c r="CT90" i="24"/>
  <c r="CL83" i="24"/>
  <c r="BY111" i="24"/>
  <c r="BX105" i="24"/>
  <c r="BY98" i="24"/>
  <c r="CB91" i="24"/>
  <c r="CF84" i="24"/>
  <c r="BJ116" i="24"/>
  <c r="BJ112" i="24"/>
  <c r="BL108" i="24"/>
  <c r="BJ104" i="24"/>
  <c r="BL100" i="24"/>
  <c r="BO96" i="24"/>
  <c r="BI92" i="24"/>
  <c r="BK88" i="24"/>
  <c r="BM84" i="24"/>
  <c r="BA116" i="24"/>
  <c r="AU113" i="24"/>
  <c r="AY109" i="24"/>
  <c r="BD105" i="24"/>
  <c r="AW102" i="24"/>
  <c r="AT98" i="24"/>
  <c r="AZ94" i="24"/>
  <c r="BE90" i="24"/>
  <c r="AT87" i="24"/>
  <c r="BA83" i="24"/>
  <c r="CQ115" i="24"/>
  <c r="CR107" i="24"/>
  <c r="CS98" i="24"/>
  <c r="CS90" i="24"/>
  <c r="CK83" i="24"/>
  <c r="BX111" i="24"/>
  <c r="BW105" i="24"/>
  <c r="CC97" i="24"/>
  <c r="BZ91" i="24"/>
  <c r="CE84" i="24"/>
  <c r="BI116" i="24"/>
  <c r="BI112" i="24"/>
  <c r="BK108" i="24"/>
  <c r="BI104" i="24"/>
  <c r="BK100" i="24"/>
  <c r="BH96" i="24"/>
  <c r="BH92" i="24"/>
  <c r="BJ88" i="24"/>
  <c r="BL84" i="24"/>
  <c r="AZ116" i="24"/>
  <c r="BE112" i="24"/>
  <c r="AX109" i="24"/>
  <c r="BC105" i="24"/>
  <c r="CN111" i="24"/>
  <c r="CN103" i="24"/>
  <c r="CO94" i="24"/>
  <c r="CL85" i="24"/>
  <c r="CB113" i="24"/>
  <c r="BW107" i="24"/>
  <c r="CD100" i="24"/>
  <c r="CE94" i="24"/>
  <c r="BZ88" i="24"/>
  <c r="BJ114" i="24"/>
  <c r="BH110" i="24"/>
  <c r="BO105" i="24"/>
  <c r="BQ101" i="24"/>
  <c r="BQ97" i="24"/>
  <c r="BS93" i="24"/>
  <c r="BI90" i="24"/>
  <c r="BO85" i="24"/>
  <c r="CN115" i="24"/>
  <c r="CL106" i="24"/>
  <c r="CK97" i="24"/>
  <c r="CT87" i="24"/>
  <c r="CB115" i="24"/>
  <c r="CB108" i="24"/>
  <c r="BW101" i="24"/>
  <c r="BY94" i="24"/>
  <c r="CB86" i="24"/>
  <c r="BM115" i="24"/>
  <c r="BK111" i="24"/>
  <c r="BR106" i="24"/>
  <c r="BJ102" i="24"/>
  <c r="BR97" i="24"/>
  <c r="BP93" i="24"/>
  <c r="BR88" i="24"/>
  <c r="BP84" i="24"/>
  <c r="AT115" i="24"/>
  <c r="BB110" i="24"/>
  <c r="BD106" i="24"/>
  <c r="AU103" i="24"/>
  <c r="AY99" i="24"/>
  <c r="AY95" i="24"/>
  <c r="AY91" i="24"/>
  <c r="BD87" i="24"/>
  <c r="BE83" i="24"/>
  <c r="AP117" i="24"/>
  <c r="AM114" i="24"/>
  <c r="AG111" i="24"/>
  <c r="AP107" i="24"/>
  <c r="AO104" i="24"/>
  <c r="AO101" i="24"/>
  <c r="AO98" i="24"/>
  <c r="AK95" i="24"/>
  <c r="AK92" i="24"/>
  <c r="AK89" i="24"/>
  <c r="AK86" i="24"/>
  <c r="AK83" i="24"/>
  <c r="CL115" i="24"/>
  <c r="CT105" i="24"/>
  <c r="CS96" i="24"/>
  <c r="CP86" i="24"/>
  <c r="CA115" i="24"/>
  <c r="BX108" i="24"/>
  <c r="CE100" i="24"/>
  <c r="CE93" i="24"/>
  <c r="CA86" i="24"/>
  <c r="BL115" i="24"/>
  <c r="BJ111" i="24"/>
  <c r="BQ106" i="24"/>
  <c r="BI102" i="24"/>
  <c r="BP97" i="24"/>
  <c r="BO93" i="24"/>
  <c r="BP88" i="24"/>
  <c r="BO84" i="24"/>
  <c r="BE114" i="24"/>
  <c r="BA110" i="24"/>
  <c r="BC106" i="24"/>
  <c r="AT103" i="24"/>
  <c r="AX99" i="24"/>
  <c r="AX95" i="24"/>
  <c r="AX91" i="24"/>
  <c r="BB87" i="24"/>
  <c r="BD83" i="24"/>
  <c r="AO117" i="24"/>
  <c r="AL114" i="24"/>
  <c r="AF111" i="24"/>
  <c r="AO107" i="24"/>
  <c r="AN104" i="24"/>
  <c r="AN101" i="24"/>
  <c r="AJ98" i="24"/>
  <c r="AJ95" i="24"/>
  <c r="AJ92" i="24"/>
  <c r="AJ89" i="24"/>
  <c r="AJ86" i="24"/>
  <c r="AJ83" i="24"/>
  <c r="CP110" i="24"/>
  <c r="CT100" i="24"/>
  <c r="CN91" i="24"/>
  <c r="CR82" i="24"/>
  <c r="CF110" i="24"/>
  <c r="BY103" i="24"/>
  <c r="BZ96" i="24"/>
  <c r="BY89" i="24"/>
  <c r="CC82" i="24"/>
  <c r="BO117" i="24"/>
  <c r="BP112" i="24"/>
  <c r="BM108" i="24"/>
  <c r="BR103" i="24"/>
  <c r="BK99" i="24"/>
  <c r="BS94" i="24"/>
  <c r="BR90" i="24"/>
  <c r="BQ86" i="24"/>
  <c r="AV116" i="24"/>
  <c r="AX112" i="24"/>
  <c r="BA108" i="24"/>
  <c r="AW104" i="24"/>
  <c r="AZ100" i="24"/>
  <c r="BD96" i="24"/>
  <c r="BE92" i="24"/>
  <c r="AW89" i="24"/>
  <c r="AW85" i="24"/>
  <c r="AQ115" i="24"/>
  <c r="AN112" i="24"/>
  <c r="AP108" i="24"/>
  <c r="AO105" i="24"/>
  <c r="AO102" i="24"/>
  <c r="AO99" i="24"/>
  <c r="AO96" i="24"/>
  <c r="AO93" i="24"/>
  <c r="AO90" i="24"/>
  <c r="AK87" i="24"/>
  <c r="AK84" i="24"/>
  <c r="V116" i="24"/>
  <c r="R113" i="24"/>
  <c r="R110" i="24"/>
  <c r="CS115" i="24"/>
  <c r="CR105" i="24"/>
  <c r="CL96" i="24"/>
  <c r="CT84" i="24"/>
  <c r="CB114" i="24"/>
  <c r="CD106" i="24"/>
  <c r="CC99" i="24"/>
  <c r="BW91" i="24"/>
  <c r="CC83" i="24"/>
  <c r="BR117" i="24"/>
  <c r="BO112" i="24"/>
  <c r="BS107" i="24"/>
  <c r="BP102" i="24"/>
  <c r="BH98" i="24"/>
  <c r="BM93" i="24"/>
  <c r="BI88" i="24"/>
  <c r="BP83" i="24"/>
  <c r="AX114" i="24"/>
  <c r="AU110" i="24"/>
  <c r="AT106" i="24"/>
  <c r="AW101" i="24"/>
  <c r="AX97" i="24"/>
  <c r="AV93" i="24"/>
  <c r="AU89" i="24"/>
  <c r="BD84" i="24"/>
  <c r="AN117" i="24"/>
  <c r="AQ113" i="24"/>
  <c r="AK110" i="24"/>
  <c r="AQ106" i="24"/>
  <c r="AI103" i="24"/>
  <c r="AF100" i="24"/>
  <c r="AN96" i="24"/>
  <c r="AK93" i="24"/>
  <c r="AP89" i="24"/>
  <c r="AM86" i="24"/>
  <c r="AH83" i="24"/>
  <c r="AC117" i="24"/>
  <c r="AB114" i="24"/>
  <c r="AA111" i="24"/>
  <c r="Z108" i="24"/>
  <c r="Z105" i="24"/>
  <c r="V102" i="24"/>
  <c r="V99" i="24"/>
  <c r="V96" i="24"/>
  <c r="V93" i="24"/>
  <c r="V90" i="24"/>
  <c r="V87" i="24"/>
  <c r="V84" i="24"/>
  <c r="BP92" i="24"/>
  <c r="AV114" i="24"/>
  <c r="AZ88" i="24"/>
  <c r="AO113" i="24"/>
  <c r="AG103" i="24"/>
  <c r="AL96" i="24"/>
  <c r="AI86" i="24"/>
  <c r="AA117" i="24"/>
  <c r="Y111" i="24"/>
  <c r="T105" i="24"/>
  <c r="T99" i="24"/>
  <c r="T93" i="24"/>
  <c r="T87" i="24"/>
  <c r="CQ104" i="24"/>
  <c r="CQ94" i="24"/>
  <c r="BX106" i="24"/>
  <c r="CC90" i="24"/>
  <c r="BH112" i="24"/>
  <c r="BL102" i="24"/>
  <c r="BR87" i="24"/>
  <c r="CP115" i="24"/>
  <c r="CQ105" i="24"/>
  <c r="CT94" i="24"/>
  <c r="CS84" i="24"/>
  <c r="CA114" i="24"/>
  <c r="CB106" i="24"/>
  <c r="CB99" i="24"/>
  <c r="CF90" i="24"/>
  <c r="CB83" i="24"/>
  <c r="BQ117" i="24"/>
  <c r="BM112" i="24"/>
  <c r="BM107" i="24"/>
  <c r="BO102" i="24"/>
  <c r="BS97" i="24"/>
  <c r="BK93" i="24"/>
  <c r="BH88" i="24"/>
  <c r="BO83" i="24"/>
  <c r="AW114" i="24"/>
  <c r="AT110" i="24"/>
  <c r="BE105" i="24"/>
  <c r="AV101" i="24"/>
  <c r="AW97" i="24"/>
  <c r="AT93" i="24"/>
  <c r="BE88" i="24"/>
  <c r="BC84" i="24"/>
  <c r="AM117" i="24"/>
  <c r="AP113" i="24"/>
  <c r="AJ110" i="24"/>
  <c r="AP106" i="24"/>
  <c r="AH103" i="24"/>
  <c r="AQ99" i="24"/>
  <c r="AM96" i="24"/>
  <c r="AF93" i="24"/>
  <c r="AO89" i="24"/>
  <c r="AL86" i="24"/>
  <c r="AG83" i="24"/>
  <c r="AB117" i="24"/>
  <c r="AA114" i="24"/>
  <c r="Z111" i="24"/>
  <c r="Y108" i="24"/>
  <c r="Y105" i="24"/>
  <c r="U102" i="24"/>
  <c r="U99" i="24"/>
  <c r="U96" i="24"/>
  <c r="U93" i="24"/>
  <c r="U90" i="24"/>
  <c r="U87" i="24"/>
  <c r="U84" i="24"/>
  <c r="CK115" i="24"/>
  <c r="CN105" i="24"/>
  <c r="CS94" i="24"/>
  <c r="CR84" i="24"/>
  <c r="BZ114" i="24"/>
  <c r="BY106" i="24"/>
  <c r="CA99" i="24"/>
  <c r="CD90" i="24"/>
  <c r="CA83" i="24"/>
  <c r="BP117" i="24"/>
  <c r="BK112" i="24"/>
  <c r="BL107" i="24"/>
  <c r="BN102" i="24"/>
  <c r="BN97" i="24"/>
  <c r="BS87" i="24"/>
  <c r="BN83" i="24"/>
  <c r="BE109" i="24"/>
  <c r="BB105" i="24"/>
  <c r="AT101" i="24"/>
  <c r="AV97" i="24"/>
  <c r="BD92" i="24"/>
  <c r="AY84" i="24"/>
  <c r="AL117" i="24"/>
  <c r="AI110" i="24"/>
  <c r="AJ106" i="24"/>
  <c r="AP99" i="24"/>
  <c r="AQ92" i="24"/>
  <c r="AN89" i="24"/>
  <c r="AF83" i="24"/>
  <c r="Z114" i="24"/>
  <c r="X108" i="24"/>
  <c r="T102" i="24"/>
  <c r="T96" i="24"/>
  <c r="T90" i="24"/>
  <c r="AB83" i="24"/>
  <c r="CT114" i="24"/>
  <c r="CP84" i="24"/>
  <c r="BY114" i="24"/>
  <c r="BZ98" i="24"/>
  <c r="BY83" i="24"/>
  <c r="BN117" i="24"/>
  <c r="BK107" i="24"/>
  <c r="BM97" i="24"/>
  <c r="BO92" i="24"/>
  <c r="BJ83" i="24"/>
  <c r="CO110" i="24"/>
  <c r="CQ99" i="24"/>
  <c r="CQ89" i="24"/>
  <c r="BY110" i="24"/>
  <c r="CC101" i="24"/>
  <c r="CF94" i="24"/>
  <c r="CE85" i="24"/>
  <c r="BP114" i="24"/>
  <c r="BK109" i="24"/>
  <c r="BR104" i="24"/>
  <c r="BH100" i="24"/>
  <c r="BR94" i="24"/>
  <c r="BM90" i="24"/>
  <c r="BK85" i="24"/>
  <c r="AU116" i="24"/>
  <c r="AT112" i="24"/>
  <c r="AX107" i="24"/>
  <c r="AW103" i="24"/>
  <c r="BE98" i="24"/>
  <c r="BA94" i="24"/>
  <c r="BA90" i="24"/>
  <c r="AW86" i="24"/>
  <c r="AW82" i="24"/>
  <c r="AN115" i="24"/>
  <c r="AP111" i="24"/>
  <c r="AG108" i="24"/>
  <c r="AM104" i="24"/>
  <c r="AF101" i="24"/>
  <c r="AO97" i="24"/>
  <c r="AL94" i="24"/>
  <c r="AI91" i="24"/>
  <c r="AN87" i="24"/>
  <c r="AJ84" i="24"/>
  <c r="AB115" i="24"/>
  <c r="AA112" i="24"/>
  <c r="Z109" i="24"/>
  <c r="Z106" i="24"/>
  <c r="Z103" i="24"/>
  <c r="Z100" i="24"/>
  <c r="Z97" i="24"/>
  <c r="V94" i="24"/>
  <c r="V91" i="24"/>
  <c r="V88" i="24"/>
  <c r="V85" i="24"/>
  <c r="V82" i="24"/>
  <c r="CK109" i="24"/>
  <c r="CR98" i="24"/>
  <c r="CP89" i="24"/>
  <c r="BZ117" i="24"/>
  <c r="BX110" i="24"/>
  <c r="CB101" i="24"/>
  <c r="CA94" i="24"/>
  <c r="CD85" i="24"/>
  <c r="BO114" i="24"/>
  <c r="BJ109" i="24"/>
  <c r="BQ104" i="24"/>
  <c r="BS99" i="24"/>
  <c r="BQ94" i="24"/>
  <c r="BK90" i="24"/>
  <c r="BJ85" i="24"/>
  <c r="AT116" i="24"/>
  <c r="BE111" i="24"/>
  <c r="AW107" i="24"/>
  <c r="AV103" i="24"/>
  <c r="BD98" i="24"/>
  <c r="AY94" i="24"/>
  <c r="AV90" i="24"/>
  <c r="AV86" i="24"/>
  <c r="AV82" i="24"/>
  <c r="AM115" i="24"/>
  <c r="AL111" i="24"/>
  <c r="AF108" i="24"/>
  <c r="AL104" i="24"/>
  <c r="AQ100" i="24"/>
  <c r="AN97" i="24"/>
  <c r="AK94" i="24"/>
  <c r="AH91" i="24"/>
  <c r="AM87" i="24"/>
  <c r="AI84" i="24"/>
  <c r="AA115" i="24"/>
  <c r="Z112" i="24"/>
  <c r="Y109" i="24"/>
  <c r="Y106" i="24"/>
  <c r="Y103" i="24"/>
  <c r="Y100" i="24"/>
  <c r="Y97" i="24"/>
  <c r="U94" i="24"/>
  <c r="U91" i="24"/>
  <c r="U88" i="24"/>
  <c r="U85" i="24"/>
  <c r="U82" i="24"/>
  <c r="CS108" i="24"/>
  <c r="CQ98" i="24"/>
  <c r="CN89" i="24"/>
  <c r="CQ117" i="24"/>
  <c r="CP103" i="24"/>
  <c r="CL90" i="24"/>
  <c r="CF115" i="24"/>
  <c r="CB105" i="24"/>
  <c r="BX96" i="24"/>
  <c r="CC86" i="24"/>
  <c r="BN114" i="24"/>
  <c r="BN108" i="24"/>
  <c r="BS101" i="24"/>
  <c r="BS95" i="24"/>
  <c r="BP90" i="24"/>
  <c r="BK84" i="24"/>
  <c r="AW116" i="24"/>
  <c r="AU111" i="24"/>
  <c r="AU106" i="24"/>
  <c r="BA100" i="24"/>
  <c r="BE95" i="24"/>
  <c r="BD90" i="24"/>
  <c r="BE85" i="24"/>
  <c r="AH117" i="24"/>
  <c r="AF113" i="24"/>
  <c r="AK108" i="24"/>
  <c r="AJ104" i="24"/>
  <c r="AJ100" i="24"/>
  <c r="AJ96" i="24"/>
  <c r="AH92" i="24"/>
  <c r="AL88" i="24"/>
  <c r="AL84" i="24"/>
  <c r="Z116" i="24"/>
  <c r="Y112" i="24"/>
  <c r="S109" i="24"/>
  <c r="S105" i="24"/>
  <c r="Z101" i="24"/>
  <c r="U98" i="24"/>
  <c r="X94" i="24"/>
  <c r="AC90" i="24"/>
  <c r="X87" i="24"/>
  <c r="X83" i="24"/>
  <c r="CR101" i="24"/>
  <c r="CS89" i="24"/>
  <c r="CC115" i="24"/>
  <c r="BZ105" i="24"/>
  <c r="CD95" i="24"/>
  <c r="BI108" i="24"/>
  <c r="BL101" i="24"/>
  <c r="BJ90" i="24"/>
  <c r="AZ110" i="24"/>
  <c r="AX100" i="24"/>
  <c r="BB90" i="24"/>
  <c r="AP112" i="24"/>
  <c r="AH104" i="24"/>
  <c r="AH96" i="24"/>
  <c r="AJ88" i="24"/>
  <c r="X116" i="24"/>
  <c r="AC108" i="24"/>
  <c r="X101" i="24"/>
  <c r="S98" i="24"/>
  <c r="AA90" i="24"/>
  <c r="V83" i="24"/>
  <c r="CO114" i="24"/>
  <c r="CQ101" i="24"/>
  <c r="CL89" i="24"/>
  <c r="CC114" i="24"/>
  <c r="BY105" i="24"/>
  <c r="CB95" i="24"/>
  <c r="BW85" i="24"/>
  <c r="BH108" i="24"/>
  <c r="BK101" i="24"/>
  <c r="BO95" i="24"/>
  <c r="BH90" i="24"/>
  <c r="BC115" i="24"/>
  <c r="AY110" i="24"/>
  <c r="AW100" i="24"/>
  <c r="AZ95" i="24"/>
  <c r="AX85" i="24"/>
  <c r="AN116" i="24"/>
  <c r="AH108" i="24"/>
  <c r="AG104" i="24"/>
  <c r="AG96" i="24"/>
  <c r="AQ91" i="24"/>
  <c r="AF84" i="24"/>
  <c r="V112" i="24"/>
  <c r="CS114" i="24"/>
  <c r="CS101" i="24"/>
  <c r="CT89" i="24"/>
  <c r="CE115" i="24"/>
  <c r="CA105" i="24"/>
  <c r="CF95" i="24"/>
  <c r="BZ86" i="24"/>
  <c r="BM114" i="24"/>
  <c r="BJ108" i="24"/>
  <c r="BP101" i="24"/>
  <c r="BR95" i="24"/>
  <c r="BO90" i="24"/>
  <c r="BJ84" i="24"/>
  <c r="BE115" i="24"/>
  <c r="BC110" i="24"/>
  <c r="BA105" i="24"/>
  <c r="AY100" i="24"/>
  <c r="BD95" i="24"/>
  <c r="BC90" i="24"/>
  <c r="BD85" i="24"/>
  <c r="AP116" i="24"/>
  <c r="AQ112" i="24"/>
  <c r="AJ108" i="24"/>
  <c r="AI104" i="24"/>
  <c r="AI100" i="24"/>
  <c r="AI96" i="24"/>
  <c r="AG92" i="24"/>
  <c r="AK88" i="24"/>
  <c r="AH84" i="24"/>
  <c r="Y116" i="24"/>
  <c r="X112" i="24"/>
  <c r="R109" i="24"/>
  <c r="R105" i="24"/>
  <c r="Y101" i="24"/>
  <c r="T98" i="24"/>
  <c r="W94" i="24"/>
  <c r="AB90" i="24"/>
  <c r="W87" i="24"/>
  <c r="W83" i="24"/>
  <c r="CP114" i="24"/>
  <c r="CC85" i="24"/>
  <c r="BK114" i="24"/>
  <c r="BQ95" i="24"/>
  <c r="BI84" i="24"/>
  <c r="BD115" i="24"/>
  <c r="AZ105" i="24"/>
  <c r="BB95" i="24"/>
  <c r="BC85" i="24"/>
  <c r="AO116" i="24"/>
  <c r="AI108" i="24"/>
  <c r="AH100" i="24"/>
  <c r="AF92" i="24"/>
  <c r="AG84" i="24"/>
  <c r="W112" i="24"/>
  <c r="AC104" i="24"/>
  <c r="T94" i="24"/>
  <c r="S87" i="24"/>
  <c r="BI114" i="24"/>
  <c r="BH84" i="24"/>
  <c r="AY105" i="24"/>
  <c r="AU90" i="24"/>
  <c r="AO112" i="24"/>
  <c r="AG100" i="24"/>
  <c r="AI88" i="24"/>
  <c r="W116" i="24"/>
  <c r="CR108" i="24"/>
  <c r="CP96" i="24"/>
  <c r="CN83" i="24"/>
  <c r="CE110" i="24"/>
  <c r="CC100" i="24"/>
  <c r="BX91" i="24"/>
  <c r="BL117" i="24"/>
  <c r="BI111" i="24"/>
  <c r="BJ105" i="24"/>
  <c r="BS98" i="24"/>
  <c r="BN93" i="24"/>
  <c r="BJ87" i="24"/>
  <c r="AX113" i="24"/>
  <c r="AZ108" i="24"/>
  <c r="AX103" i="24"/>
  <c r="BD97" i="24"/>
  <c r="AZ93" i="24"/>
  <c r="AU88" i="24"/>
  <c r="AW83" i="24"/>
  <c r="AQ114" i="24"/>
  <c r="AM110" i="24"/>
  <c r="AF106" i="24"/>
  <c r="AI102" i="24"/>
  <c r="AG98" i="24"/>
  <c r="AI94" i="24"/>
  <c r="AH90" i="24"/>
  <c r="AG86" i="24"/>
  <c r="AG82" i="24"/>
  <c r="W114" i="24"/>
  <c r="AC110" i="24"/>
  <c r="S107" i="24"/>
  <c r="X103" i="24"/>
  <c r="AA99" i="24"/>
  <c r="S96" i="24"/>
  <c r="Z92" i="24"/>
  <c r="AC88" i="24"/>
  <c r="X85" i="24"/>
  <c r="CQ108" i="24"/>
  <c r="CO96" i="24"/>
  <c r="CS82" i="24"/>
  <c r="CC110" i="24"/>
  <c r="CB100" i="24"/>
  <c r="CB90" i="24"/>
  <c r="BK117" i="24"/>
  <c r="BH111" i="24"/>
  <c r="BH105" i="24"/>
  <c r="BR98" i="24"/>
  <c r="BK92" i="24"/>
  <c r="BI87" i="24"/>
  <c r="AW113" i="24"/>
  <c r="BD107" i="24"/>
  <c r="BE102" i="24"/>
  <c r="BC97" i="24"/>
  <c r="BB92" i="24"/>
  <c r="AT88" i="24"/>
  <c r="AV83" i="24"/>
  <c r="AP114" i="24"/>
  <c r="AL110" i="24"/>
  <c r="AQ105" i="24"/>
  <c r="AH102" i="24"/>
  <c r="AF98" i="24"/>
  <c r="AH94" i="24"/>
  <c r="AG90" i="24"/>
  <c r="AF86" i="24"/>
  <c r="AF82" i="24"/>
  <c r="V114" i="24"/>
  <c r="X110" i="24"/>
  <c r="R107" i="24"/>
  <c r="W103" i="24"/>
  <c r="Z99" i="24"/>
  <c r="R96" i="24"/>
  <c r="Y92" i="24"/>
  <c r="AB88" i="24"/>
  <c r="W85" i="24"/>
  <c r="CP108" i="24"/>
  <c r="CP94" i="24"/>
  <c r="CQ82" i="24"/>
  <c r="CB110" i="24"/>
  <c r="CA100" i="24"/>
  <c r="CA90" i="24"/>
  <c r="BR116" i="24"/>
  <c r="BP110" i="24"/>
  <c r="BS104" i="24"/>
  <c r="BQ98" i="24"/>
  <c r="BJ92" i="24"/>
  <c r="BH87" i="24"/>
  <c r="AV113" i="24"/>
  <c r="BC107" i="24"/>
  <c r="AA88" i="24"/>
  <c r="T97" i="24"/>
  <c r="R115" i="24"/>
  <c r="AO91" i="24"/>
  <c r="AQ101" i="24"/>
  <c r="AF112" i="24"/>
  <c r="AV89" i="24"/>
  <c r="AY107" i="24"/>
  <c r="BM91" i="24"/>
  <c r="BS106" i="24"/>
  <c r="BY84" i="24"/>
  <c r="CB96" i="24"/>
  <c r="CK85" i="24"/>
  <c r="CP101" i="24"/>
  <c r="R89" i="24"/>
  <c r="AB101" i="24"/>
  <c r="AC138" i="24"/>
  <c r="AG87" i="24"/>
  <c r="AG107" i="24"/>
  <c r="BD94" i="24"/>
  <c r="AU114" i="24"/>
  <c r="BI100" i="24"/>
  <c r="S89" i="24"/>
  <c r="AC101" i="24"/>
  <c r="AA139" i="24"/>
  <c r="AH87" i="24"/>
  <c r="AG102" i="24"/>
  <c r="AG120" i="24"/>
  <c r="BE94" i="24"/>
  <c r="AZ114" i="24"/>
  <c r="BS84" i="24"/>
  <c r="BI107" i="24"/>
  <c r="CD96" i="24"/>
  <c r="CS103" i="24"/>
  <c r="Y93" i="24"/>
  <c r="W106" i="24"/>
  <c r="AB139" i="24"/>
  <c r="AB204" i="24"/>
  <c r="Y218" i="24"/>
  <c r="AI87" i="24"/>
  <c r="AJ102" i="24"/>
  <c r="AL121" i="24"/>
  <c r="AO207" i="24"/>
  <c r="AK229" i="24"/>
  <c r="AT96" i="24"/>
  <c r="AU115" i="24"/>
  <c r="AV210" i="24"/>
  <c r="BA230" i="24"/>
  <c r="BI85" i="24"/>
  <c r="BJ107" i="24"/>
  <c r="BI207" i="24"/>
  <c r="BQ222" i="24"/>
  <c r="BW111" i="24"/>
  <c r="BZ219" i="24"/>
  <c r="CR85" i="24"/>
  <c r="CP198" i="24"/>
  <c r="Y89" i="24"/>
  <c r="R98" i="24"/>
  <c r="S111" i="24"/>
  <c r="AB193" i="24"/>
  <c r="AC204" i="24"/>
  <c r="Z218" i="24"/>
  <c r="AB227" i="24"/>
  <c r="R239" i="24"/>
  <c r="AB252" i="24"/>
  <c r="X257" i="24"/>
  <c r="R262" i="24"/>
  <c r="AJ87" i="24"/>
  <c r="AM92" i="24"/>
  <c r="AK102" i="24"/>
  <c r="AJ107" i="24"/>
  <c r="AF197" i="24"/>
  <c r="AP207" i="24"/>
  <c r="AF219" i="24"/>
  <c r="AL229" i="24"/>
  <c r="AF243" i="24"/>
  <c r="AP260" i="24"/>
  <c r="AZ83" i="24"/>
  <c r="AU96" i="24"/>
  <c r="BC108" i="24"/>
  <c r="BD196" i="24"/>
  <c r="BC223" i="24"/>
  <c r="AZ239" i="24"/>
  <c r="AU261" i="24"/>
  <c r="BL85" i="24"/>
  <c r="BO100" i="24"/>
  <c r="BP115" i="24"/>
  <c r="BJ207" i="24"/>
  <c r="BS222" i="24"/>
  <c r="BI260" i="24"/>
  <c r="BZ111" i="24"/>
  <c r="CF263" i="24"/>
  <c r="CO256" i="24"/>
  <c r="W102" i="24"/>
  <c r="AA218" i="24"/>
  <c r="AL87" i="24"/>
  <c r="AL97" i="24"/>
  <c r="AK107" i="24"/>
  <c r="AH113" i="24"/>
  <c r="AJ130" i="24"/>
  <c r="AI197" i="24"/>
  <c r="AQ207" i="24"/>
  <c r="AG219" i="24"/>
  <c r="AF224" i="24"/>
  <c r="AM229" i="24"/>
  <c r="AL237" i="24"/>
  <c r="AG243" i="24"/>
  <c r="AQ248" i="24"/>
  <c r="AL254" i="24"/>
  <c r="AN266" i="24"/>
  <c r="BB83" i="24"/>
  <c r="BB89" i="24"/>
  <c r="AZ102" i="24"/>
  <c r="BD108" i="24"/>
  <c r="BE196" i="24"/>
  <c r="BD203" i="24"/>
  <c r="BE216" i="24"/>
  <c r="BD223" i="24"/>
  <c r="BA239" i="24"/>
  <c r="BA247" i="24"/>
  <c r="AU254" i="24"/>
  <c r="AV261" i="24"/>
  <c r="AY268" i="24"/>
  <c r="BQ93" i="24"/>
  <c r="BP100" i="24"/>
  <c r="BP108" i="24"/>
  <c r="BR115" i="24"/>
  <c r="BS199" i="24"/>
  <c r="BK207" i="24"/>
  <c r="BH223" i="24"/>
  <c r="BK234" i="24"/>
  <c r="BI251" i="24"/>
  <c r="BK260" i="24"/>
  <c r="BR268" i="24"/>
  <c r="CE86" i="24"/>
  <c r="BX97" i="24"/>
  <c r="CA111" i="24"/>
  <c r="BX199" i="24"/>
  <c r="BZ209" i="24"/>
  <c r="CB220" i="24"/>
  <c r="CC242" i="24"/>
  <c r="BW253" i="24"/>
  <c r="CG263" i="24"/>
  <c r="CT85" i="24"/>
  <c r="CO104" i="24"/>
  <c r="CR198" i="24"/>
  <c r="CL217" i="24"/>
  <c r="CL235" i="24"/>
  <c r="CT245" i="24"/>
  <c r="CP256" i="24"/>
  <c r="CT266" i="24"/>
  <c r="Y85" i="24"/>
  <c r="AA89" i="24"/>
  <c r="AB93" i="24"/>
  <c r="X102" i="24"/>
  <c r="AB106" i="24"/>
  <c r="U111" i="24"/>
  <c r="X115" i="24"/>
  <c r="W148" i="24"/>
  <c r="S196" i="24"/>
  <c r="AB200" i="24"/>
  <c r="S205" i="24"/>
  <c r="R210" i="24"/>
  <c r="Y214" i="24"/>
  <c r="AB218" i="24"/>
  <c r="V223" i="24"/>
  <c r="T228" i="24"/>
  <c r="AB234" i="24"/>
  <c r="T239" i="24"/>
  <c r="AB243" i="24"/>
  <c r="X248" i="24"/>
  <c r="V253" i="24"/>
  <c r="Z257" i="24"/>
  <c r="V262" i="24"/>
  <c r="R267" i="24"/>
  <c r="AQ82" i="24"/>
  <c r="AG88" i="24"/>
  <c r="AO92" i="24"/>
  <c r="AM97" i="24"/>
  <c r="AM102" i="24"/>
  <c r="AL107" i="24"/>
  <c r="AI113" i="24"/>
  <c r="AJ197" i="24"/>
  <c r="AP202" i="24"/>
  <c r="AL208" i="24"/>
  <c r="AP213" i="24"/>
  <c r="AH219" i="24"/>
  <c r="AK224" i="24"/>
  <c r="AN229" i="24"/>
  <c r="AM237" i="24"/>
  <c r="AH243" i="24"/>
  <c r="AF249" i="24"/>
  <c r="AM254" i="24"/>
  <c r="AF261" i="24"/>
  <c r="AO266" i="24"/>
  <c r="BC83" i="24"/>
  <c r="BC89" i="24"/>
  <c r="AZ96" i="24"/>
  <c r="BA102" i="24"/>
  <c r="BE108" i="24"/>
  <c r="AX115" i="24"/>
  <c r="AT197" i="24"/>
  <c r="BE203" i="24"/>
  <c r="AZ210" i="24"/>
  <c r="AY217" i="24"/>
  <c r="AW224" i="24"/>
  <c r="AV231" i="24"/>
  <c r="BB239" i="24"/>
  <c r="BD247" i="24"/>
  <c r="AV254" i="24"/>
  <c r="BC261" i="24"/>
  <c r="AZ268" i="24"/>
  <c r="BN85" i="24"/>
  <c r="BR93" i="24"/>
  <c r="BQ100" i="24"/>
  <c r="BQ108" i="24"/>
  <c r="BS115" i="24"/>
  <c r="BH200" i="24"/>
  <c r="BL207" i="24"/>
  <c r="BI216" i="24"/>
  <c r="BS224" i="24"/>
  <c r="BL234" i="24"/>
  <c r="BJ243" i="24"/>
  <c r="BM251" i="24"/>
  <c r="BL261" i="24"/>
  <c r="BS268" i="24"/>
  <c r="CF86" i="24"/>
  <c r="CD99" i="24"/>
  <c r="CB111" i="24"/>
  <c r="CA199" i="24"/>
  <c r="CA209" i="24"/>
  <c r="CC220" i="24"/>
  <c r="BZ230" i="24"/>
  <c r="CC243" i="24"/>
  <c r="CF253" i="24"/>
  <c r="BW264" i="24"/>
  <c r="CO86" i="24"/>
  <c r="CP104" i="24"/>
  <c r="CN199" i="24"/>
  <c r="CQ217" i="24"/>
  <c r="CM235" i="24"/>
  <c r="CJ246" i="24"/>
  <c r="CQ256" i="24"/>
  <c r="CU266" i="24"/>
  <c r="T106" i="24"/>
  <c r="CR138" i="24"/>
  <c r="CC147" i="24"/>
  <c r="BI128" i="24"/>
  <c r="AT136" i="24"/>
  <c r="CP132" i="24"/>
  <c r="BQ121" i="24"/>
  <c r="AT138" i="24"/>
  <c r="BO129" i="24"/>
  <c r="AM146" i="24"/>
  <c r="AL146" i="24"/>
  <c r="AK146" i="24"/>
  <c r="BA122" i="24"/>
  <c r="AL122" i="24"/>
  <c r="AB128" i="24"/>
  <c r="AJ122" i="24"/>
  <c r="T128" i="24"/>
  <c r="U127" i="24"/>
  <c r="AI122" i="24"/>
  <c r="W127" i="24"/>
  <c r="AH122" i="24"/>
  <c r="BY120" i="24"/>
  <c r="BW120" i="24"/>
  <c r="BH124" i="24"/>
  <c r="AV139" i="24"/>
  <c r="BC138" i="24"/>
  <c r="BY147" i="24"/>
  <c r="AH137" i="24"/>
  <c r="Y135" i="24"/>
  <c r="AU148" i="24"/>
  <c r="W154" i="24"/>
  <c r="AY142" i="24"/>
  <c r="V154" i="24"/>
  <c r="BA138" i="24"/>
  <c r="AC152" i="24"/>
  <c r="BW145" i="24"/>
  <c r="AO137" i="24"/>
  <c r="X135" i="24"/>
  <c r="BI150" i="24"/>
  <c r="AG137" i="24"/>
  <c r="U135" i="24"/>
  <c r="S145" i="24"/>
  <c r="X143" i="24"/>
  <c r="U143" i="24"/>
  <c r="W143" i="24"/>
  <c r="AV138" i="24"/>
  <c r="AL144" i="24"/>
  <c r="AB120" i="24"/>
  <c r="BE128" i="24"/>
  <c r="AF139" i="24"/>
  <c r="U120" i="24"/>
  <c r="BD128" i="24"/>
  <c r="AB84" i="24"/>
  <c r="AA97" i="24"/>
  <c r="V110" i="24"/>
  <c r="AH82" i="24"/>
  <c r="AP91" i="24"/>
  <c r="AF102" i="24"/>
  <c r="AQ117" i="24"/>
  <c r="AU83" i="24"/>
  <c r="AY101" i="24"/>
  <c r="BN91" i="24"/>
  <c r="BH107" i="24"/>
  <c r="BZ84" i="24"/>
  <c r="BW109" i="24"/>
  <c r="CN85" i="24"/>
  <c r="AC84" i="24"/>
  <c r="AB97" i="24"/>
  <c r="W110" i="24"/>
  <c r="AI82" i="24"/>
  <c r="AI97" i="24"/>
  <c r="AH112" i="24"/>
  <c r="AX83" i="24"/>
  <c r="BD101" i="24"/>
  <c r="BO91" i="24"/>
  <c r="BK115" i="24"/>
  <c r="CB84" i="24"/>
  <c r="BX109" i="24"/>
  <c r="CQ85" i="24"/>
  <c r="R85" i="24"/>
  <c r="AC97" i="24"/>
  <c r="R111" i="24"/>
  <c r="W209" i="24"/>
  <c r="S223" i="24"/>
  <c r="AJ82" i="24"/>
  <c r="AJ97" i="24"/>
  <c r="AI112" i="24"/>
  <c r="AI202" i="24"/>
  <c r="AJ213" i="24"/>
  <c r="AY83" i="24"/>
  <c r="BE101" i="24"/>
  <c r="BC196" i="24"/>
  <c r="BC216" i="24"/>
  <c r="BM100" i="24"/>
  <c r="BQ199" i="24"/>
  <c r="CC84" i="24"/>
  <c r="BX209" i="24"/>
  <c r="CT103" i="24"/>
  <c r="CU214" i="24"/>
  <c r="S102" i="24"/>
  <c r="V115" i="24"/>
  <c r="T200" i="24"/>
  <c r="W214" i="24"/>
  <c r="Z243" i="24"/>
  <c r="AG113" i="24"/>
  <c r="AP248" i="24"/>
  <c r="AW210" i="24"/>
  <c r="BJ234" i="24"/>
  <c r="CQ198" i="24"/>
  <c r="T85" i="24"/>
  <c r="Z89" i="24"/>
  <c r="V98" i="24"/>
  <c r="AA106" i="24"/>
  <c r="W115" i="24"/>
  <c r="R196" i="24"/>
  <c r="R205" i="24"/>
  <c r="X214" i="24"/>
  <c r="AC227" i="24"/>
  <c r="AA234" i="24"/>
  <c r="AA243" i="24"/>
  <c r="W248" i="24"/>
  <c r="Y257" i="24"/>
  <c r="U262" i="24"/>
  <c r="AP82" i="24"/>
  <c r="AL102" i="24"/>
  <c r="AO213" i="24"/>
  <c r="AY96" i="24"/>
  <c r="AW115" i="24"/>
  <c r="AU231" i="24"/>
  <c r="BM85" i="24"/>
  <c r="BI243" i="24"/>
  <c r="BY230" i="24"/>
  <c r="W98" i="24"/>
  <c r="Z85" i="24"/>
  <c r="AB89" i="24"/>
  <c r="AC93" i="24"/>
  <c r="X98" i="24"/>
  <c r="AC102" i="24"/>
  <c r="AC106" i="24"/>
  <c r="V111" i="24"/>
  <c r="Y115" i="24"/>
  <c r="X148" i="24"/>
  <c r="T196" i="24"/>
  <c r="AC200" i="24"/>
  <c r="T205" i="24"/>
  <c r="S210" i="24"/>
  <c r="Z214" i="24"/>
  <c r="W219" i="24"/>
  <c r="Z223" i="24"/>
  <c r="U228" i="24"/>
  <c r="AC234" i="24"/>
  <c r="W239" i="24"/>
  <c r="AC243" i="24"/>
  <c r="Y248" i="24"/>
  <c r="X253" i="24"/>
  <c r="AA257" i="24"/>
  <c r="X262" i="24"/>
  <c r="S267" i="24"/>
  <c r="AI83" i="24"/>
  <c r="AH88" i="24"/>
  <c r="AP92" i="24"/>
  <c r="AP97" i="24"/>
  <c r="AN102" i="24"/>
  <c r="AM107" i="24"/>
  <c r="AJ113" i="24"/>
  <c r="AH134" i="24"/>
  <c r="AK197" i="24"/>
  <c r="AQ202" i="24"/>
  <c r="AM208" i="24"/>
  <c r="AQ213" i="24"/>
  <c r="AK219" i="24"/>
  <c r="AL224" i="24"/>
  <c r="AF230" i="24"/>
  <c r="AN237" i="24"/>
  <c r="AI243" i="24"/>
  <c r="AG249" i="24"/>
  <c r="AQ254" i="24"/>
  <c r="AG261" i="24"/>
  <c r="AP266" i="24"/>
  <c r="AT84" i="24"/>
  <c r="BD89" i="24"/>
  <c r="BA96" i="24"/>
  <c r="BB102" i="24"/>
  <c r="AT109" i="24"/>
  <c r="AY115" i="24"/>
  <c r="AU197" i="24"/>
  <c r="AX204" i="24"/>
  <c r="BD210" i="24"/>
  <c r="BD217" i="24"/>
  <c r="AX224" i="24"/>
  <c r="AY231" i="24"/>
  <c r="BC239" i="24"/>
  <c r="BE247" i="24"/>
  <c r="AW254" i="24"/>
  <c r="BD261" i="24"/>
  <c r="AY269" i="24"/>
  <c r="BP85" i="24"/>
  <c r="BH94" i="24"/>
  <c r="BR100" i="24"/>
  <c r="BR108" i="24"/>
  <c r="BH116" i="24"/>
  <c r="BP200" i="24"/>
  <c r="BM207" i="24"/>
  <c r="BJ216" i="24"/>
  <c r="BH225" i="24"/>
  <c r="BM234" i="24"/>
  <c r="BK243" i="24"/>
  <c r="BP251" i="24"/>
  <c r="BN261" i="24"/>
  <c r="BH269" i="24"/>
  <c r="BW87" i="24"/>
  <c r="CF99" i="24"/>
  <c r="CD111" i="24"/>
  <c r="CB199" i="24"/>
  <c r="CC209" i="24"/>
  <c r="CA221" i="24"/>
  <c r="CD230" i="24"/>
  <c r="CE243" i="24"/>
  <c r="CG253" i="24"/>
  <c r="BY264" i="24"/>
  <c r="CL88" i="24"/>
  <c r="CS105" i="24"/>
  <c r="CO199" i="24"/>
  <c r="CO235" i="24"/>
  <c r="CK246" i="24"/>
  <c r="CR256" i="24"/>
  <c r="AF9" i="24"/>
  <c r="R9" i="24"/>
  <c r="T7" i="24"/>
  <c r="AC29" i="24"/>
  <c r="X28" i="24"/>
  <c r="AA84" i="24"/>
  <c r="S93" i="24"/>
  <c r="AA101" i="24"/>
  <c r="U110" i="24"/>
  <c r="AF87" i="24"/>
  <c r="AG97" i="24"/>
  <c r="AF107" i="24"/>
  <c r="AK117" i="24"/>
  <c r="AT83" i="24"/>
  <c r="BC94" i="24"/>
  <c r="BE100" i="24"/>
  <c r="AT114" i="24"/>
  <c r="BN84" i="24"/>
  <c r="BL99" i="24"/>
  <c r="BH115" i="24"/>
  <c r="CF108" i="24"/>
  <c r="W93" i="24"/>
  <c r="U106" i="24"/>
  <c r="S115" i="24"/>
  <c r="AH97" i="24"/>
  <c r="AG112" i="24"/>
  <c r="AX89" i="24"/>
  <c r="AZ107" i="24"/>
  <c r="BR84" i="24"/>
  <c r="BI115" i="24"/>
  <c r="CC96" i="24"/>
  <c r="CR103" i="24"/>
  <c r="CL163" i="24"/>
  <c r="AT166" i="24"/>
  <c r="BY181" i="24"/>
  <c r="BM181" i="24"/>
  <c r="BY169" i="24"/>
  <c r="BP161" i="24"/>
  <c r="AU166" i="24"/>
  <c r="BS192" i="24"/>
  <c r="BC165" i="24"/>
  <c r="AH190" i="24"/>
  <c r="BJ189" i="24"/>
  <c r="BA162" i="24"/>
  <c r="AF190" i="24"/>
  <c r="AF176" i="24"/>
  <c r="S188" i="24"/>
  <c r="Y160" i="24"/>
  <c r="BK184" i="24"/>
  <c r="AP172" i="24"/>
  <c r="S185" i="24"/>
  <c r="BH184" i="24"/>
  <c r="AP175" i="24"/>
  <c r="V186" i="24"/>
  <c r="W158" i="24"/>
  <c r="AW188" i="24"/>
  <c r="BP187" i="24"/>
  <c r="AN175" i="24"/>
  <c r="T185" i="24"/>
  <c r="U158" i="24"/>
  <c r="S158" i="24"/>
  <c r="AT182" i="24"/>
  <c r="AX178" i="24"/>
  <c r="BQ183" i="24"/>
  <c r="AG177" i="24"/>
  <c r="BK181" i="24"/>
  <c r="AO172" i="24"/>
  <c r="AY177" i="24"/>
  <c r="U169" i="24"/>
  <c r="AP180" i="24"/>
  <c r="X190" i="24"/>
  <c r="AO178" i="24"/>
  <c r="T188" i="24"/>
  <c r="AQ179" i="24"/>
  <c r="W188" i="24"/>
  <c r="BN161" i="24"/>
  <c r="AY185" i="24"/>
  <c r="W169" i="24"/>
  <c r="AU183" i="24"/>
  <c r="AC168" i="24"/>
  <c r="AG188" i="24"/>
  <c r="W184" i="24"/>
  <c r="AF167" i="24"/>
  <c r="AC182" i="24"/>
  <c r="BK180" i="24"/>
  <c r="AF188" i="24"/>
  <c r="V184" i="24"/>
  <c r="AY186" i="24"/>
  <c r="AQ166" i="24"/>
  <c r="Y182" i="24"/>
  <c r="X168" i="24"/>
  <c r="CB181" i="24"/>
  <c r="W168" i="24"/>
  <c r="BX181" i="24"/>
  <c r="X93" i="24"/>
  <c r="V106" i="24"/>
  <c r="T115" i="24"/>
  <c r="X192" i="24"/>
  <c r="AI92" i="24"/>
  <c r="AH107" i="24"/>
  <c r="AY89" i="24"/>
  <c r="BA107" i="24"/>
  <c r="BJ100" i="24"/>
  <c r="CP230" i="24"/>
  <c r="CR225" i="24"/>
  <c r="CO221" i="24"/>
  <c r="CM217" i="24"/>
  <c r="CJ213" i="24"/>
  <c r="CO208" i="24"/>
  <c r="CK204" i="24"/>
  <c r="CU199" i="24"/>
  <c r="CK228" i="24"/>
  <c r="CU223" i="24"/>
  <c r="CL219" i="24"/>
  <c r="CS214" i="24"/>
  <c r="CP210" i="24"/>
  <c r="CM206" i="24"/>
  <c r="CU201" i="24"/>
  <c r="CU197" i="24"/>
  <c r="CC230" i="24"/>
  <c r="CD227" i="24"/>
  <c r="CF224" i="24"/>
  <c r="BV222" i="24"/>
  <c r="BX219" i="24"/>
  <c r="BZ216" i="24"/>
  <c r="CB213" i="24"/>
  <c r="CD210" i="24"/>
  <c r="CF207" i="24"/>
  <c r="BV205" i="24"/>
  <c r="BX202" i="24"/>
  <c r="BZ199" i="24"/>
  <c r="CC196" i="24"/>
  <c r="CL231" i="24"/>
  <c r="CK226" i="24"/>
  <c r="CM221" i="24"/>
  <c r="CT216" i="24"/>
  <c r="CU211" i="24"/>
  <c r="CN207" i="24"/>
  <c r="CT202" i="24"/>
  <c r="CO198" i="24"/>
  <c r="BW230" i="24"/>
  <c r="BX227" i="24"/>
  <c r="BY224" i="24"/>
  <c r="BZ221" i="24"/>
  <c r="CA218" i="24"/>
  <c r="CB215" i="24"/>
  <c r="CC212" i="24"/>
  <c r="CD209" i="24"/>
  <c r="CE206" i="24"/>
  <c r="CF203" i="24"/>
  <c r="CF200" i="24"/>
  <c r="CG197" i="24"/>
  <c r="CM228" i="24"/>
  <c r="CT223" i="24"/>
  <c r="CR218" i="24"/>
  <c r="CM214" i="24"/>
  <c r="CU209" i="24"/>
  <c r="CM205" i="24"/>
  <c r="CN200" i="24"/>
  <c r="CC231" i="24"/>
  <c r="CD228" i="24"/>
  <c r="CE225" i="24"/>
  <c r="CF222" i="24"/>
  <c r="CF219" i="24"/>
  <c r="CF216" i="24"/>
  <c r="CG213" i="24"/>
  <c r="BV211" i="24"/>
  <c r="BW208" i="24"/>
  <c r="BX205" i="24"/>
  <c r="BY202" i="24"/>
  <c r="BY199" i="24"/>
  <c r="CA196" i="24"/>
  <c r="CQ231" i="24"/>
  <c r="CR226" i="24"/>
  <c r="CN221" i="24"/>
  <c r="CQ216" i="24"/>
  <c r="CO211" i="24"/>
  <c r="CS206" i="24"/>
  <c r="CS201" i="24"/>
  <c r="CU196" i="24"/>
  <c r="CF231" i="24"/>
  <c r="CE228" i="24"/>
  <c r="CC225" i="24"/>
  <c r="BZ222" i="24"/>
  <c r="BY219" i="24"/>
  <c r="BW216" i="24"/>
  <c r="BV213" i="24"/>
  <c r="CG209" i="24"/>
  <c r="CF206" i="24"/>
  <c r="CC203" i="24"/>
  <c r="CA200" i="24"/>
  <c r="CA197" i="24"/>
  <c r="BN231" i="24"/>
  <c r="BR228" i="24"/>
  <c r="BJ226" i="24"/>
  <c r="BN223" i="24"/>
  <c r="BR220" i="24"/>
  <c r="BJ218" i="24"/>
  <c r="BN215" i="24"/>
  <c r="BR212" i="24"/>
  <c r="BJ210" i="24"/>
  <c r="BN207" i="24"/>
  <c r="BR204" i="24"/>
  <c r="BJ202" i="24"/>
  <c r="BN199" i="24"/>
  <c r="BR196" i="24"/>
  <c r="AY229" i="24"/>
  <c r="BC226" i="24"/>
  <c r="AU224" i="24"/>
  <c r="AY221" i="24"/>
  <c r="BC218" i="24"/>
  <c r="AU216" i="24"/>
  <c r="AY213" i="24"/>
  <c r="BC210" i="24"/>
  <c r="AU208" i="24"/>
  <c r="AY205" i="24"/>
  <c r="BC202" i="24"/>
  <c r="AU200" i="24"/>
  <c r="AY197" i="24"/>
  <c r="CR228" i="24"/>
  <c r="CK224" i="24"/>
  <c r="CQ218" i="24"/>
  <c r="CU213" i="24"/>
  <c r="CJ209" i="24"/>
  <c r="CT203" i="24"/>
  <c r="CL199" i="24"/>
  <c r="BV230" i="24"/>
  <c r="CG226" i="24"/>
  <c r="CF223" i="24"/>
  <c r="CE220" i="24"/>
  <c r="CD217" i="24"/>
  <c r="CC214" i="24"/>
  <c r="BZ211" i="24"/>
  <c r="BY208" i="24"/>
  <c r="BW205" i="24"/>
  <c r="CG201" i="24"/>
  <c r="CF198" i="24"/>
  <c r="BI230" i="24"/>
  <c r="BM227" i="24"/>
  <c r="BQ224" i="24"/>
  <c r="BI222" i="24"/>
  <c r="BM219" i="24"/>
  <c r="BQ216" i="24"/>
  <c r="BI214" i="24"/>
  <c r="BM211" i="24"/>
  <c r="BQ208" i="24"/>
  <c r="BI206" i="24"/>
  <c r="BM203" i="24"/>
  <c r="BQ200" i="24"/>
  <c r="BI198" i="24"/>
  <c r="BB230" i="24"/>
  <c r="AT228" i="24"/>
  <c r="AX225" i="24"/>
  <c r="BB222" i="24"/>
  <c r="AT220" i="24"/>
  <c r="AX217" i="24"/>
  <c r="BB214" i="24"/>
  <c r="AT212" i="24"/>
  <c r="AX209" i="24"/>
  <c r="BB206" i="24"/>
  <c r="AT204" i="24"/>
  <c r="AX201" i="24"/>
  <c r="BB198" i="24"/>
  <c r="AT196" i="24"/>
  <c r="CO227" i="24"/>
  <c r="CU221" i="24"/>
  <c r="CR216" i="24"/>
  <c r="CL211" i="24"/>
  <c r="CU205" i="24"/>
  <c r="CT200" i="24"/>
  <c r="BW231" i="24"/>
  <c r="CC227" i="24"/>
  <c r="BZ224" i="24"/>
  <c r="BV221" i="24"/>
  <c r="CE217" i="24"/>
  <c r="BY214" i="24"/>
  <c r="CG210" i="24"/>
  <c r="CC207" i="24"/>
  <c r="BZ204" i="24"/>
  <c r="BV201" i="24"/>
  <c r="CD197" i="24"/>
  <c r="BQ230" i="24"/>
  <c r="BS227" i="24"/>
  <c r="BI225" i="24"/>
  <c r="BK222" i="24"/>
  <c r="BL219" i="24"/>
  <c r="BN216" i="24"/>
  <c r="BP213" i="24"/>
  <c r="BR210" i="24"/>
  <c r="BH208" i="24"/>
  <c r="BJ205" i="24"/>
  <c r="BL202" i="24"/>
  <c r="BM199" i="24"/>
  <c r="BO196" i="24"/>
  <c r="CN227" i="24"/>
  <c r="CS221" i="24"/>
  <c r="CP216" i="24"/>
  <c r="CJ211" i="24"/>
  <c r="CT205" i="24"/>
  <c r="CS200" i="24"/>
  <c r="BV231" i="24"/>
  <c r="CB227" i="24"/>
  <c r="BX224" i="24"/>
  <c r="CG220" i="24"/>
  <c r="CC217" i="24"/>
  <c r="BX214" i="24"/>
  <c r="CF210" i="24"/>
  <c r="CB207" i="24"/>
  <c r="BY204" i="24"/>
  <c r="CG200" i="24"/>
  <c r="CC197" i="24"/>
  <c r="CP228" i="24"/>
  <c r="CQ222" i="24"/>
  <c r="CO217" i="24"/>
  <c r="CP211" i="24"/>
  <c r="CS205" i="24"/>
  <c r="CK200" i="24"/>
  <c r="CF230" i="24"/>
  <c r="BY227" i="24"/>
  <c r="CD223" i="24"/>
  <c r="BY220" i="24"/>
  <c r="CC216" i="24"/>
  <c r="BW213" i="24"/>
  <c r="CB209" i="24"/>
  <c r="CG205" i="24"/>
  <c r="CB202" i="24"/>
  <c r="CG198" i="24"/>
  <c r="CN231" i="24"/>
  <c r="CK225" i="24"/>
  <c r="CJ220" i="24"/>
  <c r="CL214" i="24"/>
  <c r="CN208" i="24"/>
  <c r="CU202" i="24"/>
  <c r="CO197" i="24"/>
  <c r="BW229" i="24"/>
  <c r="CB225" i="24"/>
  <c r="CF221" i="24"/>
  <c r="BZ218" i="24"/>
  <c r="CG214" i="24"/>
  <c r="BY211" i="24"/>
  <c r="CD207" i="24"/>
  <c r="BW204" i="24"/>
  <c r="BZ200" i="24"/>
  <c r="BV197" i="24"/>
  <c r="BL230" i="24"/>
  <c r="BL227" i="24"/>
  <c r="BM224" i="24"/>
  <c r="BN221" i="24"/>
  <c r="BO218" i="24"/>
  <c r="BP215" i="24"/>
  <c r="BP212" i="24"/>
  <c r="BQ209" i="24"/>
  <c r="BR206" i="24"/>
  <c r="BS203" i="24"/>
  <c r="BH201" i="24"/>
  <c r="BH198" i="24"/>
  <c r="AX230" i="24"/>
  <c r="AZ227" i="24"/>
  <c r="BB224" i="24"/>
  <c r="BD221" i="24"/>
  <c r="AT219" i="24"/>
  <c r="AV216" i="24"/>
  <c r="AW213" i="24"/>
  <c r="AY210" i="24"/>
  <c r="BA207" i="24"/>
  <c r="BC204" i="24"/>
  <c r="BE201" i="24"/>
  <c r="AU199" i="24"/>
  <c r="AW196" i="24"/>
  <c r="AQ231" i="24"/>
  <c r="AI229" i="24"/>
  <c r="AM226" i="24"/>
  <c r="CL230" i="24"/>
  <c r="CN224" i="24"/>
  <c r="CL218" i="24"/>
  <c r="CP212" i="24"/>
  <c r="CO206" i="24"/>
  <c r="CJ200" i="24"/>
  <c r="CE231" i="24"/>
  <c r="BV228" i="24"/>
  <c r="BV224" i="24"/>
  <c r="BZ220" i="24"/>
  <c r="CA216" i="24"/>
  <c r="CD212" i="24"/>
  <c r="CG208" i="24"/>
  <c r="BY205" i="24"/>
  <c r="CA201" i="24"/>
  <c r="CB197" i="24"/>
  <c r="BP230" i="24"/>
  <c r="BP227" i="24"/>
  <c r="BO224" i="24"/>
  <c r="BO221" i="24"/>
  <c r="BN218" i="24"/>
  <c r="BM215" i="24"/>
  <c r="BM212" i="24"/>
  <c r="BM209" i="24"/>
  <c r="BM206" i="24"/>
  <c r="BL203" i="24"/>
  <c r="BL200" i="24"/>
  <c r="BL197" i="24"/>
  <c r="CK230" i="24"/>
  <c r="CM224" i="24"/>
  <c r="CK218" i="24"/>
  <c r="CJ212" i="24"/>
  <c r="CL206" i="24"/>
  <c r="CR199" i="24"/>
  <c r="CD231" i="24"/>
  <c r="CG227" i="24"/>
  <c r="CG223" i="24"/>
  <c r="BX220" i="24"/>
  <c r="BY216" i="24"/>
  <c r="CB212" i="24"/>
  <c r="CE208" i="24"/>
  <c r="CG204" i="24"/>
  <c r="BZ201" i="24"/>
  <c r="BZ197" i="24"/>
  <c r="BO230" i="24"/>
  <c r="BO227" i="24"/>
  <c r="BN224" i="24"/>
  <c r="BM221" i="24"/>
  <c r="BM218" i="24"/>
  <c r="BL215" i="24"/>
  <c r="BL212" i="24"/>
  <c r="BL209" i="24"/>
  <c r="CS229" i="24"/>
  <c r="CL224" i="24"/>
  <c r="CU217" i="24"/>
  <c r="CS211" i="24"/>
  <c r="CR205" i="24"/>
  <c r="CQ199" i="24"/>
  <c r="CB231" i="24"/>
  <c r="CF227" i="24"/>
  <c r="CE223" i="24"/>
  <c r="BW220" i="24"/>
  <c r="BX216" i="24"/>
  <c r="CA212" i="24"/>
  <c r="CD208" i="24"/>
  <c r="CF204" i="24"/>
  <c r="BY201" i="24"/>
  <c r="BY197" i="24"/>
  <c r="BN230" i="24"/>
  <c r="BN227" i="24"/>
  <c r="CR230" i="24"/>
  <c r="CS223" i="24"/>
  <c r="CJ217" i="24"/>
  <c r="CM210" i="24"/>
  <c r="CP203" i="24"/>
  <c r="CM197" i="24"/>
  <c r="CA227" i="24"/>
  <c r="BZ223" i="24"/>
  <c r="BW219" i="24"/>
  <c r="BX215" i="24"/>
  <c r="CE210" i="24"/>
  <c r="CD206" i="24"/>
  <c r="CD202" i="24"/>
  <c r="CB198" i="24"/>
  <c r="BM231" i="24"/>
  <c r="BJ228" i="24"/>
  <c r="BR224" i="24"/>
  <c r="BL221" i="24"/>
  <c r="BI218" i="24"/>
  <c r="BS214" i="24"/>
  <c r="BQ211" i="24"/>
  <c r="BN208" i="24"/>
  <c r="BM205" i="24"/>
  <c r="BK202" i="24"/>
  <c r="BI199" i="24"/>
  <c r="BH196" i="24"/>
  <c r="AT230" i="24"/>
  <c r="AU227" i="24"/>
  <c r="AV224" i="24"/>
  <c r="AV221" i="24"/>
  <c r="AW218" i="24"/>
  <c r="AX215" i="24"/>
  <c r="AY212" i="24"/>
  <c r="AZ209" i="24"/>
  <c r="AZ206" i="24"/>
  <c r="BA203" i="24"/>
  <c r="BB200" i="24"/>
  <c r="BC197" i="24"/>
  <c r="AP230" i="24"/>
  <c r="AG228" i="24"/>
  <c r="AJ225" i="24"/>
  <c r="AN222" i="24"/>
  <c r="AF220" i="24"/>
  <c r="AJ217" i="24"/>
  <c r="AN214" i="24"/>
  <c r="AF212" i="24"/>
  <c r="AJ209" i="24"/>
  <c r="AN206" i="24"/>
  <c r="AF204" i="24"/>
  <c r="AJ201" i="24"/>
  <c r="AN198" i="24"/>
  <c r="AF196" i="24"/>
  <c r="CO230" i="24"/>
  <c r="CO223" i="24"/>
  <c r="CU216" i="24"/>
  <c r="CL210" i="24"/>
  <c r="CO203" i="24"/>
  <c r="CL197" i="24"/>
  <c r="BZ227" i="24"/>
  <c r="BY223" i="24"/>
  <c r="BV219" i="24"/>
  <c r="BW215" i="24"/>
  <c r="CC210" i="24"/>
  <c r="CC206" i="24"/>
  <c r="CC202" i="24"/>
  <c r="BZ198" i="24"/>
  <c r="BL231" i="24"/>
  <c r="BI228" i="24"/>
  <c r="BP224" i="24"/>
  <c r="BK221" i="24"/>
  <c r="BH218" i="24"/>
  <c r="BR214" i="24"/>
  <c r="BP211" i="24"/>
  <c r="BM208" i="24"/>
  <c r="BL205" i="24"/>
  <c r="BI202" i="24"/>
  <c r="BH199" i="24"/>
  <c r="BE229" i="24"/>
  <c r="AT227" i="24"/>
  <c r="AT224" i="24"/>
  <c r="AU221" i="24"/>
  <c r="AV218" i="24"/>
  <c r="AW215" i="24"/>
  <c r="AX212" i="24"/>
  <c r="AY209" i="24"/>
  <c r="AY206" i="24"/>
  <c r="AZ203" i="24"/>
  <c r="BA200" i="24"/>
  <c r="BB197" i="24"/>
  <c r="AO230" i="24"/>
  <c r="AF228" i="24"/>
  <c r="AI225" i="24"/>
  <c r="AM222" i="24"/>
  <c r="AQ219" i="24"/>
  <c r="AI217" i="24"/>
  <c r="AM214" i="24"/>
  <c r="AQ211" i="24"/>
  <c r="AI209" i="24"/>
  <c r="AM206" i="24"/>
  <c r="AQ203" i="24"/>
  <c r="AI201" i="24"/>
  <c r="AM198" i="24"/>
  <c r="CQ229" i="24"/>
  <c r="CN223" i="24"/>
  <c r="CN216" i="24"/>
  <c r="CK210" i="24"/>
  <c r="CN203" i="24"/>
  <c r="CJ197" i="24"/>
  <c r="CG231" i="24"/>
  <c r="BW227" i="24"/>
  <c r="BX223" i="24"/>
  <c r="CG218" i="24"/>
  <c r="BV215" i="24"/>
  <c r="CB210" i="24"/>
  <c r="CB206" i="24"/>
  <c r="CA202" i="24"/>
  <c r="BY198" i="24"/>
  <c r="BK231" i="24"/>
  <c r="BH228" i="24"/>
  <c r="BL224" i="24"/>
  <c r="BJ221" i="24"/>
  <c r="BS217" i="24"/>
  <c r="BQ214" i="24"/>
  <c r="BO211" i="24"/>
  <c r="BL208" i="24"/>
  <c r="BK205" i="24"/>
  <c r="BH202" i="24"/>
  <c r="BS198" i="24"/>
  <c r="BD229" i="24"/>
  <c r="BE226" i="24"/>
  <c r="BE223" i="24"/>
  <c r="AT221" i="24"/>
  <c r="AU218" i="24"/>
  <c r="AV215" i="24"/>
  <c r="AW212" i="24"/>
  <c r="AW209" i="24"/>
  <c r="AX206" i="24"/>
  <c r="AY203" i="24"/>
  <c r="AZ200" i="24"/>
  <c r="BA197" i="24"/>
  <c r="AN230" i="24"/>
  <c r="AQ227" i="24"/>
  <c r="AH225" i="24"/>
  <c r="AL222" i="24"/>
  <c r="AP219" i="24"/>
  <c r="AH217" i="24"/>
  <c r="AL214" i="24"/>
  <c r="AP211" i="24"/>
  <c r="AH209" i="24"/>
  <c r="AL206" i="24"/>
  <c r="AP203" i="24"/>
  <c r="AH201" i="24"/>
  <c r="AL198" i="24"/>
  <c r="CR231" i="24"/>
  <c r="CP224" i="24"/>
  <c r="CT215" i="24"/>
  <c r="CL209" i="24"/>
  <c r="CK202" i="24"/>
  <c r="BZ229" i="24"/>
  <c r="CE224" i="24"/>
  <c r="BV220" i="24"/>
  <c r="CA215" i="24"/>
  <c r="CA210" i="24"/>
  <c r="BV206" i="24"/>
  <c r="CC201" i="24"/>
  <c r="CE196" i="24"/>
  <c r="BQ231" i="24"/>
  <c r="BR227" i="24"/>
  <c r="BH224" i="24"/>
  <c r="BN220" i="24"/>
  <c r="BI217" i="24"/>
  <c r="BN213" i="24"/>
  <c r="BH210" i="24"/>
  <c r="BN206" i="24"/>
  <c r="BH203" i="24"/>
  <c r="BP199" i="24"/>
  <c r="BJ196" i="24"/>
  <c r="BD231" i="24"/>
  <c r="BB228" i="24"/>
  <c r="AZ225" i="24"/>
  <c r="AW222" i="24"/>
  <c r="AU219" i="24"/>
  <c r="BC215" i="24"/>
  <c r="BA212" i="24"/>
  <c r="AU209" i="24"/>
  <c r="BE205" i="24"/>
  <c r="BB202" i="24"/>
  <c r="AZ199" i="24"/>
  <c r="AX196" i="24"/>
  <c r="AJ230" i="24"/>
  <c r="AJ227" i="24"/>
  <c r="AJ224" i="24"/>
  <c r="AK221" i="24"/>
  <c r="AL218" i="24"/>
  <c r="AM215" i="24"/>
  <c r="AN212" i="24"/>
  <c r="AO209" i="24"/>
  <c r="AP206" i="24"/>
  <c r="AN203" i="24"/>
  <c r="AO200" i="24"/>
  <c r="AP197" i="24"/>
  <c r="AC229" i="24"/>
  <c r="U227" i="24"/>
  <c r="Y224" i="24"/>
  <c r="AC221" i="24"/>
  <c r="U219" i="24"/>
  <c r="Y216" i="24"/>
  <c r="AC213" i="24"/>
  <c r="U211" i="24"/>
  <c r="Y208" i="24"/>
  <c r="AC205" i="24"/>
  <c r="U203" i="24"/>
  <c r="Y200" i="24"/>
  <c r="AC197" i="24"/>
  <c r="CM231" i="24"/>
  <c r="CF214" i="24"/>
  <c r="CE200" i="24"/>
  <c r="BJ231" i="24"/>
  <c r="BQ223" i="24"/>
  <c r="BK213" i="24"/>
  <c r="BQ202" i="24"/>
  <c r="BA231" i="24"/>
  <c r="AT222" i="24"/>
  <c r="AU212" i="24"/>
  <c r="AY202" i="24"/>
  <c r="AG227" i="24"/>
  <c r="AH221" i="24"/>
  <c r="AK212" i="24"/>
  <c r="AL209" i="24"/>
  <c r="AL200" i="24"/>
  <c r="Z229" i="24"/>
  <c r="R219" i="24"/>
  <c r="R211" i="24"/>
  <c r="R203" i="24"/>
  <c r="CS230" i="24"/>
  <c r="CA224" i="24"/>
  <c r="BW210" i="24"/>
  <c r="BY196" i="24"/>
  <c r="BI231" i="24"/>
  <c r="BI227" i="24"/>
  <c r="BP223" i="24"/>
  <c r="BP216" i="24"/>
  <c r="BO209" i="24"/>
  <c r="BH206" i="24"/>
  <c r="BP202" i="24"/>
  <c r="BJ199" i="24"/>
  <c r="AX228" i="24"/>
  <c r="BE221" i="24"/>
  <c r="BE211" i="24"/>
  <c r="BC208" i="24"/>
  <c r="AV199" i="24"/>
  <c r="CP231" i="24"/>
  <c r="CJ224" i="24"/>
  <c r="CR215" i="24"/>
  <c r="CU208" i="24"/>
  <c r="CT201" i="24"/>
  <c r="BY229" i="24"/>
  <c r="CD224" i="24"/>
  <c r="CD219" i="24"/>
  <c r="BZ215" i="24"/>
  <c r="BZ210" i="24"/>
  <c r="CF205" i="24"/>
  <c r="CB201" i="24"/>
  <c r="CD196" i="24"/>
  <c r="BP231" i="24"/>
  <c r="BQ227" i="24"/>
  <c r="BS223" i="24"/>
  <c r="BM220" i="24"/>
  <c r="BH217" i="24"/>
  <c r="BM213" i="24"/>
  <c r="BS209" i="24"/>
  <c r="BL206" i="24"/>
  <c r="BS202" i="24"/>
  <c r="BO199" i="24"/>
  <c r="BI196" i="24"/>
  <c r="BC231" i="24"/>
  <c r="BA228" i="24"/>
  <c r="AY225" i="24"/>
  <c r="AV222" i="24"/>
  <c r="BE218" i="24"/>
  <c r="BB215" i="24"/>
  <c r="AZ212" i="24"/>
  <c r="AT209" i="24"/>
  <c r="BD205" i="24"/>
  <c r="BA202" i="24"/>
  <c r="AY199" i="24"/>
  <c r="AV196" i="24"/>
  <c r="AI230" i="24"/>
  <c r="AI227" i="24"/>
  <c r="AI224" i="24"/>
  <c r="AJ221" i="24"/>
  <c r="AK218" i="24"/>
  <c r="AL215" i="24"/>
  <c r="AM212" i="24"/>
  <c r="AN209" i="24"/>
  <c r="AO206" i="24"/>
  <c r="AM203" i="24"/>
  <c r="AN200" i="24"/>
  <c r="AO197" i="24"/>
  <c r="AB229" i="24"/>
  <c r="T227" i="24"/>
  <c r="X224" i="24"/>
  <c r="AB221" i="24"/>
  <c r="T219" i="24"/>
  <c r="X216" i="24"/>
  <c r="AB213" i="24"/>
  <c r="T211" i="24"/>
  <c r="X208" i="24"/>
  <c r="AB205" i="24"/>
  <c r="T203" i="24"/>
  <c r="X200" i="24"/>
  <c r="AB197" i="24"/>
  <c r="CN215" i="24"/>
  <c r="BV229" i="24"/>
  <c r="CB219" i="24"/>
  <c r="BX210" i="24"/>
  <c r="BZ196" i="24"/>
  <c r="BJ227" i="24"/>
  <c r="BR216" i="24"/>
  <c r="BP209" i="24"/>
  <c r="BK199" i="24"/>
  <c r="AV225" i="24"/>
  <c r="AZ215" i="24"/>
  <c r="BB205" i="24"/>
  <c r="AG230" i="24"/>
  <c r="AI218" i="24"/>
  <c r="AJ206" i="24"/>
  <c r="AM197" i="24"/>
  <c r="R227" i="24"/>
  <c r="Z221" i="24"/>
  <c r="Z213" i="24"/>
  <c r="Z205" i="24"/>
  <c r="Z197" i="24"/>
  <c r="BJ213" i="24"/>
  <c r="AU225" i="24"/>
  <c r="AY215" i="24"/>
  <c r="AX202" i="24"/>
  <c r="CO231" i="24"/>
  <c r="CT222" i="24"/>
  <c r="CO215" i="24"/>
  <c r="CR208" i="24"/>
  <c r="CQ201" i="24"/>
  <c r="BX229" i="24"/>
  <c r="CC224" i="24"/>
  <c r="CC219" i="24"/>
  <c r="BY215" i="24"/>
  <c r="BY210" i="24"/>
  <c r="CE205" i="24"/>
  <c r="BX201" i="24"/>
  <c r="CB196" i="24"/>
  <c r="BO231" i="24"/>
  <c r="BK227" i="24"/>
  <c r="BR223" i="24"/>
  <c r="BL220" i="24"/>
  <c r="BS216" i="24"/>
  <c r="BL213" i="24"/>
  <c r="BR209" i="24"/>
  <c r="BK206" i="24"/>
  <c r="BR202" i="24"/>
  <c r="BL199" i="24"/>
  <c r="BB231" i="24"/>
  <c r="AZ228" i="24"/>
  <c r="AW225" i="24"/>
  <c r="AU222" i="24"/>
  <c r="BD218" i="24"/>
  <c r="BA215" i="24"/>
  <c r="AV212" i="24"/>
  <c r="BE208" i="24"/>
  <c r="BC205" i="24"/>
  <c r="AZ202" i="24"/>
  <c r="AX199" i="24"/>
  <c r="AU196" i="24"/>
  <c r="AH230" i="24"/>
  <c r="AH227" i="24"/>
  <c r="AH224" i="24"/>
  <c r="AI221" i="24"/>
  <c r="AJ218" i="24"/>
  <c r="AK215" i="24"/>
  <c r="AL212" i="24"/>
  <c r="AM209" i="24"/>
  <c r="AK206" i="24"/>
  <c r="AL203" i="24"/>
  <c r="AM200" i="24"/>
  <c r="AN197" i="24"/>
  <c r="AA229" i="24"/>
  <c r="S227" i="24"/>
  <c r="W224" i="24"/>
  <c r="AA221" i="24"/>
  <c r="S219" i="24"/>
  <c r="W216" i="24"/>
  <c r="AA213" i="24"/>
  <c r="S211" i="24"/>
  <c r="W208" i="24"/>
  <c r="AA205" i="24"/>
  <c r="S203" i="24"/>
  <c r="W200" i="24"/>
  <c r="AA197" i="24"/>
  <c r="CP222" i="24"/>
  <c r="CL208" i="24"/>
  <c r="CP201" i="24"/>
  <c r="CB224" i="24"/>
  <c r="CD205" i="24"/>
  <c r="BK220" i="24"/>
  <c r="BJ206" i="24"/>
  <c r="AY228" i="24"/>
  <c r="BB218" i="24"/>
  <c r="BD208" i="24"/>
  <c r="AW199" i="24"/>
  <c r="AG224" i="24"/>
  <c r="AJ215" i="24"/>
  <c r="AK203" i="24"/>
  <c r="V224" i="24"/>
  <c r="V216" i="24"/>
  <c r="V208" i="24"/>
  <c r="V200" i="24"/>
  <c r="CO222" i="24"/>
  <c r="CM215" i="24"/>
  <c r="CJ208" i="24"/>
  <c r="CO201" i="24"/>
  <c r="CG228" i="24"/>
  <c r="CA219" i="24"/>
  <c r="CE214" i="24"/>
  <c r="CC205" i="24"/>
  <c r="CD200" i="24"/>
  <c r="BJ220" i="24"/>
  <c r="AZ231" i="24"/>
  <c r="BA218" i="24"/>
  <c r="CJ228" i="24"/>
  <c r="CM220" i="24"/>
  <c r="CU210" i="24"/>
  <c r="CQ202" i="24"/>
  <c r="CD226" i="24"/>
  <c r="CD221" i="24"/>
  <c r="CB216" i="24"/>
  <c r="BX211" i="24"/>
  <c r="CE204" i="24"/>
  <c r="CD199" i="24"/>
  <c r="BP229" i="24"/>
  <c r="BP225" i="24"/>
  <c r="BP221" i="24"/>
  <c r="BK217" i="24"/>
  <c r="BQ212" i="24"/>
  <c r="BO208" i="24"/>
  <c r="BM204" i="24"/>
  <c r="BN200" i="24"/>
  <c r="BN196" i="24"/>
  <c r="BC229" i="24"/>
  <c r="AU226" i="24"/>
  <c r="AY222" i="24"/>
  <c r="AT218" i="24"/>
  <c r="AX214" i="24"/>
  <c r="BB210" i="24"/>
  <c r="AT207" i="24"/>
  <c r="AV203" i="24"/>
  <c r="AT199" i="24"/>
  <c r="CT227" i="24"/>
  <c r="CU219" i="24"/>
  <c r="CT210" i="24"/>
  <c r="CP202" i="24"/>
  <c r="CC226" i="24"/>
  <c r="CC221" i="24"/>
  <c r="BV216" i="24"/>
  <c r="BW211" i="24"/>
  <c r="CD204" i="24"/>
  <c r="CC199" i="24"/>
  <c r="BO229" i="24"/>
  <c r="BO225" i="24"/>
  <c r="BI221" i="24"/>
  <c r="BJ217" i="24"/>
  <c r="BO212" i="24"/>
  <c r="BK208" i="24"/>
  <c r="BL204" i="24"/>
  <c r="BM200" i="24"/>
  <c r="BM196" i="24"/>
  <c r="BB229" i="24"/>
  <c r="AT226" i="24"/>
  <c r="AX222" i="24"/>
  <c r="BE217" i="24"/>
  <c r="AW214" i="24"/>
  <c r="BA210" i="24"/>
  <c r="BE206" i="24"/>
  <c r="AU203" i="24"/>
  <c r="BE198" i="24"/>
  <c r="CK222" i="24"/>
  <c r="CJ214" i="24"/>
  <c r="CO205" i="24"/>
  <c r="CP197" i="24"/>
  <c r="CB229" i="24"/>
  <c r="CA223" i="24"/>
  <c r="BW218" i="24"/>
  <c r="CF212" i="24"/>
  <c r="BZ207" i="24"/>
  <c r="BV202" i="24"/>
  <c r="BW196" i="24"/>
  <c r="BS231" i="24"/>
  <c r="BQ226" i="24"/>
  <c r="BR222" i="24"/>
  <c r="BR218" i="24"/>
  <c r="BM214" i="24"/>
  <c r="BM210" i="24"/>
  <c r="BR205" i="24"/>
  <c r="BP201" i="24"/>
  <c r="BQ197" i="24"/>
  <c r="CK221" i="24"/>
  <c r="CU212" i="24"/>
  <c r="CK203" i="24"/>
  <c r="CB228" i="24"/>
  <c r="BY222" i="24"/>
  <c r="CE216" i="24"/>
  <c r="CF209" i="24"/>
  <c r="BV204" i="24"/>
  <c r="CC198" i="24"/>
  <c r="BO228" i="24"/>
  <c r="BK223" i="24"/>
  <c r="BH219" i="24"/>
  <c r="BK214" i="24"/>
  <c r="BK209" i="24"/>
  <c r="BQ204" i="24"/>
  <c r="BO200" i="24"/>
  <c r="AZ230" i="24"/>
  <c r="AX226" i="24"/>
  <c r="AZ222" i="24"/>
  <c r="BC217" i="24"/>
  <c r="BE213" i="24"/>
  <c r="AT210" i="24"/>
  <c r="BA205" i="24"/>
  <c r="BB201" i="24"/>
  <c r="BD197" i="24"/>
  <c r="AN228" i="24"/>
  <c r="AG225" i="24"/>
  <c r="AP221" i="24"/>
  <c r="AM218" i="24"/>
  <c r="AF215" i="24"/>
  <c r="AL211" i="24"/>
  <c r="AI208" i="24"/>
  <c r="AF205" i="24"/>
  <c r="AO201" i="24"/>
  <c r="AI198" i="24"/>
  <c r="CU231" i="24"/>
  <c r="CJ221" i="24"/>
  <c r="CR212" i="24"/>
  <c r="CR202" i="24"/>
  <c r="CA228" i="24"/>
  <c r="BX222" i="24"/>
  <c r="CD216" i="24"/>
  <c r="CE209" i="24"/>
  <c r="CG203" i="24"/>
  <c r="BX198" i="24"/>
  <c r="BN228" i="24"/>
  <c r="BJ223" i="24"/>
  <c r="BS218" i="24"/>
  <c r="BJ214" i="24"/>
  <c r="BJ209" i="24"/>
  <c r="BP204" i="24"/>
  <c r="BK200" i="24"/>
  <c r="AY230" i="24"/>
  <c r="AW226" i="24"/>
  <c r="BC221" i="24"/>
  <c r="BB217" i="24"/>
  <c r="BD213" i="24"/>
  <c r="BE209" i="24"/>
  <c r="AZ205" i="24"/>
  <c r="BA201" i="24"/>
  <c r="AZ197" i="24"/>
  <c r="AM228" i="24"/>
  <c r="AF225" i="24"/>
  <c r="AO221" i="24"/>
  <c r="AH218" i="24"/>
  <c r="AQ214" i="24"/>
  <c r="AK211" i="24"/>
  <c r="AH208" i="24"/>
  <c r="AQ204" i="24"/>
  <c r="AN201" i="24"/>
  <c r="AH198" i="24"/>
  <c r="CN225" i="24"/>
  <c r="CJ215" i="24"/>
  <c r="CT206" i="24"/>
  <c r="CT196" i="24"/>
  <c r="CB230" i="24"/>
  <c r="BX225" i="24"/>
  <c r="CB218" i="24"/>
  <c r="CE212" i="24"/>
  <c r="BV207" i="24"/>
  <c r="BW200" i="24"/>
  <c r="BR229" i="24"/>
  <c r="BM225" i="24"/>
  <c r="BO220" i="24"/>
  <c r="BS215" i="24"/>
  <c r="BJ211" i="24"/>
  <c r="BS206" i="24"/>
  <c r="BR201" i="24"/>
  <c r="BO197" i="24"/>
  <c r="BC227" i="24"/>
  <c r="BA223" i="24"/>
  <c r="BC219" i="24"/>
  <c r="BD215" i="24"/>
  <c r="AX211" i="24"/>
  <c r="AY207" i="24"/>
  <c r="BB203" i="24"/>
  <c r="BA199" i="24"/>
  <c r="AO229" i="24"/>
  <c r="AJ226" i="24"/>
  <c r="AG223" i="24"/>
  <c r="AM219" i="24"/>
  <c r="AJ216" i="24"/>
  <c r="AG213" i="24"/>
  <c r="AP209" i="24"/>
  <c r="AF206" i="24"/>
  <c r="AO202" i="24"/>
  <c r="AL199" i="24"/>
  <c r="AI196" i="24"/>
  <c r="S230" i="24"/>
  <c r="AA226" i="24"/>
  <c r="AA223" i="24"/>
  <c r="AA220" i="24"/>
  <c r="AA217" i="24"/>
  <c r="AA214" i="24"/>
  <c r="AA211" i="24"/>
  <c r="AA208" i="24"/>
  <c r="W205" i="24"/>
  <c r="W202" i="24"/>
  <c r="W199" i="24"/>
  <c r="W196" i="24"/>
  <c r="CM225" i="24"/>
  <c r="CO214" i="24"/>
  <c r="CM204" i="24"/>
  <c r="CA231" i="24"/>
  <c r="CD225" i="24"/>
  <c r="BY218" i="24"/>
  <c r="BW212" i="24"/>
  <c r="BZ205" i="24"/>
  <c r="CE198" i="24"/>
  <c r="BJ229" i="24"/>
  <c r="BO223" i="24"/>
  <c r="BQ218" i="24"/>
  <c r="BQ213" i="24"/>
  <c r="BI208" i="24"/>
  <c r="BO203" i="24"/>
  <c r="BL198" i="24"/>
  <c r="BA229" i="24"/>
  <c r="AT225" i="24"/>
  <c r="BA220" i="24"/>
  <c r="AZ216" i="24"/>
  <c r="BA211" i="24"/>
  <c r="AX207" i="24"/>
  <c r="BE202" i="24"/>
  <c r="AW198" i="24"/>
  <c r="AO228" i="24"/>
  <c r="AO224" i="24"/>
  <c r="AQ220" i="24"/>
  <c r="AK217" i="24"/>
  <c r="AN213" i="24"/>
  <c r="AH210" i="24"/>
  <c r="AG206" i="24"/>
  <c r="AL202" i="24"/>
  <c r="AF199" i="24"/>
  <c r="T230" i="24"/>
  <c r="Z226" i="24"/>
  <c r="Y223" i="24"/>
  <c r="X220" i="24"/>
  <c r="W217" i="24"/>
  <c r="V214" i="24"/>
  <c r="AC210" i="24"/>
  <c r="AB207" i="24"/>
  <c r="AA204" i="24"/>
  <c r="Z201" i="24"/>
  <c r="Y198" i="24"/>
  <c r="AX229" i="24"/>
  <c r="AK228" i="24"/>
  <c r="AF217" i="24"/>
  <c r="AP205" i="24"/>
  <c r="Y229" i="24"/>
  <c r="V220" i="24"/>
  <c r="T214" i="24"/>
  <c r="Z207" i="24"/>
  <c r="X201" i="24"/>
  <c r="CU224" i="24"/>
  <c r="CR213" i="24"/>
  <c r="CR203" i="24"/>
  <c r="BV225" i="24"/>
  <c r="CF211" i="24"/>
  <c r="BV198" i="24"/>
  <c r="BK218" i="24"/>
  <c r="BQ207" i="24"/>
  <c r="BS197" i="24"/>
  <c r="CL225" i="24"/>
  <c r="CN214" i="24"/>
  <c r="CL204" i="24"/>
  <c r="BZ231" i="24"/>
  <c r="BZ225" i="24"/>
  <c r="BX218" i="24"/>
  <c r="BV212" i="24"/>
  <c r="CC204" i="24"/>
  <c r="CD198" i="24"/>
  <c r="BI229" i="24"/>
  <c r="BM223" i="24"/>
  <c r="BP218" i="24"/>
  <c r="BO213" i="24"/>
  <c r="BS207" i="24"/>
  <c r="BN203" i="24"/>
  <c r="BK198" i="24"/>
  <c r="AZ229" i="24"/>
  <c r="BE224" i="24"/>
  <c r="AZ220" i="24"/>
  <c r="AY216" i="24"/>
  <c r="AZ211" i="24"/>
  <c r="AW207" i="24"/>
  <c r="BD202" i="24"/>
  <c r="AV198" i="24"/>
  <c r="AL228" i="24"/>
  <c r="AN224" i="24"/>
  <c r="AP220" i="24"/>
  <c r="AG217" i="24"/>
  <c r="AM213" i="24"/>
  <c r="AG210" i="24"/>
  <c r="AQ205" i="24"/>
  <c r="AK202" i="24"/>
  <c r="AQ198" i="24"/>
  <c r="R230" i="24"/>
  <c r="Y226" i="24"/>
  <c r="X223" i="24"/>
  <c r="W220" i="24"/>
  <c r="V217" i="24"/>
  <c r="U214" i="24"/>
  <c r="AB210" i="24"/>
  <c r="AA207" i="24"/>
  <c r="Z204" i="24"/>
  <c r="Y201" i="24"/>
  <c r="X198" i="24"/>
  <c r="CJ225" i="24"/>
  <c r="CT213" i="24"/>
  <c r="CJ204" i="24"/>
  <c r="BY231" i="24"/>
  <c r="BY225" i="24"/>
  <c r="BV218" i="24"/>
  <c r="CG211" i="24"/>
  <c r="CB204" i="24"/>
  <c r="BW198" i="24"/>
  <c r="BH229" i="24"/>
  <c r="BL223" i="24"/>
  <c r="BL218" i="24"/>
  <c r="BI213" i="24"/>
  <c r="BR207" i="24"/>
  <c r="BK203" i="24"/>
  <c r="BJ198" i="24"/>
  <c r="BD224" i="24"/>
  <c r="AY220" i="24"/>
  <c r="AX216" i="24"/>
  <c r="AY211" i="24"/>
  <c r="AV207" i="24"/>
  <c r="AW202" i="24"/>
  <c r="AU198" i="24"/>
  <c r="AM224" i="24"/>
  <c r="AO220" i="24"/>
  <c r="AL213" i="24"/>
  <c r="AF210" i="24"/>
  <c r="AJ202" i="24"/>
  <c r="AP198" i="24"/>
  <c r="X226" i="24"/>
  <c r="W223" i="24"/>
  <c r="U217" i="24"/>
  <c r="AA210" i="24"/>
  <c r="Y204" i="24"/>
  <c r="W198" i="24"/>
  <c r="BX231" i="24"/>
  <c r="CG217" i="24"/>
  <c r="CA204" i="24"/>
  <c r="BS228" i="24"/>
  <c r="BI223" i="24"/>
  <c r="BH213" i="24"/>
  <c r="BJ203" i="24"/>
  <c r="CQ228" i="24"/>
  <c r="CJ219" i="24"/>
  <c r="CQ207" i="24"/>
  <c r="CL198" i="24"/>
  <c r="BV227" i="24"/>
  <c r="BX221" i="24"/>
  <c r="CF213" i="24"/>
  <c r="CG207" i="24"/>
  <c r="CB200" i="24"/>
  <c r="BS230" i="24"/>
  <c r="BS225" i="24"/>
  <c r="BP220" i="24"/>
  <c r="BO215" i="24"/>
  <c r="BO210" i="24"/>
  <c r="BI205" i="24"/>
  <c r="BJ200" i="24"/>
  <c r="AX231" i="24"/>
  <c r="AV227" i="24"/>
  <c r="BD222" i="24"/>
  <c r="BA217" i="24"/>
  <c r="AZ213" i="24"/>
  <c r="BA208" i="24"/>
  <c r="AZ204" i="24"/>
  <c r="AV200" i="24"/>
  <c r="AQ229" i="24"/>
  <c r="AH226" i="24"/>
  <c r="AK222" i="24"/>
  <c r="AQ218" i="24"/>
  <c r="AG215" i="24"/>
  <c r="AH211" i="24"/>
  <c r="AN207" i="24"/>
  <c r="AH204" i="24"/>
  <c r="AG200" i="24"/>
  <c r="AM196" i="24"/>
  <c r="T231" i="24"/>
  <c r="S228" i="24"/>
  <c r="R225" i="24"/>
  <c r="Y221" i="24"/>
  <c r="X218" i="24"/>
  <c r="W215" i="24"/>
  <c r="V212" i="24"/>
  <c r="U209" i="24"/>
  <c r="T206" i="24"/>
  <c r="AA202" i="24"/>
  <c r="Z199" i="24"/>
  <c r="Y196" i="24"/>
  <c r="CN228" i="24"/>
  <c r="CO218" i="24"/>
  <c r="CO207" i="24"/>
  <c r="CK198" i="24"/>
  <c r="CF226" i="24"/>
  <c r="BW221" i="24"/>
  <c r="CE213" i="24"/>
  <c r="CE207" i="24"/>
  <c r="BY200" i="24"/>
  <c r="BR230" i="24"/>
  <c r="BR225" i="24"/>
  <c r="BI220" i="24"/>
  <c r="BK215" i="24"/>
  <c r="BN210" i="24"/>
  <c r="BH205" i="24"/>
  <c r="BI200" i="24"/>
  <c r="AW231" i="24"/>
  <c r="BD226" i="24"/>
  <c r="BC222" i="24"/>
  <c r="AZ217" i="24"/>
  <c r="AX213" i="24"/>
  <c r="AZ208" i="24"/>
  <c r="AY204" i="24"/>
  <c r="AT200" i="24"/>
  <c r="AP229" i="24"/>
  <c r="AG226" i="24"/>
  <c r="AJ222" i="24"/>
  <c r="AP218" i="24"/>
  <c r="AP214" i="24"/>
  <c r="AG211" i="24"/>
  <c r="AM207" i="24"/>
  <c r="AG204" i="24"/>
  <c r="AF200" i="24"/>
  <c r="AL196" i="24"/>
  <c r="S231" i="24"/>
  <c r="R228" i="24"/>
  <c r="AC224" i="24"/>
  <c r="X221" i="24"/>
  <c r="W218" i="24"/>
  <c r="V215" i="24"/>
  <c r="U212" i="24"/>
  <c r="T209" i="24"/>
  <c r="S206" i="24"/>
  <c r="Z202" i="24"/>
  <c r="Y199" i="24"/>
  <c r="X196" i="24"/>
  <c r="CL228" i="24"/>
  <c r="CN218" i="24"/>
  <c r="CM207" i="24"/>
  <c r="CJ198" i="24"/>
  <c r="CQ220" i="24"/>
  <c r="CJ207" i="24"/>
  <c r="CG225" i="24"/>
  <c r="BY217" i="24"/>
  <c r="CC208" i="24"/>
  <c r="BX200" i="24"/>
  <c r="BS226" i="24"/>
  <c r="BQ221" i="24"/>
  <c r="BH215" i="24"/>
  <c r="BP208" i="24"/>
  <c r="BS201" i="24"/>
  <c r="BP196" i="24"/>
  <c r="AV228" i="24"/>
  <c r="AV223" i="24"/>
  <c r="AW217" i="24"/>
  <c r="BB212" i="24"/>
  <c r="BD206" i="24"/>
  <c r="AY201" i="24"/>
  <c r="BA196" i="24"/>
  <c r="AQ230" i="24"/>
  <c r="AF226" i="24"/>
  <c r="AN221" i="24"/>
  <c r="AQ216" i="24"/>
  <c r="AQ212" i="24"/>
  <c r="AK208" i="24"/>
  <c r="AJ204" i="24"/>
  <c r="AN199" i="24"/>
  <c r="Y228" i="24"/>
  <c r="S225" i="24"/>
  <c r="S221" i="24"/>
  <c r="X217" i="24"/>
  <c r="W213" i="24"/>
  <c r="AC209" i="24"/>
  <c r="W206" i="24"/>
  <c r="V202" i="24"/>
  <c r="AB198" i="24"/>
  <c r="CN220" i="24"/>
  <c r="CP206" i="24"/>
  <c r="CG224" i="24"/>
  <c r="CG216" i="24"/>
  <c r="CG199" i="24"/>
  <c r="BS220" i="24"/>
  <c r="BP207" i="24"/>
  <c r="BK196" i="24"/>
  <c r="BE227" i="24"/>
  <c r="AU217" i="24"/>
  <c r="BA206" i="24"/>
  <c r="AY196" i="24"/>
  <c r="AP225" i="24"/>
  <c r="AO212" i="24"/>
  <c r="AO203" i="24"/>
  <c r="W228" i="24"/>
  <c r="AC220" i="24"/>
  <c r="U213" i="24"/>
  <c r="U206" i="24"/>
  <c r="T202" i="24"/>
  <c r="CP219" i="24"/>
  <c r="CQ205" i="24"/>
  <c r="BW224" i="24"/>
  <c r="CG215" i="24"/>
  <c r="BZ208" i="24"/>
  <c r="CF199" i="24"/>
  <c r="BO226" i="24"/>
  <c r="BQ220" i="24"/>
  <c r="BN214" i="24"/>
  <c r="BO207" i="24"/>
  <c r="BN201" i="24"/>
  <c r="BD227" i="24"/>
  <c r="BE222" i="24"/>
  <c r="AT217" i="24"/>
  <c r="AW206" i="24"/>
  <c r="AU201" i="24"/>
  <c r="AO225" i="24"/>
  <c r="AN216" i="24"/>
  <c r="AF208" i="24"/>
  <c r="AJ199" i="24"/>
  <c r="V228" i="24"/>
  <c r="AB220" i="24"/>
  <c r="T213" i="24"/>
  <c r="Z209" i="24"/>
  <c r="S202" i="24"/>
  <c r="V198" i="24"/>
  <c r="CP220" i="24"/>
  <c r="CU206" i="24"/>
  <c r="CF225" i="24"/>
  <c r="BV217" i="24"/>
  <c r="CB208" i="24"/>
  <c r="BV200" i="24"/>
  <c r="BR226" i="24"/>
  <c r="BH221" i="24"/>
  <c r="BP214" i="24"/>
  <c r="BJ208" i="24"/>
  <c r="BQ201" i="24"/>
  <c r="BL196" i="24"/>
  <c r="AU228" i="24"/>
  <c r="AU223" i="24"/>
  <c r="AV217" i="24"/>
  <c r="BD211" i="24"/>
  <c r="BC206" i="24"/>
  <c r="AW201" i="24"/>
  <c r="AZ196" i="24"/>
  <c r="AM230" i="24"/>
  <c r="AQ225" i="24"/>
  <c r="AM221" i="24"/>
  <c r="AP216" i="24"/>
  <c r="AP212" i="24"/>
  <c r="AJ208" i="24"/>
  <c r="AI204" i="24"/>
  <c r="AM199" i="24"/>
  <c r="X228" i="24"/>
  <c r="AB224" i="24"/>
  <c r="R221" i="24"/>
  <c r="T217" i="24"/>
  <c r="V213" i="24"/>
  <c r="AB209" i="24"/>
  <c r="V206" i="24"/>
  <c r="U202" i="24"/>
  <c r="AA198" i="24"/>
  <c r="CA208" i="24"/>
  <c r="BP226" i="24"/>
  <c r="BO214" i="24"/>
  <c r="BO201" i="24"/>
  <c r="AT223" i="24"/>
  <c r="BC211" i="24"/>
  <c r="AV201" i="24"/>
  <c r="AL230" i="24"/>
  <c r="AL221" i="24"/>
  <c r="AO216" i="24"/>
  <c r="AG208" i="24"/>
  <c r="AK199" i="24"/>
  <c r="AC231" i="24"/>
  <c r="AA224" i="24"/>
  <c r="S217" i="24"/>
  <c r="AA209" i="24"/>
  <c r="Z198" i="24"/>
  <c r="BB211" i="24"/>
  <c r="AK230" i="24"/>
  <c r="AG221" i="24"/>
  <c r="AJ212" i="24"/>
  <c r="AJ203" i="24"/>
  <c r="AB231" i="24"/>
  <c r="Z224" i="24"/>
  <c r="R217" i="24"/>
  <c r="R206" i="24"/>
  <c r="CU226" i="24"/>
  <c r="CM213" i="24"/>
  <c r="CM199" i="24"/>
  <c r="CC229" i="24"/>
  <c r="BY221" i="24"/>
  <c r="BX213" i="24"/>
  <c r="CD203" i="24"/>
  <c r="BV196" i="24"/>
  <c r="BK230" i="24"/>
  <c r="BK224" i="24"/>
  <c r="BO217" i="24"/>
  <c r="BL211" i="24"/>
  <c r="BN205" i="24"/>
  <c r="BQ198" i="24"/>
  <c r="BE230" i="24"/>
  <c r="BB225" i="24"/>
  <c r="AU220" i="24"/>
  <c r="BA214" i="24"/>
  <c r="BB209" i="24"/>
  <c r="AW204" i="24"/>
  <c r="BA198" i="24"/>
  <c r="AH228" i="24"/>
  <c r="AM223" i="24"/>
  <c r="AJ219" i="24"/>
  <c r="AO214" i="24"/>
  <c r="AM210" i="24"/>
  <c r="AO205" i="24"/>
  <c r="AP201" i="24"/>
  <c r="AH197" i="24"/>
  <c r="X230" i="24"/>
  <c r="V226" i="24"/>
  <c r="AB222" i="24"/>
  <c r="V219" i="24"/>
  <c r="X215" i="24"/>
  <c r="AB211" i="24"/>
  <c r="AC207" i="24"/>
  <c r="T204" i="24"/>
  <c r="Z200" i="24"/>
  <c r="AB196" i="24"/>
  <c r="CS226" i="24"/>
  <c r="CL213" i="24"/>
  <c r="CJ199" i="24"/>
  <c r="CA229" i="24"/>
  <c r="CF220" i="24"/>
  <c r="CG212" i="24"/>
  <c r="CB203" i="24"/>
  <c r="BJ230" i="24"/>
  <c r="BJ224" i="24"/>
  <c r="BN217" i="24"/>
  <c r="BK211" i="24"/>
  <c r="BS204" i="24"/>
  <c r="BP198" i="24"/>
  <c r="BD230" i="24"/>
  <c r="BA225" i="24"/>
  <c r="BE219" i="24"/>
  <c r="AZ214" i="24"/>
  <c r="BA209" i="24"/>
  <c r="AV204" i="24"/>
  <c r="AZ198" i="24"/>
  <c r="AP227" i="24"/>
  <c r="AL223" i="24"/>
  <c r="AI219" i="24"/>
  <c r="AK214" i="24"/>
  <c r="AL210" i="24"/>
  <c r="AN205" i="24"/>
  <c r="AM201" i="24"/>
  <c r="AG197" i="24"/>
  <c r="W230" i="24"/>
  <c r="U226" i="24"/>
  <c r="AA222" i="24"/>
  <c r="AC218" i="24"/>
  <c r="U215" i="24"/>
  <c r="Z211" i="24"/>
  <c r="Y207" i="24"/>
  <c r="S204" i="24"/>
  <c r="U200" i="24"/>
  <c r="AA196" i="24"/>
  <c r="CO226" i="24"/>
  <c r="CQ212" i="24"/>
  <c r="CT198" i="24"/>
  <c r="CF228" i="24"/>
  <c r="CD220" i="24"/>
  <c r="BZ212" i="24"/>
  <c r="CA203" i="24"/>
  <c r="BH230" i="24"/>
  <c r="BI224" i="24"/>
  <c r="BM217" i="24"/>
  <c r="BI211" i="24"/>
  <c r="BO204" i="24"/>
  <c r="BO198" i="24"/>
  <c r="BC230" i="24"/>
  <c r="BC224" i="24"/>
  <c r="BD219" i="24"/>
  <c r="AY214" i="24"/>
  <c r="AV209" i="24"/>
  <c r="AU204" i="24"/>
  <c r="AY198" i="24"/>
  <c r="T89" i="24"/>
  <c r="R102" i="24"/>
  <c r="U115" i="24"/>
  <c r="S200" i="24"/>
  <c r="S214" i="24"/>
  <c r="AA227" i="24"/>
  <c r="AL92" i="24"/>
  <c r="AI107" i="24"/>
  <c r="AQ196" i="24"/>
  <c r="AO218" i="24"/>
  <c r="AP223" i="24"/>
  <c r="AZ89" i="24"/>
  <c r="BB108" i="24"/>
  <c r="AX203" i="24"/>
  <c r="BB223" i="24"/>
  <c r="BR91" i="24"/>
  <c r="BO115" i="24"/>
  <c r="BQ215" i="24"/>
  <c r="CF96" i="24"/>
  <c r="BV199" i="24"/>
  <c r="CG229" i="24"/>
  <c r="CR267" i="24"/>
  <c r="CJ265" i="24"/>
  <c r="CN262" i="24"/>
  <c r="CR259" i="24"/>
  <c r="CJ257" i="24"/>
  <c r="CN254" i="24"/>
  <c r="CR251" i="24"/>
  <c r="CJ249" i="24"/>
  <c r="CN246" i="24"/>
  <c r="CR243" i="24"/>
  <c r="CJ241" i="24"/>
  <c r="CN238" i="24"/>
  <c r="CR235" i="24"/>
  <c r="CE268" i="24"/>
  <c r="BW266" i="24"/>
  <c r="CA263" i="24"/>
  <c r="CE260" i="24"/>
  <c r="BW258" i="24"/>
  <c r="CA255" i="24"/>
  <c r="CE252" i="24"/>
  <c r="BW250" i="24"/>
  <c r="CA247" i="24"/>
  <c r="CE244" i="24"/>
  <c r="BW242" i="24"/>
  <c r="CA239" i="24"/>
  <c r="CE236" i="24"/>
  <c r="BW234" i="24"/>
  <c r="CU268" i="24"/>
  <c r="CM266" i="24"/>
  <c r="CQ263" i="24"/>
  <c r="CU260" i="24"/>
  <c r="CM258" i="24"/>
  <c r="CQ255" i="24"/>
  <c r="CU252" i="24"/>
  <c r="CM250" i="24"/>
  <c r="CQ247" i="24"/>
  <c r="CU244" i="24"/>
  <c r="CM242" i="24"/>
  <c r="CQ239" i="24"/>
  <c r="CU236" i="24"/>
  <c r="CM234" i="24"/>
  <c r="BZ267" i="24"/>
  <c r="CD264" i="24"/>
  <c r="BV262" i="24"/>
  <c r="BZ259" i="24"/>
  <c r="CD256" i="24"/>
  <c r="BV254" i="24"/>
  <c r="BZ251" i="24"/>
  <c r="CD248" i="24"/>
  <c r="BV246" i="24"/>
  <c r="BZ243" i="24"/>
  <c r="CD240" i="24"/>
  <c r="BV238" i="24"/>
  <c r="BZ235" i="24"/>
  <c r="CN267" i="24"/>
  <c r="CP264" i="24"/>
  <c r="CR261" i="24"/>
  <c r="CT258" i="24"/>
  <c r="CJ256" i="24"/>
  <c r="CL253" i="24"/>
  <c r="CN250" i="24"/>
  <c r="CO247" i="24"/>
  <c r="CQ244" i="24"/>
  <c r="CS241" i="24"/>
  <c r="CU238" i="24"/>
  <c r="CK236" i="24"/>
  <c r="BY269" i="24"/>
  <c r="CA266" i="24"/>
  <c r="CC263" i="24"/>
  <c r="CD260" i="24"/>
  <c r="CF257" i="24"/>
  <c r="BV255" i="24"/>
  <c r="BX252" i="24"/>
  <c r="BZ249" i="24"/>
  <c r="CB246" i="24"/>
  <c r="CD243" i="24"/>
  <c r="CF240" i="24"/>
  <c r="CG237" i="24"/>
  <c r="BW235" i="24"/>
  <c r="CR268" i="24"/>
  <c r="CT265" i="24"/>
  <c r="CJ263" i="24"/>
  <c r="CL260" i="24"/>
  <c r="CN257" i="24"/>
  <c r="CP254" i="24"/>
  <c r="CQ251" i="24"/>
  <c r="CS248" i="24"/>
  <c r="CU245" i="24"/>
  <c r="CK243" i="24"/>
  <c r="CM240" i="24"/>
  <c r="CO237" i="24"/>
  <c r="CQ234" i="24"/>
  <c r="CE267" i="24"/>
  <c r="CG264" i="24"/>
  <c r="BW262" i="24"/>
  <c r="BX259" i="24"/>
  <c r="BZ256" i="24"/>
  <c r="CB253" i="24"/>
  <c r="CD250" i="24"/>
  <c r="CF247" i="24"/>
  <c r="BV245" i="24"/>
  <c r="BX242" i="24"/>
  <c r="BY239" i="24"/>
  <c r="CA236" i="24"/>
  <c r="CJ267" i="24"/>
  <c r="CJ264" i="24"/>
  <c r="CJ261" i="24"/>
  <c r="CU257" i="24"/>
  <c r="CU254" i="24"/>
  <c r="CU251" i="24"/>
  <c r="CT248" i="24"/>
  <c r="CS245" i="24"/>
  <c r="CS242" i="24"/>
  <c r="CS239" i="24"/>
  <c r="CR236" i="24"/>
  <c r="BX267" i="24"/>
  <c r="BX264" i="24"/>
  <c r="BX261" i="24"/>
  <c r="BX258" i="24"/>
  <c r="BW255" i="24"/>
  <c r="BV252" i="24"/>
  <c r="BV249" i="24"/>
  <c r="CG245" i="24"/>
  <c r="CG242" i="24"/>
  <c r="CG239" i="24"/>
  <c r="CG236" i="24"/>
  <c r="BJ268" i="24"/>
  <c r="BN265" i="24"/>
  <c r="BR262" i="24"/>
  <c r="BJ260" i="24"/>
  <c r="BN257" i="24"/>
  <c r="BR254" i="24"/>
  <c r="BJ252" i="24"/>
  <c r="BN249" i="24"/>
  <c r="BR246" i="24"/>
  <c r="BJ244" i="24"/>
  <c r="BN241" i="24"/>
  <c r="BR238" i="24"/>
  <c r="BJ236" i="24"/>
  <c r="BC268" i="24"/>
  <c r="AU266" i="24"/>
  <c r="AY263" i="24"/>
  <c r="BC260" i="24"/>
  <c r="AU258" i="24"/>
  <c r="AY255" i="24"/>
  <c r="BC252" i="24"/>
  <c r="AU250" i="24"/>
  <c r="AY247" i="24"/>
  <c r="BC244" i="24"/>
  <c r="AU242" i="24"/>
  <c r="AY239" i="24"/>
  <c r="BC236" i="24"/>
  <c r="AU234" i="24"/>
  <c r="CO268" i="24"/>
  <c r="CO265" i="24"/>
  <c r="CO262" i="24"/>
  <c r="CN259" i="24"/>
  <c r="CN256" i="24"/>
  <c r="CN253" i="24"/>
  <c r="CL250" i="24"/>
  <c r="CL247" i="24"/>
  <c r="CL244" i="24"/>
  <c r="CL241" i="24"/>
  <c r="CK238" i="24"/>
  <c r="CK235" i="24"/>
  <c r="CC268" i="24"/>
  <c r="CC265" i="24"/>
  <c r="CC262" i="24"/>
  <c r="CC259" i="24"/>
  <c r="CB256" i="24"/>
  <c r="CA253" i="24"/>
  <c r="CA250" i="24"/>
  <c r="BZ247" i="24"/>
  <c r="BZ244" i="24"/>
  <c r="BZ241" i="24"/>
  <c r="BZ238" i="24"/>
  <c r="BY235" i="24"/>
  <c r="BM269" i="24"/>
  <c r="BQ266" i="24"/>
  <c r="BI264" i="24"/>
  <c r="BM261" i="24"/>
  <c r="BQ258" i="24"/>
  <c r="BI256" i="24"/>
  <c r="BM253" i="24"/>
  <c r="BQ250" i="24"/>
  <c r="BI248" i="24"/>
  <c r="BM245" i="24"/>
  <c r="BQ242" i="24"/>
  <c r="BI240" i="24"/>
  <c r="BM237" i="24"/>
  <c r="BQ234" i="24"/>
  <c r="AX267" i="24"/>
  <c r="BB264" i="24"/>
  <c r="AT262" i="24"/>
  <c r="AX259" i="24"/>
  <c r="BB256" i="24"/>
  <c r="AT254" i="24"/>
  <c r="AX251" i="24"/>
  <c r="BB248" i="24"/>
  <c r="AT246" i="24"/>
  <c r="AX243" i="24"/>
  <c r="BB240" i="24"/>
  <c r="AT238" i="24"/>
  <c r="AX235" i="24"/>
  <c r="CT269" i="24"/>
  <c r="CR266" i="24"/>
  <c r="CO263" i="24"/>
  <c r="CM260" i="24"/>
  <c r="CU256" i="24"/>
  <c r="CS253" i="24"/>
  <c r="CQ250" i="24"/>
  <c r="CM247" i="24"/>
  <c r="CJ244" i="24"/>
  <c r="CS240" i="24"/>
  <c r="CQ237" i="24"/>
  <c r="CN234" i="24"/>
  <c r="CD268" i="24"/>
  <c r="CA265" i="24"/>
  <c r="BY262" i="24"/>
  <c r="CG258" i="24"/>
  <c r="CE255" i="24"/>
  <c r="CB252" i="24"/>
  <c r="BY249" i="24"/>
  <c r="BW246" i="24"/>
  <c r="CE242" i="24"/>
  <c r="CC239" i="24"/>
  <c r="BY236" i="24"/>
  <c r="BQ269" i="24"/>
  <c r="BS266" i="24"/>
  <c r="BH264" i="24"/>
  <c r="BJ261" i="24"/>
  <c r="BL258" i="24"/>
  <c r="BN255" i="24"/>
  <c r="BP252" i="24"/>
  <c r="BR249" i="24"/>
  <c r="BH247" i="24"/>
  <c r="BI244" i="24"/>
  <c r="BK241" i="24"/>
  <c r="BM238" i="24"/>
  <c r="BO235" i="24"/>
  <c r="CS269" i="24"/>
  <c r="CQ266" i="24"/>
  <c r="CN263" i="24"/>
  <c r="CK260" i="24"/>
  <c r="CT256" i="24"/>
  <c r="CR253" i="24"/>
  <c r="CP250" i="24"/>
  <c r="CK247" i="24"/>
  <c r="CU243" i="24"/>
  <c r="CR240" i="24"/>
  <c r="CP237" i="24"/>
  <c r="CL234" i="24"/>
  <c r="CB268" i="24"/>
  <c r="BZ265" i="24"/>
  <c r="BX262" i="24"/>
  <c r="CF258" i="24"/>
  <c r="CD255" i="24"/>
  <c r="CA252" i="24"/>
  <c r="BX249" i="24"/>
  <c r="CF245" i="24"/>
  <c r="CD242" i="24"/>
  <c r="CB239" i="24"/>
  <c r="BX236" i="24"/>
  <c r="BP269" i="24"/>
  <c r="BR266" i="24"/>
  <c r="BS263" i="24"/>
  <c r="BI261" i="24"/>
  <c r="CR269" i="24"/>
  <c r="CN266" i="24"/>
  <c r="CT262" i="24"/>
  <c r="CO259" i="24"/>
  <c r="CU255" i="24"/>
  <c r="CP252" i="24"/>
  <c r="CL249" i="24"/>
  <c r="CQ245" i="24"/>
  <c r="CL242" i="24"/>
  <c r="CS238" i="24"/>
  <c r="CN235" i="24"/>
  <c r="CB267" i="24"/>
  <c r="BV264" i="24"/>
  <c r="CB260" i="24"/>
  <c r="BX257" i="24"/>
  <c r="CE253" i="24"/>
  <c r="BY250" i="24"/>
  <c r="CF246" i="24"/>
  <c r="CA243" i="24"/>
  <c r="BV240" i="24"/>
  <c r="CB236" i="24"/>
  <c r="BL269" i="24"/>
  <c r="BL266" i="24"/>
  <c r="BL263" i="24"/>
  <c r="BL260" i="24"/>
  <c r="BL257" i="24"/>
  <c r="BM254" i="24"/>
  <c r="BN251" i="24"/>
  <c r="BO248" i="24"/>
  <c r="BP245" i="24"/>
  <c r="BP242" i="24"/>
  <c r="BQ239" i="24"/>
  <c r="BR236" i="24"/>
  <c r="CJ268" i="24"/>
  <c r="CQ264" i="24"/>
  <c r="CL261" i="24"/>
  <c r="CR257" i="24"/>
  <c r="CL254" i="24"/>
  <c r="CT250" i="24"/>
  <c r="CN247" i="24"/>
  <c r="CS243" i="24"/>
  <c r="CN240" i="24"/>
  <c r="CT236" i="24"/>
  <c r="BX269" i="24"/>
  <c r="CE265" i="24"/>
  <c r="BZ262" i="24"/>
  <c r="CD258" i="24"/>
  <c r="BY255" i="24"/>
  <c r="CE251" i="24"/>
  <c r="BZ248" i="24"/>
  <c r="CG244" i="24"/>
  <c r="CB241" i="24"/>
  <c r="BW238" i="24"/>
  <c r="CC234" i="24"/>
  <c r="BR267" i="24"/>
  <c r="BR264" i="24"/>
  <c r="BR261" i="24"/>
  <c r="BR258" i="24"/>
  <c r="BR255" i="24"/>
  <c r="BS252" i="24"/>
  <c r="BH250" i="24"/>
  <c r="BI247" i="24"/>
  <c r="BH244" i="24"/>
  <c r="BI241" i="24"/>
  <c r="BJ238" i="24"/>
  <c r="BK235" i="24"/>
  <c r="AX269" i="24"/>
  <c r="AZ266" i="24"/>
  <c r="BB263" i="24"/>
  <c r="BD260" i="24"/>
  <c r="BE257" i="24"/>
  <c r="AU255" i="24"/>
  <c r="AW252" i="24"/>
  <c r="AY249" i="24"/>
  <c r="BA246" i="24"/>
  <c r="BC243" i="24"/>
  <c r="BE240" i="24"/>
  <c r="AU238" i="24"/>
  <c r="AV235" i="24"/>
  <c r="AM268" i="24"/>
  <c r="AQ265" i="24"/>
  <c r="AI263" i="24"/>
  <c r="AM260" i="24"/>
  <c r="AQ257" i="24"/>
  <c r="AI255" i="24"/>
  <c r="AM252" i="24"/>
  <c r="AQ249" i="24"/>
  <c r="AI247" i="24"/>
  <c r="AM244" i="24"/>
  <c r="AQ241" i="24"/>
  <c r="AI239" i="24"/>
  <c r="AM236" i="24"/>
  <c r="CQ269" i="24"/>
  <c r="CJ266" i="24"/>
  <c r="CM262" i="24"/>
  <c r="CR258" i="24"/>
  <c r="CK255" i="24"/>
  <c r="CN251" i="24"/>
  <c r="CT247" i="24"/>
  <c r="CK244" i="24"/>
  <c r="CL240" i="24"/>
  <c r="CP236" i="24"/>
  <c r="CF266" i="24"/>
  <c r="BX263" i="24"/>
  <c r="CD259" i="24"/>
  <c r="CG255" i="24"/>
  <c r="BW252" i="24"/>
  <c r="CA248" i="24"/>
  <c r="CD244" i="24"/>
  <c r="BW241" i="24"/>
  <c r="CA237" i="24"/>
  <c r="BL267" i="24"/>
  <c r="BJ264" i="24"/>
  <c r="BQ260" i="24"/>
  <c r="BP257" i="24"/>
  <c r="BN254" i="24"/>
  <c r="BL251" i="24"/>
  <c r="BK248" i="24"/>
  <c r="BI245" i="24"/>
  <c r="BH242" i="24"/>
  <c r="BS238" i="24"/>
  <c r="BQ235" i="24"/>
  <c r="AW267" i="24"/>
  <c r="AX264" i="24"/>
  <c r="AY261" i="24"/>
  <c r="AZ258" i="24"/>
  <c r="CP269" i="24"/>
  <c r="CU265" i="24"/>
  <c r="CL262" i="24"/>
  <c r="CQ258" i="24"/>
  <c r="CJ255" i="24"/>
  <c r="CM251" i="24"/>
  <c r="CS247" i="24"/>
  <c r="CT243" i="24"/>
  <c r="CK240" i="24"/>
  <c r="CO236" i="24"/>
  <c r="CE266" i="24"/>
  <c r="BW263" i="24"/>
  <c r="CB259" i="24"/>
  <c r="CF255" i="24"/>
  <c r="CG251" i="24"/>
  <c r="BY248" i="24"/>
  <c r="CC244" i="24"/>
  <c r="BV241" i="24"/>
  <c r="BZ237" i="24"/>
  <c r="BK267" i="24"/>
  <c r="BR263" i="24"/>
  <c r="BP260" i="24"/>
  <c r="BO257" i="24"/>
  <c r="BL254" i="24"/>
  <c r="BK251" i="24"/>
  <c r="BJ248" i="24"/>
  <c r="BH245" i="24"/>
  <c r="BS241" i="24"/>
  <c r="BQ238" i="24"/>
  <c r="BP235" i="24"/>
  <c r="CO269" i="24"/>
  <c r="CS265" i="24"/>
  <c r="CK262" i="24"/>
  <c r="CP258" i="24"/>
  <c r="CT254" i="24"/>
  <c r="CL251" i="24"/>
  <c r="CR247" i="24"/>
  <c r="CQ243" i="24"/>
  <c r="CJ240" i="24"/>
  <c r="CN236" i="24"/>
  <c r="CD266" i="24"/>
  <c r="BV263" i="24"/>
  <c r="CA259" i="24"/>
  <c r="CC255" i="24"/>
  <c r="CF251" i="24"/>
  <c r="BX248" i="24"/>
  <c r="CB244" i="24"/>
  <c r="CG240" i="24"/>
  <c r="BY237" i="24"/>
  <c r="BJ267" i="24"/>
  <c r="BQ263" i="24"/>
  <c r="BO260" i="24"/>
  <c r="BM257" i="24"/>
  <c r="BK254" i="24"/>
  <c r="BJ251" i="24"/>
  <c r="BH248" i="24"/>
  <c r="BS244" i="24"/>
  <c r="BR241" i="24"/>
  <c r="BP238" i="24"/>
  <c r="BN235" i="24"/>
  <c r="CN269" i="24"/>
  <c r="CN265" i="24"/>
  <c r="CO261" i="24"/>
  <c r="CO257" i="24"/>
  <c r="CM253" i="24"/>
  <c r="CN249" i="24"/>
  <c r="CM245" i="24"/>
  <c r="CN241" i="24"/>
  <c r="CL237" i="24"/>
  <c r="BZ266" i="24"/>
  <c r="CA262" i="24"/>
  <c r="BY258" i="24"/>
  <c r="BY254" i="24"/>
  <c r="BX250" i="24"/>
  <c r="BY246" i="24"/>
  <c r="BV242" i="24"/>
  <c r="BX238" i="24"/>
  <c r="BX234" i="24"/>
  <c r="BK268" i="24"/>
  <c r="BP264" i="24"/>
  <c r="BH261" i="24"/>
  <c r="BK257" i="24"/>
  <c r="BS253" i="24"/>
  <c r="BN250" i="24"/>
  <c r="BJ247" i="24"/>
  <c r="BO243" i="24"/>
  <c r="BK240" i="24"/>
  <c r="BQ236" i="24"/>
  <c r="BB267" i="24"/>
  <c r="BA264" i="24"/>
  <c r="BA261" i="24"/>
  <c r="BA258" i="24"/>
  <c r="BA255" i="24"/>
  <c r="BA252" i="24"/>
  <c r="BB249" i="24"/>
  <c r="BC246" i="24"/>
  <c r="BD243" i="24"/>
  <c r="BD240" i="24"/>
  <c r="BD237" i="24"/>
  <c r="BE234" i="24"/>
  <c r="AN268" i="24"/>
  <c r="AP265" i="24"/>
  <c r="AG263" i="24"/>
  <c r="AJ260" i="24"/>
  <c r="AM257" i="24"/>
  <c r="AP254" i="24"/>
  <c r="AG252" i="24"/>
  <c r="AJ249" i="24"/>
  <c r="AM246" i="24"/>
  <c r="AP243" i="24"/>
  <c r="AG241" i="24"/>
  <c r="AJ238" i="24"/>
  <c r="AM235" i="24"/>
  <c r="CM269" i="24"/>
  <c r="CM265" i="24"/>
  <c r="CN261" i="24"/>
  <c r="CM257" i="24"/>
  <c r="CK253" i="24"/>
  <c r="CM249" i="24"/>
  <c r="CL245" i="24"/>
  <c r="CM241" i="24"/>
  <c r="CK237" i="24"/>
  <c r="BY266" i="24"/>
  <c r="CG261" i="24"/>
  <c r="BV258" i="24"/>
  <c r="BX254" i="24"/>
  <c r="BV250" i="24"/>
  <c r="BX246" i="24"/>
  <c r="CG241" i="24"/>
  <c r="CF237" i="24"/>
  <c r="BV234" i="24"/>
  <c r="BI268" i="24"/>
  <c r="BO264" i="24"/>
  <c r="BS260" i="24"/>
  <c r="BJ257" i="24"/>
  <c r="BR253" i="24"/>
  <c r="BM250" i="24"/>
  <c r="BS246" i="24"/>
  <c r="BN243" i="24"/>
  <c r="BJ240" i="24"/>
  <c r="BP236" i="24"/>
  <c r="BA267" i="24"/>
  <c r="AZ264" i="24"/>
  <c r="AZ261" i="24"/>
  <c r="AY258" i="24"/>
  <c r="AZ255" i="24"/>
  <c r="AZ252" i="24"/>
  <c r="BA249" i="24"/>
  <c r="BB246" i="24"/>
  <c r="BB243" i="24"/>
  <c r="BC240" i="24"/>
  <c r="BC237" i="24"/>
  <c r="BD234" i="24"/>
  <c r="AL268" i="24"/>
  <c r="AO265" i="24"/>
  <c r="AF263" i="24"/>
  <c r="AI260" i="24"/>
  <c r="AL257" i="24"/>
  <c r="AO254" i="24"/>
  <c r="AF252" i="24"/>
  <c r="AI249" i="24"/>
  <c r="AL246" i="24"/>
  <c r="AO243" i="24"/>
  <c r="AF241" i="24"/>
  <c r="AI238" i="24"/>
  <c r="AL235" i="24"/>
  <c r="CL269" i="24"/>
  <c r="CL265" i="24"/>
  <c r="CM261" i="24"/>
  <c r="CL257" i="24"/>
  <c r="CJ253" i="24"/>
  <c r="CK249" i="24"/>
  <c r="CK245" i="24"/>
  <c r="CK241" i="24"/>
  <c r="CJ237" i="24"/>
  <c r="BX266" i="24"/>
  <c r="CF261" i="24"/>
  <c r="CG257" i="24"/>
  <c r="BW254" i="24"/>
  <c r="CG249" i="24"/>
  <c r="CE245" i="24"/>
  <c r="CF241" i="24"/>
  <c r="CE237" i="24"/>
  <c r="BH268" i="24"/>
  <c r="BN264" i="24"/>
  <c r="BR260" i="24"/>
  <c r="BI257" i="24"/>
  <c r="BQ253" i="24"/>
  <c r="BL250" i="24"/>
  <c r="BQ246" i="24"/>
  <c r="BM243" i="24"/>
  <c r="BH240" i="24"/>
  <c r="BO236" i="24"/>
  <c r="AZ267" i="24"/>
  <c r="AY264" i="24"/>
  <c r="AX261" i="24"/>
  <c r="AX258" i="24"/>
  <c r="AX255" i="24"/>
  <c r="AY252" i="24"/>
  <c r="AZ249" i="24"/>
  <c r="AZ246" i="24"/>
  <c r="BA243" i="24"/>
  <c r="BA240" i="24"/>
  <c r="BB237" i="24"/>
  <c r="BC234" i="24"/>
  <c r="AK268" i="24"/>
  <c r="AN265" i="24"/>
  <c r="AQ262" i="24"/>
  <c r="AH260" i="24"/>
  <c r="AK257" i="24"/>
  <c r="AN254" i="24"/>
  <c r="AQ251" i="24"/>
  <c r="AH249" i="24"/>
  <c r="AK246" i="24"/>
  <c r="AN243" i="24"/>
  <c r="AQ240" i="24"/>
  <c r="AH238" i="24"/>
  <c r="AK235" i="24"/>
  <c r="CK269" i="24"/>
  <c r="CS264" i="24"/>
  <c r="CO260" i="24"/>
  <c r="CT255" i="24"/>
  <c r="CP251" i="24"/>
  <c r="CS246" i="24"/>
  <c r="CP242" i="24"/>
  <c r="CL238" i="24"/>
  <c r="CA267" i="24"/>
  <c r="CF262" i="24"/>
  <c r="BZ258" i="24"/>
  <c r="CD253" i="24"/>
  <c r="CA249" i="24"/>
  <c r="CF244" i="24"/>
  <c r="BY240" i="24"/>
  <c r="CE235" i="24"/>
  <c r="BL268" i="24"/>
  <c r="BK264" i="24"/>
  <c r="BS259" i="24"/>
  <c r="BL256" i="24"/>
  <c r="BN252" i="24"/>
  <c r="BR248" i="24"/>
  <c r="BR244" i="24"/>
  <c r="BH241" i="24"/>
  <c r="BL237" i="24"/>
  <c r="BD269" i="24"/>
  <c r="BA266" i="24"/>
  <c r="AV263" i="24"/>
  <c r="BE259" i="24"/>
  <c r="BA256" i="24"/>
  <c r="AY253" i="24"/>
  <c r="AW250" i="24"/>
  <c r="AT247" i="24"/>
  <c r="AZ243" i="24"/>
  <c r="AW240" i="24"/>
  <c r="AU237" i="24"/>
  <c r="AF269" i="24"/>
  <c r="AF266" i="24"/>
  <c r="AN262" i="24"/>
  <c r="AN259" i="24"/>
  <c r="AN256" i="24"/>
  <c r="AN253" i="24"/>
  <c r="AN250" i="24"/>
  <c r="AN247" i="24"/>
  <c r="AN244" i="24"/>
  <c r="AM241" i="24"/>
  <c r="AM238" i="24"/>
  <c r="AJ235" i="24"/>
  <c r="U269" i="24"/>
  <c r="Y266" i="24"/>
  <c r="AC263" i="24"/>
  <c r="U261" i="24"/>
  <c r="Y258" i="24"/>
  <c r="AC255" i="24"/>
  <c r="U253" i="24"/>
  <c r="Y250" i="24"/>
  <c r="AC247" i="24"/>
  <c r="U245" i="24"/>
  <c r="Y242" i="24"/>
  <c r="AC239" i="24"/>
  <c r="U237" i="24"/>
  <c r="Y234" i="24"/>
  <c r="CS268" i="24"/>
  <c r="BV267" i="24"/>
  <c r="CC257" i="24"/>
  <c r="BX244" i="24"/>
  <c r="CB235" i="24"/>
  <c r="BN263" i="24"/>
  <c r="BH256" i="24"/>
  <c r="BO244" i="24"/>
  <c r="AX256" i="24"/>
  <c r="AV243" i="24"/>
  <c r="AO268" i="24"/>
  <c r="AK265" i="24"/>
  <c r="AK262" i="24"/>
  <c r="AK253" i="24"/>
  <c r="AK250" i="24"/>
  <c r="AJ241" i="24"/>
  <c r="AG235" i="24"/>
  <c r="Z263" i="24"/>
  <c r="Z255" i="24"/>
  <c r="Z247" i="24"/>
  <c r="Z239" i="24"/>
  <c r="CG266" i="24"/>
  <c r="BW244" i="24"/>
  <c r="BM263" i="24"/>
  <c r="BO259" i="24"/>
  <c r="BS255" i="24"/>
  <c r="BI252" i="24"/>
  <c r="BN244" i="24"/>
  <c r="BP240" i="24"/>
  <c r="BH237" i="24"/>
  <c r="BD262" i="24"/>
  <c r="BA259" i="24"/>
  <c r="AU253" i="24"/>
  <c r="AX246" i="24"/>
  <c r="BE239" i="24"/>
  <c r="CJ269" i="24"/>
  <c r="CR264" i="24"/>
  <c r="CN260" i="24"/>
  <c r="CS255" i="24"/>
  <c r="CO251" i="24"/>
  <c r="CR246" i="24"/>
  <c r="CO242" i="24"/>
  <c r="CJ238" i="24"/>
  <c r="BY267" i="24"/>
  <c r="CE262" i="24"/>
  <c r="CE257" i="24"/>
  <c r="CC253" i="24"/>
  <c r="BW249" i="24"/>
  <c r="CA244" i="24"/>
  <c r="BX240" i="24"/>
  <c r="CD235" i="24"/>
  <c r="BS267" i="24"/>
  <c r="BP263" i="24"/>
  <c r="BR259" i="24"/>
  <c r="BK256" i="24"/>
  <c r="BM252" i="24"/>
  <c r="BQ248" i="24"/>
  <c r="BQ244" i="24"/>
  <c r="BS240" i="24"/>
  <c r="BK237" i="24"/>
  <c r="BC269" i="24"/>
  <c r="AY266" i="24"/>
  <c r="AU263" i="24"/>
  <c r="BD259" i="24"/>
  <c r="AZ256" i="24"/>
  <c r="AX253" i="24"/>
  <c r="AV250" i="24"/>
  <c r="BE246" i="24"/>
  <c r="AY243" i="24"/>
  <c r="AV240" i="24"/>
  <c r="AT237" i="24"/>
  <c r="AQ268" i="24"/>
  <c r="AM265" i="24"/>
  <c r="AM262" i="24"/>
  <c r="AM259" i="24"/>
  <c r="AM256" i="24"/>
  <c r="AM253" i="24"/>
  <c r="AM250" i="24"/>
  <c r="AM247" i="24"/>
  <c r="AL244" i="24"/>
  <c r="AL241" i="24"/>
  <c r="AL238" i="24"/>
  <c r="AI235" i="24"/>
  <c r="T269" i="24"/>
  <c r="X266" i="24"/>
  <c r="AB263" i="24"/>
  <c r="T261" i="24"/>
  <c r="X258" i="24"/>
  <c r="AB255" i="24"/>
  <c r="T253" i="24"/>
  <c r="X250" i="24"/>
  <c r="AB247" i="24"/>
  <c r="T245" i="24"/>
  <c r="X242" i="24"/>
  <c r="AB239" i="24"/>
  <c r="T237" i="24"/>
  <c r="X234" i="24"/>
  <c r="CU259" i="24"/>
  <c r="CK242" i="24"/>
  <c r="CB262" i="24"/>
  <c r="BY253" i="24"/>
  <c r="CF239" i="24"/>
  <c r="BP259" i="24"/>
  <c r="BN248" i="24"/>
  <c r="BQ240" i="24"/>
  <c r="BA269" i="24"/>
  <c r="BE262" i="24"/>
  <c r="AV253" i="24"/>
  <c r="AY246" i="24"/>
  <c r="BD236" i="24"/>
  <c r="AK259" i="24"/>
  <c r="AJ244" i="24"/>
  <c r="R269" i="24"/>
  <c r="R261" i="24"/>
  <c r="R253" i="24"/>
  <c r="R245" i="24"/>
  <c r="R237" i="24"/>
  <c r="CM264" i="24"/>
  <c r="BX253" i="24"/>
  <c r="BM248" i="24"/>
  <c r="AV266" i="24"/>
  <c r="AW256" i="24"/>
  <c r="AU243" i="24"/>
  <c r="BB236" i="24"/>
  <c r="CT268" i="24"/>
  <c r="CO264" i="24"/>
  <c r="CJ260" i="24"/>
  <c r="CR255" i="24"/>
  <c r="CK251" i="24"/>
  <c r="CQ246" i="24"/>
  <c r="CN242" i="24"/>
  <c r="CU237" i="24"/>
  <c r="BW267" i="24"/>
  <c r="CD262" i="24"/>
  <c r="CD257" i="24"/>
  <c r="BZ253" i="24"/>
  <c r="CG248" i="24"/>
  <c r="BY244" i="24"/>
  <c r="BW240" i="24"/>
  <c r="CC235" i="24"/>
  <c r="BQ267" i="24"/>
  <c r="BO263" i="24"/>
  <c r="BQ259" i="24"/>
  <c r="BJ256" i="24"/>
  <c r="BL252" i="24"/>
  <c r="BP248" i="24"/>
  <c r="BP244" i="24"/>
  <c r="BR240" i="24"/>
  <c r="BJ237" i="24"/>
  <c r="BB269" i="24"/>
  <c r="AX266" i="24"/>
  <c r="AT263" i="24"/>
  <c r="BC259" i="24"/>
  <c r="AY256" i="24"/>
  <c r="AW253" i="24"/>
  <c r="AT250" i="24"/>
  <c r="BD246" i="24"/>
  <c r="AW243" i="24"/>
  <c r="AU240" i="24"/>
  <c r="BE236" i="24"/>
  <c r="AP268" i="24"/>
  <c r="AL265" i="24"/>
  <c r="AL262" i="24"/>
  <c r="AL259" i="24"/>
  <c r="AL256" i="24"/>
  <c r="AL253" i="24"/>
  <c r="AL250" i="24"/>
  <c r="AL247" i="24"/>
  <c r="AK244" i="24"/>
  <c r="AK241" i="24"/>
  <c r="AK238" i="24"/>
  <c r="AH235" i="24"/>
  <c r="S269" i="24"/>
  <c r="W266" i="24"/>
  <c r="AA263" i="24"/>
  <c r="S261" i="24"/>
  <c r="W258" i="24"/>
  <c r="AA255" i="24"/>
  <c r="S253" i="24"/>
  <c r="W250" i="24"/>
  <c r="AA247" i="24"/>
  <c r="S245" i="24"/>
  <c r="W242" i="24"/>
  <c r="AA239" i="24"/>
  <c r="S237" i="24"/>
  <c r="W234" i="24"/>
  <c r="CN264" i="24"/>
  <c r="CP255" i="24"/>
  <c r="CJ251" i="24"/>
  <c r="CP246" i="24"/>
  <c r="CT237" i="24"/>
  <c r="CF248" i="24"/>
  <c r="BP267" i="24"/>
  <c r="BK252" i="24"/>
  <c r="BI237" i="24"/>
  <c r="AW266" i="24"/>
  <c r="BB259" i="24"/>
  <c r="BE249" i="24"/>
  <c r="AT240" i="24"/>
  <c r="AK256" i="24"/>
  <c r="AK247" i="24"/>
  <c r="AG238" i="24"/>
  <c r="V266" i="24"/>
  <c r="V258" i="24"/>
  <c r="V250" i="24"/>
  <c r="V242" i="24"/>
  <c r="V234" i="24"/>
  <c r="CQ268" i="24"/>
  <c r="CT259" i="24"/>
  <c r="CO255" i="24"/>
  <c r="CU250" i="24"/>
  <c r="CO246" i="24"/>
  <c r="CJ242" i="24"/>
  <c r="CS237" i="24"/>
  <c r="CE261" i="24"/>
  <c r="CB257" i="24"/>
  <c r="CE248" i="24"/>
  <c r="CE239" i="24"/>
  <c r="CA235" i="24"/>
  <c r="BO267" i="24"/>
  <c r="AZ269" i="24"/>
  <c r="BD249" i="24"/>
  <c r="CP268" i="24"/>
  <c r="CR263" i="24"/>
  <c r="CN258" i="24"/>
  <c r="CT252" i="24"/>
  <c r="CK248" i="24"/>
  <c r="CR242" i="24"/>
  <c r="CS236" i="24"/>
  <c r="BV266" i="24"/>
  <c r="BV261" i="24"/>
  <c r="BW256" i="24"/>
  <c r="CF250" i="24"/>
  <c r="CA245" i="24"/>
  <c r="CD239" i="24"/>
  <c r="CD234" i="24"/>
  <c r="BO268" i="24"/>
  <c r="BI263" i="24"/>
  <c r="BS258" i="24"/>
  <c r="BO254" i="24"/>
  <c r="BQ249" i="24"/>
  <c r="BO245" i="24"/>
  <c r="BO240" i="24"/>
  <c r="BI236" i="24"/>
  <c r="BD266" i="24"/>
  <c r="BA262" i="24"/>
  <c r="BD258" i="24"/>
  <c r="BC254" i="24"/>
  <c r="AU251" i="24"/>
  <c r="AZ247" i="24"/>
  <c r="AT243" i="24"/>
  <c r="AX239" i="24"/>
  <c r="BC235" i="24"/>
  <c r="AM269" i="24"/>
  <c r="AI266" i="24"/>
  <c r="AI262" i="24"/>
  <c r="AQ258" i="24"/>
  <c r="AM255" i="24"/>
  <c r="AH252" i="24"/>
  <c r="AM248" i="24"/>
  <c r="AI245" i="24"/>
  <c r="AP241" i="24"/>
  <c r="CN268" i="24"/>
  <c r="CP263" i="24"/>
  <c r="CL258" i="24"/>
  <c r="CS252" i="24"/>
  <c r="CJ248" i="24"/>
  <c r="CQ242" i="24"/>
  <c r="CQ236" i="24"/>
  <c r="CG265" i="24"/>
  <c r="CG260" i="24"/>
  <c r="BV256" i="24"/>
  <c r="CE250" i="24"/>
  <c r="BZ245" i="24"/>
  <c r="BZ239" i="24"/>
  <c r="CB234" i="24"/>
  <c r="BN268" i="24"/>
  <c r="BH263" i="24"/>
  <c r="BP258" i="24"/>
  <c r="BJ254" i="24"/>
  <c r="BP249" i="24"/>
  <c r="BN245" i="24"/>
  <c r="BN240" i="24"/>
  <c r="BH236" i="24"/>
  <c r="BC266" i="24"/>
  <c r="AZ262" i="24"/>
  <c r="BC258" i="24"/>
  <c r="BB254" i="24"/>
  <c r="AT251" i="24"/>
  <c r="AX247" i="24"/>
  <c r="BE242" i="24"/>
  <c r="AW239" i="24"/>
  <c r="BB235" i="24"/>
  <c r="CK266" i="24"/>
  <c r="CQ260" i="24"/>
  <c r="CS254" i="24"/>
  <c r="CR249" i="24"/>
  <c r="CP244" i="24"/>
  <c r="CL239" i="24"/>
  <c r="CK234" i="24"/>
  <c r="CA268" i="24"/>
  <c r="CD263" i="24"/>
  <c r="CA257" i="24"/>
  <c r="CC252" i="24"/>
  <c r="BX247" i="24"/>
  <c r="BY242" i="24"/>
  <c r="CD236" i="24"/>
  <c r="BS269" i="24"/>
  <c r="BM265" i="24"/>
  <c r="BN260" i="24"/>
  <c r="BQ255" i="24"/>
  <c r="BO251" i="24"/>
  <c r="BP246" i="24"/>
  <c r="BN242" i="24"/>
  <c r="BH238" i="24"/>
  <c r="AW268" i="24"/>
  <c r="AV264" i="24"/>
  <c r="AX260" i="24"/>
  <c r="AV256" i="24"/>
  <c r="AV252" i="24"/>
  <c r="AZ248" i="24"/>
  <c r="BE244" i="24"/>
  <c r="AW241" i="24"/>
  <c r="AW237" i="24"/>
  <c r="CM268" i="24"/>
  <c r="CU262" i="24"/>
  <c r="CK257" i="24"/>
  <c r="CS251" i="24"/>
  <c r="CO245" i="24"/>
  <c r="CO239" i="24"/>
  <c r="CJ234" i="24"/>
  <c r="BY265" i="24"/>
  <c r="BW260" i="24"/>
  <c r="CA254" i="24"/>
  <c r="CG247" i="24"/>
  <c r="CB242" i="24"/>
  <c r="CC236" i="24"/>
  <c r="BL265" i="24"/>
  <c r="BH260" i="24"/>
  <c r="BI255" i="24"/>
  <c r="BI250" i="24"/>
  <c r="BK245" i="24"/>
  <c r="BP239" i="24"/>
  <c r="BS234" i="24"/>
  <c r="AT266" i="24"/>
  <c r="AU262" i="24"/>
  <c r="BA257" i="24"/>
  <c r="BB253" i="24"/>
  <c r="AT249" i="24"/>
  <c r="AU245" i="24"/>
  <c r="AU241" i="24"/>
  <c r="AX236" i="24"/>
  <c r="AP269" i="24"/>
  <c r="AK266" i="24"/>
  <c r="AJ262" i="24"/>
  <c r="AP258" i="24"/>
  <c r="AK255" i="24"/>
  <c r="AN251" i="24"/>
  <c r="AI248" i="24"/>
  <c r="AP244" i="24"/>
  <c r="AO240" i="24"/>
  <c r="AK237" i="24"/>
  <c r="AG234" i="24"/>
  <c r="CL268" i="24"/>
  <c r="CS262" i="24"/>
  <c r="CS256" i="24"/>
  <c r="CS250" i="24"/>
  <c r="CN245" i="24"/>
  <c r="CN239" i="24"/>
  <c r="BX265" i="24"/>
  <c r="BV260" i="24"/>
  <c r="BZ254" i="24"/>
  <c r="CE247" i="24"/>
  <c r="CA242" i="24"/>
  <c r="BZ236" i="24"/>
  <c r="BK265" i="24"/>
  <c r="BN259" i="24"/>
  <c r="BH255" i="24"/>
  <c r="BS249" i="24"/>
  <c r="BJ245" i="24"/>
  <c r="BO239" i="24"/>
  <c r="BR234" i="24"/>
  <c r="BE265" i="24"/>
  <c r="BE261" i="24"/>
  <c r="AZ257" i="24"/>
  <c r="BA253" i="24"/>
  <c r="BE248" i="24"/>
  <c r="AT245" i="24"/>
  <c r="AT241" i="24"/>
  <c r="AW236" i="24"/>
  <c r="AO269" i="24"/>
  <c r="AJ266" i="24"/>
  <c r="AH262" i="24"/>
  <c r="AO258" i="24"/>
  <c r="AJ255" i="24"/>
  <c r="AM251" i="24"/>
  <c r="AH248" i="24"/>
  <c r="AO244" i="24"/>
  <c r="AN240" i="24"/>
  <c r="AJ237" i="24"/>
  <c r="AF234" i="24"/>
  <c r="CP265" i="24"/>
  <c r="CL259" i="24"/>
  <c r="CQ253" i="24"/>
  <c r="CU247" i="24"/>
  <c r="CQ241" i="24"/>
  <c r="CQ235" i="24"/>
  <c r="BX268" i="24"/>
  <c r="CC261" i="24"/>
  <c r="CA256" i="24"/>
  <c r="CC250" i="24"/>
  <c r="BV244" i="24"/>
  <c r="CD238" i="24"/>
  <c r="BO266" i="24"/>
  <c r="BI262" i="24"/>
  <c r="BR256" i="24"/>
  <c r="BR251" i="24"/>
  <c r="BO246" i="24"/>
  <c r="BJ242" i="24"/>
  <c r="BS236" i="24"/>
  <c r="AV268" i="24"/>
  <c r="BD263" i="24"/>
  <c r="AW259" i="24"/>
  <c r="BE254" i="24"/>
  <c r="BD250" i="24"/>
  <c r="AV246" i="24"/>
  <c r="AW242" i="24"/>
  <c r="AX238" i="24"/>
  <c r="AT234" i="24"/>
  <c r="AK267" i="24"/>
  <c r="AF264" i="24"/>
  <c r="AL260" i="24"/>
  <c r="AP256" i="24"/>
  <c r="AG253" i="24"/>
  <c r="AM249" i="24"/>
  <c r="AQ245" i="24"/>
  <c r="AL242" i="24"/>
  <c r="AF239" i="24"/>
  <c r="AN235" i="24"/>
  <c r="W268" i="24"/>
  <c r="W265" i="24"/>
  <c r="W262" i="24"/>
  <c r="W259" i="24"/>
  <c r="W256" i="24"/>
  <c r="W253" i="24"/>
  <c r="S250" i="24"/>
  <c r="S247" i="24"/>
  <c r="S244" i="24"/>
  <c r="S241" i="24"/>
  <c r="S238" i="24"/>
  <c r="S235" i="24"/>
  <c r="CK268" i="24"/>
  <c r="CJ262" i="24"/>
  <c r="CK256" i="24"/>
  <c r="CO249" i="24"/>
  <c r="CJ243" i="24"/>
  <c r="CU235" i="24"/>
  <c r="CF265" i="24"/>
  <c r="CG259" i="24"/>
  <c r="BV253" i="24"/>
  <c r="CG246" i="24"/>
  <c r="CB240" i="24"/>
  <c r="BO269" i="24"/>
  <c r="BM264" i="24"/>
  <c r="BM258" i="24"/>
  <c r="BI253" i="24"/>
  <c r="BN247" i="24"/>
  <c r="BK242" i="24"/>
  <c r="BL236" i="24"/>
  <c r="AV269" i="24"/>
  <c r="BE264" i="24"/>
  <c r="AU260" i="24"/>
  <c r="AT255" i="24"/>
  <c r="BA250" i="24"/>
  <c r="BA245" i="24"/>
  <c r="AY241" i="24"/>
  <c r="AV236" i="24"/>
  <c r="AG266" i="24"/>
  <c r="AO261" i="24"/>
  <c r="AG258" i="24"/>
  <c r="AG254" i="24"/>
  <c r="AG250" i="24"/>
  <c r="AG246" i="24"/>
  <c r="AJ242" i="24"/>
  <c r="AF238" i="24"/>
  <c r="AK234" i="24"/>
  <c r="AB269" i="24"/>
  <c r="AA266" i="24"/>
  <c r="V263" i="24"/>
  <c r="U260" i="24"/>
  <c r="T257" i="24"/>
  <c r="S254" i="24"/>
  <c r="R251" i="24"/>
  <c r="Y247" i="24"/>
  <c r="X244" i="24"/>
  <c r="W241" i="24"/>
  <c r="V238" i="24"/>
  <c r="U235" i="24"/>
  <c r="BK263" i="24"/>
  <c r="AN269" i="24"/>
  <c r="AQ253" i="24"/>
  <c r="AH242" i="24"/>
  <c r="Z269" i="24"/>
  <c r="T263" i="24"/>
  <c r="R257" i="24"/>
  <c r="AB250" i="24"/>
  <c r="V244" i="24"/>
  <c r="T238" i="24"/>
  <c r="CS267" i="24"/>
  <c r="CL255" i="24"/>
  <c r="CQ248" i="24"/>
  <c r="CU241" i="24"/>
  <c r="BW265" i="24"/>
  <c r="CD252" i="24"/>
  <c r="BX239" i="24"/>
  <c r="BJ269" i="24"/>
  <c r="BI258" i="24"/>
  <c r="BK247" i="24"/>
  <c r="BR235" i="24"/>
  <c r="CU267" i="24"/>
  <c r="CU261" i="24"/>
  <c r="CN255" i="24"/>
  <c r="CU248" i="24"/>
  <c r="CU242" i="24"/>
  <c r="CT235" i="24"/>
  <c r="CD265" i="24"/>
  <c r="CF259" i="24"/>
  <c r="CG252" i="24"/>
  <c r="CE246" i="24"/>
  <c r="CA240" i="24"/>
  <c r="BN269" i="24"/>
  <c r="BL264" i="24"/>
  <c r="BK258" i="24"/>
  <c r="BH253" i="24"/>
  <c r="BM247" i="24"/>
  <c r="BI242" i="24"/>
  <c r="BK236" i="24"/>
  <c r="AU269" i="24"/>
  <c r="BD264" i="24"/>
  <c r="AT260" i="24"/>
  <c r="BD254" i="24"/>
  <c r="AZ250" i="24"/>
  <c r="AZ245" i="24"/>
  <c r="AX241" i="24"/>
  <c r="AU236" i="24"/>
  <c r="AQ269" i="24"/>
  <c r="AJ265" i="24"/>
  <c r="AN261" i="24"/>
  <c r="AF258" i="24"/>
  <c r="AF254" i="24"/>
  <c r="AF250" i="24"/>
  <c r="AF246" i="24"/>
  <c r="AI242" i="24"/>
  <c r="AQ237" i="24"/>
  <c r="AJ234" i="24"/>
  <c r="AA269" i="24"/>
  <c r="Z266" i="24"/>
  <c r="U263" i="24"/>
  <c r="T260" i="24"/>
  <c r="S257" i="24"/>
  <c r="R254" i="24"/>
  <c r="AC250" i="24"/>
  <c r="X247" i="24"/>
  <c r="W244" i="24"/>
  <c r="V241" i="24"/>
  <c r="U238" i="24"/>
  <c r="T235" i="24"/>
  <c r="CT267" i="24"/>
  <c r="CT261" i="24"/>
  <c r="CM255" i="24"/>
  <c r="CR248" i="24"/>
  <c r="CT242" i="24"/>
  <c r="CS235" i="24"/>
  <c r="CB265" i="24"/>
  <c r="CE259" i="24"/>
  <c r="CF252" i="24"/>
  <c r="CD246" i="24"/>
  <c r="BZ240" i="24"/>
  <c r="BK269" i="24"/>
  <c r="BJ258" i="24"/>
  <c r="BR252" i="24"/>
  <c r="BL247" i="24"/>
  <c r="BQ241" i="24"/>
  <c r="BS235" i="24"/>
  <c r="AT269" i="24"/>
  <c r="BC264" i="24"/>
  <c r="AZ259" i="24"/>
  <c r="BA254" i="24"/>
  <c r="AY250" i="24"/>
  <c r="AY245" i="24"/>
  <c r="AV241" i="24"/>
  <c r="AT236" i="24"/>
  <c r="AI265" i="24"/>
  <c r="AM261" i="24"/>
  <c r="AP257" i="24"/>
  <c r="AP249" i="24"/>
  <c r="AP245" i="24"/>
  <c r="AP237" i="24"/>
  <c r="AI234" i="24"/>
  <c r="U266" i="24"/>
  <c r="S260" i="24"/>
  <c r="AC253" i="24"/>
  <c r="W247" i="24"/>
  <c r="U241" i="24"/>
  <c r="R235" i="24"/>
  <c r="CS261" i="24"/>
  <c r="CP235" i="24"/>
  <c r="BY259" i="24"/>
  <c r="CC246" i="24"/>
  <c r="BJ263" i="24"/>
  <c r="BQ252" i="24"/>
  <c r="BP241" i="24"/>
  <c r="BE268" i="24"/>
  <c r="CT264" i="24"/>
  <c r="CK258" i="24"/>
  <c r="CK252" i="24"/>
  <c r="CJ245" i="24"/>
  <c r="CT238" i="24"/>
  <c r="CG268" i="24"/>
  <c r="CD261" i="24"/>
  <c r="CB255" i="24"/>
  <c r="CC249" i="24"/>
  <c r="BV243" i="24"/>
  <c r="BW236" i="24"/>
  <c r="BI266" i="24"/>
  <c r="BK261" i="24"/>
  <c r="BJ255" i="24"/>
  <c r="BL249" i="24"/>
  <c r="BQ243" i="24"/>
  <c r="BN238" i="24"/>
  <c r="BB266" i="24"/>
  <c r="BB261" i="24"/>
  <c r="AT257" i="24"/>
  <c r="BE251" i="24"/>
  <c r="BC247" i="24"/>
  <c r="BA242" i="24"/>
  <c r="AY238" i="24"/>
  <c r="AJ267" i="24"/>
  <c r="AN263" i="24"/>
  <c r="AJ259" i="24"/>
  <c r="AN255" i="24"/>
  <c r="AK251" i="24"/>
  <c r="AO247" i="24"/>
  <c r="AK243" i="24"/>
  <c r="AO239" i="24"/>
  <c r="AG236" i="24"/>
  <c r="AA267" i="24"/>
  <c r="Z264" i="24"/>
  <c r="Y261" i="24"/>
  <c r="T258" i="24"/>
  <c r="S255" i="24"/>
  <c r="R252" i="24"/>
  <c r="AC248" i="24"/>
  <c r="AB245" i="24"/>
  <c r="AA242" i="24"/>
  <c r="V239" i="24"/>
  <c r="U236" i="24"/>
  <c r="CL264" i="24"/>
  <c r="CJ258" i="24"/>
  <c r="CJ252" i="24"/>
  <c r="CT244" i="24"/>
  <c r="CR238" i="24"/>
  <c r="CF268" i="24"/>
  <c r="CB261" i="24"/>
  <c r="BZ255" i="24"/>
  <c r="CB249" i="24"/>
  <c r="CF242" i="24"/>
  <c r="BV236" i="24"/>
  <c r="BH266" i="24"/>
  <c r="BM260" i="24"/>
  <c r="BS254" i="24"/>
  <c r="BK249" i="24"/>
  <c r="BP243" i="24"/>
  <c r="BL238" i="24"/>
  <c r="BD265" i="24"/>
  <c r="AW261" i="24"/>
  <c r="BE256" i="24"/>
  <c r="BD251" i="24"/>
  <c r="BB247" i="24"/>
  <c r="AZ242" i="24"/>
  <c r="AW238" i="24"/>
  <c r="AI267" i="24"/>
  <c r="AM263" i="24"/>
  <c r="AI259" i="24"/>
  <c r="AL255" i="24"/>
  <c r="AJ251" i="24"/>
  <c r="AJ247" i="24"/>
  <c r="AJ243" i="24"/>
  <c r="AN239" i="24"/>
  <c r="AF236" i="24"/>
  <c r="Z267" i="24"/>
  <c r="Y264" i="24"/>
  <c r="X261" i="24"/>
  <c r="S258" i="24"/>
  <c r="R255" i="24"/>
  <c r="AC251" i="24"/>
  <c r="AB248" i="24"/>
  <c r="AA245" i="24"/>
  <c r="Z242" i="24"/>
  <c r="U239" i="24"/>
  <c r="T236" i="24"/>
  <c r="CK264" i="24"/>
  <c r="CT257" i="24"/>
  <c r="CT251" i="24"/>
  <c r="CS244" i="24"/>
  <c r="CQ238" i="24"/>
  <c r="CQ267" i="24"/>
  <c r="CS259" i="24"/>
  <c r="CM252" i="24"/>
  <c r="CO243" i="24"/>
  <c r="CJ235" i="24"/>
  <c r="CG267" i="24"/>
  <c r="BW259" i="24"/>
  <c r="BY251" i="24"/>
  <c r="CB243" i="24"/>
  <c r="BX235" i="24"/>
  <c r="BP262" i="24"/>
  <c r="BO256" i="24"/>
  <c r="BO249" i="24"/>
  <c r="BH243" i="24"/>
  <c r="BM235" i="24"/>
  <c r="AW269" i="24"/>
  <c r="BA263" i="24"/>
  <c r="BC257" i="24"/>
  <c r="AU252" i="24"/>
  <c r="AU247" i="24"/>
  <c r="BA241" i="24"/>
  <c r="AZ235" i="24"/>
  <c r="AP264" i="24"/>
  <c r="AO260" i="24"/>
  <c r="AQ255" i="24"/>
  <c r="AG251" i="24"/>
  <c r="AJ246" i="24"/>
  <c r="AO241" i="24"/>
  <c r="AF237" i="24"/>
  <c r="AC267" i="24"/>
  <c r="U264" i="24"/>
  <c r="W260" i="24"/>
  <c r="Z256" i="24"/>
  <c r="AA252" i="24"/>
  <c r="U249" i="24"/>
  <c r="Y245" i="24"/>
  <c r="AA241" i="24"/>
  <c r="AC237" i="24"/>
  <c r="S234" i="24"/>
  <c r="CO267" i="24"/>
  <c r="CP259" i="24"/>
  <c r="CR250" i="24"/>
  <c r="CM243" i="24"/>
  <c r="CT234" i="24"/>
  <c r="CE258" i="24"/>
  <c r="BW251" i="24"/>
  <c r="BX243" i="24"/>
  <c r="CG234" i="24"/>
  <c r="BM256" i="24"/>
  <c r="BJ235" i="24"/>
  <c r="BB268" i="24"/>
  <c r="AY257" i="24"/>
  <c r="BC251" i="24"/>
  <c r="AZ240" i="24"/>
  <c r="AK269" i="24"/>
  <c r="AK260" i="24"/>
  <c r="AQ250" i="24"/>
  <c r="AI241" i="24"/>
  <c r="Y267" i="24"/>
  <c r="S264" i="24"/>
  <c r="X256" i="24"/>
  <c r="Y252" i="24"/>
  <c r="W245" i="24"/>
  <c r="AA237" i="24"/>
  <c r="CM267" i="24"/>
  <c r="CM259" i="24"/>
  <c r="CO250" i="24"/>
  <c r="CL243" i="24"/>
  <c r="CS234" i="24"/>
  <c r="CC267" i="24"/>
  <c r="CC258" i="24"/>
  <c r="BV251" i="24"/>
  <c r="BW243" i="24"/>
  <c r="CF234" i="24"/>
  <c r="BR269" i="24"/>
  <c r="BM262" i="24"/>
  <c r="BP255" i="24"/>
  <c r="BI249" i="24"/>
  <c r="BO242" i="24"/>
  <c r="BA268" i="24"/>
  <c r="AW263" i="24"/>
  <c r="BB251" i="24"/>
  <c r="BE245" i="24"/>
  <c r="AY240" i="24"/>
  <c r="AM264" i="24"/>
  <c r="AH255" i="24"/>
  <c r="AO245" i="24"/>
  <c r="AO236" i="24"/>
  <c r="X267" i="24"/>
  <c r="R264" i="24"/>
  <c r="AC259" i="24"/>
  <c r="X252" i="24"/>
  <c r="R249" i="24"/>
  <c r="X241" i="24"/>
  <c r="Z237" i="24"/>
  <c r="CP267" i="24"/>
  <c r="CQ259" i="24"/>
  <c r="CL252" i="24"/>
  <c r="CN243" i="24"/>
  <c r="CU234" i="24"/>
  <c r="CF267" i="24"/>
  <c r="BV259" i="24"/>
  <c r="BX251" i="24"/>
  <c r="BY243" i="24"/>
  <c r="BV235" i="24"/>
  <c r="BO262" i="24"/>
  <c r="BN256" i="24"/>
  <c r="BM249" i="24"/>
  <c r="BS242" i="24"/>
  <c r="BL235" i="24"/>
  <c r="BD268" i="24"/>
  <c r="AZ263" i="24"/>
  <c r="BB257" i="24"/>
  <c r="AT252" i="24"/>
  <c r="AW246" i="24"/>
  <c r="AZ241" i="24"/>
  <c r="AY235" i="24"/>
  <c r="AL269" i="24"/>
  <c r="AO264" i="24"/>
  <c r="AN260" i="24"/>
  <c r="AP255" i="24"/>
  <c r="AF251" i="24"/>
  <c r="AI246" i="24"/>
  <c r="AN241" i="24"/>
  <c r="AQ236" i="24"/>
  <c r="AB267" i="24"/>
  <c r="T264" i="24"/>
  <c r="V260" i="24"/>
  <c r="Y256" i="24"/>
  <c r="Z252" i="24"/>
  <c r="T249" i="24"/>
  <c r="X245" i="24"/>
  <c r="Z241" i="24"/>
  <c r="AB237" i="24"/>
  <c r="R234" i="24"/>
  <c r="CD267" i="24"/>
  <c r="BN262" i="24"/>
  <c r="BJ249" i="24"/>
  <c r="BR242" i="24"/>
  <c r="AX263" i="24"/>
  <c r="AU246" i="24"/>
  <c r="AW235" i="24"/>
  <c r="AN264" i="24"/>
  <c r="AO255" i="24"/>
  <c r="AH246" i="24"/>
  <c r="AP236" i="24"/>
  <c r="R260" i="24"/>
  <c r="S249" i="24"/>
  <c r="Y241" i="24"/>
  <c r="BI235" i="24"/>
  <c r="AX257" i="24"/>
  <c r="AU235" i="24"/>
  <c r="AJ269" i="24"/>
  <c r="AG260" i="24"/>
  <c r="AP250" i="24"/>
  <c r="AH241" i="24"/>
  <c r="V256" i="24"/>
  <c r="V245" i="24"/>
  <c r="CT263" i="24"/>
  <c r="CL256" i="24"/>
  <c r="CJ247" i="24"/>
  <c r="CM239" i="24"/>
  <c r="CE263" i="24"/>
  <c r="CG254" i="24"/>
  <c r="BY247" i="24"/>
  <c r="CF238" i="24"/>
  <c r="BM266" i="24"/>
  <c r="BL259" i="24"/>
  <c r="BJ253" i="24"/>
  <c r="BI246" i="24"/>
  <c r="BK239" i="24"/>
  <c r="BC265" i="24"/>
  <c r="BA260" i="24"/>
  <c r="AZ254" i="24"/>
  <c r="AU249" i="24"/>
  <c r="AV244" i="24"/>
  <c r="BA238" i="24"/>
  <c r="AL267" i="24"/>
  <c r="AP262" i="24"/>
  <c r="AH258" i="24"/>
  <c r="AH253" i="24"/>
  <c r="AN248" i="24"/>
  <c r="AQ243" i="24"/>
  <c r="AK239" i="24"/>
  <c r="AN234" i="24"/>
  <c r="Y269" i="24"/>
  <c r="AA265" i="24"/>
  <c r="T262" i="24"/>
  <c r="Z258" i="24"/>
  <c r="Z254" i="24"/>
  <c r="T251" i="24"/>
  <c r="R247" i="24"/>
  <c r="X243" i="24"/>
  <c r="R240" i="24"/>
  <c r="R236" i="24"/>
  <c r="CS263" i="24"/>
  <c r="CR254" i="24"/>
  <c r="CU246" i="24"/>
  <c r="CK239" i="24"/>
  <c r="CG269" i="24"/>
  <c r="CB263" i="24"/>
  <c r="CF254" i="24"/>
  <c r="BW247" i="24"/>
  <c r="CE238" i="24"/>
  <c r="BK266" i="24"/>
  <c r="BK259" i="24"/>
  <c r="BO252" i="24"/>
  <c r="BH246" i="24"/>
  <c r="BJ239" i="24"/>
  <c r="BB265" i="24"/>
  <c r="AZ260" i="24"/>
  <c r="AY254" i="24"/>
  <c r="BD248" i="24"/>
  <c r="AU244" i="24"/>
  <c r="AZ238" i="24"/>
  <c r="AH267" i="24"/>
  <c r="AO262" i="24"/>
  <c r="AO257" i="24"/>
  <c r="AF253" i="24"/>
  <c r="AL248" i="24"/>
  <c r="AM243" i="24"/>
  <c r="AJ239" i="24"/>
  <c r="AM234" i="24"/>
  <c r="X269" i="24"/>
  <c r="Z265" i="24"/>
  <c r="S262" i="24"/>
  <c r="U258" i="24"/>
  <c r="Y254" i="24"/>
  <c r="S251" i="24"/>
  <c r="AC246" i="24"/>
  <c r="W243" i="24"/>
  <c r="Y239" i="24"/>
  <c r="AC235" i="24"/>
  <c r="CM263" i="24"/>
  <c r="CQ254" i="24"/>
  <c r="CT246" i="24"/>
  <c r="CJ239" i="24"/>
  <c r="CF269" i="24"/>
  <c r="BZ263" i="24"/>
  <c r="CE254" i="24"/>
  <c r="BV247" i="24"/>
  <c r="CC238" i="24"/>
  <c r="BJ266" i="24"/>
  <c r="BJ259" i="24"/>
  <c r="BH252" i="24"/>
  <c r="BS245" i="24"/>
  <c r="BI239" i="24"/>
  <c r="BA265" i="24"/>
  <c r="AY260" i="24"/>
  <c r="AX254" i="24"/>
  <c r="BC248" i="24"/>
  <c r="AT244" i="24"/>
  <c r="AV238" i="24"/>
  <c r="S85" i="24"/>
  <c r="Z93" i="24"/>
  <c r="X106" i="24"/>
  <c r="T145" i="24"/>
  <c r="X209" i="24"/>
  <c r="T223" i="24"/>
  <c r="Z234" i="24"/>
  <c r="V248" i="24"/>
  <c r="AB266" i="24"/>
  <c r="AO82" i="24"/>
  <c r="AK97" i="24"/>
  <c r="AP124" i="24"/>
  <c r="AM202" i="24"/>
  <c r="AK213" i="24"/>
  <c r="AQ223" i="24"/>
  <c r="AI237" i="24"/>
  <c r="AK254" i="24"/>
  <c r="AM266" i="24"/>
  <c r="BA89" i="24"/>
  <c r="AY102" i="24"/>
  <c r="AV115" i="24"/>
  <c r="BC203" i="24"/>
  <c r="BD216" i="24"/>
  <c r="AT231" i="24"/>
  <c r="AW247" i="24"/>
  <c r="BE253" i="24"/>
  <c r="AX268" i="24"/>
  <c r="BS91" i="24"/>
  <c r="BO108" i="24"/>
  <c r="BR199" i="24"/>
  <c r="BR215" i="24"/>
  <c r="BM242" i="24"/>
  <c r="BH251" i="24"/>
  <c r="BQ268" i="24"/>
  <c r="CD84" i="24"/>
  <c r="BW97" i="24"/>
  <c r="BW199" i="24"/>
  <c r="BY209" i="24"/>
  <c r="CA220" i="24"/>
  <c r="BX230" i="24"/>
  <c r="BZ242" i="24"/>
  <c r="BZ252" i="24"/>
  <c r="CS85" i="24"/>
  <c r="CL104" i="24"/>
  <c r="CM216" i="24"/>
  <c r="CR234" i="24"/>
  <c r="CR245" i="24"/>
  <c r="CS266" i="24"/>
  <c r="AA93" i="24"/>
  <c r="T111" i="24"/>
  <c r="T148" i="24"/>
  <c r="AA200" i="24"/>
  <c r="Y209" i="24"/>
  <c r="U223" i="24"/>
  <c r="S239" i="24"/>
  <c r="AC252" i="24"/>
  <c r="AC266" i="24"/>
  <c r="AN92" i="24"/>
  <c r="AN202" i="24"/>
  <c r="AQ260" i="24"/>
  <c r="AX210" i="24"/>
  <c r="BH216" i="24"/>
  <c r="AB10" i="24"/>
  <c r="AA85" i="24"/>
  <c r="AC89" i="24"/>
  <c r="R94" i="24"/>
  <c r="Y98" i="24"/>
  <c r="R103" i="24"/>
  <c r="T107" i="24"/>
  <c r="W111" i="24"/>
  <c r="Z115" i="24"/>
  <c r="Y148" i="24"/>
  <c r="U196" i="24"/>
  <c r="R201" i="24"/>
  <c r="U205" i="24"/>
  <c r="T210" i="24"/>
  <c r="AB214" i="24"/>
  <c r="X219" i="24"/>
  <c r="AB223" i="24"/>
  <c r="Z228" i="24"/>
  <c r="V235" i="24"/>
  <c r="X239" i="24"/>
  <c r="R244" i="24"/>
  <c r="Z248" i="24"/>
  <c r="Y253" i="24"/>
  <c r="AB257" i="24"/>
  <c r="Y262" i="24"/>
  <c r="T267" i="24"/>
  <c r="AL83" i="24"/>
  <c r="AM88" i="24"/>
  <c r="AL93" i="24"/>
  <c r="AQ97" i="24"/>
  <c r="AP102" i="24"/>
  <c r="AN107" i="24"/>
  <c r="AK113" i="24"/>
  <c r="AN134" i="24"/>
  <c r="AL197" i="24"/>
  <c r="AF203" i="24"/>
  <c r="AN208" i="24"/>
  <c r="AF214" i="24"/>
  <c r="AL219" i="24"/>
  <c r="AP224" i="24"/>
  <c r="AF231" i="24"/>
  <c r="AO237" i="24"/>
  <c r="AL243" i="24"/>
  <c r="AK249" i="24"/>
  <c r="AF255" i="24"/>
  <c r="AH261" i="24"/>
  <c r="AQ266" i="24"/>
  <c r="AU84" i="24"/>
  <c r="AT90" i="24"/>
  <c r="BB96" i="24"/>
  <c r="BC102" i="24"/>
  <c r="AV109" i="24"/>
  <c r="BA115" i="24"/>
  <c r="AV197" i="24"/>
  <c r="BA204" i="24"/>
  <c r="BE210" i="24"/>
  <c r="AX218" i="24"/>
  <c r="AY224" i="24"/>
  <c r="BE231" i="24"/>
  <c r="BD239" i="24"/>
  <c r="AT248" i="24"/>
  <c r="AV255" i="24"/>
  <c r="AV262" i="24"/>
  <c r="BE269" i="24"/>
  <c r="BQ85" i="24"/>
  <c r="BI94" i="24"/>
  <c r="BS100" i="24"/>
  <c r="BS108" i="24"/>
  <c r="BK116" i="24"/>
  <c r="BR200" i="24"/>
  <c r="BR208" i="24"/>
  <c r="BK216" i="24"/>
  <c r="BJ225" i="24"/>
  <c r="BN234" i="24"/>
  <c r="BL243" i="24"/>
  <c r="BQ251" i="24"/>
  <c r="BO261" i="24"/>
  <c r="BI269" i="24"/>
  <c r="CA88" i="24"/>
  <c r="BX100" i="24"/>
  <c r="CE111" i="24"/>
  <c r="CE199" i="24"/>
  <c r="BV210" i="24"/>
  <c r="CB221" i="24"/>
  <c r="CE230" i="24"/>
  <c r="CF243" i="24"/>
  <c r="CB254" i="24"/>
  <c r="BZ264" i="24"/>
  <c r="CQ90" i="24"/>
  <c r="CP106" i="24"/>
  <c r="CL200" i="24"/>
  <c r="CT217" i="24"/>
  <c r="CJ236" i="24"/>
  <c r="CL246" i="24"/>
  <c r="CP257" i="24"/>
  <c r="CL267" i="24"/>
  <c r="CJ326" i="24"/>
  <c r="AN336" i="24"/>
  <c r="BJ332" i="24"/>
  <c r="BM331" i="24"/>
  <c r="BS330" i="24"/>
  <c r="AT330" i="24"/>
  <c r="BE329" i="24"/>
  <c r="AF337" i="24"/>
  <c r="AO322" i="24"/>
  <c r="Y318" i="24"/>
  <c r="CC282" i="24"/>
  <c r="CE289" i="24"/>
  <c r="AW283" i="24"/>
  <c r="BD283" i="24"/>
  <c r="BY292" i="24"/>
  <c r="BV290" i="24"/>
  <c r="BY286" i="24"/>
  <c r="CA285" i="24"/>
  <c r="BB305" i="24"/>
  <c r="AB318" i="24"/>
  <c r="X325" i="24"/>
  <c r="CJ363" i="24"/>
  <c r="CK351" i="24"/>
  <c r="CC370" i="24"/>
  <c r="BI368" i="24"/>
  <c r="BA375" i="24"/>
  <c r="AN298" i="24"/>
  <c r="AC120" i="24"/>
  <c r="AA138" i="24"/>
  <c r="AA154" i="24"/>
  <c r="Y169" i="24"/>
  <c r="AB186" i="24"/>
  <c r="V280" i="24"/>
  <c r="R299" i="24"/>
  <c r="V314" i="24"/>
  <c r="S331" i="24"/>
  <c r="U352" i="24"/>
  <c r="S366" i="24"/>
  <c r="R383" i="24"/>
  <c r="S403" i="24"/>
  <c r="Y418" i="24"/>
  <c r="X438" i="24"/>
  <c r="AG139" i="24"/>
  <c r="AH166" i="24"/>
  <c r="AO190" i="24"/>
  <c r="AI299" i="24"/>
  <c r="AK332" i="24"/>
  <c r="AM359" i="24"/>
  <c r="AN396" i="24"/>
  <c r="AP433" i="24"/>
  <c r="AX141" i="24"/>
  <c r="AZ178" i="24"/>
  <c r="AX298" i="24"/>
  <c r="AZ343" i="24"/>
  <c r="AW389" i="24"/>
  <c r="BA439" i="24"/>
  <c r="BN132" i="24"/>
  <c r="BQ189" i="24"/>
  <c r="BM343" i="24"/>
  <c r="BK424" i="24"/>
  <c r="CB151" i="24"/>
  <c r="BV342" i="24"/>
  <c r="CN163" i="24"/>
  <c r="CO407" i="24"/>
  <c r="R121" i="24"/>
  <c r="AB138" i="24"/>
  <c r="AB154" i="24"/>
  <c r="AA173" i="24"/>
  <c r="S187" i="24"/>
  <c r="AC280" i="24"/>
  <c r="X299" i="24"/>
  <c r="R315" i="24"/>
  <c r="U331" i="24"/>
  <c r="W352" i="24"/>
  <c r="T366" i="24"/>
  <c r="AA383" i="24"/>
  <c r="T403" i="24"/>
  <c r="AA418" i="24"/>
  <c r="AB438" i="24"/>
  <c r="AF120" i="24"/>
  <c r="AL142" i="24"/>
  <c r="AO166" i="24"/>
  <c r="AN191" i="24"/>
  <c r="AJ300" i="24"/>
  <c r="AO332" i="24"/>
  <c r="AP359" i="24"/>
  <c r="AO396" i="24"/>
  <c r="AQ433" i="24"/>
  <c r="AV142" i="24"/>
  <c r="AY180" i="24"/>
  <c r="BA298" i="24"/>
  <c r="BA343" i="24"/>
  <c r="AX397" i="24"/>
  <c r="BB439" i="24"/>
  <c r="BR189" i="24"/>
  <c r="BP344" i="24"/>
  <c r="BM424" i="24"/>
  <c r="CA343" i="24"/>
  <c r="CU410" i="24"/>
  <c r="Y279" i="24"/>
  <c r="AB294" i="24"/>
  <c r="AM298" i="24"/>
  <c r="AW296" i="24"/>
  <c r="CG294" i="24"/>
  <c r="T280" i="24"/>
  <c r="S295" i="24"/>
  <c r="U313" i="24"/>
  <c r="AC330" i="24"/>
  <c r="Y344" i="24"/>
  <c r="AG325" i="24"/>
  <c r="BA296" i="24"/>
  <c r="AY335" i="24"/>
  <c r="BR335" i="24"/>
  <c r="BZ296" i="24"/>
  <c r="U280" i="24"/>
  <c r="T295" i="24"/>
  <c r="U314" i="24"/>
  <c r="R331" i="24"/>
  <c r="AC349" i="24"/>
  <c r="AC365" i="24"/>
  <c r="AB382" i="24"/>
  <c r="AO298" i="24"/>
  <c r="AN325" i="24"/>
  <c r="AL359" i="24"/>
  <c r="BA297" i="24"/>
  <c r="AY343" i="24"/>
  <c r="BH336" i="24"/>
  <c r="BX340" i="24"/>
  <c r="CJ367" i="24"/>
  <c r="T281" i="24"/>
  <c r="Y299" i="24"/>
  <c r="T315" i="24"/>
  <c r="X331" i="24"/>
  <c r="X352" i="24"/>
  <c r="U366" i="24"/>
  <c r="AB383" i="24"/>
  <c r="W403" i="24"/>
  <c r="AC418" i="24"/>
  <c r="AI273" i="24"/>
  <c r="AL300" i="24"/>
  <c r="AN333" i="24"/>
  <c r="AG362" i="24"/>
  <c r="AQ396" i="24"/>
  <c r="BB298" i="24"/>
  <c r="AX349" i="24"/>
  <c r="BE399" i="24"/>
  <c r="BH345" i="24"/>
  <c r="CG343" i="24"/>
  <c r="CO421" i="24"/>
  <c r="CS155" i="24"/>
  <c r="CK153" i="24"/>
  <c r="CO150" i="24"/>
  <c r="CS147" i="24"/>
  <c r="CK145" i="24"/>
  <c r="CR155" i="24"/>
  <c r="CU152" i="24"/>
  <c r="CL150" i="24"/>
  <c r="CO147" i="24"/>
  <c r="CR144" i="24"/>
  <c r="CJ142" i="24"/>
  <c r="CK155" i="24"/>
  <c r="CN152" i="24"/>
  <c r="CQ149" i="24"/>
  <c r="CT146" i="24"/>
  <c r="CK144" i="24"/>
  <c r="CO141" i="24"/>
  <c r="CS138" i="24"/>
  <c r="CK136" i="24"/>
  <c r="CO133" i="24"/>
  <c r="CS130" i="24"/>
  <c r="CK128" i="24"/>
  <c r="CO125" i="24"/>
  <c r="CS122" i="24"/>
  <c r="CK120" i="24"/>
  <c r="CP155" i="24"/>
  <c r="CQ152" i="24"/>
  <c r="CR149" i="24"/>
  <c r="CR146" i="24"/>
  <c r="CS143" i="24"/>
  <c r="CU140" i="24"/>
  <c r="CL138" i="24"/>
  <c r="CO135" i="24"/>
  <c r="CR132" i="24"/>
  <c r="CU129" i="24"/>
  <c r="CL127" i="24"/>
  <c r="CO124" i="24"/>
  <c r="CR121" i="24"/>
  <c r="CA154" i="24"/>
  <c r="CE151" i="24"/>
  <c r="BW149" i="24"/>
  <c r="CR153" i="24"/>
  <c r="CS150" i="24"/>
  <c r="CT147" i="24"/>
  <c r="CT144" i="24"/>
  <c r="CU141" i="24"/>
  <c r="CL139" i="24"/>
  <c r="CO136" i="24"/>
  <c r="CR133" i="24"/>
  <c r="CU130" i="24"/>
  <c r="CL128" i="24"/>
  <c r="CN125" i="24"/>
  <c r="CQ122" i="24"/>
  <c r="CM154" i="24"/>
  <c r="CL151" i="24"/>
  <c r="CK148" i="24"/>
  <c r="CU144" i="24"/>
  <c r="CS141" i="24"/>
  <c r="CT138" i="24"/>
  <c r="CT135" i="24"/>
  <c r="CU132" i="24"/>
  <c r="CJ130" i="24"/>
  <c r="CJ127" i="24"/>
  <c r="CK124" i="24"/>
  <c r="CL121" i="24"/>
  <c r="CJ154" i="24"/>
  <c r="CU150" i="24"/>
  <c r="CR147" i="24"/>
  <c r="CP144" i="24"/>
  <c r="CP141" i="24"/>
  <c r="CP138" i="24"/>
  <c r="CQ135" i="24"/>
  <c r="CQ132" i="24"/>
  <c r="CR129" i="24"/>
  <c r="CS126" i="24"/>
  <c r="CT123" i="24"/>
  <c r="CU120" i="24"/>
  <c r="CO153" i="24"/>
  <c r="CT154" i="24"/>
  <c r="CP151" i="24"/>
  <c r="CM148" i="24"/>
  <c r="CS144" i="24"/>
  <c r="CN141" i="24"/>
  <c r="CM138" i="24"/>
  <c r="CK135" i="24"/>
  <c r="CJ132" i="24"/>
  <c r="CU128" i="24"/>
  <c r="CT125" i="24"/>
  <c r="CR122" i="24"/>
  <c r="CQ154" i="24"/>
  <c r="CM151" i="24"/>
  <c r="CU147" i="24"/>
  <c r="CN144" i="24"/>
  <c r="CK141" i="24"/>
  <c r="CU137" i="24"/>
  <c r="CT134" i="24"/>
  <c r="CS131" i="24"/>
  <c r="CR128" i="24"/>
  <c r="CQ125" i="24"/>
  <c r="CN122" i="24"/>
  <c r="CU155" i="24"/>
  <c r="CK152" i="24"/>
  <c r="CR148" i="24"/>
  <c r="CM145" i="24"/>
  <c r="CQ141" i="24"/>
  <c r="CJ138" i="24"/>
  <c r="CR134" i="24"/>
  <c r="CO131" i="24"/>
  <c r="CJ128" i="24"/>
  <c r="CS124" i="24"/>
  <c r="CO121" i="24"/>
  <c r="CU154" i="24"/>
  <c r="CN151" i="24"/>
  <c r="CP147" i="24"/>
  <c r="CU143" i="24"/>
  <c r="CP140" i="24"/>
  <c r="CM137" i="24"/>
  <c r="CJ134" i="24"/>
  <c r="CQ130" i="24"/>
  <c r="CN127" i="24"/>
  <c r="CU123" i="24"/>
  <c r="CQ120" i="24"/>
  <c r="CK154" i="24"/>
  <c r="CN150" i="24"/>
  <c r="CS146" i="24"/>
  <c r="CM143" i="24"/>
  <c r="CU139" i="24"/>
  <c r="CR136" i="24"/>
  <c r="CM133" i="24"/>
  <c r="CT129" i="24"/>
  <c r="CP126" i="24"/>
  <c r="CM123" i="24"/>
  <c r="CC155" i="24"/>
  <c r="CF152" i="24"/>
  <c r="BW150" i="24"/>
  <c r="BZ147" i="24"/>
  <c r="CD144" i="24"/>
  <c r="BV142" i="24"/>
  <c r="BZ139" i="24"/>
  <c r="CD136" i="24"/>
  <c r="BV134" i="24"/>
  <c r="BZ131" i="24"/>
  <c r="CD128" i="24"/>
  <c r="BV126" i="24"/>
  <c r="BZ123" i="24"/>
  <c r="CD120" i="24"/>
  <c r="CT152" i="24"/>
  <c r="CJ149" i="24"/>
  <c r="CN145" i="24"/>
  <c r="CJ141" i="24"/>
  <c r="CO137" i="24"/>
  <c r="CT133" i="24"/>
  <c r="CL130" i="24"/>
  <c r="CN126" i="24"/>
  <c r="CT122" i="24"/>
  <c r="BW154" i="24"/>
  <c r="BY151" i="24"/>
  <c r="CA148" i="24"/>
  <c r="CD145" i="24"/>
  <c r="CG142" i="24"/>
  <c r="BX140" i="24"/>
  <c r="CA137" i="24"/>
  <c r="CD134" i="24"/>
  <c r="CG131" i="24"/>
  <c r="BX129" i="24"/>
  <c r="CA126" i="24"/>
  <c r="CD123" i="24"/>
  <c r="CG120" i="24"/>
  <c r="CS152" i="24"/>
  <c r="CU148" i="24"/>
  <c r="CL145" i="24"/>
  <c r="CT140" i="24"/>
  <c r="CN137" i="24"/>
  <c r="CS133" i="24"/>
  <c r="CK130" i="24"/>
  <c r="CM126" i="24"/>
  <c r="CP122" i="24"/>
  <c r="BV154" i="24"/>
  <c r="BX151" i="24"/>
  <c r="BZ148" i="24"/>
  <c r="CC145" i="24"/>
  <c r="CF142" i="24"/>
  <c r="BW140" i="24"/>
  <c r="BZ137" i="24"/>
  <c r="CC134" i="24"/>
  <c r="CF131" i="24"/>
  <c r="BW129" i="24"/>
  <c r="BZ126" i="24"/>
  <c r="CC123" i="24"/>
  <c r="CF120" i="24"/>
  <c r="BO154" i="24"/>
  <c r="BS151" i="24"/>
  <c r="BK149" i="24"/>
  <c r="BO146" i="24"/>
  <c r="BS143" i="24"/>
  <c r="BK141" i="24"/>
  <c r="BO138" i="24"/>
  <c r="BS135" i="24"/>
  <c r="BK133" i="24"/>
  <c r="BO130" i="24"/>
  <c r="BS127" i="24"/>
  <c r="BK125" i="24"/>
  <c r="BO122" i="24"/>
  <c r="CO152" i="24"/>
  <c r="CQ148" i="24"/>
  <c r="CO144" i="24"/>
  <c r="CQ140" i="24"/>
  <c r="CJ137" i="24"/>
  <c r="CN133" i="24"/>
  <c r="CP129" i="24"/>
  <c r="CJ126" i="24"/>
  <c r="CL122" i="24"/>
  <c r="CE153" i="24"/>
  <c r="CG150" i="24"/>
  <c r="BW148" i="24"/>
  <c r="BZ145" i="24"/>
  <c r="CC142" i="24"/>
  <c r="CF139" i="24"/>
  <c r="BW137" i="24"/>
  <c r="BZ134" i="24"/>
  <c r="CC131" i="24"/>
  <c r="CF128" i="24"/>
  <c r="BW126" i="24"/>
  <c r="BY123" i="24"/>
  <c r="CB120" i="24"/>
  <c r="CT151" i="24"/>
  <c r="CJ148" i="24"/>
  <c r="CR143" i="24"/>
  <c r="CK140" i="24"/>
  <c r="CP136" i="24"/>
  <c r="CS132" i="24"/>
  <c r="CK129" i="24"/>
  <c r="CM125" i="24"/>
  <c r="CS121" i="24"/>
  <c r="CS154" i="24"/>
  <c r="CR150" i="24"/>
  <c r="CQ146" i="24"/>
  <c r="CU142" i="24"/>
  <c r="CN139" i="24"/>
  <c r="CP135" i="24"/>
  <c r="CT131" i="24"/>
  <c r="CM128" i="24"/>
  <c r="CP124" i="24"/>
  <c r="CS120" i="24"/>
  <c r="CA155" i="24"/>
  <c r="CC152" i="24"/>
  <c r="CE149" i="24"/>
  <c r="CG146" i="24"/>
  <c r="BX144" i="24"/>
  <c r="CA141" i="24"/>
  <c r="CD138" i="24"/>
  <c r="CG135" i="24"/>
  <c r="BX133" i="24"/>
  <c r="CA130" i="24"/>
  <c r="CD127" i="24"/>
  <c r="CG124" i="24"/>
  <c r="BX122" i="24"/>
  <c r="BS155" i="24"/>
  <c r="BK153" i="24"/>
  <c r="BO150" i="24"/>
  <c r="BS147" i="24"/>
  <c r="BK145" i="24"/>
  <c r="BO142" i="24"/>
  <c r="BS139" i="24"/>
  <c r="BK137" i="24"/>
  <c r="BO134" i="24"/>
  <c r="BS131" i="24"/>
  <c r="BK129" i="24"/>
  <c r="BO126" i="24"/>
  <c r="BS123" i="24"/>
  <c r="BK121" i="24"/>
  <c r="CN154" i="24"/>
  <c r="CK150" i="24"/>
  <c r="CM146" i="24"/>
  <c r="CQ142" i="24"/>
  <c r="CU138" i="24"/>
  <c r="CJ135" i="24"/>
  <c r="CN131" i="24"/>
  <c r="CR127" i="24"/>
  <c r="CJ124" i="24"/>
  <c r="CN120" i="24"/>
  <c r="CU153" i="24"/>
  <c r="CM149" i="24"/>
  <c r="CL144" i="24"/>
  <c r="CR139" i="24"/>
  <c r="CL135" i="24"/>
  <c r="CR130" i="24"/>
  <c r="CK126" i="24"/>
  <c r="CP121" i="24"/>
  <c r="BY153" i="24"/>
  <c r="BV150" i="24"/>
  <c r="CE146" i="24"/>
  <c r="CD143" i="24"/>
  <c r="CC140" i="24"/>
  <c r="CB137" i="24"/>
  <c r="BX134" i="24"/>
  <c r="BV131" i="24"/>
  <c r="CG127" i="24"/>
  <c r="CE124" i="24"/>
  <c r="CD121" i="24"/>
  <c r="BN154" i="24"/>
  <c r="BP151" i="24"/>
  <c r="BR148" i="24"/>
  <c r="BH146" i="24"/>
  <c r="BJ143" i="24"/>
  <c r="BL140" i="24"/>
  <c r="BN137" i="24"/>
  <c r="BP134" i="24"/>
  <c r="BQ131" i="24"/>
  <c r="BS128" i="24"/>
  <c r="BI126" i="24"/>
  <c r="BK123" i="24"/>
  <c r="BM120" i="24"/>
  <c r="BE154" i="24"/>
  <c r="AW152" i="24"/>
  <c r="BA149" i="24"/>
  <c r="BE146" i="24"/>
  <c r="AW144" i="24"/>
  <c r="BA141" i="24"/>
  <c r="BE138" i="24"/>
  <c r="AW136" i="24"/>
  <c r="BA133" i="24"/>
  <c r="BE130" i="24"/>
  <c r="AW128" i="24"/>
  <c r="BA125" i="24"/>
  <c r="BE122" i="24"/>
  <c r="AW120" i="24"/>
  <c r="CT153" i="24"/>
  <c r="CL149" i="24"/>
  <c r="CJ144" i="24"/>
  <c r="CQ139" i="24"/>
  <c r="CU134" i="24"/>
  <c r="CP130" i="24"/>
  <c r="CU125" i="24"/>
  <c r="CN121" i="24"/>
  <c r="BX153" i="24"/>
  <c r="CG149" i="24"/>
  <c r="CD146" i="24"/>
  <c r="CC143" i="24"/>
  <c r="CB140" i="24"/>
  <c r="BY137" i="24"/>
  <c r="BW134" i="24"/>
  <c r="CG130" i="24"/>
  <c r="CF127" i="24"/>
  <c r="CD124" i="24"/>
  <c r="CC121" i="24"/>
  <c r="BM154" i="24"/>
  <c r="BO151" i="24"/>
  <c r="BQ148" i="24"/>
  <c r="BS145" i="24"/>
  <c r="BI143" i="24"/>
  <c r="BK140" i="24"/>
  <c r="BM137" i="24"/>
  <c r="BN134" i="24"/>
  <c r="BP131" i="24"/>
  <c r="BR128" i="24"/>
  <c r="BH126" i="24"/>
  <c r="BJ123" i="24"/>
  <c r="BL120" i="24"/>
  <c r="BD154" i="24"/>
  <c r="AV152" i="24"/>
  <c r="AZ149" i="24"/>
  <c r="BD146" i="24"/>
  <c r="AV144" i="24"/>
  <c r="AZ141" i="24"/>
  <c r="BD138" i="24"/>
  <c r="AV136" i="24"/>
  <c r="AZ133" i="24"/>
  <c r="BD130" i="24"/>
  <c r="AV128" i="24"/>
  <c r="AZ125" i="24"/>
  <c r="BD122" i="24"/>
  <c r="AV120" i="24"/>
  <c r="CQ153" i="24"/>
  <c r="CT148" i="24"/>
  <c r="CQ143" i="24"/>
  <c r="CO139" i="24"/>
  <c r="CQ134" i="24"/>
  <c r="CN130" i="24"/>
  <c r="CR125" i="24"/>
  <c r="CK121" i="24"/>
  <c r="BV153" i="24"/>
  <c r="CD149" i="24"/>
  <c r="CB146" i="24"/>
  <c r="CA143" i="24"/>
  <c r="BZ140" i="24"/>
  <c r="BV137" i="24"/>
  <c r="CF133" i="24"/>
  <c r="CE130" i="24"/>
  <c r="CC127" i="24"/>
  <c r="CB124" i="24"/>
  <c r="CA121" i="24"/>
  <c r="BK154" i="24"/>
  <c r="BM151" i="24"/>
  <c r="BO148" i="24"/>
  <c r="CT155" i="24"/>
  <c r="CT150" i="24"/>
  <c r="CJ146" i="24"/>
  <c r="CM141" i="24"/>
  <c r="CS136" i="24"/>
  <c r="CL132" i="24"/>
  <c r="CQ127" i="24"/>
  <c r="CL123" i="24"/>
  <c r="CB154" i="24"/>
  <c r="BW151" i="24"/>
  <c r="CF147" i="24"/>
  <c r="CE144" i="24"/>
  <c r="CC141" i="24"/>
  <c r="CA138" i="24"/>
  <c r="BZ135" i="24"/>
  <c r="BY132" i="24"/>
  <c r="BV129" i="24"/>
  <c r="CE125" i="24"/>
  <c r="CD122" i="24"/>
  <c r="CM155" i="24"/>
  <c r="CP149" i="24"/>
  <c r="CP143" i="24"/>
  <c r="CQ138" i="24"/>
  <c r="CP133" i="24"/>
  <c r="CO128" i="24"/>
  <c r="CN123" i="24"/>
  <c r="CG152" i="24"/>
  <c r="BY149" i="24"/>
  <c r="CE145" i="24"/>
  <c r="BW142" i="24"/>
  <c r="CB138" i="24"/>
  <c r="BV135" i="24"/>
  <c r="BY131" i="24"/>
  <c r="CB127" i="24"/>
  <c r="BW124" i="24"/>
  <c r="BZ120" i="24"/>
  <c r="BP153" i="24"/>
  <c r="BN150" i="24"/>
  <c r="BM147" i="24"/>
  <c r="BM144" i="24"/>
  <c r="BM141" i="24"/>
  <c r="BL138" i="24"/>
  <c r="BL135" i="24"/>
  <c r="BL132" i="24"/>
  <c r="BL129" i="24"/>
  <c r="BK126" i="24"/>
  <c r="BI123" i="24"/>
  <c r="BI120" i="24"/>
  <c r="AY155" i="24"/>
  <c r="BA152" i="24"/>
  <c r="BC149" i="24"/>
  <c r="BC146" i="24"/>
  <c r="BE143" i="24"/>
  <c r="AU141" i="24"/>
  <c r="AW138" i="24"/>
  <c r="AY135" i="24"/>
  <c r="BA132" i="24"/>
  <c r="BC129" i="24"/>
  <c r="BE126" i="24"/>
  <c r="AU124" i="24"/>
  <c r="AW121" i="24"/>
  <c r="CR154" i="24"/>
  <c r="CK149" i="24"/>
  <c r="CL143" i="24"/>
  <c r="CK138" i="24"/>
  <c r="CJ133" i="24"/>
  <c r="CT127" i="24"/>
  <c r="CU122" i="24"/>
  <c r="CN153" i="24"/>
  <c r="CQ147" i="24"/>
  <c r="CP142" i="24"/>
  <c r="CL137" i="24"/>
  <c r="CK132" i="24"/>
  <c r="CU126" i="24"/>
  <c r="CT121" i="24"/>
  <c r="CD155" i="24"/>
  <c r="BV152" i="24"/>
  <c r="BY148" i="24"/>
  <c r="CC144" i="24"/>
  <c r="BW141" i="24"/>
  <c r="CD137" i="24"/>
  <c r="CD133" i="24"/>
  <c r="BX130" i="24"/>
  <c r="CE126" i="24"/>
  <c r="BV123" i="24"/>
  <c r="BR152" i="24"/>
  <c r="BQ149" i="24"/>
  <c r="BP146" i="24"/>
  <c r="BO143" i="24"/>
  <c r="BO140" i="24"/>
  <c r="BO137" i="24"/>
  <c r="BL134" i="24"/>
  <c r="BL131" i="24"/>
  <c r="BL128" i="24"/>
  <c r="BL125" i="24"/>
  <c r="BK122" i="24"/>
  <c r="AZ154" i="24"/>
  <c r="BB151" i="24"/>
  <c r="BD148" i="24"/>
  <c r="AT146" i="24"/>
  <c r="AV143" i="24"/>
  <c r="AX140" i="24"/>
  <c r="AZ137" i="24"/>
  <c r="BB134" i="24"/>
  <c r="BD131" i="24"/>
  <c r="AT129" i="24"/>
  <c r="AV126" i="24"/>
  <c r="AX123" i="24"/>
  <c r="AZ120" i="24"/>
  <c r="CJ152" i="24"/>
  <c r="CO146" i="24"/>
  <c r="CL141" i="24"/>
  <c r="CJ136" i="24"/>
  <c r="CJ131" i="24"/>
  <c r="CL125" i="24"/>
  <c r="CM120" i="24"/>
  <c r="CF154" i="24"/>
  <c r="BV151" i="24"/>
  <c r="CA147" i="24"/>
  <c r="CF143" i="24"/>
  <c r="BV140" i="24"/>
  <c r="CA136" i="24"/>
  <c r="CG132" i="24"/>
  <c r="CB129" i="24"/>
  <c r="CD125" i="24"/>
  <c r="BY122" i="24"/>
  <c r="BK155" i="24"/>
  <c r="BJ152" i="24"/>
  <c r="BH149" i="24"/>
  <c r="BQ145" i="24"/>
  <c r="BQ142" i="24"/>
  <c r="BP139" i="24"/>
  <c r="BP136" i="24"/>
  <c r="BP133" i="24"/>
  <c r="BP130" i="24"/>
  <c r="BO127" i="24"/>
  <c r="BO124" i="24"/>
  <c r="BO121" i="24"/>
  <c r="CQ151" i="24"/>
  <c r="CU145" i="24"/>
  <c r="CN140" i="24"/>
  <c r="CN135" i="24"/>
  <c r="CS129" i="24"/>
  <c r="CT124" i="24"/>
  <c r="BZ154" i="24"/>
  <c r="CC150" i="24"/>
  <c r="BV147" i="24"/>
  <c r="BY143" i="24"/>
  <c r="CC139" i="24"/>
  <c r="BW136" i="24"/>
  <c r="CC132" i="24"/>
  <c r="CG128" i="24"/>
  <c r="BZ125" i="24"/>
  <c r="CF121" i="24"/>
  <c r="BS154" i="24"/>
  <c r="BQ151" i="24"/>
  <c r="BM148" i="24"/>
  <c r="BM145" i="24"/>
  <c r="BL142" i="24"/>
  <c r="BL139" i="24"/>
  <c r="BL136" i="24"/>
  <c r="BL133" i="24"/>
  <c r="BK130" i="24"/>
  <c r="BK127" i="24"/>
  <c r="BK124" i="24"/>
  <c r="BJ121" i="24"/>
  <c r="CO151" i="24"/>
  <c r="CT145" i="24"/>
  <c r="CM140" i="24"/>
  <c r="CM135" i="24"/>
  <c r="CQ129" i="24"/>
  <c r="CR124" i="24"/>
  <c r="CO149" i="24"/>
  <c r="CR142" i="24"/>
  <c r="CM136" i="24"/>
  <c r="CN129" i="24"/>
  <c r="CP123" i="24"/>
  <c r="BX155" i="24"/>
  <c r="CF150" i="24"/>
  <c r="CC146" i="24"/>
  <c r="CB142" i="24"/>
  <c r="CC138" i="24"/>
  <c r="CB134" i="24"/>
  <c r="BY130" i="24"/>
  <c r="BY126" i="24"/>
  <c r="BW122" i="24"/>
  <c r="BJ154" i="24"/>
  <c r="BQ150" i="24"/>
  <c r="BJ147" i="24"/>
  <c r="BQ143" i="24"/>
  <c r="BJ140" i="24"/>
  <c r="BQ136" i="24"/>
  <c r="BJ133" i="24"/>
  <c r="BR129" i="24"/>
  <c r="BM126" i="24"/>
  <c r="BR122" i="24"/>
  <c r="CN149" i="24"/>
  <c r="CO142" i="24"/>
  <c r="CL136" i="24"/>
  <c r="CM129" i="24"/>
  <c r="CO123" i="24"/>
  <c r="CS148" i="24"/>
  <c r="CN142" i="24"/>
  <c r="CU135" i="24"/>
  <c r="CL129" i="24"/>
  <c r="CK123" i="24"/>
  <c r="BV155" i="24"/>
  <c r="CD150" i="24"/>
  <c r="BZ146" i="24"/>
  <c r="BZ142" i="24"/>
  <c r="BY138" i="24"/>
  <c r="BY134" i="24"/>
  <c r="BV130" i="24"/>
  <c r="CG125" i="24"/>
  <c r="CG121" i="24"/>
  <c r="BH154" i="24"/>
  <c r="BM150" i="24"/>
  <c r="BH147" i="24"/>
  <c r="BN143" i="24"/>
  <c r="BH140" i="24"/>
  <c r="BN136" i="24"/>
  <c r="BH133" i="24"/>
  <c r="BP129" i="24"/>
  <c r="BJ126" i="24"/>
  <c r="BP122" i="24"/>
  <c r="CO154" i="24"/>
  <c r="CL147" i="24"/>
  <c r="CR140" i="24"/>
  <c r="CM134" i="24"/>
  <c r="CU127" i="24"/>
  <c r="CQ121" i="24"/>
  <c r="CG153" i="24"/>
  <c r="CC149" i="24"/>
  <c r="CB145" i="24"/>
  <c r="CB141" i="24"/>
  <c r="CC137" i="24"/>
  <c r="BY133" i="24"/>
  <c r="BZ129" i="24"/>
  <c r="BW125" i="24"/>
  <c r="BV121" i="24"/>
  <c r="CS151" i="24"/>
  <c r="CO145" i="24"/>
  <c r="CN138" i="24"/>
  <c r="CU131" i="24"/>
  <c r="CP125" i="24"/>
  <c r="CT149" i="24"/>
  <c r="CT141" i="24"/>
  <c r="CU133" i="24"/>
  <c r="CQ126" i="24"/>
  <c r="CD151" i="24"/>
  <c r="BW147" i="24"/>
  <c r="BY142" i="24"/>
  <c r="CG137" i="24"/>
  <c r="BW133" i="24"/>
  <c r="CB128" i="24"/>
  <c r="BX124" i="24"/>
  <c r="CS149" i="24"/>
  <c r="CR141" i="24"/>
  <c r="CQ133" i="24"/>
  <c r="CO126" i="24"/>
  <c r="CC151" i="24"/>
  <c r="CF146" i="24"/>
  <c r="BX142" i="24"/>
  <c r="CF137" i="24"/>
  <c r="BV133" i="24"/>
  <c r="CA128" i="24"/>
  <c r="BV124" i="24"/>
  <c r="BO155" i="24"/>
  <c r="BR151" i="24"/>
  <c r="BR147" i="24"/>
  <c r="BK144" i="24"/>
  <c r="BP140" i="24"/>
  <c r="BR136" i="24"/>
  <c r="BS132" i="24"/>
  <c r="BM129" i="24"/>
  <c r="BO125" i="24"/>
  <c r="BS121" i="24"/>
  <c r="CP148" i="24"/>
  <c r="CS140" i="24"/>
  <c r="CL133" i="24"/>
  <c r="CL126" i="24"/>
  <c r="CN155" i="24"/>
  <c r="CJ147" i="24"/>
  <c r="CM139" i="24"/>
  <c r="CR131" i="24"/>
  <c r="CM124" i="24"/>
  <c r="CG154" i="24"/>
  <c r="BY150" i="24"/>
  <c r="CA145" i="24"/>
  <c r="BV141" i="24"/>
  <c r="CL155" i="24"/>
  <c r="CU146" i="24"/>
  <c r="CK139" i="24"/>
  <c r="CQ131" i="24"/>
  <c r="CL124" i="24"/>
  <c r="CE154" i="24"/>
  <c r="BX150" i="24"/>
  <c r="BY145" i="24"/>
  <c r="CG140" i="24"/>
  <c r="BY136" i="24"/>
  <c r="BV132" i="24"/>
  <c r="BY127" i="24"/>
  <c r="CF122" i="24"/>
  <c r="CJ155" i="24"/>
  <c r="CP146" i="24"/>
  <c r="CJ139" i="24"/>
  <c r="CP131" i="24"/>
  <c r="CS123" i="24"/>
  <c r="CD154" i="24"/>
  <c r="CF149" i="24"/>
  <c r="BX145" i="24"/>
  <c r="CF140" i="24"/>
  <c r="BX136" i="24"/>
  <c r="CE131" i="24"/>
  <c r="BX127" i="24"/>
  <c r="CE122" i="24"/>
  <c r="CM152" i="24"/>
  <c r="CM144" i="24"/>
  <c r="CT136" i="24"/>
  <c r="CS128" i="24"/>
  <c r="CJ121" i="24"/>
  <c r="BW153" i="24"/>
  <c r="CC148" i="24"/>
  <c r="BV144" i="24"/>
  <c r="BY139" i="24"/>
  <c r="BW135" i="24"/>
  <c r="BZ130" i="24"/>
  <c r="CC125" i="24"/>
  <c r="BX121" i="24"/>
  <c r="CL152" i="24"/>
  <c r="CT143" i="24"/>
  <c r="CQ136" i="24"/>
  <c r="CQ128" i="24"/>
  <c r="CT120" i="24"/>
  <c r="CE152" i="24"/>
  <c r="CB148" i="24"/>
  <c r="CG143" i="24"/>
  <c r="BX139" i="24"/>
  <c r="CG134" i="24"/>
  <c r="BW130" i="24"/>
  <c r="CB125" i="24"/>
  <c r="BW121" i="24"/>
  <c r="CU151" i="24"/>
  <c r="CO143" i="24"/>
  <c r="CN136" i="24"/>
  <c r="CP128" i="24"/>
  <c r="CR120" i="24"/>
  <c r="CK146" i="24"/>
  <c r="CS134" i="24"/>
  <c r="CU124" i="24"/>
  <c r="CC153" i="24"/>
  <c r="CE147" i="24"/>
  <c r="CF141" i="24"/>
  <c r="BV136" i="24"/>
  <c r="CD130" i="24"/>
  <c r="BV125" i="24"/>
  <c r="BR153" i="24"/>
  <c r="BH150" i="24"/>
  <c r="BJ146" i="24"/>
  <c r="BJ142" i="24"/>
  <c r="BN138" i="24"/>
  <c r="BR134" i="24"/>
  <c r="BS130" i="24"/>
  <c r="BI127" i="24"/>
  <c r="BM123" i="24"/>
  <c r="AT153" i="24"/>
  <c r="AT150" i="24"/>
  <c r="AT147" i="24"/>
  <c r="BC143" i="24"/>
  <c r="BC140" i="24"/>
  <c r="BC137" i="24"/>
  <c r="BC134" i="24"/>
  <c r="BB131" i="24"/>
  <c r="BB128" i="24"/>
  <c r="BB125" i="24"/>
  <c r="AZ122" i="24"/>
  <c r="CS145" i="24"/>
  <c r="CP134" i="24"/>
  <c r="CQ124" i="24"/>
  <c r="CB153" i="24"/>
  <c r="CD147" i="24"/>
  <c r="CE141" i="24"/>
  <c r="CF135" i="24"/>
  <c r="CC130" i="24"/>
  <c r="CF124" i="24"/>
  <c r="BQ153" i="24"/>
  <c r="BS149" i="24"/>
  <c r="BI146" i="24"/>
  <c r="BI142" i="24"/>
  <c r="BM138" i="24"/>
  <c r="BQ134" i="24"/>
  <c r="BR130" i="24"/>
  <c r="BH127" i="24"/>
  <c r="BL123" i="24"/>
  <c r="BE155" i="24"/>
  <c r="BE152" i="24"/>
  <c r="BE149" i="24"/>
  <c r="BB146" i="24"/>
  <c r="BB143" i="24"/>
  <c r="BB140" i="24"/>
  <c r="BB137" i="24"/>
  <c r="BA134" i="24"/>
  <c r="BA131" i="24"/>
  <c r="BA128" i="24"/>
  <c r="AY125" i="24"/>
  <c r="AY122" i="24"/>
  <c r="AM155" i="24"/>
  <c r="AQ152" i="24"/>
  <c r="AI150" i="24"/>
  <c r="AM147" i="24"/>
  <c r="AQ144" i="24"/>
  <c r="AI142" i="24"/>
  <c r="AM139" i="24"/>
  <c r="AQ136" i="24"/>
  <c r="AI134" i="24"/>
  <c r="AM131" i="24"/>
  <c r="AQ128" i="24"/>
  <c r="AI126" i="24"/>
  <c r="AM123" i="24"/>
  <c r="AQ120" i="24"/>
  <c r="CP145" i="24"/>
  <c r="CL134" i="24"/>
  <c r="CQ123" i="24"/>
  <c r="CQ155" i="24"/>
  <c r="CJ145" i="24"/>
  <c r="CK134" i="24"/>
  <c r="CJ123" i="24"/>
  <c r="CB152" i="24"/>
  <c r="BX147" i="24"/>
  <c r="BX141" i="24"/>
  <c r="CB135" i="24"/>
  <c r="CE129" i="24"/>
  <c r="BY124" i="24"/>
  <c r="BL153" i="24"/>
  <c r="BN149" i="24"/>
  <c r="BN145" i="24"/>
  <c r="BQ141" i="24"/>
  <c r="BH138" i="24"/>
  <c r="BI134" i="24"/>
  <c r="BL130" i="24"/>
  <c r="BP126" i="24"/>
  <c r="BN122" i="24"/>
  <c r="CS153" i="24"/>
  <c r="CJ143" i="24"/>
  <c r="CO132" i="24"/>
  <c r="CJ122" i="24"/>
  <c r="BX152" i="24"/>
  <c r="BW146" i="24"/>
  <c r="BY140" i="24"/>
  <c r="CF134" i="24"/>
  <c r="BY129" i="24"/>
  <c r="CB123" i="24"/>
  <c r="BS152" i="24"/>
  <c r="BI149" i="24"/>
  <c r="BH145" i="24"/>
  <c r="BL141" i="24"/>
  <c r="BP137" i="24"/>
  <c r="BQ133" i="24"/>
  <c r="BS129" i="24"/>
  <c r="BR125" i="24"/>
  <c r="BI122" i="24"/>
  <c r="AV155" i="24"/>
  <c r="AT152" i="24"/>
  <c r="AT149" i="24"/>
  <c r="BE145" i="24"/>
  <c r="BE142" i="24"/>
  <c r="BE139" i="24"/>
  <c r="BE136" i="24"/>
  <c r="BE133" i="24"/>
  <c r="BC130" i="24"/>
  <c r="BC127" i="24"/>
  <c r="BC124" i="24"/>
  <c r="BC121" i="24"/>
  <c r="CQ150" i="24"/>
  <c r="CS137" i="24"/>
  <c r="CS125" i="24"/>
  <c r="CA152" i="24"/>
  <c r="CG145" i="24"/>
  <c r="BW139" i="24"/>
  <c r="CE132" i="24"/>
  <c r="CF126" i="24"/>
  <c r="BX120" i="24"/>
  <c r="BL154" i="24"/>
  <c r="BP149" i="24"/>
  <c r="BI145" i="24"/>
  <c r="BS140" i="24"/>
  <c r="BK136" i="24"/>
  <c r="BJ132" i="24"/>
  <c r="BR127" i="24"/>
  <c r="BP123" i="24"/>
  <c r="BB153" i="24"/>
  <c r="AY150" i="24"/>
  <c r="AV147" i="24"/>
  <c r="AZ143" i="24"/>
  <c r="AV140" i="24"/>
  <c r="BD136" i="24"/>
  <c r="AY133" i="24"/>
  <c r="AV130" i="24"/>
  <c r="BD126" i="24"/>
  <c r="BA123" i="24"/>
  <c r="AU120" i="24"/>
  <c r="CU149" i="24"/>
  <c r="CK137" i="24"/>
  <c r="CR123" i="24"/>
  <c r="CG151" i="24"/>
  <c r="CG144" i="24"/>
  <c r="CE138" i="24"/>
  <c r="BZ132" i="24"/>
  <c r="BX126" i="24"/>
  <c r="CL148" i="24"/>
  <c r="CR135" i="24"/>
  <c r="CK122" i="24"/>
  <c r="CA151" i="24"/>
  <c r="CA144" i="24"/>
  <c r="BW138" i="24"/>
  <c r="CD131" i="24"/>
  <c r="BY125" i="24"/>
  <c r="BI153" i="24"/>
  <c r="BN148" i="24"/>
  <c r="BL144" i="24"/>
  <c r="BQ139" i="24"/>
  <c r="BO135" i="24"/>
  <c r="BK131" i="24"/>
  <c r="BS126" i="24"/>
  <c r="BL122" i="24"/>
  <c r="AU153" i="24"/>
  <c r="AY149" i="24"/>
  <c r="AV146" i="24"/>
  <c r="BC142" i="24"/>
  <c r="AZ139" i="24"/>
  <c r="AU136" i="24"/>
  <c r="BD132" i="24"/>
  <c r="AZ129" i="24"/>
  <c r="AW126" i="24"/>
  <c r="BC122" i="24"/>
  <c r="AG154" i="24"/>
  <c r="AJ151" i="24"/>
  <c r="AM148" i="24"/>
  <c r="AP145" i="24"/>
  <c r="AG143" i="24"/>
  <c r="AJ140" i="24"/>
  <c r="AM137" i="24"/>
  <c r="AP134" i="24"/>
  <c r="AG132" i="24"/>
  <c r="AJ129" i="24"/>
  <c r="AM126" i="24"/>
  <c r="AP123" i="24"/>
  <c r="AG121" i="24"/>
  <c r="CQ144" i="24"/>
  <c r="CM131" i="24"/>
  <c r="BZ149" i="24"/>
  <c r="BW143" i="24"/>
  <c r="CB136" i="24"/>
  <c r="CF129" i="24"/>
  <c r="CA123" i="24"/>
  <c r="BK152" i="24"/>
  <c r="BO147" i="24"/>
  <c r="BK143" i="24"/>
  <c r="BS138" i="24"/>
  <c r="BM134" i="24"/>
  <c r="BI130" i="24"/>
  <c r="BN125" i="24"/>
  <c r="BL121" i="24"/>
  <c r="AZ155" i="24"/>
  <c r="BE151" i="24"/>
  <c r="BA148" i="24"/>
  <c r="AX145" i="24"/>
  <c r="AU142" i="24"/>
  <c r="BB138" i="24"/>
  <c r="AX135" i="24"/>
  <c r="AU132" i="24"/>
  <c r="BC128" i="24"/>
  <c r="AV125" i="24"/>
  <c r="BE121" i="24"/>
  <c r="AK153" i="24"/>
  <c r="AN150" i="24"/>
  <c r="AQ147" i="24"/>
  <c r="AH145" i="24"/>
  <c r="AK142" i="24"/>
  <c r="AN139" i="24"/>
  <c r="AP136" i="24"/>
  <c r="AG134" i="24"/>
  <c r="AJ131" i="24"/>
  <c r="AM128" i="24"/>
  <c r="AP125" i="24"/>
  <c r="AG123" i="24"/>
  <c r="AJ120" i="24"/>
  <c r="CL142" i="24"/>
  <c r="CS127" i="24"/>
  <c r="CC154" i="24"/>
  <c r="CA146" i="24"/>
  <c r="BV139" i="24"/>
  <c r="BW132" i="24"/>
  <c r="BZ124" i="24"/>
  <c r="BQ155" i="24"/>
  <c r="BS150" i="24"/>
  <c r="BR145" i="24"/>
  <c r="BI141" i="24"/>
  <c r="BI136" i="24"/>
  <c r="BN131" i="24"/>
  <c r="BQ126" i="24"/>
  <c r="BP121" i="24"/>
  <c r="AW155" i="24"/>
  <c r="AY151" i="24"/>
  <c r="BE147" i="24"/>
  <c r="AY144" i="24"/>
  <c r="AZ140" i="24"/>
  <c r="BC136" i="24"/>
  <c r="AU133" i="24"/>
  <c r="AY129" i="24"/>
  <c r="BD125" i="24"/>
  <c r="AT122" i="24"/>
  <c r="AP155" i="24"/>
  <c r="AP152" i="24"/>
  <c r="AQ149" i="24"/>
  <c r="AF147" i="24"/>
  <c r="AG144" i="24"/>
  <c r="AH141" i="24"/>
  <c r="AI138" i="24"/>
  <c r="AJ135" i="24"/>
  <c r="AK132" i="24"/>
  <c r="AL129" i="24"/>
  <c r="AL126" i="24"/>
  <c r="AL123" i="24"/>
  <c r="AM120" i="24"/>
  <c r="W155" i="24"/>
  <c r="AA152" i="24"/>
  <c r="S150" i="24"/>
  <c r="W147" i="24"/>
  <c r="AA144" i="24"/>
  <c r="S142" i="24"/>
  <c r="W139" i="24"/>
  <c r="AA136" i="24"/>
  <c r="S134" i="24"/>
  <c r="W131" i="24"/>
  <c r="AA128" i="24"/>
  <c r="S126" i="24"/>
  <c r="W123" i="24"/>
  <c r="AA120" i="24"/>
  <c r="CK142" i="24"/>
  <c r="CP127" i="24"/>
  <c r="BY154" i="24"/>
  <c r="BY146" i="24"/>
  <c r="CG138" i="24"/>
  <c r="CB131" i="24"/>
  <c r="CG123" i="24"/>
  <c r="BP155" i="24"/>
  <c r="BR150" i="24"/>
  <c r="BP145" i="24"/>
  <c r="BH141" i="24"/>
  <c r="BH136" i="24"/>
  <c r="BM131" i="24"/>
  <c r="BN126" i="24"/>
  <c r="BN121" i="24"/>
  <c r="AU155" i="24"/>
  <c r="AX151" i="24"/>
  <c r="BD147" i="24"/>
  <c r="AX144" i="24"/>
  <c r="AY140" i="24"/>
  <c r="BB136" i="24"/>
  <c r="AT133" i="24"/>
  <c r="AX129" i="24"/>
  <c r="BC125" i="24"/>
  <c r="BD121" i="24"/>
  <c r="AO155" i="24"/>
  <c r="AO152" i="24"/>
  <c r="AP149" i="24"/>
  <c r="AQ146" i="24"/>
  <c r="AF144" i="24"/>
  <c r="AG141" i="24"/>
  <c r="AH138" i="24"/>
  <c r="AI135" i="24"/>
  <c r="AJ132" i="24"/>
  <c r="AK129" i="24"/>
  <c r="AK126" i="24"/>
  <c r="AK123" i="24"/>
  <c r="AL120" i="24"/>
  <c r="V155" i="24"/>
  <c r="Z152" i="24"/>
  <c r="R150" i="24"/>
  <c r="V147" i="24"/>
  <c r="Z144" i="24"/>
  <c r="R142" i="24"/>
  <c r="V139" i="24"/>
  <c r="Z136" i="24"/>
  <c r="R134" i="24"/>
  <c r="V131" i="24"/>
  <c r="Z128" i="24"/>
  <c r="R126" i="24"/>
  <c r="V123" i="24"/>
  <c r="Z120" i="24"/>
  <c r="CO140" i="24"/>
  <c r="CO127" i="24"/>
  <c r="BX154" i="24"/>
  <c r="BX146" i="24"/>
  <c r="CF138" i="24"/>
  <c r="CA131" i="24"/>
  <c r="CF123" i="24"/>
  <c r="BN155" i="24"/>
  <c r="BP150" i="24"/>
  <c r="BO145" i="24"/>
  <c r="BR140" i="24"/>
  <c r="BR135" i="24"/>
  <c r="BJ131" i="24"/>
  <c r="BL126" i="24"/>
  <c r="BM121" i="24"/>
  <c r="AT155" i="24"/>
  <c r="AW151" i="24"/>
  <c r="BC147" i="24"/>
  <c r="AU144" i="24"/>
  <c r="AW140" i="24"/>
  <c r="BA136" i="24"/>
  <c r="BE132" i="24"/>
  <c r="AW129" i="24"/>
  <c r="AX125" i="24"/>
  <c r="BB121" i="24"/>
  <c r="AN155" i="24"/>
  <c r="AN152" i="24"/>
  <c r="AO149" i="24"/>
  <c r="AP146" i="24"/>
  <c r="AQ143" i="24"/>
  <c r="AF141" i="24"/>
  <c r="AG138" i="24"/>
  <c r="AH135" i="24"/>
  <c r="AI132" i="24"/>
  <c r="AI129" i="24"/>
  <c r="AJ126" i="24"/>
  <c r="AJ123" i="24"/>
  <c r="AK120" i="24"/>
  <c r="U155" i="24"/>
  <c r="Y152" i="24"/>
  <c r="AC149" i="24"/>
  <c r="U147" i="24"/>
  <c r="Y144" i="24"/>
  <c r="AC141" i="24"/>
  <c r="U139" i="24"/>
  <c r="Y136" i="24"/>
  <c r="AC133" i="24"/>
  <c r="U131" i="24"/>
  <c r="Y128" i="24"/>
  <c r="AC125" i="24"/>
  <c r="U123" i="24"/>
  <c r="Y120" i="24"/>
  <c r="CO155" i="24"/>
  <c r="CL140" i="24"/>
  <c r="CM127" i="24"/>
  <c r="CF153" i="24"/>
  <c r="BV146" i="24"/>
  <c r="BZ138" i="24"/>
  <c r="BX131" i="24"/>
  <c r="CE123" i="24"/>
  <c r="BM155" i="24"/>
  <c r="BL150" i="24"/>
  <c r="BL145" i="24"/>
  <c r="BQ140" i="24"/>
  <c r="BQ135" i="24"/>
  <c r="BI131" i="24"/>
  <c r="BS125" i="24"/>
  <c r="BI121" i="24"/>
  <c r="BC154" i="24"/>
  <c r="AV151" i="24"/>
  <c r="BB147" i="24"/>
  <c r="AT144" i="24"/>
  <c r="AU140" i="24"/>
  <c r="AZ136" i="24"/>
  <c r="BC132" i="24"/>
  <c r="AV129" i="24"/>
  <c r="AW125" i="24"/>
  <c r="BA121" i="24"/>
  <c r="AL155" i="24"/>
  <c r="AM152" i="24"/>
  <c r="AN149" i="24"/>
  <c r="AO146" i="24"/>
  <c r="AP143" i="24"/>
  <c r="AQ140" i="24"/>
  <c r="AF138" i="24"/>
  <c r="AG135" i="24"/>
  <c r="AH132" i="24"/>
  <c r="AH129" i="24"/>
  <c r="AH126" i="24"/>
  <c r="AI123" i="24"/>
  <c r="AI120" i="24"/>
  <c r="T155" i="24"/>
  <c r="X152" i="24"/>
  <c r="AB149" i="24"/>
  <c r="T147" i="24"/>
  <c r="X144" i="24"/>
  <c r="AB141" i="24"/>
  <c r="T139" i="24"/>
  <c r="X136" i="24"/>
  <c r="AB133" i="24"/>
  <c r="T131" i="24"/>
  <c r="X128" i="24"/>
  <c r="AB125" i="24"/>
  <c r="T123" i="24"/>
  <c r="X120" i="24"/>
  <c r="CP154" i="24"/>
  <c r="CJ140" i="24"/>
  <c r="CK127" i="24"/>
  <c r="CD153" i="24"/>
  <c r="CF145" i="24"/>
  <c r="BX138" i="24"/>
  <c r="BW131" i="24"/>
  <c r="BX123" i="24"/>
  <c r="BL155" i="24"/>
  <c r="BK150" i="24"/>
  <c r="BJ145" i="24"/>
  <c r="BN140" i="24"/>
  <c r="BP135" i="24"/>
  <c r="BH131" i="24"/>
  <c r="BQ125" i="24"/>
  <c r="BH121" i="24"/>
  <c r="BB154" i="24"/>
  <c r="AU151" i="24"/>
  <c r="BA147" i="24"/>
  <c r="BD143" i="24"/>
  <c r="AT140" i="24"/>
  <c r="AY136" i="24"/>
  <c r="BB132" i="24"/>
  <c r="AU129" i="24"/>
  <c r="AU125" i="24"/>
  <c r="AZ121" i="24"/>
  <c r="AK155" i="24"/>
  <c r="AL152" i="24"/>
  <c r="AM149" i="24"/>
  <c r="AN146" i="24"/>
  <c r="AO143" i="24"/>
  <c r="AP140" i="24"/>
  <c r="AQ137" i="24"/>
  <c r="AF135" i="24"/>
  <c r="AF132" i="24"/>
  <c r="AG129" i="24"/>
  <c r="AG126" i="24"/>
  <c r="AH123" i="24"/>
  <c r="AH120" i="24"/>
  <c r="S155" i="24"/>
  <c r="W152" i="24"/>
  <c r="AA149" i="24"/>
  <c r="S147" i="24"/>
  <c r="W144" i="24"/>
  <c r="AA141" i="24"/>
  <c r="S139" i="24"/>
  <c r="W136" i="24"/>
  <c r="AA133" i="24"/>
  <c r="S131" i="24"/>
  <c r="W128" i="24"/>
  <c r="AA125" i="24"/>
  <c r="S123" i="24"/>
  <c r="W120" i="24"/>
  <c r="CJ153" i="24"/>
  <c r="CO138" i="24"/>
  <c r="CN124" i="24"/>
  <c r="BY152" i="24"/>
  <c r="BZ144" i="24"/>
  <c r="CF136" i="24"/>
  <c r="CC129" i="24"/>
  <c r="CA122" i="24"/>
  <c r="BQ154" i="24"/>
  <c r="BM149" i="24"/>
  <c r="BO144" i="24"/>
  <c r="BN139" i="24"/>
  <c r="BI135" i="24"/>
  <c r="BH130" i="24"/>
  <c r="BH125" i="24"/>
  <c r="BO120" i="24"/>
  <c r="AV154" i="24"/>
  <c r="BB150" i="24"/>
  <c r="AU147" i="24"/>
  <c r="AU143" i="24"/>
  <c r="AY139" i="24"/>
  <c r="BC135" i="24"/>
  <c r="AV132" i="24"/>
  <c r="AX128" i="24"/>
  <c r="BA124" i="24"/>
  <c r="AT121" i="24"/>
  <c r="AF155" i="24"/>
  <c r="AG152" i="24"/>
  <c r="AH149" i="24"/>
  <c r="AI146" i="24"/>
  <c r="AJ143" i="24"/>
  <c r="AK140" i="24"/>
  <c r="AK137" i="24"/>
  <c r="AL134" i="24"/>
  <c r="AL131" i="24"/>
  <c r="AL128" i="24"/>
  <c r="AM125" i="24"/>
  <c r="AN122" i="24"/>
  <c r="Z154" i="24"/>
  <c r="R152" i="24"/>
  <c r="V149" i="24"/>
  <c r="Z146" i="24"/>
  <c r="R144" i="24"/>
  <c r="V141" i="24"/>
  <c r="Z138" i="24"/>
  <c r="R136" i="24"/>
  <c r="V133" i="24"/>
  <c r="Z130" i="24"/>
  <c r="R128" i="24"/>
  <c r="V125" i="24"/>
  <c r="Z122" i="24"/>
  <c r="R120" i="24"/>
  <c r="CR152" i="24"/>
  <c r="CT137" i="24"/>
  <c r="CO122" i="24"/>
  <c r="BW152" i="24"/>
  <c r="BY144" i="24"/>
  <c r="CE136" i="24"/>
  <c r="CA129" i="24"/>
  <c r="BZ122" i="24"/>
  <c r="BP154" i="24"/>
  <c r="BL149" i="24"/>
  <c r="BN144" i="24"/>
  <c r="BM139" i="24"/>
  <c r="BH135" i="24"/>
  <c r="BQ129" i="24"/>
  <c r="BS124" i="24"/>
  <c r="BN120" i="24"/>
  <c r="AU154" i="24"/>
  <c r="BA150" i="24"/>
  <c r="BA146" i="24"/>
  <c r="AT143" i="24"/>
  <c r="AX139" i="24"/>
  <c r="BB135" i="24"/>
  <c r="AT132" i="24"/>
  <c r="AU128" i="24"/>
  <c r="AZ124" i="24"/>
  <c r="BE120" i="24"/>
  <c r="AQ154" i="24"/>
  <c r="AF152" i="24"/>
  <c r="AG149" i="24"/>
  <c r="AH146" i="24"/>
  <c r="AI143" i="24"/>
  <c r="AI140" i="24"/>
  <c r="AJ137" i="24"/>
  <c r="AK134" i="24"/>
  <c r="AK131" i="24"/>
  <c r="AK128" i="24"/>
  <c r="AL125" i="24"/>
  <c r="AM122" i="24"/>
  <c r="Y154" i="24"/>
  <c r="AC151" i="24"/>
  <c r="U149" i="24"/>
  <c r="Y146" i="24"/>
  <c r="AC143" i="24"/>
  <c r="U141" i="24"/>
  <c r="Y138" i="24"/>
  <c r="AC135" i="24"/>
  <c r="U133" i="24"/>
  <c r="Y130" i="24"/>
  <c r="AC127" i="24"/>
  <c r="U125" i="24"/>
  <c r="Y122" i="24"/>
  <c r="CJ150" i="24"/>
  <c r="CN134" i="24"/>
  <c r="CJ120" i="24"/>
  <c r="BZ150" i="24"/>
  <c r="CE142" i="24"/>
  <c r="BY135" i="24"/>
  <c r="BV128" i="24"/>
  <c r="CC120" i="24"/>
  <c r="BH153" i="24"/>
  <c r="BI148" i="24"/>
  <c r="BL143" i="24"/>
  <c r="BP138" i="24"/>
  <c r="BO133" i="24"/>
  <c r="BP128" i="24"/>
  <c r="BJ124" i="24"/>
  <c r="AY153" i="24"/>
  <c r="BB149" i="24"/>
  <c r="BC145" i="24"/>
  <c r="AW142" i="24"/>
  <c r="AZ138" i="24"/>
  <c r="BE134" i="24"/>
  <c r="AV131" i="24"/>
  <c r="AY127" i="24"/>
  <c r="BD123" i="24"/>
  <c r="AT120" i="24"/>
  <c r="AJ154" i="24"/>
  <c r="AK151" i="24"/>
  <c r="AK148" i="24"/>
  <c r="AL145" i="24"/>
  <c r="AM142" i="24"/>
  <c r="AL139" i="24"/>
  <c r="AM136" i="24"/>
  <c r="AN133" i="24"/>
  <c r="AO130" i="24"/>
  <c r="AP127" i="24"/>
  <c r="AQ124" i="24"/>
  <c r="AF122" i="24"/>
  <c r="R154" i="24"/>
  <c r="V151" i="24"/>
  <c r="Z148" i="24"/>
  <c r="R146" i="24"/>
  <c r="V143" i="24"/>
  <c r="Z140" i="24"/>
  <c r="R138" i="24"/>
  <c r="V135" i="24"/>
  <c r="Z132" i="24"/>
  <c r="R130" i="24"/>
  <c r="V127" i="24"/>
  <c r="Z124" i="24"/>
  <c r="R122" i="24"/>
  <c r="CM147" i="24"/>
  <c r="CN132" i="24"/>
  <c r="BV149" i="24"/>
  <c r="CD141" i="24"/>
  <c r="CG133" i="24"/>
  <c r="BW127" i="24"/>
  <c r="BV120" i="24"/>
  <c r="BN152" i="24"/>
  <c r="BN147" i="24"/>
  <c r="BP142" i="24"/>
  <c r="BS137" i="24"/>
  <c r="BR132" i="24"/>
  <c r="BK128" i="24"/>
  <c r="BQ123" i="24"/>
  <c r="BD152" i="24"/>
  <c r="AU149" i="24"/>
  <c r="AY145" i="24"/>
  <c r="BD141" i="24"/>
  <c r="AU138" i="24"/>
  <c r="AX134" i="24"/>
  <c r="BA130" i="24"/>
  <c r="AU127" i="24"/>
  <c r="AY123" i="24"/>
  <c r="AQ153" i="24"/>
  <c r="AF151" i="24"/>
  <c r="AG148" i="24"/>
  <c r="AG145" i="24"/>
  <c r="AG142" i="24"/>
  <c r="AH139" i="24"/>
  <c r="AI136" i="24"/>
  <c r="AJ133" i="24"/>
  <c r="AK130" i="24"/>
  <c r="AL127" i="24"/>
  <c r="AM124" i="24"/>
  <c r="AN121" i="24"/>
  <c r="Z153" i="24"/>
  <c r="R151" i="24"/>
  <c r="V148" i="24"/>
  <c r="Z145" i="24"/>
  <c r="R143" i="24"/>
  <c r="V140" i="24"/>
  <c r="Z137" i="24"/>
  <c r="R135" i="24"/>
  <c r="V132" i="24"/>
  <c r="Z129" i="24"/>
  <c r="R127" i="24"/>
  <c r="V124" i="24"/>
  <c r="Z121" i="24"/>
  <c r="CK143" i="24"/>
  <c r="CU121" i="24"/>
  <c r="BZ153" i="24"/>
  <c r="CD142" i="24"/>
  <c r="CD132" i="24"/>
  <c r="CE121" i="24"/>
  <c r="CQ137" i="24"/>
  <c r="CB149" i="24"/>
  <c r="CE139" i="24"/>
  <c r="CC128" i="24"/>
  <c r="BI154" i="24"/>
  <c r="BL147" i="24"/>
  <c r="BJ141" i="24"/>
  <c r="BS133" i="24"/>
  <c r="BP127" i="24"/>
  <c r="BP120" i="24"/>
  <c r="CS135" i="24"/>
  <c r="CG148" i="24"/>
  <c r="CA139" i="24"/>
  <c r="BX128" i="24"/>
  <c r="CP150" i="24"/>
  <c r="CJ129" i="24"/>
  <c r="BZ151" i="24"/>
  <c r="CG139" i="24"/>
  <c r="BW128" i="24"/>
  <c r="BO149" i="24"/>
  <c r="BN142" i="24"/>
  <c r="BN135" i="24"/>
  <c r="BO128" i="24"/>
  <c r="BH122" i="24"/>
  <c r="AX152" i="24"/>
  <c r="AW147" i="24"/>
  <c r="BE141" i="24"/>
  <c r="AU137" i="24"/>
  <c r="AY131" i="24"/>
  <c r="BA126" i="24"/>
  <c r="AV121" i="24"/>
  <c r="AI152" i="24"/>
  <c r="AI148" i="24"/>
  <c r="AJ144" i="24"/>
  <c r="AF140" i="24"/>
  <c r="AF136" i="24"/>
  <c r="AP131" i="24"/>
  <c r="AO127" i="24"/>
  <c r="AF124" i="24"/>
  <c r="Y155" i="24"/>
  <c r="Y151" i="24"/>
  <c r="R148" i="24"/>
  <c r="T144" i="24"/>
  <c r="X140" i="24"/>
  <c r="R137" i="24"/>
  <c r="R133" i="24"/>
  <c r="W129" i="24"/>
  <c r="Y125" i="24"/>
  <c r="AC121" i="24"/>
  <c r="CM150" i="24"/>
  <c r="CT128" i="24"/>
  <c r="CE150" i="24"/>
  <c r="CD139" i="24"/>
  <c r="CE127" i="24"/>
  <c r="BJ149" i="24"/>
  <c r="BM142" i="24"/>
  <c r="BM135" i="24"/>
  <c r="BN128" i="24"/>
  <c r="BR121" i="24"/>
  <c r="AU152" i="24"/>
  <c r="AZ146" i="24"/>
  <c r="BC141" i="24"/>
  <c r="AT137" i="24"/>
  <c r="AX131" i="24"/>
  <c r="AZ126" i="24"/>
  <c r="AU121" i="24"/>
  <c r="CO148" i="24"/>
  <c r="CN128" i="24"/>
  <c r="CB150" i="24"/>
  <c r="CB139" i="24"/>
  <c r="CA127" i="24"/>
  <c r="CN148" i="24"/>
  <c r="CT126" i="24"/>
  <c r="CA150" i="24"/>
  <c r="BV138" i="24"/>
  <c r="BZ127" i="24"/>
  <c r="CK147" i="24"/>
  <c r="CK125" i="24"/>
  <c r="BX149" i="24"/>
  <c r="BX137" i="24"/>
  <c r="CG126" i="24"/>
  <c r="BK148" i="24"/>
  <c r="BR141" i="24"/>
  <c r="BK134" i="24"/>
  <c r="BH128" i="24"/>
  <c r="BQ120" i="24"/>
  <c r="AZ151" i="24"/>
  <c r="AU146" i="24"/>
  <c r="AW141" i="24"/>
  <c r="BD135" i="24"/>
  <c r="BB130" i="24"/>
  <c r="AT126" i="24"/>
  <c r="BA120" i="24"/>
  <c r="AN151" i="24"/>
  <c r="AN147" i="24"/>
  <c r="AL143" i="24"/>
  <c r="AJ139" i="24"/>
  <c r="AM135" i="24"/>
  <c r="AG131" i="24"/>
  <c r="AI127" i="24"/>
  <c r="AQ122" i="24"/>
  <c r="CN146" i="24"/>
  <c r="CJ125" i="24"/>
  <c r="CF148" i="24"/>
  <c r="CG136" i="24"/>
  <c r="CD126" i="24"/>
  <c r="BR155" i="24"/>
  <c r="BJ148" i="24"/>
  <c r="BP141" i="24"/>
  <c r="BJ134" i="24"/>
  <c r="BQ127" i="24"/>
  <c r="BK120" i="24"/>
  <c r="AT151" i="24"/>
  <c r="BD145" i="24"/>
  <c r="AV141" i="24"/>
  <c r="BA135" i="24"/>
  <c r="AZ130" i="24"/>
  <c r="BE125" i="24"/>
  <c r="AY120" i="24"/>
  <c r="AQ155" i="24"/>
  <c r="AM151" i="24"/>
  <c r="AL147" i="24"/>
  <c r="AK143" i="24"/>
  <c r="AI139" i="24"/>
  <c r="AL135" i="24"/>
  <c r="AF131" i="24"/>
  <c r="AH127" i="24"/>
  <c r="AP122" i="24"/>
  <c r="CQ145" i="24"/>
  <c r="CP120" i="24"/>
  <c r="BX148" i="24"/>
  <c r="CE135" i="24"/>
  <c r="CF125" i="24"/>
  <c r="BH155" i="24"/>
  <c r="BP147" i="24"/>
  <c r="BM140" i="24"/>
  <c r="BN133" i="24"/>
  <c r="BL127" i="24"/>
  <c r="BC150" i="24"/>
  <c r="AZ145" i="24"/>
  <c r="BD140" i="24"/>
  <c r="AV135" i="24"/>
  <c r="AW130" i="24"/>
  <c r="BD124" i="24"/>
  <c r="AH155" i="24"/>
  <c r="AH151" i="24"/>
  <c r="AI147" i="24"/>
  <c r="AQ142" i="24"/>
  <c r="AQ138" i="24"/>
  <c r="AO134" i="24"/>
  <c r="AN130" i="24"/>
  <c r="AQ126" i="24"/>
  <c r="AK122" i="24"/>
  <c r="U154" i="24"/>
  <c r="Z150" i="24"/>
  <c r="AB146" i="24"/>
  <c r="T143" i="24"/>
  <c r="Z139" i="24"/>
  <c r="Z135" i="24"/>
  <c r="S132" i="24"/>
  <c r="U128" i="24"/>
  <c r="Y124" i="24"/>
  <c r="S121" i="24"/>
  <c r="CO134" i="24"/>
  <c r="CF155" i="24"/>
  <c r="CB143" i="24"/>
  <c r="CF132" i="24"/>
  <c r="BY121" i="24"/>
  <c r="BI152" i="24"/>
  <c r="BQ144" i="24"/>
  <c r="BI138" i="24"/>
  <c r="BO131" i="24"/>
  <c r="BL124" i="24"/>
  <c r="BD153" i="24"/>
  <c r="BB148" i="24"/>
  <c r="AY143" i="24"/>
  <c r="AY138" i="24"/>
  <c r="BB133" i="24"/>
  <c r="BE127" i="24"/>
  <c r="AV123" i="24"/>
  <c r="AO153" i="24"/>
  <c r="AL149" i="24"/>
  <c r="AM145" i="24"/>
  <c r="AM141" i="24"/>
  <c r="AI137" i="24"/>
  <c r="AI133" i="24"/>
  <c r="AM129" i="24"/>
  <c r="AG125" i="24"/>
  <c r="AI121" i="24"/>
  <c r="CO130" i="24"/>
  <c r="BW144" i="24"/>
  <c r="CD129" i="24"/>
  <c r="BS148" i="24"/>
  <c r="BR139" i="24"/>
  <c r="BK132" i="24"/>
  <c r="BR123" i="24"/>
  <c r="BA153" i="24"/>
  <c r="AZ147" i="24"/>
  <c r="AT141" i="24"/>
  <c r="AY134" i="24"/>
  <c r="AT128" i="24"/>
  <c r="AW122" i="24"/>
  <c r="AM153" i="24"/>
  <c r="AO148" i="24"/>
  <c r="AH144" i="24"/>
  <c r="AP138" i="24"/>
  <c r="AQ133" i="24"/>
  <c r="AN129" i="24"/>
  <c r="AL124" i="24"/>
  <c r="T154" i="24"/>
  <c r="W150" i="24"/>
  <c r="U146" i="24"/>
  <c r="X142" i="24"/>
  <c r="V138" i="24"/>
  <c r="Y134" i="24"/>
  <c r="W130" i="24"/>
  <c r="Z126" i="24"/>
  <c r="X122" i="24"/>
  <c r="CM130" i="24"/>
  <c r="CE143" i="24"/>
  <c r="CE128" i="24"/>
  <c r="BP148" i="24"/>
  <c r="BO139" i="24"/>
  <c r="BI132" i="24"/>
  <c r="BO123" i="24"/>
  <c r="AZ153" i="24"/>
  <c r="AY147" i="24"/>
  <c r="BE140" i="24"/>
  <c r="AW134" i="24"/>
  <c r="BD127" i="24"/>
  <c r="AV122" i="24"/>
  <c r="AL153" i="24"/>
  <c r="AN148" i="24"/>
  <c r="AN143" i="24"/>
  <c r="AO138" i="24"/>
  <c r="AP133" i="24"/>
  <c r="AF129" i="24"/>
  <c r="AK124" i="24"/>
  <c r="S154" i="24"/>
  <c r="V150" i="24"/>
  <c r="T146" i="24"/>
  <c r="W142" i="24"/>
  <c r="U138" i="24"/>
  <c r="X134" i="24"/>
  <c r="V130" i="24"/>
  <c r="Y126" i="24"/>
  <c r="W122" i="24"/>
  <c r="CP152" i="24"/>
  <c r="BZ141" i="24"/>
  <c r="BS146" i="24"/>
  <c r="BQ138" i="24"/>
  <c r="BJ122" i="24"/>
  <c r="AZ152" i="24"/>
  <c r="BA145" i="24"/>
  <c r="AW139" i="24"/>
  <c r="AX133" i="24"/>
  <c r="AV127" i="24"/>
  <c r="BB120" i="24"/>
  <c r="AK152" i="24"/>
  <c r="AN142" i="24"/>
  <c r="AP137" i="24"/>
  <c r="AG133" i="24"/>
  <c r="AH128" i="24"/>
  <c r="W153" i="24"/>
  <c r="W149" i="24"/>
  <c r="X141" i="24"/>
  <c r="AA129" i="24"/>
  <c r="Z125" i="24"/>
  <c r="AA121" i="24"/>
  <c r="CO129" i="24"/>
  <c r="BZ143" i="24"/>
  <c r="BZ128" i="24"/>
  <c r="BL148" i="24"/>
  <c r="BK139" i="24"/>
  <c r="BH132" i="24"/>
  <c r="BN123" i="24"/>
  <c r="AX153" i="24"/>
  <c r="AX147" i="24"/>
  <c r="BA140" i="24"/>
  <c r="AV134" i="24"/>
  <c r="BB127" i="24"/>
  <c r="AU122" i="24"/>
  <c r="AJ153" i="24"/>
  <c r="AL148" i="24"/>
  <c r="AM143" i="24"/>
  <c r="AN138" i="24"/>
  <c r="AO133" i="24"/>
  <c r="AP128" i="24"/>
  <c r="AJ124" i="24"/>
  <c r="AC153" i="24"/>
  <c r="U150" i="24"/>
  <c r="S146" i="24"/>
  <c r="V142" i="24"/>
  <c r="T138" i="24"/>
  <c r="W134" i="24"/>
  <c r="U130" i="24"/>
  <c r="X126" i="24"/>
  <c r="V122" i="24"/>
  <c r="T150" i="24"/>
  <c r="AC145" i="24"/>
  <c r="U142" i="24"/>
  <c r="V134" i="24"/>
  <c r="T130" i="24"/>
  <c r="W126" i="24"/>
  <c r="CL154" i="24"/>
  <c r="CR126" i="24"/>
  <c r="BX143" i="24"/>
  <c r="BY128" i="24"/>
  <c r="BH148" i="24"/>
  <c r="BJ139" i="24"/>
  <c r="BR131" i="24"/>
  <c r="BH123" i="24"/>
  <c r="AW153" i="24"/>
  <c r="AY146" i="24"/>
  <c r="BD139" i="24"/>
  <c r="AU134" i="24"/>
  <c r="BA127" i="24"/>
  <c r="AY121" i="24"/>
  <c r="AI153" i="24"/>
  <c r="AJ148" i="24"/>
  <c r="AH143" i="24"/>
  <c r="AM138" i="24"/>
  <c r="AM133" i="24"/>
  <c r="AO128" i="24"/>
  <c r="AI124" i="24"/>
  <c r="AB153" i="24"/>
  <c r="S138" i="24"/>
  <c r="U122" i="24"/>
  <c r="CP153" i="24"/>
  <c r="CM122" i="24"/>
  <c r="BV143" i="24"/>
  <c r="BV127" i="24"/>
  <c r="BQ147" i="24"/>
  <c r="BI139" i="24"/>
  <c r="BQ130" i="24"/>
  <c r="BS122" i="24"/>
  <c r="AV153" i="24"/>
  <c r="AX146" i="24"/>
  <c r="BC139" i="24"/>
  <c r="AT134" i="24"/>
  <c r="AZ127" i="24"/>
  <c r="AX121" i="24"/>
  <c r="AH153" i="24"/>
  <c r="AH148" i="24"/>
  <c r="AF143" i="24"/>
  <c r="AL138" i="24"/>
  <c r="AL133" i="24"/>
  <c r="AN128" i="24"/>
  <c r="AH124" i="24"/>
  <c r="AA153" i="24"/>
  <c r="Z149" i="24"/>
  <c r="AB145" i="24"/>
  <c r="T142" i="24"/>
  <c r="AC137" i="24"/>
  <c r="U134" i="24"/>
  <c r="S130" i="24"/>
  <c r="V126" i="24"/>
  <c r="T122" i="24"/>
  <c r="T126" i="24"/>
  <c r="Y133" i="24"/>
  <c r="CM153" i="24"/>
  <c r="CM121" i="24"/>
  <c r="CA142" i="24"/>
  <c r="CC126" i="24"/>
  <c r="BK147" i="24"/>
  <c r="BH139" i="24"/>
  <c r="BN130" i="24"/>
  <c r="BQ122" i="24"/>
  <c r="BC152" i="24"/>
  <c r="AW146" i="24"/>
  <c r="BB139" i="24"/>
  <c r="BD133" i="24"/>
  <c r="AX127" i="24"/>
  <c r="BD120" i="24"/>
  <c r="AG153" i="24"/>
  <c r="AF148" i="24"/>
  <c r="AP142" i="24"/>
  <c r="AK138" i="24"/>
  <c r="AK133" i="24"/>
  <c r="AJ128" i="24"/>
  <c r="AG124" i="24"/>
  <c r="Y153" i="24"/>
  <c r="Y149" i="24"/>
  <c r="AA145" i="24"/>
  <c r="Z141" i="24"/>
  <c r="AB137" i="24"/>
  <c r="T134" i="24"/>
  <c r="AC129" i="24"/>
  <c r="U126" i="24"/>
  <c r="S122" i="24"/>
  <c r="AA137" i="24"/>
  <c r="X145" i="24"/>
  <c r="CL153" i="24"/>
  <c r="CO120" i="24"/>
  <c r="CG141" i="24"/>
  <c r="CB126" i="24"/>
  <c r="BI147" i="24"/>
  <c r="BR138" i="24"/>
  <c r="BM130" i="24"/>
  <c r="BM122" i="24"/>
  <c r="BB152" i="24"/>
  <c r="BB145" i="24"/>
  <c r="BA139" i="24"/>
  <c r="BC133" i="24"/>
  <c r="AW127" i="24"/>
  <c r="BC120" i="24"/>
  <c r="AF153" i="24"/>
  <c r="AP147" i="24"/>
  <c r="AO142" i="24"/>
  <c r="AJ138" i="24"/>
  <c r="AH133" i="24"/>
  <c r="AI128" i="24"/>
  <c r="AQ123" i="24"/>
  <c r="X153" i="24"/>
  <c r="X149" i="24"/>
  <c r="Y145" i="24"/>
  <c r="Y141" i="24"/>
  <c r="Z133" i="24"/>
  <c r="AB129" i="24"/>
  <c r="AB121" i="24"/>
  <c r="CL120" i="24"/>
  <c r="CA125" i="24"/>
  <c r="BJ130" i="24"/>
  <c r="AO147" i="24"/>
  <c r="AO123" i="24"/>
  <c r="Y137" i="24"/>
  <c r="CK151" i="24"/>
  <c r="CG155" i="24"/>
  <c r="CE140" i="24"/>
  <c r="CC124" i="24"/>
  <c r="BJ155" i="24"/>
  <c r="BQ146" i="24"/>
  <c r="BJ138" i="24"/>
  <c r="BN129" i="24"/>
  <c r="BS120" i="24"/>
  <c r="BD151" i="24"/>
  <c r="AV145" i="24"/>
  <c r="AU139" i="24"/>
  <c r="AV133" i="24"/>
  <c r="BC126" i="24"/>
  <c r="AH152" i="24"/>
  <c r="AJ147" i="24"/>
  <c r="AJ142" i="24"/>
  <c r="AN137" i="24"/>
  <c r="AQ132" i="24"/>
  <c r="AF128" i="24"/>
  <c r="AF123" i="24"/>
  <c r="U153" i="24"/>
  <c r="S149" i="24"/>
  <c r="V145" i="24"/>
  <c r="T141" i="24"/>
  <c r="W137" i="24"/>
  <c r="W133" i="24"/>
  <c r="X129" i="24"/>
  <c r="W125" i="24"/>
  <c r="X121" i="24"/>
  <c r="CJ151" i="24"/>
  <c r="CE155" i="24"/>
  <c r="CD140" i="24"/>
  <c r="CA124" i="24"/>
  <c r="BI155" i="24"/>
  <c r="BN146" i="24"/>
  <c r="BR137" i="24"/>
  <c r="BJ129" i="24"/>
  <c r="BR120" i="24"/>
  <c r="BC151" i="24"/>
  <c r="AU145" i="24"/>
  <c r="AT139" i="24"/>
  <c r="AZ132" i="24"/>
  <c r="BB126" i="24"/>
  <c r="AQ151" i="24"/>
  <c r="AH147" i="24"/>
  <c r="AH142" i="24"/>
  <c r="AL137" i="24"/>
  <c r="AP132" i="24"/>
  <c r="AQ127" i="24"/>
  <c r="AO122" i="24"/>
  <c r="T153" i="24"/>
  <c r="R149" i="24"/>
  <c r="U145" i="24"/>
  <c r="S141" i="24"/>
  <c r="V137" i="24"/>
  <c r="T133" i="24"/>
  <c r="V129" i="24"/>
  <c r="T125" i="24"/>
  <c r="W121" i="24"/>
  <c r="CN147" i="24"/>
  <c r="CB155" i="24"/>
  <c r="CA140" i="24"/>
  <c r="BW123" i="24"/>
  <c r="CM142" i="24"/>
  <c r="BZ152" i="24"/>
  <c r="CA135" i="24"/>
  <c r="BZ121" i="24"/>
  <c r="BQ152" i="24"/>
  <c r="BJ144" i="24"/>
  <c r="BO136" i="24"/>
  <c r="BN127" i="24"/>
  <c r="AV150" i="24"/>
  <c r="AZ144" i="24"/>
  <c r="BD137" i="24"/>
  <c r="AW131" i="24"/>
  <c r="AY124" i="24"/>
  <c r="AP150" i="24"/>
  <c r="AF146" i="24"/>
  <c r="AK141" i="24"/>
  <c r="AK136" i="24"/>
  <c r="AN131" i="24"/>
  <c r="AP126" i="24"/>
  <c r="AP121" i="24"/>
  <c r="T152" i="24"/>
  <c r="U148" i="24"/>
  <c r="U144" i="24"/>
  <c r="U140" i="24"/>
  <c r="U136" i="24"/>
  <c r="W132" i="24"/>
  <c r="V128" i="24"/>
  <c r="W124" i="24"/>
  <c r="V120" i="24"/>
  <c r="CT139" i="24"/>
  <c r="CF151" i="24"/>
  <c r="BX135" i="24"/>
  <c r="CE120" i="24"/>
  <c r="BP152" i="24"/>
  <c r="BI144" i="24"/>
  <c r="BM136" i="24"/>
  <c r="BM127" i="24"/>
  <c r="AU150" i="24"/>
  <c r="BA143" i="24"/>
  <c r="BA137" i="24"/>
  <c r="AU131" i="24"/>
  <c r="AX124" i="24"/>
  <c r="AJ155" i="24"/>
  <c r="AO150" i="24"/>
  <c r="AQ145" i="24"/>
  <c r="AJ141" i="24"/>
  <c r="AJ136" i="24"/>
  <c r="AI131" i="24"/>
  <c r="AO126" i="24"/>
  <c r="AO121" i="24"/>
  <c r="CR137" i="24"/>
  <c r="CD135" i="24"/>
  <c r="BP143" i="24"/>
  <c r="BI129" i="24"/>
  <c r="AX148" i="24"/>
  <c r="AY137" i="24"/>
  <c r="AY128" i="24"/>
  <c r="AL151" i="24"/>
  <c r="AN144" i="24"/>
  <c r="AH136" i="24"/>
  <c r="AO129" i="24"/>
  <c r="AH121" i="24"/>
  <c r="X154" i="24"/>
  <c r="S148" i="24"/>
  <c r="Z142" i="24"/>
  <c r="AB135" i="24"/>
  <c r="X130" i="24"/>
  <c r="R124" i="24"/>
  <c r="CP137" i="24"/>
  <c r="CC135" i="24"/>
  <c r="BM143" i="24"/>
  <c r="BH129" i="24"/>
  <c r="CU136" i="24"/>
  <c r="CE134" i="24"/>
  <c r="BH143" i="24"/>
  <c r="BQ128" i="24"/>
  <c r="AV148" i="24"/>
  <c r="AW137" i="24"/>
  <c r="AY126" i="24"/>
  <c r="CK133" i="24"/>
  <c r="CT132" i="24"/>
  <c r="CE133" i="24"/>
  <c r="BR154" i="24"/>
  <c r="BR142" i="24"/>
  <c r="BJ128" i="24"/>
  <c r="AT148" i="24"/>
  <c r="AX136" i="24"/>
  <c r="AU126" i="24"/>
  <c r="AM150" i="24"/>
  <c r="AI144" i="24"/>
  <c r="AO135" i="24"/>
  <c r="AK127" i="24"/>
  <c r="AN120" i="24"/>
  <c r="S153" i="24"/>
  <c r="Z147" i="24"/>
  <c r="AC140" i="24"/>
  <c r="W135" i="24"/>
  <c r="S129" i="24"/>
  <c r="Z123" i="24"/>
  <c r="CM132" i="24"/>
  <c r="CB133" i="24"/>
  <c r="BO153" i="24"/>
  <c r="BH142" i="24"/>
  <c r="BJ127" i="24"/>
  <c r="BC155" i="24"/>
  <c r="AT145" i="24"/>
  <c r="BE135" i="24"/>
  <c r="BE124" i="24"/>
  <c r="CL131" i="24"/>
  <c r="CA133" i="24"/>
  <c r="BN153" i="24"/>
  <c r="BS141" i="24"/>
  <c r="BR126" i="24"/>
  <c r="BB155" i="24"/>
  <c r="BE144" i="24"/>
  <c r="AZ135" i="24"/>
  <c r="BB124" i="24"/>
  <c r="AJ150" i="24"/>
  <c r="AQ141" i="24"/>
  <c r="AQ134" i="24"/>
  <c r="AF127" i="24"/>
  <c r="CT130" i="24"/>
  <c r="CB132" i="24"/>
  <c r="BJ153" i="24"/>
  <c r="BN141" i="24"/>
  <c r="BM125" i="24"/>
  <c r="AX155" i="24"/>
  <c r="BC144" i="24"/>
  <c r="AU135" i="24"/>
  <c r="AV124" i="24"/>
  <c r="AG150" i="24"/>
  <c r="AO141" i="24"/>
  <c r="AM134" i="24"/>
  <c r="AF126" i="24"/>
  <c r="U152" i="24"/>
  <c r="AA146" i="24"/>
  <c r="T140" i="24"/>
  <c r="AB134" i="24"/>
  <c r="S128" i="24"/>
  <c r="AB122" i="24"/>
  <c r="CL146" i="24"/>
  <c r="BX125" i="24"/>
  <c r="BO152" i="24"/>
  <c r="BS136" i="24"/>
  <c r="BB144" i="24"/>
  <c r="AW132" i="24"/>
  <c r="AM154" i="24"/>
  <c r="AN145" i="24"/>
  <c r="AO136" i="24"/>
  <c r="AN127" i="24"/>
  <c r="U151" i="24"/>
  <c r="V144" i="24"/>
  <c r="W138" i="24"/>
  <c r="Z131" i="24"/>
  <c r="X124" i="24"/>
  <c r="AC150" i="24"/>
  <c r="AA143" i="24"/>
  <c r="R131" i="24"/>
  <c r="S124" i="24"/>
  <c r="CR145" i="24"/>
  <c r="CG122" i="24"/>
  <c r="BM152" i="24"/>
  <c r="BJ136" i="24"/>
  <c r="BA144" i="24"/>
  <c r="BE131" i="24"/>
  <c r="AL154" i="24"/>
  <c r="AK145" i="24"/>
  <c r="AN136" i="24"/>
  <c r="AM127" i="24"/>
  <c r="T151" i="24"/>
  <c r="S144" i="24"/>
  <c r="X137" i="24"/>
  <c r="Y131" i="24"/>
  <c r="U124" i="24"/>
  <c r="T137" i="24"/>
  <c r="CN143" i="24"/>
  <c r="BZ155" i="24"/>
  <c r="CC122" i="24"/>
  <c r="BL152" i="24"/>
  <c r="BK135" i="24"/>
  <c r="AX143" i="24"/>
  <c r="BC131" i="24"/>
  <c r="AK154" i="24"/>
  <c r="AJ145" i="24"/>
  <c r="AL136" i="24"/>
  <c r="AJ127" i="24"/>
  <c r="S151" i="24"/>
  <c r="AB143" i="24"/>
  <c r="U137" i="24"/>
  <c r="X131" i="24"/>
  <c r="T124" i="24"/>
  <c r="CT142" i="24"/>
  <c r="BY155" i="24"/>
  <c r="CB122" i="24"/>
  <c r="BH152" i="24"/>
  <c r="BJ135" i="24"/>
  <c r="AW143" i="24"/>
  <c r="AZ131" i="24"/>
  <c r="AI154" i="24"/>
  <c r="AI145" i="24"/>
  <c r="AG136" i="24"/>
  <c r="AG127" i="24"/>
  <c r="CS142" i="24"/>
  <c r="BW155" i="24"/>
  <c r="BV122" i="24"/>
  <c r="BN151" i="24"/>
  <c r="BS134" i="24"/>
  <c r="BD155" i="24"/>
  <c r="BD142" i="24"/>
  <c r="AT131" i="24"/>
  <c r="AH154" i="24"/>
  <c r="AF145" i="24"/>
  <c r="AQ135" i="24"/>
  <c r="AN126" i="24"/>
  <c r="AB150" i="24"/>
  <c r="Z143" i="24"/>
  <c r="S137" i="24"/>
  <c r="AC130" i="24"/>
  <c r="AC123" i="24"/>
  <c r="CS139" i="24"/>
  <c r="CA153" i="24"/>
  <c r="CB121" i="24"/>
  <c r="BL151" i="24"/>
  <c r="BH134" i="24"/>
  <c r="BA155" i="24"/>
  <c r="BB142" i="24"/>
  <c r="AY130" i="24"/>
  <c r="AF154" i="24"/>
  <c r="AP144" i="24"/>
  <c r="AP135" i="24"/>
  <c r="AQ125" i="24"/>
  <c r="AA150" i="24"/>
  <c r="Y143" i="24"/>
  <c r="AC136" i="24"/>
  <c r="AB130" i="24"/>
  <c r="AB123" i="24"/>
  <c r="CP139" i="24"/>
  <c r="CD152" i="24"/>
  <c r="CA120" i="24"/>
  <c r="BK151" i="24"/>
  <c r="BR133" i="24"/>
  <c r="BA154" i="24"/>
  <c r="BA142" i="24"/>
  <c r="AX130" i="24"/>
  <c r="AP153" i="24"/>
  <c r="AO144" i="24"/>
  <c r="AN135" i="24"/>
  <c r="AO125" i="24"/>
  <c r="CK131" i="24"/>
  <c r="CE148" i="24"/>
  <c r="BH151" i="24"/>
  <c r="BQ132" i="24"/>
  <c r="AW154" i="24"/>
  <c r="AX142" i="24"/>
  <c r="BE129" i="24"/>
  <c r="AP151" i="24"/>
  <c r="AK144" i="24"/>
  <c r="AJ134" i="24"/>
  <c r="AJ125" i="24"/>
  <c r="AC148" i="24"/>
  <c r="S143" i="24"/>
  <c r="S136" i="24"/>
  <c r="T129" i="24"/>
  <c r="R123" i="24"/>
  <c r="CD148" i="24"/>
  <c r="BJ150" i="24"/>
  <c r="BP132" i="24"/>
  <c r="CE137" i="24"/>
  <c r="BR143" i="24"/>
  <c r="BQ124" i="24"/>
  <c r="AX149" i="24"/>
  <c r="BE137" i="24"/>
  <c r="BE123" i="24"/>
  <c r="AF149" i="24"/>
  <c r="AG140" i="24"/>
  <c r="AP130" i="24"/>
  <c r="AG122" i="24"/>
  <c r="V153" i="24"/>
  <c r="R147" i="24"/>
  <c r="R140" i="24"/>
  <c r="AC132" i="24"/>
  <c r="T127" i="24"/>
  <c r="S120" i="24"/>
  <c r="CC136" i="24"/>
  <c r="BS142" i="24"/>
  <c r="BP124" i="24"/>
  <c r="AW149" i="24"/>
  <c r="AX137" i="24"/>
  <c r="BC123" i="24"/>
  <c r="AQ148" i="24"/>
  <c r="AQ139" i="24"/>
  <c r="AM130" i="24"/>
  <c r="AQ121" i="24"/>
  <c r="R153" i="24"/>
  <c r="AC146" i="24"/>
  <c r="AC139" i="24"/>
  <c r="AB132" i="24"/>
  <c r="S127" i="24"/>
  <c r="BZ136" i="24"/>
  <c r="BK142" i="24"/>
  <c r="BN124" i="24"/>
  <c r="AV149" i="24"/>
  <c r="AV137" i="24"/>
  <c r="BB123" i="24"/>
  <c r="AP148" i="24"/>
  <c r="AP139" i="24"/>
  <c r="AL130" i="24"/>
  <c r="AM121" i="24"/>
  <c r="BV145" i="24"/>
  <c r="BP144" i="24"/>
  <c r="BE153" i="24"/>
  <c r="AW135" i="24"/>
  <c r="AF142" i="24"/>
  <c r="AI130" i="24"/>
  <c r="S152" i="24"/>
  <c r="AC142" i="24"/>
  <c r="X133" i="24"/>
  <c r="AB124" i="24"/>
  <c r="S133" i="24"/>
  <c r="CF144" i="24"/>
  <c r="BH144" i="24"/>
  <c r="BC153" i="24"/>
  <c r="AT135" i="24"/>
  <c r="AP141" i="24"/>
  <c r="AH130" i="24"/>
  <c r="AB151" i="24"/>
  <c r="AB142" i="24"/>
  <c r="AA124" i="24"/>
  <c r="CB144" i="24"/>
  <c r="BO141" i="24"/>
  <c r="AY152" i="24"/>
  <c r="BD134" i="24"/>
  <c r="AN141" i="24"/>
  <c r="AG130" i="24"/>
  <c r="AA151" i="24"/>
  <c r="AA142" i="24"/>
  <c r="AA132" i="24"/>
  <c r="AA123" i="24"/>
  <c r="Y142" i="24"/>
  <c r="Y132" i="24"/>
  <c r="X132" i="24"/>
  <c r="BY141" i="24"/>
  <c r="BI140" i="24"/>
  <c r="BA151" i="24"/>
  <c r="AZ134" i="24"/>
  <c r="AI155" i="24"/>
  <c r="AL141" i="24"/>
  <c r="AF130" i="24"/>
  <c r="Z151" i="24"/>
  <c r="Y123" i="24"/>
  <c r="X151" i="24"/>
  <c r="W141" i="24"/>
  <c r="CA134" i="24"/>
  <c r="BK138" i="24"/>
  <c r="BE150" i="24"/>
  <c r="AW133" i="24"/>
  <c r="AG155" i="24"/>
  <c r="AI141" i="24"/>
  <c r="AQ129" i="24"/>
  <c r="X123" i="24"/>
  <c r="CC133" i="24"/>
  <c r="BQ137" i="24"/>
  <c r="BD150" i="24"/>
  <c r="AY132" i="24"/>
  <c r="AP154" i="24"/>
  <c r="AO140" i="24"/>
  <c r="AP129" i="24"/>
  <c r="W151" i="24"/>
  <c r="R141" i="24"/>
  <c r="U132" i="24"/>
  <c r="AC122" i="24"/>
  <c r="BZ133" i="24"/>
  <c r="BL137" i="24"/>
  <c r="AZ150" i="24"/>
  <c r="AX132" i="24"/>
  <c r="AO154" i="24"/>
  <c r="AN140" i="24"/>
  <c r="AG128" i="24"/>
  <c r="Y150" i="24"/>
  <c r="AB140" i="24"/>
  <c r="T132" i="24"/>
  <c r="AA122" i="24"/>
  <c r="CA132" i="24"/>
  <c r="BJ137" i="24"/>
  <c r="AX150" i="24"/>
  <c r="AU130" i="24"/>
  <c r="AN154" i="24"/>
  <c r="AM140" i="24"/>
  <c r="AN125" i="24"/>
  <c r="X150" i="24"/>
  <c r="AA140" i="24"/>
  <c r="R132" i="24"/>
  <c r="Y121" i="24"/>
  <c r="BC148" i="24"/>
  <c r="BX132" i="24"/>
  <c r="BI137" i="24"/>
  <c r="AW150" i="24"/>
  <c r="AT130" i="24"/>
  <c r="AN153" i="24"/>
  <c r="AL140" i="24"/>
  <c r="AK125" i="24"/>
  <c r="T149" i="24"/>
  <c r="Y140" i="24"/>
  <c r="AC131" i="24"/>
  <c r="V121" i="24"/>
  <c r="BE148" i="24"/>
  <c r="S140" i="24"/>
  <c r="T121" i="24"/>
  <c r="BA129" i="24"/>
  <c r="CF130" i="24"/>
  <c r="BH137" i="24"/>
  <c r="BD149" i="24"/>
  <c r="BD129" i="24"/>
  <c r="AJ152" i="24"/>
  <c r="AH140" i="24"/>
  <c r="AI125" i="24"/>
  <c r="AB148" i="24"/>
  <c r="W140" i="24"/>
  <c r="AB131" i="24"/>
  <c r="U121" i="24"/>
  <c r="CB130" i="24"/>
  <c r="BM133" i="24"/>
  <c r="BB129" i="24"/>
  <c r="AO151" i="24"/>
  <c r="AO139" i="24"/>
  <c r="AH125" i="24"/>
  <c r="AA148" i="24"/>
  <c r="AA131" i="24"/>
  <c r="CG129" i="24"/>
  <c r="BI133" i="24"/>
  <c r="AK139" i="24"/>
  <c r="AF125" i="24"/>
  <c r="BM153" i="24"/>
  <c r="BR124" i="24"/>
  <c r="AT142" i="24"/>
  <c r="AW123" i="24"/>
  <c r="AK147" i="24"/>
  <c r="AF134" i="24"/>
  <c r="AK121" i="24"/>
  <c r="Z155" i="24"/>
  <c r="W146" i="24"/>
  <c r="V136" i="24"/>
  <c r="Y127" i="24"/>
  <c r="BJ151" i="24"/>
  <c r="BM124" i="24"/>
  <c r="BB141" i="24"/>
  <c r="AU123" i="24"/>
  <c r="AG147" i="24"/>
  <c r="AF133" i="24"/>
  <c r="AJ121" i="24"/>
  <c r="X155" i="24"/>
  <c r="V146" i="24"/>
  <c r="T136" i="24"/>
  <c r="X127" i="24"/>
  <c r="BI151" i="24"/>
  <c r="BI124" i="24"/>
  <c r="AY141" i="24"/>
  <c r="AT123" i="24"/>
  <c r="R125" i="24"/>
  <c r="R139" i="24"/>
  <c r="R155" i="24"/>
  <c r="V282" i="24"/>
  <c r="Z299" i="24"/>
  <c r="U315" i="24"/>
  <c r="Y331" i="24"/>
  <c r="Y352" i="24"/>
  <c r="V366" i="24"/>
  <c r="R386" i="24"/>
  <c r="T404" i="24"/>
  <c r="R419" i="24"/>
  <c r="T439" i="24"/>
  <c r="AO120" i="24"/>
  <c r="AM144" i="24"/>
  <c r="AJ273" i="24"/>
  <c r="AP300" i="24"/>
  <c r="AL334" i="24"/>
  <c r="AH362" i="24"/>
  <c r="AK397" i="24"/>
  <c r="AO434" i="24"/>
  <c r="AZ142" i="24"/>
  <c r="BC298" i="24"/>
  <c r="AZ349" i="24"/>
  <c r="BA400" i="24"/>
  <c r="BC453" i="24"/>
  <c r="BS144" i="24"/>
  <c r="BJ272" i="24"/>
  <c r="BL345" i="24"/>
  <c r="BP424" i="24"/>
  <c r="BW344" i="24"/>
  <c r="CK437" i="24"/>
  <c r="CO192" i="24"/>
  <c r="CS189" i="24"/>
  <c r="CK187" i="24"/>
  <c r="CO184" i="24"/>
  <c r="CS181" i="24"/>
  <c r="CK179" i="24"/>
  <c r="CO176" i="24"/>
  <c r="CS173" i="24"/>
  <c r="CK171" i="24"/>
  <c r="CO168" i="24"/>
  <c r="CS165" i="24"/>
  <c r="CK163" i="24"/>
  <c r="CO160" i="24"/>
  <c r="CP193" i="24"/>
  <c r="CS190" i="24"/>
  <c r="CJ188" i="24"/>
  <c r="CM185" i="24"/>
  <c r="CP182" i="24"/>
  <c r="CS179" i="24"/>
  <c r="CJ177" i="24"/>
  <c r="CM174" i="24"/>
  <c r="CP171" i="24"/>
  <c r="CS168" i="24"/>
  <c r="CJ166" i="24"/>
  <c r="CM163" i="24"/>
  <c r="CP160" i="24"/>
  <c r="CU192" i="24"/>
  <c r="CL190" i="24"/>
  <c r="CO187" i="24"/>
  <c r="CR184" i="24"/>
  <c r="CU181" i="24"/>
  <c r="CL179" i="24"/>
  <c r="CN176" i="24"/>
  <c r="CQ173" i="24"/>
  <c r="CT170" i="24"/>
  <c r="CK168" i="24"/>
  <c r="CN165" i="24"/>
  <c r="CQ162" i="24"/>
  <c r="CT159" i="24"/>
  <c r="CS192" i="24"/>
  <c r="CT189" i="24"/>
  <c r="CT186" i="24"/>
  <c r="CU183" i="24"/>
  <c r="CJ181" i="24"/>
  <c r="CK178" i="24"/>
  <c r="CL175" i="24"/>
  <c r="CM172" i="24"/>
  <c r="CN169" i="24"/>
  <c r="CO166" i="24"/>
  <c r="CP163" i="24"/>
  <c r="CQ160" i="24"/>
  <c r="CE193" i="24"/>
  <c r="BW191" i="24"/>
  <c r="CA188" i="24"/>
  <c r="CE185" i="24"/>
  <c r="BW183" i="24"/>
  <c r="CA180" i="24"/>
  <c r="CE177" i="24"/>
  <c r="BW175" i="24"/>
  <c r="CA172" i="24"/>
  <c r="CE169" i="24"/>
  <c r="BW167" i="24"/>
  <c r="CA164" i="24"/>
  <c r="CE161" i="24"/>
  <c r="BW159" i="24"/>
  <c r="CM191" i="24"/>
  <c r="CN188" i="24"/>
  <c r="CO185" i="24"/>
  <c r="CO182" i="24"/>
  <c r="CP179" i="24"/>
  <c r="CQ176" i="24"/>
  <c r="CP173" i="24"/>
  <c r="CT193" i="24"/>
  <c r="CU190" i="24"/>
  <c r="CU187" i="24"/>
  <c r="CJ185" i="24"/>
  <c r="CK182" i="24"/>
  <c r="CJ179" i="24"/>
  <c r="CK176" i="24"/>
  <c r="CL173" i="24"/>
  <c r="CM170" i="24"/>
  <c r="CN167" i="24"/>
  <c r="CO164" i="24"/>
  <c r="CP161" i="24"/>
  <c r="CQ158" i="24"/>
  <c r="CO191" i="24"/>
  <c r="CL188" i="24"/>
  <c r="CT184" i="24"/>
  <c r="CP181" i="24"/>
  <c r="CN178" i="24"/>
  <c r="CK175" i="24"/>
  <c r="CU171" i="24"/>
  <c r="CT168" i="24"/>
  <c r="CQ165" i="24"/>
  <c r="CO162" i="24"/>
  <c r="CN159" i="24"/>
  <c r="CK191" i="24"/>
  <c r="CS187" i="24"/>
  <c r="CP184" i="24"/>
  <c r="CM181" i="24"/>
  <c r="CJ178" i="24"/>
  <c r="CT174" i="24"/>
  <c r="CR171" i="24"/>
  <c r="CP168" i="24"/>
  <c r="CM165" i="24"/>
  <c r="CL162" i="24"/>
  <c r="CK159" i="24"/>
  <c r="CR193" i="24"/>
  <c r="CO190" i="24"/>
  <c r="CL187" i="24"/>
  <c r="CT183" i="24"/>
  <c r="CR180" i="24"/>
  <c r="CP177" i="24"/>
  <c r="CN174" i="24"/>
  <c r="CJ171" i="24"/>
  <c r="CT167" i="24"/>
  <c r="CS164" i="24"/>
  <c r="CR161" i="24"/>
  <c r="CP158" i="24"/>
  <c r="CL192" i="24"/>
  <c r="CS188" i="24"/>
  <c r="CL185" i="24"/>
  <c r="CO181" i="24"/>
  <c r="CT177" i="24"/>
  <c r="CO174" i="24"/>
  <c r="CR170" i="24"/>
  <c r="CM167" i="24"/>
  <c r="CK192" i="24"/>
  <c r="CR188" i="24"/>
  <c r="CK185" i="24"/>
  <c r="CN181" i="24"/>
  <c r="CS177" i="24"/>
  <c r="CL174" i="24"/>
  <c r="CQ170" i="24"/>
  <c r="CL167" i="24"/>
  <c r="CT163" i="24"/>
  <c r="CM160" i="24"/>
  <c r="CT191" i="24"/>
  <c r="CO188" i="24"/>
  <c r="CQ184" i="24"/>
  <c r="CU180" i="24"/>
  <c r="CO177" i="24"/>
  <c r="CU173" i="24"/>
  <c r="CN170" i="24"/>
  <c r="CU166" i="24"/>
  <c r="CQ163" i="24"/>
  <c r="CJ160" i="24"/>
  <c r="CL191" i="24"/>
  <c r="CP187" i="24"/>
  <c r="CS183" i="24"/>
  <c r="CN190" i="24"/>
  <c r="CN186" i="24"/>
  <c r="CQ182" i="24"/>
  <c r="CP178" i="24"/>
  <c r="CQ174" i="24"/>
  <c r="CO170" i="24"/>
  <c r="CR166" i="24"/>
  <c r="CS193" i="24"/>
  <c r="CP189" i="24"/>
  <c r="CR185" i="24"/>
  <c r="CK181" i="24"/>
  <c r="CK177" i="24"/>
  <c r="CU172" i="24"/>
  <c r="CL169" i="24"/>
  <c r="CK165" i="24"/>
  <c r="CO161" i="24"/>
  <c r="CT192" i="24"/>
  <c r="CT188" i="24"/>
  <c r="CL184" i="24"/>
  <c r="CL180" i="24"/>
  <c r="CJ176" i="24"/>
  <c r="CL172" i="24"/>
  <c r="CL168" i="24"/>
  <c r="CM164" i="24"/>
  <c r="CS160" i="24"/>
  <c r="CU191" i="24"/>
  <c r="CQ187" i="24"/>
  <c r="CN183" i="24"/>
  <c r="CO179" i="24"/>
  <c r="CO175" i="24"/>
  <c r="CN171" i="24"/>
  <c r="CO167" i="24"/>
  <c r="CO163" i="24"/>
  <c r="CR159" i="24"/>
  <c r="BZ193" i="24"/>
  <c r="CC190" i="24"/>
  <c r="CF187" i="24"/>
  <c r="BW185" i="24"/>
  <c r="BZ182" i="24"/>
  <c r="CC179" i="24"/>
  <c r="CF176" i="24"/>
  <c r="BW174" i="24"/>
  <c r="BZ171" i="24"/>
  <c r="CC168" i="24"/>
  <c r="CF165" i="24"/>
  <c r="BW163" i="24"/>
  <c r="BZ160" i="24"/>
  <c r="CR189" i="24"/>
  <c r="CP185" i="24"/>
  <c r="CO180" i="24"/>
  <c r="CU175" i="24"/>
  <c r="CS171" i="24"/>
  <c r="CK167" i="24"/>
  <c r="CU162" i="24"/>
  <c r="CU158" i="24"/>
  <c r="BV193" i="24"/>
  <c r="BX190" i="24"/>
  <c r="BZ187" i="24"/>
  <c r="CB184" i="24"/>
  <c r="CD181" i="24"/>
  <c r="CF178" i="24"/>
  <c r="BV176" i="24"/>
  <c r="BX173" i="24"/>
  <c r="BZ170" i="24"/>
  <c r="CB167" i="24"/>
  <c r="CD164" i="24"/>
  <c r="CF161" i="24"/>
  <c r="CG158" i="24"/>
  <c r="CQ189" i="24"/>
  <c r="CN185" i="24"/>
  <c r="CN180" i="24"/>
  <c r="CT175" i="24"/>
  <c r="CQ171" i="24"/>
  <c r="CJ167" i="24"/>
  <c r="CT162" i="24"/>
  <c r="CT158" i="24"/>
  <c r="CG192" i="24"/>
  <c r="BW190" i="24"/>
  <c r="BY187" i="24"/>
  <c r="CA184" i="24"/>
  <c r="CC181" i="24"/>
  <c r="CE178" i="24"/>
  <c r="CG175" i="24"/>
  <c r="BW173" i="24"/>
  <c r="BY170" i="24"/>
  <c r="CA167" i="24"/>
  <c r="CC164" i="24"/>
  <c r="CD161" i="24"/>
  <c r="CF158" i="24"/>
  <c r="BS193" i="24"/>
  <c r="BK191" i="24"/>
  <c r="BO188" i="24"/>
  <c r="BS185" i="24"/>
  <c r="BK183" i="24"/>
  <c r="BO180" i="24"/>
  <c r="BS177" i="24"/>
  <c r="BK175" i="24"/>
  <c r="BO172" i="24"/>
  <c r="BS169" i="24"/>
  <c r="BK167" i="24"/>
  <c r="BO164" i="24"/>
  <c r="BS161" i="24"/>
  <c r="BK159" i="24"/>
  <c r="BA192" i="24"/>
  <c r="BE189" i="24"/>
  <c r="AW187" i="24"/>
  <c r="BA184" i="24"/>
  <c r="BE181" i="24"/>
  <c r="AW179" i="24"/>
  <c r="BA176" i="24"/>
  <c r="BE173" i="24"/>
  <c r="AW171" i="24"/>
  <c r="BA168" i="24"/>
  <c r="BE165" i="24"/>
  <c r="AW163" i="24"/>
  <c r="BA160" i="24"/>
  <c r="CU193" i="24"/>
  <c r="CM189" i="24"/>
  <c r="CN184" i="24"/>
  <c r="CJ180" i="24"/>
  <c r="CQ175" i="24"/>
  <c r="CL171" i="24"/>
  <c r="CQ166" i="24"/>
  <c r="CP162" i="24"/>
  <c r="CO158" i="24"/>
  <c r="CD192" i="24"/>
  <c r="CF189" i="24"/>
  <c r="BV187" i="24"/>
  <c r="BX184" i="24"/>
  <c r="BZ181" i="24"/>
  <c r="CB178" i="24"/>
  <c r="CD175" i="24"/>
  <c r="CF172" i="24"/>
  <c r="BV170" i="24"/>
  <c r="BX167" i="24"/>
  <c r="BY164" i="24"/>
  <c r="CA161" i="24"/>
  <c r="CC158" i="24"/>
  <c r="CL193" i="24"/>
  <c r="CQ188" i="24"/>
  <c r="CQ183" i="24"/>
  <c r="CN179" i="24"/>
  <c r="CU174" i="24"/>
  <c r="CK170" i="24"/>
  <c r="CK166" i="24"/>
  <c r="CU161" i="24"/>
  <c r="CJ158" i="24"/>
  <c r="BY192" i="24"/>
  <c r="CA189" i="24"/>
  <c r="CC186" i="24"/>
  <c r="CE183" i="24"/>
  <c r="CG180" i="24"/>
  <c r="BW178" i="24"/>
  <c r="BY175" i="24"/>
  <c r="BZ172" i="24"/>
  <c r="CB169" i="24"/>
  <c r="CD166" i="24"/>
  <c r="CF163" i="24"/>
  <c r="BV161" i="24"/>
  <c r="CJ192" i="24"/>
  <c r="CJ187" i="24"/>
  <c r="CT182" i="24"/>
  <c r="CM178" i="24"/>
  <c r="CO173" i="24"/>
  <c r="CO169" i="24"/>
  <c r="CU164" i="24"/>
  <c r="CJ161" i="24"/>
  <c r="CC191" i="24"/>
  <c r="CE188" i="24"/>
  <c r="CG185" i="24"/>
  <c r="BV183" i="24"/>
  <c r="BX180" i="24"/>
  <c r="BZ177" i="24"/>
  <c r="CB174" i="24"/>
  <c r="CD171" i="24"/>
  <c r="CF168" i="24"/>
  <c r="BV166" i="24"/>
  <c r="BX163" i="24"/>
  <c r="BY160" i="24"/>
  <c r="BO192" i="24"/>
  <c r="BS189" i="24"/>
  <c r="BK187" i="24"/>
  <c r="BO184" i="24"/>
  <c r="BS181" i="24"/>
  <c r="BK179" i="24"/>
  <c r="BO176" i="24"/>
  <c r="BS173" i="24"/>
  <c r="BK171" i="24"/>
  <c r="BO168" i="24"/>
  <c r="BS165" i="24"/>
  <c r="BK163" i="24"/>
  <c r="BO160" i="24"/>
  <c r="CP191" i="24"/>
  <c r="CQ186" i="24"/>
  <c r="CM182" i="24"/>
  <c r="CQ177" i="24"/>
  <c r="CJ173" i="24"/>
  <c r="CU168" i="24"/>
  <c r="CP164" i="24"/>
  <c r="CN160" i="24"/>
  <c r="CM188" i="24"/>
  <c r="CS182" i="24"/>
  <c r="CU176" i="24"/>
  <c r="CT171" i="24"/>
  <c r="CL166" i="24"/>
  <c r="CL161" i="24"/>
  <c r="BW192" i="24"/>
  <c r="CF188" i="24"/>
  <c r="CA185" i="24"/>
  <c r="BW182" i="24"/>
  <c r="CD178" i="24"/>
  <c r="BZ175" i="24"/>
  <c r="CG171" i="24"/>
  <c r="CB168" i="24"/>
  <c r="BY165" i="24"/>
  <c r="BV162" i="24"/>
  <c r="CA158" i="24"/>
  <c r="BN193" i="24"/>
  <c r="BP190" i="24"/>
  <c r="BR187" i="24"/>
  <c r="BH185" i="24"/>
  <c r="BJ182" i="24"/>
  <c r="BL179" i="24"/>
  <c r="BM176" i="24"/>
  <c r="BO173" i="24"/>
  <c r="BQ170" i="24"/>
  <c r="BS167" i="24"/>
  <c r="BI165" i="24"/>
  <c r="BK162" i="24"/>
  <c r="BM159" i="24"/>
  <c r="BB192" i="24"/>
  <c r="BD189" i="24"/>
  <c r="AU187" i="24"/>
  <c r="AX184" i="24"/>
  <c r="BA181" i="24"/>
  <c r="BD178" i="24"/>
  <c r="AU176" i="24"/>
  <c r="AX173" i="24"/>
  <c r="BA170" i="24"/>
  <c r="BD167" i="24"/>
  <c r="AU165" i="24"/>
  <c r="AX162" i="24"/>
  <c r="BA159" i="24"/>
  <c r="CQ193" i="24"/>
  <c r="CK188" i="24"/>
  <c r="CR182" i="24"/>
  <c r="CT176" i="24"/>
  <c r="CO171" i="24"/>
  <c r="CU165" i="24"/>
  <c r="CK161" i="24"/>
  <c r="BV192" i="24"/>
  <c r="CD188" i="24"/>
  <c r="BZ185" i="24"/>
  <c r="BV182" i="24"/>
  <c r="CC178" i="24"/>
  <c r="BX175" i="24"/>
  <c r="CF171" i="24"/>
  <c r="CA168" i="24"/>
  <c r="BX165" i="24"/>
  <c r="CG161" i="24"/>
  <c r="BZ158" i="24"/>
  <c r="BM193" i="24"/>
  <c r="BO190" i="24"/>
  <c r="BQ187" i="24"/>
  <c r="BS184" i="24"/>
  <c r="BI182" i="24"/>
  <c r="BJ179" i="24"/>
  <c r="BL176" i="24"/>
  <c r="BN173" i="24"/>
  <c r="BP170" i="24"/>
  <c r="BR167" i="24"/>
  <c r="BH165" i="24"/>
  <c r="BJ162" i="24"/>
  <c r="BL159" i="24"/>
  <c r="AZ192" i="24"/>
  <c r="BC189" i="24"/>
  <c r="AT187" i="24"/>
  <c r="AW184" i="24"/>
  <c r="AZ181" i="24"/>
  <c r="BC178" i="24"/>
  <c r="AT176" i="24"/>
  <c r="AW173" i="24"/>
  <c r="AZ170" i="24"/>
  <c r="BC167" i="24"/>
  <c r="AT165" i="24"/>
  <c r="AW162" i="24"/>
  <c r="AZ159" i="24"/>
  <c r="CN193" i="24"/>
  <c r="CR187" i="24"/>
  <c r="CL182" i="24"/>
  <c r="CR176" i="24"/>
  <c r="CU170" i="24"/>
  <c r="CR165" i="24"/>
  <c r="CT160" i="24"/>
  <c r="CF191" i="24"/>
  <c r="CB188" i="24"/>
  <c r="BX185" i="24"/>
  <c r="CF181" i="24"/>
  <c r="BZ178" i="24"/>
  <c r="CG174" i="24"/>
  <c r="CC171" i="24"/>
  <c r="BY168" i="24"/>
  <c r="BV165" i="24"/>
  <c r="CB161" i="24"/>
  <c r="BX158" i="24"/>
  <c r="BK193" i="24"/>
  <c r="BM190" i="24"/>
  <c r="BO187" i="24"/>
  <c r="BQ184" i="24"/>
  <c r="BR181" i="24"/>
  <c r="BH179" i="24"/>
  <c r="BJ176" i="24"/>
  <c r="BL173" i="24"/>
  <c r="BN170" i="24"/>
  <c r="BP167" i="24"/>
  <c r="BR164" i="24"/>
  <c r="BH162" i="24"/>
  <c r="BI159" i="24"/>
  <c r="CM190" i="24"/>
  <c r="CM184" i="24"/>
  <c r="CT178" i="24"/>
  <c r="CM173" i="24"/>
  <c r="CJ168" i="24"/>
  <c r="CS162" i="24"/>
  <c r="CA193" i="24"/>
  <c r="CG189" i="24"/>
  <c r="CB186" i="24"/>
  <c r="BY183" i="24"/>
  <c r="CF179" i="24"/>
  <c r="CB176" i="24"/>
  <c r="BY173" i="24"/>
  <c r="CD169" i="24"/>
  <c r="BZ166" i="24"/>
  <c r="CG162" i="24"/>
  <c r="CD159" i="24"/>
  <c r="CN187" i="24"/>
  <c r="CL181" i="24"/>
  <c r="CJ175" i="24"/>
  <c r="CJ169" i="24"/>
  <c r="CJ163" i="24"/>
  <c r="CB193" i="24"/>
  <c r="CB189" i="24"/>
  <c r="CD185" i="24"/>
  <c r="CE181" i="24"/>
  <c r="CF177" i="24"/>
  <c r="BV174" i="24"/>
  <c r="CA170" i="24"/>
  <c r="CA166" i="24"/>
  <c r="CC162" i="24"/>
  <c r="CE158" i="24"/>
  <c r="BL193" i="24"/>
  <c r="BJ190" i="24"/>
  <c r="BH187" i="24"/>
  <c r="BS183" i="24"/>
  <c r="BR180" i="24"/>
  <c r="BP177" i="24"/>
  <c r="BO174" i="24"/>
  <c r="BN171" i="24"/>
  <c r="BL168" i="24"/>
  <c r="BK165" i="24"/>
  <c r="BR161" i="24"/>
  <c r="BQ158" i="24"/>
  <c r="AY192" i="24"/>
  <c r="AZ189" i="24"/>
  <c r="BA186" i="24"/>
  <c r="BB183" i="24"/>
  <c r="BC180" i="24"/>
  <c r="BD177" i="24"/>
  <c r="BE174" i="24"/>
  <c r="AT172" i="24"/>
  <c r="AU169" i="24"/>
  <c r="AV166" i="24"/>
  <c r="AV163" i="24"/>
  <c r="AW160" i="24"/>
  <c r="AO192" i="24"/>
  <c r="AG190" i="24"/>
  <c r="AK187" i="24"/>
  <c r="AO184" i="24"/>
  <c r="AG182" i="24"/>
  <c r="AK179" i="24"/>
  <c r="CO193" i="24"/>
  <c r="CS186" i="24"/>
  <c r="CQ180" i="24"/>
  <c r="CP174" i="24"/>
  <c r="CN168" i="24"/>
  <c r="CM162" i="24"/>
  <c r="CP192" i="24"/>
  <c r="CK186" i="24"/>
  <c r="CR179" i="24"/>
  <c r="CK173" i="24"/>
  <c r="CP167" i="24"/>
  <c r="CN161" i="24"/>
  <c r="BZ192" i="24"/>
  <c r="BY188" i="24"/>
  <c r="CC184" i="24"/>
  <c r="CD180" i="24"/>
  <c r="CG176" i="24"/>
  <c r="BV173" i="24"/>
  <c r="BX169" i="24"/>
  <c r="CA165" i="24"/>
  <c r="BY161" i="24"/>
  <c r="BM192" i="24"/>
  <c r="BL189" i="24"/>
  <c r="BK186" i="24"/>
  <c r="BI183" i="24"/>
  <c r="BH180" i="24"/>
  <c r="BS176" i="24"/>
  <c r="BQ173" i="24"/>
  <c r="BM170" i="24"/>
  <c r="BL167" i="24"/>
  <c r="BJ164" i="24"/>
  <c r="BI161" i="24"/>
  <c r="BH158" i="24"/>
  <c r="BB191" i="24"/>
  <c r="BC188" i="24"/>
  <c r="BD185" i="24"/>
  <c r="BE182" i="24"/>
  <c r="AT180" i="24"/>
  <c r="AU177" i="24"/>
  <c r="AV174" i="24"/>
  <c r="AV171" i="24"/>
  <c r="AW168" i="24"/>
  <c r="AX165" i="24"/>
  <c r="AY162" i="24"/>
  <c r="AX159" i="24"/>
  <c r="CT190" i="24"/>
  <c r="CK184" i="24"/>
  <c r="CL178" i="24"/>
  <c r="CK172" i="24"/>
  <c r="CO165" i="24"/>
  <c r="CQ159" i="24"/>
  <c r="BY191" i="24"/>
  <c r="CB187" i="24"/>
  <c r="CC183" i="24"/>
  <c r="CE179" i="24"/>
  <c r="BW176" i="24"/>
  <c r="BW172" i="24"/>
  <c r="BW168" i="24"/>
  <c r="BX164" i="24"/>
  <c r="CB160" i="24"/>
  <c r="BQ191" i="24"/>
  <c r="BP188" i="24"/>
  <c r="BN185" i="24"/>
  <c r="BM182" i="24"/>
  <c r="BI179" i="24"/>
  <c r="BS175" i="24"/>
  <c r="BR172" i="24"/>
  <c r="BP169" i="24"/>
  <c r="BO166" i="24"/>
  <c r="BN163" i="24"/>
  <c r="BL160" i="24"/>
  <c r="CK190" i="24"/>
  <c r="CO183" i="24"/>
  <c r="CM177" i="24"/>
  <c r="CP170" i="24"/>
  <c r="CR164" i="24"/>
  <c r="CL159" i="24"/>
  <c r="CF190" i="24"/>
  <c r="CG186" i="24"/>
  <c r="BX183" i="24"/>
  <c r="BZ179" i="24"/>
  <c r="CB175" i="24"/>
  <c r="CA171" i="24"/>
  <c r="CE167" i="24"/>
  <c r="CE163" i="24"/>
  <c r="BV160" i="24"/>
  <c r="BM191" i="24"/>
  <c r="BK188" i="24"/>
  <c r="BJ185" i="24"/>
  <c r="BQ181" i="24"/>
  <c r="BP178" i="24"/>
  <c r="BO175" i="24"/>
  <c r="BM172" i="24"/>
  <c r="BL169" i="24"/>
  <c r="BK166" i="24"/>
  <c r="BI163" i="24"/>
  <c r="BH160" i="24"/>
  <c r="CJ190" i="24"/>
  <c r="CM183" i="24"/>
  <c r="CL177" i="24"/>
  <c r="CL170" i="24"/>
  <c r="CQ164" i="24"/>
  <c r="CJ159" i="24"/>
  <c r="CJ189" i="24"/>
  <c r="CP180" i="24"/>
  <c r="CS172" i="24"/>
  <c r="CL165" i="24"/>
  <c r="CM158" i="24"/>
  <c r="CA192" i="24"/>
  <c r="CG187" i="24"/>
  <c r="CB183" i="24"/>
  <c r="BX179" i="24"/>
  <c r="CC174" i="24"/>
  <c r="CB170" i="24"/>
  <c r="CG165" i="24"/>
  <c r="BZ161" i="24"/>
  <c r="BJ192" i="24"/>
  <c r="BQ188" i="24"/>
  <c r="BI185" i="24"/>
  <c r="BL181" i="24"/>
  <c r="BR177" i="24"/>
  <c r="BL174" i="24"/>
  <c r="BR170" i="24"/>
  <c r="BH167" i="24"/>
  <c r="BO163" i="24"/>
  <c r="BS159" i="24"/>
  <c r="CU188" i="24"/>
  <c r="CM180" i="24"/>
  <c r="CR172" i="24"/>
  <c r="CJ165" i="24"/>
  <c r="CL158" i="24"/>
  <c r="CP188" i="24"/>
  <c r="CK180" i="24"/>
  <c r="CQ172" i="24"/>
  <c r="CT164" i="24"/>
  <c r="CK158" i="24"/>
  <c r="CG191" i="24"/>
  <c r="CD187" i="24"/>
  <c r="BZ183" i="24"/>
  <c r="BV179" i="24"/>
  <c r="BZ174" i="24"/>
  <c r="BW170" i="24"/>
  <c r="CD165" i="24"/>
  <c r="BW161" i="24"/>
  <c r="BH192" i="24"/>
  <c r="BM188" i="24"/>
  <c r="BP184" i="24"/>
  <c r="BJ181" i="24"/>
  <c r="BO177" i="24"/>
  <c r="BJ174" i="24"/>
  <c r="BL170" i="24"/>
  <c r="BR166" i="24"/>
  <c r="BL163" i="24"/>
  <c r="BQ159" i="24"/>
  <c r="CM186" i="24"/>
  <c r="CR178" i="24"/>
  <c r="CJ170" i="24"/>
  <c r="CR163" i="24"/>
  <c r="BV191" i="24"/>
  <c r="CD186" i="24"/>
  <c r="CA182" i="24"/>
  <c r="CD177" i="24"/>
  <c r="CC173" i="24"/>
  <c r="BW169" i="24"/>
  <c r="CE164" i="24"/>
  <c r="BX160" i="24"/>
  <c r="CQ191" i="24"/>
  <c r="CL183" i="24"/>
  <c r="CP175" i="24"/>
  <c r="CU167" i="24"/>
  <c r="CR160" i="24"/>
  <c r="CO186" i="24"/>
  <c r="CN177" i="24"/>
  <c r="CQ168" i="24"/>
  <c r="CS159" i="24"/>
  <c r="BX192" i="24"/>
  <c r="BX187" i="24"/>
  <c r="CB182" i="24"/>
  <c r="CA177" i="24"/>
  <c r="CD172" i="24"/>
  <c r="CF167" i="24"/>
  <c r="BV163" i="24"/>
  <c r="BW158" i="24"/>
  <c r="CL186" i="24"/>
  <c r="CS176" i="24"/>
  <c r="CM168" i="24"/>
  <c r="CP159" i="24"/>
  <c r="CE191" i="24"/>
  <c r="BW187" i="24"/>
  <c r="BY182" i="24"/>
  <c r="BY177" i="24"/>
  <c r="CC172" i="24"/>
  <c r="CD167" i="24"/>
  <c r="CF162" i="24"/>
  <c r="BV158" i="24"/>
  <c r="BS191" i="24"/>
  <c r="BI188" i="24"/>
  <c r="BJ184" i="24"/>
  <c r="BM180" i="24"/>
  <c r="BQ176" i="24"/>
  <c r="BQ172" i="24"/>
  <c r="BH169" i="24"/>
  <c r="BL165" i="24"/>
  <c r="BL161" i="24"/>
  <c r="CJ186" i="24"/>
  <c r="CP176" i="24"/>
  <c r="CS167" i="24"/>
  <c r="CO159" i="24"/>
  <c r="CK193" i="24"/>
  <c r="CJ184" i="24"/>
  <c r="CS174" i="24"/>
  <c r="CM166" i="24"/>
  <c r="CD190" i="24"/>
  <c r="BV186" i="24"/>
  <c r="BV181" i="24"/>
  <c r="BZ176" i="24"/>
  <c r="BX171" i="24"/>
  <c r="CC166" i="24"/>
  <c r="BW162" i="24"/>
  <c r="CJ193" i="24"/>
  <c r="CR183" i="24"/>
  <c r="CR174" i="24"/>
  <c r="CT165" i="24"/>
  <c r="CB190" i="24"/>
  <c r="CF185" i="24"/>
  <c r="CF180" i="24"/>
  <c r="BY176" i="24"/>
  <c r="BW171" i="24"/>
  <c r="CB166" i="24"/>
  <c r="CC161" i="24"/>
  <c r="CR192" i="24"/>
  <c r="CP183" i="24"/>
  <c r="CK174" i="24"/>
  <c r="CP165" i="24"/>
  <c r="CA190" i="24"/>
  <c r="CC185" i="24"/>
  <c r="CE180" i="24"/>
  <c r="BX176" i="24"/>
  <c r="BV171" i="24"/>
  <c r="BY166" i="24"/>
  <c r="BX161" i="24"/>
  <c r="CP190" i="24"/>
  <c r="CS180" i="24"/>
  <c r="CM171" i="24"/>
  <c r="CN162" i="24"/>
  <c r="CG193" i="24"/>
  <c r="BW189" i="24"/>
  <c r="BW184" i="24"/>
  <c r="CA179" i="24"/>
  <c r="BY174" i="24"/>
  <c r="CA169" i="24"/>
  <c r="CB164" i="24"/>
  <c r="CE159" i="24"/>
  <c r="CU189" i="24"/>
  <c r="CU179" i="24"/>
  <c r="CS170" i="24"/>
  <c r="CK162" i="24"/>
  <c r="CF193" i="24"/>
  <c r="BV189" i="24"/>
  <c r="BV184" i="24"/>
  <c r="BY179" i="24"/>
  <c r="BX174" i="24"/>
  <c r="BZ169" i="24"/>
  <c r="BZ164" i="24"/>
  <c r="CC159" i="24"/>
  <c r="CO189" i="24"/>
  <c r="CT179" i="24"/>
  <c r="CU169" i="24"/>
  <c r="CJ162" i="24"/>
  <c r="CU184" i="24"/>
  <c r="CN172" i="24"/>
  <c r="CU159" i="24"/>
  <c r="BW193" i="24"/>
  <c r="CA186" i="24"/>
  <c r="BZ180" i="24"/>
  <c r="CG173" i="24"/>
  <c r="BV168" i="24"/>
  <c r="BY162" i="24"/>
  <c r="BN191" i="24"/>
  <c r="BM187" i="24"/>
  <c r="BO183" i="24"/>
  <c r="BQ179" i="24"/>
  <c r="BP175" i="24"/>
  <c r="BR171" i="24"/>
  <c r="BH168" i="24"/>
  <c r="BS163" i="24"/>
  <c r="BI160" i="24"/>
  <c r="AW192" i="24"/>
  <c r="AV189" i="24"/>
  <c r="AU186" i="24"/>
  <c r="AT183" i="24"/>
  <c r="BD179" i="24"/>
  <c r="BC176" i="24"/>
  <c r="BA173" i="24"/>
  <c r="AX170" i="24"/>
  <c r="AW167" i="24"/>
  <c r="AV164" i="24"/>
  <c r="AU161" i="24"/>
  <c r="AT158" i="24"/>
  <c r="AP192" i="24"/>
  <c r="CS184" i="24"/>
  <c r="CJ172" i="24"/>
  <c r="CM159" i="24"/>
  <c r="CF192" i="24"/>
  <c r="BZ186" i="24"/>
  <c r="BY180" i="24"/>
  <c r="CF173" i="24"/>
  <c r="CG167" i="24"/>
  <c r="BX162" i="24"/>
  <c r="BL191" i="24"/>
  <c r="BL187" i="24"/>
  <c r="BN183" i="24"/>
  <c r="BP179" i="24"/>
  <c r="BN175" i="24"/>
  <c r="BQ171" i="24"/>
  <c r="BQ167" i="24"/>
  <c r="BR163" i="24"/>
  <c r="BR159" i="24"/>
  <c r="AV192" i="24"/>
  <c r="AU189" i="24"/>
  <c r="AT186" i="24"/>
  <c r="BD182" i="24"/>
  <c r="BC179" i="24"/>
  <c r="BB176" i="24"/>
  <c r="AZ173" i="24"/>
  <c r="AW170" i="24"/>
  <c r="AV167" i="24"/>
  <c r="AU164" i="24"/>
  <c r="AT161" i="24"/>
  <c r="AN192" i="24"/>
  <c r="AQ189" i="24"/>
  <c r="AH187" i="24"/>
  <c r="AK184" i="24"/>
  <c r="AN181" i="24"/>
  <c r="AQ178" i="24"/>
  <c r="AI176" i="24"/>
  <c r="AM173" i="24"/>
  <c r="AQ170" i="24"/>
  <c r="AI168" i="24"/>
  <c r="AM165" i="24"/>
  <c r="AQ162" i="24"/>
  <c r="AI160" i="24"/>
  <c r="CU182" i="24"/>
  <c r="CR169" i="24"/>
  <c r="CN158" i="24"/>
  <c r="CN182" i="24"/>
  <c r="CQ169" i="24"/>
  <c r="CD191" i="24"/>
  <c r="CB185" i="24"/>
  <c r="CD179" i="24"/>
  <c r="CA173" i="24"/>
  <c r="BV167" i="24"/>
  <c r="CD160" i="24"/>
  <c r="BS190" i="24"/>
  <c r="BR186" i="24"/>
  <c r="BH183" i="24"/>
  <c r="BS178" i="24"/>
  <c r="BI175" i="24"/>
  <c r="BL171" i="24"/>
  <c r="BJ167" i="24"/>
  <c r="BJ163" i="24"/>
  <c r="BJ159" i="24"/>
  <c r="CQ181" i="24"/>
  <c r="CR168" i="24"/>
  <c r="BX191" i="24"/>
  <c r="CF184" i="24"/>
  <c r="CA178" i="24"/>
  <c r="CB172" i="24"/>
  <c r="BX166" i="24"/>
  <c r="CG159" i="24"/>
  <c r="BL190" i="24"/>
  <c r="BN186" i="24"/>
  <c r="BP182" i="24"/>
  <c r="BN178" i="24"/>
  <c r="BQ174" i="24"/>
  <c r="BS170" i="24"/>
  <c r="BP166" i="24"/>
  <c r="BQ162" i="24"/>
  <c r="BP158" i="24"/>
  <c r="AY191" i="24"/>
  <c r="AX188" i="24"/>
  <c r="AW185" i="24"/>
  <c r="AV182" i="24"/>
  <c r="AT179" i="24"/>
  <c r="BC175" i="24"/>
  <c r="BB172" i="24"/>
  <c r="BA169" i="24"/>
  <c r="AZ166" i="24"/>
  <c r="AY163" i="24"/>
  <c r="AV160" i="24"/>
  <c r="CR181" i="24"/>
  <c r="CP166" i="24"/>
  <c r="CE189" i="24"/>
  <c r="CF182" i="24"/>
  <c r="CF175" i="24"/>
  <c r="CG168" i="24"/>
  <c r="BZ162" i="24"/>
  <c r="BN192" i="24"/>
  <c r="BS187" i="24"/>
  <c r="BL183" i="24"/>
  <c r="BO178" i="24"/>
  <c r="BK174" i="24"/>
  <c r="BO169" i="24"/>
  <c r="BM165" i="24"/>
  <c r="BR160" i="24"/>
  <c r="BA193" i="24"/>
  <c r="AW190" i="24"/>
  <c r="BB186" i="24"/>
  <c r="AW183" i="24"/>
  <c r="BB179" i="24"/>
  <c r="AW176" i="24"/>
  <c r="BC172" i="24"/>
  <c r="AX169" i="24"/>
  <c r="BD165" i="24"/>
  <c r="AZ162" i="24"/>
  <c r="BE158" i="24"/>
  <c r="CU178" i="24"/>
  <c r="CK164" i="24"/>
  <c r="BY189" i="24"/>
  <c r="BX182" i="24"/>
  <c r="BV175" i="24"/>
  <c r="BX168" i="24"/>
  <c r="CC160" i="24"/>
  <c r="BR191" i="24"/>
  <c r="BI187" i="24"/>
  <c r="BQ182" i="24"/>
  <c r="BJ178" i="24"/>
  <c r="BP173" i="24"/>
  <c r="BJ169" i="24"/>
  <c r="BP164" i="24"/>
  <c r="CQ192" i="24"/>
  <c r="CO178" i="24"/>
  <c r="CS163" i="24"/>
  <c r="CC188" i="24"/>
  <c r="CA181" i="24"/>
  <c r="CD174" i="24"/>
  <c r="BY167" i="24"/>
  <c r="CF159" i="24"/>
  <c r="BJ191" i="24"/>
  <c r="BP186" i="24"/>
  <c r="BL182" i="24"/>
  <c r="BQ177" i="24"/>
  <c r="BJ173" i="24"/>
  <c r="BR168" i="24"/>
  <c r="BL164" i="24"/>
  <c r="BP159" i="24"/>
  <c r="AT193" i="24"/>
  <c r="AX189" i="24"/>
  <c r="BC185" i="24"/>
  <c r="AY182" i="24"/>
  <c r="BE178" i="24"/>
  <c r="AY175" i="24"/>
  <c r="AU172" i="24"/>
  <c r="BB168" i="24"/>
  <c r="AV165" i="24"/>
  <c r="BB161" i="24"/>
  <c r="AX158" i="24"/>
  <c r="AI192" i="24"/>
  <c r="AK189" i="24"/>
  <c r="AM186" i="24"/>
  <c r="AO183" i="24"/>
  <c r="AQ180" i="24"/>
  <c r="AG178" i="24"/>
  <c r="AJ175" i="24"/>
  <c r="AM172" i="24"/>
  <c r="AP169" i="24"/>
  <c r="AG167" i="24"/>
  <c r="AJ164" i="24"/>
  <c r="AM161" i="24"/>
  <c r="AP158" i="24"/>
  <c r="CQ190" i="24"/>
  <c r="CM175" i="24"/>
  <c r="CU160" i="24"/>
  <c r="CF186" i="24"/>
  <c r="CG179" i="24"/>
  <c r="BY172" i="24"/>
  <c r="BZ165" i="24"/>
  <c r="CB158" i="24"/>
  <c r="BH190" i="24"/>
  <c r="BQ185" i="24"/>
  <c r="BI181" i="24"/>
  <c r="BR176" i="24"/>
  <c r="BJ172" i="24"/>
  <c r="BO167" i="24"/>
  <c r="BS162" i="24"/>
  <c r="BM158" i="24"/>
  <c r="BD191" i="24"/>
  <c r="AY188" i="24"/>
  <c r="AT185" i="24"/>
  <c r="AY181" i="24"/>
  <c r="AU178" i="24"/>
  <c r="BB174" i="24"/>
  <c r="AX171" i="24"/>
  <c r="BB167" i="24"/>
  <c r="AX164" i="24"/>
  <c r="BD160" i="24"/>
  <c r="AM191" i="24"/>
  <c r="AO188" i="24"/>
  <c r="AQ185" i="24"/>
  <c r="AG183" i="24"/>
  <c r="AI180" i="24"/>
  <c r="AK177" i="24"/>
  <c r="AN174" i="24"/>
  <c r="AQ171" i="24"/>
  <c r="AH169" i="24"/>
  <c r="AK166" i="24"/>
  <c r="AN163" i="24"/>
  <c r="AQ160" i="24"/>
  <c r="AH158" i="24"/>
  <c r="CN192" i="24"/>
  <c r="CS175" i="24"/>
  <c r="CK160" i="24"/>
  <c r="CG188" i="24"/>
  <c r="CC180" i="24"/>
  <c r="BX172" i="24"/>
  <c r="BV164" i="24"/>
  <c r="BQ193" i="24"/>
  <c r="BS188" i="24"/>
  <c r="BP183" i="24"/>
  <c r="BK178" i="24"/>
  <c r="BH173" i="24"/>
  <c r="BJ168" i="24"/>
  <c r="BO162" i="24"/>
  <c r="AX191" i="24"/>
  <c r="BC187" i="24"/>
  <c r="BE183" i="24"/>
  <c r="AW180" i="24"/>
  <c r="AX176" i="24"/>
  <c r="AY172" i="24"/>
  <c r="BC168" i="24"/>
  <c r="BC164" i="24"/>
  <c r="AV161" i="24"/>
  <c r="AN193" i="24"/>
  <c r="AM190" i="24"/>
  <c r="AM187" i="24"/>
  <c r="AL184" i="24"/>
  <c r="AK181" i="24"/>
  <c r="AK178" i="24"/>
  <c r="AL175" i="24"/>
  <c r="AL172" i="24"/>
  <c r="AM169" i="24"/>
  <c r="AN166" i="24"/>
  <c r="AO163" i="24"/>
  <c r="AO160" i="24"/>
  <c r="S192" i="24"/>
  <c r="W189" i="24"/>
  <c r="AA186" i="24"/>
  <c r="S184" i="24"/>
  <c r="W181" i="24"/>
  <c r="AA178" i="24"/>
  <c r="S176" i="24"/>
  <c r="W173" i="24"/>
  <c r="AA170" i="24"/>
  <c r="S168" i="24"/>
  <c r="W165" i="24"/>
  <c r="AA162" i="24"/>
  <c r="S160" i="24"/>
  <c r="CM192" i="24"/>
  <c r="CR175" i="24"/>
  <c r="CS158" i="24"/>
  <c r="BZ188" i="24"/>
  <c r="CB180" i="24"/>
  <c r="BV172" i="24"/>
  <c r="CG163" i="24"/>
  <c r="BP193" i="24"/>
  <c r="BR188" i="24"/>
  <c r="BM183" i="24"/>
  <c r="BI178" i="24"/>
  <c r="BS172" i="24"/>
  <c r="BI168" i="24"/>
  <c r="BN162" i="24"/>
  <c r="AW191" i="24"/>
  <c r="BB187" i="24"/>
  <c r="BD183" i="24"/>
  <c r="AV180" i="24"/>
  <c r="AV176" i="24"/>
  <c r="AX172" i="24"/>
  <c r="AZ168" i="24"/>
  <c r="BB164" i="24"/>
  <c r="BE160" i="24"/>
  <c r="AM193" i="24"/>
  <c r="AL190" i="24"/>
  <c r="AL187" i="24"/>
  <c r="AJ184" i="24"/>
  <c r="AJ181" i="24"/>
  <c r="AJ178" i="24"/>
  <c r="AK175" i="24"/>
  <c r="AK172" i="24"/>
  <c r="AL169" i="24"/>
  <c r="AM166" i="24"/>
  <c r="AM163" i="24"/>
  <c r="AN160" i="24"/>
  <c r="R192" i="24"/>
  <c r="V189" i="24"/>
  <c r="Z186" i="24"/>
  <c r="R184" i="24"/>
  <c r="V181" i="24"/>
  <c r="Z178" i="24"/>
  <c r="R176" i="24"/>
  <c r="V173" i="24"/>
  <c r="Z170" i="24"/>
  <c r="R168" i="24"/>
  <c r="V165" i="24"/>
  <c r="Z162" i="24"/>
  <c r="R160" i="24"/>
  <c r="CS191" i="24"/>
  <c r="CN175" i="24"/>
  <c r="CR158" i="24"/>
  <c r="BX188" i="24"/>
  <c r="BW180" i="24"/>
  <c r="CE171" i="24"/>
  <c r="CD163" i="24"/>
  <c r="BO193" i="24"/>
  <c r="BN188" i="24"/>
  <c r="BJ183" i="24"/>
  <c r="BH178" i="24"/>
  <c r="BP172" i="24"/>
  <c r="BN167" i="24"/>
  <c r="BM162" i="24"/>
  <c r="AV191" i="24"/>
  <c r="BA187" i="24"/>
  <c r="BC183" i="24"/>
  <c r="AU180" i="24"/>
  <c r="BE175" i="24"/>
  <c r="AW172" i="24"/>
  <c r="AY168" i="24"/>
  <c r="BA164" i="24"/>
  <c r="BC160" i="24"/>
  <c r="AL193" i="24"/>
  <c r="AK190" i="24"/>
  <c r="AJ187" i="24"/>
  <c r="AI184" i="24"/>
  <c r="AI181" i="24"/>
  <c r="AI178" i="24"/>
  <c r="AI175" i="24"/>
  <c r="AJ172" i="24"/>
  <c r="AK169" i="24"/>
  <c r="AL166" i="24"/>
  <c r="AL163" i="24"/>
  <c r="AM160" i="24"/>
  <c r="AC191" i="24"/>
  <c r="U189" i="24"/>
  <c r="Y186" i="24"/>
  <c r="AC183" i="24"/>
  <c r="U181" i="24"/>
  <c r="Y178" i="24"/>
  <c r="AC175" i="24"/>
  <c r="U173" i="24"/>
  <c r="Y170" i="24"/>
  <c r="AC167" i="24"/>
  <c r="U165" i="24"/>
  <c r="Y162" i="24"/>
  <c r="AC159" i="24"/>
  <c r="CR191" i="24"/>
  <c r="CJ174" i="24"/>
  <c r="BW188" i="24"/>
  <c r="BV180" i="24"/>
  <c r="CB171" i="24"/>
  <c r="CC163" i="24"/>
  <c r="BJ193" i="24"/>
  <c r="BL188" i="24"/>
  <c r="BS182" i="24"/>
  <c r="BN177" i="24"/>
  <c r="BN172" i="24"/>
  <c r="BM167" i="24"/>
  <c r="BL162" i="24"/>
  <c r="AU191" i="24"/>
  <c r="AZ187" i="24"/>
  <c r="BA183" i="24"/>
  <c r="BE179" i="24"/>
  <c r="BD175" i="24"/>
  <c r="AV172" i="24"/>
  <c r="AX168" i="24"/>
  <c r="AZ164" i="24"/>
  <c r="BB160" i="24"/>
  <c r="AK193" i="24"/>
  <c r="AJ190" i="24"/>
  <c r="AI187" i="24"/>
  <c r="AH184" i="24"/>
  <c r="AH181" i="24"/>
  <c r="AH178" i="24"/>
  <c r="AH175" i="24"/>
  <c r="AI172" i="24"/>
  <c r="AJ169" i="24"/>
  <c r="AJ166" i="24"/>
  <c r="AK163" i="24"/>
  <c r="AL160" i="24"/>
  <c r="AB191" i="24"/>
  <c r="T189" i="24"/>
  <c r="X186" i="24"/>
  <c r="AB183" i="24"/>
  <c r="T181" i="24"/>
  <c r="X178" i="24"/>
  <c r="AB175" i="24"/>
  <c r="T173" i="24"/>
  <c r="X170" i="24"/>
  <c r="AB167" i="24"/>
  <c r="T165" i="24"/>
  <c r="X162" i="24"/>
  <c r="AB159" i="24"/>
  <c r="CN191" i="24"/>
  <c r="CT173" i="24"/>
  <c r="BV188" i="24"/>
  <c r="CB179" i="24"/>
  <c r="BY171" i="24"/>
  <c r="CB163" i="24"/>
  <c r="BI193" i="24"/>
  <c r="BJ188" i="24"/>
  <c r="BR182" i="24"/>
  <c r="BM177" i="24"/>
  <c r="BL172" i="24"/>
  <c r="BI167" i="24"/>
  <c r="BI162" i="24"/>
  <c r="AT191" i="24"/>
  <c r="AY187" i="24"/>
  <c r="AZ183" i="24"/>
  <c r="BA179" i="24"/>
  <c r="BB175" i="24"/>
  <c r="BE171" i="24"/>
  <c r="AV168" i="24"/>
  <c r="AY164" i="24"/>
  <c r="AZ160" i="24"/>
  <c r="AJ193" i="24"/>
  <c r="AI190" i="24"/>
  <c r="AG187" i="24"/>
  <c r="AG184" i="24"/>
  <c r="AG181" i="24"/>
  <c r="AF178" i="24"/>
  <c r="AG175" i="24"/>
  <c r="AH172" i="24"/>
  <c r="AI169" i="24"/>
  <c r="AI166" i="24"/>
  <c r="AJ163" i="24"/>
  <c r="AK160" i="24"/>
  <c r="AA191" i="24"/>
  <c r="S189" i="24"/>
  <c r="W186" i="24"/>
  <c r="AA183" i="24"/>
  <c r="S181" i="24"/>
  <c r="W178" i="24"/>
  <c r="AA175" i="24"/>
  <c r="S173" i="24"/>
  <c r="W170" i="24"/>
  <c r="AA167" i="24"/>
  <c r="S165" i="24"/>
  <c r="W162" i="24"/>
  <c r="AA159" i="24"/>
  <c r="CK189" i="24"/>
  <c r="CO172" i="24"/>
  <c r="BY186" i="24"/>
  <c r="BV178" i="24"/>
  <c r="CC170" i="24"/>
  <c r="CD162" i="24"/>
  <c r="BP192" i="24"/>
  <c r="BS186" i="24"/>
  <c r="BP181" i="24"/>
  <c r="BH177" i="24"/>
  <c r="BP171" i="24"/>
  <c r="BL166" i="24"/>
  <c r="BM161" i="24"/>
  <c r="BA190" i="24"/>
  <c r="BC186" i="24"/>
  <c r="BC182" i="24"/>
  <c r="AU179" i="24"/>
  <c r="AV175" i="24"/>
  <c r="AZ171" i="24"/>
  <c r="AZ167" i="24"/>
  <c r="BC163" i="24"/>
  <c r="BE159" i="24"/>
  <c r="AQ192" i="24"/>
  <c r="AN189" i="24"/>
  <c r="AN186" i="24"/>
  <c r="AM183" i="24"/>
  <c r="AM180" i="24"/>
  <c r="AM177" i="24"/>
  <c r="AM174" i="24"/>
  <c r="AN171" i="24"/>
  <c r="AO168" i="24"/>
  <c r="AP165" i="24"/>
  <c r="AP162" i="24"/>
  <c r="AQ159" i="24"/>
  <c r="V191" i="24"/>
  <c r="Z188" i="24"/>
  <c r="R186" i="24"/>
  <c r="V183" i="24"/>
  <c r="Z180" i="24"/>
  <c r="R178" i="24"/>
  <c r="V175" i="24"/>
  <c r="Z172" i="24"/>
  <c r="R170" i="24"/>
  <c r="V167" i="24"/>
  <c r="Z164" i="24"/>
  <c r="R162" i="24"/>
  <c r="V159" i="24"/>
  <c r="CT187" i="24"/>
  <c r="CT169" i="24"/>
  <c r="BX186" i="24"/>
  <c r="CG177" i="24"/>
  <c r="BX170" i="24"/>
  <c r="CB162" i="24"/>
  <c r="BL192" i="24"/>
  <c r="BQ186" i="24"/>
  <c r="BO181" i="24"/>
  <c r="BP176" i="24"/>
  <c r="BO171" i="24"/>
  <c r="BJ166" i="24"/>
  <c r="BK161" i="24"/>
  <c r="AZ190" i="24"/>
  <c r="AZ186" i="24"/>
  <c r="BB182" i="24"/>
  <c r="BB178" i="24"/>
  <c r="AU175" i="24"/>
  <c r="AY171" i="24"/>
  <c r="AY167" i="24"/>
  <c r="BB163" i="24"/>
  <c r="BD159" i="24"/>
  <c r="AM192" i="24"/>
  <c r="AM189" i="24"/>
  <c r="AL186" i="24"/>
  <c r="AL183" i="24"/>
  <c r="AL180" i="24"/>
  <c r="AL177" i="24"/>
  <c r="AL174" i="24"/>
  <c r="AM171" i="24"/>
  <c r="AN168" i="24"/>
  <c r="AO165" i="24"/>
  <c r="AO162" i="24"/>
  <c r="AP159" i="24"/>
  <c r="AC193" i="24"/>
  <c r="U191" i="24"/>
  <c r="Y188" i="24"/>
  <c r="AC185" i="24"/>
  <c r="U183" i="24"/>
  <c r="Y180" i="24"/>
  <c r="AC177" i="24"/>
  <c r="U175" i="24"/>
  <c r="Y172" i="24"/>
  <c r="AC169" i="24"/>
  <c r="U167" i="24"/>
  <c r="Y164" i="24"/>
  <c r="AC161" i="24"/>
  <c r="U159" i="24"/>
  <c r="CS185" i="24"/>
  <c r="CT166" i="24"/>
  <c r="CE192" i="24"/>
  <c r="BZ184" i="24"/>
  <c r="CD176" i="24"/>
  <c r="CD168" i="24"/>
  <c r="CB159" i="24"/>
  <c r="BR190" i="24"/>
  <c r="BR185" i="24"/>
  <c r="BP180" i="24"/>
  <c r="BM175" i="24"/>
  <c r="BJ170" i="24"/>
  <c r="BN165" i="24"/>
  <c r="BM160" i="24"/>
  <c r="AY193" i="24"/>
  <c r="BA189" i="24"/>
  <c r="BA185" i="24"/>
  <c r="BD181" i="24"/>
  <c r="AT178" i="24"/>
  <c r="AX174" i="24"/>
  <c r="AY170" i="24"/>
  <c r="BB166" i="24"/>
  <c r="BD162" i="24"/>
  <c r="AT159" i="24"/>
  <c r="AQ191" i="24"/>
  <c r="AQ188" i="24"/>
  <c r="AP185" i="24"/>
  <c r="AP182" i="24"/>
  <c r="AP179" i="24"/>
  <c r="AP176" i="24"/>
  <c r="AQ173" i="24"/>
  <c r="AF171" i="24"/>
  <c r="AF168" i="24"/>
  <c r="AG165" i="24"/>
  <c r="AH162" i="24"/>
  <c r="AI159" i="24"/>
  <c r="V193" i="24"/>
  <c r="Z190" i="24"/>
  <c r="R188" i="24"/>
  <c r="V185" i="24"/>
  <c r="Z182" i="24"/>
  <c r="R180" i="24"/>
  <c r="V177" i="24"/>
  <c r="Z174" i="24"/>
  <c r="R172" i="24"/>
  <c r="V169" i="24"/>
  <c r="Z166" i="24"/>
  <c r="R164" i="24"/>
  <c r="V161" i="24"/>
  <c r="Z158" i="24"/>
  <c r="CJ182" i="24"/>
  <c r="CL164" i="24"/>
  <c r="CA191" i="24"/>
  <c r="CD183" i="24"/>
  <c r="CC175" i="24"/>
  <c r="CG166" i="24"/>
  <c r="BX159" i="24"/>
  <c r="BI190" i="24"/>
  <c r="BL185" i="24"/>
  <c r="BJ180" i="24"/>
  <c r="BS174" i="24"/>
  <c r="BQ169" i="24"/>
  <c r="BN164" i="24"/>
  <c r="BN159" i="24"/>
  <c r="AU193" i="24"/>
  <c r="BE188" i="24"/>
  <c r="AV185" i="24"/>
  <c r="AW181" i="24"/>
  <c r="BA177" i="24"/>
  <c r="BD173" i="24"/>
  <c r="BE169" i="24"/>
  <c r="AW166" i="24"/>
  <c r="AV162" i="24"/>
  <c r="BA158" i="24"/>
  <c r="AL191" i="24"/>
  <c r="AL188" i="24"/>
  <c r="AL185" i="24"/>
  <c r="AL182" i="24"/>
  <c r="AL179" i="24"/>
  <c r="AL176" i="24"/>
  <c r="AL173" i="24"/>
  <c r="AM170" i="24"/>
  <c r="AN167" i="24"/>
  <c r="AO164" i="24"/>
  <c r="AP161" i="24"/>
  <c r="AQ158" i="24"/>
  <c r="R193" i="24"/>
  <c r="V190" i="24"/>
  <c r="Z187" i="24"/>
  <c r="R185" i="24"/>
  <c r="V182" i="24"/>
  <c r="Z179" i="24"/>
  <c r="R177" i="24"/>
  <c r="V174" i="24"/>
  <c r="Z171" i="24"/>
  <c r="R169" i="24"/>
  <c r="V166" i="24"/>
  <c r="Z163" i="24"/>
  <c r="R161" i="24"/>
  <c r="V158" i="24"/>
  <c r="CR190" i="24"/>
  <c r="CS166" i="24"/>
  <c r="CC189" i="24"/>
  <c r="BX177" i="24"/>
  <c r="BW166" i="24"/>
  <c r="CQ185" i="24"/>
  <c r="CS161" i="24"/>
  <c r="BV185" i="24"/>
  <c r="CE174" i="24"/>
  <c r="BZ163" i="24"/>
  <c r="BI192" i="24"/>
  <c r="BR184" i="24"/>
  <c r="BL177" i="24"/>
  <c r="BK170" i="24"/>
  <c r="BP163" i="24"/>
  <c r="CT181" i="24"/>
  <c r="CL160" i="24"/>
  <c r="CD184" i="24"/>
  <c r="CD173" i="24"/>
  <c r="CA162" i="24"/>
  <c r="CU177" i="24"/>
  <c r="CE190" i="24"/>
  <c r="CC177" i="24"/>
  <c r="CC165" i="24"/>
  <c r="BH189" i="24"/>
  <c r="BQ180" i="24"/>
  <c r="BR173" i="24"/>
  <c r="BR165" i="24"/>
  <c r="BO158" i="24"/>
  <c r="BE190" i="24"/>
  <c r="BB185" i="24"/>
  <c r="BB180" i="24"/>
  <c r="AT175" i="24"/>
  <c r="BD169" i="24"/>
  <c r="BD164" i="24"/>
  <c r="AV159" i="24"/>
  <c r="AK191" i="24"/>
  <c r="AN187" i="24"/>
  <c r="AF183" i="24"/>
  <c r="AF179" i="24"/>
  <c r="AO174" i="24"/>
  <c r="AN170" i="24"/>
  <c r="AP166" i="24"/>
  <c r="AK162" i="24"/>
  <c r="AL158" i="24"/>
  <c r="AA190" i="24"/>
  <c r="T187" i="24"/>
  <c r="T183" i="24"/>
  <c r="Y179" i="24"/>
  <c r="T176" i="24"/>
  <c r="T172" i="24"/>
  <c r="Y168" i="24"/>
  <c r="AA164" i="24"/>
  <c r="S161" i="24"/>
  <c r="CR177" i="24"/>
  <c r="BZ190" i="24"/>
  <c r="CB177" i="24"/>
  <c r="CB165" i="24"/>
  <c r="BH188" i="24"/>
  <c r="BN180" i="24"/>
  <c r="BM173" i="24"/>
  <c r="BQ165" i="24"/>
  <c r="BN158" i="24"/>
  <c r="BD190" i="24"/>
  <c r="AZ185" i="24"/>
  <c r="BA180" i="24"/>
  <c r="BD174" i="24"/>
  <c r="BC169" i="24"/>
  <c r="AW164" i="24"/>
  <c r="AU159" i="24"/>
  <c r="CM176" i="24"/>
  <c r="BY190" i="24"/>
  <c r="BW177" i="24"/>
  <c r="BW165" i="24"/>
  <c r="CL176" i="24"/>
  <c r="BV190" i="24"/>
  <c r="BV177" i="24"/>
  <c r="CG164" i="24"/>
  <c r="CN173" i="24"/>
  <c r="BZ189" i="24"/>
  <c r="CC176" i="24"/>
  <c r="BW164" i="24"/>
  <c r="BO186" i="24"/>
  <c r="BS179" i="24"/>
  <c r="BI172" i="24"/>
  <c r="BS164" i="24"/>
  <c r="BI158" i="24"/>
  <c r="AX190" i="24"/>
  <c r="BE184" i="24"/>
  <c r="AZ179" i="24"/>
  <c r="AY174" i="24"/>
  <c r="AW169" i="24"/>
  <c r="BA163" i="24"/>
  <c r="AZ158" i="24"/>
  <c r="AF191" i="24"/>
  <c r="AK186" i="24"/>
  <c r="AK182" i="24"/>
  <c r="AL178" i="24"/>
  <c r="AG174" i="24"/>
  <c r="AH170" i="24"/>
  <c r="AQ165" i="24"/>
  <c r="AQ161" i="24"/>
  <c r="AF158" i="24"/>
  <c r="CT172" i="24"/>
  <c r="BX189" i="24"/>
  <c r="CA176" i="24"/>
  <c r="CA163" i="24"/>
  <c r="BM186" i="24"/>
  <c r="BR179" i="24"/>
  <c r="BH172" i="24"/>
  <c r="BQ164" i="24"/>
  <c r="AV190" i="24"/>
  <c r="BD184" i="24"/>
  <c r="AY179" i="24"/>
  <c r="AW174" i="24"/>
  <c r="AV169" i="24"/>
  <c r="AZ163" i="24"/>
  <c r="AY158" i="24"/>
  <c r="AQ190" i="24"/>
  <c r="AJ186" i="24"/>
  <c r="AJ182" i="24"/>
  <c r="AQ177" i="24"/>
  <c r="AF174" i="24"/>
  <c r="AG170" i="24"/>
  <c r="AN165" i="24"/>
  <c r="AO161" i="24"/>
  <c r="CP169" i="24"/>
  <c r="CA187" i="24"/>
  <c r="CF174" i="24"/>
  <c r="CG160" i="24"/>
  <c r="BI186" i="24"/>
  <c r="BM179" i="24"/>
  <c r="BJ171" i="24"/>
  <c r="BI164" i="24"/>
  <c r="BB189" i="24"/>
  <c r="AZ184" i="24"/>
  <c r="BA178" i="24"/>
  <c r="BC173" i="24"/>
  <c r="BD168" i="24"/>
  <c r="AT163" i="24"/>
  <c r="AU158" i="24"/>
  <c r="AN190" i="24"/>
  <c r="AG186" i="24"/>
  <c r="AF182" i="24"/>
  <c r="AN177" i="24"/>
  <c r="AN173" i="24"/>
  <c r="AO169" i="24"/>
  <c r="AJ165" i="24"/>
  <c r="AK161" i="24"/>
  <c r="W193" i="24"/>
  <c r="AB189" i="24"/>
  <c r="AB185" i="24"/>
  <c r="U182" i="24"/>
  <c r="AB178" i="24"/>
  <c r="AB174" i="24"/>
  <c r="U171" i="24"/>
  <c r="W167" i="24"/>
  <c r="AA163" i="24"/>
  <c r="U160" i="24"/>
  <c r="CR186" i="24"/>
  <c r="CT161" i="24"/>
  <c r="CD182" i="24"/>
  <c r="CF169" i="24"/>
  <c r="BN190" i="24"/>
  <c r="BR183" i="24"/>
  <c r="BR175" i="24"/>
  <c r="BQ168" i="24"/>
  <c r="BH161" i="24"/>
  <c r="AV193" i="24"/>
  <c r="BE187" i="24"/>
  <c r="AW182" i="24"/>
  <c r="AW177" i="24"/>
  <c r="BB171" i="24"/>
  <c r="AY166" i="24"/>
  <c r="AY161" i="24"/>
  <c r="AG193" i="24"/>
  <c r="AN188" i="24"/>
  <c r="AP184" i="24"/>
  <c r="AH180" i="24"/>
  <c r="AH176" i="24"/>
  <c r="AF172" i="24"/>
  <c r="AQ167" i="24"/>
  <c r="AG164" i="24"/>
  <c r="AN159" i="24"/>
  <c r="CR162" i="24"/>
  <c r="BW179" i="24"/>
  <c r="CE160" i="24"/>
  <c r="BJ187" i="24"/>
  <c r="BL178" i="24"/>
  <c r="BI169" i="24"/>
  <c r="BK160" i="24"/>
  <c r="AV188" i="24"/>
  <c r="BB181" i="24"/>
  <c r="AW175" i="24"/>
  <c r="AU168" i="24"/>
  <c r="BE161" i="24"/>
  <c r="AL189" i="24"/>
  <c r="AF185" i="24"/>
  <c r="AO179" i="24"/>
  <c r="AQ174" i="24"/>
  <c r="AI170" i="24"/>
  <c r="AF165" i="24"/>
  <c r="AH160" i="24"/>
  <c r="T192" i="24"/>
  <c r="AC187" i="24"/>
  <c r="U184" i="24"/>
  <c r="S180" i="24"/>
  <c r="V176" i="24"/>
  <c r="S172" i="24"/>
  <c r="V168" i="24"/>
  <c r="T164" i="24"/>
  <c r="W160" i="24"/>
  <c r="CQ161" i="24"/>
  <c r="CG178" i="24"/>
  <c r="CA160" i="24"/>
  <c r="BL186" i="24"/>
  <c r="BK177" i="24"/>
  <c r="BS168" i="24"/>
  <c r="BJ160" i="24"/>
  <c r="AU188" i="24"/>
  <c r="AX181" i="24"/>
  <c r="BC174" i="24"/>
  <c r="AT168" i="24"/>
  <c r="BD161" i="24"/>
  <c r="AJ189" i="24"/>
  <c r="AQ184" i="24"/>
  <c r="AN179" i="24"/>
  <c r="AP174" i="24"/>
  <c r="AF170" i="24"/>
  <c r="AQ164" i="24"/>
  <c r="AG160" i="24"/>
  <c r="Z191" i="24"/>
  <c r="AB187" i="24"/>
  <c r="T184" i="24"/>
  <c r="AC179" i="24"/>
  <c r="U176" i="24"/>
  <c r="AC171" i="24"/>
  <c r="U168" i="24"/>
  <c r="S164" i="24"/>
  <c r="V160" i="24"/>
  <c r="CA174" i="24"/>
  <c r="BK185" i="24"/>
  <c r="BH176" i="24"/>
  <c r="BQ166" i="24"/>
  <c r="AX193" i="24"/>
  <c r="BD186" i="24"/>
  <c r="AZ180" i="24"/>
  <c r="AY173" i="24"/>
  <c r="BE166" i="24"/>
  <c r="AM188" i="24"/>
  <c r="AN183" i="24"/>
  <c r="AP178" i="24"/>
  <c r="AP168" i="24"/>
  <c r="AI164" i="24"/>
  <c r="AJ159" i="24"/>
  <c r="R191" i="24"/>
  <c r="U187" i="24"/>
  <c r="R183" i="24"/>
  <c r="U179" i="24"/>
  <c r="V171" i="24"/>
  <c r="S167" i="24"/>
  <c r="V163" i="24"/>
  <c r="T159" i="24"/>
  <c r="CM161" i="24"/>
  <c r="BY178" i="24"/>
  <c r="BW160" i="24"/>
  <c r="BJ186" i="24"/>
  <c r="BJ177" i="24"/>
  <c r="BP168" i="24"/>
  <c r="BO159" i="24"/>
  <c r="BE193" i="24"/>
  <c r="AT188" i="24"/>
  <c r="AV181" i="24"/>
  <c r="BA174" i="24"/>
  <c r="BE167" i="24"/>
  <c r="BC161" i="24"/>
  <c r="AI189" i="24"/>
  <c r="AN184" i="24"/>
  <c r="AM179" i="24"/>
  <c r="AK174" i="24"/>
  <c r="AQ169" i="24"/>
  <c r="AP164" i="24"/>
  <c r="AF160" i="24"/>
  <c r="Y191" i="24"/>
  <c r="AA187" i="24"/>
  <c r="Z183" i="24"/>
  <c r="AB179" i="24"/>
  <c r="Z175" i="24"/>
  <c r="AB171" i="24"/>
  <c r="T168" i="24"/>
  <c r="AC163" i="24"/>
  <c r="T160" i="24"/>
  <c r="Y187" i="24"/>
  <c r="AA179" i="24"/>
  <c r="AA171" i="24"/>
  <c r="AB163" i="24"/>
  <c r="Z159" i="24"/>
  <c r="CM193" i="24"/>
  <c r="CD193" i="24"/>
  <c r="BX178" i="24"/>
  <c r="CA159" i="24"/>
  <c r="BH186" i="24"/>
  <c r="BI177" i="24"/>
  <c r="BN168" i="24"/>
  <c r="BH159" i="24"/>
  <c r="BD193" i="24"/>
  <c r="BD187" i="24"/>
  <c r="AU181" i="24"/>
  <c r="AZ174" i="24"/>
  <c r="BA167" i="24"/>
  <c r="BA161" i="24"/>
  <c r="AH189" i="24"/>
  <c r="AM184" i="24"/>
  <c r="AJ179" i="24"/>
  <c r="AJ174" i="24"/>
  <c r="AN169" i="24"/>
  <c r="AN164" i="24"/>
  <c r="AO159" i="24"/>
  <c r="X191" i="24"/>
  <c r="Y183" i="24"/>
  <c r="Y175" i="24"/>
  <c r="Z167" i="24"/>
  <c r="CJ191" i="24"/>
  <c r="CC193" i="24"/>
  <c r="CE176" i="24"/>
  <c r="BZ159" i="24"/>
  <c r="BP185" i="24"/>
  <c r="BN176" i="24"/>
  <c r="BM168" i="24"/>
  <c r="BS158" i="24"/>
  <c r="BC193" i="24"/>
  <c r="AX187" i="24"/>
  <c r="AT181" i="24"/>
  <c r="AU174" i="24"/>
  <c r="AX167" i="24"/>
  <c r="AZ161" i="24"/>
  <c r="AG189" i="24"/>
  <c r="AF184" i="24"/>
  <c r="AI179" i="24"/>
  <c r="AI174" i="24"/>
  <c r="AG169" i="24"/>
  <c r="AM164" i="24"/>
  <c r="AM159" i="24"/>
  <c r="W191" i="24"/>
  <c r="X187" i="24"/>
  <c r="X183" i="24"/>
  <c r="X179" i="24"/>
  <c r="X175" i="24"/>
  <c r="Y171" i="24"/>
  <c r="Y167" i="24"/>
  <c r="Y163" i="24"/>
  <c r="Y159" i="24"/>
  <c r="V187" i="24"/>
  <c r="CN189" i="24"/>
  <c r="BY193" i="24"/>
  <c r="CE175" i="24"/>
  <c r="BY159" i="24"/>
  <c r="BO185" i="24"/>
  <c r="BK176" i="24"/>
  <c r="BK168" i="24"/>
  <c r="BR158" i="24"/>
  <c r="BB193" i="24"/>
  <c r="AV187" i="24"/>
  <c r="BE180" i="24"/>
  <c r="AT174" i="24"/>
  <c r="AU167" i="24"/>
  <c r="AX161" i="24"/>
  <c r="AF189" i="24"/>
  <c r="AQ183" i="24"/>
  <c r="AH179" i="24"/>
  <c r="AH174" i="24"/>
  <c r="AF169" i="24"/>
  <c r="AL164" i="24"/>
  <c r="AL159" i="24"/>
  <c r="T191" i="24"/>
  <c r="W187" i="24"/>
  <c r="W183" i="24"/>
  <c r="W179" i="24"/>
  <c r="W175" i="24"/>
  <c r="X171" i="24"/>
  <c r="X167" i="24"/>
  <c r="X163" i="24"/>
  <c r="X159" i="24"/>
  <c r="CL189" i="24"/>
  <c r="BX193" i="24"/>
  <c r="CA175" i="24"/>
  <c r="BV159" i="24"/>
  <c r="BM185" i="24"/>
  <c r="BI176" i="24"/>
  <c r="BS166" i="24"/>
  <c r="BL158" i="24"/>
  <c r="AZ193" i="24"/>
  <c r="BE186" i="24"/>
  <c r="BD180" i="24"/>
  <c r="BB173" i="24"/>
  <c r="AT167" i="24"/>
  <c r="AW161" i="24"/>
  <c r="AP188" i="24"/>
  <c r="AP183" i="24"/>
  <c r="AG179" i="24"/>
  <c r="AP173" i="24"/>
  <c r="AQ168" i="24"/>
  <c r="AK164" i="24"/>
  <c r="AK159" i="24"/>
  <c r="S191" i="24"/>
  <c r="S183" i="24"/>
  <c r="V179" i="24"/>
  <c r="T175" i="24"/>
  <c r="W171" i="24"/>
  <c r="T167" i="24"/>
  <c r="W163" i="24"/>
  <c r="W159" i="24"/>
  <c r="CM187" i="24"/>
  <c r="CC192" i="24"/>
  <c r="CD158" i="24"/>
  <c r="BK158" i="24"/>
  <c r="AY160" i="24"/>
  <c r="AQ193" i="24"/>
  <c r="AO173" i="24"/>
  <c r="S175" i="24"/>
  <c r="CP186" i="24"/>
  <c r="CB191" i="24"/>
  <c r="CB173" i="24"/>
  <c r="BR193" i="24"/>
  <c r="BM184" i="24"/>
  <c r="BL175" i="24"/>
  <c r="BM166" i="24"/>
  <c r="BE192" i="24"/>
  <c r="AX186" i="24"/>
  <c r="AX180" i="24"/>
  <c r="AU173" i="24"/>
  <c r="BC166" i="24"/>
  <c r="AU160" i="24"/>
  <c r="AO193" i="24"/>
  <c r="AJ188" i="24"/>
  <c r="AJ183" i="24"/>
  <c r="AN178" i="24"/>
  <c r="AJ173" i="24"/>
  <c r="AL168" i="24"/>
  <c r="AF164" i="24"/>
  <c r="AG159" i="24"/>
  <c r="AB190" i="24"/>
  <c r="R187" i="24"/>
  <c r="AB182" i="24"/>
  <c r="S179" i="24"/>
  <c r="AC174" i="24"/>
  <c r="S171" i="24"/>
  <c r="AC166" i="24"/>
  <c r="T163" i="24"/>
  <c r="R159" i="24"/>
  <c r="CU185" i="24"/>
  <c r="BZ191" i="24"/>
  <c r="BZ173" i="24"/>
  <c r="BH193" i="24"/>
  <c r="BL184" i="24"/>
  <c r="BJ175" i="24"/>
  <c r="BI166" i="24"/>
  <c r="BD192" i="24"/>
  <c r="AW186" i="24"/>
  <c r="AX179" i="24"/>
  <c r="AT173" i="24"/>
  <c r="BA166" i="24"/>
  <c r="AT160" i="24"/>
  <c r="AI193" i="24"/>
  <c r="AI188" i="24"/>
  <c r="AI183" i="24"/>
  <c r="AM178" i="24"/>
  <c r="AI173" i="24"/>
  <c r="AK168" i="24"/>
  <c r="AQ163" i="24"/>
  <c r="AF159" i="24"/>
  <c r="Y190" i="24"/>
  <c r="AC186" i="24"/>
  <c r="AA182" i="24"/>
  <c r="R179" i="24"/>
  <c r="AA174" i="24"/>
  <c r="R171" i="24"/>
  <c r="AB166" i="24"/>
  <c r="S163" i="24"/>
  <c r="AC158" i="24"/>
  <c r="CT185" i="24"/>
  <c r="CG190" i="24"/>
  <c r="CG172" i="24"/>
  <c r="CS178" i="24"/>
  <c r="BY185" i="24"/>
  <c r="CG169" i="24"/>
  <c r="BI191" i="24"/>
  <c r="BK182" i="24"/>
  <c r="BH174" i="24"/>
  <c r="BH164" i="24"/>
  <c r="BA191" i="24"/>
  <c r="BB184" i="24"/>
  <c r="BE177" i="24"/>
  <c r="BA171" i="24"/>
  <c r="AZ165" i="24"/>
  <c r="BB158" i="24"/>
  <c r="AG192" i="24"/>
  <c r="AF187" i="24"/>
  <c r="AH182" i="24"/>
  <c r="AF177" i="24"/>
  <c r="AN172" i="24"/>
  <c r="AL167" i="24"/>
  <c r="AM162" i="24"/>
  <c r="AG158" i="24"/>
  <c r="Z193" i="24"/>
  <c r="AC189" i="24"/>
  <c r="Z185" i="24"/>
  <c r="AC181" i="24"/>
  <c r="AA177" i="24"/>
  <c r="R174" i="24"/>
  <c r="AB169" i="24"/>
  <c r="S166" i="24"/>
  <c r="S162" i="24"/>
  <c r="T158" i="24"/>
  <c r="CQ178" i="24"/>
  <c r="CG184" i="24"/>
  <c r="CC169" i="24"/>
  <c r="BH191" i="24"/>
  <c r="BH182" i="24"/>
  <c r="BK173" i="24"/>
  <c r="BQ163" i="24"/>
  <c r="AZ191" i="24"/>
  <c r="AY184" i="24"/>
  <c r="BC177" i="24"/>
  <c r="AU171" i="24"/>
  <c r="AY165" i="24"/>
  <c r="AW158" i="24"/>
  <c r="AF192" i="24"/>
  <c r="AQ186" i="24"/>
  <c r="AQ181" i="24"/>
  <c r="AQ176" i="24"/>
  <c r="AG172" i="24"/>
  <c r="AK167" i="24"/>
  <c r="AL162" i="24"/>
  <c r="CC167" i="24"/>
  <c r="BN189" i="24"/>
  <c r="BM174" i="24"/>
  <c r="BQ160" i="24"/>
  <c r="BC190" i="24"/>
  <c r="BC181" i="24"/>
  <c r="BB170" i="24"/>
  <c r="AY159" i="24"/>
  <c r="AL192" i="24"/>
  <c r="AK185" i="24"/>
  <c r="AO176" i="24"/>
  <c r="AJ170" i="24"/>
  <c r="AN161" i="24"/>
  <c r="Z192" i="24"/>
  <c r="S186" i="24"/>
  <c r="X180" i="24"/>
  <c r="S174" i="24"/>
  <c r="AA168" i="24"/>
  <c r="AB161" i="24"/>
  <c r="BZ167" i="24"/>
  <c r="BM189" i="24"/>
  <c r="BI174" i="24"/>
  <c r="BP160" i="24"/>
  <c r="CF166" i="24"/>
  <c r="BK189" i="24"/>
  <c r="BI173" i="24"/>
  <c r="BN160" i="24"/>
  <c r="AY190" i="24"/>
  <c r="AV179" i="24"/>
  <c r="AU170" i="24"/>
  <c r="BD158" i="24"/>
  <c r="AJ192" i="24"/>
  <c r="AI185" i="24"/>
  <c r="AM176" i="24"/>
  <c r="AJ168" i="24"/>
  <c r="AJ161" i="24"/>
  <c r="CU186" i="24"/>
  <c r="CD189" i="24"/>
  <c r="CE165" i="24"/>
  <c r="BI189" i="24"/>
  <c r="BS171" i="24"/>
  <c r="AT190" i="24"/>
  <c r="AY178" i="24"/>
  <c r="BB169" i="24"/>
  <c r="AV158" i="24"/>
  <c r="AP191" i="24"/>
  <c r="AG185" i="24"/>
  <c r="AJ176" i="24"/>
  <c r="AG168" i="24"/>
  <c r="AH161" i="24"/>
  <c r="V192" i="24"/>
  <c r="W185" i="24"/>
  <c r="T180" i="24"/>
  <c r="Z173" i="24"/>
  <c r="R167" i="24"/>
  <c r="X161" i="24"/>
  <c r="CJ183" i="24"/>
  <c r="CC187" i="24"/>
  <c r="BY163" i="24"/>
  <c r="BN187" i="24"/>
  <c r="BI171" i="24"/>
  <c r="AW189" i="24"/>
  <c r="AW178" i="24"/>
  <c r="AY169" i="24"/>
  <c r="CT180" i="24"/>
  <c r="CE186" i="24"/>
  <c r="CE162" i="24"/>
  <c r="BN184" i="24"/>
  <c r="BH171" i="24"/>
  <c r="AT189" i="24"/>
  <c r="AV178" i="24"/>
  <c r="AT169" i="24"/>
  <c r="AJ191" i="24"/>
  <c r="AQ182" i="24"/>
  <c r="AQ175" i="24"/>
  <c r="AM167" i="24"/>
  <c r="AP160" i="24"/>
  <c r="CM179" i="24"/>
  <c r="CE184" i="24"/>
  <c r="BY158" i="24"/>
  <c r="BI184" i="24"/>
  <c r="BI170" i="24"/>
  <c r="BB188" i="24"/>
  <c r="AZ177" i="24"/>
  <c r="BD166" i="24"/>
  <c r="AH191" i="24"/>
  <c r="AN182" i="24"/>
  <c r="AO175" i="24"/>
  <c r="AI167" i="24"/>
  <c r="AH159" i="24"/>
  <c r="U190" i="24"/>
  <c r="AB184" i="24"/>
  <c r="T178" i="24"/>
  <c r="AB172" i="24"/>
  <c r="U166" i="24"/>
  <c r="AB160" i="24"/>
  <c r="CF164" i="24"/>
  <c r="BR192" i="24"/>
  <c r="BH175" i="24"/>
  <c r="AU185" i="24"/>
  <c r="BA172" i="24"/>
  <c r="BC159" i="24"/>
  <c r="AH185" i="24"/>
  <c r="AM175" i="24"/>
  <c r="AF166" i="24"/>
  <c r="T193" i="24"/>
  <c r="U186" i="24"/>
  <c r="V180" i="24"/>
  <c r="X173" i="24"/>
  <c r="T166" i="24"/>
  <c r="X160" i="24"/>
  <c r="AB192" i="24"/>
  <c r="Y185" i="24"/>
  <c r="AC178" i="24"/>
  <c r="AB165" i="24"/>
  <c r="CF160" i="24"/>
  <c r="BQ192" i="24"/>
  <c r="BR174" i="24"/>
  <c r="BC184" i="24"/>
  <c r="AZ172" i="24"/>
  <c r="BB159" i="24"/>
  <c r="AP193" i="24"/>
  <c r="AK183" i="24"/>
  <c r="AF175" i="24"/>
  <c r="AL165" i="24"/>
  <c r="S193" i="24"/>
  <c r="T186" i="24"/>
  <c r="U180" i="24"/>
  <c r="R173" i="24"/>
  <c r="R166" i="24"/>
  <c r="S159" i="24"/>
  <c r="BK192" i="24"/>
  <c r="BP174" i="24"/>
  <c r="AV184" i="24"/>
  <c r="BD171" i="24"/>
  <c r="AW159" i="24"/>
  <c r="AH193" i="24"/>
  <c r="AH183" i="24"/>
  <c r="AK173" i="24"/>
  <c r="AK165" i="24"/>
  <c r="AC192" i="24"/>
  <c r="AA185" i="24"/>
  <c r="T179" i="24"/>
  <c r="AC172" i="24"/>
  <c r="AC165" i="24"/>
  <c r="AB158" i="24"/>
  <c r="AA172" i="24"/>
  <c r="BP191" i="24"/>
  <c r="BN174" i="24"/>
  <c r="AU184" i="24"/>
  <c r="BC171" i="24"/>
  <c r="BC158" i="24"/>
  <c r="AF193" i="24"/>
  <c r="AO182" i="24"/>
  <c r="AH173" i="24"/>
  <c r="AI165" i="24"/>
  <c r="AA158" i="24"/>
  <c r="BO191" i="24"/>
  <c r="BK172" i="24"/>
  <c r="AT184" i="24"/>
  <c r="AT171" i="24"/>
  <c r="AK192" i="24"/>
  <c r="AM182" i="24"/>
  <c r="AG173" i="24"/>
  <c r="AH165" i="24"/>
  <c r="AA192" i="24"/>
  <c r="X185" i="24"/>
  <c r="V178" i="24"/>
  <c r="X172" i="24"/>
  <c r="AA165" i="24"/>
  <c r="Y158" i="24"/>
  <c r="BQ190" i="24"/>
  <c r="BM171" i="24"/>
  <c r="AY183" i="24"/>
  <c r="BE170" i="24"/>
  <c r="AH192" i="24"/>
  <c r="AI182" i="24"/>
  <c r="AF173" i="24"/>
  <c r="AH164" i="24"/>
  <c r="Y192" i="24"/>
  <c r="U185" i="24"/>
  <c r="U178" i="24"/>
  <c r="W172" i="24"/>
  <c r="Z165" i="24"/>
  <c r="X158" i="24"/>
  <c r="CB192" i="24"/>
  <c r="BK190" i="24"/>
  <c r="BO170" i="24"/>
  <c r="AX183" i="24"/>
  <c r="BD170" i="24"/>
  <c r="AO191" i="24"/>
  <c r="AP181" i="24"/>
  <c r="AQ172" i="24"/>
  <c r="AP163" i="24"/>
  <c r="BY184" i="24"/>
  <c r="BP189" i="24"/>
  <c r="BN169" i="24"/>
  <c r="BA182" i="24"/>
  <c r="AT170" i="24"/>
  <c r="AG191" i="24"/>
  <c r="AL181" i="24"/>
  <c r="AP171" i="24"/>
  <c r="AG163" i="24"/>
  <c r="AC190" i="24"/>
  <c r="AA184" i="24"/>
  <c r="Y177" i="24"/>
  <c r="AC170" i="24"/>
  <c r="AC164" i="24"/>
  <c r="R158" i="24"/>
  <c r="CG183" i="24"/>
  <c r="BO189" i="24"/>
  <c r="BM169" i="24"/>
  <c r="CM169" i="24"/>
  <c r="CE173" i="24"/>
  <c r="BH181" i="24"/>
  <c r="BR162" i="24"/>
  <c r="AU190" i="24"/>
  <c r="AT177" i="24"/>
  <c r="BE163" i="24"/>
  <c r="AP187" i="24"/>
  <c r="AO177" i="24"/>
  <c r="AM168" i="24"/>
  <c r="AO158" i="24"/>
  <c r="AB188" i="24"/>
  <c r="R182" i="24"/>
  <c r="W176" i="24"/>
  <c r="T169" i="24"/>
  <c r="T162" i="24"/>
  <c r="CK169" i="24"/>
  <c r="CE172" i="24"/>
  <c r="BS180" i="24"/>
  <c r="BP162" i="24"/>
  <c r="AY189" i="24"/>
  <c r="BE176" i="24"/>
  <c r="BD163" i="24"/>
  <c r="AO187" i="24"/>
  <c r="AJ177" i="24"/>
  <c r="AH168" i="24"/>
  <c r="AN158" i="24"/>
  <c r="AA188" i="24"/>
  <c r="AB181" i="24"/>
  <c r="R175" i="24"/>
  <c r="S169" i="24"/>
  <c r="AA161" i="24"/>
  <c r="CG170" i="24"/>
  <c r="BL180" i="24"/>
  <c r="BQ161" i="24"/>
  <c r="BD188" i="24"/>
  <c r="BD176" i="24"/>
  <c r="AX163" i="24"/>
  <c r="AP186" i="24"/>
  <c r="AI177" i="24"/>
  <c r="AP167" i="24"/>
  <c r="AM158" i="24"/>
  <c r="BM178" i="24"/>
  <c r="AZ176" i="24"/>
  <c r="AQ187" i="24"/>
  <c r="AO171" i="24"/>
  <c r="AK158" i="24"/>
  <c r="W190" i="24"/>
  <c r="S182" i="24"/>
  <c r="Y173" i="24"/>
  <c r="U163" i="24"/>
  <c r="CK183" i="24"/>
  <c r="BQ175" i="24"/>
  <c r="AY176" i="24"/>
  <c r="AO186" i="24"/>
  <c r="AL171" i="24"/>
  <c r="AJ158" i="24"/>
  <c r="T190" i="24"/>
  <c r="AA181" i="24"/>
  <c r="V172" i="24"/>
  <c r="R163" i="24"/>
  <c r="CQ179" i="24"/>
  <c r="BH170" i="24"/>
  <c r="BA175" i="24"/>
  <c r="AI186" i="24"/>
  <c r="AK171" i="24"/>
  <c r="AI158" i="24"/>
  <c r="S190" i="24"/>
  <c r="Z181" i="24"/>
  <c r="U172" i="24"/>
  <c r="AC162" i="24"/>
  <c r="R190" i="24"/>
  <c r="AB162" i="24"/>
  <c r="AA189" i="24"/>
  <c r="V162" i="24"/>
  <c r="CR173" i="24"/>
  <c r="BR169" i="24"/>
  <c r="AW193" i="24"/>
  <c r="AZ175" i="24"/>
  <c r="AH186" i="24"/>
  <c r="AJ171" i="24"/>
  <c r="Y181" i="24"/>
  <c r="T171" i="24"/>
  <c r="X181" i="24"/>
  <c r="CP172" i="24"/>
  <c r="CE187" i="24"/>
  <c r="BK169" i="24"/>
  <c r="BC192" i="24"/>
  <c r="AX175" i="24"/>
  <c r="AF186" i="24"/>
  <c r="AI171" i="24"/>
  <c r="AB170" i="24"/>
  <c r="CS169" i="24"/>
  <c r="BW186" i="24"/>
  <c r="BN166" i="24"/>
  <c r="AX192" i="24"/>
  <c r="AV173" i="24"/>
  <c r="AO185" i="24"/>
  <c r="AH171" i="24"/>
  <c r="Z189" i="24"/>
  <c r="R181" i="24"/>
  <c r="V170" i="24"/>
  <c r="U162" i="24"/>
  <c r="CR167" i="24"/>
  <c r="CF183" i="24"/>
  <c r="BH166" i="24"/>
  <c r="AU192" i="24"/>
  <c r="BE172" i="24"/>
  <c r="AN185" i="24"/>
  <c r="AG171" i="24"/>
  <c r="Y189" i="24"/>
  <c r="AC180" i="24"/>
  <c r="U170" i="24"/>
  <c r="Z161" i="24"/>
  <c r="CQ167" i="24"/>
  <c r="CA183" i="24"/>
  <c r="BP165" i="24"/>
  <c r="AT192" i="24"/>
  <c r="BD172" i="24"/>
  <c r="AM185" i="24"/>
  <c r="AP170" i="24"/>
  <c r="X189" i="24"/>
  <c r="AB180" i="24"/>
  <c r="T170" i="24"/>
  <c r="Y161" i="24"/>
  <c r="CN166" i="24"/>
  <c r="CG182" i="24"/>
  <c r="BO165" i="24"/>
  <c r="BE191" i="24"/>
  <c r="BC170" i="24"/>
  <c r="AJ185" i="24"/>
  <c r="AO170" i="24"/>
  <c r="R189" i="24"/>
  <c r="AA180" i="24"/>
  <c r="S170" i="24"/>
  <c r="W161" i="24"/>
  <c r="AK170" i="24"/>
  <c r="S178" i="24"/>
  <c r="T161" i="24"/>
  <c r="AO167" i="24"/>
  <c r="CN164" i="24"/>
  <c r="CE182" i="24"/>
  <c r="BJ165" i="24"/>
  <c r="BC191" i="24"/>
  <c r="AV170" i="24"/>
  <c r="AO181" i="24"/>
  <c r="AL170" i="24"/>
  <c r="AC188" i="24"/>
  <c r="W180" i="24"/>
  <c r="AA169" i="24"/>
  <c r="U161" i="24"/>
  <c r="CJ164" i="24"/>
  <c r="CC182" i="24"/>
  <c r="BM164" i="24"/>
  <c r="BB190" i="24"/>
  <c r="AZ169" i="24"/>
  <c r="AM181" i="24"/>
  <c r="X188" i="24"/>
  <c r="Z169" i="24"/>
  <c r="CU163" i="24"/>
  <c r="CG181" i="24"/>
  <c r="BK164" i="24"/>
  <c r="BA188" i="24"/>
  <c r="BE168" i="24"/>
  <c r="AF181" i="24"/>
  <c r="CE168" i="24"/>
  <c r="BO182" i="24"/>
  <c r="AZ182" i="24"/>
  <c r="AU163" i="24"/>
  <c r="AI191" i="24"/>
  <c r="AP177" i="24"/>
  <c r="AF163" i="24"/>
  <c r="AC184" i="24"/>
  <c r="Z176" i="24"/>
  <c r="Y166" i="24"/>
  <c r="BZ168" i="24"/>
  <c r="BN182" i="24"/>
  <c r="AX182" i="24"/>
  <c r="BE162" i="24"/>
  <c r="AP190" i="24"/>
  <c r="AH177" i="24"/>
  <c r="AN162" i="24"/>
  <c r="Z184" i="24"/>
  <c r="Y176" i="24"/>
  <c r="X166" i="24"/>
  <c r="CE166" i="24"/>
  <c r="BN181" i="24"/>
  <c r="AU182" i="24"/>
  <c r="BC162" i="24"/>
  <c r="S125" i="24"/>
  <c r="X139" i="24"/>
  <c r="AA155" i="24"/>
  <c r="T174" i="24"/>
  <c r="U188" i="24"/>
  <c r="X282" i="24"/>
  <c r="AA299" i="24"/>
  <c r="W315" i="24"/>
  <c r="AA331" i="24"/>
  <c r="AA352" i="24"/>
  <c r="W366" i="24"/>
  <c r="T386" i="24"/>
  <c r="T405" i="24"/>
  <c r="AC424" i="24"/>
  <c r="U439" i="24"/>
  <c r="AP120" i="24"/>
  <c r="AO145" i="24"/>
  <c r="AH167" i="24"/>
  <c r="AO273" i="24"/>
  <c r="AH301" i="24"/>
  <c r="AP334" i="24"/>
  <c r="AN369" i="24"/>
  <c r="AJ399" i="24"/>
  <c r="AQ434" i="24"/>
  <c r="BD144" i="24"/>
  <c r="AV183" i="24"/>
  <c r="BA301" i="24"/>
  <c r="AW352" i="24"/>
  <c r="BD400" i="24"/>
  <c r="BE453" i="24"/>
  <c r="BK146" i="24"/>
  <c r="BM286" i="24"/>
  <c r="BM345" i="24"/>
  <c r="BR424" i="24"/>
  <c r="CE170" i="24"/>
  <c r="CD344" i="24"/>
  <c r="CR437" i="24"/>
  <c r="X125" i="24"/>
  <c r="Y139" i="24"/>
  <c r="AB155" i="24"/>
  <c r="U174" i="24"/>
  <c r="V188" i="24"/>
  <c r="AA282" i="24"/>
  <c r="AC299" i="24"/>
  <c r="AB315" i="24"/>
  <c r="S332" i="24"/>
  <c r="AB352" i="24"/>
  <c r="W370" i="24"/>
  <c r="U386" i="24"/>
  <c r="U405" i="24"/>
  <c r="S425" i="24"/>
  <c r="V439" i="24"/>
  <c r="AF121" i="24"/>
  <c r="AG146" i="24"/>
  <c r="AJ167" i="24"/>
  <c r="AP273" i="24"/>
  <c r="AJ303" i="24"/>
  <c r="AL336" i="24"/>
  <c r="AO369" i="24"/>
  <c r="AN399" i="24"/>
  <c r="AG438" i="24"/>
  <c r="AW145" i="24"/>
  <c r="AX185" i="24"/>
  <c r="BA305" i="24"/>
  <c r="BC401" i="24"/>
  <c r="AT454" i="24"/>
  <c r="BL146" i="24"/>
  <c r="BP286" i="24"/>
  <c r="BR345" i="24"/>
  <c r="BS424" i="24"/>
  <c r="CF170" i="24"/>
  <c r="CM345" i="24"/>
  <c r="CQ342" i="24"/>
  <c r="CU339" i="24"/>
  <c r="CM337" i="24"/>
  <c r="CQ334" i="24"/>
  <c r="CU331" i="24"/>
  <c r="CM329" i="24"/>
  <c r="CQ326" i="24"/>
  <c r="CU323" i="24"/>
  <c r="CM321" i="24"/>
  <c r="CQ318" i="24"/>
  <c r="CU315" i="24"/>
  <c r="CM313" i="24"/>
  <c r="CQ310" i="24"/>
  <c r="CM343" i="24"/>
  <c r="CP340" i="24"/>
  <c r="CS337" i="24"/>
  <c r="CJ335" i="24"/>
  <c r="CM332" i="24"/>
  <c r="CP329" i="24"/>
  <c r="CS326" i="24"/>
  <c r="CJ324" i="24"/>
  <c r="CL321" i="24"/>
  <c r="CO318" i="24"/>
  <c r="CR315" i="24"/>
  <c r="CU312" i="24"/>
  <c r="CL310" i="24"/>
  <c r="CL345" i="24"/>
  <c r="CO342" i="24"/>
  <c r="CR339" i="24"/>
  <c r="CU336" i="24"/>
  <c r="CL334" i="24"/>
  <c r="CO331" i="24"/>
  <c r="CR328" i="24"/>
  <c r="CU325" i="24"/>
  <c r="CL323" i="24"/>
  <c r="CO320" i="24"/>
  <c r="CR317" i="24"/>
  <c r="CU314" i="24"/>
  <c r="CL312" i="24"/>
  <c r="CU343" i="24"/>
  <c r="CJ341" i="24"/>
  <c r="CK338" i="24"/>
  <c r="CL335" i="24"/>
  <c r="CL332" i="24"/>
  <c r="CL329" i="24"/>
  <c r="CM326" i="24"/>
  <c r="CN323" i="24"/>
  <c r="CN320" i="24"/>
  <c r="CO317" i="24"/>
  <c r="CP314" i="24"/>
  <c r="CQ311" i="24"/>
  <c r="CQ345" i="24"/>
  <c r="CP342" i="24"/>
  <c r="CO339" i="24"/>
  <c r="CO336" i="24"/>
  <c r="CO333" i="24"/>
  <c r="CO330" i="24"/>
  <c r="CO327" i="24"/>
  <c r="CO324" i="24"/>
  <c r="CO321" i="24"/>
  <c r="CM318" i="24"/>
  <c r="CM315" i="24"/>
  <c r="CM312" i="24"/>
  <c r="CT344" i="24"/>
  <c r="CT341" i="24"/>
  <c r="CT338" i="24"/>
  <c r="CT335" i="24"/>
  <c r="CT332" i="24"/>
  <c r="CT329" i="24"/>
  <c r="CT326" i="24"/>
  <c r="CR323" i="24"/>
  <c r="CR320" i="24"/>
  <c r="CQ317" i="24"/>
  <c r="CQ314" i="24"/>
  <c r="CP311" i="24"/>
  <c r="CS345" i="24"/>
  <c r="CN342" i="24"/>
  <c r="CL339" i="24"/>
  <c r="CJ336" i="24"/>
  <c r="CS332" i="24"/>
  <c r="CQ329" i="24"/>
  <c r="CL326" i="24"/>
  <c r="CU322" i="24"/>
  <c r="CS319" i="24"/>
  <c r="CQ316" i="24"/>
  <c r="CO313" i="24"/>
  <c r="CK310" i="24"/>
  <c r="CE345" i="24"/>
  <c r="BW343" i="24"/>
  <c r="CA340" i="24"/>
  <c r="CE337" i="24"/>
  <c r="BW335" i="24"/>
  <c r="CA332" i="24"/>
  <c r="CE329" i="24"/>
  <c r="BW327" i="24"/>
  <c r="CA324" i="24"/>
  <c r="CE321" i="24"/>
  <c r="BW319" i="24"/>
  <c r="CA316" i="24"/>
  <c r="CE313" i="24"/>
  <c r="BW311" i="24"/>
  <c r="CR344" i="24"/>
  <c r="CP341" i="24"/>
  <c r="CN338" i="24"/>
  <c r="CK335" i="24"/>
  <c r="CS331" i="24"/>
  <c r="CP328" i="24"/>
  <c r="CN325" i="24"/>
  <c r="CL322" i="24"/>
  <c r="CJ319" i="24"/>
  <c r="CS315" i="24"/>
  <c r="CP312" i="24"/>
  <c r="CJ344" i="24"/>
  <c r="CS340" i="24"/>
  <c r="CP337" i="24"/>
  <c r="CM334" i="24"/>
  <c r="CJ331" i="24"/>
  <c r="CT327" i="24"/>
  <c r="CR324" i="24"/>
  <c r="CP321" i="24"/>
  <c r="CK318" i="24"/>
  <c r="CT314" i="24"/>
  <c r="CR311" i="24"/>
  <c r="CQ343" i="24"/>
  <c r="CN340" i="24"/>
  <c r="CK337" i="24"/>
  <c r="CT333" i="24"/>
  <c r="CR330" i="24"/>
  <c r="CP327" i="24"/>
  <c r="CM324" i="24"/>
  <c r="CU320" i="24"/>
  <c r="CS317" i="24"/>
  <c r="CN314" i="24"/>
  <c r="CL311" i="24"/>
  <c r="CR343" i="24"/>
  <c r="CJ340" i="24"/>
  <c r="CM336" i="24"/>
  <c r="CQ332" i="24"/>
  <c r="CT328" i="24"/>
  <c r="CL325" i="24"/>
  <c r="CR321" i="24"/>
  <c r="CT317" i="24"/>
  <c r="CJ314" i="24"/>
  <c r="CO310" i="24"/>
  <c r="CN343" i="24"/>
  <c r="CQ339" i="24"/>
  <c r="CU335" i="24"/>
  <c r="CN332" i="24"/>
  <c r="CO328" i="24"/>
  <c r="CU324" i="24"/>
  <c r="CK321" i="24"/>
  <c r="CM317" i="24"/>
  <c r="CS313" i="24"/>
  <c r="CJ310" i="24"/>
  <c r="BZ345" i="24"/>
  <c r="CC342" i="24"/>
  <c r="CF339" i="24"/>
  <c r="CS342" i="24"/>
  <c r="CU338" i="24"/>
  <c r="CN335" i="24"/>
  <c r="CP331" i="24"/>
  <c r="CU327" i="24"/>
  <c r="CL324" i="24"/>
  <c r="CM320" i="24"/>
  <c r="CS316" i="24"/>
  <c r="CK313" i="24"/>
  <c r="CK344" i="24"/>
  <c r="CT339" i="24"/>
  <c r="CR335" i="24"/>
  <c r="CQ331" i="24"/>
  <c r="CQ327" i="24"/>
  <c r="CO323" i="24"/>
  <c r="CO319" i="24"/>
  <c r="CO315" i="24"/>
  <c r="CM311" i="24"/>
  <c r="CT343" i="24"/>
  <c r="CS339" i="24"/>
  <c r="CQ335" i="24"/>
  <c r="CN331" i="24"/>
  <c r="CN327" i="24"/>
  <c r="CM323" i="24"/>
  <c r="CN319" i="24"/>
  <c r="CN315" i="24"/>
  <c r="CK311" i="24"/>
  <c r="CB343" i="24"/>
  <c r="CD340" i="24"/>
  <c r="CF337" i="24"/>
  <c r="BV335" i="24"/>
  <c r="BY332" i="24"/>
  <c r="CB329" i="24"/>
  <c r="CE326" i="24"/>
  <c r="BV324" i="24"/>
  <c r="BY321" i="24"/>
  <c r="CB318" i="24"/>
  <c r="CE315" i="24"/>
  <c r="BV313" i="24"/>
  <c r="BY310" i="24"/>
  <c r="CO343" i="24"/>
  <c r="CM339" i="24"/>
  <c r="CM335" i="24"/>
  <c r="CK331" i="24"/>
  <c r="CK327" i="24"/>
  <c r="CT322" i="24"/>
  <c r="CK319" i="24"/>
  <c r="CJ315" i="24"/>
  <c r="CT310" i="24"/>
  <c r="BY343" i="24"/>
  <c r="BZ340" i="24"/>
  <c r="CB337" i="24"/>
  <c r="CE334" i="24"/>
  <c r="BV332" i="24"/>
  <c r="BY329" i="24"/>
  <c r="CB326" i="24"/>
  <c r="CE323" i="24"/>
  <c r="BV321" i="24"/>
  <c r="BY318" i="24"/>
  <c r="CB315" i="24"/>
  <c r="CE312" i="24"/>
  <c r="BV310" i="24"/>
  <c r="CR342" i="24"/>
  <c r="CP338" i="24"/>
  <c r="CO334" i="24"/>
  <c r="CN330" i="24"/>
  <c r="CN326" i="24"/>
  <c r="CN322" i="24"/>
  <c r="CN318" i="24"/>
  <c r="CK314" i="24"/>
  <c r="CN344" i="24"/>
  <c r="CN339" i="24"/>
  <c r="CR334" i="24"/>
  <c r="CK330" i="24"/>
  <c r="CP325" i="24"/>
  <c r="CS320" i="24"/>
  <c r="CM316" i="24"/>
  <c r="CS311" i="24"/>
  <c r="CT345" i="24"/>
  <c r="CM341" i="24"/>
  <c r="CR336" i="24"/>
  <c r="CJ332" i="24"/>
  <c r="CL327" i="24"/>
  <c r="CP322" i="24"/>
  <c r="CU317" i="24"/>
  <c r="CL313" i="24"/>
  <c r="CQ344" i="24"/>
  <c r="CP339" i="24"/>
  <c r="CN334" i="24"/>
  <c r="CR329" i="24"/>
  <c r="CS324" i="24"/>
  <c r="CR319" i="24"/>
  <c r="CR314" i="24"/>
  <c r="CO344" i="24"/>
  <c r="CJ339" i="24"/>
  <c r="CJ334" i="24"/>
  <c r="CN329" i="24"/>
  <c r="CP324" i="24"/>
  <c r="CP319" i="24"/>
  <c r="CM314" i="24"/>
  <c r="CU342" i="24"/>
  <c r="CU337" i="24"/>
  <c r="CL333" i="24"/>
  <c r="CL328" i="24"/>
  <c r="CJ323" i="24"/>
  <c r="CL318" i="24"/>
  <c r="CJ313" i="24"/>
  <c r="CS341" i="24"/>
  <c r="CJ337" i="24"/>
  <c r="CK332" i="24"/>
  <c r="CU326" i="24"/>
  <c r="CJ322" i="24"/>
  <c r="CU316" i="24"/>
  <c r="CK312" i="24"/>
  <c r="CC345" i="24"/>
  <c r="CB342" i="24"/>
  <c r="CB339" i="24"/>
  <c r="CC336" i="24"/>
  <c r="CD333" i="24"/>
  <c r="CE330" i="24"/>
  <c r="CF327" i="24"/>
  <c r="CG324" i="24"/>
  <c r="BV322" i="24"/>
  <c r="BV319" i="24"/>
  <c r="BW316" i="24"/>
  <c r="BX313" i="24"/>
  <c r="BX310" i="24"/>
  <c r="CN341" i="24"/>
  <c r="CP336" i="24"/>
  <c r="CL331" i="24"/>
  <c r="CK326" i="24"/>
  <c r="CQ321" i="24"/>
  <c r="CO316" i="24"/>
  <c r="CO311" i="24"/>
  <c r="CR340" i="24"/>
  <c r="CP334" i="24"/>
  <c r="CS328" i="24"/>
  <c r="CR322" i="24"/>
  <c r="CT316" i="24"/>
  <c r="CU310" i="24"/>
  <c r="CC344" i="24"/>
  <c r="CB341" i="24"/>
  <c r="CA338" i="24"/>
  <c r="CA335" i="24"/>
  <c r="BZ332" i="24"/>
  <c r="BX329" i="24"/>
  <c r="BX326" i="24"/>
  <c r="BX323" i="24"/>
  <c r="BX320" i="24"/>
  <c r="BX317" i="24"/>
  <c r="BX314" i="24"/>
  <c r="BX311" i="24"/>
  <c r="BL343" i="24"/>
  <c r="BP340" i="24"/>
  <c r="BH338" i="24"/>
  <c r="BL335" i="24"/>
  <c r="BP332" i="24"/>
  <c r="BH330" i="24"/>
  <c r="BL327" i="24"/>
  <c r="BP324" i="24"/>
  <c r="BH322" i="24"/>
  <c r="BL319" i="24"/>
  <c r="BP316" i="24"/>
  <c r="BH314" i="24"/>
  <c r="BL311" i="24"/>
  <c r="CQ340" i="24"/>
  <c r="CK334" i="24"/>
  <c r="CQ328" i="24"/>
  <c r="CQ322" i="24"/>
  <c r="CR316" i="24"/>
  <c r="CS310" i="24"/>
  <c r="CB344" i="24"/>
  <c r="CA341" i="24"/>
  <c r="BZ338" i="24"/>
  <c r="BZ335" i="24"/>
  <c r="BX332" i="24"/>
  <c r="BW329" i="24"/>
  <c r="BW326" i="24"/>
  <c r="BW323" i="24"/>
  <c r="BW320" i="24"/>
  <c r="BW317" i="24"/>
  <c r="BW314" i="24"/>
  <c r="BV311" i="24"/>
  <c r="BS345" i="24"/>
  <c r="BK343" i="24"/>
  <c r="BO340" i="24"/>
  <c r="BS337" i="24"/>
  <c r="BK335" i="24"/>
  <c r="BO332" i="24"/>
  <c r="BS329" i="24"/>
  <c r="BK327" i="24"/>
  <c r="BO324" i="24"/>
  <c r="BS321" i="24"/>
  <c r="BK319" i="24"/>
  <c r="BO316" i="24"/>
  <c r="BS313" i="24"/>
  <c r="BK311" i="24"/>
  <c r="BA344" i="24"/>
  <c r="BE341" i="24"/>
  <c r="AW339" i="24"/>
  <c r="BA336" i="24"/>
  <c r="BE333" i="24"/>
  <c r="AW331" i="24"/>
  <c r="BA328" i="24"/>
  <c r="BE325" i="24"/>
  <c r="AW323" i="24"/>
  <c r="BA320" i="24"/>
  <c r="BE317" i="24"/>
  <c r="AW315" i="24"/>
  <c r="BA312" i="24"/>
  <c r="CU345" i="24"/>
  <c r="CO340" i="24"/>
  <c r="CU333" i="24"/>
  <c r="CN328" i="24"/>
  <c r="CO322" i="24"/>
  <c r="CP316" i="24"/>
  <c r="CR310" i="24"/>
  <c r="CR345" i="24"/>
  <c r="CM340" i="24"/>
  <c r="CS333" i="24"/>
  <c r="CM328" i="24"/>
  <c r="CM322" i="24"/>
  <c r="CN316" i="24"/>
  <c r="CP310" i="24"/>
  <c r="CP345" i="24"/>
  <c r="CL340" i="24"/>
  <c r="CR333" i="24"/>
  <c r="CK328" i="24"/>
  <c r="CK322" i="24"/>
  <c r="CL316" i="24"/>
  <c r="CN310" i="24"/>
  <c r="BY344" i="24"/>
  <c r="BX341" i="24"/>
  <c r="BW338" i="24"/>
  <c r="CG334" i="24"/>
  <c r="CF331" i="24"/>
  <c r="CF328" i="24"/>
  <c r="CF325" i="24"/>
  <c r="CF322" i="24"/>
  <c r="CF319" i="24"/>
  <c r="CF316" i="24"/>
  <c r="CF313" i="24"/>
  <c r="CE310" i="24"/>
  <c r="CU344" i="24"/>
  <c r="CQ338" i="24"/>
  <c r="CK333" i="24"/>
  <c r="CJ327" i="24"/>
  <c r="CJ321" i="24"/>
  <c r="CP315" i="24"/>
  <c r="CF343" i="24"/>
  <c r="CE340" i="24"/>
  <c r="CA337" i="24"/>
  <c r="CA334" i="24"/>
  <c r="CA331" i="24"/>
  <c r="CA328" i="24"/>
  <c r="CA325" i="24"/>
  <c r="CA322" i="24"/>
  <c r="CA319" i="24"/>
  <c r="BZ316" i="24"/>
  <c r="BZ313" i="24"/>
  <c r="BZ310" i="24"/>
  <c r="CK343" i="24"/>
  <c r="CO337" i="24"/>
  <c r="CM331" i="24"/>
  <c r="CQ325" i="24"/>
  <c r="CT319" i="24"/>
  <c r="CR313" i="24"/>
  <c r="CG342" i="24"/>
  <c r="CE339" i="24"/>
  <c r="CE336" i="24"/>
  <c r="CE333" i="24"/>
  <c r="CD330" i="24"/>
  <c r="CD327" i="24"/>
  <c r="CD324" i="24"/>
  <c r="CC321" i="24"/>
  <c r="CC318" i="24"/>
  <c r="CA315" i="24"/>
  <c r="CA312" i="24"/>
  <c r="BO344" i="24"/>
  <c r="BS341" i="24"/>
  <c r="BK339" i="24"/>
  <c r="BO336" i="24"/>
  <c r="BS333" i="24"/>
  <c r="BK331" i="24"/>
  <c r="BO328" i="24"/>
  <c r="BS325" i="24"/>
  <c r="BK323" i="24"/>
  <c r="BO320" i="24"/>
  <c r="BS317" i="24"/>
  <c r="BK315" i="24"/>
  <c r="BO312" i="24"/>
  <c r="CL342" i="24"/>
  <c r="CS336" i="24"/>
  <c r="CQ330" i="24"/>
  <c r="CJ325" i="24"/>
  <c r="CU318" i="24"/>
  <c r="CT312" i="24"/>
  <c r="CD345" i="24"/>
  <c r="CA342" i="24"/>
  <c r="BZ339" i="24"/>
  <c r="BZ336" i="24"/>
  <c r="BZ333" i="24"/>
  <c r="BZ330" i="24"/>
  <c r="BZ327" i="24"/>
  <c r="BY324" i="24"/>
  <c r="BX321" i="24"/>
  <c r="BW318" i="24"/>
  <c r="BW315" i="24"/>
  <c r="BW312" i="24"/>
  <c r="CM338" i="24"/>
  <c r="CS330" i="24"/>
  <c r="CP323" i="24"/>
  <c r="CK315" i="24"/>
  <c r="BX345" i="24"/>
  <c r="CC341" i="24"/>
  <c r="CC337" i="24"/>
  <c r="CG333" i="24"/>
  <c r="BX330" i="24"/>
  <c r="CA326" i="24"/>
  <c r="CD322" i="24"/>
  <c r="CG318" i="24"/>
  <c r="BX315" i="24"/>
  <c r="CC311" i="24"/>
  <c r="BJ344" i="24"/>
  <c r="BK341" i="24"/>
  <c r="BL338" i="24"/>
  <c r="BM335" i="24"/>
  <c r="BL332" i="24"/>
  <c r="BM329" i="24"/>
  <c r="BN326" i="24"/>
  <c r="BO323" i="24"/>
  <c r="BP320" i="24"/>
  <c r="BP317" i="24"/>
  <c r="BQ314" i="24"/>
  <c r="BR311" i="24"/>
  <c r="AV344" i="24"/>
  <c r="AY341" i="24"/>
  <c r="BB338" i="24"/>
  <c r="BE335" i="24"/>
  <c r="AV333" i="24"/>
  <c r="AY330" i="24"/>
  <c r="BB327" i="24"/>
  <c r="BE324" i="24"/>
  <c r="AV322" i="24"/>
  <c r="AY319" i="24"/>
  <c r="BB316" i="24"/>
  <c r="BE313" i="24"/>
  <c r="AV311" i="24"/>
  <c r="CL338" i="24"/>
  <c r="CP330" i="24"/>
  <c r="CK323" i="24"/>
  <c r="CS314" i="24"/>
  <c r="BW345" i="24"/>
  <c r="BZ341" i="24"/>
  <c r="BZ337" i="24"/>
  <c r="CF333" i="24"/>
  <c r="BW330" i="24"/>
  <c r="BZ326" i="24"/>
  <c r="CC322" i="24"/>
  <c r="CF318" i="24"/>
  <c r="BV315" i="24"/>
  <c r="CB311" i="24"/>
  <c r="BI344" i="24"/>
  <c r="BJ341" i="24"/>
  <c r="BK338" i="24"/>
  <c r="BJ335" i="24"/>
  <c r="BK332" i="24"/>
  <c r="BL329" i="24"/>
  <c r="BM326" i="24"/>
  <c r="BN323" i="24"/>
  <c r="BN320" i="24"/>
  <c r="BO317" i="24"/>
  <c r="BP314" i="24"/>
  <c r="BQ311" i="24"/>
  <c r="AU344" i="24"/>
  <c r="AX341" i="24"/>
  <c r="BA338" i="24"/>
  <c r="BD335" i="24"/>
  <c r="AU333" i="24"/>
  <c r="AX330" i="24"/>
  <c r="BA327" i="24"/>
  <c r="BD324" i="24"/>
  <c r="AU322" i="24"/>
  <c r="AX319" i="24"/>
  <c r="BA316" i="24"/>
  <c r="BD313" i="24"/>
  <c r="AU311" i="24"/>
  <c r="AP344" i="24"/>
  <c r="AH342" i="24"/>
  <c r="AL339" i="24"/>
  <c r="AP336" i="24"/>
  <c r="AH334" i="24"/>
  <c r="AL331" i="24"/>
  <c r="AP328" i="24"/>
  <c r="AH326" i="24"/>
  <c r="AL323" i="24"/>
  <c r="AP320" i="24"/>
  <c r="AH318" i="24"/>
  <c r="AL315" i="24"/>
  <c r="AP312" i="24"/>
  <c r="AH310" i="24"/>
  <c r="CO345" i="24"/>
  <c r="CT337" i="24"/>
  <c r="CL330" i="24"/>
  <c r="CU321" i="24"/>
  <c r="CL314" i="24"/>
  <c r="CG344" i="24"/>
  <c r="BW341" i="24"/>
  <c r="BX337" i="24"/>
  <c r="CB333" i="24"/>
  <c r="CG329" i="24"/>
  <c r="BV326" i="24"/>
  <c r="BZ322" i="24"/>
  <c r="CD318" i="24"/>
  <c r="CF314" i="24"/>
  <c r="BZ311" i="24"/>
  <c r="BS343" i="24"/>
  <c r="BH341" i="24"/>
  <c r="BI338" i="24"/>
  <c r="BH335" i="24"/>
  <c r="BI332" i="24"/>
  <c r="BJ329" i="24"/>
  <c r="BK326" i="24"/>
  <c r="BL323" i="24"/>
  <c r="BL320" i="24"/>
  <c r="BM317" i="24"/>
  <c r="BN314" i="24"/>
  <c r="BO311" i="24"/>
  <c r="CQ341" i="24"/>
  <c r="CN333" i="24"/>
  <c r="CR325" i="24"/>
  <c r="CJ318" i="24"/>
  <c r="CE342" i="24"/>
  <c r="CG338" i="24"/>
  <c r="BY335" i="24"/>
  <c r="BZ331" i="24"/>
  <c r="CE327" i="24"/>
  <c r="CG323" i="24"/>
  <c r="BZ320" i="24"/>
  <c r="CC316" i="24"/>
  <c r="CD312" i="24"/>
  <c r="BJ345" i="24"/>
  <c r="BK342" i="24"/>
  <c r="BL339" i="24"/>
  <c r="BL336" i="24"/>
  <c r="BM333" i="24"/>
  <c r="BN330" i="24"/>
  <c r="BO327" i="24"/>
  <c r="BN324" i="24"/>
  <c r="BO321" i="24"/>
  <c r="BP318" i="24"/>
  <c r="BQ315" i="24"/>
  <c r="BR312" i="24"/>
  <c r="CK340" i="24"/>
  <c r="CT330" i="24"/>
  <c r="CN321" i="24"/>
  <c r="CR312" i="24"/>
  <c r="BZ344" i="24"/>
  <c r="BV340" i="24"/>
  <c r="CF335" i="24"/>
  <c r="CB331" i="24"/>
  <c r="BY327" i="24"/>
  <c r="BV323" i="24"/>
  <c r="CA318" i="24"/>
  <c r="CA314" i="24"/>
  <c r="BH344" i="24"/>
  <c r="BN340" i="24"/>
  <c r="BK337" i="24"/>
  <c r="BH334" i="24"/>
  <c r="BP330" i="24"/>
  <c r="BJ327" i="24"/>
  <c r="BS323" i="24"/>
  <c r="BM320" i="24"/>
  <c r="BI317" i="24"/>
  <c r="BP313" i="24"/>
  <c r="BM310" i="24"/>
  <c r="BE345" i="24"/>
  <c r="AT343" i="24"/>
  <c r="AU340" i="24"/>
  <c r="AV337" i="24"/>
  <c r="AW334" i="24"/>
  <c r="AX331" i="24"/>
  <c r="AX328" i="24"/>
  <c r="AY325" i="24"/>
  <c r="AZ322" i="24"/>
  <c r="BA319" i="24"/>
  <c r="AZ316" i="24"/>
  <c r="BA313" i="24"/>
  <c r="BB310" i="24"/>
  <c r="AI344" i="24"/>
  <c r="AL341" i="24"/>
  <c r="AO338" i="24"/>
  <c r="AF336" i="24"/>
  <c r="AI333" i="24"/>
  <c r="AL330" i="24"/>
  <c r="AO327" i="24"/>
  <c r="AF325" i="24"/>
  <c r="AI322" i="24"/>
  <c r="AL319" i="24"/>
  <c r="AO316" i="24"/>
  <c r="AF314" i="24"/>
  <c r="AI311" i="24"/>
  <c r="CR338" i="24"/>
  <c r="CU329" i="24"/>
  <c r="CP320" i="24"/>
  <c r="CN312" i="24"/>
  <c r="BV344" i="24"/>
  <c r="CC339" i="24"/>
  <c r="CC335" i="24"/>
  <c r="BW331" i="24"/>
  <c r="CG326" i="24"/>
  <c r="CB322" i="24"/>
  <c r="BV318" i="24"/>
  <c r="BV314" i="24"/>
  <c r="CL337" i="24"/>
  <c r="CJ328" i="24"/>
  <c r="CM319" i="24"/>
  <c r="CM310" i="24"/>
  <c r="BZ343" i="24"/>
  <c r="CF338" i="24"/>
  <c r="CB334" i="24"/>
  <c r="CA330" i="24"/>
  <c r="CE325" i="24"/>
  <c r="CD321" i="24"/>
  <c r="CB317" i="24"/>
  <c r="BY313" i="24"/>
  <c r="BH343" i="24"/>
  <c r="BQ339" i="24"/>
  <c r="BM336" i="24"/>
  <c r="BI333" i="24"/>
  <c r="BP329" i="24"/>
  <c r="BJ326" i="24"/>
  <c r="BR322" i="24"/>
  <c r="BO319" i="24"/>
  <c r="BJ316" i="24"/>
  <c r="BS312" i="24"/>
  <c r="AV345" i="24"/>
  <c r="AW342" i="24"/>
  <c r="AX339" i="24"/>
  <c r="AX336" i="24"/>
  <c r="AY333" i="24"/>
  <c r="AZ330" i="24"/>
  <c r="AY327" i="24"/>
  <c r="AZ324" i="24"/>
  <c r="BA321" i="24"/>
  <c r="BB318" i="24"/>
  <c r="BC315" i="24"/>
  <c r="BD312" i="24"/>
  <c r="AL343" i="24"/>
  <c r="AO340" i="24"/>
  <c r="AF338" i="24"/>
  <c r="AI335" i="24"/>
  <c r="AL332" i="24"/>
  <c r="AO329" i="24"/>
  <c r="AF327" i="24"/>
  <c r="AI324" i="24"/>
  <c r="AL321" i="24"/>
  <c r="AO318" i="24"/>
  <c r="CS343" i="24"/>
  <c r="CO335" i="24"/>
  <c r="CT325" i="24"/>
  <c r="CL317" i="24"/>
  <c r="BW342" i="24"/>
  <c r="CG337" i="24"/>
  <c r="BY333" i="24"/>
  <c r="BV329" i="24"/>
  <c r="BV325" i="24"/>
  <c r="CD320" i="24"/>
  <c r="CB316" i="24"/>
  <c r="BX312" i="24"/>
  <c r="BO345" i="24"/>
  <c r="BL342" i="24"/>
  <c r="BS338" i="24"/>
  <c r="BP335" i="24"/>
  <c r="BH332" i="24"/>
  <c r="BQ328" i="24"/>
  <c r="BM325" i="24"/>
  <c r="BJ322" i="24"/>
  <c r="BQ318" i="24"/>
  <c r="BM315" i="24"/>
  <c r="BI312" i="24"/>
  <c r="AY344" i="24"/>
  <c r="AZ341" i="24"/>
  <c r="AY338" i="24"/>
  <c r="AZ335" i="24"/>
  <c r="BA332" i="24"/>
  <c r="BB329" i="24"/>
  <c r="BC326" i="24"/>
  <c r="BD323" i="24"/>
  <c r="BE320" i="24"/>
  <c r="AT318" i="24"/>
  <c r="AT315" i="24"/>
  <c r="AU312" i="24"/>
  <c r="CT342" i="24"/>
  <c r="CQ333" i="24"/>
  <c r="CK325" i="24"/>
  <c r="CJ316" i="24"/>
  <c r="CE341" i="24"/>
  <c r="BV337" i="24"/>
  <c r="CG332" i="24"/>
  <c r="CC328" i="24"/>
  <c r="CB324" i="24"/>
  <c r="BY320" i="24"/>
  <c r="CG315" i="24"/>
  <c r="CE311" i="24"/>
  <c r="BK345" i="24"/>
  <c r="BR341" i="24"/>
  <c r="BO338" i="24"/>
  <c r="BS334" i="24"/>
  <c r="BP331" i="24"/>
  <c r="BL328" i="24"/>
  <c r="BI325" i="24"/>
  <c r="BP321" i="24"/>
  <c r="BL318" i="24"/>
  <c r="BH315" i="24"/>
  <c r="BN311" i="24"/>
  <c r="CM342" i="24"/>
  <c r="CP333" i="24"/>
  <c r="CT324" i="24"/>
  <c r="CT315" i="24"/>
  <c r="CG345" i="24"/>
  <c r="CD341" i="24"/>
  <c r="CG336" i="24"/>
  <c r="CF332" i="24"/>
  <c r="CB328" i="24"/>
  <c r="BZ324" i="24"/>
  <c r="BV320" i="24"/>
  <c r="CF315" i="24"/>
  <c r="CL336" i="24"/>
  <c r="CM325" i="24"/>
  <c r="CQ313" i="24"/>
  <c r="CF340" i="24"/>
  <c r="CE335" i="24"/>
  <c r="CB330" i="24"/>
  <c r="BX325" i="24"/>
  <c r="CE319" i="24"/>
  <c r="CC314" i="24"/>
  <c r="BI345" i="24"/>
  <c r="BM341" i="24"/>
  <c r="BM337" i="24"/>
  <c r="BP333" i="24"/>
  <c r="BR329" i="24"/>
  <c r="BR325" i="24"/>
  <c r="BK322" i="24"/>
  <c r="BK318" i="24"/>
  <c r="BL314" i="24"/>
  <c r="BO310" i="24"/>
  <c r="CK336" i="24"/>
  <c r="CQ324" i="24"/>
  <c r="CP313" i="24"/>
  <c r="CC340" i="24"/>
  <c r="CD335" i="24"/>
  <c r="BY330" i="24"/>
  <c r="BW325" i="24"/>
  <c r="CD319" i="24"/>
  <c r="CB314" i="24"/>
  <c r="CS335" i="24"/>
  <c r="CN324" i="24"/>
  <c r="CN313" i="24"/>
  <c r="CB340" i="24"/>
  <c r="CB335" i="24"/>
  <c r="BV330" i="24"/>
  <c r="CF324" i="24"/>
  <c r="CC319" i="24"/>
  <c r="BZ314" i="24"/>
  <c r="BS344" i="24"/>
  <c r="BI341" i="24"/>
  <c r="BJ337" i="24"/>
  <c r="BN333" i="24"/>
  <c r="BO329" i="24"/>
  <c r="BP325" i="24"/>
  <c r="BR321" i="24"/>
  <c r="BI318" i="24"/>
  <c r="BJ314" i="24"/>
  <c r="BL310" i="24"/>
  <c r="CL344" i="24"/>
  <c r="CU332" i="24"/>
  <c r="CS321" i="24"/>
  <c r="CN311" i="24"/>
  <c r="CE344" i="24"/>
  <c r="BY339" i="24"/>
  <c r="BX334" i="24"/>
  <c r="CE328" i="24"/>
  <c r="CC323" i="24"/>
  <c r="BX318" i="24"/>
  <c r="BW313" i="24"/>
  <c r="BK344" i="24"/>
  <c r="BJ340" i="24"/>
  <c r="BN336" i="24"/>
  <c r="BQ332" i="24"/>
  <c r="BP328" i="24"/>
  <c r="BS324" i="24"/>
  <c r="BI321" i="24"/>
  <c r="BJ317" i="24"/>
  <c r="BL313" i="24"/>
  <c r="CT340" i="24"/>
  <c r="CJ329" i="24"/>
  <c r="CP318" i="24"/>
  <c r="CF342" i="24"/>
  <c r="BY337" i="24"/>
  <c r="BW332" i="24"/>
  <c r="BV327" i="24"/>
  <c r="CB321" i="24"/>
  <c r="CD316" i="24"/>
  <c r="BY311" i="24"/>
  <c r="CJ345" i="24"/>
  <c r="CP332" i="24"/>
  <c r="CQ319" i="24"/>
  <c r="CG341" i="24"/>
  <c r="BX335" i="24"/>
  <c r="CG328" i="24"/>
  <c r="CG322" i="24"/>
  <c r="CG316" i="24"/>
  <c r="CC310" i="24"/>
  <c r="CS344" i="24"/>
  <c r="CO332" i="24"/>
  <c r="CL319" i="24"/>
  <c r="CF341" i="24"/>
  <c r="CF334" i="24"/>
  <c r="CD328" i="24"/>
  <c r="CE322" i="24"/>
  <c r="CE316" i="24"/>
  <c r="CB310" i="24"/>
  <c r="BQ343" i="24"/>
  <c r="BP339" i="24"/>
  <c r="BO335" i="24"/>
  <c r="BJ331" i="24"/>
  <c r="BH327" i="24"/>
  <c r="BQ322" i="24"/>
  <c r="BO318" i="24"/>
  <c r="BK314" i="24"/>
  <c r="BI310" i="24"/>
  <c r="BC345" i="24"/>
  <c r="BA342" i="24"/>
  <c r="AY339" i="24"/>
  <c r="AU336" i="24"/>
  <c r="BC332" i="24"/>
  <c r="AZ329" i="24"/>
  <c r="AX326" i="24"/>
  <c r="AU323" i="24"/>
  <c r="BE319" i="24"/>
  <c r="BC316" i="24"/>
  <c r="AX313" i="24"/>
  <c r="AV310" i="24"/>
  <c r="CP344" i="24"/>
  <c r="CT331" i="24"/>
  <c r="CT318" i="24"/>
  <c r="CU341" i="24"/>
  <c r="CK329" i="24"/>
  <c r="CK316" i="24"/>
  <c r="CD339" i="24"/>
  <c r="CA333" i="24"/>
  <c r="CB327" i="24"/>
  <c r="BW321" i="24"/>
  <c r="CG314" i="24"/>
  <c r="CR341" i="24"/>
  <c r="CU328" i="24"/>
  <c r="CQ315" i="24"/>
  <c r="CF345" i="24"/>
  <c r="CA339" i="24"/>
  <c r="BX333" i="24"/>
  <c r="CA327" i="24"/>
  <c r="CG320" i="24"/>
  <c r="CE314" i="24"/>
  <c r="BQ342" i="24"/>
  <c r="BP338" i="24"/>
  <c r="BL334" i="24"/>
  <c r="BK330" i="24"/>
  <c r="BQ325" i="24"/>
  <c r="BM321" i="24"/>
  <c r="BK317" i="24"/>
  <c r="BI313" i="24"/>
  <c r="CO341" i="24"/>
  <c r="CS327" i="24"/>
  <c r="CL315" i="24"/>
  <c r="CB345" i="24"/>
  <c r="BX339" i="24"/>
  <c r="BW333" i="24"/>
  <c r="BX327" i="24"/>
  <c r="CF320" i="24"/>
  <c r="CD314" i="24"/>
  <c r="CN337" i="24"/>
  <c r="CT323" i="24"/>
  <c r="CJ311" i="24"/>
  <c r="CE343" i="24"/>
  <c r="CD337" i="24"/>
  <c r="BY331" i="24"/>
  <c r="BY325" i="24"/>
  <c r="CE318" i="24"/>
  <c r="CB312" i="24"/>
  <c r="CT336" i="24"/>
  <c r="CS323" i="24"/>
  <c r="CD343" i="24"/>
  <c r="BW337" i="24"/>
  <c r="BX331" i="24"/>
  <c r="CE324" i="24"/>
  <c r="BZ318" i="24"/>
  <c r="BZ312" i="24"/>
  <c r="CQ336" i="24"/>
  <c r="CQ323" i="24"/>
  <c r="CC343" i="24"/>
  <c r="CF336" i="24"/>
  <c r="BV331" i="24"/>
  <c r="CC324" i="24"/>
  <c r="CG317" i="24"/>
  <c r="BY312" i="24"/>
  <c r="CO338" i="24"/>
  <c r="CK320" i="24"/>
  <c r="BZ342" i="24"/>
  <c r="BW334" i="24"/>
  <c r="CD325" i="24"/>
  <c r="CA317" i="24"/>
  <c r="BI343" i="24"/>
  <c r="BQ338" i="24"/>
  <c r="BJ334" i="24"/>
  <c r="BN329" i="24"/>
  <c r="BH325" i="24"/>
  <c r="BK320" i="24"/>
  <c r="BH316" i="24"/>
  <c r="BM311" i="24"/>
  <c r="BD345" i="24"/>
  <c r="AZ342" i="24"/>
  <c r="AU339" i="24"/>
  <c r="BB335" i="24"/>
  <c r="AX332" i="24"/>
  <c r="AU329" i="24"/>
  <c r="BC325" i="24"/>
  <c r="AY322" i="24"/>
  <c r="AT319" i="24"/>
  <c r="BB315" i="24"/>
  <c r="AX312" i="24"/>
  <c r="AN344" i="24"/>
  <c r="AO341" i="24"/>
  <c r="AP338" i="24"/>
  <c r="AP335" i="24"/>
  <c r="AQ332" i="24"/>
  <c r="AF330" i="24"/>
  <c r="AG327" i="24"/>
  <c r="AG324" i="24"/>
  <c r="AH321" i="24"/>
  <c r="AI318" i="24"/>
  <c r="AJ315" i="24"/>
  <c r="AL312" i="24"/>
  <c r="CJ338" i="24"/>
  <c r="CJ320" i="24"/>
  <c r="BY342" i="24"/>
  <c r="BV334" i="24"/>
  <c r="CC325" i="24"/>
  <c r="BZ317" i="24"/>
  <c r="BS342" i="24"/>
  <c r="BN338" i="24"/>
  <c r="BI334" i="24"/>
  <c r="BK329" i="24"/>
  <c r="BR324" i="24"/>
  <c r="BJ320" i="24"/>
  <c r="BS315" i="24"/>
  <c r="BJ311" i="24"/>
  <c r="BB345" i="24"/>
  <c r="AY342" i="24"/>
  <c r="AT339" i="24"/>
  <c r="BA335" i="24"/>
  <c r="AW332" i="24"/>
  <c r="AT329" i="24"/>
  <c r="BB325" i="24"/>
  <c r="AX322" i="24"/>
  <c r="BE318" i="24"/>
  <c r="BA315" i="24"/>
  <c r="AW312" i="24"/>
  <c r="AM344" i="24"/>
  <c r="AN341" i="24"/>
  <c r="AN338" i="24"/>
  <c r="AO335" i="24"/>
  <c r="AP332" i="24"/>
  <c r="AQ329" i="24"/>
  <c r="AQ326" i="24"/>
  <c r="AF324" i="24"/>
  <c r="AG321" i="24"/>
  <c r="AG318" i="24"/>
  <c r="AI315" i="24"/>
  <c r="AK312" i="24"/>
  <c r="CN336" i="24"/>
  <c r="CR318" i="24"/>
  <c r="BY341" i="24"/>
  <c r="CE332" i="24"/>
  <c r="BX324" i="24"/>
  <c r="BY316" i="24"/>
  <c r="CP335" i="24"/>
  <c r="CP317" i="24"/>
  <c r="BV341" i="24"/>
  <c r="CD332" i="24"/>
  <c r="BW324" i="24"/>
  <c r="BX316" i="24"/>
  <c r="BN342" i="24"/>
  <c r="BQ337" i="24"/>
  <c r="BL333" i="24"/>
  <c r="BR328" i="24"/>
  <c r="BK324" i="24"/>
  <c r="BR319" i="24"/>
  <c r="BN315" i="24"/>
  <c r="BR310" i="24"/>
  <c r="AX345" i="24"/>
  <c r="AT342" i="24"/>
  <c r="AZ338" i="24"/>
  <c r="AV335" i="24"/>
  <c r="BE331" i="24"/>
  <c r="BB328" i="24"/>
  <c r="AW325" i="24"/>
  <c r="BD321" i="24"/>
  <c r="AZ318" i="24"/>
  <c r="AV315" i="24"/>
  <c r="BD311" i="24"/>
  <c r="CM333" i="24"/>
  <c r="CO314" i="24"/>
  <c r="BW340" i="24"/>
  <c r="CE331" i="24"/>
  <c r="CA323" i="24"/>
  <c r="BZ315" i="24"/>
  <c r="BH342" i="24"/>
  <c r="BL337" i="24"/>
  <c r="BS332" i="24"/>
  <c r="BJ328" i="24"/>
  <c r="BR323" i="24"/>
  <c r="BM319" i="24"/>
  <c r="BS314" i="24"/>
  <c r="BK310" i="24"/>
  <c r="BE344" i="24"/>
  <c r="BA341" i="24"/>
  <c r="AU338" i="24"/>
  <c r="BD334" i="24"/>
  <c r="BA331" i="24"/>
  <c r="AV328" i="24"/>
  <c r="BC324" i="24"/>
  <c r="AY321" i="24"/>
  <c r="AV318" i="24"/>
  <c r="BC314" i="24"/>
  <c r="AZ311" i="24"/>
  <c r="AP343" i="24"/>
  <c r="AQ340" i="24"/>
  <c r="CP326" i="24"/>
  <c r="BV343" i="24"/>
  <c r="CB332" i="24"/>
  <c r="BX322" i="24"/>
  <c r="CF312" i="24"/>
  <c r="BL344" i="24"/>
  <c r="BI339" i="24"/>
  <c r="BQ333" i="24"/>
  <c r="BK328" i="24"/>
  <c r="BJ323" i="24"/>
  <c r="BJ318" i="24"/>
  <c r="BH313" i="24"/>
  <c r="AZ345" i="24"/>
  <c r="BB341" i="24"/>
  <c r="BC337" i="24"/>
  <c r="AU334" i="24"/>
  <c r="AV330" i="24"/>
  <c r="AZ326" i="24"/>
  <c r="BC322" i="24"/>
  <c r="BC318" i="24"/>
  <c r="BD314" i="24"/>
  <c r="AT311" i="24"/>
  <c r="AM343" i="24"/>
  <c r="AJ340" i="24"/>
  <c r="AI337" i="24"/>
  <c r="AG334" i="24"/>
  <c r="AF331" i="24"/>
  <c r="AQ327" i="24"/>
  <c r="AO324" i="24"/>
  <c r="AN321" i="24"/>
  <c r="AL318" i="24"/>
  <c r="AK315" i="24"/>
  <c r="AI312" i="24"/>
  <c r="CK345" i="24"/>
  <c r="CO325" i="24"/>
  <c r="CG340" i="24"/>
  <c r="CG330" i="24"/>
  <c r="CA321" i="24"/>
  <c r="CF311" i="24"/>
  <c r="BN343" i="24"/>
  <c r="BJ338" i="24"/>
  <c r="BH333" i="24"/>
  <c r="BR327" i="24"/>
  <c r="BP322" i="24"/>
  <c r="BN317" i="24"/>
  <c r="BM312" i="24"/>
  <c r="CL343" i="24"/>
  <c r="CT321" i="24"/>
  <c r="CG339" i="24"/>
  <c r="CF329" i="24"/>
  <c r="CC320" i="24"/>
  <c r="CG310" i="24"/>
  <c r="BR342" i="24"/>
  <c r="BO337" i="24"/>
  <c r="BM332" i="24"/>
  <c r="BN327" i="24"/>
  <c r="BM322" i="24"/>
  <c r="BS316" i="24"/>
  <c r="BJ312" i="24"/>
  <c r="BB344" i="24"/>
  <c r="BC340" i="24"/>
  <c r="AU337" i="24"/>
  <c r="AX333" i="24"/>
  <c r="AY329" i="24"/>
  <c r="BA325" i="24"/>
  <c r="BB321" i="24"/>
  <c r="BC317" i="24"/>
  <c r="AV314" i="24"/>
  <c r="AX310" i="24"/>
  <c r="AQ342" i="24"/>
  <c r="AO339" i="24"/>
  <c r="AM336" i="24"/>
  <c r="AL333" i="24"/>
  <c r="AJ330" i="24"/>
  <c r="AI327" i="24"/>
  <c r="AQ323" i="24"/>
  <c r="AO320" i="24"/>
  <c r="AN317" i="24"/>
  <c r="AN314" i="24"/>
  <c r="AN311" i="24"/>
  <c r="CS338" i="24"/>
  <c r="CJ317" i="24"/>
  <c r="BX338" i="24"/>
  <c r="BW328" i="24"/>
  <c r="CF317" i="24"/>
  <c r="BO341" i="24"/>
  <c r="BK336" i="24"/>
  <c r="BL331" i="24"/>
  <c r="BL326" i="24"/>
  <c r="BH321" i="24"/>
  <c r="BR315" i="24"/>
  <c r="BP310" i="24"/>
  <c r="BB343" i="24"/>
  <c r="AT340" i="24"/>
  <c r="AW336" i="24"/>
  <c r="AV332" i="24"/>
  <c r="AY328" i="24"/>
  <c r="AY324" i="24"/>
  <c r="BC320" i="24"/>
  <c r="AU317" i="24"/>
  <c r="AV313" i="24"/>
  <c r="AK345" i="24"/>
  <c r="AI342" i="24"/>
  <c r="AF339" i="24"/>
  <c r="AN335" i="24"/>
  <c r="AM332" i="24"/>
  <c r="AK329" i="24"/>
  <c r="AJ326" i="24"/>
  <c r="AH323" i="24"/>
  <c r="AG320" i="24"/>
  <c r="AF317" i="24"/>
  <c r="AQ313" i="24"/>
  <c r="AQ310" i="24"/>
  <c r="CO329" i="24"/>
  <c r="BW339" i="24"/>
  <c r="BZ328" i="24"/>
  <c r="CD317" i="24"/>
  <c r="BN344" i="24"/>
  <c r="BM338" i="24"/>
  <c r="BS331" i="24"/>
  <c r="BP326" i="24"/>
  <c r="BQ320" i="24"/>
  <c r="BO314" i="24"/>
  <c r="BB342" i="24"/>
  <c r="AT338" i="24"/>
  <c r="AT334" i="24"/>
  <c r="BD329" i="24"/>
  <c r="AZ325" i="24"/>
  <c r="AV321" i="24"/>
  <c r="AV317" i="24"/>
  <c r="BE312" i="24"/>
  <c r="AF345" i="24"/>
  <c r="AI341" i="24"/>
  <c r="AO337" i="24"/>
  <c r="AK334" i="24"/>
  <c r="AQ330" i="24"/>
  <c r="AL327" i="24"/>
  <c r="AP323" i="24"/>
  <c r="AK320" i="24"/>
  <c r="AG317" i="24"/>
  <c r="AN313" i="24"/>
  <c r="AK310" i="24"/>
  <c r="S344" i="24"/>
  <c r="W341" i="24"/>
  <c r="AA338" i="24"/>
  <c r="S336" i="24"/>
  <c r="W333" i="24"/>
  <c r="AA330" i="24"/>
  <c r="S328" i="24"/>
  <c r="W325" i="24"/>
  <c r="AA322" i="24"/>
  <c r="S320" i="24"/>
  <c r="W317" i="24"/>
  <c r="AA314" i="24"/>
  <c r="S312" i="24"/>
  <c r="CR327" i="24"/>
  <c r="BV339" i="24"/>
  <c r="BY328" i="24"/>
  <c r="CC317" i="24"/>
  <c r="BM344" i="24"/>
  <c r="BR337" i="24"/>
  <c r="BR331" i="24"/>
  <c r="BO326" i="24"/>
  <c r="BI320" i="24"/>
  <c r="BM314" i="24"/>
  <c r="AX342" i="24"/>
  <c r="BE337" i="24"/>
  <c r="BD333" i="24"/>
  <c r="BC329" i="24"/>
  <c r="AX325" i="24"/>
  <c r="AU321" i="24"/>
  <c r="AT317" i="24"/>
  <c r="BC312" i="24"/>
  <c r="AQ344" i="24"/>
  <c r="AH341" i="24"/>
  <c r="AN337" i="24"/>
  <c r="AJ334" i="24"/>
  <c r="AP330" i="24"/>
  <c r="AK327" i="24"/>
  <c r="AO323" i="24"/>
  <c r="AJ320" i="24"/>
  <c r="AQ316" i="24"/>
  <c r="AM313" i="24"/>
  <c r="AJ310" i="24"/>
  <c r="R344" i="24"/>
  <c r="V341" i="24"/>
  <c r="Z338" i="24"/>
  <c r="R336" i="24"/>
  <c r="V333" i="24"/>
  <c r="Z330" i="24"/>
  <c r="R328" i="24"/>
  <c r="V325" i="24"/>
  <c r="Z322" i="24"/>
  <c r="R320" i="24"/>
  <c r="V317" i="24"/>
  <c r="Z314" i="24"/>
  <c r="R312" i="24"/>
  <c r="CM327" i="24"/>
  <c r="CE338" i="24"/>
  <c r="BX328" i="24"/>
  <c r="BY317" i="24"/>
  <c r="BR343" i="24"/>
  <c r="BP337" i="24"/>
  <c r="BQ331" i="24"/>
  <c r="BI326" i="24"/>
  <c r="BH320" i="24"/>
  <c r="BI314" i="24"/>
  <c r="AV342" i="24"/>
  <c r="BD337" i="24"/>
  <c r="BC333" i="24"/>
  <c r="BA329" i="24"/>
  <c r="AV325" i="24"/>
  <c r="AT321" i="24"/>
  <c r="BE316" i="24"/>
  <c r="BB312" i="24"/>
  <c r="AO344" i="24"/>
  <c r="AG341" i="24"/>
  <c r="AM337" i="24"/>
  <c r="AI334" i="24"/>
  <c r="AO330" i="24"/>
  <c r="AJ327" i="24"/>
  <c r="AN323" i="24"/>
  <c r="AI320" i="24"/>
  <c r="AP316" i="24"/>
  <c r="AL313" i="24"/>
  <c r="AI310" i="24"/>
  <c r="AC343" i="24"/>
  <c r="U341" i="24"/>
  <c r="Y338" i="24"/>
  <c r="AC335" i="24"/>
  <c r="U333" i="24"/>
  <c r="Y330" i="24"/>
  <c r="AC327" i="24"/>
  <c r="U325" i="24"/>
  <c r="Y322" i="24"/>
  <c r="AC319" i="24"/>
  <c r="U317" i="24"/>
  <c r="Y314" i="24"/>
  <c r="AC311" i="24"/>
  <c r="CR326" i="24"/>
  <c r="CD338" i="24"/>
  <c r="BV328" i="24"/>
  <c r="BV317" i="24"/>
  <c r="BP343" i="24"/>
  <c r="BN337" i="24"/>
  <c r="BO331" i="24"/>
  <c r="BH326" i="24"/>
  <c r="BS319" i="24"/>
  <c r="BR313" i="24"/>
  <c r="AU342" i="24"/>
  <c r="BB337" i="24"/>
  <c r="BB333" i="24"/>
  <c r="AX329" i="24"/>
  <c r="AU325" i="24"/>
  <c r="BD320" i="24"/>
  <c r="BD316" i="24"/>
  <c r="AZ312" i="24"/>
  <c r="AL344" i="24"/>
  <c r="AF341" i="24"/>
  <c r="AL337" i="24"/>
  <c r="AF334" i="24"/>
  <c r="AN330" i="24"/>
  <c r="AH327" i="24"/>
  <c r="AM323" i="24"/>
  <c r="AH320" i="24"/>
  <c r="AN316" i="24"/>
  <c r="AK313" i="24"/>
  <c r="AG310" i="24"/>
  <c r="AB343" i="24"/>
  <c r="T341" i="24"/>
  <c r="X338" i="24"/>
  <c r="AB335" i="24"/>
  <c r="T333" i="24"/>
  <c r="X330" i="24"/>
  <c r="AB327" i="24"/>
  <c r="T325" i="24"/>
  <c r="X322" i="24"/>
  <c r="AB319" i="24"/>
  <c r="T317" i="24"/>
  <c r="X314" i="24"/>
  <c r="AB311" i="24"/>
  <c r="CO326" i="24"/>
  <c r="CC338" i="24"/>
  <c r="CG327" i="24"/>
  <c r="BV316" i="24"/>
  <c r="BO343" i="24"/>
  <c r="BI337" i="24"/>
  <c r="BN331" i="24"/>
  <c r="BO325" i="24"/>
  <c r="BQ319" i="24"/>
  <c r="BQ313" i="24"/>
  <c r="BD341" i="24"/>
  <c r="BA337" i="24"/>
  <c r="BA333" i="24"/>
  <c r="AW329" i="24"/>
  <c r="AT325" i="24"/>
  <c r="BB320" i="24"/>
  <c r="AY316" i="24"/>
  <c r="AY312" i="24"/>
  <c r="AK344" i="24"/>
  <c r="AP340" i="24"/>
  <c r="AK337" i="24"/>
  <c r="AQ333" i="24"/>
  <c r="AM330" i="24"/>
  <c r="AP326" i="24"/>
  <c r="AK323" i="24"/>
  <c r="AF320" i="24"/>
  <c r="AM316" i="24"/>
  <c r="AJ313" i="24"/>
  <c r="AF310" i="24"/>
  <c r="AA343" i="24"/>
  <c r="S341" i="24"/>
  <c r="W338" i="24"/>
  <c r="AA335" i="24"/>
  <c r="S333" i="24"/>
  <c r="W330" i="24"/>
  <c r="AA327" i="24"/>
  <c r="S325" i="24"/>
  <c r="W322" i="24"/>
  <c r="AA319" i="24"/>
  <c r="S317" i="24"/>
  <c r="W314" i="24"/>
  <c r="AA311" i="24"/>
  <c r="CT320" i="24"/>
  <c r="CB336" i="24"/>
  <c r="BY326" i="24"/>
  <c r="CG313" i="24"/>
  <c r="BM342" i="24"/>
  <c r="BP336" i="24"/>
  <c r="BR330" i="24"/>
  <c r="BQ324" i="24"/>
  <c r="BH319" i="24"/>
  <c r="BJ313" i="24"/>
  <c r="AY345" i="24"/>
  <c r="AT341" i="24"/>
  <c r="AT337" i="24"/>
  <c r="BD332" i="24"/>
  <c r="AZ328" i="24"/>
  <c r="AV324" i="24"/>
  <c r="AV320" i="24"/>
  <c r="AT316" i="24"/>
  <c r="BB311" i="24"/>
  <c r="AQ343" i="24"/>
  <c r="AI340" i="24"/>
  <c r="AQ336" i="24"/>
  <c r="AK333" i="24"/>
  <c r="AP329" i="24"/>
  <c r="AK326" i="24"/>
  <c r="AQ322" i="24"/>
  <c r="AM319" i="24"/>
  <c r="AH316" i="24"/>
  <c r="AQ312" i="24"/>
  <c r="V343" i="24"/>
  <c r="Z340" i="24"/>
  <c r="R338" i="24"/>
  <c r="V335" i="24"/>
  <c r="Z332" i="24"/>
  <c r="R330" i="24"/>
  <c r="V327" i="24"/>
  <c r="Z324" i="24"/>
  <c r="R322" i="24"/>
  <c r="V319" i="24"/>
  <c r="Z316" i="24"/>
  <c r="R314" i="24"/>
  <c r="V311" i="24"/>
  <c r="CN345" i="24"/>
  <c r="CQ320" i="24"/>
  <c r="CA336" i="24"/>
  <c r="CG325" i="24"/>
  <c r="CD313" i="24"/>
  <c r="BJ342" i="24"/>
  <c r="BJ336" i="24"/>
  <c r="BQ330" i="24"/>
  <c r="BM324" i="24"/>
  <c r="BS318" i="24"/>
  <c r="BQ312" i="24"/>
  <c r="AW345" i="24"/>
  <c r="BE340" i="24"/>
  <c r="BE336" i="24"/>
  <c r="BB332" i="24"/>
  <c r="AW328" i="24"/>
  <c r="AU324" i="24"/>
  <c r="AU320" i="24"/>
  <c r="BE315" i="24"/>
  <c r="BA311" i="24"/>
  <c r="AO343" i="24"/>
  <c r="AH340" i="24"/>
  <c r="AO336" i="24"/>
  <c r="AJ333" i="24"/>
  <c r="AN329" i="24"/>
  <c r="AI326" i="24"/>
  <c r="AP322" i="24"/>
  <c r="AK319" i="24"/>
  <c r="AG316" i="24"/>
  <c r="AO312" i="24"/>
  <c r="AC345" i="24"/>
  <c r="U343" i="24"/>
  <c r="Y340" i="24"/>
  <c r="AC337" i="24"/>
  <c r="U335" i="24"/>
  <c r="Y332" i="24"/>
  <c r="AC329" i="24"/>
  <c r="U327" i="24"/>
  <c r="Y324" i="24"/>
  <c r="AC321" i="24"/>
  <c r="U319" i="24"/>
  <c r="Y316" i="24"/>
  <c r="AC313" i="24"/>
  <c r="U311" i="24"/>
  <c r="CK341" i="24"/>
  <c r="CT313" i="24"/>
  <c r="BY345" i="24"/>
  <c r="CC334" i="24"/>
  <c r="BY323" i="24"/>
  <c r="CG311" i="24"/>
  <c r="BR340" i="24"/>
  <c r="BI335" i="24"/>
  <c r="BI329" i="24"/>
  <c r="BM323" i="24"/>
  <c r="BL317" i="24"/>
  <c r="BP311" i="24"/>
  <c r="AW344" i="24"/>
  <c r="AW340" i="24"/>
  <c r="AT336" i="24"/>
  <c r="BB331" i="24"/>
  <c r="AX327" i="24"/>
  <c r="AY323" i="24"/>
  <c r="AV319" i="24"/>
  <c r="BB314" i="24"/>
  <c r="BA310" i="24"/>
  <c r="AF343" i="24"/>
  <c r="AK339" i="24"/>
  <c r="AG336" i="24"/>
  <c r="AJ332" i="24"/>
  <c r="AF329" i="24"/>
  <c r="AM325" i="24"/>
  <c r="AH322" i="24"/>
  <c r="AP318" i="24"/>
  <c r="AH315" i="24"/>
  <c r="AQ311" i="24"/>
  <c r="V345" i="24"/>
  <c r="Z342" i="24"/>
  <c r="R340" i="24"/>
  <c r="V337" i="24"/>
  <c r="Z334" i="24"/>
  <c r="R332" i="24"/>
  <c r="V329" i="24"/>
  <c r="Z326" i="24"/>
  <c r="R324" i="24"/>
  <c r="V321" i="24"/>
  <c r="Z318" i="24"/>
  <c r="R316" i="24"/>
  <c r="V313" i="24"/>
  <c r="Z310" i="24"/>
  <c r="CQ337" i="24"/>
  <c r="CJ312" i="24"/>
  <c r="CA344" i="24"/>
  <c r="BV333" i="24"/>
  <c r="CF321" i="24"/>
  <c r="CD310" i="24"/>
  <c r="BK340" i="24"/>
  <c r="BO334" i="24"/>
  <c r="BM328" i="24"/>
  <c r="BO322" i="24"/>
  <c r="BN316" i="24"/>
  <c r="BQ310" i="24"/>
  <c r="BC343" i="24"/>
  <c r="BC339" i="24"/>
  <c r="AW335" i="24"/>
  <c r="AU331" i="24"/>
  <c r="AT327" i="24"/>
  <c r="BE322" i="24"/>
  <c r="AY318" i="24"/>
  <c r="AX314" i="24"/>
  <c r="AU310" i="24"/>
  <c r="AM342" i="24"/>
  <c r="AG339" i="24"/>
  <c r="AK335" i="24"/>
  <c r="AF332" i="24"/>
  <c r="AM328" i="24"/>
  <c r="AI325" i="24"/>
  <c r="AP321" i="24"/>
  <c r="AJ318" i="24"/>
  <c r="AP314" i="24"/>
  <c r="AL311" i="24"/>
  <c r="R345" i="24"/>
  <c r="V342" i="24"/>
  <c r="Z339" i="24"/>
  <c r="R337" i="24"/>
  <c r="V334" i="24"/>
  <c r="Z331" i="24"/>
  <c r="R329" i="24"/>
  <c r="V326" i="24"/>
  <c r="Z323" i="24"/>
  <c r="R321" i="24"/>
  <c r="V318" i="24"/>
  <c r="Z315" i="24"/>
  <c r="R313" i="24"/>
  <c r="V310" i="24"/>
  <c r="CS312" i="24"/>
  <c r="CB338" i="24"/>
  <c r="BZ323" i="24"/>
  <c r="BR339" i="24"/>
  <c r="BH331" i="24"/>
  <c r="BH323" i="24"/>
  <c r="BJ315" i="24"/>
  <c r="CU340" i="24"/>
  <c r="CD334" i="24"/>
  <c r="CB319" i="24"/>
  <c r="BN345" i="24"/>
  <c r="BR336" i="24"/>
  <c r="BS328" i="24"/>
  <c r="BJ321" i="24"/>
  <c r="BL312" i="24"/>
  <c r="AT344" i="24"/>
  <c r="BC338" i="24"/>
  <c r="CU334" i="24"/>
  <c r="CC333" i="24"/>
  <c r="BX319" i="24"/>
  <c r="CK339" i="24"/>
  <c r="CC331" i="24"/>
  <c r="CB313" i="24"/>
  <c r="BQ345" i="24"/>
  <c r="BQ336" i="24"/>
  <c r="BH328" i="24"/>
  <c r="BJ319" i="24"/>
  <c r="BN310" i="24"/>
  <c r="BA340" i="24"/>
  <c r="BC334" i="24"/>
  <c r="BD328" i="24"/>
  <c r="AV323" i="24"/>
  <c r="AY317" i="24"/>
  <c r="AW311" i="24"/>
  <c r="AG342" i="24"/>
  <c r="AG337" i="24"/>
  <c r="AH332" i="24"/>
  <c r="AP327" i="24"/>
  <c r="AM322" i="24"/>
  <c r="AP317" i="24"/>
  <c r="AH313" i="24"/>
  <c r="AC344" i="24"/>
  <c r="X341" i="24"/>
  <c r="X337" i="24"/>
  <c r="AC333" i="24"/>
  <c r="S330" i="24"/>
  <c r="W326" i="24"/>
  <c r="AC322" i="24"/>
  <c r="AC318" i="24"/>
  <c r="V315" i="24"/>
  <c r="X311" i="24"/>
  <c r="CR337" i="24"/>
  <c r="CF330" i="24"/>
  <c r="CA313" i="24"/>
  <c r="BP345" i="24"/>
  <c r="BI336" i="24"/>
  <c r="BS327" i="24"/>
  <c r="BI319" i="24"/>
  <c r="BJ310" i="24"/>
  <c r="AZ340" i="24"/>
  <c r="BB334" i="24"/>
  <c r="BC328" i="24"/>
  <c r="AT323" i="24"/>
  <c r="AX317" i="24"/>
  <c r="BE310" i="24"/>
  <c r="CT334" i="24"/>
  <c r="CC330" i="24"/>
  <c r="CG312" i="24"/>
  <c r="CS334" i="24"/>
  <c r="CD329" i="24"/>
  <c r="CC312" i="24"/>
  <c r="CR332" i="24"/>
  <c r="CA345" i="24"/>
  <c r="CA329" i="24"/>
  <c r="CD311" i="24"/>
  <c r="BR344" i="24"/>
  <c r="BQ335" i="24"/>
  <c r="BI327" i="24"/>
  <c r="BH318" i="24"/>
  <c r="BE339" i="24"/>
  <c r="AX334" i="24"/>
  <c r="BD327" i="24"/>
  <c r="AW322" i="24"/>
  <c r="AV316" i="24"/>
  <c r="AY310" i="24"/>
  <c r="AK341" i="24"/>
  <c r="AJ336" i="24"/>
  <c r="AN331" i="24"/>
  <c r="AM326" i="24"/>
  <c r="AF322" i="24"/>
  <c r="AJ317" i="24"/>
  <c r="AJ312" i="24"/>
  <c r="X344" i="24"/>
  <c r="X340" i="24"/>
  <c r="AC336" i="24"/>
  <c r="X333" i="24"/>
  <c r="X329" i="24"/>
  <c r="AC325" i="24"/>
  <c r="S322" i="24"/>
  <c r="W318" i="24"/>
  <c r="AC314" i="24"/>
  <c r="AC310" i="24"/>
  <c r="CR331" i="24"/>
  <c r="BV345" i="24"/>
  <c r="BZ329" i="24"/>
  <c r="CA311" i="24"/>
  <c r="BQ344" i="24"/>
  <c r="BN335" i="24"/>
  <c r="BS326" i="24"/>
  <c r="BR317" i="24"/>
  <c r="BD339" i="24"/>
  <c r="AV334" i="24"/>
  <c r="BC327" i="24"/>
  <c r="AT322" i="24"/>
  <c r="AU316" i="24"/>
  <c r="AW310" i="24"/>
  <c r="AQ345" i="24"/>
  <c r="AJ341" i="24"/>
  <c r="AI336" i="24"/>
  <c r="AM331" i="24"/>
  <c r="AL326" i="24"/>
  <c r="AQ321" i="24"/>
  <c r="AI317" i="24"/>
  <c r="AH312" i="24"/>
  <c r="CJ330" i="24"/>
  <c r="BX344" i="24"/>
  <c r="CD326" i="24"/>
  <c r="BW310" i="24"/>
  <c r="BJ343" i="24"/>
  <c r="BP334" i="24"/>
  <c r="BN325" i="24"/>
  <c r="BR316" i="24"/>
  <c r="AT345" i="24"/>
  <c r="AZ339" i="24"/>
  <c r="AT333" i="24"/>
  <c r="AV327" i="24"/>
  <c r="AZ321" i="24"/>
  <c r="AY315" i="24"/>
  <c r="AN345" i="24"/>
  <c r="AL340" i="24"/>
  <c r="AM335" i="24"/>
  <c r="AI331" i="24"/>
  <c r="AQ325" i="24"/>
  <c r="AK321" i="24"/>
  <c r="AK316" i="24"/>
  <c r="AP311" i="24"/>
  <c r="T344" i="24"/>
  <c r="T340" i="24"/>
  <c r="Y336" i="24"/>
  <c r="AA332" i="24"/>
  <c r="S329" i="24"/>
  <c r="Y325" i="24"/>
  <c r="Y321" i="24"/>
  <c r="R318" i="24"/>
  <c r="T314" i="24"/>
  <c r="X310" i="24"/>
  <c r="CQ312" i="24"/>
  <c r="CD336" i="24"/>
  <c r="CB320" i="24"/>
  <c r="BI340" i="24"/>
  <c r="BI331" i="24"/>
  <c r="BN322" i="24"/>
  <c r="BN313" i="24"/>
  <c r="AV343" i="24"/>
  <c r="BC336" i="24"/>
  <c r="BE330" i="24"/>
  <c r="BB324" i="24"/>
  <c r="AW319" i="24"/>
  <c r="AZ313" i="24"/>
  <c r="AK343" i="24"/>
  <c r="AM338" i="24"/>
  <c r="AP333" i="24"/>
  <c r="AG329" i="24"/>
  <c r="AM324" i="24"/>
  <c r="AJ319" i="24"/>
  <c r="AO314" i="24"/>
  <c r="AL310" i="24"/>
  <c r="X342" i="24"/>
  <c r="R339" i="24"/>
  <c r="R335" i="24"/>
  <c r="CJ343" i="24"/>
  <c r="BV338" i="24"/>
  <c r="BY315" i="24"/>
  <c r="BS340" i="24"/>
  <c r="BM330" i="24"/>
  <c r="BP319" i="24"/>
  <c r="AV339" i="24"/>
  <c r="BC331" i="24"/>
  <c r="AX324" i="24"/>
  <c r="BB317" i="24"/>
  <c r="AT310" i="24"/>
  <c r="AJ342" i="24"/>
  <c r="AH336" i="24"/>
  <c r="AI330" i="24"/>
  <c r="AQ324" i="24"/>
  <c r="AG319" i="24"/>
  <c r="AP313" i="24"/>
  <c r="AA345" i="24"/>
  <c r="AB341" i="24"/>
  <c r="W337" i="24"/>
  <c r="R333" i="24"/>
  <c r="AC328" i="24"/>
  <c r="AB324" i="24"/>
  <c r="AB320" i="24"/>
  <c r="AA316" i="24"/>
  <c r="AA312" i="24"/>
  <c r="CK342" i="24"/>
  <c r="BY336" i="24"/>
  <c r="BY314" i="24"/>
  <c r="BQ340" i="24"/>
  <c r="BL330" i="24"/>
  <c r="BN319" i="24"/>
  <c r="BE338" i="24"/>
  <c r="AZ331" i="24"/>
  <c r="AW324" i="24"/>
  <c r="BA317" i="24"/>
  <c r="AF342" i="24"/>
  <c r="AQ335" i="24"/>
  <c r="AH330" i="24"/>
  <c r="AP324" i="24"/>
  <c r="AF319" i="24"/>
  <c r="AO313" i="24"/>
  <c r="Z345" i="24"/>
  <c r="AA341" i="24"/>
  <c r="U337" i="24"/>
  <c r="AC332" i="24"/>
  <c r="AB328" i="24"/>
  <c r="AA324" i="24"/>
  <c r="AA320" i="24"/>
  <c r="X316" i="24"/>
  <c r="Z312" i="24"/>
  <c r="BY334" i="24"/>
  <c r="BI328" i="24"/>
  <c r="BC344" i="24"/>
  <c r="AY337" i="24"/>
  <c r="BB330" i="24"/>
  <c r="AZ315" i="24"/>
  <c r="AK340" i="24"/>
  <c r="AH329" i="24"/>
  <c r="AJ323" i="24"/>
  <c r="AQ317" i="24"/>
  <c r="AG312" i="24"/>
  <c r="S345" i="24"/>
  <c r="X336" i="24"/>
  <c r="T332" i="24"/>
  <c r="V328" i="24"/>
  <c r="S324" i="24"/>
  <c r="U320" i="24"/>
  <c r="T312" i="24"/>
  <c r="CJ342" i="24"/>
  <c r="BX336" i="24"/>
  <c r="CC313" i="24"/>
  <c r="BM340" i="24"/>
  <c r="BJ330" i="24"/>
  <c r="BR318" i="24"/>
  <c r="BD338" i="24"/>
  <c r="AY331" i="24"/>
  <c r="AT324" i="24"/>
  <c r="AZ317" i="24"/>
  <c r="AQ341" i="24"/>
  <c r="AL335" i="24"/>
  <c r="AG330" i="24"/>
  <c r="AN324" i="24"/>
  <c r="AQ318" i="24"/>
  <c r="AI313" i="24"/>
  <c r="Y345" i="24"/>
  <c r="Z341" i="24"/>
  <c r="T337" i="24"/>
  <c r="AB332" i="24"/>
  <c r="AA328" i="24"/>
  <c r="X324" i="24"/>
  <c r="Z320" i="24"/>
  <c r="W316" i="24"/>
  <c r="Y312" i="24"/>
  <c r="V316" i="24"/>
  <c r="CL341" i="24"/>
  <c r="BW336" i="24"/>
  <c r="BV312" i="24"/>
  <c r="BL340" i="24"/>
  <c r="BI330" i="24"/>
  <c r="BN318" i="24"/>
  <c r="AX338" i="24"/>
  <c r="AV331" i="24"/>
  <c r="BE323" i="24"/>
  <c r="AW317" i="24"/>
  <c r="AP341" i="24"/>
  <c r="AJ335" i="24"/>
  <c r="AM329" i="24"/>
  <c r="AL324" i="24"/>
  <c r="AN318" i="24"/>
  <c r="AG313" i="24"/>
  <c r="X345" i="24"/>
  <c r="Y341" i="24"/>
  <c r="S337" i="24"/>
  <c r="X332" i="24"/>
  <c r="Z328" i="24"/>
  <c r="W324" i="24"/>
  <c r="Y320" i="24"/>
  <c r="X312" i="24"/>
  <c r="CJ333" i="24"/>
  <c r="BV336" i="24"/>
  <c r="CF310" i="24"/>
  <c r="BH340" i="24"/>
  <c r="BQ329" i="24"/>
  <c r="BM318" i="24"/>
  <c r="BA345" i="24"/>
  <c r="AW338" i="24"/>
  <c r="AT331" i="24"/>
  <c r="BC323" i="24"/>
  <c r="AX316" i="24"/>
  <c r="AM341" i="24"/>
  <c r="AH335" i="24"/>
  <c r="AL329" i="24"/>
  <c r="AK324" i="24"/>
  <c r="AM318" i="24"/>
  <c r="AF313" i="24"/>
  <c r="W345" i="24"/>
  <c r="R341" i="24"/>
  <c r="AB336" i="24"/>
  <c r="W332" i="24"/>
  <c r="Y328" i="24"/>
  <c r="V324" i="24"/>
  <c r="X320" i="24"/>
  <c r="U316" i="24"/>
  <c r="W312" i="24"/>
  <c r="CU330" i="24"/>
  <c r="CG335" i="24"/>
  <c r="CA310" i="24"/>
  <c r="BS339" i="24"/>
  <c r="BH329" i="24"/>
  <c r="BQ317" i="24"/>
  <c r="AU345" i="24"/>
  <c r="AV338" i="24"/>
  <c r="BD330" i="24"/>
  <c r="BB323" i="24"/>
  <c r="AW316" i="24"/>
  <c r="AN340" i="24"/>
  <c r="AG335" i="24"/>
  <c r="AJ329" i="24"/>
  <c r="AJ324" i="24"/>
  <c r="AK318" i="24"/>
  <c r="AN312" i="24"/>
  <c r="U345" i="24"/>
  <c r="AC340" i="24"/>
  <c r="AA336" i="24"/>
  <c r="V332" i="24"/>
  <c r="X328" i="24"/>
  <c r="U324" i="24"/>
  <c r="W320" i="24"/>
  <c r="T316" i="24"/>
  <c r="V312" i="24"/>
  <c r="CM330" i="24"/>
  <c r="BZ334" i="24"/>
  <c r="BO339" i="24"/>
  <c r="BN328" i="24"/>
  <c r="BH317" i="24"/>
  <c r="BD344" i="24"/>
  <c r="AZ337" i="24"/>
  <c r="BC330" i="24"/>
  <c r="BA323" i="24"/>
  <c r="BD315" i="24"/>
  <c r="AM340" i="24"/>
  <c r="AF335" i="24"/>
  <c r="AI329" i="24"/>
  <c r="AH324" i="24"/>
  <c r="AF318" i="24"/>
  <c r="AM312" i="24"/>
  <c r="T345" i="24"/>
  <c r="AB340" i="24"/>
  <c r="Z336" i="24"/>
  <c r="U332" i="24"/>
  <c r="W328" i="24"/>
  <c r="T324" i="24"/>
  <c r="V320" i="24"/>
  <c r="S316" i="24"/>
  <c r="U312" i="24"/>
  <c r="CS329" i="24"/>
  <c r="BN339" i="24"/>
  <c r="BQ316" i="24"/>
  <c r="AZ323" i="24"/>
  <c r="AQ334" i="24"/>
  <c r="AA340" i="24"/>
  <c r="AC315" i="24"/>
  <c r="CS325" i="24"/>
  <c r="CG331" i="24"/>
  <c r="BJ339" i="24"/>
  <c r="BP327" i="24"/>
  <c r="BL316" i="24"/>
  <c r="AX344" i="24"/>
  <c r="AW337" i="24"/>
  <c r="AW330" i="24"/>
  <c r="BD322" i="24"/>
  <c r="AU315" i="24"/>
  <c r="AF340" i="24"/>
  <c r="AO334" i="24"/>
  <c r="AO328" i="24"/>
  <c r="AG323" i="24"/>
  <c r="AM317" i="24"/>
  <c r="AO311" i="24"/>
  <c r="AA344" i="24"/>
  <c r="V340" i="24"/>
  <c r="V336" i="24"/>
  <c r="AC331" i="24"/>
  <c r="T328" i="24"/>
  <c r="AB323" i="24"/>
  <c r="Z319" i="24"/>
  <c r="AA315" i="24"/>
  <c r="Y311" i="24"/>
  <c r="CK324" i="24"/>
  <c r="CD331" i="24"/>
  <c r="BH339" i="24"/>
  <c r="BM327" i="24"/>
  <c r="BK316" i="24"/>
  <c r="BE343" i="24"/>
  <c r="BD336" i="24"/>
  <c r="AU330" i="24"/>
  <c r="BB322" i="24"/>
  <c r="BE314" i="24"/>
  <c r="AP345" i="24"/>
  <c r="AQ339" i="24"/>
  <c r="AN334" i="24"/>
  <c r="AN328" i="24"/>
  <c r="AF323" i="24"/>
  <c r="AL317" i="24"/>
  <c r="AM311" i="24"/>
  <c r="Z344" i="24"/>
  <c r="U340" i="24"/>
  <c r="U336" i="24"/>
  <c r="AB331" i="24"/>
  <c r="Z327" i="24"/>
  <c r="AA323" i="24"/>
  <c r="Y319" i="24"/>
  <c r="Y315" i="24"/>
  <c r="W311" i="24"/>
  <c r="CS322" i="24"/>
  <c r="CC329" i="24"/>
  <c r="BR338" i="24"/>
  <c r="BR326" i="24"/>
  <c r="BI316" i="24"/>
  <c r="CU313" i="24"/>
  <c r="CF323" i="24"/>
  <c r="BR334" i="24"/>
  <c r="BJ324" i="24"/>
  <c r="BO313" i="24"/>
  <c r="AU343" i="24"/>
  <c r="AX335" i="24"/>
  <c r="BE327" i="24"/>
  <c r="AY320" i="24"/>
  <c r="BC313" i="24"/>
  <c r="AG345" i="24"/>
  <c r="AQ338" i="24"/>
  <c r="AG333" i="24"/>
  <c r="AF328" i="24"/>
  <c r="AO321" i="24"/>
  <c r="AQ315" i="24"/>
  <c r="AO310" i="24"/>
  <c r="X343" i="24"/>
  <c r="W339" i="24"/>
  <c r="S335" i="24"/>
  <c r="T331" i="24"/>
  <c r="AC326" i="24"/>
  <c r="S323" i="24"/>
  <c r="AA318" i="24"/>
  <c r="AB314" i="24"/>
  <c r="W310" i="24"/>
  <c r="CO312" i="24"/>
  <c r="CD323" i="24"/>
  <c r="BQ334" i="24"/>
  <c r="BI324" i="24"/>
  <c r="BM313" i="24"/>
  <c r="BE342" i="24"/>
  <c r="AU335" i="24"/>
  <c r="AZ327" i="24"/>
  <c r="AX320" i="24"/>
  <c r="BB313" i="24"/>
  <c r="AJ344" i="24"/>
  <c r="AL338" i="24"/>
  <c r="AF333" i="24"/>
  <c r="AN327" i="24"/>
  <c r="AM321" i="24"/>
  <c r="AP315" i="24"/>
  <c r="AN310" i="24"/>
  <c r="BX343" i="24"/>
  <c r="BM339" i="24"/>
  <c r="BQ321" i="24"/>
  <c r="AY340" i="24"/>
  <c r="AW327" i="24"/>
  <c r="BD317" i="24"/>
  <c r="AH344" i="24"/>
  <c r="AK336" i="24"/>
  <c r="AF326" i="24"/>
  <c r="AL316" i="24"/>
  <c r="AC341" i="24"/>
  <c r="Y334" i="24"/>
  <c r="U328" i="24"/>
  <c r="T322" i="24"/>
  <c r="X315" i="24"/>
  <c r="CD342" i="24"/>
  <c r="BH337" i="24"/>
  <c r="BN321" i="24"/>
  <c r="BX342" i="24"/>
  <c r="BS336" i="24"/>
  <c r="BL321" i="24"/>
  <c r="AV340" i="24"/>
  <c r="BE326" i="24"/>
  <c r="BA314" i="24"/>
  <c r="AF344" i="24"/>
  <c r="AM334" i="24"/>
  <c r="AO325" i="24"/>
  <c r="AI316" i="24"/>
  <c r="BY340" i="24"/>
  <c r="BS335" i="24"/>
  <c r="BS320" i="24"/>
  <c r="BA339" i="24"/>
  <c r="BB326" i="24"/>
  <c r="AY314" i="24"/>
  <c r="AJ343" i="24"/>
  <c r="AO333" i="24"/>
  <c r="AL325" i="24"/>
  <c r="AO315" i="24"/>
  <c r="AB339" i="24"/>
  <c r="T334" i="24"/>
  <c r="T327" i="24"/>
  <c r="X321" i="24"/>
  <c r="S315" i="24"/>
  <c r="BY338" i="24"/>
  <c r="BN334" i="24"/>
  <c r="BM316" i="24"/>
  <c r="BB336" i="24"/>
  <c r="AY326" i="24"/>
  <c r="AU314" i="24"/>
  <c r="AH343" i="24"/>
  <c r="AM333" i="24"/>
  <c r="AJ325" i="24"/>
  <c r="AM315" i="24"/>
  <c r="CC332" i="24"/>
  <c r="BM334" i="24"/>
  <c r="BP315" i="24"/>
  <c r="AZ336" i="24"/>
  <c r="AW326" i="24"/>
  <c r="AT314" i="24"/>
  <c r="AG343" i="24"/>
  <c r="AH333" i="24"/>
  <c r="AH325" i="24"/>
  <c r="AG315" i="24"/>
  <c r="CF326" i="24"/>
  <c r="BR333" i="24"/>
  <c r="BL315" i="24"/>
  <c r="AV336" i="24"/>
  <c r="AU326" i="24"/>
  <c r="AW313" i="24"/>
  <c r="AO342" i="24"/>
  <c r="AN332" i="24"/>
  <c r="AI323" i="24"/>
  <c r="AQ314" i="24"/>
  <c r="U339" i="24"/>
  <c r="Z333" i="24"/>
  <c r="Y326" i="24"/>
  <c r="AC320" i="24"/>
  <c r="AB313" i="24"/>
  <c r="BY319" i="24"/>
  <c r="BP342" i="24"/>
  <c r="BK321" i="24"/>
  <c r="BA334" i="24"/>
  <c r="AW320" i="24"/>
  <c r="AH339" i="24"/>
  <c r="AI328" i="24"/>
  <c r="AH317" i="24"/>
  <c r="Y342" i="24"/>
  <c r="AC334" i="24"/>
  <c r="Y327" i="24"/>
  <c r="W321" i="24"/>
  <c r="S314" i="24"/>
  <c r="T342" i="24"/>
  <c r="CE317" i="24"/>
  <c r="BO342" i="24"/>
  <c r="BR320" i="24"/>
  <c r="AZ334" i="24"/>
  <c r="AT320" i="24"/>
  <c r="AK338" i="24"/>
  <c r="AH328" i="24"/>
  <c r="AJ316" i="24"/>
  <c r="W342" i="24"/>
  <c r="AB334" i="24"/>
  <c r="X327" i="24"/>
  <c r="U321" i="24"/>
  <c r="AA313" i="24"/>
  <c r="AI338" i="24"/>
  <c r="CD315" i="24"/>
  <c r="BI342" i="24"/>
  <c r="BO315" i="24"/>
  <c r="AY334" i="24"/>
  <c r="BD319" i="24"/>
  <c r="AJ338" i="24"/>
  <c r="AG328" i="24"/>
  <c r="AF316" i="24"/>
  <c r="U342" i="24"/>
  <c r="AA334" i="24"/>
  <c r="W327" i="24"/>
  <c r="T321" i="24"/>
  <c r="Z313" i="24"/>
  <c r="CC315" i="24"/>
  <c r="BQ341" i="24"/>
  <c r="BI315" i="24"/>
  <c r="AZ333" i="24"/>
  <c r="BC319" i="24"/>
  <c r="AM327" i="24"/>
  <c r="AN315" i="24"/>
  <c r="X334" i="24"/>
  <c r="S327" i="24"/>
  <c r="S321" i="24"/>
  <c r="Y313" i="24"/>
  <c r="BP341" i="24"/>
  <c r="BR314" i="24"/>
  <c r="AW333" i="24"/>
  <c r="BB319" i="24"/>
  <c r="AH338" i="24"/>
  <c r="AO326" i="24"/>
  <c r="AF315" i="24"/>
  <c r="S342" i="24"/>
  <c r="W334" i="24"/>
  <c r="R327" i="24"/>
  <c r="T320" i="24"/>
  <c r="X313" i="24"/>
  <c r="BN341" i="24"/>
  <c r="BK313" i="24"/>
  <c r="BE332" i="24"/>
  <c r="AZ319" i="24"/>
  <c r="AG338" i="24"/>
  <c r="AN326" i="24"/>
  <c r="AM314" i="24"/>
  <c r="R342" i="24"/>
  <c r="U334" i="24"/>
  <c r="AB326" i="24"/>
  <c r="X319" i="24"/>
  <c r="W313" i="24"/>
  <c r="BL341" i="24"/>
  <c r="BP312" i="24"/>
  <c r="AZ332" i="24"/>
  <c r="AU319" i="24"/>
  <c r="AQ337" i="24"/>
  <c r="AG326" i="24"/>
  <c r="AL314" i="24"/>
  <c r="BK334" i="24"/>
  <c r="BH312" i="24"/>
  <c r="AZ344" i="24"/>
  <c r="AT332" i="24"/>
  <c r="AX318" i="24"/>
  <c r="AH337" i="24"/>
  <c r="AK325" i="24"/>
  <c r="AI314" i="24"/>
  <c r="AA339" i="24"/>
  <c r="AA333" i="24"/>
  <c r="T326" i="24"/>
  <c r="R319" i="24"/>
  <c r="AC312" i="24"/>
  <c r="CM344" i="24"/>
  <c r="BO333" i="24"/>
  <c r="BS311" i="24"/>
  <c r="BD343" i="24"/>
  <c r="BD331" i="24"/>
  <c r="AW318" i="24"/>
  <c r="CB325" i="24"/>
  <c r="BL325" i="24"/>
  <c r="AU341" i="24"/>
  <c r="AV326" i="24"/>
  <c r="BC311" i="24"/>
  <c r="AI343" i="24"/>
  <c r="AP331" i="24"/>
  <c r="AN320" i="24"/>
  <c r="V344" i="24"/>
  <c r="AB337" i="24"/>
  <c r="AB330" i="24"/>
  <c r="W323" i="24"/>
  <c r="X317" i="24"/>
  <c r="R310" i="24"/>
  <c r="BZ325" i="24"/>
  <c r="BK325" i="24"/>
  <c r="BD340" i="24"/>
  <c r="AT326" i="24"/>
  <c r="AY311" i="24"/>
  <c r="AP342" i="24"/>
  <c r="AO331" i="24"/>
  <c r="AM320" i="24"/>
  <c r="U344" i="24"/>
  <c r="AA337" i="24"/>
  <c r="V330" i="24"/>
  <c r="V323" i="24"/>
  <c r="R317" i="24"/>
  <c r="CB323" i="24"/>
  <c r="BJ325" i="24"/>
  <c r="BB340" i="24"/>
  <c r="BD325" i="24"/>
  <c r="AX311" i="24"/>
  <c r="AN342" i="24"/>
  <c r="AK331" i="24"/>
  <c r="AL320" i="24"/>
  <c r="CL320" i="24"/>
  <c r="CC327" i="24"/>
  <c r="BQ323" i="24"/>
  <c r="AX343" i="24"/>
  <c r="AX321" i="24"/>
  <c r="AI332" i="24"/>
  <c r="AK314" i="24"/>
  <c r="V338" i="24"/>
  <c r="Y329" i="24"/>
  <c r="X318" i="24"/>
  <c r="CU319" i="24"/>
  <c r="CC326" i="24"/>
  <c r="BP323" i="24"/>
  <c r="AW343" i="24"/>
  <c r="AW321" i="24"/>
  <c r="AG332" i="24"/>
  <c r="AJ314" i="24"/>
  <c r="U338" i="24"/>
  <c r="W329" i="24"/>
  <c r="U318" i="24"/>
  <c r="CS318" i="24"/>
  <c r="BY322" i="24"/>
  <c r="BI323" i="24"/>
  <c r="BD342" i="24"/>
  <c r="AZ320" i="24"/>
  <c r="AQ331" i="24"/>
  <c r="AH314" i="24"/>
  <c r="T338" i="24"/>
  <c r="U329" i="24"/>
  <c r="T318" i="24"/>
  <c r="CN317" i="24"/>
  <c r="BW322" i="24"/>
  <c r="BS322" i="24"/>
  <c r="BC342" i="24"/>
  <c r="BD318" i="24"/>
  <c r="AJ331" i="24"/>
  <c r="AG314" i="24"/>
  <c r="S338" i="24"/>
  <c r="T329" i="24"/>
  <c r="S318" i="24"/>
  <c r="AA326" i="24"/>
  <c r="CK317" i="24"/>
  <c r="CG321" i="24"/>
  <c r="BL322" i="24"/>
  <c r="BC341" i="24"/>
  <c r="BA318" i="24"/>
  <c r="AH331" i="24"/>
  <c r="AF312" i="24"/>
  <c r="Z337" i="24"/>
  <c r="AC317" i="24"/>
  <c r="CU311" i="24"/>
  <c r="BZ321" i="24"/>
  <c r="BI322" i="24"/>
  <c r="AW341" i="24"/>
  <c r="AU318" i="24"/>
  <c r="AG331" i="24"/>
  <c r="AK311" i="24"/>
  <c r="Y337" i="24"/>
  <c r="X326" i="24"/>
  <c r="AB317" i="24"/>
  <c r="CT311" i="24"/>
  <c r="CE320" i="24"/>
  <c r="BN312" i="24"/>
  <c r="AV341" i="24"/>
  <c r="AX315" i="24"/>
  <c r="AO345" i="24"/>
  <c r="AK330" i="24"/>
  <c r="AJ311" i="24"/>
  <c r="W336" i="24"/>
  <c r="U326" i="24"/>
  <c r="AA317" i="24"/>
  <c r="CA320" i="24"/>
  <c r="BK312" i="24"/>
  <c r="AX340" i="24"/>
  <c r="AZ314" i="24"/>
  <c r="AM345" i="24"/>
  <c r="AQ328" i="24"/>
  <c r="AH311" i="24"/>
  <c r="T336" i="24"/>
  <c r="S326" i="24"/>
  <c r="Z317" i="24"/>
  <c r="CG319" i="24"/>
  <c r="BI311" i="24"/>
  <c r="BB339" i="24"/>
  <c r="AW314" i="24"/>
  <c r="AL345" i="24"/>
  <c r="AL328" i="24"/>
  <c r="AG311" i="24"/>
  <c r="Z335" i="24"/>
  <c r="R326" i="24"/>
  <c r="Y317" i="24"/>
  <c r="X335" i="24"/>
  <c r="AB316" i="24"/>
  <c r="BZ319" i="24"/>
  <c r="BH311" i="24"/>
  <c r="AX337" i="24"/>
  <c r="AY313" i="24"/>
  <c r="AJ345" i="24"/>
  <c r="AK328" i="24"/>
  <c r="AF311" i="24"/>
  <c r="AB345" i="24"/>
  <c r="Y335" i="24"/>
  <c r="AB325" i="24"/>
  <c r="AC316" i="24"/>
  <c r="BS310" i="24"/>
  <c r="AY336" i="24"/>
  <c r="AU313" i="24"/>
  <c r="AI345" i="24"/>
  <c r="AJ328" i="24"/>
  <c r="AP310" i="24"/>
  <c r="AB344" i="24"/>
  <c r="AA325" i="24"/>
  <c r="BH310" i="24"/>
  <c r="BC335" i="24"/>
  <c r="AT313" i="24"/>
  <c r="AH345" i="24"/>
  <c r="AP325" i="24"/>
  <c r="AM310" i="24"/>
  <c r="BJ333" i="24"/>
  <c r="BE328" i="24"/>
  <c r="AI339" i="24"/>
  <c r="AI321" i="24"/>
  <c r="AA342" i="24"/>
  <c r="W331" i="24"/>
  <c r="AB322" i="24"/>
  <c r="AB312" i="24"/>
  <c r="BR332" i="24"/>
  <c r="AU328" i="24"/>
  <c r="AP337" i="24"/>
  <c r="AF321" i="24"/>
  <c r="W340" i="24"/>
  <c r="V331" i="24"/>
  <c r="V322" i="24"/>
  <c r="Z311" i="24"/>
  <c r="BN332" i="24"/>
  <c r="AT328" i="24"/>
  <c r="R334" i="24"/>
  <c r="CU381" i="24"/>
  <c r="CM379" i="24"/>
  <c r="CQ376" i="24"/>
  <c r="CU373" i="24"/>
  <c r="CM371" i="24"/>
  <c r="CQ368" i="24"/>
  <c r="CU365" i="24"/>
  <c r="CM363" i="24"/>
  <c r="CQ360" i="24"/>
  <c r="CU357" i="24"/>
  <c r="CM355" i="24"/>
  <c r="CQ352" i="24"/>
  <c r="CU349" i="24"/>
  <c r="CS383" i="24"/>
  <c r="CJ381" i="24"/>
  <c r="CM378" i="24"/>
  <c r="CP375" i="24"/>
  <c r="CS372" i="24"/>
  <c r="CJ370" i="24"/>
  <c r="CM367" i="24"/>
  <c r="CP364" i="24"/>
  <c r="CS361" i="24"/>
  <c r="CJ359" i="24"/>
  <c r="CM356" i="24"/>
  <c r="CP353" i="24"/>
  <c r="CS350" i="24"/>
  <c r="CJ348" i="24"/>
  <c r="CJ383" i="24"/>
  <c r="CM380" i="24"/>
  <c r="CP377" i="24"/>
  <c r="CS374" i="24"/>
  <c r="CJ372" i="24"/>
  <c r="CM369" i="24"/>
  <c r="CP366" i="24"/>
  <c r="CS363" i="24"/>
  <c r="CJ361" i="24"/>
  <c r="CM358" i="24"/>
  <c r="CP355" i="24"/>
  <c r="CS352" i="24"/>
  <c r="CJ350" i="24"/>
  <c r="CL381" i="24"/>
  <c r="CL378" i="24"/>
  <c r="CM375" i="24"/>
  <c r="CN372" i="24"/>
  <c r="CO369" i="24"/>
  <c r="CO366" i="24"/>
  <c r="CP363" i="24"/>
  <c r="CP360" i="24"/>
  <c r="CQ357" i="24"/>
  <c r="CR354" i="24"/>
  <c r="CS351" i="24"/>
  <c r="CT348" i="24"/>
  <c r="CU383" i="24"/>
  <c r="CT380" i="24"/>
  <c r="CT377" i="24"/>
  <c r="CT374" i="24"/>
  <c r="CS371" i="24"/>
  <c r="CS368" i="24"/>
  <c r="CR365" i="24"/>
  <c r="CR362" i="24"/>
  <c r="CR359" i="24"/>
  <c r="CR356" i="24"/>
  <c r="CR353" i="24"/>
  <c r="CQ350" i="24"/>
  <c r="CM383" i="24"/>
  <c r="CL380" i="24"/>
  <c r="CL377" i="24"/>
  <c r="CL374" i="24"/>
  <c r="CK371" i="24"/>
  <c r="CK368" i="24"/>
  <c r="CK365" i="24"/>
  <c r="CK362" i="24"/>
  <c r="CK359" i="24"/>
  <c r="CJ356" i="24"/>
  <c r="CJ353" i="24"/>
  <c r="CT349" i="24"/>
  <c r="CL383" i="24"/>
  <c r="CU379" i="24"/>
  <c r="CS376" i="24"/>
  <c r="CP373" i="24"/>
  <c r="CN370" i="24"/>
  <c r="CK367" i="24"/>
  <c r="CU363" i="24"/>
  <c r="CR360" i="24"/>
  <c r="CN357" i="24"/>
  <c r="CL354" i="24"/>
  <c r="CJ351" i="24"/>
  <c r="CA382" i="24"/>
  <c r="CE379" i="24"/>
  <c r="BW377" i="24"/>
  <c r="CA374" i="24"/>
  <c r="CE371" i="24"/>
  <c r="BW369" i="24"/>
  <c r="CA366" i="24"/>
  <c r="CE363" i="24"/>
  <c r="BW361" i="24"/>
  <c r="CA358" i="24"/>
  <c r="CE355" i="24"/>
  <c r="BW353" i="24"/>
  <c r="CA350" i="24"/>
  <c r="CN382" i="24"/>
  <c r="CK379" i="24"/>
  <c r="CU375" i="24"/>
  <c r="CR372" i="24"/>
  <c r="CP369" i="24"/>
  <c r="CL366" i="24"/>
  <c r="CU362" i="24"/>
  <c r="CS359" i="24"/>
  <c r="CP356" i="24"/>
  <c r="CM353" i="24"/>
  <c r="CK350" i="24"/>
  <c r="CQ381" i="24"/>
  <c r="CO378" i="24"/>
  <c r="CK375" i="24"/>
  <c r="CT371" i="24"/>
  <c r="CP368" i="24"/>
  <c r="CN365" i="24"/>
  <c r="CL362" i="24"/>
  <c r="CT358" i="24"/>
  <c r="CR355" i="24"/>
  <c r="CN352" i="24"/>
  <c r="CL349" i="24"/>
  <c r="CM381" i="24"/>
  <c r="CU377" i="24"/>
  <c r="CQ374" i="24"/>
  <c r="CO371" i="24"/>
  <c r="CL368" i="24"/>
  <c r="CU364" i="24"/>
  <c r="CR361" i="24"/>
  <c r="CP358" i="24"/>
  <c r="CL355" i="24"/>
  <c r="CJ352" i="24"/>
  <c r="CS348" i="24"/>
  <c r="CQ382" i="24"/>
  <c r="CU378" i="24"/>
  <c r="CN375" i="24"/>
  <c r="CP371" i="24"/>
  <c r="CS367" i="24"/>
  <c r="CL364" i="24"/>
  <c r="CN360" i="24"/>
  <c r="CT356" i="24"/>
  <c r="CK353" i="24"/>
  <c r="CN349" i="24"/>
  <c r="CM382" i="24"/>
  <c r="CR378" i="24"/>
  <c r="CU374" i="24"/>
  <c r="CJ371" i="24"/>
  <c r="CP367" i="24"/>
  <c r="CT363" i="24"/>
  <c r="CK360" i="24"/>
  <c r="CO356" i="24"/>
  <c r="CR352" i="24"/>
  <c r="CJ349" i="24"/>
  <c r="BX383" i="24"/>
  <c r="CA380" i="24"/>
  <c r="CD377" i="24"/>
  <c r="CG374" i="24"/>
  <c r="BX372" i="24"/>
  <c r="CA369" i="24"/>
  <c r="CD366" i="24"/>
  <c r="CG363" i="24"/>
  <c r="BX361" i="24"/>
  <c r="BZ358" i="24"/>
  <c r="CC355" i="24"/>
  <c r="CF352" i="24"/>
  <c r="BW350" i="24"/>
  <c r="CR381" i="24"/>
  <c r="CS377" i="24"/>
  <c r="CK374" i="24"/>
  <c r="CP370" i="24"/>
  <c r="CT366" i="24"/>
  <c r="CK363" i="24"/>
  <c r="CO359" i="24"/>
  <c r="CS355" i="24"/>
  <c r="CU351" i="24"/>
  <c r="CN348" i="24"/>
  <c r="CR382" i="24"/>
  <c r="CQ378" i="24"/>
  <c r="CN374" i="24"/>
  <c r="CM370" i="24"/>
  <c r="CM366" i="24"/>
  <c r="CM362" i="24"/>
  <c r="CK358" i="24"/>
  <c r="CK354" i="24"/>
  <c r="CL350" i="24"/>
  <c r="CP382" i="24"/>
  <c r="CP378" i="24"/>
  <c r="CM374" i="24"/>
  <c r="CL370" i="24"/>
  <c r="CK366" i="24"/>
  <c r="CJ362" i="24"/>
  <c r="CJ358" i="24"/>
  <c r="CJ354" i="24"/>
  <c r="CS349" i="24"/>
  <c r="BZ382" i="24"/>
  <c r="CB379" i="24"/>
  <c r="CD376" i="24"/>
  <c r="CF373" i="24"/>
  <c r="BV371" i="24"/>
  <c r="BX368" i="24"/>
  <c r="BZ365" i="24"/>
  <c r="CB362" i="24"/>
  <c r="CD359" i="24"/>
  <c r="CF356" i="24"/>
  <c r="BV354" i="24"/>
  <c r="BX351" i="24"/>
  <c r="BZ348" i="24"/>
  <c r="CK382" i="24"/>
  <c r="CJ378" i="24"/>
  <c r="CS373" i="24"/>
  <c r="CT369" i="24"/>
  <c r="CS365" i="24"/>
  <c r="CQ361" i="24"/>
  <c r="CR357" i="24"/>
  <c r="CS353" i="24"/>
  <c r="CP349" i="24"/>
  <c r="BW382" i="24"/>
  <c r="BY379" i="24"/>
  <c r="CA376" i="24"/>
  <c r="CC373" i="24"/>
  <c r="CE370" i="24"/>
  <c r="CG367" i="24"/>
  <c r="BW365" i="24"/>
  <c r="BY362" i="24"/>
  <c r="CA359" i="24"/>
  <c r="CC356" i="24"/>
  <c r="CE353" i="24"/>
  <c r="CG350" i="24"/>
  <c r="BW348" i="24"/>
  <c r="CN381" i="24"/>
  <c r="CK377" i="24"/>
  <c r="CL373" i="24"/>
  <c r="CK369" i="24"/>
  <c r="CJ365" i="24"/>
  <c r="CK361" i="24"/>
  <c r="CJ357" i="24"/>
  <c r="CT352" i="24"/>
  <c r="CQ348" i="24"/>
  <c r="CP383" i="24"/>
  <c r="CJ379" i="24"/>
  <c r="CT373" i="24"/>
  <c r="CN369" i="24"/>
  <c r="CR364" i="24"/>
  <c r="CJ360" i="24"/>
  <c r="CN355" i="24"/>
  <c r="CU350" i="24"/>
  <c r="CO380" i="24"/>
  <c r="CJ376" i="24"/>
  <c r="CL371" i="24"/>
  <c r="CR366" i="24"/>
  <c r="CT361" i="24"/>
  <c r="CL357" i="24"/>
  <c r="CM352" i="24"/>
  <c r="CK381" i="24"/>
  <c r="CN376" i="24"/>
  <c r="CQ371" i="24"/>
  <c r="CQ366" i="24"/>
  <c r="CN361" i="24"/>
  <c r="CN356" i="24"/>
  <c r="CO351" i="24"/>
  <c r="CS380" i="24"/>
  <c r="CL376" i="24"/>
  <c r="CU370" i="24"/>
  <c r="CJ366" i="24"/>
  <c r="CL361" i="24"/>
  <c r="CK356" i="24"/>
  <c r="CM351" i="24"/>
  <c r="CS379" i="24"/>
  <c r="CJ375" i="24"/>
  <c r="CS369" i="24"/>
  <c r="CS364" i="24"/>
  <c r="CT359" i="24"/>
  <c r="CT354" i="24"/>
  <c r="CM350" i="24"/>
  <c r="CR383" i="24"/>
  <c r="CT378" i="24"/>
  <c r="CO373" i="24"/>
  <c r="CR368" i="24"/>
  <c r="CR363" i="24"/>
  <c r="CS358" i="24"/>
  <c r="CU353" i="24"/>
  <c r="CR348" i="24"/>
  <c r="BV381" i="24"/>
  <c r="BV378" i="24"/>
  <c r="BV375" i="24"/>
  <c r="CG371" i="24"/>
  <c r="CF368" i="24"/>
  <c r="CF365" i="24"/>
  <c r="CF362" i="24"/>
  <c r="CF359" i="24"/>
  <c r="CE356" i="24"/>
  <c r="CD353" i="24"/>
  <c r="CD350" i="24"/>
  <c r="CK383" i="24"/>
  <c r="CR377" i="24"/>
  <c r="CJ373" i="24"/>
  <c r="CJ368" i="24"/>
  <c r="CL363" i="24"/>
  <c r="CN358" i="24"/>
  <c r="CN353" i="24"/>
  <c r="CL348" i="24"/>
  <c r="CT383" i="24"/>
  <c r="CO377" i="24"/>
  <c r="CL372" i="24"/>
  <c r="CT365" i="24"/>
  <c r="CL360" i="24"/>
  <c r="CO354" i="24"/>
  <c r="CM348" i="24"/>
  <c r="BW381" i="24"/>
  <c r="CG377" i="24"/>
  <c r="CE374" i="24"/>
  <c r="CC371" i="24"/>
  <c r="CB368" i="24"/>
  <c r="CA365" i="24"/>
  <c r="BX362" i="24"/>
  <c r="BW359" i="24"/>
  <c r="BV356" i="24"/>
  <c r="CE352" i="24"/>
  <c r="CD349" i="24"/>
  <c r="BP382" i="24"/>
  <c r="BH380" i="24"/>
  <c r="BL377" i="24"/>
  <c r="BP374" i="24"/>
  <c r="BH372" i="24"/>
  <c r="BL369" i="24"/>
  <c r="BP366" i="24"/>
  <c r="BH364" i="24"/>
  <c r="BL361" i="24"/>
  <c r="BP358" i="24"/>
  <c r="BH356" i="24"/>
  <c r="BL353" i="24"/>
  <c r="BP350" i="24"/>
  <c r="BH348" i="24"/>
  <c r="CQ383" i="24"/>
  <c r="CN377" i="24"/>
  <c r="CK372" i="24"/>
  <c r="CQ365" i="24"/>
  <c r="CU359" i="24"/>
  <c r="CN354" i="24"/>
  <c r="CK348" i="24"/>
  <c r="CG380" i="24"/>
  <c r="CF377" i="24"/>
  <c r="CD374" i="24"/>
  <c r="CB371" i="24"/>
  <c r="CA368" i="24"/>
  <c r="BY365" i="24"/>
  <c r="BW362" i="24"/>
  <c r="BV359" i="24"/>
  <c r="CG355" i="24"/>
  <c r="CD352" i="24"/>
  <c r="CC349" i="24"/>
  <c r="BO382" i="24"/>
  <c r="BS379" i="24"/>
  <c r="BK377" i="24"/>
  <c r="BO374" i="24"/>
  <c r="BS371" i="24"/>
  <c r="BK369" i="24"/>
  <c r="BO366" i="24"/>
  <c r="BS363" i="24"/>
  <c r="BK361" i="24"/>
  <c r="BO358" i="24"/>
  <c r="BS355" i="24"/>
  <c r="BK353" i="24"/>
  <c r="BO350" i="24"/>
  <c r="BE383" i="24"/>
  <c r="AW381" i="24"/>
  <c r="BA378" i="24"/>
  <c r="BE375" i="24"/>
  <c r="AW373" i="24"/>
  <c r="BA370" i="24"/>
  <c r="BE367" i="24"/>
  <c r="AW365" i="24"/>
  <c r="BA362" i="24"/>
  <c r="BE359" i="24"/>
  <c r="AW357" i="24"/>
  <c r="BA354" i="24"/>
  <c r="BE351" i="24"/>
  <c r="AW349" i="24"/>
  <c r="CO383" i="24"/>
  <c r="CM377" i="24"/>
  <c r="CU371" i="24"/>
  <c r="CP365" i="24"/>
  <c r="CQ359" i="24"/>
  <c r="CM354" i="24"/>
  <c r="CN383" i="24"/>
  <c r="CJ377" i="24"/>
  <c r="CR371" i="24"/>
  <c r="CO365" i="24"/>
  <c r="CP359" i="24"/>
  <c r="CT353" i="24"/>
  <c r="CU382" i="24"/>
  <c r="CU376" i="24"/>
  <c r="CN371" i="24"/>
  <c r="CM365" i="24"/>
  <c r="CN359" i="24"/>
  <c r="CQ353" i="24"/>
  <c r="CE383" i="24"/>
  <c r="CD380" i="24"/>
  <c r="CB377" i="24"/>
  <c r="BZ374" i="24"/>
  <c r="BY371" i="24"/>
  <c r="BW368" i="24"/>
  <c r="CG364" i="24"/>
  <c r="CF361" i="24"/>
  <c r="CE358" i="24"/>
  <c r="CB355" i="24"/>
  <c r="CA352" i="24"/>
  <c r="BZ349" i="24"/>
  <c r="CJ382" i="24"/>
  <c r="CM376" i="24"/>
  <c r="CO370" i="24"/>
  <c r="CN364" i="24"/>
  <c r="CQ358" i="24"/>
  <c r="CO352" i="24"/>
  <c r="BZ383" i="24"/>
  <c r="BX380" i="24"/>
  <c r="BV377" i="24"/>
  <c r="CG373" i="24"/>
  <c r="CD370" i="24"/>
  <c r="CC367" i="24"/>
  <c r="CB364" i="24"/>
  <c r="CA361" i="24"/>
  <c r="BX358" i="24"/>
  <c r="BW355" i="24"/>
  <c r="BV352" i="24"/>
  <c r="CG348" i="24"/>
  <c r="CP380" i="24"/>
  <c r="CR374" i="24"/>
  <c r="CT368" i="24"/>
  <c r="CT362" i="24"/>
  <c r="CK357" i="24"/>
  <c r="CL351" i="24"/>
  <c r="CC382" i="24"/>
  <c r="BZ379" i="24"/>
  <c r="BX376" i="24"/>
  <c r="BW373" i="24"/>
  <c r="BV370" i="24"/>
  <c r="CG366" i="24"/>
  <c r="CD363" i="24"/>
  <c r="CC360" i="24"/>
  <c r="CB357" i="24"/>
  <c r="CA354" i="24"/>
  <c r="BZ351" i="24"/>
  <c r="BX348" i="24"/>
  <c r="BS383" i="24"/>
  <c r="BK381" i="24"/>
  <c r="BO378" i="24"/>
  <c r="BS375" i="24"/>
  <c r="BK373" i="24"/>
  <c r="BO370" i="24"/>
  <c r="BS367" i="24"/>
  <c r="BK365" i="24"/>
  <c r="BO362" i="24"/>
  <c r="BS359" i="24"/>
  <c r="BK357" i="24"/>
  <c r="BO354" i="24"/>
  <c r="BS351" i="24"/>
  <c r="BK349" i="24"/>
  <c r="CT379" i="24"/>
  <c r="CR373" i="24"/>
  <c r="CU367" i="24"/>
  <c r="CO362" i="24"/>
  <c r="CL356" i="24"/>
  <c r="CP350" i="24"/>
  <c r="BV382" i="24"/>
  <c r="CG378" i="24"/>
  <c r="CF375" i="24"/>
  <c r="CE372" i="24"/>
  <c r="CD369" i="24"/>
  <c r="CB366" i="24"/>
  <c r="BZ363" i="24"/>
  <c r="BY360" i="24"/>
  <c r="BX357" i="24"/>
  <c r="BW354" i="24"/>
  <c r="CF350" i="24"/>
  <c r="CJ380" i="24"/>
  <c r="CP372" i="24"/>
  <c r="CK364" i="24"/>
  <c r="CQ356" i="24"/>
  <c r="CU348" i="24"/>
  <c r="CF381" i="24"/>
  <c r="BY378" i="24"/>
  <c r="BX374" i="24"/>
  <c r="BZ370" i="24"/>
  <c r="CC366" i="24"/>
  <c r="CE362" i="24"/>
  <c r="CF358" i="24"/>
  <c r="CG354" i="24"/>
  <c r="BY351" i="24"/>
  <c r="BN381" i="24"/>
  <c r="BN378" i="24"/>
  <c r="BO375" i="24"/>
  <c r="BP372" i="24"/>
  <c r="BQ369" i="24"/>
  <c r="BR366" i="24"/>
  <c r="BQ363" i="24"/>
  <c r="BR360" i="24"/>
  <c r="BS357" i="24"/>
  <c r="BH355" i="24"/>
  <c r="BI352" i="24"/>
  <c r="BI349" i="24"/>
  <c r="AT382" i="24"/>
  <c r="AW379" i="24"/>
  <c r="AZ376" i="24"/>
  <c r="BC373" i="24"/>
  <c r="AT371" i="24"/>
  <c r="AW368" i="24"/>
  <c r="AZ365" i="24"/>
  <c r="BC362" i="24"/>
  <c r="AT360" i="24"/>
  <c r="AV357" i="24"/>
  <c r="AY354" i="24"/>
  <c r="BB351" i="24"/>
  <c r="BE348" i="24"/>
  <c r="CR379" i="24"/>
  <c r="CO372" i="24"/>
  <c r="CJ364" i="24"/>
  <c r="CU355" i="24"/>
  <c r="CP348" i="24"/>
  <c r="CE381" i="24"/>
  <c r="BX378" i="24"/>
  <c r="BW374" i="24"/>
  <c r="BY370" i="24"/>
  <c r="BZ366" i="24"/>
  <c r="CD362" i="24"/>
  <c r="CD358" i="24"/>
  <c r="CF354" i="24"/>
  <c r="BW351" i="24"/>
  <c r="BM381" i="24"/>
  <c r="BM378" i="24"/>
  <c r="BN375" i="24"/>
  <c r="BO372" i="24"/>
  <c r="BP369" i="24"/>
  <c r="BQ366" i="24"/>
  <c r="BP363" i="24"/>
  <c r="BQ360" i="24"/>
  <c r="BR357" i="24"/>
  <c r="BS354" i="24"/>
  <c r="BH352" i="24"/>
  <c r="BH349" i="24"/>
  <c r="BE381" i="24"/>
  <c r="AV379" i="24"/>
  <c r="AY376" i="24"/>
  <c r="BB373" i="24"/>
  <c r="BE370" i="24"/>
  <c r="AV368" i="24"/>
  <c r="AY365" i="24"/>
  <c r="BB362" i="24"/>
  <c r="BD359" i="24"/>
  <c r="AU357" i="24"/>
  <c r="AX354" i="24"/>
  <c r="BA351" i="24"/>
  <c r="BD348" i="24"/>
  <c r="AL381" i="24"/>
  <c r="AP378" i="24"/>
  <c r="AH376" i="24"/>
  <c r="AL373" i="24"/>
  <c r="AP370" i="24"/>
  <c r="AH368" i="24"/>
  <c r="AL365" i="24"/>
  <c r="AP362" i="24"/>
  <c r="AH360" i="24"/>
  <c r="AL357" i="24"/>
  <c r="AP354" i="24"/>
  <c r="AH352" i="24"/>
  <c r="AL349" i="24"/>
  <c r="CP379" i="24"/>
  <c r="CT370" i="24"/>
  <c r="CO363" i="24"/>
  <c r="CQ355" i="24"/>
  <c r="CC381" i="24"/>
  <c r="CE377" i="24"/>
  <c r="CE373" i="24"/>
  <c r="BW370" i="24"/>
  <c r="BX366" i="24"/>
  <c r="CA362" i="24"/>
  <c r="CB358" i="24"/>
  <c r="CD354" i="24"/>
  <c r="CE350" i="24"/>
  <c r="BJ381" i="24"/>
  <c r="BK378" i="24"/>
  <c r="BL375" i="24"/>
  <c r="BM372" i="24"/>
  <c r="BN369" i="24"/>
  <c r="BM366" i="24"/>
  <c r="BN363" i="24"/>
  <c r="BO360" i="24"/>
  <c r="BP357" i="24"/>
  <c r="BQ354" i="24"/>
  <c r="BQ351" i="24"/>
  <c r="BR348" i="24"/>
  <c r="CO382" i="24"/>
  <c r="CL375" i="24"/>
  <c r="CN367" i="24"/>
  <c r="CU358" i="24"/>
  <c r="CN351" i="24"/>
  <c r="BY383" i="24"/>
  <c r="CA379" i="24"/>
  <c r="CC375" i="24"/>
  <c r="CF371" i="24"/>
  <c r="CE367" i="24"/>
  <c r="BW364" i="24"/>
  <c r="BX360" i="24"/>
  <c r="BZ356" i="24"/>
  <c r="BZ352" i="24"/>
  <c r="CD348" i="24"/>
  <c r="BM382" i="24"/>
  <c r="BN379" i="24"/>
  <c r="BO376" i="24"/>
  <c r="BP373" i="24"/>
  <c r="BQ370" i="24"/>
  <c r="BQ367" i="24"/>
  <c r="BR364" i="24"/>
  <c r="BS361" i="24"/>
  <c r="BH359" i="24"/>
  <c r="BI356" i="24"/>
  <c r="BH353" i="24"/>
  <c r="BI350" i="24"/>
  <c r="CQ377" i="24"/>
  <c r="CO368" i="24"/>
  <c r="CM360" i="24"/>
  <c r="CT350" i="24"/>
  <c r="CB381" i="24"/>
  <c r="BX377" i="24"/>
  <c r="CF372" i="24"/>
  <c r="CC368" i="24"/>
  <c r="BX364" i="24"/>
  <c r="CE359" i="24"/>
  <c r="BY355" i="24"/>
  <c r="CC350" i="24"/>
  <c r="BI383" i="24"/>
  <c r="BP379" i="24"/>
  <c r="BL376" i="24"/>
  <c r="BH373" i="24"/>
  <c r="BO369" i="24"/>
  <c r="BI366" i="24"/>
  <c r="BR362" i="24"/>
  <c r="BN359" i="24"/>
  <c r="BK356" i="24"/>
  <c r="BQ352" i="24"/>
  <c r="BN349" i="24"/>
  <c r="AV383" i="24"/>
  <c r="AW380" i="24"/>
  <c r="AX377" i="24"/>
  <c r="AY374" i="24"/>
  <c r="AZ371" i="24"/>
  <c r="BA368" i="24"/>
  <c r="BB365" i="24"/>
  <c r="AZ362" i="24"/>
  <c r="BA359" i="24"/>
  <c r="BB356" i="24"/>
  <c r="BC353" i="24"/>
  <c r="BD350" i="24"/>
  <c r="AG382" i="24"/>
  <c r="AJ379" i="24"/>
  <c r="AM376" i="24"/>
  <c r="AP373" i="24"/>
  <c r="AG371" i="24"/>
  <c r="AJ368" i="24"/>
  <c r="AM365" i="24"/>
  <c r="AO362" i="24"/>
  <c r="AF360" i="24"/>
  <c r="AI357" i="24"/>
  <c r="AL354" i="24"/>
  <c r="AO351" i="24"/>
  <c r="AF349" i="24"/>
  <c r="CP376" i="24"/>
  <c r="CT367" i="24"/>
  <c r="CR358" i="24"/>
  <c r="CN350" i="24"/>
  <c r="BY381" i="24"/>
  <c r="CE376" i="24"/>
  <c r="CB372" i="24"/>
  <c r="BV368" i="24"/>
  <c r="CC363" i="24"/>
  <c r="BZ359" i="24"/>
  <c r="CE354" i="24"/>
  <c r="BY350" i="24"/>
  <c r="CQ375" i="24"/>
  <c r="CU366" i="24"/>
  <c r="CO357" i="24"/>
  <c r="CO348" i="24"/>
  <c r="BZ380" i="24"/>
  <c r="BV376" i="24"/>
  <c r="CD371" i="24"/>
  <c r="BY367" i="24"/>
  <c r="BV363" i="24"/>
  <c r="BW358" i="24"/>
  <c r="CG353" i="24"/>
  <c r="CB349" i="24"/>
  <c r="BI382" i="24"/>
  <c r="BR378" i="24"/>
  <c r="BK375" i="24"/>
  <c r="BR371" i="24"/>
  <c r="BO368" i="24"/>
  <c r="BL365" i="24"/>
  <c r="BH362" i="24"/>
  <c r="BN358" i="24"/>
  <c r="BK355" i="24"/>
  <c r="BP351" i="24"/>
  <c r="BM348" i="24"/>
  <c r="AY382" i="24"/>
  <c r="AZ379" i="24"/>
  <c r="BA376" i="24"/>
  <c r="AZ373" i="24"/>
  <c r="AZ370" i="24"/>
  <c r="BA367" i="24"/>
  <c r="BB364" i="24"/>
  <c r="BC361" i="24"/>
  <c r="BD358" i="24"/>
  <c r="BE355" i="24"/>
  <c r="AT353" i="24"/>
  <c r="AU350" i="24"/>
  <c r="AI381" i="24"/>
  <c r="AL378" i="24"/>
  <c r="AO375" i="24"/>
  <c r="AF373" i="24"/>
  <c r="AI370" i="24"/>
  <c r="AL367" i="24"/>
  <c r="AO364" i="24"/>
  <c r="AF362" i="24"/>
  <c r="AI359" i="24"/>
  <c r="AL356" i="24"/>
  <c r="AO353" i="24"/>
  <c r="AF351" i="24"/>
  <c r="AI348" i="24"/>
  <c r="CS381" i="24"/>
  <c r="CK373" i="24"/>
  <c r="CQ363" i="24"/>
  <c r="CU354" i="24"/>
  <c r="CD383" i="24"/>
  <c r="BX379" i="24"/>
  <c r="BX375" i="24"/>
  <c r="CB370" i="24"/>
  <c r="BV366" i="24"/>
  <c r="CC361" i="24"/>
  <c r="BZ357" i="24"/>
  <c r="BV353" i="24"/>
  <c r="CC348" i="24"/>
  <c r="BI381" i="24"/>
  <c r="BR377" i="24"/>
  <c r="BM374" i="24"/>
  <c r="BJ371" i="24"/>
  <c r="BR367" i="24"/>
  <c r="BN364" i="24"/>
  <c r="BI361" i="24"/>
  <c r="BO357" i="24"/>
  <c r="BK354" i="24"/>
  <c r="BH351" i="24"/>
  <c r="BA381" i="24"/>
  <c r="BB378" i="24"/>
  <c r="BB375" i="24"/>
  <c r="BC372" i="24"/>
  <c r="BD369" i="24"/>
  <c r="BE366" i="24"/>
  <c r="AT364" i="24"/>
  <c r="AU361" i="24"/>
  <c r="AV358" i="24"/>
  <c r="AW355" i="24"/>
  <c r="AX352" i="24"/>
  <c r="AY349" i="24"/>
  <c r="CR380" i="24"/>
  <c r="CM372" i="24"/>
  <c r="CQ362" i="24"/>
  <c r="CO353" i="24"/>
  <c r="BW383" i="24"/>
  <c r="CE378" i="24"/>
  <c r="CB374" i="24"/>
  <c r="CF369" i="24"/>
  <c r="CC365" i="24"/>
  <c r="BV361" i="24"/>
  <c r="CG356" i="24"/>
  <c r="BY352" i="24"/>
  <c r="BV348" i="24"/>
  <c r="BQ380" i="24"/>
  <c r="BN377" i="24"/>
  <c r="BI374" i="24"/>
  <c r="BR370" i="24"/>
  <c r="BM367" i="24"/>
  <c r="BJ364" i="24"/>
  <c r="BN360" i="24"/>
  <c r="BJ357" i="24"/>
  <c r="BS353" i="24"/>
  <c r="BN350" i="24"/>
  <c r="AV381" i="24"/>
  <c r="AW378" i="24"/>
  <c r="AX375" i="24"/>
  <c r="AY372" i="24"/>
  <c r="AZ369" i="24"/>
  <c r="BA366" i="24"/>
  <c r="CQ380" i="24"/>
  <c r="CS370" i="24"/>
  <c r="CP362" i="24"/>
  <c r="CL353" i="24"/>
  <c r="BV383" i="24"/>
  <c r="CD378" i="24"/>
  <c r="BY374" i="24"/>
  <c r="CE369" i="24"/>
  <c r="CB365" i="24"/>
  <c r="CG360" i="24"/>
  <c r="CD356" i="24"/>
  <c r="BX352" i="24"/>
  <c r="CL382" i="24"/>
  <c r="CQ370" i="24"/>
  <c r="CS360" i="24"/>
  <c r="CO349" i="24"/>
  <c r="CE380" i="24"/>
  <c r="CB375" i="24"/>
  <c r="CG369" i="24"/>
  <c r="CC364" i="24"/>
  <c r="BY359" i="24"/>
  <c r="CC353" i="24"/>
  <c r="CB348" i="24"/>
  <c r="BR381" i="24"/>
  <c r="BS377" i="24"/>
  <c r="BH374" i="24"/>
  <c r="BK370" i="24"/>
  <c r="BK366" i="24"/>
  <c r="BN362" i="24"/>
  <c r="BR358" i="24"/>
  <c r="BR354" i="24"/>
  <c r="BI351" i="24"/>
  <c r="CT381" i="24"/>
  <c r="CK370" i="24"/>
  <c r="CO360" i="24"/>
  <c r="CM349" i="24"/>
  <c r="CC380" i="24"/>
  <c r="CA375" i="24"/>
  <c r="CC369" i="24"/>
  <c r="CA364" i="24"/>
  <c r="BX359" i="24"/>
  <c r="CB353" i="24"/>
  <c r="CA348" i="24"/>
  <c r="CP381" i="24"/>
  <c r="CU369" i="24"/>
  <c r="CM359" i="24"/>
  <c r="CK349" i="24"/>
  <c r="CB380" i="24"/>
  <c r="BZ375" i="24"/>
  <c r="CB369" i="24"/>
  <c r="BZ364" i="24"/>
  <c r="CG358" i="24"/>
  <c r="CA353" i="24"/>
  <c r="BY348" i="24"/>
  <c r="BP381" i="24"/>
  <c r="BP377" i="24"/>
  <c r="BR373" i="24"/>
  <c r="BI370" i="24"/>
  <c r="BH366" i="24"/>
  <c r="BL362" i="24"/>
  <c r="BM358" i="24"/>
  <c r="BN354" i="24"/>
  <c r="BR350" i="24"/>
  <c r="CN379" i="24"/>
  <c r="CM368" i="24"/>
  <c r="CM357" i="24"/>
  <c r="CC379" i="24"/>
  <c r="CB373" i="24"/>
  <c r="CD368" i="24"/>
  <c r="BX363" i="24"/>
  <c r="CD357" i="24"/>
  <c r="BW352" i="24"/>
  <c r="BO380" i="24"/>
  <c r="BR376" i="24"/>
  <c r="BI373" i="24"/>
  <c r="BH369" i="24"/>
  <c r="BM365" i="24"/>
  <c r="BO361" i="24"/>
  <c r="BN357" i="24"/>
  <c r="BQ353" i="24"/>
  <c r="BS349" i="24"/>
  <c r="CO375" i="24"/>
  <c r="CM364" i="24"/>
  <c r="CL352" i="24"/>
  <c r="CE382" i="24"/>
  <c r="BY377" i="24"/>
  <c r="BW372" i="24"/>
  <c r="CE366" i="24"/>
  <c r="CF360" i="24"/>
  <c r="CD355" i="24"/>
  <c r="BV350" i="24"/>
  <c r="CJ374" i="24"/>
  <c r="CM361" i="24"/>
  <c r="BY382" i="24"/>
  <c r="CG375" i="24"/>
  <c r="BX369" i="24"/>
  <c r="CG362" i="24"/>
  <c r="CA356" i="24"/>
  <c r="CG349" i="24"/>
  <c r="CQ373" i="24"/>
  <c r="CU360" i="24"/>
  <c r="BX382" i="24"/>
  <c r="CE375" i="24"/>
  <c r="BV369" i="24"/>
  <c r="CC362" i="24"/>
  <c r="BY356" i="24"/>
  <c r="CF349" i="24"/>
  <c r="BR383" i="24"/>
  <c r="BR379" i="24"/>
  <c r="BQ375" i="24"/>
  <c r="BM371" i="24"/>
  <c r="BK367" i="24"/>
  <c r="BH363" i="24"/>
  <c r="BS358" i="24"/>
  <c r="BL354" i="24"/>
  <c r="BJ350" i="24"/>
  <c r="BB380" i="24"/>
  <c r="AY377" i="24"/>
  <c r="AU374" i="24"/>
  <c r="BB370" i="24"/>
  <c r="AW367" i="24"/>
  <c r="BE363" i="24"/>
  <c r="BC360" i="24"/>
  <c r="BA357" i="24"/>
  <c r="AV354" i="24"/>
  <c r="AT351" i="24"/>
  <c r="CN373" i="24"/>
  <c r="CT360" i="24"/>
  <c r="CQ369" i="24"/>
  <c r="CU356" i="24"/>
  <c r="BW380" i="24"/>
  <c r="CA373" i="24"/>
  <c r="CA367" i="24"/>
  <c r="BY361" i="24"/>
  <c r="CC354" i="24"/>
  <c r="CE348" i="24"/>
  <c r="CL369" i="24"/>
  <c r="CS356" i="24"/>
  <c r="BV380" i="24"/>
  <c r="BZ373" i="24"/>
  <c r="BZ367" i="24"/>
  <c r="CE360" i="24"/>
  <c r="CB354" i="24"/>
  <c r="BH383" i="24"/>
  <c r="BS378" i="24"/>
  <c r="BN374" i="24"/>
  <c r="BL370" i="24"/>
  <c r="BR365" i="24"/>
  <c r="BQ361" i="24"/>
  <c r="BL357" i="24"/>
  <c r="BJ353" i="24"/>
  <c r="BS348" i="24"/>
  <c r="CT382" i="24"/>
  <c r="CJ369" i="24"/>
  <c r="CT355" i="24"/>
  <c r="CG379" i="24"/>
  <c r="BY373" i="24"/>
  <c r="BX367" i="24"/>
  <c r="CD360" i="24"/>
  <c r="BZ354" i="24"/>
  <c r="CN378" i="24"/>
  <c r="CL365" i="24"/>
  <c r="CT351" i="24"/>
  <c r="BW378" i="24"/>
  <c r="CA371" i="24"/>
  <c r="BV365" i="24"/>
  <c r="BY358" i="24"/>
  <c r="CG351" i="24"/>
  <c r="CK378" i="24"/>
  <c r="CT364" i="24"/>
  <c r="CR351" i="24"/>
  <c r="CC377" i="24"/>
  <c r="BZ371" i="24"/>
  <c r="CF364" i="24"/>
  <c r="BV358" i="24"/>
  <c r="CF351" i="24"/>
  <c r="CT376" i="24"/>
  <c r="CQ364" i="24"/>
  <c r="CQ351" i="24"/>
  <c r="CG383" i="24"/>
  <c r="CA377" i="24"/>
  <c r="BX371" i="24"/>
  <c r="CE364" i="24"/>
  <c r="CG357" i="24"/>
  <c r="CE351" i="24"/>
  <c r="CO376" i="24"/>
  <c r="CL358" i="24"/>
  <c r="CC378" i="24"/>
  <c r="CA370" i="24"/>
  <c r="CD361" i="24"/>
  <c r="BX353" i="24"/>
  <c r="BL381" i="24"/>
  <c r="BQ376" i="24"/>
  <c r="BK372" i="24"/>
  <c r="BH368" i="24"/>
  <c r="BK363" i="24"/>
  <c r="BI359" i="24"/>
  <c r="BI354" i="24"/>
  <c r="BP349" i="24"/>
  <c r="BD381" i="24"/>
  <c r="AX378" i="24"/>
  <c r="BE374" i="24"/>
  <c r="BA371" i="24"/>
  <c r="AT368" i="24"/>
  <c r="AZ364" i="24"/>
  <c r="AW361" i="24"/>
  <c r="BE357" i="24"/>
  <c r="BB354" i="24"/>
  <c r="AV351" i="24"/>
  <c r="AQ381" i="24"/>
  <c r="AF379" i="24"/>
  <c r="AF376" i="24"/>
  <c r="AG373" i="24"/>
  <c r="AG370" i="24"/>
  <c r="AH367" i="24"/>
  <c r="AI364" i="24"/>
  <c r="AJ361" i="24"/>
  <c r="AK358" i="24"/>
  <c r="AL355" i="24"/>
  <c r="AM352" i="24"/>
  <c r="AN349" i="24"/>
  <c r="CK376" i="24"/>
  <c r="CT357" i="24"/>
  <c r="CB378" i="24"/>
  <c r="BX370" i="24"/>
  <c r="CB361" i="24"/>
  <c r="CG352" i="24"/>
  <c r="BH381" i="24"/>
  <c r="BP376" i="24"/>
  <c r="BJ372" i="24"/>
  <c r="BP367" i="24"/>
  <c r="BJ363" i="24"/>
  <c r="BQ358" i="24"/>
  <c r="BH354" i="24"/>
  <c r="BO349" i="24"/>
  <c r="BC381" i="24"/>
  <c r="AV378" i="24"/>
  <c r="BD374" i="24"/>
  <c r="AY371" i="24"/>
  <c r="BD367" i="24"/>
  <c r="AY364" i="24"/>
  <c r="AV361" i="24"/>
  <c r="BD357" i="24"/>
  <c r="AZ354" i="24"/>
  <c r="AU351" i="24"/>
  <c r="AP381" i="24"/>
  <c r="AQ378" i="24"/>
  <c r="AQ375" i="24"/>
  <c r="AQ372" i="24"/>
  <c r="AF370" i="24"/>
  <c r="AG367" i="24"/>
  <c r="AH364" i="24"/>
  <c r="AI361" i="24"/>
  <c r="AJ358" i="24"/>
  <c r="AK355" i="24"/>
  <c r="AL352" i="24"/>
  <c r="AM349" i="24"/>
  <c r="CR375" i="24"/>
  <c r="CO355" i="24"/>
  <c r="BZ377" i="24"/>
  <c r="CG368" i="24"/>
  <c r="CA360" i="24"/>
  <c r="CD351" i="24"/>
  <c r="CP374" i="24"/>
  <c r="CK355" i="24"/>
  <c r="CG376" i="24"/>
  <c r="CE368" i="24"/>
  <c r="BZ360" i="24"/>
  <c r="CC351" i="24"/>
  <c r="BN380" i="24"/>
  <c r="BJ376" i="24"/>
  <c r="BO371" i="24"/>
  <c r="BJ367" i="24"/>
  <c r="BP362" i="24"/>
  <c r="BI358" i="24"/>
  <c r="BN353" i="24"/>
  <c r="BQ348" i="24"/>
  <c r="AX381" i="24"/>
  <c r="BD377" i="24"/>
  <c r="AZ374" i="24"/>
  <c r="AU371" i="24"/>
  <c r="AY367" i="24"/>
  <c r="AU364" i="24"/>
  <c r="BB360" i="24"/>
  <c r="AY357" i="24"/>
  <c r="BE353" i="24"/>
  <c r="BA350" i="24"/>
  <c r="CT372" i="24"/>
  <c r="CP354" i="24"/>
  <c r="BZ376" i="24"/>
  <c r="CD367" i="24"/>
  <c r="CC359" i="24"/>
  <c r="CB350" i="24"/>
  <c r="BJ380" i="24"/>
  <c r="BP375" i="24"/>
  <c r="BI371" i="24"/>
  <c r="BN366" i="24"/>
  <c r="BI362" i="24"/>
  <c r="BI357" i="24"/>
  <c r="BR352" i="24"/>
  <c r="BL348" i="24"/>
  <c r="BD380" i="24"/>
  <c r="AZ377" i="24"/>
  <c r="AT374" i="24"/>
  <c r="AX370" i="24"/>
  <c r="AT367" i="24"/>
  <c r="BA363" i="24"/>
  <c r="AX360" i="24"/>
  <c r="BD356" i="24"/>
  <c r="AZ353" i="24"/>
  <c r="AW350" i="24"/>
  <c r="AQ383" i="24"/>
  <c r="AF381" i="24"/>
  <c r="AG378" i="24"/>
  <c r="AH375" i="24"/>
  <c r="AI372" i="24"/>
  <c r="AJ369" i="24"/>
  <c r="AK366" i="24"/>
  <c r="AL363" i="24"/>
  <c r="AM360" i="24"/>
  <c r="AN357" i="24"/>
  <c r="AN354" i="24"/>
  <c r="AN351" i="24"/>
  <c r="AO348" i="24"/>
  <c r="CU372" i="24"/>
  <c r="CR370" i="24"/>
  <c r="CO350" i="24"/>
  <c r="CF374" i="24"/>
  <c r="CD364" i="24"/>
  <c r="BX355" i="24"/>
  <c r="BL382" i="24"/>
  <c r="BI377" i="24"/>
  <c r="BQ371" i="24"/>
  <c r="BS366" i="24"/>
  <c r="BM361" i="24"/>
  <c r="BM356" i="24"/>
  <c r="BL351" i="24"/>
  <c r="BB382" i="24"/>
  <c r="BC378" i="24"/>
  <c r="BB374" i="24"/>
  <c r="AY370" i="24"/>
  <c r="AZ366" i="24"/>
  <c r="BE362" i="24"/>
  <c r="AT359" i="24"/>
  <c r="AX355" i="24"/>
  <c r="AY351" i="24"/>
  <c r="AH381" i="24"/>
  <c r="AQ377" i="24"/>
  <c r="AO374" i="24"/>
  <c r="AM371" i="24"/>
  <c r="AK368" i="24"/>
  <c r="AG365" i="24"/>
  <c r="AP361" i="24"/>
  <c r="AN358" i="24"/>
  <c r="AJ355" i="24"/>
  <c r="AG352" i="24"/>
  <c r="AP348" i="24"/>
  <c r="CU368" i="24"/>
  <c r="CQ349" i="24"/>
  <c r="CR367" i="24"/>
  <c r="CB383" i="24"/>
  <c r="BX373" i="24"/>
  <c r="CB363" i="24"/>
  <c r="CF353" i="24"/>
  <c r="BS381" i="24"/>
  <c r="BM376" i="24"/>
  <c r="BK371" i="24"/>
  <c r="BQ365" i="24"/>
  <c r="BP360" i="24"/>
  <c r="BQ355" i="24"/>
  <c r="BQ350" i="24"/>
  <c r="CL367" i="24"/>
  <c r="CF382" i="24"/>
  <c r="CD372" i="24"/>
  <c r="BW363" i="24"/>
  <c r="CC352" i="24"/>
  <c r="BS380" i="24"/>
  <c r="BH376" i="24"/>
  <c r="BP370" i="24"/>
  <c r="BN365" i="24"/>
  <c r="BK360" i="24"/>
  <c r="BN355" i="24"/>
  <c r="BK350" i="24"/>
  <c r="BB381" i="24"/>
  <c r="BB377" i="24"/>
  <c r="BA373" i="24"/>
  <c r="BB369" i="24"/>
  <c r="BE365" i="24"/>
  <c r="AT362" i="24"/>
  <c r="AX358" i="24"/>
  <c r="AW354" i="24"/>
  <c r="AY350" i="24"/>
  <c r="AN383" i="24"/>
  <c r="AL380" i="24"/>
  <c r="AJ377" i="24"/>
  <c r="AH374" i="24"/>
  <c r="AQ370" i="24"/>
  <c r="AN367" i="24"/>
  <c r="AK364" i="24"/>
  <c r="AG361" i="24"/>
  <c r="AQ357" i="24"/>
  <c r="AM354" i="24"/>
  <c r="AJ351" i="24"/>
  <c r="AG348" i="24"/>
  <c r="CN362" i="24"/>
  <c r="CF380" i="24"/>
  <c r="CF370" i="24"/>
  <c r="BV360" i="24"/>
  <c r="CA349" i="24"/>
  <c r="BO379" i="24"/>
  <c r="BQ374" i="24"/>
  <c r="BJ369" i="24"/>
  <c r="BM364" i="24"/>
  <c r="BM359" i="24"/>
  <c r="BR353" i="24"/>
  <c r="BO348" i="24"/>
  <c r="AZ380" i="24"/>
  <c r="BC376" i="24"/>
  <c r="BB372" i="24"/>
  <c r="BE368" i="24"/>
  <c r="BE364" i="24"/>
  <c r="AT361" i="24"/>
  <c r="AT357" i="24"/>
  <c r="AW353" i="24"/>
  <c r="BA349" i="24"/>
  <c r="AF383" i="24"/>
  <c r="AP379" i="24"/>
  <c r="AN376" i="24"/>
  <c r="AJ373" i="24"/>
  <c r="AQ369" i="24"/>
  <c r="AO366" i="24"/>
  <c r="AM363" i="24"/>
  <c r="AJ360" i="24"/>
  <c r="AF357" i="24"/>
  <c r="AP353" i="24"/>
  <c r="AM350" i="24"/>
  <c r="CO381" i="24"/>
  <c r="CJ355" i="24"/>
  <c r="CC376" i="24"/>
  <c r="CE365" i="24"/>
  <c r="BY354" i="24"/>
  <c r="BH382" i="24"/>
  <c r="BM375" i="24"/>
  <c r="BR369" i="24"/>
  <c r="BI364" i="24"/>
  <c r="BH358" i="24"/>
  <c r="BK352" i="24"/>
  <c r="AT383" i="24"/>
  <c r="BD378" i="24"/>
  <c r="AW374" i="24"/>
  <c r="BC369" i="24"/>
  <c r="BA365" i="24"/>
  <c r="AY361" i="24"/>
  <c r="BC356" i="24"/>
  <c r="BC352" i="24"/>
  <c r="BA348" i="24"/>
  <c r="AN382" i="24"/>
  <c r="AH379" i="24"/>
  <c r="AK375" i="24"/>
  <c r="AQ371" i="24"/>
  <c r="AL368" i="24"/>
  <c r="AP364" i="24"/>
  <c r="AH361" i="24"/>
  <c r="AM357" i="24"/>
  <c r="AF354" i="24"/>
  <c r="AK350" i="24"/>
  <c r="W383" i="24"/>
  <c r="AA380" i="24"/>
  <c r="S378" i="24"/>
  <c r="W375" i="24"/>
  <c r="AA372" i="24"/>
  <c r="S370" i="24"/>
  <c r="W367" i="24"/>
  <c r="AA364" i="24"/>
  <c r="S362" i="24"/>
  <c r="W359" i="24"/>
  <c r="AA356" i="24"/>
  <c r="S354" i="24"/>
  <c r="W351" i="24"/>
  <c r="AA348" i="24"/>
  <c r="CU380" i="24"/>
  <c r="CS354" i="24"/>
  <c r="CB376" i="24"/>
  <c r="CD365" i="24"/>
  <c r="BX354" i="24"/>
  <c r="BQ381" i="24"/>
  <c r="BJ375" i="24"/>
  <c r="BM369" i="24"/>
  <c r="BR363" i="24"/>
  <c r="BQ357" i="24"/>
  <c r="BJ352" i="24"/>
  <c r="BE382" i="24"/>
  <c r="AZ378" i="24"/>
  <c r="AV374" i="24"/>
  <c r="BA369" i="24"/>
  <c r="AX365" i="24"/>
  <c r="AX361" i="24"/>
  <c r="BA356" i="24"/>
  <c r="BB352" i="24"/>
  <c r="AZ348" i="24"/>
  <c r="AM382" i="24"/>
  <c r="AG379" i="24"/>
  <c r="AJ375" i="24"/>
  <c r="AP371" i="24"/>
  <c r="AI368" i="24"/>
  <c r="AN364" i="24"/>
  <c r="AF361" i="24"/>
  <c r="AK357" i="24"/>
  <c r="AQ353" i="24"/>
  <c r="AJ350" i="24"/>
  <c r="V383" i="24"/>
  <c r="Z380" i="24"/>
  <c r="R378" i="24"/>
  <c r="V375" i="24"/>
  <c r="Z372" i="24"/>
  <c r="R370" i="24"/>
  <c r="V367" i="24"/>
  <c r="Z364" i="24"/>
  <c r="R362" i="24"/>
  <c r="V359" i="24"/>
  <c r="Z356" i="24"/>
  <c r="R354" i="24"/>
  <c r="V351" i="24"/>
  <c r="Z348" i="24"/>
  <c r="CN380" i="24"/>
  <c r="CQ354" i="24"/>
  <c r="BY376" i="24"/>
  <c r="BX365" i="24"/>
  <c r="BZ353" i="24"/>
  <c r="BO381" i="24"/>
  <c r="BI375" i="24"/>
  <c r="BI369" i="24"/>
  <c r="BO363" i="24"/>
  <c r="BM357" i="24"/>
  <c r="BR351" i="24"/>
  <c r="BD382" i="24"/>
  <c r="AY378" i="24"/>
  <c r="BE373" i="24"/>
  <c r="AY369" i="24"/>
  <c r="AV365" i="24"/>
  <c r="BE360" i="24"/>
  <c r="AZ356" i="24"/>
  <c r="BA352" i="24"/>
  <c r="AY348" i="24"/>
  <c r="AL382" i="24"/>
  <c r="AO378" i="24"/>
  <c r="AI375" i="24"/>
  <c r="AO371" i="24"/>
  <c r="AG368" i="24"/>
  <c r="AM364" i="24"/>
  <c r="AQ360" i="24"/>
  <c r="AJ357" i="24"/>
  <c r="AN353" i="24"/>
  <c r="AI350" i="24"/>
  <c r="U383" i="24"/>
  <c r="Y380" i="24"/>
  <c r="AC377" i="24"/>
  <c r="U375" i="24"/>
  <c r="Y372" i="24"/>
  <c r="AC369" i="24"/>
  <c r="U367" i="24"/>
  <c r="Y364" i="24"/>
  <c r="AC361" i="24"/>
  <c r="U359" i="24"/>
  <c r="Y356" i="24"/>
  <c r="AC353" i="24"/>
  <c r="U351" i="24"/>
  <c r="Y348" i="24"/>
  <c r="CK380" i="24"/>
  <c r="CU352" i="24"/>
  <c r="BW376" i="24"/>
  <c r="BY364" i="24"/>
  <c r="BY353" i="24"/>
  <c r="BR380" i="24"/>
  <c r="BH375" i="24"/>
  <c r="BS368" i="24"/>
  <c r="BM363" i="24"/>
  <c r="BH357" i="24"/>
  <c r="BO351" i="24"/>
  <c r="BC382" i="24"/>
  <c r="AU378" i="24"/>
  <c r="BD373" i="24"/>
  <c r="AX369" i="24"/>
  <c r="AU365" i="24"/>
  <c r="BD360" i="24"/>
  <c r="AY356" i="24"/>
  <c r="AZ352" i="24"/>
  <c r="AX348" i="24"/>
  <c r="AK382" i="24"/>
  <c r="AN378" i="24"/>
  <c r="AG375" i="24"/>
  <c r="AN371" i="24"/>
  <c r="AF368" i="24"/>
  <c r="AL364" i="24"/>
  <c r="AP360" i="24"/>
  <c r="AH357" i="24"/>
  <c r="AM353" i="24"/>
  <c r="AH350" i="24"/>
  <c r="T383" i="24"/>
  <c r="X380" i="24"/>
  <c r="AB377" i="24"/>
  <c r="T375" i="24"/>
  <c r="X372" i="24"/>
  <c r="AB369" i="24"/>
  <c r="T367" i="24"/>
  <c r="X364" i="24"/>
  <c r="AB361" i="24"/>
  <c r="T359" i="24"/>
  <c r="X356" i="24"/>
  <c r="AB353" i="24"/>
  <c r="T351" i="24"/>
  <c r="X348" i="24"/>
  <c r="CQ379" i="24"/>
  <c r="CP352" i="24"/>
  <c r="CD375" i="24"/>
  <c r="BV364" i="24"/>
  <c r="CB352" i="24"/>
  <c r="BP380" i="24"/>
  <c r="BS374" i="24"/>
  <c r="BR368" i="24"/>
  <c r="BL363" i="24"/>
  <c r="BS356" i="24"/>
  <c r="BN351" i="24"/>
  <c r="BA382" i="24"/>
  <c r="AT378" i="24"/>
  <c r="AY373" i="24"/>
  <c r="AW369" i="24"/>
  <c r="AT365" i="24"/>
  <c r="BA360" i="24"/>
  <c r="AX356" i="24"/>
  <c r="AY352" i="24"/>
  <c r="AW348" i="24"/>
  <c r="AJ382" i="24"/>
  <c r="AM378" i="24"/>
  <c r="AF375" i="24"/>
  <c r="AL371" i="24"/>
  <c r="AQ367" i="24"/>
  <c r="AJ364" i="24"/>
  <c r="AO360" i="24"/>
  <c r="AG357" i="24"/>
  <c r="AL353" i="24"/>
  <c r="AG350" i="24"/>
  <c r="S383" i="24"/>
  <c r="W380" i="24"/>
  <c r="AA377" i="24"/>
  <c r="S375" i="24"/>
  <c r="W372" i="24"/>
  <c r="AA369" i="24"/>
  <c r="S367" i="24"/>
  <c r="W364" i="24"/>
  <c r="AA361" i="24"/>
  <c r="S359" i="24"/>
  <c r="W356" i="24"/>
  <c r="AA353" i="24"/>
  <c r="S351" i="24"/>
  <c r="W348" i="24"/>
  <c r="CT375" i="24"/>
  <c r="CR349" i="24"/>
  <c r="CD373" i="24"/>
  <c r="BV362" i="24"/>
  <c r="BX350" i="24"/>
  <c r="BQ379" i="24"/>
  <c r="BS373" i="24"/>
  <c r="BL368" i="24"/>
  <c r="BK362" i="24"/>
  <c r="BN356" i="24"/>
  <c r="BM350" i="24"/>
  <c r="AU382" i="24"/>
  <c r="AV377" i="24"/>
  <c r="BE372" i="24"/>
  <c r="BC368" i="24"/>
  <c r="AW364" i="24"/>
  <c r="AU360" i="24"/>
  <c r="BD355" i="24"/>
  <c r="BD351" i="24"/>
  <c r="AN381" i="24"/>
  <c r="AF378" i="24"/>
  <c r="AL374" i="24"/>
  <c r="AF371" i="24"/>
  <c r="AJ367" i="24"/>
  <c r="AO363" i="24"/>
  <c r="AG360" i="24"/>
  <c r="AM356" i="24"/>
  <c r="AG353" i="24"/>
  <c r="AK349" i="24"/>
  <c r="Z382" i="24"/>
  <c r="R380" i="24"/>
  <c r="V377" i="24"/>
  <c r="Z374" i="24"/>
  <c r="R372" i="24"/>
  <c r="V369" i="24"/>
  <c r="Z366" i="24"/>
  <c r="R364" i="24"/>
  <c r="V361" i="24"/>
  <c r="Z358" i="24"/>
  <c r="R356" i="24"/>
  <c r="V353" i="24"/>
  <c r="Z350" i="24"/>
  <c r="R348" i="24"/>
  <c r="CS375" i="24"/>
  <c r="BV373" i="24"/>
  <c r="CG361" i="24"/>
  <c r="CE349" i="24"/>
  <c r="BM379" i="24"/>
  <c r="BQ373" i="24"/>
  <c r="BK368" i="24"/>
  <c r="BJ362" i="24"/>
  <c r="BL356" i="24"/>
  <c r="BL350" i="24"/>
  <c r="AZ381" i="24"/>
  <c r="AU377" i="24"/>
  <c r="BD372" i="24"/>
  <c r="BB368" i="24"/>
  <c r="AV364" i="24"/>
  <c r="BC359" i="24"/>
  <c r="BC355" i="24"/>
  <c r="BC351" i="24"/>
  <c r="AM381" i="24"/>
  <c r="AP377" i="24"/>
  <c r="AK374" i="24"/>
  <c r="AO370" i="24"/>
  <c r="AI367" i="24"/>
  <c r="AN363" i="24"/>
  <c r="AQ359" i="24"/>
  <c r="AK356" i="24"/>
  <c r="AF353" i="24"/>
  <c r="AJ349" i="24"/>
  <c r="Y382" i="24"/>
  <c r="AC379" i="24"/>
  <c r="U377" i="24"/>
  <c r="Y374" i="24"/>
  <c r="AC371" i="24"/>
  <c r="U369" i="24"/>
  <c r="Y366" i="24"/>
  <c r="AC363" i="24"/>
  <c r="U361" i="24"/>
  <c r="Y358" i="24"/>
  <c r="AC355" i="24"/>
  <c r="U353" i="24"/>
  <c r="Y350" i="24"/>
  <c r="CO367" i="24"/>
  <c r="CB382" i="24"/>
  <c r="BW371" i="24"/>
  <c r="CC358" i="24"/>
  <c r="BP378" i="24"/>
  <c r="BR372" i="24"/>
  <c r="BH367" i="24"/>
  <c r="BM360" i="24"/>
  <c r="BJ355" i="24"/>
  <c r="BP348" i="24"/>
  <c r="AY380" i="24"/>
  <c r="AV376" i="24"/>
  <c r="AT372" i="24"/>
  <c r="AZ367" i="24"/>
  <c r="AW363" i="24"/>
  <c r="AU359" i="24"/>
  <c r="AT355" i="24"/>
  <c r="AZ350" i="24"/>
  <c r="AN380" i="24"/>
  <c r="AH377" i="24"/>
  <c r="AN373" i="24"/>
  <c r="AP369" i="24"/>
  <c r="AJ366" i="24"/>
  <c r="AQ362" i="24"/>
  <c r="AJ359" i="24"/>
  <c r="AP355" i="24"/>
  <c r="AI352" i="24"/>
  <c r="AL348" i="24"/>
  <c r="R382" i="24"/>
  <c r="V379" i="24"/>
  <c r="Z376" i="24"/>
  <c r="R374" i="24"/>
  <c r="V371" i="24"/>
  <c r="Z368" i="24"/>
  <c r="R366" i="24"/>
  <c r="V363" i="24"/>
  <c r="Z360" i="24"/>
  <c r="R358" i="24"/>
  <c r="V355" i="24"/>
  <c r="Z352" i="24"/>
  <c r="R350" i="24"/>
  <c r="CO364" i="24"/>
  <c r="BZ381" i="24"/>
  <c r="BY369" i="24"/>
  <c r="CA357" i="24"/>
  <c r="BN383" i="24"/>
  <c r="BH378" i="24"/>
  <c r="BI372" i="24"/>
  <c r="BP365" i="24"/>
  <c r="BH360" i="24"/>
  <c r="BJ354" i="24"/>
  <c r="BI348" i="24"/>
  <c r="AT380" i="24"/>
  <c r="BC375" i="24"/>
  <c r="BB371" i="24"/>
  <c r="BD366" i="24"/>
  <c r="BD362" i="24"/>
  <c r="BA358" i="24"/>
  <c r="AU354" i="24"/>
  <c r="BE349" i="24"/>
  <c r="AO383" i="24"/>
  <c r="AI380" i="24"/>
  <c r="AP376" i="24"/>
  <c r="AH373" i="24"/>
  <c r="AL369" i="24"/>
  <c r="AF366" i="24"/>
  <c r="AK362" i="24"/>
  <c r="AQ358" i="24"/>
  <c r="AI355" i="24"/>
  <c r="AM351" i="24"/>
  <c r="AF348" i="24"/>
  <c r="Z381" i="24"/>
  <c r="R379" i="24"/>
  <c r="V376" i="24"/>
  <c r="Z373" i="24"/>
  <c r="R371" i="24"/>
  <c r="V368" i="24"/>
  <c r="Z365" i="24"/>
  <c r="R363" i="24"/>
  <c r="V360" i="24"/>
  <c r="Z357" i="24"/>
  <c r="R355" i="24"/>
  <c r="V352" i="24"/>
  <c r="Z349" i="24"/>
  <c r="CP351" i="24"/>
  <c r="CC372" i="24"/>
  <c r="BW357" i="24"/>
  <c r="BS382" i="24"/>
  <c r="BJ374" i="24"/>
  <c r="BS365" i="24"/>
  <c r="BK358" i="24"/>
  <c r="BM349" i="24"/>
  <c r="CL379" i="24"/>
  <c r="CF383" i="24"/>
  <c r="BY368" i="24"/>
  <c r="CB351" i="24"/>
  <c r="BI380" i="24"/>
  <c r="BL372" i="24"/>
  <c r="BL364" i="24"/>
  <c r="BO355" i="24"/>
  <c r="AW382" i="24"/>
  <c r="AT376" i="24"/>
  <c r="AU370" i="24"/>
  <c r="BB363" i="24"/>
  <c r="AW358" i="24"/>
  <c r="AV352" i="24"/>
  <c r="CO374" i="24"/>
  <c r="CG382" i="24"/>
  <c r="BW367" i="24"/>
  <c r="BZ350" i="24"/>
  <c r="BZ368" i="24"/>
  <c r="BY349" i="24"/>
  <c r="BK383" i="24"/>
  <c r="BO373" i="24"/>
  <c r="BI365" i="24"/>
  <c r="BO356" i="24"/>
  <c r="BC379" i="24"/>
  <c r="AU373" i="24"/>
  <c r="AU367" i="24"/>
  <c r="AZ361" i="24"/>
  <c r="AU355" i="24"/>
  <c r="AU349" i="24"/>
  <c r="AM383" i="24"/>
  <c r="AI379" i="24"/>
  <c r="AQ373" i="24"/>
  <c r="AF369" i="24"/>
  <c r="AP363" i="24"/>
  <c r="AF359" i="24"/>
  <c r="AH354" i="24"/>
  <c r="AQ348" i="24"/>
  <c r="U380" i="24"/>
  <c r="Y376" i="24"/>
  <c r="S373" i="24"/>
  <c r="S369" i="24"/>
  <c r="X365" i="24"/>
  <c r="Z361" i="24"/>
  <c r="S358" i="24"/>
  <c r="X354" i="24"/>
  <c r="X350" i="24"/>
  <c r="CS382" i="24"/>
  <c r="CF367" i="24"/>
  <c r="BX349" i="24"/>
  <c r="BJ383" i="24"/>
  <c r="BN373" i="24"/>
  <c r="BH365" i="24"/>
  <c r="BJ356" i="24"/>
  <c r="BB379" i="24"/>
  <c r="AT373" i="24"/>
  <c r="BC366" i="24"/>
  <c r="AZ360" i="24"/>
  <c r="BE354" i="24"/>
  <c r="AT349" i="24"/>
  <c r="CO379" i="24"/>
  <c r="CB367" i="24"/>
  <c r="BW349" i="24"/>
  <c r="CS378" i="24"/>
  <c r="BV367" i="24"/>
  <c r="BV349" i="24"/>
  <c r="CM373" i="24"/>
  <c r="CA383" i="24"/>
  <c r="BY366" i="24"/>
  <c r="BK382" i="24"/>
  <c r="BS372" i="24"/>
  <c r="BO364" i="24"/>
  <c r="BL355" i="24"/>
  <c r="AU379" i="24"/>
  <c r="AW372" i="24"/>
  <c r="AW366" i="24"/>
  <c r="BB359" i="24"/>
  <c r="BD353" i="24"/>
  <c r="AU348" i="24"/>
  <c r="AH383" i="24"/>
  <c r="AO377" i="24"/>
  <c r="AP372" i="24"/>
  <c r="AM368" i="24"/>
  <c r="AG363" i="24"/>
  <c r="AI358" i="24"/>
  <c r="AH353" i="24"/>
  <c r="AH348" i="24"/>
  <c r="Z383" i="24"/>
  <c r="Z379" i="24"/>
  <c r="S376" i="24"/>
  <c r="U372" i="24"/>
  <c r="Y368" i="24"/>
  <c r="S365" i="24"/>
  <c r="S361" i="24"/>
  <c r="X357" i="24"/>
  <c r="Z353" i="24"/>
  <c r="S350" i="24"/>
  <c r="CQ372" i="24"/>
  <c r="CD382" i="24"/>
  <c r="BW366" i="24"/>
  <c r="BJ382" i="24"/>
  <c r="BQ372" i="24"/>
  <c r="BK364" i="24"/>
  <c r="BI355" i="24"/>
  <c r="AT379" i="24"/>
  <c r="AV372" i="24"/>
  <c r="AV366" i="24"/>
  <c r="AZ359" i="24"/>
  <c r="BB353" i="24"/>
  <c r="AT348" i="24"/>
  <c r="AG383" i="24"/>
  <c r="AN377" i="24"/>
  <c r="AO372" i="24"/>
  <c r="AP367" i="24"/>
  <c r="AF363" i="24"/>
  <c r="AH358" i="24"/>
  <c r="AQ352" i="24"/>
  <c r="CQ367" i="24"/>
  <c r="CA381" i="24"/>
  <c r="CA363" i="24"/>
  <c r="BK380" i="24"/>
  <c r="BN371" i="24"/>
  <c r="BQ362" i="24"/>
  <c r="BP353" i="24"/>
  <c r="BD383" i="24"/>
  <c r="BC377" i="24"/>
  <c r="BD371" i="24"/>
  <c r="BD365" i="24"/>
  <c r="AW359" i="24"/>
  <c r="AX353" i="24"/>
  <c r="AO382" i="24"/>
  <c r="AK377" i="24"/>
  <c r="AL372" i="24"/>
  <c r="AK367" i="24"/>
  <c r="AL362" i="24"/>
  <c r="AP357" i="24"/>
  <c r="AN352" i="24"/>
  <c r="AC382" i="24"/>
  <c r="U379" i="24"/>
  <c r="AA375" i="24"/>
  <c r="AA371" i="24"/>
  <c r="T368" i="24"/>
  <c r="V364" i="24"/>
  <c r="AA360" i="24"/>
  <c r="T357" i="24"/>
  <c r="T353" i="24"/>
  <c r="Y349" i="24"/>
  <c r="CS357" i="24"/>
  <c r="BW375" i="24"/>
  <c r="BY357" i="24"/>
  <c r="BM377" i="24"/>
  <c r="BM368" i="24"/>
  <c r="BQ359" i="24"/>
  <c r="BJ351" i="24"/>
  <c r="AY381" i="24"/>
  <c r="AZ375" i="24"/>
  <c r="AU369" i="24"/>
  <c r="AU363" i="24"/>
  <c r="AX357" i="24"/>
  <c r="BC350" i="24"/>
  <c r="AK380" i="24"/>
  <c r="AN375" i="24"/>
  <c r="AL370" i="24"/>
  <c r="AO365" i="24"/>
  <c r="AL360" i="24"/>
  <c r="AO355" i="24"/>
  <c r="AP350" i="24"/>
  <c r="Y381" i="24"/>
  <c r="T378" i="24"/>
  <c r="T374" i="24"/>
  <c r="Y370" i="24"/>
  <c r="AA366" i="24"/>
  <c r="S363" i="24"/>
  <c r="Y359" i="24"/>
  <c r="Y355" i="24"/>
  <c r="R352" i="24"/>
  <c r="T348" i="24"/>
  <c r="CE361" i="24"/>
  <c r="BK376" i="24"/>
  <c r="BS364" i="24"/>
  <c r="BM353" i="24"/>
  <c r="AY379" i="24"/>
  <c r="AW371" i="24"/>
  <c r="AY363" i="24"/>
  <c r="AU356" i="24"/>
  <c r="AV349" i="24"/>
  <c r="AN379" i="24"/>
  <c r="AM373" i="24"/>
  <c r="AF367" i="24"/>
  <c r="AO361" i="24"/>
  <c r="AQ355" i="24"/>
  <c r="AQ349" i="24"/>
  <c r="AB381" i="24"/>
  <c r="X377" i="24"/>
  <c r="W373" i="24"/>
  <c r="R369" i="24"/>
  <c r="R365" i="24"/>
  <c r="X360" i="24"/>
  <c r="U356" i="24"/>
  <c r="T352" i="24"/>
  <c r="BZ361" i="24"/>
  <c r="BI376" i="24"/>
  <c r="BQ364" i="24"/>
  <c r="BI353" i="24"/>
  <c r="AX379" i="24"/>
  <c r="AV371" i="24"/>
  <c r="AX363" i="24"/>
  <c r="AT356" i="24"/>
  <c r="BC348" i="24"/>
  <c r="AM379" i="24"/>
  <c r="AK373" i="24"/>
  <c r="AQ366" i="24"/>
  <c r="AN361" i="24"/>
  <c r="AN355" i="24"/>
  <c r="AP349" i="24"/>
  <c r="AA381" i="24"/>
  <c r="W377" i="24"/>
  <c r="V373" i="24"/>
  <c r="AC368" i="24"/>
  <c r="AC364" i="24"/>
  <c r="W360" i="24"/>
  <c r="T356" i="24"/>
  <c r="S352" i="24"/>
  <c r="BY380" i="24"/>
  <c r="BP361" i="24"/>
  <c r="BE376" i="24"/>
  <c r="BE369" i="24"/>
  <c r="AV362" i="24"/>
  <c r="AH372" i="24"/>
  <c r="AH366" i="24"/>
  <c r="AI360" i="24"/>
  <c r="AO354" i="24"/>
  <c r="AM348" i="24"/>
  <c r="S381" i="24"/>
  <c r="AA376" i="24"/>
  <c r="V372" i="24"/>
  <c r="AA363" i="24"/>
  <c r="AB359" i="24"/>
  <c r="W355" i="24"/>
  <c r="CB360" i="24"/>
  <c r="BR375" i="24"/>
  <c r="BP364" i="24"/>
  <c r="BS352" i="24"/>
  <c r="BE378" i="24"/>
  <c r="BD370" i="24"/>
  <c r="AV363" i="24"/>
  <c r="BB355" i="24"/>
  <c r="BB348" i="24"/>
  <c r="AL379" i="24"/>
  <c r="AI373" i="24"/>
  <c r="AP366" i="24"/>
  <c r="AM361" i="24"/>
  <c r="AM355" i="24"/>
  <c r="AO349" i="24"/>
  <c r="X381" i="24"/>
  <c r="T377" i="24"/>
  <c r="U373" i="24"/>
  <c r="AB368" i="24"/>
  <c r="AB364" i="24"/>
  <c r="U360" i="24"/>
  <c r="S356" i="24"/>
  <c r="AC351" i="24"/>
  <c r="CC383" i="24"/>
  <c r="BW360" i="24"/>
  <c r="BR374" i="24"/>
  <c r="BI363" i="24"/>
  <c r="BP352" i="24"/>
  <c r="BE377" i="24"/>
  <c r="BC370" i="24"/>
  <c r="AT363" i="24"/>
  <c r="BA355" i="24"/>
  <c r="AV348" i="24"/>
  <c r="AK379" i="24"/>
  <c r="AN372" i="24"/>
  <c r="AN366" i="24"/>
  <c r="AL361" i="24"/>
  <c r="AH355" i="24"/>
  <c r="AI349" i="24"/>
  <c r="W381" i="24"/>
  <c r="S377" i="24"/>
  <c r="T373" i="24"/>
  <c r="AA368" i="24"/>
  <c r="U364" i="24"/>
  <c r="T360" i="24"/>
  <c r="AB355" i="24"/>
  <c r="AB351" i="24"/>
  <c r="AH378" i="24"/>
  <c r="X351" i="24"/>
  <c r="CG381" i="24"/>
  <c r="CG359" i="24"/>
  <c r="BL374" i="24"/>
  <c r="BS362" i="24"/>
  <c r="BO352" i="24"/>
  <c r="BA377" i="24"/>
  <c r="AW370" i="24"/>
  <c r="AY362" i="24"/>
  <c r="AZ355" i="24"/>
  <c r="AK378" i="24"/>
  <c r="AM372" i="24"/>
  <c r="AM366" i="24"/>
  <c r="AK361" i="24"/>
  <c r="AG355" i="24"/>
  <c r="AH349" i="24"/>
  <c r="V381" i="24"/>
  <c r="R377" i="24"/>
  <c r="R373" i="24"/>
  <c r="X368" i="24"/>
  <c r="T364" i="24"/>
  <c r="S360" i="24"/>
  <c r="AA355" i="24"/>
  <c r="AA351" i="24"/>
  <c r="CD381" i="24"/>
  <c r="CB359" i="24"/>
  <c r="BK374" i="24"/>
  <c r="BM362" i="24"/>
  <c r="BN352" i="24"/>
  <c r="AW377" i="24"/>
  <c r="AV370" i="24"/>
  <c r="AX362" i="24"/>
  <c r="AY355" i="24"/>
  <c r="AJ378" i="24"/>
  <c r="AK372" i="24"/>
  <c r="AL366" i="24"/>
  <c r="AN360" i="24"/>
  <c r="AF355" i="24"/>
  <c r="AG349" i="24"/>
  <c r="U381" i="24"/>
  <c r="AC376" i="24"/>
  <c r="AC372" i="24"/>
  <c r="W368" i="24"/>
  <c r="S364" i="24"/>
  <c r="R360" i="24"/>
  <c r="Z355" i="24"/>
  <c r="Z351" i="24"/>
  <c r="T381" i="24"/>
  <c r="BX381" i="24"/>
  <c r="CF357" i="24"/>
  <c r="BM373" i="24"/>
  <c r="BR361" i="24"/>
  <c r="BM352" i="24"/>
  <c r="AT377" i="24"/>
  <c r="AT370" i="24"/>
  <c r="AW362" i="24"/>
  <c r="AV355" i="24"/>
  <c r="AI378" i="24"/>
  <c r="AJ372" i="24"/>
  <c r="AI366" i="24"/>
  <c r="AK360" i="24"/>
  <c r="AQ354" i="24"/>
  <c r="AN348" i="24"/>
  <c r="AB376" i="24"/>
  <c r="AB372" i="24"/>
  <c r="U368" i="24"/>
  <c r="AB363" i="24"/>
  <c r="AC359" i="24"/>
  <c r="X355" i="24"/>
  <c r="Y351" i="24"/>
  <c r="CE357" i="24"/>
  <c r="BQ383" i="24"/>
  <c r="BL373" i="24"/>
  <c r="BL352" i="24"/>
  <c r="BD354" i="24"/>
  <c r="S368" i="24"/>
  <c r="CD379" i="24"/>
  <c r="BV357" i="24"/>
  <c r="BO383" i="24"/>
  <c r="BN372" i="24"/>
  <c r="BJ361" i="24"/>
  <c r="BK351" i="24"/>
  <c r="BB376" i="24"/>
  <c r="AT369" i="24"/>
  <c r="BE361" i="24"/>
  <c r="AT354" i="24"/>
  <c r="AL383" i="24"/>
  <c r="AL377" i="24"/>
  <c r="AF372" i="24"/>
  <c r="AQ365" i="24"/>
  <c r="AO359" i="24"/>
  <c r="AJ354" i="24"/>
  <c r="AJ348" i="24"/>
  <c r="AC380" i="24"/>
  <c r="W376" i="24"/>
  <c r="S372" i="24"/>
  <c r="AC367" i="24"/>
  <c r="Y363" i="24"/>
  <c r="Z359" i="24"/>
  <c r="T355" i="24"/>
  <c r="AC350" i="24"/>
  <c r="BW379" i="24"/>
  <c r="CB356" i="24"/>
  <c r="BM383" i="24"/>
  <c r="BP371" i="24"/>
  <c r="BH361" i="24"/>
  <c r="BS350" i="24"/>
  <c r="BC383" i="24"/>
  <c r="AX376" i="24"/>
  <c r="BD368" i="24"/>
  <c r="BD361" i="24"/>
  <c r="BA353" i="24"/>
  <c r="AK383" i="24"/>
  <c r="AI377" i="24"/>
  <c r="AK371" i="24"/>
  <c r="AP365" i="24"/>
  <c r="AN359" i="24"/>
  <c r="AI354" i="24"/>
  <c r="AB380" i="24"/>
  <c r="U376" i="24"/>
  <c r="AB371" i="24"/>
  <c r="AB367" i="24"/>
  <c r="X363" i="24"/>
  <c r="X359" i="24"/>
  <c r="S355" i="24"/>
  <c r="AB350" i="24"/>
  <c r="BV379" i="24"/>
  <c r="BX356" i="24"/>
  <c r="BL383" i="24"/>
  <c r="BL371" i="24"/>
  <c r="BS360" i="24"/>
  <c r="BH350" i="24"/>
  <c r="CN366" i="24"/>
  <c r="CC374" i="24"/>
  <c r="CA351" i="24"/>
  <c r="BL379" i="24"/>
  <c r="BH370" i="24"/>
  <c r="BO359" i="24"/>
  <c r="BK348" i="24"/>
  <c r="AU383" i="24"/>
  <c r="AV375" i="24"/>
  <c r="AX367" i="24"/>
  <c r="AX359" i="24"/>
  <c r="AU352" i="24"/>
  <c r="AF382" i="24"/>
  <c r="AJ376" i="24"/>
  <c r="AJ370" i="24"/>
  <c r="AQ364" i="24"/>
  <c r="AO358" i="24"/>
  <c r="AK352" i="24"/>
  <c r="AC383" i="24"/>
  <c r="X379" i="24"/>
  <c r="X375" i="24"/>
  <c r="S371" i="24"/>
  <c r="AB366" i="24"/>
  <c r="Z362" i="24"/>
  <c r="V358" i="24"/>
  <c r="V354" i="24"/>
  <c r="AB349" i="24"/>
  <c r="CN363" i="24"/>
  <c r="BV374" i="24"/>
  <c r="BV351" i="24"/>
  <c r="BK379" i="24"/>
  <c r="BS369" i="24"/>
  <c r="BL359" i="24"/>
  <c r="BJ348" i="24"/>
  <c r="AZ382" i="24"/>
  <c r="AU375" i="24"/>
  <c r="AV367" i="24"/>
  <c r="AV359" i="24"/>
  <c r="AT352" i="24"/>
  <c r="AO381" i="24"/>
  <c r="AI376" i="24"/>
  <c r="AH370" i="24"/>
  <c r="AG364" i="24"/>
  <c r="AM358" i="24"/>
  <c r="AJ352" i="24"/>
  <c r="BI378" i="24"/>
  <c r="BK359" i="24"/>
  <c r="BA379" i="24"/>
  <c r="AT366" i="24"/>
  <c r="AU353" i="24"/>
  <c r="AQ374" i="24"/>
  <c r="AJ365" i="24"/>
  <c r="AJ356" i="24"/>
  <c r="U382" i="24"/>
  <c r="R375" i="24"/>
  <c r="X369" i="24"/>
  <c r="X362" i="24"/>
  <c r="AB356" i="24"/>
  <c r="W349" i="24"/>
  <c r="CF379" i="24"/>
  <c r="BQ377" i="24"/>
  <c r="BJ359" i="24"/>
  <c r="BD376" i="24"/>
  <c r="BC365" i="24"/>
  <c r="BE352" i="24"/>
  <c r="CF378" i="24"/>
  <c r="BO377" i="24"/>
  <c r="BL358" i="24"/>
  <c r="AW376" i="24"/>
  <c r="BD364" i="24"/>
  <c r="BD352" i="24"/>
  <c r="AJ383" i="24"/>
  <c r="AN374" i="24"/>
  <c r="AH365" i="24"/>
  <c r="AH356" i="24"/>
  <c r="BZ378" i="24"/>
  <c r="BH377" i="24"/>
  <c r="BR356" i="24"/>
  <c r="BD375" i="24"/>
  <c r="BA364" i="24"/>
  <c r="AZ351" i="24"/>
  <c r="AQ382" i="24"/>
  <c r="AJ374" i="24"/>
  <c r="AF364" i="24"/>
  <c r="AF356" i="24"/>
  <c r="R381" i="24"/>
  <c r="X374" i="24"/>
  <c r="AA367" i="24"/>
  <c r="T362" i="24"/>
  <c r="AB354" i="24"/>
  <c r="S349" i="24"/>
  <c r="CR376" i="24"/>
  <c r="CR369" i="24"/>
  <c r="BY375" i="24"/>
  <c r="BN376" i="24"/>
  <c r="BP356" i="24"/>
  <c r="AY375" i="24"/>
  <c r="BD363" i="24"/>
  <c r="AW351" i="24"/>
  <c r="AI382" i="24"/>
  <c r="AG374" i="24"/>
  <c r="AK363" i="24"/>
  <c r="AG354" i="24"/>
  <c r="CN368" i="24"/>
  <c r="CG372" i="24"/>
  <c r="BJ373" i="24"/>
  <c r="BR355" i="24"/>
  <c r="AW375" i="24"/>
  <c r="BC363" i="24"/>
  <c r="BE350" i="24"/>
  <c r="AH382" i="24"/>
  <c r="AF374" i="24"/>
  <c r="AJ363" i="24"/>
  <c r="AK353" i="24"/>
  <c r="CS366" i="24"/>
  <c r="BZ372" i="24"/>
  <c r="BS370" i="24"/>
  <c r="BM355" i="24"/>
  <c r="BC374" i="24"/>
  <c r="AU362" i="24"/>
  <c r="AX350" i="24"/>
  <c r="AJ381" i="24"/>
  <c r="AG372" i="24"/>
  <c r="AH363" i="24"/>
  <c r="AI353" i="24"/>
  <c r="AA379" i="24"/>
  <c r="AC373" i="24"/>
  <c r="AC366" i="24"/>
  <c r="R361" i="24"/>
  <c r="U354" i="24"/>
  <c r="U348" i="24"/>
  <c r="CS362" i="24"/>
  <c r="CF366" i="24"/>
  <c r="BO367" i="24"/>
  <c r="AW383" i="24"/>
  <c r="BC367" i="24"/>
  <c r="AX351" i="24"/>
  <c r="AK376" i="24"/>
  <c r="AF365" i="24"/>
  <c r="AQ351" i="24"/>
  <c r="W379" i="24"/>
  <c r="T372" i="24"/>
  <c r="AB365" i="24"/>
  <c r="U358" i="24"/>
  <c r="R351" i="24"/>
  <c r="AN362" i="24"/>
  <c r="CU361" i="24"/>
  <c r="CG365" i="24"/>
  <c r="BN367" i="24"/>
  <c r="AX382" i="24"/>
  <c r="BB367" i="24"/>
  <c r="BB350" i="24"/>
  <c r="AG376" i="24"/>
  <c r="AQ363" i="24"/>
  <c r="AP351" i="24"/>
  <c r="T379" i="24"/>
  <c r="Z371" i="24"/>
  <c r="AA365" i="24"/>
  <c r="T358" i="24"/>
  <c r="AA350" i="24"/>
  <c r="CP361" i="24"/>
  <c r="CF363" i="24"/>
  <c r="BL367" i="24"/>
  <c r="AV382" i="24"/>
  <c r="BB366" i="24"/>
  <c r="AV350" i="24"/>
  <c r="AP375" i="24"/>
  <c r="AI363" i="24"/>
  <c r="AL351" i="24"/>
  <c r="S379" i="24"/>
  <c r="Y371" i="24"/>
  <c r="Y365" i="24"/>
  <c r="AC357" i="24"/>
  <c r="W350" i="24"/>
  <c r="CO361" i="24"/>
  <c r="BY363" i="24"/>
  <c r="BI367" i="24"/>
  <c r="AU381" i="24"/>
  <c r="AY366" i="24"/>
  <c r="AT350" i="24"/>
  <c r="AM375" i="24"/>
  <c r="AK351" i="24"/>
  <c r="AC378" i="24"/>
  <c r="X371" i="24"/>
  <c r="W365" i="24"/>
  <c r="AB357" i="24"/>
  <c r="V350" i="24"/>
  <c r="CL359" i="24"/>
  <c r="BZ362" i="24"/>
  <c r="BL366" i="24"/>
  <c r="AT381" i="24"/>
  <c r="AX366" i="24"/>
  <c r="BD349" i="24"/>
  <c r="AL375" i="24"/>
  <c r="AM362" i="24"/>
  <c r="AI351" i="24"/>
  <c r="AB378" i="24"/>
  <c r="W371" i="24"/>
  <c r="V365" i="24"/>
  <c r="AA357" i="24"/>
  <c r="U350" i="24"/>
  <c r="CO358" i="24"/>
  <c r="CC357" i="24"/>
  <c r="BJ366" i="24"/>
  <c r="BE380" i="24"/>
  <c r="AU366" i="24"/>
  <c r="BC349" i="24"/>
  <c r="AP374" i="24"/>
  <c r="AJ362" i="24"/>
  <c r="AH351" i="24"/>
  <c r="AA378" i="24"/>
  <c r="U371" i="24"/>
  <c r="U365" i="24"/>
  <c r="Y357" i="24"/>
  <c r="T350" i="24"/>
  <c r="CP357" i="24"/>
  <c r="BW356" i="24"/>
  <c r="BO365" i="24"/>
  <c r="BC380" i="24"/>
  <c r="BC364" i="24"/>
  <c r="BB349" i="24"/>
  <c r="AM374" i="24"/>
  <c r="AI362" i="24"/>
  <c r="AG351" i="24"/>
  <c r="CR350" i="24"/>
  <c r="BZ355" i="24"/>
  <c r="BP383" i="24"/>
  <c r="BL360" i="24"/>
  <c r="AV380" i="24"/>
  <c r="BB361" i="24"/>
  <c r="AJ371" i="24"/>
  <c r="AQ361" i="24"/>
  <c r="AN350" i="24"/>
  <c r="W378" i="24"/>
  <c r="AA370" i="24"/>
  <c r="U363" i="24"/>
  <c r="S357" i="24"/>
  <c r="V349" i="24"/>
  <c r="BV355" i="24"/>
  <c r="BR382" i="24"/>
  <c r="BJ360" i="24"/>
  <c r="AU380" i="24"/>
  <c r="BA361" i="24"/>
  <c r="BJ377" i="24"/>
  <c r="BR349" i="24"/>
  <c r="AZ372" i="24"/>
  <c r="AT358" i="24"/>
  <c r="AH380" i="24"/>
  <c r="AG369" i="24"/>
  <c r="AQ356" i="24"/>
  <c r="X382" i="24"/>
  <c r="AC374" i="24"/>
  <c r="Z367" i="24"/>
  <c r="T361" i="24"/>
  <c r="X353" i="24"/>
  <c r="BS376" i="24"/>
  <c r="BQ349" i="24"/>
  <c r="AX372" i="24"/>
  <c r="BC357" i="24"/>
  <c r="AG380" i="24"/>
  <c r="AQ368" i="24"/>
  <c r="AP356" i="24"/>
  <c r="W382" i="24"/>
  <c r="AB374" i="24"/>
  <c r="Y367" i="24"/>
  <c r="AC360" i="24"/>
  <c r="W353" i="24"/>
  <c r="BH371" i="24"/>
  <c r="BL349" i="24"/>
  <c r="AU372" i="24"/>
  <c r="BB357" i="24"/>
  <c r="AF380" i="24"/>
  <c r="AP368" i="24"/>
  <c r="AO356" i="24"/>
  <c r="BI360" i="24"/>
  <c r="BC371" i="24"/>
  <c r="AM369" i="24"/>
  <c r="AF352" i="24"/>
  <c r="S380" i="24"/>
  <c r="V370" i="24"/>
  <c r="Y360" i="24"/>
  <c r="AA349" i="24"/>
  <c r="BR359" i="24"/>
  <c r="AX371" i="24"/>
  <c r="AK369" i="24"/>
  <c r="AQ350" i="24"/>
  <c r="AB379" i="24"/>
  <c r="U370" i="24"/>
  <c r="AA359" i="24"/>
  <c r="X349" i="24"/>
  <c r="BP359" i="24"/>
  <c r="AV369" i="24"/>
  <c r="AI369" i="24"/>
  <c r="AO350" i="24"/>
  <c r="Y379" i="24"/>
  <c r="T370" i="24"/>
  <c r="R359" i="24"/>
  <c r="U349" i="24"/>
  <c r="BJ358" i="24"/>
  <c r="AZ368" i="24"/>
  <c r="AH369" i="24"/>
  <c r="AL350" i="24"/>
  <c r="Z378" i="24"/>
  <c r="Z369" i="24"/>
  <c r="AC358" i="24"/>
  <c r="T349" i="24"/>
  <c r="AF350" i="24"/>
  <c r="BQ356" i="24"/>
  <c r="AY368" i="24"/>
  <c r="AO368" i="24"/>
  <c r="Y378" i="24"/>
  <c r="Y369" i="24"/>
  <c r="AB358" i="24"/>
  <c r="R349" i="24"/>
  <c r="BP355" i="24"/>
  <c r="AX368" i="24"/>
  <c r="AP383" i="24"/>
  <c r="AN368" i="24"/>
  <c r="AK348" i="24"/>
  <c r="X378" i="24"/>
  <c r="W369" i="24"/>
  <c r="AA358" i="24"/>
  <c r="AC348" i="24"/>
  <c r="BP354" i="24"/>
  <c r="AU368" i="24"/>
  <c r="AI383" i="24"/>
  <c r="AO367" i="24"/>
  <c r="V378" i="24"/>
  <c r="T369" i="24"/>
  <c r="X358" i="24"/>
  <c r="AB348" i="24"/>
  <c r="BM354" i="24"/>
  <c r="AX364" i="24"/>
  <c r="AP382" i="24"/>
  <c r="AM367" i="24"/>
  <c r="U378" i="24"/>
  <c r="R368" i="24"/>
  <c r="W358" i="24"/>
  <c r="V348" i="24"/>
  <c r="BO353" i="24"/>
  <c r="AZ363" i="24"/>
  <c r="AK381" i="24"/>
  <c r="AG366" i="24"/>
  <c r="Z377" i="24"/>
  <c r="X367" i="24"/>
  <c r="W357" i="24"/>
  <c r="S348" i="24"/>
  <c r="U357" i="24"/>
  <c r="BM351" i="24"/>
  <c r="AY360" i="24"/>
  <c r="AG381" i="24"/>
  <c r="AN365" i="24"/>
  <c r="Y377" i="24"/>
  <c r="R367" i="24"/>
  <c r="V357" i="24"/>
  <c r="BJ349" i="24"/>
  <c r="AW360" i="24"/>
  <c r="AQ380" i="24"/>
  <c r="AK365" i="24"/>
  <c r="X376" i="24"/>
  <c r="X366" i="24"/>
  <c r="BN348" i="24"/>
  <c r="AV360" i="24"/>
  <c r="AP380" i="24"/>
  <c r="AI365" i="24"/>
  <c r="BZ369" i="24"/>
  <c r="BJ378" i="24"/>
  <c r="BE379" i="24"/>
  <c r="AW356" i="24"/>
  <c r="AO376" i="24"/>
  <c r="AL358" i="24"/>
  <c r="Y383" i="24"/>
  <c r="S374" i="24"/>
  <c r="AC362" i="24"/>
  <c r="Y353" i="24"/>
  <c r="CF355" i="24"/>
  <c r="BN370" i="24"/>
  <c r="BD379" i="24"/>
  <c r="AV356" i="24"/>
  <c r="AL376" i="24"/>
  <c r="AG358" i="24"/>
  <c r="X383" i="24"/>
  <c r="AB373" i="24"/>
  <c r="AB362" i="24"/>
  <c r="S353" i="24"/>
  <c r="CA355" i="24"/>
  <c r="BM370" i="24"/>
  <c r="AU376" i="24"/>
  <c r="BC354" i="24"/>
  <c r="T319" i="24"/>
  <c r="W354" i="24"/>
  <c r="AL274" i="24"/>
  <c r="AJ339" i="24"/>
  <c r="BC310" i="24"/>
  <c r="BJ368" i="24"/>
  <c r="AA302" i="24"/>
  <c r="T335" i="24"/>
  <c r="T371" i="24"/>
  <c r="AJ280" i="24"/>
  <c r="AM339" i="24"/>
  <c r="AV408" i="24"/>
  <c r="BN368" i="24"/>
  <c r="CU457" i="24"/>
  <c r="CM455" i="24"/>
  <c r="CQ452" i="24"/>
  <c r="CU449" i="24"/>
  <c r="CM447" i="24"/>
  <c r="CQ444" i="24"/>
  <c r="CU441" i="24"/>
  <c r="CM439" i="24"/>
  <c r="CQ436" i="24"/>
  <c r="CU433" i="24"/>
  <c r="CM431" i="24"/>
  <c r="CQ428" i="24"/>
  <c r="CU425" i="24"/>
  <c r="CN459" i="24"/>
  <c r="CQ456" i="24"/>
  <c r="CT453" i="24"/>
  <c r="CK451" i="24"/>
  <c r="CN448" i="24"/>
  <c r="CQ445" i="24"/>
  <c r="CT442" i="24"/>
  <c r="CK440" i="24"/>
  <c r="CN437" i="24"/>
  <c r="CQ434" i="24"/>
  <c r="CT431" i="24"/>
  <c r="CK429" i="24"/>
  <c r="CN426" i="24"/>
  <c r="CQ458" i="24"/>
  <c r="CT455" i="24"/>
  <c r="CK453" i="24"/>
  <c r="CN450" i="24"/>
  <c r="CQ447" i="24"/>
  <c r="CT444" i="24"/>
  <c r="CK442" i="24"/>
  <c r="CN439" i="24"/>
  <c r="CP436" i="24"/>
  <c r="CS433" i="24"/>
  <c r="CJ431" i="24"/>
  <c r="CM428" i="24"/>
  <c r="CP425" i="24"/>
  <c r="CP458" i="24"/>
  <c r="CQ455" i="24"/>
  <c r="CR452" i="24"/>
  <c r="CR449" i="24"/>
  <c r="CS446" i="24"/>
  <c r="CT443" i="24"/>
  <c r="CU440" i="24"/>
  <c r="CJ438" i="24"/>
  <c r="CK435" i="24"/>
  <c r="CL432" i="24"/>
  <c r="CM429" i="24"/>
  <c r="CM426" i="24"/>
  <c r="CQ457" i="24"/>
  <c r="CQ454" i="24"/>
  <c r="CQ451" i="24"/>
  <c r="CQ448" i="24"/>
  <c r="CP445" i="24"/>
  <c r="CP442" i="24"/>
  <c r="CP439" i="24"/>
  <c r="CN436" i="24"/>
  <c r="CN433" i="24"/>
  <c r="CN430" i="24"/>
  <c r="CN427" i="24"/>
  <c r="CN424" i="24"/>
  <c r="CJ457" i="24"/>
  <c r="CJ454" i="24"/>
  <c r="CU450" i="24"/>
  <c r="CU447" i="24"/>
  <c r="CU444" i="24"/>
  <c r="CS441" i="24"/>
  <c r="CS438" i="24"/>
  <c r="CS435" i="24"/>
  <c r="CS432" i="24"/>
  <c r="CS429" i="24"/>
  <c r="CS426" i="24"/>
  <c r="CG459" i="24"/>
  <c r="BY457" i="24"/>
  <c r="CC454" i="24"/>
  <c r="CG451" i="24"/>
  <c r="CN458" i="24"/>
  <c r="CK455" i="24"/>
  <c r="CU451" i="24"/>
  <c r="CS448" i="24"/>
  <c r="CO445" i="24"/>
  <c r="CM442" i="24"/>
  <c r="CU438" i="24"/>
  <c r="CR435" i="24"/>
  <c r="CP432" i="24"/>
  <c r="CN429" i="24"/>
  <c r="CJ426" i="24"/>
  <c r="CD458" i="24"/>
  <c r="CG455" i="24"/>
  <c r="BX453" i="24"/>
  <c r="CA450" i="24"/>
  <c r="CE447" i="24"/>
  <c r="BW445" i="24"/>
  <c r="CA442" i="24"/>
  <c r="CE439" i="24"/>
  <c r="BW437" i="24"/>
  <c r="CA434" i="24"/>
  <c r="CE431" i="24"/>
  <c r="BW429" i="24"/>
  <c r="CA426" i="24"/>
  <c r="CO457" i="24"/>
  <c r="CM454" i="24"/>
  <c r="CJ451" i="24"/>
  <c r="CS447" i="24"/>
  <c r="CO444" i="24"/>
  <c r="CM441" i="24"/>
  <c r="CK438" i="24"/>
  <c r="CT434" i="24"/>
  <c r="CQ431" i="24"/>
  <c r="CN428" i="24"/>
  <c r="CK425" i="24"/>
  <c r="CT459" i="24"/>
  <c r="CR456" i="24"/>
  <c r="CO453" i="24"/>
  <c r="CL450" i="24"/>
  <c r="CU446" i="24"/>
  <c r="CR443" i="24"/>
  <c r="CP440" i="24"/>
  <c r="CM437" i="24"/>
  <c r="CK434" i="24"/>
  <c r="CS430" i="24"/>
  <c r="CQ427" i="24"/>
  <c r="CO424" i="24"/>
  <c r="CP459" i="24"/>
  <c r="CM456" i="24"/>
  <c r="CJ453" i="24"/>
  <c r="CS449" i="24"/>
  <c r="CP446" i="24"/>
  <c r="CN443" i="24"/>
  <c r="CL440" i="24"/>
  <c r="CU436" i="24"/>
  <c r="CQ433" i="24"/>
  <c r="CO430" i="24"/>
  <c r="CL427" i="24"/>
  <c r="CJ424" i="24"/>
  <c r="CC459" i="24"/>
  <c r="CF456" i="24"/>
  <c r="BW454" i="24"/>
  <c r="BZ451" i="24"/>
  <c r="CD448" i="24"/>
  <c r="BV446" i="24"/>
  <c r="BZ443" i="24"/>
  <c r="CD440" i="24"/>
  <c r="BV438" i="24"/>
  <c r="BZ435" i="24"/>
  <c r="CD432" i="24"/>
  <c r="BV430" i="24"/>
  <c r="BZ427" i="24"/>
  <c r="CD424" i="24"/>
  <c r="CT456" i="24"/>
  <c r="CL453" i="24"/>
  <c r="CN449" i="24"/>
  <c r="CT445" i="24"/>
  <c r="CJ442" i="24"/>
  <c r="CN438" i="24"/>
  <c r="CR434" i="24"/>
  <c r="CU430" i="24"/>
  <c r="CM427" i="24"/>
  <c r="CO456" i="24"/>
  <c r="CS452" i="24"/>
  <c r="CK449" i="24"/>
  <c r="CN445" i="24"/>
  <c r="CQ441" i="24"/>
  <c r="CU437" i="24"/>
  <c r="CN434" i="24"/>
  <c r="CQ430" i="24"/>
  <c r="CU426" i="24"/>
  <c r="CE457" i="24"/>
  <c r="CF454" i="24"/>
  <c r="CF451" i="24"/>
  <c r="BV449" i="24"/>
  <c r="BX446" i="24"/>
  <c r="BY443" i="24"/>
  <c r="CA440" i="24"/>
  <c r="CC437" i="24"/>
  <c r="CE434" i="24"/>
  <c r="CG431" i="24"/>
  <c r="BV429" i="24"/>
  <c r="BX426" i="24"/>
  <c r="CO459" i="24"/>
  <c r="CS455" i="24"/>
  <c r="CK452" i="24"/>
  <c r="CO448" i="24"/>
  <c r="CR444" i="24"/>
  <c r="CJ441" i="24"/>
  <c r="CO437" i="24"/>
  <c r="CP433" i="24"/>
  <c r="CU429" i="24"/>
  <c r="CL426" i="24"/>
  <c r="CK458" i="24"/>
  <c r="CO454" i="24"/>
  <c r="CR450" i="24"/>
  <c r="CJ447" i="24"/>
  <c r="CM443" i="24"/>
  <c r="CR439" i="24"/>
  <c r="CU435" i="24"/>
  <c r="CM432" i="24"/>
  <c r="CP428" i="24"/>
  <c r="CT424" i="24"/>
  <c r="CL457" i="24"/>
  <c r="CT452" i="24"/>
  <c r="CR448" i="24"/>
  <c r="CM444" i="24"/>
  <c r="CM440" i="24"/>
  <c r="CJ436" i="24"/>
  <c r="CS431" i="24"/>
  <c r="CR427" i="24"/>
  <c r="CK457" i="24"/>
  <c r="CP452" i="24"/>
  <c r="CP448" i="24"/>
  <c r="CL444" i="24"/>
  <c r="CJ440" i="24"/>
  <c r="CT435" i="24"/>
  <c r="CR431" i="24"/>
  <c r="CP427" i="24"/>
  <c r="BY459" i="24"/>
  <c r="BY456" i="24"/>
  <c r="BY453" i="24"/>
  <c r="BX450" i="24"/>
  <c r="BY447" i="24"/>
  <c r="BZ444" i="24"/>
  <c r="CA441" i="24"/>
  <c r="CB438" i="24"/>
  <c r="CC435" i="24"/>
  <c r="CC432" i="24"/>
  <c r="CD429" i="24"/>
  <c r="CE426" i="24"/>
  <c r="CP456" i="24"/>
  <c r="CM452" i="24"/>
  <c r="CK448" i="24"/>
  <c r="CU443" i="24"/>
  <c r="CS439" i="24"/>
  <c r="CO435" i="24"/>
  <c r="CN431" i="24"/>
  <c r="CJ427" i="24"/>
  <c r="BV459" i="24"/>
  <c r="BV456" i="24"/>
  <c r="CG452" i="24"/>
  <c r="CG449" i="24"/>
  <c r="BV447" i="24"/>
  <c r="BW444" i="24"/>
  <c r="BX441" i="24"/>
  <c r="BY438" i="24"/>
  <c r="BY435" i="24"/>
  <c r="BZ432" i="24"/>
  <c r="CA429" i="24"/>
  <c r="CB426" i="24"/>
  <c r="CU459" i="24"/>
  <c r="CR455" i="24"/>
  <c r="CP451" i="24"/>
  <c r="CN447" i="24"/>
  <c r="CK443" i="24"/>
  <c r="CT438" i="24"/>
  <c r="CS434" i="24"/>
  <c r="CM430" i="24"/>
  <c r="CK426" i="24"/>
  <c r="CR458" i="24"/>
  <c r="CS453" i="24"/>
  <c r="CJ449" i="24"/>
  <c r="CJ444" i="24"/>
  <c r="CK439" i="24"/>
  <c r="CM434" i="24"/>
  <c r="CP429" i="24"/>
  <c r="CS424" i="24"/>
  <c r="CN455" i="24"/>
  <c r="CQ450" i="24"/>
  <c r="CJ446" i="24"/>
  <c r="CK441" i="24"/>
  <c r="CM436" i="24"/>
  <c r="CO431" i="24"/>
  <c r="CP426" i="24"/>
  <c r="CJ456" i="24"/>
  <c r="CT450" i="24"/>
  <c r="CU445" i="24"/>
  <c r="CR440" i="24"/>
  <c r="CN435" i="24"/>
  <c r="CK430" i="24"/>
  <c r="CL425" i="24"/>
  <c r="CP455" i="24"/>
  <c r="CP450" i="24"/>
  <c r="CR445" i="24"/>
  <c r="CO440" i="24"/>
  <c r="CL435" i="24"/>
  <c r="CT429" i="24"/>
  <c r="CU424" i="24"/>
  <c r="CM459" i="24"/>
  <c r="CP454" i="24"/>
  <c r="CO449" i="24"/>
  <c r="CK444" i="24"/>
  <c r="CR438" i="24"/>
  <c r="CR433" i="24"/>
  <c r="CS428" i="24"/>
  <c r="CO458" i="24"/>
  <c r="CP453" i="24"/>
  <c r="CJ448" i="24"/>
  <c r="CU442" i="24"/>
  <c r="CS437" i="24"/>
  <c r="CT432" i="24"/>
  <c r="CT427" i="24"/>
  <c r="CD459" i="24"/>
  <c r="CA456" i="24"/>
  <c r="BW453" i="24"/>
  <c r="CF449" i="24"/>
  <c r="CE446" i="24"/>
  <c r="CD443" i="24"/>
  <c r="CB440" i="24"/>
  <c r="BZ437" i="24"/>
  <c r="BX434" i="24"/>
  <c r="BW431" i="24"/>
  <c r="BV428" i="24"/>
  <c r="CG424" i="24"/>
  <c r="CT457" i="24"/>
  <c r="CO452" i="24"/>
  <c r="CO447" i="24"/>
  <c r="CO442" i="24"/>
  <c r="CL437" i="24"/>
  <c r="CN432" i="24"/>
  <c r="CT426" i="24"/>
  <c r="CQ459" i="24"/>
  <c r="CR453" i="24"/>
  <c r="CL447" i="24"/>
  <c r="CO441" i="24"/>
  <c r="CM435" i="24"/>
  <c r="CJ429" i="24"/>
  <c r="CE458" i="24"/>
  <c r="CA455" i="24"/>
  <c r="BX452" i="24"/>
  <c r="CF448" i="24"/>
  <c r="CC445" i="24"/>
  <c r="BZ442" i="24"/>
  <c r="BX439" i="24"/>
  <c r="BV436" i="24"/>
  <c r="CF432" i="24"/>
  <c r="CB429" i="24"/>
  <c r="BW426" i="24"/>
  <c r="BP458" i="24"/>
  <c r="BH456" i="24"/>
  <c r="BL453" i="24"/>
  <c r="BP450" i="24"/>
  <c r="BH448" i="24"/>
  <c r="BL445" i="24"/>
  <c r="BP442" i="24"/>
  <c r="BH440" i="24"/>
  <c r="BL437" i="24"/>
  <c r="BP434" i="24"/>
  <c r="BH432" i="24"/>
  <c r="BL429" i="24"/>
  <c r="BP426" i="24"/>
  <c r="BH424" i="24"/>
  <c r="CL459" i="24"/>
  <c r="CQ453" i="24"/>
  <c r="CK447" i="24"/>
  <c r="CN441" i="24"/>
  <c r="CJ435" i="24"/>
  <c r="CU428" i="24"/>
  <c r="CC458" i="24"/>
  <c r="BZ455" i="24"/>
  <c r="BW452" i="24"/>
  <c r="CE448" i="24"/>
  <c r="CB445" i="24"/>
  <c r="BY442" i="24"/>
  <c r="BW439" i="24"/>
  <c r="CG435" i="24"/>
  <c r="CE432" i="24"/>
  <c r="BZ429" i="24"/>
  <c r="BV426" i="24"/>
  <c r="BO458" i="24"/>
  <c r="BS455" i="24"/>
  <c r="BK453" i="24"/>
  <c r="BO450" i="24"/>
  <c r="BS447" i="24"/>
  <c r="BK445" i="24"/>
  <c r="BO442" i="24"/>
  <c r="BS439" i="24"/>
  <c r="BK437" i="24"/>
  <c r="BO434" i="24"/>
  <c r="BS431" i="24"/>
  <c r="BK429" i="24"/>
  <c r="BO426" i="24"/>
  <c r="BE459" i="24"/>
  <c r="AW457" i="24"/>
  <c r="BA454" i="24"/>
  <c r="BE451" i="24"/>
  <c r="AW449" i="24"/>
  <c r="BA446" i="24"/>
  <c r="BE443" i="24"/>
  <c r="AW441" i="24"/>
  <c r="BA438" i="24"/>
  <c r="BE435" i="24"/>
  <c r="AW433" i="24"/>
  <c r="BA430" i="24"/>
  <c r="BE427" i="24"/>
  <c r="AW425" i="24"/>
  <c r="CK459" i="24"/>
  <c r="CN453" i="24"/>
  <c r="CT446" i="24"/>
  <c r="CL441" i="24"/>
  <c r="CU434" i="24"/>
  <c r="CT428" i="24"/>
  <c r="CJ459" i="24"/>
  <c r="CM453" i="24"/>
  <c r="CR446" i="24"/>
  <c r="CT440" i="24"/>
  <c r="CP434" i="24"/>
  <c r="CR428" i="24"/>
  <c r="CU458" i="24"/>
  <c r="CU452" i="24"/>
  <c r="CQ446" i="24"/>
  <c r="CS440" i="24"/>
  <c r="CO434" i="24"/>
  <c r="CO428" i="24"/>
  <c r="BZ458" i="24"/>
  <c r="BW455" i="24"/>
  <c r="CD451" i="24"/>
  <c r="CA448" i="24"/>
  <c r="BY445" i="24"/>
  <c r="BV442" i="24"/>
  <c r="CF438" i="24"/>
  <c r="CD435" i="24"/>
  <c r="BY432" i="24"/>
  <c r="CG428" i="24"/>
  <c r="CE425" i="24"/>
  <c r="CJ458" i="24"/>
  <c r="CS451" i="24"/>
  <c r="CK446" i="24"/>
  <c r="CQ439" i="24"/>
  <c r="CM433" i="24"/>
  <c r="CS427" i="24"/>
  <c r="CG457" i="24"/>
  <c r="CB454" i="24"/>
  <c r="BX451" i="24"/>
  <c r="BV448" i="24"/>
  <c r="CE444" i="24"/>
  <c r="CC441" i="24"/>
  <c r="BZ438" i="24"/>
  <c r="BV435" i="24"/>
  <c r="CD431" i="24"/>
  <c r="CB428" i="24"/>
  <c r="BZ425" i="24"/>
  <c r="CN456" i="24"/>
  <c r="CM450" i="24"/>
  <c r="CN444" i="24"/>
  <c r="CL438" i="24"/>
  <c r="CK432" i="24"/>
  <c r="CR425" i="24"/>
  <c r="BW457" i="24"/>
  <c r="CE453" i="24"/>
  <c r="CB450" i="24"/>
  <c r="BX447" i="24"/>
  <c r="CG443" i="24"/>
  <c r="CE440" i="24"/>
  <c r="CA437" i="24"/>
  <c r="BW434" i="24"/>
  <c r="CG430" i="24"/>
  <c r="CE427" i="24"/>
  <c r="CB424" i="24"/>
  <c r="BS459" i="24"/>
  <c r="BK457" i="24"/>
  <c r="BO454" i="24"/>
  <c r="BS451" i="24"/>
  <c r="BK449" i="24"/>
  <c r="BO446" i="24"/>
  <c r="BS443" i="24"/>
  <c r="BK441" i="24"/>
  <c r="BO438" i="24"/>
  <c r="BS435" i="24"/>
  <c r="BK433" i="24"/>
  <c r="BO430" i="24"/>
  <c r="BS427" i="24"/>
  <c r="BK425" i="24"/>
  <c r="BA458" i="24"/>
  <c r="BE455" i="24"/>
  <c r="AW453" i="24"/>
  <c r="BA450" i="24"/>
  <c r="BE447" i="24"/>
  <c r="AW445" i="24"/>
  <c r="CO455" i="24"/>
  <c r="CQ449" i="24"/>
  <c r="CO443" i="24"/>
  <c r="CP437" i="24"/>
  <c r="CL431" i="24"/>
  <c r="CM425" i="24"/>
  <c r="CD456" i="24"/>
  <c r="CA453" i="24"/>
  <c r="BV450" i="24"/>
  <c r="CD446" i="24"/>
  <c r="CB443" i="24"/>
  <c r="BX440" i="24"/>
  <c r="CG436" i="24"/>
  <c r="CE433" i="24"/>
  <c r="CC430" i="24"/>
  <c r="CA427" i="24"/>
  <c r="BX424" i="24"/>
  <c r="CU455" i="24"/>
  <c r="CT447" i="24"/>
  <c r="CL439" i="24"/>
  <c r="CP431" i="24"/>
  <c r="BV457" i="24"/>
  <c r="CE452" i="24"/>
  <c r="CG448" i="24"/>
  <c r="CF444" i="24"/>
  <c r="CG440" i="24"/>
  <c r="CE436" i="24"/>
  <c r="BW433" i="24"/>
  <c r="CE428" i="24"/>
  <c r="BV425" i="24"/>
  <c r="BI459" i="24"/>
  <c r="BJ456" i="24"/>
  <c r="BI453" i="24"/>
  <c r="BJ450" i="24"/>
  <c r="BK447" i="24"/>
  <c r="BL444" i="24"/>
  <c r="BM441" i="24"/>
  <c r="BM438" i="24"/>
  <c r="BN435" i="24"/>
  <c r="BO432" i="24"/>
  <c r="BP429" i="24"/>
  <c r="BQ426" i="24"/>
  <c r="AT458" i="24"/>
  <c r="AV455" i="24"/>
  <c r="AX452" i="24"/>
  <c r="AZ449" i="24"/>
  <c r="BB446" i="24"/>
  <c r="BC443" i="24"/>
  <c r="AT441" i="24"/>
  <c r="AW438" i="24"/>
  <c r="AZ435" i="24"/>
  <c r="BC432" i="24"/>
  <c r="AT430" i="24"/>
  <c r="AW427" i="24"/>
  <c r="AZ424" i="24"/>
  <c r="AM457" i="24"/>
  <c r="AQ454" i="24"/>
  <c r="AI452" i="24"/>
  <c r="AM449" i="24"/>
  <c r="AQ446" i="24"/>
  <c r="AI444" i="24"/>
  <c r="AM441" i="24"/>
  <c r="AQ438" i="24"/>
  <c r="AI436" i="24"/>
  <c r="AM433" i="24"/>
  <c r="AQ430" i="24"/>
  <c r="AI428" i="24"/>
  <c r="AM425" i="24"/>
  <c r="CL455" i="24"/>
  <c r="CR447" i="24"/>
  <c r="CJ439" i="24"/>
  <c r="CK431" i="24"/>
  <c r="CG456" i="24"/>
  <c r="CD452" i="24"/>
  <c r="CC448" i="24"/>
  <c r="CD444" i="24"/>
  <c r="CF440" i="24"/>
  <c r="CD436" i="24"/>
  <c r="BV433" i="24"/>
  <c r="CD428" i="24"/>
  <c r="CF424" i="24"/>
  <c r="BH459" i="24"/>
  <c r="BI456" i="24"/>
  <c r="BH453" i="24"/>
  <c r="BI450" i="24"/>
  <c r="BJ447" i="24"/>
  <c r="BK444" i="24"/>
  <c r="BL441" i="24"/>
  <c r="BL438" i="24"/>
  <c r="BM435" i="24"/>
  <c r="BN432" i="24"/>
  <c r="BO429" i="24"/>
  <c r="BN426" i="24"/>
  <c r="BE457" i="24"/>
  <c r="AU455" i="24"/>
  <c r="AW452" i="24"/>
  <c r="AY449" i="24"/>
  <c r="AZ446" i="24"/>
  <c r="BB443" i="24"/>
  <c r="BE440" i="24"/>
  <c r="AV438" i="24"/>
  <c r="AY435" i="24"/>
  <c r="BB432" i="24"/>
  <c r="BE429" i="24"/>
  <c r="AV427" i="24"/>
  <c r="AY424" i="24"/>
  <c r="AL457" i="24"/>
  <c r="AP454" i="24"/>
  <c r="AH452" i="24"/>
  <c r="AL449" i="24"/>
  <c r="AP446" i="24"/>
  <c r="AH444" i="24"/>
  <c r="AL441" i="24"/>
  <c r="AP438" i="24"/>
  <c r="AH436" i="24"/>
  <c r="AL433" i="24"/>
  <c r="AP430" i="24"/>
  <c r="AH428" i="24"/>
  <c r="AL425" i="24"/>
  <c r="CU454" i="24"/>
  <c r="CO446" i="24"/>
  <c r="CP438" i="24"/>
  <c r="CR430" i="24"/>
  <c r="CC456" i="24"/>
  <c r="CB452" i="24"/>
  <c r="BZ448" i="24"/>
  <c r="CB444" i="24"/>
  <c r="BZ440" i="24"/>
  <c r="CB436" i="24"/>
  <c r="CB432" i="24"/>
  <c r="CA428" i="24"/>
  <c r="CC424" i="24"/>
  <c r="BR458" i="24"/>
  <c r="BQ455" i="24"/>
  <c r="BR452" i="24"/>
  <c r="BS449" i="24"/>
  <c r="BH447" i="24"/>
  <c r="BI444" i="24"/>
  <c r="BI441" i="24"/>
  <c r="BJ438" i="24"/>
  <c r="BK435" i="24"/>
  <c r="BL432" i="24"/>
  <c r="BM429" i="24"/>
  <c r="BL426" i="24"/>
  <c r="CM458" i="24"/>
  <c r="CO450" i="24"/>
  <c r="CQ442" i="24"/>
  <c r="CT433" i="24"/>
  <c r="CS425" i="24"/>
  <c r="BY458" i="24"/>
  <c r="BY454" i="24"/>
  <c r="BY450" i="24"/>
  <c r="BY446" i="24"/>
  <c r="BX442" i="24"/>
  <c r="BX438" i="24"/>
  <c r="BY434" i="24"/>
  <c r="BZ430" i="24"/>
  <c r="BZ426" i="24"/>
  <c r="BI457" i="24"/>
  <c r="BJ454" i="24"/>
  <c r="BK451" i="24"/>
  <c r="BL448" i="24"/>
  <c r="BM445" i="24"/>
  <c r="BL442" i="24"/>
  <c r="BM439" i="24"/>
  <c r="BN436" i="24"/>
  <c r="BO433" i="24"/>
  <c r="BP430" i="24"/>
  <c r="BP427" i="24"/>
  <c r="BQ424" i="24"/>
  <c r="CR454" i="24"/>
  <c r="CK445" i="24"/>
  <c r="CO436" i="24"/>
  <c r="CQ426" i="24"/>
  <c r="CF457" i="24"/>
  <c r="BZ453" i="24"/>
  <c r="BY448" i="24"/>
  <c r="CF443" i="24"/>
  <c r="CA439" i="24"/>
  <c r="CF434" i="24"/>
  <c r="CA430" i="24"/>
  <c r="CD425" i="24"/>
  <c r="BP457" i="24"/>
  <c r="BL454" i="24"/>
  <c r="BH451" i="24"/>
  <c r="BO447" i="24"/>
  <c r="BJ444" i="24"/>
  <c r="BQ440" i="24"/>
  <c r="BN437" i="24"/>
  <c r="BI434" i="24"/>
  <c r="BR430" i="24"/>
  <c r="BM427" i="24"/>
  <c r="BJ424" i="24"/>
  <c r="AV458" i="24"/>
  <c r="AT455" i="24"/>
  <c r="AT452" i="24"/>
  <c r="BE448" i="24"/>
  <c r="BE445" i="24"/>
  <c r="BE442" i="24"/>
  <c r="AT440" i="24"/>
  <c r="AU437" i="24"/>
  <c r="AV434" i="24"/>
  <c r="AW431" i="24"/>
  <c r="AX428" i="24"/>
  <c r="AY425" i="24"/>
  <c r="AO458" i="24"/>
  <c r="AQ455" i="24"/>
  <c r="AG453" i="24"/>
  <c r="AI450" i="24"/>
  <c r="AK447" i="24"/>
  <c r="AM444" i="24"/>
  <c r="AO441" i="24"/>
  <c r="AO438" i="24"/>
  <c r="AQ435" i="24"/>
  <c r="AG433" i="24"/>
  <c r="AI430" i="24"/>
  <c r="AK427" i="24"/>
  <c r="AM424" i="24"/>
  <c r="CK454" i="24"/>
  <c r="CP444" i="24"/>
  <c r="CQ435" i="24"/>
  <c r="CQ425" i="24"/>
  <c r="CB457" i="24"/>
  <c r="CC452" i="24"/>
  <c r="CG447" i="24"/>
  <c r="CA443" i="24"/>
  <c r="BV439" i="24"/>
  <c r="CB434" i="24"/>
  <c r="BW430" i="24"/>
  <c r="CA425" i="24"/>
  <c r="CR451" i="24"/>
  <c r="CS442" i="24"/>
  <c r="CK433" i="24"/>
  <c r="CP424" i="24"/>
  <c r="BZ456" i="24"/>
  <c r="CC451" i="24"/>
  <c r="BZ447" i="24"/>
  <c r="CE442" i="24"/>
  <c r="BW438" i="24"/>
  <c r="CC433" i="24"/>
  <c r="BX429" i="24"/>
  <c r="BZ424" i="24"/>
  <c r="BQ456" i="24"/>
  <c r="BN453" i="24"/>
  <c r="BR449" i="24"/>
  <c r="BN446" i="24"/>
  <c r="BK443" i="24"/>
  <c r="BR439" i="24"/>
  <c r="BO436" i="24"/>
  <c r="BJ433" i="24"/>
  <c r="BS429" i="24"/>
  <c r="BK426" i="24"/>
  <c r="AV457" i="24"/>
  <c r="AV454" i="24"/>
  <c r="AV451" i="24"/>
  <c r="AV448" i="24"/>
  <c r="AU445" i="24"/>
  <c r="AV442" i="24"/>
  <c r="AW439" i="24"/>
  <c r="AX436" i="24"/>
  <c r="AY433" i="24"/>
  <c r="AY430" i="24"/>
  <c r="AZ427" i="24"/>
  <c r="BA424" i="24"/>
  <c r="AF458" i="24"/>
  <c r="AH455" i="24"/>
  <c r="AJ452" i="24"/>
  <c r="AJ449" i="24"/>
  <c r="AL446" i="24"/>
  <c r="AN443" i="24"/>
  <c r="AP440" i="24"/>
  <c r="AF438" i="24"/>
  <c r="AH435" i="24"/>
  <c r="AJ432" i="24"/>
  <c r="AL429" i="24"/>
  <c r="AN426" i="24"/>
  <c r="CT458" i="24"/>
  <c r="CT449" i="24"/>
  <c r="CN440" i="24"/>
  <c r="CT430" i="24"/>
  <c r="BY455" i="24"/>
  <c r="CE450" i="24"/>
  <c r="BW446" i="24"/>
  <c r="CD441" i="24"/>
  <c r="BV437" i="24"/>
  <c r="BX432" i="24"/>
  <c r="CF427" i="24"/>
  <c r="BL459" i="24"/>
  <c r="BP455" i="24"/>
  <c r="BM452" i="24"/>
  <c r="BI449" i="24"/>
  <c r="BR445" i="24"/>
  <c r="BM442" i="24"/>
  <c r="BI439" i="24"/>
  <c r="BQ435" i="24"/>
  <c r="BK432" i="24"/>
  <c r="BR428" i="24"/>
  <c r="BO425" i="24"/>
  <c r="AZ459" i="24"/>
  <c r="AZ456" i="24"/>
  <c r="AZ453" i="24"/>
  <c r="AY450" i="24"/>
  <c r="AY447" i="24"/>
  <c r="AY444" i="24"/>
  <c r="AZ441" i="24"/>
  <c r="AZ438" i="24"/>
  <c r="BA435" i="24"/>
  <c r="AZ432" i="24"/>
  <c r="BA429" i="24"/>
  <c r="BB426" i="24"/>
  <c r="CR457" i="24"/>
  <c r="CU448" i="24"/>
  <c r="CQ438" i="24"/>
  <c r="CR429" i="24"/>
  <c r="CA459" i="24"/>
  <c r="CE454" i="24"/>
  <c r="BW450" i="24"/>
  <c r="CD445" i="24"/>
  <c r="BW441" i="24"/>
  <c r="BZ436" i="24"/>
  <c r="CC431" i="24"/>
  <c r="BY427" i="24"/>
  <c r="BQ458" i="24"/>
  <c r="BL455" i="24"/>
  <c r="BI452" i="24"/>
  <c r="BQ448" i="24"/>
  <c r="BN445" i="24"/>
  <c r="BH442" i="24"/>
  <c r="BQ438" i="24"/>
  <c r="BJ435" i="24"/>
  <c r="BQ431" i="24"/>
  <c r="BN428" i="24"/>
  <c r="BJ425" i="24"/>
  <c r="AV459" i="24"/>
  <c r="AV456" i="24"/>
  <c r="AU453" i="24"/>
  <c r="AU450" i="24"/>
  <c r="AU447" i="24"/>
  <c r="AU444" i="24"/>
  <c r="AU441" i="24"/>
  <c r="AT438" i="24"/>
  <c r="AU435" i="24"/>
  <c r="AV432" i="24"/>
  <c r="AW429" i="24"/>
  <c r="AX426" i="24"/>
  <c r="CP457" i="24"/>
  <c r="CT448" i="24"/>
  <c r="CO438" i="24"/>
  <c r="CQ429" i="24"/>
  <c r="BZ459" i="24"/>
  <c r="CD454" i="24"/>
  <c r="CE449" i="24"/>
  <c r="CA445" i="24"/>
  <c r="BV441" i="24"/>
  <c r="BY436" i="24"/>
  <c r="CB431" i="24"/>
  <c r="BX427" i="24"/>
  <c r="CU453" i="24"/>
  <c r="CN442" i="24"/>
  <c r="CP430" i="24"/>
  <c r="BX457" i="24"/>
  <c r="BW451" i="24"/>
  <c r="CE445" i="24"/>
  <c r="CF439" i="24"/>
  <c r="BZ434" i="24"/>
  <c r="CC428" i="24"/>
  <c r="BN458" i="24"/>
  <c r="BS454" i="24"/>
  <c r="BJ451" i="24"/>
  <c r="BL447" i="24"/>
  <c r="BM443" i="24"/>
  <c r="BO439" i="24"/>
  <c r="BR435" i="24"/>
  <c r="BP431" i="24"/>
  <c r="BI428" i="24"/>
  <c r="BL424" i="24"/>
  <c r="CN452" i="24"/>
  <c r="CL442" i="24"/>
  <c r="CL430" i="24"/>
  <c r="CE456" i="24"/>
  <c r="BV451" i="24"/>
  <c r="BZ445" i="24"/>
  <c r="CD439" i="24"/>
  <c r="BV434" i="24"/>
  <c r="BZ428" i="24"/>
  <c r="CL452" i="24"/>
  <c r="CT441" i="24"/>
  <c r="CJ430" i="24"/>
  <c r="CB456" i="24"/>
  <c r="CG450" i="24"/>
  <c r="BX445" i="24"/>
  <c r="CC439" i="24"/>
  <c r="CG433" i="24"/>
  <c r="BY428" i="24"/>
  <c r="BL458" i="24"/>
  <c r="BQ454" i="24"/>
  <c r="BS450" i="24"/>
  <c r="BS446" i="24"/>
  <c r="BJ443" i="24"/>
  <c r="BL439" i="24"/>
  <c r="BO435" i="24"/>
  <c r="BN431" i="24"/>
  <c r="BR427" i="24"/>
  <c r="BI424" i="24"/>
  <c r="BC458" i="24"/>
  <c r="AX455" i="24"/>
  <c r="BB451" i="24"/>
  <c r="AX448" i="24"/>
  <c r="BD444" i="24"/>
  <c r="CS450" i="24"/>
  <c r="CM438" i="24"/>
  <c r="CO427" i="24"/>
  <c r="CB455" i="24"/>
  <c r="CB449" i="24"/>
  <c r="BV444" i="24"/>
  <c r="CC438" i="24"/>
  <c r="BX433" i="24"/>
  <c r="BW427" i="24"/>
  <c r="BQ457" i="24"/>
  <c r="BS453" i="24"/>
  <c r="BH450" i="24"/>
  <c r="BJ446" i="24"/>
  <c r="BK442" i="24"/>
  <c r="BN438" i="24"/>
  <c r="BN434" i="24"/>
  <c r="BS430" i="24"/>
  <c r="BI427" i="24"/>
  <c r="CN457" i="24"/>
  <c r="CS445" i="24"/>
  <c r="CL434" i="24"/>
  <c r="CK424" i="24"/>
  <c r="CG458" i="24"/>
  <c r="CB453" i="24"/>
  <c r="CB447" i="24"/>
  <c r="CG441" i="24"/>
  <c r="BX436" i="24"/>
  <c r="CE430" i="24"/>
  <c r="BX425" i="24"/>
  <c r="CU456" i="24"/>
  <c r="CL445" i="24"/>
  <c r="CO433" i="24"/>
  <c r="CS459" i="24"/>
  <c r="CJ445" i="24"/>
  <c r="CJ432" i="24"/>
  <c r="CB458" i="24"/>
  <c r="CE451" i="24"/>
  <c r="CG444" i="24"/>
  <c r="CA438" i="24"/>
  <c r="CA431" i="24"/>
  <c r="BY425" i="24"/>
  <c r="BL456" i="24"/>
  <c r="BR451" i="24"/>
  <c r="BQ447" i="24"/>
  <c r="BN443" i="24"/>
  <c r="BJ439" i="24"/>
  <c r="BR434" i="24"/>
  <c r="CR459" i="24"/>
  <c r="CS444" i="24"/>
  <c r="CU431" i="24"/>
  <c r="CA458" i="24"/>
  <c r="CB451" i="24"/>
  <c r="CC444" i="24"/>
  <c r="CG437" i="24"/>
  <c r="BZ431" i="24"/>
  <c r="BW425" i="24"/>
  <c r="BK456" i="24"/>
  <c r="BQ451" i="24"/>
  <c r="BP447" i="24"/>
  <c r="BL443" i="24"/>
  <c r="BH439" i="24"/>
  <c r="BQ434" i="24"/>
  <c r="BM430" i="24"/>
  <c r="BI426" i="24"/>
  <c r="BA459" i="24"/>
  <c r="AT456" i="24"/>
  <c r="AZ452" i="24"/>
  <c r="BC448" i="24"/>
  <c r="AX445" i="24"/>
  <c r="BD441" i="24"/>
  <c r="AY438" i="24"/>
  <c r="BE434" i="24"/>
  <c r="BB431" i="24"/>
  <c r="AY428" i="24"/>
  <c r="AT425" i="24"/>
  <c r="CS458" i="24"/>
  <c r="CS443" i="24"/>
  <c r="CO429" i="24"/>
  <c r="BX458" i="24"/>
  <c r="CA451" i="24"/>
  <c r="CA444" i="24"/>
  <c r="CF437" i="24"/>
  <c r="BY431" i="24"/>
  <c r="CE424" i="24"/>
  <c r="CJ455" i="24"/>
  <c r="CP441" i="24"/>
  <c r="CR426" i="24"/>
  <c r="BX456" i="24"/>
  <c r="CC449" i="24"/>
  <c r="BV443" i="24"/>
  <c r="CC436" i="24"/>
  <c r="BX430" i="24"/>
  <c r="CT454" i="24"/>
  <c r="CQ440" i="24"/>
  <c r="CO426" i="24"/>
  <c r="BW456" i="24"/>
  <c r="CA449" i="24"/>
  <c r="CG442" i="24"/>
  <c r="CA436" i="24"/>
  <c r="CG429" i="24"/>
  <c r="BK459" i="24"/>
  <c r="BR454" i="24"/>
  <c r="BN450" i="24"/>
  <c r="BK446" i="24"/>
  <c r="BS441" i="24"/>
  <c r="BQ437" i="24"/>
  <c r="BP433" i="24"/>
  <c r="BJ429" i="24"/>
  <c r="BI425" i="24"/>
  <c r="CS454" i="24"/>
  <c r="CU439" i="24"/>
  <c r="CT425" i="24"/>
  <c r="CF455" i="24"/>
  <c r="BZ449" i="24"/>
  <c r="CF442" i="24"/>
  <c r="BW436" i="24"/>
  <c r="CF429" i="24"/>
  <c r="CJ450" i="24"/>
  <c r="CR436" i="24"/>
  <c r="BV454" i="24"/>
  <c r="CA447" i="24"/>
  <c r="CC440" i="24"/>
  <c r="CF433" i="24"/>
  <c r="CB427" i="24"/>
  <c r="CP449" i="24"/>
  <c r="CL436" i="24"/>
  <c r="CG453" i="24"/>
  <c r="BW447" i="24"/>
  <c r="BY440" i="24"/>
  <c r="CD433" i="24"/>
  <c r="BV427" i="24"/>
  <c r="BM457" i="24"/>
  <c r="BJ453" i="24"/>
  <c r="BS448" i="24"/>
  <c r="BQ444" i="24"/>
  <c r="BN440" i="24"/>
  <c r="BL436" i="24"/>
  <c r="BI432" i="24"/>
  <c r="BQ427" i="24"/>
  <c r="CM449" i="24"/>
  <c r="CK436" i="24"/>
  <c r="CF453" i="24"/>
  <c r="CG446" i="24"/>
  <c r="BW440" i="24"/>
  <c r="CB433" i="24"/>
  <c r="CG426" i="24"/>
  <c r="CS456" i="24"/>
  <c r="CJ437" i="24"/>
  <c r="CA454" i="24"/>
  <c r="CF445" i="24"/>
  <c r="CE435" i="24"/>
  <c r="CD426" i="24"/>
  <c r="BN455" i="24"/>
  <c r="BR450" i="24"/>
  <c r="BS445" i="24"/>
  <c r="BH441" i="24"/>
  <c r="BM436" i="24"/>
  <c r="BL431" i="24"/>
  <c r="BS426" i="24"/>
  <c r="BB459" i="24"/>
  <c r="BD455" i="24"/>
  <c r="AV452" i="24"/>
  <c r="AZ448" i="24"/>
  <c r="BC444" i="24"/>
  <c r="AX441" i="24"/>
  <c r="BB437" i="24"/>
  <c r="AX434" i="24"/>
  <c r="BE430" i="24"/>
  <c r="AY427" i="24"/>
  <c r="AJ457" i="24"/>
  <c r="AJ454" i="24"/>
  <c r="AJ451" i="24"/>
  <c r="AJ448" i="24"/>
  <c r="AJ445" i="24"/>
  <c r="AJ442" i="24"/>
  <c r="AJ439" i="24"/>
  <c r="AJ436" i="24"/>
  <c r="AH433" i="24"/>
  <c r="AG430" i="24"/>
  <c r="AG427" i="24"/>
  <c r="AG424" i="24"/>
  <c r="CL456" i="24"/>
  <c r="CT436" i="24"/>
  <c r="BZ454" i="24"/>
  <c r="BV445" i="24"/>
  <c r="CB435" i="24"/>
  <c r="CC426" i="24"/>
  <c r="BM455" i="24"/>
  <c r="BQ450" i="24"/>
  <c r="BQ445" i="24"/>
  <c r="BS440" i="24"/>
  <c r="BK436" i="24"/>
  <c r="BK431" i="24"/>
  <c r="BR426" i="24"/>
  <c r="AY459" i="24"/>
  <c r="BC455" i="24"/>
  <c r="AU452" i="24"/>
  <c r="AY448" i="24"/>
  <c r="BB444" i="24"/>
  <c r="AV441" i="24"/>
  <c r="BA437" i="24"/>
  <c r="AW434" i="24"/>
  <c r="BD430" i="24"/>
  <c r="AX427" i="24"/>
  <c r="AI457" i="24"/>
  <c r="AI454" i="24"/>
  <c r="AI451" i="24"/>
  <c r="AI448" i="24"/>
  <c r="AI445" i="24"/>
  <c r="AI442" i="24"/>
  <c r="AI439" i="24"/>
  <c r="AG436" i="24"/>
  <c r="AF433" i="24"/>
  <c r="AF430" i="24"/>
  <c r="AF427" i="24"/>
  <c r="AF424" i="24"/>
  <c r="V458" i="24"/>
  <c r="Z455" i="24"/>
  <c r="R453" i="24"/>
  <c r="V450" i="24"/>
  <c r="Z447" i="24"/>
  <c r="R445" i="24"/>
  <c r="V442" i="24"/>
  <c r="Z439" i="24"/>
  <c r="R437" i="24"/>
  <c r="CL454" i="24"/>
  <c r="CJ434" i="24"/>
  <c r="CC453" i="24"/>
  <c r="CE443" i="24"/>
  <c r="BW435" i="24"/>
  <c r="CF425" i="24"/>
  <c r="CJ452" i="24"/>
  <c r="CL433" i="24"/>
  <c r="BV453" i="24"/>
  <c r="CC443" i="24"/>
  <c r="CG434" i="24"/>
  <c r="CC425" i="24"/>
  <c r="BQ459" i="24"/>
  <c r="BH455" i="24"/>
  <c r="BQ449" i="24"/>
  <c r="BI445" i="24"/>
  <c r="BM440" i="24"/>
  <c r="BP435" i="24"/>
  <c r="BQ430" i="24"/>
  <c r="BS425" i="24"/>
  <c r="AT459" i="24"/>
  <c r="AY455" i="24"/>
  <c r="AZ451" i="24"/>
  <c r="BD447" i="24"/>
  <c r="AW444" i="24"/>
  <c r="BA440" i="24"/>
  <c r="AW437" i="24"/>
  <c r="BD433" i="24"/>
  <c r="AX430" i="24"/>
  <c r="BD426" i="24"/>
  <c r="CM451" i="24"/>
  <c r="CQ432" i="24"/>
  <c r="BY452" i="24"/>
  <c r="CC442" i="24"/>
  <c r="BZ433" i="24"/>
  <c r="BW424" i="24"/>
  <c r="BM459" i="24"/>
  <c r="BK454" i="24"/>
  <c r="BM449" i="24"/>
  <c r="BP444" i="24"/>
  <c r="BI440" i="24"/>
  <c r="BS434" i="24"/>
  <c r="BJ430" i="24"/>
  <c r="BN425" i="24"/>
  <c r="AZ458" i="24"/>
  <c r="BC454" i="24"/>
  <c r="AU451" i="24"/>
  <c r="AZ447" i="24"/>
  <c r="BA443" i="24"/>
  <c r="AW440" i="24"/>
  <c r="BD436" i="24"/>
  <c r="AZ433" i="24"/>
  <c r="BD429" i="24"/>
  <c r="AY426" i="24"/>
  <c r="AM459" i="24"/>
  <c r="AM456" i="24"/>
  <c r="AM453" i="24"/>
  <c r="AM450" i="24"/>
  <c r="AM447" i="24"/>
  <c r="AL444" i="24"/>
  <c r="AJ441" i="24"/>
  <c r="AJ438" i="24"/>
  <c r="AJ435" i="24"/>
  <c r="AI432" i="24"/>
  <c r="AI429" i="24"/>
  <c r="AI426" i="24"/>
  <c r="CP443" i="24"/>
  <c r="CJ443" i="24"/>
  <c r="CF452" i="24"/>
  <c r="CF441" i="24"/>
  <c r="BV431" i="24"/>
  <c r="BM456" i="24"/>
  <c r="BL450" i="24"/>
  <c r="BR444" i="24"/>
  <c r="BK439" i="24"/>
  <c r="BQ433" i="24"/>
  <c r="BM428" i="24"/>
  <c r="BB458" i="24"/>
  <c r="AX454" i="24"/>
  <c r="AW450" i="24"/>
  <c r="AU446" i="24"/>
  <c r="AU442" i="24"/>
  <c r="BE437" i="24"/>
  <c r="AT434" i="24"/>
  <c r="AU430" i="24"/>
  <c r="AT426" i="24"/>
  <c r="AO457" i="24"/>
  <c r="AH454" i="24"/>
  <c r="AQ450" i="24"/>
  <c r="AN447" i="24"/>
  <c r="AG444" i="24"/>
  <c r="AO440" i="24"/>
  <c r="AL437" i="24"/>
  <c r="AI434" i="24"/>
  <c r="AF431" i="24"/>
  <c r="AM427" i="24"/>
  <c r="AI424" i="24"/>
  <c r="CR442" i="24"/>
  <c r="CR441" i="24"/>
  <c r="CO439" i="24"/>
  <c r="BY451" i="24"/>
  <c r="BY441" i="24"/>
  <c r="BY430" i="24"/>
  <c r="BJ455" i="24"/>
  <c r="BN449" i="24"/>
  <c r="BH444" i="24"/>
  <c r="BK438" i="24"/>
  <c r="BI433" i="24"/>
  <c r="BH428" i="24"/>
  <c r="CQ437" i="24"/>
  <c r="CC450" i="24"/>
  <c r="CB439" i="24"/>
  <c r="BY429" i="24"/>
  <c r="BN454" i="24"/>
  <c r="BH449" i="24"/>
  <c r="BP443" i="24"/>
  <c r="BS437" i="24"/>
  <c r="BR432" i="24"/>
  <c r="BL427" i="24"/>
  <c r="BB457" i="24"/>
  <c r="BB453" i="24"/>
  <c r="BA449" i="24"/>
  <c r="AY445" i="24"/>
  <c r="BD440" i="24"/>
  <c r="AT437" i="24"/>
  <c r="AU433" i="24"/>
  <c r="AU429" i="24"/>
  <c r="AX425" i="24"/>
  <c r="AP456" i="24"/>
  <c r="AL453" i="24"/>
  <c r="AH450" i="24"/>
  <c r="AO446" i="24"/>
  <c r="AK443" i="24"/>
  <c r="AH440" i="24"/>
  <c r="AQ436" i="24"/>
  <c r="AN433" i="24"/>
  <c r="AH430" i="24"/>
  <c r="AO426" i="24"/>
  <c r="W458" i="24"/>
  <c r="Y455" i="24"/>
  <c r="AB452" i="24"/>
  <c r="S450" i="24"/>
  <c r="V447" i="24"/>
  <c r="CN454" i="24"/>
  <c r="CL429" i="24"/>
  <c r="BX459" i="24"/>
  <c r="BW448" i="24"/>
  <c r="CB437" i="24"/>
  <c r="BY426" i="24"/>
  <c r="BM458" i="24"/>
  <c r="BM453" i="24"/>
  <c r="BI448" i="24"/>
  <c r="BJ442" i="24"/>
  <c r="BS436" i="24"/>
  <c r="BJ431" i="24"/>
  <c r="BQ425" i="24"/>
  <c r="BD456" i="24"/>
  <c r="BC452" i="24"/>
  <c r="AW448" i="24"/>
  <c r="AT444" i="24"/>
  <c r="BE439" i="24"/>
  <c r="AV436" i="24"/>
  <c r="AU432" i="24"/>
  <c r="AW428" i="24"/>
  <c r="AW424" i="24"/>
  <c r="AJ459" i="24"/>
  <c r="AG456" i="24"/>
  <c r="AO452" i="24"/>
  <c r="AI449" i="24"/>
  <c r="AF446" i="24"/>
  <c r="AO442" i="24"/>
  <c r="AL439" i="24"/>
  <c r="AP435" i="24"/>
  <c r="AM432" i="24"/>
  <c r="AH429" i="24"/>
  <c r="AQ425" i="24"/>
  <c r="CM445" i="24"/>
  <c r="CG454" i="24"/>
  <c r="CB441" i="24"/>
  <c r="CF428" i="24"/>
  <c r="BJ459" i="24"/>
  <c r="BP452" i="24"/>
  <c r="BP446" i="24"/>
  <c r="BL440" i="24"/>
  <c r="BS433" i="24"/>
  <c r="BJ428" i="24"/>
  <c r="BA457" i="24"/>
  <c r="AV453" i="24"/>
  <c r="BA448" i="24"/>
  <c r="AY443" i="24"/>
  <c r="AY439" i="24"/>
  <c r="AT435" i="24"/>
  <c r="BC430" i="24"/>
  <c r="AV426" i="24"/>
  <c r="AH459" i="24"/>
  <c r="AM455" i="24"/>
  <c r="AP451" i="24"/>
  <c r="AH448" i="24"/>
  <c r="AN444" i="24"/>
  <c r="AN440" i="24"/>
  <c r="AH437" i="24"/>
  <c r="AK433" i="24"/>
  <c r="AN429" i="24"/>
  <c r="AF426" i="24"/>
  <c r="AA457" i="24"/>
  <c r="AC454" i="24"/>
  <c r="S452" i="24"/>
  <c r="U449" i="24"/>
  <c r="W446" i="24"/>
  <c r="Z443" i="24"/>
  <c r="AC440" i="24"/>
  <c r="T438" i="24"/>
  <c r="W435" i="24"/>
  <c r="AA432" i="24"/>
  <c r="S430" i="24"/>
  <c r="W427" i="24"/>
  <c r="AA424" i="24"/>
  <c r="CQ443" i="24"/>
  <c r="BX454" i="24"/>
  <c r="BZ441" i="24"/>
  <c r="BX428" i="24"/>
  <c r="BS458" i="24"/>
  <c r="BO452" i="24"/>
  <c r="BM446" i="24"/>
  <c r="BK440" i="24"/>
  <c r="BR433" i="24"/>
  <c r="BO427" i="24"/>
  <c r="AZ457" i="24"/>
  <c r="AT453" i="24"/>
  <c r="AU448" i="24"/>
  <c r="AX443" i="24"/>
  <c r="AX439" i="24"/>
  <c r="BD434" i="24"/>
  <c r="BB430" i="24"/>
  <c r="AU426" i="24"/>
  <c r="AG459" i="24"/>
  <c r="AL455" i="24"/>
  <c r="AO451" i="24"/>
  <c r="AG448" i="24"/>
  <c r="AK444" i="24"/>
  <c r="AM440" i="24"/>
  <c r="AG437" i="24"/>
  <c r="AJ433" i="24"/>
  <c r="AM429" i="24"/>
  <c r="AP425" i="24"/>
  <c r="Z457" i="24"/>
  <c r="AB454" i="24"/>
  <c r="R452" i="24"/>
  <c r="T449" i="24"/>
  <c r="V446" i="24"/>
  <c r="Y443" i="24"/>
  <c r="AB440" i="24"/>
  <c r="S438" i="24"/>
  <c r="V435" i="24"/>
  <c r="Z432" i="24"/>
  <c r="R430" i="24"/>
  <c r="V427" i="24"/>
  <c r="Z424" i="24"/>
  <c r="CL443" i="24"/>
  <c r="CD453" i="24"/>
  <c r="BV440" i="24"/>
  <c r="BW428" i="24"/>
  <c r="BK458" i="24"/>
  <c r="BN452" i="24"/>
  <c r="BL446" i="24"/>
  <c r="BJ440" i="24"/>
  <c r="BN433" i="24"/>
  <c r="BN427" i="24"/>
  <c r="AY457" i="24"/>
  <c r="BE452" i="24"/>
  <c r="AT448" i="24"/>
  <c r="AW443" i="24"/>
  <c r="AV439" i="24"/>
  <c r="BC434" i="24"/>
  <c r="AZ430" i="24"/>
  <c r="BE425" i="24"/>
  <c r="AF459" i="24"/>
  <c r="AK455" i="24"/>
  <c r="AN451" i="24"/>
  <c r="AF448" i="24"/>
  <c r="AJ444" i="24"/>
  <c r="AL440" i="24"/>
  <c r="AF437" i="24"/>
  <c r="AI433" i="24"/>
  <c r="AK429" i="24"/>
  <c r="AO425" i="24"/>
  <c r="Y457" i="24"/>
  <c r="AA454" i="24"/>
  <c r="AC451" i="24"/>
  <c r="S449" i="24"/>
  <c r="U446" i="24"/>
  <c r="X443" i="24"/>
  <c r="AA440" i="24"/>
  <c r="R438" i="24"/>
  <c r="U435" i="24"/>
  <c r="Y432" i="24"/>
  <c r="AC429" i="24"/>
  <c r="U427" i="24"/>
  <c r="Y424" i="24"/>
  <c r="CT439" i="24"/>
  <c r="CA452" i="24"/>
  <c r="CG439" i="24"/>
  <c r="CG427" i="24"/>
  <c r="BJ458" i="24"/>
  <c r="BL452" i="24"/>
  <c r="BI446" i="24"/>
  <c r="BQ439" i="24"/>
  <c r="BM433" i="24"/>
  <c r="BK427" i="24"/>
  <c r="AX457" i="24"/>
  <c r="BD452" i="24"/>
  <c r="BC447" i="24"/>
  <c r="AV443" i="24"/>
  <c r="AU439" i="24"/>
  <c r="BB434" i="24"/>
  <c r="AW430" i="24"/>
  <c r="BD425" i="24"/>
  <c r="AQ458" i="24"/>
  <c r="AJ455" i="24"/>
  <c r="AM451" i="24"/>
  <c r="AQ447" i="24"/>
  <c r="AF444" i="24"/>
  <c r="AK440" i="24"/>
  <c r="AP436" i="24"/>
  <c r="AQ432" i="24"/>
  <c r="AJ429" i="24"/>
  <c r="AN425" i="24"/>
  <c r="X457" i="24"/>
  <c r="Z454" i="24"/>
  <c r="AB451" i="24"/>
  <c r="R449" i="24"/>
  <c r="T446" i="24"/>
  <c r="W443" i="24"/>
  <c r="Z440" i="24"/>
  <c r="AC437" i="24"/>
  <c r="T435" i="24"/>
  <c r="X432" i="24"/>
  <c r="AB429" i="24"/>
  <c r="T427" i="24"/>
  <c r="X424" i="24"/>
  <c r="CT437" i="24"/>
  <c r="BZ452" i="24"/>
  <c r="BZ439" i="24"/>
  <c r="CD427" i="24"/>
  <c r="BI458" i="24"/>
  <c r="BK452" i="24"/>
  <c r="BH446" i="24"/>
  <c r="BP439" i="24"/>
  <c r="BL433" i="24"/>
  <c r="BJ427" i="24"/>
  <c r="AU457" i="24"/>
  <c r="BB452" i="24"/>
  <c r="BB447" i="24"/>
  <c r="AU443" i="24"/>
  <c r="AT439" i="24"/>
  <c r="BA434" i="24"/>
  <c r="AV430" i="24"/>
  <c r="BC425" i="24"/>
  <c r="AP458" i="24"/>
  <c r="AI455" i="24"/>
  <c r="AL451" i="24"/>
  <c r="AP447" i="24"/>
  <c r="AQ443" i="24"/>
  <c r="AJ440" i="24"/>
  <c r="AO436" i="24"/>
  <c r="AP432" i="24"/>
  <c r="AG429" i="24"/>
  <c r="AK425" i="24"/>
  <c r="W457" i="24"/>
  <c r="Y454" i="24"/>
  <c r="AA451" i="24"/>
  <c r="AC448" i="24"/>
  <c r="S446" i="24"/>
  <c r="V443" i="24"/>
  <c r="Y440" i="24"/>
  <c r="AB437" i="24"/>
  <c r="S435" i="24"/>
  <c r="W432" i="24"/>
  <c r="AA429" i="24"/>
  <c r="S427" i="24"/>
  <c r="W424" i="24"/>
  <c r="CJ433" i="24"/>
  <c r="CD449" i="24"/>
  <c r="CE437" i="24"/>
  <c r="CA424" i="24"/>
  <c r="BN457" i="24"/>
  <c r="BN451" i="24"/>
  <c r="BS444" i="24"/>
  <c r="BI438" i="24"/>
  <c r="BM432" i="24"/>
  <c r="BR425" i="24"/>
  <c r="BA456" i="24"/>
  <c r="BA451" i="24"/>
  <c r="AT447" i="24"/>
  <c r="BA442" i="24"/>
  <c r="AX438" i="24"/>
  <c r="BC433" i="24"/>
  <c r="AX429" i="24"/>
  <c r="AU425" i="24"/>
  <c r="AJ458" i="24"/>
  <c r="AM454" i="24"/>
  <c r="AP450" i="24"/>
  <c r="AH447" i="24"/>
  <c r="AJ443" i="24"/>
  <c r="AP439" i="24"/>
  <c r="AF436" i="24"/>
  <c r="AH432" i="24"/>
  <c r="AN428" i="24"/>
  <c r="AF425" i="24"/>
  <c r="AB459" i="24"/>
  <c r="R457" i="24"/>
  <c r="T454" i="24"/>
  <c r="V451" i="24"/>
  <c r="X448" i="24"/>
  <c r="Z445" i="24"/>
  <c r="AC442" i="24"/>
  <c r="T440" i="24"/>
  <c r="W437" i="24"/>
  <c r="Z434" i="24"/>
  <c r="R432" i="24"/>
  <c r="V429" i="24"/>
  <c r="Z426" i="24"/>
  <c r="R424" i="24"/>
  <c r="CU432" i="24"/>
  <c r="BY449" i="24"/>
  <c r="CD437" i="24"/>
  <c r="BY424" i="24"/>
  <c r="BL457" i="24"/>
  <c r="BM451" i="24"/>
  <c r="BO444" i="24"/>
  <c r="BH438" i="24"/>
  <c r="BJ432" i="24"/>
  <c r="BP425" i="24"/>
  <c r="AY456" i="24"/>
  <c r="AY451" i="24"/>
  <c r="BE446" i="24"/>
  <c r="AZ442" i="24"/>
  <c r="AU438" i="24"/>
  <c r="BB433" i="24"/>
  <c r="AV429" i="24"/>
  <c r="BE424" i="24"/>
  <c r="AI458" i="24"/>
  <c r="AL454" i="24"/>
  <c r="AO450" i="24"/>
  <c r="AG447" i="24"/>
  <c r="AI443" i="24"/>
  <c r="AO439" i="24"/>
  <c r="AO435" i="24"/>
  <c r="AG432" i="24"/>
  <c r="AM428" i="24"/>
  <c r="AQ424" i="24"/>
  <c r="AA459" i="24"/>
  <c r="AC456" i="24"/>
  <c r="S454" i="24"/>
  <c r="U451" i="24"/>
  <c r="W448" i="24"/>
  <c r="Y445" i="24"/>
  <c r="AB442" i="24"/>
  <c r="S440" i="24"/>
  <c r="V437" i="24"/>
  <c r="Y434" i="24"/>
  <c r="AC431" i="24"/>
  <c r="U429" i="24"/>
  <c r="Y426" i="24"/>
  <c r="CR432" i="24"/>
  <c r="CS457" i="24"/>
  <c r="CK427" i="24"/>
  <c r="CE459" i="24"/>
  <c r="CC447" i="24"/>
  <c r="CD434" i="24"/>
  <c r="BN456" i="24"/>
  <c r="BL449" i="24"/>
  <c r="BH443" i="24"/>
  <c r="BH437" i="24"/>
  <c r="BL430" i="24"/>
  <c r="BO424" i="24"/>
  <c r="AW455" i="24"/>
  <c r="BB450" i="24"/>
  <c r="AT446" i="24"/>
  <c r="BB441" i="24"/>
  <c r="BE436" i="24"/>
  <c r="BA432" i="24"/>
  <c r="AZ428" i="24"/>
  <c r="AT424" i="24"/>
  <c r="AH457" i="24"/>
  <c r="AN453" i="24"/>
  <c r="AQ449" i="24"/>
  <c r="AH446" i="24"/>
  <c r="AM442" i="24"/>
  <c r="AN438" i="24"/>
  <c r="AF435" i="24"/>
  <c r="AL431" i="24"/>
  <c r="AP427" i="24"/>
  <c r="AH424" i="24"/>
  <c r="T459" i="24"/>
  <c r="V456" i="24"/>
  <c r="X453" i="24"/>
  <c r="Z450" i="24"/>
  <c r="AB447" i="24"/>
  <c r="AC444" i="24"/>
  <c r="T442" i="24"/>
  <c r="W439" i="24"/>
  <c r="Z436" i="24"/>
  <c r="R434" i="24"/>
  <c r="V431" i="24"/>
  <c r="Z428" i="24"/>
  <c r="R426" i="24"/>
  <c r="CO451" i="24"/>
  <c r="CR424" i="24"/>
  <c r="BW458" i="24"/>
  <c r="CA446" i="24"/>
  <c r="CG432" i="24"/>
  <c r="BI455" i="24"/>
  <c r="BO448" i="24"/>
  <c r="BN442" i="24"/>
  <c r="BJ436" i="24"/>
  <c r="BR429" i="24"/>
  <c r="AX459" i="24"/>
  <c r="AZ454" i="24"/>
  <c r="AT450" i="24"/>
  <c r="BA445" i="24"/>
  <c r="BB440" i="24"/>
  <c r="AZ436" i="24"/>
  <c r="AT432" i="24"/>
  <c r="BD427" i="24"/>
  <c r="AO456" i="24"/>
  <c r="AH453" i="24"/>
  <c r="AK449" i="24"/>
  <c r="AO445" i="24"/>
  <c r="AG442" i="24"/>
  <c r="AI438" i="24"/>
  <c r="AN434" i="24"/>
  <c r="AH431" i="24"/>
  <c r="AJ427" i="24"/>
  <c r="AB458" i="24"/>
  <c r="R456" i="24"/>
  <c r="T453" i="24"/>
  <c r="U450" i="24"/>
  <c r="W447" i="24"/>
  <c r="Y444" i="24"/>
  <c r="AB441" i="24"/>
  <c r="S439" i="24"/>
  <c r="V436" i="24"/>
  <c r="Z433" i="24"/>
  <c r="R431" i="24"/>
  <c r="V428" i="24"/>
  <c r="Z425" i="24"/>
  <c r="CL446" i="24"/>
  <c r="CO432" i="24"/>
  <c r="BY444" i="24"/>
  <c r="CF426" i="24"/>
  <c r="BM454" i="24"/>
  <c r="BP445" i="24"/>
  <c r="BI437" i="24"/>
  <c r="BQ428" i="24"/>
  <c r="CM424" i="24"/>
  <c r="CC457" i="24"/>
  <c r="CG438" i="24"/>
  <c r="BJ452" i="24"/>
  <c r="BI443" i="24"/>
  <c r="BM434" i="24"/>
  <c r="BM425" i="24"/>
  <c r="BD453" i="24"/>
  <c r="BD446" i="24"/>
  <c r="AZ440" i="24"/>
  <c r="AV435" i="24"/>
  <c r="BB428" i="24"/>
  <c r="CE455" i="24"/>
  <c r="BY437" i="24"/>
  <c r="CK428" i="24"/>
  <c r="CF446" i="24"/>
  <c r="CC429" i="24"/>
  <c r="BR459" i="24"/>
  <c r="BK450" i="24"/>
  <c r="BN441" i="24"/>
  <c r="BM431" i="24"/>
  <c r="BA453" i="24"/>
  <c r="AX446" i="24"/>
  <c r="AU440" i="24"/>
  <c r="BA433" i="24"/>
  <c r="BB427" i="24"/>
  <c r="AL458" i="24"/>
  <c r="AJ453" i="24"/>
  <c r="AM448" i="24"/>
  <c r="AF443" i="24"/>
  <c r="AQ437" i="24"/>
  <c r="AN432" i="24"/>
  <c r="AO427" i="24"/>
  <c r="Y459" i="24"/>
  <c r="AB455" i="24"/>
  <c r="Z451" i="24"/>
  <c r="AC447" i="24"/>
  <c r="S444" i="24"/>
  <c r="R440" i="24"/>
  <c r="U436" i="24"/>
  <c r="AB432" i="24"/>
  <c r="AB428" i="24"/>
  <c r="U425" i="24"/>
  <c r="CJ428" i="24"/>
  <c r="CC446" i="24"/>
  <c r="CC427" i="24"/>
  <c r="BP459" i="24"/>
  <c r="BP449" i="24"/>
  <c r="BJ441" i="24"/>
  <c r="BI431" i="24"/>
  <c r="BD459" i="24"/>
  <c r="AY453" i="24"/>
  <c r="AW446" i="24"/>
  <c r="BD439" i="24"/>
  <c r="AX433" i="24"/>
  <c r="BA427" i="24"/>
  <c r="AK458" i="24"/>
  <c r="AI453" i="24"/>
  <c r="AL448" i="24"/>
  <c r="AQ442" i="24"/>
  <c r="AP437" i="24"/>
  <c r="AL432" i="24"/>
  <c r="AN427" i="24"/>
  <c r="CU427" i="24"/>
  <c r="CB446" i="24"/>
  <c r="CG425" i="24"/>
  <c r="CO425" i="24"/>
  <c r="BZ446" i="24"/>
  <c r="CB425" i="24"/>
  <c r="CJ425" i="24"/>
  <c r="BX444" i="24"/>
  <c r="BS457" i="24"/>
  <c r="BP448" i="24"/>
  <c r="BN439" i="24"/>
  <c r="BI430" i="24"/>
  <c r="BE458" i="24"/>
  <c r="BD451" i="24"/>
  <c r="BB445" i="24"/>
  <c r="AZ439" i="24"/>
  <c r="BD432" i="24"/>
  <c r="BC426" i="24"/>
  <c r="AP457" i="24"/>
  <c r="AN452" i="24"/>
  <c r="AJ447" i="24"/>
  <c r="AK442" i="24"/>
  <c r="AK437" i="24"/>
  <c r="AP431" i="24"/>
  <c r="AQ426" i="24"/>
  <c r="S459" i="24"/>
  <c r="U455" i="24"/>
  <c r="S451" i="24"/>
  <c r="T447" i="24"/>
  <c r="U443" i="24"/>
  <c r="X439" i="24"/>
  <c r="AB435" i="24"/>
  <c r="AB431" i="24"/>
  <c r="U428" i="24"/>
  <c r="AB424" i="24"/>
  <c r="CQ424" i="24"/>
  <c r="BX443" i="24"/>
  <c r="BR457" i="24"/>
  <c r="BN448" i="24"/>
  <c r="BS438" i="24"/>
  <c r="BH430" i="24"/>
  <c r="BD458" i="24"/>
  <c r="BC451" i="24"/>
  <c r="AZ445" i="24"/>
  <c r="BE438" i="24"/>
  <c r="AY432" i="24"/>
  <c r="BA426" i="24"/>
  <c r="AN457" i="24"/>
  <c r="AM452" i="24"/>
  <c r="AI447" i="24"/>
  <c r="AH442" i="24"/>
  <c r="AJ437" i="24"/>
  <c r="AO431" i="24"/>
  <c r="AP426" i="24"/>
  <c r="R459" i="24"/>
  <c r="T455" i="24"/>
  <c r="R451" i="24"/>
  <c r="S447" i="24"/>
  <c r="T443" i="24"/>
  <c r="CB442" i="24"/>
  <c r="BH457" i="24"/>
  <c r="BJ448" i="24"/>
  <c r="BR437" i="24"/>
  <c r="BI429" i="24"/>
  <c r="AW458" i="24"/>
  <c r="AT451" i="24"/>
  <c r="BE444" i="24"/>
  <c r="BB438" i="24"/>
  <c r="BE431" i="24"/>
  <c r="BB425" i="24"/>
  <c r="AF457" i="24"/>
  <c r="AG452" i="24"/>
  <c r="AM446" i="24"/>
  <c r="AP441" i="24"/>
  <c r="AM436" i="24"/>
  <c r="AK431" i="24"/>
  <c r="AK426" i="24"/>
  <c r="Z458" i="24"/>
  <c r="X454" i="24"/>
  <c r="AA450" i="24"/>
  <c r="AB446" i="24"/>
  <c r="AA442" i="24"/>
  <c r="R439" i="24"/>
  <c r="X435" i="24"/>
  <c r="X431" i="24"/>
  <c r="AC427" i="24"/>
  <c r="S424" i="24"/>
  <c r="CL449" i="24"/>
  <c r="BV455" i="24"/>
  <c r="CA433" i="24"/>
  <c r="BQ453" i="24"/>
  <c r="BR443" i="24"/>
  <c r="BH435" i="24"/>
  <c r="BH425" i="24"/>
  <c r="BA455" i="24"/>
  <c r="AV449" i="24"/>
  <c r="AX442" i="24"/>
  <c r="AU436" i="24"/>
  <c r="AZ429" i="24"/>
  <c r="AG455" i="24"/>
  <c r="AF450" i="24"/>
  <c r="AG445" i="24"/>
  <c r="AN439" i="24"/>
  <c r="AM434" i="24"/>
  <c r="AO429" i="24"/>
  <c r="AK424" i="24"/>
  <c r="S457" i="24"/>
  <c r="U453" i="24"/>
  <c r="W449" i="24"/>
  <c r="U445" i="24"/>
  <c r="X441" i="24"/>
  <c r="Y437" i="24"/>
  <c r="AB433" i="24"/>
  <c r="V430" i="24"/>
  <c r="V426" i="24"/>
  <c r="BY439" i="24"/>
  <c r="BJ457" i="24"/>
  <c r="BQ446" i="24"/>
  <c r="BL434" i="24"/>
  <c r="AX453" i="24"/>
  <c r="AZ444" i="24"/>
  <c r="BB436" i="24"/>
  <c r="BE428" i="24"/>
  <c r="AJ456" i="24"/>
  <c r="AG450" i="24"/>
  <c r="AO443" i="24"/>
  <c r="AN437" i="24"/>
  <c r="AG431" i="24"/>
  <c r="AO424" i="24"/>
  <c r="Z459" i="24"/>
  <c r="S455" i="24"/>
  <c r="T450" i="24"/>
  <c r="X445" i="24"/>
  <c r="U441" i="24"/>
  <c r="AA436" i="24"/>
  <c r="V432" i="24"/>
  <c r="T428" i="24"/>
  <c r="CE438" i="24"/>
  <c r="BS456" i="24"/>
  <c r="BO445" i="24"/>
  <c r="BK434" i="24"/>
  <c r="BA452" i="24"/>
  <c r="AX444" i="24"/>
  <c r="BA436" i="24"/>
  <c r="BD428" i="24"/>
  <c r="AI456" i="24"/>
  <c r="AP449" i="24"/>
  <c r="AM443" i="24"/>
  <c r="AM437" i="24"/>
  <c r="AO430" i="24"/>
  <c r="AN424" i="24"/>
  <c r="X459" i="24"/>
  <c r="R455" i="24"/>
  <c r="R450" i="24"/>
  <c r="W445" i="24"/>
  <c r="T441" i="24"/>
  <c r="Y436" i="24"/>
  <c r="U432" i="24"/>
  <c r="S428" i="24"/>
  <c r="CN451" i="24"/>
  <c r="BX435" i="24"/>
  <c r="BP432" i="24"/>
  <c r="AW459" i="24"/>
  <c r="BC450" i="24"/>
  <c r="BB435" i="24"/>
  <c r="AF455" i="24"/>
  <c r="AQ448" i="24"/>
  <c r="AL442" i="24"/>
  <c r="AM435" i="24"/>
  <c r="AQ429" i="24"/>
  <c r="Y458" i="24"/>
  <c r="Z444" i="24"/>
  <c r="AC435" i="24"/>
  <c r="X427" i="24"/>
  <c r="CD438" i="24"/>
  <c r="BR456" i="24"/>
  <c r="BJ445" i="24"/>
  <c r="BJ434" i="24"/>
  <c r="AY452" i="24"/>
  <c r="AV444" i="24"/>
  <c r="AY436" i="24"/>
  <c r="BC428" i="24"/>
  <c r="AH456" i="24"/>
  <c r="AO449" i="24"/>
  <c r="AL443" i="24"/>
  <c r="AI437" i="24"/>
  <c r="AN430" i="24"/>
  <c r="AL424" i="24"/>
  <c r="W459" i="24"/>
  <c r="W454" i="24"/>
  <c r="AC449" i="24"/>
  <c r="V445" i="24"/>
  <c r="S441" i="24"/>
  <c r="X436" i="24"/>
  <c r="T432" i="24"/>
  <c r="R428" i="24"/>
  <c r="W436" i="24"/>
  <c r="BC427" i="24"/>
  <c r="U440" i="24"/>
  <c r="CL458" i="24"/>
  <c r="BX437" i="24"/>
  <c r="BP456" i="24"/>
  <c r="BH445" i="24"/>
  <c r="BH434" i="24"/>
  <c r="AX451" i="24"/>
  <c r="BD443" i="24"/>
  <c r="AW436" i="24"/>
  <c r="BA428" i="24"/>
  <c r="AF456" i="24"/>
  <c r="AN449" i="24"/>
  <c r="AH443" i="24"/>
  <c r="AN436" i="24"/>
  <c r="AM430" i="24"/>
  <c r="AJ424" i="24"/>
  <c r="V459" i="24"/>
  <c r="V454" i="24"/>
  <c r="AB449" i="24"/>
  <c r="T445" i="24"/>
  <c r="R441" i="24"/>
  <c r="S432" i="24"/>
  <c r="AB427" i="24"/>
  <c r="CM457" i="24"/>
  <c r="CF436" i="24"/>
  <c r="BO456" i="24"/>
  <c r="BN444" i="24"/>
  <c r="BH433" i="24"/>
  <c r="AW451" i="24"/>
  <c r="AZ443" i="24"/>
  <c r="AT436" i="24"/>
  <c r="AV428" i="24"/>
  <c r="AP455" i="24"/>
  <c r="AH449" i="24"/>
  <c r="AG443" i="24"/>
  <c r="AL436" i="24"/>
  <c r="AL430" i="24"/>
  <c r="U459" i="24"/>
  <c r="U454" i="24"/>
  <c r="AA449" i="24"/>
  <c r="S445" i="24"/>
  <c r="X440" i="24"/>
  <c r="T436" i="24"/>
  <c r="AA431" i="24"/>
  <c r="AA427" i="24"/>
  <c r="X449" i="24"/>
  <c r="CK456" i="24"/>
  <c r="CF435" i="24"/>
  <c r="BR455" i="24"/>
  <c r="BM444" i="24"/>
  <c r="BS432" i="24"/>
  <c r="BE450" i="24"/>
  <c r="AT443" i="24"/>
  <c r="BD435" i="24"/>
  <c r="AU428" i="24"/>
  <c r="AO455" i="24"/>
  <c r="AG449" i="24"/>
  <c r="AP442" i="24"/>
  <c r="AK436" i="24"/>
  <c r="AK430" i="24"/>
  <c r="AC458" i="24"/>
  <c r="R454" i="24"/>
  <c r="Z449" i="24"/>
  <c r="AB444" i="24"/>
  <c r="W440" i="24"/>
  <c r="S436" i="24"/>
  <c r="Z431" i="24"/>
  <c r="Z427" i="24"/>
  <c r="CT451" i="24"/>
  <c r="CF459" i="24"/>
  <c r="CA435" i="24"/>
  <c r="BO455" i="24"/>
  <c r="BQ443" i="24"/>
  <c r="BQ432" i="24"/>
  <c r="BC459" i="24"/>
  <c r="BD450" i="24"/>
  <c r="BD442" i="24"/>
  <c r="BC435" i="24"/>
  <c r="AT428" i="24"/>
  <c r="AN455" i="24"/>
  <c r="AF449" i="24"/>
  <c r="AN442" i="24"/>
  <c r="AN435" i="24"/>
  <c r="AJ430" i="24"/>
  <c r="AA458" i="24"/>
  <c r="AC453" i="24"/>
  <c r="Y449" i="24"/>
  <c r="AA444" i="24"/>
  <c r="V440" i="24"/>
  <c r="R436" i="24"/>
  <c r="Y431" i="24"/>
  <c r="Y427" i="24"/>
  <c r="CB459" i="24"/>
  <c r="BK455" i="24"/>
  <c r="BO443" i="24"/>
  <c r="BC442" i="24"/>
  <c r="AB453" i="24"/>
  <c r="CK450" i="24"/>
  <c r="CF458" i="24"/>
  <c r="BY433" i="24"/>
  <c r="BI454" i="24"/>
  <c r="BR442" i="24"/>
  <c r="BO431" i="24"/>
  <c r="AY458" i="24"/>
  <c r="AX450" i="24"/>
  <c r="AY442" i="24"/>
  <c r="AW435" i="24"/>
  <c r="AT427" i="24"/>
  <c r="AN454" i="24"/>
  <c r="AO448" i="24"/>
  <c r="AQ441" i="24"/>
  <c r="AK435" i="24"/>
  <c r="AF429" i="24"/>
  <c r="U458" i="24"/>
  <c r="Z453" i="24"/>
  <c r="AB448" i="24"/>
  <c r="W444" i="24"/>
  <c r="AB439" i="24"/>
  <c r="Z435" i="24"/>
  <c r="T431" i="24"/>
  <c r="AC426" i="24"/>
  <c r="CM448" i="24"/>
  <c r="BV458" i="24"/>
  <c r="CA432" i="24"/>
  <c r="BH454" i="24"/>
  <c r="BQ442" i="24"/>
  <c r="BH431" i="24"/>
  <c r="AX458" i="24"/>
  <c r="AV450" i="24"/>
  <c r="AW442" i="24"/>
  <c r="AZ434" i="24"/>
  <c r="BE426" i="24"/>
  <c r="AK454" i="24"/>
  <c r="AN448" i="24"/>
  <c r="AN441" i="24"/>
  <c r="AI435" i="24"/>
  <c r="AQ428" i="24"/>
  <c r="T458" i="24"/>
  <c r="Y453" i="24"/>
  <c r="AA448" i="24"/>
  <c r="V444" i="24"/>
  <c r="AA439" i="24"/>
  <c r="Y435" i="24"/>
  <c r="S431" i="24"/>
  <c r="AB426" i="24"/>
  <c r="CL448" i="24"/>
  <c r="CD457" i="24"/>
  <c r="BW432" i="24"/>
  <c r="BR453" i="24"/>
  <c r="BI442" i="24"/>
  <c r="BN430" i="24"/>
  <c r="CS436" i="24"/>
  <c r="BV452" i="24"/>
  <c r="CB430" i="24"/>
  <c r="BP451" i="24"/>
  <c r="BP440" i="24"/>
  <c r="BP428" i="24"/>
  <c r="BB456" i="24"/>
  <c r="AT449" i="24"/>
  <c r="AY440" i="24"/>
  <c r="AX432" i="24"/>
  <c r="BC424" i="24"/>
  <c r="AN459" i="24"/>
  <c r="AF453" i="24"/>
  <c r="AJ446" i="24"/>
  <c r="AI440" i="24"/>
  <c r="AJ434" i="24"/>
  <c r="AF428" i="24"/>
  <c r="T457" i="24"/>
  <c r="Y452" i="24"/>
  <c r="R448" i="24"/>
  <c r="S443" i="24"/>
  <c r="AA438" i="24"/>
  <c r="V434" i="24"/>
  <c r="W430" i="24"/>
  <c r="AC425" i="24"/>
  <c r="CP435" i="24"/>
  <c r="CF450" i="24"/>
  <c r="CE429" i="24"/>
  <c r="BO451" i="24"/>
  <c r="BO440" i="24"/>
  <c r="BO428" i="24"/>
  <c r="AX456" i="24"/>
  <c r="BD448" i="24"/>
  <c r="AX440" i="24"/>
  <c r="AW432" i="24"/>
  <c r="BB424" i="24"/>
  <c r="AL459" i="24"/>
  <c r="AQ452" i="24"/>
  <c r="AI446" i="24"/>
  <c r="AG440" i="24"/>
  <c r="AH434" i="24"/>
  <c r="AQ427" i="24"/>
  <c r="AB456" i="24"/>
  <c r="X452" i="24"/>
  <c r="AA447" i="24"/>
  <c r="R443" i="24"/>
  <c r="Z438" i="24"/>
  <c r="U434" i="24"/>
  <c r="U430" i="24"/>
  <c r="AB425" i="24"/>
  <c r="CD430" i="24"/>
  <c r="BH458" i="24"/>
  <c r="BJ437" i="24"/>
  <c r="AW456" i="24"/>
  <c r="BA444" i="24"/>
  <c r="AY431" i="24"/>
  <c r="AG457" i="24"/>
  <c r="AG446" i="24"/>
  <c r="AO437" i="24"/>
  <c r="AL426" i="24"/>
  <c r="S453" i="24"/>
  <c r="X446" i="24"/>
  <c r="Y438" i="24"/>
  <c r="AC432" i="24"/>
  <c r="W425" i="24"/>
  <c r="BV424" i="24"/>
  <c r="BO457" i="24"/>
  <c r="BR436" i="24"/>
  <c r="AU456" i="24"/>
  <c r="BB442" i="24"/>
  <c r="AX431" i="24"/>
  <c r="BP454" i="24"/>
  <c r="BQ436" i="24"/>
  <c r="BB455" i="24"/>
  <c r="AT442" i="24"/>
  <c r="AV431" i="24"/>
  <c r="AN456" i="24"/>
  <c r="AP445" i="24"/>
  <c r="AG435" i="24"/>
  <c r="AH426" i="24"/>
  <c r="BO453" i="24"/>
  <c r="BI436" i="24"/>
  <c r="BE454" i="24"/>
  <c r="BC441" i="24"/>
  <c r="AT431" i="24"/>
  <c r="AK456" i="24"/>
  <c r="AM445" i="24"/>
  <c r="AP434" i="24"/>
  <c r="AJ425" i="24"/>
  <c r="W452" i="24"/>
  <c r="AA445" i="24"/>
  <c r="U438" i="24"/>
  <c r="AB430" i="24"/>
  <c r="R425" i="24"/>
  <c r="BQ452" i="24"/>
  <c r="BL435" i="24"/>
  <c r="BB454" i="24"/>
  <c r="AY441" i="24"/>
  <c r="BB429" i="24"/>
  <c r="AG454" i="24"/>
  <c r="AK445" i="24"/>
  <c r="AL434" i="24"/>
  <c r="AH425" i="24"/>
  <c r="BH452" i="24"/>
  <c r="BI435" i="24"/>
  <c r="AY454" i="24"/>
  <c r="BC440" i="24"/>
  <c r="AY429" i="24"/>
  <c r="AF454" i="24"/>
  <c r="AH445" i="24"/>
  <c r="AK434" i="24"/>
  <c r="AG425" i="24"/>
  <c r="T452" i="24"/>
  <c r="T444" i="24"/>
  <c r="CA457" i="24"/>
  <c r="BI451" i="24"/>
  <c r="BK430" i="24"/>
  <c r="AU454" i="24"/>
  <c r="BC439" i="24"/>
  <c r="AU427" i="24"/>
  <c r="AP453" i="24"/>
  <c r="AQ444" i="24"/>
  <c r="AF434" i="24"/>
  <c r="X458" i="24"/>
  <c r="X451" i="24"/>
  <c r="AC443" i="24"/>
  <c r="T437" i="24"/>
  <c r="T430" i="24"/>
  <c r="BR441" i="24"/>
  <c r="BC449" i="24"/>
  <c r="AU434" i="24"/>
  <c r="AK451" i="24"/>
  <c r="AK439" i="24"/>
  <c r="AI427" i="24"/>
  <c r="AC450" i="24"/>
  <c r="U442" i="24"/>
  <c r="W434" i="24"/>
  <c r="R427" i="24"/>
  <c r="S442" i="24"/>
  <c r="BQ441" i="24"/>
  <c r="BB449" i="24"/>
  <c r="BE433" i="24"/>
  <c r="AH451" i="24"/>
  <c r="AH439" i="24"/>
  <c r="AH427" i="24"/>
  <c r="AC459" i="24"/>
  <c r="AB450" i="24"/>
  <c r="T434" i="24"/>
  <c r="AA426" i="24"/>
  <c r="BP441" i="24"/>
  <c r="AX449" i="24"/>
  <c r="AV433" i="24"/>
  <c r="AG451" i="24"/>
  <c r="AG439" i="24"/>
  <c r="AM426" i="24"/>
  <c r="S458" i="24"/>
  <c r="Y450" i="24"/>
  <c r="R442" i="24"/>
  <c r="S434" i="24"/>
  <c r="X426" i="24"/>
  <c r="BO441" i="24"/>
  <c r="AU449" i="24"/>
  <c r="AT433" i="24"/>
  <c r="AF451" i="24"/>
  <c r="AF439" i="24"/>
  <c r="AJ426" i="24"/>
  <c r="R458" i="24"/>
  <c r="X450" i="24"/>
  <c r="AC441" i="24"/>
  <c r="AC433" i="24"/>
  <c r="W426" i="24"/>
  <c r="BR440" i="24"/>
  <c r="BB448" i="24"/>
  <c r="BE432" i="24"/>
  <c r="AN450" i="24"/>
  <c r="AM438" i="24"/>
  <c r="AG426" i="24"/>
  <c r="AC457" i="24"/>
  <c r="W450" i="24"/>
  <c r="AA441" i="24"/>
  <c r="AA433" i="24"/>
  <c r="U426" i="24"/>
  <c r="BR438" i="24"/>
  <c r="BA447" i="24"/>
  <c r="BD431" i="24"/>
  <c r="AL450" i="24"/>
  <c r="AL438" i="24"/>
  <c r="AI425" i="24"/>
  <c r="AB457" i="24"/>
  <c r="V449" i="24"/>
  <c r="Z441" i="24"/>
  <c r="Y433" i="24"/>
  <c r="T426" i="24"/>
  <c r="BP438" i="24"/>
  <c r="AX447" i="24"/>
  <c r="BC431" i="24"/>
  <c r="AK450" i="24"/>
  <c r="AK438" i="24"/>
  <c r="AP424" i="24"/>
  <c r="BZ457" i="24"/>
  <c r="BM437" i="24"/>
  <c r="BC446" i="24"/>
  <c r="AU431" i="24"/>
  <c r="AK448" i="24"/>
  <c r="AL435" i="24"/>
  <c r="Z456" i="24"/>
  <c r="U448" i="24"/>
  <c r="AC439" i="24"/>
  <c r="U433" i="24"/>
  <c r="X425" i="24"/>
  <c r="CD455" i="24"/>
  <c r="BP436" i="24"/>
  <c r="AY446" i="24"/>
  <c r="BC429" i="24"/>
  <c r="CL428" i="24"/>
  <c r="CG445" i="24"/>
  <c r="BO449" i="24"/>
  <c r="BJ426" i="24"/>
  <c r="BE456" i="24"/>
  <c r="BD438" i="24"/>
  <c r="AQ456" i="24"/>
  <c r="AP443" i="24"/>
  <c r="AM431" i="24"/>
  <c r="AA453" i="24"/>
  <c r="AC445" i="24"/>
  <c r="X437" i="24"/>
  <c r="Y429" i="24"/>
  <c r="CN425" i="24"/>
  <c r="BW443" i="24"/>
  <c r="BJ449" i="24"/>
  <c r="BH426" i="24"/>
  <c r="BC456" i="24"/>
  <c r="BC438" i="24"/>
  <c r="AL456" i="24"/>
  <c r="AF442" i="24"/>
  <c r="AJ431" i="24"/>
  <c r="W453" i="24"/>
  <c r="AB445" i="24"/>
  <c r="U437" i="24"/>
  <c r="X429" i="24"/>
  <c r="CL424" i="24"/>
  <c r="CD442" i="24"/>
  <c r="BR448" i="24"/>
  <c r="BL425" i="24"/>
  <c r="AZ455" i="24"/>
  <c r="BD437" i="24"/>
  <c r="AO454" i="24"/>
  <c r="AK441" i="24"/>
  <c r="AI431" i="24"/>
  <c r="CF430" i="24"/>
  <c r="BR446" i="24"/>
  <c r="AZ450" i="24"/>
  <c r="AX424" i="24"/>
  <c r="AQ445" i="24"/>
  <c r="AJ428" i="24"/>
  <c r="Y456" i="24"/>
  <c r="Y446" i="24"/>
  <c r="AA434" i="24"/>
  <c r="V424" i="24"/>
  <c r="BS442" i="24"/>
  <c r="BE449" i="24"/>
  <c r="AV424" i="24"/>
  <c r="AN445" i="24"/>
  <c r="AG428" i="24"/>
  <c r="X456" i="24"/>
  <c r="R446" i="24"/>
  <c r="X434" i="24"/>
  <c r="U424" i="24"/>
  <c r="BP437" i="24"/>
  <c r="BD449" i="24"/>
  <c r="AU424" i="24"/>
  <c r="AL445" i="24"/>
  <c r="AL427" i="24"/>
  <c r="W456" i="24"/>
  <c r="X444" i="24"/>
  <c r="X433" i="24"/>
  <c r="T424" i="24"/>
  <c r="BO437" i="24"/>
  <c r="AW447" i="24"/>
  <c r="AF445" i="24"/>
  <c r="U456" i="24"/>
  <c r="U444" i="24"/>
  <c r="W433" i="24"/>
  <c r="BH436" i="24"/>
  <c r="AV447" i="24"/>
  <c r="AP444" i="24"/>
  <c r="T456" i="24"/>
  <c r="R444" i="24"/>
  <c r="V433" i="24"/>
  <c r="BR431" i="24"/>
  <c r="AV446" i="24"/>
  <c r="AO444" i="24"/>
  <c r="S456" i="24"/>
  <c r="AB443" i="24"/>
  <c r="T433" i="24"/>
  <c r="BQ429" i="24"/>
  <c r="BD445" i="24"/>
  <c r="AQ459" i="24"/>
  <c r="AI441" i="24"/>
  <c r="AC455" i="24"/>
  <c r="AA443" i="24"/>
  <c r="S433" i="24"/>
  <c r="BN429" i="24"/>
  <c r="BC445" i="24"/>
  <c r="AP459" i="24"/>
  <c r="AH441" i="24"/>
  <c r="AA455" i="24"/>
  <c r="Z442" i="24"/>
  <c r="R433" i="24"/>
  <c r="BH429" i="24"/>
  <c r="AV445" i="24"/>
  <c r="AO459" i="24"/>
  <c r="AG441" i="24"/>
  <c r="X455" i="24"/>
  <c r="Y442" i="24"/>
  <c r="W431" i="24"/>
  <c r="AC430" i="24"/>
  <c r="BS428" i="24"/>
  <c r="AT445" i="24"/>
  <c r="AK459" i="24"/>
  <c r="AF441" i="24"/>
  <c r="W455" i="24"/>
  <c r="X442" i="24"/>
  <c r="U431" i="24"/>
  <c r="BL428" i="24"/>
  <c r="BE441" i="24"/>
  <c r="AI459" i="24"/>
  <c r="AQ440" i="24"/>
  <c r="V455" i="24"/>
  <c r="W442" i="24"/>
  <c r="BK428" i="24"/>
  <c r="BA441" i="24"/>
  <c r="AN458" i="24"/>
  <c r="AF440" i="24"/>
  <c r="BW449" i="24"/>
  <c r="BN459" i="24"/>
  <c r="AX435" i="24"/>
  <c r="AL452" i="24"/>
  <c r="AO433" i="24"/>
  <c r="Y448" i="24"/>
  <c r="W438" i="24"/>
  <c r="AA428" i="24"/>
  <c r="CB448" i="24"/>
  <c r="BP453" i="24"/>
  <c r="AU459" i="24"/>
  <c r="AY434" i="24"/>
  <c r="AK452" i="24"/>
  <c r="AO432" i="24"/>
  <c r="V448" i="24"/>
  <c r="V438" i="24"/>
  <c r="Y428" i="24"/>
  <c r="BX448" i="24"/>
  <c r="BS452" i="24"/>
  <c r="AU458" i="24"/>
  <c r="BA431" i="24"/>
  <c r="AF452" i="24"/>
  <c r="AK432" i="24"/>
  <c r="Z127" i="24"/>
  <c r="Z160" i="24"/>
  <c r="U193" i="24"/>
  <c r="Z321" i="24"/>
  <c r="AA127" i="24"/>
  <c r="AC144" i="24"/>
  <c r="AA160" i="24"/>
  <c r="AC176" i="24"/>
  <c r="X193" i="24"/>
  <c r="R285" i="24"/>
  <c r="AC302" i="24"/>
  <c r="AA321" i="24"/>
  <c r="AB338" i="24"/>
  <c r="AA354" i="24"/>
  <c r="Y373" i="24"/>
  <c r="AC392" i="24"/>
  <c r="AC406" i="24"/>
  <c r="X428" i="24"/>
  <c r="AC446" i="24"/>
  <c r="AN124" i="24"/>
  <c r="AK149" i="24"/>
  <c r="AK176" i="24"/>
  <c r="AO282" i="24"/>
  <c r="AH307" i="24"/>
  <c r="AP339" i="24"/>
  <c r="AI374" i="24"/>
  <c r="AJ408" i="24"/>
  <c r="AL447" i="24"/>
  <c r="AX120" i="24"/>
  <c r="AY154" i="24"/>
  <c r="AW274" i="24"/>
  <c r="AT312" i="24"/>
  <c r="BB358" i="24"/>
  <c r="BS160" i="24"/>
  <c r="BR297" i="24"/>
  <c r="BQ368" i="24"/>
  <c r="BK448" i="24"/>
  <c r="CF376" i="24"/>
  <c r="BI287" i="24"/>
  <c r="Z283" i="24"/>
  <c r="T300" i="24"/>
  <c r="S319" i="24"/>
  <c r="AK274" i="24"/>
  <c r="AJ306" i="24"/>
  <c r="AJ337" i="24"/>
  <c r="AZ310" i="24"/>
  <c r="BP287" i="24"/>
  <c r="AB283" i="24"/>
  <c r="W301" i="24"/>
  <c r="S334" i="24"/>
  <c r="AC370" i="24"/>
  <c r="AP306" i="24"/>
  <c r="AH371" i="24"/>
  <c r="AU358" i="24"/>
  <c r="BI288" i="24"/>
  <c r="BV372" i="24"/>
  <c r="CM421" i="24"/>
  <c r="CQ418" i="24"/>
  <c r="CU415" i="24"/>
  <c r="CM413" i="24"/>
  <c r="CQ410" i="24"/>
  <c r="CU407" i="24"/>
  <c r="CM405" i="24"/>
  <c r="CQ402" i="24"/>
  <c r="CU399" i="24"/>
  <c r="CM397" i="24"/>
  <c r="CQ394" i="24"/>
  <c r="CU391" i="24"/>
  <c r="CM389" i="24"/>
  <c r="CQ386" i="24"/>
  <c r="CQ421" i="24"/>
  <c r="CT418" i="24"/>
  <c r="CK416" i="24"/>
  <c r="CN413" i="24"/>
  <c r="CP410" i="24"/>
  <c r="CS407" i="24"/>
  <c r="CJ405" i="24"/>
  <c r="CM402" i="24"/>
  <c r="CP399" i="24"/>
  <c r="CS396" i="24"/>
  <c r="CJ394" i="24"/>
  <c r="CM391" i="24"/>
  <c r="CP388" i="24"/>
  <c r="CS420" i="24"/>
  <c r="CJ418" i="24"/>
  <c r="CM415" i="24"/>
  <c r="CP412" i="24"/>
  <c r="CS409" i="24"/>
  <c r="CJ407" i="24"/>
  <c r="CM404" i="24"/>
  <c r="CP401" i="24"/>
  <c r="CS398" i="24"/>
  <c r="CJ396" i="24"/>
  <c r="CM393" i="24"/>
  <c r="CP390" i="24"/>
  <c r="CS387" i="24"/>
  <c r="CN421" i="24"/>
  <c r="CN418" i="24"/>
  <c r="CO415" i="24"/>
  <c r="CO412" i="24"/>
  <c r="CP409" i="24"/>
  <c r="CQ406" i="24"/>
  <c r="CR403" i="24"/>
  <c r="CS400" i="24"/>
  <c r="CT397" i="24"/>
  <c r="CU394" i="24"/>
  <c r="CJ392" i="24"/>
  <c r="CJ389" i="24"/>
  <c r="CK386" i="24"/>
  <c r="CN419" i="24"/>
  <c r="CN416" i="24"/>
  <c r="CL413" i="24"/>
  <c r="CL410" i="24"/>
  <c r="CL407" i="24"/>
  <c r="CK404" i="24"/>
  <c r="CK401" i="24"/>
  <c r="CK398" i="24"/>
  <c r="CK395" i="24"/>
  <c r="CK392" i="24"/>
  <c r="CU388" i="24"/>
  <c r="CS421" i="24"/>
  <c r="CR418" i="24"/>
  <c r="CQ415" i="24"/>
  <c r="CQ412" i="24"/>
  <c r="CO409" i="24"/>
  <c r="CO406" i="24"/>
  <c r="CO403" i="24"/>
  <c r="CO400" i="24"/>
  <c r="CO397" i="24"/>
  <c r="CN394" i="24"/>
  <c r="CN391" i="24"/>
  <c r="CM388" i="24"/>
  <c r="CR420" i="24"/>
  <c r="CP417" i="24"/>
  <c r="CN414" i="24"/>
  <c r="CL411" i="24"/>
  <c r="CJ408" i="24"/>
  <c r="CR404" i="24"/>
  <c r="CO401" i="24"/>
  <c r="CM398" i="24"/>
  <c r="CJ395" i="24"/>
  <c r="CR391" i="24"/>
  <c r="CO388" i="24"/>
  <c r="CE421" i="24"/>
  <c r="BW419" i="24"/>
  <c r="CA416" i="24"/>
  <c r="CE413" i="24"/>
  <c r="BW411" i="24"/>
  <c r="CA408" i="24"/>
  <c r="CE405" i="24"/>
  <c r="BW403" i="24"/>
  <c r="CA400" i="24"/>
  <c r="CE397" i="24"/>
  <c r="BW395" i="24"/>
  <c r="CA392" i="24"/>
  <c r="CE389" i="24"/>
  <c r="BW387" i="24"/>
  <c r="CU419" i="24"/>
  <c r="CS416" i="24"/>
  <c r="CQ413" i="24"/>
  <c r="CM410" i="24"/>
  <c r="CU406" i="24"/>
  <c r="CS403" i="24"/>
  <c r="CP400" i="24"/>
  <c r="CL397" i="24"/>
  <c r="CU393" i="24"/>
  <c r="CS390" i="24"/>
  <c r="CP387" i="24"/>
  <c r="CL419" i="24"/>
  <c r="CT415" i="24"/>
  <c r="CR412" i="24"/>
  <c r="CM409" i="24"/>
  <c r="CK406" i="24"/>
  <c r="CU402" i="24"/>
  <c r="CR399" i="24"/>
  <c r="CO396" i="24"/>
  <c r="CL393" i="24"/>
  <c r="CJ390" i="24"/>
  <c r="CT386" i="24"/>
  <c r="CS418" i="24"/>
  <c r="CN415" i="24"/>
  <c r="CK412" i="24"/>
  <c r="CU408" i="24"/>
  <c r="CS405" i="24"/>
  <c r="CP402" i="24"/>
  <c r="CM399" i="24"/>
  <c r="CK396" i="24"/>
  <c r="CT392" i="24"/>
  <c r="CR389" i="24"/>
  <c r="CO386" i="24"/>
  <c r="BV420" i="24"/>
  <c r="BZ417" i="24"/>
  <c r="CD414" i="24"/>
  <c r="BV412" i="24"/>
  <c r="BZ409" i="24"/>
  <c r="CP421" i="24"/>
  <c r="CS417" i="24"/>
  <c r="CL414" i="24"/>
  <c r="CR410" i="24"/>
  <c r="CS406" i="24"/>
  <c r="CK403" i="24"/>
  <c r="CN399" i="24"/>
  <c r="CR395" i="24"/>
  <c r="CL392" i="24"/>
  <c r="CL388" i="24"/>
  <c r="CK421" i="24"/>
  <c r="CO417" i="24"/>
  <c r="CU413" i="24"/>
  <c r="CK410" i="24"/>
  <c r="CN406" i="24"/>
  <c r="CS402" i="24"/>
  <c r="CJ399" i="24"/>
  <c r="CO395" i="24"/>
  <c r="CQ391" i="24"/>
  <c r="CU387" i="24"/>
  <c r="BZ421" i="24"/>
  <c r="CB418" i="24"/>
  <c r="CD415" i="24"/>
  <c r="CF412" i="24"/>
  <c r="BV410" i="24"/>
  <c r="BX407" i="24"/>
  <c r="CA404" i="24"/>
  <c r="CD401" i="24"/>
  <c r="CG398" i="24"/>
  <c r="BX396" i="24"/>
  <c r="CA393" i="24"/>
  <c r="CD390" i="24"/>
  <c r="CG387" i="24"/>
  <c r="CO420" i="24"/>
  <c r="CU416" i="24"/>
  <c r="CK413" i="24"/>
  <c r="CN409" i="24"/>
  <c r="CR405" i="24"/>
  <c r="CJ402" i="24"/>
  <c r="CO398" i="24"/>
  <c r="CR394" i="24"/>
  <c r="CU390" i="24"/>
  <c r="CM387" i="24"/>
  <c r="CL421" i="24"/>
  <c r="CL417" i="24"/>
  <c r="CJ413" i="24"/>
  <c r="CT408" i="24"/>
  <c r="CU404" i="24"/>
  <c r="CU400" i="24"/>
  <c r="CT396" i="24"/>
  <c r="CS392" i="24"/>
  <c r="CS388" i="24"/>
  <c r="CJ421" i="24"/>
  <c r="CK417" i="24"/>
  <c r="CU412" i="24"/>
  <c r="CS408" i="24"/>
  <c r="CT404" i="24"/>
  <c r="CT400" i="24"/>
  <c r="CR396" i="24"/>
  <c r="CR392" i="24"/>
  <c r="CR388" i="24"/>
  <c r="CF421" i="24"/>
  <c r="CF418" i="24"/>
  <c r="CG415" i="24"/>
  <c r="BV413" i="24"/>
  <c r="BW410" i="24"/>
  <c r="BW407" i="24"/>
  <c r="BY404" i="24"/>
  <c r="CA401" i="24"/>
  <c r="CC398" i="24"/>
  <c r="CE395" i="24"/>
  <c r="CG392" i="24"/>
  <c r="BW390" i="24"/>
  <c r="BY387" i="24"/>
  <c r="CQ420" i="24"/>
  <c r="CR416" i="24"/>
  <c r="CN412" i="24"/>
  <c r="CP408" i="24"/>
  <c r="CP404" i="24"/>
  <c r="CN400" i="24"/>
  <c r="CN396" i="24"/>
  <c r="CO392" i="24"/>
  <c r="CK388" i="24"/>
  <c r="CB421" i="24"/>
  <c r="CC418" i="24"/>
  <c r="CC415" i="24"/>
  <c r="CD412" i="24"/>
  <c r="CE409" i="24"/>
  <c r="CF406" i="24"/>
  <c r="BV404" i="24"/>
  <c r="BX401" i="24"/>
  <c r="BZ398" i="24"/>
  <c r="CB395" i="24"/>
  <c r="CD392" i="24"/>
  <c r="CF389" i="24"/>
  <c r="CG386" i="24"/>
  <c r="CJ420" i="24"/>
  <c r="CJ416" i="24"/>
  <c r="CS411" i="24"/>
  <c r="CT407" i="24"/>
  <c r="CT403" i="24"/>
  <c r="CS399" i="24"/>
  <c r="CQ395" i="24"/>
  <c r="CO391" i="24"/>
  <c r="CN387" i="24"/>
  <c r="CK418" i="24"/>
  <c r="CR413" i="24"/>
  <c r="CQ408" i="24"/>
  <c r="CJ404" i="24"/>
  <c r="CL399" i="24"/>
  <c r="CP394" i="24"/>
  <c r="CK390" i="24"/>
  <c r="CR419" i="24"/>
  <c r="CU414" i="24"/>
  <c r="CS410" i="24"/>
  <c r="CT405" i="24"/>
  <c r="CM401" i="24"/>
  <c r="CP396" i="24"/>
  <c r="CS391" i="24"/>
  <c r="CJ387" i="24"/>
  <c r="CL418" i="24"/>
  <c r="CO413" i="24"/>
  <c r="CL408" i="24"/>
  <c r="CL403" i="24"/>
  <c r="CL398" i="24"/>
  <c r="CO393" i="24"/>
  <c r="CN388" i="24"/>
  <c r="CT417" i="24"/>
  <c r="CS412" i="24"/>
  <c r="CR407" i="24"/>
  <c r="CT402" i="24"/>
  <c r="CU397" i="24"/>
  <c r="CK393" i="24"/>
  <c r="CT387" i="24"/>
  <c r="CT421" i="24"/>
  <c r="CP416" i="24"/>
  <c r="CP411" i="24"/>
  <c r="CR406" i="24"/>
  <c r="CS401" i="24"/>
  <c r="CU396" i="24"/>
  <c r="CP391" i="24"/>
  <c r="CR386" i="24"/>
  <c r="CM420" i="24"/>
  <c r="CL415" i="24"/>
  <c r="CT410" i="24"/>
  <c r="CP405" i="24"/>
  <c r="CQ400" i="24"/>
  <c r="CP395" i="24"/>
  <c r="CO390" i="24"/>
  <c r="CE419" i="24"/>
  <c r="CD416" i="24"/>
  <c r="CB413" i="24"/>
  <c r="CA410" i="24"/>
  <c r="BZ407" i="24"/>
  <c r="BX404" i="24"/>
  <c r="BW401" i="24"/>
  <c r="BW398" i="24"/>
  <c r="BV395" i="24"/>
  <c r="BV392" i="24"/>
  <c r="BV389" i="24"/>
  <c r="BV386" i="24"/>
  <c r="CS419" i="24"/>
  <c r="CS414" i="24"/>
  <c r="CU409" i="24"/>
  <c r="CK405" i="24"/>
  <c r="CJ400" i="24"/>
  <c r="CT394" i="24"/>
  <c r="CU389" i="24"/>
  <c r="CU420" i="24"/>
  <c r="CJ415" i="24"/>
  <c r="CL409" i="24"/>
  <c r="CN403" i="24"/>
  <c r="CQ397" i="24"/>
  <c r="CL391" i="24"/>
  <c r="CG420" i="24"/>
  <c r="CE417" i="24"/>
  <c r="CB414" i="24"/>
  <c r="BZ411" i="24"/>
  <c r="BW408" i="24"/>
  <c r="BV405" i="24"/>
  <c r="CG401" i="24"/>
  <c r="CE398" i="24"/>
  <c r="CC395" i="24"/>
  <c r="BZ392" i="24"/>
  <c r="BY389" i="24"/>
  <c r="BX386" i="24"/>
  <c r="BL419" i="24"/>
  <c r="BP416" i="24"/>
  <c r="BH414" i="24"/>
  <c r="BL411" i="24"/>
  <c r="BP408" i="24"/>
  <c r="BH406" i="24"/>
  <c r="BL403" i="24"/>
  <c r="BP400" i="24"/>
  <c r="BH398" i="24"/>
  <c r="BL395" i="24"/>
  <c r="BP392" i="24"/>
  <c r="BH390" i="24"/>
  <c r="BL387" i="24"/>
  <c r="CT420" i="24"/>
  <c r="CT414" i="24"/>
  <c r="CK409" i="24"/>
  <c r="CM403" i="24"/>
  <c r="CP397" i="24"/>
  <c r="CK391" i="24"/>
  <c r="CF420" i="24"/>
  <c r="CD417" i="24"/>
  <c r="CA414" i="24"/>
  <c r="BY411" i="24"/>
  <c r="BV408" i="24"/>
  <c r="CG404" i="24"/>
  <c r="CF401" i="24"/>
  <c r="CD398" i="24"/>
  <c r="CA395" i="24"/>
  <c r="BY392" i="24"/>
  <c r="BX389" i="24"/>
  <c r="BW386" i="24"/>
  <c r="BS421" i="24"/>
  <c r="BK419" i="24"/>
  <c r="BO416" i="24"/>
  <c r="BS413" i="24"/>
  <c r="BK411" i="24"/>
  <c r="BO408" i="24"/>
  <c r="BS405" i="24"/>
  <c r="BK403" i="24"/>
  <c r="BO400" i="24"/>
  <c r="BS397" i="24"/>
  <c r="BK395" i="24"/>
  <c r="BO392" i="24"/>
  <c r="BS389" i="24"/>
  <c r="BK387" i="24"/>
  <c r="BA420" i="24"/>
  <c r="BE417" i="24"/>
  <c r="AW415" i="24"/>
  <c r="BA412" i="24"/>
  <c r="BE409" i="24"/>
  <c r="AW407" i="24"/>
  <c r="BA404" i="24"/>
  <c r="BE401" i="24"/>
  <c r="AW399" i="24"/>
  <c r="BA396" i="24"/>
  <c r="BE393" i="24"/>
  <c r="AW391" i="24"/>
  <c r="BA388" i="24"/>
  <c r="CP420" i="24"/>
  <c r="CR414" i="24"/>
  <c r="CJ409" i="24"/>
  <c r="CJ403" i="24"/>
  <c r="CN397" i="24"/>
  <c r="CJ391" i="24"/>
  <c r="CN420" i="24"/>
  <c r="CQ414" i="24"/>
  <c r="CR408" i="24"/>
  <c r="CR402" i="24"/>
  <c r="CK397" i="24"/>
  <c r="CT390" i="24"/>
  <c r="CL420" i="24"/>
  <c r="CP414" i="24"/>
  <c r="CO408" i="24"/>
  <c r="CO402" i="24"/>
  <c r="CJ397" i="24"/>
  <c r="CR390" i="24"/>
  <c r="CC420" i="24"/>
  <c r="CA417" i="24"/>
  <c r="BX414" i="24"/>
  <c r="CG410" i="24"/>
  <c r="CE407" i="24"/>
  <c r="CD404" i="24"/>
  <c r="CB401" i="24"/>
  <c r="BY398" i="24"/>
  <c r="BX395" i="24"/>
  <c r="CG391" i="24"/>
  <c r="CF388" i="24"/>
  <c r="CO419" i="24"/>
  <c r="CT413" i="24"/>
  <c r="CP407" i="24"/>
  <c r="CT401" i="24"/>
  <c r="CT395" i="24"/>
  <c r="CT389" i="24"/>
  <c r="BX420" i="24"/>
  <c r="CG416" i="24"/>
  <c r="CD413" i="24"/>
  <c r="CB410" i="24"/>
  <c r="BY407" i="24"/>
  <c r="CG403" i="24"/>
  <c r="CF400" i="24"/>
  <c r="CD397" i="24"/>
  <c r="CC394" i="24"/>
  <c r="CB391" i="24"/>
  <c r="CA388" i="24"/>
  <c r="CU417" i="24"/>
  <c r="CT411" i="24"/>
  <c r="CL406" i="24"/>
  <c r="CL400" i="24"/>
  <c r="CL394" i="24"/>
  <c r="CT388" i="24"/>
  <c r="BZ419" i="24"/>
  <c r="BW416" i="24"/>
  <c r="CE412" i="24"/>
  <c r="CB409" i="24"/>
  <c r="BZ406" i="24"/>
  <c r="BY403" i="24"/>
  <c r="BW400" i="24"/>
  <c r="BV397" i="24"/>
  <c r="CG393" i="24"/>
  <c r="CF390" i="24"/>
  <c r="CD387" i="24"/>
  <c r="BO420" i="24"/>
  <c r="BS417" i="24"/>
  <c r="BK415" i="24"/>
  <c r="BO412" i="24"/>
  <c r="BS409" i="24"/>
  <c r="BK407" i="24"/>
  <c r="BO404" i="24"/>
  <c r="BS401" i="24"/>
  <c r="BK399" i="24"/>
  <c r="BO396" i="24"/>
  <c r="BS393" i="24"/>
  <c r="BK391" i="24"/>
  <c r="BO388" i="24"/>
  <c r="CM417" i="24"/>
  <c r="CN411" i="24"/>
  <c r="CO405" i="24"/>
  <c r="CO399" i="24"/>
  <c r="CR393" i="24"/>
  <c r="CQ387" i="24"/>
  <c r="CG418" i="24"/>
  <c r="CB415" i="24"/>
  <c r="BZ412" i="24"/>
  <c r="BW409" i="24"/>
  <c r="BV406" i="24"/>
  <c r="CF402" i="24"/>
  <c r="CE399" i="24"/>
  <c r="CD396" i="24"/>
  <c r="CC393" i="24"/>
  <c r="CA390" i="24"/>
  <c r="BZ387" i="24"/>
  <c r="CU421" i="24"/>
  <c r="CP413" i="24"/>
  <c r="CQ405" i="24"/>
  <c r="CJ398" i="24"/>
  <c r="CQ389" i="24"/>
  <c r="BV419" i="24"/>
  <c r="BV415" i="24"/>
  <c r="BV411" i="24"/>
  <c r="CG406" i="24"/>
  <c r="BX403" i="24"/>
  <c r="CA399" i="24"/>
  <c r="CD395" i="24"/>
  <c r="CC391" i="24"/>
  <c r="CF387" i="24"/>
  <c r="BP421" i="24"/>
  <c r="BQ418" i="24"/>
  <c r="BR415" i="24"/>
  <c r="BS412" i="24"/>
  <c r="BH410" i="24"/>
  <c r="BH407" i="24"/>
  <c r="BI404" i="24"/>
  <c r="BJ401" i="24"/>
  <c r="BK398" i="24"/>
  <c r="BJ395" i="24"/>
  <c r="BK392" i="24"/>
  <c r="BL389" i="24"/>
  <c r="BM386" i="24"/>
  <c r="BC419" i="24"/>
  <c r="AT417" i="24"/>
  <c r="AW414" i="24"/>
  <c r="AZ411" i="24"/>
  <c r="BC408" i="24"/>
  <c r="AT406" i="24"/>
  <c r="AW403" i="24"/>
  <c r="AZ400" i="24"/>
  <c r="BC397" i="24"/>
  <c r="AT395" i="24"/>
  <c r="AW392" i="24"/>
  <c r="AZ389" i="24"/>
  <c r="BC386" i="24"/>
  <c r="CR421" i="24"/>
  <c r="CT412" i="24"/>
  <c r="CN405" i="24"/>
  <c r="CS397" i="24"/>
  <c r="CP389" i="24"/>
  <c r="CE418" i="24"/>
  <c r="CG414" i="24"/>
  <c r="CF410" i="24"/>
  <c r="CE406" i="24"/>
  <c r="BV403" i="24"/>
  <c r="BZ399" i="24"/>
  <c r="BZ395" i="24"/>
  <c r="CA391" i="24"/>
  <c r="CE387" i="24"/>
  <c r="BO421" i="24"/>
  <c r="BP418" i="24"/>
  <c r="BQ415" i="24"/>
  <c r="BR412" i="24"/>
  <c r="BR409" i="24"/>
  <c r="BS406" i="24"/>
  <c r="BH404" i="24"/>
  <c r="BI401" i="24"/>
  <c r="BJ398" i="24"/>
  <c r="BI395" i="24"/>
  <c r="BJ392" i="24"/>
  <c r="BK389" i="24"/>
  <c r="BL386" i="24"/>
  <c r="BB419" i="24"/>
  <c r="BE416" i="24"/>
  <c r="AV414" i="24"/>
  <c r="AY411" i="24"/>
  <c r="BB408" i="24"/>
  <c r="BE405" i="24"/>
  <c r="AV403" i="24"/>
  <c r="AY400" i="24"/>
  <c r="BB397" i="24"/>
  <c r="BE394" i="24"/>
  <c r="AV392" i="24"/>
  <c r="AY389" i="24"/>
  <c r="BB386" i="24"/>
  <c r="AP420" i="24"/>
  <c r="AH418" i="24"/>
  <c r="AL415" i="24"/>
  <c r="AP412" i="24"/>
  <c r="AH410" i="24"/>
  <c r="AL407" i="24"/>
  <c r="AP404" i="24"/>
  <c r="AH402" i="24"/>
  <c r="AL399" i="24"/>
  <c r="AP396" i="24"/>
  <c r="AH394" i="24"/>
  <c r="AL391" i="24"/>
  <c r="AP388" i="24"/>
  <c r="AH386" i="24"/>
  <c r="CK420" i="24"/>
  <c r="CL412" i="24"/>
  <c r="CS404" i="24"/>
  <c r="CQ396" i="24"/>
  <c r="CN389" i="24"/>
  <c r="CA418" i="24"/>
  <c r="CE414" i="24"/>
  <c r="CD410" i="24"/>
  <c r="CC406" i="24"/>
  <c r="CE402" i="24"/>
  <c r="BX399" i="24"/>
  <c r="CG394" i="24"/>
  <c r="BY391" i="24"/>
  <c r="CB387" i="24"/>
  <c r="BM421" i="24"/>
  <c r="BN418" i="24"/>
  <c r="BO415" i="24"/>
  <c r="BP412" i="24"/>
  <c r="BP409" i="24"/>
  <c r="BQ406" i="24"/>
  <c r="BR403" i="24"/>
  <c r="BS400" i="24"/>
  <c r="BR397" i="24"/>
  <c r="BS394" i="24"/>
  <c r="BH392" i="24"/>
  <c r="BI389" i="24"/>
  <c r="BJ386" i="24"/>
  <c r="CM416" i="24"/>
  <c r="CK408" i="24"/>
  <c r="CM400" i="24"/>
  <c r="CU392" i="24"/>
  <c r="BZ420" i="24"/>
  <c r="BZ416" i="24"/>
  <c r="BY412" i="24"/>
  <c r="CB408" i="24"/>
  <c r="CC404" i="24"/>
  <c r="CC400" i="24"/>
  <c r="CF396" i="24"/>
  <c r="BW393" i="24"/>
  <c r="BW389" i="24"/>
  <c r="BR419" i="24"/>
  <c r="BS416" i="24"/>
  <c r="BR413" i="24"/>
  <c r="BS410" i="24"/>
  <c r="BH408" i="24"/>
  <c r="BI405" i="24"/>
  <c r="BJ402" i="24"/>
  <c r="BJ399" i="24"/>
  <c r="BK396" i="24"/>
  <c r="BL393" i="24"/>
  <c r="BM390" i="24"/>
  <c r="BN387" i="24"/>
  <c r="CS415" i="24"/>
  <c r="CT406" i="24"/>
  <c r="CN398" i="24"/>
  <c r="CQ388" i="24"/>
  <c r="CA419" i="24"/>
  <c r="CC414" i="24"/>
  <c r="CG409" i="24"/>
  <c r="CC405" i="24"/>
  <c r="BY401" i="24"/>
  <c r="CG396" i="24"/>
  <c r="CC392" i="24"/>
  <c r="BX388" i="24"/>
  <c r="BO418" i="24"/>
  <c r="BJ415" i="24"/>
  <c r="BS411" i="24"/>
  <c r="BN408" i="24"/>
  <c r="BK405" i="24"/>
  <c r="BR401" i="24"/>
  <c r="BO398" i="24"/>
  <c r="BH395" i="24"/>
  <c r="BP391" i="24"/>
  <c r="BL388" i="24"/>
  <c r="AY420" i="24"/>
  <c r="AZ417" i="24"/>
  <c r="BA414" i="24"/>
  <c r="BB411" i="24"/>
  <c r="BA408" i="24"/>
  <c r="BB405" i="24"/>
  <c r="BC402" i="24"/>
  <c r="BD399" i="24"/>
  <c r="BE396" i="24"/>
  <c r="AT394" i="24"/>
  <c r="AT391" i="24"/>
  <c r="AU388" i="24"/>
  <c r="AP419" i="24"/>
  <c r="AG417" i="24"/>
  <c r="AJ414" i="24"/>
  <c r="AM411" i="24"/>
  <c r="AP408" i="24"/>
  <c r="AG406" i="24"/>
  <c r="AJ403" i="24"/>
  <c r="AM400" i="24"/>
  <c r="AP397" i="24"/>
  <c r="AG395" i="24"/>
  <c r="AJ392" i="24"/>
  <c r="AM389" i="24"/>
  <c r="AP386" i="24"/>
  <c r="CK415" i="24"/>
  <c r="CJ406" i="24"/>
  <c r="CL396" i="24"/>
  <c r="CO387" i="24"/>
  <c r="CD418" i="24"/>
  <c r="BW414" i="24"/>
  <c r="CC409" i="24"/>
  <c r="BZ405" i="24"/>
  <c r="CE400" i="24"/>
  <c r="CB396" i="24"/>
  <c r="BW392" i="24"/>
  <c r="CC387" i="24"/>
  <c r="CM412" i="24"/>
  <c r="CL404" i="24"/>
  <c r="CS394" i="24"/>
  <c r="CN386" i="24"/>
  <c r="CG417" i="24"/>
  <c r="BZ413" i="24"/>
  <c r="CF408" i="24"/>
  <c r="CB404" i="24"/>
  <c r="BV400" i="24"/>
  <c r="CG395" i="24"/>
  <c r="BW391" i="24"/>
  <c r="CD386" i="24"/>
  <c r="BH421" i="24"/>
  <c r="BP417" i="24"/>
  <c r="BM414" i="24"/>
  <c r="BH411" i="24"/>
  <c r="BP407" i="24"/>
  <c r="BL404" i="24"/>
  <c r="BR400" i="24"/>
  <c r="BM397" i="24"/>
  <c r="BJ394" i="24"/>
  <c r="BR390" i="24"/>
  <c r="BO387" i="24"/>
  <c r="AZ419" i="24"/>
  <c r="BA416" i="24"/>
  <c r="BB413" i="24"/>
  <c r="BC410" i="24"/>
  <c r="BD407" i="24"/>
  <c r="BE404" i="24"/>
  <c r="AT402" i="24"/>
  <c r="AT399" i="24"/>
  <c r="AU396" i="24"/>
  <c r="AV393" i="24"/>
  <c r="AW390" i="24"/>
  <c r="AX387" i="24"/>
  <c r="AP421" i="24"/>
  <c r="AG419" i="24"/>
  <c r="AJ416" i="24"/>
  <c r="AM413" i="24"/>
  <c r="AP410" i="24"/>
  <c r="AG408" i="24"/>
  <c r="AJ405" i="24"/>
  <c r="AM402" i="24"/>
  <c r="AP399" i="24"/>
  <c r="AG397" i="24"/>
  <c r="AJ394" i="24"/>
  <c r="AM391" i="24"/>
  <c r="AO388" i="24"/>
  <c r="AF386" i="24"/>
  <c r="CM419" i="24"/>
  <c r="CJ411" i="24"/>
  <c r="CR401" i="24"/>
  <c r="CN393" i="24"/>
  <c r="BY421" i="24"/>
  <c r="CF416" i="24"/>
  <c r="BX412" i="24"/>
  <c r="CF407" i="24"/>
  <c r="CA403" i="24"/>
  <c r="BV399" i="24"/>
  <c r="BZ394" i="24"/>
  <c r="BX390" i="24"/>
  <c r="BK420" i="24"/>
  <c r="BH417" i="24"/>
  <c r="BN413" i="24"/>
  <c r="BK410" i="24"/>
  <c r="BP406" i="24"/>
  <c r="BM403" i="24"/>
  <c r="BH400" i="24"/>
  <c r="BQ396" i="24"/>
  <c r="BM393" i="24"/>
  <c r="BI390" i="24"/>
  <c r="BP386" i="24"/>
  <c r="BC421" i="24"/>
  <c r="BD418" i="24"/>
  <c r="BE415" i="24"/>
  <c r="AT413" i="24"/>
  <c r="AU410" i="24"/>
  <c r="AU407" i="24"/>
  <c r="AV404" i="24"/>
  <c r="AW401" i="24"/>
  <c r="AX398" i="24"/>
  <c r="AY395" i="24"/>
  <c r="AZ392" i="24"/>
  <c r="BA389" i="24"/>
  <c r="AZ386" i="24"/>
  <c r="CP418" i="24"/>
  <c r="CJ410" i="24"/>
  <c r="CJ401" i="24"/>
  <c r="CN392" i="24"/>
  <c r="CE420" i="24"/>
  <c r="BY416" i="24"/>
  <c r="CE411" i="24"/>
  <c r="CA407" i="24"/>
  <c r="CC402" i="24"/>
  <c r="BX398" i="24"/>
  <c r="BV394" i="24"/>
  <c r="CC389" i="24"/>
  <c r="BS419" i="24"/>
  <c r="BM416" i="24"/>
  <c r="BJ413" i="24"/>
  <c r="BO409" i="24"/>
  <c r="BL406" i="24"/>
  <c r="BS402" i="24"/>
  <c r="BP399" i="24"/>
  <c r="BL396" i="24"/>
  <c r="BH393" i="24"/>
  <c r="BO389" i="24"/>
  <c r="BI386" i="24"/>
  <c r="AY421" i="24"/>
  <c r="AZ418" i="24"/>
  <c r="BA415" i="24"/>
  <c r="BB412" i="24"/>
  <c r="BB409" i="24"/>
  <c r="BC406" i="24"/>
  <c r="BD403" i="24"/>
  <c r="BE400" i="24"/>
  <c r="AT398" i="24"/>
  <c r="AU395" i="24"/>
  <c r="AT392" i="24"/>
  <c r="AU389" i="24"/>
  <c r="AV386" i="24"/>
  <c r="CO418" i="24"/>
  <c r="CT409" i="24"/>
  <c r="CR400" i="24"/>
  <c r="CM392" i="24"/>
  <c r="CD420" i="24"/>
  <c r="BX416" i="24"/>
  <c r="CD411" i="24"/>
  <c r="BV407" i="24"/>
  <c r="CB402" i="24"/>
  <c r="BV398" i="24"/>
  <c r="CF393" i="24"/>
  <c r="CB389" i="24"/>
  <c r="CN417" i="24"/>
  <c r="CP406" i="24"/>
  <c r="CL395" i="24"/>
  <c r="BX421" i="24"/>
  <c r="CA415" i="24"/>
  <c r="CF409" i="24"/>
  <c r="CE404" i="24"/>
  <c r="BY399" i="24"/>
  <c r="CD393" i="24"/>
  <c r="BZ388" i="24"/>
  <c r="BK418" i="24"/>
  <c r="BO414" i="24"/>
  <c r="BP410" i="24"/>
  <c r="BR406" i="24"/>
  <c r="BR402" i="24"/>
  <c r="BI399" i="24"/>
  <c r="BN395" i="24"/>
  <c r="BM391" i="24"/>
  <c r="BQ387" i="24"/>
  <c r="CJ417" i="24"/>
  <c r="CM406" i="24"/>
  <c r="CO394" i="24"/>
  <c r="BW421" i="24"/>
  <c r="BZ415" i="24"/>
  <c r="CD409" i="24"/>
  <c r="BZ404" i="24"/>
  <c r="BW399" i="24"/>
  <c r="CB393" i="24"/>
  <c r="BY388" i="24"/>
  <c r="CT416" i="24"/>
  <c r="CU405" i="24"/>
  <c r="CM394" i="24"/>
  <c r="BV421" i="24"/>
  <c r="BY415" i="24"/>
  <c r="CA409" i="24"/>
  <c r="BW404" i="24"/>
  <c r="CF398" i="24"/>
  <c r="BZ393" i="24"/>
  <c r="BW388" i="24"/>
  <c r="BI418" i="24"/>
  <c r="BL414" i="24"/>
  <c r="BN410" i="24"/>
  <c r="BN406" i="24"/>
  <c r="BP402" i="24"/>
  <c r="BS398" i="24"/>
  <c r="BR394" i="24"/>
  <c r="BJ391" i="24"/>
  <c r="BM387" i="24"/>
  <c r="CM414" i="24"/>
  <c r="CP403" i="24"/>
  <c r="CQ392" i="24"/>
  <c r="CD419" i="24"/>
  <c r="CG413" i="24"/>
  <c r="CC408" i="24"/>
  <c r="CG402" i="24"/>
  <c r="CA397" i="24"/>
  <c r="BX392" i="24"/>
  <c r="CC386" i="24"/>
  <c r="BI421" i="24"/>
  <c r="BL417" i="24"/>
  <c r="BM413" i="24"/>
  <c r="BM409" i="24"/>
  <c r="BP405" i="24"/>
  <c r="BH402" i="24"/>
  <c r="BI398" i="24"/>
  <c r="BK394" i="24"/>
  <c r="BN390" i="24"/>
  <c r="BO386" i="24"/>
  <c r="CO410" i="24"/>
  <c r="CU398" i="24"/>
  <c r="CR387" i="24"/>
  <c r="CB417" i="24"/>
  <c r="CG411" i="24"/>
  <c r="BX406" i="24"/>
  <c r="CG400" i="24"/>
  <c r="CF395" i="24"/>
  <c r="BY390" i="24"/>
  <c r="CT419" i="24"/>
  <c r="CP415" i="24"/>
  <c r="CU401" i="24"/>
  <c r="CL389" i="24"/>
  <c r="CE416" i="24"/>
  <c r="BX410" i="24"/>
  <c r="CB403" i="24"/>
  <c r="BW397" i="24"/>
  <c r="CC390" i="24"/>
  <c r="CO414" i="24"/>
  <c r="CQ401" i="24"/>
  <c r="CK389" i="24"/>
  <c r="CC416" i="24"/>
  <c r="BY409" i="24"/>
  <c r="BZ403" i="24"/>
  <c r="CE396" i="24"/>
  <c r="CB390" i="24"/>
  <c r="BI420" i="24"/>
  <c r="BS415" i="24"/>
  <c r="BP411" i="24"/>
  <c r="BN407" i="24"/>
  <c r="BI403" i="24"/>
  <c r="BR398" i="24"/>
  <c r="BN394" i="24"/>
  <c r="BL390" i="24"/>
  <c r="BA419" i="24"/>
  <c r="AW416" i="24"/>
  <c r="BE412" i="24"/>
  <c r="AZ409" i="24"/>
  <c r="AW406" i="24"/>
  <c r="BD402" i="24"/>
  <c r="AZ399" i="24"/>
  <c r="AV396" i="24"/>
  <c r="BD392" i="24"/>
  <c r="AX389" i="24"/>
  <c r="AT386" i="24"/>
  <c r="CK414" i="24"/>
  <c r="CN401" i="24"/>
  <c r="CJ388" i="24"/>
  <c r="CB416" i="24"/>
  <c r="BX409" i="24"/>
  <c r="CO411" i="24"/>
  <c r="CR398" i="24"/>
  <c r="CL386" i="24"/>
  <c r="CC421" i="24"/>
  <c r="BZ414" i="24"/>
  <c r="BX408" i="24"/>
  <c r="CE401" i="24"/>
  <c r="CF394" i="24"/>
  <c r="CE388" i="24"/>
  <c r="CM411" i="24"/>
  <c r="CQ398" i="24"/>
  <c r="CJ386" i="24"/>
  <c r="CA421" i="24"/>
  <c r="BY414" i="24"/>
  <c r="CG407" i="24"/>
  <c r="CC401" i="24"/>
  <c r="CE394" i="24"/>
  <c r="CD388" i="24"/>
  <c r="BH419" i="24"/>
  <c r="BQ414" i="24"/>
  <c r="BM410" i="24"/>
  <c r="BI406" i="24"/>
  <c r="BQ401" i="24"/>
  <c r="BN397" i="24"/>
  <c r="BN393" i="24"/>
  <c r="BH389" i="24"/>
  <c r="CK411" i="24"/>
  <c r="CP398" i="24"/>
  <c r="CB420" i="24"/>
  <c r="BV414" i="24"/>
  <c r="CD407" i="24"/>
  <c r="BZ401" i="24"/>
  <c r="CD394" i="24"/>
  <c r="CC388" i="24"/>
  <c r="CP419" i="24"/>
  <c r="CM407" i="24"/>
  <c r="CQ393" i="24"/>
  <c r="BZ418" i="24"/>
  <c r="CA412" i="24"/>
  <c r="CD405" i="24"/>
  <c r="CC399" i="24"/>
  <c r="CF392" i="24"/>
  <c r="BZ386" i="24"/>
  <c r="CK419" i="24"/>
  <c r="CK407" i="24"/>
  <c r="CP393" i="24"/>
  <c r="BY418" i="24"/>
  <c r="BW412" i="24"/>
  <c r="CB405" i="24"/>
  <c r="CB399" i="24"/>
  <c r="CE392" i="24"/>
  <c r="BY386" i="24"/>
  <c r="BL421" i="24"/>
  <c r="BK417" i="24"/>
  <c r="BH413" i="24"/>
  <c r="BR408" i="24"/>
  <c r="BP404" i="24"/>
  <c r="CJ419" i="24"/>
  <c r="CL405" i="24"/>
  <c r="CJ393" i="24"/>
  <c r="BX418" i="24"/>
  <c r="CF411" i="24"/>
  <c r="CA405" i="24"/>
  <c r="CB398" i="24"/>
  <c r="CB392" i="24"/>
  <c r="CL416" i="24"/>
  <c r="CM396" i="24"/>
  <c r="CE415" i="24"/>
  <c r="BY406" i="24"/>
  <c r="CB397" i="24"/>
  <c r="CA389" i="24"/>
  <c r="BJ420" i="24"/>
  <c r="BM415" i="24"/>
  <c r="BR410" i="24"/>
  <c r="BR405" i="24"/>
  <c r="BM401" i="24"/>
  <c r="BS396" i="24"/>
  <c r="BM392" i="24"/>
  <c r="BH388" i="24"/>
  <c r="BE421" i="24"/>
  <c r="AY418" i="24"/>
  <c r="AT415" i="24"/>
  <c r="BA411" i="24"/>
  <c r="AU408" i="24"/>
  <c r="BB404" i="24"/>
  <c r="AV401" i="24"/>
  <c r="BA397" i="24"/>
  <c r="AW394" i="24"/>
  <c r="BC390" i="24"/>
  <c r="AY387" i="24"/>
  <c r="AH419" i="24"/>
  <c r="AH416" i="24"/>
  <c r="AI413" i="24"/>
  <c r="AJ410" i="24"/>
  <c r="AJ407" i="24"/>
  <c r="AK404" i="24"/>
  <c r="AL401" i="24"/>
  <c r="AM398" i="24"/>
  <c r="AN395" i="24"/>
  <c r="AO392" i="24"/>
  <c r="AP389" i="24"/>
  <c r="AQ386" i="24"/>
  <c r="CR415" i="24"/>
  <c r="CU395" i="24"/>
  <c r="BX415" i="24"/>
  <c r="BW406" i="24"/>
  <c r="BZ397" i="24"/>
  <c r="BZ389" i="24"/>
  <c r="BH420" i="24"/>
  <c r="BL415" i="24"/>
  <c r="BQ410" i="24"/>
  <c r="BQ405" i="24"/>
  <c r="BL401" i="24"/>
  <c r="BR396" i="24"/>
  <c r="BL392" i="24"/>
  <c r="BS387" i="24"/>
  <c r="BD421" i="24"/>
  <c r="AX418" i="24"/>
  <c r="BE414" i="24"/>
  <c r="AX411" i="24"/>
  <c r="AT408" i="24"/>
  <c r="AZ404" i="24"/>
  <c r="AU401" i="24"/>
  <c r="AZ397" i="24"/>
  <c r="AV394" i="24"/>
  <c r="BB390" i="24"/>
  <c r="AW387" i="24"/>
  <c r="AF419" i="24"/>
  <c r="AG416" i="24"/>
  <c r="AH413" i="24"/>
  <c r="AI410" i="24"/>
  <c r="AI407" i="24"/>
  <c r="AJ404" i="24"/>
  <c r="AK401" i="24"/>
  <c r="AL398" i="24"/>
  <c r="AM395" i="24"/>
  <c r="AN392" i="24"/>
  <c r="AO389" i="24"/>
  <c r="AO386" i="24"/>
  <c r="CJ412" i="24"/>
  <c r="CM395" i="24"/>
  <c r="CF413" i="24"/>
  <c r="BY405" i="24"/>
  <c r="CC396" i="24"/>
  <c r="BV388" i="24"/>
  <c r="CU411" i="24"/>
  <c r="CK394" i="24"/>
  <c r="CC413" i="24"/>
  <c r="BX405" i="24"/>
  <c r="CA396" i="24"/>
  <c r="CA387" i="24"/>
  <c r="BN419" i="24"/>
  <c r="BR414" i="24"/>
  <c r="BI410" i="24"/>
  <c r="BL405" i="24"/>
  <c r="BN400" i="24"/>
  <c r="BJ396" i="24"/>
  <c r="BQ391" i="24"/>
  <c r="BI387" i="24"/>
  <c r="AX421" i="24"/>
  <c r="AT418" i="24"/>
  <c r="AZ414" i="24"/>
  <c r="AT411" i="24"/>
  <c r="BA407" i="24"/>
  <c r="AU404" i="24"/>
  <c r="BB400" i="24"/>
  <c r="AV397" i="24"/>
  <c r="BB393" i="24"/>
  <c r="AX390" i="24"/>
  <c r="BE386" i="24"/>
  <c r="CN410" i="24"/>
  <c r="CT391" i="24"/>
  <c r="BW413" i="24"/>
  <c r="CE403" i="24"/>
  <c r="BV396" i="24"/>
  <c r="CE386" i="24"/>
  <c r="BS418" i="24"/>
  <c r="BJ414" i="24"/>
  <c r="BK409" i="24"/>
  <c r="BR404" i="24"/>
  <c r="BJ400" i="24"/>
  <c r="BR395" i="24"/>
  <c r="BI391" i="24"/>
  <c r="BQ386" i="24"/>
  <c r="AT421" i="24"/>
  <c r="BA417" i="24"/>
  <c r="AT414" i="24"/>
  <c r="BA410" i="24"/>
  <c r="AV407" i="24"/>
  <c r="BB403" i="24"/>
  <c r="AV400" i="24"/>
  <c r="BC396" i="24"/>
  <c r="AX393" i="24"/>
  <c r="BE389" i="24"/>
  <c r="AX386" i="24"/>
  <c r="AI421" i="24"/>
  <c r="AJ418" i="24"/>
  <c r="AJ415" i="24"/>
  <c r="AK412" i="24"/>
  <c r="AL409" i="24"/>
  <c r="AM406" i="24"/>
  <c r="AN403" i="24"/>
  <c r="AO400" i="24"/>
  <c r="AO397" i="24"/>
  <c r="AP394" i="24"/>
  <c r="AQ391" i="24"/>
  <c r="AF389" i="24"/>
  <c r="CU418" i="24"/>
  <c r="CR397" i="24"/>
  <c r="CR417" i="24"/>
  <c r="CN395" i="24"/>
  <c r="BW418" i="24"/>
  <c r="CC407" i="24"/>
  <c r="BY397" i="24"/>
  <c r="CB386" i="24"/>
  <c r="BS420" i="24"/>
  <c r="BH416" i="24"/>
  <c r="BL410" i="24"/>
  <c r="BS404" i="24"/>
  <c r="BQ399" i="24"/>
  <c r="BM394" i="24"/>
  <c r="BM389" i="24"/>
  <c r="AV420" i="24"/>
  <c r="AV416" i="24"/>
  <c r="AW412" i="24"/>
  <c r="AX408" i="24"/>
  <c r="AX404" i="24"/>
  <c r="AW400" i="24"/>
  <c r="AX396" i="24"/>
  <c r="AY392" i="24"/>
  <c r="AY388" i="24"/>
  <c r="AP418" i="24"/>
  <c r="AN415" i="24"/>
  <c r="AJ412" i="24"/>
  <c r="AH409" i="24"/>
  <c r="AQ405" i="24"/>
  <c r="AO402" i="24"/>
  <c r="AK399" i="24"/>
  <c r="AI396" i="24"/>
  <c r="AG393" i="24"/>
  <c r="AQ389" i="24"/>
  <c r="AL386" i="24"/>
  <c r="CQ417" i="24"/>
  <c r="CT393" i="24"/>
  <c r="CQ416" i="24"/>
  <c r="CS393" i="24"/>
  <c r="CJ414" i="24"/>
  <c r="CQ390" i="24"/>
  <c r="BY417" i="24"/>
  <c r="CA406" i="24"/>
  <c r="BW396" i="24"/>
  <c r="BN420" i="24"/>
  <c r="BH415" i="24"/>
  <c r="BL409" i="24"/>
  <c r="BK404" i="24"/>
  <c r="BL399" i="24"/>
  <c r="BR393" i="24"/>
  <c r="BQ388" i="24"/>
  <c r="CQ411" i="24"/>
  <c r="CL390" i="24"/>
  <c r="BV417" i="24"/>
  <c r="BW405" i="24"/>
  <c r="CA394" i="24"/>
  <c r="BQ419" i="24"/>
  <c r="BN414" i="24"/>
  <c r="BH409" i="24"/>
  <c r="BQ403" i="24"/>
  <c r="BP398" i="24"/>
  <c r="BO393" i="24"/>
  <c r="BM388" i="24"/>
  <c r="AW419" i="24"/>
  <c r="AY415" i="24"/>
  <c r="AW411" i="24"/>
  <c r="AY407" i="24"/>
  <c r="AY403" i="24"/>
  <c r="AY399" i="24"/>
  <c r="BA395" i="24"/>
  <c r="BA391" i="24"/>
  <c r="BC387" i="24"/>
  <c r="AK421" i="24"/>
  <c r="AG418" i="24"/>
  <c r="AQ414" i="24"/>
  <c r="AO411" i="24"/>
  <c r="AL408" i="24"/>
  <c r="AI405" i="24"/>
  <c r="AF402" i="24"/>
  <c r="AP398" i="24"/>
  <c r="AL395" i="24"/>
  <c r="AI392" i="24"/>
  <c r="AG389" i="24"/>
  <c r="CN407" i="24"/>
  <c r="CM386" i="24"/>
  <c r="CG412" i="24"/>
  <c r="BY402" i="24"/>
  <c r="CF391" i="24"/>
  <c r="BL418" i="24"/>
  <c r="BI413" i="24"/>
  <c r="BS407" i="24"/>
  <c r="BN402" i="24"/>
  <c r="BK397" i="24"/>
  <c r="BI392" i="24"/>
  <c r="BS386" i="24"/>
  <c r="AW418" i="24"/>
  <c r="AX414" i="24"/>
  <c r="AX410" i="24"/>
  <c r="AY406" i="24"/>
  <c r="AY402" i="24"/>
  <c r="BA398" i="24"/>
  <c r="BA394" i="24"/>
  <c r="BA390" i="24"/>
  <c r="BA386" i="24"/>
  <c r="AM420" i="24"/>
  <c r="AK417" i="24"/>
  <c r="AH414" i="24"/>
  <c r="AF411" i="24"/>
  <c r="AO407" i="24"/>
  <c r="AL404" i="24"/>
  <c r="AH401" i="24"/>
  <c r="AF398" i="24"/>
  <c r="AN394" i="24"/>
  <c r="AJ391" i="24"/>
  <c r="AH388" i="24"/>
  <c r="CR409" i="24"/>
  <c r="CA413" i="24"/>
  <c r="BW402" i="24"/>
  <c r="CG390" i="24"/>
  <c r="BO419" i="24"/>
  <c r="BL413" i="24"/>
  <c r="BO407" i="24"/>
  <c r="BN401" i="24"/>
  <c r="BP395" i="24"/>
  <c r="BP389" i="24"/>
  <c r="AT420" i="24"/>
  <c r="BB415" i="24"/>
  <c r="AU411" i="24"/>
  <c r="BB406" i="24"/>
  <c r="AX402" i="24"/>
  <c r="AV398" i="24"/>
  <c r="BA393" i="24"/>
  <c r="AV389" i="24"/>
  <c r="AJ420" i="24"/>
  <c r="AP416" i="24"/>
  <c r="AJ413" i="24"/>
  <c r="AN409" i="24"/>
  <c r="AH406" i="24"/>
  <c r="AL402" i="24"/>
  <c r="AF399" i="24"/>
  <c r="AJ395" i="24"/>
  <c r="AO391" i="24"/>
  <c r="AG388" i="24"/>
  <c r="S420" i="24"/>
  <c r="W417" i="24"/>
  <c r="AA414" i="24"/>
  <c r="S412" i="24"/>
  <c r="W409" i="24"/>
  <c r="AA406" i="24"/>
  <c r="S404" i="24"/>
  <c r="W401" i="24"/>
  <c r="AA398" i="24"/>
  <c r="S396" i="24"/>
  <c r="W393" i="24"/>
  <c r="AA390" i="24"/>
  <c r="S388" i="24"/>
  <c r="CQ409" i="24"/>
  <c r="BY413" i="24"/>
  <c r="BV402" i="24"/>
  <c r="CE390" i="24"/>
  <c r="BM419" i="24"/>
  <c r="BK413" i="24"/>
  <c r="BM407" i="24"/>
  <c r="BK401" i="24"/>
  <c r="BO395" i="24"/>
  <c r="BN389" i="24"/>
  <c r="BE419" i="24"/>
  <c r="AZ415" i="24"/>
  <c r="BE410" i="24"/>
  <c r="BA406" i="24"/>
  <c r="AW402" i="24"/>
  <c r="AU398" i="24"/>
  <c r="AZ393" i="24"/>
  <c r="AT389" i="24"/>
  <c r="AI420" i="24"/>
  <c r="AO416" i="24"/>
  <c r="AG413" i="24"/>
  <c r="AM409" i="24"/>
  <c r="AF406" i="24"/>
  <c r="AK402" i="24"/>
  <c r="AQ398" i="24"/>
  <c r="AI395" i="24"/>
  <c r="AN391" i="24"/>
  <c r="AF388" i="24"/>
  <c r="R420" i="24"/>
  <c r="V417" i="24"/>
  <c r="Z414" i="24"/>
  <c r="R412" i="24"/>
  <c r="V409" i="24"/>
  <c r="Z406" i="24"/>
  <c r="R404" i="24"/>
  <c r="V401" i="24"/>
  <c r="Z398" i="24"/>
  <c r="R396" i="24"/>
  <c r="V393" i="24"/>
  <c r="Z390" i="24"/>
  <c r="R388" i="24"/>
  <c r="CN408" i="24"/>
  <c r="BX413" i="24"/>
  <c r="BV401" i="24"/>
  <c r="BZ390" i="24"/>
  <c r="BJ419" i="24"/>
  <c r="BQ412" i="24"/>
  <c r="BL407" i="24"/>
  <c r="BH401" i="24"/>
  <c r="BM395" i="24"/>
  <c r="BJ389" i="24"/>
  <c r="BD419" i="24"/>
  <c r="AX415" i="24"/>
  <c r="BD410" i="24"/>
  <c r="AZ406" i="24"/>
  <c r="AV402" i="24"/>
  <c r="BE397" i="24"/>
  <c r="AY393" i="24"/>
  <c r="BE388" i="24"/>
  <c r="AH420" i="24"/>
  <c r="AN416" i="24"/>
  <c r="AF413" i="24"/>
  <c r="AK409" i="24"/>
  <c r="AP405" i="24"/>
  <c r="AJ402" i="24"/>
  <c r="AO398" i="24"/>
  <c r="AH395" i="24"/>
  <c r="AK391" i="24"/>
  <c r="AQ387" i="24"/>
  <c r="AC419" i="24"/>
  <c r="U417" i="24"/>
  <c r="Y414" i="24"/>
  <c r="AC411" i="24"/>
  <c r="U409" i="24"/>
  <c r="Y406" i="24"/>
  <c r="AC403" i="24"/>
  <c r="U401" i="24"/>
  <c r="Y398" i="24"/>
  <c r="AC395" i="24"/>
  <c r="U393" i="24"/>
  <c r="Y390" i="24"/>
  <c r="AC387" i="24"/>
  <c r="CM408" i="24"/>
  <c r="CC412" i="24"/>
  <c r="CD400" i="24"/>
  <c r="BV390" i="24"/>
  <c r="BI419" i="24"/>
  <c r="BN412" i="24"/>
  <c r="BJ407" i="24"/>
  <c r="BQ400" i="24"/>
  <c r="BQ394" i="24"/>
  <c r="BS388" i="24"/>
  <c r="AY419" i="24"/>
  <c r="AV415" i="24"/>
  <c r="BB410" i="24"/>
  <c r="AX406" i="24"/>
  <c r="AU402" i="24"/>
  <c r="BD397" i="24"/>
  <c r="AW393" i="24"/>
  <c r="BD388" i="24"/>
  <c r="AG420" i="24"/>
  <c r="AM416" i="24"/>
  <c r="AQ412" i="24"/>
  <c r="AJ409" i="24"/>
  <c r="AO405" i="24"/>
  <c r="AI402" i="24"/>
  <c r="AN398" i="24"/>
  <c r="AF395" i="24"/>
  <c r="AI391" i="24"/>
  <c r="AP387" i="24"/>
  <c r="AB419" i="24"/>
  <c r="T417" i="24"/>
  <c r="X414" i="24"/>
  <c r="AB411" i="24"/>
  <c r="T409" i="24"/>
  <c r="X406" i="24"/>
  <c r="AB403" i="24"/>
  <c r="T401" i="24"/>
  <c r="X398" i="24"/>
  <c r="AB395" i="24"/>
  <c r="T393" i="24"/>
  <c r="X390" i="24"/>
  <c r="AB387" i="24"/>
  <c r="CQ407" i="24"/>
  <c r="CB412" i="24"/>
  <c r="CB400" i="24"/>
  <c r="CG389" i="24"/>
  <c r="BR418" i="24"/>
  <c r="BM412" i="24"/>
  <c r="BI407" i="24"/>
  <c r="BM400" i="24"/>
  <c r="BP394" i="24"/>
  <c r="BR388" i="24"/>
  <c r="AX419" i="24"/>
  <c r="AU415" i="24"/>
  <c r="AZ410" i="24"/>
  <c r="AV406" i="24"/>
  <c r="BD401" i="24"/>
  <c r="AY397" i="24"/>
  <c r="AU393" i="24"/>
  <c r="BC388" i="24"/>
  <c r="AF420" i="24"/>
  <c r="AL416" i="24"/>
  <c r="AO412" i="24"/>
  <c r="AI409" i="24"/>
  <c r="AN405" i="24"/>
  <c r="AG402" i="24"/>
  <c r="AK398" i="24"/>
  <c r="AQ394" i="24"/>
  <c r="AH391" i="24"/>
  <c r="AO387" i="24"/>
  <c r="AA419" i="24"/>
  <c r="S417" i="24"/>
  <c r="W414" i="24"/>
  <c r="AA411" i="24"/>
  <c r="S409" i="24"/>
  <c r="W406" i="24"/>
  <c r="AA403" i="24"/>
  <c r="S401" i="24"/>
  <c r="W398" i="24"/>
  <c r="AA395" i="24"/>
  <c r="S393" i="24"/>
  <c r="W390" i="24"/>
  <c r="AA387" i="24"/>
  <c r="CU403" i="24"/>
  <c r="CE410" i="24"/>
  <c r="CF399" i="24"/>
  <c r="BV387" i="24"/>
  <c r="BQ417" i="24"/>
  <c r="BH412" i="24"/>
  <c r="BO405" i="24"/>
  <c r="BR399" i="24"/>
  <c r="BQ393" i="24"/>
  <c r="BI388" i="24"/>
  <c r="BC418" i="24"/>
  <c r="AU414" i="24"/>
  <c r="BD409" i="24"/>
  <c r="AZ405" i="24"/>
  <c r="AY401" i="24"/>
  <c r="BD396" i="24"/>
  <c r="BA392" i="24"/>
  <c r="AV388" i="24"/>
  <c r="AL419" i="24"/>
  <c r="AP415" i="24"/>
  <c r="AH412" i="24"/>
  <c r="AN408" i="24"/>
  <c r="AG405" i="24"/>
  <c r="AM401" i="24"/>
  <c r="AQ397" i="24"/>
  <c r="AI394" i="24"/>
  <c r="AO390" i="24"/>
  <c r="AJ387" i="24"/>
  <c r="V419" i="24"/>
  <c r="Z416" i="24"/>
  <c r="R414" i="24"/>
  <c r="V411" i="24"/>
  <c r="Z408" i="24"/>
  <c r="R406" i="24"/>
  <c r="V403" i="24"/>
  <c r="Z400" i="24"/>
  <c r="R398" i="24"/>
  <c r="V395" i="24"/>
  <c r="Z392" i="24"/>
  <c r="R390" i="24"/>
  <c r="V387" i="24"/>
  <c r="CQ403" i="24"/>
  <c r="CC410" i="24"/>
  <c r="CD399" i="24"/>
  <c r="CF386" i="24"/>
  <c r="BO417" i="24"/>
  <c r="BR411" i="24"/>
  <c r="BN405" i="24"/>
  <c r="BO399" i="24"/>
  <c r="BP393" i="24"/>
  <c r="BR387" i="24"/>
  <c r="BB418" i="24"/>
  <c r="BE413" i="24"/>
  <c r="BC409" i="24"/>
  <c r="AY405" i="24"/>
  <c r="AX401" i="24"/>
  <c r="BB396" i="24"/>
  <c r="AX392" i="24"/>
  <c r="AT388" i="24"/>
  <c r="AK419" i="24"/>
  <c r="AO415" i="24"/>
  <c r="AG412" i="24"/>
  <c r="AM408" i="24"/>
  <c r="AF405" i="24"/>
  <c r="AJ401" i="24"/>
  <c r="AN397" i="24"/>
  <c r="AG394" i="24"/>
  <c r="AN390" i="24"/>
  <c r="AI387" i="24"/>
  <c r="AC421" i="24"/>
  <c r="U419" i="24"/>
  <c r="Y416" i="24"/>
  <c r="AC413" i="24"/>
  <c r="U411" i="24"/>
  <c r="Y408" i="24"/>
  <c r="AC405" i="24"/>
  <c r="U403" i="24"/>
  <c r="Y400" i="24"/>
  <c r="AC397" i="24"/>
  <c r="U395" i="24"/>
  <c r="Y392" i="24"/>
  <c r="AC389" i="24"/>
  <c r="U387" i="24"/>
  <c r="CN402" i="24"/>
  <c r="CQ399" i="24"/>
  <c r="CG419" i="24"/>
  <c r="BZ408" i="24"/>
  <c r="BY396" i="24"/>
  <c r="BN416" i="24"/>
  <c r="BO410" i="24"/>
  <c r="BJ404" i="24"/>
  <c r="BL398" i="24"/>
  <c r="BN392" i="24"/>
  <c r="BH386" i="24"/>
  <c r="AY417" i="24"/>
  <c r="AW413" i="24"/>
  <c r="AT409" i="24"/>
  <c r="BC404" i="24"/>
  <c r="AT400" i="24"/>
  <c r="BC395" i="24"/>
  <c r="AY391" i="24"/>
  <c r="AU387" i="24"/>
  <c r="AL418" i="24"/>
  <c r="AP414" i="24"/>
  <c r="AJ411" i="24"/>
  <c r="AP407" i="24"/>
  <c r="AG404" i="24"/>
  <c r="AL400" i="24"/>
  <c r="AF397" i="24"/>
  <c r="AL393" i="24"/>
  <c r="AG390" i="24"/>
  <c r="AJ386" i="24"/>
  <c r="V421" i="24"/>
  <c r="Z418" i="24"/>
  <c r="R416" i="24"/>
  <c r="V413" i="24"/>
  <c r="Z410" i="24"/>
  <c r="R408" i="24"/>
  <c r="V405" i="24"/>
  <c r="Z402" i="24"/>
  <c r="R400" i="24"/>
  <c r="V397" i="24"/>
  <c r="Z394" i="24"/>
  <c r="R392" i="24"/>
  <c r="V389" i="24"/>
  <c r="Z386" i="24"/>
  <c r="CP392" i="24"/>
  <c r="BY419" i="24"/>
  <c r="CB406" i="24"/>
  <c r="BX394" i="24"/>
  <c r="BR421" i="24"/>
  <c r="BI416" i="24"/>
  <c r="BJ409" i="24"/>
  <c r="BN403" i="24"/>
  <c r="BL397" i="24"/>
  <c r="BN391" i="24"/>
  <c r="AW421" i="24"/>
  <c r="AU417" i="24"/>
  <c r="BC412" i="24"/>
  <c r="AY408" i="24"/>
  <c r="BE403" i="24"/>
  <c r="BA399" i="24"/>
  <c r="AW395" i="24"/>
  <c r="BE390" i="24"/>
  <c r="AW386" i="24"/>
  <c r="AM421" i="24"/>
  <c r="AQ417" i="24"/>
  <c r="AL414" i="24"/>
  <c r="AQ410" i="24"/>
  <c r="AH407" i="24"/>
  <c r="AO403" i="24"/>
  <c r="AH400" i="24"/>
  <c r="AM396" i="24"/>
  <c r="AH393" i="24"/>
  <c r="AK389" i="24"/>
  <c r="R421" i="24"/>
  <c r="V418" i="24"/>
  <c r="Z415" i="24"/>
  <c r="R413" i="24"/>
  <c r="V410" i="24"/>
  <c r="Z407" i="24"/>
  <c r="R405" i="24"/>
  <c r="V402" i="24"/>
  <c r="Z399" i="24"/>
  <c r="R397" i="24"/>
  <c r="V394" i="24"/>
  <c r="Z391" i="24"/>
  <c r="R389" i="24"/>
  <c r="V386" i="24"/>
  <c r="CK399" i="24"/>
  <c r="CS389" i="24"/>
  <c r="BY408" i="24"/>
  <c r="CD391" i="24"/>
  <c r="BN417" i="24"/>
  <c r="BI409" i="24"/>
  <c r="BO401" i="24"/>
  <c r="BR392" i="24"/>
  <c r="CF419" i="24"/>
  <c r="CD402" i="24"/>
  <c r="BP415" i="24"/>
  <c r="BQ407" i="24"/>
  <c r="BN398" i="24"/>
  <c r="BP390" i="24"/>
  <c r="BC420" i="24"/>
  <c r="AY414" i="24"/>
  <c r="AZ408" i="24"/>
  <c r="BA402" i="24"/>
  <c r="AT396" i="24"/>
  <c r="AV390" i="24"/>
  <c r="CQ419" i="24"/>
  <c r="BX419" i="24"/>
  <c r="BX402" i="24"/>
  <c r="CP386" i="24"/>
  <c r="CD406" i="24"/>
  <c r="CG388" i="24"/>
  <c r="BR420" i="24"/>
  <c r="BO411" i="24"/>
  <c r="BO402" i="24"/>
  <c r="BK393" i="24"/>
  <c r="AU419" i="24"/>
  <c r="AU413" i="24"/>
  <c r="BE406" i="24"/>
  <c r="AX400" i="24"/>
  <c r="AY394" i="24"/>
  <c r="BD387" i="24"/>
  <c r="AO420" i="24"/>
  <c r="AK415" i="24"/>
  <c r="AN410" i="24"/>
  <c r="AM405" i="24"/>
  <c r="AN400" i="24"/>
  <c r="AF396" i="24"/>
  <c r="AM390" i="24"/>
  <c r="W419" i="24"/>
  <c r="AA415" i="24"/>
  <c r="U412" i="24"/>
  <c r="U408" i="24"/>
  <c r="Z404" i="24"/>
  <c r="AB400" i="24"/>
  <c r="T397" i="24"/>
  <c r="Z393" i="24"/>
  <c r="Z389" i="24"/>
  <c r="S386" i="24"/>
  <c r="CG405" i="24"/>
  <c r="CB388" i="24"/>
  <c r="BQ420" i="24"/>
  <c r="BN411" i="24"/>
  <c r="BM402" i="24"/>
  <c r="BJ393" i="24"/>
  <c r="AT419" i="24"/>
  <c r="BD412" i="24"/>
  <c r="BD406" i="24"/>
  <c r="AU400" i="24"/>
  <c r="BB387" i="24"/>
  <c r="AN420" i="24"/>
  <c r="CF405" i="24"/>
  <c r="BX387" i="24"/>
  <c r="CF404" i="24"/>
  <c r="CA386" i="24"/>
  <c r="CG421" i="24"/>
  <c r="CD403" i="24"/>
  <c r="BP419" i="24"/>
  <c r="BJ410" i="24"/>
  <c r="BP401" i="24"/>
  <c r="BS391" i="24"/>
  <c r="AU418" i="24"/>
  <c r="AV412" i="24"/>
  <c r="BA405" i="24"/>
  <c r="AX399" i="24"/>
  <c r="AT393" i="24"/>
  <c r="AT387" i="24"/>
  <c r="AO419" i="24"/>
  <c r="AO414" i="24"/>
  <c r="AF410" i="24"/>
  <c r="AO404" i="24"/>
  <c r="AF400" i="24"/>
  <c r="AO394" i="24"/>
  <c r="AH390" i="24"/>
  <c r="AB418" i="24"/>
  <c r="U415" i="24"/>
  <c r="W411" i="24"/>
  <c r="AA407" i="24"/>
  <c r="U404" i="24"/>
  <c r="U400" i="24"/>
  <c r="Z396" i="24"/>
  <c r="AB392" i="24"/>
  <c r="T389" i="24"/>
  <c r="CD421" i="24"/>
  <c r="CC403" i="24"/>
  <c r="BM418" i="24"/>
  <c r="BQ409" i="24"/>
  <c r="BL400" i="24"/>
  <c r="BR391" i="24"/>
  <c r="BD417" i="24"/>
  <c r="AU412" i="24"/>
  <c r="AX405" i="24"/>
  <c r="AV399" i="24"/>
  <c r="BE392" i="24"/>
  <c r="BD386" i="24"/>
  <c r="AN419" i="24"/>
  <c r="AN414" i="24"/>
  <c r="AQ409" i="24"/>
  <c r="AN404" i="24"/>
  <c r="AQ399" i="24"/>
  <c r="AM394" i="24"/>
  <c r="AF390" i="24"/>
  <c r="CM418" i="24"/>
  <c r="BW420" i="24"/>
  <c r="BZ400" i="24"/>
  <c r="BR417" i="24"/>
  <c r="BQ408" i="24"/>
  <c r="BS399" i="24"/>
  <c r="BH391" i="24"/>
  <c r="AX417" i="24"/>
  <c r="BD411" i="24"/>
  <c r="AU405" i="24"/>
  <c r="BD398" i="24"/>
  <c r="AU392" i="24"/>
  <c r="AI419" i="24"/>
  <c r="AI414" i="24"/>
  <c r="AG409" i="24"/>
  <c r="AH404" i="24"/>
  <c r="AM399" i="24"/>
  <c r="AF394" i="24"/>
  <c r="AJ389" i="24"/>
  <c r="W418" i="24"/>
  <c r="AC414" i="24"/>
  <c r="AC410" i="24"/>
  <c r="V407" i="24"/>
  <c r="X403" i="24"/>
  <c r="AB399" i="24"/>
  <c r="V396" i="24"/>
  <c r="V392" i="24"/>
  <c r="AA388" i="24"/>
  <c r="CK400" i="24"/>
  <c r="CC411" i="24"/>
  <c r="BY394" i="24"/>
  <c r="BP414" i="24"/>
  <c r="BJ405" i="24"/>
  <c r="BP396" i="24"/>
  <c r="BP387" i="24"/>
  <c r="AZ421" i="24"/>
  <c r="BC415" i="24"/>
  <c r="AU409" i="24"/>
  <c r="BE402" i="24"/>
  <c r="AW396" i="24"/>
  <c r="AU390" i="24"/>
  <c r="AL417" i="24"/>
  <c r="AI412" i="24"/>
  <c r="AK407" i="24"/>
  <c r="AP402" i="24"/>
  <c r="AJ397" i="24"/>
  <c r="AM392" i="24"/>
  <c r="AL387" i="24"/>
  <c r="AA420" i="24"/>
  <c r="AC416" i="24"/>
  <c r="U413" i="24"/>
  <c r="AA409" i="24"/>
  <c r="AA405" i="24"/>
  <c r="T402" i="24"/>
  <c r="V398" i="24"/>
  <c r="AA394" i="24"/>
  <c r="T391" i="24"/>
  <c r="T387" i="24"/>
  <c r="CK402" i="24"/>
  <c r="CF414" i="24"/>
  <c r="BX391" i="24"/>
  <c r="BQ421" i="24"/>
  <c r="BI411" i="24"/>
  <c r="BQ398" i="24"/>
  <c r="BK388" i="24"/>
  <c r="AU420" i="24"/>
  <c r="BE411" i="24"/>
  <c r="BC403" i="24"/>
  <c r="BE395" i="24"/>
  <c r="BB388" i="24"/>
  <c r="AF417" i="24"/>
  <c r="AG411" i="24"/>
  <c r="AQ404" i="24"/>
  <c r="AH399" i="24"/>
  <c r="AI393" i="24"/>
  <c r="AH387" i="24"/>
  <c r="AA421" i="24"/>
  <c r="AB417" i="24"/>
  <c r="X413" i="24"/>
  <c r="X409" i="24"/>
  <c r="S405" i="24"/>
  <c r="AA400" i="24"/>
  <c r="Y396" i="24"/>
  <c r="T392" i="24"/>
  <c r="U388" i="24"/>
  <c r="CL401" i="24"/>
  <c r="CB411" i="24"/>
  <c r="BV391" i="24"/>
  <c r="BN421" i="24"/>
  <c r="BN409" i="24"/>
  <c r="BM398" i="24"/>
  <c r="BJ388" i="24"/>
  <c r="AV419" i="24"/>
  <c r="BC411" i="24"/>
  <c r="BA403" i="24"/>
  <c r="BD395" i="24"/>
  <c r="AZ388" i="24"/>
  <c r="AQ416" i="24"/>
  <c r="AO410" i="24"/>
  <c r="AM404" i="24"/>
  <c r="AG399" i="24"/>
  <c r="AF393" i="24"/>
  <c r="AG387" i="24"/>
  <c r="Z421" i="24"/>
  <c r="AA417" i="24"/>
  <c r="W413" i="24"/>
  <c r="R409" i="24"/>
  <c r="AC404" i="24"/>
  <c r="X400" i="24"/>
  <c r="X396" i="24"/>
  <c r="S392" i="24"/>
  <c r="T388" i="24"/>
  <c r="BH397" i="24"/>
  <c r="AW417" i="24"/>
  <c r="AZ402" i="24"/>
  <c r="BC394" i="24"/>
  <c r="AL421" i="24"/>
  <c r="AO409" i="24"/>
  <c r="AL403" i="24"/>
  <c r="AG392" i="24"/>
  <c r="AG386" i="24"/>
  <c r="S421" i="24"/>
  <c r="AA416" i="24"/>
  <c r="V408" i="24"/>
  <c r="AA399" i="24"/>
  <c r="X395" i="24"/>
  <c r="W391" i="24"/>
  <c r="R387" i="24"/>
  <c r="CT399" i="24"/>
  <c r="CA411" i="24"/>
  <c r="CD389" i="24"/>
  <c r="BK421" i="24"/>
  <c r="BS408" i="24"/>
  <c r="BQ397" i="24"/>
  <c r="BJ387" i="24"/>
  <c r="BE418" i="24"/>
  <c r="AV411" i="24"/>
  <c r="AZ403" i="24"/>
  <c r="BB395" i="24"/>
  <c r="AX388" i="24"/>
  <c r="AK416" i="24"/>
  <c r="AM410" i="24"/>
  <c r="AI404" i="24"/>
  <c r="AJ398" i="24"/>
  <c r="AQ392" i="24"/>
  <c r="AF387" i="24"/>
  <c r="Y421" i="24"/>
  <c r="Z417" i="24"/>
  <c r="T413" i="24"/>
  <c r="AC408" i="24"/>
  <c r="AB404" i="24"/>
  <c r="W400" i="24"/>
  <c r="W396" i="24"/>
  <c r="AC391" i="24"/>
  <c r="Z387" i="24"/>
  <c r="CT398" i="24"/>
  <c r="BX411" i="24"/>
  <c r="BJ421" i="24"/>
  <c r="BM408" i="24"/>
  <c r="BP397" i="24"/>
  <c r="BH387" i="24"/>
  <c r="BA418" i="24"/>
  <c r="AY410" i="24"/>
  <c r="AX403" i="24"/>
  <c r="AZ395" i="24"/>
  <c r="AW388" i="24"/>
  <c r="AI416" i="24"/>
  <c r="AL410" i="24"/>
  <c r="AF404" i="24"/>
  <c r="AI398" i="24"/>
  <c r="AP392" i="24"/>
  <c r="AN386" i="24"/>
  <c r="X421" i="24"/>
  <c r="Y417" i="24"/>
  <c r="S413" i="24"/>
  <c r="AB408" i="24"/>
  <c r="AA404" i="24"/>
  <c r="V400" i="24"/>
  <c r="U396" i="24"/>
  <c r="AB391" i="24"/>
  <c r="Y387" i="24"/>
  <c r="CS395" i="24"/>
  <c r="BZ410" i="24"/>
  <c r="BP420" i="24"/>
  <c r="BL408" i="24"/>
  <c r="BO397" i="24"/>
  <c r="BR386" i="24"/>
  <c r="AV418" i="24"/>
  <c r="AW410" i="24"/>
  <c r="AU403" i="24"/>
  <c r="AX395" i="24"/>
  <c r="BE387" i="24"/>
  <c r="AQ421" i="24"/>
  <c r="AF416" i="24"/>
  <c r="AK410" i="24"/>
  <c r="AQ403" i="24"/>
  <c r="AH398" i="24"/>
  <c r="AL392" i="24"/>
  <c r="AM386" i="24"/>
  <c r="W421" i="24"/>
  <c r="X417" i="24"/>
  <c r="AC412" i="24"/>
  <c r="AA408" i="24"/>
  <c r="Y404" i="24"/>
  <c r="T400" i="24"/>
  <c r="T396" i="24"/>
  <c r="AA391" i="24"/>
  <c r="X387" i="24"/>
  <c r="X391" i="24"/>
  <c r="CO389" i="24"/>
  <c r="AI415" i="24"/>
  <c r="CN390" i="24"/>
  <c r="BY410" i="24"/>
  <c r="BM420" i="24"/>
  <c r="BK408" i="24"/>
  <c r="BJ397" i="24"/>
  <c r="BN386" i="24"/>
  <c r="BC417" i="24"/>
  <c r="AV410" i="24"/>
  <c r="AT403" i="24"/>
  <c r="AV395" i="24"/>
  <c r="BA387" i="24"/>
  <c r="AO421" i="24"/>
  <c r="AQ415" i="24"/>
  <c r="AG410" i="24"/>
  <c r="AP403" i="24"/>
  <c r="AG398" i="24"/>
  <c r="AK392" i="24"/>
  <c r="AK386" i="24"/>
  <c r="U421" i="24"/>
  <c r="R417" i="24"/>
  <c r="AB412" i="24"/>
  <c r="X408" i="24"/>
  <c r="X404" i="24"/>
  <c r="S400" i="24"/>
  <c r="Z395" i="24"/>
  <c r="Y391" i="24"/>
  <c r="W387" i="24"/>
  <c r="V404" i="24"/>
  <c r="CM390" i="24"/>
  <c r="BV409" i="24"/>
  <c r="BL420" i="24"/>
  <c r="BJ408" i="24"/>
  <c r="BI397" i="24"/>
  <c r="BK386" i="24"/>
  <c r="BB417" i="24"/>
  <c r="AT410" i="24"/>
  <c r="BB402" i="24"/>
  <c r="BD394" i="24"/>
  <c r="AZ387" i="24"/>
  <c r="AN421" i="24"/>
  <c r="AM415" i="24"/>
  <c r="AP409" i="24"/>
  <c r="AM403" i="24"/>
  <c r="AM397" i="24"/>
  <c r="AH392" i="24"/>
  <c r="AI386" i="24"/>
  <c r="T421" i="24"/>
  <c r="AB416" i="24"/>
  <c r="AA412" i="24"/>
  <c r="W408" i="24"/>
  <c r="W404" i="24"/>
  <c r="AC399" i="24"/>
  <c r="Y395" i="24"/>
  <c r="S387" i="24"/>
  <c r="CG408" i="24"/>
  <c r="BJ418" i="24"/>
  <c r="BI408" i="24"/>
  <c r="BA409" i="24"/>
  <c r="AV387" i="24"/>
  <c r="AL397" i="24"/>
  <c r="Z412" i="24"/>
  <c r="CK387" i="24"/>
  <c r="CD408" i="24"/>
  <c r="BM417" i="24"/>
  <c r="BO406" i="24"/>
  <c r="BM396" i="24"/>
  <c r="BD416" i="24"/>
  <c r="AX409" i="24"/>
  <c r="BB401" i="24"/>
  <c r="AZ394" i="24"/>
  <c r="AU386" i="24"/>
  <c r="AH421" i="24"/>
  <c r="AG415" i="24"/>
  <c r="AQ408" i="24"/>
  <c r="AI403" i="24"/>
  <c r="AI397" i="24"/>
  <c r="AP391" i="24"/>
  <c r="AB420" i="24"/>
  <c r="W416" i="24"/>
  <c r="X412" i="24"/>
  <c r="S408" i="24"/>
  <c r="Z403" i="24"/>
  <c r="X399" i="24"/>
  <c r="T395" i="24"/>
  <c r="U391" i="24"/>
  <c r="AB386" i="24"/>
  <c r="CU386" i="24"/>
  <c r="CB407" i="24"/>
  <c r="BJ417" i="24"/>
  <c r="BM406" i="24"/>
  <c r="BI396" i="24"/>
  <c r="BC416" i="24"/>
  <c r="AW409" i="24"/>
  <c r="BA401" i="24"/>
  <c r="AX394" i="24"/>
  <c r="AG421" i="24"/>
  <c r="AF415" i="24"/>
  <c r="AO408" i="24"/>
  <c r="AH403" i="24"/>
  <c r="AH397" i="24"/>
  <c r="AG391" i="24"/>
  <c r="Z420" i="24"/>
  <c r="V416" i="24"/>
  <c r="W412" i="24"/>
  <c r="AC407" i="24"/>
  <c r="Y403" i="24"/>
  <c r="W399" i="24"/>
  <c r="S395" i="24"/>
  <c r="S391" i="24"/>
  <c r="AA386" i="24"/>
  <c r="CS386" i="24"/>
  <c r="CF403" i="24"/>
  <c r="BI417" i="24"/>
  <c r="BK406" i="24"/>
  <c r="BH396" i="24"/>
  <c r="CA398" i="24"/>
  <c r="BN415" i="24"/>
  <c r="BM404" i="24"/>
  <c r="BH394" i="24"/>
  <c r="BD415" i="24"/>
  <c r="BC407" i="24"/>
  <c r="BC399" i="24"/>
  <c r="BD391" i="24"/>
  <c r="AJ419" i="24"/>
  <c r="AO413" i="24"/>
  <c r="AN407" i="24"/>
  <c r="AO401" i="24"/>
  <c r="AH396" i="24"/>
  <c r="AI390" i="24"/>
  <c r="Z419" i="24"/>
  <c r="X415" i="24"/>
  <c r="S411" i="24"/>
  <c r="S407" i="24"/>
  <c r="AA402" i="24"/>
  <c r="AB398" i="24"/>
  <c r="U394" i="24"/>
  <c r="S390" i="24"/>
  <c r="CG397" i="24"/>
  <c r="BI415" i="24"/>
  <c r="BS403" i="24"/>
  <c r="BI393" i="24"/>
  <c r="BD414" i="24"/>
  <c r="BB407" i="24"/>
  <c r="BB399" i="24"/>
  <c r="BC391" i="24"/>
  <c r="AQ418" i="24"/>
  <c r="AN413" i="24"/>
  <c r="AM407" i="24"/>
  <c r="AN401" i="24"/>
  <c r="AG396" i="24"/>
  <c r="AN389" i="24"/>
  <c r="Y419" i="24"/>
  <c r="W415" i="24"/>
  <c r="R411" i="24"/>
  <c r="CQ404" i="24"/>
  <c r="BZ391" i="24"/>
  <c r="BJ416" i="24"/>
  <c r="BH399" i="24"/>
  <c r="AY416" i="24"/>
  <c r="AT405" i="24"/>
  <c r="BB391" i="24"/>
  <c r="AG414" i="24"/>
  <c r="AJ406" i="24"/>
  <c r="AQ395" i="24"/>
  <c r="AK387" i="24"/>
  <c r="T416" i="24"/>
  <c r="S410" i="24"/>
  <c r="AC402" i="24"/>
  <c r="U397" i="24"/>
  <c r="T390" i="24"/>
  <c r="CO404" i="24"/>
  <c r="BS414" i="24"/>
  <c r="BN396" i="24"/>
  <c r="AX416" i="24"/>
  <c r="BD404" i="24"/>
  <c r="AZ391" i="24"/>
  <c r="CN404" i="24"/>
  <c r="CA420" i="24"/>
  <c r="BK414" i="24"/>
  <c r="BS395" i="24"/>
  <c r="AU416" i="24"/>
  <c r="AY404" i="24"/>
  <c r="AX391" i="24"/>
  <c r="AQ413" i="24"/>
  <c r="AL405" i="24"/>
  <c r="AO395" i="24"/>
  <c r="CL402" i="24"/>
  <c r="CL387" i="24"/>
  <c r="CC419" i="24"/>
  <c r="BQ413" i="24"/>
  <c r="BO394" i="24"/>
  <c r="BC414" i="24"/>
  <c r="AT404" i="24"/>
  <c r="AU391" i="24"/>
  <c r="AL413" i="24"/>
  <c r="AH405" i="24"/>
  <c r="AL394" i="24"/>
  <c r="Y415" i="24"/>
  <c r="Z409" i="24"/>
  <c r="W402" i="24"/>
  <c r="AA396" i="24"/>
  <c r="X389" i="24"/>
  <c r="BV418" i="24"/>
  <c r="BO413" i="24"/>
  <c r="BI394" i="24"/>
  <c r="BD413" i="24"/>
  <c r="AZ401" i="24"/>
  <c r="AZ390" i="24"/>
  <c r="AN412" i="24"/>
  <c r="AG403" i="24"/>
  <c r="AQ393" i="24"/>
  <c r="CF417" i="24"/>
  <c r="BL412" i="24"/>
  <c r="BS392" i="24"/>
  <c r="BC413" i="24"/>
  <c r="AT401" i="24"/>
  <c r="AY390" i="24"/>
  <c r="AM412" i="24"/>
  <c r="AF403" i="24"/>
  <c r="AP393" i="24"/>
  <c r="BX417" i="24"/>
  <c r="BJ412" i="24"/>
  <c r="BO391" i="24"/>
  <c r="AZ413" i="24"/>
  <c r="BC400" i="24"/>
  <c r="BD389" i="24"/>
  <c r="AJ421" i="24"/>
  <c r="AF412" i="24"/>
  <c r="AN402" i="24"/>
  <c r="AN393" i="24"/>
  <c r="AB421" i="24"/>
  <c r="AB414" i="24"/>
  <c r="X407" i="24"/>
  <c r="AB401" i="24"/>
  <c r="Y394" i="24"/>
  <c r="AB388" i="24"/>
  <c r="CB419" i="24"/>
  <c r="BQ416" i="24"/>
  <c r="BS390" i="24"/>
  <c r="BB416" i="24"/>
  <c r="AU399" i="24"/>
  <c r="AL412" i="24"/>
  <c r="AQ400" i="24"/>
  <c r="AI389" i="24"/>
  <c r="U418" i="24"/>
  <c r="X410" i="24"/>
  <c r="R403" i="24"/>
  <c r="AB396" i="24"/>
  <c r="S389" i="24"/>
  <c r="CC417" i="24"/>
  <c r="BL416" i="24"/>
  <c r="BQ390" i="24"/>
  <c r="AZ416" i="24"/>
  <c r="BE398" i="24"/>
  <c r="AQ411" i="24"/>
  <c r="AP400" i="24"/>
  <c r="AH389" i="24"/>
  <c r="T418" i="24"/>
  <c r="W410" i="24"/>
  <c r="AB402" i="24"/>
  <c r="W395" i="24"/>
  <c r="AC388" i="24"/>
  <c r="X402" i="24"/>
  <c r="BW417" i="24"/>
  <c r="BK416" i="24"/>
  <c r="BO390" i="24"/>
  <c r="AT416" i="24"/>
  <c r="BC398" i="24"/>
  <c r="AP411" i="24"/>
  <c r="AK400" i="24"/>
  <c r="AQ388" i="24"/>
  <c r="S418" i="24"/>
  <c r="U410" i="24"/>
  <c r="Y402" i="24"/>
  <c r="R395" i="24"/>
  <c r="Z388" i="24"/>
  <c r="AN411" i="24"/>
  <c r="BV416" i="24"/>
  <c r="BI414" i="24"/>
  <c r="BK390" i="24"/>
  <c r="BB414" i="24"/>
  <c r="BB398" i="24"/>
  <c r="AJ400" i="24"/>
  <c r="AN388" i="24"/>
  <c r="R418" i="24"/>
  <c r="T410" i="24"/>
  <c r="AC394" i="24"/>
  <c r="Y388" i="24"/>
  <c r="CF415" i="24"/>
  <c r="BP413" i="24"/>
  <c r="BJ390" i="24"/>
  <c r="BA413" i="24"/>
  <c r="AZ398" i="24"/>
  <c r="AL411" i="24"/>
  <c r="AI400" i="24"/>
  <c r="AM388" i="24"/>
  <c r="AC417" i="24"/>
  <c r="R410" i="24"/>
  <c r="U402" i="24"/>
  <c r="AB394" i="24"/>
  <c r="X388" i="24"/>
  <c r="BW415" i="24"/>
  <c r="BK412" i="24"/>
  <c r="BR389" i="24"/>
  <c r="AY413" i="24"/>
  <c r="AY398" i="24"/>
  <c r="AK411" i="24"/>
  <c r="AG400" i="24"/>
  <c r="AL388" i="24"/>
  <c r="X416" i="24"/>
  <c r="AC409" i="24"/>
  <c r="S402" i="24"/>
  <c r="X394" i="24"/>
  <c r="W388" i="24"/>
  <c r="CE408" i="24"/>
  <c r="BI412" i="24"/>
  <c r="BQ389" i="24"/>
  <c r="AX413" i="24"/>
  <c r="AW398" i="24"/>
  <c r="AI411" i="24"/>
  <c r="AO399" i="24"/>
  <c r="AK388" i="24"/>
  <c r="BY400" i="24"/>
  <c r="BJ411" i="24"/>
  <c r="AY412" i="24"/>
  <c r="AU397" i="24"/>
  <c r="AL420" i="24"/>
  <c r="AK408" i="24"/>
  <c r="AI399" i="24"/>
  <c r="AN387" i="24"/>
  <c r="AB415" i="24"/>
  <c r="AB407" i="24"/>
  <c r="Z401" i="24"/>
  <c r="R394" i="24"/>
  <c r="X386" i="24"/>
  <c r="BX400" i="24"/>
  <c r="BR407" i="24"/>
  <c r="AX412" i="24"/>
  <c r="AT397" i="24"/>
  <c r="BX393" i="24"/>
  <c r="BL402" i="24"/>
  <c r="BB421" i="24"/>
  <c r="AT407" i="24"/>
  <c r="BD390" i="24"/>
  <c r="AN417" i="24"/>
  <c r="AL406" i="24"/>
  <c r="AM393" i="24"/>
  <c r="V420" i="24"/>
  <c r="Y413" i="24"/>
  <c r="AB405" i="24"/>
  <c r="U398" i="24"/>
  <c r="V391" i="24"/>
  <c r="BV393" i="24"/>
  <c r="BK402" i="24"/>
  <c r="BA421" i="24"/>
  <c r="AU406" i="24"/>
  <c r="AT390" i="24"/>
  <c r="AM417" i="24"/>
  <c r="AK406" i="24"/>
  <c r="AK393" i="24"/>
  <c r="U420" i="24"/>
  <c r="Y412" i="24"/>
  <c r="Z405" i="24"/>
  <c r="T398" i="24"/>
  <c r="R391" i="24"/>
  <c r="CE391" i="24"/>
  <c r="BI402" i="24"/>
  <c r="AV421" i="24"/>
  <c r="BD405" i="24"/>
  <c r="BC389" i="24"/>
  <c r="AJ417" i="24"/>
  <c r="AI406" i="24"/>
  <c r="AJ393" i="24"/>
  <c r="BH403" i="24"/>
  <c r="AW397" i="24"/>
  <c r="AF407" i="24"/>
  <c r="AJ390" i="24"/>
  <c r="Z411" i="24"/>
  <c r="AA401" i="24"/>
  <c r="X392" i="24"/>
  <c r="BY420" i="24"/>
  <c r="BQ402" i="24"/>
  <c r="AZ396" i="24"/>
  <c r="AQ406" i="24"/>
  <c r="AL389" i="24"/>
  <c r="Y411" i="24"/>
  <c r="Y401" i="24"/>
  <c r="W392" i="24"/>
  <c r="CA402" i="24"/>
  <c r="BK400" i="24"/>
  <c r="AY396" i="24"/>
  <c r="AP406" i="24"/>
  <c r="AJ388" i="24"/>
  <c r="X411" i="24"/>
  <c r="X401" i="24"/>
  <c r="U392" i="24"/>
  <c r="AC400" i="24"/>
  <c r="BZ402" i="24"/>
  <c r="BI400" i="24"/>
  <c r="AU421" i="24"/>
  <c r="BB394" i="24"/>
  <c r="AF421" i="24"/>
  <c r="AO406" i="24"/>
  <c r="AI388" i="24"/>
  <c r="AC420" i="24"/>
  <c r="T411" i="24"/>
  <c r="R401" i="24"/>
  <c r="AC390" i="24"/>
  <c r="AB390" i="24"/>
  <c r="CG399" i="24"/>
  <c r="BN399" i="24"/>
  <c r="BE420" i="24"/>
  <c r="AU394" i="24"/>
  <c r="AQ420" i="24"/>
  <c r="AN406" i="24"/>
  <c r="AM387" i="24"/>
  <c r="Y420" i="24"/>
  <c r="AB410" i="24"/>
  <c r="CF397" i="24"/>
  <c r="BM399" i="24"/>
  <c r="BD420" i="24"/>
  <c r="BD393" i="24"/>
  <c r="AK420" i="24"/>
  <c r="AK405" i="24"/>
  <c r="X420" i="24"/>
  <c r="AA410" i="24"/>
  <c r="Y399" i="24"/>
  <c r="V390" i="24"/>
  <c r="CC397" i="24"/>
  <c r="BQ395" i="24"/>
  <c r="BB420" i="24"/>
  <c r="BC393" i="24"/>
  <c r="AQ419" i="24"/>
  <c r="AK403" i="24"/>
  <c r="W420" i="24"/>
  <c r="Y410" i="24"/>
  <c r="V399" i="24"/>
  <c r="U390" i="24"/>
  <c r="BX397" i="24"/>
  <c r="BL394" i="24"/>
  <c r="AZ420" i="24"/>
  <c r="BC392" i="24"/>
  <c r="AM419" i="24"/>
  <c r="AQ402" i="24"/>
  <c r="T420" i="24"/>
  <c r="AB409" i="24"/>
  <c r="U399" i="24"/>
  <c r="AB389" i="24"/>
  <c r="BZ396" i="24"/>
  <c r="BQ392" i="24"/>
  <c r="AX420" i="24"/>
  <c r="BB392" i="24"/>
  <c r="AO418" i="24"/>
  <c r="AQ401" i="24"/>
  <c r="X419" i="24"/>
  <c r="Y409" i="24"/>
  <c r="T399" i="24"/>
  <c r="AA389" i="24"/>
  <c r="AV417" i="24"/>
  <c r="W389" i="24"/>
  <c r="BY395" i="24"/>
  <c r="BL391" i="24"/>
  <c r="AW420" i="24"/>
  <c r="BE391" i="24"/>
  <c r="AN418" i="24"/>
  <c r="AP401" i="24"/>
  <c r="T419" i="24"/>
  <c r="T408" i="24"/>
  <c r="S399" i="24"/>
  <c r="Y389" i="24"/>
  <c r="CB394" i="24"/>
  <c r="BP388" i="24"/>
  <c r="AV391" i="24"/>
  <c r="AM418" i="24"/>
  <c r="AI401" i="24"/>
  <c r="S419" i="24"/>
  <c r="Y407" i="24"/>
  <c r="R399" i="24"/>
  <c r="BW394" i="24"/>
  <c r="BN388" i="24"/>
  <c r="AV413" i="24"/>
  <c r="BB389" i="24"/>
  <c r="AK418" i="24"/>
  <c r="AG401" i="24"/>
  <c r="CO416" i="24"/>
  <c r="BR416" i="24"/>
  <c r="AZ407" i="24"/>
  <c r="AF414" i="24"/>
  <c r="AJ396" i="24"/>
  <c r="S415" i="24"/>
  <c r="Y405" i="24"/>
  <c r="W394" i="24"/>
  <c r="CS413" i="24"/>
  <c r="BQ411" i="24"/>
  <c r="AX407" i="24"/>
  <c r="AP413" i="24"/>
  <c r="AP395" i="24"/>
  <c r="R415" i="24"/>
  <c r="X405" i="24"/>
  <c r="T394" i="24"/>
  <c r="CR411" i="24"/>
  <c r="BM411" i="24"/>
  <c r="BC405" i="24"/>
  <c r="AK413" i="24"/>
  <c r="AK395" i="24"/>
  <c r="Y284" i="24"/>
  <c r="W319" i="24"/>
  <c r="Y354" i="24"/>
  <c r="U389" i="24"/>
  <c r="V406" i="24"/>
  <c r="AF307" i="24"/>
  <c r="AI371" i="24"/>
  <c r="AH408" i="24"/>
  <c r="BD310" i="24"/>
  <c r="AY358" i="24"/>
  <c r="BS153" i="24"/>
  <c r="BL292" i="24"/>
  <c r="BY372" i="24"/>
  <c r="AB144" i="24"/>
  <c r="AB176" i="24"/>
  <c r="AA284" i="24"/>
  <c r="AB302" i="24"/>
  <c r="W335" i="24"/>
  <c r="Z354" i="24"/>
  <c r="X373" i="24"/>
  <c r="AA392" i="24"/>
  <c r="AB406" i="24"/>
  <c r="W428" i="24"/>
  <c r="AA446" i="24"/>
  <c r="AN123" i="24"/>
  <c r="AJ149" i="24"/>
  <c r="AG176" i="24"/>
  <c r="AF282" i="24"/>
  <c r="AG307" i="24"/>
  <c r="AN339" i="24"/>
  <c r="AO373" i="24"/>
  <c r="AI408" i="24"/>
  <c r="AF447" i="24"/>
  <c r="AX154" i="24"/>
  <c r="AZ188" i="24"/>
  <c r="BE311" i="24"/>
  <c r="AZ358" i="24"/>
  <c r="AW408" i="24"/>
  <c r="BJ158" i="24"/>
  <c r="BP292" i="24"/>
  <c r="BP368" i="24"/>
  <c r="BR447" i="24"/>
  <c r="CA372" i="24"/>
  <c r="AB127" i="24"/>
  <c r="R145" i="24"/>
  <c r="AC160" i="24"/>
  <c r="S177" i="24"/>
  <c r="Y193" i="24"/>
  <c r="U288" i="24"/>
  <c r="S303" i="24"/>
  <c r="AB321" i="24"/>
  <c r="AC338" i="24"/>
  <c r="AC354" i="24"/>
  <c r="AA373" i="24"/>
  <c r="R393" i="24"/>
  <c r="R407" i="24"/>
  <c r="AC428" i="24"/>
  <c r="R447" i="24"/>
  <c r="AO124" i="24"/>
  <c r="AF150" i="24"/>
  <c r="AN176" i="24"/>
  <c r="AF284" i="24"/>
  <c r="AQ307" i="24"/>
  <c r="AG340" i="24"/>
  <c r="AQ376" i="24"/>
  <c r="AF409" i="24"/>
  <c r="AO447" i="24"/>
  <c r="AX122" i="24"/>
  <c r="AX160" i="24"/>
  <c r="BD275" i="24"/>
  <c r="AV312" i="24"/>
  <c r="BC358" i="24"/>
  <c r="BE408" i="24"/>
  <c r="BJ161" i="24"/>
  <c r="BJ370" i="24"/>
  <c r="BM448" i="24"/>
  <c r="CA378" i="24"/>
  <c r="CU305" i="24"/>
  <c r="CM303" i="24"/>
  <c r="CQ300" i="24"/>
  <c r="CU297" i="24"/>
  <c r="CM295" i="24"/>
  <c r="CQ292" i="24"/>
  <c r="CU289" i="24"/>
  <c r="CM287" i="24"/>
  <c r="CQ284" i="24"/>
  <c r="CU281" i="24"/>
  <c r="CM279" i="24"/>
  <c r="CQ276" i="24"/>
  <c r="CU273" i="24"/>
  <c r="CO305" i="24"/>
  <c r="CR302" i="24"/>
  <c r="CU299" i="24"/>
  <c r="CL297" i="24"/>
  <c r="CO294" i="24"/>
  <c r="CR291" i="24"/>
  <c r="CU288" i="24"/>
  <c r="CL286" i="24"/>
  <c r="CO283" i="24"/>
  <c r="CR280" i="24"/>
  <c r="CU277" i="24"/>
  <c r="CL275" i="24"/>
  <c r="CO272" i="24"/>
  <c r="CO307" i="24"/>
  <c r="CR304" i="24"/>
  <c r="CU301" i="24"/>
  <c r="CL299" i="24"/>
  <c r="CO296" i="24"/>
  <c r="CR293" i="24"/>
  <c r="CU290" i="24"/>
  <c r="CL288" i="24"/>
  <c r="CO285" i="24"/>
  <c r="CR282" i="24"/>
  <c r="CU279" i="24"/>
  <c r="CL277" i="24"/>
  <c r="CO274" i="24"/>
  <c r="CR306" i="24"/>
  <c r="CS303" i="24"/>
  <c r="CT300" i="24"/>
  <c r="CT297" i="24"/>
  <c r="CU294" i="24"/>
  <c r="CJ292" i="24"/>
  <c r="CK289" i="24"/>
  <c r="CK286" i="24"/>
  <c r="CL283" i="24"/>
  <c r="CM280" i="24"/>
  <c r="CN277" i="24"/>
  <c r="CN274" i="24"/>
  <c r="CL307" i="24"/>
  <c r="CL304" i="24"/>
  <c r="CL301" i="24"/>
  <c r="CL298" i="24"/>
  <c r="CK295" i="24"/>
  <c r="CK292" i="24"/>
  <c r="CJ289" i="24"/>
  <c r="CU285" i="24"/>
  <c r="CU282" i="24"/>
  <c r="CT279" i="24"/>
  <c r="CT276" i="24"/>
  <c r="CS273" i="24"/>
  <c r="CP306" i="24"/>
  <c r="CP303" i="24"/>
  <c r="CO300" i="24"/>
  <c r="CO297" i="24"/>
  <c r="CN294" i="24"/>
  <c r="CN291" i="24"/>
  <c r="CN288" i="24"/>
  <c r="CM285" i="24"/>
  <c r="CM282" i="24"/>
  <c r="CL279" i="24"/>
  <c r="CL276" i="24"/>
  <c r="CL273" i="24"/>
  <c r="CU304" i="24"/>
  <c r="CR301" i="24"/>
  <c r="CP298" i="24"/>
  <c r="CN295" i="24"/>
  <c r="CU291" i="24"/>
  <c r="CR288" i="24"/>
  <c r="CP285" i="24"/>
  <c r="CL282" i="24"/>
  <c r="CU278" i="24"/>
  <c r="CS275" i="24"/>
  <c r="CQ272" i="24"/>
  <c r="CA306" i="24"/>
  <c r="CE303" i="24"/>
  <c r="BW301" i="24"/>
  <c r="CA298" i="24"/>
  <c r="CE295" i="24"/>
  <c r="BW293" i="24"/>
  <c r="CA290" i="24"/>
  <c r="CE287" i="24"/>
  <c r="BW285" i="24"/>
  <c r="CA282" i="24"/>
  <c r="CE279" i="24"/>
  <c r="BW277" i="24"/>
  <c r="CA274" i="24"/>
  <c r="CM307" i="24"/>
  <c r="CJ304" i="24"/>
  <c r="CS300" i="24"/>
  <c r="CP297" i="24"/>
  <c r="CL294" i="24"/>
  <c r="CJ291" i="24"/>
  <c r="CS287" i="24"/>
  <c r="CP284" i="24"/>
  <c r="CN281" i="24"/>
  <c r="CL278" i="24"/>
  <c r="CU274" i="24"/>
  <c r="CN306" i="24"/>
  <c r="CK303" i="24"/>
  <c r="CT299" i="24"/>
  <c r="CR296" i="24"/>
  <c r="CO293" i="24"/>
  <c r="CM290" i="24"/>
  <c r="CJ287" i="24"/>
  <c r="CT283" i="24"/>
  <c r="CQ280" i="24"/>
  <c r="CO277" i="24"/>
  <c r="CK274" i="24"/>
  <c r="CJ306" i="24"/>
  <c r="CS302" i="24"/>
  <c r="CP299" i="24"/>
  <c r="CM296" i="24"/>
  <c r="CK293" i="24"/>
  <c r="CT289" i="24"/>
  <c r="CR286" i="24"/>
  <c r="CP283" i="24"/>
  <c r="CL280" i="24"/>
  <c r="CU276" i="24"/>
  <c r="CQ273" i="24"/>
  <c r="CS304" i="24"/>
  <c r="CK301" i="24"/>
  <c r="CM297" i="24"/>
  <c r="CQ293" i="24"/>
  <c r="CJ290" i="24"/>
  <c r="CN286" i="24"/>
  <c r="CP282" i="24"/>
  <c r="CS278" i="24"/>
  <c r="CM275" i="24"/>
  <c r="CO304" i="24"/>
  <c r="CR300" i="24"/>
  <c r="CU296" i="24"/>
  <c r="CM293" i="24"/>
  <c r="CQ289" i="24"/>
  <c r="CT285" i="24"/>
  <c r="CK282" i="24"/>
  <c r="CP278" i="24"/>
  <c r="CT274" i="24"/>
  <c r="CP307" i="24"/>
  <c r="CR303" i="24"/>
  <c r="CJ300" i="24"/>
  <c r="CL296" i="24"/>
  <c r="CR292" i="24"/>
  <c r="CT288" i="24"/>
  <c r="CK285" i="24"/>
  <c r="CP281" i="24"/>
  <c r="CT277" i="24"/>
  <c r="CL274" i="24"/>
  <c r="CM305" i="24"/>
  <c r="CN301" i="24"/>
  <c r="CJ297" i="24"/>
  <c r="CU292" i="24"/>
  <c r="CS288" i="24"/>
  <c r="CS284" i="24"/>
  <c r="CT280" i="24"/>
  <c r="CP276" i="24"/>
  <c r="CR272" i="24"/>
  <c r="CL305" i="24"/>
  <c r="CM301" i="24"/>
  <c r="CT296" i="24"/>
  <c r="CT292" i="24"/>
  <c r="CQ288" i="24"/>
  <c r="CR284" i="24"/>
  <c r="CS280" i="24"/>
  <c r="CO276" i="24"/>
  <c r="CP272" i="24"/>
  <c r="CB305" i="24"/>
  <c r="CE302" i="24"/>
  <c r="BV300" i="24"/>
  <c r="BY297" i="24"/>
  <c r="CB294" i="24"/>
  <c r="CT304" i="24"/>
  <c r="CP300" i="24"/>
  <c r="CP296" i="24"/>
  <c r="CO292" i="24"/>
  <c r="CM288" i="24"/>
  <c r="CM284" i="24"/>
  <c r="CN280" i="24"/>
  <c r="CK276" i="24"/>
  <c r="CL272" i="24"/>
  <c r="BY305" i="24"/>
  <c r="CB302" i="24"/>
  <c r="CE299" i="24"/>
  <c r="BV297" i="24"/>
  <c r="BY294" i="24"/>
  <c r="CB291" i="24"/>
  <c r="CE288" i="24"/>
  <c r="BV286" i="24"/>
  <c r="BY283" i="24"/>
  <c r="CB280" i="24"/>
  <c r="CE277" i="24"/>
  <c r="BV275" i="24"/>
  <c r="BY272" i="24"/>
  <c r="CU307" i="24"/>
  <c r="CU303" i="24"/>
  <c r="CR299" i="24"/>
  <c r="CS295" i="24"/>
  <c r="CQ291" i="24"/>
  <c r="CQ287" i="24"/>
  <c r="CR283" i="24"/>
  <c r="CP279" i="24"/>
  <c r="CP275" i="24"/>
  <c r="CJ305" i="24"/>
  <c r="CK300" i="24"/>
  <c r="CP295" i="24"/>
  <c r="CS290" i="24"/>
  <c r="CO286" i="24"/>
  <c r="CQ281" i="24"/>
  <c r="CJ277" i="24"/>
  <c r="CM272" i="24"/>
  <c r="CQ306" i="24"/>
  <c r="CK302" i="24"/>
  <c r="CQ297" i="24"/>
  <c r="CP292" i="24"/>
  <c r="CT287" i="24"/>
  <c r="CM283" i="24"/>
  <c r="CQ278" i="24"/>
  <c r="CR307" i="24"/>
  <c r="CQ302" i="24"/>
  <c r="CK298" i="24"/>
  <c r="CJ293" i="24"/>
  <c r="CR287" i="24"/>
  <c r="CT282" i="24"/>
  <c r="CJ278" i="24"/>
  <c r="CK273" i="24"/>
  <c r="CN307" i="24"/>
  <c r="CO302" i="24"/>
  <c r="CS297" i="24"/>
  <c r="CN292" i="24"/>
  <c r="CO287" i="24"/>
  <c r="CQ282" i="24"/>
  <c r="CR277" i="24"/>
  <c r="CU272" i="24"/>
  <c r="CL306" i="24"/>
  <c r="CP301" i="24"/>
  <c r="CJ296" i="24"/>
  <c r="CL291" i="24"/>
  <c r="CP286" i="24"/>
  <c r="CM281" i="24"/>
  <c r="CM276" i="24"/>
  <c r="CN305" i="24"/>
  <c r="CS299" i="24"/>
  <c r="CJ295" i="24"/>
  <c r="CN290" i="24"/>
  <c r="CL285" i="24"/>
  <c r="CK280" i="24"/>
  <c r="CN275" i="24"/>
  <c r="BX305" i="24"/>
  <c r="BY302" i="24"/>
  <c r="BZ299" i="24"/>
  <c r="CA296" i="24"/>
  <c r="CB293" i="24"/>
  <c r="CD290" i="24"/>
  <c r="CF287" i="24"/>
  <c r="CG284" i="24"/>
  <c r="BW282" i="24"/>
  <c r="BY279" i="24"/>
  <c r="CA276" i="24"/>
  <c r="CC273" i="24"/>
  <c r="CN304" i="24"/>
  <c r="CM299" i="24"/>
  <c r="CQ294" i="24"/>
  <c r="CR289" i="24"/>
  <c r="CO284" i="24"/>
  <c r="CQ279" i="24"/>
  <c r="CR274" i="24"/>
  <c r="CJ303" i="24"/>
  <c r="CN297" i="24"/>
  <c r="CM291" i="24"/>
  <c r="CQ285" i="24"/>
  <c r="CO279" i="24"/>
  <c r="CR273" i="24"/>
  <c r="BW306" i="24"/>
  <c r="BW303" i="24"/>
  <c r="BW300" i="24"/>
  <c r="CG296" i="24"/>
  <c r="CG293" i="24"/>
  <c r="BV291" i="24"/>
  <c r="BW288" i="24"/>
  <c r="BX285" i="24"/>
  <c r="BX282" i="24"/>
  <c r="BX279" i="24"/>
  <c r="BY276" i="24"/>
  <c r="BZ273" i="24"/>
  <c r="BP306" i="24"/>
  <c r="BH304" i="24"/>
  <c r="BL301" i="24"/>
  <c r="BP298" i="24"/>
  <c r="BH296" i="24"/>
  <c r="BL293" i="24"/>
  <c r="BP290" i="24"/>
  <c r="BH288" i="24"/>
  <c r="BL285" i="24"/>
  <c r="BP282" i="24"/>
  <c r="BH280" i="24"/>
  <c r="BL277" i="24"/>
  <c r="BP274" i="24"/>
  <c r="BH272" i="24"/>
  <c r="CU302" i="24"/>
  <c r="CK297" i="24"/>
  <c r="CK291" i="24"/>
  <c r="CN285" i="24"/>
  <c r="CN279" i="24"/>
  <c r="CP273" i="24"/>
  <c r="BV306" i="24"/>
  <c r="BV303" i="24"/>
  <c r="CG299" i="24"/>
  <c r="CF296" i="24"/>
  <c r="CF293" i="24"/>
  <c r="CG290" i="24"/>
  <c r="BV288" i="24"/>
  <c r="BV285" i="24"/>
  <c r="BV282" i="24"/>
  <c r="BW279" i="24"/>
  <c r="BX276" i="24"/>
  <c r="BY273" i="24"/>
  <c r="BO306" i="24"/>
  <c r="BS303" i="24"/>
  <c r="BK301" i="24"/>
  <c r="BO298" i="24"/>
  <c r="BS295" i="24"/>
  <c r="BK293" i="24"/>
  <c r="BO290" i="24"/>
  <c r="BS287" i="24"/>
  <c r="BK285" i="24"/>
  <c r="BO282" i="24"/>
  <c r="BS279" i="24"/>
  <c r="BK277" i="24"/>
  <c r="BO274" i="24"/>
  <c r="BE307" i="24"/>
  <c r="AW305" i="24"/>
  <c r="BA302" i="24"/>
  <c r="BE299" i="24"/>
  <c r="AW297" i="24"/>
  <c r="BA294" i="24"/>
  <c r="BE291" i="24"/>
  <c r="AW289" i="24"/>
  <c r="BA286" i="24"/>
  <c r="BE283" i="24"/>
  <c r="AW281" i="24"/>
  <c r="BA278" i="24"/>
  <c r="BE275" i="24"/>
  <c r="AW273" i="24"/>
  <c r="CT302" i="24"/>
  <c r="CS296" i="24"/>
  <c r="CT290" i="24"/>
  <c r="CJ285" i="24"/>
  <c r="CK279" i="24"/>
  <c r="CO273" i="24"/>
  <c r="CP302" i="24"/>
  <c r="CQ296" i="24"/>
  <c r="CR290" i="24"/>
  <c r="CU284" i="24"/>
  <c r="CJ279" i="24"/>
  <c r="CN273" i="24"/>
  <c r="CN302" i="24"/>
  <c r="CN296" i="24"/>
  <c r="CQ290" i="24"/>
  <c r="CT284" i="24"/>
  <c r="CT278" i="24"/>
  <c r="CM273" i="24"/>
  <c r="CE305" i="24"/>
  <c r="CD302" i="24"/>
  <c r="CC299" i="24"/>
  <c r="CC296" i="24"/>
  <c r="CC293" i="24"/>
  <c r="CC290" i="24"/>
  <c r="CC287" i="24"/>
  <c r="CD284" i="24"/>
  <c r="CE281" i="24"/>
  <c r="CF278" i="24"/>
  <c r="CG275" i="24"/>
  <c r="BV273" i="24"/>
  <c r="CK307" i="24"/>
  <c r="CS301" i="24"/>
  <c r="CQ295" i="24"/>
  <c r="CS289" i="24"/>
  <c r="CU283" i="24"/>
  <c r="CK278" i="24"/>
  <c r="CK272" i="24"/>
  <c r="BW305" i="24"/>
  <c r="BW302" i="24"/>
  <c r="BW299" i="24"/>
  <c r="BW296" i="24"/>
  <c r="BV293" i="24"/>
  <c r="BW290" i="24"/>
  <c r="BX287" i="24"/>
  <c r="BY284" i="24"/>
  <c r="BZ281" i="24"/>
  <c r="CA278" i="24"/>
  <c r="CB275" i="24"/>
  <c r="CC272" i="24"/>
  <c r="CT305" i="24"/>
  <c r="CQ299" i="24"/>
  <c r="CK294" i="24"/>
  <c r="CK288" i="24"/>
  <c r="CN282" i="24"/>
  <c r="CN276" i="24"/>
  <c r="CA307" i="24"/>
  <c r="CA304" i="24"/>
  <c r="CA301" i="24"/>
  <c r="BZ298" i="24"/>
  <c r="BZ295" i="24"/>
  <c r="BZ292" i="24"/>
  <c r="CA289" i="24"/>
  <c r="CB286" i="24"/>
  <c r="CC283" i="24"/>
  <c r="CD280" i="24"/>
  <c r="CD277" i="24"/>
  <c r="CE274" i="24"/>
  <c r="BS307" i="24"/>
  <c r="BK305" i="24"/>
  <c r="BO302" i="24"/>
  <c r="BS299" i="24"/>
  <c r="BK297" i="24"/>
  <c r="BO294" i="24"/>
  <c r="BS291" i="24"/>
  <c r="BK289" i="24"/>
  <c r="BO286" i="24"/>
  <c r="BS283" i="24"/>
  <c r="BK281" i="24"/>
  <c r="BO278" i="24"/>
  <c r="BS275" i="24"/>
  <c r="BK273" i="24"/>
  <c r="CP305" i="24"/>
  <c r="CJ299" i="24"/>
  <c r="CS293" i="24"/>
  <c r="CN287" i="24"/>
  <c r="CR281" i="24"/>
  <c r="CR275" i="24"/>
  <c r="BW307" i="24"/>
  <c r="BW304" i="24"/>
  <c r="BV301" i="24"/>
  <c r="BV298" i="24"/>
  <c r="BV295" i="24"/>
  <c r="BV292" i="24"/>
  <c r="BW289" i="24"/>
  <c r="BX286" i="24"/>
  <c r="BX283" i="24"/>
  <c r="BY280" i="24"/>
  <c r="BZ277" i="24"/>
  <c r="BZ274" i="24"/>
  <c r="CQ305" i="24"/>
  <c r="CM298" i="24"/>
  <c r="CO289" i="24"/>
  <c r="CS281" i="24"/>
  <c r="CM274" i="24"/>
  <c r="CF305" i="24"/>
  <c r="CG301" i="24"/>
  <c r="BY298" i="24"/>
  <c r="CD294" i="24"/>
  <c r="BW291" i="24"/>
  <c r="BY287" i="24"/>
  <c r="CE283" i="24"/>
  <c r="BW280" i="24"/>
  <c r="CC276" i="24"/>
  <c r="CF272" i="24"/>
  <c r="BS306" i="24"/>
  <c r="BR303" i="24"/>
  <c r="BS300" i="24"/>
  <c r="BH298" i="24"/>
  <c r="BI295" i="24"/>
  <c r="BJ292" i="24"/>
  <c r="BJ289" i="24"/>
  <c r="BK286" i="24"/>
  <c r="BL283" i="24"/>
  <c r="BM280" i="24"/>
  <c r="BN277" i="24"/>
  <c r="BM274" i="24"/>
  <c r="AY306" i="24"/>
  <c r="BB303" i="24"/>
  <c r="BE300" i="24"/>
  <c r="AV298" i="24"/>
  <c r="AY295" i="24"/>
  <c r="BB292" i="24"/>
  <c r="BE289" i="24"/>
  <c r="AV287" i="24"/>
  <c r="AY284" i="24"/>
  <c r="BB281" i="24"/>
  <c r="BE278" i="24"/>
  <c r="AV276" i="24"/>
  <c r="AY273" i="24"/>
  <c r="CK305" i="24"/>
  <c r="CJ298" i="24"/>
  <c r="CN289" i="24"/>
  <c r="CO281" i="24"/>
  <c r="CJ274" i="24"/>
  <c r="CD305" i="24"/>
  <c r="CF301" i="24"/>
  <c r="BX298" i="24"/>
  <c r="CC294" i="24"/>
  <c r="CF290" i="24"/>
  <c r="BW287" i="24"/>
  <c r="CD283" i="24"/>
  <c r="BV280" i="24"/>
  <c r="CB276" i="24"/>
  <c r="CE272" i="24"/>
  <c r="BR306" i="24"/>
  <c r="BQ303" i="24"/>
  <c r="BR300" i="24"/>
  <c r="BS297" i="24"/>
  <c r="BH295" i="24"/>
  <c r="BI292" i="24"/>
  <c r="BI289" i="24"/>
  <c r="BJ286" i="24"/>
  <c r="BK283" i="24"/>
  <c r="BL280" i="24"/>
  <c r="BM277" i="24"/>
  <c r="BL274" i="24"/>
  <c r="AX306" i="24"/>
  <c r="BA303" i="24"/>
  <c r="BD300" i="24"/>
  <c r="AU298" i="24"/>
  <c r="AX295" i="24"/>
  <c r="BA292" i="24"/>
  <c r="BD289" i="24"/>
  <c r="AU287" i="24"/>
  <c r="AX284" i="24"/>
  <c r="BA281" i="24"/>
  <c r="BD278" i="24"/>
  <c r="AU276" i="24"/>
  <c r="AX273" i="24"/>
  <c r="AL305" i="24"/>
  <c r="AP302" i="24"/>
  <c r="AH300" i="24"/>
  <c r="AL297" i="24"/>
  <c r="AP294" i="24"/>
  <c r="AH292" i="24"/>
  <c r="AL289" i="24"/>
  <c r="AP286" i="24"/>
  <c r="AH284" i="24"/>
  <c r="AL281" i="24"/>
  <c r="AP278" i="24"/>
  <c r="AH276" i="24"/>
  <c r="AL273" i="24"/>
  <c r="CP304" i="24"/>
  <c r="CK296" i="24"/>
  <c r="CL289" i="24"/>
  <c r="CK281" i="24"/>
  <c r="CJ273" i="24"/>
  <c r="CA305" i="24"/>
  <c r="CD301" i="24"/>
  <c r="CG297" i="24"/>
  <c r="BZ294" i="24"/>
  <c r="CB290" i="24"/>
  <c r="CG286" i="24"/>
  <c r="CA283" i="24"/>
  <c r="CF279" i="24"/>
  <c r="BW276" i="24"/>
  <c r="CB272" i="24"/>
  <c r="BN306" i="24"/>
  <c r="BO303" i="24"/>
  <c r="BP300" i="24"/>
  <c r="BQ297" i="24"/>
  <c r="BR294" i="24"/>
  <c r="BR291" i="24"/>
  <c r="BS288" i="24"/>
  <c r="BH286" i="24"/>
  <c r="BI283" i="24"/>
  <c r="BJ280" i="24"/>
  <c r="BI277" i="24"/>
  <c r="BJ274" i="24"/>
  <c r="CS307" i="24"/>
  <c r="CL300" i="24"/>
  <c r="CM292" i="24"/>
  <c r="CK284" i="24"/>
  <c r="CR276" i="24"/>
  <c r="BV307" i="24"/>
  <c r="CA303" i="24"/>
  <c r="CB299" i="24"/>
  <c r="CF295" i="24"/>
  <c r="BX292" i="24"/>
  <c r="CC288" i="24"/>
  <c r="CF284" i="24"/>
  <c r="BY281" i="24"/>
  <c r="CF277" i="24"/>
  <c r="BW274" i="24"/>
  <c r="BR307" i="24"/>
  <c r="BS304" i="24"/>
  <c r="BH302" i="24"/>
  <c r="BI299" i="24"/>
  <c r="BJ296" i="24"/>
  <c r="BI293" i="24"/>
  <c r="BJ290" i="24"/>
  <c r="BK287" i="24"/>
  <c r="BL284" i="24"/>
  <c r="BM281" i="24"/>
  <c r="BM278" i="24"/>
  <c r="BN275" i="24"/>
  <c r="BO272" i="24"/>
  <c r="CT301" i="24"/>
  <c r="CN293" i="24"/>
  <c r="CS283" i="24"/>
  <c r="CK275" i="24"/>
  <c r="CG307" i="24"/>
  <c r="CG303" i="24"/>
  <c r="CD299" i="24"/>
  <c r="CA295" i="24"/>
  <c r="BZ291" i="24"/>
  <c r="CF286" i="24"/>
  <c r="CF282" i="24"/>
  <c r="CD278" i="24"/>
  <c r="CD274" i="24"/>
  <c r="BI305" i="24"/>
  <c r="BQ301" i="24"/>
  <c r="BL298" i="24"/>
  <c r="BS294" i="24"/>
  <c r="BN291" i="24"/>
  <c r="BK288" i="24"/>
  <c r="BR284" i="24"/>
  <c r="BO281" i="24"/>
  <c r="BJ278" i="24"/>
  <c r="BS274" i="24"/>
  <c r="BC305" i="24"/>
  <c r="BD302" i="24"/>
  <c r="BD299" i="24"/>
  <c r="BE296" i="24"/>
  <c r="AT294" i="24"/>
  <c r="AU291" i="24"/>
  <c r="AV288" i="24"/>
  <c r="AW285" i="24"/>
  <c r="AX282" i="24"/>
  <c r="AY279" i="24"/>
  <c r="AZ276" i="24"/>
  <c r="BA273" i="24"/>
  <c r="AL306" i="24"/>
  <c r="AO303" i="24"/>
  <c r="AF301" i="24"/>
  <c r="AI298" i="24"/>
  <c r="AL295" i="24"/>
  <c r="AO292" i="24"/>
  <c r="AF290" i="24"/>
  <c r="AI287" i="24"/>
  <c r="AL284" i="24"/>
  <c r="AO281" i="24"/>
  <c r="AF279" i="24"/>
  <c r="AI276" i="24"/>
  <c r="AK273" i="24"/>
  <c r="CJ301" i="24"/>
  <c r="CL292" i="24"/>
  <c r="CK283" i="24"/>
  <c r="CQ274" i="24"/>
  <c r="CD307" i="24"/>
  <c r="CK299" i="24"/>
  <c r="CO290" i="24"/>
  <c r="CL281" i="24"/>
  <c r="CJ272" i="24"/>
  <c r="CG306" i="24"/>
  <c r="CF302" i="24"/>
  <c r="CC298" i="24"/>
  <c r="BW294" i="24"/>
  <c r="CF289" i="24"/>
  <c r="CF285" i="24"/>
  <c r="CD281" i="24"/>
  <c r="CC277" i="24"/>
  <c r="CD273" i="24"/>
  <c r="BN307" i="24"/>
  <c r="BK304" i="24"/>
  <c r="BO300" i="24"/>
  <c r="BL297" i="24"/>
  <c r="BH294" i="24"/>
  <c r="BQ290" i="24"/>
  <c r="BL287" i="24"/>
  <c r="BH284" i="24"/>
  <c r="BP280" i="24"/>
  <c r="BH277" i="24"/>
  <c r="BQ273" i="24"/>
  <c r="BD307" i="24"/>
  <c r="BE304" i="24"/>
  <c r="AT302" i="24"/>
  <c r="AU299" i="24"/>
  <c r="AV296" i="24"/>
  <c r="AW293" i="24"/>
  <c r="AX290" i="24"/>
  <c r="AY287" i="24"/>
  <c r="AZ284" i="24"/>
  <c r="AY281" i="24"/>
  <c r="AY278" i="24"/>
  <c r="AZ275" i="24"/>
  <c r="BA272" i="24"/>
  <c r="CM306" i="24"/>
  <c r="CR297" i="24"/>
  <c r="CU287" i="24"/>
  <c r="CR278" i="24"/>
  <c r="BX306" i="24"/>
  <c r="CB301" i="24"/>
  <c r="CA297" i="24"/>
  <c r="CG292" i="24"/>
  <c r="BV289" i="24"/>
  <c r="CE284" i="24"/>
  <c r="CF280" i="24"/>
  <c r="CE276" i="24"/>
  <c r="BZ272" i="24"/>
  <c r="BM306" i="24"/>
  <c r="BJ303" i="24"/>
  <c r="BR299" i="24"/>
  <c r="BO296" i="24"/>
  <c r="BJ293" i="24"/>
  <c r="BR289" i="24"/>
  <c r="BN286" i="24"/>
  <c r="BH283" i="24"/>
  <c r="BO279" i="24"/>
  <c r="BL276" i="24"/>
  <c r="BH273" i="24"/>
  <c r="AV307" i="24"/>
  <c r="AW304" i="24"/>
  <c r="AX301" i="24"/>
  <c r="AY298" i="24"/>
  <c r="AZ295" i="24"/>
  <c r="AY292" i="24"/>
  <c r="AZ289" i="24"/>
  <c r="AZ286" i="24"/>
  <c r="BA283" i="24"/>
  <c r="BB280" i="24"/>
  <c r="BC277" i="24"/>
  <c r="BD274" i="24"/>
  <c r="CQ304" i="24"/>
  <c r="CO295" i="24"/>
  <c r="CU286" i="24"/>
  <c r="CS277" i="24"/>
  <c r="BV305" i="24"/>
  <c r="CG300" i="24"/>
  <c r="CE296" i="24"/>
  <c r="CC292" i="24"/>
  <c r="CB288" i="24"/>
  <c r="BZ284" i="24"/>
  <c r="BZ280" i="24"/>
  <c r="CF275" i="24"/>
  <c r="BI306" i="24"/>
  <c r="BR302" i="24"/>
  <c r="BN299" i="24"/>
  <c r="BK296" i="24"/>
  <c r="BQ292" i="24"/>
  <c r="BN289" i="24"/>
  <c r="BS285" i="24"/>
  <c r="BN282" i="24"/>
  <c r="BK279" i="24"/>
  <c r="BH276" i="24"/>
  <c r="BP272" i="24"/>
  <c r="CM304" i="24"/>
  <c r="CL295" i="24"/>
  <c r="CT286" i="24"/>
  <c r="CQ277" i="24"/>
  <c r="CU300" i="24"/>
  <c r="CK290" i="24"/>
  <c r="CO278" i="24"/>
  <c r="CB307" i="24"/>
  <c r="CC302" i="24"/>
  <c r="CD297" i="24"/>
  <c r="CE292" i="24"/>
  <c r="BY288" i="24"/>
  <c r="BZ283" i="24"/>
  <c r="CC278" i="24"/>
  <c r="BV274" i="24"/>
  <c r="BQ304" i="24"/>
  <c r="BH301" i="24"/>
  <c r="BH297" i="24"/>
  <c r="BM293" i="24"/>
  <c r="BM289" i="24"/>
  <c r="BN285" i="24"/>
  <c r="BQ281" i="24"/>
  <c r="BS277" i="24"/>
  <c r="BS273" i="24"/>
  <c r="CN300" i="24"/>
  <c r="CP289" i="24"/>
  <c r="CN278" i="24"/>
  <c r="BZ307" i="24"/>
  <c r="CA302" i="24"/>
  <c r="CC297" i="24"/>
  <c r="CD292" i="24"/>
  <c r="BX288" i="24"/>
  <c r="BW283" i="24"/>
  <c r="CB278" i="24"/>
  <c r="CG273" i="24"/>
  <c r="CM300" i="24"/>
  <c r="CM289" i="24"/>
  <c r="CM278" i="24"/>
  <c r="BY307" i="24"/>
  <c r="BZ302" i="24"/>
  <c r="CB297" i="24"/>
  <c r="CB292" i="24"/>
  <c r="CG287" i="24"/>
  <c r="BV283" i="24"/>
  <c r="BZ278" i="24"/>
  <c r="CF273" i="24"/>
  <c r="BO304" i="24"/>
  <c r="BN300" i="24"/>
  <c r="BR296" i="24"/>
  <c r="BS292" i="24"/>
  <c r="BH289" i="24"/>
  <c r="BJ285" i="24"/>
  <c r="BN281" i="24"/>
  <c r="BQ277" i="24"/>
  <c r="BP273" i="24"/>
  <c r="CQ298" i="24"/>
  <c r="CS286" i="24"/>
  <c r="CT275" i="24"/>
  <c r="BZ306" i="24"/>
  <c r="BX301" i="24"/>
  <c r="BY296" i="24"/>
  <c r="CD291" i="24"/>
  <c r="CD286" i="24"/>
  <c r="BY282" i="24"/>
  <c r="CA277" i="24"/>
  <c r="CD272" i="24"/>
  <c r="BO307" i="24"/>
  <c r="BN303" i="24"/>
  <c r="BQ299" i="24"/>
  <c r="BR295" i="24"/>
  <c r="BK292" i="24"/>
  <c r="BL288" i="24"/>
  <c r="BN284" i="24"/>
  <c r="BQ280" i="24"/>
  <c r="BP276" i="24"/>
  <c r="BS272" i="24"/>
  <c r="CK304" i="24"/>
  <c r="CU293" i="24"/>
  <c r="CS282" i="24"/>
  <c r="BY304" i="24"/>
  <c r="BY299" i="24"/>
  <c r="CE294" i="24"/>
  <c r="CD289" i="24"/>
  <c r="BZ285" i="24"/>
  <c r="CA280" i="24"/>
  <c r="CA275" i="24"/>
  <c r="CT303" i="24"/>
  <c r="CS291" i="24"/>
  <c r="CP277" i="24"/>
  <c r="BX303" i="24"/>
  <c r="CD296" i="24"/>
  <c r="BY291" i="24"/>
  <c r="CD285" i="24"/>
  <c r="CG279" i="24"/>
  <c r="CC274" i="24"/>
  <c r="CQ303" i="24"/>
  <c r="CP291" i="24"/>
  <c r="CM277" i="24"/>
  <c r="CG302" i="24"/>
  <c r="CB296" i="24"/>
  <c r="BX291" i="24"/>
  <c r="CC285" i="24"/>
  <c r="CD279" i="24"/>
  <c r="CB274" i="24"/>
  <c r="BP303" i="24"/>
  <c r="BM299" i="24"/>
  <c r="BL295" i="24"/>
  <c r="BI291" i="24"/>
  <c r="BS286" i="24"/>
  <c r="BM282" i="24"/>
  <c r="BN278" i="24"/>
  <c r="BI274" i="24"/>
  <c r="BD304" i="24"/>
  <c r="BB301" i="24"/>
  <c r="AZ298" i="24"/>
  <c r="AU295" i="24"/>
  <c r="BD291" i="24"/>
  <c r="BB288" i="24"/>
  <c r="AZ285" i="24"/>
  <c r="AW282" i="24"/>
  <c r="AU279" i="24"/>
  <c r="BB275" i="24"/>
  <c r="AY272" i="24"/>
  <c r="CO303" i="24"/>
  <c r="CO291" i="24"/>
  <c r="CK277" i="24"/>
  <c r="CO301" i="24"/>
  <c r="CL287" i="24"/>
  <c r="CS274" i="24"/>
  <c r="CE306" i="24"/>
  <c r="CE300" i="24"/>
  <c r="BY295" i="24"/>
  <c r="CC289" i="24"/>
  <c r="BW284" i="24"/>
  <c r="BY278" i="24"/>
  <c r="CG272" i="24"/>
  <c r="CO299" i="24"/>
  <c r="CK287" i="24"/>
  <c r="CP274" i="24"/>
  <c r="CD306" i="24"/>
  <c r="CD300" i="24"/>
  <c r="BX295" i="24"/>
  <c r="CB289" i="24"/>
  <c r="BV284" i="24"/>
  <c r="BX278" i="24"/>
  <c r="CA272" i="24"/>
  <c r="BH307" i="24"/>
  <c r="BN302" i="24"/>
  <c r="BM298" i="24"/>
  <c r="BJ294" i="24"/>
  <c r="BH290" i="24"/>
  <c r="CN299" i="24"/>
  <c r="CQ286" i="24"/>
  <c r="CT273" i="24"/>
  <c r="CC306" i="24"/>
  <c r="CC300" i="24"/>
  <c r="BW295" i="24"/>
  <c r="BZ289" i="24"/>
  <c r="CG283" i="24"/>
  <c r="BW278" i="24"/>
  <c r="BX272" i="24"/>
  <c r="CT294" i="24"/>
  <c r="CJ283" i="24"/>
  <c r="CC304" i="24"/>
  <c r="CG298" i="24"/>
  <c r="BY293" i="24"/>
  <c r="CA287" i="24"/>
  <c r="CF281" i="24"/>
  <c r="BZ276" i="24"/>
  <c r="CT307" i="24"/>
  <c r="CS294" i="24"/>
  <c r="CO282" i="24"/>
  <c r="CB304" i="24"/>
  <c r="CF298" i="24"/>
  <c r="BX293" i="24"/>
  <c r="BZ287" i="24"/>
  <c r="CC281" i="24"/>
  <c r="BV276" i="24"/>
  <c r="CQ307" i="24"/>
  <c r="CR294" i="24"/>
  <c r="CJ282" i="24"/>
  <c r="BZ304" i="24"/>
  <c r="CE298" i="24"/>
  <c r="CF292" i="24"/>
  <c r="BV287" i="24"/>
  <c r="CB281" i="24"/>
  <c r="CE275" i="24"/>
  <c r="CU298" i="24"/>
  <c r="CT281" i="24"/>
  <c r="CC307" i="24"/>
  <c r="CF299" i="24"/>
  <c r="CF291" i="24"/>
  <c r="CB284" i="24"/>
  <c r="BV277" i="24"/>
  <c r="BJ305" i="24"/>
  <c r="BL300" i="24"/>
  <c r="BQ295" i="24"/>
  <c r="BL291" i="24"/>
  <c r="BH287" i="24"/>
  <c r="BL282" i="24"/>
  <c r="BK278" i="24"/>
  <c r="BO273" i="24"/>
  <c r="AT307" i="24"/>
  <c r="BC303" i="24"/>
  <c r="AX300" i="24"/>
  <c r="AT297" i="24"/>
  <c r="BB293" i="24"/>
  <c r="AY290" i="24"/>
  <c r="BE286" i="24"/>
  <c r="AZ283" i="24"/>
  <c r="AW280" i="24"/>
  <c r="AT277" i="24"/>
  <c r="BC273" i="24"/>
  <c r="AN307" i="24"/>
  <c r="AP304" i="24"/>
  <c r="AF302" i="24"/>
  <c r="AH299" i="24"/>
  <c r="AJ296" i="24"/>
  <c r="AL293" i="24"/>
  <c r="AN290" i="24"/>
  <c r="AP287" i="24"/>
  <c r="AF285" i="24"/>
  <c r="AH282" i="24"/>
  <c r="AJ279" i="24"/>
  <c r="AL276" i="24"/>
  <c r="AN273" i="24"/>
  <c r="CT298" i="24"/>
  <c r="CJ281" i="24"/>
  <c r="BX307" i="24"/>
  <c r="CA299" i="24"/>
  <c r="CE291" i="24"/>
  <c r="CA284" i="24"/>
  <c r="CG276" i="24"/>
  <c r="BH305" i="24"/>
  <c r="BK300" i="24"/>
  <c r="BP295" i="24"/>
  <c r="BK291" i="24"/>
  <c r="BR286" i="24"/>
  <c r="BK282" i="24"/>
  <c r="BI278" i="24"/>
  <c r="BN273" i="24"/>
  <c r="BE306" i="24"/>
  <c r="AZ303" i="24"/>
  <c r="AW300" i="24"/>
  <c r="BD296" i="24"/>
  <c r="BA293" i="24"/>
  <c r="AW290" i="24"/>
  <c r="BD286" i="24"/>
  <c r="AY283" i="24"/>
  <c r="AV280" i="24"/>
  <c r="BE276" i="24"/>
  <c r="BB273" i="24"/>
  <c r="AM307" i="24"/>
  <c r="AO304" i="24"/>
  <c r="AQ301" i="24"/>
  <c r="AG299" i="24"/>
  <c r="AI296" i="24"/>
  <c r="AK293" i="24"/>
  <c r="AM290" i="24"/>
  <c r="AO287" i="24"/>
  <c r="AQ284" i="24"/>
  <c r="AG282" i="24"/>
  <c r="AI279" i="24"/>
  <c r="AK276" i="24"/>
  <c r="AM273" i="24"/>
  <c r="CO298" i="24"/>
  <c r="CO280" i="24"/>
  <c r="BY306" i="24"/>
  <c r="CD298" i="24"/>
  <c r="CE290" i="24"/>
  <c r="CB283" i="24"/>
  <c r="CD275" i="24"/>
  <c r="CN298" i="24"/>
  <c r="CJ280" i="24"/>
  <c r="CG305" i="24"/>
  <c r="CB298" i="24"/>
  <c r="BZ290" i="24"/>
  <c r="CG282" i="24"/>
  <c r="CC275" i="24"/>
  <c r="BM304" i="24"/>
  <c r="BP299" i="24"/>
  <c r="BK295" i="24"/>
  <c r="BR290" i="24"/>
  <c r="BL286" i="24"/>
  <c r="BS281" i="24"/>
  <c r="BO277" i="24"/>
  <c r="BI273" i="24"/>
  <c r="BA306" i="24"/>
  <c r="AV303" i="24"/>
  <c r="BC299" i="24"/>
  <c r="AZ296" i="24"/>
  <c r="AV293" i="24"/>
  <c r="BC289" i="24"/>
  <c r="CP294" i="24"/>
  <c r="CJ276" i="24"/>
  <c r="CF304" i="24"/>
  <c r="BZ297" i="24"/>
  <c r="CG289" i="24"/>
  <c r="CB282" i="24"/>
  <c r="BW275" i="24"/>
  <c r="BM303" i="24"/>
  <c r="BJ299" i="24"/>
  <c r="BN294" i="24"/>
  <c r="BK290" i="24"/>
  <c r="BP285" i="24"/>
  <c r="BJ281" i="24"/>
  <c r="BQ276" i="24"/>
  <c r="BM272" i="24"/>
  <c r="AU306" i="24"/>
  <c r="BC302" i="24"/>
  <c r="AY299" i="24"/>
  <c r="AU296" i="24"/>
  <c r="BD292" i="24"/>
  <c r="AX289" i="24"/>
  <c r="AT286" i="24"/>
  <c r="BC282" i="24"/>
  <c r="AZ279" i="24"/>
  <c r="AT276" i="24"/>
  <c r="BB272" i="24"/>
  <c r="CN303" i="24"/>
  <c r="CN283" i="24"/>
  <c r="CC301" i="24"/>
  <c r="CA292" i="24"/>
  <c r="CF283" i="24"/>
  <c r="CF274" i="24"/>
  <c r="BR305" i="24"/>
  <c r="BI301" i="24"/>
  <c r="BN295" i="24"/>
  <c r="BL290" i="24"/>
  <c r="BH285" i="24"/>
  <c r="BI280" i="24"/>
  <c r="BL275" i="24"/>
  <c r="AX305" i="24"/>
  <c r="AZ301" i="24"/>
  <c r="BB297" i="24"/>
  <c r="BE293" i="24"/>
  <c r="AU290" i="24"/>
  <c r="AV286" i="24"/>
  <c r="BA282" i="24"/>
  <c r="BC278" i="24"/>
  <c r="AU275" i="24"/>
  <c r="AI307" i="24"/>
  <c r="AI304" i="24"/>
  <c r="AI301" i="24"/>
  <c r="AH298" i="24"/>
  <c r="AH295" i="24"/>
  <c r="AG292" i="24"/>
  <c r="AG289" i="24"/>
  <c r="AG286" i="24"/>
  <c r="AG283" i="24"/>
  <c r="AG280" i="24"/>
  <c r="AG277" i="24"/>
  <c r="AG274" i="24"/>
  <c r="CJ302" i="24"/>
  <c r="CR279" i="24"/>
  <c r="CB300" i="24"/>
  <c r="CC291" i="24"/>
  <c r="BZ282" i="24"/>
  <c r="CB273" i="24"/>
  <c r="BN305" i="24"/>
  <c r="BI300" i="24"/>
  <c r="BP294" i="24"/>
  <c r="BP289" i="24"/>
  <c r="BO284" i="24"/>
  <c r="BN279" i="24"/>
  <c r="BH275" i="24"/>
  <c r="CR298" i="24"/>
  <c r="CQ275" i="24"/>
  <c r="BY300" i="24"/>
  <c r="BX290" i="24"/>
  <c r="BX281" i="24"/>
  <c r="BW273" i="24"/>
  <c r="BR304" i="24"/>
  <c r="BL299" i="24"/>
  <c r="BK294" i="24"/>
  <c r="BR288" i="24"/>
  <c r="BJ284" i="24"/>
  <c r="BJ279" i="24"/>
  <c r="BN274" i="24"/>
  <c r="AZ304" i="24"/>
  <c r="BB300" i="24"/>
  <c r="BC296" i="24"/>
  <c r="AT293" i="24"/>
  <c r="AT289" i="24"/>
  <c r="AY285" i="24"/>
  <c r="BD281" i="24"/>
  <c r="AT278" i="24"/>
  <c r="AY274" i="24"/>
  <c r="AN306" i="24"/>
  <c r="AM303" i="24"/>
  <c r="AM300" i="24"/>
  <c r="AM297" i="24"/>
  <c r="AL294" i="24"/>
  <c r="AL291" i="24"/>
  <c r="AL288" i="24"/>
  <c r="AL285" i="24"/>
  <c r="AL282" i="24"/>
  <c r="AL279" i="24"/>
  <c r="AJ276" i="24"/>
  <c r="AH273" i="24"/>
  <c r="CL293" i="24"/>
  <c r="CB306" i="24"/>
  <c r="BW297" i="24"/>
  <c r="CA288" i="24"/>
  <c r="CB279" i="24"/>
  <c r="BI303" i="24"/>
  <c r="BJ298" i="24"/>
  <c r="BH293" i="24"/>
  <c r="BR287" i="24"/>
  <c r="BJ283" i="24"/>
  <c r="BH278" i="24"/>
  <c r="BQ272" i="24"/>
  <c r="AY307" i="24"/>
  <c r="AY303" i="24"/>
  <c r="BA299" i="24"/>
  <c r="BD295" i="24"/>
  <c r="AT292" i="24"/>
  <c r="AW288" i="24"/>
  <c r="BB284" i="24"/>
  <c r="BD280" i="24"/>
  <c r="AW277" i="24"/>
  <c r="AZ273" i="24"/>
  <c r="AQ305" i="24"/>
  <c r="AQ302" i="24"/>
  <c r="AP299" i="24"/>
  <c r="AP296" i="24"/>
  <c r="AP293" i="24"/>
  <c r="AP290" i="24"/>
  <c r="AN287" i="24"/>
  <c r="AN284" i="24"/>
  <c r="AM281" i="24"/>
  <c r="AL278" i="24"/>
  <c r="AL275" i="24"/>
  <c r="AL272" i="24"/>
  <c r="CL303" i="24"/>
  <c r="CU275" i="24"/>
  <c r="BX304" i="24"/>
  <c r="CA294" i="24"/>
  <c r="BY285" i="24"/>
  <c r="BX274" i="24"/>
  <c r="BQ306" i="24"/>
  <c r="BM301" i="24"/>
  <c r="BQ294" i="24"/>
  <c r="BP288" i="24"/>
  <c r="BN283" i="24"/>
  <c r="BJ277" i="24"/>
  <c r="BB306" i="24"/>
  <c r="AX302" i="24"/>
  <c r="AW298" i="24"/>
  <c r="AV294" i="24"/>
  <c r="BB289" i="24"/>
  <c r="BB285" i="24"/>
  <c r="AZ281" i="24"/>
  <c r="AZ277" i="24"/>
  <c r="AV273" i="24"/>
  <c r="AG305" i="24"/>
  <c r="AN301" i="24"/>
  <c r="AK298" i="24"/>
  <c r="AF295" i="24"/>
  <c r="AN291" i="24"/>
  <c r="AJ288" i="24"/>
  <c r="AG285" i="24"/>
  <c r="AK281" i="24"/>
  <c r="AH278" i="24"/>
  <c r="AQ274" i="24"/>
  <c r="W307" i="24"/>
  <c r="AA304" i="24"/>
  <c r="S302" i="24"/>
  <c r="W299" i="24"/>
  <c r="AA296" i="24"/>
  <c r="S294" i="24"/>
  <c r="W291" i="24"/>
  <c r="AA288" i="24"/>
  <c r="S286" i="24"/>
  <c r="W283" i="24"/>
  <c r="AA280" i="24"/>
  <c r="S278" i="24"/>
  <c r="W275" i="24"/>
  <c r="AA272" i="24"/>
  <c r="CM302" i="24"/>
  <c r="CO275" i="24"/>
  <c r="BV304" i="24"/>
  <c r="BX294" i="24"/>
  <c r="CC284" i="24"/>
  <c r="CE273" i="24"/>
  <c r="BL306" i="24"/>
  <c r="BJ301" i="24"/>
  <c r="BM294" i="24"/>
  <c r="BO288" i="24"/>
  <c r="BM283" i="24"/>
  <c r="BS276" i="24"/>
  <c r="AZ306" i="24"/>
  <c r="AW302" i="24"/>
  <c r="AT298" i="24"/>
  <c r="AU294" i="24"/>
  <c r="BA289" i="24"/>
  <c r="BA285" i="24"/>
  <c r="AX281" i="24"/>
  <c r="AY277" i="24"/>
  <c r="AU273" i="24"/>
  <c r="AF305" i="24"/>
  <c r="AM301" i="24"/>
  <c r="AJ298" i="24"/>
  <c r="AQ294" i="24"/>
  <c r="AM291" i="24"/>
  <c r="AI288" i="24"/>
  <c r="AP284" i="24"/>
  <c r="AJ281" i="24"/>
  <c r="AG278" i="24"/>
  <c r="AP274" i="24"/>
  <c r="V307" i="24"/>
  <c r="Z304" i="24"/>
  <c r="R302" i="24"/>
  <c r="V299" i="24"/>
  <c r="Z296" i="24"/>
  <c r="R294" i="24"/>
  <c r="V291" i="24"/>
  <c r="Z288" i="24"/>
  <c r="R286" i="24"/>
  <c r="V283" i="24"/>
  <c r="Z280" i="24"/>
  <c r="R278" i="24"/>
  <c r="V275" i="24"/>
  <c r="Z272" i="24"/>
  <c r="CL302" i="24"/>
  <c r="CJ275" i="24"/>
  <c r="CF303" i="24"/>
  <c r="BV294" i="24"/>
  <c r="BX284" i="24"/>
  <c r="CA273" i="24"/>
  <c r="BK306" i="24"/>
  <c r="BQ300" i="24"/>
  <c r="BL294" i="24"/>
  <c r="BN288" i="24"/>
  <c r="BS282" i="24"/>
  <c r="BR276" i="24"/>
  <c r="AW306" i="24"/>
  <c r="AV302" i="24"/>
  <c r="BE297" i="24"/>
  <c r="BD293" i="24"/>
  <c r="AY289" i="24"/>
  <c r="AX285" i="24"/>
  <c r="AV281" i="24"/>
  <c r="AX277" i="24"/>
  <c r="AT273" i="24"/>
  <c r="AQ304" i="24"/>
  <c r="AL301" i="24"/>
  <c r="AG298" i="24"/>
  <c r="AO294" i="24"/>
  <c r="AK291" i="24"/>
  <c r="AH288" i="24"/>
  <c r="AO284" i="24"/>
  <c r="AI281" i="24"/>
  <c r="AF278" i="24"/>
  <c r="AO274" i="24"/>
  <c r="U307" i="24"/>
  <c r="Y304" i="24"/>
  <c r="AC301" i="24"/>
  <c r="U299" i="24"/>
  <c r="Y296" i="24"/>
  <c r="AC293" i="24"/>
  <c r="U291" i="24"/>
  <c r="Y288" i="24"/>
  <c r="AC285" i="24"/>
  <c r="U283" i="24"/>
  <c r="Y280" i="24"/>
  <c r="AC277" i="24"/>
  <c r="U275" i="24"/>
  <c r="Y272" i="24"/>
  <c r="CQ301" i="24"/>
  <c r="CT272" i="24"/>
  <c r="CD303" i="24"/>
  <c r="CE293" i="24"/>
  <c r="CE282" i="24"/>
  <c r="BX273" i="24"/>
  <c r="BJ306" i="24"/>
  <c r="BM300" i="24"/>
  <c r="BI294" i="24"/>
  <c r="BM288" i="24"/>
  <c r="BR282" i="24"/>
  <c r="BO276" i="24"/>
  <c r="AV306" i="24"/>
  <c r="AU302" i="24"/>
  <c r="BD297" i="24"/>
  <c r="BC293" i="24"/>
  <c r="AV289" i="24"/>
  <c r="AV285" i="24"/>
  <c r="AU281" i="24"/>
  <c r="AV277" i="24"/>
  <c r="BE272" i="24"/>
  <c r="AN304" i="24"/>
  <c r="AK301" i="24"/>
  <c r="AF298" i="24"/>
  <c r="AN294" i="24"/>
  <c r="AJ291" i="24"/>
  <c r="AG288" i="24"/>
  <c r="AM284" i="24"/>
  <c r="AH281" i="24"/>
  <c r="AQ277" i="24"/>
  <c r="AN274" i="24"/>
  <c r="T307" i="24"/>
  <c r="X304" i="24"/>
  <c r="AB301" i="24"/>
  <c r="T299" i="24"/>
  <c r="X296" i="24"/>
  <c r="AB293" i="24"/>
  <c r="T291" i="24"/>
  <c r="X288" i="24"/>
  <c r="AB285" i="24"/>
  <c r="T283" i="24"/>
  <c r="X280" i="24"/>
  <c r="AB277" i="24"/>
  <c r="T275" i="24"/>
  <c r="X272" i="24"/>
  <c r="CS298" i="24"/>
  <c r="CS272" i="24"/>
  <c r="CC303" i="24"/>
  <c r="CD293" i="24"/>
  <c r="CD282" i="24"/>
  <c r="BW272" i="24"/>
  <c r="BH306" i="24"/>
  <c r="BJ300" i="24"/>
  <c r="BS293" i="24"/>
  <c r="BJ288" i="24"/>
  <c r="BQ282" i="24"/>
  <c r="BN276" i="24"/>
  <c r="AT306" i="24"/>
  <c r="BE301" i="24"/>
  <c r="BC297" i="24"/>
  <c r="AZ293" i="24"/>
  <c r="AU289" i="24"/>
  <c r="AU285" i="24"/>
  <c r="AT281" i="24"/>
  <c r="AU277" i="24"/>
  <c r="BD272" i="24"/>
  <c r="AM304" i="24"/>
  <c r="AJ301" i="24"/>
  <c r="AQ297" i="24"/>
  <c r="AM294" i="24"/>
  <c r="AI291" i="24"/>
  <c r="AF288" i="24"/>
  <c r="AK284" i="24"/>
  <c r="AG281" i="24"/>
  <c r="AP277" i="24"/>
  <c r="AM274" i="24"/>
  <c r="S307" i="24"/>
  <c r="W304" i="24"/>
  <c r="AA301" i="24"/>
  <c r="S299" i="24"/>
  <c r="W296" i="24"/>
  <c r="AA293" i="24"/>
  <c r="S291" i="24"/>
  <c r="W288" i="24"/>
  <c r="AA285" i="24"/>
  <c r="S283" i="24"/>
  <c r="W280" i="24"/>
  <c r="AA277" i="24"/>
  <c r="S275" i="24"/>
  <c r="W272" i="24"/>
  <c r="CJ294" i="24"/>
  <c r="BV302" i="24"/>
  <c r="CG291" i="24"/>
  <c r="BV281" i="24"/>
  <c r="BM305" i="24"/>
  <c r="BS298" i="24"/>
  <c r="BN293" i="24"/>
  <c r="BN287" i="24"/>
  <c r="BP281" i="24"/>
  <c r="BR275" i="24"/>
  <c r="AZ305" i="24"/>
  <c r="AW301" i="24"/>
  <c r="AV297" i="24"/>
  <c r="BC292" i="24"/>
  <c r="AZ288" i="24"/>
  <c r="BA284" i="24"/>
  <c r="AY280" i="24"/>
  <c r="AY276" i="24"/>
  <c r="AV272" i="24"/>
  <c r="AK307" i="24"/>
  <c r="AG304" i="24"/>
  <c r="AO300" i="24"/>
  <c r="AJ297" i="24"/>
  <c r="AG294" i="24"/>
  <c r="AO290" i="24"/>
  <c r="AJ287" i="24"/>
  <c r="AQ283" i="24"/>
  <c r="AN280" i="24"/>
  <c r="AK277" i="24"/>
  <c r="AH274" i="24"/>
  <c r="Z306" i="24"/>
  <c r="R304" i="24"/>
  <c r="V301" i="24"/>
  <c r="Z298" i="24"/>
  <c r="R296" i="24"/>
  <c r="V293" i="24"/>
  <c r="Z290" i="24"/>
  <c r="R288" i="24"/>
  <c r="V285" i="24"/>
  <c r="Z282" i="24"/>
  <c r="R280" i="24"/>
  <c r="V277" i="24"/>
  <c r="Z274" i="24"/>
  <c r="R272" i="24"/>
  <c r="CT293" i="24"/>
  <c r="CE301" i="24"/>
  <c r="CA291" i="24"/>
  <c r="CG280" i="24"/>
  <c r="BL305" i="24"/>
  <c r="BR298" i="24"/>
  <c r="BR292" i="24"/>
  <c r="BM287" i="24"/>
  <c r="BL281" i="24"/>
  <c r="BQ275" i="24"/>
  <c r="AY305" i="24"/>
  <c r="AV301" i="24"/>
  <c r="AU297" i="24"/>
  <c r="AZ292" i="24"/>
  <c r="AY288" i="24"/>
  <c r="AW284" i="24"/>
  <c r="AX280" i="24"/>
  <c r="AX276" i="24"/>
  <c r="AU272" i="24"/>
  <c r="AJ307" i="24"/>
  <c r="AF304" i="24"/>
  <c r="AN300" i="24"/>
  <c r="AI297" i="24"/>
  <c r="AF294" i="24"/>
  <c r="AL290" i="24"/>
  <c r="AH287" i="24"/>
  <c r="AP283" i="24"/>
  <c r="AM280" i="24"/>
  <c r="AJ277" i="24"/>
  <c r="AF274" i="24"/>
  <c r="Y306" i="24"/>
  <c r="AC303" i="24"/>
  <c r="U301" i="24"/>
  <c r="Y298" i="24"/>
  <c r="AC295" i="24"/>
  <c r="U293" i="24"/>
  <c r="Y290" i="24"/>
  <c r="AC287" i="24"/>
  <c r="U285" i="24"/>
  <c r="Y282" i="24"/>
  <c r="AC279" i="24"/>
  <c r="U277" i="24"/>
  <c r="Y274" i="24"/>
  <c r="CO288" i="24"/>
  <c r="BX299" i="24"/>
  <c r="CF288" i="24"/>
  <c r="BV279" i="24"/>
  <c r="BK303" i="24"/>
  <c r="BO297" i="24"/>
  <c r="BQ291" i="24"/>
  <c r="BR285" i="24"/>
  <c r="BK280" i="24"/>
  <c r="BR274" i="24"/>
  <c r="AY304" i="24"/>
  <c r="AV300" i="24"/>
  <c r="BE295" i="24"/>
  <c r="BA291" i="24"/>
  <c r="BB287" i="24"/>
  <c r="AX283" i="24"/>
  <c r="BA279" i="24"/>
  <c r="AW275" i="24"/>
  <c r="AM306" i="24"/>
  <c r="AI303" i="24"/>
  <c r="AQ299" i="24"/>
  <c r="AM296" i="24"/>
  <c r="AH293" i="24"/>
  <c r="AP289" i="24"/>
  <c r="AL286" i="24"/>
  <c r="AI283" i="24"/>
  <c r="AQ279" i="24"/>
  <c r="AN276" i="24"/>
  <c r="AF273" i="24"/>
  <c r="R306" i="24"/>
  <c r="V303" i="24"/>
  <c r="Z300" i="24"/>
  <c r="R298" i="24"/>
  <c r="V295" i="24"/>
  <c r="Z292" i="24"/>
  <c r="R290" i="24"/>
  <c r="V287" i="24"/>
  <c r="Z284" i="24"/>
  <c r="R282" i="24"/>
  <c r="V279" i="24"/>
  <c r="Z276" i="24"/>
  <c r="R274" i="24"/>
  <c r="CJ286" i="24"/>
  <c r="CE297" i="24"/>
  <c r="CB287" i="24"/>
  <c r="CG277" i="24"/>
  <c r="BP302" i="24"/>
  <c r="BI297" i="24"/>
  <c r="BJ291" i="24"/>
  <c r="BI285" i="24"/>
  <c r="BM279" i="24"/>
  <c r="BR273" i="24"/>
  <c r="AT304" i="24"/>
  <c r="AZ299" i="24"/>
  <c r="AW295" i="24"/>
  <c r="AW291" i="24"/>
  <c r="AW287" i="24"/>
  <c r="AT283" i="24"/>
  <c r="AT279" i="24"/>
  <c r="BC274" i="24"/>
  <c r="AH306" i="24"/>
  <c r="AO302" i="24"/>
  <c r="AL299" i="24"/>
  <c r="AG296" i="24"/>
  <c r="AP292" i="24"/>
  <c r="AK289" i="24"/>
  <c r="AH286" i="24"/>
  <c r="AP282" i="24"/>
  <c r="AM279" i="24"/>
  <c r="AQ275" i="24"/>
  <c r="AN272" i="24"/>
  <c r="Z305" i="24"/>
  <c r="R303" i="24"/>
  <c r="V300" i="24"/>
  <c r="Z297" i="24"/>
  <c r="R295" i="24"/>
  <c r="V292" i="24"/>
  <c r="Z289" i="24"/>
  <c r="R287" i="24"/>
  <c r="V284" i="24"/>
  <c r="Z281" i="24"/>
  <c r="R279" i="24"/>
  <c r="V276" i="24"/>
  <c r="Z273" i="24"/>
  <c r="CU280" i="24"/>
  <c r="CC305" i="24"/>
  <c r="BY290" i="24"/>
  <c r="CB277" i="24"/>
  <c r="BL304" i="24"/>
  <c r="BP296" i="24"/>
  <c r="BQ287" i="24"/>
  <c r="BR279" i="24"/>
  <c r="BK272" i="24"/>
  <c r="CO306" i="24"/>
  <c r="BZ301" i="24"/>
  <c r="CE286" i="24"/>
  <c r="BY274" i="24"/>
  <c r="BK302" i="24"/>
  <c r="BQ293" i="24"/>
  <c r="BQ285" i="24"/>
  <c r="BP278" i="24"/>
  <c r="CR305" i="24"/>
  <c r="CA300" i="24"/>
  <c r="BZ286" i="24"/>
  <c r="CT295" i="24"/>
  <c r="CG295" i="24"/>
  <c r="BX280" i="24"/>
  <c r="BO299" i="24"/>
  <c r="BM291" i="24"/>
  <c r="BJ282" i="24"/>
  <c r="BK274" i="24"/>
  <c r="AX303" i="24"/>
  <c r="AZ297" i="24"/>
  <c r="AZ291" i="24"/>
  <c r="AU286" i="24"/>
  <c r="AT280" i="24"/>
  <c r="BA274" i="24"/>
  <c r="AK306" i="24"/>
  <c r="AH302" i="24"/>
  <c r="AG297" i="24"/>
  <c r="AM292" i="24"/>
  <c r="AQ287" i="24"/>
  <c r="AJ283" i="24"/>
  <c r="AN278" i="24"/>
  <c r="AQ273" i="24"/>
  <c r="AB305" i="24"/>
  <c r="V302" i="24"/>
  <c r="V298" i="24"/>
  <c r="AA294" i="24"/>
  <c r="AC290" i="24"/>
  <c r="U287" i="24"/>
  <c r="AA283" i="24"/>
  <c r="AA279" i="24"/>
  <c r="T276" i="24"/>
  <c r="V272" i="24"/>
  <c r="CR295" i="24"/>
  <c r="CD295" i="24"/>
  <c r="CC279" i="24"/>
  <c r="BK299" i="24"/>
  <c r="BH291" i="24"/>
  <c r="BI282" i="24"/>
  <c r="BH274" i="24"/>
  <c r="AW303" i="24"/>
  <c r="AY297" i="24"/>
  <c r="AY291" i="24"/>
  <c r="BE285" i="24"/>
  <c r="BE279" i="24"/>
  <c r="AZ274" i="24"/>
  <c r="CM294" i="24"/>
  <c r="CC295" i="24"/>
  <c r="CA279" i="24"/>
  <c r="CP293" i="24"/>
  <c r="CB295" i="24"/>
  <c r="BZ279" i="24"/>
  <c r="CT291" i="24"/>
  <c r="CF294" i="24"/>
  <c r="CE278" i="24"/>
  <c r="BM307" i="24"/>
  <c r="BK298" i="24"/>
  <c r="BI290" i="24"/>
  <c r="BH281" i="24"/>
  <c r="BR272" i="24"/>
  <c r="BB302" i="24"/>
  <c r="AY296" i="24"/>
  <c r="BE290" i="24"/>
  <c r="BE284" i="24"/>
  <c r="AX279" i="24"/>
  <c r="AU274" i="24"/>
  <c r="AP305" i="24"/>
  <c r="AG301" i="24"/>
  <c r="AL296" i="24"/>
  <c r="AF292" i="24"/>
  <c r="AF287" i="24"/>
  <c r="AN282" i="24"/>
  <c r="AO277" i="24"/>
  <c r="AG273" i="24"/>
  <c r="V305" i="24"/>
  <c r="X301" i="24"/>
  <c r="AB297" i="24"/>
  <c r="V294" i="24"/>
  <c r="V290" i="24"/>
  <c r="AA286" i="24"/>
  <c r="AC282" i="24"/>
  <c r="U279" i="24"/>
  <c r="AA275" i="24"/>
  <c r="CP290" i="24"/>
  <c r="CA293" i="24"/>
  <c r="BV278" i="24"/>
  <c r="BL307" i="24"/>
  <c r="BI298" i="24"/>
  <c r="BS289" i="24"/>
  <c r="BS280" i="24"/>
  <c r="BN272" i="24"/>
  <c r="AZ302" i="24"/>
  <c r="AX296" i="24"/>
  <c r="BD290" i="24"/>
  <c r="BD284" i="24"/>
  <c r="AW279" i="24"/>
  <c r="AT274" i="24"/>
  <c r="AO305" i="24"/>
  <c r="AQ300" i="24"/>
  <c r="AK296" i="24"/>
  <c r="AQ291" i="24"/>
  <c r="AQ286" i="24"/>
  <c r="AM282" i="24"/>
  <c r="AN277" i="24"/>
  <c r="AQ272" i="24"/>
  <c r="CJ288" i="24"/>
  <c r="BW292" i="24"/>
  <c r="CF276" i="24"/>
  <c r="BI307" i="24"/>
  <c r="BN297" i="24"/>
  <c r="BL289" i="24"/>
  <c r="BN280" i="24"/>
  <c r="BI272" i="24"/>
  <c r="BB307" i="24"/>
  <c r="BC301" i="24"/>
  <c r="BC295" i="24"/>
  <c r="BA290" i="24"/>
  <c r="AU284" i="24"/>
  <c r="AZ278" i="24"/>
  <c r="BC272" i="24"/>
  <c r="AK305" i="24"/>
  <c r="AK300" i="24"/>
  <c r="AQ295" i="24"/>
  <c r="AH291" i="24"/>
  <c r="AM286" i="24"/>
  <c r="AI282" i="24"/>
  <c r="AI277" i="24"/>
  <c r="AM272" i="24"/>
  <c r="R305" i="24"/>
  <c r="R301" i="24"/>
  <c r="W297" i="24"/>
  <c r="Y293" i="24"/>
  <c r="AC289" i="24"/>
  <c r="W286" i="24"/>
  <c r="W282" i="24"/>
  <c r="AB278" i="24"/>
  <c r="R275" i="24"/>
  <c r="CN272" i="24"/>
  <c r="BY301" i="24"/>
  <c r="BW286" i="24"/>
  <c r="BQ302" i="24"/>
  <c r="BR293" i="24"/>
  <c r="BM285" i="24"/>
  <c r="BM276" i="24"/>
  <c r="AV305" i="24"/>
  <c r="AX299" i="24"/>
  <c r="AW294" i="24"/>
  <c r="BD287" i="24"/>
  <c r="AY282" i="24"/>
  <c r="BA276" i="24"/>
  <c r="AK303" i="24"/>
  <c r="AQ298" i="24"/>
  <c r="AH294" i="24"/>
  <c r="AM289" i="24"/>
  <c r="AI285" i="24"/>
  <c r="AI280" i="24"/>
  <c r="AM275" i="24"/>
  <c r="CM286" i="24"/>
  <c r="BY289" i="24"/>
  <c r="BJ307" i="24"/>
  <c r="BM296" i="24"/>
  <c r="BS284" i="24"/>
  <c r="BK275" i="24"/>
  <c r="BC300" i="24"/>
  <c r="AX294" i="24"/>
  <c r="BC286" i="24"/>
  <c r="BC279" i="24"/>
  <c r="AW272" i="24"/>
  <c r="AG306" i="24"/>
  <c r="AI300" i="24"/>
  <c r="AI295" i="24"/>
  <c r="AJ289" i="24"/>
  <c r="AO283" i="24"/>
  <c r="AM278" i="24"/>
  <c r="AO272" i="24"/>
  <c r="X306" i="24"/>
  <c r="Z302" i="24"/>
  <c r="W298" i="24"/>
  <c r="X294" i="24"/>
  <c r="T290" i="24"/>
  <c r="U286" i="24"/>
  <c r="AC281" i="24"/>
  <c r="T278" i="24"/>
  <c r="AB273" i="24"/>
  <c r="CS285" i="24"/>
  <c r="BX289" i="24"/>
  <c r="BS305" i="24"/>
  <c r="BL296" i="24"/>
  <c r="BQ284" i="24"/>
  <c r="BJ275" i="24"/>
  <c r="BC307" i="24"/>
  <c r="BA300" i="24"/>
  <c r="AY293" i="24"/>
  <c r="BB286" i="24"/>
  <c r="BB279" i="24"/>
  <c r="AT272" i="24"/>
  <c r="AF306" i="24"/>
  <c r="AG300" i="24"/>
  <c r="AG295" i="24"/>
  <c r="AI289" i="24"/>
  <c r="AN283" i="24"/>
  <c r="AK278" i="24"/>
  <c r="AK272" i="24"/>
  <c r="W306" i="24"/>
  <c r="Y302" i="24"/>
  <c r="U298" i="24"/>
  <c r="W294" i="24"/>
  <c r="S290" i="24"/>
  <c r="T286" i="24"/>
  <c r="AB281" i="24"/>
  <c r="Z277" i="24"/>
  <c r="AA273" i="24"/>
  <c r="CP280" i="24"/>
  <c r="CA286" i="24"/>
  <c r="BQ283" i="24"/>
  <c r="BD306" i="24"/>
  <c r="AV292" i="24"/>
  <c r="AU278" i="24"/>
  <c r="AL304" i="24"/>
  <c r="AJ299" i="24"/>
  <c r="AN293" i="24"/>
  <c r="AN288" i="24"/>
  <c r="AQ282" i="24"/>
  <c r="AA305" i="24"/>
  <c r="Y301" i="24"/>
  <c r="T293" i="24"/>
  <c r="S285" i="24"/>
  <c r="U281" i="24"/>
  <c r="R277" i="24"/>
  <c r="T273" i="24"/>
  <c r="CR285" i="24"/>
  <c r="CG288" i="24"/>
  <c r="BQ305" i="24"/>
  <c r="BI296" i="24"/>
  <c r="BP284" i="24"/>
  <c r="BI275" i="24"/>
  <c r="BA307" i="24"/>
  <c r="AZ300" i="24"/>
  <c r="AX293" i="24"/>
  <c r="AY286" i="24"/>
  <c r="AV279" i="24"/>
  <c r="AN305" i="24"/>
  <c r="AF300" i="24"/>
  <c r="AK294" i="24"/>
  <c r="AH289" i="24"/>
  <c r="AM283" i="24"/>
  <c r="AJ278" i="24"/>
  <c r="AJ272" i="24"/>
  <c r="V306" i="24"/>
  <c r="X302" i="24"/>
  <c r="T298" i="24"/>
  <c r="U294" i="24"/>
  <c r="AB289" i="24"/>
  <c r="Z285" i="24"/>
  <c r="AA281" i="24"/>
  <c r="Y277" i="24"/>
  <c r="Y273" i="24"/>
  <c r="CN284" i="24"/>
  <c r="CD288" i="24"/>
  <c r="BP305" i="24"/>
  <c r="BO295" i="24"/>
  <c r="BM284" i="24"/>
  <c r="BQ274" i="24"/>
  <c r="AZ307" i="24"/>
  <c r="AY300" i="24"/>
  <c r="AU293" i="24"/>
  <c r="AX286" i="24"/>
  <c r="BB278" i="24"/>
  <c r="AM305" i="24"/>
  <c r="AO299" i="24"/>
  <c r="AJ294" i="24"/>
  <c r="AF289" i="24"/>
  <c r="AL283" i="24"/>
  <c r="AI278" i="24"/>
  <c r="AI272" i="24"/>
  <c r="U306" i="24"/>
  <c r="W302" i="24"/>
  <c r="S298" i="24"/>
  <c r="T294" i="24"/>
  <c r="AA289" i="24"/>
  <c r="Y285" i="24"/>
  <c r="Y281" i="24"/>
  <c r="X277" i="24"/>
  <c r="X273" i="24"/>
  <c r="CL284" i="24"/>
  <c r="BZ288" i="24"/>
  <c r="BO305" i="24"/>
  <c r="BM295" i="24"/>
  <c r="BK284" i="24"/>
  <c r="BM273" i="24"/>
  <c r="AX307" i="24"/>
  <c r="AU300" i="24"/>
  <c r="BE292" i="24"/>
  <c r="AW286" i="24"/>
  <c r="AX278" i="24"/>
  <c r="AJ305" i="24"/>
  <c r="AN299" i="24"/>
  <c r="AI294" i="24"/>
  <c r="AQ288" i="24"/>
  <c r="AK283" i="24"/>
  <c r="AM277" i="24"/>
  <c r="AH272" i="24"/>
  <c r="T306" i="24"/>
  <c r="U302" i="24"/>
  <c r="AC297" i="24"/>
  <c r="Z293" i="24"/>
  <c r="Y289" i="24"/>
  <c r="X285" i="24"/>
  <c r="X281" i="24"/>
  <c r="W277" i="24"/>
  <c r="W273" i="24"/>
  <c r="AW299" i="24"/>
  <c r="X297" i="24"/>
  <c r="CJ284" i="24"/>
  <c r="CD287" i="24"/>
  <c r="BP304" i="24"/>
  <c r="BJ295" i="24"/>
  <c r="BI284" i="24"/>
  <c r="BL273" i="24"/>
  <c r="AW307" i="24"/>
  <c r="AT300" i="24"/>
  <c r="AX292" i="24"/>
  <c r="BD285" i="24"/>
  <c r="AW278" i="24"/>
  <c r="AI305" i="24"/>
  <c r="AM299" i="24"/>
  <c r="AQ293" i="24"/>
  <c r="AP288" i="24"/>
  <c r="AH283" i="24"/>
  <c r="AL277" i="24"/>
  <c r="AG272" i="24"/>
  <c r="S306" i="24"/>
  <c r="T302" i="24"/>
  <c r="AA297" i="24"/>
  <c r="X293" i="24"/>
  <c r="X289" i="24"/>
  <c r="W285" i="24"/>
  <c r="W281" i="24"/>
  <c r="T277" i="24"/>
  <c r="V273" i="24"/>
  <c r="BJ304" i="24"/>
  <c r="CQ283" i="24"/>
  <c r="CF307" i="24"/>
  <c r="CC286" i="24"/>
  <c r="BN304" i="24"/>
  <c r="BP293" i="24"/>
  <c r="BR283" i="24"/>
  <c r="BJ273" i="24"/>
  <c r="AU307" i="24"/>
  <c r="BB299" i="24"/>
  <c r="AW292" i="24"/>
  <c r="BC285" i="24"/>
  <c r="AV278" i="24"/>
  <c r="AH305" i="24"/>
  <c r="AK299" i="24"/>
  <c r="AO293" i="24"/>
  <c r="AO288" i="24"/>
  <c r="AF283" i="24"/>
  <c r="AH277" i="24"/>
  <c r="AF272" i="24"/>
  <c r="AC305" i="24"/>
  <c r="Z301" i="24"/>
  <c r="Y297" i="24"/>
  <c r="W293" i="24"/>
  <c r="W289" i="24"/>
  <c r="T285" i="24"/>
  <c r="V281" i="24"/>
  <c r="S277" i="24"/>
  <c r="U273" i="24"/>
  <c r="CE307" i="24"/>
  <c r="BO293" i="24"/>
  <c r="BL272" i="24"/>
  <c r="AT285" i="24"/>
  <c r="AF277" i="24"/>
  <c r="V289" i="24"/>
  <c r="CS276" i="24"/>
  <c r="BZ305" i="24"/>
  <c r="CG285" i="24"/>
  <c r="BL303" i="24"/>
  <c r="BO292" i="24"/>
  <c r="BO283" i="24"/>
  <c r="BE305" i="24"/>
  <c r="AT299" i="24"/>
  <c r="BC291" i="24"/>
  <c r="AV284" i="24"/>
  <c r="BD277" i="24"/>
  <c r="AJ304" i="24"/>
  <c r="AF299" i="24"/>
  <c r="AJ293" i="24"/>
  <c r="AK288" i="24"/>
  <c r="AK282" i="24"/>
  <c r="AP276" i="24"/>
  <c r="X305" i="24"/>
  <c r="T301" i="24"/>
  <c r="U297" i="24"/>
  <c r="R293" i="24"/>
  <c r="T289" i="24"/>
  <c r="AC284" i="24"/>
  <c r="S281" i="24"/>
  <c r="AB276" i="24"/>
  <c r="R273" i="24"/>
  <c r="CG304" i="24"/>
  <c r="CE285" i="24"/>
  <c r="BH303" i="24"/>
  <c r="BN292" i="24"/>
  <c r="BH282" i="24"/>
  <c r="BD305" i="24"/>
  <c r="BE298" i="24"/>
  <c r="BB291" i="24"/>
  <c r="AT284" i="24"/>
  <c r="BB277" i="24"/>
  <c r="AH304" i="24"/>
  <c r="AP298" i="24"/>
  <c r="AI293" i="24"/>
  <c r="AM287" i="24"/>
  <c r="AJ282" i="24"/>
  <c r="AO276" i="24"/>
  <c r="W305" i="24"/>
  <c r="S301" i="24"/>
  <c r="T297" i="24"/>
  <c r="AC292" i="24"/>
  <c r="S289" i="24"/>
  <c r="AB284" i="24"/>
  <c r="R281" i="24"/>
  <c r="AA276" i="24"/>
  <c r="AC272" i="24"/>
  <c r="CE304" i="24"/>
  <c r="CB285" i="24"/>
  <c r="BS302" i="24"/>
  <c r="BM292" i="24"/>
  <c r="CF300" i="24"/>
  <c r="CE280" i="24"/>
  <c r="BR301" i="24"/>
  <c r="BN290" i="24"/>
  <c r="BL279" i="24"/>
  <c r="BA304" i="24"/>
  <c r="AX297" i="24"/>
  <c r="AV290" i="24"/>
  <c r="BE282" i="24"/>
  <c r="BC275" i="24"/>
  <c r="AG303" i="24"/>
  <c r="AN297" i="24"/>
  <c r="AJ292" i="24"/>
  <c r="AJ286" i="24"/>
  <c r="AP280" i="24"/>
  <c r="AK275" i="24"/>
  <c r="U304" i="24"/>
  <c r="U300" i="24"/>
  <c r="T296" i="24"/>
  <c r="T292" i="24"/>
  <c r="S288" i="24"/>
  <c r="S284" i="24"/>
  <c r="AB279" i="24"/>
  <c r="AC275" i="24"/>
  <c r="BZ300" i="24"/>
  <c r="CC280" i="24"/>
  <c r="BP301" i="24"/>
  <c r="BM290" i="24"/>
  <c r="BI279" i="24"/>
  <c r="AX304" i="24"/>
  <c r="BB296" i="24"/>
  <c r="AT290" i="24"/>
  <c r="BD282" i="24"/>
  <c r="BA275" i="24"/>
  <c r="AF303" i="24"/>
  <c r="AK297" i="24"/>
  <c r="AI292" i="24"/>
  <c r="AI286" i="24"/>
  <c r="AO280" i="24"/>
  <c r="AJ275" i="24"/>
  <c r="CU306" i="24"/>
  <c r="BX300" i="24"/>
  <c r="BN301" i="24"/>
  <c r="BR281" i="24"/>
  <c r="AU303" i="24"/>
  <c r="AT291" i="24"/>
  <c r="BC280" i="24"/>
  <c r="AQ306" i="24"/>
  <c r="AH297" i="24"/>
  <c r="AN289" i="24"/>
  <c r="AF280" i="24"/>
  <c r="AB307" i="24"/>
  <c r="AB300" i="24"/>
  <c r="W295" i="24"/>
  <c r="AB288" i="24"/>
  <c r="AB282" i="24"/>
  <c r="U276" i="24"/>
  <c r="CT306" i="24"/>
  <c r="BV299" i="24"/>
  <c r="BH300" i="24"/>
  <c r="BI281" i="24"/>
  <c r="CS306" i="24"/>
  <c r="BW298" i="24"/>
  <c r="BH299" i="24"/>
  <c r="BR280" i="24"/>
  <c r="BE302" i="24"/>
  <c r="BB290" i="24"/>
  <c r="AZ280" i="24"/>
  <c r="AO306" i="24"/>
  <c r="AQ296" i="24"/>
  <c r="AL287" i="24"/>
  <c r="AO279" i="24"/>
  <c r="CK306" i="24"/>
  <c r="CS305" i="24"/>
  <c r="BX297" i="24"/>
  <c r="BN298" i="24"/>
  <c r="BQ279" i="24"/>
  <c r="BD301" i="24"/>
  <c r="BE288" i="24"/>
  <c r="BD279" i="24"/>
  <c r="AI306" i="24"/>
  <c r="AN296" i="24"/>
  <c r="AG287" i="24"/>
  <c r="AK279" i="24"/>
  <c r="X307" i="24"/>
  <c r="W300" i="24"/>
  <c r="AC294" i="24"/>
  <c r="AB287" i="24"/>
  <c r="U282" i="24"/>
  <c r="Z275" i="24"/>
  <c r="CU295" i="24"/>
  <c r="CS292" i="24"/>
  <c r="BX296" i="24"/>
  <c r="BP297" i="24"/>
  <c r="BH279" i="24"/>
  <c r="AY301" i="24"/>
  <c r="BC288" i="24"/>
  <c r="BA277" i="24"/>
  <c r="AQ303" i="24"/>
  <c r="AF296" i="24"/>
  <c r="AN286" i="24"/>
  <c r="CL290" i="24"/>
  <c r="BV296" i="24"/>
  <c r="BM297" i="24"/>
  <c r="BS278" i="24"/>
  <c r="AU301" i="24"/>
  <c r="BA288" i="24"/>
  <c r="BD276" i="24"/>
  <c r="AP303" i="24"/>
  <c r="AP295" i="24"/>
  <c r="AK286" i="24"/>
  <c r="AQ278" i="24"/>
  <c r="CP287" i="24"/>
  <c r="BZ293" i="24"/>
  <c r="BS296" i="24"/>
  <c r="BQ278" i="24"/>
  <c r="AV299" i="24"/>
  <c r="AU288" i="24"/>
  <c r="BB276" i="24"/>
  <c r="AL303" i="24"/>
  <c r="AN295" i="24"/>
  <c r="AQ285" i="24"/>
  <c r="AQ276" i="24"/>
  <c r="Y305" i="24"/>
  <c r="AB299" i="24"/>
  <c r="AB292" i="24"/>
  <c r="W287" i="24"/>
  <c r="AB280" i="24"/>
  <c r="AA274" i="24"/>
  <c r="BH292" i="24"/>
  <c r="BC304" i="24"/>
  <c r="BC290" i="24"/>
  <c r="AY275" i="24"/>
  <c r="AH303" i="24"/>
  <c r="AN292" i="24"/>
  <c r="AQ281" i="24"/>
  <c r="AP272" i="24"/>
  <c r="S305" i="24"/>
  <c r="AC298" i="24"/>
  <c r="AB291" i="24"/>
  <c r="X284" i="24"/>
  <c r="X278" i="24"/>
  <c r="U278" i="24"/>
  <c r="BP291" i="24"/>
  <c r="BB304" i="24"/>
  <c r="AZ290" i="24"/>
  <c r="AX275" i="24"/>
  <c r="AN302" i="24"/>
  <c r="AL292" i="24"/>
  <c r="AP281" i="24"/>
  <c r="AC304" i="24"/>
  <c r="AB298" i="24"/>
  <c r="AA291" i="24"/>
  <c r="W284" i="24"/>
  <c r="W278" i="24"/>
  <c r="BO291" i="24"/>
  <c r="AV304" i="24"/>
  <c r="BD288" i="24"/>
  <c r="AV275" i="24"/>
  <c r="AM302" i="24"/>
  <c r="AK292" i="24"/>
  <c r="AN281" i="24"/>
  <c r="AB304" i="24"/>
  <c r="AA298" i="24"/>
  <c r="Z291" i="24"/>
  <c r="U284" i="24"/>
  <c r="V278" i="24"/>
  <c r="Y291" i="24"/>
  <c r="BS290" i="24"/>
  <c r="AU304" i="24"/>
  <c r="AX288" i="24"/>
  <c r="AT275" i="24"/>
  <c r="AL302" i="24"/>
  <c r="AP291" i="24"/>
  <c r="AF281" i="24"/>
  <c r="V304" i="24"/>
  <c r="X298" i="24"/>
  <c r="T284" i="24"/>
  <c r="CF306" i="24"/>
  <c r="BQ289" i="24"/>
  <c r="BE303" i="24"/>
  <c r="AT288" i="24"/>
  <c r="BE274" i="24"/>
  <c r="AK302" i="24"/>
  <c r="AO291" i="24"/>
  <c r="AQ280" i="24"/>
  <c r="T304" i="24"/>
  <c r="V297" i="24"/>
  <c r="X291" i="24"/>
  <c r="R284" i="24"/>
  <c r="AC276" i="24"/>
  <c r="CD304" i="24"/>
  <c r="BO289" i="24"/>
  <c r="BD303" i="24"/>
  <c r="BE287" i="24"/>
  <c r="BB274" i="24"/>
  <c r="AJ302" i="24"/>
  <c r="AG291" i="24"/>
  <c r="AL280" i="24"/>
  <c r="S304" i="24"/>
  <c r="S297" i="24"/>
  <c r="R291" i="24"/>
  <c r="AC283" i="24"/>
  <c r="Y276" i="24"/>
  <c r="CB303" i="24"/>
  <c r="BQ288" i="24"/>
  <c r="AT303" i="24"/>
  <c r="BC287" i="24"/>
  <c r="AX274" i="24"/>
  <c r="AI302" i="24"/>
  <c r="AF291" i="24"/>
  <c r="AK280" i="24"/>
  <c r="BX302" i="24"/>
  <c r="BO287" i="24"/>
  <c r="AT301" i="24"/>
  <c r="AX287" i="24"/>
  <c r="BE273" i="24"/>
  <c r="AO301" i="24"/>
  <c r="AJ290" i="24"/>
  <c r="AP279" i="24"/>
  <c r="Y303" i="24"/>
  <c r="V296" i="24"/>
  <c r="W290" i="24"/>
  <c r="X283" i="24"/>
  <c r="R276" i="24"/>
  <c r="CF297" i="24"/>
  <c r="BJ287" i="24"/>
  <c r="BD298" i="24"/>
  <c r="AT287" i="24"/>
  <c r="BD273" i="24"/>
  <c r="CP288" i="24"/>
  <c r="BW281" i="24"/>
  <c r="BJ302" i="24"/>
  <c r="BL278" i="24"/>
  <c r="AV295" i="24"/>
  <c r="AU282" i="24"/>
  <c r="AP307" i="24"/>
  <c r="AF297" i="24"/>
  <c r="AN285" i="24"/>
  <c r="AH275" i="24"/>
  <c r="Y300" i="24"/>
  <c r="Z294" i="24"/>
  <c r="T287" i="24"/>
  <c r="S280" i="24"/>
  <c r="AC273" i="24"/>
  <c r="CS279" i="24"/>
  <c r="CG278" i="24"/>
  <c r="BI302" i="24"/>
  <c r="BR277" i="24"/>
  <c r="AT295" i="24"/>
  <c r="AT282" i="24"/>
  <c r="AO307" i="24"/>
  <c r="AO296" i="24"/>
  <c r="AM285" i="24"/>
  <c r="AG275" i="24"/>
  <c r="AC307" i="24"/>
  <c r="X300" i="24"/>
  <c r="Y294" i="24"/>
  <c r="S287" i="24"/>
  <c r="Z279" i="24"/>
  <c r="S273" i="24"/>
  <c r="BY277" i="24"/>
  <c r="BS301" i="24"/>
  <c r="BP277" i="24"/>
  <c r="BE294" i="24"/>
  <c r="BE281" i="24"/>
  <c r="AL307" i="24"/>
  <c r="AH296" i="24"/>
  <c r="AK285" i="24"/>
  <c r="AF275" i="24"/>
  <c r="BI286" i="24"/>
  <c r="AT296" i="24"/>
  <c r="AV274" i="24"/>
  <c r="AP297" i="24"/>
  <c r="AH280" i="24"/>
  <c r="AA307" i="24"/>
  <c r="R297" i="24"/>
  <c r="T288" i="24"/>
  <c r="S279" i="24"/>
  <c r="BO285" i="24"/>
  <c r="BB295" i="24"/>
  <c r="AZ272" i="24"/>
  <c r="AO297" i="24"/>
  <c r="AN279" i="24"/>
  <c r="Z307" i="24"/>
  <c r="AC296" i="24"/>
  <c r="AA287" i="24"/>
  <c r="AC278" i="24"/>
  <c r="BP283" i="24"/>
  <c r="BA295" i="24"/>
  <c r="AX272" i="24"/>
  <c r="AO295" i="24"/>
  <c r="AH279" i="24"/>
  <c r="Y307" i="24"/>
  <c r="AB296" i="24"/>
  <c r="Z287" i="24"/>
  <c r="AA278" i="24"/>
  <c r="U296" i="24"/>
  <c r="AC306" i="24"/>
  <c r="BO280" i="24"/>
  <c r="BD294" i="24"/>
  <c r="AM295" i="24"/>
  <c r="AG279" i="24"/>
  <c r="R307" i="24"/>
  <c r="Y287" i="24"/>
  <c r="Z278" i="24"/>
  <c r="X287" i="24"/>
  <c r="BP279" i="24"/>
  <c r="BC294" i="24"/>
  <c r="AK295" i="24"/>
  <c r="AO278" i="24"/>
  <c r="S296" i="24"/>
  <c r="Y278" i="24"/>
  <c r="BR278" i="24"/>
  <c r="BB294" i="24"/>
  <c r="AJ295" i="24"/>
  <c r="AM276" i="24"/>
  <c r="AB306" i="24"/>
  <c r="AB295" i="24"/>
  <c r="AC286" i="24"/>
  <c r="X276" i="24"/>
  <c r="BK276" i="24"/>
  <c r="AZ294" i="24"/>
  <c r="AM293" i="24"/>
  <c r="AG276" i="24"/>
  <c r="AA306" i="24"/>
  <c r="AA295" i="24"/>
  <c r="AB286" i="24"/>
  <c r="W276" i="24"/>
  <c r="CJ307" i="24"/>
  <c r="BJ276" i="24"/>
  <c r="AY294" i="24"/>
  <c r="AG293" i="24"/>
  <c r="AF276" i="24"/>
  <c r="U305" i="24"/>
  <c r="Z295" i="24"/>
  <c r="Z286" i="24"/>
  <c r="S276" i="24"/>
  <c r="BI276" i="24"/>
  <c r="AU292" i="24"/>
  <c r="AF293" i="24"/>
  <c r="AP275" i="24"/>
  <c r="T305" i="24"/>
  <c r="Y295" i="24"/>
  <c r="Y286" i="24"/>
  <c r="AB275" i="24"/>
  <c r="AN275" i="24"/>
  <c r="U295" i="24"/>
  <c r="AK290" i="24"/>
  <c r="BP275" i="24"/>
  <c r="AX291" i="24"/>
  <c r="AQ292" i="24"/>
  <c r="AO275" i="24"/>
  <c r="AB303" i="24"/>
  <c r="X295" i="24"/>
  <c r="X286" i="24"/>
  <c r="Y275" i="24"/>
  <c r="BZ303" i="24"/>
  <c r="BO275" i="24"/>
  <c r="AV291" i="24"/>
  <c r="AQ290" i="24"/>
  <c r="AA303" i="24"/>
  <c r="V286" i="24"/>
  <c r="X275" i="24"/>
  <c r="BY303" i="24"/>
  <c r="BM275" i="24"/>
  <c r="BA287" i="24"/>
  <c r="AI275" i="24"/>
  <c r="CA281" i="24"/>
  <c r="BJ297" i="24"/>
  <c r="AU305" i="24"/>
  <c r="AZ282" i="24"/>
  <c r="AG302" i="24"/>
  <c r="AP285" i="24"/>
  <c r="AC300" i="24"/>
  <c r="R292" i="24"/>
  <c r="T282" i="24"/>
  <c r="T272" i="24"/>
  <c r="BX277" i="24"/>
  <c r="BQ296" i="24"/>
  <c r="AT305" i="24"/>
  <c r="AV282" i="24"/>
  <c r="AP301" i="24"/>
  <c r="AO285" i="24"/>
  <c r="AA300" i="24"/>
  <c r="AC291" i="24"/>
  <c r="S282" i="24"/>
  <c r="S272" i="24"/>
  <c r="CD276" i="24"/>
  <c r="BN296" i="24"/>
  <c r="AY302" i="24"/>
  <c r="BC281" i="24"/>
  <c r="Y283" i="24"/>
  <c r="AJ274" i="24"/>
  <c r="AK304" i="24"/>
  <c r="BC306" i="24"/>
  <c r="V288" i="24"/>
  <c r="T303" i="24"/>
  <c r="U322" i="24"/>
  <c r="S339" i="24"/>
  <c r="U355" i="24"/>
  <c r="U374" i="24"/>
  <c r="AG284" i="24"/>
  <c r="AK317" i="24"/>
  <c r="AK342" i="24"/>
  <c r="AF377" i="24"/>
  <c r="AW276" i="24"/>
  <c r="BC321" i="24"/>
  <c r="BE358" i="24"/>
  <c r="BO301" i="24"/>
  <c r="BL378" i="24"/>
  <c r="AC288" i="24"/>
  <c r="U303" i="24"/>
  <c r="R323" i="24"/>
  <c r="T339" i="24"/>
  <c r="V356" i="24"/>
  <c r="V374" i="24"/>
  <c r="AI284" i="24"/>
  <c r="AO317" i="24"/>
  <c r="AL342" i="24"/>
  <c r="AG377" i="24"/>
  <c r="BC276" i="24"/>
  <c r="BE321" i="24"/>
  <c r="AY359" i="24"/>
  <c r="AY409" i="24"/>
  <c r="BL302" i="24"/>
  <c r="BQ378" i="24"/>
  <c r="CE393" i="24"/>
  <c r="AC128" i="24"/>
  <c r="W145" i="24"/>
  <c r="U272" i="24"/>
  <c r="R289" i="24"/>
  <c r="W303" i="24"/>
  <c r="T323" i="24"/>
  <c r="V339" i="24"/>
  <c r="AC356" i="24"/>
  <c r="W374" i="24"/>
  <c r="AA393" i="24"/>
  <c r="W407" i="24"/>
  <c r="AQ130" i="24"/>
  <c r="AL150" i="24"/>
  <c r="AJ284" i="24"/>
  <c r="AH319" i="24"/>
  <c r="AN343" i="24"/>
  <c r="AM377" i="24"/>
  <c r="AM414" i="24"/>
  <c r="AZ123" i="24"/>
  <c r="BE277" i="24"/>
  <c r="BA322" i="24"/>
  <c r="BM302" i="24"/>
  <c r="BH379" i="24"/>
  <c r="R129" i="24"/>
  <c r="X146" i="24"/>
  <c r="X164" i="24"/>
  <c r="X177" i="24"/>
  <c r="AB272" i="24"/>
  <c r="U289" i="24"/>
  <c r="X303" i="24"/>
  <c r="U323" i="24"/>
  <c r="X339" i="24"/>
  <c r="R357" i="24"/>
  <c r="AA374" i="24"/>
  <c r="AB393" i="24"/>
  <c r="T412" i="24"/>
  <c r="W429" i="24"/>
  <c r="S448" i="24"/>
  <c r="AH131" i="24"/>
  <c r="AQ150" i="24"/>
  <c r="AF180" i="24"/>
  <c r="AH285" i="24"/>
  <c r="AI319" i="24"/>
  <c r="AG344" i="24"/>
  <c r="AO379" i="24"/>
  <c r="AH415" i="24"/>
  <c r="AP452" i="24"/>
  <c r="AT124" i="24"/>
  <c r="BB162" i="24"/>
  <c r="AU280" i="24"/>
  <c r="AX323" i="24"/>
  <c r="BA372" i="24"/>
  <c r="AZ412" i="24"/>
  <c r="BH163" i="24"/>
  <c r="BI379" i="24"/>
  <c r="BV272" i="24"/>
  <c r="CF431" i="24"/>
  <c r="U129" i="24"/>
  <c r="X147" i="24"/>
  <c r="AB164" i="24"/>
  <c r="Z177" i="24"/>
  <c r="S274" i="24"/>
  <c r="U290" i="24"/>
  <c r="Z303" i="24"/>
  <c r="X323" i="24"/>
  <c r="Y339" i="24"/>
  <c r="AB360" i="24"/>
  <c r="Y375" i="24"/>
  <c r="AC393" i="24"/>
  <c r="V412" i="24"/>
  <c r="Z429" i="24"/>
  <c r="T448" i="24"/>
  <c r="AO131" i="24"/>
  <c r="AG151" i="24"/>
  <c r="AG180" i="24"/>
  <c r="AJ285" i="24"/>
  <c r="AN319" i="24"/>
  <c r="AO352" i="24"/>
  <c r="AQ379" i="24"/>
  <c r="AH417" i="24"/>
  <c r="AK453" i="24"/>
  <c r="AW124" i="24"/>
  <c r="AT164" i="24"/>
  <c r="BA280" i="24"/>
  <c r="BA324" i="24"/>
  <c r="AV373" i="24"/>
  <c r="BD424" i="24"/>
  <c r="BM163" i="24"/>
  <c r="BK307" i="24"/>
  <c r="BJ379" i="24"/>
  <c r="CG274" i="24"/>
  <c r="BV432" i="24"/>
  <c r="Y129" i="24"/>
  <c r="Y147" i="24"/>
  <c r="R165" i="24"/>
  <c r="T274" i="24"/>
  <c r="X290" i="24"/>
  <c r="S310" i="24"/>
  <c r="Y323" i="24"/>
  <c r="AC339" i="24"/>
  <c r="Z375" i="24"/>
  <c r="S394" i="24"/>
  <c r="Z413" i="24"/>
  <c r="X430" i="24"/>
  <c r="Z448" i="24"/>
  <c r="AQ131" i="24"/>
  <c r="AI151" i="24"/>
  <c r="AJ180" i="24"/>
  <c r="AF286" i="24"/>
  <c r="AO319" i="24"/>
  <c r="AP352" i="24"/>
  <c r="AJ380" i="24"/>
  <c r="AI417" i="24"/>
  <c r="AO453" i="24"/>
  <c r="AT125" i="24"/>
  <c r="BE164" i="24"/>
  <c r="BE280" i="24"/>
  <c r="BA326" i="24"/>
  <c r="AX373" i="24"/>
  <c r="AV425" i="24"/>
  <c r="BQ178" i="24"/>
  <c r="BP307" i="24"/>
  <c r="BL380" i="24"/>
  <c r="BX275" i="24"/>
  <c r="CC434" i="24"/>
  <c r="AT412" i="24"/>
  <c r="AB177" i="24"/>
  <c r="W361" i="24"/>
  <c r="AA130" i="24"/>
  <c r="AA147" i="24"/>
  <c r="X165" i="24"/>
  <c r="T182" i="24"/>
  <c r="U274" i="24"/>
  <c r="AA290" i="24"/>
  <c r="T310" i="24"/>
  <c r="AC323" i="24"/>
  <c r="S340" i="24"/>
  <c r="X361" i="24"/>
  <c r="AB375" i="24"/>
  <c r="AC396" i="24"/>
  <c r="AA413" i="24"/>
  <c r="Y430" i="24"/>
  <c r="T451" i="24"/>
  <c r="AL132" i="24"/>
  <c r="AJ160" i="24"/>
  <c r="AK180" i="24"/>
  <c r="AO286" i="24"/>
  <c r="AP319" i="24"/>
  <c r="AJ353" i="24"/>
  <c r="AM380" i="24"/>
  <c r="AO417" i="24"/>
  <c r="AQ453" i="24"/>
  <c r="AX126" i="24"/>
  <c r="AW165" i="24"/>
  <c r="BB282" i="24"/>
  <c r="BD326" i="24"/>
  <c r="AX374" i="24"/>
  <c r="AZ425" i="24"/>
  <c r="BR178" i="24"/>
  <c r="BQ307" i="24"/>
  <c r="BM380" i="24"/>
  <c r="BY275" i="24"/>
  <c r="CE441" i="24"/>
  <c r="S300" i="24"/>
  <c r="Z134" i="24"/>
  <c r="AB147" i="24"/>
  <c r="Y165" i="24"/>
  <c r="W182" i="24"/>
  <c r="V274" i="24"/>
  <c r="AB290" i="24"/>
  <c r="U310" i="24"/>
  <c r="AC324" i="24"/>
  <c r="AB342" i="24"/>
  <c r="Y361" i="24"/>
  <c r="AC375" i="24"/>
  <c r="S397" i="24"/>
  <c r="AB413" i="24"/>
  <c r="Z430" i="24"/>
  <c r="W451" i="24"/>
  <c r="AM132" i="24"/>
  <c r="AF161" i="24"/>
  <c r="AN180" i="24"/>
  <c r="AK287" i="24"/>
  <c r="AQ319" i="24"/>
  <c r="AK354" i="24"/>
  <c r="AO380" i="24"/>
  <c r="AP417" i="24"/>
  <c r="AK457" i="24"/>
  <c r="AT127" i="24"/>
  <c r="BA165" i="24"/>
  <c r="AU283" i="24"/>
  <c r="AU327" i="24"/>
  <c r="BA374" i="24"/>
  <c r="BA425" i="24"/>
  <c r="BH120" i="24"/>
  <c r="BN179" i="24"/>
  <c r="BH324" i="24"/>
  <c r="BN382" i="24"/>
  <c r="BZ275" i="24"/>
  <c r="BW442" i="24"/>
  <c r="BE371" i="24"/>
  <c r="BI304" i="24"/>
  <c r="AA134" i="24"/>
  <c r="AC147" i="24"/>
  <c r="W166" i="24"/>
  <c r="X182" i="24"/>
  <c r="W274" i="24"/>
  <c r="S292" i="24"/>
  <c r="Y310" i="24"/>
  <c r="R325" i="24"/>
  <c r="AC342" i="24"/>
  <c r="U362" i="24"/>
  <c r="R376" i="24"/>
  <c r="W397" i="24"/>
  <c r="S414" i="24"/>
  <c r="AA430" i="24"/>
  <c r="Y451" i="24"/>
  <c r="AN132" i="24"/>
  <c r="AG161" i="24"/>
  <c r="AO180" i="24"/>
  <c r="AM288" i="24"/>
  <c r="AQ320" i="24"/>
  <c r="AG356" i="24"/>
  <c r="AK390" i="24"/>
  <c r="AF418" i="24"/>
  <c r="AQ457" i="24"/>
  <c r="AZ128" i="24"/>
  <c r="BB165" i="24"/>
  <c r="AV283" i="24"/>
  <c r="AV329" i="24"/>
  <c r="AT375" i="24"/>
  <c r="AW426" i="24"/>
  <c r="BJ120" i="24"/>
  <c r="BO179" i="24"/>
  <c r="BL324" i="24"/>
  <c r="BQ382" i="24"/>
  <c r="CG281" i="24"/>
  <c r="CD447" i="24"/>
  <c r="CO155" i="30"/>
  <c r="CS152" i="30"/>
  <c r="CK150" i="30"/>
  <c r="CO147" i="30"/>
  <c r="CS144" i="30"/>
  <c r="CK142" i="30"/>
  <c r="CO139" i="30"/>
  <c r="CS136" i="30"/>
  <c r="CK134" i="30"/>
  <c r="CO131" i="30"/>
  <c r="CS128" i="30"/>
  <c r="CK126" i="30"/>
  <c r="CO123" i="30"/>
  <c r="CS120" i="30"/>
  <c r="CN155" i="30"/>
  <c r="CR152" i="30"/>
  <c r="CJ150" i="30"/>
  <c r="CN147" i="30"/>
  <c r="CR144" i="30"/>
  <c r="CJ142" i="30"/>
  <c r="CN139" i="30"/>
  <c r="CR136" i="30"/>
  <c r="CJ134" i="30"/>
  <c r="CN131" i="30"/>
  <c r="CR128" i="30"/>
  <c r="CJ126" i="30"/>
  <c r="CN123" i="30"/>
  <c r="CR120" i="30"/>
  <c r="CL155" i="30"/>
  <c r="CP152" i="30"/>
  <c r="CT149" i="30"/>
  <c r="CL147" i="30"/>
  <c r="CP144" i="30"/>
  <c r="CT141" i="30"/>
  <c r="CL139" i="30"/>
  <c r="CP136" i="30"/>
  <c r="CT133" i="30"/>
  <c r="CL131" i="30"/>
  <c r="CP128" i="30"/>
  <c r="CT125" i="30"/>
  <c r="CL123" i="30"/>
  <c r="CP120" i="30"/>
  <c r="CK155" i="30"/>
  <c r="CO152" i="30"/>
  <c r="CS149" i="30"/>
  <c r="CK147" i="30"/>
  <c r="CO144" i="30"/>
  <c r="CS141" i="30"/>
  <c r="CK139" i="30"/>
  <c r="CO136" i="30"/>
  <c r="CS133" i="30"/>
  <c r="CK131" i="30"/>
  <c r="CO128" i="30"/>
  <c r="CS125" i="30"/>
  <c r="CK123" i="30"/>
  <c r="CO120" i="30"/>
  <c r="CJ155" i="30"/>
  <c r="CN152" i="30"/>
  <c r="CR149" i="30"/>
  <c r="CJ147" i="30"/>
  <c r="CN144" i="30"/>
  <c r="CR141" i="30"/>
  <c r="CJ139" i="30"/>
  <c r="CN136" i="30"/>
  <c r="CR133" i="30"/>
  <c r="CJ131" i="30"/>
  <c r="CN128" i="30"/>
  <c r="CR125" i="30"/>
  <c r="CJ123" i="30"/>
  <c r="CN120" i="30"/>
  <c r="CR154" i="30"/>
  <c r="CJ152" i="30"/>
  <c r="CN149" i="30"/>
  <c r="CR146" i="30"/>
  <c r="CJ144" i="30"/>
  <c r="CN141" i="30"/>
  <c r="CR138" i="30"/>
  <c r="CJ136" i="30"/>
  <c r="CN133" i="30"/>
  <c r="CR130" i="30"/>
  <c r="CJ128" i="30"/>
  <c r="CN125" i="30"/>
  <c r="CR122" i="30"/>
  <c r="CJ120" i="30"/>
  <c r="CQ154" i="30"/>
  <c r="CU151" i="30"/>
  <c r="CM149" i="30"/>
  <c r="CQ146" i="30"/>
  <c r="CU143" i="30"/>
  <c r="CM141" i="30"/>
  <c r="CQ138" i="30"/>
  <c r="CU135" i="30"/>
  <c r="CM133" i="30"/>
  <c r="CQ130" i="30"/>
  <c r="CU127" i="30"/>
  <c r="CM125" i="30"/>
  <c r="CQ122" i="30"/>
  <c r="CS153" i="30"/>
  <c r="CP150" i="30"/>
  <c r="CT146" i="30"/>
  <c r="CO143" i="30"/>
  <c r="CL140" i="30"/>
  <c r="CU136" i="30"/>
  <c r="CK133" i="30"/>
  <c r="CT129" i="30"/>
  <c r="CQ126" i="30"/>
  <c r="CU122" i="30"/>
  <c r="CG155" i="30"/>
  <c r="BY153" i="30"/>
  <c r="CC150" i="30"/>
  <c r="CG147" i="30"/>
  <c r="BY145" i="30"/>
  <c r="CC142" i="30"/>
  <c r="CG139" i="30"/>
  <c r="BY137" i="30"/>
  <c r="CC134" i="30"/>
  <c r="CG131" i="30"/>
  <c r="BY129" i="30"/>
  <c r="CC126" i="30"/>
  <c r="CG123" i="30"/>
  <c r="BY121" i="30"/>
  <c r="BS155" i="30"/>
  <c r="BK153" i="30"/>
  <c r="BO150" i="30"/>
  <c r="BS147" i="30"/>
  <c r="BK145" i="30"/>
  <c r="BO142" i="30"/>
  <c r="BS139" i="30"/>
  <c r="BK137" i="30"/>
  <c r="BO134" i="30"/>
  <c r="BS131" i="30"/>
  <c r="BK129" i="30"/>
  <c r="BO126" i="30"/>
  <c r="BS123" i="30"/>
  <c r="BK121" i="30"/>
  <c r="CR153" i="30"/>
  <c r="CO150" i="30"/>
  <c r="CS146" i="30"/>
  <c r="CN143" i="30"/>
  <c r="CK140" i="30"/>
  <c r="CT136" i="30"/>
  <c r="CJ133" i="30"/>
  <c r="CS129" i="30"/>
  <c r="CP126" i="30"/>
  <c r="CT122" i="30"/>
  <c r="CM153" i="30"/>
  <c r="CQ149" i="30"/>
  <c r="CL146" i="30"/>
  <c r="CU142" i="30"/>
  <c r="CR139" i="30"/>
  <c r="CT135" i="30"/>
  <c r="CQ132" i="30"/>
  <c r="CN129" i="30"/>
  <c r="CU125" i="30"/>
  <c r="CM122" i="30"/>
  <c r="CA155" i="30"/>
  <c r="CE152" i="30"/>
  <c r="BW150" i="30"/>
  <c r="CA147" i="30"/>
  <c r="CE144" i="30"/>
  <c r="BW142" i="30"/>
  <c r="CA139" i="30"/>
  <c r="CE136" i="30"/>
  <c r="BW134" i="30"/>
  <c r="CA131" i="30"/>
  <c r="CE128" i="30"/>
  <c r="BW126" i="30"/>
  <c r="CA123" i="30"/>
  <c r="CE120" i="30"/>
  <c r="CL153" i="30"/>
  <c r="CP149" i="30"/>
  <c r="CK146" i="30"/>
  <c r="CT142" i="30"/>
  <c r="CQ139" i="30"/>
  <c r="CS135" i="30"/>
  <c r="CP132" i="30"/>
  <c r="CM129" i="30"/>
  <c r="CQ125" i="30"/>
  <c r="CL122" i="30"/>
  <c r="BZ155" i="30"/>
  <c r="CD152" i="30"/>
  <c r="BV150" i="30"/>
  <c r="BZ147" i="30"/>
  <c r="CD144" i="30"/>
  <c r="BV142" i="30"/>
  <c r="BZ139" i="30"/>
  <c r="CD136" i="30"/>
  <c r="BV134" i="30"/>
  <c r="BZ131" i="30"/>
  <c r="CD128" i="30"/>
  <c r="BV126" i="30"/>
  <c r="BZ123" i="30"/>
  <c r="CD120" i="30"/>
  <c r="CK153" i="30"/>
  <c r="CO149" i="30"/>
  <c r="CJ146" i="30"/>
  <c r="CS142" i="30"/>
  <c r="CP139" i="30"/>
  <c r="CR135" i="30"/>
  <c r="CO132" i="30"/>
  <c r="CL129" i="30"/>
  <c r="CP125" i="30"/>
  <c r="CK122" i="30"/>
  <c r="BY155" i="30"/>
  <c r="CC152" i="30"/>
  <c r="CG149" i="30"/>
  <c r="BY147" i="30"/>
  <c r="CC144" i="30"/>
  <c r="CG141" i="30"/>
  <c r="BY139" i="30"/>
  <c r="CC136" i="30"/>
  <c r="CG133" i="30"/>
  <c r="BY131" i="30"/>
  <c r="CC128" i="30"/>
  <c r="CG125" i="30"/>
  <c r="BY123" i="30"/>
  <c r="CC120" i="30"/>
  <c r="CP155" i="30"/>
  <c r="CR151" i="30"/>
  <c r="CO148" i="30"/>
  <c r="CL145" i="30"/>
  <c r="CP141" i="30"/>
  <c r="CK138" i="30"/>
  <c r="CT134" i="30"/>
  <c r="CQ131" i="30"/>
  <c r="CS127" i="30"/>
  <c r="CP124" i="30"/>
  <c r="CM121" i="30"/>
  <c r="CO153" i="30"/>
  <c r="CT148" i="30"/>
  <c r="CJ145" i="30"/>
  <c r="CR140" i="30"/>
  <c r="CQ136" i="30"/>
  <c r="CL132" i="30"/>
  <c r="CT127" i="30"/>
  <c r="CJ124" i="30"/>
  <c r="CN153" i="30"/>
  <c r="CS148" i="30"/>
  <c r="CU144" i="30"/>
  <c r="CQ140" i="30"/>
  <c r="CM136" i="30"/>
  <c r="CK132" i="30"/>
  <c r="CR127" i="30"/>
  <c r="CU123" i="30"/>
  <c r="CJ153" i="30"/>
  <c r="CR148" i="30"/>
  <c r="CT144" i="30"/>
  <c r="CP140" i="30"/>
  <c r="CL136" i="30"/>
  <c r="CJ132" i="30"/>
  <c r="CQ127" i="30"/>
  <c r="CT123" i="30"/>
  <c r="BV154" i="30"/>
  <c r="BV151" i="30"/>
  <c r="BV148" i="30"/>
  <c r="CG144" i="30"/>
  <c r="CD141" i="30"/>
  <c r="CD138" i="30"/>
  <c r="CD135" i="30"/>
  <c r="CD132" i="30"/>
  <c r="CD129" i="30"/>
  <c r="CD126" i="30"/>
  <c r="CC123" i="30"/>
  <c r="BZ120" i="30"/>
  <c r="CU152" i="30"/>
  <c r="CQ148" i="30"/>
  <c r="CQ144" i="30"/>
  <c r="CO140" i="30"/>
  <c r="CK136" i="30"/>
  <c r="CU131" i="30"/>
  <c r="CP127" i="30"/>
  <c r="CS123" i="30"/>
  <c r="CG153" i="30"/>
  <c r="CG150" i="30"/>
  <c r="CF147" i="30"/>
  <c r="CF144" i="30"/>
  <c r="CC141" i="30"/>
  <c r="CC138" i="30"/>
  <c r="CC135" i="30"/>
  <c r="CC132" i="30"/>
  <c r="CC129" i="30"/>
  <c r="CB126" i="30"/>
  <c r="CB123" i="30"/>
  <c r="BY120" i="30"/>
  <c r="CT152" i="30"/>
  <c r="CP148" i="30"/>
  <c r="CM144" i="30"/>
  <c r="CN140" i="30"/>
  <c r="CQ135" i="30"/>
  <c r="CT131" i="30"/>
  <c r="CO127" i="30"/>
  <c r="CR123" i="30"/>
  <c r="CF153" i="30"/>
  <c r="CF150" i="30"/>
  <c r="CE147" i="30"/>
  <c r="CB144" i="30"/>
  <c r="CB141" i="30"/>
  <c r="CB138" i="30"/>
  <c r="CB135" i="30"/>
  <c r="CB132" i="30"/>
  <c r="CB129" i="30"/>
  <c r="CA126" i="30"/>
  <c r="BX123" i="30"/>
  <c r="BX120" i="30"/>
  <c r="CQ152" i="30"/>
  <c r="CN148" i="30"/>
  <c r="CL144" i="30"/>
  <c r="CM140" i="30"/>
  <c r="CP135" i="30"/>
  <c r="CS131" i="30"/>
  <c r="CN127" i="30"/>
  <c r="CQ123" i="30"/>
  <c r="CE153" i="30"/>
  <c r="CE150" i="30"/>
  <c r="CD147" i="30"/>
  <c r="CA144" i="30"/>
  <c r="CA141" i="30"/>
  <c r="CA138" i="30"/>
  <c r="CA135" i="30"/>
  <c r="CA132" i="30"/>
  <c r="CA129" i="30"/>
  <c r="BZ126" i="30"/>
  <c r="BW123" i="30"/>
  <c r="BW120" i="30"/>
  <c r="CT151" i="30"/>
  <c r="CJ148" i="30"/>
  <c r="CR143" i="30"/>
  <c r="CS139" i="30"/>
  <c r="CL135" i="30"/>
  <c r="CU130" i="30"/>
  <c r="CJ127" i="30"/>
  <c r="CP122" i="30"/>
  <c r="CA153" i="30"/>
  <c r="BZ150" i="30"/>
  <c r="BW147" i="30"/>
  <c r="BW144" i="30"/>
  <c r="BW141" i="30"/>
  <c r="BW138" i="30"/>
  <c r="BW135" i="30"/>
  <c r="BW132" i="30"/>
  <c r="BV129" i="30"/>
  <c r="CE125" i="30"/>
  <c r="CE122" i="30"/>
  <c r="BJ153" i="30"/>
  <c r="BM150" i="30"/>
  <c r="BP147" i="30"/>
  <c r="BS144" i="30"/>
  <c r="BJ142" i="30"/>
  <c r="BM139" i="30"/>
  <c r="BP136" i="30"/>
  <c r="BS133" i="30"/>
  <c r="BJ131" i="30"/>
  <c r="BM128" i="30"/>
  <c r="BP125" i="30"/>
  <c r="BS122" i="30"/>
  <c r="BJ120" i="30"/>
  <c r="CS151" i="30"/>
  <c r="CU147" i="30"/>
  <c r="CQ143" i="30"/>
  <c r="CM139" i="30"/>
  <c r="CK135" i="30"/>
  <c r="CT130" i="30"/>
  <c r="CU126" i="30"/>
  <c r="CO122" i="30"/>
  <c r="BZ153" i="30"/>
  <c r="BY150" i="30"/>
  <c r="BV147" i="30"/>
  <c r="BV144" i="30"/>
  <c r="BV141" i="30"/>
  <c r="BV138" i="30"/>
  <c r="BV135" i="30"/>
  <c r="BV132" i="30"/>
  <c r="CG128" i="30"/>
  <c r="CD125" i="30"/>
  <c r="CD122" i="30"/>
  <c r="BR155" i="30"/>
  <c r="BI153" i="30"/>
  <c r="BL150" i="30"/>
  <c r="BO147" i="30"/>
  <c r="BR144" i="30"/>
  <c r="BI142" i="30"/>
  <c r="BL139" i="30"/>
  <c r="BO136" i="30"/>
  <c r="BR133" i="30"/>
  <c r="BI131" i="30"/>
  <c r="BL128" i="30"/>
  <c r="BO125" i="30"/>
  <c r="BR122" i="30"/>
  <c r="BI120" i="30"/>
  <c r="CM155" i="30"/>
  <c r="CK151" i="30"/>
  <c r="CU146" i="30"/>
  <c r="CQ142" i="30"/>
  <c r="CM138" i="30"/>
  <c r="CO134" i="30"/>
  <c r="CK130" i="30"/>
  <c r="CL126" i="30"/>
  <c r="CQ121" i="30"/>
  <c r="CD155" i="30"/>
  <c r="CA152" i="30"/>
  <c r="CA149" i="30"/>
  <c r="CA146" i="30"/>
  <c r="CA143" i="30"/>
  <c r="CA140" i="30"/>
  <c r="CA137" i="30"/>
  <c r="BZ134" i="30"/>
  <c r="BW131" i="30"/>
  <c r="BW128" i="30"/>
  <c r="BW125" i="30"/>
  <c r="BW122" i="30"/>
  <c r="BK155" i="30"/>
  <c r="BN152" i="30"/>
  <c r="BQ149" i="30"/>
  <c r="BH147" i="30"/>
  <c r="BK144" i="30"/>
  <c r="BN141" i="30"/>
  <c r="BQ138" i="30"/>
  <c r="BH136" i="30"/>
  <c r="BK133" i="30"/>
  <c r="BN130" i="30"/>
  <c r="BQ127" i="30"/>
  <c r="BH125" i="30"/>
  <c r="BK122" i="30"/>
  <c r="CS154" i="30"/>
  <c r="CK149" i="30"/>
  <c r="CK143" i="30"/>
  <c r="CQ137" i="30"/>
  <c r="CP131" i="30"/>
  <c r="CL125" i="30"/>
  <c r="CL120" i="30"/>
  <c r="BV152" i="30"/>
  <c r="CA148" i="30"/>
  <c r="BX144" i="30"/>
  <c r="BZ140" i="30"/>
  <c r="CA136" i="30"/>
  <c r="CF132" i="30"/>
  <c r="CA128" i="30"/>
  <c r="CE124" i="30"/>
  <c r="BW121" i="30"/>
  <c r="BS152" i="30"/>
  <c r="BS149" i="30"/>
  <c r="BR146" i="30"/>
  <c r="BR143" i="30"/>
  <c r="BR140" i="30"/>
  <c r="BR137" i="30"/>
  <c r="BR134" i="30"/>
  <c r="BQ131" i="30"/>
  <c r="BQ128" i="30"/>
  <c r="BQ125" i="30"/>
  <c r="BO122" i="30"/>
  <c r="AZ153" i="30"/>
  <c r="BD150" i="30"/>
  <c r="AV148" i="30"/>
  <c r="AZ145" i="30"/>
  <c r="BD142" i="30"/>
  <c r="CK154" i="30"/>
  <c r="CT147" i="30"/>
  <c r="CM142" i="30"/>
  <c r="CK137" i="30"/>
  <c r="CM130" i="30"/>
  <c r="CR124" i="30"/>
  <c r="BW155" i="30"/>
  <c r="CB151" i="30"/>
  <c r="CB147" i="30"/>
  <c r="CB143" i="30"/>
  <c r="CE139" i="30"/>
  <c r="CG135" i="30"/>
  <c r="CE131" i="30"/>
  <c r="CF127" i="30"/>
  <c r="BY124" i="30"/>
  <c r="BV120" i="30"/>
  <c r="CT153" i="30"/>
  <c r="CQ147" i="30"/>
  <c r="CQ141" i="30"/>
  <c r="CN135" i="30"/>
  <c r="CU129" i="30"/>
  <c r="CN124" i="30"/>
  <c r="CF154" i="30"/>
  <c r="BY151" i="30"/>
  <c r="CF146" i="30"/>
  <c r="BX143" i="30"/>
  <c r="CB139" i="30"/>
  <c r="BZ135" i="30"/>
  <c r="CB131" i="30"/>
  <c r="CC127" i="30"/>
  <c r="BV124" i="30"/>
  <c r="BI155" i="30"/>
  <c r="BI152" i="30"/>
  <c r="BI149" i="30"/>
  <c r="BI146" i="30"/>
  <c r="BI143" i="30"/>
  <c r="BI140" i="30"/>
  <c r="BH137" i="30"/>
  <c r="BH134" i="30"/>
  <c r="BR130" i="30"/>
  <c r="BR127" i="30"/>
  <c r="BQ124" i="30"/>
  <c r="BQ121" i="30"/>
  <c r="AY155" i="30"/>
  <c r="BC152" i="30"/>
  <c r="AU150" i="30"/>
  <c r="AY147" i="30"/>
  <c r="BC144" i="30"/>
  <c r="AU142" i="30"/>
  <c r="AY139" i="30"/>
  <c r="BC136" i="30"/>
  <c r="AU134" i="30"/>
  <c r="AY131" i="30"/>
  <c r="BC128" i="30"/>
  <c r="AU126" i="30"/>
  <c r="AY123" i="30"/>
  <c r="BC120" i="30"/>
  <c r="CO151" i="30"/>
  <c r="CT145" i="30"/>
  <c r="CJ140" i="30"/>
  <c r="CN134" i="30"/>
  <c r="CT128" i="30"/>
  <c r="CJ122" i="30"/>
  <c r="BX154" i="30"/>
  <c r="CE149" i="30"/>
  <c r="BW146" i="30"/>
  <c r="CA142" i="30"/>
  <c r="BY138" i="30"/>
  <c r="CA134" i="30"/>
  <c r="CB130" i="30"/>
  <c r="CG126" i="30"/>
  <c r="CB122" i="30"/>
  <c r="BM154" i="30"/>
  <c r="BM151" i="30"/>
  <c r="BM148" i="30"/>
  <c r="BM145" i="30"/>
  <c r="BL142" i="30"/>
  <c r="BJ139" i="30"/>
  <c r="BJ136" i="30"/>
  <c r="BI133" i="30"/>
  <c r="BI130" i="30"/>
  <c r="BI127" i="30"/>
  <c r="BI124" i="30"/>
  <c r="BH121" i="30"/>
  <c r="CU155" i="30"/>
  <c r="CL150" i="30"/>
  <c r="CR142" i="30"/>
  <c r="CJ137" i="30"/>
  <c r="CP129" i="30"/>
  <c r="CN122" i="30"/>
  <c r="CT155" i="30"/>
  <c r="CU149" i="30"/>
  <c r="CP142" i="30"/>
  <c r="CO135" i="30"/>
  <c r="CO129" i="30"/>
  <c r="CU121" i="30"/>
  <c r="CS155" i="30"/>
  <c r="CL149" i="30"/>
  <c r="CO142" i="30"/>
  <c r="CM135" i="30"/>
  <c r="CK129" i="30"/>
  <c r="CT121" i="30"/>
  <c r="CR155" i="30"/>
  <c r="CJ149" i="30"/>
  <c r="CN142" i="30"/>
  <c r="CJ135" i="30"/>
  <c r="CJ129" i="30"/>
  <c r="CS121" i="30"/>
  <c r="CB152" i="30"/>
  <c r="CB148" i="30"/>
  <c r="CD143" i="30"/>
  <c r="BX139" i="30"/>
  <c r="CE134" i="30"/>
  <c r="BZ130" i="30"/>
  <c r="CC125" i="30"/>
  <c r="CC121" i="30"/>
  <c r="BO152" i="30"/>
  <c r="BK149" i="30"/>
  <c r="BS145" i="30"/>
  <c r="BP142" i="30"/>
  <c r="BI139" i="30"/>
  <c r="BQ135" i="30"/>
  <c r="BN132" i="30"/>
  <c r="BJ129" i="30"/>
  <c r="BS125" i="30"/>
  <c r="BM122" i="30"/>
  <c r="CQ155" i="30"/>
  <c r="CU148" i="30"/>
  <c r="CL142" i="30"/>
  <c r="CU134" i="30"/>
  <c r="CU128" i="30"/>
  <c r="CR121" i="30"/>
  <c r="CU154" i="30"/>
  <c r="CM148" i="30"/>
  <c r="CU141" i="30"/>
  <c r="CS134" i="30"/>
  <c r="CQ128" i="30"/>
  <c r="CP121" i="30"/>
  <c r="BY152" i="30"/>
  <c r="BY148" i="30"/>
  <c r="BZ143" i="30"/>
  <c r="BV139" i="30"/>
  <c r="CB134" i="30"/>
  <c r="BX130" i="30"/>
  <c r="CA125" i="30"/>
  <c r="CA121" i="30"/>
  <c r="BP155" i="30"/>
  <c r="BL152" i="30"/>
  <c r="BH149" i="30"/>
  <c r="BQ145" i="30"/>
  <c r="BM142" i="30"/>
  <c r="BS138" i="30"/>
  <c r="BO135" i="30"/>
  <c r="BL132" i="30"/>
  <c r="BH129" i="30"/>
  <c r="BN125" i="30"/>
  <c r="BJ122" i="30"/>
  <c r="BB155" i="30"/>
  <c r="BD152" i="30"/>
  <c r="BE149" i="30"/>
  <c r="AU147" i="30"/>
  <c r="AW144" i="30"/>
  <c r="AY141" i="30"/>
  <c r="BB138" i="30"/>
  <c r="BE135" i="30"/>
  <c r="AV133" i="30"/>
  <c r="AY130" i="30"/>
  <c r="BB127" i="30"/>
  <c r="BE124" i="30"/>
  <c r="AV122" i="30"/>
  <c r="CN154" i="30"/>
  <c r="CR147" i="30"/>
  <c r="CJ141" i="30"/>
  <c r="CM134" i="30"/>
  <c r="CM127" i="30"/>
  <c r="CK121" i="30"/>
  <c r="CF151" i="30"/>
  <c r="BX147" i="30"/>
  <c r="CG142" i="30"/>
  <c r="BZ138" i="30"/>
  <c r="CE133" i="30"/>
  <c r="CF129" i="30"/>
  <c r="BV125" i="30"/>
  <c r="CG120" i="30"/>
  <c r="BL155" i="30"/>
  <c r="BS151" i="30"/>
  <c r="BP148" i="30"/>
  <c r="BL145" i="30"/>
  <c r="BR141" i="30"/>
  <c r="BN138" i="30"/>
  <c r="BK135" i="30"/>
  <c r="BH132" i="30"/>
  <c r="BO128" i="30"/>
  <c r="BJ125" i="30"/>
  <c r="BR121" i="30"/>
  <c r="CL152" i="30"/>
  <c r="CS145" i="30"/>
  <c r="CS138" i="30"/>
  <c r="CT132" i="30"/>
  <c r="CM126" i="30"/>
  <c r="BV155" i="30"/>
  <c r="CD150" i="30"/>
  <c r="BX146" i="30"/>
  <c r="CF141" i="30"/>
  <c r="BZ137" i="30"/>
  <c r="BW133" i="30"/>
  <c r="BY128" i="30"/>
  <c r="BX124" i="30"/>
  <c r="BN154" i="30"/>
  <c r="BJ151" i="30"/>
  <c r="BR147" i="30"/>
  <c r="BM144" i="30"/>
  <c r="BI141" i="30"/>
  <c r="BQ137" i="30"/>
  <c r="BM134" i="30"/>
  <c r="BH131" i="30"/>
  <c r="BO127" i="30"/>
  <c r="BL124" i="30"/>
  <c r="BS120" i="30"/>
  <c r="CN151" i="30"/>
  <c r="CO145" i="30"/>
  <c r="CL138" i="30"/>
  <c r="CM132" i="30"/>
  <c r="CU124" i="30"/>
  <c r="CT150" i="30"/>
  <c r="CU140" i="30"/>
  <c r="CN132" i="30"/>
  <c r="CM123" i="30"/>
  <c r="BW152" i="30"/>
  <c r="CD146" i="30"/>
  <c r="BX142" i="30"/>
  <c r="CG136" i="30"/>
  <c r="CD131" i="30"/>
  <c r="BV127" i="30"/>
  <c r="CE121" i="30"/>
  <c r="BO154" i="30"/>
  <c r="BR150" i="30"/>
  <c r="BS146" i="30"/>
  <c r="BK143" i="30"/>
  <c r="BN139" i="30"/>
  <c r="BM135" i="30"/>
  <c r="BO131" i="30"/>
  <c r="BP127" i="30"/>
  <c r="BR123" i="30"/>
  <c r="BK120" i="30"/>
  <c r="CS150" i="30"/>
  <c r="CT140" i="30"/>
  <c r="CR131" i="30"/>
  <c r="CS122" i="30"/>
  <c r="CG151" i="30"/>
  <c r="CC146" i="30"/>
  <c r="CE141" i="30"/>
  <c r="CF136" i="30"/>
  <c r="CC131" i="30"/>
  <c r="CF126" i="30"/>
  <c r="CD121" i="30"/>
  <c r="BL154" i="30"/>
  <c r="BQ150" i="30"/>
  <c r="BQ146" i="30"/>
  <c r="BJ143" i="30"/>
  <c r="BK139" i="30"/>
  <c r="BL135" i="30"/>
  <c r="BN131" i="30"/>
  <c r="BN127" i="30"/>
  <c r="BQ123" i="30"/>
  <c r="BH120" i="30"/>
  <c r="AZ154" i="30"/>
  <c r="BA151" i="30"/>
  <c r="BB148" i="30"/>
  <c r="BC145" i="30"/>
  <c r="BC142" i="30"/>
  <c r="BE139" i="30"/>
  <c r="AU137" i="30"/>
  <c r="AW134" i="30"/>
  <c r="AX131" i="30"/>
  <c r="AZ128" i="30"/>
  <c r="BB125" i="30"/>
  <c r="BD122" i="30"/>
  <c r="AT120" i="30"/>
  <c r="CL148" i="30"/>
  <c r="CT138" i="30"/>
  <c r="CN130" i="30"/>
  <c r="CU120" i="30"/>
  <c r="BZ151" i="30"/>
  <c r="CG145" i="30"/>
  <c r="CF140" i="30"/>
  <c r="BW136" i="30"/>
  <c r="CE130" i="30"/>
  <c r="CB125" i="30"/>
  <c r="CF120" i="30"/>
  <c r="CK148" i="30"/>
  <c r="CP138" i="30"/>
  <c r="CL130" i="30"/>
  <c r="CT120" i="30"/>
  <c r="BX151" i="30"/>
  <c r="CF145" i="30"/>
  <c r="CE140" i="30"/>
  <c r="BV136" i="30"/>
  <c r="CD130" i="30"/>
  <c r="BZ125" i="30"/>
  <c r="CB120" i="30"/>
  <c r="CM154" i="30"/>
  <c r="CP145" i="30"/>
  <c r="CM137" i="30"/>
  <c r="CR126" i="30"/>
  <c r="CA154" i="30"/>
  <c r="BX149" i="30"/>
  <c r="BY144" i="30"/>
  <c r="BW139" i="30"/>
  <c r="CD133" i="30"/>
  <c r="CF128" i="30"/>
  <c r="CF123" i="30"/>
  <c r="CO154" i="30"/>
  <c r="CT143" i="30"/>
  <c r="CL133" i="30"/>
  <c r="CN121" i="30"/>
  <c r="CF155" i="30"/>
  <c r="CD149" i="30"/>
  <c r="CG143" i="30"/>
  <c r="CF137" i="30"/>
  <c r="BY132" i="30"/>
  <c r="BX126" i="30"/>
  <c r="BP154" i="30"/>
  <c r="BN150" i="30"/>
  <c r="BM146" i="30"/>
  <c r="BK142" i="30"/>
  <c r="BJ138" i="30"/>
  <c r="BJ134" i="30"/>
  <c r="BH130" i="30"/>
  <c r="BJ126" i="30"/>
  <c r="BS121" i="30"/>
  <c r="CJ154" i="30"/>
  <c r="CP143" i="30"/>
  <c r="CS132" i="30"/>
  <c r="CJ121" i="30"/>
  <c r="CC155" i="30"/>
  <c r="CB149" i="30"/>
  <c r="CE143" i="30"/>
  <c r="CD137" i="30"/>
  <c r="CF131" i="30"/>
  <c r="BY125" i="30"/>
  <c r="BJ154" i="30"/>
  <c r="BJ150" i="30"/>
  <c r="BK146" i="30"/>
  <c r="BS141" i="30"/>
  <c r="BH138" i="30"/>
  <c r="BQ133" i="30"/>
  <c r="BR129" i="30"/>
  <c r="BH126" i="30"/>
  <c r="BO121" i="30"/>
  <c r="BA155" i="30"/>
  <c r="AZ152" i="30"/>
  <c r="AZ149" i="30"/>
  <c r="AZ146" i="30"/>
  <c r="AZ143" i="30"/>
  <c r="AZ140" i="30"/>
  <c r="BA137" i="30"/>
  <c r="BB134" i="30"/>
  <c r="CU153" i="30"/>
  <c r="CM143" i="30"/>
  <c r="CR132" i="30"/>
  <c r="CQ120" i="30"/>
  <c r="CB155" i="30"/>
  <c r="BZ149" i="30"/>
  <c r="CC143" i="30"/>
  <c r="CC137" i="30"/>
  <c r="BX131" i="30"/>
  <c r="BX125" i="30"/>
  <c r="CQ153" i="30"/>
  <c r="CL143" i="30"/>
  <c r="CM131" i="30"/>
  <c r="CM120" i="30"/>
  <c r="BX155" i="30"/>
  <c r="BY149" i="30"/>
  <c r="BY143" i="30"/>
  <c r="CB137" i="30"/>
  <c r="BV131" i="30"/>
  <c r="CG124" i="30"/>
  <c r="BH154" i="30"/>
  <c r="BH150" i="30"/>
  <c r="BH146" i="30"/>
  <c r="BP141" i="30"/>
  <c r="BP137" i="30"/>
  <c r="BO133" i="30"/>
  <c r="BP129" i="30"/>
  <c r="BM125" i="30"/>
  <c r="BM121" i="30"/>
  <c r="CP153" i="30"/>
  <c r="CJ143" i="30"/>
  <c r="CS130" i="30"/>
  <c r="CK120" i="30"/>
  <c r="CG154" i="30"/>
  <c r="BW149" i="30"/>
  <c r="BW143" i="30"/>
  <c r="BX137" i="30"/>
  <c r="CG130" i="30"/>
  <c r="CF124" i="30"/>
  <c r="BS153" i="30"/>
  <c r="BR149" i="30"/>
  <c r="BR145" i="30"/>
  <c r="BO141" i="30"/>
  <c r="BO137" i="30"/>
  <c r="BN133" i="30"/>
  <c r="BO129" i="30"/>
  <c r="BL125" i="30"/>
  <c r="BL121" i="30"/>
  <c r="AW155" i="30"/>
  <c r="AW152" i="30"/>
  <c r="AW149" i="30"/>
  <c r="AW146" i="30"/>
  <c r="AW143" i="30"/>
  <c r="AW140" i="30"/>
  <c r="AX137" i="30"/>
  <c r="AY134" i="30"/>
  <c r="AZ131" i="30"/>
  <c r="AY128" i="30"/>
  <c r="AZ125" i="30"/>
  <c r="BA122" i="30"/>
  <c r="CP151" i="30"/>
  <c r="CS140" i="30"/>
  <c r="CR129" i="30"/>
  <c r="CB154" i="30"/>
  <c r="CE148" i="30"/>
  <c r="CD142" i="30"/>
  <c r="BZ136" i="30"/>
  <c r="BY130" i="30"/>
  <c r="CA124" i="30"/>
  <c r="BO153" i="30"/>
  <c r="BM149" i="30"/>
  <c r="BJ145" i="30"/>
  <c r="BJ141" i="30"/>
  <c r="BJ137" i="30"/>
  <c r="BH133" i="30"/>
  <c r="BI129" i="30"/>
  <c r="BR124" i="30"/>
  <c r="BQ120" i="30"/>
  <c r="BE154" i="30"/>
  <c r="BE151" i="30"/>
  <c r="BE148" i="30"/>
  <c r="BE145" i="30"/>
  <c r="BE142" i="30"/>
  <c r="BD139" i="30"/>
  <c r="BE136" i="30"/>
  <c r="BE133" i="30"/>
  <c r="AT131" i="30"/>
  <c r="AU128" i="30"/>
  <c r="AV125" i="30"/>
  <c r="AW122" i="30"/>
  <c r="AP155" i="30"/>
  <c r="AH153" i="30"/>
  <c r="AL150" i="30"/>
  <c r="AP147" i="30"/>
  <c r="AH145" i="30"/>
  <c r="AL142" i="30"/>
  <c r="AP139" i="30"/>
  <c r="AH137" i="30"/>
  <c r="AL134" i="30"/>
  <c r="AP131" i="30"/>
  <c r="AH129" i="30"/>
  <c r="AL126" i="30"/>
  <c r="AP123" i="30"/>
  <c r="AH121" i="30"/>
  <c r="CM151" i="30"/>
  <c r="CU139" i="30"/>
  <c r="CQ129" i="30"/>
  <c r="CM150" i="30"/>
  <c r="CT137" i="30"/>
  <c r="CS126" i="30"/>
  <c r="BW153" i="30"/>
  <c r="CE146" i="30"/>
  <c r="CD140" i="30"/>
  <c r="CF134" i="30"/>
  <c r="CB128" i="30"/>
  <c r="CC122" i="30"/>
  <c r="BM152" i="30"/>
  <c r="BL148" i="30"/>
  <c r="BJ144" i="30"/>
  <c r="BL140" i="30"/>
  <c r="BK136" i="30"/>
  <c r="BJ132" i="30"/>
  <c r="BH128" i="30"/>
  <c r="BP123" i="30"/>
  <c r="AV154" i="30"/>
  <c r="AV151" i="30"/>
  <c r="AU148" i="30"/>
  <c r="AU145" i="30"/>
  <c r="AT142" i="30"/>
  <c r="AU139" i="30"/>
  <c r="AV136" i="30"/>
  <c r="AW133" i="30"/>
  <c r="AW130" i="30"/>
  <c r="AX127" i="30"/>
  <c r="AY124" i="30"/>
  <c r="AZ121" i="30"/>
  <c r="CP146" i="30"/>
  <c r="CO137" i="30"/>
  <c r="CK125" i="30"/>
  <c r="BZ152" i="30"/>
  <c r="BV146" i="30"/>
  <c r="BX140" i="30"/>
  <c r="CF133" i="30"/>
  <c r="CG127" i="30"/>
  <c r="BX122" i="30"/>
  <c r="BR151" i="30"/>
  <c r="BH148" i="30"/>
  <c r="BQ143" i="30"/>
  <c r="BR139" i="30"/>
  <c r="BP135" i="30"/>
  <c r="BM131" i="30"/>
  <c r="BK127" i="30"/>
  <c r="BL123" i="30"/>
  <c r="BD153" i="30"/>
  <c r="BC150" i="30"/>
  <c r="BC147" i="30"/>
  <c r="BB144" i="30"/>
  <c r="BB141" i="30"/>
  <c r="BC138" i="30"/>
  <c r="BC135" i="30"/>
  <c r="BD132" i="30"/>
  <c r="BE129" i="30"/>
  <c r="AT127" i="30"/>
  <c r="AU124" i="30"/>
  <c r="AV121" i="30"/>
  <c r="CU138" i="30"/>
  <c r="CT124" i="30"/>
  <c r="BW154" i="30"/>
  <c r="CE145" i="30"/>
  <c r="BX138" i="30"/>
  <c r="CG129" i="30"/>
  <c r="BV122" i="30"/>
  <c r="BI151" i="30"/>
  <c r="BO145" i="30"/>
  <c r="BN140" i="30"/>
  <c r="BI135" i="30"/>
  <c r="BJ130" i="30"/>
  <c r="BO124" i="30"/>
  <c r="AT154" i="30"/>
  <c r="AY150" i="30"/>
  <c r="BD146" i="30"/>
  <c r="AX143" i="30"/>
  <c r="BB139" i="30"/>
  <c r="AW136" i="30"/>
  <c r="BB132" i="30"/>
  <c r="AY129" i="30"/>
  <c r="AV126" i="30"/>
  <c r="BC122" i="30"/>
  <c r="AF155" i="30"/>
  <c r="AI152" i="30"/>
  <c r="AL149" i="30"/>
  <c r="AO146" i="30"/>
  <c r="AF144" i="30"/>
  <c r="AI141" i="30"/>
  <c r="AL138" i="30"/>
  <c r="AO135" i="30"/>
  <c r="AF133" i="30"/>
  <c r="AI130" i="30"/>
  <c r="AL127" i="30"/>
  <c r="AO124" i="30"/>
  <c r="AF122" i="30"/>
  <c r="CO138" i="30"/>
  <c r="CS124" i="30"/>
  <c r="CD153" i="30"/>
  <c r="CD145" i="30"/>
  <c r="CG137" i="30"/>
  <c r="CE129" i="30"/>
  <c r="CG121" i="30"/>
  <c r="CT154" i="30"/>
  <c r="CN138" i="30"/>
  <c r="CQ124" i="30"/>
  <c r="CP154" i="30"/>
  <c r="CJ138" i="30"/>
  <c r="CO124" i="30"/>
  <c r="CB153" i="30"/>
  <c r="CB145" i="30"/>
  <c r="BW137" i="30"/>
  <c r="BX129" i="30"/>
  <c r="CB121" i="30"/>
  <c r="BO155" i="30"/>
  <c r="BP150" i="30"/>
  <c r="BH145" i="30"/>
  <c r="BJ140" i="30"/>
  <c r="BQ134" i="30"/>
  <c r="BN129" i="30"/>
  <c r="BK124" i="30"/>
  <c r="BB153" i="30"/>
  <c r="AV150" i="30"/>
  <c r="BA146" i="30"/>
  <c r="AT143" i="30"/>
  <c r="AX139" i="30"/>
  <c r="BD135" i="30"/>
  <c r="AY132" i="30"/>
  <c r="AV129" i="30"/>
  <c r="BD125" i="30"/>
  <c r="AY122" i="30"/>
  <c r="CL154" i="30"/>
  <c r="CU137" i="30"/>
  <c r="CM124" i="30"/>
  <c r="BX153" i="30"/>
  <c r="CA145" i="30"/>
  <c r="BV137" i="30"/>
  <c r="BW129" i="30"/>
  <c r="BZ121" i="30"/>
  <c r="BN155" i="30"/>
  <c r="BK150" i="30"/>
  <c r="BQ144" i="30"/>
  <c r="BH140" i="30"/>
  <c r="BP134" i="30"/>
  <c r="BM129" i="30"/>
  <c r="BJ124" i="30"/>
  <c r="CM152" i="30"/>
  <c r="CS137" i="30"/>
  <c r="CL124" i="30"/>
  <c r="BV153" i="30"/>
  <c r="BZ145" i="30"/>
  <c r="CB136" i="30"/>
  <c r="BZ128" i="30"/>
  <c r="BX121" i="30"/>
  <c r="BM155" i="30"/>
  <c r="BI150" i="30"/>
  <c r="BP144" i="30"/>
  <c r="BQ139" i="30"/>
  <c r="BN134" i="30"/>
  <c r="BL129" i="30"/>
  <c r="BH124" i="30"/>
  <c r="AY153" i="30"/>
  <c r="BD149" i="30"/>
  <c r="AX146" i="30"/>
  <c r="BA142" i="30"/>
  <c r="AV139" i="30"/>
  <c r="BA135" i="30"/>
  <c r="AW132" i="30"/>
  <c r="AT129" i="30"/>
  <c r="BA125" i="30"/>
  <c r="AU122" i="30"/>
  <c r="AM154" i="30"/>
  <c r="AP151" i="30"/>
  <c r="AG149" i="30"/>
  <c r="AJ146" i="30"/>
  <c r="AM143" i="30"/>
  <c r="AP140" i="30"/>
  <c r="AG138" i="30"/>
  <c r="AJ135" i="30"/>
  <c r="AM132" i="30"/>
  <c r="AP129" i="30"/>
  <c r="AG127" i="30"/>
  <c r="AJ124" i="30"/>
  <c r="AM121" i="30"/>
  <c r="CJ151" i="30"/>
  <c r="CL137" i="30"/>
  <c r="CL121" i="30"/>
  <c r="CE151" i="30"/>
  <c r="BZ144" i="30"/>
  <c r="CE135" i="30"/>
  <c r="CD127" i="30"/>
  <c r="BR154" i="30"/>
  <c r="BL149" i="30"/>
  <c r="BI144" i="30"/>
  <c r="BR138" i="30"/>
  <c r="BP133" i="30"/>
  <c r="BN128" i="30"/>
  <c r="BK123" i="30"/>
  <c r="AU153" i="30"/>
  <c r="AY149" i="30"/>
  <c r="BD145" i="30"/>
  <c r="AW142" i="30"/>
  <c r="BA138" i="30"/>
  <c r="AW135" i="30"/>
  <c r="BE131" i="30"/>
  <c r="BA128" i="30"/>
  <c r="AU125" i="30"/>
  <c r="BC121" i="30"/>
  <c r="AI154" i="30"/>
  <c r="AL151" i="30"/>
  <c r="AO148" i="30"/>
  <c r="AF146" i="30"/>
  <c r="AI143" i="30"/>
  <c r="AL140" i="30"/>
  <c r="AO137" i="30"/>
  <c r="AF135" i="30"/>
  <c r="AI132" i="30"/>
  <c r="AL129" i="30"/>
  <c r="AO126" i="30"/>
  <c r="AF124" i="30"/>
  <c r="AI121" i="30"/>
  <c r="CO146" i="30"/>
  <c r="CO133" i="30"/>
  <c r="CF149" i="30"/>
  <c r="BZ141" i="30"/>
  <c r="CB133" i="30"/>
  <c r="BY126" i="30"/>
  <c r="BM153" i="30"/>
  <c r="BJ148" i="30"/>
  <c r="BH143" i="30"/>
  <c r="BN137" i="30"/>
  <c r="BO132" i="30"/>
  <c r="BH127" i="30"/>
  <c r="BI122" i="30"/>
  <c r="BD155" i="30"/>
  <c r="AU152" i="30"/>
  <c r="AZ148" i="30"/>
  <c r="BE144" i="30"/>
  <c r="AW141" i="30"/>
  <c r="BE137" i="30"/>
  <c r="AZ134" i="30"/>
  <c r="BE130" i="30"/>
  <c r="BA127" i="30"/>
  <c r="AW124" i="30"/>
  <c r="BE120" i="30"/>
  <c r="AM153" i="30"/>
  <c r="AP150" i="30"/>
  <c r="AG148" i="30"/>
  <c r="AJ145" i="30"/>
  <c r="AM142" i="30"/>
  <c r="CM145" i="30"/>
  <c r="CK124" i="30"/>
  <c r="CD151" i="30"/>
  <c r="BY141" i="30"/>
  <c r="BZ132" i="30"/>
  <c r="CF121" i="30"/>
  <c r="BN153" i="30"/>
  <c r="BK147" i="30"/>
  <c r="BQ140" i="30"/>
  <c r="BK134" i="30"/>
  <c r="BM127" i="30"/>
  <c r="BJ121" i="30"/>
  <c r="CK145" i="30"/>
  <c r="CP123" i="30"/>
  <c r="CC151" i="30"/>
  <c r="BX141" i="30"/>
  <c r="BX132" i="30"/>
  <c r="BV121" i="30"/>
  <c r="BL153" i="30"/>
  <c r="BJ147" i="30"/>
  <c r="BP140" i="30"/>
  <c r="BI134" i="30"/>
  <c r="BL127" i="30"/>
  <c r="BI121" i="30"/>
  <c r="CK144" i="30"/>
  <c r="CO121" i="30"/>
  <c r="CA151" i="30"/>
  <c r="CG140" i="30"/>
  <c r="CF130" i="30"/>
  <c r="CA120" i="30"/>
  <c r="CS143" i="30"/>
  <c r="BW151" i="30"/>
  <c r="CC140" i="30"/>
  <c r="CC130" i="30"/>
  <c r="BR152" i="30"/>
  <c r="BP146" i="30"/>
  <c r="BM140" i="30"/>
  <c r="BL133" i="30"/>
  <c r="BS126" i="30"/>
  <c r="BP120" i="30"/>
  <c r="CO141" i="30"/>
  <c r="CB150" i="30"/>
  <c r="CB140" i="30"/>
  <c r="CA130" i="30"/>
  <c r="BQ152" i="30"/>
  <c r="BO146" i="30"/>
  <c r="BK140" i="30"/>
  <c r="BJ133" i="30"/>
  <c r="BR126" i="30"/>
  <c r="BO120" i="30"/>
  <c r="AU155" i="30"/>
  <c r="AT151" i="30"/>
  <c r="BC146" i="30"/>
  <c r="AX142" i="30"/>
  <c r="AV138" i="30"/>
  <c r="AT134" i="30"/>
  <c r="AU130" i="30"/>
  <c r="AX126" i="30"/>
  <c r="AT122" i="30"/>
  <c r="AQ152" i="30"/>
  <c r="AP149" i="30"/>
  <c r="AN146" i="30"/>
  <c r="AL143" i="30"/>
  <c r="AJ140" i="30"/>
  <c r="AJ137" i="30"/>
  <c r="AI134" i="30"/>
  <c r="AI131" i="30"/>
  <c r="AI128" i="30"/>
  <c r="AI125" i="30"/>
  <c r="AI122" i="30"/>
  <c r="AC153" i="30"/>
  <c r="U151" i="30"/>
  <c r="Y148" i="30"/>
  <c r="AC145" i="30"/>
  <c r="U143" i="30"/>
  <c r="Y140" i="30"/>
  <c r="AC137" i="30"/>
  <c r="U135" i="30"/>
  <c r="Y132" i="30"/>
  <c r="AC129" i="30"/>
  <c r="U127" i="30"/>
  <c r="Y124" i="30"/>
  <c r="AC121" i="30"/>
  <c r="CP137" i="30"/>
  <c r="CG148" i="30"/>
  <c r="CD139" i="30"/>
  <c r="BV128" i="30"/>
  <c r="BQ151" i="30"/>
  <c r="BN145" i="30"/>
  <c r="BO138" i="30"/>
  <c r="BM132" i="30"/>
  <c r="BL126" i="30"/>
  <c r="BA154" i="30"/>
  <c r="AX150" i="30"/>
  <c r="CN137" i="30"/>
  <c r="CF148" i="30"/>
  <c r="CC139" i="30"/>
  <c r="CE127" i="30"/>
  <c r="BP151" i="30"/>
  <c r="BI145" i="30"/>
  <c r="BM138" i="30"/>
  <c r="BK132" i="30"/>
  <c r="BK126" i="30"/>
  <c r="AY154" i="30"/>
  <c r="AW150" i="30"/>
  <c r="BB145" i="30"/>
  <c r="AZ141" i="30"/>
  <c r="AZ137" i="30"/>
  <c r="AY133" i="30"/>
  <c r="AZ129" i="30"/>
  <c r="AX125" i="30"/>
  <c r="AX121" i="30"/>
  <c r="AL155" i="30"/>
  <c r="AK152" i="30"/>
  <c r="AI149" i="30"/>
  <c r="AG146" i="30"/>
  <c r="AQ142" i="30"/>
  <c r="AO139" i="30"/>
  <c r="AO136" i="30"/>
  <c r="AO133" i="30"/>
  <c r="AO130" i="30"/>
  <c r="AO127" i="30"/>
  <c r="AN124" i="30"/>
  <c r="AN121" i="30"/>
  <c r="CQ151" i="30"/>
  <c r="CP133" i="30"/>
  <c r="CG146" i="30"/>
  <c r="CF135" i="30"/>
  <c r="CE126" i="30"/>
  <c r="BP149" i="30"/>
  <c r="BO143" i="30"/>
  <c r="BI137" i="30"/>
  <c r="BQ130" i="30"/>
  <c r="BN124" i="30"/>
  <c r="AX153" i="30"/>
  <c r="AU149" i="30"/>
  <c r="BD144" i="30"/>
  <c r="BC140" i="30"/>
  <c r="BA136" i="30"/>
  <c r="AZ132" i="30"/>
  <c r="AX128" i="30"/>
  <c r="AZ124" i="30"/>
  <c r="AZ120" i="30"/>
  <c r="CK128" i="30"/>
  <c r="CE155" i="30"/>
  <c r="BZ142" i="30"/>
  <c r="BZ127" i="30"/>
  <c r="BS154" i="30"/>
  <c r="BI147" i="30"/>
  <c r="BI138" i="30"/>
  <c r="BL130" i="30"/>
  <c r="BL122" i="30"/>
  <c r="AT155" i="30"/>
  <c r="AT150" i="30"/>
  <c r="AW145" i="30"/>
  <c r="BB140" i="30"/>
  <c r="AU136" i="30"/>
  <c r="BB131" i="30"/>
  <c r="AV127" i="30"/>
  <c r="AU123" i="30"/>
  <c r="AK153" i="30"/>
  <c r="AG150" i="30"/>
  <c r="AP146" i="30"/>
  <c r="AJ143" i="30"/>
  <c r="AF140" i="30"/>
  <c r="AN136" i="30"/>
  <c r="AL133" i="30"/>
  <c r="AJ130" i="30"/>
  <c r="AF127" i="30"/>
  <c r="AN123" i="30"/>
  <c r="AL120" i="30"/>
  <c r="Z153" i="30"/>
  <c r="AC150" i="30"/>
  <c r="T148" i="30"/>
  <c r="W145" i="30"/>
  <c r="Z142" i="30"/>
  <c r="AC139" i="30"/>
  <c r="T137" i="30"/>
  <c r="W134" i="30"/>
  <c r="Z131" i="30"/>
  <c r="AC128" i="30"/>
  <c r="T126" i="30"/>
  <c r="W123" i="30"/>
  <c r="Z120" i="30"/>
  <c r="CK152" i="30"/>
  <c r="CL127" i="30"/>
  <c r="CE154" i="30"/>
  <c r="BY142" i="30"/>
  <c r="BY127" i="30"/>
  <c r="BQ154" i="30"/>
  <c r="BN146" i="30"/>
  <c r="BS137" i="30"/>
  <c r="BK130" i="30"/>
  <c r="BH122" i="30"/>
  <c r="BD154" i="30"/>
  <c r="BC149" i="30"/>
  <c r="AV145" i="30"/>
  <c r="BA140" i="30"/>
  <c r="AT136" i="30"/>
  <c r="BA131" i="30"/>
  <c r="AU127" i="30"/>
  <c r="AT123" i="30"/>
  <c r="AJ153" i="30"/>
  <c r="AF150" i="30"/>
  <c r="AM146" i="30"/>
  <c r="AH143" i="30"/>
  <c r="AQ139" i="30"/>
  <c r="AM136" i="30"/>
  <c r="AK133" i="30"/>
  <c r="AH130" i="30"/>
  <c r="AQ126" i="30"/>
  <c r="AM123" i="30"/>
  <c r="AK120" i="30"/>
  <c r="Y153" i="30"/>
  <c r="AB150" i="30"/>
  <c r="S148" i="30"/>
  <c r="V145" i="30"/>
  <c r="Y142" i="30"/>
  <c r="AB139" i="30"/>
  <c r="S137" i="30"/>
  <c r="V134" i="30"/>
  <c r="Y131" i="30"/>
  <c r="AB128" i="30"/>
  <c r="S126" i="30"/>
  <c r="V123" i="30"/>
  <c r="Y120" i="30"/>
  <c r="CL151" i="30"/>
  <c r="CK127" i="30"/>
  <c r="CD154" i="30"/>
  <c r="BY140" i="30"/>
  <c r="BX127" i="30"/>
  <c r="BK154" i="30"/>
  <c r="BL146" i="30"/>
  <c r="BM137" i="30"/>
  <c r="BS129" i="30"/>
  <c r="BP121" i="30"/>
  <c r="BC154" i="30"/>
  <c r="BB149" i="30"/>
  <c r="AT145" i="30"/>
  <c r="AY140" i="30"/>
  <c r="BB135" i="30"/>
  <c r="AW131" i="30"/>
  <c r="BE126" i="30"/>
  <c r="BE122" i="30"/>
  <c r="CU150" i="30"/>
  <c r="CT126" i="30"/>
  <c r="CC154" i="30"/>
  <c r="BW140" i="30"/>
  <c r="BW127" i="30"/>
  <c r="BI154" i="30"/>
  <c r="BJ146" i="30"/>
  <c r="BL137" i="30"/>
  <c r="BQ129" i="30"/>
  <c r="BN121" i="30"/>
  <c r="CR150" i="30"/>
  <c r="CO126" i="30"/>
  <c r="BZ154" i="30"/>
  <c r="BV140" i="30"/>
  <c r="CF125" i="30"/>
  <c r="BR153" i="30"/>
  <c r="BP145" i="30"/>
  <c r="BS136" i="30"/>
  <c r="BS128" i="30"/>
  <c r="BR120" i="30"/>
  <c r="CQ150" i="30"/>
  <c r="CN126" i="30"/>
  <c r="BY154" i="30"/>
  <c r="CF139" i="30"/>
  <c r="CD124" i="30"/>
  <c r="BQ153" i="30"/>
  <c r="BO144" i="30"/>
  <c r="BR136" i="30"/>
  <c r="BR128" i="30"/>
  <c r="BN120" i="30"/>
  <c r="AW154" i="30"/>
  <c r="AV149" i="30"/>
  <c r="AY144" i="30"/>
  <c r="AU140" i="30"/>
  <c r="AX135" i="30"/>
  <c r="BD130" i="30"/>
  <c r="BB126" i="30"/>
  <c r="AX122" i="30"/>
  <c r="CN150" i="30"/>
  <c r="CO125" i="30"/>
  <c r="CC153" i="30"/>
  <c r="CG138" i="30"/>
  <c r="CC124" i="30"/>
  <c r="BP153" i="30"/>
  <c r="BN144" i="30"/>
  <c r="BQ136" i="30"/>
  <c r="BP128" i="30"/>
  <c r="BM120" i="30"/>
  <c r="AU154" i="30"/>
  <c r="AT149" i="30"/>
  <c r="AX144" i="30"/>
  <c r="AT140" i="30"/>
  <c r="AV135" i="30"/>
  <c r="BC130" i="30"/>
  <c r="BA126" i="30"/>
  <c r="BE121" i="30"/>
  <c r="AO152" i="30"/>
  <c r="AK149" i="30"/>
  <c r="AQ145" i="30"/>
  <c r="AN142" i="30"/>
  <c r="AJ139" i="30"/>
  <c r="AH136" i="30"/>
  <c r="AQ132" i="30"/>
  <c r="AN129" i="30"/>
  <c r="AJ126" i="30"/>
  <c r="AH123" i="30"/>
  <c r="AF120" i="30"/>
  <c r="CM147" i="30"/>
  <c r="BX152" i="30"/>
  <c r="CE137" i="30"/>
  <c r="BW124" i="30"/>
  <c r="BK152" i="30"/>
  <c r="BS143" i="30"/>
  <c r="BL136" i="30"/>
  <c r="BI128" i="30"/>
  <c r="BA153" i="30"/>
  <c r="BA148" i="30"/>
  <c r="AT144" i="30"/>
  <c r="AZ139" i="30"/>
  <c r="BE134" i="30"/>
  <c r="AZ130" i="30"/>
  <c r="AW126" i="30"/>
  <c r="BA121" i="30"/>
  <c r="AO155" i="30"/>
  <c r="AL152" i="30"/>
  <c r="AF149" i="30"/>
  <c r="AN145" i="30"/>
  <c r="AI142" i="30"/>
  <c r="AG139" i="30"/>
  <c r="AQ135" i="30"/>
  <c r="AN132" i="30"/>
  <c r="AJ129" i="30"/>
  <c r="AG126" i="30"/>
  <c r="AQ122" i="30"/>
  <c r="Z155" i="30"/>
  <c r="AC152" i="30"/>
  <c r="T150" i="30"/>
  <c r="W147" i="30"/>
  <c r="Z144" i="30"/>
  <c r="AC141" i="30"/>
  <c r="T139" i="30"/>
  <c r="W136" i="30"/>
  <c r="Z133" i="30"/>
  <c r="AC130" i="30"/>
  <c r="T128" i="30"/>
  <c r="W125" i="30"/>
  <c r="Z122" i="30"/>
  <c r="CL141" i="30"/>
  <c r="CC148" i="30"/>
  <c r="BV133" i="30"/>
  <c r="BH155" i="30"/>
  <c r="BR142" i="30"/>
  <c r="BI132" i="30"/>
  <c r="BN122" i="30"/>
  <c r="BA150" i="30"/>
  <c r="BE143" i="30"/>
  <c r="AX138" i="30"/>
  <c r="AT133" i="30"/>
  <c r="BC127" i="30"/>
  <c r="BD121" i="30"/>
  <c r="AJ152" i="30"/>
  <c r="AL148" i="30"/>
  <c r="AO144" i="30"/>
  <c r="AG141" i="30"/>
  <c r="AK137" i="30"/>
  <c r="AN133" i="30"/>
  <c r="AQ129" i="30"/>
  <c r="AF126" i="30"/>
  <c r="AL122" i="30"/>
  <c r="CK141" i="30"/>
  <c r="BZ148" i="30"/>
  <c r="CG132" i="30"/>
  <c r="BH153" i="30"/>
  <c r="BQ142" i="30"/>
  <c r="BR131" i="30"/>
  <c r="BL120" i="30"/>
  <c r="AZ150" i="30"/>
  <c r="BD143" i="30"/>
  <c r="AW138" i="30"/>
  <c r="BE132" i="30"/>
  <c r="AZ127" i="30"/>
  <c r="BB121" i="30"/>
  <c r="AH152" i="30"/>
  <c r="AK148" i="30"/>
  <c r="AN144" i="30"/>
  <c r="AF141" i="30"/>
  <c r="AI137" i="30"/>
  <c r="AM133" i="30"/>
  <c r="AO129" i="30"/>
  <c r="AQ125" i="30"/>
  <c r="AK122" i="30"/>
  <c r="CT139" i="30"/>
  <c r="BX148" i="30"/>
  <c r="CE132" i="30"/>
  <c r="BP152" i="30"/>
  <c r="BN142" i="30"/>
  <c r="BP131" i="30"/>
  <c r="CR137" i="30"/>
  <c r="BW148" i="30"/>
  <c r="BW130" i="30"/>
  <c r="BJ152" i="30"/>
  <c r="BH142" i="30"/>
  <c r="BL131" i="30"/>
  <c r="CR134" i="30"/>
  <c r="CC147" i="30"/>
  <c r="BV130" i="30"/>
  <c r="BH152" i="30"/>
  <c r="BQ141" i="30"/>
  <c r="BK131" i="30"/>
  <c r="CQ134" i="30"/>
  <c r="CB146" i="30"/>
  <c r="BZ129" i="30"/>
  <c r="BO151" i="30"/>
  <c r="BM141" i="30"/>
  <c r="BS130" i="30"/>
  <c r="CP134" i="30"/>
  <c r="BZ146" i="30"/>
  <c r="BX128" i="30"/>
  <c r="BN151" i="30"/>
  <c r="BL141" i="30"/>
  <c r="BP130" i="30"/>
  <c r="AX155" i="30"/>
  <c r="AY148" i="30"/>
  <c r="AV143" i="30"/>
  <c r="BB137" i="30"/>
  <c r="AU132" i="30"/>
  <c r="AZ126" i="30"/>
  <c r="BD120" i="30"/>
  <c r="AK155" i="30"/>
  <c r="AN151" i="30"/>
  <c r="AQ147" i="30"/>
  <c r="AI144" i="30"/>
  <c r="AK140" i="30"/>
  <c r="AL136" i="30"/>
  <c r="AP132" i="30"/>
  <c r="AF129" i="30"/>
  <c r="AL125" i="30"/>
  <c r="AP121" i="30"/>
  <c r="CQ133" i="30"/>
  <c r="BX145" i="30"/>
  <c r="CB124" i="30"/>
  <c r="BH151" i="30"/>
  <c r="BS140" i="30"/>
  <c r="BK128" i="30"/>
  <c r="AX154" i="30"/>
  <c r="AT148" i="30"/>
  <c r="AZ142" i="30"/>
  <c r="AV137" i="30"/>
  <c r="BC131" i="30"/>
  <c r="BE125" i="30"/>
  <c r="AY120" i="30"/>
  <c r="AH155" i="30"/>
  <c r="AJ151" i="30"/>
  <c r="AM147" i="30"/>
  <c r="AQ143" i="30"/>
  <c r="AG140" i="30"/>
  <c r="AI136" i="30"/>
  <c r="AK132" i="30"/>
  <c r="AO128" i="30"/>
  <c r="AH125" i="30"/>
  <c r="AK121" i="30"/>
  <c r="V153" i="30"/>
  <c r="V150" i="30"/>
  <c r="U147" i="30"/>
  <c r="U144" i="30"/>
  <c r="U141" i="30"/>
  <c r="U138" i="30"/>
  <c r="T135" i="30"/>
  <c r="T132" i="30"/>
  <c r="T129" i="30"/>
  <c r="R126" i="30"/>
  <c r="R123" i="30"/>
  <c r="R120" i="30"/>
  <c r="CJ125" i="30"/>
  <c r="BY146" i="30"/>
  <c r="CA122" i="30"/>
  <c r="BQ148" i="30"/>
  <c r="BH135" i="30"/>
  <c r="BC151" i="30"/>
  <c r="AX145" i="30"/>
  <c r="AY138" i="30"/>
  <c r="AV132" i="30"/>
  <c r="AY125" i="30"/>
  <c r="AG154" i="30"/>
  <c r="AO149" i="30"/>
  <c r="AI145" i="30"/>
  <c r="AH141" i="30"/>
  <c r="AP136" i="30"/>
  <c r="AH132" i="30"/>
  <c r="AH128" i="30"/>
  <c r="AG124" i="30"/>
  <c r="CC145" i="30"/>
  <c r="BZ122" i="30"/>
  <c r="BO148" i="30"/>
  <c r="BS134" i="30"/>
  <c r="BB151" i="30"/>
  <c r="BA144" i="30"/>
  <c r="AU138" i="30"/>
  <c r="AT132" i="30"/>
  <c r="AW125" i="30"/>
  <c r="BW145" i="30"/>
  <c r="BY122" i="30"/>
  <c r="BN148" i="30"/>
  <c r="BL134" i="30"/>
  <c r="AZ151" i="30"/>
  <c r="AZ144" i="30"/>
  <c r="AT138" i="30"/>
  <c r="BD131" i="30"/>
  <c r="AT125" i="30"/>
  <c r="AQ153" i="30"/>
  <c r="AM149" i="30"/>
  <c r="AF145" i="30"/>
  <c r="AO140" i="30"/>
  <c r="AJ136" i="30"/>
  <c r="AF132" i="30"/>
  <c r="AF128" i="30"/>
  <c r="AO123" i="30"/>
  <c r="BV145" i="30"/>
  <c r="BK148" i="30"/>
  <c r="BM133" i="30"/>
  <c r="AY151" i="30"/>
  <c r="AV144" i="30"/>
  <c r="BD137" i="30"/>
  <c r="AV131" i="30"/>
  <c r="BD124" i="30"/>
  <c r="AP153" i="30"/>
  <c r="AJ149" i="30"/>
  <c r="AQ144" i="30"/>
  <c r="AN140" i="30"/>
  <c r="AG136" i="30"/>
  <c r="AQ131" i="30"/>
  <c r="AQ127" i="30"/>
  <c r="AL123" i="30"/>
  <c r="AA153" i="30"/>
  <c r="X150" i="30"/>
  <c r="V147" i="30"/>
  <c r="T144" i="30"/>
  <c r="S141" i="30"/>
  <c r="R138" i="30"/>
  <c r="AB134" i="30"/>
  <c r="AA131" i="30"/>
  <c r="X128" i="30"/>
  <c r="V125" i="30"/>
  <c r="U122" i="30"/>
  <c r="CF143" i="30"/>
  <c r="BI148" i="30"/>
  <c r="BS132" i="30"/>
  <c r="AX151" i="30"/>
  <c r="AU144" i="30"/>
  <c r="BC137" i="30"/>
  <c r="AU131" i="30"/>
  <c r="BC124" i="30"/>
  <c r="AO153" i="30"/>
  <c r="AH149" i="30"/>
  <c r="AP144" i="30"/>
  <c r="AM140" i="30"/>
  <c r="AF136" i="30"/>
  <c r="AO131" i="30"/>
  <c r="AP127" i="30"/>
  <c r="AK123" i="30"/>
  <c r="CF138" i="30"/>
  <c r="CE138" i="30"/>
  <c r="BH144" i="30"/>
  <c r="BJ128" i="30"/>
  <c r="AX149" i="30"/>
  <c r="BB142" i="30"/>
  <c r="AZ136" i="30"/>
  <c r="BD129" i="30"/>
  <c r="BE123" i="30"/>
  <c r="AP152" i="30"/>
  <c r="AI148" i="30"/>
  <c r="AG144" i="30"/>
  <c r="AK139" i="30"/>
  <c r="AI135" i="30"/>
  <c r="AH131" i="30"/>
  <c r="AH127" i="30"/>
  <c r="AO122" i="30"/>
  <c r="AB152" i="30"/>
  <c r="AA149" i="30"/>
  <c r="Z146" i="30"/>
  <c r="Y143" i="30"/>
  <c r="W140" i="30"/>
  <c r="V137" i="30"/>
  <c r="S134" i="30"/>
  <c r="R131" i="30"/>
  <c r="AB127" i="30"/>
  <c r="AA124" i="30"/>
  <c r="Y121" i="30"/>
  <c r="BY136" i="30"/>
  <c r="BP143" i="30"/>
  <c r="BS127" i="30"/>
  <c r="BD148" i="30"/>
  <c r="AY142" i="30"/>
  <c r="AY136" i="30"/>
  <c r="BC129" i="30"/>
  <c r="BD123" i="30"/>
  <c r="AN152" i="30"/>
  <c r="AH148" i="30"/>
  <c r="AP143" i="30"/>
  <c r="AI139" i="30"/>
  <c r="AH135" i="30"/>
  <c r="AG131" i="30"/>
  <c r="AP126" i="30"/>
  <c r="AN122" i="30"/>
  <c r="CD123" i="30"/>
  <c r="BK138" i="30"/>
  <c r="BP122" i="30"/>
  <c r="AT153" i="30"/>
  <c r="BA145" i="30"/>
  <c r="AX136" i="30"/>
  <c r="BB128" i="30"/>
  <c r="BA120" i="30"/>
  <c r="AM155" i="30"/>
  <c r="AM150" i="30"/>
  <c r="AG145" i="30"/>
  <c r="AH139" i="30"/>
  <c r="AK134" i="30"/>
  <c r="AG129" i="30"/>
  <c r="AI124" i="30"/>
  <c r="U153" i="30"/>
  <c r="AC149" i="30"/>
  <c r="Y146" i="30"/>
  <c r="V143" i="30"/>
  <c r="R140" i="30"/>
  <c r="Y136" i="30"/>
  <c r="U133" i="30"/>
  <c r="R130" i="30"/>
  <c r="Z126" i="30"/>
  <c r="U123" i="30"/>
  <c r="BV123" i="30"/>
  <c r="BN136" i="30"/>
  <c r="BE152" i="30"/>
  <c r="AY145" i="30"/>
  <c r="AZ135" i="30"/>
  <c r="AW128" i="30"/>
  <c r="AX120" i="30"/>
  <c r="CG122" i="30"/>
  <c r="BM136" i="30"/>
  <c r="CF122" i="30"/>
  <c r="BI136" i="30"/>
  <c r="BA152" i="30"/>
  <c r="BB143" i="30"/>
  <c r="AU135" i="30"/>
  <c r="AT128" i="30"/>
  <c r="AV120" i="30"/>
  <c r="BS135" i="30"/>
  <c r="AY152" i="30"/>
  <c r="BA143" i="30"/>
  <c r="AT135" i="30"/>
  <c r="BE127" i="30"/>
  <c r="AU120" i="30"/>
  <c r="AQ154" i="30"/>
  <c r="AH150" i="30"/>
  <c r="AJ144" i="30"/>
  <c r="AO138" i="30"/>
  <c r="AF134" i="30"/>
  <c r="AM128" i="30"/>
  <c r="AI123" i="30"/>
  <c r="CP147" i="30"/>
  <c r="CC149" i="30"/>
  <c r="BS150" i="30"/>
  <c r="BQ132" i="30"/>
  <c r="AW151" i="30"/>
  <c r="BD141" i="30"/>
  <c r="AV134" i="30"/>
  <c r="BC126" i="30"/>
  <c r="AK154" i="30"/>
  <c r="AN148" i="30"/>
  <c r="AG143" i="30"/>
  <c r="AI138" i="30"/>
  <c r="AH133" i="30"/>
  <c r="AN127" i="30"/>
  <c r="AJ122" i="30"/>
  <c r="Y155" i="30"/>
  <c r="V152" i="30"/>
  <c r="S149" i="30"/>
  <c r="AA145" i="30"/>
  <c r="V142" i="30"/>
  <c r="R139" i="30"/>
  <c r="AA135" i="30"/>
  <c r="W132" i="30"/>
  <c r="S129" i="30"/>
  <c r="Z125" i="30"/>
  <c r="V122" i="30"/>
  <c r="CU133" i="30"/>
  <c r="BY135" i="30"/>
  <c r="BM147" i="30"/>
  <c r="BM126" i="30"/>
  <c r="BE147" i="30"/>
  <c r="BD140" i="30"/>
  <c r="BC132" i="30"/>
  <c r="AT124" i="30"/>
  <c r="AF153" i="30"/>
  <c r="AJ147" i="30"/>
  <c r="AF142" i="30"/>
  <c r="AG137" i="30"/>
  <c r="AL131" i="30"/>
  <c r="AI126" i="30"/>
  <c r="AF121" i="30"/>
  <c r="AC154" i="30"/>
  <c r="Z151" i="30"/>
  <c r="V148" i="30"/>
  <c r="AC144" i="30"/>
  <c r="Y141" i="30"/>
  <c r="V138" i="30"/>
  <c r="AC134" i="30"/>
  <c r="W131" i="30"/>
  <c r="S128" i="30"/>
  <c r="AB124" i="30"/>
  <c r="W121" i="30"/>
  <c r="CJ130" i="30"/>
  <c r="BY134" i="30"/>
  <c r="BM143" i="30"/>
  <c r="BI125" i="30"/>
  <c r="AZ147" i="30"/>
  <c r="BA139" i="30"/>
  <c r="BA130" i="30"/>
  <c r="AZ123" i="30"/>
  <c r="AQ151" i="30"/>
  <c r="AF147" i="30"/>
  <c r="AN141" i="30"/>
  <c r="AP135" i="30"/>
  <c r="AQ130" i="30"/>
  <c r="AN125" i="30"/>
  <c r="AN120" i="30"/>
  <c r="Y154" i="30"/>
  <c r="V151" i="30"/>
  <c r="AB147" i="30"/>
  <c r="X144" i="30"/>
  <c r="T141" i="30"/>
  <c r="AA137" i="30"/>
  <c r="X134" i="30"/>
  <c r="S131" i="30"/>
  <c r="Z127" i="30"/>
  <c r="V124" i="30"/>
  <c r="S121" i="30"/>
  <c r="CM128" i="30"/>
  <c r="BX134" i="30"/>
  <c r="BL143" i="30"/>
  <c r="BS124" i="30"/>
  <c r="CA127" i="30"/>
  <c r="BK141" i="30"/>
  <c r="AT147" i="30"/>
  <c r="AY135" i="30"/>
  <c r="BC125" i="30"/>
  <c r="AI151" i="30"/>
  <c r="AL145" i="30"/>
  <c r="AN138" i="30"/>
  <c r="AO132" i="30"/>
  <c r="AK126" i="30"/>
  <c r="AJ120" i="30"/>
  <c r="AA152" i="30"/>
  <c r="T149" i="30"/>
  <c r="U145" i="30"/>
  <c r="X141" i="30"/>
  <c r="Y137" i="30"/>
  <c r="AA133" i="30"/>
  <c r="S130" i="30"/>
  <c r="V126" i="30"/>
  <c r="W122" i="30"/>
  <c r="CS147" i="30"/>
  <c r="BZ124" i="30"/>
  <c r="BH141" i="30"/>
  <c r="BE146" i="30"/>
  <c r="BD134" i="30"/>
  <c r="BB124" i="30"/>
  <c r="CN146" i="30"/>
  <c r="CE123" i="30"/>
  <c r="BO140" i="30"/>
  <c r="BB146" i="30"/>
  <c r="BC134" i="30"/>
  <c r="BA124" i="30"/>
  <c r="AG151" i="30"/>
  <c r="AM144" i="30"/>
  <c r="AK138" i="30"/>
  <c r="AJ132" i="30"/>
  <c r="AP125" i="30"/>
  <c r="AH120" i="30"/>
  <c r="CM146" i="30"/>
  <c r="BP139" i="30"/>
  <c r="AY146" i="30"/>
  <c r="BA134" i="30"/>
  <c r="AX124" i="30"/>
  <c r="AF151" i="30"/>
  <c r="AL144" i="30"/>
  <c r="AJ138" i="30"/>
  <c r="AG132" i="30"/>
  <c r="AO125" i="30"/>
  <c r="AG120" i="30"/>
  <c r="X152" i="30"/>
  <c r="AB148" i="30"/>
  <c r="R145" i="30"/>
  <c r="R141" i="30"/>
  <c r="U137" i="30"/>
  <c r="W133" i="30"/>
  <c r="Z129" i="30"/>
  <c r="AB125" i="30"/>
  <c r="R122" i="30"/>
  <c r="CU145" i="30"/>
  <c r="BO139" i="30"/>
  <c r="AV146" i="30"/>
  <c r="AX134" i="30"/>
  <c r="AV124" i="30"/>
  <c r="AQ150" i="30"/>
  <c r="AK144" i="30"/>
  <c r="AH138" i="30"/>
  <c r="AN131" i="30"/>
  <c r="AM125" i="30"/>
  <c r="CR145" i="30"/>
  <c r="BH139" i="30"/>
  <c r="CQ145" i="30"/>
  <c r="BP138" i="30"/>
  <c r="BC155" i="30"/>
  <c r="AT146" i="30"/>
  <c r="BC133" i="30"/>
  <c r="BB123" i="30"/>
  <c r="CU132" i="30"/>
  <c r="BN135" i="30"/>
  <c r="BB154" i="30"/>
  <c r="AU143" i="30"/>
  <c r="AZ133" i="30"/>
  <c r="AW123" i="30"/>
  <c r="AI150" i="30"/>
  <c r="AF143" i="30"/>
  <c r="AM137" i="30"/>
  <c r="AP130" i="30"/>
  <c r="AQ124" i="30"/>
  <c r="X155" i="30"/>
  <c r="AC151" i="30"/>
  <c r="R148" i="30"/>
  <c r="S144" i="30"/>
  <c r="V140" i="30"/>
  <c r="X136" i="30"/>
  <c r="AB132" i="30"/>
  <c r="R129" i="30"/>
  <c r="S125" i="30"/>
  <c r="U121" i="30"/>
  <c r="CB142" i="30"/>
  <c r="BO149" i="30"/>
  <c r="BK125" i="30"/>
  <c r="BB150" i="30"/>
  <c r="BC139" i="30"/>
  <c r="AW129" i="30"/>
  <c r="AF154" i="30"/>
  <c r="AI147" i="30"/>
  <c r="AK141" i="30"/>
  <c r="AO134" i="30"/>
  <c r="AN128" i="30"/>
  <c r="AH122" i="30"/>
  <c r="V154" i="30"/>
  <c r="W150" i="30"/>
  <c r="X146" i="30"/>
  <c r="AB142" i="30"/>
  <c r="AC138" i="30"/>
  <c r="V135" i="30"/>
  <c r="U131" i="30"/>
  <c r="W127" i="30"/>
  <c r="AA123" i="30"/>
  <c r="CL134" i="30"/>
  <c r="BV143" i="30"/>
  <c r="BO130" i="30"/>
  <c r="AW148" i="30"/>
  <c r="BB133" i="30"/>
  <c r="AT121" i="30"/>
  <c r="AO154" i="30"/>
  <c r="AG147" i="30"/>
  <c r="AF139" i="30"/>
  <c r="AJ131" i="30"/>
  <c r="AH124" i="30"/>
  <c r="S154" i="30"/>
  <c r="X149" i="30"/>
  <c r="T145" i="30"/>
  <c r="AA140" i="30"/>
  <c r="U136" i="30"/>
  <c r="S132" i="30"/>
  <c r="Y127" i="30"/>
  <c r="X123" i="30"/>
  <c r="CP130" i="30"/>
  <c r="CF142" i="30"/>
  <c r="BM130" i="30"/>
  <c r="BD147" i="30"/>
  <c r="BA133" i="30"/>
  <c r="BB120" i="30"/>
  <c r="AN154" i="30"/>
  <c r="AQ146" i="30"/>
  <c r="AQ138" i="30"/>
  <c r="AF131" i="30"/>
  <c r="AQ123" i="30"/>
  <c r="R154" i="30"/>
  <c r="W149" i="30"/>
  <c r="S145" i="30"/>
  <c r="Z140" i="30"/>
  <c r="T136" i="30"/>
  <c r="R132" i="30"/>
  <c r="X127" i="30"/>
  <c r="T123" i="30"/>
  <c r="CO130" i="30"/>
  <c r="CE142" i="30"/>
  <c r="BX135" i="30"/>
  <c r="BP126" i="30"/>
  <c r="AX147" i="30"/>
  <c r="BA132" i="30"/>
  <c r="AH154" i="30"/>
  <c r="AI146" i="30"/>
  <c r="AF138" i="30"/>
  <c r="AL130" i="30"/>
  <c r="AF123" i="30"/>
  <c r="W153" i="30"/>
  <c r="R149" i="30"/>
  <c r="Y144" i="30"/>
  <c r="T140" i="30"/>
  <c r="AC135" i="30"/>
  <c r="X131" i="30"/>
  <c r="S127" i="30"/>
  <c r="AB122" i="30"/>
  <c r="CD134" i="30"/>
  <c r="BI126" i="30"/>
  <c r="AV147" i="30"/>
  <c r="BB130" i="30"/>
  <c r="AL153" i="30"/>
  <c r="AP145" i="30"/>
  <c r="AP137" i="30"/>
  <c r="AG130" i="30"/>
  <c r="AM122" i="30"/>
  <c r="BZ133" i="30"/>
  <c r="BM124" i="30"/>
  <c r="AY143" i="30"/>
  <c r="AT130" i="30"/>
  <c r="AM152" i="30"/>
  <c r="AK145" i="30"/>
  <c r="AF137" i="30"/>
  <c r="AK129" i="30"/>
  <c r="AO121" i="30"/>
  <c r="BY133" i="30"/>
  <c r="BO123" i="30"/>
  <c r="AV142" i="30"/>
  <c r="BB129" i="30"/>
  <c r="AG152" i="30"/>
  <c r="AH144" i="30"/>
  <c r="AQ136" i="30"/>
  <c r="AI129" i="30"/>
  <c r="AL121" i="30"/>
  <c r="W152" i="30"/>
  <c r="U148" i="30"/>
  <c r="AA143" i="30"/>
  <c r="W139" i="30"/>
  <c r="S135" i="30"/>
  <c r="Y130" i="30"/>
  <c r="X126" i="30"/>
  <c r="AB121" i="30"/>
  <c r="BQ147" i="30"/>
  <c r="AV153" i="30"/>
  <c r="AW139" i="30"/>
  <c r="AY126" i="30"/>
  <c r="BL144" i="30"/>
  <c r="AT152" i="30"/>
  <c r="AX133" i="30"/>
  <c r="AN147" i="30"/>
  <c r="AQ137" i="30"/>
  <c r="AK128" i="30"/>
  <c r="V155" i="30"/>
  <c r="Z150" i="30"/>
  <c r="AB145" i="30"/>
  <c r="X140" i="30"/>
  <c r="Y135" i="30"/>
  <c r="W130" i="30"/>
  <c r="X125" i="30"/>
  <c r="X120" i="30"/>
  <c r="BN143" i="30"/>
  <c r="BD151" i="30"/>
  <c r="AU133" i="30"/>
  <c r="AL147" i="30"/>
  <c r="AN137" i="30"/>
  <c r="AJ128" i="30"/>
  <c r="BP132" i="30"/>
  <c r="BB147" i="30"/>
  <c r="AU129" i="30"/>
  <c r="AI155" i="30"/>
  <c r="AO145" i="30"/>
  <c r="AK135" i="30"/>
  <c r="AN126" i="30"/>
  <c r="BJ127" i="30"/>
  <c r="BA147" i="30"/>
  <c r="BE128" i="30"/>
  <c r="AG155" i="30"/>
  <c r="AM145" i="30"/>
  <c r="AG135" i="30"/>
  <c r="AM126" i="30"/>
  <c r="CA150" i="30"/>
  <c r="BX150" i="30"/>
  <c r="AX140" i="30"/>
  <c r="BB122" i="30"/>
  <c r="AO150" i="30"/>
  <c r="AO141" i="30"/>
  <c r="AG133" i="30"/>
  <c r="AP122" i="30"/>
  <c r="T152" i="30"/>
  <c r="T147" i="30"/>
  <c r="W142" i="30"/>
  <c r="X137" i="30"/>
  <c r="Z132" i="30"/>
  <c r="V127" i="30"/>
  <c r="X122" i="30"/>
  <c r="BN123" i="30"/>
  <c r="BE153" i="30"/>
  <c r="BD133" i="30"/>
  <c r="AK146" i="30"/>
  <c r="AM134" i="30"/>
  <c r="AK124" i="30"/>
  <c r="U155" i="30"/>
  <c r="S150" i="30"/>
  <c r="AA144" i="30"/>
  <c r="V139" i="30"/>
  <c r="R134" i="30"/>
  <c r="AA128" i="30"/>
  <c r="AB123" i="30"/>
  <c r="BM123" i="30"/>
  <c r="BC153" i="30"/>
  <c r="AX132" i="30"/>
  <c r="AH146" i="30"/>
  <c r="AJ134" i="30"/>
  <c r="AJ123" i="30"/>
  <c r="BJ123" i="30"/>
  <c r="AW153" i="30"/>
  <c r="AX130" i="30"/>
  <c r="AO143" i="30"/>
  <c r="AH134" i="30"/>
  <c r="AG123" i="30"/>
  <c r="S155" i="30"/>
  <c r="AB149" i="30"/>
  <c r="V144" i="30"/>
  <c r="S139" i="30"/>
  <c r="AB133" i="30"/>
  <c r="Y128" i="30"/>
  <c r="Y123" i="30"/>
  <c r="BC148" i="30"/>
  <c r="AY127" i="30"/>
  <c r="AJ154" i="30"/>
  <c r="AH142" i="30"/>
  <c r="AM131" i="30"/>
  <c r="AO120" i="30"/>
  <c r="AX148" i="30"/>
  <c r="AW127" i="30"/>
  <c r="AN153" i="30"/>
  <c r="AG142" i="30"/>
  <c r="AK131" i="30"/>
  <c r="AM120" i="30"/>
  <c r="T154" i="30"/>
  <c r="X148" i="30"/>
  <c r="S143" i="30"/>
  <c r="S138" i="30"/>
  <c r="AA132" i="30"/>
  <c r="R127" i="30"/>
  <c r="Z121" i="30"/>
  <c r="BV149" i="30"/>
  <c r="BN149" i="30"/>
  <c r="AX141" i="30"/>
  <c r="AZ122" i="30"/>
  <c r="AH151" i="30"/>
  <c r="AI140" i="30"/>
  <c r="AP128" i="30"/>
  <c r="Y152" i="30"/>
  <c r="S147" i="30"/>
  <c r="S142" i="30"/>
  <c r="AA136" i="30"/>
  <c r="T131" i="30"/>
  <c r="AC125" i="30"/>
  <c r="AA120" i="30"/>
  <c r="CD148" i="30"/>
  <c r="BJ149" i="30"/>
  <c r="AV141" i="30"/>
  <c r="AY121" i="30"/>
  <c r="AN150" i="30"/>
  <c r="AH140" i="30"/>
  <c r="AL128" i="30"/>
  <c r="U152" i="30"/>
  <c r="R147" i="30"/>
  <c r="R142" i="30"/>
  <c r="Z136" i="30"/>
  <c r="AB130" i="30"/>
  <c r="AA125" i="30"/>
  <c r="W120" i="30"/>
  <c r="CC133" i="30"/>
  <c r="BN147" i="30"/>
  <c r="BE140" i="30"/>
  <c r="AW120" i="30"/>
  <c r="AQ149" i="30"/>
  <c r="AL139" i="30"/>
  <c r="AK127" i="30"/>
  <c r="AB151" i="30"/>
  <c r="AA146" i="30"/>
  <c r="Z141" i="30"/>
  <c r="R136" i="30"/>
  <c r="X130" i="30"/>
  <c r="T125" i="30"/>
  <c r="T120" i="30"/>
  <c r="AX152" i="30"/>
  <c r="BA123" i="30"/>
  <c r="AH147" i="30"/>
  <c r="AN130" i="30"/>
  <c r="W155" i="30"/>
  <c r="AC148" i="30"/>
  <c r="X142" i="30"/>
  <c r="Z135" i="30"/>
  <c r="W129" i="30"/>
  <c r="AA122" i="30"/>
  <c r="AV152" i="30"/>
  <c r="AX123" i="30"/>
  <c r="AL146" i="30"/>
  <c r="AM130" i="30"/>
  <c r="T155" i="30"/>
  <c r="AA148" i="30"/>
  <c r="U142" i="30"/>
  <c r="X135" i="30"/>
  <c r="V129" i="30"/>
  <c r="Y122" i="30"/>
  <c r="BQ155" i="30"/>
  <c r="AU151" i="30"/>
  <c r="AV123" i="30"/>
  <c r="AN143" i="30"/>
  <c r="AK130" i="30"/>
  <c r="R155" i="30"/>
  <c r="Z148" i="30"/>
  <c r="T142" i="30"/>
  <c r="W135" i="30"/>
  <c r="U129" i="30"/>
  <c r="T122" i="30"/>
  <c r="BJ155" i="30"/>
  <c r="BE150" i="30"/>
  <c r="AW121" i="30"/>
  <c r="AK143" i="30"/>
  <c r="AF130" i="30"/>
  <c r="AB154" i="30"/>
  <c r="W148" i="30"/>
  <c r="AB141" i="30"/>
  <c r="R135" i="30"/>
  <c r="Z128" i="30"/>
  <c r="S122" i="30"/>
  <c r="BL151" i="30"/>
  <c r="BA149" i="30"/>
  <c r="AU121" i="30"/>
  <c r="AP142" i="30"/>
  <c r="AM129" i="30"/>
  <c r="AA154" i="30"/>
  <c r="AC147" i="30"/>
  <c r="AA141" i="30"/>
  <c r="AA134" i="30"/>
  <c r="W128" i="30"/>
  <c r="AA121" i="30"/>
  <c r="BS142" i="30"/>
  <c r="BC141" i="30"/>
  <c r="AP141" i="30"/>
  <c r="AI127" i="30"/>
  <c r="AB153" i="30"/>
  <c r="AC146" i="30"/>
  <c r="U140" i="30"/>
  <c r="AC133" i="30"/>
  <c r="AA127" i="30"/>
  <c r="AC120" i="30"/>
  <c r="BX133" i="30"/>
  <c r="BP124" i="30"/>
  <c r="AZ138" i="30"/>
  <c r="AG153" i="30"/>
  <c r="AM138" i="30"/>
  <c r="AL124" i="30"/>
  <c r="AA151" i="30"/>
  <c r="Z145" i="30"/>
  <c r="AA138" i="30"/>
  <c r="X132" i="30"/>
  <c r="Y125" i="30"/>
  <c r="BD136" i="30"/>
  <c r="AK151" i="30"/>
  <c r="AM135" i="30"/>
  <c r="AG121" i="30"/>
  <c r="T151" i="30"/>
  <c r="W144" i="30"/>
  <c r="W138" i="30"/>
  <c r="AB131" i="30"/>
  <c r="Z124" i="30"/>
  <c r="BR132" i="30"/>
  <c r="AQ140" i="30"/>
  <c r="AP120" i="30"/>
  <c r="AA155" i="30"/>
  <c r="U146" i="30"/>
  <c r="AB137" i="30"/>
  <c r="X129" i="30"/>
  <c r="S120" i="30"/>
  <c r="BQ126" i="30"/>
  <c r="AN139" i="30"/>
  <c r="AI120" i="30"/>
  <c r="Z154" i="30"/>
  <c r="T146" i="30"/>
  <c r="Z137" i="30"/>
  <c r="V128" i="30"/>
  <c r="BN126" i="30"/>
  <c r="AM139" i="30"/>
  <c r="BR125" i="30"/>
  <c r="BE155" i="30"/>
  <c r="AP138" i="30"/>
  <c r="W154" i="30"/>
  <c r="R146" i="30"/>
  <c r="R137" i="30"/>
  <c r="R128" i="30"/>
  <c r="BI123" i="30"/>
  <c r="AZ155" i="30"/>
  <c r="AL137" i="30"/>
  <c r="BB136" i="30"/>
  <c r="AJ148" i="30"/>
  <c r="AH126" i="30"/>
  <c r="Z149" i="30"/>
  <c r="S140" i="30"/>
  <c r="U132" i="30"/>
  <c r="AC123" i="30"/>
  <c r="AV130" i="30"/>
  <c r="AF148" i="30"/>
  <c r="AK125" i="30"/>
  <c r="Y149" i="30"/>
  <c r="AA139" i="30"/>
  <c r="AC131" i="30"/>
  <c r="Z123" i="30"/>
  <c r="BD127" i="30"/>
  <c r="AJ150" i="30"/>
  <c r="AF125" i="30"/>
  <c r="R151" i="30"/>
  <c r="Z139" i="30"/>
  <c r="T130" i="30"/>
  <c r="CF152" i="30"/>
  <c r="AT126" i="30"/>
  <c r="AQ148" i="30"/>
  <c r="AM124" i="30"/>
  <c r="BX136" i="30"/>
  <c r="BC123" i="30"/>
  <c r="AP148" i="30"/>
  <c r="AG122" i="30"/>
  <c r="U150" i="30"/>
  <c r="U139" i="30"/>
  <c r="Y129" i="30"/>
  <c r="AJ142" i="30"/>
  <c r="Y147" i="30"/>
  <c r="W137" i="30"/>
  <c r="AA126" i="30"/>
  <c r="AQ141" i="30"/>
  <c r="BK151" i="30"/>
  <c r="BE141" i="30"/>
  <c r="AQ134" i="30"/>
  <c r="AC155" i="30"/>
  <c r="AB144" i="30"/>
  <c r="U134" i="30"/>
  <c r="W124" i="30"/>
  <c r="BL138" i="30"/>
  <c r="AV140" i="30"/>
  <c r="AQ133" i="30"/>
  <c r="X153" i="30"/>
  <c r="Z143" i="30"/>
  <c r="V133" i="30"/>
  <c r="R124" i="30"/>
  <c r="BR135" i="30"/>
  <c r="AT139" i="30"/>
  <c r="AQ155" i="30"/>
  <c r="AP133" i="30"/>
  <c r="T153" i="30"/>
  <c r="X143" i="30"/>
  <c r="T133" i="30"/>
  <c r="S123" i="30"/>
  <c r="CB127" i="30"/>
  <c r="BE138" i="30"/>
  <c r="AP134" i="30"/>
  <c r="X145" i="30"/>
  <c r="AC132" i="30"/>
  <c r="BD138" i="30"/>
  <c r="AN134" i="30"/>
  <c r="R144" i="30"/>
  <c r="V132" i="30"/>
  <c r="AY137" i="30"/>
  <c r="AG134" i="30"/>
  <c r="AC143" i="30"/>
  <c r="V131" i="30"/>
  <c r="AW137" i="30"/>
  <c r="AJ133" i="30"/>
  <c r="AB143" i="30"/>
  <c r="AA130" i="30"/>
  <c r="BS148" i="30"/>
  <c r="BD126" i="30"/>
  <c r="AJ127" i="30"/>
  <c r="U154" i="30"/>
  <c r="W141" i="30"/>
  <c r="U128" i="30"/>
  <c r="BR148" i="30"/>
  <c r="AJ125" i="30"/>
  <c r="CN145" i="30"/>
  <c r="AM148" i="30"/>
  <c r="R150" i="30"/>
  <c r="AB136" i="30"/>
  <c r="U124" i="30"/>
  <c r="CL128" i="30"/>
  <c r="AK147" i="30"/>
  <c r="U149" i="30"/>
  <c r="S136" i="30"/>
  <c r="S124" i="30"/>
  <c r="AG125" i="30"/>
  <c r="R143" i="30"/>
  <c r="Y126" i="30"/>
  <c r="AP124" i="30"/>
  <c r="AC142" i="30"/>
  <c r="W126" i="30"/>
  <c r="AQ121" i="30"/>
  <c r="AA142" i="30"/>
  <c r="U126" i="30"/>
  <c r="BB152" i="30"/>
  <c r="AJ155" i="30"/>
  <c r="X154" i="30"/>
  <c r="Z138" i="30"/>
  <c r="X121" i="30"/>
  <c r="AW147" i="30"/>
  <c r="AP154" i="30"/>
  <c r="S153" i="30"/>
  <c r="Y138" i="30"/>
  <c r="V121" i="30"/>
  <c r="AU146" i="30"/>
  <c r="AL154" i="30"/>
  <c r="R153" i="30"/>
  <c r="X138" i="30"/>
  <c r="T121" i="30"/>
  <c r="AM141" i="30"/>
  <c r="V149" i="30"/>
  <c r="S133" i="30"/>
  <c r="AL141" i="30"/>
  <c r="AA147" i="30"/>
  <c r="R133" i="30"/>
  <c r="AJ141" i="30"/>
  <c r="Z147" i="30"/>
  <c r="Z130" i="30"/>
  <c r="BL147" i="30"/>
  <c r="AN135" i="30"/>
  <c r="W151" i="30"/>
  <c r="T127" i="30"/>
  <c r="BJ135" i="30"/>
  <c r="AV155" i="30"/>
  <c r="AL135" i="30"/>
  <c r="S151" i="30"/>
  <c r="AC126" i="30"/>
  <c r="BH123" i="30"/>
  <c r="BC143" i="30"/>
  <c r="AI133" i="30"/>
  <c r="BQ122" i="30"/>
  <c r="BA141" i="30"/>
  <c r="AL132" i="30"/>
  <c r="AU141" i="30"/>
  <c r="AQ128" i="30"/>
  <c r="X147" i="30"/>
  <c r="R125" i="30"/>
  <c r="AT141" i="30"/>
  <c r="AG128" i="30"/>
  <c r="AB146" i="30"/>
  <c r="AC124" i="30"/>
  <c r="BD128" i="30"/>
  <c r="Y145" i="30"/>
  <c r="R121" i="30"/>
  <c r="AV128" i="30"/>
  <c r="W143" i="30"/>
  <c r="AB120" i="30"/>
  <c r="AN155" i="30"/>
  <c r="AI153" i="30"/>
  <c r="S146" i="30"/>
  <c r="AF152" i="30"/>
  <c r="T143" i="30"/>
  <c r="AO151" i="30"/>
  <c r="V141" i="30"/>
  <c r="AM151" i="30"/>
  <c r="AC140" i="30"/>
  <c r="AK150" i="30"/>
  <c r="AB140" i="30"/>
  <c r="AN149" i="30"/>
  <c r="Y139" i="30"/>
  <c r="AO147" i="30"/>
  <c r="X139" i="30"/>
  <c r="AK136" i="30"/>
  <c r="AC136" i="30"/>
  <c r="V130" i="30"/>
  <c r="AM127" i="30"/>
  <c r="AJ121" i="30"/>
  <c r="AQ120" i="30"/>
  <c r="AB155" i="30"/>
  <c r="Z152" i="30"/>
  <c r="S152" i="30"/>
  <c r="Y150" i="30"/>
  <c r="W146" i="30"/>
  <c r="V146" i="30"/>
  <c r="Y134" i="30"/>
  <c r="U130" i="30"/>
  <c r="AC122" i="30"/>
  <c r="Y151" i="30"/>
  <c r="AB138" i="30"/>
  <c r="AT137" i="30"/>
  <c r="AO142" i="30"/>
  <c r="AB129" i="30"/>
  <c r="R152" i="30"/>
  <c r="X151" i="30"/>
  <c r="AA150" i="30"/>
  <c r="T138" i="30"/>
  <c r="V136" i="30"/>
  <c r="AB135" i="30"/>
  <c r="Z134" i="30"/>
  <c r="Y133" i="30"/>
  <c r="X133" i="30"/>
  <c r="AA129" i="30"/>
  <c r="V120" i="30"/>
  <c r="U120" i="30"/>
  <c r="T124" i="30"/>
  <c r="AX129" i="30"/>
  <c r="AN166" i="30"/>
  <c r="AY186" i="30"/>
  <c r="CK192" i="30"/>
  <c r="CO189" i="30"/>
  <c r="CS186" i="30"/>
  <c r="CK184" i="30"/>
  <c r="CO181" i="30"/>
  <c r="CS178" i="30"/>
  <c r="CK176" i="30"/>
  <c r="CO173" i="30"/>
  <c r="CS170" i="30"/>
  <c r="CK168" i="30"/>
  <c r="CO165" i="30"/>
  <c r="CS162" i="30"/>
  <c r="CK160" i="30"/>
  <c r="CJ192" i="30"/>
  <c r="CN189" i="30"/>
  <c r="CR186" i="30"/>
  <c r="CJ184" i="30"/>
  <c r="CN181" i="30"/>
  <c r="CR178" i="30"/>
  <c r="CJ176" i="30"/>
  <c r="CN173" i="30"/>
  <c r="CR170" i="30"/>
  <c r="CJ168" i="30"/>
  <c r="CN165" i="30"/>
  <c r="CR162" i="30"/>
  <c r="CJ160" i="30"/>
  <c r="BV192" i="30"/>
  <c r="BZ189" i="30"/>
  <c r="CD186" i="30"/>
  <c r="BV184" i="30"/>
  <c r="BZ181" i="30"/>
  <c r="CD178" i="30"/>
  <c r="BV176" i="30"/>
  <c r="BZ173" i="30"/>
  <c r="CD170" i="30"/>
  <c r="CT191" i="30"/>
  <c r="CL189" i="30"/>
  <c r="CP186" i="30"/>
  <c r="CT183" i="30"/>
  <c r="CL181" i="30"/>
  <c r="CP178" i="30"/>
  <c r="CT175" i="30"/>
  <c r="CL173" i="30"/>
  <c r="CP170" i="30"/>
  <c r="CT167" i="30"/>
  <c r="CL165" i="30"/>
  <c r="CP162" i="30"/>
  <c r="CT159" i="30"/>
  <c r="CS191" i="30"/>
  <c r="CK189" i="30"/>
  <c r="CO186" i="30"/>
  <c r="CS183" i="30"/>
  <c r="CK181" i="30"/>
  <c r="CO178" i="30"/>
  <c r="CS175" i="30"/>
  <c r="CK173" i="30"/>
  <c r="CO170" i="30"/>
  <c r="CS167" i="30"/>
  <c r="CK165" i="30"/>
  <c r="CO162" i="30"/>
  <c r="CS159" i="30"/>
  <c r="CR191" i="30"/>
  <c r="CJ189" i="30"/>
  <c r="CN186" i="30"/>
  <c r="CR183" i="30"/>
  <c r="CJ181" i="30"/>
  <c r="CN178" i="30"/>
  <c r="CR175" i="30"/>
  <c r="CJ173" i="30"/>
  <c r="CN170" i="30"/>
  <c r="CR167" i="30"/>
  <c r="CJ165" i="30"/>
  <c r="CN162" i="30"/>
  <c r="CR159" i="30"/>
  <c r="CN191" i="30"/>
  <c r="CR188" i="30"/>
  <c r="CJ186" i="30"/>
  <c r="CN183" i="30"/>
  <c r="CR180" i="30"/>
  <c r="CJ178" i="30"/>
  <c r="CN175" i="30"/>
  <c r="CR172" i="30"/>
  <c r="CJ170" i="30"/>
  <c r="CN167" i="30"/>
  <c r="CR164" i="30"/>
  <c r="CJ162" i="30"/>
  <c r="CN159" i="30"/>
  <c r="BZ191" i="30"/>
  <c r="CD188" i="30"/>
  <c r="BV186" i="30"/>
  <c r="BZ183" i="30"/>
  <c r="CD180" i="30"/>
  <c r="BV178" i="30"/>
  <c r="BZ175" i="30"/>
  <c r="CD172" i="30"/>
  <c r="CU193" i="30"/>
  <c r="CM191" i="30"/>
  <c r="CQ188" i="30"/>
  <c r="CU185" i="30"/>
  <c r="CM183" i="30"/>
  <c r="CQ180" i="30"/>
  <c r="CU177" i="30"/>
  <c r="CM175" i="30"/>
  <c r="CQ172" i="30"/>
  <c r="CU169" i="30"/>
  <c r="CM167" i="30"/>
  <c r="CQ164" i="30"/>
  <c r="CU161" i="30"/>
  <c r="CM159" i="30"/>
  <c r="CM193" i="30"/>
  <c r="CJ190" i="30"/>
  <c r="CQ186" i="30"/>
  <c r="CU182" i="30"/>
  <c r="CR179" i="30"/>
  <c r="CO176" i="30"/>
  <c r="CS172" i="30"/>
  <c r="CN169" i="30"/>
  <c r="CK166" i="30"/>
  <c r="CT162" i="30"/>
  <c r="CJ159" i="30"/>
  <c r="BX191" i="30"/>
  <c r="BZ188" i="30"/>
  <c r="CB185" i="30"/>
  <c r="CD182" i="30"/>
  <c r="CF179" i="30"/>
  <c r="BV177" i="30"/>
  <c r="BX174" i="30"/>
  <c r="BZ171" i="30"/>
  <c r="CC168" i="30"/>
  <c r="CG165" i="30"/>
  <c r="BY163" i="30"/>
  <c r="CC160" i="30"/>
  <c r="BO192" i="30"/>
  <c r="BS189" i="30"/>
  <c r="BK187" i="30"/>
  <c r="BO184" i="30"/>
  <c r="BS181" i="30"/>
  <c r="BK179" i="30"/>
  <c r="BO176" i="30"/>
  <c r="BS173" i="30"/>
  <c r="BK171" i="30"/>
  <c r="BO168" i="30"/>
  <c r="BS165" i="30"/>
  <c r="BK163" i="30"/>
  <c r="BO160" i="30"/>
  <c r="CL193" i="30"/>
  <c r="CU189" i="30"/>
  <c r="CM186" i="30"/>
  <c r="CT182" i="30"/>
  <c r="CQ179" i="30"/>
  <c r="CN176" i="30"/>
  <c r="CP172" i="30"/>
  <c r="CM169" i="30"/>
  <c r="CJ166" i="30"/>
  <c r="CQ162" i="30"/>
  <c r="CU158" i="30"/>
  <c r="CS192" i="30"/>
  <c r="CP189" i="30"/>
  <c r="CR185" i="30"/>
  <c r="CO182" i="30"/>
  <c r="CL179" i="30"/>
  <c r="CP175" i="30"/>
  <c r="CK172" i="30"/>
  <c r="CT168" i="30"/>
  <c r="CQ165" i="30"/>
  <c r="CS161" i="30"/>
  <c r="CP158" i="30"/>
  <c r="CB193" i="30"/>
  <c r="CD190" i="30"/>
  <c r="CF187" i="30"/>
  <c r="BV185" i="30"/>
  <c r="BX182" i="30"/>
  <c r="BZ179" i="30"/>
  <c r="CB176" i="30"/>
  <c r="CD173" i="30"/>
  <c r="CF170" i="30"/>
  <c r="BW168" i="30"/>
  <c r="CA165" i="30"/>
  <c r="CE162" i="30"/>
  <c r="BW160" i="30"/>
  <c r="CR192" i="30"/>
  <c r="CM189" i="30"/>
  <c r="CQ185" i="30"/>
  <c r="CN182" i="30"/>
  <c r="CK179" i="30"/>
  <c r="CO175" i="30"/>
  <c r="CJ172" i="30"/>
  <c r="CS168" i="30"/>
  <c r="CP165" i="30"/>
  <c r="CR161" i="30"/>
  <c r="CO158" i="30"/>
  <c r="CA193" i="30"/>
  <c r="CC190" i="30"/>
  <c r="CE187" i="30"/>
  <c r="CG184" i="30"/>
  <c r="BW182" i="30"/>
  <c r="BY179" i="30"/>
  <c r="CA176" i="30"/>
  <c r="CC173" i="30"/>
  <c r="CE170" i="30"/>
  <c r="BV168" i="30"/>
  <c r="BZ165" i="30"/>
  <c r="CD162" i="30"/>
  <c r="BV160" i="30"/>
  <c r="CQ192" i="30"/>
  <c r="CU188" i="30"/>
  <c r="CP185" i="30"/>
  <c r="CM182" i="30"/>
  <c r="CJ179" i="30"/>
  <c r="CL175" i="30"/>
  <c r="CU171" i="30"/>
  <c r="CR168" i="30"/>
  <c r="CM165" i="30"/>
  <c r="CQ161" i="30"/>
  <c r="CN158" i="30"/>
  <c r="BZ193" i="30"/>
  <c r="CB190" i="30"/>
  <c r="CD187" i="30"/>
  <c r="CF184" i="30"/>
  <c r="BV182" i="30"/>
  <c r="BX179" i="30"/>
  <c r="BZ176" i="30"/>
  <c r="CB173" i="30"/>
  <c r="CC170" i="30"/>
  <c r="CG167" i="30"/>
  <c r="BY165" i="30"/>
  <c r="CC162" i="30"/>
  <c r="CG159" i="30"/>
  <c r="CL191" i="30"/>
  <c r="CU187" i="30"/>
  <c r="CR184" i="30"/>
  <c r="CM181" i="30"/>
  <c r="CQ177" i="30"/>
  <c r="CN174" i="30"/>
  <c r="CK171" i="30"/>
  <c r="CO167" i="30"/>
  <c r="CJ164" i="30"/>
  <c r="CS160" i="30"/>
  <c r="CK193" i="30"/>
  <c r="CP188" i="30"/>
  <c r="CS184" i="30"/>
  <c r="CN180" i="30"/>
  <c r="CQ176" i="30"/>
  <c r="CT171" i="30"/>
  <c r="CU167" i="30"/>
  <c r="CR163" i="30"/>
  <c r="CP159" i="30"/>
  <c r="CJ193" i="30"/>
  <c r="CO188" i="30"/>
  <c r="CQ184" i="30"/>
  <c r="CM180" i="30"/>
  <c r="CP176" i="30"/>
  <c r="CS171" i="30"/>
  <c r="CQ167" i="30"/>
  <c r="CQ163" i="30"/>
  <c r="CO159" i="30"/>
  <c r="CU192" i="30"/>
  <c r="CN188" i="30"/>
  <c r="CP184" i="30"/>
  <c r="CL180" i="30"/>
  <c r="CM176" i="30"/>
  <c r="CR171" i="30"/>
  <c r="CP167" i="30"/>
  <c r="CP163" i="30"/>
  <c r="CL159" i="30"/>
  <c r="CF190" i="30"/>
  <c r="CA187" i="30"/>
  <c r="BY184" i="30"/>
  <c r="BV181" i="30"/>
  <c r="CE177" i="30"/>
  <c r="CC174" i="30"/>
  <c r="CA171" i="30"/>
  <c r="BY168" i="30"/>
  <c r="BV165" i="30"/>
  <c r="BV162" i="30"/>
  <c r="BV159" i="30"/>
  <c r="CT192" i="30"/>
  <c r="CM188" i="30"/>
  <c r="CO184" i="30"/>
  <c r="CK180" i="30"/>
  <c r="CL176" i="30"/>
  <c r="CQ171" i="30"/>
  <c r="CL167" i="30"/>
  <c r="CO163" i="30"/>
  <c r="CK159" i="30"/>
  <c r="CG193" i="30"/>
  <c r="CE190" i="30"/>
  <c r="BZ187" i="30"/>
  <c r="BX184" i="30"/>
  <c r="CG180" i="30"/>
  <c r="CD177" i="30"/>
  <c r="CB174" i="30"/>
  <c r="BY171" i="30"/>
  <c r="BX168" i="30"/>
  <c r="CG164" i="30"/>
  <c r="CG161" i="30"/>
  <c r="CG158" i="30"/>
  <c r="CP192" i="30"/>
  <c r="CL188" i="30"/>
  <c r="CN184" i="30"/>
  <c r="CJ180" i="30"/>
  <c r="CU175" i="30"/>
  <c r="CP171" i="30"/>
  <c r="CK167" i="30"/>
  <c r="CN163" i="30"/>
  <c r="CT158" i="30"/>
  <c r="CF193" i="30"/>
  <c r="CA190" i="30"/>
  <c r="BY187" i="30"/>
  <c r="BW184" i="30"/>
  <c r="CF180" i="30"/>
  <c r="CC177" i="30"/>
  <c r="CA174" i="30"/>
  <c r="BX171" i="30"/>
  <c r="CF167" i="30"/>
  <c r="CF164" i="30"/>
  <c r="CF161" i="30"/>
  <c r="CF158" i="30"/>
  <c r="CO192" i="30"/>
  <c r="CK188" i="30"/>
  <c r="CM184" i="30"/>
  <c r="CU179" i="30"/>
  <c r="CQ175" i="30"/>
  <c r="CO171" i="30"/>
  <c r="CJ167" i="30"/>
  <c r="CM163" i="30"/>
  <c r="CS158" i="30"/>
  <c r="CE193" i="30"/>
  <c r="BZ190" i="30"/>
  <c r="BX187" i="30"/>
  <c r="CG183" i="30"/>
  <c r="CE180" i="30"/>
  <c r="CB177" i="30"/>
  <c r="BZ174" i="30"/>
  <c r="BW171" i="30"/>
  <c r="CE167" i="30"/>
  <c r="CE164" i="30"/>
  <c r="CE161" i="30"/>
  <c r="CE158" i="30"/>
  <c r="CU191" i="30"/>
  <c r="CR187" i="30"/>
  <c r="CP183" i="30"/>
  <c r="CO179" i="30"/>
  <c r="CT174" i="30"/>
  <c r="CJ171" i="30"/>
  <c r="CR166" i="30"/>
  <c r="CU162" i="30"/>
  <c r="CL158" i="30"/>
  <c r="BX193" i="30"/>
  <c r="BV190" i="30"/>
  <c r="CF186" i="30"/>
  <c r="CC183" i="30"/>
  <c r="BZ180" i="30"/>
  <c r="BX177" i="30"/>
  <c r="CG173" i="30"/>
  <c r="CA170" i="30"/>
  <c r="CA167" i="30"/>
  <c r="CA164" i="30"/>
  <c r="CA161" i="30"/>
  <c r="CA158" i="30"/>
  <c r="BQ193" i="30"/>
  <c r="BH191" i="30"/>
  <c r="BK188" i="30"/>
  <c r="BN185" i="30"/>
  <c r="BQ182" i="30"/>
  <c r="BH180" i="30"/>
  <c r="BK177" i="30"/>
  <c r="BN174" i="30"/>
  <c r="BQ171" i="30"/>
  <c r="BH169" i="30"/>
  <c r="BK166" i="30"/>
  <c r="BN163" i="30"/>
  <c r="BQ160" i="30"/>
  <c r="BH158" i="30"/>
  <c r="CQ191" i="30"/>
  <c r="CQ187" i="30"/>
  <c r="CO183" i="30"/>
  <c r="CN179" i="30"/>
  <c r="CS174" i="30"/>
  <c r="CU170" i="30"/>
  <c r="CQ166" i="30"/>
  <c r="CM162" i="30"/>
  <c r="CK158" i="30"/>
  <c r="BW193" i="30"/>
  <c r="CG189" i="30"/>
  <c r="CE186" i="30"/>
  <c r="CB183" i="30"/>
  <c r="BY180" i="30"/>
  <c r="BW177" i="30"/>
  <c r="CF173" i="30"/>
  <c r="BZ170" i="30"/>
  <c r="BZ167" i="30"/>
  <c r="BZ164" i="30"/>
  <c r="BZ161" i="30"/>
  <c r="BZ158" i="30"/>
  <c r="BP193" i="30"/>
  <c r="BS190" i="30"/>
  <c r="BJ188" i="30"/>
  <c r="BM185" i="30"/>
  <c r="BP182" i="30"/>
  <c r="BS179" i="30"/>
  <c r="BJ177" i="30"/>
  <c r="BM174" i="30"/>
  <c r="BP171" i="30"/>
  <c r="BS168" i="30"/>
  <c r="BJ166" i="30"/>
  <c r="BM163" i="30"/>
  <c r="BP160" i="30"/>
  <c r="AV193" i="30"/>
  <c r="AZ190" i="30"/>
  <c r="BD187" i="30"/>
  <c r="AV185" i="30"/>
  <c r="CS190" i="30"/>
  <c r="CJ187" i="30"/>
  <c r="CP182" i="30"/>
  <c r="CK178" i="30"/>
  <c r="CK174" i="30"/>
  <c r="CS169" i="30"/>
  <c r="CT165" i="30"/>
  <c r="CM161" i="30"/>
  <c r="CB192" i="30"/>
  <c r="BY189" i="30"/>
  <c r="BW186" i="30"/>
  <c r="CF182" i="30"/>
  <c r="CC179" i="30"/>
  <c r="BX176" i="30"/>
  <c r="CG172" i="30"/>
  <c r="CE169" i="30"/>
  <c r="CE166" i="30"/>
  <c r="CE163" i="30"/>
  <c r="CE160" i="30"/>
  <c r="BI193" i="30"/>
  <c r="BL190" i="30"/>
  <c r="BO187" i="30"/>
  <c r="BR184" i="30"/>
  <c r="BI182" i="30"/>
  <c r="BL179" i="30"/>
  <c r="BN176" i="30"/>
  <c r="BQ173" i="30"/>
  <c r="BH171" i="30"/>
  <c r="BK168" i="30"/>
  <c r="BN165" i="30"/>
  <c r="BQ162" i="30"/>
  <c r="BH160" i="30"/>
  <c r="CP191" i="30"/>
  <c r="CK186" i="30"/>
  <c r="CP180" i="30"/>
  <c r="CM174" i="30"/>
  <c r="CU168" i="30"/>
  <c r="CJ163" i="30"/>
  <c r="BY190" i="30"/>
  <c r="BY186" i="30"/>
  <c r="BY182" i="30"/>
  <c r="BX178" i="30"/>
  <c r="CE173" i="30"/>
  <c r="CC169" i="30"/>
  <c r="BV166" i="30"/>
  <c r="BW162" i="30"/>
  <c r="BV158" i="30"/>
  <c r="BN191" i="30"/>
  <c r="BN188" i="30"/>
  <c r="BL185" i="30"/>
  <c r="BL182" i="30"/>
  <c r="BJ179" i="30"/>
  <c r="BJ176" i="30"/>
  <c r="BJ173" i="30"/>
  <c r="BJ170" i="30"/>
  <c r="BJ167" i="30"/>
  <c r="BJ164" i="30"/>
  <c r="BJ161" i="30"/>
  <c r="BJ158" i="30"/>
  <c r="AU193" i="30"/>
  <c r="AX190" i="30"/>
  <c r="BA187" i="30"/>
  <c r="BD184" i="30"/>
  <c r="AV182" i="30"/>
  <c r="AZ179" i="30"/>
  <c r="BD176" i="30"/>
  <c r="AV174" i="30"/>
  <c r="AZ171" i="30"/>
  <c r="BD168" i="30"/>
  <c r="AV166" i="30"/>
  <c r="AZ163" i="30"/>
  <c r="BD160" i="30"/>
  <c r="AV158" i="30"/>
  <c r="CR190" i="30"/>
  <c r="CL185" i="30"/>
  <c r="CU178" i="30"/>
  <c r="CR173" i="30"/>
  <c r="CL168" i="30"/>
  <c r="CN161" i="30"/>
  <c r="CC189" i="30"/>
  <c r="CC185" i="30"/>
  <c r="CB181" i="30"/>
  <c r="BY177" i="30"/>
  <c r="CF172" i="30"/>
  <c r="BW169" i="30"/>
  <c r="BX165" i="30"/>
  <c r="BW161" i="30"/>
  <c r="CO190" i="30"/>
  <c r="CU184" i="30"/>
  <c r="CM178" i="30"/>
  <c r="CM173" i="30"/>
  <c r="CS166" i="30"/>
  <c r="CJ161" i="30"/>
  <c r="BY193" i="30"/>
  <c r="BX189" i="30"/>
  <c r="BY185" i="30"/>
  <c r="BX181" i="30"/>
  <c r="CE176" i="30"/>
  <c r="CB172" i="30"/>
  <c r="CF168" i="30"/>
  <c r="CC164" i="30"/>
  <c r="CF160" i="30"/>
  <c r="BO193" i="30"/>
  <c r="BO190" i="30"/>
  <c r="BN187" i="30"/>
  <c r="BM184" i="30"/>
  <c r="BM181" i="30"/>
  <c r="BM178" i="30"/>
  <c r="BM175" i="30"/>
  <c r="BM172" i="30"/>
  <c r="BM169" i="30"/>
  <c r="BM166" i="30"/>
  <c r="BJ163" i="30"/>
  <c r="BJ160" i="30"/>
  <c r="AX192" i="30"/>
  <c r="BA189" i="30"/>
  <c r="BD186" i="30"/>
  <c r="AU184" i="30"/>
  <c r="AY181" i="30"/>
  <c r="BC178" i="30"/>
  <c r="AU176" i="30"/>
  <c r="AY173" i="30"/>
  <c r="BC170" i="30"/>
  <c r="AU168" i="30"/>
  <c r="AY165" i="30"/>
  <c r="BC162" i="30"/>
  <c r="AU160" i="30"/>
  <c r="CQ189" i="30"/>
  <c r="CS182" i="30"/>
  <c r="CM177" i="30"/>
  <c r="CM171" i="30"/>
  <c r="CR165" i="30"/>
  <c r="CM160" i="30"/>
  <c r="BZ192" i="30"/>
  <c r="CA188" i="30"/>
  <c r="BZ184" i="30"/>
  <c r="CG179" i="30"/>
  <c r="CD175" i="30"/>
  <c r="CF171" i="30"/>
  <c r="CB167" i="30"/>
  <c r="CD163" i="30"/>
  <c r="CE159" i="30"/>
  <c r="BR192" i="30"/>
  <c r="BQ189" i="30"/>
  <c r="BQ186" i="30"/>
  <c r="BQ183" i="30"/>
  <c r="BQ180" i="30"/>
  <c r="BQ177" i="30"/>
  <c r="BQ174" i="30"/>
  <c r="BO171" i="30"/>
  <c r="BN168" i="30"/>
  <c r="BM165" i="30"/>
  <c r="BM162" i="30"/>
  <c r="BM159" i="30"/>
  <c r="CK191" i="30"/>
  <c r="CK185" i="30"/>
  <c r="CS177" i="30"/>
  <c r="CN171" i="30"/>
  <c r="CP164" i="30"/>
  <c r="CJ191" i="30"/>
  <c r="CJ185" i="30"/>
  <c r="CR177" i="30"/>
  <c r="CL171" i="30"/>
  <c r="CO164" i="30"/>
  <c r="CU190" i="30"/>
  <c r="CT184" i="30"/>
  <c r="CP177" i="30"/>
  <c r="CT170" i="30"/>
  <c r="CN164" i="30"/>
  <c r="CT190" i="30"/>
  <c r="CL184" i="30"/>
  <c r="CO177" i="30"/>
  <c r="CQ170" i="30"/>
  <c r="CM164" i="30"/>
  <c r="CE191" i="30"/>
  <c r="CG186" i="30"/>
  <c r="BZ182" i="30"/>
  <c r="CA177" i="30"/>
  <c r="CA172" i="30"/>
  <c r="BZ168" i="30"/>
  <c r="CB163" i="30"/>
  <c r="BY159" i="30"/>
  <c r="BO191" i="30"/>
  <c r="BI188" i="30"/>
  <c r="BQ184" i="30"/>
  <c r="BL181" i="30"/>
  <c r="BI178" i="30"/>
  <c r="BR174" i="30"/>
  <c r="BL171" i="30"/>
  <c r="BS167" i="30"/>
  <c r="BP164" i="30"/>
  <c r="BM161" i="30"/>
  <c r="BI158" i="30"/>
  <c r="CQ190" i="30"/>
  <c r="CU183" i="30"/>
  <c r="CN177" i="30"/>
  <c r="CM170" i="30"/>
  <c r="CL164" i="30"/>
  <c r="CP190" i="30"/>
  <c r="CQ183" i="30"/>
  <c r="CL177" i="30"/>
  <c r="CL170" i="30"/>
  <c r="CK164" i="30"/>
  <c r="CC191" i="30"/>
  <c r="CB186" i="30"/>
  <c r="CF181" i="30"/>
  <c r="CG176" i="30"/>
  <c r="BY172" i="30"/>
  <c r="CC167" i="30"/>
  <c r="BZ163" i="30"/>
  <c r="BW159" i="30"/>
  <c r="BL191" i="30"/>
  <c r="BS187" i="30"/>
  <c r="BN184" i="30"/>
  <c r="BJ181" i="30"/>
  <c r="BS177" i="30"/>
  <c r="BO174" i="30"/>
  <c r="BI171" i="30"/>
  <c r="BQ167" i="30"/>
  <c r="BN164" i="30"/>
  <c r="BK161" i="30"/>
  <c r="AT192" i="30"/>
  <c r="AU189" i="30"/>
  <c r="AV186" i="30"/>
  <c r="AW183" i="30"/>
  <c r="AY180" i="30"/>
  <c r="BA177" i="30"/>
  <c r="BC174" i="30"/>
  <c r="BE171" i="30"/>
  <c r="AU169" i="30"/>
  <c r="AW166" i="30"/>
  <c r="AX163" i="30"/>
  <c r="AZ160" i="30"/>
  <c r="CK190" i="30"/>
  <c r="CR182" i="30"/>
  <c r="CT176" i="30"/>
  <c r="CQ169" i="30"/>
  <c r="CL163" i="30"/>
  <c r="BW191" i="30"/>
  <c r="CG185" i="30"/>
  <c r="CA181" i="30"/>
  <c r="BY176" i="30"/>
  <c r="CG171" i="30"/>
  <c r="BV167" i="30"/>
  <c r="CG162" i="30"/>
  <c r="BY158" i="30"/>
  <c r="BR190" i="30"/>
  <c r="BM187" i="30"/>
  <c r="BI184" i="30"/>
  <c r="BR180" i="30"/>
  <c r="BN177" i="30"/>
  <c r="BI174" i="30"/>
  <c r="BP170" i="30"/>
  <c r="BM167" i="30"/>
  <c r="BI164" i="30"/>
  <c r="BR160" i="30"/>
  <c r="CS187" i="30"/>
  <c r="CR181" i="30"/>
  <c r="CP174" i="30"/>
  <c r="CO168" i="30"/>
  <c r="CK161" i="30"/>
  <c r="CB189" i="30"/>
  <c r="CE184" i="30"/>
  <c r="BV180" i="30"/>
  <c r="BY175" i="30"/>
  <c r="BY170" i="30"/>
  <c r="BY166" i="30"/>
  <c r="CC161" i="30"/>
  <c r="BL193" i="30"/>
  <c r="BH190" i="30"/>
  <c r="BO186" i="30"/>
  <c r="BL183" i="30"/>
  <c r="BI180" i="30"/>
  <c r="BP176" i="30"/>
  <c r="BK173" i="30"/>
  <c r="BS169" i="30"/>
  <c r="BP166" i="30"/>
  <c r="BI163" i="30"/>
  <c r="BQ159" i="30"/>
  <c r="CT193" i="30"/>
  <c r="CM187" i="30"/>
  <c r="CT180" i="30"/>
  <c r="CU173" i="30"/>
  <c r="CT166" i="30"/>
  <c r="CQ160" i="30"/>
  <c r="CS189" i="30"/>
  <c r="CS180" i="30"/>
  <c r="CL172" i="30"/>
  <c r="CO161" i="30"/>
  <c r="CA191" i="30"/>
  <c r="CD185" i="30"/>
  <c r="BW180" i="30"/>
  <c r="CG174" i="30"/>
  <c r="CA169" i="30"/>
  <c r="BX164" i="30"/>
  <c r="CA159" i="30"/>
  <c r="BJ191" i="30"/>
  <c r="BI187" i="30"/>
  <c r="BM183" i="30"/>
  <c r="BO179" i="30"/>
  <c r="BQ175" i="30"/>
  <c r="BI172" i="30"/>
  <c r="BI168" i="30"/>
  <c r="BL164" i="30"/>
  <c r="BL160" i="30"/>
  <c r="CR189" i="30"/>
  <c r="CO180" i="30"/>
  <c r="CK170" i="30"/>
  <c r="CL161" i="30"/>
  <c r="BY191" i="30"/>
  <c r="CA185" i="30"/>
  <c r="CE179" i="30"/>
  <c r="CF174" i="30"/>
  <c r="BZ169" i="30"/>
  <c r="BW164" i="30"/>
  <c r="BZ159" i="30"/>
  <c r="BI191" i="30"/>
  <c r="BH187" i="30"/>
  <c r="BK183" i="30"/>
  <c r="BN179" i="30"/>
  <c r="BP175" i="30"/>
  <c r="BH172" i="30"/>
  <c r="BH168" i="30"/>
  <c r="BK164" i="30"/>
  <c r="BK160" i="30"/>
  <c r="BE191" i="30"/>
  <c r="BE188" i="30"/>
  <c r="BE185" i="30"/>
  <c r="BE182" i="30"/>
  <c r="AT180" i="30"/>
  <c r="AU177" i="30"/>
  <c r="AU174" i="30"/>
  <c r="AV171" i="30"/>
  <c r="AW168" i="30"/>
  <c r="AW165" i="30"/>
  <c r="AX162" i="30"/>
  <c r="AY159" i="30"/>
  <c r="CP187" i="30"/>
  <c r="CT178" i="30"/>
  <c r="CL169" i="30"/>
  <c r="CO160" i="30"/>
  <c r="CF189" i="30"/>
  <c r="CC184" i="30"/>
  <c r="BV179" i="30"/>
  <c r="BV174" i="30"/>
  <c r="CE168" i="30"/>
  <c r="CA163" i="30"/>
  <c r="BX158" i="30"/>
  <c r="BK190" i="30"/>
  <c r="BM186" i="30"/>
  <c r="CO187" i="30"/>
  <c r="CQ178" i="30"/>
  <c r="CK169" i="30"/>
  <c r="CN160" i="30"/>
  <c r="CE189" i="30"/>
  <c r="CB184" i="30"/>
  <c r="CG178" i="30"/>
  <c r="CA173" i="30"/>
  <c r="CD168" i="30"/>
  <c r="BX163" i="30"/>
  <c r="BW158" i="30"/>
  <c r="CS193" i="30"/>
  <c r="CM185" i="30"/>
  <c r="CR174" i="30"/>
  <c r="CL166" i="30"/>
  <c r="BV193" i="30"/>
  <c r="BX188" i="30"/>
  <c r="CE182" i="30"/>
  <c r="BZ177" i="30"/>
  <c r="CE171" i="30"/>
  <c r="CB166" i="30"/>
  <c r="BY161" i="30"/>
  <c r="CL190" i="30"/>
  <c r="CM179" i="30"/>
  <c r="CM168" i="30"/>
  <c r="BW189" i="30"/>
  <c r="BW183" i="30"/>
  <c r="CC176" i="30"/>
  <c r="BW170" i="30"/>
  <c r="BY164" i="30"/>
  <c r="BN193" i="30"/>
  <c r="BL189" i="30"/>
  <c r="BK185" i="30"/>
  <c r="BI181" i="30"/>
  <c r="BH177" i="30"/>
  <c r="BS172" i="30"/>
  <c r="BI169" i="30"/>
  <c r="BS164" i="30"/>
  <c r="BS160" i="30"/>
  <c r="CT188" i="30"/>
  <c r="CT177" i="30"/>
  <c r="CP166" i="30"/>
  <c r="CG188" i="30"/>
  <c r="CG182" i="30"/>
  <c r="CG175" i="30"/>
  <c r="CG169" i="30"/>
  <c r="CG163" i="30"/>
  <c r="BK193" i="30"/>
  <c r="BJ189" i="30"/>
  <c r="BI185" i="30"/>
  <c r="BS180" i="30"/>
  <c r="BR176" i="30"/>
  <c r="BQ172" i="30"/>
  <c r="BQ168" i="30"/>
  <c r="BQ164" i="30"/>
  <c r="BM160" i="30"/>
  <c r="AV191" i="30"/>
  <c r="AU188" i="30"/>
  <c r="BE184" i="30"/>
  <c r="BD181" i="30"/>
  <c r="BD178" i="30"/>
  <c r="BC175" i="30"/>
  <c r="BC172" i="30"/>
  <c r="BC169" i="30"/>
  <c r="BC166" i="30"/>
  <c r="BC163" i="30"/>
  <c r="BB160" i="30"/>
  <c r="CS188" i="30"/>
  <c r="CK177" i="30"/>
  <c r="CO166" i="30"/>
  <c r="CF188" i="30"/>
  <c r="CC182" i="30"/>
  <c r="CF175" i="30"/>
  <c r="CF169" i="30"/>
  <c r="CF163" i="30"/>
  <c r="CJ188" i="30"/>
  <c r="CJ177" i="30"/>
  <c r="CN166" i="30"/>
  <c r="CE188" i="30"/>
  <c r="CB182" i="30"/>
  <c r="CE175" i="30"/>
  <c r="CD169" i="30"/>
  <c r="CC163" i="30"/>
  <c r="BH193" i="30"/>
  <c r="BH189" i="30"/>
  <c r="BS184" i="30"/>
  <c r="BO180" i="30"/>
  <c r="BM176" i="30"/>
  <c r="BO172" i="30"/>
  <c r="BM168" i="30"/>
  <c r="BM164" i="30"/>
  <c r="BS159" i="30"/>
  <c r="CT187" i="30"/>
  <c r="CU176" i="30"/>
  <c r="CM166" i="30"/>
  <c r="CC188" i="30"/>
  <c r="CA182" i="30"/>
  <c r="CC175" i="30"/>
  <c r="CB169" i="30"/>
  <c r="BW163" i="30"/>
  <c r="BS192" i="30"/>
  <c r="BS188" i="30"/>
  <c r="BP184" i="30"/>
  <c r="BN180" i="30"/>
  <c r="BL176" i="30"/>
  <c r="BN172" i="30"/>
  <c r="BL168" i="30"/>
  <c r="BH164" i="30"/>
  <c r="BR159" i="30"/>
  <c r="BE190" i="30"/>
  <c r="BC187" i="30"/>
  <c r="BA184" i="30"/>
  <c r="BA181" i="30"/>
  <c r="AZ178" i="30"/>
  <c r="AZ175" i="30"/>
  <c r="AZ172" i="30"/>
  <c r="AZ169" i="30"/>
  <c r="AZ166" i="30"/>
  <c r="AY163" i="30"/>
  <c r="AX160" i="30"/>
  <c r="AP192" i="30"/>
  <c r="AH190" i="30"/>
  <c r="AL187" i="30"/>
  <c r="AP184" i="30"/>
  <c r="AH182" i="30"/>
  <c r="AL179" i="30"/>
  <c r="AP176" i="30"/>
  <c r="CU186" i="30"/>
  <c r="CJ175" i="30"/>
  <c r="CT164" i="30"/>
  <c r="BV188" i="30"/>
  <c r="CC181" i="30"/>
  <c r="BW175" i="30"/>
  <c r="CG168" i="30"/>
  <c r="CA162" i="30"/>
  <c r="BM192" i="30"/>
  <c r="BO188" i="30"/>
  <c r="BH184" i="30"/>
  <c r="BJ180" i="30"/>
  <c r="BS175" i="30"/>
  <c r="BS171" i="30"/>
  <c r="BO167" i="30"/>
  <c r="BP163" i="30"/>
  <c r="BL159" i="30"/>
  <c r="BB193" i="30"/>
  <c r="BA190" i="30"/>
  <c r="AX187" i="30"/>
  <c r="AW184" i="30"/>
  <c r="AV181" i="30"/>
  <c r="AV178" i="30"/>
  <c r="AV175" i="30"/>
  <c r="AV172" i="30"/>
  <c r="AV169" i="30"/>
  <c r="AT166" i="30"/>
  <c r="AT163" i="30"/>
  <c r="BE159" i="30"/>
  <c r="AL192" i="30"/>
  <c r="AP189" i="30"/>
  <c r="AH187" i="30"/>
  <c r="AL184" i="30"/>
  <c r="AP181" i="30"/>
  <c r="AH179" i="30"/>
  <c r="AL176" i="30"/>
  <c r="AP173" i="30"/>
  <c r="AH171" i="30"/>
  <c r="AL168" i="30"/>
  <c r="AP165" i="30"/>
  <c r="AH163" i="30"/>
  <c r="AL160" i="30"/>
  <c r="CT186" i="30"/>
  <c r="CU174" i="30"/>
  <c r="CS164" i="30"/>
  <c r="CK183" i="30"/>
  <c r="CQ173" i="30"/>
  <c r="CT161" i="30"/>
  <c r="CC192" i="30"/>
  <c r="BZ186" i="30"/>
  <c r="CB179" i="30"/>
  <c r="BW173" i="30"/>
  <c r="CF166" i="30"/>
  <c r="CG160" i="30"/>
  <c r="BQ191" i="30"/>
  <c r="BJ187" i="30"/>
  <c r="BH183" i="30"/>
  <c r="BR178" i="30"/>
  <c r="BH175" i="30"/>
  <c r="BO170" i="30"/>
  <c r="BQ166" i="30"/>
  <c r="BN162" i="30"/>
  <c r="BP158" i="30"/>
  <c r="BD192" i="30"/>
  <c r="BC189" i="30"/>
  <c r="BA186" i="30"/>
  <c r="AZ183" i="30"/>
  <c r="AZ180" i="30"/>
  <c r="AY177" i="30"/>
  <c r="AY174" i="30"/>
  <c r="AX171" i="30"/>
  <c r="AX168" i="30"/>
  <c r="AV165" i="30"/>
  <c r="AV162" i="30"/>
  <c r="AV159" i="30"/>
  <c r="CR193" i="30"/>
  <c r="CK182" i="30"/>
  <c r="CO172" i="30"/>
  <c r="CR160" i="30"/>
  <c r="BW192" i="30"/>
  <c r="BZ185" i="30"/>
  <c r="CE178" i="30"/>
  <c r="BZ172" i="30"/>
  <c r="BZ166" i="30"/>
  <c r="BZ160" i="30"/>
  <c r="BQ190" i="30"/>
  <c r="BN186" i="30"/>
  <c r="BN182" i="30"/>
  <c r="BN178" i="30"/>
  <c r="BK174" i="30"/>
  <c r="BK170" i="30"/>
  <c r="BI166" i="30"/>
  <c r="BI162" i="30"/>
  <c r="BL158" i="30"/>
  <c r="AZ192" i="30"/>
  <c r="AX189" i="30"/>
  <c r="AW186" i="30"/>
  <c r="AU183" i="30"/>
  <c r="AU180" i="30"/>
  <c r="AT177" i="30"/>
  <c r="BE173" i="30"/>
  <c r="BE170" i="30"/>
  <c r="BD167" i="30"/>
  <c r="BD164" i="30"/>
  <c r="BD161" i="30"/>
  <c r="BD158" i="30"/>
  <c r="AL191" i="30"/>
  <c r="AP188" i="30"/>
  <c r="CN187" i="30"/>
  <c r="CP173" i="30"/>
  <c r="CM158" i="30"/>
  <c r="CD189" i="30"/>
  <c r="CC180" i="30"/>
  <c r="BX172" i="30"/>
  <c r="CD164" i="30"/>
  <c r="BO189" i="30"/>
  <c r="BJ184" i="30"/>
  <c r="BS178" i="30"/>
  <c r="BP173" i="30"/>
  <c r="BR168" i="30"/>
  <c r="BH163" i="30"/>
  <c r="BM158" i="30"/>
  <c r="AV192" i="30"/>
  <c r="AZ188" i="30"/>
  <c r="BC184" i="30"/>
  <c r="AU181" i="30"/>
  <c r="BB177" i="30"/>
  <c r="BD173" i="30"/>
  <c r="AX170" i="30"/>
  <c r="BE166" i="30"/>
  <c r="AV163" i="30"/>
  <c r="BA159" i="30"/>
  <c r="AM193" i="30"/>
  <c r="AN190" i="30"/>
  <c r="AO187" i="30"/>
  <c r="AQ184" i="30"/>
  <c r="AF182" i="30"/>
  <c r="AG179" i="30"/>
  <c r="AI176" i="30"/>
  <c r="AL173" i="30"/>
  <c r="AO170" i="30"/>
  <c r="AF168" i="30"/>
  <c r="AI165" i="30"/>
  <c r="AL162" i="30"/>
  <c r="AO159" i="30"/>
  <c r="CL187" i="30"/>
  <c r="CU172" i="30"/>
  <c r="CJ158" i="30"/>
  <c r="CA189" i="30"/>
  <c r="CB180" i="30"/>
  <c r="BW172" i="30"/>
  <c r="CB164" i="30"/>
  <c r="CK187" i="30"/>
  <c r="CT172" i="30"/>
  <c r="CL186" i="30"/>
  <c r="CN172" i="30"/>
  <c r="CB188" i="30"/>
  <c r="BX180" i="30"/>
  <c r="CD171" i="30"/>
  <c r="BV163" i="30"/>
  <c r="BK189" i="30"/>
  <c r="BP183" i="30"/>
  <c r="BO178" i="30"/>
  <c r="BM173" i="30"/>
  <c r="BR167" i="30"/>
  <c r="BP162" i="30"/>
  <c r="BC191" i="30"/>
  <c r="AW188" i="30"/>
  <c r="AY184" i="30"/>
  <c r="BD180" i="30"/>
  <c r="AW177" i="30"/>
  <c r="BA173" i="30"/>
  <c r="AU170" i="30"/>
  <c r="BA166" i="30"/>
  <c r="BD162" i="30"/>
  <c r="AW159" i="30"/>
  <c r="CT185" i="30"/>
  <c r="CM172" i="30"/>
  <c r="BY188" i="30"/>
  <c r="CD179" i="30"/>
  <c r="CC171" i="30"/>
  <c r="CF162" i="30"/>
  <c r="BI189" i="30"/>
  <c r="BO183" i="30"/>
  <c r="BL178" i="30"/>
  <c r="BL173" i="30"/>
  <c r="BP167" i="30"/>
  <c r="BO162" i="30"/>
  <c r="CS185" i="30"/>
  <c r="CT169" i="30"/>
  <c r="BW188" i="30"/>
  <c r="CA179" i="30"/>
  <c r="CB171" i="30"/>
  <c r="CB162" i="30"/>
  <c r="BR188" i="30"/>
  <c r="BN183" i="30"/>
  <c r="BK178" i="30"/>
  <c r="BI173" i="30"/>
  <c r="BN167" i="30"/>
  <c r="BL162" i="30"/>
  <c r="BA191" i="30"/>
  <c r="AT188" i="30"/>
  <c r="AV184" i="30"/>
  <c r="BB180" i="30"/>
  <c r="BE176" i="30"/>
  <c r="AX173" i="30"/>
  <c r="BE169" i="30"/>
  <c r="AX166" i="30"/>
  <c r="BA162" i="30"/>
  <c r="AT159" i="30"/>
  <c r="AH193" i="30"/>
  <c r="AI190" i="30"/>
  <c r="AI187" i="30"/>
  <c r="AJ184" i="30"/>
  <c r="AL181" i="30"/>
  <c r="AN178" i="30"/>
  <c r="AP175" i="30"/>
  <c r="AG173" i="30"/>
  <c r="AJ170" i="30"/>
  <c r="AM167" i="30"/>
  <c r="AP164" i="30"/>
  <c r="AG162" i="30"/>
  <c r="AJ159" i="30"/>
  <c r="CJ183" i="30"/>
  <c r="CJ169" i="30"/>
  <c r="BW187" i="30"/>
  <c r="CB178" i="30"/>
  <c r="BX170" i="30"/>
  <c r="CD161" i="30"/>
  <c r="BR193" i="30"/>
  <c r="BL188" i="30"/>
  <c r="BR182" i="30"/>
  <c r="BP177" i="30"/>
  <c r="BL172" i="30"/>
  <c r="BH167" i="30"/>
  <c r="BS161" i="30"/>
  <c r="AW191" i="30"/>
  <c r="AY187" i="30"/>
  <c r="BC183" i="30"/>
  <c r="AV180" i="30"/>
  <c r="AZ176" i="30"/>
  <c r="AT173" i="30"/>
  <c r="AY169" i="30"/>
  <c r="BC165" i="30"/>
  <c r="AU162" i="30"/>
  <c r="BA158" i="30"/>
  <c r="AO192" i="30"/>
  <c r="AO189" i="30"/>
  <c r="AP186" i="30"/>
  <c r="AF184" i="30"/>
  <c r="AH181" i="30"/>
  <c r="AJ178" i="30"/>
  <c r="AL175" i="30"/>
  <c r="AO172" i="30"/>
  <c r="AF170" i="30"/>
  <c r="AI167" i="30"/>
  <c r="AL164" i="30"/>
  <c r="AO161" i="30"/>
  <c r="AF159" i="30"/>
  <c r="CP181" i="30"/>
  <c r="CU163" i="30"/>
  <c r="CG192" i="30"/>
  <c r="BW185" i="30"/>
  <c r="CD176" i="30"/>
  <c r="BY167" i="30"/>
  <c r="BX160" i="30"/>
  <c r="BJ192" i="30"/>
  <c r="BP186" i="30"/>
  <c r="BP181" i="30"/>
  <c r="BI176" i="30"/>
  <c r="BR170" i="30"/>
  <c r="BQ165" i="30"/>
  <c r="BH161" i="30"/>
  <c r="BE193" i="30"/>
  <c r="AV190" i="30"/>
  <c r="AZ186" i="30"/>
  <c r="BC182" i="30"/>
  <c r="AW179" i="30"/>
  <c r="BB175" i="30"/>
  <c r="AU172" i="30"/>
  <c r="AZ168" i="30"/>
  <c r="BC164" i="30"/>
  <c r="AX161" i="30"/>
  <c r="AF192" i="30"/>
  <c r="AG189" i="30"/>
  <c r="AH186" i="30"/>
  <c r="AJ183" i="30"/>
  <c r="AL180" i="30"/>
  <c r="AN177" i="30"/>
  <c r="AP174" i="30"/>
  <c r="AG172" i="30"/>
  <c r="AJ169" i="30"/>
  <c r="AM166" i="30"/>
  <c r="AP163" i="30"/>
  <c r="AG161" i="30"/>
  <c r="AJ158" i="30"/>
  <c r="CO185" i="30"/>
  <c r="CS165" i="30"/>
  <c r="CF185" i="30"/>
  <c r="BV175" i="30"/>
  <c r="CC165" i="30"/>
  <c r="BQ187" i="30"/>
  <c r="BN181" i="30"/>
  <c r="BI175" i="30"/>
  <c r="BJ169" i="30"/>
  <c r="BR161" i="30"/>
  <c r="CN185" i="30"/>
  <c r="CU164" i="30"/>
  <c r="CE185" i="30"/>
  <c r="CE174" i="30"/>
  <c r="CB165" i="30"/>
  <c r="BP187" i="30"/>
  <c r="BK181" i="30"/>
  <c r="BS174" i="30"/>
  <c r="BP168" i="30"/>
  <c r="BQ161" i="30"/>
  <c r="CL183" i="30"/>
  <c r="CT163" i="30"/>
  <c r="BX185" i="30"/>
  <c r="CD174" i="30"/>
  <c r="BW165" i="30"/>
  <c r="CQ182" i="30"/>
  <c r="CS163" i="30"/>
  <c r="CD184" i="30"/>
  <c r="BY174" i="30"/>
  <c r="BV164" i="30"/>
  <c r="BS193" i="30"/>
  <c r="BS186" i="30"/>
  <c r="BP180" i="30"/>
  <c r="BL174" i="30"/>
  <c r="BL167" i="30"/>
  <c r="BO161" i="30"/>
  <c r="CL182" i="30"/>
  <c r="CK163" i="30"/>
  <c r="CA184" i="30"/>
  <c r="BW174" i="30"/>
  <c r="BZ162" i="30"/>
  <c r="BM193" i="30"/>
  <c r="BR186" i="30"/>
  <c r="BM180" i="30"/>
  <c r="BJ174" i="30"/>
  <c r="BK167" i="30"/>
  <c r="BN161" i="30"/>
  <c r="AY191" i="30"/>
  <c r="AT187" i="30"/>
  <c r="BA182" i="30"/>
  <c r="AY178" i="30"/>
  <c r="AX174" i="30"/>
  <c r="AT170" i="30"/>
  <c r="BA165" i="30"/>
  <c r="AY161" i="30"/>
  <c r="AL193" i="30"/>
  <c r="AG190" i="30"/>
  <c r="AN186" i="30"/>
  <c r="AL183" i="30"/>
  <c r="AI180" i="30"/>
  <c r="AG177" i="30"/>
  <c r="AQ173" i="30"/>
  <c r="AN170" i="30"/>
  <c r="AL167" i="30"/>
  <c r="AJ164" i="30"/>
  <c r="AI161" i="30"/>
  <c r="AG158" i="30"/>
  <c r="U193" i="30"/>
  <c r="Y190" i="30"/>
  <c r="AC187" i="30"/>
  <c r="U185" i="30"/>
  <c r="Y182" i="30"/>
  <c r="AC179" i="30"/>
  <c r="U177" i="30"/>
  <c r="Y174" i="30"/>
  <c r="AC171" i="30"/>
  <c r="U169" i="30"/>
  <c r="Y166" i="30"/>
  <c r="AC163" i="30"/>
  <c r="U161" i="30"/>
  <c r="Y158" i="30"/>
  <c r="CQ181" i="30"/>
  <c r="CT160" i="30"/>
  <c r="CC193" i="30"/>
  <c r="BY183" i="30"/>
  <c r="CC172" i="30"/>
  <c r="BV161" i="30"/>
  <c r="BL192" i="30"/>
  <c r="BH186" i="30"/>
  <c r="BP179" i="30"/>
  <c r="BH173" i="30"/>
  <c r="BN166" i="30"/>
  <c r="BP159" i="30"/>
  <c r="BC190" i="30"/>
  <c r="AX186" i="30"/>
  <c r="AU182" i="30"/>
  <c r="BE177" i="30"/>
  <c r="AZ173" i="30"/>
  <c r="AW169" i="30"/>
  <c r="BE164" i="30"/>
  <c r="BE160" i="30"/>
  <c r="CU180" i="30"/>
  <c r="CP160" i="30"/>
  <c r="CF192" i="30"/>
  <c r="BX183" i="30"/>
  <c r="BV172" i="30"/>
  <c r="CD160" i="30"/>
  <c r="BK192" i="30"/>
  <c r="BS185" i="30"/>
  <c r="BM179" i="30"/>
  <c r="BR172" i="30"/>
  <c r="BL166" i="30"/>
  <c r="BO159" i="30"/>
  <c r="BB190" i="30"/>
  <c r="AU186" i="30"/>
  <c r="AT182" i="30"/>
  <c r="BD177" i="30"/>
  <c r="AW173" i="30"/>
  <c r="AT169" i="30"/>
  <c r="BB164" i="30"/>
  <c r="BC160" i="30"/>
  <c r="AQ192" i="30"/>
  <c r="AK189" i="30"/>
  <c r="AG186" i="30"/>
  <c r="AQ182" i="30"/>
  <c r="AO179" i="30"/>
  <c r="AK176" i="30"/>
  <c r="AI173" i="30"/>
  <c r="AG170" i="30"/>
  <c r="AQ166" i="30"/>
  <c r="AO163" i="30"/>
  <c r="AN160" i="30"/>
  <c r="AA192" i="30"/>
  <c r="S190" i="30"/>
  <c r="W187" i="30"/>
  <c r="CK175" i="30"/>
  <c r="CF191" i="30"/>
  <c r="CA180" i="30"/>
  <c r="BV169" i="30"/>
  <c r="CB159" i="30"/>
  <c r="BK191" i="30"/>
  <c r="BL184" i="30"/>
  <c r="BR177" i="30"/>
  <c r="BJ171" i="30"/>
  <c r="BJ165" i="30"/>
  <c r="BR158" i="30"/>
  <c r="BB189" i="30"/>
  <c r="AY185" i="30"/>
  <c r="AT181" i="30"/>
  <c r="BA176" i="30"/>
  <c r="AY172" i="30"/>
  <c r="AT168" i="30"/>
  <c r="AU164" i="30"/>
  <c r="BC159" i="30"/>
  <c r="AG192" i="30"/>
  <c r="AN188" i="30"/>
  <c r="AL185" i="30"/>
  <c r="AJ182" i="30"/>
  <c r="AQ178" i="30"/>
  <c r="AN175" i="30"/>
  <c r="AL172" i="30"/>
  <c r="AK169" i="30"/>
  <c r="AI166" i="30"/>
  <c r="CJ182" i="30"/>
  <c r="CQ158" i="30"/>
  <c r="CA186" i="30"/>
  <c r="CB170" i="30"/>
  <c r="BI190" i="30"/>
  <c r="BR181" i="30"/>
  <c r="BN173" i="30"/>
  <c r="BI165" i="30"/>
  <c r="AX191" i="30"/>
  <c r="AT186" i="30"/>
  <c r="AX181" i="30"/>
  <c r="AW176" i="30"/>
  <c r="BA171" i="30"/>
  <c r="AT167" i="30"/>
  <c r="BC161" i="30"/>
  <c r="AL190" i="30"/>
  <c r="AM186" i="30"/>
  <c r="AG183" i="30"/>
  <c r="AM179" i="30"/>
  <c r="AQ175" i="30"/>
  <c r="AJ172" i="30"/>
  <c r="AQ168" i="30"/>
  <c r="AL165" i="30"/>
  <c r="AH162" i="30"/>
  <c r="AO158" i="30"/>
  <c r="Z191" i="30"/>
  <c r="AB188" i="30"/>
  <c r="R186" i="30"/>
  <c r="U183" i="30"/>
  <c r="X180" i="30"/>
  <c r="AA177" i="30"/>
  <c r="R175" i="30"/>
  <c r="U172" i="30"/>
  <c r="X169" i="30"/>
  <c r="AA166" i="30"/>
  <c r="R164" i="30"/>
  <c r="T161" i="30"/>
  <c r="W158" i="30"/>
  <c r="CU181" i="30"/>
  <c r="BX186" i="30"/>
  <c r="BV170" i="30"/>
  <c r="BR189" i="30"/>
  <c r="BQ181" i="30"/>
  <c r="BP172" i="30"/>
  <c r="BH165" i="30"/>
  <c r="AU191" i="30"/>
  <c r="BD185" i="30"/>
  <c r="AW181" i="30"/>
  <c r="AV176" i="30"/>
  <c r="AY171" i="30"/>
  <c r="BD166" i="30"/>
  <c r="BB161" i="30"/>
  <c r="AK190" i="30"/>
  <c r="AL186" i="30"/>
  <c r="AF183" i="30"/>
  <c r="AK179" i="30"/>
  <c r="AO175" i="30"/>
  <c r="AI172" i="30"/>
  <c r="AP168" i="30"/>
  <c r="AK165" i="30"/>
  <c r="AF162" i="30"/>
  <c r="AN158" i="30"/>
  <c r="Y191" i="30"/>
  <c r="AA188" i="30"/>
  <c r="AC185" i="30"/>
  <c r="T183" i="30"/>
  <c r="W180" i="30"/>
  <c r="Z177" i="30"/>
  <c r="AC174" i="30"/>
  <c r="T172" i="30"/>
  <c r="W169" i="30"/>
  <c r="Z166" i="30"/>
  <c r="AB163" i="30"/>
  <c r="S161" i="30"/>
  <c r="V158" i="30"/>
  <c r="CT181" i="30"/>
  <c r="CF183" i="30"/>
  <c r="BY169" i="30"/>
  <c r="BP189" i="30"/>
  <c r="BO181" i="30"/>
  <c r="BK172" i="30"/>
  <c r="BR164" i="30"/>
  <c r="AT191" i="30"/>
  <c r="BC185" i="30"/>
  <c r="BE180" i="30"/>
  <c r="AT176" i="30"/>
  <c r="AW171" i="30"/>
  <c r="BB166" i="30"/>
  <c r="BA161" i="30"/>
  <c r="CS181" i="30"/>
  <c r="CE183" i="30"/>
  <c r="BX169" i="30"/>
  <c r="BN189" i="30"/>
  <c r="BH181" i="30"/>
  <c r="BJ172" i="30"/>
  <c r="BO164" i="30"/>
  <c r="CT179" i="30"/>
  <c r="CD183" i="30"/>
  <c r="CB168" i="30"/>
  <c r="BM189" i="30"/>
  <c r="BL180" i="30"/>
  <c r="BR171" i="30"/>
  <c r="BS163" i="30"/>
  <c r="CS179" i="30"/>
  <c r="CA183" i="30"/>
  <c r="CA168" i="30"/>
  <c r="BQ188" i="30"/>
  <c r="BK180" i="30"/>
  <c r="BN171" i="30"/>
  <c r="BR163" i="30"/>
  <c r="AW190" i="30"/>
  <c r="AZ185" i="30"/>
  <c r="AX180" i="30"/>
  <c r="BA175" i="30"/>
  <c r="BD170" i="30"/>
  <c r="BE165" i="30"/>
  <c r="AV161" i="30"/>
  <c r="CP179" i="30"/>
  <c r="BV183" i="30"/>
  <c r="CD167" i="30"/>
  <c r="BP188" i="30"/>
  <c r="BR179" i="30"/>
  <c r="BM171" i="30"/>
  <c r="BQ163" i="30"/>
  <c r="AU190" i="30"/>
  <c r="AX185" i="30"/>
  <c r="AW180" i="30"/>
  <c r="AY175" i="30"/>
  <c r="BB170" i="30"/>
  <c r="BD165" i="30"/>
  <c r="AU161" i="30"/>
  <c r="AK193" i="30"/>
  <c r="AM189" i="30"/>
  <c r="AQ185" i="30"/>
  <c r="AL182" i="30"/>
  <c r="AO178" i="30"/>
  <c r="AH175" i="30"/>
  <c r="AO171" i="30"/>
  <c r="AJ168" i="30"/>
  <c r="AQ164" i="30"/>
  <c r="AL161" i="30"/>
  <c r="AH158" i="30"/>
  <c r="CR176" i="30"/>
  <c r="CD181" i="30"/>
  <c r="CG166" i="30"/>
  <c r="BR187" i="30"/>
  <c r="BH179" i="30"/>
  <c r="BN170" i="30"/>
  <c r="BS162" i="30"/>
  <c r="BD189" i="30"/>
  <c r="AT185" i="30"/>
  <c r="BC179" i="30"/>
  <c r="AU175" i="30"/>
  <c r="AY170" i="30"/>
  <c r="AX165" i="30"/>
  <c r="AY160" i="30"/>
  <c r="AG193" i="30"/>
  <c r="AI189" i="30"/>
  <c r="AN185" i="30"/>
  <c r="AG182" i="30"/>
  <c r="AK178" i="30"/>
  <c r="AQ174" i="30"/>
  <c r="AL171" i="30"/>
  <c r="AG168" i="30"/>
  <c r="AM164" i="30"/>
  <c r="AH161" i="30"/>
  <c r="AA193" i="30"/>
  <c r="AC190" i="30"/>
  <c r="S188" i="30"/>
  <c r="T185" i="30"/>
  <c r="W182" i="30"/>
  <c r="Z179" i="30"/>
  <c r="AC176" i="30"/>
  <c r="T174" i="30"/>
  <c r="W171" i="30"/>
  <c r="Z168" i="30"/>
  <c r="AC165" i="30"/>
  <c r="T163" i="30"/>
  <c r="W160" i="30"/>
  <c r="CL178" i="30"/>
  <c r="CG190" i="30"/>
  <c r="CG170" i="30"/>
  <c r="BJ190" i="30"/>
  <c r="BM177" i="30"/>
  <c r="BS166" i="30"/>
  <c r="BD193" i="30"/>
  <c r="AX188" i="30"/>
  <c r="AX182" i="30"/>
  <c r="BE175" i="30"/>
  <c r="BD169" i="30"/>
  <c r="AT164" i="30"/>
  <c r="AW158" i="30"/>
  <c r="AO190" i="30"/>
  <c r="AI186" i="30"/>
  <c r="AQ181" i="30"/>
  <c r="AQ177" i="30"/>
  <c r="AG174" i="30"/>
  <c r="AQ169" i="30"/>
  <c r="AG166" i="30"/>
  <c r="AJ162" i="30"/>
  <c r="AK158" i="30"/>
  <c r="CS176" i="30"/>
  <c r="BX190" i="30"/>
  <c r="BX167" i="30"/>
  <c r="BM188" i="30"/>
  <c r="BL177" i="30"/>
  <c r="BR166" i="30"/>
  <c r="BC193" i="30"/>
  <c r="AV188" i="30"/>
  <c r="AW182" i="30"/>
  <c r="BD175" i="30"/>
  <c r="BB169" i="30"/>
  <c r="BE163" i="30"/>
  <c r="AU158" i="30"/>
  <c r="AM190" i="30"/>
  <c r="AF186" i="30"/>
  <c r="AO181" i="30"/>
  <c r="AP177" i="30"/>
  <c r="AF174" i="30"/>
  <c r="AP169" i="30"/>
  <c r="AF166" i="30"/>
  <c r="AI162" i="30"/>
  <c r="AI158" i="30"/>
  <c r="CQ174" i="30"/>
  <c r="BW190" i="30"/>
  <c r="BW167" i="30"/>
  <c r="BH188" i="30"/>
  <c r="BI177" i="30"/>
  <c r="BO166" i="30"/>
  <c r="CO174" i="30"/>
  <c r="BV189" i="30"/>
  <c r="CD166" i="30"/>
  <c r="BL187" i="30"/>
  <c r="BS176" i="30"/>
  <c r="BH166" i="30"/>
  <c r="CL174" i="30"/>
  <c r="CG187" i="30"/>
  <c r="CC166" i="30"/>
  <c r="BL186" i="30"/>
  <c r="BQ176" i="30"/>
  <c r="BR165" i="30"/>
  <c r="AY193" i="30"/>
  <c r="CJ174" i="30"/>
  <c r="CC187" i="30"/>
  <c r="CA166" i="30"/>
  <c r="BK186" i="30"/>
  <c r="BK176" i="30"/>
  <c r="BP165" i="30"/>
  <c r="CT173" i="30"/>
  <c r="CB187" i="30"/>
  <c r="BX166" i="30"/>
  <c r="BJ186" i="30"/>
  <c r="BH176" i="30"/>
  <c r="BO165" i="30"/>
  <c r="AW193" i="30"/>
  <c r="AV187" i="30"/>
  <c r="BC180" i="30"/>
  <c r="BD174" i="30"/>
  <c r="BB168" i="30"/>
  <c r="AU163" i="30"/>
  <c r="AQ193" i="30"/>
  <c r="AL189" i="30"/>
  <c r="AJ185" i="30"/>
  <c r="AI181" i="30"/>
  <c r="AJ177" i="30"/>
  <c r="AJ173" i="30"/>
  <c r="AI169" i="30"/>
  <c r="AJ165" i="30"/>
  <c r="AK161" i="30"/>
  <c r="CP169" i="30"/>
  <c r="CG181" i="30"/>
  <c r="CE165" i="30"/>
  <c r="BQ185" i="30"/>
  <c r="BN175" i="30"/>
  <c r="BO163" i="30"/>
  <c r="BC192" i="30"/>
  <c r="BC186" i="30"/>
  <c r="BD179" i="30"/>
  <c r="AZ174" i="30"/>
  <c r="AV168" i="30"/>
  <c r="AZ162" i="30"/>
  <c r="AN193" i="30"/>
  <c r="AF189" i="30"/>
  <c r="AG185" i="30"/>
  <c r="AQ180" i="30"/>
  <c r="AF177" i="30"/>
  <c r="AQ172" i="30"/>
  <c r="AF169" i="30"/>
  <c r="AF165" i="30"/>
  <c r="AQ160" i="30"/>
  <c r="S192" i="30"/>
  <c r="R189" i="30"/>
  <c r="AA185" i="30"/>
  <c r="AA182" i="30"/>
  <c r="Y179" i="30"/>
  <c r="Y176" i="30"/>
  <c r="Y173" i="30"/>
  <c r="Y170" i="30"/>
  <c r="Y167" i="30"/>
  <c r="Y164" i="30"/>
  <c r="Y161" i="30"/>
  <c r="X158" i="30"/>
  <c r="CS173" i="30"/>
  <c r="CB175" i="30"/>
  <c r="BH182" i="30"/>
  <c r="BL165" i="30"/>
  <c r="AY188" i="30"/>
  <c r="AZ181" i="30"/>
  <c r="AT174" i="30"/>
  <c r="AY167" i="30"/>
  <c r="AV160" i="30"/>
  <c r="AK192" i="30"/>
  <c r="AF188" i="30"/>
  <c r="AK183" i="30"/>
  <c r="AL178" i="30"/>
  <c r="AH174" i="30"/>
  <c r="AL169" i="30"/>
  <c r="AN164" i="30"/>
  <c r="AI160" i="30"/>
  <c r="CR169" i="30"/>
  <c r="CA175" i="30"/>
  <c r="BQ179" i="30"/>
  <c r="BK165" i="30"/>
  <c r="BE187" i="30"/>
  <c r="BA180" i="30"/>
  <c r="BC173" i="30"/>
  <c r="AX167" i="30"/>
  <c r="AT160" i="30"/>
  <c r="CO169" i="30"/>
  <c r="BX175" i="30"/>
  <c r="BI179" i="30"/>
  <c r="BL163" i="30"/>
  <c r="BB187" i="30"/>
  <c r="BE179" i="30"/>
  <c r="BB173" i="30"/>
  <c r="AW167" i="30"/>
  <c r="BD159" i="30"/>
  <c r="AI192" i="30"/>
  <c r="AP187" i="30"/>
  <c r="AH183" i="30"/>
  <c r="AH178" i="30"/>
  <c r="AN173" i="30"/>
  <c r="AG169" i="30"/>
  <c r="AI164" i="30"/>
  <c r="AG160" i="30"/>
  <c r="CQ168" i="30"/>
  <c r="BY173" i="30"/>
  <c r="BJ193" i="30"/>
  <c r="BQ178" i="30"/>
  <c r="BR162" i="30"/>
  <c r="AZ187" i="30"/>
  <c r="BB179" i="30"/>
  <c r="AV173" i="30"/>
  <c r="AV167" i="30"/>
  <c r="BB159" i="30"/>
  <c r="AH192" i="30"/>
  <c r="AN187" i="30"/>
  <c r="AP182" i="30"/>
  <c r="AG178" i="30"/>
  <c r="AM173" i="30"/>
  <c r="AO168" i="30"/>
  <c r="AH164" i="30"/>
  <c r="AF160" i="30"/>
  <c r="X193" i="30"/>
  <c r="U190" i="30"/>
  <c r="R187" i="30"/>
  <c r="AC183" i="30"/>
  <c r="AB180" i="30"/>
  <c r="Y177" i="30"/>
  <c r="W174" i="30"/>
  <c r="U171" i="30"/>
  <c r="T168" i="30"/>
  <c r="S165" i="30"/>
  <c r="R162" i="30"/>
  <c r="AC158" i="30"/>
  <c r="CP168" i="30"/>
  <c r="BX173" i="30"/>
  <c r="BQ192" i="30"/>
  <c r="BP178" i="30"/>
  <c r="BK162" i="30"/>
  <c r="AW187" i="30"/>
  <c r="BA179" i="30"/>
  <c r="AU173" i="30"/>
  <c r="AU167" i="30"/>
  <c r="AZ159" i="30"/>
  <c r="AQ191" i="30"/>
  <c r="AM187" i="30"/>
  <c r="AO182" i="30"/>
  <c r="AF178" i="30"/>
  <c r="AK173" i="30"/>
  <c r="AN168" i="30"/>
  <c r="AG164" i="30"/>
  <c r="AQ159" i="30"/>
  <c r="CK162" i="30"/>
  <c r="CA192" i="30"/>
  <c r="CF165" i="30"/>
  <c r="CP161" i="30"/>
  <c r="BY192" i="30"/>
  <c r="CD165" i="30"/>
  <c r="BR191" i="30"/>
  <c r="BL175" i="30"/>
  <c r="BN160" i="30"/>
  <c r="BE192" i="30"/>
  <c r="BA185" i="30"/>
  <c r="BE178" i="30"/>
  <c r="AW172" i="30"/>
  <c r="AT165" i="30"/>
  <c r="AZ158" i="30"/>
  <c r="AJ191" i="30"/>
  <c r="AO186" i="30"/>
  <c r="AM181" i="30"/>
  <c r="AH177" i="30"/>
  <c r="AK172" i="30"/>
  <c r="AP167" i="30"/>
  <c r="AK163" i="30"/>
  <c r="AI159" i="30"/>
  <c r="AB192" i="30"/>
  <c r="Y189" i="30"/>
  <c r="W186" i="30"/>
  <c r="V183" i="30"/>
  <c r="S180" i="30"/>
  <c r="AB176" i="30"/>
  <c r="AA173" i="30"/>
  <c r="Z170" i="30"/>
  <c r="X167" i="30"/>
  <c r="W164" i="30"/>
  <c r="V161" i="30"/>
  <c r="R158" i="30"/>
  <c r="CU160" i="30"/>
  <c r="BX192" i="30"/>
  <c r="BY162" i="30"/>
  <c r="BP191" i="30"/>
  <c r="BK175" i="30"/>
  <c r="BI160" i="30"/>
  <c r="BB192" i="30"/>
  <c r="AW185" i="30"/>
  <c r="BB178" i="30"/>
  <c r="AT172" i="30"/>
  <c r="BA164" i="30"/>
  <c r="AY158" i="30"/>
  <c r="AI191" i="30"/>
  <c r="AK186" i="30"/>
  <c r="AK181" i="30"/>
  <c r="AQ176" i="30"/>
  <c r="AH172" i="30"/>
  <c r="AO167" i="30"/>
  <c r="AJ163" i="30"/>
  <c r="AH159" i="30"/>
  <c r="Z192" i="30"/>
  <c r="X189" i="30"/>
  <c r="V186" i="30"/>
  <c r="S183" i="30"/>
  <c r="R180" i="30"/>
  <c r="AA176" i="30"/>
  <c r="Z173" i="30"/>
  <c r="X170" i="30"/>
  <c r="W167" i="30"/>
  <c r="CN168" i="30"/>
  <c r="CG191" i="30"/>
  <c r="CC159" i="30"/>
  <c r="BR175" i="30"/>
  <c r="BS158" i="30"/>
  <c r="AY190" i="30"/>
  <c r="AZ182" i="30"/>
  <c r="BB172" i="30"/>
  <c r="AV164" i="30"/>
  <c r="AM191" i="30"/>
  <c r="AK185" i="30"/>
  <c r="AG180" i="30"/>
  <c r="AL174" i="30"/>
  <c r="AK168" i="30"/>
  <c r="AF163" i="30"/>
  <c r="V193" i="30"/>
  <c r="AA189" i="30"/>
  <c r="T186" i="30"/>
  <c r="X182" i="30"/>
  <c r="S179" i="30"/>
  <c r="AA175" i="30"/>
  <c r="W172" i="30"/>
  <c r="AB168" i="30"/>
  <c r="W165" i="30"/>
  <c r="T162" i="30"/>
  <c r="AB158" i="30"/>
  <c r="CU166" i="30"/>
  <c r="CD191" i="30"/>
  <c r="BX159" i="30"/>
  <c r="BO175" i="30"/>
  <c r="BQ158" i="30"/>
  <c r="AT190" i="30"/>
  <c r="AY182" i="30"/>
  <c r="BA172" i="30"/>
  <c r="BD163" i="30"/>
  <c r="CU165" i="30"/>
  <c r="CB191" i="30"/>
  <c r="CD158" i="30"/>
  <c r="BJ175" i="30"/>
  <c r="BO158" i="30"/>
  <c r="CL162" i="30"/>
  <c r="BV191" i="30"/>
  <c r="CC158" i="30"/>
  <c r="BP174" i="30"/>
  <c r="BN158" i="30"/>
  <c r="AZ189" i="30"/>
  <c r="BC181" i="30"/>
  <c r="BD171" i="30"/>
  <c r="BA163" i="30"/>
  <c r="CL160" i="30"/>
  <c r="BV187" i="30"/>
  <c r="CB158" i="30"/>
  <c r="BP192" i="30"/>
  <c r="BH174" i="30"/>
  <c r="BK158" i="30"/>
  <c r="AY189" i="30"/>
  <c r="BB181" i="30"/>
  <c r="BC171" i="30"/>
  <c r="AW163" i="30"/>
  <c r="AF191" i="30"/>
  <c r="AO184" i="30"/>
  <c r="AN179" i="30"/>
  <c r="AO173" i="30"/>
  <c r="AN167" i="30"/>
  <c r="AN162" i="30"/>
  <c r="BW179" i="30"/>
  <c r="BM191" i="30"/>
  <c r="BM170" i="30"/>
  <c r="BC188" i="30"/>
  <c r="AT179" i="30"/>
  <c r="AZ170" i="30"/>
  <c r="AT162" i="30"/>
  <c r="AQ189" i="30"/>
  <c r="AH184" i="30"/>
  <c r="AM178" i="30"/>
  <c r="AM172" i="30"/>
  <c r="AF167" i="30"/>
  <c r="AN161" i="30"/>
  <c r="U192" i="30"/>
  <c r="Y188" i="30"/>
  <c r="R185" i="30"/>
  <c r="Z181" i="30"/>
  <c r="V178" i="30"/>
  <c r="AB174" i="30"/>
  <c r="V171" i="30"/>
  <c r="AC167" i="30"/>
  <c r="X164" i="30"/>
  <c r="AC160" i="30"/>
  <c r="CF177" i="30"/>
  <c r="BJ185" i="30"/>
  <c r="BN169" i="30"/>
  <c r="AU185" i="30"/>
  <c r="AX177" i="30"/>
  <c r="AY168" i="30"/>
  <c r="AU159" i="30"/>
  <c r="AK188" i="30"/>
  <c r="AN182" i="30"/>
  <c r="AN176" i="30"/>
  <c r="AI171" i="30"/>
  <c r="AQ165" i="30"/>
  <c r="AJ160" i="30"/>
  <c r="V191" i="30"/>
  <c r="AA187" i="30"/>
  <c r="V184" i="30"/>
  <c r="R181" i="30"/>
  <c r="W177" i="30"/>
  <c r="AC173" i="30"/>
  <c r="V170" i="30"/>
  <c r="R167" i="30"/>
  <c r="X163" i="30"/>
  <c r="T160" i="30"/>
  <c r="CQ193" i="30"/>
  <c r="CE172" i="30"/>
  <c r="BR183" i="30"/>
  <c r="BI167" i="30"/>
  <c r="AZ193" i="30"/>
  <c r="AT184" i="30"/>
  <c r="AY176" i="30"/>
  <c r="BA167" i="30"/>
  <c r="AX158" i="30"/>
  <c r="AP193" i="30"/>
  <c r="AG188" i="30"/>
  <c r="AN181" i="30"/>
  <c r="AG176" i="30"/>
  <c r="AP170" i="30"/>
  <c r="AH165" i="30"/>
  <c r="AM159" i="30"/>
  <c r="R191" i="30"/>
  <c r="V187" i="30"/>
  <c r="R184" i="30"/>
  <c r="Y180" i="30"/>
  <c r="R177" i="30"/>
  <c r="V173" i="30"/>
  <c r="R170" i="30"/>
  <c r="W166" i="30"/>
  <c r="S163" i="30"/>
  <c r="AB159" i="30"/>
  <c r="CP193" i="30"/>
  <c r="BV171" i="30"/>
  <c r="BJ183" i="30"/>
  <c r="BJ162" i="30"/>
  <c r="CR158" i="30"/>
  <c r="CF176" i="30"/>
  <c r="BH170" i="30"/>
  <c r="AX193" i="30"/>
  <c r="AT183" i="30"/>
  <c r="BA170" i="30"/>
  <c r="AX159" i="30"/>
  <c r="AO193" i="30"/>
  <c r="AQ186" i="30"/>
  <c r="AF180" i="30"/>
  <c r="AP172" i="30"/>
  <c r="AL166" i="30"/>
  <c r="AP159" i="30"/>
  <c r="V190" i="30"/>
  <c r="U186" i="30"/>
  <c r="S182" i="30"/>
  <c r="W178" i="30"/>
  <c r="V174" i="30"/>
  <c r="U170" i="30"/>
  <c r="U166" i="30"/>
  <c r="Y162" i="30"/>
  <c r="R159" i="30"/>
  <c r="BW176" i="30"/>
  <c r="BR169" i="30"/>
  <c r="AT193" i="30"/>
  <c r="BD182" i="30"/>
  <c r="AW170" i="30"/>
  <c r="BE158" i="30"/>
  <c r="BV173" i="30"/>
  <c r="BQ169" i="30"/>
  <c r="BA192" i="30"/>
  <c r="BB182" i="30"/>
  <c r="AV170" i="30"/>
  <c r="BC158" i="30"/>
  <c r="AI193" i="30"/>
  <c r="AP185" i="30"/>
  <c r="AP179" i="30"/>
  <c r="AF172" i="30"/>
  <c r="AJ166" i="30"/>
  <c r="AL159" i="30"/>
  <c r="BW166" i="30"/>
  <c r="BN192" i="30"/>
  <c r="BP169" i="30"/>
  <c r="AY192" i="30"/>
  <c r="BE181" i="30"/>
  <c r="BA169" i="30"/>
  <c r="BB158" i="30"/>
  <c r="AF193" i="30"/>
  <c r="AO185" i="30"/>
  <c r="AJ179" i="30"/>
  <c r="AQ171" i="30"/>
  <c r="AH166" i="30"/>
  <c r="AK159" i="30"/>
  <c r="AC189" i="30"/>
  <c r="Z185" i="30"/>
  <c r="AB181" i="30"/>
  <c r="S178" i="30"/>
  <c r="R174" i="30"/>
  <c r="AC169" i="30"/>
  <c r="R166" i="30"/>
  <c r="V162" i="30"/>
  <c r="U158" i="30"/>
  <c r="BX162" i="30"/>
  <c r="BI192" i="30"/>
  <c r="BO169" i="30"/>
  <c r="AW192" i="30"/>
  <c r="AY179" i="30"/>
  <c r="AX169" i="30"/>
  <c r="AT158" i="30"/>
  <c r="AN192" i="30"/>
  <c r="AM185" i="30"/>
  <c r="AI179" i="30"/>
  <c r="AP171" i="30"/>
  <c r="AO165" i="30"/>
  <c r="AG159" i="30"/>
  <c r="CB161" i="30"/>
  <c r="BH192" i="30"/>
  <c r="BL169" i="30"/>
  <c r="AU192" i="30"/>
  <c r="BX161" i="30"/>
  <c r="BS191" i="30"/>
  <c r="BK169" i="30"/>
  <c r="BD191" i="30"/>
  <c r="AV179" i="30"/>
  <c r="BC168" i="30"/>
  <c r="BY160" i="30"/>
  <c r="BM190" i="30"/>
  <c r="BP161" i="30"/>
  <c r="BD190" i="30"/>
  <c r="AX178" i="30"/>
  <c r="BC167" i="30"/>
  <c r="AN191" i="30"/>
  <c r="AM184" i="30"/>
  <c r="AM177" i="30"/>
  <c r="AG171" i="30"/>
  <c r="AK164" i="30"/>
  <c r="AF158" i="30"/>
  <c r="T193" i="30"/>
  <c r="T189" i="30"/>
  <c r="AC184" i="30"/>
  <c r="U181" i="30"/>
  <c r="T177" i="30"/>
  <c r="S173" i="30"/>
  <c r="T169" i="30"/>
  <c r="V165" i="30"/>
  <c r="Z161" i="30"/>
  <c r="CO193" i="30"/>
  <c r="CC186" i="30"/>
  <c r="BK182" i="30"/>
  <c r="BB185" i="30"/>
  <c r="AT175" i="30"/>
  <c r="BB163" i="30"/>
  <c r="AO188" i="30"/>
  <c r="AI182" i="30"/>
  <c r="AI175" i="30"/>
  <c r="AM168" i="30"/>
  <c r="AK162" i="30"/>
  <c r="AA191" i="30"/>
  <c r="Y187" i="30"/>
  <c r="Z183" i="30"/>
  <c r="W179" i="30"/>
  <c r="Z175" i="30"/>
  <c r="AA171" i="30"/>
  <c r="AB167" i="30"/>
  <c r="AA163" i="30"/>
  <c r="R160" i="30"/>
  <c r="BS170" i="30"/>
  <c r="AU179" i="30"/>
  <c r="AU165" i="30"/>
  <c r="AJ189" i="30"/>
  <c r="AP180" i="30"/>
  <c r="AF173" i="30"/>
  <c r="AF164" i="30"/>
  <c r="AC191" i="30"/>
  <c r="T187" i="30"/>
  <c r="Z182" i="30"/>
  <c r="U178" i="30"/>
  <c r="W173" i="30"/>
  <c r="R169" i="30"/>
  <c r="AA164" i="30"/>
  <c r="U160" i="30"/>
  <c r="BQ170" i="30"/>
  <c r="BA178" i="30"/>
  <c r="AZ164" i="30"/>
  <c r="AH189" i="30"/>
  <c r="AO180" i="30"/>
  <c r="AN172" i="30"/>
  <c r="AQ163" i="30"/>
  <c r="AB191" i="30"/>
  <c r="S187" i="30"/>
  <c r="V182" i="30"/>
  <c r="T178" i="30"/>
  <c r="U173" i="30"/>
  <c r="AC168" i="30"/>
  <c r="Z164" i="30"/>
  <c r="S160" i="30"/>
  <c r="BJ168" i="30"/>
  <c r="AT178" i="30"/>
  <c r="AW164" i="30"/>
  <c r="AL188" i="30"/>
  <c r="AK180" i="30"/>
  <c r="AK171" i="30"/>
  <c r="AL163" i="30"/>
  <c r="U191" i="30"/>
  <c r="AA186" i="30"/>
  <c r="R182" i="30"/>
  <c r="AB177" i="30"/>
  <c r="AC172" i="30"/>
  <c r="X168" i="30"/>
  <c r="T164" i="30"/>
  <c r="Z159" i="30"/>
  <c r="BL161" i="30"/>
  <c r="AZ177" i="30"/>
  <c r="BB162" i="30"/>
  <c r="AI188" i="30"/>
  <c r="AH180" i="30"/>
  <c r="AF171" i="30"/>
  <c r="AG163" i="30"/>
  <c r="CD193" i="30"/>
  <c r="BK159" i="30"/>
  <c r="AZ191" i="30"/>
  <c r="BB176" i="30"/>
  <c r="BE161" i="30"/>
  <c r="AK187" i="30"/>
  <c r="AP178" i="30"/>
  <c r="AL170" i="30"/>
  <c r="AO162" i="30"/>
  <c r="CE192" i="30"/>
  <c r="BJ159" i="30"/>
  <c r="BE189" i="30"/>
  <c r="AX176" i="30"/>
  <c r="AZ161" i="30"/>
  <c r="AJ187" i="30"/>
  <c r="AI178" i="30"/>
  <c r="AK170" i="30"/>
  <c r="AM162" i="30"/>
  <c r="X190" i="30"/>
  <c r="Y185" i="30"/>
  <c r="V181" i="30"/>
  <c r="W176" i="30"/>
  <c r="V172" i="30"/>
  <c r="AA167" i="30"/>
  <c r="U163" i="30"/>
  <c r="T159" i="30"/>
  <c r="CN193" i="30"/>
  <c r="CG177" i="30"/>
  <c r="BS183" i="30"/>
  <c r="BB184" i="30"/>
  <c r="AU171" i="30"/>
  <c r="BR185" i="30"/>
  <c r="BB191" i="30"/>
  <c r="BE172" i="30"/>
  <c r="AF190" i="30"/>
  <c r="AF179" i="30"/>
  <c r="AH169" i="30"/>
  <c r="AQ158" i="30"/>
  <c r="Z193" i="30"/>
  <c r="V188" i="30"/>
  <c r="W183" i="30"/>
  <c r="R178" i="30"/>
  <c r="Z172" i="30"/>
  <c r="V167" i="30"/>
  <c r="X162" i="30"/>
  <c r="BP185" i="30"/>
  <c r="AW189" i="30"/>
  <c r="BD172" i="30"/>
  <c r="AN189" i="30"/>
  <c r="AO177" i="30"/>
  <c r="AI168" i="30"/>
  <c r="AP158" i="30"/>
  <c r="CF178" i="30"/>
  <c r="BO182" i="30"/>
  <c r="AU187" i="30"/>
  <c r="BE167" i="30"/>
  <c r="AG187" i="30"/>
  <c r="AJ176" i="30"/>
  <c r="AG167" i="30"/>
  <c r="CC178" i="30"/>
  <c r="BM182" i="30"/>
  <c r="BE186" i="30"/>
  <c r="BB167" i="30"/>
  <c r="AF187" i="30"/>
  <c r="AH176" i="30"/>
  <c r="AP166" i="30"/>
  <c r="CN192" i="30"/>
  <c r="CM192" i="30"/>
  <c r="BI159" i="30"/>
  <c r="AX179" i="30"/>
  <c r="AT161" i="30"/>
  <c r="AN183" i="30"/>
  <c r="AI174" i="30"/>
  <c r="AP162" i="30"/>
  <c r="T190" i="30"/>
  <c r="AA184" i="30"/>
  <c r="AA179" i="30"/>
  <c r="S175" i="30"/>
  <c r="Z169" i="30"/>
  <c r="V164" i="30"/>
  <c r="W159" i="30"/>
  <c r="BS182" i="30"/>
  <c r="AW178" i="30"/>
  <c r="AO183" i="30"/>
  <c r="AQ170" i="30"/>
  <c r="AH160" i="30"/>
  <c r="W190" i="30"/>
  <c r="Y184" i="30"/>
  <c r="T179" i="30"/>
  <c r="AB173" i="30"/>
  <c r="U168" i="30"/>
  <c r="AA162" i="30"/>
  <c r="BJ182" i="30"/>
  <c r="AU178" i="30"/>
  <c r="AM183" i="30"/>
  <c r="AM170" i="30"/>
  <c r="AN159" i="30"/>
  <c r="BJ178" i="30"/>
  <c r="BC177" i="30"/>
  <c r="AI183" i="30"/>
  <c r="AI170" i="30"/>
  <c r="AM158" i="30"/>
  <c r="AB189" i="30"/>
  <c r="W184" i="30"/>
  <c r="AC178" i="30"/>
  <c r="T173" i="30"/>
  <c r="R168" i="30"/>
  <c r="W162" i="30"/>
  <c r="BY178" i="30"/>
  <c r="BH162" i="30"/>
  <c r="BA174" i="30"/>
  <c r="AP191" i="30"/>
  <c r="AM180" i="30"/>
  <c r="AK167" i="30"/>
  <c r="Z188" i="30"/>
  <c r="X183" i="30"/>
  <c r="X177" i="30"/>
  <c r="R172" i="30"/>
  <c r="X166" i="30"/>
  <c r="BW178" i="30"/>
  <c r="BI161" i="30"/>
  <c r="AW174" i="30"/>
  <c r="AO191" i="30"/>
  <c r="AJ180" i="30"/>
  <c r="AJ167" i="30"/>
  <c r="X188" i="30"/>
  <c r="R183" i="30"/>
  <c r="V177" i="30"/>
  <c r="AB171" i="30"/>
  <c r="V166" i="30"/>
  <c r="R161" i="30"/>
  <c r="AT189" i="30"/>
  <c r="AY166" i="30"/>
  <c r="AQ188" i="30"/>
  <c r="AF176" i="30"/>
  <c r="AG165" i="30"/>
  <c r="R193" i="30"/>
  <c r="X187" i="30"/>
  <c r="Y181" i="30"/>
  <c r="S176" i="30"/>
  <c r="AC170" i="30"/>
  <c r="X165" i="30"/>
  <c r="AC159" i="30"/>
  <c r="BD188" i="30"/>
  <c r="AU166" i="30"/>
  <c r="AM188" i="30"/>
  <c r="AM175" i="30"/>
  <c r="AO164" i="30"/>
  <c r="AC192" i="30"/>
  <c r="U187" i="30"/>
  <c r="X181" i="30"/>
  <c r="R176" i="30"/>
  <c r="AB170" i="30"/>
  <c r="U165" i="30"/>
  <c r="AA159" i="30"/>
  <c r="CL192" i="30"/>
  <c r="BB186" i="30"/>
  <c r="AY164" i="30"/>
  <c r="AQ187" i="30"/>
  <c r="AG175" i="30"/>
  <c r="AI163" i="30"/>
  <c r="W192" i="30"/>
  <c r="Z186" i="30"/>
  <c r="S181" i="30"/>
  <c r="Y175" i="30"/>
  <c r="T170" i="30"/>
  <c r="AC164" i="30"/>
  <c r="V159" i="30"/>
  <c r="BN159" i="30"/>
  <c r="BE183" i="30"/>
  <c r="AQ179" i="30"/>
  <c r="AQ162" i="30"/>
  <c r="V192" i="30"/>
  <c r="S185" i="30"/>
  <c r="Y178" i="30"/>
  <c r="S171" i="30"/>
  <c r="Z163" i="30"/>
  <c r="BH159" i="30"/>
  <c r="BD183" i="30"/>
  <c r="AL177" i="30"/>
  <c r="AQ161" i="30"/>
  <c r="T192" i="30"/>
  <c r="AB184" i="30"/>
  <c r="X178" i="30"/>
  <c r="R171" i="30"/>
  <c r="Y163" i="30"/>
  <c r="CD192" i="30"/>
  <c r="BB183" i="30"/>
  <c r="AK177" i="30"/>
  <c r="AP161" i="30"/>
  <c r="R192" i="30"/>
  <c r="Z184" i="30"/>
  <c r="AC177" i="30"/>
  <c r="AA170" i="30"/>
  <c r="W163" i="30"/>
  <c r="CE181" i="30"/>
  <c r="BA183" i="30"/>
  <c r="AI177" i="30"/>
  <c r="AM161" i="30"/>
  <c r="X191" i="30"/>
  <c r="X184" i="30"/>
  <c r="S177" i="30"/>
  <c r="W170" i="30"/>
  <c r="V163" i="30"/>
  <c r="BY181" i="30"/>
  <c r="AY183" i="30"/>
  <c r="AO176" i="30"/>
  <c r="AJ161" i="30"/>
  <c r="W191" i="30"/>
  <c r="U184" i="30"/>
  <c r="Z176" i="30"/>
  <c r="S170" i="30"/>
  <c r="R163" i="30"/>
  <c r="CA160" i="30"/>
  <c r="AX175" i="30"/>
  <c r="AH191" i="30"/>
  <c r="AO174" i="30"/>
  <c r="AK160" i="30"/>
  <c r="Z190" i="30"/>
  <c r="Y183" i="30"/>
  <c r="AC175" i="30"/>
  <c r="S169" i="30"/>
  <c r="S162" i="30"/>
  <c r="BA168" i="30"/>
  <c r="AI185" i="30"/>
  <c r="AJ171" i="30"/>
  <c r="W188" i="30"/>
  <c r="T181" i="30"/>
  <c r="Z174" i="30"/>
  <c r="T167" i="30"/>
  <c r="Z160" i="30"/>
  <c r="CO191" i="30"/>
  <c r="BI186" i="30"/>
  <c r="AX164" i="30"/>
  <c r="AK184" i="30"/>
  <c r="AM169" i="30"/>
  <c r="AB187" i="30"/>
  <c r="V180" i="30"/>
  <c r="X173" i="30"/>
  <c r="T166" i="30"/>
  <c r="Y159" i="30"/>
  <c r="AW161" i="30"/>
  <c r="AG184" i="30"/>
  <c r="AM163" i="30"/>
  <c r="V185" i="30"/>
  <c r="V175" i="30"/>
  <c r="AB165" i="30"/>
  <c r="BW181" i="30"/>
  <c r="BA160" i="30"/>
  <c r="AQ183" i="30"/>
  <c r="AF161" i="30"/>
  <c r="T184" i="30"/>
  <c r="U175" i="30"/>
  <c r="AA165" i="30"/>
  <c r="CA178" i="30"/>
  <c r="AW160" i="30"/>
  <c r="AP183" i="30"/>
  <c r="AP160" i="30"/>
  <c r="BZ178" i="30"/>
  <c r="AM182" i="30"/>
  <c r="AO160" i="30"/>
  <c r="AB193" i="30"/>
  <c r="AB183" i="30"/>
  <c r="AA174" i="30"/>
  <c r="Y165" i="30"/>
  <c r="CB160" i="30"/>
  <c r="AK182" i="30"/>
  <c r="AM160" i="30"/>
  <c r="CN190" i="30"/>
  <c r="BR173" i="30"/>
  <c r="BB174" i="30"/>
  <c r="AG191" i="30"/>
  <c r="AO169" i="30"/>
  <c r="T188" i="30"/>
  <c r="R179" i="30"/>
  <c r="AA168" i="30"/>
  <c r="X160" i="30"/>
  <c r="CM190" i="30"/>
  <c r="BO173" i="30"/>
  <c r="AX172" i="30"/>
  <c r="AQ190" i="30"/>
  <c r="AN169" i="30"/>
  <c r="R188" i="30"/>
  <c r="AB178" i="30"/>
  <c r="Y168" i="30"/>
  <c r="V160" i="30"/>
  <c r="CD159" i="30"/>
  <c r="BC176" i="30"/>
  <c r="AM176" i="30"/>
  <c r="X185" i="30"/>
  <c r="S174" i="30"/>
  <c r="Z162" i="30"/>
  <c r="BE174" i="30"/>
  <c r="AJ175" i="30"/>
  <c r="BB171" i="30"/>
  <c r="AF175" i="30"/>
  <c r="AA183" i="30"/>
  <c r="AA172" i="30"/>
  <c r="AB161" i="30"/>
  <c r="BO185" i="30"/>
  <c r="BE162" i="30"/>
  <c r="AN171" i="30"/>
  <c r="W193" i="30"/>
  <c r="AA181" i="30"/>
  <c r="X171" i="30"/>
  <c r="Y160" i="30"/>
  <c r="BH185" i="30"/>
  <c r="AY162" i="30"/>
  <c r="AM171" i="30"/>
  <c r="AJ192" i="30"/>
  <c r="AK166" i="30"/>
  <c r="R190" i="30"/>
  <c r="X179" i="30"/>
  <c r="S168" i="30"/>
  <c r="CT189" i="30"/>
  <c r="AJ188" i="30"/>
  <c r="AL158" i="30"/>
  <c r="U189" i="30"/>
  <c r="Z178" i="30"/>
  <c r="AC166" i="30"/>
  <c r="CU159" i="30"/>
  <c r="BA193" i="30"/>
  <c r="AH188" i="30"/>
  <c r="S189" i="30"/>
  <c r="X176" i="30"/>
  <c r="AB166" i="30"/>
  <c r="CQ159" i="30"/>
  <c r="AJ174" i="30"/>
  <c r="AB186" i="30"/>
  <c r="AB172" i="30"/>
  <c r="X159" i="30"/>
  <c r="BP190" i="30"/>
  <c r="AH173" i="30"/>
  <c r="Y186" i="30"/>
  <c r="Y172" i="30"/>
  <c r="U159" i="30"/>
  <c r="BN190" i="30"/>
  <c r="AH170" i="30"/>
  <c r="X186" i="30"/>
  <c r="X172" i="30"/>
  <c r="S159" i="30"/>
  <c r="BK184" i="30"/>
  <c r="AH168" i="30"/>
  <c r="S186" i="30"/>
  <c r="S172" i="30"/>
  <c r="AA158" i="30"/>
  <c r="BB188" i="30"/>
  <c r="AM165" i="30"/>
  <c r="U182" i="30"/>
  <c r="Y169" i="30"/>
  <c r="BA188" i="30"/>
  <c r="AN163" i="30"/>
  <c r="BB165" i="30"/>
  <c r="AF185" i="30"/>
  <c r="T191" i="30"/>
  <c r="AA178" i="30"/>
  <c r="U164" i="30"/>
  <c r="AW162" i="30"/>
  <c r="AI184" i="30"/>
  <c r="AB190" i="30"/>
  <c r="U176" i="30"/>
  <c r="AC162" i="30"/>
  <c r="BO177" i="30"/>
  <c r="AX183" i="30"/>
  <c r="AN174" i="30"/>
  <c r="AB179" i="30"/>
  <c r="AA161" i="30"/>
  <c r="BL170" i="30"/>
  <c r="AV183" i="30"/>
  <c r="AM174" i="30"/>
  <c r="V179" i="30"/>
  <c r="X161" i="30"/>
  <c r="BI170" i="30"/>
  <c r="AV177" i="30"/>
  <c r="AK174" i="30"/>
  <c r="U179" i="30"/>
  <c r="W161" i="30"/>
  <c r="X192" i="30"/>
  <c r="X174" i="30"/>
  <c r="S191" i="30"/>
  <c r="U174" i="30"/>
  <c r="AA190" i="30"/>
  <c r="R173" i="30"/>
  <c r="AK191" i="30"/>
  <c r="S184" i="30"/>
  <c r="U167" i="30"/>
  <c r="AP190" i="30"/>
  <c r="AC182" i="30"/>
  <c r="S167" i="30"/>
  <c r="AJ190" i="30"/>
  <c r="AB182" i="30"/>
  <c r="S166" i="30"/>
  <c r="AZ165" i="30"/>
  <c r="AB175" i="30"/>
  <c r="X175" i="30"/>
  <c r="Z171" i="30"/>
  <c r="Y171" i="30"/>
  <c r="AH185" i="30"/>
  <c r="AC193" i="30"/>
  <c r="V169" i="30"/>
  <c r="AN184" i="30"/>
  <c r="Y193" i="30"/>
  <c r="W168" i="30"/>
  <c r="V176" i="30"/>
  <c r="T176" i="30"/>
  <c r="W175" i="30"/>
  <c r="T175" i="30"/>
  <c r="T171" i="30"/>
  <c r="AB169" i="30"/>
  <c r="AA169" i="30"/>
  <c r="Z165" i="30"/>
  <c r="V189" i="30"/>
  <c r="AB160" i="30"/>
  <c r="T158" i="30"/>
  <c r="S158" i="30"/>
  <c r="S193" i="30"/>
  <c r="Y192" i="30"/>
  <c r="Z187" i="30"/>
  <c r="AC186" i="30"/>
  <c r="AB185" i="30"/>
  <c r="AJ193" i="30"/>
  <c r="AA180" i="30"/>
  <c r="AV189" i="30"/>
  <c r="AX184" i="30"/>
  <c r="AG181" i="30"/>
  <c r="V168" i="30"/>
  <c r="Z180" i="30"/>
  <c r="R165" i="30"/>
  <c r="AZ184" i="30"/>
  <c r="AN180" i="30"/>
  <c r="BE168" i="30"/>
  <c r="AH167" i="30"/>
  <c r="U180" i="30"/>
  <c r="T180" i="30"/>
  <c r="Z167" i="30"/>
  <c r="T165" i="30"/>
  <c r="S164" i="30"/>
  <c r="AB162" i="30"/>
  <c r="AA160" i="30"/>
  <c r="Z158" i="30"/>
  <c r="CK231" i="24"/>
  <c r="CO228" i="24"/>
  <c r="CS225" i="24"/>
  <c r="CK223" i="24"/>
  <c r="CO220" i="24"/>
  <c r="CS217" i="24"/>
  <c r="CK215" i="24"/>
  <c r="CO212" i="24"/>
  <c r="CS209" i="24"/>
  <c r="CK207" i="24"/>
  <c r="CO204" i="24"/>
  <c r="CN230" i="24"/>
  <c r="CR227" i="24"/>
  <c r="CJ230" i="24"/>
  <c r="CL227" i="24"/>
  <c r="CO224" i="24"/>
  <c r="CR221" i="24"/>
  <c r="CU218" i="24"/>
  <c r="CL216" i="24"/>
  <c r="CO213" i="24"/>
  <c r="CR210" i="24"/>
  <c r="CU207" i="24"/>
  <c r="CL205" i="24"/>
  <c r="CO202" i="24"/>
  <c r="CS199" i="24"/>
  <c r="CK197" i="24"/>
  <c r="CO229" i="24"/>
  <c r="CP226" i="24"/>
  <c r="CR223" i="24"/>
  <c r="CT220" i="24"/>
  <c r="CJ218" i="24"/>
  <c r="CL215" i="24"/>
  <c r="CM212" i="24"/>
  <c r="CO209" i="24"/>
  <c r="CQ206" i="24"/>
  <c r="CS203" i="24"/>
  <c r="CJ201" i="24"/>
  <c r="CM198" i="24"/>
  <c r="CS231" i="24"/>
  <c r="CT228" i="24"/>
  <c r="CU225" i="24"/>
  <c r="CJ223" i="24"/>
  <c r="CL220" i="24"/>
  <c r="CN217" i="24"/>
  <c r="CP214" i="24"/>
  <c r="CR211" i="24"/>
  <c r="CT208" i="24"/>
  <c r="CJ206" i="24"/>
  <c r="CL203" i="24"/>
  <c r="CO200" i="24"/>
  <c r="CR197" i="24"/>
  <c r="CJ231" i="24"/>
  <c r="CU227" i="24"/>
  <c r="CT224" i="24"/>
  <c r="CT221" i="24"/>
  <c r="CS218" i="24"/>
  <c r="CS215" i="24"/>
  <c r="CS212" i="24"/>
  <c r="CR209" i="24"/>
  <c r="CR206" i="24"/>
  <c r="CQ203" i="24"/>
  <c r="CR200" i="24"/>
  <c r="CS197" i="24"/>
  <c r="CA230" i="24"/>
  <c r="CE227" i="24"/>
  <c r="BW225" i="24"/>
  <c r="CA222" i="24"/>
  <c r="CE219" i="24"/>
  <c r="BW217" i="24"/>
  <c r="CA214" i="24"/>
  <c r="CE211" i="24"/>
  <c r="BW209" i="24"/>
  <c r="CA206" i="24"/>
  <c r="CE203" i="24"/>
  <c r="BW201" i="24"/>
  <c r="CA198" i="24"/>
  <c r="CN229" i="24"/>
  <c r="CM226" i="24"/>
  <c r="CM223" i="24"/>
  <c r="CK220" i="24"/>
  <c r="CK217" i="24"/>
  <c r="CK214" i="24"/>
  <c r="CK211" i="24"/>
  <c r="CK208" i="24"/>
  <c r="CJ205" i="24"/>
  <c r="CJ202" i="24"/>
  <c r="CK199" i="24"/>
  <c r="CL196" i="24"/>
  <c r="CJ229" i="24"/>
  <c r="CT225" i="24"/>
  <c r="CS222" i="24"/>
  <c r="CS219" i="24"/>
  <c r="CS216" i="24"/>
  <c r="CS213" i="24"/>
  <c r="CS210" i="24"/>
  <c r="CR207" i="24"/>
  <c r="CR204" i="24"/>
  <c r="CR201" i="24"/>
  <c r="CS198" i="24"/>
  <c r="CU229" i="24"/>
  <c r="CQ226" i="24"/>
  <c r="CL223" i="24"/>
  <c r="CR219" i="24"/>
  <c r="CO216" i="24"/>
  <c r="CK213" i="24"/>
  <c r="CT209" i="24"/>
  <c r="CN206" i="24"/>
  <c r="CJ203" i="24"/>
  <c r="CT199" i="24"/>
  <c r="CQ196" i="24"/>
  <c r="CR229" i="24"/>
  <c r="CL226" i="24"/>
  <c r="CR222" i="24"/>
  <c r="CO219" i="24"/>
  <c r="CK216" i="24"/>
  <c r="CT212" i="24"/>
  <c r="CN209" i="24"/>
  <c r="CK206" i="24"/>
  <c r="CS202" i="24"/>
  <c r="CP199" i="24"/>
  <c r="CN196" i="24"/>
  <c r="CU228" i="24"/>
  <c r="CO225" i="24"/>
  <c r="CL222" i="24"/>
  <c r="CT218" i="24"/>
  <c r="CP215" i="24"/>
  <c r="CK212" i="24"/>
  <c r="CS208" i="24"/>
  <c r="CP205" i="24"/>
  <c r="CL202" i="24"/>
  <c r="CU198" i="24"/>
  <c r="CU230" i="24"/>
  <c r="CM227" i="24"/>
  <c r="CQ223" i="24"/>
  <c r="CT219" i="24"/>
  <c r="CJ216" i="24"/>
  <c r="CN212" i="24"/>
  <c r="CQ208" i="24"/>
  <c r="CU204" i="24"/>
  <c r="CN201" i="24"/>
  <c r="CT197" i="24"/>
  <c r="CT230" i="24"/>
  <c r="CK227" i="24"/>
  <c r="CP223" i="24"/>
  <c r="CQ219" i="24"/>
  <c r="CU215" i="24"/>
  <c r="CL212" i="24"/>
  <c r="CP208" i="24"/>
  <c r="CT204" i="24"/>
  <c r="CM201" i="24"/>
  <c r="CQ197" i="24"/>
  <c r="CQ230" i="24"/>
  <c r="CT226" i="24"/>
  <c r="CU222" i="24"/>
  <c r="CM219" i="24"/>
  <c r="CQ215" i="24"/>
  <c r="CT211" i="24"/>
  <c r="CM208" i="24"/>
  <c r="CP204" i="24"/>
  <c r="CU200" i="24"/>
  <c r="CN197" i="24"/>
  <c r="CG230" i="24"/>
  <c r="BX228" i="24"/>
  <c r="CA225" i="24"/>
  <c r="CD222" i="24"/>
  <c r="CG219" i="24"/>
  <c r="BX217" i="24"/>
  <c r="BZ214" i="24"/>
  <c r="CC211" i="24"/>
  <c r="CF208" i="24"/>
  <c r="BW206" i="24"/>
  <c r="BZ203" i="24"/>
  <c r="CC200" i="24"/>
  <c r="CT229" i="24"/>
  <c r="CJ226" i="24"/>
  <c r="CM222" i="24"/>
  <c r="CP218" i="24"/>
  <c r="CT214" i="24"/>
  <c r="CM211" i="24"/>
  <c r="CP207" i="24"/>
  <c r="CU203" i="24"/>
  <c r="CM200" i="24"/>
  <c r="CS196" i="24"/>
  <c r="CM230" i="24"/>
  <c r="CQ225" i="24"/>
  <c r="CP221" i="24"/>
  <c r="CP217" i="24"/>
  <c r="CN213" i="24"/>
  <c r="CK209" i="24"/>
  <c r="CS204" i="24"/>
  <c r="CQ200" i="24"/>
  <c r="CP196" i="24"/>
  <c r="CM7" i="30"/>
  <c r="CU9" i="30"/>
  <c r="CQ12" i="30"/>
  <c r="CM15" i="30"/>
  <c r="CU17" i="30"/>
  <c r="CQ20" i="30"/>
  <c r="CM23" i="30"/>
  <c r="CU25" i="30"/>
  <c r="CQ28" i="30"/>
  <c r="CM31" i="30"/>
  <c r="CU33" i="30"/>
  <c r="CQ36" i="30"/>
  <c r="CM39" i="30"/>
  <c r="CU41" i="30"/>
  <c r="CM327" i="30"/>
  <c r="CU329" i="30"/>
  <c r="CQ332" i="30"/>
  <c r="CM335" i="30"/>
  <c r="CU337" i="30"/>
  <c r="CQ340" i="30"/>
  <c r="CM343" i="30"/>
  <c r="CU345" i="30"/>
  <c r="CQ350" i="30"/>
  <c r="CM353" i="30"/>
  <c r="CU355" i="30"/>
  <c r="CQ358" i="30"/>
  <c r="CM361" i="30"/>
  <c r="CU363" i="30"/>
  <c r="CQ366" i="30"/>
  <c r="CM369" i="30"/>
  <c r="CU371" i="30"/>
  <c r="CQ374" i="30"/>
  <c r="CM377" i="30"/>
  <c r="CU379" i="30"/>
  <c r="CQ382" i="30"/>
  <c r="CQ426" i="30"/>
  <c r="CM429" i="30"/>
  <c r="CU431" i="30"/>
  <c r="CQ434" i="30"/>
  <c r="CM437" i="30"/>
  <c r="CU439" i="30"/>
  <c r="CQ442" i="30"/>
  <c r="CM445" i="30"/>
  <c r="CU447" i="30"/>
  <c r="CQ450" i="30"/>
  <c r="CM453" i="30"/>
  <c r="CU455" i="30"/>
  <c r="CQ458" i="30"/>
  <c r="CN7" i="30"/>
  <c r="CJ10" i="30"/>
  <c r="CR12" i="30"/>
  <c r="CN15" i="30"/>
  <c r="CJ18" i="30"/>
  <c r="CR20" i="30"/>
  <c r="CN23" i="30"/>
  <c r="CJ26" i="30"/>
  <c r="CR28" i="30"/>
  <c r="CN31" i="30"/>
  <c r="CJ34" i="30"/>
  <c r="CR36" i="30"/>
  <c r="CN39" i="30"/>
  <c r="CN327" i="30"/>
  <c r="CJ330" i="30"/>
  <c r="CR332" i="30"/>
  <c r="CN335" i="30"/>
  <c r="CJ338" i="30"/>
  <c r="CR340" i="30"/>
  <c r="CN343" i="30"/>
  <c r="CJ348" i="30"/>
  <c r="CR350" i="30"/>
  <c r="CN353" i="30"/>
  <c r="CJ356" i="30"/>
  <c r="CR358" i="30"/>
  <c r="CN361" i="30"/>
  <c r="CJ364" i="30"/>
  <c r="CR366" i="30"/>
  <c r="CN369" i="30"/>
  <c r="CJ372" i="30"/>
  <c r="CR374" i="30"/>
  <c r="CN377" i="30"/>
  <c r="CJ380" i="30"/>
  <c r="CR382" i="30"/>
  <c r="CJ424" i="30"/>
  <c r="CR426" i="30"/>
  <c r="CN429" i="30"/>
  <c r="CJ432" i="30"/>
  <c r="CR434" i="30"/>
  <c r="CN437" i="30"/>
  <c r="CJ440" i="30"/>
  <c r="CR442" i="30"/>
  <c r="CN445" i="30"/>
  <c r="CJ448" i="30"/>
  <c r="CR450" i="30"/>
  <c r="CN453" i="30"/>
  <c r="CJ456" i="30"/>
  <c r="CR458" i="30"/>
  <c r="CR7" i="30"/>
  <c r="CN10" i="30"/>
  <c r="CJ13" i="30"/>
  <c r="CR15" i="30"/>
  <c r="CN18" i="30"/>
  <c r="CJ21" i="30"/>
  <c r="CR23" i="30"/>
  <c r="CN26" i="30"/>
  <c r="CJ29" i="30"/>
  <c r="CR31" i="30"/>
  <c r="CN34" i="30"/>
  <c r="CJ37" i="30"/>
  <c r="CR39" i="30"/>
  <c r="CS7" i="30"/>
  <c r="CO10" i="30"/>
  <c r="CK13" i="30"/>
  <c r="CS15" i="30"/>
  <c r="CO18" i="30"/>
  <c r="CK21" i="30"/>
  <c r="CS23" i="30"/>
  <c r="CO26" i="30"/>
  <c r="CK29" i="30"/>
  <c r="CS31" i="30"/>
  <c r="CO34" i="30"/>
  <c r="CK37" i="30"/>
  <c r="CS39" i="30"/>
  <c r="CP10" i="30"/>
  <c r="CL13" i="30"/>
  <c r="CT15" i="30"/>
  <c r="CP18" i="30"/>
  <c r="CL21" i="30"/>
  <c r="CT23" i="30"/>
  <c r="CP26" i="30"/>
  <c r="CL29" i="30"/>
  <c r="CT31" i="30"/>
  <c r="CP34" i="30"/>
  <c r="CL37" i="30"/>
  <c r="CT39" i="30"/>
  <c r="CJ8" i="30"/>
  <c r="CR10" i="30"/>
  <c r="CN13" i="30"/>
  <c r="CJ16" i="30"/>
  <c r="CR18" i="30"/>
  <c r="CN21" i="30"/>
  <c r="CJ24" i="30"/>
  <c r="CR26" i="30"/>
  <c r="CN29" i="30"/>
  <c r="CJ32" i="30"/>
  <c r="CR34" i="30"/>
  <c r="CN37" i="30"/>
  <c r="CJ40" i="30"/>
  <c r="CJ328" i="30"/>
  <c r="CR330" i="30"/>
  <c r="CN333" i="30"/>
  <c r="CJ336" i="30"/>
  <c r="CR338" i="30"/>
  <c r="CN341" i="30"/>
  <c r="CR348" i="30"/>
  <c r="CN351" i="30"/>
  <c r="CJ354" i="30"/>
  <c r="CR356" i="30"/>
  <c r="CN359" i="30"/>
  <c r="CJ362" i="30"/>
  <c r="CR364" i="30"/>
  <c r="CN367" i="30"/>
  <c r="CJ370" i="30"/>
  <c r="CR372" i="30"/>
  <c r="CN375" i="30"/>
  <c r="CJ378" i="30"/>
  <c r="CR380" i="30"/>
  <c r="CR424" i="30"/>
  <c r="CN427" i="30"/>
  <c r="CJ430" i="30"/>
  <c r="CR432" i="30"/>
  <c r="CN435" i="30"/>
  <c r="CJ438" i="30"/>
  <c r="CR440" i="30"/>
  <c r="CN443" i="30"/>
  <c r="CJ446" i="30"/>
  <c r="CR448" i="30"/>
  <c r="CN451" i="30"/>
  <c r="CJ454" i="30"/>
  <c r="CR456" i="30"/>
  <c r="CK8" i="30"/>
  <c r="CS10" i="30"/>
  <c r="CO13" i="30"/>
  <c r="CK16" i="30"/>
  <c r="CS18" i="30"/>
  <c r="CO21" i="30"/>
  <c r="CK24" i="30"/>
  <c r="CS26" i="30"/>
  <c r="CO29" i="30"/>
  <c r="CK32" i="30"/>
  <c r="CS34" i="30"/>
  <c r="CO37" i="30"/>
  <c r="X24" i="24"/>
  <c r="AF19" i="24"/>
  <c r="R25" i="24"/>
  <c r="AL27" i="24"/>
  <c r="AB6" i="24"/>
  <c r="AC25" i="24"/>
  <c r="AO27" i="24"/>
  <c r="AQ37" i="24"/>
  <c r="X8" i="24"/>
  <c r="T27" i="24"/>
  <c r="AJ38" i="24"/>
  <c r="BA17" i="24"/>
  <c r="AC9" i="24"/>
  <c r="R29" i="24"/>
  <c r="BB20" i="24"/>
  <c r="BI14" i="24"/>
  <c r="T11" i="24"/>
  <c r="AB30" i="24"/>
  <c r="BL23" i="24"/>
  <c r="X12" i="24"/>
  <c r="AC13" i="24"/>
  <c r="R13" i="24"/>
  <c r="X32" i="24"/>
  <c r="R33" i="24"/>
  <c r="AB14" i="24"/>
  <c r="AC33" i="24"/>
  <c r="AB34" i="24"/>
  <c r="R17" i="24"/>
  <c r="AC17" i="24"/>
  <c r="R37" i="24"/>
  <c r="T35" i="24"/>
  <c r="X36" i="24"/>
  <c r="AB18" i="24"/>
  <c r="AB38" i="24"/>
  <c r="X16" i="24"/>
  <c r="T19" i="24"/>
  <c r="T39" i="24"/>
  <c r="T31" i="24"/>
  <c r="T15" i="24"/>
  <c r="X20" i="24"/>
  <c r="R41" i="24"/>
  <c r="R21" i="24"/>
  <c r="AH7" i="24"/>
  <c r="X40" i="24"/>
  <c r="AC21" i="24"/>
  <c r="AB22" i="24"/>
  <c r="CS26" i="24"/>
  <c r="BY21" i="24"/>
  <c r="BK39" i="24"/>
  <c r="BK31" i="24"/>
  <c r="BK23" i="24"/>
  <c r="BK15" i="24"/>
  <c r="BK7" i="24"/>
  <c r="CU24" i="24"/>
  <c r="CA19" i="24"/>
  <c r="BH39" i="24"/>
  <c r="BH31" i="24"/>
  <c r="BH23" i="24"/>
  <c r="BH15" i="24"/>
  <c r="BH7" i="24"/>
  <c r="AT39" i="24"/>
  <c r="BB35" i="24"/>
  <c r="BA32" i="24"/>
  <c r="AY29" i="24"/>
  <c r="AZ26" i="24"/>
  <c r="AY23" i="24"/>
  <c r="AZ20" i="24"/>
  <c r="AY17" i="24"/>
  <c r="AZ14" i="24"/>
  <c r="BA11" i="24"/>
  <c r="AT9" i="24"/>
  <c r="BA6" i="24"/>
  <c r="AI40" i="24"/>
  <c r="AF38" i="24"/>
  <c r="AP35" i="24"/>
  <c r="AN33" i="24"/>
  <c r="AM31" i="24"/>
  <c r="AL29" i="24"/>
  <c r="AK27" i="24"/>
  <c r="AJ25" i="24"/>
  <c r="AI23" i="24"/>
  <c r="AH21" i="24"/>
  <c r="AG19" i="24"/>
  <c r="AF17" i="24"/>
  <c r="AQ14" i="24"/>
  <c r="AQ12" i="24"/>
  <c r="AQ10" i="24"/>
  <c r="AQ8" i="24"/>
  <c r="AQ6" i="24"/>
  <c r="AC40" i="24"/>
  <c r="AC38" i="24"/>
  <c r="AC36" i="24"/>
  <c r="AC34" i="24"/>
  <c r="AC32" i="24"/>
  <c r="AC30" i="24"/>
  <c r="AC28" i="24"/>
  <c r="AC26" i="24"/>
  <c r="AC24" i="24"/>
  <c r="AC22" i="24"/>
  <c r="AC20" i="24"/>
  <c r="AC18" i="24"/>
  <c r="AC16" i="24"/>
  <c r="AC14" i="24"/>
  <c r="AC12" i="24"/>
  <c r="AC10" i="24"/>
  <c r="AC8" i="24"/>
  <c r="AC6" i="24"/>
  <c r="CU22" i="24"/>
  <c r="CA41" i="24"/>
  <c r="CA17" i="24"/>
  <c r="BQ37" i="24"/>
  <c r="BQ29" i="24"/>
  <c r="BQ21" i="24"/>
  <c r="BQ13" i="24"/>
  <c r="BC41" i="24"/>
  <c r="BB38" i="24"/>
  <c r="AZ35" i="24"/>
  <c r="AY32" i="24"/>
  <c r="AW29" i="24"/>
  <c r="AU26" i="24"/>
  <c r="AW23" i="24"/>
  <c r="AU20" i="24"/>
  <c r="AW17" i="24"/>
  <c r="AU14" i="24"/>
  <c r="AY11" i="24"/>
  <c r="BD8" i="24"/>
  <c r="AY6" i="24"/>
  <c r="AF40" i="24"/>
  <c r="AP37" i="24"/>
  <c r="AN35" i="24"/>
  <c r="AL33" i="24"/>
  <c r="AK31" i="24"/>
  <c r="AJ29" i="24"/>
  <c r="AI27" i="24"/>
  <c r="AH25" i="24"/>
  <c r="AG23" i="24"/>
  <c r="AF21" i="24"/>
  <c r="AQ18" i="24"/>
  <c r="AP16" i="24"/>
  <c r="AO14" i="24"/>
  <c r="AO12" i="24"/>
  <c r="AO10" i="24"/>
  <c r="AO8" i="24"/>
  <c r="AO6" i="24"/>
  <c r="AA40" i="24"/>
  <c r="AA38" i="24"/>
  <c r="AA36" i="24"/>
  <c r="AA34" i="24"/>
  <c r="AA32" i="24"/>
  <c r="AA30" i="24"/>
  <c r="AA28" i="24"/>
  <c r="AA26" i="24"/>
  <c r="AA24" i="24"/>
  <c r="AA22" i="24"/>
  <c r="AA20" i="24"/>
  <c r="AA18" i="24"/>
  <c r="AA16" i="24"/>
  <c r="AA14" i="24"/>
  <c r="AA12" i="24"/>
  <c r="AA10" i="24"/>
  <c r="AA8" i="24"/>
  <c r="AA6" i="24"/>
  <c r="AQ39" i="24"/>
  <c r="AM35" i="24"/>
  <c r="AJ31" i="24"/>
  <c r="AG25" i="24"/>
  <c r="AQ20" i="24"/>
  <c r="AO16" i="24"/>
  <c r="AN12" i="24"/>
  <c r="AN10" i="24"/>
  <c r="AN6" i="24"/>
  <c r="Z40" i="24"/>
  <c r="Z38" i="24"/>
  <c r="Z34" i="24"/>
  <c r="Z30" i="24"/>
  <c r="Z26" i="24"/>
  <c r="Z22" i="24"/>
  <c r="Z18" i="24"/>
  <c r="Z14" i="24"/>
  <c r="Z10" i="24"/>
  <c r="Z6" i="24"/>
  <c r="AI31" i="24"/>
  <c r="CS22" i="24"/>
  <c r="BY41" i="24"/>
  <c r="BY17" i="24"/>
  <c r="BM37" i="24"/>
  <c r="BM29" i="24"/>
  <c r="BM21" i="24"/>
  <c r="BM13" i="24"/>
  <c r="BB41" i="24"/>
  <c r="BA38" i="24"/>
  <c r="AY35" i="24"/>
  <c r="AU32" i="24"/>
  <c r="AT29" i="24"/>
  <c r="AT26" i="24"/>
  <c r="AT23" i="24"/>
  <c r="AT20" i="24"/>
  <c r="AT17" i="24"/>
  <c r="AT14" i="24"/>
  <c r="AX11" i="24"/>
  <c r="BC8" i="24"/>
  <c r="AU6" i="24"/>
  <c r="AO37" i="24"/>
  <c r="AK33" i="24"/>
  <c r="AI29" i="24"/>
  <c r="AH27" i="24"/>
  <c r="AF23" i="24"/>
  <c r="AP18" i="24"/>
  <c r="AN14" i="24"/>
  <c r="AN8" i="24"/>
  <c r="Z36" i="24"/>
  <c r="Z32" i="24"/>
  <c r="Z28" i="24"/>
  <c r="Z24" i="24"/>
  <c r="Z20" i="24"/>
  <c r="Z16" i="24"/>
  <c r="Z12" i="24"/>
  <c r="Z8" i="24"/>
  <c r="AH29" i="24"/>
  <c r="CU20" i="24"/>
  <c r="CA39" i="24"/>
  <c r="CA15" i="24"/>
  <c r="BL37" i="24"/>
  <c r="BL29" i="24"/>
  <c r="BL21" i="24"/>
  <c r="BL13" i="24"/>
  <c r="BA41" i="24"/>
  <c r="AZ38" i="24"/>
  <c r="AX35" i="24"/>
  <c r="AT32" i="24"/>
  <c r="BD28" i="24"/>
  <c r="BC25" i="24"/>
  <c r="BD22" i="24"/>
  <c r="BC19" i="24"/>
  <c r="BD16" i="24"/>
  <c r="BC13" i="24"/>
  <c r="AW11" i="24"/>
  <c r="BB8" i="24"/>
  <c r="AT6" i="24"/>
  <c r="AP39" i="24"/>
  <c r="AN37" i="24"/>
  <c r="AL35" i="24"/>
  <c r="AJ33" i="24"/>
  <c r="AG27" i="24"/>
  <c r="AF25" i="24"/>
  <c r="AQ22" i="24"/>
  <c r="AP20" i="24"/>
  <c r="AO18" i="24"/>
  <c r="AN16" i="24"/>
  <c r="AM14" i="24"/>
  <c r="AM12" i="24"/>
  <c r="AM10" i="24"/>
  <c r="AM8" i="24"/>
  <c r="AM6" i="24"/>
  <c r="CS20" i="24"/>
  <c r="BY39" i="24"/>
  <c r="BY15" i="24"/>
  <c r="BK37" i="24"/>
  <c r="BK29" i="24"/>
  <c r="BK21" i="24"/>
  <c r="BK13" i="24"/>
  <c r="AZ41" i="24"/>
  <c r="AY38" i="24"/>
  <c r="AW35" i="24"/>
  <c r="BC31" i="24"/>
  <c r="BC28" i="24"/>
  <c r="BB25" i="24"/>
  <c r="BC22" i="24"/>
  <c r="BB19" i="24"/>
  <c r="BC16" i="24"/>
  <c r="BB13" i="24"/>
  <c r="AT11" i="24"/>
  <c r="BA8" i="24"/>
  <c r="AQ41" i="24"/>
  <c r="AO39" i="24"/>
  <c r="AM37" i="24"/>
  <c r="AK35" i="24"/>
  <c r="AI33" i="24"/>
  <c r="AH31" i="24"/>
  <c r="AG29" i="24"/>
  <c r="AF27" i="24"/>
  <c r="AQ24" i="24"/>
  <c r="AP22" i="24"/>
  <c r="AO20" i="24"/>
  <c r="AN18" i="24"/>
  <c r="AM16" i="24"/>
  <c r="AL14" i="24"/>
  <c r="AL12" i="24"/>
  <c r="AL10" i="24"/>
  <c r="AL8" i="24"/>
  <c r="AL6" i="24"/>
  <c r="CU18" i="24"/>
  <c r="CA37" i="24"/>
  <c r="CA13" i="24"/>
  <c r="BH37" i="24"/>
  <c r="BH29" i="24"/>
  <c r="BH21" i="24"/>
  <c r="BH13" i="24"/>
  <c r="AY41" i="24"/>
  <c r="AU38" i="24"/>
  <c r="AT35" i="24"/>
  <c r="BB31" i="24"/>
  <c r="BB28" i="24"/>
  <c r="BA25" i="24"/>
  <c r="BB22" i="24"/>
  <c r="BA19" i="24"/>
  <c r="BB16" i="24"/>
  <c r="BA13" i="24"/>
  <c r="BE10" i="24"/>
  <c r="AZ8" i="24"/>
  <c r="AP41" i="24"/>
  <c r="AN39" i="24"/>
  <c r="AL37" i="24"/>
  <c r="AJ35" i="24"/>
  <c r="AH33" i="24"/>
  <c r="AG31" i="24"/>
  <c r="AF29" i="24"/>
  <c r="AQ26" i="24"/>
  <c r="AP24" i="24"/>
  <c r="AO22" i="24"/>
  <c r="AN20" i="24"/>
  <c r="AM18" i="24"/>
  <c r="AL16" i="24"/>
  <c r="AK14" i="24"/>
  <c r="AK12" i="24"/>
  <c r="AK10" i="24"/>
  <c r="AK8" i="24"/>
  <c r="AK6" i="24"/>
  <c r="CS18" i="24"/>
  <c r="BY37" i="24"/>
  <c r="BY13" i="24"/>
  <c r="BI36" i="24"/>
  <c r="BI28" i="24"/>
  <c r="BI20" i="24"/>
  <c r="BI12" i="24"/>
  <c r="AX41" i="24"/>
  <c r="AT38" i="24"/>
  <c r="BC34" i="24"/>
  <c r="BA31" i="24"/>
  <c r="BA28" i="24"/>
  <c r="AZ25" i="24"/>
  <c r="BA22" i="24"/>
  <c r="AZ19" i="24"/>
  <c r="BA16" i="24"/>
  <c r="AZ13" i="24"/>
  <c r="BD10" i="24"/>
  <c r="AY8" i="24"/>
  <c r="AO41" i="24"/>
  <c r="AM39" i="24"/>
  <c r="AK37" i="24"/>
  <c r="AI35" i="24"/>
  <c r="AG33" i="24"/>
  <c r="AF31" i="24"/>
  <c r="AQ28" i="24"/>
  <c r="AP26" i="24"/>
  <c r="AO24" i="24"/>
  <c r="AN22" i="24"/>
  <c r="AM20" i="24"/>
  <c r="AL18" i="24"/>
  <c r="AK16" i="24"/>
  <c r="AJ14" i="24"/>
  <c r="AJ12" i="24"/>
  <c r="AJ10" i="24"/>
  <c r="AJ8" i="24"/>
  <c r="AJ6" i="24"/>
  <c r="V40" i="24"/>
  <c r="V38" i="24"/>
  <c r="V36" i="24"/>
  <c r="V34" i="24"/>
  <c r="V32" i="24"/>
  <c r="V30" i="24"/>
  <c r="V28" i="24"/>
  <c r="V26" i="24"/>
  <c r="V24" i="24"/>
  <c r="V22" i="24"/>
  <c r="V20" i="24"/>
  <c r="V18" i="24"/>
  <c r="V16" i="24"/>
  <c r="V14" i="24"/>
  <c r="V12" i="24"/>
  <c r="V10" i="24"/>
  <c r="V8" i="24"/>
  <c r="V6" i="24"/>
  <c r="CU40" i="24"/>
  <c r="CU16" i="24"/>
  <c r="CA35" i="24"/>
  <c r="CA11" i="24"/>
  <c r="BQ35" i="24"/>
  <c r="BQ27" i="24"/>
  <c r="BQ19" i="24"/>
  <c r="BQ11" i="24"/>
  <c r="AW41" i="24"/>
  <c r="BC37" i="24"/>
  <c r="BB34" i="24"/>
  <c r="AZ31" i="24"/>
  <c r="AZ28" i="24"/>
  <c r="AY25" i="24"/>
  <c r="AZ22" i="24"/>
  <c r="AY19" i="24"/>
  <c r="AZ16" i="24"/>
  <c r="AY13" i="24"/>
  <c r="BC10" i="24"/>
  <c r="AU8" i="24"/>
  <c r="AN41" i="24"/>
  <c r="AL39" i="24"/>
  <c r="AJ37" i="24"/>
  <c r="AH35" i="24"/>
  <c r="AF33" i="24"/>
  <c r="AQ30" i="24"/>
  <c r="AP28" i="24"/>
  <c r="AO26" i="24"/>
  <c r="AN24" i="24"/>
  <c r="AM22" i="24"/>
  <c r="AL20" i="24"/>
  <c r="AK18" i="24"/>
  <c r="AJ16" i="24"/>
  <c r="AI14" i="24"/>
  <c r="AI12" i="24"/>
  <c r="AI10" i="24"/>
  <c r="AI8" i="24"/>
  <c r="AI6" i="24"/>
  <c r="U40" i="24"/>
  <c r="U38" i="24"/>
  <c r="U36" i="24"/>
  <c r="U34" i="24"/>
  <c r="U32" i="24"/>
  <c r="U30" i="24"/>
  <c r="U28" i="24"/>
  <c r="U26" i="24"/>
  <c r="U24" i="24"/>
  <c r="U22" i="24"/>
  <c r="U20" i="24"/>
  <c r="U18" i="24"/>
  <c r="U16" i="24"/>
  <c r="U14" i="24"/>
  <c r="U12" i="24"/>
  <c r="U10" i="24"/>
  <c r="U8" i="24"/>
  <c r="U6" i="24"/>
  <c r="AQ36" i="24"/>
  <c r="AL28" i="24"/>
  <c r="AG20" i="24"/>
  <c r="AQ15" i="24"/>
  <c r="AQ9" i="24"/>
  <c r="CS40" i="24"/>
  <c r="CS16" i="24"/>
  <c r="BY35" i="24"/>
  <c r="BY11" i="24"/>
  <c r="BM35" i="24"/>
  <c r="BM27" i="24"/>
  <c r="BM19" i="24"/>
  <c r="BM11" i="24"/>
  <c r="AT41" i="24"/>
  <c r="BB37" i="24"/>
  <c r="BA34" i="24"/>
  <c r="AY31" i="24"/>
  <c r="AY28" i="24"/>
  <c r="AX25" i="24"/>
  <c r="AY22" i="24"/>
  <c r="AX19" i="24"/>
  <c r="AY16" i="24"/>
  <c r="AX13" i="24"/>
  <c r="BB10" i="24"/>
  <c r="AT8" i="24"/>
  <c r="AM41" i="24"/>
  <c r="AK39" i="24"/>
  <c r="AI37" i="24"/>
  <c r="AF35" i="24"/>
  <c r="AQ32" i="24"/>
  <c r="AP30" i="24"/>
  <c r="AO28" i="24"/>
  <c r="AN26" i="24"/>
  <c r="AM24" i="24"/>
  <c r="AL22" i="24"/>
  <c r="AK20" i="24"/>
  <c r="AJ18" i="24"/>
  <c r="AI16" i="24"/>
  <c r="AH14" i="24"/>
  <c r="AH12" i="24"/>
  <c r="AH10" i="24"/>
  <c r="AH8" i="24"/>
  <c r="AH6" i="24"/>
  <c r="T40" i="24"/>
  <c r="T38" i="24"/>
  <c r="T36" i="24"/>
  <c r="T34" i="24"/>
  <c r="T32" i="24"/>
  <c r="T30" i="24"/>
  <c r="T28" i="24"/>
  <c r="T26" i="24"/>
  <c r="T24" i="24"/>
  <c r="T22" i="24"/>
  <c r="T20" i="24"/>
  <c r="T18" i="24"/>
  <c r="T16" i="24"/>
  <c r="T14" i="24"/>
  <c r="T12" i="24"/>
  <c r="T10" i="24"/>
  <c r="T8" i="24"/>
  <c r="T6" i="24"/>
  <c r="S38" i="24"/>
  <c r="S36" i="24"/>
  <c r="S32" i="24"/>
  <c r="S28" i="24"/>
  <c r="S24" i="24"/>
  <c r="S22" i="24"/>
  <c r="S18" i="24"/>
  <c r="S14" i="24"/>
  <c r="S10" i="24"/>
  <c r="S8" i="24"/>
  <c r="AI39" i="24"/>
  <c r="AO32" i="24"/>
  <c r="AL26" i="24"/>
  <c r="AI20" i="24"/>
  <c r="AF14" i="24"/>
  <c r="AF10" i="24"/>
  <c r="R38" i="24"/>
  <c r="R32" i="24"/>
  <c r="R26" i="24"/>
  <c r="R20" i="24"/>
  <c r="R14" i="24"/>
  <c r="R8" i="24"/>
  <c r="AU34" i="24"/>
  <c r="BC27" i="24"/>
  <c r="BC21" i="24"/>
  <c r="BD12" i="24"/>
  <c r="BC7" i="24"/>
  <c r="AN32" i="24"/>
  <c r="AQ13" i="24"/>
  <c r="CU38" i="24"/>
  <c r="CU14" i="24"/>
  <c r="CA33" i="24"/>
  <c r="CA9" i="24"/>
  <c r="BL35" i="24"/>
  <c r="BL27" i="24"/>
  <c r="BL19" i="24"/>
  <c r="BL11" i="24"/>
  <c r="BC40" i="24"/>
  <c r="BA37" i="24"/>
  <c r="AZ34" i="24"/>
  <c r="AX31" i="24"/>
  <c r="AU28" i="24"/>
  <c r="AW25" i="24"/>
  <c r="AU22" i="24"/>
  <c r="AW19" i="24"/>
  <c r="AU16" i="24"/>
  <c r="AW13" i="24"/>
  <c r="BA10" i="24"/>
  <c r="BE7" i="24"/>
  <c r="AL41" i="24"/>
  <c r="AJ39" i="24"/>
  <c r="AH37" i="24"/>
  <c r="AQ34" i="24"/>
  <c r="AP32" i="24"/>
  <c r="AO30" i="24"/>
  <c r="AN28" i="24"/>
  <c r="AM26" i="24"/>
  <c r="AL24" i="24"/>
  <c r="AK22" i="24"/>
  <c r="AJ20" i="24"/>
  <c r="AI18" i="24"/>
  <c r="AG16" i="24"/>
  <c r="AG14" i="24"/>
  <c r="AG12" i="24"/>
  <c r="AG10" i="24"/>
  <c r="AG8" i="24"/>
  <c r="AG6" i="24"/>
  <c r="S40" i="24"/>
  <c r="S34" i="24"/>
  <c r="S30" i="24"/>
  <c r="S26" i="24"/>
  <c r="S20" i="24"/>
  <c r="S16" i="24"/>
  <c r="S12" i="24"/>
  <c r="S6" i="24"/>
  <c r="AK41" i="24"/>
  <c r="AP34" i="24"/>
  <c r="AM28" i="24"/>
  <c r="AJ22" i="24"/>
  <c r="AF16" i="24"/>
  <c r="AF8" i="24"/>
  <c r="R36" i="24"/>
  <c r="R30" i="24"/>
  <c r="R24" i="24"/>
  <c r="R18" i="24"/>
  <c r="R12" i="24"/>
  <c r="R6" i="24"/>
  <c r="AY37" i="24"/>
  <c r="AT31" i="24"/>
  <c r="BD18" i="24"/>
  <c r="AY10" i="24"/>
  <c r="AJ41" i="24"/>
  <c r="AJ24" i="24"/>
  <c r="CS38" i="24"/>
  <c r="CS14" i="24"/>
  <c r="BY33" i="24"/>
  <c r="BY9" i="24"/>
  <c r="BK35" i="24"/>
  <c r="BK27" i="24"/>
  <c r="BK19" i="24"/>
  <c r="BK11" i="24"/>
  <c r="BB40" i="24"/>
  <c r="AZ37" i="24"/>
  <c r="AY34" i="24"/>
  <c r="AW31" i="24"/>
  <c r="AT28" i="24"/>
  <c r="AT25" i="24"/>
  <c r="AT22" i="24"/>
  <c r="AT19" i="24"/>
  <c r="AT16" i="24"/>
  <c r="AT13" i="24"/>
  <c r="AZ10" i="24"/>
  <c r="BD7" i="24"/>
  <c r="AF37" i="24"/>
  <c r="AN30" i="24"/>
  <c r="AK24" i="24"/>
  <c r="AG18" i="24"/>
  <c r="AF12" i="24"/>
  <c r="AF6" i="24"/>
  <c r="R40" i="24"/>
  <c r="R34" i="24"/>
  <c r="R28" i="24"/>
  <c r="R22" i="24"/>
  <c r="R16" i="24"/>
  <c r="R10" i="24"/>
  <c r="AO34" i="24"/>
  <c r="AM30" i="24"/>
  <c r="AK26" i="24"/>
  <c r="AF18" i="24"/>
  <c r="AQ11" i="24"/>
  <c r="AQ7" i="24"/>
  <c r="CU36" i="24"/>
  <c r="CU12" i="24"/>
  <c r="CA31" i="24"/>
  <c r="CA7" i="24"/>
  <c r="BH35" i="24"/>
  <c r="BH27" i="24"/>
  <c r="BH19" i="24"/>
  <c r="BH11" i="24"/>
  <c r="BA40" i="24"/>
  <c r="BD24" i="24"/>
  <c r="BC15" i="24"/>
  <c r="AH39" i="24"/>
  <c r="AI22" i="24"/>
  <c r="CS36" i="24"/>
  <c r="CS12" i="24"/>
  <c r="BY31" i="24"/>
  <c r="BY7" i="24"/>
  <c r="BI34" i="24"/>
  <c r="BI26" i="24"/>
  <c r="BI18" i="24"/>
  <c r="BI10" i="24"/>
  <c r="AZ40" i="24"/>
  <c r="AX37" i="24"/>
  <c r="AT34" i="24"/>
  <c r="BC30" i="24"/>
  <c r="BB27" i="24"/>
  <c r="BC24" i="24"/>
  <c r="BB21" i="24"/>
  <c r="BC18" i="24"/>
  <c r="BB15" i="24"/>
  <c r="BC12" i="24"/>
  <c r="AU10" i="24"/>
  <c r="BB7" i="24"/>
  <c r="AI41" i="24"/>
  <c r="AF39" i="24"/>
  <c r="AP36" i="24"/>
  <c r="AN34" i="24"/>
  <c r="AM32" i="24"/>
  <c r="AL30" i="24"/>
  <c r="AK28" i="24"/>
  <c r="AJ26" i="24"/>
  <c r="AI24" i="24"/>
  <c r="AG22" i="24"/>
  <c r="AF20" i="24"/>
  <c r="AQ17" i="24"/>
  <c r="AP15" i="24"/>
  <c r="AP13" i="24"/>
  <c r="AP11" i="24"/>
  <c r="AP9" i="24"/>
  <c r="AP7" i="24"/>
  <c r="AB41" i="24"/>
  <c r="AB39" i="24"/>
  <c r="AB37" i="24"/>
  <c r="AB35" i="24"/>
  <c r="AB33" i="24"/>
  <c r="AB31" i="24"/>
  <c r="AB29" i="24"/>
  <c r="AB27" i="24"/>
  <c r="AB25" i="24"/>
  <c r="AB23" i="24"/>
  <c r="AB21" i="24"/>
  <c r="AB19" i="24"/>
  <c r="AB17" i="24"/>
  <c r="AB15" i="24"/>
  <c r="AB13" i="24"/>
  <c r="AB11" i="24"/>
  <c r="AB9" i="24"/>
  <c r="AB7" i="24"/>
  <c r="Y25" i="24"/>
  <c r="Y15" i="24"/>
  <c r="Y9" i="24"/>
  <c r="CU34" i="24"/>
  <c r="CU10" i="24"/>
  <c r="CA29" i="24"/>
  <c r="BQ41" i="24"/>
  <c r="BQ33" i="24"/>
  <c r="BQ25" i="24"/>
  <c r="BQ17" i="24"/>
  <c r="BQ9" i="24"/>
  <c r="AY40" i="24"/>
  <c r="AW37" i="24"/>
  <c r="BC33" i="24"/>
  <c r="BB30" i="24"/>
  <c r="BA27" i="24"/>
  <c r="BB24" i="24"/>
  <c r="BA21" i="24"/>
  <c r="BB18" i="24"/>
  <c r="BA15" i="24"/>
  <c r="BB12" i="24"/>
  <c r="AT10" i="24"/>
  <c r="BA7" i="24"/>
  <c r="AH41" i="24"/>
  <c r="AQ38" i="24"/>
  <c r="AO36" i="24"/>
  <c r="AM34" i="24"/>
  <c r="AL32" i="24"/>
  <c r="AK30" i="24"/>
  <c r="AJ28" i="24"/>
  <c r="AI26" i="24"/>
  <c r="AG24" i="24"/>
  <c r="AF22" i="24"/>
  <c r="AQ19" i="24"/>
  <c r="AP17" i="24"/>
  <c r="AO15" i="24"/>
  <c r="AO13" i="24"/>
  <c r="AO11" i="24"/>
  <c r="AO9" i="24"/>
  <c r="AO7" i="24"/>
  <c r="AA41" i="24"/>
  <c r="AA39" i="24"/>
  <c r="AA37" i="24"/>
  <c r="AA35" i="24"/>
  <c r="AA33" i="24"/>
  <c r="AA31" i="24"/>
  <c r="AA29" i="24"/>
  <c r="AA27" i="24"/>
  <c r="AA25" i="24"/>
  <c r="AA23" i="24"/>
  <c r="AA21" i="24"/>
  <c r="AA19" i="24"/>
  <c r="AA17" i="24"/>
  <c r="AA15" i="24"/>
  <c r="AA13" i="24"/>
  <c r="AA11" i="24"/>
  <c r="AA9" i="24"/>
  <c r="AA7" i="24"/>
  <c r="Z35" i="24"/>
  <c r="Z31" i="24"/>
  <c r="Z27" i="24"/>
  <c r="Z23" i="24"/>
  <c r="Z19" i="24"/>
  <c r="Z17" i="24"/>
  <c r="Z13" i="24"/>
  <c r="Z9" i="24"/>
  <c r="Z7" i="24"/>
  <c r="AQ40" i="24"/>
  <c r="AM36" i="24"/>
  <c r="AI30" i="24"/>
  <c r="AF26" i="24"/>
  <c r="AP21" i="24"/>
  <c r="AN17" i="24"/>
  <c r="AM13" i="24"/>
  <c r="AM9" i="24"/>
  <c r="Y41" i="24"/>
  <c r="Y37" i="24"/>
  <c r="Y31" i="24"/>
  <c r="Y23" i="24"/>
  <c r="Y19" i="24"/>
  <c r="Y13" i="24"/>
  <c r="CS34" i="24"/>
  <c r="CS10" i="24"/>
  <c r="BY29" i="24"/>
  <c r="BM41" i="24"/>
  <c r="BM33" i="24"/>
  <c r="BM25" i="24"/>
  <c r="BM17" i="24"/>
  <c r="BM9" i="24"/>
  <c r="AU40" i="24"/>
  <c r="AT37" i="24"/>
  <c r="BB33" i="24"/>
  <c r="BA30" i="24"/>
  <c r="AZ27" i="24"/>
  <c r="BA24" i="24"/>
  <c r="AZ21" i="24"/>
  <c r="BA18" i="24"/>
  <c r="AZ15" i="24"/>
  <c r="BA12" i="24"/>
  <c r="BE9" i="24"/>
  <c r="AZ7" i="24"/>
  <c r="AF41" i="24"/>
  <c r="AP38" i="24"/>
  <c r="AN36" i="24"/>
  <c r="AL34" i="24"/>
  <c r="AK32" i="24"/>
  <c r="AJ30" i="24"/>
  <c r="AI28" i="24"/>
  <c r="AG26" i="24"/>
  <c r="AF24" i="24"/>
  <c r="AQ21" i="24"/>
  <c r="AP19" i="24"/>
  <c r="AO17" i="24"/>
  <c r="AN15" i="24"/>
  <c r="AN13" i="24"/>
  <c r="AN11" i="24"/>
  <c r="AN9" i="24"/>
  <c r="AN7" i="24"/>
  <c r="Z41" i="24"/>
  <c r="Z39" i="24"/>
  <c r="Z37" i="24"/>
  <c r="Z33" i="24"/>
  <c r="Z29" i="24"/>
  <c r="Z25" i="24"/>
  <c r="Z21" i="24"/>
  <c r="Z15" i="24"/>
  <c r="Z11" i="24"/>
  <c r="AO38" i="24"/>
  <c r="AK34" i="24"/>
  <c r="AG28" i="24"/>
  <c r="AQ23" i="24"/>
  <c r="AO19" i="24"/>
  <c r="AM15" i="24"/>
  <c r="AM11" i="24"/>
  <c r="Y39" i="24"/>
  <c r="Y35" i="24"/>
  <c r="Y33" i="24"/>
  <c r="Y29" i="24"/>
  <c r="Y21" i="24"/>
  <c r="Y17" i="24"/>
  <c r="Y11" i="24"/>
  <c r="CU32" i="24"/>
  <c r="CU8" i="24"/>
  <c r="CA27" i="24"/>
  <c r="BL41" i="24"/>
  <c r="BL33" i="24"/>
  <c r="BL25" i="24"/>
  <c r="BL17" i="24"/>
  <c r="BL9" i="24"/>
  <c r="AT40" i="24"/>
  <c r="BC36" i="24"/>
  <c r="BA33" i="24"/>
  <c r="AZ30" i="24"/>
  <c r="AY27" i="24"/>
  <c r="AZ24" i="24"/>
  <c r="AY21" i="24"/>
  <c r="AZ18" i="24"/>
  <c r="AY15" i="24"/>
  <c r="AZ12" i="24"/>
  <c r="BD9" i="24"/>
  <c r="AY7" i="24"/>
  <c r="AJ32" i="24"/>
  <c r="AM7" i="24"/>
  <c r="Y27" i="24"/>
  <c r="Y7" i="24"/>
  <c r="CS32" i="24"/>
  <c r="CS8" i="24"/>
  <c r="BY27" i="24"/>
  <c r="BK41" i="24"/>
  <c r="BK33" i="24"/>
  <c r="BK25" i="24"/>
  <c r="BK17" i="24"/>
  <c r="BK9" i="24"/>
  <c r="BC39" i="24"/>
  <c r="BB36" i="24"/>
  <c r="AZ33" i="24"/>
  <c r="AY30" i="24"/>
  <c r="AX27" i="24"/>
  <c r="AY24" i="24"/>
  <c r="AX21" i="24"/>
  <c r="AY18" i="24"/>
  <c r="AX15" i="24"/>
  <c r="AY12" i="24"/>
  <c r="BC9" i="24"/>
  <c r="AX7" i="24"/>
  <c r="AP40" i="24"/>
  <c r="AN38" i="24"/>
  <c r="AL36" i="24"/>
  <c r="AJ34" i="24"/>
  <c r="AI32" i="24"/>
  <c r="AG30" i="24"/>
  <c r="AF28" i="24"/>
  <c r="AQ25" i="24"/>
  <c r="AP23" i="24"/>
  <c r="AO21" i="24"/>
  <c r="AN19" i="24"/>
  <c r="AM17" i="24"/>
  <c r="AL15" i="24"/>
  <c r="AL13" i="24"/>
  <c r="AL11" i="24"/>
  <c r="AL9" i="24"/>
  <c r="AL7" i="24"/>
  <c r="CU30" i="24"/>
  <c r="CU6" i="24"/>
  <c r="CA25" i="24"/>
  <c r="BH41" i="24"/>
  <c r="BH33" i="24"/>
  <c r="BH25" i="24"/>
  <c r="BH17" i="24"/>
  <c r="BH9" i="24"/>
  <c r="BB39" i="24"/>
  <c r="BA36" i="24"/>
  <c r="AY33" i="24"/>
  <c r="AU30" i="24"/>
  <c r="AW27" i="24"/>
  <c r="AU24" i="24"/>
  <c r="AW21" i="24"/>
  <c r="AU18" i="24"/>
  <c r="AW15" i="24"/>
  <c r="AU12" i="24"/>
  <c r="BB9" i="24"/>
  <c r="AW7" i="24"/>
  <c r="AO40" i="24"/>
  <c r="AM38" i="24"/>
  <c r="AK36" i="24"/>
  <c r="AI34" i="24"/>
  <c r="AG32" i="24"/>
  <c r="AF30" i="24"/>
  <c r="AQ27" i="24"/>
  <c r="AP25" i="24"/>
  <c r="AO23" i="24"/>
  <c r="AN21" i="24"/>
  <c r="AM19" i="24"/>
  <c r="AL17" i="24"/>
  <c r="AK15" i="24"/>
  <c r="AK13" i="24"/>
  <c r="AK11" i="24"/>
  <c r="AK9" i="24"/>
  <c r="AK7" i="24"/>
  <c r="CS30" i="24"/>
  <c r="CS6" i="24"/>
  <c r="BY25" i="24"/>
  <c r="BI40" i="24"/>
  <c r="BI32" i="24"/>
  <c r="BI24" i="24"/>
  <c r="BI16" i="24"/>
  <c r="BI8" i="24"/>
  <c r="BA39" i="24"/>
  <c r="AZ36" i="24"/>
  <c r="AX33" i="24"/>
  <c r="AT30" i="24"/>
  <c r="AT27" i="24"/>
  <c r="AT24" i="24"/>
  <c r="AT21" i="24"/>
  <c r="AT18" i="24"/>
  <c r="AT15" i="24"/>
  <c r="AT12" i="24"/>
  <c r="BA9" i="24"/>
  <c r="AT7" i="24"/>
  <c r="AN40" i="24"/>
  <c r="AL38" i="24"/>
  <c r="AJ36" i="24"/>
  <c r="AG34" i="24"/>
  <c r="AF32" i="24"/>
  <c r="AQ29" i="24"/>
  <c r="AP27" i="24"/>
  <c r="AO25" i="24"/>
  <c r="AN23" i="24"/>
  <c r="AM21" i="24"/>
  <c r="AL19" i="24"/>
  <c r="AK17" i="24"/>
  <c r="AJ15" i="24"/>
  <c r="AJ13" i="24"/>
  <c r="AJ11" i="24"/>
  <c r="AJ9" i="24"/>
  <c r="AJ7" i="24"/>
  <c r="CU28" i="24"/>
  <c r="CA23" i="24"/>
  <c r="BQ39" i="24"/>
  <c r="BQ31" i="24"/>
  <c r="BQ23" i="24"/>
  <c r="BQ15" i="24"/>
  <c r="BQ7" i="24"/>
  <c r="AZ39" i="24"/>
  <c r="AY36" i="24"/>
  <c r="AW33" i="24"/>
  <c r="BC29" i="24"/>
  <c r="BD26" i="24"/>
  <c r="BC23" i="24"/>
  <c r="BD20" i="24"/>
  <c r="BC17" i="24"/>
  <c r="BD14" i="24"/>
  <c r="BE11" i="24"/>
  <c r="AZ9" i="24"/>
  <c r="BE6" i="24"/>
  <c r="CS28" i="24"/>
  <c r="BY23" i="24"/>
  <c r="BM39" i="24"/>
  <c r="BM31" i="24"/>
  <c r="BM23" i="24"/>
  <c r="BM15" i="24"/>
  <c r="BM7" i="24"/>
  <c r="AY39" i="24"/>
  <c r="AU36" i="24"/>
  <c r="AT33" i="24"/>
  <c r="BB29" i="24"/>
  <c r="BC26" i="24"/>
  <c r="BB23" i="24"/>
  <c r="BC20" i="24"/>
  <c r="BB17" i="24"/>
  <c r="BC14" i="24"/>
  <c r="BD11" i="24"/>
  <c r="AY9" i="24"/>
  <c r="BD6" i="24"/>
  <c r="U7" i="24"/>
  <c r="U11" i="24"/>
  <c r="U15" i="24"/>
  <c r="U19" i="24"/>
  <c r="U23" i="24"/>
  <c r="U27" i="24"/>
  <c r="U31" i="24"/>
  <c r="U35" i="24"/>
  <c r="U39" i="24"/>
  <c r="AG9" i="24"/>
  <c r="AH19" i="24"/>
  <c r="AK29" i="24"/>
  <c r="AK38" i="24"/>
  <c r="AX23" i="24"/>
  <c r="BI30" i="24"/>
  <c r="V7" i="24"/>
  <c r="V11" i="24"/>
  <c r="V15" i="24"/>
  <c r="V19" i="24"/>
  <c r="V23" i="24"/>
  <c r="V27" i="24"/>
  <c r="V31" i="24"/>
  <c r="V35" i="24"/>
  <c r="V39" i="24"/>
  <c r="AH9" i="24"/>
  <c r="AI19" i="24"/>
  <c r="AM29" i="24"/>
  <c r="AG40" i="24"/>
  <c r="AZ23" i="24"/>
  <c r="BL31" i="24"/>
  <c r="W7" i="24"/>
  <c r="W11" i="24"/>
  <c r="W15" i="24"/>
  <c r="W19" i="24"/>
  <c r="W23" i="24"/>
  <c r="W27" i="24"/>
  <c r="W31" i="24"/>
  <c r="W35" i="24"/>
  <c r="W39" i="24"/>
  <c r="AI9" i="24"/>
  <c r="AJ19" i="24"/>
  <c r="AN29" i="24"/>
  <c r="AJ40" i="24"/>
  <c r="BA23" i="24"/>
  <c r="BI38" i="24"/>
  <c r="X11" i="24"/>
  <c r="X15" i="24"/>
  <c r="X23" i="24"/>
  <c r="X31" i="24"/>
  <c r="AP10" i="24"/>
  <c r="AK19" i="24"/>
  <c r="AO29" i="24"/>
  <c r="AK40" i="24"/>
  <c r="AY26" i="24"/>
  <c r="BL39" i="24"/>
  <c r="X7" i="24"/>
  <c r="X19" i="24"/>
  <c r="X27" i="24"/>
  <c r="X35" i="24"/>
  <c r="X39" i="24"/>
  <c r="AC7" i="24"/>
  <c r="AC11" i="24"/>
  <c r="AC15" i="24"/>
  <c r="AC19" i="24"/>
  <c r="AC23" i="24"/>
  <c r="AC27" i="24"/>
  <c r="AC31" i="24"/>
  <c r="AC35" i="24"/>
  <c r="AC39" i="24"/>
  <c r="AF11" i="24"/>
  <c r="AG21" i="24"/>
  <c r="AP29" i="24"/>
  <c r="AL40" i="24"/>
  <c r="BA26" i="24"/>
  <c r="BY19" i="24"/>
  <c r="W8" i="24"/>
  <c r="W12" i="24"/>
  <c r="W16" i="24"/>
  <c r="W20" i="24"/>
  <c r="W24" i="24"/>
  <c r="W28" i="24"/>
  <c r="W32" i="24"/>
  <c r="W36" i="24"/>
  <c r="W40" i="24"/>
  <c r="AG11" i="24"/>
  <c r="AI21" i="24"/>
  <c r="AL31" i="24"/>
  <c r="AM40" i="24"/>
  <c r="BB26" i="24"/>
  <c r="CA21" i="24"/>
  <c r="AH11" i="24"/>
  <c r="AJ21" i="24"/>
  <c r="AN31" i="24"/>
  <c r="AZ6" i="24"/>
  <c r="AX29" i="24"/>
  <c r="Y8" i="24"/>
  <c r="Y12" i="24"/>
  <c r="Y16" i="24"/>
  <c r="Y20" i="24"/>
  <c r="Y24" i="24"/>
  <c r="Y28" i="24"/>
  <c r="Y32" i="24"/>
  <c r="Y36" i="24"/>
  <c r="Y40" i="24"/>
  <c r="AI11" i="24"/>
  <c r="AK21" i="24"/>
  <c r="AO31" i="24"/>
  <c r="BB6" i="24"/>
  <c r="AZ29" i="24"/>
  <c r="AB8" i="24"/>
  <c r="AB12" i="24"/>
  <c r="AB16" i="24"/>
  <c r="AB20" i="24"/>
  <c r="AB24" i="24"/>
  <c r="AB28" i="24"/>
  <c r="AB32" i="24"/>
  <c r="AB36" i="24"/>
  <c r="AB40" i="24"/>
  <c r="AP12" i="24"/>
  <c r="AL21" i="24"/>
  <c r="AP31" i="24"/>
  <c r="BC6" i="24"/>
  <c r="BA29" i="24"/>
  <c r="AH23" i="24"/>
  <c r="BE8" i="24"/>
  <c r="AZ32" i="24"/>
  <c r="AF13" i="24"/>
  <c r="AQ31" i="24"/>
  <c r="S9" i="24"/>
  <c r="S13" i="24"/>
  <c r="S17" i="24"/>
  <c r="S21" i="24"/>
  <c r="S25" i="24"/>
  <c r="S29" i="24"/>
  <c r="S33" i="24"/>
  <c r="S37" i="24"/>
  <c r="S41" i="24"/>
  <c r="AG13" i="24"/>
  <c r="AJ23" i="24"/>
  <c r="AM33" i="24"/>
  <c r="AW9" i="24"/>
  <c r="BB32" i="24"/>
  <c r="T9" i="24"/>
  <c r="AH13" i="24"/>
  <c r="AK23" i="24"/>
  <c r="AO33" i="24"/>
  <c r="AX9" i="24"/>
  <c r="BC32" i="24"/>
  <c r="T17" i="24"/>
  <c r="U9" i="24"/>
  <c r="U13" i="24"/>
  <c r="U17" i="24"/>
  <c r="U21" i="24"/>
  <c r="U25" i="24"/>
  <c r="U29" i="24"/>
  <c r="U33" i="24"/>
  <c r="U37" i="24"/>
  <c r="U41" i="24"/>
  <c r="AI13" i="24"/>
  <c r="AL23" i="24"/>
  <c r="AP33" i="24"/>
  <c r="AZ11" i="24"/>
  <c r="BA35" i="24"/>
  <c r="CS24" i="24"/>
  <c r="T21" i="24"/>
  <c r="T37" i="24"/>
  <c r="V9" i="24"/>
  <c r="V21" i="24"/>
  <c r="V33" i="24"/>
  <c r="AM23" i="24"/>
  <c r="BB11" i="24"/>
  <c r="BC35" i="24"/>
  <c r="CU26" i="24"/>
  <c r="T29" i="24"/>
  <c r="V13" i="24"/>
  <c r="V25" i="24"/>
  <c r="V37" i="24"/>
  <c r="AP14" i="24"/>
  <c r="AQ33" i="24"/>
  <c r="W9" i="24"/>
  <c r="W13" i="24"/>
  <c r="W17" i="24"/>
  <c r="W21" i="24"/>
  <c r="W25" i="24"/>
  <c r="W29" i="24"/>
  <c r="W33" i="24"/>
  <c r="W37" i="24"/>
  <c r="W41" i="24"/>
  <c r="AF15" i="24"/>
  <c r="AI25" i="24"/>
  <c r="AF34" i="24"/>
  <c r="BC11" i="24"/>
  <c r="AT36" i="24"/>
  <c r="T13" i="24"/>
  <c r="T25" i="24"/>
  <c r="T33" i="24"/>
  <c r="T41" i="24"/>
  <c r="V17" i="24"/>
  <c r="V29" i="24"/>
  <c r="V41" i="24"/>
  <c r="X9" i="24"/>
  <c r="X13" i="24"/>
  <c r="X17" i="24"/>
  <c r="X21" i="24"/>
  <c r="X25" i="24"/>
  <c r="X29" i="24"/>
  <c r="X33" i="24"/>
  <c r="X37" i="24"/>
  <c r="X41" i="24"/>
  <c r="AG15" i="24"/>
  <c r="AK25" i="24"/>
  <c r="AO35" i="24"/>
  <c r="AY14" i="24"/>
  <c r="BC38" i="24"/>
  <c r="AH15" i="24"/>
  <c r="AL25" i="24"/>
  <c r="AQ35" i="24"/>
  <c r="AW39" i="24"/>
  <c r="AC41" i="24"/>
  <c r="BA14" i="24"/>
  <c r="W6" i="24"/>
  <c r="W10" i="24"/>
  <c r="W14" i="24"/>
  <c r="W18" i="24"/>
  <c r="W22" i="24"/>
  <c r="W26" i="24"/>
  <c r="W30" i="24"/>
  <c r="W34" i="24"/>
  <c r="W38" i="24"/>
  <c r="AP6" i="24"/>
  <c r="AI15" i="24"/>
  <c r="AM25" i="24"/>
  <c r="AF36" i="24"/>
  <c r="BB14" i="24"/>
  <c r="AX39" i="24"/>
  <c r="AC37" i="24"/>
  <c r="X6" i="24"/>
  <c r="X10" i="24"/>
  <c r="X14" i="24"/>
  <c r="X18" i="24"/>
  <c r="X22" i="24"/>
  <c r="X26" i="24"/>
  <c r="X30" i="24"/>
  <c r="X34" i="24"/>
  <c r="X38" i="24"/>
  <c r="AF7" i="24"/>
  <c r="AQ16" i="24"/>
  <c r="AN25" i="24"/>
  <c r="AG36" i="24"/>
  <c r="AX17" i="24"/>
  <c r="BI6" i="24"/>
  <c r="Y6" i="24"/>
  <c r="Y10" i="24"/>
  <c r="Y14" i="24"/>
  <c r="Y18" i="24"/>
  <c r="Y22" i="24"/>
  <c r="Y26" i="24"/>
  <c r="Y30" i="24"/>
  <c r="Y34" i="24"/>
  <c r="Y38" i="24"/>
  <c r="AG7" i="24"/>
  <c r="AG17" i="24"/>
  <c r="AJ27" i="24"/>
  <c r="AI36" i="24"/>
  <c r="AZ17" i="24"/>
  <c r="BL7" i="24"/>
  <c r="R7" i="24"/>
  <c r="R11" i="24"/>
  <c r="R15" i="24"/>
  <c r="R19" i="24"/>
  <c r="R23" i="24"/>
  <c r="R27" i="24"/>
  <c r="R31" i="24"/>
  <c r="R35" i="24"/>
  <c r="R39" i="24"/>
  <c r="AI7" i="24"/>
  <c r="AI17" i="24"/>
  <c r="AM27" i="24"/>
  <c r="AG38" i="24"/>
  <c r="AY20" i="24"/>
  <c r="BL15" i="24"/>
  <c r="S7" i="24"/>
  <c r="S11" i="24"/>
  <c r="S15" i="24"/>
  <c r="S19" i="24"/>
  <c r="S23" i="24"/>
  <c r="S27" i="24"/>
  <c r="S31" i="24"/>
  <c r="S35" i="24"/>
  <c r="S39" i="24"/>
  <c r="AP8" i="24"/>
  <c r="AJ17" i="24"/>
  <c r="AN27" i="24"/>
  <c r="AI38" i="24"/>
  <c r="BA20" i="24"/>
  <c r="BI22" i="24"/>
  <c r="CR40" i="24"/>
  <c r="CR38" i="24"/>
  <c r="CR36" i="24"/>
  <c r="CR34" i="24"/>
  <c r="CR32" i="24"/>
  <c r="CR30" i="24"/>
  <c r="CR28" i="24"/>
  <c r="CR26" i="24"/>
  <c r="CR24" i="24"/>
  <c r="CR22" i="24"/>
  <c r="CR20" i="24"/>
  <c r="CR18" i="24"/>
  <c r="CR16" i="24"/>
  <c r="CR14" i="24"/>
  <c r="CR12" i="24"/>
  <c r="CR10" i="24"/>
  <c r="CR8" i="24"/>
  <c r="CR6" i="24"/>
  <c r="BX41" i="24"/>
  <c r="BX39" i="24"/>
  <c r="BX37" i="24"/>
  <c r="BX35" i="24"/>
  <c r="BX33" i="24"/>
  <c r="BX31" i="24"/>
  <c r="BX29" i="24"/>
  <c r="BX27" i="24"/>
  <c r="BX25" i="24"/>
  <c r="BX23" i="24"/>
  <c r="BX21" i="24"/>
  <c r="BX19" i="24"/>
  <c r="BX17" i="24"/>
  <c r="BX15" i="24"/>
  <c r="BX13" i="24"/>
  <c r="BX11" i="24"/>
  <c r="BX9" i="24"/>
  <c r="BX7" i="24"/>
  <c r="BJ41" i="24"/>
  <c r="BJ39" i="24"/>
  <c r="BJ37" i="24"/>
  <c r="BJ35" i="24"/>
  <c r="BJ33" i="24"/>
  <c r="BJ31" i="24"/>
  <c r="BJ29" i="24"/>
  <c r="BJ27" i="24"/>
  <c r="BJ25" i="24"/>
  <c r="BJ23" i="24"/>
  <c r="BJ21" i="24"/>
  <c r="BJ19" i="24"/>
  <c r="BJ17" i="24"/>
  <c r="BJ15" i="24"/>
  <c r="BJ13" i="24"/>
  <c r="BJ11" i="24"/>
  <c r="BJ9" i="24"/>
  <c r="BJ7" i="24"/>
  <c r="AV41" i="24"/>
  <c r="AV39" i="24"/>
  <c r="AV37" i="24"/>
  <c r="AV35" i="24"/>
  <c r="AV33" i="24"/>
  <c r="AV31" i="24"/>
  <c r="AV29" i="24"/>
  <c r="AV27" i="24"/>
  <c r="AV25" i="24"/>
  <c r="AV23" i="24"/>
  <c r="AV21" i="24"/>
  <c r="AV19" i="24"/>
  <c r="AV17" i="24"/>
  <c r="AV15" i="24"/>
  <c r="AV13" i="24"/>
  <c r="AV11" i="24"/>
  <c r="AV9" i="24"/>
  <c r="AV7" i="24"/>
  <c r="CQ40" i="24"/>
  <c r="CQ38" i="24"/>
  <c r="CQ36" i="24"/>
  <c r="CQ34" i="24"/>
  <c r="CQ32" i="24"/>
  <c r="CQ30" i="24"/>
  <c r="CQ28" i="24"/>
  <c r="CQ26" i="24"/>
  <c r="CQ24" i="24"/>
  <c r="CQ22" i="24"/>
  <c r="CQ20" i="24"/>
  <c r="CQ18" i="24"/>
  <c r="CQ16" i="24"/>
  <c r="CQ14" i="24"/>
  <c r="CQ12" i="24"/>
  <c r="CQ10" i="24"/>
  <c r="CQ8" i="24"/>
  <c r="CQ6" i="24"/>
  <c r="BW41" i="24"/>
  <c r="BW39" i="24"/>
  <c r="BW37" i="24"/>
  <c r="BW35" i="24"/>
  <c r="BW33" i="24"/>
  <c r="BW31" i="24"/>
  <c r="BW29" i="24"/>
  <c r="BW27" i="24"/>
  <c r="BW25" i="24"/>
  <c r="BW23" i="24"/>
  <c r="BW21" i="24"/>
  <c r="BW19" i="24"/>
  <c r="BW17" i="24"/>
  <c r="BW15" i="24"/>
  <c r="BW13" i="24"/>
  <c r="BW11" i="24"/>
  <c r="BW9" i="24"/>
  <c r="BW7" i="24"/>
  <c r="BI41" i="24"/>
  <c r="BI39" i="24"/>
  <c r="BI37" i="24"/>
  <c r="BI35" i="24"/>
  <c r="BI33" i="24"/>
  <c r="BI31" i="24"/>
  <c r="BI29" i="24"/>
  <c r="BI27" i="24"/>
  <c r="BI25" i="24"/>
  <c r="BI23" i="24"/>
  <c r="BI21" i="24"/>
  <c r="BI19" i="24"/>
  <c r="BI17" i="24"/>
  <c r="BI15" i="24"/>
  <c r="BI13" i="24"/>
  <c r="BI11" i="24"/>
  <c r="BI9" i="24"/>
  <c r="BI7" i="24"/>
  <c r="AU41" i="24"/>
  <c r="AU39" i="24"/>
  <c r="AU37" i="24"/>
  <c r="AU35" i="24"/>
  <c r="AU33" i="24"/>
  <c r="AU31" i="24"/>
  <c r="AU29" i="24"/>
  <c r="AU27" i="24"/>
  <c r="AU25" i="24"/>
  <c r="AU23" i="24"/>
  <c r="AU21" i="24"/>
  <c r="AU19" i="24"/>
  <c r="AU17" i="24"/>
  <c r="AU15" i="24"/>
  <c r="AU13" i="24"/>
  <c r="AU11" i="24"/>
  <c r="AU9" i="24"/>
  <c r="AU7" i="24"/>
  <c r="AG41" i="24"/>
  <c r="AG39" i="24"/>
  <c r="AG37" i="24"/>
  <c r="AG35" i="24"/>
  <c r="CP40" i="24"/>
  <c r="CP38" i="24"/>
  <c r="CP36" i="24"/>
  <c r="CP34" i="24"/>
  <c r="CP32" i="24"/>
  <c r="CP30" i="24"/>
  <c r="CP28" i="24"/>
  <c r="CP26" i="24"/>
  <c r="CP24" i="24"/>
  <c r="CP22" i="24"/>
  <c r="CP20" i="24"/>
  <c r="CP18" i="24"/>
  <c r="CP16" i="24"/>
  <c r="CP14" i="24"/>
  <c r="CP12" i="24"/>
  <c r="CP10" i="24"/>
  <c r="CP8" i="24"/>
  <c r="CP6" i="24"/>
  <c r="BV41" i="24"/>
  <c r="BV39" i="24"/>
  <c r="BV37" i="24"/>
  <c r="BV35" i="24"/>
  <c r="BV33" i="24"/>
  <c r="BV31" i="24"/>
  <c r="BV29" i="24"/>
  <c r="BV27" i="24"/>
  <c r="BV25" i="24"/>
  <c r="BV23" i="24"/>
  <c r="BV21" i="24"/>
  <c r="BV19" i="24"/>
  <c r="BV17" i="24"/>
  <c r="BV15" i="24"/>
  <c r="BV13" i="24"/>
  <c r="BV11" i="24"/>
  <c r="BV9" i="24"/>
  <c r="BV7" i="24"/>
  <c r="CO40" i="24"/>
  <c r="CO38" i="24"/>
  <c r="CO36" i="24"/>
  <c r="CO34" i="24"/>
  <c r="CO32" i="24"/>
  <c r="CO30" i="24"/>
  <c r="CO28" i="24"/>
  <c r="CO26" i="24"/>
  <c r="CO24" i="24"/>
  <c r="CO22" i="24"/>
  <c r="CO20" i="24"/>
  <c r="CO18" i="24"/>
  <c r="CO16" i="24"/>
  <c r="CO14" i="24"/>
  <c r="CO12" i="24"/>
  <c r="CO10" i="24"/>
  <c r="CO8" i="24"/>
  <c r="CO6" i="24"/>
  <c r="CG40" i="24"/>
  <c r="CG38" i="24"/>
  <c r="CG36" i="24"/>
  <c r="CG34" i="24"/>
  <c r="CG32" i="24"/>
  <c r="CG30" i="24"/>
  <c r="CG28" i="24"/>
  <c r="CG26" i="24"/>
  <c r="CG24" i="24"/>
  <c r="CG22" i="24"/>
  <c r="CG20" i="24"/>
  <c r="CG18" i="24"/>
  <c r="CG16" i="24"/>
  <c r="CG14" i="24"/>
  <c r="CG12" i="24"/>
  <c r="CG10" i="24"/>
  <c r="CG8" i="24"/>
  <c r="CG6" i="24"/>
  <c r="BS40" i="24"/>
  <c r="BS38" i="24"/>
  <c r="BS36" i="24"/>
  <c r="BS34" i="24"/>
  <c r="BS32" i="24"/>
  <c r="BS30" i="24"/>
  <c r="BS28" i="24"/>
  <c r="BS26" i="24"/>
  <c r="BS24" i="24"/>
  <c r="BS22" i="24"/>
  <c r="BS20" i="24"/>
  <c r="BS18" i="24"/>
  <c r="BS16" i="24"/>
  <c r="BS14" i="24"/>
  <c r="BS12" i="24"/>
  <c r="BS10" i="24"/>
  <c r="BS8" i="24"/>
  <c r="BS6" i="24"/>
  <c r="BE40" i="24"/>
  <c r="BE38" i="24"/>
  <c r="BE36" i="24"/>
  <c r="BE34" i="24"/>
  <c r="BE32" i="24"/>
  <c r="BE30" i="24"/>
  <c r="BE28" i="24"/>
  <c r="BE26" i="24"/>
  <c r="BE24" i="24"/>
  <c r="BE22" i="24"/>
  <c r="BE20" i="24"/>
  <c r="BE18" i="24"/>
  <c r="BE16" i="24"/>
  <c r="BE14" i="24"/>
  <c r="BE12" i="24"/>
  <c r="CN40" i="24"/>
  <c r="CN38" i="24"/>
  <c r="CN36" i="24"/>
  <c r="CN34" i="24"/>
  <c r="CN32" i="24"/>
  <c r="CN30" i="24"/>
  <c r="CN28" i="24"/>
  <c r="CN26" i="24"/>
  <c r="CN24" i="24"/>
  <c r="CN22" i="24"/>
  <c r="CN20" i="24"/>
  <c r="CN18" i="24"/>
  <c r="CN16" i="24"/>
  <c r="CN14" i="24"/>
  <c r="CN12" i="24"/>
  <c r="CN10" i="24"/>
  <c r="CN8" i="24"/>
  <c r="CN6" i="24"/>
  <c r="CF40" i="24"/>
  <c r="CF38" i="24"/>
  <c r="CF36" i="24"/>
  <c r="CF34" i="24"/>
  <c r="CF32" i="24"/>
  <c r="CF30" i="24"/>
  <c r="CF28" i="24"/>
  <c r="CF26" i="24"/>
  <c r="CF24" i="24"/>
  <c r="CF22" i="24"/>
  <c r="CF20" i="24"/>
  <c r="CF18" i="24"/>
  <c r="CF16" i="24"/>
  <c r="CF14" i="24"/>
  <c r="CF12" i="24"/>
  <c r="CF10" i="24"/>
  <c r="CF8" i="24"/>
  <c r="CF6" i="24"/>
  <c r="BR40" i="24"/>
  <c r="BR38" i="24"/>
  <c r="BR36" i="24"/>
  <c r="BR34" i="24"/>
  <c r="BR32" i="24"/>
  <c r="BR30" i="24"/>
  <c r="BR28" i="24"/>
  <c r="BR26" i="24"/>
  <c r="BR24" i="24"/>
  <c r="BR22" i="24"/>
  <c r="BR20" i="24"/>
  <c r="BR18" i="24"/>
  <c r="BR16" i="24"/>
  <c r="BR14" i="24"/>
  <c r="BR12" i="24"/>
  <c r="BR10" i="24"/>
  <c r="BR8" i="24"/>
  <c r="BR6" i="24"/>
  <c r="BD40" i="24"/>
  <c r="BD38" i="24"/>
  <c r="BD36" i="24"/>
  <c r="BD34" i="24"/>
  <c r="BD32" i="24"/>
  <c r="BD30" i="24"/>
  <c r="CM40" i="24"/>
  <c r="CM38" i="24"/>
  <c r="CM36" i="24"/>
  <c r="CM34" i="24"/>
  <c r="CM32" i="24"/>
  <c r="CM30" i="24"/>
  <c r="CM28" i="24"/>
  <c r="CM26" i="24"/>
  <c r="CM24" i="24"/>
  <c r="CM22" i="24"/>
  <c r="CM20" i="24"/>
  <c r="CM18" i="24"/>
  <c r="CM16" i="24"/>
  <c r="CM14" i="24"/>
  <c r="CM12" i="24"/>
  <c r="CM10" i="24"/>
  <c r="CM8" i="24"/>
  <c r="CM6" i="24"/>
  <c r="CE40" i="24"/>
  <c r="CE38" i="24"/>
  <c r="CE36" i="24"/>
  <c r="CE34" i="24"/>
  <c r="CE32" i="24"/>
  <c r="CE30" i="24"/>
  <c r="CE28" i="24"/>
  <c r="CE26" i="24"/>
  <c r="CE24" i="24"/>
  <c r="CE22" i="24"/>
  <c r="CE20" i="24"/>
  <c r="CE18" i="24"/>
  <c r="CE16" i="24"/>
  <c r="CE14" i="24"/>
  <c r="CE12" i="24"/>
  <c r="CE10" i="24"/>
  <c r="CE8" i="24"/>
  <c r="CE6" i="24"/>
  <c r="BQ40" i="24"/>
  <c r="BQ38" i="24"/>
  <c r="BQ36" i="24"/>
  <c r="BQ34" i="24"/>
  <c r="BQ32" i="24"/>
  <c r="BQ30" i="24"/>
  <c r="BQ28" i="24"/>
  <c r="BQ26" i="24"/>
  <c r="BQ24" i="24"/>
  <c r="BQ22" i="24"/>
  <c r="BQ20" i="24"/>
  <c r="BQ18" i="24"/>
  <c r="BQ16" i="24"/>
  <c r="BQ14" i="24"/>
  <c r="BQ12" i="24"/>
  <c r="BQ10" i="24"/>
  <c r="BQ8" i="24"/>
  <c r="BQ6" i="24"/>
  <c r="CL40" i="24"/>
  <c r="CL38" i="24"/>
  <c r="CL36" i="24"/>
  <c r="CL34" i="24"/>
  <c r="CL32" i="24"/>
  <c r="CL30" i="24"/>
  <c r="CL28" i="24"/>
  <c r="CL26" i="24"/>
  <c r="CL24" i="24"/>
  <c r="CL22" i="24"/>
  <c r="CL20" i="24"/>
  <c r="CL18" i="24"/>
  <c r="CL16" i="24"/>
  <c r="CL14" i="24"/>
  <c r="CL12" i="24"/>
  <c r="CL10" i="24"/>
  <c r="CL8" i="24"/>
  <c r="CL6" i="24"/>
  <c r="CD40" i="24"/>
  <c r="CD38" i="24"/>
  <c r="CD36" i="24"/>
  <c r="CD34" i="24"/>
  <c r="CD32" i="24"/>
  <c r="CD30" i="24"/>
  <c r="CD28" i="24"/>
  <c r="CD26" i="24"/>
  <c r="CD24" i="24"/>
  <c r="CD22" i="24"/>
  <c r="CD20" i="24"/>
  <c r="CD18" i="24"/>
  <c r="CD16" i="24"/>
  <c r="CD14" i="24"/>
  <c r="CD12" i="24"/>
  <c r="CD10" i="24"/>
  <c r="CD8" i="24"/>
  <c r="CD6" i="24"/>
  <c r="BP40" i="24"/>
  <c r="BP38" i="24"/>
  <c r="BP36" i="24"/>
  <c r="BP34" i="24"/>
  <c r="BP32" i="24"/>
  <c r="BP30" i="24"/>
  <c r="BP28" i="24"/>
  <c r="BP26" i="24"/>
  <c r="BP24" i="24"/>
  <c r="BP22" i="24"/>
  <c r="BP20" i="24"/>
  <c r="BP18" i="24"/>
  <c r="BP16" i="24"/>
  <c r="BP14" i="24"/>
  <c r="BP12" i="24"/>
  <c r="BP10" i="24"/>
  <c r="BP8" i="24"/>
  <c r="BP6" i="24"/>
  <c r="CK40" i="24"/>
  <c r="CK38" i="24"/>
  <c r="CK36" i="24"/>
  <c r="CK34" i="24"/>
  <c r="CK32" i="24"/>
  <c r="CK30" i="24"/>
  <c r="CK28" i="24"/>
  <c r="CK26" i="24"/>
  <c r="CK24" i="24"/>
  <c r="CK22" i="24"/>
  <c r="CK20" i="24"/>
  <c r="CK18" i="24"/>
  <c r="CK16" i="24"/>
  <c r="CK14" i="24"/>
  <c r="CK12" i="24"/>
  <c r="CK10" i="24"/>
  <c r="CK8" i="24"/>
  <c r="CK6" i="24"/>
  <c r="CC40" i="24"/>
  <c r="CC38" i="24"/>
  <c r="CC36" i="24"/>
  <c r="CC34" i="24"/>
  <c r="CC32" i="24"/>
  <c r="CC30" i="24"/>
  <c r="CC28" i="24"/>
  <c r="CC26" i="24"/>
  <c r="CC24" i="24"/>
  <c r="CC22" i="24"/>
  <c r="CC20" i="24"/>
  <c r="CC18" i="24"/>
  <c r="CC16" i="24"/>
  <c r="CC14" i="24"/>
  <c r="CC12" i="24"/>
  <c r="CC10" i="24"/>
  <c r="CC8" i="24"/>
  <c r="CC6" i="24"/>
  <c r="BO40" i="24"/>
  <c r="BO38" i="24"/>
  <c r="BO36" i="24"/>
  <c r="BO34" i="24"/>
  <c r="BO32" i="24"/>
  <c r="BO30" i="24"/>
  <c r="BO28" i="24"/>
  <c r="BO26" i="24"/>
  <c r="BO24" i="24"/>
  <c r="BO22" i="24"/>
  <c r="BO20" i="24"/>
  <c r="BO18" i="24"/>
  <c r="BO16" i="24"/>
  <c r="BO14" i="24"/>
  <c r="BO12" i="24"/>
  <c r="BO10" i="24"/>
  <c r="BO8" i="24"/>
  <c r="BO6" i="24"/>
  <c r="CJ40" i="24"/>
  <c r="CJ38" i="24"/>
  <c r="CJ36" i="24"/>
  <c r="CJ34" i="24"/>
  <c r="CJ32" i="24"/>
  <c r="CJ30" i="24"/>
  <c r="CJ28" i="24"/>
  <c r="CJ26" i="24"/>
  <c r="CJ24" i="24"/>
  <c r="CJ22" i="24"/>
  <c r="CJ20" i="24"/>
  <c r="CJ18" i="24"/>
  <c r="CJ16" i="24"/>
  <c r="CJ14" i="24"/>
  <c r="CJ12" i="24"/>
  <c r="CJ10" i="24"/>
  <c r="CJ8" i="24"/>
  <c r="CJ6" i="24"/>
  <c r="CB40" i="24"/>
  <c r="CB38" i="24"/>
  <c r="CB36" i="24"/>
  <c r="CB34" i="24"/>
  <c r="CB32" i="24"/>
  <c r="CB30" i="24"/>
  <c r="CB28" i="24"/>
  <c r="CB26" i="24"/>
  <c r="CB24" i="24"/>
  <c r="CB22" i="24"/>
  <c r="CB20" i="24"/>
  <c r="CB18" i="24"/>
  <c r="CB16" i="24"/>
  <c r="CB14" i="24"/>
  <c r="CB12" i="24"/>
  <c r="CB10" i="24"/>
  <c r="CB8" i="24"/>
  <c r="CB6" i="24"/>
  <c r="BN40" i="24"/>
  <c r="BN38" i="24"/>
  <c r="BN36" i="24"/>
  <c r="BN34" i="24"/>
  <c r="BN32" i="24"/>
  <c r="BN30" i="24"/>
  <c r="BN28" i="24"/>
  <c r="BN26" i="24"/>
  <c r="BN24" i="24"/>
  <c r="BN22" i="24"/>
  <c r="BN20" i="24"/>
  <c r="BN18" i="24"/>
  <c r="BN16" i="24"/>
  <c r="BN14" i="24"/>
  <c r="BN12" i="24"/>
  <c r="BN10" i="24"/>
  <c r="BN8" i="24"/>
  <c r="BN6" i="24"/>
  <c r="CU41" i="24"/>
  <c r="CU39" i="24"/>
  <c r="CU37" i="24"/>
  <c r="CU35" i="24"/>
  <c r="CU33" i="24"/>
  <c r="CU31" i="24"/>
  <c r="CU29" i="24"/>
  <c r="CU27" i="24"/>
  <c r="CU25" i="24"/>
  <c r="CU23" i="24"/>
  <c r="CU21" i="24"/>
  <c r="CU19" i="24"/>
  <c r="CU17" i="24"/>
  <c r="CU15" i="24"/>
  <c r="CU13" i="24"/>
  <c r="CU11" i="24"/>
  <c r="CU9" i="24"/>
  <c r="CU7" i="24"/>
  <c r="CA40" i="24"/>
  <c r="CA38" i="24"/>
  <c r="CA36" i="24"/>
  <c r="CA34" i="24"/>
  <c r="CA32" i="24"/>
  <c r="CA30" i="24"/>
  <c r="CA28" i="24"/>
  <c r="CA26" i="24"/>
  <c r="CA24" i="24"/>
  <c r="CA22" i="24"/>
  <c r="CA20" i="24"/>
  <c r="CA18" i="24"/>
  <c r="CA16" i="24"/>
  <c r="CA14" i="24"/>
  <c r="CA12" i="24"/>
  <c r="CA10" i="24"/>
  <c r="CA8" i="24"/>
  <c r="CA6" i="24"/>
  <c r="BM40" i="24"/>
  <c r="BM38" i="24"/>
  <c r="BM36" i="24"/>
  <c r="BM34" i="24"/>
  <c r="BM32" i="24"/>
  <c r="BM30" i="24"/>
  <c r="BM28" i="24"/>
  <c r="BM26" i="24"/>
  <c r="BM24" i="24"/>
  <c r="BM22" i="24"/>
  <c r="BM20" i="24"/>
  <c r="BM18" i="24"/>
  <c r="BM16" i="24"/>
  <c r="BM14" i="24"/>
  <c r="BM12" i="24"/>
  <c r="BM10" i="24"/>
  <c r="BM8" i="24"/>
  <c r="BM6" i="24"/>
  <c r="CT41" i="24"/>
  <c r="CT39" i="24"/>
  <c r="CT37" i="24"/>
  <c r="CT35" i="24"/>
  <c r="CT33" i="24"/>
  <c r="CT31" i="24"/>
  <c r="CT29" i="24"/>
  <c r="CT27" i="24"/>
  <c r="CT25" i="24"/>
  <c r="CT23" i="24"/>
  <c r="CT21" i="24"/>
  <c r="CT19" i="24"/>
  <c r="CT17" i="24"/>
  <c r="CT15" i="24"/>
  <c r="CT13" i="24"/>
  <c r="CT11" i="24"/>
  <c r="CT9" i="24"/>
  <c r="CT7" i="24"/>
  <c r="BZ40" i="24"/>
  <c r="BZ38" i="24"/>
  <c r="BZ36" i="24"/>
  <c r="BZ34" i="24"/>
  <c r="BZ32" i="24"/>
  <c r="BZ30" i="24"/>
  <c r="BZ28" i="24"/>
  <c r="BZ26" i="24"/>
  <c r="BZ24" i="24"/>
  <c r="BZ22" i="24"/>
  <c r="BZ20" i="24"/>
  <c r="BZ18" i="24"/>
  <c r="BZ16" i="24"/>
  <c r="BZ14" i="24"/>
  <c r="BZ12" i="24"/>
  <c r="BZ10" i="24"/>
  <c r="BZ8" i="24"/>
  <c r="BZ6" i="24"/>
  <c r="BL40" i="24"/>
  <c r="BL38" i="24"/>
  <c r="BL36" i="24"/>
  <c r="BL34" i="24"/>
  <c r="BL32" i="24"/>
  <c r="BL30" i="24"/>
  <c r="BL28" i="24"/>
  <c r="BL26" i="24"/>
  <c r="BL24" i="24"/>
  <c r="BL22" i="24"/>
  <c r="BL20" i="24"/>
  <c r="BL18" i="24"/>
  <c r="BL16" i="24"/>
  <c r="BL14" i="24"/>
  <c r="BL12" i="24"/>
  <c r="BL10" i="24"/>
  <c r="BL8" i="24"/>
  <c r="BL6" i="24"/>
  <c r="AX40" i="24"/>
  <c r="AX38" i="24"/>
  <c r="AX36" i="24"/>
  <c r="AX34" i="24"/>
  <c r="AX32" i="24"/>
  <c r="AX30" i="24"/>
  <c r="AX28" i="24"/>
  <c r="AX26" i="24"/>
  <c r="AX24" i="24"/>
  <c r="AX22" i="24"/>
  <c r="AX20" i="24"/>
  <c r="AX18" i="24"/>
  <c r="AX16" i="24"/>
  <c r="AX14" i="24"/>
  <c r="AX12" i="24"/>
  <c r="AX10" i="24"/>
  <c r="AX8" i="24"/>
  <c r="AX6" i="24"/>
  <c r="CS41" i="24"/>
  <c r="CS39" i="24"/>
  <c r="CS37" i="24"/>
  <c r="CS35" i="24"/>
  <c r="CS33" i="24"/>
  <c r="CS31" i="24"/>
  <c r="CS29" i="24"/>
  <c r="CS27" i="24"/>
  <c r="CS25" i="24"/>
  <c r="CS23" i="24"/>
  <c r="CS21" i="24"/>
  <c r="CS19" i="24"/>
  <c r="CS17" i="24"/>
  <c r="CS15" i="24"/>
  <c r="CS13" i="24"/>
  <c r="CS11" i="24"/>
  <c r="CS9" i="24"/>
  <c r="CS7" i="24"/>
  <c r="BY40" i="24"/>
  <c r="BY38" i="24"/>
  <c r="BY36" i="24"/>
  <c r="BY34" i="24"/>
  <c r="BY32" i="24"/>
  <c r="BY30" i="24"/>
  <c r="BY28" i="24"/>
  <c r="BY26" i="24"/>
  <c r="BY24" i="24"/>
  <c r="BY22" i="24"/>
  <c r="BY20" i="24"/>
  <c r="BY18" i="24"/>
  <c r="BY16" i="24"/>
  <c r="BY14" i="24"/>
  <c r="BY12" i="24"/>
  <c r="BY10" i="24"/>
  <c r="BY8" i="24"/>
  <c r="BY6" i="24"/>
  <c r="BK40" i="24"/>
  <c r="BK38" i="24"/>
  <c r="BK36" i="24"/>
  <c r="BK34" i="24"/>
  <c r="BK32" i="24"/>
  <c r="BK30" i="24"/>
  <c r="BK28" i="24"/>
  <c r="BK26" i="24"/>
  <c r="BK24" i="24"/>
  <c r="BK22" i="24"/>
  <c r="BK20" i="24"/>
  <c r="BK18" i="24"/>
  <c r="BK16" i="24"/>
  <c r="BK14" i="24"/>
  <c r="BK12" i="24"/>
  <c r="BK10" i="24"/>
  <c r="BK8" i="24"/>
  <c r="BK6" i="24"/>
  <c r="AW40" i="24"/>
  <c r="AW38" i="24"/>
  <c r="AW36" i="24"/>
  <c r="AW34" i="24"/>
  <c r="AW32" i="24"/>
  <c r="AW30" i="24"/>
  <c r="AW28" i="24"/>
  <c r="AW26" i="24"/>
  <c r="AW24" i="24"/>
  <c r="AW22" i="24"/>
  <c r="AW20" i="24"/>
  <c r="AW18" i="24"/>
  <c r="AW16" i="24"/>
  <c r="AW14" i="24"/>
  <c r="AW12" i="24"/>
  <c r="AW10" i="24"/>
  <c r="AW8" i="24"/>
  <c r="AW6" i="24"/>
  <c r="CR41" i="24"/>
  <c r="CR39" i="24"/>
  <c r="CR37" i="24"/>
  <c r="CR35" i="24"/>
  <c r="CR33" i="24"/>
  <c r="CR31" i="24"/>
  <c r="CR29" i="24"/>
  <c r="CR27" i="24"/>
  <c r="CR25" i="24"/>
  <c r="CR23" i="24"/>
  <c r="CR21" i="24"/>
  <c r="CR19" i="24"/>
  <c r="CR17" i="24"/>
  <c r="CR15" i="24"/>
  <c r="CR13" i="24"/>
  <c r="CR11" i="24"/>
  <c r="CR9" i="24"/>
  <c r="CR7" i="24"/>
  <c r="BX40" i="24"/>
  <c r="BX38" i="24"/>
  <c r="BX36" i="24"/>
  <c r="BX34" i="24"/>
  <c r="BX32" i="24"/>
  <c r="BX30" i="24"/>
  <c r="BX28" i="24"/>
  <c r="BX26" i="24"/>
  <c r="BX24" i="24"/>
  <c r="BX22" i="24"/>
  <c r="BX20" i="24"/>
  <c r="BX18" i="24"/>
  <c r="BX16" i="24"/>
  <c r="BX14" i="24"/>
  <c r="BX12" i="24"/>
  <c r="BX10" i="24"/>
  <c r="BX8" i="24"/>
  <c r="BX6" i="24"/>
  <c r="BJ40" i="24"/>
  <c r="BJ38" i="24"/>
  <c r="BJ36" i="24"/>
  <c r="BJ34" i="24"/>
  <c r="BJ32" i="24"/>
  <c r="BJ30" i="24"/>
  <c r="BJ28" i="24"/>
  <c r="BJ26" i="24"/>
  <c r="BJ24" i="24"/>
  <c r="BJ22" i="24"/>
  <c r="BJ20" i="24"/>
  <c r="BJ18" i="24"/>
  <c r="BJ16" i="24"/>
  <c r="BJ14" i="24"/>
  <c r="BJ12" i="24"/>
  <c r="BJ10" i="24"/>
  <c r="BJ8" i="24"/>
  <c r="BJ6" i="24"/>
  <c r="AV40" i="24"/>
  <c r="AV38" i="24"/>
  <c r="AV36" i="24"/>
  <c r="AV34" i="24"/>
  <c r="AV32" i="24"/>
  <c r="AV30" i="24"/>
  <c r="AV28" i="24"/>
  <c r="AV26" i="24"/>
  <c r="AV24" i="24"/>
  <c r="AV22" i="24"/>
  <c r="AV20" i="24"/>
  <c r="AV18" i="24"/>
  <c r="AV16" i="24"/>
  <c r="AV14" i="24"/>
  <c r="AV12" i="24"/>
  <c r="AV10" i="24"/>
  <c r="AV8" i="24"/>
  <c r="AV6" i="24"/>
  <c r="AH40" i="24"/>
  <c r="AH38" i="24"/>
  <c r="AH36" i="24"/>
  <c r="AH34" i="24"/>
  <c r="AH32" i="24"/>
  <c r="AH30" i="24"/>
  <c r="AH28" i="24"/>
  <c r="AH26" i="24"/>
  <c r="AH24" i="24"/>
  <c r="AH22" i="24"/>
  <c r="AH20" i="24"/>
  <c r="AH18" i="24"/>
  <c r="AH16" i="24"/>
  <c r="CQ41" i="24"/>
  <c r="CQ39" i="24"/>
  <c r="CQ37" i="24"/>
  <c r="CQ35" i="24"/>
  <c r="CQ33" i="24"/>
  <c r="CQ31" i="24"/>
  <c r="CQ29" i="24"/>
  <c r="CQ27" i="24"/>
  <c r="CQ25" i="24"/>
  <c r="CQ23" i="24"/>
  <c r="CQ21" i="24"/>
  <c r="CQ19" i="24"/>
  <c r="CQ17" i="24"/>
  <c r="CQ15" i="24"/>
  <c r="CQ13" i="24"/>
  <c r="CQ11" i="24"/>
  <c r="CQ9" i="24"/>
  <c r="CQ7" i="24"/>
  <c r="BW40" i="24"/>
  <c r="BW38" i="24"/>
  <c r="BW36" i="24"/>
  <c r="BW34" i="24"/>
  <c r="BW32" i="24"/>
  <c r="BW30" i="24"/>
  <c r="BW28" i="24"/>
  <c r="BW26" i="24"/>
  <c r="BW24" i="24"/>
  <c r="BW22" i="24"/>
  <c r="BW20" i="24"/>
  <c r="BW18" i="24"/>
  <c r="BW16" i="24"/>
  <c r="BW14" i="24"/>
  <c r="BW12" i="24"/>
  <c r="BW10" i="24"/>
  <c r="BW8" i="24"/>
  <c r="BW6" i="24"/>
  <c r="CP41" i="24"/>
  <c r="CP39" i="24"/>
  <c r="CP37" i="24"/>
  <c r="CP35" i="24"/>
  <c r="CP33" i="24"/>
  <c r="CP31" i="24"/>
  <c r="CP29" i="24"/>
  <c r="CP27" i="24"/>
  <c r="CP25" i="24"/>
  <c r="CP23" i="24"/>
  <c r="CP21" i="24"/>
  <c r="CP19" i="24"/>
  <c r="CP17" i="24"/>
  <c r="CP15" i="24"/>
  <c r="CP13" i="24"/>
  <c r="CP11" i="24"/>
  <c r="CP9" i="24"/>
  <c r="CP7" i="24"/>
  <c r="BV40" i="24"/>
  <c r="BV38" i="24"/>
  <c r="BV36" i="24"/>
  <c r="BV34" i="24"/>
  <c r="BV32" i="24"/>
  <c r="BV30" i="24"/>
  <c r="BV28" i="24"/>
  <c r="BV26" i="24"/>
  <c r="BV24" i="24"/>
  <c r="BV22" i="24"/>
  <c r="BV20" i="24"/>
  <c r="BV18" i="24"/>
  <c r="BV16" i="24"/>
  <c r="BV14" i="24"/>
  <c r="BV12" i="24"/>
  <c r="BV10" i="24"/>
  <c r="BV8" i="24"/>
  <c r="BV6" i="24"/>
  <c r="BH40" i="24"/>
  <c r="BH38" i="24"/>
  <c r="BH36" i="24"/>
  <c r="BH34" i="24"/>
  <c r="BH32" i="24"/>
  <c r="BH30" i="24"/>
  <c r="BH28" i="24"/>
  <c r="BH26" i="24"/>
  <c r="BH24" i="24"/>
  <c r="BH22" i="24"/>
  <c r="BH20" i="24"/>
  <c r="BH18" i="24"/>
  <c r="BH16" i="24"/>
  <c r="BH14" i="24"/>
  <c r="BH12" i="24"/>
  <c r="BH10" i="24"/>
  <c r="BH8" i="24"/>
  <c r="BH6" i="24"/>
  <c r="CO41" i="24"/>
  <c r="CO39" i="24"/>
  <c r="CO37" i="24"/>
  <c r="CO35" i="24"/>
  <c r="CO33" i="24"/>
  <c r="CO31" i="24"/>
  <c r="CO29" i="24"/>
  <c r="CO27" i="24"/>
  <c r="CO25" i="24"/>
  <c r="CO23" i="24"/>
  <c r="CO21" i="24"/>
  <c r="CO19" i="24"/>
  <c r="CO17" i="24"/>
  <c r="CO15" i="24"/>
  <c r="CO13" i="24"/>
  <c r="CO11" i="24"/>
  <c r="CO9" i="24"/>
  <c r="CO7" i="24"/>
  <c r="CG41" i="24"/>
  <c r="CG39" i="24"/>
  <c r="CG37" i="24"/>
  <c r="CG35" i="24"/>
  <c r="CG33" i="24"/>
  <c r="CG31" i="24"/>
  <c r="CG29" i="24"/>
  <c r="CG27" i="24"/>
  <c r="CG25" i="24"/>
  <c r="CG23" i="24"/>
  <c r="CG21" i="24"/>
  <c r="CG19" i="24"/>
  <c r="CG17" i="24"/>
  <c r="CG15" i="24"/>
  <c r="CG13" i="24"/>
  <c r="CG11" i="24"/>
  <c r="CG9" i="24"/>
  <c r="CG7" i="24"/>
  <c r="BS41" i="24"/>
  <c r="BS39" i="24"/>
  <c r="BS37" i="24"/>
  <c r="BS35" i="24"/>
  <c r="BS33" i="24"/>
  <c r="BS31" i="24"/>
  <c r="BS29" i="24"/>
  <c r="BS27" i="24"/>
  <c r="BS25" i="24"/>
  <c r="BS23" i="24"/>
  <c r="BS21" i="24"/>
  <c r="BS19" i="24"/>
  <c r="BS17" i="24"/>
  <c r="BS15" i="24"/>
  <c r="BS13" i="24"/>
  <c r="BS11" i="24"/>
  <c r="BS9" i="24"/>
  <c r="BS7" i="24"/>
  <c r="BE41" i="24"/>
  <c r="BE39" i="24"/>
  <c r="BE37" i="24"/>
  <c r="BE35" i="24"/>
  <c r="BE33" i="24"/>
  <c r="BE31" i="24"/>
  <c r="BE29" i="24"/>
  <c r="BE27" i="24"/>
  <c r="BE25" i="24"/>
  <c r="BE23" i="24"/>
  <c r="BE21" i="24"/>
  <c r="BE19" i="24"/>
  <c r="BE17" i="24"/>
  <c r="BE15" i="24"/>
  <c r="BE13" i="24"/>
  <c r="CN41" i="24"/>
  <c r="CN39" i="24"/>
  <c r="CN37" i="24"/>
  <c r="CN35" i="24"/>
  <c r="CN33" i="24"/>
  <c r="CN31" i="24"/>
  <c r="CN29" i="24"/>
  <c r="CN27" i="24"/>
  <c r="CN25" i="24"/>
  <c r="CN23" i="24"/>
  <c r="CN21" i="24"/>
  <c r="CN19" i="24"/>
  <c r="CN17" i="24"/>
  <c r="CN15" i="24"/>
  <c r="CN13" i="24"/>
  <c r="CN11" i="24"/>
  <c r="CN9" i="24"/>
  <c r="CN7" i="24"/>
  <c r="CF41" i="24"/>
  <c r="CF39" i="24"/>
  <c r="CF37" i="24"/>
  <c r="CF35" i="24"/>
  <c r="CF33" i="24"/>
  <c r="CF31" i="24"/>
  <c r="CF29" i="24"/>
  <c r="CF27" i="24"/>
  <c r="CF25" i="24"/>
  <c r="CF23" i="24"/>
  <c r="CF21" i="24"/>
  <c r="CF19" i="24"/>
  <c r="CF17" i="24"/>
  <c r="CF15" i="24"/>
  <c r="CF13" i="24"/>
  <c r="CF11" i="24"/>
  <c r="CF9" i="24"/>
  <c r="CF7" i="24"/>
  <c r="BR41" i="24"/>
  <c r="BR39" i="24"/>
  <c r="BR37" i="24"/>
  <c r="BR35" i="24"/>
  <c r="BR33" i="24"/>
  <c r="BR31" i="24"/>
  <c r="BR29" i="24"/>
  <c r="BR27" i="24"/>
  <c r="BR25" i="24"/>
  <c r="BR23" i="24"/>
  <c r="BR21" i="24"/>
  <c r="BR19" i="24"/>
  <c r="BR17" i="24"/>
  <c r="BR15" i="24"/>
  <c r="BR13" i="24"/>
  <c r="BR11" i="24"/>
  <c r="BR9" i="24"/>
  <c r="BR7" i="24"/>
  <c r="BD41" i="24"/>
  <c r="BD39" i="24"/>
  <c r="BD37" i="24"/>
  <c r="BD35" i="24"/>
  <c r="BD33" i="24"/>
  <c r="BD31" i="24"/>
  <c r="BD29" i="24"/>
  <c r="BD27" i="24"/>
  <c r="BD25" i="24"/>
  <c r="BD23" i="24"/>
  <c r="BD21" i="24"/>
  <c r="BD19" i="24"/>
  <c r="BD17" i="24"/>
  <c r="BD15" i="24"/>
  <c r="BD13" i="24"/>
  <c r="CM41" i="24"/>
  <c r="CM39" i="24"/>
  <c r="CM37" i="24"/>
  <c r="CM35" i="24"/>
  <c r="CM33" i="24"/>
  <c r="CM31" i="24"/>
  <c r="CM29" i="24"/>
  <c r="CM27" i="24"/>
  <c r="CM25" i="24"/>
  <c r="CM23" i="24"/>
  <c r="CM21" i="24"/>
  <c r="CM19" i="24"/>
  <c r="CM17" i="24"/>
  <c r="CM15" i="24"/>
  <c r="CM13" i="24"/>
  <c r="CM11" i="24"/>
  <c r="CM9" i="24"/>
  <c r="CM7" i="24"/>
  <c r="CE41" i="24"/>
  <c r="CE39" i="24"/>
  <c r="CE37" i="24"/>
  <c r="CE35" i="24"/>
  <c r="CE33" i="24"/>
  <c r="CE31" i="24"/>
  <c r="CE29" i="24"/>
  <c r="CE27" i="24"/>
  <c r="CE25" i="24"/>
  <c r="CE23" i="24"/>
  <c r="CE21" i="24"/>
  <c r="CE19" i="24"/>
  <c r="CE17" i="24"/>
  <c r="CE15" i="24"/>
  <c r="CE13" i="24"/>
  <c r="CE11" i="24"/>
  <c r="CE9" i="24"/>
  <c r="CE7" i="24"/>
  <c r="CL41" i="24"/>
  <c r="CL39" i="24"/>
  <c r="CL37" i="24"/>
  <c r="CL35" i="24"/>
  <c r="CL33" i="24"/>
  <c r="CL31" i="24"/>
  <c r="CL29" i="24"/>
  <c r="CL27" i="24"/>
  <c r="CL25" i="24"/>
  <c r="CL23" i="24"/>
  <c r="CL21" i="24"/>
  <c r="CL19" i="24"/>
  <c r="CL17" i="24"/>
  <c r="CL15" i="24"/>
  <c r="CL13" i="24"/>
  <c r="CL11" i="24"/>
  <c r="CL9" i="24"/>
  <c r="CL7" i="24"/>
  <c r="CD41" i="24"/>
  <c r="CD39" i="24"/>
  <c r="CD37" i="24"/>
  <c r="CD35" i="24"/>
  <c r="CD33" i="24"/>
  <c r="CD31" i="24"/>
  <c r="CD29" i="24"/>
  <c r="CD27" i="24"/>
  <c r="CD25" i="24"/>
  <c r="CD23" i="24"/>
  <c r="CD21" i="24"/>
  <c r="CD19" i="24"/>
  <c r="CD17" i="24"/>
  <c r="CD15" i="24"/>
  <c r="CD13" i="24"/>
  <c r="CD11" i="24"/>
  <c r="CD9" i="24"/>
  <c r="CD7" i="24"/>
  <c r="BP41" i="24"/>
  <c r="BP39" i="24"/>
  <c r="BP37" i="24"/>
  <c r="BP35" i="24"/>
  <c r="BP33" i="24"/>
  <c r="BP31" i="24"/>
  <c r="BP29" i="24"/>
  <c r="BP27" i="24"/>
  <c r="BP25" i="24"/>
  <c r="BP23" i="24"/>
  <c r="BP21" i="24"/>
  <c r="BP19" i="24"/>
  <c r="BP17" i="24"/>
  <c r="BP15" i="24"/>
  <c r="BP13" i="24"/>
  <c r="BP11" i="24"/>
  <c r="BP9" i="24"/>
  <c r="BP7" i="24"/>
  <c r="CK41" i="24"/>
  <c r="CK39" i="24"/>
  <c r="CK37" i="24"/>
  <c r="CK35" i="24"/>
  <c r="CK33" i="24"/>
  <c r="CK31" i="24"/>
  <c r="CK29" i="24"/>
  <c r="CK27" i="24"/>
  <c r="CK25" i="24"/>
  <c r="CK23" i="24"/>
  <c r="CK21" i="24"/>
  <c r="CK19" i="24"/>
  <c r="CK17" i="24"/>
  <c r="CK15" i="24"/>
  <c r="CK13" i="24"/>
  <c r="CK11" i="24"/>
  <c r="CK9" i="24"/>
  <c r="CK7" i="24"/>
  <c r="CC41" i="24"/>
  <c r="CC39" i="24"/>
  <c r="CC37" i="24"/>
  <c r="CC35" i="24"/>
  <c r="CC33" i="24"/>
  <c r="CC31" i="24"/>
  <c r="CC29" i="24"/>
  <c r="CC27" i="24"/>
  <c r="CC25" i="24"/>
  <c r="CC23" i="24"/>
  <c r="CC21" i="24"/>
  <c r="CC19" i="24"/>
  <c r="CC17" i="24"/>
  <c r="CC15" i="24"/>
  <c r="CC13" i="24"/>
  <c r="CC11" i="24"/>
  <c r="CC9" i="24"/>
  <c r="CC7" i="24"/>
  <c r="BO41" i="24"/>
  <c r="BO39" i="24"/>
  <c r="BO37" i="24"/>
  <c r="BO35" i="24"/>
  <c r="BO33" i="24"/>
  <c r="BO31" i="24"/>
  <c r="BO29" i="24"/>
  <c r="BO27" i="24"/>
  <c r="BO25" i="24"/>
  <c r="BO23" i="24"/>
  <c r="BO21" i="24"/>
  <c r="BO19" i="24"/>
  <c r="BO17" i="24"/>
  <c r="BO15" i="24"/>
  <c r="BO13" i="24"/>
  <c r="BO11" i="24"/>
  <c r="BO9" i="24"/>
  <c r="BO7" i="24"/>
  <c r="CJ41" i="24"/>
  <c r="CJ39" i="24"/>
  <c r="CJ37" i="24"/>
  <c r="CJ35" i="24"/>
  <c r="CJ33" i="24"/>
  <c r="CJ31" i="24"/>
  <c r="CJ29" i="24"/>
  <c r="CJ27" i="24"/>
  <c r="CJ25" i="24"/>
  <c r="CJ23" i="24"/>
  <c r="CJ21" i="24"/>
  <c r="CJ19" i="24"/>
  <c r="CJ17" i="24"/>
  <c r="CJ15" i="24"/>
  <c r="CJ13" i="24"/>
  <c r="CJ11" i="24"/>
  <c r="CJ9" i="24"/>
  <c r="CJ7" i="24"/>
  <c r="CB41" i="24"/>
  <c r="CB39" i="24"/>
  <c r="CB37" i="24"/>
  <c r="CB35" i="24"/>
  <c r="CB33" i="24"/>
  <c r="CB31" i="24"/>
  <c r="CB29" i="24"/>
  <c r="CB27" i="24"/>
  <c r="CB25" i="24"/>
  <c r="CB23" i="24"/>
  <c r="CB21" i="24"/>
  <c r="CB19" i="24"/>
  <c r="CB17" i="24"/>
  <c r="CB15" i="24"/>
  <c r="CB13" i="24"/>
  <c r="CB11" i="24"/>
  <c r="CB9" i="24"/>
  <c r="CB7" i="24"/>
  <c r="BN41" i="24"/>
  <c r="BN39" i="24"/>
  <c r="BN37" i="24"/>
  <c r="BN35" i="24"/>
  <c r="BN33" i="24"/>
  <c r="BN31" i="24"/>
  <c r="BN29" i="24"/>
  <c r="BN27" i="24"/>
  <c r="BN25" i="24"/>
  <c r="BN23" i="24"/>
  <c r="BN21" i="24"/>
  <c r="BN19" i="24"/>
  <c r="BN17" i="24"/>
  <c r="BN15" i="24"/>
  <c r="BN13" i="24"/>
  <c r="BN11" i="24"/>
  <c r="BN9" i="24"/>
  <c r="BN7" i="24"/>
  <c r="CT40" i="24"/>
  <c r="CT38" i="24"/>
  <c r="CT36" i="24"/>
  <c r="CT34" i="24"/>
  <c r="CT32" i="24"/>
  <c r="CT30" i="24"/>
  <c r="CT28" i="24"/>
  <c r="CT26" i="24"/>
  <c r="CT24" i="24"/>
  <c r="CT22" i="24"/>
  <c r="CT20" i="24"/>
  <c r="CT18" i="24"/>
  <c r="CT16" i="24"/>
  <c r="CT14" i="24"/>
  <c r="CT12" i="24"/>
  <c r="CT10" i="24"/>
  <c r="CT8" i="24"/>
  <c r="CT6" i="24"/>
  <c r="BZ41" i="24"/>
  <c r="BZ39" i="24"/>
  <c r="BZ37" i="24"/>
  <c r="BZ35" i="24"/>
  <c r="BZ33" i="24"/>
  <c r="BZ31" i="24"/>
  <c r="BZ29" i="24"/>
  <c r="BZ27" i="24"/>
  <c r="BZ25" i="24"/>
  <c r="BZ23" i="24"/>
  <c r="BZ21" i="24"/>
  <c r="BZ19" i="24"/>
  <c r="BZ17" i="24"/>
  <c r="BZ15" i="24"/>
  <c r="BZ13" i="24"/>
  <c r="BZ11" i="24"/>
  <c r="BZ9" i="24"/>
  <c r="BZ7" i="24"/>
  <c r="X57" i="24"/>
  <c r="CN82" i="24"/>
  <c r="CN84" i="24"/>
  <c r="CN86" i="24"/>
  <c r="CN88" i="24"/>
  <c r="CN90" i="24"/>
  <c r="CN92" i="24"/>
  <c r="CN94" i="24"/>
  <c r="CN96" i="24"/>
  <c r="CN98" i="24"/>
  <c r="CN100" i="24"/>
  <c r="CN102" i="24"/>
  <c r="CN104" i="24"/>
  <c r="CN106" i="24"/>
  <c r="CN108" i="24"/>
  <c r="CN110" i="24"/>
  <c r="CN112" i="24"/>
  <c r="CN114" i="24"/>
  <c r="CN116" i="24"/>
  <c r="CG82" i="24"/>
  <c r="CG84" i="24"/>
  <c r="CG86" i="24"/>
  <c r="CG88" i="24"/>
  <c r="CG90" i="24"/>
  <c r="CG92" i="24"/>
  <c r="CG94" i="24"/>
  <c r="CG96" i="24"/>
  <c r="CG98" i="24"/>
  <c r="CG100" i="24"/>
  <c r="CG102" i="24"/>
  <c r="CG104" i="24"/>
  <c r="CG106" i="24"/>
  <c r="CG108" i="24"/>
  <c r="CG110" i="24"/>
  <c r="CG112" i="24"/>
  <c r="CG114" i="24"/>
  <c r="CG116" i="24"/>
  <c r="CU82" i="24"/>
  <c r="CU84" i="24"/>
  <c r="CU86" i="24"/>
  <c r="CU88" i="24"/>
  <c r="CU90" i="24"/>
  <c r="CU92" i="24"/>
  <c r="CU94" i="24"/>
  <c r="CU96" i="24"/>
  <c r="CU98" i="24"/>
  <c r="CU100" i="24"/>
  <c r="CU102" i="24"/>
  <c r="CU104" i="24"/>
  <c r="CU106" i="24"/>
  <c r="CU108" i="24"/>
  <c r="CU110" i="24"/>
  <c r="CU112" i="24"/>
  <c r="CU114" i="24"/>
  <c r="CU116" i="24"/>
  <c r="BV83" i="24"/>
  <c r="BV85" i="24"/>
  <c r="BV87" i="24"/>
  <c r="BV89" i="24"/>
  <c r="BV91" i="24"/>
  <c r="BV93" i="24"/>
  <c r="BV95" i="24"/>
  <c r="BV97" i="24"/>
  <c r="BV99" i="24"/>
  <c r="BV101" i="24"/>
  <c r="BV103" i="24"/>
  <c r="BV105" i="24"/>
  <c r="BV107" i="24"/>
  <c r="BV109" i="24"/>
  <c r="BV111" i="24"/>
  <c r="BV113" i="24"/>
  <c r="BV115" i="24"/>
  <c r="BV117" i="24"/>
  <c r="CJ83" i="24"/>
  <c r="CJ85" i="24"/>
  <c r="CJ87" i="24"/>
  <c r="CJ89" i="24"/>
  <c r="CJ91" i="24"/>
  <c r="CJ93" i="24"/>
  <c r="CJ95" i="24"/>
  <c r="CJ97" i="24"/>
  <c r="CJ99" i="24"/>
  <c r="CJ101" i="24"/>
  <c r="CJ103" i="24"/>
  <c r="CJ105" i="24"/>
  <c r="CJ107" i="24"/>
  <c r="CJ109" i="24"/>
  <c r="CJ111" i="24"/>
  <c r="CJ113" i="24"/>
  <c r="CJ115" i="24"/>
  <c r="CJ117" i="24"/>
  <c r="CM83" i="24"/>
  <c r="CM85" i="24"/>
  <c r="CM87" i="24"/>
  <c r="CM89" i="24"/>
  <c r="CM91" i="24"/>
  <c r="CM93" i="24"/>
  <c r="CM95" i="24"/>
  <c r="CM97" i="24"/>
  <c r="CM99" i="24"/>
  <c r="CM101" i="24"/>
  <c r="CM103" i="24"/>
  <c r="CM105" i="24"/>
  <c r="CM107" i="24"/>
  <c r="CM109" i="24"/>
  <c r="CM111" i="24"/>
  <c r="CM113" i="24"/>
  <c r="CM115" i="24"/>
  <c r="CM117" i="24"/>
  <c r="CO83" i="24"/>
  <c r="CO85" i="24"/>
  <c r="CO87" i="24"/>
  <c r="CO89" i="24"/>
  <c r="CO91" i="24"/>
  <c r="CO93" i="24"/>
  <c r="CO95" i="24"/>
  <c r="CO97" i="24"/>
  <c r="CO99" i="24"/>
  <c r="CO101" i="24"/>
  <c r="CO103" i="24"/>
  <c r="CO105" i="24"/>
  <c r="CO107" i="24"/>
  <c r="CO109" i="24"/>
  <c r="CO111" i="24"/>
  <c r="CO113" i="24"/>
  <c r="CO115" i="24"/>
  <c r="CO117" i="24"/>
  <c r="R57" i="24"/>
  <c r="R69" i="24"/>
  <c r="R53" i="24"/>
  <c r="X73" i="24"/>
  <c r="CG83" i="24"/>
  <c r="CG85" i="24"/>
  <c r="CG87" i="24"/>
  <c r="CG89" i="24"/>
  <c r="CG91" i="24"/>
  <c r="CG93" i="24"/>
  <c r="CG95" i="24"/>
  <c r="CG97" i="24"/>
  <c r="CG99" i="24"/>
  <c r="CG101" i="24"/>
  <c r="CG103" i="24"/>
  <c r="CG105" i="24"/>
  <c r="CG107" i="24"/>
  <c r="CG109" i="24"/>
  <c r="CG111" i="24"/>
  <c r="CG113" i="24"/>
  <c r="CG115" i="24"/>
  <c r="CG117" i="24"/>
  <c r="CU83" i="24"/>
  <c r="CU85" i="24"/>
  <c r="CU87" i="24"/>
  <c r="CU89" i="24"/>
  <c r="CU91" i="24"/>
  <c r="CU93" i="24"/>
  <c r="CU95" i="24"/>
  <c r="CU97" i="24"/>
  <c r="CU99" i="24"/>
  <c r="CU101" i="24"/>
  <c r="CU103" i="24"/>
  <c r="CU105" i="24"/>
  <c r="CU107" i="24"/>
  <c r="CU109" i="24"/>
  <c r="CU111" i="24"/>
  <c r="CU113" i="24"/>
  <c r="CU115" i="24"/>
  <c r="CU117" i="24"/>
  <c r="R73" i="24"/>
  <c r="BV82" i="24"/>
  <c r="BV84" i="24"/>
  <c r="BV86" i="24"/>
  <c r="BV88" i="24"/>
  <c r="BV90" i="24"/>
  <c r="BV92" i="24"/>
  <c r="BV94" i="24"/>
  <c r="BV96" i="24"/>
  <c r="BV98" i="24"/>
  <c r="BV100" i="24"/>
  <c r="BV102" i="24"/>
  <c r="BV104" i="24"/>
  <c r="BV106" i="24"/>
  <c r="BV108" i="24"/>
  <c r="BV110" i="24"/>
  <c r="BV112" i="24"/>
  <c r="BV114" i="24"/>
  <c r="BV116" i="24"/>
  <c r="CJ82" i="24"/>
  <c r="CJ84" i="24"/>
  <c r="CJ86" i="24"/>
  <c r="CJ88" i="24"/>
  <c r="CJ90" i="24"/>
  <c r="CJ92" i="24"/>
  <c r="CJ94" i="24"/>
  <c r="CJ96" i="24"/>
  <c r="CJ98" i="24"/>
  <c r="CJ100" i="24"/>
  <c r="CJ102" i="24"/>
  <c r="CJ104" i="24"/>
  <c r="CJ106" i="24"/>
  <c r="CJ108" i="24"/>
  <c r="CJ110" i="24"/>
  <c r="CJ112" i="24"/>
  <c r="CJ114" i="24"/>
  <c r="CJ116" i="24"/>
  <c r="BW82" i="24"/>
  <c r="BW84" i="24"/>
  <c r="BW86" i="24"/>
  <c r="BW88" i="24"/>
  <c r="BW90" i="24"/>
  <c r="BW92" i="24"/>
  <c r="BW94" i="24"/>
  <c r="BW96" i="24"/>
  <c r="BW98" i="24"/>
  <c r="BW100" i="24"/>
  <c r="BW102" i="24"/>
  <c r="BW104" i="24"/>
  <c r="BW106" i="24"/>
  <c r="BW108" i="24"/>
  <c r="BW110" i="24"/>
  <c r="BW112" i="24"/>
  <c r="BW114" i="24"/>
  <c r="BW116" i="24"/>
  <c r="CK82" i="24"/>
  <c r="CK84" i="24"/>
  <c r="CK86" i="24"/>
  <c r="CK88" i="24"/>
  <c r="CK90" i="24"/>
  <c r="CK92" i="24"/>
  <c r="CK94" i="24"/>
  <c r="CK96" i="24"/>
  <c r="CK98" i="24"/>
  <c r="CK100" i="24"/>
  <c r="CK102" i="24"/>
  <c r="CK104" i="24"/>
  <c r="CK106" i="24"/>
  <c r="CK108" i="24"/>
  <c r="CK110" i="24"/>
  <c r="CK112" i="24"/>
  <c r="CK114" i="24"/>
  <c r="CK116" i="24"/>
  <c r="CM82" i="24"/>
  <c r="CM84" i="24"/>
  <c r="CM86" i="24"/>
  <c r="CM88" i="24"/>
  <c r="CM90" i="24"/>
  <c r="CM92" i="24"/>
  <c r="CM94" i="24"/>
  <c r="CM96" i="24"/>
  <c r="CM98" i="24"/>
  <c r="CM100" i="24"/>
  <c r="CM102" i="24"/>
  <c r="CM104" i="24"/>
  <c r="CM106" i="24"/>
  <c r="CM108" i="24"/>
  <c r="CM110" i="24"/>
  <c r="CM112" i="24"/>
  <c r="CM114" i="24"/>
  <c r="AC78" i="24"/>
  <c r="AC52" i="24"/>
  <c r="AC68" i="24"/>
  <c r="X53" i="24"/>
  <c r="X69" i="24"/>
  <c r="AC54" i="24"/>
  <c r="AC70" i="24"/>
  <c r="R55" i="24"/>
  <c r="R71" i="24"/>
  <c r="X55" i="24"/>
  <c r="X71" i="24"/>
  <c r="AC56" i="24"/>
  <c r="AC72" i="24"/>
  <c r="AC58" i="24"/>
  <c r="AC74" i="24"/>
  <c r="R75" i="24"/>
  <c r="X59" i="24"/>
  <c r="X75" i="24"/>
  <c r="R59" i="24"/>
  <c r="AC44" i="24"/>
  <c r="AC76" i="24"/>
  <c r="AC60" i="24"/>
  <c r="R45" i="24"/>
  <c r="R61" i="24"/>
  <c r="R77" i="24"/>
  <c r="X77" i="24"/>
  <c r="AC46" i="24"/>
  <c r="R63" i="24"/>
  <c r="X47" i="24"/>
  <c r="X63" i="24"/>
  <c r="X79" i="24"/>
  <c r="X45" i="24"/>
  <c r="AC62" i="24"/>
  <c r="R49" i="24"/>
  <c r="R65" i="24"/>
  <c r="X61" i="24"/>
  <c r="AC48" i="24"/>
  <c r="X49" i="24"/>
  <c r="X65" i="24"/>
  <c r="R79" i="24"/>
  <c r="AC50" i="24"/>
  <c r="AC66" i="24"/>
  <c r="R47" i="24"/>
  <c r="AC64" i="24"/>
  <c r="R51" i="24"/>
  <c r="R67" i="24"/>
  <c r="X51" i="24"/>
  <c r="X67" i="24"/>
  <c r="S45" i="24"/>
  <c r="S47" i="24"/>
  <c r="S49" i="24"/>
  <c r="S51" i="24"/>
  <c r="S53" i="24"/>
  <c r="S55" i="24"/>
  <c r="S57" i="24"/>
  <c r="S59" i="24"/>
  <c r="S61" i="24"/>
  <c r="S63" i="24"/>
  <c r="S65" i="24"/>
  <c r="S67" i="24"/>
  <c r="S69" i="24"/>
  <c r="S71" i="24"/>
  <c r="S73" i="24"/>
  <c r="S75" i="24"/>
  <c r="S77" i="24"/>
  <c r="S79" i="24"/>
  <c r="T45" i="24"/>
  <c r="T49" i="24"/>
  <c r="T53" i="24"/>
  <c r="T57" i="24"/>
  <c r="T61" i="24"/>
  <c r="T65" i="24"/>
  <c r="T69" i="24"/>
  <c r="T75" i="24"/>
  <c r="T79" i="24"/>
  <c r="T47" i="24"/>
  <c r="T51" i="24"/>
  <c r="T55" i="24"/>
  <c r="T59" i="24"/>
  <c r="T63" i="24"/>
  <c r="T67" i="24"/>
  <c r="T71" i="24"/>
  <c r="T73" i="24"/>
  <c r="T77" i="24"/>
  <c r="U45" i="24"/>
  <c r="U47" i="24"/>
  <c r="U49" i="24"/>
  <c r="U51" i="24"/>
  <c r="U53" i="24"/>
  <c r="U55" i="24"/>
  <c r="U57" i="24"/>
  <c r="U59" i="24"/>
  <c r="U61" i="24"/>
  <c r="U63" i="24"/>
  <c r="U65" i="24"/>
  <c r="U67" i="24"/>
  <c r="U69" i="24"/>
  <c r="U71" i="24"/>
  <c r="U73" i="24"/>
  <c r="U75" i="24"/>
  <c r="U77" i="24"/>
  <c r="U79" i="24"/>
  <c r="V47" i="24"/>
  <c r="V51" i="24"/>
  <c r="V57" i="24"/>
  <c r="V61" i="24"/>
  <c r="V67" i="24"/>
  <c r="V71" i="24"/>
  <c r="V79" i="24"/>
  <c r="V45" i="24"/>
  <c r="V49" i="24"/>
  <c r="V53" i="24"/>
  <c r="V55" i="24"/>
  <c r="V59" i="24"/>
  <c r="V63" i="24"/>
  <c r="V65" i="24"/>
  <c r="V69" i="24"/>
  <c r="V73" i="24"/>
  <c r="V75" i="24"/>
  <c r="V77" i="24"/>
  <c r="W45" i="24"/>
  <c r="W47" i="24"/>
  <c r="W49" i="24"/>
  <c r="W51" i="24"/>
  <c r="W53" i="24"/>
  <c r="W55" i="24"/>
  <c r="W57" i="24"/>
  <c r="W59" i="24"/>
  <c r="W61" i="24"/>
  <c r="W63" i="24"/>
  <c r="W65" i="24"/>
  <c r="W67" i="24"/>
  <c r="W69" i="24"/>
  <c r="W71" i="24"/>
  <c r="W73" i="24"/>
  <c r="W75" i="24"/>
  <c r="W77" i="24"/>
  <c r="W79" i="24"/>
  <c r="Y47" i="24"/>
  <c r="Y51" i="24"/>
  <c r="Y55" i="24"/>
  <c r="Y59" i="24"/>
  <c r="Y63" i="24"/>
  <c r="Y67" i="24"/>
  <c r="Y71" i="24"/>
  <c r="Y75" i="24"/>
  <c r="Y45" i="24"/>
  <c r="Y49" i="24"/>
  <c r="Y53" i="24"/>
  <c r="Y57" i="24"/>
  <c r="Y61" i="24"/>
  <c r="Y65" i="24"/>
  <c r="Y69" i="24"/>
  <c r="Y73" i="24"/>
  <c r="Y77" i="24"/>
  <c r="Y79" i="24"/>
  <c r="Z45" i="24"/>
  <c r="Z47" i="24"/>
  <c r="Z49" i="24"/>
  <c r="Z51" i="24"/>
  <c r="Z53" i="24"/>
  <c r="Z55" i="24"/>
  <c r="Z57" i="24"/>
  <c r="Z59" i="24"/>
  <c r="Z61" i="24"/>
  <c r="Z63" i="24"/>
  <c r="Z65" i="24"/>
  <c r="Z67" i="24"/>
  <c r="Z69" i="24"/>
  <c r="Z71" i="24"/>
  <c r="Z73" i="24"/>
  <c r="Z75" i="24"/>
  <c r="Z77" i="24"/>
  <c r="Z79" i="24"/>
  <c r="AA45" i="24"/>
  <c r="AA51" i="24"/>
  <c r="AA55" i="24"/>
  <c r="AA61" i="24"/>
  <c r="AA65" i="24"/>
  <c r="AA71" i="24"/>
  <c r="AA75" i="24"/>
  <c r="AA79" i="24"/>
  <c r="AA47" i="24"/>
  <c r="AA49" i="24"/>
  <c r="AA53" i="24"/>
  <c r="AA57" i="24"/>
  <c r="AA59" i="24"/>
  <c r="AA63" i="24"/>
  <c r="AA67" i="24"/>
  <c r="AA69" i="24"/>
  <c r="AA73" i="24"/>
  <c r="AA77" i="24"/>
  <c r="AB45" i="24"/>
  <c r="AB47" i="24"/>
  <c r="AB49" i="24"/>
  <c r="AB51" i="24"/>
  <c r="AB53" i="24"/>
  <c r="AB55" i="24"/>
  <c r="AB57" i="24"/>
  <c r="AB59" i="24"/>
  <c r="AB61" i="24"/>
  <c r="AB63" i="24"/>
  <c r="AB65" i="24"/>
  <c r="AB67" i="24"/>
  <c r="AB69" i="24"/>
  <c r="AB71" i="24"/>
  <c r="AB73" i="24"/>
  <c r="AB75" i="24"/>
  <c r="AB77" i="24"/>
  <c r="AB79" i="24"/>
  <c r="AC65" i="24"/>
  <c r="AC47" i="24"/>
  <c r="AC63" i="24"/>
  <c r="AC79" i="24"/>
  <c r="R44" i="24"/>
  <c r="R46" i="24"/>
  <c r="R48" i="24"/>
  <c r="R50" i="24"/>
  <c r="R52" i="24"/>
  <c r="R54" i="24"/>
  <c r="R56" i="24"/>
  <c r="R58" i="24"/>
  <c r="R60" i="24"/>
  <c r="R62" i="24"/>
  <c r="R64" i="24"/>
  <c r="R66" i="24"/>
  <c r="R68" i="24"/>
  <c r="R70" i="24"/>
  <c r="R72" i="24"/>
  <c r="R74" i="24"/>
  <c r="R76" i="24"/>
  <c r="R78" i="24"/>
  <c r="AC57" i="24"/>
  <c r="AC71" i="24"/>
  <c r="S44" i="24"/>
  <c r="S46" i="24"/>
  <c r="S48" i="24"/>
  <c r="S50" i="24"/>
  <c r="S52" i="24"/>
  <c r="S54" i="24"/>
  <c r="S56" i="24"/>
  <c r="S58" i="24"/>
  <c r="S60" i="24"/>
  <c r="S62" i="24"/>
  <c r="S64" i="24"/>
  <c r="S66" i="24"/>
  <c r="S68" i="24"/>
  <c r="S70" i="24"/>
  <c r="S72" i="24"/>
  <c r="S74" i="24"/>
  <c r="S76" i="24"/>
  <c r="S78" i="24"/>
  <c r="AC53" i="24"/>
  <c r="AC73" i="24"/>
  <c r="T56" i="24"/>
  <c r="T76" i="24"/>
  <c r="AC59" i="24"/>
  <c r="T54" i="24"/>
  <c r="T66" i="24"/>
  <c r="U56" i="24"/>
  <c r="U78" i="24"/>
  <c r="AC49" i="24"/>
  <c r="AC67" i="24"/>
  <c r="AC77" i="24"/>
  <c r="T52" i="24"/>
  <c r="T68" i="24"/>
  <c r="U54" i="24"/>
  <c r="U70" i="24"/>
  <c r="V52" i="24"/>
  <c r="V62" i="24"/>
  <c r="V68" i="24"/>
  <c r="V70" i="24"/>
  <c r="V72" i="24"/>
  <c r="V74" i="24"/>
  <c r="V76" i="24"/>
  <c r="AC51" i="24"/>
  <c r="AC69" i="24"/>
  <c r="T46" i="24"/>
  <c r="T64" i="24"/>
  <c r="U52" i="24"/>
  <c r="U66" i="24"/>
  <c r="U76" i="24"/>
  <c r="V60" i="24"/>
  <c r="W44" i="24"/>
  <c r="W60" i="24"/>
  <c r="W74" i="24"/>
  <c r="T50" i="24"/>
  <c r="T78" i="24"/>
  <c r="U60" i="24"/>
  <c r="V56" i="24"/>
  <c r="X54" i="24"/>
  <c r="X76" i="24"/>
  <c r="AC55" i="24"/>
  <c r="AC75" i="24"/>
  <c r="T44" i="24"/>
  <c r="T60" i="24"/>
  <c r="T74" i="24"/>
  <c r="U48" i="24"/>
  <c r="U64" i="24"/>
  <c r="V50" i="24"/>
  <c r="V64" i="24"/>
  <c r="W52" i="24"/>
  <c r="W66" i="24"/>
  <c r="X46" i="24"/>
  <c r="X56" i="24"/>
  <c r="X66" i="24"/>
  <c r="X74" i="24"/>
  <c r="Y44" i="24"/>
  <c r="Y46" i="24"/>
  <c r="Y48" i="24"/>
  <c r="Y50" i="24"/>
  <c r="Y52" i="24"/>
  <c r="Y54" i="24"/>
  <c r="Y56" i="24"/>
  <c r="Y58" i="24"/>
  <c r="Y60" i="24"/>
  <c r="Y62" i="24"/>
  <c r="Y64" i="24"/>
  <c r="Y66" i="24"/>
  <c r="Y68" i="24"/>
  <c r="Y70" i="24"/>
  <c r="Y72" i="24"/>
  <c r="Y74" i="24"/>
  <c r="Y76" i="24"/>
  <c r="Y78" i="24"/>
  <c r="U50" i="24"/>
  <c r="U62" i="24"/>
  <c r="U74" i="24"/>
  <c r="V48" i="24"/>
  <c r="V58" i="24"/>
  <c r="W48" i="24"/>
  <c r="W56" i="24"/>
  <c r="W64" i="24"/>
  <c r="W72" i="24"/>
  <c r="W78" i="24"/>
  <c r="X48" i="24"/>
  <c r="X58" i="24"/>
  <c r="X64" i="24"/>
  <c r="X72" i="24"/>
  <c r="Z44" i="24"/>
  <c r="Z46" i="24"/>
  <c r="Z48" i="24"/>
  <c r="Z50" i="24"/>
  <c r="Z52" i="24"/>
  <c r="Z54" i="24"/>
  <c r="Z56" i="24"/>
  <c r="Z58" i="24"/>
  <c r="Z60" i="24"/>
  <c r="Z62" i="24"/>
  <c r="Z64" i="24"/>
  <c r="Z66" i="24"/>
  <c r="Z68" i="24"/>
  <c r="Z70" i="24"/>
  <c r="Z72" i="24"/>
  <c r="Z74" i="24"/>
  <c r="Z76" i="24"/>
  <c r="Z78" i="24"/>
  <c r="AC45" i="24"/>
  <c r="AC61" i="24"/>
  <c r="T48" i="24"/>
  <c r="T62" i="24"/>
  <c r="T72" i="24"/>
  <c r="U44" i="24"/>
  <c r="U58" i="24"/>
  <c r="U72" i="24"/>
  <c r="V46" i="24"/>
  <c r="V54" i="24"/>
  <c r="V66" i="24"/>
  <c r="W46" i="24"/>
  <c r="W54" i="24"/>
  <c r="W62" i="24"/>
  <c r="W70" i="24"/>
  <c r="W76" i="24"/>
  <c r="X50" i="24"/>
  <c r="X62" i="24"/>
  <c r="X70" i="24"/>
  <c r="AA44" i="24"/>
  <c r="AA46" i="24"/>
  <c r="AA48" i="24"/>
  <c r="AA50" i="24"/>
  <c r="AA52" i="24"/>
  <c r="AA54" i="24"/>
  <c r="AA56" i="24"/>
  <c r="AA58" i="24"/>
  <c r="AA60" i="24"/>
  <c r="AA62" i="24"/>
  <c r="AA64" i="24"/>
  <c r="AA66" i="24"/>
  <c r="AA68" i="24"/>
  <c r="AA70" i="24"/>
  <c r="AA72" i="24"/>
  <c r="AA74" i="24"/>
  <c r="AA76" i="24"/>
  <c r="AA78" i="24"/>
  <c r="T58" i="24"/>
  <c r="T70" i="24"/>
  <c r="U46" i="24"/>
  <c r="U68" i="24"/>
  <c r="V44" i="24"/>
  <c r="V78" i="24"/>
  <c r="W50" i="24"/>
  <c r="W58" i="24"/>
  <c r="W68" i="24"/>
  <c r="X44" i="24"/>
  <c r="X52" i="24"/>
  <c r="X60" i="24"/>
  <c r="X68" i="24"/>
  <c r="X78" i="24"/>
  <c r="AB44" i="24"/>
  <c r="AB46" i="24"/>
  <c r="AB48" i="24"/>
  <c r="AB50" i="24"/>
  <c r="AB52" i="24"/>
  <c r="AB54" i="24"/>
  <c r="AB56" i="24"/>
  <c r="AB58" i="24"/>
  <c r="AB60" i="24"/>
  <c r="AB62" i="24"/>
  <c r="AB64" i="24"/>
  <c r="AB66" i="24"/>
  <c r="AB68" i="24"/>
  <c r="AB70" i="24"/>
  <c r="AB72" i="24"/>
  <c r="AB74" i="24"/>
  <c r="AB76" i="24"/>
  <c r="AE423" i="30"/>
  <c r="AQ3" i="30" s="1"/>
  <c r="O38" i="23" s="1"/>
  <c r="AS423" i="30"/>
  <c r="BE3" i="30" s="1"/>
  <c r="O69" i="23" s="1"/>
  <c r="Z14" i="8"/>
  <c r="V31" i="8"/>
  <c r="R61" i="8"/>
  <c r="W142" i="8"/>
  <c r="AO7" i="8"/>
  <c r="AP9" i="8"/>
  <c r="AQ11" i="8"/>
  <c r="AF14" i="8"/>
  <c r="AG16" i="8"/>
  <c r="AH18" i="8"/>
  <c r="AI20" i="8"/>
  <c r="AJ22" i="8"/>
  <c r="AK24" i="8"/>
  <c r="AL26" i="8"/>
  <c r="AM28" i="8"/>
  <c r="AN30" i="8"/>
  <c r="AO32" i="8"/>
  <c r="AP34" i="8"/>
  <c r="AQ36" i="8"/>
  <c r="AF39" i="8"/>
  <c r="AI41" i="8"/>
  <c r="AL82" i="8"/>
  <c r="AG86" i="8"/>
  <c r="AG90" i="8"/>
  <c r="AG94" i="8"/>
  <c r="AK99" i="8"/>
  <c r="AK105" i="8"/>
  <c r="AL113" i="8"/>
  <c r="Y16" i="8"/>
  <c r="U33" i="8"/>
  <c r="Y63" i="8"/>
  <c r="AB142" i="8"/>
  <c r="AP7" i="8"/>
  <c r="AQ9" i="8"/>
  <c r="AF12" i="8"/>
  <c r="AG14" i="8"/>
  <c r="AH16" i="8"/>
  <c r="AI18" i="8"/>
  <c r="AJ20" i="8"/>
  <c r="AK22" i="8"/>
  <c r="AL24" i="8"/>
  <c r="AM26" i="8"/>
  <c r="AN28" i="8"/>
  <c r="AO30" i="8"/>
  <c r="AP32" i="8"/>
  <c r="AQ34" i="8"/>
  <c r="AF37" i="8"/>
  <c r="AG39" i="8"/>
  <c r="AJ41" i="8"/>
  <c r="AM82" i="8"/>
  <c r="AI86" i="8"/>
  <c r="AI90" i="8"/>
  <c r="AI94" i="8"/>
  <c r="AL99" i="8"/>
  <c r="AL105" i="8"/>
  <c r="AM113" i="8"/>
  <c r="Z16" i="8"/>
  <c r="V33" i="8"/>
  <c r="Z63" i="8"/>
  <c r="R179" i="8"/>
  <c r="AQ7" i="8"/>
  <c r="AF10" i="8"/>
  <c r="AG12" i="8"/>
  <c r="AH14" i="8"/>
  <c r="AI16" i="8"/>
  <c r="AJ18" i="8"/>
  <c r="AK20" i="8"/>
  <c r="AL22" i="8"/>
  <c r="AM24" i="8"/>
  <c r="AN26" i="8"/>
  <c r="AO28" i="8"/>
  <c r="AP30" i="8"/>
  <c r="AQ32" i="8"/>
  <c r="AF35" i="8"/>
  <c r="AG37" i="8"/>
  <c r="AI39" i="8"/>
  <c r="AK41" i="8"/>
  <c r="AO82" i="8"/>
  <c r="AM86" i="8"/>
  <c r="AM90" i="8"/>
  <c r="AM94" i="8"/>
  <c r="AM99" i="8"/>
  <c r="AM105" i="8"/>
  <c r="AN113" i="8"/>
  <c r="AA16" i="8"/>
  <c r="W33" i="8"/>
  <c r="X66" i="8"/>
  <c r="AF8" i="8"/>
  <c r="AG10" i="8"/>
  <c r="AH12" i="8"/>
  <c r="AI14" i="8"/>
  <c r="AJ16" i="8"/>
  <c r="AK18" i="8"/>
  <c r="AL20" i="8"/>
  <c r="AM22" i="8"/>
  <c r="AN24" i="8"/>
  <c r="AO26" i="8"/>
  <c r="AP28" i="8"/>
  <c r="AQ30" i="8"/>
  <c r="AF33" i="8"/>
  <c r="AG35" i="8"/>
  <c r="AI37" i="8"/>
  <c r="AJ39" i="8"/>
  <c r="AL41" i="8"/>
  <c r="AI83" i="8"/>
  <c r="AI87" i="8"/>
  <c r="AI91" i="8"/>
  <c r="AI95" i="8"/>
  <c r="AN99" i="8"/>
  <c r="AN105" i="8"/>
  <c r="AK115" i="8"/>
  <c r="Z18" i="8"/>
  <c r="V35" i="8"/>
  <c r="Y66" i="8"/>
  <c r="AF6" i="8"/>
  <c r="AG8" i="8"/>
  <c r="AH10" i="8"/>
  <c r="AI12" i="8"/>
  <c r="AJ14" i="8"/>
  <c r="AK16" i="8"/>
  <c r="AL18" i="8"/>
  <c r="AM20" i="8"/>
  <c r="AN22" i="8"/>
  <c r="AO24" i="8"/>
  <c r="AP26" i="8"/>
  <c r="AQ28" i="8"/>
  <c r="AF31" i="8"/>
  <c r="AG33" i="8"/>
  <c r="AI35" i="8"/>
  <c r="AJ37" i="8"/>
  <c r="AK39" i="8"/>
  <c r="AM41" i="8"/>
  <c r="AJ83" i="8"/>
  <c r="AJ87" i="8"/>
  <c r="AJ91" i="8"/>
  <c r="AJ95" i="8"/>
  <c r="AP99" i="8"/>
  <c r="AI106" i="8"/>
  <c r="AL115" i="8"/>
  <c r="AA18" i="8"/>
  <c r="W35" i="8"/>
  <c r="S69" i="8"/>
  <c r="AG6" i="8"/>
  <c r="AH8" i="8"/>
  <c r="AI10" i="8"/>
  <c r="AJ12" i="8"/>
  <c r="AK14" i="8"/>
  <c r="AL16" i="8"/>
  <c r="AM18" i="8"/>
  <c r="AN20" i="8"/>
  <c r="AO22" i="8"/>
  <c r="AP24" i="8"/>
  <c r="AQ26" i="8"/>
  <c r="AF29" i="8"/>
  <c r="AG31" i="8"/>
  <c r="AI33" i="8"/>
  <c r="AJ35" i="8"/>
  <c r="AK37" i="8"/>
  <c r="AL39" i="8"/>
  <c r="AN41" i="8"/>
  <c r="AK83" i="8"/>
  <c r="AK87" i="8"/>
  <c r="AK91" i="8"/>
  <c r="AK95" i="8"/>
  <c r="AQ99" i="8"/>
  <c r="AI107" i="8"/>
  <c r="AM115" i="8"/>
  <c r="AB18" i="8"/>
  <c r="W37" i="8"/>
  <c r="U69" i="8"/>
  <c r="AH6" i="8"/>
  <c r="AI8" i="8"/>
  <c r="AJ10" i="8"/>
  <c r="AK12" i="8"/>
  <c r="AL14" i="8"/>
  <c r="AM16" i="8"/>
  <c r="AN18" i="8"/>
  <c r="AO20" i="8"/>
  <c r="AP22" i="8"/>
  <c r="AQ24" i="8"/>
  <c r="AF27" i="8"/>
  <c r="AG29" i="8"/>
  <c r="AI31" i="8"/>
  <c r="AJ33" i="8"/>
  <c r="AK35" i="8"/>
  <c r="AL37" i="8"/>
  <c r="AM39" i="8"/>
  <c r="AO41" i="8"/>
  <c r="AL83" i="8"/>
  <c r="AL87" i="8"/>
  <c r="AL91" i="8"/>
  <c r="AL95" i="8"/>
  <c r="AI100" i="8"/>
  <c r="AJ107" i="8"/>
  <c r="AN115" i="8"/>
  <c r="AA20" i="8"/>
  <c r="X37" i="8"/>
  <c r="Y72" i="8"/>
  <c r="AI6" i="8"/>
  <c r="AJ8" i="8"/>
  <c r="AK10" i="8"/>
  <c r="AL12" i="8"/>
  <c r="AM14" i="8"/>
  <c r="AN16" i="8"/>
  <c r="AO18" i="8"/>
  <c r="AP20" i="8"/>
  <c r="AQ22" i="8"/>
  <c r="AF25" i="8"/>
  <c r="AG27" i="8"/>
  <c r="AI29" i="8"/>
  <c r="AJ31" i="8"/>
  <c r="AK33" i="8"/>
  <c r="AL35" i="8"/>
  <c r="AM37" i="8"/>
  <c r="AN39" i="8"/>
  <c r="AP41" i="8"/>
  <c r="AM83" i="8"/>
  <c r="AM87" i="8"/>
  <c r="AM91" i="8"/>
  <c r="AM95" i="8"/>
  <c r="AI101" i="8"/>
  <c r="AK107" i="8"/>
  <c r="AK117" i="8"/>
  <c r="AB20" i="8"/>
  <c r="X39" i="8"/>
  <c r="Z72" i="8"/>
  <c r="AJ6" i="8"/>
  <c r="AK8" i="8"/>
  <c r="AL10" i="8"/>
  <c r="AM12" i="8"/>
  <c r="AN14" i="8"/>
  <c r="AO16" i="8"/>
  <c r="AP18" i="8"/>
  <c r="AQ20" i="8"/>
  <c r="AF23" i="8"/>
  <c r="AG25" i="8"/>
  <c r="AI27" i="8"/>
  <c r="AJ29" i="8"/>
  <c r="AK31" i="8"/>
  <c r="AL33" i="8"/>
  <c r="AM35" i="8"/>
  <c r="AN37" i="8"/>
  <c r="AO39" i="8"/>
  <c r="AQ41" i="8"/>
  <c r="AN83" i="8"/>
  <c r="AN87" i="8"/>
  <c r="AN91" i="8"/>
  <c r="AN95" i="8"/>
  <c r="AJ101" i="8"/>
  <c r="AL107" i="8"/>
  <c r="AL117" i="8"/>
  <c r="AC20" i="8"/>
  <c r="Y39" i="8"/>
  <c r="Y75" i="8"/>
  <c r="AK6" i="8"/>
  <c r="AL8" i="8"/>
  <c r="AM10" i="8"/>
  <c r="AN12" i="8"/>
  <c r="AO14" i="8"/>
  <c r="AP16" i="8"/>
  <c r="AQ18" i="8"/>
  <c r="AF21" i="8"/>
  <c r="AG23" i="8"/>
  <c r="AI25" i="8"/>
  <c r="AJ27" i="8"/>
  <c r="AK29" i="8"/>
  <c r="AL31" i="8"/>
  <c r="AM33" i="8"/>
  <c r="AN35" i="8"/>
  <c r="AO37" i="8"/>
  <c r="AP39" i="8"/>
  <c r="AO83" i="8"/>
  <c r="AO87" i="8"/>
  <c r="AO91" i="8"/>
  <c r="AP95" i="8"/>
  <c r="AK101" i="8"/>
  <c r="AM107" i="8"/>
  <c r="AN117" i="8"/>
  <c r="S6" i="8"/>
  <c r="AB22" i="8"/>
  <c r="Y41" i="8"/>
  <c r="AA75" i="8"/>
  <c r="AL6" i="8"/>
  <c r="AM8" i="8"/>
  <c r="AN10" i="8"/>
  <c r="AO12" i="8"/>
  <c r="AP14" i="8"/>
  <c r="AQ16" i="8"/>
  <c r="AF19" i="8"/>
  <c r="AG21" i="8"/>
  <c r="AI23" i="8"/>
  <c r="AJ25" i="8"/>
  <c r="AK27" i="8"/>
  <c r="AL29" i="8"/>
  <c r="AM31" i="8"/>
  <c r="AN33" i="8"/>
  <c r="AO35" i="8"/>
  <c r="AP37" i="8"/>
  <c r="AP83" i="8"/>
  <c r="AP87" i="8"/>
  <c r="AP91" i="8"/>
  <c r="AQ95" i="8"/>
  <c r="AL101" i="8"/>
  <c r="AN107" i="8"/>
  <c r="AL121" i="8"/>
  <c r="AC41" i="8"/>
  <c r="CN40" i="8"/>
  <c r="CN38" i="8"/>
  <c r="CN36" i="8"/>
  <c r="CN34" i="8"/>
  <c r="CN32" i="8"/>
  <c r="CN30" i="8"/>
  <c r="CN28" i="8"/>
  <c r="CN26" i="8"/>
  <c r="CN24" i="8"/>
  <c r="CN22" i="8"/>
  <c r="CN20" i="8"/>
  <c r="CN18" i="8"/>
  <c r="CN16" i="8"/>
  <c r="CN14" i="8"/>
  <c r="CN12" i="8"/>
  <c r="CM40" i="8"/>
  <c r="CM38" i="8"/>
  <c r="CL40" i="8"/>
  <c r="CL38" i="8"/>
  <c r="CL36" i="8"/>
  <c r="CL34" i="8"/>
  <c r="CL32" i="8"/>
  <c r="CL30" i="8"/>
  <c r="CL28" i="8"/>
  <c r="CL26" i="8"/>
  <c r="CL24" i="8"/>
  <c r="CL22" i="8"/>
  <c r="CL20" i="8"/>
  <c r="CL18" i="8"/>
  <c r="CL16" i="8"/>
  <c r="CL14" i="8"/>
  <c r="CL12" i="8"/>
  <c r="CK40" i="8"/>
  <c r="CK38" i="8"/>
  <c r="CK36" i="8"/>
  <c r="CK34" i="8"/>
  <c r="CK32" i="8"/>
  <c r="CK30" i="8"/>
  <c r="CK28" i="8"/>
  <c r="CK26" i="8"/>
  <c r="CK24" i="8"/>
  <c r="CK22" i="8"/>
  <c r="CJ40" i="8"/>
  <c r="CJ38" i="8"/>
  <c r="CJ36" i="8"/>
  <c r="CJ34" i="8"/>
  <c r="CJ32" i="8"/>
  <c r="CJ30" i="8"/>
  <c r="CJ28" i="8"/>
  <c r="CJ26" i="8"/>
  <c r="CJ24" i="8"/>
  <c r="CJ22" i="8"/>
  <c r="CU41" i="8"/>
  <c r="CU39" i="8"/>
  <c r="CU37" i="8"/>
  <c r="CP39" i="8"/>
  <c r="CJ37" i="8"/>
  <c r="CR34" i="8"/>
  <c r="CM32" i="8"/>
  <c r="CR29" i="8"/>
  <c r="CN27" i="8"/>
  <c r="CJ25" i="8"/>
  <c r="CR22" i="8"/>
  <c r="CM20" i="8"/>
  <c r="CJ18" i="8"/>
  <c r="CT15" i="8"/>
  <c r="CR13" i="8"/>
  <c r="CP11" i="8"/>
  <c r="CP9" i="8"/>
  <c r="CP7" i="8"/>
  <c r="CO39" i="8"/>
  <c r="CU36" i="8"/>
  <c r="CQ34" i="8"/>
  <c r="CU31" i="8"/>
  <c r="CQ29" i="8"/>
  <c r="CM27" i="8"/>
  <c r="CU24" i="8"/>
  <c r="CQ22" i="8"/>
  <c r="CK20" i="8"/>
  <c r="CU17" i="8"/>
  <c r="CS15" i="8"/>
  <c r="CQ13" i="8"/>
  <c r="CO11" i="8"/>
  <c r="CO9" i="8"/>
  <c r="CO7" i="8"/>
  <c r="CT41" i="8"/>
  <c r="CN39" i="8"/>
  <c r="CT36" i="8"/>
  <c r="CP34" i="8"/>
  <c r="CT31" i="8"/>
  <c r="CP29" i="8"/>
  <c r="CL27" i="8"/>
  <c r="CT24" i="8"/>
  <c r="CP22" i="8"/>
  <c r="CJ20" i="8"/>
  <c r="CT17" i="8"/>
  <c r="CR15" i="8"/>
  <c r="CP13" i="8"/>
  <c r="CN11" i="8"/>
  <c r="CN9" i="8"/>
  <c r="CN7" i="8"/>
  <c r="CS41" i="8"/>
  <c r="CM39" i="8"/>
  <c r="CS36" i="8"/>
  <c r="CO34" i="8"/>
  <c r="CS31" i="8"/>
  <c r="CO29" i="8"/>
  <c r="CK27" i="8"/>
  <c r="CS24" i="8"/>
  <c r="CO22" i="8"/>
  <c r="CU19" i="8"/>
  <c r="CS17" i="8"/>
  <c r="CQ15" i="8"/>
  <c r="CO13" i="8"/>
  <c r="CM11" i="8"/>
  <c r="CM9" i="8"/>
  <c r="CM7" i="8"/>
  <c r="CR41" i="8"/>
  <c r="CL39" i="8"/>
  <c r="CR36" i="8"/>
  <c r="CM34" i="8"/>
  <c r="CR31" i="8"/>
  <c r="CN29" i="8"/>
  <c r="CJ27" i="8"/>
  <c r="CR24" i="8"/>
  <c r="CM22" i="8"/>
  <c r="CT19" i="8"/>
  <c r="CR17" i="8"/>
  <c r="CP15" i="8"/>
  <c r="CN13" i="8"/>
  <c r="CL11" i="8"/>
  <c r="CL9" i="8"/>
  <c r="CL7" i="8"/>
  <c r="CQ41" i="8"/>
  <c r="CK39" i="8"/>
  <c r="CQ36" i="8"/>
  <c r="CU33" i="8"/>
  <c r="CQ31" i="8"/>
  <c r="CM29" i="8"/>
  <c r="CU26" i="8"/>
  <c r="CQ24" i="8"/>
  <c r="CU21" i="8"/>
  <c r="CS19" i="8"/>
  <c r="CQ17" i="8"/>
  <c r="CO15" i="8"/>
  <c r="CM13" i="8"/>
  <c r="CK11" i="8"/>
  <c r="CK9" i="8"/>
  <c r="CK7" i="8"/>
  <c r="CP41" i="8"/>
  <c r="CJ39" i="8"/>
  <c r="CP36" i="8"/>
  <c r="CT33" i="8"/>
  <c r="CP31" i="8"/>
  <c r="CL29" i="8"/>
  <c r="CT26" i="8"/>
  <c r="CP24" i="8"/>
  <c r="CT21" i="8"/>
  <c r="CR19" i="8"/>
  <c r="CP17" i="8"/>
  <c r="CN15" i="8"/>
  <c r="CL13" i="8"/>
  <c r="CJ11" i="8"/>
  <c r="CJ9" i="8"/>
  <c r="CJ7" i="8"/>
  <c r="CO41" i="8"/>
  <c r="CU38" i="8"/>
  <c r="CO36" i="8"/>
  <c r="CS33" i="8"/>
  <c r="CO31" i="8"/>
  <c r="CK29" i="8"/>
  <c r="CS26" i="8"/>
  <c r="CO24" i="8"/>
  <c r="CS21" i="8"/>
  <c r="CQ19" i="8"/>
  <c r="CO17" i="8"/>
  <c r="CM15" i="8"/>
  <c r="CK13" i="8"/>
  <c r="CU10" i="8"/>
  <c r="CU8" i="8"/>
  <c r="CU6" i="8"/>
  <c r="CN41" i="8"/>
  <c r="CT38" i="8"/>
  <c r="CM36" i="8"/>
  <c r="CR33" i="8"/>
  <c r="CN31" i="8"/>
  <c r="CJ29" i="8"/>
  <c r="CR26" i="8"/>
  <c r="CM24" i="8"/>
  <c r="CR21" i="8"/>
  <c r="CP19" i="8"/>
  <c r="CN17" i="8"/>
  <c r="CL15" i="8"/>
  <c r="CJ13" i="8"/>
  <c r="CT10" i="8"/>
  <c r="CT8" i="8"/>
  <c r="CT6" i="8"/>
  <c r="CM41" i="8"/>
  <c r="CS38" i="8"/>
  <c r="CU35" i="8"/>
  <c r="CQ33" i="8"/>
  <c r="CM31" i="8"/>
  <c r="CU28" i="8"/>
  <c r="CQ26" i="8"/>
  <c r="CU23" i="8"/>
  <c r="CQ21" i="8"/>
  <c r="CO19" i="8"/>
  <c r="CM17" i="8"/>
  <c r="CK15" i="8"/>
  <c r="CU12" i="8"/>
  <c r="CS10" i="8"/>
  <c r="CS8" i="8"/>
  <c r="CS6" i="8"/>
  <c r="CL41" i="8"/>
  <c r="CR38" i="8"/>
  <c r="CT35" i="8"/>
  <c r="CP33" i="8"/>
  <c r="CL31" i="8"/>
  <c r="CT28" i="8"/>
  <c r="CP26" i="8"/>
  <c r="CT23" i="8"/>
  <c r="CP21" i="8"/>
  <c r="CN19" i="8"/>
  <c r="CL17" i="8"/>
  <c r="CJ15" i="8"/>
  <c r="CT12" i="8"/>
  <c r="CR10" i="8"/>
  <c r="CR8" i="8"/>
  <c r="CR6" i="8"/>
  <c r="CK41" i="8"/>
  <c r="CQ38" i="8"/>
  <c r="CS35" i="8"/>
  <c r="CO33" i="8"/>
  <c r="CK31" i="8"/>
  <c r="CS28" i="8"/>
  <c r="CO26" i="8"/>
  <c r="CS23" i="8"/>
  <c r="CO21" i="8"/>
  <c r="CM19" i="8"/>
  <c r="CK17" i="8"/>
  <c r="CU14" i="8"/>
  <c r="CS12" i="8"/>
  <c r="CQ10" i="8"/>
  <c r="CQ8" i="8"/>
  <c r="CQ6" i="8"/>
  <c r="CJ41" i="8"/>
  <c r="CP38" i="8"/>
  <c r="CR35" i="8"/>
  <c r="CN33" i="8"/>
  <c r="CJ31" i="8"/>
  <c r="CR28" i="8"/>
  <c r="CM26" i="8"/>
  <c r="CR23" i="8"/>
  <c r="CN21" i="8"/>
  <c r="CL19" i="8"/>
  <c r="CJ17" i="8"/>
  <c r="CT14" i="8"/>
  <c r="CR12" i="8"/>
  <c r="CP10" i="8"/>
  <c r="CP8" i="8"/>
  <c r="CP6" i="8"/>
  <c r="CU40" i="8"/>
  <c r="CO38" i="8"/>
  <c r="CQ35" i="8"/>
  <c r="CM33" i="8"/>
  <c r="CU30" i="8"/>
  <c r="CQ28" i="8"/>
  <c r="CU25" i="8"/>
  <c r="CQ23" i="8"/>
  <c r="CM21" i="8"/>
  <c r="CK19" i="8"/>
  <c r="CU16" i="8"/>
  <c r="CS14" i="8"/>
  <c r="CQ12" i="8"/>
  <c r="CO10" i="8"/>
  <c r="CO8" i="8"/>
  <c r="CO6" i="8"/>
  <c r="CT40" i="8"/>
  <c r="CT37" i="8"/>
  <c r="CP35" i="8"/>
  <c r="CL33" i="8"/>
  <c r="CT30" i="8"/>
  <c r="CP28" i="8"/>
  <c r="CT25" i="8"/>
  <c r="CP23" i="8"/>
  <c r="CL21" i="8"/>
  <c r="CJ19" i="8"/>
  <c r="CT16" i="8"/>
  <c r="CR14" i="8"/>
  <c r="CP12" i="8"/>
  <c r="CN10" i="8"/>
  <c r="CN8" i="8"/>
  <c r="CN6" i="8"/>
  <c r="CS40" i="8"/>
  <c r="CS37" i="8"/>
  <c r="CO35" i="8"/>
  <c r="CK33" i="8"/>
  <c r="CS30" i="8"/>
  <c r="CO28" i="8"/>
  <c r="CS25" i="8"/>
  <c r="CO23" i="8"/>
  <c r="CK21" i="8"/>
  <c r="CU18" i="8"/>
  <c r="CS16" i="8"/>
  <c r="CQ14" i="8"/>
  <c r="CO12" i="8"/>
  <c r="CM10" i="8"/>
  <c r="CM8" i="8"/>
  <c r="CM6" i="8"/>
  <c r="CR40" i="8"/>
  <c r="CR37" i="8"/>
  <c r="CN35" i="8"/>
  <c r="CJ33" i="8"/>
  <c r="CR30" i="8"/>
  <c r="CM28" i="8"/>
  <c r="CR25" i="8"/>
  <c r="CN23" i="8"/>
  <c r="CJ21" i="8"/>
  <c r="CT18" i="8"/>
  <c r="CR16" i="8"/>
  <c r="CP14" i="8"/>
  <c r="CM12" i="8"/>
  <c r="CL10" i="8"/>
  <c r="CL8" i="8"/>
  <c r="CL6" i="8"/>
  <c r="CQ40" i="8"/>
  <c r="CQ37" i="8"/>
  <c r="CM35" i="8"/>
  <c r="CU32" i="8"/>
  <c r="CQ30" i="8"/>
  <c r="CU27" i="8"/>
  <c r="CQ25" i="8"/>
  <c r="CM23" i="8"/>
  <c r="CU20" i="8"/>
  <c r="CS18" i="8"/>
  <c r="CQ16" i="8"/>
  <c r="CO14" i="8"/>
  <c r="CK12" i="8"/>
  <c r="CK10" i="8"/>
  <c r="CK8" i="8"/>
  <c r="CK6" i="8"/>
  <c r="CP40" i="8"/>
  <c r="CP37" i="8"/>
  <c r="CL35" i="8"/>
  <c r="CT32" i="8"/>
  <c r="CP30" i="8"/>
  <c r="CT27" i="8"/>
  <c r="CP25" i="8"/>
  <c r="CL23" i="8"/>
  <c r="CT20" i="8"/>
  <c r="CR18" i="8"/>
  <c r="CP16" i="8"/>
  <c r="CM14" i="8"/>
  <c r="CJ12" i="8"/>
  <c r="CJ10" i="8"/>
  <c r="CJ8" i="8"/>
  <c r="CJ6" i="8"/>
  <c r="CO40" i="8"/>
  <c r="CO37" i="8"/>
  <c r="CK35" i="8"/>
  <c r="CS32" i="8"/>
  <c r="CO30" i="8"/>
  <c r="CS27" i="8"/>
  <c r="CO25" i="8"/>
  <c r="CK23" i="8"/>
  <c r="CS20" i="8"/>
  <c r="CQ18" i="8"/>
  <c r="CO16" i="8"/>
  <c r="CK14" i="8"/>
  <c r="CU11" i="8"/>
  <c r="CU9" i="8"/>
  <c r="CU7" i="8"/>
  <c r="CT39" i="8"/>
  <c r="CN37" i="8"/>
  <c r="CJ35" i="8"/>
  <c r="CR32" i="8"/>
  <c r="CM30" i="8"/>
  <c r="CR27" i="8"/>
  <c r="CN25" i="8"/>
  <c r="CJ23" i="8"/>
  <c r="CR20" i="8"/>
  <c r="CP18" i="8"/>
  <c r="CM16" i="8"/>
  <c r="CJ14" i="8"/>
  <c r="CT11" i="8"/>
  <c r="CT9" i="8"/>
  <c r="CT7" i="8"/>
  <c r="CS39" i="8"/>
  <c r="CM37" i="8"/>
  <c r="CU34" i="8"/>
  <c r="CQ32" i="8"/>
  <c r="CU29" i="8"/>
  <c r="CQ27" i="8"/>
  <c r="CM25" i="8"/>
  <c r="CU22" i="8"/>
  <c r="CQ20" i="8"/>
  <c r="CO18" i="8"/>
  <c r="CK16" i="8"/>
  <c r="CU13" i="8"/>
  <c r="CS11" i="8"/>
  <c r="CS9" i="8"/>
  <c r="CS7" i="8"/>
  <c r="CQ39" i="8"/>
  <c r="CK37" i="8"/>
  <c r="CS34" i="8"/>
  <c r="CO32" i="8"/>
  <c r="CS29" i="8"/>
  <c r="CO27" i="8"/>
  <c r="CK25" i="8"/>
  <c r="CS22" i="8"/>
  <c r="CO20" i="8"/>
  <c r="CK18" i="8"/>
  <c r="CU15" i="8"/>
  <c r="CS13" i="8"/>
  <c r="CQ11" i="8"/>
  <c r="CQ9" i="8"/>
  <c r="CQ7" i="8"/>
  <c r="CP20" i="8"/>
  <c r="BV41" i="8"/>
  <c r="BV39" i="8"/>
  <c r="BV37" i="8"/>
  <c r="BV35" i="8"/>
  <c r="BV33" i="8"/>
  <c r="BV31" i="8"/>
  <c r="BV29" i="8"/>
  <c r="BV27" i="8"/>
  <c r="BV25" i="8"/>
  <c r="BV23" i="8"/>
  <c r="BV21" i="8"/>
  <c r="BV19" i="8"/>
  <c r="BV17" i="8"/>
  <c r="BV15" i="8"/>
  <c r="BV13" i="8"/>
  <c r="BV11" i="8"/>
  <c r="BV9" i="8"/>
  <c r="BV7" i="8"/>
  <c r="CM18" i="8"/>
  <c r="CJ16" i="8"/>
  <c r="CF40" i="8"/>
  <c r="CF38" i="8"/>
  <c r="CF36" i="8"/>
  <c r="CF34" i="8"/>
  <c r="CF32" i="8"/>
  <c r="CF30" i="8"/>
  <c r="CF28" i="8"/>
  <c r="CF26" i="8"/>
  <c r="CF24" i="8"/>
  <c r="CF22" i="8"/>
  <c r="CF20" i="8"/>
  <c r="CT13" i="8"/>
  <c r="CE40" i="8"/>
  <c r="CE38" i="8"/>
  <c r="CR11" i="8"/>
  <c r="CD40" i="8"/>
  <c r="CD38" i="8"/>
  <c r="CD36" i="8"/>
  <c r="CD34" i="8"/>
  <c r="CD32" i="8"/>
  <c r="CD30" i="8"/>
  <c r="CR9" i="8"/>
  <c r="CR7" i="8"/>
  <c r="CB40" i="8"/>
  <c r="CB38" i="8"/>
  <c r="CB36" i="8"/>
  <c r="CB34" i="8"/>
  <c r="CB32" i="8"/>
  <c r="CB30" i="8"/>
  <c r="CR39" i="8"/>
  <c r="CL37" i="8"/>
  <c r="CT34" i="8"/>
  <c r="CP32" i="8"/>
  <c r="CT29" i="8"/>
  <c r="CT22" i="8"/>
  <c r="CP27" i="8"/>
  <c r="CE39" i="8"/>
  <c r="BZ37" i="8"/>
  <c r="CG34" i="8"/>
  <c r="BZ32" i="8"/>
  <c r="BV30" i="8"/>
  <c r="CF27" i="8"/>
  <c r="CD25" i="8"/>
  <c r="CB23" i="8"/>
  <c r="BZ21" i="8"/>
  <c r="BX19" i="8"/>
  <c r="BW17" i="8"/>
  <c r="CG14" i="8"/>
  <c r="CF12" i="8"/>
  <c r="CE10" i="8"/>
  <c r="CD8" i="8"/>
  <c r="CC6" i="8"/>
  <c r="CL25" i="8"/>
  <c r="CD39" i="8"/>
  <c r="BY37" i="8"/>
  <c r="CE34" i="8"/>
  <c r="BY32" i="8"/>
  <c r="CG29" i="8"/>
  <c r="CE27" i="8"/>
  <c r="CC25" i="8"/>
  <c r="CA23" i="8"/>
  <c r="BY21" i="8"/>
  <c r="BW19" i="8"/>
  <c r="CG16" i="8"/>
  <c r="CF14" i="8"/>
  <c r="CE12" i="8"/>
  <c r="CD10" i="8"/>
  <c r="CC8" i="8"/>
  <c r="CB6" i="8"/>
  <c r="CC39" i="8"/>
  <c r="BX37" i="8"/>
  <c r="CC34" i="8"/>
  <c r="BX32" i="8"/>
  <c r="CF29" i="8"/>
  <c r="CD27" i="8"/>
  <c r="CB25" i="8"/>
  <c r="BZ23" i="8"/>
  <c r="BX21" i="8"/>
  <c r="CG18" i="8"/>
  <c r="CF16" i="8"/>
  <c r="CE14" i="8"/>
  <c r="CD12" i="8"/>
  <c r="CC10" i="8"/>
  <c r="CB8" i="8"/>
  <c r="CA6" i="8"/>
  <c r="CG41" i="8"/>
  <c r="CB39" i="8"/>
  <c r="BW37" i="8"/>
  <c r="CA34" i="8"/>
  <c r="BW32" i="8"/>
  <c r="CE29" i="8"/>
  <c r="CC27" i="8"/>
  <c r="CA25" i="8"/>
  <c r="BY23" i="8"/>
  <c r="BW21" i="8"/>
  <c r="CF18" i="8"/>
  <c r="CE16" i="8"/>
  <c r="CD14" i="8"/>
  <c r="CC12" i="8"/>
  <c r="CB10" i="8"/>
  <c r="CA8" i="8"/>
  <c r="BZ6" i="8"/>
  <c r="CF41" i="8"/>
  <c r="CA39" i="8"/>
  <c r="CG36" i="8"/>
  <c r="BZ34" i="8"/>
  <c r="BV32" i="8"/>
  <c r="CD29" i="8"/>
  <c r="CB27" i="8"/>
  <c r="BZ25" i="8"/>
  <c r="BX23" i="8"/>
  <c r="CG20" i="8"/>
  <c r="CE18" i="8"/>
  <c r="CD16" i="8"/>
  <c r="CC14" i="8"/>
  <c r="CB12" i="8"/>
  <c r="CA10" i="8"/>
  <c r="BZ8" i="8"/>
  <c r="BY6" i="8"/>
  <c r="CE41" i="8"/>
  <c r="BZ39" i="8"/>
  <c r="CE36" i="8"/>
  <c r="BY34" i="8"/>
  <c r="CG31" i="8"/>
  <c r="CC29" i="8"/>
  <c r="CA27" i="8"/>
  <c r="BY25" i="8"/>
  <c r="BW23" i="8"/>
  <c r="CE20" i="8"/>
  <c r="CD18" i="8"/>
  <c r="CC16" i="8"/>
  <c r="CB14" i="8"/>
  <c r="CA12" i="8"/>
  <c r="BZ10" i="8"/>
  <c r="BY8" i="8"/>
  <c r="BX6" i="8"/>
  <c r="CD41" i="8"/>
  <c r="BY39" i="8"/>
  <c r="CC36" i="8"/>
  <c r="BX34" i="8"/>
  <c r="CF31" i="8"/>
  <c r="CB29" i="8"/>
  <c r="BZ27" i="8"/>
  <c r="BX25" i="8"/>
  <c r="CG22" i="8"/>
  <c r="CD20" i="8"/>
  <c r="CC18" i="8"/>
  <c r="CB16" i="8"/>
  <c r="CA14" i="8"/>
  <c r="BZ12" i="8"/>
  <c r="BY10" i="8"/>
  <c r="BX8" i="8"/>
  <c r="BW6" i="8"/>
  <c r="CC41" i="8"/>
  <c r="BX39" i="8"/>
  <c r="CA36" i="8"/>
  <c r="BW34" i="8"/>
  <c r="CE31" i="8"/>
  <c r="CA29" i="8"/>
  <c r="BY27" i="8"/>
  <c r="BW25" i="8"/>
  <c r="CE22" i="8"/>
  <c r="CC20" i="8"/>
  <c r="CB18" i="8"/>
  <c r="CA16" i="8"/>
  <c r="BZ14" i="8"/>
  <c r="BY12" i="8"/>
  <c r="BX10" i="8"/>
  <c r="BW8" i="8"/>
  <c r="BV6" i="8"/>
  <c r="CB41" i="8"/>
  <c r="BW39" i="8"/>
  <c r="BZ36" i="8"/>
  <c r="BV34" i="8"/>
  <c r="CD31" i="8"/>
  <c r="BZ29" i="8"/>
  <c r="BX27" i="8"/>
  <c r="CG24" i="8"/>
  <c r="CD22" i="8"/>
  <c r="CB20" i="8"/>
  <c r="CA18" i="8"/>
  <c r="BZ16" i="8"/>
  <c r="BY14" i="8"/>
  <c r="BX12" i="8"/>
  <c r="BW10" i="8"/>
  <c r="BV8" i="8"/>
  <c r="CA41" i="8"/>
  <c r="CG38" i="8"/>
  <c r="BY36" i="8"/>
  <c r="CG33" i="8"/>
  <c r="CC31" i="8"/>
  <c r="BY29" i="8"/>
  <c r="BW27" i="8"/>
  <c r="CE24" i="8"/>
  <c r="CC22" i="8"/>
  <c r="CA20" i="8"/>
  <c r="BZ18" i="8"/>
  <c r="BY16" i="8"/>
  <c r="BX14" i="8"/>
  <c r="BW12" i="8"/>
  <c r="BV10" i="8"/>
  <c r="CG7" i="8"/>
  <c r="BZ41" i="8"/>
  <c r="CC38" i="8"/>
  <c r="BX36" i="8"/>
  <c r="CF33" i="8"/>
  <c r="CB31" i="8"/>
  <c r="BX29" i="8"/>
  <c r="CG26" i="8"/>
  <c r="CD24" i="8"/>
  <c r="CB22" i="8"/>
  <c r="BZ20" i="8"/>
  <c r="BY18" i="8"/>
  <c r="BX16" i="8"/>
  <c r="BW14" i="8"/>
  <c r="BV12" i="8"/>
  <c r="CG9" i="8"/>
  <c r="CF7" i="8"/>
  <c r="BY41" i="8"/>
  <c r="CA38" i="8"/>
  <c r="BW36" i="8"/>
  <c r="CE33" i="8"/>
  <c r="CA31" i="8"/>
  <c r="BW29" i="8"/>
  <c r="CE26" i="8"/>
  <c r="CC24" i="8"/>
  <c r="CA22" i="8"/>
  <c r="BY20" i="8"/>
  <c r="BX18" i="8"/>
  <c r="BW16" i="8"/>
  <c r="BV14" i="8"/>
  <c r="CG11" i="8"/>
  <c r="CF9" i="8"/>
  <c r="CE7" i="8"/>
  <c r="BX41" i="8"/>
  <c r="BZ38" i="8"/>
  <c r="BV36" i="8"/>
  <c r="CD33" i="8"/>
  <c r="BZ31" i="8"/>
  <c r="CG28" i="8"/>
  <c r="CD26" i="8"/>
  <c r="CB24" i="8"/>
  <c r="BZ22" i="8"/>
  <c r="BX20" i="8"/>
  <c r="BW18" i="8"/>
  <c r="BV16" i="8"/>
  <c r="CG13" i="8"/>
  <c r="CF11" i="8"/>
  <c r="CE9" i="8"/>
  <c r="CD7" i="8"/>
  <c r="BW41" i="8"/>
  <c r="BY38" i="8"/>
  <c r="CG35" i="8"/>
  <c r="CC33" i="8"/>
  <c r="BY31" i="8"/>
  <c r="CE28" i="8"/>
  <c r="CC26" i="8"/>
  <c r="CA24" i="8"/>
  <c r="BY22" i="8"/>
  <c r="BW20" i="8"/>
  <c r="BV18" i="8"/>
  <c r="CG15" i="8"/>
  <c r="CF13" i="8"/>
  <c r="CE11" i="8"/>
  <c r="CD9" i="8"/>
  <c r="CC7" i="8"/>
  <c r="CG40" i="8"/>
  <c r="BX38" i="8"/>
  <c r="CF35" i="8"/>
  <c r="CB33" i="8"/>
  <c r="BX31" i="8"/>
  <c r="CD28" i="8"/>
  <c r="CB26" i="8"/>
  <c r="BZ24" i="8"/>
  <c r="BX22" i="8"/>
  <c r="BV20" i="8"/>
  <c r="CG17" i="8"/>
  <c r="CF15" i="8"/>
  <c r="CE13" i="8"/>
  <c r="CD11" i="8"/>
  <c r="CC9" i="8"/>
  <c r="CB7" i="8"/>
  <c r="CC40" i="8"/>
  <c r="BW38" i="8"/>
  <c r="CE35" i="8"/>
  <c r="CA33" i="8"/>
  <c r="BW31" i="8"/>
  <c r="CC28" i="8"/>
  <c r="CA26" i="8"/>
  <c r="BY24" i="8"/>
  <c r="BW22" i="8"/>
  <c r="CG19" i="8"/>
  <c r="CF17" i="8"/>
  <c r="CE15" i="8"/>
  <c r="CD13" i="8"/>
  <c r="CC11" i="8"/>
  <c r="CB9" i="8"/>
  <c r="CA7" i="8"/>
  <c r="CA40" i="8"/>
  <c r="BV38" i="8"/>
  <c r="CD35" i="8"/>
  <c r="BZ33" i="8"/>
  <c r="CG30" i="8"/>
  <c r="CB28" i="8"/>
  <c r="BZ26" i="8"/>
  <c r="BX24" i="8"/>
  <c r="BV22" i="8"/>
  <c r="CF19" i="8"/>
  <c r="CE17" i="8"/>
  <c r="CD15" i="8"/>
  <c r="CC13" i="8"/>
  <c r="CB11" i="8"/>
  <c r="CA9" i="8"/>
  <c r="BZ7" i="8"/>
  <c r="BZ40" i="8"/>
  <c r="CG37" i="8"/>
  <c r="CC35" i="8"/>
  <c r="BY33" i="8"/>
  <c r="CE30" i="8"/>
  <c r="CA28" i="8"/>
  <c r="BY26" i="8"/>
  <c r="BW24" i="8"/>
  <c r="CG21" i="8"/>
  <c r="CE19" i="8"/>
  <c r="CD17" i="8"/>
  <c r="CC15" i="8"/>
  <c r="CB13" i="8"/>
  <c r="CA11" i="8"/>
  <c r="BZ9" i="8"/>
  <c r="BY7" i="8"/>
  <c r="BY40" i="8"/>
  <c r="CF37" i="8"/>
  <c r="CB35" i="8"/>
  <c r="BX33" i="8"/>
  <c r="CC30" i="8"/>
  <c r="BZ28" i="8"/>
  <c r="BX26" i="8"/>
  <c r="BV24" i="8"/>
  <c r="CF21" i="8"/>
  <c r="CD19" i="8"/>
  <c r="CC17" i="8"/>
  <c r="CB15" i="8"/>
  <c r="CA13" i="8"/>
  <c r="BZ11" i="8"/>
  <c r="BY9" i="8"/>
  <c r="BX7" i="8"/>
  <c r="BX40" i="8"/>
  <c r="CE37" i="8"/>
  <c r="CA35" i="8"/>
  <c r="BW33" i="8"/>
  <c r="CA30" i="8"/>
  <c r="BY28" i="8"/>
  <c r="BW26" i="8"/>
  <c r="CG23" i="8"/>
  <c r="CE21" i="8"/>
  <c r="CC19" i="8"/>
  <c r="CB17" i="8"/>
  <c r="CA15" i="8"/>
  <c r="BZ13" i="8"/>
  <c r="BY11" i="8"/>
  <c r="BX9" i="8"/>
  <c r="BW7" i="8"/>
  <c r="BW40" i="8"/>
  <c r="CD37" i="8"/>
  <c r="BZ35" i="8"/>
  <c r="CG32" i="8"/>
  <c r="BZ30" i="8"/>
  <c r="BX28" i="8"/>
  <c r="BV26" i="8"/>
  <c r="CF23" i="8"/>
  <c r="CD21" i="8"/>
  <c r="CB19" i="8"/>
  <c r="CA17" i="8"/>
  <c r="BZ15" i="8"/>
  <c r="BY13" i="8"/>
  <c r="BX11" i="8"/>
  <c r="BW9" i="8"/>
  <c r="CG6" i="8"/>
  <c r="CF39" i="8"/>
  <c r="CA37" i="8"/>
  <c r="BW35" i="8"/>
  <c r="CA32" i="8"/>
  <c r="BW30" i="8"/>
  <c r="CG27" i="8"/>
  <c r="CE25" i="8"/>
  <c r="CC23" i="8"/>
  <c r="CA21" i="8"/>
  <c r="BY19" i="8"/>
  <c r="BX17" i="8"/>
  <c r="BW15" i="8"/>
  <c r="CG12" i="8"/>
  <c r="CF10" i="8"/>
  <c r="CE8" i="8"/>
  <c r="CD6" i="8"/>
  <c r="CC37" i="8"/>
  <c r="BW11" i="8"/>
  <c r="CB37" i="8"/>
  <c r="CG10" i="8"/>
  <c r="BY35" i="8"/>
  <c r="CG8" i="8"/>
  <c r="BX35" i="8"/>
  <c r="CF8" i="8"/>
  <c r="CE32" i="8"/>
  <c r="CF6" i="8"/>
  <c r="CC32" i="8"/>
  <c r="CE6" i="8"/>
  <c r="BY30" i="8"/>
  <c r="BX30" i="8"/>
  <c r="BW28" i="8"/>
  <c r="BV28" i="8"/>
  <c r="CG25" i="8"/>
  <c r="CF25" i="8"/>
  <c r="CE23" i="8"/>
  <c r="CD23" i="8"/>
  <c r="CC21" i="8"/>
  <c r="CB21" i="8"/>
  <c r="CA19" i="8"/>
  <c r="BZ19" i="8"/>
  <c r="BZ17" i="8"/>
  <c r="BY17" i="8"/>
  <c r="BY15" i="8"/>
  <c r="BX15" i="8"/>
  <c r="BV40" i="8"/>
  <c r="BX13" i="8"/>
  <c r="CG39" i="8"/>
  <c r="BW13" i="8"/>
  <c r="BO41" i="8"/>
  <c r="BO39" i="8"/>
  <c r="BO37" i="8"/>
  <c r="BO35" i="8"/>
  <c r="BO33" i="8"/>
  <c r="BO31" i="8"/>
  <c r="BO29" i="8"/>
  <c r="BO27" i="8"/>
  <c r="BO25" i="8"/>
  <c r="BO23" i="8"/>
  <c r="BO21" i="8"/>
  <c r="BO19" i="8"/>
  <c r="BO17" i="8"/>
  <c r="BO15" i="8"/>
  <c r="BO13" i="8"/>
  <c r="BO11" i="8"/>
  <c r="BO9" i="8"/>
  <c r="BO7" i="8"/>
  <c r="BN41" i="8"/>
  <c r="BN39" i="8"/>
  <c r="BN37" i="8"/>
  <c r="BN35" i="8"/>
  <c r="BN33" i="8"/>
  <c r="BN31" i="8"/>
  <c r="BN29" i="8"/>
  <c r="BN27" i="8"/>
  <c r="BN25" i="8"/>
  <c r="BN23" i="8"/>
  <c r="BN21" i="8"/>
  <c r="BN19" i="8"/>
  <c r="BN17" i="8"/>
  <c r="BN15" i="8"/>
  <c r="BN13" i="8"/>
  <c r="BN11" i="8"/>
  <c r="BN9" i="8"/>
  <c r="BN7" i="8"/>
  <c r="BM41" i="8"/>
  <c r="BM39" i="8"/>
  <c r="BM37" i="8"/>
  <c r="BM35" i="8"/>
  <c r="BM33" i="8"/>
  <c r="BM31" i="8"/>
  <c r="BM29" i="8"/>
  <c r="BM27" i="8"/>
  <c r="BM25" i="8"/>
  <c r="BM23" i="8"/>
  <c r="BM21" i="8"/>
  <c r="BM19" i="8"/>
  <c r="BM17" i="8"/>
  <c r="BM15" i="8"/>
  <c r="BM13" i="8"/>
  <c r="BM11" i="8"/>
  <c r="BM9" i="8"/>
  <c r="BM7" i="8"/>
  <c r="BL41" i="8"/>
  <c r="BL39" i="8"/>
  <c r="BL37" i="8"/>
  <c r="BL35" i="8"/>
  <c r="BL33" i="8"/>
  <c r="BL31" i="8"/>
  <c r="BL29" i="8"/>
  <c r="BL27" i="8"/>
  <c r="BL25" i="8"/>
  <c r="BL23" i="8"/>
  <c r="BL21" i="8"/>
  <c r="BL19" i="8"/>
  <c r="BL17" i="8"/>
  <c r="BL15" i="8"/>
  <c r="BL13" i="8"/>
  <c r="BL11" i="8"/>
  <c r="BL9" i="8"/>
  <c r="BL7" i="8"/>
  <c r="BK41" i="8"/>
  <c r="BK39" i="8"/>
  <c r="BK37" i="8"/>
  <c r="BK35" i="8"/>
  <c r="BK33" i="8"/>
  <c r="BK31" i="8"/>
  <c r="BK29" i="8"/>
  <c r="BK27" i="8"/>
  <c r="BK25" i="8"/>
  <c r="BK23" i="8"/>
  <c r="BK21" i="8"/>
  <c r="BK19" i="8"/>
  <c r="BK17" i="8"/>
  <c r="BK15" i="8"/>
  <c r="BK13" i="8"/>
  <c r="BK11" i="8"/>
  <c r="BK9" i="8"/>
  <c r="BK7" i="8"/>
  <c r="BJ41" i="8"/>
  <c r="BJ39" i="8"/>
  <c r="BJ37" i="8"/>
  <c r="BJ35" i="8"/>
  <c r="BJ33" i="8"/>
  <c r="BJ31" i="8"/>
  <c r="BJ29" i="8"/>
  <c r="BJ27" i="8"/>
  <c r="BJ25" i="8"/>
  <c r="BJ23" i="8"/>
  <c r="BJ21" i="8"/>
  <c r="BJ19" i="8"/>
  <c r="BJ17" i="8"/>
  <c r="BJ15" i="8"/>
  <c r="BJ13" i="8"/>
  <c r="BJ11" i="8"/>
  <c r="BJ9" i="8"/>
  <c r="BJ7" i="8"/>
  <c r="BI41" i="8"/>
  <c r="BI39" i="8"/>
  <c r="BI37" i="8"/>
  <c r="BI35" i="8"/>
  <c r="BI33" i="8"/>
  <c r="BI31" i="8"/>
  <c r="BI29" i="8"/>
  <c r="BI27" i="8"/>
  <c r="BI25" i="8"/>
  <c r="BI23" i="8"/>
  <c r="BI21" i="8"/>
  <c r="BI19" i="8"/>
  <c r="BI17" i="8"/>
  <c r="BI15" i="8"/>
  <c r="BI13" i="8"/>
  <c r="BI11" i="8"/>
  <c r="BI9" i="8"/>
  <c r="BI7" i="8"/>
  <c r="BH41" i="8"/>
  <c r="BH39" i="8"/>
  <c r="BH37" i="8"/>
  <c r="BH35" i="8"/>
  <c r="BH33" i="8"/>
  <c r="BH31" i="8"/>
  <c r="BH29" i="8"/>
  <c r="BH27" i="8"/>
  <c r="BH25" i="8"/>
  <c r="BH23" i="8"/>
  <c r="BH21" i="8"/>
  <c r="BH19" i="8"/>
  <c r="BH17" i="8"/>
  <c r="BH15" i="8"/>
  <c r="BH13" i="8"/>
  <c r="BH11" i="8"/>
  <c r="BH9" i="8"/>
  <c r="BH7" i="8"/>
  <c r="BS40" i="8"/>
  <c r="BS38" i="8"/>
  <c r="BS36" i="8"/>
  <c r="BS34" i="8"/>
  <c r="BS32" i="8"/>
  <c r="BS30" i="8"/>
  <c r="BS28" i="8"/>
  <c r="BS26" i="8"/>
  <c r="BS24" i="8"/>
  <c r="BS22" i="8"/>
  <c r="BS20" i="8"/>
  <c r="BS18" i="8"/>
  <c r="BS16" i="8"/>
  <c r="BS14" i="8"/>
  <c r="BS12" i="8"/>
  <c r="BS10" i="8"/>
  <c r="BS8" i="8"/>
  <c r="BS6" i="8"/>
  <c r="BR40" i="8"/>
  <c r="BR38" i="8"/>
  <c r="BR36" i="8"/>
  <c r="BR34" i="8"/>
  <c r="BR32" i="8"/>
  <c r="BR30" i="8"/>
  <c r="BR28" i="8"/>
  <c r="BR26" i="8"/>
  <c r="BR24" i="8"/>
  <c r="BR22" i="8"/>
  <c r="BR20" i="8"/>
  <c r="BR18" i="8"/>
  <c r="BR16" i="8"/>
  <c r="BR14" i="8"/>
  <c r="BR12" i="8"/>
  <c r="BR10" i="8"/>
  <c r="BR8" i="8"/>
  <c r="BR6" i="8"/>
  <c r="BQ40" i="8"/>
  <c r="BQ38" i="8"/>
  <c r="BQ36" i="8"/>
  <c r="BQ34" i="8"/>
  <c r="BQ32" i="8"/>
  <c r="BQ30" i="8"/>
  <c r="BQ28" i="8"/>
  <c r="BQ26" i="8"/>
  <c r="BQ24" i="8"/>
  <c r="BQ22" i="8"/>
  <c r="BQ20" i="8"/>
  <c r="BQ18" i="8"/>
  <c r="BQ16" i="8"/>
  <c r="BQ14" i="8"/>
  <c r="BQ12" i="8"/>
  <c r="BQ10" i="8"/>
  <c r="BQ8" i="8"/>
  <c r="BQ6" i="8"/>
  <c r="BP40" i="8"/>
  <c r="BP38" i="8"/>
  <c r="BP36" i="8"/>
  <c r="BP34" i="8"/>
  <c r="BP32" i="8"/>
  <c r="BP30" i="8"/>
  <c r="BP28" i="8"/>
  <c r="BP26" i="8"/>
  <c r="BP24" i="8"/>
  <c r="BP22" i="8"/>
  <c r="BP20" i="8"/>
  <c r="BP18" i="8"/>
  <c r="BP16" i="8"/>
  <c r="BP14" i="8"/>
  <c r="BP12" i="8"/>
  <c r="BP10" i="8"/>
  <c r="BP8" i="8"/>
  <c r="BP6" i="8"/>
  <c r="BO40" i="8"/>
  <c r="BO38" i="8"/>
  <c r="BO36" i="8"/>
  <c r="BO34" i="8"/>
  <c r="BO32" i="8"/>
  <c r="BO30" i="8"/>
  <c r="BO28" i="8"/>
  <c r="BO26" i="8"/>
  <c r="BO24" i="8"/>
  <c r="BO22" i="8"/>
  <c r="BO20" i="8"/>
  <c r="BO18" i="8"/>
  <c r="BO16" i="8"/>
  <c r="BO14" i="8"/>
  <c r="BO12" i="8"/>
  <c r="BO10" i="8"/>
  <c r="BO8" i="8"/>
  <c r="BO6" i="8"/>
  <c r="BN40" i="8"/>
  <c r="BN38" i="8"/>
  <c r="BN36" i="8"/>
  <c r="BN34" i="8"/>
  <c r="BN32" i="8"/>
  <c r="BN30" i="8"/>
  <c r="BN28" i="8"/>
  <c r="BN26" i="8"/>
  <c r="BN24" i="8"/>
  <c r="BN22" i="8"/>
  <c r="BN20" i="8"/>
  <c r="BN18" i="8"/>
  <c r="BN16" i="8"/>
  <c r="BN14" i="8"/>
  <c r="BN12" i="8"/>
  <c r="BN10" i="8"/>
  <c r="BN8" i="8"/>
  <c r="BN6" i="8"/>
  <c r="BM40" i="8"/>
  <c r="BM38" i="8"/>
  <c r="BM36" i="8"/>
  <c r="BM34" i="8"/>
  <c r="BM32" i="8"/>
  <c r="BM30" i="8"/>
  <c r="BM28" i="8"/>
  <c r="BM26" i="8"/>
  <c r="BM24" i="8"/>
  <c r="BM22" i="8"/>
  <c r="BM20" i="8"/>
  <c r="BM18" i="8"/>
  <c r="BM16" i="8"/>
  <c r="BM14" i="8"/>
  <c r="BM12" i="8"/>
  <c r="BM10" i="8"/>
  <c r="BM8" i="8"/>
  <c r="BM6" i="8"/>
  <c r="BL40" i="8"/>
  <c r="BL38" i="8"/>
  <c r="BL36" i="8"/>
  <c r="BL34" i="8"/>
  <c r="BL32" i="8"/>
  <c r="BL30" i="8"/>
  <c r="BL28" i="8"/>
  <c r="BL26" i="8"/>
  <c r="BL24" i="8"/>
  <c r="BL22" i="8"/>
  <c r="BL20" i="8"/>
  <c r="BL18" i="8"/>
  <c r="BL16" i="8"/>
  <c r="BL14" i="8"/>
  <c r="BL12" i="8"/>
  <c r="BL10" i="8"/>
  <c r="BL8" i="8"/>
  <c r="BL6" i="8"/>
  <c r="BK40" i="8"/>
  <c r="BK38" i="8"/>
  <c r="BK36" i="8"/>
  <c r="BK34" i="8"/>
  <c r="BK32" i="8"/>
  <c r="BK30" i="8"/>
  <c r="BK28" i="8"/>
  <c r="BK26" i="8"/>
  <c r="BK24" i="8"/>
  <c r="BK22" i="8"/>
  <c r="BK20" i="8"/>
  <c r="BK18" i="8"/>
  <c r="BK16" i="8"/>
  <c r="BK14" i="8"/>
  <c r="BK12" i="8"/>
  <c r="BK10" i="8"/>
  <c r="BK8" i="8"/>
  <c r="BK6" i="8"/>
  <c r="BJ40" i="8"/>
  <c r="BJ38" i="8"/>
  <c r="BJ36" i="8"/>
  <c r="BJ34" i="8"/>
  <c r="BJ32" i="8"/>
  <c r="BJ30" i="8"/>
  <c r="BJ28" i="8"/>
  <c r="BJ26" i="8"/>
  <c r="BJ24" i="8"/>
  <c r="BJ22" i="8"/>
  <c r="BJ20" i="8"/>
  <c r="BJ18" i="8"/>
  <c r="BJ16" i="8"/>
  <c r="BJ14" i="8"/>
  <c r="BJ12" i="8"/>
  <c r="BJ10" i="8"/>
  <c r="BJ8" i="8"/>
  <c r="BJ6" i="8"/>
  <c r="BI40" i="8"/>
  <c r="BI38" i="8"/>
  <c r="BI36" i="8"/>
  <c r="BI34" i="8"/>
  <c r="BI32" i="8"/>
  <c r="BI30" i="8"/>
  <c r="BI28" i="8"/>
  <c r="BI26" i="8"/>
  <c r="BI24" i="8"/>
  <c r="BI22" i="8"/>
  <c r="BI20" i="8"/>
  <c r="BI18" i="8"/>
  <c r="BI16" i="8"/>
  <c r="BI14" i="8"/>
  <c r="BI12" i="8"/>
  <c r="BI10" i="8"/>
  <c r="BI8" i="8"/>
  <c r="BI6" i="8"/>
  <c r="BH40" i="8"/>
  <c r="BH38" i="8"/>
  <c r="BH36" i="8"/>
  <c r="BH34" i="8"/>
  <c r="BH32" i="8"/>
  <c r="BH30" i="8"/>
  <c r="BH28" i="8"/>
  <c r="BH26" i="8"/>
  <c r="BH24" i="8"/>
  <c r="BH22" i="8"/>
  <c r="BH20" i="8"/>
  <c r="BH18" i="8"/>
  <c r="BH16" i="8"/>
  <c r="BH14" i="8"/>
  <c r="BH12" i="8"/>
  <c r="BH10" i="8"/>
  <c r="BH8" i="8"/>
  <c r="BH6" i="8"/>
  <c r="BS41" i="8"/>
  <c r="BS39" i="8"/>
  <c r="BS37" i="8"/>
  <c r="BS35" i="8"/>
  <c r="BS33" i="8"/>
  <c r="BS31" i="8"/>
  <c r="BS29" i="8"/>
  <c r="BS27" i="8"/>
  <c r="BS25" i="8"/>
  <c r="BS23" i="8"/>
  <c r="BS21" i="8"/>
  <c r="BS19" i="8"/>
  <c r="BS17" i="8"/>
  <c r="BS15" i="8"/>
  <c r="BS13" i="8"/>
  <c r="BS11" i="8"/>
  <c r="BS9" i="8"/>
  <c r="BS7" i="8"/>
  <c r="BR41" i="8"/>
  <c r="BR39" i="8"/>
  <c r="BR37" i="8"/>
  <c r="BR35" i="8"/>
  <c r="BR33" i="8"/>
  <c r="BR31" i="8"/>
  <c r="BR29" i="8"/>
  <c r="BR27" i="8"/>
  <c r="BR25" i="8"/>
  <c r="BP41" i="8"/>
  <c r="BP39" i="8"/>
  <c r="BP37" i="8"/>
  <c r="BP35" i="8"/>
  <c r="BP33" i="8"/>
  <c r="BP31" i="8"/>
  <c r="BP29" i="8"/>
  <c r="BP27" i="8"/>
  <c r="BP25" i="8"/>
  <c r="BP23" i="8"/>
  <c r="BP21" i="8"/>
  <c r="BP19" i="8"/>
  <c r="BP17" i="8"/>
  <c r="BP15" i="8"/>
  <c r="BP13" i="8"/>
  <c r="BP11" i="8"/>
  <c r="BP9" i="8"/>
  <c r="BP7" i="8"/>
  <c r="BQ17" i="8"/>
  <c r="AT41" i="8"/>
  <c r="AT39" i="8"/>
  <c r="AT37" i="8"/>
  <c r="BR15" i="8"/>
  <c r="BE40" i="8"/>
  <c r="BE38" i="8"/>
  <c r="BE36" i="8"/>
  <c r="BQ15" i="8"/>
  <c r="BD40" i="8"/>
  <c r="BD38" i="8"/>
  <c r="BD36" i="8"/>
  <c r="BR13" i="8"/>
  <c r="BQ13" i="8"/>
  <c r="BR11" i="8"/>
  <c r="BQ11" i="8"/>
  <c r="BR9" i="8"/>
  <c r="BQ41" i="8"/>
  <c r="BQ9" i="8"/>
  <c r="BQ39" i="8"/>
  <c r="BR7" i="8"/>
  <c r="BQ37" i="8"/>
  <c r="BQ7" i="8"/>
  <c r="BQ35" i="8"/>
  <c r="BQ33" i="8"/>
  <c r="BQ31" i="8"/>
  <c r="BQ29" i="8"/>
  <c r="BQ27" i="8"/>
  <c r="BQ25" i="8"/>
  <c r="BR23" i="8"/>
  <c r="BQ23" i="8"/>
  <c r="BR21" i="8"/>
  <c r="BQ21" i="8"/>
  <c r="BR19" i="8"/>
  <c r="BR17" i="8"/>
  <c r="AZ41" i="8"/>
  <c r="AW39" i="8"/>
  <c r="BC36" i="8"/>
  <c r="BC34" i="8"/>
  <c r="BC32" i="8"/>
  <c r="BC30" i="8"/>
  <c r="BC28" i="8"/>
  <c r="BC26" i="8"/>
  <c r="BC24" i="8"/>
  <c r="BC22" i="8"/>
  <c r="BC20" i="8"/>
  <c r="BC18" i="8"/>
  <c r="BC16" i="8"/>
  <c r="BC14" i="8"/>
  <c r="BC12" i="8"/>
  <c r="BC10" i="8"/>
  <c r="BC8" i="8"/>
  <c r="BC6" i="8"/>
  <c r="BQ19" i="8"/>
  <c r="AY41" i="8"/>
  <c r="AV39" i="8"/>
  <c r="BB36" i="8"/>
  <c r="BB34" i="8"/>
  <c r="BB32" i="8"/>
  <c r="BB30" i="8"/>
  <c r="BB28" i="8"/>
  <c r="BB26" i="8"/>
  <c r="BB24" i="8"/>
  <c r="BB22" i="8"/>
  <c r="BB20" i="8"/>
  <c r="BB18" i="8"/>
  <c r="BB16" i="8"/>
  <c r="BB14" i="8"/>
  <c r="BB12" i="8"/>
  <c r="BB10" i="8"/>
  <c r="BB8" i="8"/>
  <c r="BB6" i="8"/>
  <c r="AX41" i="8"/>
  <c r="AU39" i="8"/>
  <c r="BA36" i="8"/>
  <c r="BA34" i="8"/>
  <c r="BA32" i="8"/>
  <c r="BA30" i="8"/>
  <c r="BA28" i="8"/>
  <c r="BA26" i="8"/>
  <c r="BA24" i="8"/>
  <c r="BA22" i="8"/>
  <c r="BA20" i="8"/>
  <c r="BA18" i="8"/>
  <c r="BA16" i="8"/>
  <c r="BA14" i="8"/>
  <c r="BA12" i="8"/>
  <c r="BA10" i="8"/>
  <c r="BA8" i="8"/>
  <c r="BA6" i="8"/>
  <c r="AW41" i="8"/>
  <c r="BC38" i="8"/>
  <c r="AZ36" i="8"/>
  <c r="AZ34" i="8"/>
  <c r="AZ32" i="8"/>
  <c r="AZ30" i="8"/>
  <c r="AZ28" i="8"/>
  <c r="AZ26" i="8"/>
  <c r="AZ24" i="8"/>
  <c r="AZ22" i="8"/>
  <c r="AZ20" i="8"/>
  <c r="AZ18" i="8"/>
  <c r="AZ16" i="8"/>
  <c r="AZ14" i="8"/>
  <c r="AZ12" i="8"/>
  <c r="AZ10" i="8"/>
  <c r="AZ8" i="8"/>
  <c r="AZ6" i="8"/>
  <c r="AV41" i="8"/>
  <c r="BB38" i="8"/>
  <c r="AY36" i="8"/>
  <c r="AY34" i="8"/>
  <c r="AY32" i="8"/>
  <c r="AY30" i="8"/>
  <c r="AY28" i="8"/>
  <c r="AY26" i="8"/>
  <c r="AY24" i="8"/>
  <c r="AY22" i="8"/>
  <c r="AY20" i="8"/>
  <c r="AY18" i="8"/>
  <c r="AY16" i="8"/>
  <c r="AY14" i="8"/>
  <c r="AY12" i="8"/>
  <c r="AY10" i="8"/>
  <c r="AY8" i="8"/>
  <c r="AY6" i="8"/>
  <c r="AU41" i="8"/>
  <c r="BA38" i="8"/>
  <c r="AX36" i="8"/>
  <c r="AX34" i="8"/>
  <c r="AX32" i="8"/>
  <c r="AX30" i="8"/>
  <c r="AX28" i="8"/>
  <c r="AX26" i="8"/>
  <c r="AX24" i="8"/>
  <c r="AX22" i="8"/>
  <c r="AX20" i="8"/>
  <c r="AX18" i="8"/>
  <c r="AX16" i="8"/>
  <c r="AX14" i="8"/>
  <c r="AX12" i="8"/>
  <c r="AX10" i="8"/>
  <c r="AX8" i="8"/>
  <c r="AX6" i="8"/>
  <c r="BC40" i="8"/>
  <c r="AZ38" i="8"/>
  <c r="AW36" i="8"/>
  <c r="AW34" i="8"/>
  <c r="AW32" i="8"/>
  <c r="AW30" i="8"/>
  <c r="AW28" i="8"/>
  <c r="AW26" i="8"/>
  <c r="AW24" i="8"/>
  <c r="AW22" i="8"/>
  <c r="AW20" i="8"/>
  <c r="AW18" i="8"/>
  <c r="AW16" i="8"/>
  <c r="AW14" i="8"/>
  <c r="AW12" i="8"/>
  <c r="AW10" i="8"/>
  <c r="AW8" i="8"/>
  <c r="AW6" i="8"/>
  <c r="BB40" i="8"/>
  <c r="AY38" i="8"/>
  <c r="AV36" i="8"/>
  <c r="AV34" i="8"/>
  <c r="AV32" i="8"/>
  <c r="AV30" i="8"/>
  <c r="AV28" i="8"/>
  <c r="AV26" i="8"/>
  <c r="AV24" i="8"/>
  <c r="AV22" i="8"/>
  <c r="AV20" i="8"/>
  <c r="AV18" i="8"/>
  <c r="AV16" i="8"/>
  <c r="AV14" i="8"/>
  <c r="AV12" i="8"/>
  <c r="AV10" i="8"/>
  <c r="AV8" i="8"/>
  <c r="AV6" i="8"/>
  <c r="BA40" i="8"/>
  <c r="AX38" i="8"/>
  <c r="AU36" i="8"/>
  <c r="AU34" i="8"/>
  <c r="AU32" i="8"/>
  <c r="AU30" i="8"/>
  <c r="AU28" i="8"/>
  <c r="AU26" i="8"/>
  <c r="AU24" i="8"/>
  <c r="AU22" i="8"/>
  <c r="AU20" i="8"/>
  <c r="AU18" i="8"/>
  <c r="AU16" i="8"/>
  <c r="AU14" i="8"/>
  <c r="AU12" i="8"/>
  <c r="AU10" i="8"/>
  <c r="AU8" i="8"/>
  <c r="AU6" i="8"/>
  <c r="AZ40" i="8"/>
  <c r="AW38" i="8"/>
  <c r="AT36" i="8"/>
  <c r="AT34" i="8"/>
  <c r="AT32" i="8"/>
  <c r="AT30" i="8"/>
  <c r="AT28" i="8"/>
  <c r="AT26" i="8"/>
  <c r="AT24" i="8"/>
  <c r="AT22" i="8"/>
  <c r="AT20" i="8"/>
  <c r="AT18" i="8"/>
  <c r="AT16" i="8"/>
  <c r="AT14" i="8"/>
  <c r="AT12" i="8"/>
  <c r="AT10" i="8"/>
  <c r="AT8" i="8"/>
  <c r="AT6" i="8"/>
  <c r="AY40" i="8"/>
  <c r="AV38" i="8"/>
  <c r="BE35" i="8"/>
  <c r="BE33" i="8"/>
  <c r="BE31" i="8"/>
  <c r="BE29" i="8"/>
  <c r="BE27" i="8"/>
  <c r="BE25" i="8"/>
  <c r="BE23" i="8"/>
  <c r="BE21" i="8"/>
  <c r="BE19" i="8"/>
  <c r="BE17" i="8"/>
  <c r="BE15" i="8"/>
  <c r="BE13" i="8"/>
  <c r="BE11" i="8"/>
  <c r="BE9" i="8"/>
  <c r="BE7" i="8"/>
  <c r="AX40" i="8"/>
  <c r="AU38" i="8"/>
  <c r="BD35" i="8"/>
  <c r="BD33" i="8"/>
  <c r="BD31" i="8"/>
  <c r="BD29" i="8"/>
  <c r="BD27" i="8"/>
  <c r="BD25" i="8"/>
  <c r="BD23" i="8"/>
  <c r="BD21" i="8"/>
  <c r="BD19" i="8"/>
  <c r="BD17" i="8"/>
  <c r="BD15" i="8"/>
  <c r="BD13" i="8"/>
  <c r="BD11" i="8"/>
  <c r="BD9" i="8"/>
  <c r="BD7" i="8"/>
  <c r="AW40" i="8"/>
  <c r="AT38" i="8"/>
  <c r="BC35" i="8"/>
  <c r="BC33" i="8"/>
  <c r="BC31" i="8"/>
  <c r="BC29" i="8"/>
  <c r="BC27" i="8"/>
  <c r="BC25" i="8"/>
  <c r="BC23" i="8"/>
  <c r="BC21" i="8"/>
  <c r="BC19" i="8"/>
  <c r="BC17" i="8"/>
  <c r="BC15" i="8"/>
  <c r="BC13" i="8"/>
  <c r="BC11" i="8"/>
  <c r="BC9" i="8"/>
  <c r="BC7" i="8"/>
  <c r="AV40" i="8"/>
  <c r="BE37" i="8"/>
  <c r="BB35" i="8"/>
  <c r="BB33" i="8"/>
  <c r="BB31" i="8"/>
  <c r="BB29" i="8"/>
  <c r="BB27" i="8"/>
  <c r="BB25" i="8"/>
  <c r="BB23" i="8"/>
  <c r="BB21" i="8"/>
  <c r="BB19" i="8"/>
  <c r="BB17" i="8"/>
  <c r="BB15" i="8"/>
  <c r="BB13" i="8"/>
  <c r="BB11" i="8"/>
  <c r="BB9" i="8"/>
  <c r="BB7" i="8"/>
  <c r="AU40" i="8"/>
  <c r="BD37" i="8"/>
  <c r="BA35" i="8"/>
  <c r="BA33" i="8"/>
  <c r="BA31" i="8"/>
  <c r="BA29" i="8"/>
  <c r="BA27" i="8"/>
  <c r="BA25" i="8"/>
  <c r="BA23" i="8"/>
  <c r="BA21" i="8"/>
  <c r="BA19" i="8"/>
  <c r="BA17" i="8"/>
  <c r="BA15" i="8"/>
  <c r="BA13" i="8"/>
  <c r="BA11" i="8"/>
  <c r="BA9" i="8"/>
  <c r="BA7" i="8"/>
  <c r="AT40" i="8"/>
  <c r="BC37" i="8"/>
  <c r="AZ35" i="8"/>
  <c r="AZ33" i="8"/>
  <c r="AZ31" i="8"/>
  <c r="AZ29" i="8"/>
  <c r="AZ27" i="8"/>
  <c r="AZ25" i="8"/>
  <c r="AZ23" i="8"/>
  <c r="AZ21" i="8"/>
  <c r="AZ19" i="8"/>
  <c r="AZ17" i="8"/>
  <c r="AZ15" i="8"/>
  <c r="AZ13" i="8"/>
  <c r="AZ11" i="8"/>
  <c r="AZ9" i="8"/>
  <c r="AZ7" i="8"/>
  <c r="BE39" i="8"/>
  <c r="BB37" i="8"/>
  <c r="AY35" i="8"/>
  <c r="AY33" i="8"/>
  <c r="AY31" i="8"/>
  <c r="AY29" i="8"/>
  <c r="AY27" i="8"/>
  <c r="AY25" i="8"/>
  <c r="AY23" i="8"/>
  <c r="AY21" i="8"/>
  <c r="AY19" i="8"/>
  <c r="AY17" i="8"/>
  <c r="AY15" i="8"/>
  <c r="AY13" i="8"/>
  <c r="AY11" i="8"/>
  <c r="AY9" i="8"/>
  <c r="AY7" i="8"/>
  <c r="BD39" i="8"/>
  <c r="BA37" i="8"/>
  <c r="AX35" i="8"/>
  <c r="AX33" i="8"/>
  <c r="AX31" i="8"/>
  <c r="AX29" i="8"/>
  <c r="AX27" i="8"/>
  <c r="AX25" i="8"/>
  <c r="AX23" i="8"/>
  <c r="AX21" i="8"/>
  <c r="AX19" i="8"/>
  <c r="AX17" i="8"/>
  <c r="AX15" i="8"/>
  <c r="AX13" i="8"/>
  <c r="AX11" i="8"/>
  <c r="AX9" i="8"/>
  <c r="AX7" i="8"/>
  <c r="BC39" i="8"/>
  <c r="AZ37" i="8"/>
  <c r="AW35" i="8"/>
  <c r="AW33" i="8"/>
  <c r="AW31" i="8"/>
  <c r="AW29" i="8"/>
  <c r="AW27" i="8"/>
  <c r="AW25" i="8"/>
  <c r="AW23" i="8"/>
  <c r="AW21" i="8"/>
  <c r="AW19" i="8"/>
  <c r="AW17" i="8"/>
  <c r="AW15" i="8"/>
  <c r="AW13" i="8"/>
  <c r="AW11" i="8"/>
  <c r="AW9" i="8"/>
  <c r="AW7" i="8"/>
  <c r="BE41" i="8"/>
  <c r="BB39" i="8"/>
  <c r="AY37" i="8"/>
  <c r="AV35" i="8"/>
  <c r="AV33" i="8"/>
  <c r="AV31" i="8"/>
  <c r="AV29" i="8"/>
  <c r="AV27" i="8"/>
  <c r="AV25" i="8"/>
  <c r="AV23" i="8"/>
  <c r="AV21" i="8"/>
  <c r="AV19" i="8"/>
  <c r="AV17" i="8"/>
  <c r="AV15" i="8"/>
  <c r="AV13" i="8"/>
  <c r="AV11" i="8"/>
  <c r="AV9" i="8"/>
  <c r="AV7" i="8"/>
  <c r="BD41" i="8"/>
  <c r="BA39" i="8"/>
  <c r="AX37" i="8"/>
  <c r="AU35" i="8"/>
  <c r="AU33" i="8"/>
  <c r="AU31" i="8"/>
  <c r="AU29" i="8"/>
  <c r="AU27" i="8"/>
  <c r="AU25" i="8"/>
  <c r="AU23" i="8"/>
  <c r="AU21" i="8"/>
  <c r="AU19" i="8"/>
  <c r="AU17" i="8"/>
  <c r="AU15" i="8"/>
  <c r="AU13" i="8"/>
  <c r="AU11" i="8"/>
  <c r="AU9" i="8"/>
  <c r="AU7" i="8"/>
  <c r="BC41" i="8"/>
  <c r="AZ39" i="8"/>
  <c r="AW37" i="8"/>
  <c r="AT35" i="8"/>
  <c r="AT33" i="8"/>
  <c r="AT31" i="8"/>
  <c r="AT29" i="8"/>
  <c r="AT27" i="8"/>
  <c r="AT25" i="8"/>
  <c r="AT23" i="8"/>
  <c r="AT21" i="8"/>
  <c r="AT19" i="8"/>
  <c r="AT17" i="8"/>
  <c r="AT15" i="8"/>
  <c r="AT13" i="8"/>
  <c r="AT11" i="8"/>
  <c r="AT9" i="8"/>
  <c r="AT7" i="8"/>
  <c r="BA41" i="8"/>
  <c r="AX39" i="8"/>
  <c r="AU37" i="8"/>
  <c r="BD34" i="8"/>
  <c r="BD32" i="8"/>
  <c r="BD30" i="8"/>
  <c r="BD28" i="8"/>
  <c r="BD26" i="8"/>
  <c r="BD24" i="8"/>
  <c r="BD22" i="8"/>
  <c r="BD20" i="8"/>
  <c r="BD18" i="8"/>
  <c r="BD16" i="8"/>
  <c r="BD14" i="8"/>
  <c r="BD12" i="8"/>
  <c r="BD10" i="8"/>
  <c r="BD8" i="8"/>
  <c r="BD6" i="8"/>
  <c r="AY39" i="8"/>
  <c r="AH41" i="8"/>
  <c r="AH39" i="8"/>
  <c r="AH37" i="8"/>
  <c r="AH35" i="8"/>
  <c r="AH33" i="8"/>
  <c r="AH31" i="8"/>
  <c r="AH29" i="8"/>
  <c r="AH27" i="8"/>
  <c r="AH25" i="8"/>
  <c r="AH23" i="8"/>
  <c r="AH21" i="8"/>
  <c r="AH19" i="8"/>
  <c r="AH17" i="8"/>
  <c r="AH15" i="8"/>
  <c r="AH13" i="8"/>
  <c r="AH11" i="8"/>
  <c r="AH9" i="8"/>
  <c r="AH7" i="8"/>
  <c r="AV37" i="8"/>
  <c r="BE34" i="8"/>
  <c r="BE32" i="8"/>
  <c r="BE30" i="8"/>
  <c r="AP40" i="8"/>
  <c r="BE28" i="8"/>
  <c r="BE26" i="8"/>
  <c r="BE24" i="8"/>
  <c r="BE22" i="8"/>
  <c r="BE20" i="8"/>
  <c r="BE18" i="8"/>
  <c r="BE16" i="8"/>
  <c r="BE14" i="8"/>
  <c r="BE12" i="8"/>
  <c r="BE10" i="8"/>
  <c r="BE8" i="8"/>
  <c r="BE6" i="8"/>
  <c r="BB41" i="8"/>
  <c r="Q193" i="2"/>
  <c r="P193" i="2" s="1"/>
  <c r="Q197" i="2"/>
  <c r="P197" i="2" s="1"/>
  <c r="Q201" i="2"/>
  <c r="P201" i="2" s="1"/>
  <c r="Q205" i="2"/>
  <c r="P205" i="2" s="1"/>
  <c r="Q209" i="2"/>
  <c r="P209" i="2" s="1"/>
  <c r="Q213" i="2"/>
  <c r="P213" i="2" s="1"/>
  <c r="U6" i="8"/>
  <c r="AC22" i="8"/>
  <c r="Z41" i="8"/>
  <c r="AM6" i="8"/>
  <c r="AN8" i="8"/>
  <c r="AO10" i="8"/>
  <c r="AP12" i="8"/>
  <c r="AQ14" i="8"/>
  <c r="AF17" i="8"/>
  <c r="AG19" i="8"/>
  <c r="AI21" i="8"/>
  <c r="AJ23" i="8"/>
  <c r="AK25" i="8"/>
  <c r="AL27" i="8"/>
  <c r="AM29" i="8"/>
  <c r="AN31" i="8"/>
  <c r="AO33" i="8"/>
  <c r="AP35" i="8"/>
  <c r="AQ37" i="8"/>
  <c r="AF40" i="8"/>
  <c r="AQ83" i="8"/>
  <c r="AQ87" i="8"/>
  <c r="AQ91" i="8"/>
  <c r="AG96" i="8"/>
  <c r="AM101" i="8"/>
  <c r="AI109" i="8"/>
  <c r="AN121" i="8"/>
  <c r="X76" i="8"/>
  <c r="Y55" i="8"/>
  <c r="V6" i="8"/>
  <c r="R23" i="8"/>
  <c r="Z45" i="8"/>
  <c r="R79" i="8"/>
  <c r="AN6" i="8"/>
  <c r="AO8" i="8"/>
  <c r="AP10" i="8"/>
  <c r="AQ12" i="8"/>
  <c r="AF15" i="8"/>
  <c r="AG17" i="8"/>
  <c r="AI19" i="8"/>
  <c r="AJ21" i="8"/>
  <c r="AK23" i="8"/>
  <c r="AL25" i="8"/>
  <c r="AM27" i="8"/>
  <c r="AN29" i="8"/>
  <c r="AO31" i="8"/>
  <c r="AP33" i="8"/>
  <c r="AQ35" i="8"/>
  <c r="AF38" i="8"/>
  <c r="AG40" i="8"/>
  <c r="AG84" i="8"/>
  <c r="AG88" i="8"/>
  <c r="AG92" i="8"/>
  <c r="AI96" i="8"/>
  <c r="AN101" i="8"/>
  <c r="AL123" i="8"/>
  <c r="W112" i="8"/>
  <c r="CN116" i="8"/>
  <c r="CN114" i="8"/>
  <c r="CN112" i="8"/>
  <c r="CN110" i="8"/>
  <c r="CN108" i="8"/>
  <c r="CN106" i="8"/>
  <c r="CN104" i="8"/>
  <c r="CN102" i="8"/>
  <c r="CN100" i="8"/>
  <c r="CN98" i="8"/>
  <c r="CN96" i="8"/>
  <c r="CN94" i="8"/>
  <c r="CN92" i="8"/>
  <c r="CN90" i="8"/>
  <c r="CN88" i="8"/>
  <c r="CN86" i="8"/>
  <c r="CN84" i="8"/>
  <c r="CN82" i="8"/>
  <c r="CM116" i="8"/>
  <c r="CM114" i="8"/>
  <c r="CM112" i="8"/>
  <c r="CM110" i="8"/>
  <c r="CM108" i="8"/>
  <c r="CM106" i="8"/>
  <c r="CM104" i="8"/>
  <c r="CM102" i="8"/>
  <c r="CM100" i="8"/>
  <c r="CM98" i="8"/>
  <c r="CM96" i="8"/>
  <c r="CM94" i="8"/>
  <c r="CM92" i="8"/>
  <c r="CM90" i="8"/>
  <c r="CM88" i="8"/>
  <c r="CM86" i="8"/>
  <c r="CM84" i="8"/>
  <c r="CM82" i="8"/>
  <c r="CL116" i="8"/>
  <c r="CL114" i="8"/>
  <c r="CL112" i="8"/>
  <c r="CL110" i="8"/>
  <c r="CL108" i="8"/>
  <c r="CL106" i="8"/>
  <c r="CL104" i="8"/>
  <c r="CL102" i="8"/>
  <c r="CL100" i="8"/>
  <c r="CL98" i="8"/>
  <c r="CL96" i="8"/>
  <c r="CL94" i="8"/>
  <c r="CL92" i="8"/>
  <c r="CL90" i="8"/>
  <c r="CL88" i="8"/>
  <c r="CL86" i="8"/>
  <c r="CL84" i="8"/>
  <c r="CL82" i="8"/>
  <c r="CK116" i="8"/>
  <c r="CK114" i="8"/>
  <c r="CK112" i="8"/>
  <c r="CK110" i="8"/>
  <c r="CK108" i="8"/>
  <c r="CK106" i="8"/>
  <c r="CK104" i="8"/>
  <c r="CK102" i="8"/>
  <c r="CK100" i="8"/>
  <c r="CK98" i="8"/>
  <c r="CK96" i="8"/>
  <c r="CK94" i="8"/>
  <c r="CK92" i="8"/>
  <c r="CK90" i="8"/>
  <c r="CK88" i="8"/>
  <c r="CK86" i="8"/>
  <c r="CK84" i="8"/>
  <c r="CK82" i="8"/>
  <c r="CJ116" i="8"/>
  <c r="CJ114" i="8"/>
  <c r="CJ112" i="8"/>
  <c r="CJ110" i="8"/>
  <c r="CJ108" i="8"/>
  <c r="CJ106" i="8"/>
  <c r="CJ104" i="8"/>
  <c r="CJ102" i="8"/>
  <c r="CJ100" i="8"/>
  <c r="CJ98" i="8"/>
  <c r="CJ96" i="8"/>
  <c r="CJ94" i="8"/>
  <c r="CJ92" i="8"/>
  <c r="CJ90" i="8"/>
  <c r="CJ88" i="8"/>
  <c r="CJ86" i="8"/>
  <c r="CJ84" i="8"/>
  <c r="CJ82" i="8"/>
  <c r="CU117" i="8"/>
  <c r="CU115" i="8"/>
  <c r="CU113" i="8"/>
  <c r="CU111" i="8"/>
  <c r="CU109" i="8"/>
  <c r="CU107" i="8"/>
  <c r="CU105" i="8"/>
  <c r="CU103" i="8"/>
  <c r="CU101" i="8"/>
  <c r="CU99" i="8"/>
  <c r="CU97" i="8"/>
  <c r="CU95" i="8"/>
  <c r="CU93" i="8"/>
  <c r="CU91" i="8"/>
  <c r="CU89" i="8"/>
  <c r="CU87" i="8"/>
  <c r="CU85" i="8"/>
  <c r="CU83" i="8"/>
  <c r="CT117" i="8"/>
  <c r="CT115" i="8"/>
  <c r="CT113" i="8"/>
  <c r="CT111" i="8"/>
  <c r="CT109" i="8"/>
  <c r="CT107" i="8"/>
  <c r="CT105" i="8"/>
  <c r="CT103" i="8"/>
  <c r="CT101" i="8"/>
  <c r="CT99" i="8"/>
  <c r="CT97" i="8"/>
  <c r="CT95" i="8"/>
  <c r="CT93" i="8"/>
  <c r="CT91" i="8"/>
  <c r="CT89" i="8"/>
  <c r="CT87" i="8"/>
  <c r="CT85" i="8"/>
  <c r="CT83" i="8"/>
  <c r="CS117" i="8"/>
  <c r="CS115" i="8"/>
  <c r="CS113" i="8"/>
  <c r="CS111" i="8"/>
  <c r="CS109" i="8"/>
  <c r="CS107" i="8"/>
  <c r="CS105" i="8"/>
  <c r="CR117" i="8"/>
  <c r="CR115" i="8"/>
  <c r="CR113" i="8"/>
  <c r="CR111" i="8"/>
  <c r="CR109" i="8"/>
  <c r="CR107" i="8"/>
  <c r="CR105" i="8"/>
  <c r="CR103" i="8"/>
  <c r="CR101" i="8"/>
  <c r="CR99" i="8"/>
  <c r="CR97" i="8"/>
  <c r="CR95" i="8"/>
  <c r="CR93" i="8"/>
  <c r="CR91" i="8"/>
  <c r="CQ117" i="8"/>
  <c r="CQ115" i="8"/>
  <c r="CQ113" i="8"/>
  <c r="CQ111" i="8"/>
  <c r="CQ109" i="8"/>
  <c r="CQ107" i="8"/>
  <c r="CQ105" i="8"/>
  <c r="CQ103" i="8"/>
  <c r="CQ101" i="8"/>
  <c r="CQ99" i="8"/>
  <c r="CQ97" i="8"/>
  <c r="CQ95" i="8"/>
  <c r="CQ93" i="8"/>
  <c r="CQ91" i="8"/>
  <c r="CQ89" i="8"/>
  <c r="CQ87" i="8"/>
  <c r="CQ85" i="8"/>
  <c r="CQ83" i="8"/>
  <c r="CP117" i="8"/>
  <c r="CP115" i="8"/>
  <c r="CP113" i="8"/>
  <c r="CP111" i="8"/>
  <c r="CP109" i="8"/>
  <c r="CP107" i="8"/>
  <c r="CP105" i="8"/>
  <c r="CP103" i="8"/>
  <c r="CP101" i="8"/>
  <c r="CP99" i="8"/>
  <c r="CP97" i="8"/>
  <c r="CP95" i="8"/>
  <c r="CP93" i="8"/>
  <c r="CP91" i="8"/>
  <c r="CP89" i="8"/>
  <c r="CP87" i="8"/>
  <c r="CP85" i="8"/>
  <c r="CP83" i="8"/>
  <c r="CO117" i="8"/>
  <c r="CO115" i="8"/>
  <c r="CO113" i="8"/>
  <c r="CO111" i="8"/>
  <c r="CO109" i="8"/>
  <c r="CO107" i="8"/>
  <c r="CO105" i="8"/>
  <c r="CO103" i="8"/>
  <c r="CO101" i="8"/>
  <c r="CO99" i="8"/>
  <c r="CO97" i="8"/>
  <c r="CO95" i="8"/>
  <c r="CO93" i="8"/>
  <c r="CO91" i="8"/>
  <c r="CO89" i="8"/>
  <c r="CO87" i="8"/>
  <c r="CO85" i="8"/>
  <c r="CN117" i="8"/>
  <c r="CN115" i="8"/>
  <c r="CN113" i="8"/>
  <c r="CN111" i="8"/>
  <c r="CN109" i="8"/>
  <c r="CN107" i="8"/>
  <c r="CN105" i="8"/>
  <c r="CN103" i="8"/>
  <c r="CN101" i="8"/>
  <c r="CN99" i="8"/>
  <c r="CN97" i="8"/>
  <c r="CN95" i="8"/>
  <c r="CN93" i="8"/>
  <c r="CN91" i="8"/>
  <c r="CN89" i="8"/>
  <c r="CN87" i="8"/>
  <c r="CN85" i="8"/>
  <c r="CN83" i="8"/>
  <c r="CM117" i="8"/>
  <c r="CM115" i="8"/>
  <c r="CM113" i="8"/>
  <c r="CM111" i="8"/>
  <c r="CM109" i="8"/>
  <c r="CM107" i="8"/>
  <c r="CM105" i="8"/>
  <c r="CM103" i="8"/>
  <c r="CM101" i="8"/>
  <c r="CM99" i="8"/>
  <c r="CM97" i="8"/>
  <c r="CM95" i="8"/>
  <c r="CM93" i="8"/>
  <c r="CM91" i="8"/>
  <c r="CM89" i="8"/>
  <c r="CM87" i="8"/>
  <c r="CM85" i="8"/>
  <c r="CM83" i="8"/>
  <c r="CL117" i="8"/>
  <c r="CL115" i="8"/>
  <c r="CL113" i="8"/>
  <c r="CL111" i="8"/>
  <c r="CL109" i="8"/>
  <c r="CL107" i="8"/>
  <c r="CL105" i="8"/>
  <c r="CL103" i="8"/>
  <c r="CL101" i="8"/>
  <c r="CL99" i="8"/>
  <c r="CL97" i="8"/>
  <c r="CL95" i="8"/>
  <c r="CL93" i="8"/>
  <c r="CL91" i="8"/>
  <c r="CL89" i="8"/>
  <c r="CL87" i="8"/>
  <c r="CL85" i="8"/>
  <c r="CL83" i="8"/>
  <c r="CK117" i="8"/>
  <c r="CK115" i="8"/>
  <c r="CK113" i="8"/>
  <c r="CK111" i="8"/>
  <c r="CK109" i="8"/>
  <c r="CK107" i="8"/>
  <c r="CK105" i="8"/>
  <c r="CK103" i="8"/>
  <c r="CK101" i="8"/>
  <c r="CK99" i="8"/>
  <c r="CK97" i="8"/>
  <c r="CK95" i="8"/>
  <c r="CK93" i="8"/>
  <c r="CK91" i="8"/>
  <c r="CK89" i="8"/>
  <c r="CK87" i="8"/>
  <c r="CK85" i="8"/>
  <c r="CK83" i="8"/>
  <c r="CJ117" i="8"/>
  <c r="CJ115" i="8"/>
  <c r="CJ113" i="8"/>
  <c r="CJ111" i="8"/>
  <c r="CJ109" i="8"/>
  <c r="CJ107" i="8"/>
  <c r="CJ105" i="8"/>
  <c r="CJ103" i="8"/>
  <c r="CJ101" i="8"/>
  <c r="CJ99" i="8"/>
  <c r="CJ97" i="8"/>
  <c r="CJ95" i="8"/>
  <c r="CJ93" i="8"/>
  <c r="CJ91" i="8"/>
  <c r="CJ89" i="8"/>
  <c r="CJ87" i="8"/>
  <c r="CU116" i="8"/>
  <c r="CU114" i="8"/>
  <c r="CU112" i="8"/>
  <c r="CU110" i="8"/>
  <c r="CU108" i="8"/>
  <c r="CU106" i="8"/>
  <c r="CU104" i="8"/>
  <c r="CU102" i="8"/>
  <c r="CU100" i="8"/>
  <c r="CU98" i="8"/>
  <c r="CU96" i="8"/>
  <c r="CU94" i="8"/>
  <c r="CU92" i="8"/>
  <c r="CU90" i="8"/>
  <c r="CU88" i="8"/>
  <c r="CU86" i="8"/>
  <c r="CU84" i="8"/>
  <c r="CU82" i="8"/>
  <c r="CT116" i="8"/>
  <c r="CT114" i="8"/>
  <c r="CT112" i="8"/>
  <c r="CT110" i="8"/>
  <c r="CT108" i="8"/>
  <c r="CT106" i="8"/>
  <c r="CT104" i="8"/>
  <c r="CS116" i="8"/>
  <c r="CS114" i="8"/>
  <c r="CS112" i="8"/>
  <c r="CS110" i="8"/>
  <c r="CS108" i="8"/>
  <c r="CS106" i="8"/>
  <c r="CS104" i="8"/>
  <c r="CS102" i="8"/>
  <c r="CS100" i="8"/>
  <c r="CS98" i="8"/>
  <c r="CS96" i="8"/>
  <c r="CS94" i="8"/>
  <c r="CS92" i="8"/>
  <c r="CS90" i="8"/>
  <c r="CS88" i="8"/>
  <c r="CS86" i="8"/>
  <c r="CR116" i="8"/>
  <c r="CR114" i="8"/>
  <c r="CR112" i="8"/>
  <c r="CR110" i="8"/>
  <c r="CR108" i="8"/>
  <c r="CQ116" i="8"/>
  <c r="CQ114" i="8"/>
  <c r="CQ112" i="8"/>
  <c r="CQ110" i="8"/>
  <c r="CQ108" i="8"/>
  <c r="CQ106" i="8"/>
  <c r="CQ104" i="8"/>
  <c r="CQ102" i="8"/>
  <c r="CQ100" i="8"/>
  <c r="CO116" i="8"/>
  <c r="CO114" i="8"/>
  <c r="CO112" i="8"/>
  <c r="CO110" i="8"/>
  <c r="CO108" i="8"/>
  <c r="CO106" i="8"/>
  <c r="CO104" i="8"/>
  <c r="CO102" i="8"/>
  <c r="CP98" i="8"/>
  <c r="CP90" i="8"/>
  <c r="CO84" i="8"/>
  <c r="CO98" i="8"/>
  <c r="CO90" i="8"/>
  <c r="CS83" i="8"/>
  <c r="CP116" i="8"/>
  <c r="CS97" i="8"/>
  <c r="CS89" i="8"/>
  <c r="CR83" i="8"/>
  <c r="CP114" i="8"/>
  <c r="CT96" i="8"/>
  <c r="CR89" i="8"/>
  <c r="CO83" i="8"/>
  <c r="CP112" i="8"/>
  <c r="CR96" i="8"/>
  <c r="CT88" i="8"/>
  <c r="CJ83" i="8"/>
  <c r="CP110" i="8"/>
  <c r="CQ96" i="8"/>
  <c r="CR88" i="8"/>
  <c r="CT82" i="8"/>
  <c r="CP108" i="8"/>
  <c r="CP96" i="8"/>
  <c r="CQ88" i="8"/>
  <c r="CS82" i="8"/>
  <c r="CR106" i="8"/>
  <c r="CO96" i="8"/>
  <c r="CP88" i="8"/>
  <c r="CR82" i="8"/>
  <c r="CP106" i="8"/>
  <c r="CS95" i="8"/>
  <c r="CO88" i="8"/>
  <c r="CQ82" i="8"/>
  <c r="CR104" i="8"/>
  <c r="CT94" i="8"/>
  <c r="CS87" i="8"/>
  <c r="CP82" i="8"/>
  <c r="CP104" i="8"/>
  <c r="CR94" i="8"/>
  <c r="CR87" i="8"/>
  <c r="CO82" i="8"/>
  <c r="CS103" i="8"/>
  <c r="CQ94" i="8"/>
  <c r="CT86" i="8"/>
  <c r="CT102" i="8"/>
  <c r="CP94" i="8"/>
  <c r="CR86" i="8"/>
  <c r="CR102" i="8"/>
  <c r="CO94" i="8"/>
  <c r="CQ86" i="8"/>
  <c r="CP102" i="8"/>
  <c r="CS93" i="8"/>
  <c r="CP86" i="8"/>
  <c r="CS101" i="8"/>
  <c r="CT92" i="8"/>
  <c r="CO86" i="8"/>
  <c r="CT100" i="8"/>
  <c r="CR92" i="8"/>
  <c r="CS85" i="8"/>
  <c r="CR100" i="8"/>
  <c r="CQ92" i="8"/>
  <c r="CR85" i="8"/>
  <c r="CP100" i="8"/>
  <c r="CP92" i="8"/>
  <c r="CJ85" i="8"/>
  <c r="CO100" i="8"/>
  <c r="CO92" i="8"/>
  <c r="CT84" i="8"/>
  <c r="CS99" i="8"/>
  <c r="CS91" i="8"/>
  <c r="CS84" i="8"/>
  <c r="CT98" i="8"/>
  <c r="CT90" i="8"/>
  <c r="CR84" i="8"/>
  <c r="CQ98" i="8"/>
  <c r="CQ90" i="8"/>
  <c r="CP84" i="8"/>
  <c r="BV117" i="8"/>
  <c r="BV115" i="8"/>
  <c r="BV113" i="8"/>
  <c r="BV111" i="8"/>
  <c r="BV109" i="8"/>
  <c r="BV107" i="8"/>
  <c r="BV105" i="8"/>
  <c r="BV103" i="8"/>
  <c r="BV101" i="8"/>
  <c r="BV99" i="8"/>
  <c r="BV97" i="8"/>
  <c r="BV95" i="8"/>
  <c r="BV93" i="8"/>
  <c r="BV91" i="8"/>
  <c r="BV89" i="8"/>
  <c r="BV87" i="8"/>
  <c r="BV85" i="8"/>
  <c r="BV83" i="8"/>
  <c r="CG116" i="8"/>
  <c r="CG114" i="8"/>
  <c r="CG112" i="8"/>
  <c r="CG110" i="8"/>
  <c r="CG108" i="8"/>
  <c r="CG106" i="8"/>
  <c r="CG104" i="8"/>
  <c r="CG102" i="8"/>
  <c r="CG100" i="8"/>
  <c r="CG98" i="8"/>
  <c r="CG96" i="8"/>
  <c r="CG94" i="8"/>
  <c r="CG92" i="8"/>
  <c r="CG90" i="8"/>
  <c r="CG88" i="8"/>
  <c r="CG86" i="8"/>
  <c r="CG84" i="8"/>
  <c r="CG82" i="8"/>
  <c r="CR98" i="8"/>
  <c r="CF116" i="8"/>
  <c r="CF114" i="8"/>
  <c r="CF112" i="8"/>
  <c r="CF110" i="8"/>
  <c r="CF108" i="8"/>
  <c r="CF106" i="8"/>
  <c r="CF104" i="8"/>
  <c r="CF102" i="8"/>
  <c r="CF100" i="8"/>
  <c r="CF98" i="8"/>
  <c r="CF96" i="8"/>
  <c r="CF94" i="8"/>
  <c r="CF92" i="8"/>
  <c r="CF90" i="8"/>
  <c r="CF88" i="8"/>
  <c r="CF86" i="8"/>
  <c r="CF84" i="8"/>
  <c r="CF82" i="8"/>
  <c r="CR90" i="8"/>
  <c r="CE116" i="8"/>
  <c r="CE114" i="8"/>
  <c r="CE112" i="8"/>
  <c r="CE110" i="8"/>
  <c r="CE108" i="8"/>
  <c r="CE106" i="8"/>
  <c r="CE104" i="8"/>
  <c r="CE102" i="8"/>
  <c r="CE100" i="8"/>
  <c r="CE98" i="8"/>
  <c r="CE96" i="8"/>
  <c r="CE94" i="8"/>
  <c r="CE92" i="8"/>
  <c r="CE90" i="8"/>
  <c r="CE88" i="8"/>
  <c r="CE86" i="8"/>
  <c r="CE84" i="8"/>
  <c r="CE82" i="8"/>
  <c r="CQ84" i="8"/>
  <c r="CD116" i="8"/>
  <c r="CD114" i="8"/>
  <c r="CD112" i="8"/>
  <c r="CD110" i="8"/>
  <c r="CD108" i="8"/>
  <c r="CD106" i="8"/>
  <c r="CD104" i="8"/>
  <c r="CD102" i="8"/>
  <c r="CD100" i="8"/>
  <c r="CD98" i="8"/>
  <c r="CD96" i="8"/>
  <c r="CD94" i="8"/>
  <c r="CD92" i="8"/>
  <c r="CD90" i="8"/>
  <c r="CD88" i="8"/>
  <c r="CD86" i="8"/>
  <c r="CD84" i="8"/>
  <c r="CD82" i="8"/>
  <c r="CC116" i="8"/>
  <c r="CC114" i="8"/>
  <c r="CC112" i="8"/>
  <c r="CC110" i="8"/>
  <c r="CC108" i="8"/>
  <c r="CC106" i="8"/>
  <c r="CC104" i="8"/>
  <c r="CC102" i="8"/>
  <c r="CC100" i="8"/>
  <c r="CC98" i="8"/>
  <c r="CC96" i="8"/>
  <c r="CC94" i="8"/>
  <c r="CC92" i="8"/>
  <c r="CC90" i="8"/>
  <c r="CC88" i="8"/>
  <c r="CC86" i="8"/>
  <c r="CC84" i="8"/>
  <c r="CC82" i="8"/>
  <c r="CB116" i="8"/>
  <c r="CB114" i="8"/>
  <c r="CB112" i="8"/>
  <c r="CB110" i="8"/>
  <c r="CB108" i="8"/>
  <c r="CB106" i="8"/>
  <c r="CB104" i="8"/>
  <c r="CB102" i="8"/>
  <c r="CB100" i="8"/>
  <c r="CB98" i="8"/>
  <c r="CB96" i="8"/>
  <c r="CB94" i="8"/>
  <c r="CB92" i="8"/>
  <c r="CB90" i="8"/>
  <c r="CB88" i="8"/>
  <c r="CB86" i="8"/>
  <c r="CB84" i="8"/>
  <c r="CB82" i="8"/>
  <c r="CA116" i="8"/>
  <c r="CA114" i="8"/>
  <c r="CA112" i="8"/>
  <c r="CA110" i="8"/>
  <c r="CA108" i="8"/>
  <c r="CA106" i="8"/>
  <c r="CA104" i="8"/>
  <c r="CA102" i="8"/>
  <c r="CA100" i="8"/>
  <c r="CA98" i="8"/>
  <c r="BZ116" i="8"/>
  <c r="BZ114" i="8"/>
  <c r="BZ112" i="8"/>
  <c r="BZ110" i="8"/>
  <c r="BZ108" i="8"/>
  <c r="BZ106" i="8"/>
  <c r="BZ104" i="8"/>
  <c r="BZ102" i="8"/>
  <c r="BZ100" i="8"/>
  <c r="BZ98" i="8"/>
  <c r="BZ96" i="8"/>
  <c r="BZ94" i="8"/>
  <c r="BZ92" i="8"/>
  <c r="BZ90" i="8"/>
  <c r="BZ88" i="8"/>
  <c r="BZ86" i="8"/>
  <c r="BZ84" i="8"/>
  <c r="BZ82" i="8"/>
  <c r="BY116" i="8"/>
  <c r="BY114" i="8"/>
  <c r="BY112" i="8"/>
  <c r="BY110" i="8"/>
  <c r="BY108" i="8"/>
  <c r="BY106" i="8"/>
  <c r="BY104" i="8"/>
  <c r="BY102" i="8"/>
  <c r="BY100" i="8"/>
  <c r="BY98" i="8"/>
  <c r="BY96" i="8"/>
  <c r="BY94" i="8"/>
  <c r="BX116" i="8"/>
  <c r="BX114" i="8"/>
  <c r="BX112" i="8"/>
  <c r="BX110" i="8"/>
  <c r="BX108" i="8"/>
  <c r="BX106" i="8"/>
  <c r="BX104" i="8"/>
  <c r="BX102" i="8"/>
  <c r="BX100" i="8"/>
  <c r="BX98" i="8"/>
  <c r="BX96" i="8"/>
  <c r="BX94" i="8"/>
  <c r="BX92" i="8"/>
  <c r="BX90" i="8"/>
  <c r="BX88" i="8"/>
  <c r="BX86" i="8"/>
  <c r="BX84" i="8"/>
  <c r="BX82" i="8"/>
  <c r="BV116" i="8"/>
  <c r="BV114" i="8"/>
  <c r="BV112" i="8"/>
  <c r="BV110" i="8"/>
  <c r="BV108" i="8"/>
  <c r="BV106" i="8"/>
  <c r="BV104" i="8"/>
  <c r="BV102" i="8"/>
  <c r="BV100" i="8"/>
  <c r="BV98" i="8"/>
  <c r="BV96" i="8"/>
  <c r="CF117" i="8"/>
  <c r="CF115" i="8"/>
  <c r="CF113" i="8"/>
  <c r="CF111" i="8"/>
  <c r="CF109" i="8"/>
  <c r="CF107" i="8"/>
  <c r="CF105" i="8"/>
  <c r="CF103" i="8"/>
  <c r="CF101" i="8"/>
  <c r="CF99" i="8"/>
  <c r="CF97" i="8"/>
  <c r="CF95" i="8"/>
  <c r="CE117" i="8"/>
  <c r="CE115" i="8"/>
  <c r="CE113" i="8"/>
  <c r="CE111" i="8"/>
  <c r="CE109" i="8"/>
  <c r="CG113" i="8"/>
  <c r="CA109" i="8"/>
  <c r="BY105" i="8"/>
  <c r="BW101" i="8"/>
  <c r="BW96" i="8"/>
  <c r="BW93" i="8"/>
  <c r="CC89" i="8"/>
  <c r="BW86" i="8"/>
  <c r="BZ83" i="8"/>
  <c r="CD113" i="8"/>
  <c r="BZ109" i="8"/>
  <c r="BX105" i="8"/>
  <c r="BW100" i="8"/>
  <c r="CG95" i="8"/>
  <c r="CA92" i="8"/>
  <c r="CB89" i="8"/>
  <c r="BV86" i="8"/>
  <c r="BY83" i="8"/>
  <c r="CC113" i="8"/>
  <c r="BY109" i="8"/>
  <c r="BW105" i="8"/>
  <c r="CG99" i="8"/>
  <c r="CE95" i="8"/>
  <c r="BY92" i="8"/>
  <c r="CA89" i="8"/>
  <c r="CG85" i="8"/>
  <c r="BX83" i="8"/>
  <c r="CB113" i="8"/>
  <c r="BX109" i="8"/>
  <c r="BW104" i="8"/>
  <c r="CE99" i="8"/>
  <c r="CD95" i="8"/>
  <c r="BW92" i="8"/>
  <c r="BZ89" i="8"/>
  <c r="CF85" i="8"/>
  <c r="BW83" i="8"/>
  <c r="CG117" i="8"/>
  <c r="CA113" i="8"/>
  <c r="BW109" i="8"/>
  <c r="CG103" i="8"/>
  <c r="CD99" i="8"/>
  <c r="CC95" i="8"/>
  <c r="BV92" i="8"/>
  <c r="BY89" i="8"/>
  <c r="CE85" i="8"/>
  <c r="CA82" i="8"/>
  <c r="CD117" i="8"/>
  <c r="BZ113" i="8"/>
  <c r="BW108" i="8"/>
  <c r="CE103" i="8"/>
  <c r="CC99" i="8"/>
  <c r="CB95" i="8"/>
  <c r="CG91" i="8"/>
  <c r="BX89" i="8"/>
  <c r="CD85" i="8"/>
  <c r="BY82" i="8"/>
  <c r="CC117" i="8"/>
  <c r="BY113" i="8"/>
  <c r="CG107" i="8"/>
  <c r="CD103" i="8"/>
  <c r="CB99" i="8"/>
  <c r="CA95" i="8"/>
  <c r="CF91" i="8"/>
  <c r="BW89" i="8"/>
  <c r="CC85" i="8"/>
  <c r="BW82" i="8"/>
  <c r="CB117" i="8"/>
  <c r="BX113" i="8"/>
  <c r="CE107" i="8"/>
  <c r="CC103" i="8"/>
  <c r="CA99" i="8"/>
  <c r="BZ95" i="8"/>
  <c r="CE91" i="8"/>
  <c r="CA88" i="8"/>
  <c r="CB85" i="8"/>
  <c r="BV82" i="8"/>
  <c r="CA117" i="8"/>
  <c r="BW113" i="8"/>
  <c r="CD107" i="8"/>
  <c r="CB103" i="8"/>
  <c r="BZ99" i="8"/>
  <c r="BY95" i="8"/>
  <c r="CD91" i="8"/>
  <c r="BY88" i="8"/>
  <c r="CA85" i="8"/>
  <c r="BZ117" i="8"/>
  <c r="BW112" i="8"/>
  <c r="CC107" i="8"/>
  <c r="CA103" i="8"/>
  <c r="BY99" i="8"/>
  <c r="BX95" i="8"/>
  <c r="CC91" i="8"/>
  <c r="BW88" i="8"/>
  <c r="BZ85" i="8"/>
  <c r="BY117" i="8"/>
  <c r="CG111" i="8"/>
  <c r="CB107" i="8"/>
  <c r="BZ103" i="8"/>
  <c r="BX99" i="8"/>
  <c r="BW95" i="8"/>
  <c r="CB91" i="8"/>
  <c r="BV88" i="8"/>
  <c r="BY85" i="8"/>
  <c r="BX117" i="8"/>
  <c r="CD111" i="8"/>
  <c r="CA107" i="8"/>
  <c r="BY103" i="8"/>
  <c r="BW99" i="8"/>
  <c r="CA94" i="8"/>
  <c r="CA91" i="8"/>
  <c r="CG87" i="8"/>
  <c r="BX85" i="8"/>
  <c r="BW117" i="8"/>
  <c r="CC111" i="8"/>
  <c r="BZ107" i="8"/>
  <c r="BX103" i="8"/>
  <c r="BW98" i="8"/>
  <c r="BW94" i="8"/>
  <c r="BZ91" i="8"/>
  <c r="CF87" i="8"/>
  <c r="BW85" i="8"/>
  <c r="BW116" i="8"/>
  <c r="CB111" i="8"/>
  <c r="BY107" i="8"/>
  <c r="BW103" i="8"/>
  <c r="CG97" i="8"/>
  <c r="BV94" i="8"/>
  <c r="BY91" i="8"/>
  <c r="CE87" i="8"/>
  <c r="CA84" i="8"/>
  <c r="CG115" i="8"/>
  <c r="CA111" i="8"/>
  <c r="BX107" i="8"/>
  <c r="BW102" i="8"/>
  <c r="CE97" i="8"/>
  <c r="CG93" i="8"/>
  <c r="BX91" i="8"/>
  <c r="CD87" i="8"/>
  <c r="BY84" i="8"/>
  <c r="CD115" i="8"/>
  <c r="BZ111" i="8"/>
  <c r="BW107" i="8"/>
  <c r="CG101" i="8"/>
  <c r="CD97" i="8"/>
  <c r="CF93" i="8"/>
  <c r="BW91" i="8"/>
  <c r="CC87" i="8"/>
  <c r="BW84" i="8"/>
  <c r="CC115" i="8"/>
  <c r="BY111" i="8"/>
  <c r="BW106" i="8"/>
  <c r="CE101" i="8"/>
  <c r="CC97" i="8"/>
  <c r="CE93" i="8"/>
  <c r="CA90" i="8"/>
  <c r="CB87" i="8"/>
  <c r="BV84" i="8"/>
  <c r="CB115" i="8"/>
  <c r="BX111" i="8"/>
  <c r="CG105" i="8"/>
  <c r="CD101" i="8"/>
  <c r="CB97" i="8"/>
  <c r="CD93" i="8"/>
  <c r="BY90" i="8"/>
  <c r="CA87" i="8"/>
  <c r="CG83" i="8"/>
  <c r="CA115" i="8"/>
  <c r="BW111" i="8"/>
  <c r="CE105" i="8"/>
  <c r="CC101" i="8"/>
  <c r="CA97" i="8"/>
  <c r="CC93" i="8"/>
  <c r="BW90" i="8"/>
  <c r="BZ87" i="8"/>
  <c r="CF83" i="8"/>
  <c r="BZ115" i="8"/>
  <c r="BW110" i="8"/>
  <c r="CD105" i="8"/>
  <c r="CB101" i="8"/>
  <c r="BZ97" i="8"/>
  <c r="CB93" i="8"/>
  <c r="BV90" i="8"/>
  <c r="BY87" i="8"/>
  <c r="CE83" i="8"/>
  <c r="BY115" i="8"/>
  <c r="CG109" i="8"/>
  <c r="CC105" i="8"/>
  <c r="CA101" i="8"/>
  <c r="BY97" i="8"/>
  <c r="CA93" i="8"/>
  <c r="CG89" i="8"/>
  <c r="BX87" i="8"/>
  <c r="CD83" i="8"/>
  <c r="BX115" i="8"/>
  <c r="CD109" i="8"/>
  <c r="CB105" i="8"/>
  <c r="BZ101" i="8"/>
  <c r="BX97" i="8"/>
  <c r="BW114" i="8"/>
  <c r="CB109" i="8"/>
  <c r="BZ105" i="8"/>
  <c r="BX101" i="8"/>
  <c r="CA96" i="8"/>
  <c r="BX93" i="8"/>
  <c r="CD89" i="8"/>
  <c r="BY86" i="8"/>
  <c r="CA83" i="8"/>
  <c r="BL116" i="8"/>
  <c r="BL114" i="8"/>
  <c r="BL112" i="8"/>
  <c r="BL110" i="8"/>
  <c r="BL108" i="8"/>
  <c r="BL106" i="8"/>
  <c r="BL104" i="8"/>
  <c r="BL102" i="8"/>
  <c r="BL100" i="8"/>
  <c r="BL98" i="8"/>
  <c r="BL96" i="8"/>
  <c r="BL94" i="8"/>
  <c r="BL92" i="8"/>
  <c r="BL90" i="8"/>
  <c r="BL88" i="8"/>
  <c r="BL86" i="8"/>
  <c r="BL84" i="8"/>
  <c r="BL82" i="8"/>
  <c r="BK116" i="8"/>
  <c r="BK114" i="8"/>
  <c r="BK112" i="8"/>
  <c r="BK110" i="8"/>
  <c r="BK108" i="8"/>
  <c r="BK106" i="8"/>
  <c r="BK104" i="8"/>
  <c r="BK102" i="8"/>
  <c r="BK100" i="8"/>
  <c r="BK98" i="8"/>
  <c r="BK96" i="8"/>
  <c r="BK94" i="8"/>
  <c r="BK92" i="8"/>
  <c r="BK90" i="8"/>
  <c r="BK88" i="8"/>
  <c r="BK86" i="8"/>
  <c r="BK84" i="8"/>
  <c r="BK82" i="8"/>
  <c r="BJ116" i="8"/>
  <c r="BJ114" i="8"/>
  <c r="BJ112" i="8"/>
  <c r="BJ110" i="8"/>
  <c r="BJ108" i="8"/>
  <c r="BJ106" i="8"/>
  <c r="BJ104" i="8"/>
  <c r="BJ102" i="8"/>
  <c r="BJ100" i="8"/>
  <c r="BJ98" i="8"/>
  <c r="BJ96" i="8"/>
  <c r="BJ94" i="8"/>
  <c r="BJ92" i="8"/>
  <c r="BJ90" i="8"/>
  <c r="BJ88" i="8"/>
  <c r="BJ86" i="8"/>
  <c r="BJ84" i="8"/>
  <c r="BJ82" i="8"/>
  <c r="BI116" i="8"/>
  <c r="BI114" i="8"/>
  <c r="BI112" i="8"/>
  <c r="BI110" i="8"/>
  <c r="BI108" i="8"/>
  <c r="BI106" i="8"/>
  <c r="BI104" i="8"/>
  <c r="BI102" i="8"/>
  <c r="BI100" i="8"/>
  <c r="BI98" i="8"/>
  <c r="BI96" i="8"/>
  <c r="BI94" i="8"/>
  <c r="BI92" i="8"/>
  <c r="BI90" i="8"/>
  <c r="BI88" i="8"/>
  <c r="BI86" i="8"/>
  <c r="BS117" i="8"/>
  <c r="BS115" i="8"/>
  <c r="BS113" i="8"/>
  <c r="BS111" i="8"/>
  <c r="BS109" i="8"/>
  <c r="BS107" i="8"/>
  <c r="BS105" i="8"/>
  <c r="BS103" i="8"/>
  <c r="BS101" i="8"/>
  <c r="BS99" i="8"/>
  <c r="BS97" i="8"/>
  <c r="BS95" i="8"/>
  <c r="BR117" i="8"/>
  <c r="BR115" i="8"/>
  <c r="BR113" i="8"/>
  <c r="BR111" i="8"/>
  <c r="BR109" i="8"/>
  <c r="BR107" i="8"/>
  <c r="BR105" i="8"/>
  <c r="BR103" i="8"/>
  <c r="BR101" i="8"/>
  <c r="BR99" i="8"/>
  <c r="BR97" i="8"/>
  <c r="BR95" i="8"/>
  <c r="BR93" i="8"/>
  <c r="BR91" i="8"/>
  <c r="BR89" i="8"/>
  <c r="BR87" i="8"/>
  <c r="BR85" i="8"/>
  <c r="BR83" i="8"/>
  <c r="BW115" i="8"/>
  <c r="CC109" i="8"/>
  <c r="BP117" i="8"/>
  <c r="BP115" i="8"/>
  <c r="BP113" i="8"/>
  <c r="BP111" i="8"/>
  <c r="BP109" i="8"/>
  <c r="CA105" i="8"/>
  <c r="BO117" i="8"/>
  <c r="BO115" i="8"/>
  <c r="BO113" i="8"/>
  <c r="BO111" i="8"/>
  <c r="BO109" i="8"/>
  <c r="BO107" i="8"/>
  <c r="BO105" i="8"/>
  <c r="BO103" i="8"/>
  <c r="BO101" i="8"/>
  <c r="BO99" i="8"/>
  <c r="BO97" i="8"/>
  <c r="BY101" i="8"/>
  <c r="BN117" i="8"/>
  <c r="BN115" i="8"/>
  <c r="BN113" i="8"/>
  <c r="BN111" i="8"/>
  <c r="BN109" i="8"/>
  <c r="BN107" i="8"/>
  <c r="BN105" i="8"/>
  <c r="BN103" i="8"/>
  <c r="BN101" i="8"/>
  <c r="BN99" i="8"/>
  <c r="BN97" i="8"/>
  <c r="BN95" i="8"/>
  <c r="BN93" i="8"/>
  <c r="BN91" i="8"/>
  <c r="BN89" i="8"/>
  <c r="BN87" i="8"/>
  <c r="BW97" i="8"/>
  <c r="BZ93" i="8"/>
  <c r="BL117" i="8"/>
  <c r="BL115" i="8"/>
  <c r="BL113" i="8"/>
  <c r="BL111" i="8"/>
  <c r="BL109" i="8"/>
  <c r="BL107" i="8"/>
  <c r="BL105" i="8"/>
  <c r="BL103" i="8"/>
  <c r="BL101" i="8"/>
  <c r="BL99" i="8"/>
  <c r="BL97" i="8"/>
  <c r="BL95" i="8"/>
  <c r="BL93" i="8"/>
  <c r="BL91" i="8"/>
  <c r="BL89" i="8"/>
  <c r="BL87" i="8"/>
  <c r="BL85" i="8"/>
  <c r="BL83" i="8"/>
  <c r="BY93" i="8"/>
  <c r="BK117" i="8"/>
  <c r="BK115" i="8"/>
  <c r="BK113" i="8"/>
  <c r="CF89" i="8"/>
  <c r="BJ117" i="8"/>
  <c r="BJ115" i="8"/>
  <c r="BJ113" i="8"/>
  <c r="BJ111" i="8"/>
  <c r="BJ109" i="8"/>
  <c r="BJ107" i="8"/>
  <c r="BJ105" i="8"/>
  <c r="BJ103" i="8"/>
  <c r="BJ101" i="8"/>
  <c r="BJ99" i="8"/>
  <c r="BJ97" i="8"/>
  <c r="BJ95" i="8"/>
  <c r="BJ93" i="8"/>
  <c r="BJ91" i="8"/>
  <c r="BJ89" i="8"/>
  <c r="BJ87" i="8"/>
  <c r="CE89" i="8"/>
  <c r="BI117" i="8"/>
  <c r="BI115" i="8"/>
  <c r="BI113" i="8"/>
  <c r="BI111" i="8"/>
  <c r="BW87" i="8"/>
  <c r="CA86" i="8"/>
  <c r="CC83" i="8"/>
  <c r="CB83" i="8"/>
  <c r="BQ116" i="8"/>
  <c r="BQ114" i="8"/>
  <c r="BQ112" i="8"/>
  <c r="BQ110" i="8"/>
  <c r="BM115" i="8"/>
  <c r="BR110" i="8"/>
  <c r="BH107" i="8"/>
  <c r="BP103" i="8"/>
  <c r="BN100" i="8"/>
  <c r="BR96" i="8"/>
  <c r="BP93" i="8"/>
  <c r="BQ90" i="8"/>
  <c r="BP87" i="8"/>
  <c r="BS84" i="8"/>
  <c r="BN82" i="8"/>
  <c r="BH115" i="8"/>
  <c r="BP110" i="8"/>
  <c r="BS106" i="8"/>
  <c r="BM103" i="8"/>
  <c r="BM100" i="8"/>
  <c r="BQ96" i="8"/>
  <c r="BO93" i="8"/>
  <c r="BP90" i="8"/>
  <c r="BO87" i="8"/>
  <c r="BR84" i="8"/>
  <c r="BM82" i="8"/>
  <c r="BS114" i="8"/>
  <c r="BO110" i="8"/>
  <c r="BR106" i="8"/>
  <c r="BK103" i="8"/>
  <c r="BH100" i="8"/>
  <c r="BP96" i="8"/>
  <c r="BM93" i="8"/>
  <c r="BO90" i="8"/>
  <c r="BM87" i="8"/>
  <c r="BQ84" i="8"/>
  <c r="BI82" i="8"/>
  <c r="BR114" i="8"/>
  <c r="BN110" i="8"/>
  <c r="BQ106" i="8"/>
  <c r="BI103" i="8"/>
  <c r="BQ99" i="8"/>
  <c r="BO96" i="8"/>
  <c r="BK93" i="8"/>
  <c r="BN90" i="8"/>
  <c r="BK87" i="8"/>
  <c r="BP84" i="8"/>
  <c r="BH82" i="8"/>
  <c r="BP114" i="8"/>
  <c r="BM110" i="8"/>
  <c r="BP106" i="8"/>
  <c r="BH103" i="8"/>
  <c r="BP99" i="8"/>
  <c r="BN96" i="8"/>
  <c r="BI93" i="8"/>
  <c r="BM90" i="8"/>
  <c r="BI87" i="8"/>
  <c r="BO84" i="8"/>
  <c r="BO114" i="8"/>
  <c r="BH110" i="8"/>
  <c r="BO106" i="8"/>
  <c r="BS102" i="8"/>
  <c r="BM99" i="8"/>
  <c r="BM96" i="8"/>
  <c r="BH93" i="8"/>
  <c r="BH90" i="8"/>
  <c r="BH87" i="8"/>
  <c r="BN84" i="8"/>
  <c r="BN114" i="8"/>
  <c r="BQ109" i="8"/>
  <c r="BN106" i="8"/>
  <c r="BR102" i="8"/>
  <c r="BK99" i="8"/>
  <c r="BH96" i="8"/>
  <c r="BS92" i="8"/>
  <c r="BS89" i="8"/>
  <c r="BS86" i="8"/>
  <c r="BM84" i="8"/>
  <c r="BM114" i="8"/>
  <c r="BM109" i="8"/>
  <c r="BM106" i="8"/>
  <c r="BQ102" i="8"/>
  <c r="BI99" i="8"/>
  <c r="BQ95" i="8"/>
  <c r="BR92" i="8"/>
  <c r="BQ89" i="8"/>
  <c r="BR86" i="8"/>
  <c r="BI84" i="8"/>
  <c r="BH114" i="8"/>
  <c r="BK109" i="8"/>
  <c r="BH106" i="8"/>
  <c r="BP102" i="8"/>
  <c r="BH99" i="8"/>
  <c r="BP95" i="8"/>
  <c r="BQ92" i="8"/>
  <c r="BP89" i="8"/>
  <c r="BQ86" i="8"/>
  <c r="BH84" i="8"/>
  <c r="BQ113" i="8"/>
  <c r="BI109" i="8"/>
  <c r="BQ105" i="8"/>
  <c r="BO102" i="8"/>
  <c r="BS98" i="8"/>
  <c r="BO95" i="8"/>
  <c r="BP92" i="8"/>
  <c r="BO89" i="8"/>
  <c r="BP86" i="8"/>
  <c r="BS83" i="8"/>
  <c r="BM113" i="8"/>
  <c r="BH109" i="8"/>
  <c r="BP105" i="8"/>
  <c r="BN102" i="8"/>
  <c r="BR98" i="8"/>
  <c r="BM95" i="8"/>
  <c r="BO92" i="8"/>
  <c r="BM89" i="8"/>
  <c r="BO86" i="8"/>
  <c r="BQ83" i="8"/>
  <c r="BH113" i="8"/>
  <c r="BS108" i="8"/>
  <c r="BM105" i="8"/>
  <c r="BM102" i="8"/>
  <c r="BQ98" i="8"/>
  <c r="BK95" i="8"/>
  <c r="BN92" i="8"/>
  <c r="BK89" i="8"/>
  <c r="BN86" i="8"/>
  <c r="BP83" i="8"/>
  <c r="BS112" i="8"/>
  <c r="BR108" i="8"/>
  <c r="BK105" i="8"/>
  <c r="BH102" i="8"/>
  <c r="BP98" i="8"/>
  <c r="BI95" i="8"/>
  <c r="BM92" i="8"/>
  <c r="BI89" i="8"/>
  <c r="BM86" i="8"/>
  <c r="BO83" i="8"/>
  <c r="BQ117" i="8"/>
  <c r="BR112" i="8"/>
  <c r="BQ108" i="8"/>
  <c r="BI105" i="8"/>
  <c r="BQ101" i="8"/>
  <c r="BO98" i="8"/>
  <c r="BH95" i="8"/>
  <c r="BH92" i="8"/>
  <c r="BH89" i="8"/>
  <c r="BH86" i="8"/>
  <c r="BN83" i="8"/>
  <c r="BM117" i="8"/>
  <c r="BP112" i="8"/>
  <c r="BP108" i="8"/>
  <c r="BH105" i="8"/>
  <c r="BP101" i="8"/>
  <c r="BN98" i="8"/>
  <c r="BS94" i="8"/>
  <c r="BS91" i="8"/>
  <c r="BS88" i="8"/>
  <c r="BS85" i="8"/>
  <c r="BM83" i="8"/>
  <c r="BH117" i="8"/>
  <c r="BO112" i="8"/>
  <c r="BO108" i="8"/>
  <c r="BS104" i="8"/>
  <c r="BM101" i="8"/>
  <c r="BM98" i="8"/>
  <c r="BR94" i="8"/>
  <c r="BQ91" i="8"/>
  <c r="BR88" i="8"/>
  <c r="BQ85" i="8"/>
  <c r="BK83" i="8"/>
  <c r="BS116" i="8"/>
  <c r="BN112" i="8"/>
  <c r="BN108" i="8"/>
  <c r="BR104" i="8"/>
  <c r="BK101" i="8"/>
  <c r="BH98" i="8"/>
  <c r="BQ94" i="8"/>
  <c r="BP91" i="8"/>
  <c r="BQ88" i="8"/>
  <c r="BP85" i="8"/>
  <c r="BJ83" i="8"/>
  <c r="BR116" i="8"/>
  <c r="BM112" i="8"/>
  <c r="BM108" i="8"/>
  <c r="BQ104" i="8"/>
  <c r="BI101" i="8"/>
  <c r="BQ97" i="8"/>
  <c r="BP94" i="8"/>
  <c r="BO91" i="8"/>
  <c r="BP88" i="8"/>
  <c r="BO85" i="8"/>
  <c r="BI83" i="8"/>
  <c r="BP116" i="8"/>
  <c r="BH112" i="8"/>
  <c r="BH108" i="8"/>
  <c r="BP104" i="8"/>
  <c r="BH101" i="8"/>
  <c r="BP97" i="8"/>
  <c r="BO94" i="8"/>
  <c r="BM91" i="8"/>
  <c r="BO88" i="8"/>
  <c r="BN85" i="8"/>
  <c r="BH83" i="8"/>
  <c r="BO116" i="8"/>
  <c r="BQ111" i="8"/>
  <c r="BQ107" i="8"/>
  <c r="BO104" i="8"/>
  <c r="BS100" i="8"/>
  <c r="BM97" i="8"/>
  <c r="BN94" i="8"/>
  <c r="BK91" i="8"/>
  <c r="BN88" i="8"/>
  <c r="BM85" i="8"/>
  <c r="BS82" i="8"/>
  <c r="BN116" i="8"/>
  <c r="BM111" i="8"/>
  <c r="BP107" i="8"/>
  <c r="BN104" i="8"/>
  <c r="BR100" i="8"/>
  <c r="BK97" i="8"/>
  <c r="BM94" i="8"/>
  <c r="BI91" i="8"/>
  <c r="BM88" i="8"/>
  <c r="BK85" i="8"/>
  <c r="BR82" i="8"/>
  <c r="BM116" i="8"/>
  <c r="BK111" i="8"/>
  <c r="BM107" i="8"/>
  <c r="BM104" i="8"/>
  <c r="BQ100" i="8"/>
  <c r="BI97" i="8"/>
  <c r="BH94" i="8"/>
  <c r="BH91" i="8"/>
  <c r="BH88" i="8"/>
  <c r="BJ85" i="8"/>
  <c r="BQ82" i="8"/>
  <c r="BQ115" i="8"/>
  <c r="BS110" i="8"/>
  <c r="BI107" i="8"/>
  <c r="BQ103" i="8"/>
  <c r="BO100" i="8"/>
  <c r="BS96" i="8"/>
  <c r="BQ93" i="8"/>
  <c r="BR90" i="8"/>
  <c r="BQ87" i="8"/>
  <c r="BH85" i="8"/>
  <c r="BO82" i="8"/>
  <c r="AT117" i="8"/>
  <c r="AT115" i="8"/>
  <c r="AT113" i="8"/>
  <c r="AT111" i="8"/>
  <c r="AT109" i="8"/>
  <c r="AT107" i="8"/>
  <c r="AT105" i="8"/>
  <c r="AT103" i="8"/>
  <c r="AT101" i="8"/>
  <c r="AT99" i="8"/>
  <c r="AT97" i="8"/>
  <c r="AT95" i="8"/>
  <c r="AT93" i="8"/>
  <c r="AT91" i="8"/>
  <c r="AT89" i="8"/>
  <c r="AT87" i="8"/>
  <c r="AT85" i="8"/>
  <c r="AT83" i="8"/>
  <c r="BE116" i="8"/>
  <c r="BE114" i="8"/>
  <c r="BE112" i="8"/>
  <c r="BE110" i="8"/>
  <c r="BE108" i="8"/>
  <c r="BE106" i="8"/>
  <c r="BE104" i="8"/>
  <c r="BE102" i="8"/>
  <c r="BE100" i="8"/>
  <c r="BE98" i="8"/>
  <c r="BE96" i="8"/>
  <c r="BE94" i="8"/>
  <c r="BE92" i="8"/>
  <c r="BE90" i="8"/>
  <c r="BE88" i="8"/>
  <c r="BE86" i="8"/>
  <c r="BE84" i="8"/>
  <c r="BE82" i="8"/>
  <c r="BD116" i="8"/>
  <c r="BD114" i="8"/>
  <c r="BD112" i="8"/>
  <c r="BD110" i="8"/>
  <c r="BD108" i="8"/>
  <c r="BD106" i="8"/>
  <c r="BD104" i="8"/>
  <c r="BD102" i="8"/>
  <c r="BD100" i="8"/>
  <c r="BD98" i="8"/>
  <c r="BD96" i="8"/>
  <c r="BD94" i="8"/>
  <c r="BD92" i="8"/>
  <c r="BD90" i="8"/>
  <c r="BD88" i="8"/>
  <c r="BD86" i="8"/>
  <c r="BD84" i="8"/>
  <c r="BD82" i="8"/>
  <c r="BC116" i="8"/>
  <c r="BC114" i="8"/>
  <c r="BC112" i="8"/>
  <c r="BC110" i="8"/>
  <c r="BC108" i="8"/>
  <c r="BC106" i="8"/>
  <c r="BC104" i="8"/>
  <c r="BC102" i="8"/>
  <c r="BC100" i="8"/>
  <c r="BC98" i="8"/>
  <c r="BC96" i="8"/>
  <c r="BC94" i="8"/>
  <c r="BC92" i="8"/>
  <c r="BC90" i="8"/>
  <c r="BC88" i="8"/>
  <c r="BC86" i="8"/>
  <c r="BC84" i="8"/>
  <c r="BC82" i="8"/>
  <c r="BB116" i="8"/>
  <c r="BB114" i="8"/>
  <c r="BB112" i="8"/>
  <c r="BB110" i="8"/>
  <c r="BB108" i="8"/>
  <c r="BB106" i="8"/>
  <c r="BB104" i="8"/>
  <c r="BB102" i="8"/>
  <c r="BB100" i="8"/>
  <c r="BB98" i="8"/>
  <c r="BB96" i="8"/>
  <c r="BB94" i="8"/>
  <c r="BB92" i="8"/>
  <c r="BB90" i="8"/>
  <c r="BB88" i="8"/>
  <c r="BB86" i="8"/>
  <c r="BB84" i="8"/>
  <c r="BB82" i="8"/>
  <c r="BH116" i="8"/>
  <c r="BA116" i="8"/>
  <c r="BA114" i="8"/>
  <c r="BA112" i="8"/>
  <c r="BA110" i="8"/>
  <c r="BA108" i="8"/>
  <c r="BA106" i="8"/>
  <c r="BA104" i="8"/>
  <c r="BA102" i="8"/>
  <c r="BA100" i="8"/>
  <c r="BA98" i="8"/>
  <c r="BA96" i="8"/>
  <c r="BA94" i="8"/>
  <c r="BA92" i="8"/>
  <c r="BA90" i="8"/>
  <c r="BA88" i="8"/>
  <c r="BA86" i="8"/>
  <c r="BA84" i="8"/>
  <c r="BA82" i="8"/>
  <c r="BH111" i="8"/>
  <c r="AZ116" i="8"/>
  <c r="AZ114" i="8"/>
  <c r="AZ112" i="8"/>
  <c r="AZ110" i="8"/>
  <c r="AZ108" i="8"/>
  <c r="AZ106" i="8"/>
  <c r="AZ104" i="8"/>
  <c r="AZ102" i="8"/>
  <c r="AZ100" i="8"/>
  <c r="AZ98" i="8"/>
  <c r="AZ96" i="8"/>
  <c r="AZ94" i="8"/>
  <c r="AZ92" i="8"/>
  <c r="AZ90" i="8"/>
  <c r="AZ88" i="8"/>
  <c r="AZ86" i="8"/>
  <c r="AZ84" i="8"/>
  <c r="AZ82" i="8"/>
  <c r="BK107" i="8"/>
  <c r="AY116" i="8"/>
  <c r="AY114" i="8"/>
  <c r="AY112" i="8"/>
  <c r="AY110" i="8"/>
  <c r="AY108" i="8"/>
  <c r="AY106" i="8"/>
  <c r="AY104" i="8"/>
  <c r="BH104" i="8"/>
  <c r="AX116" i="8"/>
  <c r="AX114" i="8"/>
  <c r="AX112" i="8"/>
  <c r="AX110" i="8"/>
  <c r="AX108" i="8"/>
  <c r="AX106" i="8"/>
  <c r="AX104" i="8"/>
  <c r="AX102" i="8"/>
  <c r="AX100" i="8"/>
  <c r="AX98" i="8"/>
  <c r="AX96" i="8"/>
  <c r="AX94" i="8"/>
  <c r="AX92" i="8"/>
  <c r="AX90" i="8"/>
  <c r="AX88" i="8"/>
  <c r="AX86" i="8"/>
  <c r="AX84" i="8"/>
  <c r="AX82" i="8"/>
  <c r="BP100" i="8"/>
  <c r="AW116" i="8"/>
  <c r="AW114" i="8"/>
  <c r="AW112" i="8"/>
  <c r="AW110" i="8"/>
  <c r="AW108" i="8"/>
  <c r="AW106" i="8"/>
  <c r="AW104" i="8"/>
  <c r="BH97" i="8"/>
  <c r="AV116" i="8"/>
  <c r="AV114" i="8"/>
  <c r="AV112" i="8"/>
  <c r="AV110" i="8"/>
  <c r="AV108" i="8"/>
  <c r="AV106" i="8"/>
  <c r="AV104" i="8"/>
  <c r="AV102" i="8"/>
  <c r="AV100" i="8"/>
  <c r="AV98" i="8"/>
  <c r="AV96" i="8"/>
  <c r="AV94" i="8"/>
  <c r="AV92" i="8"/>
  <c r="AV90" i="8"/>
  <c r="AV88" i="8"/>
  <c r="AV86" i="8"/>
  <c r="BS93" i="8"/>
  <c r="AU116" i="8"/>
  <c r="AU114" i="8"/>
  <c r="AU112" i="8"/>
  <c r="AU110" i="8"/>
  <c r="BS90" i="8"/>
  <c r="AT116" i="8"/>
  <c r="AT114" i="8"/>
  <c r="AT112" i="8"/>
  <c r="AT110" i="8"/>
  <c r="AT108" i="8"/>
  <c r="AT106" i="8"/>
  <c r="AT104" i="8"/>
  <c r="AT102" i="8"/>
  <c r="AT100" i="8"/>
  <c r="AT98" i="8"/>
  <c r="AT96" i="8"/>
  <c r="AT94" i="8"/>
  <c r="AT92" i="8"/>
  <c r="AT90" i="8"/>
  <c r="AT88" i="8"/>
  <c r="AT86" i="8"/>
  <c r="AT84" i="8"/>
  <c r="AT82" i="8"/>
  <c r="BS87" i="8"/>
  <c r="BE117" i="8"/>
  <c r="BE115" i="8"/>
  <c r="BE113" i="8"/>
  <c r="BE111" i="8"/>
  <c r="BE109" i="8"/>
  <c r="BE107" i="8"/>
  <c r="BE105" i="8"/>
  <c r="BE103" i="8"/>
  <c r="BE101" i="8"/>
  <c r="BE99" i="8"/>
  <c r="BE97" i="8"/>
  <c r="BE95" i="8"/>
  <c r="BE93" i="8"/>
  <c r="BE91" i="8"/>
  <c r="BE89" i="8"/>
  <c r="BI85" i="8"/>
  <c r="BD117" i="8"/>
  <c r="BD115" i="8"/>
  <c r="BD113" i="8"/>
  <c r="BD111" i="8"/>
  <c r="BD109" i="8"/>
  <c r="BD107" i="8"/>
  <c r="BD105" i="8"/>
  <c r="BD103" i="8"/>
  <c r="BD101" i="8"/>
  <c r="BD99" i="8"/>
  <c r="BD97" i="8"/>
  <c r="BD95" i="8"/>
  <c r="BD93" i="8"/>
  <c r="BD91" i="8"/>
  <c r="BD89" i="8"/>
  <c r="BD87" i="8"/>
  <c r="BD85" i="8"/>
  <c r="BD83" i="8"/>
  <c r="BP82" i="8"/>
  <c r="BC117" i="8"/>
  <c r="BC115" i="8"/>
  <c r="BC113" i="8"/>
  <c r="BC111" i="8"/>
  <c r="BB117" i="8"/>
  <c r="BB115" i="8"/>
  <c r="BB113" i="8"/>
  <c r="BB111" i="8"/>
  <c r="BB109" i="8"/>
  <c r="BB107" i="8"/>
  <c r="BB105" i="8"/>
  <c r="BB103" i="8"/>
  <c r="BB101" i="8"/>
  <c r="BB99" i="8"/>
  <c r="BB97" i="8"/>
  <c r="BB95" i="8"/>
  <c r="BA117" i="8"/>
  <c r="BA115" i="8"/>
  <c r="BA113" i="8"/>
  <c r="BA111" i="8"/>
  <c r="BA109" i="8"/>
  <c r="BA107" i="8"/>
  <c r="BA105" i="8"/>
  <c r="BA103" i="8"/>
  <c r="BA101" i="8"/>
  <c r="BA99" i="8"/>
  <c r="BA97" i="8"/>
  <c r="BA95" i="8"/>
  <c r="AZ117" i="8"/>
  <c r="AZ115" i="8"/>
  <c r="AZ113" i="8"/>
  <c r="AZ111" i="8"/>
  <c r="AY117" i="8"/>
  <c r="AY115" i="8"/>
  <c r="AY113" i="8"/>
  <c r="AY111" i="8"/>
  <c r="AY109" i="8"/>
  <c r="AY107" i="8"/>
  <c r="AX117" i="8"/>
  <c r="AX115" i="8"/>
  <c r="AX113" i="8"/>
  <c r="AX111" i="8"/>
  <c r="AX109" i="8"/>
  <c r="AX107" i="8"/>
  <c r="AX105" i="8"/>
  <c r="AX103" i="8"/>
  <c r="AU117" i="8"/>
  <c r="AU115" i="8"/>
  <c r="AU113" i="8"/>
  <c r="AU111" i="8"/>
  <c r="AU106" i="8"/>
  <c r="AY100" i="8"/>
  <c r="AZ95" i="8"/>
  <c r="AZ91" i="8"/>
  <c r="BA87" i="8"/>
  <c r="BE83" i="8"/>
  <c r="BC105" i="8"/>
  <c r="AW100" i="8"/>
  <c r="AY95" i="8"/>
  <c r="AY91" i="8"/>
  <c r="AZ87" i="8"/>
  <c r="BC83" i="8"/>
  <c r="AZ105" i="8"/>
  <c r="AU100" i="8"/>
  <c r="AX95" i="8"/>
  <c r="AX91" i="8"/>
  <c r="AY87" i="8"/>
  <c r="BB83" i="8"/>
  <c r="AY105" i="8"/>
  <c r="BC99" i="8"/>
  <c r="AW95" i="8"/>
  <c r="AW91" i="8"/>
  <c r="AX87" i="8"/>
  <c r="BA83" i="8"/>
  <c r="AW105" i="8"/>
  <c r="AZ99" i="8"/>
  <c r="AV95" i="8"/>
  <c r="AV91" i="8"/>
  <c r="AW87" i="8"/>
  <c r="AZ83" i="8"/>
  <c r="AW117" i="8"/>
  <c r="AV105" i="8"/>
  <c r="AY99" i="8"/>
  <c r="AU95" i="8"/>
  <c r="AU91" i="8"/>
  <c r="AV87" i="8"/>
  <c r="AY83" i="8"/>
  <c r="AV117" i="8"/>
  <c r="AU105" i="8"/>
  <c r="AX99" i="8"/>
  <c r="AY94" i="8"/>
  <c r="AY90" i="8"/>
  <c r="AU87" i="8"/>
  <c r="AX83" i="8"/>
  <c r="AW115" i="8"/>
  <c r="AU104" i="8"/>
  <c r="AW99" i="8"/>
  <c r="AW94" i="8"/>
  <c r="AW90" i="8"/>
  <c r="AY86" i="8"/>
  <c r="AW83" i="8"/>
  <c r="AV115" i="8"/>
  <c r="BC103" i="8"/>
  <c r="AV99" i="8"/>
  <c r="AU94" i="8"/>
  <c r="AU90" i="8"/>
  <c r="AW86" i="8"/>
  <c r="AV83" i="8"/>
  <c r="AW113" i="8"/>
  <c r="AZ103" i="8"/>
  <c r="AU99" i="8"/>
  <c r="BC93" i="8"/>
  <c r="BC89" i="8"/>
  <c r="AU86" i="8"/>
  <c r="AU83" i="8"/>
  <c r="AV113" i="8"/>
  <c r="AY103" i="8"/>
  <c r="AY98" i="8"/>
  <c r="BB93" i="8"/>
  <c r="BB89" i="8"/>
  <c r="BE85" i="8"/>
  <c r="AY82" i="8"/>
  <c r="AW111" i="8"/>
  <c r="AW103" i="8"/>
  <c r="AW98" i="8"/>
  <c r="BA93" i="8"/>
  <c r="BA89" i="8"/>
  <c r="BC85" i="8"/>
  <c r="AW82" i="8"/>
  <c r="AV111" i="8"/>
  <c r="AV103" i="8"/>
  <c r="AU98" i="8"/>
  <c r="AZ93" i="8"/>
  <c r="AZ89" i="8"/>
  <c r="BB85" i="8"/>
  <c r="AV82" i="8"/>
  <c r="BC109" i="8"/>
  <c r="AU103" i="8"/>
  <c r="BC97" i="8"/>
  <c r="AY93" i="8"/>
  <c r="AY89" i="8"/>
  <c r="BA85" i="8"/>
  <c r="AU82" i="8"/>
  <c r="AZ109" i="8"/>
  <c r="AY102" i="8"/>
  <c r="AZ97" i="8"/>
  <c r="AX93" i="8"/>
  <c r="AX89" i="8"/>
  <c r="AZ85" i="8"/>
  <c r="AW109" i="8"/>
  <c r="AW102" i="8"/>
  <c r="AY97" i="8"/>
  <c r="AW93" i="8"/>
  <c r="AW89" i="8"/>
  <c r="AY85" i="8"/>
  <c r="AV109" i="8"/>
  <c r="AU102" i="8"/>
  <c r="AX97" i="8"/>
  <c r="AV93" i="8"/>
  <c r="AV89" i="8"/>
  <c r="AX85" i="8"/>
  <c r="AU109" i="8"/>
  <c r="BC101" i="8"/>
  <c r="AW97" i="8"/>
  <c r="AU93" i="8"/>
  <c r="AU89" i="8"/>
  <c r="AW85" i="8"/>
  <c r="AU108" i="8"/>
  <c r="AZ101" i="8"/>
  <c r="AV97" i="8"/>
  <c r="AY92" i="8"/>
  <c r="AY88" i="8"/>
  <c r="AV85" i="8"/>
  <c r="BC107" i="8"/>
  <c r="AY101" i="8"/>
  <c r="AU97" i="8"/>
  <c r="AW92" i="8"/>
  <c r="AW88" i="8"/>
  <c r="AU85" i="8"/>
  <c r="AZ107" i="8"/>
  <c r="AX101" i="8"/>
  <c r="AY96" i="8"/>
  <c r="AU92" i="8"/>
  <c r="AU88" i="8"/>
  <c r="AY84" i="8"/>
  <c r="AW107" i="8"/>
  <c r="AW101" i="8"/>
  <c r="AW96" i="8"/>
  <c r="BC91" i="8"/>
  <c r="BE87" i="8"/>
  <c r="AW84" i="8"/>
  <c r="AU107" i="8"/>
  <c r="AU101" i="8"/>
  <c r="BC95" i="8"/>
  <c r="BA91" i="8"/>
  <c r="BB87" i="8"/>
  <c r="AU84" i="8"/>
  <c r="AH117" i="8"/>
  <c r="AH115" i="8"/>
  <c r="AH113" i="8"/>
  <c r="AH111" i="8"/>
  <c r="AH109" i="8"/>
  <c r="AH107" i="8"/>
  <c r="AH105" i="8"/>
  <c r="AH103" i="8"/>
  <c r="AH101" i="8"/>
  <c r="AH99" i="8"/>
  <c r="AH97" i="8"/>
  <c r="AH95" i="8"/>
  <c r="AH93" i="8"/>
  <c r="AH91" i="8"/>
  <c r="AH89" i="8"/>
  <c r="AH87" i="8"/>
  <c r="AH85" i="8"/>
  <c r="AH83" i="8"/>
  <c r="Z100" i="8"/>
  <c r="AG117" i="8"/>
  <c r="AG115" i="8"/>
  <c r="AG113" i="8"/>
  <c r="AG111" i="8"/>
  <c r="AG109" i="8"/>
  <c r="AG107" i="8"/>
  <c r="AG105" i="8"/>
  <c r="AG103" i="8"/>
  <c r="AG101" i="8"/>
  <c r="AG99" i="8"/>
  <c r="AG97" i="8"/>
  <c r="AG95" i="8"/>
  <c r="AG93" i="8"/>
  <c r="AG91" i="8"/>
  <c r="AG89" i="8"/>
  <c r="AG87" i="8"/>
  <c r="AG85" i="8"/>
  <c r="AG83" i="8"/>
  <c r="AF117" i="8"/>
  <c r="AF115" i="8"/>
  <c r="AF113" i="8"/>
  <c r="AF111" i="8"/>
  <c r="AF109" i="8"/>
  <c r="AF107" i="8"/>
  <c r="AF105" i="8"/>
  <c r="AF103" i="8"/>
  <c r="AF101" i="8"/>
  <c r="AF99" i="8"/>
  <c r="AF97" i="8"/>
  <c r="AF95" i="8"/>
  <c r="AF93" i="8"/>
  <c r="AF91" i="8"/>
  <c r="AF89" i="8"/>
  <c r="AF87" i="8"/>
  <c r="AF85" i="8"/>
  <c r="AF83" i="8"/>
  <c r="AV107" i="8"/>
  <c r="AQ116" i="8"/>
  <c r="AQ114" i="8"/>
  <c r="AQ112" i="8"/>
  <c r="AQ110" i="8"/>
  <c r="AQ108" i="8"/>
  <c r="AQ106" i="8"/>
  <c r="AQ104" i="8"/>
  <c r="AQ102" i="8"/>
  <c r="AQ100" i="8"/>
  <c r="AQ98" i="8"/>
  <c r="AQ96" i="8"/>
  <c r="AQ94" i="8"/>
  <c r="AQ92" i="8"/>
  <c r="AQ90" i="8"/>
  <c r="AQ88" i="8"/>
  <c r="AQ86" i="8"/>
  <c r="AQ84" i="8"/>
  <c r="AQ82" i="8"/>
  <c r="AV101" i="8"/>
  <c r="AP116" i="8"/>
  <c r="AP114" i="8"/>
  <c r="AP112" i="8"/>
  <c r="AP110" i="8"/>
  <c r="AP108" i="8"/>
  <c r="AP106" i="8"/>
  <c r="AP104" i="8"/>
  <c r="AP102" i="8"/>
  <c r="AP100" i="8"/>
  <c r="AP98" i="8"/>
  <c r="AP96" i="8"/>
  <c r="AP94" i="8"/>
  <c r="AP92" i="8"/>
  <c r="AP90" i="8"/>
  <c r="AP88" i="8"/>
  <c r="AP86" i="8"/>
  <c r="AP84" i="8"/>
  <c r="AP82" i="8"/>
  <c r="AU96" i="8"/>
  <c r="AO116" i="8"/>
  <c r="AO114" i="8"/>
  <c r="AO112" i="8"/>
  <c r="AO110" i="8"/>
  <c r="AO108" i="8"/>
  <c r="AO106" i="8"/>
  <c r="AO104" i="8"/>
  <c r="AO102" i="8"/>
  <c r="AO100" i="8"/>
  <c r="AO98" i="8"/>
  <c r="AO96" i="8"/>
  <c r="AO94" i="8"/>
  <c r="AO92" i="8"/>
  <c r="AO90" i="8"/>
  <c r="AO88" i="8"/>
  <c r="AO86" i="8"/>
  <c r="AO84" i="8"/>
  <c r="BB91" i="8"/>
  <c r="AN116" i="8"/>
  <c r="AN114" i="8"/>
  <c r="AN112" i="8"/>
  <c r="AN110" i="8"/>
  <c r="AN108" i="8"/>
  <c r="AN106" i="8"/>
  <c r="AN104" i="8"/>
  <c r="AN102" i="8"/>
  <c r="AN100" i="8"/>
  <c r="AN98" i="8"/>
  <c r="AN96" i="8"/>
  <c r="AN94" i="8"/>
  <c r="AN92" i="8"/>
  <c r="AN90" i="8"/>
  <c r="AN88" i="8"/>
  <c r="AN86" i="8"/>
  <c r="AN84" i="8"/>
  <c r="AN82" i="8"/>
  <c r="BC87" i="8"/>
  <c r="AM116" i="8"/>
  <c r="AM114" i="8"/>
  <c r="AM112" i="8"/>
  <c r="AM110" i="8"/>
  <c r="AM108" i="8"/>
  <c r="AM106" i="8"/>
  <c r="AM104" i="8"/>
  <c r="AM102" i="8"/>
  <c r="AM100" i="8"/>
  <c r="AM98" i="8"/>
  <c r="AM96" i="8"/>
  <c r="AV84" i="8"/>
  <c r="AL116" i="8"/>
  <c r="AL114" i="8"/>
  <c r="AL112" i="8"/>
  <c r="AL110" i="8"/>
  <c r="AL108" i="8"/>
  <c r="AL106" i="8"/>
  <c r="AL104" i="8"/>
  <c r="AL102" i="8"/>
  <c r="AL100" i="8"/>
  <c r="AL98" i="8"/>
  <c r="AL96" i="8"/>
  <c r="AL94" i="8"/>
  <c r="AL92" i="8"/>
  <c r="AL90" i="8"/>
  <c r="AL88" i="8"/>
  <c r="AL86" i="8"/>
  <c r="AL84" i="8"/>
  <c r="AK116" i="8"/>
  <c r="AK114" i="8"/>
  <c r="AK112" i="8"/>
  <c r="AK110" i="8"/>
  <c r="AK108" i="8"/>
  <c r="AK106" i="8"/>
  <c r="AK104" i="8"/>
  <c r="AK102" i="8"/>
  <c r="AK100" i="8"/>
  <c r="AK98" i="8"/>
  <c r="AK96" i="8"/>
  <c r="AK94" i="8"/>
  <c r="AK92" i="8"/>
  <c r="AK90" i="8"/>
  <c r="AK88" i="8"/>
  <c r="AK86" i="8"/>
  <c r="AK84" i="8"/>
  <c r="AJ116" i="8"/>
  <c r="AJ114" i="8"/>
  <c r="AJ112" i="8"/>
  <c r="AJ110" i="8"/>
  <c r="AJ108" i="8"/>
  <c r="AJ106" i="8"/>
  <c r="AJ104" i="8"/>
  <c r="AJ102" i="8"/>
  <c r="AJ100" i="8"/>
  <c r="AJ98" i="8"/>
  <c r="AJ96" i="8"/>
  <c r="AJ94" i="8"/>
  <c r="AJ92" i="8"/>
  <c r="AJ90" i="8"/>
  <c r="AJ88" i="8"/>
  <c r="AJ86" i="8"/>
  <c r="AJ84" i="8"/>
  <c r="AJ82" i="8"/>
  <c r="AI116" i="8"/>
  <c r="AI114" i="8"/>
  <c r="AI112" i="8"/>
  <c r="AI110" i="8"/>
  <c r="AI108" i="8"/>
  <c r="AH116" i="8"/>
  <c r="AH114" i="8"/>
  <c r="AH112" i="8"/>
  <c r="AH110" i="8"/>
  <c r="AH108" i="8"/>
  <c r="AH106" i="8"/>
  <c r="AH104" i="8"/>
  <c r="AH102" i="8"/>
  <c r="AH100" i="8"/>
  <c r="AH98" i="8"/>
  <c r="AH96" i="8"/>
  <c r="AH94" i="8"/>
  <c r="AH92" i="8"/>
  <c r="AH90" i="8"/>
  <c r="AH88" i="8"/>
  <c r="AH86" i="8"/>
  <c r="AH84" i="8"/>
  <c r="AH82" i="8"/>
  <c r="AG116" i="8"/>
  <c r="AG114" i="8"/>
  <c r="AG112" i="8"/>
  <c r="AG110" i="8"/>
  <c r="AG108" i="8"/>
  <c r="AG106" i="8"/>
  <c r="AG104" i="8"/>
  <c r="AG102" i="8"/>
  <c r="AG100" i="8"/>
  <c r="AG98" i="8"/>
  <c r="AF116" i="8"/>
  <c r="AF114" i="8"/>
  <c r="AF112" i="8"/>
  <c r="AF110" i="8"/>
  <c r="AF108" i="8"/>
  <c r="AF106" i="8"/>
  <c r="AF104" i="8"/>
  <c r="AF102" i="8"/>
  <c r="AF100" i="8"/>
  <c r="AF98" i="8"/>
  <c r="AF96" i="8"/>
  <c r="AF94" i="8"/>
  <c r="AF92" i="8"/>
  <c r="AF90" i="8"/>
  <c r="AF88" i="8"/>
  <c r="AF86" i="8"/>
  <c r="AF84" i="8"/>
  <c r="AF82" i="8"/>
  <c r="AQ117" i="8"/>
  <c r="AQ115" i="8"/>
  <c r="AQ113" i="8"/>
  <c r="AQ111" i="8"/>
  <c r="AQ109" i="8"/>
  <c r="AQ107" i="8"/>
  <c r="AQ105" i="8"/>
  <c r="AQ103" i="8"/>
  <c r="AQ101" i="8"/>
  <c r="AP117" i="8"/>
  <c r="AP115" i="8"/>
  <c r="AP113" i="8"/>
  <c r="AP111" i="8"/>
  <c r="AP109" i="8"/>
  <c r="AP107" i="8"/>
  <c r="AP105" i="8"/>
  <c r="AP103" i="8"/>
  <c r="AO117" i="8"/>
  <c r="AO115" i="8"/>
  <c r="AO113" i="8"/>
  <c r="AO111" i="8"/>
  <c r="AO109" i="8"/>
  <c r="AO107" i="8"/>
  <c r="AO105" i="8"/>
  <c r="AO103" i="8"/>
  <c r="AO101" i="8"/>
  <c r="AO99" i="8"/>
  <c r="AO97" i="8"/>
  <c r="AO95" i="8"/>
  <c r="AM117" i="8"/>
  <c r="AJ117" i="8"/>
  <c r="AJ115" i="8"/>
  <c r="AJ113" i="8"/>
  <c r="AI117" i="8"/>
  <c r="AI115" i="8"/>
  <c r="AI113" i="8"/>
  <c r="U8" i="8"/>
  <c r="AC24" i="8"/>
  <c r="AA45" i="8"/>
  <c r="AA84" i="8"/>
  <c r="AO6" i="8"/>
  <c r="AP8" i="8"/>
  <c r="AQ10" i="8"/>
  <c r="AF13" i="8"/>
  <c r="AG15" i="8"/>
  <c r="AI17" i="8"/>
  <c r="AJ19" i="8"/>
  <c r="AK21" i="8"/>
  <c r="AL23" i="8"/>
  <c r="AM25" i="8"/>
  <c r="AN27" i="8"/>
  <c r="AO29" i="8"/>
  <c r="AP31" i="8"/>
  <c r="AQ33" i="8"/>
  <c r="AF36" i="8"/>
  <c r="AG38" i="8"/>
  <c r="AH40" i="8"/>
  <c r="AI84" i="8"/>
  <c r="AI88" i="8"/>
  <c r="AI92" i="8"/>
  <c r="AI97" i="8"/>
  <c r="AP101" i="8"/>
  <c r="AK109" i="8"/>
  <c r="AB146" i="8"/>
  <c r="CJ155" i="8"/>
  <c r="CJ153" i="8"/>
  <c r="CJ151" i="8"/>
  <c r="CJ149" i="8"/>
  <c r="CJ147" i="8"/>
  <c r="CJ145" i="8"/>
  <c r="CJ143" i="8"/>
  <c r="CJ141" i="8"/>
  <c r="CJ139" i="8"/>
  <c r="CJ137" i="8"/>
  <c r="CU154" i="8"/>
  <c r="CU152" i="8"/>
  <c r="CU150" i="8"/>
  <c r="CU148" i="8"/>
  <c r="CU146" i="8"/>
  <c r="CU144" i="8"/>
  <c r="CU142" i="8"/>
  <c r="CU140" i="8"/>
  <c r="CU138" i="8"/>
  <c r="CU136" i="8"/>
  <c r="CT153" i="8"/>
  <c r="CR151" i="8"/>
  <c r="CP149" i="8"/>
  <c r="CN147" i="8"/>
  <c r="CL145" i="8"/>
  <c r="CT142" i="8"/>
  <c r="CR140" i="8"/>
  <c r="CP138" i="8"/>
  <c r="CN136" i="8"/>
  <c r="CN134" i="8"/>
  <c r="CN132" i="8"/>
  <c r="CN130" i="8"/>
  <c r="CN128" i="8"/>
  <c r="CN126" i="8"/>
  <c r="CN124" i="8"/>
  <c r="CN122" i="8"/>
  <c r="CN120" i="8"/>
  <c r="CU155" i="8"/>
  <c r="CS153" i="8"/>
  <c r="CQ151" i="8"/>
  <c r="CO149" i="8"/>
  <c r="CM147" i="8"/>
  <c r="CK145" i="8"/>
  <c r="CS142" i="8"/>
  <c r="CQ140" i="8"/>
  <c r="CO138" i="8"/>
  <c r="CM136" i="8"/>
  <c r="CM134" i="8"/>
  <c r="CM132" i="8"/>
  <c r="CM130" i="8"/>
  <c r="CM128" i="8"/>
  <c r="CM126" i="8"/>
  <c r="CM124" i="8"/>
  <c r="CM122" i="8"/>
  <c r="CM120" i="8"/>
  <c r="CT155" i="8"/>
  <c r="CR153" i="8"/>
  <c r="CP151" i="8"/>
  <c r="CN149" i="8"/>
  <c r="CL147" i="8"/>
  <c r="CT144" i="8"/>
  <c r="CR142" i="8"/>
  <c r="CP140" i="8"/>
  <c r="CN138" i="8"/>
  <c r="CL136" i="8"/>
  <c r="CL134" i="8"/>
  <c r="CL132" i="8"/>
  <c r="CL130" i="8"/>
  <c r="CL128" i="8"/>
  <c r="CL126" i="8"/>
  <c r="CL124" i="8"/>
  <c r="CL122" i="8"/>
  <c r="CL120" i="8"/>
  <c r="CS155" i="8"/>
  <c r="CQ153" i="8"/>
  <c r="CO151" i="8"/>
  <c r="CM149" i="8"/>
  <c r="CK147" i="8"/>
  <c r="CS144" i="8"/>
  <c r="CQ142" i="8"/>
  <c r="CO140" i="8"/>
  <c r="CM138" i="8"/>
  <c r="CK136" i="8"/>
  <c r="CK134" i="8"/>
  <c r="CK132" i="8"/>
  <c r="CK130" i="8"/>
  <c r="CK128" i="8"/>
  <c r="CK126" i="8"/>
  <c r="CK124" i="8"/>
  <c r="CK122" i="8"/>
  <c r="CK120" i="8"/>
  <c r="CR155" i="8"/>
  <c r="CP153" i="8"/>
  <c r="CN151" i="8"/>
  <c r="CL149" i="8"/>
  <c r="CT146" i="8"/>
  <c r="CR144" i="8"/>
  <c r="CP142" i="8"/>
  <c r="CN140" i="8"/>
  <c r="CL138" i="8"/>
  <c r="CJ136" i="8"/>
  <c r="CJ134" i="8"/>
  <c r="CJ132" i="8"/>
  <c r="CJ130" i="8"/>
  <c r="CJ128" i="8"/>
  <c r="CJ126" i="8"/>
  <c r="CJ124" i="8"/>
  <c r="CJ122" i="8"/>
  <c r="CJ120" i="8"/>
  <c r="CQ155" i="8"/>
  <c r="CO153" i="8"/>
  <c r="CM151" i="8"/>
  <c r="CK149" i="8"/>
  <c r="CS146" i="8"/>
  <c r="CQ144" i="8"/>
  <c r="CO142" i="8"/>
  <c r="CM140" i="8"/>
  <c r="CK138" i="8"/>
  <c r="CU135" i="8"/>
  <c r="CU133" i="8"/>
  <c r="CU131" i="8"/>
  <c r="CU129" i="8"/>
  <c r="CU127" i="8"/>
  <c r="CU125" i="8"/>
  <c r="CU123" i="8"/>
  <c r="CU121" i="8"/>
  <c r="CP155" i="8"/>
  <c r="CN153" i="8"/>
  <c r="CL151" i="8"/>
  <c r="CT148" i="8"/>
  <c r="CR146" i="8"/>
  <c r="CP144" i="8"/>
  <c r="CN142" i="8"/>
  <c r="CL140" i="8"/>
  <c r="CJ138" i="8"/>
  <c r="CT135" i="8"/>
  <c r="CT133" i="8"/>
  <c r="CT131" i="8"/>
  <c r="CT129" i="8"/>
  <c r="CT127" i="8"/>
  <c r="CT125" i="8"/>
  <c r="CT123" i="8"/>
  <c r="CT121" i="8"/>
  <c r="CO155" i="8"/>
  <c r="CM153" i="8"/>
  <c r="CK151" i="8"/>
  <c r="CS148" i="8"/>
  <c r="CQ146" i="8"/>
  <c r="CO144" i="8"/>
  <c r="CM142" i="8"/>
  <c r="CK140" i="8"/>
  <c r="CU137" i="8"/>
  <c r="CS135" i="8"/>
  <c r="CS133" i="8"/>
  <c r="CS131" i="8"/>
  <c r="CS129" i="8"/>
  <c r="CS127" i="8"/>
  <c r="CS125" i="8"/>
  <c r="CS123" i="8"/>
  <c r="CS121" i="8"/>
  <c r="CN155" i="8"/>
  <c r="CL153" i="8"/>
  <c r="CT150" i="8"/>
  <c r="CR148" i="8"/>
  <c r="CP146" i="8"/>
  <c r="CN144" i="8"/>
  <c r="CL142" i="8"/>
  <c r="CJ140" i="8"/>
  <c r="CT137" i="8"/>
  <c r="CR135" i="8"/>
  <c r="CR133" i="8"/>
  <c r="CR131" i="8"/>
  <c r="CR129" i="8"/>
  <c r="CR127" i="8"/>
  <c r="CR125" i="8"/>
  <c r="CR123" i="8"/>
  <c r="CR121" i="8"/>
  <c r="CM155" i="8"/>
  <c r="CK153" i="8"/>
  <c r="CS150" i="8"/>
  <c r="CQ148" i="8"/>
  <c r="CO146" i="8"/>
  <c r="CM144" i="8"/>
  <c r="CK142" i="8"/>
  <c r="CU139" i="8"/>
  <c r="CS137" i="8"/>
  <c r="CQ135" i="8"/>
  <c r="CQ133" i="8"/>
  <c r="CQ131" i="8"/>
  <c r="CQ129" i="8"/>
  <c r="CQ127" i="8"/>
  <c r="CQ125" i="8"/>
  <c r="CQ123" i="8"/>
  <c r="CQ121" i="8"/>
  <c r="CL155" i="8"/>
  <c r="CT152" i="8"/>
  <c r="CR150" i="8"/>
  <c r="CP148" i="8"/>
  <c r="CN146" i="8"/>
  <c r="CL144" i="8"/>
  <c r="CJ142" i="8"/>
  <c r="CT139" i="8"/>
  <c r="CR137" i="8"/>
  <c r="CP135" i="8"/>
  <c r="CP133" i="8"/>
  <c r="CP131" i="8"/>
  <c r="CP129" i="8"/>
  <c r="CP127" i="8"/>
  <c r="CP125" i="8"/>
  <c r="CP123" i="8"/>
  <c r="CP121" i="8"/>
  <c r="CK155" i="8"/>
  <c r="CS152" i="8"/>
  <c r="CQ150" i="8"/>
  <c r="CO148" i="8"/>
  <c r="CM146" i="8"/>
  <c r="CK144" i="8"/>
  <c r="CU141" i="8"/>
  <c r="CS139" i="8"/>
  <c r="CQ137" i="8"/>
  <c r="CO135" i="8"/>
  <c r="CO133" i="8"/>
  <c r="CO131" i="8"/>
  <c r="CO129" i="8"/>
  <c r="CO127" i="8"/>
  <c r="CO125" i="8"/>
  <c r="CO123" i="8"/>
  <c r="CO121" i="8"/>
  <c r="CT154" i="8"/>
  <c r="CR152" i="8"/>
  <c r="CP150" i="8"/>
  <c r="CN148" i="8"/>
  <c r="CL146" i="8"/>
  <c r="CJ144" i="8"/>
  <c r="CT141" i="8"/>
  <c r="CR139" i="8"/>
  <c r="CP137" i="8"/>
  <c r="CN135" i="8"/>
  <c r="CN133" i="8"/>
  <c r="CN131" i="8"/>
  <c r="CN129" i="8"/>
  <c r="CN127" i="8"/>
  <c r="CN125" i="8"/>
  <c r="CN123" i="8"/>
  <c r="CN121" i="8"/>
  <c r="CS154" i="8"/>
  <c r="CQ152" i="8"/>
  <c r="CO150" i="8"/>
  <c r="CM148" i="8"/>
  <c r="CK146" i="8"/>
  <c r="CU143" i="8"/>
  <c r="CS141" i="8"/>
  <c r="CQ139" i="8"/>
  <c r="CO137" i="8"/>
  <c r="CM135" i="8"/>
  <c r="CM133" i="8"/>
  <c r="CM131" i="8"/>
  <c r="CM129" i="8"/>
  <c r="CM127" i="8"/>
  <c r="CM125" i="8"/>
  <c r="CM123" i="8"/>
  <c r="CM121" i="8"/>
  <c r="CR154" i="8"/>
  <c r="CP152" i="8"/>
  <c r="CN150" i="8"/>
  <c r="CL148" i="8"/>
  <c r="CJ146" i="8"/>
  <c r="CT143" i="8"/>
  <c r="CR141" i="8"/>
  <c r="CP139" i="8"/>
  <c r="CN137" i="8"/>
  <c r="CL135" i="8"/>
  <c r="CL133" i="8"/>
  <c r="CL131" i="8"/>
  <c r="CL129" i="8"/>
  <c r="CL127" i="8"/>
  <c r="CL125" i="8"/>
  <c r="CL123" i="8"/>
  <c r="CL121" i="8"/>
  <c r="CQ154" i="8"/>
  <c r="CO152" i="8"/>
  <c r="CM150" i="8"/>
  <c r="CK148" i="8"/>
  <c r="CU145" i="8"/>
  <c r="CS143" i="8"/>
  <c r="CQ141" i="8"/>
  <c r="CO139" i="8"/>
  <c r="CM137" i="8"/>
  <c r="CK135" i="8"/>
  <c r="CK133" i="8"/>
  <c r="CK131" i="8"/>
  <c r="CK129" i="8"/>
  <c r="CK127" i="8"/>
  <c r="CK125" i="8"/>
  <c r="CK123" i="8"/>
  <c r="CK121" i="8"/>
  <c r="CP154" i="8"/>
  <c r="CN152" i="8"/>
  <c r="CL150" i="8"/>
  <c r="CJ148" i="8"/>
  <c r="CT145" i="8"/>
  <c r="CR143" i="8"/>
  <c r="CP141" i="8"/>
  <c r="CN139" i="8"/>
  <c r="CL137" i="8"/>
  <c r="CJ135" i="8"/>
  <c r="CJ133" i="8"/>
  <c r="CJ131" i="8"/>
  <c r="CJ129" i="8"/>
  <c r="CJ127" i="8"/>
  <c r="CJ125" i="8"/>
  <c r="CJ123" i="8"/>
  <c r="CJ121" i="8"/>
  <c r="CO154" i="8"/>
  <c r="CM152" i="8"/>
  <c r="CK150" i="8"/>
  <c r="CU147" i="8"/>
  <c r="CS145" i="8"/>
  <c r="CQ143" i="8"/>
  <c r="CO141" i="8"/>
  <c r="CM139" i="8"/>
  <c r="CK137" i="8"/>
  <c r="CU134" i="8"/>
  <c r="CU132" i="8"/>
  <c r="CU130" i="8"/>
  <c r="CU128" i="8"/>
  <c r="CU126" i="8"/>
  <c r="CU124" i="8"/>
  <c r="CU122" i="8"/>
  <c r="CU120" i="8"/>
  <c r="CN154" i="8"/>
  <c r="CL152" i="8"/>
  <c r="CJ150" i="8"/>
  <c r="CT147" i="8"/>
  <c r="CR145" i="8"/>
  <c r="CP143" i="8"/>
  <c r="CN141" i="8"/>
  <c r="CL139" i="8"/>
  <c r="CT136" i="8"/>
  <c r="CT134" i="8"/>
  <c r="CT132" i="8"/>
  <c r="CT130" i="8"/>
  <c r="CT128" i="8"/>
  <c r="CT126" i="8"/>
  <c r="CT124" i="8"/>
  <c r="CT122" i="8"/>
  <c r="CT120" i="8"/>
  <c r="CM154" i="8"/>
  <c r="CK152" i="8"/>
  <c r="CU149" i="8"/>
  <c r="CS147" i="8"/>
  <c r="CQ145" i="8"/>
  <c r="CO143" i="8"/>
  <c r="CM141" i="8"/>
  <c r="CK139" i="8"/>
  <c r="CS136" i="8"/>
  <c r="CS134" i="8"/>
  <c r="CS132" i="8"/>
  <c r="CS130" i="8"/>
  <c r="CS128" i="8"/>
  <c r="CS126" i="8"/>
  <c r="CS124" i="8"/>
  <c r="CS122" i="8"/>
  <c r="CS120" i="8"/>
  <c r="CL154" i="8"/>
  <c r="CJ152" i="8"/>
  <c r="CT149" i="8"/>
  <c r="CR147" i="8"/>
  <c r="CP145" i="8"/>
  <c r="CN143" i="8"/>
  <c r="CL141" i="8"/>
  <c r="CT138" i="8"/>
  <c r="CR136" i="8"/>
  <c r="CR134" i="8"/>
  <c r="CR132" i="8"/>
  <c r="CR130" i="8"/>
  <c r="CR128" i="8"/>
  <c r="CR126" i="8"/>
  <c r="CR124" i="8"/>
  <c r="CR122" i="8"/>
  <c r="CR120" i="8"/>
  <c r="CK154" i="8"/>
  <c r="CU151" i="8"/>
  <c r="CS149" i="8"/>
  <c r="CQ147" i="8"/>
  <c r="CO145" i="8"/>
  <c r="CM143" i="8"/>
  <c r="CK141" i="8"/>
  <c r="CS138" i="8"/>
  <c r="CQ136" i="8"/>
  <c r="CQ134" i="8"/>
  <c r="CQ132" i="8"/>
  <c r="CQ130" i="8"/>
  <c r="CQ128" i="8"/>
  <c r="CQ126" i="8"/>
  <c r="CQ124" i="8"/>
  <c r="CQ122" i="8"/>
  <c r="CQ120" i="8"/>
  <c r="CU153" i="8"/>
  <c r="CS151" i="8"/>
  <c r="CQ149" i="8"/>
  <c r="CO147" i="8"/>
  <c r="CM145" i="8"/>
  <c r="CK143" i="8"/>
  <c r="CS140" i="8"/>
  <c r="CQ138" i="8"/>
  <c r="CO136" i="8"/>
  <c r="CO134" i="8"/>
  <c r="CO132" i="8"/>
  <c r="CO130" i="8"/>
  <c r="CO128" i="8"/>
  <c r="CO126" i="8"/>
  <c r="CO124" i="8"/>
  <c r="CO122" i="8"/>
  <c r="CO120" i="8"/>
  <c r="CP122" i="8"/>
  <c r="CP120" i="8"/>
  <c r="CJ154" i="8"/>
  <c r="CT151" i="8"/>
  <c r="CR149" i="8"/>
  <c r="CP147" i="8"/>
  <c r="CN145" i="8"/>
  <c r="CL143" i="8"/>
  <c r="CT140" i="8"/>
  <c r="CR138" i="8"/>
  <c r="CP136" i="8"/>
  <c r="CP134" i="8"/>
  <c r="CP132" i="8"/>
  <c r="CP130" i="8"/>
  <c r="CP128" i="8"/>
  <c r="CP124" i="8"/>
  <c r="BV155" i="8"/>
  <c r="BV153" i="8"/>
  <c r="BV151" i="8"/>
  <c r="BV149" i="8"/>
  <c r="BV147" i="8"/>
  <c r="BV145" i="8"/>
  <c r="BV143" i="8"/>
  <c r="BV141" i="8"/>
  <c r="BV139" i="8"/>
  <c r="BV137" i="8"/>
  <c r="BV135" i="8"/>
  <c r="BV133" i="8"/>
  <c r="BV131" i="8"/>
  <c r="BV129" i="8"/>
  <c r="BV127" i="8"/>
  <c r="BV125" i="8"/>
  <c r="BV123" i="8"/>
  <c r="BV121" i="8"/>
  <c r="CP126" i="8"/>
  <c r="CG154" i="8"/>
  <c r="CG152" i="8"/>
  <c r="CG150" i="8"/>
  <c r="CG148" i="8"/>
  <c r="CG146" i="8"/>
  <c r="CG144" i="8"/>
  <c r="CG142" i="8"/>
  <c r="CG140" i="8"/>
  <c r="CG138" i="8"/>
  <c r="CG136" i="8"/>
  <c r="CG134" i="8"/>
  <c r="CG132" i="8"/>
  <c r="CG130" i="8"/>
  <c r="CG128" i="8"/>
  <c r="CG126" i="8"/>
  <c r="CG124" i="8"/>
  <c r="CG122" i="8"/>
  <c r="CG120" i="8"/>
  <c r="CF154" i="8"/>
  <c r="CF152" i="8"/>
  <c r="CF150" i="8"/>
  <c r="CF148" i="8"/>
  <c r="CF146" i="8"/>
  <c r="CF144" i="8"/>
  <c r="CF142" i="8"/>
  <c r="CF140" i="8"/>
  <c r="CF138" i="8"/>
  <c r="CF136" i="8"/>
  <c r="CF134" i="8"/>
  <c r="CF132" i="8"/>
  <c r="CF130" i="8"/>
  <c r="CF128" i="8"/>
  <c r="CF126" i="8"/>
  <c r="CF124" i="8"/>
  <c r="CF122" i="8"/>
  <c r="CF120" i="8"/>
  <c r="CE154" i="8"/>
  <c r="CE152" i="8"/>
  <c r="CE150" i="8"/>
  <c r="CE148" i="8"/>
  <c r="CE146" i="8"/>
  <c r="CE144" i="8"/>
  <c r="CE142" i="8"/>
  <c r="CE140" i="8"/>
  <c r="CE138" i="8"/>
  <c r="CE136" i="8"/>
  <c r="CE134" i="8"/>
  <c r="CE132" i="8"/>
  <c r="CE130" i="8"/>
  <c r="CE128" i="8"/>
  <c r="CE126" i="8"/>
  <c r="CE124" i="8"/>
  <c r="CE122" i="8"/>
  <c r="CE120" i="8"/>
  <c r="CD154" i="8"/>
  <c r="CD152" i="8"/>
  <c r="CD150" i="8"/>
  <c r="CD148" i="8"/>
  <c r="CD146" i="8"/>
  <c r="CD144" i="8"/>
  <c r="CD142" i="8"/>
  <c r="CD140" i="8"/>
  <c r="CD138" i="8"/>
  <c r="CD136" i="8"/>
  <c r="CD134" i="8"/>
  <c r="CD132" i="8"/>
  <c r="CD130" i="8"/>
  <c r="CD128" i="8"/>
  <c r="CD126" i="8"/>
  <c r="CD124" i="8"/>
  <c r="CD122" i="8"/>
  <c r="CD120" i="8"/>
  <c r="CC154" i="8"/>
  <c r="CC152" i="8"/>
  <c r="CC150" i="8"/>
  <c r="CC148" i="8"/>
  <c r="CC146" i="8"/>
  <c r="CC144" i="8"/>
  <c r="CC142" i="8"/>
  <c r="CC140" i="8"/>
  <c r="CC138" i="8"/>
  <c r="CC136" i="8"/>
  <c r="CC134" i="8"/>
  <c r="CC132" i="8"/>
  <c r="CC130" i="8"/>
  <c r="CC128" i="8"/>
  <c r="CC126" i="8"/>
  <c r="CC124" i="8"/>
  <c r="CC122" i="8"/>
  <c r="CC120" i="8"/>
  <c r="CB154" i="8"/>
  <c r="CB152" i="8"/>
  <c r="CB150" i="8"/>
  <c r="CB148" i="8"/>
  <c r="CB146" i="8"/>
  <c r="CB144" i="8"/>
  <c r="CB142" i="8"/>
  <c r="CB140" i="8"/>
  <c r="CB138" i="8"/>
  <c r="CB136" i="8"/>
  <c r="CB134" i="8"/>
  <c r="CB132" i="8"/>
  <c r="CB130" i="8"/>
  <c r="CB128" i="8"/>
  <c r="CB126" i="8"/>
  <c r="CB124" i="8"/>
  <c r="CB122" i="8"/>
  <c r="CB120" i="8"/>
  <c r="CA154" i="8"/>
  <c r="CA152" i="8"/>
  <c r="CA150" i="8"/>
  <c r="CA148" i="8"/>
  <c r="CA146" i="8"/>
  <c r="CA144" i="8"/>
  <c r="CA142" i="8"/>
  <c r="CA140" i="8"/>
  <c r="CA138" i="8"/>
  <c r="CA136" i="8"/>
  <c r="CA134" i="8"/>
  <c r="CA132" i="8"/>
  <c r="CA130" i="8"/>
  <c r="CA128" i="8"/>
  <c r="CA126" i="8"/>
  <c r="CA124" i="8"/>
  <c r="CA122" i="8"/>
  <c r="CA120" i="8"/>
  <c r="BZ154" i="8"/>
  <c r="BZ152" i="8"/>
  <c r="BZ150" i="8"/>
  <c r="BZ148" i="8"/>
  <c r="BZ146" i="8"/>
  <c r="BZ144" i="8"/>
  <c r="BZ142" i="8"/>
  <c r="BZ140" i="8"/>
  <c r="BZ138" i="8"/>
  <c r="BZ136" i="8"/>
  <c r="BZ134" i="8"/>
  <c r="BZ132" i="8"/>
  <c r="BZ130" i="8"/>
  <c r="BZ128" i="8"/>
  <c r="BZ126" i="8"/>
  <c r="BZ124" i="8"/>
  <c r="BZ122" i="8"/>
  <c r="BZ120" i="8"/>
  <c r="BY154" i="8"/>
  <c r="BY152" i="8"/>
  <c r="BY150" i="8"/>
  <c r="BY148" i="8"/>
  <c r="BY146" i="8"/>
  <c r="BY144" i="8"/>
  <c r="BY142" i="8"/>
  <c r="BY140" i="8"/>
  <c r="BY138" i="8"/>
  <c r="BY136" i="8"/>
  <c r="BY134" i="8"/>
  <c r="BY132" i="8"/>
  <c r="BY130" i="8"/>
  <c r="BY128" i="8"/>
  <c r="BY126" i="8"/>
  <c r="BY124" i="8"/>
  <c r="BY122" i="8"/>
  <c r="BY120" i="8"/>
  <c r="BX154" i="8"/>
  <c r="BX152" i="8"/>
  <c r="BX150" i="8"/>
  <c r="BX148" i="8"/>
  <c r="BX146" i="8"/>
  <c r="BX144" i="8"/>
  <c r="BX142" i="8"/>
  <c r="BX140" i="8"/>
  <c r="BX138" i="8"/>
  <c r="BX136" i="8"/>
  <c r="BX134" i="8"/>
  <c r="BX132" i="8"/>
  <c r="BX130" i="8"/>
  <c r="BX128" i="8"/>
  <c r="BX126" i="8"/>
  <c r="BX124" i="8"/>
  <c r="BX122" i="8"/>
  <c r="BX120" i="8"/>
  <c r="BW154" i="8"/>
  <c r="BW152" i="8"/>
  <c r="BW150" i="8"/>
  <c r="BW148" i="8"/>
  <c r="BW146" i="8"/>
  <c r="BW144" i="8"/>
  <c r="BW142" i="8"/>
  <c r="BW140" i="8"/>
  <c r="BW138" i="8"/>
  <c r="BW136" i="8"/>
  <c r="BW134" i="8"/>
  <c r="BW132" i="8"/>
  <c r="BW130" i="8"/>
  <c r="BW128" i="8"/>
  <c r="BW126" i="8"/>
  <c r="BW124" i="8"/>
  <c r="BW122" i="8"/>
  <c r="BW120" i="8"/>
  <c r="BV154" i="8"/>
  <c r="BV152" i="8"/>
  <c r="BV150" i="8"/>
  <c r="BV148" i="8"/>
  <c r="BV146" i="8"/>
  <c r="BV144" i="8"/>
  <c r="BV142" i="8"/>
  <c r="BV140" i="8"/>
  <c r="BV138" i="8"/>
  <c r="BV136" i="8"/>
  <c r="BV134" i="8"/>
  <c r="BV132" i="8"/>
  <c r="BV130" i="8"/>
  <c r="BV128" i="8"/>
  <c r="BV126" i="8"/>
  <c r="BV124" i="8"/>
  <c r="BV122" i="8"/>
  <c r="BV120" i="8"/>
  <c r="CF155" i="8"/>
  <c r="CF153" i="8"/>
  <c r="CF151" i="8"/>
  <c r="CF149" i="8"/>
  <c r="CF147" i="8"/>
  <c r="CF145" i="8"/>
  <c r="CF143" i="8"/>
  <c r="CF141" i="8"/>
  <c r="CF139" i="8"/>
  <c r="CF137" i="8"/>
  <c r="CF135" i="8"/>
  <c r="CF133" i="8"/>
  <c r="CF131" i="8"/>
  <c r="CF129" i="8"/>
  <c r="CF127" i="8"/>
  <c r="CF125" i="8"/>
  <c r="CF123" i="8"/>
  <c r="CF121" i="8"/>
  <c r="CE155" i="8"/>
  <c r="CE153" i="8"/>
  <c r="CE151" i="8"/>
  <c r="CE149" i="8"/>
  <c r="CE147" i="8"/>
  <c r="CE145" i="8"/>
  <c r="CE143" i="8"/>
  <c r="CE141" i="8"/>
  <c r="CE139" i="8"/>
  <c r="CE137" i="8"/>
  <c r="CE135" i="8"/>
  <c r="CE133" i="8"/>
  <c r="CE131" i="8"/>
  <c r="CE129" i="8"/>
  <c r="CE127" i="8"/>
  <c r="CE125" i="8"/>
  <c r="CE123" i="8"/>
  <c r="CE121" i="8"/>
  <c r="CD155" i="8"/>
  <c r="CD153" i="8"/>
  <c r="CD151" i="8"/>
  <c r="CD149" i="8"/>
  <c r="CD147" i="8"/>
  <c r="CD145" i="8"/>
  <c r="CD143" i="8"/>
  <c r="CD141" i="8"/>
  <c r="CD139" i="8"/>
  <c r="CD137" i="8"/>
  <c r="CD135" i="8"/>
  <c r="CD133" i="8"/>
  <c r="CD131" i="8"/>
  <c r="CD129" i="8"/>
  <c r="CD127" i="8"/>
  <c r="CD125" i="8"/>
  <c r="CD123" i="8"/>
  <c r="CD121" i="8"/>
  <c r="CC155" i="8"/>
  <c r="CC153" i="8"/>
  <c r="CC151" i="8"/>
  <c r="CC149" i="8"/>
  <c r="CC147" i="8"/>
  <c r="CC145" i="8"/>
  <c r="CC143" i="8"/>
  <c r="CC141" i="8"/>
  <c r="CC139" i="8"/>
  <c r="CC137" i="8"/>
  <c r="CC135" i="8"/>
  <c r="CC133" i="8"/>
  <c r="CC131" i="8"/>
  <c r="CC129" i="8"/>
  <c r="CC127" i="8"/>
  <c r="CC125" i="8"/>
  <c r="CC123" i="8"/>
  <c r="CC121" i="8"/>
  <c r="CB155" i="8"/>
  <c r="CB153" i="8"/>
  <c r="CB151" i="8"/>
  <c r="CB149" i="8"/>
  <c r="CB147" i="8"/>
  <c r="CB145" i="8"/>
  <c r="CB143" i="8"/>
  <c r="CB141" i="8"/>
  <c r="CB139" i="8"/>
  <c r="CB137" i="8"/>
  <c r="CB135" i="8"/>
  <c r="CA155" i="8"/>
  <c r="CA153" i="8"/>
  <c r="CA151" i="8"/>
  <c r="CA149" i="8"/>
  <c r="CA147" i="8"/>
  <c r="CA145" i="8"/>
  <c r="CA143" i="8"/>
  <c r="CA141" i="8"/>
  <c r="CA139" i="8"/>
  <c r="CA137" i="8"/>
  <c r="CA135" i="8"/>
  <c r="CA133" i="8"/>
  <c r="CA131" i="8"/>
  <c r="BZ155" i="8"/>
  <c r="BZ153" i="8"/>
  <c r="BZ151" i="8"/>
  <c r="BZ149" i="8"/>
  <c r="BZ147" i="8"/>
  <c r="BZ145" i="8"/>
  <c r="BZ143" i="8"/>
  <c r="BZ141" i="8"/>
  <c r="BZ139" i="8"/>
  <c r="BZ137" i="8"/>
  <c r="BZ135" i="8"/>
  <c r="BZ133" i="8"/>
  <c r="BW155" i="8"/>
  <c r="BW153" i="8"/>
  <c r="BW151" i="8"/>
  <c r="BW149" i="8"/>
  <c r="BW147" i="8"/>
  <c r="BW145" i="8"/>
  <c r="BW143" i="8"/>
  <c r="BW141" i="8"/>
  <c r="BW139" i="8"/>
  <c r="BW137" i="8"/>
  <c r="BW135" i="8"/>
  <c r="CG153" i="8"/>
  <c r="CG137" i="8"/>
  <c r="CG127" i="8"/>
  <c r="BZ121" i="8"/>
  <c r="BY153" i="8"/>
  <c r="BY137" i="8"/>
  <c r="CB127" i="8"/>
  <c r="BY121" i="8"/>
  <c r="BX153" i="8"/>
  <c r="BX137" i="8"/>
  <c r="CA127" i="8"/>
  <c r="BX121" i="8"/>
  <c r="CG151" i="8"/>
  <c r="CG135" i="8"/>
  <c r="BZ127" i="8"/>
  <c r="BW121" i="8"/>
  <c r="BY151" i="8"/>
  <c r="BY135" i="8"/>
  <c r="BY127" i="8"/>
  <c r="BX151" i="8"/>
  <c r="BX135" i="8"/>
  <c r="BX127" i="8"/>
  <c r="CG149" i="8"/>
  <c r="CG133" i="8"/>
  <c r="BW127" i="8"/>
  <c r="BY149" i="8"/>
  <c r="CB133" i="8"/>
  <c r="CG125" i="8"/>
  <c r="BX149" i="8"/>
  <c r="BY133" i="8"/>
  <c r="CB125" i="8"/>
  <c r="CG147" i="8"/>
  <c r="BX133" i="8"/>
  <c r="CA125" i="8"/>
  <c r="BY147" i="8"/>
  <c r="BW133" i="8"/>
  <c r="BZ125" i="8"/>
  <c r="BX147" i="8"/>
  <c r="CG131" i="8"/>
  <c r="BY125" i="8"/>
  <c r="CG145" i="8"/>
  <c r="CB131" i="8"/>
  <c r="BX125" i="8"/>
  <c r="BY145" i="8"/>
  <c r="BZ131" i="8"/>
  <c r="BW125" i="8"/>
  <c r="BX145" i="8"/>
  <c r="BY131" i="8"/>
  <c r="CG123" i="8"/>
  <c r="CG143" i="8"/>
  <c r="BX131" i="8"/>
  <c r="CB123" i="8"/>
  <c r="BY143" i="8"/>
  <c r="BW131" i="8"/>
  <c r="CA123" i="8"/>
  <c r="BX143" i="8"/>
  <c r="CG129" i="8"/>
  <c r="BZ123" i="8"/>
  <c r="CG141" i="8"/>
  <c r="CB129" i="8"/>
  <c r="BY123" i="8"/>
  <c r="BY141" i="8"/>
  <c r="CA129" i="8"/>
  <c r="BX123" i="8"/>
  <c r="BX141" i="8"/>
  <c r="BZ129" i="8"/>
  <c r="BW123" i="8"/>
  <c r="CG155" i="8"/>
  <c r="CG139" i="8"/>
  <c r="BY129" i="8"/>
  <c r="CG121" i="8"/>
  <c r="BX155" i="8"/>
  <c r="BX139" i="8"/>
  <c r="BW129" i="8"/>
  <c r="CA121" i="8"/>
  <c r="BL154" i="8"/>
  <c r="BL152" i="8"/>
  <c r="BL150" i="8"/>
  <c r="BL148" i="8"/>
  <c r="BL146" i="8"/>
  <c r="BL144" i="8"/>
  <c r="BL142" i="8"/>
  <c r="BL140" i="8"/>
  <c r="BL138" i="8"/>
  <c r="BL136" i="8"/>
  <c r="BL134" i="8"/>
  <c r="BL132" i="8"/>
  <c r="BL130" i="8"/>
  <c r="BL128" i="8"/>
  <c r="BL126" i="8"/>
  <c r="BL124" i="8"/>
  <c r="BL122" i="8"/>
  <c r="BL120" i="8"/>
  <c r="BK154" i="8"/>
  <c r="BK152" i="8"/>
  <c r="BK150" i="8"/>
  <c r="BK148" i="8"/>
  <c r="BK146" i="8"/>
  <c r="BK144" i="8"/>
  <c r="BK142" i="8"/>
  <c r="BK140" i="8"/>
  <c r="BK138" i="8"/>
  <c r="BK136" i="8"/>
  <c r="BK134" i="8"/>
  <c r="BK132" i="8"/>
  <c r="BK130" i="8"/>
  <c r="BK128" i="8"/>
  <c r="BK126" i="8"/>
  <c r="BK124" i="8"/>
  <c r="BK122" i="8"/>
  <c r="BK120" i="8"/>
  <c r="BJ154" i="8"/>
  <c r="BJ152" i="8"/>
  <c r="BJ150" i="8"/>
  <c r="BJ148" i="8"/>
  <c r="BJ146" i="8"/>
  <c r="BJ144" i="8"/>
  <c r="BJ142" i="8"/>
  <c r="BJ140" i="8"/>
  <c r="BJ138" i="8"/>
  <c r="BJ136" i="8"/>
  <c r="BJ134" i="8"/>
  <c r="BJ132" i="8"/>
  <c r="BJ130" i="8"/>
  <c r="BJ128" i="8"/>
  <c r="BJ126" i="8"/>
  <c r="BJ124" i="8"/>
  <c r="BJ122" i="8"/>
  <c r="BJ120" i="8"/>
  <c r="BY155" i="8"/>
  <c r="BI154" i="8"/>
  <c r="BI152" i="8"/>
  <c r="BI150" i="8"/>
  <c r="BI148" i="8"/>
  <c r="BI146" i="8"/>
  <c r="BI144" i="8"/>
  <c r="BI142" i="8"/>
  <c r="BI140" i="8"/>
  <c r="BI138" i="8"/>
  <c r="BI136" i="8"/>
  <c r="BI134" i="8"/>
  <c r="BI132" i="8"/>
  <c r="BI130" i="8"/>
  <c r="BI128" i="8"/>
  <c r="BI126" i="8"/>
  <c r="BI124" i="8"/>
  <c r="BI122" i="8"/>
  <c r="BI120" i="8"/>
  <c r="BY139" i="8"/>
  <c r="BH154" i="8"/>
  <c r="BX129" i="8"/>
  <c r="BS155" i="8"/>
  <c r="BS153" i="8"/>
  <c r="BS151" i="8"/>
  <c r="BS149" i="8"/>
  <c r="BS147" i="8"/>
  <c r="BS145" i="8"/>
  <c r="BS143" i="8"/>
  <c r="BS141" i="8"/>
  <c r="BS139" i="8"/>
  <c r="BS137" i="8"/>
  <c r="BS135" i="8"/>
  <c r="BS133" i="8"/>
  <c r="BS131" i="8"/>
  <c r="BS129" i="8"/>
  <c r="BS127" i="8"/>
  <c r="BS125" i="8"/>
  <c r="BS123" i="8"/>
  <c r="BS121" i="8"/>
  <c r="CB121" i="8"/>
  <c r="BR155" i="8"/>
  <c r="BR153" i="8"/>
  <c r="BR151" i="8"/>
  <c r="BR149" i="8"/>
  <c r="BR147" i="8"/>
  <c r="BR145" i="8"/>
  <c r="BR143" i="8"/>
  <c r="BR141" i="8"/>
  <c r="BR139" i="8"/>
  <c r="BR137" i="8"/>
  <c r="BR135" i="8"/>
  <c r="BR133" i="8"/>
  <c r="BR131" i="8"/>
  <c r="BR129" i="8"/>
  <c r="BR127" i="8"/>
  <c r="BR125" i="8"/>
  <c r="BR123" i="8"/>
  <c r="BR121" i="8"/>
  <c r="BQ155" i="8"/>
  <c r="BQ153" i="8"/>
  <c r="BQ151" i="8"/>
  <c r="BQ149" i="8"/>
  <c r="BQ147" i="8"/>
  <c r="BQ145" i="8"/>
  <c r="BQ143" i="8"/>
  <c r="BQ141" i="8"/>
  <c r="BQ139" i="8"/>
  <c r="BQ137" i="8"/>
  <c r="BQ135" i="8"/>
  <c r="BQ133" i="8"/>
  <c r="BQ131" i="8"/>
  <c r="BQ129" i="8"/>
  <c r="BQ127" i="8"/>
  <c r="BP155" i="8"/>
  <c r="BP153" i="8"/>
  <c r="BP151" i="8"/>
  <c r="BP149" i="8"/>
  <c r="BP147" i="8"/>
  <c r="BP145" i="8"/>
  <c r="BP143" i="8"/>
  <c r="BP141" i="8"/>
  <c r="BP139" i="8"/>
  <c r="BP137" i="8"/>
  <c r="BP135" i="8"/>
  <c r="BP133" i="8"/>
  <c r="BP131" i="8"/>
  <c r="BP129" i="8"/>
  <c r="BP127" i="8"/>
  <c r="BP125" i="8"/>
  <c r="BP123" i="8"/>
  <c r="BP121" i="8"/>
  <c r="BO155" i="8"/>
  <c r="BO153" i="8"/>
  <c r="BO151" i="8"/>
  <c r="BO149" i="8"/>
  <c r="BO147" i="8"/>
  <c r="BO145" i="8"/>
  <c r="BO143" i="8"/>
  <c r="BO141" i="8"/>
  <c r="BO139" i="8"/>
  <c r="BO137" i="8"/>
  <c r="BO135" i="8"/>
  <c r="BO133" i="8"/>
  <c r="BO131" i="8"/>
  <c r="BO129" i="8"/>
  <c r="BO127" i="8"/>
  <c r="BO125" i="8"/>
  <c r="BO123" i="8"/>
  <c r="BO121" i="8"/>
  <c r="BN155" i="8"/>
  <c r="BN153" i="8"/>
  <c r="BN151" i="8"/>
  <c r="BN149" i="8"/>
  <c r="BN147" i="8"/>
  <c r="BN145" i="8"/>
  <c r="BN143" i="8"/>
  <c r="BN141" i="8"/>
  <c r="BN139" i="8"/>
  <c r="BN137" i="8"/>
  <c r="BN135" i="8"/>
  <c r="BN133" i="8"/>
  <c r="BN131" i="8"/>
  <c r="BN129" i="8"/>
  <c r="BN127" i="8"/>
  <c r="BN125" i="8"/>
  <c r="BN123" i="8"/>
  <c r="BN121" i="8"/>
  <c r="BM155" i="8"/>
  <c r="BM153" i="8"/>
  <c r="BM151" i="8"/>
  <c r="BM149" i="8"/>
  <c r="BM147" i="8"/>
  <c r="BM145" i="8"/>
  <c r="BM143" i="8"/>
  <c r="BM141" i="8"/>
  <c r="BM139" i="8"/>
  <c r="BM137" i="8"/>
  <c r="BM135" i="8"/>
  <c r="BM133" i="8"/>
  <c r="BL155" i="8"/>
  <c r="BL153" i="8"/>
  <c r="BL151" i="8"/>
  <c r="BL149" i="8"/>
  <c r="BL147" i="8"/>
  <c r="BL145" i="8"/>
  <c r="BL143" i="8"/>
  <c r="BL141" i="8"/>
  <c r="BL139" i="8"/>
  <c r="BL137" i="8"/>
  <c r="BL135" i="8"/>
  <c r="BL133" i="8"/>
  <c r="BL131" i="8"/>
  <c r="BL129" i="8"/>
  <c r="BL127" i="8"/>
  <c r="BL125" i="8"/>
  <c r="BL123" i="8"/>
  <c r="BL121" i="8"/>
  <c r="BK155" i="8"/>
  <c r="BK153" i="8"/>
  <c r="BK151" i="8"/>
  <c r="BK149" i="8"/>
  <c r="BK147" i="8"/>
  <c r="BK145" i="8"/>
  <c r="BK143" i="8"/>
  <c r="BK141" i="8"/>
  <c r="BK139" i="8"/>
  <c r="BK137" i="8"/>
  <c r="BK135" i="8"/>
  <c r="BK133" i="8"/>
  <c r="BK131" i="8"/>
  <c r="BK129" i="8"/>
  <c r="BK127" i="8"/>
  <c r="BK125" i="8"/>
  <c r="BK123" i="8"/>
  <c r="BK121" i="8"/>
  <c r="BJ155" i="8"/>
  <c r="BJ153" i="8"/>
  <c r="BJ151" i="8"/>
  <c r="BJ149" i="8"/>
  <c r="BJ147" i="8"/>
  <c r="BJ145" i="8"/>
  <c r="BJ143" i="8"/>
  <c r="BJ141" i="8"/>
  <c r="BJ139" i="8"/>
  <c r="BJ137" i="8"/>
  <c r="BJ135" i="8"/>
  <c r="BJ133" i="8"/>
  <c r="BJ131" i="8"/>
  <c r="BJ129" i="8"/>
  <c r="BJ127" i="8"/>
  <c r="BJ125" i="8"/>
  <c r="BJ123" i="8"/>
  <c r="BJ121" i="8"/>
  <c r="BI155" i="8"/>
  <c r="BI153" i="8"/>
  <c r="BI151" i="8"/>
  <c r="BI149" i="8"/>
  <c r="BI147" i="8"/>
  <c r="BI145" i="8"/>
  <c r="BI143" i="8"/>
  <c r="BI141" i="8"/>
  <c r="BI139" i="8"/>
  <c r="BI137" i="8"/>
  <c r="BI135" i="8"/>
  <c r="BI133" i="8"/>
  <c r="BI131" i="8"/>
  <c r="BI129" i="8"/>
  <c r="BI127" i="8"/>
  <c r="BI125" i="8"/>
  <c r="BI123" i="8"/>
  <c r="BI121" i="8"/>
  <c r="BS154" i="8"/>
  <c r="BS152" i="8"/>
  <c r="BS150" i="8"/>
  <c r="BS148" i="8"/>
  <c r="BS146" i="8"/>
  <c r="BS144" i="8"/>
  <c r="BS142" i="8"/>
  <c r="BS140" i="8"/>
  <c r="BS138" i="8"/>
  <c r="BS136" i="8"/>
  <c r="BS134" i="8"/>
  <c r="BS132" i="8"/>
  <c r="BS130" i="8"/>
  <c r="BS128" i="8"/>
  <c r="BS126" i="8"/>
  <c r="BS124" i="8"/>
  <c r="BR154" i="8"/>
  <c r="BR152" i="8"/>
  <c r="BR150" i="8"/>
  <c r="BR148" i="8"/>
  <c r="BR146" i="8"/>
  <c r="BR144" i="8"/>
  <c r="BR142" i="8"/>
  <c r="BR140" i="8"/>
  <c r="BR138" i="8"/>
  <c r="BR136" i="8"/>
  <c r="BQ154" i="8"/>
  <c r="BQ152" i="8"/>
  <c r="BQ150" i="8"/>
  <c r="BQ148" i="8"/>
  <c r="BQ146" i="8"/>
  <c r="BQ144" i="8"/>
  <c r="BQ142" i="8"/>
  <c r="BQ140" i="8"/>
  <c r="BQ138" i="8"/>
  <c r="BQ136" i="8"/>
  <c r="BQ134" i="8"/>
  <c r="BQ132" i="8"/>
  <c r="BQ130" i="8"/>
  <c r="BQ128" i="8"/>
  <c r="BQ126" i="8"/>
  <c r="BQ124" i="8"/>
  <c r="BQ122" i="8"/>
  <c r="BQ120" i="8"/>
  <c r="BP154" i="8"/>
  <c r="BP152" i="8"/>
  <c r="BP150" i="8"/>
  <c r="BP148" i="8"/>
  <c r="BP146" i="8"/>
  <c r="BP144" i="8"/>
  <c r="BP142" i="8"/>
  <c r="BP140" i="8"/>
  <c r="BP138" i="8"/>
  <c r="BP136" i="8"/>
  <c r="BO154" i="8"/>
  <c r="BO152" i="8"/>
  <c r="BO150" i="8"/>
  <c r="BO148" i="8"/>
  <c r="BO146" i="8"/>
  <c r="BO144" i="8"/>
  <c r="BO142" i="8"/>
  <c r="BO140" i="8"/>
  <c r="BO138" i="8"/>
  <c r="BO136" i="8"/>
  <c r="BO134" i="8"/>
  <c r="BO132" i="8"/>
  <c r="BO130" i="8"/>
  <c r="BO128" i="8"/>
  <c r="BO126" i="8"/>
  <c r="BO124" i="8"/>
  <c r="BN154" i="8"/>
  <c r="BN152" i="8"/>
  <c r="BN150" i="8"/>
  <c r="BN148" i="8"/>
  <c r="BN146" i="8"/>
  <c r="BN144" i="8"/>
  <c r="BN142" i="8"/>
  <c r="BN140" i="8"/>
  <c r="BN138" i="8"/>
  <c r="BN136" i="8"/>
  <c r="BN134" i="8"/>
  <c r="BN132" i="8"/>
  <c r="BN130" i="8"/>
  <c r="BH153" i="8"/>
  <c r="BH137" i="8"/>
  <c r="BM128" i="8"/>
  <c r="BN122" i="8"/>
  <c r="BM152" i="8"/>
  <c r="BM136" i="8"/>
  <c r="BH128" i="8"/>
  <c r="BM122" i="8"/>
  <c r="BH152" i="8"/>
  <c r="BH136" i="8"/>
  <c r="BM127" i="8"/>
  <c r="BH122" i="8"/>
  <c r="BH151" i="8"/>
  <c r="BH135" i="8"/>
  <c r="BH127" i="8"/>
  <c r="BQ121" i="8"/>
  <c r="BM150" i="8"/>
  <c r="BR134" i="8"/>
  <c r="BR126" i="8"/>
  <c r="BM121" i="8"/>
  <c r="BH150" i="8"/>
  <c r="BP134" i="8"/>
  <c r="BP126" i="8"/>
  <c r="BH121" i="8"/>
  <c r="BH149" i="8"/>
  <c r="BM134" i="8"/>
  <c r="BN126" i="8"/>
  <c r="BS120" i="8"/>
  <c r="BM148" i="8"/>
  <c r="BH134" i="8"/>
  <c r="BM126" i="8"/>
  <c r="BR120" i="8"/>
  <c r="BH148" i="8"/>
  <c r="BH133" i="8"/>
  <c r="BH126" i="8"/>
  <c r="BP120" i="8"/>
  <c r="BH147" i="8"/>
  <c r="BR132" i="8"/>
  <c r="BQ125" i="8"/>
  <c r="BO120" i="8"/>
  <c r="BM146" i="8"/>
  <c r="BP132" i="8"/>
  <c r="BM125" i="8"/>
  <c r="BN120" i="8"/>
  <c r="BH146" i="8"/>
  <c r="BM132" i="8"/>
  <c r="BH125" i="8"/>
  <c r="BM120" i="8"/>
  <c r="BH145" i="8"/>
  <c r="BH132" i="8"/>
  <c r="BR124" i="8"/>
  <c r="BH120" i="8"/>
  <c r="BM144" i="8"/>
  <c r="BM131" i="8"/>
  <c r="BP124" i="8"/>
  <c r="BH144" i="8"/>
  <c r="BH131" i="8"/>
  <c r="BN124" i="8"/>
  <c r="BH143" i="8"/>
  <c r="BR130" i="8"/>
  <c r="BM124" i="8"/>
  <c r="BM142" i="8"/>
  <c r="BP130" i="8"/>
  <c r="BH124" i="8"/>
  <c r="BH142" i="8"/>
  <c r="BM130" i="8"/>
  <c r="BQ123" i="8"/>
  <c r="BH141" i="8"/>
  <c r="BH130" i="8"/>
  <c r="BM123" i="8"/>
  <c r="BM140" i="8"/>
  <c r="BM129" i="8"/>
  <c r="BH123" i="8"/>
  <c r="BH140" i="8"/>
  <c r="BH129" i="8"/>
  <c r="BS122" i="8"/>
  <c r="BH139" i="8"/>
  <c r="BR128" i="8"/>
  <c r="BR122" i="8"/>
  <c r="BM154" i="8"/>
  <c r="BH138" i="8"/>
  <c r="BN128" i="8"/>
  <c r="BO122" i="8"/>
  <c r="AT155" i="8"/>
  <c r="AT153" i="8"/>
  <c r="AT151" i="8"/>
  <c r="AT149" i="8"/>
  <c r="AT147" i="8"/>
  <c r="AT145" i="8"/>
  <c r="AT143" i="8"/>
  <c r="AT141" i="8"/>
  <c r="AT139" i="8"/>
  <c r="AT137" i="8"/>
  <c r="AT135" i="8"/>
  <c r="AT133" i="8"/>
  <c r="AT131" i="8"/>
  <c r="AT129" i="8"/>
  <c r="AT127" i="8"/>
  <c r="AT125" i="8"/>
  <c r="AT123" i="8"/>
  <c r="AT121" i="8"/>
  <c r="BH155" i="8"/>
  <c r="BE154" i="8"/>
  <c r="BE152" i="8"/>
  <c r="BE150" i="8"/>
  <c r="BE148" i="8"/>
  <c r="BE146" i="8"/>
  <c r="BE144" i="8"/>
  <c r="BE142" i="8"/>
  <c r="BE140" i="8"/>
  <c r="BE138" i="8"/>
  <c r="BE136" i="8"/>
  <c r="BE134" i="8"/>
  <c r="BE132" i="8"/>
  <c r="BE130" i="8"/>
  <c r="BE128" i="8"/>
  <c r="BE126" i="8"/>
  <c r="BE124" i="8"/>
  <c r="BE122" i="8"/>
  <c r="BE120" i="8"/>
  <c r="BM138" i="8"/>
  <c r="BD154" i="8"/>
  <c r="BD152" i="8"/>
  <c r="BD150" i="8"/>
  <c r="BD148" i="8"/>
  <c r="BD146" i="8"/>
  <c r="BD144" i="8"/>
  <c r="BD142" i="8"/>
  <c r="BD140" i="8"/>
  <c r="BD138" i="8"/>
  <c r="BD136" i="8"/>
  <c r="BD134" i="8"/>
  <c r="BD132" i="8"/>
  <c r="BD130" i="8"/>
  <c r="BD128" i="8"/>
  <c r="BD126" i="8"/>
  <c r="BD124" i="8"/>
  <c r="BD122" i="8"/>
  <c r="BD120" i="8"/>
  <c r="BP128" i="8"/>
  <c r="BC154" i="8"/>
  <c r="BC152" i="8"/>
  <c r="BC150" i="8"/>
  <c r="BC148" i="8"/>
  <c r="BC146" i="8"/>
  <c r="BC144" i="8"/>
  <c r="BC142" i="8"/>
  <c r="BC140" i="8"/>
  <c r="BC138" i="8"/>
  <c r="BC136" i="8"/>
  <c r="BC134" i="8"/>
  <c r="BC132" i="8"/>
  <c r="BC130" i="8"/>
  <c r="BC128" i="8"/>
  <c r="BC126" i="8"/>
  <c r="BC124" i="8"/>
  <c r="BC122" i="8"/>
  <c r="BC120" i="8"/>
  <c r="BP122" i="8"/>
  <c r="BB154" i="8"/>
  <c r="BB152" i="8"/>
  <c r="BB150" i="8"/>
  <c r="BB148" i="8"/>
  <c r="BB146" i="8"/>
  <c r="BB144" i="8"/>
  <c r="BB142" i="8"/>
  <c r="BB140" i="8"/>
  <c r="BB138" i="8"/>
  <c r="BB136" i="8"/>
  <c r="BB134" i="8"/>
  <c r="BB132" i="8"/>
  <c r="BB130" i="8"/>
  <c r="BB128" i="8"/>
  <c r="BB126" i="8"/>
  <c r="BB124" i="8"/>
  <c r="BB122" i="8"/>
  <c r="BB120" i="8"/>
  <c r="BA154" i="8"/>
  <c r="BA152" i="8"/>
  <c r="BA150" i="8"/>
  <c r="BA148" i="8"/>
  <c r="BA146" i="8"/>
  <c r="BA144" i="8"/>
  <c r="BA142" i="8"/>
  <c r="BA140" i="8"/>
  <c r="BA138" i="8"/>
  <c r="BA136" i="8"/>
  <c r="BA134" i="8"/>
  <c r="BA132" i="8"/>
  <c r="BA130" i="8"/>
  <c r="BA128" i="8"/>
  <c r="BA126" i="8"/>
  <c r="BA124" i="8"/>
  <c r="BA122" i="8"/>
  <c r="BA120" i="8"/>
  <c r="AZ154" i="8"/>
  <c r="AZ152" i="8"/>
  <c r="AZ150" i="8"/>
  <c r="AZ148" i="8"/>
  <c r="AZ146" i="8"/>
  <c r="AZ144" i="8"/>
  <c r="AZ142" i="8"/>
  <c r="AZ140" i="8"/>
  <c r="AZ138" i="8"/>
  <c r="AZ136" i="8"/>
  <c r="AZ134" i="8"/>
  <c r="AZ132" i="8"/>
  <c r="AZ130" i="8"/>
  <c r="AZ128" i="8"/>
  <c r="AZ126" i="8"/>
  <c r="AZ124" i="8"/>
  <c r="AZ122" i="8"/>
  <c r="AZ120" i="8"/>
  <c r="AY154" i="8"/>
  <c r="AY152" i="8"/>
  <c r="AY150" i="8"/>
  <c r="AY148" i="8"/>
  <c r="AY146" i="8"/>
  <c r="AY144" i="8"/>
  <c r="AY142" i="8"/>
  <c r="AY140" i="8"/>
  <c r="AY138" i="8"/>
  <c r="AY136" i="8"/>
  <c r="AY134" i="8"/>
  <c r="AY132" i="8"/>
  <c r="AY130" i="8"/>
  <c r="AY128" i="8"/>
  <c r="AY126" i="8"/>
  <c r="AY124" i="8"/>
  <c r="AY122" i="8"/>
  <c r="AY120" i="8"/>
  <c r="AX154" i="8"/>
  <c r="AX152" i="8"/>
  <c r="AX150" i="8"/>
  <c r="AX148" i="8"/>
  <c r="AX146" i="8"/>
  <c r="AX144" i="8"/>
  <c r="AX142" i="8"/>
  <c r="AX140" i="8"/>
  <c r="AX138" i="8"/>
  <c r="AX136" i="8"/>
  <c r="AX134" i="8"/>
  <c r="AX132" i="8"/>
  <c r="AX130" i="8"/>
  <c r="AX128" i="8"/>
  <c r="AX126" i="8"/>
  <c r="AX124" i="8"/>
  <c r="AX122" i="8"/>
  <c r="AX120" i="8"/>
  <c r="AW154" i="8"/>
  <c r="AW152" i="8"/>
  <c r="AW150" i="8"/>
  <c r="AW148" i="8"/>
  <c r="AW146" i="8"/>
  <c r="AW144" i="8"/>
  <c r="AW142" i="8"/>
  <c r="AW140" i="8"/>
  <c r="AW138" i="8"/>
  <c r="AW136" i="8"/>
  <c r="AW134" i="8"/>
  <c r="AW132" i="8"/>
  <c r="AW130" i="8"/>
  <c r="AW128" i="8"/>
  <c r="AW126" i="8"/>
  <c r="AW124" i="8"/>
  <c r="AW122" i="8"/>
  <c r="AW120" i="8"/>
  <c r="AV154" i="8"/>
  <c r="AV152" i="8"/>
  <c r="AV150" i="8"/>
  <c r="AV148" i="8"/>
  <c r="AV146" i="8"/>
  <c r="AV144" i="8"/>
  <c r="AV142" i="8"/>
  <c r="AV140" i="8"/>
  <c r="AV138" i="8"/>
  <c r="AV136" i="8"/>
  <c r="AV134" i="8"/>
  <c r="AV132" i="8"/>
  <c r="AV130" i="8"/>
  <c r="AV128" i="8"/>
  <c r="AV126" i="8"/>
  <c r="AV124" i="8"/>
  <c r="AV122" i="8"/>
  <c r="AV120" i="8"/>
  <c r="AU154" i="8"/>
  <c r="AU152" i="8"/>
  <c r="AU150" i="8"/>
  <c r="AU148" i="8"/>
  <c r="AU146" i="8"/>
  <c r="AU144" i="8"/>
  <c r="AU142" i="8"/>
  <c r="AU140" i="8"/>
  <c r="AU138" i="8"/>
  <c r="AU136" i="8"/>
  <c r="AU134" i="8"/>
  <c r="AU132" i="8"/>
  <c r="AU130" i="8"/>
  <c r="AU128" i="8"/>
  <c r="AU126" i="8"/>
  <c r="AU124" i="8"/>
  <c r="AU122" i="8"/>
  <c r="AU120" i="8"/>
  <c r="AT154" i="8"/>
  <c r="AT152" i="8"/>
  <c r="AT150" i="8"/>
  <c r="AT148" i="8"/>
  <c r="AT146" i="8"/>
  <c r="AT144" i="8"/>
  <c r="AT142" i="8"/>
  <c r="AT140" i="8"/>
  <c r="AT138" i="8"/>
  <c r="AT136" i="8"/>
  <c r="AT134" i="8"/>
  <c r="AT132" i="8"/>
  <c r="AT130" i="8"/>
  <c r="AT128" i="8"/>
  <c r="AT126" i="8"/>
  <c r="AT124" i="8"/>
  <c r="AT122" i="8"/>
  <c r="AT120" i="8"/>
  <c r="BE155" i="8"/>
  <c r="BE153" i="8"/>
  <c r="BE151" i="8"/>
  <c r="BE149" i="8"/>
  <c r="BE147" i="8"/>
  <c r="BE145" i="8"/>
  <c r="BE143" i="8"/>
  <c r="BE141" i="8"/>
  <c r="BE139" i="8"/>
  <c r="BE137" i="8"/>
  <c r="BE135" i="8"/>
  <c r="BE133" i="8"/>
  <c r="BE131" i="8"/>
  <c r="BE129" i="8"/>
  <c r="BE127" i="8"/>
  <c r="BE125" i="8"/>
  <c r="BE123" i="8"/>
  <c r="BE121" i="8"/>
  <c r="BD155" i="8"/>
  <c r="BD153" i="8"/>
  <c r="BD151" i="8"/>
  <c r="BD149" i="8"/>
  <c r="BD147" i="8"/>
  <c r="BD145" i="8"/>
  <c r="BD143" i="8"/>
  <c r="BD141" i="8"/>
  <c r="BD139" i="8"/>
  <c r="BD137" i="8"/>
  <c r="BD135" i="8"/>
  <c r="BD133" i="8"/>
  <c r="BD131" i="8"/>
  <c r="BD129" i="8"/>
  <c r="BD127" i="8"/>
  <c r="BD125" i="8"/>
  <c r="BD123" i="8"/>
  <c r="BD121" i="8"/>
  <c r="BC155" i="8"/>
  <c r="BC153" i="8"/>
  <c r="BC151" i="8"/>
  <c r="BC149" i="8"/>
  <c r="BC147" i="8"/>
  <c r="BC145" i="8"/>
  <c r="BC143" i="8"/>
  <c r="BC141" i="8"/>
  <c r="BC139" i="8"/>
  <c r="BC137" i="8"/>
  <c r="BC135" i="8"/>
  <c r="BC133" i="8"/>
  <c r="BC131" i="8"/>
  <c r="BC129" i="8"/>
  <c r="BC127" i="8"/>
  <c r="BC125" i="8"/>
  <c r="BC123" i="8"/>
  <c r="BC121" i="8"/>
  <c r="BB155" i="8"/>
  <c r="BB153" i="8"/>
  <c r="BB151" i="8"/>
  <c r="BB149" i="8"/>
  <c r="BB147" i="8"/>
  <c r="BB145" i="8"/>
  <c r="BB143" i="8"/>
  <c r="BB141" i="8"/>
  <c r="BB139" i="8"/>
  <c r="BB137" i="8"/>
  <c r="BB135" i="8"/>
  <c r="BB133" i="8"/>
  <c r="BB131" i="8"/>
  <c r="BB129" i="8"/>
  <c r="BB127" i="8"/>
  <c r="BB125" i="8"/>
  <c r="BB123" i="8"/>
  <c r="BB121" i="8"/>
  <c r="BA155" i="8"/>
  <c r="BA153" i="8"/>
  <c r="BA151" i="8"/>
  <c r="BA149" i="8"/>
  <c r="BA147" i="8"/>
  <c r="BA145" i="8"/>
  <c r="BA143" i="8"/>
  <c r="BA141" i="8"/>
  <c r="BA139" i="8"/>
  <c r="BA137" i="8"/>
  <c r="BA135" i="8"/>
  <c r="BA133" i="8"/>
  <c r="BA131" i="8"/>
  <c r="BA129" i="8"/>
  <c r="BA127" i="8"/>
  <c r="BA125" i="8"/>
  <c r="BA123" i="8"/>
  <c r="BA121" i="8"/>
  <c r="AZ155" i="8"/>
  <c r="AZ153" i="8"/>
  <c r="AZ151" i="8"/>
  <c r="AZ149" i="8"/>
  <c r="AZ147" i="8"/>
  <c r="AZ145" i="8"/>
  <c r="AZ143" i="8"/>
  <c r="AZ141" i="8"/>
  <c r="AZ139" i="8"/>
  <c r="AZ137" i="8"/>
  <c r="AZ135" i="8"/>
  <c r="AZ133" i="8"/>
  <c r="AZ131" i="8"/>
  <c r="AZ129" i="8"/>
  <c r="AZ127" i="8"/>
  <c r="AZ125" i="8"/>
  <c r="AZ123" i="8"/>
  <c r="AZ121" i="8"/>
  <c r="AY155" i="8"/>
  <c r="AY153" i="8"/>
  <c r="AY151" i="8"/>
  <c r="AY149" i="8"/>
  <c r="AY147" i="8"/>
  <c r="AY145" i="8"/>
  <c r="AY143" i="8"/>
  <c r="AY141" i="8"/>
  <c r="AY139" i="8"/>
  <c r="AY137" i="8"/>
  <c r="AY135" i="8"/>
  <c r="AY133" i="8"/>
  <c r="AY131" i="8"/>
  <c r="AY129" i="8"/>
  <c r="AY127" i="8"/>
  <c r="AY125" i="8"/>
  <c r="AY123" i="8"/>
  <c r="AY121" i="8"/>
  <c r="AX155" i="8"/>
  <c r="AX153" i="8"/>
  <c r="AX151" i="8"/>
  <c r="AX149" i="8"/>
  <c r="AX147" i="8"/>
  <c r="AX145" i="8"/>
  <c r="AX143" i="8"/>
  <c r="AX141" i="8"/>
  <c r="AX139" i="8"/>
  <c r="AX137" i="8"/>
  <c r="AX135" i="8"/>
  <c r="AX133" i="8"/>
  <c r="AX131" i="8"/>
  <c r="AX129" i="8"/>
  <c r="AX127" i="8"/>
  <c r="AX125" i="8"/>
  <c r="AX123" i="8"/>
  <c r="AX121" i="8"/>
  <c r="AW155" i="8"/>
  <c r="AW153" i="8"/>
  <c r="AW151" i="8"/>
  <c r="AW149" i="8"/>
  <c r="AW147" i="8"/>
  <c r="AW145" i="8"/>
  <c r="AW143" i="8"/>
  <c r="AW141" i="8"/>
  <c r="AW139" i="8"/>
  <c r="AW137" i="8"/>
  <c r="AW135" i="8"/>
  <c r="AW133" i="8"/>
  <c r="AW131" i="8"/>
  <c r="AW129" i="8"/>
  <c r="AU155" i="8"/>
  <c r="AU153" i="8"/>
  <c r="AU151" i="8"/>
  <c r="AU149" i="8"/>
  <c r="AU147" i="8"/>
  <c r="AU145" i="8"/>
  <c r="AU143" i="8"/>
  <c r="AU141" i="8"/>
  <c r="AU139" i="8"/>
  <c r="AU137" i="8"/>
  <c r="AU135" i="8"/>
  <c r="AU133" i="8"/>
  <c r="AU131" i="8"/>
  <c r="AU129" i="8"/>
  <c r="AU127" i="8"/>
  <c r="AU125" i="8"/>
  <c r="AU123" i="8"/>
  <c r="AU121" i="8"/>
  <c r="AV125" i="8"/>
  <c r="AW123" i="8"/>
  <c r="AV123" i="8"/>
  <c r="AW121" i="8"/>
  <c r="AV121" i="8"/>
  <c r="AV155" i="8"/>
  <c r="AV153" i="8"/>
  <c r="AV151" i="8"/>
  <c r="AV149" i="8"/>
  <c r="AV147" i="8"/>
  <c r="AV145" i="8"/>
  <c r="AV143" i="8"/>
  <c r="AV141" i="8"/>
  <c r="AV139" i="8"/>
  <c r="AV137" i="8"/>
  <c r="AV135" i="8"/>
  <c r="AV133" i="8"/>
  <c r="AV131" i="8"/>
  <c r="AV129" i="8"/>
  <c r="AW127" i="8"/>
  <c r="AW125" i="8"/>
  <c r="AH155" i="8"/>
  <c r="AH153" i="8"/>
  <c r="AH151" i="8"/>
  <c r="AH149" i="8"/>
  <c r="AH147" i="8"/>
  <c r="AH145" i="8"/>
  <c r="AH143" i="8"/>
  <c r="AH141" i="8"/>
  <c r="AH139" i="8"/>
  <c r="AH137" i="8"/>
  <c r="AH135" i="8"/>
  <c r="AH133" i="8"/>
  <c r="AH131" i="8"/>
  <c r="AH129" i="8"/>
  <c r="AH127" i="8"/>
  <c r="AH125" i="8"/>
  <c r="AH123" i="8"/>
  <c r="AH121" i="8"/>
  <c r="AG155" i="8"/>
  <c r="AG153" i="8"/>
  <c r="AG151" i="8"/>
  <c r="AG149" i="8"/>
  <c r="AG147" i="8"/>
  <c r="AG145" i="8"/>
  <c r="AG143" i="8"/>
  <c r="AG141" i="8"/>
  <c r="AG139" i="8"/>
  <c r="AG137" i="8"/>
  <c r="AG135" i="8"/>
  <c r="AG133" i="8"/>
  <c r="AG131" i="8"/>
  <c r="AG129" i="8"/>
  <c r="AG127" i="8"/>
  <c r="AG125" i="8"/>
  <c r="AG123" i="8"/>
  <c r="AG121" i="8"/>
  <c r="AV127" i="8"/>
  <c r="AF155" i="8"/>
  <c r="AF153" i="8"/>
  <c r="AF151" i="8"/>
  <c r="AF149" i="8"/>
  <c r="AF147" i="8"/>
  <c r="AF145" i="8"/>
  <c r="AF143" i="8"/>
  <c r="AF141" i="8"/>
  <c r="AF139" i="8"/>
  <c r="AF137" i="8"/>
  <c r="AF135" i="8"/>
  <c r="AF133" i="8"/>
  <c r="AF131" i="8"/>
  <c r="AF129" i="8"/>
  <c r="AF127" i="8"/>
  <c r="AF125" i="8"/>
  <c r="AF123" i="8"/>
  <c r="AF121" i="8"/>
  <c r="AQ154" i="8"/>
  <c r="AQ152" i="8"/>
  <c r="AQ150" i="8"/>
  <c r="AQ148" i="8"/>
  <c r="AQ146" i="8"/>
  <c r="AQ144" i="8"/>
  <c r="AQ142" i="8"/>
  <c r="AQ140" i="8"/>
  <c r="AQ138" i="8"/>
  <c r="AQ136" i="8"/>
  <c r="AQ134" i="8"/>
  <c r="AQ132" i="8"/>
  <c r="AQ130" i="8"/>
  <c r="AQ128" i="8"/>
  <c r="AQ126" i="8"/>
  <c r="AQ124" i="8"/>
  <c r="AQ122" i="8"/>
  <c r="AQ120" i="8"/>
  <c r="AP154" i="8"/>
  <c r="AP152" i="8"/>
  <c r="AP150" i="8"/>
  <c r="AP148" i="8"/>
  <c r="AP146" i="8"/>
  <c r="AP144" i="8"/>
  <c r="AP142" i="8"/>
  <c r="AP140" i="8"/>
  <c r="AP138" i="8"/>
  <c r="AP136" i="8"/>
  <c r="AP134" i="8"/>
  <c r="AP132" i="8"/>
  <c r="AP130" i="8"/>
  <c r="AP128" i="8"/>
  <c r="AP126" i="8"/>
  <c r="AP124" i="8"/>
  <c r="AP122" i="8"/>
  <c r="AP120" i="8"/>
  <c r="AO154" i="8"/>
  <c r="AO152" i="8"/>
  <c r="AO150" i="8"/>
  <c r="AO148" i="8"/>
  <c r="AO146" i="8"/>
  <c r="AO144" i="8"/>
  <c r="AO142" i="8"/>
  <c r="AO140" i="8"/>
  <c r="AO138" i="8"/>
  <c r="AO136" i="8"/>
  <c r="AO134" i="8"/>
  <c r="AO132" i="8"/>
  <c r="AO130" i="8"/>
  <c r="AO128" i="8"/>
  <c r="AO126" i="8"/>
  <c r="AO124" i="8"/>
  <c r="AO122" i="8"/>
  <c r="AO120" i="8"/>
  <c r="AN154" i="8"/>
  <c r="AN152" i="8"/>
  <c r="AN150" i="8"/>
  <c r="AN148" i="8"/>
  <c r="AN146" i="8"/>
  <c r="AN144" i="8"/>
  <c r="AN142" i="8"/>
  <c r="AN140" i="8"/>
  <c r="AN138" i="8"/>
  <c r="AN136" i="8"/>
  <c r="AN134" i="8"/>
  <c r="AN132" i="8"/>
  <c r="AN130" i="8"/>
  <c r="AN128" i="8"/>
  <c r="AN126" i="8"/>
  <c r="AN124" i="8"/>
  <c r="AN122" i="8"/>
  <c r="AN120" i="8"/>
  <c r="AM154" i="8"/>
  <c r="AM152" i="8"/>
  <c r="AM150" i="8"/>
  <c r="AM148" i="8"/>
  <c r="AM146" i="8"/>
  <c r="AM144" i="8"/>
  <c r="AM142" i="8"/>
  <c r="AM140" i="8"/>
  <c r="AM138" i="8"/>
  <c r="AM136" i="8"/>
  <c r="AM134" i="8"/>
  <c r="AM132" i="8"/>
  <c r="AM130" i="8"/>
  <c r="AM128" i="8"/>
  <c r="AM126" i="8"/>
  <c r="AM124" i="8"/>
  <c r="AM122" i="8"/>
  <c r="AM120" i="8"/>
  <c r="AL154" i="8"/>
  <c r="AL152" i="8"/>
  <c r="AL150" i="8"/>
  <c r="AL148" i="8"/>
  <c r="AL146" i="8"/>
  <c r="AL144" i="8"/>
  <c r="AL142" i="8"/>
  <c r="AL140" i="8"/>
  <c r="AL138" i="8"/>
  <c r="AL136" i="8"/>
  <c r="AL134" i="8"/>
  <c r="AL132" i="8"/>
  <c r="AL130" i="8"/>
  <c r="AL128" i="8"/>
  <c r="AL126" i="8"/>
  <c r="AL124" i="8"/>
  <c r="AL122" i="8"/>
  <c r="AL120" i="8"/>
  <c r="AK154" i="8"/>
  <c r="AK152" i="8"/>
  <c r="AK150" i="8"/>
  <c r="AK148" i="8"/>
  <c r="AK146" i="8"/>
  <c r="AK144" i="8"/>
  <c r="AK142" i="8"/>
  <c r="AK140" i="8"/>
  <c r="AK138" i="8"/>
  <c r="AK136" i="8"/>
  <c r="AK134" i="8"/>
  <c r="AK132" i="8"/>
  <c r="AK130" i="8"/>
  <c r="AK128" i="8"/>
  <c r="AK126" i="8"/>
  <c r="AK124" i="8"/>
  <c r="AK122" i="8"/>
  <c r="AK120" i="8"/>
  <c r="AJ154" i="8"/>
  <c r="AJ152" i="8"/>
  <c r="AJ150" i="8"/>
  <c r="AJ148" i="8"/>
  <c r="AJ146" i="8"/>
  <c r="AJ144" i="8"/>
  <c r="AJ142" i="8"/>
  <c r="AJ140" i="8"/>
  <c r="AJ138" i="8"/>
  <c r="AJ136" i="8"/>
  <c r="AJ134" i="8"/>
  <c r="AJ132" i="8"/>
  <c r="AJ130" i="8"/>
  <c r="AJ128" i="8"/>
  <c r="AJ126" i="8"/>
  <c r="AJ124" i="8"/>
  <c r="AJ122" i="8"/>
  <c r="AJ120" i="8"/>
  <c r="AI154" i="8"/>
  <c r="AI152" i="8"/>
  <c r="AI150" i="8"/>
  <c r="AI148" i="8"/>
  <c r="AI146" i="8"/>
  <c r="AI144" i="8"/>
  <c r="AI142" i="8"/>
  <c r="AI140" i="8"/>
  <c r="AI138" i="8"/>
  <c r="AI136" i="8"/>
  <c r="AI134" i="8"/>
  <c r="AI132" i="8"/>
  <c r="AI130" i="8"/>
  <c r="AI128" i="8"/>
  <c r="AI126" i="8"/>
  <c r="AI124" i="8"/>
  <c r="AI122" i="8"/>
  <c r="AI120" i="8"/>
  <c r="AH154" i="8"/>
  <c r="AH152" i="8"/>
  <c r="AH150" i="8"/>
  <c r="AH148" i="8"/>
  <c r="AH146" i="8"/>
  <c r="AH144" i="8"/>
  <c r="AH142" i="8"/>
  <c r="AH140" i="8"/>
  <c r="AH138" i="8"/>
  <c r="AH136" i="8"/>
  <c r="AH134" i="8"/>
  <c r="AH132" i="8"/>
  <c r="AH130" i="8"/>
  <c r="AH128" i="8"/>
  <c r="AH126" i="8"/>
  <c r="AH124" i="8"/>
  <c r="AH122" i="8"/>
  <c r="AH120" i="8"/>
  <c r="AG154" i="8"/>
  <c r="AG152" i="8"/>
  <c r="AG150" i="8"/>
  <c r="AG148" i="8"/>
  <c r="AG146" i="8"/>
  <c r="AG144" i="8"/>
  <c r="AG142" i="8"/>
  <c r="AG140" i="8"/>
  <c r="AG138" i="8"/>
  <c r="AG136" i="8"/>
  <c r="AG134" i="8"/>
  <c r="AG132" i="8"/>
  <c r="AG130" i="8"/>
  <c r="AG128" i="8"/>
  <c r="AG126" i="8"/>
  <c r="AG124" i="8"/>
  <c r="AG122" i="8"/>
  <c r="AG120" i="8"/>
  <c r="AF154" i="8"/>
  <c r="AF152" i="8"/>
  <c r="AF150" i="8"/>
  <c r="AF148" i="8"/>
  <c r="AF146" i="8"/>
  <c r="AF144" i="8"/>
  <c r="AF142" i="8"/>
  <c r="AF140" i="8"/>
  <c r="AF138" i="8"/>
  <c r="AF136" i="8"/>
  <c r="AF134" i="8"/>
  <c r="AF132" i="8"/>
  <c r="AF130" i="8"/>
  <c r="AF128" i="8"/>
  <c r="AF126" i="8"/>
  <c r="AF124" i="8"/>
  <c r="AF122" i="8"/>
  <c r="AF120" i="8"/>
  <c r="AQ155" i="8"/>
  <c r="AQ153" i="8"/>
  <c r="AQ151" i="8"/>
  <c r="AQ149" i="8"/>
  <c r="AQ147" i="8"/>
  <c r="AQ145" i="8"/>
  <c r="AQ143" i="8"/>
  <c r="AQ141" i="8"/>
  <c r="AQ139" i="8"/>
  <c r="AQ137" i="8"/>
  <c r="AQ135" i="8"/>
  <c r="AQ133" i="8"/>
  <c r="AQ131" i="8"/>
  <c r="AQ129" i="8"/>
  <c r="AQ127" i="8"/>
  <c r="AQ125" i="8"/>
  <c r="AQ123" i="8"/>
  <c r="AQ121" i="8"/>
  <c r="AP155" i="8"/>
  <c r="AP153" i="8"/>
  <c r="AP151" i="8"/>
  <c r="AP149" i="8"/>
  <c r="AP147" i="8"/>
  <c r="AP145" i="8"/>
  <c r="AP143" i="8"/>
  <c r="AP141" i="8"/>
  <c r="AP139" i="8"/>
  <c r="AP137" i="8"/>
  <c r="AP135" i="8"/>
  <c r="AP133" i="8"/>
  <c r="AP131" i="8"/>
  <c r="AP129" i="8"/>
  <c r="AP127" i="8"/>
  <c r="AP125" i="8"/>
  <c r="AP123" i="8"/>
  <c r="AP121" i="8"/>
  <c r="AO155" i="8"/>
  <c r="AO153" i="8"/>
  <c r="AO151" i="8"/>
  <c r="AO149" i="8"/>
  <c r="AO147" i="8"/>
  <c r="AO145" i="8"/>
  <c r="AO143" i="8"/>
  <c r="AO141" i="8"/>
  <c r="AO139" i="8"/>
  <c r="AO137" i="8"/>
  <c r="AO135" i="8"/>
  <c r="AO133" i="8"/>
  <c r="AO131" i="8"/>
  <c r="AO129" i="8"/>
  <c r="AO127" i="8"/>
  <c r="AO125" i="8"/>
  <c r="AO123" i="8"/>
  <c r="AO121" i="8"/>
  <c r="AN155" i="8"/>
  <c r="AN153" i="8"/>
  <c r="AN151" i="8"/>
  <c r="AN149" i="8"/>
  <c r="AN147" i="8"/>
  <c r="AN145" i="8"/>
  <c r="AN143" i="8"/>
  <c r="AN141" i="8"/>
  <c r="AN139" i="8"/>
  <c r="AN137" i="8"/>
  <c r="AN135" i="8"/>
  <c r="AN133" i="8"/>
  <c r="AN131" i="8"/>
  <c r="AM155" i="8"/>
  <c r="AM153" i="8"/>
  <c r="AM151" i="8"/>
  <c r="AM149" i="8"/>
  <c r="AM147" i="8"/>
  <c r="AM145" i="8"/>
  <c r="AM143" i="8"/>
  <c r="AM141" i="8"/>
  <c r="AM139" i="8"/>
  <c r="AM137" i="8"/>
  <c r="AM135" i="8"/>
  <c r="AM133" i="8"/>
  <c r="AM131" i="8"/>
  <c r="AM129" i="8"/>
  <c r="AM127" i="8"/>
  <c r="AM125" i="8"/>
  <c r="AM123" i="8"/>
  <c r="AM121" i="8"/>
  <c r="AL155" i="8"/>
  <c r="AL153" i="8"/>
  <c r="AL151" i="8"/>
  <c r="AL149" i="8"/>
  <c r="AL147" i="8"/>
  <c r="AL145" i="8"/>
  <c r="AL143" i="8"/>
  <c r="AL141" i="8"/>
  <c r="AL139" i="8"/>
  <c r="AK155" i="8"/>
  <c r="AK153" i="8"/>
  <c r="AK151" i="8"/>
  <c r="AK149" i="8"/>
  <c r="AK147" i="8"/>
  <c r="AK145" i="8"/>
  <c r="AK143" i="8"/>
  <c r="AK141" i="8"/>
  <c r="AK139" i="8"/>
  <c r="AK137" i="8"/>
  <c r="AK135" i="8"/>
  <c r="AK133" i="8"/>
  <c r="AK131" i="8"/>
  <c r="AK129" i="8"/>
  <c r="AK127" i="8"/>
  <c r="AK125" i="8"/>
  <c r="AK123" i="8"/>
  <c r="AK121" i="8"/>
  <c r="AJ155" i="8"/>
  <c r="AJ153" i="8"/>
  <c r="AJ151" i="8"/>
  <c r="AJ149" i="8"/>
  <c r="AJ147" i="8"/>
  <c r="AJ145" i="8"/>
  <c r="AJ143" i="8"/>
  <c r="AJ141" i="8"/>
  <c r="AJ139" i="8"/>
  <c r="AJ137" i="8"/>
  <c r="AJ135" i="8"/>
  <c r="AJ133" i="8"/>
  <c r="AJ131" i="8"/>
  <c r="AJ129" i="8"/>
  <c r="AJ127" i="8"/>
  <c r="AJ125" i="8"/>
  <c r="AJ123" i="8"/>
  <c r="AJ121" i="8"/>
  <c r="AI155" i="8"/>
  <c r="AI153" i="8"/>
  <c r="AI151" i="8"/>
  <c r="AI149" i="8"/>
  <c r="AI147" i="8"/>
  <c r="AI145" i="8"/>
  <c r="AI143" i="8"/>
  <c r="AI141" i="8"/>
  <c r="AI139" i="8"/>
  <c r="AI137" i="8"/>
  <c r="AI135" i="8"/>
  <c r="AI133" i="8"/>
  <c r="AI131" i="8"/>
  <c r="AI129" i="8"/>
  <c r="AI127" i="8"/>
  <c r="AI125" i="8"/>
  <c r="AI123" i="8"/>
  <c r="AI121" i="8"/>
  <c r="V8" i="8"/>
  <c r="R25" i="8"/>
  <c r="R48" i="8"/>
  <c r="AB84" i="8"/>
  <c r="AP6" i="8"/>
  <c r="AQ8" i="8"/>
  <c r="AF11" i="8"/>
  <c r="AG13" i="8"/>
  <c r="AI15" i="8"/>
  <c r="AJ17" i="8"/>
  <c r="AK19" i="8"/>
  <c r="AL21" i="8"/>
  <c r="AM23" i="8"/>
  <c r="AN25" i="8"/>
  <c r="AO27" i="8"/>
  <c r="AP29" i="8"/>
  <c r="AQ31" i="8"/>
  <c r="AF34" i="8"/>
  <c r="AG36" i="8"/>
  <c r="AH38" i="8"/>
  <c r="AI40" i="8"/>
  <c r="AM84" i="8"/>
  <c r="AM88" i="8"/>
  <c r="AM92" i="8"/>
  <c r="AJ97" i="8"/>
  <c r="AI102" i="8"/>
  <c r="AL109" i="8"/>
  <c r="AL125" i="8"/>
  <c r="R191" i="8"/>
  <c r="CJ193" i="8"/>
  <c r="CJ191" i="8"/>
  <c r="CJ189" i="8"/>
  <c r="CJ187" i="8"/>
  <c r="CJ185" i="8"/>
  <c r="CJ183" i="8"/>
  <c r="CJ181" i="8"/>
  <c r="CJ179" i="8"/>
  <c r="CJ177" i="8"/>
  <c r="CJ175" i="8"/>
  <c r="CJ173" i="8"/>
  <c r="CJ171" i="8"/>
  <c r="CJ169" i="8"/>
  <c r="CJ167" i="8"/>
  <c r="CJ165" i="8"/>
  <c r="CJ163" i="8"/>
  <c r="CJ161" i="8"/>
  <c r="CJ159" i="8"/>
  <c r="CU192" i="8"/>
  <c r="CU190" i="8"/>
  <c r="CU188" i="8"/>
  <c r="CU186" i="8"/>
  <c r="CU184" i="8"/>
  <c r="CU182" i="8"/>
  <c r="CU180" i="8"/>
  <c r="CU178" i="8"/>
  <c r="CU176" i="8"/>
  <c r="CU174" i="8"/>
  <c r="CU172" i="8"/>
  <c r="CU170" i="8"/>
  <c r="CU168" i="8"/>
  <c r="CU166" i="8"/>
  <c r="CU164" i="8"/>
  <c r="CU162" i="8"/>
  <c r="CU160" i="8"/>
  <c r="CU158" i="8"/>
  <c r="CT192" i="8"/>
  <c r="CT190" i="8"/>
  <c r="CT188" i="8"/>
  <c r="CT186" i="8"/>
  <c r="CT184" i="8"/>
  <c r="CS192" i="8"/>
  <c r="CS190" i="8"/>
  <c r="CS188" i="8"/>
  <c r="CS186" i="8"/>
  <c r="CR192" i="8"/>
  <c r="CR190" i="8"/>
  <c r="CR188" i="8"/>
  <c r="CR186" i="8"/>
  <c r="CR184" i="8"/>
  <c r="CS191" i="8"/>
  <c r="CN189" i="8"/>
  <c r="CP186" i="8"/>
  <c r="CL184" i="8"/>
  <c r="CJ182" i="8"/>
  <c r="CT179" i="8"/>
  <c r="CR177" i="8"/>
  <c r="CP175" i="8"/>
  <c r="CN173" i="8"/>
  <c r="CL171" i="8"/>
  <c r="CT168" i="8"/>
  <c r="CR166" i="8"/>
  <c r="CP164" i="8"/>
  <c r="CN162" i="8"/>
  <c r="CL160" i="8"/>
  <c r="CJ158" i="8"/>
  <c r="CR191" i="8"/>
  <c r="CM189" i="8"/>
  <c r="CO186" i="8"/>
  <c r="CK184" i="8"/>
  <c r="CU181" i="8"/>
  <c r="CS179" i="8"/>
  <c r="CQ177" i="8"/>
  <c r="CO175" i="8"/>
  <c r="CM173" i="8"/>
  <c r="CK171" i="8"/>
  <c r="CS168" i="8"/>
  <c r="CQ166" i="8"/>
  <c r="CO164" i="8"/>
  <c r="CM162" i="8"/>
  <c r="CK160" i="8"/>
  <c r="CQ191" i="8"/>
  <c r="CL189" i="8"/>
  <c r="CN186" i="8"/>
  <c r="CJ184" i="8"/>
  <c r="CT181" i="8"/>
  <c r="CR179" i="8"/>
  <c r="CP177" i="8"/>
  <c r="CN175" i="8"/>
  <c r="CL173" i="8"/>
  <c r="CT170" i="8"/>
  <c r="CR168" i="8"/>
  <c r="CP166" i="8"/>
  <c r="CN164" i="8"/>
  <c r="CL162" i="8"/>
  <c r="CJ160" i="8"/>
  <c r="CU193" i="8"/>
  <c r="CP191" i="8"/>
  <c r="CK189" i="8"/>
  <c r="CM186" i="8"/>
  <c r="CU183" i="8"/>
  <c r="CS181" i="8"/>
  <c r="CQ179" i="8"/>
  <c r="CO177" i="8"/>
  <c r="CM175" i="8"/>
  <c r="CK173" i="8"/>
  <c r="CS170" i="8"/>
  <c r="CQ168" i="8"/>
  <c r="CO166" i="8"/>
  <c r="CM164" i="8"/>
  <c r="CK162" i="8"/>
  <c r="CU159" i="8"/>
  <c r="CT193" i="8"/>
  <c r="CO191" i="8"/>
  <c r="CQ188" i="8"/>
  <c r="CL186" i="8"/>
  <c r="CT183" i="8"/>
  <c r="CR181" i="8"/>
  <c r="CP179" i="8"/>
  <c r="CN177" i="8"/>
  <c r="CL175" i="8"/>
  <c r="CT172" i="8"/>
  <c r="CR170" i="8"/>
  <c r="CP168" i="8"/>
  <c r="CN166" i="8"/>
  <c r="CL164" i="8"/>
  <c r="CJ162" i="8"/>
  <c r="CT159" i="8"/>
  <c r="CS193" i="8"/>
  <c r="CN191" i="8"/>
  <c r="CP188" i="8"/>
  <c r="CK186" i="8"/>
  <c r="CS183" i="8"/>
  <c r="CQ181" i="8"/>
  <c r="CO179" i="8"/>
  <c r="CM177" i="8"/>
  <c r="CK175" i="8"/>
  <c r="CS172" i="8"/>
  <c r="CQ170" i="8"/>
  <c r="CO168" i="8"/>
  <c r="CM166" i="8"/>
  <c r="CK164" i="8"/>
  <c r="CU161" i="8"/>
  <c r="CS159" i="8"/>
  <c r="CR193" i="8"/>
  <c r="CM191" i="8"/>
  <c r="CO188" i="8"/>
  <c r="CJ186" i="8"/>
  <c r="CR183" i="8"/>
  <c r="CP181" i="8"/>
  <c r="CN179" i="8"/>
  <c r="CL177" i="8"/>
  <c r="CT174" i="8"/>
  <c r="CR172" i="8"/>
  <c r="CP170" i="8"/>
  <c r="CN168" i="8"/>
  <c r="CL166" i="8"/>
  <c r="CJ164" i="8"/>
  <c r="CT161" i="8"/>
  <c r="CR159" i="8"/>
  <c r="CQ193" i="8"/>
  <c r="CL191" i="8"/>
  <c r="CN188" i="8"/>
  <c r="CU185" i="8"/>
  <c r="CQ183" i="8"/>
  <c r="CO181" i="8"/>
  <c r="CM179" i="8"/>
  <c r="CK177" i="8"/>
  <c r="CS174" i="8"/>
  <c r="CQ172" i="8"/>
  <c r="CO170" i="8"/>
  <c r="CM168" i="8"/>
  <c r="CK166" i="8"/>
  <c r="CU163" i="8"/>
  <c r="CS161" i="8"/>
  <c r="CQ159" i="8"/>
  <c r="CP193" i="8"/>
  <c r="CK191" i="8"/>
  <c r="CM188" i="8"/>
  <c r="CT185" i="8"/>
  <c r="CP183" i="8"/>
  <c r="CN181" i="8"/>
  <c r="CL179" i="8"/>
  <c r="CT176" i="8"/>
  <c r="CR174" i="8"/>
  <c r="CP172" i="8"/>
  <c r="CN170" i="8"/>
  <c r="CL168" i="8"/>
  <c r="CJ166" i="8"/>
  <c r="CT163" i="8"/>
  <c r="CR161" i="8"/>
  <c r="CP159" i="8"/>
  <c r="CO193" i="8"/>
  <c r="CQ190" i="8"/>
  <c r="CL188" i="8"/>
  <c r="CS185" i="8"/>
  <c r="CO183" i="8"/>
  <c r="CM181" i="8"/>
  <c r="CK179" i="8"/>
  <c r="CS176" i="8"/>
  <c r="CQ174" i="8"/>
  <c r="CO172" i="8"/>
  <c r="CM170" i="8"/>
  <c r="CK168" i="8"/>
  <c r="CU165" i="8"/>
  <c r="CS163" i="8"/>
  <c r="CQ161" i="8"/>
  <c r="CO159" i="8"/>
  <c r="CN193" i="8"/>
  <c r="CP190" i="8"/>
  <c r="CK188" i="8"/>
  <c r="CR185" i="8"/>
  <c r="CN183" i="8"/>
  <c r="CL181" i="8"/>
  <c r="CT178" i="8"/>
  <c r="CR176" i="8"/>
  <c r="CP174" i="8"/>
  <c r="CN172" i="8"/>
  <c r="CL170" i="8"/>
  <c r="CJ168" i="8"/>
  <c r="CT165" i="8"/>
  <c r="CR163" i="8"/>
  <c r="CP161" i="8"/>
  <c r="CN159" i="8"/>
  <c r="CM193" i="8"/>
  <c r="CO190" i="8"/>
  <c r="CJ188" i="8"/>
  <c r="CQ185" i="8"/>
  <c r="CM183" i="8"/>
  <c r="CK181" i="8"/>
  <c r="CS178" i="8"/>
  <c r="CQ176" i="8"/>
  <c r="CO174" i="8"/>
  <c r="CM172" i="8"/>
  <c r="CK170" i="8"/>
  <c r="CU167" i="8"/>
  <c r="CS165" i="8"/>
  <c r="CQ163" i="8"/>
  <c r="CO161" i="8"/>
  <c r="CM159" i="8"/>
  <c r="CL193" i="8"/>
  <c r="CN190" i="8"/>
  <c r="CU187" i="8"/>
  <c r="CP185" i="8"/>
  <c r="CL183" i="8"/>
  <c r="CT180" i="8"/>
  <c r="CR178" i="8"/>
  <c r="CP176" i="8"/>
  <c r="CN174" i="8"/>
  <c r="CL172" i="8"/>
  <c r="CJ170" i="8"/>
  <c r="CT167" i="8"/>
  <c r="CR165" i="8"/>
  <c r="CP163" i="8"/>
  <c r="CN161" i="8"/>
  <c r="CL159" i="8"/>
  <c r="CK193" i="8"/>
  <c r="CM190" i="8"/>
  <c r="CT187" i="8"/>
  <c r="CO185" i="8"/>
  <c r="CK183" i="8"/>
  <c r="CS180" i="8"/>
  <c r="CQ178" i="8"/>
  <c r="CO176" i="8"/>
  <c r="CM174" i="8"/>
  <c r="CK172" i="8"/>
  <c r="CU169" i="8"/>
  <c r="CS167" i="8"/>
  <c r="CQ165" i="8"/>
  <c r="CO163" i="8"/>
  <c r="CM161" i="8"/>
  <c r="CK159" i="8"/>
  <c r="CQ192" i="8"/>
  <c r="CL190" i="8"/>
  <c r="CS187" i="8"/>
  <c r="CN185" i="8"/>
  <c r="CT182" i="8"/>
  <c r="CR180" i="8"/>
  <c r="CP178" i="8"/>
  <c r="CN176" i="8"/>
  <c r="CL174" i="8"/>
  <c r="CJ172" i="8"/>
  <c r="CT169" i="8"/>
  <c r="CR167" i="8"/>
  <c r="CP165" i="8"/>
  <c r="CN163" i="8"/>
  <c r="CL161" i="8"/>
  <c r="CT158" i="8"/>
  <c r="CP192" i="8"/>
  <c r="CK190" i="8"/>
  <c r="CR187" i="8"/>
  <c r="CM185" i="8"/>
  <c r="CS182" i="8"/>
  <c r="CQ180" i="8"/>
  <c r="CO178" i="8"/>
  <c r="CM176" i="8"/>
  <c r="CK174" i="8"/>
  <c r="CU171" i="8"/>
  <c r="CS169" i="8"/>
  <c r="CQ167" i="8"/>
  <c r="CO165" i="8"/>
  <c r="CM163" i="8"/>
  <c r="CK161" i="8"/>
  <c r="CS158" i="8"/>
  <c r="CO192" i="8"/>
  <c r="CJ190" i="8"/>
  <c r="CQ187" i="8"/>
  <c r="CL185" i="8"/>
  <c r="CR182" i="8"/>
  <c r="CP180" i="8"/>
  <c r="CN178" i="8"/>
  <c r="CL176" i="8"/>
  <c r="CJ174" i="8"/>
  <c r="CT171" i="8"/>
  <c r="CR169" i="8"/>
  <c r="CP167" i="8"/>
  <c r="CN165" i="8"/>
  <c r="CL163" i="8"/>
  <c r="CT160" i="8"/>
  <c r="CR158" i="8"/>
  <c r="CN192" i="8"/>
  <c r="CU189" i="8"/>
  <c r="CP187" i="8"/>
  <c r="CK185" i="8"/>
  <c r="CQ182" i="8"/>
  <c r="CO180" i="8"/>
  <c r="CM178" i="8"/>
  <c r="CK176" i="8"/>
  <c r="CU173" i="8"/>
  <c r="CS171" i="8"/>
  <c r="CQ169" i="8"/>
  <c r="CO167" i="8"/>
  <c r="CM165" i="8"/>
  <c r="CK163" i="8"/>
  <c r="CS160" i="8"/>
  <c r="CQ158" i="8"/>
  <c r="CM192" i="8"/>
  <c r="CT189" i="8"/>
  <c r="CO187" i="8"/>
  <c r="CS184" i="8"/>
  <c r="CP182" i="8"/>
  <c r="CN180" i="8"/>
  <c r="CL178" i="8"/>
  <c r="CJ176" i="8"/>
  <c r="CT173" i="8"/>
  <c r="CR171" i="8"/>
  <c r="CP169" i="8"/>
  <c r="CN167" i="8"/>
  <c r="CL165" i="8"/>
  <c r="CT162" i="8"/>
  <c r="CR160" i="8"/>
  <c r="CP158" i="8"/>
  <c r="CL192" i="8"/>
  <c r="CS189" i="8"/>
  <c r="CN187" i="8"/>
  <c r="CQ184" i="8"/>
  <c r="CO182" i="8"/>
  <c r="CM180" i="8"/>
  <c r="CK178" i="8"/>
  <c r="CU175" i="8"/>
  <c r="CS173" i="8"/>
  <c r="CQ171" i="8"/>
  <c r="CO169" i="8"/>
  <c r="CM167" i="8"/>
  <c r="CK165" i="8"/>
  <c r="CS162" i="8"/>
  <c r="CQ160" i="8"/>
  <c r="CO158" i="8"/>
  <c r="CK192" i="8"/>
  <c r="CR189" i="8"/>
  <c r="CM187" i="8"/>
  <c r="CP184" i="8"/>
  <c r="CN182" i="8"/>
  <c r="CL180" i="8"/>
  <c r="CJ178" i="8"/>
  <c r="CT175" i="8"/>
  <c r="CR173" i="8"/>
  <c r="CP171" i="8"/>
  <c r="CN169" i="8"/>
  <c r="CL167" i="8"/>
  <c r="CT164" i="8"/>
  <c r="CR162" i="8"/>
  <c r="CP160" i="8"/>
  <c r="CN158" i="8"/>
  <c r="CJ192" i="8"/>
  <c r="CQ189" i="8"/>
  <c r="CL187" i="8"/>
  <c r="CO184" i="8"/>
  <c r="CM182" i="8"/>
  <c r="CK180" i="8"/>
  <c r="CU177" i="8"/>
  <c r="CS175" i="8"/>
  <c r="CQ173" i="8"/>
  <c r="CO171" i="8"/>
  <c r="CM169" i="8"/>
  <c r="CK167" i="8"/>
  <c r="CS164" i="8"/>
  <c r="CQ162" i="8"/>
  <c r="CO160" i="8"/>
  <c r="CM158" i="8"/>
  <c r="CT191" i="8"/>
  <c r="CO189" i="8"/>
  <c r="CQ186" i="8"/>
  <c r="CM184" i="8"/>
  <c r="CK182" i="8"/>
  <c r="CU179" i="8"/>
  <c r="CS177" i="8"/>
  <c r="CQ175" i="8"/>
  <c r="CO173" i="8"/>
  <c r="CM171" i="8"/>
  <c r="CK169" i="8"/>
  <c r="CS166" i="8"/>
  <c r="CQ164" i="8"/>
  <c r="CO162" i="8"/>
  <c r="CM160" i="8"/>
  <c r="CK158" i="8"/>
  <c r="CR175" i="8"/>
  <c r="CB193" i="8"/>
  <c r="CB191" i="8"/>
  <c r="CB189" i="8"/>
  <c r="CB187" i="8"/>
  <c r="CB185" i="8"/>
  <c r="CB183" i="8"/>
  <c r="CB181" i="8"/>
  <c r="CB179" i="8"/>
  <c r="CB177" i="8"/>
  <c r="CB175" i="8"/>
  <c r="CP173" i="8"/>
  <c r="CN171" i="8"/>
  <c r="CL169" i="8"/>
  <c r="CT166" i="8"/>
  <c r="CR164" i="8"/>
  <c r="CP162" i="8"/>
  <c r="CN160" i="8"/>
  <c r="CL158" i="8"/>
  <c r="CU191" i="8"/>
  <c r="CP189" i="8"/>
  <c r="CK187" i="8"/>
  <c r="CN184" i="8"/>
  <c r="CL182" i="8"/>
  <c r="CT177" i="8"/>
  <c r="CJ180" i="8"/>
  <c r="CF193" i="8"/>
  <c r="CE191" i="8"/>
  <c r="CD189" i="8"/>
  <c r="CC187" i="8"/>
  <c r="CA185" i="8"/>
  <c r="BZ183" i="8"/>
  <c r="BY181" i="8"/>
  <c r="BX179" i="8"/>
  <c r="BW177" i="8"/>
  <c r="BV175" i="8"/>
  <c r="BV173" i="8"/>
  <c r="BV171" i="8"/>
  <c r="BV169" i="8"/>
  <c r="BV167" i="8"/>
  <c r="BV165" i="8"/>
  <c r="BV163" i="8"/>
  <c r="BV161" i="8"/>
  <c r="BV159" i="8"/>
  <c r="CE193" i="8"/>
  <c r="CD191" i="8"/>
  <c r="CC189" i="8"/>
  <c r="CA187" i="8"/>
  <c r="BZ185" i="8"/>
  <c r="BY183" i="8"/>
  <c r="BX181" i="8"/>
  <c r="BW179" i="8"/>
  <c r="BV177" i="8"/>
  <c r="CG174" i="8"/>
  <c r="CG172" i="8"/>
  <c r="CG170" i="8"/>
  <c r="CG168" i="8"/>
  <c r="CG166" i="8"/>
  <c r="CG164" i="8"/>
  <c r="CG162" i="8"/>
  <c r="CG160" i="8"/>
  <c r="CG158" i="8"/>
  <c r="CD193" i="8"/>
  <c r="CC191" i="8"/>
  <c r="CA189" i="8"/>
  <c r="BZ187" i="8"/>
  <c r="BY185" i="8"/>
  <c r="BX183" i="8"/>
  <c r="BW181" i="8"/>
  <c r="BV179" i="8"/>
  <c r="CG176" i="8"/>
  <c r="CF174" i="8"/>
  <c r="CF172" i="8"/>
  <c r="CF170" i="8"/>
  <c r="CF168" i="8"/>
  <c r="CF166" i="8"/>
  <c r="CF164" i="8"/>
  <c r="CF162" i="8"/>
  <c r="CF160" i="8"/>
  <c r="CF158" i="8"/>
  <c r="CC193" i="8"/>
  <c r="CA191" i="8"/>
  <c r="BZ189" i="8"/>
  <c r="BY187" i="8"/>
  <c r="BX185" i="8"/>
  <c r="BW183" i="8"/>
  <c r="BV181" i="8"/>
  <c r="CG178" i="8"/>
  <c r="CF176" i="8"/>
  <c r="CE174" i="8"/>
  <c r="CE172" i="8"/>
  <c r="CE170" i="8"/>
  <c r="CE168" i="8"/>
  <c r="CE166" i="8"/>
  <c r="CE164" i="8"/>
  <c r="CE162" i="8"/>
  <c r="CE160" i="8"/>
  <c r="CE158" i="8"/>
  <c r="CA193" i="8"/>
  <c r="BZ191" i="8"/>
  <c r="BY189" i="8"/>
  <c r="BX187" i="8"/>
  <c r="BW185" i="8"/>
  <c r="BV183" i="8"/>
  <c r="CG180" i="8"/>
  <c r="CF178" i="8"/>
  <c r="CE176" i="8"/>
  <c r="CD174" i="8"/>
  <c r="CD172" i="8"/>
  <c r="CD170" i="8"/>
  <c r="CD168" i="8"/>
  <c r="CD166" i="8"/>
  <c r="CD164" i="8"/>
  <c r="CD162" i="8"/>
  <c r="CD160" i="8"/>
  <c r="CD158" i="8"/>
  <c r="BZ193" i="8"/>
  <c r="BY191" i="8"/>
  <c r="BX189" i="8"/>
  <c r="BW187" i="8"/>
  <c r="BV185" i="8"/>
  <c r="CG182" i="8"/>
  <c r="CF180" i="8"/>
  <c r="CE178" i="8"/>
  <c r="CD176" i="8"/>
  <c r="CC174" i="8"/>
  <c r="CC172" i="8"/>
  <c r="CC170" i="8"/>
  <c r="CC168" i="8"/>
  <c r="CC166" i="8"/>
  <c r="CC164" i="8"/>
  <c r="CC162" i="8"/>
  <c r="CC160" i="8"/>
  <c r="CC158" i="8"/>
  <c r="BY193" i="8"/>
  <c r="BX191" i="8"/>
  <c r="BW189" i="8"/>
  <c r="BV187" i="8"/>
  <c r="CG184" i="8"/>
  <c r="CF182" i="8"/>
  <c r="CE180" i="8"/>
  <c r="CD178" i="8"/>
  <c r="CC176" i="8"/>
  <c r="CB174" i="8"/>
  <c r="CB172" i="8"/>
  <c r="CB170" i="8"/>
  <c r="CB168" i="8"/>
  <c r="CB166" i="8"/>
  <c r="CB164" i="8"/>
  <c r="CB162" i="8"/>
  <c r="CB160" i="8"/>
  <c r="CB158" i="8"/>
  <c r="BX193" i="8"/>
  <c r="BW191" i="8"/>
  <c r="BV189" i="8"/>
  <c r="CG186" i="8"/>
  <c r="CF184" i="8"/>
  <c r="CE182" i="8"/>
  <c r="CD180" i="8"/>
  <c r="CC178" i="8"/>
  <c r="CB176" i="8"/>
  <c r="CA174" i="8"/>
  <c r="CA172" i="8"/>
  <c r="CA170" i="8"/>
  <c r="CA168" i="8"/>
  <c r="CA166" i="8"/>
  <c r="CA164" i="8"/>
  <c r="CA162" i="8"/>
  <c r="CA160" i="8"/>
  <c r="CA158" i="8"/>
  <c r="BW193" i="8"/>
  <c r="BV191" i="8"/>
  <c r="CG188" i="8"/>
  <c r="CF186" i="8"/>
  <c r="CE184" i="8"/>
  <c r="CD182" i="8"/>
  <c r="CC180" i="8"/>
  <c r="CB178" i="8"/>
  <c r="CA176" i="8"/>
  <c r="BZ174" i="8"/>
  <c r="BZ172" i="8"/>
  <c r="BZ170" i="8"/>
  <c r="BZ168" i="8"/>
  <c r="BZ166" i="8"/>
  <c r="BZ164" i="8"/>
  <c r="BZ162" i="8"/>
  <c r="BZ160" i="8"/>
  <c r="BZ158" i="8"/>
  <c r="BV193" i="8"/>
  <c r="CG190" i="8"/>
  <c r="CF188" i="8"/>
  <c r="CE186" i="8"/>
  <c r="CD184" i="8"/>
  <c r="CC182" i="8"/>
  <c r="CB180" i="8"/>
  <c r="CA178" i="8"/>
  <c r="BZ176" i="8"/>
  <c r="BY174" i="8"/>
  <c r="BY172" i="8"/>
  <c r="BY170" i="8"/>
  <c r="BY168" i="8"/>
  <c r="BY166" i="8"/>
  <c r="BY164" i="8"/>
  <c r="BY162" i="8"/>
  <c r="BY160" i="8"/>
  <c r="BY158" i="8"/>
  <c r="CG192" i="8"/>
  <c r="CF190" i="8"/>
  <c r="CE188" i="8"/>
  <c r="CD186" i="8"/>
  <c r="CC184" i="8"/>
  <c r="CB182" i="8"/>
  <c r="CA180" i="8"/>
  <c r="BZ178" i="8"/>
  <c r="BY176" i="8"/>
  <c r="BX174" i="8"/>
  <c r="BX172" i="8"/>
  <c r="BX170" i="8"/>
  <c r="BX168" i="8"/>
  <c r="BX166" i="8"/>
  <c r="BX164" i="8"/>
  <c r="BX162" i="8"/>
  <c r="BX160" i="8"/>
  <c r="BX158" i="8"/>
  <c r="CF192" i="8"/>
  <c r="CE190" i="8"/>
  <c r="CD188" i="8"/>
  <c r="CC186" i="8"/>
  <c r="CB184" i="8"/>
  <c r="CA182" i="8"/>
  <c r="BZ180" i="8"/>
  <c r="BY178" i="8"/>
  <c r="BX176" i="8"/>
  <c r="BW174" i="8"/>
  <c r="BW172" i="8"/>
  <c r="BW170" i="8"/>
  <c r="BW168" i="8"/>
  <c r="BW166" i="8"/>
  <c r="BW164" i="8"/>
  <c r="BW162" i="8"/>
  <c r="BW160" i="8"/>
  <c r="BW158" i="8"/>
  <c r="CE192" i="8"/>
  <c r="CD190" i="8"/>
  <c r="CC188" i="8"/>
  <c r="CB186" i="8"/>
  <c r="CA184" i="8"/>
  <c r="BZ182" i="8"/>
  <c r="BY180" i="8"/>
  <c r="BX178" i="8"/>
  <c r="BW176" i="8"/>
  <c r="BV174" i="8"/>
  <c r="BV172" i="8"/>
  <c r="BV170" i="8"/>
  <c r="BV168" i="8"/>
  <c r="BV166" i="8"/>
  <c r="BV164" i="8"/>
  <c r="BV162" i="8"/>
  <c r="BV160" i="8"/>
  <c r="BV158" i="8"/>
  <c r="CD192" i="8"/>
  <c r="CC190" i="8"/>
  <c r="CB188" i="8"/>
  <c r="CA186" i="8"/>
  <c r="BZ184" i="8"/>
  <c r="BY182" i="8"/>
  <c r="BX180" i="8"/>
  <c r="BW178" i="8"/>
  <c r="BV176" i="8"/>
  <c r="CG173" i="8"/>
  <c r="CG171" i="8"/>
  <c r="CG169" i="8"/>
  <c r="CG167" i="8"/>
  <c r="CG165" i="8"/>
  <c r="CC192" i="8"/>
  <c r="CB190" i="8"/>
  <c r="CA188" i="8"/>
  <c r="BZ186" i="8"/>
  <c r="BY184" i="8"/>
  <c r="BX182" i="8"/>
  <c r="BW180" i="8"/>
  <c r="BV178" i="8"/>
  <c r="CG175" i="8"/>
  <c r="CF173" i="8"/>
  <c r="CF171" i="8"/>
  <c r="CF169" i="8"/>
  <c r="CF167" i="8"/>
  <c r="CF165" i="8"/>
  <c r="CF163" i="8"/>
  <c r="CF161" i="8"/>
  <c r="CF159" i="8"/>
  <c r="CB192" i="8"/>
  <c r="CA190" i="8"/>
  <c r="BZ188" i="8"/>
  <c r="BY186" i="8"/>
  <c r="BX184" i="8"/>
  <c r="BW182" i="8"/>
  <c r="BV180" i="8"/>
  <c r="CG177" i="8"/>
  <c r="CF175" i="8"/>
  <c r="CE173" i="8"/>
  <c r="CE171" i="8"/>
  <c r="CE169" i="8"/>
  <c r="CE167" i="8"/>
  <c r="CE165" i="8"/>
  <c r="CE163" i="8"/>
  <c r="CE161" i="8"/>
  <c r="CE159" i="8"/>
  <c r="CA192" i="8"/>
  <c r="BZ190" i="8"/>
  <c r="BY188" i="8"/>
  <c r="BX186" i="8"/>
  <c r="BW184" i="8"/>
  <c r="BV182" i="8"/>
  <c r="CG179" i="8"/>
  <c r="CF177" i="8"/>
  <c r="CE175" i="8"/>
  <c r="CD173" i="8"/>
  <c r="CD171" i="8"/>
  <c r="CD169" i="8"/>
  <c r="CD167" i="8"/>
  <c r="CD165" i="8"/>
  <c r="CD163" i="8"/>
  <c r="CD161" i="8"/>
  <c r="CD159" i="8"/>
  <c r="BZ192" i="8"/>
  <c r="BY190" i="8"/>
  <c r="BX188" i="8"/>
  <c r="BW186" i="8"/>
  <c r="BV184" i="8"/>
  <c r="CG181" i="8"/>
  <c r="CF179" i="8"/>
  <c r="CE177" i="8"/>
  <c r="CD175" i="8"/>
  <c r="CC173" i="8"/>
  <c r="CC171" i="8"/>
  <c r="CC169" i="8"/>
  <c r="CC167" i="8"/>
  <c r="CC165" i="8"/>
  <c r="CC163" i="8"/>
  <c r="CC161" i="8"/>
  <c r="CC159" i="8"/>
  <c r="BY192" i="8"/>
  <c r="BX190" i="8"/>
  <c r="BW188" i="8"/>
  <c r="BV186" i="8"/>
  <c r="CG183" i="8"/>
  <c r="CF181" i="8"/>
  <c r="CE179" i="8"/>
  <c r="CD177" i="8"/>
  <c r="CC175" i="8"/>
  <c r="CB173" i="8"/>
  <c r="CB171" i="8"/>
  <c r="CB169" i="8"/>
  <c r="CB167" i="8"/>
  <c r="CB165" i="8"/>
  <c r="CB163" i="8"/>
  <c r="CB161" i="8"/>
  <c r="CB159" i="8"/>
  <c r="BX192" i="8"/>
  <c r="BW190" i="8"/>
  <c r="BV188" i="8"/>
  <c r="CG185" i="8"/>
  <c r="CF183" i="8"/>
  <c r="CE181" i="8"/>
  <c r="CD179" i="8"/>
  <c r="CC177" i="8"/>
  <c r="CA175" i="8"/>
  <c r="CA173" i="8"/>
  <c r="CA171" i="8"/>
  <c r="CA169" i="8"/>
  <c r="CA167" i="8"/>
  <c r="CA165" i="8"/>
  <c r="CA163" i="8"/>
  <c r="CA161" i="8"/>
  <c r="CA159" i="8"/>
  <c r="BW192" i="8"/>
  <c r="BV190" i="8"/>
  <c r="CG187" i="8"/>
  <c r="CF185" i="8"/>
  <c r="CE183" i="8"/>
  <c r="CD181" i="8"/>
  <c r="CC179" i="8"/>
  <c r="CA177" i="8"/>
  <c r="BZ175" i="8"/>
  <c r="BZ173" i="8"/>
  <c r="BZ171" i="8"/>
  <c r="BZ169" i="8"/>
  <c r="BZ167" i="8"/>
  <c r="BZ165" i="8"/>
  <c r="BZ163" i="8"/>
  <c r="BZ161" i="8"/>
  <c r="BZ159" i="8"/>
  <c r="CG193" i="8"/>
  <c r="CF191" i="8"/>
  <c r="CE189" i="8"/>
  <c r="CD187" i="8"/>
  <c r="CC185" i="8"/>
  <c r="CA183" i="8"/>
  <c r="BZ181" i="8"/>
  <c r="BY179" i="8"/>
  <c r="BX177" i="8"/>
  <c r="BW175" i="8"/>
  <c r="BW173" i="8"/>
  <c r="BW171" i="8"/>
  <c r="BW169" i="8"/>
  <c r="BW167" i="8"/>
  <c r="BW165" i="8"/>
  <c r="BW163" i="8"/>
  <c r="BW161" i="8"/>
  <c r="BW159" i="8"/>
  <c r="BY175" i="8"/>
  <c r="BX175" i="8"/>
  <c r="BY173" i="8"/>
  <c r="BX173" i="8"/>
  <c r="BY171" i="8"/>
  <c r="BX171" i="8"/>
  <c r="BY169" i="8"/>
  <c r="BX169" i="8"/>
  <c r="BV192" i="8"/>
  <c r="BY167" i="8"/>
  <c r="CG191" i="8"/>
  <c r="BX167" i="8"/>
  <c r="CG189" i="8"/>
  <c r="BY165" i="8"/>
  <c r="CF189" i="8"/>
  <c r="BX165" i="8"/>
  <c r="CF187" i="8"/>
  <c r="CG163" i="8"/>
  <c r="CE187" i="8"/>
  <c r="BY163" i="8"/>
  <c r="CE185" i="8"/>
  <c r="BX163" i="8"/>
  <c r="CD185" i="8"/>
  <c r="CG161" i="8"/>
  <c r="CD183" i="8"/>
  <c r="BY161" i="8"/>
  <c r="CC183" i="8"/>
  <c r="BX161" i="8"/>
  <c r="CC181" i="8"/>
  <c r="CG159" i="8"/>
  <c r="CA181" i="8"/>
  <c r="BY159" i="8"/>
  <c r="CA179" i="8"/>
  <c r="BX159" i="8"/>
  <c r="BZ179" i="8"/>
  <c r="BY177" i="8"/>
  <c r="BL192" i="8"/>
  <c r="BL190" i="8"/>
  <c r="BL188" i="8"/>
  <c r="BL186" i="8"/>
  <c r="BL184" i="8"/>
  <c r="BL182" i="8"/>
  <c r="BL180" i="8"/>
  <c r="BL178" i="8"/>
  <c r="BL176" i="8"/>
  <c r="BL174" i="8"/>
  <c r="BL172" i="8"/>
  <c r="BL170" i="8"/>
  <c r="BL168" i="8"/>
  <c r="BL166" i="8"/>
  <c r="BL164" i="8"/>
  <c r="BL162" i="8"/>
  <c r="BL160" i="8"/>
  <c r="BL158" i="8"/>
  <c r="BK192" i="8"/>
  <c r="BK190" i="8"/>
  <c r="BK188" i="8"/>
  <c r="BK186" i="8"/>
  <c r="BK184" i="8"/>
  <c r="BK182" i="8"/>
  <c r="BK180" i="8"/>
  <c r="BK178" i="8"/>
  <c r="BK176" i="8"/>
  <c r="BK174" i="8"/>
  <c r="BK172" i="8"/>
  <c r="BK170" i="8"/>
  <c r="BK168" i="8"/>
  <c r="BK166" i="8"/>
  <c r="BK164" i="8"/>
  <c r="BK162" i="8"/>
  <c r="BK160" i="8"/>
  <c r="BK158" i="8"/>
  <c r="BZ177" i="8"/>
  <c r="BJ192" i="8"/>
  <c r="BJ190" i="8"/>
  <c r="BJ188" i="8"/>
  <c r="BJ186" i="8"/>
  <c r="BJ184" i="8"/>
  <c r="BJ182" i="8"/>
  <c r="BJ180" i="8"/>
  <c r="BJ178" i="8"/>
  <c r="BJ176" i="8"/>
  <c r="BJ174" i="8"/>
  <c r="BJ172" i="8"/>
  <c r="BJ170" i="8"/>
  <c r="BJ168" i="8"/>
  <c r="BJ166" i="8"/>
  <c r="BJ164" i="8"/>
  <c r="BJ162" i="8"/>
  <c r="BJ160" i="8"/>
  <c r="BJ158" i="8"/>
  <c r="BI192" i="8"/>
  <c r="BI190" i="8"/>
  <c r="BI188" i="8"/>
  <c r="BI186" i="8"/>
  <c r="BI184" i="8"/>
  <c r="BI182" i="8"/>
  <c r="BI180" i="8"/>
  <c r="BI178" i="8"/>
  <c r="BI176" i="8"/>
  <c r="BI174" i="8"/>
  <c r="BI172" i="8"/>
  <c r="BI170" i="8"/>
  <c r="BI168" i="8"/>
  <c r="BI166" i="8"/>
  <c r="BI164" i="8"/>
  <c r="BI162" i="8"/>
  <c r="BI160" i="8"/>
  <c r="BI158" i="8"/>
  <c r="BH192" i="8"/>
  <c r="BH190" i="8"/>
  <c r="BH188" i="8"/>
  <c r="BH186" i="8"/>
  <c r="BH184" i="8"/>
  <c r="BH182" i="8"/>
  <c r="BH180" i="8"/>
  <c r="BH178" i="8"/>
  <c r="BH176" i="8"/>
  <c r="BH174" i="8"/>
  <c r="BH172" i="8"/>
  <c r="BH170" i="8"/>
  <c r="BH168" i="8"/>
  <c r="BH166" i="8"/>
  <c r="BH164" i="8"/>
  <c r="BH162" i="8"/>
  <c r="BH160" i="8"/>
  <c r="BH158" i="8"/>
  <c r="BS193" i="8"/>
  <c r="BS191" i="8"/>
  <c r="BS189" i="8"/>
  <c r="BS187" i="8"/>
  <c r="BS185" i="8"/>
  <c r="BS183" i="8"/>
  <c r="BS181" i="8"/>
  <c r="BS179" i="8"/>
  <c r="BS177" i="8"/>
  <c r="BS175" i="8"/>
  <c r="BS173" i="8"/>
  <c r="BS171" i="8"/>
  <c r="BS169" i="8"/>
  <c r="BS167" i="8"/>
  <c r="BS165" i="8"/>
  <c r="BS163" i="8"/>
  <c r="BS161" i="8"/>
  <c r="BS159" i="8"/>
  <c r="BR193" i="8"/>
  <c r="BR191" i="8"/>
  <c r="BR189" i="8"/>
  <c r="BR187" i="8"/>
  <c r="BR185" i="8"/>
  <c r="BR183" i="8"/>
  <c r="BR181" i="8"/>
  <c r="BR179" i="8"/>
  <c r="BR177" i="8"/>
  <c r="BR175" i="8"/>
  <c r="BR173" i="8"/>
  <c r="BR171" i="8"/>
  <c r="BR169" i="8"/>
  <c r="BR167" i="8"/>
  <c r="BR165" i="8"/>
  <c r="BR163" i="8"/>
  <c r="BR161" i="8"/>
  <c r="BR159" i="8"/>
  <c r="BQ193" i="8"/>
  <c r="BQ191" i="8"/>
  <c r="BQ189" i="8"/>
  <c r="BQ187" i="8"/>
  <c r="BQ185" i="8"/>
  <c r="BQ183" i="8"/>
  <c r="BQ181" i="8"/>
  <c r="BQ179" i="8"/>
  <c r="BQ177" i="8"/>
  <c r="BQ175" i="8"/>
  <c r="BQ173" i="8"/>
  <c r="BQ171" i="8"/>
  <c r="BQ169" i="8"/>
  <c r="BQ167" i="8"/>
  <c r="BQ165" i="8"/>
  <c r="BQ163" i="8"/>
  <c r="BQ161" i="8"/>
  <c r="BQ159" i="8"/>
  <c r="BP193" i="8"/>
  <c r="BP191" i="8"/>
  <c r="BP189" i="8"/>
  <c r="BP187" i="8"/>
  <c r="BP185" i="8"/>
  <c r="BP183" i="8"/>
  <c r="BP181" i="8"/>
  <c r="BP179" i="8"/>
  <c r="BP177" i="8"/>
  <c r="BP175" i="8"/>
  <c r="BP173" i="8"/>
  <c r="BP171" i="8"/>
  <c r="BP169" i="8"/>
  <c r="BP167" i="8"/>
  <c r="BP165" i="8"/>
  <c r="BP163" i="8"/>
  <c r="BP161" i="8"/>
  <c r="BP159" i="8"/>
  <c r="BO193" i="8"/>
  <c r="BO191" i="8"/>
  <c r="BO189" i="8"/>
  <c r="BO187" i="8"/>
  <c r="BO185" i="8"/>
  <c r="BO183" i="8"/>
  <c r="BO181" i="8"/>
  <c r="BO179" i="8"/>
  <c r="BO177" i="8"/>
  <c r="BO175" i="8"/>
  <c r="BO173" i="8"/>
  <c r="BO171" i="8"/>
  <c r="BO169" i="8"/>
  <c r="BO167" i="8"/>
  <c r="BO165" i="8"/>
  <c r="BO163" i="8"/>
  <c r="BO161" i="8"/>
  <c r="BO159" i="8"/>
  <c r="BN193" i="8"/>
  <c r="BN191" i="8"/>
  <c r="BN189" i="8"/>
  <c r="BN187" i="8"/>
  <c r="BN185" i="8"/>
  <c r="BN183" i="8"/>
  <c r="BN181" i="8"/>
  <c r="BN179" i="8"/>
  <c r="BN177" i="8"/>
  <c r="BN175" i="8"/>
  <c r="BN173" i="8"/>
  <c r="BN171" i="8"/>
  <c r="BN169" i="8"/>
  <c r="BN167" i="8"/>
  <c r="BN165" i="8"/>
  <c r="BN163" i="8"/>
  <c r="BN161" i="8"/>
  <c r="BN159" i="8"/>
  <c r="BM193" i="8"/>
  <c r="BM191" i="8"/>
  <c r="BM189" i="8"/>
  <c r="BM187" i="8"/>
  <c r="BM185" i="8"/>
  <c r="BM183" i="8"/>
  <c r="BM181" i="8"/>
  <c r="BM179" i="8"/>
  <c r="BM177" i="8"/>
  <c r="BM175" i="8"/>
  <c r="BM173" i="8"/>
  <c r="BM171" i="8"/>
  <c r="BM169" i="8"/>
  <c r="BM167" i="8"/>
  <c r="BM165" i="8"/>
  <c r="BM163" i="8"/>
  <c r="BM161" i="8"/>
  <c r="BM159" i="8"/>
  <c r="BL193" i="8"/>
  <c r="BL191" i="8"/>
  <c r="BL189" i="8"/>
  <c r="BL187" i="8"/>
  <c r="BL185" i="8"/>
  <c r="BL183" i="8"/>
  <c r="BL181" i="8"/>
  <c r="BL179" i="8"/>
  <c r="BL177" i="8"/>
  <c r="BL175" i="8"/>
  <c r="BL173" i="8"/>
  <c r="BL171" i="8"/>
  <c r="BL169" i="8"/>
  <c r="BL167" i="8"/>
  <c r="BL165" i="8"/>
  <c r="BL163" i="8"/>
  <c r="BL161" i="8"/>
  <c r="BL159" i="8"/>
  <c r="BK193" i="8"/>
  <c r="BK191" i="8"/>
  <c r="BK189" i="8"/>
  <c r="BK187" i="8"/>
  <c r="BK185" i="8"/>
  <c r="BK183" i="8"/>
  <c r="BK181" i="8"/>
  <c r="BK179" i="8"/>
  <c r="BK177" i="8"/>
  <c r="BK175" i="8"/>
  <c r="BK173" i="8"/>
  <c r="BK171" i="8"/>
  <c r="BK169" i="8"/>
  <c r="BK167" i="8"/>
  <c r="BK165" i="8"/>
  <c r="BK163" i="8"/>
  <c r="BK161" i="8"/>
  <c r="BK159" i="8"/>
  <c r="BJ193" i="8"/>
  <c r="BJ191" i="8"/>
  <c r="BJ189" i="8"/>
  <c r="BJ187" i="8"/>
  <c r="BJ185" i="8"/>
  <c r="BJ183" i="8"/>
  <c r="BJ181" i="8"/>
  <c r="BJ179" i="8"/>
  <c r="BJ177" i="8"/>
  <c r="BJ175" i="8"/>
  <c r="BJ173" i="8"/>
  <c r="BJ171" i="8"/>
  <c r="BJ169" i="8"/>
  <c r="BJ167" i="8"/>
  <c r="BJ165" i="8"/>
  <c r="BJ163" i="8"/>
  <c r="BJ161" i="8"/>
  <c r="BJ159" i="8"/>
  <c r="BI193" i="8"/>
  <c r="BI191" i="8"/>
  <c r="BI189" i="8"/>
  <c r="BI187" i="8"/>
  <c r="BI185" i="8"/>
  <c r="BI183" i="8"/>
  <c r="BI181" i="8"/>
  <c r="BI179" i="8"/>
  <c r="BI177" i="8"/>
  <c r="BI175" i="8"/>
  <c r="BI173" i="8"/>
  <c r="BI171" i="8"/>
  <c r="BI169" i="8"/>
  <c r="BI167" i="8"/>
  <c r="BI165" i="8"/>
  <c r="BI163" i="8"/>
  <c r="BI161" i="8"/>
  <c r="BI159" i="8"/>
  <c r="BS192" i="8"/>
  <c r="BS190" i="8"/>
  <c r="BS188" i="8"/>
  <c r="BS186" i="8"/>
  <c r="BS184" i="8"/>
  <c r="BS182" i="8"/>
  <c r="BS180" i="8"/>
  <c r="BS178" i="8"/>
  <c r="BS176" i="8"/>
  <c r="BS174" i="8"/>
  <c r="BS172" i="8"/>
  <c r="BS170" i="8"/>
  <c r="BS168" i="8"/>
  <c r="BS166" i="8"/>
  <c r="BS164" i="8"/>
  <c r="BS162" i="8"/>
  <c r="BS160" i="8"/>
  <c r="BS158" i="8"/>
  <c r="BR192" i="8"/>
  <c r="BR190" i="8"/>
  <c r="BR188" i="8"/>
  <c r="BR186" i="8"/>
  <c r="BR184" i="8"/>
  <c r="BR182" i="8"/>
  <c r="BR180" i="8"/>
  <c r="BR178" i="8"/>
  <c r="BR176" i="8"/>
  <c r="BR174" i="8"/>
  <c r="BR172" i="8"/>
  <c r="BR170" i="8"/>
  <c r="BR168" i="8"/>
  <c r="BR166" i="8"/>
  <c r="BR164" i="8"/>
  <c r="BR162" i="8"/>
  <c r="BR160" i="8"/>
  <c r="BR158" i="8"/>
  <c r="BQ192" i="8"/>
  <c r="BQ190" i="8"/>
  <c r="BQ188" i="8"/>
  <c r="BQ186" i="8"/>
  <c r="BQ184" i="8"/>
  <c r="BQ182" i="8"/>
  <c r="BQ180" i="8"/>
  <c r="BQ178" i="8"/>
  <c r="BQ176" i="8"/>
  <c r="BQ174" i="8"/>
  <c r="BQ172" i="8"/>
  <c r="BQ170" i="8"/>
  <c r="BQ168" i="8"/>
  <c r="BQ166" i="8"/>
  <c r="BQ164" i="8"/>
  <c r="BQ162" i="8"/>
  <c r="BQ160" i="8"/>
  <c r="BQ158" i="8"/>
  <c r="BP192" i="8"/>
  <c r="BP190" i="8"/>
  <c r="BP188" i="8"/>
  <c r="BP186" i="8"/>
  <c r="BP184" i="8"/>
  <c r="BP182" i="8"/>
  <c r="BP180" i="8"/>
  <c r="BP178" i="8"/>
  <c r="BP176" i="8"/>
  <c r="BP174" i="8"/>
  <c r="BP172" i="8"/>
  <c r="BP170" i="8"/>
  <c r="BP168" i="8"/>
  <c r="BP166" i="8"/>
  <c r="BP164" i="8"/>
  <c r="BP162" i="8"/>
  <c r="BP160" i="8"/>
  <c r="BP158" i="8"/>
  <c r="BO192" i="8"/>
  <c r="BO190" i="8"/>
  <c r="BO188" i="8"/>
  <c r="BO186" i="8"/>
  <c r="BO184" i="8"/>
  <c r="BO182" i="8"/>
  <c r="BO180" i="8"/>
  <c r="BO178" i="8"/>
  <c r="BO176" i="8"/>
  <c r="BO174" i="8"/>
  <c r="BO172" i="8"/>
  <c r="BO170" i="8"/>
  <c r="BO168" i="8"/>
  <c r="BO166" i="8"/>
  <c r="BO164" i="8"/>
  <c r="BO162" i="8"/>
  <c r="BO160" i="8"/>
  <c r="BO158" i="8"/>
  <c r="BN192" i="8"/>
  <c r="BN190" i="8"/>
  <c r="BN188" i="8"/>
  <c r="BN186" i="8"/>
  <c r="BN184" i="8"/>
  <c r="BN182" i="8"/>
  <c r="BN180" i="8"/>
  <c r="BN178" i="8"/>
  <c r="BN176" i="8"/>
  <c r="BN174" i="8"/>
  <c r="BN172" i="8"/>
  <c r="BN170" i="8"/>
  <c r="BN168" i="8"/>
  <c r="BN166" i="8"/>
  <c r="BN164" i="8"/>
  <c r="BN162" i="8"/>
  <c r="BN160" i="8"/>
  <c r="BN158" i="8"/>
  <c r="BH179" i="8"/>
  <c r="BA193" i="8"/>
  <c r="BA191" i="8"/>
  <c r="BA189" i="8"/>
  <c r="BA187" i="8"/>
  <c r="BA185" i="8"/>
  <c r="BA183" i="8"/>
  <c r="BA181" i="8"/>
  <c r="BA179" i="8"/>
  <c r="BA177" i="8"/>
  <c r="BA175" i="8"/>
  <c r="BA173" i="8"/>
  <c r="BA171" i="8"/>
  <c r="BA169" i="8"/>
  <c r="BA167" i="8"/>
  <c r="BA165" i="8"/>
  <c r="BA163" i="8"/>
  <c r="BM178" i="8"/>
  <c r="AZ193" i="8"/>
  <c r="AZ191" i="8"/>
  <c r="AZ189" i="8"/>
  <c r="AZ187" i="8"/>
  <c r="AZ185" i="8"/>
  <c r="AZ183" i="8"/>
  <c r="AZ181" i="8"/>
  <c r="AZ179" i="8"/>
  <c r="AZ177" i="8"/>
  <c r="AZ175" i="8"/>
  <c r="AZ173" i="8"/>
  <c r="AZ171" i="8"/>
  <c r="AZ169" i="8"/>
  <c r="AZ167" i="8"/>
  <c r="AZ165" i="8"/>
  <c r="BH177" i="8"/>
  <c r="BM176" i="8"/>
  <c r="BH175" i="8"/>
  <c r="BM174" i="8"/>
  <c r="BH173" i="8"/>
  <c r="BM172" i="8"/>
  <c r="BH171" i="8"/>
  <c r="BM170" i="8"/>
  <c r="BH193" i="8"/>
  <c r="BH169" i="8"/>
  <c r="BM192" i="8"/>
  <c r="BM168" i="8"/>
  <c r="BH191" i="8"/>
  <c r="BH167" i="8"/>
  <c r="BM190" i="8"/>
  <c r="BM166" i="8"/>
  <c r="BH189" i="8"/>
  <c r="BH165" i="8"/>
  <c r="BM188" i="8"/>
  <c r="BM164" i="8"/>
  <c r="BH187" i="8"/>
  <c r="BH163" i="8"/>
  <c r="BM186" i="8"/>
  <c r="BM162" i="8"/>
  <c r="BH185" i="8"/>
  <c r="BH161" i="8"/>
  <c r="BM184" i="8"/>
  <c r="BM160" i="8"/>
  <c r="BH183" i="8"/>
  <c r="BH159" i="8"/>
  <c r="BM182" i="8"/>
  <c r="BM158" i="8"/>
  <c r="BM180" i="8"/>
  <c r="BH181" i="8"/>
  <c r="AY193" i="8"/>
  <c r="AW191" i="8"/>
  <c r="AU189" i="8"/>
  <c r="BE186" i="8"/>
  <c r="BC184" i="8"/>
  <c r="BA182" i="8"/>
  <c r="AY180" i="8"/>
  <c r="AW178" i="8"/>
  <c r="AU176" i="8"/>
  <c r="BE173" i="8"/>
  <c r="BC171" i="8"/>
  <c r="AY169" i="8"/>
  <c r="AW167" i="8"/>
  <c r="AU165" i="8"/>
  <c r="AT163" i="8"/>
  <c r="AT161" i="8"/>
  <c r="AT159" i="8"/>
  <c r="AX193" i="8"/>
  <c r="AV191" i="8"/>
  <c r="AT189" i="8"/>
  <c r="BD186" i="8"/>
  <c r="BB184" i="8"/>
  <c r="AZ182" i="8"/>
  <c r="AX180" i="8"/>
  <c r="AV178" i="8"/>
  <c r="AT176" i="8"/>
  <c r="BD173" i="8"/>
  <c r="BB171" i="8"/>
  <c r="AX169" i="8"/>
  <c r="AV167" i="8"/>
  <c r="AT165" i="8"/>
  <c r="BE162" i="8"/>
  <c r="BE160" i="8"/>
  <c r="BE158" i="8"/>
  <c r="AW193" i="8"/>
  <c r="AU191" i="8"/>
  <c r="BE188" i="8"/>
  <c r="BC186" i="8"/>
  <c r="BA184" i="8"/>
  <c r="AY182" i="8"/>
  <c r="AW180" i="8"/>
  <c r="AU178" i="8"/>
  <c r="BE175" i="8"/>
  <c r="BC173" i="8"/>
  <c r="AY171" i="8"/>
  <c r="AW169" i="8"/>
  <c r="AU167" i="8"/>
  <c r="BE164" i="8"/>
  <c r="BD162" i="8"/>
  <c r="BD160" i="8"/>
  <c r="BD158" i="8"/>
  <c r="AV193" i="8"/>
  <c r="AT191" i="8"/>
  <c r="BD188" i="8"/>
  <c r="BB186" i="8"/>
  <c r="AZ184" i="8"/>
  <c r="AX182" i="8"/>
  <c r="AV180" i="8"/>
  <c r="AT178" i="8"/>
  <c r="BD175" i="8"/>
  <c r="BB173" i="8"/>
  <c r="AX171" i="8"/>
  <c r="AV169" i="8"/>
  <c r="AT167" i="8"/>
  <c r="BD164" i="8"/>
  <c r="BC162" i="8"/>
  <c r="BC160" i="8"/>
  <c r="BC158" i="8"/>
  <c r="AU193" i="8"/>
  <c r="BE190" i="8"/>
  <c r="BC188" i="8"/>
  <c r="BA186" i="8"/>
  <c r="AY184" i="8"/>
  <c r="AW182" i="8"/>
  <c r="AU180" i="8"/>
  <c r="BE177" i="8"/>
  <c r="BC175" i="8"/>
  <c r="AY173" i="8"/>
  <c r="AW171" i="8"/>
  <c r="AU169" i="8"/>
  <c r="BE166" i="8"/>
  <c r="BC164" i="8"/>
  <c r="BB162" i="8"/>
  <c r="BB160" i="8"/>
  <c r="BB158" i="8"/>
  <c r="AT193" i="8"/>
  <c r="BD190" i="8"/>
  <c r="BB188" i="8"/>
  <c r="AZ186" i="8"/>
  <c r="AX184" i="8"/>
  <c r="AV182" i="8"/>
  <c r="AT180" i="8"/>
  <c r="BD177" i="8"/>
  <c r="BB175" i="8"/>
  <c r="AX173" i="8"/>
  <c r="AV171" i="8"/>
  <c r="AT169" i="8"/>
  <c r="BD166" i="8"/>
  <c r="BB164" i="8"/>
  <c r="BA162" i="8"/>
  <c r="BA160" i="8"/>
  <c r="BA158" i="8"/>
  <c r="BE192" i="8"/>
  <c r="BC190" i="8"/>
  <c r="BA188" i="8"/>
  <c r="AY186" i="8"/>
  <c r="AW184" i="8"/>
  <c r="AU182" i="8"/>
  <c r="BE179" i="8"/>
  <c r="BC177" i="8"/>
  <c r="AY175" i="8"/>
  <c r="AW173" i="8"/>
  <c r="AU171" i="8"/>
  <c r="BE168" i="8"/>
  <c r="BC166" i="8"/>
  <c r="BA164" i="8"/>
  <c r="AZ162" i="8"/>
  <c r="AZ160" i="8"/>
  <c r="AZ158" i="8"/>
  <c r="BD192" i="8"/>
  <c r="BB190" i="8"/>
  <c r="AZ188" i="8"/>
  <c r="AX186" i="8"/>
  <c r="AV184" i="8"/>
  <c r="AT182" i="8"/>
  <c r="BD179" i="8"/>
  <c r="BB177" i="8"/>
  <c r="AX175" i="8"/>
  <c r="AV173" i="8"/>
  <c r="AT171" i="8"/>
  <c r="BD168" i="8"/>
  <c r="BB166" i="8"/>
  <c r="AZ164" i="8"/>
  <c r="AY162" i="8"/>
  <c r="AY160" i="8"/>
  <c r="AY158" i="8"/>
  <c r="BC192" i="8"/>
  <c r="BA190" i="8"/>
  <c r="AY188" i="8"/>
  <c r="AW186" i="8"/>
  <c r="AU184" i="8"/>
  <c r="BE181" i="8"/>
  <c r="BC179" i="8"/>
  <c r="AY177" i="8"/>
  <c r="AW175" i="8"/>
  <c r="AU173" i="8"/>
  <c r="BE170" i="8"/>
  <c r="BC168" i="8"/>
  <c r="BA166" i="8"/>
  <c r="AY164" i="8"/>
  <c r="AX162" i="8"/>
  <c r="AX160" i="8"/>
  <c r="AX158" i="8"/>
  <c r="BB192" i="8"/>
  <c r="AZ190" i="8"/>
  <c r="AX188" i="8"/>
  <c r="AV186" i="8"/>
  <c r="AT184" i="8"/>
  <c r="BD181" i="8"/>
  <c r="BB179" i="8"/>
  <c r="AX177" i="8"/>
  <c r="AV175" i="8"/>
  <c r="AT173" i="8"/>
  <c r="BD170" i="8"/>
  <c r="BB168" i="8"/>
  <c r="AZ166" i="8"/>
  <c r="AX164" i="8"/>
  <c r="AW162" i="8"/>
  <c r="AW160" i="8"/>
  <c r="AW158" i="8"/>
  <c r="BA192" i="8"/>
  <c r="AY190" i="8"/>
  <c r="AW188" i="8"/>
  <c r="AU186" i="8"/>
  <c r="BE183" i="8"/>
  <c r="BC181" i="8"/>
  <c r="AY179" i="8"/>
  <c r="AW177" i="8"/>
  <c r="AU175" i="8"/>
  <c r="BE172" i="8"/>
  <c r="BC170" i="8"/>
  <c r="BA168" i="8"/>
  <c r="AY166" i="8"/>
  <c r="AW164" i="8"/>
  <c r="AV162" i="8"/>
  <c r="AV160" i="8"/>
  <c r="AV158" i="8"/>
  <c r="AZ192" i="8"/>
  <c r="AX190" i="8"/>
  <c r="AV188" i="8"/>
  <c r="AT186" i="8"/>
  <c r="BD183" i="8"/>
  <c r="BB181" i="8"/>
  <c r="AX179" i="8"/>
  <c r="AV177" i="8"/>
  <c r="AT175" i="8"/>
  <c r="BD172" i="8"/>
  <c r="BB170" i="8"/>
  <c r="AZ168" i="8"/>
  <c r="AX166" i="8"/>
  <c r="AV164" i="8"/>
  <c r="AU162" i="8"/>
  <c r="AU160" i="8"/>
  <c r="AU158" i="8"/>
  <c r="AY192" i="8"/>
  <c r="AW190" i="8"/>
  <c r="AU188" i="8"/>
  <c r="BE185" i="8"/>
  <c r="BC183" i="8"/>
  <c r="AY181" i="8"/>
  <c r="AW179" i="8"/>
  <c r="AU177" i="8"/>
  <c r="BE174" i="8"/>
  <c r="BC172" i="8"/>
  <c r="BA170" i="8"/>
  <c r="AY168" i="8"/>
  <c r="AW166" i="8"/>
  <c r="AU164" i="8"/>
  <c r="AT162" i="8"/>
  <c r="AT160" i="8"/>
  <c r="AT158" i="8"/>
  <c r="AX192" i="8"/>
  <c r="AV190" i="8"/>
  <c r="AT188" i="8"/>
  <c r="BD185" i="8"/>
  <c r="BB183" i="8"/>
  <c r="AX181" i="8"/>
  <c r="AV179" i="8"/>
  <c r="AT177" i="8"/>
  <c r="BD174" i="8"/>
  <c r="BB172" i="8"/>
  <c r="AZ170" i="8"/>
  <c r="AX168" i="8"/>
  <c r="AV166" i="8"/>
  <c r="AT164" i="8"/>
  <c r="BE161" i="8"/>
  <c r="BE159" i="8"/>
  <c r="AW192" i="8"/>
  <c r="AU190" i="8"/>
  <c r="BE187" i="8"/>
  <c r="BC185" i="8"/>
  <c r="AY183" i="8"/>
  <c r="AW181" i="8"/>
  <c r="AU179" i="8"/>
  <c r="BE176" i="8"/>
  <c r="BC174" i="8"/>
  <c r="BA172" i="8"/>
  <c r="AY170" i="8"/>
  <c r="AW168" i="8"/>
  <c r="AU166" i="8"/>
  <c r="BE163" i="8"/>
  <c r="BD161" i="8"/>
  <c r="BD159" i="8"/>
  <c r="AV192" i="8"/>
  <c r="AT190" i="8"/>
  <c r="BD187" i="8"/>
  <c r="BB185" i="8"/>
  <c r="AX183" i="8"/>
  <c r="AV181" i="8"/>
  <c r="AT179" i="8"/>
  <c r="BD176" i="8"/>
  <c r="BB174" i="8"/>
  <c r="AZ172" i="8"/>
  <c r="AX170" i="8"/>
  <c r="AV168" i="8"/>
  <c r="AT166" i="8"/>
  <c r="BD163" i="8"/>
  <c r="BC161" i="8"/>
  <c r="BC159" i="8"/>
  <c r="AU192" i="8"/>
  <c r="BE189" i="8"/>
  <c r="BC187" i="8"/>
  <c r="AY185" i="8"/>
  <c r="AW183" i="8"/>
  <c r="AU181" i="8"/>
  <c r="BE178" i="8"/>
  <c r="BC176" i="8"/>
  <c r="BA174" i="8"/>
  <c r="AY172" i="8"/>
  <c r="AW170" i="8"/>
  <c r="AU168" i="8"/>
  <c r="BE165" i="8"/>
  <c r="BC163" i="8"/>
  <c r="BB161" i="8"/>
  <c r="BB159" i="8"/>
  <c r="AT192" i="8"/>
  <c r="BD189" i="8"/>
  <c r="BB187" i="8"/>
  <c r="AX185" i="8"/>
  <c r="AV183" i="8"/>
  <c r="AT181" i="8"/>
  <c r="BD178" i="8"/>
  <c r="BB176" i="8"/>
  <c r="AZ174" i="8"/>
  <c r="AX172" i="8"/>
  <c r="AV170" i="8"/>
  <c r="AT168" i="8"/>
  <c r="BD165" i="8"/>
  <c r="BB163" i="8"/>
  <c r="BA161" i="8"/>
  <c r="BA159" i="8"/>
  <c r="BE191" i="8"/>
  <c r="BC189" i="8"/>
  <c r="AY187" i="8"/>
  <c r="AW185" i="8"/>
  <c r="AU183" i="8"/>
  <c r="BE180" i="8"/>
  <c r="BC178" i="8"/>
  <c r="BA176" i="8"/>
  <c r="AY174" i="8"/>
  <c r="AW172" i="8"/>
  <c r="AU170" i="8"/>
  <c r="BE167" i="8"/>
  <c r="BC165" i="8"/>
  <c r="AZ163" i="8"/>
  <c r="AZ161" i="8"/>
  <c r="AZ159" i="8"/>
  <c r="BD191" i="8"/>
  <c r="BB189" i="8"/>
  <c r="AX187" i="8"/>
  <c r="AV185" i="8"/>
  <c r="AT183" i="8"/>
  <c r="BD180" i="8"/>
  <c r="BB178" i="8"/>
  <c r="AZ176" i="8"/>
  <c r="AX174" i="8"/>
  <c r="AV172" i="8"/>
  <c r="AT170" i="8"/>
  <c r="BD167" i="8"/>
  <c r="BB165" i="8"/>
  <c r="AY163" i="8"/>
  <c r="AY161" i="8"/>
  <c r="AY159" i="8"/>
  <c r="BE193" i="8"/>
  <c r="BC191" i="8"/>
  <c r="AY189" i="8"/>
  <c r="AW187" i="8"/>
  <c r="AU185" i="8"/>
  <c r="BE182" i="8"/>
  <c r="BC180" i="8"/>
  <c r="BA178" i="8"/>
  <c r="AY176" i="8"/>
  <c r="AW174" i="8"/>
  <c r="AU172" i="8"/>
  <c r="BE169" i="8"/>
  <c r="BC167" i="8"/>
  <c r="AY165" i="8"/>
  <c r="AX163" i="8"/>
  <c r="AX161" i="8"/>
  <c r="AX159" i="8"/>
  <c r="BD193" i="8"/>
  <c r="BB191" i="8"/>
  <c r="AX189" i="8"/>
  <c r="AV187" i="8"/>
  <c r="AT185" i="8"/>
  <c r="BD182" i="8"/>
  <c r="BB180" i="8"/>
  <c r="AZ178" i="8"/>
  <c r="AX176" i="8"/>
  <c r="AV174" i="8"/>
  <c r="AT172" i="8"/>
  <c r="BD169" i="8"/>
  <c r="BB167" i="8"/>
  <c r="AX165" i="8"/>
  <c r="AW163" i="8"/>
  <c r="AW161" i="8"/>
  <c r="AW159" i="8"/>
  <c r="BB193" i="8"/>
  <c r="AX191" i="8"/>
  <c r="AV189" i="8"/>
  <c r="AT187" i="8"/>
  <c r="BD184" i="8"/>
  <c r="BB182" i="8"/>
  <c r="AZ180" i="8"/>
  <c r="AX178" i="8"/>
  <c r="AV176" i="8"/>
  <c r="AT174" i="8"/>
  <c r="BD171" i="8"/>
  <c r="BB169" i="8"/>
  <c r="AX167" i="8"/>
  <c r="AV165" i="8"/>
  <c r="AU163" i="8"/>
  <c r="AU161" i="8"/>
  <c r="AU159" i="8"/>
  <c r="BE171" i="8"/>
  <c r="BC169" i="8"/>
  <c r="AY167" i="8"/>
  <c r="AW165" i="8"/>
  <c r="AV163" i="8"/>
  <c r="AV161" i="8"/>
  <c r="AV159" i="8"/>
  <c r="BC193" i="8"/>
  <c r="AY191" i="8"/>
  <c r="AW189" i="8"/>
  <c r="AU187" i="8"/>
  <c r="BE184" i="8"/>
  <c r="BC182" i="8"/>
  <c r="BA180" i="8"/>
  <c r="AY178" i="8"/>
  <c r="AU174" i="8"/>
  <c r="AH193" i="8"/>
  <c r="AH191" i="8"/>
  <c r="AH189" i="8"/>
  <c r="AH187" i="8"/>
  <c r="AH185" i="8"/>
  <c r="AH183" i="8"/>
  <c r="AH181" i="8"/>
  <c r="AH179" i="8"/>
  <c r="AH177" i="8"/>
  <c r="AH175" i="8"/>
  <c r="AH173" i="8"/>
  <c r="AH171" i="8"/>
  <c r="AH169" i="8"/>
  <c r="AH167" i="8"/>
  <c r="AH165" i="8"/>
  <c r="AH163" i="8"/>
  <c r="AH161" i="8"/>
  <c r="AH159" i="8"/>
  <c r="AW176" i="8"/>
  <c r="AG193" i="8"/>
  <c r="AG191" i="8"/>
  <c r="AG189" i="8"/>
  <c r="AG187" i="8"/>
  <c r="AG185" i="8"/>
  <c r="AG183" i="8"/>
  <c r="AG181" i="8"/>
  <c r="AG179" i="8"/>
  <c r="AG177" i="8"/>
  <c r="AG175" i="8"/>
  <c r="AG173" i="8"/>
  <c r="AG171" i="8"/>
  <c r="AG169" i="8"/>
  <c r="AG167" i="8"/>
  <c r="AG165" i="8"/>
  <c r="AG163" i="8"/>
  <c r="AG161" i="8"/>
  <c r="AG159" i="8"/>
  <c r="AF193" i="8"/>
  <c r="AF191" i="8"/>
  <c r="AF189" i="8"/>
  <c r="AF187" i="8"/>
  <c r="AF185" i="8"/>
  <c r="AF183" i="8"/>
  <c r="AF181" i="8"/>
  <c r="AF179" i="8"/>
  <c r="AF177" i="8"/>
  <c r="AF175" i="8"/>
  <c r="AF173" i="8"/>
  <c r="AF171" i="8"/>
  <c r="AF169" i="8"/>
  <c r="AF167" i="8"/>
  <c r="AF165" i="8"/>
  <c r="AF163" i="8"/>
  <c r="AF161" i="8"/>
  <c r="AF159" i="8"/>
  <c r="AQ192" i="8"/>
  <c r="AQ190" i="8"/>
  <c r="AQ188" i="8"/>
  <c r="AQ186" i="8"/>
  <c r="AQ184" i="8"/>
  <c r="AQ182" i="8"/>
  <c r="AQ180" i="8"/>
  <c r="AQ178" i="8"/>
  <c r="AQ176" i="8"/>
  <c r="AQ174" i="8"/>
  <c r="AQ172" i="8"/>
  <c r="AQ170" i="8"/>
  <c r="AQ168" i="8"/>
  <c r="AQ166" i="8"/>
  <c r="AQ164" i="8"/>
  <c r="AQ162" i="8"/>
  <c r="AQ160" i="8"/>
  <c r="AQ158" i="8"/>
  <c r="AP192" i="8"/>
  <c r="AP190" i="8"/>
  <c r="AP188" i="8"/>
  <c r="AP186" i="8"/>
  <c r="AP184" i="8"/>
  <c r="AP182" i="8"/>
  <c r="AP180" i="8"/>
  <c r="AP178" i="8"/>
  <c r="AP176" i="8"/>
  <c r="AP174" i="8"/>
  <c r="AP172" i="8"/>
  <c r="AP170" i="8"/>
  <c r="AP168" i="8"/>
  <c r="AP166" i="8"/>
  <c r="AP164" i="8"/>
  <c r="AP162" i="8"/>
  <c r="AP160" i="8"/>
  <c r="AP158" i="8"/>
  <c r="AO192" i="8"/>
  <c r="AO190" i="8"/>
  <c r="AO188" i="8"/>
  <c r="AO186" i="8"/>
  <c r="AO184" i="8"/>
  <c r="AO182" i="8"/>
  <c r="AO180" i="8"/>
  <c r="AO178" i="8"/>
  <c r="AO176" i="8"/>
  <c r="AO174" i="8"/>
  <c r="AO172" i="8"/>
  <c r="AO170" i="8"/>
  <c r="AO168" i="8"/>
  <c r="AO166" i="8"/>
  <c r="AO164" i="8"/>
  <c r="AO162" i="8"/>
  <c r="AO160" i="8"/>
  <c r="AO158" i="8"/>
  <c r="AN192" i="8"/>
  <c r="AN190" i="8"/>
  <c r="AN188" i="8"/>
  <c r="AN186" i="8"/>
  <c r="AN184" i="8"/>
  <c r="AN182" i="8"/>
  <c r="AN180" i="8"/>
  <c r="AN178" i="8"/>
  <c r="AN176" i="8"/>
  <c r="AN174" i="8"/>
  <c r="AN172" i="8"/>
  <c r="AN170" i="8"/>
  <c r="AN168" i="8"/>
  <c r="AN166" i="8"/>
  <c r="AN164" i="8"/>
  <c r="AN162" i="8"/>
  <c r="AN160" i="8"/>
  <c r="AN158" i="8"/>
  <c r="AM192" i="8"/>
  <c r="AM190" i="8"/>
  <c r="AM188" i="8"/>
  <c r="AM186" i="8"/>
  <c r="AM184" i="8"/>
  <c r="AM182" i="8"/>
  <c r="AM180" i="8"/>
  <c r="AM178" i="8"/>
  <c r="AM176" i="8"/>
  <c r="AM174" i="8"/>
  <c r="AM172" i="8"/>
  <c r="AM170" i="8"/>
  <c r="AM168" i="8"/>
  <c r="AM166" i="8"/>
  <c r="AM164" i="8"/>
  <c r="AM162" i="8"/>
  <c r="AM160" i="8"/>
  <c r="AM158" i="8"/>
  <c r="AL192" i="8"/>
  <c r="AL190" i="8"/>
  <c r="AL188" i="8"/>
  <c r="AL186" i="8"/>
  <c r="AL184" i="8"/>
  <c r="AL182" i="8"/>
  <c r="AL180" i="8"/>
  <c r="AL178" i="8"/>
  <c r="AL176" i="8"/>
  <c r="AL174" i="8"/>
  <c r="AL172" i="8"/>
  <c r="AL170" i="8"/>
  <c r="AL168" i="8"/>
  <c r="AL166" i="8"/>
  <c r="AL164" i="8"/>
  <c r="AL162" i="8"/>
  <c r="AL160" i="8"/>
  <c r="AL158" i="8"/>
  <c r="AK192" i="8"/>
  <c r="AK190" i="8"/>
  <c r="AK188" i="8"/>
  <c r="AK186" i="8"/>
  <c r="AK184" i="8"/>
  <c r="AK182" i="8"/>
  <c r="AK180" i="8"/>
  <c r="AK178" i="8"/>
  <c r="AK176" i="8"/>
  <c r="AK174" i="8"/>
  <c r="AK172" i="8"/>
  <c r="AK170" i="8"/>
  <c r="AK168" i="8"/>
  <c r="AK166" i="8"/>
  <c r="AK164" i="8"/>
  <c r="AK162" i="8"/>
  <c r="AK160" i="8"/>
  <c r="AK158" i="8"/>
  <c r="AJ192" i="8"/>
  <c r="AJ190" i="8"/>
  <c r="AJ188" i="8"/>
  <c r="AJ186" i="8"/>
  <c r="AJ184" i="8"/>
  <c r="AJ182" i="8"/>
  <c r="AJ180" i="8"/>
  <c r="AJ178" i="8"/>
  <c r="AJ176" i="8"/>
  <c r="AJ174" i="8"/>
  <c r="AJ172" i="8"/>
  <c r="AJ170" i="8"/>
  <c r="AJ168" i="8"/>
  <c r="AJ166" i="8"/>
  <c r="AJ164" i="8"/>
  <c r="AJ162" i="8"/>
  <c r="AJ160" i="8"/>
  <c r="AJ158" i="8"/>
  <c r="AI192" i="8"/>
  <c r="AI190" i="8"/>
  <c r="AI188" i="8"/>
  <c r="AI186" i="8"/>
  <c r="AI184" i="8"/>
  <c r="AI182" i="8"/>
  <c r="AI180" i="8"/>
  <c r="AI178" i="8"/>
  <c r="AI176" i="8"/>
  <c r="AI174" i="8"/>
  <c r="AI172" i="8"/>
  <c r="AI170" i="8"/>
  <c r="AI168" i="8"/>
  <c r="AI166" i="8"/>
  <c r="AI164" i="8"/>
  <c r="AI162" i="8"/>
  <c r="AI160" i="8"/>
  <c r="AI158" i="8"/>
  <c r="AH192" i="8"/>
  <c r="AH190" i="8"/>
  <c r="AH188" i="8"/>
  <c r="AH186" i="8"/>
  <c r="AH184" i="8"/>
  <c r="AH182" i="8"/>
  <c r="AH180" i="8"/>
  <c r="AH178" i="8"/>
  <c r="AH176" i="8"/>
  <c r="AH174" i="8"/>
  <c r="AH172" i="8"/>
  <c r="AH170" i="8"/>
  <c r="AH168" i="8"/>
  <c r="AH166" i="8"/>
  <c r="AH164" i="8"/>
  <c r="AH162" i="8"/>
  <c r="AH160" i="8"/>
  <c r="AH158" i="8"/>
  <c r="AG192" i="8"/>
  <c r="AG190" i="8"/>
  <c r="AG188" i="8"/>
  <c r="AG186" i="8"/>
  <c r="AG184" i="8"/>
  <c r="AG182" i="8"/>
  <c r="AG180" i="8"/>
  <c r="AG178" i="8"/>
  <c r="AG176" i="8"/>
  <c r="AG174" i="8"/>
  <c r="AG172" i="8"/>
  <c r="AG170" i="8"/>
  <c r="AG168" i="8"/>
  <c r="AG166" i="8"/>
  <c r="AG164" i="8"/>
  <c r="AG162" i="8"/>
  <c r="AG160" i="8"/>
  <c r="AG158" i="8"/>
  <c r="AF192" i="8"/>
  <c r="AF190" i="8"/>
  <c r="AF188" i="8"/>
  <c r="AF186" i="8"/>
  <c r="AF184" i="8"/>
  <c r="AF182" i="8"/>
  <c r="AF180" i="8"/>
  <c r="AF178" i="8"/>
  <c r="AF176" i="8"/>
  <c r="AF174" i="8"/>
  <c r="AF172" i="8"/>
  <c r="AF170" i="8"/>
  <c r="AF168" i="8"/>
  <c r="AF166" i="8"/>
  <c r="AF164" i="8"/>
  <c r="AF162" i="8"/>
  <c r="AF160" i="8"/>
  <c r="AF158" i="8"/>
  <c r="AQ193" i="8"/>
  <c r="AQ191" i="8"/>
  <c r="AQ189" i="8"/>
  <c r="AQ187" i="8"/>
  <c r="AQ185" i="8"/>
  <c r="AQ183" i="8"/>
  <c r="AQ181" i="8"/>
  <c r="AQ179" i="8"/>
  <c r="AQ177" i="8"/>
  <c r="AQ175" i="8"/>
  <c r="AQ173" i="8"/>
  <c r="AQ171" i="8"/>
  <c r="AQ169" i="8"/>
  <c r="AQ167" i="8"/>
  <c r="AQ165" i="8"/>
  <c r="AQ163" i="8"/>
  <c r="AQ161" i="8"/>
  <c r="AQ159" i="8"/>
  <c r="AP193" i="8"/>
  <c r="AP191" i="8"/>
  <c r="AP189" i="8"/>
  <c r="AP187" i="8"/>
  <c r="AP185" i="8"/>
  <c r="AP183" i="8"/>
  <c r="AP181" i="8"/>
  <c r="AP179" i="8"/>
  <c r="AP177" i="8"/>
  <c r="AP175" i="8"/>
  <c r="AP173" i="8"/>
  <c r="AP171" i="8"/>
  <c r="AP169" i="8"/>
  <c r="AP167" i="8"/>
  <c r="AP165" i="8"/>
  <c r="AP163" i="8"/>
  <c r="AP161" i="8"/>
  <c r="AP159" i="8"/>
  <c r="AO193" i="8"/>
  <c r="AO191" i="8"/>
  <c r="AO189" i="8"/>
  <c r="AO187" i="8"/>
  <c r="AO185" i="8"/>
  <c r="AO183" i="8"/>
  <c r="AO181" i="8"/>
  <c r="AO179" i="8"/>
  <c r="AO177" i="8"/>
  <c r="AO175" i="8"/>
  <c r="AO173" i="8"/>
  <c r="AO171" i="8"/>
  <c r="AO169" i="8"/>
  <c r="AO167" i="8"/>
  <c r="AO165" i="8"/>
  <c r="AO163" i="8"/>
  <c r="AO161" i="8"/>
  <c r="AO159" i="8"/>
  <c r="AN193" i="8"/>
  <c r="AN191" i="8"/>
  <c r="AN189" i="8"/>
  <c r="AN187" i="8"/>
  <c r="AN185" i="8"/>
  <c r="AN183" i="8"/>
  <c r="AN181" i="8"/>
  <c r="AN179" i="8"/>
  <c r="AN177" i="8"/>
  <c r="AN175" i="8"/>
  <c r="AN173" i="8"/>
  <c r="AN171" i="8"/>
  <c r="AN169" i="8"/>
  <c r="AN167" i="8"/>
  <c r="AN165" i="8"/>
  <c r="AN163" i="8"/>
  <c r="AN161" i="8"/>
  <c r="AN159" i="8"/>
  <c r="AM193" i="8"/>
  <c r="AM191" i="8"/>
  <c r="AM189" i="8"/>
  <c r="AM187" i="8"/>
  <c r="AM185" i="8"/>
  <c r="AM183" i="8"/>
  <c r="AM181" i="8"/>
  <c r="AM179" i="8"/>
  <c r="AM177" i="8"/>
  <c r="AM175" i="8"/>
  <c r="AM173" i="8"/>
  <c r="AM171" i="8"/>
  <c r="AM169" i="8"/>
  <c r="AM167" i="8"/>
  <c r="AM165" i="8"/>
  <c r="AM163" i="8"/>
  <c r="AM161" i="8"/>
  <c r="AM159" i="8"/>
  <c r="AL193" i="8"/>
  <c r="AL191" i="8"/>
  <c r="AL189" i="8"/>
  <c r="AL187" i="8"/>
  <c r="AL185" i="8"/>
  <c r="AL183" i="8"/>
  <c r="AL181" i="8"/>
  <c r="AL179" i="8"/>
  <c r="AL177" i="8"/>
  <c r="AL175" i="8"/>
  <c r="AL173" i="8"/>
  <c r="AL171" i="8"/>
  <c r="AL169" i="8"/>
  <c r="AL167" i="8"/>
  <c r="AL165" i="8"/>
  <c r="AL163" i="8"/>
  <c r="AL161" i="8"/>
  <c r="AL159" i="8"/>
  <c r="AK193" i="8"/>
  <c r="AK191" i="8"/>
  <c r="AK189" i="8"/>
  <c r="AK187" i="8"/>
  <c r="AK185" i="8"/>
  <c r="AK183" i="8"/>
  <c r="AK181" i="8"/>
  <c r="AK179" i="8"/>
  <c r="AK177" i="8"/>
  <c r="AK175" i="8"/>
  <c r="AK173" i="8"/>
  <c r="AK171" i="8"/>
  <c r="AK169" i="8"/>
  <c r="AK167" i="8"/>
  <c r="AK165" i="8"/>
  <c r="AK163" i="8"/>
  <c r="AK161" i="8"/>
  <c r="AK159" i="8"/>
  <c r="AJ193" i="8"/>
  <c r="AJ191" i="8"/>
  <c r="AJ189" i="8"/>
  <c r="AJ187" i="8"/>
  <c r="AJ185" i="8"/>
  <c r="AJ183" i="8"/>
  <c r="AJ181" i="8"/>
  <c r="AJ179" i="8"/>
  <c r="AJ177" i="8"/>
  <c r="AJ175" i="8"/>
  <c r="AJ173" i="8"/>
  <c r="AJ171" i="8"/>
  <c r="AJ169" i="8"/>
  <c r="AJ167" i="8"/>
  <c r="AJ165" i="8"/>
  <c r="AJ163" i="8"/>
  <c r="AJ161" i="8"/>
  <c r="AJ159" i="8"/>
  <c r="AI193" i="8"/>
  <c r="AI191" i="8"/>
  <c r="AI189" i="8"/>
  <c r="AI187" i="8"/>
  <c r="AI185" i="8"/>
  <c r="AI183" i="8"/>
  <c r="AI181" i="8"/>
  <c r="AI179" i="8"/>
  <c r="AI177" i="8"/>
  <c r="AI175" i="8"/>
  <c r="AI173" i="8"/>
  <c r="AI171" i="8"/>
  <c r="AI169" i="8"/>
  <c r="AI167" i="8"/>
  <c r="AI165" i="8"/>
  <c r="AI163" i="8"/>
  <c r="AI161" i="8"/>
  <c r="AI159" i="8"/>
  <c r="W8" i="8"/>
  <c r="S25" i="8"/>
  <c r="U48" i="8"/>
  <c r="AC88" i="8"/>
  <c r="AQ6" i="8"/>
  <c r="AF9" i="8"/>
  <c r="AG11" i="8"/>
  <c r="AI13" i="8"/>
  <c r="AJ15" i="8"/>
  <c r="AK17" i="8"/>
  <c r="AL19" i="8"/>
  <c r="AM21" i="8"/>
  <c r="AN23" i="8"/>
  <c r="AO25" i="8"/>
  <c r="AP27" i="8"/>
  <c r="AQ29" i="8"/>
  <c r="AF32" i="8"/>
  <c r="AG34" i="8"/>
  <c r="AH36" i="8"/>
  <c r="AI38" i="8"/>
  <c r="AJ40" i="8"/>
  <c r="AI85" i="8"/>
  <c r="AI89" i="8"/>
  <c r="AI93" i="8"/>
  <c r="AK97" i="8"/>
  <c r="AI103" i="8"/>
  <c r="AM109" i="8"/>
  <c r="AN125" i="8"/>
  <c r="R205" i="8"/>
  <c r="CJ231" i="8"/>
  <c r="CJ229" i="8"/>
  <c r="CJ227" i="8"/>
  <c r="CJ225" i="8"/>
  <c r="CJ223" i="8"/>
  <c r="CJ221" i="8"/>
  <c r="CJ219" i="8"/>
  <c r="CJ217" i="8"/>
  <c r="CJ215" i="8"/>
  <c r="CJ213" i="8"/>
  <c r="CJ211" i="8"/>
  <c r="CJ209" i="8"/>
  <c r="CJ207" i="8"/>
  <c r="CJ205" i="8"/>
  <c r="CJ203" i="8"/>
  <c r="CJ201" i="8"/>
  <c r="CJ199" i="8"/>
  <c r="CJ197" i="8"/>
  <c r="CU230" i="8"/>
  <c r="CU228" i="8"/>
  <c r="CU226" i="8"/>
  <c r="CU224" i="8"/>
  <c r="CU222" i="8"/>
  <c r="CU220" i="8"/>
  <c r="CU218" i="8"/>
  <c r="CU216" i="8"/>
  <c r="CU214" i="8"/>
  <c r="CU212" i="8"/>
  <c r="CU210" i="8"/>
  <c r="CU208" i="8"/>
  <c r="CU206" i="8"/>
  <c r="CU204" i="8"/>
  <c r="CU202" i="8"/>
  <c r="CU200" i="8"/>
  <c r="CU198" i="8"/>
  <c r="CU196" i="8"/>
  <c r="CT230" i="8"/>
  <c r="CT228" i="8"/>
  <c r="CT226" i="8"/>
  <c r="CT224" i="8"/>
  <c r="CT222" i="8"/>
  <c r="CT220" i="8"/>
  <c r="CT218" i="8"/>
  <c r="CT216" i="8"/>
  <c r="CT214" i="8"/>
  <c r="CT212" i="8"/>
  <c r="CT210" i="8"/>
  <c r="CT208" i="8"/>
  <c r="CT206" i="8"/>
  <c r="CT204" i="8"/>
  <c r="CT202" i="8"/>
  <c r="CT200" i="8"/>
  <c r="CT198" i="8"/>
  <c r="CT196" i="8"/>
  <c r="CS230" i="8"/>
  <c r="CS228" i="8"/>
  <c r="CS226" i="8"/>
  <c r="CS224" i="8"/>
  <c r="CS222" i="8"/>
  <c r="CS220" i="8"/>
  <c r="CS218" i="8"/>
  <c r="CS216" i="8"/>
  <c r="CS214" i="8"/>
  <c r="CS212" i="8"/>
  <c r="CS210" i="8"/>
  <c r="CS208" i="8"/>
  <c r="CS206" i="8"/>
  <c r="CS204" i="8"/>
  <c r="CS202" i="8"/>
  <c r="CS200" i="8"/>
  <c r="CS198" i="8"/>
  <c r="CS196" i="8"/>
  <c r="CR230" i="8"/>
  <c r="CR228" i="8"/>
  <c r="CR226" i="8"/>
  <c r="CR224" i="8"/>
  <c r="CR222" i="8"/>
  <c r="CR220" i="8"/>
  <c r="CR218" i="8"/>
  <c r="CR216" i="8"/>
  <c r="CR214" i="8"/>
  <c r="CR212" i="8"/>
  <c r="CR210" i="8"/>
  <c r="CR208" i="8"/>
  <c r="CR206" i="8"/>
  <c r="CR204" i="8"/>
  <c r="CR202" i="8"/>
  <c r="CR200" i="8"/>
  <c r="CR198" i="8"/>
  <c r="CR196" i="8"/>
  <c r="CQ230" i="8"/>
  <c r="CQ228" i="8"/>
  <c r="CQ226" i="8"/>
  <c r="CQ224" i="8"/>
  <c r="CQ222" i="8"/>
  <c r="CQ220" i="8"/>
  <c r="CQ218" i="8"/>
  <c r="CQ216" i="8"/>
  <c r="CQ214" i="8"/>
  <c r="CQ212" i="8"/>
  <c r="CQ210" i="8"/>
  <c r="CQ208" i="8"/>
  <c r="CQ206" i="8"/>
  <c r="CP230" i="8"/>
  <c r="CP228" i="8"/>
  <c r="CP226" i="8"/>
  <c r="CP224" i="8"/>
  <c r="CP222" i="8"/>
  <c r="CP220" i="8"/>
  <c r="CP218" i="8"/>
  <c r="CP216" i="8"/>
  <c r="CP214" i="8"/>
  <c r="CP212" i="8"/>
  <c r="CP210" i="8"/>
  <c r="CP208" i="8"/>
  <c r="CP206" i="8"/>
  <c r="CP204" i="8"/>
  <c r="CP202" i="8"/>
  <c r="CP200" i="8"/>
  <c r="CP198" i="8"/>
  <c r="CP196" i="8"/>
  <c r="CO230" i="8"/>
  <c r="CM230" i="8"/>
  <c r="CL230" i="8"/>
  <c r="CL228" i="8"/>
  <c r="CJ230" i="8"/>
  <c r="CJ228" i="8"/>
  <c r="CJ226" i="8"/>
  <c r="CJ224" i="8"/>
  <c r="CJ222" i="8"/>
  <c r="CJ220" i="8"/>
  <c r="CJ218" i="8"/>
  <c r="CJ216" i="8"/>
  <c r="CJ214" i="8"/>
  <c r="CJ212" i="8"/>
  <c r="CT231" i="8"/>
  <c r="CT229" i="8"/>
  <c r="CT227" i="8"/>
  <c r="CQ231" i="8"/>
  <c r="CS227" i="8"/>
  <c r="CK225" i="8"/>
  <c r="CS221" i="8"/>
  <c r="CK219" i="8"/>
  <c r="CS215" i="8"/>
  <c r="CK213" i="8"/>
  <c r="CT209" i="8"/>
  <c r="CM207" i="8"/>
  <c r="CL204" i="8"/>
  <c r="CR201" i="8"/>
  <c r="CL199" i="8"/>
  <c r="CL196" i="8"/>
  <c r="CP231" i="8"/>
  <c r="CR227" i="8"/>
  <c r="CO224" i="8"/>
  <c r="CR221" i="8"/>
  <c r="CO218" i="8"/>
  <c r="CR215" i="8"/>
  <c r="CO212" i="8"/>
  <c r="CS209" i="8"/>
  <c r="CL207" i="8"/>
  <c r="CK204" i="8"/>
  <c r="CQ201" i="8"/>
  <c r="CK199" i="8"/>
  <c r="CK196" i="8"/>
  <c r="CO231" i="8"/>
  <c r="CQ227" i="8"/>
  <c r="CN224" i="8"/>
  <c r="CQ221" i="8"/>
  <c r="CN218" i="8"/>
  <c r="CQ215" i="8"/>
  <c r="CN212" i="8"/>
  <c r="CR209" i="8"/>
  <c r="CK207" i="8"/>
  <c r="CJ204" i="8"/>
  <c r="CP201" i="8"/>
  <c r="CQ198" i="8"/>
  <c r="CJ196" i="8"/>
  <c r="CN231" i="8"/>
  <c r="CP227" i="8"/>
  <c r="CM224" i="8"/>
  <c r="CP221" i="8"/>
  <c r="CM218" i="8"/>
  <c r="CP215" i="8"/>
  <c r="CM212" i="8"/>
  <c r="CQ209" i="8"/>
  <c r="CO206" i="8"/>
  <c r="CU203" i="8"/>
  <c r="CO201" i="8"/>
  <c r="CO198" i="8"/>
  <c r="CM231" i="8"/>
  <c r="CO227" i="8"/>
  <c r="CL224" i="8"/>
  <c r="CO221" i="8"/>
  <c r="CL218" i="8"/>
  <c r="CO215" i="8"/>
  <c r="CL212" i="8"/>
  <c r="CP209" i="8"/>
  <c r="CN206" i="8"/>
  <c r="CT203" i="8"/>
  <c r="CN201" i="8"/>
  <c r="CN198" i="8"/>
  <c r="CL231" i="8"/>
  <c r="CN227" i="8"/>
  <c r="CK224" i="8"/>
  <c r="CN221" i="8"/>
  <c r="CK218" i="8"/>
  <c r="CN215" i="8"/>
  <c r="CK212" i="8"/>
  <c r="CO209" i="8"/>
  <c r="CM206" i="8"/>
  <c r="CS203" i="8"/>
  <c r="CM201" i="8"/>
  <c r="CM198" i="8"/>
  <c r="CK231" i="8"/>
  <c r="CM227" i="8"/>
  <c r="CU223" i="8"/>
  <c r="CM221" i="8"/>
  <c r="CU217" i="8"/>
  <c r="CM215" i="8"/>
  <c r="CU211" i="8"/>
  <c r="CN209" i="8"/>
  <c r="CL206" i="8"/>
  <c r="CR203" i="8"/>
  <c r="CL201" i="8"/>
  <c r="CL198" i="8"/>
  <c r="CN230" i="8"/>
  <c r="CL227" i="8"/>
  <c r="CT223" i="8"/>
  <c r="CL221" i="8"/>
  <c r="CT217" i="8"/>
  <c r="CL215" i="8"/>
  <c r="CT211" i="8"/>
  <c r="CM209" i="8"/>
  <c r="CK206" i="8"/>
  <c r="CQ203" i="8"/>
  <c r="CK201" i="8"/>
  <c r="CK198" i="8"/>
  <c r="CK230" i="8"/>
  <c r="CK227" i="8"/>
  <c r="CS223" i="8"/>
  <c r="CK221" i="8"/>
  <c r="CS217" i="8"/>
  <c r="CK215" i="8"/>
  <c r="CS211" i="8"/>
  <c r="CL209" i="8"/>
  <c r="CJ206" i="8"/>
  <c r="CP203" i="8"/>
  <c r="CQ200" i="8"/>
  <c r="CJ198" i="8"/>
  <c r="CU229" i="8"/>
  <c r="CO226" i="8"/>
  <c r="CR223" i="8"/>
  <c r="CO220" i="8"/>
  <c r="CR217" i="8"/>
  <c r="CO214" i="8"/>
  <c r="CR211" i="8"/>
  <c r="CK209" i="8"/>
  <c r="CU205" i="8"/>
  <c r="CO203" i="8"/>
  <c r="CO200" i="8"/>
  <c r="CU197" i="8"/>
  <c r="CS229" i="8"/>
  <c r="CN226" i="8"/>
  <c r="CQ223" i="8"/>
  <c r="CN220" i="8"/>
  <c r="CQ217" i="8"/>
  <c r="CN214" i="8"/>
  <c r="CQ211" i="8"/>
  <c r="CO208" i="8"/>
  <c r="CT205" i="8"/>
  <c r="CN203" i="8"/>
  <c r="CN200" i="8"/>
  <c r="CT197" i="8"/>
  <c r="CR229" i="8"/>
  <c r="CM226" i="8"/>
  <c r="CP223" i="8"/>
  <c r="CM220" i="8"/>
  <c r="CP217" i="8"/>
  <c r="CM214" i="8"/>
  <c r="CP211" i="8"/>
  <c r="CN208" i="8"/>
  <c r="CS205" i="8"/>
  <c r="CM203" i="8"/>
  <c r="CM200" i="8"/>
  <c r="CS197" i="8"/>
  <c r="CQ229" i="8"/>
  <c r="CL226" i="8"/>
  <c r="CO223" i="8"/>
  <c r="CL220" i="8"/>
  <c r="CO217" i="8"/>
  <c r="CL214" i="8"/>
  <c r="CO211" i="8"/>
  <c r="CM208" i="8"/>
  <c r="CR205" i="8"/>
  <c r="CL203" i="8"/>
  <c r="CL200" i="8"/>
  <c r="CR197" i="8"/>
  <c r="CP229" i="8"/>
  <c r="CK226" i="8"/>
  <c r="CN223" i="8"/>
  <c r="CK220" i="8"/>
  <c r="CN217" i="8"/>
  <c r="CK214" i="8"/>
  <c r="CN211" i="8"/>
  <c r="CL208" i="8"/>
  <c r="CQ205" i="8"/>
  <c r="CK203" i="8"/>
  <c r="CK200" i="8"/>
  <c r="CQ197" i="8"/>
  <c r="CO229" i="8"/>
  <c r="CU225" i="8"/>
  <c r="CM223" i="8"/>
  <c r="CU219" i="8"/>
  <c r="CM217" i="8"/>
  <c r="CU213" i="8"/>
  <c r="CM211" i="8"/>
  <c r="CK208" i="8"/>
  <c r="CP205" i="8"/>
  <c r="CQ202" i="8"/>
  <c r="CJ200" i="8"/>
  <c r="CP197" i="8"/>
  <c r="CN229" i="8"/>
  <c r="CT225" i="8"/>
  <c r="CL223" i="8"/>
  <c r="CT219" i="8"/>
  <c r="CL217" i="8"/>
  <c r="CT213" i="8"/>
  <c r="CL211" i="8"/>
  <c r="CJ208" i="8"/>
  <c r="CO205" i="8"/>
  <c r="CO202" i="8"/>
  <c r="CU199" i="8"/>
  <c r="CO197" i="8"/>
  <c r="CM229" i="8"/>
  <c r="CS225" i="8"/>
  <c r="CK223" i="8"/>
  <c r="CS219" i="8"/>
  <c r="CK217" i="8"/>
  <c r="CS213" i="8"/>
  <c r="CK211" i="8"/>
  <c r="CU207" i="8"/>
  <c r="CN205" i="8"/>
  <c r="CN202" i="8"/>
  <c r="CT199" i="8"/>
  <c r="CN197" i="8"/>
  <c r="CL229" i="8"/>
  <c r="CR225" i="8"/>
  <c r="CO222" i="8"/>
  <c r="CR219" i="8"/>
  <c r="CO216" i="8"/>
  <c r="CR213" i="8"/>
  <c r="CO210" i="8"/>
  <c r="CT207" i="8"/>
  <c r="CM205" i="8"/>
  <c r="CM202" i="8"/>
  <c r="CS199" i="8"/>
  <c r="CM197" i="8"/>
  <c r="CK229" i="8"/>
  <c r="CQ225" i="8"/>
  <c r="CN222" i="8"/>
  <c r="CQ219" i="8"/>
  <c r="CN216" i="8"/>
  <c r="CQ213" i="8"/>
  <c r="CN210" i="8"/>
  <c r="CS207" i="8"/>
  <c r="CL205" i="8"/>
  <c r="CL202" i="8"/>
  <c r="CR199" i="8"/>
  <c r="CL197" i="8"/>
  <c r="CO228" i="8"/>
  <c r="CP225" i="8"/>
  <c r="CM222" i="8"/>
  <c r="CP219" i="8"/>
  <c r="CM216" i="8"/>
  <c r="CP213" i="8"/>
  <c r="CM210" i="8"/>
  <c r="CR207" i="8"/>
  <c r="CK205" i="8"/>
  <c r="CK202" i="8"/>
  <c r="CQ199" i="8"/>
  <c r="CK197" i="8"/>
  <c r="CN228" i="8"/>
  <c r="CO225" i="8"/>
  <c r="CL222" i="8"/>
  <c r="CO219" i="8"/>
  <c r="CL216" i="8"/>
  <c r="CO213" i="8"/>
  <c r="CL210" i="8"/>
  <c r="CQ207" i="8"/>
  <c r="CQ204" i="8"/>
  <c r="CJ202" i="8"/>
  <c r="CP199" i="8"/>
  <c r="CQ196" i="8"/>
  <c r="CU231" i="8"/>
  <c r="CM228" i="8"/>
  <c r="CN225" i="8"/>
  <c r="CK222" i="8"/>
  <c r="CN219" i="8"/>
  <c r="CK216" i="8"/>
  <c r="CN213" i="8"/>
  <c r="CK210" i="8"/>
  <c r="CP207" i="8"/>
  <c r="CO204" i="8"/>
  <c r="CU201" i="8"/>
  <c r="CO199" i="8"/>
  <c r="CO196" i="8"/>
  <c r="CR231" i="8"/>
  <c r="CU227" i="8"/>
  <c r="CL225" i="8"/>
  <c r="CT221" i="8"/>
  <c r="CL219" i="8"/>
  <c r="CT215" i="8"/>
  <c r="CL213" i="8"/>
  <c r="CU209" i="8"/>
  <c r="CN207" i="8"/>
  <c r="CM204" i="8"/>
  <c r="CS201" i="8"/>
  <c r="CM199" i="8"/>
  <c r="CM196" i="8"/>
  <c r="CB231" i="8"/>
  <c r="CB229" i="8"/>
  <c r="CB227" i="8"/>
  <c r="CB225" i="8"/>
  <c r="CB223" i="8"/>
  <c r="CB221" i="8"/>
  <c r="CB219" i="8"/>
  <c r="CB217" i="8"/>
  <c r="CB215" i="8"/>
  <c r="CB213" i="8"/>
  <c r="CB211" i="8"/>
  <c r="CB209" i="8"/>
  <c r="CB207" i="8"/>
  <c r="CB205" i="8"/>
  <c r="CB203" i="8"/>
  <c r="CB201" i="8"/>
  <c r="CB199" i="8"/>
  <c r="CB197" i="8"/>
  <c r="CA231" i="8"/>
  <c r="CA229" i="8"/>
  <c r="CA227" i="8"/>
  <c r="BZ231" i="8"/>
  <c r="BZ229" i="8"/>
  <c r="BZ227" i="8"/>
  <c r="BZ225" i="8"/>
  <c r="BZ223" i="8"/>
  <c r="BZ221" i="8"/>
  <c r="BZ219" i="8"/>
  <c r="BY231" i="8"/>
  <c r="BY229" i="8"/>
  <c r="BY227" i="8"/>
  <c r="BY225" i="8"/>
  <c r="BY223" i="8"/>
  <c r="BY221" i="8"/>
  <c r="BY219" i="8"/>
  <c r="CS231" i="8"/>
  <c r="BX231" i="8"/>
  <c r="BX229" i="8"/>
  <c r="BX227" i="8"/>
  <c r="BX225" i="8"/>
  <c r="CK228" i="8"/>
  <c r="CM225" i="8"/>
  <c r="BV231" i="8"/>
  <c r="BV229" i="8"/>
  <c r="BV227" i="8"/>
  <c r="BV225" i="8"/>
  <c r="CU221" i="8"/>
  <c r="CM219" i="8"/>
  <c r="CU215" i="8"/>
  <c r="CM213" i="8"/>
  <c r="CJ210" i="8"/>
  <c r="CO207" i="8"/>
  <c r="CB230" i="8"/>
  <c r="CB228" i="8"/>
  <c r="CB226" i="8"/>
  <c r="CN204" i="8"/>
  <c r="CT201" i="8"/>
  <c r="CN199" i="8"/>
  <c r="CN196" i="8"/>
  <c r="CD231" i="8"/>
  <c r="CC228" i="8"/>
  <c r="CG225" i="8"/>
  <c r="CA223" i="8"/>
  <c r="BV221" i="8"/>
  <c r="CE218" i="8"/>
  <c r="CD216" i="8"/>
  <c r="CC214" i="8"/>
  <c r="CB212" i="8"/>
  <c r="CA210" i="8"/>
  <c r="BZ208" i="8"/>
  <c r="BY206" i="8"/>
  <c r="BX204" i="8"/>
  <c r="BW202" i="8"/>
  <c r="BV200" i="8"/>
  <c r="CG197" i="8"/>
  <c r="CC231" i="8"/>
  <c r="CA228" i="8"/>
  <c r="CF225" i="8"/>
  <c r="BX223" i="8"/>
  <c r="CG220" i="8"/>
  <c r="CD218" i="8"/>
  <c r="CC216" i="8"/>
  <c r="CB214" i="8"/>
  <c r="CA212" i="8"/>
  <c r="BZ210" i="8"/>
  <c r="BY208" i="8"/>
  <c r="BX206" i="8"/>
  <c r="BW204" i="8"/>
  <c r="BV202" i="8"/>
  <c r="CG199" i="8"/>
  <c r="CF197" i="8"/>
  <c r="BW231" i="8"/>
  <c r="BZ228" i="8"/>
  <c r="CE225" i="8"/>
  <c r="BW223" i="8"/>
  <c r="CF220" i="8"/>
  <c r="CC218" i="8"/>
  <c r="CB216" i="8"/>
  <c r="CA214" i="8"/>
  <c r="BZ212" i="8"/>
  <c r="BY210" i="8"/>
  <c r="BX208" i="8"/>
  <c r="BW206" i="8"/>
  <c r="BV204" i="8"/>
  <c r="CG201" i="8"/>
  <c r="CF199" i="8"/>
  <c r="CE197" i="8"/>
  <c r="CG230" i="8"/>
  <c r="BY228" i="8"/>
  <c r="CD225" i="8"/>
  <c r="BV223" i="8"/>
  <c r="CE220" i="8"/>
  <c r="CB218" i="8"/>
  <c r="CA216" i="8"/>
  <c r="BZ214" i="8"/>
  <c r="BY212" i="8"/>
  <c r="BX210" i="8"/>
  <c r="BW208" i="8"/>
  <c r="BV206" i="8"/>
  <c r="CG203" i="8"/>
  <c r="CF201" i="8"/>
  <c r="CE199" i="8"/>
  <c r="CD197" i="8"/>
  <c r="CF230" i="8"/>
  <c r="BX228" i="8"/>
  <c r="CC225" i="8"/>
  <c r="CG222" i="8"/>
  <c r="CD220" i="8"/>
  <c r="CA218" i="8"/>
  <c r="BZ216" i="8"/>
  <c r="BY214" i="8"/>
  <c r="BX212" i="8"/>
  <c r="BW210" i="8"/>
  <c r="BV208" i="8"/>
  <c r="CG205" i="8"/>
  <c r="CF203" i="8"/>
  <c r="CE201" i="8"/>
  <c r="CD199" i="8"/>
  <c r="CC197" i="8"/>
  <c r="CE230" i="8"/>
  <c r="BW228" i="8"/>
  <c r="CA225" i="8"/>
  <c r="CF222" i="8"/>
  <c r="CC220" i="8"/>
  <c r="BZ218" i="8"/>
  <c r="BY216" i="8"/>
  <c r="BX214" i="8"/>
  <c r="BW212" i="8"/>
  <c r="BV210" i="8"/>
  <c r="CG207" i="8"/>
  <c r="CF205" i="8"/>
  <c r="CE203" i="8"/>
  <c r="CD201" i="8"/>
  <c r="CC199" i="8"/>
  <c r="CA197" i="8"/>
  <c r="CD230" i="8"/>
  <c r="BV228" i="8"/>
  <c r="BW225" i="8"/>
  <c r="CE222" i="8"/>
  <c r="CB220" i="8"/>
  <c r="BY218" i="8"/>
  <c r="BX216" i="8"/>
  <c r="BW214" i="8"/>
  <c r="BV212" i="8"/>
  <c r="CG209" i="8"/>
  <c r="CF207" i="8"/>
  <c r="CE205" i="8"/>
  <c r="CD203" i="8"/>
  <c r="CC201" i="8"/>
  <c r="CA199" i="8"/>
  <c r="BZ197" i="8"/>
  <c r="CC230" i="8"/>
  <c r="CG227" i="8"/>
  <c r="CG224" i="8"/>
  <c r="CD222" i="8"/>
  <c r="CA220" i="8"/>
  <c r="BX218" i="8"/>
  <c r="BW216" i="8"/>
  <c r="BV214" i="8"/>
  <c r="CG211" i="8"/>
  <c r="CF209" i="8"/>
  <c r="CE207" i="8"/>
  <c r="CD205" i="8"/>
  <c r="CC203" i="8"/>
  <c r="CA201" i="8"/>
  <c r="BZ199" i="8"/>
  <c r="BY197" i="8"/>
  <c r="CA230" i="8"/>
  <c r="CF227" i="8"/>
  <c r="CF224" i="8"/>
  <c r="CC222" i="8"/>
  <c r="BZ220" i="8"/>
  <c r="BW218" i="8"/>
  <c r="BV216" i="8"/>
  <c r="CG213" i="8"/>
  <c r="CF211" i="8"/>
  <c r="CE209" i="8"/>
  <c r="CD207" i="8"/>
  <c r="CC205" i="8"/>
  <c r="CA203" i="8"/>
  <c r="BZ201" i="8"/>
  <c r="BY199" i="8"/>
  <c r="BX197" i="8"/>
  <c r="BZ230" i="8"/>
  <c r="CE227" i="8"/>
  <c r="CE224" i="8"/>
  <c r="CB222" i="8"/>
  <c r="BY220" i="8"/>
  <c r="BV218" i="8"/>
  <c r="CG215" i="8"/>
  <c r="CF213" i="8"/>
  <c r="CE211" i="8"/>
  <c r="CD209" i="8"/>
  <c r="CC207" i="8"/>
  <c r="CA205" i="8"/>
  <c r="BZ203" i="8"/>
  <c r="BY201" i="8"/>
  <c r="BX199" i="8"/>
  <c r="BW197" i="8"/>
  <c r="BY230" i="8"/>
  <c r="CD227" i="8"/>
  <c r="CD224" i="8"/>
  <c r="CA222" i="8"/>
  <c r="BX220" i="8"/>
  <c r="CG217" i="8"/>
  <c r="CF215" i="8"/>
  <c r="CE213" i="8"/>
  <c r="CD211" i="8"/>
  <c r="CC209" i="8"/>
  <c r="CA207" i="8"/>
  <c r="BZ205" i="8"/>
  <c r="BY203" i="8"/>
  <c r="BX201" i="8"/>
  <c r="BW199" i="8"/>
  <c r="BV197" i="8"/>
  <c r="BX230" i="8"/>
  <c r="CC227" i="8"/>
  <c r="CC224" i="8"/>
  <c r="BZ222" i="8"/>
  <c r="BW220" i="8"/>
  <c r="CF217" i="8"/>
  <c r="CE215" i="8"/>
  <c r="CD213" i="8"/>
  <c r="CC211" i="8"/>
  <c r="CA209" i="8"/>
  <c r="BZ207" i="8"/>
  <c r="BY205" i="8"/>
  <c r="BX203" i="8"/>
  <c r="BW201" i="8"/>
  <c r="BV199" i="8"/>
  <c r="CG196" i="8"/>
  <c r="BW230" i="8"/>
  <c r="BW227" i="8"/>
  <c r="CB224" i="8"/>
  <c r="BY222" i="8"/>
  <c r="BV220" i="8"/>
  <c r="CE217" i="8"/>
  <c r="CD215" i="8"/>
  <c r="CC213" i="8"/>
  <c r="CA211" i="8"/>
  <c r="BZ209" i="8"/>
  <c r="BY207" i="8"/>
  <c r="BX205" i="8"/>
  <c r="BW203" i="8"/>
  <c r="BV201" i="8"/>
  <c r="CG198" i="8"/>
  <c r="CF196" i="8"/>
  <c r="BV230" i="8"/>
  <c r="CG226" i="8"/>
  <c r="CA224" i="8"/>
  <c r="BX222" i="8"/>
  <c r="CG219" i="8"/>
  <c r="CD217" i="8"/>
  <c r="CC215" i="8"/>
  <c r="CA213" i="8"/>
  <c r="BZ211" i="8"/>
  <c r="BY209" i="8"/>
  <c r="BX207" i="8"/>
  <c r="BW205" i="8"/>
  <c r="BV203" i="8"/>
  <c r="CG200" i="8"/>
  <c r="CF198" i="8"/>
  <c r="CE196" i="8"/>
  <c r="CG229" i="8"/>
  <c r="CF226" i="8"/>
  <c r="BZ224" i="8"/>
  <c r="BW222" i="8"/>
  <c r="CF219" i="8"/>
  <c r="CC217" i="8"/>
  <c r="CA215" i="8"/>
  <c r="BZ213" i="8"/>
  <c r="BY211" i="8"/>
  <c r="BX209" i="8"/>
  <c r="BW207" i="8"/>
  <c r="BV205" i="8"/>
  <c r="CG202" i="8"/>
  <c r="CF200" i="8"/>
  <c r="CE198" i="8"/>
  <c r="CD196" i="8"/>
  <c r="CF229" i="8"/>
  <c r="CE226" i="8"/>
  <c r="BY224" i="8"/>
  <c r="BV222" i="8"/>
  <c r="CE219" i="8"/>
  <c r="CA217" i="8"/>
  <c r="BZ215" i="8"/>
  <c r="BY213" i="8"/>
  <c r="BX211" i="8"/>
  <c r="BW209" i="8"/>
  <c r="BV207" i="8"/>
  <c r="CG204" i="8"/>
  <c r="CF202" i="8"/>
  <c r="CE200" i="8"/>
  <c r="CD198" i="8"/>
  <c r="CC196" i="8"/>
  <c r="CE229" i="8"/>
  <c r="CD226" i="8"/>
  <c r="BX224" i="8"/>
  <c r="CG221" i="8"/>
  <c r="CD219" i="8"/>
  <c r="BZ217" i="8"/>
  <c r="BY215" i="8"/>
  <c r="BX213" i="8"/>
  <c r="BW211" i="8"/>
  <c r="BV209" i="8"/>
  <c r="CG206" i="8"/>
  <c r="CF204" i="8"/>
  <c r="CE202" i="8"/>
  <c r="CD200" i="8"/>
  <c r="CC198" i="8"/>
  <c r="CB196" i="8"/>
  <c r="CD229" i="8"/>
  <c r="CC226" i="8"/>
  <c r="BW224" i="8"/>
  <c r="CF221" i="8"/>
  <c r="CC219" i="8"/>
  <c r="BY217" i="8"/>
  <c r="BX215" i="8"/>
  <c r="BW213" i="8"/>
  <c r="BV211" i="8"/>
  <c r="CG208" i="8"/>
  <c r="CF206" i="8"/>
  <c r="CE204" i="8"/>
  <c r="CD202" i="8"/>
  <c r="CC200" i="8"/>
  <c r="CB198" i="8"/>
  <c r="CA196" i="8"/>
  <c r="CC229" i="8"/>
  <c r="CA226" i="8"/>
  <c r="BV224" i="8"/>
  <c r="CE221" i="8"/>
  <c r="CA219" i="8"/>
  <c r="BX217" i="8"/>
  <c r="BW215" i="8"/>
  <c r="BV213" i="8"/>
  <c r="CG210" i="8"/>
  <c r="CF208" i="8"/>
  <c r="CE206" i="8"/>
  <c r="CD204" i="8"/>
  <c r="CC202" i="8"/>
  <c r="CB200" i="8"/>
  <c r="CA198" i="8"/>
  <c r="BZ196" i="8"/>
  <c r="BW229" i="8"/>
  <c r="BZ226" i="8"/>
  <c r="CG223" i="8"/>
  <c r="CD221" i="8"/>
  <c r="BX219" i="8"/>
  <c r="BW217" i="8"/>
  <c r="BV215" i="8"/>
  <c r="CG212" i="8"/>
  <c r="CF210" i="8"/>
  <c r="CE208" i="8"/>
  <c r="CD206" i="8"/>
  <c r="CC204" i="8"/>
  <c r="CB202" i="8"/>
  <c r="CA200" i="8"/>
  <c r="BZ198" i="8"/>
  <c r="BY196" i="8"/>
  <c r="CG228" i="8"/>
  <c r="BY226" i="8"/>
  <c r="CF223" i="8"/>
  <c r="CC221" i="8"/>
  <c r="BW219" i="8"/>
  <c r="BV217" i="8"/>
  <c r="CG214" i="8"/>
  <c r="CF212" i="8"/>
  <c r="CE210" i="8"/>
  <c r="CD208" i="8"/>
  <c r="CC206" i="8"/>
  <c r="CB204" i="8"/>
  <c r="CA202" i="8"/>
  <c r="BZ200" i="8"/>
  <c r="BY198" i="8"/>
  <c r="BX196" i="8"/>
  <c r="CE231" i="8"/>
  <c r="CD228" i="8"/>
  <c r="BV226" i="8"/>
  <c r="CC223" i="8"/>
  <c r="BW221" i="8"/>
  <c r="CF218" i="8"/>
  <c r="CE216" i="8"/>
  <c r="CD214" i="8"/>
  <c r="CC212" i="8"/>
  <c r="CB210" i="8"/>
  <c r="CA208" i="8"/>
  <c r="BZ206" i="8"/>
  <c r="BY204" i="8"/>
  <c r="BX202" i="8"/>
  <c r="BW200" i="8"/>
  <c r="BV198" i="8"/>
  <c r="CF228" i="8"/>
  <c r="BZ202" i="8"/>
  <c r="BM231" i="8"/>
  <c r="BM229" i="8"/>
  <c r="BM227" i="8"/>
  <c r="BM225" i="8"/>
  <c r="BM223" i="8"/>
  <c r="BM221" i="8"/>
  <c r="BM219" i="8"/>
  <c r="BM217" i="8"/>
  <c r="BM215" i="8"/>
  <c r="BM213" i="8"/>
  <c r="CE228" i="8"/>
  <c r="BY202" i="8"/>
  <c r="BX226" i="8"/>
  <c r="BY200" i="8"/>
  <c r="BK231" i="8"/>
  <c r="BK229" i="8"/>
  <c r="BK227" i="8"/>
  <c r="BK225" i="8"/>
  <c r="BK223" i="8"/>
  <c r="BK221" i="8"/>
  <c r="BK219" i="8"/>
  <c r="BK217" i="8"/>
  <c r="BK215" i="8"/>
  <c r="BW226" i="8"/>
  <c r="BX200" i="8"/>
  <c r="CE223" i="8"/>
  <c r="BX198" i="8"/>
  <c r="CD223" i="8"/>
  <c r="BW198" i="8"/>
  <c r="CA221" i="8"/>
  <c r="BW196" i="8"/>
  <c r="BX221" i="8"/>
  <c r="BV196" i="8"/>
  <c r="BV219" i="8"/>
  <c r="CG218" i="8"/>
  <c r="CG216" i="8"/>
  <c r="CF216" i="8"/>
  <c r="CF214" i="8"/>
  <c r="CE214" i="8"/>
  <c r="CE212" i="8"/>
  <c r="CD212" i="8"/>
  <c r="CD210" i="8"/>
  <c r="CC210" i="8"/>
  <c r="CC208" i="8"/>
  <c r="CB208" i="8"/>
  <c r="CB206" i="8"/>
  <c r="CA206" i="8"/>
  <c r="CF231" i="8"/>
  <c r="BZ204" i="8"/>
  <c r="CG231" i="8"/>
  <c r="BS231" i="8"/>
  <c r="BQ229" i="8"/>
  <c r="BO227" i="8"/>
  <c r="BL225" i="8"/>
  <c r="BI223" i="8"/>
  <c r="BS220" i="8"/>
  <c r="BQ218" i="8"/>
  <c r="BO216" i="8"/>
  <c r="BM214" i="8"/>
  <c r="BL212" i="8"/>
  <c r="BL210" i="8"/>
  <c r="BL208" i="8"/>
  <c r="BL206" i="8"/>
  <c r="BL204" i="8"/>
  <c r="BL202" i="8"/>
  <c r="BL200" i="8"/>
  <c r="BL198" i="8"/>
  <c r="BL196" i="8"/>
  <c r="CA204" i="8"/>
  <c r="BR231" i="8"/>
  <c r="BP229" i="8"/>
  <c r="BN227" i="8"/>
  <c r="BJ225" i="8"/>
  <c r="BH223" i="8"/>
  <c r="BR220" i="8"/>
  <c r="BP218" i="8"/>
  <c r="BN216" i="8"/>
  <c r="BL214" i="8"/>
  <c r="BK212" i="8"/>
  <c r="BK210" i="8"/>
  <c r="BK208" i="8"/>
  <c r="BK206" i="8"/>
  <c r="BK204" i="8"/>
  <c r="BK202" i="8"/>
  <c r="BK200" i="8"/>
  <c r="BK198" i="8"/>
  <c r="BK196" i="8"/>
  <c r="BQ231" i="8"/>
  <c r="BO229" i="8"/>
  <c r="BL227" i="8"/>
  <c r="BI225" i="8"/>
  <c r="BS222" i="8"/>
  <c r="BQ220" i="8"/>
  <c r="BO218" i="8"/>
  <c r="BM216" i="8"/>
  <c r="BK214" i="8"/>
  <c r="BJ212" i="8"/>
  <c r="BJ210" i="8"/>
  <c r="BJ208" i="8"/>
  <c r="BJ206" i="8"/>
  <c r="BJ204" i="8"/>
  <c r="BJ202" i="8"/>
  <c r="BJ200" i="8"/>
  <c r="BJ198" i="8"/>
  <c r="BJ196" i="8"/>
  <c r="BP231" i="8"/>
  <c r="BN229" i="8"/>
  <c r="BJ227" i="8"/>
  <c r="BH225" i="8"/>
  <c r="BR222" i="8"/>
  <c r="BP220" i="8"/>
  <c r="BN218" i="8"/>
  <c r="BL216" i="8"/>
  <c r="BJ214" i="8"/>
  <c r="BI212" i="8"/>
  <c r="BI210" i="8"/>
  <c r="BI208" i="8"/>
  <c r="BI206" i="8"/>
  <c r="BI204" i="8"/>
  <c r="BI202" i="8"/>
  <c r="BI200" i="8"/>
  <c r="BI198" i="8"/>
  <c r="BI196" i="8"/>
  <c r="BO231" i="8"/>
  <c r="BL229" i="8"/>
  <c r="BI227" i="8"/>
  <c r="BS224" i="8"/>
  <c r="BQ222" i="8"/>
  <c r="BO220" i="8"/>
  <c r="BM218" i="8"/>
  <c r="BK216" i="8"/>
  <c r="BI214" i="8"/>
  <c r="BH212" i="8"/>
  <c r="BH210" i="8"/>
  <c r="BH208" i="8"/>
  <c r="BH206" i="8"/>
  <c r="BH204" i="8"/>
  <c r="BH202" i="8"/>
  <c r="BH200" i="8"/>
  <c r="BH198" i="8"/>
  <c r="BH196" i="8"/>
  <c r="BN231" i="8"/>
  <c r="BJ229" i="8"/>
  <c r="BH227" i="8"/>
  <c r="BR224" i="8"/>
  <c r="BP222" i="8"/>
  <c r="BN220" i="8"/>
  <c r="BL218" i="8"/>
  <c r="BJ216" i="8"/>
  <c r="BH214" i="8"/>
  <c r="BS211" i="8"/>
  <c r="BS209" i="8"/>
  <c r="BS207" i="8"/>
  <c r="BS205" i="8"/>
  <c r="BS203" i="8"/>
  <c r="BS201" i="8"/>
  <c r="BS199" i="8"/>
  <c r="BS197" i="8"/>
  <c r="BL231" i="8"/>
  <c r="BI229" i="8"/>
  <c r="BS226" i="8"/>
  <c r="BQ224" i="8"/>
  <c r="BO222" i="8"/>
  <c r="BM220" i="8"/>
  <c r="BK218" i="8"/>
  <c r="BI216" i="8"/>
  <c r="BS213" i="8"/>
  <c r="BR211" i="8"/>
  <c r="BR209" i="8"/>
  <c r="BR207" i="8"/>
  <c r="BR205" i="8"/>
  <c r="BR203" i="8"/>
  <c r="BR201" i="8"/>
  <c r="BR199" i="8"/>
  <c r="BR197" i="8"/>
  <c r="BJ231" i="8"/>
  <c r="BH229" i="8"/>
  <c r="BR226" i="8"/>
  <c r="BP224" i="8"/>
  <c r="BN222" i="8"/>
  <c r="BL220" i="8"/>
  <c r="BJ218" i="8"/>
  <c r="BH216" i="8"/>
  <c r="BR213" i="8"/>
  <c r="BQ211" i="8"/>
  <c r="BQ209" i="8"/>
  <c r="BQ207" i="8"/>
  <c r="BQ205" i="8"/>
  <c r="BQ203" i="8"/>
  <c r="BQ201" i="8"/>
  <c r="BQ199" i="8"/>
  <c r="BQ197" i="8"/>
  <c r="BI231" i="8"/>
  <c r="BS228" i="8"/>
  <c r="BQ226" i="8"/>
  <c r="BO224" i="8"/>
  <c r="BM222" i="8"/>
  <c r="BK220" i="8"/>
  <c r="BI218" i="8"/>
  <c r="BS215" i="8"/>
  <c r="BQ213" i="8"/>
  <c r="BP211" i="8"/>
  <c r="BP209" i="8"/>
  <c r="BP207" i="8"/>
  <c r="BP205" i="8"/>
  <c r="BP203" i="8"/>
  <c r="BP201" i="8"/>
  <c r="BP199" i="8"/>
  <c r="BP197" i="8"/>
  <c r="BH231" i="8"/>
  <c r="BR228" i="8"/>
  <c r="BP226" i="8"/>
  <c r="BN224" i="8"/>
  <c r="BL222" i="8"/>
  <c r="BJ220" i="8"/>
  <c r="BH218" i="8"/>
  <c r="BR215" i="8"/>
  <c r="BP213" i="8"/>
  <c r="BO211" i="8"/>
  <c r="BO209" i="8"/>
  <c r="BO207" i="8"/>
  <c r="BO205" i="8"/>
  <c r="BO203" i="8"/>
  <c r="BO201" i="8"/>
  <c r="BO199" i="8"/>
  <c r="BO197" i="8"/>
  <c r="BS230" i="8"/>
  <c r="BQ228" i="8"/>
  <c r="BO226" i="8"/>
  <c r="BM224" i="8"/>
  <c r="BK222" i="8"/>
  <c r="BI220" i="8"/>
  <c r="BS217" i="8"/>
  <c r="BQ215" i="8"/>
  <c r="BO213" i="8"/>
  <c r="BN211" i="8"/>
  <c r="BN209" i="8"/>
  <c r="BN207" i="8"/>
  <c r="BN205" i="8"/>
  <c r="BN203" i="8"/>
  <c r="BN201" i="8"/>
  <c r="BN199" i="8"/>
  <c r="BN197" i="8"/>
  <c r="BR230" i="8"/>
  <c r="BP228" i="8"/>
  <c r="BN226" i="8"/>
  <c r="BL224" i="8"/>
  <c r="BJ222" i="8"/>
  <c r="BH220" i="8"/>
  <c r="BR217" i="8"/>
  <c r="BP215" i="8"/>
  <c r="BN213" i="8"/>
  <c r="BM211" i="8"/>
  <c r="BM209" i="8"/>
  <c r="BM207" i="8"/>
  <c r="BM205" i="8"/>
  <c r="BM203" i="8"/>
  <c r="BM201" i="8"/>
  <c r="BM199" i="8"/>
  <c r="BM197" i="8"/>
  <c r="BQ230" i="8"/>
  <c r="BO228" i="8"/>
  <c r="BM226" i="8"/>
  <c r="BK224" i="8"/>
  <c r="BI222" i="8"/>
  <c r="BS219" i="8"/>
  <c r="BQ217" i="8"/>
  <c r="BO215" i="8"/>
  <c r="BL213" i="8"/>
  <c r="BL211" i="8"/>
  <c r="BL209" i="8"/>
  <c r="BL207" i="8"/>
  <c r="BL205" i="8"/>
  <c r="BL203" i="8"/>
  <c r="BL201" i="8"/>
  <c r="BL199" i="8"/>
  <c r="BL197" i="8"/>
  <c r="BP230" i="8"/>
  <c r="BN228" i="8"/>
  <c r="BL226" i="8"/>
  <c r="BJ224" i="8"/>
  <c r="BH222" i="8"/>
  <c r="BR219" i="8"/>
  <c r="BP217" i="8"/>
  <c r="BN215" i="8"/>
  <c r="BK213" i="8"/>
  <c r="BK211" i="8"/>
  <c r="BK209" i="8"/>
  <c r="BK207" i="8"/>
  <c r="BK205" i="8"/>
  <c r="BK203" i="8"/>
  <c r="BK201" i="8"/>
  <c r="BK199" i="8"/>
  <c r="BK197" i="8"/>
  <c r="BO230" i="8"/>
  <c r="BM228" i="8"/>
  <c r="BK226" i="8"/>
  <c r="BI224" i="8"/>
  <c r="BS221" i="8"/>
  <c r="BQ219" i="8"/>
  <c r="BO217" i="8"/>
  <c r="BL215" i="8"/>
  <c r="BJ213" i="8"/>
  <c r="BJ211" i="8"/>
  <c r="BJ209" i="8"/>
  <c r="BJ207" i="8"/>
  <c r="BJ205" i="8"/>
  <c r="BJ203" i="8"/>
  <c r="BJ201" i="8"/>
  <c r="BJ199" i="8"/>
  <c r="BJ197" i="8"/>
  <c r="BN230" i="8"/>
  <c r="BL228" i="8"/>
  <c r="BJ226" i="8"/>
  <c r="BH224" i="8"/>
  <c r="BR221" i="8"/>
  <c r="BP219" i="8"/>
  <c r="BN217" i="8"/>
  <c r="BJ215" i="8"/>
  <c r="BI213" i="8"/>
  <c r="BI211" i="8"/>
  <c r="BI209" i="8"/>
  <c r="BI207" i="8"/>
  <c r="BI205" i="8"/>
  <c r="BI203" i="8"/>
  <c r="BI201" i="8"/>
  <c r="BI199" i="8"/>
  <c r="BI197" i="8"/>
  <c r="BM230" i="8"/>
  <c r="BK228" i="8"/>
  <c r="BI226" i="8"/>
  <c r="BS223" i="8"/>
  <c r="BQ221" i="8"/>
  <c r="BO219" i="8"/>
  <c r="BL217" i="8"/>
  <c r="BI215" i="8"/>
  <c r="BH213" i="8"/>
  <c r="BL230" i="8"/>
  <c r="BJ228" i="8"/>
  <c r="BH226" i="8"/>
  <c r="BR223" i="8"/>
  <c r="BP221" i="8"/>
  <c r="BN219" i="8"/>
  <c r="BJ217" i="8"/>
  <c r="BH215" i="8"/>
  <c r="BS212" i="8"/>
  <c r="BS210" i="8"/>
  <c r="BS208" i="8"/>
  <c r="BS206" i="8"/>
  <c r="BS204" i="8"/>
  <c r="BS202" i="8"/>
  <c r="BS200" i="8"/>
  <c r="BS198" i="8"/>
  <c r="BS196" i="8"/>
  <c r="BK230" i="8"/>
  <c r="BI228" i="8"/>
  <c r="BS225" i="8"/>
  <c r="BQ223" i="8"/>
  <c r="BO221" i="8"/>
  <c r="BL219" i="8"/>
  <c r="BI217" i="8"/>
  <c r="BS214" i="8"/>
  <c r="BR212" i="8"/>
  <c r="BR210" i="8"/>
  <c r="BR208" i="8"/>
  <c r="BR206" i="8"/>
  <c r="BR204" i="8"/>
  <c r="BR202" i="8"/>
  <c r="BR200" i="8"/>
  <c r="BR198" i="8"/>
  <c r="BR196" i="8"/>
  <c r="BJ230" i="8"/>
  <c r="BH228" i="8"/>
  <c r="BR225" i="8"/>
  <c r="BP223" i="8"/>
  <c r="BN221" i="8"/>
  <c r="BJ219" i="8"/>
  <c r="BH217" i="8"/>
  <c r="BR214" i="8"/>
  <c r="BQ212" i="8"/>
  <c r="BQ210" i="8"/>
  <c r="BQ208" i="8"/>
  <c r="BQ206" i="8"/>
  <c r="BQ204" i="8"/>
  <c r="BQ202" i="8"/>
  <c r="BQ200" i="8"/>
  <c r="BQ198" i="8"/>
  <c r="BQ196" i="8"/>
  <c r="BI230" i="8"/>
  <c r="BS227" i="8"/>
  <c r="BQ225" i="8"/>
  <c r="BO223" i="8"/>
  <c r="BL221" i="8"/>
  <c r="BI219" i="8"/>
  <c r="BS216" i="8"/>
  <c r="BQ214" i="8"/>
  <c r="BP212" i="8"/>
  <c r="BP210" i="8"/>
  <c r="BP208" i="8"/>
  <c r="BP206" i="8"/>
  <c r="BP204" i="8"/>
  <c r="BP202" i="8"/>
  <c r="BP200" i="8"/>
  <c r="BP198" i="8"/>
  <c r="BP196" i="8"/>
  <c r="BH230" i="8"/>
  <c r="BR227" i="8"/>
  <c r="BP225" i="8"/>
  <c r="BN223" i="8"/>
  <c r="BJ221" i="8"/>
  <c r="BH219" i="8"/>
  <c r="BR216" i="8"/>
  <c r="BP214" i="8"/>
  <c r="BO212" i="8"/>
  <c r="BO210" i="8"/>
  <c r="BO208" i="8"/>
  <c r="BO206" i="8"/>
  <c r="BO204" i="8"/>
  <c r="BO202" i="8"/>
  <c r="BO200" i="8"/>
  <c r="BO198" i="8"/>
  <c r="BO196" i="8"/>
  <c r="BS229" i="8"/>
  <c r="BQ227" i="8"/>
  <c r="BO225" i="8"/>
  <c r="BL223" i="8"/>
  <c r="BI221" i="8"/>
  <c r="BS218" i="8"/>
  <c r="BQ216" i="8"/>
  <c r="BO214" i="8"/>
  <c r="BN212" i="8"/>
  <c r="BN210" i="8"/>
  <c r="BN208" i="8"/>
  <c r="BN206" i="8"/>
  <c r="BN204" i="8"/>
  <c r="BN202" i="8"/>
  <c r="BN200" i="8"/>
  <c r="BN198" i="8"/>
  <c r="BN196" i="8"/>
  <c r="BR229" i="8"/>
  <c r="BP227" i="8"/>
  <c r="BN225" i="8"/>
  <c r="BJ223" i="8"/>
  <c r="BH221" i="8"/>
  <c r="BR218" i="8"/>
  <c r="BP216" i="8"/>
  <c r="BN214" i="8"/>
  <c r="BM212" i="8"/>
  <c r="BM210" i="8"/>
  <c r="BM208" i="8"/>
  <c r="BM206" i="8"/>
  <c r="BM204" i="8"/>
  <c r="BM202" i="8"/>
  <c r="BM200" i="8"/>
  <c r="BH211" i="8"/>
  <c r="BA231" i="8"/>
  <c r="BA229" i="8"/>
  <c r="BA227" i="8"/>
  <c r="BA225" i="8"/>
  <c r="BA223" i="8"/>
  <c r="BA221" i="8"/>
  <c r="BA219" i="8"/>
  <c r="BA217" i="8"/>
  <c r="BA215" i="8"/>
  <c r="BA213" i="8"/>
  <c r="BA211" i="8"/>
  <c r="BA209" i="8"/>
  <c r="BA207" i="8"/>
  <c r="BA205" i="8"/>
  <c r="BA203" i="8"/>
  <c r="BA201" i="8"/>
  <c r="BA199" i="8"/>
  <c r="BA197" i="8"/>
  <c r="BH209" i="8"/>
  <c r="AZ231" i="8"/>
  <c r="AZ229" i="8"/>
  <c r="AZ227" i="8"/>
  <c r="AZ225" i="8"/>
  <c r="AZ223" i="8"/>
  <c r="AZ221" i="8"/>
  <c r="AZ219" i="8"/>
  <c r="AZ217" i="8"/>
  <c r="AZ215" i="8"/>
  <c r="AZ213" i="8"/>
  <c r="AZ211" i="8"/>
  <c r="AZ209" i="8"/>
  <c r="AZ207" i="8"/>
  <c r="AZ205" i="8"/>
  <c r="AZ203" i="8"/>
  <c r="AZ201" i="8"/>
  <c r="AZ199" i="8"/>
  <c r="AZ197" i="8"/>
  <c r="BH207" i="8"/>
  <c r="AY231" i="8"/>
  <c r="AY229" i="8"/>
  <c r="AY227" i="8"/>
  <c r="AY225" i="8"/>
  <c r="AY223" i="8"/>
  <c r="AY221" i="8"/>
  <c r="AY219" i="8"/>
  <c r="BH205" i="8"/>
  <c r="AX231" i="8"/>
  <c r="AX229" i="8"/>
  <c r="AX227" i="8"/>
  <c r="AX225" i="8"/>
  <c r="AX223" i="8"/>
  <c r="AX221" i="8"/>
  <c r="BH203" i="8"/>
  <c r="AW231" i="8"/>
  <c r="AW229" i="8"/>
  <c r="AW227" i="8"/>
  <c r="AW225" i="8"/>
  <c r="AW223" i="8"/>
  <c r="AW221" i="8"/>
  <c r="AW219" i="8"/>
  <c r="AW217" i="8"/>
  <c r="BH201" i="8"/>
  <c r="BH199" i="8"/>
  <c r="BM198" i="8"/>
  <c r="BH197" i="8"/>
  <c r="BM196" i="8"/>
  <c r="BE229" i="8"/>
  <c r="AU227" i="8"/>
  <c r="BB224" i="8"/>
  <c r="AW222" i="8"/>
  <c r="BD219" i="8"/>
  <c r="AX217" i="8"/>
  <c r="AU215" i="8"/>
  <c r="BE212" i="8"/>
  <c r="BC210" i="8"/>
  <c r="BA208" i="8"/>
  <c r="AY206" i="8"/>
  <c r="AW204" i="8"/>
  <c r="AU202" i="8"/>
  <c r="BE199" i="8"/>
  <c r="BC197" i="8"/>
  <c r="BD229" i="8"/>
  <c r="AT227" i="8"/>
  <c r="BA224" i="8"/>
  <c r="AV222" i="8"/>
  <c r="BC219" i="8"/>
  <c r="AV217" i="8"/>
  <c r="AT215" i="8"/>
  <c r="BD212" i="8"/>
  <c r="BB210" i="8"/>
  <c r="AZ208" i="8"/>
  <c r="AX206" i="8"/>
  <c r="AV204" i="8"/>
  <c r="AT202" i="8"/>
  <c r="BD199" i="8"/>
  <c r="BB197" i="8"/>
  <c r="BC229" i="8"/>
  <c r="BE226" i="8"/>
  <c r="AZ224" i="8"/>
  <c r="AU222" i="8"/>
  <c r="BB219" i="8"/>
  <c r="AU217" i="8"/>
  <c r="BE214" i="8"/>
  <c r="BC212" i="8"/>
  <c r="BA210" i="8"/>
  <c r="AY208" i="8"/>
  <c r="AW206" i="8"/>
  <c r="AU204" i="8"/>
  <c r="BE201" i="8"/>
  <c r="BC199" i="8"/>
  <c r="AY197" i="8"/>
  <c r="BB229" i="8"/>
  <c r="BD226" i="8"/>
  <c r="AY224" i="8"/>
  <c r="AT222" i="8"/>
  <c r="AX219" i="8"/>
  <c r="AT217" i="8"/>
  <c r="BD214" i="8"/>
  <c r="BB212" i="8"/>
  <c r="AZ210" i="8"/>
  <c r="AX208" i="8"/>
  <c r="AV206" i="8"/>
  <c r="AT204" i="8"/>
  <c r="BD201" i="8"/>
  <c r="BB199" i="8"/>
  <c r="AX197" i="8"/>
  <c r="AV229" i="8"/>
  <c r="BC226" i="8"/>
  <c r="AX224" i="8"/>
  <c r="BE221" i="8"/>
  <c r="AV219" i="8"/>
  <c r="BE216" i="8"/>
  <c r="BC214" i="8"/>
  <c r="BA212" i="8"/>
  <c r="AY210" i="8"/>
  <c r="AW208" i="8"/>
  <c r="AU206" i="8"/>
  <c r="BE203" i="8"/>
  <c r="BC201" i="8"/>
  <c r="AY199" i="8"/>
  <c r="AW197" i="8"/>
  <c r="BE231" i="8"/>
  <c r="AU229" i="8"/>
  <c r="BB226" i="8"/>
  <c r="AW224" i="8"/>
  <c r="BD221" i="8"/>
  <c r="AU219" i="8"/>
  <c r="BD216" i="8"/>
  <c r="BB214" i="8"/>
  <c r="AZ212" i="8"/>
  <c r="AX210" i="8"/>
  <c r="AV208" i="8"/>
  <c r="AT206" i="8"/>
  <c r="BD203" i="8"/>
  <c r="BB201" i="8"/>
  <c r="AX199" i="8"/>
  <c r="AV197" i="8"/>
  <c r="BD231" i="8"/>
  <c r="AT229" i="8"/>
  <c r="BA226" i="8"/>
  <c r="AV224" i="8"/>
  <c r="BC221" i="8"/>
  <c r="AT219" i="8"/>
  <c r="BC216" i="8"/>
  <c r="BA214" i="8"/>
  <c r="AY212" i="8"/>
  <c r="AW210" i="8"/>
  <c r="AU208" i="8"/>
  <c r="BE205" i="8"/>
  <c r="BC203" i="8"/>
  <c r="AY201" i="8"/>
  <c r="AW199" i="8"/>
  <c r="AU197" i="8"/>
  <c r="BC231" i="8"/>
  <c r="BE228" i="8"/>
  <c r="AZ226" i="8"/>
  <c r="AU224" i="8"/>
  <c r="BB221" i="8"/>
  <c r="BE218" i="8"/>
  <c r="BB216" i="8"/>
  <c r="AZ214" i="8"/>
  <c r="AX212" i="8"/>
  <c r="AV210" i="8"/>
  <c r="AT208" i="8"/>
  <c r="BD205" i="8"/>
  <c r="BB203" i="8"/>
  <c r="AX201" i="8"/>
  <c r="AV199" i="8"/>
  <c r="AT197" i="8"/>
  <c r="BB231" i="8"/>
  <c r="BD228" i="8"/>
  <c r="AY226" i="8"/>
  <c r="AT224" i="8"/>
  <c r="AV221" i="8"/>
  <c r="BD218" i="8"/>
  <c r="BA216" i="8"/>
  <c r="AY214" i="8"/>
  <c r="AW212" i="8"/>
  <c r="AU210" i="8"/>
  <c r="BE207" i="8"/>
  <c r="BC205" i="8"/>
  <c r="AY203" i="8"/>
  <c r="AW201" i="8"/>
  <c r="AU199" i="8"/>
  <c r="BE196" i="8"/>
  <c r="AV231" i="8"/>
  <c r="BC228" i="8"/>
  <c r="AX226" i="8"/>
  <c r="BE223" i="8"/>
  <c r="AU221" i="8"/>
  <c r="BC218" i="8"/>
  <c r="AZ216" i="8"/>
  <c r="AX214" i="8"/>
  <c r="AV212" i="8"/>
  <c r="AT210" i="8"/>
  <c r="BD207" i="8"/>
  <c r="BB205" i="8"/>
  <c r="AX203" i="8"/>
  <c r="AV201" i="8"/>
  <c r="AT199" i="8"/>
  <c r="BD196" i="8"/>
  <c r="AU231" i="8"/>
  <c r="BB228" i="8"/>
  <c r="AW226" i="8"/>
  <c r="BD223" i="8"/>
  <c r="AT221" i="8"/>
  <c r="BB218" i="8"/>
  <c r="AY216" i="8"/>
  <c r="AW214" i="8"/>
  <c r="AU212" i="8"/>
  <c r="BE209" i="8"/>
  <c r="BC207" i="8"/>
  <c r="AY205" i="8"/>
  <c r="AW203" i="8"/>
  <c r="AU201" i="8"/>
  <c r="BE198" i="8"/>
  <c r="BC196" i="8"/>
  <c r="AT231" i="8"/>
  <c r="BA228" i="8"/>
  <c r="AV226" i="8"/>
  <c r="BC223" i="8"/>
  <c r="BE220" i="8"/>
  <c r="BA218" i="8"/>
  <c r="AX216" i="8"/>
  <c r="AV214" i="8"/>
  <c r="AT212" i="8"/>
  <c r="BD209" i="8"/>
  <c r="BB207" i="8"/>
  <c r="AX205" i="8"/>
  <c r="AV203" i="8"/>
  <c r="AT201" i="8"/>
  <c r="BD198" i="8"/>
  <c r="BB196" i="8"/>
  <c r="BE230" i="8"/>
  <c r="AZ228" i="8"/>
  <c r="AU226" i="8"/>
  <c r="BB223" i="8"/>
  <c r="BD220" i="8"/>
  <c r="AZ218" i="8"/>
  <c r="AW216" i="8"/>
  <c r="AU214" i="8"/>
  <c r="BE211" i="8"/>
  <c r="BC209" i="8"/>
  <c r="AY207" i="8"/>
  <c r="AW205" i="8"/>
  <c r="AU203" i="8"/>
  <c r="BE200" i="8"/>
  <c r="BC198" i="8"/>
  <c r="BA196" i="8"/>
  <c r="BD230" i="8"/>
  <c r="AY228" i="8"/>
  <c r="AT226" i="8"/>
  <c r="AV223" i="8"/>
  <c r="BC220" i="8"/>
  <c r="AY218" i="8"/>
  <c r="AV216" i="8"/>
  <c r="AT214" i="8"/>
  <c r="BD211" i="8"/>
  <c r="BB209" i="8"/>
  <c r="AX207" i="8"/>
  <c r="AV205" i="8"/>
  <c r="AT203" i="8"/>
  <c r="BD200" i="8"/>
  <c r="BB198" i="8"/>
  <c r="AZ196" i="8"/>
  <c r="BC230" i="8"/>
  <c r="AX228" i="8"/>
  <c r="BE225" i="8"/>
  <c r="AU223" i="8"/>
  <c r="BB220" i="8"/>
  <c r="AX218" i="8"/>
  <c r="AU216" i="8"/>
  <c r="BE213" i="8"/>
  <c r="BC211" i="8"/>
  <c r="AY209" i="8"/>
  <c r="AW207" i="8"/>
  <c r="AU205" i="8"/>
  <c r="BE202" i="8"/>
  <c r="BC200" i="8"/>
  <c r="BA198" i="8"/>
  <c r="AY196" i="8"/>
  <c r="BB230" i="8"/>
  <c r="AW228" i="8"/>
  <c r="BD225" i="8"/>
  <c r="AT223" i="8"/>
  <c r="BA220" i="8"/>
  <c r="AW218" i="8"/>
  <c r="AT216" i="8"/>
  <c r="BD213" i="8"/>
  <c r="BB211" i="8"/>
  <c r="AX209" i="8"/>
  <c r="AV207" i="8"/>
  <c r="AT205" i="8"/>
  <c r="BD202" i="8"/>
  <c r="BB200" i="8"/>
  <c r="AZ198" i="8"/>
  <c r="AX196" i="8"/>
  <c r="BA230" i="8"/>
  <c r="AV228" i="8"/>
  <c r="BC225" i="8"/>
  <c r="BE222" i="8"/>
  <c r="AZ220" i="8"/>
  <c r="AV218" i="8"/>
  <c r="BE215" i="8"/>
  <c r="BC213" i="8"/>
  <c r="AY211" i="8"/>
  <c r="AW209" i="8"/>
  <c r="AU207" i="8"/>
  <c r="BE204" i="8"/>
  <c r="BC202" i="8"/>
  <c r="BA200" i="8"/>
  <c r="AY198" i="8"/>
  <c r="AW196" i="8"/>
  <c r="AZ230" i="8"/>
  <c r="AU228" i="8"/>
  <c r="BB225" i="8"/>
  <c r="BD222" i="8"/>
  <c r="AY220" i="8"/>
  <c r="AU218" i="8"/>
  <c r="BD215" i="8"/>
  <c r="BB213" i="8"/>
  <c r="AX211" i="8"/>
  <c r="AV209" i="8"/>
  <c r="AT207" i="8"/>
  <c r="BD204" i="8"/>
  <c r="BB202" i="8"/>
  <c r="AZ200" i="8"/>
  <c r="AX198" i="8"/>
  <c r="AV196" i="8"/>
  <c r="AY230" i="8"/>
  <c r="AT228" i="8"/>
  <c r="AV225" i="8"/>
  <c r="BC222" i="8"/>
  <c r="AX220" i="8"/>
  <c r="AT218" i="8"/>
  <c r="BC215" i="8"/>
  <c r="AY213" i="8"/>
  <c r="AW211" i="8"/>
  <c r="AU209" i="8"/>
  <c r="BE206" i="8"/>
  <c r="BC204" i="8"/>
  <c r="BA202" i="8"/>
  <c r="AY200" i="8"/>
  <c r="AW198" i="8"/>
  <c r="AU196" i="8"/>
  <c r="AX230" i="8"/>
  <c r="BE227" i="8"/>
  <c r="AU225" i="8"/>
  <c r="BB222" i="8"/>
  <c r="AW220" i="8"/>
  <c r="BE217" i="8"/>
  <c r="BB215" i="8"/>
  <c r="AX213" i="8"/>
  <c r="AV211" i="8"/>
  <c r="AT209" i="8"/>
  <c r="BD206" i="8"/>
  <c r="BB204" i="8"/>
  <c r="AZ202" i="8"/>
  <c r="AX200" i="8"/>
  <c r="AV198" i="8"/>
  <c r="AT196" i="8"/>
  <c r="AW230" i="8"/>
  <c r="BD227" i="8"/>
  <c r="AT225" i="8"/>
  <c r="BA222" i="8"/>
  <c r="AV220" i="8"/>
  <c r="BD217" i="8"/>
  <c r="AY215" i="8"/>
  <c r="AW213" i="8"/>
  <c r="AU211" i="8"/>
  <c r="BE208" i="8"/>
  <c r="BC206" i="8"/>
  <c r="BA204" i="8"/>
  <c r="AY202" i="8"/>
  <c r="AW200" i="8"/>
  <c r="AU198" i="8"/>
  <c r="AV230" i="8"/>
  <c r="BC227" i="8"/>
  <c r="BE224" i="8"/>
  <c r="AZ222" i="8"/>
  <c r="AU220" i="8"/>
  <c r="BC217" i="8"/>
  <c r="AX215" i="8"/>
  <c r="AV213" i="8"/>
  <c r="AT211" i="8"/>
  <c r="BD208" i="8"/>
  <c r="BB206" i="8"/>
  <c r="AZ204" i="8"/>
  <c r="AX202" i="8"/>
  <c r="AV200" i="8"/>
  <c r="AT198" i="8"/>
  <c r="AT230" i="8"/>
  <c r="AV227" i="8"/>
  <c r="BC224" i="8"/>
  <c r="AX222" i="8"/>
  <c r="BE219" i="8"/>
  <c r="AY217" i="8"/>
  <c r="AV215" i="8"/>
  <c r="AT213" i="8"/>
  <c r="BD210" i="8"/>
  <c r="BB208" i="8"/>
  <c r="AZ206" i="8"/>
  <c r="AX204" i="8"/>
  <c r="AV202" i="8"/>
  <c r="AT200" i="8"/>
  <c r="BD197" i="8"/>
  <c r="BB227" i="8"/>
  <c r="BD224" i="8"/>
  <c r="AN230" i="8"/>
  <c r="AN228" i="8"/>
  <c r="AN226" i="8"/>
  <c r="AN224" i="8"/>
  <c r="AN222" i="8"/>
  <c r="AN220" i="8"/>
  <c r="AN218" i="8"/>
  <c r="AY222" i="8"/>
  <c r="AM230" i="8"/>
  <c r="AM228" i="8"/>
  <c r="AM226" i="8"/>
  <c r="AM224" i="8"/>
  <c r="AM222" i="8"/>
  <c r="AM220" i="8"/>
  <c r="AM218" i="8"/>
  <c r="AT220" i="8"/>
  <c r="BB217" i="8"/>
  <c r="AK230" i="8"/>
  <c r="AK228" i="8"/>
  <c r="AW215" i="8"/>
  <c r="AU213" i="8"/>
  <c r="BE210" i="8"/>
  <c r="BC208" i="8"/>
  <c r="BA206" i="8"/>
  <c r="AY204" i="8"/>
  <c r="AW202" i="8"/>
  <c r="AU200" i="8"/>
  <c r="BE197" i="8"/>
  <c r="AU230" i="8"/>
  <c r="AI230" i="8"/>
  <c r="AF228" i="8"/>
  <c r="AP225" i="8"/>
  <c r="AN223" i="8"/>
  <c r="AL221" i="8"/>
  <c r="AJ219" i="8"/>
  <c r="AH217" i="8"/>
  <c r="AH215" i="8"/>
  <c r="AH213" i="8"/>
  <c r="AH211" i="8"/>
  <c r="AH209" i="8"/>
  <c r="AH207" i="8"/>
  <c r="AH205" i="8"/>
  <c r="AH203" i="8"/>
  <c r="AH201" i="8"/>
  <c r="AH199" i="8"/>
  <c r="AH197" i="8"/>
  <c r="AH230" i="8"/>
  <c r="AQ227" i="8"/>
  <c r="AO225" i="8"/>
  <c r="AM223" i="8"/>
  <c r="AK221" i="8"/>
  <c r="AI219" i="8"/>
  <c r="AG217" i="8"/>
  <c r="AG215" i="8"/>
  <c r="AG213" i="8"/>
  <c r="AG211" i="8"/>
  <c r="AG209" i="8"/>
  <c r="AG207" i="8"/>
  <c r="AG205" i="8"/>
  <c r="AG203" i="8"/>
  <c r="AG201" i="8"/>
  <c r="AG199" i="8"/>
  <c r="AG197" i="8"/>
  <c r="AG230" i="8"/>
  <c r="AP227" i="8"/>
  <c r="AN225" i="8"/>
  <c r="AL223" i="8"/>
  <c r="AJ221" i="8"/>
  <c r="AH219" i="8"/>
  <c r="AF217" i="8"/>
  <c r="AF215" i="8"/>
  <c r="AF213" i="8"/>
  <c r="AF211" i="8"/>
  <c r="AF209" i="8"/>
  <c r="AF207" i="8"/>
  <c r="AF205" i="8"/>
  <c r="AF203" i="8"/>
  <c r="AF201" i="8"/>
  <c r="AF199" i="8"/>
  <c r="AF197" i="8"/>
  <c r="AF230" i="8"/>
  <c r="AO227" i="8"/>
  <c r="AM225" i="8"/>
  <c r="AK223" i="8"/>
  <c r="AI221" i="8"/>
  <c r="AG219" i="8"/>
  <c r="AQ216" i="8"/>
  <c r="AQ214" i="8"/>
  <c r="AQ212" i="8"/>
  <c r="AQ210" i="8"/>
  <c r="AQ208" i="8"/>
  <c r="AQ206" i="8"/>
  <c r="AQ204" i="8"/>
  <c r="AQ202" i="8"/>
  <c r="AQ200" i="8"/>
  <c r="AQ198" i="8"/>
  <c r="AQ196" i="8"/>
  <c r="AQ229" i="8"/>
  <c r="AN227" i="8"/>
  <c r="AL225" i="8"/>
  <c r="AJ223" i="8"/>
  <c r="AH221" i="8"/>
  <c r="AF219" i="8"/>
  <c r="AP216" i="8"/>
  <c r="AP214" i="8"/>
  <c r="AP212" i="8"/>
  <c r="AP210" i="8"/>
  <c r="AP208" i="8"/>
  <c r="AP206" i="8"/>
  <c r="AP204" i="8"/>
  <c r="AP202" i="8"/>
  <c r="AP200" i="8"/>
  <c r="AP198" i="8"/>
  <c r="AP196" i="8"/>
  <c r="AP229" i="8"/>
  <c r="AM227" i="8"/>
  <c r="AK225" i="8"/>
  <c r="AI223" i="8"/>
  <c r="AG221" i="8"/>
  <c r="AQ218" i="8"/>
  <c r="AO216" i="8"/>
  <c r="AO214" i="8"/>
  <c r="AO212" i="8"/>
  <c r="AO210" i="8"/>
  <c r="AO208" i="8"/>
  <c r="AO206" i="8"/>
  <c r="AO204" i="8"/>
  <c r="AO202" i="8"/>
  <c r="AO200" i="8"/>
  <c r="AO198" i="8"/>
  <c r="AO196" i="8"/>
  <c r="AO229" i="8"/>
  <c r="AL227" i="8"/>
  <c r="AJ225" i="8"/>
  <c r="AH223" i="8"/>
  <c r="AF221" i="8"/>
  <c r="AP218" i="8"/>
  <c r="AN216" i="8"/>
  <c r="AN214" i="8"/>
  <c r="AN212" i="8"/>
  <c r="AN210" i="8"/>
  <c r="AN208" i="8"/>
  <c r="AN206" i="8"/>
  <c r="AN204" i="8"/>
  <c r="AN202" i="8"/>
  <c r="AN200" i="8"/>
  <c r="AN198" i="8"/>
  <c r="AN196" i="8"/>
  <c r="AQ231" i="8"/>
  <c r="AN229" i="8"/>
  <c r="AK227" i="8"/>
  <c r="AI225" i="8"/>
  <c r="AG223" i="8"/>
  <c r="AQ220" i="8"/>
  <c r="AO218" i="8"/>
  <c r="AM216" i="8"/>
  <c r="AM214" i="8"/>
  <c r="AM212" i="8"/>
  <c r="AM210" i="8"/>
  <c r="AM208" i="8"/>
  <c r="AM206" i="8"/>
  <c r="AM204" i="8"/>
  <c r="AM202" i="8"/>
  <c r="AM200" i="8"/>
  <c r="AM198" i="8"/>
  <c r="AM196" i="8"/>
  <c r="AP231" i="8"/>
  <c r="AM229" i="8"/>
  <c r="AJ227" i="8"/>
  <c r="AH225" i="8"/>
  <c r="AF223" i="8"/>
  <c r="AP220" i="8"/>
  <c r="AL218" i="8"/>
  <c r="AL216" i="8"/>
  <c r="AL214" i="8"/>
  <c r="AL212" i="8"/>
  <c r="AL210" i="8"/>
  <c r="AL208" i="8"/>
  <c r="AL206" i="8"/>
  <c r="AL204" i="8"/>
  <c r="AL202" i="8"/>
  <c r="AL200" i="8"/>
  <c r="AL198" i="8"/>
  <c r="AL196" i="8"/>
  <c r="AO231" i="8"/>
  <c r="AL229" i="8"/>
  <c r="AI227" i="8"/>
  <c r="AG225" i="8"/>
  <c r="AQ222" i="8"/>
  <c r="AO220" i="8"/>
  <c r="AK218" i="8"/>
  <c r="AK216" i="8"/>
  <c r="AK214" i="8"/>
  <c r="AK212" i="8"/>
  <c r="AK210" i="8"/>
  <c r="AK208" i="8"/>
  <c r="AK206" i="8"/>
  <c r="AK204" i="8"/>
  <c r="AK202" i="8"/>
  <c r="AK200" i="8"/>
  <c r="AK198" i="8"/>
  <c r="AK196" i="8"/>
  <c r="AN231" i="8"/>
  <c r="AK229" i="8"/>
  <c r="AH227" i="8"/>
  <c r="AF225" i="8"/>
  <c r="AP222" i="8"/>
  <c r="AL220" i="8"/>
  <c r="AJ218" i="8"/>
  <c r="AJ216" i="8"/>
  <c r="AJ214" i="8"/>
  <c r="AJ212" i="8"/>
  <c r="AJ210" i="8"/>
  <c r="AJ208" i="8"/>
  <c r="AJ206" i="8"/>
  <c r="AJ204" i="8"/>
  <c r="AJ202" i="8"/>
  <c r="AJ200" i="8"/>
  <c r="AJ198" i="8"/>
  <c r="AJ196" i="8"/>
  <c r="AM231" i="8"/>
  <c r="AJ229" i="8"/>
  <c r="AG227" i="8"/>
  <c r="AQ224" i="8"/>
  <c r="AO222" i="8"/>
  <c r="AK220" i="8"/>
  <c r="AI218" i="8"/>
  <c r="AI216" i="8"/>
  <c r="AI214" i="8"/>
  <c r="AI212" i="8"/>
  <c r="AI210" i="8"/>
  <c r="AI208" i="8"/>
  <c r="AI206" i="8"/>
  <c r="AI204" i="8"/>
  <c r="AI202" i="8"/>
  <c r="AI200" i="8"/>
  <c r="AI198" i="8"/>
  <c r="AI196" i="8"/>
  <c r="AL231" i="8"/>
  <c r="AI229" i="8"/>
  <c r="AF227" i="8"/>
  <c r="AP224" i="8"/>
  <c r="AL222" i="8"/>
  <c r="AJ220" i="8"/>
  <c r="AH218" i="8"/>
  <c r="AH216" i="8"/>
  <c r="AH214" i="8"/>
  <c r="AH212" i="8"/>
  <c r="AH210" i="8"/>
  <c r="AH208" i="8"/>
  <c r="AH206" i="8"/>
  <c r="AH204" i="8"/>
  <c r="AH202" i="8"/>
  <c r="AH200" i="8"/>
  <c r="AH198" i="8"/>
  <c r="AH196" i="8"/>
  <c r="AK231" i="8"/>
  <c r="AH229" i="8"/>
  <c r="AQ226" i="8"/>
  <c r="AO224" i="8"/>
  <c r="AK222" i="8"/>
  <c r="AI220" i="8"/>
  <c r="AG218" i="8"/>
  <c r="AG216" i="8"/>
  <c r="AG214" i="8"/>
  <c r="AG212" i="8"/>
  <c r="AG210" i="8"/>
  <c r="AG208" i="8"/>
  <c r="AG206" i="8"/>
  <c r="AG204" i="8"/>
  <c r="AG202" i="8"/>
  <c r="AG200" i="8"/>
  <c r="AG198" i="8"/>
  <c r="AG196" i="8"/>
  <c r="AJ231" i="8"/>
  <c r="AG229" i="8"/>
  <c r="AP226" i="8"/>
  <c r="AL224" i="8"/>
  <c r="AJ222" i="8"/>
  <c r="AH220" i="8"/>
  <c r="AF218" i="8"/>
  <c r="AF216" i="8"/>
  <c r="AF214" i="8"/>
  <c r="AF212" i="8"/>
  <c r="AF210" i="8"/>
  <c r="AF208" i="8"/>
  <c r="AF206" i="8"/>
  <c r="AF204" i="8"/>
  <c r="AF202" i="8"/>
  <c r="AF200" i="8"/>
  <c r="AF198" i="8"/>
  <c r="AF196" i="8"/>
  <c r="AI231" i="8"/>
  <c r="AF229" i="8"/>
  <c r="AO226" i="8"/>
  <c r="AK224" i="8"/>
  <c r="AI222" i="8"/>
  <c r="AG220" i="8"/>
  <c r="AQ217" i="8"/>
  <c r="AQ215" i="8"/>
  <c r="AQ213" i="8"/>
  <c r="AQ211" i="8"/>
  <c r="AQ209" i="8"/>
  <c r="AQ207" i="8"/>
  <c r="AQ205" i="8"/>
  <c r="AQ203" i="8"/>
  <c r="AQ201" i="8"/>
  <c r="AQ199" i="8"/>
  <c r="AQ197" i="8"/>
  <c r="AH231" i="8"/>
  <c r="AQ228" i="8"/>
  <c r="AL226" i="8"/>
  <c r="AJ224" i="8"/>
  <c r="AH222" i="8"/>
  <c r="AF220" i="8"/>
  <c r="AP217" i="8"/>
  <c r="AP215" i="8"/>
  <c r="AP213" i="8"/>
  <c r="AP211" i="8"/>
  <c r="AP209" i="8"/>
  <c r="AP207" i="8"/>
  <c r="AP205" i="8"/>
  <c r="AP203" i="8"/>
  <c r="AP201" i="8"/>
  <c r="AP199" i="8"/>
  <c r="AP197" i="8"/>
  <c r="AG231" i="8"/>
  <c r="AP228" i="8"/>
  <c r="AK226" i="8"/>
  <c r="AI224" i="8"/>
  <c r="AG222" i="8"/>
  <c r="AQ219" i="8"/>
  <c r="AO217" i="8"/>
  <c r="AO215" i="8"/>
  <c r="AO213" i="8"/>
  <c r="AO211" i="8"/>
  <c r="AO209" i="8"/>
  <c r="AO207" i="8"/>
  <c r="AO205" i="8"/>
  <c r="AO203" i="8"/>
  <c r="AO201" i="8"/>
  <c r="AO199" i="8"/>
  <c r="AO197" i="8"/>
  <c r="AF231" i="8"/>
  <c r="AO228" i="8"/>
  <c r="AJ226" i="8"/>
  <c r="AH224" i="8"/>
  <c r="AF222" i="8"/>
  <c r="AP219" i="8"/>
  <c r="AN217" i="8"/>
  <c r="AN215" i="8"/>
  <c r="AN213" i="8"/>
  <c r="AN211" i="8"/>
  <c r="AN209" i="8"/>
  <c r="AN207" i="8"/>
  <c r="AN205" i="8"/>
  <c r="AN203" i="8"/>
  <c r="AN201" i="8"/>
  <c r="AN199" i="8"/>
  <c r="AN197" i="8"/>
  <c r="AQ230" i="8"/>
  <c r="AL228" i="8"/>
  <c r="AI226" i="8"/>
  <c r="AG224" i="8"/>
  <c r="AQ221" i="8"/>
  <c r="AO219" i="8"/>
  <c r="AM217" i="8"/>
  <c r="AM215" i="8"/>
  <c r="AM213" i="8"/>
  <c r="AM211" i="8"/>
  <c r="AM209" i="8"/>
  <c r="AM207" i="8"/>
  <c r="AM205" i="8"/>
  <c r="AM203" i="8"/>
  <c r="AM201" i="8"/>
  <c r="AM199" i="8"/>
  <c r="AM197" i="8"/>
  <c r="AP230" i="8"/>
  <c r="AJ228" i="8"/>
  <c r="AH226" i="8"/>
  <c r="AF224" i="8"/>
  <c r="AP221" i="8"/>
  <c r="AN219" i="8"/>
  <c r="AL217" i="8"/>
  <c r="AL215" i="8"/>
  <c r="AL213" i="8"/>
  <c r="AL211" i="8"/>
  <c r="AL209" i="8"/>
  <c r="AL207" i="8"/>
  <c r="AL205" i="8"/>
  <c r="AL203" i="8"/>
  <c r="AL201" i="8"/>
  <c r="AL199" i="8"/>
  <c r="AL197" i="8"/>
  <c r="AO230" i="8"/>
  <c r="AI228" i="8"/>
  <c r="AG226" i="8"/>
  <c r="AQ223" i="8"/>
  <c r="AO221" i="8"/>
  <c r="AM219" i="8"/>
  <c r="AK217" i="8"/>
  <c r="AK215" i="8"/>
  <c r="AK213" i="8"/>
  <c r="AK211" i="8"/>
  <c r="AK209" i="8"/>
  <c r="AK207" i="8"/>
  <c r="AK205" i="8"/>
  <c r="AK203" i="8"/>
  <c r="AK201" i="8"/>
  <c r="AK199" i="8"/>
  <c r="AK197" i="8"/>
  <c r="AL230" i="8"/>
  <c r="AH228" i="8"/>
  <c r="AF226" i="8"/>
  <c r="AP223" i="8"/>
  <c r="AN221" i="8"/>
  <c r="AL219" i="8"/>
  <c r="AJ217" i="8"/>
  <c r="AJ215" i="8"/>
  <c r="AJ213" i="8"/>
  <c r="AJ211" i="8"/>
  <c r="AJ209" i="8"/>
  <c r="AJ207" i="8"/>
  <c r="AJ205" i="8"/>
  <c r="AJ203" i="8"/>
  <c r="AJ201" i="8"/>
  <c r="AJ199" i="8"/>
  <c r="AJ197" i="8"/>
  <c r="AJ230" i="8"/>
  <c r="AG228" i="8"/>
  <c r="AQ225" i="8"/>
  <c r="AO223" i="8"/>
  <c r="AM221" i="8"/>
  <c r="AK219" i="8"/>
  <c r="AI217" i="8"/>
  <c r="AI215" i="8"/>
  <c r="AI213" i="8"/>
  <c r="AI211" i="8"/>
  <c r="AI209" i="8"/>
  <c r="AI207" i="8"/>
  <c r="AI205" i="8"/>
  <c r="AI203" i="8"/>
  <c r="AI201" i="8"/>
  <c r="AI199" i="8"/>
  <c r="AI197" i="8"/>
  <c r="V10" i="8"/>
  <c r="R27" i="8"/>
  <c r="Y50" i="8"/>
  <c r="Y89" i="8"/>
  <c r="AF7" i="8"/>
  <c r="AG9" i="8"/>
  <c r="AI11" i="8"/>
  <c r="AJ13" i="8"/>
  <c r="AK15" i="8"/>
  <c r="AL17" i="8"/>
  <c r="AM19" i="8"/>
  <c r="AN21" i="8"/>
  <c r="AO23" i="8"/>
  <c r="AP25" i="8"/>
  <c r="AQ27" i="8"/>
  <c r="AF30" i="8"/>
  <c r="AG32" i="8"/>
  <c r="AH34" i="8"/>
  <c r="AI36" i="8"/>
  <c r="AJ38" i="8"/>
  <c r="AK40" i="8"/>
  <c r="AJ85" i="8"/>
  <c r="AJ89" i="8"/>
  <c r="AJ93" i="8"/>
  <c r="AL97" i="8"/>
  <c r="AJ103" i="8"/>
  <c r="AN109" i="8"/>
  <c r="AL127" i="8"/>
  <c r="CJ269" i="8"/>
  <c r="CJ267" i="8"/>
  <c r="CJ265" i="8"/>
  <c r="CJ263" i="8"/>
  <c r="CJ261" i="8"/>
  <c r="CJ259" i="8"/>
  <c r="CJ257" i="8"/>
  <c r="CJ255" i="8"/>
  <c r="CJ253" i="8"/>
  <c r="CJ251" i="8"/>
  <c r="CJ249" i="8"/>
  <c r="CJ247" i="8"/>
  <c r="CJ245" i="8"/>
  <c r="CJ243" i="8"/>
  <c r="CJ241" i="8"/>
  <c r="CJ239" i="8"/>
  <c r="CJ237" i="8"/>
  <c r="CJ235" i="8"/>
  <c r="CU268" i="8"/>
  <c r="CU266" i="8"/>
  <c r="CU264" i="8"/>
  <c r="CU262" i="8"/>
  <c r="CU260" i="8"/>
  <c r="CU258" i="8"/>
  <c r="CU256" i="8"/>
  <c r="CU254" i="8"/>
  <c r="CU252" i="8"/>
  <c r="CU250" i="8"/>
  <c r="CU248" i="8"/>
  <c r="CU246" i="8"/>
  <c r="CU244" i="8"/>
  <c r="CU242" i="8"/>
  <c r="CU240" i="8"/>
  <c r="CU238" i="8"/>
  <c r="CU236" i="8"/>
  <c r="CU234" i="8"/>
  <c r="CT268" i="8"/>
  <c r="CT266" i="8"/>
  <c r="CT264" i="8"/>
  <c r="CT262" i="8"/>
  <c r="CT260" i="8"/>
  <c r="CT258" i="8"/>
  <c r="CT256" i="8"/>
  <c r="CT254" i="8"/>
  <c r="CT252" i="8"/>
  <c r="CT250" i="8"/>
  <c r="CT248" i="8"/>
  <c r="CT246" i="8"/>
  <c r="CT244" i="8"/>
  <c r="CT242" i="8"/>
  <c r="CT240" i="8"/>
  <c r="CT238" i="8"/>
  <c r="CT236" i="8"/>
  <c r="CT234" i="8"/>
  <c r="CS268" i="8"/>
  <c r="CS266" i="8"/>
  <c r="CS264" i="8"/>
  <c r="CS262" i="8"/>
  <c r="CS260" i="8"/>
  <c r="CS258" i="8"/>
  <c r="CS256" i="8"/>
  <c r="CS254" i="8"/>
  <c r="CS252" i="8"/>
  <c r="CS250" i="8"/>
  <c r="CS248" i="8"/>
  <c r="CS246" i="8"/>
  <c r="CS244" i="8"/>
  <c r="CS242" i="8"/>
  <c r="CS240" i="8"/>
  <c r="CS238" i="8"/>
  <c r="CS236" i="8"/>
  <c r="CS234" i="8"/>
  <c r="CR268" i="8"/>
  <c r="CR266" i="8"/>
  <c r="CR264" i="8"/>
  <c r="CR262" i="8"/>
  <c r="CR260" i="8"/>
  <c r="CR258" i="8"/>
  <c r="CR256" i="8"/>
  <c r="CR254" i="8"/>
  <c r="CR252" i="8"/>
  <c r="CR250" i="8"/>
  <c r="CR248" i="8"/>
  <c r="CR246" i="8"/>
  <c r="CR244" i="8"/>
  <c r="CR242" i="8"/>
  <c r="CR240" i="8"/>
  <c r="CR238" i="8"/>
  <c r="CR236" i="8"/>
  <c r="CR234" i="8"/>
  <c r="CQ268" i="8"/>
  <c r="CQ266" i="8"/>
  <c r="CQ264" i="8"/>
  <c r="CQ262" i="8"/>
  <c r="CQ260" i="8"/>
  <c r="CQ258" i="8"/>
  <c r="CQ256" i="8"/>
  <c r="CQ254" i="8"/>
  <c r="CQ252" i="8"/>
  <c r="CQ250" i="8"/>
  <c r="CQ248" i="8"/>
  <c r="CQ246" i="8"/>
  <c r="CQ244" i="8"/>
  <c r="CQ242" i="8"/>
  <c r="CQ240" i="8"/>
  <c r="CQ238" i="8"/>
  <c r="CQ236" i="8"/>
  <c r="CQ234" i="8"/>
  <c r="CP268" i="8"/>
  <c r="CP266" i="8"/>
  <c r="CP264" i="8"/>
  <c r="CP262" i="8"/>
  <c r="CP260" i="8"/>
  <c r="CP258" i="8"/>
  <c r="CP256" i="8"/>
  <c r="CP254" i="8"/>
  <c r="CP252" i="8"/>
  <c r="CP250" i="8"/>
  <c r="CP248" i="8"/>
  <c r="CP246" i="8"/>
  <c r="CP244" i="8"/>
  <c r="CP242" i="8"/>
  <c r="CP240" i="8"/>
  <c r="CP238" i="8"/>
  <c r="CP236" i="8"/>
  <c r="CP234" i="8"/>
  <c r="CO268" i="8"/>
  <c r="CO266" i="8"/>
  <c r="CO264" i="8"/>
  <c r="CO262" i="8"/>
  <c r="CO260" i="8"/>
  <c r="CO258" i="8"/>
  <c r="CO256" i="8"/>
  <c r="CO254" i="8"/>
  <c r="CO252" i="8"/>
  <c r="CO250" i="8"/>
  <c r="CO248" i="8"/>
  <c r="CO246" i="8"/>
  <c r="CO244" i="8"/>
  <c r="CO242" i="8"/>
  <c r="CO240" i="8"/>
  <c r="CO238" i="8"/>
  <c r="CO236" i="8"/>
  <c r="CO234" i="8"/>
  <c r="CN268" i="8"/>
  <c r="CN266" i="8"/>
  <c r="CN264" i="8"/>
  <c r="CN262" i="8"/>
  <c r="CN260" i="8"/>
  <c r="CN258" i="8"/>
  <c r="CN256" i="8"/>
  <c r="CN254" i="8"/>
  <c r="CN252" i="8"/>
  <c r="CN250" i="8"/>
  <c r="CN248" i="8"/>
  <c r="CN246" i="8"/>
  <c r="CN244" i="8"/>
  <c r="CN242" i="8"/>
  <c r="CN240" i="8"/>
  <c r="CN238" i="8"/>
  <c r="CN236" i="8"/>
  <c r="CN234" i="8"/>
  <c r="CM268" i="8"/>
  <c r="CM266" i="8"/>
  <c r="CM264" i="8"/>
  <c r="CM262" i="8"/>
  <c r="CM260" i="8"/>
  <c r="CM258" i="8"/>
  <c r="CM256" i="8"/>
  <c r="CM254" i="8"/>
  <c r="CM252" i="8"/>
  <c r="CM250" i="8"/>
  <c r="CM248" i="8"/>
  <c r="CM246" i="8"/>
  <c r="CM244" i="8"/>
  <c r="CM242" i="8"/>
  <c r="CM240" i="8"/>
  <c r="CM238" i="8"/>
  <c r="CM236" i="8"/>
  <c r="CM234" i="8"/>
  <c r="CL268" i="8"/>
  <c r="CL266" i="8"/>
  <c r="CL264" i="8"/>
  <c r="CL262" i="8"/>
  <c r="CL260" i="8"/>
  <c r="CL258" i="8"/>
  <c r="CL256" i="8"/>
  <c r="CL254" i="8"/>
  <c r="CL252" i="8"/>
  <c r="CL250" i="8"/>
  <c r="CL248" i="8"/>
  <c r="CL246" i="8"/>
  <c r="CL244" i="8"/>
  <c r="CL242" i="8"/>
  <c r="CL240" i="8"/>
  <c r="CL238" i="8"/>
  <c r="CL236" i="8"/>
  <c r="CL234" i="8"/>
  <c r="CK268" i="8"/>
  <c r="CK266" i="8"/>
  <c r="CK264" i="8"/>
  <c r="CK262" i="8"/>
  <c r="CK260" i="8"/>
  <c r="CK258" i="8"/>
  <c r="CK256" i="8"/>
  <c r="CK254" i="8"/>
  <c r="CK252" i="8"/>
  <c r="CK250" i="8"/>
  <c r="CJ268" i="8"/>
  <c r="CJ266" i="8"/>
  <c r="CJ264" i="8"/>
  <c r="CJ262" i="8"/>
  <c r="CJ260" i="8"/>
  <c r="CJ258" i="8"/>
  <c r="CJ256" i="8"/>
  <c r="CJ254" i="8"/>
  <c r="CJ252" i="8"/>
  <c r="CJ250" i="8"/>
  <c r="CJ248" i="8"/>
  <c r="CJ246" i="8"/>
  <c r="CJ244" i="8"/>
  <c r="CJ242" i="8"/>
  <c r="CJ240" i="8"/>
  <c r="CJ238" i="8"/>
  <c r="CJ236" i="8"/>
  <c r="CJ234" i="8"/>
  <c r="CU269" i="8"/>
  <c r="CU267" i="8"/>
  <c r="CU265" i="8"/>
  <c r="CU263" i="8"/>
  <c r="CU261" i="8"/>
  <c r="CU259" i="8"/>
  <c r="CU257" i="8"/>
  <c r="CU255" i="8"/>
  <c r="CU253" i="8"/>
  <c r="CU251" i="8"/>
  <c r="CU249" i="8"/>
  <c r="CU247" i="8"/>
  <c r="CU245" i="8"/>
  <c r="CU243" i="8"/>
  <c r="CU241" i="8"/>
  <c r="CU239" i="8"/>
  <c r="CU237" i="8"/>
  <c r="CU235" i="8"/>
  <c r="CT269" i="8"/>
  <c r="CT267" i="8"/>
  <c r="CT265" i="8"/>
  <c r="CT263" i="8"/>
  <c r="CT261" i="8"/>
  <c r="CT259" i="8"/>
  <c r="CT257" i="8"/>
  <c r="CT255" i="8"/>
  <c r="CT253" i="8"/>
  <c r="CT251" i="8"/>
  <c r="CT249" i="8"/>
  <c r="CT247" i="8"/>
  <c r="CT245" i="8"/>
  <c r="CT243" i="8"/>
  <c r="CT241" i="8"/>
  <c r="CT239" i="8"/>
  <c r="CT237" i="8"/>
  <c r="CT235" i="8"/>
  <c r="CS269" i="8"/>
  <c r="CS267" i="8"/>
  <c r="CS265" i="8"/>
  <c r="CS263" i="8"/>
  <c r="CS261" i="8"/>
  <c r="CS259" i="8"/>
  <c r="CS257" i="8"/>
  <c r="CS255" i="8"/>
  <c r="CS253" i="8"/>
  <c r="CS251" i="8"/>
  <c r="CS249" i="8"/>
  <c r="CS247" i="8"/>
  <c r="CS245" i="8"/>
  <c r="CR269" i="8"/>
  <c r="CR267" i="8"/>
  <c r="CR265" i="8"/>
  <c r="CR263" i="8"/>
  <c r="CR261" i="8"/>
  <c r="CR259" i="8"/>
  <c r="CR257" i="8"/>
  <c r="CR255" i="8"/>
  <c r="CR253" i="8"/>
  <c r="CR251" i="8"/>
  <c r="CR249" i="8"/>
  <c r="CR247" i="8"/>
  <c r="CR245" i="8"/>
  <c r="CR243" i="8"/>
  <c r="CR241" i="8"/>
  <c r="CR239" i="8"/>
  <c r="CR237" i="8"/>
  <c r="CQ269" i="8"/>
  <c r="CQ267" i="8"/>
  <c r="CQ265" i="8"/>
  <c r="CQ263" i="8"/>
  <c r="CQ261" i="8"/>
  <c r="CQ259" i="8"/>
  <c r="CQ257" i="8"/>
  <c r="CQ255" i="8"/>
  <c r="CQ253" i="8"/>
  <c r="CQ251" i="8"/>
  <c r="CP269" i="8"/>
  <c r="CP267" i="8"/>
  <c r="CP265" i="8"/>
  <c r="CP263" i="8"/>
  <c r="CP261" i="8"/>
  <c r="CP259" i="8"/>
  <c r="CO269" i="8"/>
  <c r="CO267" i="8"/>
  <c r="CO265" i="8"/>
  <c r="CO263" i="8"/>
  <c r="CO261" i="8"/>
  <c r="CO259" i="8"/>
  <c r="CO257" i="8"/>
  <c r="CO255" i="8"/>
  <c r="CO253" i="8"/>
  <c r="CL269" i="8"/>
  <c r="CL267" i="8"/>
  <c r="CL259" i="8"/>
  <c r="CP249" i="8"/>
  <c r="CQ243" i="8"/>
  <c r="CK239" i="8"/>
  <c r="CK259" i="8"/>
  <c r="CO249" i="8"/>
  <c r="CP243" i="8"/>
  <c r="CK238" i="8"/>
  <c r="CP257" i="8"/>
  <c r="CN249" i="8"/>
  <c r="CO243" i="8"/>
  <c r="CS237" i="8"/>
  <c r="CN257" i="8"/>
  <c r="CM249" i="8"/>
  <c r="CN243" i="8"/>
  <c r="CQ237" i="8"/>
  <c r="CN269" i="8"/>
  <c r="CM257" i="8"/>
  <c r="CL249" i="8"/>
  <c r="CM243" i="8"/>
  <c r="CP237" i="8"/>
  <c r="CM269" i="8"/>
  <c r="CL257" i="8"/>
  <c r="CK249" i="8"/>
  <c r="CL243" i="8"/>
  <c r="CO237" i="8"/>
  <c r="CK269" i="8"/>
  <c r="CK257" i="8"/>
  <c r="CK248" i="8"/>
  <c r="CK243" i="8"/>
  <c r="CN237" i="8"/>
  <c r="CN267" i="8"/>
  <c r="CP255" i="8"/>
  <c r="CQ247" i="8"/>
  <c r="CK242" i="8"/>
  <c r="CM237" i="8"/>
  <c r="CM267" i="8"/>
  <c r="CN255" i="8"/>
  <c r="CP247" i="8"/>
  <c r="CS241" i="8"/>
  <c r="CL237" i="8"/>
  <c r="CK267" i="8"/>
  <c r="CM255" i="8"/>
  <c r="CO247" i="8"/>
  <c r="CQ241" i="8"/>
  <c r="CK237" i="8"/>
  <c r="CN265" i="8"/>
  <c r="CL255" i="8"/>
  <c r="CN247" i="8"/>
  <c r="CP241" i="8"/>
  <c r="CK236" i="8"/>
  <c r="CM265" i="8"/>
  <c r="CK255" i="8"/>
  <c r="CM247" i="8"/>
  <c r="CO241" i="8"/>
  <c r="CS235" i="8"/>
  <c r="CL265" i="8"/>
  <c r="CP253" i="8"/>
  <c r="CL247" i="8"/>
  <c r="CN241" i="8"/>
  <c r="CR235" i="8"/>
  <c r="CK265" i="8"/>
  <c r="CN253" i="8"/>
  <c r="CK247" i="8"/>
  <c r="CM241" i="8"/>
  <c r="CQ235" i="8"/>
  <c r="CN263" i="8"/>
  <c r="CM253" i="8"/>
  <c r="CK246" i="8"/>
  <c r="CL241" i="8"/>
  <c r="CP235" i="8"/>
  <c r="CM263" i="8"/>
  <c r="CL253" i="8"/>
  <c r="CQ245" i="8"/>
  <c r="CK241" i="8"/>
  <c r="CO235" i="8"/>
  <c r="CL263" i="8"/>
  <c r="CK253" i="8"/>
  <c r="CP245" i="8"/>
  <c r="CK240" i="8"/>
  <c r="CN235" i="8"/>
  <c r="CK263" i="8"/>
  <c r="CP251" i="8"/>
  <c r="CO245" i="8"/>
  <c r="CS239" i="8"/>
  <c r="CM235" i="8"/>
  <c r="CN261" i="8"/>
  <c r="CO251" i="8"/>
  <c r="CN245" i="8"/>
  <c r="CQ239" i="8"/>
  <c r="CL235" i="8"/>
  <c r="CM261" i="8"/>
  <c r="CN251" i="8"/>
  <c r="CM245" i="8"/>
  <c r="CP239" i="8"/>
  <c r="CK235" i="8"/>
  <c r="CL261" i="8"/>
  <c r="CM251" i="8"/>
  <c r="CL245" i="8"/>
  <c r="CO239" i="8"/>
  <c r="CK234" i="8"/>
  <c r="CK261" i="8"/>
  <c r="CL251" i="8"/>
  <c r="CK245" i="8"/>
  <c r="CN239" i="8"/>
  <c r="CM259" i="8"/>
  <c r="CQ249" i="8"/>
  <c r="CS243" i="8"/>
  <c r="CL239" i="8"/>
  <c r="CN259" i="8"/>
  <c r="CB269" i="8"/>
  <c r="CB267" i="8"/>
  <c r="CB265" i="8"/>
  <c r="CB263" i="8"/>
  <c r="CB261" i="8"/>
  <c r="CB259" i="8"/>
  <c r="CB257" i="8"/>
  <c r="CB255" i="8"/>
  <c r="CB253" i="8"/>
  <c r="CB251" i="8"/>
  <c r="CB249" i="8"/>
  <c r="CB247" i="8"/>
  <c r="CB245" i="8"/>
  <c r="CB243" i="8"/>
  <c r="CB241" i="8"/>
  <c r="CB239" i="8"/>
  <c r="CB237" i="8"/>
  <c r="CB235" i="8"/>
  <c r="CK251" i="8"/>
  <c r="CA269" i="8"/>
  <c r="CA267" i="8"/>
  <c r="CA265" i="8"/>
  <c r="CA263" i="8"/>
  <c r="CA261" i="8"/>
  <c r="CA259" i="8"/>
  <c r="CA257" i="8"/>
  <c r="CA255" i="8"/>
  <c r="CA253" i="8"/>
  <c r="CA251" i="8"/>
  <c r="CA249" i="8"/>
  <c r="CA247" i="8"/>
  <c r="CA245" i="8"/>
  <c r="CA243" i="8"/>
  <c r="CA241" i="8"/>
  <c r="CA239" i="8"/>
  <c r="CA237" i="8"/>
  <c r="CA235" i="8"/>
  <c r="CK244" i="8"/>
  <c r="BZ269" i="8"/>
  <c r="BZ267" i="8"/>
  <c r="BZ265" i="8"/>
  <c r="BZ263" i="8"/>
  <c r="BZ261" i="8"/>
  <c r="BZ259" i="8"/>
  <c r="BZ257" i="8"/>
  <c r="BZ255" i="8"/>
  <c r="BZ253" i="8"/>
  <c r="BZ251" i="8"/>
  <c r="BZ249" i="8"/>
  <c r="BZ247" i="8"/>
  <c r="BZ245" i="8"/>
  <c r="BZ243" i="8"/>
  <c r="BZ241" i="8"/>
  <c r="BZ239" i="8"/>
  <c r="BZ237" i="8"/>
  <c r="BZ235" i="8"/>
  <c r="CM239" i="8"/>
  <c r="BY269" i="8"/>
  <c r="BY267" i="8"/>
  <c r="BY265" i="8"/>
  <c r="BY263" i="8"/>
  <c r="BY261" i="8"/>
  <c r="BY259" i="8"/>
  <c r="BY257" i="8"/>
  <c r="BY255" i="8"/>
  <c r="BY253" i="8"/>
  <c r="BY251" i="8"/>
  <c r="BY249" i="8"/>
  <c r="BY247" i="8"/>
  <c r="BY245" i="8"/>
  <c r="BY243" i="8"/>
  <c r="BY241" i="8"/>
  <c r="BY239" i="8"/>
  <c r="BY237" i="8"/>
  <c r="BY235" i="8"/>
  <c r="BX269" i="8"/>
  <c r="BX267" i="8"/>
  <c r="BX265" i="8"/>
  <c r="BX263" i="8"/>
  <c r="BX261" i="8"/>
  <c r="BX259" i="8"/>
  <c r="BX257" i="8"/>
  <c r="BX255" i="8"/>
  <c r="BX253" i="8"/>
  <c r="BX251" i="8"/>
  <c r="BX249" i="8"/>
  <c r="BX247" i="8"/>
  <c r="BX245" i="8"/>
  <c r="BX243" i="8"/>
  <c r="BX241" i="8"/>
  <c r="BX239" i="8"/>
  <c r="BX237" i="8"/>
  <c r="BX235" i="8"/>
  <c r="BW269" i="8"/>
  <c r="BW267" i="8"/>
  <c r="BW265" i="8"/>
  <c r="BW263" i="8"/>
  <c r="BW261" i="8"/>
  <c r="BW259" i="8"/>
  <c r="BW257" i="8"/>
  <c r="BW255" i="8"/>
  <c r="BW253" i="8"/>
  <c r="BW251" i="8"/>
  <c r="BW249" i="8"/>
  <c r="BW247" i="8"/>
  <c r="BW245" i="8"/>
  <c r="BW243" i="8"/>
  <c r="BW241" i="8"/>
  <c r="BW239" i="8"/>
  <c r="BW237" i="8"/>
  <c r="BW235" i="8"/>
  <c r="BV269" i="8"/>
  <c r="BV267" i="8"/>
  <c r="BV265" i="8"/>
  <c r="BV263" i="8"/>
  <c r="BV261" i="8"/>
  <c r="BV259" i="8"/>
  <c r="BV257" i="8"/>
  <c r="BV255" i="8"/>
  <c r="BV253" i="8"/>
  <c r="BV251" i="8"/>
  <c r="BV249" i="8"/>
  <c r="BV247" i="8"/>
  <c r="BV245" i="8"/>
  <c r="BV243" i="8"/>
  <c r="BV241" i="8"/>
  <c r="BV239" i="8"/>
  <c r="BV237" i="8"/>
  <c r="BV235" i="8"/>
  <c r="CG268" i="8"/>
  <c r="CF268" i="8"/>
  <c r="CF266" i="8"/>
  <c r="CF264" i="8"/>
  <c r="CF262" i="8"/>
  <c r="CF260" i="8"/>
  <c r="CF258" i="8"/>
  <c r="CF256" i="8"/>
  <c r="CF254" i="8"/>
  <c r="CE268" i="8"/>
  <c r="CE266" i="8"/>
  <c r="CE264" i="8"/>
  <c r="CE262" i="8"/>
  <c r="CE260" i="8"/>
  <c r="CE258" i="8"/>
  <c r="CE256" i="8"/>
  <c r="CE254" i="8"/>
  <c r="CD268" i="8"/>
  <c r="CD266" i="8"/>
  <c r="CD264" i="8"/>
  <c r="CD262" i="8"/>
  <c r="CD260" i="8"/>
  <c r="CD258" i="8"/>
  <c r="CD256" i="8"/>
  <c r="CD254" i="8"/>
  <c r="CD252" i="8"/>
  <c r="CD250" i="8"/>
  <c r="CD248" i="8"/>
  <c r="CD246" i="8"/>
  <c r="CD244" i="8"/>
  <c r="CD242" i="8"/>
  <c r="CD240" i="8"/>
  <c r="CD238" i="8"/>
  <c r="CD236" i="8"/>
  <c r="CD234" i="8"/>
  <c r="CC268" i="8"/>
  <c r="CC266" i="8"/>
  <c r="CC264" i="8"/>
  <c r="CC262" i="8"/>
  <c r="CC260" i="8"/>
  <c r="CC258" i="8"/>
  <c r="CC256" i="8"/>
  <c r="CC254" i="8"/>
  <c r="CC252" i="8"/>
  <c r="CC250" i="8"/>
  <c r="CC248" i="8"/>
  <c r="CC246" i="8"/>
  <c r="CB268" i="8"/>
  <c r="CB266" i="8"/>
  <c r="CB264" i="8"/>
  <c r="CB262" i="8"/>
  <c r="CB260" i="8"/>
  <c r="CB258" i="8"/>
  <c r="CB256" i="8"/>
  <c r="CB254" i="8"/>
  <c r="CB252" i="8"/>
  <c r="CB250" i="8"/>
  <c r="CB248" i="8"/>
  <c r="CB246" i="8"/>
  <c r="CB244" i="8"/>
  <c r="CB242" i="8"/>
  <c r="CB240" i="8"/>
  <c r="CB238" i="8"/>
  <c r="CB236" i="8"/>
  <c r="CB234" i="8"/>
  <c r="CA268" i="8"/>
  <c r="CA266" i="8"/>
  <c r="CA264" i="8"/>
  <c r="CA262" i="8"/>
  <c r="CA260" i="8"/>
  <c r="CA258" i="8"/>
  <c r="CA256" i="8"/>
  <c r="CA254" i="8"/>
  <c r="CA252" i="8"/>
  <c r="BZ268" i="8"/>
  <c r="BZ266" i="8"/>
  <c r="BZ264" i="8"/>
  <c r="BZ262" i="8"/>
  <c r="BZ260" i="8"/>
  <c r="BZ258" i="8"/>
  <c r="BZ256" i="8"/>
  <c r="BZ254" i="8"/>
  <c r="BZ252" i="8"/>
  <c r="BZ250" i="8"/>
  <c r="BZ248" i="8"/>
  <c r="BZ246" i="8"/>
  <c r="BZ244" i="8"/>
  <c r="BZ242" i="8"/>
  <c r="BZ240" i="8"/>
  <c r="BZ238" i="8"/>
  <c r="BZ236" i="8"/>
  <c r="BY268" i="8"/>
  <c r="BY266" i="8"/>
  <c r="BY264" i="8"/>
  <c r="BY262" i="8"/>
  <c r="BY260" i="8"/>
  <c r="BY258" i="8"/>
  <c r="BY256" i="8"/>
  <c r="BY254" i="8"/>
  <c r="BY252" i="8"/>
  <c r="BY250" i="8"/>
  <c r="BX268" i="8"/>
  <c r="BX266" i="8"/>
  <c r="BX264" i="8"/>
  <c r="BX262" i="8"/>
  <c r="BW268" i="8"/>
  <c r="BW266" i="8"/>
  <c r="BW264" i="8"/>
  <c r="CD267" i="8"/>
  <c r="CG260" i="8"/>
  <c r="CE255" i="8"/>
  <c r="CF250" i="8"/>
  <c r="CG246" i="8"/>
  <c r="CE243" i="8"/>
  <c r="BW240" i="8"/>
  <c r="CC236" i="8"/>
  <c r="CC267" i="8"/>
  <c r="BX260" i="8"/>
  <c r="CD255" i="8"/>
  <c r="CE250" i="8"/>
  <c r="CF246" i="8"/>
  <c r="CD243" i="8"/>
  <c r="BV240" i="8"/>
  <c r="CA236" i="8"/>
  <c r="CG266" i="8"/>
  <c r="BW260" i="8"/>
  <c r="CC255" i="8"/>
  <c r="CA250" i="8"/>
  <c r="CE246" i="8"/>
  <c r="CC243" i="8"/>
  <c r="CG239" i="8"/>
  <c r="BY236" i="8"/>
  <c r="BV266" i="8"/>
  <c r="BV260" i="8"/>
  <c r="CG254" i="8"/>
  <c r="BX250" i="8"/>
  <c r="CA246" i="8"/>
  <c r="CG242" i="8"/>
  <c r="CF239" i="8"/>
  <c r="BX236" i="8"/>
  <c r="CG265" i="8"/>
  <c r="CG259" i="8"/>
  <c r="BX254" i="8"/>
  <c r="BW250" i="8"/>
  <c r="BY246" i="8"/>
  <c r="CF242" i="8"/>
  <c r="CE239" i="8"/>
  <c r="BW236" i="8"/>
  <c r="CF265" i="8"/>
  <c r="CF259" i="8"/>
  <c r="BW254" i="8"/>
  <c r="BV250" i="8"/>
  <c r="BX246" i="8"/>
  <c r="CE242" i="8"/>
  <c r="CD239" i="8"/>
  <c r="BV236" i="8"/>
  <c r="CE265" i="8"/>
  <c r="CE259" i="8"/>
  <c r="BV254" i="8"/>
  <c r="CG249" i="8"/>
  <c r="BW246" i="8"/>
  <c r="CC242" i="8"/>
  <c r="CC239" i="8"/>
  <c r="CG235" i="8"/>
  <c r="CD265" i="8"/>
  <c r="CD259" i="8"/>
  <c r="CG253" i="8"/>
  <c r="CF249" i="8"/>
  <c r="BV246" i="8"/>
  <c r="CA242" i="8"/>
  <c r="CG238" i="8"/>
  <c r="CF235" i="8"/>
  <c r="CC265" i="8"/>
  <c r="CC259" i="8"/>
  <c r="CF253" i="8"/>
  <c r="CE249" i="8"/>
  <c r="CG245" i="8"/>
  <c r="BY242" i="8"/>
  <c r="CF238" i="8"/>
  <c r="CE235" i="8"/>
  <c r="CG264" i="8"/>
  <c r="CG258" i="8"/>
  <c r="CE253" i="8"/>
  <c r="CD249" i="8"/>
  <c r="CF245" i="8"/>
  <c r="BX242" i="8"/>
  <c r="CE238" i="8"/>
  <c r="CD235" i="8"/>
  <c r="BV264" i="8"/>
  <c r="BX258" i="8"/>
  <c r="CD253" i="8"/>
  <c r="CC249" i="8"/>
  <c r="CE245" i="8"/>
  <c r="BW242" i="8"/>
  <c r="CC238" i="8"/>
  <c r="CC235" i="8"/>
  <c r="CG263" i="8"/>
  <c r="BW258" i="8"/>
  <c r="CC253" i="8"/>
  <c r="CG248" i="8"/>
  <c r="CD245" i="8"/>
  <c r="BV242" i="8"/>
  <c r="CA238" i="8"/>
  <c r="CG234" i="8"/>
  <c r="CF263" i="8"/>
  <c r="BV258" i="8"/>
  <c r="CG252" i="8"/>
  <c r="CF248" i="8"/>
  <c r="CC245" i="8"/>
  <c r="CG241" i="8"/>
  <c r="BY238" i="8"/>
  <c r="CF234" i="8"/>
  <c r="CE263" i="8"/>
  <c r="CG257" i="8"/>
  <c r="CF252" i="8"/>
  <c r="CE248" i="8"/>
  <c r="CG244" i="8"/>
  <c r="CF241" i="8"/>
  <c r="BX238" i="8"/>
  <c r="CE234" i="8"/>
  <c r="CD263" i="8"/>
  <c r="CF257" i="8"/>
  <c r="CE252" i="8"/>
  <c r="CA248" i="8"/>
  <c r="CF244" i="8"/>
  <c r="CE241" i="8"/>
  <c r="BW238" i="8"/>
  <c r="CC234" i="8"/>
  <c r="CG269" i="8"/>
  <c r="CC263" i="8"/>
  <c r="CE257" i="8"/>
  <c r="BX252" i="8"/>
  <c r="BY248" i="8"/>
  <c r="CE244" i="8"/>
  <c r="CD241" i="8"/>
  <c r="BV238" i="8"/>
  <c r="CA234" i="8"/>
  <c r="CF269" i="8"/>
  <c r="CG262" i="8"/>
  <c r="CD257" i="8"/>
  <c r="BW252" i="8"/>
  <c r="BX248" i="8"/>
  <c r="CC244" i="8"/>
  <c r="CC241" i="8"/>
  <c r="CG237" i="8"/>
  <c r="BZ234" i="8"/>
  <c r="CE269" i="8"/>
  <c r="BW262" i="8"/>
  <c r="CC257" i="8"/>
  <c r="BV252" i="8"/>
  <c r="BW248" i="8"/>
  <c r="CA244" i="8"/>
  <c r="CG240" i="8"/>
  <c r="CF237" i="8"/>
  <c r="BY234" i="8"/>
  <c r="CD269" i="8"/>
  <c r="BV262" i="8"/>
  <c r="CG256" i="8"/>
  <c r="CG251" i="8"/>
  <c r="BV248" i="8"/>
  <c r="BY244" i="8"/>
  <c r="CF240" i="8"/>
  <c r="CE237" i="8"/>
  <c r="BX234" i="8"/>
  <c r="CC269" i="8"/>
  <c r="CG261" i="8"/>
  <c r="BX256" i="8"/>
  <c r="CF251" i="8"/>
  <c r="CG247" i="8"/>
  <c r="BX244" i="8"/>
  <c r="CE240" i="8"/>
  <c r="CD237" i="8"/>
  <c r="BW234" i="8"/>
  <c r="BV268" i="8"/>
  <c r="CF261" i="8"/>
  <c r="BW256" i="8"/>
  <c r="CE251" i="8"/>
  <c r="CF247" i="8"/>
  <c r="BW244" i="8"/>
  <c r="CC240" i="8"/>
  <c r="CC237" i="8"/>
  <c r="BV234" i="8"/>
  <c r="CE267" i="8"/>
  <c r="CC261" i="8"/>
  <c r="CF255" i="8"/>
  <c r="CG250" i="8"/>
  <c r="CC247" i="8"/>
  <c r="CF243" i="8"/>
  <c r="BX240" i="8"/>
  <c r="CE236" i="8"/>
  <c r="BM269" i="8"/>
  <c r="BM267" i="8"/>
  <c r="BM265" i="8"/>
  <c r="BM263" i="8"/>
  <c r="BM261" i="8"/>
  <c r="BM259" i="8"/>
  <c r="BM257" i="8"/>
  <c r="BM255" i="8"/>
  <c r="BM253" i="8"/>
  <c r="BM251" i="8"/>
  <c r="BM249" i="8"/>
  <c r="BM247" i="8"/>
  <c r="BM245" i="8"/>
  <c r="BM243" i="8"/>
  <c r="BM241" i="8"/>
  <c r="BM239" i="8"/>
  <c r="BM237" i="8"/>
  <c r="BM235" i="8"/>
  <c r="BL269" i="8"/>
  <c r="BL267" i="8"/>
  <c r="BL265" i="8"/>
  <c r="BL263" i="8"/>
  <c r="BL261" i="8"/>
  <c r="BL259" i="8"/>
  <c r="BK269" i="8"/>
  <c r="BK267" i="8"/>
  <c r="BK265" i="8"/>
  <c r="BK263" i="8"/>
  <c r="BK261" i="8"/>
  <c r="BK259" i="8"/>
  <c r="BK257" i="8"/>
  <c r="BK255" i="8"/>
  <c r="BK253" i="8"/>
  <c r="BK251" i="8"/>
  <c r="BK249" i="8"/>
  <c r="BK247" i="8"/>
  <c r="BK245" i="8"/>
  <c r="BK243" i="8"/>
  <c r="BK241" i="8"/>
  <c r="BK239" i="8"/>
  <c r="BK237" i="8"/>
  <c r="BK235" i="8"/>
  <c r="BJ269" i="8"/>
  <c r="BJ267" i="8"/>
  <c r="BJ265" i="8"/>
  <c r="BJ263" i="8"/>
  <c r="BJ261" i="8"/>
  <c r="BJ259" i="8"/>
  <c r="BJ257" i="8"/>
  <c r="BJ255" i="8"/>
  <c r="BJ253" i="8"/>
  <c r="BJ251" i="8"/>
  <c r="BJ249" i="8"/>
  <c r="BJ247" i="8"/>
  <c r="BJ245" i="8"/>
  <c r="BJ243" i="8"/>
  <c r="BI269" i="8"/>
  <c r="BI267" i="8"/>
  <c r="BI265" i="8"/>
  <c r="BI263" i="8"/>
  <c r="BI261" i="8"/>
  <c r="BI259" i="8"/>
  <c r="BI257" i="8"/>
  <c r="BI255" i="8"/>
  <c r="BI253" i="8"/>
  <c r="BI251" i="8"/>
  <c r="BI249" i="8"/>
  <c r="BI247" i="8"/>
  <c r="BI245" i="8"/>
  <c r="BI243" i="8"/>
  <c r="BI241" i="8"/>
  <c r="BI239" i="8"/>
  <c r="BI237" i="8"/>
  <c r="BH269" i="8"/>
  <c r="BH267" i="8"/>
  <c r="BH265" i="8"/>
  <c r="BH263" i="8"/>
  <c r="BH261" i="8"/>
  <c r="BH259" i="8"/>
  <c r="BH257" i="8"/>
  <c r="BH255" i="8"/>
  <c r="BH253" i="8"/>
  <c r="BH251" i="8"/>
  <c r="BH249" i="8"/>
  <c r="CG267" i="8"/>
  <c r="BS268" i="8"/>
  <c r="BS266" i="8"/>
  <c r="BS264" i="8"/>
  <c r="BS262" i="8"/>
  <c r="BS260" i="8"/>
  <c r="BS258" i="8"/>
  <c r="BS256" i="8"/>
  <c r="CF267" i="8"/>
  <c r="CE261" i="8"/>
  <c r="CD261" i="8"/>
  <c r="BP268" i="8"/>
  <c r="BV256" i="8"/>
  <c r="BO268" i="8"/>
  <c r="BO266" i="8"/>
  <c r="CG255" i="8"/>
  <c r="CD251" i="8"/>
  <c r="BM268" i="8"/>
  <c r="BM266" i="8"/>
  <c r="BM264" i="8"/>
  <c r="BM262" i="8"/>
  <c r="BM260" i="8"/>
  <c r="BM258" i="8"/>
  <c r="BM256" i="8"/>
  <c r="BM254" i="8"/>
  <c r="BM252" i="8"/>
  <c r="BM250" i="8"/>
  <c r="BM248" i="8"/>
  <c r="BM246" i="8"/>
  <c r="BM244" i="8"/>
  <c r="BM242" i="8"/>
  <c r="CC251" i="8"/>
  <c r="BL268" i="8"/>
  <c r="CE247" i="8"/>
  <c r="BK268" i="8"/>
  <c r="BK266" i="8"/>
  <c r="BK264" i="8"/>
  <c r="BK262" i="8"/>
  <c r="BK260" i="8"/>
  <c r="BK258" i="8"/>
  <c r="BK256" i="8"/>
  <c r="BK254" i="8"/>
  <c r="BK252" i="8"/>
  <c r="BK250" i="8"/>
  <c r="BK248" i="8"/>
  <c r="BK246" i="8"/>
  <c r="CD247" i="8"/>
  <c r="BJ268" i="8"/>
  <c r="BJ266" i="8"/>
  <c r="BJ264" i="8"/>
  <c r="BJ262" i="8"/>
  <c r="BV244" i="8"/>
  <c r="CG243" i="8"/>
  <c r="CA240" i="8"/>
  <c r="BY240" i="8"/>
  <c r="CG236" i="8"/>
  <c r="CF236" i="8"/>
  <c r="BP266" i="8"/>
  <c r="BN263" i="8"/>
  <c r="BS259" i="8"/>
  <c r="BP256" i="8"/>
  <c r="BS253" i="8"/>
  <c r="BS250" i="8"/>
  <c r="BJ248" i="8"/>
  <c r="BP245" i="8"/>
  <c r="BS242" i="8"/>
  <c r="BO240" i="8"/>
  <c r="BL238" i="8"/>
  <c r="BI236" i="8"/>
  <c r="BN266" i="8"/>
  <c r="BR262" i="8"/>
  <c r="BR259" i="8"/>
  <c r="BO256" i="8"/>
  <c r="BR253" i="8"/>
  <c r="BR250" i="8"/>
  <c r="BI248" i="8"/>
  <c r="BO245" i="8"/>
  <c r="BR242" i="8"/>
  <c r="BN240" i="8"/>
  <c r="BK238" i="8"/>
  <c r="BH236" i="8"/>
  <c r="BL266" i="8"/>
  <c r="BQ262" i="8"/>
  <c r="BQ259" i="8"/>
  <c r="BN256" i="8"/>
  <c r="BQ253" i="8"/>
  <c r="BQ250" i="8"/>
  <c r="BH248" i="8"/>
  <c r="BN245" i="8"/>
  <c r="BQ242" i="8"/>
  <c r="BM240" i="8"/>
  <c r="BJ238" i="8"/>
  <c r="BS235" i="8"/>
  <c r="BI266" i="8"/>
  <c r="BP262" i="8"/>
  <c r="BP259" i="8"/>
  <c r="BL256" i="8"/>
  <c r="BP253" i="8"/>
  <c r="BP250" i="8"/>
  <c r="BS247" i="8"/>
  <c r="BL245" i="8"/>
  <c r="BP242" i="8"/>
  <c r="BL240" i="8"/>
  <c r="BI238" i="8"/>
  <c r="BR235" i="8"/>
  <c r="BH266" i="8"/>
  <c r="BO262" i="8"/>
  <c r="BO259" i="8"/>
  <c r="BJ256" i="8"/>
  <c r="BO253" i="8"/>
  <c r="BO250" i="8"/>
  <c r="BR247" i="8"/>
  <c r="BH245" i="8"/>
  <c r="BO242" i="8"/>
  <c r="BK240" i="8"/>
  <c r="BH238" i="8"/>
  <c r="BQ235" i="8"/>
  <c r="BS269" i="8"/>
  <c r="BS265" i="8"/>
  <c r="BN262" i="8"/>
  <c r="BN259" i="8"/>
  <c r="BI256" i="8"/>
  <c r="BN253" i="8"/>
  <c r="BN250" i="8"/>
  <c r="BQ247" i="8"/>
  <c r="BS244" i="8"/>
  <c r="BN242" i="8"/>
  <c r="BJ240" i="8"/>
  <c r="BS237" i="8"/>
  <c r="BP235" i="8"/>
  <c r="BR269" i="8"/>
  <c r="BR265" i="8"/>
  <c r="BL262" i="8"/>
  <c r="BR258" i="8"/>
  <c r="BH256" i="8"/>
  <c r="BL253" i="8"/>
  <c r="BL250" i="8"/>
  <c r="BP247" i="8"/>
  <c r="BR244" i="8"/>
  <c r="BL242" i="8"/>
  <c r="BI240" i="8"/>
  <c r="BR237" i="8"/>
  <c r="BO235" i="8"/>
  <c r="BQ269" i="8"/>
  <c r="BQ265" i="8"/>
  <c r="BI262" i="8"/>
  <c r="BQ258" i="8"/>
  <c r="BS255" i="8"/>
  <c r="BS252" i="8"/>
  <c r="BJ250" i="8"/>
  <c r="BO247" i="8"/>
  <c r="BQ244" i="8"/>
  <c r="BK242" i="8"/>
  <c r="BH240" i="8"/>
  <c r="BQ237" i="8"/>
  <c r="BN235" i="8"/>
  <c r="BP269" i="8"/>
  <c r="BP265" i="8"/>
  <c r="BH262" i="8"/>
  <c r="BP258" i="8"/>
  <c r="BR255" i="8"/>
  <c r="BR252" i="8"/>
  <c r="BI250" i="8"/>
  <c r="BN247" i="8"/>
  <c r="BP244" i="8"/>
  <c r="BJ242" i="8"/>
  <c r="BS239" i="8"/>
  <c r="BP237" i="8"/>
  <c r="BL235" i="8"/>
  <c r="BO269" i="8"/>
  <c r="BO265" i="8"/>
  <c r="BS261" i="8"/>
  <c r="BO258" i="8"/>
  <c r="BQ255" i="8"/>
  <c r="BQ252" i="8"/>
  <c r="BH250" i="8"/>
  <c r="BL247" i="8"/>
  <c r="BO244" i="8"/>
  <c r="BI242" i="8"/>
  <c r="BR239" i="8"/>
  <c r="BO237" i="8"/>
  <c r="BJ235" i="8"/>
  <c r="BN269" i="8"/>
  <c r="BN265" i="8"/>
  <c r="BR261" i="8"/>
  <c r="BN258" i="8"/>
  <c r="BP255" i="8"/>
  <c r="BP252" i="8"/>
  <c r="BS249" i="8"/>
  <c r="BH247" i="8"/>
  <c r="BN244" i="8"/>
  <c r="BH242" i="8"/>
  <c r="BQ239" i="8"/>
  <c r="BN237" i="8"/>
  <c r="BI235" i="8"/>
  <c r="BR268" i="8"/>
  <c r="BR264" i="8"/>
  <c r="BQ261" i="8"/>
  <c r="BL258" i="8"/>
  <c r="BO255" i="8"/>
  <c r="BO252" i="8"/>
  <c r="BR249" i="8"/>
  <c r="BS246" i="8"/>
  <c r="BL244" i="8"/>
  <c r="BS241" i="8"/>
  <c r="BP239" i="8"/>
  <c r="BL237" i="8"/>
  <c r="BH235" i="8"/>
  <c r="BQ268" i="8"/>
  <c r="BQ264" i="8"/>
  <c r="BP261" i="8"/>
  <c r="BJ258" i="8"/>
  <c r="BN255" i="8"/>
  <c r="BN252" i="8"/>
  <c r="BQ249" i="8"/>
  <c r="BR246" i="8"/>
  <c r="BK244" i="8"/>
  <c r="BR241" i="8"/>
  <c r="BO239" i="8"/>
  <c r="BJ237" i="8"/>
  <c r="BS234" i="8"/>
  <c r="BN268" i="8"/>
  <c r="BP264" i="8"/>
  <c r="BO261" i="8"/>
  <c r="BI258" i="8"/>
  <c r="BL255" i="8"/>
  <c r="BL252" i="8"/>
  <c r="BP249" i="8"/>
  <c r="BQ246" i="8"/>
  <c r="BJ244" i="8"/>
  <c r="BQ241" i="8"/>
  <c r="BN239" i="8"/>
  <c r="BH237" i="8"/>
  <c r="BR234" i="8"/>
  <c r="BI268" i="8"/>
  <c r="BO264" i="8"/>
  <c r="BN261" i="8"/>
  <c r="BH258" i="8"/>
  <c r="BS254" i="8"/>
  <c r="BJ252" i="8"/>
  <c r="BO249" i="8"/>
  <c r="BP246" i="8"/>
  <c r="BI244" i="8"/>
  <c r="BP241" i="8"/>
  <c r="BL239" i="8"/>
  <c r="BS236" i="8"/>
  <c r="BQ234" i="8"/>
  <c r="BH268" i="8"/>
  <c r="BN264" i="8"/>
  <c r="BR260" i="8"/>
  <c r="BS257" i="8"/>
  <c r="BR254" i="8"/>
  <c r="BI252" i="8"/>
  <c r="BN249" i="8"/>
  <c r="BO246" i="8"/>
  <c r="BH244" i="8"/>
  <c r="BO241" i="8"/>
  <c r="BJ239" i="8"/>
  <c r="BR236" i="8"/>
  <c r="BP234" i="8"/>
  <c r="BS267" i="8"/>
  <c r="BL264" i="8"/>
  <c r="BQ260" i="8"/>
  <c r="BR257" i="8"/>
  <c r="BQ254" i="8"/>
  <c r="BH252" i="8"/>
  <c r="BL249" i="8"/>
  <c r="BN246" i="8"/>
  <c r="BS243" i="8"/>
  <c r="BN241" i="8"/>
  <c r="BH239" i="8"/>
  <c r="BQ236" i="8"/>
  <c r="BO234" i="8"/>
  <c r="BR267" i="8"/>
  <c r="BI264" i="8"/>
  <c r="BP260" i="8"/>
  <c r="BQ257" i="8"/>
  <c r="BP254" i="8"/>
  <c r="BS251" i="8"/>
  <c r="BS248" i="8"/>
  <c r="BL246" i="8"/>
  <c r="BR243" i="8"/>
  <c r="BL241" i="8"/>
  <c r="BS238" i="8"/>
  <c r="BP236" i="8"/>
  <c r="BN234" i="8"/>
  <c r="BQ267" i="8"/>
  <c r="BH264" i="8"/>
  <c r="BO260" i="8"/>
  <c r="BP257" i="8"/>
  <c r="BO254" i="8"/>
  <c r="BR251" i="8"/>
  <c r="BR248" i="8"/>
  <c r="BJ246" i="8"/>
  <c r="BQ243" i="8"/>
  <c r="BJ241" i="8"/>
  <c r="BR238" i="8"/>
  <c r="BO236" i="8"/>
  <c r="BM234" i="8"/>
  <c r="BP267" i="8"/>
  <c r="BS263" i="8"/>
  <c r="BN260" i="8"/>
  <c r="BO257" i="8"/>
  <c r="BN254" i="8"/>
  <c r="BQ251" i="8"/>
  <c r="BQ248" i="8"/>
  <c r="BI246" i="8"/>
  <c r="BP243" i="8"/>
  <c r="BH241" i="8"/>
  <c r="BQ238" i="8"/>
  <c r="BN236" i="8"/>
  <c r="BL234" i="8"/>
  <c r="BO267" i="8"/>
  <c r="BR263" i="8"/>
  <c r="BL260" i="8"/>
  <c r="BN257" i="8"/>
  <c r="BL254" i="8"/>
  <c r="BP251" i="8"/>
  <c r="BP248" i="8"/>
  <c r="BH246" i="8"/>
  <c r="BO243" i="8"/>
  <c r="BS240" i="8"/>
  <c r="BP238" i="8"/>
  <c r="BM236" i="8"/>
  <c r="BK234" i="8"/>
  <c r="BN267" i="8"/>
  <c r="BQ263" i="8"/>
  <c r="BJ260" i="8"/>
  <c r="BL257" i="8"/>
  <c r="BJ254" i="8"/>
  <c r="BO251" i="8"/>
  <c r="BO248" i="8"/>
  <c r="BS245" i="8"/>
  <c r="BN243" i="8"/>
  <c r="BR240" i="8"/>
  <c r="BO238" i="8"/>
  <c r="BL236" i="8"/>
  <c r="BJ234" i="8"/>
  <c r="BR266" i="8"/>
  <c r="BP263" i="8"/>
  <c r="BI260" i="8"/>
  <c r="BR256" i="8"/>
  <c r="BI254" i="8"/>
  <c r="BN251" i="8"/>
  <c r="BN248" i="8"/>
  <c r="BR245" i="8"/>
  <c r="BL243" i="8"/>
  <c r="BQ240" i="8"/>
  <c r="BN238" i="8"/>
  <c r="BK236" i="8"/>
  <c r="BI234" i="8"/>
  <c r="BQ266" i="8"/>
  <c r="BO263" i="8"/>
  <c r="BH260" i="8"/>
  <c r="BQ256" i="8"/>
  <c r="BH254" i="8"/>
  <c r="BL251" i="8"/>
  <c r="BL248" i="8"/>
  <c r="BQ245" i="8"/>
  <c r="BH243" i="8"/>
  <c r="BP240" i="8"/>
  <c r="BM238" i="8"/>
  <c r="BJ236" i="8"/>
  <c r="BH234" i="8"/>
  <c r="BA269" i="8"/>
  <c r="BA267" i="8"/>
  <c r="BA265" i="8"/>
  <c r="BA263" i="8"/>
  <c r="BA261" i="8"/>
  <c r="BA259" i="8"/>
  <c r="BA257" i="8"/>
  <c r="BA255" i="8"/>
  <c r="BA253" i="8"/>
  <c r="BA251" i="8"/>
  <c r="BA249" i="8"/>
  <c r="BA247" i="8"/>
  <c r="BA245" i="8"/>
  <c r="BA243" i="8"/>
  <c r="BA241" i="8"/>
  <c r="BA239" i="8"/>
  <c r="BA237" i="8"/>
  <c r="BA235" i="8"/>
  <c r="AZ269" i="8"/>
  <c r="AZ267" i="8"/>
  <c r="AZ265" i="8"/>
  <c r="AZ263" i="8"/>
  <c r="AZ261" i="8"/>
  <c r="AZ259" i="8"/>
  <c r="AZ257" i="8"/>
  <c r="AZ255" i="8"/>
  <c r="AZ253" i="8"/>
  <c r="AZ251" i="8"/>
  <c r="AZ249" i="8"/>
  <c r="AZ247" i="8"/>
  <c r="AZ245" i="8"/>
  <c r="AZ243" i="8"/>
  <c r="AZ241" i="8"/>
  <c r="AZ239" i="8"/>
  <c r="AZ237" i="8"/>
  <c r="AZ235" i="8"/>
  <c r="AY269" i="8"/>
  <c r="AY267" i="8"/>
  <c r="AY265" i="8"/>
  <c r="AY263" i="8"/>
  <c r="AY261" i="8"/>
  <c r="AY259" i="8"/>
  <c r="AY257" i="8"/>
  <c r="AY255" i="8"/>
  <c r="AY253" i="8"/>
  <c r="AY251" i="8"/>
  <c r="AY249" i="8"/>
  <c r="AY247" i="8"/>
  <c r="AY245" i="8"/>
  <c r="AY243" i="8"/>
  <c r="AY241" i="8"/>
  <c r="AY239" i="8"/>
  <c r="AY237" i="8"/>
  <c r="AY235" i="8"/>
  <c r="AX269" i="8"/>
  <c r="AX267" i="8"/>
  <c r="AX265" i="8"/>
  <c r="AX263" i="8"/>
  <c r="AX261" i="8"/>
  <c r="AX259" i="8"/>
  <c r="AX257" i="8"/>
  <c r="AX255" i="8"/>
  <c r="AX253" i="8"/>
  <c r="AX251" i="8"/>
  <c r="AX249" i="8"/>
  <c r="AX247" i="8"/>
  <c r="AX245" i="8"/>
  <c r="AX243" i="8"/>
  <c r="AX241" i="8"/>
  <c r="AX239" i="8"/>
  <c r="AX237" i="8"/>
  <c r="AX235" i="8"/>
  <c r="AW269" i="8"/>
  <c r="AW267" i="8"/>
  <c r="AW265" i="8"/>
  <c r="AW263" i="8"/>
  <c r="AW261" i="8"/>
  <c r="AW259" i="8"/>
  <c r="AW257" i="8"/>
  <c r="AW255" i="8"/>
  <c r="AW253" i="8"/>
  <c r="AW251" i="8"/>
  <c r="AW249" i="8"/>
  <c r="AW247" i="8"/>
  <c r="AW245" i="8"/>
  <c r="AW243" i="8"/>
  <c r="AW241" i="8"/>
  <c r="AW239" i="8"/>
  <c r="AW237" i="8"/>
  <c r="AW235" i="8"/>
  <c r="AV269" i="8"/>
  <c r="AV267" i="8"/>
  <c r="AV265" i="8"/>
  <c r="AV263" i="8"/>
  <c r="AV261" i="8"/>
  <c r="AV259" i="8"/>
  <c r="AV257" i="8"/>
  <c r="AV255" i="8"/>
  <c r="AV253" i="8"/>
  <c r="AV251" i="8"/>
  <c r="AU269" i="8"/>
  <c r="AU267" i="8"/>
  <c r="AU265" i="8"/>
  <c r="AU263" i="8"/>
  <c r="AU261" i="8"/>
  <c r="AU259" i="8"/>
  <c r="AU257" i="8"/>
  <c r="AU255" i="8"/>
  <c r="AU253" i="8"/>
  <c r="AU251" i="8"/>
  <c r="AU249" i="8"/>
  <c r="AU247" i="8"/>
  <c r="AU245" i="8"/>
  <c r="AU243" i="8"/>
  <c r="AU241" i="8"/>
  <c r="AU239" i="8"/>
  <c r="AU237" i="8"/>
  <c r="AU235" i="8"/>
  <c r="BE268" i="8"/>
  <c r="BE266" i="8"/>
  <c r="BE264" i="8"/>
  <c r="BE262" i="8"/>
  <c r="BE260" i="8"/>
  <c r="BD268" i="8"/>
  <c r="BD266" i="8"/>
  <c r="BD264" i="8"/>
  <c r="BD262" i="8"/>
  <c r="BC268" i="8"/>
  <c r="BC266" i="8"/>
  <c r="BC264" i="8"/>
  <c r="BC262" i="8"/>
  <c r="BC260" i="8"/>
  <c r="BC258" i="8"/>
  <c r="BC256" i="8"/>
  <c r="BC254" i="8"/>
  <c r="BC252" i="8"/>
  <c r="BC250" i="8"/>
  <c r="BC248" i="8"/>
  <c r="BC246" i="8"/>
  <c r="BC244" i="8"/>
  <c r="BC242" i="8"/>
  <c r="BC240" i="8"/>
  <c r="BC238" i="8"/>
  <c r="BA268" i="8"/>
  <c r="BA266" i="8"/>
  <c r="BA264" i="8"/>
  <c r="BA262" i="8"/>
  <c r="BA260" i="8"/>
  <c r="BA258" i="8"/>
  <c r="BA256" i="8"/>
  <c r="BA254" i="8"/>
  <c r="BA252" i="8"/>
  <c r="BA250" i="8"/>
  <c r="BA248" i="8"/>
  <c r="BA246" i="8"/>
  <c r="BA244" i="8"/>
  <c r="BA242" i="8"/>
  <c r="BA240" i="8"/>
  <c r="BA238" i="8"/>
  <c r="AY268" i="8"/>
  <c r="AY266" i="8"/>
  <c r="AY264" i="8"/>
  <c r="AY262" i="8"/>
  <c r="AY260" i="8"/>
  <c r="AY258" i="8"/>
  <c r="AY256" i="8"/>
  <c r="AY254" i="8"/>
  <c r="AY252" i="8"/>
  <c r="AX266" i="8"/>
  <c r="AX262" i="8"/>
  <c r="BD258" i="8"/>
  <c r="BC255" i="8"/>
  <c r="AU252" i="8"/>
  <c r="BD248" i="8"/>
  <c r="AT246" i="8"/>
  <c r="BD242" i="8"/>
  <c r="AT240" i="8"/>
  <c r="BD236" i="8"/>
  <c r="AX234" i="8"/>
  <c r="AW266" i="8"/>
  <c r="AW262" i="8"/>
  <c r="BB258" i="8"/>
  <c r="BB255" i="8"/>
  <c r="AT252" i="8"/>
  <c r="BB248" i="8"/>
  <c r="BE245" i="8"/>
  <c r="BB242" i="8"/>
  <c r="BE239" i="8"/>
  <c r="BC236" i="8"/>
  <c r="AW234" i="8"/>
  <c r="AV266" i="8"/>
  <c r="AV262" i="8"/>
  <c r="AZ258" i="8"/>
  <c r="AT255" i="8"/>
  <c r="BE251" i="8"/>
  <c r="AZ248" i="8"/>
  <c r="BD245" i="8"/>
  <c r="AZ242" i="8"/>
  <c r="BD239" i="8"/>
  <c r="BB236" i="8"/>
  <c r="AV234" i="8"/>
  <c r="AU266" i="8"/>
  <c r="AU262" i="8"/>
  <c r="AX258" i="8"/>
  <c r="BE254" i="8"/>
  <c r="BD251" i="8"/>
  <c r="AY248" i="8"/>
  <c r="BC245" i="8"/>
  <c r="AY242" i="8"/>
  <c r="BC239" i="8"/>
  <c r="BA236" i="8"/>
  <c r="AU234" i="8"/>
  <c r="AT266" i="8"/>
  <c r="AT262" i="8"/>
  <c r="AW258" i="8"/>
  <c r="BD254" i="8"/>
  <c r="BC251" i="8"/>
  <c r="AX248" i="8"/>
  <c r="BB245" i="8"/>
  <c r="AX242" i="8"/>
  <c r="BB239" i="8"/>
  <c r="AZ236" i="8"/>
  <c r="AT234" i="8"/>
  <c r="BE269" i="8"/>
  <c r="BE265" i="8"/>
  <c r="BE261" i="8"/>
  <c r="AV258" i="8"/>
  <c r="BB254" i="8"/>
  <c r="BB251" i="8"/>
  <c r="AW248" i="8"/>
  <c r="AV245" i="8"/>
  <c r="AW242" i="8"/>
  <c r="AV239" i="8"/>
  <c r="AY236" i="8"/>
  <c r="BD269" i="8"/>
  <c r="BD265" i="8"/>
  <c r="BD261" i="8"/>
  <c r="AU258" i="8"/>
  <c r="AZ254" i="8"/>
  <c r="AT251" i="8"/>
  <c r="AV248" i="8"/>
  <c r="AT245" i="8"/>
  <c r="AV242" i="8"/>
  <c r="AT239" i="8"/>
  <c r="AX236" i="8"/>
  <c r="BC269" i="8"/>
  <c r="BC265" i="8"/>
  <c r="BC261" i="8"/>
  <c r="AT258" i="8"/>
  <c r="AX254" i="8"/>
  <c r="BE250" i="8"/>
  <c r="AU248" i="8"/>
  <c r="BE244" i="8"/>
  <c r="AU242" i="8"/>
  <c r="BE238" i="8"/>
  <c r="AW236" i="8"/>
  <c r="BB269" i="8"/>
  <c r="BB265" i="8"/>
  <c r="BB261" i="8"/>
  <c r="BE257" i="8"/>
  <c r="AW254" i="8"/>
  <c r="BD250" i="8"/>
  <c r="AT248" i="8"/>
  <c r="BD244" i="8"/>
  <c r="AT242" i="8"/>
  <c r="BD238" i="8"/>
  <c r="AV236" i="8"/>
  <c r="AT269" i="8"/>
  <c r="AT265" i="8"/>
  <c r="AT261" i="8"/>
  <c r="BD257" i="8"/>
  <c r="AV254" i="8"/>
  <c r="BB250" i="8"/>
  <c r="BE247" i="8"/>
  <c r="BB244" i="8"/>
  <c r="BE241" i="8"/>
  <c r="BB238" i="8"/>
  <c r="AU236" i="8"/>
  <c r="BB268" i="8"/>
  <c r="BB264" i="8"/>
  <c r="BD260" i="8"/>
  <c r="BC257" i="8"/>
  <c r="AU254" i="8"/>
  <c r="AZ250" i="8"/>
  <c r="BD247" i="8"/>
  <c r="AZ244" i="8"/>
  <c r="BD241" i="8"/>
  <c r="AZ238" i="8"/>
  <c r="AT236" i="8"/>
  <c r="AZ268" i="8"/>
  <c r="AZ264" i="8"/>
  <c r="BB260" i="8"/>
  <c r="BB257" i="8"/>
  <c r="AT254" i="8"/>
  <c r="AY250" i="8"/>
  <c r="BC247" i="8"/>
  <c r="AY244" i="8"/>
  <c r="BC241" i="8"/>
  <c r="AY238" i="8"/>
  <c r="BE235" i="8"/>
  <c r="AX268" i="8"/>
  <c r="AX264" i="8"/>
  <c r="AZ260" i="8"/>
  <c r="AT257" i="8"/>
  <c r="BE253" i="8"/>
  <c r="AX250" i="8"/>
  <c r="BB247" i="8"/>
  <c r="AX244" i="8"/>
  <c r="BB241" i="8"/>
  <c r="AX238" i="8"/>
  <c r="BD235" i="8"/>
  <c r="AW268" i="8"/>
  <c r="AW264" i="8"/>
  <c r="AX260" i="8"/>
  <c r="BE256" i="8"/>
  <c r="BD253" i="8"/>
  <c r="AW250" i="8"/>
  <c r="AV247" i="8"/>
  <c r="AW244" i="8"/>
  <c r="AV241" i="8"/>
  <c r="AW238" i="8"/>
  <c r="BC235" i="8"/>
  <c r="AV268" i="8"/>
  <c r="AV264" i="8"/>
  <c r="AW260" i="8"/>
  <c r="BD256" i="8"/>
  <c r="BC253" i="8"/>
  <c r="AV250" i="8"/>
  <c r="AT247" i="8"/>
  <c r="AV244" i="8"/>
  <c r="AT241" i="8"/>
  <c r="AV238" i="8"/>
  <c r="BB235" i="8"/>
  <c r="AU268" i="8"/>
  <c r="AU264" i="8"/>
  <c r="AV260" i="8"/>
  <c r="BB256" i="8"/>
  <c r="BB253" i="8"/>
  <c r="AU250" i="8"/>
  <c r="BE246" i="8"/>
  <c r="AU244" i="8"/>
  <c r="BE240" i="8"/>
  <c r="AU238" i="8"/>
  <c r="AV235" i="8"/>
  <c r="AT268" i="8"/>
  <c r="AT264" i="8"/>
  <c r="AU260" i="8"/>
  <c r="AZ256" i="8"/>
  <c r="AT253" i="8"/>
  <c r="AT250" i="8"/>
  <c r="BD246" i="8"/>
  <c r="AT244" i="8"/>
  <c r="BD240" i="8"/>
  <c r="AT238" i="8"/>
  <c r="AT235" i="8"/>
  <c r="BE267" i="8"/>
  <c r="BE263" i="8"/>
  <c r="AT260" i="8"/>
  <c r="AX256" i="8"/>
  <c r="BE252" i="8"/>
  <c r="BE249" i="8"/>
  <c r="BB246" i="8"/>
  <c r="BE243" i="8"/>
  <c r="BB240" i="8"/>
  <c r="BE237" i="8"/>
  <c r="BE234" i="8"/>
  <c r="BD267" i="8"/>
  <c r="BD263" i="8"/>
  <c r="BE259" i="8"/>
  <c r="AW256" i="8"/>
  <c r="BD252" i="8"/>
  <c r="BD249" i="8"/>
  <c r="AZ246" i="8"/>
  <c r="BD243" i="8"/>
  <c r="AZ240" i="8"/>
  <c r="BD237" i="8"/>
  <c r="BD234" i="8"/>
  <c r="BC267" i="8"/>
  <c r="BC263" i="8"/>
  <c r="BD259" i="8"/>
  <c r="AV256" i="8"/>
  <c r="BB252" i="8"/>
  <c r="BC249" i="8"/>
  <c r="AY246" i="8"/>
  <c r="BC243" i="8"/>
  <c r="AY240" i="8"/>
  <c r="BC237" i="8"/>
  <c r="BC234" i="8"/>
  <c r="BB267" i="8"/>
  <c r="BB263" i="8"/>
  <c r="BC259" i="8"/>
  <c r="AU256" i="8"/>
  <c r="AZ252" i="8"/>
  <c r="BB249" i="8"/>
  <c r="AX246" i="8"/>
  <c r="BB243" i="8"/>
  <c r="AX240" i="8"/>
  <c r="BB237" i="8"/>
  <c r="BB234" i="8"/>
  <c r="AT267" i="8"/>
  <c r="AT263" i="8"/>
  <c r="BB259" i="8"/>
  <c r="AT256" i="8"/>
  <c r="AX252" i="8"/>
  <c r="AV249" i="8"/>
  <c r="AW246" i="8"/>
  <c r="AV243" i="8"/>
  <c r="AW240" i="8"/>
  <c r="AV237" i="8"/>
  <c r="BA234" i="8"/>
  <c r="AZ266" i="8"/>
  <c r="AZ262" i="8"/>
  <c r="BE258" i="8"/>
  <c r="BD255" i="8"/>
  <c r="AV252" i="8"/>
  <c r="BE248" i="8"/>
  <c r="AU246" i="8"/>
  <c r="BE242" i="8"/>
  <c r="AU240" i="8"/>
  <c r="BE236" i="8"/>
  <c r="AY234" i="8"/>
  <c r="AO268" i="8"/>
  <c r="AO266" i="8"/>
  <c r="AO264" i="8"/>
  <c r="AO262" i="8"/>
  <c r="AO260" i="8"/>
  <c r="AO258" i="8"/>
  <c r="AO256" i="8"/>
  <c r="AO254" i="8"/>
  <c r="AO252" i="8"/>
  <c r="AO250" i="8"/>
  <c r="AO248" i="8"/>
  <c r="AO246" i="8"/>
  <c r="AO244" i="8"/>
  <c r="AO242" i="8"/>
  <c r="AN268" i="8"/>
  <c r="AN266" i="8"/>
  <c r="AN264" i="8"/>
  <c r="AN262" i="8"/>
  <c r="AN260" i="8"/>
  <c r="AN258" i="8"/>
  <c r="AN256" i="8"/>
  <c r="AN254" i="8"/>
  <c r="AN252" i="8"/>
  <c r="AN250" i="8"/>
  <c r="AN248" i="8"/>
  <c r="AN246" i="8"/>
  <c r="AN244" i="8"/>
  <c r="AN242" i="8"/>
  <c r="AN240" i="8"/>
  <c r="AN238" i="8"/>
  <c r="AN236" i="8"/>
  <c r="AN234" i="8"/>
  <c r="AM268" i="8"/>
  <c r="AM266" i="8"/>
  <c r="AM264" i="8"/>
  <c r="AM262" i="8"/>
  <c r="AM260" i="8"/>
  <c r="AM258" i="8"/>
  <c r="AM256" i="8"/>
  <c r="AM254" i="8"/>
  <c r="AM252" i="8"/>
  <c r="AM250" i="8"/>
  <c r="AM248" i="8"/>
  <c r="AM246" i="8"/>
  <c r="AM244" i="8"/>
  <c r="AM242" i="8"/>
  <c r="AM240" i="8"/>
  <c r="AM238" i="8"/>
  <c r="AM236" i="8"/>
  <c r="AM234" i="8"/>
  <c r="AL268" i="8"/>
  <c r="AL266" i="8"/>
  <c r="AL264" i="8"/>
  <c r="AL262" i="8"/>
  <c r="AL260" i="8"/>
  <c r="AL258" i="8"/>
  <c r="AL256" i="8"/>
  <c r="AL254" i="8"/>
  <c r="AL252" i="8"/>
  <c r="AK268" i="8"/>
  <c r="AK266" i="8"/>
  <c r="AK264" i="8"/>
  <c r="AK262" i="8"/>
  <c r="AK260" i="8"/>
  <c r="AK258" i="8"/>
  <c r="AK256" i="8"/>
  <c r="AK254" i="8"/>
  <c r="AK252" i="8"/>
  <c r="AK250" i="8"/>
  <c r="AK248" i="8"/>
  <c r="AK246" i="8"/>
  <c r="AK244" i="8"/>
  <c r="AK242" i="8"/>
  <c r="AK240" i="8"/>
  <c r="AK238" i="8"/>
  <c r="AK236" i="8"/>
  <c r="AK234" i="8"/>
  <c r="AI268" i="8"/>
  <c r="AI266" i="8"/>
  <c r="AG268" i="8"/>
  <c r="AG266" i="8"/>
  <c r="AG264" i="8"/>
  <c r="AG262" i="8"/>
  <c r="AG260" i="8"/>
  <c r="AG258" i="8"/>
  <c r="AG256" i="8"/>
  <c r="AG254" i="8"/>
  <c r="AG252" i="8"/>
  <c r="AG250" i="8"/>
  <c r="AG248" i="8"/>
  <c r="AG246" i="8"/>
  <c r="AG244" i="8"/>
  <c r="AG242" i="8"/>
  <c r="AG240" i="8"/>
  <c r="AG238" i="8"/>
  <c r="AQ269" i="8"/>
  <c r="AQ267" i="8"/>
  <c r="AQ265" i="8"/>
  <c r="AQ263" i="8"/>
  <c r="AQ261" i="8"/>
  <c r="AQ259" i="8"/>
  <c r="AQ257" i="8"/>
  <c r="AQ255" i="8"/>
  <c r="AQ253" i="8"/>
  <c r="AQ251" i="8"/>
  <c r="AQ249" i="8"/>
  <c r="AQ247" i="8"/>
  <c r="AQ245" i="8"/>
  <c r="AQ243" i="8"/>
  <c r="AQ241" i="8"/>
  <c r="AP269" i="8"/>
  <c r="AP267" i="8"/>
  <c r="AP265" i="8"/>
  <c r="AP263" i="8"/>
  <c r="AP261" i="8"/>
  <c r="AP259" i="8"/>
  <c r="AP257" i="8"/>
  <c r="AP255" i="8"/>
  <c r="BB266" i="8"/>
  <c r="AO269" i="8"/>
  <c r="AO267" i="8"/>
  <c r="AO265" i="8"/>
  <c r="AO263" i="8"/>
  <c r="AO261" i="8"/>
  <c r="AO259" i="8"/>
  <c r="BB262" i="8"/>
  <c r="AT259" i="8"/>
  <c r="AM269" i="8"/>
  <c r="AM267" i="8"/>
  <c r="AM265" i="8"/>
  <c r="AM263" i="8"/>
  <c r="AM261" i="8"/>
  <c r="AM259" i="8"/>
  <c r="AM257" i="8"/>
  <c r="AM255" i="8"/>
  <c r="BE255" i="8"/>
  <c r="AW252" i="8"/>
  <c r="AT249" i="8"/>
  <c r="AV246" i="8"/>
  <c r="AT243" i="8"/>
  <c r="AV240" i="8"/>
  <c r="AT237" i="8"/>
  <c r="AZ234" i="8"/>
  <c r="AH269" i="8"/>
  <c r="AJ265" i="8"/>
  <c r="AF262" i="8"/>
  <c r="AP258" i="8"/>
  <c r="AJ255" i="8"/>
  <c r="AJ252" i="8"/>
  <c r="AN249" i="8"/>
  <c r="AH247" i="8"/>
  <c r="AJ244" i="8"/>
  <c r="AN241" i="8"/>
  <c r="AJ239" i="8"/>
  <c r="AF237" i="8"/>
  <c r="AO234" i="8"/>
  <c r="AG269" i="8"/>
  <c r="AI265" i="8"/>
  <c r="AN261" i="8"/>
  <c r="AJ258" i="8"/>
  <c r="AI255" i="8"/>
  <c r="AI252" i="8"/>
  <c r="AM249" i="8"/>
  <c r="AG247" i="8"/>
  <c r="AI244" i="8"/>
  <c r="AM241" i="8"/>
  <c r="AI239" i="8"/>
  <c r="AQ236" i="8"/>
  <c r="AL234" i="8"/>
  <c r="AF269" i="8"/>
  <c r="AH265" i="8"/>
  <c r="AL261" i="8"/>
  <c r="AI258" i="8"/>
  <c r="AH255" i="8"/>
  <c r="AH252" i="8"/>
  <c r="AL249" i="8"/>
  <c r="AF247" i="8"/>
  <c r="AH244" i="8"/>
  <c r="AL241" i="8"/>
  <c r="AH239" i="8"/>
  <c r="AP236" i="8"/>
  <c r="AJ234" i="8"/>
  <c r="AQ268" i="8"/>
  <c r="AG265" i="8"/>
  <c r="AK261" i="8"/>
  <c r="AH258" i="8"/>
  <c r="AG255" i="8"/>
  <c r="AF252" i="8"/>
  <c r="AK249" i="8"/>
  <c r="AQ246" i="8"/>
  <c r="AF244" i="8"/>
  <c r="AK241" i="8"/>
  <c r="AG239" i="8"/>
  <c r="AO236" i="8"/>
  <c r="AI234" i="8"/>
  <c r="AP268" i="8"/>
  <c r="AF265" i="8"/>
  <c r="AJ261" i="8"/>
  <c r="AF258" i="8"/>
  <c r="AF255" i="8"/>
  <c r="AP251" i="8"/>
  <c r="AJ249" i="8"/>
  <c r="AP246" i="8"/>
  <c r="AP243" i="8"/>
  <c r="AJ241" i="8"/>
  <c r="AF239" i="8"/>
  <c r="AL236" i="8"/>
  <c r="AH234" i="8"/>
  <c r="AJ268" i="8"/>
  <c r="AQ264" i="8"/>
  <c r="AI261" i="8"/>
  <c r="AO257" i="8"/>
  <c r="AQ254" i="8"/>
  <c r="AO251" i="8"/>
  <c r="AI249" i="8"/>
  <c r="AL246" i="8"/>
  <c r="AO243" i="8"/>
  <c r="AI241" i="8"/>
  <c r="AQ238" i="8"/>
  <c r="AJ236" i="8"/>
  <c r="AG234" i="8"/>
  <c r="AH268" i="8"/>
  <c r="AP264" i="8"/>
  <c r="AH261" i="8"/>
  <c r="AN257" i="8"/>
  <c r="AP254" i="8"/>
  <c r="AN251" i="8"/>
  <c r="AH249" i="8"/>
  <c r="AJ246" i="8"/>
  <c r="AN243" i="8"/>
  <c r="AH241" i="8"/>
  <c r="AP238" i="8"/>
  <c r="AI236" i="8"/>
  <c r="AF234" i="8"/>
  <c r="AF268" i="8"/>
  <c r="AJ264" i="8"/>
  <c r="AG261" i="8"/>
  <c r="AL257" i="8"/>
  <c r="AJ254" i="8"/>
  <c r="AM251" i="8"/>
  <c r="AG249" i="8"/>
  <c r="AI246" i="8"/>
  <c r="AM243" i="8"/>
  <c r="AG241" i="8"/>
  <c r="AO238" i="8"/>
  <c r="AH236" i="8"/>
  <c r="AN267" i="8"/>
  <c r="AI264" i="8"/>
  <c r="AF261" i="8"/>
  <c r="AK257" i="8"/>
  <c r="AI254" i="8"/>
  <c r="AL251" i="8"/>
  <c r="AF249" i="8"/>
  <c r="AH246" i="8"/>
  <c r="AL243" i="8"/>
  <c r="AF241" i="8"/>
  <c r="AL238" i="8"/>
  <c r="AG236" i="8"/>
  <c r="AL267" i="8"/>
  <c r="AH264" i="8"/>
  <c r="AQ260" i="8"/>
  <c r="AJ257" i="8"/>
  <c r="AH254" i="8"/>
  <c r="AK251" i="8"/>
  <c r="AQ248" i="8"/>
  <c r="AF246" i="8"/>
  <c r="AK243" i="8"/>
  <c r="AQ240" i="8"/>
  <c r="AJ238" i="8"/>
  <c r="AF236" i="8"/>
  <c r="AK267" i="8"/>
  <c r="AF264" i="8"/>
  <c r="AP260" i="8"/>
  <c r="AI257" i="8"/>
  <c r="AF254" i="8"/>
  <c r="AJ251" i="8"/>
  <c r="AP248" i="8"/>
  <c r="AP245" i="8"/>
  <c r="AJ243" i="8"/>
  <c r="AP240" i="8"/>
  <c r="AI238" i="8"/>
  <c r="AQ235" i="8"/>
  <c r="AJ267" i="8"/>
  <c r="AN263" i="8"/>
  <c r="AJ260" i="8"/>
  <c r="AH257" i="8"/>
  <c r="AP253" i="8"/>
  <c r="AI251" i="8"/>
  <c r="AL248" i="8"/>
  <c r="AO245" i="8"/>
  <c r="AI243" i="8"/>
  <c r="AO240" i="8"/>
  <c r="AH238" i="8"/>
  <c r="AP235" i="8"/>
  <c r="AI267" i="8"/>
  <c r="AL263" i="8"/>
  <c r="AI260" i="8"/>
  <c r="AG257" i="8"/>
  <c r="AO253" i="8"/>
  <c r="AH251" i="8"/>
  <c r="AJ248" i="8"/>
  <c r="AN245" i="8"/>
  <c r="AH243" i="8"/>
  <c r="AL240" i="8"/>
  <c r="AF238" i="8"/>
  <c r="AO235" i="8"/>
  <c r="AH267" i="8"/>
  <c r="AK263" i="8"/>
  <c r="AH260" i="8"/>
  <c r="AF257" i="8"/>
  <c r="AN253" i="8"/>
  <c r="AG251" i="8"/>
  <c r="AI248" i="8"/>
  <c r="AM245" i="8"/>
  <c r="AG243" i="8"/>
  <c r="AJ240" i="8"/>
  <c r="AQ237" i="8"/>
  <c r="AN235" i="8"/>
  <c r="AG267" i="8"/>
  <c r="AJ263" i="8"/>
  <c r="AF260" i="8"/>
  <c r="AQ256" i="8"/>
  <c r="AM253" i="8"/>
  <c r="AF251" i="8"/>
  <c r="AH248" i="8"/>
  <c r="AL245" i="8"/>
  <c r="AF243" i="8"/>
  <c r="AI240" i="8"/>
  <c r="AP237" i="8"/>
  <c r="AM235" i="8"/>
  <c r="AF267" i="8"/>
  <c r="AI263" i="8"/>
  <c r="AN259" i="8"/>
  <c r="AP256" i="8"/>
  <c r="AL253" i="8"/>
  <c r="AQ250" i="8"/>
  <c r="AF248" i="8"/>
  <c r="AK245" i="8"/>
  <c r="AQ242" i="8"/>
  <c r="AH240" i="8"/>
  <c r="AO237" i="8"/>
  <c r="AL235" i="8"/>
  <c r="AQ266" i="8"/>
  <c r="AH263" i="8"/>
  <c r="AL259" i="8"/>
  <c r="AJ256" i="8"/>
  <c r="AK253" i="8"/>
  <c r="AP250" i="8"/>
  <c r="AP247" i="8"/>
  <c r="AJ245" i="8"/>
  <c r="AP242" i="8"/>
  <c r="AF240" i="8"/>
  <c r="AN237" i="8"/>
  <c r="AK235" i="8"/>
  <c r="AP266" i="8"/>
  <c r="AG263" i="8"/>
  <c r="AK259" i="8"/>
  <c r="AI256" i="8"/>
  <c r="AJ253" i="8"/>
  <c r="AL250" i="8"/>
  <c r="AO247" i="8"/>
  <c r="AI245" i="8"/>
  <c r="AL242" i="8"/>
  <c r="AQ239" i="8"/>
  <c r="AM237" i="8"/>
  <c r="AJ235" i="8"/>
  <c r="AJ266" i="8"/>
  <c r="AF263" i="8"/>
  <c r="AJ259" i="8"/>
  <c r="AH256" i="8"/>
  <c r="AI253" i="8"/>
  <c r="AJ250" i="8"/>
  <c r="AN247" i="8"/>
  <c r="AH245" i="8"/>
  <c r="AJ242" i="8"/>
  <c r="AP239" i="8"/>
  <c r="AL237" i="8"/>
  <c r="AI235" i="8"/>
  <c r="AN269" i="8"/>
  <c r="AH266" i="8"/>
  <c r="AQ262" i="8"/>
  <c r="AI259" i="8"/>
  <c r="AF256" i="8"/>
  <c r="AH253" i="8"/>
  <c r="AI250" i="8"/>
  <c r="AM247" i="8"/>
  <c r="AG245" i="8"/>
  <c r="AI242" i="8"/>
  <c r="AO239" i="8"/>
  <c r="AK237" i="8"/>
  <c r="AH235" i="8"/>
  <c r="AL269" i="8"/>
  <c r="AF266" i="8"/>
  <c r="AP262" i="8"/>
  <c r="AH259" i="8"/>
  <c r="AO255" i="8"/>
  <c r="AG253" i="8"/>
  <c r="AH250" i="8"/>
  <c r="AL247" i="8"/>
  <c r="AF245" i="8"/>
  <c r="AH242" i="8"/>
  <c r="AN239" i="8"/>
  <c r="AJ237" i="8"/>
  <c r="AG235" i="8"/>
  <c r="AK269" i="8"/>
  <c r="AN265" i="8"/>
  <c r="AJ262" i="8"/>
  <c r="AG259" i="8"/>
  <c r="AN255" i="8"/>
  <c r="AF253" i="8"/>
  <c r="AF250" i="8"/>
  <c r="AK247" i="8"/>
  <c r="AQ244" i="8"/>
  <c r="AF242" i="8"/>
  <c r="AM239" i="8"/>
  <c r="AI237" i="8"/>
  <c r="AF235" i="8"/>
  <c r="AJ269" i="8"/>
  <c r="AL265" i="8"/>
  <c r="AI262" i="8"/>
  <c r="AF259" i="8"/>
  <c r="AL255" i="8"/>
  <c r="AQ252" i="8"/>
  <c r="AP249" i="8"/>
  <c r="AJ247" i="8"/>
  <c r="AP244" i="8"/>
  <c r="AP241" i="8"/>
  <c r="AL239" i="8"/>
  <c r="AH237" i="8"/>
  <c r="AQ234" i="8"/>
  <c r="AI269" i="8"/>
  <c r="AK265" i="8"/>
  <c r="AH262" i="8"/>
  <c r="AQ258" i="8"/>
  <c r="AK255" i="8"/>
  <c r="AP252" i="8"/>
  <c r="AO249" i="8"/>
  <c r="AI247" i="8"/>
  <c r="AL244" i="8"/>
  <c r="AO241" i="8"/>
  <c r="AK239" i="8"/>
  <c r="AG237" i="8"/>
  <c r="AP234" i="8"/>
  <c r="W10" i="8"/>
  <c r="S27" i="8"/>
  <c r="Z50" i="8"/>
  <c r="W94" i="8"/>
  <c r="AG7" i="8"/>
  <c r="AI9" i="8"/>
  <c r="AJ11" i="8"/>
  <c r="AK13" i="8"/>
  <c r="AL15" i="8"/>
  <c r="AM17" i="8"/>
  <c r="AN19" i="8"/>
  <c r="AO21" i="8"/>
  <c r="AP23" i="8"/>
  <c r="AQ25" i="8"/>
  <c r="AF28" i="8"/>
  <c r="AG30" i="8"/>
  <c r="AH32" i="8"/>
  <c r="AI34" i="8"/>
  <c r="AJ36" i="8"/>
  <c r="AK38" i="8"/>
  <c r="AL40" i="8"/>
  <c r="AK85" i="8"/>
  <c r="AK89" i="8"/>
  <c r="AK93" i="8"/>
  <c r="AM97" i="8"/>
  <c r="AK103" i="8"/>
  <c r="AI111" i="8"/>
  <c r="AN127" i="8"/>
  <c r="CS306" i="8"/>
  <c r="CS304" i="8"/>
  <c r="CR306" i="8"/>
  <c r="CM307" i="8"/>
  <c r="CK305" i="8"/>
  <c r="CJ303" i="8"/>
  <c r="CJ301" i="8"/>
  <c r="CJ299" i="8"/>
  <c r="CJ297" i="8"/>
  <c r="CJ295" i="8"/>
  <c r="CJ293" i="8"/>
  <c r="CJ291" i="8"/>
  <c r="CJ289" i="8"/>
  <c r="CJ287" i="8"/>
  <c r="CJ285" i="8"/>
  <c r="CJ283" i="8"/>
  <c r="CJ281" i="8"/>
  <c r="CJ279" i="8"/>
  <c r="CJ277" i="8"/>
  <c r="CJ275" i="8"/>
  <c r="CJ273" i="8"/>
  <c r="CL307" i="8"/>
  <c r="CJ305" i="8"/>
  <c r="CU302" i="8"/>
  <c r="CU300" i="8"/>
  <c r="CU298" i="8"/>
  <c r="CU296" i="8"/>
  <c r="CU294" i="8"/>
  <c r="CU292" i="8"/>
  <c r="CU290" i="8"/>
  <c r="CU288" i="8"/>
  <c r="CU286" i="8"/>
  <c r="CU284" i="8"/>
  <c r="CU282" i="8"/>
  <c r="CU280" i="8"/>
  <c r="CU278" i="8"/>
  <c r="CU276" i="8"/>
  <c r="CU274" i="8"/>
  <c r="CU272" i="8"/>
  <c r="CK307" i="8"/>
  <c r="CU304" i="8"/>
  <c r="CT302" i="8"/>
  <c r="CT300" i="8"/>
  <c r="CT298" i="8"/>
  <c r="CT296" i="8"/>
  <c r="CT294" i="8"/>
  <c r="CT292" i="8"/>
  <c r="CT290" i="8"/>
  <c r="CT288" i="8"/>
  <c r="CT286" i="8"/>
  <c r="CT284" i="8"/>
  <c r="CT282" i="8"/>
  <c r="CT280" i="8"/>
  <c r="CT278" i="8"/>
  <c r="CT276" i="8"/>
  <c r="CT274" i="8"/>
  <c r="CT272" i="8"/>
  <c r="CJ307" i="8"/>
  <c r="CT304" i="8"/>
  <c r="CS302" i="8"/>
  <c r="CS300" i="8"/>
  <c r="CS298" i="8"/>
  <c r="CS296" i="8"/>
  <c r="CS294" i="8"/>
  <c r="CS292" i="8"/>
  <c r="CS290" i="8"/>
  <c r="CS288" i="8"/>
  <c r="CS286" i="8"/>
  <c r="CS284" i="8"/>
  <c r="CS282" i="8"/>
  <c r="CS280" i="8"/>
  <c r="CS278" i="8"/>
  <c r="CS276" i="8"/>
  <c r="CS274" i="8"/>
  <c r="CS272" i="8"/>
  <c r="CU306" i="8"/>
  <c r="CR304" i="8"/>
  <c r="CR302" i="8"/>
  <c r="CR300" i="8"/>
  <c r="CR298" i="8"/>
  <c r="CR296" i="8"/>
  <c r="CR294" i="8"/>
  <c r="CR292" i="8"/>
  <c r="CR290" i="8"/>
  <c r="CR288" i="8"/>
  <c r="CR286" i="8"/>
  <c r="CR284" i="8"/>
  <c r="CR282" i="8"/>
  <c r="CR280" i="8"/>
  <c r="CR278" i="8"/>
  <c r="CR276" i="8"/>
  <c r="CR274" i="8"/>
  <c r="CR272" i="8"/>
  <c r="CT306" i="8"/>
  <c r="CQ304" i="8"/>
  <c r="CQ302" i="8"/>
  <c r="CQ300" i="8"/>
  <c r="CQ298" i="8"/>
  <c r="CQ296" i="8"/>
  <c r="CQ294" i="8"/>
  <c r="CQ292" i="8"/>
  <c r="CQ290" i="8"/>
  <c r="CQ288" i="8"/>
  <c r="CQ286" i="8"/>
  <c r="CQ284" i="8"/>
  <c r="CQ282" i="8"/>
  <c r="CQ280" i="8"/>
  <c r="CQ278" i="8"/>
  <c r="CQ276" i="8"/>
  <c r="CQ274" i="8"/>
  <c r="CQ272" i="8"/>
  <c r="CQ306" i="8"/>
  <c r="CP304" i="8"/>
  <c r="CP302" i="8"/>
  <c r="CP300" i="8"/>
  <c r="CP298" i="8"/>
  <c r="CP296" i="8"/>
  <c r="CP294" i="8"/>
  <c r="CP292" i="8"/>
  <c r="CP290" i="8"/>
  <c r="CP288" i="8"/>
  <c r="CP286" i="8"/>
  <c r="CP284" i="8"/>
  <c r="CP282" i="8"/>
  <c r="CP280" i="8"/>
  <c r="CP278" i="8"/>
  <c r="CP276" i="8"/>
  <c r="CP274" i="8"/>
  <c r="CP272" i="8"/>
  <c r="CP306" i="8"/>
  <c r="CO304" i="8"/>
  <c r="CO302" i="8"/>
  <c r="CO300" i="8"/>
  <c r="CO298" i="8"/>
  <c r="CO296" i="8"/>
  <c r="CO294" i="8"/>
  <c r="CO292" i="8"/>
  <c r="CO290" i="8"/>
  <c r="CO288" i="8"/>
  <c r="CO286" i="8"/>
  <c r="CO284" i="8"/>
  <c r="CO282" i="8"/>
  <c r="CO280" i="8"/>
  <c r="CO278" i="8"/>
  <c r="CO276" i="8"/>
  <c r="CO274" i="8"/>
  <c r="CO272" i="8"/>
  <c r="CO306" i="8"/>
  <c r="CN304" i="8"/>
  <c r="CN302" i="8"/>
  <c r="CN300" i="8"/>
  <c r="CN298" i="8"/>
  <c r="CN296" i="8"/>
  <c r="CN294" i="8"/>
  <c r="CN292" i="8"/>
  <c r="CN290" i="8"/>
  <c r="CN288" i="8"/>
  <c r="CN286" i="8"/>
  <c r="CN284" i="8"/>
  <c r="CN282" i="8"/>
  <c r="CN280" i="8"/>
  <c r="CN278" i="8"/>
  <c r="CN276" i="8"/>
  <c r="CN274" i="8"/>
  <c r="CN272" i="8"/>
  <c r="CN306" i="8"/>
  <c r="CM304" i="8"/>
  <c r="CM302" i="8"/>
  <c r="CM300" i="8"/>
  <c r="CM298" i="8"/>
  <c r="CM296" i="8"/>
  <c r="CM294" i="8"/>
  <c r="CM292" i="8"/>
  <c r="CM290" i="8"/>
  <c r="CM288" i="8"/>
  <c r="CM286" i="8"/>
  <c r="CM284" i="8"/>
  <c r="CM282" i="8"/>
  <c r="CM280" i="8"/>
  <c r="CM278" i="8"/>
  <c r="CM276" i="8"/>
  <c r="CM274" i="8"/>
  <c r="CM272" i="8"/>
  <c r="CM306" i="8"/>
  <c r="CL304" i="8"/>
  <c r="CL302" i="8"/>
  <c r="CL300" i="8"/>
  <c r="CL298" i="8"/>
  <c r="CL296" i="8"/>
  <c r="CL294" i="8"/>
  <c r="CL292" i="8"/>
  <c r="CL290" i="8"/>
  <c r="CL288" i="8"/>
  <c r="CL286" i="8"/>
  <c r="CL284" i="8"/>
  <c r="CL282" i="8"/>
  <c r="CL280" i="8"/>
  <c r="CL278" i="8"/>
  <c r="CL276" i="8"/>
  <c r="CL274" i="8"/>
  <c r="CL272" i="8"/>
  <c r="CL306" i="8"/>
  <c r="CK304" i="8"/>
  <c r="CK302" i="8"/>
  <c r="CK300" i="8"/>
  <c r="CK298" i="8"/>
  <c r="CK296" i="8"/>
  <c r="CK294" i="8"/>
  <c r="CK292" i="8"/>
  <c r="CK290" i="8"/>
  <c r="CK288" i="8"/>
  <c r="CK286" i="8"/>
  <c r="CK284" i="8"/>
  <c r="CK282" i="8"/>
  <c r="CK280" i="8"/>
  <c r="CK278" i="8"/>
  <c r="CK276" i="8"/>
  <c r="CK274" i="8"/>
  <c r="CK272" i="8"/>
  <c r="CK306" i="8"/>
  <c r="CJ304" i="8"/>
  <c r="CJ302" i="8"/>
  <c r="CJ300" i="8"/>
  <c r="CJ298" i="8"/>
  <c r="CJ296" i="8"/>
  <c r="CJ294" i="8"/>
  <c r="CJ292" i="8"/>
  <c r="CJ290" i="8"/>
  <c r="CJ288" i="8"/>
  <c r="CJ286" i="8"/>
  <c r="CJ284" i="8"/>
  <c r="CJ282" i="8"/>
  <c r="CJ280" i="8"/>
  <c r="CJ278" i="8"/>
  <c r="CJ276" i="8"/>
  <c r="CJ274" i="8"/>
  <c r="CJ272" i="8"/>
  <c r="CJ306" i="8"/>
  <c r="CU303" i="8"/>
  <c r="CU301" i="8"/>
  <c r="CU299" i="8"/>
  <c r="CU297" i="8"/>
  <c r="CU295" i="8"/>
  <c r="CU293" i="8"/>
  <c r="CU291" i="8"/>
  <c r="CU289" i="8"/>
  <c r="CU287" i="8"/>
  <c r="CU285" i="8"/>
  <c r="CU283" i="8"/>
  <c r="CU281" i="8"/>
  <c r="CU279" i="8"/>
  <c r="CU277" i="8"/>
  <c r="CU275" i="8"/>
  <c r="CU273" i="8"/>
  <c r="CU305" i="8"/>
  <c r="CT303" i="8"/>
  <c r="CT301" i="8"/>
  <c r="CT299" i="8"/>
  <c r="CT297" i="8"/>
  <c r="CT295" i="8"/>
  <c r="CT293" i="8"/>
  <c r="CT291" i="8"/>
  <c r="CT289" i="8"/>
  <c r="CT287" i="8"/>
  <c r="CT285" i="8"/>
  <c r="CT283" i="8"/>
  <c r="CT281" i="8"/>
  <c r="CT279" i="8"/>
  <c r="CT277" i="8"/>
  <c r="CT275" i="8"/>
  <c r="CT273" i="8"/>
  <c r="CT305" i="8"/>
  <c r="CS303" i="8"/>
  <c r="CS301" i="8"/>
  <c r="CS299" i="8"/>
  <c r="CS297" i="8"/>
  <c r="CS295" i="8"/>
  <c r="CS293" i="8"/>
  <c r="CS291" i="8"/>
  <c r="CS289" i="8"/>
  <c r="CS287" i="8"/>
  <c r="CS285" i="8"/>
  <c r="CS283" i="8"/>
  <c r="CS281" i="8"/>
  <c r="CS279" i="8"/>
  <c r="CS277" i="8"/>
  <c r="CS275" i="8"/>
  <c r="CS273" i="8"/>
  <c r="CU307" i="8"/>
  <c r="CS305" i="8"/>
  <c r="CR303" i="8"/>
  <c r="CR301" i="8"/>
  <c r="CR299" i="8"/>
  <c r="CR297" i="8"/>
  <c r="CR295" i="8"/>
  <c r="CR293" i="8"/>
  <c r="CR291" i="8"/>
  <c r="CR289" i="8"/>
  <c r="CR287" i="8"/>
  <c r="CR285" i="8"/>
  <c r="CR283" i="8"/>
  <c r="CR281" i="8"/>
  <c r="CR279" i="8"/>
  <c r="CR277" i="8"/>
  <c r="CR275" i="8"/>
  <c r="CR273" i="8"/>
  <c r="CT307" i="8"/>
  <c r="CR305" i="8"/>
  <c r="CQ303" i="8"/>
  <c r="CQ301" i="8"/>
  <c r="CQ299" i="8"/>
  <c r="CQ297" i="8"/>
  <c r="CQ295" i="8"/>
  <c r="CQ293" i="8"/>
  <c r="CQ291" i="8"/>
  <c r="CQ289" i="8"/>
  <c r="CQ287" i="8"/>
  <c r="CQ285" i="8"/>
  <c r="CQ283" i="8"/>
  <c r="CQ281" i="8"/>
  <c r="CQ279" i="8"/>
  <c r="CQ277" i="8"/>
  <c r="CQ275" i="8"/>
  <c r="CQ273" i="8"/>
  <c r="CS307" i="8"/>
  <c r="CQ305" i="8"/>
  <c r="CP303" i="8"/>
  <c r="CP301" i="8"/>
  <c r="CP299" i="8"/>
  <c r="CP297" i="8"/>
  <c r="CP295" i="8"/>
  <c r="CP293" i="8"/>
  <c r="CP291" i="8"/>
  <c r="CP289" i="8"/>
  <c r="CP287" i="8"/>
  <c r="CP285" i="8"/>
  <c r="CP283" i="8"/>
  <c r="CP281" i="8"/>
  <c r="CP279" i="8"/>
  <c r="CP277" i="8"/>
  <c r="CP275" i="8"/>
  <c r="CP273" i="8"/>
  <c r="CR307" i="8"/>
  <c r="CP305" i="8"/>
  <c r="CO303" i="8"/>
  <c r="CO301" i="8"/>
  <c r="CO299" i="8"/>
  <c r="CO297" i="8"/>
  <c r="CO295" i="8"/>
  <c r="CO293" i="8"/>
  <c r="CO291" i="8"/>
  <c r="CO289" i="8"/>
  <c r="CO287" i="8"/>
  <c r="CO285" i="8"/>
  <c r="CO283" i="8"/>
  <c r="CO281" i="8"/>
  <c r="CO279" i="8"/>
  <c r="CO277" i="8"/>
  <c r="CO275" i="8"/>
  <c r="CO273" i="8"/>
  <c r="CQ307" i="8"/>
  <c r="CO305" i="8"/>
  <c r="CN303" i="8"/>
  <c r="CN301" i="8"/>
  <c r="CN299" i="8"/>
  <c r="CN297" i="8"/>
  <c r="CN295" i="8"/>
  <c r="CN293" i="8"/>
  <c r="CN291" i="8"/>
  <c r="CN289" i="8"/>
  <c r="CN287" i="8"/>
  <c r="CN285" i="8"/>
  <c r="CN283" i="8"/>
  <c r="CN281" i="8"/>
  <c r="CP307" i="8"/>
  <c r="CN305" i="8"/>
  <c r="CM303" i="8"/>
  <c r="CM301" i="8"/>
  <c r="CM299" i="8"/>
  <c r="CM297" i="8"/>
  <c r="CM295" i="8"/>
  <c r="CM293" i="8"/>
  <c r="CM291" i="8"/>
  <c r="CM289" i="8"/>
  <c r="CM287" i="8"/>
  <c r="CM285" i="8"/>
  <c r="CM283" i="8"/>
  <c r="CM281" i="8"/>
  <c r="CM279" i="8"/>
  <c r="CM277" i="8"/>
  <c r="CM275" i="8"/>
  <c r="CM273" i="8"/>
  <c r="CO307" i="8"/>
  <c r="CM305" i="8"/>
  <c r="CL303" i="8"/>
  <c r="CL301" i="8"/>
  <c r="CL299" i="8"/>
  <c r="CL297" i="8"/>
  <c r="CL295" i="8"/>
  <c r="CL293" i="8"/>
  <c r="CL291" i="8"/>
  <c r="CL289" i="8"/>
  <c r="CL287" i="8"/>
  <c r="CL285" i="8"/>
  <c r="CL283" i="8"/>
  <c r="CL281" i="8"/>
  <c r="CL279" i="8"/>
  <c r="CL277" i="8"/>
  <c r="CL275" i="8"/>
  <c r="CL273" i="8"/>
  <c r="CN307" i="8"/>
  <c r="CL305" i="8"/>
  <c r="CK303" i="8"/>
  <c r="CK301" i="8"/>
  <c r="CK299" i="8"/>
  <c r="CK297" i="8"/>
  <c r="CK295" i="8"/>
  <c r="CK293" i="8"/>
  <c r="CK291" i="8"/>
  <c r="CK289" i="8"/>
  <c r="CK287" i="8"/>
  <c r="CK285" i="8"/>
  <c r="CK283" i="8"/>
  <c r="CK281" i="8"/>
  <c r="CK279" i="8"/>
  <c r="CK277" i="8"/>
  <c r="CK275" i="8"/>
  <c r="CK273" i="8"/>
  <c r="CN279" i="8"/>
  <c r="CN277" i="8"/>
  <c r="CN275" i="8"/>
  <c r="CN273" i="8"/>
  <c r="CB307" i="8"/>
  <c r="CB305" i="8"/>
  <c r="CB303" i="8"/>
  <c r="CB301" i="8"/>
  <c r="CB299" i="8"/>
  <c r="CB297" i="8"/>
  <c r="CB295" i="8"/>
  <c r="CB293" i="8"/>
  <c r="CB291" i="8"/>
  <c r="CB289" i="8"/>
  <c r="CB287" i="8"/>
  <c r="CB285" i="8"/>
  <c r="CB283" i="8"/>
  <c r="CB281" i="8"/>
  <c r="CB279" i="8"/>
  <c r="CB277" i="8"/>
  <c r="CB275" i="8"/>
  <c r="CB273" i="8"/>
  <c r="CA307" i="8"/>
  <c r="CA305" i="8"/>
  <c r="CA303" i="8"/>
  <c r="CA301" i="8"/>
  <c r="CA299" i="8"/>
  <c r="CA297" i="8"/>
  <c r="CA295" i="8"/>
  <c r="CA293" i="8"/>
  <c r="CA291" i="8"/>
  <c r="CA289" i="8"/>
  <c r="CA287" i="8"/>
  <c r="CA285" i="8"/>
  <c r="CA283" i="8"/>
  <c r="CA281" i="8"/>
  <c r="CA279" i="8"/>
  <c r="CA277" i="8"/>
  <c r="CA275" i="8"/>
  <c r="CA273" i="8"/>
  <c r="BZ307" i="8"/>
  <c r="BZ305" i="8"/>
  <c r="BZ303" i="8"/>
  <c r="BZ301" i="8"/>
  <c r="BZ299" i="8"/>
  <c r="BZ297" i="8"/>
  <c r="BZ295" i="8"/>
  <c r="BZ293" i="8"/>
  <c r="BZ291" i="8"/>
  <c r="BZ289" i="8"/>
  <c r="BZ287" i="8"/>
  <c r="BZ285" i="8"/>
  <c r="BZ283" i="8"/>
  <c r="BZ281" i="8"/>
  <c r="BZ279" i="8"/>
  <c r="BZ277" i="8"/>
  <c r="BZ275" i="8"/>
  <c r="BZ273" i="8"/>
  <c r="BY307" i="8"/>
  <c r="BY305" i="8"/>
  <c r="BY303" i="8"/>
  <c r="BY301" i="8"/>
  <c r="BY299" i="8"/>
  <c r="BY297" i="8"/>
  <c r="BY295" i="8"/>
  <c r="BY293" i="8"/>
  <c r="BY291" i="8"/>
  <c r="BY289" i="8"/>
  <c r="BY287" i="8"/>
  <c r="BY285" i="8"/>
  <c r="BY283" i="8"/>
  <c r="BY281" i="8"/>
  <c r="BY279" i="8"/>
  <c r="BY277" i="8"/>
  <c r="BY275" i="8"/>
  <c r="BY273" i="8"/>
  <c r="BX307" i="8"/>
  <c r="BX305" i="8"/>
  <c r="BX303" i="8"/>
  <c r="BX301" i="8"/>
  <c r="BX299" i="8"/>
  <c r="BX297" i="8"/>
  <c r="BX295" i="8"/>
  <c r="BX293" i="8"/>
  <c r="BX291" i="8"/>
  <c r="BX289" i="8"/>
  <c r="BX287" i="8"/>
  <c r="BX285" i="8"/>
  <c r="BX283" i="8"/>
  <c r="BX281" i="8"/>
  <c r="BX279" i="8"/>
  <c r="BX277" i="8"/>
  <c r="BX275" i="8"/>
  <c r="BX273" i="8"/>
  <c r="BW307" i="8"/>
  <c r="BW305" i="8"/>
  <c r="BW303" i="8"/>
  <c r="BW301" i="8"/>
  <c r="BW299" i="8"/>
  <c r="BW297" i="8"/>
  <c r="BW295" i="8"/>
  <c r="BW293" i="8"/>
  <c r="BW291" i="8"/>
  <c r="BW289" i="8"/>
  <c r="BW287" i="8"/>
  <c r="BW285" i="8"/>
  <c r="BW283" i="8"/>
  <c r="BW281" i="8"/>
  <c r="BW279" i="8"/>
  <c r="BW277" i="8"/>
  <c r="BW275" i="8"/>
  <c r="BW273" i="8"/>
  <c r="BV307" i="8"/>
  <c r="BV305" i="8"/>
  <c r="BV303" i="8"/>
  <c r="BV301" i="8"/>
  <c r="BV299" i="8"/>
  <c r="BV297" i="8"/>
  <c r="BV295" i="8"/>
  <c r="BV293" i="8"/>
  <c r="BV291" i="8"/>
  <c r="BV289" i="8"/>
  <c r="BV287" i="8"/>
  <c r="BV285" i="8"/>
  <c r="BV283" i="8"/>
  <c r="BV281" i="8"/>
  <c r="BV279" i="8"/>
  <c r="BV277" i="8"/>
  <c r="BV275" i="8"/>
  <c r="BV273" i="8"/>
  <c r="CG306" i="8"/>
  <c r="CG304" i="8"/>
  <c r="CG302" i="8"/>
  <c r="CG300" i="8"/>
  <c r="CG298" i="8"/>
  <c r="CG296" i="8"/>
  <c r="CG294" i="8"/>
  <c r="CG292" i="8"/>
  <c r="CG290" i="8"/>
  <c r="CG288" i="8"/>
  <c r="CG286" i="8"/>
  <c r="CG284" i="8"/>
  <c r="CG282" i="8"/>
  <c r="CG280" i="8"/>
  <c r="CG278" i="8"/>
  <c r="CG276" i="8"/>
  <c r="CG274" i="8"/>
  <c r="CG272" i="8"/>
  <c r="CF306" i="8"/>
  <c r="CF304" i="8"/>
  <c r="CF302" i="8"/>
  <c r="CF300" i="8"/>
  <c r="CF298" i="8"/>
  <c r="CF296" i="8"/>
  <c r="CF294" i="8"/>
  <c r="CF292" i="8"/>
  <c r="CF290" i="8"/>
  <c r="CF288" i="8"/>
  <c r="CF286" i="8"/>
  <c r="CF284" i="8"/>
  <c r="CF282" i="8"/>
  <c r="CF280" i="8"/>
  <c r="CF278" i="8"/>
  <c r="CF276" i="8"/>
  <c r="CF274" i="8"/>
  <c r="CF272" i="8"/>
  <c r="CE306" i="8"/>
  <c r="CE304" i="8"/>
  <c r="CE302" i="8"/>
  <c r="CE300" i="8"/>
  <c r="CE298" i="8"/>
  <c r="CE296" i="8"/>
  <c r="CE294" i="8"/>
  <c r="CE292" i="8"/>
  <c r="CE290" i="8"/>
  <c r="CE288" i="8"/>
  <c r="CE286" i="8"/>
  <c r="CE284" i="8"/>
  <c r="CE282" i="8"/>
  <c r="CE280" i="8"/>
  <c r="CE278" i="8"/>
  <c r="CE276" i="8"/>
  <c r="CE274" i="8"/>
  <c r="CE272" i="8"/>
  <c r="CD306" i="8"/>
  <c r="CD304" i="8"/>
  <c r="CD302" i="8"/>
  <c r="CD300" i="8"/>
  <c r="CD298" i="8"/>
  <c r="CD296" i="8"/>
  <c r="CD294" i="8"/>
  <c r="CD292" i="8"/>
  <c r="CD290" i="8"/>
  <c r="CD288" i="8"/>
  <c r="CD286" i="8"/>
  <c r="CD284" i="8"/>
  <c r="CD282" i="8"/>
  <c r="CD280" i="8"/>
  <c r="CD278" i="8"/>
  <c r="CD276" i="8"/>
  <c r="CD274" i="8"/>
  <c r="CD272" i="8"/>
  <c r="CC306" i="8"/>
  <c r="CC304" i="8"/>
  <c r="CC302" i="8"/>
  <c r="CC300" i="8"/>
  <c r="CC298" i="8"/>
  <c r="CC296" i="8"/>
  <c r="CC294" i="8"/>
  <c r="CC292" i="8"/>
  <c r="CC290" i="8"/>
  <c r="CC288" i="8"/>
  <c r="CC286" i="8"/>
  <c r="CC284" i="8"/>
  <c r="CC282" i="8"/>
  <c r="CC280" i="8"/>
  <c r="CC278" i="8"/>
  <c r="CC276" i="8"/>
  <c r="CC274" i="8"/>
  <c r="CC272" i="8"/>
  <c r="CB306" i="8"/>
  <c r="CB304" i="8"/>
  <c r="CB302" i="8"/>
  <c r="CB300" i="8"/>
  <c r="CB298" i="8"/>
  <c r="CB296" i="8"/>
  <c r="CB294" i="8"/>
  <c r="CB292" i="8"/>
  <c r="CB290" i="8"/>
  <c r="CB288" i="8"/>
  <c r="CB286" i="8"/>
  <c r="CB284" i="8"/>
  <c r="CB282" i="8"/>
  <c r="CB280" i="8"/>
  <c r="CB278" i="8"/>
  <c r="CB276" i="8"/>
  <c r="CB274" i="8"/>
  <c r="CB272" i="8"/>
  <c r="CA306" i="8"/>
  <c r="CA304" i="8"/>
  <c r="CA302" i="8"/>
  <c r="CA300" i="8"/>
  <c r="CA298" i="8"/>
  <c r="CA296" i="8"/>
  <c r="CA294" i="8"/>
  <c r="CA292" i="8"/>
  <c r="CA290" i="8"/>
  <c r="CA288" i="8"/>
  <c r="CA286" i="8"/>
  <c r="CA284" i="8"/>
  <c r="CA282" i="8"/>
  <c r="CA280" i="8"/>
  <c r="CA278" i="8"/>
  <c r="CA276" i="8"/>
  <c r="CA274" i="8"/>
  <c r="CA272" i="8"/>
  <c r="BZ306" i="8"/>
  <c r="BZ304" i="8"/>
  <c r="BZ302" i="8"/>
  <c r="BZ300" i="8"/>
  <c r="BZ298" i="8"/>
  <c r="BZ296" i="8"/>
  <c r="BZ294" i="8"/>
  <c r="BZ292" i="8"/>
  <c r="BZ290" i="8"/>
  <c r="BZ288" i="8"/>
  <c r="BZ286" i="8"/>
  <c r="BZ284" i="8"/>
  <c r="BZ282" i="8"/>
  <c r="BZ280" i="8"/>
  <c r="BZ278" i="8"/>
  <c r="BZ276" i="8"/>
  <c r="BZ274" i="8"/>
  <c r="BZ272" i="8"/>
  <c r="BY306" i="8"/>
  <c r="BY304" i="8"/>
  <c r="BY302" i="8"/>
  <c r="BY300" i="8"/>
  <c r="BY298" i="8"/>
  <c r="BY296" i="8"/>
  <c r="BY294" i="8"/>
  <c r="BY292" i="8"/>
  <c r="BY290" i="8"/>
  <c r="BY288" i="8"/>
  <c r="BY286" i="8"/>
  <c r="BY284" i="8"/>
  <c r="BY282" i="8"/>
  <c r="BY280" i="8"/>
  <c r="BY278" i="8"/>
  <c r="BY276" i="8"/>
  <c r="BY274" i="8"/>
  <c r="BY272" i="8"/>
  <c r="BX306" i="8"/>
  <c r="BX304" i="8"/>
  <c r="BX302" i="8"/>
  <c r="BX300" i="8"/>
  <c r="BX298" i="8"/>
  <c r="BX296" i="8"/>
  <c r="BX294" i="8"/>
  <c r="BX292" i="8"/>
  <c r="BX290" i="8"/>
  <c r="BX288" i="8"/>
  <c r="BX286" i="8"/>
  <c r="BX284" i="8"/>
  <c r="BX282" i="8"/>
  <c r="BX280" i="8"/>
  <c r="BX278" i="8"/>
  <c r="BX276" i="8"/>
  <c r="BX274" i="8"/>
  <c r="BX272" i="8"/>
  <c r="BW306" i="8"/>
  <c r="BW304" i="8"/>
  <c r="BW302" i="8"/>
  <c r="BW300" i="8"/>
  <c r="BW298" i="8"/>
  <c r="BW296" i="8"/>
  <c r="BW294" i="8"/>
  <c r="BW292" i="8"/>
  <c r="BW290" i="8"/>
  <c r="BW288" i="8"/>
  <c r="BW286" i="8"/>
  <c r="BW284" i="8"/>
  <c r="BW282" i="8"/>
  <c r="BW280" i="8"/>
  <c r="BW278" i="8"/>
  <c r="BW276" i="8"/>
  <c r="BW274" i="8"/>
  <c r="BW272" i="8"/>
  <c r="BV306" i="8"/>
  <c r="BV304" i="8"/>
  <c r="BV302" i="8"/>
  <c r="BV300" i="8"/>
  <c r="BV298" i="8"/>
  <c r="BV296" i="8"/>
  <c r="BV294" i="8"/>
  <c r="BV292" i="8"/>
  <c r="BV290" i="8"/>
  <c r="BV288" i="8"/>
  <c r="BV286" i="8"/>
  <c r="BV284" i="8"/>
  <c r="BV282" i="8"/>
  <c r="BV280" i="8"/>
  <c r="CG307" i="8"/>
  <c r="CG305" i="8"/>
  <c r="CG303" i="8"/>
  <c r="CG301" i="8"/>
  <c r="CG299" i="8"/>
  <c r="CG297" i="8"/>
  <c r="CG295" i="8"/>
  <c r="CG293" i="8"/>
  <c r="CG291" i="8"/>
  <c r="CG289" i="8"/>
  <c r="CG287" i="8"/>
  <c r="CG285" i="8"/>
  <c r="CG283" i="8"/>
  <c r="CG281" i="8"/>
  <c r="CG279" i="8"/>
  <c r="CG277" i="8"/>
  <c r="CG275" i="8"/>
  <c r="CG273" i="8"/>
  <c r="CF307" i="8"/>
  <c r="CF305" i="8"/>
  <c r="CF303" i="8"/>
  <c r="CF301" i="8"/>
  <c r="CF299" i="8"/>
  <c r="CF297" i="8"/>
  <c r="CF295" i="8"/>
  <c r="CF293" i="8"/>
  <c r="CF291" i="8"/>
  <c r="CF289" i="8"/>
  <c r="CF287" i="8"/>
  <c r="CF285" i="8"/>
  <c r="CE307" i="8"/>
  <c r="CE305" i="8"/>
  <c r="CE303" i="8"/>
  <c r="CE301" i="8"/>
  <c r="CE299" i="8"/>
  <c r="CE297" i="8"/>
  <c r="CE295" i="8"/>
  <c r="CE293" i="8"/>
  <c r="CE291" i="8"/>
  <c r="CE289" i="8"/>
  <c r="CE287" i="8"/>
  <c r="CE285" i="8"/>
  <c r="CE283" i="8"/>
  <c r="CC307" i="8"/>
  <c r="CC305" i="8"/>
  <c r="CC303" i="8"/>
  <c r="CC301" i="8"/>
  <c r="CC299" i="8"/>
  <c r="CC297" i="8"/>
  <c r="CC295" i="8"/>
  <c r="CC293" i="8"/>
  <c r="CC291" i="8"/>
  <c r="CC289" i="8"/>
  <c r="CC287" i="8"/>
  <c r="CC285" i="8"/>
  <c r="CC283" i="8"/>
  <c r="CF277" i="8"/>
  <c r="CD307" i="8"/>
  <c r="CE277" i="8"/>
  <c r="CD305" i="8"/>
  <c r="CD277" i="8"/>
  <c r="CD303" i="8"/>
  <c r="CC277" i="8"/>
  <c r="CD301" i="8"/>
  <c r="BV276" i="8"/>
  <c r="CD299" i="8"/>
  <c r="CF275" i="8"/>
  <c r="CD297" i="8"/>
  <c r="CE275" i="8"/>
  <c r="CD295" i="8"/>
  <c r="CD275" i="8"/>
  <c r="CD293" i="8"/>
  <c r="CC275" i="8"/>
  <c r="CD291" i="8"/>
  <c r="BV274" i="8"/>
  <c r="CD289" i="8"/>
  <c r="CF273" i="8"/>
  <c r="CD287" i="8"/>
  <c r="CE273" i="8"/>
  <c r="CD285" i="8"/>
  <c r="CD273" i="8"/>
  <c r="CF283" i="8"/>
  <c r="CC273" i="8"/>
  <c r="CD283" i="8"/>
  <c r="BV272" i="8"/>
  <c r="CF281" i="8"/>
  <c r="CE281" i="8"/>
  <c r="CD281" i="8"/>
  <c r="CC281" i="8"/>
  <c r="CF279" i="8"/>
  <c r="CE279" i="8"/>
  <c r="BV278" i="8"/>
  <c r="BM307" i="8"/>
  <c r="BM305" i="8"/>
  <c r="BM303" i="8"/>
  <c r="BM301" i="8"/>
  <c r="BM299" i="8"/>
  <c r="BM297" i="8"/>
  <c r="BM295" i="8"/>
  <c r="BM293" i="8"/>
  <c r="BM291" i="8"/>
  <c r="BM289" i="8"/>
  <c r="BM287" i="8"/>
  <c r="BM285" i="8"/>
  <c r="BM283" i="8"/>
  <c r="BM281" i="8"/>
  <c r="BM279" i="8"/>
  <c r="BM277" i="8"/>
  <c r="BM275" i="8"/>
  <c r="BM273" i="8"/>
  <c r="BL307" i="8"/>
  <c r="BL305" i="8"/>
  <c r="BL303" i="8"/>
  <c r="BL301" i="8"/>
  <c r="BL299" i="8"/>
  <c r="BL297" i="8"/>
  <c r="BL295" i="8"/>
  <c r="BL293" i="8"/>
  <c r="BL291" i="8"/>
  <c r="BL289" i="8"/>
  <c r="BL287" i="8"/>
  <c r="BL285" i="8"/>
  <c r="BL283" i="8"/>
  <c r="BL281" i="8"/>
  <c r="BL279" i="8"/>
  <c r="BL277" i="8"/>
  <c r="BL275" i="8"/>
  <c r="BL273" i="8"/>
  <c r="BK307" i="8"/>
  <c r="BK305" i="8"/>
  <c r="BK303" i="8"/>
  <c r="BK301" i="8"/>
  <c r="BK299" i="8"/>
  <c r="BK297" i="8"/>
  <c r="BK295" i="8"/>
  <c r="BK293" i="8"/>
  <c r="BK291" i="8"/>
  <c r="BK289" i="8"/>
  <c r="BK287" i="8"/>
  <c r="BK285" i="8"/>
  <c r="BK283" i="8"/>
  <c r="BK281" i="8"/>
  <c r="BK279" i="8"/>
  <c r="BK277" i="8"/>
  <c r="BK275" i="8"/>
  <c r="BK273" i="8"/>
  <c r="BJ307" i="8"/>
  <c r="BJ305" i="8"/>
  <c r="BJ303" i="8"/>
  <c r="BJ301" i="8"/>
  <c r="BJ299" i="8"/>
  <c r="BJ297" i="8"/>
  <c r="BJ295" i="8"/>
  <c r="BJ293" i="8"/>
  <c r="BJ291" i="8"/>
  <c r="BJ289" i="8"/>
  <c r="BJ287" i="8"/>
  <c r="BJ285" i="8"/>
  <c r="BJ283" i="8"/>
  <c r="BJ281" i="8"/>
  <c r="BJ279" i="8"/>
  <c r="BJ277" i="8"/>
  <c r="BJ275" i="8"/>
  <c r="BJ273" i="8"/>
  <c r="CD279" i="8"/>
  <c r="BI307" i="8"/>
  <c r="BI305" i="8"/>
  <c r="BI303" i="8"/>
  <c r="BI301" i="8"/>
  <c r="BI299" i="8"/>
  <c r="BI297" i="8"/>
  <c r="BI295" i="8"/>
  <c r="BI293" i="8"/>
  <c r="BI291" i="8"/>
  <c r="BI289" i="8"/>
  <c r="BI287" i="8"/>
  <c r="BI285" i="8"/>
  <c r="BI283" i="8"/>
  <c r="BI281" i="8"/>
  <c r="BI279" i="8"/>
  <c r="BI277" i="8"/>
  <c r="BI275" i="8"/>
  <c r="BI273" i="8"/>
  <c r="CC279" i="8"/>
  <c r="BH307" i="8"/>
  <c r="BH305" i="8"/>
  <c r="BH303" i="8"/>
  <c r="BH301" i="8"/>
  <c r="BH299" i="8"/>
  <c r="BH297" i="8"/>
  <c r="BH295" i="8"/>
  <c r="BH293" i="8"/>
  <c r="BH291" i="8"/>
  <c r="BH289" i="8"/>
  <c r="BH287" i="8"/>
  <c r="BH285" i="8"/>
  <c r="BH283" i="8"/>
  <c r="BH281" i="8"/>
  <c r="BH279" i="8"/>
  <c r="BH277" i="8"/>
  <c r="BH275" i="8"/>
  <c r="BH273" i="8"/>
  <c r="BS306" i="8"/>
  <c r="BS304" i="8"/>
  <c r="BS302" i="8"/>
  <c r="BS300" i="8"/>
  <c r="BS298" i="8"/>
  <c r="BS296" i="8"/>
  <c r="BS294" i="8"/>
  <c r="BS292" i="8"/>
  <c r="BS290" i="8"/>
  <c r="BS288" i="8"/>
  <c r="BS286" i="8"/>
  <c r="BS284" i="8"/>
  <c r="BS282" i="8"/>
  <c r="BS280" i="8"/>
  <c r="BS278" i="8"/>
  <c r="BS276" i="8"/>
  <c r="BS274" i="8"/>
  <c r="BS272" i="8"/>
  <c r="BR306" i="8"/>
  <c r="BR304" i="8"/>
  <c r="BR302" i="8"/>
  <c r="BR300" i="8"/>
  <c r="BR298" i="8"/>
  <c r="BR296" i="8"/>
  <c r="BR294" i="8"/>
  <c r="BR292" i="8"/>
  <c r="BR290" i="8"/>
  <c r="BR288" i="8"/>
  <c r="BR286" i="8"/>
  <c r="BQ306" i="8"/>
  <c r="BQ304" i="8"/>
  <c r="BQ302" i="8"/>
  <c r="BQ300" i="8"/>
  <c r="BQ298" i="8"/>
  <c r="BQ296" i="8"/>
  <c r="BQ294" i="8"/>
  <c r="BQ292" i="8"/>
  <c r="BQ290" i="8"/>
  <c r="BQ288" i="8"/>
  <c r="BQ286" i="8"/>
  <c r="BQ284" i="8"/>
  <c r="BQ282" i="8"/>
  <c r="BQ280" i="8"/>
  <c r="BQ278" i="8"/>
  <c r="BQ276" i="8"/>
  <c r="BP306" i="8"/>
  <c r="BP304" i="8"/>
  <c r="BP302" i="8"/>
  <c r="BP300" i="8"/>
  <c r="BP298" i="8"/>
  <c r="BP296" i="8"/>
  <c r="BP294" i="8"/>
  <c r="BP292" i="8"/>
  <c r="BP290" i="8"/>
  <c r="BP288" i="8"/>
  <c r="BP286" i="8"/>
  <c r="BP284" i="8"/>
  <c r="BP282" i="8"/>
  <c r="BP280" i="8"/>
  <c r="BP278" i="8"/>
  <c r="BP276" i="8"/>
  <c r="BP274" i="8"/>
  <c r="BP272" i="8"/>
  <c r="BO306" i="8"/>
  <c r="BO304" i="8"/>
  <c r="BO302" i="8"/>
  <c r="BO300" i="8"/>
  <c r="BO298" i="8"/>
  <c r="BO296" i="8"/>
  <c r="BO294" i="8"/>
  <c r="BO292" i="8"/>
  <c r="BO290" i="8"/>
  <c r="BO288" i="8"/>
  <c r="BO286" i="8"/>
  <c r="BO284" i="8"/>
  <c r="BO282" i="8"/>
  <c r="BO280" i="8"/>
  <c r="BO278" i="8"/>
  <c r="BO276" i="8"/>
  <c r="BO274" i="8"/>
  <c r="BO272" i="8"/>
  <c r="BN306" i="8"/>
  <c r="BN304" i="8"/>
  <c r="BN302" i="8"/>
  <c r="BN300" i="8"/>
  <c r="BN298" i="8"/>
  <c r="BN296" i="8"/>
  <c r="BN294" i="8"/>
  <c r="BN292" i="8"/>
  <c r="BN290" i="8"/>
  <c r="BN288" i="8"/>
  <c r="BN286" i="8"/>
  <c r="BN284" i="8"/>
  <c r="BN282" i="8"/>
  <c r="BN280" i="8"/>
  <c r="BN278" i="8"/>
  <c r="BM306" i="8"/>
  <c r="BM304" i="8"/>
  <c r="BM302" i="8"/>
  <c r="BM300" i="8"/>
  <c r="BM298" i="8"/>
  <c r="BM296" i="8"/>
  <c r="BM294" i="8"/>
  <c r="BM292" i="8"/>
  <c r="BM290" i="8"/>
  <c r="BM288" i="8"/>
  <c r="BM286" i="8"/>
  <c r="BM284" i="8"/>
  <c r="BM282" i="8"/>
  <c r="BM280" i="8"/>
  <c r="BM278" i="8"/>
  <c r="BM276" i="8"/>
  <c r="BM274" i="8"/>
  <c r="BM272" i="8"/>
  <c r="BL306" i="8"/>
  <c r="BL304" i="8"/>
  <c r="BL302" i="8"/>
  <c r="BL300" i="8"/>
  <c r="BL298" i="8"/>
  <c r="BL296" i="8"/>
  <c r="BL294" i="8"/>
  <c r="BL292" i="8"/>
  <c r="BL290" i="8"/>
  <c r="BL288" i="8"/>
  <c r="BL286" i="8"/>
  <c r="BL284" i="8"/>
  <c r="BL282" i="8"/>
  <c r="BL280" i="8"/>
  <c r="BL278" i="8"/>
  <c r="BL276" i="8"/>
  <c r="BL274" i="8"/>
  <c r="BL272" i="8"/>
  <c r="BK306" i="8"/>
  <c r="BK304" i="8"/>
  <c r="BK302" i="8"/>
  <c r="BK300" i="8"/>
  <c r="BK298" i="8"/>
  <c r="BK296" i="8"/>
  <c r="BK294" i="8"/>
  <c r="BK292" i="8"/>
  <c r="BK290" i="8"/>
  <c r="BK288" i="8"/>
  <c r="BK286" i="8"/>
  <c r="BK284" i="8"/>
  <c r="BK282" i="8"/>
  <c r="BK280" i="8"/>
  <c r="BK278" i="8"/>
  <c r="BK276" i="8"/>
  <c r="BK274" i="8"/>
  <c r="BK272" i="8"/>
  <c r="BJ306" i="8"/>
  <c r="BJ304" i="8"/>
  <c r="BJ302" i="8"/>
  <c r="BJ300" i="8"/>
  <c r="BJ298" i="8"/>
  <c r="BJ296" i="8"/>
  <c r="BJ294" i="8"/>
  <c r="BJ292" i="8"/>
  <c r="BJ290" i="8"/>
  <c r="BJ288" i="8"/>
  <c r="BJ286" i="8"/>
  <c r="BJ284" i="8"/>
  <c r="BJ282" i="8"/>
  <c r="BJ280" i="8"/>
  <c r="BJ278" i="8"/>
  <c r="BJ276" i="8"/>
  <c r="BJ274" i="8"/>
  <c r="BJ272" i="8"/>
  <c r="BI306" i="8"/>
  <c r="BI304" i="8"/>
  <c r="BI302" i="8"/>
  <c r="BI300" i="8"/>
  <c r="BI298" i="8"/>
  <c r="BI296" i="8"/>
  <c r="BI294" i="8"/>
  <c r="BI292" i="8"/>
  <c r="BI290" i="8"/>
  <c r="BI288" i="8"/>
  <c r="BI286" i="8"/>
  <c r="BI284" i="8"/>
  <c r="BI282" i="8"/>
  <c r="BI280" i="8"/>
  <c r="BH306" i="8"/>
  <c r="BH304" i="8"/>
  <c r="BH302" i="8"/>
  <c r="BH300" i="8"/>
  <c r="BH298" i="8"/>
  <c r="BH296" i="8"/>
  <c r="BH294" i="8"/>
  <c r="BH292" i="8"/>
  <c r="BH290" i="8"/>
  <c r="BH288" i="8"/>
  <c r="BH286" i="8"/>
  <c r="BH284" i="8"/>
  <c r="BH282" i="8"/>
  <c r="BH280" i="8"/>
  <c r="BH278" i="8"/>
  <c r="BH276" i="8"/>
  <c r="BH274" i="8"/>
  <c r="BH272" i="8"/>
  <c r="BS307" i="8"/>
  <c r="BS305" i="8"/>
  <c r="BS303" i="8"/>
  <c r="BS301" i="8"/>
  <c r="BS299" i="8"/>
  <c r="BS297" i="8"/>
  <c r="BS295" i="8"/>
  <c r="BS293" i="8"/>
  <c r="BS291" i="8"/>
  <c r="BR307" i="8"/>
  <c r="BR305" i="8"/>
  <c r="BR303" i="8"/>
  <c r="BR301" i="8"/>
  <c r="BR299" i="8"/>
  <c r="BR297" i="8"/>
  <c r="BR295" i="8"/>
  <c r="BR293" i="8"/>
  <c r="BR291" i="8"/>
  <c r="BR289" i="8"/>
  <c r="BR287" i="8"/>
  <c r="BR285" i="8"/>
  <c r="BQ307" i="8"/>
  <c r="BQ305" i="8"/>
  <c r="BQ303" i="8"/>
  <c r="BN307" i="8"/>
  <c r="BN305" i="8"/>
  <c r="BN303" i="8"/>
  <c r="BN301" i="8"/>
  <c r="BN299" i="8"/>
  <c r="BN297" i="8"/>
  <c r="BN295" i="8"/>
  <c r="BN293" i="8"/>
  <c r="BN291" i="8"/>
  <c r="BN289" i="8"/>
  <c r="BN287" i="8"/>
  <c r="BN285" i="8"/>
  <c r="BN283" i="8"/>
  <c r="BN281" i="8"/>
  <c r="BN279" i="8"/>
  <c r="BO301" i="8"/>
  <c r="BS285" i="8"/>
  <c r="BS277" i="8"/>
  <c r="BN273" i="8"/>
  <c r="BQ299" i="8"/>
  <c r="BQ285" i="8"/>
  <c r="BR277" i="8"/>
  <c r="BR272" i="8"/>
  <c r="BP299" i="8"/>
  <c r="BP285" i="8"/>
  <c r="BQ277" i="8"/>
  <c r="BQ272" i="8"/>
  <c r="BO299" i="8"/>
  <c r="BO285" i="8"/>
  <c r="BP277" i="8"/>
  <c r="BN272" i="8"/>
  <c r="BQ297" i="8"/>
  <c r="BR284" i="8"/>
  <c r="BO277" i="8"/>
  <c r="BI272" i="8"/>
  <c r="BP297" i="8"/>
  <c r="BS283" i="8"/>
  <c r="BN277" i="8"/>
  <c r="BO297" i="8"/>
  <c r="BR283" i="8"/>
  <c r="BR276" i="8"/>
  <c r="BQ295" i="8"/>
  <c r="BQ283" i="8"/>
  <c r="BN276" i="8"/>
  <c r="BP295" i="8"/>
  <c r="BP283" i="8"/>
  <c r="BI276" i="8"/>
  <c r="BO295" i="8"/>
  <c r="BO283" i="8"/>
  <c r="BS275" i="8"/>
  <c r="BQ293" i="8"/>
  <c r="BR282" i="8"/>
  <c r="BR275" i="8"/>
  <c r="BP293" i="8"/>
  <c r="BS281" i="8"/>
  <c r="BQ275" i="8"/>
  <c r="BO293" i="8"/>
  <c r="BR281" i="8"/>
  <c r="BP275" i="8"/>
  <c r="BQ291" i="8"/>
  <c r="BQ281" i="8"/>
  <c r="BO275" i="8"/>
  <c r="BP291" i="8"/>
  <c r="BP281" i="8"/>
  <c r="BN275" i="8"/>
  <c r="BO291" i="8"/>
  <c r="BO281" i="8"/>
  <c r="BR274" i="8"/>
  <c r="BP307" i="8"/>
  <c r="BS289" i="8"/>
  <c r="BR280" i="8"/>
  <c r="BQ274" i="8"/>
  <c r="BO307" i="8"/>
  <c r="BQ289" i="8"/>
  <c r="BS279" i="8"/>
  <c r="BN274" i="8"/>
  <c r="BP305" i="8"/>
  <c r="BP289" i="8"/>
  <c r="BR279" i="8"/>
  <c r="BI274" i="8"/>
  <c r="BO305" i="8"/>
  <c r="BO289" i="8"/>
  <c r="BQ279" i="8"/>
  <c r="BS273" i="8"/>
  <c r="BP303" i="8"/>
  <c r="BS287" i="8"/>
  <c r="BP279" i="8"/>
  <c r="BR273" i="8"/>
  <c r="BO303" i="8"/>
  <c r="BQ287" i="8"/>
  <c r="BO279" i="8"/>
  <c r="BQ273" i="8"/>
  <c r="BQ301" i="8"/>
  <c r="BP287" i="8"/>
  <c r="BR278" i="8"/>
  <c r="BP273" i="8"/>
  <c r="BP301" i="8"/>
  <c r="BO287" i="8"/>
  <c r="BI278" i="8"/>
  <c r="BO273" i="8"/>
  <c r="BA307" i="8"/>
  <c r="BA305" i="8"/>
  <c r="BA303" i="8"/>
  <c r="BA301" i="8"/>
  <c r="BA299" i="8"/>
  <c r="BA297" i="8"/>
  <c r="BA295" i="8"/>
  <c r="BA293" i="8"/>
  <c r="BA291" i="8"/>
  <c r="BA289" i="8"/>
  <c r="BA287" i="8"/>
  <c r="BA285" i="8"/>
  <c r="BA283" i="8"/>
  <c r="BA281" i="8"/>
  <c r="BA279" i="8"/>
  <c r="BA277" i="8"/>
  <c r="BA275" i="8"/>
  <c r="BA273" i="8"/>
  <c r="AZ307" i="8"/>
  <c r="AZ305" i="8"/>
  <c r="AZ303" i="8"/>
  <c r="AZ301" i="8"/>
  <c r="AZ299" i="8"/>
  <c r="AZ297" i="8"/>
  <c r="AZ295" i="8"/>
  <c r="AZ293" i="8"/>
  <c r="AZ291" i="8"/>
  <c r="AZ289" i="8"/>
  <c r="AZ287" i="8"/>
  <c r="AZ285" i="8"/>
  <c r="AZ283" i="8"/>
  <c r="AZ281" i="8"/>
  <c r="AZ279" i="8"/>
  <c r="AZ277" i="8"/>
  <c r="AZ275" i="8"/>
  <c r="AZ273" i="8"/>
  <c r="AY307" i="8"/>
  <c r="AY305" i="8"/>
  <c r="AY303" i="8"/>
  <c r="AY301" i="8"/>
  <c r="AY299" i="8"/>
  <c r="AY297" i="8"/>
  <c r="AY295" i="8"/>
  <c r="AY293" i="8"/>
  <c r="AY291" i="8"/>
  <c r="AY289" i="8"/>
  <c r="AY287" i="8"/>
  <c r="AY285" i="8"/>
  <c r="AY283" i="8"/>
  <c r="AY281" i="8"/>
  <c r="AY279" i="8"/>
  <c r="AY277" i="8"/>
  <c r="AY275" i="8"/>
  <c r="AY273" i="8"/>
  <c r="AX307" i="8"/>
  <c r="AX305" i="8"/>
  <c r="AX303" i="8"/>
  <c r="AX301" i="8"/>
  <c r="AX299" i="8"/>
  <c r="AX297" i="8"/>
  <c r="AX295" i="8"/>
  <c r="AX293" i="8"/>
  <c r="AX291" i="8"/>
  <c r="AX289" i="8"/>
  <c r="AX287" i="8"/>
  <c r="AX285" i="8"/>
  <c r="AX283" i="8"/>
  <c r="AX281" i="8"/>
  <c r="AX279" i="8"/>
  <c r="AX277" i="8"/>
  <c r="AX275" i="8"/>
  <c r="AX273" i="8"/>
  <c r="AW307" i="8"/>
  <c r="AW305" i="8"/>
  <c r="AW303" i="8"/>
  <c r="AW301" i="8"/>
  <c r="AW299" i="8"/>
  <c r="AW297" i="8"/>
  <c r="AW295" i="8"/>
  <c r="AW293" i="8"/>
  <c r="AW291" i="8"/>
  <c r="AW289" i="8"/>
  <c r="AW287" i="8"/>
  <c r="AW285" i="8"/>
  <c r="AW283" i="8"/>
  <c r="AW281" i="8"/>
  <c r="AW279" i="8"/>
  <c r="AW277" i="8"/>
  <c r="AW275" i="8"/>
  <c r="AW273" i="8"/>
  <c r="AV307" i="8"/>
  <c r="AV305" i="8"/>
  <c r="AV303" i="8"/>
  <c r="AV301" i="8"/>
  <c r="AV299" i="8"/>
  <c r="AV297" i="8"/>
  <c r="AV295" i="8"/>
  <c r="AV293" i="8"/>
  <c r="AV291" i="8"/>
  <c r="AV289" i="8"/>
  <c r="AV287" i="8"/>
  <c r="AV285" i="8"/>
  <c r="AV283" i="8"/>
  <c r="AV281" i="8"/>
  <c r="AV279" i="8"/>
  <c r="AV277" i="8"/>
  <c r="AV275" i="8"/>
  <c r="AV273" i="8"/>
  <c r="AU307" i="8"/>
  <c r="AU305" i="8"/>
  <c r="AU303" i="8"/>
  <c r="AU301" i="8"/>
  <c r="AU299" i="8"/>
  <c r="AU297" i="8"/>
  <c r="AU295" i="8"/>
  <c r="AU293" i="8"/>
  <c r="AU291" i="8"/>
  <c r="AU289" i="8"/>
  <c r="AU287" i="8"/>
  <c r="AU285" i="8"/>
  <c r="AU283" i="8"/>
  <c r="AU281" i="8"/>
  <c r="AU279" i="8"/>
  <c r="AU277" i="8"/>
  <c r="AU275" i="8"/>
  <c r="AU273" i="8"/>
  <c r="AT307" i="8"/>
  <c r="AT305" i="8"/>
  <c r="AT303" i="8"/>
  <c r="AT301" i="8"/>
  <c r="AT299" i="8"/>
  <c r="AT297" i="8"/>
  <c r="AT295" i="8"/>
  <c r="AT293" i="8"/>
  <c r="AT291" i="8"/>
  <c r="AT289" i="8"/>
  <c r="AT287" i="8"/>
  <c r="AT285" i="8"/>
  <c r="AT283" i="8"/>
  <c r="AT281" i="8"/>
  <c r="AT279" i="8"/>
  <c r="BE306" i="8"/>
  <c r="BE304" i="8"/>
  <c r="BE302" i="8"/>
  <c r="BE300" i="8"/>
  <c r="BE298" i="8"/>
  <c r="BE296" i="8"/>
  <c r="BE294" i="8"/>
  <c r="BE292" i="8"/>
  <c r="BE290" i="8"/>
  <c r="BE288" i="8"/>
  <c r="BE286" i="8"/>
  <c r="BE284" i="8"/>
  <c r="BE282" i="8"/>
  <c r="BE280" i="8"/>
  <c r="BE278" i="8"/>
  <c r="BE276" i="8"/>
  <c r="BE274" i="8"/>
  <c r="BE272" i="8"/>
  <c r="BD306" i="8"/>
  <c r="BD304" i="8"/>
  <c r="BD302" i="8"/>
  <c r="BD300" i="8"/>
  <c r="BD298" i="8"/>
  <c r="BD296" i="8"/>
  <c r="BD294" i="8"/>
  <c r="BD292" i="8"/>
  <c r="BD290" i="8"/>
  <c r="BD288" i="8"/>
  <c r="BD286" i="8"/>
  <c r="BD284" i="8"/>
  <c r="BD282" i="8"/>
  <c r="BD280" i="8"/>
  <c r="BD278" i="8"/>
  <c r="BD276" i="8"/>
  <c r="BD274" i="8"/>
  <c r="BD272" i="8"/>
  <c r="BC306" i="8"/>
  <c r="BC304" i="8"/>
  <c r="BC302" i="8"/>
  <c r="BC300" i="8"/>
  <c r="BC298" i="8"/>
  <c r="BC296" i="8"/>
  <c r="BC294" i="8"/>
  <c r="BC292" i="8"/>
  <c r="BC290" i="8"/>
  <c r="BC288" i="8"/>
  <c r="BC286" i="8"/>
  <c r="BC284" i="8"/>
  <c r="BC282" i="8"/>
  <c r="BC280" i="8"/>
  <c r="BC278" i="8"/>
  <c r="BC276" i="8"/>
  <c r="BC274" i="8"/>
  <c r="BC272" i="8"/>
  <c r="BB306" i="8"/>
  <c r="BB304" i="8"/>
  <c r="BB302" i="8"/>
  <c r="BB300" i="8"/>
  <c r="BB298" i="8"/>
  <c r="BB296" i="8"/>
  <c r="BB294" i="8"/>
  <c r="BB292" i="8"/>
  <c r="BB290" i="8"/>
  <c r="BB288" i="8"/>
  <c r="BB286" i="8"/>
  <c r="BB284" i="8"/>
  <c r="BB282" i="8"/>
  <c r="BB280" i="8"/>
  <c r="BB278" i="8"/>
  <c r="BA306" i="8"/>
  <c r="BA304" i="8"/>
  <c r="BA302" i="8"/>
  <c r="BA300" i="8"/>
  <c r="BA298" i="8"/>
  <c r="BA296" i="8"/>
  <c r="BA294" i="8"/>
  <c r="BA292" i="8"/>
  <c r="BA290" i="8"/>
  <c r="BA288" i="8"/>
  <c r="BA286" i="8"/>
  <c r="BA284" i="8"/>
  <c r="BA282" i="8"/>
  <c r="BA280" i="8"/>
  <c r="BA278" i="8"/>
  <c r="BA276" i="8"/>
  <c r="BA274" i="8"/>
  <c r="BA272" i="8"/>
  <c r="AZ306" i="8"/>
  <c r="AZ304" i="8"/>
  <c r="AZ302" i="8"/>
  <c r="AZ300" i="8"/>
  <c r="AZ298" i="8"/>
  <c r="AZ296" i="8"/>
  <c r="AZ294" i="8"/>
  <c r="AZ292" i="8"/>
  <c r="AZ290" i="8"/>
  <c r="AZ288" i="8"/>
  <c r="AZ286" i="8"/>
  <c r="AZ284" i="8"/>
  <c r="AZ282" i="8"/>
  <c r="AZ280" i="8"/>
  <c r="AZ278" i="8"/>
  <c r="AZ276" i="8"/>
  <c r="AY306" i="8"/>
  <c r="AY304" i="8"/>
  <c r="AY302" i="8"/>
  <c r="AY300" i="8"/>
  <c r="AY298" i="8"/>
  <c r="AY296" i="8"/>
  <c r="AY294" i="8"/>
  <c r="AY292" i="8"/>
  <c r="AY290" i="8"/>
  <c r="AY288" i="8"/>
  <c r="AY286" i="8"/>
  <c r="AY284" i="8"/>
  <c r="AY282" i="8"/>
  <c r="AY280" i="8"/>
  <c r="AY278" i="8"/>
  <c r="AY276" i="8"/>
  <c r="AY274" i="8"/>
  <c r="AY272" i="8"/>
  <c r="BE307" i="8"/>
  <c r="BE305" i="8"/>
  <c r="BE303" i="8"/>
  <c r="BB303" i="8"/>
  <c r="BE297" i="8"/>
  <c r="AV292" i="8"/>
  <c r="BB287" i="8"/>
  <c r="BE281" i="8"/>
  <c r="AX276" i="8"/>
  <c r="AX272" i="8"/>
  <c r="AX302" i="8"/>
  <c r="BD297" i="8"/>
  <c r="AU292" i="8"/>
  <c r="AX286" i="8"/>
  <c r="BD281" i="8"/>
  <c r="AW276" i="8"/>
  <c r="AW272" i="8"/>
  <c r="AW302" i="8"/>
  <c r="BC297" i="8"/>
  <c r="AT292" i="8"/>
  <c r="AW286" i="8"/>
  <c r="BC281" i="8"/>
  <c r="AV276" i="8"/>
  <c r="AV272" i="8"/>
  <c r="AV302" i="8"/>
  <c r="BB297" i="8"/>
  <c r="BE291" i="8"/>
  <c r="AV286" i="8"/>
  <c r="BB281" i="8"/>
  <c r="AU276" i="8"/>
  <c r="AU272" i="8"/>
  <c r="AU302" i="8"/>
  <c r="AX296" i="8"/>
  <c r="BD291" i="8"/>
  <c r="AU286" i="8"/>
  <c r="AX280" i="8"/>
  <c r="AT276" i="8"/>
  <c r="AT272" i="8"/>
  <c r="AT302" i="8"/>
  <c r="AW296" i="8"/>
  <c r="BC291" i="8"/>
  <c r="AT286" i="8"/>
  <c r="AW280" i="8"/>
  <c r="BE275" i="8"/>
  <c r="BD307" i="8"/>
  <c r="BE301" i="8"/>
  <c r="AV296" i="8"/>
  <c r="BB291" i="8"/>
  <c r="BE285" i="8"/>
  <c r="AV280" i="8"/>
  <c r="BD275" i="8"/>
  <c r="BC307" i="8"/>
  <c r="BD301" i="8"/>
  <c r="AU296" i="8"/>
  <c r="AX290" i="8"/>
  <c r="BD285" i="8"/>
  <c r="AU280" i="8"/>
  <c r="BC275" i="8"/>
  <c r="BB307" i="8"/>
  <c r="BC301" i="8"/>
  <c r="AT296" i="8"/>
  <c r="AW290" i="8"/>
  <c r="BC285" i="8"/>
  <c r="AT280" i="8"/>
  <c r="BB275" i="8"/>
  <c r="AX306" i="8"/>
  <c r="BB301" i="8"/>
  <c r="BE295" i="8"/>
  <c r="AV290" i="8"/>
  <c r="BB285" i="8"/>
  <c r="BE279" i="8"/>
  <c r="AT275" i="8"/>
  <c r="AW306" i="8"/>
  <c r="AX300" i="8"/>
  <c r="BD295" i="8"/>
  <c r="AU290" i="8"/>
  <c r="AX284" i="8"/>
  <c r="BD279" i="8"/>
  <c r="BB274" i="8"/>
  <c r="AV306" i="8"/>
  <c r="AW300" i="8"/>
  <c r="BC295" i="8"/>
  <c r="AT290" i="8"/>
  <c r="AW284" i="8"/>
  <c r="BC279" i="8"/>
  <c r="AZ274" i="8"/>
  <c r="AU306" i="8"/>
  <c r="AV300" i="8"/>
  <c r="BB295" i="8"/>
  <c r="BE289" i="8"/>
  <c r="AV284" i="8"/>
  <c r="BB279" i="8"/>
  <c r="AX274" i="8"/>
  <c r="AT306" i="8"/>
  <c r="AU300" i="8"/>
  <c r="AX294" i="8"/>
  <c r="BD289" i="8"/>
  <c r="AU284" i="8"/>
  <c r="AX278" i="8"/>
  <c r="AW274" i="8"/>
  <c r="BD305" i="8"/>
  <c r="AT300" i="8"/>
  <c r="AW294" i="8"/>
  <c r="BC289" i="8"/>
  <c r="AT284" i="8"/>
  <c r="AW278" i="8"/>
  <c r="AV274" i="8"/>
  <c r="BC305" i="8"/>
  <c r="BE299" i="8"/>
  <c r="AV294" i="8"/>
  <c r="BB289" i="8"/>
  <c r="BE283" i="8"/>
  <c r="AV278" i="8"/>
  <c r="AU274" i="8"/>
  <c r="BB305" i="8"/>
  <c r="BD299" i="8"/>
  <c r="AU294" i="8"/>
  <c r="AX288" i="8"/>
  <c r="BD283" i="8"/>
  <c r="AU278" i="8"/>
  <c r="AT274" i="8"/>
  <c r="AX304" i="8"/>
  <c r="BC299" i="8"/>
  <c r="AT294" i="8"/>
  <c r="AW288" i="8"/>
  <c r="BC283" i="8"/>
  <c r="AT278" i="8"/>
  <c r="BE273" i="8"/>
  <c r="AW304" i="8"/>
  <c r="BB299" i="8"/>
  <c r="BE293" i="8"/>
  <c r="AV288" i="8"/>
  <c r="BB283" i="8"/>
  <c r="BE277" i="8"/>
  <c r="BD273" i="8"/>
  <c r="AV304" i="8"/>
  <c r="AX298" i="8"/>
  <c r="BD293" i="8"/>
  <c r="AU288" i="8"/>
  <c r="AX282" i="8"/>
  <c r="BD277" i="8"/>
  <c r="BC273" i="8"/>
  <c r="AU304" i="8"/>
  <c r="AW298" i="8"/>
  <c r="BC293" i="8"/>
  <c r="AT288" i="8"/>
  <c r="AW282" i="8"/>
  <c r="BC277" i="8"/>
  <c r="BB273" i="8"/>
  <c r="AT304" i="8"/>
  <c r="AV298" i="8"/>
  <c r="BB293" i="8"/>
  <c r="BE287" i="8"/>
  <c r="AV282" i="8"/>
  <c r="BB277" i="8"/>
  <c r="AT273" i="8"/>
  <c r="BC303" i="8"/>
  <c r="AT298" i="8"/>
  <c r="AW292" i="8"/>
  <c r="BC287" i="8"/>
  <c r="AT282" i="8"/>
  <c r="BB276" i="8"/>
  <c r="AZ272" i="8"/>
  <c r="AO306" i="8"/>
  <c r="AO304" i="8"/>
  <c r="AO302" i="8"/>
  <c r="AO300" i="8"/>
  <c r="AO298" i="8"/>
  <c r="AO296" i="8"/>
  <c r="AO294" i="8"/>
  <c r="AO292" i="8"/>
  <c r="AO290" i="8"/>
  <c r="AO288" i="8"/>
  <c r="AO286" i="8"/>
  <c r="AO284" i="8"/>
  <c r="AO282" i="8"/>
  <c r="AO280" i="8"/>
  <c r="AO278" i="8"/>
  <c r="AO276" i="8"/>
  <c r="AO274" i="8"/>
  <c r="AO272" i="8"/>
  <c r="AN306" i="8"/>
  <c r="AN304" i="8"/>
  <c r="AN302" i="8"/>
  <c r="AN300" i="8"/>
  <c r="AN298" i="8"/>
  <c r="AN296" i="8"/>
  <c r="AN294" i="8"/>
  <c r="AN292" i="8"/>
  <c r="AN290" i="8"/>
  <c r="AN288" i="8"/>
  <c r="AN286" i="8"/>
  <c r="AN284" i="8"/>
  <c r="AN282" i="8"/>
  <c r="AN280" i="8"/>
  <c r="AN278" i="8"/>
  <c r="AN276" i="8"/>
  <c r="AN274" i="8"/>
  <c r="AN272" i="8"/>
  <c r="AM306" i="8"/>
  <c r="AM304" i="8"/>
  <c r="AM302" i="8"/>
  <c r="AM300" i="8"/>
  <c r="AM298" i="8"/>
  <c r="AM296" i="8"/>
  <c r="AM294" i="8"/>
  <c r="AM292" i="8"/>
  <c r="AM290" i="8"/>
  <c r="AM288" i="8"/>
  <c r="AM286" i="8"/>
  <c r="AM284" i="8"/>
  <c r="AM282" i="8"/>
  <c r="AM280" i="8"/>
  <c r="AM278" i="8"/>
  <c r="AM276" i="8"/>
  <c r="AM274" i="8"/>
  <c r="AM272" i="8"/>
  <c r="AL306" i="8"/>
  <c r="AL304" i="8"/>
  <c r="AL302" i="8"/>
  <c r="AL300" i="8"/>
  <c r="AL298" i="8"/>
  <c r="AL296" i="8"/>
  <c r="AL294" i="8"/>
  <c r="AL292" i="8"/>
  <c r="AL290" i="8"/>
  <c r="AL288" i="8"/>
  <c r="AL286" i="8"/>
  <c r="AL284" i="8"/>
  <c r="AL282" i="8"/>
  <c r="AL280" i="8"/>
  <c r="AL278" i="8"/>
  <c r="AL276" i="8"/>
  <c r="AL274" i="8"/>
  <c r="AL272" i="8"/>
  <c r="AK306" i="8"/>
  <c r="AK304" i="8"/>
  <c r="AK302" i="8"/>
  <c r="AK300" i="8"/>
  <c r="AK298" i="8"/>
  <c r="AK296" i="8"/>
  <c r="AK294" i="8"/>
  <c r="AK292" i="8"/>
  <c r="AK290" i="8"/>
  <c r="AK288" i="8"/>
  <c r="AK286" i="8"/>
  <c r="AK284" i="8"/>
  <c r="AK282" i="8"/>
  <c r="AK280" i="8"/>
  <c r="AK278" i="8"/>
  <c r="AK276" i="8"/>
  <c r="AK274" i="8"/>
  <c r="AK272" i="8"/>
  <c r="BD303" i="8"/>
  <c r="AJ306" i="8"/>
  <c r="AJ304" i="8"/>
  <c r="AJ302" i="8"/>
  <c r="AJ300" i="8"/>
  <c r="AJ298" i="8"/>
  <c r="AJ296" i="8"/>
  <c r="AJ294" i="8"/>
  <c r="AJ292" i="8"/>
  <c r="AJ290" i="8"/>
  <c r="AJ288" i="8"/>
  <c r="AJ286" i="8"/>
  <c r="AJ284" i="8"/>
  <c r="AJ282" i="8"/>
  <c r="AJ280" i="8"/>
  <c r="AU298" i="8"/>
  <c r="AI306" i="8"/>
  <c r="AI304" i="8"/>
  <c r="AI302" i="8"/>
  <c r="AI300" i="8"/>
  <c r="AI298" i="8"/>
  <c r="AI296" i="8"/>
  <c r="AI294" i="8"/>
  <c r="AI292" i="8"/>
  <c r="AI290" i="8"/>
  <c r="AI288" i="8"/>
  <c r="AI286" i="8"/>
  <c r="AI284" i="8"/>
  <c r="AI282" i="8"/>
  <c r="AI280" i="8"/>
  <c r="AI278" i="8"/>
  <c r="AI276" i="8"/>
  <c r="AI274" i="8"/>
  <c r="AI272" i="8"/>
  <c r="AX292" i="8"/>
  <c r="AH306" i="8"/>
  <c r="AH304" i="8"/>
  <c r="AH302" i="8"/>
  <c r="AH300" i="8"/>
  <c r="AH298" i="8"/>
  <c r="AH296" i="8"/>
  <c r="AH294" i="8"/>
  <c r="AH292" i="8"/>
  <c r="BD287" i="8"/>
  <c r="AG306" i="8"/>
  <c r="AG304" i="8"/>
  <c r="AG302" i="8"/>
  <c r="AG300" i="8"/>
  <c r="AG298" i="8"/>
  <c r="AG296" i="8"/>
  <c r="AG294" i="8"/>
  <c r="AG292" i="8"/>
  <c r="AG290" i="8"/>
  <c r="AG288" i="8"/>
  <c r="AG286" i="8"/>
  <c r="AG284" i="8"/>
  <c r="AG282" i="8"/>
  <c r="AG280" i="8"/>
  <c r="AG278" i="8"/>
  <c r="AG276" i="8"/>
  <c r="AG274" i="8"/>
  <c r="AG272" i="8"/>
  <c r="AU282" i="8"/>
  <c r="AF306" i="8"/>
  <c r="AF304" i="8"/>
  <c r="AF302" i="8"/>
  <c r="AF300" i="8"/>
  <c r="AF298" i="8"/>
  <c r="AF296" i="8"/>
  <c r="AF294" i="8"/>
  <c r="AF292" i="8"/>
  <c r="AF290" i="8"/>
  <c r="AF288" i="8"/>
  <c r="AF286" i="8"/>
  <c r="AF284" i="8"/>
  <c r="AF282" i="8"/>
  <c r="AF280" i="8"/>
  <c r="AF278" i="8"/>
  <c r="AF276" i="8"/>
  <c r="AT277" i="8"/>
  <c r="AQ307" i="8"/>
  <c r="AQ305" i="8"/>
  <c r="AQ303" i="8"/>
  <c r="AQ301" i="8"/>
  <c r="AQ299" i="8"/>
  <c r="AQ297" i="8"/>
  <c r="AQ295" i="8"/>
  <c r="AQ293" i="8"/>
  <c r="AQ291" i="8"/>
  <c r="AQ289" i="8"/>
  <c r="AQ287" i="8"/>
  <c r="AQ285" i="8"/>
  <c r="AQ283" i="8"/>
  <c r="AQ281" i="8"/>
  <c r="AQ279" i="8"/>
  <c r="AQ277" i="8"/>
  <c r="AQ275" i="8"/>
  <c r="AQ273" i="8"/>
  <c r="BB272" i="8"/>
  <c r="AP307" i="8"/>
  <c r="AP305" i="8"/>
  <c r="AP303" i="8"/>
  <c r="AP301" i="8"/>
  <c r="AP299" i="8"/>
  <c r="AP297" i="8"/>
  <c r="AP295" i="8"/>
  <c r="AP293" i="8"/>
  <c r="AP291" i="8"/>
  <c r="AP289" i="8"/>
  <c r="AP287" i="8"/>
  <c r="AP285" i="8"/>
  <c r="AP283" i="8"/>
  <c r="AP281" i="8"/>
  <c r="AP279" i="8"/>
  <c r="AP277" i="8"/>
  <c r="AP275" i="8"/>
  <c r="AP273" i="8"/>
  <c r="AO307" i="8"/>
  <c r="AO305" i="8"/>
  <c r="AO303" i="8"/>
  <c r="AO301" i="8"/>
  <c r="AO299" i="8"/>
  <c r="AO297" i="8"/>
  <c r="AO295" i="8"/>
  <c r="AO293" i="8"/>
  <c r="AO291" i="8"/>
  <c r="AO289" i="8"/>
  <c r="AO287" i="8"/>
  <c r="AO285" i="8"/>
  <c r="AO283" i="8"/>
  <c r="AO281" i="8"/>
  <c r="AO279" i="8"/>
  <c r="AO277" i="8"/>
  <c r="AO275" i="8"/>
  <c r="AO273" i="8"/>
  <c r="AN307" i="8"/>
  <c r="AN305" i="8"/>
  <c r="AN303" i="8"/>
  <c r="AN301" i="8"/>
  <c r="AN299" i="8"/>
  <c r="AN297" i="8"/>
  <c r="AN295" i="8"/>
  <c r="AN293" i="8"/>
  <c r="AN291" i="8"/>
  <c r="AM307" i="8"/>
  <c r="AM305" i="8"/>
  <c r="AM303" i="8"/>
  <c r="AM301" i="8"/>
  <c r="AM299" i="8"/>
  <c r="AM297" i="8"/>
  <c r="AM295" i="8"/>
  <c r="AM293" i="8"/>
  <c r="AM291" i="8"/>
  <c r="AM289" i="8"/>
  <c r="AM287" i="8"/>
  <c r="AM285" i="8"/>
  <c r="AM283" i="8"/>
  <c r="AM281" i="8"/>
  <c r="AM279" i="8"/>
  <c r="AM277" i="8"/>
  <c r="AM275" i="8"/>
  <c r="AM273" i="8"/>
  <c r="AL307" i="8"/>
  <c r="AL305" i="8"/>
  <c r="AL303" i="8"/>
  <c r="AL301" i="8"/>
  <c r="AL299" i="8"/>
  <c r="AL297" i="8"/>
  <c r="AL295" i="8"/>
  <c r="AL293" i="8"/>
  <c r="AL291" i="8"/>
  <c r="AL289" i="8"/>
  <c r="AL287" i="8"/>
  <c r="AL285" i="8"/>
  <c r="AL283" i="8"/>
  <c r="AL281" i="8"/>
  <c r="AL279" i="8"/>
  <c r="AL277" i="8"/>
  <c r="AL275" i="8"/>
  <c r="AL273" i="8"/>
  <c r="AK307" i="8"/>
  <c r="AK305" i="8"/>
  <c r="AK303" i="8"/>
  <c r="AK301" i="8"/>
  <c r="AK299" i="8"/>
  <c r="AK297" i="8"/>
  <c r="AK295" i="8"/>
  <c r="AK293" i="8"/>
  <c r="AK291" i="8"/>
  <c r="AK289" i="8"/>
  <c r="AK287" i="8"/>
  <c r="AK285" i="8"/>
  <c r="AK283" i="8"/>
  <c r="AK281" i="8"/>
  <c r="AK279" i="8"/>
  <c r="AJ307" i="8"/>
  <c r="AJ305" i="8"/>
  <c r="AJ303" i="8"/>
  <c r="AJ301" i="8"/>
  <c r="AJ299" i="8"/>
  <c r="AJ297" i="8"/>
  <c r="AJ295" i="8"/>
  <c r="AJ293" i="8"/>
  <c r="AJ291" i="8"/>
  <c r="AJ289" i="8"/>
  <c r="AJ287" i="8"/>
  <c r="AI307" i="8"/>
  <c r="AI305" i="8"/>
  <c r="AI303" i="8"/>
  <c r="AI301" i="8"/>
  <c r="AI299" i="8"/>
  <c r="AI297" i="8"/>
  <c r="AI295" i="8"/>
  <c r="AH307" i="8"/>
  <c r="AH305" i="8"/>
  <c r="AH303" i="8"/>
  <c r="AH301" i="8"/>
  <c r="AH299" i="8"/>
  <c r="AH297" i="8"/>
  <c r="AH295" i="8"/>
  <c r="AH293" i="8"/>
  <c r="AH291" i="8"/>
  <c r="AH289" i="8"/>
  <c r="AP306" i="8"/>
  <c r="AP304" i="8"/>
  <c r="AP302" i="8"/>
  <c r="AP300" i="8"/>
  <c r="AP298" i="8"/>
  <c r="AP296" i="8"/>
  <c r="AQ304" i="8"/>
  <c r="AF291" i="8"/>
  <c r="AF285" i="8"/>
  <c r="AI279" i="8"/>
  <c r="AG275" i="8"/>
  <c r="AG303" i="8"/>
  <c r="AQ290" i="8"/>
  <c r="AQ284" i="8"/>
  <c r="AH279" i="8"/>
  <c r="AF275" i="8"/>
  <c r="AF303" i="8"/>
  <c r="AP290" i="8"/>
  <c r="AP284" i="8"/>
  <c r="AG279" i="8"/>
  <c r="AQ274" i="8"/>
  <c r="AQ302" i="8"/>
  <c r="AH290" i="8"/>
  <c r="AH284" i="8"/>
  <c r="AF279" i="8"/>
  <c r="AP274" i="8"/>
  <c r="AG301" i="8"/>
  <c r="AN289" i="8"/>
  <c r="AN283" i="8"/>
  <c r="AQ278" i="8"/>
  <c r="AJ274" i="8"/>
  <c r="AF301" i="8"/>
  <c r="AI289" i="8"/>
  <c r="AJ283" i="8"/>
  <c r="AP278" i="8"/>
  <c r="AH274" i="8"/>
  <c r="AQ300" i="8"/>
  <c r="AG289" i="8"/>
  <c r="AI283" i="8"/>
  <c r="AJ278" i="8"/>
  <c r="AF274" i="8"/>
  <c r="AG299" i="8"/>
  <c r="AF289" i="8"/>
  <c r="AH283" i="8"/>
  <c r="AH278" i="8"/>
  <c r="AN273" i="8"/>
  <c r="AF299" i="8"/>
  <c r="AQ288" i="8"/>
  <c r="AG283" i="8"/>
  <c r="AN277" i="8"/>
  <c r="AK273" i="8"/>
  <c r="AQ298" i="8"/>
  <c r="AP288" i="8"/>
  <c r="AF283" i="8"/>
  <c r="AK277" i="8"/>
  <c r="AJ273" i="8"/>
  <c r="AG297" i="8"/>
  <c r="AH288" i="8"/>
  <c r="AQ282" i="8"/>
  <c r="AJ277" i="8"/>
  <c r="AI273" i="8"/>
  <c r="AF297" i="8"/>
  <c r="AN287" i="8"/>
  <c r="AP282" i="8"/>
  <c r="AI277" i="8"/>
  <c r="AH273" i="8"/>
  <c r="AQ296" i="8"/>
  <c r="AI287" i="8"/>
  <c r="AH282" i="8"/>
  <c r="AH277" i="8"/>
  <c r="AG273" i="8"/>
  <c r="AG295" i="8"/>
  <c r="AH287" i="8"/>
  <c r="AN281" i="8"/>
  <c r="AG277" i="8"/>
  <c r="AF273" i="8"/>
  <c r="AF295" i="8"/>
  <c r="AG287" i="8"/>
  <c r="AJ281" i="8"/>
  <c r="AF277" i="8"/>
  <c r="AQ272" i="8"/>
  <c r="AQ294" i="8"/>
  <c r="AF287" i="8"/>
  <c r="AI281" i="8"/>
  <c r="AQ276" i="8"/>
  <c r="AP272" i="8"/>
  <c r="AP294" i="8"/>
  <c r="AQ286" i="8"/>
  <c r="AH281" i="8"/>
  <c r="AP276" i="8"/>
  <c r="AJ272" i="8"/>
  <c r="AI293" i="8"/>
  <c r="AP286" i="8"/>
  <c r="AG281" i="8"/>
  <c r="AJ276" i="8"/>
  <c r="AH272" i="8"/>
  <c r="AG293" i="8"/>
  <c r="AH286" i="8"/>
  <c r="AF281" i="8"/>
  <c r="AH276" i="8"/>
  <c r="AF272" i="8"/>
  <c r="AG307" i="8"/>
  <c r="AF293" i="8"/>
  <c r="AN285" i="8"/>
  <c r="AQ280" i="8"/>
  <c r="AN275" i="8"/>
  <c r="AF307" i="8"/>
  <c r="AQ292" i="8"/>
  <c r="AJ285" i="8"/>
  <c r="AP280" i="8"/>
  <c r="AK275" i="8"/>
  <c r="AQ306" i="8"/>
  <c r="AP292" i="8"/>
  <c r="AI285" i="8"/>
  <c r="AH280" i="8"/>
  <c r="AJ275" i="8"/>
  <c r="AG305" i="8"/>
  <c r="AI291" i="8"/>
  <c r="AH285" i="8"/>
  <c r="AN279" i="8"/>
  <c r="AI275" i="8"/>
  <c r="AF305" i="8"/>
  <c r="AG291" i="8"/>
  <c r="AG285" i="8"/>
  <c r="AJ279" i="8"/>
  <c r="AH275" i="8"/>
  <c r="X10" i="8"/>
  <c r="T27" i="8"/>
  <c r="R53" i="8"/>
  <c r="X94" i="8"/>
  <c r="AI7" i="8"/>
  <c r="AJ9" i="8"/>
  <c r="AK11" i="8"/>
  <c r="AL13" i="8"/>
  <c r="AM15" i="8"/>
  <c r="AN17" i="8"/>
  <c r="AO19" i="8"/>
  <c r="AP21" i="8"/>
  <c r="AQ23" i="8"/>
  <c r="AF26" i="8"/>
  <c r="AG28" i="8"/>
  <c r="AH30" i="8"/>
  <c r="AI32" i="8"/>
  <c r="AJ34" i="8"/>
  <c r="AK36" i="8"/>
  <c r="AL38" i="8"/>
  <c r="AM40" i="8"/>
  <c r="AL85" i="8"/>
  <c r="AL89" i="8"/>
  <c r="AL93" i="8"/>
  <c r="AN97" i="8"/>
  <c r="AL103" i="8"/>
  <c r="AJ111" i="8"/>
  <c r="AL129" i="8"/>
  <c r="CS344" i="8"/>
  <c r="CS342" i="8"/>
  <c r="CS340" i="8"/>
  <c r="CS338" i="8"/>
  <c r="CS336" i="8"/>
  <c r="CS334" i="8"/>
  <c r="CS332" i="8"/>
  <c r="CS330" i="8"/>
  <c r="CS328" i="8"/>
  <c r="CS326" i="8"/>
  <c r="CS324" i="8"/>
  <c r="CS322" i="8"/>
  <c r="CS320" i="8"/>
  <c r="CS318" i="8"/>
  <c r="CS316" i="8"/>
  <c r="CS314" i="8"/>
  <c r="CS312" i="8"/>
  <c r="CS310" i="8"/>
  <c r="CR344" i="8"/>
  <c r="CR342" i="8"/>
  <c r="CR340" i="8"/>
  <c r="CR338" i="8"/>
  <c r="CR336" i="8"/>
  <c r="CR334" i="8"/>
  <c r="CR332" i="8"/>
  <c r="CR330" i="8"/>
  <c r="CR328" i="8"/>
  <c r="CR326" i="8"/>
  <c r="CR324" i="8"/>
  <c r="CR322" i="8"/>
  <c r="CR320" i="8"/>
  <c r="CR318" i="8"/>
  <c r="CR316" i="8"/>
  <c r="CR314" i="8"/>
  <c r="CR312" i="8"/>
  <c r="CR310" i="8"/>
  <c r="CK344" i="8"/>
  <c r="CU341" i="8"/>
  <c r="CS339" i="8"/>
  <c r="CQ337" i="8"/>
  <c r="CO335" i="8"/>
  <c r="CM333" i="8"/>
  <c r="CK331" i="8"/>
  <c r="CU328" i="8"/>
  <c r="CQ326" i="8"/>
  <c r="CO324" i="8"/>
  <c r="CM322" i="8"/>
  <c r="CK320" i="8"/>
  <c r="CU317" i="8"/>
  <c r="CS315" i="8"/>
  <c r="CQ313" i="8"/>
  <c r="CO311" i="8"/>
  <c r="CJ344" i="8"/>
  <c r="CT341" i="8"/>
  <c r="CR339" i="8"/>
  <c r="CP337" i="8"/>
  <c r="CN335" i="8"/>
  <c r="CL333" i="8"/>
  <c r="CJ331" i="8"/>
  <c r="CT328" i="8"/>
  <c r="CP326" i="8"/>
  <c r="CN324" i="8"/>
  <c r="CL322" i="8"/>
  <c r="CJ320" i="8"/>
  <c r="CT317" i="8"/>
  <c r="CR315" i="8"/>
  <c r="CP313" i="8"/>
  <c r="CN311" i="8"/>
  <c r="CU343" i="8"/>
  <c r="CS341" i="8"/>
  <c r="CQ339" i="8"/>
  <c r="CO337" i="8"/>
  <c r="CM335" i="8"/>
  <c r="CK333" i="8"/>
  <c r="CU330" i="8"/>
  <c r="CQ328" i="8"/>
  <c r="CO326" i="8"/>
  <c r="CM324" i="8"/>
  <c r="CK322" i="8"/>
  <c r="CU319" i="8"/>
  <c r="CS317" i="8"/>
  <c r="CQ315" i="8"/>
  <c r="CO313" i="8"/>
  <c r="CM311" i="8"/>
  <c r="CT343" i="8"/>
  <c r="CR341" i="8"/>
  <c r="CP339" i="8"/>
  <c r="CN337" i="8"/>
  <c r="CL335" i="8"/>
  <c r="CJ333" i="8"/>
  <c r="CT330" i="8"/>
  <c r="CP328" i="8"/>
  <c r="CN326" i="8"/>
  <c r="CL324" i="8"/>
  <c r="CJ322" i="8"/>
  <c r="CT319" i="8"/>
  <c r="CR317" i="8"/>
  <c r="CP315" i="8"/>
  <c r="CN313" i="8"/>
  <c r="CL311" i="8"/>
  <c r="CU345" i="8"/>
  <c r="CS343" i="8"/>
  <c r="CQ341" i="8"/>
  <c r="CO339" i="8"/>
  <c r="CM337" i="8"/>
  <c r="CK335" i="8"/>
  <c r="CU332" i="8"/>
  <c r="CQ330" i="8"/>
  <c r="CO328" i="8"/>
  <c r="CM326" i="8"/>
  <c r="CK324" i="8"/>
  <c r="CU321" i="8"/>
  <c r="CS319" i="8"/>
  <c r="CQ317" i="8"/>
  <c r="CO315" i="8"/>
  <c r="CM313" i="8"/>
  <c r="CK311" i="8"/>
  <c r="CT345" i="8"/>
  <c r="CR343" i="8"/>
  <c r="CP341" i="8"/>
  <c r="CN339" i="8"/>
  <c r="CL337" i="8"/>
  <c r="CJ335" i="8"/>
  <c r="CT332" i="8"/>
  <c r="CP330" i="8"/>
  <c r="CN328" i="8"/>
  <c r="CL326" i="8"/>
  <c r="CJ324" i="8"/>
  <c r="CT321" i="8"/>
  <c r="CR319" i="8"/>
  <c r="CP317" i="8"/>
  <c r="CN315" i="8"/>
  <c r="CL313" i="8"/>
  <c r="CJ311" i="8"/>
  <c r="CS345" i="8"/>
  <c r="CQ343" i="8"/>
  <c r="CO341" i="8"/>
  <c r="CM339" i="8"/>
  <c r="CK337" i="8"/>
  <c r="CU334" i="8"/>
  <c r="CQ332" i="8"/>
  <c r="CO330" i="8"/>
  <c r="CM328" i="8"/>
  <c r="CK326" i="8"/>
  <c r="CU323" i="8"/>
  <c r="CS321" i="8"/>
  <c r="CQ319" i="8"/>
  <c r="CO317" i="8"/>
  <c r="CM315" i="8"/>
  <c r="CK313" i="8"/>
  <c r="CU310" i="8"/>
  <c r="CR345" i="8"/>
  <c r="CP343" i="8"/>
  <c r="CN341" i="8"/>
  <c r="CL339" i="8"/>
  <c r="CJ337" i="8"/>
  <c r="CT334" i="8"/>
  <c r="CP332" i="8"/>
  <c r="CN330" i="8"/>
  <c r="CL328" i="8"/>
  <c r="CJ326" i="8"/>
  <c r="CT323" i="8"/>
  <c r="CR321" i="8"/>
  <c r="CP319" i="8"/>
  <c r="CN317" i="8"/>
  <c r="CL315" i="8"/>
  <c r="CJ313" i="8"/>
  <c r="CT310" i="8"/>
  <c r="CQ345" i="8"/>
  <c r="CO343" i="8"/>
  <c r="CM341" i="8"/>
  <c r="CK339" i="8"/>
  <c r="CU336" i="8"/>
  <c r="CQ334" i="8"/>
  <c r="CO332" i="8"/>
  <c r="CM330" i="8"/>
  <c r="CK328" i="8"/>
  <c r="CU325" i="8"/>
  <c r="CS323" i="8"/>
  <c r="CQ321" i="8"/>
  <c r="CO319" i="8"/>
  <c r="CM317" i="8"/>
  <c r="CK315" i="8"/>
  <c r="CU312" i="8"/>
  <c r="CQ310" i="8"/>
  <c r="CP345" i="8"/>
  <c r="CN343" i="8"/>
  <c r="CL341" i="8"/>
  <c r="CJ339" i="8"/>
  <c r="CT336" i="8"/>
  <c r="CP334" i="8"/>
  <c r="CN332" i="8"/>
  <c r="CL330" i="8"/>
  <c r="CJ328" i="8"/>
  <c r="CT325" i="8"/>
  <c r="CR323" i="8"/>
  <c r="CP321" i="8"/>
  <c r="CN319" i="8"/>
  <c r="CL317" i="8"/>
  <c r="CJ315" i="8"/>
  <c r="CT312" i="8"/>
  <c r="CP310" i="8"/>
  <c r="CO345" i="8"/>
  <c r="CM343" i="8"/>
  <c r="CK341" i="8"/>
  <c r="CU338" i="8"/>
  <c r="CQ336" i="8"/>
  <c r="CO334" i="8"/>
  <c r="CM332" i="8"/>
  <c r="CK330" i="8"/>
  <c r="CU327" i="8"/>
  <c r="CS325" i="8"/>
  <c r="CQ323" i="8"/>
  <c r="CO321" i="8"/>
  <c r="CM319" i="8"/>
  <c r="CK317" i="8"/>
  <c r="CU314" i="8"/>
  <c r="CQ312" i="8"/>
  <c r="CO310" i="8"/>
  <c r="CN345" i="8"/>
  <c r="CL343" i="8"/>
  <c r="CJ341" i="8"/>
  <c r="CT338" i="8"/>
  <c r="CP336" i="8"/>
  <c r="CN334" i="8"/>
  <c r="CL332" i="8"/>
  <c r="CJ330" i="8"/>
  <c r="CT327" i="8"/>
  <c r="CR325" i="8"/>
  <c r="CP323" i="8"/>
  <c r="CN321" i="8"/>
  <c r="CL319" i="8"/>
  <c r="CJ317" i="8"/>
  <c r="CT314" i="8"/>
  <c r="CP312" i="8"/>
  <c r="CN310" i="8"/>
  <c r="CM345" i="8"/>
  <c r="CK343" i="8"/>
  <c r="CU340" i="8"/>
  <c r="CQ338" i="8"/>
  <c r="CO336" i="8"/>
  <c r="CM334" i="8"/>
  <c r="CK332" i="8"/>
  <c r="CU329" i="8"/>
  <c r="CS327" i="8"/>
  <c r="CQ325" i="8"/>
  <c r="CO323" i="8"/>
  <c r="CM321" i="8"/>
  <c r="CK319" i="8"/>
  <c r="CU316" i="8"/>
  <c r="CQ314" i="8"/>
  <c r="CO312" i="8"/>
  <c r="CM310" i="8"/>
  <c r="CL345" i="8"/>
  <c r="CJ343" i="8"/>
  <c r="CT340" i="8"/>
  <c r="CP338" i="8"/>
  <c r="CN336" i="8"/>
  <c r="CL334" i="8"/>
  <c r="CJ332" i="8"/>
  <c r="CT329" i="8"/>
  <c r="CR327" i="8"/>
  <c r="CP325" i="8"/>
  <c r="CN323" i="8"/>
  <c r="CL321" i="8"/>
  <c r="CJ319" i="8"/>
  <c r="CT316" i="8"/>
  <c r="CP314" i="8"/>
  <c r="CN312" i="8"/>
  <c r="CL310" i="8"/>
  <c r="CK345" i="8"/>
  <c r="CU342" i="8"/>
  <c r="CQ340" i="8"/>
  <c r="CO338" i="8"/>
  <c r="CM336" i="8"/>
  <c r="CK334" i="8"/>
  <c r="CU331" i="8"/>
  <c r="CS329" i="8"/>
  <c r="CQ327" i="8"/>
  <c r="CO325" i="8"/>
  <c r="CM323" i="8"/>
  <c r="CK321" i="8"/>
  <c r="CU318" i="8"/>
  <c r="CQ316" i="8"/>
  <c r="CO314" i="8"/>
  <c r="CM312" i="8"/>
  <c r="CK310" i="8"/>
  <c r="CJ345" i="8"/>
  <c r="CT342" i="8"/>
  <c r="CP340" i="8"/>
  <c r="CN338" i="8"/>
  <c r="CL336" i="8"/>
  <c r="CJ334" i="8"/>
  <c r="CT331" i="8"/>
  <c r="CR329" i="8"/>
  <c r="CP327" i="8"/>
  <c r="CN325" i="8"/>
  <c r="CL323" i="8"/>
  <c r="CJ321" i="8"/>
  <c r="CT318" i="8"/>
  <c r="CP316" i="8"/>
  <c r="CN314" i="8"/>
  <c r="CL312" i="8"/>
  <c r="CJ310" i="8"/>
  <c r="CU344" i="8"/>
  <c r="CQ342" i="8"/>
  <c r="CO340" i="8"/>
  <c r="CM338" i="8"/>
  <c r="CK336" i="8"/>
  <c r="CU333" i="8"/>
  <c r="CS331" i="8"/>
  <c r="CQ329" i="8"/>
  <c r="CO327" i="8"/>
  <c r="CM325" i="8"/>
  <c r="CK323" i="8"/>
  <c r="CU320" i="8"/>
  <c r="CQ318" i="8"/>
  <c r="CO316" i="8"/>
  <c r="CM314" i="8"/>
  <c r="CK312" i="8"/>
  <c r="CT344" i="8"/>
  <c r="CP342" i="8"/>
  <c r="CN340" i="8"/>
  <c r="CL338" i="8"/>
  <c r="CJ336" i="8"/>
  <c r="CT333" i="8"/>
  <c r="CR331" i="8"/>
  <c r="CP329" i="8"/>
  <c r="CN327" i="8"/>
  <c r="CL325" i="8"/>
  <c r="CJ323" i="8"/>
  <c r="CT320" i="8"/>
  <c r="CP318" i="8"/>
  <c r="CN316" i="8"/>
  <c r="CL314" i="8"/>
  <c r="CJ312" i="8"/>
  <c r="CQ344" i="8"/>
  <c r="CO342" i="8"/>
  <c r="CM340" i="8"/>
  <c r="CK338" i="8"/>
  <c r="CU335" i="8"/>
  <c r="CS333" i="8"/>
  <c r="CQ331" i="8"/>
  <c r="CO329" i="8"/>
  <c r="CM327" i="8"/>
  <c r="CK325" i="8"/>
  <c r="CU322" i="8"/>
  <c r="CQ320" i="8"/>
  <c r="CO318" i="8"/>
  <c r="CM316" i="8"/>
  <c r="CK314" i="8"/>
  <c r="CU311" i="8"/>
  <c r="CP344" i="8"/>
  <c r="CN342" i="8"/>
  <c r="CL340" i="8"/>
  <c r="CJ338" i="8"/>
  <c r="CT335" i="8"/>
  <c r="CR333" i="8"/>
  <c r="CP331" i="8"/>
  <c r="CN329" i="8"/>
  <c r="CL327" i="8"/>
  <c r="CJ325" i="8"/>
  <c r="CT322" i="8"/>
  <c r="CP320" i="8"/>
  <c r="CN318" i="8"/>
  <c r="CL316" i="8"/>
  <c r="CJ314" i="8"/>
  <c r="CT311" i="8"/>
  <c r="CO344" i="8"/>
  <c r="CM342" i="8"/>
  <c r="CK340" i="8"/>
  <c r="CU337" i="8"/>
  <c r="CS335" i="8"/>
  <c r="CQ333" i="8"/>
  <c r="CO331" i="8"/>
  <c r="CM329" i="8"/>
  <c r="CK327" i="8"/>
  <c r="CU324" i="8"/>
  <c r="CQ322" i="8"/>
  <c r="CO320" i="8"/>
  <c r="CM318" i="8"/>
  <c r="CK316" i="8"/>
  <c r="CU313" i="8"/>
  <c r="CS311" i="8"/>
  <c r="CN344" i="8"/>
  <c r="CL342" i="8"/>
  <c r="CJ340" i="8"/>
  <c r="CT337" i="8"/>
  <c r="CR335" i="8"/>
  <c r="CP333" i="8"/>
  <c r="CN331" i="8"/>
  <c r="CL329" i="8"/>
  <c r="CJ327" i="8"/>
  <c r="CT324" i="8"/>
  <c r="CP322" i="8"/>
  <c r="CN320" i="8"/>
  <c r="CL318" i="8"/>
  <c r="CJ316" i="8"/>
  <c r="CT313" i="8"/>
  <c r="CR311" i="8"/>
  <c r="CM344" i="8"/>
  <c r="CK342" i="8"/>
  <c r="CU339" i="8"/>
  <c r="CS337" i="8"/>
  <c r="CQ335" i="8"/>
  <c r="CO333" i="8"/>
  <c r="CM331" i="8"/>
  <c r="CK329" i="8"/>
  <c r="CU326" i="8"/>
  <c r="CQ324" i="8"/>
  <c r="CO322" i="8"/>
  <c r="CM320" i="8"/>
  <c r="CK318" i="8"/>
  <c r="CU315" i="8"/>
  <c r="CS313" i="8"/>
  <c r="CQ311" i="8"/>
  <c r="CL344" i="8"/>
  <c r="CJ342" i="8"/>
  <c r="CT339" i="8"/>
  <c r="CR337" i="8"/>
  <c r="CP335" i="8"/>
  <c r="CN333" i="8"/>
  <c r="CL331" i="8"/>
  <c r="CJ329" i="8"/>
  <c r="CT326" i="8"/>
  <c r="CP324" i="8"/>
  <c r="CN322" i="8"/>
  <c r="CL320" i="8"/>
  <c r="CJ318" i="8"/>
  <c r="CT315" i="8"/>
  <c r="CR313" i="8"/>
  <c r="CP311" i="8"/>
  <c r="CB345" i="8"/>
  <c r="CB343" i="8"/>
  <c r="CB341" i="8"/>
  <c r="CB339" i="8"/>
  <c r="CB337" i="8"/>
  <c r="CB335" i="8"/>
  <c r="CB333" i="8"/>
  <c r="CB331" i="8"/>
  <c r="CB329" i="8"/>
  <c r="CB327" i="8"/>
  <c r="CB325" i="8"/>
  <c r="CB323" i="8"/>
  <c r="CB321" i="8"/>
  <c r="CB319" i="8"/>
  <c r="CB317" i="8"/>
  <c r="CB315" i="8"/>
  <c r="CB313" i="8"/>
  <c r="CB311" i="8"/>
  <c r="CA345" i="8"/>
  <c r="CA343" i="8"/>
  <c r="CA341" i="8"/>
  <c r="CA339" i="8"/>
  <c r="CA337" i="8"/>
  <c r="CA335" i="8"/>
  <c r="CA333" i="8"/>
  <c r="CA331" i="8"/>
  <c r="CA329" i="8"/>
  <c r="CA327" i="8"/>
  <c r="CA325" i="8"/>
  <c r="CA323" i="8"/>
  <c r="CA321" i="8"/>
  <c r="CA319" i="8"/>
  <c r="CA317" i="8"/>
  <c r="CA315" i="8"/>
  <c r="CA313" i="8"/>
  <c r="CA311" i="8"/>
  <c r="BZ345" i="8"/>
  <c r="BZ343" i="8"/>
  <c r="BZ341" i="8"/>
  <c r="BZ339" i="8"/>
  <c r="BZ337" i="8"/>
  <c r="BZ335" i="8"/>
  <c r="BZ333" i="8"/>
  <c r="BZ331" i="8"/>
  <c r="BZ329" i="8"/>
  <c r="BZ327" i="8"/>
  <c r="BZ325" i="8"/>
  <c r="BZ323" i="8"/>
  <c r="BZ321" i="8"/>
  <c r="BZ319" i="8"/>
  <c r="BZ317" i="8"/>
  <c r="BZ315" i="8"/>
  <c r="BZ313" i="8"/>
  <c r="BZ311" i="8"/>
  <c r="BY345" i="8"/>
  <c r="BY343" i="8"/>
  <c r="BY341" i="8"/>
  <c r="BY339" i="8"/>
  <c r="BY337" i="8"/>
  <c r="BY335" i="8"/>
  <c r="BY333" i="8"/>
  <c r="BY331" i="8"/>
  <c r="BY329" i="8"/>
  <c r="BY327" i="8"/>
  <c r="BY325" i="8"/>
  <c r="BY323" i="8"/>
  <c r="BY321" i="8"/>
  <c r="BY319" i="8"/>
  <c r="BY317" i="8"/>
  <c r="BY315" i="8"/>
  <c r="BY313" i="8"/>
  <c r="BY311" i="8"/>
  <c r="BX345" i="8"/>
  <c r="BX343" i="8"/>
  <c r="BX341" i="8"/>
  <c r="BX339" i="8"/>
  <c r="BX337" i="8"/>
  <c r="BX335" i="8"/>
  <c r="BX333" i="8"/>
  <c r="BX331" i="8"/>
  <c r="BX329" i="8"/>
  <c r="BX327" i="8"/>
  <c r="BX325" i="8"/>
  <c r="BX323" i="8"/>
  <c r="BX321" i="8"/>
  <c r="BX319" i="8"/>
  <c r="BX317" i="8"/>
  <c r="BX315" i="8"/>
  <c r="BX313" i="8"/>
  <c r="BX311" i="8"/>
  <c r="BW345" i="8"/>
  <c r="BW343" i="8"/>
  <c r="BW341" i="8"/>
  <c r="BW339" i="8"/>
  <c r="BW337" i="8"/>
  <c r="BW335" i="8"/>
  <c r="BW333" i="8"/>
  <c r="BW331" i="8"/>
  <c r="BW329" i="8"/>
  <c r="BW327" i="8"/>
  <c r="BW325" i="8"/>
  <c r="BW323" i="8"/>
  <c r="BW321" i="8"/>
  <c r="BW319" i="8"/>
  <c r="BW317" i="8"/>
  <c r="BW315" i="8"/>
  <c r="BW313" i="8"/>
  <c r="BW311" i="8"/>
  <c r="BV345" i="8"/>
  <c r="BV343" i="8"/>
  <c r="BV341" i="8"/>
  <c r="BV339" i="8"/>
  <c r="BV337" i="8"/>
  <c r="BV335" i="8"/>
  <c r="BV333" i="8"/>
  <c r="BV331" i="8"/>
  <c r="BV329" i="8"/>
  <c r="BV327" i="8"/>
  <c r="BV325" i="8"/>
  <c r="BV323" i="8"/>
  <c r="BV321" i="8"/>
  <c r="BV319" i="8"/>
  <c r="BV317" i="8"/>
  <c r="BV315" i="8"/>
  <c r="BV313" i="8"/>
  <c r="BV311" i="8"/>
  <c r="CG344" i="8"/>
  <c r="CG342" i="8"/>
  <c r="CG340" i="8"/>
  <c r="CG338" i="8"/>
  <c r="CG336" i="8"/>
  <c r="CG334" i="8"/>
  <c r="CG332" i="8"/>
  <c r="CG330" i="8"/>
  <c r="CG328" i="8"/>
  <c r="CG326" i="8"/>
  <c r="CG324" i="8"/>
  <c r="CG322" i="8"/>
  <c r="CG320" i="8"/>
  <c r="CG318" i="8"/>
  <c r="CG316" i="8"/>
  <c r="CG314" i="8"/>
  <c r="CG312" i="8"/>
  <c r="CG310" i="8"/>
  <c r="CF344" i="8"/>
  <c r="CF342" i="8"/>
  <c r="CF340" i="8"/>
  <c r="CF338" i="8"/>
  <c r="CF336" i="8"/>
  <c r="CF334" i="8"/>
  <c r="CF332" i="8"/>
  <c r="CF330" i="8"/>
  <c r="CF328" i="8"/>
  <c r="CF326" i="8"/>
  <c r="CF324" i="8"/>
  <c r="CF322" i="8"/>
  <c r="CF320" i="8"/>
  <c r="CF318" i="8"/>
  <c r="CF316" i="8"/>
  <c r="CF314" i="8"/>
  <c r="CF312" i="8"/>
  <c r="CF310" i="8"/>
  <c r="CE344" i="8"/>
  <c r="CE342" i="8"/>
  <c r="CE340" i="8"/>
  <c r="CE338" i="8"/>
  <c r="CE336" i="8"/>
  <c r="CE334" i="8"/>
  <c r="CE332" i="8"/>
  <c r="CE330" i="8"/>
  <c r="CE328" i="8"/>
  <c r="CE326" i="8"/>
  <c r="CE324" i="8"/>
  <c r="CE322" i="8"/>
  <c r="CE320" i="8"/>
  <c r="CE318" i="8"/>
  <c r="CE316" i="8"/>
  <c r="CE314" i="8"/>
  <c r="CE312" i="8"/>
  <c r="CE310" i="8"/>
  <c r="CD344" i="8"/>
  <c r="CD342" i="8"/>
  <c r="CD340" i="8"/>
  <c r="CD338" i="8"/>
  <c r="CD336" i="8"/>
  <c r="CD334" i="8"/>
  <c r="CD332" i="8"/>
  <c r="CD330" i="8"/>
  <c r="CD328" i="8"/>
  <c r="CD326" i="8"/>
  <c r="CD324" i="8"/>
  <c r="CD322" i="8"/>
  <c r="CD320" i="8"/>
  <c r="CD318" i="8"/>
  <c r="CD316" i="8"/>
  <c r="CD314" i="8"/>
  <c r="CD312" i="8"/>
  <c r="CD310" i="8"/>
  <c r="CC344" i="8"/>
  <c r="CC342" i="8"/>
  <c r="CC340" i="8"/>
  <c r="CC338" i="8"/>
  <c r="CC336" i="8"/>
  <c r="CC334" i="8"/>
  <c r="CC332" i="8"/>
  <c r="CC330" i="8"/>
  <c r="CC328" i="8"/>
  <c r="CC326" i="8"/>
  <c r="CC324" i="8"/>
  <c r="CC322" i="8"/>
  <c r="CC320" i="8"/>
  <c r="CC318" i="8"/>
  <c r="CC316" i="8"/>
  <c r="CC314" i="8"/>
  <c r="CC312" i="8"/>
  <c r="CC310" i="8"/>
  <c r="CB344" i="8"/>
  <c r="CB342" i="8"/>
  <c r="CB340" i="8"/>
  <c r="CB338" i="8"/>
  <c r="CB336" i="8"/>
  <c r="CB334" i="8"/>
  <c r="CB332" i="8"/>
  <c r="CB330" i="8"/>
  <c r="CB328" i="8"/>
  <c r="CB326" i="8"/>
  <c r="CB324" i="8"/>
  <c r="CB322" i="8"/>
  <c r="CB320" i="8"/>
  <c r="CB318" i="8"/>
  <c r="CB316" i="8"/>
  <c r="CB314" i="8"/>
  <c r="CB312" i="8"/>
  <c r="CB310" i="8"/>
  <c r="CA344" i="8"/>
  <c r="CA342" i="8"/>
  <c r="CA340" i="8"/>
  <c r="CA338" i="8"/>
  <c r="CA336" i="8"/>
  <c r="CA334" i="8"/>
  <c r="CA332" i="8"/>
  <c r="CA330" i="8"/>
  <c r="CA328" i="8"/>
  <c r="CA326" i="8"/>
  <c r="CA324" i="8"/>
  <c r="CA322" i="8"/>
  <c r="CA320" i="8"/>
  <c r="CA318" i="8"/>
  <c r="CA316" i="8"/>
  <c r="CA314" i="8"/>
  <c r="CA312" i="8"/>
  <c r="CA310" i="8"/>
  <c r="BZ344" i="8"/>
  <c r="BZ342" i="8"/>
  <c r="BZ340" i="8"/>
  <c r="BZ338" i="8"/>
  <c r="BZ336" i="8"/>
  <c r="BZ334" i="8"/>
  <c r="BZ332" i="8"/>
  <c r="BZ330" i="8"/>
  <c r="BZ328" i="8"/>
  <c r="BZ326" i="8"/>
  <c r="BZ324" i="8"/>
  <c r="BZ322" i="8"/>
  <c r="BZ320" i="8"/>
  <c r="BZ318" i="8"/>
  <c r="BZ316" i="8"/>
  <c r="BZ314" i="8"/>
  <c r="BZ312" i="8"/>
  <c r="BZ310" i="8"/>
  <c r="BY344" i="8"/>
  <c r="BY342" i="8"/>
  <c r="BY340" i="8"/>
  <c r="BY338" i="8"/>
  <c r="BY336" i="8"/>
  <c r="BY334" i="8"/>
  <c r="BY332" i="8"/>
  <c r="BY330" i="8"/>
  <c r="BY328" i="8"/>
  <c r="BY326" i="8"/>
  <c r="BY324" i="8"/>
  <c r="BY322" i="8"/>
  <c r="BY320" i="8"/>
  <c r="BY318" i="8"/>
  <c r="BY316" i="8"/>
  <c r="BY314" i="8"/>
  <c r="BY312" i="8"/>
  <c r="BY310" i="8"/>
  <c r="BX344" i="8"/>
  <c r="BX342" i="8"/>
  <c r="BX340" i="8"/>
  <c r="BX338" i="8"/>
  <c r="BX336" i="8"/>
  <c r="BX334" i="8"/>
  <c r="BX332" i="8"/>
  <c r="BX330" i="8"/>
  <c r="BX328" i="8"/>
  <c r="BX326" i="8"/>
  <c r="BX324" i="8"/>
  <c r="BX322" i="8"/>
  <c r="BX320" i="8"/>
  <c r="BX318" i="8"/>
  <c r="BX316" i="8"/>
  <c r="BX314" i="8"/>
  <c r="BX312" i="8"/>
  <c r="BX310" i="8"/>
  <c r="BW344" i="8"/>
  <c r="BW342" i="8"/>
  <c r="BW340" i="8"/>
  <c r="BW338" i="8"/>
  <c r="BW336" i="8"/>
  <c r="BW334" i="8"/>
  <c r="BW332" i="8"/>
  <c r="BW330" i="8"/>
  <c r="BW328" i="8"/>
  <c r="BW326" i="8"/>
  <c r="BW324" i="8"/>
  <c r="BW322" i="8"/>
  <c r="BW320" i="8"/>
  <c r="BW318" i="8"/>
  <c r="BW316" i="8"/>
  <c r="BW314" i="8"/>
  <c r="BW312" i="8"/>
  <c r="BW310" i="8"/>
  <c r="BV344" i="8"/>
  <c r="BV342" i="8"/>
  <c r="BV340" i="8"/>
  <c r="BV338" i="8"/>
  <c r="BV336" i="8"/>
  <c r="BV334" i="8"/>
  <c r="BV332" i="8"/>
  <c r="BV330" i="8"/>
  <c r="BV328" i="8"/>
  <c r="BV326" i="8"/>
  <c r="BV324" i="8"/>
  <c r="BV322" i="8"/>
  <c r="BV320" i="8"/>
  <c r="BV318" i="8"/>
  <c r="BV316" i="8"/>
  <c r="BV314" i="8"/>
  <c r="BV312" i="8"/>
  <c r="BV310" i="8"/>
  <c r="CG345" i="8"/>
  <c r="CG343" i="8"/>
  <c r="CG341" i="8"/>
  <c r="CG339" i="8"/>
  <c r="CG337" i="8"/>
  <c r="CG335" i="8"/>
  <c r="CG333" i="8"/>
  <c r="CG331" i="8"/>
  <c r="CG329" i="8"/>
  <c r="CG327" i="8"/>
  <c r="CG325" i="8"/>
  <c r="CG323" i="8"/>
  <c r="CG321" i="8"/>
  <c r="CG319" i="8"/>
  <c r="CG317" i="8"/>
  <c r="CG315" i="8"/>
  <c r="CG313" i="8"/>
  <c r="CG311" i="8"/>
  <c r="CF345" i="8"/>
  <c r="CF343" i="8"/>
  <c r="CF341" i="8"/>
  <c r="CF339" i="8"/>
  <c r="CF337" i="8"/>
  <c r="CF335" i="8"/>
  <c r="CF333" i="8"/>
  <c r="CF331" i="8"/>
  <c r="CF329" i="8"/>
  <c r="CF327" i="8"/>
  <c r="CF325" i="8"/>
  <c r="CF323" i="8"/>
  <c r="CF321" i="8"/>
  <c r="CF319" i="8"/>
  <c r="CF317" i="8"/>
  <c r="CF315" i="8"/>
  <c r="CF313" i="8"/>
  <c r="CF311" i="8"/>
  <c r="CE345" i="8"/>
  <c r="CE343" i="8"/>
  <c r="CE341" i="8"/>
  <c r="CE339" i="8"/>
  <c r="CE337" i="8"/>
  <c r="CE335" i="8"/>
  <c r="CE333" i="8"/>
  <c r="CE331" i="8"/>
  <c r="CE329" i="8"/>
  <c r="CE327" i="8"/>
  <c r="CE325" i="8"/>
  <c r="CE323" i="8"/>
  <c r="CE321" i="8"/>
  <c r="CE319" i="8"/>
  <c r="CE317" i="8"/>
  <c r="CE315" i="8"/>
  <c r="CE313" i="8"/>
  <c r="CE311" i="8"/>
  <c r="CC345" i="8"/>
  <c r="CC343" i="8"/>
  <c r="CC341" i="8"/>
  <c r="CC339" i="8"/>
  <c r="CC337" i="8"/>
  <c r="CC335" i="8"/>
  <c r="CC333" i="8"/>
  <c r="CC331" i="8"/>
  <c r="CC329" i="8"/>
  <c r="CC327" i="8"/>
  <c r="CC325" i="8"/>
  <c r="CC323" i="8"/>
  <c r="CC321" i="8"/>
  <c r="CC319" i="8"/>
  <c r="CC317" i="8"/>
  <c r="CC315" i="8"/>
  <c r="CC313" i="8"/>
  <c r="CC311" i="8"/>
  <c r="CD311" i="8"/>
  <c r="BH345" i="8"/>
  <c r="BH343" i="8"/>
  <c r="BH341" i="8"/>
  <c r="BH339" i="8"/>
  <c r="BH337" i="8"/>
  <c r="BH335" i="8"/>
  <c r="BH333" i="8"/>
  <c r="BH331" i="8"/>
  <c r="BH329" i="8"/>
  <c r="BH327" i="8"/>
  <c r="BH325" i="8"/>
  <c r="BH323" i="8"/>
  <c r="BH321" i="8"/>
  <c r="BH319" i="8"/>
  <c r="CD345" i="8"/>
  <c r="CD343" i="8"/>
  <c r="CD341" i="8"/>
  <c r="CD339" i="8"/>
  <c r="CD337" i="8"/>
  <c r="CD335" i="8"/>
  <c r="CD333" i="8"/>
  <c r="CD331" i="8"/>
  <c r="CD329" i="8"/>
  <c r="CD327" i="8"/>
  <c r="CD325" i="8"/>
  <c r="CD323" i="8"/>
  <c r="CD321" i="8"/>
  <c r="CD319" i="8"/>
  <c r="CD313" i="8"/>
  <c r="BN344" i="8"/>
  <c r="BM342" i="8"/>
  <c r="BL340" i="8"/>
  <c r="BK338" i="8"/>
  <c r="BJ336" i="8"/>
  <c r="BI334" i="8"/>
  <c r="BH332" i="8"/>
  <c r="BS329" i="8"/>
  <c r="BR327" i="8"/>
  <c r="BQ325" i="8"/>
  <c r="BP323" i="8"/>
  <c r="BO321" i="8"/>
  <c r="BN319" i="8"/>
  <c r="BM317" i="8"/>
  <c r="BM315" i="8"/>
  <c r="BM313" i="8"/>
  <c r="BM311" i="8"/>
  <c r="BM344" i="8"/>
  <c r="BL342" i="8"/>
  <c r="BK340" i="8"/>
  <c r="BJ338" i="8"/>
  <c r="BI336" i="8"/>
  <c r="BH334" i="8"/>
  <c r="BS331" i="8"/>
  <c r="BR329" i="8"/>
  <c r="BQ327" i="8"/>
  <c r="BP325" i="8"/>
  <c r="BO323" i="8"/>
  <c r="BN321" i="8"/>
  <c r="BM319" i="8"/>
  <c r="BL317" i="8"/>
  <c r="BL315" i="8"/>
  <c r="BL313" i="8"/>
  <c r="BL311" i="8"/>
  <c r="CD317" i="8"/>
  <c r="BL344" i="8"/>
  <c r="BK342" i="8"/>
  <c r="BJ340" i="8"/>
  <c r="BI338" i="8"/>
  <c r="BH336" i="8"/>
  <c r="BS333" i="8"/>
  <c r="BR331" i="8"/>
  <c r="BQ329" i="8"/>
  <c r="BP327" i="8"/>
  <c r="BO325" i="8"/>
  <c r="BN323" i="8"/>
  <c r="BM321" i="8"/>
  <c r="BL319" i="8"/>
  <c r="BK317" i="8"/>
  <c r="BK315" i="8"/>
  <c r="BK313" i="8"/>
  <c r="BK311" i="8"/>
  <c r="CD315" i="8"/>
  <c r="BK344" i="8"/>
  <c r="BJ342" i="8"/>
  <c r="BI340" i="8"/>
  <c r="BH338" i="8"/>
  <c r="BS335" i="8"/>
  <c r="BR333" i="8"/>
  <c r="BQ331" i="8"/>
  <c r="BP329" i="8"/>
  <c r="BO327" i="8"/>
  <c r="BN325" i="8"/>
  <c r="BM323" i="8"/>
  <c r="BL321" i="8"/>
  <c r="BK319" i="8"/>
  <c r="BJ317" i="8"/>
  <c r="BJ315" i="8"/>
  <c r="BJ313" i="8"/>
  <c r="BJ311" i="8"/>
  <c r="BJ344" i="8"/>
  <c r="BI342" i="8"/>
  <c r="BH340" i="8"/>
  <c r="BS337" i="8"/>
  <c r="BR335" i="8"/>
  <c r="BQ333" i="8"/>
  <c r="BP331" i="8"/>
  <c r="BO329" i="8"/>
  <c r="BN327" i="8"/>
  <c r="BM325" i="8"/>
  <c r="BL323" i="8"/>
  <c r="BK321" i="8"/>
  <c r="BJ319" i="8"/>
  <c r="BI317" i="8"/>
  <c r="BI315" i="8"/>
  <c r="BI313" i="8"/>
  <c r="BI311" i="8"/>
  <c r="BI344" i="8"/>
  <c r="BH342" i="8"/>
  <c r="BS339" i="8"/>
  <c r="BR337" i="8"/>
  <c r="BQ335" i="8"/>
  <c r="BP333" i="8"/>
  <c r="BO331" i="8"/>
  <c r="BN329" i="8"/>
  <c r="BM327" i="8"/>
  <c r="BL325" i="8"/>
  <c r="BK323" i="8"/>
  <c r="BJ321" i="8"/>
  <c r="BI319" i="8"/>
  <c r="BH317" i="8"/>
  <c r="BH315" i="8"/>
  <c r="BH313" i="8"/>
  <c r="BH311" i="8"/>
  <c r="BH344" i="8"/>
  <c r="BS341" i="8"/>
  <c r="BR339" i="8"/>
  <c r="BQ337" i="8"/>
  <c r="BP335" i="8"/>
  <c r="BO333" i="8"/>
  <c r="BN331" i="8"/>
  <c r="BM329" i="8"/>
  <c r="BL327" i="8"/>
  <c r="BK325" i="8"/>
  <c r="BJ323" i="8"/>
  <c r="BI321" i="8"/>
  <c r="BS318" i="8"/>
  <c r="BS316" i="8"/>
  <c r="BS314" i="8"/>
  <c r="BS312" i="8"/>
  <c r="BS310" i="8"/>
  <c r="BS343" i="8"/>
  <c r="BR341" i="8"/>
  <c r="BQ339" i="8"/>
  <c r="BP337" i="8"/>
  <c r="BO335" i="8"/>
  <c r="BN333" i="8"/>
  <c r="BM331" i="8"/>
  <c r="BL329" i="8"/>
  <c r="BK327" i="8"/>
  <c r="BJ325" i="8"/>
  <c r="BI323" i="8"/>
  <c r="BS320" i="8"/>
  <c r="BR318" i="8"/>
  <c r="BR316" i="8"/>
  <c r="BR314" i="8"/>
  <c r="BR312" i="8"/>
  <c r="BR310" i="8"/>
  <c r="BS345" i="8"/>
  <c r="BR343" i="8"/>
  <c r="BQ341" i="8"/>
  <c r="BP339" i="8"/>
  <c r="BO337" i="8"/>
  <c r="BN335" i="8"/>
  <c r="BM333" i="8"/>
  <c r="BL331" i="8"/>
  <c r="BK329" i="8"/>
  <c r="BJ327" i="8"/>
  <c r="BI325" i="8"/>
  <c r="BS322" i="8"/>
  <c r="BR320" i="8"/>
  <c r="BQ318" i="8"/>
  <c r="BQ316" i="8"/>
  <c r="BQ314" i="8"/>
  <c r="BQ312" i="8"/>
  <c r="BQ310" i="8"/>
  <c r="BR345" i="8"/>
  <c r="BQ343" i="8"/>
  <c r="BP341" i="8"/>
  <c r="BO339" i="8"/>
  <c r="BN337" i="8"/>
  <c r="BM335" i="8"/>
  <c r="BL333" i="8"/>
  <c r="BK331" i="8"/>
  <c r="BJ329" i="8"/>
  <c r="BI327" i="8"/>
  <c r="BS324" i="8"/>
  <c r="BR322" i="8"/>
  <c r="BQ320" i="8"/>
  <c r="BP318" i="8"/>
  <c r="BP316" i="8"/>
  <c r="BP314" i="8"/>
  <c r="BP312" i="8"/>
  <c r="BP310" i="8"/>
  <c r="BQ345" i="8"/>
  <c r="BP343" i="8"/>
  <c r="BO341" i="8"/>
  <c r="BN339" i="8"/>
  <c r="BM337" i="8"/>
  <c r="BL335" i="8"/>
  <c r="BK333" i="8"/>
  <c r="BJ331" i="8"/>
  <c r="BI329" i="8"/>
  <c r="BS326" i="8"/>
  <c r="BR324" i="8"/>
  <c r="BQ322" i="8"/>
  <c r="BP320" i="8"/>
  <c r="BO318" i="8"/>
  <c r="BO316" i="8"/>
  <c r="BO314" i="8"/>
  <c r="BO312" i="8"/>
  <c r="BO310" i="8"/>
  <c r="BP345" i="8"/>
  <c r="BO343" i="8"/>
  <c r="BN341" i="8"/>
  <c r="BM339" i="8"/>
  <c r="BL337" i="8"/>
  <c r="BK335" i="8"/>
  <c r="BJ333" i="8"/>
  <c r="BI331" i="8"/>
  <c r="BS328" i="8"/>
  <c r="BR326" i="8"/>
  <c r="BQ324" i="8"/>
  <c r="BP322" i="8"/>
  <c r="BO320" i="8"/>
  <c r="BN318" i="8"/>
  <c r="BN316" i="8"/>
  <c r="BN314" i="8"/>
  <c r="BN312" i="8"/>
  <c r="BN310" i="8"/>
  <c r="BO345" i="8"/>
  <c r="BN343" i="8"/>
  <c r="BM341" i="8"/>
  <c r="BL339" i="8"/>
  <c r="BK337" i="8"/>
  <c r="BJ335" i="8"/>
  <c r="BI333" i="8"/>
  <c r="BS330" i="8"/>
  <c r="BR328" i="8"/>
  <c r="BQ326" i="8"/>
  <c r="BP324" i="8"/>
  <c r="BO322" i="8"/>
  <c r="BN320" i="8"/>
  <c r="BM318" i="8"/>
  <c r="BM316" i="8"/>
  <c r="BM314" i="8"/>
  <c r="BM312" i="8"/>
  <c r="BM310" i="8"/>
  <c r="BN345" i="8"/>
  <c r="BM343" i="8"/>
  <c r="BL341" i="8"/>
  <c r="BK339" i="8"/>
  <c r="BJ337" i="8"/>
  <c r="BI335" i="8"/>
  <c r="BS332" i="8"/>
  <c r="BR330" i="8"/>
  <c r="BQ328" i="8"/>
  <c r="BP326" i="8"/>
  <c r="BO324" i="8"/>
  <c r="BN322" i="8"/>
  <c r="BM320" i="8"/>
  <c r="BL318" i="8"/>
  <c r="BL316" i="8"/>
  <c r="BL314" i="8"/>
  <c r="BL312" i="8"/>
  <c r="BL310" i="8"/>
  <c r="BM345" i="8"/>
  <c r="BL343" i="8"/>
  <c r="BK341" i="8"/>
  <c r="BJ339" i="8"/>
  <c r="BI337" i="8"/>
  <c r="BS334" i="8"/>
  <c r="BR332" i="8"/>
  <c r="BQ330" i="8"/>
  <c r="BP328" i="8"/>
  <c r="BO326" i="8"/>
  <c r="BN324" i="8"/>
  <c r="BM322" i="8"/>
  <c r="BL320" i="8"/>
  <c r="BK318" i="8"/>
  <c r="BK316" i="8"/>
  <c r="BK314" i="8"/>
  <c r="BK312" i="8"/>
  <c r="BK310" i="8"/>
  <c r="BL345" i="8"/>
  <c r="BK343" i="8"/>
  <c r="BJ341" i="8"/>
  <c r="BI339" i="8"/>
  <c r="BS336" i="8"/>
  <c r="BR334" i="8"/>
  <c r="BQ332" i="8"/>
  <c r="BP330" i="8"/>
  <c r="BO328" i="8"/>
  <c r="BN326" i="8"/>
  <c r="BM324" i="8"/>
  <c r="BL322" i="8"/>
  <c r="BK320" i="8"/>
  <c r="BJ318" i="8"/>
  <c r="BJ316" i="8"/>
  <c r="BJ314" i="8"/>
  <c r="BJ312" i="8"/>
  <c r="BJ310" i="8"/>
  <c r="BK345" i="8"/>
  <c r="BJ343" i="8"/>
  <c r="BI341" i="8"/>
  <c r="BS338" i="8"/>
  <c r="BR336" i="8"/>
  <c r="BQ334" i="8"/>
  <c r="BP332" i="8"/>
  <c r="BO330" i="8"/>
  <c r="BN328" i="8"/>
  <c r="BM326" i="8"/>
  <c r="BL324" i="8"/>
  <c r="BK322" i="8"/>
  <c r="BJ320" i="8"/>
  <c r="BI318" i="8"/>
  <c r="BI316" i="8"/>
  <c r="BI314" i="8"/>
  <c r="BI312" i="8"/>
  <c r="BI310" i="8"/>
  <c r="BJ345" i="8"/>
  <c r="BI343" i="8"/>
  <c r="BS340" i="8"/>
  <c r="BR338" i="8"/>
  <c r="BQ336" i="8"/>
  <c r="BP334" i="8"/>
  <c r="BO332" i="8"/>
  <c r="BN330" i="8"/>
  <c r="BM328" i="8"/>
  <c r="BL326" i="8"/>
  <c r="BK324" i="8"/>
  <c r="BJ322" i="8"/>
  <c r="BI320" i="8"/>
  <c r="BH318" i="8"/>
  <c r="BH316" i="8"/>
  <c r="BH314" i="8"/>
  <c r="BH312" i="8"/>
  <c r="BH310" i="8"/>
  <c r="BI345" i="8"/>
  <c r="BS342" i="8"/>
  <c r="BR340" i="8"/>
  <c r="BQ338" i="8"/>
  <c r="BP336" i="8"/>
  <c r="BO334" i="8"/>
  <c r="BN332" i="8"/>
  <c r="BM330" i="8"/>
  <c r="BL328" i="8"/>
  <c r="BK326" i="8"/>
  <c r="BJ324" i="8"/>
  <c r="BI322" i="8"/>
  <c r="BH320" i="8"/>
  <c r="BS317" i="8"/>
  <c r="BS315" i="8"/>
  <c r="BS313" i="8"/>
  <c r="BS311" i="8"/>
  <c r="BS344" i="8"/>
  <c r="BR342" i="8"/>
  <c r="BQ340" i="8"/>
  <c r="BP338" i="8"/>
  <c r="BO336" i="8"/>
  <c r="BN334" i="8"/>
  <c r="BM332" i="8"/>
  <c r="BL330" i="8"/>
  <c r="BK328" i="8"/>
  <c r="BJ326" i="8"/>
  <c r="BI324" i="8"/>
  <c r="BH322" i="8"/>
  <c r="BS319" i="8"/>
  <c r="BR317" i="8"/>
  <c r="BR315" i="8"/>
  <c r="BR313" i="8"/>
  <c r="BR311" i="8"/>
  <c r="BR344" i="8"/>
  <c r="BQ342" i="8"/>
  <c r="BP340" i="8"/>
  <c r="BO338" i="8"/>
  <c r="BN336" i="8"/>
  <c r="BM334" i="8"/>
  <c r="BL332" i="8"/>
  <c r="BK330" i="8"/>
  <c r="BJ328" i="8"/>
  <c r="BI326" i="8"/>
  <c r="BH324" i="8"/>
  <c r="BS321" i="8"/>
  <c r="BR319" i="8"/>
  <c r="BQ317" i="8"/>
  <c r="BQ315" i="8"/>
  <c r="BQ313" i="8"/>
  <c r="BQ311" i="8"/>
  <c r="BO344" i="8"/>
  <c r="BN342" i="8"/>
  <c r="BM340" i="8"/>
  <c r="BL338" i="8"/>
  <c r="BK336" i="8"/>
  <c r="BJ334" i="8"/>
  <c r="BI332" i="8"/>
  <c r="BH330" i="8"/>
  <c r="BS327" i="8"/>
  <c r="BR325" i="8"/>
  <c r="BQ323" i="8"/>
  <c r="BP321" i="8"/>
  <c r="BO319" i="8"/>
  <c r="BN317" i="8"/>
  <c r="BN315" i="8"/>
  <c r="BN313" i="8"/>
  <c r="BN311" i="8"/>
  <c r="BH326" i="8"/>
  <c r="BS325" i="8"/>
  <c r="BS323" i="8"/>
  <c r="BR323" i="8"/>
  <c r="BR321" i="8"/>
  <c r="BQ321" i="8"/>
  <c r="BQ344" i="8"/>
  <c r="BQ319" i="8"/>
  <c r="BP344" i="8"/>
  <c r="BP319" i="8"/>
  <c r="BP342" i="8"/>
  <c r="BP317" i="8"/>
  <c r="BO342" i="8"/>
  <c r="BO317" i="8"/>
  <c r="BO340" i="8"/>
  <c r="BP315" i="8"/>
  <c r="BN340" i="8"/>
  <c r="BO315" i="8"/>
  <c r="BN338" i="8"/>
  <c r="BP313" i="8"/>
  <c r="BM338" i="8"/>
  <c r="BO313" i="8"/>
  <c r="BM336" i="8"/>
  <c r="BP311" i="8"/>
  <c r="BL336" i="8"/>
  <c r="BO311" i="8"/>
  <c r="BL334" i="8"/>
  <c r="BK334" i="8"/>
  <c r="BK332" i="8"/>
  <c r="BJ332" i="8"/>
  <c r="BJ330" i="8"/>
  <c r="BI330" i="8"/>
  <c r="BI328" i="8"/>
  <c r="BH328" i="8"/>
  <c r="BA345" i="8"/>
  <c r="BA343" i="8"/>
  <c r="BA341" i="8"/>
  <c r="BA339" i="8"/>
  <c r="BA337" i="8"/>
  <c r="BA335" i="8"/>
  <c r="BA333" i="8"/>
  <c r="BA331" i="8"/>
  <c r="BA329" i="8"/>
  <c r="BA327" i="8"/>
  <c r="BA325" i="8"/>
  <c r="BA323" i="8"/>
  <c r="BA321" i="8"/>
  <c r="BA319" i="8"/>
  <c r="BA317" i="8"/>
  <c r="BA315" i="8"/>
  <c r="BA313" i="8"/>
  <c r="BA311" i="8"/>
  <c r="AZ345" i="8"/>
  <c r="AZ343" i="8"/>
  <c r="AZ341" i="8"/>
  <c r="AZ339" i="8"/>
  <c r="AZ337" i="8"/>
  <c r="AZ335" i="8"/>
  <c r="AZ333" i="8"/>
  <c r="AZ331" i="8"/>
  <c r="AZ329" i="8"/>
  <c r="AZ327" i="8"/>
  <c r="AZ325" i="8"/>
  <c r="AZ323" i="8"/>
  <c r="AZ321" i="8"/>
  <c r="AZ319" i="8"/>
  <c r="AZ317" i="8"/>
  <c r="AZ315" i="8"/>
  <c r="AZ313" i="8"/>
  <c r="AZ311" i="8"/>
  <c r="AY345" i="8"/>
  <c r="AY343" i="8"/>
  <c r="AY341" i="8"/>
  <c r="AY339" i="8"/>
  <c r="AY337" i="8"/>
  <c r="AY335" i="8"/>
  <c r="AY333" i="8"/>
  <c r="AY331" i="8"/>
  <c r="AY329" i="8"/>
  <c r="AY327" i="8"/>
  <c r="AY325" i="8"/>
  <c r="AY323" i="8"/>
  <c r="AY321" i="8"/>
  <c r="AY319" i="8"/>
  <c r="AY317" i="8"/>
  <c r="AY315" i="8"/>
  <c r="AY313" i="8"/>
  <c r="AY311" i="8"/>
  <c r="AX345" i="8"/>
  <c r="AX343" i="8"/>
  <c r="AX341" i="8"/>
  <c r="AX339" i="8"/>
  <c r="AX337" i="8"/>
  <c r="AX335" i="8"/>
  <c r="AX333" i="8"/>
  <c r="AX331" i="8"/>
  <c r="AX329" i="8"/>
  <c r="AX327" i="8"/>
  <c r="AX325" i="8"/>
  <c r="AX323" i="8"/>
  <c r="AX321" i="8"/>
  <c r="AX319" i="8"/>
  <c r="AX317" i="8"/>
  <c r="AX315" i="8"/>
  <c r="AX313" i="8"/>
  <c r="AX311" i="8"/>
  <c r="AW345" i="8"/>
  <c r="AW343" i="8"/>
  <c r="AW341" i="8"/>
  <c r="AW339" i="8"/>
  <c r="AW337" i="8"/>
  <c r="AW335" i="8"/>
  <c r="AW333" i="8"/>
  <c r="AW331" i="8"/>
  <c r="AW329" i="8"/>
  <c r="AW327" i="8"/>
  <c r="AW325" i="8"/>
  <c r="AW323" i="8"/>
  <c r="AW321" i="8"/>
  <c r="AW319" i="8"/>
  <c r="AW317" i="8"/>
  <c r="AW315" i="8"/>
  <c r="AW313" i="8"/>
  <c r="AW311" i="8"/>
  <c r="AV345" i="8"/>
  <c r="AV343" i="8"/>
  <c r="AV341" i="8"/>
  <c r="AV339" i="8"/>
  <c r="AV337" i="8"/>
  <c r="AV335" i="8"/>
  <c r="AV333" i="8"/>
  <c r="AV331" i="8"/>
  <c r="AV329" i="8"/>
  <c r="AV327" i="8"/>
  <c r="AV325" i="8"/>
  <c r="AV323" i="8"/>
  <c r="AV321" i="8"/>
  <c r="AV319" i="8"/>
  <c r="AV317" i="8"/>
  <c r="AV315" i="8"/>
  <c r="AV313" i="8"/>
  <c r="AV311" i="8"/>
  <c r="AU345" i="8"/>
  <c r="AU343" i="8"/>
  <c r="AU341" i="8"/>
  <c r="AU339" i="8"/>
  <c r="AU337" i="8"/>
  <c r="AU335" i="8"/>
  <c r="AU333" i="8"/>
  <c r="AU331" i="8"/>
  <c r="AU329" i="8"/>
  <c r="AU327" i="8"/>
  <c r="AU325" i="8"/>
  <c r="AU323" i="8"/>
  <c r="AU321" i="8"/>
  <c r="AU319" i="8"/>
  <c r="AU317" i="8"/>
  <c r="AU315" i="8"/>
  <c r="AU313" i="8"/>
  <c r="AU311" i="8"/>
  <c r="AT345" i="8"/>
  <c r="AT343" i="8"/>
  <c r="AT341" i="8"/>
  <c r="AT339" i="8"/>
  <c r="AT337" i="8"/>
  <c r="AT335" i="8"/>
  <c r="AT333" i="8"/>
  <c r="AT331" i="8"/>
  <c r="AT329" i="8"/>
  <c r="AT327" i="8"/>
  <c r="AT325" i="8"/>
  <c r="AT323" i="8"/>
  <c r="AT321" i="8"/>
  <c r="AT319" i="8"/>
  <c r="AT317" i="8"/>
  <c r="AT315" i="8"/>
  <c r="AT313" i="8"/>
  <c r="AT311" i="8"/>
  <c r="BE344" i="8"/>
  <c r="BE342" i="8"/>
  <c r="BE340" i="8"/>
  <c r="BE338" i="8"/>
  <c r="BE336" i="8"/>
  <c r="BE334" i="8"/>
  <c r="BE332" i="8"/>
  <c r="BE330" i="8"/>
  <c r="BE328" i="8"/>
  <c r="BE326" i="8"/>
  <c r="BE324" i="8"/>
  <c r="BE322" i="8"/>
  <c r="BE320" i="8"/>
  <c r="BE318" i="8"/>
  <c r="BE316" i="8"/>
  <c r="BE314" i="8"/>
  <c r="BE312" i="8"/>
  <c r="BE310" i="8"/>
  <c r="BD344" i="8"/>
  <c r="BD342" i="8"/>
  <c r="BD340" i="8"/>
  <c r="BD338" i="8"/>
  <c r="BD336" i="8"/>
  <c r="BD334" i="8"/>
  <c r="BD332" i="8"/>
  <c r="BD330" i="8"/>
  <c r="BD328" i="8"/>
  <c r="BD326" i="8"/>
  <c r="BD324" i="8"/>
  <c r="BD322" i="8"/>
  <c r="BD320" i="8"/>
  <c r="BD318" i="8"/>
  <c r="BD316" i="8"/>
  <c r="BD314" i="8"/>
  <c r="BD312" i="8"/>
  <c r="BD310" i="8"/>
  <c r="BC344" i="8"/>
  <c r="BC342" i="8"/>
  <c r="BC340" i="8"/>
  <c r="BC338" i="8"/>
  <c r="BC336" i="8"/>
  <c r="BC334" i="8"/>
  <c r="BC332" i="8"/>
  <c r="BC330" i="8"/>
  <c r="BC328" i="8"/>
  <c r="BC326" i="8"/>
  <c r="BC324" i="8"/>
  <c r="BC322" i="8"/>
  <c r="BC320" i="8"/>
  <c r="BC318" i="8"/>
  <c r="BC316" i="8"/>
  <c r="BC314" i="8"/>
  <c r="BC312" i="8"/>
  <c r="BC310" i="8"/>
  <c r="BB344" i="8"/>
  <c r="BB342" i="8"/>
  <c r="BB340" i="8"/>
  <c r="BB338" i="8"/>
  <c r="BB336" i="8"/>
  <c r="BB334" i="8"/>
  <c r="BB332" i="8"/>
  <c r="BB330" i="8"/>
  <c r="BB328" i="8"/>
  <c r="BB326" i="8"/>
  <c r="BB324" i="8"/>
  <c r="BB322" i="8"/>
  <c r="BB320" i="8"/>
  <c r="BB318" i="8"/>
  <c r="BB316" i="8"/>
  <c r="BB314" i="8"/>
  <c r="BB312" i="8"/>
  <c r="BB310" i="8"/>
  <c r="BA344" i="8"/>
  <c r="BA342" i="8"/>
  <c r="BA340" i="8"/>
  <c r="BA338" i="8"/>
  <c r="BA336" i="8"/>
  <c r="BA334" i="8"/>
  <c r="BA332" i="8"/>
  <c r="BA330" i="8"/>
  <c r="BA328" i="8"/>
  <c r="BA326" i="8"/>
  <c r="BA324" i="8"/>
  <c r="BA322" i="8"/>
  <c r="BA320" i="8"/>
  <c r="BA318" i="8"/>
  <c r="BA316" i="8"/>
  <c r="BA314" i="8"/>
  <c r="BA312" i="8"/>
  <c r="BA310" i="8"/>
  <c r="AZ344" i="8"/>
  <c r="AZ342" i="8"/>
  <c r="AZ340" i="8"/>
  <c r="AZ338" i="8"/>
  <c r="AZ336" i="8"/>
  <c r="AZ334" i="8"/>
  <c r="AZ332" i="8"/>
  <c r="AZ330" i="8"/>
  <c r="AZ328" i="8"/>
  <c r="AZ326" i="8"/>
  <c r="AZ324" i="8"/>
  <c r="AZ322" i="8"/>
  <c r="AZ320" i="8"/>
  <c r="AZ318" i="8"/>
  <c r="AZ316" i="8"/>
  <c r="AZ314" i="8"/>
  <c r="AZ312" i="8"/>
  <c r="AZ310" i="8"/>
  <c r="AY344" i="8"/>
  <c r="AY342" i="8"/>
  <c r="AY340" i="8"/>
  <c r="AY338" i="8"/>
  <c r="AY336" i="8"/>
  <c r="AY334" i="8"/>
  <c r="AY332" i="8"/>
  <c r="AY330" i="8"/>
  <c r="AY328" i="8"/>
  <c r="AY326" i="8"/>
  <c r="AY324" i="8"/>
  <c r="AY322" i="8"/>
  <c r="AY320" i="8"/>
  <c r="AY318" i="8"/>
  <c r="AY316" i="8"/>
  <c r="AY314" i="8"/>
  <c r="AY312" i="8"/>
  <c r="AY310" i="8"/>
  <c r="AX344" i="8"/>
  <c r="AX342" i="8"/>
  <c r="AX340" i="8"/>
  <c r="AX338" i="8"/>
  <c r="AX336" i="8"/>
  <c r="AX334" i="8"/>
  <c r="AX332" i="8"/>
  <c r="AX330" i="8"/>
  <c r="AX328" i="8"/>
  <c r="AX326" i="8"/>
  <c r="AX324" i="8"/>
  <c r="AX322" i="8"/>
  <c r="AX320" i="8"/>
  <c r="AX318" i="8"/>
  <c r="AW344" i="8"/>
  <c r="AW342" i="8"/>
  <c r="AW340" i="8"/>
  <c r="AW338" i="8"/>
  <c r="AW336" i="8"/>
  <c r="AW334" i="8"/>
  <c r="AW332" i="8"/>
  <c r="AW330" i="8"/>
  <c r="AW328" i="8"/>
  <c r="AW326" i="8"/>
  <c r="AW324" i="8"/>
  <c r="AV344" i="8"/>
  <c r="AV342" i="8"/>
  <c r="AV340" i="8"/>
  <c r="AV338" i="8"/>
  <c r="AV336" i="8"/>
  <c r="AV334" i="8"/>
  <c r="AV332" i="8"/>
  <c r="AV330" i="8"/>
  <c r="AV328" i="8"/>
  <c r="AV326" i="8"/>
  <c r="AU344" i="8"/>
  <c r="AU342" i="8"/>
  <c r="AU340" i="8"/>
  <c r="AU338" i="8"/>
  <c r="AU336" i="8"/>
  <c r="AU334" i="8"/>
  <c r="AU332" i="8"/>
  <c r="AU330" i="8"/>
  <c r="AU328" i="8"/>
  <c r="AU326" i="8"/>
  <c r="AU324" i="8"/>
  <c r="AT344" i="8"/>
  <c r="AT342" i="8"/>
  <c r="AT340" i="8"/>
  <c r="AT338" i="8"/>
  <c r="AT336" i="8"/>
  <c r="AT334" i="8"/>
  <c r="AT332" i="8"/>
  <c r="AT330" i="8"/>
  <c r="AT328" i="8"/>
  <c r="AT326" i="8"/>
  <c r="AT324" i="8"/>
  <c r="AT322" i="8"/>
  <c r="AT320" i="8"/>
  <c r="AT318" i="8"/>
  <c r="AT316" i="8"/>
  <c r="BE345" i="8"/>
  <c r="BE343" i="8"/>
  <c r="BE341" i="8"/>
  <c r="BE339" i="8"/>
  <c r="BE337" i="8"/>
  <c r="BE335" i="8"/>
  <c r="BE333" i="8"/>
  <c r="BE331" i="8"/>
  <c r="BE329" i="8"/>
  <c r="BE327" i="8"/>
  <c r="BE325" i="8"/>
  <c r="BE323" i="8"/>
  <c r="BE321" i="8"/>
  <c r="BE319" i="8"/>
  <c r="BE317" i="8"/>
  <c r="BE315" i="8"/>
  <c r="BE313" i="8"/>
  <c r="BE311" i="8"/>
  <c r="BB345" i="8"/>
  <c r="BB343" i="8"/>
  <c r="BB341" i="8"/>
  <c r="BB339" i="8"/>
  <c r="BB337" i="8"/>
  <c r="BB335" i="8"/>
  <c r="BB333" i="8"/>
  <c r="BB331" i="8"/>
  <c r="BB329" i="8"/>
  <c r="BB327" i="8"/>
  <c r="BB325" i="8"/>
  <c r="BB323" i="8"/>
  <c r="BB321" i="8"/>
  <c r="BB319" i="8"/>
  <c r="BB317" i="8"/>
  <c r="BB315" i="8"/>
  <c r="BC333" i="8"/>
  <c r="AU318" i="8"/>
  <c r="BB311" i="8"/>
  <c r="BD331" i="8"/>
  <c r="BD317" i="8"/>
  <c r="AX310" i="8"/>
  <c r="BC331" i="8"/>
  <c r="BC317" i="8"/>
  <c r="AW310" i="8"/>
  <c r="BD329" i="8"/>
  <c r="AX316" i="8"/>
  <c r="AV310" i="8"/>
  <c r="BC329" i="8"/>
  <c r="AW316" i="8"/>
  <c r="AU310" i="8"/>
  <c r="BD327" i="8"/>
  <c r="AV316" i="8"/>
  <c r="AT310" i="8"/>
  <c r="BC327" i="8"/>
  <c r="AU316" i="8"/>
  <c r="BD325" i="8"/>
  <c r="BD315" i="8"/>
  <c r="BC325" i="8"/>
  <c r="BC315" i="8"/>
  <c r="AV324" i="8"/>
  <c r="AX314" i="8"/>
  <c r="BD323" i="8"/>
  <c r="AW314" i="8"/>
  <c r="BD345" i="8"/>
  <c r="BC323" i="8"/>
  <c r="AV314" i="8"/>
  <c r="BC345" i="8"/>
  <c r="AW322" i="8"/>
  <c r="AU314" i="8"/>
  <c r="BD343" i="8"/>
  <c r="AV322" i="8"/>
  <c r="AT314" i="8"/>
  <c r="BC343" i="8"/>
  <c r="AU322" i="8"/>
  <c r="BD313" i="8"/>
  <c r="BD341" i="8"/>
  <c r="BD321" i="8"/>
  <c r="BC313" i="8"/>
  <c r="BC341" i="8"/>
  <c r="BC321" i="8"/>
  <c r="BB313" i="8"/>
  <c r="BD339" i="8"/>
  <c r="AW320" i="8"/>
  <c r="AX312" i="8"/>
  <c r="BC339" i="8"/>
  <c r="AV320" i="8"/>
  <c r="AW312" i="8"/>
  <c r="BD337" i="8"/>
  <c r="AU320" i="8"/>
  <c r="AV312" i="8"/>
  <c r="BC337" i="8"/>
  <c r="BD319" i="8"/>
  <c r="AU312" i="8"/>
  <c r="BD335" i="8"/>
  <c r="BC319" i="8"/>
  <c r="AT312" i="8"/>
  <c r="BD333" i="8"/>
  <c r="AV318" i="8"/>
  <c r="BC311" i="8"/>
  <c r="AO344" i="8"/>
  <c r="AO342" i="8"/>
  <c r="AO340" i="8"/>
  <c r="AO338" i="8"/>
  <c r="AO336" i="8"/>
  <c r="AO334" i="8"/>
  <c r="AO332" i="8"/>
  <c r="AO330" i="8"/>
  <c r="AO328" i="8"/>
  <c r="AO326" i="8"/>
  <c r="AO324" i="8"/>
  <c r="AO322" i="8"/>
  <c r="AO320" i="8"/>
  <c r="AO318" i="8"/>
  <c r="AO316" i="8"/>
  <c r="AO314" i="8"/>
  <c r="AO312" i="8"/>
  <c r="AO310" i="8"/>
  <c r="AN344" i="8"/>
  <c r="AN342" i="8"/>
  <c r="AN340" i="8"/>
  <c r="AN338" i="8"/>
  <c r="AN336" i="8"/>
  <c r="AN334" i="8"/>
  <c r="AN332" i="8"/>
  <c r="AN330" i="8"/>
  <c r="AN328" i="8"/>
  <c r="AN326" i="8"/>
  <c r="AN324" i="8"/>
  <c r="AN322" i="8"/>
  <c r="AN320" i="8"/>
  <c r="AN318" i="8"/>
  <c r="AN316" i="8"/>
  <c r="AN314" i="8"/>
  <c r="AN312" i="8"/>
  <c r="AN310" i="8"/>
  <c r="BC335" i="8"/>
  <c r="AM344" i="8"/>
  <c r="AM342" i="8"/>
  <c r="AM340" i="8"/>
  <c r="AM338" i="8"/>
  <c r="AM336" i="8"/>
  <c r="AM334" i="8"/>
  <c r="AM332" i="8"/>
  <c r="AM330" i="8"/>
  <c r="AM328" i="8"/>
  <c r="AM326" i="8"/>
  <c r="AM324" i="8"/>
  <c r="AM322" i="8"/>
  <c r="AM320" i="8"/>
  <c r="AM318" i="8"/>
  <c r="AM316" i="8"/>
  <c r="AM314" i="8"/>
  <c r="AM312" i="8"/>
  <c r="AM310" i="8"/>
  <c r="AW318" i="8"/>
  <c r="AL344" i="8"/>
  <c r="AL342" i="8"/>
  <c r="AL340" i="8"/>
  <c r="AL338" i="8"/>
  <c r="AL336" i="8"/>
  <c r="AL334" i="8"/>
  <c r="AL332" i="8"/>
  <c r="AL330" i="8"/>
  <c r="AL328" i="8"/>
  <c r="AL326" i="8"/>
  <c r="AL324" i="8"/>
  <c r="AL322" i="8"/>
  <c r="AL320" i="8"/>
  <c r="AL318" i="8"/>
  <c r="AL316" i="8"/>
  <c r="AL314" i="8"/>
  <c r="AL312" i="8"/>
  <c r="AL310" i="8"/>
  <c r="BD311" i="8"/>
  <c r="AK344" i="8"/>
  <c r="AK342" i="8"/>
  <c r="AK340" i="8"/>
  <c r="AK338" i="8"/>
  <c r="AK336" i="8"/>
  <c r="AK334" i="8"/>
  <c r="AK332" i="8"/>
  <c r="AK330" i="8"/>
  <c r="AK328" i="8"/>
  <c r="AK326" i="8"/>
  <c r="AK324" i="8"/>
  <c r="AK322" i="8"/>
  <c r="AK320" i="8"/>
  <c r="AK318" i="8"/>
  <c r="AK316" i="8"/>
  <c r="AK314" i="8"/>
  <c r="AK312" i="8"/>
  <c r="AK310" i="8"/>
  <c r="AJ344" i="8"/>
  <c r="AJ342" i="8"/>
  <c r="AJ340" i="8"/>
  <c r="AJ338" i="8"/>
  <c r="AJ336" i="8"/>
  <c r="AJ334" i="8"/>
  <c r="AJ332" i="8"/>
  <c r="AJ330" i="8"/>
  <c r="AJ328" i="8"/>
  <c r="AJ326" i="8"/>
  <c r="AJ324" i="8"/>
  <c r="AJ322" i="8"/>
  <c r="AJ320" i="8"/>
  <c r="AJ318" i="8"/>
  <c r="AJ316" i="8"/>
  <c r="AJ314" i="8"/>
  <c r="AJ312" i="8"/>
  <c r="AJ310" i="8"/>
  <c r="AI344" i="8"/>
  <c r="AI342" i="8"/>
  <c r="AI340" i="8"/>
  <c r="AI338" i="8"/>
  <c r="AI336" i="8"/>
  <c r="AI334" i="8"/>
  <c r="AI332" i="8"/>
  <c r="AI330" i="8"/>
  <c r="AI328" i="8"/>
  <c r="AI326" i="8"/>
  <c r="AI324" i="8"/>
  <c r="AI322" i="8"/>
  <c r="AI320" i="8"/>
  <c r="AI318" i="8"/>
  <c r="AI316" i="8"/>
  <c r="AI314" i="8"/>
  <c r="AI312" i="8"/>
  <c r="AI310" i="8"/>
  <c r="AH344" i="8"/>
  <c r="AH342" i="8"/>
  <c r="AH340" i="8"/>
  <c r="AH338" i="8"/>
  <c r="AH336" i="8"/>
  <c r="AH334" i="8"/>
  <c r="AH332" i="8"/>
  <c r="AH330" i="8"/>
  <c r="AH328" i="8"/>
  <c r="AH326" i="8"/>
  <c r="AH324" i="8"/>
  <c r="AH322" i="8"/>
  <c r="AH320" i="8"/>
  <c r="AH318" i="8"/>
  <c r="AH316" i="8"/>
  <c r="AH314" i="8"/>
  <c r="AH312" i="8"/>
  <c r="AH310" i="8"/>
  <c r="AG344" i="8"/>
  <c r="AG342" i="8"/>
  <c r="AG340" i="8"/>
  <c r="AG338" i="8"/>
  <c r="AG336" i="8"/>
  <c r="AG334" i="8"/>
  <c r="AG332" i="8"/>
  <c r="AG330" i="8"/>
  <c r="AG328" i="8"/>
  <c r="AG326" i="8"/>
  <c r="AG324" i="8"/>
  <c r="AG322" i="8"/>
  <c r="AG320" i="8"/>
  <c r="AG318" i="8"/>
  <c r="AG316" i="8"/>
  <c r="AG314" i="8"/>
  <c r="AG312" i="8"/>
  <c r="AG310" i="8"/>
  <c r="AF344" i="8"/>
  <c r="AF342" i="8"/>
  <c r="AF340" i="8"/>
  <c r="AF338" i="8"/>
  <c r="AF336" i="8"/>
  <c r="AF334" i="8"/>
  <c r="AF332" i="8"/>
  <c r="AF330" i="8"/>
  <c r="AF328" i="8"/>
  <c r="AF326" i="8"/>
  <c r="AF324" i="8"/>
  <c r="AF322" i="8"/>
  <c r="AF320" i="8"/>
  <c r="AF318" i="8"/>
  <c r="AF316" i="8"/>
  <c r="AF314" i="8"/>
  <c r="AF312" i="8"/>
  <c r="AF310" i="8"/>
  <c r="AQ345" i="8"/>
  <c r="AQ343" i="8"/>
  <c r="AQ341" i="8"/>
  <c r="AQ339" i="8"/>
  <c r="AQ337" i="8"/>
  <c r="AQ335" i="8"/>
  <c r="AQ333" i="8"/>
  <c r="AQ331" i="8"/>
  <c r="AQ329" i="8"/>
  <c r="AQ327" i="8"/>
  <c r="AQ325" i="8"/>
  <c r="AQ323" i="8"/>
  <c r="AQ321" i="8"/>
  <c r="AQ319" i="8"/>
  <c r="AQ317" i="8"/>
  <c r="AQ315" i="8"/>
  <c r="AQ313" i="8"/>
  <c r="AQ311" i="8"/>
  <c r="AP345" i="8"/>
  <c r="AP343" i="8"/>
  <c r="AP341" i="8"/>
  <c r="AP339" i="8"/>
  <c r="AP337" i="8"/>
  <c r="AP335" i="8"/>
  <c r="AP333" i="8"/>
  <c r="AP331" i="8"/>
  <c r="AP329" i="8"/>
  <c r="AP327" i="8"/>
  <c r="AP325" i="8"/>
  <c r="AP323" i="8"/>
  <c r="AP321" i="8"/>
  <c r="AP319" i="8"/>
  <c r="AP317" i="8"/>
  <c r="AP315" i="8"/>
  <c r="AP313" i="8"/>
  <c r="AP311" i="8"/>
  <c r="AO345" i="8"/>
  <c r="AO343" i="8"/>
  <c r="AO341" i="8"/>
  <c r="AO339" i="8"/>
  <c r="AO337" i="8"/>
  <c r="AO335" i="8"/>
  <c r="AO333" i="8"/>
  <c r="AO331" i="8"/>
  <c r="AO329" i="8"/>
  <c r="AO327" i="8"/>
  <c r="AO325" i="8"/>
  <c r="AO323" i="8"/>
  <c r="AO321" i="8"/>
  <c r="AO319" i="8"/>
  <c r="AO317" i="8"/>
  <c r="AO315" i="8"/>
  <c r="AO313" i="8"/>
  <c r="AO311" i="8"/>
  <c r="AN345" i="8"/>
  <c r="AN343" i="8"/>
  <c r="AN341" i="8"/>
  <c r="AN339" i="8"/>
  <c r="AN337" i="8"/>
  <c r="AN335" i="8"/>
  <c r="AN333" i="8"/>
  <c r="AN331" i="8"/>
  <c r="AN329" i="8"/>
  <c r="AN327" i="8"/>
  <c r="AN325" i="8"/>
  <c r="AN323" i="8"/>
  <c r="AN321" i="8"/>
  <c r="AN319" i="8"/>
  <c r="AN317" i="8"/>
  <c r="AN315" i="8"/>
  <c r="AN313" i="8"/>
  <c r="AN311" i="8"/>
  <c r="AM345" i="8"/>
  <c r="AM343" i="8"/>
  <c r="AM341" i="8"/>
  <c r="AM339" i="8"/>
  <c r="AM337" i="8"/>
  <c r="AM335" i="8"/>
  <c r="AM333" i="8"/>
  <c r="AM331" i="8"/>
  <c r="AM329" i="8"/>
  <c r="AM327" i="8"/>
  <c r="AM325" i="8"/>
  <c r="AM323" i="8"/>
  <c r="AM321" i="8"/>
  <c r="AM319" i="8"/>
  <c r="AM317" i="8"/>
  <c r="AM315" i="8"/>
  <c r="AM313" i="8"/>
  <c r="AM311" i="8"/>
  <c r="AL345" i="8"/>
  <c r="AL343" i="8"/>
  <c r="AL341" i="8"/>
  <c r="AL339" i="8"/>
  <c r="AL337" i="8"/>
  <c r="AL335" i="8"/>
  <c r="AL333" i="8"/>
  <c r="AL331" i="8"/>
  <c r="AL329" i="8"/>
  <c r="AL327" i="8"/>
  <c r="AL325" i="8"/>
  <c r="AL323" i="8"/>
  <c r="AL321" i="8"/>
  <c r="AL319" i="8"/>
  <c r="AL317" i="8"/>
  <c r="AL315" i="8"/>
  <c r="AL313" i="8"/>
  <c r="AL311" i="8"/>
  <c r="AK345" i="8"/>
  <c r="AK343" i="8"/>
  <c r="AK341" i="8"/>
  <c r="AK339" i="8"/>
  <c r="AK337" i="8"/>
  <c r="AK335" i="8"/>
  <c r="AK333" i="8"/>
  <c r="AK331" i="8"/>
  <c r="AK329" i="8"/>
  <c r="AK327" i="8"/>
  <c r="AK325" i="8"/>
  <c r="AK323" i="8"/>
  <c r="AK321" i="8"/>
  <c r="AK319" i="8"/>
  <c r="AK317" i="8"/>
  <c r="AK315" i="8"/>
  <c r="AK313" i="8"/>
  <c r="AK311" i="8"/>
  <c r="AJ345" i="8"/>
  <c r="AJ343" i="8"/>
  <c r="AJ341" i="8"/>
  <c r="AJ339" i="8"/>
  <c r="AJ337" i="8"/>
  <c r="AJ335" i="8"/>
  <c r="AJ333" i="8"/>
  <c r="AJ331" i="8"/>
  <c r="AJ329" i="8"/>
  <c r="AJ327" i="8"/>
  <c r="AJ325" i="8"/>
  <c r="AJ323" i="8"/>
  <c r="AJ321" i="8"/>
  <c r="AJ319" i="8"/>
  <c r="AJ317" i="8"/>
  <c r="AJ315" i="8"/>
  <c r="AJ313" i="8"/>
  <c r="AJ311" i="8"/>
  <c r="AI345" i="8"/>
  <c r="AI343" i="8"/>
  <c r="AI341" i="8"/>
  <c r="AI339" i="8"/>
  <c r="AI337" i="8"/>
  <c r="AI335" i="8"/>
  <c r="AI333" i="8"/>
  <c r="AI331" i="8"/>
  <c r="AI329" i="8"/>
  <c r="AI327" i="8"/>
  <c r="AI325" i="8"/>
  <c r="AI323" i="8"/>
  <c r="AI321" i="8"/>
  <c r="AI319" i="8"/>
  <c r="AI317" i="8"/>
  <c r="AI315" i="8"/>
  <c r="AI313" i="8"/>
  <c r="AI311" i="8"/>
  <c r="AH345" i="8"/>
  <c r="AH343" i="8"/>
  <c r="AH341" i="8"/>
  <c r="AH339" i="8"/>
  <c r="AH337" i="8"/>
  <c r="AH335" i="8"/>
  <c r="AH333" i="8"/>
  <c r="AH331" i="8"/>
  <c r="AH329" i="8"/>
  <c r="AH327" i="8"/>
  <c r="AH325" i="8"/>
  <c r="AH323" i="8"/>
  <c r="AH321" i="8"/>
  <c r="AH319" i="8"/>
  <c r="AH317" i="8"/>
  <c r="AH315" i="8"/>
  <c r="AH313" i="8"/>
  <c r="AH311" i="8"/>
  <c r="AG345" i="8"/>
  <c r="AG343" i="8"/>
  <c r="AG341" i="8"/>
  <c r="AG339" i="8"/>
  <c r="AG337" i="8"/>
  <c r="AG335" i="8"/>
  <c r="AG333" i="8"/>
  <c r="AG331" i="8"/>
  <c r="AG329" i="8"/>
  <c r="AG327" i="8"/>
  <c r="AG325" i="8"/>
  <c r="AG323" i="8"/>
  <c r="AG321" i="8"/>
  <c r="AG319" i="8"/>
  <c r="AF345" i="8"/>
  <c r="AF343" i="8"/>
  <c r="AF341" i="8"/>
  <c r="AF339" i="8"/>
  <c r="AF337" i="8"/>
  <c r="AF335" i="8"/>
  <c r="AF333" i="8"/>
  <c r="AF331" i="8"/>
  <c r="AF329" i="8"/>
  <c r="AF327" i="8"/>
  <c r="AF325" i="8"/>
  <c r="AF323" i="8"/>
  <c r="AF321" i="8"/>
  <c r="AF319" i="8"/>
  <c r="AP344" i="8"/>
  <c r="AP342" i="8"/>
  <c r="AP340" i="8"/>
  <c r="AP338" i="8"/>
  <c r="AP336" i="8"/>
  <c r="AP334" i="8"/>
  <c r="AP332" i="8"/>
  <c r="AP330" i="8"/>
  <c r="AP328" i="8"/>
  <c r="AP326" i="8"/>
  <c r="AP324" i="8"/>
  <c r="AP322" i="8"/>
  <c r="AP320" i="8"/>
  <c r="AP318" i="8"/>
  <c r="AP316" i="8"/>
  <c r="AP314" i="8"/>
  <c r="AP312" i="8"/>
  <c r="AP310" i="8"/>
  <c r="AQ330" i="8"/>
  <c r="AQ328" i="8"/>
  <c r="AQ326" i="8"/>
  <c r="AQ324" i="8"/>
  <c r="AQ322" i="8"/>
  <c r="AQ320" i="8"/>
  <c r="AQ318" i="8"/>
  <c r="AG317" i="8"/>
  <c r="AF317" i="8"/>
  <c r="AQ316" i="8"/>
  <c r="AG315" i="8"/>
  <c r="AF315" i="8"/>
  <c r="AQ314" i="8"/>
  <c r="AG313" i="8"/>
  <c r="AF313" i="8"/>
  <c r="AQ312" i="8"/>
  <c r="AG311" i="8"/>
  <c r="AQ344" i="8"/>
  <c r="AF311" i="8"/>
  <c r="AQ342" i="8"/>
  <c r="AQ310" i="8"/>
  <c r="AQ340" i="8"/>
  <c r="AQ338" i="8"/>
  <c r="AQ336" i="8"/>
  <c r="AQ334" i="8"/>
  <c r="AQ332" i="8"/>
  <c r="W12" i="8"/>
  <c r="S29" i="8"/>
  <c r="S53" i="8"/>
  <c r="AB100" i="8"/>
  <c r="AJ7" i="8"/>
  <c r="AK9" i="8"/>
  <c r="AL11" i="8"/>
  <c r="AM13" i="8"/>
  <c r="AN15" i="8"/>
  <c r="AO17" i="8"/>
  <c r="AP19" i="8"/>
  <c r="AQ21" i="8"/>
  <c r="AF24" i="8"/>
  <c r="AG26" i="8"/>
  <c r="AH28" i="8"/>
  <c r="AI30" i="8"/>
  <c r="AJ32" i="8"/>
  <c r="AK34" i="8"/>
  <c r="AL36" i="8"/>
  <c r="AM38" i="8"/>
  <c r="AN40" i="8"/>
  <c r="AM85" i="8"/>
  <c r="AM89" i="8"/>
  <c r="AM93" i="8"/>
  <c r="AP97" i="8"/>
  <c r="AM103" i="8"/>
  <c r="AK111" i="8"/>
  <c r="AN129" i="8"/>
  <c r="CB41" i="46"/>
  <c r="AZ41" i="46"/>
  <c r="X41" i="46"/>
  <c r="CB40" i="46"/>
  <c r="AZ40" i="46"/>
  <c r="X40" i="46"/>
  <c r="CB39" i="46"/>
  <c r="AZ39" i="46"/>
  <c r="X39" i="46"/>
  <c r="CB38" i="46"/>
  <c r="AZ38" i="46"/>
  <c r="X38" i="46"/>
  <c r="CB37" i="46"/>
  <c r="AZ37" i="46"/>
  <c r="X37" i="46"/>
  <c r="CB36" i="46"/>
  <c r="AZ36" i="46"/>
  <c r="X36" i="46"/>
  <c r="CB35" i="46"/>
  <c r="AZ35" i="46"/>
  <c r="X35" i="46"/>
  <c r="CB34" i="46"/>
  <c r="AZ34" i="46"/>
  <c r="X34" i="46"/>
  <c r="CB33" i="46"/>
  <c r="AZ33" i="46"/>
  <c r="X33" i="46"/>
  <c r="CB32" i="46"/>
  <c r="AZ32" i="46"/>
  <c r="X32" i="46"/>
  <c r="CB31" i="46"/>
  <c r="AZ31" i="46"/>
  <c r="X31" i="46"/>
  <c r="CB30" i="46"/>
  <c r="AZ30" i="46"/>
  <c r="X30" i="46"/>
  <c r="CB29" i="46"/>
  <c r="AZ29" i="46"/>
  <c r="X29" i="46"/>
  <c r="CB28" i="46"/>
  <c r="AZ28" i="46"/>
  <c r="X28" i="46"/>
  <c r="CB27" i="46"/>
  <c r="AZ27" i="46"/>
  <c r="X27" i="46"/>
  <c r="CB26" i="46"/>
  <c r="AZ26" i="46"/>
  <c r="X26" i="46"/>
  <c r="CB25" i="46"/>
  <c r="AZ25" i="46"/>
  <c r="X25" i="46"/>
  <c r="CB24" i="46"/>
  <c r="AZ24" i="46"/>
  <c r="X24" i="46"/>
  <c r="CB23" i="46"/>
  <c r="AZ23" i="46"/>
  <c r="X23" i="46"/>
  <c r="CA41" i="46"/>
  <c r="AY41" i="46"/>
  <c r="W41" i="46"/>
  <c r="CA40" i="46"/>
  <c r="AY40" i="46"/>
  <c r="W40" i="46"/>
  <c r="CA39" i="46"/>
  <c r="AY39" i="46"/>
  <c r="W39" i="46"/>
  <c r="CA38" i="46"/>
  <c r="AY38" i="46"/>
  <c r="W38" i="46"/>
  <c r="CA37" i="46"/>
  <c r="AY37" i="46"/>
  <c r="W37" i="46"/>
  <c r="CA36" i="46"/>
  <c r="AY36" i="46"/>
  <c r="W36" i="46"/>
  <c r="CA35" i="46"/>
  <c r="AY35" i="46"/>
  <c r="W35" i="46"/>
  <c r="CA34" i="46"/>
  <c r="AY34" i="46"/>
  <c r="W34" i="46"/>
  <c r="CA33" i="46"/>
  <c r="AY33" i="46"/>
  <c r="W33" i="46"/>
  <c r="CA32" i="46"/>
  <c r="AY32" i="46"/>
  <c r="W32" i="46"/>
  <c r="CA31" i="46"/>
  <c r="AY31" i="46"/>
  <c r="W31" i="46"/>
  <c r="CA30" i="46"/>
  <c r="AY30" i="46"/>
  <c r="W30" i="46"/>
  <c r="CA29" i="46"/>
  <c r="AY29" i="46"/>
  <c r="W29" i="46"/>
  <c r="CA28" i="46"/>
  <c r="AY28" i="46"/>
  <c r="W28" i="46"/>
  <c r="CA27" i="46"/>
  <c r="AY27" i="46"/>
  <c r="W27" i="46"/>
  <c r="CA26" i="46"/>
  <c r="AY26" i="46"/>
  <c r="W26" i="46"/>
  <c r="CA25" i="46"/>
  <c r="AY25" i="46"/>
  <c r="W25" i="46"/>
  <c r="CA24" i="46"/>
  <c r="AY24" i="46"/>
  <c r="W24" i="46"/>
  <c r="CA23" i="46"/>
  <c r="BZ41" i="46"/>
  <c r="AX41" i="46"/>
  <c r="V41" i="46"/>
  <c r="BZ40" i="46"/>
  <c r="AX40" i="46"/>
  <c r="V40" i="46"/>
  <c r="BZ39" i="46"/>
  <c r="AX39" i="46"/>
  <c r="V39" i="46"/>
  <c r="BZ38" i="46"/>
  <c r="AX38" i="46"/>
  <c r="V38" i="46"/>
  <c r="BZ37" i="46"/>
  <c r="AX37" i="46"/>
  <c r="V37" i="46"/>
  <c r="BZ36" i="46"/>
  <c r="AX36" i="46"/>
  <c r="V36" i="46"/>
  <c r="BZ35" i="46"/>
  <c r="AX35" i="46"/>
  <c r="V35" i="46"/>
  <c r="BZ34" i="46"/>
  <c r="AX34" i="46"/>
  <c r="V34" i="46"/>
  <c r="BZ33" i="46"/>
  <c r="AX33" i="46"/>
  <c r="V33" i="46"/>
  <c r="BY41" i="46"/>
  <c r="AW41" i="46"/>
  <c r="U41" i="46"/>
  <c r="BY40" i="46"/>
  <c r="AW40" i="46"/>
  <c r="U40" i="46"/>
  <c r="BY39" i="46"/>
  <c r="AW39" i="46"/>
  <c r="U39" i="46"/>
  <c r="BY38" i="46"/>
  <c r="AW38" i="46"/>
  <c r="U38" i="46"/>
  <c r="BY37" i="46"/>
  <c r="AW37" i="46"/>
  <c r="U37" i="46"/>
  <c r="BY36" i="46"/>
  <c r="AW36" i="46"/>
  <c r="U36" i="46"/>
  <c r="BY35" i="46"/>
  <c r="AW35" i="46"/>
  <c r="U35" i="46"/>
  <c r="BY34" i="46"/>
  <c r="AW34" i="46"/>
  <c r="BX41" i="46"/>
  <c r="AV41" i="46"/>
  <c r="T41" i="46"/>
  <c r="BX40" i="46"/>
  <c r="AV40" i="46"/>
  <c r="T40" i="46"/>
  <c r="BX39" i="46"/>
  <c r="AV39" i="46"/>
  <c r="T39" i="46"/>
  <c r="BX38" i="46"/>
  <c r="AV38" i="46"/>
  <c r="T38" i="46"/>
  <c r="BX37" i="46"/>
  <c r="AV37" i="46"/>
  <c r="T37" i="46"/>
  <c r="BX36" i="46"/>
  <c r="AV36" i="46"/>
  <c r="T36" i="46"/>
  <c r="BX35" i="46"/>
  <c r="AV35" i="46"/>
  <c r="T35" i="46"/>
  <c r="BX34" i="46"/>
  <c r="AV34" i="46"/>
  <c r="T34" i="46"/>
  <c r="BX33" i="46"/>
  <c r="AV33" i="46"/>
  <c r="BW41" i="46"/>
  <c r="AU41" i="46"/>
  <c r="S41" i="46"/>
  <c r="BW40" i="46"/>
  <c r="AU40" i="46"/>
  <c r="S40" i="46"/>
  <c r="BW39" i="46"/>
  <c r="AU39" i="46"/>
  <c r="S39" i="46"/>
  <c r="BW38" i="46"/>
  <c r="AU38" i="46"/>
  <c r="S38" i="46"/>
  <c r="BW37" i="46"/>
  <c r="AU37" i="46"/>
  <c r="S37" i="46"/>
  <c r="BW36" i="46"/>
  <c r="AU36" i="46"/>
  <c r="S36" i="46"/>
  <c r="BW35" i="46"/>
  <c r="AU35" i="46"/>
  <c r="S35" i="46"/>
  <c r="BW34" i="46"/>
  <c r="AU34" i="46"/>
  <c r="BV41" i="46"/>
  <c r="AT41" i="46"/>
  <c r="R41" i="46"/>
  <c r="BV40" i="46"/>
  <c r="AT40" i="46"/>
  <c r="R40" i="46"/>
  <c r="BV39" i="46"/>
  <c r="AT39" i="46"/>
  <c r="R39" i="46"/>
  <c r="BV38" i="46"/>
  <c r="AT38" i="46"/>
  <c r="R38" i="46"/>
  <c r="BV37" i="46"/>
  <c r="AT37" i="46"/>
  <c r="R37" i="46"/>
  <c r="BV36" i="46"/>
  <c r="AT36" i="46"/>
  <c r="R36" i="46"/>
  <c r="BV35" i="46"/>
  <c r="AT35" i="46"/>
  <c r="R35" i="46"/>
  <c r="BV34" i="46"/>
  <c r="AT34" i="46"/>
  <c r="R34" i="46"/>
  <c r="BV33" i="46"/>
  <c r="AT33" i="46"/>
  <c r="R33" i="46"/>
  <c r="BV32" i="46"/>
  <c r="CT41" i="46"/>
  <c r="BR41" i="46"/>
  <c r="AP41" i="46"/>
  <c r="CT40" i="46"/>
  <c r="BR40" i="46"/>
  <c r="AP40" i="46"/>
  <c r="CT39" i="46"/>
  <c r="BR39" i="46"/>
  <c r="AP39" i="46"/>
  <c r="CT38" i="46"/>
  <c r="CS41" i="46"/>
  <c r="BQ41" i="46"/>
  <c r="AO41" i="46"/>
  <c r="CS40" i="46"/>
  <c r="BQ40" i="46"/>
  <c r="AO40" i="46"/>
  <c r="CS39" i="46"/>
  <c r="BQ39" i="46"/>
  <c r="AO39" i="46"/>
  <c r="CS38" i="46"/>
  <c r="BQ38" i="46"/>
  <c r="AO38" i="46"/>
  <c r="CS37" i="46"/>
  <c r="CR41" i="46"/>
  <c r="BP41" i="46"/>
  <c r="AN41" i="46"/>
  <c r="CR40" i="46"/>
  <c r="BP40" i="46"/>
  <c r="AN40" i="46"/>
  <c r="CR39" i="46"/>
  <c r="BP39" i="46"/>
  <c r="AN39" i="46"/>
  <c r="CR38" i="46"/>
  <c r="BP38" i="46"/>
  <c r="AN38" i="46"/>
  <c r="CR37" i="46"/>
  <c r="BP37" i="46"/>
  <c r="AN37" i="46"/>
  <c r="CR36" i="46"/>
  <c r="BP36" i="46"/>
  <c r="AN36" i="46"/>
  <c r="CR35" i="46"/>
  <c r="BP35" i="46"/>
  <c r="AN35" i="46"/>
  <c r="CR34" i="46"/>
  <c r="CQ41" i="46"/>
  <c r="BO41" i="46"/>
  <c r="CP41" i="46"/>
  <c r="BN41" i="46"/>
  <c r="AL41" i="46"/>
  <c r="CP40" i="46"/>
  <c r="BN40" i="46"/>
  <c r="AL40" i="46"/>
  <c r="CP39" i="46"/>
  <c r="BN39" i="46"/>
  <c r="AL39" i="46"/>
  <c r="CP38" i="46"/>
  <c r="BN38" i="46"/>
  <c r="AL38" i="46"/>
  <c r="CP37" i="46"/>
  <c r="BN37" i="46"/>
  <c r="AL37" i="46"/>
  <c r="CP36" i="46"/>
  <c r="BN36" i="46"/>
  <c r="AL36" i="46"/>
  <c r="CP35" i="46"/>
  <c r="BN35" i="46"/>
  <c r="AL35" i="46"/>
  <c r="CP34" i="46"/>
  <c r="CO41" i="46"/>
  <c r="BM41" i="46"/>
  <c r="AK41" i="46"/>
  <c r="CO40" i="46"/>
  <c r="BM40" i="46"/>
  <c r="AK40" i="46"/>
  <c r="CO39" i="46"/>
  <c r="BM39" i="46"/>
  <c r="AK39" i="46"/>
  <c r="CN41" i="46"/>
  <c r="BL41" i="46"/>
  <c r="AJ41" i="46"/>
  <c r="CN40" i="46"/>
  <c r="BL40" i="46"/>
  <c r="AJ40" i="46"/>
  <c r="CN39" i="46"/>
  <c r="BL39" i="46"/>
  <c r="AJ39" i="46"/>
  <c r="CN38" i="46"/>
  <c r="BL38" i="46"/>
  <c r="AJ38" i="46"/>
  <c r="CN37" i="46"/>
  <c r="CM41" i="46"/>
  <c r="BK41" i="46"/>
  <c r="AI41" i="46"/>
  <c r="CM40" i="46"/>
  <c r="BK40" i="46"/>
  <c r="AI40" i="46"/>
  <c r="CM39" i="46"/>
  <c r="BK39" i="46"/>
  <c r="AI39" i="46"/>
  <c r="CL41" i="46"/>
  <c r="BJ41" i="46"/>
  <c r="CK41" i="46"/>
  <c r="BI41" i="46"/>
  <c r="AG41" i="46"/>
  <c r="CC41" i="46"/>
  <c r="BA41" i="46"/>
  <c r="CE41" i="46"/>
  <c r="CE40" i="46"/>
  <c r="CQ39" i="46"/>
  <c r="AC39" i="46"/>
  <c r="BH38" i="46"/>
  <c r="CL37" i="46"/>
  <c r="AP37" i="46"/>
  <c r="CG36" i="46"/>
  <c r="AK36" i="46"/>
  <c r="CD35" i="46"/>
  <c r="AH35" i="46"/>
  <c r="BR34" i="46"/>
  <c r="AI34" i="46"/>
  <c r="CF33" i="46"/>
  <c r="AU33" i="46"/>
  <c r="CR32" i="46"/>
  <c r="BM32" i="46"/>
  <c r="AI32" i="46"/>
  <c r="CK31" i="46"/>
  <c r="BE31" i="46"/>
  <c r="AA31" i="46"/>
  <c r="CC30" i="46"/>
  <c r="AW30" i="46"/>
  <c r="S30" i="46"/>
  <c r="BS29" i="46"/>
  <c r="AO29" i="46"/>
  <c r="CQ28" i="46"/>
  <c r="BM28" i="46"/>
  <c r="AI28" i="46"/>
  <c r="CK27" i="46"/>
  <c r="BE27" i="46"/>
  <c r="AA27" i="46"/>
  <c r="CC26" i="46"/>
  <c r="AW26" i="46"/>
  <c r="S26" i="46"/>
  <c r="BS25" i="46"/>
  <c r="AO25" i="46"/>
  <c r="CQ24" i="46"/>
  <c r="BM24" i="46"/>
  <c r="AI24" i="46"/>
  <c r="CK23" i="46"/>
  <c r="BE23" i="46"/>
  <c r="AB23" i="46"/>
  <c r="CE22" i="46"/>
  <c r="BC22" i="46"/>
  <c r="AA22" i="46"/>
  <c r="CE21" i="46"/>
  <c r="BC21" i="46"/>
  <c r="AA21" i="46"/>
  <c r="CE20" i="46"/>
  <c r="BC20" i="46"/>
  <c r="AA20" i="46"/>
  <c r="CE19" i="46"/>
  <c r="BC19" i="46"/>
  <c r="AA19" i="46"/>
  <c r="CE18" i="46"/>
  <c r="BC18" i="46"/>
  <c r="AA18" i="46"/>
  <c r="CE17" i="46"/>
  <c r="BC17" i="46"/>
  <c r="AA17" i="46"/>
  <c r="CE16" i="46"/>
  <c r="BC16" i="46"/>
  <c r="AA16" i="46"/>
  <c r="CE15" i="46"/>
  <c r="BC15" i="46"/>
  <c r="AA15" i="46"/>
  <c r="CE14" i="46"/>
  <c r="BC14" i="46"/>
  <c r="AA14" i="46"/>
  <c r="CE13" i="46"/>
  <c r="BC13" i="46"/>
  <c r="AA13" i="46"/>
  <c r="CE12" i="46"/>
  <c r="BC12" i="46"/>
  <c r="AA12" i="46"/>
  <c r="CE11" i="46"/>
  <c r="BC11" i="46"/>
  <c r="AA11" i="46"/>
  <c r="CE10" i="46"/>
  <c r="BC10" i="46"/>
  <c r="AA10" i="46"/>
  <c r="CE9" i="46"/>
  <c r="BC9" i="46"/>
  <c r="AA9" i="46"/>
  <c r="CE8" i="46"/>
  <c r="BC8" i="46"/>
  <c r="AA8" i="46"/>
  <c r="CE7" i="46"/>
  <c r="BC7" i="46"/>
  <c r="AA7" i="46"/>
  <c r="CE6" i="46"/>
  <c r="BC6" i="46"/>
  <c r="AA6" i="46"/>
  <c r="CD41" i="46"/>
  <c r="CD40" i="46"/>
  <c r="CL39" i="46"/>
  <c r="AB39" i="46"/>
  <c r="BE38" i="46"/>
  <c r="CK37" i="46"/>
  <c r="AO37" i="46"/>
  <c r="CF36" i="46"/>
  <c r="AJ36" i="46"/>
  <c r="CC35" i="46"/>
  <c r="AG35" i="46"/>
  <c r="BQ34" i="46"/>
  <c r="AH34" i="46"/>
  <c r="CE33" i="46"/>
  <c r="AQ33" i="46"/>
  <c r="CQ32" i="46"/>
  <c r="BL32" i="46"/>
  <c r="AH32" i="46"/>
  <c r="CJ31" i="46"/>
  <c r="BD31" i="46"/>
  <c r="Z31" i="46"/>
  <c r="BZ30" i="46"/>
  <c r="AV30" i="46"/>
  <c r="R30" i="46"/>
  <c r="BR29" i="46"/>
  <c r="AN29" i="46"/>
  <c r="CP28" i="46"/>
  <c r="BL28" i="46"/>
  <c r="AH28" i="46"/>
  <c r="CJ27" i="46"/>
  <c r="BD27" i="46"/>
  <c r="Z27" i="46"/>
  <c r="BZ26" i="46"/>
  <c r="AV26" i="46"/>
  <c r="R26" i="46"/>
  <c r="BR25" i="46"/>
  <c r="AN25" i="46"/>
  <c r="CP24" i="46"/>
  <c r="BL24" i="46"/>
  <c r="AH24" i="46"/>
  <c r="CJ23" i="46"/>
  <c r="BD23" i="46"/>
  <c r="AA23" i="46"/>
  <c r="CD22" i="46"/>
  <c r="BB22" i="46"/>
  <c r="Z22" i="46"/>
  <c r="CD21" i="46"/>
  <c r="BB21" i="46"/>
  <c r="Z21" i="46"/>
  <c r="CD20" i="46"/>
  <c r="BB20" i="46"/>
  <c r="Z20" i="46"/>
  <c r="CD19" i="46"/>
  <c r="BB19" i="46"/>
  <c r="Z19" i="46"/>
  <c r="CD18" i="46"/>
  <c r="BB18" i="46"/>
  <c r="Z18" i="46"/>
  <c r="CD17" i="46"/>
  <c r="BB17" i="46"/>
  <c r="Z17" i="46"/>
  <c r="CD16" i="46"/>
  <c r="BB16" i="46"/>
  <c r="Z16" i="46"/>
  <c r="CD15" i="46"/>
  <c r="BB15" i="46"/>
  <c r="Z15" i="46"/>
  <c r="CD14" i="46"/>
  <c r="BB14" i="46"/>
  <c r="Z14" i="46"/>
  <c r="CD13" i="46"/>
  <c r="BB13" i="46"/>
  <c r="Z13" i="46"/>
  <c r="CD12" i="46"/>
  <c r="BB12" i="46"/>
  <c r="Z12" i="46"/>
  <c r="CD11" i="46"/>
  <c r="BB11" i="46"/>
  <c r="Z11" i="46"/>
  <c r="CD10" i="46"/>
  <c r="BB10" i="46"/>
  <c r="Z10" i="46"/>
  <c r="CD9" i="46"/>
  <c r="BB9" i="46"/>
  <c r="Z9" i="46"/>
  <c r="CD8" i="46"/>
  <c r="BB8" i="46"/>
  <c r="Z8" i="46"/>
  <c r="CD7" i="46"/>
  <c r="BB7" i="46"/>
  <c r="Z7" i="46"/>
  <c r="CD6" i="46"/>
  <c r="BB6" i="46"/>
  <c r="Z6" i="46"/>
  <c r="BS41" i="46"/>
  <c r="CC40" i="46"/>
  <c r="CK39" i="46"/>
  <c r="AA39" i="46"/>
  <c r="BD38" i="46"/>
  <c r="CJ37" i="46"/>
  <c r="AM37" i="46"/>
  <c r="CE36" i="46"/>
  <c r="AI36" i="46"/>
  <c r="BS35" i="46"/>
  <c r="AF35" i="46"/>
  <c r="BP34" i="46"/>
  <c r="AG34" i="46"/>
  <c r="CD33" i="46"/>
  <c r="AP33" i="46"/>
  <c r="CP32" i="46"/>
  <c r="BK32" i="46"/>
  <c r="AG32" i="46"/>
  <c r="CG31" i="46"/>
  <c r="BC31" i="46"/>
  <c r="Y31" i="46"/>
  <c r="BY30" i="46"/>
  <c r="AU30" i="46"/>
  <c r="CU29" i="46"/>
  <c r="BQ29" i="46"/>
  <c r="AM29" i="46"/>
  <c r="CO28" i="46"/>
  <c r="BK28" i="46"/>
  <c r="AG28" i="46"/>
  <c r="CG27" i="46"/>
  <c r="BC27" i="46"/>
  <c r="Y27" i="46"/>
  <c r="BY26" i="46"/>
  <c r="AU26" i="46"/>
  <c r="CU25" i="46"/>
  <c r="BQ25" i="46"/>
  <c r="AM25" i="46"/>
  <c r="CO24" i="46"/>
  <c r="BK24" i="46"/>
  <c r="AG24" i="46"/>
  <c r="CG23" i="46"/>
  <c r="BC23" i="46"/>
  <c r="Z23" i="46"/>
  <c r="CC22" i="46"/>
  <c r="BA22" i="46"/>
  <c r="Y22" i="46"/>
  <c r="CC21" i="46"/>
  <c r="BA21" i="46"/>
  <c r="Y21" i="46"/>
  <c r="CC20" i="46"/>
  <c r="BA20" i="46"/>
  <c r="Y20" i="46"/>
  <c r="CC19" i="46"/>
  <c r="BA19" i="46"/>
  <c r="Y19" i="46"/>
  <c r="CC18" i="46"/>
  <c r="BA18" i="46"/>
  <c r="Y18" i="46"/>
  <c r="CC17" i="46"/>
  <c r="BA17" i="46"/>
  <c r="Y17" i="46"/>
  <c r="CC16" i="46"/>
  <c r="BA16" i="46"/>
  <c r="Y16" i="46"/>
  <c r="CC15" i="46"/>
  <c r="BA15" i="46"/>
  <c r="Y15" i="46"/>
  <c r="CC14" i="46"/>
  <c r="BA14" i="46"/>
  <c r="Y14" i="46"/>
  <c r="CC13" i="46"/>
  <c r="BA13" i="46"/>
  <c r="Y13" i="46"/>
  <c r="CC12" i="46"/>
  <c r="BA12" i="46"/>
  <c r="Y12" i="46"/>
  <c r="CC11" i="46"/>
  <c r="BA11" i="46"/>
  <c r="Y11" i="46"/>
  <c r="CC10" i="46"/>
  <c r="BA10" i="46"/>
  <c r="Y10" i="46"/>
  <c r="CC9" i="46"/>
  <c r="BA9" i="46"/>
  <c r="Y9" i="46"/>
  <c r="CC8" i="46"/>
  <c r="BA8" i="46"/>
  <c r="Y8" i="46"/>
  <c r="CC7" i="46"/>
  <c r="BA7" i="46"/>
  <c r="BH41" i="46"/>
  <c r="BS40" i="46"/>
  <c r="CJ39" i="46"/>
  <c r="Z39" i="46"/>
  <c r="BC38" i="46"/>
  <c r="CG37" i="46"/>
  <c r="AK37" i="46"/>
  <c r="CD36" i="46"/>
  <c r="AH36" i="46"/>
  <c r="BR35" i="46"/>
  <c r="AC35" i="46"/>
  <c r="BO34" i="46"/>
  <c r="AF34" i="46"/>
  <c r="CC33" i="46"/>
  <c r="AO33" i="46"/>
  <c r="CO32" i="46"/>
  <c r="BJ32" i="46"/>
  <c r="AF32" i="46"/>
  <c r="CF31" i="46"/>
  <c r="BB31" i="46"/>
  <c r="V31" i="46"/>
  <c r="BX30" i="46"/>
  <c r="AT30" i="46"/>
  <c r="CT29" i="46"/>
  <c r="BP29" i="46"/>
  <c r="AL29" i="46"/>
  <c r="CN28" i="46"/>
  <c r="BJ28" i="46"/>
  <c r="AF28" i="46"/>
  <c r="CF27" i="46"/>
  <c r="BB27" i="46"/>
  <c r="V27" i="46"/>
  <c r="BX26" i="46"/>
  <c r="AT26" i="46"/>
  <c r="CT25" i="46"/>
  <c r="BP25" i="46"/>
  <c r="AL25" i="46"/>
  <c r="CN24" i="46"/>
  <c r="BJ24" i="46"/>
  <c r="AF24" i="46"/>
  <c r="CF23" i="46"/>
  <c r="BB23" i="46"/>
  <c r="Y23" i="46"/>
  <c r="CB22" i="46"/>
  <c r="AZ22" i="46"/>
  <c r="X22" i="46"/>
  <c r="CB21" i="46"/>
  <c r="AZ21" i="46"/>
  <c r="X21" i="46"/>
  <c r="CB20" i="46"/>
  <c r="AZ20" i="46"/>
  <c r="X20" i="46"/>
  <c r="CB19" i="46"/>
  <c r="AZ19" i="46"/>
  <c r="X19" i="46"/>
  <c r="CB18" i="46"/>
  <c r="AZ18" i="46"/>
  <c r="X18" i="46"/>
  <c r="CB17" i="46"/>
  <c r="AZ17" i="46"/>
  <c r="X17" i="46"/>
  <c r="CB16" i="46"/>
  <c r="AZ16" i="46"/>
  <c r="X16" i="46"/>
  <c r="CB15" i="46"/>
  <c r="AZ15" i="46"/>
  <c r="X15" i="46"/>
  <c r="CB14" i="46"/>
  <c r="AZ14" i="46"/>
  <c r="X14" i="46"/>
  <c r="CB13" i="46"/>
  <c r="AZ13" i="46"/>
  <c r="X13" i="46"/>
  <c r="CB12" i="46"/>
  <c r="AZ12" i="46"/>
  <c r="X12" i="46"/>
  <c r="CB11" i="46"/>
  <c r="AZ11" i="46"/>
  <c r="X11" i="46"/>
  <c r="CB10" i="46"/>
  <c r="AZ10" i="46"/>
  <c r="X10" i="46"/>
  <c r="CB9" i="46"/>
  <c r="AZ9" i="46"/>
  <c r="X9" i="46"/>
  <c r="CB8" i="46"/>
  <c r="AZ8" i="46"/>
  <c r="X8" i="46"/>
  <c r="CB7" i="46"/>
  <c r="AZ7" i="46"/>
  <c r="X7" i="46"/>
  <c r="CB6" i="46"/>
  <c r="BE41" i="46"/>
  <c r="BO40" i="46"/>
  <c r="CG39" i="46"/>
  <c r="Y39" i="46"/>
  <c r="BB38" i="46"/>
  <c r="CF37" i="46"/>
  <c r="AJ37" i="46"/>
  <c r="CC36" i="46"/>
  <c r="AG36" i="46"/>
  <c r="BQ35" i="46"/>
  <c r="AB35" i="46"/>
  <c r="BN34" i="46"/>
  <c r="AC34" i="46"/>
  <c r="BY33" i="46"/>
  <c r="AN33" i="46"/>
  <c r="CN32" i="46"/>
  <c r="BI32" i="46"/>
  <c r="AC32" i="46"/>
  <c r="CE31" i="46"/>
  <c r="BA31" i="46"/>
  <c r="U31" i="46"/>
  <c r="BW30" i="46"/>
  <c r="AQ30" i="46"/>
  <c r="CS29" i="46"/>
  <c r="BO29" i="46"/>
  <c r="AK29" i="46"/>
  <c r="CM28" i="46"/>
  <c r="BI28" i="46"/>
  <c r="AC28" i="46"/>
  <c r="CE27" i="46"/>
  <c r="BA27" i="46"/>
  <c r="U27" i="46"/>
  <c r="BW26" i="46"/>
  <c r="AQ26" i="46"/>
  <c r="CS25" i="46"/>
  <c r="BO25" i="46"/>
  <c r="AK25" i="46"/>
  <c r="CM24" i="46"/>
  <c r="BI24" i="46"/>
  <c r="AC24" i="46"/>
  <c r="CE23" i="46"/>
  <c r="BA23" i="46"/>
  <c r="W23" i="46"/>
  <c r="CA22" i="46"/>
  <c r="AY22" i="46"/>
  <c r="W22" i="46"/>
  <c r="CA21" i="46"/>
  <c r="AY21" i="46"/>
  <c r="W21" i="46"/>
  <c r="CA20" i="46"/>
  <c r="AY20" i="46"/>
  <c r="W20" i="46"/>
  <c r="CA19" i="46"/>
  <c r="AY19" i="46"/>
  <c r="W19" i="46"/>
  <c r="CA18" i="46"/>
  <c r="AY18" i="46"/>
  <c r="W18" i="46"/>
  <c r="CA17" i="46"/>
  <c r="AY17" i="46"/>
  <c r="W17" i="46"/>
  <c r="CA16" i="46"/>
  <c r="AY16" i="46"/>
  <c r="W16" i="46"/>
  <c r="CA15" i="46"/>
  <c r="AY15" i="46"/>
  <c r="W15" i="46"/>
  <c r="CA14" i="46"/>
  <c r="AY14" i="46"/>
  <c r="W14" i="46"/>
  <c r="CA13" i="46"/>
  <c r="AY13" i="46"/>
  <c r="W13" i="46"/>
  <c r="CA12" i="46"/>
  <c r="AY12" i="46"/>
  <c r="W12" i="46"/>
  <c r="CA11" i="46"/>
  <c r="AY11" i="46"/>
  <c r="W11" i="46"/>
  <c r="CA10" i="46"/>
  <c r="AY10" i="46"/>
  <c r="W10" i="46"/>
  <c r="CA9" i="46"/>
  <c r="AY9" i="46"/>
  <c r="W9" i="46"/>
  <c r="CA8" i="46"/>
  <c r="AY8" i="46"/>
  <c r="W8" i="46"/>
  <c r="CA7" i="46"/>
  <c r="AY7" i="46"/>
  <c r="W7" i="46"/>
  <c r="CA6" i="46"/>
  <c r="AY6" i="46"/>
  <c r="W6" i="46"/>
  <c r="BD41" i="46"/>
  <c r="BJ40" i="46"/>
  <c r="CF39" i="46"/>
  <c r="CU38" i="46"/>
  <c r="BA38" i="46"/>
  <c r="CE37" i="46"/>
  <c r="AI37" i="46"/>
  <c r="BS36" i="46"/>
  <c r="AF36" i="46"/>
  <c r="BO35" i="46"/>
  <c r="AA35" i="46"/>
  <c r="BM34" i="46"/>
  <c r="AB34" i="46"/>
  <c r="BW33" i="46"/>
  <c r="AM33" i="46"/>
  <c r="CM32" i="46"/>
  <c r="BH32" i="46"/>
  <c r="AB32" i="46"/>
  <c r="CD31" i="46"/>
  <c r="AX31" i="46"/>
  <c r="T31" i="46"/>
  <c r="BV30" i="46"/>
  <c r="AP30" i="46"/>
  <c r="CR29" i="46"/>
  <c r="BN29" i="46"/>
  <c r="AJ29" i="46"/>
  <c r="CL28" i="46"/>
  <c r="BH28" i="46"/>
  <c r="AB28" i="46"/>
  <c r="CD27" i="46"/>
  <c r="AX27" i="46"/>
  <c r="T27" i="46"/>
  <c r="BV26" i="46"/>
  <c r="AP26" i="46"/>
  <c r="CR25" i="46"/>
  <c r="BN25" i="46"/>
  <c r="AJ25" i="46"/>
  <c r="CL24" i="46"/>
  <c r="BH24" i="46"/>
  <c r="AB24" i="46"/>
  <c r="CD23" i="46"/>
  <c r="AY23" i="46"/>
  <c r="V23" i="46"/>
  <c r="BZ22" i="46"/>
  <c r="AX22" i="46"/>
  <c r="V22" i="46"/>
  <c r="BZ21" i="46"/>
  <c r="AX21" i="46"/>
  <c r="V21" i="46"/>
  <c r="BZ20" i="46"/>
  <c r="AX20" i="46"/>
  <c r="V20" i="46"/>
  <c r="BZ19" i="46"/>
  <c r="AX19" i="46"/>
  <c r="V19" i="46"/>
  <c r="BZ18" i="46"/>
  <c r="AX18" i="46"/>
  <c r="V18" i="46"/>
  <c r="BZ17" i="46"/>
  <c r="AX17" i="46"/>
  <c r="V17" i="46"/>
  <c r="BZ16" i="46"/>
  <c r="AX16" i="46"/>
  <c r="V16" i="46"/>
  <c r="BZ15" i="46"/>
  <c r="AX15" i="46"/>
  <c r="V15" i="46"/>
  <c r="BZ14" i="46"/>
  <c r="AX14" i="46"/>
  <c r="V14" i="46"/>
  <c r="BZ13" i="46"/>
  <c r="AX13" i="46"/>
  <c r="V13" i="46"/>
  <c r="BZ12" i="46"/>
  <c r="AX12" i="46"/>
  <c r="V12" i="46"/>
  <c r="BZ11" i="46"/>
  <c r="AX11" i="46"/>
  <c r="V11" i="46"/>
  <c r="BZ10" i="46"/>
  <c r="AX10" i="46"/>
  <c r="V10" i="46"/>
  <c r="BZ9" i="46"/>
  <c r="AX9" i="46"/>
  <c r="BC41" i="46"/>
  <c r="BI40" i="46"/>
  <c r="CE39" i="46"/>
  <c r="CQ38" i="46"/>
  <c r="AQ38" i="46"/>
  <c r="CD37" i="46"/>
  <c r="AH37" i="46"/>
  <c r="BR36" i="46"/>
  <c r="AC36" i="46"/>
  <c r="BM35" i="46"/>
  <c r="Z35" i="46"/>
  <c r="BL34" i="46"/>
  <c r="AA34" i="46"/>
  <c r="BS33" i="46"/>
  <c r="AL33" i="46"/>
  <c r="CL32" i="46"/>
  <c r="BE32" i="46"/>
  <c r="AA32" i="46"/>
  <c r="CC31" i="46"/>
  <c r="AW31" i="46"/>
  <c r="S31" i="46"/>
  <c r="BS30" i="46"/>
  <c r="AO30" i="46"/>
  <c r="CQ29" i="46"/>
  <c r="BM29" i="46"/>
  <c r="AI29" i="46"/>
  <c r="CK28" i="46"/>
  <c r="BE28" i="46"/>
  <c r="AA28" i="46"/>
  <c r="CC27" i="46"/>
  <c r="AW27" i="46"/>
  <c r="S27" i="46"/>
  <c r="BS26" i="46"/>
  <c r="AO26" i="46"/>
  <c r="CQ25" i="46"/>
  <c r="BM25" i="46"/>
  <c r="AI25" i="46"/>
  <c r="CK24" i="46"/>
  <c r="BE24" i="46"/>
  <c r="AA24" i="46"/>
  <c r="CC23" i="46"/>
  <c r="AX23" i="46"/>
  <c r="U23" i="46"/>
  <c r="BY22" i="46"/>
  <c r="AW22" i="46"/>
  <c r="U22" i="46"/>
  <c r="BY21" i="46"/>
  <c r="AW21" i="46"/>
  <c r="U21" i="46"/>
  <c r="BY20" i="46"/>
  <c r="AW20" i="46"/>
  <c r="U20" i="46"/>
  <c r="BY19" i="46"/>
  <c r="AW19" i="46"/>
  <c r="U19" i="46"/>
  <c r="BY18" i="46"/>
  <c r="AW18" i="46"/>
  <c r="U18" i="46"/>
  <c r="BY17" i="46"/>
  <c r="AW17" i="46"/>
  <c r="U17" i="46"/>
  <c r="BY16" i="46"/>
  <c r="AW16" i="46"/>
  <c r="U16" i="46"/>
  <c r="BY15" i="46"/>
  <c r="AW15" i="46"/>
  <c r="U15" i="46"/>
  <c r="BY14" i="46"/>
  <c r="AW14" i="46"/>
  <c r="U14" i="46"/>
  <c r="BY13" i="46"/>
  <c r="AW13" i="46"/>
  <c r="U13" i="46"/>
  <c r="BY12" i="46"/>
  <c r="AW12" i="46"/>
  <c r="U12" i="46"/>
  <c r="BY11" i="46"/>
  <c r="AW11" i="46"/>
  <c r="U11" i="46"/>
  <c r="BY10" i="46"/>
  <c r="AW10" i="46"/>
  <c r="U10" i="46"/>
  <c r="BY9" i="46"/>
  <c r="AW9" i="46"/>
  <c r="U9" i="46"/>
  <c r="BY8" i="46"/>
  <c r="AW8" i="46"/>
  <c r="U8" i="46"/>
  <c r="BY7" i="46"/>
  <c r="AW7" i="46"/>
  <c r="BB41" i="46"/>
  <c r="BH40" i="46"/>
  <c r="CD39" i="46"/>
  <c r="CO38" i="46"/>
  <c r="AP38" i="46"/>
  <c r="CC37" i="46"/>
  <c r="AG37" i="46"/>
  <c r="BQ36" i="46"/>
  <c r="AB36" i="46"/>
  <c r="BL35" i="46"/>
  <c r="Y35" i="46"/>
  <c r="BK34" i="46"/>
  <c r="Z34" i="46"/>
  <c r="BR33" i="46"/>
  <c r="AK33" i="46"/>
  <c r="CK32" i="46"/>
  <c r="BD32" i="46"/>
  <c r="Z32" i="46"/>
  <c r="BZ31" i="46"/>
  <c r="AV31" i="46"/>
  <c r="R31" i="46"/>
  <c r="BR30" i="46"/>
  <c r="AN30" i="46"/>
  <c r="CP29" i="46"/>
  <c r="BL29" i="46"/>
  <c r="AH29" i="46"/>
  <c r="CJ28" i="46"/>
  <c r="BD28" i="46"/>
  <c r="Z28" i="46"/>
  <c r="BZ27" i="46"/>
  <c r="AV27" i="46"/>
  <c r="R27" i="46"/>
  <c r="BR26" i="46"/>
  <c r="AN26" i="46"/>
  <c r="CP25" i="46"/>
  <c r="BL25" i="46"/>
  <c r="AH25" i="46"/>
  <c r="CJ24" i="46"/>
  <c r="BD24" i="46"/>
  <c r="Z24" i="46"/>
  <c r="BZ23" i="46"/>
  <c r="AW23" i="46"/>
  <c r="T23" i="46"/>
  <c r="BX22" i="46"/>
  <c r="AV22" i="46"/>
  <c r="T22" i="46"/>
  <c r="BX21" i="46"/>
  <c r="AV21" i="46"/>
  <c r="T21" i="46"/>
  <c r="BX20" i="46"/>
  <c r="AV20" i="46"/>
  <c r="T20" i="46"/>
  <c r="BX19" i="46"/>
  <c r="AV19" i="46"/>
  <c r="T19" i="46"/>
  <c r="BX18" i="46"/>
  <c r="AV18" i="46"/>
  <c r="T18" i="46"/>
  <c r="BX17" i="46"/>
  <c r="AV17" i="46"/>
  <c r="T17" i="46"/>
  <c r="BX16" i="46"/>
  <c r="AV16" i="46"/>
  <c r="T16" i="46"/>
  <c r="BX15" i="46"/>
  <c r="AV15" i="46"/>
  <c r="T15" i="46"/>
  <c r="AQ41" i="46"/>
  <c r="BE40" i="46"/>
  <c r="CC39" i="46"/>
  <c r="CM38" i="46"/>
  <c r="AM38" i="46"/>
  <c r="BS37" i="46"/>
  <c r="AF37" i="46"/>
  <c r="BO36" i="46"/>
  <c r="AA36" i="46"/>
  <c r="BK35" i="46"/>
  <c r="CU34" i="46"/>
  <c r="BJ34" i="46"/>
  <c r="Y34" i="46"/>
  <c r="BQ33" i="46"/>
  <c r="AJ33" i="46"/>
  <c r="CJ32" i="46"/>
  <c r="BC32" i="46"/>
  <c r="Y32" i="46"/>
  <c r="BY31" i="46"/>
  <c r="AU31" i="46"/>
  <c r="CU30" i="46"/>
  <c r="BQ30" i="46"/>
  <c r="AM30" i="46"/>
  <c r="CO29" i="46"/>
  <c r="BK29" i="46"/>
  <c r="AG29" i="46"/>
  <c r="CG28" i="46"/>
  <c r="BC28" i="46"/>
  <c r="Y28" i="46"/>
  <c r="BY27" i="46"/>
  <c r="AU27" i="46"/>
  <c r="CU26" i="46"/>
  <c r="BQ26" i="46"/>
  <c r="AM26" i="46"/>
  <c r="CO25" i="46"/>
  <c r="BK25" i="46"/>
  <c r="AG25" i="46"/>
  <c r="CG24" i="46"/>
  <c r="BC24" i="46"/>
  <c r="Y24" i="46"/>
  <c r="BY23" i="46"/>
  <c r="AV23" i="46"/>
  <c r="S23" i="46"/>
  <c r="BW22" i="46"/>
  <c r="AU22" i="46"/>
  <c r="S22" i="46"/>
  <c r="BW21" i="46"/>
  <c r="AU21" i="46"/>
  <c r="S21" i="46"/>
  <c r="BW20" i="46"/>
  <c r="AU20" i="46"/>
  <c r="S20" i="46"/>
  <c r="BW19" i="46"/>
  <c r="AU19" i="46"/>
  <c r="S19" i="46"/>
  <c r="BW18" i="46"/>
  <c r="AU18" i="46"/>
  <c r="S18" i="46"/>
  <c r="BW17" i="46"/>
  <c r="AU17" i="46"/>
  <c r="S17" i="46"/>
  <c r="BW16" i="46"/>
  <c r="AU16" i="46"/>
  <c r="S16" i="46"/>
  <c r="BW15" i="46"/>
  <c r="AU15" i="46"/>
  <c r="S15" i="46"/>
  <c r="BW14" i="46"/>
  <c r="AU14" i="46"/>
  <c r="S14" i="46"/>
  <c r="BW13" i="46"/>
  <c r="AU13" i="46"/>
  <c r="S13" i="46"/>
  <c r="BW12" i="46"/>
  <c r="AM41" i="46"/>
  <c r="BD40" i="46"/>
  <c r="BS39" i="46"/>
  <c r="CL38" i="46"/>
  <c r="AK38" i="46"/>
  <c r="BR37" i="46"/>
  <c r="AC37" i="46"/>
  <c r="BM36" i="46"/>
  <c r="Z36" i="46"/>
  <c r="BJ35" i="46"/>
  <c r="CT34" i="46"/>
  <c r="BI34" i="46"/>
  <c r="U34" i="46"/>
  <c r="BP33" i="46"/>
  <c r="AI33" i="46"/>
  <c r="CG32" i="46"/>
  <c r="BB32" i="46"/>
  <c r="V32" i="46"/>
  <c r="BX31" i="46"/>
  <c r="AT31" i="46"/>
  <c r="CT30" i="46"/>
  <c r="BP30" i="46"/>
  <c r="AL30" i="46"/>
  <c r="CN29" i="46"/>
  <c r="BJ29" i="46"/>
  <c r="AF29" i="46"/>
  <c r="CF28" i="46"/>
  <c r="BB28" i="46"/>
  <c r="V28" i="46"/>
  <c r="BX27" i="46"/>
  <c r="AT27" i="46"/>
  <c r="CT26" i="46"/>
  <c r="BP26" i="46"/>
  <c r="AL26" i="46"/>
  <c r="CN25" i="46"/>
  <c r="BJ25" i="46"/>
  <c r="AF25" i="46"/>
  <c r="CF24" i="46"/>
  <c r="BB24" i="46"/>
  <c r="V24" i="46"/>
  <c r="BX23" i="46"/>
  <c r="AU23" i="46"/>
  <c r="R23" i="46"/>
  <c r="BV22" i="46"/>
  <c r="AT22" i="46"/>
  <c r="R22" i="46"/>
  <c r="BV21" i="46"/>
  <c r="AT21" i="46"/>
  <c r="R21" i="46"/>
  <c r="BV20" i="46"/>
  <c r="AT20" i="46"/>
  <c r="R20" i="46"/>
  <c r="BV19" i="46"/>
  <c r="AT19" i="46"/>
  <c r="R19" i="46"/>
  <c r="BV18" i="46"/>
  <c r="AT18" i="46"/>
  <c r="R18" i="46"/>
  <c r="BV17" i="46"/>
  <c r="AT17" i="46"/>
  <c r="R17" i="46"/>
  <c r="BV16" i="46"/>
  <c r="AT16" i="46"/>
  <c r="R16" i="46"/>
  <c r="BV15" i="46"/>
  <c r="AT15" i="46"/>
  <c r="R15" i="46"/>
  <c r="BV14" i="46"/>
  <c r="AT14" i="46"/>
  <c r="R14" i="46"/>
  <c r="BV13" i="46"/>
  <c r="AT13" i="46"/>
  <c r="AH41" i="46"/>
  <c r="BC40" i="46"/>
  <c r="BO39" i="46"/>
  <c r="CK38" i="46"/>
  <c r="AI38" i="46"/>
  <c r="BQ37" i="46"/>
  <c r="AB37" i="46"/>
  <c r="BL36" i="46"/>
  <c r="Y36" i="46"/>
  <c r="BI35" i="46"/>
  <c r="CS34" i="46"/>
  <c r="BH34" i="46"/>
  <c r="S34" i="46"/>
  <c r="BO33" i="46"/>
  <c r="AH33" i="46"/>
  <c r="CF32" i="46"/>
  <c r="BA32" i="46"/>
  <c r="U32" i="46"/>
  <c r="BW31" i="46"/>
  <c r="AQ31" i="46"/>
  <c r="CS30" i="46"/>
  <c r="BO30" i="46"/>
  <c r="AK30" i="46"/>
  <c r="CM29" i="46"/>
  <c r="BI29" i="46"/>
  <c r="AC29" i="46"/>
  <c r="CE28" i="46"/>
  <c r="BA28" i="46"/>
  <c r="U28" i="46"/>
  <c r="BW27" i="46"/>
  <c r="AQ27" i="46"/>
  <c r="CS26" i="46"/>
  <c r="BO26" i="46"/>
  <c r="AK26" i="46"/>
  <c r="CM25" i="46"/>
  <c r="BI25" i="46"/>
  <c r="AC25" i="46"/>
  <c r="CE24" i="46"/>
  <c r="BA24" i="46"/>
  <c r="U24" i="46"/>
  <c r="BW23" i="46"/>
  <c r="AT23" i="46"/>
  <c r="CU22" i="46"/>
  <c r="BS22" i="46"/>
  <c r="AQ22" i="46"/>
  <c r="CU21" i="46"/>
  <c r="BS21" i="46"/>
  <c r="AQ21" i="46"/>
  <c r="CU20" i="46"/>
  <c r="BS20" i="46"/>
  <c r="AQ20" i="46"/>
  <c r="CU19" i="46"/>
  <c r="BS19" i="46"/>
  <c r="AQ19" i="46"/>
  <c r="CU18" i="46"/>
  <c r="BS18" i="46"/>
  <c r="AQ18" i="46"/>
  <c r="CU17" i="46"/>
  <c r="BS17" i="46"/>
  <c r="AQ17" i="46"/>
  <c r="CU16" i="46"/>
  <c r="BS16" i="46"/>
  <c r="AQ16" i="46"/>
  <c r="CU15" i="46"/>
  <c r="BS15" i="46"/>
  <c r="AQ15" i="46"/>
  <c r="CU14" i="46"/>
  <c r="BS14" i="46"/>
  <c r="AQ14" i="46"/>
  <c r="CU13" i="46"/>
  <c r="BS13" i="46"/>
  <c r="AQ13" i="46"/>
  <c r="AF41" i="46"/>
  <c r="BB40" i="46"/>
  <c r="BJ39" i="46"/>
  <c r="CJ38" i="46"/>
  <c r="AH38" i="46"/>
  <c r="BO37" i="46"/>
  <c r="AA37" i="46"/>
  <c r="BK36" i="46"/>
  <c r="CU35" i="46"/>
  <c r="BH35" i="46"/>
  <c r="CQ34" i="46"/>
  <c r="BE34" i="46"/>
  <c r="CU33" i="46"/>
  <c r="BN33" i="46"/>
  <c r="AG33" i="46"/>
  <c r="CE32" i="46"/>
  <c r="AX32" i="46"/>
  <c r="T32" i="46"/>
  <c r="BV31" i="46"/>
  <c r="AP31" i="46"/>
  <c r="CR30" i="46"/>
  <c r="BN30" i="46"/>
  <c r="AJ30" i="46"/>
  <c r="CL29" i="46"/>
  <c r="BH29" i="46"/>
  <c r="AB29" i="46"/>
  <c r="CD28" i="46"/>
  <c r="AX28" i="46"/>
  <c r="T28" i="46"/>
  <c r="BV27" i="46"/>
  <c r="AP27" i="46"/>
  <c r="CR26" i="46"/>
  <c r="BN26" i="46"/>
  <c r="AJ26" i="46"/>
  <c r="CL25" i="46"/>
  <c r="BH25" i="46"/>
  <c r="AB25" i="46"/>
  <c r="CD24" i="46"/>
  <c r="AX24" i="46"/>
  <c r="T24" i="46"/>
  <c r="BV23" i="46"/>
  <c r="AQ23" i="46"/>
  <c r="CT22" i="46"/>
  <c r="BR22" i="46"/>
  <c r="AP22" i="46"/>
  <c r="CT21" i="46"/>
  <c r="BR21" i="46"/>
  <c r="AP21" i="46"/>
  <c r="CT20" i="46"/>
  <c r="BR20" i="46"/>
  <c r="AP20" i="46"/>
  <c r="CT19" i="46"/>
  <c r="BR19" i="46"/>
  <c r="AP19" i="46"/>
  <c r="CT18" i="46"/>
  <c r="BR18" i="46"/>
  <c r="AP18" i="46"/>
  <c r="CT17" i="46"/>
  <c r="BR17" i="46"/>
  <c r="AP17" i="46"/>
  <c r="CT16" i="46"/>
  <c r="BR16" i="46"/>
  <c r="AP16" i="46"/>
  <c r="CT15" i="46"/>
  <c r="AC41" i="46"/>
  <c r="BA40" i="46"/>
  <c r="BI39" i="46"/>
  <c r="CG38" i="46"/>
  <c r="AG38" i="46"/>
  <c r="BM37" i="46"/>
  <c r="Z37" i="46"/>
  <c r="BJ36" i="46"/>
  <c r="CT35" i="46"/>
  <c r="BE35" i="46"/>
  <c r="CO34" i="46"/>
  <c r="BD34" i="46"/>
  <c r="CT33" i="46"/>
  <c r="BM33" i="46"/>
  <c r="AF33" i="46"/>
  <c r="CD32" i="46"/>
  <c r="AW32" i="46"/>
  <c r="S32" i="46"/>
  <c r="BS31" i="46"/>
  <c r="AO31" i="46"/>
  <c r="CQ30" i="46"/>
  <c r="BM30" i="46"/>
  <c r="AI30" i="46"/>
  <c r="CK29" i="46"/>
  <c r="BE29" i="46"/>
  <c r="AA29" i="46"/>
  <c r="CC28" i="46"/>
  <c r="AW28" i="46"/>
  <c r="S28" i="46"/>
  <c r="BS27" i="46"/>
  <c r="AO27" i="46"/>
  <c r="CQ26" i="46"/>
  <c r="BM26" i="46"/>
  <c r="AI26" i="46"/>
  <c r="CK25" i="46"/>
  <c r="BE25" i="46"/>
  <c r="AA25" i="46"/>
  <c r="CC24" i="46"/>
  <c r="AW24" i="46"/>
  <c r="S24" i="46"/>
  <c r="BS23" i="46"/>
  <c r="AP23" i="46"/>
  <c r="CS22" i="46"/>
  <c r="BQ22" i="46"/>
  <c r="AO22" i="46"/>
  <c r="CS21" i="46"/>
  <c r="BQ21" i="46"/>
  <c r="AO21" i="46"/>
  <c r="CS20" i="46"/>
  <c r="BQ20" i="46"/>
  <c r="AO20" i="46"/>
  <c r="CS19" i="46"/>
  <c r="BQ19" i="46"/>
  <c r="AO19" i="46"/>
  <c r="CS18" i="46"/>
  <c r="BQ18" i="46"/>
  <c r="AO18" i="46"/>
  <c r="CS17" i="46"/>
  <c r="BQ17" i="46"/>
  <c r="AO17" i="46"/>
  <c r="CS16" i="46"/>
  <c r="BQ16" i="46"/>
  <c r="AO16" i="46"/>
  <c r="CS15" i="46"/>
  <c r="BQ15" i="46"/>
  <c r="AO15" i="46"/>
  <c r="CS14" i="46"/>
  <c r="BQ14" i="46"/>
  <c r="AO14" i="46"/>
  <c r="CS13" i="46"/>
  <c r="BQ13" i="46"/>
  <c r="AO13" i="46"/>
  <c r="CS12" i="46"/>
  <c r="BQ12" i="46"/>
  <c r="AB41" i="46"/>
  <c r="AQ40" i="46"/>
  <c r="BH39" i="46"/>
  <c r="CF38" i="46"/>
  <c r="AF38" i="46"/>
  <c r="BL37" i="46"/>
  <c r="Y37" i="46"/>
  <c r="BI36" i="46"/>
  <c r="CS35" i="46"/>
  <c r="BD35" i="46"/>
  <c r="CN34" i="46"/>
  <c r="BC34" i="46"/>
  <c r="CS33" i="46"/>
  <c r="BL33" i="46"/>
  <c r="AC33" i="46"/>
  <c r="CC32" i="46"/>
  <c r="AV32" i="46"/>
  <c r="R32" i="46"/>
  <c r="BR31" i="46"/>
  <c r="AN31" i="46"/>
  <c r="CP30" i="46"/>
  <c r="BL30" i="46"/>
  <c r="AH30" i="46"/>
  <c r="CJ29" i="46"/>
  <c r="BD29" i="46"/>
  <c r="Z29" i="46"/>
  <c r="BZ28" i="46"/>
  <c r="AV28" i="46"/>
  <c r="R28" i="46"/>
  <c r="BR27" i="46"/>
  <c r="AN27" i="46"/>
  <c r="CP26" i="46"/>
  <c r="BL26" i="46"/>
  <c r="AH26" i="46"/>
  <c r="CJ25" i="46"/>
  <c r="BD25" i="46"/>
  <c r="Z25" i="46"/>
  <c r="BZ24" i="46"/>
  <c r="AV24" i="46"/>
  <c r="R24" i="46"/>
  <c r="BR23" i="46"/>
  <c r="AO23" i="46"/>
  <c r="CR22" i="46"/>
  <c r="BP22" i="46"/>
  <c r="AN22" i="46"/>
  <c r="CR21" i="46"/>
  <c r="BP21" i="46"/>
  <c r="AN21" i="46"/>
  <c r="CR20" i="46"/>
  <c r="BP20" i="46"/>
  <c r="AN20" i="46"/>
  <c r="CR19" i="46"/>
  <c r="BP19" i="46"/>
  <c r="AN19" i="46"/>
  <c r="CR18" i="46"/>
  <c r="BP18" i="46"/>
  <c r="AN18" i="46"/>
  <c r="CR17" i="46"/>
  <c r="BP17" i="46"/>
  <c r="AN17" i="46"/>
  <c r="CR16" i="46"/>
  <c r="BP16" i="46"/>
  <c r="AN16" i="46"/>
  <c r="CR15" i="46"/>
  <c r="AA41" i="46"/>
  <c r="AM40" i="46"/>
  <c r="BE39" i="46"/>
  <c r="CE38" i="46"/>
  <c r="AC38" i="46"/>
  <c r="BK37" i="46"/>
  <c r="CU36" i="46"/>
  <c r="BH36" i="46"/>
  <c r="CQ35" i="46"/>
  <c r="BC35" i="46"/>
  <c r="CM34" i="46"/>
  <c r="BB34" i="46"/>
  <c r="CR33" i="46"/>
  <c r="BK33" i="46"/>
  <c r="AB33" i="46"/>
  <c r="BZ32" i="46"/>
  <c r="AU32" i="46"/>
  <c r="CU31" i="46"/>
  <c r="BQ31" i="46"/>
  <c r="AM31" i="46"/>
  <c r="CO30" i="46"/>
  <c r="BK30" i="46"/>
  <c r="AG30" i="46"/>
  <c r="CG29" i="46"/>
  <c r="BC29" i="46"/>
  <c r="Y29" i="46"/>
  <c r="BY28" i="46"/>
  <c r="AU28" i="46"/>
  <c r="CU27" i="46"/>
  <c r="BQ27" i="46"/>
  <c r="AM27" i="46"/>
  <c r="CO26" i="46"/>
  <c r="BK26" i="46"/>
  <c r="AG26" i="46"/>
  <c r="CG25" i="46"/>
  <c r="BC25" i="46"/>
  <c r="Y25" i="46"/>
  <c r="BY24" i="46"/>
  <c r="AU24" i="46"/>
  <c r="CU23" i="46"/>
  <c r="BQ23" i="46"/>
  <c r="AN23" i="46"/>
  <c r="CQ22" i="46"/>
  <c r="BO22" i="46"/>
  <c r="AM22" i="46"/>
  <c r="CQ21" i="46"/>
  <c r="BO21" i="46"/>
  <c r="AM21" i="46"/>
  <c r="CQ20" i="46"/>
  <c r="BO20" i="46"/>
  <c r="AM20" i="46"/>
  <c r="CQ19" i="46"/>
  <c r="BO19" i="46"/>
  <c r="AM19" i="46"/>
  <c r="CQ18" i="46"/>
  <c r="BO18" i="46"/>
  <c r="AM18" i="46"/>
  <c r="CQ17" i="46"/>
  <c r="BO17" i="46"/>
  <c r="AM17" i="46"/>
  <c r="CQ16" i="46"/>
  <c r="BO16" i="46"/>
  <c r="AM16" i="46"/>
  <c r="CQ15" i="46"/>
  <c r="BO15" i="46"/>
  <c r="AM15" i="46"/>
  <c r="CQ14" i="46"/>
  <c r="BO14" i="46"/>
  <c r="AM14" i="46"/>
  <c r="CQ13" i="46"/>
  <c r="BO13" i="46"/>
  <c r="AM13" i="46"/>
  <c r="Z41" i="46"/>
  <c r="AH40" i="46"/>
  <c r="BD39" i="46"/>
  <c r="CD38" i="46"/>
  <c r="AB38" i="46"/>
  <c r="BJ37" i="46"/>
  <c r="CT36" i="46"/>
  <c r="BE36" i="46"/>
  <c r="CO35" i="46"/>
  <c r="BB35" i="46"/>
  <c r="CL34" i="46"/>
  <c r="BA34" i="46"/>
  <c r="CQ33" i="46"/>
  <c r="BJ33" i="46"/>
  <c r="AA33" i="46"/>
  <c r="BY32" i="46"/>
  <c r="AT32" i="46"/>
  <c r="CT31" i="46"/>
  <c r="BP31" i="46"/>
  <c r="AL31" i="46"/>
  <c r="CN30" i="46"/>
  <c r="BJ30" i="46"/>
  <c r="AF30" i="46"/>
  <c r="CF29" i="46"/>
  <c r="BB29" i="46"/>
  <c r="V29" i="46"/>
  <c r="BX28" i="46"/>
  <c r="AT28" i="46"/>
  <c r="CT27" i="46"/>
  <c r="BP27" i="46"/>
  <c r="AL27" i="46"/>
  <c r="CN26" i="46"/>
  <c r="BJ26" i="46"/>
  <c r="AF26" i="46"/>
  <c r="CF25" i="46"/>
  <c r="BB25" i="46"/>
  <c r="V25" i="46"/>
  <c r="BX24" i="46"/>
  <c r="AT24" i="46"/>
  <c r="CT23" i="46"/>
  <c r="BP23" i="46"/>
  <c r="AM23" i="46"/>
  <c r="CP22" i="46"/>
  <c r="BN22" i="46"/>
  <c r="AL22" i="46"/>
  <c r="CP21" i="46"/>
  <c r="BN21" i="46"/>
  <c r="AL21" i="46"/>
  <c r="CP20" i="46"/>
  <c r="BN20" i="46"/>
  <c r="AL20" i="46"/>
  <c r="CP19" i="46"/>
  <c r="BN19" i="46"/>
  <c r="AL19" i="46"/>
  <c r="CP18" i="46"/>
  <c r="BN18" i="46"/>
  <c r="AL18" i="46"/>
  <c r="CP17" i="46"/>
  <c r="BN17" i="46"/>
  <c r="AL17" i="46"/>
  <c r="CP16" i="46"/>
  <c r="BN16" i="46"/>
  <c r="AL16" i="46"/>
  <c r="CP15" i="46"/>
  <c r="Y41" i="46"/>
  <c r="AG40" i="46"/>
  <c r="BC39" i="46"/>
  <c r="CC38" i="46"/>
  <c r="AA38" i="46"/>
  <c r="BI37" i="46"/>
  <c r="CS36" i="46"/>
  <c r="BD36" i="46"/>
  <c r="CN35" i="46"/>
  <c r="BA35" i="46"/>
  <c r="CK34" i="46"/>
  <c r="AQ34" i="46"/>
  <c r="CP33" i="46"/>
  <c r="BI33" i="46"/>
  <c r="Z33" i="46"/>
  <c r="BX32" i="46"/>
  <c r="AQ32" i="46"/>
  <c r="CS31" i="46"/>
  <c r="BO31" i="46"/>
  <c r="AK31" i="46"/>
  <c r="CM30" i="46"/>
  <c r="BI30" i="46"/>
  <c r="AC30" i="46"/>
  <c r="CE29" i="46"/>
  <c r="BA29" i="46"/>
  <c r="U29" i="46"/>
  <c r="BW28" i="46"/>
  <c r="AQ28" i="46"/>
  <c r="CS27" i="46"/>
  <c r="BO27" i="46"/>
  <c r="AK27" i="46"/>
  <c r="CM26" i="46"/>
  <c r="BI26" i="46"/>
  <c r="AC26" i="46"/>
  <c r="CE25" i="46"/>
  <c r="BA25" i="46"/>
  <c r="U25" i="46"/>
  <c r="BW24" i="46"/>
  <c r="AQ24" i="46"/>
  <c r="CS23" i="46"/>
  <c r="BO23" i="46"/>
  <c r="AL23" i="46"/>
  <c r="CO22" i="46"/>
  <c r="BM22" i="46"/>
  <c r="AK22" i="46"/>
  <c r="CO21" i="46"/>
  <c r="BM21" i="46"/>
  <c r="AK21" i="46"/>
  <c r="CO20" i="46"/>
  <c r="BM20" i="46"/>
  <c r="AK20" i="46"/>
  <c r="CO19" i="46"/>
  <c r="BM19" i="46"/>
  <c r="AK19" i="46"/>
  <c r="CO18" i="46"/>
  <c r="BM18" i="46"/>
  <c r="AK18" i="46"/>
  <c r="CO17" i="46"/>
  <c r="BM17" i="46"/>
  <c r="AK17" i="46"/>
  <c r="CO16" i="46"/>
  <c r="CU40" i="46"/>
  <c r="AF40" i="46"/>
  <c r="BB39" i="46"/>
  <c r="BS38" i="46"/>
  <c r="Z38" i="46"/>
  <c r="BH37" i="46"/>
  <c r="CQ36" i="46"/>
  <c r="BC36" i="46"/>
  <c r="CM35" i="46"/>
  <c r="AQ35" i="46"/>
  <c r="CJ34" i="46"/>
  <c r="AP34" i="46"/>
  <c r="CO33" i="46"/>
  <c r="BH33" i="46"/>
  <c r="Y33" i="46"/>
  <c r="BW32" i="46"/>
  <c r="AP32" i="46"/>
  <c r="CR31" i="46"/>
  <c r="BN31" i="46"/>
  <c r="AJ31" i="46"/>
  <c r="CL30" i="46"/>
  <c r="BH30" i="46"/>
  <c r="AB30" i="46"/>
  <c r="CD29" i="46"/>
  <c r="AX29" i="46"/>
  <c r="T29" i="46"/>
  <c r="BV28" i="46"/>
  <c r="AP28" i="46"/>
  <c r="CR27" i="46"/>
  <c r="BN27" i="46"/>
  <c r="AJ27" i="46"/>
  <c r="CL26" i="46"/>
  <c r="BH26" i="46"/>
  <c r="AB26" i="46"/>
  <c r="CD25" i="46"/>
  <c r="AX25" i="46"/>
  <c r="T25" i="46"/>
  <c r="BV24" i="46"/>
  <c r="AP24" i="46"/>
  <c r="CR23" i="46"/>
  <c r="BN23" i="46"/>
  <c r="AK23" i="46"/>
  <c r="CN22" i="46"/>
  <c r="BL22" i="46"/>
  <c r="AJ22" i="46"/>
  <c r="CN21" i="46"/>
  <c r="BL21" i="46"/>
  <c r="AJ21" i="46"/>
  <c r="CN20" i="46"/>
  <c r="BL20" i="46"/>
  <c r="AJ20" i="46"/>
  <c r="CN19" i="46"/>
  <c r="BL19" i="46"/>
  <c r="AJ19" i="46"/>
  <c r="CN18" i="46"/>
  <c r="BL18" i="46"/>
  <c r="AJ18" i="46"/>
  <c r="CN17" i="46"/>
  <c r="BL17" i="46"/>
  <c r="AJ17" i="46"/>
  <c r="CQ40" i="46"/>
  <c r="AC40" i="46"/>
  <c r="BA39" i="46"/>
  <c r="BR38" i="46"/>
  <c r="Y38" i="46"/>
  <c r="BE37" i="46"/>
  <c r="CO36" i="46"/>
  <c r="BB36" i="46"/>
  <c r="CL35" i="46"/>
  <c r="AP35" i="46"/>
  <c r="CG34" i="46"/>
  <c r="AO34" i="46"/>
  <c r="CN33" i="46"/>
  <c r="BE33" i="46"/>
  <c r="U33" i="46"/>
  <c r="BS32" i="46"/>
  <c r="AO32" i="46"/>
  <c r="CQ31" i="46"/>
  <c r="BM31" i="46"/>
  <c r="AI31" i="46"/>
  <c r="CK30" i="46"/>
  <c r="BE30" i="46"/>
  <c r="AA30" i="46"/>
  <c r="CC29" i="46"/>
  <c r="AW29" i="46"/>
  <c r="S29" i="46"/>
  <c r="BS28" i="46"/>
  <c r="AO28" i="46"/>
  <c r="CQ27" i="46"/>
  <c r="BM27" i="46"/>
  <c r="AI27" i="46"/>
  <c r="CK26" i="46"/>
  <c r="BE26" i="46"/>
  <c r="AA26" i="46"/>
  <c r="CC25" i="46"/>
  <c r="AW25" i="46"/>
  <c r="S25" i="46"/>
  <c r="BS24" i="46"/>
  <c r="AO24" i="46"/>
  <c r="CQ23" i="46"/>
  <c r="BM23" i="46"/>
  <c r="AJ23" i="46"/>
  <c r="CM22" i="46"/>
  <c r="BK22" i="46"/>
  <c r="AI22" i="46"/>
  <c r="CM21" i="46"/>
  <c r="BK21" i="46"/>
  <c r="AI21" i="46"/>
  <c r="CM20" i="46"/>
  <c r="BK20" i="46"/>
  <c r="AI20" i="46"/>
  <c r="CM19" i="46"/>
  <c r="BK19" i="46"/>
  <c r="AI19" i="46"/>
  <c r="CM18" i="46"/>
  <c r="BK18" i="46"/>
  <c r="AI18" i="46"/>
  <c r="CM17" i="46"/>
  <c r="CL40" i="46"/>
  <c r="AB40" i="46"/>
  <c r="AQ39" i="46"/>
  <c r="BO38" i="46"/>
  <c r="CU37" i="46"/>
  <c r="BD37" i="46"/>
  <c r="CN36" i="46"/>
  <c r="BA36" i="46"/>
  <c r="CK35" i="46"/>
  <c r="AO35" i="46"/>
  <c r="CF34" i="46"/>
  <c r="AN34" i="46"/>
  <c r="CM33" i="46"/>
  <c r="BD33" i="46"/>
  <c r="T33" i="46"/>
  <c r="BR32" i="46"/>
  <c r="AN32" i="46"/>
  <c r="CP31" i="46"/>
  <c r="BL31" i="46"/>
  <c r="AH31" i="46"/>
  <c r="CJ30" i="46"/>
  <c r="BD30" i="46"/>
  <c r="Z30" i="46"/>
  <c r="BZ29" i="46"/>
  <c r="AV29" i="46"/>
  <c r="R29" i="46"/>
  <c r="BR28" i="46"/>
  <c r="AN28" i="46"/>
  <c r="CP27" i="46"/>
  <c r="BL27" i="46"/>
  <c r="AH27" i="46"/>
  <c r="CJ26" i="46"/>
  <c r="BD26" i="46"/>
  <c r="Z26" i="46"/>
  <c r="BZ25" i="46"/>
  <c r="AV25" i="46"/>
  <c r="R25" i="46"/>
  <c r="BR24" i="46"/>
  <c r="AN24" i="46"/>
  <c r="CP23" i="46"/>
  <c r="BL23" i="46"/>
  <c r="AI23" i="46"/>
  <c r="CL22" i="46"/>
  <c r="BJ22" i="46"/>
  <c r="AH22" i="46"/>
  <c r="CL21" i="46"/>
  <c r="BJ21" i="46"/>
  <c r="AH21" i="46"/>
  <c r="CL20" i="46"/>
  <c r="BJ20" i="46"/>
  <c r="AH20" i="46"/>
  <c r="CL19" i="46"/>
  <c r="BJ19" i="46"/>
  <c r="AH19" i="46"/>
  <c r="CL18" i="46"/>
  <c r="BJ18" i="46"/>
  <c r="AH18" i="46"/>
  <c r="CL17" i="46"/>
  <c r="BJ17" i="46"/>
  <c r="AH17" i="46"/>
  <c r="CU41" i="46"/>
  <c r="CK40" i="46"/>
  <c r="AA40" i="46"/>
  <c r="AM39" i="46"/>
  <c r="BM38" i="46"/>
  <c r="CT37" i="46"/>
  <c r="BC37" i="46"/>
  <c r="CM36" i="46"/>
  <c r="AQ36" i="46"/>
  <c r="CJ35" i="46"/>
  <c r="AM35" i="46"/>
  <c r="CE34" i="46"/>
  <c r="AM34" i="46"/>
  <c r="CL33" i="46"/>
  <c r="BC33" i="46"/>
  <c r="S33" i="46"/>
  <c r="BQ32" i="46"/>
  <c r="AM32" i="46"/>
  <c r="CO31" i="46"/>
  <c r="BK31" i="46"/>
  <c r="AG31" i="46"/>
  <c r="CG30" i="46"/>
  <c r="BC30" i="46"/>
  <c r="Y30" i="46"/>
  <c r="BY29" i="46"/>
  <c r="AU29" i="46"/>
  <c r="CU28" i="46"/>
  <c r="BQ28" i="46"/>
  <c r="AM28" i="46"/>
  <c r="CO27" i="46"/>
  <c r="BK27" i="46"/>
  <c r="AG27" i="46"/>
  <c r="CG26" i="46"/>
  <c r="BC26" i="46"/>
  <c r="Y26" i="46"/>
  <c r="BY25" i="46"/>
  <c r="AU25" i="46"/>
  <c r="CU24" i="46"/>
  <c r="BQ24" i="46"/>
  <c r="AM24" i="46"/>
  <c r="CO23" i="46"/>
  <c r="BK23" i="46"/>
  <c r="AH23" i="46"/>
  <c r="CK22" i="46"/>
  <c r="BI22" i="46"/>
  <c r="AG22" i="46"/>
  <c r="CK21" i="46"/>
  <c r="BI21" i="46"/>
  <c r="AG21" i="46"/>
  <c r="CK20" i="46"/>
  <c r="CJ41" i="46"/>
  <c r="CJ40" i="46"/>
  <c r="Z40" i="46"/>
  <c r="AH39" i="46"/>
  <c r="BK38" i="46"/>
  <c r="CQ37" i="46"/>
  <c r="BB37" i="46"/>
  <c r="CL36" i="46"/>
  <c r="AP36" i="46"/>
  <c r="CG35" i="46"/>
  <c r="AK35" i="46"/>
  <c r="CD34" i="46"/>
  <c r="AL34" i="46"/>
  <c r="CK33" i="46"/>
  <c r="BB33" i="46"/>
  <c r="CU32" i="46"/>
  <c r="BP32" i="46"/>
  <c r="AL32" i="46"/>
  <c r="CN31" i="46"/>
  <c r="BJ31" i="46"/>
  <c r="AF31" i="46"/>
  <c r="CF30" i="46"/>
  <c r="BB30" i="46"/>
  <c r="V30" i="46"/>
  <c r="BX29" i="46"/>
  <c r="AT29" i="46"/>
  <c r="CT28" i="46"/>
  <c r="BP28" i="46"/>
  <c r="AL28" i="46"/>
  <c r="CN27" i="46"/>
  <c r="BJ27" i="46"/>
  <c r="AF27" i="46"/>
  <c r="CF26" i="46"/>
  <c r="BB26" i="46"/>
  <c r="V26" i="46"/>
  <c r="BX25" i="46"/>
  <c r="AT25" i="46"/>
  <c r="CT24" i="46"/>
  <c r="BP24" i="46"/>
  <c r="AL24" i="46"/>
  <c r="CN23" i="46"/>
  <c r="BJ23" i="46"/>
  <c r="AG23" i="46"/>
  <c r="CJ22" i="46"/>
  <c r="BH22" i="46"/>
  <c r="AF22" i="46"/>
  <c r="CJ21" i="46"/>
  <c r="BH21" i="46"/>
  <c r="AF21" i="46"/>
  <c r="CJ20" i="46"/>
  <c r="BH20" i="46"/>
  <c r="AF20" i="46"/>
  <c r="CJ19" i="46"/>
  <c r="BH19" i="46"/>
  <c r="AF19" i="46"/>
  <c r="CG41" i="46"/>
  <c r="CG40" i="46"/>
  <c r="Y40" i="46"/>
  <c r="AG39" i="46"/>
  <c r="BJ38" i="46"/>
  <c r="CO37" i="46"/>
  <c r="BA37" i="46"/>
  <c r="CK36" i="46"/>
  <c r="AO36" i="46"/>
  <c r="CF35" i="46"/>
  <c r="AJ35" i="46"/>
  <c r="CC34" i="46"/>
  <c r="AK34" i="46"/>
  <c r="CJ33" i="46"/>
  <c r="BA33" i="46"/>
  <c r="CT32" i="46"/>
  <c r="BO32" i="46"/>
  <c r="AK32" i="46"/>
  <c r="CM31" i="46"/>
  <c r="BI31" i="46"/>
  <c r="AC31" i="46"/>
  <c r="CE30" i="46"/>
  <c r="BA30" i="46"/>
  <c r="U30" i="46"/>
  <c r="BW29" i="46"/>
  <c r="AQ29" i="46"/>
  <c r="CS28" i="46"/>
  <c r="BO28" i="46"/>
  <c r="AK28" i="46"/>
  <c r="CM27" i="46"/>
  <c r="BI27" i="46"/>
  <c r="AC27" i="46"/>
  <c r="CE26" i="46"/>
  <c r="BA26" i="46"/>
  <c r="U26" i="46"/>
  <c r="BW25" i="46"/>
  <c r="AQ25" i="46"/>
  <c r="CS24" i="46"/>
  <c r="BO24" i="46"/>
  <c r="AK24" i="46"/>
  <c r="CM23" i="46"/>
  <c r="BI23" i="46"/>
  <c r="AF23" i="46"/>
  <c r="CG22" i="46"/>
  <c r="BE22" i="46"/>
  <c r="AC22" i="46"/>
  <c r="CG21" i="46"/>
  <c r="BE21" i="46"/>
  <c r="AC21" i="46"/>
  <c r="CG20" i="46"/>
  <c r="BE20" i="46"/>
  <c r="AC20" i="46"/>
  <c r="CG19" i="46"/>
  <c r="BE19" i="46"/>
  <c r="AC19" i="46"/>
  <c r="CG18" i="46"/>
  <c r="CF41" i="46"/>
  <c r="CF40" i="46"/>
  <c r="CU39" i="46"/>
  <c r="AF39" i="46"/>
  <c r="BI38" i="46"/>
  <c r="CM37" i="46"/>
  <c r="AQ37" i="46"/>
  <c r="CJ36" i="46"/>
  <c r="AM36" i="46"/>
  <c r="CE35" i="46"/>
  <c r="AI35" i="46"/>
  <c r="BS34" i="46"/>
  <c r="AJ34" i="46"/>
  <c r="CG33" i="46"/>
  <c r="AW33" i="46"/>
  <c r="CS32" i="46"/>
  <c r="BN32" i="46"/>
  <c r="AJ32" i="46"/>
  <c r="CL31" i="46"/>
  <c r="BH31" i="46"/>
  <c r="AB31" i="46"/>
  <c r="CD30" i="46"/>
  <c r="AX30" i="46"/>
  <c r="T30" i="46"/>
  <c r="BV29" i="46"/>
  <c r="AP29" i="46"/>
  <c r="CR28" i="46"/>
  <c r="BN28" i="46"/>
  <c r="AJ28" i="46"/>
  <c r="CL27" i="46"/>
  <c r="BH27" i="46"/>
  <c r="AB27" i="46"/>
  <c r="CD26" i="46"/>
  <c r="AX26" i="46"/>
  <c r="T26" i="46"/>
  <c r="BV25" i="46"/>
  <c r="AP25" i="46"/>
  <c r="CR24" i="46"/>
  <c r="BN24" i="46"/>
  <c r="AJ24" i="46"/>
  <c r="CL23" i="46"/>
  <c r="BH23" i="46"/>
  <c r="AC23" i="46"/>
  <c r="CF22" i="46"/>
  <c r="BD22" i="46"/>
  <c r="AB22" i="46"/>
  <c r="CF21" i="46"/>
  <c r="BD21" i="46"/>
  <c r="AB21" i="46"/>
  <c r="CF20" i="46"/>
  <c r="BD20" i="46"/>
  <c r="AB20" i="46"/>
  <c r="CF19" i="46"/>
  <c r="BI20" i="46"/>
  <c r="BH17" i="46"/>
  <c r="AJ16" i="46"/>
  <c r="BE15" i="46"/>
  <c r="BX14" i="46"/>
  <c r="T14" i="46"/>
  <c r="AV13" i="46"/>
  <c r="CJ12" i="46"/>
  <c r="AN12" i="46"/>
  <c r="CK11" i="46"/>
  <c r="AQ11" i="46"/>
  <c r="CN10" i="46"/>
  <c r="AV10" i="46"/>
  <c r="CQ9" i="46"/>
  <c r="BH9" i="46"/>
  <c r="CU8" i="46"/>
  <c r="BM8" i="46"/>
  <c r="AC8" i="46"/>
  <c r="BS7" i="46"/>
  <c r="AK7" i="46"/>
  <c r="CK6" i="46"/>
  <c r="BA6" i="46"/>
  <c r="U6" i="46"/>
  <c r="AG20" i="46"/>
  <c r="BE17" i="46"/>
  <c r="AI16" i="46"/>
  <c r="BD15" i="46"/>
  <c r="BR14" i="46"/>
  <c r="CT13" i="46"/>
  <c r="AP13" i="46"/>
  <c r="CG12" i="46"/>
  <c r="AM12" i="46"/>
  <c r="CJ11" i="46"/>
  <c r="AP11" i="46"/>
  <c r="CM10" i="46"/>
  <c r="AU10" i="46"/>
  <c r="CP9" i="46"/>
  <c r="BE9" i="46"/>
  <c r="CT8" i="46"/>
  <c r="BL8" i="46"/>
  <c r="AB8" i="46"/>
  <c r="BR7" i="46"/>
  <c r="AJ7" i="46"/>
  <c r="CJ6" i="46"/>
  <c r="AZ6" i="46"/>
  <c r="T6" i="46"/>
  <c r="CK19" i="46"/>
  <c r="BD17" i="46"/>
  <c r="AH16" i="46"/>
  <c r="AP15" i="46"/>
  <c r="BP14" i="46"/>
  <c r="CR13" i="46"/>
  <c r="AN13" i="46"/>
  <c r="CF12" i="46"/>
  <c r="AL12" i="46"/>
  <c r="CG11" i="46"/>
  <c r="AO11" i="46"/>
  <c r="CL10" i="46"/>
  <c r="AT10" i="46"/>
  <c r="CO9" i="46"/>
  <c r="BD9" i="46"/>
  <c r="CS8" i="46"/>
  <c r="BK8" i="46"/>
  <c r="V8" i="46"/>
  <c r="BQ7" i="46"/>
  <c r="AI7" i="46"/>
  <c r="CG6" i="46"/>
  <c r="AX6" i="46"/>
  <c r="S6" i="46"/>
  <c r="BI19" i="46"/>
  <c r="AI17" i="46"/>
  <c r="AG16" i="46"/>
  <c r="AN15" i="46"/>
  <c r="BN14" i="46"/>
  <c r="CP13" i="46"/>
  <c r="AL13" i="46"/>
  <c r="BX12" i="46"/>
  <c r="AK12" i="46"/>
  <c r="CF11" i="46"/>
  <c r="AN11" i="46"/>
  <c r="CK10" i="46"/>
  <c r="AQ10" i="46"/>
  <c r="CN9" i="46"/>
  <c r="AV9" i="46"/>
  <c r="CR8" i="46"/>
  <c r="BJ8" i="46"/>
  <c r="T8" i="46"/>
  <c r="BP7" i="46"/>
  <c r="AH7" i="46"/>
  <c r="CF6" i="46"/>
  <c r="AW6" i="46"/>
  <c r="R6" i="46"/>
  <c r="BD19" i="46"/>
  <c r="AG17" i="46"/>
  <c r="AF16" i="46"/>
  <c r="AL15" i="46"/>
  <c r="BM14" i="46"/>
  <c r="CO13" i="46"/>
  <c r="AK13" i="46"/>
  <c r="BV12" i="46"/>
  <c r="AJ12" i="46"/>
  <c r="BX11" i="46"/>
  <c r="AM11" i="46"/>
  <c r="CJ10" i="46"/>
  <c r="AP10" i="46"/>
  <c r="CM9" i="46"/>
  <c r="AU9" i="46"/>
  <c r="CQ8" i="46"/>
  <c r="BI8" i="46"/>
  <c r="S8" i="46"/>
  <c r="BO7" i="46"/>
  <c r="AG7" i="46"/>
  <c r="CC6" i="46"/>
  <c r="AV6" i="46"/>
  <c r="AG19" i="46"/>
  <c r="AF17" i="46"/>
  <c r="AC16" i="46"/>
  <c r="AK15" i="46"/>
  <c r="BL14" i="46"/>
  <c r="CN13" i="46"/>
  <c r="AJ13" i="46"/>
  <c r="BS12" i="46"/>
  <c r="AI12" i="46"/>
  <c r="BW11" i="46"/>
  <c r="AL11" i="46"/>
  <c r="CG10" i="46"/>
  <c r="AO10" i="46"/>
  <c r="CL9" i="46"/>
  <c r="AT9" i="46"/>
  <c r="CP8" i="46"/>
  <c r="BH8" i="46"/>
  <c r="R8" i="46"/>
  <c r="BN7" i="46"/>
  <c r="AF7" i="46"/>
  <c r="BZ6" i="46"/>
  <c r="AU6" i="46"/>
  <c r="AB19" i="46"/>
  <c r="AC17" i="46"/>
  <c r="AB16" i="46"/>
  <c r="AJ15" i="46"/>
  <c r="BK14" i="46"/>
  <c r="CM13" i="46"/>
  <c r="AI13" i="46"/>
  <c r="BR12" i="46"/>
  <c r="AH12" i="46"/>
  <c r="BV11" i="46"/>
  <c r="AK11" i="46"/>
  <c r="CF10" i="46"/>
  <c r="AN10" i="46"/>
  <c r="CK9" i="46"/>
  <c r="AQ9" i="46"/>
  <c r="CO8" i="46"/>
  <c r="BE8" i="46"/>
  <c r="CU7" i="46"/>
  <c r="BM7" i="46"/>
  <c r="AC7" i="46"/>
  <c r="BY6" i="46"/>
  <c r="AT6" i="46"/>
  <c r="CK18" i="46"/>
  <c r="AB17" i="46"/>
  <c r="CO15" i="46"/>
  <c r="AI15" i="46"/>
  <c r="BJ14" i="46"/>
  <c r="CL13" i="46"/>
  <c r="AH13" i="46"/>
  <c r="BP12" i="46"/>
  <c r="AG12" i="46"/>
  <c r="BS11" i="46"/>
  <c r="AJ11" i="46"/>
  <c r="BX10" i="46"/>
  <c r="AM10" i="46"/>
  <c r="CJ9" i="46"/>
  <c r="AP9" i="46"/>
  <c r="CN8" i="46"/>
  <c r="BD8" i="46"/>
  <c r="CT7" i="46"/>
  <c r="BL7" i="46"/>
  <c r="AB7" i="46"/>
  <c r="BX6" i="46"/>
  <c r="AQ6" i="46"/>
  <c r="CJ18" i="46"/>
  <c r="CN16" i="46"/>
  <c r="CN15" i="46"/>
  <c r="AH15" i="46"/>
  <c r="BI14" i="46"/>
  <c r="CK13" i="46"/>
  <c r="AG13" i="46"/>
  <c r="BO12" i="46"/>
  <c r="AF12" i="46"/>
  <c r="BR11" i="46"/>
  <c r="AI11" i="46"/>
  <c r="BW10" i="46"/>
  <c r="AL10" i="46"/>
  <c r="CG9" i="46"/>
  <c r="AO9" i="46"/>
  <c r="CM8" i="46"/>
  <c r="AX8" i="46"/>
  <c r="CS7" i="46"/>
  <c r="BK7" i="46"/>
  <c r="Y7" i="46"/>
  <c r="BW6" i="46"/>
  <c r="AP6" i="46"/>
  <c r="CF18" i="46"/>
  <c r="CM16" i="46"/>
  <c r="CM15" i="46"/>
  <c r="AG15" i="46"/>
  <c r="BH14" i="46"/>
  <c r="CJ13" i="46"/>
  <c r="AF13" i="46"/>
  <c r="BN12" i="46"/>
  <c r="AC12" i="46"/>
  <c r="BQ11" i="46"/>
  <c r="AH11" i="46"/>
  <c r="BV10" i="46"/>
  <c r="AK10" i="46"/>
  <c r="CF9" i="46"/>
  <c r="AN9" i="46"/>
  <c r="CL8" i="46"/>
  <c r="AV8" i="46"/>
  <c r="CR7" i="46"/>
  <c r="BJ7" i="46"/>
  <c r="V7" i="46"/>
  <c r="BV6" i="46"/>
  <c r="AO6" i="46"/>
  <c r="BI18" i="46"/>
  <c r="CL16" i="46"/>
  <c r="CL15" i="46"/>
  <c r="AF15" i="46"/>
  <c r="BE14" i="46"/>
  <c r="CG13" i="46"/>
  <c r="AC13" i="46"/>
  <c r="BM12" i="46"/>
  <c r="AB12" i="46"/>
  <c r="BP11" i="46"/>
  <c r="AG11" i="46"/>
  <c r="BS10" i="46"/>
  <c r="AJ10" i="46"/>
  <c r="BX9" i="46"/>
  <c r="AM9" i="46"/>
  <c r="CK8" i="46"/>
  <c r="AU8" i="46"/>
  <c r="CQ7" i="46"/>
  <c r="BI7" i="46"/>
  <c r="U7" i="46"/>
  <c r="BS6" i="46"/>
  <c r="AN6" i="46"/>
  <c r="BH18" i="46"/>
  <c r="CK16" i="46"/>
  <c r="CK15" i="46"/>
  <c r="AC15" i="46"/>
  <c r="BD14" i="46"/>
  <c r="CF13" i="46"/>
  <c r="AB13" i="46"/>
  <c r="BL12" i="46"/>
  <c r="T12" i="46"/>
  <c r="BO11" i="46"/>
  <c r="AF11" i="46"/>
  <c r="BR10" i="46"/>
  <c r="AI10" i="46"/>
  <c r="BW9" i="46"/>
  <c r="AL9" i="46"/>
  <c r="CJ8" i="46"/>
  <c r="AT8" i="46"/>
  <c r="CP7" i="46"/>
  <c r="BH7" i="46"/>
  <c r="T7" i="46"/>
  <c r="BR6" i="46"/>
  <c r="AM6" i="46"/>
  <c r="BE18" i="46"/>
  <c r="CJ16" i="46"/>
  <c r="CJ15" i="46"/>
  <c r="AB15" i="46"/>
  <c r="AV14" i="46"/>
  <c r="BX13" i="46"/>
  <c r="T13" i="46"/>
  <c r="BK12" i="46"/>
  <c r="S12" i="46"/>
  <c r="BN11" i="46"/>
  <c r="AC11" i="46"/>
  <c r="BQ10" i="46"/>
  <c r="AH10" i="46"/>
  <c r="BV9" i="46"/>
  <c r="AK9" i="46"/>
  <c r="CG8" i="46"/>
  <c r="AQ8" i="46"/>
  <c r="CO7" i="46"/>
  <c r="BE7" i="46"/>
  <c r="S7" i="46"/>
  <c r="BQ6" i="46"/>
  <c r="AL6" i="46"/>
  <c r="BD18" i="46"/>
  <c r="CG16" i="46"/>
  <c r="CG15" i="46"/>
  <c r="CT14" i="46"/>
  <c r="AP14" i="46"/>
  <c r="BR13" i="46"/>
  <c r="R13" i="46"/>
  <c r="BJ12" i="46"/>
  <c r="R12" i="46"/>
  <c r="BM11" i="46"/>
  <c r="AB11" i="46"/>
  <c r="BP10" i="46"/>
  <c r="AG10" i="46"/>
  <c r="BS9" i="46"/>
  <c r="AJ9" i="46"/>
  <c r="CF8" i="46"/>
  <c r="AP8" i="46"/>
  <c r="CN7" i="46"/>
  <c r="BD7" i="46"/>
  <c r="R7" i="46"/>
  <c r="BP6" i="46"/>
  <c r="AK6" i="46"/>
  <c r="AG18" i="46"/>
  <c r="CF16" i="46"/>
  <c r="CF15" i="46"/>
  <c r="CR14" i="46"/>
  <c r="AN14" i="46"/>
  <c r="BP13" i="46"/>
  <c r="CU12" i="46"/>
  <c r="BI12" i="46"/>
  <c r="CU11" i="46"/>
  <c r="BL11" i="46"/>
  <c r="T11" i="46"/>
  <c r="BO10" i="46"/>
  <c r="AF10" i="46"/>
  <c r="BR9" i="46"/>
  <c r="AI9" i="46"/>
  <c r="BZ8" i="46"/>
  <c r="AO8" i="46"/>
  <c r="CM7" i="46"/>
  <c r="AX7" i="46"/>
  <c r="CU6" i="46"/>
  <c r="BO6" i="46"/>
  <c r="AJ6" i="46"/>
  <c r="AF18" i="46"/>
  <c r="BM16" i="46"/>
  <c r="BR15" i="46"/>
  <c r="CP14" i="46"/>
  <c r="AL14" i="46"/>
  <c r="BN13" i="46"/>
  <c r="CT12" i="46"/>
  <c r="BH12" i="46"/>
  <c r="CT11" i="46"/>
  <c r="BK11" i="46"/>
  <c r="S11" i="46"/>
  <c r="BN10" i="46"/>
  <c r="AC10" i="46"/>
  <c r="BQ9" i="46"/>
  <c r="AH9" i="46"/>
  <c r="BX8" i="46"/>
  <c r="AN8" i="46"/>
  <c r="CL7" i="46"/>
  <c r="AV7" i="46"/>
  <c r="CT6" i="46"/>
  <c r="BN6" i="46"/>
  <c r="AI6" i="46"/>
  <c r="AC18" i="46"/>
  <c r="BL16" i="46"/>
  <c r="BP15" i="46"/>
  <c r="CO14" i="46"/>
  <c r="AK14" i="46"/>
  <c r="BM13" i="46"/>
  <c r="CR12" i="46"/>
  <c r="BE12" i="46"/>
  <c r="CS11" i="46"/>
  <c r="BJ11" i="46"/>
  <c r="R11" i="46"/>
  <c r="BM10" i="46"/>
  <c r="AB10" i="46"/>
  <c r="BP9" i="46"/>
  <c r="AG9" i="46"/>
  <c r="BW8" i="46"/>
  <c r="AM8" i="46"/>
  <c r="CK7" i="46"/>
  <c r="AU7" i="46"/>
  <c r="CS6" i="46"/>
  <c r="BM6" i="46"/>
  <c r="AH6" i="46"/>
  <c r="AB18" i="46"/>
  <c r="BK16" i="46"/>
  <c r="BN15" i="46"/>
  <c r="CN14" i="46"/>
  <c r="AJ14" i="46"/>
  <c r="BL13" i="46"/>
  <c r="CQ12" i="46"/>
  <c r="BD12" i="46"/>
  <c r="CR11" i="46"/>
  <c r="BI11" i="46"/>
  <c r="CU10" i="46"/>
  <c r="BL10" i="46"/>
  <c r="T10" i="46"/>
  <c r="BO9" i="46"/>
  <c r="AF9" i="46"/>
  <c r="BV8" i="46"/>
  <c r="AL8" i="46"/>
  <c r="CJ7" i="46"/>
  <c r="AT7" i="46"/>
  <c r="CR6" i="46"/>
  <c r="BL6" i="46"/>
  <c r="AG6" i="46"/>
  <c r="CK17" i="46"/>
  <c r="BJ16" i="46"/>
  <c r="BM15" i="46"/>
  <c r="CM14" i="46"/>
  <c r="AI14" i="46"/>
  <c r="BK13" i="46"/>
  <c r="CP12" i="46"/>
  <c r="AV12" i="46"/>
  <c r="CQ11" i="46"/>
  <c r="BH11" i="46"/>
  <c r="CT10" i="46"/>
  <c r="BK10" i="46"/>
  <c r="S10" i="46"/>
  <c r="BN9" i="46"/>
  <c r="AC9" i="46"/>
  <c r="BS8" i="46"/>
  <c r="AK8" i="46"/>
  <c r="CG7" i="46"/>
  <c r="AQ7" i="46"/>
  <c r="CQ6" i="46"/>
  <c r="BK6" i="46"/>
  <c r="AF6" i="46"/>
  <c r="CJ17" i="46"/>
  <c r="BI16" i="46"/>
  <c r="BL15" i="46"/>
  <c r="CL14" i="46"/>
  <c r="AH14" i="46"/>
  <c r="BJ13" i="46"/>
  <c r="CO12" i="46"/>
  <c r="AU12" i="46"/>
  <c r="CP11" i="46"/>
  <c r="BE11" i="46"/>
  <c r="CS10" i="46"/>
  <c r="BJ10" i="46"/>
  <c r="R10" i="46"/>
  <c r="BM9" i="46"/>
  <c r="AB9" i="46"/>
  <c r="BR8" i="46"/>
  <c r="AJ8" i="46"/>
  <c r="CF7" i="46"/>
  <c r="AP7" i="46"/>
  <c r="CP6" i="46"/>
  <c r="BJ6" i="46"/>
  <c r="AC6" i="46"/>
  <c r="CG17" i="46"/>
  <c r="BH16" i="46"/>
  <c r="BK15" i="46"/>
  <c r="CK14" i="46"/>
  <c r="AG14" i="46"/>
  <c r="BI13" i="46"/>
  <c r="CN12" i="46"/>
  <c r="AT12" i="46"/>
  <c r="CO11" i="46"/>
  <c r="BD11" i="46"/>
  <c r="CR10" i="46"/>
  <c r="BI10" i="46"/>
  <c r="CU9" i="46"/>
  <c r="BL9" i="46"/>
  <c r="V9" i="46"/>
  <c r="BQ8" i="46"/>
  <c r="AI8" i="46"/>
  <c r="BZ7" i="46"/>
  <c r="AO7" i="46"/>
  <c r="CO6" i="46"/>
  <c r="BI6" i="46"/>
  <c r="AB6" i="46"/>
  <c r="CF17" i="46"/>
  <c r="BE16" i="46"/>
  <c r="BJ15" i="46"/>
  <c r="CJ14" i="46"/>
  <c r="AF14" i="46"/>
  <c r="BH13" i="46"/>
  <c r="CM12" i="46"/>
  <c r="AQ12" i="46"/>
  <c r="CN11" i="46"/>
  <c r="AV11" i="46"/>
  <c r="CQ10" i="46"/>
  <c r="BH10" i="46"/>
  <c r="CT9" i="46"/>
  <c r="BK9" i="46"/>
  <c r="T9" i="46"/>
  <c r="BP8" i="46"/>
  <c r="AH8" i="46"/>
  <c r="BX7" i="46"/>
  <c r="AN7" i="46"/>
  <c r="CN6" i="46"/>
  <c r="BH6" i="46"/>
  <c r="Y6" i="46"/>
  <c r="BK17" i="46"/>
  <c r="BD16" i="46"/>
  <c r="BI15" i="46"/>
  <c r="CG14" i="46"/>
  <c r="AC14" i="46"/>
  <c r="BE13" i="46"/>
  <c r="CL12" i="46"/>
  <c r="AP12" i="46"/>
  <c r="CM11" i="46"/>
  <c r="AU11" i="46"/>
  <c r="CP10" i="46"/>
  <c r="BE10" i="46"/>
  <c r="CS9" i="46"/>
  <c r="BJ9" i="46"/>
  <c r="S9" i="46"/>
  <c r="BO8" i="46"/>
  <c r="AG8" i="46"/>
  <c r="BW7" i="46"/>
  <c r="AM7" i="46"/>
  <c r="CM6" i="46"/>
  <c r="BE6" i="46"/>
  <c r="X6" i="46"/>
  <c r="BI17" i="46"/>
  <c r="AK16" i="46"/>
  <c r="BH15" i="46"/>
  <c r="CF14" i="46"/>
  <c r="AB14" i="46"/>
  <c r="BD13" i="46"/>
  <c r="CK12" i="46"/>
  <c r="AO12" i="46"/>
  <c r="CL11" i="46"/>
  <c r="AT11" i="46"/>
  <c r="CO10" i="46"/>
  <c r="BD10" i="46"/>
  <c r="CR9" i="46"/>
  <c r="BI9" i="46"/>
  <c r="R9" i="46"/>
  <c r="BN8" i="46"/>
  <c r="AF8" i="46"/>
  <c r="BV7" i="46"/>
  <c r="AL7" i="46"/>
  <c r="CL6" i="46"/>
  <c r="BD6" i="46"/>
  <c r="V6" i="46"/>
  <c r="X12" i="8"/>
  <c r="T29" i="8"/>
  <c r="Z55" i="8"/>
  <c r="AB108" i="8"/>
  <c r="AK7" i="8"/>
  <c r="AL9" i="8"/>
  <c r="AM11" i="8"/>
  <c r="AN13" i="8"/>
  <c r="AO15" i="8"/>
  <c r="AP17" i="8"/>
  <c r="AQ19" i="8"/>
  <c r="AF22" i="8"/>
  <c r="AG24" i="8"/>
  <c r="AH26" i="8"/>
  <c r="AI28" i="8"/>
  <c r="AJ30" i="8"/>
  <c r="AK32" i="8"/>
  <c r="AL34" i="8"/>
  <c r="AM36" i="8"/>
  <c r="AN38" i="8"/>
  <c r="AO40" i="8"/>
  <c r="AN85" i="8"/>
  <c r="AN89" i="8"/>
  <c r="AN93" i="8"/>
  <c r="AQ97" i="8"/>
  <c r="AN103" i="8"/>
  <c r="AL111" i="8"/>
  <c r="AL131" i="8"/>
  <c r="BV79" i="46"/>
  <c r="AT79" i="46"/>
  <c r="R79" i="46"/>
  <c r="BV78" i="46"/>
  <c r="AT78" i="46"/>
  <c r="R78" i="46"/>
  <c r="BV77" i="46"/>
  <c r="AT77" i="46"/>
  <c r="R77" i="46"/>
  <c r="BV76" i="46"/>
  <c r="AT76" i="46"/>
  <c r="R76" i="46"/>
  <c r="BV75" i="46"/>
  <c r="AT75" i="46"/>
  <c r="R75" i="46"/>
  <c r="BV74" i="46"/>
  <c r="AT74" i="46"/>
  <c r="R74" i="46"/>
  <c r="BV73" i="46"/>
  <c r="AT73" i="46"/>
  <c r="R73" i="46"/>
  <c r="BV72" i="46"/>
  <c r="AT72" i="46"/>
  <c r="R72" i="46"/>
  <c r="BV71" i="46"/>
  <c r="AT71" i="46"/>
  <c r="R71" i="46"/>
  <c r="BV70" i="46"/>
  <c r="AT70" i="46"/>
  <c r="R70" i="46"/>
  <c r="BV69" i="46"/>
  <c r="AT69" i="46"/>
  <c r="R69" i="46"/>
  <c r="BV68" i="46"/>
  <c r="AT68" i="46"/>
  <c r="R68" i="46"/>
  <c r="BV67" i="46"/>
  <c r="AT67" i="46"/>
  <c r="R67" i="46"/>
  <c r="CU79" i="46"/>
  <c r="BS79" i="46"/>
  <c r="AQ79" i="46"/>
  <c r="CU78" i="46"/>
  <c r="BS78" i="46"/>
  <c r="AQ78" i="46"/>
  <c r="CU77" i="46"/>
  <c r="BS77" i="46"/>
  <c r="AQ77" i="46"/>
  <c r="CU76" i="46"/>
  <c r="BS76" i="46"/>
  <c r="AQ76" i="46"/>
  <c r="CU75" i="46"/>
  <c r="BS75" i="46"/>
  <c r="AQ75" i="46"/>
  <c r="CU74" i="46"/>
  <c r="BS74" i="46"/>
  <c r="AQ74" i="46"/>
  <c r="CU73" i="46"/>
  <c r="BS73" i="46"/>
  <c r="AQ73" i="46"/>
  <c r="CU72" i="46"/>
  <c r="BS72" i="46"/>
  <c r="AQ72" i="46"/>
  <c r="CU71" i="46"/>
  <c r="BS71" i="46"/>
  <c r="AQ71" i="46"/>
  <c r="CU70" i="46"/>
  <c r="BS70" i="46"/>
  <c r="CT79" i="46"/>
  <c r="BR79" i="46"/>
  <c r="AP79" i="46"/>
  <c r="CT78" i="46"/>
  <c r="BR78" i="46"/>
  <c r="AP78" i="46"/>
  <c r="CT77" i="46"/>
  <c r="BR77" i="46"/>
  <c r="AP77" i="46"/>
  <c r="CT76" i="46"/>
  <c r="BR76" i="46"/>
  <c r="AP76" i="46"/>
  <c r="CT75" i="46"/>
  <c r="BR75" i="46"/>
  <c r="AP75" i="46"/>
  <c r="CT74" i="46"/>
  <c r="BR74" i="46"/>
  <c r="AP74" i="46"/>
  <c r="CT73" i="46"/>
  <c r="BR73" i="46"/>
  <c r="AP73" i="46"/>
  <c r="CT72" i="46"/>
  <c r="BR72" i="46"/>
  <c r="AP72" i="46"/>
  <c r="CT71" i="46"/>
  <c r="CS79" i="46"/>
  <c r="BQ79" i="46"/>
  <c r="AO79" i="46"/>
  <c r="CS78" i="46"/>
  <c r="BQ78" i="46"/>
  <c r="AO78" i="46"/>
  <c r="CS77" i="46"/>
  <c r="BQ77" i="46"/>
  <c r="AO77" i="46"/>
  <c r="CS76" i="46"/>
  <c r="BQ76" i="46"/>
  <c r="AO76" i="46"/>
  <c r="CS75" i="46"/>
  <c r="BQ75" i="46"/>
  <c r="AO75" i="46"/>
  <c r="CS74" i="46"/>
  <c r="BQ74" i="46"/>
  <c r="AO74" i="46"/>
  <c r="CS73" i="46"/>
  <c r="BQ73" i="46"/>
  <c r="AO73" i="46"/>
  <c r="CS72" i="46"/>
  <c r="BQ72" i="46"/>
  <c r="AO72" i="46"/>
  <c r="CS71" i="46"/>
  <c r="CR79" i="46"/>
  <c r="BP79" i="46"/>
  <c r="AN79" i="46"/>
  <c r="CR78" i="46"/>
  <c r="BP78" i="46"/>
  <c r="AN78" i="46"/>
  <c r="CR77" i="46"/>
  <c r="BP77" i="46"/>
  <c r="AN77" i="46"/>
  <c r="CR76" i="46"/>
  <c r="BP76" i="46"/>
  <c r="AN76" i="46"/>
  <c r="CR75" i="46"/>
  <c r="BP75" i="46"/>
  <c r="AN75" i="46"/>
  <c r="CR74" i="46"/>
  <c r="BP74" i="46"/>
  <c r="AN74" i="46"/>
  <c r="CR73" i="46"/>
  <c r="CQ79" i="46"/>
  <c r="BO79" i="46"/>
  <c r="AM79" i="46"/>
  <c r="CQ78" i="46"/>
  <c r="BO78" i="46"/>
  <c r="AM78" i="46"/>
  <c r="CQ77" i="46"/>
  <c r="BO77" i="46"/>
  <c r="AM77" i="46"/>
  <c r="CQ76" i="46"/>
  <c r="BO76" i="46"/>
  <c r="AM76" i="46"/>
  <c r="CQ75" i="46"/>
  <c r="BO75" i="46"/>
  <c r="AM75" i="46"/>
  <c r="CQ74" i="46"/>
  <c r="BO74" i="46"/>
  <c r="AM74" i="46"/>
  <c r="CQ73" i="46"/>
  <c r="BO73" i="46"/>
  <c r="AM73" i="46"/>
  <c r="CQ72" i="46"/>
  <c r="BO72" i="46"/>
  <c r="AM72" i="46"/>
  <c r="CQ71" i="46"/>
  <c r="BO71" i="46"/>
  <c r="AM71" i="46"/>
  <c r="CQ70" i="46"/>
  <c r="CM79" i="46"/>
  <c r="BK79" i="46"/>
  <c r="AI79" i="46"/>
  <c r="CM78" i="46"/>
  <c r="BK78" i="46"/>
  <c r="AI78" i="46"/>
  <c r="CM77" i="46"/>
  <c r="BK77" i="46"/>
  <c r="AI77" i="46"/>
  <c r="CM76" i="46"/>
  <c r="BK76" i="46"/>
  <c r="AI76" i="46"/>
  <c r="CM75" i="46"/>
  <c r="BK75" i="46"/>
  <c r="AI75" i="46"/>
  <c r="CM74" i="46"/>
  <c r="BK74" i="46"/>
  <c r="AI74" i="46"/>
  <c r="CM73" i="46"/>
  <c r="BK73" i="46"/>
  <c r="AI73" i="46"/>
  <c r="CM72" i="46"/>
  <c r="CL79" i="46"/>
  <c r="BJ79" i="46"/>
  <c r="AH79" i="46"/>
  <c r="CL78" i="46"/>
  <c r="BJ78" i="46"/>
  <c r="AH78" i="46"/>
  <c r="CL77" i="46"/>
  <c r="BJ77" i="46"/>
  <c r="AH77" i="46"/>
  <c r="CL76" i="46"/>
  <c r="BJ76" i="46"/>
  <c r="CK79" i="46"/>
  <c r="BI79" i="46"/>
  <c r="AG79" i="46"/>
  <c r="CK78" i="46"/>
  <c r="BI78" i="46"/>
  <c r="AG78" i="46"/>
  <c r="CK77" i="46"/>
  <c r="BI77" i="46"/>
  <c r="AG77" i="46"/>
  <c r="CK76" i="46"/>
  <c r="BI76" i="46"/>
  <c r="AG76" i="46"/>
  <c r="CK75" i="46"/>
  <c r="BI75" i="46"/>
  <c r="AG75" i="46"/>
  <c r="CK74" i="46"/>
  <c r="BI74" i="46"/>
  <c r="AG74" i="46"/>
  <c r="CK73" i="46"/>
  <c r="BI73" i="46"/>
  <c r="AG73" i="46"/>
  <c r="CK72" i="46"/>
  <c r="BI72" i="46"/>
  <c r="AG72" i="46"/>
  <c r="CJ79" i="46"/>
  <c r="BH79" i="46"/>
  <c r="AF79" i="46"/>
  <c r="CJ78" i="46"/>
  <c r="BH78" i="46"/>
  <c r="AF78" i="46"/>
  <c r="CJ77" i="46"/>
  <c r="BH77" i="46"/>
  <c r="AF77" i="46"/>
  <c r="CJ76" i="46"/>
  <c r="BH76" i="46"/>
  <c r="CG79" i="46"/>
  <c r="BE79" i="46"/>
  <c r="AC79" i="46"/>
  <c r="CG78" i="46"/>
  <c r="BE78" i="46"/>
  <c r="AC78" i="46"/>
  <c r="CG77" i="46"/>
  <c r="BE77" i="46"/>
  <c r="AC77" i="46"/>
  <c r="CG76" i="46"/>
  <c r="BE76" i="46"/>
  <c r="AC76" i="46"/>
  <c r="CF79" i="46"/>
  <c r="BD79" i="46"/>
  <c r="AB79" i="46"/>
  <c r="CF78" i="46"/>
  <c r="BD78" i="46"/>
  <c r="AB78" i="46"/>
  <c r="CF77" i="46"/>
  <c r="BD77" i="46"/>
  <c r="AB77" i="46"/>
  <c r="CF76" i="46"/>
  <c r="CE79" i="46"/>
  <c r="BC79" i="46"/>
  <c r="AA79" i="46"/>
  <c r="CE78" i="46"/>
  <c r="BC78" i="46"/>
  <c r="AA78" i="46"/>
  <c r="CE77" i="46"/>
  <c r="CD79" i="46"/>
  <c r="BB79" i="46"/>
  <c r="Z79" i="46"/>
  <c r="BN79" i="46"/>
  <c r="CC78" i="46"/>
  <c r="W78" i="46"/>
  <c r="AX77" i="46"/>
  <c r="BZ76" i="46"/>
  <c r="Z76" i="46"/>
  <c r="BN75" i="46"/>
  <c r="Z75" i="46"/>
  <c r="BN74" i="46"/>
  <c r="Z74" i="46"/>
  <c r="BP73" i="46"/>
  <c r="AB73" i="46"/>
  <c r="BY72" i="46"/>
  <c r="AJ72" i="46"/>
  <c r="CF71" i="46"/>
  <c r="BA71" i="46"/>
  <c r="V71" i="46"/>
  <c r="BW70" i="46"/>
  <c r="AP70" i="46"/>
  <c r="CS69" i="46"/>
  <c r="BP69" i="46"/>
  <c r="AM69" i="46"/>
  <c r="CP68" i="46"/>
  <c r="BM68" i="46"/>
  <c r="AJ68" i="46"/>
  <c r="CM67" i="46"/>
  <c r="BJ67" i="46"/>
  <c r="AG67" i="46"/>
  <c r="CJ66" i="46"/>
  <c r="BH66" i="46"/>
  <c r="AF66" i="46"/>
  <c r="CJ65" i="46"/>
  <c r="BH65" i="46"/>
  <c r="AF65" i="46"/>
  <c r="CJ64" i="46"/>
  <c r="BH64" i="46"/>
  <c r="AF64" i="46"/>
  <c r="CJ63" i="46"/>
  <c r="BH63" i="46"/>
  <c r="AF63" i="46"/>
  <c r="CJ62" i="46"/>
  <c r="BH62" i="46"/>
  <c r="AF62" i="46"/>
  <c r="CJ61" i="46"/>
  <c r="BH61" i="46"/>
  <c r="AF61" i="46"/>
  <c r="CJ60" i="46"/>
  <c r="BH60" i="46"/>
  <c r="AF60" i="46"/>
  <c r="CJ59" i="46"/>
  <c r="BH59" i="46"/>
  <c r="AF59" i="46"/>
  <c r="CJ58" i="46"/>
  <c r="BH58" i="46"/>
  <c r="AF58" i="46"/>
  <c r="CJ57" i="46"/>
  <c r="BH57" i="46"/>
  <c r="AF57" i="46"/>
  <c r="CJ56" i="46"/>
  <c r="BH56" i="46"/>
  <c r="AF56" i="46"/>
  <c r="CJ55" i="46"/>
  <c r="BH55" i="46"/>
  <c r="AF55" i="46"/>
  <c r="CJ54" i="46"/>
  <c r="BH54" i="46"/>
  <c r="AF54" i="46"/>
  <c r="CJ53" i="46"/>
  <c r="BH53" i="46"/>
  <c r="AF53" i="46"/>
  <c r="CJ52" i="46"/>
  <c r="BH52" i="46"/>
  <c r="AF52" i="46"/>
  <c r="CJ51" i="46"/>
  <c r="BH51" i="46"/>
  <c r="AF51" i="46"/>
  <c r="CJ50" i="46"/>
  <c r="BH50" i="46"/>
  <c r="AF50" i="46"/>
  <c r="CJ49" i="46"/>
  <c r="BM79" i="46"/>
  <c r="CB78" i="46"/>
  <c r="V78" i="46"/>
  <c r="AW77" i="46"/>
  <c r="BY76" i="46"/>
  <c r="Y76" i="46"/>
  <c r="BM75" i="46"/>
  <c r="Y75" i="46"/>
  <c r="BM74" i="46"/>
  <c r="Y74" i="46"/>
  <c r="BN73" i="46"/>
  <c r="AA73" i="46"/>
  <c r="BX72" i="46"/>
  <c r="AI72" i="46"/>
  <c r="CE71" i="46"/>
  <c r="AZ71" i="46"/>
  <c r="U71" i="46"/>
  <c r="BR70" i="46"/>
  <c r="AO70" i="46"/>
  <c r="CR69" i="46"/>
  <c r="BO69" i="46"/>
  <c r="AL69" i="46"/>
  <c r="CO68" i="46"/>
  <c r="BL68" i="46"/>
  <c r="AI68" i="46"/>
  <c r="CL67" i="46"/>
  <c r="BI67" i="46"/>
  <c r="AF67" i="46"/>
  <c r="CG66" i="46"/>
  <c r="BE66" i="46"/>
  <c r="AC66" i="46"/>
  <c r="CG65" i="46"/>
  <c r="BE65" i="46"/>
  <c r="AC65" i="46"/>
  <c r="CG64" i="46"/>
  <c r="BE64" i="46"/>
  <c r="AC64" i="46"/>
  <c r="CG63" i="46"/>
  <c r="BE63" i="46"/>
  <c r="AC63" i="46"/>
  <c r="CG62" i="46"/>
  <c r="BE62" i="46"/>
  <c r="AC62" i="46"/>
  <c r="CG61" i="46"/>
  <c r="BE61" i="46"/>
  <c r="AC61" i="46"/>
  <c r="CG60" i="46"/>
  <c r="BE60" i="46"/>
  <c r="AC60" i="46"/>
  <c r="CG59" i="46"/>
  <c r="BE59" i="46"/>
  <c r="AC59" i="46"/>
  <c r="CG58" i="46"/>
  <c r="BE58" i="46"/>
  <c r="AC58" i="46"/>
  <c r="CG57" i="46"/>
  <c r="BE57" i="46"/>
  <c r="AC57" i="46"/>
  <c r="CG56" i="46"/>
  <c r="BE56" i="46"/>
  <c r="AC56" i="46"/>
  <c r="CG55" i="46"/>
  <c r="BE55" i="46"/>
  <c r="AC55" i="46"/>
  <c r="CG54" i="46"/>
  <c r="BE54" i="46"/>
  <c r="AC54" i="46"/>
  <c r="CG53" i="46"/>
  <c r="BE53" i="46"/>
  <c r="AC53" i="46"/>
  <c r="CG52" i="46"/>
  <c r="BE52" i="46"/>
  <c r="AC52" i="46"/>
  <c r="CG51" i="46"/>
  <c r="BL79" i="46"/>
  <c r="CA78" i="46"/>
  <c r="U78" i="46"/>
  <c r="AV77" i="46"/>
  <c r="BX76" i="46"/>
  <c r="X76" i="46"/>
  <c r="BL75" i="46"/>
  <c r="X75" i="46"/>
  <c r="BL74" i="46"/>
  <c r="X74" i="46"/>
  <c r="BM73" i="46"/>
  <c r="Z73" i="46"/>
  <c r="BW72" i="46"/>
  <c r="AH72" i="46"/>
  <c r="CD71" i="46"/>
  <c r="AY71" i="46"/>
  <c r="T71" i="46"/>
  <c r="BQ70" i="46"/>
  <c r="AN70" i="46"/>
  <c r="CQ69" i="46"/>
  <c r="BN69" i="46"/>
  <c r="AK69" i="46"/>
  <c r="CN68" i="46"/>
  <c r="BK68" i="46"/>
  <c r="AH68" i="46"/>
  <c r="CK67" i="46"/>
  <c r="BH67" i="46"/>
  <c r="AC67" i="46"/>
  <c r="CF66" i="46"/>
  <c r="BD66" i="46"/>
  <c r="AB66" i="46"/>
  <c r="CF65" i="46"/>
  <c r="BD65" i="46"/>
  <c r="AB65" i="46"/>
  <c r="CF64" i="46"/>
  <c r="BD64" i="46"/>
  <c r="AB64" i="46"/>
  <c r="CF63" i="46"/>
  <c r="BD63" i="46"/>
  <c r="AB63" i="46"/>
  <c r="CF62" i="46"/>
  <c r="BD62" i="46"/>
  <c r="AB62" i="46"/>
  <c r="CF61" i="46"/>
  <c r="BD61" i="46"/>
  <c r="AB61" i="46"/>
  <c r="CF60" i="46"/>
  <c r="BD60" i="46"/>
  <c r="AB60" i="46"/>
  <c r="CF59" i="46"/>
  <c r="BD59" i="46"/>
  <c r="BA79" i="46"/>
  <c r="BZ78" i="46"/>
  <c r="T78" i="46"/>
  <c r="AU77" i="46"/>
  <c r="BW76" i="46"/>
  <c r="W76" i="46"/>
  <c r="BJ75" i="46"/>
  <c r="W75" i="46"/>
  <c r="BJ74" i="46"/>
  <c r="W74" i="46"/>
  <c r="BL73" i="46"/>
  <c r="Y73" i="46"/>
  <c r="BP72" i="46"/>
  <c r="AF72" i="46"/>
  <c r="CC71" i="46"/>
  <c r="AX71" i="46"/>
  <c r="S71" i="46"/>
  <c r="BP70" i="46"/>
  <c r="AM70" i="46"/>
  <c r="CP69" i="46"/>
  <c r="BM69" i="46"/>
  <c r="AJ69" i="46"/>
  <c r="CM68" i="46"/>
  <c r="BJ68" i="46"/>
  <c r="AG68" i="46"/>
  <c r="CJ67" i="46"/>
  <c r="BE67" i="46"/>
  <c r="AB67" i="46"/>
  <c r="CE66" i="46"/>
  <c r="BC66" i="46"/>
  <c r="AA66" i="46"/>
  <c r="CE65" i="46"/>
  <c r="BC65" i="46"/>
  <c r="AA65" i="46"/>
  <c r="CE64" i="46"/>
  <c r="BC64" i="46"/>
  <c r="AA64" i="46"/>
  <c r="CE63" i="46"/>
  <c r="BC63" i="46"/>
  <c r="AA63" i="46"/>
  <c r="CE62" i="46"/>
  <c r="BC62" i="46"/>
  <c r="AA62" i="46"/>
  <c r="CE61" i="46"/>
  <c r="BC61" i="46"/>
  <c r="AA61" i="46"/>
  <c r="CE60" i="46"/>
  <c r="BC60" i="46"/>
  <c r="AZ79" i="46"/>
  <c r="BY78" i="46"/>
  <c r="S78" i="46"/>
  <c r="AL77" i="46"/>
  <c r="BN76" i="46"/>
  <c r="V76" i="46"/>
  <c r="BH75" i="46"/>
  <c r="V75" i="46"/>
  <c r="BH74" i="46"/>
  <c r="V74" i="46"/>
  <c r="BJ73" i="46"/>
  <c r="X73" i="46"/>
  <c r="BN72" i="46"/>
  <c r="AC72" i="46"/>
  <c r="CB71" i="46"/>
  <c r="AW71" i="46"/>
  <c r="CT70" i="46"/>
  <c r="BO70" i="46"/>
  <c r="AL70" i="46"/>
  <c r="CO69" i="46"/>
  <c r="BL69" i="46"/>
  <c r="AI69" i="46"/>
  <c r="CL68" i="46"/>
  <c r="BI68" i="46"/>
  <c r="AF68" i="46"/>
  <c r="CG67" i="46"/>
  <c r="BD67" i="46"/>
  <c r="AA67" i="46"/>
  <c r="CD66" i="46"/>
  <c r="BB66" i="46"/>
  <c r="Z66" i="46"/>
  <c r="CD65" i="46"/>
  <c r="BB65" i="46"/>
  <c r="Z65" i="46"/>
  <c r="CD64" i="46"/>
  <c r="BB64" i="46"/>
  <c r="Z64" i="46"/>
  <c r="CD63" i="46"/>
  <c r="BB63" i="46"/>
  <c r="Z63" i="46"/>
  <c r="CD62" i="46"/>
  <c r="BB62" i="46"/>
  <c r="Z62" i="46"/>
  <c r="CD61" i="46"/>
  <c r="BB61" i="46"/>
  <c r="Z61" i="46"/>
  <c r="CD60" i="46"/>
  <c r="BB60" i="46"/>
  <c r="Z60" i="46"/>
  <c r="CD59" i="46"/>
  <c r="BB59" i="46"/>
  <c r="AY79" i="46"/>
  <c r="BX78" i="46"/>
  <c r="CP77" i="46"/>
  <c r="AK77" i="46"/>
  <c r="BM76" i="46"/>
  <c r="U76" i="46"/>
  <c r="BE75" i="46"/>
  <c r="U75" i="46"/>
  <c r="BE74" i="46"/>
  <c r="U74" i="46"/>
  <c r="BH73" i="46"/>
  <c r="W73" i="46"/>
  <c r="BM72" i="46"/>
  <c r="AB72" i="46"/>
  <c r="CA71" i="46"/>
  <c r="AV71" i="46"/>
  <c r="CS70" i="46"/>
  <c r="BN70" i="46"/>
  <c r="AK70" i="46"/>
  <c r="CN69" i="46"/>
  <c r="BK69" i="46"/>
  <c r="AH69" i="46"/>
  <c r="CK68" i="46"/>
  <c r="BH68" i="46"/>
  <c r="AC68" i="46"/>
  <c r="CF67" i="46"/>
  <c r="BC67" i="46"/>
  <c r="Z67" i="46"/>
  <c r="CC66" i="46"/>
  <c r="BA66" i="46"/>
  <c r="Y66" i="46"/>
  <c r="CC65" i="46"/>
  <c r="BA65" i="46"/>
  <c r="Y65" i="46"/>
  <c r="CC64" i="46"/>
  <c r="BA64" i="46"/>
  <c r="Y64" i="46"/>
  <c r="CC63" i="46"/>
  <c r="BA63" i="46"/>
  <c r="Y63" i="46"/>
  <c r="CC62" i="46"/>
  <c r="BA62" i="46"/>
  <c r="Y62" i="46"/>
  <c r="CC61" i="46"/>
  <c r="BA61" i="46"/>
  <c r="Y61" i="46"/>
  <c r="CC60" i="46"/>
  <c r="AX79" i="46"/>
  <c r="BW78" i="46"/>
  <c r="CO77" i="46"/>
  <c r="AJ77" i="46"/>
  <c r="BL76" i="46"/>
  <c r="T76" i="46"/>
  <c r="BD75" i="46"/>
  <c r="T75" i="46"/>
  <c r="BD74" i="46"/>
  <c r="T74" i="46"/>
  <c r="BE73" i="46"/>
  <c r="V73" i="46"/>
  <c r="BL72" i="46"/>
  <c r="AA72" i="46"/>
  <c r="BZ71" i="46"/>
  <c r="AU71" i="46"/>
  <c r="CR70" i="46"/>
  <c r="BM70" i="46"/>
  <c r="AJ70" i="46"/>
  <c r="CM69" i="46"/>
  <c r="BJ69" i="46"/>
  <c r="AG69" i="46"/>
  <c r="CJ68" i="46"/>
  <c r="BE68" i="46"/>
  <c r="AB68" i="46"/>
  <c r="CE67" i="46"/>
  <c r="BB67" i="46"/>
  <c r="Y67" i="46"/>
  <c r="CB66" i="46"/>
  <c r="AZ66" i="46"/>
  <c r="X66" i="46"/>
  <c r="CB65" i="46"/>
  <c r="AZ65" i="46"/>
  <c r="X65" i="46"/>
  <c r="CB64" i="46"/>
  <c r="AZ64" i="46"/>
  <c r="X64" i="46"/>
  <c r="CB63" i="46"/>
  <c r="AZ63" i="46"/>
  <c r="X63" i="46"/>
  <c r="CB62" i="46"/>
  <c r="AZ62" i="46"/>
  <c r="X62" i="46"/>
  <c r="CB61" i="46"/>
  <c r="AZ61" i="46"/>
  <c r="X61" i="46"/>
  <c r="CB60" i="46"/>
  <c r="AZ60" i="46"/>
  <c r="X60" i="46"/>
  <c r="CB59" i="46"/>
  <c r="AZ59" i="46"/>
  <c r="X59" i="46"/>
  <c r="CB58" i="46"/>
  <c r="AW79" i="46"/>
  <c r="BN78" i="46"/>
  <c r="CN77" i="46"/>
  <c r="AA77" i="46"/>
  <c r="BD76" i="46"/>
  <c r="S76" i="46"/>
  <c r="BC75" i="46"/>
  <c r="S75" i="46"/>
  <c r="BC74" i="46"/>
  <c r="S74" i="46"/>
  <c r="BD73" i="46"/>
  <c r="U73" i="46"/>
  <c r="BK72" i="46"/>
  <c r="Z72" i="46"/>
  <c r="BY71" i="46"/>
  <c r="AP71" i="46"/>
  <c r="CP70" i="46"/>
  <c r="BL70" i="46"/>
  <c r="AI70" i="46"/>
  <c r="CL69" i="46"/>
  <c r="BI69" i="46"/>
  <c r="AF69" i="46"/>
  <c r="CG68" i="46"/>
  <c r="BD68" i="46"/>
  <c r="AA68" i="46"/>
  <c r="CD67" i="46"/>
  <c r="BA67" i="46"/>
  <c r="X67" i="46"/>
  <c r="CA66" i="46"/>
  <c r="AY66" i="46"/>
  <c r="W66" i="46"/>
  <c r="CA65" i="46"/>
  <c r="AV79" i="46"/>
  <c r="BM78" i="46"/>
  <c r="CD77" i="46"/>
  <c r="Z77" i="46"/>
  <c r="BC76" i="46"/>
  <c r="CP75" i="46"/>
  <c r="BB75" i="46"/>
  <c r="CP74" i="46"/>
  <c r="BB74" i="46"/>
  <c r="CP73" i="46"/>
  <c r="BC73" i="46"/>
  <c r="T73" i="46"/>
  <c r="BJ72" i="46"/>
  <c r="Y72" i="46"/>
  <c r="BX71" i="46"/>
  <c r="AO71" i="46"/>
  <c r="CO70" i="46"/>
  <c r="BK70" i="46"/>
  <c r="AH70" i="46"/>
  <c r="CK69" i="46"/>
  <c r="BH69" i="46"/>
  <c r="AC69" i="46"/>
  <c r="CF68" i="46"/>
  <c r="BC68" i="46"/>
  <c r="Z68" i="46"/>
  <c r="CC67" i="46"/>
  <c r="AZ67" i="46"/>
  <c r="W67" i="46"/>
  <c r="BZ66" i="46"/>
  <c r="AX66" i="46"/>
  <c r="V66" i="46"/>
  <c r="BZ65" i="46"/>
  <c r="AX65" i="46"/>
  <c r="V65" i="46"/>
  <c r="AU79" i="46"/>
  <c r="BL78" i="46"/>
  <c r="CC77" i="46"/>
  <c r="Y77" i="46"/>
  <c r="BB76" i="46"/>
  <c r="CO75" i="46"/>
  <c r="BA75" i="46"/>
  <c r="CO74" i="46"/>
  <c r="BA74" i="46"/>
  <c r="CO73" i="46"/>
  <c r="BB73" i="46"/>
  <c r="S73" i="46"/>
  <c r="BH72" i="46"/>
  <c r="X72" i="46"/>
  <c r="BW71" i="46"/>
  <c r="AN71" i="46"/>
  <c r="CN70" i="46"/>
  <c r="BJ70" i="46"/>
  <c r="AG70" i="46"/>
  <c r="CJ69" i="46"/>
  <c r="BE69" i="46"/>
  <c r="AB69" i="46"/>
  <c r="CE68" i="46"/>
  <c r="BB68" i="46"/>
  <c r="Y68" i="46"/>
  <c r="CB67" i="46"/>
  <c r="AY67" i="46"/>
  <c r="V67" i="46"/>
  <c r="BY66" i="46"/>
  <c r="AW66" i="46"/>
  <c r="U66" i="46"/>
  <c r="BY65" i="46"/>
  <c r="AW65" i="46"/>
  <c r="U65" i="46"/>
  <c r="AL79" i="46"/>
  <c r="BB78" i="46"/>
  <c r="CB77" i="46"/>
  <c r="X77" i="46"/>
  <c r="BA76" i="46"/>
  <c r="CN75" i="46"/>
  <c r="AZ75" i="46"/>
  <c r="CN74" i="46"/>
  <c r="AZ74" i="46"/>
  <c r="CN73" i="46"/>
  <c r="BA73" i="46"/>
  <c r="CR72" i="46"/>
  <c r="BE72" i="46"/>
  <c r="W72" i="46"/>
  <c r="BR71" i="46"/>
  <c r="AL71" i="46"/>
  <c r="CM70" i="46"/>
  <c r="BI70" i="46"/>
  <c r="AF70" i="46"/>
  <c r="CG69" i="46"/>
  <c r="BD69" i="46"/>
  <c r="AA69" i="46"/>
  <c r="CD68" i="46"/>
  <c r="BA68" i="46"/>
  <c r="X68" i="46"/>
  <c r="CA67" i="46"/>
  <c r="AX67" i="46"/>
  <c r="U67" i="46"/>
  <c r="BX66" i="46"/>
  <c r="AV66" i="46"/>
  <c r="T66" i="46"/>
  <c r="BX65" i="46"/>
  <c r="AV65" i="46"/>
  <c r="T65" i="46"/>
  <c r="BX64" i="46"/>
  <c r="AV64" i="46"/>
  <c r="T64" i="46"/>
  <c r="BX63" i="46"/>
  <c r="AV63" i="46"/>
  <c r="T63" i="46"/>
  <c r="BX62" i="46"/>
  <c r="AV62" i="46"/>
  <c r="T62" i="46"/>
  <c r="BX61" i="46"/>
  <c r="AV61" i="46"/>
  <c r="T61" i="46"/>
  <c r="BX60" i="46"/>
  <c r="AK79" i="46"/>
  <c r="BA78" i="46"/>
  <c r="CA77" i="46"/>
  <c r="W77" i="46"/>
  <c r="AZ76" i="46"/>
  <c r="CL75" i="46"/>
  <c r="AY75" i="46"/>
  <c r="CL74" i="46"/>
  <c r="AY74" i="46"/>
  <c r="CL73" i="46"/>
  <c r="AZ73" i="46"/>
  <c r="CP72" i="46"/>
  <c r="BD72" i="46"/>
  <c r="V72" i="46"/>
  <c r="BQ71" i="46"/>
  <c r="AK71" i="46"/>
  <c r="CL70" i="46"/>
  <c r="BH70" i="46"/>
  <c r="AC70" i="46"/>
  <c r="CF69" i="46"/>
  <c r="BC69" i="46"/>
  <c r="Z69" i="46"/>
  <c r="CC68" i="46"/>
  <c r="AZ68" i="46"/>
  <c r="W68" i="46"/>
  <c r="BZ67" i="46"/>
  <c r="AW67" i="46"/>
  <c r="T67" i="46"/>
  <c r="BW66" i="46"/>
  <c r="AU66" i="46"/>
  <c r="S66" i="46"/>
  <c r="BW65" i="46"/>
  <c r="AU65" i="46"/>
  <c r="S65" i="46"/>
  <c r="AJ79" i="46"/>
  <c r="AZ78" i="46"/>
  <c r="BZ77" i="46"/>
  <c r="V77" i="46"/>
  <c r="AY76" i="46"/>
  <c r="CJ75" i="46"/>
  <c r="AX75" i="46"/>
  <c r="CJ74" i="46"/>
  <c r="AX74" i="46"/>
  <c r="CJ73" i="46"/>
  <c r="AY73" i="46"/>
  <c r="CO72" i="46"/>
  <c r="BC72" i="46"/>
  <c r="U72" i="46"/>
  <c r="BP71" i="46"/>
  <c r="AJ71" i="46"/>
  <c r="CK70" i="46"/>
  <c r="BE70" i="46"/>
  <c r="AB70" i="46"/>
  <c r="CE69" i="46"/>
  <c r="BB69" i="46"/>
  <c r="Y69" i="46"/>
  <c r="CB68" i="46"/>
  <c r="AY68" i="46"/>
  <c r="V68" i="46"/>
  <c r="BY67" i="46"/>
  <c r="AV67" i="46"/>
  <c r="S67" i="46"/>
  <c r="BV66" i="46"/>
  <c r="AT66" i="46"/>
  <c r="R66" i="46"/>
  <c r="BV65" i="46"/>
  <c r="AT65" i="46"/>
  <c r="R65" i="46"/>
  <c r="BV64" i="46"/>
  <c r="AT64" i="46"/>
  <c r="R64" i="46"/>
  <c r="BV63" i="46"/>
  <c r="AT63" i="46"/>
  <c r="R63" i="46"/>
  <c r="BV62" i="46"/>
  <c r="AT62" i="46"/>
  <c r="R62" i="46"/>
  <c r="BV61" i="46"/>
  <c r="AT61" i="46"/>
  <c r="R61" i="46"/>
  <c r="BV60" i="46"/>
  <c r="AT60" i="46"/>
  <c r="Y79" i="46"/>
  <c r="AY78" i="46"/>
  <c r="BY77" i="46"/>
  <c r="U77" i="46"/>
  <c r="AX76" i="46"/>
  <c r="CG75" i="46"/>
  <c r="AW75" i="46"/>
  <c r="CG74" i="46"/>
  <c r="AW74" i="46"/>
  <c r="CG73" i="46"/>
  <c r="AX73" i="46"/>
  <c r="CN72" i="46"/>
  <c r="BB72" i="46"/>
  <c r="T72" i="46"/>
  <c r="BN71" i="46"/>
  <c r="AI71" i="46"/>
  <c r="CJ70" i="46"/>
  <c r="BD70" i="46"/>
  <c r="AA70" i="46"/>
  <c r="CD69" i="46"/>
  <c r="BA69" i="46"/>
  <c r="X69" i="46"/>
  <c r="CA68" i="46"/>
  <c r="AX68" i="46"/>
  <c r="U68" i="46"/>
  <c r="BX67" i="46"/>
  <c r="AU67" i="46"/>
  <c r="CU66" i="46"/>
  <c r="BS66" i="46"/>
  <c r="AQ66" i="46"/>
  <c r="CU65" i="46"/>
  <c r="BS65" i="46"/>
  <c r="AQ65" i="46"/>
  <c r="CP79" i="46"/>
  <c r="X79" i="46"/>
  <c r="AX78" i="46"/>
  <c r="BX77" i="46"/>
  <c r="T77" i="46"/>
  <c r="AW76" i="46"/>
  <c r="CF75" i="46"/>
  <c r="AV75" i="46"/>
  <c r="CF74" i="46"/>
  <c r="AV74" i="46"/>
  <c r="CF73" i="46"/>
  <c r="AW73" i="46"/>
  <c r="CL72" i="46"/>
  <c r="BA72" i="46"/>
  <c r="S72" i="46"/>
  <c r="BM71" i="46"/>
  <c r="AH71" i="46"/>
  <c r="CG70" i="46"/>
  <c r="BC70" i="46"/>
  <c r="Z70" i="46"/>
  <c r="CC69" i="46"/>
  <c r="AZ69" i="46"/>
  <c r="W69" i="46"/>
  <c r="BZ68" i="46"/>
  <c r="AW68" i="46"/>
  <c r="T68" i="46"/>
  <c r="BW67" i="46"/>
  <c r="AQ67" i="46"/>
  <c r="CT66" i="46"/>
  <c r="BR66" i="46"/>
  <c r="AP66" i="46"/>
  <c r="CT65" i="46"/>
  <c r="BR65" i="46"/>
  <c r="AP65" i="46"/>
  <c r="CT64" i="46"/>
  <c r="BR64" i="46"/>
  <c r="CO79" i="46"/>
  <c r="W79" i="46"/>
  <c r="AW78" i="46"/>
  <c r="BW77" i="46"/>
  <c r="S77" i="46"/>
  <c r="AV76" i="46"/>
  <c r="CE75" i="46"/>
  <c r="AU75" i="46"/>
  <c r="CE74" i="46"/>
  <c r="AU74" i="46"/>
  <c r="CE73" i="46"/>
  <c r="AV73" i="46"/>
  <c r="CJ72" i="46"/>
  <c r="AZ72" i="46"/>
  <c r="CR71" i="46"/>
  <c r="BL71" i="46"/>
  <c r="AG71" i="46"/>
  <c r="CF70" i="46"/>
  <c r="BB70" i="46"/>
  <c r="Y70" i="46"/>
  <c r="CB69" i="46"/>
  <c r="AY69" i="46"/>
  <c r="V69" i="46"/>
  <c r="BY68" i="46"/>
  <c r="AV68" i="46"/>
  <c r="S68" i="46"/>
  <c r="BS67" i="46"/>
  <c r="AP67" i="46"/>
  <c r="CS66" i="46"/>
  <c r="BQ66" i="46"/>
  <c r="AO66" i="46"/>
  <c r="CS65" i="46"/>
  <c r="BQ65" i="46"/>
  <c r="AO65" i="46"/>
  <c r="CS64" i="46"/>
  <c r="CN79" i="46"/>
  <c r="V79" i="46"/>
  <c r="AV78" i="46"/>
  <c r="BN77" i="46"/>
  <c r="CP76" i="46"/>
  <c r="AU76" i="46"/>
  <c r="CD75" i="46"/>
  <c r="AL75" i="46"/>
  <c r="CD74" i="46"/>
  <c r="AL74" i="46"/>
  <c r="CD73" i="46"/>
  <c r="AU73" i="46"/>
  <c r="CG72" i="46"/>
  <c r="AY72" i="46"/>
  <c r="CP71" i="46"/>
  <c r="BK71" i="46"/>
  <c r="AF71" i="46"/>
  <c r="CE70" i="46"/>
  <c r="BA70" i="46"/>
  <c r="X70" i="46"/>
  <c r="CA69" i="46"/>
  <c r="AX69" i="46"/>
  <c r="U69" i="46"/>
  <c r="BX68" i="46"/>
  <c r="AU68" i="46"/>
  <c r="CU67" i="46"/>
  <c r="BR67" i="46"/>
  <c r="AO67" i="46"/>
  <c r="CR66" i="46"/>
  <c r="BP66" i="46"/>
  <c r="AN66" i="46"/>
  <c r="CR65" i="46"/>
  <c r="CC79" i="46"/>
  <c r="U79" i="46"/>
  <c r="AU78" i="46"/>
  <c r="BM77" i="46"/>
  <c r="CO76" i="46"/>
  <c r="AL76" i="46"/>
  <c r="CC75" i="46"/>
  <c r="AK75" i="46"/>
  <c r="CC74" i="46"/>
  <c r="AK74" i="46"/>
  <c r="CC73" i="46"/>
  <c r="AN73" i="46"/>
  <c r="CF72" i="46"/>
  <c r="AX72" i="46"/>
  <c r="CO71" i="46"/>
  <c r="BJ71" i="46"/>
  <c r="AC71" i="46"/>
  <c r="CD70" i="46"/>
  <c r="AZ70" i="46"/>
  <c r="W70" i="46"/>
  <c r="BZ69" i="46"/>
  <c r="AW69" i="46"/>
  <c r="T69" i="46"/>
  <c r="BW68" i="46"/>
  <c r="AQ68" i="46"/>
  <c r="CT67" i="46"/>
  <c r="BQ67" i="46"/>
  <c r="AN67" i="46"/>
  <c r="CQ66" i="46"/>
  <c r="BO66" i="46"/>
  <c r="AM66" i="46"/>
  <c r="CQ65" i="46"/>
  <c r="CB79" i="46"/>
  <c r="T79" i="46"/>
  <c r="AL78" i="46"/>
  <c r="BL77" i="46"/>
  <c r="CN76" i="46"/>
  <c r="AK76" i="46"/>
  <c r="CB75" i="46"/>
  <c r="AJ75" i="46"/>
  <c r="CB74" i="46"/>
  <c r="AJ74" i="46"/>
  <c r="CB73" i="46"/>
  <c r="AL73" i="46"/>
  <c r="CE72" i="46"/>
  <c r="AW72" i="46"/>
  <c r="CN71" i="46"/>
  <c r="BI71" i="46"/>
  <c r="AB71" i="46"/>
  <c r="CC70" i="46"/>
  <c r="AY70" i="46"/>
  <c r="V70" i="46"/>
  <c r="BY69" i="46"/>
  <c r="AV69" i="46"/>
  <c r="S69" i="46"/>
  <c r="BS68" i="46"/>
  <c r="AP68" i="46"/>
  <c r="CS67" i="46"/>
  <c r="BP67" i="46"/>
  <c r="CA79" i="46"/>
  <c r="S79" i="46"/>
  <c r="AK78" i="46"/>
  <c r="BC77" i="46"/>
  <c r="CE76" i="46"/>
  <c r="AJ76" i="46"/>
  <c r="CA75" i="46"/>
  <c r="AH75" i="46"/>
  <c r="CA74" i="46"/>
  <c r="AH74" i="46"/>
  <c r="CA73" i="46"/>
  <c r="AK73" i="46"/>
  <c r="CD72" i="46"/>
  <c r="AV72" i="46"/>
  <c r="CM71" i="46"/>
  <c r="BH71" i="46"/>
  <c r="AA71" i="46"/>
  <c r="CB70" i="46"/>
  <c r="AX70" i="46"/>
  <c r="U70" i="46"/>
  <c r="BX69" i="46"/>
  <c r="AU69" i="46"/>
  <c r="CU68" i="46"/>
  <c r="BR68" i="46"/>
  <c r="AO68" i="46"/>
  <c r="CR67" i="46"/>
  <c r="BO67" i="46"/>
  <c r="BZ79" i="46"/>
  <c r="CP78" i="46"/>
  <c r="AJ78" i="46"/>
  <c r="BB77" i="46"/>
  <c r="CD76" i="46"/>
  <c r="AH76" i="46"/>
  <c r="BZ75" i="46"/>
  <c r="AF75" i="46"/>
  <c r="BZ74" i="46"/>
  <c r="AF74" i="46"/>
  <c r="BZ73" i="46"/>
  <c r="AJ73" i="46"/>
  <c r="CC72" i="46"/>
  <c r="AU72" i="46"/>
  <c r="CL71" i="46"/>
  <c r="BE71" i="46"/>
  <c r="Z71" i="46"/>
  <c r="CA70" i="46"/>
  <c r="AW70" i="46"/>
  <c r="T70" i="46"/>
  <c r="BW69" i="46"/>
  <c r="AQ69" i="46"/>
  <c r="CT68" i="46"/>
  <c r="BQ68" i="46"/>
  <c r="AN68" i="46"/>
  <c r="BY79" i="46"/>
  <c r="CO78" i="46"/>
  <c r="Z78" i="46"/>
  <c r="BA77" i="46"/>
  <c r="CC76" i="46"/>
  <c r="AF76" i="46"/>
  <c r="BY75" i="46"/>
  <c r="AC75" i="46"/>
  <c r="BY74" i="46"/>
  <c r="AC74" i="46"/>
  <c r="BY73" i="46"/>
  <c r="AH73" i="46"/>
  <c r="CB72" i="46"/>
  <c r="AN72" i="46"/>
  <c r="CK71" i="46"/>
  <c r="BD71" i="46"/>
  <c r="Y71" i="46"/>
  <c r="BZ70" i="46"/>
  <c r="AV70" i="46"/>
  <c r="S70" i="46"/>
  <c r="BS69" i="46"/>
  <c r="AP69" i="46"/>
  <c r="CS68" i="46"/>
  <c r="BP68" i="46"/>
  <c r="AM68" i="46"/>
  <c r="CP67" i="46"/>
  <c r="BM67" i="46"/>
  <c r="BW79" i="46"/>
  <c r="CD78" i="46"/>
  <c r="X78" i="46"/>
  <c r="AY77" i="46"/>
  <c r="CA76" i="46"/>
  <c r="AA76" i="46"/>
  <c r="BW75" i="46"/>
  <c r="AA75" i="46"/>
  <c r="BW74" i="46"/>
  <c r="AA74" i="46"/>
  <c r="BW73" i="46"/>
  <c r="AC73" i="46"/>
  <c r="BZ72" i="46"/>
  <c r="AK72" i="46"/>
  <c r="CG71" i="46"/>
  <c r="BB71" i="46"/>
  <c r="W71" i="46"/>
  <c r="BX70" i="46"/>
  <c r="AQ70" i="46"/>
  <c r="CT69" i="46"/>
  <c r="BQ69" i="46"/>
  <c r="AN69" i="46"/>
  <c r="CQ68" i="46"/>
  <c r="BN68" i="46"/>
  <c r="AK68" i="46"/>
  <c r="BR69" i="46"/>
  <c r="BM66" i="46"/>
  <c r="BI65" i="46"/>
  <c r="BS64" i="46"/>
  <c r="AG64" i="46"/>
  <c r="BO63" i="46"/>
  <c r="U63" i="46"/>
  <c r="BL62" i="46"/>
  <c r="CT61" i="46"/>
  <c r="BI61" i="46"/>
  <c r="CQ60" i="46"/>
  <c r="AX60" i="46"/>
  <c r="CT59" i="46"/>
  <c r="BM59" i="46"/>
  <c r="AB59" i="46"/>
  <c r="CC58" i="46"/>
  <c r="AX58" i="46"/>
  <c r="T58" i="46"/>
  <c r="BV57" i="46"/>
  <c r="AP57" i="46"/>
  <c r="CR56" i="46"/>
  <c r="BN56" i="46"/>
  <c r="AJ56" i="46"/>
  <c r="CL55" i="46"/>
  <c r="BD55" i="46"/>
  <c r="Z55" i="46"/>
  <c r="CB54" i="46"/>
  <c r="AX54" i="46"/>
  <c r="T54" i="46"/>
  <c r="BV53" i="46"/>
  <c r="AP53" i="46"/>
  <c r="CR52" i="46"/>
  <c r="BN52" i="46"/>
  <c r="AJ52" i="46"/>
  <c r="CL51" i="46"/>
  <c r="BE51" i="46"/>
  <c r="AB51" i="46"/>
  <c r="CE50" i="46"/>
  <c r="BB50" i="46"/>
  <c r="Y50" i="46"/>
  <c r="CB49" i="46"/>
  <c r="AZ49" i="46"/>
  <c r="X49" i="46"/>
  <c r="CB48" i="46"/>
  <c r="AZ48" i="46"/>
  <c r="X48" i="46"/>
  <c r="CB47" i="46"/>
  <c r="AZ47" i="46"/>
  <c r="X47" i="46"/>
  <c r="CB46" i="46"/>
  <c r="AZ46" i="46"/>
  <c r="X46" i="46"/>
  <c r="CB45" i="46"/>
  <c r="AZ45" i="46"/>
  <c r="X45" i="46"/>
  <c r="CB44" i="46"/>
  <c r="AZ44" i="46"/>
  <c r="X44" i="46"/>
  <c r="AO69" i="46"/>
  <c r="BL66" i="46"/>
  <c r="AY65" i="46"/>
  <c r="BQ64" i="46"/>
  <c r="W64" i="46"/>
  <c r="BN63" i="46"/>
  <c r="S63" i="46"/>
  <c r="BK62" i="46"/>
  <c r="CS61" i="46"/>
  <c r="AY61" i="46"/>
  <c r="CP60" i="46"/>
  <c r="AW60" i="46"/>
  <c r="CS59" i="46"/>
  <c r="BL59" i="46"/>
  <c r="AA59" i="46"/>
  <c r="CA58" i="46"/>
  <c r="AW58" i="46"/>
  <c r="S58" i="46"/>
  <c r="BS57" i="46"/>
  <c r="AO57" i="46"/>
  <c r="CQ56" i="46"/>
  <c r="BM56" i="46"/>
  <c r="AI56" i="46"/>
  <c r="CK55" i="46"/>
  <c r="BC55" i="46"/>
  <c r="Y55" i="46"/>
  <c r="CA54" i="46"/>
  <c r="AW54" i="46"/>
  <c r="S54" i="46"/>
  <c r="BS53" i="46"/>
  <c r="AO53" i="46"/>
  <c r="CQ52" i="46"/>
  <c r="BM52" i="46"/>
  <c r="AI52" i="46"/>
  <c r="CK51" i="46"/>
  <c r="BD51" i="46"/>
  <c r="AA51" i="46"/>
  <c r="CD50" i="46"/>
  <c r="BA50" i="46"/>
  <c r="X50" i="46"/>
  <c r="CA49" i="46"/>
  <c r="AY49" i="46"/>
  <c r="W49" i="46"/>
  <c r="CA48" i="46"/>
  <c r="AY48" i="46"/>
  <c r="W48" i="46"/>
  <c r="CA47" i="46"/>
  <c r="AY47" i="46"/>
  <c r="W47" i="46"/>
  <c r="CA46" i="46"/>
  <c r="AY46" i="46"/>
  <c r="W46" i="46"/>
  <c r="CA45" i="46"/>
  <c r="AY45" i="46"/>
  <c r="W45" i="46"/>
  <c r="CA44" i="46"/>
  <c r="AY44" i="46"/>
  <c r="W44" i="46"/>
  <c r="CR68" i="46"/>
  <c r="BK66" i="46"/>
  <c r="AN65" i="46"/>
  <c r="BP64" i="46"/>
  <c r="V64" i="46"/>
  <c r="BM63" i="46"/>
  <c r="CU62" i="46"/>
  <c r="BJ62" i="46"/>
  <c r="CR61" i="46"/>
  <c r="AX61" i="46"/>
  <c r="CO60" i="46"/>
  <c r="AV60" i="46"/>
  <c r="CR59" i="46"/>
  <c r="BK59" i="46"/>
  <c r="Z59" i="46"/>
  <c r="BZ58" i="46"/>
  <c r="AV58" i="46"/>
  <c r="R58" i="46"/>
  <c r="BR57" i="46"/>
  <c r="AN57" i="46"/>
  <c r="CP56" i="46"/>
  <c r="BL56" i="46"/>
  <c r="AH56" i="46"/>
  <c r="CF55" i="46"/>
  <c r="BB55" i="46"/>
  <c r="X55" i="46"/>
  <c r="BZ54" i="46"/>
  <c r="AV54" i="46"/>
  <c r="R54" i="46"/>
  <c r="BR53" i="46"/>
  <c r="AN53" i="46"/>
  <c r="CP52" i="46"/>
  <c r="BL52" i="46"/>
  <c r="AH52" i="46"/>
  <c r="CF51" i="46"/>
  <c r="BC51" i="46"/>
  <c r="Z51" i="46"/>
  <c r="CC50" i="46"/>
  <c r="AZ50" i="46"/>
  <c r="W50" i="46"/>
  <c r="BZ49" i="46"/>
  <c r="AX49" i="46"/>
  <c r="V49" i="46"/>
  <c r="BZ48" i="46"/>
  <c r="AX48" i="46"/>
  <c r="V48" i="46"/>
  <c r="BZ47" i="46"/>
  <c r="AX47" i="46"/>
  <c r="V47" i="46"/>
  <c r="BZ46" i="46"/>
  <c r="AX46" i="46"/>
  <c r="V46" i="46"/>
  <c r="BZ45" i="46"/>
  <c r="AX45" i="46"/>
  <c r="V45" i="46"/>
  <c r="BZ44" i="46"/>
  <c r="AX44" i="46"/>
  <c r="V44" i="46"/>
  <c r="BO68" i="46"/>
  <c r="BJ66" i="46"/>
  <c r="AM65" i="46"/>
  <c r="BO64" i="46"/>
  <c r="U64" i="46"/>
  <c r="BL63" i="46"/>
  <c r="CT62" i="46"/>
  <c r="BI62" i="46"/>
  <c r="CQ61" i="46"/>
  <c r="AW61" i="46"/>
  <c r="CN60" i="46"/>
  <c r="AU60" i="46"/>
  <c r="CQ59" i="46"/>
  <c r="BJ59" i="46"/>
  <c r="Y59" i="46"/>
  <c r="BY58" i="46"/>
  <c r="AU58" i="46"/>
  <c r="CU57" i="46"/>
  <c r="BQ57" i="46"/>
  <c r="AM57" i="46"/>
  <c r="CO56" i="46"/>
  <c r="BK56" i="46"/>
  <c r="AG56" i="46"/>
  <c r="CE55" i="46"/>
  <c r="BA55" i="46"/>
  <c r="W55" i="46"/>
  <c r="BY54" i="46"/>
  <c r="AU54" i="46"/>
  <c r="CU53" i="46"/>
  <c r="BQ53" i="46"/>
  <c r="AM53" i="46"/>
  <c r="CO52" i="46"/>
  <c r="BK52" i="46"/>
  <c r="AG52" i="46"/>
  <c r="CE51" i="46"/>
  <c r="BB51" i="46"/>
  <c r="Y51" i="46"/>
  <c r="CB50" i="46"/>
  <c r="AY50" i="46"/>
  <c r="V50" i="46"/>
  <c r="BY49" i="46"/>
  <c r="AW49" i="46"/>
  <c r="U49" i="46"/>
  <c r="BY48" i="46"/>
  <c r="AW48" i="46"/>
  <c r="U48" i="46"/>
  <c r="BY47" i="46"/>
  <c r="AW47" i="46"/>
  <c r="U47" i="46"/>
  <c r="BY46" i="46"/>
  <c r="AW46" i="46"/>
  <c r="U46" i="46"/>
  <c r="BY45" i="46"/>
  <c r="AW45" i="46"/>
  <c r="U45" i="46"/>
  <c r="BY44" i="46"/>
  <c r="AW44" i="46"/>
  <c r="U44" i="46"/>
  <c r="BX79" i="46"/>
  <c r="AL68" i="46"/>
  <c r="BI66" i="46"/>
  <c r="AL65" i="46"/>
  <c r="BN64" i="46"/>
  <c r="S64" i="46"/>
  <c r="BK63" i="46"/>
  <c r="CS62" i="46"/>
  <c r="AY62" i="46"/>
  <c r="CP61" i="46"/>
  <c r="AU61" i="46"/>
  <c r="CM60" i="46"/>
  <c r="AQ60" i="46"/>
  <c r="CP59" i="46"/>
  <c r="BI59" i="46"/>
  <c r="W59" i="46"/>
  <c r="BX58" i="46"/>
  <c r="AT58" i="46"/>
  <c r="CT57" i="46"/>
  <c r="BP57" i="46"/>
  <c r="AL57" i="46"/>
  <c r="CN56" i="46"/>
  <c r="BJ56" i="46"/>
  <c r="AB56" i="46"/>
  <c r="CD55" i="46"/>
  <c r="AZ55" i="46"/>
  <c r="V55" i="46"/>
  <c r="BX54" i="46"/>
  <c r="AT54" i="46"/>
  <c r="CT53" i="46"/>
  <c r="BP53" i="46"/>
  <c r="AL53" i="46"/>
  <c r="CN52" i="46"/>
  <c r="BJ52" i="46"/>
  <c r="AB52" i="46"/>
  <c r="CD51" i="46"/>
  <c r="BA51" i="46"/>
  <c r="X51" i="46"/>
  <c r="CA50" i="46"/>
  <c r="AX50" i="46"/>
  <c r="U50" i="46"/>
  <c r="BX49" i="46"/>
  <c r="AV49" i="46"/>
  <c r="T49" i="46"/>
  <c r="BX48" i="46"/>
  <c r="AV48" i="46"/>
  <c r="T48" i="46"/>
  <c r="BX47" i="46"/>
  <c r="AV47" i="46"/>
  <c r="T47" i="46"/>
  <c r="BX46" i="46"/>
  <c r="AV46" i="46"/>
  <c r="T46" i="46"/>
  <c r="BX45" i="46"/>
  <c r="AV45" i="46"/>
  <c r="T45" i="46"/>
  <c r="BX44" i="46"/>
  <c r="AV44" i="46"/>
  <c r="T44" i="46"/>
  <c r="CN78" i="46"/>
  <c r="CQ67" i="46"/>
  <c r="AL66" i="46"/>
  <c r="AK65" i="46"/>
  <c r="BM64" i="46"/>
  <c r="CU63" i="46"/>
  <c r="BJ63" i="46"/>
  <c r="CR62" i="46"/>
  <c r="AX62" i="46"/>
  <c r="CO61" i="46"/>
  <c r="AQ61" i="46"/>
  <c r="CL60" i="46"/>
  <c r="AP60" i="46"/>
  <c r="CO59" i="46"/>
  <c r="BC59" i="46"/>
  <c r="V59" i="46"/>
  <c r="BW58" i="46"/>
  <c r="AQ58" i="46"/>
  <c r="CS57" i="46"/>
  <c r="BO57" i="46"/>
  <c r="AK57" i="46"/>
  <c r="CM56" i="46"/>
  <c r="BI56" i="46"/>
  <c r="AA56" i="46"/>
  <c r="CC55" i="46"/>
  <c r="AY55" i="46"/>
  <c r="U55" i="46"/>
  <c r="BW54" i="46"/>
  <c r="AQ54" i="46"/>
  <c r="CS53" i="46"/>
  <c r="BO53" i="46"/>
  <c r="AK53" i="46"/>
  <c r="CM52" i="46"/>
  <c r="BI52" i="46"/>
  <c r="AA52" i="46"/>
  <c r="CC51" i="46"/>
  <c r="AZ51" i="46"/>
  <c r="W51" i="46"/>
  <c r="BZ50" i="46"/>
  <c r="AW50" i="46"/>
  <c r="T50" i="46"/>
  <c r="BW49" i="46"/>
  <c r="AU49" i="46"/>
  <c r="S49" i="46"/>
  <c r="BW48" i="46"/>
  <c r="AU48" i="46"/>
  <c r="S48" i="46"/>
  <c r="BW47" i="46"/>
  <c r="AU47" i="46"/>
  <c r="S47" i="46"/>
  <c r="BW46" i="46"/>
  <c r="AU46" i="46"/>
  <c r="S46" i="46"/>
  <c r="BW45" i="46"/>
  <c r="AU45" i="46"/>
  <c r="S45" i="46"/>
  <c r="BW44" i="46"/>
  <c r="AU44" i="46"/>
  <c r="S44" i="46"/>
  <c r="Y78" i="46"/>
  <c r="CO67" i="46"/>
  <c r="AK66" i="46"/>
  <c r="AJ65" i="46"/>
  <c r="BL64" i="46"/>
  <c r="CT63" i="46"/>
  <c r="BI63" i="46"/>
  <c r="CQ62" i="46"/>
  <c r="AW62" i="46"/>
  <c r="CN61" i="46"/>
  <c r="AP61" i="46"/>
  <c r="CK60" i="46"/>
  <c r="AO60" i="46"/>
  <c r="CN59" i="46"/>
  <c r="BA59" i="46"/>
  <c r="U59" i="46"/>
  <c r="BV58" i="46"/>
  <c r="AP58" i="46"/>
  <c r="CR57" i="46"/>
  <c r="BN57" i="46"/>
  <c r="AJ57" i="46"/>
  <c r="CL56" i="46"/>
  <c r="BD56" i="46"/>
  <c r="Z56" i="46"/>
  <c r="CB55" i="46"/>
  <c r="AX55" i="46"/>
  <c r="T55" i="46"/>
  <c r="BV54" i="46"/>
  <c r="AP54" i="46"/>
  <c r="CR53" i="46"/>
  <c r="BN53" i="46"/>
  <c r="AJ53" i="46"/>
  <c r="CL52" i="46"/>
  <c r="BD52" i="46"/>
  <c r="Z52" i="46"/>
  <c r="CB51" i="46"/>
  <c r="AY51" i="46"/>
  <c r="V51" i="46"/>
  <c r="BY50" i="46"/>
  <c r="AV50" i="46"/>
  <c r="S50" i="46"/>
  <c r="BV49" i="46"/>
  <c r="AT49" i="46"/>
  <c r="R49" i="46"/>
  <c r="BV48" i="46"/>
  <c r="AT48" i="46"/>
  <c r="R48" i="46"/>
  <c r="BV47" i="46"/>
  <c r="AT47" i="46"/>
  <c r="R47" i="46"/>
  <c r="BV46" i="46"/>
  <c r="AT46" i="46"/>
  <c r="R46" i="46"/>
  <c r="BV45" i="46"/>
  <c r="AT45" i="46"/>
  <c r="R45" i="46"/>
  <c r="BV44" i="46"/>
  <c r="AT44" i="46"/>
  <c r="R44" i="46"/>
  <c r="AZ77" i="46"/>
  <c r="CN67" i="46"/>
  <c r="AJ66" i="46"/>
  <c r="AI65" i="46"/>
  <c r="BK64" i="46"/>
  <c r="CS63" i="46"/>
  <c r="AY63" i="46"/>
  <c r="CP62" i="46"/>
  <c r="AU62" i="46"/>
  <c r="CM61" i="46"/>
  <c r="AO61" i="46"/>
  <c r="CA60" i="46"/>
  <c r="AN60" i="46"/>
  <c r="CM59" i="46"/>
  <c r="AY59" i="46"/>
  <c r="T59" i="46"/>
  <c r="BS58" i="46"/>
  <c r="AO58" i="46"/>
  <c r="CQ57" i="46"/>
  <c r="BM57" i="46"/>
  <c r="AI57" i="46"/>
  <c r="CK56" i="46"/>
  <c r="BC56" i="46"/>
  <c r="Y56" i="46"/>
  <c r="CA55" i="46"/>
  <c r="AW55" i="46"/>
  <c r="S55" i="46"/>
  <c r="BS54" i="46"/>
  <c r="AO54" i="46"/>
  <c r="CQ53" i="46"/>
  <c r="BM53" i="46"/>
  <c r="AI53" i="46"/>
  <c r="CK52" i="46"/>
  <c r="BC52" i="46"/>
  <c r="Y52" i="46"/>
  <c r="CA51" i="46"/>
  <c r="AX51" i="46"/>
  <c r="U51" i="46"/>
  <c r="BX50" i="46"/>
  <c r="AU50" i="46"/>
  <c r="R50" i="46"/>
  <c r="BS49" i="46"/>
  <c r="AQ49" i="46"/>
  <c r="CU48" i="46"/>
  <c r="BS48" i="46"/>
  <c r="AQ48" i="46"/>
  <c r="CU47" i="46"/>
  <c r="BS47" i="46"/>
  <c r="AQ47" i="46"/>
  <c r="CU46" i="46"/>
  <c r="BS46" i="46"/>
  <c r="AQ46" i="46"/>
  <c r="CU45" i="46"/>
  <c r="BS45" i="46"/>
  <c r="AQ45" i="46"/>
  <c r="CU44" i="46"/>
  <c r="BS44" i="46"/>
  <c r="AQ44" i="46"/>
  <c r="CB76" i="46"/>
  <c r="BN67" i="46"/>
  <c r="AI66" i="46"/>
  <c r="AH65" i="46"/>
  <c r="BJ64" i="46"/>
  <c r="CR63" i="46"/>
  <c r="AX63" i="46"/>
  <c r="CO62" i="46"/>
  <c r="AQ62" i="46"/>
  <c r="CL61" i="46"/>
  <c r="AN61" i="46"/>
  <c r="BZ60" i="46"/>
  <c r="AM60" i="46"/>
  <c r="CL59" i="46"/>
  <c r="AX59" i="46"/>
  <c r="S59" i="46"/>
  <c r="BR58" i="46"/>
  <c r="AN58" i="46"/>
  <c r="CP57" i="46"/>
  <c r="BL57" i="46"/>
  <c r="AH57" i="46"/>
  <c r="CF56" i="46"/>
  <c r="BB56" i="46"/>
  <c r="X56" i="46"/>
  <c r="BZ55" i="46"/>
  <c r="AV55" i="46"/>
  <c r="R55" i="46"/>
  <c r="BR54" i="46"/>
  <c r="AN54" i="46"/>
  <c r="CP53" i="46"/>
  <c r="BL53" i="46"/>
  <c r="AH53" i="46"/>
  <c r="CF52" i="46"/>
  <c r="BB52" i="46"/>
  <c r="X52" i="46"/>
  <c r="BZ51" i="46"/>
  <c r="AW51" i="46"/>
  <c r="T51" i="46"/>
  <c r="BW50" i="46"/>
  <c r="AT50" i="46"/>
  <c r="CU49" i="46"/>
  <c r="BR49" i="46"/>
  <c r="AP49" i="46"/>
  <c r="CT48" i="46"/>
  <c r="BR48" i="46"/>
  <c r="AP48" i="46"/>
  <c r="CT47" i="46"/>
  <c r="BR47" i="46"/>
  <c r="AP47" i="46"/>
  <c r="CT46" i="46"/>
  <c r="BR46" i="46"/>
  <c r="AP46" i="46"/>
  <c r="CT45" i="46"/>
  <c r="BR45" i="46"/>
  <c r="AP45" i="46"/>
  <c r="CT44" i="46"/>
  <c r="BR44" i="46"/>
  <c r="AP44" i="46"/>
  <c r="AB76" i="46"/>
  <c r="BL67" i="46"/>
  <c r="AH66" i="46"/>
  <c r="AG65" i="46"/>
  <c r="BI64" i="46"/>
  <c r="CQ63" i="46"/>
  <c r="AW63" i="46"/>
  <c r="CN62" i="46"/>
  <c r="AP62" i="46"/>
  <c r="CK61" i="46"/>
  <c r="AM61" i="46"/>
  <c r="BY60" i="46"/>
  <c r="AL60" i="46"/>
  <c r="CK59" i="46"/>
  <c r="AW59" i="46"/>
  <c r="R59" i="46"/>
  <c r="BQ58" i="46"/>
  <c r="AM58" i="46"/>
  <c r="CO57" i="46"/>
  <c r="BK57" i="46"/>
  <c r="AG57" i="46"/>
  <c r="CE56" i="46"/>
  <c r="BA56" i="46"/>
  <c r="W56" i="46"/>
  <c r="BY55" i="46"/>
  <c r="AU55" i="46"/>
  <c r="CU54" i="46"/>
  <c r="BQ54" i="46"/>
  <c r="AM54" i="46"/>
  <c r="CO53" i="46"/>
  <c r="BK53" i="46"/>
  <c r="AG53" i="46"/>
  <c r="CE52" i="46"/>
  <c r="BA52" i="46"/>
  <c r="W52" i="46"/>
  <c r="BY51" i="46"/>
  <c r="AV51" i="46"/>
  <c r="S51" i="46"/>
  <c r="BV50" i="46"/>
  <c r="AQ50" i="46"/>
  <c r="CT49" i="46"/>
  <c r="BQ49" i="46"/>
  <c r="AO49" i="46"/>
  <c r="CS48" i="46"/>
  <c r="BQ48" i="46"/>
  <c r="AO48" i="46"/>
  <c r="CS47" i="46"/>
  <c r="BQ47" i="46"/>
  <c r="AO47" i="46"/>
  <c r="CS46" i="46"/>
  <c r="BQ46" i="46"/>
  <c r="AO46" i="46"/>
  <c r="CS45" i="46"/>
  <c r="BQ45" i="46"/>
  <c r="AO45" i="46"/>
  <c r="CS44" i="46"/>
  <c r="BQ44" i="46"/>
  <c r="AO44" i="46"/>
  <c r="BX75" i="46"/>
  <c r="BK67" i="46"/>
  <c r="AG66" i="46"/>
  <c r="W65" i="46"/>
  <c r="AY64" i="46"/>
  <c r="CP63" i="46"/>
  <c r="AU63" i="46"/>
  <c r="CM62" i="46"/>
  <c r="AO62" i="46"/>
  <c r="CA61" i="46"/>
  <c r="AL61" i="46"/>
  <c r="BW60" i="46"/>
  <c r="AK60" i="46"/>
  <c r="CE59" i="46"/>
  <c r="AV59" i="46"/>
  <c r="CU58" i="46"/>
  <c r="BP58" i="46"/>
  <c r="AL58" i="46"/>
  <c r="CN57" i="46"/>
  <c r="BJ57" i="46"/>
  <c r="AB57" i="46"/>
  <c r="CD56" i="46"/>
  <c r="AZ56" i="46"/>
  <c r="V56" i="46"/>
  <c r="BX55" i="46"/>
  <c r="AT55" i="46"/>
  <c r="CT54" i="46"/>
  <c r="BP54" i="46"/>
  <c r="AL54" i="46"/>
  <c r="CN53" i="46"/>
  <c r="BJ53" i="46"/>
  <c r="AB53" i="46"/>
  <c r="CD52" i="46"/>
  <c r="AZ52" i="46"/>
  <c r="V52" i="46"/>
  <c r="BX51" i="46"/>
  <c r="AU51" i="46"/>
  <c r="R51" i="46"/>
  <c r="BS50" i="46"/>
  <c r="AP50" i="46"/>
  <c r="CS49" i="46"/>
  <c r="BP49" i="46"/>
  <c r="AN49" i="46"/>
  <c r="CR48" i="46"/>
  <c r="BP48" i="46"/>
  <c r="AN48" i="46"/>
  <c r="CR47" i="46"/>
  <c r="BP47" i="46"/>
  <c r="AN47" i="46"/>
  <c r="CR46" i="46"/>
  <c r="BP46" i="46"/>
  <c r="AN46" i="46"/>
  <c r="CR45" i="46"/>
  <c r="BP45" i="46"/>
  <c r="AN45" i="46"/>
  <c r="CR44" i="46"/>
  <c r="BP44" i="46"/>
  <c r="AN44" i="46"/>
  <c r="AB75" i="46"/>
  <c r="AM67" i="46"/>
  <c r="CP65" i="46"/>
  <c r="CU64" i="46"/>
  <c r="AX64" i="46"/>
  <c r="CO63" i="46"/>
  <c r="AQ63" i="46"/>
  <c r="CL62" i="46"/>
  <c r="AN62" i="46"/>
  <c r="BZ61" i="46"/>
  <c r="AK61" i="46"/>
  <c r="BS60" i="46"/>
  <c r="AJ60" i="46"/>
  <c r="CC59" i="46"/>
  <c r="AU59" i="46"/>
  <c r="CT58" i="46"/>
  <c r="BO58" i="46"/>
  <c r="AK58" i="46"/>
  <c r="CM57" i="46"/>
  <c r="BI57" i="46"/>
  <c r="AA57" i="46"/>
  <c r="CC56" i="46"/>
  <c r="AY56" i="46"/>
  <c r="U56" i="46"/>
  <c r="BW55" i="46"/>
  <c r="AQ55" i="46"/>
  <c r="CS54" i="46"/>
  <c r="BO54" i="46"/>
  <c r="AK54" i="46"/>
  <c r="CM53" i="46"/>
  <c r="BI53" i="46"/>
  <c r="AA53" i="46"/>
  <c r="CC52" i="46"/>
  <c r="AY52" i="46"/>
  <c r="U52" i="46"/>
  <c r="BW51" i="46"/>
  <c r="AT51" i="46"/>
  <c r="CU50" i="46"/>
  <c r="BR50" i="46"/>
  <c r="AO50" i="46"/>
  <c r="CR49" i="46"/>
  <c r="BO49" i="46"/>
  <c r="AM49" i="46"/>
  <c r="CQ48" i="46"/>
  <c r="BO48" i="46"/>
  <c r="AM48" i="46"/>
  <c r="CQ47" i="46"/>
  <c r="BO47" i="46"/>
  <c r="AM47" i="46"/>
  <c r="CQ46" i="46"/>
  <c r="BO46" i="46"/>
  <c r="AM46" i="46"/>
  <c r="CQ45" i="46"/>
  <c r="BO45" i="46"/>
  <c r="AM45" i="46"/>
  <c r="CQ44" i="46"/>
  <c r="BO44" i="46"/>
  <c r="AM44" i="46"/>
  <c r="BX74" i="46"/>
  <c r="AL67" i="46"/>
  <c r="CO65" i="46"/>
  <c r="CR64" i="46"/>
  <c r="AW64" i="46"/>
  <c r="CN63" i="46"/>
  <c r="AP63" i="46"/>
  <c r="CK62" i="46"/>
  <c r="AM62" i="46"/>
  <c r="BY61" i="46"/>
  <c r="AJ61" i="46"/>
  <c r="BR60" i="46"/>
  <c r="AI60" i="46"/>
  <c r="CA59" i="46"/>
  <c r="AT59" i="46"/>
  <c r="CS58" i="46"/>
  <c r="BN58" i="46"/>
  <c r="AJ58" i="46"/>
  <c r="CL57" i="46"/>
  <c r="BD57" i="46"/>
  <c r="Z57" i="46"/>
  <c r="CB56" i="46"/>
  <c r="AX56" i="46"/>
  <c r="T56" i="46"/>
  <c r="BV55" i="46"/>
  <c r="AP55" i="46"/>
  <c r="CR54" i="46"/>
  <c r="BN54" i="46"/>
  <c r="AJ54" i="46"/>
  <c r="CL53" i="46"/>
  <c r="BD53" i="46"/>
  <c r="Z53" i="46"/>
  <c r="CB52" i="46"/>
  <c r="AX52" i="46"/>
  <c r="T52" i="46"/>
  <c r="BV51" i="46"/>
  <c r="AQ51" i="46"/>
  <c r="CT50" i="46"/>
  <c r="BQ50" i="46"/>
  <c r="AN50" i="46"/>
  <c r="CQ49" i="46"/>
  <c r="BN49" i="46"/>
  <c r="AL49" i="46"/>
  <c r="CP48" i="46"/>
  <c r="BN48" i="46"/>
  <c r="AL48" i="46"/>
  <c r="CP47" i="46"/>
  <c r="BN47" i="46"/>
  <c r="AL47" i="46"/>
  <c r="CP46" i="46"/>
  <c r="BN46" i="46"/>
  <c r="AL46" i="46"/>
  <c r="CP45" i="46"/>
  <c r="BN45" i="46"/>
  <c r="AL45" i="46"/>
  <c r="CP44" i="46"/>
  <c r="BN44" i="46"/>
  <c r="AL44" i="46"/>
  <c r="AB74" i="46"/>
  <c r="AK67" i="46"/>
  <c r="CN65" i="46"/>
  <c r="CQ64" i="46"/>
  <c r="AU64" i="46"/>
  <c r="CM63" i="46"/>
  <c r="AO63" i="46"/>
  <c r="CA62" i="46"/>
  <c r="AL62" i="46"/>
  <c r="BW61" i="46"/>
  <c r="AI61" i="46"/>
  <c r="BQ60" i="46"/>
  <c r="AH60" i="46"/>
  <c r="BZ59" i="46"/>
  <c r="AQ59" i="46"/>
  <c r="CR58" i="46"/>
  <c r="BM58" i="46"/>
  <c r="AI58" i="46"/>
  <c r="CK57" i="46"/>
  <c r="BC57" i="46"/>
  <c r="Y57" i="46"/>
  <c r="CA56" i="46"/>
  <c r="AW56" i="46"/>
  <c r="S56" i="46"/>
  <c r="BS55" i="46"/>
  <c r="AO55" i="46"/>
  <c r="CQ54" i="46"/>
  <c r="BM54" i="46"/>
  <c r="AI54" i="46"/>
  <c r="CK53" i="46"/>
  <c r="BC53" i="46"/>
  <c r="Y53" i="46"/>
  <c r="CA52" i="46"/>
  <c r="AW52" i="46"/>
  <c r="S52" i="46"/>
  <c r="BS51" i="46"/>
  <c r="AP51" i="46"/>
  <c r="CS50" i="46"/>
  <c r="BP50" i="46"/>
  <c r="AM50" i="46"/>
  <c r="CP49" i="46"/>
  <c r="BM49" i="46"/>
  <c r="AK49" i="46"/>
  <c r="CO48" i="46"/>
  <c r="BM48" i="46"/>
  <c r="AK48" i="46"/>
  <c r="CO47" i="46"/>
  <c r="BM47" i="46"/>
  <c r="AK47" i="46"/>
  <c r="CO46" i="46"/>
  <c r="BM46" i="46"/>
  <c r="AK46" i="46"/>
  <c r="CO45" i="46"/>
  <c r="BM45" i="46"/>
  <c r="AK45" i="46"/>
  <c r="CO44" i="46"/>
  <c r="BM44" i="46"/>
  <c r="AK44" i="46"/>
  <c r="BX73" i="46"/>
  <c r="AJ67" i="46"/>
  <c r="CM65" i="46"/>
  <c r="CP64" i="46"/>
  <c r="AQ64" i="46"/>
  <c r="CL63" i="46"/>
  <c r="AN63" i="46"/>
  <c r="BZ62" i="46"/>
  <c r="AK62" i="46"/>
  <c r="BS61" i="46"/>
  <c r="AH61" i="46"/>
  <c r="BP60" i="46"/>
  <c r="AG60" i="46"/>
  <c r="BY59" i="46"/>
  <c r="AP59" i="46"/>
  <c r="CQ58" i="46"/>
  <c r="BL58" i="46"/>
  <c r="AH58" i="46"/>
  <c r="CF57" i="46"/>
  <c r="BB57" i="46"/>
  <c r="X57" i="46"/>
  <c r="BZ56" i="46"/>
  <c r="AV56" i="46"/>
  <c r="R56" i="46"/>
  <c r="BR55" i="46"/>
  <c r="AN55" i="46"/>
  <c r="CP54" i="46"/>
  <c r="BL54" i="46"/>
  <c r="AH54" i="46"/>
  <c r="CF53" i="46"/>
  <c r="BB53" i="46"/>
  <c r="X53" i="46"/>
  <c r="BZ52" i="46"/>
  <c r="AV52" i="46"/>
  <c r="R52" i="46"/>
  <c r="BR51" i="46"/>
  <c r="AO51" i="46"/>
  <c r="CR50" i="46"/>
  <c r="BO50" i="46"/>
  <c r="AL50" i="46"/>
  <c r="CO49" i="46"/>
  <c r="BL49" i="46"/>
  <c r="AJ49" i="46"/>
  <c r="CN48" i="46"/>
  <c r="BL48" i="46"/>
  <c r="AJ48" i="46"/>
  <c r="CN47" i="46"/>
  <c r="BL47" i="46"/>
  <c r="AJ47" i="46"/>
  <c r="CN46" i="46"/>
  <c r="BL46" i="46"/>
  <c r="AJ46" i="46"/>
  <c r="CN45" i="46"/>
  <c r="BL45" i="46"/>
  <c r="AJ45" i="46"/>
  <c r="CN44" i="46"/>
  <c r="BL44" i="46"/>
  <c r="AJ44" i="46"/>
  <c r="AF73" i="46"/>
  <c r="AI67" i="46"/>
  <c r="CL65" i="46"/>
  <c r="CO64" i="46"/>
  <c r="AP64" i="46"/>
  <c r="CK63" i="46"/>
  <c r="AM63" i="46"/>
  <c r="BY62" i="46"/>
  <c r="AJ62" i="46"/>
  <c r="BR61" i="46"/>
  <c r="AG61" i="46"/>
  <c r="BO60" i="46"/>
  <c r="AA60" i="46"/>
  <c r="BX59" i="46"/>
  <c r="AO59" i="46"/>
  <c r="CP58" i="46"/>
  <c r="BK58" i="46"/>
  <c r="AG58" i="46"/>
  <c r="CE57" i="46"/>
  <c r="BA57" i="46"/>
  <c r="W57" i="46"/>
  <c r="BY56" i="46"/>
  <c r="AU56" i="46"/>
  <c r="CU55" i="46"/>
  <c r="BQ55" i="46"/>
  <c r="AM55" i="46"/>
  <c r="CO54" i="46"/>
  <c r="BK54" i="46"/>
  <c r="AG54" i="46"/>
  <c r="CE53" i="46"/>
  <c r="BA53" i="46"/>
  <c r="W53" i="46"/>
  <c r="BY52" i="46"/>
  <c r="AU52" i="46"/>
  <c r="CU51" i="46"/>
  <c r="BQ51" i="46"/>
  <c r="AN51" i="46"/>
  <c r="CQ50" i="46"/>
  <c r="BN50" i="46"/>
  <c r="AK50" i="46"/>
  <c r="CN49" i="46"/>
  <c r="BK49" i="46"/>
  <c r="AI49" i="46"/>
  <c r="CM48" i="46"/>
  <c r="BK48" i="46"/>
  <c r="AI48" i="46"/>
  <c r="CM47" i="46"/>
  <c r="BK47" i="46"/>
  <c r="AI47" i="46"/>
  <c r="CM46" i="46"/>
  <c r="BK46" i="46"/>
  <c r="AI46" i="46"/>
  <c r="CM45" i="46"/>
  <c r="BK45" i="46"/>
  <c r="AI45" i="46"/>
  <c r="CM44" i="46"/>
  <c r="BK44" i="46"/>
  <c r="AI44" i="46"/>
  <c r="CA72" i="46"/>
  <c r="AH67" i="46"/>
  <c r="CK65" i="46"/>
  <c r="CN64" i="46"/>
  <c r="AO64" i="46"/>
  <c r="CA63" i="46"/>
  <c r="AL63" i="46"/>
  <c r="BW62" i="46"/>
  <c r="AI62" i="46"/>
  <c r="BQ61" i="46"/>
  <c r="W61" i="46"/>
  <c r="BN60" i="46"/>
  <c r="Y60" i="46"/>
  <c r="BW59" i="46"/>
  <c r="AN59" i="46"/>
  <c r="CO58" i="46"/>
  <c r="BJ58" i="46"/>
  <c r="AB58" i="46"/>
  <c r="CD57" i="46"/>
  <c r="AZ57" i="46"/>
  <c r="V57" i="46"/>
  <c r="BX56" i="46"/>
  <c r="AT56" i="46"/>
  <c r="CT55" i="46"/>
  <c r="BP55" i="46"/>
  <c r="AL55" i="46"/>
  <c r="CN54" i="46"/>
  <c r="BJ54" i="46"/>
  <c r="AB54" i="46"/>
  <c r="CD53" i="46"/>
  <c r="AZ53" i="46"/>
  <c r="V53" i="46"/>
  <c r="BX52" i="46"/>
  <c r="AT52" i="46"/>
  <c r="CT51" i="46"/>
  <c r="BP51" i="46"/>
  <c r="AM51" i="46"/>
  <c r="CP50" i="46"/>
  <c r="BM50" i="46"/>
  <c r="AJ50" i="46"/>
  <c r="CM49" i="46"/>
  <c r="BJ49" i="46"/>
  <c r="AH49" i="46"/>
  <c r="CL48" i="46"/>
  <c r="BJ48" i="46"/>
  <c r="AH48" i="46"/>
  <c r="CL47" i="46"/>
  <c r="BJ47" i="46"/>
  <c r="AH47" i="46"/>
  <c r="CL46" i="46"/>
  <c r="BJ46" i="46"/>
  <c r="AH46" i="46"/>
  <c r="CL45" i="46"/>
  <c r="BJ45" i="46"/>
  <c r="AH45" i="46"/>
  <c r="CL44" i="46"/>
  <c r="BJ44" i="46"/>
  <c r="AH44" i="46"/>
  <c r="AL72" i="46"/>
  <c r="CP66" i="46"/>
  <c r="BP65" i="46"/>
  <c r="CM64" i="46"/>
  <c r="AN64" i="46"/>
  <c r="BZ63" i="46"/>
  <c r="AK63" i="46"/>
  <c r="BS62" i="46"/>
  <c r="AH62" i="46"/>
  <c r="BP61" i="46"/>
  <c r="V61" i="46"/>
  <c r="BM60" i="46"/>
  <c r="W60" i="46"/>
  <c r="BV59" i="46"/>
  <c r="AM59" i="46"/>
  <c r="CN58" i="46"/>
  <c r="BI58" i="46"/>
  <c r="AA58" i="46"/>
  <c r="CC57" i="46"/>
  <c r="AY57" i="46"/>
  <c r="U57" i="46"/>
  <c r="BW56" i="46"/>
  <c r="AQ56" i="46"/>
  <c r="CS55" i="46"/>
  <c r="BO55" i="46"/>
  <c r="AK55" i="46"/>
  <c r="CM54" i="46"/>
  <c r="BI54" i="46"/>
  <c r="AA54" i="46"/>
  <c r="CC53" i="46"/>
  <c r="AY53" i="46"/>
  <c r="U53" i="46"/>
  <c r="BW52" i="46"/>
  <c r="AQ52" i="46"/>
  <c r="CS51" i="46"/>
  <c r="BO51" i="46"/>
  <c r="AL51" i="46"/>
  <c r="CO50" i="46"/>
  <c r="BL50" i="46"/>
  <c r="AI50" i="46"/>
  <c r="CL49" i="46"/>
  <c r="BI49" i="46"/>
  <c r="AG49" i="46"/>
  <c r="CK48" i="46"/>
  <c r="BI48" i="46"/>
  <c r="AG48" i="46"/>
  <c r="CK47" i="46"/>
  <c r="BI47" i="46"/>
  <c r="AG47" i="46"/>
  <c r="CK46" i="46"/>
  <c r="BI46" i="46"/>
  <c r="AG46" i="46"/>
  <c r="CK45" i="46"/>
  <c r="BI45" i="46"/>
  <c r="AG45" i="46"/>
  <c r="CK44" i="46"/>
  <c r="BI44" i="46"/>
  <c r="AG44" i="46"/>
  <c r="CJ71" i="46"/>
  <c r="CO66" i="46"/>
  <c r="BO65" i="46"/>
  <c r="CL64" i="46"/>
  <c r="AM64" i="46"/>
  <c r="BY63" i="46"/>
  <c r="AJ63" i="46"/>
  <c r="BR62" i="46"/>
  <c r="AG62" i="46"/>
  <c r="BO61" i="46"/>
  <c r="U61" i="46"/>
  <c r="BL60" i="46"/>
  <c r="V60" i="46"/>
  <c r="BS59" i="46"/>
  <c r="AL59" i="46"/>
  <c r="CM58" i="46"/>
  <c r="BD58" i="46"/>
  <c r="Z58" i="46"/>
  <c r="CB57" i="46"/>
  <c r="AX57" i="46"/>
  <c r="T57" i="46"/>
  <c r="BV56" i="46"/>
  <c r="AP56" i="46"/>
  <c r="CR55" i="46"/>
  <c r="BN55" i="46"/>
  <c r="AJ55" i="46"/>
  <c r="CL54" i="46"/>
  <c r="BD54" i="46"/>
  <c r="Z54" i="46"/>
  <c r="CB53" i="46"/>
  <c r="AX53" i="46"/>
  <c r="T53" i="46"/>
  <c r="BV52" i="46"/>
  <c r="AP52" i="46"/>
  <c r="CR51" i="46"/>
  <c r="BN51" i="46"/>
  <c r="AK51" i="46"/>
  <c r="CN50" i="46"/>
  <c r="BK50" i="46"/>
  <c r="AH50" i="46"/>
  <c r="CK49" i="46"/>
  <c r="BH49" i="46"/>
  <c r="AF49" i="46"/>
  <c r="CJ48" i="46"/>
  <c r="BH48" i="46"/>
  <c r="AF48" i="46"/>
  <c r="CJ47" i="46"/>
  <c r="BH47" i="46"/>
  <c r="AF47" i="46"/>
  <c r="CJ46" i="46"/>
  <c r="BH46" i="46"/>
  <c r="AF46" i="46"/>
  <c r="CJ45" i="46"/>
  <c r="BH45" i="46"/>
  <c r="AF45" i="46"/>
  <c r="CJ44" i="46"/>
  <c r="BH44" i="46"/>
  <c r="AF44" i="46"/>
  <c r="BC71" i="46"/>
  <c r="CN66" i="46"/>
  <c r="BN65" i="46"/>
  <c r="CK64" i="46"/>
  <c r="AL64" i="46"/>
  <c r="BW63" i="46"/>
  <c r="AI63" i="46"/>
  <c r="BQ62" i="46"/>
  <c r="W62" i="46"/>
  <c r="BN61" i="46"/>
  <c r="S61" i="46"/>
  <c r="BK60" i="46"/>
  <c r="U60" i="46"/>
  <c r="BR59" i="46"/>
  <c r="AK59" i="46"/>
  <c r="CL58" i="46"/>
  <c r="BC58" i="46"/>
  <c r="Y58" i="46"/>
  <c r="CA57" i="46"/>
  <c r="AW57" i="46"/>
  <c r="S57" i="46"/>
  <c r="BS56" i="46"/>
  <c r="AO56" i="46"/>
  <c r="CQ55" i="46"/>
  <c r="BM55" i="46"/>
  <c r="AI55" i="46"/>
  <c r="CK54" i="46"/>
  <c r="BC54" i="46"/>
  <c r="Y54" i="46"/>
  <c r="CA53" i="46"/>
  <c r="AW53" i="46"/>
  <c r="S53" i="46"/>
  <c r="BS52" i="46"/>
  <c r="AO52" i="46"/>
  <c r="CQ51" i="46"/>
  <c r="BM51" i="46"/>
  <c r="AJ51" i="46"/>
  <c r="CM50" i="46"/>
  <c r="BJ50" i="46"/>
  <c r="AG50" i="46"/>
  <c r="CG49" i="46"/>
  <c r="BE49" i="46"/>
  <c r="AC49" i="46"/>
  <c r="CG48" i="46"/>
  <c r="BE48" i="46"/>
  <c r="AC48" i="46"/>
  <c r="CG47" i="46"/>
  <c r="BE47" i="46"/>
  <c r="AC47" i="46"/>
  <c r="CG46" i="46"/>
  <c r="BE46" i="46"/>
  <c r="AC46" i="46"/>
  <c r="CG45" i="46"/>
  <c r="BE45" i="46"/>
  <c r="AC45" i="46"/>
  <c r="CG44" i="46"/>
  <c r="X71" i="46"/>
  <c r="CM66" i="46"/>
  <c r="BM65" i="46"/>
  <c r="CA64" i="46"/>
  <c r="AK64" i="46"/>
  <c r="BS63" i="46"/>
  <c r="AH63" i="46"/>
  <c r="BP62" i="46"/>
  <c r="V62" i="46"/>
  <c r="BM61" i="46"/>
  <c r="CU60" i="46"/>
  <c r="BJ60" i="46"/>
  <c r="T60" i="46"/>
  <c r="BQ59" i="46"/>
  <c r="AJ59" i="46"/>
  <c r="CK58" i="46"/>
  <c r="BB58" i="46"/>
  <c r="X58" i="46"/>
  <c r="BZ57" i="46"/>
  <c r="AV57" i="46"/>
  <c r="R57" i="46"/>
  <c r="BR56" i="46"/>
  <c r="AN56" i="46"/>
  <c r="CP55" i="46"/>
  <c r="BL55" i="46"/>
  <c r="AH55" i="46"/>
  <c r="CF54" i="46"/>
  <c r="BB54" i="46"/>
  <c r="X54" i="46"/>
  <c r="BZ53" i="46"/>
  <c r="AV53" i="46"/>
  <c r="R53" i="46"/>
  <c r="BR52" i="46"/>
  <c r="AN52" i="46"/>
  <c r="CP51" i="46"/>
  <c r="BL51" i="46"/>
  <c r="AI51" i="46"/>
  <c r="CL50" i="46"/>
  <c r="BI50" i="46"/>
  <c r="AC50" i="46"/>
  <c r="CF49" i="46"/>
  <c r="BD49" i="46"/>
  <c r="AB49" i="46"/>
  <c r="CF48" i="46"/>
  <c r="BD48" i="46"/>
  <c r="AB48" i="46"/>
  <c r="CF47" i="46"/>
  <c r="BD47" i="46"/>
  <c r="AB47" i="46"/>
  <c r="CF46" i="46"/>
  <c r="BY70" i="46"/>
  <c r="CL66" i="46"/>
  <c r="BL65" i="46"/>
  <c r="BZ64" i="46"/>
  <c r="AJ64" i="46"/>
  <c r="BR63" i="46"/>
  <c r="AG63" i="46"/>
  <c r="BO62" i="46"/>
  <c r="U62" i="46"/>
  <c r="BL61" i="46"/>
  <c r="CT60" i="46"/>
  <c r="BI60" i="46"/>
  <c r="S60" i="46"/>
  <c r="BP59" i="46"/>
  <c r="AI59" i="46"/>
  <c r="CF58" i="46"/>
  <c r="BA58" i="46"/>
  <c r="W58" i="46"/>
  <c r="BY57" i="46"/>
  <c r="AU57" i="46"/>
  <c r="CU56" i="46"/>
  <c r="BQ56" i="46"/>
  <c r="AM56" i="46"/>
  <c r="CO55" i="46"/>
  <c r="BK55" i="46"/>
  <c r="AG55" i="46"/>
  <c r="CE54" i="46"/>
  <c r="BA54" i="46"/>
  <c r="W54" i="46"/>
  <c r="BY53" i="46"/>
  <c r="AU53" i="46"/>
  <c r="CU52" i="46"/>
  <c r="BQ52" i="46"/>
  <c r="AM52" i="46"/>
  <c r="CO51" i="46"/>
  <c r="BK51" i="46"/>
  <c r="AH51" i="46"/>
  <c r="CK50" i="46"/>
  <c r="BE50" i="46"/>
  <c r="AB50" i="46"/>
  <c r="CE49" i="46"/>
  <c r="BC49" i="46"/>
  <c r="AA49" i="46"/>
  <c r="CE48" i="46"/>
  <c r="BC48" i="46"/>
  <c r="AA48" i="46"/>
  <c r="CE47" i="46"/>
  <c r="BC47" i="46"/>
  <c r="AA47" i="46"/>
  <c r="CE46" i="46"/>
  <c r="BC46" i="46"/>
  <c r="AA46" i="46"/>
  <c r="CE45" i="46"/>
  <c r="BC45" i="46"/>
  <c r="AA45" i="46"/>
  <c r="AU70" i="46"/>
  <c r="CK66" i="46"/>
  <c r="BK65" i="46"/>
  <c r="BY64" i="46"/>
  <c r="AI64" i="46"/>
  <c r="BQ63" i="46"/>
  <c r="W63" i="46"/>
  <c r="BN62" i="46"/>
  <c r="S62" i="46"/>
  <c r="BK61" i="46"/>
  <c r="CS60" i="46"/>
  <c r="BA60" i="46"/>
  <c r="R60" i="46"/>
  <c r="BO59" i="46"/>
  <c r="AH59" i="46"/>
  <c r="CE58" i="46"/>
  <c r="AZ58" i="46"/>
  <c r="V58" i="46"/>
  <c r="BX57" i="46"/>
  <c r="AT57" i="46"/>
  <c r="CT56" i="46"/>
  <c r="BP56" i="46"/>
  <c r="AL56" i="46"/>
  <c r="CN55" i="46"/>
  <c r="BJ55" i="46"/>
  <c r="AB55" i="46"/>
  <c r="CD54" i="46"/>
  <c r="AZ54" i="46"/>
  <c r="V54" i="46"/>
  <c r="BX53" i="46"/>
  <c r="AT53" i="46"/>
  <c r="CT52" i="46"/>
  <c r="BP52" i="46"/>
  <c r="AL52" i="46"/>
  <c r="CN51" i="46"/>
  <c r="BJ51" i="46"/>
  <c r="AG51" i="46"/>
  <c r="CG50" i="46"/>
  <c r="BD50" i="46"/>
  <c r="AA50" i="46"/>
  <c r="CD49" i="46"/>
  <c r="BB49" i="46"/>
  <c r="Z49" i="46"/>
  <c r="CD48" i="46"/>
  <c r="BB48" i="46"/>
  <c r="Z48" i="46"/>
  <c r="CD47" i="46"/>
  <c r="BB47" i="46"/>
  <c r="Z47" i="46"/>
  <c r="CD46" i="46"/>
  <c r="BB46" i="46"/>
  <c r="CU69" i="46"/>
  <c r="BN66" i="46"/>
  <c r="BJ65" i="46"/>
  <c r="BW64" i="46"/>
  <c r="AH64" i="46"/>
  <c r="BP63" i="46"/>
  <c r="V63" i="46"/>
  <c r="BM62" i="46"/>
  <c r="CU61" i="46"/>
  <c r="BJ61" i="46"/>
  <c r="CR60" i="46"/>
  <c r="AY60" i="46"/>
  <c r="CU59" i="46"/>
  <c r="BN59" i="46"/>
  <c r="AG59" i="46"/>
  <c r="CD58" i="46"/>
  <c r="AY58" i="46"/>
  <c r="U58" i="46"/>
  <c r="BW57" i="46"/>
  <c r="AQ57" i="46"/>
  <c r="CS56" i="46"/>
  <c r="BO56" i="46"/>
  <c r="AK56" i="46"/>
  <c r="CM55" i="46"/>
  <c r="BI55" i="46"/>
  <c r="AA55" i="46"/>
  <c r="CC54" i="46"/>
  <c r="AY54" i="46"/>
  <c r="U54" i="46"/>
  <c r="BW53" i="46"/>
  <c r="AQ53" i="46"/>
  <c r="CS52" i="46"/>
  <c r="BO52" i="46"/>
  <c r="AK52" i="46"/>
  <c r="CM51" i="46"/>
  <c r="BI51" i="46"/>
  <c r="AC51" i="46"/>
  <c r="CF50" i="46"/>
  <c r="BC50" i="46"/>
  <c r="Z50" i="46"/>
  <c r="CC49" i="46"/>
  <c r="BA49" i="46"/>
  <c r="Y49" i="46"/>
  <c r="CC48" i="46"/>
  <c r="BA48" i="46"/>
  <c r="Y48" i="46"/>
  <c r="CC47" i="46"/>
  <c r="BA47" i="46"/>
  <c r="Y47" i="46"/>
  <c r="CC46" i="46"/>
  <c r="BA46" i="46"/>
  <c r="Y46" i="46"/>
  <c r="CC45" i="46"/>
  <c r="BA45" i="46"/>
  <c r="Y45" i="46"/>
  <c r="CC44" i="46"/>
  <c r="BA44" i="46"/>
  <c r="Y44" i="46"/>
  <c r="BD46" i="46"/>
  <c r="AB46" i="46"/>
  <c r="Z46" i="46"/>
  <c r="CF45" i="46"/>
  <c r="CD45" i="46"/>
  <c r="BD45" i="46"/>
  <c r="BB45" i="46"/>
  <c r="AB45" i="46"/>
  <c r="Z45" i="46"/>
  <c r="CF44" i="46"/>
  <c r="CE44" i="46"/>
  <c r="CD44" i="46"/>
  <c r="BE44" i="46"/>
  <c r="BD44" i="46"/>
  <c r="BC44" i="46"/>
  <c r="BB44" i="46"/>
  <c r="AC44" i="46"/>
  <c r="AB44" i="46"/>
  <c r="AA44" i="46"/>
  <c r="Z44" i="46"/>
  <c r="Y12" i="8"/>
  <c r="U29" i="8"/>
  <c r="W58" i="8"/>
  <c r="V110" i="8"/>
  <c r="AL7" i="8"/>
  <c r="AM9" i="8"/>
  <c r="AN11" i="8"/>
  <c r="AO13" i="8"/>
  <c r="AP15" i="8"/>
  <c r="AQ17" i="8"/>
  <c r="AF20" i="8"/>
  <c r="AG22" i="8"/>
  <c r="AH24" i="8"/>
  <c r="AI26" i="8"/>
  <c r="AJ28" i="8"/>
  <c r="AK30" i="8"/>
  <c r="AL32" i="8"/>
  <c r="AM34" i="8"/>
  <c r="AN36" i="8"/>
  <c r="AO38" i="8"/>
  <c r="AQ40" i="8"/>
  <c r="AG82" i="8"/>
  <c r="AO85" i="8"/>
  <c r="AO89" i="8"/>
  <c r="AO93" i="8"/>
  <c r="AI98" i="8"/>
  <c r="AI104" i="8"/>
  <c r="AM111" i="8"/>
  <c r="AL133" i="8"/>
  <c r="CU117" i="46"/>
  <c r="BS117" i="46"/>
  <c r="AQ117" i="46"/>
  <c r="CU116" i="46"/>
  <c r="BS116" i="46"/>
  <c r="AQ116" i="46"/>
  <c r="CU115" i="46"/>
  <c r="BS115" i="46"/>
  <c r="AQ115" i="46"/>
  <c r="CU114" i="46"/>
  <c r="BS114" i="46"/>
  <c r="AQ114" i="46"/>
  <c r="CU113" i="46"/>
  <c r="BS113" i="46"/>
  <c r="AQ113" i="46"/>
  <c r="CU112" i="46"/>
  <c r="BS112" i="46"/>
  <c r="AQ112" i="46"/>
  <c r="CU111" i="46"/>
  <c r="BS111" i="46"/>
  <c r="AQ111" i="46"/>
  <c r="CU110" i="46"/>
  <c r="BS110" i="46"/>
  <c r="AQ110" i="46"/>
  <c r="CU109" i="46"/>
  <c r="BS109" i="46"/>
  <c r="AQ109" i="46"/>
  <c r="CU108" i="46"/>
  <c r="BS108" i="46"/>
  <c r="AQ108" i="46"/>
  <c r="CU107" i="46"/>
  <c r="BS107" i="46"/>
  <c r="AQ107" i="46"/>
  <c r="CU106" i="46"/>
  <c r="BS106" i="46"/>
  <c r="AQ106" i="46"/>
  <c r="CU105" i="46"/>
  <c r="BS105" i="46"/>
  <c r="AQ105" i="46"/>
  <c r="CU104" i="46"/>
  <c r="BS104" i="46"/>
  <c r="AQ104" i="46"/>
  <c r="CU103" i="46"/>
  <c r="BS103" i="46"/>
  <c r="AQ103" i="46"/>
  <c r="CU102" i="46"/>
  <c r="BS102" i="46"/>
  <c r="AQ102" i="46"/>
  <c r="CU101" i="46"/>
  <c r="BS101" i="46"/>
  <c r="AQ101" i="46"/>
  <c r="CU100" i="46"/>
  <c r="BS100" i="46"/>
  <c r="AQ100" i="46"/>
  <c r="CU99" i="46"/>
  <c r="BS99" i="46"/>
  <c r="AQ99" i="46"/>
  <c r="CU98" i="46"/>
  <c r="BS98" i="46"/>
  <c r="AQ98" i="46"/>
  <c r="CU97" i="46"/>
  <c r="BS97" i="46"/>
  <c r="AQ97" i="46"/>
  <c r="CU96" i="46"/>
  <c r="BS96" i="46"/>
  <c r="AQ96" i="46"/>
  <c r="CU95" i="46"/>
  <c r="BS95" i="46"/>
  <c r="AQ95" i="46"/>
  <c r="CU94" i="46"/>
  <c r="BS94" i="46"/>
  <c r="CT117" i="46"/>
  <c r="BR117" i="46"/>
  <c r="AP117" i="46"/>
  <c r="CT116" i="46"/>
  <c r="BR116" i="46"/>
  <c r="AP116" i="46"/>
  <c r="CT115" i="46"/>
  <c r="BR115" i="46"/>
  <c r="AP115" i="46"/>
  <c r="CT114" i="46"/>
  <c r="BR114" i="46"/>
  <c r="AP114" i="46"/>
  <c r="CT113" i="46"/>
  <c r="BR113" i="46"/>
  <c r="AP113" i="46"/>
  <c r="CT112" i="46"/>
  <c r="BR112" i="46"/>
  <c r="AP112" i="46"/>
  <c r="CT111" i="46"/>
  <c r="BR111" i="46"/>
  <c r="AP111" i="46"/>
  <c r="CT110" i="46"/>
  <c r="BR110" i="46"/>
  <c r="AP110" i="46"/>
  <c r="CT109" i="46"/>
  <c r="BR109" i="46"/>
  <c r="AP109" i="46"/>
  <c r="CT108" i="46"/>
  <c r="BR108" i="46"/>
  <c r="AP108" i="46"/>
  <c r="CT107" i="46"/>
  <c r="BR107" i="46"/>
  <c r="AP107" i="46"/>
  <c r="CT106" i="46"/>
  <c r="BR106" i="46"/>
  <c r="AP106" i="46"/>
  <c r="CT105" i="46"/>
  <c r="BR105" i="46"/>
  <c r="AP105" i="46"/>
  <c r="CT104" i="46"/>
  <c r="BR104" i="46"/>
  <c r="AP104" i="46"/>
  <c r="CT103" i="46"/>
  <c r="BR103" i="46"/>
  <c r="AP103" i="46"/>
  <c r="CT102" i="46"/>
  <c r="BR102" i="46"/>
  <c r="AP102" i="46"/>
  <c r="CT101" i="46"/>
  <c r="BR101" i="46"/>
  <c r="AP101" i="46"/>
  <c r="CT100" i="46"/>
  <c r="BR100" i="46"/>
  <c r="AP100" i="46"/>
  <c r="CT99" i="46"/>
  <c r="BR99" i="46"/>
  <c r="AP99" i="46"/>
  <c r="CT98" i="46"/>
  <c r="BR98" i="46"/>
  <c r="AP98" i="46"/>
  <c r="CT97" i="46"/>
  <c r="BR97" i="46"/>
  <c r="AP97" i="46"/>
  <c r="CT96" i="46"/>
  <c r="BR96" i="46"/>
  <c r="AP96" i="46"/>
  <c r="CT95" i="46"/>
  <c r="BR95" i="46"/>
  <c r="AP95" i="46"/>
  <c r="CT94" i="46"/>
  <c r="BR94" i="46"/>
  <c r="AP94" i="46"/>
  <c r="CT93" i="46"/>
  <c r="BR93" i="46"/>
  <c r="AP93" i="46"/>
  <c r="CT92" i="46"/>
  <c r="BR92" i="46"/>
  <c r="AP92" i="46"/>
  <c r="CT91" i="46"/>
  <c r="BR91" i="46"/>
  <c r="AP91" i="46"/>
  <c r="CT90" i="46"/>
  <c r="BR90" i="46"/>
  <c r="AP90" i="46"/>
  <c r="CT89" i="46"/>
  <c r="CS117" i="46"/>
  <c r="BQ117" i="46"/>
  <c r="AO117" i="46"/>
  <c r="CS116" i="46"/>
  <c r="BQ116" i="46"/>
  <c r="AO116" i="46"/>
  <c r="CS115" i="46"/>
  <c r="BQ115" i="46"/>
  <c r="AO115" i="46"/>
  <c r="CS114" i="46"/>
  <c r="BQ114" i="46"/>
  <c r="AO114" i="46"/>
  <c r="CS113" i="46"/>
  <c r="BQ113" i="46"/>
  <c r="AO113" i="46"/>
  <c r="CS112" i="46"/>
  <c r="BQ112" i="46"/>
  <c r="AO112" i="46"/>
  <c r="CS111" i="46"/>
  <c r="BQ111" i="46"/>
  <c r="AO111" i="46"/>
  <c r="CS110" i="46"/>
  <c r="BQ110" i="46"/>
  <c r="AO110" i="46"/>
  <c r="CS109" i="46"/>
  <c r="BQ109" i="46"/>
  <c r="AO109" i="46"/>
  <c r="CS108" i="46"/>
  <c r="BQ108" i="46"/>
  <c r="AO108" i="46"/>
  <c r="CS107" i="46"/>
  <c r="BQ107" i="46"/>
  <c r="AO107" i="46"/>
  <c r="CS106" i="46"/>
  <c r="BQ106" i="46"/>
  <c r="AO106" i="46"/>
  <c r="CS105" i="46"/>
  <c r="BQ105" i="46"/>
  <c r="AO105" i="46"/>
  <c r="CS104" i="46"/>
  <c r="BQ104" i="46"/>
  <c r="AO104" i="46"/>
  <c r="CS103" i="46"/>
  <c r="BQ103" i="46"/>
  <c r="AO103" i="46"/>
  <c r="CS102" i="46"/>
  <c r="BQ102" i="46"/>
  <c r="AO102" i="46"/>
  <c r="CS101" i="46"/>
  <c r="BQ101" i="46"/>
  <c r="AO101" i="46"/>
  <c r="CS100" i="46"/>
  <c r="BQ100" i="46"/>
  <c r="AO100" i="46"/>
  <c r="CS99" i="46"/>
  <c r="BQ99" i="46"/>
  <c r="AO99" i="46"/>
  <c r="CS98" i="46"/>
  <c r="BQ98" i="46"/>
  <c r="AO98" i="46"/>
  <c r="CS97" i="46"/>
  <c r="BQ97" i="46"/>
  <c r="AO97" i="46"/>
  <c r="CS96" i="46"/>
  <c r="BQ96" i="46"/>
  <c r="AO96" i="46"/>
  <c r="CS95" i="46"/>
  <c r="BQ95" i="46"/>
  <c r="AO95" i="46"/>
  <c r="CS94" i="46"/>
  <c r="BQ94" i="46"/>
  <c r="AO94" i="46"/>
  <c r="CS93" i="46"/>
  <c r="BQ93" i="46"/>
  <c r="AO93" i="46"/>
  <c r="CS92" i="46"/>
  <c r="BQ92" i="46"/>
  <c r="AO92" i="46"/>
  <c r="CS91" i="46"/>
  <c r="BQ91" i="46"/>
  <c r="AO91" i="46"/>
  <c r="CS90" i="46"/>
  <c r="BQ90" i="46"/>
  <c r="AO90" i="46"/>
  <c r="CS89" i="46"/>
  <c r="CR117" i="46"/>
  <c r="BP117" i="46"/>
  <c r="AN117" i="46"/>
  <c r="CR116" i="46"/>
  <c r="BP116" i="46"/>
  <c r="AN116" i="46"/>
  <c r="CR115" i="46"/>
  <c r="BP115" i="46"/>
  <c r="AN115" i="46"/>
  <c r="CR114" i="46"/>
  <c r="BP114" i="46"/>
  <c r="AN114" i="46"/>
  <c r="CR113" i="46"/>
  <c r="BP113" i="46"/>
  <c r="AN113" i="46"/>
  <c r="CR112" i="46"/>
  <c r="BP112" i="46"/>
  <c r="AN112" i="46"/>
  <c r="CR111" i="46"/>
  <c r="BP111" i="46"/>
  <c r="AN111" i="46"/>
  <c r="CR110" i="46"/>
  <c r="BP110" i="46"/>
  <c r="AN110" i="46"/>
  <c r="CR109" i="46"/>
  <c r="BP109" i="46"/>
  <c r="AN109" i="46"/>
  <c r="CR108" i="46"/>
  <c r="BP108" i="46"/>
  <c r="AN108" i="46"/>
  <c r="CR107" i="46"/>
  <c r="BP107" i="46"/>
  <c r="AN107" i="46"/>
  <c r="CR106" i="46"/>
  <c r="BP106" i="46"/>
  <c r="AN106" i="46"/>
  <c r="CR105" i="46"/>
  <c r="BP105" i="46"/>
  <c r="AN105" i="46"/>
  <c r="CR104" i="46"/>
  <c r="BP104" i="46"/>
  <c r="AN104" i="46"/>
  <c r="CR103" i="46"/>
  <c r="BP103" i="46"/>
  <c r="AN103" i="46"/>
  <c r="CR102" i="46"/>
  <c r="BP102" i="46"/>
  <c r="AN102" i="46"/>
  <c r="CR101" i="46"/>
  <c r="BP101" i="46"/>
  <c r="AN101" i="46"/>
  <c r="CR100" i="46"/>
  <c r="BP100" i="46"/>
  <c r="AN100" i="46"/>
  <c r="CR99" i="46"/>
  <c r="BP99" i="46"/>
  <c r="AN99" i="46"/>
  <c r="CR98" i="46"/>
  <c r="BP98" i="46"/>
  <c r="AN98" i="46"/>
  <c r="CR97" i="46"/>
  <c r="BP97" i="46"/>
  <c r="AN97" i="46"/>
  <c r="CR96" i="46"/>
  <c r="BP96" i="46"/>
  <c r="AN96" i="46"/>
  <c r="CR95" i="46"/>
  <c r="BP95" i="46"/>
  <c r="AN95" i="46"/>
  <c r="CR94" i="46"/>
  <c r="BP94" i="46"/>
  <c r="AN94" i="46"/>
  <c r="CR93" i="46"/>
  <c r="BP93" i="46"/>
  <c r="AN93" i="46"/>
  <c r="CR92" i="46"/>
  <c r="BP92" i="46"/>
  <c r="AN92" i="46"/>
  <c r="CR91" i="46"/>
  <c r="BP91" i="46"/>
  <c r="AN91" i="46"/>
  <c r="CR90" i="46"/>
  <c r="BP90" i="46"/>
  <c r="AN90" i="46"/>
  <c r="CR89" i="46"/>
  <c r="CQ117" i="46"/>
  <c r="BO117" i="46"/>
  <c r="AM117" i="46"/>
  <c r="CQ116" i="46"/>
  <c r="BO116" i="46"/>
  <c r="AM116" i="46"/>
  <c r="CQ115" i="46"/>
  <c r="BO115" i="46"/>
  <c r="AM115" i="46"/>
  <c r="CQ114" i="46"/>
  <c r="BO114" i="46"/>
  <c r="AM114" i="46"/>
  <c r="CQ113" i="46"/>
  <c r="BO113" i="46"/>
  <c r="AM113" i="46"/>
  <c r="CQ112" i="46"/>
  <c r="BO112" i="46"/>
  <c r="AM112" i="46"/>
  <c r="CQ111" i="46"/>
  <c r="BO111" i="46"/>
  <c r="AM111" i="46"/>
  <c r="CQ110" i="46"/>
  <c r="BO110" i="46"/>
  <c r="AM110" i="46"/>
  <c r="CQ109" i="46"/>
  <c r="BO109" i="46"/>
  <c r="AM109" i="46"/>
  <c r="CQ108" i="46"/>
  <c r="BO108" i="46"/>
  <c r="AM108" i="46"/>
  <c r="CQ107" i="46"/>
  <c r="BO107" i="46"/>
  <c r="AM107" i="46"/>
  <c r="CQ106" i="46"/>
  <c r="BO106" i="46"/>
  <c r="AM106" i="46"/>
  <c r="CQ105" i="46"/>
  <c r="BO105" i="46"/>
  <c r="AM105" i="46"/>
  <c r="CQ104" i="46"/>
  <c r="BO104" i="46"/>
  <c r="AM104" i="46"/>
  <c r="CQ103" i="46"/>
  <c r="BO103" i="46"/>
  <c r="AM103" i="46"/>
  <c r="CQ102" i="46"/>
  <c r="BO102" i="46"/>
  <c r="AM102" i="46"/>
  <c r="CQ101" i="46"/>
  <c r="BO101" i="46"/>
  <c r="AM101" i="46"/>
  <c r="CQ100" i="46"/>
  <c r="BO100" i="46"/>
  <c r="AM100" i="46"/>
  <c r="CQ99" i="46"/>
  <c r="CP117" i="46"/>
  <c r="BN117" i="46"/>
  <c r="AL117" i="46"/>
  <c r="CP116" i="46"/>
  <c r="BN116" i="46"/>
  <c r="AL116" i="46"/>
  <c r="CP115" i="46"/>
  <c r="BN115" i="46"/>
  <c r="AL115" i="46"/>
  <c r="CP114" i="46"/>
  <c r="BN114" i="46"/>
  <c r="AL114" i="46"/>
  <c r="CP113" i="46"/>
  <c r="BN113" i="46"/>
  <c r="AL113" i="46"/>
  <c r="CP112" i="46"/>
  <c r="BN112" i="46"/>
  <c r="AL112" i="46"/>
  <c r="CP111" i="46"/>
  <c r="BN111" i="46"/>
  <c r="AL111" i="46"/>
  <c r="CP110" i="46"/>
  <c r="BN110" i="46"/>
  <c r="AL110" i="46"/>
  <c r="CP109" i="46"/>
  <c r="BN109" i="46"/>
  <c r="AL109" i="46"/>
  <c r="CP108" i="46"/>
  <c r="BN108" i="46"/>
  <c r="AL108" i="46"/>
  <c r="CP107" i="46"/>
  <c r="BN107" i="46"/>
  <c r="AL107" i="46"/>
  <c r="CP106" i="46"/>
  <c r="BN106" i="46"/>
  <c r="AL106" i="46"/>
  <c r="CP105" i="46"/>
  <c r="BN105" i="46"/>
  <c r="AL105" i="46"/>
  <c r="CP104" i="46"/>
  <c r="BN104" i="46"/>
  <c r="AL104" i="46"/>
  <c r="CP103" i="46"/>
  <c r="BN103" i="46"/>
  <c r="AL103" i="46"/>
  <c r="CP102" i="46"/>
  <c r="BN102" i="46"/>
  <c r="AL102" i="46"/>
  <c r="CP101" i="46"/>
  <c r="BN101" i="46"/>
  <c r="AL101" i="46"/>
  <c r="CP100" i="46"/>
  <c r="BN100" i="46"/>
  <c r="CO117" i="46"/>
  <c r="BM117" i="46"/>
  <c r="AK117" i="46"/>
  <c r="CO116" i="46"/>
  <c r="BM116" i="46"/>
  <c r="AK116" i="46"/>
  <c r="CO115" i="46"/>
  <c r="BM115" i="46"/>
  <c r="AK115" i="46"/>
  <c r="CO114" i="46"/>
  <c r="BM114" i="46"/>
  <c r="AK114" i="46"/>
  <c r="CO113" i="46"/>
  <c r="BM113" i="46"/>
  <c r="AK113" i="46"/>
  <c r="CO112" i="46"/>
  <c r="BM112" i="46"/>
  <c r="AK112" i="46"/>
  <c r="CO111" i="46"/>
  <c r="BM111" i="46"/>
  <c r="AK111" i="46"/>
  <c r="CO110" i="46"/>
  <c r="BM110" i="46"/>
  <c r="AK110" i="46"/>
  <c r="CO109" i="46"/>
  <c r="BM109" i="46"/>
  <c r="AK109" i="46"/>
  <c r="CO108" i="46"/>
  <c r="BM108" i="46"/>
  <c r="AK108" i="46"/>
  <c r="CO107" i="46"/>
  <c r="BM107" i="46"/>
  <c r="AK107" i="46"/>
  <c r="CO106" i="46"/>
  <c r="BM106" i="46"/>
  <c r="AK106" i="46"/>
  <c r="CO105" i="46"/>
  <c r="BM105" i="46"/>
  <c r="AK105" i="46"/>
  <c r="CO104" i="46"/>
  <c r="BM104" i="46"/>
  <c r="AK104" i="46"/>
  <c r="CO103" i="46"/>
  <c r="BM103" i="46"/>
  <c r="AK103" i="46"/>
  <c r="CO102" i="46"/>
  <c r="BM102" i="46"/>
  <c r="AK102" i="46"/>
  <c r="CO101" i="46"/>
  <c r="BM101" i="46"/>
  <c r="AK101" i="46"/>
  <c r="CO100" i="46"/>
  <c r="BM100" i="46"/>
  <c r="AK100" i="46"/>
  <c r="CO99" i="46"/>
  <c r="BM99" i="46"/>
  <c r="CN117" i="46"/>
  <c r="BL117" i="46"/>
  <c r="AJ117" i="46"/>
  <c r="CN116" i="46"/>
  <c r="BL116" i="46"/>
  <c r="AJ116" i="46"/>
  <c r="CN115" i="46"/>
  <c r="BL115" i="46"/>
  <c r="AJ115" i="46"/>
  <c r="CN114" i="46"/>
  <c r="BL114" i="46"/>
  <c r="AJ114" i="46"/>
  <c r="CN113" i="46"/>
  <c r="BL113" i="46"/>
  <c r="AJ113" i="46"/>
  <c r="CN112" i="46"/>
  <c r="BL112" i="46"/>
  <c r="AJ112" i="46"/>
  <c r="CN111" i="46"/>
  <c r="BL111" i="46"/>
  <c r="AJ111" i="46"/>
  <c r="CN110" i="46"/>
  <c r="BL110" i="46"/>
  <c r="AJ110" i="46"/>
  <c r="CN109" i="46"/>
  <c r="BL109" i="46"/>
  <c r="AJ109" i="46"/>
  <c r="CN108" i="46"/>
  <c r="BL108" i="46"/>
  <c r="AJ108" i="46"/>
  <c r="CN107" i="46"/>
  <c r="BL107" i="46"/>
  <c r="AJ107" i="46"/>
  <c r="CN106" i="46"/>
  <c r="BL106" i="46"/>
  <c r="AJ106" i="46"/>
  <c r="CN105" i="46"/>
  <c r="BL105" i="46"/>
  <c r="AJ105" i="46"/>
  <c r="CN104" i="46"/>
  <c r="BL104" i="46"/>
  <c r="AJ104" i="46"/>
  <c r="CN103" i="46"/>
  <c r="BL103" i="46"/>
  <c r="AJ103" i="46"/>
  <c r="CN102" i="46"/>
  <c r="BL102" i="46"/>
  <c r="AJ102" i="46"/>
  <c r="CM117" i="46"/>
  <c r="BK117" i="46"/>
  <c r="AI117" i="46"/>
  <c r="CM116" i="46"/>
  <c r="BK116" i="46"/>
  <c r="AI116" i="46"/>
  <c r="CM115" i="46"/>
  <c r="BK115" i="46"/>
  <c r="AI115" i="46"/>
  <c r="CM114" i="46"/>
  <c r="BK114" i="46"/>
  <c r="AI114" i="46"/>
  <c r="CM113" i="46"/>
  <c r="BK113" i="46"/>
  <c r="AI113" i="46"/>
  <c r="CM112" i="46"/>
  <c r="BK112" i="46"/>
  <c r="AI112" i="46"/>
  <c r="CM111" i="46"/>
  <c r="BK111" i="46"/>
  <c r="AI111" i="46"/>
  <c r="CM110" i="46"/>
  <c r="BK110" i="46"/>
  <c r="AI110" i="46"/>
  <c r="CM109" i="46"/>
  <c r="BK109" i="46"/>
  <c r="AI109" i="46"/>
  <c r="CM108" i="46"/>
  <c r="BK108" i="46"/>
  <c r="AI108" i="46"/>
  <c r="CM107" i="46"/>
  <c r="BK107" i="46"/>
  <c r="AI107" i="46"/>
  <c r="CM106" i="46"/>
  <c r="BK106" i="46"/>
  <c r="AI106" i="46"/>
  <c r="CM105" i="46"/>
  <c r="BK105" i="46"/>
  <c r="AI105" i="46"/>
  <c r="CM104" i="46"/>
  <c r="BK104" i="46"/>
  <c r="AI104" i="46"/>
  <c r="CM103" i="46"/>
  <c r="BK103" i="46"/>
  <c r="AI103" i="46"/>
  <c r="CM102" i="46"/>
  <c r="BK102" i="46"/>
  <c r="AI102" i="46"/>
  <c r="CM101" i="46"/>
  <c r="BK101" i="46"/>
  <c r="AI101" i="46"/>
  <c r="CM100" i="46"/>
  <c r="BK100" i="46"/>
  <c r="AI100" i="46"/>
  <c r="CM99" i="46"/>
  <c r="BK99" i="46"/>
  <c r="CL117" i="46"/>
  <c r="BJ117" i="46"/>
  <c r="AH117" i="46"/>
  <c r="CL116" i="46"/>
  <c r="BJ116" i="46"/>
  <c r="AH116" i="46"/>
  <c r="CL115" i="46"/>
  <c r="BJ115" i="46"/>
  <c r="AH115" i="46"/>
  <c r="CL114" i="46"/>
  <c r="BJ114" i="46"/>
  <c r="AH114" i="46"/>
  <c r="CL113" i="46"/>
  <c r="BJ113" i="46"/>
  <c r="AH113" i="46"/>
  <c r="CL112" i="46"/>
  <c r="BJ112" i="46"/>
  <c r="AH112" i="46"/>
  <c r="CL111" i="46"/>
  <c r="BJ111" i="46"/>
  <c r="AH111" i="46"/>
  <c r="CL110" i="46"/>
  <c r="BJ110" i="46"/>
  <c r="AH110" i="46"/>
  <c r="CL109" i="46"/>
  <c r="BJ109" i="46"/>
  <c r="AH109" i="46"/>
  <c r="CL108" i="46"/>
  <c r="BJ108" i="46"/>
  <c r="AH108" i="46"/>
  <c r="CL107" i="46"/>
  <c r="BJ107" i="46"/>
  <c r="AH107" i="46"/>
  <c r="CL106" i="46"/>
  <c r="BJ106" i="46"/>
  <c r="AH106" i="46"/>
  <c r="CL105" i="46"/>
  <c r="BJ105" i="46"/>
  <c r="AH105" i="46"/>
  <c r="CL104" i="46"/>
  <c r="BJ104" i="46"/>
  <c r="AH104" i="46"/>
  <c r="CL103" i="46"/>
  <c r="BJ103" i="46"/>
  <c r="AH103" i="46"/>
  <c r="CL102" i="46"/>
  <c r="BJ102" i="46"/>
  <c r="AH102" i="46"/>
  <c r="CL101" i="46"/>
  <c r="BJ101" i="46"/>
  <c r="AH101" i="46"/>
  <c r="CL100" i="46"/>
  <c r="BJ100" i="46"/>
  <c r="AH100" i="46"/>
  <c r="CL99" i="46"/>
  <c r="BJ99" i="46"/>
  <c r="AH99" i="46"/>
  <c r="CK117" i="46"/>
  <c r="BI117" i="46"/>
  <c r="AG117" i="46"/>
  <c r="CK116" i="46"/>
  <c r="BI116" i="46"/>
  <c r="AG116" i="46"/>
  <c r="CK115" i="46"/>
  <c r="BI115" i="46"/>
  <c r="AG115" i="46"/>
  <c r="CK114" i="46"/>
  <c r="BI114" i="46"/>
  <c r="AG114" i="46"/>
  <c r="CK113" i="46"/>
  <c r="BI113" i="46"/>
  <c r="AG113" i="46"/>
  <c r="CK112" i="46"/>
  <c r="BI112" i="46"/>
  <c r="AG112" i="46"/>
  <c r="CK111" i="46"/>
  <c r="BI111" i="46"/>
  <c r="AG111" i="46"/>
  <c r="CK110" i="46"/>
  <c r="BI110" i="46"/>
  <c r="AG110" i="46"/>
  <c r="CK109" i="46"/>
  <c r="BI109" i="46"/>
  <c r="AG109" i="46"/>
  <c r="CK108" i="46"/>
  <c r="BI108" i="46"/>
  <c r="AG108" i="46"/>
  <c r="CK107" i="46"/>
  <c r="BI107" i="46"/>
  <c r="AG107" i="46"/>
  <c r="CK106" i="46"/>
  <c r="BI106" i="46"/>
  <c r="AG106" i="46"/>
  <c r="CK105" i="46"/>
  <c r="BI105" i="46"/>
  <c r="AG105" i="46"/>
  <c r="CK104" i="46"/>
  <c r="BI104" i="46"/>
  <c r="AG104" i="46"/>
  <c r="CK103" i="46"/>
  <c r="BI103" i="46"/>
  <c r="AG103" i="46"/>
  <c r="CK102" i="46"/>
  <c r="BI102" i="46"/>
  <c r="AG102" i="46"/>
  <c r="CK101" i="46"/>
  <c r="BI101" i="46"/>
  <c r="AG101" i="46"/>
  <c r="CK100" i="46"/>
  <c r="BI100" i="46"/>
  <c r="AG100" i="46"/>
  <c r="CK99" i="46"/>
  <c r="BI99" i="46"/>
  <c r="AG99" i="46"/>
  <c r="CK98" i="46"/>
  <c r="BI98" i="46"/>
  <c r="AG98" i="46"/>
  <c r="CK97" i="46"/>
  <c r="BI97" i="46"/>
  <c r="AG97" i="46"/>
  <c r="CK96" i="46"/>
  <c r="BI96" i="46"/>
  <c r="AG96" i="46"/>
  <c r="CK95" i="46"/>
  <c r="BI95" i="46"/>
  <c r="AG95" i="46"/>
  <c r="CK94" i="46"/>
  <c r="CJ117" i="46"/>
  <c r="BH117" i="46"/>
  <c r="AF117" i="46"/>
  <c r="CJ116" i="46"/>
  <c r="BH116" i="46"/>
  <c r="AF116" i="46"/>
  <c r="CJ115" i="46"/>
  <c r="BH115" i="46"/>
  <c r="AF115" i="46"/>
  <c r="CJ114" i="46"/>
  <c r="BH114" i="46"/>
  <c r="AF114" i="46"/>
  <c r="CJ113" i="46"/>
  <c r="BH113" i="46"/>
  <c r="AF113" i="46"/>
  <c r="CJ112" i="46"/>
  <c r="BH112" i="46"/>
  <c r="AF112" i="46"/>
  <c r="CJ111" i="46"/>
  <c r="BH111" i="46"/>
  <c r="AF111" i="46"/>
  <c r="CJ110" i="46"/>
  <c r="BH110" i="46"/>
  <c r="AF110" i="46"/>
  <c r="CJ109" i="46"/>
  <c r="BH109" i="46"/>
  <c r="AF109" i="46"/>
  <c r="CJ108" i="46"/>
  <c r="BH108" i="46"/>
  <c r="AF108" i="46"/>
  <c r="CJ107" i="46"/>
  <c r="BH107" i="46"/>
  <c r="AF107" i="46"/>
  <c r="CJ106" i="46"/>
  <c r="BH106" i="46"/>
  <c r="AF106" i="46"/>
  <c r="CJ105" i="46"/>
  <c r="BH105" i="46"/>
  <c r="AF105" i="46"/>
  <c r="CJ104" i="46"/>
  <c r="BH104" i="46"/>
  <c r="AF104" i="46"/>
  <c r="CJ103" i="46"/>
  <c r="BH103" i="46"/>
  <c r="AF103" i="46"/>
  <c r="CJ102" i="46"/>
  <c r="BH102" i="46"/>
  <c r="CG117" i="46"/>
  <c r="BE117" i="46"/>
  <c r="AC117" i="46"/>
  <c r="CG116" i="46"/>
  <c r="BE116" i="46"/>
  <c r="AC116" i="46"/>
  <c r="CG115" i="46"/>
  <c r="BE115" i="46"/>
  <c r="AC115" i="46"/>
  <c r="CG114" i="46"/>
  <c r="BE114" i="46"/>
  <c r="AC114" i="46"/>
  <c r="CG113" i="46"/>
  <c r="BE113" i="46"/>
  <c r="AC113" i="46"/>
  <c r="CG112" i="46"/>
  <c r="BE112" i="46"/>
  <c r="AC112" i="46"/>
  <c r="CG111" i="46"/>
  <c r="BE111" i="46"/>
  <c r="AC111" i="46"/>
  <c r="CG110" i="46"/>
  <c r="BE110" i="46"/>
  <c r="AC110" i="46"/>
  <c r="CG109" i="46"/>
  <c r="BE109" i="46"/>
  <c r="AC109" i="46"/>
  <c r="CG108" i="46"/>
  <c r="BE108" i="46"/>
  <c r="AC108" i="46"/>
  <c r="CG107" i="46"/>
  <c r="BE107" i="46"/>
  <c r="AC107" i="46"/>
  <c r="CG106" i="46"/>
  <c r="BE106" i="46"/>
  <c r="AC106" i="46"/>
  <c r="CG105" i="46"/>
  <c r="BE105" i="46"/>
  <c r="AC105" i="46"/>
  <c r="CG104" i="46"/>
  <c r="BE104" i="46"/>
  <c r="AC104" i="46"/>
  <c r="CG103" i="46"/>
  <c r="BE103" i="46"/>
  <c r="AC103" i="46"/>
  <c r="CG102" i="46"/>
  <c r="BE102" i="46"/>
  <c r="AC102" i="46"/>
  <c r="CG101" i="46"/>
  <c r="BE101" i="46"/>
  <c r="AC101" i="46"/>
  <c r="CG100" i="46"/>
  <c r="BE100" i="46"/>
  <c r="AC100" i="46"/>
  <c r="CG99" i="46"/>
  <c r="BE99" i="46"/>
  <c r="AC99" i="46"/>
  <c r="CG98" i="46"/>
  <c r="BE98" i="46"/>
  <c r="AC98" i="46"/>
  <c r="CG97" i="46"/>
  <c r="BE97" i="46"/>
  <c r="AC97" i="46"/>
  <c r="CG96" i="46"/>
  <c r="BE96" i="46"/>
  <c r="AC96" i="46"/>
  <c r="CG95" i="46"/>
  <c r="BE95" i="46"/>
  <c r="AC95" i="46"/>
  <c r="CF117" i="46"/>
  <c r="BD117" i="46"/>
  <c r="AB117" i="46"/>
  <c r="CF116" i="46"/>
  <c r="BD116" i="46"/>
  <c r="AB116" i="46"/>
  <c r="CF115" i="46"/>
  <c r="BD115" i="46"/>
  <c r="AB115" i="46"/>
  <c r="CF114" i="46"/>
  <c r="BD114" i="46"/>
  <c r="AB114" i="46"/>
  <c r="CF113" i="46"/>
  <c r="BD113" i="46"/>
  <c r="AB113" i="46"/>
  <c r="CF112" i="46"/>
  <c r="BD112" i="46"/>
  <c r="AB112" i="46"/>
  <c r="CF111" i="46"/>
  <c r="BD111" i="46"/>
  <c r="AB111" i="46"/>
  <c r="CF110" i="46"/>
  <c r="BD110" i="46"/>
  <c r="AB110" i="46"/>
  <c r="CF109" i="46"/>
  <c r="BD109" i="46"/>
  <c r="AB109" i="46"/>
  <c r="CF108" i="46"/>
  <c r="BD108" i="46"/>
  <c r="AB108" i="46"/>
  <c r="CF107" i="46"/>
  <c r="BD107" i="46"/>
  <c r="AB107" i="46"/>
  <c r="CF106" i="46"/>
  <c r="BD106" i="46"/>
  <c r="AB106" i="46"/>
  <c r="CF105" i="46"/>
  <c r="BD105" i="46"/>
  <c r="AB105" i="46"/>
  <c r="CF104" i="46"/>
  <c r="BD104" i="46"/>
  <c r="AB104" i="46"/>
  <c r="CF103" i="46"/>
  <c r="BD103" i="46"/>
  <c r="AB103" i="46"/>
  <c r="CF102" i="46"/>
  <c r="BD102" i="46"/>
  <c r="AB102" i="46"/>
  <c r="CF101" i="46"/>
  <c r="BD101" i="46"/>
  <c r="AB101" i="46"/>
  <c r="CF100" i="46"/>
  <c r="BD100" i="46"/>
  <c r="AB100" i="46"/>
  <c r="CF99" i="46"/>
  <c r="BD99" i="46"/>
  <c r="CE117" i="46"/>
  <c r="BC117" i="46"/>
  <c r="AA117" i="46"/>
  <c r="CE116" i="46"/>
  <c r="BC116" i="46"/>
  <c r="AA116" i="46"/>
  <c r="CE115" i="46"/>
  <c r="BC115" i="46"/>
  <c r="AA115" i="46"/>
  <c r="CE114" i="46"/>
  <c r="BC114" i="46"/>
  <c r="AA114" i="46"/>
  <c r="CE113" i="46"/>
  <c r="BC113" i="46"/>
  <c r="AA113" i="46"/>
  <c r="CE112" i="46"/>
  <c r="BC112" i="46"/>
  <c r="AA112" i="46"/>
  <c r="CE111" i="46"/>
  <c r="BC111" i="46"/>
  <c r="AA111" i="46"/>
  <c r="CE110" i="46"/>
  <c r="BC110" i="46"/>
  <c r="AA110" i="46"/>
  <c r="CE109" i="46"/>
  <c r="BC109" i="46"/>
  <c r="AA109" i="46"/>
  <c r="CE108" i="46"/>
  <c r="BC108" i="46"/>
  <c r="AA108" i="46"/>
  <c r="CE107" i="46"/>
  <c r="BC107" i="46"/>
  <c r="AA107" i="46"/>
  <c r="CE106" i="46"/>
  <c r="BC106" i="46"/>
  <c r="AA106" i="46"/>
  <c r="CE105" i="46"/>
  <c r="BC105" i="46"/>
  <c r="AA105" i="46"/>
  <c r="CE104" i="46"/>
  <c r="BC104" i="46"/>
  <c r="AA104" i="46"/>
  <c r="CE103" i="46"/>
  <c r="BC103" i="46"/>
  <c r="AA103" i="46"/>
  <c r="CE102" i="46"/>
  <c r="BC102" i="46"/>
  <c r="AA102" i="46"/>
  <c r="CE101" i="46"/>
  <c r="BC101" i="46"/>
  <c r="AA101" i="46"/>
  <c r="CE100" i="46"/>
  <c r="BC100" i="46"/>
  <c r="AA100" i="46"/>
  <c r="CE99" i="46"/>
  <c r="BC99" i="46"/>
  <c r="CD117" i="46"/>
  <c r="BB117" i="46"/>
  <c r="Z117" i="46"/>
  <c r="CD116" i="46"/>
  <c r="BB116" i="46"/>
  <c r="Z116" i="46"/>
  <c r="CD115" i="46"/>
  <c r="BB115" i="46"/>
  <c r="Z115" i="46"/>
  <c r="CD114" i="46"/>
  <c r="BB114" i="46"/>
  <c r="Z114" i="46"/>
  <c r="CD113" i="46"/>
  <c r="BB113" i="46"/>
  <c r="Z113" i="46"/>
  <c r="CD112" i="46"/>
  <c r="BB112" i="46"/>
  <c r="Z112" i="46"/>
  <c r="CD111" i="46"/>
  <c r="BB111" i="46"/>
  <c r="Z111" i="46"/>
  <c r="CD110" i="46"/>
  <c r="BB110" i="46"/>
  <c r="Z110" i="46"/>
  <c r="CD109" i="46"/>
  <c r="BB109" i="46"/>
  <c r="Z109" i="46"/>
  <c r="CD108" i="46"/>
  <c r="BB108" i="46"/>
  <c r="Z108" i="46"/>
  <c r="CD107" i="46"/>
  <c r="BB107" i="46"/>
  <c r="Z107" i="46"/>
  <c r="CD106" i="46"/>
  <c r="BB106" i="46"/>
  <c r="Z106" i="46"/>
  <c r="CD105" i="46"/>
  <c r="BB105" i="46"/>
  <c r="Z105" i="46"/>
  <c r="CD104" i="46"/>
  <c r="BB104" i="46"/>
  <c r="Z104" i="46"/>
  <c r="CD103" i="46"/>
  <c r="BB103" i="46"/>
  <c r="Z103" i="46"/>
  <c r="CD102" i="46"/>
  <c r="BB102" i="46"/>
  <c r="Z102" i="46"/>
  <c r="CD101" i="46"/>
  <c r="BB101" i="46"/>
  <c r="Z101" i="46"/>
  <c r="CD100" i="46"/>
  <c r="BB100" i="46"/>
  <c r="Z100" i="46"/>
  <c r="CD99" i="46"/>
  <c r="BB99" i="46"/>
  <c r="CC117" i="46"/>
  <c r="BA117" i="46"/>
  <c r="Y117" i="46"/>
  <c r="CC116" i="46"/>
  <c r="BA116" i="46"/>
  <c r="Y116" i="46"/>
  <c r="CC115" i="46"/>
  <c r="BA115" i="46"/>
  <c r="Y115" i="46"/>
  <c r="CC114" i="46"/>
  <c r="BA114" i="46"/>
  <c r="Y114" i="46"/>
  <c r="CC113" i="46"/>
  <c r="BA113" i="46"/>
  <c r="Y113" i="46"/>
  <c r="CC112" i="46"/>
  <c r="BA112" i="46"/>
  <c r="Y112" i="46"/>
  <c r="CC111" i="46"/>
  <c r="BA111" i="46"/>
  <c r="Y111" i="46"/>
  <c r="CC110" i="46"/>
  <c r="BA110" i="46"/>
  <c r="Y110" i="46"/>
  <c r="CC109" i="46"/>
  <c r="BA109" i="46"/>
  <c r="Y109" i="46"/>
  <c r="CC108" i="46"/>
  <c r="BA108" i="46"/>
  <c r="Y108" i="46"/>
  <c r="CC107" i="46"/>
  <c r="BA107" i="46"/>
  <c r="Y107" i="46"/>
  <c r="CC106" i="46"/>
  <c r="BA106" i="46"/>
  <c r="Y106" i="46"/>
  <c r="CC105" i="46"/>
  <c r="BA105" i="46"/>
  <c r="Y105" i="46"/>
  <c r="CC104" i="46"/>
  <c r="BA104" i="46"/>
  <c r="Y104" i="46"/>
  <c r="CC103" i="46"/>
  <c r="BA103" i="46"/>
  <c r="Y103" i="46"/>
  <c r="CC102" i="46"/>
  <c r="BA102" i="46"/>
  <c r="Y102" i="46"/>
  <c r="CC101" i="46"/>
  <c r="BA101" i="46"/>
  <c r="Y101" i="46"/>
  <c r="CC100" i="46"/>
  <c r="CB117" i="46"/>
  <c r="AZ117" i="46"/>
  <c r="X117" i="46"/>
  <c r="CB116" i="46"/>
  <c r="AZ116" i="46"/>
  <c r="X116" i="46"/>
  <c r="CB115" i="46"/>
  <c r="AZ115" i="46"/>
  <c r="X115" i="46"/>
  <c r="CB114" i="46"/>
  <c r="AZ114" i="46"/>
  <c r="X114" i="46"/>
  <c r="CB113" i="46"/>
  <c r="AZ113" i="46"/>
  <c r="X113" i="46"/>
  <c r="CB112" i="46"/>
  <c r="AZ112" i="46"/>
  <c r="X112" i="46"/>
  <c r="CB111" i="46"/>
  <c r="AZ111" i="46"/>
  <c r="X111" i="46"/>
  <c r="CB110" i="46"/>
  <c r="AZ110" i="46"/>
  <c r="X110" i="46"/>
  <c r="CB109" i="46"/>
  <c r="AZ109" i="46"/>
  <c r="X109" i="46"/>
  <c r="CB108" i="46"/>
  <c r="AZ108" i="46"/>
  <c r="X108" i="46"/>
  <c r="CB107" i="46"/>
  <c r="AZ107" i="46"/>
  <c r="X107" i="46"/>
  <c r="CB106" i="46"/>
  <c r="AZ106" i="46"/>
  <c r="X106" i="46"/>
  <c r="CB105" i="46"/>
  <c r="AZ105" i="46"/>
  <c r="X105" i="46"/>
  <c r="CB104" i="46"/>
  <c r="AZ104" i="46"/>
  <c r="X104" i="46"/>
  <c r="CB103" i="46"/>
  <c r="CA117" i="46"/>
  <c r="AY117" i="46"/>
  <c r="W117" i="46"/>
  <c r="CA116" i="46"/>
  <c r="AY116" i="46"/>
  <c r="W116" i="46"/>
  <c r="CA115" i="46"/>
  <c r="AY115" i="46"/>
  <c r="W115" i="46"/>
  <c r="CA114" i="46"/>
  <c r="AY114" i="46"/>
  <c r="W114" i="46"/>
  <c r="CA113" i="46"/>
  <c r="AY113" i="46"/>
  <c r="W113" i="46"/>
  <c r="CA112" i="46"/>
  <c r="AY112" i="46"/>
  <c r="W112" i="46"/>
  <c r="CA111" i="46"/>
  <c r="AY111" i="46"/>
  <c r="W111" i="46"/>
  <c r="CA110" i="46"/>
  <c r="AY110" i="46"/>
  <c r="W110" i="46"/>
  <c r="CA109" i="46"/>
  <c r="AY109" i="46"/>
  <c r="W109" i="46"/>
  <c r="CA108" i="46"/>
  <c r="AY108" i="46"/>
  <c r="W108" i="46"/>
  <c r="CA107" i="46"/>
  <c r="AY107" i="46"/>
  <c r="W107" i="46"/>
  <c r="CA106" i="46"/>
  <c r="AY106" i="46"/>
  <c r="W106" i="46"/>
  <c r="CA105" i="46"/>
  <c r="AY105" i="46"/>
  <c r="W105" i="46"/>
  <c r="CA104" i="46"/>
  <c r="AY104" i="46"/>
  <c r="BZ117" i="46"/>
  <c r="AX117" i="46"/>
  <c r="V117" i="46"/>
  <c r="BZ116" i="46"/>
  <c r="AX116" i="46"/>
  <c r="V116" i="46"/>
  <c r="BZ115" i="46"/>
  <c r="AX115" i="46"/>
  <c r="V115" i="46"/>
  <c r="BZ114" i="46"/>
  <c r="AX114" i="46"/>
  <c r="V114" i="46"/>
  <c r="BZ113" i="46"/>
  <c r="AX113" i="46"/>
  <c r="V113" i="46"/>
  <c r="BZ112" i="46"/>
  <c r="AX112" i="46"/>
  <c r="V112" i="46"/>
  <c r="BZ111" i="46"/>
  <c r="AX111" i="46"/>
  <c r="V111" i="46"/>
  <c r="BZ110" i="46"/>
  <c r="AX110" i="46"/>
  <c r="V110" i="46"/>
  <c r="BZ109" i="46"/>
  <c r="AX109" i="46"/>
  <c r="V109" i="46"/>
  <c r="BZ108" i="46"/>
  <c r="AX108" i="46"/>
  <c r="V108" i="46"/>
  <c r="BZ107" i="46"/>
  <c r="AX107" i="46"/>
  <c r="V107" i="46"/>
  <c r="BZ106" i="46"/>
  <c r="AX106" i="46"/>
  <c r="V106" i="46"/>
  <c r="BZ105" i="46"/>
  <c r="AX105" i="46"/>
  <c r="V105" i="46"/>
  <c r="BZ104" i="46"/>
  <c r="BY117" i="46"/>
  <c r="AW117" i="46"/>
  <c r="U117" i="46"/>
  <c r="BY116" i="46"/>
  <c r="AW116" i="46"/>
  <c r="U116" i="46"/>
  <c r="BY115" i="46"/>
  <c r="AW115" i="46"/>
  <c r="U115" i="46"/>
  <c r="BY114" i="46"/>
  <c r="AW114" i="46"/>
  <c r="U114" i="46"/>
  <c r="BY113" i="46"/>
  <c r="AW113" i="46"/>
  <c r="U113" i="46"/>
  <c r="BY112" i="46"/>
  <c r="AW112" i="46"/>
  <c r="U112" i="46"/>
  <c r="BY111" i="46"/>
  <c r="AW111" i="46"/>
  <c r="U111" i="46"/>
  <c r="BY110" i="46"/>
  <c r="AW110" i="46"/>
  <c r="U110" i="46"/>
  <c r="BY109" i="46"/>
  <c r="AW109" i="46"/>
  <c r="U109" i="46"/>
  <c r="BY108" i="46"/>
  <c r="AW108" i="46"/>
  <c r="U108" i="46"/>
  <c r="BY107" i="46"/>
  <c r="AW107" i="46"/>
  <c r="U107" i="46"/>
  <c r="BY106" i="46"/>
  <c r="AW106" i="46"/>
  <c r="U106" i="46"/>
  <c r="BY105" i="46"/>
  <c r="AW105" i="46"/>
  <c r="U105" i="46"/>
  <c r="BY104" i="46"/>
  <c r="AW104" i="46"/>
  <c r="BX117" i="46"/>
  <c r="T115" i="46"/>
  <c r="AV112" i="46"/>
  <c r="BX109" i="46"/>
  <c r="T107" i="46"/>
  <c r="AX104" i="46"/>
  <c r="W103" i="46"/>
  <c r="U102" i="46"/>
  <c r="X101" i="46"/>
  <c r="AU100" i="46"/>
  <c r="BO99" i="46"/>
  <c r="V99" i="46"/>
  <c r="BN98" i="46"/>
  <c r="AB98" i="46"/>
  <c r="BZ97" i="46"/>
  <c r="AL97" i="46"/>
  <c r="CF96" i="46"/>
  <c r="AX96" i="46"/>
  <c r="CP95" i="46"/>
  <c r="BD95" i="46"/>
  <c r="V95" i="46"/>
  <c r="BO94" i="46"/>
  <c r="AJ94" i="46"/>
  <c r="CK93" i="46"/>
  <c r="BD93" i="46"/>
  <c r="Y93" i="46"/>
  <c r="BZ92" i="46"/>
  <c r="AU92" i="46"/>
  <c r="CQ91" i="46"/>
  <c r="BL91" i="46"/>
  <c r="AG91" i="46"/>
  <c r="CF90" i="46"/>
  <c r="BA90" i="46"/>
  <c r="V90" i="46"/>
  <c r="BW89" i="46"/>
  <c r="AU89" i="46"/>
  <c r="S89" i="46"/>
  <c r="BW88" i="46"/>
  <c r="AU88" i="46"/>
  <c r="S88" i="46"/>
  <c r="BW87" i="46"/>
  <c r="AU87" i="46"/>
  <c r="S87" i="46"/>
  <c r="BW86" i="46"/>
  <c r="AU86" i="46"/>
  <c r="S86" i="46"/>
  <c r="BW85" i="46"/>
  <c r="AU85" i="46"/>
  <c r="S85" i="46"/>
  <c r="BW84" i="46"/>
  <c r="AU84" i="46"/>
  <c r="S84" i="46"/>
  <c r="BW83" i="46"/>
  <c r="AU83" i="46"/>
  <c r="S83" i="46"/>
  <c r="BW82" i="46"/>
  <c r="BW117" i="46"/>
  <c r="S115" i="46"/>
  <c r="AU112" i="46"/>
  <c r="BW109" i="46"/>
  <c r="S107" i="46"/>
  <c r="AV104" i="46"/>
  <c r="V103" i="46"/>
  <c r="T102" i="46"/>
  <c r="W101" i="46"/>
  <c r="AT100" i="46"/>
  <c r="BN99" i="46"/>
  <c r="U99" i="46"/>
  <c r="BM98" i="46"/>
  <c r="AA98" i="46"/>
  <c r="BY97" i="46"/>
  <c r="AK97" i="46"/>
  <c r="CE96" i="46"/>
  <c r="AW96" i="46"/>
  <c r="CO95" i="46"/>
  <c r="BC95" i="46"/>
  <c r="U95" i="46"/>
  <c r="BN94" i="46"/>
  <c r="AI94" i="46"/>
  <c r="CJ93" i="46"/>
  <c r="BC93" i="46"/>
  <c r="X93" i="46"/>
  <c r="BY92" i="46"/>
  <c r="AT92" i="46"/>
  <c r="CP91" i="46"/>
  <c r="BK91" i="46"/>
  <c r="AF91" i="46"/>
  <c r="CE90" i="46"/>
  <c r="AZ90" i="46"/>
  <c r="U90" i="46"/>
  <c r="BV89" i="46"/>
  <c r="AT89" i="46"/>
  <c r="R89" i="46"/>
  <c r="BV88" i="46"/>
  <c r="AT88" i="46"/>
  <c r="R88" i="46"/>
  <c r="BV87" i="46"/>
  <c r="AT87" i="46"/>
  <c r="R87" i="46"/>
  <c r="BV86" i="46"/>
  <c r="AT86" i="46"/>
  <c r="R86" i="46"/>
  <c r="BV85" i="46"/>
  <c r="AT85" i="46"/>
  <c r="R85" i="46"/>
  <c r="BV84" i="46"/>
  <c r="AT84" i="46"/>
  <c r="R84" i="46"/>
  <c r="BV83" i="46"/>
  <c r="AT83" i="46"/>
  <c r="R83" i="46"/>
  <c r="BV82" i="46"/>
  <c r="AT82" i="46"/>
  <c r="R82" i="46"/>
  <c r="BV117" i="46"/>
  <c r="R115" i="46"/>
  <c r="AT112" i="46"/>
  <c r="BV109" i="46"/>
  <c r="R107" i="46"/>
  <c r="AU104" i="46"/>
  <c r="U103" i="46"/>
  <c r="S102" i="46"/>
  <c r="V101" i="46"/>
  <c r="AL100" i="46"/>
  <c r="BL99" i="46"/>
  <c r="T99" i="46"/>
  <c r="BL98" i="46"/>
  <c r="Z98" i="46"/>
  <c r="BX97" i="46"/>
  <c r="AJ97" i="46"/>
  <c r="CD96" i="46"/>
  <c r="AV96" i="46"/>
  <c r="CN95" i="46"/>
  <c r="BB95" i="46"/>
  <c r="T95" i="46"/>
  <c r="BM94" i="46"/>
  <c r="AH94" i="46"/>
  <c r="CG93" i="46"/>
  <c r="BB93" i="46"/>
  <c r="W93" i="46"/>
  <c r="BX92" i="46"/>
  <c r="AQ92" i="46"/>
  <c r="CO91" i="46"/>
  <c r="BJ91" i="46"/>
  <c r="AC91" i="46"/>
  <c r="CD90" i="46"/>
  <c r="AY90" i="46"/>
  <c r="T90" i="46"/>
  <c r="BS89" i="46"/>
  <c r="AQ89" i="46"/>
  <c r="CU88" i="46"/>
  <c r="BS88" i="46"/>
  <c r="AQ88" i="46"/>
  <c r="CU87" i="46"/>
  <c r="BS87" i="46"/>
  <c r="AQ87" i="46"/>
  <c r="CU86" i="46"/>
  <c r="BS86" i="46"/>
  <c r="AQ86" i="46"/>
  <c r="CU85" i="46"/>
  <c r="BS85" i="46"/>
  <c r="AQ85" i="46"/>
  <c r="CU84" i="46"/>
  <c r="BS84" i="46"/>
  <c r="AQ84" i="46"/>
  <c r="CU83" i="46"/>
  <c r="BS83" i="46"/>
  <c r="AQ83" i="46"/>
  <c r="CU82" i="46"/>
  <c r="BS82" i="46"/>
  <c r="AQ82" i="46"/>
  <c r="AV117" i="46"/>
  <c r="BX114" i="46"/>
  <c r="T112" i="46"/>
  <c r="AV109" i="46"/>
  <c r="BX106" i="46"/>
  <c r="AT104" i="46"/>
  <c r="T103" i="46"/>
  <c r="R102" i="46"/>
  <c r="U101" i="46"/>
  <c r="AJ100" i="46"/>
  <c r="BH99" i="46"/>
  <c r="S99" i="46"/>
  <c r="BK98" i="46"/>
  <c r="Y98" i="46"/>
  <c r="BW97" i="46"/>
  <c r="AI97" i="46"/>
  <c r="CC96" i="46"/>
  <c r="AU96" i="46"/>
  <c r="CM95" i="46"/>
  <c r="BA95" i="46"/>
  <c r="S95" i="46"/>
  <c r="BL94" i="46"/>
  <c r="AG94" i="46"/>
  <c r="CF93" i="46"/>
  <c r="BA93" i="46"/>
  <c r="V93" i="46"/>
  <c r="BW92" i="46"/>
  <c r="AM92" i="46"/>
  <c r="CN91" i="46"/>
  <c r="BI91" i="46"/>
  <c r="AB91" i="46"/>
  <c r="CC90" i="46"/>
  <c r="AX90" i="46"/>
  <c r="S90" i="46"/>
  <c r="BR89" i="46"/>
  <c r="AP89" i="46"/>
  <c r="CT88" i="46"/>
  <c r="BR88" i="46"/>
  <c r="AP88" i="46"/>
  <c r="CT87" i="46"/>
  <c r="BR87" i="46"/>
  <c r="AP87" i="46"/>
  <c r="CT86" i="46"/>
  <c r="BR86" i="46"/>
  <c r="AP86" i="46"/>
  <c r="CT85" i="46"/>
  <c r="BR85" i="46"/>
  <c r="AP85" i="46"/>
  <c r="CT84" i="46"/>
  <c r="BR84" i="46"/>
  <c r="AP84" i="46"/>
  <c r="CT83" i="46"/>
  <c r="BR83" i="46"/>
  <c r="AP83" i="46"/>
  <c r="CT82" i="46"/>
  <c r="BR82" i="46"/>
  <c r="AP82" i="46"/>
  <c r="AU117" i="46"/>
  <c r="BW114" i="46"/>
  <c r="S112" i="46"/>
  <c r="AU109" i="46"/>
  <c r="BW106" i="46"/>
  <c r="W104" i="46"/>
  <c r="S103" i="46"/>
  <c r="CN101" i="46"/>
  <c r="T101" i="46"/>
  <c r="AF100" i="46"/>
  <c r="BA99" i="46"/>
  <c r="R99" i="46"/>
  <c r="BJ98" i="46"/>
  <c r="X98" i="46"/>
  <c r="BV97" i="46"/>
  <c r="AH97" i="46"/>
  <c r="CB96" i="46"/>
  <c r="AT96" i="46"/>
  <c r="CL95" i="46"/>
  <c r="AZ95" i="46"/>
  <c r="R95" i="46"/>
  <c r="BK94" i="46"/>
  <c r="AF94" i="46"/>
  <c r="CE93" i="46"/>
  <c r="AZ93" i="46"/>
  <c r="U93" i="46"/>
  <c r="BV92" i="46"/>
  <c r="AL92" i="46"/>
  <c r="CM91" i="46"/>
  <c r="BH91" i="46"/>
  <c r="AA91" i="46"/>
  <c r="CB90" i="46"/>
  <c r="AW90" i="46"/>
  <c r="R90" i="46"/>
  <c r="BQ89" i="46"/>
  <c r="AO89" i="46"/>
  <c r="CS88" i="46"/>
  <c r="BQ88" i="46"/>
  <c r="AO88" i="46"/>
  <c r="CS87" i="46"/>
  <c r="BQ87" i="46"/>
  <c r="AO87" i="46"/>
  <c r="CS86" i="46"/>
  <c r="BQ86" i="46"/>
  <c r="AO86" i="46"/>
  <c r="CS85" i="46"/>
  <c r="BQ85" i="46"/>
  <c r="AO85" i="46"/>
  <c r="CS84" i="46"/>
  <c r="BQ84" i="46"/>
  <c r="AO84" i="46"/>
  <c r="CS83" i="46"/>
  <c r="BQ83" i="46"/>
  <c r="AO83" i="46"/>
  <c r="CS82" i="46"/>
  <c r="BQ82" i="46"/>
  <c r="AO82" i="46"/>
  <c r="AT117" i="46"/>
  <c r="BV114" i="46"/>
  <c r="R112" i="46"/>
  <c r="AT109" i="46"/>
  <c r="BV106" i="46"/>
  <c r="V104" i="46"/>
  <c r="R103" i="46"/>
  <c r="CJ101" i="46"/>
  <c r="S101" i="46"/>
  <c r="Y100" i="46"/>
  <c r="AZ99" i="46"/>
  <c r="CQ98" i="46"/>
  <c r="BH98" i="46"/>
  <c r="W98" i="46"/>
  <c r="BO97" i="46"/>
  <c r="AF97" i="46"/>
  <c r="CA96" i="46"/>
  <c r="AM96" i="46"/>
  <c r="CJ95" i="46"/>
  <c r="AY95" i="46"/>
  <c r="CQ94" i="46"/>
  <c r="BJ94" i="46"/>
  <c r="AC94" i="46"/>
  <c r="CD93" i="46"/>
  <c r="AY93" i="46"/>
  <c r="T93" i="46"/>
  <c r="BS92" i="46"/>
  <c r="AK92" i="46"/>
  <c r="CL91" i="46"/>
  <c r="BE91" i="46"/>
  <c r="Z91" i="46"/>
  <c r="CA90" i="46"/>
  <c r="AV90" i="46"/>
  <c r="CU89" i="46"/>
  <c r="BP89" i="46"/>
  <c r="AN89" i="46"/>
  <c r="CR88" i="46"/>
  <c r="BP88" i="46"/>
  <c r="AN88" i="46"/>
  <c r="CR87" i="46"/>
  <c r="BP87" i="46"/>
  <c r="AN87" i="46"/>
  <c r="CR86" i="46"/>
  <c r="BP86" i="46"/>
  <c r="AN86" i="46"/>
  <c r="CR85" i="46"/>
  <c r="BP85" i="46"/>
  <c r="AN85" i="46"/>
  <c r="CR84" i="46"/>
  <c r="BP84" i="46"/>
  <c r="AN84" i="46"/>
  <c r="CR83" i="46"/>
  <c r="BP83" i="46"/>
  <c r="AN83" i="46"/>
  <c r="CR82" i="46"/>
  <c r="BP82" i="46"/>
  <c r="AN82" i="46"/>
  <c r="T117" i="46"/>
  <c r="AV114" i="46"/>
  <c r="BX111" i="46"/>
  <c r="T109" i="46"/>
  <c r="AV106" i="46"/>
  <c r="U104" i="46"/>
  <c r="CB102" i="46"/>
  <c r="CB101" i="46"/>
  <c r="R101" i="46"/>
  <c r="X100" i="46"/>
  <c r="AY99" i="46"/>
  <c r="CP98" i="46"/>
  <c r="BD98" i="46"/>
  <c r="V98" i="46"/>
  <c r="BN97" i="46"/>
  <c r="AB97" i="46"/>
  <c r="BZ96" i="46"/>
  <c r="AL96" i="46"/>
  <c r="CF95" i="46"/>
  <c r="AX95" i="46"/>
  <c r="CP94" i="46"/>
  <c r="BI94" i="46"/>
  <c r="AB94" i="46"/>
  <c r="CC93" i="46"/>
  <c r="AX93" i="46"/>
  <c r="S93" i="46"/>
  <c r="BO92" i="46"/>
  <c r="AJ92" i="46"/>
  <c r="CK91" i="46"/>
  <c r="BD91" i="46"/>
  <c r="Y91" i="46"/>
  <c r="BZ90" i="46"/>
  <c r="AU90" i="46"/>
  <c r="CQ89" i="46"/>
  <c r="BO89" i="46"/>
  <c r="AM89" i="46"/>
  <c r="CQ88" i="46"/>
  <c r="BO88" i="46"/>
  <c r="AM88" i="46"/>
  <c r="CQ87" i="46"/>
  <c r="BO87" i="46"/>
  <c r="AM87" i="46"/>
  <c r="CQ86" i="46"/>
  <c r="BO86" i="46"/>
  <c r="AM86" i="46"/>
  <c r="CQ85" i="46"/>
  <c r="BO85" i="46"/>
  <c r="AM85" i="46"/>
  <c r="CQ84" i="46"/>
  <c r="BO84" i="46"/>
  <c r="AM84" i="46"/>
  <c r="CQ83" i="46"/>
  <c r="BO83" i="46"/>
  <c r="AM83" i="46"/>
  <c r="CQ82" i="46"/>
  <c r="BO82" i="46"/>
  <c r="AM82" i="46"/>
  <c r="S117" i="46"/>
  <c r="AU114" i="46"/>
  <c r="BW111" i="46"/>
  <c r="S109" i="46"/>
  <c r="AU106" i="46"/>
  <c r="T104" i="46"/>
  <c r="CA102" i="46"/>
  <c r="CA101" i="46"/>
  <c r="CN100" i="46"/>
  <c r="W100" i="46"/>
  <c r="AX99" i="46"/>
  <c r="CO98" i="46"/>
  <c r="BC98" i="46"/>
  <c r="U98" i="46"/>
  <c r="BM97" i="46"/>
  <c r="AA97" i="46"/>
  <c r="BY96" i="46"/>
  <c r="AK96" i="46"/>
  <c r="CE95" i="46"/>
  <c r="AW95" i="46"/>
  <c r="CO94" i="46"/>
  <c r="BH94" i="46"/>
  <c r="AA94" i="46"/>
  <c r="CB93" i="46"/>
  <c r="AW93" i="46"/>
  <c r="R93" i="46"/>
  <c r="BN92" i="46"/>
  <c r="AI92" i="46"/>
  <c r="CJ91" i="46"/>
  <c r="BC91" i="46"/>
  <c r="X91" i="46"/>
  <c r="BY90" i="46"/>
  <c r="AT90" i="46"/>
  <c r="CP89" i="46"/>
  <c r="BN89" i="46"/>
  <c r="AL89" i="46"/>
  <c r="CP88" i="46"/>
  <c r="BN88" i="46"/>
  <c r="AL88" i="46"/>
  <c r="CP87" i="46"/>
  <c r="BN87" i="46"/>
  <c r="AL87" i="46"/>
  <c r="CP86" i="46"/>
  <c r="BN86" i="46"/>
  <c r="AL86" i="46"/>
  <c r="CP85" i="46"/>
  <c r="BN85" i="46"/>
  <c r="AL85" i="46"/>
  <c r="CP84" i="46"/>
  <c r="R117" i="46"/>
  <c r="AT114" i="46"/>
  <c r="BV111" i="46"/>
  <c r="R109" i="46"/>
  <c r="AT106" i="46"/>
  <c r="S104" i="46"/>
  <c r="BZ102" i="46"/>
  <c r="BZ101" i="46"/>
  <c r="CJ100" i="46"/>
  <c r="V100" i="46"/>
  <c r="AW99" i="46"/>
  <c r="CN98" i="46"/>
  <c r="BB98" i="46"/>
  <c r="T98" i="46"/>
  <c r="BL97" i="46"/>
  <c r="Z97" i="46"/>
  <c r="BX96" i="46"/>
  <c r="AJ96" i="46"/>
  <c r="CD95" i="46"/>
  <c r="AV95" i="46"/>
  <c r="CN94" i="46"/>
  <c r="BE94" i="46"/>
  <c r="Z94" i="46"/>
  <c r="CA93" i="46"/>
  <c r="AV93" i="46"/>
  <c r="CU92" i="46"/>
  <c r="BM92" i="46"/>
  <c r="AH92" i="46"/>
  <c r="CG91" i="46"/>
  <c r="BB91" i="46"/>
  <c r="W91" i="46"/>
  <c r="BX90" i="46"/>
  <c r="AQ90" i="46"/>
  <c r="CO89" i="46"/>
  <c r="BM89" i="46"/>
  <c r="AK89" i="46"/>
  <c r="CO88" i="46"/>
  <c r="BM88" i="46"/>
  <c r="AK88" i="46"/>
  <c r="CO87" i="46"/>
  <c r="BM87" i="46"/>
  <c r="AK87" i="46"/>
  <c r="CO86" i="46"/>
  <c r="BM86" i="46"/>
  <c r="AK86" i="46"/>
  <c r="CO85" i="46"/>
  <c r="BM85" i="46"/>
  <c r="AK85" i="46"/>
  <c r="CO84" i="46"/>
  <c r="BM84" i="46"/>
  <c r="AK84" i="46"/>
  <c r="CO83" i="46"/>
  <c r="BM83" i="46"/>
  <c r="BX116" i="46"/>
  <c r="T114" i="46"/>
  <c r="AV111" i="46"/>
  <c r="BX108" i="46"/>
  <c r="T106" i="46"/>
  <c r="R104" i="46"/>
  <c r="BY102" i="46"/>
  <c r="BY101" i="46"/>
  <c r="CB100" i="46"/>
  <c r="U100" i="46"/>
  <c r="AV99" i="46"/>
  <c r="CM98" i="46"/>
  <c r="BA98" i="46"/>
  <c r="S98" i="46"/>
  <c r="BK97" i="46"/>
  <c r="Y97" i="46"/>
  <c r="BW96" i="46"/>
  <c r="AI96" i="46"/>
  <c r="CC95" i="46"/>
  <c r="AU95" i="46"/>
  <c r="CM94" i="46"/>
  <c r="BD94" i="46"/>
  <c r="Y94" i="46"/>
  <c r="BZ93" i="46"/>
  <c r="AU93" i="46"/>
  <c r="CQ92" i="46"/>
  <c r="BL92" i="46"/>
  <c r="AG92" i="46"/>
  <c r="CF91" i="46"/>
  <c r="BA91" i="46"/>
  <c r="V91" i="46"/>
  <c r="BW90" i="46"/>
  <c r="AM90" i="46"/>
  <c r="CN89" i="46"/>
  <c r="BL89" i="46"/>
  <c r="AJ89" i="46"/>
  <c r="CN88" i="46"/>
  <c r="BL88" i="46"/>
  <c r="AJ88" i="46"/>
  <c r="CN87" i="46"/>
  <c r="BL87" i="46"/>
  <c r="AJ87" i="46"/>
  <c r="CN86" i="46"/>
  <c r="BL86" i="46"/>
  <c r="AJ86" i="46"/>
  <c r="CN85" i="46"/>
  <c r="BL85" i="46"/>
  <c r="AJ85" i="46"/>
  <c r="CN84" i="46"/>
  <c r="BL84" i="46"/>
  <c r="AJ84" i="46"/>
  <c r="CN83" i="46"/>
  <c r="BL83" i="46"/>
  <c r="AJ83" i="46"/>
  <c r="BW116" i="46"/>
  <c r="S114" i="46"/>
  <c r="AU111" i="46"/>
  <c r="BW108" i="46"/>
  <c r="S106" i="46"/>
  <c r="CA103" i="46"/>
  <c r="BX102" i="46"/>
  <c r="BX101" i="46"/>
  <c r="CA100" i="46"/>
  <c r="T100" i="46"/>
  <c r="AU99" i="46"/>
  <c r="CL98" i="46"/>
  <c r="AZ98" i="46"/>
  <c r="R98" i="46"/>
  <c r="BJ97" i="46"/>
  <c r="X97" i="46"/>
  <c r="BV96" i="46"/>
  <c r="AH96" i="46"/>
  <c r="CB95" i="46"/>
  <c r="AT95" i="46"/>
  <c r="CL94" i="46"/>
  <c r="BC94" i="46"/>
  <c r="X94" i="46"/>
  <c r="BY93" i="46"/>
  <c r="AT93" i="46"/>
  <c r="CP92" i="46"/>
  <c r="BK92" i="46"/>
  <c r="AF92" i="46"/>
  <c r="CE91" i="46"/>
  <c r="AZ91" i="46"/>
  <c r="U91" i="46"/>
  <c r="BV90" i="46"/>
  <c r="AL90" i="46"/>
  <c r="CM89" i="46"/>
  <c r="BK89" i="46"/>
  <c r="AI89" i="46"/>
  <c r="CM88" i="46"/>
  <c r="BK88" i="46"/>
  <c r="AI88" i="46"/>
  <c r="CM87" i="46"/>
  <c r="BK87" i="46"/>
  <c r="AI87" i="46"/>
  <c r="CM86" i="46"/>
  <c r="BK86" i="46"/>
  <c r="AI86" i="46"/>
  <c r="CM85" i="46"/>
  <c r="BK85" i="46"/>
  <c r="AI85" i="46"/>
  <c r="CM84" i="46"/>
  <c r="BK84" i="46"/>
  <c r="AI84" i="46"/>
  <c r="CM83" i="46"/>
  <c r="BK83" i="46"/>
  <c r="AI83" i="46"/>
  <c r="CM82" i="46"/>
  <c r="BK82" i="46"/>
  <c r="AI82" i="46"/>
  <c r="BV116" i="46"/>
  <c r="R114" i="46"/>
  <c r="AT111" i="46"/>
  <c r="BV108" i="46"/>
  <c r="R106" i="46"/>
  <c r="BZ103" i="46"/>
  <c r="BW102" i="46"/>
  <c r="BW101" i="46"/>
  <c r="BZ100" i="46"/>
  <c r="S100" i="46"/>
  <c r="AT99" i="46"/>
  <c r="CJ98" i="46"/>
  <c r="AY98" i="46"/>
  <c r="CQ97" i="46"/>
  <c r="BH97" i="46"/>
  <c r="W97" i="46"/>
  <c r="BO96" i="46"/>
  <c r="AF96" i="46"/>
  <c r="CA95" i="46"/>
  <c r="AM95" i="46"/>
  <c r="CJ94" i="46"/>
  <c r="BB94" i="46"/>
  <c r="W94" i="46"/>
  <c r="BX93" i="46"/>
  <c r="AQ93" i="46"/>
  <c r="CO92" i="46"/>
  <c r="BJ92" i="46"/>
  <c r="AC92" i="46"/>
  <c r="CD91" i="46"/>
  <c r="AY91" i="46"/>
  <c r="T91" i="46"/>
  <c r="BS90" i="46"/>
  <c r="AK90" i="46"/>
  <c r="CL89" i="46"/>
  <c r="BJ89" i="46"/>
  <c r="AH89" i="46"/>
  <c r="CL88" i="46"/>
  <c r="BJ88" i="46"/>
  <c r="AH88" i="46"/>
  <c r="CL87" i="46"/>
  <c r="BJ87" i="46"/>
  <c r="AH87" i="46"/>
  <c r="CL86" i="46"/>
  <c r="BJ86" i="46"/>
  <c r="AH86" i="46"/>
  <c r="CL85" i="46"/>
  <c r="BJ85" i="46"/>
  <c r="AH85" i="46"/>
  <c r="CL84" i="46"/>
  <c r="BJ84" i="46"/>
  <c r="AH84" i="46"/>
  <c r="CL83" i="46"/>
  <c r="BJ83" i="46"/>
  <c r="AH83" i="46"/>
  <c r="CL82" i="46"/>
  <c r="BJ82" i="46"/>
  <c r="AH82" i="46"/>
  <c r="AV116" i="46"/>
  <c r="BX113" i="46"/>
  <c r="T111" i="46"/>
  <c r="AV108" i="46"/>
  <c r="BX105" i="46"/>
  <c r="BY103" i="46"/>
  <c r="BV102" i="46"/>
  <c r="BV101" i="46"/>
  <c r="BY100" i="46"/>
  <c r="R100" i="46"/>
  <c r="AM99" i="46"/>
  <c r="CF98" i="46"/>
  <c r="AX98" i="46"/>
  <c r="CP97" i="46"/>
  <c r="BD97" i="46"/>
  <c r="V97" i="46"/>
  <c r="BN96" i="46"/>
  <c r="AB96" i="46"/>
  <c r="BZ95" i="46"/>
  <c r="AL95" i="46"/>
  <c r="CG94" i="46"/>
  <c r="BA94" i="46"/>
  <c r="V94" i="46"/>
  <c r="BW93" i="46"/>
  <c r="AM93" i="46"/>
  <c r="CN92" i="46"/>
  <c r="BI92" i="46"/>
  <c r="AB92" i="46"/>
  <c r="CC91" i="46"/>
  <c r="AX91" i="46"/>
  <c r="S91" i="46"/>
  <c r="BO90" i="46"/>
  <c r="AJ90" i="46"/>
  <c r="CK89" i="46"/>
  <c r="BI89" i="46"/>
  <c r="AG89" i="46"/>
  <c r="CK88" i="46"/>
  <c r="BI88" i="46"/>
  <c r="AG88" i="46"/>
  <c r="CK87" i="46"/>
  <c r="BI87" i="46"/>
  <c r="AG87" i="46"/>
  <c r="CK86" i="46"/>
  <c r="BI86" i="46"/>
  <c r="AG86" i="46"/>
  <c r="CK85" i="46"/>
  <c r="BI85" i="46"/>
  <c r="AG85" i="46"/>
  <c r="CK84" i="46"/>
  <c r="BI84" i="46"/>
  <c r="AG84" i="46"/>
  <c r="CK83" i="46"/>
  <c r="BI83" i="46"/>
  <c r="AG83" i="46"/>
  <c r="CK82" i="46"/>
  <c r="BI82" i="46"/>
  <c r="AG82" i="46"/>
  <c r="AU116" i="46"/>
  <c r="BW113" i="46"/>
  <c r="S111" i="46"/>
  <c r="AU108" i="46"/>
  <c r="BW105" i="46"/>
  <c r="BX103" i="46"/>
  <c r="AZ102" i="46"/>
  <c r="BL101" i="46"/>
  <c r="BX100" i="46"/>
  <c r="CP99" i="46"/>
  <c r="AL99" i="46"/>
  <c r="CE98" i="46"/>
  <c r="AW98" i="46"/>
  <c r="CO97" i="46"/>
  <c r="BC97" i="46"/>
  <c r="U97" i="46"/>
  <c r="BM96" i="46"/>
  <c r="AA96" i="46"/>
  <c r="BY95" i="46"/>
  <c r="AK95" i="46"/>
  <c r="CF94" i="46"/>
  <c r="AZ94" i="46"/>
  <c r="U94" i="46"/>
  <c r="BV93" i="46"/>
  <c r="AL93" i="46"/>
  <c r="CM92" i="46"/>
  <c r="BH92" i="46"/>
  <c r="AA92" i="46"/>
  <c r="CB91" i="46"/>
  <c r="AW91" i="46"/>
  <c r="R91" i="46"/>
  <c r="BN90" i="46"/>
  <c r="AI90" i="46"/>
  <c r="CJ89" i="46"/>
  <c r="BH89" i="46"/>
  <c r="AF89" i="46"/>
  <c r="CJ88" i="46"/>
  <c r="BH88" i="46"/>
  <c r="AF88" i="46"/>
  <c r="CJ87" i="46"/>
  <c r="BH87" i="46"/>
  <c r="AF87" i="46"/>
  <c r="CJ86" i="46"/>
  <c r="BH86" i="46"/>
  <c r="AF86" i="46"/>
  <c r="CJ85" i="46"/>
  <c r="BH85" i="46"/>
  <c r="AF85" i="46"/>
  <c r="CJ84" i="46"/>
  <c r="BH84" i="46"/>
  <c r="AF84" i="46"/>
  <c r="CJ83" i="46"/>
  <c r="BH83" i="46"/>
  <c r="AF83" i="46"/>
  <c r="CJ82" i="46"/>
  <c r="BH82" i="46"/>
  <c r="AF82" i="46"/>
  <c r="AT116" i="46"/>
  <c r="BV113" i="46"/>
  <c r="R111" i="46"/>
  <c r="AT108" i="46"/>
  <c r="BV105" i="46"/>
  <c r="BW103" i="46"/>
  <c r="AY102" i="46"/>
  <c r="BH101" i="46"/>
  <c r="BW100" i="46"/>
  <c r="CN99" i="46"/>
  <c r="AK99" i="46"/>
  <c r="CD98" i="46"/>
  <c r="AV98" i="46"/>
  <c r="CN97" i="46"/>
  <c r="BB97" i="46"/>
  <c r="T97" i="46"/>
  <c r="BL96" i="46"/>
  <c r="Z96" i="46"/>
  <c r="BX95" i="46"/>
  <c r="AJ95" i="46"/>
  <c r="CE94" i="46"/>
  <c r="AY94" i="46"/>
  <c r="T94" i="46"/>
  <c r="BS93" i="46"/>
  <c r="AK93" i="46"/>
  <c r="CL92" i="46"/>
  <c r="BE92" i="46"/>
  <c r="Z92" i="46"/>
  <c r="CA91" i="46"/>
  <c r="AV91" i="46"/>
  <c r="CU90" i="46"/>
  <c r="BM90" i="46"/>
  <c r="AH90" i="46"/>
  <c r="CG89" i="46"/>
  <c r="BE89" i="46"/>
  <c r="AC89" i="46"/>
  <c r="CG88" i="46"/>
  <c r="BE88" i="46"/>
  <c r="AC88" i="46"/>
  <c r="CG87" i="46"/>
  <c r="BE87" i="46"/>
  <c r="AC87" i="46"/>
  <c r="CG86" i="46"/>
  <c r="BE86" i="46"/>
  <c r="AC86" i="46"/>
  <c r="CG85" i="46"/>
  <c r="BE85" i="46"/>
  <c r="AC85" i="46"/>
  <c r="CG84" i="46"/>
  <c r="BE84" i="46"/>
  <c r="AC84" i="46"/>
  <c r="CG83" i="46"/>
  <c r="BE83" i="46"/>
  <c r="AC83" i="46"/>
  <c r="CG82" i="46"/>
  <c r="BE82" i="46"/>
  <c r="AC82" i="46"/>
  <c r="T116" i="46"/>
  <c r="AV113" i="46"/>
  <c r="BX110" i="46"/>
  <c r="T108" i="46"/>
  <c r="AV105" i="46"/>
  <c r="BV103" i="46"/>
  <c r="AX102" i="46"/>
  <c r="AZ101" i="46"/>
  <c r="BV100" i="46"/>
  <c r="CJ99" i="46"/>
  <c r="AJ99" i="46"/>
  <c r="CC98" i="46"/>
  <c r="AU98" i="46"/>
  <c r="CM97" i="46"/>
  <c r="BA97" i="46"/>
  <c r="S97" i="46"/>
  <c r="BK96" i="46"/>
  <c r="Y96" i="46"/>
  <c r="BW95" i="46"/>
  <c r="AI95" i="46"/>
  <c r="CD94" i="46"/>
  <c r="AX94" i="46"/>
  <c r="S94" i="46"/>
  <c r="BO93" i="46"/>
  <c r="AJ93" i="46"/>
  <c r="CK92" i="46"/>
  <c r="BD92" i="46"/>
  <c r="Y92" i="46"/>
  <c r="BZ91" i="46"/>
  <c r="AU91" i="46"/>
  <c r="CQ90" i="46"/>
  <c r="BL90" i="46"/>
  <c r="AG90" i="46"/>
  <c r="CF89" i="46"/>
  <c r="BD89" i="46"/>
  <c r="AB89" i="46"/>
  <c r="CF88" i="46"/>
  <c r="BD88" i="46"/>
  <c r="AB88" i="46"/>
  <c r="CF87" i="46"/>
  <c r="BD87" i="46"/>
  <c r="AB87" i="46"/>
  <c r="CF86" i="46"/>
  <c r="BD86" i="46"/>
  <c r="AB86" i="46"/>
  <c r="CF85" i="46"/>
  <c r="BD85" i="46"/>
  <c r="AB85" i="46"/>
  <c r="CF84" i="46"/>
  <c r="BD84" i="46"/>
  <c r="AB84" i="46"/>
  <c r="CF83" i="46"/>
  <c r="BD83" i="46"/>
  <c r="AB83" i="46"/>
  <c r="CF82" i="46"/>
  <c r="BD82" i="46"/>
  <c r="AB82" i="46"/>
  <c r="S116" i="46"/>
  <c r="AU113" i="46"/>
  <c r="BW110" i="46"/>
  <c r="S108" i="46"/>
  <c r="AU105" i="46"/>
  <c r="AZ103" i="46"/>
  <c r="AW102" i="46"/>
  <c r="AY101" i="46"/>
  <c r="BL100" i="46"/>
  <c r="CC99" i="46"/>
  <c r="AI99" i="46"/>
  <c r="CB98" i="46"/>
  <c r="AT98" i="46"/>
  <c r="CL97" i="46"/>
  <c r="AZ97" i="46"/>
  <c r="R97" i="46"/>
  <c r="BJ96" i="46"/>
  <c r="X96" i="46"/>
  <c r="BV95" i="46"/>
  <c r="AH95" i="46"/>
  <c r="CC94" i="46"/>
  <c r="AW94" i="46"/>
  <c r="R94" i="46"/>
  <c r="BN93" i="46"/>
  <c r="AI93" i="46"/>
  <c r="CJ92" i="46"/>
  <c r="BC92" i="46"/>
  <c r="X92" i="46"/>
  <c r="BY91" i="46"/>
  <c r="AT91" i="46"/>
  <c r="CP90" i="46"/>
  <c r="BK90" i="46"/>
  <c r="AF90" i="46"/>
  <c r="CE89" i="46"/>
  <c r="BC89" i="46"/>
  <c r="AA89" i="46"/>
  <c r="CE88" i="46"/>
  <c r="BC88" i="46"/>
  <c r="AA88" i="46"/>
  <c r="CE87" i="46"/>
  <c r="BC87" i="46"/>
  <c r="AA87" i="46"/>
  <c r="CE86" i="46"/>
  <c r="BC86" i="46"/>
  <c r="AA86" i="46"/>
  <c r="CE85" i="46"/>
  <c r="BC85" i="46"/>
  <c r="AA85" i="46"/>
  <c r="CE84" i="46"/>
  <c r="BC84" i="46"/>
  <c r="AA84" i="46"/>
  <c r="CE83" i="46"/>
  <c r="BC83" i="46"/>
  <c r="AA83" i="46"/>
  <c r="CE82" i="46"/>
  <c r="BC82" i="46"/>
  <c r="AA82" i="46"/>
  <c r="R116" i="46"/>
  <c r="AT113" i="46"/>
  <c r="BV110" i="46"/>
  <c r="R108" i="46"/>
  <c r="AT105" i="46"/>
  <c r="AY103" i="46"/>
  <c r="AV102" i="46"/>
  <c r="AX101" i="46"/>
  <c r="BH100" i="46"/>
  <c r="CB99" i="46"/>
  <c r="AF99" i="46"/>
  <c r="CA98" i="46"/>
  <c r="AM98" i="46"/>
  <c r="CJ97" i="46"/>
  <c r="AY97" i="46"/>
  <c r="CQ96" i="46"/>
  <c r="BH96" i="46"/>
  <c r="W96" i="46"/>
  <c r="BO95" i="46"/>
  <c r="AF95" i="46"/>
  <c r="CB94" i="46"/>
  <c r="AV94" i="46"/>
  <c r="CU93" i="46"/>
  <c r="BM93" i="46"/>
  <c r="AH93" i="46"/>
  <c r="CG92" i="46"/>
  <c r="BB92" i="46"/>
  <c r="W92" i="46"/>
  <c r="BX91" i="46"/>
  <c r="AQ91" i="46"/>
  <c r="CO90" i="46"/>
  <c r="BJ90" i="46"/>
  <c r="AC90" i="46"/>
  <c r="CD89" i="46"/>
  <c r="BB89" i="46"/>
  <c r="Z89" i="46"/>
  <c r="CD88" i="46"/>
  <c r="BB88" i="46"/>
  <c r="Z88" i="46"/>
  <c r="CD87" i="46"/>
  <c r="BB87" i="46"/>
  <c r="Z87" i="46"/>
  <c r="CD86" i="46"/>
  <c r="BB86" i="46"/>
  <c r="Z86" i="46"/>
  <c r="CD85" i="46"/>
  <c r="BB85" i="46"/>
  <c r="Z85" i="46"/>
  <c r="CD84" i="46"/>
  <c r="BB84" i="46"/>
  <c r="Z84" i="46"/>
  <c r="CD83" i="46"/>
  <c r="BB83" i="46"/>
  <c r="Z83" i="46"/>
  <c r="CD82" i="46"/>
  <c r="BB82" i="46"/>
  <c r="Z82" i="46"/>
  <c r="BX115" i="46"/>
  <c r="T113" i="46"/>
  <c r="AV110" i="46"/>
  <c r="BX107" i="46"/>
  <c r="T105" i="46"/>
  <c r="AX103" i="46"/>
  <c r="AU102" i="46"/>
  <c r="AW101" i="46"/>
  <c r="BA100" i="46"/>
  <c r="CA99" i="46"/>
  <c r="AB99" i="46"/>
  <c r="BZ98" i="46"/>
  <c r="AL98" i="46"/>
  <c r="CF97" i="46"/>
  <c r="AX97" i="46"/>
  <c r="CP96" i="46"/>
  <c r="BD96" i="46"/>
  <c r="V96" i="46"/>
  <c r="BN95" i="46"/>
  <c r="AB95" i="46"/>
  <c r="CA94" i="46"/>
  <c r="AU94" i="46"/>
  <c r="CQ93" i="46"/>
  <c r="BL93" i="46"/>
  <c r="AG93" i="46"/>
  <c r="CF92" i="46"/>
  <c r="BA92" i="46"/>
  <c r="V92" i="46"/>
  <c r="BW91" i="46"/>
  <c r="AM91" i="46"/>
  <c r="CN90" i="46"/>
  <c r="BI90" i="46"/>
  <c r="AB90" i="46"/>
  <c r="CC89" i="46"/>
  <c r="BA89" i="46"/>
  <c r="Y89" i="46"/>
  <c r="CC88" i="46"/>
  <c r="BA88" i="46"/>
  <c r="Y88" i="46"/>
  <c r="CC87" i="46"/>
  <c r="BA87" i="46"/>
  <c r="Y87" i="46"/>
  <c r="CC86" i="46"/>
  <c r="BA86" i="46"/>
  <c r="Y86" i="46"/>
  <c r="CC85" i="46"/>
  <c r="BW115" i="46"/>
  <c r="S113" i="46"/>
  <c r="AU110" i="46"/>
  <c r="BW107" i="46"/>
  <c r="S105" i="46"/>
  <c r="AW103" i="46"/>
  <c r="AT102" i="46"/>
  <c r="AV101" i="46"/>
  <c r="AZ100" i="46"/>
  <c r="BZ99" i="46"/>
  <c r="AA99" i="46"/>
  <c r="BY98" i="46"/>
  <c r="AK98" i="46"/>
  <c r="CE97" i="46"/>
  <c r="AW97" i="46"/>
  <c r="CO96" i="46"/>
  <c r="BC96" i="46"/>
  <c r="U96" i="46"/>
  <c r="BM95" i="46"/>
  <c r="AA95" i="46"/>
  <c r="BZ94" i="46"/>
  <c r="AT94" i="46"/>
  <c r="CP93" i="46"/>
  <c r="BK93" i="46"/>
  <c r="AF93" i="46"/>
  <c r="CE92" i="46"/>
  <c r="AZ92" i="46"/>
  <c r="U92" i="46"/>
  <c r="BV91" i="46"/>
  <c r="AL91" i="46"/>
  <c r="CM90" i="46"/>
  <c r="BH90" i="46"/>
  <c r="AA90" i="46"/>
  <c r="CB89" i="46"/>
  <c r="AZ89" i="46"/>
  <c r="X89" i="46"/>
  <c r="CB88" i="46"/>
  <c r="AZ88" i="46"/>
  <c r="X88" i="46"/>
  <c r="CB87" i="46"/>
  <c r="AZ87" i="46"/>
  <c r="X87" i="46"/>
  <c r="CB86" i="46"/>
  <c r="AZ86" i="46"/>
  <c r="X86" i="46"/>
  <c r="CB85" i="46"/>
  <c r="AZ85" i="46"/>
  <c r="X85" i="46"/>
  <c r="CB84" i="46"/>
  <c r="AZ84" i="46"/>
  <c r="X84" i="46"/>
  <c r="CB83" i="46"/>
  <c r="AZ83" i="46"/>
  <c r="X83" i="46"/>
  <c r="CB82" i="46"/>
  <c r="AZ82" i="46"/>
  <c r="BV115" i="46"/>
  <c r="R113" i="46"/>
  <c r="AT110" i="46"/>
  <c r="BV107" i="46"/>
  <c r="R105" i="46"/>
  <c r="AV103" i="46"/>
  <c r="AF102" i="46"/>
  <c r="AU101" i="46"/>
  <c r="AY100" i="46"/>
  <c r="BY99" i="46"/>
  <c r="Z99" i="46"/>
  <c r="BX98" i="46"/>
  <c r="AJ98" i="46"/>
  <c r="CD97" i="46"/>
  <c r="AV97" i="46"/>
  <c r="CN96" i="46"/>
  <c r="BB96" i="46"/>
  <c r="T96" i="46"/>
  <c r="BL95" i="46"/>
  <c r="Z95" i="46"/>
  <c r="BY94" i="46"/>
  <c r="AQ94" i="46"/>
  <c r="CO93" i="46"/>
  <c r="BJ93" i="46"/>
  <c r="AC93" i="46"/>
  <c r="CD92" i="46"/>
  <c r="AY92" i="46"/>
  <c r="T92" i="46"/>
  <c r="BS91" i="46"/>
  <c r="AK91" i="46"/>
  <c r="CL90" i="46"/>
  <c r="BE90" i="46"/>
  <c r="Z90" i="46"/>
  <c r="CA89" i="46"/>
  <c r="AY89" i="46"/>
  <c r="W89" i="46"/>
  <c r="CA88" i="46"/>
  <c r="AY88" i="46"/>
  <c r="W88" i="46"/>
  <c r="CA87" i="46"/>
  <c r="AY87" i="46"/>
  <c r="W87" i="46"/>
  <c r="CA86" i="46"/>
  <c r="AY86" i="46"/>
  <c r="W86" i="46"/>
  <c r="CA85" i="46"/>
  <c r="AY85" i="46"/>
  <c r="W85" i="46"/>
  <c r="AV115" i="46"/>
  <c r="BX112" i="46"/>
  <c r="T110" i="46"/>
  <c r="AV107" i="46"/>
  <c r="BX104" i="46"/>
  <c r="AU103" i="46"/>
  <c r="X102" i="46"/>
  <c r="AT101" i="46"/>
  <c r="AX100" i="46"/>
  <c r="BX99" i="46"/>
  <c r="Y99" i="46"/>
  <c r="BW98" i="46"/>
  <c r="AI98" i="46"/>
  <c r="CC97" i="46"/>
  <c r="AU97" i="46"/>
  <c r="CM96" i="46"/>
  <c r="BA96" i="46"/>
  <c r="S96" i="46"/>
  <c r="BK95" i="46"/>
  <c r="Y95" i="46"/>
  <c r="BX94" i="46"/>
  <c r="AM94" i="46"/>
  <c r="CN93" i="46"/>
  <c r="BI93" i="46"/>
  <c r="AB93" i="46"/>
  <c r="CC92" i="46"/>
  <c r="AX92" i="46"/>
  <c r="S92" i="46"/>
  <c r="BO91" i="46"/>
  <c r="AJ91" i="46"/>
  <c r="CK90" i="46"/>
  <c r="BD90" i="46"/>
  <c r="Y90" i="46"/>
  <c r="BZ89" i="46"/>
  <c r="AX89" i="46"/>
  <c r="V89" i="46"/>
  <c r="BZ88" i="46"/>
  <c r="AX88" i="46"/>
  <c r="V88" i="46"/>
  <c r="BZ87" i="46"/>
  <c r="AX87" i="46"/>
  <c r="V87" i="46"/>
  <c r="AT115" i="46"/>
  <c r="BV112" i="46"/>
  <c r="R110" i="46"/>
  <c r="AT107" i="46"/>
  <c r="BV104" i="46"/>
  <c r="X103" i="46"/>
  <c r="V102" i="46"/>
  <c r="AF101" i="46"/>
  <c r="AV100" i="46"/>
  <c r="BV99" i="46"/>
  <c r="W99" i="46"/>
  <c r="BO98" i="46"/>
  <c r="AF98" i="46"/>
  <c r="CA97" i="46"/>
  <c r="AM97" i="46"/>
  <c r="CJ96" i="46"/>
  <c r="AY96" i="46"/>
  <c r="CQ95" i="46"/>
  <c r="BH95" i="46"/>
  <c r="W95" i="46"/>
  <c r="BV94" i="46"/>
  <c r="AK94" i="46"/>
  <c r="CL93" i="46"/>
  <c r="BE93" i="46"/>
  <c r="Z93" i="46"/>
  <c r="CA92" i="46"/>
  <c r="AV92" i="46"/>
  <c r="CU91" i="46"/>
  <c r="BM91" i="46"/>
  <c r="AH91" i="46"/>
  <c r="CG90" i="46"/>
  <c r="BB90" i="46"/>
  <c r="W90" i="46"/>
  <c r="BX89" i="46"/>
  <c r="AV89" i="46"/>
  <c r="T89" i="46"/>
  <c r="BX88" i="46"/>
  <c r="AV88" i="46"/>
  <c r="T88" i="46"/>
  <c r="BX87" i="46"/>
  <c r="AV87" i="46"/>
  <c r="T87" i="46"/>
  <c r="BX86" i="46"/>
  <c r="AV86" i="46"/>
  <c r="T86" i="46"/>
  <c r="BX85" i="46"/>
  <c r="AV85" i="46"/>
  <c r="T85" i="46"/>
  <c r="BX84" i="46"/>
  <c r="AV84" i="46"/>
  <c r="T84" i="46"/>
  <c r="BX83" i="46"/>
  <c r="AV83" i="46"/>
  <c r="T83" i="46"/>
  <c r="BX82" i="46"/>
  <c r="AV82" i="46"/>
  <c r="T82" i="46"/>
  <c r="AU115" i="46"/>
  <c r="AA93" i="46"/>
  <c r="BZ85" i="46"/>
  <c r="CA83" i="46"/>
  <c r="BA82" i="46"/>
  <c r="BW112" i="46"/>
  <c r="CB92" i="46"/>
  <c r="BY85" i="46"/>
  <c r="BZ83" i="46"/>
  <c r="AY82" i="46"/>
  <c r="S110" i="46"/>
  <c r="AW92" i="46"/>
  <c r="BA85" i="46"/>
  <c r="BY83" i="46"/>
  <c r="AX82" i="46"/>
  <c r="AU107" i="46"/>
  <c r="R92" i="46"/>
  <c r="AX85" i="46"/>
  <c r="BN83" i="46"/>
  <c r="AW82" i="46"/>
  <c r="BW104" i="46"/>
  <c r="BN91" i="46"/>
  <c r="AW85" i="46"/>
  <c r="BA83" i="46"/>
  <c r="AU82" i="46"/>
  <c r="AT103" i="46"/>
  <c r="AI91" i="46"/>
  <c r="Y85" i="46"/>
  <c r="AY83" i="46"/>
  <c r="AL82" i="46"/>
  <c r="W102" i="46"/>
  <c r="CJ90" i="46"/>
  <c r="V85" i="46"/>
  <c r="AX83" i="46"/>
  <c r="AK82" i="46"/>
  <c r="AJ101" i="46"/>
  <c r="BC90" i="46"/>
  <c r="U85" i="46"/>
  <c r="AW83" i="46"/>
  <c r="AJ82" i="46"/>
  <c r="AW100" i="46"/>
  <c r="X90" i="46"/>
  <c r="CC84" i="46"/>
  <c r="AL83" i="46"/>
  <c r="Y82" i="46"/>
  <c r="BW99" i="46"/>
  <c r="BY89" i="46"/>
  <c r="CA84" i="46"/>
  <c r="AK83" i="46"/>
  <c r="X82" i="46"/>
  <c r="X99" i="46"/>
  <c r="AW89" i="46"/>
  <c r="BZ84" i="46"/>
  <c r="Y83" i="46"/>
  <c r="W82" i="46"/>
  <c r="BV98" i="46"/>
  <c r="U89" i="46"/>
  <c r="BY84" i="46"/>
  <c r="W83" i="46"/>
  <c r="V82" i="46"/>
  <c r="AH98" i="46"/>
  <c r="BY88" i="46"/>
  <c r="BN84" i="46"/>
  <c r="V83" i="46"/>
  <c r="U82" i="46"/>
  <c r="CB97" i="46"/>
  <c r="AW88" i="46"/>
  <c r="BA84" i="46"/>
  <c r="U83" i="46"/>
  <c r="S82" i="46"/>
  <c r="AT97" i="46"/>
  <c r="U88" i="46"/>
  <c r="AY84" i="46"/>
  <c r="CP82" i="46"/>
  <c r="CL96" i="46"/>
  <c r="BY87" i="46"/>
  <c r="AX84" i="46"/>
  <c r="CO82" i="46"/>
  <c r="AZ96" i="46"/>
  <c r="AW87" i="46"/>
  <c r="AW84" i="46"/>
  <c r="CN82" i="46"/>
  <c r="R96" i="46"/>
  <c r="U87" i="46"/>
  <c r="AL84" i="46"/>
  <c r="CC82" i="46"/>
  <c r="BJ95" i="46"/>
  <c r="BZ86" i="46"/>
  <c r="Y84" i="46"/>
  <c r="CA82" i="46"/>
  <c r="X95" i="46"/>
  <c r="BY86" i="46"/>
  <c r="W84" i="46"/>
  <c r="BZ82" i="46"/>
  <c r="BW94" i="46"/>
  <c r="AX86" i="46"/>
  <c r="V84" i="46"/>
  <c r="BY82" i="46"/>
  <c r="AL94" i="46"/>
  <c r="AW86" i="46"/>
  <c r="U84" i="46"/>
  <c r="BN82" i="46"/>
  <c r="BH93" i="46"/>
  <c r="U86" i="46"/>
  <c r="CC83" i="46"/>
  <c r="BL82" i="46"/>
  <c r="CM93" i="46"/>
  <c r="V86" i="46"/>
  <c r="CP83" i="46"/>
  <c r="BM82" i="46"/>
  <c r="X14" i="8"/>
  <c r="T31" i="8"/>
  <c r="X58" i="8"/>
  <c r="W126" i="8"/>
  <c r="AM7" i="8"/>
  <c r="AN9" i="8"/>
  <c r="AO11" i="8"/>
  <c r="AP13" i="8"/>
  <c r="AQ15" i="8"/>
  <c r="AF18" i="8"/>
  <c r="AG20" i="8"/>
  <c r="AH22" i="8"/>
  <c r="AI24" i="8"/>
  <c r="AJ26" i="8"/>
  <c r="AK28" i="8"/>
  <c r="AL30" i="8"/>
  <c r="AM32" i="8"/>
  <c r="AN34" i="8"/>
  <c r="AO36" i="8"/>
  <c r="AP38" i="8"/>
  <c r="AF41" i="8"/>
  <c r="AI82" i="8"/>
  <c r="AP85" i="8"/>
  <c r="AP89" i="8"/>
  <c r="AP93" i="8"/>
  <c r="AI99" i="8"/>
  <c r="AI105" i="8"/>
  <c r="AN111" i="8"/>
  <c r="AL135" i="8"/>
  <c r="Q199" i="2"/>
  <c r="P199" i="2" s="1"/>
  <c r="Q203" i="2"/>
  <c r="P203" i="2" s="1"/>
  <c r="Y14" i="8"/>
  <c r="U31" i="8"/>
  <c r="AC60" i="8"/>
  <c r="AB126" i="8"/>
  <c r="AN7" i="8"/>
  <c r="AO9" i="8"/>
  <c r="AP11" i="8"/>
  <c r="AQ13" i="8"/>
  <c r="AF16" i="8"/>
  <c r="AG18" i="8"/>
  <c r="AH20" i="8"/>
  <c r="AI22" i="8"/>
  <c r="AJ24" i="8"/>
  <c r="AK26" i="8"/>
  <c r="AL28" i="8"/>
  <c r="AM30" i="8"/>
  <c r="AN32" i="8"/>
  <c r="AO34" i="8"/>
  <c r="AP36" i="8"/>
  <c r="AQ38" i="8"/>
  <c r="AG41" i="8"/>
  <c r="AK82" i="8"/>
  <c r="AQ85" i="8"/>
  <c r="AQ89" i="8"/>
  <c r="AQ93" i="8"/>
  <c r="AJ99" i="8"/>
  <c r="AJ105" i="8"/>
  <c r="AK113" i="8"/>
  <c r="AL137" i="8"/>
  <c r="R6" i="8"/>
  <c r="S8" i="8"/>
  <c r="U10" i="8"/>
  <c r="V12" i="8"/>
  <c r="W14" i="8"/>
  <c r="X16" i="8"/>
  <c r="Y18" i="8"/>
  <c r="Z20" i="8"/>
  <c r="AA22" i="8"/>
  <c r="AB24" i="8"/>
  <c r="AC26" i="8"/>
  <c r="R29" i="8"/>
  <c r="S31" i="8"/>
  <c r="T33" i="8"/>
  <c r="U35" i="8"/>
  <c r="V37" i="8"/>
  <c r="W39" i="8"/>
  <c r="X41" i="8"/>
  <c r="Y45" i="8"/>
  <c r="AA47" i="8"/>
  <c r="X50" i="8"/>
  <c r="AC52" i="8"/>
  <c r="X55" i="8"/>
  <c r="V58" i="8"/>
  <c r="AB60" i="8"/>
  <c r="X63" i="8"/>
  <c r="W66" i="8"/>
  <c r="R69" i="8"/>
  <c r="X72" i="8"/>
  <c r="X75" i="8"/>
  <c r="AB78" i="8"/>
  <c r="Z84" i="8"/>
  <c r="AB88" i="8"/>
  <c r="V94" i="8"/>
  <c r="Y100" i="8"/>
  <c r="Z108" i="8"/>
  <c r="V126" i="8"/>
  <c r="V142" i="8"/>
  <c r="AA176" i="8"/>
  <c r="X35" i="8"/>
  <c r="Y37" i="8"/>
  <c r="Z39" i="8"/>
  <c r="AA41" i="8"/>
  <c r="AB45" i="8"/>
  <c r="V48" i="8"/>
  <c r="AA50" i="8"/>
  <c r="T53" i="8"/>
  <c r="AA55" i="8"/>
  <c r="Y58" i="8"/>
  <c r="S61" i="8"/>
  <c r="AA63" i="8"/>
  <c r="Z66" i="8"/>
  <c r="X69" i="8"/>
  <c r="AA72" i="8"/>
  <c r="U76" i="8"/>
  <c r="U79" i="8"/>
  <c r="AC84" i="8"/>
  <c r="U90" i="8"/>
  <c r="Y94" i="8"/>
  <c r="U102" i="8"/>
  <c r="W110" i="8"/>
  <c r="V128" i="8"/>
  <c r="V144" i="8"/>
  <c r="AA183" i="8"/>
  <c r="W6" i="8"/>
  <c r="X8" i="8"/>
  <c r="Y10" i="8"/>
  <c r="Z12" i="8"/>
  <c r="AA14" i="8"/>
  <c r="AB16" i="8"/>
  <c r="AC18" i="8"/>
  <c r="R21" i="8"/>
  <c r="S23" i="8"/>
  <c r="T25" i="8"/>
  <c r="U27" i="8"/>
  <c r="V29" i="8"/>
  <c r="W31" i="8"/>
  <c r="X33" i="8"/>
  <c r="Y35" i="8"/>
  <c r="Z37" i="8"/>
  <c r="AA39" i="8"/>
  <c r="AB41" i="8"/>
  <c r="AC45" i="8"/>
  <c r="W48" i="8"/>
  <c r="AB50" i="8"/>
  <c r="U53" i="8"/>
  <c r="R56" i="8"/>
  <c r="Z58" i="8"/>
  <c r="T61" i="8"/>
  <c r="R64" i="8"/>
  <c r="AA66" i="8"/>
  <c r="Y69" i="8"/>
  <c r="AB72" i="8"/>
  <c r="V76" i="8"/>
  <c r="Y79" i="8"/>
  <c r="R85" i="8"/>
  <c r="V90" i="8"/>
  <c r="Z94" i="8"/>
  <c r="V102" i="8"/>
  <c r="Z110" i="8"/>
  <c r="W128" i="8"/>
  <c r="W144" i="8"/>
  <c r="S186" i="8"/>
  <c r="X6" i="8"/>
  <c r="Y8" i="8"/>
  <c r="Z10" i="8"/>
  <c r="AA12" i="8"/>
  <c r="AB14" i="8"/>
  <c r="AC16" i="8"/>
  <c r="R19" i="8"/>
  <c r="S21" i="8"/>
  <c r="T23" i="8"/>
  <c r="U25" i="8"/>
  <c r="V27" i="8"/>
  <c r="W29" i="8"/>
  <c r="X31" i="8"/>
  <c r="Y33" i="8"/>
  <c r="Z35" i="8"/>
  <c r="AA37" i="8"/>
  <c r="AB39" i="8"/>
  <c r="R46" i="8"/>
  <c r="X48" i="8"/>
  <c r="AC50" i="8"/>
  <c r="W53" i="8"/>
  <c r="U56" i="8"/>
  <c r="AA58" i="8"/>
  <c r="U61" i="8"/>
  <c r="U64" i="8"/>
  <c r="AB66" i="8"/>
  <c r="AA69" i="8"/>
  <c r="AC72" i="8"/>
  <c r="W76" i="8"/>
  <c r="AA79" i="8"/>
  <c r="U85" i="8"/>
  <c r="W90" i="8"/>
  <c r="AB94" i="8"/>
  <c r="W102" i="8"/>
  <c r="AB110" i="8"/>
  <c r="AB128" i="8"/>
  <c r="AB144" i="8"/>
  <c r="X188" i="8"/>
  <c r="T40" i="8"/>
  <c r="T38" i="8"/>
  <c r="T36" i="8"/>
  <c r="T34" i="8"/>
  <c r="T32" i="8"/>
  <c r="T30" i="8"/>
  <c r="T28" i="8"/>
  <c r="T26" i="8"/>
  <c r="T24" i="8"/>
  <c r="T22" i="8"/>
  <c r="T20" i="8"/>
  <c r="T18" i="8"/>
  <c r="T16" i="8"/>
  <c r="T14" i="8"/>
  <c r="T12" i="8"/>
  <c r="T10" i="8"/>
  <c r="T8" i="8"/>
  <c r="T6" i="8"/>
  <c r="Y6" i="8"/>
  <c r="Z8" i="8"/>
  <c r="AA10" i="8"/>
  <c r="AB12" i="8"/>
  <c r="AC14" i="8"/>
  <c r="R17" i="8"/>
  <c r="S19" i="8"/>
  <c r="T21" i="8"/>
  <c r="U23" i="8"/>
  <c r="V25" i="8"/>
  <c r="W27" i="8"/>
  <c r="X29" i="8"/>
  <c r="Y31" i="8"/>
  <c r="Z33" i="8"/>
  <c r="AA35" i="8"/>
  <c r="AB37" i="8"/>
  <c r="AC39" i="8"/>
  <c r="R44" i="8"/>
  <c r="S46" i="8"/>
  <c r="Y48" i="8"/>
  <c r="R51" i="8"/>
  <c r="X53" i="8"/>
  <c r="V56" i="8"/>
  <c r="AB58" i="8"/>
  <c r="X61" i="8"/>
  <c r="V64" i="8"/>
  <c r="AC66" i="8"/>
  <c r="U70" i="8"/>
  <c r="R73" i="8"/>
  <c r="U82" i="8"/>
  <c r="Y85" i="8"/>
  <c r="X90" i="8"/>
  <c r="U96" i="8"/>
  <c r="X102" i="8"/>
  <c r="V112" i="8"/>
  <c r="V130" i="8"/>
  <c r="V146" i="8"/>
  <c r="T78" i="8"/>
  <c r="T76" i="8"/>
  <c r="T74" i="8"/>
  <c r="T72" i="8"/>
  <c r="T70" i="8"/>
  <c r="T68" i="8"/>
  <c r="T66" i="8"/>
  <c r="T64" i="8"/>
  <c r="T62" i="8"/>
  <c r="T60" i="8"/>
  <c r="T58" i="8"/>
  <c r="T56" i="8"/>
  <c r="T54" i="8"/>
  <c r="T52" i="8"/>
  <c r="T50" i="8"/>
  <c r="T48" i="8"/>
  <c r="T46" i="8"/>
  <c r="T44" i="8"/>
  <c r="S78" i="8"/>
  <c r="S76" i="8"/>
  <c r="S74" i="8"/>
  <c r="S72" i="8"/>
  <c r="S70" i="8"/>
  <c r="S68" i="8"/>
  <c r="S66" i="8"/>
  <c r="S64" i="8"/>
  <c r="S62" i="8"/>
  <c r="S60" i="8"/>
  <c r="S58" i="8"/>
  <c r="S56" i="8"/>
  <c r="S54" i="8"/>
  <c r="S52" i="8"/>
  <c r="S50" i="8"/>
  <c r="S48" i="8"/>
  <c r="R78" i="8"/>
  <c r="R76" i="8"/>
  <c r="R74" i="8"/>
  <c r="R72" i="8"/>
  <c r="R70" i="8"/>
  <c r="R68" i="8"/>
  <c r="R66" i="8"/>
  <c r="AC79" i="8"/>
  <c r="AC77" i="8"/>
  <c r="AC75" i="8"/>
  <c r="AC73" i="8"/>
  <c r="AC71" i="8"/>
  <c r="AC69" i="8"/>
  <c r="AC67" i="8"/>
  <c r="AC65" i="8"/>
  <c r="AC63" i="8"/>
  <c r="AC61" i="8"/>
  <c r="AC59" i="8"/>
  <c r="AC57" i="8"/>
  <c r="AC55" i="8"/>
  <c r="AC53" i="8"/>
  <c r="AC51" i="8"/>
  <c r="AC49" i="8"/>
  <c r="AC47" i="8"/>
  <c r="AB79" i="8"/>
  <c r="AB77" i="8"/>
  <c r="AB75" i="8"/>
  <c r="AB73" i="8"/>
  <c r="AB71" i="8"/>
  <c r="AB69" i="8"/>
  <c r="AB67" i="8"/>
  <c r="AB65" i="8"/>
  <c r="AB63" i="8"/>
  <c r="AB61" i="8"/>
  <c r="AB59" i="8"/>
  <c r="AB57" i="8"/>
  <c r="AB55" i="8"/>
  <c r="AB53" i="8"/>
  <c r="AB51" i="8"/>
  <c r="AB49" i="8"/>
  <c r="AB47" i="8"/>
  <c r="Z79" i="8"/>
  <c r="Z77" i="8"/>
  <c r="Z75" i="8"/>
  <c r="Z73" i="8"/>
  <c r="Z71" i="8"/>
  <c r="Z69" i="8"/>
  <c r="X79" i="8"/>
  <c r="X77" i="8"/>
  <c r="W79" i="8"/>
  <c r="W77" i="8"/>
  <c r="W75" i="8"/>
  <c r="W73" i="8"/>
  <c r="W71" i="8"/>
  <c r="W69" i="8"/>
  <c r="W67" i="8"/>
  <c r="W65" i="8"/>
  <c r="W63" i="8"/>
  <c r="W61" i="8"/>
  <c r="W59" i="8"/>
  <c r="W57" i="8"/>
  <c r="W55" i="8"/>
  <c r="V79" i="8"/>
  <c r="V77" i="8"/>
  <c r="V75" i="8"/>
  <c r="V73" i="8"/>
  <c r="V71" i="8"/>
  <c r="V69" i="8"/>
  <c r="V67" i="8"/>
  <c r="V65" i="8"/>
  <c r="V63" i="8"/>
  <c r="V61" i="8"/>
  <c r="V59" i="8"/>
  <c r="V57" i="8"/>
  <c r="V55" i="8"/>
  <c r="V53" i="8"/>
  <c r="V51" i="8"/>
  <c r="V49" i="8"/>
  <c r="V47" i="8"/>
  <c r="T79" i="8"/>
  <c r="T77" i="8"/>
  <c r="T75" i="8"/>
  <c r="T73" i="8"/>
  <c r="T71" i="8"/>
  <c r="T69" i="8"/>
  <c r="S79" i="8"/>
  <c r="Z6" i="8"/>
  <c r="AA8" i="8"/>
  <c r="AB10" i="8"/>
  <c r="AC12" i="8"/>
  <c r="R15" i="8"/>
  <c r="S17" i="8"/>
  <c r="T19" i="8"/>
  <c r="U21" i="8"/>
  <c r="V23" i="8"/>
  <c r="W25" i="8"/>
  <c r="X27" i="8"/>
  <c r="Y29" i="8"/>
  <c r="Z31" i="8"/>
  <c r="AA33" i="8"/>
  <c r="AB35" i="8"/>
  <c r="AC37" i="8"/>
  <c r="R40" i="8"/>
  <c r="S44" i="8"/>
  <c r="U46" i="8"/>
  <c r="Z48" i="8"/>
  <c r="S51" i="8"/>
  <c r="Y53" i="8"/>
  <c r="W56" i="8"/>
  <c r="AC58" i="8"/>
  <c r="Y61" i="8"/>
  <c r="W64" i="8"/>
  <c r="R67" i="8"/>
  <c r="V70" i="8"/>
  <c r="S73" i="8"/>
  <c r="Y76" i="8"/>
  <c r="V82" i="8"/>
  <c r="U86" i="8"/>
  <c r="Y90" i="8"/>
  <c r="V96" i="8"/>
  <c r="Y102" i="8"/>
  <c r="W130" i="8"/>
  <c r="W146" i="8"/>
  <c r="S196" i="8"/>
  <c r="T116" i="8"/>
  <c r="T114" i="8"/>
  <c r="T112" i="8"/>
  <c r="T110" i="8"/>
  <c r="T108" i="8"/>
  <c r="T106" i="8"/>
  <c r="T104" i="8"/>
  <c r="T102" i="8"/>
  <c r="T100" i="8"/>
  <c r="T98" i="8"/>
  <c r="T96" i="8"/>
  <c r="T94" i="8"/>
  <c r="T92" i="8"/>
  <c r="T90" i="8"/>
  <c r="T88" i="8"/>
  <c r="T86" i="8"/>
  <c r="T84" i="8"/>
  <c r="T82" i="8"/>
  <c r="S116" i="8"/>
  <c r="S114" i="8"/>
  <c r="S112" i="8"/>
  <c r="S110" i="8"/>
  <c r="S108" i="8"/>
  <c r="S106" i="8"/>
  <c r="S104" i="8"/>
  <c r="S102" i="8"/>
  <c r="S100" i="8"/>
  <c r="S98" i="8"/>
  <c r="S96" i="8"/>
  <c r="S94" i="8"/>
  <c r="S92" i="8"/>
  <c r="S90" i="8"/>
  <c r="S88" i="8"/>
  <c r="S86" i="8"/>
  <c r="S84" i="8"/>
  <c r="S82" i="8"/>
  <c r="R116" i="8"/>
  <c r="R114" i="8"/>
  <c r="R112" i="8"/>
  <c r="R110" i="8"/>
  <c r="R108" i="8"/>
  <c r="R106" i="8"/>
  <c r="R104" i="8"/>
  <c r="R102" i="8"/>
  <c r="R100" i="8"/>
  <c r="R98" i="8"/>
  <c r="R96" i="8"/>
  <c r="R94" i="8"/>
  <c r="R92" i="8"/>
  <c r="R90" i="8"/>
  <c r="R88" i="8"/>
  <c r="R86" i="8"/>
  <c r="R84" i="8"/>
  <c r="R82" i="8"/>
  <c r="AC117" i="8"/>
  <c r="AC115" i="8"/>
  <c r="AC113" i="8"/>
  <c r="AC111" i="8"/>
  <c r="AC109" i="8"/>
  <c r="AC107" i="8"/>
  <c r="AC105" i="8"/>
  <c r="AC103" i="8"/>
  <c r="AC101" i="8"/>
  <c r="AC99" i="8"/>
  <c r="AC97" i="8"/>
  <c r="AC95" i="8"/>
  <c r="AC93" i="8"/>
  <c r="AC91" i="8"/>
  <c r="AC89" i="8"/>
  <c r="AC87" i="8"/>
  <c r="AC85" i="8"/>
  <c r="AC83" i="8"/>
  <c r="AB117" i="8"/>
  <c r="AB115" i="8"/>
  <c r="AB113" i="8"/>
  <c r="AB111" i="8"/>
  <c r="AB109" i="8"/>
  <c r="AB107" i="8"/>
  <c r="AB105" i="8"/>
  <c r="AB103" i="8"/>
  <c r="AB101" i="8"/>
  <c r="AB99" i="8"/>
  <c r="AB97" i="8"/>
  <c r="AB95" i="8"/>
  <c r="AB93" i="8"/>
  <c r="AB91" i="8"/>
  <c r="AB89" i="8"/>
  <c r="AB87" i="8"/>
  <c r="AB85" i="8"/>
  <c r="AB83" i="8"/>
  <c r="AA117" i="8"/>
  <c r="AA115" i="8"/>
  <c r="AA113" i="8"/>
  <c r="AA111" i="8"/>
  <c r="AA109" i="8"/>
  <c r="AA107" i="8"/>
  <c r="AA105" i="8"/>
  <c r="AA103" i="8"/>
  <c r="AA101" i="8"/>
  <c r="AA99" i="8"/>
  <c r="AA97" i="8"/>
  <c r="AA95" i="8"/>
  <c r="AA93" i="8"/>
  <c r="AA91" i="8"/>
  <c r="AA89" i="8"/>
  <c r="AA87" i="8"/>
  <c r="AA85" i="8"/>
  <c r="Z117" i="8"/>
  <c r="Z115" i="8"/>
  <c r="Z113" i="8"/>
  <c r="Z111" i="8"/>
  <c r="Z109" i="8"/>
  <c r="Z107" i="8"/>
  <c r="Z105" i="8"/>
  <c r="Z103" i="8"/>
  <c r="Z101" i="8"/>
  <c r="Z99" i="8"/>
  <c r="Z97" i="8"/>
  <c r="Z95" i="8"/>
  <c r="Z93" i="8"/>
  <c r="Z91" i="8"/>
  <c r="Z89" i="8"/>
  <c r="Z87" i="8"/>
  <c r="Z85" i="8"/>
  <c r="Z83" i="8"/>
  <c r="Y117" i="8"/>
  <c r="Y115" i="8"/>
  <c r="Y113" i="8"/>
  <c r="Y111" i="8"/>
  <c r="Y109" i="8"/>
  <c r="Y107" i="8"/>
  <c r="Y105" i="8"/>
  <c r="Y103" i="8"/>
  <c r="Y101" i="8"/>
  <c r="Y99" i="8"/>
  <c r="Y97" i="8"/>
  <c r="Y95" i="8"/>
  <c r="X117" i="8"/>
  <c r="X115" i="8"/>
  <c r="X113" i="8"/>
  <c r="X111" i="8"/>
  <c r="X109" i="8"/>
  <c r="X107" i="8"/>
  <c r="X105" i="8"/>
  <c r="X103" i="8"/>
  <c r="X101" i="8"/>
  <c r="X99" i="8"/>
  <c r="X97" i="8"/>
  <c r="X95" i="8"/>
  <c r="X93" i="8"/>
  <c r="X91" i="8"/>
  <c r="X89" i="8"/>
  <c r="X87" i="8"/>
  <c r="X85" i="8"/>
  <c r="X83" i="8"/>
  <c r="W117" i="8"/>
  <c r="W115" i="8"/>
  <c r="W113" i="8"/>
  <c r="W111" i="8"/>
  <c r="W109" i="8"/>
  <c r="W107" i="8"/>
  <c r="W105" i="8"/>
  <c r="W103" i="8"/>
  <c r="W101" i="8"/>
  <c r="W99" i="8"/>
  <c r="W97" i="8"/>
  <c r="W95" i="8"/>
  <c r="W93" i="8"/>
  <c r="W91" i="8"/>
  <c r="W89" i="8"/>
  <c r="W87" i="8"/>
  <c r="W85" i="8"/>
  <c r="W83" i="8"/>
  <c r="V117" i="8"/>
  <c r="V115" i="8"/>
  <c r="V113" i="8"/>
  <c r="V111" i="8"/>
  <c r="V109" i="8"/>
  <c r="V107" i="8"/>
  <c r="V105" i="8"/>
  <c r="V103" i="8"/>
  <c r="V101" i="8"/>
  <c r="V99" i="8"/>
  <c r="V97" i="8"/>
  <c r="V95" i="8"/>
  <c r="V93" i="8"/>
  <c r="V91" i="8"/>
  <c r="V89" i="8"/>
  <c r="V87" i="8"/>
  <c r="V85" i="8"/>
  <c r="V83" i="8"/>
  <c r="U117" i="8"/>
  <c r="U115" i="8"/>
  <c r="U113" i="8"/>
  <c r="U111" i="8"/>
  <c r="U109" i="8"/>
  <c r="U107" i="8"/>
  <c r="U105" i="8"/>
  <c r="U103" i="8"/>
  <c r="U101" i="8"/>
  <c r="U99" i="8"/>
  <c r="U97" i="8"/>
  <c r="U95" i="8"/>
  <c r="U93" i="8"/>
  <c r="U91" i="8"/>
  <c r="U89" i="8"/>
  <c r="U87" i="8"/>
  <c r="T117" i="8"/>
  <c r="T115" i="8"/>
  <c r="T113" i="8"/>
  <c r="T111" i="8"/>
  <c r="T109" i="8"/>
  <c r="T107" i="8"/>
  <c r="T105" i="8"/>
  <c r="T103" i="8"/>
  <c r="T101" i="8"/>
  <c r="T99" i="8"/>
  <c r="T97" i="8"/>
  <c r="T95" i="8"/>
  <c r="T93" i="8"/>
  <c r="T91" i="8"/>
  <c r="T89" i="8"/>
  <c r="T87" i="8"/>
  <c r="T85" i="8"/>
  <c r="T83" i="8"/>
  <c r="S117" i="8"/>
  <c r="S115" i="8"/>
  <c r="S113" i="8"/>
  <c r="S111" i="8"/>
  <c r="S109" i="8"/>
  <c r="S107" i="8"/>
  <c r="S105" i="8"/>
  <c r="S103" i="8"/>
  <c r="S101" i="8"/>
  <c r="S99" i="8"/>
  <c r="S97" i="8"/>
  <c r="S95" i="8"/>
  <c r="S93" i="8"/>
  <c r="S91" i="8"/>
  <c r="S89" i="8"/>
  <c r="S87" i="8"/>
  <c r="S85" i="8"/>
  <c r="S83" i="8"/>
  <c r="R117" i="8"/>
  <c r="R115" i="8"/>
  <c r="R113" i="8"/>
  <c r="R111" i="8"/>
  <c r="R109" i="8"/>
  <c r="R107" i="8"/>
  <c r="R105" i="8"/>
  <c r="R103" i="8"/>
  <c r="R101" i="8"/>
  <c r="R99" i="8"/>
  <c r="R97" i="8"/>
  <c r="R95" i="8"/>
  <c r="R93" i="8"/>
  <c r="R91" i="8"/>
  <c r="R89" i="8"/>
  <c r="R87" i="8"/>
  <c r="AC116" i="8"/>
  <c r="AC114" i="8"/>
  <c r="AC112" i="8"/>
  <c r="AC110" i="8"/>
  <c r="AC108" i="8"/>
  <c r="AC106" i="8"/>
  <c r="AC104" i="8"/>
  <c r="AC102" i="8"/>
  <c r="AC100" i="8"/>
  <c r="AC98" i="8"/>
  <c r="AC96" i="8"/>
  <c r="AC94" i="8"/>
  <c r="AA116" i="8"/>
  <c r="AA114" i="8"/>
  <c r="AA112" i="8"/>
  <c r="AA110" i="8"/>
  <c r="AA108" i="8"/>
  <c r="AA106" i="8"/>
  <c r="AA104" i="8"/>
  <c r="AA102" i="8"/>
  <c r="AA100" i="8"/>
  <c r="AA98" i="8"/>
  <c r="AA96" i="8"/>
  <c r="AA94" i="8"/>
  <c r="Z116" i="8"/>
  <c r="Z114" i="8"/>
  <c r="Z112" i="8"/>
  <c r="Y116" i="8"/>
  <c r="Y114" i="8"/>
  <c r="Y112" i="8"/>
  <c r="Y110" i="8"/>
  <c r="Y108" i="8"/>
  <c r="Y106" i="8"/>
  <c r="Y104" i="8"/>
  <c r="X116" i="8"/>
  <c r="X114" i="8"/>
  <c r="X112" i="8"/>
  <c r="X110" i="8"/>
  <c r="X108" i="8"/>
  <c r="X106" i="8"/>
  <c r="U116" i="8"/>
  <c r="U114" i="8"/>
  <c r="U112" i="8"/>
  <c r="U110" i="8"/>
  <c r="AA6" i="8"/>
  <c r="AB8" i="8"/>
  <c r="AC10" i="8"/>
  <c r="R13" i="8"/>
  <c r="S15" i="8"/>
  <c r="T17" i="8"/>
  <c r="U19" i="8"/>
  <c r="V21" i="8"/>
  <c r="W23" i="8"/>
  <c r="X25" i="8"/>
  <c r="Y27" i="8"/>
  <c r="Z29" i="8"/>
  <c r="AA31" i="8"/>
  <c r="AB33" i="8"/>
  <c r="AC35" i="8"/>
  <c r="R38" i="8"/>
  <c r="S40" i="8"/>
  <c r="U44" i="8"/>
  <c r="V46" i="8"/>
  <c r="AA48" i="8"/>
  <c r="T51" i="8"/>
  <c r="Z53" i="8"/>
  <c r="X56" i="8"/>
  <c r="R59" i="8"/>
  <c r="Z61" i="8"/>
  <c r="X64" i="8"/>
  <c r="S67" i="8"/>
  <c r="W70" i="8"/>
  <c r="U73" i="8"/>
  <c r="Z76" i="8"/>
  <c r="W82" i="8"/>
  <c r="V86" i="8"/>
  <c r="Z90" i="8"/>
  <c r="W96" i="8"/>
  <c r="Z102" i="8"/>
  <c r="AB112" i="8"/>
  <c r="AB130" i="8"/>
  <c r="R199" i="8"/>
  <c r="W155" i="8"/>
  <c r="W153" i="8"/>
  <c r="W151" i="8"/>
  <c r="W149" i="8"/>
  <c r="V155" i="8"/>
  <c r="V153" i="8"/>
  <c r="V151" i="8"/>
  <c r="V149" i="8"/>
  <c r="Z154" i="8"/>
  <c r="X152" i="8"/>
  <c r="V150" i="8"/>
  <c r="T148" i="8"/>
  <c r="T146" i="8"/>
  <c r="T144" i="8"/>
  <c r="T142" i="8"/>
  <c r="T140" i="8"/>
  <c r="T138" i="8"/>
  <c r="T136" i="8"/>
  <c r="T134" i="8"/>
  <c r="T132" i="8"/>
  <c r="T130" i="8"/>
  <c r="T128" i="8"/>
  <c r="T126" i="8"/>
  <c r="T124" i="8"/>
  <c r="T122" i="8"/>
  <c r="T120" i="8"/>
  <c r="Y154" i="8"/>
  <c r="W152" i="8"/>
  <c r="U150" i="8"/>
  <c r="S148" i="8"/>
  <c r="S146" i="8"/>
  <c r="S144" i="8"/>
  <c r="S142" i="8"/>
  <c r="S140" i="8"/>
  <c r="S138" i="8"/>
  <c r="S136" i="8"/>
  <c r="S134" i="8"/>
  <c r="S132" i="8"/>
  <c r="S130" i="8"/>
  <c r="S128" i="8"/>
  <c r="S126" i="8"/>
  <c r="S124" i="8"/>
  <c r="S122" i="8"/>
  <c r="S120" i="8"/>
  <c r="X154" i="8"/>
  <c r="V152" i="8"/>
  <c r="T150" i="8"/>
  <c r="R148" i="8"/>
  <c r="R146" i="8"/>
  <c r="R144" i="8"/>
  <c r="R142" i="8"/>
  <c r="R140" i="8"/>
  <c r="R138" i="8"/>
  <c r="R136" i="8"/>
  <c r="R134" i="8"/>
  <c r="R132" i="8"/>
  <c r="R130" i="8"/>
  <c r="R128" i="8"/>
  <c r="R126" i="8"/>
  <c r="R124" i="8"/>
  <c r="R122" i="8"/>
  <c r="R120" i="8"/>
  <c r="W154" i="8"/>
  <c r="U152" i="8"/>
  <c r="S150" i="8"/>
  <c r="AC147" i="8"/>
  <c r="AC145" i="8"/>
  <c r="AC143" i="8"/>
  <c r="AC141" i="8"/>
  <c r="AC139" i="8"/>
  <c r="AC137" i="8"/>
  <c r="AC135" i="8"/>
  <c r="AC133" i="8"/>
  <c r="AC131" i="8"/>
  <c r="AC129" i="8"/>
  <c r="AC127" i="8"/>
  <c r="AC125" i="8"/>
  <c r="AC123" i="8"/>
  <c r="AC121" i="8"/>
  <c r="V154" i="8"/>
  <c r="T152" i="8"/>
  <c r="R150" i="8"/>
  <c r="AB147" i="8"/>
  <c r="AB145" i="8"/>
  <c r="AB143" i="8"/>
  <c r="AB141" i="8"/>
  <c r="AB139" i="8"/>
  <c r="AB137" i="8"/>
  <c r="AB135" i="8"/>
  <c r="AB133" i="8"/>
  <c r="AB131" i="8"/>
  <c r="AB129" i="8"/>
  <c r="AB127" i="8"/>
  <c r="AB125" i="8"/>
  <c r="AB123" i="8"/>
  <c r="AB121" i="8"/>
  <c r="U154" i="8"/>
  <c r="S152" i="8"/>
  <c r="AC149" i="8"/>
  <c r="AA147" i="8"/>
  <c r="AA145" i="8"/>
  <c r="AA143" i="8"/>
  <c r="AA141" i="8"/>
  <c r="AA139" i="8"/>
  <c r="AA137" i="8"/>
  <c r="AA135" i="8"/>
  <c r="AA133" i="8"/>
  <c r="AA131" i="8"/>
  <c r="AA129" i="8"/>
  <c r="AA127" i="8"/>
  <c r="AA125" i="8"/>
  <c r="AA123" i="8"/>
  <c r="AA121" i="8"/>
  <c r="T154" i="8"/>
  <c r="R152" i="8"/>
  <c r="AB149" i="8"/>
  <c r="Z147" i="8"/>
  <c r="Z145" i="8"/>
  <c r="Z143" i="8"/>
  <c r="Z141" i="8"/>
  <c r="Z139" i="8"/>
  <c r="Z137" i="8"/>
  <c r="Z135" i="8"/>
  <c r="Z133" i="8"/>
  <c r="Z131" i="8"/>
  <c r="Z129" i="8"/>
  <c r="Z127" i="8"/>
  <c r="Z125" i="8"/>
  <c r="Z123" i="8"/>
  <c r="Z121" i="8"/>
  <c r="S154" i="8"/>
  <c r="AC151" i="8"/>
  <c r="AA149" i="8"/>
  <c r="Y147" i="8"/>
  <c r="Y145" i="8"/>
  <c r="Y143" i="8"/>
  <c r="Y141" i="8"/>
  <c r="Y139" i="8"/>
  <c r="Y137" i="8"/>
  <c r="Y135" i="8"/>
  <c r="Y133" i="8"/>
  <c r="Y131" i="8"/>
  <c r="Y129" i="8"/>
  <c r="Y127" i="8"/>
  <c r="Y125" i="8"/>
  <c r="Y123" i="8"/>
  <c r="Y121" i="8"/>
  <c r="R154" i="8"/>
  <c r="AB151" i="8"/>
  <c r="Z149" i="8"/>
  <c r="X147" i="8"/>
  <c r="X145" i="8"/>
  <c r="X143" i="8"/>
  <c r="X141" i="8"/>
  <c r="X139" i="8"/>
  <c r="X137" i="8"/>
  <c r="X135" i="8"/>
  <c r="X133" i="8"/>
  <c r="X131" i="8"/>
  <c r="X129" i="8"/>
  <c r="X127" i="8"/>
  <c r="X125" i="8"/>
  <c r="X123" i="8"/>
  <c r="X121" i="8"/>
  <c r="AC153" i="8"/>
  <c r="AA151" i="8"/>
  <c r="Y149" i="8"/>
  <c r="W147" i="8"/>
  <c r="W145" i="8"/>
  <c r="W143" i="8"/>
  <c r="W141" i="8"/>
  <c r="W139" i="8"/>
  <c r="W137" i="8"/>
  <c r="W135" i="8"/>
  <c r="W133" i="8"/>
  <c r="W131" i="8"/>
  <c r="W129" i="8"/>
  <c r="W127" i="8"/>
  <c r="W125" i="8"/>
  <c r="W123" i="8"/>
  <c r="W121" i="8"/>
  <c r="AB153" i="8"/>
  <c r="Z151" i="8"/>
  <c r="X149" i="8"/>
  <c r="V147" i="8"/>
  <c r="V145" i="8"/>
  <c r="V143" i="8"/>
  <c r="V141" i="8"/>
  <c r="V139" i="8"/>
  <c r="V137" i="8"/>
  <c r="V135" i="8"/>
  <c r="V133" i="8"/>
  <c r="V131" i="8"/>
  <c r="V129" i="8"/>
  <c r="V127" i="8"/>
  <c r="V125" i="8"/>
  <c r="V123" i="8"/>
  <c r="V121" i="8"/>
  <c r="AC155" i="8"/>
  <c r="AA153" i="8"/>
  <c r="Y151" i="8"/>
  <c r="U149" i="8"/>
  <c r="U147" i="8"/>
  <c r="U145" i="8"/>
  <c r="U143" i="8"/>
  <c r="U141" i="8"/>
  <c r="U139" i="8"/>
  <c r="U137" i="8"/>
  <c r="U135" i="8"/>
  <c r="U133" i="8"/>
  <c r="U131" i="8"/>
  <c r="U129" i="8"/>
  <c r="U127" i="8"/>
  <c r="U125" i="8"/>
  <c r="U123" i="8"/>
  <c r="U121" i="8"/>
  <c r="AB155" i="8"/>
  <c r="Z153" i="8"/>
  <c r="X151" i="8"/>
  <c r="T149" i="8"/>
  <c r="T147" i="8"/>
  <c r="T145" i="8"/>
  <c r="T143" i="8"/>
  <c r="T141" i="8"/>
  <c r="T139" i="8"/>
  <c r="T137" i="8"/>
  <c r="T135" i="8"/>
  <c r="T133" i="8"/>
  <c r="T131" i="8"/>
  <c r="T129" i="8"/>
  <c r="T127" i="8"/>
  <c r="T125" i="8"/>
  <c r="T123" i="8"/>
  <c r="T121" i="8"/>
  <c r="AA155" i="8"/>
  <c r="Y153" i="8"/>
  <c r="U151" i="8"/>
  <c r="S149" i="8"/>
  <c r="S147" i="8"/>
  <c r="S145" i="8"/>
  <c r="S143" i="8"/>
  <c r="S141" i="8"/>
  <c r="S139" i="8"/>
  <c r="S137" i="8"/>
  <c r="S135" i="8"/>
  <c r="S133" i="8"/>
  <c r="S131" i="8"/>
  <c r="S129" i="8"/>
  <c r="S127" i="8"/>
  <c r="S125" i="8"/>
  <c r="S123" i="8"/>
  <c r="S121" i="8"/>
  <c r="Z155" i="8"/>
  <c r="X153" i="8"/>
  <c r="T151" i="8"/>
  <c r="R149" i="8"/>
  <c r="R147" i="8"/>
  <c r="R145" i="8"/>
  <c r="R143" i="8"/>
  <c r="R141" i="8"/>
  <c r="R139" i="8"/>
  <c r="R137" i="8"/>
  <c r="R135" i="8"/>
  <c r="R133" i="8"/>
  <c r="R131" i="8"/>
  <c r="R129" i="8"/>
  <c r="R127" i="8"/>
  <c r="R125" i="8"/>
  <c r="R123" i="8"/>
  <c r="R121" i="8"/>
  <c r="Y155" i="8"/>
  <c r="U153" i="8"/>
  <c r="S151" i="8"/>
  <c r="AC148" i="8"/>
  <c r="AC146" i="8"/>
  <c r="AC144" i="8"/>
  <c r="AC142" i="8"/>
  <c r="AC140" i="8"/>
  <c r="AC138" i="8"/>
  <c r="AC136" i="8"/>
  <c r="AC134" i="8"/>
  <c r="AC132" i="8"/>
  <c r="AC130" i="8"/>
  <c r="AC128" i="8"/>
  <c r="AC126" i="8"/>
  <c r="AC124" i="8"/>
  <c r="AC122" i="8"/>
  <c r="AC120" i="8"/>
  <c r="X155" i="8"/>
  <c r="T153" i="8"/>
  <c r="U155" i="8"/>
  <c r="S153" i="8"/>
  <c r="AC150" i="8"/>
  <c r="AA148" i="8"/>
  <c r="AA146" i="8"/>
  <c r="AA144" i="8"/>
  <c r="AA142" i="8"/>
  <c r="AA140" i="8"/>
  <c r="AA138" i="8"/>
  <c r="AA136" i="8"/>
  <c r="AA134" i="8"/>
  <c r="AA132" i="8"/>
  <c r="AA130" i="8"/>
  <c r="AA128" i="8"/>
  <c r="AA126" i="8"/>
  <c r="AA124" i="8"/>
  <c r="AA122" i="8"/>
  <c r="AA120" i="8"/>
  <c r="T155" i="8"/>
  <c r="R153" i="8"/>
  <c r="AB150" i="8"/>
  <c r="Z148" i="8"/>
  <c r="Z146" i="8"/>
  <c r="Z144" i="8"/>
  <c r="Z142" i="8"/>
  <c r="Z140" i="8"/>
  <c r="Z138" i="8"/>
  <c r="Z136" i="8"/>
  <c r="Z134" i="8"/>
  <c r="Z132" i="8"/>
  <c r="Z130" i="8"/>
  <c r="Z128" i="8"/>
  <c r="Z126" i="8"/>
  <c r="Z124" i="8"/>
  <c r="Z122" i="8"/>
  <c r="Z120" i="8"/>
  <c r="S155" i="8"/>
  <c r="AC152" i="8"/>
  <c r="AA150" i="8"/>
  <c r="Y148" i="8"/>
  <c r="Y146" i="8"/>
  <c r="Y144" i="8"/>
  <c r="Y142" i="8"/>
  <c r="Y140" i="8"/>
  <c r="Y138" i="8"/>
  <c r="Y136" i="8"/>
  <c r="Y134" i="8"/>
  <c r="Y132" i="8"/>
  <c r="Y130" i="8"/>
  <c r="Y128" i="8"/>
  <c r="Y126" i="8"/>
  <c r="Y124" i="8"/>
  <c r="Y122" i="8"/>
  <c r="Y120" i="8"/>
  <c r="R155" i="8"/>
  <c r="AB152" i="8"/>
  <c r="Z150" i="8"/>
  <c r="X148" i="8"/>
  <c r="X146" i="8"/>
  <c r="X144" i="8"/>
  <c r="X142" i="8"/>
  <c r="X140" i="8"/>
  <c r="X138" i="8"/>
  <c r="X136" i="8"/>
  <c r="X134" i="8"/>
  <c r="X132" i="8"/>
  <c r="X130" i="8"/>
  <c r="X128" i="8"/>
  <c r="X126" i="8"/>
  <c r="X124" i="8"/>
  <c r="X122" i="8"/>
  <c r="X120" i="8"/>
  <c r="AC154" i="8"/>
  <c r="AA152" i="8"/>
  <c r="Y150" i="8"/>
  <c r="AA154" i="8"/>
  <c r="Y152" i="8"/>
  <c r="W150" i="8"/>
  <c r="U148" i="8"/>
  <c r="U146" i="8"/>
  <c r="U144" i="8"/>
  <c r="U142" i="8"/>
  <c r="U140" i="8"/>
  <c r="U138" i="8"/>
  <c r="U136" i="8"/>
  <c r="U134" i="8"/>
  <c r="U132" i="8"/>
  <c r="U130" i="8"/>
  <c r="U128" i="8"/>
  <c r="U126" i="8"/>
  <c r="U124" i="8"/>
  <c r="U122" i="8"/>
  <c r="U120" i="8"/>
  <c r="AB6" i="8"/>
  <c r="AC8" i="8"/>
  <c r="R11" i="8"/>
  <c r="S13" i="8"/>
  <c r="T15" i="8"/>
  <c r="U17" i="8"/>
  <c r="V19" i="8"/>
  <c r="W21" i="8"/>
  <c r="X23" i="8"/>
  <c r="Y25" i="8"/>
  <c r="Z27" i="8"/>
  <c r="AA29" i="8"/>
  <c r="AB31" i="8"/>
  <c r="AC33" i="8"/>
  <c r="R36" i="8"/>
  <c r="S38" i="8"/>
  <c r="U40" i="8"/>
  <c r="V44" i="8"/>
  <c r="W46" i="8"/>
  <c r="AB48" i="8"/>
  <c r="U51" i="8"/>
  <c r="AA53" i="8"/>
  <c r="Y56" i="8"/>
  <c r="S59" i="8"/>
  <c r="AA61" i="8"/>
  <c r="Y64" i="8"/>
  <c r="T67" i="8"/>
  <c r="X70" i="8"/>
  <c r="X73" i="8"/>
  <c r="AA76" i="8"/>
  <c r="X82" i="8"/>
  <c r="W86" i="8"/>
  <c r="AA90" i="8"/>
  <c r="X96" i="8"/>
  <c r="AB102" i="8"/>
  <c r="V114" i="8"/>
  <c r="V132" i="8"/>
  <c r="V148" i="8"/>
  <c r="S202" i="8"/>
  <c r="W193" i="8"/>
  <c r="W191" i="8"/>
  <c r="W189" i="8"/>
  <c r="W187" i="8"/>
  <c r="W185" i="8"/>
  <c r="W183" i="8"/>
  <c r="W181" i="8"/>
  <c r="W179" i="8"/>
  <c r="W177" i="8"/>
  <c r="W175" i="8"/>
  <c r="W173" i="8"/>
  <c r="W171" i="8"/>
  <c r="W169" i="8"/>
  <c r="W167" i="8"/>
  <c r="W165" i="8"/>
  <c r="W163" i="8"/>
  <c r="W161" i="8"/>
  <c r="W159" i="8"/>
  <c r="V193" i="8"/>
  <c r="V191" i="8"/>
  <c r="V189" i="8"/>
  <c r="V187" i="8"/>
  <c r="V185" i="8"/>
  <c r="V183" i="8"/>
  <c r="V181" i="8"/>
  <c r="V179" i="8"/>
  <c r="V177" i="8"/>
  <c r="V175" i="8"/>
  <c r="V173" i="8"/>
  <c r="V171" i="8"/>
  <c r="V169" i="8"/>
  <c r="V167" i="8"/>
  <c r="V165" i="8"/>
  <c r="V163" i="8"/>
  <c r="V161" i="8"/>
  <c r="V159" i="8"/>
  <c r="U193" i="8"/>
  <c r="U191" i="8"/>
  <c r="U189" i="8"/>
  <c r="U187" i="8"/>
  <c r="U185" i="8"/>
  <c r="U183" i="8"/>
  <c r="U181" i="8"/>
  <c r="U179" i="8"/>
  <c r="U177" i="8"/>
  <c r="U175" i="8"/>
  <c r="U173" i="8"/>
  <c r="U171" i="8"/>
  <c r="T193" i="8"/>
  <c r="T191" i="8"/>
  <c r="T189" i="8"/>
  <c r="T187" i="8"/>
  <c r="T185" i="8"/>
  <c r="S193" i="8"/>
  <c r="S191" i="8"/>
  <c r="S189" i="8"/>
  <c r="S187" i="8"/>
  <c r="AC192" i="8"/>
  <c r="AC190" i="8"/>
  <c r="Y192" i="8"/>
  <c r="W192" i="8"/>
  <c r="AC193" i="8"/>
  <c r="AA190" i="8"/>
  <c r="V188" i="8"/>
  <c r="AC185" i="8"/>
  <c r="Y183" i="8"/>
  <c r="S181" i="8"/>
  <c r="AB178" i="8"/>
  <c r="Y176" i="8"/>
  <c r="V174" i="8"/>
  <c r="S172" i="8"/>
  <c r="AB169" i="8"/>
  <c r="Z167" i="8"/>
  <c r="X165" i="8"/>
  <c r="T163" i="8"/>
  <c r="R161" i="8"/>
  <c r="AB158" i="8"/>
  <c r="AB193" i="8"/>
  <c r="Z190" i="8"/>
  <c r="U188" i="8"/>
  <c r="AB185" i="8"/>
  <c r="X183" i="8"/>
  <c r="R181" i="8"/>
  <c r="AA178" i="8"/>
  <c r="X176" i="8"/>
  <c r="U174" i="8"/>
  <c r="R172" i="8"/>
  <c r="AA169" i="8"/>
  <c r="Y167" i="8"/>
  <c r="U165" i="8"/>
  <c r="S163" i="8"/>
  <c r="AC160" i="8"/>
  <c r="AA158" i="8"/>
  <c r="AA193" i="8"/>
  <c r="Y190" i="8"/>
  <c r="T188" i="8"/>
  <c r="AA185" i="8"/>
  <c r="T183" i="8"/>
  <c r="AC180" i="8"/>
  <c r="Z178" i="8"/>
  <c r="W176" i="8"/>
  <c r="T174" i="8"/>
  <c r="AC171" i="8"/>
  <c r="Z169" i="8"/>
  <c r="X167" i="8"/>
  <c r="T165" i="8"/>
  <c r="R163" i="8"/>
  <c r="AB160" i="8"/>
  <c r="Z158" i="8"/>
  <c r="Z193" i="8"/>
  <c r="X190" i="8"/>
  <c r="S188" i="8"/>
  <c r="Z185" i="8"/>
  <c r="S183" i="8"/>
  <c r="AB180" i="8"/>
  <c r="Y178" i="8"/>
  <c r="V176" i="8"/>
  <c r="S174" i="8"/>
  <c r="AB171" i="8"/>
  <c r="Y169" i="8"/>
  <c r="U167" i="8"/>
  <c r="S165" i="8"/>
  <c r="AC162" i="8"/>
  <c r="AA160" i="8"/>
  <c r="Y158" i="8"/>
  <c r="Y193" i="8"/>
  <c r="W190" i="8"/>
  <c r="R188" i="8"/>
  <c r="Y185" i="8"/>
  <c r="R183" i="8"/>
  <c r="AA180" i="8"/>
  <c r="X178" i="8"/>
  <c r="U176" i="8"/>
  <c r="R174" i="8"/>
  <c r="AA171" i="8"/>
  <c r="X169" i="8"/>
  <c r="T167" i="8"/>
  <c r="R165" i="8"/>
  <c r="AB162" i="8"/>
  <c r="Z160" i="8"/>
  <c r="X158" i="8"/>
  <c r="X193" i="8"/>
  <c r="V190" i="8"/>
  <c r="AC187" i="8"/>
  <c r="X185" i="8"/>
  <c r="AC182" i="8"/>
  <c r="Z180" i="8"/>
  <c r="W178" i="8"/>
  <c r="T176" i="8"/>
  <c r="AC173" i="8"/>
  <c r="Z171" i="8"/>
  <c r="U169" i="8"/>
  <c r="S167" i="8"/>
  <c r="AC164" i="8"/>
  <c r="AA162" i="8"/>
  <c r="Y160" i="8"/>
  <c r="W158" i="8"/>
  <c r="R193" i="8"/>
  <c r="U190" i="8"/>
  <c r="AB187" i="8"/>
  <c r="S185" i="8"/>
  <c r="AB182" i="8"/>
  <c r="Y180" i="8"/>
  <c r="V178" i="8"/>
  <c r="S176" i="8"/>
  <c r="AB173" i="8"/>
  <c r="Y171" i="8"/>
  <c r="T169" i="8"/>
  <c r="R167" i="8"/>
  <c r="AB164" i="8"/>
  <c r="Z162" i="8"/>
  <c r="X160" i="8"/>
  <c r="V158" i="8"/>
  <c r="AB192" i="8"/>
  <c r="T190" i="8"/>
  <c r="AA187" i="8"/>
  <c r="R185" i="8"/>
  <c r="AA182" i="8"/>
  <c r="X180" i="8"/>
  <c r="U178" i="8"/>
  <c r="R176" i="8"/>
  <c r="AA173" i="8"/>
  <c r="X171" i="8"/>
  <c r="S169" i="8"/>
  <c r="AC166" i="8"/>
  <c r="AA164" i="8"/>
  <c r="Y162" i="8"/>
  <c r="W160" i="8"/>
  <c r="U158" i="8"/>
  <c r="AA192" i="8"/>
  <c r="S190" i="8"/>
  <c r="Z187" i="8"/>
  <c r="AC184" i="8"/>
  <c r="Z182" i="8"/>
  <c r="W180" i="8"/>
  <c r="T178" i="8"/>
  <c r="AC175" i="8"/>
  <c r="Z173" i="8"/>
  <c r="T171" i="8"/>
  <c r="R169" i="8"/>
  <c r="AB166" i="8"/>
  <c r="Z164" i="8"/>
  <c r="X162" i="8"/>
  <c r="V160" i="8"/>
  <c r="T158" i="8"/>
  <c r="Z192" i="8"/>
  <c r="R190" i="8"/>
  <c r="Y187" i="8"/>
  <c r="AB184" i="8"/>
  <c r="Y182" i="8"/>
  <c r="V180" i="8"/>
  <c r="S178" i="8"/>
  <c r="AB175" i="8"/>
  <c r="Y173" i="8"/>
  <c r="S171" i="8"/>
  <c r="AC168" i="8"/>
  <c r="AA166" i="8"/>
  <c r="Y164" i="8"/>
  <c r="W162" i="8"/>
  <c r="U160" i="8"/>
  <c r="S158" i="8"/>
  <c r="X192" i="8"/>
  <c r="AC189" i="8"/>
  <c r="X187" i="8"/>
  <c r="AA184" i="8"/>
  <c r="X182" i="8"/>
  <c r="U180" i="8"/>
  <c r="R178" i="8"/>
  <c r="AA175" i="8"/>
  <c r="X173" i="8"/>
  <c r="R171" i="8"/>
  <c r="AB168" i="8"/>
  <c r="Z166" i="8"/>
  <c r="X164" i="8"/>
  <c r="V162" i="8"/>
  <c r="T160" i="8"/>
  <c r="R158" i="8"/>
  <c r="V192" i="8"/>
  <c r="AB189" i="8"/>
  <c r="R187" i="8"/>
  <c r="Z184" i="8"/>
  <c r="W182" i="8"/>
  <c r="T180" i="8"/>
  <c r="AC177" i="8"/>
  <c r="Z175" i="8"/>
  <c r="T173" i="8"/>
  <c r="AC170" i="8"/>
  <c r="AA168" i="8"/>
  <c r="Y166" i="8"/>
  <c r="W164" i="8"/>
  <c r="U162" i="8"/>
  <c r="S160" i="8"/>
  <c r="U192" i="8"/>
  <c r="AA189" i="8"/>
  <c r="AC186" i="8"/>
  <c r="Y184" i="8"/>
  <c r="V182" i="8"/>
  <c r="S180" i="8"/>
  <c r="AB177" i="8"/>
  <c r="Y175" i="8"/>
  <c r="S173" i="8"/>
  <c r="AB170" i="8"/>
  <c r="Z168" i="8"/>
  <c r="X166" i="8"/>
  <c r="V164" i="8"/>
  <c r="T162" i="8"/>
  <c r="R160" i="8"/>
  <c r="T192" i="8"/>
  <c r="Z189" i="8"/>
  <c r="AB186" i="8"/>
  <c r="X184" i="8"/>
  <c r="U182" i="8"/>
  <c r="R180" i="8"/>
  <c r="AA177" i="8"/>
  <c r="X175" i="8"/>
  <c r="R173" i="8"/>
  <c r="AA170" i="8"/>
  <c r="Y168" i="8"/>
  <c r="W166" i="8"/>
  <c r="U164" i="8"/>
  <c r="S162" i="8"/>
  <c r="AC159" i="8"/>
  <c r="S192" i="8"/>
  <c r="Y189" i="8"/>
  <c r="AA186" i="8"/>
  <c r="W184" i="8"/>
  <c r="T182" i="8"/>
  <c r="AC179" i="8"/>
  <c r="Z177" i="8"/>
  <c r="T175" i="8"/>
  <c r="AC172" i="8"/>
  <c r="Z170" i="8"/>
  <c r="X168" i="8"/>
  <c r="V166" i="8"/>
  <c r="T164" i="8"/>
  <c r="R162" i="8"/>
  <c r="AB159" i="8"/>
  <c r="R192" i="8"/>
  <c r="X189" i="8"/>
  <c r="Z186" i="8"/>
  <c r="V184" i="8"/>
  <c r="S182" i="8"/>
  <c r="AB179" i="8"/>
  <c r="Y177" i="8"/>
  <c r="S175" i="8"/>
  <c r="AB172" i="8"/>
  <c r="Y170" i="8"/>
  <c r="W168" i="8"/>
  <c r="U166" i="8"/>
  <c r="S164" i="8"/>
  <c r="AC161" i="8"/>
  <c r="AA159" i="8"/>
  <c r="AC191" i="8"/>
  <c r="R189" i="8"/>
  <c r="Y186" i="8"/>
  <c r="U184" i="8"/>
  <c r="R182" i="8"/>
  <c r="AA179" i="8"/>
  <c r="X177" i="8"/>
  <c r="R175" i="8"/>
  <c r="AA172" i="8"/>
  <c r="X170" i="8"/>
  <c r="V168" i="8"/>
  <c r="T166" i="8"/>
  <c r="R164" i="8"/>
  <c r="AB161" i="8"/>
  <c r="Z159" i="8"/>
  <c r="AB191" i="8"/>
  <c r="AC188" i="8"/>
  <c r="X186" i="8"/>
  <c r="T184" i="8"/>
  <c r="AC181" i="8"/>
  <c r="Z179" i="8"/>
  <c r="T177" i="8"/>
  <c r="AC174" i="8"/>
  <c r="Z172" i="8"/>
  <c r="W170" i="8"/>
  <c r="U168" i="8"/>
  <c r="S166" i="8"/>
  <c r="AC163" i="8"/>
  <c r="AA161" i="8"/>
  <c r="Y159" i="8"/>
  <c r="AA191" i="8"/>
  <c r="AB188" i="8"/>
  <c r="W186" i="8"/>
  <c r="S184" i="8"/>
  <c r="AB181" i="8"/>
  <c r="Y179" i="8"/>
  <c r="S177" i="8"/>
  <c r="AB174" i="8"/>
  <c r="Y172" i="8"/>
  <c r="V170" i="8"/>
  <c r="T168" i="8"/>
  <c r="R166" i="8"/>
  <c r="AB163" i="8"/>
  <c r="Z161" i="8"/>
  <c r="X159" i="8"/>
  <c r="Z191" i="8"/>
  <c r="AA188" i="8"/>
  <c r="V186" i="8"/>
  <c r="R184" i="8"/>
  <c r="AA181" i="8"/>
  <c r="X179" i="8"/>
  <c r="R177" i="8"/>
  <c r="AA174" i="8"/>
  <c r="X172" i="8"/>
  <c r="U170" i="8"/>
  <c r="S168" i="8"/>
  <c r="AC165" i="8"/>
  <c r="AA163" i="8"/>
  <c r="Y161" i="8"/>
  <c r="U159" i="8"/>
  <c r="Y191" i="8"/>
  <c r="Z188" i="8"/>
  <c r="U186" i="8"/>
  <c r="AC183" i="8"/>
  <c r="Z181" i="8"/>
  <c r="T179" i="8"/>
  <c r="AC176" i="8"/>
  <c r="Z174" i="8"/>
  <c r="W172" i="8"/>
  <c r="T170" i="8"/>
  <c r="R168" i="8"/>
  <c r="AB165" i="8"/>
  <c r="Z163" i="8"/>
  <c r="X161" i="8"/>
  <c r="T159" i="8"/>
  <c r="X191" i="8"/>
  <c r="Y188" i="8"/>
  <c r="T186" i="8"/>
  <c r="AB183" i="8"/>
  <c r="Y181" i="8"/>
  <c r="S179" i="8"/>
  <c r="AB176" i="8"/>
  <c r="Y174" i="8"/>
  <c r="V172" i="8"/>
  <c r="S170" i="8"/>
  <c r="AC167" i="8"/>
  <c r="AA165" i="8"/>
  <c r="Y163" i="8"/>
  <c r="U161" i="8"/>
  <c r="S159" i="8"/>
  <c r="AB190" i="8"/>
  <c r="W188" i="8"/>
  <c r="R186" i="8"/>
  <c r="Z183" i="8"/>
  <c r="T181" i="8"/>
  <c r="AC178" i="8"/>
  <c r="Z176" i="8"/>
  <c r="W174" i="8"/>
  <c r="T172" i="8"/>
  <c r="AC169" i="8"/>
  <c r="AA167" i="8"/>
  <c r="Y165" i="8"/>
  <c r="U163" i="8"/>
  <c r="S161" i="8"/>
  <c r="AC158" i="8"/>
  <c r="AC6" i="8"/>
  <c r="R9" i="8"/>
  <c r="S11" i="8"/>
  <c r="T13" i="8"/>
  <c r="U15" i="8"/>
  <c r="V17" i="8"/>
  <c r="W19" i="8"/>
  <c r="X21" i="8"/>
  <c r="Y23" i="8"/>
  <c r="Z25" i="8"/>
  <c r="AA27" i="8"/>
  <c r="AB29" i="8"/>
  <c r="AC31" i="8"/>
  <c r="R34" i="8"/>
  <c r="S36" i="8"/>
  <c r="U38" i="8"/>
  <c r="V40" i="8"/>
  <c r="W44" i="8"/>
  <c r="X46" i="8"/>
  <c r="AC48" i="8"/>
  <c r="W51" i="8"/>
  <c r="R54" i="8"/>
  <c r="Z56" i="8"/>
  <c r="T59" i="8"/>
  <c r="R62" i="8"/>
  <c r="Z64" i="8"/>
  <c r="U67" i="8"/>
  <c r="Y70" i="8"/>
  <c r="Y73" i="8"/>
  <c r="AB76" i="8"/>
  <c r="Y82" i="8"/>
  <c r="X86" i="8"/>
  <c r="AB90" i="8"/>
  <c r="Y96" i="8"/>
  <c r="U104" i="8"/>
  <c r="W114" i="8"/>
  <c r="W132" i="8"/>
  <c r="W148" i="8"/>
  <c r="W231" i="8"/>
  <c r="W229" i="8"/>
  <c r="W227" i="8"/>
  <c r="W225" i="8"/>
  <c r="W223" i="8"/>
  <c r="W221" i="8"/>
  <c r="W219" i="8"/>
  <c r="W217" i="8"/>
  <c r="W215" i="8"/>
  <c r="W213" i="8"/>
  <c r="W211" i="8"/>
  <c r="W209" i="8"/>
  <c r="W207" i="8"/>
  <c r="W205" i="8"/>
  <c r="W203" i="8"/>
  <c r="W201" i="8"/>
  <c r="W199" i="8"/>
  <c r="W197" i="8"/>
  <c r="V231" i="8"/>
  <c r="V229" i="8"/>
  <c r="V227" i="8"/>
  <c r="V225" i="8"/>
  <c r="V223" i="8"/>
  <c r="V221" i="8"/>
  <c r="V219" i="8"/>
  <c r="V217" i="8"/>
  <c r="V215" i="8"/>
  <c r="V213" i="8"/>
  <c r="V211" i="8"/>
  <c r="V209" i="8"/>
  <c r="V207" i="8"/>
  <c r="V205" i="8"/>
  <c r="V203" i="8"/>
  <c r="V201" i="8"/>
  <c r="V199" i="8"/>
  <c r="V197" i="8"/>
  <c r="U231" i="8"/>
  <c r="U229" i="8"/>
  <c r="U227" i="8"/>
  <c r="U225" i="8"/>
  <c r="U223" i="8"/>
  <c r="U221" i="8"/>
  <c r="U219" i="8"/>
  <c r="U217" i="8"/>
  <c r="U215" i="8"/>
  <c r="U213" i="8"/>
  <c r="U211" i="8"/>
  <c r="U209" i="8"/>
  <c r="U207" i="8"/>
  <c r="U205" i="8"/>
  <c r="U203" i="8"/>
  <c r="U201" i="8"/>
  <c r="U199" i="8"/>
  <c r="U197" i="8"/>
  <c r="T231" i="8"/>
  <c r="T229" i="8"/>
  <c r="T227" i="8"/>
  <c r="T225" i="8"/>
  <c r="T223" i="8"/>
  <c r="T221" i="8"/>
  <c r="T219" i="8"/>
  <c r="T217" i="8"/>
  <c r="T215" i="8"/>
  <c r="T213" i="8"/>
  <c r="T211" i="8"/>
  <c r="T209" i="8"/>
  <c r="T207" i="8"/>
  <c r="T205" i="8"/>
  <c r="T203" i="8"/>
  <c r="T201" i="8"/>
  <c r="T199" i="8"/>
  <c r="T197" i="8"/>
  <c r="S231" i="8"/>
  <c r="S229" i="8"/>
  <c r="S227" i="8"/>
  <c r="S225" i="8"/>
  <c r="S223" i="8"/>
  <c r="S221" i="8"/>
  <c r="S219" i="8"/>
  <c r="S217" i="8"/>
  <c r="S215" i="8"/>
  <c r="S213" i="8"/>
  <c r="S211" i="8"/>
  <c r="S209" i="8"/>
  <c r="S207" i="8"/>
  <c r="S205" i="8"/>
  <c r="S203" i="8"/>
  <c r="S201" i="8"/>
  <c r="S199" i="8"/>
  <c r="S197" i="8"/>
  <c r="R231" i="8"/>
  <c r="AC230" i="8"/>
  <c r="AC228" i="8"/>
  <c r="AC226" i="8"/>
  <c r="AC224" i="8"/>
  <c r="AC222" i="8"/>
  <c r="AC220" i="8"/>
  <c r="AC218" i="8"/>
  <c r="AC216" i="8"/>
  <c r="AC214" i="8"/>
  <c r="AC212" i="8"/>
  <c r="AC210" i="8"/>
  <c r="AC208" i="8"/>
  <c r="AC206" i="8"/>
  <c r="AC204" i="8"/>
  <c r="AC202" i="8"/>
  <c r="AC200" i="8"/>
  <c r="AC198" i="8"/>
  <c r="AC196" i="8"/>
  <c r="Y230" i="8"/>
  <c r="Y228" i="8"/>
  <c r="Y226" i="8"/>
  <c r="Y224" i="8"/>
  <c r="Y222" i="8"/>
  <c r="Y220" i="8"/>
  <c r="Y218" i="8"/>
  <c r="Y216" i="8"/>
  <c r="Y214" i="8"/>
  <c r="Y212" i="8"/>
  <c r="Y210" i="8"/>
  <c r="Y208" i="8"/>
  <c r="Y206" i="8"/>
  <c r="Y204" i="8"/>
  <c r="Y202" i="8"/>
  <c r="Y200" i="8"/>
  <c r="Y198" i="8"/>
  <c r="Y196" i="8"/>
  <c r="X230" i="8"/>
  <c r="X228" i="8"/>
  <c r="X226" i="8"/>
  <c r="X224" i="8"/>
  <c r="X222" i="8"/>
  <c r="X220" i="8"/>
  <c r="X218" i="8"/>
  <c r="X216" i="8"/>
  <c r="X214" i="8"/>
  <c r="X212" i="8"/>
  <c r="W230" i="8"/>
  <c r="W228" i="8"/>
  <c r="W226" i="8"/>
  <c r="W224" i="8"/>
  <c r="W222" i="8"/>
  <c r="W220" i="8"/>
  <c r="W218" i="8"/>
  <c r="W216" i="8"/>
  <c r="W214" i="8"/>
  <c r="W212" i="8"/>
  <c r="W210" i="8"/>
  <c r="W208" i="8"/>
  <c r="W206" i="8"/>
  <c r="W204" i="8"/>
  <c r="W202" i="8"/>
  <c r="W200" i="8"/>
  <c r="W198" i="8"/>
  <c r="W196" i="8"/>
  <c r="V230" i="8"/>
  <c r="V228" i="8"/>
  <c r="V226" i="8"/>
  <c r="V224" i="8"/>
  <c r="V222" i="8"/>
  <c r="U230" i="8"/>
  <c r="U228" i="8"/>
  <c r="U226" i="8"/>
  <c r="U224" i="8"/>
  <c r="U222" i="8"/>
  <c r="U220" i="8"/>
  <c r="U218" i="8"/>
  <c r="AB231" i="8"/>
  <c r="AC227" i="8"/>
  <c r="S224" i="8"/>
  <c r="Z220" i="8"/>
  <c r="X217" i="8"/>
  <c r="R214" i="8"/>
  <c r="AA210" i="8"/>
  <c r="AC207" i="8"/>
  <c r="AA204" i="8"/>
  <c r="AC201" i="8"/>
  <c r="AA198" i="8"/>
  <c r="AA231" i="8"/>
  <c r="AB227" i="8"/>
  <c r="R224" i="8"/>
  <c r="V220" i="8"/>
  <c r="R217" i="8"/>
  <c r="AC213" i="8"/>
  <c r="Z210" i="8"/>
  <c r="AB207" i="8"/>
  <c r="Z204" i="8"/>
  <c r="AB201" i="8"/>
  <c r="Z198" i="8"/>
  <c r="Z231" i="8"/>
  <c r="AA227" i="8"/>
  <c r="AC223" i="8"/>
  <c r="T220" i="8"/>
  <c r="AB216" i="8"/>
  <c r="AB213" i="8"/>
  <c r="X210" i="8"/>
  <c r="AA207" i="8"/>
  <c r="X204" i="8"/>
  <c r="AA201" i="8"/>
  <c r="X198" i="8"/>
  <c r="Y231" i="8"/>
  <c r="Z227" i="8"/>
  <c r="AB223" i="8"/>
  <c r="S220" i="8"/>
  <c r="AA216" i="8"/>
  <c r="AA213" i="8"/>
  <c r="V210" i="8"/>
  <c r="Z207" i="8"/>
  <c r="V204" i="8"/>
  <c r="Z201" i="8"/>
  <c r="V198" i="8"/>
  <c r="X231" i="8"/>
  <c r="Y227" i="8"/>
  <c r="AA223" i="8"/>
  <c r="R220" i="8"/>
  <c r="Z216" i="8"/>
  <c r="Z213" i="8"/>
  <c r="U210" i="8"/>
  <c r="Y207" i="8"/>
  <c r="U204" i="8"/>
  <c r="Y201" i="8"/>
  <c r="U198" i="8"/>
  <c r="AB230" i="8"/>
  <c r="X227" i="8"/>
  <c r="Z223" i="8"/>
  <c r="AC219" i="8"/>
  <c r="V216" i="8"/>
  <c r="Y213" i="8"/>
  <c r="T210" i="8"/>
  <c r="X207" i="8"/>
  <c r="T204" i="8"/>
  <c r="X201" i="8"/>
  <c r="T198" i="8"/>
  <c r="AA230" i="8"/>
  <c r="R227" i="8"/>
  <c r="Y223" i="8"/>
  <c r="AB219" i="8"/>
  <c r="U216" i="8"/>
  <c r="X213" i="8"/>
  <c r="S210" i="8"/>
  <c r="R207" i="8"/>
  <c r="S204" i="8"/>
  <c r="R201" i="8"/>
  <c r="S198" i="8"/>
  <c r="Z230" i="8"/>
  <c r="AB226" i="8"/>
  <c r="X223" i="8"/>
  <c r="AA219" i="8"/>
  <c r="T216" i="8"/>
  <c r="R213" i="8"/>
  <c r="R210" i="8"/>
  <c r="AB206" i="8"/>
  <c r="R204" i="8"/>
  <c r="AB200" i="8"/>
  <c r="R198" i="8"/>
  <c r="T230" i="8"/>
  <c r="AA226" i="8"/>
  <c r="R223" i="8"/>
  <c r="Z219" i="8"/>
  <c r="S216" i="8"/>
  <c r="AB212" i="8"/>
  <c r="AC209" i="8"/>
  <c r="AA206" i="8"/>
  <c r="AC203" i="8"/>
  <c r="AA200" i="8"/>
  <c r="AC197" i="8"/>
  <c r="S230" i="8"/>
  <c r="Z226" i="8"/>
  <c r="AB222" i="8"/>
  <c r="Y219" i="8"/>
  <c r="R216" i="8"/>
  <c r="AA212" i="8"/>
  <c r="AB209" i="8"/>
  <c r="Z206" i="8"/>
  <c r="AB203" i="8"/>
  <c r="Z200" i="8"/>
  <c r="AB197" i="8"/>
  <c r="R230" i="8"/>
  <c r="T226" i="8"/>
  <c r="AA222" i="8"/>
  <c r="X219" i="8"/>
  <c r="AC215" i="8"/>
  <c r="Z212" i="8"/>
  <c r="AA209" i="8"/>
  <c r="X206" i="8"/>
  <c r="AA203" i="8"/>
  <c r="X200" i="8"/>
  <c r="AA197" i="8"/>
  <c r="AC229" i="8"/>
  <c r="S226" i="8"/>
  <c r="Z222" i="8"/>
  <c r="R219" i="8"/>
  <c r="AB215" i="8"/>
  <c r="V212" i="8"/>
  <c r="Z209" i="8"/>
  <c r="V206" i="8"/>
  <c r="Z203" i="8"/>
  <c r="V200" i="8"/>
  <c r="Z197" i="8"/>
  <c r="AB229" i="8"/>
  <c r="R226" i="8"/>
  <c r="T222" i="8"/>
  <c r="AB218" i="8"/>
  <c r="AA215" i="8"/>
  <c r="U212" i="8"/>
  <c r="Y209" i="8"/>
  <c r="U206" i="8"/>
  <c r="Y203" i="8"/>
  <c r="U200" i="8"/>
  <c r="Y197" i="8"/>
  <c r="AA229" i="8"/>
  <c r="AC225" i="8"/>
  <c r="S222" i="8"/>
  <c r="AA218" i="8"/>
  <c r="Z215" i="8"/>
  <c r="T212" i="8"/>
  <c r="X209" i="8"/>
  <c r="T206" i="8"/>
  <c r="X203" i="8"/>
  <c r="T200" i="8"/>
  <c r="X197" i="8"/>
  <c r="Z229" i="8"/>
  <c r="AB225" i="8"/>
  <c r="R222" i="8"/>
  <c r="Z218" i="8"/>
  <c r="Y215" i="8"/>
  <c r="S212" i="8"/>
  <c r="R209" i="8"/>
  <c r="S206" i="8"/>
  <c r="R203" i="8"/>
  <c r="S200" i="8"/>
  <c r="R197" i="8"/>
  <c r="Y229" i="8"/>
  <c r="AA225" i="8"/>
  <c r="AC221" i="8"/>
  <c r="V218" i="8"/>
  <c r="X215" i="8"/>
  <c r="R212" i="8"/>
  <c r="AB208" i="8"/>
  <c r="R206" i="8"/>
  <c r="AB202" i="8"/>
  <c r="R200" i="8"/>
  <c r="AB196" i="8"/>
  <c r="X229" i="8"/>
  <c r="Z225" i="8"/>
  <c r="AB221" i="8"/>
  <c r="T218" i="8"/>
  <c r="R215" i="8"/>
  <c r="AC211" i="8"/>
  <c r="AA208" i="8"/>
  <c r="AC205" i="8"/>
  <c r="AA202" i="8"/>
  <c r="AC199" i="8"/>
  <c r="AA196" i="8"/>
  <c r="R229" i="8"/>
  <c r="Y225" i="8"/>
  <c r="AA221" i="8"/>
  <c r="S218" i="8"/>
  <c r="AB214" i="8"/>
  <c r="AB211" i="8"/>
  <c r="Z208" i="8"/>
  <c r="AB205" i="8"/>
  <c r="Z202" i="8"/>
  <c r="AB199" i="8"/>
  <c r="Z196" i="8"/>
  <c r="AB228" i="8"/>
  <c r="X225" i="8"/>
  <c r="Z221" i="8"/>
  <c r="R218" i="8"/>
  <c r="AA214" i="8"/>
  <c r="AA211" i="8"/>
  <c r="X208" i="8"/>
  <c r="AA205" i="8"/>
  <c r="X202" i="8"/>
  <c r="AA199" i="8"/>
  <c r="X196" i="8"/>
  <c r="AA228" i="8"/>
  <c r="R225" i="8"/>
  <c r="Y221" i="8"/>
  <c r="AC217" i="8"/>
  <c r="Z214" i="8"/>
  <c r="Z211" i="8"/>
  <c r="V208" i="8"/>
  <c r="Z205" i="8"/>
  <c r="V202" i="8"/>
  <c r="Z199" i="8"/>
  <c r="V196" i="8"/>
  <c r="Z228" i="8"/>
  <c r="AB224" i="8"/>
  <c r="X221" i="8"/>
  <c r="AB217" i="8"/>
  <c r="V214" i="8"/>
  <c r="Y211" i="8"/>
  <c r="U208" i="8"/>
  <c r="Y205" i="8"/>
  <c r="U202" i="8"/>
  <c r="Y199" i="8"/>
  <c r="U196" i="8"/>
  <c r="T228" i="8"/>
  <c r="AA224" i="8"/>
  <c r="R221" i="8"/>
  <c r="AA217" i="8"/>
  <c r="U214" i="8"/>
  <c r="X211" i="8"/>
  <c r="T208" i="8"/>
  <c r="X205" i="8"/>
  <c r="T202" i="8"/>
  <c r="X199" i="8"/>
  <c r="T196" i="8"/>
  <c r="AC231" i="8"/>
  <c r="R228" i="8"/>
  <c r="T224" i="8"/>
  <c r="AA220" i="8"/>
  <c r="Y217" i="8"/>
  <c r="S214" i="8"/>
  <c r="AB210" i="8"/>
  <c r="R208" i="8"/>
  <c r="AB204" i="8"/>
  <c r="R202" i="8"/>
  <c r="AB198" i="8"/>
  <c r="R196" i="8"/>
  <c r="R7" i="8"/>
  <c r="S9" i="8"/>
  <c r="T11" i="8"/>
  <c r="U13" i="8"/>
  <c r="V15" i="8"/>
  <c r="W17" i="8"/>
  <c r="X19" i="8"/>
  <c r="Y21" i="8"/>
  <c r="Z23" i="8"/>
  <c r="AA25" i="8"/>
  <c r="AB27" i="8"/>
  <c r="AC29" i="8"/>
  <c r="R32" i="8"/>
  <c r="S34" i="8"/>
  <c r="U36" i="8"/>
  <c r="V38" i="8"/>
  <c r="W40" i="8"/>
  <c r="X44" i="8"/>
  <c r="Y46" i="8"/>
  <c r="R49" i="8"/>
  <c r="X51" i="8"/>
  <c r="U54" i="8"/>
  <c r="AA56" i="8"/>
  <c r="U59" i="8"/>
  <c r="U62" i="8"/>
  <c r="AA64" i="8"/>
  <c r="X67" i="8"/>
  <c r="Z70" i="8"/>
  <c r="AA73" i="8"/>
  <c r="AC76" i="8"/>
  <c r="Z82" i="8"/>
  <c r="Y86" i="8"/>
  <c r="AC90" i="8"/>
  <c r="Z96" i="8"/>
  <c r="V104" i="8"/>
  <c r="AB114" i="8"/>
  <c r="AB132" i="8"/>
  <c r="AB148" i="8"/>
  <c r="S208" i="8"/>
  <c r="W269" i="8"/>
  <c r="W267" i="8"/>
  <c r="W265" i="8"/>
  <c r="W263" i="8"/>
  <c r="W261" i="8"/>
  <c r="W259" i="8"/>
  <c r="W257" i="8"/>
  <c r="W255" i="8"/>
  <c r="W253" i="8"/>
  <c r="W251" i="8"/>
  <c r="W249" i="8"/>
  <c r="W247" i="8"/>
  <c r="W245" i="8"/>
  <c r="W243" i="8"/>
  <c r="W241" i="8"/>
  <c r="W239" i="8"/>
  <c r="W237" i="8"/>
  <c r="W235" i="8"/>
  <c r="V269" i="8"/>
  <c r="V267" i="8"/>
  <c r="V265" i="8"/>
  <c r="V263" i="8"/>
  <c r="V261" i="8"/>
  <c r="V259" i="8"/>
  <c r="V257" i="8"/>
  <c r="V255" i="8"/>
  <c r="V253" i="8"/>
  <c r="V251" i="8"/>
  <c r="V249" i="8"/>
  <c r="V247" i="8"/>
  <c r="V245" i="8"/>
  <c r="V243" i="8"/>
  <c r="V241" i="8"/>
  <c r="V239" i="8"/>
  <c r="V237" i="8"/>
  <c r="V235" i="8"/>
  <c r="U269" i="8"/>
  <c r="U267" i="8"/>
  <c r="U265" i="8"/>
  <c r="U263" i="8"/>
  <c r="U261" i="8"/>
  <c r="U259" i="8"/>
  <c r="U257" i="8"/>
  <c r="U255" i="8"/>
  <c r="U253" i="8"/>
  <c r="U251" i="8"/>
  <c r="U249" i="8"/>
  <c r="U247" i="8"/>
  <c r="U245" i="8"/>
  <c r="U243" i="8"/>
  <c r="U241" i="8"/>
  <c r="U239" i="8"/>
  <c r="U237" i="8"/>
  <c r="U235" i="8"/>
  <c r="T269" i="8"/>
  <c r="T267" i="8"/>
  <c r="T265" i="8"/>
  <c r="T263" i="8"/>
  <c r="T261" i="8"/>
  <c r="T259" i="8"/>
  <c r="T257" i="8"/>
  <c r="T255" i="8"/>
  <c r="T253" i="8"/>
  <c r="T251" i="8"/>
  <c r="T249" i="8"/>
  <c r="T247" i="8"/>
  <c r="T245" i="8"/>
  <c r="T243" i="8"/>
  <c r="T241" i="8"/>
  <c r="T239" i="8"/>
  <c r="T237" i="8"/>
  <c r="T235" i="8"/>
  <c r="S269" i="8"/>
  <c r="S267" i="8"/>
  <c r="S265" i="8"/>
  <c r="S263" i="8"/>
  <c r="S261" i="8"/>
  <c r="S259" i="8"/>
  <c r="S257" i="8"/>
  <c r="S255" i="8"/>
  <c r="S253" i="8"/>
  <c r="S251" i="8"/>
  <c r="S249" i="8"/>
  <c r="S247" i="8"/>
  <c r="S245" i="8"/>
  <c r="S243" i="8"/>
  <c r="S241" i="8"/>
  <c r="S239" i="8"/>
  <c r="S237" i="8"/>
  <c r="S235" i="8"/>
  <c r="R269" i="8"/>
  <c r="R267" i="8"/>
  <c r="R265" i="8"/>
  <c r="R263" i="8"/>
  <c r="R261" i="8"/>
  <c r="R259" i="8"/>
  <c r="R257" i="8"/>
  <c r="R255" i="8"/>
  <c r="R253" i="8"/>
  <c r="R251" i="8"/>
  <c r="R249" i="8"/>
  <c r="R247" i="8"/>
  <c r="R245" i="8"/>
  <c r="R243" i="8"/>
  <c r="R241" i="8"/>
  <c r="R239" i="8"/>
  <c r="R237" i="8"/>
  <c r="R235" i="8"/>
  <c r="AC268" i="8"/>
  <c r="AC266" i="8"/>
  <c r="AC264" i="8"/>
  <c r="AC262" i="8"/>
  <c r="AC260" i="8"/>
  <c r="AC258" i="8"/>
  <c r="AC256" i="8"/>
  <c r="AC254" i="8"/>
  <c r="AC252" i="8"/>
  <c r="AC250" i="8"/>
  <c r="AC248" i="8"/>
  <c r="AC246" i="8"/>
  <c r="AC244" i="8"/>
  <c r="AC242" i="8"/>
  <c r="AC240" i="8"/>
  <c r="AC238" i="8"/>
  <c r="AC236" i="8"/>
  <c r="AC234" i="8"/>
  <c r="AB268" i="8"/>
  <c r="AB266" i="8"/>
  <c r="AB264" i="8"/>
  <c r="AB262" i="8"/>
  <c r="AB260" i="8"/>
  <c r="AB258" i="8"/>
  <c r="AA268" i="8"/>
  <c r="AA266" i="8"/>
  <c r="AA264" i="8"/>
  <c r="AA262" i="8"/>
  <c r="AA260" i="8"/>
  <c r="AA258" i="8"/>
  <c r="AA256" i="8"/>
  <c r="AA254" i="8"/>
  <c r="AA252" i="8"/>
  <c r="AA250" i="8"/>
  <c r="AA248" i="8"/>
  <c r="AA246" i="8"/>
  <c r="AA244" i="8"/>
  <c r="AA242" i="8"/>
  <c r="Z268" i="8"/>
  <c r="Z266" i="8"/>
  <c r="Z264" i="8"/>
  <c r="Z262" i="8"/>
  <c r="Z260" i="8"/>
  <c r="Z258" i="8"/>
  <c r="Z256" i="8"/>
  <c r="Z254" i="8"/>
  <c r="Z252" i="8"/>
  <c r="Z250" i="8"/>
  <c r="Z248" i="8"/>
  <c r="Z246" i="8"/>
  <c r="Z244" i="8"/>
  <c r="Z242" i="8"/>
  <c r="Y268" i="8"/>
  <c r="Y266" i="8"/>
  <c r="Y264" i="8"/>
  <c r="Y262" i="8"/>
  <c r="Y260" i="8"/>
  <c r="Y258" i="8"/>
  <c r="Y256" i="8"/>
  <c r="Y254" i="8"/>
  <c r="Y252" i="8"/>
  <c r="Y250" i="8"/>
  <c r="Y248" i="8"/>
  <c r="Y246" i="8"/>
  <c r="Y244" i="8"/>
  <c r="Y242" i="8"/>
  <c r="Y240" i="8"/>
  <c r="Y238" i="8"/>
  <c r="Y236" i="8"/>
  <c r="Y234" i="8"/>
  <c r="X268" i="8"/>
  <c r="X266" i="8"/>
  <c r="X264" i="8"/>
  <c r="X262" i="8"/>
  <c r="X260" i="8"/>
  <c r="X258" i="8"/>
  <c r="X256" i="8"/>
  <c r="X254" i="8"/>
  <c r="X252" i="8"/>
  <c r="X250" i="8"/>
  <c r="X248" i="8"/>
  <c r="X246" i="8"/>
  <c r="X244" i="8"/>
  <c r="X242" i="8"/>
  <c r="X240" i="8"/>
  <c r="X238" i="8"/>
  <c r="X236" i="8"/>
  <c r="X234" i="8"/>
  <c r="W268" i="8"/>
  <c r="W266" i="8"/>
  <c r="W264" i="8"/>
  <c r="W262" i="8"/>
  <c r="W260" i="8"/>
  <c r="W258" i="8"/>
  <c r="W256" i="8"/>
  <c r="W254" i="8"/>
  <c r="W252" i="8"/>
  <c r="W250" i="8"/>
  <c r="W248" i="8"/>
  <c r="W246" i="8"/>
  <c r="W244" i="8"/>
  <c r="W242" i="8"/>
  <c r="W240" i="8"/>
  <c r="W238" i="8"/>
  <c r="W236" i="8"/>
  <c r="W234" i="8"/>
  <c r="V268" i="8"/>
  <c r="V266" i="8"/>
  <c r="V264" i="8"/>
  <c r="V262" i="8"/>
  <c r="V260" i="8"/>
  <c r="V258" i="8"/>
  <c r="V256" i="8"/>
  <c r="V254" i="8"/>
  <c r="V252" i="8"/>
  <c r="V250" i="8"/>
  <c r="V248" i="8"/>
  <c r="V246" i="8"/>
  <c r="V244" i="8"/>
  <c r="V242" i="8"/>
  <c r="V240" i="8"/>
  <c r="V238" i="8"/>
  <c r="V236" i="8"/>
  <c r="V234" i="8"/>
  <c r="U268" i="8"/>
  <c r="U266" i="8"/>
  <c r="U264" i="8"/>
  <c r="U262" i="8"/>
  <c r="U260" i="8"/>
  <c r="U258" i="8"/>
  <c r="U256" i="8"/>
  <c r="U254" i="8"/>
  <c r="U252" i="8"/>
  <c r="U250" i="8"/>
  <c r="U248" i="8"/>
  <c r="U246" i="8"/>
  <c r="U244" i="8"/>
  <c r="U242" i="8"/>
  <c r="U240" i="8"/>
  <c r="U238" i="8"/>
  <c r="U236" i="8"/>
  <c r="U234" i="8"/>
  <c r="T268" i="8"/>
  <c r="T266" i="8"/>
  <c r="T264" i="8"/>
  <c r="T262" i="8"/>
  <c r="T260" i="8"/>
  <c r="T258" i="8"/>
  <c r="S268" i="8"/>
  <c r="S266" i="8"/>
  <c r="S264" i="8"/>
  <c r="S262" i="8"/>
  <c r="S260" i="8"/>
  <c r="S258" i="8"/>
  <c r="S256" i="8"/>
  <c r="S254" i="8"/>
  <c r="S252" i="8"/>
  <c r="S250" i="8"/>
  <c r="S248" i="8"/>
  <c r="S246" i="8"/>
  <c r="S244" i="8"/>
  <c r="S242" i="8"/>
  <c r="S240" i="8"/>
  <c r="S238" i="8"/>
  <c r="S236" i="8"/>
  <c r="S234" i="8"/>
  <c r="R268" i="8"/>
  <c r="R266" i="8"/>
  <c r="R264" i="8"/>
  <c r="R262" i="8"/>
  <c r="R260" i="8"/>
  <c r="R258" i="8"/>
  <c r="R256" i="8"/>
  <c r="R254" i="8"/>
  <c r="AC269" i="8"/>
  <c r="AC267" i="8"/>
  <c r="AC265" i="8"/>
  <c r="AC263" i="8"/>
  <c r="AC261" i="8"/>
  <c r="AB269" i="8"/>
  <c r="AB267" i="8"/>
  <c r="AB265" i="8"/>
  <c r="AB263" i="8"/>
  <c r="AB261" i="8"/>
  <c r="AB259" i="8"/>
  <c r="AB257" i="8"/>
  <c r="AB255" i="8"/>
  <c r="AB253" i="8"/>
  <c r="AB251" i="8"/>
  <c r="AB249" i="8"/>
  <c r="AB247" i="8"/>
  <c r="AB245" i="8"/>
  <c r="AB243" i="8"/>
  <c r="AB241" i="8"/>
  <c r="AA269" i="8"/>
  <c r="AA267" i="8"/>
  <c r="AA265" i="8"/>
  <c r="AA263" i="8"/>
  <c r="AA261" i="8"/>
  <c r="AA259" i="8"/>
  <c r="AA257" i="8"/>
  <c r="Z269" i="8"/>
  <c r="Z267" i="8"/>
  <c r="Z265" i="8"/>
  <c r="Z263" i="8"/>
  <c r="Z261" i="8"/>
  <c r="Z259" i="8"/>
  <c r="Z257" i="8"/>
  <c r="Z255" i="8"/>
  <c r="X269" i="8"/>
  <c r="X267" i="8"/>
  <c r="X265" i="8"/>
  <c r="X263" i="8"/>
  <c r="X261" i="8"/>
  <c r="X259" i="8"/>
  <c r="X257" i="8"/>
  <c r="X255" i="8"/>
  <c r="AA255" i="8"/>
  <c r="X249" i="8"/>
  <c r="X243" i="8"/>
  <c r="R238" i="8"/>
  <c r="Y255" i="8"/>
  <c r="AB248" i="8"/>
  <c r="AB242" i="8"/>
  <c r="AC237" i="8"/>
  <c r="AB254" i="8"/>
  <c r="T248" i="8"/>
  <c r="T242" i="8"/>
  <c r="AB237" i="8"/>
  <c r="T254" i="8"/>
  <c r="R248" i="8"/>
  <c r="R242" i="8"/>
  <c r="AA237" i="8"/>
  <c r="AC253" i="8"/>
  <c r="AC247" i="8"/>
  <c r="AC241" i="8"/>
  <c r="Z237" i="8"/>
  <c r="AA253" i="8"/>
  <c r="AA247" i="8"/>
  <c r="AA241" i="8"/>
  <c r="Y237" i="8"/>
  <c r="Z253" i="8"/>
  <c r="Z247" i="8"/>
  <c r="Z241" i="8"/>
  <c r="X237" i="8"/>
  <c r="Y253" i="8"/>
  <c r="Y247" i="8"/>
  <c r="Y241" i="8"/>
  <c r="AB236" i="8"/>
  <c r="X253" i="8"/>
  <c r="X247" i="8"/>
  <c r="X241" i="8"/>
  <c r="AA236" i="8"/>
  <c r="AB252" i="8"/>
  <c r="AB246" i="8"/>
  <c r="AB240" i="8"/>
  <c r="Z236" i="8"/>
  <c r="T252" i="8"/>
  <c r="T246" i="8"/>
  <c r="AA240" i="8"/>
  <c r="T236" i="8"/>
  <c r="R252" i="8"/>
  <c r="R246" i="8"/>
  <c r="Z240" i="8"/>
  <c r="R236" i="8"/>
  <c r="Y269" i="8"/>
  <c r="AC251" i="8"/>
  <c r="AC245" i="8"/>
  <c r="T240" i="8"/>
  <c r="AC235" i="8"/>
  <c r="Y267" i="8"/>
  <c r="AA251" i="8"/>
  <c r="AA245" i="8"/>
  <c r="R240" i="8"/>
  <c r="AB235" i="8"/>
  <c r="Y265" i="8"/>
  <c r="Z251" i="8"/>
  <c r="Z245" i="8"/>
  <c r="AC239" i="8"/>
  <c r="AA235" i="8"/>
  <c r="Y263" i="8"/>
  <c r="Y251" i="8"/>
  <c r="Y245" i="8"/>
  <c r="AB239" i="8"/>
  <c r="Z235" i="8"/>
  <c r="Y261" i="8"/>
  <c r="X251" i="8"/>
  <c r="X245" i="8"/>
  <c r="AA239" i="8"/>
  <c r="Y235" i="8"/>
  <c r="AC259" i="8"/>
  <c r="AB250" i="8"/>
  <c r="AB244" i="8"/>
  <c r="Z239" i="8"/>
  <c r="X235" i="8"/>
  <c r="Y259" i="8"/>
  <c r="T250" i="8"/>
  <c r="T244" i="8"/>
  <c r="Y239" i="8"/>
  <c r="AB234" i="8"/>
  <c r="AC257" i="8"/>
  <c r="R250" i="8"/>
  <c r="R244" i="8"/>
  <c r="X239" i="8"/>
  <c r="AA234" i="8"/>
  <c r="Y257" i="8"/>
  <c r="AC249" i="8"/>
  <c r="AC243" i="8"/>
  <c r="AB238" i="8"/>
  <c r="Z234" i="8"/>
  <c r="AB256" i="8"/>
  <c r="AA249" i="8"/>
  <c r="AA243" i="8"/>
  <c r="AA238" i="8"/>
  <c r="T234" i="8"/>
  <c r="AC255" i="8"/>
  <c r="Y249" i="8"/>
  <c r="Y243" i="8"/>
  <c r="T238" i="8"/>
  <c r="S7" i="8"/>
  <c r="T9" i="8"/>
  <c r="U11" i="8"/>
  <c r="V13" i="8"/>
  <c r="W15" i="8"/>
  <c r="X17" i="8"/>
  <c r="Y19" i="8"/>
  <c r="Z21" i="8"/>
  <c r="AA23" i="8"/>
  <c r="AB25" i="8"/>
  <c r="AC27" i="8"/>
  <c r="R30" i="8"/>
  <c r="S32" i="8"/>
  <c r="U34" i="8"/>
  <c r="V36" i="8"/>
  <c r="W38" i="8"/>
  <c r="X40" i="8"/>
  <c r="Y44" i="8"/>
  <c r="Z46" i="8"/>
  <c r="S49" i="8"/>
  <c r="Y51" i="8"/>
  <c r="V54" i="8"/>
  <c r="AB56" i="8"/>
  <c r="X59" i="8"/>
  <c r="V62" i="8"/>
  <c r="AB64" i="8"/>
  <c r="Y67" i="8"/>
  <c r="AA70" i="8"/>
  <c r="U74" i="8"/>
  <c r="R77" i="8"/>
  <c r="AA82" i="8"/>
  <c r="Z86" i="8"/>
  <c r="Y91" i="8"/>
  <c r="AB96" i="8"/>
  <c r="W104" i="8"/>
  <c r="V116" i="8"/>
  <c r="V134" i="8"/>
  <c r="X150" i="8"/>
  <c r="R211" i="8"/>
  <c r="AC307" i="8"/>
  <c r="AC305" i="8"/>
  <c r="AC303" i="8"/>
  <c r="AC301" i="8"/>
  <c r="AC299" i="8"/>
  <c r="AC297" i="8"/>
  <c r="AC295" i="8"/>
  <c r="AC293" i="8"/>
  <c r="AC291" i="8"/>
  <c r="AC289" i="8"/>
  <c r="AC287" i="8"/>
  <c r="AC285" i="8"/>
  <c r="AC283" i="8"/>
  <c r="AB307" i="8"/>
  <c r="AB305" i="8"/>
  <c r="AB303" i="8"/>
  <c r="AB301" i="8"/>
  <c r="AB299" i="8"/>
  <c r="AB297" i="8"/>
  <c r="AB295" i="8"/>
  <c r="AB293" i="8"/>
  <c r="AB291" i="8"/>
  <c r="AB289" i="8"/>
  <c r="AB287" i="8"/>
  <c r="AB285" i="8"/>
  <c r="AB283" i="8"/>
  <c r="AA307" i="8"/>
  <c r="AA305" i="8"/>
  <c r="AA303" i="8"/>
  <c r="AA301" i="8"/>
  <c r="Y307" i="8"/>
  <c r="W305" i="8"/>
  <c r="T303" i="8"/>
  <c r="AC300" i="8"/>
  <c r="AA298" i="8"/>
  <c r="Y296" i="8"/>
  <c r="W294" i="8"/>
  <c r="U292" i="8"/>
  <c r="S290" i="8"/>
  <c r="AA287" i="8"/>
  <c r="Y285" i="8"/>
  <c r="W283" i="8"/>
  <c r="W281" i="8"/>
  <c r="W279" i="8"/>
  <c r="W277" i="8"/>
  <c r="W275" i="8"/>
  <c r="W273" i="8"/>
  <c r="Z307" i="8"/>
  <c r="V305" i="8"/>
  <c r="S303" i="8"/>
  <c r="AB300" i="8"/>
  <c r="Z298" i="8"/>
  <c r="X296" i="8"/>
  <c r="V294" i="8"/>
  <c r="T292" i="8"/>
  <c r="R290" i="8"/>
  <c r="Z287" i="8"/>
  <c r="X285" i="8"/>
  <c r="V283" i="8"/>
  <c r="V281" i="8"/>
  <c r="V279" i="8"/>
  <c r="V277" i="8"/>
  <c r="V275" i="8"/>
  <c r="V273" i="8"/>
  <c r="X307" i="8"/>
  <c r="U305" i="8"/>
  <c r="R303" i="8"/>
  <c r="AA300" i="8"/>
  <c r="Y298" i="8"/>
  <c r="W296" i="8"/>
  <c r="U294" i="8"/>
  <c r="S292" i="8"/>
  <c r="AA289" i="8"/>
  <c r="Y287" i="8"/>
  <c r="W285" i="8"/>
  <c r="U283" i="8"/>
  <c r="U281" i="8"/>
  <c r="U279" i="8"/>
  <c r="U277" i="8"/>
  <c r="U275" i="8"/>
  <c r="U273" i="8"/>
  <c r="W307" i="8"/>
  <c r="T305" i="8"/>
  <c r="AC302" i="8"/>
  <c r="Z300" i="8"/>
  <c r="X298" i="8"/>
  <c r="V296" i="8"/>
  <c r="T294" i="8"/>
  <c r="R292" i="8"/>
  <c r="Z289" i="8"/>
  <c r="X287" i="8"/>
  <c r="V285" i="8"/>
  <c r="T283" i="8"/>
  <c r="T281" i="8"/>
  <c r="T279" i="8"/>
  <c r="T277" i="8"/>
  <c r="T275" i="8"/>
  <c r="T273" i="8"/>
  <c r="V307" i="8"/>
  <c r="S305" i="8"/>
  <c r="AB302" i="8"/>
  <c r="Y300" i="8"/>
  <c r="W298" i="8"/>
  <c r="U296" i="8"/>
  <c r="S294" i="8"/>
  <c r="AA291" i="8"/>
  <c r="Y289" i="8"/>
  <c r="W287" i="8"/>
  <c r="U285" i="8"/>
  <c r="S283" i="8"/>
  <c r="S281" i="8"/>
  <c r="S279" i="8"/>
  <c r="S277" i="8"/>
  <c r="S275" i="8"/>
  <c r="S273" i="8"/>
  <c r="U307" i="8"/>
  <c r="R305" i="8"/>
  <c r="AA302" i="8"/>
  <c r="X300" i="8"/>
  <c r="V298" i="8"/>
  <c r="T296" i="8"/>
  <c r="R294" i="8"/>
  <c r="Z291" i="8"/>
  <c r="X289" i="8"/>
  <c r="V287" i="8"/>
  <c r="T285" i="8"/>
  <c r="R283" i="8"/>
  <c r="R281" i="8"/>
  <c r="R279" i="8"/>
  <c r="R277" i="8"/>
  <c r="R275" i="8"/>
  <c r="R273" i="8"/>
  <c r="T307" i="8"/>
  <c r="AC304" i="8"/>
  <c r="Z302" i="8"/>
  <c r="W300" i="8"/>
  <c r="U298" i="8"/>
  <c r="S296" i="8"/>
  <c r="AA293" i="8"/>
  <c r="Y291" i="8"/>
  <c r="W289" i="8"/>
  <c r="U287" i="8"/>
  <c r="S285" i="8"/>
  <c r="AC282" i="8"/>
  <c r="AC280" i="8"/>
  <c r="AC278" i="8"/>
  <c r="AC276" i="8"/>
  <c r="AC274" i="8"/>
  <c r="AC272" i="8"/>
  <c r="S307" i="8"/>
  <c r="AB304" i="8"/>
  <c r="Y302" i="8"/>
  <c r="V300" i="8"/>
  <c r="T298" i="8"/>
  <c r="R296" i="8"/>
  <c r="Z293" i="8"/>
  <c r="X291" i="8"/>
  <c r="V289" i="8"/>
  <c r="T287" i="8"/>
  <c r="R285" i="8"/>
  <c r="AB282" i="8"/>
  <c r="AB280" i="8"/>
  <c r="AB278" i="8"/>
  <c r="AB276" i="8"/>
  <c r="AB274" i="8"/>
  <c r="AB272" i="8"/>
  <c r="R307" i="8"/>
  <c r="AA304" i="8"/>
  <c r="X302" i="8"/>
  <c r="U300" i="8"/>
  <c r="S298" i="8"/>
  <c r="AA295" i="8"/>
  <c r="Y293" i="8"/>
  <c r="W291" i="8"/>
  <c r="U289" i="8"/>
  <c r="S287" i="8"/>
  <c r="AC284" i="8"/>
  <c r="AA282" i="8"/>
  <c r="AA280" i="8"/>
  <c r="AA278" i="8"/>
  <c r="AA276" i="8"/>
  <c r="AA274" i="8"/>
  <c r="AA272" i="8"/>
  <c r="AC306" i="8"/>
  <c r="Z304" i="8"/>
  <c r="W302" i="8"/>
  <c r="T300" i="8"/>
  <c r="R298" i="8"/>
  <c r="Z295" i="8"/>
  <c r="X293" i="8"/>
  <c r="V291" i="8"/>
  <c r="T289" i="8"/>
  <c r="R287" i="8"/>
  <c r="AB284" i="8"/>
  <c r="Z282" i="8"/>
  <c r="Z280" i="8"/>
  <c r="Z278" i="8"/>
  <c r="Z276" i="8"/>
  <c r="Z274" i="8"/>
  <c r="Z272" i="8"/>
  <c r="AB306" i="8"/>
  <c r="Y304" i="8"/>
  <c r="V302" i="8"/>
  <c r="S300" i="8"/>
  <c r="AA297" i="8"/>
  <c r="Y295" i="8"/>
  <c r="W293" i="8"/>
  <c r="U291" i="8"/>
  <c r="S289" i="8"/>
  <c r="AC286" i="8"/>
  <c r="AA284" i="8"/>
  <c r="Y282" i="8"/>
  <c r="Y280" i="8"/>
  <c r="Y278" i="8"/>
  <c r="Y276" i="8"/>
  <c r="Y274" i="8"/>
  <c r="Y272" i="8"/>
  <c r="AA306" i="8"/>
  <c r="X304" i="8"/>
  <c r="U302" i="8"/>
  <c r="R300" i="8"/>
  <c r="Z297" i="8"/>
  <c r="X295" i="8"/>
  <c r="V293" i="8"/>
  <c r="T291" i="8"/>
  <c r="R289" i="8"/>
  <c r="AB286" i="8"/>
  <c r="Z284" i="8"/>
  <c r="X282" i="8"/>
  <c r="X280" i="8"/>
  <c r="X278" i="8"/>
  <c r="X276" i="8"/>
  <c r="X274" i="8"/>
  <c r="X272" i="8"/>
  <c r="Z306" i="8"/>
  <c r="W304" i="8"/>
  <c r="T302" i="8"/>
  <c r="AA299" i="8"/>
  <c r="Y297" i="8"/>
  <c r="W295" i="8"/>
  <c r="U293" i="8"/>
  <c r="S291" i="8"/>
  <c r="AC288" i="8"/>
  <c r="AA286" i="8"/>
  <c r="Y284" i="8"/>
  <c r="W282" i="8"/>
  <c r="W280" i="8"/>
  <c r="W278" i="8"/>
  <c r="W276" i="8"/>
  <c r="W274" i="8"/>
  <c r="W272" i="8"/>
  <c r="Y306" i="8"/>
  <c r="V304" i="8"/>
  <c r="S302" i="8"/>
  <c r="Z299" i="8"/>
  <c r="X297" i="8"/>
  <c r="V295" i="8"/>
  <c r="T293" i="8"/>
  <c r="R291" i="8"/>
  <c r="AB288" i="8"/>
  <c r="Z286" i="8"/>
  <c r="X284" i="8"/>
  <c r="V282" i="8"/>
  <c r="V280" i="8"/>
  <c r="V278" i="8"/>
  <c r="V276" i="8"/>
  <c r="V274" i="8"/>
  <c r="V272" i="8"/>
  <c r="X306" i="8"/>
  <c r="U304" i="8"/>
  <c r="R302" i="8"/>
  <c r="Y299" i="8"/>
  <c r="W297" i="8"/>
  <c r="U295" i="8"/>
  <c r="S293" i="8"/>
  <c r="AC290" i="8"/>
  <c r="AA288" i="8"/>
  <c r="Y286" i="8"/>
  <c r="W284" i="8"/>
  <c r="U282" i="8"/>
  <c r="U280" i="8"/>
  <c r="U278" i="8"/>
  <c r="U276" i="8"/>
  <c r="U274" i="8"/>
  <c r="U272" i="8"/>
  <c r="W306" i="8"/>
  <c r="T304" i="8"/>
  <c r="Z301" i="8"/>
  <c r="X299" i="8"/>
  <c r="V297" i="8"/>
  <c r="T295" i="8"/>
  <c r="R293" i="8"/>
  <c r="AB290" i="8"/>
  <c r="Z288" i="8"/>
  <c r="X286" i="8"/>
  <c r="V284" i="8"/>
  <c r="T282" i="8"/>
  <c r="T280" i="8"/>
  <c r="T278" i="8"/>
  <c r="T276" i="8"/>
  <c r="T274" i="8"/>
  <c r="T272" i="8"/>
  <c r="V306" i="8"/>
  <c r="S304" i="8"/>
  <c r="Y301" i="8"/>
  <c r="W299" i="8"/>
  <c r="U297" i="8"/>
  <c r="S295" i="8"/>
  <c r="AC292" i="8"/>
  <c r="AA290" i="8"/>
  <c r="Y288" i="8"/>
  <c r="W286" i="8"/>
  <c r="U284" i="8"/>
  <c r="S282" i="8"/>
  <c r="S280" i="8"/>
  <c r="S278" i="8"/>
  <c r="S276" i="8"/>
  <c r="S274" i="8"/>
  <c r="S272" i="8"/>
  <c r="U306" i="8"/>
  <c r="R304" i="8"/>
  <c r="X301" i="8"/>
  <c r="V299" i="8"/>
  <c r="T297" i="8"/>
  <c r="R295" i="8"/>
  <c r="AB292" i="8"/>
  <c r="Z290" i="8"/>
  <c r="X288" i="8"/>
  <c r="V286" i="8"/>
  <c r="T284" i="8"/>
  <c r="R282" i="8"/>
  <c r="R280" i="8"/>
  <c r="R278" i="8"/>
  <c r="R276" i="8"/>
  <c r="R274" i="8"/>
  <c r="R272" i="8"/>
  <c r="T306" i="8"/>
  <c r="Z303" i="8"/>
  <c r="W301" i="8"/>
  <c r="U299" i="8"/>
  <c r="S297" i="8"/>
  <c r="AC294" i="8"/>
  <c r="AA292" i="8"/>
  <c r="Y290" i="8"/>
  <c r="W288" i="8"/>
  <c r="U286" i="8"/>
  <c r="S284" i="8"/>
  <c r="AC281" i="8"/>
  <c r="AC279" i="8"/>
  <c r="AC277" i="8"/>
  <c r="AC275" i="8"/>
  <c r="AC273" i="8"/>
  <c r="S306" i="8"/>
  <c r="Y303" i="8"/>
  <c r="V301" i="8"/>
  <c r="T299" i="8"/>
  <c r="R297" i="8"/>
  <c r="AB294" i="8"/>
  <c r="Z292" i="8"/>
  <c r="X290" i="8"/>
  <c r="V288" i="8"/>
  <c r="T286" i="8"/>
  <c r="R284" i="8"/>
  <c r="AB281" i="8"/>
  <c r="AB279" i="8"/>
  <c r="AB277" i="8"/>
  <c r="AB275" i="8"/>
  <c r="AB273" i="8"/>
  <c r="R306" i="8"/>
  <c r="X303" i="8"/>
  <c r="U301" i="8"/>
  <c r="S299" i="8"/>
  <c r="AC296" i="8"/>
  <c r="AA294" i="8"/>
  <c r="Y292" i="8"/>
  <c r="W290" i="8"/>
  <c r="U288" i="8"/>
  <c r="S286" i="8"/>
  <c r="AA283" i="8"/>
  <c r="AA281" i="8"/>
  <c r="AA279" i="8"/>
  <c r="AA277" i="8"/>
  <c r="AA275" i="8"/>
  <c r="AA273" i="8"/>
  <c r="Z305" i="8"/>
  <c r="W303" i="8"/>
  <c r="T301" i="8"/>
  <c r="R299" i="8"/>
  <c r="AB296" i="8"/>
  <c r="Z294" i="8"/>
  <c r="X292" i="8"/>
  <c r="V290" i="8"/>
  <c r="T288" i="8"/>
  <c r="R286" i="8"/>
  <c r="Z283" i="8"/>
  <c r="Z281" i="8"/>
  <c r="Z279" i="8"/>
  <c r="Z277" i="8"/>
  <c r="Z275" i="8"/>
  <c r="Z273" i="8"/>
  <c r="X305" i="8"/>
  <c r="U303" i="8"/>
  <c r="R301" i="8"/>
  <c r="AB298" i="8"/>
  <c r="Z296" i="8"/>
  <c r="X294" i="8"/>
  <c r="V292" i="8"/>
  <c r="T290" i="8"/>
  <c r="R288" i="8"/>
  <c r="Z285" i="8"/>
  <c r="X283" i="8"/>
  <c r="X281" i="8"/>
  <c r="X279" i="8"/>
  <c r="X277" i="8"/>
  <c r="X275" i="8"/>
  <c r="X273" i="8"/>
  <c r="AA296" i="8"/>
  <c r="Y294" i="8"/>
  <c r="W292" i="8"/>
  <c r="U290" i="8"/>
  <c r="S288" i="8"/>
  <c r="AA285" i="8"/>
  <c r="Y283" i="8"/>
  <c r="Y281" i="8"/>
  <c r="Y279" i="8"/>
  <c r="Y277" i="8"/>
  <c r="Y275" i="8"/>
  <c r="Y273" i="8"/>
  <c r="Y305" i="8"/>
  <c r="V303" i="8"/>
  <c r="AC298" i="8"/>
  <c r="T7" i="8"/>
  <c r="U9" i="8"/>
  <c r="V11" i="8"/>
  <c r="W13" i="8"/>
  <c r="X15" i="8"/>
  <c r="Y17" i="8"/>
  <c r="Z19" i="8"/>
  <c r="AA21" i="8"/>
  <c r="AB23" i="8"/>
  <c r="AC25" i="8"/>
  <c r="R28" i="8"/>
  <c r="S30" i="8"/>
  <c r="U32" i="8"/>
  <c r="V34" i="8"/>
  <c r="W36" i="8"/>
  <c r="X38" i="8"/>
  <c r="Y40" i="8"/>
  <c r="Z44" i="8"/>
  <c r="AA46" i="8"/>
  <c r="T49" i="8"/>
  <c r="Z51" i="8"/>
  <c r="W54" i="8"/>
  <c r="AC56" i="8"/>
  <c r="Y59" i="8"/>
  <c r="W62" i="8"/>
  <c r="AC64" i="8"/>
  <c r="Z67" i="8"/>
  <c r="AB70" i="8"/>
  <c r="V74" i="8"/>
  <c r="S77" i="8"/>
  <c r="AB82" i="8"/>
  <c r="AA86" i="8"/>
  <c r="U92" i="8"/>
  <c r="U98" i="8"/>
  <c r="X104" i="8"/>
  <c r="W116" i="8"/>
  <c r="W134" i="8"/>
  <c r="R151" i="8"/>
  <c r="T214" i="8"/>
  <c r="AC345" i="8"/>
  <c r="AC343" i="8"/>
  <c r="AC341" i="8"/>
  <c r="AC339" i="8"/>
  <c r="AC337" i="8"/>
  <c r="AC335" i="8"/>
  <c r="AC333" i="8"/>
  <c r="AC331" i="8"/>
  <c r="AC329" i="8"/>
  <c r="AC327" i="8"/>
  <c r="AC325" i="8"/>
  <c r="AC323" i="8"/>
  <c r="AC321" i="8"/>
  <c r="AC319" i="8"/>
  <c r="AC317" i="8"/>
  <c r="AC315" i="8"/>
  <c r="AC313" i="8"/>
  <c r="AC311" i="8"/>
  <c r="AB345" i="8"/>
  <c r="AB343" i="8"/>
  <c r="AB341" i="8"/>
  <c r="AB339" i="8"/>
  <c r="AB337" i="8"/>
  <c r="AB335" i="8"/>
  <c r="AB333" i="8"/>
  <c r="AB331" i="8"/>
  <c r="AB329" i="8"/>
  <c r="AB327" i="8"/>
  <c r="AB325" i="8"/>
  <c r="AB323" i="8"/>
  <c r="AB321" i="8"/>
  <c r="AB319" i="8"/>
  <c r="AB317" i="8"/>
  <c r="AB315" i="8"/>
  <c r="AB313" i="8"/>
  <c r="AB311" i="8"/>
  <c r="AA345" i="8"/>
  <c r="AA343" i="8"/>
  <c r="AA341" i="8"/>
  <c r="AA339" i="8"/>
  <c r="AA337" i="8"/>
  <c r="AA335" i="8"/>
  <c r="AA333" i="8"/>
  <c r="AA331" i="8"/>
  <c r="AA329" i="8"/>
  <c r="AA327" i="8"/>
  <c r="AA325" i="8"/>
  <c r="AA323" i="8"/>
  <c r="AA321" i="8"/>
  <c r="AA319" i="8"/>
  <c r="AA317" i="8"/>
  <c r="AA315" i="8"/>
  <c r="AA313" i="8"/>
  <c r="AA311" i="8"/>
  <c r="Z345" i="8"/>
  <c r="Z343" i="8"/>
  <c r="Z341" i="8"/>
  <c r="Z339" i="8"/>
  <c r="Z337" i="8"/>
  <c r="Z335" i="8"/>
  <c r="Z333" i="8"/>
  <c r="Z331" i="8"/>
  <c r="Z329" i="8"/>
  <c r="Z327" i="8"/>
  <c r="Z325" i="8"/>
  <c r="Z323" i="8"/>
  <c r="Z321" i="8"/>
  <c r="Z319" i="8"/>
  <c r="Z317" i="8"/>
  <c r="Z315" i="8"/>
  <c r="Z313" i="8"/>
  <c r="Y345" i="8"/>
  <c r="Y343" i="8"/>
  <c r="Y341" i="8"/>
  <c r="Y339" i="8"/>
  <c r="Y337" i="8"/>
  <c r="Y335" i="8"/>
  <c r="Y333" i="8"/>
  <c r="Y331" i="8"/>
  <c r="Y329" i="8"/>
  <c r="Y327" i="8"/>
  <c r="Y325" i="8"/>
  <c r="Y323" i="8"/>
  <c r="Y321" i="8"/>
  <c r="Y319" i="8"/>
  <c r="Y317" i="8"/>
  <c r="Y315" i="8"/>
  <c r="Y313" i="8"/>
  <c r="Y311" i="8"/>
  <c r="X345" i="8"/>
  <c r="W345" i="8"/>
  <c r="W343" i="8"/>
  <c r="R345" i="8"/>
  <c r="R343" i="8"/>
  <c r="R341" i="8"/>
  <c r="R339" i="8"/>
  <c r="R337" i="8"/>
  <c r="R335" i="8"/>
  <c r="R333" i="8"/>
  <c r="R331" i="8"/>
  <c r="R329" i="8"/>
  <c r="R327" i="8"/>
  <c r="R325" i="8"/>
  <c r="AB344" i="8"/>
  <c r="AB342" i="8"/>
  <c r="AB340" i="8"/>
  <c r="AB338" i="8"/>
  <c r="AB336" i="8"/>
  <c r="AB334" i="8"/>
  <c r="AB332" i="8"/>
  <c r="AB330" i="8"/>
  <c r="AB328" i="8"/>
  <c r="AB326" i="8"/>
  <c r="AB324" i="8"/>
  <c r="AA344" i="8"/>
  <c r="AA342" i="8"/>
  <c r="AA340" i="8"/>
  <c r="AA338" i="8"/>
  <c r="AA336" i="8"/>
  <c r="AA334" i="8"/>
  <c r="W342" i="8"/>
  <c r="V339" i="8"/>
  <c r="W336" i="8"/>
  <c r="V333" i="8"/>
  <c r="Y330" i="8"/>
  <c r="R328" i="8"/>
  <c r="AC324" i="8"/>
  <c r="W322" i="8"/>
  <c r="R320" i="8"/>
  <c r="T317" i="8"/>
  <c r="AA314" i="8"/>
  <c r="V312" i="8"/>
  <c r="R310" i="8"/>
  <c r="V345" i="8"/>
  <c r="V342" i="8"/>
  <c r="U339" i="8"/>
  <c r="V336" i="8"/>
  <c r="U333" i="8"/>
  <c r="X330" i="8"/>
  <c r="X327" i="8"/>
  <c r="AA324" i="8"/>
  <c r="V322" i="8"/>
  <c r="X319" i="8"/>
  <c r="S317" i="8"/>
  <c r="Z314" i="8"/>
  <c r="U312" i="8"/>
  <c r="U345" i="8"/>
  <c r="U342" i="8"/>
  <c r="T339" i="8"/>
  <c r="U336" i="8"/>
  <c r="T333" i="8"/>
  <c r="W330" i="8"/>
  <c r="W327" i="8"/>
  <c r="Z324" i="8"/>
  <c r="U322" i="8"/>
  <c r="W319" i="8"/>
  <c r="R317" i="8"/>
  <c r="Y314" i="8"/>
  <c r="T312" i="8"/>
  <c r="T345" i="8"/>
  <c r="T342" i="8"/>
  <c r="S339" i="8"/>
  <c r="T336" i="8"/>
  <c r="S333" i="8"/>
  <c r="V330" i="8"/>
  <c r="V327" i="8"/>
  <c r="Y324" i="8"/>
  <c r="T322" i="8"/>
  <c r="V319" i="8"/>
  <c r="AC316" i="8"/>
  <c r="X314" i="8"/>
  <c r="S312" i="8"/>
  <c r="S345" i="8"/>
  <c r="S342" i="8"/>
  <c r="AC338" i="8"/>
  <c r="S336" i="8"/>
  <c r="AC332" i="8"/>
  <c r="U330" i="8"/>
  <c r="U327" i="8"/>
  <c r="X324" i="8"/>
  <c r="S322" i="8"/>
  <c r="U319" i="8"/>
  <c r="AB316" i="8"/>
  <c r="W314" i="8"/>
  <c r="R312" i="8"/>
  <c r="AC344" i="8"/>
  <c r="R342" i="8"/>
  <c r="Z338" i="8"/>
  <c r="R336" i="8"/>
  <c r="AA332" i="8"/>
  <c r="T330" i="8"/>
  <c r="T327" i="8"/>
  <c r="W324" i="8"/>
  <c r="R322" i="8"/>
  <c r="T319" i="8"/>
  <c r="AA316" i="8"/>
  <c r="V314" i="8"/>
  <c r="Z311" i="8"/>
  <c r="Z344" i="8"/>
  <c r="X341" i="8"/>
  <c r="Y338" i="8"/>
  <c r="X335" i="8"/>
  <c r="Z332" i="8"/>
  <c r="S330" i="8"/>
  <c r="S327" i="8"/>
  <c r="V324" i="8"/>
  <c r="X321" i="8"/>
  <c r="S319" i="8"/>
  <c r="Z316" i="8"/>
  <c r="U314" i="8"/>
  <c r="X311" i="8"/>
  <c r="Y344" i="8"/>
  <c r="W341" i="8"/>
  <c r="X338" i="8"/>
  <c r="W335" i="8"/>
  <c r="Y332" i="8"/>
  <c r="R330" i="8"/>
  <c r="AC326" i="8"/>
  <c r="U324" i="8"/>
  <c r="W321" i="8"/>
  <c r="R319" i="8"/>
  <c r="Y316" i="8"/>
  <c r="T314" i="8"/>
  <c r="W311" i="8"/>
  <c r="X344" i="8"/>
  <c r="V341" i="8"/>
  <c r="W338" i="8"/>
  <c r="V335" i="8"/>
  <c r="X332" i="8"/>
  <c r="X329" i="8"/>
  <c r="AA326" i="8"/>
  <c r="T324" i="8"/>
  <c r="V321" i="8"/>
  <c r="AC318" i="8"/>
  <c r="X316" i="8"/>
  <c r="S314" i="8"/>
  <c r="V311" i="8"/>
  <c r="W344" i="8"/>
  <c r="U341" i="8"/>
  <c r="V338" i="8"/>
  <c r="U335" i="8"/>
  <c r="W332" i="8"/>
  <c r="W329" i="8"/>
  <c r="Z326" i="8"/>
  <c r="S324" i="8"/>
  <c r="U321" i="8"/>
  <c r="AB318" i="8"/>
  <c r="W316" i="8"/>
  <c r="R314" i="8"/>
  <c r="U311" i="8"/>
  <c r="V344" i="8"/>
  <c r="T341" i="8"/>
  <c r="U338" i="8"/>
  <c r="T335" i="8"/>
  <c r="V332" i="8"/>
  <c r="V329" i="8"/>
  <c r="Y326" i="8"/>
  <c r="R324" i="8"/>
  <c r="T321" i="8"/>
  <c r="AA318" i="8"/>
  <c r="V316" i="8"/>
  <c r="X313" i="8"/>
  <c r="T311" i="8"/>
  <c r="U344" i="8"/>
  <c r="S341" i="8"/>
  <c r="T338" i="8"/>
  <c r="S335" i="8"/>
  <c r="U332" i="8"/>
  <c r="U329" i="8"/>
  <c r="X326" i="8"/>
  <c r="X323" i="8"/>
  <c r="S321" i="8"/>
  <c r="Z318" i="8"/>
  <c r="U316" i="8"/>
  <c r="W313" i="8"/>
  <c r="S311" i="8"/>
  <c r="T344" i="8"/>
  <c r="AC340" i="8"/>
  <c r="S338" i="8"/>
  <c r="AC334" i="8"/>
  <c r="T332" i="8"/>
  <c r="T329" i="8"/>
  <c r="W326" i="8"/>
  <c r="W323" i="8"/>
  <c r="R321" i="8"/>
  <c r="Y318" i="8"/>
  <c r="T316" i="8"/>
  <c r="V313" i="8"/>
  <c r="R311" i="8"/>
  <c r="S344" i="8"/>
  <c r="Z340" i="8"/>
  <c r="R338" i="8"/>
  <c r="Z334" i="8"/>
  <c r="S332" i="8"/>
  <c r="S329" i="8"/>
  <c r="V326" i="8"/>
  <c r="V323" i="8"/>
  <c r="AC320" i="8"/>
  <c r="X318" i="8"/>
  <c r="S316" i="8"/>
  <c r="U313" i="8"/>
  <c r="AC310" i="8"/>
  <c r="R344" i="8"/>
  <c r="Y340" i="8"/>
  <c r="X337" i="8"/>
  <c r="Y334" i="8"/>
  <c r="R332" i="8"/>
  <c r="AC328" i="8"/>
  <c r="U326" i="8"/>
  <c r="U323" i="8"/>
  <c r="AB320" i="8"/>
  <c r="W318" i="8"/>
  <c r="R316" i="8"/>
  <c r="T313" i="8"/>
  <c r="AB310" i="8"/>
  <c r="X343" i="8"/>
  <c r="X340" i="8"/>
  <c r="W337" i="8"/>
  <c r="X334" i="8"/>
  <c r="X331" i="8"/>
  <c r="AA328" i="8"/>
  <c r="T326" i="8"/>
  <c r="T323" i="8"/>
  <c r="AA320" i="8"/>
  <c r="V318" i="8"/>
  <c r="X315" i="8"/>
  <c r="S313" i="8"/>
  <c r="AA310" i="8"/>
  <c r="V343" i="8"/>
  <c r="W340" i="8"/>
  <c r="V337" i="8"/>
  <c r="W334" i="8"/>
  <c r="W331" i="8"/>
  <c r="Z328" i="8"/>
  <c r="S326" i="8"/>
  <c r="S323" i="8"/>
  <c r="Z320" i="8"/>
  <c r="U318" i="8"/>
  <c r="W315" i="8"/>
  <c r="R313" i="8"/>
  <c r="Z310" i="8"/>
  <c r="U343" i="8"/>
  <c r="V340" i="8"/>
  <c r="U337" i="8"/>
  <c r="V334" i="8"/>
  <c r="V331" i="8"/>
  <c r="Y328" i="8"/>
  <c r="R326" i="8"/>
  <c r="R323" i="8"/>
  <c r="Y320" i="8"/>
  <c r="T318" i="8"/>
  <c r="V315" i="8"/>
  <c r="AC312" i="8"/>
  <c r="Y310" i="8"/>
  <c r="T343" i="8"/>
  <c r="U340" i="8"/>
  <c r="T337" i="8"/>
  <c r="U334" i="8"/>
  <c r="U331" i="8"/>
  <c r="X328" i="8"/>
  <c r="X325" i="8"/>
  <c r="AC322" i="8"/>
  <c r="X320" i="8"/>
  <c r="S318" i="8"/>
  <c r="U315" i="8"/>
  <c r="AB312" i="8"/>
  <c r="X310" i="8"/>
  <c r="S343" i="8"/>
  <c r="T340" i="8"/>
  <c r="S337" i="8"/>
  <c r="T334" i="8"/>
  <c r="T331" i="8"/>
  <c r="W328" i="8"/>
  <c r="W325" i="8"/>
  <c r="AB322" i="8"/>
  <c r="W320" i="8"/>
  <c r="R318" i="8"/>
  <c r="T315" i="8"/>
  <c r="AA312" i="8"/>
  <c r="W310" i="8"/>
  <c r="AC342" i="8"/>
  <c r="S340" i="8"/>
  <c r="AC336" i="8"/>
  <c r="S334" i="8"/>
  <c r="S331" i="8"/>
  <c r="V328" i="8"/>
  <c r="V325" i="8"/>
  <c r="AA322" i="8"/>
  <c r="V320" i="8"/>
  <c r="X317" i="8"/>
  <c r="S315" i="8"/>
  <c r="Z312" i="8"/>
  <c r="V310" i="8"/>
  <c r="Z342" i="8"/>
  <c r="R340" i="8"/>
  <c r="Z336" i="8"/>
  <c r="R334" i="8"/>
  <c r="AC330" i="8"/>
  <c r="U328" i="8"/>
  <c r="U325" i="8"/>
  <c r="Z322" i="8"/>
  <c r="U320" i="8"/>
  <c r="W317" i="8"/>
  <c r="R315" i="8"/>
  <c r="Y312" i="8"/>
  <c r="U310" i="8"/>
  <c r="X342" i="8"/>
  <c r="W339" i="8"/>
  <c r="X336" i="8"/>
  <c r="W333" i="8"/>
  <c r="Z330" i="8"/>
  <c r="S328" i="8"/>
  <c r="S325" i="8"/>
  <c r="X322" i="8"/>
  <c r="S320" i="8"/>
  <c r="U317" i="8"/>
  <c r="AB314" i="8"/>
  <c r="W312" i="8"/>
  <c r="S310" i="8"/>
  <c r="Y342" i="8"/>
  <c r="X339" i="8"/>
  <c r="Y336" i="8"/>
  <c r="X333" i="8"/>
  <c r="AA330" i="8"/>
  <c r="T328" i="8"/>
  <c r="T325" i="8"/>
  <c r="Y322" i="8"/>
  <c r="T320" i="8"/>
  <c r="V317" i="8"/>
  <c r="AC314" i="8"/>
  <c r="X312" i="8"/>
  <c r="T310" i="8"/>
  <c r="U7" i="8"/>
  <c r="V9" i="8"/>
  <c r="W11" i="8"/>
  <c r="X13" i="8"/>
  <c r="Y15" i="8"/>
  <c r="Z17" i="8"/>
  <c r="AA19" i="8"/>
  <c r="AB21" i="8"/>
  <c r="AC23" i="8"/>
  <c r="R26" i="8"/>
  <c r="S28" i="8"/>
  <c r="U30" i="8"/>
  <c r="V32" i="8"/>
  <c r="W34" i="8"/>
  <c r="X36" i="8"/>
  <c r="Y38" i="8"/>
  <c r="Z40" i="8"/>
  <c r="AA44" i="8"/>
  <c r="AB46" i="8"/>
  <c r="U49" i="8"/>
  <c r="AA51" i="8"/>
  <c r="X54" i="8"/>
  <c r="R57" i="8"/>
  <c r="Z59" i="8"/>
  <c r="X62" i="8"/>
  <c r="R65" i="8"/>
  <c r="AA67" i="8"/>
  <c r="AC70" i="8"/>
  <c r="W74" i="8"/>
  <c r="U77" i="8"/>
  <c r="AC82" i="8"/>
  <c r="AB86" i="8"/>
  <c r="V92" i="8"/>
  <c r="V98" i="8"/>
  <c r="Z104" i="8"/>
  <c r="AB116" i="8"/>
  <c r="AB134" i="8"/>
  <c r="Z152" i="8"/>
  <c r="Z217" i="8"/>
  <c r="V7" i="8"/>
  <c r="W9" i="8"/>
  <c r="X11" i="8"/>
  <c r="Y13" i="8"/>
  <c r="Z15" i="8"/>
  <c r="AA17" i="8"/>
  <c r="AB19" i="8"/>
  <c r="AC21" i="8"/>
  <c r="R24" i="8"/>
  <c r="S26" i="8"/>
  <c r="U28" i="8"/>
  <c r="V30" i="8"/>
  <c r="W32" i="8"/>
  <c r="X34" i="8"/>
  <c r="Y36" i="8"/>
  <c r="Z38" i="8"/>
  <c r="AA40" i="8"/>
  <c r="AB44" i="8"/>
  <c r="AC46" i="8"/>
  <c r="W49" i="8"/>
  <c r="R52" i="8"/>
  <c r="Y54" i="8"/>
  <c r="S57" i="8"/>
  <c r="AA59" i="8"/>
  <c r="Y62" i="8"/>
  <c r="S65" i="8"/>
  <c r="U68" i="8"/>
  <c r="R71" i="8"/>
  <c r="X74" i="8"/>
  <c r="Y77" i="8"/>
  <c r="R83" i="8"/>
  <c r="AC86" i="8"/>
  <c r="W92" i="8"/>
  <c r="W98" i="8"/>
  <c r="AB104" i="8"/>
  <c r="V120" i="8"/>
  <c r="V136" i="8"/>
  <c r="AB154" i="8"/>
  <c r="AB220" i="8"/>
  <c r="W7" i="8"/>
  <c r="X9" i="8"/>
  <c r="Y11" i="8"/>
  <c r="Z13" i="8"/>
  <c r="AA15" i="8"/>
  <c r="AB17" i="8"/>
  <c r="AC19" i="8"/>
  <c r="R22" i="8"/>
  <c r="S24" i="8"/>
  <c r="U26" i="8"/>
  <c r="V28" i="8"/>
  <c r="W30" i="8"/>
  <c r="X32" i="8"/>
  <c r="Y34" i="8"/>
  <c r="Z36" i="8"/>
  <c r="AA38" i="8"/>
  <c r="AB40" i="8"/>
  <c r="AC44" i="8"/>
  <c r="R47" i="8"/>
  <c r="X49" i="8"/>
  <c r="U52" i="8"/>
  <c r="Z54" i="8"/>
  <c r="T57" i="8"/>
  <c r="R60" i="8"/>
  <c r="Z62" i="8"/>
  <c r="T65" i="8"/>
  <c r="V68" i="8"/>
  <c r="S71" i="8"/>
  <c r="Y74" i="8"/>
  <c r="AA77" i="8"/>
  <c r="U83" i="8"/>
  <c r="Y87" i="8"/>
  <c r="X92" i="8"/>
  <c r="X98" i="8"/>
  <c r="U106" i="8"/>
  <c r="W120" i="8"/>
  <c r="W136" i="8"/>
  <c r="R159" i="8"/>
  <c r="Z224" i="8"/>
  <c r="X7" i="8"/>
  <c r="Y9" i="8"/>
  <c r="Z11" i="8"/>
  <c r="AA13" i="8"/>
  <c r="AB15" i="8"/>
  <c r="AC17" i="8"/>
  <c r="R20" i="8"/>
  <c r="S22" i="8"/>
  <c r="U24" i="8"/>
  <c r="V26" i="8"/>
  <c r="W28" i="8"/>
  <c r="X30" i="8"/>
  <c r="Y32" i="8"/>
  <c r="Z34" i="8"/>
  <c r="AA36" i="8"/>
  <c r="AB38" i="8"/>
  <c r="AC40" i="8"/>
  <c r="R45" i="8"/>
  <c r="S47" i="8"/>
  <c r="Y49" i="8"/>
  <c r="V52" i="8"/>
  <c r="AA54" i="8"/>
  <c r="U57" i="8"/>
  <c r="U60" i="8"/>
  <c r="AA62" i="8"/>
  <c r="U65" i="8"/>
  <c r="W68" i="8"/>
  <c r="U71" i="8"/>
  <c r="Z74" i="8"/>
  <c r="U78" i="8"/>
  <c r="Y83" i="8"/>
  <c r="U88" i="8"/>
  <c r="Y92" i="8"/>
  <c r="Y98" i="8"/>
  <c r="V106" i="8"/>
  <c r="AB120" i="8"/>
  <c r="AB136" i="8"/>
  <c r="T161" i="8"/>
  <c r="S228" i="8"/>
  <c r="Y7" i="8"/>
  <c r="Z9" i="8"/>
  <c r="AA11" i="8"/>
  <c r="AB13" i="8"/>
  <c r="AC15" i="8"/>
  <c r="R18" i="8"/>
  <c r="S20" i="8"/>
  <c r="U22" i="8"/>
  <c r="V24" i="8"/>
  <c r="W26" i="8"/>
  <c r="X28" i="8"/>
  <c r="Y30" i="8"/>
  <c r="Z32" i="8"/>
  <c r="AA34" i="8"/>
  <c r="AB36" i="8"/>
  <c r="AC38" i="8"/>
  <c r="R41" i="8"/>
  <c r="S45" i="8"/>
  <c r="T47" i="8"/>
  <c r="Z49" i="8"/>
  <c r="W52" i="8"/>
  <c r="AB54" i="8"/>
  <c r="X57" i="8"/>
  <c r="V60" i="8"/>
  <c r="AB62" i="8"/>
  <c r="X65" i="8"/>
  <c r="X68" i="8"/>
  <c r="X71" i="8"/>
  <c r="AA74" i="8"/>
  <c r="V78" i="8"/>
  <c r="AA83" i="8"/>
  <c r="V88" i="8"/>
  <c r="Z92" i="8"/>
  <c r="Z98" i="8"/>
  <c r="W106" i="8"/>
  <c r="V122" i="8"/>
  <c r="V138" i="8"/>
  <c r="X163" i="8"/>
  <c r="R234" i="8"/>
  <c r="Z7" i="8"/>
  <c r="AA9" i="8"/>
  <c r="AB11" i="8"/>
  <c r="AC13" i="8"/>
  <c r="R16" i="8"/>
  <c r="S18" i="8"/>
  <c r="U20" i="8"/>
  <c r="V22" i="8"/>
  <c r="W24" i="8"/>
  <c r="X26" i="8"/>
  <c r="Y28" i="8"/>
  <c r="Z30" i="8"/>
  <c r="AA32" i="8"/>
  <c r="AB34" i="8"/>
  <c r="AC36" i="8"/>
  <c r="R39" i="8"/>
  <c r="S41" i="8"/>
  <c r="T45" i="8"/>
  <c r="U47" i="8"/>
  <c r="AA49" i="8"/>
  <c r="X52" i="8"/>
  <c r="AC54" i="8"/>
  <c r="Y57" i="8"/>
  <c r="W60" i="8"/>
  <c r="AC62" i="8"/>
  <c r="Y65" i="8"/>
  <c r="Y68" i="8"/>
  <c r="Y71" i="8"/>
  <c r="AB74" i="8"/>
  <c r="W78" i="8"/>
  <c r="U84" i="8"/>
  <c r="W88" i="8"/>
  <c r="AA92" i="8"/>
  <c r="AB98" i="8"/>
  <c r="Z106" i="8"/>
  <c r="W122" i="8"/>
  <c r="W138" i="8"/>
  <c r="Z165" i="8"/>
  <c r="Z238" i="8"/>
  <c r="AA7" i="8"/>
  <c r="AB9" i="8"/>
  <c r="AC11" i="8"/>
  <c r="R14" i="8"/>
  <c r="S16" i="8"/>
  <c r="U18" i="8"/>
  <c r="V20" i="8"/>
  <c r="W22" i="8"/>
  <c r="X24" i="8"/>
  <c r="Y26" i="8"/>
  <c r="Z28" i="8"/>
  <c r="AA30" i="8"/>
  <c r="AB32" i="8"/>
  <c r="AC34" i="8"/>
  <c r="R37" i="8"/>
  <c r="S39" i="8"/>
  <c r="T41" i="8"/>
  <c r="U45" i="8"/>
  <c r="W47" i="8"/>
  <c r="R50" i="8"/>
  <c r="Y52" i="8"/>
  <c r="R55" i="8"/>
  <c r="Z57" i="8"/>
  <c r="X60" i="8"/>
  <c r="R63" i="8"/>
  <c r="Z65" i="8"/>
  <c r="Z68" i="8"/>
  <c r="AA71" i="8"/>
  <c r="AC74" i="8"/>
  <c r="X78" i="8"/>
  <c r="V84" i="8"/>
  <c r="X88" i="8"/>
  <c r="AB92" i="8"/>
  <c r="U100" i="8"/>
  <c r="AB106" i="8"/>
  <c r="AB122" i="8"/>
  <c r="AB138" i="8"/>
  <c r="AB167" i="8"/>
  <c r="Z243" i="8"/>
  <c r="AB7" i="8"/>
  <c r="AC9" i="8"/>
  <c r="R12" i="8"/>
  <c r="S14" i="8"/>
  <c r="U16" i="8"/>
  <c r="V18" i="8"/>
  <c r="W20" i="8"/>
  <c r="X22" i="8"/>
  <c r="Y24" i="8"/>
  <c r="Z26" i="8"/>
  <c r="AA28" i="8"/>
  <c r="AB30" i="8"/>
  <c r="AC32" i="8"/>
  <c r="R35" i="8"/>
  <c r="S37" i="8"/>
  <c r="T39" i="8"/>
  <c r="U41" i="8"/>
  <c r="V45" i="8"/>
  <c r="X47" i="8"/>
  <c r="U50" i="8"/>
  <c r="Z52" i="8"/>
  <c r="S55" i="8"/>
  <c r="AA57" i="8"/>
  <c r="Y60" i="8"/>
  <c r="S63" i="8"/>
  <c r="AA65" i="8"/>
  <c r="AA68" i="8"/>
  <c r="U72" i="8"/>
  <c r="R75" i="8"/>
  <c r="Y78" i="8"/>
  <c r="W84" i="8"/>
  <c r="Y88" i="8"/>
  <c r="AC92" i="8"/>
  <c r="V100" i="8"/>
  <c r="U108" i="8"/>
  <c r="V124" i="8"/>
  <c r="V140" i="8"/>
  <c r="R170" i="8"/>
  <c r="Z249" i="8"/>
  <c r="AC7" i="8"/>
  <c r="R10" i="8"/>
  <c r="S12" i="8"/>
  <c r="U14" i="8"/>
  <c r="V16" i="8"/>
  <c r="W18" i="8"/>
  <c r="X20" i="8"/>
  <c r="Y22" i="8"/>
  <c r="Z24" i="8"/>
  <c r="AA26" i="8"/>
  <c r="AB28" i="8"/>
  <c r="AC30" i="8"/>
  <c r="R33" i="8"/>
  <c r="S35" i="8"/>
  <c r="T37" i="8"/>
  <c r="U39" i="8"/>
  <c r="V41" i="8"/>
  <c r="W45" i="8"/>
  <c r="Y47" i="8"/>
  <c r="V50" i="8"/>
  <c r="AA52" i="8"/>
  <c r="T55" i="8"/>
  <c r="R58" i="8"/>
  <c r="Z60" i="8"/>
  <c r="T63" i="8"/>
  <c r="U66" i="8"/>
  <c r="AB68" i="8"/>
  <c r="V72" i="8"/>
  <c r="S75" i="8"/>
  <c r="Z78" i="8"/>
  <c r="X84" i="8"/>
  <c r="Z88" i="8"/>
  <c r="Y93" i="8"/>
  <c r="W100" i="8"/>
  <c r="V108" i="8"/>
  <c r="W124" i="8"/>
  <c r="W140" i="8"/>
  <c r="U172" i="8"/>
  <c r="T256" i="8"/>
  <c r="R8" i="8"/>
  <c r="S10" i="8"/>
  <c r="U12" i="8"/>
  <c r="V14" i="8"/>
  <c r="W16" i="8"/>
  <c r="X18" i="8"/>
  <c r="Y20" i="8"/>
  <c r="Z22" i="8"/>
  <c r="AA24" i="8"/>
  <c r="AB26" i="8"/>
  <c r="AC28" i="8"/>
  <c r="R31" i="8"/>
  <c r="S33" i="8"/>
  <c r="T35" i="8"/>
  <c r="U37" i="8"/>
  <c r="V39" i="8"/>
  <c r="W41" i="8"/>
  <c r="X45" i="8"/>
  <c r="Z47" i="8"/>
  <c r="W50" i="8"/>
  <c r="AB52" i="8"/>
  <c r="U55" i="8"/>
  <c r="U58" i="8"/>
  <c r="AA60" i="8"/>
  <c r="U63" i="8"/>
  <c r="V66" i="8"/>
  <c r="AC68" i="8"/>
  <c r="W72" i="8"/>
  <c r="U75" i="8"/>
  <c r="AA78" i="8"/>
  <c r="Y84" i="8"/>
  <c r="AA88" i="8"/>
  <c r="U94" i="8"/>
  <c r="X100" i="8"/>
  <c r="W108" i="8"/>
  <c r="AB124" i="8"/>
  <c r="AB140" i="8"/>
  <c r="X174" i="8"/>
  <c r="S301" i="8"/>
  <c r="Q195" i="2"/>
  <c r="P195" i="2" s="1"/>
  <c r="Q207" i="2"/>
  <c r="P207" i="2" s="1"/>
  <c r="Q211" i="2"/>
  <c r="P211" i="2" s="1"/>
  <c r="Q36" i="2"/>
  <c r="P36" i="2" s="1"/>
  <c r="Q98" i="2"/>
  <c r="P98" i="2" s="1"/>
  <c r="Q129" i="2"/>
  <c r="P129" i="2" s="1"/>
  <c r="Q160" i="2"/>
  <c r="P160" i="2" s="1"/>
  <c r="Q191" i="2"/>
  <c r="P191" i="2" s="1"/>
  <c r="Q423" i="30"/>
  <c r="AC3" i="30" s="1"/>
  <c r="O7" i="23" s="1"/>
  <c r="Y37" i="17"/>
  <c r="W101" i="17"/>
  <c r="R138" i="17"/>
  <c r="Z30" i="17"/>
  <c r="Z103" i="17"/>
  <c r="S141" i="17"/>
  <c r="R16" i="17"/>
  <c r="Z31" i="17"/>
  <c r="AA103" i="17"/>
  <c r="W141" i="17"/>
  <c r="R18" i="17"/>
  <c r="AA24" i="17"/>
  <c r="R106" i="17"/>
  <c r="R145" i="17"/>
  <c r="R21" i="17"/>
  <c r="AA25" i="17"/>
  <c r="S106" i="17"/>
  <c r="Z145" i="17"/>
  <c r="S10" i="17"/>
  <c r="AB15" i="17"/>
  <c r="V108" i="17"/>
  <c r="AC149" i="17"/>
  <c r="S11" i="17"/>
  <c r="AB16" i="17"/>
  <c r="W108" i="17"/>
  <c r="W150" i="17"/>
  <c r="S14" i="17"/>
  <c r="AC9" i="17"/>
  <c r="AC110" i="17"/>
  <c r="X158" i="17"/>
  <c r="T6" i="17"/>
  <c r="AC11" i="17"/>
  <c r="R111" i="17"/>
  <c r="Y158" i="17"/>
  <c r="T7" i="17"/>
  <c r="AC40" i="17"/>
  <c r="X113" i="17"/>
  <c r="Y168" i="17"/>
  <c r="T8" i="17"/>
  <c r="AC41" i="17"/>
  <c r="Y113" i="17"/>
  <c r="AA170" i="17"/>
  <c r="T36" i="17"/>
  <c r="R84" i="17"/>
  <c r="AC115" i="17"/>
  <c r="X197" i="17"/>
  <c r="T37" i="17"/>
  <c r="S84" i="17"/>
  <c r="R116" i="17"/>
  <c r="Y197" i="17"/>
  <c r="U30" i="17"/>
  <c r="W86" i="17"/>
  <c r="W120" i="17"/>
  <c r="X224" i="17"/>
  <c r="U31" i="17"/>
  <c r="X86" i="17"/>
  <c r="Z120" i="17"/>
  <c r="Y224" i="17"/>
  <c r="V24" i="17"/>
  <c r="Z88" i="17"/>
  <c r="S123" i="17"/>
  <c r="X253" i="17"/>
  <c r="V25" i="17"/>
  <c r="AA88" i="17"/>
  <c r="W123" i="17"/>
  <c r="Y253" i="17"/>
  <c r="W15" i="17"/>
  <c r="R91" i="17"/>
  <c r="AC125" i="17"/>
  <c r="Z282" i="17"/>
  <c r="W18" i="17"/>
  <c r="S91" i="17"/>
  <c r="R126" i="17"/>
  <c r="AA282" i="17"/>
  <c r="X10" i="17"/>
  <c r="V94" i="17"/>
  <c r="AB128" i="17"/>
  <c r="V316" i="17"/>
  <c r="X11" i="17"/>
  <c r="W94" i="17"/>
  <c r="AC128" i="17"/>
  <c r="Y316" i="17"/>
  <c r="X40" i="17"/>
  <c r="AB98" i="17"/>
  <c r="AA132" i="17"/>
  <c r="X358" i="17"/>
  <c r="X41" i="17"/>
  <c r="AC98" i="17"/>
  <c r="AB132" i="17"/>
  <c r="AA358" i="17"/>
  <c r="Y36" i="17"/>
  <c r="T101" i="17"/>
  <c r="AC137" i="17"/>
  <c r="T35" i="17"/>
  <c r="U29" i="17"/>
  <c r="V23" i="17"/>
  <c r="W14" i="17"/>
  <c r="X9" i="17"/>
  <c r="X39" i="17"/>
  <c r="Y33" i="17"/>
  <c r="Z29" i="17"/>
  <c r="AA23" i="17"/>
  <c r="AB14" i="17"/>
  <c r="AC8" i="17"/>
  <c r="AC39" i="17"/>
  <c r="AC83" i="17"/>
  <c r="T86" i="17"/>
  <c r="Y88" i="17"/>
  <c r="AC90" i="17"/>
  <c r="U94" i="17"/>
  <c r="AA98" i="17"/>
  <c r="S101" i="17"/>
  <c r="Y103" i="17"/>
  <c r="AC105" i="17"/>
  <c r="U108" i="17"/>
  <c r="AB110" i="17"/>
  <c r="W113" i="17"/>
  <c r="AB115" i="17"/>
  <c r="V120" i="17"/>
  <c r="R123" i="17"/>
  <c r="AB125" i="17"/>
  <c r="AA128" i="17"/>
  <c r="Z132" i="17"/>
  <c r="AA137" i="17"/>
  <c r="R141" i="17"/>
  <c r="AC144" i="17"/>
  <c r="AA149" i="17"/>
  <c r="W158" i="17"/>
  <c r="X168" i="17"/>
  <c r="Y193" i="17"/>
  <c r="Y222" i="17"/>
  <c r="Y251" i="17"/>
  <c r="W280" i="17"/>
  <c r="S314" i="17"/>
  <c r="V354" i="17"/>
  <c r="R22" i="17"/>
  <c r="S15" i="17"/>
  <c r="T9" i="17"/>
  <c r="T38" i="17"/>
  <c r="U32" i="17"/>
  <c r="V26" i="17"/>
  <c r="W21" i="17"/>
  <c r="X12" i="17"/>
  <c r="Y6" i="17"/>
  <c r="Y38" i="17"/>
  <c r="Z32" i="17"/>
  <c r="AA26" i="17"/>
  <c r="AB18" i="17"/>
  <c r="AC12" i="17"/>
  <c r="S35" i="17"/>
  <c r="T84" i="17"/>
  <c r="Y86" i="17"/>
  <c r="AB88" i="17"/>
  <c r="T91" i="17"/>
  <c r="Z94" i="17"/>
  <c r="R99" i="17"/>
  <c r="X101" i="17"/>
  <c r="AB103" i="17"/>
  <c r="T106" i="17"/>
  <c r="Z108" i="17"/>
  <c r="S111" i="17"/>
  <c r="Z113" i="17"/>
  <c r="S116" i="17"/>
  <c r="AA120" i="17"/>
  <c r="X123" i="17"/>
  <c r="S126" i="17"/>
  <c r="R129" i="17"/>
  <c r="AC132" i="17"/>
  <c r="W138" i="17"/>
  <c r="Z141" i="17"/>
  <c r="AA145" i="17"/>
  <c r="X150" i="17"/>
  <c r="AC158" i="17"/>
  <c r="X173" i="17"/>
  <c r="X199" i="17"/>
  <c r="X226" i="17"/>
  <c r="X255" i="17"/>
  <c r="R288" i="17"/>
  <c r="AB318" i="17"/>
  <c r="X367" i="17"/>
  <c r="R25" i="17"/>
  <c r="S16" i="17"/>
  <c r="T10" i="17"/>
  <c r="T39" i="17"/>
  <c r="U33" i="17"/>
  <c r="V27" i="17"/>
  <c r="W22" i="17"/>
  <c r="X13" i="17"/>
  <c r="Y9" i="17"/>
  <c r="Y39" i="17"/>
  <c r="Z33" i="17"/>
  <c r="AA27" i="17"/>
  <c r="AB21" i="17"/>
  <c r="AC13" i="17"/>
  <c r="R82" i="17"/>
  <c r="W84" i="17"/>
  <c r="Z86" i="17"/>
  <c r="AC88" i="17"/>
  <c r="U91" i="17"/>
  <c r="AA94" i="17"/>
  <c r="S99" i="17"/>
  <c r="Y101" i="17"/>
  <c r="AC103" i="17"/>
  <c r="U106" i="17"/>
  <c r="AA108" i="17"/>
  <c r="T111" i="17"/>
  <c r="AA113" i="17"/>
  <c r="U116" i="17"/>
  <c r="AB120" i="17"/>
  <c r="Y123" i="17"/>
  <c r="U126" i="17"/>
  <c r="S129" i="17"/>
  <c r="R135" i="17"/>
  <c r="X138" i="17"/>
  <c r="AA141" i="17"/>
  <c r="AC145" i="17"/>
  <c r="Y150" i="17"/>
  <c r="AA159" i="17"/>
  <c r="Y173" i="17"/>
  <c r="Y199" i="17"/>
  <c r="Y226" i="17"/>
  <c r="Y255" i="17"/>
  <c r="S288" i="17"/>
  <c r="AC318" i="17"/>
  <c r="AB367" i="17"/>
  <c r="R26" i="17"/>
  <c r="S18" i="17"/>
  <c r="T11" i="17"/>
  <c r="T40" i="17"/>
  <c r="U34" i="17"/>
  <c r="V29" i="17"/>
  <c r="W23" i="17"/>
  <c r="X14" i="17"/>
  <c r="Y10" i="17"/>
  <c r="Y40" i="17"/>
  <c r="Z34" i="17"/>
  <c r="AA28" i="17"/>
  <c r="AB23" i="17"/>
  <c r="AC14" i="17"/>
  <c r="S82" i="17"/>
  <c r="X84" i="17"/>
  <c r="AA86" i="17"/>
  <c r="R89" i="17"/>
  <c r="V91" i="17"/>
  <c r="AB94" i="17"/>
  <c r="T99" i="17"/>
  <c r="Z101" i="17"/>
  <c r="R104" i="17"/>
  <c r="V106" i="17"/>
  <c r="AB108" i="17"/>
  <c r="W111" i="17"/>
  <c r="AB113" i="17"/>
  <c r="V116" i="17"/>
  <c r="AC120" i="17"/>
  <c r="Z123" i="17"/>
  <c r="W126" i="17"/>
  <c r="W129" i="17"/>
  <c r="S135" i="17"/>
  <c r="Y138" i="17"/>
  <c r="AC141" i="17"/>
  <c r="W146" i="17"/>
  <c r="Z150" i="17"/>
  <c r="W160" i="17"/>
  <c r="X175" i="17"/>
  <c r="X201" i="17"/>
  <c r="X228" i="17"/>
  <c r="Y257" i="17"/>
  <c r="V290" i="17"/>
  <c r="V322" i="17"/>
  <c r="Z376" i="17"/>
  <c r="R27" i="17"/>
  <c r="S21" i="17"/>
  <c r="T12" i="17"/>
  <c r="T41" i="17"/>
  <c r="U35" i="17"/>
  <c r="V30" i="17"/>
  <c r="W24" i="17"/>
  <c r="X15" i="17"/>
  <c r="Y11" i="17"/>
  <c r="Y41" i="17"/>
  <c r="Z35" i="17"/>
  <c r="AA29" i="17"/>
  <c r="AB24" i="17"/>
  <c r="AC15" i="17"/>
  <c r="T82" i="17"/>
  <c r="Y84" i="17"/>
  <c r="AB86" i="17"/>
  <c r="S89" i="17"/>
  <c r="W91" i="17"/>
  <c r="AC94" i="17"/>
  <c r="W99" i="17"/>
  <c r="AA101" i="17"/>
  <c r="S104" i="17"/>
  <c r="W106" i="17"/>
  <c r="AC108" i="17"/>
  <c r="X111" i="17"/>
  <c r="AC113" i="17"/>
  <c r="W116" i="17"/>
  <c r="R121" i="17"/>
  <c r="AA123" i="17"/>
  <c r="Z126" i="17"/>
  <c r="X129" i="17"/>
  <c r="U135" i="17"/>
  <c r="Z138" i="17"/>
  <c r="R142" i="17"/>
  <c r="X146" i="17"/>
  <c r="AA150" i="17"/>
  <c r="X160" i="17"/>
  <c r="Y175" i="17"/>
  <c r="Y201" i="17"/>
  <c r="Y228" i="17"/>
  <c r="Z257" i="17"/>
  <c r="Y290" i="17"/>
  <c r="W322" i="17"/>
  <c r="R28" i="17"/>
  <c r="S22" i="17"/>
  <c r="T13" i="17"/>
  <c r="U6" i="17"/>
  <c r="U36" i="17"/>
  <c r="V31" i="17"/>
  <c r="W25" i="17"/>
  <c r="X21" i="17"/>
  <c r="Y12" i="17"/>
  <c r="Z6" i="17"/>
  <c r="Z36" i="17"/>
  <c r="AA30" i="17"/>
  <c r="AB25" i="17"/>
  <c r="AC16" i="17"/>
  <c r="W82" i="17"/>
  <c r="Z84" i="17"/>
  <c r="AC86" i="17"/>
  <c r="T89" i="17"/>
  <c r="Z91" i="17"/>
  <c r="R97" i="17"/>
  <c r="X99" i="17"/>
  <c r="AB101" i="17"/>
  <c r="T104" i="17"/>
  <c r="Z106" i="17"/>
  <c r="R109" i="17"/>
  <c r="Y111" i="17"/>
  <c r="R114" i="17"/>
  <c r="Z116" i="17"/>
  <c r="S121" i="17"/>
  <c r="AB123" i="17"/>
  <c r="AA126" i="17"/>
  <c r="Y129" i="17"/>
  <c r="W135" i="17"/>
  <c r="AA138" i="17"/>
  <c r="W142" i="17"/>
  <c r="Y146" i="17"/>
  <c r="AB150" i="17"/>
  <c r="Y160" i="17"/>
  <c r="X177" i="17"/>
  <c r="X203" i="17"/>
  <c r="X230" i="17"/>
  <c r="AA259" i="17"/>
  <c r="AB292" i="17"/>
  <c r="AB326" i="17"/>
  <c r="W393" i="17"/>
  <c r="R29" i="17"/>
  <c r="S23" i="17"/>
  <c r="T14" i="17"/>
  <c r="U7" i="17"/>
  <c r="U38" i="17"/>
  <c r="V32" i="17"/>
  <c r="W26" i="17"/>
  <c r="X22" i="17"/>
  <c r="Y13" i="17"/>
  <c r="Z7" i="17"/>
  <c r="Z37" i="17"/>
  <c r="AA32" i="17"/>
  <c r="AB26" i="17"/>
  <c r="AC18" i="17"/>
  <c r="X82" i="17"/>
  <c r="AA84" i="17"/>
  <c r="R87" i="17"/>
  <c r="U89" i="17"/>
  <c r="AA91" i="17"/>
  <c r="S97" i="17"/>
  <c r="Y99" i="17"/>
  <c r="AC101" i="17"/>
  <c r="U104" i="17"/>
  <c r="AA106" i="17"/>
  <c r="S109" i="17"/>
  <c r="Z111" i="17"/>
  <c r="S114" i="17"/>
  <c r="AA116" i="17"/>
  <c r="W121" i="17"/>
  <c r="AC123" i="17"/>
  <c r="AB126" i="17"/>
  <c r="Z129" i="17"/>
  <c r="Z135" i="17"/>
  <c r="AB138" i="17"/>
  <c r="X142" i="17"/>
  <c r="Z146" i="17"/>
  <c r="AC150" i="17"/>
  <c r="AC160" i="17"/>
  <c r="Y177" i="17"/>
  <c r="Y203" i="17"/>
  <c r="Y230" i="17"/>
  <c r="AB259" i="17"/>
  <c r="AC292" i="17"/>
  <c r="AC326" i="17"/>
  <c r="X393" i="17"/>
  <c r="R30" i="17"/>
  <c r="S24" i="17"/>
  <c r="T15" i="17"/>
  <c r="U8" i="17"/>
  <c r="U39" i="17"/>
  <c r="V33" i="17"/>
  <c r="W27" i="17"/>
  <c r="X23" i="17"/>
  <c r="Y14" i="17"/>
  <c r="Z8" i="17"/>
  <c r="Z38" i="17"/>
  <c r="AA33" i="17"/>
  <c r="AB27" i="17"/>
  <c r="Y82" i="17"/>
  <c r="AB84" i="17"/>
  <c r="S87" i="17"/>
  <c r="V89" i="17"/>
  <c r="AB91" i="17"/>
  <c r="T97" i="17"/>
  <c r="Z99" i="17"/>
  <c r="R102" i="17"/>
  <c r="V104" i="17"/>
  <c r="AB106" i="17"/>
  <c r="T109" i="17"/>
  <c r="AA111" i="17"/>
  <c r="U114" i="17"/>
  <c r="AB116" i="17"/>
  <c r="X121" i="17"/>
  <c r="R124" i="17"/>
  <c r="AC126" i="17"/>
  <c r="AA129" i="17"/>
  <c r="AA135" i="17"/>
  <c r="AC138" i="17"/>
  <c r="Y142" i="17"/>
  <c r="AA146" i="17"/>
  <c r="Z151" i="17"/>
  <c r="AA161" i="17"/>
  <c r="X179" i="17"/>
  <c r="X205" i="17"/>
  <c r="X234" i="17"/>
  <c r="AC261" i="17"/>
  <c r="V295" i="17"/>
  <c r="Z329" i="17"/>
  <c r="W412" i="17"/>
  <c r="CU19" i="17"/>
  <c r="BS19" i="17"/>
  <c r="AQ19" i="17"/>
  <c r="CU17" i="17"/>
  <c r="BS17" i="17"/>
  <c r="AQ17" i="17"/>
  <c r="CT19" i="17"/>
  <c r="BR19" i="17"/>
  <c r="AP19" i="17"/>
  <c r="CT17" i="17"/>
  <c r="BR17" i="17"/>
  <c r="AP17" i="17"/>
  <c r="CS19" i="17"/>
  <c r="BQ19" i="17"/>
  <c r="AO19" i="17"/>
  <c r="CS17" i="17"/>
  <c r="BQ17" i="17"/>
  <c r="AO17" i="17"/>
  <c r="CR19" i="17"/>
  <c r="BP19" i="17"/>
  <c r="AN19" i="17"/>
  <c r="CR17" i="17"/>
  <c r="BP17" i="17"/>
  <c r="AN17" i="17"/>
  <c r="CQ19" i="17"/>
  <c r="BO19" i="17"/>
  <c r="AM19" i="17"/>
  <c r="CQ17" i="17"/>
  <c r="BO17" i="17"/>
  <c r="AM17" i="17"/>
  <c r="CP19" i="17"/>
  <c r="BN19" i="17"/>
  <c r="AL19" i="17"/>
  <c r="CO19" i="17"/>
  <c r="BM19" i="17"/>
  <c r="AK19" i="17"/>
  <c r="CN19" i="17"/>
  <c r="BL19" i="17"/>
  <c r="AJ19" i="17"/>
  <c r="CM19" i="17"/>
  <c r="BK19" i="17"/>
  <c r="AI19" i="17"/>
  <c r="CL19" i="17"/>
  <c r="BJ19" i="17"/>
  <c r="AH19" i="17"/>
  <c r="CK19" i="17"/>
  <c r="BI19" i="17"/>
  <c r="AG19" i="17"/>
  <c r="CJ19" i="17"/>
  <c r="BH19" i="17"/>
  <c r="AF19" i="17"/>
  <c r="CJ17" i="17"/>
  <c r="CG19" i="17"/>
  <c r="BE19" i="17"/>
  <c r="AC19" i="17"/>
  <c r="CG17" i="17"/>
  <c r="BE17" i="17"/>
  <c r="AC17" i="17"/>
  <c r="CF19" i="17"/>
  <c r="BD19" i="17"/>
  <c r="AB19" i="17"/>
  <c r="CE19" i="17"/>
  <c r="BC19" i="17"/>
  <c r="AA19" i="17"/>
  <c r="CD19" i="17"/>
  <c r="BB19" i="17"/>
  <c r="Z19" i="17"/>
  <c r="CC19" i="17"/>
  <c r="BA19" i="17"/>
  <c r="Y19" i="17"/>
  <c r="CB19" i="17"/>
  <c r="AZ19" i="17"/>
  <c r="X19" i="17"/>
  <c r="CA19" i="17"/>
  <c r="AY19" i="17"/>
  <c r="W19" i="17"/>
  <c r="BZ19" i="17"/>
  <c r="AX19" i="17"/>
  <c r="V19" i="17"/>
  <c r="BY19" i="17"/>
  <c r="AW19" i="17"/>
  <c r="U19" i="17"/>
  <c r="BX19" i="17"/>
  <c r="AV19" i="17"/>
  <c r="T19" i="17"/>
  <c r="BW19" i="17"/>
  <c r="AU19" i="17"/>
  <c r="S19" i="17"/>
  <c r="BV19" i="17"/>
  <c r="AT19" i="17"/>
  <c r="R19" i="17"/>
  <c r="CM17" i="17"/>
  <c r="BA17" i="17"/>
  <c r="S17" i="17"/>
  <c r="CL17" i="17"/>
  <c r="AZ17" i="17"/>
  <c r="R17" i="17"/>
  <c r="CK17" i="17"/>
  <c r="AY17" i="17"/>
  <c r="CF17" i="17"/>
  <c r="AX17" i="17"/>
  <c r="CE17" i="17"/>
  <c r="AW17" i="17"/>
  <c r="CD17" i="17"/>
  <c r="AV17" i="17"/>
  <c r="CC17" i="17"/>
  <c r="AU17" i="17"/>
  <c r="CB17" i="17"/>
  <c r="AT17" i="17"/>
  <c r="CA17" i="17"/>
  <c r="AL17" i="17"/>
  <c r="BZ17" i="17"/>
  <c r="AK17" i="17"/>
  <c r="BY17" i="17"/>
  <c r="AJ17" i="17"/>
  <c r="BX17" i="17"/>
  <c r="AI17" i="17"/>
  <c r="BW17" i="17"/>
  <c r="AH17" i="17"/>
  <c r="BV17" i="17"/>
  <c r="AG17" i="17"/>
  <c r="BN17" i="17"/>
  <c r="AF17" i="17"/>
  <c r="BM17" i="17"/>
  <c r="AB17" i="17"/>
  <c r="BL17" i="17"/>
  <c r="AA17" i="17"/>
  <c r="BK17" i="17"/>
  <c r="Z17" i="17"/>
  <c r="BJ17" i="17"/>
  <c r="Y17" i="17"/>
  <c r="BI17" i="17"/>
  <c r="X17" i="17"/>
  <c r="BH17" i="17"/>
  <c r="W17" i="17"/>
  <c r="CP17" i="17"/>
  <c r="BD17" i="17"/>
  <c r="V17" i="17"/>
  <c r="CN17" i="17"/>
  <c r="BB17" i="17"/>
  <c r="T17" i="17"/>
  <c r="BV20" i="17"/>
  <c r="AT20" i="17"/>
  <c r="R20" i="17"/>
  <c r="CU20" i="17"/>
  <c r="BS20" i="17"/>
  <c r="AQ20" i="17"/>
  <c r="CT20" i="17"/>
  <c r="BR20" i="17"/>
  <c r="AP20" i="17"/>
  <c r="CS20" i="17"/>
  <c r="BQ20" i="17"/>
  <c r="AO20" i="17"/>
  <c r="CR20" i="17"/>
  <c r="BP20" i="17"/>
  <c r="AN20" i="17"/>
  <c r="CP20" i="17"/>
  <c r="BN20" i="17"/>
  <c r="AL20" i="17"/>
  <c r="CL20" i="17"/>
  <c r="BJ20" i="17"/>
  <c r="AH20" i="17"/>
  <c r="CO17" i="17"/>
  <c r="BC17" i="17"/>
  <c r="CJ20" i="17"/>
  <c r="BH20" i="17"/>
  <c r="AF20" i="17"/>
  <c r="U17" i="17"/>
  <c r="CD20" i="17"/>
  <c r="AM20" i="17"/>
  <c r="CC20" i="17"/>
  <c r="AK20" i="17"/>
  <c r="CB20" i="17"/>
  <c r="AJ20" i="17"/>
  <c r="CA20" i="17"/>
  <c r="AI20" i="17"/>
  <c r="BZ20" i="17"/>
  <c r="AG20" i="17"/>
  <c r="BY20" i="17"/>
  <c r="AC20" i="17"/>
  <c r="BX20" i="17"/>
  <c r="AB20" i="17"/>
  <c r="BW20" i="17"/>
  <c r="AA20" i="17"/>
  <c r="BO20" i="17"/>
  <c r="Z20" i="17"/>
  <c r="BM20" i="17"/>
  <c r="Y20" i="17"/>
  <c r="BL20" i="17"/>
  <c r="X20" i="17"/>
  <c r="BK20" i="17"/>
  <c r="W20" i="17"/>
  <c r="BI20" i="17"/>
  <c r="V20" i="17"/>
  <c r="BE20" i="17"/>
  <c r="U20" i="17"/>
  <c r="BD20" i="17"/>
  <c r="T20" i="17"/>
  <c r="BC20" i="17"/>
  <c r="S20" i="17"/>
  <c r="CQ20" i="17"/>
  <c r="BB20" i="17"/>
  <c r="CO20" i="17"/>
  <c r="BA20" i="17"/>
  <c r="CN20" i="17"/>
  <c r="AZ20" i="17"/>
  <c r="CM20" i="17"/>
  <c r="AY20" i="17"/>
  <c r="CK20" i="17"/>
  <c r="AX20" i="17"/>
  <c r="CG20" i="17"/>
  <c r="AW20" i="17"/>
  <c r="CE20" i="17"/>
  <c r="AU20" i="17"/>
  <c r="CF20" i="17"/>
  <c r="AV20" i="17"/>
  <c r="AP41" i="17"/>
  <c r="AP39" i="17"/>
  <c r="AP37" i="17"/>
  <c r="AP35" i="17"/>
  <c r="AP33" i="17"/>
  <c r="AP31" i="17"/>
  <c r="AP29" i="17"/>
  <c r="AP27" i="17"/>
  <c r="AP25" i="17"/>
  <c r="AP23" i="17"/>
  <c r="AP21" i="17"/>
  <c r="AP16" i="17"/>
  <c r="AP14" i="17"/>
  <c r="AP12" i="17"/>
  <c r="AP10" i="17"/>
  <c r="AP8" i="17"/>
  <c r="AP6" i="17"/>
  <c r="AO41" i="17"/>
  <c r="AO39" i="17"/>
  <c r="AO37" i="17"/>
  <c r="AO35" i="17"/>
  <c r="AO33" i="17"/>
  <c r="AO31" i="17"/>
  <c r="AO29" i="17"/>
  <c r="AO27" i="17"/>
  <c r="AO25" i="17"/>
  <c r="AO23" i="17"/>
  <c r="AO21" i="17"/>
  <c r="AO16" i="17"/>
  <c r="AO14" i="17"/>
  <c r="AO12" i="17"/>
  <c r="AO10" i="17"/>
  <c r="AO8" i="17"/>
  <c r="AO6" i="17"/>
  <c r="AN41" i="17"/>
  <c r="AN39" i="17"/>
  <c r="AN37" i="17"/>
  <c r="AN35" i="17"/>
  <c r="AN33" i="17"/>
  <c r="AN31" i="17"/>
  <c r="AN29" i="17"/>
  <c r="AN27" i="17"/>
  <c r="AN25" i="17"/>
  <c r="AN23" i="17"/>
  <c r="AN21" i="17"/>
  <c r="AN16" i="17"/>
  <c r="AN14" i="17"/>
  <c r="AN12" i="17"/>
  <c r="AN10" i="17"/>
  <c r="AN8" i="17"/>
  <c r="AN6" i="17"/>
  <c r="AM41" i="17"/>
  <c r="AM39" i="17"/>
  <c r="AM37" i="17"/>
  <c r="AM35" i="17"/>
  <c r="AM33" i="17"/>
  <c r="AM31" i="17"/>
  <c r="AM29" i="17"/>
  <c r="AM27" i="17"/>
  <c r="AM25" i="17"/>
  <c r="AM23" i="17"/>
  <c r="AM21" i="17"/>
  <c r="AM16" i="17"/>
  <c r="AM14" i="17"/>
  <c r="AM12" i="17"/>
  <c r="AM10" i="17"/>
  <c r="AM8" i="17"/>
  <c r="AM6" i="17"/>
  <c r="AL41" i="17"/>
  <c r="AL39" i="17"/>
  <c r="AL37" i="17"/>
  <c r="AL35" i="17"/>
  <c r="AL33" i="17"/>
  <c r="AL31" i="17"/>
  <c r="AL29" i="17"/>
  <c r="AL27" i="17"/>
  <c r="AL25" i="17"/>
  <c r="AL23" i="17"/>
  <c r="AL21" i="17"/>
  <c r="AL16" i="17"/>
  <c r="AL14" i="17"/>
  <c r="AL12" i="17"/>
  <c r="AL10" i="17"/>
  <c r="AL8" i="17"/>
  <c r="AL6" i="17"/>
  <c r="AK41" i="17"/>
  <c r="AK39" i="17"/>
  <c r="AK37" i="17"/>
  <c r="AK35" i="17"/>
  <c r="AK33" i="17"/>
  <c r="AK31" i="17"/>
  <c r="AK29" i="17"/>
  <c r="AK27" i="17"/>
  <c r="AK25" i="17"/>
  <c r="AK23" i="17"/>
  <c r="AK21" i="17"/>
  <c r="AK16" i="17"/>
  <c r="AK14" i="17"/>
  <c r="AK12" i="17"/>
  <c r="AK10" i="17"/>
  <c r="AK8" i="17"/>
  <c r="AK6" i="17"/>
  <c r="AJ41" i="17"/>
  <c r="AJ39" i="17"/>
  <c r="AJ37" i="17"/>
  <c r="AJ35" i="17"/>
  <c r="AJ33" i="17"/>
  <c r="AJ31" i="17"/>
  <c r="AJ29" i="17"/>
  <c r="AJ27" i="17"/>
  <c r="AJ25" i="17"/>
  <c r="AJ23" i="17"/>
  <c r="AJ21" i="17"/>
  <c r="AJ16" i="17"/>
  <c r="AJ14" i="17"/>
  <c r="AJ12" i="17"/>
  <c r="AJ10" i="17"/>
  <c r="AJ8" i="17"/>
  <c r="AJ6" i="17"/>
  <c r="AI41" i="17"/>
  <c r="AI39" i="17"/>
  <c r="AI37" i="17"/>
  <c r="AI35" i="17"/>
  <c r="AI33" i="17"/>
  <c r="AI31" i="17"/>
  <c r="AI29" i="17"/>
  <c r="AI27" i="17"/>
  <c r="AI25" i="17"/>
  <c r="AI23" i="17"/>
  <c r="AI21" i="17"/>
  <c r="AI16" i="17"/>
  <c r="AI14" i="17"/>
  <c r="AI12" i="17"/>
  <c r="AI10" i="17"/>
  <c r="AI8" i="17"/>
  <c r="AI6" i="17"/>
  <c r="AH41" i="17"/>
  <c r="AH39" i="17"/>
  <c r="AH37" i="17"/>
  <c r="AH35" i="17"/>
  <c r="AH33" i="17"/>
  <c r="AH31" i="17"/>
  <c r="AH29" i="17"/>
  <c r="AH27" i="17"/>
  <c r="AH25" i="17"/>
  <c r="AH23" i="17"/>
  <c r="AH21" i="17"/>
  <c r="AH16" i="17"/>
  <c r="AH14" i="17"/>
  <c r="AH12" i="17"/>
  <c r="AH10" i="17"/>
  <c r="AH8" i="17"/>
  <c r="AG6" i="17"/>
  <c r="AG41" i="17"/>
  <c r="AG39" i="17"/>
  <c r="AG37" i="17"/>
  <c r="AG35" i="17"/>
  <c r="AG33" i="17"/>
  <c r="AG31" i="17"/>
  <c r="AG29" i="17"/>
  <c r="AG27" i="17"/>
  <c r="AG25" i="17"/>
  <c r="AG23" i="17"/>
  <c r="AG21" i="17"/>
  <c r="AG16" i="17"/>
  <c r="AG14" i="17"/>
  <c r="AG12" i="17"/>
  <c r="AG10" i="17"/>
  <c r="AG8" i="17"/>
  <c r="AF6" i="17"/>
  <c r="AF41" i="17"/>
  <c r="AF39" i="17"/>
  <c r="AF37" i="17"/>
  <c r="AF35" i="17"/>
  <c r="AF33" i="17"/>
  <c r="AF31" i="17"/>
  <c r="AF29" i="17"/>
  <c r="AF27" i="17"/>
  <c r="AF25" i="17"/>
  <c r="AF23" i="17"/>
  <c r="AF21" i="17"/>
  <c r="AF16" i="17"/>
  <c r="AF14" i="17"/>
  <c r="AF12" i="17"/>
  <c r="AF10" i="17"/>
  <c r="AF8" i="17"/>
  <c r="AQ40" i="17"/>
  <c r="AQ38" i="17"/>
  <c r="AQ36" i="17"/>
  <c r="AQ34" i="17"/>
  <c r="AQ32" i="17"/>
  <c r="AQ30" i="17"/>
  <c r="AQ28" i="17"/>
  <c r="AQ26" i="17"/>
  <c r="AQ24" i="17"/>
  <c r="AQ22" i="17"/>
  <c r="AQ18" i="17"/>
  <c r="AQ15" i="17"/>
  <c r="AQ13" i="17"/>
  <c r="AQ11" i="17"/>
  <c r="AQ9" i="17"/>
  <c r="AQ7" i="17"/>
  <c r="AP40" i="17"/>
  <c r="AP38" i="17"/>
  <c r="AP36" i="17"/>
  <c r="AP34" i="17"/>
  <c r="AP32" i="17"/>
  <c r="AP30" i="17"/>
  <c r="AP28" i="17"/>
  <c r="AP26" i="17"/>
  <c r="AP24" i="17"/>
  <c r="AP22" i="17"/>
  <c r="AP18" i="17"/>
  <c r="AP15" i="17"/>
  <c r="AP13" i="17"/>
  <c r="AP11" i="17"/>
  <c r="AP9" i="17"/>
  <c r="AP7" i="17"/>
  <c r="AO40" i="17"/>
  <c r="AO38" i="17"/>
  <c r="AO36" i="17"/>
  <c r="AO34" i="17"/>
  <c r="AO32" i="17"/>
  <c r="AO30" i="17"/>
  <c r="AO28" i="17"/>
  <c r="AO26" i="17"/>
  <c r="AO24" i="17"/>
  <c r="AO22" i="17"/>
  <c r="AO18" i="17"/>
  <c r="AO15" i="17"/>
  <c r="AO13" i="17"/>
  <c r="AO11" i="17"/>
  <c r="AO9" i="17"/>
  <c r="AO7" i="17"/>
  <c r="AN40" i="17"/>
  <c r="AN38" i="17"/>
  <c r="AN36" i="17"/>
  <c r="AN34" i="17"/>
  <c r="AN32" i="17"/>
  <c r="AN30" i="17"/>
  <c r="AN28" i="17"/>
  <c r="AN26" i="17"/>
  <c r="AN24" i="17"/>
  <c r="AN22" i="17"/>
  <c r="AN18" i="17"/>
  <c r="AN15" i="17"/>
  <c r="AN13" i="17"/>
  <c r="AN11" i="17"/>
  <c r="AN9" i="17"/>
  <c r="AN7" i="17"/>
  <c r="AM40" i="17"/>
  <c r="AM38" i="17"/>
  <c r="AM36" i="17"/>
  <c r="AM34" i="17"/>
  <c r="AM32" i="17"/>
  <c r="AM30" i="17"/>
  <c r="AM28" i="17"/>
  <c r="AM26" i="17"/>
  <c r="AM24" i="17"/>
  <c r="AM22" i="17"/>
  <c r="AM18" i="17"/>
  <c r="AM15" i="17"/>
  <c r="AM13" i="17"/>
  <c r="AM11" i="17"/>
  <c r="AM9" i="17"/>
  <c r="AM7" i="17"/>
  <c r="AL40" i="17"/>
  <c r="AL38" i="17"/>
  <c r="AL36" i="17"/>
  <c r="AL34" i="17"/>
  <c r="AL32" i="17"/>
  <c r="AL30" i="17"/>
  <c r="AL28" i="17"/>
  <c r="AL26" i="17"/>
  <c r="AL24" i="17"/>
  <c r="AL22" i="17"/>
  <c r="AL18" i="17"/>
  <c r="AL15" i="17"/>
  <c r="AL13" i="17"/>
  <c r="AL11" i="17"/>
  <c r="AL9" i="17"/>
  <c r="AL7" i="17"/>
  <c r="AK40" i="17"/>
  <c r="AK38" i="17"/>
  <c r="AK36" i="17"/>
  <c r="AK34" i="17"/>
  <c r="AK32" i="17"/>
  <c r="AK30" i="17"/>
  <c r="AK28" i="17"/>
  <c r="AK26" i="17"/>
  <c r="AK24" i="17"/>
  <c r="AK22" i="17"/>
  <c r="AK18" i="17"/>
  <c r="AK15" i="17"/>
  <c r="AK13" i="17"/>
  <c r="AK11" i="17"/>
  <c r="AK9" i="17"/>
  <c r="AK7" i="17"/>
  <c r="AJ40" i="17"/>
  <c r="AJ38" i="17"/>
  <c r="AJ36" i="17"/>
  <c r="AJ34" i="17"/>
  <c r="AJ32" i="17"/>
  <c r="AJ30" i="17"/>
  <c r="AJ28" i="17"/>
  <c r="AJ26" i="17"/>
  <c r="AJ24" i="17"/>
  <c r="AJ22" i="17"/>
  <c r="AJ18" i="17"/>
  <c r="AJ15" i="17"/>
  <c r="AJ13" i="17"/>
  <c r="AJ11" i="17"/>
  <c r="AJ9" i="17"/>
  <c r="AJ7" i="17"/>
  <c r="AG40" i="17"/>
  <c r="AG38" i="17"/>
  <c r="AG36" i="17"/>
  <c r="AG34" i="17"/>
  <c r="AG32" i="17"/>
  <c r="AG30" i="17"/>
  <c r="AG28" i="17"/>
  <c r="AG26" i="17"/>
  <c r="AG24" i="17"/>
  <c r="AG22" i="17"/>
  <c r="AG18" i="17"/>
  <c r="AG15" i="17"/>
  <c r="AG13" i="17"/>
  <c r="AG11" i="17"/>
  <c r="AG9" i="17"/>
  <c r="AG7" i="17"/>
  <c r="AF40" i="17"/>
  <c r="AF38" i="17"/>
  <c r="AF36" i="17"/>
  <c r="AF34" i="17"/>
  <c r="AF32" i="17"/>
  <c r="AF30" i="17"/>
  <c r="AF28" i="17"/>
  <c r="AF26" i="17"/>
  <c r="AF24" i="17"/>
  <c r="AF22" i="17"/>
  <c r="AF18" i="17"/>
  <c r="AF15" i="17"/>
  <c r="AF13" i="17"/>
  <c r="AF11" i="17"/>
  <c r="AF9" i="17"/>
  <c r="AF7" i="17"/>
  <c r="AQ41" i="17"/>
  <c r="AQ39" i="17"/>
  <c r="AQ37" i="17"/>
  <c r="AQ35" i="17"/>
  <c r="AQ33" i="17"/>
  <c r="AQ31" i="17"/>
  <c r="AQ29" i="17"/>
  <c r="AQ27" i="17"/>
  <c r="AQ25" i="17"/>
  <c r="AQ23" i="17"/>
  <c r="AQ21" i="17"/>
  <c r="AQ16" i="17"/>
  <c r="AQ14" i="17"/>
  <c r="AQ12" i="17"/>
  <c r="AQ10" i="17"/>
  <c r="AQ8" i="17"/>
  <c r="AQ6" i="17"/>
  <c r="AI22" i="17"/>
  <c r="AH22" i="17"/>
  <c r="AI18" i="17"/>
  <c r="AH18" i="17"/>
  <c r="AI15" i="17"/>
  <c r="AH15" i="17"/>
  <c r="AI40" i="17"/>
  <c r="AI13" i="17"/>
  <c r="AH40" i="17"/>
  <c r="AH13" i="17"/>
  <c r="AI38" i="17"/>
  <c r="AI11" i="17"/>
  <c r="AH38" i="17"/>
  <c r="AH11" i="17"/>
  <c r="AI36" i="17"/>
  <c r="AI9" i="17"/>
  <c r="AH36" i="17"/>
  <c r="AH9" i="17"/>
  <c r="AI34" i="17"/>
  <c r="AI7" i="17"/>
  <c r="AH34" i="17"/>
  <c r="AH7" i="17"/>
  <c r="AI32" i="17"/>
  <c r="AH32" i="17"/>
  <c r="AI30" i="17"/>
  <c r="AH30" i="17"/>
  <c r="AI28" i="17"/>
  <c r="AH28" i="17"/>
  <c r="AI26" i="17"/>
  <c r="AH24" i="17"/>
  <c r="AH26" i="17"/>
  <c r="AI24" i="17"/>
  <c r="CR41" i="17"/>
  <c r="CR39" i="17"/>
  <c r="CR37" i="17"/>
  <c r="CR35" i="17"/>
  <c r="CR33" i="17"/>
  <c r="CR31" i="17"/>
  <c r="CR29" i="17"/>
  <c r="CR27" i="17"/>
  <c r="CR25" i="17"/>
  <c r="CR23" i="17"/>
  <c r="CR21" i="17"/>
  <c r="CR16" i="17"/>
  <c r="CR14" i="17"/>
  <c r="CR12" i="17"/>
  <c r="CR10" i="17"/>
  <c r="CR8" i="17"/>
  <c r="CR6" i="17"/>
  <c r="CQ41" i="17"/>
  <c r="CQ39" i="17"/>
  <c r="CQ37" i="17"/>
  <c r="CQ35" i="17"/>
  <c r="CQ33" i="17"/>
  <c r="CP41" i="17"/>
  <c r="CP39" i="17"/>
  <c r="CP37" i="17"/>
  <c r="CP35" i="17"/>
  <c r="CP33" i="17"/>
  <c r="CP31" i="17"/>
  <c r="CP29" i="17"/>
  <c r="CP27" i="17"/>
  <c r="CP25" i="17"/>
  <c r="CP23" i="17"/>
  <c r="CP21" i="17"/>
  <c r="CP16" i="17"/>
  <c r="CP14" i="17"/>
  <c r="CP12" i="17"/>
  <c r="CP10" i="17"/>
  <c r="CP8" i="17"/>
  <c r="CP6" i="17"/>
  <c r="CO41" i="17"/>
  <c r="CO39" i="17"/>
  <c r="CO37" i="17"/>
  <c r="CO35" i="17"/>
  <c r="CO33" i="17"/>
  <c r="CO31" i="17"/>
  <c r="CO29" i="17"/>
  <c r="CO27" i="17"/>
  <c r="CO25" i="17"/>
  <c r="CO23" i="17"/>
  <c r="CO21" i="17"/>
  <c r="CO16" i="17"/>
  <c r="CO14" i="17"/>
  <c r="CO12" i="17"/>
  <c r="CO10" i="17"/>
  <c r="CO8" i="17"/>
  <c r="CO6" i="17"/>
  <c r="CN41" i="17"/>
  <c r="CN39" i="17"/>
  <c r="CN37" i="17"/>
  <c r="CN35" i="17"/>
  <c r="CN33" i="17"/>
  <c r="CN31" i="17"/>
  <c r="CN29" i="17"/>
  <c r="CN27" i="17"/>
  <c r="CN25" i="17"/>
  <c r="CN23" i="17"/>
  <c r="CN21" i="17"/>
  <c r="CN16" i="17"/>
  <c r="CN14" i="17"/>
  <c r="CN12" i="17"/>
  <c r="CN10" i="17"/>
  <c r="CN8" i="17"/>
  <c r="CN6" i="17"/>
  <c r="CM41" i="17"/>
  <c r="CM39" i="17"/>
  <c r="CM37" i="17"/>
  <c r="CM35" i="17"/>
  <c r="CM33" i="17"/>
  <c r="CM31" i="17"/>
  <c r="CM29" i="17"/>
  <c r="CM27" i="17"/>
  <c r="CM25" i="17"/>
  <c r="CM23" i="17"/>
  <c r="CM21" i="17"/>
  <c r="CM16" i="17"/>
  <c r="CM14" i="17"/>
  <c r="CM12" i="17"/>
  <c r="CM10" i="17"/>
  <c r="CM8" i="17"/>
  <c r="CM6" i="17"/>
  <c r="CL41" i="17"/>
  <c r="CL39" i="17"/>
  <c r="CL37" i="17"/>
  <c r="CL35" i="17"/>
  <c r="CL33" i="17"/>
  <c r="CL31" i="17"/>
  <c r="CL29" i="17"/>
  <c r="CL27" i="17"/>
  <c r="CL25" i="17"/>
  <c r="CL23" i="17"/>
  <c r="CL21" i="17"/>
  <c r="CL16" i="17"/>
  <c r="CL14" i="17"/>
  <c r="CL12" i="17"/>
  <c r="CL10" i="17"/>
  <c r="CL8" i="17"/>
  <c r="CL6" i="17"/>
  <c r="CK41" i="17"/>
  <c r="CK39" i="17"/>
  <c r="CK37" i="17"/>
  <c r="CK35" i="17"/>
  <c r="CK33" i="17"/>
  <c r="CK31" i="17"/>
  <c r="CK29" i="17"/>
  <c r="CK27" i="17"/>
  <c r="CK25" i="17"/>
  <c r="CK23" i="17"/>
  <c r="CK21" i="17"/>
  <c r="CK16" i="17"/>
  <c r="CK14" i="17"/>
  <c r="CK12" i="17"/>
  <c r="CK10" i="17"/>
  <c r="CK8" i="17"/>
  <c r="CK6" i="17"/>
  <c r="CJ41" i="17"/>
  <c r="CJ39" i="17"/>
  <c r="CJ37" i="17"/>
  <c r="CJ35" i="17"/>
  <c r="CJ33" i="17"/>
  <c r="CJ31" i="17"/>
  <c r="CJ29" i="17"/>
  <c r="CJ27" i="17"/>
  <c r="CJ25" i="17"/>
  <c r="CJ23" i="17"/>
  <c r="CJ21" i="17"/>
  <c r="CJ16" i="17"/>
  <c r="CJ14" i="17"/>
  <c r="CJ12" i="17"/>
  <c r="CJ10" i="17"/>
  <c r="CJ8" i="17"/>
  <c r="CJ6" i="17"/>
  <c r="CU40" i="17"/>
  <c r="CU38" i="17"/>
  <c r="CU36" i="17"/>
  <c r="CU34" i="17"/>
  <c r="CU32" i="17"/>
  <c r="CU30" i="17"/>
  <c r="CU28" i="17"/>
  <c r="CU26" i="17"/>
  <c r="CU24" i="17"/>
  <c r="CU22" i="17"/>
  <c r="CU18" i="17"/>
  <c r="CU15" i="17"/>
  <c r="CU13" i="17"/>
  <c r="CU11" i="17"/>
  <c r="CU9" i="17"/>
  <c r="CU7" i="17"/>
  <c r="CT40" i="17"/>
  <c r="CT38" i="17"/>
  <c r="CT36" i="17"/>
  <c r="CT34" i="17"/>
  <c r="CT32" i="17"/>
  <c r="CT30" i="17"/>
  <c r="CT28" i="17"/>
  <c r="CT26" i="17"/>
  <c r="CT24" i="17"/>
  <c r="CT22" i="17"/>
  <c r="CT18" i="17"/>
  <c r="CT15" i="17"/>
  <c r="CT13" i="17"/>
  <c r="CT11" i="17"/>
  <c r="CT9" i="17"/>
  <c r="CT7" i="17"/>
  <c r="CS40" i="17"/>
  <c r="CS38" i="17"/>
  <c r="CS36" i="17"/>
  <c r="CS34" i="17"/>
  <c r="CS32" i="17"/>
  <c r="CS30" i="17"/>
  <c r="CS28" i="17"/>
  <c r="CS26" i="17"/>
  <c r="CS24" i="17"/>
  <c r="CS22" i="17"/>
  <c r="CS18" i="17"/>
  <c r="CS15" i="17"/>
  <c r="CS13" i="17"/>
  <c r="CS11" i="17"/>
  <c r="CS9" i="17"/>
  <c r="CS7" i="17"/>
  <c r="CR40" i="17"/>
  <c r="CR38" i="17"/>
  <c r="CR36" i="17"/>
  <c r="CR34" i="17"/>
  <c r="CR32" i="17"/>
  <c r="CR30" i="17"/>
  <c r="CR28" i="17"/>
  <c r="CR26" i="17"/>
  <c r="CR24" i="17"/>
  <c r="CR22" i="17"/>
  <c r="CR18" i="17"/>
  <c r="CR15" i="17"/>
  <c r="CR13" i="17"/>
  <c r="CR11" i="17"/>
  <c r="CR9" i="17"/>
  <c r="CR7" i="17"/>
  <c r="CQ40" i="17"/>
  <c r="CQ38" i="17"/>
  <c r="CQ36" i="17"/>
  <c r="CQ34" i="17"/>
  <c r="CQ32" i="17"/>
  <c r="CQ30" i="17"/>
  <c r="CQ28" i="17"/>
  <c r="CQ26" i="17"/>
  <c r="CQ24" i="17"/>
  <c r="CQ22" i="17"/>
  <c r="CQ18" i="17"/>
  <c r="CQ15" i="17"/>
  <c r="CQ13" i="17"/>
  <c r="CQ11" i="17"/>
  <c r="CQ9" i="17"/>
  <c r="CQ7" i="17"/>
  <c r="CO40" i="17"/>
  <c r="CO38" i="17"/>
  <c r="CO36" i="17"/>
  <c r="CO34" i="17"/>
  <c r="CO32" i="17"/>
  <c r="CO30" i="17"/>
  <c r="CO28" i="17"/>
  <c r="CO26" i="17"/>
  <c r="CO24" i="17"/>
  <c r="CO22" i="17"/>
  <c r="CO18" i="17"/>
  <c r="CO15" i="17"/>
  <c r="CO13" i="17"/>
  <c r="CO11" i="17"/>
  <c r="CO9" i="17"/>
  <c r="CO7" i="17"/>
  <c r="CN40" i="17"/>
  <c r="CN38" i="17"/>
  <c r="CN36" i="17"/>
  <c r="CN34" i="17"/>
  <c r="CN32" i="17"/>
  <c r="CN30" i="17"/>
  <c r="CN28" i="17"/>
  <c r="CN26" i="17"/>
  <c r="CN24" i="17"/>
  <c r="CN22" i="17"/>
  <c r="CN18" i="17"/>
  <c r="CN15" i="17"/>
  <c r="CN13" i="17"/>
  <c r="CN11" i="17"/>
  <c r="CN9" i="17"/>
  <c r="CN7" i="17"/>
  <c r="CM40" i="17"/>
  <c r="CM38" i="17"/>
  <c r="CM36" i="17"/>
  <c r="CM34" i="17"/>
  <c r="CM32" i="17"/>
  <c r="CM30" i="17"/>
  <c r="CM28" i="17"/>
  <c r="CM26" i="17"/>
  <c r="CM24" i="17"/>
  <c r="CM22" i="17"/>
  <c r="CM18" i="17"/>
  <c r="CM15" i="17"/>
  <c r="CM13" i="17"/>
  <c r="CM11" i="17"/>
  <c r="CM9" i="17"/>
  <c r="CM7" i="17"/>
  <c r="CL40" i="17"/>
  <c r="CL38" i="17"/>
  <c r="CL36" i="17"/>
  <c r="CL34" i="17"/>
  <c r="CL32" i="17"/>
  <c r="CL30" i="17"/>
  <c r="CL28" i="17"/>
  <c r="CL26" i="17"/>
  <c r="CL24" i="17"/>
  <c r="CL22" i="17"/>
  <c r="CL18" i="17"/>
  <c r="CL15" i="17"/>
  <c r="CL13" i="17"/>
  <c r="CL11" i="17"/>
  <c r="CL9" i="17"/>
  <c r="CL7" i="17"/>
  <c r="CK40" i="17"/>
  <c r="CK38" i="17"/>
  <c r="CK36" i="17"/>
  <c r="CK34" i="17"/>
  <c r="CK32" i="17"/>
  <c r="CK30" i="17"/>
  <c r="CK28" i="17"/>
  <c r="CK26" i="17"/>
  <c r="CK24" i="17"/>
  <c r="CK22" i="17"/>
  <c r="CK18" i="17"/>
  <c r="CK15" i="17"/>
  <c r="CK13" i="17"/>
  <c r="CK11" i="17"/>
  <c r="CK9" i="17"/>
  <c r="CK7" i="17"/>
  <c r="CJ40" i="17"/>
  <c r="CJ38" i="17"/>
  <c r="CJ36" i="17"/>
  <c r="CJ34" i="17"/>
  <c r="CJ32" i="17"/>
  <c r="CJ30" i="17"/>
  <c r="CJ28" i="17"/>
  <c r="CJ26" i="17"/>
  <c r="CJ24" i="17"/>
  <c r="CJ22" i="17"/>
  <c r="CJ18" i="17"/>
  <c r="CJ15" i="17"/>
  <c r="CJ13" i="17"/>
  <c r="CJ11" i="17"/>
  <c r="CJ9" i="17"/>
  <c r="CJ7" i="17"/>
  <c r="CS41" i="17"/>
  <c r="CS39" i="17"/>
  <c r="CS37" i="17"/>
  <c r="CS35" i="17"/>
  <c r="CS33" i="17"/>
  <c r="CS31" i="17"/>
  <c r="CS29" i="17"/>
  <c r="CS27" i="17"/>
  <c r="CS25" i="17"/>
  <c r="CS23" i="17"/>
  <c r="CS21" i="17"/>
  <c r="CS16" i="17"/>
  <c r="CS14" i="17"/>
  <c r="CS12" i="17"/>
  <c r="CS10" i="17"/>
  <c r="CS8" i="17"/>
  <c r="CS6" i="17"/>
  <c r="CP36" i="17"/>
  <c r="CT23" i="17"/>
  <c r="CT8" i="17"/>
  <c r="CU35" i="17"/>
  <c r="CQ23" i="17"/>
  <c r="CQ8" i="17"/>
  <c r="CT35" i="17"/>
  <c r="CP22" i="17"/>
  <c r="CP7" i="17"/>
  <c r="CP34" i="17"/>
  <c r="CU21" i="17"/>
  <c r="CU6" i="17"/>
  <c r="CU33" i="17"/>
  <c r="CT21" i="17"/>
  <c r="CT6" i="17"/>
  <c r="CT33" i="17"/>
  <c r="CQ21" i="17"/>
  <c r="CQ6" i="17"/>
  <c r="CP32" i="17"/>
  <c r="CP18" i="17"/>
  <c r="CU31" i="17"/>
  <c r="CU16" i="17"/>
  <c r="CT31" i="17"/>
  <c r="CT16" i="17"/>
  <c r="CQ31" i="17"/>
  <c r="CQ16" i="17"/>
  <c r="CP30" i="17"/>
  <c r="CP15" i="17"/>
  <c r="CU29" i="17"/>
  <c r="CU14" i="17"/>
  <c r="CT29" i="17"/>
  <c r="CT14" i="17"/>
  <c r="CQ29" i="17"/>
  <c r="CQ14" i="17"/>
  <c r="CP28" i="17"/>
  <c r="CP13" i="17"/>
  <c r="CU27" i="17"/>
  <c r="CU12" i="17"/>
  <c r="CU41" i="17"/>
  <c r="CT27" i="17"/>
  <c r="CT12" i="17"/>
  <c r="CT41" i="17"/>
  <c r="CQ27" i="17"/>
  <c r="CQ12" i="17"/>
  <c r="CP40" i="17"/>
  <c r="CP26" i="17"/>
  <c r="CP11" i="17"/>
  <c r="CU39" i="17"/>
  <c r="CU25" i="17"/>
  <c r="CU10" i="17"/>
  <c r="CT39" i="17"/>
  <c r="CT25" i="17"/>
  <c r="CT10" i="17"/>
  <c r="CP38" i="17"/>
  <c r="CQ25" i="17"/>
  <c r="CQ10" i="17"/>
  <c r="CT37" i="17"/>
  <c r="CU23" i="17"/>
  <c r="CU8" i="17"/>
  <c r="BY40" i="17"/>
  <c r="BY38" i="17"/>
  <c r="BY36" i="17"/>
  <c r="BY34" i="17"/>
  <c r="BY32" i="17"/>
  <c r="BY30" i="17"/>
  <c r="BY28" i="17"/>
  <c r="BY26" i="17"/>
  <c r="BY24" i="17"/>
  <c r="BY22" i="17"/>
  <c r="BY18" i="17"/>
  <c r="BY15" i="17"/>
  <c r="BY13" i="17"/>
  <c r="BY11" i="17"/>
  <c r="BY9" i="17"/>
  <c r="BY7" i="17"/>
  <c r="BW40" i="17"/>
  <c r="BW38" i="17"/>
  <c r="BW36" i="17"/>
  <c r="BW34" i="17"/>
  <c r="BW32" i="17"/>
  <c r="BW30" i="17"/>
  <c r="BW28" i="17"/>
  <c r="BW26" i="17"/>
  <c r="BW24" i="17"/>
  <c r="BW22" i="17"/>
  <c r="BW18" i="17"/>
  <c r="BW15" i="17"/>
  <c r="BW13" i="17"/>
  <c r="BW11" i="17"/>
  <c r="BW9" i="17"/>
  <c r="BW7" i="17"/>
  <c r="CU37" i="17"/>
  <c r="BV40" i="17"/>
  <c r="BV38" i="17"/>
  <c r="BV36" i="17"/>
  <c r="BV34" i="17"/>
  <c r="BV32" i="17"/>
  <c r="CP24" i="17"/>
  <c r="CG41" i="17"/>
  <c r="CG39" i="17"/>
  <c r="CG37" i="17"/>
  <c r="CG35" i="17"/>
  <c r="CG33" i="17"/>
  <c r="CG31" i="17"/>
  <c r="CG29" i="17"/>
  <c r="CG27" i="17"/>
  <c r="CP9" i="17"/>
  <c r="CF41" i="17"/>
  <c r="CF39" i="17"/>
  <c r="CF37" i="17"/>
  <c r="CF35" i="17"/>
  <c r="CF33" i="17"/>
  <c r="CF31" i="17"/>
  <c r="CF29" i="17"/>
  <c r="CE41" i="17"/>
  <c r="CE39" i="17"/>
  <c r="CE37" i="17"/>
  <c r="CE35" i="17"/>
  <c r="CE33" i="17"/>
  <c r="CE31" i="17"/>
  <c r="CE29" i="17"/>
  <c r="CE27" i="17"/>
  <c r="CC41" i="17"/>
  <c r="CC39" i="17"/>
  <c r="CC37" i="17"/>
  <c r="CC35" i="17"/>
  <c r="CC33" i="17"/>
  <c r="CC31" i="17"/>
  <c r="CC29" i="17"/>
  <c r="CC27" i="17"/>
  <c r="CC25" i="17"/>
  <c r="CC23" i="17"/>
  <c r="CC21" i="17"/>
  <c r="CC16" i="17"/>
  <c r="CC14" i="17"/>
  <c r="CC12" i="17"/>
  <c r="CC10" i="17"/>
  <c r="CC8" i="17"/>
  <c r="CC6" i="17"/>
  <c r="CB41" i="17"/>
  <c r="CB39" i="17"/>
  <c r="CB37" i="17"/>
  <c r="CB35" i="17"/>
  <c r="CB33" i="17"/>
  <c r="CB31" i="17"/>
  <c r="CB29" i="17"/>
  <c r="CB27" i="17"/>
  <c r="CB25" i="17"/>
  <c r="CB23" i="17"/>
  <c r="CB21" i="17"/>
  <c r="CB16" i="17"/>
  <c r="CB14" i="17"/>
  <c r="CB12" i="17"/>
  <c r="CB10" i="17"/>
  <c r="CB8" i="17"/>
  <c r="CB6" i="17"/>
  <c r="CA41" i="17"/>
  <c r="CA39" i="17"/>
  <c r="CA37" i="17"/>
  <c r="CA35" i="17"/>
  <c r="CA33" i="17"/>
  <c r="CA31" i="17"/>
  <c r="CA29" i="17"/>
  <c r="CA27" i="17"/>
  <c r="CA25" i="17"/>
  <c r="CA23" i="17"/>
  <c r="CA21" i="17"/>
  <c r="CA16" i="17"/>
  <c r="CA14" i="17"/>
  <c r="CA12" i="17"/>
  <c r="CA10" i="17"/>
  <c r="CA8" i="17"/>
  <c r="CA6" i="17"/>
  <c r="BZ41" i="17"/>
  <c r="BZ39" i="17"/>
  <c r="BZ37" i="17"/>
  <c r="BZ35" i="17"/>
  <c r="BZ33" i="17"/>
  <c r="BZ31" i="17"/>
  <c r="BZ29" i="17"/>
  <c r="BZ27" i="17"/>
  <c r="BZ25" i="17"/>
  <c r="BZ23" i="17"/>
  <c r="BZ21" i="17"/>
  <c r="BZ16" i="17"/>
  <c r="BY41" i="17"/>
  <c r="BY39" i="17"/>
  <c r="BY37" i="17"/>
  <c r="BY35" i="17"/>
  <c r="BY33" i="17"/>
  <c r="BY31" i="17"/>
  <c r="BY29" i="17"/>
  <c r="BY27" i="17"/>
  <c r="BY25" i="17"/>
  <c r="BY23" i="17"/>
  <c r="BY21" i="17"/>
  <c r="BY16" i="17"/>
  <c r="BY14" i="17"/>
  <c r="BY12" i="17"/>
  <c r="BY10" i="17"/>
  <c r="BY8" i="17"/>
  <c r="BY6" i="17"/>
  <c r="CG40" i="17"/>
  <c r="CG38" i="17"/>
  <c r="CG36" i="17"/>
  <c r="CG34" i="17"/>
  <c r="CG32" i="17"/>
  <c r="CG30" i="17"/>
  <c r="CG28" i="17"/>
  <c r="CG26" i="17"/>
  <c r="CF40" i="17"/>
  <c r="CF38" i="17"/>
  <c r="CF36" i="17"/>
  <c r="CF34" i="17"/>
  <c r="CF32" i="17"/>
  <c r="CF30" i="17"/>
  <c r="CF28" i="17"/>
  <c r="CF26" i="17"/>
  <c r="CF24" i="17"/>
  <c r="CD37" i="17"/>
  <c r="BW33" i="17"/>
  <c r="BV29" i="17"/>
  <c r="CE25" i="17"/>
  <c r="CD22" i="17"/>
  <c r="CG16" i="17"/>
  <c r="BV14" i="17"/>
  <c r="CB11" i="17"/>
  <c r="CF8" i="17"/>
  <c r="BV6" i="17"/>
  <c r="BX37" i="17"/>
  <c r="BV33" i="17"/>
  <c r="CE28" i="17"/>
  <c r="CD25" i="17"/>
  <c r="CC22" i="17"/>
  <c r="CF16" i="17"/>
  <c r="CG13" i="17"/>
  <c r="CA11" i="17"/>
  <c r="CE8" i="17"/>
  <c r="CD41" i="17"/>
  <c r="BW37" i="17"/>
  <c r="CE32" i="17"/>
  <c r="CD28" i="17"/>
  <c r="BX25" i="17"/>
  <c r="CB22" i="17"/>
  <c r="CE16" i="17"/>
  <c r="CF13" i="17"/>
  <c r="BZ11" i="17"/>
  <c r="CD8" i="17"/>
  <c r="BX41" i="17"/>
  <c r="BV37" i="17"/>
  <c r="CD32" i="17"/>
  <c r="CC28" i="17"/>
  <c r="BW25" i="17"/>
  <c r="CA22" i="17"/>
  <c r="CD16" i="17"/>
  <c r="CE13" i="17"/>
  <c r="BX11" i="17"/>
  <c r="BZ8" i="17"/>
  <c r="BW41" i="17"/>
  <c r="CE36" i="17"/>
  <c r="CC32" i="17"/>
  <c r="CB28" i="17"/>
  <c r="BV25" i="17"/>
  <c r="BZ22" i="17"/>
  <c r="BX16" i="17"/>
  <c r="CD13" i="17"/>
  <c r="BV11" i="17"/>
  <c r="BX8" i="17"/>
  <c r="BV41" i="17"/>
  <c r="CD36" i="17"/>
  <c r="CB32" i="17"/>
  <c r="CA28" i="17"/>
  <c r="CG24" i="17"/>
  <c r="BX22" i="17"/>
  <c r="BW16" i="17"/>
  <c r="CC13" i="17"/>
  <c r="CG10" i="17"/>
  <c r="BW8" i="17"/>
  <c r="CE40" i="17"/>
  <c r="CC36" i="17"/>
  <c r="CA32" i="17"/>
  <c r="BZ28" i="17"/>
  <c r="CE24" i="17"/>
  <c r="BV22" i="17"/>
  <c r="BV16" i="17"/>
  <c r="CB13" i="17"/>
  <c r="CF10" i="17"/>
  <c r="BV8" i="17"/>
  <c r="CD40" i="17"/>
  <c r="CB36" i="17"/>
  <c r="BZ32" i="17"/>
  <c r="BX28" i="17"/>
  <c r="CD24" i="17"/>
  <c r="CG21" i="17"/>
  <c r="CG15" i="17"/>
  <c r="CA13" i="17"/>
  <c r="CE10" i="17"/>
  <c r="CG7" i="17"/>
  <c r="CC40" i="17"/>
  <c r="CA36" i="17"/>
  <c r="BX32" i="17"/>
  <c r="BV28" i="17"/>
  <c r="CC24" i="17"/>
  <c r="CF21" i="17"/>
  <c r="CF15" i="17"/>
  <c r="BZ13" i="17"/>
  <c r="CD10" i="17"/>
  <c r="CF7" i="17"/>
  <c r="CB40" i="17"/>
  <c r="BZ36" i="17"/>
  <c r="CD31" i="17"/>
  <c r="CF27" i="17"/>
  <c r="CB24" i="17"/>
  <c r="CE21" i="17"/>
  <c r="CE15" i="17"/>
  <c r="BX13" i="17"/>
  <c r="BZ10" i="17"/>
  <c r="CE7" i="17"/>
  <c r="CA40" i="17"/>
  <c r="BX36" i="17"/>
  <c r="BX31" i="17"/>
  <c r="CD27" i="17"/>
  <c r="CA24" i="17"/>
  <c r="CD21" i="17"/>
  <c r="CD15" i="17"/>
  <c r="BV13" i="17"/>
  <c r="BX10" i="17"/>
  <c r="CD7" i="17"/>
  <c r="BZ40" i="17"/>
  <c r="CD35" i="17"/>
  <c r="BW31" i="17"/>
  <c r="BX27" i="17"/>
  <c r="BZ24" i="17"/>
  <c r="BX21" i="17"/>
  <c r="CC15" i="17"/>
  <c r="CG12" i="17"/>
  <c r="BW10" i="17"/>
  <c r="CC7" i="17"/>
  <c r="BX40" i="17"/>
  <c r="BX35" i="17"/>
  <c r="BV31" i="17"/>
  <c r="BW27" i="17"/>
  <c r="BX24" i="17"/>
  <c r="BW21" i="17"/>
  <c r="CB15" i="17"/>
  <c r="CF12" i="17"/>
  <c r="BV10" i="17"/>
  <c r="CB7" i="17"/>
  <c r="CD39" i="17"/>
  <c r="BW35" i="17"/>
  <c r="CE30" i="17"/>
  <c r="BV27" i="17"/>
  <c r="BV24" i="17"/>
  <c r="BV21" i="17"/>
  <c r="CA15" i="17"/>
  <c r="CE12" i="17"/>
  <c r="CG9" i="17"/>
  <c r="CA7" i="17"/>
  <c r="BX39" i="17"/>
  <c r="BV35" i="17"/>
  <c r="CD30" i="17"/>
  <c r="CE26" i="17"/>
  <c r="CG23" i="17"/>
  <c r="CG18" i="17"/>
  <c r="BZ15" i="17"/>
  <c r="CD12" i="17"/>
  <c r="CF9" i="17"/>
  <c r="BZ7" i="17"/>
  <c r="BW39" i="17"/>
  <c r="CE34" i="17"/>
  <c r="CC30" i="17"/>
  <c r="CD26" i="17"/>
  <c r="CF23" i="17"/>
  <c r="CF18" i="17"/>
  <c r="BX15" i="17"/>
  <c r="BZ12" i="17"/>
  <c r="CE9" i="17"/>
  <c r="BX7" i="17"/>
  <c r="BV39" i="17"/>
  <c r="CD34" i="17"/>
  <c r="CB30" i="17"/>
  <c r="CC26" i="17"/>
  <c r="CE23" i="17"/>
  <c r="CE18" i="17"/>
  <c r="BV15" i="17"/>
  <c r="BX12" i="17"/>
  <c r="CD9" i="17"/>
  <c r="BV7" i="17"/>
  <c r="CE38" i="17"/>
  <c r="CC34" i="17"/>
  <c r="CA30" i="17"/>
  <c r="CB26" i="17"/>
  <c r="CD23" i="17"/>
  <c r="CD18" i="17"/>
  <c r="CG14" i="17"/>
  <c r="BW12" i="17"/>
  <c r="CC9" i="17"/>
  <c r="CG6" i="17"/>
  <c r="CD38" i="17"/>
  <c r="CB34" i="17"/>
  <c r="BZ30" i="17"/>
  <c r="CA26" i="17"/>
  <c r="BX23" i="17"/>
  <c r="CC18" i="17"/>
  <c r="CF14" i="17"/>
  <c r="BV12" i="17"/>
  <c r="CB9" i="17"/>
  <c r="CF6" i="17"/>
  <c r="CC38" i="17"/>
  <c r="CA34" i="17"/>
  <c r="BX30" i="17"/>
  <c r="BZ26" i="17"/>
  <c r="BW23" i="17"/>
  <c r="CB18" i="17"/>
  <c r="CE14" i="17"/>
  <c r="CG11" i="17"/>
  <c r="CA9" i="17"/>
  <c r="CE6" i="17"/>
  <c r="CB38" i="17"/>
  <c r="BX38" i="17"/>
  <c r="BX33" i="17"/>
  <c r="BW29" i="17"/>
  <c r="CF25" i="17"/>
  <c r="CE22" i="17"/>
  <c r="BV18" i="17"/>
  <c r="BW14" i="17"/>
  <c r="CC11" i="17"/>
  <c r="CG8" i="17"/>
  <c r="BW6" i="17"/>
  <c r="BX34" i="17"/>
  <c r="BZ6" i="17"/>
  <c r="BJ41" i="17"/>
  <c r="BJ39" i="17"/>
  <c r="BJ37" i="17"/>
  <c r="BJ35" i="17"/>
  <c r="BJ33" i="17"/>
  <c r="BJ31" i="17"/>
  <c r="BJ29" i="17"/>
  <c r="BJ27" i="17"/>
  <c r="BJ25" i="17"/>
  <c r="BJ23" i="17"/>
  <c r="BJ21" i="17"/>
  <c r="BJ16" i="17"/>
  <c r="BJ14" i="17"/>
  <c r="BJ12" i="17"/>
  <c r="BJ10" i="17"/>
  <c r="BJ8" i="17"/>
  <c r="BJ6" i="17"/>
  <c r="CD33" i="17"/>
  <c r="BX6" i="17"/>
  <c r="BI41" i="17"/>
  <c r="BI39" i="17"/>
  <c r="BI37" i="17"/>
  <c r="BI35" i="17"/>
  <c r="BI33" i="17"/>
  <c r="BI31" i="17"/>
  <c r="BI29" i="17"/>
  <c r="BI27" i="17"/>
  <c r="BI25" i="17"/>
  <c r="BI23" i="17"/>
  <c r="BI21" i="17"/>
  <c r="BI16" i="17"/>
  <c r="BI14" i="17"/>
  <c r="BI12" i="17"/>
  <c r="BI10" i="17"/>
  <c r="BI8" i="17"/>
  <c r="BI6" i="17"/>
  <c r="BV30" i="17"/>
  <c r="CD29" i="17"/>
  <c r="BX29" i="17"/>
  <c r="BX26" i="17"/>
  <c r="BV26" i="17"/>
  <c r="CG25" i="17"/>
  <c r="BV23" i="17"/>
  <c r="CG22" i="17"/>
  <c r="CF22" i="17"/>
  <c r="BL40" i="17"/>
  <c r="BL38" i="17"/>
  <c r="BL36" i="17"/>
  <c r="BL34" i="17"/>
  <c r="BL32" i="17"/>
  <c r="BL30" i="17"/>
  <c r="BL28" i="17"/>
  <c r="BL26" i="17"/>
  <c r="BL24" i="17"/>
  <c r="BL22" i="17"/>
  <c r="BL18" i="17"/>
  <c r="BL15" i="17"/>
  <c r="BL13" i="17"/>
  <c r="BL11" i="17"/>
  <c r="BL9" i="17"/>
  <c r="BL7" i="17"/>
  <c r="CA18" i="17"/>
  <c r="BZ18" i="17"/>
  <c r="BJ40" i="17"/>
  <c r="BJ38" i="17"/>
  <c r="BJ36" i="17"/>
  <c r="BJ34" i="17"/>
  <c r="BJ32" i="17"/>
  <c r="BJ30" i="17"/>
  <c r="BJ28" i="17"/>
  <c r="BJ26" i="17"/>
  <c r="BJ24" i="17"/>
  <c r="BJ22" i="17"/>
  <c r="BJ18" i="17"/>
  <c r="BJ15" i="17"/>
  <c r="BJ13" i="17"/>
  <c r="BJ11" i="17"/>
  <c r="BJ9" i="17"/>
  <c r="BJ7" i="17"/>
  <c r="BX18" i="17"/>
  <c r="CD14" i="17"/>
  <c r="BZ14" i="17"/>
  <c r="BX14" i="17"/>
  <c r="CF11" i="17"/>
  <c r="CE11" i="17"/>
  <c r="CD11" i="17"/>
  <c r="BZ9" i="17"/>
  <c r="CA38" i="17"/>
  <c r="BX9" i="17"/>
  <c r="BZ34" i="17"/>
  <c r="CD6" i="17"/>
  <c r="BZ38" i="17"/>
  <c r="BO41" i="17"/>
  <c r="BK39" i="17"/>
  <c r="BQ36" i="17"/>
  <c r="BM34" i="17"/>
  <c r="BS31" i="17"/>
  <c r="BO29" i="17"/>
  <c r="BK27" i="17"/>
  <c r="BQ24" i="17"/>
  <c r="BM22" i="17"/>
  <c r="BS16" i="17"/>
  <c r="BO14" i="17"/>
  <c r="BK12" i="17"/>
  <c r="BQ9" i="17"/>
  <c r="BM7" i="17"/>
  <c r="BV9" i="17"/>
  <c r="BN41" i="17"/>
  <c r="BH39" i="17"/>
  <c r="BP36" i="17"/>
  <c r="BK34" i="17"/>
  <c r="BR31" i="17"/>
  <c r="BN29" i="17"/>
  <c r="BH27" i="17"/>
  <c r="BP24" i="17"/>
  <c r="BK22" i="17"/>
  <c r="BR16" i="17"/>
  <c r="BN14" i="17"/>
  <c r="BH12" i="17"/>
  <c r="BP9" i="17"/>
  <c r="BK7" i="17"/>
  <c r="BM41" i="17"/>
  <c r="BS38" i="17"/>
  <c r="BO36" i="17"/>
  <c r="BI34" i="17"/>
  <c r="BQ31" i="17"/>
  <c r="BM29" i="17"/>
  <c r="BS26" i="17"/>
  <c r="BO24" i="17"/>
  <c r="BI22" i="17"/>
  <c r="BQ16" i="17"/>
  <c r="BM14" i="17"/>
  <c r="BS11" i="17"/>
  <c r="BO9" i="17"/>
  <c r="BI7" i="17"/>
  <c r="BL41" i="17"/>
  <c r="BR38" i="17"/>
  <c r="BN36" i="17"/>
  <c r="BH34" i="17"/>
  <c r="BP31" i="17"/>
  <c r="BL29" i="17"/>
  <c r="BR26" i="17"/>
  <c r="BN24" i="17"/>
  <c r="BH22" i="17"/>
  <c r="BP16" i="17"/>
  <c r="BL14" i="17"/>
  <c r="BR11" i="17"/>
  <c r="BN9" i="17"/>
  <c r="BH7" i="17"/>
  <c r="BK41" i="17"/>
  <c r="BQ38" i="17"/>
  <c r="BM36" i="17"/>
  <c r="BS33" i="17"/>
  <c r="BO31" i="17"/>
  <c r="BK29" i="17"/>
  <c r="BQ26" i="17"/>
  <c r="BM24" i="17"/>
  <c r="BS21" i="17"/>
  <c r="BO16" i="17"/>
  <c r="BK14" i="17"/>
  <c r="BQ11" i="17"/>
  <c r="BM9" i="17"/>
  <c r="BS6" i="17"/>
  <c r="BH41" i="17"/>
  <c r="BP38" i="17"/>
  <c r="BK36" i="17"/>
  <c r="BR33" i="17"/>
  <c r="BN31" i="17"/>
  <c r="BH29" i="17"/>
  <c r="BP26" i="17"/>
  <c r="BK24" i="17"/>
  <c r="BR21" i="17"/>
  <c r="BN16" i="17"/>
  <c r="BH14" i="17"/>
  <c r="BP11" i="17"/>
  <c r="BK9" i="17"/>
  <c r="BR6" i="17"/>
  <c r="BS40" i="17"/>
  <c r="BO38" i="17"/>
  <c r="BI36" i="17"/>
  <c r="BQ33" i="17"/>
  <c r="BM31" i="17"/>
  <c r="BS28" i="17"/>
  <c r="BO26" i="17"/>
  <c r="BI24" i="17"/>
  <c r="BQ21" i="17"/>
  <c r="BM16" i="17"/>
  <c r="BS13" i="17"/>
  <c r="BO11" i="17"/>
  <c r="BI9" i="17"/>
  <c r="BQ6" i="17"/>
  <c r="BR40" i="17"/>
  <c r="BN38" i="17"/>
  <c r="BH36" i="17"/>
  <c r="BP33" i="17"/>
  <c r="BL31" i="17"/>
  <c r="BR28" i="17"/>
  <c r="BN26" i="17"/>
  <c r="BH24" i="17"/>
  <c r="BP21" i="17"/>
  <c r="BL16" i="17"/>
  <c r="BR13" i="17"/>
  <c r="BN11" i="17"/>
  <c r="BH9" i="17"/>
  <c r="BP6" i="17"/>
  <c r="BQ40" i="17"/>
  <c r="BM38" i="17"/>
  <c r="BS35" i="17"/>
  <c r="BO33" i="17"/>
  <c r="BK31" i="17"/>
  <c r="BQ28" i="17"/>
  <c r="BM26" i="17"/>
  <c r="BS23" i="17"/>
  <c r="BO21" i="17"/>
  <c r="BK16" i="17"/>
  <c r="BQ13" i="17"/>
  <c r="BM11" i="17"/>
  <c r="BS8" i="17"/>
  <c r="BO6" i="17"/>
  <c r="BP40" i="17"/>
  <c r="BK38" i="17"/>
  <c r="BR35" i="17"/>
  <c r="BN33" i="17"/>
  <c r="BH31" i="17"/>
  <c r="BP28" i="17"/>
  <c r="BK26" i="17"/>
  <c r="BR23" i="17"/>
  <c r="BN21" i="17"/>
  <c r="BH16" i="17"/>
  <c r="BP13" i="17"/>
  <c r="BK11" i="17"/>
  <c r="BR8" i="17"/>
  <c r="BN6" i="17"/>
  <c r="BO40" i="17"/>
  <c r="BI38" i="17"/>
  <c r="BQ35" i="17"/>
  <c r="BM33" i="17"/>
  <c r="BS30" i="17"/>
  <c r="BO28" i="17"/>
  <c r="BI26" i="17"/>
  <c r="BQ23" i="17"/>
  <c r="BM21" i="17"/>
  <c r="BS15" i="17"/>
  <c r="BO13" i="17"/>
  <c r="BI11" i="17"/>
  <c r="BQ8" i="17"/>
  <c r="BM6" i="17"/>
  <c r="BN40" i="17"/>
  <c r="BH38" i="17"/>
  <c r="BP35" i="17"/>
  <c r="BL33" i="17"/>
  <c r="BR30" i="17"/>
  <c r="BN28" i="17"/>
  <c r="BH26" i="17"/>
  <c r="BP23" i="17"/>
  <c r="BL21" i="17"/>
  <c r="BR15" i="17"/>
  <c r="BN13" i="17"/>
  <c r="BH11" i="17"/>
  <c r="BP8" i="17"/>
  <c r="BL6" i="17"/>
  <c r="BM40" i="17"/>
  <c r="BS37" i="17"/>
  <c r="BO35" i="17"/>
  <c r="BK33" i="17"/>
  <c r="BQ30" i="17"/>
  <c r="BM28" i="17"/>
  <c r="BS25" i="17"/>
  <c r="BO23" i="17"/>
  <c r="BK21" i="17"/>
  <c r="BQ15" i="17"/>
  <c r="BM13" i="17"/>
  <c r="BS10" i="17"/>
  <c r="BO8" i="17"/>
  <c r="BK6" i="17"/>
  <c r="BK40" i="17"/>
  <c r="BR37" i="17"/>
  <c r="BN35" i="17"/>
  <c r="BH33" i="17"/>
  <c r="BP30" i="17"/>
  <c r="BK28" i="17"/>
  <c r="BR25" i="17"/>
  <c r="BN23" i="17"/>
  <c r="BH21" i="17"/>
  <c r="BP15" i="17"/>
  <c r="BK13" i="17"/>
  <c r="BR10" i="17"/>
  <c r="BN8" i="17"/>
  <c r="BH6" i="17"/>
  <c r="BI40" i="17"/>
  <c r="BQ37" i="17"/>
  <c r="BM35" i="17"/>
  <c r="BS32" i="17"/>
  <c r="BO30" i="17"/>
  <c r="BI28" i="17"/>
  <c r="BQ25" i="17"/>
  <c r="BM23" i="17"/>
  <c r="BS18" i="17"/>
  <c r="BO15" i="17"/>
  <c r="BI13" i="17"/>
  <c r="BQ10" i="17"/>
  <c r="BM8" i="17"/>
  <c r="BH40" i="17"/>
  <c r="BS39" i="17"/>
  <c r="BO37" i="17"/>
  <c r="BK35" i="17"/>
  <c r="BQ32" i="17"/>
  <c r="BM30" i="17"/>
  <c r="BS27" i="17"/>
  <c r="BO25" i="17"/>
  <c r="BK23" i="17"/>
  <c r="BQ18" i="17"/>
  <c r="BM15" i="17"/>
  <c r="BS12" i="17"/>
  <c r="BO10" i="17"/>
  <c r="BK8" i="17"/>
  <c r="BR39" i="17"/>
  <c r="BN37" i="17"/>
  <c r="BH35" i="17"/>
  <c r="BP32" i="17"/>
  <c r="BK30" i="17"/>
  <c r="BR27" i="17"/>
  <c r="BN25" i="17"/>
  <c r="BH23" i="17"/>
  <c r="BP18" i="17"/>
  <c r="BK15" i="17"/>
  <c r="BR12" i="17"/>
  <c r="BN10" i="17"/>
  <c r="BH8" i="17"/>
  <c r="BQ39" i="17"/>
  <c r="BM37" i="17"/>
  <c r="BS34" i="17"/>
  <c r="BO32" i="17"/>
  <c r="BI30" i="17"/>
  <c r="BQ27" i="17"/>
  <c r="BM25" i="17"/>
  <c r="BS22" i="17"/>
  <c r="BO18" i="17"/>
  <c r="BI15" i="17"/>
  <c r="BQ12" i="17"/>
  <c r="BM10" i="17"/>
  <c r="BS7" i="17"/>
  <c r="BP39" i="17"/>
  <c r="BL37" i="17"/>
  <c r="BR34" i="17"/>
  <c r="BN32" i="17"/>
  <c r="BH30" i="17"/>
  <c r="BP27" i="17"/>
  <c r="BL25" i="17"/>
  <c r="BR22" i="17"/>
  <c r="BN18" i="17"/>
  <c r="BH15" i="17"/>
  <c r="BP12" i="17"/>
  <c r="BL10" i="17"/>
  <c r="BR7" i="17"/>
  <c r="BS41" i="17"/>
  <c r="BO39" i="17"/>
  <c r="BK37" i="17"/>
  <c r="BQ34" i="17"/>
  <c r="BM32" i="17"/>
  <c r="BS29" i="17"/>
  <c r="BO27" i="17"/>
  <c r="BK25" i="17"/>
  <c r="BQ22" i="17"/>
  <c r="BM18" i="17"/>
  <c r="BS14" i="17"/>
  <c r="BO12" i="17"/>
  <c r="BK10" i="17"/>
  <c r="BQ7" i="17"/>
  <c r="BQ41" i="17"/>
  <c r="BM39" i="17"/>
  <c r="BS36" i="17"/>
  <c r="BO34" i="17"/>
  <c r="BI32" i="17"/>
  <c r="BQ29" i="17"/>
  <c r="BM27" i="17"/>
  <c r="BS24" i="17"/>
  <c r="BO22" i="17"/>
  <c r="BI18" i="17"/>
  <c r="BQ14" i="17"/>
  <c r="BM12" i="17"/>
  <c r="BS9" i="17"/>
  <c r="BO7" i="17"/>
  <c r="BP25" i="17"/>
  <c r="BC41" i="17"/>
  <c r="BC39" i="17"/>
  <c r="BC37" i="17"/>
  <c r="BC35" i="17"/>
  <c r="BC33" i="17"/>
  <c r="BC31" i="17"/>
  <c r="BC29" i="17"/>
  <c r="BC27" i="17"/>
  <c r="BC25" i="17"/>
  <c r="BC23" i="17"/>
  <c r="BC21" i="17"/>
  <c r="BC16" i="17"/>
  <c r="BC14" i="17"/>
  <c r="BC12" i="17"/>
  <c r="BC10" i="17"/>
  <c r="BC8" i="17"/>
  <c r="BC6" i="17"/>
  <c r="BH25" i="17"/>
  <c r="BB41" i="17"/>
  <c r="BB39" i="17"/>
  <c r="BB37" i="17"/>
  <c r="BB35" i="17"/>
  <c r="BB33" i="17"/>
  <c r="BB31" i="17"/>
  <c r="BB29" i="17"/>
  <c r="BB27" i="17"/>
  <c r="BB25" i="17"/>
  <c r="BB23" i="17"/>
  <c r="BB21" i="17"/>
  <c r="BB16" i="17"/>
  <c r="BB14" i="17"/>
  <c r="BB12" i="17"/>
  <c r="BB10" i="17"/>
  <c r="BB8" i="17"/>
  <c r="BB6" i="17"/>
  <c r="BR24" i="17"/>
  <c r="BL23" i="17"/>
  <c r="BP22" i="17"/>
  <c r="BR41" i="17"/>
  <c r="BN22" i="17"/>
  <c r="BP41" i="17"/>
  <c r="BR18" i="17"/>
  <c r="BN39" i="17"/>
  <c r="BK18" i="17"/>
  <c r="BL39" i="17"/>
  <c r="BH18" i="17"/>
  <c r="BP37" i="17"/>
  <c r="BN15" i="17"/>
  <c r="BH37" i="17"/>
  <c r="BR14" i="17"/>
  <c r="BE40" i="17"/>
  <c r="BE38" i="17"/>
  <c r="BE36" i="17"/>
  <c r="BE34" i="17"/>
  <c r="BE32" i="17"/>
  <c r="BE30" i="17"/>
  <c r="BE28" i="17"/>
  <c r="BE26" i="17"/>
  <c r="BE24" i="17"/>
  <c r="BE22" i="17"/>
  <c r="BE18" i="17"/>
  <c r="BE15" i="17"/>
  <c r="BE13" i="17"/>
  <c r="BE11" i="17"/>
  <c r="BE9" i="17"/>
  <c r="BE7" i="17"/>
  <c r="AH6" i="17"/>
  <c r="BR36" i="17"/>
  <c r="BP14" i="17"/>
  <c r="BL35" i="17"/>
  <c r="BH13" i="17"/>
  <c r="BP34" i="17"/>
  <c r="BN12" i="17"/>
  <c r="BN34" i="17"/>
  <c r="BL12" i="17"/>
  <c r="BR32" i="17"/>
  <c r="BP10" i="17"/>
  <c r="BK32" i="17"/>
  <c r="BH10" i="17"/>
  <c r="BH32" i="17"/>
  <c r="BR9" i="17"/>
  <c r="BN30" i="17"/>
  <c r="BL8" i="17"/>
  <c r="BR29" i="17"/>
  <c r="BP7" i="17"/>
  <c r="BP29" i="17"/>
  <c r="BN7" i="17"/>
  <c r="BL27" i="17"/>
  <c r="BD40" i="17"/>
  <c r="BA38" i="17"/>
  <c r="AX36" i="17"/>
  <c r="AU34" i="17"/>
  <c r="BD31" i="17"/>
  <c r="AY29" i="17"/>
  <c r="AV27" i="17"/>
  <c r="BD24" i="17"/>
  <c r="BA22" i="17"/>
  <c r="AX18" i="17"/>
  <c r="AU15" i="17"/>
  <c r="BD12" i="17"/>
  <c r="AY10" i="17"/>
  <c r="AV8" i="17"/>
  <c r="BC40" i="17"/>
  <c r="AZ38" i="17"/>
  <c r="AW36" i="17"/>
  <c r="AT34" i="17"/>
  <c r="BA31" i="17"/>
  <c r="AX29" i="17"/>
  <c r="AU27" i="17"/>
  <c r="BC24" i="17"/>
  <c r="AZ22" i="17"/>
  <c r="AW18" i="17"/>
  <c r="AT15" i="17"/>
  <c r="BA12" i="17"/>
  <c r="AX10" i="17"/>
  <c r="AU8" i="17"/>
  <c r="BB40" i="17"/>
  <c r="AY38" i="17"/>
  <c r="AV36" i="17"/>
  <c r="BE33" i="17"/>
  <c r="AZ31" i="17"/>
  <c r="AW29" i="17"/>
  <c r="AT27" i="17"/>
  <c r="BB24" i="17"/>
  <c r="AY22" i="17"/>
  <c r="AV18" i="17"/>
  <c r="BE14" i="17"/>
  <c r="AZ12" i="17"/>
  <c r="AW10" i="17"/>
  <c r="AT8" i="17"/>
  <c r="BH28" i="17"/>
  <c r="BA40" i="17"/>
  <c r="AX38" i="17"/>
  <c r="AU36" i="17"/>
  <c r="BD33" i="17"/>
  <c r="AY31" i="17"/>
  <c r="AV29" i="17"/>
  <c r="BD26" i="17"/>
  <c r="BA24" i="17"/>
  <c r="AX22" i="17"/>
  <c r="AU18" i="17"/>
  <c r="BD14" i="17"/>
  <c r="AY12" i="17"/>
  <c r="AV10" i="17"/>
  <c r="BD7" i="17"/>
  <c r="BN27" i="17"/>
  <c r="AZ40" i="17"/>
  <c r="AW38" i="17"/>
  <c r="AT36" i="17"/>
  <c r="BA33" i="17"/>
  <c r="AX31" i="17"/>
  <c r="AU29" i="17"/>
  <c r="BC26" i="17"/>
  <c r="AZ24" i="17"/>
  <c r="AW22" i="17"/>
  <c r="AT18" i="17"/>
  <c r="BA14" i="17"/>
  <c r="AX12" i="17"/>
  <c r="AU10" i="17"/>
  <c r="BC7" i="17"/>
  <c r="AY40" i="17"/>
  <c r="AV38" i="17"/>
  <c r="BE35" i="17"/>
  <c r="AZ33" i="17"/>
  <c r="AW31" i="17"/>
  <c r="AT29" i="17"/>
  <c r="BB26" i="17"/>
  <c r="AY24" i="17"/>
  <c r="AV22" i="17"/>
  <c r="BE16" i="17"/>
  <c r="AZ14" i="17"/>
  <c r="AW12" i="17"/>
  <c r="AT10" i="17"/>
  <c r="BB7" i="17"/>
  <c r="AX40" i="17"/>
  <c r="AU38" i="17"/>
  <c r="BD35" i="17"/>
  <c r="AY33" i="17"/>
  <c r="AV31" i="17"/>
  <c r="BD28" i="17"/>
  <c r="BA26" i="17"/>
  <c r="AX24" i="17"/>
  <c r="AU22" i="17"/>
  <c r="BD16" i="17"/>
  <c r="AY14" i="17"/>
  <c r="AV12" i="17"/>
  <c r="BD9" i="17"/>
  <c r="BA7" i="17"/>
  <c r="AW40" i="17"/>
  <c r="AT38" i="17"/>
  <c r="BA35" i="17"/>
  <c r="AX33" i="17"/>
  <c r="AU31" i="17"/>
  <c r="BC28" i="17"/>
  <c r="AZ26" i="17"/>
  <c r="AW24" i="17"/>
  <c r="AT22" i="17"/>
  <c r="BA16" i="17"/>
  <c r="AX14" i="17"/>
  <c r="AU12" i="17"/>
  <c r="BC9" i="17"/>
  <c r="AZ7" i="17"/>
  <c r="AV40" i="17"/>
  <c r="BE37" i="17"/>
  <c r="AZ35" i="17"/>
  <c r="AW33" i="17"/>
  <c r="AT31" i="17"/>
  <c r="BB28" i="17"/>
  <c r="AY26" i="17"/>
  <c r="AV24" i="17"/>
  <c r="BE21" i="17"/>
  <c r="AZ16" i="17"/>
  <c r="AW14" i="17"/>
  <c r="AT12" i="17"/>
  <c r="BB9" i="17"/>
  <c r="AY7" i="17"/>
  <c r="AU40" i="17"/>
  <c r="BD37" i="17"/>
  <c r="AY35" i="17"/>
  <c r="AV33" i="17"/>
  <c r="BD30" i="17"/>
  <c r="BA28" i="17"/>
  <c r="AX26" i="17"/>
  <c r="AU24" i="17"/>
  <c r="BD21" i="17"/>
  <c r="AY16" i="17"/>
  <c r="AV14" i="17"/>
  <c r="BD11" i="17"/>
  <c r="BA9" i="17"/>
  <c r="AX7" i="17"/>
  <c r="AT40" i="17"/>
  <c r="BA37" i="17"/>
  <c r="AX35" i="17"/>
  <c r="AU33" i="17"/>
  <c r="BC30" i="17"/>
  <c r="AZ28" i="17"/>
  <c r="AW26" i="17"/>
  <c r="AT24" i="17"/>
  <c r="BA21" i="17"/>
  <c r="AX16" i="17"/>
  <c r="AU14" i="17"/>
  <c r="BC11" i="17"/>
  <c r="AZ9" i="17"/>
  <c r="AW7" i="17"/>
  <c r="BE39" i="17"/>
  <c r="AZ37" i="17"/>
  <c r="AW35" i="17"/>
  <c r="AT33" i="17"/>
  <c r="BB30" i="17"/>
  <c r="AY28" i="17"/>
  <c r="AV26" i="17"/>
  <c r="BE23" i="17"/>
  <c r="AZ21" i="17"/>
  <c r="AW16" i="17"/>
  <c r="AT14" i="17"/>
  <c r="BB11" i="17"/>
  <c r="AY9" i="17"/>
  <c r="AV7" i="17"/>
  <c r="BD39" i="17"/>
  <c r="AY37" i="17"/>
  <c r="AV35" i="17"/>
  <c r="BD32" i="17"/>
  <c r="BA30" i="17"/>
  <c r="AX28" i="17"/>
  <c r="AU26" i="17"/>
  <c r="BD23" i="17"/>
  <c r="AY21" i="17"/>
  <c r="AV16" i="17"/>
  <c r="BD13" i="17"/>
  <c r="BA11" i="17"/>
  <c r="AX9" i="17"/>
  <c r="AU7" i="17"/>
  <c r="BA39" i="17"/>
  <c r="AX37" i="17"/>
  <c r="AU35" i="17"/>
  <c r="BC32" i="17"/>
  <c r="AZ30" i="17"/>
  <c r="AW28" i="17"/>
  <c r="AT26" i="17"/>
  <c r="BA23" i="17"/>
  <c r="AX21" i="17"/>
  <c r="AU16" i="17"/>
  <c r="BC13" i="17"/>
  <c r="AZ11" i="17"/>
  <c r="AW9" i="17"/>
  <c r="AT7" i="17"/>
  <c r="BE41" i="17"/>
  <c r="AZ39" i="17"/>
  <c r="AW37" i="17"/>
  <c r="AT35" i="17"/>
  <c r="BB32" i="17"/>
  <c r="AY30" i="17"/>
  <c r="AV28" i="17"/>
  <c r="BE25" i="17"/>
  <c r="AZ23" i="17"/>
  <c r="AW21" i="17"/>
  <c r="AT16" i="17"/>
  <c r="BB13" i="17"/>
  <c r="AY11" i="17"/>
  <c r="AV9" i="17"/>
  <c r="BE6" i="17"/>
  <c r="BD41" i="17"/>
  <c r="AY39" i="17"/>
  <c r="AV37" i="17"/>
  <c r="BD34" i="17"/>
  <c r="BA32" i="17"/>
  <c r="AX30" i="17"/>
  <c r="AU28" i="17"/>
  <c r="BD25" i="17"/>
  <c r="AY23" i="17"/>
  <c r="AV21" i="17"/>
  <c r="BD15" i="17"/>
  <c r="BA13" i="17"/>
  <c r="AX11" i="17"/>
  <c r="AU9" i="17"/>
  <c r="BD6" i="17"/>
  <c r="AZ41" i="17"/>
  <c r="AW39" i="17"/>
  <c r="AT37" i="17"/>
  <c r="BB34" i="17"/>
  <c r="AY32" i="17"/>
  <c r="AV30" i="17"/>
  <c r="BE27" i="17"/>
  <c r="AZ25" i="17"/>
  <c r="AW23" i="17"/>
  <c r="AT21" i="17"/>
  <c r="BB15" i="17"/>
  <c r="AY13" i="17"/>
  <c r="AV11" i="17"/>
  <c r="BE8" i="17"/>
  <c r="AZ6" i="17"/>
  <c r="AY41" i="17"/>
  <c r="AV39" i="17"/>
  <c r="BD36" i="17"/>
  <c r="BA34" i="17"/>
  <c r="AX32" i="17"/>
  <c r="AU30" i="17"/>
  <c r="BD27" i="17"/>
  <c r="AY25" i="17"/>
  <c r="AV23" i="17"/>
  <c r="BD18" i="17"/>
  <c r="BA15" i="17"/>
  <c r="AX13" i="17"/>
  <c r="AU11" i="17"/>
  <c r="BD8" i="17"/>
  <c r="AY6" i="17"/>
  <c r="AX41" i="17"/>
  <c r="AU39" i="17"/>
  <c r="BC36" i="17"/>
  <c r="AZ34" i="17"/>
  <c r="AW32" i="17"/>
  <c r="AT30" i="17"/>
  <c r="BA27" i="17"/>
  <c r="AX25" i="17"/>
  <c r="AU23" i="17"/>
  <c r="BC18" i="17"/>
  <c r="AZ15" i="17"/>
  <c r="AW13" i="17"/>
  <c r="AT11" i="17"/>
  <c r="BA8" i="17"/>
  <c r="AX6" i="17"/>
  <c r="AW41" i="17"/>
  <c r="AT39" i="17"/>
  <c r="BB36" i="17"/>
  <c r="AY34" i="17"/>
  <c r="AV32" i="17"/>
  <c r="BE29" i="17"/>
  <c r="AZ27" i="17"/>
  <c r="AW25" i="17"/>
  <c r="AT23" i="17"/>
  <c r="BB18" i="17"/>
  <c r="AY15" i="17"/>
  <c r="AV13" i="17"/>
  <c r="BE10" i="17"/>
  <c r="AZ8" i="17"/>
  <c r="AW6" i="17"/>
  <c r="AT41" i="17"/>
  <c r="BB38" i="17"/>
  <c r="AY36" i="17"/>
  <c r="AV34" i="17"/>
  <c r="BE31" i="17"/>
  <c r="AZ29" i="17"/>
  <c r="AW27" i="17"/>
  <c r="AT25" i="17"/>
  <c r="BB22" i="17"/>
  <c r="AY18" i="17"/>
  <c r="AV15" i="17"/>
  <c r="BE12" i="17"/>
  <c r="AZ10" i="17"/>
  <c r="AW8" i="17"/>
  <c r="AT6" i="17"/>
  <c r="AU32" i="17"/>
  <c r="BD10" i="17"/>
  <c r="AC23" i="17"/>
  <c r="AB32" i="17"/>
  <c r="AA41" i="17"/>
  <c r="AA14" i="17"/>
  <c r="Z26" i="17"/>
  <c r="Y35" i="17"/>
  <c r="Y8" i="17"/>
  <c r="X18" i="17"/>
  <c r="W29" i="17"/>
  <c r="V38" i="17"/>
  <c r="V11" i="17"/>
  <c r="U23" i="17"/>
  <c r="T32" i="17"/>
  <c r="S41" i="17"/>
  <c r="S13" i="17"/>
  <c r="R24" i="17"/>
  <c r="AT32" i="17"/>
  <c r="BA10" i="17"/>
  <c r="AC22" i="17"/>
  <c r="AB31" i="17"/>
  <c r="AA40" i="17"/>
  <c r="AA13" i="17"/>
  <c r="Z25" i="17"/>
  <c r="Y34" i="17"/>
  <c r="Y7" i="17"/>
  <c r="X16" i="17"/>
  <c r="W28" i="17"/>
  <c r="V37" i="17"/>
  <c r="V10" i="17"/>
  <c r="U22" i="17"/>
  <c r="T31" i="17"/>
  <c r="S40" i="17"/>
  <c r="S12" i="17"/>
  <c r="R23" i="17"/>
  <c r="AW30" i="17"/>
  <c r="AT9" i="17"/>
  <c r="BD29" i="17"/>
  <c r="AY8" i="17"/>
  <c r="BA29" i="17"/>
  <c r="AX8" i="17"/>
  <c r="AT28" i="17"/>
  <c r="BA6" i="17"/>
  <c r="AY27" i="17"/>
  <c r="AV6" i="17"/>
  <c r="AX27" i="17"/>
  <c r="AU6" i="17"/>
  <c r="BA25" i="17"/>
  <c r="AV25" i="17"/>
  <c r="AU25" i="17"/>
  <c r="AC37" i="17"/>
  <c r="AC10" i="17"/>
  <c r="AB22" i="17"/>
  <c r="AA31" i="17"/>
  <c r="Z40" i="17"/>
  <c r="Z13" i="17"/>
  <c r="Y25" i="17"/>
  <c r="X34" i="17"/>
  <c r="X7" i="17"/>
  <c r="W16" i="17"/>
  <c r="V28" i="17"/>
  <c r="U37" i="17"/>
  <c r="U10" i="17"/>
  <c r="BA41" i="17"/>
  <c r="AX23" i="17"/>
  <c r="AV41" i="17"/>
  <c r="BD22" i="17"/>
  <c r="AU41" i="17"/>
  <c r="BC22" i="17"/>
  <c r="AX39" i="17"/>
  <c r="AU21" i="17"/>
  <c r="BD38" i="17"/>
  <c r="BA18" i="17"/>
  <c r="BC38" i="17"/>
  <c r="AZ18" i="17"/>
  <c r="AU37" i="17"/>
  <c r="BC15" i="17"/>
  <c r="BA36" i="17"/>
  <c r="AX15" i="17"/>
  <c r="AZ36" i="17"/>
  <c r="AW15" i="17"/>
  <c r="BC34" i="17"/>
  <c r="AZ13" i="17"/>
  <c r="AZ32" i="17"/>
  <c r="AW11" i="17"/>
  <c r="R31" i="17"/>
  <c r="S25" i="17"/>
  <c r="T16" i="17"/>
  <c r="U9" i="17"/>
  <c r="U40" i="17"/>
  <c r="V34" i="17"/>
  <c r="W30" i="17"/>
  <c r="X24" i="17"/>
  <c r="Y15" i="17"/>
  <c r="Z9" i="17"/>
  <c r="Z39" i="17"/>
  <c r="AA34" i="17"/>
  <c r="AB28" i="17"/>
  <c r="AC24" i="17"/>
  <c r="Z82" i="17"/>
  <c r="AC84" i="17"/>
  <c r="T87" i="17"/>
  <c r="W89" i="17"/>
  <c r="AC91" i="17"/>
  <c r="W97" i="17"/>
  <c r="AA99" i="17"/>
  <c r="S102" i="17"/>
  <c r="W104" i="17"/>
  <c r="AC106" i="17"/>
  <c r="W109" i="17"/>
  <c r="AB111" i="17"/>
  <c r="V114" i="17"/>
  <c r="AC116" i="17"/>
  <c r="Y121" i="17"/>
  <c r="S124" i="17"/>
  <c r="R127" i="17"/>
  <c r="AB129" i="17"/>
  <c r="AC135" i="17"/>
  <c r="R139" i="17"/>
  <c r="Z142" i="17"/>
  <c r="AB146" i="17"/>
  <c r="AA151" i="17"/>
  <c r="W162" i="17"/>
  <c r="Y179" i="17"/>
  <c r="Y205" i="17"/>
  <c r="Y234" i="17"/>
  <c r="R262" i="17"/>
  <c r="W295" i="17"/>
  <c r="AA329" i="17"/>
  <c r="AC57" i="17"/>
  <c r="AC55" i="17"/>
  <c r="AC79" i="17"/>
  <c r="AC78" i="17"/>
  <c r="AB57" i="17"/>
  <c r="AA57" i="17"/>
  <c r="Z57" i="17"/>
  <c r="Y57" i="17"/>
  <c r="X57" i="17"/>
  <c r="W57" i="17"/>
  <c r="V57" i="17"/>
  <c r="U57" i="17"/>
  <c r="T57" i="17"/>
  <c r="S57" i="17"/>
  <c r="R57" i="17"/>
  <c r="Y78" i="17"/>
  <c r="S77" i="17"/>
  <c r="X78" i="17"/>
  <c r="R77" i="17"/>
  <c r="W78" i="17"/>
  <c r="V78" i="17"/>
  <c r="U78" i="17"/>
  <c r="T78" i="17"/>
  <c r="AB79" i="17"/>
  <c r="S78" i="17"/>
  <c r="AC75" i="17"/>
  <c r="AC74" i="17"/>
  <c r="AC73" i="17"/>
  <c r="AC72" i="17"/>
  <c r="AC71" i="17"/>
  <c r="AC70" i="17"/>
  <c r="AC69" i="17"/>
  <c r="AC68" i="17"/>
  <c r="AC67" i="17"/>
  <c r="AC66" i="17"/>
  <c r="AC65" i="17"/>
  <c r="AC64" i="17"/>
  <c r="AC63" i="17"/>
  <c r="AC62" i="17"/>
  <c r="AC61" i="17"/>
  <c r="AC60" i="17"/>
  <c r="AC59" i="17"/>
  <c r="AC58" i="17"/>
  <c r="AA79" i="17"/>
  <c r="R78" i="17"/>
  <c r="AB75" i="17"/>
  <c r="AB74" i="17"/>
  <c r="AB73" i="17"/>
  <c r="AB72" i="17"/>
  <c r="AB71" i="17"/>
  <c r="AB70" i="17"/>
  <c r="AB69" i="17"/>
  <c r="AB68" i="17"/>
  <c r="AB67" i="17"/>
  <c r="Z79" i="17"/>
  <c r="AC76" i="17"/>
  <c r="AA75" i="17"/>
  <c r="AA74" i="17"/>
  <c r="AA73" i="17"/>
  <c r="AA72" i="17"/>
  <c r="AA71" i="17"/>
  <c r="AA70" i="17"/>
  <c r="AA69" i="17"/>
  <c r="AA68" i="17"/>
  <c r="AA67" i="17"/>
  <c r="AA66" i="17"/>
  <c r="Y79" i="17"/>
  <c r="AB76" i="17"/>
  <c r="Z75" i="17"/>
  <c r="Z74" i="17"/>
  <c r="Z73" i="17"/>
  <c r="Z72" i="17"/>
  <c r="Z71" i="17"/>
  <c r="Z70" i="17"/>
  <c r="Z69" i="17"/>
  <c r="Z68" i="17"/>
  <c r="Z67" i="17"/>
  <c r="Z66" i="17"/>
  <c r="AB55" i="17"/>
  <c r="X79" i="17"/>
  <c r="AA76" i="17"/>
  <c r="Y75" i="17"/>
  <c r="Y74" i="17"/>
  <c r="Y73" i="17"/>
  <c r="Y72" i="17"/>
  <c r="Y71" i="17"/>
  <c r="Y70" i="17"/>
  <c r="Y69" i="17"/>
  <c r="Y68" i="17"/>
  <c r="Y67" i="17"/>
  <c r="Y66" i="17"/>
  <c r="Y65" i="17"/>
  <c r="Y64" i="17"/>
  <c r="Y63" i="17"/>
  <c r="Y62" i="17"/>
  <c r="Y61" i="17"/>
  <c r="Y60" i="17"/>
  <c r="Y59" i="17"/>
  <c r="AA55" i="17"/>
  <c r="W79" i="17"/>
  <c r="Z76" i="17"/>
  <c r="X75" i="17"/>
  <c r="X74" i="17"/>
  <c r="X73" i="17"/>
  <c r="X72" i="17"/>
  <c r="X71" i="17"/>
  <c r="X70" i="17"/>
  <c r="X69" i="17"/>
  <c r="X68" i="17"/>
  <c r="X67" i="17"/>
  <c r="X66" i="17"/>
  <c r="X65" i="17"/>
  <c r="X64" i="17"/>
  <c r="X63" i="17"/>
  <c r="X62" i="17"/>
  <c r="Z55" i="17"/>
  <c r="V79" i="17"/>
  <c r="Y76" i="17"/>
  <c r="W75" i="17"/>
  <c r="W74" i="17"/>
  <c r="W73" i="17"/>
  <c r="W72" i="17"/>
  <c r="W71" i="17"/>
  <c r="W70" i="17"/>
  <c r="W69" i="17"/>
  <c r="W68" i="17"/>
  <c r="W67" i="17"/>
  <c r="W66" i="17"/>
  <c r="W65" i="17"/>
  <c r="W64" i="17"/>
  <c r="W63" i="17"/>
  <c r="W62" i="17"/>
  <c r="W61" i="17"/>
  <c r="W60" i="17"/>
  <c r="W59" i="17"/>
  <c r="W58" i="17"/>
  <c r="W56" i="17"/>
  <c r="Y55" i="17"/>
  <c r="U79" i="17"/>
  <c r="X76" i="17"/>
  <c r="V75" i="17"/>
  <c r="V74" i="17"/>
  <c r="V73" i="17"/>
  <c r="V72" i="17"/>
  <c r="V71" i="17"/>
  <c r="V70" i="17"/>
  <c r="V69" i="17"/>
  <c r="V68" i="17"/>
  <c r="V67" i="17"/>
  <c r="V66" i="17"/>
  <c r="V65" i="17"/>
  <c r="V64" i="17"/>
  <c r="V63" i="17"/>
  <c r="V62" i="17"/>
  <c r="V61" i="17"/>
  <c r="X55" i="17"/>
  <c r="T79" i="17"/>
  <c r="AC77" i="17"/>
  <c r="W76" i="17"/>
  <c r="U75" i="17"/>
  <c r="U74" i="17"/>
  <c r="U73" i="17"/>
  <c r="U72" i="17"/>
  <c r="U71" i="17"/>
  <c r="U70" i="17"/>
  <c r="U69" i="17"/>
  <c r="U68" i="17"/>
  <c r="U67" i="17"/>
  <c r="U66" i="17"/>
  <c r="U65" i="17"/>
  <c r="U64" i="17"/>
  <c r="U63" i="17"/>
  <c r="U62" i="17"/>
  <c r="U61" i="17"/>
  <c r="W55" i="17"/>
  <c r="S79" i="17"/>
  <c r="AB77" i="17"/>
  <c r="V76" i="17"/>
  <c r="T75" i="17"/>
  <c r="T74" i="17"/>
  <c r="T73" i="17"/>
  <c r="T72" i="17"/>
  <c r="T71" i="17"/>
  <c r="T70" i="17"/>
  <c r="T69" i="17"/>
  <c r="T68" i="17"/>
  <c r="T67" i="17"/>
  <c r="T66" i="17"/>
  <c r="T65" i="17"/>
  <c r="T64" i="17"/>
  <c r="T63" i="17"/>
  <c r="T62" i="17"/>
  <c r="V55" i="17"/>
  <c r="R79" i="17"/>
  <c r="AA77" i="17"/>
  <c r="U76" i="17"/>
  <c r="S75" i="17"/>
  <c r="S74" i="17"/>
  <c r="S73" i="17"/>
  <c r="S72" i="17"/>
  <c r="S71" i="17"/>
  <c r="S70" i="17"/>
  <c r="S69" i="17"/>
  <c r="S68" i="17"/>
  <c r="S67" i="17"/>
  <c r="S66" i="17"/>
  <c r="S65" i="17"/>
  <c r="S64" i="17"/>
  <c r="U55" i="17"/>
  <c r="Z77" i="17"/>
  <c r="T76" i="17"/>
  <c r="R75" i="17"/>
  <c r="R74" i="17"/>
  <c r="R73" i="17"/>
  <c r="R72" i="17"/>
  <c r="R71" i="17"/>
  <c r="R70" i="17"/>
  <c r="R69" i="17"/>
  <c r="R68" i="17"/>
  <c r="R67" i="17"/>
  <c r="R66" i="17"/>
  <c r="T55" i="17"/>
  <c r="Y77" i="17"/>
  <c r="S76" i="17"/>
  <c r="S55" i="17"/>
  <c r="X77" i="17"/>
  <c r="R76" i="17"/>
  <c r="R55" i="17"/>
  <c r="W77" i="17"/>
  <c r="AB78" i="17"/>
  <c r="V77" i="17"/>
  <c r="Z78" i="17"/>
  <c r="T77" i="17"/>
  <c r="X61" i="17"/>
  <c r="S60" i="17"/>
  <c r="S59" i="17"/>
  <c r="U58" i="17"/>
  <c r="S54" i="17"/>
  <c r="AA49" i="17"/>
  <c r="X48" i="17"/>
  <c r="U47" i="17"/>
  <c r="R46" i="17"/>
  <c r="R45" i="17"/>
  <c r="R44" i="17"/>
  <c r="T61" i="17"/>
  <c r="R60" i="17"/>
  <c r="R59" i="17"/>
  <c r="T58" i="17"/>
  <c r="AC56" i="17"/>
  <c r="R54" i="17"/>
  <c r="AC50" i="17"/>
  <c r="Z49" i="17"/>
  <c r="W48" i="17"/>
  <c r="T47" i="17"/>
  <c r="S61" i="17"/>
  <c r="S58" i="17"/>
  <c r="AB56" i="17"/>
  <c r="AB50" i="17"/>
  <c r="Y49" i="17"/>
  <c r="V48" i="17"/>
  <c r="S47" i="17"/>
  <c r="R61" i="17"/>
  <c r="R58" i="17"/>
  <c r="AA56" i="17"/>
  <c r="AA50" i="17"/>
  <c r="X49" i="17"/>
  <c r="U48" i="17"/>
  <c r="R47" i="17"/>
  <c r="AB65" i="17"/>
  <c r="Z56" i="17"/>
  <c r="AC51" i="17"/>
  <c r="Z50" i="17"/>
  <c r="W49" i="17"/>
  <c r="T48" i="17"/>
  <c r="AA65" i="17"/>
  <c r="Y56" i="17"/>
  <c r="AB51" i="17"/>
  <c r="Y50" i="17"/>
  <c r="V49" i="17"/>
  <c r="S48" i="17"/>
  <c r="Z65" i="17"/>
  <c r="X56" i="17"/>
  <c r="AA51" i="17"/>
  <c r="X50" i="17"/>
  <c r="U49" i="17"/>
  <c r="R48" i="17"/>
  <c r="R65" i="17"/>
  <c r="AB62" i="17"/>
  <c r="V56" i="17"/>
  <c r="AC52" i="17"/>
  <c r="Z51" i="17"/>
  <c r="W50" i="17"/>
  <c r="T49" i="17"/>
  <c r="AB64" i="17"/>
  <c r="AA62" i="17"/>
  <c r="U56" i="17"/>
  <c r="AB52" i="17"/>
  <c r="Y51" i="17"/>
  <c r="V50" i="17"/>
  <c r="S49" i="17"/>
  <c r="AB66" i="17"/>
  <c r="AA64" i="17"/>
  <c r="Z62" i="17"/>
  <c r="T56" i="17"/>
  <c r="AA52" i="17"/>
  <c r="X51" i="17"/>
  <c r="U50" i="17"/>
  <c r="R49" i="17"/>
  <c r="Z64" i="17"/>
  <c r="S62" i="17"/>
  <c r="S56" i="17"/>
  <c r="AC53" i="17"/>
  <c r="Z52" i="17"/>
  <c r="W51" i="17"/>
  <c r="T50" i="17"/>
  <c r="R64" i="17"/>
  <c r="R62" i="17"/>
  <c r="R56" i="17"/>
  <c r="AB53" i="17"/>
  <c r="Y52" i="17"/>
  <c r="V51" i="17"/>
  <c r="S50" i="17"/>
  <c r="AA53" i="17"/>
  <c r="X52" i="17"/>
  <c r="U51" i="17"/>
  <c r="R50" i="17"/>
  <c r="Z53" i="17"/>
  <c r="W52" i="17"/>
  <c r="T51" i="17"/>
  <c r="AC46" i="17"/>
  <c r="AC45" i="17"/>
  <c r="AC44" i="17"/>
  <c r="AC54" i="17"/>
  <c r="Y53" i="17"/>
  <c r="V52" i="17"/>
  <c r="S51" i="17"/>
  <c r="AB46" i="17"/>
  <c r="AB45" i="17"/>
  <c r="AB44" i="17"/>
  <c r="AB54" i="17"/>
  <c r="X53" i="17"/>
  <c r="U52" i="17"/>
  <c r="R51" i="17"/>
  <c r="AA46" i="17"/>
  <c r="AA45" i="17"/>
  <c r="AA44" i="17"/>
  <c r="AA54" i="17"/>
  <c r="W53" i="17"/>
  <c r="T52" i="17"/>
  <c r="AC47" i="17"/>
  <c r="Z46" i="17"/>
  <c r="Z45" i="17"/>
  <c r="Z44" i="17"/>
  <c r="AB60" i="17"/>
  <c r="AB59" i="17"/>
  <c r="Z54" i="17"/>
  <c r="V53" i="17"/>
  <c r="S52" i="17"/>
  <c r="AB47" i="17"/>
  <c r="Y46" i="17"/>
  <c r="Y45" i="17"/>
  <c r="Y44" i="17"/>
  <c r="AA78" i="17"/>
  <c r="AA60" i="17"/>
  <c r="AA59" i="17"/>
  <c r="AB58" i="17"/>
  <c r="Y54" i="17"/>
  <c r="U53" i="17"/>
  <c r="R52" i="17"/>
  <c r="AA47" i="17"/>
  <c r="X46" i="17"/>
  <c r="X45" i="17"/>
  <c r="X44" i="17"/>
  <c r="AB63" i="17"/>
  <c r="Z60" i="17"/>
  <c r="Z59" i="17"/>
  <c r="AA58" i="17"/>
  <c r="X54" i="17"/>
  <c r="T53" i="17"/>
  <c r="AC48" i="17"/>
  <c r="Z47" i="17"/>
  <c r="W46" i="17"/>
  <c r="W45" i="17"/>
  <c r="W44" i="17"/>
  <c r="AA63" i="17"/>
  <c r="X60" i="17"/>
  <c r="X59" i="17"/>
  <c r="Z58" i="17"/>
  <c r="W54" i="17"/>
  <c r="S53" i="17"/>
  <c r="AB48" i="17"/>
  <c r="Y47" i="17"/>
  <c r="V46" i="17"/>
  <c r="V45" i="17"/>
  <c r="V44" i="17"/>
  <c r="U77" i="17"/>
  <c r="Z63" i="17"/>
  <c r="AB61" i="17"/>
  <c r="V60" i="17"/>
  <c r="V59" i="17"/>
  <c r="Y58" i="17"/>
  <c r="V54" i="17"/>
  <c r="R53" i="17"/>
  <c r="AA48" i="17"/>
  <c r="X47" i="17"/>
  <c r="U46" i="17"/>
  <c r="U45" i="17"/>
  <c r="U44" i="17"/>
  <c r="R63" i="17"/>
  <c r="Z61" i="17"/>
  <c r="T60" i="17"/>
  <c r="T59" i="17"/>
  <c r="V58" i="17"/>
  <c r="T54" i="17"/>
  <c r="AB49" i="17"/>
  <c r="Y48" i="17"/>
  <c r="V47" i="17"/>
  <c r="S46" i="17"/>
  <c r="S45" i="17"/>
  <c r="S44" i="17"/>
  <c r="T44" i="17"/>
  <c r="S63" i="17"/>
  <c r="AA61" i="17"/>
  <c r="AC49" i="17"/>
  <c r="U60" i="17"/>
  <c r="U59" i="17"/>
  <c r="Z48" i="17"/>
  <c r="X58" i="17"/>
  <c r="W47" i="17"/>
  <c r="T46" i="17"/>
  <c r="U54" i="17"/>
  <c r="T45" i="17"/>
  <c r="R32" i="17"/>
  <c r="S26" i="17"/>
  <c r="T18" i="17"/>
  <c r="U11" i="17"/>
  <c r="U41" i="17"/>
  <c r="V35" i="17"/>
  <c r="W31" i="17"/>
  <c r="X25" i="17"/>
  <c r="Y16" i="17"/>
  <c r="Z10" i="17"/>
  <c r="Z41" i="17"/>
  <c r="AA35" i="17"/>
  <c r="AB29" i="17"/>
  <c r="AC25" i="17"/>
  <c r="AA82" i="17"/>
  <c r="R85" i="17"/>
  <c r="U87" i="17"/>
  <c r="Z89" i="17"/>
  <c r="R92" i="17"/>
  <c r="X97" i="17"/>
  <c r="AB99" i="17"/>
  <c r="T102" i="17"/>
  <c r="Z104" i="17"/>
  <c r="R107" i="17"/>
  <c r="X109" i="17"/>
  <c r="AC111" i="17"/>
  <c r="W114" i="17"/>
  <c r="Z121" i="17"/>
  <c r="U124" i="17"/>
  <c r="S127" i="17"/>
  <c r="AC129" i="17"/>
  <c r="R136" i="17"/>
  <c r="S139" i="17"/>
  <c r="AA142" i="17"/>
  <c r="AC146" i="17"/>
  <c r="AC151" i="17"/>
  <c r="X162" i="17"/>
  <c r="X181" i="17"/>
  <c r="X208" i="17"/>
  <c r="X236" i="17"/>
  <c r="S264" i="17"/>
  <c r="Z297" i="17"/>
  <c r="Z332" i="17"/>
  <c r="W430" i="17"/>
  <c r="CU95" i="17"/>
  <c r="BS95" i="17"/>
  <c r="AQ95" i="17"/>
  <c r="CU93" i="17"/>
  <c r="BS93" i="17"/>
  <c r="AQ93" i="17"/>
  <c r="CT95" i="17"/>
  <c r="BR95" i="17"/>
  <c r="AP95" i="17"/>
  <c r="CT93" i="17"/>
  <c r="BR93" i="17"/>
  <c r="AP93" i="17"/>
  <c r="CS95" i="17"/>
  <c r="BQ95" i="17"/>
  <c r="AO95" i="17"/>
  <c r="CS93" i="17"/>
  <c r="BQ93" i="17"/>
  <c r="AO93" i="17"/>
  <c r="CR95" i="17"/>
  <c r="BP95" i="17"/>
  <c r="AN95" i="17"/>
  <c r="CR93" i="17"/>
  <c r="BP93" i="17"/>
  <c r="AN93" i="17"/>
  <c r="CQ95" i="17"/>
  <c r="BO95" i="17"/>
  <c r="AM95" i="17"/>
  <c r="CQ93" i="17"/>
  <c r="BO93" i="17"/>
  <c r="AM93" i="17"/>
  <c r="CP95" i="17"/>
  <c r="BN95" i="17"/>
  <c r="AL95" i="17"/>
  <c r="CO95" i="17"/>
  <c r="BM95" i="17"/>
  <c r="AK95" i="17"/>
  <c r="CN95" i="17"/>
  <c r="BL95" i="17"/>
  <c r="AJ95" i="17"/>
  <c r="CM95" i="17"/>
  <c r="BK95" i="17"/>
  <c r="AI95" i="17"/>
  <c r="CL95" i="17"/>
  <c r="BJ95" i="17"/>
  <c r="AH95" i="17"/>
  <c r="CK95" i="17"/>
  <c r="BI95" i="17"/>
  <c r="AG95" i="17"/>
  <c r="CJ95" i="17"/>
  <c r="BH95" i="17"/>
  <c r="AF95" i="17"/>
  <c r="CJ93" i="17"/>
  <c r="BH93" i="17"/>
  <c r="AF93" i="17"/>
  <c r="CG95" i="17"/>
  <c r="BE95" i="17"/>
  <c r="AC95" i="17"/>
  <c r="CG93" i="17"/>
  <c r="BE93" i="17"/>
  <c r="AC93" i="17"/>
  <c r="CF95" i="17"/>
  <c r="BD95" i="17"/>
  <c r="AB95" i="17"/>
  <c r="CE95" i="17"/>
  <c r="BC95" i="17"/>
  <c r="AA95" i="17"/>
  <c r="CD95" i="17"/>
  <c r="BB95" i="17"/>
  <c r="Z95" i="17"/>
  <c r="CC95" i="17"/>
  <c r="BA95" i="17"/>
  <c r="Y95" i="17"/>
  <c r="CB95" i="17"/>
  <c r="AZ95" i="17"/>
  <c r="X95" i="17"/>
  <c r="CA95" i="17"/>
  <c r="AY95" i="17"/>
  <c r="W95" i="17"/>
  <c r="BZ95" i="17"/>
  <c r="AX95" i="17"/>
  <c r="V95" i="17"/>
  <c r="BY95" i="17"/>
  <c r="AW95" i="17"/>
  <c r="U95" i="17"/>
  <c r="BX95" i="17"/>
  <c r="AV95" i="17"/>
  <c r="T95" i="17"/>
  <c r="BW95" i="17"/>
  <c r="AU95" i="17"/>
  <c r="S95" i="17"/>
  <c r="BV95" i="17"/>
  <c r="AT95" i="17"/>
  <c r="R95" i="17"/>
  <c r="CC93" i="17"/>
  <c r="AT93" i="17"/>
  <c r="CB93" i="17"/>
  <c r="AL93" i="17"/>
  <c r="CA93" i="17"/>
  <c r="AK93" i="17"/>
  <c r="BZ93" i="17"/>
  <c r="AJ93" i="17"/>
  <c r="BY93" i="17"/>
  <c r="AI93" i="17"/>
  <c r="BX93" i="17"/>
  <c r="AH93" i="17"/>
  <c r="BW93" i="17"/>
  <c r="AG93" i="17"/>
  <c r="BV93" i="17"/>
  <c r="AB93" i="17"/>
  <c r="BN93" i="17"/>
  <c r="AA93" i="17"/>
  <c r="BM93" i="17"/>
  <c r="Z93" i="17"/>
  <c r="BL93" i="17"/>
  <c r="Y93" i="17"/>
  <c r="BK93" i="17"/>
  <c r="X93" i="17"/>
  <c r="BJ93" i="17"/>
  <c r="W93" i="17"/>
  <c r="BI93" i="17"/>
  <c r="V93" i="17"/>
  <c r="BD93" i="17"/>
  <c r="U93" i="17"/>
  <c r="CP93" i="17"/>
  <c r="BC93" i="17"/>
  <c r="T93" i="17"/>
  <c r="CO93" i="17"/>
  <c r="BB93" i="17"/>
  <c r="S93" i="17"/>
  <c r="CN93" i="17"/>
  <c r="BA93" i="17"/>
  <c r="R93" i="17"/>
  <c r="CM93" i="17"/>
  <c r="AZ93" i="17"/>
  <c r="CL93" i="17"/>
  <c r="AY93" i="17"/>
  <c r="CK93" i="17"/>
  <c r="AX93" i="17"/>
  <c r="CF93" i="17"/>
  <c r="AW93" i="17"/>
  <c r="CD93" i="17"/>
  <c r="AU93" i="17"/>
  <c r="BV96" i="17"/>
  <c r="AT96" i="17"/>
  <c r="R96" i="17"/>
  <c r="CU96" i="17"/>
  <c r="BS96" i="17"/>
  <c r="AQ96" i="17"/>
  <c r="CT96" i="17"/>
  <c r="BR96" i="17"/>
  <c r="AP96" i="17"/>
  <c r="CS96" i="17"/>
  <c r="BQ96" i="17"/>
  <c r="AO96" i="17"/>
  <c r="CR96" i="17"/>
  <c r="BP96" i="17"/>
  <c r="AN96" i="17"/>
  <c r="CQ96" i="17"/>
  <c r="BO96" i="17"/>
  <c r="AM96" i="17"/>
  <c r="CP96" i="17"/>
  <c r="BN96" i="17"/>
  <c r="AL96" i="17"/>
  <c r="CE93" i="17"/>
  <c r="AV93" i="17"/>
  <c r="CL96" i="17"/>
  <c r="BJ96" i="17"/>
  <c r="AH96" i="17"/>
  <c r="CJ96" i="17"/>
  <c r="BH96" i="17"/>
  <c r="AF96" i="17"/>
  <c r="CF96" i="17"/>
  <c r="AU96" i="17"/>
  <c r="CE96" i="17"/>
  <c r="AK96" i="17"/>
  <c r="CD96" i="17"/>
  <c r="AJ96" i="17"/>
  <c r="CC96" i="17"/>
  <c r="AI96" i="17"/>
  <c r="CB96" i="17"/>
  <c r="AG96" i="17"/>
  <c r="CA96" i="17"/>
  <c r="AC96" i="17"/>
  <c r="BZ96" i="17"/>
  <c r="AB96" i="17"/>
  <c r="BY96" i="17"/>
  <c r="AA96" i="17"/>
  <c r="BX96" i="17"/>
  <c r="Z96" i="17"/>
  <c r="BW96" i="17"/>
  <c r="Y96" i="17"/>
  <c r="BM96" i="17"/>
  <c r="X96" i="17"/>
  <c r="BL96" i="17"/>
  <c r="W96" i="17"/>
  <c r="BK96" i="17"/>
  <c r="V96" i="17"/>
  <c r="BI96" i="17"/>
  <c r="U96" i="17"/>
  <c r="BE96" i="17"/>
  <c r="T96" i="17"/>
  <c r="BD96" i="17"/>
  <c r="S96" i="17"/>
  <c r="BC96" i="17"/>
  <c r="BB96" i="17"/>
  <c r="BA96" i="17"/>
  <c r="CO96" i="17"/>
  <c r="AZ96" i="17"/>
  <c r="CN96" i="17"/>
  <c r="AY96" i="17"/>
  <c r="CM96" i="17"/>
  <c r="AX96" i="17"/>
  <c r="CG96" i="17"/>
  <c r="AV96" i="17"/>
  <c r="CK96" i="17"/>
  <c r="AW96" i="17"/>
  <c r="AP116" i="17"/>
  <c r="AP114" i="17"/>
  <c r="AP112" i="17"/>
  <c r="AP110" i="17"/>
  <c r="AP108" i="17"/>
  <c r="AP106" i="17"/>
  <c r="AP104" i="17"/>
  <c r="AP102" i="17"/>
  <c r="AP100" i="17"/>
  <c r="AP98" i="17"/>
  <c r="AP94" i="17"/>
  <c r="AP91" i="17"/>
  <c r="AP89" i="17"/>
  <c r="AP87" i="17"/>
  <c r="AP85" i="17"/>
  <c r="AP83" i="17"/>
  <c r="AO116" i="17"/>
  <c r="AO114" i="17"/>
  <c r="AO112" i="17"/>
  <c r="AO110" i="17"/>
  <c r="AO108" i="17"/>
  <c r="AO106" i="17"/>
  <c r="AO104" i="17"/>
  <c r="AO102" i="17"/>
  <c r="AO100" i="17"/>
  <c r="AO98" i="17"/>
  <c r="AO94" i="17"/>
  <c r="AO91" i="17"/>
  <c r="AO89" i="17"/>
  <c r="AO87" i="17"/>
  <c r="AO85" i="17"/>
  <c r="AO83" i="17"/>
  <c r="AN116" i="17"/>
  <c r="AN114" i="17"/>
  <c r="AN112" i="17"/>
  <c r="AN110" i="17"/>
  <c r="AN108" i="17"/>
  <c r="AN106" i="17"/>
  <c r="AN104" i="17"/>
  <c r="AN102" i="17"/>
  <c r="AN100" i="17"/>
  <c r="AN98" i="17"/>
  <c r="AN94" i="17"/>
  <c r="AN91" i="17"/>
  <c r="AN89" i="17"/>
  <c r="AN87" i="17"/>
  <c r="AN85" i="17"/>
  <c r="AN83" i="17"/>
  <c r="AM116" i="17"/>
  <c r="AM114" i="17"/>
  <c r="AM112" i="17"/>
  <c r="AM110" i="17"/>
  <c r="AM108" i="17"/>
  <c r="AM106" i="17"/>
  <c r="AM104" i="17"/>
  <c r="AM102" i="17"/>
  <c r="AM100" i="17"/>
  <c r="AM98" i="17"/>
  <c r="AM94" i="17"/>
  <c r="AM91" i="17"/>
  <c r="AM89" i="17"/>
  <c r="AM87" i="17"/>
  <c r="AM85" i="17"/>
  <c r="AM83" i="17"/>
  <c r="AL116" i="17"/>
  <c r="AL114" i="17"/>
  <c r="AL112" i="17"/>
  <c r="AL110" i="17"/>
  <c r="AL108" i="17"/>
  <c r="AL106" i="17"/>
  <c r="AL104" i="17"/>
  <c r="AL102" i="17"/>
  <c r="AL100" i="17"/>
  <c r="AL98" i="17"/>
  <c r="AL94" i="17"/>
  <c r="AL91" i="17"/>
  <c r="AL89" i="17"/>
  <c r="AL87" i="17"/>
  <c r="AL85" i="17"/>
  <c r="AL83" i="17"/>
  <c r="AK116" i="17"/>
  <c r="AK114" i="17"/>
  <c r="AK112" i="17"/>
  <c r="AK110" i="17"/>
  <c r="AK108" i="17"/>
  <c r="AK106" i="17"/>
  <c r="AK104" i="17"/>
  <c r="AK102" i="17"/>
  <c r="AK100" i="17"/>
  <c r="AK98" i="17"/>
  <c r="AK94" i="17"/>
  <c r="AK91" i="17"/>
  <c r="AK89" i="17"/>
  <c r="AK87" i="17"/>
  <c r="AK85" i="17"/>
  <c r="AK83" i="17"/>
  <c r="AJ116" i="17"/>
  <c r="AJ114" i="17"/>
  <c r="AJ112" i="17"/>
  <c r="AJ110" i="17"/>
  <c r="AJ108" i="17"/>
  <c r="AJ106" i="17"/>
  <c r="AJ104" i="17"/>
  <c r="AJ102" i="17"/>
  <c r="AJ100" i="17"/>
  <c r="AJ98" i="17"/>
  <c r="AJ94" i="17"/>
  <c r="AJ91" i="17"/>
  <c r="AJ89" i="17"/>
  <c r="AJ87" i="17"/>
  <c r="AJ85" i="17"/>
  <c r="AJ83" i="17"/>
  <c r="AI116" i="17"/>
  <c r="AI114" i="17"/>
  <c r="AI112" i="17"/>
  <c r="AI110" i="17"/>
  <c r="AI108" i="17"/>
  <c r="AI106" i="17"/>
  <c r="AI104" i="17"/>
  <c r="AI102" i="17"/>
  <c r="AI100" i="17"/>
  <c r="AI98" i="17"/>
  <c r="AI94" i="17"/>
  <c r="AI91" i="17"/>
  <c r="AI89" i="17"/>
  <c r="AI87" i="17"/>
  <c r="AI85" i="17"/>
  <c r="AI83" i="17"/>
  <c r="AH116" i="17"/>
  <c r="AH114" i="17"/>
  <c r="AH112" i="17"/>
  <c r="AH110" i="17"/>
  <c r="AH108" i="17"/>
  <c r="AH106" i="17"/>
  <c r="AH104" i="17"/>
  <c r="AH102" i="17"/>
  <c r="AH100" i="17"/>
  <c r="AH98" i="17"/>
  <c r="AH94" i="17"/>
  <c r="AH91" i="17"/>
  <c r="AH89" i="17"/>
  <c r="AH87" i="17"/>
  <c r="AH85" i="17"/>
  <c r="AH83" i="17"/>
  <c r="AG116" i="17"/>
  <c r="AG114" i="17"/>
  <c r="AG112" i="17"/>
  <c r="AG110" i="17"/>
  <c r="AG108" i="17"/>
  <c r="AG106" i="17"/>
  <c r="AG104" i="17"/>
  <c r="AG102" i="17"/>
  <c r="AG100" i="17"/>
  <c r="AG98" i="17"/>
  <c r="AG94" i="17"/>
  <c r="AG91" i="17"/>
  <c r="AG89" i="17"/>
  <c r="AG87" i="17"/>
  <c r="AG85" i="17"/>
  <c r="AG83" i="17"/>
  <c r="AF116" i="17"/>
  <c r="AF114" i="17"/>
  <c r="AF112" i="17"/>
  <c r="AF110" i="17"/>
  <c r="AF108" i="17"/>
  <c r="AF106" i="17"/>
  <c r="AF104" i="17"/>
  <c r="AF102" i="17"/>
  <c r="AF100" i="17"/>
  <c r="AF98" i="17"/>
  <c r="AF94" i="17"/>
  <c r="AF91" i="17"/>
  <c r="AF89" i="17"/>
  <c r="AF87" i="17"/>
  <c r="AF85" i="17"/>
  <c r="AF83" i="17"/>
  <c r="AQ117" i="17"/>
  <c r="AQ115" i="17"/>
  <c r="AQ113" i="17"/>
  <c r="AQ111" i="17"/>
  <c r="AQ109" i="17"/>
  <c r="AQ107" i="17"/>
  <c r="AQ105" i="17"/>
  <c r="AQ103" i="17"/>
  <c r="AQ101" i="17"/>
  <c r="AQ99" i="17"/>
  <c r="AQ97" i="17"/>
  <c r="AQ92" i="17"/>
  <c r="AQ90" i="17"/>
  <c r="AQ88" i="17"/>
  <c r="AQ86" i="17"/>
  <c r="AQ84" i="17"/>
  <c r="AQ82" i="17"/>
  <c r="AP117" i="17"/>
  <c r="AP115" i="17"/>
  <c r="AP113" i="17"/>
  <c r="AP111" i="17"/>
  <c r="AP109" i="17"/>
  <c r="AP107" i="17"/>
  <c r="AP105" i="17"/>
  <c r="AP103" i="17"/>
  <c r="AP101" i="17"/>
  <c r="AP99" i="17"/>
  <c r="AP97" i="17"/>
  <c r="AP92" i="17"/>
  <c r="AP90" i="17"/>
  <c r="AP88" i="17"/>
  <c r="AP86" i="17"/>
  <c r="AP84" i="17"/>
  <c r="AP82" i="17"/>
  <c r="AO117" i="17"/>
  <c r="AO115" i="17"/>
  <c r="AO113" i="17"/>
  <c r="AO111" i="17"/>
  <c r="AO109" i="17"/>
  <c r="AO107" i="17"/>
  <c r="AO105" i="17"/>
  <c r="AO103" i="17"/>
  <c r="AO101" i="17"/>
  <c r="AO99" i="17"/>
  <c r="AO97" i="17"/>
  <c r="AO92" i="17"/>
  <c r="AO90" i="17"/>
  <c r="AO88" i="17"/>
  <c r="AO86" i="17"/>
  <c r="AO84" i="17"/>
  <c r="AO82" i="17"/>
  <c r="AN117" i="17"/>
  <c r="AN115" i="17"/>
  <c r="AN113" i="17"/>
  <c r="AN111" i="17"/>
  <c r="AN109" i="17"/>
  <c r="AN107" i="17"/>
  <c r="AN105" i="17"/>
  <c r="AN103" i="17"/>
  <c r="AN101" i="17"/>
  <c r="AN99" i="17"/>
  <c r="AN97" i="17"/>
  <c r="AN92" i="17"/>
  <c r="AN90" i="17"/>
  <c r="AN88" i="17"/>
  <c r="AN86" i="17"/>
  <c r="AN84" i="17"/>
  <c r="AN82" i="17"/>
  <c r="AM117" i="17"/>
  <c r="AM115" i="17"/>
  <c r="AM113" i="17"/>
  <c r="AM111" i="17"/>
  <c r="AM109" i="17"/>
  <c r="AM107" i="17"/>
  <c r="AM105" i="17"/>
  <c r="AM103" i="17"/>
  <c r="AM101" i="17"/>
  <c r="AM99" i="17"/>
  <c r="AM97" i="17"/>
  <c r="AM92" i="17"/>
  <c r="AM90" i="17"/>
  <c r="AM88" i="17"/>
  <c r="AM86" i="17"/>
  <c r="AM84" i="17"/>
  <c r="AM82" i="17"/>
  <c r="AL117" i="17"/>
  <c r="AL115" i="17"/>
  <c r="AL113" i="17"/>
  <c r="AL111" i="17"/>
  <c r="AL109" i="17"/>
  <c r="AL107" i="17"/>
  <c r="AL105" i="17"/>
  <c r="AL103" i="17"/>
  <c r="AL101" i="17"/>
  <c r="AL99" i="17"/>
  <c r="AL97" i="17"/>
  <c r="AL92" i="17"/>
  <c r="AL90" i="17"/>
  <c r="AL88" i="17"/>
  <c r="AL86" i="17"/>
  <c r="AL84" i="17"/>
  <c r="AL82" i="17"/>
  <c r="AK117" i="17"/>
  <c r="AK115" i="17"/>
  <c r="AK113" i="17"/>
  <c r="AK111" i="17"/>
  <c r="AK109" i="17"/>
  <c r="AK107" i="17"/>
  <c r="AK105" i="17"/>
  <c r="AK103" i="17"/>
  <c r="AK101" i="17"/>
  <c r="AK99" i="17"/>
  <c r="AK97" i="17"/>
  <c r="AK92" i="17"/>
  <c r="AK90" i="17"/>
  <c r="AK88" i="17"/>
  <c r="AK86" i="17"/>
  <c r="AK84" i="17"/>
  <c r="AK82" i="17"/>
  <c r="AJ117" i="17"/>
  <c r="AJ115" i="17"/>
  <c r="AJ113" i="17"/>
  <c r="AJ111" i="17"/>
  <c r="AJ109" i="17"/>
  <c r="AJ107" i="17"/>
  <c r="AJ105" i="17"/>
  <c r="AJ103" i="17"/>
  <c r="AJ101" i="17"/>
  <c r="AJ99" i="17"/>
  <c r="AJ97" i="17"/>
  <c r="AJ92" i="17"/>
  <c r="AJ90" i="17"/>
  <c r="AJ88" i="17"/>
  <c r="AJ86" i="17"/>
  <c r="AJ84" i="17"/>
  <c r="AJ82" i="17"/>
  <c r="AG117" i="17"/>
  <c r="AG115" i="17"/>
  <c r="AG113" i="17"/>
  <c r="AG111" i="17"/>
  <c r="AG109" i="17"/>
  <c r="AG107" i="17"/>
  <c r="AG105" i="17"/>
  <c r="AG103" i="17"/>
  <c r="AG101" i="17"/>
  <c r="AG99" i="17"/>
  <c r="AG97" i="17"/>
  <c r="AG92" i="17"/>
  <c r="AG90" i="17"/>
  <c r="AG88" i="17"/>
  <c r="AG86" i="17"/>
  <c r="AG84" i="17"/>
  <c r="AG82" i="17"/>
  <c r="AF117" i="17"/>
  <c r="AF115" i="17"/>
  <c r="AF113" i="17"/>
  <c r="AF111" i="17"/>
  <c r="AF109" i="17"/>
  <c r="AF107" i="17"/>
  <c r="AF105" i="17"/>
  <c r="AF103" i="17"/>
  <c r="AF101" i="17"/>
  <c r="AF99" i="17"/>
  <c r="AF97" i="17"/>
  <c r="AF92" i="17"/>
  <c r="AF90" i="17"/>
  <c r="AF88" i="17"/>
  <c r="AF86" i="17"/>
  <c r="AF84" i="17"/>
  <c r="AF82" i="17"/>
  <c r="AQ116" i="17"/>
  <c r="AQ114" i="17"/>
  <c r="AQ112" i="17"/>
  <c r="AQ110" i="17"/>
  <c r="AQ108" i="17"/>
  <c r="AQ106" i="17"/>
  <c r="AQ104" i="17"/>
  <c r="AQ102" i="17"/>
  <c r="AQ100" i="17"/>
  <c r="AQ98" i="17"/>
  <c r="AQ94" i="17"/>
  <c r="AQ91" i="17"/>
  <c r="AQ89" i="17"/>
  <c r="AQ87" i="17"/>
  <c r="AQ85" i="17"/>
  <c r="AQ83" i="17"/>
  <c r="AI113" i="17"/>
  <c r="AI86" i="17"/>
  <c r="AH113" i="17"/>
  <c r="AH86" i="17"/>
  <c r="AI111" i="17"/>
  <c r="AI84" i="17"/>
  <c r="AH111" i="17"/>
  <c r="AH84" i="17"/>
  <c r="AI109" i="17"/>
  <c r="AI82" i="17"/>
  <c r="AH109" i="17"/>
  <c r="AH82" i="17"/>
  <c r="AI107" i="17"/>
  <c r="AH107" i="17"/>
  <c r="AI105" i="17"/>
  <c r="AH105" i="17"/>
  <c r="AI103" i="17"/>
  <c r="AH103" i="17"/>
  <c r="AI101" i="17"/>
  <c r="AH101" i="17"/>
  <c r="AI99" i="17"/>
  <c r="AH99" i="17"/>
  <c r="AI97" i="17"/>
  <c r="AH97" i="17"/>
  <c r="AI92" i="17"/>
  <c r="AH92" i="17"/>
  <c r="AI117" i="17"/>
  <c r="AI90" i="17"/>
  <c r="AH115" i="17"/>
  <c r="AH88" i="17"/>
  <c r="CN116" i="17"/>
  <c r="CN114" i="17"/>
  <c r="CN112" i="17"/>
  <c r="CN110" i="17"/>
  <c r="CM116" i="17"/>
  <c r="CM114" i="17"/>
  <c r="CM112" i="17"/>
  <c r="AH117" i="17"/>
  <c r="AI115" i="17"/>
  <c r="AH90" i="17"/>
  <c r="AI88" i="17"/>
  <c r="CQ117" i="17"/>
  <c r="CQ115" i="17"/>
  <c r="CQ113" i="17"/>
  <c r="CQ111" i="17"/>
  <c r="CQ109" i="17"/>
  <c r="CQ107" i="17"/>
  <c r="CQ105" i="17"/>
  <c r="CP117" i="17"/>
  <c r="CP115" i="17"/>
  <c r="CP113" i="17"/>
  <c r="CP111" i="17"/>
  <c r="CP109" i="17"/>
  <c r="CP107" i="17"/>
  <c r="CP105" i="17"/>
  <c r="CP103" i="17"/>
  <c r="CP101" i="17"/>
  <c r="CP99" i="17"/>
  <c r="CP97" i="17"/>
  <c r="CP92" i="17"/>
  <c r="CP90" i="17"/>
  <c r="CP88" i="17"/>
  <c r="CP86" i="17"/>
  <c r="CP84" i="17"/>
  <c r="CJ117" i="17"/>
  <c r="CR114" i="17"/>
  <c r="CL112" i="17"/>
  <c r="CU109" i="17"/>
  <c r="CS107" i="17"/>
  <c r="CO105" i="17"/>
  <c r="CN103" i="17"/>
  <c r="CM101" i="17"/>
  <c r="CL99" i="17"/>
  <c r="CK97" i="17"/>
  <c r="CJ92" i="17"/>
  <c r="CU89" i="17"/>
  <c r="CT87" i="17"/>
  <c r="CS85" i="17"/>
  <c r="CR83" i="17"/>
  <c r="CU116" i="17"/>
  <c r="CQ114" i="17"/>
  <c r="CK112" i="17"/>
  <c r="CT109" i="17"/>
  <c r="CR107" i="17"/>
  <c r="CN105" i="17"/>
  <c r="CM103" i="17"/>
  <c r="CL101" i="17"/>
  <c r="CK99" i="17"/>
  <c r="CJ97" i="17"/>
  <c r="CU91" i="17"/>
  <c r="CT89" i="17"/>
  <c r="CS87" i="17"/>
  <c r="CR85" i="17"/>
  <c r="CQ83" i="17"/>
  <c r="CT116" i="17"/>
  <c r="CP114" i="17"/>
  <c r="CJ112" i="17"/>
  <c r="CS109" i="17"/>
  <c r="CO107" i="17"/>
  <c r="CM105" i="17"/>
  <c r="CL103" i="17"/>
  <c r="CK101" i="17"/>
  <c r="CJ99" i="17"/>
  <c r="CU94" i="17"/>
  <c r="CT91" i="17"/>
  <c r="CS89" i="17"/>
  <c r="CR87" i="17"/>
  <c r="CQ85" i="17"/>
  <c r="CP83" i="17"/>
  <c r="CS116" i="17"/>
  <c r="CO114" i="17"/>
  <c r="CU111" i="17"/>
  <c r="CR109" i="17"/>
  <c r="CN107" i="17"/>
  <c r="CL105" i="17"/>
  <c r="CK103" i="17"/>
  <c r="CJ101" i="17"/>
  <c r="CU98" i="17"/>
  <c r="CT94" i="17"/>
  <c r="CS91" i="17"/>
  <c r="CR89" i="17"/>
  <c r="CQ87" i="17"/>
  <c r="CP85" i="17"/>
  <c r="CO83" i="17"/>
  <c r="CR116" i="17"/>
  <c r="CL114" i="17"/>
  <c r="CT111" i="17"/>
  <c r="CO109" i="17"/>
  <c r="CM107" i="17"/>
  <c r="CK105" i="17"/>
  <c r="CJ103" i="17"/>
  <c r="CU100" i="17"/>
  <c r="CT98" i="17"/>
  <c r="CS94" i="17"/>
  <c r="CR91" i="17"/>
  <c r="CQ89" i="17"/>
  <c r="CP87" i="17"/>
  <c r="CO85" i="17"/>
  <c r="CN83" i="17"/>
  <c r="CQ116" i="17"/>
  <c r="CK114" i="17"/>
  <c r="CS111" i="17"/>
  <c r="CN109" i="17"/>
  <c r="CL107" i="17"/>
  <c r="CJ105" i="17"/>
  <c r="CU102" i="17"/>
  <c r="CT100" i="17"/>
  <c r="CS98" i="17"/>
  <c r="CR94" i="17"/>
  <c r="CQ91" i="17"/>
  <c r="CP89" i="17"/>
  <c r="CO87" i="17"/>
  <c r="CN85" i="17"/>
  <c r="CM83" i="17"/>
  <c r="CP116" i="17"/>
  <c r="CJ114" i="17"/>
  <c r="CR111" i="17"/>
  <c r="CM109" i="17"/>
  <c r="CK107" i="17"/>
  <c r="CU104" i="17"/>
  <c r="CT102" i="17"/>
  <c r="CS100" i="17"/>
  <c r="CR98" i="17"/>
  <c r="CQ94" i="17"/>
  <c r="CP91" i="17"/>
  <c r="CO89" i="17"/>
  <c r="CN87" i="17"/>
  <c r="CM85" i="17"/>
  <c r="CL83" i="17"/>
  <c r="CO116" i="17"/>
  <c r="CU113" i="17"/>
  <c r="CO111" i="17"/>
  <c r="CL109" i="17"/>
  <c r="CJ107" i="17"/>
  <c r="CT104" i="17"/>
  <c r="CS102" i="17"/>
  <c r="CR100" i="17"/>
  <c r="CQ98" i="17"/>
  <c r="CP94" i="17"/>
  <c r="CO91" i="17"/>
  <c r="CN89" i="17"/>
  <c r="CM87" i="17"/>
  <c r="CL85" i="17"/>
  <c r="CK83" i="17"/>
  <c r="CL116" i="17"/>
  <c r="CT113" i="17"/>
  <c r="CN111" i="17"/>
  <c r="CK109" i="17"/>
  <c r="CU106" i="17"/>
  <c r="CS104" i="17"/>
  <c r="CR102" i="17"/>
  <c r="CQ100" i="17"/>
  <c r="CP98" i="17"/>
  <c r="CO94" i="17"/>
  <c r="CN91" i="17"/>
  <c r="CM89" i="17"/>
  <c r="CL87" i="17"/>
  <c r="CK85" i="17"/>
  <c r="CJ83" i="17"/>
  <c r="CK116" i="17"/>
  <c r="CS113" i="17"/>
  <c r="CM111" i="17"/>
  <c r="CJ109" i="17"/>
  <c r="CT106" i="17"/>
  <c r="CR104" i="17"/>
  <c r="CQ102" i="17"/>
  <c r="CP100" i="17"/>
  <c r="CO98" i="17"/>
  <c r="CN94" i="17"/>
  <c r="CM91" i="17"/>
  <c r="CL89" i="17"/>
  <c r="CK87" i="17"/>
  <c r="CJ85" i="17"/>
  <c r="CU82" i="17"/>
  <c r="CJ116" i="17"/>
  <c r="CR113" i="17"/>
  <c r="CL111" i="17"/>
  <c r="CU108" i="17"/>
  <c r="CS106" i="17"/>
  <c r="CQ104" i="17"/>
  <c r="CP102" i="17"/>
  <c r="CO100" i="17"/>
  <c r="CN98" i="17"/>
  <c r="CM94" i="17"/>
  <c r="CL91" i="17"/>
  <c r="CK89" i="17"/>
  <c r="CJ87" i="17"/>
  <c r="CU84" i="17"/>
  <c r="CT82" i="17"/>
  <c r="CU115" i="17"/>
  <c r="CO113" i="17"/>
  <c r="CK111" i="17"/>
  <c r="CT108" i="17"/>
  <c r="CR106" i="17"/>
  <c r="CP104" i="17"/>
  <c r="CO102" i="17"/>
  <c r="CN100" i="17"/>
  <c r="CM98" i="17"/>
  <c r="CL94" i="17"/>
  <c r="CK91" i="17"/>
  <c r="CJ89" i="17"/>
  <c r="CU86" i="17"/>
  <c r="CT84" i="17"/>
  <c r="CS82" i="17"/>
  <c r="CT115" i="17"/>
  <c r="CN113" i="17"/>
  <c r="CJ111" i="17"/>
  <c r="CS108" i="17"/>
  <c r="CQ106" i="17"/>
  <c r="CO104" i="17"/>
  <c r="CN102" i="17"/>
  <c r="CM100" i="17"/>
  <c r="CL98" i="17"/>
  <c r="CK94" i="17"/>
  <c r="CJ91" i="17"/>
  <c r="CU88" i="17"/>
  <c r="CT86" i="17"/>
  <c r="CS84" i="17"/>
  <c r="CR82" i="17"/>
  <c r="CS115" i="17"/>
  <c r="CM113" i="17"/>
  <c r="CU110" i="17"/>
  <c r="CR108" i="17"/>
  <c r="CP106" i="17"/>
  <c r="CN104" i="17"/>
  <c r="CM102" i="17"/>
  <c r="CL100" i="17"/>
  <c r="CK98" i="17"/>
  <c r="CJ94" i="17"/>
  <c r="CU90" i="17"/>
  <c r="CT88" i="17"/>
  <c r="CS86" i="17"/>
  <c r="CR84" i="17"/>
  <c r="CQ82" i="17"/>
  <c r="CR115" i="17"/>
  <c r="CL113" i="17"/>
  <c r="CT110" i="17"/>
  <c r="CQ108" i="17"/>
  <c r="CO106" i="17"/>
  <c r="CU117" i="17"/>
  <c r="CO115" i="17"/>
  <c r="CK113" i="17"/>
  <c r="CS110" i="17"/>
  <c r="CP108" i="17"/>
  <c r="CN106" i="17"/>
  <c r="CL104" i="17"/>
  <c r="CK102" i="17"/>
  <c r="CJ100" i="17"/>
  <c r="CU97" i="17"/>
  <c r="CT92" i="17"/>
  <c r="CS90" i="17"/>
  <c r="CR88" i="17"/>
  <c r="CQ86" i="17"/>
  <c r="CO84" i="17"/>
  <c r="CO82" i="17"/>
  <c r="CT117" i="17"/>
  <c r="CN115" i="17"/>
  <c r="CJ113" i="17"/>
  <c r="CR110" i="17"/>
  <c r="CO108" i="17"/>
  <c r="CM106" i="17"/>
  <c r="CK104" i="17"/>
  <c r="CJ102" i="17"/>
  <c r="CU99" i="17"/>
  <c r="CT97" i="17"/>
  <c r="CS92" i="17"/>
  <c r="CR90" i="17"/>
  <c r="CQ88" i="17"/>
  <c r="CO86" i="17"/>
  <c r="CN84" i="17"/>
  <c r="CN82" i="17"/>
  <c r="CS117" i="17"/>
  <c r="CM115" i="17"/>
  <c r="CU112" i="17"/>
  <c r="CQ110" i="17"/>
  <c r="CN108" i="17"/>
  <c r="CL106" i="17"/>
  <c r="CJ104" i="17"/>
  <c r="CU101" i="17"/>
  <c r="CT99" i="17"/>
  <c r="CS97" i="17"/>
  <c r="CR92" i="17"/>
  <c r="CQ90" i="17"/>
  <c r="CO88" i="17"/>
  <c r="CN86" i="17"/>
  <c r="CM84" i="17"/>
  <c r="CM82" i="17"/>
  <c r="CR117" i="17"/>
  <c r="CL115" i="17"/>
  <c r="CT112" i="17"/>
  <c r="CP110" i="17"/>
  <c r="CM108" i="17"/>
  <c r="CK106" i="17"/>
  <c r="CU103" i="17"/>
  <c r="CT101" i="17"/>
  <c r="CS99" i="17"/>
  <c r="CR97" i="17"/>
  <c r="CQ92" i="17"/>
  <c r="CO90" i="17"/>
  <c r="CN88" i="17"/>
  <c r="CM86" i="17"/>
  <c r="CL84" i="17"/>
  <c r="CL82" i="17"/>
  <c r="CO117" i="17"/>
  <c r="CK115" i="17"/>
  <c r="CS112" i="17"/>
  <c r="CO110" i="17"/>
  <c r="CL108" i="17"/>
  <c r="CJ106" i="17"/>
  <c r="CT103" i="17"/>
  <c r="CS101" i="17"/>
  <c r="CR99" i="17"/>
  <c r="CQ97" i="17"/>
  <c r="CO92" i="17"/>
  <c r="CN90" i="17"/>
  <c r="CM88" i="17"/>
  <c r="CL86" i="17"/>
  <c r="CK84" i="17"/>
  <c r="CK82" i="17"/>
  <c r="CN117" i="17"/>
  <c r="CJ115" i="17"/>
  <c r="CR112" i="17"/>
  <c r="CM110" i="17"/>
  <c r="CK108" i="17"/>
  <c r="CU105" i="17"/>
  <c r="CS103" i="17"/>
  <c r="CR101" i="17"/>
  <c r="CQ99" i="17"/>
  <c r="CO97" i="17"/>
  <c r="CN92" i="17"/>
  <c r="CM90" i="17"/>
  <c r="CL88" i="17"/>
  <c r="CK86" i="17"/>
  <c r="CJ84" i="17"/>
  <c r="CJ82" i="17"/>
  <c r="CK117" i="17"/>
  <c r="CS114" i="17"/>
  <c r="CO112" i="17"/>
  <c r="CJ110" i="17"/>
  <c r="CT107" i="17"/>
  <c r="CR105" i="17"/>
  <c r="CO103" i="17"/>
  <c r="CN101" i="17"/>
  <c r="CM99" i="17"/>
  <c r="CL97" i="17"/>
  <c r="CK92" i="17"/>
  <c r="CJ90" i="17"/>
  <c r="CU87" i="17"/>
  <c r="CT85" i="17"/>
  <c r="CS83" i="17"/>
  <c r="CM117" i="17"/>
  <c r="CU92" i="17"/>
  <c r="CL117" i="17"/>
  <c r="CM92" i="17"/>
  <c r="CU114" i="17"/>
  <c r="CL92" i="17"/>
  <c r="CT114" i="17"/>
  <c r="CT90" i="17"/>
  <c r="CQ112" i="17"/>
  <c r="CL90" i="17"/>
  <c r="CP112" i="17"/>
  <c r="CK90" i="17"/>
  <c r="CL110" i="17"/>
  <c r="CS88" i="17"/>
  <c r="CK110" i="17"/>
  <c r="CK88" i="17"/>
  <c r="CJ108" i="17"/>
  <c r="CJ88" i="17"/>
  <c r="CU107" i="17"/>
  <c r="CR86" i="17"/>
  <c r="CT105" i="17"/>
  <c r="CJ86" i="17"/>
  <c r="CS105" i="17"/>
  <c r="CU85" i="17"/>
  <c r="CM104" i="17"/>
  <c r="CQ84" i="17"/>
  <c r="CR103" i="17"/>
  <c r="CU83" i="17"/>
  <c r="CQ103" i="17"/>
  <c r="CT83" i="17"/>
  <c r="CL102" i="17"/>
  <c r="CP82" i="17"/>
  <c r="CQ101" i="17"/>
  <c r="CO101" i="17"/>
  <c r="CK100" i="17"/>
  <c r="CO99" i="17"/>
  <c r="CN99" i="17"/>
  <c r="CJ98" i="17"/>
  <c r="CM97" i="17"/>
  <c r="BY117" i="17"/>
  <c r="BY115" i="17"/>
  <c r="BY113" i="17"/>
  <c r="BY111" i="17"/>
  <c r="BY109" i="17"/>
  <c r="BY107" i="17"/>
  <c r="BY105" i="17"/>
  <c r="BY103" i="17"/>
  <c r="BY101" i="17"/>
  <c r="BY99" i="17"/>
  <c r="BY97" i="17"/>
  <c r="BY92" i="17"/>
  <c r="BY90" i="17"/>
  <c r="BY88" i="17"/>
  <c r="BY86" i="17"/>
  <c r="BY84" i="17"/>
  <c r="BY82" i="17"/>
  <c r="CN97" i="17"/>
  <c r="BW117" i="17"/>
  <c r="BW115" i="17"/>
  <c r="BW113" i="17"/>
  <c r="BW111" i="17"/>
  <c r="BW109" i="17"/>
  <c r="BW107" i="17"/>
  <c r="BW105" i="17"/>
  <c r="BW103" i="17"/>
  <c r="BW101" i="17"/>
  <c r="BW99" i="17"/>
  <c r="BW97" i="17"/>
  <c r="BW92" i="17"/>
  <c r="BW90" i="17"/>
  <c r="BW88" i="17"/>
  <c r="BW86" i="17"/>
  <c r="BW84" i="17"/>
  <c r="BW82" i="17"/>
  <c r="BV117" i="17"/>
  <c r="BV115" i="17"/>
  <c r="BV113" i="17"/>
  <c r="BV111" i="17"/>
  <c r="BV109" i="17"/>
  <c r="BV107" i="17"/>
  <c r="BV105" i="17"/>
  <c r="BV103" i="17"/>
  <c r="BV101" i="17"/>
  <c r="BV99" i="17"/>
  <c r="BV97" i="17"/>
  <c r="BV92" i="17"/>
  <c r="BV90" i="17"/>
  <c r="BV88" i="17"/>
  <c r="BV86" i="17"/>
  <c r="BV84" i="17"/>
  <c r="BV82" i="17"/>
  <c r="CG116" i="17"/>
  <c r="CG114" i="17"/>
  <c r="CG112" i="17"/>
  <c r="CG110" i="17"/>
  <c r="CG108" i="17"/>
  <c r="CG106" i="17"/>
  <c r="CG104" i="17"/>
  <c r="CG102" i="17"/>
  <c r="CG100" i="17"/>
  <c r="CG98" i="17"/>
  <c r="CG94" i="17"/>
  <c r="CG91" i="17"/>
  <c r="CG89" i="17"/>
  <c r="CG87" i="17"/>
  <c r="CG85" i="17"/>
  <c r="CG83" i="17"/>
  <c r="CF116" i="17"/>
  <c r="CF114" i="17"/>
  <c r="CF112" i="17"/>
  <c r="CF110" i="17"/>
  <c r="CF108" i="17"/>
  <c r="CF106" i="17"/>
  <c r="CF104" i="17"/>
  <c r="CF102" i="17"/>
  <c r="CF100" i="17"/>
  <c r="CF98" i="17"/>
  <c r="CF94" i="17"/>
  <c r="CF91" i="17"/>
  <c r="CF89" i="17"/>
  <c r="CF87" i="17"/>
  <c r="CF85" i="17"/>
  <c r="CF83" i="17"/>
  <c r="CE116" i="17"/>
  <c r="CE114" i="17"/>
  <c r="CE112" i="17"/>
  <c r="CE110" i="17"/>
  <c r="CE108" i="17"/>
  <c r="CE106" i="17"/>
  <c r="CE104" i="17"/>
  <c r="CE102" i="17"/>
  <c r="CE100" i="17"/>
  <c r="CE98" i="17"/>
  <c r="CE94" i="17"/>
  <c r="CE91" i="17"/>
  <c r="CE89" i="17"/>
  <c r="CE87" i="17"/>
  <c r="CE85" i="17"/>
  <c r="CE83" i="17"/>
  <c r="CD116" i="17"/>
  <c r="CD114" i="17"/>
  <c r="CD112" i="17"/>
  <c r="CD110" i="17"/>
  <c r="CD108" i="17"/>
  <c r="CD106" i="17"/>
  <c r="CD104" i="17"/>
  <c r="CD102" i="17"/>
  <c r="CD100" i="17"/>
  <c r="CD98" i="17"/>
  <c r="CD94" i="17"/>
  <c r="CD91" i="17"/>
  <c r="CD89" i="17"/>
  <c r="CD87" i="17"/>
  <c r="CC116" i="17"/>
  <c r="CC114" i="17"/>
  <c r="CC112" i="17"/>
  <c r="CC110" i="17"/>
  <c r="CC108" i="17"/>
  <c r="CC106" i="17"/>
  <c r="CC104" i="17"/>
  <c r="CC102" i="17"/>
  <c r="CC100" i="17"/>
  <c r="CC98" i="17"/>
  <c r="CC94" i="17"/>
  <c r="CC91" i="17"/>
  <c r="CC89" i="17"/>
  <c r="CC87" i="17"/>
  <c r="CC85" i="17"/>
  <c r="CC83" i="17"/>
  <c r="CB116" i="17"/>
  <c r="CB114" i="17"/>
  <c r="CB112" i="17"/>
  <c r="CB110" i="17"/>
  <c r="CB108" i="17"/>
  <c r="CB106" i="17"/>
  <c r="CB104" i="17"/>
  <c r="CB102" i="17"/>
  <c r="CB100" i="17"/>
  <c r="CB98" i="17"/>
  <c r="CB94" i="17"/>
  <c r="CB91" i="17"/>
  <c r="CB89" i="17"/>
  <c r="CB87" i="17"/>
  <c r="CB85" i="17"/>
  <c r="CB83" i="17"/>
  <c r="CA116" i="17"/>
  <c r="CA114" i="17"/>
  <c r="CA112" i="17"/>
  <c r="CA110" i="17"/>
  <c r="CA108" i="17"/>
  <c r="CA106" i="17"/>
  <c r="CA104" i="17"/>
  <c r="CA102" i="17"/>
  <c r="CA100" i="17"/>
  <c r="CA98" i="17"/>
  <c r="CA94" i="17"/>
  <c r="CA91" i="17"/>
  <c r="CA89" i="17"/>
  <c r="CA87" i="17"/>
  <c r="CA85" i="17"/>
  <c r="CA83" i="17"/>
  <c r="BZ116" i="17"/>
  <c r="BZ114" i="17"/>
  <c r="BZ112" i="17"/>
  <c r="BZ110" i="17"/>
  <c r="BZ108" i="17"/>
  <c r="BZ106" i="17"/>
  <c r="BZ104" i="17"/>
  <c r="BZ102" i="17"/>
  <c r="BZ100" i="17"/>
  <c r="BZ98" i="17"/>
  <c r="BZ94" i="17"/>
  <c r="BZ91" i="17"/>
  <c r="BZ89" i="17"/>
  <c r="BZ87" i="17"/>
  <c r="BZ85" i="17"/>
  <c r="BZ83" i="17"/>
  <c r="BY116" i="17"/>
  <c r="BY114" i="17"/>
  <c r="BY112" i="17"/>
  <c r="BY110" i="17"/>
  <c r="BY108" i="17"/>
  <c r="BY106" i="17"/>
  <c r="BY104" i="17"/>
  <c r="BY102" i="17"/>
  <c r="BY100" i="17"/>
  <c r="BY98" i="17"/>
  <c r="BY94" i="17"/>
  <c r="BY91" i="17"/>
  <c r="BY89" i="17"/>
  <c r="BY87" i="17"/>
  <c r="BY85" i="17"/>
  <c r="BY83" i="17"/>
  <c r="BV116" i="17"/>
  <c r="BV114" i="17"/>
  <c r="BV112" i="17"/>
  <c r="BV110" i="17"/>
  <c r="BV108" i="17"/>
  <c r="BV106" i="17"/>
  <c r="BV104" i="17"/>
  <c r="BV102" i="17"/>
  <c r="BV100" i="17"/>
  <c r="BV98" i="17"/>
  <c r="BV94" i="17"/>
  <c r="BV91" i="17"/>
  <c r="CG117" i="17"/>
  <c r="CG115" i="17"/>
  <c r="CG113" i="17"/>
  <c r="CG111" i="17"/>
  <c r="CG109" i="17"/>
  <c r="CG107" i="17"/>
  <c r="CG105" i="17"/>
  <c r="CG103" i="17"/>
  <c r="CG101" i="17"/>
  <c r="CG99" i="17"/>
  <c r="CG97" i="17"/>
  <c r="CG92" i="17"/>
  <c r="CG90" i="17"/>
  <c r="CG88" i="17"/>
  <c r="CG86" i="17"/>
  <c r="CG84" i="17"/>
  <c r="CG82" i="17"/>
  <c r="CF117" i="17"/>
  <c r="CF115" i="17"/>
  <c r="CF113" i="17"/>
  <c r="CF111" i="17"/>
  <c r="CF109" i="17"/>
  <c r="CF107" i="17"/>
  <c r="CF105" i="17"/>
  <c r="CF103" i="17"/>
  <c r="CF101" i="17"/>
  <c r="CF99" i="17"/>
  <c r="CF97" i="17"/>
  <c r="CF92" i="17"/>
  <c r="CF90" i="17"/>
  <c r="CF88" i="17"/>
  <c r="CF86" i="17"/>
  <c r="CF84" i="17"/>
  <c r="CF82" i="17"/>
  <c r="CE117" i="17"/>
  <c r="CE115" i="17"/>
  <c r="CE113" i="17"/>
  <c r="CE111" i="17"/>
  <c r="CE109" i="17"/>
  <c r="CE107" i="17"/>
  <c r="CE105" i="17"/>
  <c r="CE103" i="17"/>
  <c r="CE101" i="17"/>
  <c r="CE99" i="17"/>
  <c r="CE97" i="17"/>
  <c r="CE92" i="17"/>
  <c r="CE90" i="17"/>
  <c r="CE88" i="17"/>
  <c r="CE86" i="17"/>
  <c r="CD117" i="17"/>
  <c r="CD115" i="17"/>
  <c r="CD113" i="17"/>
  <c r="CD111" i="17"/>
  <c r="CD109" i="17"/>
  <c r="CD107" i="17"/>
  <c r="CD105" i="17"/>
  <c r="CD103" i="17"/>
  <c r="CD101" i="17"/>
  <c r="CD99" i="17"/>
  <c r="CD97" i="17"/>
  <c r="CD92" i="17"/>
  <c r="CD90" i="17"/>
  <c r="CD88" i="17"/>
  <c r="CD86" i="17"/>
  <c r="CD84" i="17"/>
  <c r="CD82" i="17"/>
  <c r="CC117" i="17"/>
  <c r="CC115" i="17"/>
  <c r="CC113" i="17"/>
  <c r="CC111" i="17"/>
  <c r="CC109" i="17"/>
  <c r="CC107" i="17"/>
  <c r="CC105" i="17"/>
  <c r="CC103" i="17"/>
  <c r="CC101" i="17"/>
  <c r="BZ117" i="17"/>
  <c r="BZ115" i="17"/>
  <c r="BZ113" i="17"/>
  <c r="BZ111" i="17"/>
  <c r="BZ109" i="17"/>
  <c r="BZ107" i="17"/>
  <c r="BZ105" i="17"/>
  <c r="BZ103" i="17"/>
  <c r="BZ101" i="17"/>
  <c r="BZ99" i="17"/>
  <c r="BX114" i="17"/>
  <c r="BX105" i="17"/>
  <c r="BX94" i="17"/>
  <c r="BV87" i="17"/>
  <c r="BZ82" i="17"/>
  <c r="BW114" i="17"/>
  <c r="BX104" i="17"/>
  <c r="BW94" i="17"/>
  <c r="CC86" i="17"/>
  <c r="BX82" i="17"/>
  <c r="CB113" i="17"/>
  <c r="BW104" i="17"/>
  <c r="CC92" i="17"/>
  <c r="CB86" i="17"/>
  <c r="CA113" i="17"/>
  <c r="CB103" i="17"/>
  <c r="CB92" i="17"/>
  <c r="CA86" i="17"/>
  <c r="BX113" i="17"/>
  <c r="CA103" i="17"/>
  <c r="CA92" i="17"/>
  <c r="BZ86" i="17"/>
  <c r="BX112" i="17"/>
  <c r="BX103" i="17"/>
  <c r="BZ92" i="17"/>
  <c r="BX86" i="17"/>
  <c r="BW112" i="17"/>
  <c r="BX102" i="17"/>
  <c r="BX92" i="17"/>
  <c r="CD85" i="17"/>
  <c r="CB111" i="17"/>
  <c r="BW102" i="17"/>
  <c r="BX91" i="17"/>
  <c r="BX85" i="17"/>
  <c r="CA111" i="17"/>
  <c r="CB101" i="17"/>
  <c r="BW91" i="17"/>
  <c r="BW85" i="17"/>
  <c r="BX111" i="17"/>
  <c r="CA101" i="17"/>
  <c r="CC90" i="17"/>
  <c r="BV85" i="17"/>
  <c r="BX110" i="17"/>
  <c r="BX101" i="17"/>
  <c r="CB90" i="17"/>
  <c r="CE84" i="17"/>
  <c r="BW110" i="17"/>
  <c r="BX100" i="17"/>
  <c r="CA90" i="17"/>
  <c r="CC84" i="17"/>
  <c r="CB109" i="17"/>
  <c r="BW100" i="17"/>
  <c r="BZ90" i="17"/>
  <c r="CB84" i="17"/>
  <c r="CA109" i="17"/>
  <c r="CC99" i="17"/>
  <c r="BX90" i="17"/>
  <c r="CA84" i="17"/>
  <c r="BX109" i="17"/>
  <c r="CB99" i="17"/>
  <c r="BX89" i="17"/>
  <c r="BZ84" i="17"/>
  <c r="BX108" i="17"/>
  <c r="CA99" i="17"/>
  <c r="BW89" i="17"/>
  <c r="BX84" i="17"/>
  <c r="CB117" i="17"/>
  <c r="BW108" i="17"/>
  <c r="BX99" i="17"/>
  <c r="BV89" i="17"/>
  <c r="CD83" i="17"/>
  <c r="CA117" i="17"/>
  <c r="CB107" i="17"/>
  <c r="BX98" i="17"/>
  <c r="CC88" i="17"/>
  <c r="BX83" i="17"/>
  <c r="BX117" i="17"/>
  <c r="CA107" i="17"/>
  <c r="BW98" i="17"/>
  <c r="CB88" i="17"/>
  <c r="BW83" i="17"/>
  <c r="BX116" i="17"/>
  <c r="BX107" i="17"/>
  <c r="CC97" i="17"/>
  <c r="CA88" i="17"/>
  <c r="BV83" i="17"/>
  <c r="BW116" i="17"/>
  <c r="BX106" i="17"/>
  <c r="CB97" i="17"/>
  <c r="BZ88" i="17"/>
  <c r="CE82" i="17"/>
  <c r="BX115" i="17"/>
  <c r="CA105" i="17"/>
  <c r="BX97" i="17"/>
  <c r="BW87" i="17"/>
  <c r="CA82" i="17"/>
  <c r="BJ116" i="17"/>
  <c r="BJ114" i="17"/>
  <c r="BJ112" i="17"/>
  <c r="BJ110" i="17"/>
  <c r="BJ108" i="17"/>
  <c r="BJ106" i="17"/>
  <c r="BJ104" i="17"/>
  <c r="BJ102" i="17"/>
  <c r="BJ100" i="17"/>
  <c r="BJ98" i="17"/>
  <c r="BJ94" i="17"/>
  <c r="BJ91" i="17"/>
  <c r="BJ89" i="17"/>
  <c r="BJ87" i="17"/>
  <c r="BJ85" i="17"/>
  <c r="BJ83" i="17"/>
  <c r="BI116" i="17"/>
  <c r="BI114" i="17"/>
  <c r="BI112" i="17"/>
  <c r="BI110" i="17"/>
  <c r="BI108" i="17"/>
  <c r="BI106" i="17"/>
  <c r="BI104" i="17"/>
  <c r="BI102" i="17"/>
  <c r="BI100" i="17"/>
  <c r="BI98" i="17"/>
  <c r="BI94" i="17"/>
  <c r="BI91" i="17"/>
  <c r="BI89" i="17"/>
  <c r="BI87" i="17"/>
  <c r="BI85" i="17"/>
  <c r="BI83" i="17"/>
  <c r="BH116" i="17"/>
  <c r="BH114" i="17"/>
  <c r="BH112" i="17"/>
  <c r="BH110" i="17"/>
  <c r="BH108" i="17"/>
  <c r="BH106" i="17"/>
  <c r="BH104" i="17"/>
  <c r="BS117" i="17"/>
  <c r="BS115" i="17"/>
  <c r="BS113" i="17"/>
  <c r="BS111" i="17"/>
  <c r="BS109" i="17"/>
  <c r="BS107" i="17"/>
  <c r="BS105" i="17"/>
  <c r="BS103" i="17"/>
  <c r="BR117" i="17"/>
  <c r="BR115" i="17"/>
  <c r="BR113" i="17"/>
  <c r="BR111" i="17"/>
  <c r="BR109" i="17"/>
  <c r="BR107" i="17"/>
  <c r="BR105" i="17"/>
  <c r="BR103" i="17"/>
  <c r="BR101" i="17"/>
  <c r="BR99" i="17"/>
  <c r="BR97" i="17"/>
  <c r="BR92" i="17"/>
  <c r="BR90" i="17"/>
  <c r="BQ117" i="17"/>
  <c r="BQ115" i="17"/>
  <c r="BQ113" i="17"/>
  <c r="BP117" i="17"/>
  <c r="BP115" i="17"/>
  <c r="BP113" i="17"/>
  <c r="BP111" i="17"/>
  <c r="BP109" i="17"/>
  <c r="BP107" i="17"/>
  <c r="BP105" i="17"/>
  <c r="BP103" i="17"/>
  <c r="BP101" i="17"/>
  <c r="BP99" i="17"/>
  <c r="BP97" i="17"/>
  <c r="BP92" i="17"/>
  <c r="BP90" i="17"/>
  <c r="BL117" i="17"/>
  <c r="BL115" i="17"/>
  <c r="BL113" i="17"/>
  <c r="BL111" i="17"/>
  <c r="BL109" i="17"/>
  <c r="BL107" i="17"/>
  <c r="BL105" i="17"/>
  <c r="BL103" i="17"/>
  <c r="BL101" i="17"/>
  <c r="BL99" i="17"/>
  <c r="BL97" i="17"/>
  <c r="BL92" i="17"/>
  <c r="BL90" i="17"/>
  <c r="BL88" i="17"/>
  <c r="BL86" i="17"/>
  <c r="BL84" i="17"/>
  <c r="BL82" i="17"/>
  <c r="CB115" i="17"/>
  <c r="CA115" i="17"/>
  <c r="BJ117" i="17"/>
  <c r="BJ115" i="17"/>
  <c r="BJ113" i="17"/>
  <c r="BJ111" i="17"/>
  <c r="BJ109" i="17"/>
  <c r="BJ107" i="17"/>
  <c r="BJ105" i="17"/>
  <c r="BJ103" i="17"/>
  <c r="BJ101" i="17"/>
  <c r="BJ99" i="17"/>
  <c r="BJ97" i="17"/>
  <c r="BJ92" i="17"/>
  <c r="BJ90" i="17"/>
  <c r="BJ88" i="17"/>
  <c r="BJ86" i="17"/>
  <c r="BJ84" i="17"/>
  <c r="BJ82" i="17"/>
  <c r="BW106" i="17"/>
  <c r="CB105" i="17"/>
  <c r="BH117" i="17"/>
  <c r="BH115" i="17"/>
  <c r="BH113" i="17"/>
  <c r="BH111" i="17"/>
  <c r="BH109" i="17"/>
  <c r="BH107" i="17"/>
  <c r="BH105" i="17"/>
  <c r="BH103" i="17"/>
  <c r="BH101" i="17"/>
  <c r="CA97" i="17"/>
  <c r="BS116" i="17"/>
  <c r="BS114" i="17"/>
  <c r="BZ97" i="17"/>
  <c r="BX88" i="17"/>
  <c r="BX87" i="17"/>
  <c r="CC82" i="17"/>
  <c r="CB82" i="17"/>
  <c r="BN115" i="17"/>
  <c r="BL112" i="17"/>
  <c r="BM115" i="17"/>
  <c r="BK112" i="17"/>
  <c r="BQ108" i="17"/>
  <c r="BN105" i="17"/>
  <c r="BN102" i="17"/>
  <c r="BO99" i="17"/>
  <c r="BS94" i="17"/>
  <c r="BM91" i="17"/>
  <c r="BQ88" i="17"/>
  <c r="BM86" i="17"/>
  <c r="BS83" i="17"/>
  <c r="BK115" i="17"/>
  <c r="BQ111" i="17"/>
  <c r="BP108" i="17"/>
  <c r="BM105" i="17"/>
  <c r="BM102" i="17"/>
  <c r="BN99" i="17"/>
  <c r="BR94" i="17"/>
  <c r="BL91" i="17"/>
  <c r="BP88" i="17"/>
  <c r="BK86" i="17"/>
  <c r="BR83" i="17"/>
  <c r="BI115" i="17"/>
  <c r="BO111" i="17"/>
  <c r="BO108" i="17"/>
  <c r="BK105" i="17"/>
  <c r="BL102" i="17"/>
  <c r="BM99" i="17"/>
  <c r="BQ94" i="17"/>
  <c r="BK91" i="17"/>
  <c r="BO88" i="17"/>
  <c r="BI86" i="17"/>
  <c r="BQ83" i="17"/>
  <c r="BR114" i="17"/>
  <c r="BN111" i="17"/>
  <c r="BN108" i="17"/>
  <c r="BI105" i="17"/>
  <c r="BK102" i="17"/>
  <c r="BK99" i="17"/>
  <c r="BP94" i="17"/>
  <c r="BH91" i="17"/>
  <c r="BN88" i="17"/>
  <c r="BH86" i="17"/>
  <c r="BP83" i="17"/>
  <c r="BQ114" i="17"/>
  <c r="BM111" i="17"/>
  <c r="BM108" i="17"/>
  <c r="BS104" i="17"/>
  <c r="BH102" i="17"/>
  <c r="BI99" i="17"/>
  <c r="BO94" i="17"/>
  <c r="BS90" i="17"/>
  <c r="BM88" i="17"/>
  <c r="BS85" i="17"/>
  <c r="BO83" i="17"/>
  <c r="BP114" i="17"/>
  <c r="BK111" i="17"/>
  <c r="BL108" i="17"/>
  <c r="BR104" i="17"/>
  <c r="BS101" i="17"/>
  <c r="BH99" i="17"/>
  <c r="BN94" i="17"/>
  <c r="BQ90" i="17"/>
  <c r="BK88" i="17"/>
  <c r="BR85" i="17"/>
  <c r="BN83" i="17"/>
  <c r="BO114" i="17"/>
  <c r="BI111" i="17"/>
  <c r="BK108" i="17"/>
  <c r="BQ104" i="17"/>
  <c r="BQ101" i="17"/>
  <c r="BS98" i="17"/>
  <c r="BM94" i="17"/>
  <c r="BO90" i="17"/>
  <c r="BI88" i="17"/>
  <c r="BQ85" i="17"/>
  <c r="BM83" i="17"/>
  <c r="BN114" i="17"/>
  <c r="BS110" i="17"/>
  <c r="BQ107" i="17"/>
  <c r="BP104" i="17"/>
  <c r="BO101" i="17"/>
  <c r="BR98" i="17"/>
  <c r="BL94" i="17"/>
  <c r="BN90" i="17"/>
  <c r="BH88" i="17"/>
  <c r="BP85" i="17"/>
  <c r="BL83" i="17"/>
  <c r="BM114" i="17"/>
  <c r="BR110" i="17"/>
  <c r="BO107" i="17"/>
  <c r="BO104" i="17"/>
  <c r="BN101" i="17"/>
  <c r="BQ98" i="17"/>
  <c r="BK94" i="17"/>
  <c r="BM90" i="17"/>
  <c r="BS87" i="17"/>
  <c r="BO85" i="17"/>
  <c r="BK83" i="17"/>
  <c r="BO117" i="17"/>
  <c r="BL114" i="17"/>
  <c r="BQ110" i="17"/>
  <c r="BN107" i="17"/>
  <c r="BN104" i="17"/>
  <c r="BM101" i="17"/>
  <c r="BP98" i="17"/>
  <c r="BH94" i="17"/>
  <c r="BK90" i="17"/>
  <c r="BR87" i="17"/>
  <c r="BN85" i="17"/>
  <c r="BH83" i="17"/>
  <c r="BN117" i="17"/>
  <c r="BK114" i="17"/>
  <c r="BP110" i="17"/>
  <c r="BM107" i="17"/>
  <c r="BM104" i="17"/>
  <c r="BK101" i="17"/>
  <c r="BO98" i="17"/>
  <c r="BS92" i="17"/>
  <c r="BI90" i="17"/>
  <c r="BQ87" i="17"/>
  <c r="BM85" i="17"/>
  <c r="BS82" i="17"/>
  <c r="BM117" i="17"/>
  <c r="BO113" i="17"/>
  <c r="BO110" i="17"/>
  <c r="BK107" i="17"/>
  <c r="BL104" i="17"/>
  <c r="BI101" i="17"/>
  <c r="BN98" i="17"/>
  <c r="BQ92" i="17"/>
  <c r="BH90" i="17"/>
  <c r="BP87" i="17"/>
  <c r="BL85" i="17"/>
  <c r="BR82" i="17"/>
  <c r="BK117" i="17"/>
  <c r="BN113" i="17"/>
  <c r="BN110" i="17"/>
  <c r="BI107" i="17"/>
  <c r="BK104" i="17"/>
  <c r="BS100" i="17"/>
  <c r="BM98" i="17"/>
  <c r="BO92" i="17"/>
  <c r="BS89" i="17"/>
  <c r="BO87" i="17"/>
  <c r="BK85" i="17"/>
  <c r="BQ82" i="17"/>
  <c r="BI117" i="17"/>
  <c r="BM113" i="17"/>
  <c r="BM110" i="17"/>
  <c r="BS106" i="17"/>
  <c r="BQ103" i="17"/>
  <c r="BR100" i="17"/>
  <c r="BL98" i="17"/>
  <c r="BN92" i="17"/>
  <c r="BR89" i="17"/>
  <c r="BN87" i="17"/>
  <c r="BH85" i="17"/>
  <c r="BP82" i="17"/>
  <c r="BR116" i="17"/>
  <c r="BK113" i="17"/>
  <c r="BL110" i="17"/>
  <c r="BR106" i="17"/>
  <c r="BO103" i="17"/>
  <c r="BQ100" i="17"/>
  <c r="BK98" i="17"/>
  <c r="BM92" i="17"/>
  <c r="BQ89" i="17"/>
  <c r="BM87" i="17"/>
  <c r="BS84" i="17"/>
  <c r="BO82" i="17"/>
  <c r="BQ116" i="17"/>
  <c r="BI113" i="17"/>
  <c r="BK110" i="17"/>
  <c r="BQ106" i="17"/>
  <c r="BN103" i="17"/>
  <c r="BP100" i="17"/>
  <c r="BH98" i="17"/>
  <c r="BK92" i="17"/>
  <c r="BP89" i="17"/>
  <c r="BL87" i="17"/>
  <c r="BR84" i="17"/>
  <c r="BN82" i="17"/>
  <c r="BP116" i="17"/>
  <c r="BS112" i="17"/>
  <c r="BQ109" i="17"/>
  <c r="BP106" i="17"/>
  <c r="BM103" i="17"/>
  <c r="BO100" i="17"/>
  <c r="BS97" i="17"/>
  <c r="BI92" i="17"/>
  <c r="BO89" i="17"/>
  <c r="BK87" i="17"/>
  <c r="BQ84" i="17"/>
  <c r="BM82" i="17"/>
  <c r="BO116" i="17"/>
  <c r="BR112" i="17"/>
  <c r="BO109" i="17"/>
  <c r="BO106" i="17"/>
  <c r="BK103" i="17"/>
  <c r="BN100" i="17"/>
  <c r="BQ97" i="17"/>
  <c r="BH92" i="17"/>
  <c r="BN89" i="17"/>
  <c r="BH87" i="17"/>
  <c r="BP84" i="17"/>
  <c r="BK82" i="17"/>
  <c r="BN116" i="17"/>
  <c r="BQ112" i="17"/>
  <c r="BN109" i="17"/>
  <c r="BN106" i="17"/>
  <c r="BI103" i="17"/>
  <c r="BM100" i="17"/>
  <c r="BO97" i="17"/>
  <c r="BS91" i="17"/>
  <c r="BM89" i="17"/>
  <c r="BS86" i="17"/>
  <c r="BO84" i="17"/>
  <c r="BI82" i="17"/>
  <c r="BM116" i="17"/>
  <c r="BP112" i="17"/>
  <c r="BM109" i="17"/>
  <c r="BM106" i="17"/>
  <c r="BS102" i="17"/>
  <c r="BL100" i="17"/>
  <c r="BN97" i="17"/>
  <c r="BR91" i="17"/>
  <c r="BL89" i="17"/>
  <c r="BR86" i="17"/>
  <c r="BN84" i="17"/>
  <c r="BH82" i="17"/>
  <c r="BL116" i="17"/>
  <c r="BO112" i="17"/>
  <c r="BK109" i="17"/>
  <c r="BL106" i="17"/>
  <c r="BR102" i="17"/>
  <c r="BK100" i="17"/>
  <c r="BM97" i="17"/>
  <c r="BQ91" i="17"/>
  <c r="BK89" i="17"/>
  <c r="BQ86" i="17"/>
  <c r="BM84" i="17"/>
  <c r="BO115" i="17"/>
  <c r="BM112" i="17"/>
  <c r="BS108" i="17"/>
  <c r="BQ105" i="17"/>
  <c r="BP102" i="17"/>
  <c r="BS99" i="17"/>
  <c r="BI97" i="17"/>
  <c r="BO91" i="17"/>
  <c r="BS88" i="17"/>
  <c r="BO86" i="17"/>
  <c r="BI84" i="17"/>
  <c r="BR88" i="17"/>
  <c r="BC116" i="17"/>
  <c r="BC114" i="17"/>
  <c r="BC112" i="17"/>
  <c r="BC110" i="17"/>
  <c r="BC108" i="17"/>
  <c r="BC106" i="17"/>
  <c r="BC104" i="17"/>
  <c r="BC102" i="17"/>
  <c r="BC100" i="17"/>
  <c r="BC98" i="17"/>
  <c r="BC94" i="17"/>
  <c r="BC91" i="17"/>
  <c r="BC89" i="17"/>
  <c r="BC87" i="17"/>
  <c r="BC85" i="17"/>
  <c r="BC83" i="17"/>
  <c r="BP86" i="17"/>
  <c r="BB116" i="17"/>
  <c r="BB114" i="17"/>
  <c r="BB112" i="17"/>
  <c r="BB110" i="17"/>
  <c r="BB108" i="17"/>
  <c r="BB106" i="17"/>
  <c r="BB104" i="17"/>
  <c r="BB102" i="17"/>
  <c r="BB100" i="17"/>
  <c r="BB98" i="17"/>
  <c r="BB94" i="17"/>
  <c r="BB91" i="17"/>
  <c r="BB89" i="17"/>
  <c r="BB87" i="17"/>
  <c r="BB85" i="17"/>
  <c r="BB83" i="17"/>
  <c r="BN86" i="17"/>
  <c r="BK84" i="17"/>
  <c r="BH84" i="17"/>
  <c r="BK116" i="17"/>
  <c r="AT116" i="17"/>
  <c r="AT114" i="17"/>
  <c r="AT112" i="17"/>
  <c r="AT110" i="17"/>
  <c r="AT108" i="17"/>
  <c r="AT106" i="17"/>
  <c r="AT104" i="17"/>
  <c r="AT102" i="17"/>
  <c r="AT100" i="17"/>
  <c r="AT98" i="17"/>
  <c r="AT94" i="17"/>
  <c r="AT91" i="17"/>
  <c r="AT89" i="17"/>
  <c r="AT87" i="17"/>
  <c r="AT85" i="17"/>
  <c r="AT83" i="17"/>
  <c r="BN112" i="17"/>
  <c r="BE117" i="17"/>
  <c r="BE115" i="17"/>
  <c r="BE113" i="17"/>
  <c r="BE111" i="17"/>
  <c r="BE109" i="17"/>
  <c r="BE107" i="17"/>
  <c r="BE105" i="17"/>
  <c r="BE103" i="17"/>
  <c r="BE101" i="17"/>
  <c r="BE99" i="17"/>
  <c r="BE97" i="17"/>
  <c r="BE92" i="17"/>
  <c r="BE90" i="17"/>
  <c r="BE88" i="17"/>
  <c r="BE86" i="17"/>
  <c r="BE84" i="17"/>
  <c r="BE82" i="17"/>
  <c r="BI109" i="17"/>
  <c r="BD117" i="17"/>
  <c r="BD115" i="17"/>
  <c r="BD113" i="17"/>
  <c r="BD111" i="17"/>
  <c r="BD109" i="17"/>
  <c r="BD107" i="17"/>
  <c r="BR108" i="17"/>
  <c r="BK106" i="17"/>
  <c r="BO105" i="17"/>
  <c r="BA117" i="17"/>
  <c r="BQ102" i="17"/>
  <c r="BO102" i="17"/>
  <c r="BH100" i="17"/>
  <c r="BQ99" i="17"/>
  <c r="BK97" i="17"/>
  <c r="BH97" i="17"/>
  <c r="BH89" i="17"/>
  <c r="AY115" i="17"/>
  <c r="AT113" i="17"/>
  <c r="AY110" i="17"/>
  <c r="BC107" i="17"/>
  <c r="AY105" i="17"/>
  <c r="AU103" i="17"/>
  <c r="BA100" i="17"/>
  <c r="AW98" i="17"/>
  <c r="BC92" i="17"/>
  <c r="AY90" i="17"/>
  <c r="AU88" i="17"/>
  <c r="BA85" i="17"/>
  <c r="AW83" i="17"/>
  <c r="BP91" i="17"/>
  <c r="AX115" i="17"/>
  <c r="BE112" i="17"/>
  <c r="AX110" i="17"/>
  <c r="BB107" i="17"/>
  <c r="AX105" i="17"/>
  <c r="AT103" i="17"/>
  <c r="AZ100" i="17"/>
  <c r="AV98" i="17"/>
  <c r="BB92" i="17"/>
  <c r="AX90" i="17"/>
  <c r="AT88" i="17"/>
  <c r="AZ85" i="17"/>
  <c r="AV83" i="17"/>
  <c r="BN91" i="17"/>
  <c r="BC117" i="17"/>
  <c r="AW115" i="17"/>
  <c r="BD112" i="17"/>
  <c r="AW110" i="17"/>
  <c r="BA107" i="17"/>
  <c r="AW105" i="17"/>
  <c r="BE102" i="17"/>
  <c r="AY100" i="17"/>
  <c r="AU98" i="17"/>
  <c r="BA92" i="17"/>
  <c r="AW90" i="17"/>
  <c r="BE87" i="17"/>
  <c r="AY85" i="17"/>
  <c r="AU83" i="17"/>
  <c r="BB117" i="17"/>
  <c r="AV115" i="17"/>
  <c r="BA112" i="17"/>
  <c r="AV110" i="17"/>
  <c r="AZ107" i="17"/>
  <c r="AV105" i="17"/>
  <c r="BD102" i="17"/>
  <c r="AX100" i="17"/>
  <c r="BD97" i="17"/>
  <c r="AZ92" i="17"/>
  <c r="AV90" i="17"/>
  <c r="BD87" i="17"/>
  <c r="AX85" i="17"/>
  <c r="BD82" i="17"/>
  <c r="AZ117" i="17"/>
  <c r="AU115" i="17"/>
  <c r="AZ112" i="17"/>
  <c r="AU110" i="17"/>
  <c r="AY107" i="17"/>
  <c r="AU105" i="17"/>
  <c r="BA102" i="17"/>
  <c r="AW100" i="17"/>
  <c r="BC97" i="17"/>
  <c r="AY92" i="17"/>
  <c r="AU90" i="17"/>
  <c r="BA87" i="17"/>
  <c r="AW85" i="17"/>
  <c r="BC82" i="17"/>
  <c r="AY117" i="17"/>
  <c r="AT115" i="17"/>
  <c r="AY112" i="17"/>
  <c r="BC109" i="17"/>
  <c r="AX107" i="17"/>
  <c r="AT105" i="17"/>
  <c r="AZ102" i="17"/>
  <c r="AV100" i="17"/>
  <c r="BB97" i="17"/>
  <c r="AX92" i="17"/>
  <c r="AT90" i="17"/>
  <c r="AZ87" i="17"/>
  <c r="AV85" i="17"/>
  <c r="BB82" i="17"/>
  <c r="AX117" i="17"/>
  <c r="BE114" i="17"/>
  <c r="AX112" i="17"/>
  <c r="BB109" i="17"/>
  <c r="AW107" i="17"/>
  <c r="BE104" i="17"/>
  <c r="AY102" i="17"/>
  <c r="AU100" i="17"/>
  <c r="BA97" i="17"/>
  <c r="AW92" i="17"/>
  <c r="BE89" i="17"/>
  <c r="AY87" i="17"/>
  <c r="AU85" i="17"/>
  <c r="BA82" i="17"/>
  <c r="AW117" i="17"/>
  <c r="BD114" i="17"/>
  <c r="AW112" i="17"/>
  <c r="BA109" i="17"/>
  <c r="AV107" i="17"/>
  <c r="BD104" i="17"/>
  <c r="AX102" i="17"/>
  <c r="BD99" i="17"/>
  <c r="AZ97" i="17"/>
  <c r="AV92" i="17"/>
  <c r="BD89" i="17"/>
  <c r="AX87" i="17"/>
  <c r="BD84" i="17"/>
  <c r="AZ82" i="17"/>
  <c r="AV117" i="17"/>
  <c r="BA114" i="17"/>
  <c r="AV112" i="17"/>
  <c r="AZ109" i="17"/>
  <c r="AU107" i="17"/>
  <c r="BA104" i="17"/>
  <c r="AW102" i="17"/>
  <c r="BC99" i="17"/>
  <c r="AY97" i="17"/>
  <c r="AU92" i="17"/>
  <c r="BA89" i="17"/>
  <c r="AW87" i="17"/>
  <c r="BC84" i="17"/>
  <c r="AY82" i="17"/>
  <c r="AU117" i="17"/>
  <c r="AZ114" i="17"/>
  <c r="AU112" i="17"/>
  <c r="AY109" i="17"/>
  <c r="AT107" i="17"/>
  <c r="AZ104" i="17"/>
  <c r="AV102" i="17"/>
  <c r="BB99" i="17"/>
  <c r="AX97" i="17"/>
  <c r="AT92" i="17"/>
  <c r="AZ89" i="17"/>
  <c r="AV87" i="17"/>
  <c r="BB84" i="17"/>
  <c r="AX82" i="17"/>
  <c r="AT117" i="17"/>
  <c r="AY114" i="17"/>
  <c r="BC111" i="17"/>
  <c r="AX109" i="17"/>
  <c r="BE106" i="17"/>
  <c r="AY104" i="17"/>
  <c r="AU102" i="17"/>
  <c r="BA99" i="17"/>
  <c r="AW97" i="17"/>
  <c r="BE91" i="17"/>
  <c r="AY89" i="17"/>
  <c r="AU87" i="17"/>
  <c r="BA84" i="17"/>
  <c r="AW82" i="17"/>
  <c r="BE116" i="17"/>
  <c r="AX114" i="17"/>
  <c r="BB111" i="17"/>
  <c r="AW109" i="17"/>
  <c r="BD106" i="17"/>
  <c r="AX104" i="17"/>
  <c r="BD101" i="17"/>
  <c r="AZ99" i="17"/>
  <c r="AV97" i="17"/>
  <c r="BD91" i="17"/>
  <c r="AX89" i="17"/>
  <c r="BD86" i="17"/>
  <c r="AZ84" i="17"/>
  <c r="AV82" i="17"/>
  <c r="BD116" i="17"/>
  <c r="AW114" i="17"/>
  <c r="BA111" i="17"/>
  <c r="AV109" i="17"/>
  <c r="BA106" i="17"/>
  <c r="AW104" i="17"/>
  <c r="BC101" i="17"/>
  <c r="AY99" i="17"/>
  <c r="AU97" i="17"/>
  <c r="BA91" i="17"/>
  <c r="AW89" i="17"/>
  <c r="BC86" i="17"/>
  <c r="AY84" i="17"/>
  <c r="AU82" i="17"/>
  <c r="BA116" i="17"/>
  <c r="AV114" i="17"/>
  <c r="AZ111" i="17"/>
  <c r="AU109" i="17"/>
  <c r="AZ106" i="17"/>
  <c r="AV104" i="17"/>
  <c r="BB101" i="17"/>
  <c r="AX99" i="17"/>
  <c r="AT97" i="17"/>
  <c r="AZ91" i="17"/>
  <c r="AV89" i="17"/>
  <c r="BB86" i="17"/>
  <c r="AX84" i="17"/>
  <c r="AT82" i="17"/>
  <c r="AZ116" i="17"/>
  <c r="AU114" i="17"/>
  <c r="AY111" i="17"/>
  <c r="AT109" i="17"/>
  <c r="AY106" i="17"/>
  <c r="AU104" i="17"/>
  <c r="BA101" i="17"/>
  <c r="AW99" i="17"/>
  <c r="BE94" i="17"/>
  <c r="AY91" i="17"/>
  <c r="AU89" i="17"/>
  <c r="BA86" i="17"/>
  <c r="AW84" i="17"/>
  <c r="AY116" i="17"/>
  <c r="BC113" i="17"/>
  <c r="AX111" i="17"/>
  <c r="BE108" i="17"/>
  <c r="AX106" i="17"/>
  <c r="BD103" i="17"/>
  <c r="AZ101" i="17"/>
  <c r="AV99" i="17"/>
  <c r="BD94" i="17"/>
  <c r="AX91" i="17"/>
  <c r="BD88" i="17"/>
  <c r="AZ86" i="17"/>
  <c r="AV84" i="17"/>
  <c r="AX116" i="17"/>
  <c r="BB113" i="17"/>
  <c r="AW111" i="17"/>
  <c r="BD108" i="17"/>
  <c r="AW106" i="17"/>
  <c r="BC103" i="17"/>
  <c r="AY101" i="17"/>
  <c r="AU99" i="17"/>
  <c r="BA94" i="17"/>
  <c r="AW91" i="17"/>
  <c r="BC88" i="17"/>
  <c r="AW116" i="17"/>
  <c r="BA113" i="17"/>
  <c r="AV111" i="17"/>
  <c r="BA108" i="17"/>
  <c r="AV106" i="17"/>
  <c r="BB103" i="17"/>
  <c r="AX101" i="17"/>
  <c r="AT99" i="17"/>
  <c r="AZ94" i="17"/>
  <c r="AV91" i="17"/>
  <c r="BB88" i="17"/>
  <c r="AX86" i="17"/>
  <c r="AT84" i="17"/>
  <c r="AV116" i="17"/>
  <c r="AZ113" i="17"/>
  <c r="AU111" i="17"/>
  <c r="AZ108" i="17"/>
  <c r="AU106" i="17"/>
  <c r="BA103" i="17"/>
  <c r="AW101" i="17"/>
  <c r="BE98" i="17"/>
  <c r="AY94" i="17"/>
  <c r="AU91" i="17"/>
  <c r="BA88" i="17"/>
  <c r="AW86" i="17"/>
  <c r="BE83" i="17"/>
  <c r="AU116" i="17"/>
  <c r="AY113" i="17"/>
  <c r="AT111" i="17"/>
  <c r="AY108" i="17"/>
  <c r="BD105" i="17"/>
  <c r="AZ103" i="17"/>
  <c r="AV101" i="17"/>
  <c r="BD98" i="17"/>
  <c r="AX94" i="17"/>
  <c r="BD90" i="17"/>
  <c r="AZ88" i="17"/>
  <c r="AV86" i="17"/>
  <c r="BD83" i="17"/>
  <c r="BC115" i="17"/>
  <c r="AX113" i="17"/>
  <c r="BE110" i="17"/>
  <c r="AX108" i="17"/>
  <c r="BC105" i="17"/>
  <c r="AY103" i="17"/>
  <c r="AU101" i="17"/>
  <c r="BA98" i="17"/>
  <c r="AW94" i="17"/>
  <c r="BC90" i="17"/>
  <c r="AY88" i="17"/>
  <c r="AU86" i="17"/>
  <c r="BA83" i="17"/>
  <c r="AZ115" i="17"/>
  <c r="AU113" i="17"/>
  <c r="AZ110" i="17"/>
  <c r="AU108" i="17"/>
  <c r="AZ105" i="17"/>
  <c r="AV103" i="17"/>
  <c r="BD100" i="17"/>
  <c r="AX98" i="17"/>
  <c r="BD92" i="17"/>
  <c r="AZ90" i="17"/>
  <c r="AV88" i="17"/>
  <c r="BD85" i="17"/>
  <c r="AX83" i="17"/>
  <c r="AU94" i="17"/>
  <c r="V117" i="17"/>
  <c r="V115" i="17"/>
  <c r="V113" i="17"/>
  <c r="V111" i="17"/>
  <c r="V109" i="17"/>
  <c r="V107" i="17"/>
  <c r="V105" i="17"/>
  <c r="V103" i="17"/>
  <c r="V101" i="17"/>
  <c r="V99" i="17"/>
  <c r="V97" i="17"/>
  <c r="V92" i="17"/>
  <c r="V90" i="17"/>
  <c r="V88" i="17"/>
  <c r="V86" i="17"/>
  <c r="V84" i="17"/>
  <c r="V82" i="17"/>
  <c r="BB90" i="17"/>
  <c r="U117" i="17"/>
  <c r="U115" i="17"/>
  <c r="U113" i="17"/>
  <c r="U111" i="17"/>
  <c r="U109" i="17"/>
  <c r="U107" i="17"/>
  <c r="U105" i="17"/>
  <c r="U103" i="17"/>
  <c r="U101" i="17"/>
  <c r="U99" i="17"/>
  <c r="U97" i="17"/>
  <c r="U92" i="17"/>
  <c r="U90" i="17"/>
  <c r="U88" i="17"/>
  <c r="U86" i="17"/>
  <c r="U84" i="17"/>
  <c r="U82" i="17"/>
  <c r="BA90" i="17"/>
  <c r="AX88" i="17"/>
  <c r="AW88" i="17"/>
  <c r="AY86" i="17"/>
  <c r="AT86" i="17"/>
  <c r="BB115" i="17"/>
  <c r="BE85" i="17"/>
  <c r="BA115" i="17"/>
  <c r="AU84" i="17"/>
  <c r="AW113" i="17"/>
  <c r="AZ83" i="17"/>
  <c r="Y116" i="17"/>
  <c r="Y114" i="17"/>
  <c r="Y112" i="17"/>
  <c r="Y110" i="17"/>
  <c r="Y108" i="17"/>
  <c r="Y106" i="17"/>
  <c r="Y104" i="17"/>
  <c r="Y102" i="17"/>
  <c r="Y100" i="17"/>
  <c r="Y98" i="17"/>
  <c r="Y94" i="17"/>
  <c r="Y91" i="17"/>
  <c r="Y89" i="17"/>
  <c r="AV113" i="17"/>
  <c r="AY83" i="17"/>
  <c r="X116" i="17"/>
  <c r="X114" i="17"/>
  <c r="X112" i="17"/>
  <c r="X110" i="17"/>
  <c r="X108" i="17"/>
  <c r="X106" i="17"/>
  <c r="X104" i="17"/>
  <c r="X102" i="17"/>
  <c r="X100" i="17"/>
  <c r="X98" i="17"/>
  <c r="X94" i="17"/>
  <c r="X91" i="17"/>
  <c r="X89" i="17"/>
  <c r="X87" i="17"/>
  <c r="X85" i="17"/>
  <c r="X83" i="17"/>
  <c r="BD110" i="17"/>
  <c r="BA110" i="17"/>
  <c r="AW108" i="17"/>
  <c r="AV108" i="17"/>
  <c r="T116" i="17"/>
  <c r="T114" i="17"/>
  <c r="T112" i="17"/>
  <c r="T110" i="17"/>
  <c r="BB105" i="17"/>
  <c r="BA105" i="17"/>
  <c r="AX103" i="17"/>
  <c r="AW103" i="17"/>
  <c r="AT101" i="17"/>
  <c r="BE100" i="17"/>
  <c r="AV94" i="17"/>
  <c r="R33" i="17"/>
  <c r="S27" i="17"/>
  <c r="T21" i="17"/>
  <c r="U12" i="17"/>
  <c r="V6" i="17"/>
  <c r="V36" i="17"/>
  <c r="W32" i="17"/>
  <c r="X26" i="17"/>
  <c r="Y18" i="17"/>
  <c r="Z11" i="17"/>
  <c r="AA6" i="17"/>
  <c r="AA36" i="17"/>
  <c r="AB30" i="17"/>
  <c r="AC26" i="17"/>
  <c r="AB82" i="17"/>
  <c r="S85" i="17"/>
  <c r="V87" i="17"/>
  <c r="AA89" i="17"/>
  <c r="S92" i="17"/>
  <c r="Y97" i="17"/>
  <c r="AC99" i="17"/>
  <c r="U102" i="17"/>
  <c r="AA104" i="17"/>
  <c r="S107" i="17"/>
  <c r="Y109" i="17"/>
  <c r="R112" i="17"/>
  <c r="Z114" i="17"/>
  <c r="S117" i="17"/>
  <c r="AA121" i="17"/>
  <c r="W124" i="17"/>
  <c r="W127" i="17"/>
  <c r="R130" i="17"/>
  <c r="W136" i="17"/>
  <c r="W139" i="17"/>
  <c r="AB142" i="17"/>
  <c r="R147" i="17"/>
  <c r="Y162" i="17"/>
  <c r="Y181" i="17"/>
  <c r="Y208" i="17"/>
  <c r="Y236" i="17"/>
  <c r="V264" i="17"/>
  <c r="AA297" i="17"/>
  <c r="AA332" i="17"/>
  <c r="X430" i="17"/>
  <c r="CU133" i="17"/>
  <c r="BS133" i="17"/>
  <c r="AQ133" i="17"/>
  <c r="CU131" i="17"/>
  <c r="BS131" i="17"/>
  <c r="AQ131" i="17"/>
  <c r="CT133" i="17"/>
  <c r="BR133" i="17"/>
  <c r="AP133" i="17"/>
  <c r="CT131" i="17"/>
  <c r="BR131" i="17"/>
  <c r="AP131" i="17"/>
  <c r="CS133" i="17"/>
  <c r="BQ133" i="17"/>
  <c r="AO133" i="17"/>
  <c r="CS131" i="17"/>
  <c r="BQ131" i="17"/>
  <c r="AO131" i="17"/>
  <c r="CR133" i="17"/>
  <c r="BP133" i="17"/>
  <c r="AN133" i="17"/>
  <c r="CR131" i="17"/>
  <c r="BP131" i="17"/>
  <c r="AN131" i="17"/>
  <c r="CQ133" i="17"/>
  <c r="BO133" i="17"/>
  <c r="AM133" i="17"/>
  <c r="CQ131" i="17"/>
  <c r="BO131" i="17"/>
  <c r="AM131" i="17"/>
  <c r="CP133" i="17"/>
  <c r="BN133" i="17"/>
  <c r="AL133" i="17"/>
  <c r="CP131" i="17"/>
  <c r="BN131" i="17"/>
  <c r="CO133" i="17"/>
  <c r="BM133" i="17"/>
  <c r="AK133" i="17"/>
  <c r="CO131" i="17"/>
  <c r="BM131" i="17"/>
  <c r="CN133" i="17"/>
  <c r="BL133" i="17"/>
  <c r="AJ133" i="17"/>
  <c r="CM133" i="17"/>
  <c r="BK133" i="17"/>
  <c r="AI133" i="17"/>
  <c r="CL133" i="17"/>
  <c r="BJ133" i="17"/>
  <c r="AH133" i="17"/>
  <c r="CK133" i="17"/>
  <c r="BI133" i="17"/>
  <c r="AG133" i="17"/>
  <c r="CJ133" i="17"/>
  <c r="BH133" i="17"/>
  <c r="AF133" i="17"/>
  <c r="CJ131" i="17"/>
  <c r="BH131" i="17"/>
  <c r="AF131" i="17"/>
  <c r="CG133" i="17"/>
  <c r="BE133" i="17"/>
  <c r="AC133" i="17"/>
  <c r="CG131" i="17"/>
  <c r="BE131" i="17"/>
  <c r="AC131" i="17"/>
  <c r="CF133" i="17"/>
  <c r="BD133" i="17"/>
  <c r="AB133" i="17"/>
  <c r="CF131" i="17"/>
  <c r="BD131" i="17"/>
  <c r="AB131" i="17"/>
  <c r="CE133" i="17"/>
  <c r="BC133" i="17"/>
  <c r="AA133" i="17"/>
  <c r="CE131" i="17"/>
  <c r="BC131" i="17"/>
  <c r="AA131" i="17"/>
  <c r="CD133" i="17"/>
  <c r="BB133" i="17"/>
  <c r="Z133" i="17"/>
  <c r="CC133" i="17"/>
  <c r="BA133" i="17"/>
  <c r="Y133" i="17"/>
  <c r="CB133" i="17"/>
  <c r="AZ133" i="17"/>
  <c r="X133" i="17"/>
  <c r="CA133" i="17"/>
  <c r="AY133" i="17"/>
  <c r="W133" i="17"/>
  <c r="BZ133" i="17"/>
  <c r="AX133" i="17"/>
  <c r="V133" i="17"/>
  <c r="BY133" i="17"/>
  <c r="AW133" i="17"/>
  <c r="U133" i="17"/>
  <c r="BX133" i="17"/>
  <c r="AV133" i="17"/>
  <c r="T133" i="17"/>
  <c r="BW133" i="17"/>
  <c r="AU133" i="17"/>
  <c r="S133" i="17"/>
  <c r="BV133" i="17"/>
  <c r="AT133" i="17"/>
  <c r="R133" i="17"/>
  <c r="CL131" i="17"/>
  <c r="AL131" i="17"/>
  <c r="CK131" i="17"/>
  <c r="AK131" i="17"/>
  <c r="CD131" i="17"/>
  <c r="AJ131" i="17"/>
  <c r="CC131" i="17"/>
  <c r="AI131" i="17"/>
  <c r="CB131" i="17"/>
  <c r="AH131" i="17"/>
  <c r="CA131" i="17"/>
  <c r="AG131" i="17"/>
  <c r="BZ131" i="17"/>
  <c r="Z131" i="17"/>
  <c r="BY131" i="17"/>
  <c r="Y131" i="17"/>
  <c r="BX131" i="17"/>
  <c r="X131" i="17"/>
  <c r="BW131" i="17"/>
  <c r="W131" i="17"/>
  <c r="BV131" i="17"/>
  <c r="V131" i="17"/>
  <c r="BL131" i="17"/>
  <c r="U131" i="17"/>
  <c r="BK131" i="17"/>
  <c r="T131" i="17"/>
  <c r="BJ131" i="17"/>
  <c r="S131" i="17"/>
  <c r="BI131" i="17"/>
  <c r="R131" i="17"/>
  <c r="BB131" i="17"/>
  <c r="BA131" i="17"/>
  <c r="AZ131" i="17"/>
  <c r="AY131" i="17"/>
  <c r="AX131" i="17"/>
  <c r="AW131" i="17"/>
  <c r="AV131" i="17"/>
  <c r="CM131" i="17"/>
  <c r="AT131" i="17"/>
  <c r="BV134" i="17"/>
  <c r="AT134" i="17"/>
  <c r="R134" i="17"/>
  <c r="CU134" i="17"/>
  <c r="BS134" i="17"/>
  <c r="AQ134" i="17"/>
  <c r="CT134" i="17"/>
  <c r="BR134" i="17"/>
  <c r="AP134" i="17"/>
  <c r="CS134" i="17"/>
  <c r="BQ134" i="17"/>
  <c r="AO134" i="17"/>
  <c r="CR134" i="17"/>
  <c r="BP134" i="17"/>
  <c r="AN134" i="17"/>
  <c r="CN131" i="17"/>
  <c r="CQ134" i="17"/>
  <c r="BO134" i="17"/>
  <c r="AM134" i="17"/>
  <c r="AU131" i="17"/>
  <c r="CP134" i="17"/>
  <c r="BN134" i="17"/>
  <c r="AL134" i="17"/>
  <c r="CL134" i="17"/>
  <c r="BJ134" i="17"/>
  <c r="AH134" i="17"/>
  <c r="CJ134" i="17"/>
  <c r="BH134" i="17"/>
  <c r="AF134" i="17"/>
  <c r="CM134" i="17"/>
  <c r="AX134" i="17"/>
  <c r="CK134" i="17"/>
  <c r="AW134" i="17"/>
  <c r="CG134" i="17"/>
  <c r="AV134" i="17"/>
  <c r="CF134" i="17"/>
  <c r="AU134" i="17"/>
  <c r="CE134" i="17"/>
  <c r="AK134" i="17"/>
  <c r="CD134" i="17"/>
  <c r="AJ134" i="17"/>
  <c r="CC134" i="17"/>
  <c r="AI134" i="17"/>
  <c r="CB134" i="17"/>
  <c r="AG134" i="17"/>
  <c r="CA134" i="17"/>
  <c r="AC134" i="17"/>
  <c r="BZ134" i="17"/>
  <c r="AB134" i="17"/>
  <c r="BY134" i="17"/>
  <c r="AA134" i="17"/>
  <c r="BX134" i="17"/>
  <c r="Z134" i="17"/>
  <c r="BW134" i="17"/>
  <c r="Y134" i="17"/>
  <c r="BM134" i="17"/>
  <c r="X134" i="17"/>
  <c r="BL134" i="17"/>
  <c r="W134" i="17"/>
  <c r="BK134" i="17"/>
  <c r="V134" i="17"/>
  <c r="BI134" i="17"/>
  <c r="U134" i="17"/>
  <c r="BE134" i="17"/>
  <c r="T134" i="17"/>
  <c r="BD134" i="17"/>
  <c r="S134" i="17"/>
  <c r="BC134" i="17"/>
  <c r="BB134" i="17"/>
  <c r="BA134" i="17"/>
  <c r="CN134" i="17"/>
  <c r="AY134" i="17"/>
  <c r="AG155" i="17"/>
  <c r="AG153" i="17"/>
  <c r="AG151" i="17"/>
  <c r="AG149" i="17"/>
  <c r="AG147" i="17"/>
  <c r="AG145" i="17"/>
  <c r="AG143" i="17"/>
  <c r="AG141" i="17"/>
  <c r="AG139" i="17"/>
  <c r="AG137" i="17"/>
  <c r="AG135" i="17"/>
  <c r="AO154" i="17"/>
  <c r="AO152" i="17"/>
  <c r="AO150" i="17"/>
  <c r="AO148" i="17"/>
  <c r="AO146" i="17"/>
  <c r="AO144" i="17"/>
  <c r="AO142" i="17"/>
  <c r="AO140" i="17"/>
  <c r="AO138" i="17"/>
  <c r="AO136" i="17"/>
  <c r="AO132" i="17"/>
  <c r="AO129" i="17"/>
  <c r="AO127" i="17"/>
  <c r="AO125" i="17"/>
  <c r="CO134" i="17"/>
  <c r="AZ134" i="17"/>
  <c r="AQ155" i="17"/>
  <c r="AO153" i="17"/>
  <c r="AM151" i="17"/>
  <c r="AK149" i="17"/>
  <c r="AI147" i="17"/>
  <c r="AF145" i="17"/>
  <c r="AP142" i="17"/>
  <c r="AM140" i="17"/>
  <c r="AK138" i="17"/>
  <c r="AI136" i="17"/>
  <c r="AG132" i="17"/>
  <c r="AF129" i="17"/>
  <c r="AQ126" i="17"/>
  <c r="AP124" i="17"/>
  <c r="AP122" i="17"/>
  <c r="AP120" i="17"/>
  <c r="AP155" i="17"/>
  <c r="AN153" i="17"/>
  <c r="AL151" i="17"/>
  <c r="AJ149" i="17"/>
  <c r="AH147" i="17"/>
  <c r="AQ144" i="17"/>
  <c r="AN142" i="17"/>
  <c r="AL140" i="17"/>
  <c r="AJ138" i="17"/>
  <c r="AH136" i="17"/>
  <c r="AF132" i="17"/>
  <c r="AQ128" i="17"/>
  <c r="AP126" i="17"/>
  <c r="AO124" i="17"/>
  <c r="AO122" i="17"/>
  <c r="AO120" i="17"/>
  <c r="AO155" i="17"/>
  <c r="AM153" i="17"/>
  <c r="AK151" i="17"/>
  <c r="AI149" i="17"/>
  <c r="AF147" i="17"/>
  <c r="AP144" i="17"/>
  <c r="AM142" i="17"/>
  <c r="AK140" i="17"/>
  <c r="AI138" i="17"/>
  <c r="AG136" i="17"/>
  <c r="AQ130" i="17"/>
  <c r="AP128" i="17"/>
  <c r="AO126" i="17"/>
  <c r="AN124" i="17"/>
  <c r="AN122" i="17"/>
  <c r="AN120" i="17"/>
  <c r="AN155" i="17"/>
  <c r="AL153" i="17"/>
  <c r="AJ151" i="17"/>
  <c r="AH149" i="17"/>
  <c r="AQ146" i="17"/>
  <c r="AN144" i="17"/>
  <c r="AL142" i="17"/>
  <c r="AJ140" i="17"/>
  <c r="AH138" i="17"/>
  <c r="AF136" i="17"/>
  <c r="AP130" i="17"/>
  <c r="AO128" i="17"/>
  <c r="AN126" i="17"/>
  <c r="AM124" i="17"/>
  <c r="AM122" i="17"/>
  <c r="AM120" i="17"/>
  <c r="AM155" i="17"/>
  <c r="AK153" i="17"/>
  <c r="AI151" i="17"/>
  <c r="AF149" i="17"/>
  <c r="AP146" i="17"/>
  <c r="AM144" i="17"/>
  <c r="AK142" i="17"/>
  <c r="AI140" i="17"/>
  <c r="AG138" i="17"/>
  <c r="AQ135" i="17"/>
  <c r="AO130" i="17"/>
  <c r="AN128" i="17"/>
  <c r="AM126" i="17"/>
  <c r="AL124" i="17"/>
  <c r="AL122" i="17"/>
  <c r="AL120" i="17"/>
  <c r="AL155" i="17"/>
  <c r="AJ153" i="17"/>
  <c r="AH151" i="17"/>
  <c r="AQ148" i="17"/>
  <c r="AN146" i="17"/>
  <c r="AL144" i="17"/>
  <c r="AJ142" i="17"/>
  <c r="AH140" i="17"/>
  <c r="AF138" i="17"/>
  <c r="AP135" i="17"/>
  <c r="AN130" i="17"/>
  <c r="AM128" i="17"/>
  <c r="AL126" i="17"/>
  <c r="AK124" i="17"/>
  <c r="AK122" i="17"/>
  <c r="AK120" i="17"/>
  <c r="AK155" i="17"/>
  <c r="AI153" i="17"/>
  <c r="AF151" i="17"/>
  <c r="AP148" i="17"/>
  <c r="AM146" i="17"/>
  <c r="AK144" i="17"/>
  <c r="AI142" i="17"/>
  <c r="AG140" i="17"/>
  <c r="AQ137" i="17"/>
  <c r="AO135" i="17"/>
  <c r="AM130" i="17"/>
  <c r="AL128" i="17"/>
  <c r="AK126" i="17"/>
  <c r="AJ124" i="17"/>
  <c r="AJ122" i="17"/>
  <c r="AJ120" i="17"/>
  <c r="AJ155" i="17"/>
  <c r="AH153" i="17"/>
  <c r="AQ150" i="17"/>
  <c r="AN148" i="17"/>
  <c r="AL146" i="17"/>
  <c r="AJ144" i="17"/>
  <c r="AH142" i="17"/>
  <c r="AF140" i="17"/>
  <c r="AP137" i="17"/>
  <c r="AN135" i="17"/>
  <c r="AL130" i="17"/>
  <c r="AK128" i="17"/>
  <c r="AJ126" i="17"/>
  <c r="AI124" i="17"/>
  <c r="AI122" i="17"/>
  <c r="AI120" i="17"/>
  <c r="AI155" i="17"/>
  <c r="AF153" i="17"/>
  <c r="AP150" i="17"/>
  <c r="AM148" i="17"/>
  <c r="AK146" i="17"/>
  <c r="AI144" i="17"/>
  <c r="AG142" i="17"/>
  <c r="AQ139" i="17"/>
  <c r="AO137" i="17"/>
  <c r="AM135" i="17"/>
  <c r="AK130" i="17"/>
  <c r="AJ128" i="17"/>
  <c r="AI126" i="17"/>
  <c r="AH124" i="17"/>
  <c r="AH122" i="17"/>
  <c r="AH120" i="17"/>
  <c r="AH155" i="17"/>
  <c r="AQ152" i="17"/>
  <c r="AN150" i="17"/>
  <c r="AL148" i="17"/>
  <c r="AJ146" i="17"/>
  <c r="AH144" i="17"/>
  <c r="AF142" i="17"/>
  <c r="AP139" i="17"/>
  <c r="AN137" i="17"/>
  <c r="AL135" i="17"/>
  <c r="AJ130" i="17"/>
  <c r="AI128" i="17"/>
  <c r="AH126" i="17"/>
  <c r="AG124" i="17"/>
  <c r="AG122" i="17"/>
  <c r="AG120" i="17"/>
  <c r="AF155" i="17"/>
  <c r="AP152" i="17"/>
  <c r="AM150" i="17"/>
  <c r="AK148" i="17"/>
  <c r="AI146" i="17"/>
  <c r="AG144" i="17"/>
  <c r="AQ141" i="17"/>
  <c r="AO139" i="17"/>
  <c r="AM137" i="17"/>
  <c r="AK135" i="17"/>
  <c r="AI130" i="17"/>
  <c r="AH128" i="17"/>
  <c r="AG126" i="17"/>
  <c r="AF124" i="17"/>
  <c r="AF122" i="17"/>
  <c r="AF120" i="17"/>
  <c r="AQ154" i="17"/>
  <c r="AN152" i="17"/>
  <c r="AL150" i="17"/>
  <c r="AJ148" i="17"/>
  <c r="AH146" i="17"/>
  <c r="AF144" i="17"/>
  <c r="AP141" i="17"/>
  <c r="AN139" i="17"/>
  <c r="AL137" i="17"/>
  <c r="AJ135" i="17"/>
  <c r="AH130" i="17"/>
  <c r="AG128" i="17"/>
  <c r="AF126" i="17"/>
  <c r="AQ123" i="17"/>
  <c r="AQ121" i="17"/>
  <c r="AP154" i="17"/>
  <c r="AM152" i="17"/>
  <c r="AK150" i="17"/>
  <c r="AI148" i="17"/>
  <c r="AG146" i="17"/>
  <c r="AQ143" i="17"/>
  <c r="AO141" i="17"/>
  <c r="AM139" i="17"/>
  <c r="AK137" i="17"/>
  <c r="AI135" i="17"/>
  <c r="AG130" i="17"/>
  <c r="AF128" i="17"/>
  <c r="AQ125" i="17"/>
  <c r="AP123" i="17"/>
  <c r="AP121" i="17"/>
  <c r="AN154" i="17"/>
  <c r="AL152" i="17"/>
  <c r="AJ150" i="17"/>
  <c r="AH148" i="17"/>
  <c r="AF146" i="17"/>
  <c r="AP143" i="17"/>
  <c r="AN141" i="17"/>
  <c r="AL139" i="17"/>
  <c r="AJ137" i="17"/>
  <c r="AH135" i="17"/>
  <c r="AF130" i="17"/>
  <c r="AQ127" i="17"/>
  <c r="AP125" i="17"/>
  <c r="AO123" i="17"/>
  <c r="AO121" i="17"/>
  <c r="AM154" i="17"/>
  <c r="AK152" i="17"/>
  <c r="AI150" i="17"/>
  <c r="AG148" i="17"/>
  <c r="AQ145" i="17"/>
  <c r="AO143" i="17"/>
  <c r="AM141" i="17"/>
  <c r="AK139" i="17"/>
  <c r="AI137" i="17"/>
  <c r="AF135" i="17"/>
  <c r="AQ129" i="17"/>
  <c r="AP127" i="17"/>
  <c r="AN125" i="17"/>
  <c r="AN123" i="17"/>
  <c r="AN121" i="17"/>
  <c r="AL154" i="17"/>
  <c r="AJ152" i="17"/>
  <c r="AH150" i="17"/>
  <c r="AF148" i="17"/>
  <c r="AP145" i="17"/>
  <c r="AN143" i="17"/>
  <c r="AL141" i="17"/>
  <c r="AJ139" i="17"/>
  <c r="AH137" i="17"/>
  <c r="AQ132" i="17"/>
  <c r="AP129" i="17"/>
  <c r="AN127" i="17"/>
  <c r="AM125" i="17"/>
  <c r="AM123" i="17"/>
  <c r="AM121" i="17"/>
  <c r="AK154" i="17"/>
  <c r="AI152" i="17"/>
  <c r="AG150" i="17"/>
  <c r="AQ147" i="17"/>
  <c r="AO145" i="17"/>
  <c r="AM143" i="17"/>
  <c r="AK141" i="17"/>
  <c r="AI139" i="17"/>
  <c r="AF137" i="17"/>
  <c r="AP132" i="17"/>
  <c r="AN129" i="17"/>
  <c r="AM127" i="17"/>
  <c r="AL125" i="17"/>
  <c r="AL123" i="17"/>
  <c r="AL121" i="17"/>
  <c r="AJ154" i="17"/>
  <c r="AH152" i="17"/>
  <c r="AF150" i="17"/>
  <c r="AP147" i="17"/>
  <c r="AN145" i="17"/>
  <c r="AL143" i="17"/>
  <c r="AJ141" i="17"/>
  <c r="AH139" i="17"/>
  <c r="AQ136" i="17"/>
  <c r="AN132" i="17"/>
  <c r="AM129" i="17"/>
  <c r="AL127" i="17"/>
  <c r="AK125" i="17"/>
  <c r="AK123" i="17"/>
  <c r="AK121" i="17"/>
  <c r="AI154" i="17"/>
  <c r="AG152" i="17"/>
  <c r="AQ149" i="17"/>
  <c r="AO147" i="17"/>
  <c r="AM145" i="17"/>
  <c r="AK143" i="17"/>
  <c r="AI141" i="17"/>
  <c r="AF139" i="17"/>
  <c r="AP136" i="17"/>
  <c r="AM132" i="17"/>
  <c r="AL129" i="17"/>
  <c r="AK127" i="17"/>
  <c r="AJ125" i="17"/>
  <c r="AJ123" i="17"/>
  <c r="AJ121" i="17"/>
  <c r="AF154" i="17"/>
  <c r="AP151" i="17"/>
  <c r="AN149" i="17"/>
  <c r="AL147" i="17"/>
  <c r="AJ145" i="17"/>
  <c r="AH143" i="17"/>
  <c r="AQ140" i="17"/>
  <c r="AN138" i="17"/>
  <c r="AL136" i="17"/>
  <c r="AJ132" i="17"/>
  <c r="AI129" i="17"/>
  <c r="AH127" i="17"/>
  <c r="AG125" i="17"/>
  <c r="AG123" i="17"/>
  <c r="AG121" i="17"/>
  <c r="AQ153" i="17"/>
  <c r="AO151" i="17"/>
  <c r="AM149" i="17"/>
  <c r="AK147" i="17"/>
  <c r="AI145" i="17"/>
  <c r="AF143" i="17"/>
  <c r="AP140" i="17"/>
  <c r="AM138" i="17"/>
  <c r="AK136" i="17"/>
  <c r="AI132" i="17"/>
  <c r="AH129" i="17"/>
  <c r="AG127" i="17"/>
  <c r="AF125" i="17"/>
  <c r="AF123" i="17"/>
  <c r="AF121" i="17"/>
  <c r="AP153" i="17"/>
  <c r="AN151" i="17"/>
  <c r="AL149" i="17"/>
  <c r="AJ147" i="17"/>
  <c r="AH145" i="17"/>
  <c r="AQ142" i="17"/>
  <c r="AN140" i="17"/>
  <c r="AL138" i="17"/>
  <c r="AJ136" i="17"/>
  <c r="AH132" i="17"/>
  <c r="AG129" i="17"/>
  <c r="AF127" i="17"/>
  <c r="AQ124" i="17"/>
  <c r="AQ122" i="17"/>
  <c r="AQ120" i="17"/>
  <c r="AJ143" i="17"/>
  <c r="AI143" i="17"/>
  <c r="AH141" i="17"/>
  <c r="AF141" i="17"/>
  <c r="AQ138" i="17"/>
  <c r="AP138" i="17"/>
  <c r="AN136" i="17"/>
  <c r="AM136" i="17"/>
  <c r="AL132" i="17"/>
  <c r="AK132" i="17"/>
  <c r="AK129" i="17"/>
  <c r="AJ129" i="17"/>
  <c r="AJ127" i="17"/>
  <c r="AI127" i="17"/>
  <c r="AH154" i="17"/>
  <c r="AI125" i="17"/>
  <c r="AG154" i="17"/>
  <c r="AH125" i="17"/>
  <c r="AF152" i="17"/>
  <c r="AI123" i="17"/>
  <c r="AQ151" i="17"/>
  <c r="AH123" i="17"/>
  <c r="AP149" i="17"/>
  <c r="AI121" i="17"/>
  <c r="AO149" i="17"/>
  <c r="AH121" i="17"/>
  <c r="AN147" i="17"/>
  <c r="AK145" i="17"/>
  <c r="CN155" i="17"/>
  <c r="CN153" i="17"/>
  <c r="CN151" i="17"/>
  <c r="CN149" i="17"/>
  <c r="CN147" i="17"/>
  <c r="CN145" i="17"/>
  <c r="CN143" i="17"/>
  <c r="CN141" i="17"/>
  <c r="CN139" i="17"/>
  <c r="CN137" i="17"/>
  <c r="CN135" i="17"/>
  <c r="CN130" i="17"/>
  <c r="CN128" i="17"/>
  <c r="CN126" i="17"/>
  <c r="CN124" i="17"/>
  <c r="CN122" i="17"/>
  <c r="CN120" i="17"/>
  <c r="CM155" i="17"/>
  <c r="CM153" i="17"/>
  <c r="CM151" i="17"/>
  <c r="CM149" i="17"/>
  <c r="CM147" i="17"/>
  <c r="CM145" i="17"/>
  <c r="CM143" i="17"/>
  <c r="CM141" i="17"/>
  <c r="CM139" i="17"/>
  <c r="CM137" i="17"/>
  <c r="CM135" i="17"/>
  <c r="CM130" i="17"/>
  <c r="CM128" i="17"/>
  <c r="CM126" i="17"/>
  <c r="CM124" i="17"/>
  <c r="CM122" i="17"/>
  <c r="CM120" i="17"/>
  <c r="AM147" i="17"/>
  <c r="CL155" i="17"/>
  <c r="CL153" i="17"/>
  <c r="CL151" i="17"/>
  <c r="CL149" i="17"/>
  <c r="CL147" i="17"/>
  <c r="CL145" i="17"/>
  <c r="CL143" i="17"/>
  <c r="CL141" i="17"/>
  <c r="AL145" i="17"/>
  <c r="CJ155" i="17"/>
  <c r="CJ153" i="17"/>
  <c r="CJ151" i="17"/>
  <c r="CJ149" i="17"/>
  <c r="CJ147" i="17"/>
  <c r="CJ145" i="17"/>
  <c r="CJ143" i="17"/>
  <c r="CJ141" i="17"/>
  <c r="CJ139" i="17"/>
  <c r="CJ137" i="17"/>
  <c r="CJ135" i="17"/>
  <c r="CJ130" i="17"/>
  <c r="CJ128" i="17"/>
  <c r="CJ126" i="17"/>
  <c r="CJ124" i="17"/>
  <c r="CJ122" i="17"/>
  <c r="CJ120" i="17"/>
  <c r="CU154" i="17"/>
  <c r="CU152" i="17"/>
  <c r="CU150" i="17"/>
  <c r="CU148" i="17"/>
  <c r="CU146" i="17"/>
  <c r="CU144" i="17"/>
  <c r="CU142" i="17"/>
  <c r="CU140" i="17"/>
  <c r="CU138" i="17"/>
  <c r="CU136" i="17"/>
  <c r="CT154" i="17"/>
  <c r="CT152" i="17"/>
  <c r="CT150" i="17"/>
  <c r="CT148" i="17"/>
  <c r="CT146" i="17"/>
  <c r="CT144" i="17"/>
  <c r="CT142" i="17"/>
  <c r="CT140" i="17"/>
  <c r="CT138" i="17"/>
  <c r="CT136" i="17"/>
  <c r="CT132" i="17"/>
  <c r="CT129" i="17"/>
  <c r="CT127" i="17"/>
  <c r="CT125" i="17"/>
  <c r="CT123" i="17"/>
  <c r="CT121" i="17"/>
  <c r="CS154" i="17"/>
  <c r="CS152" i="17"/>
  <c r="CS150" i="17"/>
  <c r="CS148" i="17"/>
  <c r="CR154" i="17"/>
  <c r="CR152" i="17"/>
  <c r="CR150" i="17"/>
  <c r="CR148" i="17"/>
  <c r="CR146" i="17"/>
  <c r="CR144" i="17"/>
  <c r="CQ154" i="17"/>
  <c r="CQ152" i="17"/>
  <c r="CQ150" i="17"/>
  <c r="CQ148" i="17"/>
  <c r="CQ146" i="17"/>
  <c r="CQ144" i="17"/>
  <c r="CQ142" i="17"/>
  <c r="CQ140" i="17"/>
  <c r="CQ138" i="17"/>
  <c r="CQ136" i="17"/>
  <c r="CQ132" i="17"/>
  <c r="CQ129" i="17"/>
  <c r="CQ127" i="17"/>
  <c r="CQ125" i="17"/>
  <c r="CQ123" i="17"/>
  <c r="CQ121" i="17"/>
  <c r="CP154" i="17"/>
  <c r="CP152" i="17"/>
  <c r="CP150" i="17"/>
  <c r="CP148" i="17"/>
  <c r="CP146" i="17"/>
  <c r="CP144" i="17"/>
  <c r="CP142" i="17"/>
  <c r="CP140" i="17"/>
  <c r="CP138" i="17"/>
  <c r="CP136" i="17"/>
  <c r="CP132" i="17"/>
  <c r="CP129" i="17"/>
  <c r="CP127" i="17"/>
  <c r="CP125" i="17"/>
  <c r="CP123" i="17"/>
  <c r="CP121" i="17"/>
  <c r="CN154" i="17"/>
  <c r="CN152" i="17"/>
  <c r="CN150" i="17"/>
  <c r="CN148" i="17"/>
  <c r="CN146" i="17"/>
  <c r="CN144" i="17"/>
  <c r="CN142" i="17"/>
  <c r="CN140" i="17"/>
  <c r="CN138" i="17"/>
  <c r="CN136" i="17"/>
  <c r="CN132" i="17"/>
  <c r="CN129" i="17"/>
  <c r="CN127" i="17"/>
  <c r="CK154" i="17"/>
  <c r="CK152" i="17"/>
  <c r="CK150" i="17"/>
  <c r="CK148" i="17"/>
  <c r="CK146" i="17"/>
  <c r="CK144" i="17"/>
  <c r="CK142" i="17"/>
  <c r="CK140" i="17"/>
  <c r="CK138" i="17"/>
  <c r="CK136" i="17"/>
  <c r="CK132" i="17"/>
  <c r="CK129" i="17"/>
  <c r="CS155" i="17"/>
  <c r="CS153" i="17"/>
  <c r="CS151" i="17"/>
  <c r="CS149" i="17"/>
  <c r="CS147" i="17"/>
  <c r="CM154" i="17"/>
  <c r="CJ150" i="17"/>
  <c r="CU145" i="17"/>
  <c r="CM142" i="17"/>
  <c r="CL139" i="17"/>
  <c r="CT135" i="17"/>
  <c r="CU129" i="17"/>
  <c r="CU126" i="17"/>
  <c r="CO124" i="17"/>
  <c r="CO121" i="17"/>
  <c r="CL154" i="17"/>
  <c r="CU149" i="17"/>
  <c r="CT145" i="17"/>
  <c r="CL142" i="17"/>
  <c r="CK139" i="17"/>
  <c r="CS135" i="17"/>
  <c r="CS129" i="17"/>
  <c r="CT126" i="17"/>
  <c r="CL124" i="17"/>
  <c r="CN121" i="17"/>
  <c r="CJ154" i="17"/>
  <c r="CT149" i="17"/>
  <c r="CS145" i="17"/>
  <c r="CJ142" i="17"/>
  <c r="CS138" i="17"/>
  <c r="CR135" i="17"/>
  <c r="CR129" i="17"/>
  <c r="CS126" i="17"/>
  <c r="CK124" i="17"/>
  <c r="CM121" i="17"/>
  <c r="CU153" i="17"/>
  <c r="CR149" i="17"/>
  <c r="CR145" i="17"/>
  <c r="CU141" i="17"/>
  <c r="CR138" i="17"/>
  <c r="CQ135" i="17"/>
  <c r="CO129" i="17"/>
  <c r="CR126" i="17"/>
  <c r="CU123" i="17"/>
  <c r="CL121" i="17"/>
  <c r="CT153" i="17"/>
  <c r="CQ149" i="17"/>
  <c r="CQ145" i="17"/>
  <c r="CT141" i="17"/>
  <c r="CO138" i="17"/>
  <c r="CP135" i="17"/>
  <c r="CM129" i="17"/>
  <c r="CQ126" i="17"/>
  <c r="CS123" i="17"/>
  <c r="CK121" i="17"/>
  <c r="CR153" i="17"/>
  <c r="CP149" i="17"/>
  <c r="CP145" i="17"/>
  <c r="CS141" i="17"/>
  <c r="CM138" i="17"/>
  <c r="CO135" i="17"/>
  <c r="CL129" i="17"/>
  <c r="CP126" i="17"/>
  <c r="CR123" i="17"/>
  <c r="CJ121" i="17"/>
  <c r="CQ153" i="17"/>
  <c r="CO149" i="17"/>
  <c r="CO145" i="17"/>
  <c r="CR141" i="17"/>
  <c r="CL138" i="17"/>
  <c r="CL135" i="17"/>
  <c r="CJ129" i="17"/>
  <c r="CO126" i="17"/>
  <c r="CO123" i="17"/>
  <c r="CU120" i="17"/>
  <c r="CP153" i="17"/>
  <c r="CK149" i="17"/>
  <c r="CK145" i="17"/>
  <c r="CQ141" i="17"/>
  <c r="CJ138" i="17"/>
  <c r="CK135" i="17"/>
  <c r="CU128" i="17"/>
  <c r="CL126" i="17"/>
  <c r="CN123" i="17"/>
  <c r="CT120" i="17"/>
  <c r="CO153" i="17"/>
  <c r="CO148" i="17"/>
  <c r="CS144" i="17"/>
  <c r="CP141" i="17"/>
  <c r="CU137" i="17"/>
  <c r="CU132" i="17"/>
  <c r="CT128" i="17"/>
  <c r="CK126" i="17"/>
  <c r="CM123" i="17"/>
  <c r="CS120" i="17"/>
  <c r="CK153" i="17"/>
  <c r="CM148" i="17"/>
  <c r="CO144" i="17"/>
  <c r="CO141" i="17"/>
  <c r="CT137" i="17"/>
  <c r="CS132" i="17"/>
  <c r="CS128" i="17"/>
  <c r="CU125" i="17"/>
  <c r="CL123" i="17"/>
  <c r="CR120" i="17"/>
  <c r="CO152" i="17"/>
  <c r="CL148" i="17"/>
  <c r="CM144" i="17"/>
  <c r="CK141" i="17"/>
  <c r="CS137" i="17"/>
  <c r="CR132" i="17"/>
  <c r="CR128" i="17"/>
  <c r="CS125" i="17"/>
  <c r="CK123" i="17"/>
  <c r="CQ120" i="17"/>
  <c r="CM152" i="17"/>
  <c r="CJ148" i="17"/>
  <c r="CL144" i="17"/>
  <c r="CS140" i="17"/>
  <c r="CR137" i="17"/>
  <c r="CO132" i="17"/>
  <c r="CQ128" i="17"/>
  <c r="CR125" i="17"/>
  <c r="CJ123" i="17"/>
  <c r="CP120" i="17"/>
  <c r="CL152" i="17"/>
  <c r="CU147" i="17"/>
  <c r="CJ144" i="17"/>
  <c r="CR140" i="17"/>
  <c r="CQ137" i="17"/>
  <c r="CM132" i="17"/>
  <c r="CP128" i="17"/>
  <c r="CO125" i="17"/>
  <c r="CU122" i="17"/>
  <c r="CO120" i="17"/>
  <c r="CJ152" i="17"/>
  <c r="CT147" i="17"/>
  <c r="CU143" i="17"/>
  <c r="CO140" i="17"/>
  <c r="CP137" i="17"/>
  <c r="CL132" i="17"/>
  <c r="CO128" i="17"/>
  <c r="CN125" i="17"/>
  <c r="CT122" i="17"/>
  <c r="CL120" i="17"/>
  <c r="CU151" i="17"/>
  <c r="CR147" i="17"/>
  <c r="CT143" i="17"/>
  <c r="CM140" i="17"/>
  <c r="CO137" i="17"/>
  <c r="CJ132" i="17"/>
  <c r="CL128" i="17"/>
  <c r="CM125" i="17"/>
  <c r="CS122" i="17"/>
  <c r="CK120" i="17"/>
  <c r="CT151" i="17"/>
  <c r="CQ147" i="17"/>
  <c r="CS143" i="17"/>
  <c r="CL140" i="17"/>
  <c r="CL137" i="17"/>
  <c r="CU130" i="17"/>
  <c r="CK128" i="17"/>
  <c r="CL125" i="17"/>
  <c r="CR122" i="17"/>
  <c r="CU155" i="17"/>
  <c r="CR151" i="17"/>
  <c r="CP147" i="17"/>
  <c r="CR143" i="17"/>
  <c r="CJ140" i="17"/>
  <c r="CK137" i="17"/>
  <c r="CT130" i="17"/>
  <c r="CU127" i="17"/>
  <c r="CK125" i="17"/>
  <c r="CQ122" i="17"/>
  <c r="CT155" i="17"/>
  <c r="CQ151" i="17"/>
  <c r="CO147" i="17"/>
  <c r="CQ143" i="17"/>
  <c r="CU139" i="17"/>
  <c r="CS136" i="17"/>
  <c r="CS130" i="17"/>
  <c r="CS127" i="17"/>
  <c r="CJ125" i="17"/>
  <c r="CP122" i="17"/>
  <c r="CR155" i="17"/>
  <c r="CP151" i="17"/>
  <c r="CK147" i="17"/>
  <c r="CP143" i="17"/>
  <c r="CT139" i="17"/>
  <c r="CR136" i="17"/>
  <c r="CR130" i="17"/>
  <c r="CR127" i="17"/>
  <c r="CU124" i="17"/>
  <c r="CO122" i="17"/>
  <c r="CQ155" i="17"/>
  <c r="CO151" i="17"/>
  <c r="CS146" i="17"/>
  <c r="CO143" i="17"/>
  <c r="CS139" i="17"/>
  <c r="CO136" i="17"/>
  <c r="CQ130" i="17"/>
  <c r="CO127" i="17"/>
  <c r="CT124" i="17"/>
  <c r="CL122" i="17"/>
  <c r="CP155" i="17"/>
  <c r="CK151" i="17"/>
  <c r="CO146" i="17"/>
  <c r="CK143" i="17"/>
  <c r="CR139" i="17"/>
  <c r="CM136" i="17"/>
  <c r="CP130" i="17"/>
  <c r="CM127" i="17"/>
  <c r="CS124" i="17"/>
  <c r="CK122" i="17"/>
  <c r="CO155" i="17"/>
  <c r="CO150" i="17"/>
  <c r="CM146" i="17"/>
  <c r="CS142" i="17"/>
  <c r="CQ139" i="17"/>
  <c r="CL136" i="17"/>
  <c r="CO130" i="17"/>
  <c r="CL127" i="17"/>
  <c r="CO154" i="17"/>
  <c r="CL150" i="17"/>
  <c r="CJ146" i="17"/>
  <c r="CO142" i="17"/>
  <c r="CO139" i="17"/>
  <c r="CU135" i="17"/>
  <c r="CK130" i="17"/>
  <c r="CJ127" i="17"/>
  <c r="CP124" i="17"/>
  <c r="CR121" i="17"/>
  <c r="CD154" i="17"/>
  <c r="CD152" i="17"/>
  <c r="CD150" i="17"/>
  <c r="CD148" i="17"/>
  <c r="CD146" i="17"/>
  <c r="CD144" i="17"/>
  <c r="CD142" i="17"/>
  <c r="CD140" i="17"/>
  <c r="CD138" i="17"/>
  <c r="CC154" i="17"/>
  <c r="CC152" i="17"/>
  <c r="CC150" i="17"/>
  <c r="CC148" i="17"/>
  <c r="CC146" i="17"/>
  <c r="CC144" i="17"/>
  <c r="CC142" i="17"/>
  <c r="CC140" i="17"/>
  <c r="CC138" i="17"/>
  <c r="CF155" i="17"/>
  <c r="CF153" i="17"/>
  <c r="CF151" i="17"/>
  <c r="CF149" i="17"/>
  <c r="CF147" i="17"/>
  <c r="CF145" i="17"/>
  <c r="CF143" i="17"/>
  <c r="CK155" i="17"/>
  <c r="CM150" i="17"/>
  <c r="CL146" i="17"/>
  <c r="CR142" i="17"/>
  <c r="CP139" i="17"/>
  <c r="CJ136" i="17"/>
  <c r="CL130" i="17"/>
  <c r="CK127" i="17"/>
  <c r="CR124" i="17"/>
  <c r="CQ124" i="17"/>
  <c r="CS121" i="17"/>
  <c r="BW154" i="17"/>
  <c r="CE151" i="17"/>
  <c r="CB149" i="17"/>
  <c r="BY147" i="17"/>
  <c r="BV145" i="17"/>
  <c r="CE142" i="17"/>
  <c r="CA140" i="17"/>
  <c r="BY138" i="17"/>
  <c r="BY136" i="17"/>
  <c r="BY132" i="17"/>
  <c r="BY129" i="17"/>
  <c r="BY127" i="17"/>
  <c r="BY125" i="17"/>
  <c r="BY123" i="17"/>
  <c r="BY121" i="17"/>
  <c r="CU121" i="17"/>
  <c r="BV154" i="17"/>
  <c r="CD151" i="17"/>
  <c r="CA149" i="17"/>
  <c r="BX147" i="17"/>
  <c r="CG144" i="17"/>
  <c r="CB142" i="17"/>
  <c r="BZ140" i="17"/>
  <c r="BX138" i="17"/>
  <c r="BX136" i="17"/>
  <c r="CG153" i="17"/>
  <c r="CC151" i="17"/>
  <c r="BZ149" i="17"/>
  <c r="BW147" i="17"/>
  <c r="CF144" i="17"/>
  <c r="CA142" i="17"/>
  <c r="BY140" i="17"/>
  <c r="BW138" i="17"/>
  <c r="BW136" i="17"/>
  <c r="BW132" i="17"/>
  <c r="BW129" i="17"/>
  <c r="BW127" i="17"/>
  <c r="BW125" i="17"/>
  <c r="BW123" i="17"/>
  <c r="BW121" i="17"/>
  <c r="CE153" i="17"/>
  <c r="CB151" i="17"/>
  <c r="BY149" i="17"/>
  <c r="BV147" i="17"/>
  <c r="CE144" i="17"/>
  <c r="BZ142" i="17"/>
  <c r="BX140" i="17"/>
  <c r="BV138" i="17"/>
  <c r="BV136" i="17"/>
  <c r="BV132" i="17"/>
  <c r="BV129" i="17"/>
  <c r="BV127" i="17"/>
  <c r="BV125" i="17"/>
  <c r="BV123" i="17"/>
  <c r="BV121" i="17"/>
  <c r="CD153" i="17"/>
  <c r="CA151" i="17"/>
  <c r="BX149" i="17"/>
  <c r="CG146" i="17"/>
  <c r="CB144" i="17"/>
  <c r="BY142" i="17"/>
  <c r="BW140" i="17"/>
  <c r="CG137" i="17"/>
  <c r="CG135" i="17"/>
  <c r="CG130" i="17"/>
  <c r="CG128" i="17"/>
  <c r="CG126" i="17"/>
  <c r="CG124" i="17"/>
  <c r="CG122" i="17"/>
  <c r="CG120" i="17"/>
  <c r="CG155" i="17"/>
  <c r="CC153" i="17"/>
  <c r="BZ151" i="17"/>
  <c r="BW149" i="17"/>
  <c r="CF146" i="17"/>
  <c r="CA144" i="17"/>
  <c r="BX142" i="17"/>
  <c r="BV140" i="17"/>
  <c r="CF137" i="17"/>
  <c r="CF135" i="17"/>
  <c r="CF130" i="17"/>
  <c r="CF128" i="17"/>
  <c r="CF126" i="17"/>
  <c r="CF124" i="17"/>
  <c r="CF122" i="17"/>
  <c r="CF120" i="17"/>
  <c r="CE155" i="17"/>
  <c r="CB153" i="17"/>
  <c r="BY151" i="17"/>
  <c r="BV149" i="17"/>
  <c r="CE146" i="17"/>
  <c r="BZ144" i="17"/>
  <c r="BW142" i="17"/>
  <c r="CG139" i="17"/>
  <c r="CE137" i="17"/>
  <c r="CE135" i="17"/>
  <c r="CE130" i="17"/>
  <c r="CE128" i="17"/>
  <c r="CE126" i="17"/>
  <c r="CE124" i="17"/>
  <c r="CE122" i="17"/>
  <c r="CE120" i="17"/>
  <c r="CD155" i="17"/>
  <c r="CA153" i="17"/>
  <c r="BX151" i="17"/>
  <c r="CG148" i="17"/>
  <c r="CB146" i="17"/>
  <c r="BY144" i="17"/>
  <c r="BV142" i="17"/>
  <c r="CF139" i="17"/>
  <c r="CD137" i="17"/>
  <c r="CD135" i="17"/>
  <c r="CD130" i="17"/>
  <c r="CD128" i="17"/>
  <c r="CD126" i="17"/>
  <c r="CD124" i="17"/>
  <c r="CD122" i="17"/>
  <c r="CD120" i="17"/>
  <c r="CC155" i="17"/>
  <c r="BZ153" i="17"/>
  <c r="BW151" i="17"/>
  <c r="CF148" i="17"/>
  <c r="CA146" i="17"/>
  <c r="BX144" i="17"/>
  <c r="CG141" i="17"/>
  <c r="CE139" i="17"/>
  <c r="CC137" i="17"/>
  <c r="CC135" i="17"/>
  <c r="CC130" i="17"/>
  <c r="CC128" i="17"/>
  <c r="CC126" i="17"/>
  <c r="CC124" i="17"/>
  <c r="CC122" i="17"/>
  <c r="CC120" i="17"/>
  <c r="CB155" i="17"/>
  <c r="BY153" i="17"/>
  <c r="BV151" i="17"/>
  <c r="CE148" i="17"/>
  <c r="BZ146" i="17"/>
  <c r="BW144" i="17"/>
  <c r="CF141" i="17"/>
  <c r="CD139" i="17"/>
  <c r="CB137" i="17"/>
  <c r="CB135" i="17"/>
  <c r="CB130" i="17"/>
  <c r="CB128" i="17"/>
  <c r="CB126" i="17"/>
  <c r="CB124" i="17"/>
  <c r="CB122" i="17"/>
  <c r="CB120" i="17"/>
  <c r="CA155" i="17"/>
  <c r="BX153" i="17"/>
  <c r="CG150" i="17"/>
  <c r="CB148" i="17"/>
  <c r="BY146" i="17"/>
  <c r="BV144" i="17"/>
  <c r="CE141" i="17"/>
  <c r="CC139" i="17"/>
  <c r="CA137" i="17"/>
  <c r="CA135" i="17"/>
  <c r="CA130" i="17"/>
  <c r="CA128" i="17"/>
  <c r="CA126" i="17"/>
  <c r="CA124" i="17"/>
  <c r="CA122" i="17"/>
  <c r="CA120" i="17"/>
  <c r="BZ155" i="17"/>
  <c r="BW153" i="17"/>
  <c r="CF150" i="17"/>
  <c r="CA148" i="17"/>
  <c r="BX146" i="17"/>
  <c r="CG143" i="17"/>
  <c r="CD141" i="17"/>
  <c r="CB139" i="17"/>
  <c r="BZ137" i="17"/>
  <c r="BZ135" i="17"/>
  <c r="BZ130" i="17"/>
  <c r="BZ128" i="17"/>
  <c r="BZ126" i="17"/>
  <c r="BZ124" i="17"/>
  <c r="BZ122" i="17"/>
  <c r="BZ120" i="17"/>
  <c r="BY155" i="17"/>
  <c r="BV153" i="17"/>
  <c r="CE150" i="17"/>
  <c r="BZ148" i="17"/>
  <c r="BW146" i="17"/>
  <c r="CE143" i="17"/>
  <c r="CC141" i="17"/>
  <c r="CA139" i="17"/>
  <c r="BY137" i="17"/>
  <c r="BY135" i="17"/>
  <c r="BY130" i="17"/>
  <c r="BY128" i="17"/>
  <c r="BY126" i="17"/>
  <c r="BY124" i="17"/>
  <c r="BY122" i="17"/>
  <c r="BY120" i="17"/>
  <c r="BX155" i="17"/>
  <c r="CG152" i="17"/>
  <c r="BW155" i="17"/>
  <c r="CF152" i="17"/>
  <c r="CA150" i="17"/>
  <c r="BX148" i="17"/>
  <c r="CG145" i="17"/>
  <c r="CC143" i="17"/>
  <c r="CA141" i="17"/>
  <c r="BY139" i="17"/>
  <c r="BW137" i="17"/>
  <c r="BW135" i="17"/>
  <c r="BW130" i="17"/>
  <c r="BW128" i="17"/>
  <c r="BV155" i="17"/>
  <c r="CE152" i="17"/>
  <c r="BZ150" i="17"/>
  <c r="BW148" i="17"/>
  <c r="CE145" i="17"/>
  <c r="CB143" i="17"/>
  <c r="BZ141" i="17"/>
  <c r="BX139" i="17"/>
  <c r="BV137" i="17"/>
  <c r="BV135" i="17"/>
  <c r="BV130" i="17"/>
  <c r="BV128" i="17"/>
  <c r="BV126" i="17"/>
  <c r="BV124" i="17"/>
  <c r="BV122" i="17"/>
  <c r="BV120" i="17"/>
  <c r="CG154" i="17"/>
  <c r="CB152" i="17"/>
  <c r="BY150" i="17"/>
  <c r="BV148" i="17"/>
  <c r="CD145" i="17"/>
  <c r="CA143" i="17"/>
  <c r="BY141" i="17"/>
  <c r="BW139" i="17"/>
  <c r="CG136" i="17"/>
  <c r="CG132" i="17"/>
  <c r="CG129" i="17"/>
  <c r="CG127" i="17"/>
  <c r="CG125" i="17"/>
  <c r="CG123" i="17"/>
  <c r="CG121" i="17"/>
  <c r="CF154" i="17"/>
  <c r="CA152" i="17"/>
  <c r="BX150" i="17"/>
  <c r="CG147" i="17"/>
  <c r="CC145" i="17"/>
  <c r="BZ143" i="17"/>
  <c r="BX141" i="17"/>
  <c r="BV139" i="17"/>
  <c r="CF136" i="17"/>
  <c r="CF132" i="17"/>
  <c r="CF129" i="17"/>
  <c r="CF127" i="17"/>
  <c r="CF125" i="17"/>
  <c r="CF123" i="17"/>
  <c r="CF121" i="17"/>
  <c r="CE154" i="17"/>
  <c r="BZ152" i="17"/>
  <c r="BW150" i="17"/>
  <c r="CE147" i="17"/>
  <c r="CB145" i="17"/>
  <c r="BY143" i="17"/>
  <c r="BW141" i="17"/>
  <c r="CG138" i="17"/>
  <c r="CE136" i="17"/>
  <c r="CE132" i="17"/>
  <c r="CE129" i="17"/>
  <c r="CE127" i="17"/>
  <c r="CE125" i="17"/>
  <c r="CE123" i="17"/>
  <c r="CE121" i="17"/>
  <c r="CB154" i="17"/>
  <c r="BY152" i="17"/>
  <c r="BV150" i="17"/>
  <c r="CD147" i="17"/>
  <c r="CA145" i="17"/>
  <c r="BX143" i="17"/>
  <c r="BV141" i="17"/>
  <c r="CF138" i="17"/>
  <c r="CD136" i="17"/>
  <c r="CD132" i="17"/>
  <c r="CD129" i="17"/>
  <c r="CD127" i="17"/>
  <c r="CD125" i="17"/>
  <c r="CD123" i="17"/>
  <c r="CD121" i="17"/>
  <c r="CA154" i="17"/>
  <c r="BX152" i="17"/>
  <c r="CG149" i="17"/>
  <c r="CC147" i="17"/>
  <c r="BZ145" i="17"/>
  <c r="BW143" i="17"/>
  <c r="CG140" i="17"/>
  <c r="CE138" i="17"/>
  <c r="CC136" i="17"/>
  <c r="CC132" i="17"/>
  <c r="CC129" i="17"/>
  <c r="CC127" i="17"/>
  <c r="CC125" i="17"/>
  <c r="CC123" i="17"/>
  <c r="CC121" i="17"/>
  <c r="BX154" i="17"/>
  <c r="CG151" i="17"/>
  <c r="CC149" i="17"/>
  <c r="BZ147" i="17"/>
  <c r="BW145" i="17"/>
  <c r="CF142" i="17"/>
  <c r="CB140" i="17"/>
  <c r="BZ138" i="17"/>
  <c r="BZ136" i="17"/>
  <c r="BZ132" i="17"/>
  <c r="BZ129" i="17"/>
  <c r="BZ127" i="17"/>
  <c r="BZ125" i="17"/>
  <c r="BZ123" i="17"/>
  <c r="BZ121" i="17"/>
  <c r="BV143" i="17"/>
  <c r="BW126" i="17"/>
  <c r="CG142" i="17"/>
  <c r="CB125" i="17"/>
  <c r="CB141" i="17"/>
  <c r="CA125" i="17"/>
  <c r="CF140" i="17"/>
  <c r="BX125" i="17"/>
  <c r="CE140" i="17"/>
  <c r="BX124" i="17"/>
  <c r="BZ139" i="17"/>
  <c r="BW124" i="17"/>
  <c r="CB138" i="17"/>
  <c r="CB123" i="17"/>
  <c r="CA138" i="17"/>
  <c r="CA123" i="17"/>
  <c r="BX137" i="17"/>
  <c r="BX123" i="17"/>
  <c r="CB136" i="17"/>
  <c r="BX122" i="17"/>
  <c r="BZ154" i="17"/>
  <c r="CA136" i="17"/>
  <c r="BW122" i="17"/>
  <c r="BY154" i="17"/>
  <c r="BX135" i="17"/>
  <c r="CB121" i="17"/>
  <c r="BW152" i="17"/>
  <c r="CB132" i="17"/>
  <c r="CA121" i="17"/>
  <c r="BV152" i="17"/>
  <c r="CA132" i="17"/>
  <c r="BX121" i="17"/>
  <c r="CB150" i="17"/>
  <c r="BX132" i="17"/>
  <c r="BX120" i="17"/>
  <c r="CE149" i="17"/>
  <c r="BX130" i="17"/>
  <c r="BW120" i="17"/>
  <c r="CD149" i="17"/>
  <c r="CB129" i="17"/>
  <c r="BY148" i="17"/>
  <c r="CA129" i="17"/>
  <c r="CB147" i="17"/>
  <c r="BX129" i="17"/>
  <c r="CA147" i="17"/>
  <c r="BX128" i="17"/>
  <c r="BV146" i="17"/>
  <c r="CB127" i="17"/>
  <c r="CD143" i="17"/>
  <c r="BX126" i="17"/>
  <c r="BJ155" i="17"/>
  <c r="BJ153" i="17"/>
  <c r="BJ151" i="17"/>
  <c r="BJ149" i="17"/>
  <c r="BJ147" i="17"/>
  <c r="BJ145" i="17"/>
  <c r="BJ143" i="17"/>
  <c r="BJ141" i="17"/>
  <c r="BJ139" i="17"/>
  <c r="BJ137" i="17"/>
  <c r="BJ135" i="17"/>
  <c r="BJ130" i="17"/>
  <c r="BJ128" i="17"/>
  <c r="BJ126" i="17"/>
  <c r="BJ124" i="17"/>
  <c r="BJ122" i="17"/>
  <c r="BJ120" i="17"/>
  <c r="BI155" i="17"/>
  <c r="BI153" i="17"/>
  <c r="BI151" i="17"/>
  <c r="BI149" i="17"/>
  <c r="BI147" i="17"/>
  <c r="BI145" i="17"/>
  <c r="BI143" i="17"/>
  <c r="BI141" i="17"/>
  <c r="BI139" i="17"/>
  <c r="BI137" i="17"/>
  <c r="BI135" i="17"/>
  <c r="BI130" i="17"/>
  <c r="BI128" i="17"/>
  <c r="BI126" i="17"/>
  <c r="BI124" i="17"/>
  <c r="BI122" i="17"/>
  <c r="BI120" i="17"/>
  <c r="BH155" i="17"/>
  <c r="BH153" i="17"/>
  <c r="BH151" i="17"/>
  <c r="BH149" i="17"/>
  <c r="BH147" i="17"/>
  <c r="BH145" i="17"/>
  <c r="BH143" i="17"/>
  <c r="BH141" i="17"/>
  <c r="BH139" i="17"/>
  <c r="BH137" i="17"/>
  <c r="BH135" i="17"/>
  <c r="BH130" i="17"/>
  <c r="BH128" i="17"/>
  <c r="BH126" i="17"/>
  <c r="BH124" i="17"/>
  <c r="BH122" i="17"/>
  <c r="BH120" i="17"/>
  <c r="BS154" i="17"/>
  <c r="BS152" i="17"/>
  <c r="BS150" i="17"/>
  <c r="BS148" i="17"/>
  <c r="BS146" i="17"/>
  <c r="BS144" i="17"/>
  <c r="BS142" i="17"/>
  <c r="BS140" i="17"/>
  <c r="BS138" i="17"/>
  <c r="BS136" i="17"/>
  <c r="BS132" i="17"/>
  <c r="BS129" i="17"/>
  <c r="BS127" i="17"/>
  <c r="BS125" i="17"/>
  <c r="BS123" i="17"/>
  <c r="BS121" i="17"/>
  <c r="BR154" i="17"/>
  <c r="BR152" i="17"/>
  <c r="BR150" i="17"/>
  <c r="BR148" i="17"/>
  <c r="BR146" i="17"/>
  <c r="BR144" i="17"/>
  <c r="BR142" i="17"/>
  <c r="BR140" i="17"/>
  <c r="BR138" i="17"/>
  <c r="BR136" i="17"/>
  <c r="BR132" i="17"/>
  <c r="BR129" i="17"/>
  <c r="BR127" i="17"/>
  <c r="BR125" i="17"/>
  <c r="BR123" i="17"/>
  <c r="BR121" i="17"/>
  <c r="BQ154" i="17"/>
  <c r="BQ152" i="17"/>
  <c r="BQ150" i="17"/>
  <c r="BQ148" i="17"/>
  <c r="BQ146" i="17"/>
  <c r="BQ144" i="17"/>
  <c r="BQ142" i="17"/>
  <c r="BQ140" i="17"/>
  <c r="BQ138" i="17"/>
  <c r="BQ136" i="17"/>
  <c r="BQ132" i="17"/>
  <c r="BQ129" i="17"/>
  <c r="BQ127" i="17"/>
  <c r="BQ125" i="17"/>
  <c r="BQ123" i="17"/>
  <c r="BQ121" i="17"/>
  <c r="BP154" i="17"/>
  <c r="BP152" i="17"/>
  <c r="BP150" i="17"/>
  <c r="BP148" i="17"/>
  <c r="BP146" i="17"/>
  <c r="BP144" i="17"/>
  <c r="BP142" i="17"/>
  <c r="BP140" i="17"/>
  <c r="BP138" i="17"/>
  <c r="BP136" i="17"/>
  <c r="BP132" i="17"/>
  <c r="BP129" i="17"/>
  <c r="BP127" i="17"/>
  <c r="BP125" i="17"/>
  <c r="BP123" i="17"/>
  <c r="BP121" i="17"/>
  <c r="BY145" i="17"/>
  <c r="BO154" i="17"/>
  <c r="BO152" i="17"/>
  <c r="BO150" i="17"/>
  <c r="BO148" i="17"/>
  <c r="BO146" i="17"/>
  <c r="BX145" i="17"/>
  <c r="BN154" i="17"/>
  <c r="BN152" i="17"/>
  <c r="BN150" i="17"/>
  <c r="BN148" i="17"/>
  <c r="BN146" i="17"/>
  <c r="BN144" i="17"/>
  <c r="BN142" i="17"/>
  <c r="CA127" i="17"/>
  <c r="BM154" i="17"/>
  <c r="BM152" i="17"/>
  <c r="BM150" i="17"/>
  <c r="BM148" i="17"/>
  <c r="BM146" i="17"/>
  <c r="BM144" i="17"/>
  <c r="BM142" i="17"/>
  <c r="BX127" i="17"/>
  <c r="BL154" i="17"/>
  <c r="BL152" i="17"/>
  <c r="BL150" i="17"/>
  <c r="BL148" i="17"/>
  <c r="BL146" i="17"/>
  <c r="BL144" i="17"/>
  <c r="BL142" i="17"/>
  <c r="BL140" i="17"/>
  <c r="BL138" i="17"/>
  <c r="BL136" i="17"/>
  <c r="BL132" i="17"/>
  <c r="BL129" i="17"/>
  <c r="BL127" i="17"/>
  <c r="BL125" i="17"/>
  <c r="BL123" i="17"/>
  <c r="BL121" i="17"/>
  <c r="BK154" i="17"/>
  <c r="BK152" i="17"/>
  <c r="BK150" i="17"/>
  <c r="BK148" i="17"/>
  <c r="BK146" i="17"/>
  <c r="BK144" i="17"/>
  <c r="BK142" i="17"/>
  <c r="BK140" i="17"/>
  <c r="BK138" i="17"/>
  <c r="BK136" i="17"/>
  <c r="BK132" i="17"/>
  <c r="BK129" i="17"/>
  <c r="BK127" i="17"/>
  <c r="BK125" i="17"/>
  <c r="BK123" i="17"/>
  <c r="BJ154" i="17"/>
  <c r="BJ152" i="17"/>
  <c r="BJ150" i="17"/>
  <c r="BJ148" i="17"/>
  <c r="BJ146" i="17"/>
  <c r="BJ144" i="17"/>
  <c r="BJ142" i="17"/>
  <c r="BJ140" i="17"/>
  <c r="BJ138" i="17"/>
  <c r="BJ136" i="17"/>
  <c r="BJ132" i="17"/>
  <c r="BJ129" i="17"/>
  <c r="BJ127" i="17"/>
  <c r="BJ125" i="17"/>
  <c r="BJ123" i="17"/>
  <c r="BJ121" i="17"/>
  <c r="BI154" i="17"/>
  <c r="BI152" i="17"/>
  <c r="BI150" i="17"/>
  <c r="BI148" i="17"/>
  <c r="BI146" i="17"/>
  <c r="BI144" i="17"/>
  <c r="BI142" i="17"/>
  <c r="BI140" i="17"/>
  <c r="BI138" i="17"/>
  <c r="BI136" i="17"/>
  <c r="BI132" i="17"/>
  <c r="BI129" i="17"/>
  <c r="BI127" i="17"/>
  <c r="BI125" i="17"/>
  <c r="BI123" i="17"/>
  <c r="BH154" i="17"/>
  <c r="BH152" i="17"/>
  <c r="BH150" i="17"/>
  <c r="BH148" i="17"/>
  <c r="BH146" i="17"/>
  <c r="BH144" i="17"/>
  <c r="BH142" i="17"/>
  <c r="BH140" i="17"/>
  <c r="BH138" i="17"/>
  <c r="BH136" i="17"/>
  <c r="BH132" i="17"/>
  <c r="BH129" i="17"/>
  <c r="BH127" i="17"/>
  <c r="BH125" i="17"/>
  <c r="BH123" i="17"/>
  <c r="BH121" i="17"/>
  <c r="BS155" i="17"/>
  <c r="BS153" i="17"/>
  <c r="BS151" i="17"/>
  <c r="BS149" i="17"/>
  <c r="BS147" i="17"/>
  <c r="BS145" i="17"/>
  <c r="BS143" i="17"/>
  <c r="BS141" i="17"/>
  <c r="BS139" i="17"/>
  <c r="BS137" i="17"/>
  <c r="BS135" i="17"/>
  <c r="BS130" i="17"/>
  <c r="BS128" i="17"/>
  <c r="BS126" i="17"/>
  <c r="BS124" i="17"/>
  <c r="BS122" i="17"/>
  <c r="BS120" i="17"/>
  <c r="BR155" i="17"/>
  <c r="BR153" i="17"/>
  <c r="BR151" i="17"/>
  <c r="BR149" i="17"/>
  <c r="BR147" i="17"/>
  <c r="BR145" i="17"/>
  <c r="BR143" i="17"/>
  <c r="BR141" i="17"/>
  <c r="BQ155" i="17"/>
  <c r="BQ153" i="17"/>
  <c r="BQ151" i="17"/>
  <c r="BQ149" i="17"/>
  <c r="BQ147" i="17"/>
  <c r="BP155" i="17"/>
  <c r="BP153" i="17"/>
  <c r="BO155" i="17"/>
  <c r="BO153" i="17"/>
  <c r="BO151" i="17"/>
  <c r="BO149" i="17"/>
  <c r="BO147" i="17"/>
  <c r="BO145" i="17"/>
  <c r="BO143" i="17"/>
  <c r="BO141" i="17"/>
  <c r="BO139" i="17"/>
  <c r="BM155" i="17"/>
  <c r="BM153" i="17"/>
  <c r="BM151" i="17"/>
  <c r="BM149" i="17"/>
  <c r="BM147" i="17"/>
  <c r="BK155" i="17"/>
  <c r="BK153" i="17"/>
  <c r="BK151" i="17"/>
  <c r="BK149" i="17"/>
  <c r="BK147" i="17"/>
  <c r="BK145" i="17"/>
  <c r="BK143" i="17"/>
  <c r="BK141" i="17"/>
  <c r="BK139" i="17"/>
  <c r="BK137" i="17"/>
  <c r="BK135" i="17"/>
  <c r="BK130" i="17"/>
  <c r="BP143" i="17"/>
  <c r="BP137" i="17"/>
  <c r="BL130" i="17"/>
  <c r="BN125" i="17"/>
  <c r="BK121" i="17"/>
  <c r="BN143" i="17"/>
  <c r="BO137" i="17"/>
  <c r="BO129" i="17"/>
  <c r="BM125" i="17"/>
  <c r="BI121" i="17"/>
  <c r="BM143" i="17"/>
  <c r="BN137" i="17"/>
  <c r="BN129" i="17"/>
  <c r="BR124" i="17"/>
  <c r="BR120" i="17"/>
  <c r="BL143" i="17"/>
  <c r="BM137" i="17"/>
  <c r="BM129" i="17"/>
  <c r="BQ124" i="17"/>
  <c r="BQ120" i="17"/>
  <c r="BN155" i="17"/>
  <c r="BO142" i="17"/>
  <c r="BL137" i="17"/>
  <c r="BR128" i="17"/>
  <c r="BP124" i="17"/>
  <c r="BP120" i="17"/>
  <c r="BL155" i="17"/>
  <c r="BQ141" i="17"/>
  <c r="BO136" i="17"/>
  <c r="BQ128" i="17"/>
  <c r="BO124" i="17"/>
  <c r="BO120" i="17"/>
  <c r="BN153" i="17"/>
  <c r="BP141" i="17"/>
  <c r="BN136" i="17"/>
  <c r="BP128" i="17"/>
  <c r="BN124" i="17"/>
  <c r="BN120" i="17"/>
  <c r="BL153" i="17"/>
  <c r="BN141" i="17"/>
  <c r="BM136" i="17"/>
  <c r="BO128" i="17"/>
  <c r="BM124" i="17"/>
  <c r="BM120" i="17"/>
  <c r="BP151" i="17"/>
  <c r="BM141" i="17"/>
  <c r="BR135" i="17"/>
  <c r="BN128" i="17"/>
  <c r="BL124" i="17"/>
  <c r="BL120" i="17"/>
  <c r="BN151" i="17"/>
  <c r="BL141" i="17"/>
  <c r="BQ135" i="17"/>
  <c r="BM128" i="17"/>
  <c r="BK124" i="17"/>
  <c r="BK120" i="17"/>
  <c r="BL151" i="17"/>
  <c r="BO140" i="17"/>
  <c r="BP135" i="17"/>
  <c r="BL128" i="17"/>
  <c r="BO123" i="17"/>
  <c r="BP149" i="17"/>
  <c r="BN140" i="17"/>
  <c r="BO135" i="17"/>
  <c r="BK128" i="17"/>
  <c r="BN123" i="17"/>
  <c r="BN149" i="17"/>
  <c r="BM140" i="17"/>
  <c r="BN135" i="17"/>
  <c r="BO127" i="17"/>
  <c r="BM123" i="17"/>
  <c r="BL149" i="17"/>
  <c r="BR139" i="17"/>
  <c r="BM135" i="17"/>
  <c r="BN127" i="17"/>
  <c r="BR122" i="17"/>
  <c r="BP147" i="17"/>
  <c r="BQ139" i="17"/>
  <c r="BL135" i="17"/>
  <c r="BM127" i="17"/>
  <c r="BQ122" i="17"/>
  <c r="BN147" i="17"/>
  <c r="BP139" i="17"/>
  <c r="BO132" i="17"/>
  <c r="BR126" i="17"/>
  <c r="BP122" i="17"/>
  <c r="BL147" i="17"/>
  <c r="BN139" i="17"/>
  <c r="BN132" i="17"/>
  <c r="BQ126" i="17"/>
  <c r="BO122" i="17"/>
  <c r="BQ145" i="17"/>
  <c r="BM139" i="17"/>
  <c r="BM132" i="17"/>
  <c r="BP126" i="17"/>
  <c r="BN122" i="17"/>
  <c r="BP145" i="17"/>
  <c r="BL139" i="17"/>
  <c r="BR130" i="17"/>
  <c r="BO126" i="17"/>
  <c r="BM122" i="17"/>
  <c r="BN145" i="17"/>
  <c r="BO138" i="17"/>
  <c r="BQ130" i="17"/>
  <c r="BN126" i="17"/>
  <c r="BL122" i="17"/>
  <c r="BM145" i="17"/>
  <c r="BN138" i="17"/>
  <c r="BP130" i="17"/>
  <c r="BM126" i="17"/>
  <c r="BK122" i="17"/>
  <c r="BL145" i="17"/>
  <c r="BM138" i="17"/>
  <c r="BO130" i="17"/>
  <c r="BL126" i="17"/>
  <c r="BO121" i="17"/>
  <c r="BQ143" i="17"/>
  <c r="BQ137" i="17"/>
  <c r="BM130" i="17"/>
  <c r="BO125" i="17"/>
  <c r="BM121" i="17"/>
  <c r="BC155" i="17"/>
  <c r="BC153" i="17"/>
  <c r="BC151" i="17"/>
  <c r="BC149" i="17"/>
  <c r="BC147" i="17"/>
  <c r="BC145" i="17"/>
  <c r="BC143" i="17"/>
  <c r="BC141" i="17"/>
  <c r="BC139" i="17"/>
  <c r="BC137" i="17"/>
  <c r="BC135" i="17"/>
  <c r="BC130" i="17"/>
  <c r="BC128" i="17"/>
  <c r="BC126" i="17"/>
  <c r="BC124" i="17"/>
  <c r="BC122" i="17"/>
  <c r="BC120" i="17"/>
  <c r="BB155" i="17"/>
  <c r="BB153" i="17"/>
  <c r="BB151" i="17"/>
  <c r="BB149" i="17"/>
  <c r="BB147" i="17"/>
  <c r="BB145" i="17"/>
  <c r="BB143" i="17"/>
  <c r="BB141" i="17"/>
  <c r="BB139" i="17"/>
  <c r="BB137" i="17"/>
  <c r="BB135" i="17"/>
  <c r="BB130" i="17"/>
  <c r="BB128" i="17"/>
  <c r="BB126" i="17"/>
  <c r="BB124" i="17"/>
  <c r="BB122" i="17"/>
  <c r="BB120" i="17"/>
  <c r="BA155" i="17"/>
  <c r="BA153" i="17"/>
  <c r="BA151" i="17"/>
  <c r="BA149" i="17"/>
  <c r="BA147" i="17"/>
  <c r="BA145" i="17"/>
  <c r="BA143" i="17"/>
  <c r="BA141" i="17"/>
  <c r="BA139" i="17"/>
  <c r="BA137" i="17"/>
  <c r="BA135" i="17"/>
  <c r="BA130" i="17"/>
  <c r="BA128" i="17"/>
  <c r="AZ155" i="17"/>
  <c r="AZ153" i="17"/>
  <c r="AZ151" i="17"/>
  <c r="AZ149" i="17"/>
  <c r="AZ147" i="17"/>
  <c r="AZ145" i="17"/>
  <c r="BO144" i="17"/>
  <c r="AY155" i="17"/>
  <c r="AY153" i="17"/>
  <c r="AY151" i="17"/>
  <c r="AY149" i="17"/>
  <c r="AY147" i="17"/>
  <c r="AY145" i="17"/>
  <c r="AY143" i="17"/>
  <c r="AY141" i="17"/>
  <c r="AY139" i="17"/>
  <c r="AY137" i="17"/>
  <c r="AY135" i="17"/>
  <c r="AY130" i="17"/>
  <c r="AY128" i="17"/>
  <c r="AY126" i="17"/>
  <c r="BR137" i="17"/>
  <c r="AX155" i="17"/>
  <c r="AX153" i="17"/>
  <c r="AX151" i="17"/>
  <c r="AX149" i="17"/>
  <c r="AX147" i="17"/>
  <c r="BN130" i="17"/>
  <c r="AW155" i="17"/>
  <c r="AW153" i="17"/>
  <c r="AW151" i="17"/>
  <c r="AW149" i="17"/>
  <c r="AW147" i="17"/>
  <c r="AW145" i="17"/>
  <c r="AW143" i="17"/>
  <c r="AW141" i="17"/>
  <c r="AW139" i="17"/>
  <c r="BK126" i="17"/>
  <c r="BN121" i="17"/>
  <c r="AU155" i="17"/>
  <c r="AU153" i="17"/>
  <c r="AU151" i="17"/>
  <c r="AU149" i="17"/>
  <c r="AT155" i="17"/>
  <c r="AT153" i="17"/>
  <c r="AT151" i="17"/>
  <c r="AT149" i="17"/>
  <c r="AT147" i="17"/>
  <c r="AT145" i="17"/>
  <c r="AT143" i="17"/>
  <c r="AT141" i="17"/>
  <c r="AT139" i="17"/>
  <c r="AT137" i="17"/>
  <c r="AT135" i="17"/>
  <c r="AT130" i="17"/>
  <c r="AT128" i="17"/>
  <c r="AT126" i="17"/>
  <c r="AT124" i="17"/>
  <c r="AT122" i="17"/>
  <c r="AT120" i="17"/>
  <c r="BE154" i="17"/>
  <c r="BE152" i="17"/>
  <c r="BE150" i="17"/>
  <c r="BE148" i="17"/>
  <c r="BE146" i="17"/>
  <c r="BE144" i="17"/>
  <c r="BE142" i="17"/>
  <c r="BE140" i="17"/>
  <c r="BE138" i="17"/>
  <c r="BE136" i="17"/>
  <c r="BE132" i="17"/>
  <c r="BE129" i="17"/>
  <c r="BE127" i="17"/>
  <c r="BE125" i="17"/>
  <c r="BE123" i="17"/>
  <c r="BE121" i="17"/>
  <c r="BD154" i="17"/>
  <c r="BD152" i="17"/>
  <c r="BD150" i="17"/>
  <c r="BD148" i="17"/>
  <c r="BD146" i="17"/>
  <c r="BD144" i="17"/>
  <c r="BD142" i="17"/>
  <c r="BD140" i="17"/>
  <c r="BD138" i="17"/>
  <c r="BD136" i="17"/>
  <c r="BD132" i="17"/>
  <c r="BD129" i="17"/>
  <c r="BD127" i="17"/>
  <c r="BD125" i="17"/>
  <c r="BD123" i="17"/>
  <c r="BD121" i="17"/>
  <c r="BC154" i="17"/>
  <c r="BC152" i="17"/>
  <c r="BC150" i="17"/>
  <c r="BC148" i="17"/>
  <c r="BC146" i="17"/>
  <c r="BC144" i="17"/>
  <c r="BC142" i="17"/>
  <c r="BC140" i="17"/>
  <c r="BC138" i="17"/>
  <c r="BC136" i="17"/>
  <c r="BC132" i="17"/>
  <c r="BC129" i="17"/>
  <c r="BC127" i="17"/>
  <c r="BC125" i="17"/>
  <c r="BC123" i="17"/>
  <c r="BC121" i="17"/>
  <c r="BB154" i="17"/>
  <c r="BB152" i="17"/>
  <c r="BB150" i="17"/>
  <c r="BB148" i="17"/>
  <c r="BB146" i="17"/>
  <c r="BB144" i="17"/>
  <c r="BB142" i="17"/>
  <c r="BB140" i="17"/>
  <c r="BB138" i="17"/>
  <c r="BB136" i="17"/>
  <c r="BB132" i="17"/>
  <c r="BB129" i="17"/>
  <c r="BA154" i="17"/>
  <c r="BA152" i="17"/>
  <c r="BA150" i="17"/>
  <c r="BA148" i="17"/>
  <c r="BA146" i="17"/>
  <c r="BA144" i="17"/>
  <c r="BA142" i="17"/>
  <c r="BA140" i="17"/>
  <c r="BA138" i="17"/>
  <c r="BA136" i="17"/>
  <c r="BA132" i="17"/>
  <c r="BA129" i="17"/>
  <c r="BA127" i="17"/>
  <c r="BA125" i="17"/>
  <c r="BA123" i="17"/>
  <c r="BA121" i="17"/>
  <c r="AZ154" i="17"/>
  <c r="AZ152" i="17"/>
  <c r="AZ150" i="17"/>
  <c r="AZ148" i="17"/>
  <c r="AZ146" i="17"/>
  <c r="AZ144" i="17"/>
  <c r="AZ142" i="17"/>
  <c r="AZ140" i="17"/>
  <c r="AZ138" i="17"/>
  <c r="AZ136" i="17"/>
  <c r="AZ132" i="17"/>
  <c r="AZ129" i="17"/>
  <c r="AZ127" i="17"/>
  <c r="AY154" i="17"/>
  <c r="AY152" i="17"/>
  <c r="AY150" i="17"/>
  <c r="AW154" i="17"/>
  <c r="AV154" i="17"/>
  <c r="AV152" i="17"/>
  <c r="AV150" i="17"/>
  <c r="AV148" i="17"/>
  <c r="AV146" i="17"/>
  <c r="AV144" i="17"/>
  <c r="AU154" i="17"/>
  <c r="AU152" i="17"/>
  <c r="AU150" i="17"/>
  <c r="AW148" i="17"/>
  <c r="AZ143" i="17"/>
  <c r="AZ139" i="17"/>
  <c r="BD135" i="17"/>
  <c r="AT129" i="17"/>
  <c r="AZ125" i="17"/>
  <c r="BE122" i="17"/>
  <c r="AV120" i="17"/>
  <c r="AU148" i="17"/>
  <c r="AX143" i="17"/>
  <c r="AX139" i="17"/>
  <c r="AZ135" i="17"/>
  <c r="BE128" i="17"/>
  <c r="AY125" i="17"/>
  <c r="BD122" i="17"/>
  <c r="AU120" i="17"/>
  <c r="BE155" i="17"/>
  <c r="AT148" i="17"/>
  <c r="AV143" i="17"/>
  <c r="AV139" i="17"/>
  <c r="AX135" i="17"/>
  <c r="BD128" i="17"/>
  <c r="AX125" i="17"/>
  <c r="BA122" i="17"/>
  <c r="BD155" i="17"/>
  <c r="BE147" i="17"/>
  <c r="AU143" i="17"/>
  <c r="AU139" i="17"/>
  <c r="AW135" i="17"/>
  <c r="AZ128" i="17"/>
  <c r="AW125" i="17"/>
  <c r="AZ122" i="17"/>
  <c r="AV155" i="17"/>
  <c r="BD147" i="17"/>
  <c r="AY142" i="17"/>
  <c r="AY138" i="17"/>
  <c r="AV135" i="17"/>
  <c r="AX128" i="17"/>
  <c r="AV125" i="17"/>
  <c r="AY122" i="17"/>
  <c r="AX154" i="17"/>
  <c r="AV147" i="17"/>
  <c r="AX142" i="17"/>
  <c r="AX138" i="17"/>
  <c r="AU135" i="17"/>
  <c r="AW128" i="17"/>
  <c r="AU125" i="17"/>
  <c r="AX122" i="17"/>
  <c r="AT154" i="17"/>
  <c r="AU147" i="17"/>
  <c r="AW142" i="17"/>
  <c r="AW138" i="17"/>
  <c r="AY132" i="17"/>
  <c r="AV128" i="17"/>
  <c r="AT125" i="17"/>
  <c r="AW122" i="17"/>
  <c r="BE153" i="17"/>
  <c r="AY146" i="17"/>
  <c r="AV142" i="17"/>
  <c r="AV138" i="17"/>
  <c r="AX132" i="17"/>
  <c r="AU128" i="17"/>
  <c r="BE124" i="17"/>
  <c r="AV122" i="17"/>
  <c r="BD153" i="17"/>
  <c r="AX146" i="17"/>
  <c r="AU142" i="17"/>
  <c r="AU138" i="17"/>
  <c r="AW132" i="17"/>
  <c r="BB127" i="17"/>
  <c r="BD124" i="17"/>
  <c r="AU122" i="17"/>
  <c r="AV153" i="17"/>
  <c r="AW146" i="17"/>
  <c r="AT142" i="17"/>
  <c r="AT138" i="17"/>
  <c r="AV132" i="17"/>
  <c r="AY127" i="17"/>
  <c r="BA124" i="17"/>
  <c r="BB121" i="17"/>
  <c r="AX152" i="17"/>
  <c r="AU146" i="17"/>
  <c r="BE141" i="17"/>
  <c r="BE137" i="17"/>
  <c r="AU132" i="17"/>
  <c r="AX127" i="17"/>
  <c r="AZ124" i="17"/>
  <c r="AZ121" i="17"/>
  <c r="AW152" i="17"/>
  <c r="AT146" i="17"/>
  <c r="BD141" i="17"/>
  <c r="BD137" i="17"/>
  <c r="AT132" i="17"/>
  <c r="AW127" i="17"/>
  <c r="AY124" i="17"/>
  <c r="AY121" i="17"/>
  <c r="AT152" i="17"/>
  <c r="BE145" i="17"/>
  <c r="AZ141" i="17"/>
  <c r="AZ137" i="17"/>
  <c r="BE130" i="17"/>
  <c r="AV127" i="17"/>
  <c r="AX124" i="17"/>
  <c r="AX121" i="17"/>
  <c r="BE151" i="17"/>
  <c r="BD145" i="17"/>
  <c r="AX141" i="17"/>
  <c r="AX137" i="17"/>
  <c r="BD130" i="17"/>
  <c r="AU127" i="17"/>
  <c r="AW124" i="17"/>
  <c r="AW121" i="17"/>
  <c r="BD151" i="17"/>
  <c r="AX145" i="17"/>
  <c r="AV141" i="17"/>
  <c r="AW137" i="17"/>
  <c r="AZ130" i="17"/>
  <c r="AT127" i="17"/>
  <c r="AV124" i="17"/>
  <c r="AV121" i="17"/>
  <c r="AV151" i="17"/>
  <c r="AV145" i="17"/>
  <c r="AU141" i="17"/>
  <c r="AV137" i="17"/>
  <c r="AX130" i="17"/>
  <c r="BE126" i="17"/>
  <c r="AU124" i="17"/>
  <c r="AU121" i="17"/>
  <c r="AX150" i="17"/>
  <c r="AU145" i="17"/>
  <c r="AY140" i="17"/>
  <c r="AU137" i="17"/>
  <c r="AW130" i="17"/>
  <c r="BD126" i="17"/>
  <c r="BB123" i="17"/>
  <c r="AT121" i="17"/>
  <c r="AW150" i="17"/>
  <c r="AY144" i="17"/>
  <c r="AX140" i="17"/>
  <c r="AY136" i="17"/>
  <c r="AV130" i="17"/>
  <c r="BA126" i="17"/>
  <c r="AZ123" i="17"/>
  <c r="BE120" i="17"/>
  <c r="AT150" i="17"/>
  <c r="AX144" i="17"/>
  <c r="AW140" i="17"/>
  <c r="AX136" i="17"/>
  <c r="AU130" i="17"/>
  <c r="AZ126" i="17"/>
  <c r="AY123" i="17"/>
  <c r="BD120" i="17"/>
  <c r="BE149" i="17"/>
  <c r="AW144" i="17"/>
  <c r="AV140" i="17"/>
  <c r="AW136" i="17"/>
  <c r="AY129" i="17"/>
  <c r="AX126" i="17"/>
  <c r="AX123" i="17"/>
  <c r="BA120" i="17"/>
  <c r="BD149" i="17"/>
  <c r="AU144" i="17"/>
  <c r="AU140" i="17"/>
  <c r="AV136" i="17"/>
  <c r="AX129" i="17"/>
  <c r="AW126" i="17"/>
  <c r="AW123" i="17"/>
  <c r="AZ120" i="17"/>
  <c r="AX148" i="17"/>
  <c r="BD143" i="17"/>
  <c r="BD139" i="17"/>
  <c r="BE135" i="17"/>
  <c r="AU129" i="17"/>
  <c r="BB125" i="17"/>
  <c r="AT123" i="17"/>
  <c r="AW120" i="17"/>
  <c r="AV129" i="17"/>
  <c r="V154" i="17"/>
  <c r="V152" i="17"/>
  <c r="V150" i="17"/>
  <c r="V148" i="17"/>
  <c r="V146" i="17"/>
  <c r="V144" i="17"/>
  <c r="V142" i="17"/>
  <c r="V140" i="17"/>
  <c r="V138" i="17"/>
  <c r="V136" i="17"/>
  <c r="V132" i="17"/>
  <c r="V129" i="17"/>
  <c r="V127" i="17"/>
  <c r="V125" i="17"/>
  <c r="V123" i="17"/>
  <c r="V121" i="17"/>
  <c r="AV126" i="17"/>
  <c r="U154" i="17"/>
  <c r="U152" i="17"/>
  <c r="U150" i="17"/>
  <c r="U148" i="17"/>
  <c r="U146" i="17"/>
  <c r="U144" i="17"/>
  <c r="U142" i="17"/>
  <c r="U140" i="17"/>
  <c r="U138" i="17"/>
  <c r="U136" i="17"/>
  <c r="U132" i="17"/>
  <c r="U129" i="17"/>
  <c r="U127" i="17"/>
  <c r="U125" i="17"/>
  <c r="U123" i="17"/>
  <c r="U121" i="17"/>
  <c r="AU126" i="17"/>
  <c r="T154" i="17"/>
  <c r="T152" i="17"/>
  <c r="T150" i="17"/>
  <c r="T148" i="17"/>
  <c r="T146" i="17"/>
  <c r="T144" i="17"/>
  <c r="T142" i="17"/>
  <c r="T140" i="17"/>
  <c r="T138" i="17"/>
  <c r="T136" i="17"/>
  <c r="T132" i="17"/>
  <c r="T129" i="17"/>
  <c r="T127" i="17"/>
  <c r="T125" i="17"/>
  <c r="T123" i="17"/>
  <c r="T121" i="17"/>
  <c r="AV123" i="17"/>
  <c r="S154" i="17"/>
  <c r="S152" i="17"/>
  <c r="S150" i="17"/>
  <c r="S148" i="17"/>
  <c r="S146" i="17"/>
  <c r="S144" i="17"/>
  <c r="S142" i="17"/>
  <c r="S140" i="17"/>
  <c r="S138" i="17"/>
  <c r="S136" i="17"/>
  <c r="S132" i="17"/>
  <c r="AU123" i="17"/>
  <c r="R154" i="17"/>
  <c r="R152" i="17"/>
  <c r="R150" i="17"/>
  <c r="R148" i="17"/>
  <c r="R146" i="17"/>
  <c r="R144" i="17"/>
  <c r="AY120" i="17"/>
  <c r="AC155" i="17"/>
  <c r="AC153" i="17"/>
  <c r="AX120" i="17"/>
  <c r="AB155" i="17"/>
  <c r="AB153" i="17"/>
  <c r="AB151" i="17"/>
  <c r="AB149" i="17"/>
  <c r="AB147" i="17"/>
  <c r="AB145" i="17"/>
  <c r="AB143" i="17"/>
  <c r="AB141" i="17"/>
  <c r="AB139" i="17"/>
  <c r="AB137" i="17"/>
  <c r="AB135" i="17"/>
  <c r="Z155" i="17"/>
  <c r="Y155" i="17"/>
  <c r="Y153" i="17"/>
  <c r="Y151" i="17"/>
  <c r="Y149" i="17"/>
  <c r="Y147" i="17"/>
  <c r="Y145" i="17"/>
  <c r="Y143" i="17"/>
  <c r="Y141" i="17"/>
  <c r="Y139" i="17"/>
  <c r="Y137" i="17"/>
  <c r="Y135" i="17"/>
  <c r="Y130" i="17"/>
  <c r="Y128" i="17"/>
  <c r="Y126" i="17"/>
  <c r="Y124" i="17"/>
  <c r="Y122" i="17"/>
  <c r="Y120" i="17"/>
  <c r="X155" i="17"/>
  <c r="X153" i="17"/>
  <c r="X151" i="17"/>
  <c r="X149" i="17"/>
  <c r="X147" i="17"/>
  <c r="X145" i="17"/>
  <c r="X143" i="17"/>
  <c r="X141" i="17"/>
  <c r="X139" i="17"/>
  <c r="X137" i="17"/>
  <c r="X135" i="17"/>
  <c r="X130" i="17"/>
  <c r="X128" i="17"/>
  <c r="X126" i="17"/>
  <c r="X124" i="17"/>
  <c r="X122" i="17"/>
  <c r="X120" i="17"/>
  <c r="W155" i="17"/>
  <c r="W153" i="17"/>
  <c r="W151" i="17"/>
  <c r="W149" i="17"/>
  <c r="W147" i="17"/>
  <c r="W145" i="17"/>
  <c r="W143" i="17"/>
  <c r="V155" i="17"/>
  <c r="V153" i="17"/>
  <c r="V151" i="17"/>
  <c r="V149" i="17"/>
  <c r="V147" i="17"/>
  <c r="V145" i="17"/>
  <c r="V143" i="17"/>
  <c r="V141" i="17"/>
  <c r="V139" i="17"/>
  <c r="V137" i="17"/>
  <c r="V135" i="17"/>
  <c r="V130" i="17"/>
  <c r="V128" i="17"/>
  <c r="V126" i="17"/>
  <c r="V124" i="17"/>
  <c r="U155" i="17"/>
  <c r="U153" i="17"/>
  <c r="U151" i="17"/>
  <c r="U149" i="17"/>
  <c r="U147" i="17"/>
  <c r="U145" i="17"/>
  <c r="U143" i="17"/>
  <c r="U141" i="17"/>
  <c r="U139" i="17"/>
  <c r="T155" i="17"/>
  <c r="T153" i="17"/>
  <c r="T151" i="17"/>
  <c r="T149" i="17"/>
  <c r="T147" i="17"/>
  <c r="T145" i="17"/>
  <c r="T143" i="17"/>
  <c r="T141" i="17"/>
  <c r="T139" i="17"/>
  <c r="T137" i="17"/>
  <c r="T135" i="17"/>
  <c r="T130" i="17"/>
  <c r="T128" i="17"/>
  <c r="T126" i="17"/>
  <c r="T124" i="17"/>
  <c r="T122" i="17"/>
  <c r="T120" i="17"/>
  <c r="AV149" i="17"/>
  <c r="S155" i="17"/>
  <c r="S153" i="17"/>
  <c r="S151" i="17"/>
  <c r="S149" i="17"/>
  <c r="S147" i="17"/>
  <c r="S145" i="17"/>
  <c r="S143" i="17"/>
  <c r="AY148" i="17"/>
  <c r="R155" i="17"/>
  <c r="R153" i="17"/>
  <c r="R151" i="17"/>
  <c r="R149" i="17"/>
  <c r="AT144" i="17"/>
  <c r="BE143" i="17"/>
  <c r="AB154" i="17"/>
  <c r="AT140" i="17"/>
  <c r="AA154" i="17"/>
  <c r="AA152" i="17"/>
  <c r="BE139" i="17"/>
  <c r="Z154" i="17"/>
  <c r="Z152" i="17"/>
  <c r="AW129" i="17"/>
  <c r="R6" i="17"/>
  <c r="R34" i="17"/>
  <c r="S28" i="17"/>
  <c r="T22" i="17"/>
  <c r="U13" i="17"/>
  <c r="V7" i="17"/>
  <c r="V39" i="17"/>
  <c r="W33" i="17"/>
  <c r="X27" i="17"/>
  <c r="Y21" i="17"/>
  <c r="Z12" i="17"/>
  <c r="AA7" i="17"/>
  <c r="AA37" i="17"/>
  <c r="AB33" i="17"/>
  <c r="AC27" i="17"/>
  <c r="AC82" i="17"/>
  <c r="T85" i="17"/>
  <c r="W87" i="17"/>
  <c r="AB89" i="17"/>
  <c r="T92" i="17"/>
  <c r="Z97" i="17"/>
  <c r="R100" i="17"/>
  <c r="V102" i="17"/>
  <c r="AB104" i="17"/>
  <c r="T107" i="17"/>
  <c r="Z109" i="17"/>
  <c r="S112" i="17"/>
  <c r="AA114" i="17"/>
  <c r="T117" i="17"/>
  <c r="AB121" i="17"/>
  <c r="Z124" i="17"/>
  <c r="X127" i="17"/>
  <c r="S130" i="17"/>
  <c r="X136" i="17"/>
  <c r="Z139" i="17"/>
  <c r="AC142" i="17"/>
  <c r="Z147" i="17"/>
  <c r="X152" i="17"/>
  <c r="AC162" i="17"/>
  <c r="X212" i="17"/>
  <c r="X238" i="17"/>
  <c r="W266" i="17"/>
  <c r="R300" i="17"/>
  <c r="Z335" i="17"/>
  <c r="W449" i="17"/>
  <c r="CU171" i="17"/>
  <c r="BS171" i="17"/>
  <c r="AQ171" i="17"/>
  <c r="CU169" i="17"/>
  <c r="BS169" i="17"/>
  <c r="AQ169" i="17"/>
  <c r="CT171" i="17"/>
  <c r="BR171" i="17"/>
  <c r="AP171" i="17"/>
  <c r="CT169" i="17"/>
  <c r="BR169" i="17"/>
  <c r="AP169" i="17"/>
  <c r="CS171" i="17"/>
  <c r="BQ171" i="17"/>
  <c r="AO171" i="17"/>
  <c r="CS169" i="17"/>
  <c r="BQ169" i="17"/>
  <c r="AO169" i="17"/>
  <c r="CR171" i="17"/>
  <c r="BP171" i="17"/>
  <c r="AN171" i="17"/>
  <c r="CR169" i="17"/>
  <c r="BP169" i="17"/>
  <c r="AN169" i="17"/>
  <c r="CQ171" i="17"/>
  <c r="BO171" i="17"/>
  <c r="AM171" i="17"/>
  <c r="CQ169" i="17"/>
  <c r="BO169" i="17"/>
  <c r="AM169" i="17"/>
  <c r="CP171" i="17"/>
  <c r="BN171" i="17"/>
  <c r="AL171" i="17"/>
  <c r="CP169" i="17"/>
  <c r="BN169" i="17"/>
  <c r="AL169" i="17"/>
  <c r="CO171" i="17"/>
  <c r="BM171" i="17"/>
  <c r="AK171" i="17"/>
  <c r="CO169" i="17"/>
  <c r="BM169" i="17"/>
  <c r="AK169" i="17"/>
  <c r="CN171" i="17"/>
  <c r="BL171" i="17"/>
  <c r="AJ171" i="17"/>
  <c r="CM171" i="17"/>
  <c r="BK171" i="17"/>
  <c r="AI171" i="17"/>
  <c r="CL171" i="17"/>
  <c r="BJ171" i="17"/>
  <c r="AH171" i="17"/>
  <c r="CK171" i="17"/>
  <c r="BI171" i="17"/>
  <c r="AG171" i="17"/>
  <c r="CJ171" i="17"/>
  <c r="BH171" i="17"/>
  <c r="AF171" i="17"/>
  <c r="CJ169" i="17"/>
  <c r="BH169" i="17"/>
  <c r="AF169" i="17"/>
  <c r="CG171" i="17"/>
  <c r="BE171" i="17"/>
  <c r="AC171" i="17"/>
  <c r="CG169" i="17"/>
  <c r="BE169" i="17"/>
  <c r="AC169" i="17"/>
  <c r="CF171" i="17"/>
  <c r="BD171" i="17"/>
  <c r="AB171" i="17"/>
  <c r="CF169" i="17"/>
  <c r="BD169" i="17"/>
  <c r="AB169" i="17"/>
  <c r="CE171" i="17"/>
  <c r="BC171" i="17"/>
  <c r="AA171" i="17"/>
  <c r="CE169" i="17"/>
  <c r="BC169" i="17"/>
  <c r="AA169" i="17"/>
  <c r="CD171" i="17"/>
  <c r="BB171" i="17"/>
  <c r="Z171" i="17"/>
  <c r="CD169" i="17"/>
  <c r="BB169" i="17"/>
  <c r="CC171" i="17"/>
  <c r="BA171" i="17"/>
  <c r="Y171" i="17"/>
  <c r="CB171" i="17"/>
  <c r="AZ171" i="17"/>
  <c r="X171" i="17"/>
  <c r="CA171" i="17"/>
  <c r="AY171" i="17"/>
  <c r="W171" i="17"/>
  <c r="BZ171" i="17"/>
  <c r="AX171" i="17"/>
  <c r="V171" i="17"/>
  <c r="BY171" i="17"/>
  <c r="AW171" i="17"/>
  <c r="U171" i="17"/>
  <c r="BX171" i="17"/>
  <c r="AV171" i="17"/>
  <c r="T171" i="17"/>
  <c r="BW171" i="17"/>
  <c r="AU171" i="17"/>
  <c r="S171" i="17"/>
  <c r="BV171" i="17"/>
  <c r="AT171" i="17"/>
  <c r="R171" i="17"/>
  <c r="BI169" i="17"/>
  <c r="BA169" i="17"/>
  <c r="AZ169" i="17"/>
  <c r="AY169" i="17"/>
  <c r="AX169" i="17"/>
  <c r="AW169" i="17"/>
  <c r="AV169" i="17"/>
  <c r="AU169" i="17"/>
  <c r="AT169" i="17"/>
  <c r="CN169" i="17"/>
  <c r="AJ169" i="17"/>
  <c r="CM169" i="17"/>
  <c r="AI169" i="17"/>
  <c r="CL169" i="17"/>
  <c r="AH169" i="17"/>
  <c r="CK169" i="17"/>
  <c r="AG169" i="17"/>
  <c r="CC169" i="17"/>
  <c r="Z169" i="17"/>
  <c r="CB169" i="17"/>
  <c r="Y169" i="17"/>
  <c r="CA169" i="17"/>
  <c r="X169" i="17"/>
  <c r="BZ169" i="17"/>
  <c r="W169" i="17"/>
  <c r="BY169" i="17"/>
  <c r="V169" i="17"/>
  <c r="BX169" i="17"/>
  <c r="U169" i="17"/>
  <c r="BW169" i="17"/>
  <c r="T169" i="17"/>
  <c r="BV169" i="17"/>
  <c r="S169" i="17"/>
  <c r="BL169" i="17"/>
  <c r="R169" i="17"/>
  <c r="BJ169" i="17"/>
  <c r="BV172" i="17"/>
  <c r="AT172" i="17"/>
  <c r="R172" i="17"/>
  <c r="CU172" i="17"/>
  <c r="BS172" i="17"/>
  <c r="AQ172" i="17"/>
  <c r="CT172" i="17"/>
  <c r="BR172" i="17"/>
  <c r="AP172" i="17"/>
  <c r="CS172" i="17"/>
  <c r="BQ172" i="17"/>
  <c r="AO172" i="17"/>
  <c r="BK169" i="17"/>
  <c r="CR172" i="17"/>
  <c r="BP172" i="17"/>
  <c r="AN172" i="17"/>
  <c r="CQ172" i="17"/>
  <c r="BO172" i="17"/>
  <c r="AM172" i="17"/>
  <c r="CP172" i="17"/>
  <c r="BN172" i="17"/>
  <c r="AL172" i="17"/>
  <c r="CL172" i="17"/>
  <c r="BJ172" i="17"/>
  <c r="AH172" i="17"/>
  <c r="CJ172" i="17"/>
  <c r="BH172" i="17"/>
  <c r="AF172" i="17"/>
  <c r="CG172" i="17"/>
  <c r="CF172" i="17"/>
  <c r="BA172" i="17"/>
  <c r="AZ172" i="17"/>
  <c r="AY172" i="17"/>
  <c r="CO172" i="17"/>
  <c r="AX172" i="17"/>
  <c r="CN172" i="17"/>
  <c r="AW172" i="17"/>
  <c r="CM172" i="17"/>
  <c r="AV172" i="17"/>
  <c r="CK172" i="17"/>
  <c r="AU172" i="17"/>
  <c r="CE172" i="17"/>
  <c r="AK172" i="17"/>
  <c r="CD172" i="17"/>
  <c r="AJ172" i="17"/>
  <c r="CC172" i="17"/>
  <c r="AI172" i="17"/>
  <c r="CB172" i="17"/>
  <c r="AG172" i="17"/>
  <c r="CA172" i="17"/>
  <c r="AC172" i="17"/>
  <c r="BZ172" i="17"/>
  <c r="AB172" i="17"/>
  <c r="BY172" i="17"/>
  <c r="AA172" i="17"/>
  <c r="BX172" i="17"/>
  <c r="Z172" i="17"/>
  <c r="BW172" i="17"/>
  <c r="Y172" i="17"/>
  <c r="BM172" i="17"/>
  <c r="X172" i="17"/>
  <c r="BL172" i="17"/>
  <c r="W172" i="17"/>
  <c r="BK172" i="17"/>
  <c r="V172" i="17"/>
  <c r="BI172" i="17"/>
  <c r="U172" i="17"/>
  <c r="BE172" i="17"/>
  <c r="T172" i="17"/>
  <c r="BD172" i="17"/>
  <c r="S172" i="17"/>
  <c r="BB172" i="17"/>
  <c r="AI192" i="17"/>
  <c r="AI190" i="17"/>
  <c r="AI188" i="17"/>
  <c r="AI186" i="17"/>
  <c r="AH192" i="17"/>
  <c r="AH190" i="17"/>
  <c r="AH188" i="17"/>
  <c r="AH186" i="17"/>
  <c r="AH184" i="17"/>
  <c r="AH182" i="17"/>
  <c r="AH180" i="17"/>
  <c r="AH178" i="17"/>
  <c r="AH176" i="17"/>
  <c r="AH174" i="17"/>
  <c r="AH170" i="17"/>
  <c r="AH167" i="17"/>
  <c r="AH165" i="17"/>
  <c r="AH163" i="17"/>
  <c r="AH161" i="17"/>
  <c r="AH159" i="17"/>
  <c r="AG192" i="17"/>
  <c r="AG190" i="17"/>
  <c r="AG188" i="17"/>
  <c r="AG186" i="17"/>
  <c r="AG184" i="17"/>
  <c r="AG182" i="17"/>
  <c r="AG180" i="17"/>
  <c r="AG178" i="17"/>
  <c r="AG176" i="17"/>
  <c r="AG174" i="17"/>
  <c r="AG170" i="17"/>
  <c r="AG167" i="17"/>
  <c r="AG165" i="17"/>
  <c r="AG163" i="17"/>
  <c r="AG161" i="17"/>
  <c r="AG159" i="17"/>
  <c r="AF192" i="17"/>
  <c r="AF190" i="17"/>
  <c r="AF188" i="17"/>
  <c r="AF186" i="17"/>
  <c r="AF184" i="17"/>
  <c r="AF182" i="17"/>
  <c r="AQ193" i="17"/>
  <c r="AQ191" i="17"/>
  <c r="AQ189" i="17"/>
  <c r="AQ187" i="17"/>
  <c r="AQ185" i="17"/>
  <c r="AQ183" i="17"/>
  <c r="AQ181" i="17"/>
  <c r="AQ179" i="17"/>
  <c r="AQ177" i="17"/>
  <c r="AQ175" i="17"/>
  <c r="AQ173" i="17"/>
  <c r="AQ168" i="17"/>
  <c r="AP193" i="17"/>
  <c r="AP191" i="17"/>
  <c r="AP189" i="17"/>
  <c r="AP187" i="17"/>
  <c r="AP185" i="17"/>
  <c r="AP183" i="17"/>
  <c r="AP181" i="17"/>
  <c r="AP179" i="17"/>
  <c r="AP177" i="17"/>
  <c r="AP175" i="17"/>
  <c r="AO193" i="17"/>
  <c r="AO191" i="17"/>
  <c r="AO189" i="17"/>
  <c r="AO187" i="17"/>
  <c r="AO185" i="17"/>
  <c r="AO183" i="17"/>
  <c r="AO181" i="17"/>
  <c r="AO179" i="17"/>
  <c r="AO177" i="17"/>
  <c r="AO175" i="17"/>
  <c r="AO173" i="17"/>
  <c r="AO168" i="17"/>
  <c r="AO166" i="17"/>
  <c r="AO164" i="17"/>
  <c r="AO162" i="17"/>
  <c r="AO160" i="17"/>
  <c r="AO158" i="17"/>
  <c r="BC172" i="17"/>
  <c r="AM193" i="17"/>
  <c r="AM191" i="17"/>
  <c r="AM189" i="17"/>
  <c r="AM187" i="17"/>
  <c r="AM185" i="17"/>
  <c r="AM183" i="17"/>
  <c r="AM181" i="17"/>
  <c r="AK193" i="17"/>
  <c r="AK191" i="17"/>
  <c r="AK189" i="17"/>
  <c r="AK187" i="17"/>
  <c r="AI193" i="17"/>
  <c r="AI191" i="17"/>
  <c r="AI189" i="17"/>
  <c r="AI187" i="17"/>
  <c r="AI185" i="17"/>
  <c r="AI183" i="17"/>
  <c r="AI181" i="17"/>
  <c r="AI179" i="17"/>
  <c r="AI177" i="17"/>
  <c r="AI175" i="17"/>
  <c r="AI173" i="17"/>
  <c r="AI168" i="17"/>
  <c r="AI166" i="17"/>
  <c r="AI164" i="17"/>
  <c r="AI162" i="17"/>
  <c r="AH193" i="17"/>
  <c r="AH191" i="17"/>
  <c r="AH189" i="17"/>
  <c r="AH187" i="17"/>
  <c r="AG193" i="17"/>
  <c r="AG191" i="17"/>
  <c r="AG189" i="17"/>
  <c r="AF193" i="17"/>
  <c r="AF191" i="17"/>
  <c r="AF189" i="17"/>
  <c r="AP190" i="17"/>
  <c r="AP186" i="17"/>
  <c r="AL183" i="17"/>
  <c r="AO180" i="17"/>
  <c r="AI178" i="17"/>
  <c r="AJ175" i="17"/>
  <c r="AP170" i="17"/>
  <c r="AK167" i="17"/>
  <c r="AQ164" i="17"/>
  <c r="AL162" i="17"/>
  <c r="AH160" i="17"/>
  <c r="AO190" i="17"/>
  <c r="AO186" i="17"/>
  <c r="AK183" i="17"/>
  <c r="AN180" i="17"/>
  <c r="AF178" i="17"/>
  <c r="AH175" i="17"/>
  <c r="AO170" i="17"/>
  <c r="AJ167" i="17"/>
  <c r="AP164" i="17"/>
  <c r="AK162" i="17"/>
  <c r="AG160" i="17"/>
  <c r="AN190" i="17"/>
  <c r="AN186" i="17"/>
  <c r="AJ183" i="17"/>
  <c r="AM180" i="17"/>
  <c r="AN177" i="17"/>
  <c r="AG175" i="17"/>
  <c r="AN170" i="17"/>
  <c r="AI167" i="17"/>
  <c r="AN164" i="17"/>
  <c r="AJ162" i="17"/>
  <c r="AF160" i="17"/>
  <c r="AM190" i="17"/>
  <c r="AM186" i="17"/>
  <c r="AH183" i="17"/>
  <c r="AL180" i="17"/>
  <c r="AM177" i="17"/>
  <c r="AF175" i="17"/>
  <c r="AM170" i="17"/>
  <c r="AF167" i="17"/>
  <c r="AM164" i="17"/>
  <c r="AH162" i="17"/>
  <c r="AQ159" i="17"/>
  <c r="AL190" i="17"/>
  <c r="AL186" i="17"/>
  <c r="AG183" i="17"/>
  <c r="AK180" i="17"/>
  <c r="AL177" i="17"/>
  <c r="AQ174" i="17"/>
  <c r="AL170" i="17"/>
  <c r="AQ166" i="17"/>
  <c r="AL164" i="17"/>
  <c r="AG162" i="17"/>
  <c r="AP159" i="17"/>
  <c r="AK190" i="17"/>
  <c r="AK186" i="17"/>
  <c r="AF183" i="17"/>
  <c r="AJ180" i="17"/>
  <c r="AK177" i="17"/>
  <c r="AP174" i="17"/>
  <c r="AK170" i="17"/>
  <c r="AP166" i="17"/>
  <c r="AK164" i="17"/>
  <c r="AF162" i="17"/>
  <c r="AO159" i="17"/>
  <c r="AJ190" i="17"/>
  <c r="AJ186" i="17"/>
  <c r="AQ182" i="17"/>
  <c r="AI180" i="17"/>
  <c r="AJ177" i="17"/>
  <c r="AO174" i="17"/>
  <c r="AJ170" i="17"/>
  <c r="AN166" i="17"/>
  <c r="AJ164" i="17"/>
  <c r="AQ161" i="17"/>
  <c r="AN159" i="17"/>
  <c r="AN189" i="17"/>
  <c r="AN185" i="17"/>
  <c r="AP182" i="17"/>
  <c r="AF180" i="17"/>
  <c r="AH177" i="17"/>
  <c r="AN174" i="17"/>
  <c r="AI170" i="17"/>
  <c r="AM166" i="17"/>
  <c r="AH164" i="17"/>
  <c r="AP161" i="17"/>
  <c r="AM159" i="17"/>
  <c r="AL189" i="17"/>
  <c r="AL185" i="17"/>
  <c r="AO182" i="17"/>
  <c r="AN179" i="17"/>
  <c r="AG177" i="17"/>
  <c r="AM174" i="17"/>
  <c r="AF170" i="17"/>
  <c r="AL166" i="17"/>
  <c r="AG164" i="17"/>
  <c r="AO161" i="17"/>
  <c r="AL159" i="17"/>
  <c r="AN193" i="17"/>
  <c r="AJ189" i="17"/>
  <c r="AK185" i="17"/>
  <c r="AN182" i="17"/>
  <c r="AM179" i="17"/>
  <c r="AF177" i="17"/>
  <c r="AL174" i="17"/>
  <c r="AP168" i="17"/>
  <c r="AK166" i="17"/>
  <c r="AF164" i="17"/>
  <c r="AN161" i="17"/>
  <c r="AK159" i="17"/>
  <c r="AL193" i="17"/>
  <c r="AQ188" i="17"/>
  <c r="AJ185" i="17"/>
  <c r="AM182" i="17"/>
  <c r="AL179" i="17"/>
  <c r="AQ176" i="17"/>
  <c r="AK174" i="17"/>
  <c r="AN168" i="17"/>
  <c r="AJ166" i="17"/>
  <c r="AQ163" i="17"/>
  <c r="AM161" i="17"/>
  <c r="AJ159" i="17"/>
  <c r="AJ193" i="17"/>
  <c r="AP188" i="17"/>
  <c r="AH185" i="17"/>
  <c r="AL182" i="17"/>
  <c r="AK179" i="17"/>
  <c r="AP176" i="17"/>
  <c r="AJ174" i="17"/>
  <c r="AM168" i="17"/>
  <c r="AH166" i="17"/>
  <c r="AP163" i="17"/>
  <c r="AL161" i="17"/>
  <c r="AI159" i="17"/>
  <c r="AQ192" i="17"/>
  <c r="AO188" i="17"/>
  <c r="AG185" i="17"/>
  <c r="AK182" i="17"/>
  <c r="AJ179" i="17"/>
  <c r="AO176" i="17"/>
  <c r="AI174" i="17"/>
  <c r="AL168" i="17"/>
  <c r="AG166" i="17"/>
  <c r="AO163" i="17"/>
  <c r="AK161" i="17"/>
  <c r="AF159" i="17"/>
  <c r="AP192" i="17"/>
  <c r="AN188" i="17"/>
  <c r="AF185" i="17"/>
  <c r="AJ182" i="17"/>
  <c r="AH179" i="17"/>
  <c r="AN176" i="17"/>
  <c r="AF174" i="17"/>
  <c r="AK168" i="17"/>
  <c r="AF166" i="17"/>
  <c r="AN163" i="17"/>
  <c r="AJ161" i="17"/>
  <c r="AQ158" i="17"/>
  <c r="AO192" i="17"/>
  <c r="AM188" i="17"/>
  <c r="AQ184" i="17"/>
  <c r="AI182" i="17"/>
  <c r="AG179" i="17"/>
  <c r="AM176" i="17"/>
  <c r="AP173" i="17"/>
  <c r="AJ168" i="17"/>
  <c r="AQ165" i="17"/>
  <c r="AM163" i="17"/>
  <c r="AI161" i="17"/>
  <c r="AP158" i="17"/>
  <c r="AN192" i="17"/>
  <c r="AL188" i="17"/>
  <c r="AP184" i="17"/>
  <c r="AN181" i="17"/>
  <c r="AF179" i="17"/>
  <c r="AL176" i="17"/>
  <c r="AN173" i="17"/>
  <c r="AH168" i="17"/>
  <c r="AP165" i="17"/>
  <c r="AL163" i="17"/>
  <c r="AF161" i="17"/>
  <c r="AN158" i="17"/>
  <c r="AM192" i="17"/>
  <c r="AK188" i="17"/>
  <c r="AO184" i="17"/>
  <c r="AL181" i="17"/>
  <c r="AQ178" i="17"/>
  <c r="AK176" i="17"/>
  <c r="AM173" i="17"/>
  <c r="AG168" i="17"/>
  <c r="AO165" i="17"/>
  <c r="AK163" i="17"/>
  <c r="AQ160" i="17"/>
  <c r="AM158" i="17"/>
  <c r="AL192" i="17"/>
  <c r="AJ188" i="17"/>
  <c r="AN184" i="17"/>
  <c r="AK181" i="17"/>
  <c r="AP178" i="17"/>
  <c r="AJ176" i="17"/>
  <c r="AL173" i="17"/>
  <c r="AF168" i="17"/>
  <c r="AN165" i="17"/>
  <c r="AJ163" i="17"/>
  <c r="AP160" i="17"/>
  <c r="AL158" i="17"/>
  <c r="AK192" i="17"/>
  <c r="AN187" i="17"/>
  <c r="AM184" i="17"/>
  <c r="AJ181" i="17"/>
  <c r="AO178" i="17"/>
  <c r="AI176" i="17"/>
  <c r="AK173" i="17"/>
  <c r="AQ167" i="17"/>
  <c r="AM165" i="17"/>
  <c r="AI163" i="17"/>
  <c r="AN160" i="17"/>
  <c r="AK158" i="17"/>
  <c r="AL191" i="17"/>
  <c r="AG187" i="17"/>
  <c r="AJ184" i="17"/>
  <c r="AF181" i="17"/>
  <c r="AL178" i="17"/>
  <c r="AM175" i="17"/>
  <c r="AG173" i="17"/>
  <c r="AN167" i="17"/>
  <c r="AJ165" i="17"/>
  <c r="AP162" i="17"/>
  <c r="AK160" i="17"/>
  <c r="AH158" i="17"/>
  <c r="AJ191" i="17"/>
  <c r="AF187" i="17"/>
  <c r="AI184" i="17"/>
  <c r="AQ180" i="17"/>
  <c r="AK178" i="17"/>
  <c r="AL175" i="17"/>
  <c r="AF173" i="17"/>
  <c r="AM167" i="17"/>
  <c r="AI165" i="17"/>
  <c r="AN162" i="17"/>
  <c r="AJ160" i="17"/>
  <c r="AG158" i="17"/>
  <c r="AQ190" i="17"/>
  <c r="AQ186" i="17"/>
  <c r="AN183" i="17"/>
  <c r="AP180" i="17"/>
  <c r="AJ178" i="17"/>
  <c r="AK175" i="17"/>
  <c r="AQ170" i="17"/>
  <c r="AL167" i="17"/>
  <c r="AF165" i="17"/>
  <c r="AM162" i="17"/>
  <c r="AI160" i="17"/>
  <c r="AF158" i="17"/>
  <c r="AF176" i="17"/>
  <c r="AN175" i="17"/>
  <c r="AJ173" i="17"/>
  <c r="AH173" i="17"/>
  <c r="AP167" i="17"/>
  <c r="AO167" i="17"/>
  <c r="AL165" i="17"/>
  <c r="AK165" i="17"/>
  <c r="AF163" i="17"/>
  <c r="AQ162" i="17"/>
  <c r="AM160" i="17"/>
  <c r="AL160" i="17"/>
  <c r="AJ158" i="17"/>
  <c r="AI158" i="17"/>
  <c r="AJ192" i="17"/>
  <c r="AN191" i="17"/>
  <c r="AL187" i="17"/>
  <c r="AJ187" i="17"/>
  <c r="AL184" i="17"/>
  <c r="AK184" i="17"/>
  <c r="AH181" i="17"/>
  <c r="AM178" i="17"/>
  <c r="AG181" i="17"/>
  <c r="CN192" i="17"/>
  <c r="CN190" i="17"/>
  <c r="CN188" i="17"/>
  <c r="CN186" i="17"/>
  <c r="CN184" i="17"/>
  <c r="CN182" i="17"/>
  <c r="CN180" i="17"/>
  <c r="CN178" i="17"/>
  <c r="CN176" i="17"/>
  <c r="CN174" i="17"/>
  <c r="CN170" i="17"/>
  <c r="CN167" i="17"/>
  <c r="CN165" i="17"/>
  <c r="CN163" i="17"/>
  <c r="CN161" i="17"/>
  <c r="CN159" i="17"/>
  <c r="AN178" i="17"/>
  <c r="CM192" i="17"/>
  <c r="CM190" i="17"/>
  <c r="CM188" i="17"/>
  <c r="CM186" i="17"/>
  <c r="CM184" i="17"/>
  <c r="CM182" i="17"/>
  <c r="CM180" i="17"/>
  <c r="CM178" i="17"/>
  <c r="CM176" i="17"/>
  <c r="CM174" i="17"/>
  <c r="CM170" i="17"/>
  <c r="CM167" i="17"/>
  <c r="CM165" i="17"/>
  <c r="CM163" i="17"/>
  <c r="CM161" i="17"/>
  <c r="CM159" i="17"/>
  <c r="CL192" i="17"/>
  <c r="CL190" i="17"/>
  <c r="CL188" i="17"/>
  <c r="CL186" i="17"/>
  <c r="CL184" i="17"/>
  <c r="CL182" i="17"/>
  <c r="CL180" i="17"/>
  <c r="CL178" i="17"/>
  <c r="CL176" i="17"/>
  <c r="CL174" i="17"/>
  <c r="CL170" i="17"/>
  <c r="CL167" i="17"/>
  <c r="CL165" i="17"/>
  <c r="CL163" i="17"/>
  <c r="CL161" i="17"/>
  <c r="CL159" i="17"/>
  <c r="CJ192" i="17"/>
  <c r="CJ190" i="17"/>
  <c r="CJ188" i="17"/>
  <c r="CJ186" i="17"/>
  <c r="CJ184" i="17"/>
  <c r="CJ182" i="17"/>
  <c r="CJ180" i="17"/>
  <c r="CJ178" i="17"/>
  <c r="CJ176" i="17"/>
  <c r="CJ174" i="17"/>
  <c r="CJ170" i="17"/>
  <c r="CJ167" i="17"/>
  <c r="CJ165" i="17"/>
  <c r="CJ163" i="17"/>
  <c r="CJ161" i="17"/>
  <c r="CJ159" i="17"/>
  <c r="CU193" i="17"/>
  <c r="CU191" i="17"/>
  <c r="CU189" i="17"/>
  <c r="CU187" i="17"/>
  <c r="CU185" i="17"/>
  <c r="CU183" i="17"/>
  <c r="CU181" i="17"/>
  <c r="CU179" i="17"/>
  <c r="CU177" i="17"/>
  <c r="CU175" i="17"/>
  <c r="CU173" i="17"/>
  <c r="CU168" i="17"/>
  <c r="CU166" i="17"/>
  <c r="CU164" i="17"/>
  <c r="CU162" i="17"/>
  <c r="CU160" i="17"/>
  <c r="CU158" i="17"/>
  <c r="CT193" i="17"/>
  <c r="CT191" i="17"/>
  <c r="CT189" i="17"/>
  <c r="CT187" i="17"/>
  <c r="CT185" i="17"/>
  <c r="CT183" i="17"/>
  <c r="CT181" i="17"/>
  <c r="CT179" i="17"/>
  <c r="CT177" i="17"/>
  <c r="CT175" i="17"/>
  <c r="CT173" i="17"/>
  <c r="CT168" i="17"/>
  <c r="CT166" i="17"/>
  <c r="CT164" i="17"/>
  <c r="CT162" i="17"/>
  <c r="CT160" i="17"/>
  <c r="CT158" i="17"/>
  <c r="CS193" i="17"/>
  <c r="CS191" i="17"/>
  <c r="CS189" i="17"/>
  <c r="CS187" i="17"/>
  <c r="CS185" i="17"/>
  <c r="CS183" i="17"/>
  <c r="CS181" i="17"/>
  <c r="CS179" i="17"/>
  <c r="CS177" i="17"/>
  <c r="CS175" i="17"/>
  <c r="CS173" i="17"/>
  <c r="CS168" i="17"/>
  <c r="CS166" i="17"/>
  <c r="CS164" i="17"/>
  <c r="CS162" i="17"/>
  <c r="CS160" i="17"/>
  <c r="CS158" i="17"/>
  <c r="CR193" i="17"/>
  <c r="CR191" i="17"/>
  <c r="CR189" i="17"/>
  <c r="CR187" i="17"/>
  <c r="CR185" i="17"/>
  <c r="CR183" i="17"/>
  <c r="CR181" i="17"/>
  <c r="CR179" i="17"/>
  <c r="CR177" i="17"/>
  <c r="CR175" i="17"/>
  <c r="CR173" i="17"/>
  <c r="CR168" i="17"/>
  <c r="CR166" i="17"/>
  <c r="CR164" i="17"/>
  <c r="CR162" i="17"/>
  <c r="CR160" i="17"/>
  <c r="CR158" i="17"/>
  <c r="CQ193" i="17"/>
  <c r="CQ191" i="17"/>
  <c r="CQ189" i="17"/>
  <c r="CQ187" i="17"/>
  <c r="CQ185" i="17"/>
  <c r="CQ183" i="17"/>
  <c r="CQ181" i="17"/>
  <c r="CQ179" i="17"/>
  <c r="CQ177" i="17"/>
  <c r="CQ175" i="17"/>
  <c r="CQ173" i="17"/>
  <c r="CQ168" i="17"/>
  <c r="CQ166" i="17"/>
  <c r="CQ164" i="17"/>
  <c r="CQ162" i="17"/>
  <c r="CQ160" i="17"/>
  <c r="CQ158" i="17"/>
  <c r="CP193" i="17"/>
  <c r="CP191" i="17"/>
  <c r="CP189" i="17"/>
  <c r="CP187" i="17"/>
  <c r="CP185" i="17"/>
  <c r="CP183" i="17"/>
  <c r="CP181" i="17"/>
  <c r="CP179" i="17"/>
  <c r="CP177" i="17"/>
  <c r="CP175" i="17"/>
  <c r="CP173" i="17"/>
  <c r="CP168" i="17"/>
  <c r="CP166" i="17"/>
  <c r="CP164" i="17"/>
  <c r="CP162" i="17"/>
  <c r="CP160" i="17"/>
  <c r="CP158" i="17"/>
  <c r="CO193" i="17"/>
  <c r="CO191" i="17"/>
  <c r="CO189" i="17"/>
  <c r="CO187" i="17"/>
  <c r="CO185" i="17"/>
  <c r="CO183" i="17"/>
  <c r="CO181" i="17"/>
  <c r="CO179" i="17"/>
  <c r="CO177" i="17"/>
  <c r="CO175" i="17"/>
  <c r="CO173" i="17"/>
  <c r="CO168" i="17"/>
  <c r="CO166" i="17"/>
  <c r="CO164" i="17"/>
  <c r="CO162" i="17"/>
  <c r="CN193" i="17"/>
  <c r="CN191" i="17"/>
  <c r="CN189" i="17"/>
  <c r="CN187" i="17"/>
  <c r="CN185" i="17"/>
  <c r="CN183" i="17"/>
  <c r="CN181" i="17"/>
  <c r="CN179" i="17"/>
  <c r="CN177" i="17"/>
  <c r="CN175" i="17"/>
  <c r="CN173" i="17"/>
  <c r="CN168" i="17"/>
  <c r="CN166" i="17"/>
  <c r="CN164" i="17"/>
  <c r="CN162" i="17"/>
  <c r="CN160" i="17"/>
  <c r="CN158" i="17"/>
  <c r="CK193" i="17"/>
  <c r="CK191" i="17"/>
  <c r="CK189" i="17"/>
  <c r="CK187" i="17"/>
  <c r="CK185" i="17"/>
  <c r="CK183" i="17"/>
  <c r="CK181" i="17"/>
  <c r="CK179" i="17"/>
  <c r="CK177" i="17"/>
  <c r="CK175" i="17"/>
  <c r="CK173" i="17"/>
  <c r="CK168" i="17"/>
  <c r="CK166" i="17"/>
  <c r="CK164" i="17"/>
  <c r="CK162" i="17"/>
  <c r="CK160" i="17"/>
  <c r="CK158" i="17"/>
  <c r="CJ193" i="17"/>
  <c r="CJ191" i="17"/>
  <c r="CJ189" i="17"/>
  <c r="CJ187" i="17"/>
  <c r="CJ185" i="17"/>
  <c r="CJ183" i="17"/>
  <c r="CJ181" i="17"/>
  <c r="CJ179" i="17"/>
  <c r="CJ177" i="17"/>
  <c r="CJ175" i="17"/>
  <c r="CJ173" i="17"/>
  <c r="CJ168" i="17"/>
  <c r="CJ166" i="17"/>
  <c r="CJ164" i="17"/>
  <c r="CJ162" i="17"/>
  <c r="CJ160" i="17"/>
  <c r="CT192" i="17"/>
  <c r="CT190" i="17"/>
  <c r="CT188" i="17"/>
  <c r="CT186" i="17"/>
  <c r="CT184" i="17"/>
  <c r="CT182" i="17"/>
  <c r="CT180" i="17"/>
  <c r="CT178" i="17"/>
  <c r="CT176" i="17"/>
  <c r="CT174" i="17"/>
  <c r="CT170" i="17"/>
  <c r="CT167" i="17"/>
  <c r="CT165" i="17"/>
  <c r="CT163" i="17"/>
  <c r="CT161" i="17"/>
  <c r="CS192" i="17"/>
  <c r="CS190" i="17"/>
  <c r="CS188" i="17"/>
  <c r="CS186" i="17"/>
  <c r="CS184" i="17"/>
  <c r="CS182" i="17"/>
  <c r="CS180" i="17"/>
  <c r="CS178" i="17"/>
  <c r="CS176" i="17"/>
  <c r="CS174" i="17"/>
  <c r="CS170" i="17"/>
  <c r="CS167" i="17"/>
  <c r="CS165" i="17"/>
  <c r="CS163" i="17"/>
  <c r="CS161" i="17"/>
  <c r="CS159" i="17"/>
  <c r="CR192" i="17"/>
  <c r="CR190" i="17"/>
  <c r="CR188" i="17"/>
  <c r="CO192" i="17"/>
  <c r="CO190" i="17"/>
  <c r="CO188" i="17"/>
  <c r="CO186" i="17"/>
  <c r="CO184" i="17"/>
  <c r="CO182" i="17"/>
  <c r="CO180" i="17"/>
  <c r="CO178" i="17"/>
  <c r="CO176" i="17"/>
  <c r="CO174" i="17"/>
  <c r="CO170" i="17"/>
  <c r="CO167" i="17"/>
  <c r="CO165" i="17"/>
  <c r="CO163" i="17"/>
  <c r="CO161" i="17"/>
  <c r="CO159" i="17"/>
  <c r="CQ192" i="17"/>
  <c r="CU184" i="17"/>
  <c r="CP178" i="17"/>
  <c r="CL168" i="17"/>
  <c r="CQ161" i="17"/>
  <c r="CP192" i="17"/>
  <c r="CR184" i="17"/>
  <c r="CK178" i="17"/>
  <c r="CU167" i="17"/>
  <c r="CP161" i="17"/>
  <c r="CK192" i="17"/>
  <c r="CQ184" i="17"/>
  <c r="CM177" i="17"/>
  <c r="CR167" i="17"/>
  <c r="CK161" i="17"/>
  <c r="CM191" i="17"/>
  <c r="CP184" i="17"/>
  <c r="CL177" i="17"/>
  <c r="CQ167" i="17"/>
  <c r="CO160" i="17"/>
  <c r="CL191" i="17"/>
  <c r="CK184" i="17"/>
  <c r="CU176" i="17"/>
  <c r="CP167" i="17"/>
  <c r="CM160" i="17"/>
  <c r="CU190" i="17"/>
  <c r="CM183" i="17"/>
  <c r="CR176" i="17"/>
  <c r="CK167" i="17"/>
  <c r="CL160" i="17"/>
  <c r="CQ190" i="17"/>
  <c r="CL183" i="17"/>
  <c r="CQ176" i="17"/>
  <c r="CM166" i="17"/>
  <c r="CU159" i="17"/>
  <c r="CP190" i="17"/>
  <c r="CU182" i="17"/>
  <c r="CP176" i="17"/>
  <c r="CL166" i="17"/>
  <c r="CT159" i="17"/>
  <c r="CK190" i="17"/>
  <c r="CR182" i="17"/>
  <c r="CK176" i="17"/>
  <c r="CU165" i="17"/>
  <c r="CR159" i="17"/>
  <c r="CM189" i="17"/>
  <c r="CQ182" i="17"/>
  <c r="CM175" i="17"/>
  <c r="CR165" i="17"/>
  <c r="CQ159" i="17"/>
  <c r="CL189" i="17"/>
  <c r="CP182" i="17"/>
  <c r="CL175" i="17"/>
  <c r="CQ165" i="17"/>
  <c r="CP159" i="17"/>
  <c r="CU188" i="17"/>
  <c r="CK182" i="17"/>
  <c r="CU174" i="17"/>
  <c r="CP165" i="17"/>
  <c r="CK159" i="17"/>
  <c r="CQ188" i="17"/>
  <c r="CM181" i="17"/>
  <c r="CR174" i="17"/>
  <c r="CK165" i="17"/>
  <c r="CO158" i="17"/>
  <c r="CP188" i="17"/>
  <c r="CL181" i="17"/>
  <c r="CQ174" i="17"/>
  <c r="CM164" i="17"/>
  <c r="CM158" i="17"/>
  <c r="CK188" i="17"/>
  <c r="CU180" i="17"/>
  <c r="CP174" i="17"/>
  <c r="CL164" i="17"/>
  <c r="CL158" i="17"/>
  <c r="CM187" i="17"/>
  <c r="CR180" i="17"/>
  <c r="CK174" i="17"/>
  <c r="CU163" i="17"/>
  <c r="CJ158" i="17"/>
  <c r="CL187" i="17"/>
  <c r="CQ180" i="17"/>
  <c r="CM173" i="17"/>
  <c r="CR163" i="17"/>
  <c r="CU186" i="17"/>
  <c r="CP180" i="17"/>
  <c r="CL173" i="17"/>
  <c r="CQ163" i="17"/>
  <c r="CR186" i="17"/>
  <c r="CK180" i="17"/>
  <c r="CU170" i="17"/>
  <c r="CP163" i="17"/>
  <c r="CQ186" i="17"/>
  <c r="CM179" i="17"/>
  <c r="CR170" i="17"/>
  <c r="CK163" i="17"/>
  <c r="CP186" i="17"/>
  <c r="CL179" i="17"/>
  <c r="CQ170" i="17"/>
  <c r="CM162" i="17"/>
  <c r="CM193" i="17"/>
  <c r="CK186" i="17"/>
  <c r="CU178" i="17"/>
  <c r="CP170" i="17"/>
  <c r="CL162" i="17"/>
  <c r="CU192" i="17"/>
  <c r="CL185" i="17"/>
  <c r="CQ178" i="17"/>
  <c r="CM168" i="17"/>
  <c r="CR161" i="17"/>
  <c r="CD193" i="17"/>
  <c r="CD191" i="17"/>
  <c r="CD189" i="17"/>
  <c r="CD187" i="17"/>
  <c r="CD185" i="17"/>
  <c r="CD183" i="17"/>
  <c r="CD181" i="17"/>
  <c r="CD179" i="17"/>
  <c r="CD177" i="17"/>
  <c r="CD175" i="17"/>
  <c r="CD173" i="17"/>
  <c r="CD168" i="17"/>
  <c r="CD166" i="17"/>
  <c r="CD164" i="17"/>
  <c r="CD162" i="17"/>
  <c r="CD160" i="17"/>
  <c r="CD158" i="17"/>
  <c r="CC193" i="17"/>
  <c r="CC191" i="17"/>
  <c r="CC189" i="17"/>
  <c r="CC187" i="17"/>
  <c r="CC185" i="17"/>
  <c r="CC183" i="17"/>
  <c r="CC181" i="17"/>
  <c r="CC179" i="17"/>
  <c r="CC177" i="17"/>
  <c r="CC175" i="17"/>
  <c r="CC173" i="17"/>
  <c r="CC168" i="17"/>
  <c r="CC166" i="17"/>
  <c r="CC164" i="17"/>
  <c r="CC162" i="17"/>
  <c r="CC160" i="17"/>
  <c r="CC158" i="17"/>
  <c r="CL193" i="17"/>
  <c r="CM185" i="17"/>
  <c r="CR178" i="17"/>
  <c r="CG192" i="17"/>
  <c r="CG190" i="17"/>
  <c r="CG188" i="17"/>
  <c r="CG186" i="17"/>
  <c r="CG184" i="17"/>
  <c r="CG182" i="17"/>
  <c r="CG180" i="17"/>
  <c r="CG178" i="17"/>
  <c r="CG176" i="17"/>
  <c r="CG174" i="17"/>
  <c r="CG170" i="17"/>
  <c r="CG167" i="17"/>
  <c r="CK170" i="17"/>
  <c r="CF192" i="17"/>
  <c r="CF190" i="17"/>
  <c r="CF188" i="17"/>
  <c r="CF186" i="17"/>
  <c r="CF184" i="17"/>
  <c r="CF182" i="17"/>
  <c r="CF180" i="17"/>
  <c r="CF178" i="17"/>
  <c r="CF176" i="17"/>
  <c r="CF174" i="17"/>
  <c r="CF170" i="17"/>
  <c r="CF167" i="17"/>
  <c r="CF165" i="17"/>
  <c r="CF163" i="17"/>
  <c r="CF161" i="17"/>
  <c r="CF159" i="17"/>
  <c r="CU161" i="17"/>
  <c r="BX192" i="17"/>
  <c r="CF189" i="17"/>
  <c r="BZ187" i="17"/>
  <c r="BV185" i="17"/>
  <c r="CB182" i="17"/>
  <c r="BX180" i="17"/>
  <c r="CF177" i="17"/>
  <c r="BZ175" i="17"/>
  <c r="BV173" i="17"/>
  <c r="CB167" i="17"/>
  <c r="BY165" i="17"/>
  <c r="BV163" i="17"/>
  <c r="CE160" i="17"/>
  <c r="BZ158" i="17"/>
  <c r="BW192" i="17"/>
  <c r="CE189" i="17"/>
  <c r="BY187" i="17"/>
  <c r="CE184" i="17"/>
  <c r="CA182" i="17"/>
  <c r="BW180" i="17"/>
  <c r="CE177" i="17"/>
  <c r="BY175" i="17"/>
  <c r="CE170" i="17"/>
  <c r="CA167" i="17"/>
  <c r="BX165" i="17"/>
  <c r="CG162" i="17"/>
  <c r="CB160" i="17"/>
  <c r="BY158" i="17"/>
  <c r="BV192" i="17"/>
  <c r="CB189" i="17"/>
  <c r="BX187" i="17"/>
  <c r="CD184" i="17"/>
  <c r="BZ182" i="17"/>
  <c r="BV180" i="17"/>
  <c r="CB177" i="17"/>
  <c r="BX175" i="17"/>
  <c r="CD170" i="17"/>
  <c r="BZ167" i="17"/>
  <c r="BW165" i="17"/>
  <c r="CF162" i="17"/>
  <c r="CA160" i="17"/>
  <c r="BX158" i="17"/>
  <c r="CG191" i="17"/>
  <c r="CA189" i="17"/>
  <c r="BW187" i="17"/>
  <c r="CC184" i="17"/>
  <c r="BY182" i="17"/>
  <c r="CG179" i="17"/>
  <c r="CA177" i="17"/>
  <c r="BW175" i="17"/>
  <c r="CC170" i="17"/>
  <c r="BY167" i="17"/>
  <c r="BV165" i="17"/>
  <c r="CE162" i="17"/>
  <c r="BZ160" i="17"/>
  <c r="BW158" i="17"/>
  <c r="CF191" i="17"/>
  <c r="BZ189" i="17"/>
  <c r="BV187" i="17"/>
  <c r="CB184" i="17"/>
  <c r="BX182" i="17"/>
  <c r="CF179" i="17"/>
  <c r="BZ177" i="17"/>
  <c r="BV175" i="17"/>
  <c r="CB170" i="17"/>
  <c r="BX167" i="17"/>
  <c r="CG164" i="17"/>
  <c r="CB162" i="17"/>
  <c r="BY160" i="17"/>
  <c r="BV158" i="17"/>
  <c r="CE191" i="17"/>
  <c r="BY189" i="17"/>
  <c r="CE186" i="17"/>
  <c r="CA184" i="17"/>
  <c r="BW182" i="17"/>
  <c r="CE179" i="17"/>
  <c r="BY177" i="17"/>
  <c r="CE174" i="17"/>
  <c r="CA170" i="17"/>
  <c r="BW167" i="17"/>
  <c r="CF164" i="17"/>
  <c r="CA162" i="17"/>
  <c r="BX160" i="17"/>
  <c r="CB191" i="17"/>
  <c r="BX189" i="17"/>
  <c r="CD186" i="17"/>
  <c r="BZ184" i="17"/>
  <c r="BV182" i="17"/>
  <c r="CB179" i="17"/>
  <c r="BX177" i="17"/>
  <c r="CD174" i="17"/>
  <c r="BZ170" i="17"/>
  <c r="BV167" i="17"/>
  <c r="CE164" i="17"/>
  <c r="BZ162" i="17"/>
  <c r="BW160" i="17"/>
  <c r="CG193" i="17"/>
  <c r="CA191" i="17"/>
  <c r="BW189" i="17"/>
  <c r="CC186" i="17"/>
  <c r="BY184" i="17"/>
  <c r="CG181" i="17"/>
  <c r="CA179" i="17"/>
  <c r="BW177" i="17"/>
  <c r="CC174" i="17"/>
  <c r="BY170" i="17"/>
  <c r="CG166" i="17"/>
  <c r="CB164" i="17"/>
  <c r="BY162" i="17"/>
  <c r="BV160" i="17"/>
  <c r="CF193" i="17"/>
  <c r="BZ191" i="17"/>
  <c r="BV189" i="17"/>
  <c r="CB186" i="17"/>
  <c r="BX184" i="17"/>
  <c r="CF181" i="17"/>
  <c r="BZ179" i="17"/>
  <c r="BV177" i="17"/>
  <c r="CB174" i="17"/>
  <c r="BX170" i="17"/>
  <c r="CF166" i="17"/>
  <c r="CA164" i="17"/>
  <c r="BX162" i="17"/>
  <c r="CG159" i="17"/>
  <c r="CE193" i="17"/>
  <c r="BY191" i="17"/>
  <c r="CE188" i="17"/>
  <c r="CA186" i="17"/>
  <c r="BW184" i="17"/>
  <c r="CE181" i="17"/>
  <c r="BY179" i="17"/>
  <c r="CE176" i="17"/>
  <c r="CA174" i="17"/>
  <c r="BW170" i="17"/>
  <c r="CE166" i="17"/>
  <c r="BZ164" i="17"/>
  <c r="BW162" i="17"/>
  <c r="CE159" i="17"/>
  <c r="CB193" i="17"/>
  <c r="BX191" i="17"/>
  <c r="CD188" i="17"/>
  <c r="BZ186" i="17"/>
  <c r="BV184" i="17"/>
  <c r="CB181" i="17"/>
  <c r="BX179" i="17"/>
  <c r="CD176" i="17"/>
  <c r="BZ174" i="17"/>
  <c r="BV170" i="17"/>
  <c r="CB166" i="17"/>
  <c r="BY164" i="17"/>
  <c r="BV162" i="17"/>
  <c r="CD159" i="17"/>
  <c r="CA193" i="17"/>
  <c r="BW191" i="17"/>
  <c r="CC188" i="17"/>
  <c r="BY186" i="17"/>
  <c r="CG183" i="17"/>
  <c r="CA181" i="17"/>
  <c r="BW179" i="17"/>
  <c r="CC176" i="17"/>
  <c r="BY174" i="17"/>
  <c r="CG168" i="17"/>
  <c r="CA166" i="17"/>
  <c r="BX164" i="17"/>
  <c r="CG161" i="17"/>
  <c r="CC159" i="17"/>
  <c r="BZ193" i="17"/>
  <c r="BV191" i="17"/>
  <c r="CB188" i="17"/>
  <c r="BX186" i="17"/>
  <c r="CF183" i="17"/>
  <c r="BZ181" i="17"/>
  <c r="BV179" i="17"/>
  <c r="CB176" i="17"/>
  <c r="BX174" i="17"/>
  <c r="CF168" i="17"/>
  <c r="BZ166" i="17"/>
  <c r="BW164" i="17"/>
  <c r="CE161" i="17"/>
  <c r="CB159" i="17"/>
  <c r="BY193" i="17"/>
  <c r="CE190" i="17"/>
  <c r="CA188" i="17"/>
  <c r="BW186" i="17"/>
  <c r="CE183" i="17"/>
  <c r="BY181" i="17"/>
  <c r="CE178" i="17"/>
  <c r="CA176" i="17"/>
  <c r="BW174" i="17"/>
  <c r="CE168" i="17"/>
  <c r="BY166" i="17"/>
  <c r="BV164" i="17"/>
  <c r="CD161" i="17"/>
  <c r="CA159" i="17"/>
  <c r="BX193" i="17"/>
  <c r="CD190" i="17"/>
  <c r="BZ188" i="17"/>
  <c r="BV186" i="17"/>
  <c r="CB183" i="17"/>
  <c r="BX181" i="17"/>
  <c r="CD178" i="17"/>
  <c r="BZ176" i="17"/>
  <c r="BV174" i="17"/>
  <c r="CB168" i="17"/>
  <c r="BX166" i="17"/>
  <c r="CG163" i="17"/>
  <c r="CC161" i="17"/>
  <c r="BZ159" i="17"/>
  <c r="BW193" i="17"/>
  <c r="CC190" i="17"/>
  <c r="BY188" i="17"/>
  <c r="CG185" i="17"/>
  <c r="CA183" i="17"/>
  <c r="BW181" i="17"/>
  <c r="CC178" i="17"/>
  <c r="BY176" i="17"/>
  <c r="CG173" i="17"/>
  <c r="CA168" i="17"/>
  <c r="BW166" i="17"/>
  <c r="CE163" i="17"/>
  <c r="CB161" i="17"/>
  <c r="BY159" i="17"/>
  <c r="BV193" i="17"/>
  <c r="CB190" i="17"/>
  <c r="BX188" i="17"/>
  <c r="CF185" i="17"/>
  <c r="BZ183" i="17"/>
  <c r="BV181" i="17"/>
  <c r="CB178" i="17"/>
  <c r="BX176" i="17"/>
  <c r="CF173" i="17"/>
  <c r="BZ168" i="17"/>
  <c r="BV166" i="17"/>
  <c r="CD163" i="17"/>
  <c r="CA161" i="17"/>
  <c r="BX159" i="17"/>
  <c r="CE192" i="17"/>
  <c r="CA190" i="17"/>
  <c r="BW188" i="17"/>
  <c r="CE185" i="17"/>
  <c r="BY183" i="17"/>
  <c r="CE180" i="17"/>
  <c r="CA178" i="17"/>
  <c r="BW176" i="17"/>
  <c r="CE173" i="17"/>
  <c r="BY168" i="17"/>
  <c r="CG165" i="17"/>
  <c r="CC163" i="17"/>
  <c r="BZ161" i="17"/>
  <c r="BW159" i="17"/>
  <c r="CD192" i="17"/>
  <c r="BZ190" i="17"/>
  <c r="BV188" i="17"/>
  <c r="CB185" i="17"/>
  <c r="BX183" i="17"/>
  <c r="CD180" i="17"/>
  <c r="BZ178" i="17"/>
  <c r="BV176" i="17"/>
  <c r="CB173" i="17"/>
  <c r="BX168" i="17"/>
  <c r="CE165" i="17"/>
  <c r="CB163" i="17"/>
  <c r="BY161" i="17"/>
  <c r="BV159" i="17"/>
  <c r="CC192" i="17"/>
  <c r="BY190" i="17"/>
  <c r="CG187" i="17"/>
  <c r="CA185" i="17"/>
  <c r="BW183" i="17"/>
  <c r="CC180" i="17"/>
  <c r="BY178" i="17"/>
  <c r="CG175" i="17"/>
  <c r="CA173" i="17"/>
  <c r="BW168" i="17"/>
  <c r="CD165" i="17"/>
  <c r="CA163" i="17"/>
  <c r="BX161" i="17"/>
  <c r="CG158" i="17"/>
  <c r="CB192" i="17"/>
  <c r="BX190" i="17"/>
  <c r="CF187" i="17"/>
  <c r="BZ185" i="17"/>
  <c r="BV183" i="17"/>
  <c r="CB180" i="17"/>
  <c r="BX178" i="17"/>
  <c r="CF175" i="17"/>
  <c r="BZ173" i="17"/>
  <c r="BV168" i="17"/>
  <c r="CC165" i="17"/>
  <c r="BZ163" i="17"/>
  <c r="BW161" i="17"/>
  <c r="CF158" i="17"/>
  <c r="BY192" i="17"/>
  <c r="CG189" i="17"/>
  <c r="CA187" i="17"/>
  <c r="BW185" i="17"/>
  <c r="CC182" i="17"/>
  <c r="BY180" i="17"/>
  <c r="CG177" i="17"/>
  <c r="CA175" i="17"/>
  <c r="BW173" i="17"/>
  <c r="CC167" i="17"/>
  <c r="BZ165" i="17"/>
  <c r="BW163" i="17"/>
  <c r="CF160" i="17"/>
  <c r="CA158" i="17"/>
  <c r="CE167" i="17"/>
  <c r="CD167" i="17"/>
  <c r="CB165" i="17"/>
  <c r="CA165" i="17"/>
  <c r="BY163" i="17"/>
  <c r="BX163" i="17"/>
  <c r="CA192" i="17"/>
  <c r="BV161" i="17"/>
  <c r="BZ192" i="17"/>
  <c r="CG160" i="17"/>
  <c r="BW190" i="17"/>
  <c r="CE158" i="17"/>
  <c r="BV190" i="17"/>
  <c r="CB158" i="17"/>
  <c r="CE187" i="17"/>
  <c r="CB187" i="17"/>
  <c r="BY185" i="17"/>
  <c r="BX185" i="17"/>
  <c r="CE182" i="17"/>
  <c r="CD182" i="17"/>
  <c r="CA180" i="17"/>
  <c r="BZ180" i="17"/>
  <c r="BW178" i="17"/>
  <c r="BV178" i="17"/>
  <c r="CE175" i="17"/>
  <c r="BX173" i="17"/>
  <c r="BJ192" i="17"/>
  <c r="BJ190" i="17"/>
  <c r="BJ188" i="17"/>
  <c r="BJ186" i="17"/>
  <c r="BJ184" i="17"/>
  <c r="BJ182" i="17"/>
  <c r="BJ180" i="17"/>
  <c r="BJ178" i="17"/>
  <c r="BJ176" i="17"/>
  <c r="BJ174" i="17"/>
  <c r="BJ170" i="17"/>
  <c r="BJ167" i="17"/>
  <c r="BJ165" i="17"/>
  <c r="BJ163" i="17"/>
  <c r="BJ161" i="17"/>
  <c r="BJ159" i="17"/>
  <c r="BI192" i="17"/>
  <c r="BI190" i="17"/>
  <c r="BI188" i="17"/>
  <c r="BI186" i="17"/>
  <c r="BI184" i="17"/>
  <c r="BI182" i="17"/>
  <c r="BI180" i="17"/>
  <c r="BI178" i="17"/>
  <c r="BI176" i="17"/>
  <c r="BI174" i="17"/>
  <c r="BI170" i="17"/>
  <c r="BI167" i="17"/>
  <c r="BI165" i="17"/>
  <c r="BI163" i="17"/>
  <c r="BI161" i="17"/>
  <c r="BI159" i="17"/>
  <c r="BH192" i="17"/>
  <c r="BH190" i="17"/>
  <c r="BH188" i="17"/>
  <c r="BH186" i="17"/>
  <c r="BH184" i="17"/>
  <c r="BH182" i="17"/>
  <c r="BH180" i="17"/>
  <c r="BH178" i="17"/>
  <c r="BH176" i="17"/>
  <c r="BH174" i="17"/>
  <c r="BH170" i="17"/>
  <c r="BH167" i="17"/>
  <c r="BH165" i="17"/>
  <c r="BH163" i="17"/>
  <c r="BH161" i="17"/>
  <c r="BH159" i="17"/>
  <c r="BS193" i="17"/>
  <c r="BS191" i="17"/>
  <c r="BS189" i="17"/>
  <c r="BS187" i="17"/>
  <c r="BS185" i="17"/>
  <c r="BS183" i="17"/>
  <c r="BS181" i="17"/>
  <c r="BS179" i="17"/>
  <c r="BS177" i="17"/>
  <c r="BS175" i="17"/>
  <c r="BS173" i="17"/>
  <c r="BS168" i="17"/>
  <c r="BS166" i="17"/>
  <c r="BS164" i="17"/>
  <c r="BS162" i="17"/>
  <c r="BS160" i="17"/>
  <c r="BS158" i="17"/>
  <c r="BR193" i="17"/>
  <c r="BR191" i="17"/>
  <c r="BR189" i="17"/>
  <c r="BR187" i="17"/>
  <c r="BR185" i="17"/>
  <c r="BR183" i="17"/>
  <c r="BR181" i="17"/>
  <c r="BR179" i="17"/>
  <c r="BR177" i="17"/>
  <c r="BR175" i="17"/>
  <c r="BR173" i="17"/>
  <c r="BR168" i="17"/>
  <c r="BR166" i="17"/>
  <c r="BR164" i="17"/>
  <c r="BR162" i="17"/>
  <c r="BR160" i="17"/>
  <c r="BR158" i="17"/>
  <c r="CB175" i="17"/>
  <c r="BQ193" i="17"/>
  <c r="BQ191" i="17"/>
  <c r="BQ189" i="17"/>
  <c r="BQ187" i="17"/>
  <c r="BQ185" i="17"/>
  <c r="BQ183" i="17"/>
  <c r="BQ181" i="17"/>
  <c r="BQ179" i="17"/>
  <c r="BQ177" i="17"/>
  <c r="BQ175" i="17"/>
  <c r="BQ173" i="17"/>
  <c r="BQ168" i="17"/>
  <c r="BQ166" i="17"/>
  <c r="BQ164" i="17"/>
  <c r="BQ162" i="17"/>
  <c r="BQ160" i="17"/>
  <c r="BQ158" i="17"/>
  <c r="BY173" i="17"/>
  <c r="BP193" i="17"/>
  <c r="BP191" i="17"/>
  <c r="BP189" i="17"/>
  <c r="BP187" i="17"/>
  <c r="BP185" i="17"/>
  <c r="BP183" i="17"/>
  <c r="BP181" i="17"/>
  <c r="BP179" i="17"/>
  <c r="BP177" i="17"/>
  <c r="BP175" i="17"/>
  <c r="BP173" i="17"/>
  <c r="BP168" i="17"/>
  <c r="BP166" i="17"/>
  <c r="BP164" i="17"/>
  <c r="BP162" i="17"/>
  <c r="BP160" i="17"/>
  <c r="BP158" i="17"/>
  <c r="BO193" i="17"/>
  <c r="BO191" i="17"/>
  <c r="BO189" i="17"/>
  <c r="BO187" i="17"/>
  <c r="BO185" i="17"/>
  <c r="BO183" i="17"/>
  <c r="BO181" i="17"/>
  <c r="BO179" i="17"/>
  <c r="BO177" i="17"/>
  <c r="BO175" i="17"/>
  <c r="BO173" i="17"/>
  <c r="BO168" i="17"/>
  <c r="BO166" i="17"/>
  <c r="BO164" i="17"/>
  <c r="BO162" i="17"/>
  <c r="BO160" i="17"/>
  <c r="BO158" i="17"/>
  <c r="BN193" i="17"/>
  <c r="BN191" i="17"/>
  <c r="BN189" i="17"/>
  <c r="BN187" i="17"/>
  <c r="BN185" i="17"/>
  <c r="BN183" i="17"/>
  <c r="BN181" i="17"/>
  <c r="BN179" i="17"/>
  <c r="BN177" i="17"/>
  <c r="BN175" i="17"/>
  <c r="BN173" i="17"/>
  <c r="BN168" i="17"/>
  <c r="BN166" i="17"/>
  <c r="BN164" i="17"/>
  <c r="BN162" i="17"/>
  <c r="BN160" i="17"/>
  <c r="BN158" i="17"/>
  <c r="BM193" i="17"/>
  <c r="BM191" i="17"/>
  <c r="BM189" i="17"/>
  <c r="BM187" i="17"/>
  <c r="BM185" i="17"/>
  <c r="BM183" i="17"/>
  <c r="BM181" i="17"/>
  <c r="BM179" i="17"/>
  <c r="BM177" i="17"/>
  <c r="BM175" i="17"/>
  <c r="BM173" i="17"/>
  <c r="BM168" i="17"/>
  <c r="BM166" i="17"/>
  <c r="BM164" i="17"/>
  <c r="BM162" i="17"/>
  <c r="BM160" i="17"/>
  <c r="BM158" i="17"/>
  <c r="BL193" i="17"/>
  <c r="BL191" i="17"/>
  <c r="BL189" i="17"/>
  <c r="BL187" i="17"/>
  <c r="BL185" i="17"/>
  <c r="BL183" i="17"/>
  <c r="BL181" i="17"/>
  <c r="BL179" i="17"/>
  <c r="BL177" i="17"/>
  <c r="BL175" i="17"/>
  <c r="BL173" i="17"/>
  <c r="BL168" i="17"/>
  <c r="BL166" i="17"/>
  <c r="BL164" i="17"/>
  <c r="BL162" i="17"/>
  <c r="BL160" i="17"/>
  <c r="BL158" i="17"/>
  <c r="BK193" i="17"/>
  <c r="BK191" i="17"/>
  <c r="BK189" i="17"/>
  <c r="BK187" i="17"/>
  <c r="BK185" i="17"/>
  <c r="BK183" i="17"/>
  <c r="BK181" i="17"/>
  <c r="BK179" i="17"/>
  <c r="BK177" i="17"/>
  <c r="BK175" i="17"/>
  <c r="BK173" i="17"/>
  <c r="BK168" i="17"/>
  <c r="BK166" i="17"/>
  <c r="BK164" i="17"/>
  <c r="BK162" i="17"/>
  <c r="BK160" i="17"/>
  <c r="BK158" i="17"/>
  <c r="BJ193" i="17"/>
  <c r="BJ191" i="17"/>
  <c r="BJ189" i="17"/>
  <c r="BJ187" i="17"/>
  <c r="BJ185" i="17"/>
  <c r="BJ183" i="17"/>
  <c r="BJ181" i="17"/>
  <c r="BJ179" i="17"/>
  <c r="BJ177" i="17"/>
  <c r="BJ175" i="17"/>
  <c r="BJ173" i="17"/>
  <c r="BJ168" i="17"/>
  <c r="BJ166" i="17"/>
  <c r="BJ164" i="17"/>
  <c r="BJ162" i="17"/>
  <c r="BJ160" i="17"/>
  <c r="BJ158" i="17"/>
  <c r="BI193" i="17"/>
  <c r="BI191" i="17"/>
  <c r="BI189" i="17"/>
  <c r="BI187" i="17"/>
  <c r="BI185" i="17"/>
  <c r="BI183" i="17"/>
  <c r="BI181" i="17"/>
  <c r="BI179" i="17"/>
  <c r="BI177" i="17"/>
  <c r="BI175" i="17"/>
  <c r="BI173" i="17"/>
  <c r="BI168" i="17"/>
  <c r="BI166" i="17"/>
  <c r="BI164" i="17"/>
  <c r="BI162" i="17"/>
  <c r="BI160" i="17"/>
  <c r="BI158" i="17"/>
  <c r="BH193" i="17"/>
  <c r="BH191" i="17"/>
  <c r="BH189" i="17"/>
  <c r="BH187" i="17"/>
  <c r="BH185" i="17"/>
  <c r="BH183" i="17"/>
  <c r="BH181" i="17"/>
  <c r="BH179" i="17"/>
  <c r="BH177" i="17"/>
  <c r="BH175" i="17"/>
  <c r="BH173" i="17"/>
  <c r="BH168" i="17"/>
  <c r="BH166" i="17"/>
  <c r="BH164" i="17"/>
  <c r="BH162" i="17"/>
  <c r="BH160" i="17"/>
  <c r="BH158" i="17"/>
  <c r="BS192" i="17"/>
  <c r="BS190" i="17"/>
  <c r="BS188" i="17"/>
  <c r="BS186" i="17"/>
  <c r="BS184" i="17"/>
  <c r="BS182" i="17"/>
  <c r="BS180" i="17"/>
  <c r="BS178" i="17"/>
  <c r="BS176" i="17"/>
  <c r="BS174" i="17"/>
  <c r="BS170" i="17"/>
  <c r="BS167" i="17"/>
  <c r="BS165" i="17"/>
  <c r="BS163" i="17"/>
  <c r="BS161" i="17"/>
  <c r="BS159" i="17"/>
  <c r="BR192" i="17"/>
  <c r="BR190" i="17"/>
  <c r="BR188" i="17"/>
  <c r="BR186" i="17"/>
  <c r="BR184" i="17"/>
  <c r="BR182" i="17"/>
  <c r="BR180" i="17"/>
  <c r="BR178" i="17"/>
  <c r="BR176" i="17"/>
  <c r="BR174" i="17"/>
  <c r="BR170" i="17"/>
  <c r="BR167" i="17"/>
  <c r="BR165" i="17"/>
  <c r="BR163" i="17"/>
  <c r="BR161" i="17"/>
  <c r="BR159" i="17"/>
  <c r="BQ192" i="17"/>
  <c r="BQ190" i="17"/>
  <c r="BQ188" i="17"/>
  <c r="BQ186" i="17"/>
  <c r="BQ184" i="17"/>
  <c r="BQ182" i="17"/>
  <c r="BQ180" i="17"/>
  <c r="BQ178" i="17"/>
  <c r="BQ176" i="17"/>
  <c r="BQ174" i="17"/>
  <c r="BQ170" i="17"/>
  <c r="BQ167" i="17"/>
  <c r="BQ165" i="17"/>
  <c r="BQ163" i="17"/>
  <c r="BQ161" i="17"/>
  <c r="BQ159" i="17"/>
  <c r="BP192" i="17"/>
  <c r="BP190" i="17"/>
  <c r="BP188" i="17"/>
  <c r="BP186" i="17"/>
  <c r="BP184" i="17"/>
  <c r="BP182" i="17"/>
  <c r="BP180" i="17"/>
  <c r="BP178" i="17"/>
  <c r="BP176" i="17"/>
  <c r="BP174" i="17"/>
  <c r="BP170" i="17"/>
  <c r="BP167" i="17"/>
  <c r="BP165" i="17"/>
  <c r="BP163" i="17"/>
  <c r="BP161" i="17"/>
  <c r="BP159" i="17"/>
  <c r="BO192" i="17"/>
  <c r="BO190" i="17"/>
  <c r="BO188" i="17"/>
  <c r="BO186" i="17"/>
  <c r="BO184" i="17"/>
  <c r="BO182" i="17"/>
  <c r="BO180" i="17"/>
  <c r="BO178" i="17"/>
  <c r="BO176" i="17"/>
  <c r="BO174" i="17"/>
  <c r="BO170" i="17"/>
  <c r="BO167" i="17"/>
  <c r="BO165" i="17"/>
  <c r="BO163" i="17"/>
  <c r="BO161" i="17"/>
  <c r="BO159" i="17"/>
  <c r="BN192" i="17"/>
  <c r="BN190" i="17"/>
  <c r="BN188" i="17"/>
  <c r="BN186" i="17"/>
  <c r="BN184" i="17"/>
  <c r="BN182" i="17"/>
  <c r="BN180" i="17"/>
  <c r="BN178" i="17"/>
  <c r="BN176" i="17"/>
  <c r="BN174" i="17"/>
  <c r="BN170" i="17"/>
  <c r="BN167" i="17"/>
  <c r="BN165" i="17"/>
  <c r="BN163" i="17"/>
  <c r="BM192" i="17"/>
  <c r="BM190" i="17"/>
  <c r="BM188" i="17"/>
  <c r="BM186" i="17"/>
  <c r="BM184" i="17"/>
  <c r="BM182" i="17"/>
  <c r="BM180" i="17"/>
  <c r="BM178" i="17"/>
  <c r="BM176" i="17"/>
  <c r="BM174" i="17"/>
  <c r="BM170" i="17"/>
  <c r="BM167" i="17"/>
  <c r="BM165" i="17"/>
  <c r="BM163" i="17"/>
  <c r="BM161" i="17"/>
  <c r="BM159" i="17"/>
  <c r="BK192" i="17"/>
  <c r="BK190" i="17"/>
  <c r="BK188" i="17"/>
  <c r="BK186" i="17"/>
  <c r="BK184" i="17"/>
  <c r="BK182" i="17"/>
  <c r="BK180" i="17"/>
  <c r="BK178" i="17"/>
  <c r="BK176" i="17"/>
  <c r="BK174" i="17"/>
  <c r="BK170" i="17"/>
  <c r="BK167" i="17"/>
  <c r="BK165" i="17"/>
  <c r="BK163" i="17"/>
  <c r="BK161" i="17"/>
  <c r="BK159" i="17"/>
  <c r="BN161" i="17"/>
  <c r="BL161" i="17"/>
  <c r="BN159" i="17"/>
  <c r="BL159" i="17"/>
  <c r="BL192" i="17"/>
  <c r="BL190" i="17"/>
  <c r="BL188" i="17"/>
  <c r="BL186" i="17"/>
  <c r="BL184" i="17"/>
  <c r="BL182" i="17"/>
  <c r="BL180" i="17"/>
  <c r="BL178" i="17"/>
  <c r="BL176" i="17"/>
  <c r="BL174" i="17"/>
  <c r="BL170" i="17"/>
  <c r="BL167" i="17"/>
  <c r="BL163" i="17"/>
  <c r="BC192" i="17"/>
  <c r="BC190" i="17"/>
  <c r="BC188" i="17"/>
  <c r="BC186" i="17"/>
  <c r="BC184" i="17"/>
  <c r="BC182" i="17"/>
  <c r="BC180" i="17"/>
  <c r="BC178" i="17"/>
  <c r="BC176" i="17"/>
  <c r="BC174" i="17"/>
  <c r="BC170" i="17"/>
  <c r="BC167" i="17"/>
  <c r="BC165" i="17"/>
  <c r="BC163" i="17"/>
  <c r="BC161" i="17"/>
  <c r="BC159" i="17"/>
  <c r="BB192" i="17"/>
  <c r="BB190" i="17"/>
  <c r="BB188" i="17"/>
  <c r="BB186" i="17"/>
  <c r="BB184" i="17"/>
  <c r="BB182" i="17"/>
  <c r="BB180" i="17"/>
  <c r="BB178" i="17"/>
  <c r="BB176" i="17"/>
  <c r="BB174" i="17"/>
  <c r="BB170" i="17"/>
  <c r="BB167" i="17"/>
  <c r="BB165" i="17"/>
  <c r="BB163" i="17"/>
  <c r="BB161" i="17"/>
  <c r="BB159" i="17"/>
  <c r="BA192" i="17"/>
  <c r="BA190" i="17"/>
  <c r="BA188" i="17"/>
  <c r="BA186" i="17"/>
  <c r="BA184" i="17"/>
  <c r="BA182" i="17"/>
  <c r="BA180" i="17"/>
  <c r="BA178" i="17"/>
  <c r="BA176" i="17"/>
  <c r="BA174" i="17"/>
  <c r="BA170" i="17"/>
  <c r="BA167" i="17"/>
  <c r="BA165" i="17"/>
  <c r="BA163" i="17"/>
  <c r="BA161" i="17"/>
  <c r="BA159" i="17"/>
  <c r="BL165" i="17"/>
  <c r="AZ192" i="17"/>
  <c r="AZ190" i="17"/>
  <c r="AZ188" i="17"/>
  <c r="AZ186" i="17"/>
  <c r="AZ184" i="17"/>
  <c r="AZ182" i="17"/>
  <c r="AZ180" i="17"/>
  <c r="AZ178" i="17"/>
  <c r="AZ176" i="17"/>
  <c r="AZ174" i="17"/>
  <c r="AZ170" i="17"/>
  <c r="AZ167" i="17"/>
  <c r="AZ165" i="17"/>
  <c r="AZ163" i="17"/>
  <c r="AZ161" i="17"/>
  <c r="AZ159" i="17"/>
  <c r="AY192" i="17"/>
  <c r="AY190" i="17"/>
  <c r="AY188" i="17"/>
  <c r="AY186" i="17"/>
  <c r="AY184" i="17"/>
  <c r="AY182" i="17"/>
  <c r="AY180" i="17"/>
  <c r="AY178" i="17"/>
  <c r="AY176" i="17"/>
  <c r="AY174" i="17"/>
  <c r="AY170" i="17"/>
  <c r="AY167" i="17"/>
  <c r="AY165" i="17"/>
  <c r="AY163" i="17"/>
  <c r="AY161" i="17"/>
  <c r="AY159" i="17"/>
  <c r="AX192" i="17"/>
  <c r="AX190" i="17"/>
  <c r="AX188" i="17"/>
  <c r="AX186" i="17"/>
  <c r="AX184" i="17"/>
  <c r="AX182" i="17"/>
  <c r="AX180" i="17"/>
  <c r="AX178" i="17"/>
  <c r="AX176" i="17"/>
  <c r="AX174" i="17"/>
  <c r="AX170" i="17"/>
  <c r="AX167" i="17"/>
  <c r="AX165" i="17"/>
  <c r="AX163" i="17"/>
  <c r="AX161" i="17"/>
  <c r="AX159" i="17"/>
  <c r="AW192" i="17"/>
  <c r="AW190" i="17"/>
  <c r="AW188" i="17"/>
  <c r="AW186" i="17"/>
  <c r="AW184" i="17"/>
  <c r="AW182" i="17"/>
  <c r="AW180" i="17"/>
  <c r="AW178" i="17"/>
  <c r="AW176" i="17"/>
  <c r="AW174" i="17"/>
  <c r="AW170" i="17"/>
  <c r="AW167" i="17"/>
  <c r="AW165" i="17"/>
  <c r="AW163" i="17"/>
  <c r="AW161" i="17"/>
  <c r="AW159" i="17"/>
  <c r="AV192" i="17"/>
  <c r="AV190" i="17"/>
  <c r="AV188" i="17"/>
  <c r="AV186" i="17"/>
  <c r="AV184" i="17"/>
  <c r="AV182" i="17"/>
  <c r="AV180" i="17"/>
  <c r="AV178" i="17"/>
  <c r="AV176" i="17"/>
  <c r="AV174" i="17"/>
  <c r="AV170" i="17"/>
  <c r="AV167" i="17"/>
  <c r="AU192" i="17"/>
  <c r="AU190" i="17"/>
  <c r="AU188" i="17"/>
  <c r="AU186" i="17"/>
  <c r="AU184" i="17"/>
  <c r="AU182" i="17"/>
  <c r="AU180" i="17"/>
  <c r="AU178" i="17"/>
  <c r="AU176" i="17"/>
  <c r="AU174" i="17"/>
  <c r="AU170" i="17"/>
  <c r="AU167" i="17"/>
  <c r="AU165" i="17"/>
  <c r="AU163" i="17"/>
  <c r="AU161" i="17"/>
  <c r="AU159" i="17"/>
  <c r="AT192" i="17"/>
  <c r="AT190" i="17"/>
  <c r="AT188" i="17"/>
  <c r="AT186" i="17"/>
  <c r="AT184" i="17"/>
  <c r="AT182" i="17"/>
  <c r="AT180" i="17"/>
  <c r="AT178" i="17"/>
  <c r="AT176" i="17"/>
  <c r="AT174" i="17"/>
  <c r="AT170" i="17"/>
  <c r="AT167" i="17"/>
  <c r="AT165" i="17"/>
  <c r="AT163" i="17"/>
  <c r="AT161" i="17"/>
  <c r="AT159" i="17"/>
  <c r="BE193" i="17"/>
  <c r="BE191" i="17"/>
  <c r="BE189" i="17"/>
  <c r="BE187" i="17"/>
  <c r="BE185" i="17"/>
  <c r="BE183" i="17"/>
  <c r="BE181" i="17"/>
  <c r="BE179" i="17"/>
  <c r="BE177" i="17"/>
  <c r="BE175" i="17"/>
  <c r="BE173" i="17"/>
  <c r="BE168" i="17"/>
  <c r="BE166" i="17"/>
  <c r="BE164" i="17"/>
  <c r="BE162" i="17"/>
  <c r="BE160" i="17"/>
  <c r="BE158" i="17"/>
  <c r="BD193" i="17"/>
  <c r="BD191" i="17"/>
  <c r="BD189" i="17"/>
  <c r="BD187" i="17"/>
  <c r="BD185" i="17"/>
  <c r="BD183" i="17"/>
  <c r="BD181" i="17"/>
  <c r="BD179" i="17"/>
  <c r="BD177" i="17"/>
  <c r="BD175" i="17"/>
  <c r="BD173" i="17"/>
  <c r="BD168" i="17"/>
  <c r="BD166" i="17"/>
  <c r="BD164" i="17"/>
  <c r="BD162" i="17"/>
  <c r="BD160" i="17"/>
  <c r="BD158" i="17"/>
  <c r="BC193" i="17"/>
  <c r="BC191" i="17"/>
  <c r="BC189" i="17"/>
  <c r="BC187" i="17"/>
  <c r="BC185" i="17"/>
  <c r="BC183" i="17"/>
  <c r="BC181" i="17"/>
  <c r="BC179" i="17"/>
  <c r="BC177" i="17"/>
  <c r="BC175" i="17"/>
  <c r="BC173" i="17"/>
  <c r="BC168" i="17"/>
  <c r="BC166" i="17"/>
  <c r="BC164" i="17"/>
  <c r="BC162" i="17"/>
  <c r="BC160" i="17"/>
  <c r="BC158" i="17"/>
  <c r="BB193" i="17"/>
  <c r="BB191" i="17"/>
  <c r="BB189" i="17"/>
  <c r="BB187" i="17"/>
  <c r="BB185" i="17"/>
  <c r="BB183" i="17"/>
  <c r="BB181" i="17"/>
  <c r="BB179" i="17"/>
  <c r="BB177" i="17"/>
  <c r="BB175" i="17"/>
  <c r="BB173" i="17"/>
  <c r="BB168" i="17"/>
  <c r="BB166" i="17"/>
  <c r="BB164" i="17"/>
  <c r="BB162" i="17"/>
  <c r="BB160" i="17"/>
  <c r="BB158" i="17"/>
  <c r="BA193" i="17"/>
  <c r="BA191" i="17"/>
  <c r="BA189" i="17"/>
  <c r="BA187" i="17"/>
  <c r="BA185" i="17"/>
  <c r="BA183" i="17"/>
  <c r="BA181" i="17"/>
  <c r="BA179" i="17"/>
  <c r="BA177" i="17"/>
  <c r="BA175" i="17"/>
  <c r="BA173" i="17"/>
  <c r="BA168" i="17"/>
  <c r="BA166" i="17"/>
  <c r="BA164" i="17"/>
  <c r="BA162" i="17"/>
  <c r="BA160" i="17"/>
  <c r="BA158" i="17"/>
  <c r="AZ193" i="17"/>
  <c r="AZ191" i="17"/>
  <c r="AZ189" i="17"/>
  <c r="AZ187" i="17"/>
  <c r="AZ185" i="17"/>
  <c r="AZ183" i="17"/>
  <c r="AZ181" i="17"/>
  <c r="AZ179" i="17"/>
  <c r="AZ177" i="17"/>
  <c r="AZ175" i="17"/>
  <c r="AZ173" i="17"/>
  <c r="AZ168" i="17"/>
  <c r="AZ166" i="17"/>
  <c r="AZ164" i="17"/>
  <c r="AZ162" i="17"/>
  <c r="AZ160" i="17"/>
  <c r="AZ158" i="17"/>
  <c r="AY193" i="17"/>
  <c r="AY191" i="17"/>
  <c r="AY189" i="17"/>
  <c r="AY187" i="17"/>
  <c r="AY185" i="17"/>
  <c r="AY183" i="17"/>
  <c r="AY181" i="17"/>
  <c r="AY179" i="17"/>
  <c r="AY177" i="17"/>
  <c r="AY175" i="17"/>
  <c r="AY173" i="17"/>
  <c r="AY168" i="17"/>
  <c r="AY166" i="17"/>
  <c r="AY164" i="17"/>
  <c r="AY162" i="17"/>
  <c r="AY160" i="17"/>
  <c r="AY158" i="17"/>
  <c r="AX193" i="17"/>
  <c r="AX191" i="17"/>
  <c r="AX189" i="17"/>
  <c r="AX187" i="17"/>
  <c r="AX185" i="17"/>
  <c r="AX183" i="17"/>
  <c r="AX181" i="17"/>
  <c r="AX179" i="17"/>
  <c r="AX177" i="17"/>
  <c r="AX175" i="17"/>
  <c r="AX173" i="17"/>
  <c r="AX168" i="17"/>
  <c r="AX166" i="17"/>
  <c r="AX164" i="17"/>
  <c r="AX162" i="17"/>
  <c r="AW193" i="17"/>
  <c r="AW191" i="17"/>
  <c r="AW189" i="17"/>
  <c r="AW187" i="17"/>
  <c r="AW185" i="17"/>
  <c r="AW183" i="17"/>
  <c r="AW181" i="17"/>
  <c r="AW179" i="17"/>
  <c r="AW177" i="17"/>
  <c r="AW175" i="17"/>
  <c r="AW173" i="17"/>
  <c r="AW168" i="17"/>
  <c r="AW166" i="17"/>
  <c r="AW164" i="17"/>
  <c r="AW162" i="17"/>
  <c r="AW160" i="17"/>
  <c r="AW158" i="17"/>
  <c r="AV193" i="17"/>
  <c r="AV191" i="17"/>
  <c r="AV189" i="17"/>
  <c r="AV187" i="17"/>
  <c r="AV185" i="17"/>
  <c r="AV183" i="17"/>
  <c r="AV181" i="17"/>
  <c r="AV179" i="17"/>
  <c r="AV177" i="17"/>
  <c r="AV175" i="17"/>
  <c r="AV173" i="17"/>
  <c r="AV168" i="17"/>
  <c r="AV166" i="17"/>
  <c r="AV164" i="17"/>
  <c r="AV162" i="17"/>
  <c r="AV160" i="17"/>
  <c r="AV158" i="17"/>
  <c r="AU193" i="17"/>
  <c r="AU191" i="17"/>
  <c r="AU189" i="17"/>
  <c r="AU187" i="17"/>
  <c r="AU185" i="17"/>
  <c r="AU183" i="17"/>
  <c r="AU181" i="17"/>
  <c r="AU179" i="17"/>
  <c r="AU177" i="17"/>
  <c r="AU175" i="17"/>
  <c r="AU173" i="17"/>
  <c r="AU168" i="17"/>
  <c r="AU166" i="17"/>
  <c r="AU164" i="17"/>
  <c r="AU162" i="17"/>
  <c r="AU160" i="17"/>
  <c r="AU158" i="17"/>
  <c r="BD192" i="17"/>
  <c r="BD190" i="17"/>
  <c r="BD188" i="17"/>
  <c r="BD186" i="17"/>
  <c r="BD184" i="17"/>
  <c r="BD182" i="17"/>
  <c r="BD180" i="17"/>
  <c r="BD178" i="17"/>
  <c r="BD176" i="17"/>
  <c r="BD174" i="17"/>
  <c r="BD170" i="17"/>
  <c r="BD167" i="17"/>
  <c r="BD165" i="17"/>
  <c r="BD163" i="17"/>
  <c r="BD161" i="17"/>
  <c r="BD159" i="17"/>
  <c r="BE180" i="17"/>
  <c r="AX158" i="17"/>
  <c r="AT179" i="17"/>
  <c r="AT158" i="17"/>
  <c r="BE178" i="17"/>
  <c r="AT177" i="17"/>
  <c r="BE176" i="17"/>
  <c r="AT175" i="17"/>
  <c r="BE174" i="17"/>
  <c r="AT173" i="17"/>
  <c r="BE170" i="17"/>
  <c r="AT168" i="17"/>
  <c r="BE167" i="17"/>
  <c r="AT193" i="17"/>
  <c r="AT166" i="17"/>
  <c r="BE192" i="17"/>
  <c r="BE165" i="17"/>
  <c r="AT191" i="17"/>
  <c r="AV165" i="17"/>
  <c r="BE190" i="17"/>
  <c r="AT164" i="17"/>
  <c r="AT189" i="17"/>
  <c r="BE163" i="17"/>
  <c r="BE188" i="17"/>
  <c r="AV163" i="17"/>
  <c r="AT187" i="17"/>
  <c r="AT162" i="17"/>
  <c r="BE186" i="17"/>
  <c r="BE161" i="17"/>
  <c r="AT185" i="17"/>
  <c r="AV161" i="17"/>
  <c r="BE184" i="17"/>
  <c r="AX160" i="17"/>
  <c r="AT181" i="17"/>
  <c r="AV159" i="17"/>
  <c r="V193" i="17"/>
  <c r="V191" i="17"/>
  <c r="V189" i="17"/>
  <c r="V187" i="17"/>
  <c r="V185" i="17"/>
  <c r="V183" i="17"/>
  <c r="V181" i="17"/>
  <c r="V179" i="17"/>
  <c r="V177" i="17"/>
  <c r="V175" i="17"/>
  <c r="V173" i="17"/>
  <c r="V168" i="17"/>
  <c r="V166" i="17"/>
  <c r="V164" i="17"/>
  <c r="V162" i="17"/>
  <c r="V160" i="17"/>
  <c r="V158" i="17"/>
  <c r="U193" i="17"/>
  <c r="U191" i="17"/>
  <c r="U189" i="17"/>
  <c r="U187" i="17"/>
  <c r="U185" i="17"/>
  <c r="U183" i="17"/>
  <c r="U181" i="17"/>
  <c r="U179" i="17"/>
  <c r="U177" i="17"/>
  <c r="U175" i="17"/>
  <c r="U173" i="17"/>
  <c r="U168" i="17"/>
  <c r="U166" i="17"/>
  <c r="U164" i="17"/>
  <c r="U162" i="17"/>
  <c r="U160" i="17"/>
  <c r="U158" i="17"/>
  <c r="T193" i="17"/>
  <c r="T191" i="17"/>
  <c r="T189" i="17"/>
  <c r="T187" i="17"/>
  <c r="T185" i="17"/>
  <c r="T183" i="17"/>
  <c r="T181" i="17"/>
  <c r="T179" i="17"/>
  <c r="T177" i="17"/>
  <c r="T175" i="17"/>
  <c r="T173" i="17"/>
  <c r="T168" i="17"/>
  <c r="T166" i="17"/>
  <c r="T164" i="17"/>
  <c r="T162" i="17"/>
  <c r="T160" i="17"/>
  <c r="T158" i="17"/>
  <c r="S193" i="17"/>
  <c r="S191" i="17"/>
  <c r="S189" i="17"/>
  <c r="S187" i="17"/>
  <c r="S185" i="17"/>
  <c r="S183" i="17"/>
  <c r="S181" i="17"/>
  <c r="S179" i="17"/>
  <c r="S177" i="17"/>
  <c r="S175" i="17"/>
  <c r="S173" i="17"/>
  <c r="S168" i="17"/>
  <c r="S166" i="17"/>
  <c r="S164" i="17"/>
  <c r="S162" i="17"/>
  <c r="S160" i="17"/>
  <c r="S158" i="17"/>
  <c r="R193" i="17"/>
  <c r="R191" i="17"/>
  <c r="R189" i="17"/>
  <c r="R187" i="17"/>
  <c r="R185" i="17"/>
  <c r="R183" i="17"/>
  <c r="R181" i="17"/>
  <c r="R179" i="17"/>
  <c r="R177" i="17"/>
  <c r="R175" i="17"/>
  <c r="R173" i="17"/>
  <c r="R168" i="17"/>
  <c r="R166" i="17"/>
  <c r="R164" i="17"/>
  <c r="R162" i="17"/>
  <c r="R160" i="17"/>
  <c r="R158" i="17"/>
  <c r="AC192" i="17"/>
  <c r="AC190" i="17"/>
  <c r="AC188" i="17"/>
  <c r="AC186" i="17"/>
  <c r="AC184" i="17"/>
  <c r="AC182" i="17"/>
  <c r="AC180" i="17"/>
  <c r="AC178" i="17"/>
  <c r="AC176" i="17"/>
  <c r="AC174" i="17"/>
  <c r="AC170" i="17"/>
  <c r="AC167" i="17"/>
  <c r="AC165" i="17"/>
  <c r="AC163" i="17"/>
  <c r="AC161" i="17"/>
  <c r="AC159" i="17"/>
  <c r="AB192" i="17"/>
  <c r="AB190" i="17"/>
  <c r="AB188" i="17"/>
  <c r="AB186" i="17"/>
  <c r="AB184" i="17"/>
  <c r="AB182" i="17"/>
  <c r="AB180" i="17"/>
  <c r="AB178" i="17"/>
  <c r="AB176" i="17"/>
  <c r="AB174" i="17"/>
  <c r="AB170" i="17"/>
  <c r="AB167" i="17"/>
  <c r="AB165" i="17"/>
  <c r="AB163" i="17"/>
  <c r="AB161" i="17"/>
  <c r="AB159" i="17"/>
  <c r="AA192" i="17"/>
  <c r="AA190" i="17"/>
  <c r="AA188" i="17"/>
  <c r="AA186" i="17"/>
  <c r="AA184" i="17"/>
  <c r="AA182" i="17"/>
  <c r="AA180" i="17"/>
  <c r="AA178" i="17"/>
  <c r="AA176" i="17"/>
  <c r="AA174" i="17"/>
  <c r="Z192" i="17"/>
  <c r="Z190" i="17"/>
  <c r="Z188" i="17"/>
  <c r="Z186" i="17"/>
  <c r="Z184" i="17"/>
  <c r="Z182" i="17"/>
  <c r="Z180" i="17"/>
  <c r="Z178" i="17"/>
  <c r="Z176" i="17"/>
  <c r="Z174" i="17"/>
  <c r="Z170" i="17"/>
  <c r="Z167" i="17"/>
  <c r="Z165" i="17"/>
  <c r="Z163" i="17"/>
  <c r="Z161" i="17"/>
  <c r="Z159" i="17"/>
  <c r="Y192" i="17"/>
  <c r="Y190" i="17"/>
  <c r="Y188" i="17"/>
  <c r="Y186" i="17"/>
  <c r="Y184" i="17"/>
  <c r="Y182" i="17"/>
  <c r="Y180" i="17"/>
  <c r="Y178" i="17"/>
  <c r="Y176" i="17"/>
  <c r="Y174" i="17"/>
  <c r="Y170" i="17"/>
  <c r="Y167" i="17"/>
  <c r="Y165" i="17"/>
  <c r="Y163" i="17"/>
  <c r="Y161" i="17"/>
  <c r="Y159" i="17"/>
  <c r="X192" i="17"/>
  <c r="X190" i="17"/>
  <c r="X188" i="17"/>
  <c r="X186" i="17"/>
  <c r="X184" i="17"/>
  <c r="X182" i="17"/>
  <c r="X180" i="17"/>
  <c r="X178" i="17"/>
  <c r="X176" i="17"/>
  <c r="X174" i="17"/>
  <c r="X170" i="17"/>
  <c r="X167" i="17"/>
  <c r="X165" i="17"/>
  <c r="X163" i="17"/>
  <c r="X161" i="17"/>
  <c r="X159" i="17"/>
  <c r="AT183" i="17"/>
  <c r="W192" i="17"/>
  <c r="W190" i="17"/>
  <c r="W188" i="17"/>
  <c r="W186" i="17"/>
  <c r="W184" i="17"/>
  <c r="W182" i="17"/>
  <c r="W180" i="17"/>
  <c r="W178" i="17"/>
  <c r="W176" i="17"/>
  <c r="W174" i="17"/>
  <c r="W170" i="17"/>
  <c r="W167" i="17"/>
  <c r="W165" i="17"/>
  <c r="W163" i="17"/>
  <c r="W161" i="17"/>
  <c r="W159" i="17"/>
  <c r="BE182" i="17"/>
  <c r="V192" i="17"/>
  <c r="V190" i="17"/>
  <c r="V188" i="17"/>
  <c r="V186" i="17"/>
  <c r="V184" i="17"/>
  <c r="V182" i="17"/>
  <c r="V180" i="17"/>
  <c r="V178" i="17"/>
  <c r="V176" i="17"/>
  <c r="V174" i="17"/>
  <c r="V170" i="17"/>
  <c r="V167" i="17"/>
  <c r="V165" i="17"/>
  <c r="V163" i="17"/>
  <c r="V161" i="17"/>
  <c r="V159" i="17"/>
  <c r="AT160" i="17"/>
  <c r="U192" i="17"/>
  <c r="U190" i="17"/>
  <c r="U188" i="17"/>
  <c r="U186" i="17"/>
  <c r="U184" i="17"/>
  <c r="U182" i="17"/>
  <c r="U180" i="17"/>
  <c r="U178" i="17"/>
  <c r="U176" i="17"/>
  <c r="U174" i="17"/>
  <c r="U170" i="17"/>
  <c r="U167" i="17"/>
  <c r="U165" i="17"/>
  <c r="U163" i="17"/>
  <c r="U161" i="17"/>
  <c r="U159" i="17"/>
  <c r="BE159" i="17"/>
  <c r="T192" i="17"/>
  <c r="T190" i="17"/>
  <c r="T188" i="17"/>
  <c r="T186" i="17"/>
  <c r="T184" i="17"/>
  <c r="T182" i="17"/>
  <c r="T180" i="17"/>
  <c r="T178" i="17"/>
  <c r="T176" i="17"/>
  <c r="T174" i="17"/>
  <c r="T170" i="17"/>
  <c r="T167" i="17"/>
  <c r="T165" i="17"/>
  <c r="T163" i="17"/>
  <c r="T161" i="17"/>
  <c r="T159" i="17"/>
  <c r="S192" i="17"/>
  <c r="S190" i="17"/>
  <c r="S188" i="17"/>
  <c r="S186" i="17"/>
  <c r="S184" i="17"/>
  <c r="S182" i="17"/>
  <c r="S180" i="17"/>
  <c r="S178" i="17"/>
  <c r="S176" i="17"/>
  <c r="S174" i="17"/>
  <c r="S170" i="17"/>
  <c r="S167" i="17"/>
  <c r="S165" i="17"/>
  <c r="S163" i="17"/>
  <c r="S161" i="17"/>
  <c r="S159" i="17"/>
  <c r="R192" i="17"/>
  <c r="R190" i="17"/>
  <c r="R188" i="17"/>
  <c r="R186" i="17"/>
  <c r="R184" i="17"/>
  <c r="R182" i="17"/>
  <c r="R180" i="17"/>
  <c r="R178" i="17"/>
  <c r="R176" i="17"/>
  <c r="R174" i="17"/>
  <c r="R170" i="17"/>
  <c r="R167" i="17"/>
  <c r="R165" i="17"/>
  <c r="R163" i="17"/>
  <c r="R161" i="17"/>
  <c r="R159" i="17"/>
  <c r="AC193" i="17"/>
  <c r="AC191" i="17"/>
  <c r="AC189" i="17"/>
  <c r="AC187" i="17"/>
  <c r="AC185" i="17"/>
  <c r="AC183" i="17"/>
  <c r="AC181" i="17"/>
  <c r="AC179" i="17"/>
  <c r="AC177" i="17"/>
  <c r="AC175" i="17"/>
  <c r="AC173" i="17"/>
  <c r="AC168" i="17"/>
  <c r="AC166" i="17"/>
  <c r="AC164" i="17"/>
  <c r="AB193" i="17"/>
  <c r="AB191" i="17"/>
  <c r="AB189" i="17"/>
  <c r="AB187" i="17"/>
  <c r="AB185" i="17"/>
  <c r="AB183" i="17"/>
  <c r="AB181" i="17"/>
  <c r="AB179" i="17"/>
  <c r="AB177" i="17"/>
  <c r="AB175" i="17"/>
  <c r="AB173" i="17"/>
  <c r="AB168" i="17"/>
  <c r="AB166" i="17"/>
  <c r="AB164" i="17"/>
  <c r="AB162" i="17"/>
  <c r="AB160" i="17"/>
  <c r="AB158" i="17"/>
  <c r="AA193" i="17"/>
  <c r="AA191" i="17"/>
  <c r="AA189" i="17"/>
  <c r="AA187" i="17"/>
  <c r="AA185" i="17"/>
  <c r="AA183" i="17"/>
  <c r="AA181" i="17"/>
  <c r="AA179" i="17"/>
  <c r="AA177" i="17"/>
  <c r="AA175" i="17"/>
  <c r="AA173" i="17"/>
  <c r="AA168" i="17"/>
  <c r="AA166" i="17"/>
  <c r="AA164" i="17"/>
  <c r="AA162" i="17"/>
  <c r="AA160" i="17"/>
  <c r="AA158" i="17"/>
  <c r="Z193" i="17"/>
  <c r="Z191" i="17"/>
  <c r="Z189" i="17"/>
  <c r="Z187" i="17"/>
  <c r="Z185" i="17"/>
  <c r="Z183" i="17"/>
  <c r="Z181" i="17"/>
  <c r="Z179" i="17"/>
  <c r="Z177" i="17"/>
  <c r="Z175" i="17"/>
  <c r="Z173" i="17"/>
  <c r="Z168" i="17"/>
  <c r="Z166" i="17"/>
  <c r="Z164" i="17"/>
  <c r="Z162" i="17"/>
  <c r="Z160" i="17"/>
  <c r="Z158" i="17"/>
  <c r="W193" i="17"/>
  <c r="W191" i="17"/>
  <c r="W189" i="17"/>
  <c r="W187" i="17"/>
  <c r="W185" i="17"/>
  <c r="W183" i="17"/>
  <c r="W181" i="17"/>
  <c r="W179" i="17"/>
  <c r="W177" i="17"/>
  <c r="W175" i="17"/>
  <c r="W173" i="17"/>
  <c r="S6" i="17"/>
  <c r="R35" i="17"/>
  <c r="S29" i="17"/>
  <c r="T23" i="17"/>
  <c r="U14" i="17"/>
  <c r="V8" i="17"/>
  <c r="V40" i="17"/>
  <c r="W34" i="17"/>
  <c r="X28" i="17"/>
  <c r="Y22" i="17"/>
  <c r="Z14" i="17"/>
  <c r="AA8" i="17"/>
  <c r="AA38" i="17"/>
  <c r="AB34" i="17"/>
  <c r="AC28" i="17"/>
  <c r="R83" i="17"/>
  <c r="U85" i="17"/>
  <c r="Y87" i="17"/>
  <c r="AC89" i="17"/>
  <c r="W92" i="17"/>
  <c r="AA97" i="17"/>
  <c r="S100" i="17"/>
  <c r="W102" i="17"/>
  <c r="AC104" i="17"/>
  <c r="W107" i="17"/>
  <c r="AA109" i="17"/>
  <c r="U112" i="17"/>
  <c r="AB114" i="17"/>
  <c r="W117" i="17"/>
  <c r="AC121" i="17"/>
  <c r="AA124" i="17"/>
  <c r="Y127" i="17"/>
  <c r="U130" i="17"/>
  <c r="Y136" i="17"/>
  <c r="AA139" i="17"/>
  <c r="R143" i="17"/>
  <c r="AA147" i="17"/>
  <c r="Y152" i="17"/>
  <c r="AA163" i="17"/>
  <c r="Y183" i="17"/>
  <c r="Y212" i="17"/>
  <c r="Y238" i="17"/>
  <c r="X266" i="17"/>
  <c r="S300" i="17"/>
  <c r="AA335" i="17"/>
  <c r="R7" i="17"/>
  <c r="R36" i="17"/>
  <c r="S30" i="17"/>
  <c r="T24" i="17"/>
  <c r="U15" i="17"/>
  <c r="V9" i="17"/>
  <c r="V41" i="17"/>
  <c r="W35" i="17"/>
  <c r="X29" i="17"/>
  <c r="Y23" i="17"/>
  <c r="Z15" i="17"/>
  <c r="AA9" i="17"/>
  <c r="AA39" i="17"/>
  <c r="AB35" i="17"/>
  <c r="AC29" i="17"/>
  <c r="S83" i="17"/>
  <c r="V85" i="17"/>
  <c r="Z87" i="17"/>
  <c r="R90" i="17"/>
  <c r="X92" i="17"/>
  <c r="AB97" i="17"/>
  <c r="T100" i="17"/>
  <c r="Z102" i="17"/>
  <c r="R105" i="17"/>
  <c r="X107" i="17"/>
  <c r="AB109" i="17"/>
  <c r="V112" i="17"/>
  <c r="AC114" i="17"/>
  <c r="X117" i="17"/>
  <c r="R122" i="17"/>
  <c r="AB124" i="17"/>
  <c r="Z127" i="17"/>
  <c r="W130" i="17"/>
  <c r="Z136" i="17"/>
  <c r="AC139" i="17"/>
  <c r="Z143" i="17"/>
  <c r="AC147" i="17"/>
  <c r="AB152" i="17"/>
  <c r="W164" i="17"/>
  <c r="X185" i="17"/>
  <c r="X214" i="17"/>
  <c r="X240" i="17"/>
  <c r="Z268" i="17"/>
  <c r="V302" i="17"/>
  <c r="Z338" i="17"/>
  <c r="AT13" i="17"/>
  <c r="R8" i="17"/>
  <c r="R37" i="17"/>
  <c r="S31" i="17"/>
  <c r="T25" i="17"/>
  <c r="U16" i="17"/>
  <c r="V12" i="17"/>
  <c r="W6" i="17"/>
  <c r="W36" i="17"/>
  <c r="X30" i="17"/>
  <c r="Y24" i="17"/>
  <c r="Z16" i="17"/>
  <c r="AA10" i="17"/>
  <c r="AB6" i="17"/>
  <c r="AB36" i="17"/>
  <c r="AC30" i="17"/>
  <c r="T83" i="17"/>
  <c r="W85" i="17"/>
  <c r="AA87" i="17"/>
  <c r="S90" i="17"/>
  <c r="Y92" i="17"/>
  <c r="AC97" i="17"/>
  <c r="U100" i="17"/>
  <c r="AA102" i="17"/>
  <c r="S105" i="17"/>
  <c r="Y107" i="17"/>
  <c r="AC109" i="17"/>
  <c r="W112" i="17"/>
  <c r="R115" i="17"/>
  <c r="Y117" i="17"/>
  <c r="S122" i="17"/>
  <c r="AC124" i="17"/>
  <c r="AA127" i="17"/>
  <c r="Z130" i="17"/>
  <c r="AA136" i="17"/>
  <c r="R140" i="17"/>
  <c r="AA143" i="17"/>
  <c r="W148" i="17"/>
  <c r="AC152" i="17"/>
  <c r="X164" i="17"/>
  <c r="Y185" i="17"/>
  <c r="Y214" i="17"/>
  <c r="Y240" i="17"/>
  <c r="AA268" i="17"/>
  <c r="Y302" i="17"/>
  <c r="AA338" i="17"/>
  <c r="AU13" i="17"/>
  <c r="R9" i="17"/>
  <c r="R38" i="17"/>
  <c r="S32" i="17"/>
  <c r="T26" i="17"/>
  <c r="U18" i="17"/>
  <c r="V13" i="17"/>
  <c r="W7" i="17"/>
  <c r="W37" i="17"/>
  <c r="X31" i="17"/>
  <c r="Y26" i="17"/>
  <c r="Z18" i="17"/>
  <c r="AA11" i="17"/>
  <c r="AB7" i="17"/>
  <c r="AB37" i="17"/>
  <c r="AC31" i="17"/>
  <c r="U83" i="17"/>
  <c r="Y85" i="17"/>
  <c r="AB87" i="17"/>
  <c r="T90" i="17"/>
  <c r="Z92" i="17"/>
  <c r="R98" i="17"/>
  <c r="V100" i="17"/>
  <c r="AB102" i="17"/>
  <c r="T105" i="17"/>
  <c r="Z107" i="17"/>
  <c r="R110" i="17"/>
  <c r="Z112" i="17"/>
  <c r="S115" i="17"/>
  <c r="Z117" i="17"/>
  <c r="U122" i="17"/>
  <c r="R125" i="17"/>
  <c r="AB127" i="17"/>
  <c r="AA130" i="17"/>
  <c r="AB136" i="17"/>
  <c r="W140" i="17"/>
  <c r="AC143" i="17"/>
  <c r="X148" i="17"/>
  <c r="Z153" i="17"/>
  <c r="Y164" i="17"/>
  <c r="X187" i="17"/>
  <c r="X216" i="17"/>
  <c r="X242" i="17"/>
  <c r="R273" i="17"/>
  <c r="AB304" i="17"/>
  <c r="Z341" i="17"/>
  <c r="AW34" i="17"/>
  <c r="R10" i="17"/>
  <c r="R39" i="17"/>
  <c r="S33" i="17"/>
  <c r="T27" i="17"/>
  <c r="U21" i="17"/>
  <c r="V14" i="17"/>
  <c r="W8" i="17"/>
  <c r="W38" i="17"/>
  <c r="X32" i="17"/>
  <c r="Y27" i="17"/>
  <c r="Z21" i="17"/>
  <c r="AA12" i="17"/>
  <c r="AB8" i="17"/>
  <c r="AB38" i="17"/>
  <c r="AC32" i="17"/>
  <c r="V83" i="17"/>
  <c r="Z85" i="17"/>
  <c r="AC87" i="17"/>
  <c r="W90" i="17"/>
  <c r="AA92" i="17"/>
  <c r="S98" i="17"/>
  <c r="W100" i="17"/>
  <c r="AC102" i="17"/>
  <c r="W105" i="17"/>
  <c r="AA107" i="17"/>
  <c r="S110" i="17"/>
  <c r="AA112" i="17"/>
  <c r="T115" i="17"/>
  <c r="AA117" i="17"/>
  <c r="V122" i="17"/>
  <c r="S125" i="17"/>
  <c r="AC127" i="17"/>
  <c r="AB130" i="17"/>
  <c r="AC136" i="17"/>
  <c r="X140" i="17"/>
  <c r="W144" i="17"/>
  <c r="Y148" i="17"/>
  <c r="AA153" i="17"/>
  <c r="AA165" i="17"/>
  <c r="Y187" i="17"/>
  <c r="Y216" i="17"/>
  <c r="Y242" i="17"/>
  <c r="S273" i="17"/>
  <c r="AC304" i="17"/>
  <c r="AA341" i="17"/>
  <c r="AX34" i="17"/>
  <c r="R11" i="17"/>
  <c r="R40" i="17"/>
  <c r="S34" i="17"/>
  <c r="T28" i="17"/>
  <c r="U24" i="17"/>
  <c r="V15" i="17"/>
  <c r="W9" i="17"/>
  <c r="W39" i="17"/>
  <c r="X33" i="17"/>
  <c r="Y28" i="17"/>
  <c r="Z22" i="17"/>
  <c r="AA15" i="17"/>
  <c r="AB9" i="17"/>
  <c r="AB39" i="17"/>
  <c r="AC33" i="17"/>
  <c r="W83" i="17"/>
  <c r="AA85" i="17"/>
  <c r="R88" i="17"/>
  <c r="X90" i="17"/>
  <c r="AB92" i="17"/>
  <c r="T98" i="17"/>
  <c r="Z100" i="17"/>
  <c r="R103" i="17"/>
  <c r="X105" i="17"/>
  <c r="AB107" i="17"/>
  <c r="U110" i="17"/>
  <c r="AB112" i="17"/>
  <c r="W115" i="17"/>
  <c r="AB117" i="17"/>
  <c r="W122" i="17"/>
  <c r="W125" i="17"/>
  <c r="R128" i="17"/>
  <c r="AC130" i="17"/>
  <c r="R137" i="17"/>
  <c r="Y140" i="17"/>
  <c r="X144" i="17"/>
  <c r="Z148" i="17"/>
  <c r="W154" i="17"/>
  <c r="W166" i="17"/>
  <c r="X189" i="17"/>
  <c r="X218" i="17"/>
  <c r="X244" i="17"/>
  <c r="V275" i="17"/>
  <c r="AB344" i="17"/>
  <c r="AY98" i="17"/>
  <c r="CU285" i="17"/>
  <c r="BS285" i="17"/>
  <c r="AQ285" i="17"/>
  <c r="CU283" i="17"/>
  <c r="BS283" i="17"/>
  <c r="AQ283" i="17"/>
  <c r="CT285" i="17"/>
  <c r="BR285" i="17"/>
  <c r="AP285" i="17"/>
  <c r="CT283" i="17"/>
  <c r="BR283" i="17"/>
  <c r="AP283" i="17"/>
  <c r="CS285" i="17"/>
  <c r="BQ285" i="17"/>
  <c r="AO285" i="17"/>
  <c r="CS283" i="17"/>
  <c r="BQ283" i="17"/>
  <c r="AO283" i="17"/>
  <c r="CR285" i="17"/>
  <c r="BP285" i="17"/>
  <c r="AN285" i="17"/>
  <c r="CR283" i="17"/>
  <c r="BP283" i="17"/>
  <c r="AN283" i="17"/>
  <c r="CQ285" i="17"/>
  <c r="BO285" i="17"/>
  <c r="AM285" i="17"/>
  <c r="CQ283" i="17"/>
  <c r="BO283" i="17"/>
  <c r="AM283" i="17"/>
  <c r="CP285" i="17"/>
  <c r="BN285" i="17"/>
  <c r="AL285" i="17"/>
  <c r="CP283" i="17"/>
  <c r="BN283" i="17"/>
  <c r="AL283" i="17"/>
  <c r="CO285" i="17"/>
  <c r="BM285" i="17"/>
  <c r="AK285" i="17"/>
  <c r="CO283" i="17"/>
  <c r="BM283" i="17"/>
  <c r="AK283" i="17"/>
  <c r="CN285" i="17"/>
  <c r="BL285" i="17"/>
  <c r="AJ285" i="17"/>
  <c r="CN283" i="17"/>
  <c r="BL283" i="17"/>
  <c r="AJ283" i="17"/>
  <c r="CM285" i="17"/>
  <c r="BK285" i="17"/>
  <c r="AI285" i="17"/>
  <c r="CL285" i="17"/>
  <c r="BJ285" i="17"/>
  <c r="AH285" i="17"/>
  <c r="CK285" i="17"/>
  <c r="BI285" i="17"/>
  <c r="AG285" i="17"/>
  <c r="CJ285" i="17"/>
  <c r="BH285" i="17"/>
  <c r="AF285" i="17"/>
  <c r="CJ283" i="17"/>
  <c r="BH283" i="17"/>
  <c r="AF283" i="17"/>
  <c r="CG285" i="17"/>
  <c r="BE285" i="17"/>
  <c r="AC285" i="17"/>
  <c r="CG283" i="17"/>
  <c r="BE283" i="17"/>
  <c r="AC283" i="17"/>
  <c r="CF285" i="17"/>
  <c r="BD285" i="17"/>
  <c r="AB285" i="17"/>
  <c r="CF283" i="17"/>
  <c r="BD283" i="17"/>
  <c r="AB283" i="17"/>
  <c r="CE285" i="17"/>
  <c r="BC285" i="17"/>
  <c r="AA285" i="17"/>
  <c r="CE283" i="17"/>
  <c r="BC283" i="17"/>
  <c r="AA283" i="17"/>
  <c r="CD285" i="17"/>
  <c r="BB285" i="17"/>
  <c r="Z285" i="17"/>
  <c r="CD283" i="17"/>
  <c r="BB283" i="17"/>
  <c r="Z283" i="17"/>
  <c r="CC285" i="17"/>
  <c r="BA285" i="17"/>
  <c r="Y285" i="17"/>
  <c r="CC283" i="17"/>
  <c r="BA283" i="17"/>
  <c r="Y283" i="17"/>
  <c r="CB285" i="17"/>
  <c r="AZ285" i="17"/>
  <c r="X285" i="17"/>
  <c r="CB283" i="17"/>
  <c r="AZ283" i="17"/>
  <c r="X283" i="17"/>
  <c r="CA285" i="17"/>
  <c r="AY285" i="17"/>
  <c r="W285" i="17"/>
  <c r="BZ285" i="17"/>
  <c r="AX285" i="17"/>
  <c r="V285" i="17"/>
  <c r="BY285" i="17"/>
  <c r="AW285" i="17"/>
  <c r="U285" i="17"/>
  <c r="BX285" i="17"/>
  <c r="AV285" i="17"/>
  <c r="T285" i="17"/>
  <c r="BW285" i="17"/>
  <c r="AU285" i="17"/>
  <c r="S285" i="17"/>
  <c r="BV285" i="17"/>
  <c r="AT285" i="17"/>
  <c r="R285" i="17"/>
  <c r="CK283" i="17"/>
  <c r="R283" i="17"/>
  <c r="CA283" i="17"/>
  <c r="BZ283" i="17"/>
  <c r="BY283" i="17"/>
  <c r="BX283" i="17"/>
  <c r="BW283" i="17"/>
  <c r="BV283" i="17"/>
  <c r="BK283" i="17"/>
  <c r="BJ283" i="17"/>
  <c r="BI283" i="17"/>
  <c r="AY283" i="17"/>
  <c r="AX283" i="17"/>
  <c r="AW283" i="17"/>
  <c r="AV283" i="17"/>
  <c r="AU283" i="17"/>
  <c r="AT283" i="17"/>
  <c r="AI283" i="17"/>
  <c r="AH283" i="17"/>
  <c r="AG283" i="17"/>
  <c r="W283" i="17"/>
  <c r="V283" i="17"/>
  <c r="U283" i="17"/>
  <c r="CL283" i="17"/>
  <c r="S283" i="17"/>
  <c r="CM283" i="17"/>
  <c r="BV286" i="17"/>
  <c r="AT286" i="17"/>
  <c r="R286" i="17"/>
  <c r="T283" i="17"/>
  <c r="CU286" i="17"/>
  <c r="BS286" i="17"/>
  <c r="AQ286" i="17"/>
  <c r="CT286" i="17"/>
  <c r="BR286" i="17"/>
  <c r="AP286" i="17"/>
  <c r="CS286" i="17"/>
  <c r="BQ286" i="17"/>
  <c r="AO286" i="17"/>
  <c r="CR286" i="17"/>
  <c r="BP286" i="17"/>
  <c r="AN286" i="17"/>
  <c r="CQ286" i="17"/>
  <c r="BO286" i="17"/>
  <c r="AM286" i="17"/>
  <c r="CP286" i="17"/>
  <c r="BN286" i="17"/>
  <c r="AL286" i="17"/>
  <c r="CO286" i="17"/>
  <c r="BM286" i="17"/>
  <c r="CN286" i="17"/>
  <c r="BL286" i="17"/>
  <c r="AJ286" i="17"/>
  <c r="CM286" i="17"/>
  <c r="BK286" i="17"/>
  <c r="AI286" i="17"/>
  <c r="CL286" i="17"/>
  <c r="BJ286" i="17"/>
  <c r="AH286" i="17"/>
  <c r="CK286" i="17"/>
  <c r="BI286" i="17"/>
  <c r="AG286" i="17"/>
  <c r="CJ286" i="17"/>
  <c r="BH286" i="17"/>
  <c r="AF286" i="17"/>
  <c r="CG286" i="17"/>
  <c r="BE286" i="17"/>
  <c r="AC286" i="17"/>
  <c r="CF286" i="17"/>
  <c r="BD286" i="17"/>
  <c r="AB286" i="17"/>
  <c r="CE286" i="17"/>
  <c r="BC286" i="17"/>
  <c r="AA286" i="17"/>
  <c r="CD286" i="17"/>
  <c r="BA286" i="17"/>
  <c r="AM306" i="17"/>
  <c r="AM304" i="17"/>
  <c r="AM302" i="17"/>
  <c r="AM300" i="17"/>
  <c r="AM298" i="17"/>
  <c r="AM296" i="17"/>
  <c r="AM294" i="17"/>
  <c r="AM292" i="17"/>
  <c r="AM290" i="17"/>
  <c r="AM288" i="17"/>
  <c r="AM284" i="17"/>
  <c r="AM281" i="17"/>
  <c r="AM279" i="17"/>
  <c r="AM277" i="17"/>
  <c r="AM275" i="17"/>
  <c r="AM273" i="17"/>
  <c r="AZ286" i="17"/>
  <c r="AL306" i="17"/>
  <c r="AL304" i="17"/>
  <c r="AL302" i="17"/>
  <c r="AL300" i="17"/>
  <c r="AL298" i="17"/>
  <c r="AL296" i="17"/>
  <c r="AL294" i="17"/>
  <c r="AL292" i="17"/>
  <c r="AL290" i="17"/>
  <c r="AL288" i="17"/>
  <c r="AL284" i="17"/>
  <c r="AL281" i="17"/>
  <c r="AL279" i="17"/>
  <c r="AL277" i="17"/>
  <c r="AL275" i="17"/>
  <c r="AL273" i="17"/>
  <c r="AY286" i="17"/>
  <c r="AX286" i="17"/>
  <c r="AJ306" i="17"/>
  <c r="AW286" i="17"/>
  <c r="AI306" i="17"/>
  <c r="AI304" i="17"/>
  <c r="AI302" i="17"/>
  <c r="AI300" i="17"/>
  <c r="AI298" i="17"/>
  <c r="AI296" i="17"/>
  <c r="AI294" i="17"/>
  <c r="AI292" i="17"/>
  <c r="AV286" i="17"/>
  <c r="AU286" i="17"/>
  <c r="AG306" i="17"/>
  <c r="AG304" i="17"/>
  <c r="AG302" i="17"/>
  <c r="AG300" i="17"/>
  <c r="AG298" i="17"/>
  <c r="AG296" i="17"/>
  <c r="AG294" i="17"/>
  <c r="AG292" i="17"/>
  <c r="AG290" i="17"/>
  <c r="AK286" i="17"/>
  <c r="Z286" i="17"/>
  <c r="Y286" i="17"/>
  <c r="X286" i="17"/>
  <c r="AO307" i="17"/>
  <c r="AO305" i="17"/>
  <c r="AO303" i="17"/>
  <c r="AO301" i="17"/>
  <c r="AO299" i="17"/>
  <c r="W286" i="17"/>
  <c r="V286" i="17"/>
  <c r="AM307" i="17"/>
  <c r="AM305" i="17"/>
  <c r="AM303" i="17"/>
  <c r="AM301" i="17"/>
  <c r="AM299" i="17"/>
  <c r="AM297" i="17"/>
  <c r="AM295" i="17"/>
  <c r="U286" i="17"/>
  <c r="T286" i="17"/>
  <c r="S286" i="17"/>
  <c r="CC286" i="17"/>
  <c r="CB286" i="17"/>
  <c r="CA286" i="17"/>
  <c r="BZ286" i="17"/>
  <c r="BY286" i="17"/>
  <c r="BX286" i="17"/>
  <c r="BB286" i="17"/>
  <c r="AP307" i="17"/>
  <c r="AG305" i="17"/>
  <c r="AK302" i="17"/>
  <c r="AN299" i="17"/>
  <c r="AH297" i="17"/>
  <c r="AO294" i="17"/>
  <c r="AH292" i="17"/>
  <c r="AP289" i="17"/>
  <c r="AN287" i="17"/>
  <c r="AL282" i="17"/>
  <c r="AJ280" i="17"/>
  <c r="AH278" i="17"/>
  <c r="AF276" i="17"/>
  <c r="AP273" i="17"/>
  <c r="AN307" i="17"/>
  <c r="AF305" i="17"/>
  <c r="AJ302" i="17"/>
  <c r="AL299" i="17"/>
  <c r="AG297" i="17"/>
  <c r="AN294" i="17"/>
  <c r="AF292" i="17"/>
  <c r="AO289" i="17"/>
  <c r="AM287" i="17"/>
  <c r="AK282" i="17"/>
  <c r="AI280" i="17"/>
  <c r="AG278" i="17"/>
  <c r="AQ275" i="17"/>
  <c r="AO273" i="17"/>
  <c r="AL307" i="17"/>
  <c r="AQ304" i="17"/>
  <c r="AH302" i="17"/>
  <c r="AK299" i="17"/>
  <c r="AF297" i="17"/>
  <c r="AK294" i="17"/>
  <c r="AQ291" i="17"/>
  <c r="AN289" i="17"/>
  <c r="AL287" i="17"/>
  <c r="AJ282" i="17"/>
  <c r="AH280" i="17"/>
  <c r="AF278" i="17"/>
  <c r="AP275" i="17"/>
  <c r="AN273" i="17"/>
  <c r="BW286" i="17"/>
  <c r="AK307" i="17"/>
  <c r="AP304" i="17"/>
  <c r="AF302" i="17"/>
  <c r="AJ299" i="17"/>
  <c r="AQ296" i="17"/>
  <c r="AJ294" i="17"/>
  <c r="AP291" i="17"/>
  <c r="AM289" i="17"/>
  <c r="AK287" i="17"/>
  <c r="AI282" i="17"/>
  <c r="AG280" i="17"/>
  <c r="AQ277" i="17"/>
  <c r="AO275" i="17"/>
  <c r="AK273" i="17"/>
  <c r="AJ307" i="17"/>
  <c r="AO304" i="17"/>
  <c r="AQ301" i="17"/>
  <c r="AI299" i="17"/>
  <c r="AP296" i="17"/>
  <c r="AH294" i="17"/>
  <c r="AO291" i="17"/>
  <c r="AL289" i="17"/>
  <c r="AJ287" i="17"/>
  <c r="AH282" i="17"/>
  <c r="AF280" i="17"/>
  <c r="AP277" i="17"/>
  <c r="AN275" i="17"/>
  <c r="AJ273" i="17"/>
  <c r="AI307" i="17"/>
  <c r="AN304" i="17"/>
  <c r="AP301" i="17"/>
  <c r="AH299" i="17"/>
  <c r="AO296" i="17"/>
  <c r="AF294" i="17"/>
  <c r="AN291" i="17"/>
  <c r="AK289" i="17"/>
  <c r="AI287" i="17"/>
  <c r="AG282" i="17"/>
  <c r="AQ279" i="17"/>
  <c r="AO277" i="17"/>
  <c r="AK275" i="17"/>
  <c r="AI273" i="17"/>
  <c r="AH307" i="17"/>
  <c r="AK304" i="17"/>
  <c r="AN301" i="17"/>
  <c r="AG299" i="17"/>
  <c r="AN296" i="17"/>
  <c r="AQ293" i="17"/>
  <c r="AM291" i="17"/>
  <c r="AJ289" i="17"/>
  <c r="AH287" i="17"/>
  <c r="AF282" i="17"/>
  <c r="AP279" i="17"/>
  <c r="AN277" i="17"/>
  <c r="AJ275" i="17"/>
  <c r="AH273" i="17"/>
  <c r="AG307" i="17"/>
  <c r="AJ304" i="17"/>
  <c r="AL301" i="17"/>
  <c r="AF299" i="17"/>
  <c r="AK296" i="17"/>
  <c r="AP293" i="17"/>
  <c r="AL291" i="17"/>
  <c r="AI289" i="17"/>
  <c r="AG287" i="17"/>
  <c r="AQ281" i="17"/>
  <c r="AO279" i="17"/>
  <c r="AK277" i="17"/>
  <c r="AI275" i="17"/>
  <c r="AG273" i="17"/>
  <c r="AF307" i="17"/>
  <c r="AH304" i="17"/>
  <c r="AK301" i="17"/>
  <c r="AQ298" i="17"/>
  <c r="AJ296" i="17"/>
  <c r="AO293" i="17"/>
  <c r="AK291" i="17"/>
  <c r="AH289" i="17"/>
  <c r="AF287" i="17"/>
  <c r="AP281" i="17"/>
  <c r="AN279" i="17"/>
  <c r="AJ277" i="17"/>
  <c r="AH275" i="17"/>
  <c r="AF273" i="17"/>
  <c r="AQ306" i="17"/>
  <c r="AF304" i="17"/>
  <c r="AJ301" i="17"/>
  <c r="AP298" i="17"/>
  <c r="AH296" i="17"/>
  <c r="AN293" i="17"/>
  <c r="AJ291" i="17"/>
  <c r="AG289" i="17"/>
  <c r="AQ284" i="17"/>
  <c r="AO281" i="17"/>
  <c r="AK279" i="17"/>
  <c r="AI277" i="17"/>
  <c r="AG275" i="17"/>
  <c r="AQ272" i="17"/>
  <c r="AP306" i="17"/>
  <c r="AQ303" i="17"/>
  <c r="AI301" i="17"/>
  <c r="AO298" i="17"/>
  <c r="AF296" i="17"/>
  <c r="AM293" i="17"/>
  <c r="AI291" i="17"/>
  <c r="AF289" i="17"/>
  <c r="AP284" i="17"/>
  <c r="AN281" i="17"/>
  <c r="AJ279" i="17"/>
  <c r="AH277" i="17"/>
  <c r="AF275" i="17"/>
  <c r="AP272" i="17"/>
  <c r="AO306" i="17"/>
  <c r="AP303" i="17"/>
  <c r="AH301" i="17"/>
  <c r="AN298" i="17"/>
  <c r="AQ295" i="17"/>
  <c r="AL293" i="17"/>
  <c r="AH291" i="17"/>
  <c r="AQ288" i="17"/>
  <c r="AO284" i="17"/>
  <c r="AK281" i="17"/>
  <c r="AI279" i="17"/>
  <c r="AG277" i="17"/>
  <c r="AQ274" i="17"/>
  <c r="AO272" i="17"/>
  <c r="AN306" i="17"/>
  <c r="AN303" i="17"/>
  <c r="AG301" i="17"/>
  <c r="AK298" i="17"/>
  <c r="AP295" i="17"/>
  <c r="AK293" i="17"/>
  <c r="AG291" i="17"/>
  <c r="AP288" i="17"/>
  <c r="AN284" i="17"/>
  <c r="AJ281" i="17"/>
  <c r="AH279" i="17"/>
  <c r="AF277" i="17"/>
  <c r="AP274" i="17"/>
  <c r="AN272" i="17"/>
  <c r="AK306" i="17"/>
  <c r="AL303" i="17"/>
  <c r="AF301" i="17"/>
  <c r="AJ298" i="17"/>
  <c r="AO295" i="17"/>
  <c r="AJ293" i="17"/>
  <c r="AF291" i="17"/>
  <c r="AO288" i="17"/>
  <c r="AK284" i="17"/>
  <c r="AI281" i="17"/>
  <c r="AG279" i="17"/>
  <c r="AQ276" i="17"/>
  <c r="AO274" i="17"/>
  <c r="AM272" i="17"/>
  <c r="AH306" i="17"/>
  <c r="AK303" i="17"/>
  <c r="AQ300" i="17"/>
  <c r="AH298" i="17"/>
  <c r="AN295" i="17"/>
  <c r="AI293" i="17"/>
  <c r="AQ290" i="17"/>
  <c r="AN288" i="17"/>
  <c r="AJ284" i="17"/>
  <c r="AH281" i="17"/>
  <c r="AF279" i="17"/>
  <c r="AP276" i="17"/>
  <c r="AN274" i="17"/>
  <c r="AL272" i="17"/>
  <c r="AF306" i="17"/>
  <c r="AJ303" i="17"/>
  <c r="AP300" i="17"/>
  <c r="AF298" i="17"/>
  <c r="AL295" i="17"/>
  <c r="AH293" i="17"/>
  <c r="AP290" i="17"/>
  <c r="AK288" i="17"/>
  <c r="AI284" i="17"/>
  <c r="AG281" i="17"/>
  <c r="AQ278" i="17"/>
  <c r="AO276" i="17"/>
  <c r="AM274" i="17"/>
  <c r="AK272" i="17"/>
  <c r="AQ305" i="17"/>
  <c r="AI303" i="17"/>
  <c r="AO300" i="17"/>
  <c r="AQ297" i="17"/>
  <c r="AK295" i="17"/>
  <c r="AG293" i="17"/>
  <c r="AO290" i="17"/>
  <c r="AJ288" i="17"/>
  <c r="AH284" i="17"/>
  <c r="AF281" i="17"/>
  <c r="AP278" i="17"/>
  <c r="AN276" i="17"/>
  <c r="AL274" i="17"/>
  <c r="AJ272" i="17"/>
  <c r="AP305" i="17"/>
  <c r="AH303" i="17"/>
  <c r="AN300" i="17"/>
  <c r="AP297" i="17"/>
  <c r="AJ295" i="17"/>
  <c r="AF293" i="17"/>
  <c r="AN290" i="17"/>
  <c r="AI288" i="17"/>
  <c r="AG284" i="17"/>
  <c r="AQ280" i="17"/>
  <c r="AO278" i="17"/>
  <c r="AM276" i="17"/>
  <c r="AK274" i="17"/>
  <c r="AI272" i="17"/>
  <c r="AN305" i="17"/>
  <c r="AG303" i="17"/>
  <c r="AK300" i="17"/>
  <c r="AO297" i="17"/>
  <c r="AI295" i="17"/>
  <c r="AQ292" i="17"/>
  <c r="AK290" i="17"/>
  <c r="AH288" i="17"/>
  <c r="AF284" i="17"/>
  <c r="AP280" i="17"/>
  <c r="AN278" i="17"/>
  <c r="AL276" i="17"/>
  <c r="AJ274" i="17"/>
  <c r="AH272" i="17"/>
  <c r="AL305" i="17"/>
  <c r="AF303" i="17"/>
  <c r="AJ300" i="17"/>
  <c r="AN297" i="17"/>
  <c r="AH295" i="17"/>
  <c r="AP292" i="17"/>
  <c r="AJ290" i="17"/>
  <c r="AG288" i="17"/>
  <c r="AQ282" i="17"/>
  <c r="AO280" i="17"/>
  <c r="AM278" i="17"/>
  <c r="AK276" i="17"/>
  <c r="AI274" i="17"/>
  <c r="AG272" i="17"/>
  <c r="AK305" i="17"/>
  <c r="AQ302" i="17"/>
  <c r="AH300" i="17"/>
  <c r="AL297" i="17"/>
  <c r="AG295" i="17"/>
  <c r="AO292" i="17"/>
  <c r="AI290" i="17"/>
  <c r="AF288" i="17"/>
  <c r="AP282" i="17"/>
  <c r="AN280" i="17"/>
  <c r="AL278" i="17"/>
  <c r="AJ276" i="17"/>
  <c r="AH274" i="17"/>
  <c r="AF272" i="17"/>
  <c r="AJ305" i="17"/>
  <c r="AP302" i="17"/>
  <c r="AF300" i="17"/>
  <c r="AK297" i="17"/>
  <c r="AF295" i="17"/>
  <c r="AN292" i="17"/>
  <c r="AH290" i="17"/>
  <c r="AQ287" i="17"/>
  <c r="AO282" i="17"/>
  <c r="AM280" i="17"/>
  <c r="AK278" i="17"/>
  <c r="AI276" i="17"/>
  <c r="AG274" i="17"/>
  <c r="AQ307" i="17"/>
  <c r="AH305" i="17"/>
  <c r="AN302" i="17"/>
  <c r="AP299" i="17"/>
  <c r="AI297" i="17"/>
  <c r="AP294" i="17"/>
  <c r="AJ292" i="17"/>
  <c r="AQ289" i="17"/>
  <c r="AO287" i="17"/>
  <c r="AM282" i="17"/>
  <c r="AK280" i="17"/>
  <c r="AI278" i="17"/>
  <c r="AG276" i="17"/>
  <c r="AQ273" i="17"/>
  <c r="AI305" i="17"/>
  <c r="AO302" i="17"/>
  <c r="AQ299" i="17"/>
  <c r="AJ297" i="17"/>
  <c r="AQ294" i="17"/>
  <c r="AK292" i="17"/>
  <c r="AF290" i="17"/>
  <c r="AP287" i="17"/>
  <c r="AN282" i="17"/>
  <c r="AL280" i="17"/>
  <c r="AJ278" i="17"/>
  <c r="AH276" i="17"/>
  <c r="AF274" i="17"/>
  <c r="CP307" i="17"/>
  <c r="CP305" i="17"/>
  <c r="CP303" i="17"/>
  <c r="CP301" i="17"/>
  <c r="CP299" i="17"/>
  <c r="CP297" i="17"/>
  <c r="CP295" i="17"/>
  <c r="CP293" i="17"/>
  <c r="CP291" i="17"/>
  <c r="CP289" i="17"/>
  <c r="CP287" i="17"/>
  <c r="CP282" i="17"/>
  <c r="CP280" i="17"/>
  <c r="CP278" i="17"/>
  <c r="CP276" i="17"/>
  <c r="CP274" i="17"/>
  <c r="CP272" i="17"/>
  <c r="CN307" i="17"/>
  <c r="CN305" i="17"/>
  <c r="CN303" i="17"/>
  <c r="CN301" i="17"/>
  <c r="CN299" i="17"/>
  <c r="CN297" i="17"/>
  <c r="CN295" i="17"/>
  <c r="CN293" i="17"/>
  <c r="CN291" i="17"/>
  <c r="CN289" i="17"/>
  <c r="CN287" i="17"/>
  <c r="CN282" i="17"/>
  <c r="CN280" i="17"/>
  <c r="CN278" i="17"/>
  <c r="CN276" i="17"/>
  <c r="CN274" i="17"/>
  <c r="CN272" i="17"/>
  <c r="CM307" i="17"/>
  <c r="CM305" i="17"/>
  <c r="CM303" i="17"/>
  <c r="CM301" i="17"/>
  <c r="CM299" i="17"/>
  <c r="CM297" i="17"/>
  <c r="CM295" i="17"/>
  <c r="CM293" i="17"/>
  <c r="CM291" i="17"/>
  <c r="CM289" i="17"/>
  <c r="CM287" i="17"/>
  <c r="CM282" i="17"/>
  <c r="CM280" i="17"/>
  <c r="CM278" i="17"/>
  <c r="CM276" i="17"/>
  <c r="CM274" i="17"/>
  <c r="CM272" i="17"/>
  <c r="CL307" i="17"/>
  <c r="CL305" i="17"/>
  <c r="CL303" i="17"/>
  <c r="CL301" i="17"/>
  <c r="CL299" i="17"/>
  <c r="CL297" i="17"/>
  <c r="CL295" i="17"/>
  <c r="CL293" i="17"/>
  <c r="CL291" i="17"/>
  <c r="CL289" i="17"/>
  <c r="CL287" i="17"/>
  <c r="CL282" i="17"/>
  <c r="CL280" i="17"/>
  <c r="CL278" i="17"/>
  <c r="CL276" i="17"/>
  <c r="CL274" i="17"/>
  <c r="CL272" i="17"/>
  <c r="CK307" i="17"/>
  <c r="CK305" i="17"/>
  <c r="CK303" i="17"/>
  <c r="CK301" i="17"/>
  <c r="CK299" i="17"/>
  <c r="CK297" i="17"/>
  <c r="CK295" i="17"/>
  <c r="CK293" i="17"/>
  <c r="CK291" i="17"/>
  <c r="CK289" i="17"/>
  <c r="CK287" i="17"/>
  <c r="CK282" i="17"/>
  <c r="CK280" i="17"/>
  <c r="CK278" i="17"/>
  <c r="CK276" i="17"/>
  <c r="CK274" i="17"/>
  <c r="CK272" i="17"/>
  <c r="CJ307" i="17"/>
  <c r="CJ305" i="17"/>
  <c r="CJ303" i="17"/>
  <c r="CJ301" i="17"/>
  <c r="CJ299" i="17"/>
  <c r="CJ297" i="17"/>
  <c r="CJ295" i="17"/>
  <c r="CJ293" i="17"/>
  <c r="CJ291" i="17"/>
  <c r="CJ289" i="17"/>
  <c r="CJ287" i="17"/>
  <c r="CJ282" i="17"/>
  <c r="CJ280" i="17"/>
  <c r="CJ278" i="17"/>
  <c r="CJ276" i="17"/>
  <c r="CU306" i="17"/>
  <c r="CU304" i="17"/>
  <c r="CU302" i="17"/>
  <c r="CU300" i="17"/>
  <c r="CU298" i="17"/>
  <c r="CU296" i="17"/>
  <c r="CU294" i="17"/>
  <c r="CT306" i="17"/>
  <c r="CT304" i="17"/>
  <c r="CT302" i="17"/>
  <c r="CT300" i="17"/>
  <c r="CT298" i="17"/>
  <c r="CT296" i="17"/>
  <c r="CT294" i="17"/>
  <c r="CT292" i="17"/>
  <c r="CS306" i="17"/>
  <c r="CS304" i="17"/>
  <c r="CS302" i="17"/>
  <c r="CS300" i="17"/>
  <c r="CS298" i="17"/>
  <c r="CS296" i="17"/>
  <c r="CS294" i="17"/>
  <c r="CS292" i="17"/>
  <c r="CS290" i="17"/>
  <c r="CS288" i="17"/>
  <c r="CS284" i="17"/>
  <c r="CS281" i="17"/>
  <c r="CS279" i="17"/>
  <c r="CS277" i="17"/>
  <c r="CS275" i="17"/>
  <c r="CS273" i="17"/>
  <c r="CR306" i="17"/>
  <c r="CR304" i="17"/>
  <c r="CR302" i="17"/>
  <c r="CR300" i="17"/>
  <c r="CR298" i="17"/>
  <c r="CR296" i="17"/>
  <c r="CR294" i="17"/>
  <c r="CR292" i="17"/>
  <c r="CR290" i="17"/>
  <c r="CR288" i="17"/>
  <c r="CR284" i="17"/>
  <c r="CR281" i="17"/>
  <c r="CR279" i="17"/>
  <c r="CR277" i="17"/>
  <c r="CR275" i="17"/>
  <c r="CR273" i="17"/>
  <c r="CQ306" i="17"/>
  <c r="CQ304" i="17"/>
  <c r="CQ302" i="17"/>
  <c r="CQ300" i="17"/>
  <c r="CQ298" i="17"/>
  <c r="CQ296" i="17"/>
  <c r="CQ294" i="17"/>
  <c r="CQ292" i="17"/>
  <c r="CQ290" i="17"/>
  <c r="CQ288" i="17"/>
  <c r="CQ284" i="17"/>
  <c r="CQ281" i="17"/>
  <c r="CQ279" i="17"/>
  <c r="CQ277" i="17"/>
  <c r="CP306" i="17"/>
  <c r="CP304" i="17"/>
  <c r="CP302" i="17"/>
  <c r="CP300" i="17"/>
  <c r="CP298" i="17"/>
  <c r="CP296" i="17"/>
  <c r="CP294" i="17"/>
  <c r="CP292" i="17"/>
  <c r="CP290" i="17"/>
  <c r="CP288" i="17"/>
  <c r="CP284" i="17"/>
  <c r="CP281" i="17"/>
  <c r="CP279" i="17"/>
  <c r="CP277" i="17"/>
  <c r="CP275" i="17"/>
  <c r="CP273" i="17"/>
  <c r="CO306" i="17"/>
  <c r="CO304" i="17"/>
  <c r="CO302" i="17"/>
  <c r="CO300" i="17"/>
  <c r="CO298" i="17"/>
  <c r="CO296" i="17"/>
  <c r="CO294" i="17"/>
  <c r="CO292" i="17"/>
  <c r="CO290" i="17"/>
  <c r="CO288" i="17"/>
  <c r="CO284" i="17"/>
  <c r="CO281" i="17"/>
  <c r="CN306" i="17"/>
  <c r="CN304" i="17"/>
  <c r="CN302" i="17"/>
  <c r="CN300" i="17"/>
  <c r="CL306" i="17"/>
  <c r="CL304" i="17"/>
  <c r="CL302" i="17"/>
  <c r="CL300" i="17"/>
  <c r="CL298" i="17"/>
  <c r="CL296" i="17"/>
  <c r="CL294" i="17"/>
  <c r="CL292" i="17"/>
  <c r="CL290" i="17"/>
  <c r="CL288" i="17"/>
  <c r="CL284" i="17"/>
  <c r="CK306" i="17"/>
  <c r="CK304" i="17"/>
  <c r="CK302" i="17"/>
  <c r="CK300" i="17"/>
  <c r="CK298" i="17"/>
  <c r="CJ306" i="17"/>
  <c r="CU307" i="17"/>
  <c r="CU305" i="17"/>
  <c r="CU303" i="17"/>
  <c r="CU301" i="17"/>
  <c r="CU299" i="17"/>
  <c r="CU297" i="17"/>
  <c r="CU295" i="17"/>
  <c r="CU293" i="17"/>
  <c r="CS303" i="17"/>
  <c r="CQ297" i="17"/>
  <c r="CJ292" i="17"/>
  <c r="CJ288" i="17"/>
  <c r="CK281" i="17"/>
  <c r="CO277" i="17"/>
  <c r="CR274" i="17"/>
  <c r="CR303" i="17"/>
  <c r="CO297" i="17"/>
  <c r="CU291" i="17"/>
  <c r="CU287" i="17"/>
  <c r="CJ281" i="17"/>
  <c r="CN277" i="17"/>
  <c r="CQ274" i="17"/>
  <c r="CQ303" i="17"/>
  <c r="CN296" i="17"/>
  <c r="CT291" i="17"/>
  <c r="CT287" i="17"/>
  <c r="CU280" i="17"/>
  <c r="CM277" i="17"/>
  <c r="CO274" i="17"/>
  <c r="CO303" i="17"/>
  <c r="CM296" i="17"/>
  <c r="CS291" i="17"/>
  <c r="CS287" i="17"/>
  <c r="CT280" i="17"/>
  <c r="CL277" i="17"/>
  <c r="CJ274" i="17"/>
  <c r="CM302" i="17"/>
  <c r="CK296" i="17"/>
  <c r="CR291" i="17"/>
  <c r="CR287" i="17"/>
  <c r="CS280" i="17"/>
  <c r="CK277" i="17"/>
  <c r="CU273" i="17"/>
  <c r="CJ302" i="17"/>
  <c r="CJ296" i="17"/>
  <c r="CQ291" i="17"/>
  <c r="CQ287" i="17"/>
  <c r="CR280" i="17"/>
  <c r="CJ277" i="17"/>
  <c r="CT273" i="17"/>
  <c r="CT301" i="17"/>
  <c r="CT295" i="17"/>
  <c r="CO291" i="17"/>
  <c r="CO287" i="17"/>
  <c r="CQ280" i="17"/>
  <c r="CU276" i="17"/>
  <c r="CQ273" i="17"/>
  <c r="CS301" i="17"/>
  <c r="CS295" i="17"/>
  <c r="CU290" i="17"/>
  <c r="CU284" i="17"/>
  <c r="CO280" i="17"/>
  <c r="CT276" i="17"/>
  <c r="CO273" i="17"/>
  <c r="CR301" i="17"/>
  <c r="CR295" i="17"/>
  <c r="CT290" i="17"/>
  <c r="CT284" i="17"/>
  <c r="CU279" i="17"/>
  <c r="CS276" i="17"/>
  <c r="CN273" i="17"/>
  <c r="CQ301" i="17"/>
  <c r="CQ295" i="17"/>
  <c r="CN290" i="17"/>
  <c r="CN284" i="17"/>
  <c r="CT279" i="17"/>
  <c r="CR276" i="17"/>
  <c r="CM273" i="17"/>
  <c r="CT307" i="17"/>
  <c r="CO301" i="17"/>
  <c r="CO295" i="17"/>
  <c r="CM290" i="17"/>
  <c r="CM284" i="17"/>
  <c r="CO279" i="17"/>
  <c r="CQ276" i="17"/>
  <c r="CL273" i="17"/>
  <c r="CS307" i="17"/>
  <c r="CM300" i="17"/>
  <c r="CN294" i="17"/>
  <c r="CK290" i="17"/>
  <c r="CK284" i="17"/>
  <c r="CN279" i="17"/>
  <c r="CO276" i="17"/>
  <c r="CK273" i="17"/>
  <c r="CR307" i="17"/>
  <c r="CJ300" i="17"/>
  <c r="CM294" i="17"/>
  <c r="CJ290" i="17"/>
  <c r="CJ284" i="17"/>
  <c r="CM279" i="17"/>
  <c r="CU275" i="17"/>
  <c r="CJ273" i="17"/>
  <c r="CO307" i="17"/>
  <c r="CS299" i="17"/>
  <c r="CJ294" i="17"/>
  <c r="CT289" i="17"/>
  <c r="CT282" i="17"/>
  <c r="CK279" i="17"/>
  <c r="CQ275" i="17"/>
  <c r="CT272" i="17"/>
  <c r="CM306" i="17"/>
  <c r="CR299" i="17"/>
  <c r="CT293" i="17"/>
  <c r="CS289" i="17"/>
  <c r="CS282" i="17"/>
  <c r="CJ279" i="17"/>
  <c r="CO275" i="17"/>
  <c r="CS272" i="17"/>
  <c r="CT305" i="17"/>
  <c r="CQ299" i="17"/>
  <c r="CS293" i="17"/>
  <c r="CR289" i="17"/>
  <c r="CR282" i="17"/>
  <c r="CU278" i="17"/>
  <c r="CN275" i="17"/>
  <c r="CR272" i="17"/>
  <c r="CS305" i="17"/>
  <c r="CO299" i="17"/>
  <c r="CR293" i="17"/>
  <c r="CQ289" i="17"/>
  <c r="CQ282" i="17"/>
  <c r="CT278" i="17"/>
  <c r="CM275" i="17"/>
  <c r="CQ272" i="17"/>
  <c r="CR305" i="17"/>
  <c r="CN298" i="17"/>
  <c r="CQ293" i="17"/>
  <c r="CO289" i="17"/>
  <c r="CO282" i="17"/>
  <c r="CS278" i="17"/>
  <c r="CL275" i="17"/>
  <c r="CO272" i="17"/>
  <c r="CQ305" i="17"/>
  <c r="CM298" i="17"/>
  <c r="CO293" i="17"/>
  <c r="CU288" i="17"/>
  <c r="CU281" i="17"/>
  <c r="CR278" i="17"/>
  <c r="CK275" i="17"/>
  <c r="CJ272" i="17"/>
  <c r="CO305" i="17"/>
  <c r="CJ298" i="17"/>
  <c r="CU292" i="17"/>
  <c r="CT288" i="17"/>
  <c r="CT281" i="17"/>
  <c r="CQ278" i="17"/>
  <c r="CJ275" i="17"/>
  <c r="CT303" i="17"/>
  <c r="CR297" i="17"/>
  <c r="CK292" i="17"/>
  <c r="CK288" i="17"/>
  <c r="CL281" i="17"/>
  <c r="CT277" i="17"/>
  <c r="CS274" i="17"/>
  <c r="CM292" i="17"/>
  <c r="CU289" i="17"/>
  <c r="CN288" i="17"/>
  <c r="CM288" i="17"/>
  <c r="CU282" i="17"/>
  <c r="CN281" i="17"/>
  <c r="CM281" i="17"/>
  <c r="CL279" i="17"/>
  <c r="CO278" i="17"/>
  <c r="CU277" i="17"/>
  <c r="CT275" i="17"/>
  <c r="CU274" i="17"/>
  <c r="CT274" i="17"/>
  <c r="CU272" i="17"/>
  <c r="CQ307" i="17"/>
  <c r="CM304" i="17"/>
  <c r="CJ304" i="17"/>
  <c r="CT299" i="17"/>
  <c r="CT297" i="17"/>
  <c r="CS297" i="17"/>
  <c r="CN292" i="17"/>
  <c r="CD306" i="17"/>
  <c r="CD304" i="17"/>
  <c r="CD302" i="17"/>
  <c r="CD300" i="17"/>
  <c r="CD298" i="17"/>
  <c r="CD296" i="17"/>
  <c r="CD294" i="17"/>
  <c r="CD292" i="17"/>
  <c r="CD290" i="17"/>
  <c r="CD288" i="17"/>
  <c r="CD284" i="17"/>
  <c r="CD281" i="17"/>
  <c r="CD279" i="17"/>
  <c r="CD277" i="17"/>
  <c r="CD275" i="17"/>
  <c r="CD273" i="17"/>
  <c r="CK294" i="17"/>
  <c r="CC306" i="17"/>
  <c r="CC304" i="17"/>
  <c r="CC302" i="17"/>
  <c r="CC300" i="17"/>
  <c r="CC298" i="17"/>
  <c r="CC296" i="17"/>
  <c r="CC294" i="17"/>
  <c r="CC292" i="17"/>
  <c r="CC290" i="17"/>
  <c r="CC288" i="17"/>
  <c r="CC284" i="17"/>
  <c r="CC281" i="17"/>
  <c r="CC279" i="17"/>
  <c r="CC277" i="17"/>
  <c r="CC275" i="17"/>
  <c r="CC273" i="17"/>
  <c r="CB306" i="17"/>
  <c r="CB304" i="17"/>
  <c r="CB302" i="17"/>
  <c r="CB300" i="17"/>
  <c r="CB298" i="17"/>
  <c r="CB296" i="17"/>
  <c r="CB294" i="17"/>
  <c r="CB292" i="17"/>
  <c r="CB290" i="17"/>
  <c r="CB288" i="17"/>
  <c r="CB284" i="17"/>
  <c r="CB281" i="17"/>
  <c r="CB279" i="17"/>
  <c r="CB277" i="17"/>
  <c r="CB275" i="17"/>
  <c r="CB273" i="17"/>
  <c r="CA306" i="17"/>
  <c r="CA304" i="17"/>
  <c r="CA302" i="17"/>
  <c r="CA300" i="17"/>
  <c r="CA298" i="17"/>
  <c r="CA296" i="17"/>
  <c r="CA294" i="17"/>
  <c r="CA292" i="17"/>
  <c r="CA290" i="17"/>
  <c r="CA288" i="17"/>
  <c r="CA284" i="17"/>
  <c r="CA281" i="17"/>
  <c r="CA279" i="17"/>
  <c r="CA277" i="17"/>
  <c r="CA275" i="17"/>
  <c r="CA273" i="17"/>
  <c r="BZ306" i="17"/>
  <c r="BZ304" i="17"/>
  <c r="BZ302" i="17"/>
  <c r="BZ300" i="17"/>
  <c r="BZ298" i="17"/>
  <c r="BZ296" i="17"/>
  <c r="BZ294" i="17"/>
  <c r="BZ292" i="17"/>
  <c r="BZ290" i="17"/>
  <c r="BZ288" i="17"/>
  <c r="BZ284" i="17"/>
  <c r="BZ281" i="17"/>
  <c r="BZ279" i="17"/>
  <c r="BZ277" i="17"/>
  <c r="BZ275" i="17"/>
  <c r="BZ273" i="17"/>
  <c r="BY306" i="17"/>
  <c r="BY304" i="17"/>
  <c r="BY302" i="17"/>
  <c r="BY300" i="17"/>
  <c r="BY298" i="17"/>
  <c r="BY296" i="17"/>
  <c r="BY294" i="17"/>
  <c r="BY292" i="17"/>
  <c r="BY290" i="17"/>
  <c r="BY288" i="17"/>
  <c r="BY284" i="17"/>
  <c r="BY281" i="17"/>
  <c r="BY279" i="17"/>
  <c r="BY277" i="17"/>
  <c r="BY275" i="17"/>
  <c r="BY273" i="17"/>
  <c r="BX306" i="17"/>
  <c r="BX304" i="17"/>
  <c r="BX302" i="17"/>
  <c r="BX300" i="17"/>
  <c r="BX298" i="17"/>
  <c r="BX296" i="17"/>
  <c r="BX294" i="17"/>
  <c r="BX292" i="17"/>
  <c r="BX290" i="17"/>
  <c r="BX288" i="17"/>
  <c r="BX284" i="17"/>
  <c r="BX281" i="17"/>
  <c r="BX279" i="17"/>
  <c r="BX277" i="17"/>
  <c r="BX275" i="17"/>
  <c r="BX273" i="17"/>
  <c r="BW306" i="17"/>
  <c r="BW304" i="17"/>
  <c r="BW302" i="17"/>
  <c r="BW300" i="17"/>
  <c r="BW298" i="17"/>
  <c r="BW296" i="17"/>
  <c r="BW294" i="17"/>
  <c r="BW292" i="17"/>
  <c r="BW290" i="17"/>
  <c r="BW288" i="17"/>
  <c r="BW284" i="17"/>
  <c r="BW281" i="17"/>
  <c r="BW279" i="17"/>
  <c r="BV306" i="17"/>
  <c r="BV304" i="17"/>
  <c r="BV302" i="17"/>
  <c r="BV300" i="17"/>
  <c r="BV298" i="17"/>
  <c r="BV296" i="17"/>
  <c r="BV294" i="17"/>
  <c r="BV292" i="17"/>
  <c r="BV290" i="17"/>
  <c r="BV288" i="17"/>
  <c r="BV284" i="17"/>
  <c r="BV281" i="17"/>
  <c r="BV279" i="17"/>
  <c r="BV277" i="17"/>
  <c r="BV275" i="17"/>
  <c r="BV273" i="17"/>
  <c r="CG307" i="17"/>
  <c r="CG305" i="17"/>
  <c r="CG303" i="17"/>
  <c r="CG301" i="17"/>
  <c r="CG299" i="17"/>
  <c r="CG297" i="17"/>
  <c r="CG295" i="17"/>
  <c r="CG293" i="17"/>
  <c r="CG291" i="17"/>
  <c r="CG289" i="17"/>
  <c r="CG287" i="17"/>
  <c r="CG282" i="17"/>
  <c r="CG280" i="17"/>
  <c r="CG278" i="17"/>
  <c r="CG276" i="17"/>
  <c r="CG274" i="17"/>
  <c r="CG272" i="17"/>
  <c r="CF307" i="17"/>
  <c r="CF305" i="17"/>
  <c r="CF303" i="17"/>
  <c r="CF301" i="17"/>
  <c r="CF299" i="17"/>
  <c r="CF297" i="17"/>
  <c r="CF295" i="17"/>
  <c r="CF293" i="17"/>
  <c r="CF291" i="17"/>
  <c r="CF289" i="17"/>
  <c r="CF287" i="17"/>
  <c r="CF282" i="17"/>
  <c r="CF280" i="17"/>
  <c r="CF278" i="17"/>
  <c r="CF276" i="17"/>
  <c r="CF274" i="17"/>
  <c r="CF272" i="17"/>
  <c r="CE307" i="17"/>
  <c r="CE305" i="17"/>
  <c r="CE303" i="17"/>
  <c r="CE301" i="17"/>
  <c r="CE299" i="17"/>
  <c r="CE297" i="17"/>
  <c r="CE295" i="17"/>
  <c r="CE293" i="17"/>
  <c r="CE291" i="17"/>
  <c r="CE289" i="17"/>
  <c r="CE287" i="17"/>
  <c r="CE282" i="17"/>
  <c r="CE280" i="17"/>
  <c r="CE278" i="17"/>
  <c r="CE276" i="17"/>
  <c r="CE274" i="17"/>
  <c r="CE272" i="17"/>
  <c r="CC307" i="17"/>
  <c r="CC305" i="17"/>
  <c r="CC303" i="17"/>
  <c r="CC301" i="17"/>
  <c r="CC299" i="17"/>
  <c r="CC297" i="17"/>
  <c r="CC295" i="17"/>
  <c r="CC293" i="17"/>
  <c r="CC291" i="17"/>
  <c r="CC289" i="17"/>
  <c r="CC287" i="17"/>
  <c r="CC282" i="17"/>
  <c r="CC280" i="17"/>
  <c r="CC278" i="17"/>
  <c r="CC276" i="17"/>
  <c r="CC274" i="17"/>
  <c r="CC272" i="17"/>
  <c r="CB307" i="17"/>
  <c r="CB305" i="17"/>
  <c r="CB303" i="17"/>
  <c r="CB301" i="17"/>
  <c r="CB299" i="17"/>
  <c r="CB297" i="17"/>
  <c r="CB295" i="17"/>
  <c r="CB293" i="17"/>
  <c r="CB291" i="17"/>
  <c r="CB289" i="17"/>
  <c r="CB287" i="17"/>
  <c r="CB282" i="17"/>
  <c r="CB280" i="17"/>
  <c r="CB278" i="17"/>
  <c r="CB276" i="17"/>
  <c r="CB274" i="17"/>
  <c r="CB272" i="17"/>
  <c r="BZ307" i="17"/>
  <c r="BZ305" i="17"/>
  <c r="BZ303" i="17"/>
  <c r="BZ301" i="17"/>
  <c r="BZ299" i="17"/>
  <c r="BZ297" i="17"/>
  <c r="BZ295" i="17"/>
  <c r="BZ293" i="17"/>
  <c r="BZ291" i="17"/>
  <c r="BZ289" i="17"/>
  <c r="BZ287" i="17"/>
  <c r="BZ282" i="17"/>
  <c r="BZ280" i="17"/>
  <c r="BZ278" i="17"/>
  <c r="BZ276" i="17"/>
  <c r="BZ274" i="17"/>
  <c r="BZ272" i="17"/>
  <c r="BY307" i="17"/>
  <c r="BY305" i="17"/>
  <c r="BY303" i="17"/>
  <c r="BY301" i="17"/>
  <c r="BY299" i="17"/>
  <c r="BY297" i="17"/>
  <c r="BY295" i="17"/>
  <c r="BY293" i="17"/>
  <c r="BY291" i="17"/>
  <c r="BY289" i="17"/>
  <c r="BY287" i="17"/>
  <c r="BY282" i="17"/>
  <c r="BY280" i="17"/>
  <c r="BX307" i="17"/>
  <c r="BX305" i="17"/>
  <c r="BX303" i="17"/>
  <c r="BX301" i="17"/>
  <c r="BX299" i="17"/>
  <c r="BX297" i="17"/>
  <c r="BX295" i="17"/>
  <c r="BX293" i="17"/>
  <c r="BX291" i="17"/>
  <c r="BX289" i="17"/>
  <c r="BW307" i="17"/>
  <c r="BW305" i="17"/>
  <c r="BW303" i="17"/>
  <c r="BW301" i="17"/>
  <c r="BW299" i="17"/>
  <c r="BW297" i="17"/>
  <c r="BW295" i="17"/>
  <c r="BW293" i="17"/>
  <c r="BW291" i="17"/>
  <c r="BW289" i="17"/>
  <c r="BW287" i="17"/>
  <c r="BW282" i="17"/>
  <c r="BW280" i="17"/>
  <c r="BW278" i="17"/>
  <c r="BW276" i="17"/>
  <c r="BW274" i="17"/>
  <c r="BW272" i="17"/>
  <c r="BV307" i="17"/>
  <c r="BV305" i="17"/>
  <c r="BV303" i="17"/>
  <c r="BV301" i="17"/>
  <c r="BV299" i="17"/>
  <c r="BV297" i="17"/>
  <c r="BV295" i="17"/>
  <c r="BV293" i="17"/>
  <c r="BV291" i="17"/>
  <c r="BV289" i="17"/>
  <c r="BV287" i="17"/>
  <c r="BV282" i="17"/>
  <c r="BV280" i="17"/>
  <c r="BV278" i="17"/>
  <c r="BV276" i="17"/>
  <c r="BV274" i="17"/>
  <c r="BV272" i="17"/>
  <c r="CE306" i="17"/>
  <c r="CE304" i="17"/>
  <c r="CE302" i="17"/>
  <c r="CE300" i="17"/>
  <c r="CE298" i="17"/>
  <c r="CE296" i="17"/>
  <c r="CE294" i="17"/>
  <c r="CE292" i="17"/>
  <c r="CE290" i="17"/>
  <c r="CE288" i="17"/>
  <c r="CE284" i="17"/>
  <c r="CE281" i="17"/>
  <c r="CE279" i="17"/>
  <c r="CE277" i="17"/>
  <c r="CE275" i="17"/>
  <c r="CE273" i="17"/>
  <c r="CG304" i="17"/>
  <c r="CG292" i="17"/>
  <c r="CF279" i="17"/>
  <c r="BY272" i="17"/>
  <c r="CF304" i="17"/>
  <c r="CF292" i="17"/>
  <c r="CD278" i="17"/>
  <c r="BX272" i="17"/>
  <c r="CD303" i="17"/>
  <c r="CD291" i="17"/>
  <c r="CA278" i="17"/>
  <c r="CA303" i="17"/>
  <c r="CA291" i="17"/>
  <c r="BY278" i="17"/>
  <c r="CG302" i="17"/>
  <c r="CG290" i="17"/>
  <c r="BX278" i="17"/>
  <c r="CF302" i="17"/>
  <c r="CF290" i="17"/>
  <c r="CG277" i="17"/>
  <c r="CD301" i="17"/>
  <c r="CD289" i="17"/>
  <c r="CF277" i="17"/>
  <c r="CA301" i="17"/>
  <c r="CA289" i="17"/>
  <c r="BW277" i="17"/>
  <c r="CG300" i="17"/>
  <c r="CG288" i="17"/>
  <c r="CD276" i="17"/>
  <c r="CF300" i="17"/>
  <c r="CF288" i="17"/>
  <c r="CA276" i="17"/>
  <c r="CD299" i="17"/>
  <c r="CD287" i="17"/>
  <c r="BY276" i="17"/>
  <c r="CA299" i="17"/>
  <c r="CA287" i="17"/>
  <c r="BX276" i="17"/>
  <c r="CG298" i="17"/>
  <c r="BX287" i="17"/>
  <c r="CG275" i="17"/>
  <c r="CF298" i="17"/>
  <c r="CG284" i="17"/>
  <c r="CF275" i="17"/>
  <c r="CD297" i="17"/>
  <c r="CF284" i="17"/>
  <c r="BW275" i="17"/>
  <c r="CA297" i="17"/>
  <c r="CD282" i="17"/>
  <c r="CD274" i="17"/>
  <c r="CG296" i="17"/>
  <c r="CA282" i="17"/>
  <c r="CA274" i="17"/>
  <c r="CF296" i="17"/>
  <c r="BX282" i="17"/>
  <c r="BY274" i="17"/>
  <c r="CD307" i="17"/>
  <c r="CD295" i="17"/>
  <c r="CG281" i="17"/>
  <c r="BX274" i="17"/>
  <c r="CA307" i="17"/>
  <c r="CA295" i="17"/>
  <c r="CF281" i="17"/>
  <c r="CG273" i="17"/>
  <c r="CG306" i="17"/>
  <c r="CG294" i="17"/>
  <c r="CD280" i="17"/>
  <c r="CF273" i="17"/>
  <c r="CA305" i="17"/>
  <c r="CA293" i="17"/>
  <c r="CG279" i="17"/>
  <c r="CA272" i="17"/>
  <c r="BH307" i="17"/>
  <c r="BH305" i="17"/>
  <c r="BH303" i="17"/>
  <c r="BH301" i="17"/>
  <c r="BH299" i="17"/>
  <c r="BH297" i="17"/>
  <c r="BH295" i="17"/>
  <c r="BH293" i="17"/>
  <c r="BH291" i="17"/>
  <c r="BH289" i="17"/>
  <c r="BH287" i="17"/>
  <c r="BH282" i="17"/>
  <c r="BH280" i="17"/>
  <c r="BH278" i="17"/>
  <c r="BH276" i="17"/>
  <c r="BH274" i="17"/>
  <c r="BH272" i="17"/>
  <c r="BS306" i="17"/>
  <c r="BS304" i="17"/>
  <c r="BR306" i="17"/>
  <c r="BR304" i="17"/>
  <c r="BR302" i="17"/>
  <c r="BR300" i="17"/>
  <c r="BR298" i="17"/>
  <c r="BR296" i="17"/>
  <c r="BP306" i="17"/>
  <c r="BP304" i="17"/>
  <c r="BP302" i="17"/>
  <c r="BP300" i="17"/>
  <c r="BP298" i="17"/>
  <c r="BP296" i="17"/>
  <c r="CF306" i="17"/>
  <c r="CD305" i="17"/>
  <c r="CF294" i="17"/>
  <c r="BL306" i="17"/>
  <c r="BL304" i="17"/>
  <c r="BL302" i="17"/>
  <c r="BL300" i="17"/>
  <c r="BL298" i="17"/>
  <c r="BL296" i="17"/>
  <c r="BL294" i="17"/>
  <c r="BL292" i="17"/>
  <c r="BL290" i="17"/>
  <c r="BL288" i="17"/>
  <c r="BL284" i="17"/>
  <c r="BL281" i="17"/>
  <c r="BL279" i="17"/>
  <c r="BL277" i="17"/>
  <c r="BL275" i="17"/>
  <c r="BL273" i="17"/>
  <c r="CD293" i="17"/>
  <c r="BK306" i="17"/>
  <c r="BK304" i="17"/>
  <c r="BK302" i="17"/>
  <c r="BK300" i="17"/>
  <c r="BK298" i="17"/>
  <c r="BK296" i="17"/>
  <c r="BK294" i="17"/>
  <c r="BK292" i="17"/>
  <c r="BK290" i="17"/>
  <c r="BK288" i="17"/>
  <c r="BK284" i="17"/>
  <c r="BK281" i="17"/>
  <c r="BK279" i="17"/>
  <c r="BK277" i="17"/>
  <c r="BK275" i="17"/>
  <c r="BK273" i="17"/>
  <c r="CA280" i="17"/>
  <c r="BJ306" i="17"/>
  <c r="BJ304" i="17"/>
  <c r="BJ302" i="17"/>
  <c r="BJ300" i="17"/>
  <c r="BJ298" i="17"/>
  <c r="BJ296" i="17"/>
  <c r="BJ294" i="17"/>
  <c r="BJ292" i="17"/>
  <c r="BJ290" i="17"/>
  <c r="BJ288" i="17"/>
  <c r="BJ284" i="17"/>
  <c r="BJ281" i="17"/>
  <c r="BJ279" i="17"/>
  <c r="BJ277" i="17"/>
  <c r="BJ275" i="17"/>
  <c r="BJ273" i="17"/>
  <c r="BX280" i="17"/>
  <c r="BW273" i="17"/>
  <c r="BH306" i="17"/>
  <c r="BH304" i="17"/>
  <c r="BH302" i="17"/>
  <c r="BH300" i="17"/>
  <c r="BH298" i="17"/>
  <c r="BH296" i="17"/>
  <c r="CD272" i="17"/>
  <c r="BS307" i="17"/>
  <c r="BS305" i="17"/>
  <c r="BS303" i="17"/>
  <c r="BS301" i="17"/>
  <c r="BR307" i="17"/>
  <c r="BR305" i="17"/>
  <c r="BR303" i="17"/>
  <c r="BR301" i="17"/>
  <c r="BR299" i="17"/>
  <c r="BQ305" i="17"/>
  <c r="BQ302" i="17"/>
  <c r="BN299" i="17"/>
  <c r="BQ296" i="17"/>
  <c r="BH294" i="17"/>
  <c r="BP291" i="17"/>
  <c r="BL289" i="17"/>
  <c r="BS284" i="17"/>
  <c r="BO281" i="17"/>
  <c r="BH279" i="17"/>
  <c r="BP276" i="17"/>
  <c r="BL274" i="17"/>
  <c r="BP305" i="17"/>
  <c r="BO302" i="17"/>
  <c r="BM299" i="17"/>
  <c r="BO296" i="17"/>
  <c r="BS293" i="17"/>
  <c r="BO291" i="17"/>
  <c r="BK289" i="17"/>
  <c r="BR284" i="17"/>
  <c r="BN281" i="17"/>
  <c r="BS278" i="17"/>
  <c r="BO276" i="17"/>
  <c r="BK274" i="17"/>
  <c r="BO305" i="17"/>
  <c r="BN302" i="17"/>
  <c r="BL299" i="17"/>
  <c r="BN296" i="17"/>
  <c r="BR293" i="17"/>
  <c r="BN291" i="17"/>
  <c r="BJ289" i="17"/>
  <c r="BQ284" i="17"/>
  <c r="BM281" i="17"/>
  <c r="BR278" i="17"/>
  <c r="BN276" i="17"/>
  <c r="BJ274" i="17"/>
  <c r="BN305" i="17"/>
  <c r="BM302" i="17"/>
  <c r="BK299" i="17"/>
  <c r="BM296" i="17"/>
  <c r="BQ293" i="17"/>
  <c r="BM291" i="17"/>
  <c r="BI289" i="17"/>
  <c r="BP284" i="17"/>
  <c r="BI281" i="17"/>
  <c r="BQ278" i="17"/>
  <c r="BM276" i="17"/>
  <c r="BI274" i="17"/>
  <c r="BM305" i="17"/>
  <c r="BI302" i="17"/>
  <c r="BJ299" i="17"/>
  <c r="BI296" i="17"/>
  <c r="BP293" i="17"/>
  <c r="BL291" i="17"/>
  <c r="BS288" i="17"/>
  <c r="BO284" i="17"/>
  <c r="BH281" i="17"/>
  <c r="BP278" i="17"/>
  <c r="BL276" i="17"/>
  <c r="BS273" i="17"/>
  <c r="BL305" i="17"/>
  <c r="BQ301" i="17"/>
  <c r="BI299" i="17"/>
  <c r="BS295" i="17"/>
  <c r="BO293" i="17"/>
  <c r="BK291" i="17"/>
  <c r="BR288" i="17"/>
  <c r="BN284" i="17"/>
  <c r="BS280" i="17"/>
  <c r="BO278" i="17"/>
  <c r="BK276" i="17"/>
  <c r="BR273" i="17"/>
  <c r="BK305" i="17"/>
  <c r="BP301" i="17"/>
  <c r="BS298" i="17"/>
  <c r="BR295" i="17"/>
  <c r="BN293" i="17"/>
  <c r="BJ291" i="17"/>
  <c r="BQ288" i="17"/>
  <c r="BM284" i="17"/>
  <c r="BR280" i="17"/>
  <c r="BN278" i="17"/>
  <c r="BJ276" i="17"/>
  <c r="BQ273" i="17"/>
  <c r="BJ305" i="17"/>
  <c r="BO301" i="17"/>
  <c r="BQ298" i="17"/>
  <c r="BQ295" i="17"/>
  <c r="BM293" i="17"/>
  <c r="BI291" i="17"/>
  <c r="BP288" i="17"/>
  <c r="BI284" i="17"/>
  <c r="BQ280" i="17"/>
  <c r="BM278" i="17"/>
  <c r="BI276" i="17"/>
  <c r="BP273" i="17"/>
  <c r="BI305" i="17"/>
  <c r="BN301" i="17"/>
  <c r="BO298" i="17"/>
  <c r="BP295" i="17"/>
  <c r="BL293" i="17"/>
  <c r="BS290" i="17"/>
  <c r="BO288" i="17"/>
  <c r="BH284" i="17"/>
  <c r="BP280" i="17"/>
  <c r="BL278" i="17"/>
  <c r="BS275" i="17"/>
  <c r="BO273" i="17"/>
  <c r="BQ304" i="17"/>
  <c r="BM301" i="17"/>
  <c r="BN298" i="17"/>
  <c r="BO295" i="17"/>
  <c r="BK293" i="17"/>
  <c r="BR290" i="17"/>
  <c r="BN288" i="17"/>
  <c r="BS282" i="17"/>
  <c r="BO280" i="17"/>
  <c r="BK278" i="17"/>
  <c r="BR275" i="17"/>
  <c r="BN273" i="17"/>
  <c r="BQ307" i="17"/>
  <c r="BO304" i="17"/>
  <c r="BL301" i="17"/>
  <c r="BM298" i="17"/>
  <c r="BN295" i="17"/>
  <c r="BJ293" i="17"/>
  <c r="BQ290" i="17"/>
  <c r="BM288" i="17"/>
  <c r="BR282" i="17"/>
  <c r="BN280" i="17"/>
  <c r="BJ278" i="17"/>
  <c r="BQ275" i="17"/>
  <c r="BM273" i="17"/>
  <c r="BP307" i="17"/>
  <c r="BN304" i="17"/>
  <c r="BK301" i="17"/>
  <c r="BI298" i="17"/>
  <c r="BM295" i="17"/>
  <c r="BI293" i="17"/>
  <c r="BP290" i="17"/>
  <c r="BI288" i="17"/>
  <c r="BQ282" i="17"/>
  <c r="BM280" i="17"/>
  <c r="BI278" i="17"/>
  <c r="BP275" i="17"/>
  <c r="BI273" i="17"/>
  <c r="BO307" i="17"/>
  <c r="BM304" i="17"/>
  <c r="BJ301" i="17"/>
  <c r="BS297" i="17"/>
  <c r="BL295" i="17"/>
  <c r="BS292" i="17"/>
  <c r="BO290" i="17"/>
  <c r="BH288" i="17"/>
  <c r="BP282" i="17"/>
  <c r="BL280" i="17"/>
  <c r="BS277" i="17"/>
  <c r="BO275" i="17"/>
  <c r="BH273" i="17"/>
  <c r="BN307" i="17"/>
  <c r="BI304" i="17"/>
  <c r="BI301" i="17"/>
  <c r="BR297" i="17"/>
  <c r="BK295" i="17"/>
  <c r="BR292" i="17"/>
  <c r="BN290" i="17"/>
  <c r="BS287" i="17"/>
  <c r="BO282" i="17"/>
  <c r="BK280" i="17"/>
  <c r="BR277" i="17"/>
  <c r="BN275" i="17"/>
  <c r="BS272" i="17"/>
  <c r="BM307" i="17"/>
  <c r="BQ303" i="17"/>
  <c r="BS300" i="17"/>
  <c r="BQ297" i="17"/>
  <c r="BJ295" i="17"/>
  <c r="BQ292" i="17"/>
  <c r="BM290" i="17"/>
  <c r="BR287" i="17"/>
  <c r="BN282" i="17"/>
  <c r="BJ280" i="17"/>
  <c r="BQ277" i="17"/>
  <c r="BM275" i="17"/>
  <c r="BR272" i="17"/>
  <c r="BL307" i="17"/>
  <c r="BP303" i="17"/>
  <c r="BQ300" i="17"/>
  <c r="BP297" i="17"/>
  <c r="BI295" i="17"/>
  <c r="BP292" i="17"/>
  <c r="BI290" i="17"/>
  <c r="BQ287" i="17"/>
  <c r="BM282" i="17"/>
  <c r="BI280" i="17"/>
  <c r="BP277" i="17"/>
  <c r="BI275" i="17"/>
  <c r="BQ272" i="17"/>
  <c r="BK307" i="17"/>
  <c r="BO303" i="17"/>
  <c r="BO300" i="17"/>
  <c r="BO297" i="17"/>
  <c r="BS294" i="17"/>
  <c r="BO292" i="17"/>
  <c r="BH290" i="17"/>
  <c r="BP287" i="17"/>
  <c r="BL282" i="17"/>
  <c r="BS279" i="17"/>
  <c r="BO277" i="17"/>
  <c r="BH275" i="17"/>
  <c r="BP272" i="17"/>
  <c r="BJ307" i="17"/>
  <c r="BN303" i="17"/>
  <c r="BN300" i="17"/>
  <c r="BN297" i="17"/>
  <c r="BR294" i="17"/>
  <c r="BN292" i="17"/>
  <c r="BS289" i="17"/>
  <c r="BO287" i="17"/>
  <c r="BK282" i="17"/>
  <c r="BR279" i="17"/>
  <c r="BN277" i="17"/>
  <c r="BS274" i="17"/>
  <c r="BO272" i="17"/>
  <c r="BI307" i="17"/>
  <c r="BM303" i="17"/>
  <c r="BM300" i="17"/>
  <c r="BM297" i="17"/>
  <c r="BQ294" i="17"/>
  <c r="BM292" i="17"/>
  <c r="BR289" i="17"/>
  <c r="BN287" i="17"/>
  <c r="BJ282" i="17"/>
  <c r="BQ279" i="17"/>
  <c r="BM277" i="17"/>
  <c r="BR274" i="17"/>
  <c r="BN272" i="17"/>
  <c r="BQ306" i="17"/>
  <c r="BL303" i="17"/>
  <c r="BI300" i="17"/>
  <c r="BL297" i="17"/>
  <c r="BP294" i="17"/>
  <c r="BI292" i="17"/>
  <c r="BQ289" i="17"/>
  <c r="BM287" i="17"/>
  <c r="BI282" i="17"/>
  <c r="BP279" i="17"/>
  <c r="BI277" i="17"/>
  <c r="BQ274" i="17"/>
  <c r="BM272" i="17"/>
  <c r="BO306" i="17"/>
  <c r="BK303" i="17"/>
  <c r="BS299" i="17"/>
  <c r="BK297" i="17"/>
  <c r="BO294" i="17"/>
  <c r="BH292" i="17"/>
  <c r="BP289" i="17"/>
  <c r="BL287" i="17"/>
  <c r="BS281" i="17"/>
  <c r="BO279" i="17"/>
  <c r="BH277" i="17"/>
  <c r="BP274" i="17"/>
  <c r="BL272" i="17"/>
  <c r="BN306" i="17"/>
  <c r="BJ303" i="17"/>
  <c r="BQ299" i="17"/>
  <c r="BJ297" i="17"/>
  <c r="BN294" i="17"/>
  <c r="BS291" i="17"/>
  <c r="BO289" i="17"/>
  <c r="BK287" i="17"/>
  <c r="BR281" i="17"/>
  <c r="BN279" i="17"/>
  <c r="BS276" i="17"/>
  <c r="BO274" i="17"/>
  <c r="BK272" i="17"/>
  <c r="BI306" i="17"/>
  <c r="BS302" i="17"/>
  <c r="BO299" i="17"/>
  <c r="BS296" i="17"/>
  <c r="BI294" i="17"/>
  <c r="BQ291" i="17"/>
  <c r="BM289" i="17"/>
  <c r="BI287" i="17"/>
  <c r="BP281" i="17"/>
  <c r="BI279" i="17"/>
  <c r="BQ276" i="17"/>
  <c r="BM274" i="17"/>
  <c r="BI272" i="17"/>
  <c r="BR276" i="17"/>
  <c r="BN274" i="17"/>
  <c r="AY307" i="17"/>
  <c r="AY305" i="17"/>
  <c r="AY303" i="17"/>
  <c r="AY301" i="17"/>
  <c r="AY299" i="17"/>
  <c r="AY297" i="17"/>
  <c r="AY295" i="17"/>
  <c r="AY293" i="17"/>
  <c r="AY291" i="17"/>
  <c r="AY289" i="17"/>
  <c r="AY287" i="17"/>
  <c r="AY282" i="17"/>
  <c r="AY280" i="17"/>
  <c r="AY278" i="17"/>
  <c r="AY276" i="17"/>
  <c r="AY274" i="17"/>
  <c r="AY272" i="17"/>
  <c r="BJ272" i="17"/>
  <c r="AV307" i="17"/>
  <c r="AV305" i="17"/>
  <c r="AV303" i="17"/>
  <c r="AT307" i="17"/>
  <c r="AT305" i="17"/>
  <c r="AT303" i="17"/>
  <c r="AZ306" i="17"/>
  <c r="AZ304" i="17"/>
  <c r="AZ302" i="17"/>
  <c r="AZ300" i="17"/>
  <c r="AZ298" i="17"/>
  <c r="AZ296" i="17"/>
  <c r="AZ294" i="17"/>
  <c r="AZ292" i="17"/>
  <c r="AZ290" i="17"/>
  <c r="AZ288" i="17"/>
  <c r="AZ284" i="17"/>
  <c r="AZ281" i="17"/>
  <c r="AZ279" i="17"/>
  <c r="AZ277" i="17"/>
  <c r="AZ275" i="17"/>
  <c r="AZ273" i="17"/>
  <c r="BM306" i="17"/>
  <c r="BI303" i="17"/>
  <c r="BP299" i="17"/>
  <c r="BI297" i="17"/>
  <c r="BM294" i="17"/>
  <c r="BR291" i="17"/>
  <c r="BN289" i="17"/>
  <c r="BJ287" i="17"/>
  <c r="BM279" i="17"/>
  <c r="BD306" i="17"/>
  <c r="AY304" i="17"/>
  <c r="AU302" i="17"/>
  <c r="BE299" i="17"/>
  <c r="BC297" i="17"/>
  <c r="BA295" i="17"/>
  <c r="AX293" i="17"/>
  <c r="AV291" i="17"/>
  <c r="AT289" i="17"/>
  <c r="BD284" i="17"/>
  <c r="BB281" i="17"/>
  <c r="AY279" i="17"/>
  <c r="AW277" i="17"/>
  <c r="AU275" i="17"/>
  <c r="BE272" i="17"/>
  <c r="BQ281" i="17"/>
  <c r="BC306" i="17"/>
  <c r="AX304" i="17"/>
  <c r="AT302" i="17"/>
  <c r="BD299" i="17"/>
  <c r="BB297" i="17"/>
  <c r="AZ295" i="17"/>
  <c r="AW293" i="17"/>
  <c r="AU291" i="17"/>
  <c r="BE288" i="17"/>
  <c r="BC284" i="17"/>
  <c r="BA281" i="17"/>
  <c r="AX279" i="17"/>
  <c r="AV277" i="17"/>
  <c r="AT275" i="17"/>
  <c r="BD272" i="17"/>
  <c r="BB306" i="17"/>
  <c r="AW304" i="17"/>
  <c r="BE301" i="17"/>
  <c r="BC299" i="17"/>
  <c r="BA297" i="17"/>
  <c r="AX295" i="17"/>
  <c r="AV293" i="17"/>
  <c r="AT291" i="17"/>
  <c r="BD288" i="17"/>
  <c r="BB284" i="17"/>
  <c r="AY281" i="17"/>
  <c r="AW279" i="17"/>
  <c r="AU277" i="17"/>
  <c r="BE274" i="17"/>
  <c r="BC272" i="17"/>
  <c r="BA306" i="17"/>
  <c r="AV304" i="17"/>
  <c r="BD301" i="17"/>
  <c r="BB299" i="17"/>
  <c r="AZ297" i="17"/>
  <c r="AW295" i="17"/>
  <c r="AU293" i="17"/>
  <c r="BE290" i="17"/>
  <c r="BC288" i="17"/>
  <c r="BA284" i="17"/>
  <c r="AX281" i="17"/>
  <c r="AV279" i="17"/>
  <c r="AT277" i="17"/>
  <c r="BD274" i="17"/>
  <c r="BB272" i="17"/>
  <c r="AY306" i="17"/>
  <c r="AU304" i="17"/>
  <c r="BC301" i="17"/>
  <c r="BA299" i="17"/>
  <c r="AX297" i="17"/>
  <c r="AV295" i="17"/>
  <c r="AT293" i="17"/>
  <c r="BD290" i="17"/>
  <c r="BB288" i="17"/>
  <c r="AY284" i="17"/>
  <c r="AW281" i="17"/>
  <c r="AU279" i="17"/>
  <c r="BE276" i="17"/>
  <c r="BC274" i="17"/>
  <c r="BA272" i="17"/>
  <c r="AX306" i="17"/>
  <c r="AT304" i="17"/>
  <c r="BB301" i="17"/>
  <c r="AZ299" i="17"/>
  <c r="AW297" i="17"/>
  <c r="AU295" i="17"/>
  <c r="BE292" i="17"/>
  <c r="BC290" i="17"/>
  <c r="BA288" i="17"/>
  <c r="AX284" i="17"/>
  <c r="AV281" i="17"/>
  <c r="AT279" i="17"/>
  <c r="BD276" i="17"/>
  <c r="BB274" i="17"/>
  <c r="AZ272" i="17"/>
  <c r="AW306" i="17"/>
  <c r="BE303" i="17"/>
  <c r="BA301" i="17"/>
  <c r="AX299" i="17"/>
  <c r="AV297" i="17"/>
  <c r="AT295" i="17"/>
  <c r="BD292" i="17"/>
  <c r="BB290" i="17"/>
  <c r="AY288" i="17"/>
  <c r="AW284" i="17"/>
  <c r="AU281" i="17"/>
  <c r="BE278" i="17"/>
  <c r="BC276" i="17"/>
  <c r="BA274" i="17"/>
  <c r="AX272" i="17"/>
  <c r="AV306" i="17"/>
  <c r="BD303" i="17"/>
  <c r="AZ301" i="17"/>
  <c r="AW299" i="17"/>
  <c r="AU297" i="17"/>
  <c r="BE294" i="17"/>
  <c r="BC292" i="17"/>
  <c r="BA290" i="17"/>
  <c r="AX288" i="17"/>
  <c r="AV284" i="17"/>
  <c r="AT281" i="17"/>
  <c r="BD278" i="17"/>
  <c r="BB276" i="17"/>
  <c r="AZ274" i="17"/>
  <c r="AW272" i="17"/>
  <c r="AU306" i="17"/>
  <c r="BC303" i="17"/>
  <c r="AX301" i="17"/>
  <c r="AV299" i="17"/>
  <c r="AT297" i="17"/>
  <c r="BD294" i="17"/>
  <c r="BB292" i="17"/>
  <c r="AY290" i="17"/>
  <c r="AW288" i="17"/>
  <c r="AU284" i="17"/>
  <c r="BE280" i="17"/>
  <c r="BC278" i="17"/>
  <c r="BA276" i="17"/>
  <c r="AX274" i="17"/>
  <c r="AV272" i="17"/>
  <c r="AT306" i="17"/>
  <c r="BB303" i="17"/>
  <c r="AW301" i="17"/>
  <c r="AU299" i="17"/>
  <c r="BE296" i="17"/>
  <c r="BC294" i="17"/>
  <c r="BA292" i="17"/>
  <c r="AX290" i="17"/>
  <c r="AV288" i="17"/>
  <c r="AT284" i="17"/>
  <c r="BD280" i="17"/>
  <c r="BB278" i="17"/>
  <c r="AZ276" i="17"/>
  <c r="AW274" i="17"/>
  <c r="AU272" i="17"/>
  <c r="BE305" i="17"/>
  <c r="BA303" i="17"/>
  <c r="AV301" i="17"/>
  <c r="AT299" i="17"/>
  <c r="BD296" i="17"/>
  <c r="BB294" i="17"/>
  <c r="AY292" i="17"/>
  <c r="AW290" i="17"/>
  <c r="AU288" i="17"/>
  <c r="BE282" i="17"/>
  <c r="BC280" i="17"/>
  <c r="BA278" i="17"/>
  <c r="AX276" i="17"/>
  <c r="AV274" i="17"/>
  <c r="AT272" i="17"/>
  <c r="BD305" i="17"/>
  <c r="AZ303" i="17"/>
  <c r="AU301" i="17"/>
  <c r="BE298" i="17"/>
  <c r="BC296" i="17"/>
  <c r="BA294" i="17"/>
  <c r="AX292" i="17"/>
  <c r="AV290" i="17"/>
  <c r="AT288" i="17"/>
  <c r="BD282" i="17"/>
  <c r="BB280" i="17"/>
  <c r="AZ278" i="17"/>
  <c r="AW276" i="17"/>
  <c r="AU274" i="17"/>
  <c r="BC305" i="17"/>
  <c r="AX303" i="17"/>
  <c r="AT301" i="17"/>
  <c r="BD298" i="17"/>
  <c r="BB296" i="17"/>
  <c r="AY294" i="17"/>
  <c r="AW292" i="17"/>
  <c r="AU290" i="17"/>
  <c r="BE287" i="17"/>
  <c r="BC282" i="17"/>
  <c r="BA280" i="17"/>
  <c r="AX278" i="17"/>
  <c r="AV276" i="17"/>
  <c r="AT274" i="17"/>
  <c r="BB305" i="17"/>
  <c r="AW303" i="17"/>
  <c r="BE300" i="17"/>
  <c r="BC298" i="17"/>
  <c r="BA296" i="17"/>
  <c r="AX294" i="17"/>
  <c r="AV292" i="17"/>
  <c r="AT290" i="17"/>
  <c r="BD287" i="17"/>
  <c r="BB282" i="17"/>
  <c r="AZ280" i="17"/>
  <c r="AW278" i="17"/>
  <c r="AU276" i="17"/>
  <c r="BE273" i="17"/>
  <c r="BE307" i="17"/>
  <c r="BA305" i="17"/>
  <c r="AU303" i="17"/>
  <c r="BD300" i="17"/>
  <c r="BB298" i="17"/>
  <c r="AY296" i="17"/>
  <c r="AW294" i="17"/>
  <c r="AU292" i="17"/>
  <c r="BE289" i="17"/>
  <c r="BC287" i="17"/>
  <c r="BA282" i="17"/>
  <c r="AX280" i="17"/>
  <c r="AV278" i="17"/>
  <c r="AT276" i="17"/>
  <c r="BD273" i="17"/>
  <c r="BD307" i="17"/>
  <c r="AZ305" i="17"/>
  <c r="BE302" i="17"/>
  <c r="BC300" i="17"/>
  <c r="BA298" i="17"/>
  <c r="AX296" i="17"/>
  <c r="AV294" i="17"/>
  <c r="AT292" i="17"/>
  <c r="BD289" i="17"/>
  <c r="BB287" i="17"/>
  <c r="AZ282" i="17"/>
  <c r="AW280" i="17"/>
  <c r="AU278" i="17"/>
  <c r="BE275" i="17"/>
  <c r="BC273" i="17"/>
  <c r="BC307" i="17"/>
  <c r="AX305" i="17"/>
  <c r="BD302" i="17"/>
  <c r="BB300" i="17"/>
  <c r="AY298" i="17"/>
  <c r="AW296" i="17"/>
  <c r="AU294" i="17"/>
  <c r="BE291" i="17"/>
  <c r="BC289" i="17"/>
  <c r="BA287" i="17"/>
  <c r="AX282" i="17"/>
  <c r="AV280" i="17"/>
  <c r="AT278" i="17"/>
  <c r="BD275" i="17"/>
  <c r="BB273" i="17"/>
  <c r="BB307" i="17"/>
  <c r="AW305" i="17"/>
  <c r="BC302" i="17"/>
  <c r="BA300" i="17"/>
  <c r="AX298" i="17"/>
  <c r="AV296" i="17"/>
  <c r="AT294" i="17"/>
  <c r="BD291" i="17"/>
  <c r="BB289" i="17"/>
  <c r="AZ287" i="17"/>
  <c r="AW282" i="17"/>
  <c r="AU280" i="17"/>
  <c r="BE277" i="17"/>
  <c r="BC275" i="17"/>
  <c r="BA273" i="17"/>
  <c r="BA307" i="17"/>
  <c r="AU305" i="17"/>
  <c r="BB302" i="17"/>
  <c r="AY300" i="17"/>
  <c r="AW298" i="17"/>
  <c r="AU296" i="17"/>
  <c r="BE293" i="17"/>
  <c r="BC291" i="17"/>
  <c r="BA289" i="17"/>
  <c r="AX287" i="17"/>
  <c r="AV282" i="17"/>
  <c r="AT280" i="17"/>
  <c r="BD277" i="17"/>
  <c r="BB275" i="17"/>
  <c r="AY273" i="17"/>
  <c r="AZ307" i="17"/>
  <c r="BE304" i="17"/>
  <c r="BA302" i="17"/>
  <c r="AX300" i="17"/>
  <c r="AV298" i="17"/>
  <c r="AT296" i="17"/>
  <c r="BD293" i="17"/>
  <c r="BB291" i="17"/>
  <c r="AZ289" i="17"/>
  <c r="AW287" i="17"/>
  <c r="AU282" i="17"/>
  <c r="BE279" i="17"/>
  <c r="BC277" i="17"/>
  <c r="BA275" i="17"/>
  <c r="AX273" i="17"/>
  <c r="AX307" i="17"/>
  <c r="BD304" i="17"/>
  <c r="AY302" i="17"/>
  <c r="AW300" i="17"/>
  <c r="AU298" i="17"/>
  <c r="BE295" i="17"/>
  <c r="BC293" i="17"/>
  <c r="BA291" i="17"/>
  <c r="AX289" i="17"/>
  <c r="AV287" i="17"/>
  <c r="AT282" i="17"/>
  <c r="BD279" i="17"/>
  <c r="BB277" i="17"/>
  <c r="AY275" i="17"/>
  <c r="AW273" i="17"/>
  <c r="BE306" i="17"/>
  <c r="BA304" i="17"/>
  <c r="AV302" i="17"/>
  <c r="AT300" i="17"/>
  <c r="BD297" i="17"/>
  <c r="BB295" i="17"/>
  <c r="AZ293" i="17"/>
  <c r="AW291" i="17"/>
  <c r="AU289" i="17"/>
  <c r="BE284" i="17"/>
  <c r="BC281" i="17"/>
  <c r="BA279" i="17"/>
  <c r="AX277" i="17"/>
  <c r="AV275" i="17"/>
  <c r="AT273" i="17"/>
  <c r="BC295" i="17"/>
  <c r="U307" i="17"/>
  <c r="U305" i="17"/>
  <c r="U303" i="17"/>
  <c r="U301" i="17"/>
  <c r="U299" i="17"/>
  <c r="U297" i="17"/>
  <c r="U295" i="17"/>
  <c r="U293" i="17"/>
  <c r="U291" i="17"/>
  <c r="U289" i="17"/>
  <c r="U287" i="17"/>
  <c r="U282" i="17"/>
  <c r="U280" i="17"/>
  <c r="U278" i="17"/>
  <c r="U276" i="17"/>
  <c r="U274" i="17"/>
  <c r="U272" i="17"/>
  <c r="BB293" i="17"/>
  <c r="T307" i="17"/>
  <c r="T305" i="17"/>
  <c r="T303" i="17"/>
  <c r="T301" i="17"/>
  <c r="T299" i="17"/>
  <c r="T297" i="17"/>
  <c r="T295" i="17"/>
  <c r="T293" i="17"/>
  <c r="T291" i="17"/>
  <c r="T289" i="17"/>
  <c r="T287" i="17"/>
  <c r="T282" i="17"/>
  <c r="T280" i="17"/>
  <c r="T278" i="17"/>
  <c r="T276" i="17"/>
  <c r="T274" i="17"/>
  <c r="T272" i="17"/>
  <c r="BA293" i="17"/>
  <c r="AZ291" i="17"/>
  <c r="AX291" i="17"/>
  <c r="AW289" i="17"/>
  <c r="AV289" i="17"/>
  <c r="AU287" i="17"/>
  <c r="AT287" i="17"/>
  <c r="BE281" i="17"/>
  <c r="X306" i="17"/>
  <c r="X304" i="17"/>
  <c r="X302" i="17"/>
  <c r="X300" i="17"/>
  <c r="X298" i="17"/>
  <c r="X296" i="17"/>
  <c r="X294" i="17"/>
  <c r="X292" i="17"/>
  <c r="X290" i="17"/>
  <c r="X288" i="17"/>
  <c r="X284" i="17"/>
  <c r="X281" i="17"/>
  <c r="X279" i="17"/>
  <c r="X277" i="17"/>
  <c r="X275" i="17"/>
  <c r="X273" i="17"/>
  <c r="BD281" i="17"/>
  <c r="W306" i="17"/>
  <c r="W304" i="17"/>
  <c r="W302" i="17"/>
  <c r="W300" i="17"/>
  <c r="W298" i="17"/>
  <c r="W296" i="17"/>
  <c r="W294" i="17"/>
  <c r="W292" i="17"/>
  <c r="W290" i="17"/>
  <c r="W288" i="17"/>
  <c r="W284" i="17"/>
  <c r="W281" i="17"/>
  <c r="W279" i="17"/>
  <c r="W277" i="17"/>
  <c r="W275" i="17"/>
  <c r="W273" i="17"/>
  <c r="BC279" i="17"/>
  <c r="BB279" i="17"/>
  <c r="AW307" i="17"/>
  <c r="BA277" i="17"/>
  <c r="AU307" i="17"/>
  <c r="AY277" i="17"/>
  <c r="BC304" i="17"/>
  <c r="AX275" i="17"/>
  <c r="BB304" i="17"/>
  <c r="AW275" i="17"/>
  <c r="AX302" i="17"/>
  <c r="AV273" i="17"/>
  <c r="AW302" i="17"/>
  <c r="AU273" i="17"/>
  <c r="AV300" i="17"/>
  <c r="AU300" i="17"/>
  <c r="BD295" i="17"/>
  <c r="R307" i="17"/>
  <c r="Z304" i="17"/>
  <c r="T302" i="17"/>
  <c r="AB299" i="17"/>
  <c r="X297" i="17"/>
  <c r="R295" i="17"/>
  <c r="Z292" i="17"/>
  <c r="T290" i="17"/>
  <c r="AB287" i="17"/>
  <c r="X282" i="17"/>
  <c r="R280" i="17"/>
  <c r="Z277" i="17"/>
  <c r="T275" i="17"/>
  <c r="AB272" i="17"/>
  <c r="AC306" i="17"/>
  <c r="Y304" i="17"/>
  <c r="S302" i="17"/>
  <c r="AA299" i="17"/>
  <c r="W297" i="17"/>
  <c r="AC294" i="17"/>
  <c r="Y292" i="17"/>
  <c r="S290" i="17"/>
  <c r="AA287" i="17"/>
  <c r="W282" i="17"/>
  <c r="AC279" i="17"/>
  <c r="Y277" i="17"/>
  <c r="S275" i="17"/>
  <c r="AA272" i="17"/>
  <c r="AB306" i="17"/>
  <c r="V304" i="17"/>
  <c r="R302" i="17"/>
  <c r="Z299" i="17"/>
  <c r="V297" i="17"/>
  <c r="AB294" i="17"/>
  <c r="V292" i="17"/>
  <c r="R290" i="17"/>
  <c r="Z287" i="17"/>
  <c r="V282" i="17"/>
  <c r="AB279" i="17"/>
  <c r="V277" i="17"/>
  <c r="R275" i="17"/>
  <c r="Z272" i="17"/>
  <c r="AT298" i="17"/>
  <c r="AA306" i="17"/>
  <c r="U304" i="17"/>
  <c r="AC301" i="17"/>
  <c r="Y299" i="17"/>
  <c r="S297" i="17"/>
  <c r="AA294" i="17"/>
  <c r="U292" i="17"/>
  <c r="AC289" i="17"/>
  <c r="Y287" i="17"/>
  <c r="S282" i="17"/>
  <c r="AA279" i="17"/>
  <c r="U277" i="17"/>
  <c r="AC274" i="17"/>
  <c r="Y272" i="17"/>
  <c r="BE297" i="17"/>
  <c r="Z306" i="17"/>
  <c r="T304" i="17"/>
  <c r="AB301" i="17"/>
  <c r="X299" i="17"/>
  <c r="R297" i="17"/>
  <c r="Z294" i="17"/>
  <c r="T292" i="17"/>
  <c r="AB289" i="17"/>
  <c r="X287" i="17"/>
  <c r="R282" i="17"/>
  <c r="Z279" i="17"/>
  <c r="T277" i="17"/>
  <c r="AB274" i="17"/>
  <c r="X272" i="17"/>
  <c r="Y306" i="17"/>
  <c r="S304" i="17"/>
  <c r="AA301" i="17"/>
  <c r="W299" i="17"/>
  <c r="AC296" i="17"/>
  <c r="Y294" i="17"/>
  <c r="S292" i="17"/>
  <c r="AA289" i="17"/>
  <c r="W287" i="17"/>
  <c r="AC281" i="17"/>
  <c r="Y279" i="17"/>
  <c r="S277" i="17"/>
  <c r="AA274" i="17"/>
  <c r="W272" i="17"/>
  <c r="V306" i="17"/>
  <c r="R304" i="17"/>
  <c r="Z301" i="17"/>
  <c r="V299" i="17"/>
  <c r="AB296" i="17"/>
  <c r="V294" i="17"/>
  <c r="R292" i="17"/>
  <c r="Z289" i="17"/>
  <c r="V287" i="17"/>
  <c r="AB281" i="17"/>
  <c r="V279" i="17"/>
  <c r="R277" i="17"/>
  <c r="Z274" i="17"/>
  <c r="V272" i="17"/>
  <c r="U306" i="17"/>
  <c r="AC303" i="17"/>
  <c r="Y301" i="17"/>
  <c r="S299" i="17"/>
  <c r="AA296" i="17"/>
  <c r="U294" i="17"/>
  <c r="AC291" i="17"/>
  <c r="Y289" i="17"/>
  <c r="S287" i="17"/>
  <c r="AA281" i="17"/>
  <c r="U279" i="17"/>
  <c r="AC276" i="17"/>
  <c r="Y274" i="17"/>
  <c r="S272" i="17"/>
  <c r="T306" i="17"/>
  <c r="AB303" i="17"/>
  <c r="X301" i="17"/>
  <c r="R299" i="17"/>
  <c r="Z296" i="17"/>
  <c r="T294" i="17"/>
  <c r="AB291" i="17"/>
  <c r="X289" i="17"/>
  <c r="R287" i="17"/>
  <c r="Z281" i="17"/>
  <c r="T279" i="17"/>
  <c r="AB276" i="17"/>
  <c r="X274" i="17"/>
  <c r="R272" i="17"/>
  <c r="S306" i="17"/>
  <c r="AA303" i="17"/>
  <c r="W301" i="17"/>
  <c r="AC298" i="17"/>
  <c r="Y296" i="17"/>
  <c r="S294" i="17"/>
  <c r="AA291" i="17"/>
  <c r="W289" i="17"/>
  <c r="AC284" i="17"/>
  <c r="Y281" i="17"/>
  <c r="S279" i="17"/>
  <c r="AA276" i="17"/>
  <c r="W274" i="17"/>
  <c r="R306" i="17"/>
  <c r="Z303" i="17"/>
  <c r="V301" i="17"/>
  <c r="AB298" i="17"/>
  <c r="V296" i="17"/>
  <c r="R294" i="17"/>
  <c r="Z291" i="17"/>
  <c r="V289" i="17"/>
  <c r="AB284" i="17"/>
  <c r="V281" i="17"/>
  <c r="R279" i="17"/>
  <c r="Z276" i="17"/>
  <c r="V274" i="17"/>
  <c r="AC305" i="17"/>
  <c r="Y303" i="17"/>
  <c r="S301" i="17"/>
  <c r="AA298" i="17"/>
  <c r="U296" i="17"/>
  <c r="AC293" i="17"/>
  <c r="Y291" i="17"/>
  <c r="S289" i="17"/>
  <c r="AA284" i="17"/>
  <c r="U281" i="17"/>
  <c r="AC278" i="17"/>
  <c r="Y276" i="17"/>
  <c r="S274" i="17"/>
  <c r="AB305" i="17"/>
  <c r="X303" i="17"/>
  <c r="R301" i="17"/>
  <c r="Z298" i="17"/>
  <c r="T296" i="17"/>
  <c r="AB293" i="17"/>
  <c r="X291" i="17"/>
  <c r="R289" i="17"/>
  <c r="Z284" i="17"/>
  <c r="T281" i="17"/>
  <c r="AB278" i="17"/>
  <c r="X276" i="17"/>
  <c r="R274" i="17"/>
  <c r="AA305" i="17"/>
  <c r="W303" i="17"/>
  <c r="AC300" i="17"/>
  <c r="Y298" i="17"/>
  <c r="S296" i="17"/>
  <c r="AA293" i="17"/>
  <c r="W291" i="17"/>
  <c r="AC288" i="17"/>
  <c r="Y284" i="17"/>
  <c r="S281" i="17"/>
  <c r="AA278" i="17"/>
  <c r="W276" i="17"/>
  <c r="AC273" i="17"/>
  <c r="Z305" i="17"/>
  <c r="V303" i="17"/>
  <c r="AB300" i="17"/>
  <c r="V298" i="17"/>
  <c r="R296" i="17"/>
  <c r="Z293" i="17"/>
  <c r="V291" i="17"/>
  <c r="AB288" i="17"/>
  <c r="V284" i="17"/>
  <c r="R281" i="17"/>
  <c r="Z278" i="17"/>
  <c r="V276" i="17"/>
  <c r="AB273" i="17"/>
  <c r="AC307" i="17"/>
  <c r="Y305" i="17"/>
  <c r="S303" i="17"/>
  <c r="AA300" i="17"/>
  <c r="U298" i="17"/>
  <c r="AC295" i="17"/>
  <c r="Y293" i="17"/>
  <c r="S291" i="17"/>
  <c r="AA288" i="17"/>
  <c r="U284" i="17"/>
  <c r="AC280" i="17"/>
  <c r="Y278" i="17"/>
  <c r="S276" i="17"/>
  <c r="AA273" i="17"/>
  <c r="AB307" i="17"/>
  <c r="X305" i="17"/>
  <c r="R303" i="17"/>
  <c r="Z300" i="17"/>
  <c r="T298" i="17"/>
  <c r="AB295" i="17"/>
  <c r="X293" i="17"/>
  <c r="R291" i="17"/>
  <c r="Z288" i="17"/>
  <c r="T284" i="17"/>
  <c r="AB280" i="17"/>
  <c r="X278" i="17"/>
  <c r="R276" i="17"/>
  <c r="Z273" i="17"/>
  <c r="AA307" i="17"/>
  <c r="W305" i="17"/>
  <c r="AC302" i="17"/>
  <c r="Y300" i="17"/>
  <c r="S298" i="17"/>
  <c r="AA295" i="17"/>
  <c r="W293" i="17"/>
  <c r="AC290" i="17"/>
  <c r="Y288" i="17"/>
  <c r="S284" i="17"/>
  <c r="AA280" i="17"/>
  <c r="W278" i="17"/>
  <c r="AC275" i="17"/>
  <c r="Y273" i="17"/>
  <c r="Z307" i="17"/>
  <c r="V305" i="17"/>
  <c r="AB302" i="17"/>
  <c r="V300" i="17"/>
  <c r="R298" i="17"/>
  <c r="Z295" i="17"/>
  <c r="V293" i="17"/>
  <c r="AB290" i="17"/>
  <c r="V288" i="17"/>
  <c r="R284" i="17"/>
  <c r="Z280" i="17"/>
  <c r="V278" i="17"/>
  <c r="AB275" i="17"/>
  <c r="V273" i="17"/>
  <c r="Y307" i="17"/>
  <c r="S305" i="17"/>
  <c r="AA302" i="17"/>
  <c r="U300" i="17"/>
  <c r="AC297" i="17"/>
  <c r="Y295" i="17"/>
  <c r="S293" i="17"/>
  <c r="AA290" i="17"/>
  <c r="U288" i="17"/>
  <c r="AC282" i="17"/>
  <c r="Y280" i="17"/>
  <c r="S278" i="17"/>
  <c r="AA275" i="17"/>
  <c r="U273" i="17"/>
  <c r="X307" i="17"/>
  <c r="R305" i="17"/>
  <c r="Z302" i="17"/>
  <c r="T300" i="17"/>
  <c r="AB297" i="17"/>
  <c r="X295" i="17"/>
  <c r="R293" i="17"/>
  <c r="Z290" i="17"/>
  <c r="T288" i="17"/>
  <c r="AB282" i="17"/>
  <c r="X280" i="17"/>
  <c r="R278" i="17"/>
  <c r="Z275" i="17"/>
  <c r="T273" i="17"/>
  <c r="S307" i="17"/>
  <c r="AA304" i="17"/>
  <c r="U302" i="17"/>
  <c r="AC299" i="17"/>
  <c r="Y297" i="17"/>
  <c r="S295" i="17"/>
  <c r="AA292" i="17"/>
  <c r="U290" i="17"/>
  <c r="AC287" i="17"/>
  <c r="Y282" i="17"/>
  <c r="S280" i="17"/>
  <c r="AA277" i="17"/>
  <c r="U275" i="17"/>
  <c r="AC272" i="17"/>
  <c r="R12" i="17"/>
  <c r="R41" i="17"/>
  <c r="S36" i="17"/>
  <c r="T29" i="17"/>
  <c r="U25" i="17"/>
  <c r="V16" i="17"/>
  <c r="W10" i="17"/>
  <c r="W40" i="17"/>
  <c r="X35" i="17"/>
  <c r="Y29" i="17"/>
  <c r="Z23" i="17"/>
  <c r="AA16" i="17"/>
  <c r="AB10" i="17"/>
  <c r="AB40" i="17"/>
  <c r="AC34" i="17"/>
  <c r="Y83" i="17"/>
  <c r="AB85" i="17"/>
  <c r="S88" i="17"/>
  <c r="Y90" i="17"/>
  <c r="AC92" i="17"/>
  <c r="U98" i="17"/>
  <c r="AA100" i="17"/>
  <c r="S103" i="17"/>
  <c r="Y105" i="17"/>
  <c r="AC107" i="17"/>
  <c r="V110" i="17"/>
  <c r="AC112" i="17"/>
  <c r="X115" i="17"/>
  <c r="AC117" i="17"/>
  <c r="Z122" i="17"/>
  <c r="X125" i="17"/>
  <c r="S128" i="17"/>
  <c r="R132" i="17"/>
  <c r="S137" i="17"/>
  <c r="Z140" i="17"/>
  <c r="Y144" i="17"/>
  <c r="AA148" i="17"/>
  <c r="X154" i="17"/>
  <c r="X166" i="17"/>
  <c r="Y189" i="17"/>
  <c r="Y218" i="17"/>
  <c r="Y244" i="17"/>
  <c r="Y275" i="17"/>
  <c r="W307" i="17"/>
  <c r="AC344" i="17"/>
  <c r="AZ98" i="17"/>
  <c r="CU361" i="17"/>
  <c r="BS361" i="17"/>
  <c r="AQ361" i="17"/>
  <c r="CU359" i="17"/>
  <c r="BS359" i="17"/>
  <c r="AQ359" i="17"/>
  <c r="CT361" i="17"/>
  <c r="BR361" i="17"/>
  <c r="AP361" i="17"/>
  <c r="CT359" i="17"/>
  <c r="BR359" i="17"/>
  <c r="AP359" i="17"/>
  <c r="CS361" i="17"/>
  <c r="BQ361" i="17"/>
  <c r="AO361" i="17"/>
  <c r="CS359" i="17"/>
  <c r="BQ359" i="17"/>
  <c r="AO359" i="17"/>
  <c r="CR361" i="17"/>
  <c r="BP361" i="17"/>
  <c r="AN361" i="17"/>
  <c r="CR359" i="17"/>
  <c r="BP359" i="17"/>
  <c r="AN359" i="17"/>
  <c r="CQ361" i="17"/>
  <c r="BO361" i="17"/>
  <c r="AM361" i="17"/>
  <c r="CQ359" i="17"/>
  <c r="BO359" i="17"/>
  <c r="AM359" i="17"/>
  <c r="CP361" i="17"/>
  <c r="BN361" i="17"/>
  <c r="AL361" i="17"/>
  <c r="CP359" i="17"/>
  <c r="BN359" i="17"/>
  <c r="AL359" i="17"/>
  <c r="CO361" i="17"/>
  <c r="BM361" i="17"/>
  <c r="AK361" i="17"/>
  <c r="CO359" i="17"/>
  <c r="BM359" i="17"/>
  <c r="AK359" i="17"/>
  <c r="CN361" i="17"/>
  <c r="BL361" i="17"/>
  <c r="AJ361" i="17"/>
  <c r="CN359" i="17"/>
  <c r="BL359" i="17"/>
  <c r="AJ359" i="17"/>
  <c r="CM361" i="17"/>
  <c r="BK361" i="17"/>
  <c r="AI361" i="17"/>
  <c r="CM359" i="17"/>
  <c r="BK359" i="17"/>
  <c r="AI359" i="17"/>
  <c r="CL361" i="17"/>
  <c r="BJ361" i="17"/>
  <c r="AH361" i="17"/>
  <c r="CL359" i="17"/>
  <c r="BJ359" i="17"/>
  <c r="AH359" i="17"/>
  <c r="CK361" i="17"/>
  <c r="BI361" i="17"/>
  <c r="AG361" i="17"/>
  <c r="CK359" i="17"/>
  <c r="BI359" i="17"/>
  <c r="AG359" i="17"/>
  <c r="CJ361" i="17"/>
  <c r="BH361" i="17"/>
  <c r="AF361" i="17"/>
  <c r="CJ359" i="17"/>
  <c r="BH359" i="17"/>
  <c r="AF359" i="17"/>
  <c r="CG361" i="17"/>
  <c r="BE361" i="17"/>
  <c r="AC361" i="17"/>
  <c r="CG359" i="17"/>
  <c r="BE359" i="17"/>
  <c r="AC359" i="17"/>
  <c r="CF361" i="17"/>
  <c r="BD361" i="17"/>
  <c r="AB361" i="17"/>
  <c r="CF359" i="17"/>
  <c r="BD359" i="17"/>
  <c r="AB359" i="17"/>
  <c r="CE361" i="17"/>
  <c r="BC361" i="17"/>
  <c r="AA361" i="17"/>
  <c r="CE359" i="17"/>
  <c r="BC359" i="17"/>
  <c r="AA359" i="17"/>
  <c r="CD361" i="17"/>
  <c r="BB361" i="17"/>
  <c r="Z361" i="17"/>
  <c r="CD359" i="17"/>
  <c r="BB359" i="17"/>
  <c r="Z359" i="17"/>
  <c r="CC361" i="17"/>
  <c r="BA361" i="17"/>
  <c r="Y361" i="17"/>
  <c r="CC359" i="17"/>
  <c r="BA359" i="17"/>
  <c r="Y359" i="17"/>
  <c r="CB361" i="17"/>
  <c r="AZ361" i="17"/>
  <c r="X361" i="17"/>
  <c r="CB359" i="17"/>
  <c r="AZ359" i="17"/>
  <c r="X359" i="17"/>
  <c r="CA361" i="17"/>
  <c r="AY361" i="17"/>
  <c r="W361" i="17"/>
  <c r="CA359" i="17"/>
  <c r="AY359" i="17"/>
  <c r="W359" i="17"/>
  <c r="BZ361" i="17"/>
  <c r="AX361" i="17"/>
  <c r="V361" i="17"/>
  <c r="BZ359" i="17"/>
  <c r="AX359" i="17"/>
  <c r="V359" i="17"/>
  <c r="BY361" i="17"/>
  <c r="AW361" i="17"/>
  <c r="U361" i="17"/>
  <c r="BX361" i="17"/>
  <c r="AV361" i="17"/>
  <c r="T361" i="17"/>
  <c r="BX359" i="17"/>
  <c r="AV359" i="17"/>
  <c r="T359" i="17"/>
  <c r="BW361" i="17"/>
  <c r="AU361" i="17"/>
  <c r="S361" i="17"/>
  <c r="BW359" i="17"/>
  <c r="AU359" i="17"/>
  <c r="S359" i="17"/>
  <c r="BV361" i="17"/>
  <c r="AT361" i="17"/>
  <c r="R361" i="17"/>
  <c r="BY359" i="17"/>
  <c r="BV359" i="17"/>
  <c r="AW359" i="17"/>
  <c r="AT359" i="17"/>
  <c r="U359" i="17"/>
  <c r="R359" i="17"/>
  <c r="BV362" i="17"/>
  <c r="AT362" i="17"/>
  <c r="R362" i="17"/>
  <c r="CU362" i="17"/>
  <c r="BS362" i="17"/>
  <c r="AQ362" i="17"/>
  <c r="CT362" i="17"/>
  <c r="BR362" i="17"/>
  <c r="AP362" i="17"/>
  <c r="CS362" i="17"/>
  <c r="BQ362" i="17"/>
  <c r="AO362" i="17"/>
  <c r="CR362" i="17"/>
  <c r="BP362" i="17"/>
  <c r="AN362" i="17"/>
  <c r="CQ362" i="17"/>
  <c r="BO362" i="17"/>
  <c r="AM362" i="17"/>
  <c r="CP362" i="17"/>
  <c r="BN362" i="17"/>
  <c r="AL362" i="17"/>
  <c r="CO362" i="17"/>
  <c r="BM362" i="17"/>
  <c r="AK362" i="17"/>
  <c r="CN362" i="17"/>
  <c r="BL362" i="17"/>
  <c r="AJ362" i="17"/>
  <c r="CM362" i="17"/>
  <c r="BK362" i="17"/>
  <c r="AI362" i="17"/>
  <c r="CL362" i="17"/>
  <c r="BJ362" i="17"/>
  <c r="AH362" i="17"/>
  <c r="CK362" i="17"/>
  <c r="BI362" i="17"/>
  <c r="AG362" i="17"/>
  <c r="CJ362" i="17"/>
  <c r="BH362" i="17"/>
  <c r="AF362" i="17"/>
  <c r="CG362" i="17"/>
  <c r="BE362" i="17"/>
  <c r="AC362" i="17"/>
  <c r="CF362" i="17"/>
  <c r="BD362" i="17"/>
  <c r="AB362" i="17"/>
  <c r="CE362" i="17"/>
  <c r="BC362" i="17"/>
  <c r="AA362" i="17"/>
  <c r="CD362" i="17"/>
  <c r="BB362" i="17"/>
  <c r="Z362" i="17"/>
  <c r="CC362" i="17"/>
  <c r="BA362" i="17"/>
  <c r="Y362" i="17"/>
  <c r="CB362" i="17"/>
  <c r="AZ362" i="17"/>
  <c r="X362" i="17"/>
  <c r="CA362" i="17"/>
  <c r="AY362" i="17"/>
  <c r="W362" i="17"/>
  <c r="BY362" i="17"/>
  <c r="AW362" i="17"/>
  <c r="AM382" i="17"/>
  <c r="AM380" i="17"/>
  <c r="AM378" i="17"/>
  <c r="AM376" i="17"/>
  <c r="AM374" i="17"/>
  <c r="AM372" i="17"/>
  <c r="AM370" i="17"/>
  <c r="AM368" i="17"/>
  <c r="AM366" i="17"/>
  <c r="AM364" i="17"/>
  <c r="AM360" i="17"/>
  <c r="AM357" i="17"/>
  <c r="AM355" i="17"/>
  <c r="AM353" i="17"/>
  <c r="AM351" i="17"/>
  <c r="AM349" i="17"/>
  <c r="AL382" i="17"/>
  <c r="AL380" i="17"/>
  <c r="AL378" i="17"/>
  <c r="AL376" i="17"/>
  <c r="AL374" i="17"/>
  <c r="AL372" i="17"/>
  <c r="AL370" i="17"/>
  <c r="AL368" i="17"/>
  <c r="AL366" i="17"/>
  <c r="AL364" i="17"/>
  <c r="AL360" i="17"/>
  <c r="AL357" i="17"/>
  <c r="AL355" i="17"/>
  <c r="AL353" i="17"/>
  <c r="AL351" i="17"/>
  <c r="AL349" i="17"/>
  <c r="AK382" i="17"/>
  <c r="AK380" i="17"/>
  <c r="AK378" i="17"/>
  <c r="AK376" i="17"/>
  <c r="AK374" i="17"/>
  <c r="AK372" i="17"/>
  <c r="AK370" i="17"/>
  <c r="AK368" i="17"/>
  <c r="AK366" i="17"/>
  <c r="AK364" i="17"/>
  <c r="AK360" i="17"/>
  <c r="AK357" i="17"/>
  <c r="AK355" i="17"/>
  <c r="AK353" i="17"/>
  <c r="AK351" i="17"/>
  <c r="AK349" i="17"/>
  <c r="AJ382" i="17"/>
  <c r="AJ380" i="17"/>
  <c r="AJ378" i="17"/>
  <c r="AJ376" i="17"/>
  <c r="AJ374" i="17"/>
  <c r="AJ372" i="17"/>
  <c r="AJ370" i="17"/>
  <c r="AJ368" i="17"/>
  <c r="AJ366" i="17"/>
  <c r="AJ364" i="17"/>
  <c r="AJ360" i="17"/>
  <c r="AJ357" i="17"/>
  <c r="AJ355" i="17"/>
  <c r="AJ353" i="17"/>
  <c r="AJ351" i="17"/>
  <c r="AJ349" i="17"/>
  <c r="AI382" i="17"/>
  <c r="AI380" i="17"/>
  <c r="AI378" i="17"/>
  <c r="AI376" i="17"/>
  <c r="AI374" i="17"/>
  <c r="AI372" i="17"/>
  <c r="AI370" i="17"/>
  <c r="AI368" i="17"/>
  <c r="AI366" i="17"/>
  <c r="AI364" i="17"/>
  <c r="AI360" i="17"/>
  <c r="AI357" i="17"/>
  <c r="AI355" i="17"/>
  <c r="AI353" i="17"/>
  <c r="AI351" i="17"/>
  <c r="AI349" i="17"/>
  <c r="AH382" i="17"/>
  <c r="AH380" i="17"/>
  <c r="AH378" i="17"/>
  <c r="AH376" i="17"/>
  <c r="AH374" i="17"/>
  <c r="AH372" i="17"/>
  <c r="AH370" i="17"/>
  <c r="AH368" i="17"/>
  <c r="AH366" i="17"/>
  <c r="AH364" i="17"/>
  <c r="AH360" i="17"/>
  <c r="AH357" i="17"/>
  <c r="AH355" i="17"/>
  <c r="AH353" i="17"/>
  <c r="AH351" i="17"/>
  <c r="AH349" i="17"/>
  <c r="AG382" i="17"/>
  <c r="AG380" i="17"/>
  <c r="AG378" i="17"/>
  <c r="AG376" i="17"/>
  <c r="AG374" i="17"/>
  <c r="AG372" i="17"/>
  <c r="AG370" i="17"/>
  <c r="AG368" i="17"/>
  <c r="AG366" i="17"/>
  <c r="AG364" i="17"/>
  <c r="AG360" i="17"/>
  <c r="AG357" i="17"/>
  <c r="AG355" i="17"/>
  <c r="AG353" i="17"/>
  <c r="AG351" i="17"/>
  <c r="AG349" i="17"/>
  <c r="AF382" i="17"/>
  <c r="AF380" i="17"/>
  <c r="AF378" i="17"/>
  <c r="AF376" i="17"/>
  <c r="AF374" i="17"/>
  <c r="AF372" i="17"/>
  <c r="AF370" i="17"/>
  <c r="AF368" i="17"/>
  <c r="AF366" i="17"/>
  <c r="AF364" i="17"/>
  <c r="AF360" i="17"/>
  <c r="AF357" i="17"/>
  <c r="AF355" i="17"/>
  <c r="AF353" i="17"/>
  <c r="AF351" i="17"/>
  <c r="AF349" i="17"/>
  <c r="AQ383" i="17"/>
  <c r="AQ381" i="17"/>
  <c r="AQ379" i="17"/>
  <c r="AQ377" i="17"/>
  <c r="AQ375" i="17"/>
  <c r="AQ373" i="17"/>
  <c r="AQ371" i="17"/>
  <c r="AQ369" i="17"/>
  <c r="AQ367" i="17"/>
  <c r="AQ365" i="17"/>
  <c r="AQ363" i="17"/>
  <c r="AQ358" i="17"/>
  <c r="AQ356" i="17"/>
  <c r="AQ354" i="17"/>
  <c r="AQ352" i="17"/>
  <c r="AQ350" i="17"/>
  <c r="AQ348" i="17"/>
  <c r="AP383" i="17"/>
  <c r="AP381" i="17"/>
  <c r="AP379" i="17"/>
  <c r="AP377" i="17"/>
  <c r="AP375" i="17"/>
  <c r="AP373" i="17"/>
  <c r="AP371" i="17"/>
  <c r="AP369" i="17"/>
  <c r="AP367" i="17"/>
  <c r="AP365" i="17"/>
  <c r="AP363" i="17"/>
  <c r="AP358" i="17"/>
  <c r="AP356" i="17"/>
  <c r="AP354" i="17"/>
  <c r="AP352" i="17"/>
  <c r="AP350" i="17"/>
  <c r="AP348" i="17"/>
  <c r="AO383" i="17"/>
  <c r="AO381" i="17"/>
  <c r="AO379" i="17"/>
  <c r="AO377" i="17"/>
  <c r="AO375" i="17"/>
  <c r="AO373" i="17"/>
  <c r="AO371" i="17"/>
  <c r="AO369" i="17"/>
  <c r="AO367" i="17"/>
  <c r="AO365" i="17"/>
  <c r="AO363" i="17"/>
  <c r="AO358" i="17"/>
  <c r="AO356" i="17"/>
  <c r="AO354" i="17"/>
  <c r="AO352" i="17"/>
  <c r="AO350" i="17"/>
  <c r="AO348" i="17"/>
  <c r="AN383" i="17"/>
  <c r="AN381" i="17"/>
  <c r="AN379" i="17"/>
  <c r="AN377" i="17"/>
  <c r="AN375" i="17"/>
  <c r="AN373" i="17"/>
  <c r="AN371" i="17"/>
  <c r="AN369" i="17"/>
  <c r="AN367" i="17"/>
  <c r="AN365" i="17"/>
  <c r="AN363" i="17"/>
  <c r="AN358" i="17"/>
  <c r="AN356" i="17"/>
  <c r="AN354" i="17"/>
  <c r="AN352" i="17"/>
  <c r="AN350" i="17"/>
  <c r="AN348" i="17"/>
  <c r="AM383" i="17"/>
  <c r="AM381" i="17"/>
  <c r="AM379" i="17"/>
  <c r="AM377" i="17"/>
  <c r="AM375" i="17"/>
  <c r="AM373" i="17"/>
  <c r="AM371" i="17"/>
  <c r="AM369" i="17"/>
  <c r="AM367" i="17"/>
  <c r="AM365" i="17"/>
  <c r="AM363" i="17"/>
  <c r="AM358" i="17"/>
  <c r="AM356" i="17"/>
  <c r="AM354" i="17"/>
  <c r="AM352" i="17"/>
  <c r="AM350" i="17"/>
  <c r="AM348" i="17"/>
  <c r="BZ362" i="17"/>
  <c r="AL383" i="17"/>
  <c r="AL381" i="17"/>
  <c r="AL379" i="17"/>
  <c r="AL377" i="17"/>
  <c r="AL375" i="17"/>
  <c r="AL373" i="17"/>
  <c r="AL371" i="17"/>
  <c r="AL369" i="17"/>
  <c r="AL367" i="17"/>
  <c r="AL365" i="17"/>
  <c r="AL363" i="17"/>
  <c r="AL358" i="17"/>
  <c r="AL356" i="17"/>
  <c r="AL354" i="17"/>
  <c r="AL352" i="17"/>
  <c r="AL350" i="17"/>
  <c r="AL348" i="17"/>
  <c r="BX362" i="17"/>
  <c r="AK383" i="17"/>
  <c r="AK381" i="17"/>
  <c r="AK379" i="17"/>
  <c r="AK377" i="17"/>
  <c r="AK375" i="17"/>
  <c r="AK373" i="17"/>
  <c r="AK371" i="17"/>
  <c r="AK369" i="17"/>
  <c r="AK367" i="17"/>
  <c r="AK365" i="17"/>
  <c r="AK363" i="17"/>
  <c r="AK358" i="17"/>
  <c r="AK356" i="17"/>
  <c r="AK354" i="17"/>
  <c r="AK352" i="17"/>
  <c r="AK350" i="17"/>
  <c r="AK348" i="17"/>
  <c r="BW362" i="17"/>
  <c r="AJ383" i="17"/>
  <c r="AJ381" i="17"/>
  <c r="AJ379" i="17"/>
  <c r="AJ377" i="17"/>
  <c r="AJ375" i="17"/>
  <c r="AJ373" i="17"/>
  <c r="AJ371" i="17"/>
  <c r="AJ369" i="17"/>
  <c r="AJ367" i="17"/>
  <c r="AJ365" i="17"/>
  <c r="AJ363" i="17"/>
  <c r="AJ358" i="17"/>
  <c r="AJ356" i="17"/>
  <c r="AJ354" i="17"/>
  <c r="AJ352" i="17"/>
  <c r="AJ350" i="17"/>
  <c r="AJ348" i="17"/>
  <c r="AX362" i="17"/>
  <c r="AI383" i="17"/>
  <c r="AI381" i="17"/>
  <c r="AI379" i="17"/>
  <c r="AI377" i="17"/>
  <c r="AI375" i="17"/>
  <c r="AI373" i="17"/>
  <c r="AI371" i="17"/>
  <c r="AI369" i="17"/>
  <c r="AI367" i="17"/>
  <c r="AI365" i="17"/>
  <c r="AI363" i="17"/>
  <c r="AI358" i="17"/>
  <c r="AI356" i="17"/>
  <c r="AI354" i="17"/>
  <c r="AI352" i="17"/>
  <c r="AI350" i="17"/>
  <c r="AI348" i="17"/>
  <c r="AV362" i="17"/>
  <c r="AH383" i="17"/>
  <c r="AH381" i="17"/>
  <c r="AH379" i="17"/>
  <c r="AH377" i="17"/>
  <c r="AH375" i="17"/>
  <c r="AH373" i="17"/>
  <c r="AH371" i="17"/>
  <c r="AH369" i="17"/>
  <c r="AH367" i="17"/>
  <c r="AH365" i="17"/>
  <c r="AH363" i="17"/>
  <c r="AH358" i="17"/>
  <c r="AH356" i="17"/>
  <c r="AU362" i="17"/>
  <c r="AG383" i="17"/>
  <c r="AG381" i="17"/>
  <c r="AG379" i="17"/>
  <c r="AG377" i="17"/>
  <c r="AG375" i="17"/>
  <c r="AG373" i="17"/>
  <c r="AG371" i="17"/>
  <c r="AG369" i="17"/>
  <c r="AG367" i="17"/>
  <c r="AG365" i="17"/>
  <c r="AG363" i="17"/>
  <c r="AG358" i="17"/>
  <c r="AG356" i="17"/>
  <c r="AG354" i="17"/>
  <c r="V362" i="17"/>
  <c r="AF383" i="17"/>
  <c r="AF381" i="17"/>
  <c r="AF379" i="17"/>
  <c r="AF377" i="17"/>
  <c r="AF375" i="17"/>
  <c r="AF373" i="17"/>
  <c r="AF371" i="17"/>
  <c r="AF369" i="17"/>
  <c r="AF367" i="17"/>
  <c r="AF365" i="17"/>
  <c r="AF363" i="17"/>
  <c r="AF358" i="17"/>
  <c r="AF356" i="17"/>
  <c r="U362" i="17"/>
  <c r="AQ382" i="17"/>
  <c r="AQ380" i="17"/>
  <c r="AQ378" i="17"/>
  <c r="AQ376" i="17"/>
  <c r="AQ374" i="17"/>
  <c r="AQ372" i="17"/>
  <c r="AQ370" i="17"/>
  <c r="AQ368" i="17"/>
  <c r="AQ366" i="17"/>
  <c r="AQ364" i="17"/>
  <c r="AQ360" i="17"/>
  <c r="T362" i="17"/>
  <c r="AP382" i="17"/>
  <c r="AP380" i="17"/>
  <c r="AP378" i="17"/>
  <c r="AP376" i="17"/>
  <c r="AP374" i="17"/>
  <c r="AP372" i="17"/>
  <c r="AP370" i="17"/>
  <c r="AP368" i="17"/>
  <c r="AP366" i="17"/>
  <c r="AP364" i="17"/>
  <c r="AP360" i="17"/>
  <c r="AP357" i="17"/>
  <c r="AP355" i="17"/>
  <c r="AN382" i="17"/>
  <c r="AN380" i="17"/>
  <c r="AN378" i="17"/>
  <c r="AN376" i="17"/>
  <c r="AN374" i="17"/>
  <c r="AN372" i="17"/>
  <c r="AN370" i="17"/>
  <c r="AN368" i="17"/>
  <c r="AN366" i="17"/>
  <c r="AN364" i="17"/>
  <c r="AN360" i="17"/>
  <c r="AN357" i="17"/>
  <c r="AN355" i="17"/>
  <c r="AN353" i="17"/>
  <c r="AN351" i="17"/>
  <c r="AN349" i="17"/>
  <c r="AO376" i="17"/>
  <c r="AG350" i="17"/>
  <c r="AO374" i="17"/>
  <c r="AF350" i="17"/>
  <c r="S362" i="17"/>
  <c r="AO372" i="17"/>
  <c r="AQ349" i="17"/>
  <c r="AO370" i="17"/>
  <c r="AP349" i="17"/>
  <c r="AO368" i="17"/>
  <c r="AO349" i="17"/>
  <c r="AO366" i="17"/>
  <c r="AH348" i="17"/>
  <c r="AO364" i="17"/>
  <c r="AG348" i="17"/>
  <c r="AO360" i="17"/>
  <c r="AF348" i="17"/>
  <c r="AQ357" i="17"/>
  <c r="AO357" i="17"/>
  <c r="AQ355" i="17"/>
  <c r="AO355" i="17"/>
  <c r="AH354" i="17"/>
  <c r="AF354" i="17"/>
  <c r="AQ353" i="17"/>
  <c r="AP353" i="17"/>
  <c r="AO353" i="17"/>
  <c r="AH352" i="17"/>
  <c r="AG352" i="17"/>
  <c r="AF352" i="17"/>
  <c r="AQ351" i="17"/>
  <c r="AO382" i="17"/>
  <c r="AP351" i="17"/>
  <c r="AO380" i="17"/>
  <c r="AO351" i="17"/>
  <c r="AO378" i="17"/>
  <c r="AH350" i="17"/>
  <c r="CP383" i="17"/>
  <c r="CP381" i="17"/>
  <c r="CP379" i="17"/>
  <c r="CP377" i="17"/>
  <c r="CP375" i="17"/>
  <c r="CP373" i="17"/>
  <c r="CP371" i="17"/>
  <c r="CP369" i="17"/>
  <c r="CP367" i="17"/>
  <c r="CP365" i="17"/>
  <c r="CP363" i="17"/>
  <c r="CP358" i="17"/>
  <c r="CP356" i="17"/>
  <c r="CP354" i="17"/>
  <c r="CP352" i="17"/>
  <c r="CP350" i="17"/>
  <c r="CP348" i="17"/>
  <c r="CO383" i="17"/>
  <c r="CO381" i="17"/>
  <c r="CO379" i="17"/>
  <c r="CO377" i="17"/>
  <c r="CO375" i="17"/>
  <c r="CO373" i="17"/>
  <c r="CO371" i="17"/>
  <c r="CO369" i="17"/>
  <c r="CO367" i="17"/>
  <c r="CO365" i="17"/>
  <c r="CO363" i="17"/>
  <c r="CO358" i="17"/>
  <c r="CO356" i="17"/>
  <c r="CO354" i="17"/>
  <c r="CO352" i="17"/>
  <c r="CN383" i="17"/>
  <c r="CN381" i="17"/>
  <c r="CN379" i="17"/>
  <c r="CN377" i="17"/>
  <c r="CN375" i="17"/>
  <c r="CN373" i="17"/>
  <c r="CN371" i="17"/>
  <c r="CN369" i="17"/>
  <c r="CN367" i="17"/>
  <c r="CN365" i="17"/>
  <c r="CN363" i="17"/>
  <c r="CN358" i="17"/>
  <c r="CN356" i="17"/>
  <c r="CN354" i="17"/>
  <c r="CN352" i="17"/>
  <c r="CN350" i="17"/>
  <c r="CN348" i="17"/>
  <c r="CM383" i="17"/>
  <c r="CM381" i="17"/>
  <c r="CM379" i="17"/>
  <c r="CM377" i="17"/>
  <c r="CM375" i="17"/>
  <c r="CM373" i="17"/>
  <c r="CM371" i="17"/>
  <c r="CM369" i="17"/>
  <c r="CM367" i="17"/>
  <c r="CM365" i="17"/>
  <c r="CM363" i="17"/>
  <c r="CM358" i="17"/>
  <c r="CM356" i="17"/>
  <c r="CM354" i="17"/>
  <c r="CM352" i="17"/>
  <c r="CM350" i="17"/>
  <c r="CM348" i="17"/>
  <c r="CL383" i="17"/>
  <c r="CL381" i="17"/>
  <c r="CL379" i="17"/>
  <c r="CL377" i="17"/>
  <c r="CL375" i="17"/>
  <c r="CL373" i="17"/>
  <c r="CL371" i="17"/>
  <c r="CL369" i="17"/>
  <c r="CL367" i="17"/>
  <c r="CL365" i="17"/>
  <c r="CL363" i="17"/>
  <c r="CL358" i="17"/>
  <c r="CL356" i="17"/>
  <c r="CL354" i="17"/>
  <c r="CL352" i="17"/>
  <c r="CL350" i="17"/>
  <c r="CL348" i="17"/>
  <c r="CK383" i="17"/>
  <c r="CK381" i="17"/>
  <c r="CK379" i="17"/>
  <c r="CK377" i="17"/>
  <c r="CK375" i="17"/>
  <c r="CK373" i="17"/>
  <c r="CK371" i="17"/>
  <c r="CK369" i="17"/>
  <c r="CK367" i="17"/>
  <c r="CK365" i="17"/>
  <c r="CK363" i="17"/>
  <c r="CK358" i="17"/>
  <c r="CK356" i="17"/>
  <c r="CK354" i="17"/>
  <c r="CK352" i="17"/>
  <c r="CK350" i="17"/>
  <c r="CK348" i="17"/>
  <c r="CJ383" i="17"/>
  <c r="CJ381" i="17"/>
  <c r="CJ379" i="17"/>
  <c r="CJ377" i="17"/>
  <c r="CJ375" i="17"/>
  <c r="CJ373" i="17"/>
  <c r="CJ371" i="17"/>
  <c r="CJ369" i="17"/>
  <c r="CJ367" i="17"/>
  <c r="CJ365" i="17"/>
  <c r="CJ363" i="17"/>
  <c r="CJ358" i="17"/>
  <c r="CJ356" i="17"/>
  <c r="CJ354" i="17"/>
  <c r="CJ352" i="17"/>
  <c r="CJ350" i="17"/>
  <c r="CJ348" i="17"/>
  <c r="CU382" i="17"/>
  <c r="CU380" i="17"/>
  <c r="CU378" i="17"/>
  <c r="CU376" i="17"/>
  <c r="CU374" i="17"/>
  <c r="CU372" i="17"/>
  <c r="CU370" i="17"/>
  <c r="CU368" i="17"/>
  <c r="CU366" i="17"/>
  <c r="CU364" i="17"/>
  <c r="CU360" i="17"/>
  <c r="CU357" i="17"/>
  <c r="CU355" i="17"/>
  <c r="CU353" i="17"/>
  <c r="CU351" i="17"/>
  <c r="CU349" i="17"/>
  <c r="CT382" i="17"/>
  <c r="CT380" i="17"/>
  <c r="CT378" i="17"/>
  <c r="CT376" i="17"/>
  <c r="CT374" i="17"/>
  <c r="CT372" i="17"/>
  <c r="CT370" i="17"/>
  <c r="CT368" i="17"/>
  <c r="CT366" i="17"/>
  <c r="CT364" i="17"/>
  <c r="CT360" i="17"/>
  <c r="CT357" i="17"/>
  <c r="CT355" i="17"/>
  <c r="CT353" i="17"/>
  <c r="CT351" i="17"/>
  <c r="CT349" i="17"/>
  <c r="CS382" i="17"/>
  <c r="CS380" i="17"/>
  <c r="CS378" i="17"/>
  <c r="CS376" i="17"/>
  <c r="CS374" i="17"/>
  <c r="CS372" i="17"/>
  <c r="CS370" i="17"/>
  <c r="CS368" i="17"/>
  <c r="CS366" i="17"/>
  <c r="CS364" i="17"/>
  <c r="CS360" i="17"/>
  <c r="CS357" i="17"/>
  <c r="CS355" i="17"/>
  <c r="CS353" i="17"/>
  <c r="CS351" i="17"/>
  <c r="CS349" i="17"/>
  <c r="CR382" i="17"/>
  <c r="CR380" i="17"/>
  <c r="CR378" i="17"/>
  <c r="CR376" i="17"/>
  <c r="CR374" i="17"/>
  <c r="CR372" i="17"/>
  <c r="CR370" i="17"/>
  <c r="CR368" i="17"/>
  <c r="CR366" i="17"/>
  <c r="CR364" i="17"/>
  <c r="CR360" i="17"/>
  <c r="CR357" i="17"/>
  <c r="CR355" i="17"/>
  <c r="CR353" i="17"/>
  <c r="CR351" i="17"/>
  <c r="CR349" i="17"/>
  <c r="CQ382" i="17"/>
  <c r="CQ380" i="17"/>
  <c r="CQ378" i="17"/>
  <c r="CQ376" i="17"/>
  <c r="CQ374" i="17"/>
  <c r="CQ372" i="17"/>
  <c r="CQ370" i="17"/>
  <c r="CQ368" i="17"/>
  <c r="CQ366" i="17"/>
  <c r="CQ364" i="17"/>
  <c r="CQ360" i="17"/>
  <c r="CQ357" i="17"/>
  <c r="CQ355" i="17"/>
  <c r="CQ353" i="17"/>
  <c r="CQ351" i="17"/>
  <c r="CQ349" i="17"/>
  <c r="CP382" i="17"/>
  <c r="CP380" i="17"/>
  <c r="CP378" i="17"/>
  <c r="CP376" i="17"/>
  <c r="CP374" i="17"/>
  <c r="CP372" i="17"/>
  <c r="CP370" i="17"/>
  <c r="CP368" i="17"/>
  <c r="CP366" i="17"/>
  <c r="CP364" i="17"/>
  <c r="CP360" i="17"/>
  <c r="CP357" i="17"/>
  <c r="CP355" i="17"/>
  <c r="CP353" i="17"/>
  <c r="CP351" i="17"/>
  <c r="CP349" i="17"/>
  <c r="CO382" i="17"/>
  <c r="CO380" i="17"/>
  <c r="CO378" i="17"/>
  <c r="CO376" i="17"/>
  <c r="CO374" i="17"/>
  <c r="CO372" i="17"/>
  <c r="CO370" i="17"/>
  <c r="CO368" i="17"/>
  <c r="CO366" i="17"/>
  <c r="CO364" i="17"/>
  <c r="CO360" i="17"/>
  <c r="CO357" i="17"/>
  <c r="CO355" i="17"/>
  <c r="CO353" i="17"/>
  <c r="CO351" i="17"/>
  <c r="CO349" i="17"/>
  <c r="CN382" i="17"/>
  <c r="CN380" i="17"/>
  <c r="CN378" i="17"/>
  <c r="CN376" i="17"/>
  <c r="CN374" i="17"/>
  <c r="CN372" i="17"/>
  <c r="CN370" i="17"/>
  <c r="CN368" i="17"/>
  <c r="CN366" i="17"/>
  <c r="CN364" i="17"/>
  <c r="CN360" i="17"/>
  <c r="CN357" i="17"/>
  <c r="CN355" i="17"/>
  <c r="CN353" i="17"/>
  <c r="CN351" i="17"/>
  <c r="CN349" i="17"/>
  <c r="CM382" i="17"/>
  <c r="CM380" i="17"/>
  <c r="CM378" i="17"/>
  <c r="CM376" i="17"/>
  <c r="CM374" i="17"/>
  <c r="CM372" i="17"/>
  <c r="CM370" i="17"/>
  <c r="CM368" i="17"/>
  <c r="CM366" i="17"/>
  <c r="CM364" i="17"/>
  <c r="CM360" i="17"/>
  <c r="CM357" i="17"/>
  <c r="CM355" i="17"/>
  <c r="CM353" i="17"/>
  <c r="CM351" i="17"/>
  <c r="CM349" i="17"/>
  <c r="CL382" i="17"/>
  <c r="CL380" i="17"/>
  <c r="CL378" i="17"/>
  <c r="CL376" i="17"/>
  <c r="CL374" i="17"/>
  <c r="CL372" i="17"/>
  <c r="CL370" i="17"/>
  <c r="CL368" i="17"/>
  <c r="CL366" i="17"/>
  <c r="CL364" i="17"/>
  <c r="CL360" i="17"/>
  <c r="CL357" i="17"/>
  <c r="CL355" i="17"/>
  <c r="CL353" i="17"/>
  <c r="CL351" i="17"/>
  <c r="CL349" i="17"/>
  <c r="CK382" i="17"/>
  <c r="CK380" i="17"/>
  <c r="CK378" i="17"/>
  <c r="CK376" i="17"/>
  <c r="CK374" i="17"/>
  <c r="CK372" i="17"/>
  <c r="CK370" i="17"/>
  <c r="CK368" i="17"/>
  <c r="CK366" i="17"/>
  <c r="CK364" i="17"/>
  <c r="CK360" i="17"/>
  <c r="CK357" i="17"/>
  <c r="CK355" i="17"/>
  <c r="CK353" i="17"/>
  <c r="CK351" i="17"/>
  <c r="CK349" i="17"/>
  <c r="CJ382" i="17"/>
  <c r="CJ380" i="17"/>
  <c r="CJ378" i="17"/>
  <c r="CJ376" i="17"/>
  <c r="CJ374" i="17"/>
  <c r="CJ372" i="17"/>
  <c r="CJ370" i="17"/>
  <c r="CJ368" i="17"/>
  <c r="CJ366" i="17"/>
  <c r="CJ364" i="17"/>
  <c r="CJ360" i="17"/>
  <c r="CJ357" i="17"/>
  <c r="CJ355" i="17"/>
  <c r="CJ353" i="17"/>
  <c r="CJ351" i="17"/>
  <c r="CJ349" i="17"/>
  <c r="CU383" i="17"/>
  <c r="CU381" i="17"/>
  <c r="CU379" i="17"/>
  <c r="CU377" i="17"/>
  <c r="CU375" i="17"/>
  <c r="CU373" i="17"/>
  <c r="CU371" i="17"/>
  <c r="CU369" i="17"/>
  <c r="CU367" i="17"/>
  <c r="CU365" i="17"/>
  <c r="CU363" i="17"/>
  <c r="CU358" i="17"/>
  <c r="CU356" i="17"/>
  <c r="CU354" i="17"/>
  <c r="CU352" i="17"/>
  <c r="CU350" i="17"/>
  <c r="CU348" i="17"/>
  <c r="CT383" i="17"/>
  <c r="CT381" i="17"/>
  <c r="CT379" i="17"/>
  <c r="CT377" i="17"/>
  <c r="CT375" i="17"/>
  <c r="CT373" i="17"/>
  <c r="CT371" i="17"/>
  <c r="CT369" i="17"/>
  <c r="CT367" i="17"/>
  <c r="CT365" i="17"/>
  <c r="CT363" i="17"/>
  <c r="CT358" i="17"/>
  <c r="CQ383" i="17"/>
  <c r="CQ381" i="17"/>
  <c r="CQ379" i="17"/>
  <c r="CQ377" i="17"/>
  <c r="CQ375" i="17"/>
  <c r="CQ373" i="17"/>
  <c r="CQ371" i="17"/>
  <c r="CQ369" i="17"/>
  <c r="CQ367" i="17"/>
  <c r="CQ365" i="17"/>
  <c r="CQ363" i="17"/>
  <c r="CQ358" i="17"/>
  <c r="CQ356" i="17"/>
  <c r="CR381" i="17"/>
  <c r="CT354" i="17"/>
  <c r="CS379" i="17"/>
  <c r="CS354" i="17"/>
  <c r="CR379" i="17"/>
  <c r="CR354" i="17"/>
  <c r="CS377" i="17"/>
  <c r="CQ354" i="17"/>
  <c r="CR377" i="17"/>
  <c r="CT352" i="17"/>
  <c r="CS375" i="17"/>
  <c r="CS352" i="17"/>
  <c r="CR375" i="17"/>
  <c r="CR352" i="17"/>
  <c r="CS373" i="17"/>
  <c r="CQ352" i="17"/>
  <c r="CR373" i="17"/>
  <c r="CT350" i="17"/>
  <c r="CS371" i="17"/>
  <c r="CS350" i="17"/>
  <c r="CR371" i="17"/>
  <c r="CR350" i="17"/>
  <c r="CS369" i="17"/>
  <c r="CQ350" i="17"/>
  <c r="CR369" i="17"/>
  <c r="CO350" i="17"/>
  <c r="CS367" i="17"/>
  <c r="CT348" i="17"/>
  <c r="CR367" i="17"/>
  <c r="CS348" i="17"/>
  <c r="CS365" i="17"/>
  <c r="CR348" i="17"/>
  <c r="CR365" i="17"/>
  <c r="CQ348" i="17"/>
  <c r="CS363" i="17"/>
  <c r="CO348" i="17"/>
  <c r="CR363" i="17"/>
  <c r="CS358" i="17"/>
  <c r="CR358" i="17"/>
  <c r="CS381" i="17"/>
  <c r="CR356" i="17"/>
  <c r="CD382" i="17"/>
  <c r="CD380" i="17"/>
  <c r="CD378" i="17"/>
  <c r="CD376" i="17"/>
  <c r="CD374" i="17"/>
  <c r="CD372" i="17"/>
  <c r="CD370" i="17"/>
  <c r="CD368" i="17"/>
  <c r="CD366" i="17"/>
  <c r="CD364" i="17"/>
  <c r="CD360" i="17"/>
  <c r="CD357" i="17"/>
  <c r="CD355" i="17"/>
  <c r="CD353" i="17"/>
  <c r="CD351" i="17"/>
  <c r="CD349" i="17"/>
  <c r="CS383" i="17"/>
  <c r="CR383" i="17"/>
  <c r="BZ382" i="17"/>
  <c r="BZ380" i="17"/>
  <c r="BZ378" i="17"/>
  <c r="BZ376" i="17"/>
  <c r="BZ374" i="17"/>
  <c r="BZ372" i="17"/>
  <c r="BZ370" i="17"/>
  <c r="CT356" i="17"/>
  <c r="CS356" i="17"/>
  <c r="CG383" i="17"/>
  <c r="CG381" i="17"/>
  <c r="CG379" i="17"/>
  <c r="CG377" i="17"/>
  <c r="CG375" i="17"/>
  <c r="CG373" i="17"/>
  <c r="CG371" i="17"/>
  <c r="CG369" i="17"/>
  <c r="CG367" i="17"/>
  <c r="CG365" i="17"/>
  <c r="CG363" i="17"/>
  <c r="CG358" i="17"/>
  <c r="CG356" i="17"/>
  <c r="CG354" i="17"/>
  <c r="CG352" i="17"/>
  <c r="CG350" i="17"/>
  <c r="CG348" i="17"/>
  <c r="CF383" i="17"/>
  <c r="CF381" i="17"/>
  <c r="CF379" i="17"/>
  <c r="CF377" i="17"/>
  <c r="CF375" i="17"/>
  <c r="CF373" i="17"/>
  <c r="CF371" i="17"/>
  <c r="CF369" i="17"/>
  <c r="CF367" i="17"/>
  <c r="CF365" i="17"/>
  <c r="CF363" i="17"/>
  <c r="CF358" i="17"/>
  <c r="CF356" i="17"/>
  <c r="CF354" i="17"/>
  <c r="CF352" i="17"/>
  <c r="CF350" i="17"/>
  <c r="CF348" i="17"/>
  <c r="CD383" i="17"/>
  <c r="CD381" i="17"/>
  <c r="CD379" i="17"/>
  <c r="CD377" i="17"/>
  <c r="CD375" i="17"/>
  <c r="CD373" i="17"/>
  <c r="CD371" i="17"/>
  <c r="CD369" i="17"/>
  <c r="CD367" i="17"/>
  <c r="CD365" i="17"/>
  <c r="CD363" i="17"/>
  <c r="CD358" i="17"/>
  <c r="CD356" i="17"/>
  <c r="CD354" i="17"/>
  <c r="CD352" i="17"/>
  <c r="CD350" i="17"/>
  <c r="CD348" i="17"/>
  <c r="CC383" i="17"/>
  <c r="BX381" i="17"/>
  <c r="CE378" i="17"/>
  <c r="BX376" i="17"/>
  <c r="CB373" i="17"/>
  <c r="BW371" i="17"/>
  <c r="CC368" i="17"/>
  <c r="BY366" i="17"/>
  <c r="CE363" i="17"/>
  <c r="BZ358" i="17"/>
  <c r="BV356" i="17"/>
  <c r="CC353" i="17"/>
  <c r="BY351" i="17"/>
  <c r="CE348" i="17"/>
  <c r="CB383" i="17"/>
  <c r="BW381" i="17"/>
  <c r="CC378" i="17"/>
  <c r="BW376" i="17"/>
  <c r="CA373" i="17"/>
  <c r="BV371" i="17"/>
  <c r="CB368" i="17"/>
  <c r="BX366" i="17"/>
  <c r="CC363" i="17"/>
  <c r="BY358" i="17"/>
  <c r="CG355" i="17"/>
  <c r="CB353" i="17"/>
  <c r="BX351" i="17"/>
  <c r="CC348" i="17"/>
  <c r="CA383" i="17"/>
  <c r="BV381" i="17"/>
  <c r="CB378" i="17"/>
  <c r="BV376" i="17"/>
  <c r="BZ373" i="17"/>
  <c r="CG370" i="17"/>
  <c r="CA368" i="17"/>
  <c r="BW366" i="17"/>
  <c r="CB363" i="17"/>
  <c r="BX358" i="17"/>
  <c r="CF355" i="17"/>
  <c r="CA353" i="17"/>
  <c r="BW351" i="17"/>
  <c r="CB348" i="17"/>
  <c r="BZ383" i="17"/>
  <c r="CG380" i="17"/>
  <c r="CA378" i="17"/>
  <c r="CE375" i="17"/>
  <c r="BY373" i="17"/>
  <c r="CF370" i="17"/>
  <c r="BZ368" i="17"/>
  <c r="BV366" i="17"/>
  <c r="CA363" i="17"/>
  <c r="BW358" i="17"/>
  <c r="CE355" i="17"/>
  <c r="BZ353" i="17"/>
  <c r="BV351" i="17"/>
  <c r="CA348" i="17"/>
  <c r="BY383" i="17"/>
  <c r="CF380" i="17"/>
  <c r="BY378" i="17"/>
  <c r="CC375" i="17"/>
  <c r="BX373" i="17"/>
  <c r="CE370" i="17"/>
  <c r="BY368" i="17"/>
  <c r="CE365" i="17"/>
  <c r="BZ363" i="17"/>
  <c r="BV358" i="17"/>
  <c r="CC355" i="17"/>
  <c r="BY353" i="17"/>
  <c r="CE350" i="17"/>
  <c r="BZ348" i="17"/>
  <c r="BX383" i="17"/>
  <c r="CE380" i="17"/>
  <c r="BX378" i="17"/>
  <c r="CB375" i="17"/>
  <c r="BW373" i="17"/>
  <c r="CC370" i="17"/>
  <c r="BX368" i="17"/>
  <c r="CC365" i="17"/>
  <c r="BY363" i="17"/>
  <c r="CG357" i="17"/>
  <c r="CB355" i="17"/>
  <c r="BX353" i="17"/>
  <c r="CC350" i="17"/>
  <c r="BY348" i="17"/>
  <c r="BW383" i="17"/>
  <c r="CC380" i="17"/>
  <c r="BW378" i="17"/>
  <c r="CA375" i="17"/>
  <c r="BV373" i="17"/>
  <c r="CB370" i="17"/>
  <c r="BW368" i="17"/>
  <c r="CB365" i="17"/>
  <c r="BX363" i="17"/>
  <c r="CF357" i="17"/>
  <c r="CA355" i="17"/>
  <c r="BW353" i="17"/>
  <c r="CB350" i="17"/>
  <c r="BX348" i="17"/>
  <c r="BV383" i="17"/>
  <c r="CB380" i="17"/>
  <c r="BV378" i="17"/>
  <c r="BZ375" i="17"/>
  <c r="CG372" i="17"/>
  <c r="CA370" i="17"/>
  <c r="BV368" i="17"/>
  <c r="CA365" i="17"/>
  <c r="BW363" i="17"/>
  <c r="CE357" i="17"/>
  <c r="BZ355" i="17"/>
  <c r="BV353" i="17"/>
  <c r="CA350" i="17"/>
  <c r="BW348" i="17"/>
  <c r="CG382" i="17"/>
  <c r="CA380" i="17"/>
  <c r="CE377" i="17"/>
  <c r="BY375" i="17"/>
  <c r="CF372" i="17"/>
  <c r="BY370" i="17"/>
  <c r="CE367" i="17"/>
  <c r="BZ365" i="17"/>
  <c r="BV363" i="17"/>
  <c r="CC357" i="17"/>
  <c r="BY355" i="17"/>
  <c r="CE352" i="17"/>
  <c r="BZ350" i="17"/>
  <c r="BV348" i="17"/>
  <c r="CF382" i="17"/>
  <c r="BY380" i="17"/>
  <c r="CC377" i="17"/>
  <c r="BX375" i="17"/>
  <c r="CE372" i="17"/>
  <c r="BX370" i="17"/>
  <c r="CC367" i="17"/>
  <c r="BY365" i="17"/>
  <c r="CG360" i="17"/>
  <c r="CB357" i="17"/>
  <c r="BX355" i="17"/>
  <c r="CC352" i="17"/>
  <c r="BY350" i="17"/>
  <c r="CE382" i="17"/>
  <c r="BX380" i="17"/>
  <c r="CB377" i="17"/>
  <c r="BW375" i="17"/>
  <c r="CC372" i="17"/>
  <c r="BW370" i="17"/>
  <c r="CB367" i="17"/>
  <c r="BX365" i="17"/>
  <c r="CF360" i="17"/>
  <c r="CA357" i="17"/>
  <c r="BW355" i="17"/>
  <c r="CB352" i="17"/>
  <c r="BX350" i="17"/>
  <c r="CC382" i="17"/>
  <c r="BW380" i="17"/>
  <c r="CA377" i="17"/>
  <c r="BV375" i="17"/>
  <c r="CB372" i="17"/>
  <c r="BV370" i="17"/>
  <c r="CA367" i="17"/>
  <c r="BW365" i="17"/>
  <c r="CE360" i="17"/>
  <c r="BZ357" i="17"/>
  <c r="BV355" i="17"/>
  <c r="CA352" i="17"/>
  <c r="BW350" i="17"/>
  <c r="CB382" i="17"/>
  <c r="BV380" i="17"/>
  <c r="BZ377" i="17"/>
  <c r="CG374" i="17"/>
  <c r="CA372" i="17"/>
  <c r="CE369" i="17"/>
  <c r="BZ367" i="17"/>
  <c r="BV365" i="17"/>
  <c r="CC360" i="17"/>
  <c r="BY357" i="17"/>
  <c r="CE354" i="17"/>
  <c r="BZ352" i="17"/>
  <c r="BV350" i="17"/>
  <c r="CA382" i="17"/>
  <c r="CE379" i="17"/>
  <c r="BY377" i="17"/>
  <c r="CF374" i="17"/>
  <c r="BY372" i="17"/>
  <c r="CC369" i="17"/>
  <c r="BY367" i="17"/>
  <c r="CG364" i="17"/>
  <c r="CB360" i="17"/>
  <c r="BX357" i="17"/>
  <c r="CC354" i="17"/>
  <c r="BY352" i="17"/>
  <c r="CG349" i="17"/>
  <c r="BY382" i="17"/>
  <c r="CC379" i="17"/>
  <c r="BX377" i="17"/>
  <c r="CE374" i="17"/>
  <c r="BX372" i="17"/>
  <c r="CB369" i="17"/>
  <c r="BX367" i="17"/>
  <c r="CF364" i="17"/>
  <c r="CA360" i="17"/>
  <c r="BW357" i="17"/>
  <c r="CB354" i="17"/>
  <c r="BX352" i="17"/>
  <c r="CF349" i="17"/>
  <c r="BX382" i="17"/>
  <c r="CB379" i="17"/>
  <c r="BW377" i="17"/>
  <c r="CC374" i="17"/>
  <c r="BW372" i="17"/>
  <c r="BW382" i="17"/>
  <c r="CA379" i="17"/>
  <c r="BV377" i="17"/>
  <c r="CB374" i="17"/>
  <c r="BV372" i="17"/>
  <c r="BZ369" i="17"/>
  <c r="BV367" i="17"/>
  <c r="CC364" i="17"/>
  <c r="BY360" i="17"/>
  <c r="CE356" i="17"/>
  <c r="BZ354" i="17"/>
  <c r="BV352" i="17"/>
  <c r="CC349" i="17"/>
  <c r="BV382" i="17"/>
  <c r="BZ379" i="17"/>
  <c r="CG376" i="17"/>
  <c r="CA374" i="17"/>
  <c r="CE371" i="17"/>
  <c r="BY369" i="17"/>
  <c r="CG366" i="17"/>
  <c r="CB364" i="17"/>
  <c r="BX360" i="17"/>
  <c r="CC356" i="17"/>
  <c r="BY354" i="17"/>
  <c r="CG351" i="17"/>
  <c r="CB349" i="17"/>
  <c r="CE381" i="17"/>
  <c r="BY379" i="17"/>
  <c r="CF376" i="17"/>
  <c r="BY374" i="17"/>
  <c r="CC371" i="17"/>
  <c r="BX369" i="17"/>
  <c r="CF366" i="17"/>
  <c r="CA364" i="17"/>
  <c r="BW360" i="17"/>
  <c r="CB356" i="17"/>
  <c r="BX354" i="17"/>
  <c r="CF351" i="17"/>
  <c r="CA349" i="17"/>
  <c r="CC381" i="17"/>
  <c r="BX379" i="17"/>
  <c r="CE376" i="17"/>
  <c r="BX374" i="17"/>
  <c r="CB371" i="17"/>
  <c r="BW369" i="17"/>
  <c r="CE366" i="17"/>
  <c r="BZ364" i="17"/>
  <c r="BV360" i="17"/>
  <c r="CA356" i="17"/>
  <c r="BW354" i="17"/>
  <c r="CE351" i="17"/>
  <c r="BZ349" i="17"/>
  <c r="CB381" i="17"/>
  <c r="BW379" i="17"/>
  <c r="CC376" i="17"/>
  <c r="BW374" i="17"/>
  <c r="CA371" i="17"/>
  <c r="BV369" i="17"/>
  <c r="CC366" i="17"/>
  <c r="BY364" i="17"/>
  <c r="CE358" i="17"/>
  <c r="BZ356" i="17"/>
  <c r="BV354" i="17"/>
  <c r="CC351" i="17"/>
  <c r="BY349" i="17"/>
  <c r="CA381" i="17"/>
  <c r="BV379" i="17"/>
  <c r="CB376" i="17"/>
  <c r="BV374" i="17"/>
  <c r="BZ371" i="17"/>
  <c r="CG368" i="17"/>
  <c r="CB366" i="17"/>
  <c r="BX364" i="17"/>
  <c r="CC358" i="17"/>
  <c r="BY356" i="17"/>
  <c r="CE383" i="17"/>
  <c r="BY381" i="17"/>
  <c r="CF378" i="17"/>
  <c r="BY376" i="17"/>
  <c r="CC373" i="17"/>
  <c r="BX371" i="17"/>
  <c r="CE368" i="17"/>
  <c r="BZ366" i="17"/>
  <c r="BV364" i="17"/>
  <c r="CA358" i="17"/>
  <c r="BW356" i="17"/>
  <c r="CE353" i="17"/>
  <c r="BZ351" i="17"/>
  <c r="BV349" i="17"/>
  <c r="CA369" i="17"/>
  <c r="BK383" i="17"/>
  <c r="BK381" i="17"/>
  <c r="BK379" i="17"/>
  <c r="CF368" i="17"/>
  <c r="BW367" i="17"/>
  <c r="BI383" i="17"/>
  <c r="BI381" i="17"/>
  <c r="BI379" i="17"/>
  <c r="CA366" i="17"/>
  <c r="CE364" i="17"/>
  <c r="BW364" i="17"/>
  <c r="BZ360" i="17"/>
  <c r="CB358" i="17"/>
  <c r="BV357" i="17"/>
  <c r="BO382" i="17"/>
  <c r="BO380" i="17"/>
  <c r="BO378" i="17"/>
  <c r="BX356" i="17"/>
  <c r="CA354" i="17"/>
  <c r="CG353" i="17"/>
  <c r="CF353" i="17"/>
  <c r="BW352" i="17"/>
  <c r="CB351" i="17"/>
  <c r="CA351" i="17"/>
  <c r="CE349" i="17"/>
  <c r="BX349" i="17"/>
  <c r="BW349" i="17"/>
  <c r="BZ381" i="17"/>
  <c r="CG378" i="17"/>
  <c r="CA376" i="17"/>
  <c r="BY371" i="17"/>
  <c r="BQ383" i="17"/>
  <c r="BN381" i="17"/>
  <c r="BJ379" i="17"/>
  <c r="BH377" i="17"/>
  <c r="BH375" i="17"/>
  <c r="BH373" i="17"/>
  <c r="BH371" i="17"/>
  <c r="BH369" i="17"/>
  <c r="BH367" i="17"/>
  <c r="BH365" i="17"/>
  <c r="BH363" i="17"/>
  <c r="BH358" i="17"/>
  <c r="BH356" i="17"/>
  <c r="BH354" i="17"/>
  <c r="BH352" i="17"/>
  <c r="BH350" i="17"/>
  <c r="BH348" i="17"/>
  <c r="CE373" i="17"/>
  <c r="BP383" i="17"/>
  <c r="BM381" i="17"/>
  <c r="BH379" i="17"/>
  <c r="BS376" i="17"/>
  <c r="BS374" i="17"/>
  <c r="BS372" i="17"/>
  <c r="BS370" i="17"/>
  <c r="BS368" i="17"/>
  <c r="BS366" i="17"/>
  <c r="BS364" i="17"/>
  <c r="BS360" i="17"/>
  <c r="BS357" i="17"/>
  <c r="BS355" i="17"/>
  <c r="BS353" i="17"/>
  <c r="BS351" i="17"/>
  <c r="BS349" i="17"/>
  <c r="BO383" i="17"/>
  <c r="BL381" i="17"/>
  <c r="BS378" i="17"/>
  <c r="BR376" i="17"/>
  <c r="BR374" i="17"/>
  <c r="BR372" i="17"/>
  <c r="BR370" i="17"/>
  <c r="BR368" i="17"/>
  <c r="BR366" i="17"/>
  <c r="BR364" i="17"/>
  <c r="BR360" i="17"/>
  <c r="BR357" i="17"/>
  <c r="BR355" i="17"/>
  <c r="BR353" i="17"/>
  <c r="BR351" i="17"/>
  <c r="BR349" i="17"/>
  <c r="BN383" i="17"/>
  <c r="BJ381" i="17"/>
  <c r="BR378" i="17"/>
  <c r="BQ376" i="17"/>
  <c r="BQ374" i="17"/>
  <c r="BQ372" i="17"/>
  <c r="BQ370" i="17"/>
  <c r="BQ368" i="17"/>
  <c r="BQ366" i="17"/>
  <c r="BQ364" i="17"/>
  <c r="BQ360" i="17"/>
  <c r="BQ357" i="17"/>
  <c r="BQ355" i="17"/>
  <c r="BQ353" i="17"/>
  <c r="BQ351" i="17"/>
  <c r="BQ349" i="17"/>
  <c r="BM383" i="17"/>
  <c r="BH381" i="17"/>
  <c r="BQ378" i="17"/>
  <c r="BP376" i="17"/>
  <c r="BP374" i="17"/>
  <c r="BP372" i="17"/>
  <c r="BP370" i="17"/>
  <c r="BP368" i="17"/>
  <c r="BP366" i="17"/>
  <c r="BP364" i="17"/>
  <c r="BP360" i="17"/>
  <c r="BP357" i="17"/>
  <c r="BP355" i="17"/>
  <c r="BP353" i="17"/>
  <c r="BP351" i="17"/>
  <c r="BP349" i="17"/>
  <c r="BL383" i="17"/>
  <c r="BS380" i="17"/>
  <c r="BP378" i="17"/>
  <c r="BO376" i="17"/>
  <c r="BO374" i="17"/>
  <c r="BO372" i="17"/>
  <c r="BO370" i="17"/>
  <c r="BO368" i="17"/>
  <c r="BO366" i="17"/>
  <c r="BO364" i="17"/>
  <c r="BO360" i="17"/>
  <c r="BO357" i="17"/>
  <c r="BO355" i="17"/>
  <c r="BO353" i="17"/>
  <c r="BO351" i="17"/>
  <c r="BO349" i="17"/>
  <c r="BJ383" i="17"/>
  <c r="BR380" i="17"/>
  <c r="BN378" i="17"/>
  <c r="BN376" i="17"/>
  <c r="BN374" i="17"/>
  <c r="BN372" i="17"/>
  <c r="BN370" i="17"/>
  <c r="BN368" i="17"/>
  <c r="BN366" i="17"/>
  <c r="BN364" i="17"/>
  <c r="BN360" i="17"/>
  <c r="BN357" i="17"/>
  <c r="BN355" i="17"/>
  <c r="BN353" i="17"/>
  <c r="BN351" i="17"/>
  <c r="BN349" i="17"/>
  <c r="BH383" i="17"/>
  <c r="BQ380" i="17"/>
  <c r="BM378" i="17"/>
  <c r="BM376" i="17"/>
  <c r="BM374" i="17"/>
  <c r="BM372" i="17"/>
  <c r="BM370" i="17"/>
  <c r="BM368" i="17"/>
  <c r="BM366" i="17"/>
  <c r="BM364" i="17"/>
  <c r="BM360" i="17"/>
  <c r="BM357" i="17"/>
  <c r="BM355" i="17"/>
  <c r="BM353" i="17"/>
  <c r="BM351" i="17"/>
  <c r="BM349" i="17"/>
  <c r="BS382" i="17"/>
  <c r="BP380" i="17"/>
  <c r="BL378" i="17"/>
  <c r="BL376" i="17"/>
  <c r="BL374" i="17"/>
  <c r="BL372" i="17"/>
  <c r="BL370" i="17"/>
  <c r="BL368" i="17"/>
  <c r="BL366" i="17"/>
  <c r="BL364" i="17"/>
  <c r="BL360" i="17"/>
  <c r="BL357" i="17"/>
  <c r="BL355" i="17"/>
  <c r="BL353" i="17"/>
  <c r="BL351" i="17"/>
  <c r="BL349" i="17"/>
  <c r="BR382" i="17"/>
  <c r="BN380" i="17"/>
  <c r="BK378" i="17"/>
  <c r="BK376" i="17"/>
  <c r="BK374" i="17"/>
  <c r="BK372" i="17"/>
  <c r="BK370" i="17"/>
  <c r="BK368" i="17"/>
  <c r="BK366" i="17"/>
  <c r="BK364" i="17"/>
  <c r="BK360" i="17"/>
  <c r="BK357" i="17"/>
  <c r="BK355" i="17"/>
  <c r="BK353" i="17"/>
  <c r="BK351" i="17"/>
  <c r="BK349" i="17"/>
  <c r="BQ382" i="17"/>
  <c r="BM380" i="17"/>
  <c r="BJ378" i="17"/>
  <c r="BJ376" i="17"/>
  <c r="BJ374" i="17"/>
  <c r="BJ372" i="17"/>
  <c r="BJ370" i="17"/>
  <c r="BJ368" i="17"/>
  <c r="BJ366" i="17"/>
  <c r="BJ364" i="17"/>
  <c r="BJ360" i="17"/>
  <c r="BJ357" i="17"/>
  <c r="BJ355" i="17"/>
  <c r="BJ353" i="17"/>
  <c r="BJ351" i="17"/>
  <c r="BJ349" i="17"/>
  <c r="BP382" i="17"/>
  <c r="BL380" i="17"/>
  <c r="BI378" i="17"/>
  <c r="BI376" i="17"/>
  <c r="BI374" i="17"/>
  <c r="BI372" i="17"/>
  <c r="BI370" i="17"/>
  <c r="BI368" i="17"/>
  <c r="BI366" i="17"/>
  <c r="BI364" i="17"/>
  <c r="BI360" i="17"/>
  <c r="BI357" i="17"/>
  <c r="BI355" i="17"/>
  <c r="BI353" i="17"/>
  <c r="BI351" i="17"/>
  <c r="BI349" i="17"/>
  <c r="BN382" i="17"/>
  <c r="BK380" i="17"/>
  <c r="BH378" i="17"/>
  <c r="BH376" i="17"/>
  <c r="BH374" i="17"/>
  <c r="BH372" i="17"/>
  <c r="BH370" i="17"/>
  <c r="BH368" i="17"/>
  <c r="BH366" i="17"/>
  <c r="BH364" i="17"/>
  <c r="BH360" i="17"/>
  <c r="BH357" i="17"/>
  <c r="BH355" i="17"/>
  <c r="BH353" i="17"/>
  <c r="BH351" i="17"/>
  <c r="BH349" i="17"/>
  <c r="BM382" i="17"/>
  <c r="BJ380" i="17"/>
  <c r="BS377" i="17"/>
  <c r="BS375" i="17"/>
  <c r="BS373" i="17"/>
  <c r="BS371" i="17"/>
  <c r="BS369" i="17"/>
  <c r="BS367" i="17"/>
  <c r="BS365" i="17"/>
  <c r="BS363" i="17"/>
  <c r="BS358" i="17"/>
  <c r="BS356" i="17"/>
  <c r="BS354" i="17"/>
  <c r="BS352" i="17"/>
  <c r="BS350" i="17"/>
  <c r="BS348" i="17"/>
  <c r="BL382" i="17"/>
  <c r="BI380" i="17"/>
  <c r="BR377" i="17"/>
  <c r="BR375" i="17"/>
  <c r="BR373" i="17"/>
  <c r="BR371" i="17"/>
  <c r="BR369" i="17"/>
  <c r="BR367" i="17"/>
  <c r="BR365" i="17"/>
  <c r="BR363" i="17"/>
  <c r="BR358" i="17"/>
  <c r="BR356" i="17"/>
  <c r="BR354" i="17"/>
  <c r="BR352" i="17"/>
  <c r="BR350" i="17"/>
  <c r="BR348" i="17"/>
  <c r="BK382" i="17"/>
  <c r="BH380" i="17"/>
  <c r="BQ377" i="17"/>
  <c r="BQ375" i="17"/>
  <c r="BQ373" i="17"/>
  <c r="BQ371" i="17"/>
  <c r="BQ369" i="17"/>
  <c r="BQ367" i="17"/>
  <c r="BQ365" i="17"/>
  <c r="BQ363" i="17"/>
  <c r="BQ358" i="17"/>
  <c r="BQ356" i="17"/>
  <c r="BQ354" i="17"/>
  <c r="BQ352" i="17"/>
  <c r="BQ350" i="17"/>
  <c r="BQ348" i="17"/>
  <c r="BJ382" i="17"/>
  <c r="BS379" i="17"/>
  <c r="BP377" i="17"/>
  <c r="BP375" i="17"/>
  <c r="BP373" i="17"/>
  <c r="BP371" i="17"/>
  <c r="BP369" i="17"/>
  <c r="BP367" i="17"/>
  <c r="BP365" i="17"/>
  <c r="BP363" i="17"/>
  <c r="BP358" i="17"/>
  <c r="BP356" i="17"/>
  <c r="BP354" i="17"/>
  <c r="BP352" i="17"/>
  <c r="BP350" i="17"/>
  <c r="BP348" i="17"/>
  <c r="BI382" i="17"/>
  <c r="BR379" i="17"/>
  <c r="BO377" i="17"/>
  <c r="BO375" i="17"/>
  <c r="BO373" i="17"/>
  <c r="BO371" i="17"/>
  <c r="BO369" i="17"/>
  <c r="BO367" i="17"/>
  <c r="BO365" i="17"/>
  <c r="BO363" i="17"/>
  <c r="BO358" i="17"/>
  <c r="BO356" i="17"/>
  <c r="BO354" i="17"/>
  <c r="BO352" i="17"/>
  <c r="BO350" i="17"/>
  <c r="BO348" i="17"/>
  <c r="BH382" i="17"/>
  <c r="BQ379" i="17"/>
  <c r="BN377" i="17"/>
  <c r="BN375" i="17"/>
  <c r="BN373" i="17"/>
  <c r="BN371" i="17"/>
  <c r="BN369" i="17"/>
  <c r="BN367" i="17"/>
  <c r="BN365" i="17"/>
  <c r="BN363" i="17"/>
  <c r="BN358" i="17"/>
  <c r="BN356" i="17"/>
  <c r="BN354" i="17"/>
  <c r="BN352" i="17"/>
  <c r="BN350" i="17"/>
  <c r="BN348" i="17"/>
  <c r="BS381" i="17"/>
  <c r="BP379" i="17"/>
  <c r="BM377" i="17"/>
  <c r="BM375" i="17"/>
  <c r="BM373" i="17"/>
  <c r="BM371" i="17"/>
  <c r="BM369" i="17"/>
  <c r="BM367" i="17"/>
  <c r="BM365" i="17"/>
  <c r="BM363" i="17"/>
  <c r="BM358" i="17"/>
  <c r="BM356" i="17"/>
  <c r="BM354" i="17"/>
  <c r="BM352" i="17"/>
  <c r="BM350" i="17"/>
  <c r="BM348" i="17"/>
  <c r="BR383" i="17"/>
  <c r="BO381" i="17"/>
  <c r="BL379" i="17"/>
  <c r="BI377" i="17"/>
  <c r="BI375" i="17"/>
  <c r="BI373" i="17"/>
  <c r="BI371" i="17"/>
  <c r="BI369" i="17"/>
  <c r="BI367" i="17"/>
  <c r="BI365" i="17"/>
  <c r="BI363" i="17"/>
  <c r="BI358" i="17"/>
  <c r="BI356" i="17"/>
  <c r="BI354" i="17"/>
  <c r="BI352" i="17"/>
  <c r="BI350" i="17"/>
  <c r="BI348" i="17"/>
  <c r="BK375" i="17"/>
  <c r="BK356" i="17"/>
  <c r="BJ375" i="17"/>
  <c r="BJ356" i="17"/>
  <c r="BL373" i="17"/>
  <c r="BL354" i="17"/>
  <c r="BK373" i="17"/>
  <c r="BK354" i="17"/>
  <c r="BJ373" i="17"/>
  <c r="BJ354" i="17"/>
  <c r="BL371" i="17"/>
  <c r="BL352" i="17"/>
  <c r="BK371" i="17"/>
  <c r="BK352" i="17"/>
  <c r="BJ371" i="17"/>
  <c r="BJ352" i="17"/>
  <c r="BL369" i="17"/>
  <c r="BL350" i="17"/>
  <c r="BK369" i="17"/>
  <c r="BK350" i="17"/>
  <c r="BJ369" i="17"/>
  <c r="BJ350" i="17"/>
  <c r="BL367" i="17"/>
  <c r="BL348" i="17"/>
  <c r="BK367" i="17"/>
  <c r="BK348" i="17"/>
  <c r="BS383" i="17"/>
  <c r="BJ367" i="17"/>
  <c r="BJ348" i="17"/>
  <c r="BR381" i="17"/>
  <c r="BL365" i="17"/>
  <c r="BQ381" i="17"/>
  <c r="BK365" i="17"/>
  <c r="BP381" i="17"/>
  <c r="BJ365" i="17"/>
  <c r="BO379" i="17"/>
  <c r="BL363" i="17"/>
  <c r="BN379" i="17"/>
  <c r="BK363" i="17"/>
  <c r="BM379" i="17"/>
  <c r="BJ363" i="17"/>
  <c r="BL377" i="17"/>
  <c r="BL358" i="17"/>
  <c r="BK377" i="17"/>
  <c r="BK358" i="17"/>
  <c r="BL375" i="17"/>
  <c r="BL356" i="17"/>
  <c r="AY383" i="17"/>
  <c r="AY381" i="17"/>
  <c r="AY379" i="17"/>
  <c r="AY377" i="17"/>
  <c r="AY375" i="17"/>
  <c r="AY373" i="17"/>
  <c r="AY371" i="17"/>
  <c r="AY369" i="17"/>
  <c r="AY367" i="17"/>
  <c r="AY365" i="17"/>
  <c r="AY363" i="17"/>
  <c r="AY358" i="17"/>
  <c r="AY356" i="17"/>
  <c r="AY354" i="17"/>
  <c r="AY352" i="17"/>
  <c r="AY350" i="17"/>
  <c r="AY348" i="17"/>
  <c r="AX383" i="17"/>
  <c r="AX381" i="17"/>
  <c r="AX379" i="17"/>
  <c r="AX377" i="17"/>
  <c r="AX375" i="17"/>
  <c r="AX373" i="17"/>
  <c r="AX371" i="17"/>
  <c r="AX369" i="17"/>
  <c r="AX367" i="17"/>
  <c r="AX365" i="17"/>
  <c r="AX363" i="17"/>
  <c r="AX358" i="17"/>
  <c r="AX356" i="17"/>
  <c r="AX354" i="17"/>
  <c r="AX352" i="17"/>
  <c r="AX350" i="17"/>
  <c r="AX348" i="17"/>
  <c r="AW383" i="17"/>
  <c r="AW381" i="17"/>
  <c r="AW379" i="17"/>
  <c r="AW377" i="17"/>
  <c r="AW375" i="17"/>
  <c r="AW373" i="17"/>
  <c r="AW371" i="17"/>
  <c r="AW369" i="17"/>
  <c r="AW367" i="17"/>
  <c r="AW365" i="17"/>
  <c r="AW363" i="17"/>
  <c r="AW358" i="17"/>
  <c r="AW356" i="17"/>
  <c r="AW354" i="17"/>
  <c r="AW352" i="17"/>
  <c r="AW350" i="17"/>
  <c r="AW348" i="17"/>
  <c r="AV383" i="17"/>
  <c r="AV381" i="17"/>
  <c r="AV379" i="17"/>
  <c r="AV377" i="17"/>
  <c r="AV375" i="17"/>
  <c r="AV373" i="17"/>
  <c r="AV371" i="17"/>
  <c r="AV369" i="17"/>
  <c r="AV367" i="17"/>
  <c r="AV365" i="17"/>
  <c r="AV363" i="17"/>
  <c r="AV358" i="17"/>
  <c r="AV356" i="17"/>
  <c r="AV354" i="17"/>
  <c r="AV352" i="17"/>
  <c r="AV350" i="17"/>
  <c r="AV348" i="17"/>
  <c r="AU383" i="17"/>
  <c r="AU381" i="17"/>
  <c r="AU379" i="17"/>
  <c r="AU377" i="17"/>
  <c r="AU375" i="17"/>
  <c r="AU373" i="17"/>
  <c r="AU371" i="17"/>
  <c r="AU369" i="17"/>
  <c r="AU367" i="17"/>
  <c r="AU365" i="17"/>
  <c r="AU363" i="17"/>
  <c r="AU358" i="17"/>
  <c r="AU356" i="17"/>
  <c r="AU354" i="17"/>
  <c r="AU352" i="17"/>
  <c r="AU350" i="17"/>
  <c r="AU348" i="17"/>
  <c r="BJ377" i="17"/>
  <c r="AT383" i="17"/>
  <c r="AT381" i="17"/>
  <c r="AT379" i="17"/>
  <c r="AT377" i="17"/>
  <c r="AT375" i="17"/>
  <c r="AT373" i="17"/>
  <c r="AT371" i="17"/>
  <c r="AT369" i="17"/>
  <c r="AT367" i="17"/>
  <c r="AT365" i="17"/>
  <c r="AT363" i="17"/>
  <c r="AT358" i="17"/>
  <c r="AT356" i="17"/>
  <c r="AT354" i="17"/>
  <c r="AT352" i="17"/>
  <c r="AT350" i="17"/>
  <c r="AT348" i="17"/>
  <c r="BJ358" i="17"/>
  <c r="BE382" i="17"/>
  <c r="BE380" i="17"/>
  <c r="BE378" i="17"/>
  <c r="BE376" i="17"/>
  <c r="BE374" i="17"/>
  <c r="BE372" i="17"/>
  <c r="BE370" i="17"/>
  <c r="BE368" i="17"/>
  <c r="BE366" i="17"/>
  <c r="BE364" i="17"/>
  <c r="BE360" i="17"/>
  <c r="BE357" i="17"/>
  <c r="BE355" i="17"/>
  <c r="BE353" i="17"/>
  <c r="BE351" i="17"/>
  <c r="BE349" i="17"/>
  <c r="BD382" i="17"/>
  <c r="BD380" i="17"/>
  <c r="BD378" i="17"/>
  <c r="BD376" i="17"/>
  <c r="BD374" i="17"/>
  <c r="BD372" i="17"/>
  <c r="BD370" i="17"/>
  <c r="BD368" i="17"/>
  <c r="BD366" i="17"/>
  <c r="BD364" i="17"/>
  <c r="BD360" i="17"/>
  <c r="BD357" i="17"/>
  <c r="BD355" i="17"/>
  <c r="BC382" i="17"/>
  <c r="BC380" i="17"/>
  <c r="BC378" i="17"/>
  <c r="BC376" i="17"/>
  <c r="BC374" i="17"/>
  <c r="BC372" i="17"/>
  <c r="BC370" i="17"/>
  <c r="BC368" i="17"/>
  <c r="BC366" i="17"/>
  <c r="BC364" i="17"/>
  <c r="BC360" i="17"/>
  <c r="BC357" i="17"/>
  <c r="BC355" i="17"/>
  <c r="BC353" i="17"/>
  <c r="BC351" i="17"/>
  <c r="BC349" i="17"/>
  <c r="BB382" i="17"/>
  <c r="BB380" i="17"/>
  <c r="BB378" i="17"/>
  <c r="BB376" i="17"/>
  <c r="BB374" i="17"/>
  <c r="BB372" i="17"/>
  <c r="BB370" i="17"/>
  <c r="BB368" i="17"/>
  <c r="BB366" i="17"/>
  <c r="BB364" i="17"/>
  <c r="BB360" i="17"/>
  <c r="BB357" i="17"/>
  <c r="BB355" i="17"/>
  <c r="BB353" i="17"/>
  <c r="BB351" i="17"/>
  <c r="BB349" i="17"/>
  <c r="BA382" i="17"/>
  <c r="BA380" i="17"/>
  <c r="BA378" i="17"/>
  <c r="BA376" i="17"/>
  <c r="BA374" i="17"/>
  <c r="BA372" i="17"/>
  <c r="BA370" i="17"/>
  <c r="BA368" i="17"/>
  <c r="BA366" i="17"/>
  <c r="BA364" i="17"/>
  <c r="BA360" i="17"/>
  <c r="BA357" i="17"/>
  <c r="BA355" i="17"/>
  <c r="BA353" i="17"/>
  <c r="BA351" i="17"/>
  <c r="BA349" i="17"/>
  <c r="AZ382" i="17"/>
  <c r="AZ380" i="17"/>
  <c r="AZ378" i="17"/>
  <c r="AZ376" i="17"/>
  <c r="AZ374" i="17"/>
  <c r="AZ372" i="17"/>
  <c r="AZ370" i="17"/>
  <c r="AZ368" i="17"/>
  <c r="AZ366" i="17"/>
  <c r="AZ364" i="17"/>
  <c r="AZ360" i="17"/>
  <c r="AZ357" i="17"/>
  <c r="AZ355" i="17"/>
  <c r="AZ353" i="17"/>
  <c r="AZ351" i="17"/>
  <c r="AZ349" i="17"/>
  <c r="AY382" i="17"/>
  <c r="AY380" i="17"/>
  <c r="AY378" i="17"/>
  <c r="AY376" i="17"/>
  <c r="AY374" i="17"/>
  <c r="AY372" i="17"/>
  <c r="AY370" i="17"/>
  <c r="AY368" i="17"/>
  <c r="AY366" i="17"/>
  <c r="AY364" i="17"/>
  <c r="AY360" i="17"/>
  <c r="AY357" i="17"/>
  <c r="AY355" i="17"/>
  <c r="AY353" i="17"/>
  <c r="AY351" i="17"/>
  <c r="AY349" i="17"/>
  <c r="AX382" i="17"/>
  <c r="AX380" i="17"/>
  <c r="AX378" i="17"/>
  <c r="AX376" i="17"/>
  <c r="AX374" i="17"/>
  <c r="AX372" i="17"/>
  <c r="AX370" i="17"/>
  <c r="AX368" i="17"/>
  <c r="AX366" i="17"/>
  <c r="AX364" i="17"/>
  <c r="AX360" i="17"/>
  <c r="AX357" i="17"/>
  <c r="AX355" i="17"/>
  <c r="AX353" i="17"/>
  <c r="AX351" i="17"/>
  <c r="AX349" i="17"/>
  <c r="AW382" i="17"/>
  <c r="AW380" i="17"/>
  <c r="AW378" i="17"/>
  <c r="AW376" i="17"/>
  <c r="AW374" i="17"/>
  <c r="AW372" i="17"/>
  <c r="AW370" i="17"/>
  <c r="AW368" i="17"/>
  <c r="AW366" i="17"/>
  <c r="AW364" i="17"/>
  <c r="AW360" i="17"/>
  <c r="AW357" i="17"/>
  <c r="AW355" i="17"/>
  <c r="AW353" i="17"/>
  <c r="AW351" i="17"/>
  <c r="AW349" i="17"/>
  <c r="AU382" i="17"/>
  <c r="AU380" i="17"/>
  <c r="AU378" i="17"/>
  <c r="AU376" i="17"/>
  <c r="AU374" i="17"/>
  <c r="AU372" i="17"/>
  <c r="AU370" i="17"/>
  <c r="AU368" i="17"/>
  <c r="AU366" i="17"/>
  <c r="AU364" i="17"/>
  <c r="AU360" i="17"/>
  <c r="AT382" i="17"/>
  <c r="AT380" i="17"/>
  <c r="AT378" i="17"/>
  <c r="AT376" i="17"/>
  <c r="AT374" i="17"/>
  <c r="AT372" i="17"/>
  <c r="AT370" i="17"/>
  <c r="AT368" i="17"/>
  <c r="AT366" i="17"/>
  <c r="BE383" i="17"/>
  <c r="BE381" i="17"/>
  <c r="BE379" i="17"/>
  <c r="BE377" i="17"/>
  <c r="BE375" i="17"/>
  <c r="BE373" i="17"/>
  <c r="BE371" i="17"/>
  <c r="BE369" i="17"/>
  <c r="BE367" i="17"/>
  <c r="BE365" i="17"/>
  <c r="BE363" i="17"/>
  <c r="BE358" i="17"/>
  <c r="BE356" i="17"/>
  <c r="BE354" i="17"/>
  <c r="BE352" i="17"/>
  <c r="BE350" i="17"/>
  <c r="BE348" i="17"/>
  <c r="BD383" i="17"/>
  <c r="BD381" i="17"/>
  <c r="BD379" i="17"/>
  <c r="BD377" i="17"/>
  <c r="BD375" i="17"/>
  <c r="BD373" i="17"/>
  <c r="BD371" i="17"/>
  <c r="BD369" i="17"/>
  <c r="BD367" i="17"/>
  <c r="BC383" i="17"/>
  <c r="BC381" i="17"/>
  <c r="BC379" i="17"/>
  <c r="BC377" i="17"/>
  <c r="BC375" i="17"/>
  <c r="BC373" i="17"/>
  <c r="BC371" i="17"/>
  <c r="BC369" i="17"/>
  <c r="BC367" i="17"/>
  <c r="BC365" i="17"/>
  <c r="BC363" i="17"/>
  <c r="BC358" i="17"/>
  <c r="BC356" i="17"/>
  <c r="BC354" i="17"/>
  <c r="BA383" i="17"/>
  <c r="BA381" i="17"/>
  <c r="BA379" i="17"/>
  <c r="BA377" i="17"/>
  <c r="BA375" i="17"/>
  <c r="BA373" i="17"/>
  <c r="BA371" i="17"/>
  <c r="BA369" i="17"/>
  <c r="BA367" i="17"/>
  <c r="BA365" i="17"/>
  <c r="BA363" i="17"/>
  <c r="BA358" i="17"/>
  <c r="BA356" i="17"/>
  <c r="BA354" i="17"/>
  <c r="BA352" i="17"/>
  <c r="BA350" i="17"/>
  <c r="BA348" i="17"/>
  <c r="AV380" i="17"/>
  <c r="AZ365" i="17"/>
  <c r="AV353" i="17"/>
  <c r="BB379" i="17"/>
  <c r="AV364" i="17"/>
  <c r="AU353" i="17"/>
  <c r="AZ379" i="17"/>
  <c r="AT364" i="17"/>
  <c r="AT353" i="17"/>
  <c r="AV378" i="17"/>
  <c r="BD363" i="17"/>
  <c r="BD352" i="17"/>
  <c r="BB377" i="17"/>
  <c r="BB363" i="17"/>
  <c r="BC352" i="17"/>
  <c r="AZ377" i="17"/>
  <c r="AZ363" i="17"/>
  <c r="BB352" i="17"/>
  <c r="AV376" i="17"/>
  <c r="AV360" i="17"/>
  <c r="AZ352" i="17"/>
  <c r="BB375" i="17"/>
  <c r="AT360" i="17"/>
  <c r="BD351" i="17"/>
  <c r="AZ375" i="17"/>
  <c r="BD358" i="17"/>
  <c r="AV351" i="17"/>
  <c r="AV374" i="17"/>
  <c r="BB358" i="17"/>
  <c r="AU351" i="17"/>
  <c r="BB373" i="17"/>
  <c r="AZ358" i="17"/>
  <c r="AT351" i="17"/>
  <c r="AZ373" i="17"/>
  <c r="AV357" i="17"/>
  <c r="BD350" i="17"/>
  <c r="AV372" i="17"/>
  <c r="AU357" i="17"/>
  <c r="BC350" i="17"/>
  <c r="BB371" i="17"/>
  <c r="AT357" i="17"/>
  <c r="BB350" i="17"/>
  <c r="AZ371" i="17"/>
  <c r="BD356" i="17"/>
  <c r="AZ350" i="17"/>
  <c r="AV370" i="17"/>
  <c r="BB356" i="17"/>
  <c r="BD349" i="17"/>
  <c r="BB369" i="17"/>
  <c r="AZ356" i="17"/>
  <c r="AV349" i="17"/>
  <c r="AZ369" i="17"/>
  <c r="AV355" i="17"/>
  <c r="AU349" i="17"/>
  <c r="AV368" i="17"/>
  <c r="AU355" i="17"/>
  <c r="AT349" i="17"/>
  <c r="BB383" i="17"/>
  <c r="BB367" i="17"/>
  <c r="AT355" i="17"/>
  <c r="BD348" i="17"/>
  <c r="AZ383" i="17"/>
  <c r="AZ367" i="17"/>
  <c r="BD354" i="17"/>
  <c r="BC348" i="17"/>
  <c r="AZ381" i="17"/>
  <c r="BB365" i="17"/>
  <c r="BD353" i="17"/>
  <c r="U383" i="17"/>
  <c r="U381" i="17"/>
  <c r="U379" i="17"/>
  <c r="U377" i="17"/>
  <c r="U375" i="17"/>
  <c r="U373" i="17"/>
  <c r="U371" i="17"/>
  <c r="U369" i="17"/>
  <c r="U367" i="17"/>
  <c r="U365" i="17"/>
  <c r="U363" i="17"/>
  <c r="U358" i="17"/>
  <c r="U356" i="17"/>
  <c r="U354" i="17"/>
  <c r="U352" i="17"/>
  <c r="U350" i="17"/>
  <c r="U348" i="17"/>
  <c r="T383" i="17"/>
  <c r="T381" i="17"/>
  <c r="T379" i="17"/>
  <c r="T377" i="17"/>
  <c r="T375" i="17"/>
  <c r="T373" i="17"/>
  <c r="T371" i="17"/>
  <c r="T369" i="17"/>
  <c r="T367" i="17"/>
  <c r="T365" i="17"/>
  <c r="T363" i="17"/>
  <c r="T358" i="17"/>
  <c r="T356" i="17"/>
  <c r="T354" i="17"/>
  <c r="T352" i="17"/>
  <c r="T350" i="17"/>
  <c r="T348" i="17"/>
  <c r="S383" i="17"/>
  <c r="S381" i="17"/>
  <c r="S379" i="17"/>
  <c r="S377" i="17"/>
  <c r="S375" i="17"/>
  <c r="S373" i="17"/>
  <c r="S371" i="17"/>
  <c r="S369" i="17"/>
  <c r="S367" i="17"/>
  <c r="S365" i="17"/>
  <c r="S363" i="17"/>
  <c r="S358" i="17"/>
  <c r="S356" i="17"/>
  <c r="S354" i="17"/>
  <c r="S352" i="17"/>
  <c r="S350" i="17"/>
  <c r="S348" i="17"/>
  <c r="R383" i="17"/>
  <c r="R381" i="17"/>
  <c r="R379" i="17"/>
  <c r="R377" i="17"/>
  <c r="R375" i="17"/>
  <c r="R373" i="17"/>
  <c r="R371" i="17"/>
  <c r="R369" i="17"/>
  <c r="R367" i="17"/>
  <c r="R365" i="17"/>
  <c r="R363" i="17"/>
  <c r="R358" i="17"/>
  <c r="R356" i="17"/>
  <c r="R354" i="17"/>
  <c r="R352" i="17"/>
  <c r="R350" i="17"/>
  <c r="R348" i="17"/>
  <c r="AC382" i="17"/>
  <c r="AC380" i="17"/>
  <c r="AC378" i="17"/>
  <c r="AC376" i="17"/>
  <c r="AC374" i="17"/>
  <c r="AC372" i="17"/>
  <c r="AC370" i="17"/>
  <c r="AC368" i="17"/>
  <c r="AC366" i="17"/>
  <c r="AC364" i="17"/>
  <c r="AC360" i="17"/>
  <c r="AC357" i="17"/>
  <c r="AC355" i="17"/>
  <c r="AC353" i="17"/>
  <c r="AC351" i="17"/>
  <c r="AC349" i="17"/>
  <c r="AB382" i="17"/>
  <c r="AB380" i="17"/>
  <c r="AB378" i="17"/>
  <c r="AB376" i="17"/>
  <c r="AB374" i="17"/>
  <c r="AB372" i="17"/>
  <c r="AB370" i="17"/>
  <c r="AB368" i="17"/>
  <c r="AB366" i="17"/>
  <c r="AB364" i="17"/>
  <c r="AB360" i="17"/>
  <c r="AB357" i="17"/>
  <c r="AB355" i="17"/>
  <c r="AB353" i="17"/>
  <c r="AA382" i="17"/>
  <c r="AA380" i="17"/>
  <c r="AA378" i="17"/>
  <c r="AA376" i="17"/>
  <c r="AA374" i="17"/>
  <c r="AA372" i="17"/>
  <c r="AA370" i="17"/>
  <c r="AA368" i="17"/>
  <c r="AA366" i="17"/>
  <c r="AA364" i="17"/>
  <c r="AA360" i="17"/>
  <c r="AA357" i="17"/>
  <c r="AA355" i="17"/>
  <c r="AA353" i="17"/>
  <c r="AA351" i="17"/>
  <c r="Z382" i="17"/>
  <c r="Z380" i="17"/>
  <c r="Y382" i="17"/>
  <c r="Y380" i="17"/>
  <c r="Y378" i="17"/>
  <c r="Y376" i="17"/>
  <c r="Y374" i="17"/>
  <c r="Y372" i="17"/>
  <c r="Y370" i="17"/>
  <c r="Y368" i="17"/>
  <c r="Y366" i="17"/>
  <c r="Y364" i="17"/>
  <c r="Y360" i="17"/>
  <c r="X382" i="17"/>
  <c r="X380" i="17"/>
  <c r="X378" i="17"/>
  <c r="X376" i="17"/>
  <c r="X374" i="17"/>
  <c r="X372" i="17"/>
  <c r="X370" i="17"/>
  <c r="X368" i="17"/>
  <c r="X366" i="17"/>
  <c r="X364" i="17"/>
  <c r="X360" i="17"/>
  <c r="X357" i="17"/>
  <c r="X355" i="17"/>
  <c r="X353" i="17"/>
  <c r="X351" i="17"/>
  <c r="X349" i="17"/>
  <c r="W382" i="17"/>
  <c r="W380" i="17"/>
  <c r="W378" i="17"/>
  <c r="W376" i="17"/>
  <c r="W374" i="17"/>
  <c r="W372" i="17"/>
  <c r="W370" i="17"/>
  <c r="W368" i="17"/>
  <c r="W366" i="17"/>
  <c r="W364" i="17"/>
  <c r="W360" i="17"/>
  <c r="W357" i="17"/>
  <c r="W355" i="17"/>
  <c r="W353" i="17"/>
  <c r="W351" i="17"/>
  <c r="W349" i="17"/>
  <c r="V382" i="17"/>
  <c r="V380" i="17"/>
  <c r="V378" i="17"/>
  <c r="V376" i="17"/>
  <c r="V374" i="17"/>
  <c r="V372" i="17"/>
  <c r="V370" i="17"/>
  <c r="V368" i="17"/>
  <c r="U382" i="17"/>
  <c r="U380" i="17"/>
  <c r="U378" i="17"/>
  <c r="U376" i="17"/>
  <c r="U374" i="17"/>
  <c r="U372" i="17"/>
  <c r="U370" i="17"/>
  <c r="U368" i="17"/>
  <c r="U366" i="17"/>
  <c r="U364" i="17"/>
  <c r="U360" i="17"/>
  <c r="U357" i="17"/>
  <c r="U355" i="17"/>
  <c r="U353" i="17"/>
  <c r="U351" i="17"/>
  <c r="U349" i="17"/>
  <c r="AV382" i="17"/>
  <c r="T382" i="17"/>
  <c r="T380" i="17"/>
  <c r="T378" i="17"/>
  <c r="T376" i="17"/>
  <c r="T374" i="17"/>
  <c r="T372" i="17"/>
  <c r="T370" i="17"/>
  <c r="T368" i="17"/>
  <c r="T366" i="17"/>
  <c r="T364" i="17"/>
  <c r="BB381" i="17"/>
  <c r="S382" i="17"/>
  <c r="S380" i="17"/>
  <c r="S378" i="17"/>
  <c r="S376" i="17"/>
  <c r="S374" i="17"/>
  <c r="S372" i="17"/>
  <c r="S370" i="17"/>
  <c r="S368" i="17"/>
  <c r="S366" i="17"/>
  <c r="S364" i="17"/>
  <c r="S360" i="17"/>
  <c r="S357" i="17"/>
  <c r="S355" i="17"/>
  <c r="S353" i="17"/>
  <c r="S351" i="17"/>
  <c r="S349" i="17"/>
  <c r="AV366" i="17"/>
  <c r="R382" i="17"/>
  <c r="R380" i="17"/>
  <c r="R378" i="17"/>
  <c r="R376" i="17"/>
  <c r="R374" i="17"/>
  <c r="R372" i="17"/>
  <c r="R370" i="17"/>
  <c r="R368" i="17"/>
  <c r="R366" i="17"/>
  <c r="R364" i="17"/>
  <c r="R360" i="17"/>
  <c r="R357" i="17"/>
  <c r="R355" i="17"/>
  <c r="R353" i="17"/>
  <c r="R351" i="17"/>
  <c r="BD365" i="17"/>
  <c r="BB354" i="17"/>
  <c r="AB383" i="17"/>
  <c r="AB381" i="17"/>
  <c r="AB379" i="17"/>
  <c r="AZ354" i="17"/>
  <c r="AA383" i="17"/>
  <c r="AA381" i="17"/>
  <c r="AA379" i="17"/>
  <c r="AA377" i="17"/>
  <c r="AA375" i="17"/>
  <c r="AA373" i="17"/>
  <c r="AA371" i="17"/>
  <c r="AA369" i="17"/>
  <c r="AA367" i="17"/>
  <c r="AA365" i="17"/>
  <c r="BB348" i="17"/>
  <c r="Z383" i="17"/>
  <c r="Z381" i="17"/>
  <c r="Z379" i="17"/>
  <c r="Z377" i="17"/>
  <c r="Z375" i="17"/>
  <c r="Z373" i="17"/>
  <c r="Z371" i="17"/>
  <c r="Z369" i="17"/>
  <c r="Z367" i="17"/>
  <c r="Z365" i="17"/>
  <c r="Z363" i="17"/>
  <c r="Z358" i="17"/>
  <c r="Z356" i="17"/>
  <c r="AZ348" i="17"/>
  <c r="Y383" i="17"/>
  <c r="Y381" i="17"/>
  <c r="Y379" i="17"/>
  <c r="Y377" i="17"/>
  <c r="Y375" i="17"/>
  <c r="Y373" i="17"/>
  <c r="Y371" i="17"/>
  <c r="Y369" i="17"/>
  <c r="Y367" i="17"/>
  <c r="Y365" i="17"/>
  <c r="Y363" i="17"/>
  <c r="Y358" i="17"/>
  <c r="Y356" i="17"/>
  <c r="Y354" i="17"/>
  <c r="V383" i="17"/>
  <c r="V381" i="17"/>
  <c r="V379" i="17"/>
  <c r="V377" i="17"/>
  <c r="V375" i="17"/>
  <c r="V373" i="17"/>
  <c r="V371" i="17"/>
  <c r="AB375" i="17"/>
  <c r="V367" i="17"/>
  <c r="V358" i="17"/>
  <c r="V353" i="17"/>
  <c r="AA349" i="17"/>
  <c r="X375" i="17"/>
  <c r="Z366" i="17"/>
  <c r="Z357" i="17"/>
  <c r="T353" i="17"/>
  <c r="Z349" i="17"/>
  <c r="W375" i="17"/>
  <c r="V366" i="17"/>
  <c r="Y357" i="17"/>
  <c r="AC352" i="17"/>
  <c r="Y349" i="17"/>
  <c r="Z374" i="17"/>
  <c r="AC365" i="17"/>
  <c r="V357" i="17"/>
  <c r="AB352" i="17"/>
  <c r="V349" i="17"/>
  <c r="AC373" i="17"/>
  <c r="AB365" i="17"/>
  <c r="T357" i="17"/>
  <c r="AA352" i="17"/>
  <c r="T349" i="17"/>
  <c r="AB373" i="17"/>
  <c r="X365" i="17"/>
  <c r="AC356" i="17"/>
  <c r="Z352" i="17"/>
  <c r="R349" i="17"/>
  <c r="X373" i="17"/>
  <c r="W365" i="17"/>
  <c r="AB356" i="17"/>
  <c r="Y352" i="17"/>
  <c r="AC348" i="17"/>
  <c r="W373" i="17"/>
  <c r="V365" i="17"/>
  <c r="AA356" i="17"/>
  <c r="X352" i="17"/>
  <c r="AB348" i="17"/>
  <c r="AC383" i="17"/>
  <c r="Z372" i="17"/>
  <c r="Z364" i="17"/>
  <c r="X356" i="17"/>
  <c r="W352" i="17"/>
  <c r="AA348" i="17"/>
  <c r="X383" i="17"/>
  <c r="AC371" i="17"/>
  <c r="V364" i="17"/>
  <c r="W356" i="17"/>
  <c r="V352" i="17"/>
  <c r="Z348" i="17"/>
  <c r="W383" i="17"/>
  <c r="AB371" i="17"/>
  <c r="AC363" i="17"/>
  <c r="V356" i="17"/>
  <c r="AB351" i="17"/>
  <c r="Y348" i="17"/>
  <c r="AC381" i="17"/>
  <c r="X371" i="17"/>
  <c r="AB363" i="17"/>
  <c r="Z355" i="17"/>
  <c r="Z351" i="17"/>
  <c r="X348" i="17"/>
  <c r="X381" i="17"/>
  <c r="W371" i="17"/>
  <c r="AA363" i="17"/>
  <c r="Y355" i="17"/>
  <c r="Y351" i="17"/>
  <c r="W348" i="17"/>
  <c r="W381" i="17"/>
  <c r="Z370" i="17"/>
  <c r="X363" i="17"/>
  <c r="V355" i="17"/>
  <c r="V351" i="17"/>
  <c r="V348" i="17"/>
  <c r="AC379" i="17"/>
  <c r="AC369" i="17"/>
  <c r="W363" i="17"/>
  <c r="T355" i="17"/>
  <c r="T351" i="17"/>
  <c r="X379" i="17"/>
  <c r="AB369" i="17"/>
  <c r="V363" i="17"/>
  <c r="AC354" i="17"/>
  <c r="AC350" i="17"/>
  <c r="W379" i="17"/>
  <c r="X369" i="17"/>
  <c r="Z360" i="17"/>
  <c r="AB354" i="17"/>
  <c r="AB350" i="17"/>
  <c r="Z378" i="17"/>
  <c r="W369" i="17"/>
  <c r="V360" i="17"/>
  <c r="AA354" i="17"/>
  <c r="AA350" i="17"/>
  <c r="AC377" i="17"/>
  <c r="V369" i="17"/>
  <c r="T360" i="17"/>
  <c r="Z354" i="17"/>
  <c r="Z350" i="17"/>
  <c r="AB377" i="17"/>
  <c r="Z368" i="17"/>
  <c r="AC358" i="17"/>
  <c r="X354" i="17"/>
  <c r="Y350" i="17"/>
  <c r="X377" i="17"/>
  <c r="AC367" i="17"/>
  <c r="AB358" i="17"/>
  <c r="W354" i="17"/>
  <c r="X350" i="17"/>
  <c r="AC375" i="17"/>
  <c r="W367" i="17"/>
  <c r="W358" i="17"/>
  <c r="Y353" i="17"/>
  <c r="AB349" i="17"/>
  <c r="R13" i="17"/>
  <c r="S7" i="17"/>
  <c r="S37" i="17"/>
  <c r="T30" i="17"/>
  <c r="U26" i="17"/>
  <c r="V18" i="17"/>
  <c r="W11" i="17"/>
  <c r="W41" i="17"/>
  <c r="X36" i="17"/>
  <c r="Y30" i="17"/>
  <c r="Z24" i="17"/>
  <c r="AA18" i="17"/>
  <c r="AB11" i="17"/>
  <c r="AB41" i="17"/>
  <c r="AC35" i="17"/>
  <c r="Z83" i="17"/>
  <c r="AC85" i="17"/>
  <c r="T88" i="17"/>
  <c r="Z90" i="17"/>
  <c r="R94" i="17"/>
  <c r="V98" i="17"/>
  <c r="AB100" i="17"/>
  <c r="T103" i="17"/>
  <c r="Z105" i="17"/>
  <c r="R108" i="17"/>
  <c r="W110" i="17"/>
  <c r="R113" i="17"/>
  <c r="Y115" i="17"/>
  <c r="R120" i="17"/>
  <c r="AA122" i="17"/>
  <c r="Y125" i="17"/>
  <c r="U128" i="17"/>
  <c r="W132" i="17"/>
  <c r="U137" i="17"/>
  <c r="AA140" i="17"/>
  <c r="Z144" i="17"/>
  <c r="AB148" i="17"/>
  <c r="Y154" i="17"/>
  <c r="Y166" i="17"/>
  <c r="X191" i="17"/>
  <c r="X249" i="17"/>
  <c r="AB277" i="17"/>
  <c r="V350" i="17"/>
  <c r="AT136" i="17"/>
  <c r="CU209" i="17"/>
  <c r="BS209" i="17"/>
  <c r="AQ209" i="17"/>
  <c r="CU207" i="17"/>
  <c r="BS207" i="17"/>
  <c r="AQ207" i="17"/>
  <c r="CT209" i="17"/>
  <c r="BR209" i="17"/>
  <c r="AP209" i="17"/>
  <c r="CT207" i="17"/>
  <c r="BR207" i="17"/>
  <c r="AP207" i="17"/>
  <c r="CS209" i="17"/>
  <c r="BQ209" i="17"/>
  <c r="AO209" i="17"/>
  <c r="CS207" i="17"/>
  <c r="BQ207" i="17"/>
  <c r="AO207" i="17"/>
  <c r="CR209" i="17"/>
  <c r="BP209" i="17"/>
  <c r="AN209" i="17"/>
  <c r="CR207" i="17"/>
  <c r="BP207" i="17"/>
  <c r="AN207" i="17"/>
  <c r="CQ209" i="17"/>
  <c r="BO209" i="17"/>
  <c r="AM209" i="17"/>
  <c r="CQ207" i="17"/>
  <c r="BO207" i="17"/>
  <c r="AM207" i="17"/>
  <c r="CP209" i="17"/>
  <c r="BN209" i="17"/>
  <c r="AL209" i="17"/>
  <c r="CP207" i="17"/>
  <c r="BN207" i="17"/>
  <c r="AL207" i="17"/>
  <c r="CO209" i="17"/>
  <c r="BM209" i="17"/>
  <c r="AK209" i="17"/>
  <c r="CO207" i="17"/>
  <c r="BM207" i="17"/>
  <c r="AK207" i="17"/>
  <c r="CN209" i="17"/>
  <c r="BL209" i="17"/>
  <c r="AJ209" i="17"/>
  <c r="CN207" i="17"/>
  <c r="BL207" i="17"/>
  <c r="AJ207" i="17"/>
  <c r="CM209" i="17"/>
  <c r="BK209" i="17"/>
  <c r="AI209" i="17"/>
  <c r="CL209" i="17"/>
  <c r="BJ209" i="17"/>
  <c r="AH209" i="17"/>
  <c r="CK209" i="17"/>
  <c r="BI209" i="17"/>
  <c r="AG209" i="17"/>
  <c r="CJ209" i="17"/>
  <c r="BH209" i="17"/>
  <c r="AF209" i="17"/>
  <c r="CJ207" i="17"/>
  <c r="BH207" i="17"/>
  <c r="AF207" i="17"/>
  <c r="CG209" i="17"/>
  <c r="BE209" i="17"/>
  <c r="AC209" i="17"/>
  <c r="CG207" i="17"/>
  <c r="BE207" i="17"/>
  <c r="AC207" i="17"/>
  <c r="CF209" i="17"/>
  <c r="BD209" i="17"/>
  <c r="AB209" i="17"/>
  <c r="CF207" i="17"/>
  <c r="BD207" i="17"/>
  <c r="AB207" i="17"/>
  <c r="CE209" i="17"/>
  <c r="BC209" i="17"/>
  <c r="AA209" i="17"/>
  <c r="CE207" i="17"/>
  <c r="BC207" i="17"/>
  <c r="AA207" i="17"/>
  <c r="CD209" i="17"/>
  <c r="BB209" i="17"/>
  <c r="Z209" i="17"/>
  <c r="CD207" i="17"/>
  <c r="BB207" i="17"/>
  <c r="Z207" i="17"/>
  <c r="CC209" i="17"/>
  <c r="BA209" i="17"/>
  <c r="Y209" i="17"/>
  <c r="CC207" i="17"/>
  <c r="BA207" i="17"/>
  <c r="CB209" i="17"/>
  <c r="AZ209" i="17"/>
  <c r="X209" i="17"/>
  <c r="CB207" i="17"/>
  <c r="AZ207" i="17"/>
  <c r="CA209" i="17"/>
  <c r="AY209" i="17"/>
  <c r="W209" i="17"/>
  <c r="BZ209" i="17"/>
  <c r="AX209" i="17"/>
  <c r="V209" i="17"/>
  <c r="BY209" i="17"/>
  <c r="AW209" i="17"/>
  <c r="U209" i="17"/>
  <c r="BX209" i="17"/>
  <c r="AV209" i="17"/>
  <c r="T209" i="17"/>
  <c r="BW209" i="17"/>
  <c r="AU209" i="17"/>
  <c r="S209" i="17"/>
  <c r="BV209" i="17"/>
  <c r="AT209" i="17"/>
  <c r="R209" i="17"/>
  <c r="AG207" i="17"/>
  <c r="Y207" i="17"/>
  <c r="X207" i="17"/>
  <c r="W207" i="17"/>
  <c r="CM207" i="17"/>
  <c r="V207" i="17"/>
  <c r="CL207" i="17"/>
  <c r="U207" i="17"/>
  <c r="CK207" i="17"/>
  <c r="T207" i="17"/>
  <c r="CA207" i="17"/>
  <c r="S207" i="17"/>
  <c r="BZ207" i="17"/>
  <c r="R207" i="17"/>
  <c r="BY207" i="17"/>
  <c r="BX207" i="17"/>
  <c r="BW207" i="17"/>
  <c r="BV207" i="17"/>
  <c r="BK207" i="17"/>
  <c r="BJ207" i="17"/>
  <c r="BI207" i="17"/>
  <c r="AY207" i="17"/>
  <c r="AX207" i="17"/>
  <c r="AW207" i="17"/>
  <c r="AV207" i="17"/>
  <c r="AU207" i="17"/>
  <c r="AT207" i="17"/>
  <c r="AH207" i="17"/>
  <c r="BV210" i="17"/>
  <c r="AT210" i="17"/>
  <c r="R210" i="17"/>
  <c r="CU210" i="17"/>
  <c r="BS210" i="17"/>
  <c r="AQ210" i="17"/>
  <c r="CT210" i="17"/>
  <c r="BR210" i="17"/>
  <c r="AP210" i="17"/>
  <c r="AI207" i="17"/>
  <c r="CS210" i="17"/>
  <c r="BQ210" i="17"/>
  <c r="AO210" i="17"/>
  <c r="CR210" i="17"/>
  <c r="BP210" i="17"/>
  <c r="AN210" i="17"/>
  <c r="CQ210" i="17"/>
  <c r="BO210" i="17"/>
  <c r="AM210" i="17"/>
  <c r="CP210" i="17"/>
  <c r="BN210" i="17"/>
  <c r="AL210" i="17"/>
  <c r="CN210" i="17"/>
  <c r="BL210" i="17"/>
  <c r="CM210" i="17"/>
  <c r="BK210" i="17"/>
  <c r="AI210" i="17"/>
  <c r="CL210" i="17"/>
  <c r="BJ210" i="17"/>
  <c r="AH210" i="17"/>
  <c r="CJ210" i="17"/>
  <c r="BH210" i="17"/>
  <c r="AF210" i="17"/>
  <c r="CG210" i="17"/>
  <c r="BE210" i="17"/>
  <c r="AC210" i="17"/>
  <c r="CF210" i="17"/>
  <c r="BD210" i="17"/>
  <c r="AB210" i="17"/>
  <c r="CE210" i="17"/>
  <c r="BC210" i="17"/>
  <c r="CA210" i="17"/>
  <c r="U210" i="17"/>
  <c r="AM230" i="17"/>
  <c r="AM228" i="17"/>
  <c r="AM226" i="17"/>
  <c r="AM224" i="17"/>
  <c r="BZ210" i="17"/>
  <c r="T210" i="17"/>
  <c r="AL230" i="17"/>
  <c r="AL228" i="17"/>
  <c r="AL226" i="17"/>
  <c r="BY210" i="17"/>
  <c r="S210" i="17"/>
  <c r="BX210" i="17"/>
  <c r="BW210" i="17"/>
  <c r="BM210" i="17"/>
  <c r="BI210" i="17"/>
  <c r="BB210" i="17"/>
  <c r="BA210" i="17"/>
  <c r="AZ210" i="17"/>
  <c r="AY210" i="17"/>
  <c r="AX210" i="17"/>
  <c r="AW210" i="17"/>
  <c r="AV210" i="17"/>
  <c r="AU210" i="17"/>
  <c r="AK210" i="17"/>
  <c r="AJ210" i="17"/>
  <c r="AG210" i="17"/>
  <c r="AA210" i="17"/>
  <c r="CO210" i="17"/>
  <c r="Z210" i="17"/>
  <c r="CK210" i="17"/>
  <c r="Y210" i="17"/>
  <c r="CD210" i="17"/>
  <c r="X210" i="17"/>
  <c r="CB210" i="17"/>
  <c r="V210" i="17"/>
  <c r="AP231" i="17"/>
  <c r="AN229" i="17"/>
  <c r="AL227" i="17"/>
  <c r="AJ225" i="17"/>
  <c r="AI223" i="17"/>
  <c r="AI221" i="17"/>
  <c r="AI219" i="17"/>
  <c r="AI217" i="17"/>
  <c r="AI215" i="17"/>
  <c r="AI213" i="17"/>
  <c r="AI211" i="17"/>
  <c r="AI206" i="17"/>
  <c r="AI204" i="17"/>
  <c r="AI202" i="17"/>
  <c r="AI200" i="17"/>
  <c r="AI198" i="17"/>
  <c r="AI196" i="17"/>
  <c r="AO231" i="17"/>
  <c r="AM229" i="17"/>
  <c r="AK227" i="17"/>
  <c r="AI225" i="17"/>
  <c r="AH223" i="17"/>
  <c r="AH221" i="17"/>
  <c r="AH219" i="17"/>
  <c r="AH217" i="17"/>
  <c r="AH215" i="17"/>
  <c r="AH213" i="17"/>
  <c r="AH211" i="17"/>
  <c r="AH206" i="17"/>
  <c r="AH204" i="17"/>
  <c r="AH202" i="17"/>
  <c r="AH200" i="17"/>
  <c r="AH198" i="17"/>
  <c r="AH196" i="17"/>
  <c r="AN231" i="17"/>
  <c r="AL229" i="17"/>
  <c r="AJ227" i="17"/>
  <c r="AH225" i="17"/>
  <c r="AG223" i="17"/>
  <c r="AG221" i="17"/>
  <c r="AG219" i="17"/>
  <c r="AG217" i="17"/>
  <c r="AG215" i="17"/>
  <c r="AG213" i="17"/>
  <c r="AG211" i="17"/>
  <c r="AG206" i="17"/>
  <c r="AG204" i="17"/>
  <c r="AG202" i="17"/>
  <c r="AG200" i="17"/>
  <c r="AG198" i="17"/>
  <c r="AG196" i="17"/>
  <c r="AM231" i="17"/>
  <c r="AK229" i="17"/>
  <c r="AI227" i="17"/>
  <c r="AG225" i="17"/>
  <c r="AF223" i="17"/>
  <c r="AF221" i="17"/>
  <c r="AF219" i="17"/>
  <c r="AF217" i="17"/>
  <c r="AF215" i="17"/>
  <c r="AF213" i="17"/>
  <c r="AF211" i="17"/>
  <c r="AF206" i="17"/>
  <c r="AF204" i="17"/>
  <c r="AF202" i="17"/>
  <c r="AF200" i="17"/>
  <c r="AF198" i="17"/>
  <c r="AF196" i="17"/>
  <c r="AL231" i="17"/>
  <c r="AJ229" i="17"/>
  <c r="AH227" i="17"/>
  <c r="AF225" i="17"/>
  <c r="AQ222" i="17"/>
  <c r="AQ220" i="17"/>
  <c r="AQ218" i="17"/>
  <c r="AQ216" i="17"/>
  <c r="AQ214" i="17"/>
  <c r="AQ212" i="17"/>
  <c r="AQ208" i="17"/>
  <c r="AQ205" i="17"/>
  <c r="AQ203" i="17"/>
  <c r="AQ201" i="17"/>
  <c r="AQ199" i="17"/>
  <c r="AQ197" i="17"/>
  <c r="CC210" i="17"/>
  <c r="AK231" i="17"/>
  <c r="AI229" i="17"/>
  <c r="AG227" i="17"/>
  <c r="AQ224" i="17"/>
  <c r="AP222" i="17"/>
  <c r="AP220" i="17"/>
  <c r="AP218" i="17"/>
  <c r="AP216" i="17"/>
  <c r="AP214" i="17"/>
  <c r="AP212" i="17"/>
  <c r="AP208" i="17"/>
  <c r="AP205" i="17"/>
  <c r="AP203" i="17"/>
  <c r="AP201" i="17"/>
  <c r="AP199" i="17"/>
  <c r="AP197" i="17"/>
  <c r="W210" i="17"/>
  <c r="AJ231" i="17"/>
  <c r="AH229" i="17"/>
  <c r="AF227" i="17"/>
  <c r="AP224" i="17"/>
  <c r="AO222" i="17"/>
  <c r="AO220" i="17"/>
  <c r="AO218" i="17"/>
  <c r="AO216" i="17"/>
  <c r="AO214" i="17"/>
  <c r="AO212" i="17"/>
  <c r="AO208" i="17"/>
  <c r="AO205" i="17"/>
  <c r="AO203" i="17"/>
  <c r="AO201" i="17"/>
  <c r="AO199" i="17"/>
  <c r="AO197" i="17"/>
  <c r="AI231" i="17"/>
  <c r="AG229" i="17"/>
  <c r="AQ226" i="17"/>
  <c r="AO224" i="17"/>
  <c r="AN222" i="17"/>
  <c r="AN220" i="17"/>
  <c r="AN218" i="17"/>
  <c r="AN216" i="17"/>
  <c r="AN214" i="17"/>
  <c r="AN212" i="17"/>
  <c r="AN208" i="17"/>
  <c r="AN205" i="17"/>
  <c r="AN203" i="17"/>
  <c r="AN201" i="17"/>
  <c r="AN199" i="17"/>
  <c r="AN197" i="17"/>
  <c r="AH231" i="17"/>
  <c r="AF229" i="17"/>
  <c r="AP226" i="17"/>
  <c r="AN224" i="17"/>
  <c r="AM222" i="17"/>
  <c r="AM220" i="17"/>
  <c r="AM218" i="17"/>
  <c r="AM216" i="17"/>
  <c r="AM214" i="17"/>
  <c r="AM212" i="17"/>
  <c r="AM208" i="17"/>
  <c r="AM205" i="17"/>
  <c r="AM203" i="17"/>
  <c r="AM201" i="17"/>
  <c r="AM199" i="17"/>
  <c r="AM197" i="17"/>
  <c r="AG231" i="17"/>
  <c r="AQ228" i="17"/>
  <c r="AO226" i="17"/>
  <c r="AL224" i="17"/>
  <c r="AL222" i="17"/>
  <c r="AF231" i="17"/>
  <c r="AP228" i="17"/>
  <c r="AN226" i="17"/>
  <c r="AK224" i="17"/>
  <c r="AK222" i="17"/>
  <c r="AK220" i="17"/>
  <c r="AK218" i="17"/>
  <c r="AK216" i="17"/>
  <c r="AK214" i="17"/>
  <c r="AK212" i="17"/>
  <c r="AK208" i="17"/>
  <c r="AK205" i="17"/>
  <c r="AK203" i="17"/>
  <c r="AK201" i="17"/>
  <c r="AK199" i="17"/>
  <c r="AK197" i="17"/>
  <c r="AQ230" i="17"/>
  <c r="AO228" i="17"/>
  <c r="AK226" i="17"/>
  <c r="AJ224" i="17"/>
  <c r="AJ222" i="17"/>
  <c r="AJ220" i="17"/>
  <c r="AJ218" i="17"/>
  <c r="AJ216" i="17"/>
  <c r="AJ214" i="17"/>
  <c r="AJ212" i="17"/>
  <c r="AP230" i="17"/>
  <c r="AN228" i="17"/>
  <c r="AJ226" i="17"/>
  <c r="AI224" i="17"/>
  <c r="AI222" i="17"/>
  <c r="AI220" i="17"/>
  <c r="AI218" i="17"/>
  <c r="AI216" i="17"/>
  <c r="AI214" i="17"/>
  <c r="AI212" i="17"/>
  <c r="AI208" i="17"/>
  <c r="AI205" i="17"/>
  <c r="AI203" i="17"/>
  <c r="AI201" i="17"/>
  <c r="AI199" i="17"/>
  <c r="AI197" i="17"/>
  <c r="AO230" i="17"/>
  <c r="AK228" i="17"/>
  <c r="AI226" i="17"/>
  <c r="AH224" i="17"/>
  <c r="AH222" i="17"/>
  <c r="AH220" i="17"/>
  <c r="AH218" i="17"/>
  <c r="AH216" i="17"/>
  <c r="AH214" i="17"/>
  <c r="AH212" i="17"/>
  <c r="AH208" i="17"/>
  <c r="AH205" i="17"/>
  <c r="AH203" i="17"/>
  <c r="AH201" i="17"/>
  <c r="AH199" i="17"/>
  <c r="AH197" i="17"/>
  <c r="AN230" i="17"/>
  <c r="AJ228" i="17"/>
  <c r="AH226" i="17"/>
  <c r="AG224" i="17"/>
  <c r="AG222" i="17"/>
  <c r="AG220" i="17"/>
  <c r="AG218" i="17"/>
  <c r="AG216" i="17"/>
  <c r="AG214" i="17"/>
  <c r="AG212" i="17"/>
  <c r="AG208" i="17"/>
  <c r="AG205" i="17"/>
  <c r="AG203" i="17"/>
  <c r="AG201" i="17"/>
  <c r="AG199" i="17"/>
  <c r="AG197" i="17"/>
  <c r="AK230" i="17"/>
  <c r="AI228" i="17"/>
  <c r="AG226" i="17"/>
  <c r="AF224" i="17"/>
  <c r="AF222" i="17"/>
  <c r="AF220" i="17"/>
  <c r="AF218" i="17"/>
  <c r="AF216" i="17"/>
  <c r="AF214" i="17"/>
  <c r="AF212" i="17"/>
  <c r="AF208" i="17"/>
  <c r="AF205" i="17"/>
  <c r="AF203" i="17"/>
  <c r="AF201" i="17"/>
  <c r="AF199" i="17"/>
  <c r="AF197" i="17"/>
  <c r="AJ230" i="17"/>
  <c r="AH228" i="17"/>
  <c r="AF226" i="17"/>
  <c r="AQ223" i="17"/>
  <c r="AQ221" i="17"/>
  <c r="AQ219" i="17"/>
  <c r="AQ217" i="17"/>
  <c r="AQ215" i="17"/>
  <c r="AI230" i="17"/>
  <c r="AG228" i="17"/>
  <c r="AQ225" i="17"/>
  <c r="AP223" i="17"/>
  <c r="AG230" i="17"/>
  <c r="AQ227" i="17"/>
  <c r="AO225" i="17"/>
  <c r="AN223" i="17"/>
  <c r="AQ231" i="17"/>
  <c r="AO229" i="17"/>
  <c r="AM227" i="17"/>
  <c r="AK225" i="17"/>
  <c r="AL221" i="17"/>
  <c r="AL215" i="17"/>
  <c r="AP206" i="17"/>
  <c r="AL202" i="17"/>
  <c r="AJ197" i="17"/>
  <c r="AK221" i="17"/>
  <c r="AK215" i="17"/>
  <c r="AO206" i="17"/>
  <c r="AK202" i="17"/>
  <c r="AQ196" i="17"/>
  <c r="AJ221" i="17"/>
  <c r="AJ215" i="17"/>
  <c r="AN206" i="17"/>
  <c r="AJ202" i="17"/>
  <c r="AP196" i="17"/>
  <c r="AH230" i="17"/>
  <c r="AL220" i="17"/>
  <c r="AL214" i="17"/>
  <c r="AM206" i="17"/>
  <c r="AL201" i="17"/>
  <c r="AO196" i="17"/>
  <c r="AF230" i="17"/>
  <c r="AP219" i="17"/>
  <c r="AQ213" i="17"/>
  <c r="AL206" i="17"/>
  <c r="AJ201" i="17"/>
  <c r="AN196" i="17"/>
  <c r="AQ229" i="17"/>
  <c r="AO219" i="17"/>
  <c r="AP213" i="17"/>
  <c r="AK206" i="17"/>
  <c r="AQ200" i="17"/>
  <c r="AM196" i="17"/>
  <c r="AP229" i="17"/>
  <c r="AN219" i="17"/>
  <c r="AO213" i="17"/>
  <c r="AJ206" i="17"/>
  <c r="AP200" i="17"/>
  <c r="AL196" i="17"/>
  <c r="AF228" i="17"/>
  <c r="AM219" i="17"/>
  <c r="AN213" i="17"/>
  <c r="AL205" i="17"/>
  <c r="AO200" i="17"/>
  <c r="AK196" i="17"/>
  <c r="AP227" i="17"/>
  <c r="AL219" i="17"/>
  <c r="AM213" i="17"/>
  <c r="AJ205" i="17"/>
  <c r="AN200" i="17"/>
  <c r="AJ196" i="17"/>
  <c r="AO227" i="17"/>
  <c r="AK219" i="17"/>
  <c r="AL213" i="17"/>
  <c r="AQ204" i="17"/>
  <c r="AM200" i="17"/>
  <c r="AN227" i="17"/>
  <c r="AJ219" i="17"/>
  <c r="AK213" i="17"/>
  <c r="AP204" i="17"/>
  <c r="AL200" i="17"/>
  <c r="AP225" i="17"/>
  <c r="AL218" i="17"/>
  <c r="AJ213" i="17"/>
  <c r="AO204" i="17"/>
  <c r="AK200" i="17"/>
  <c r="AN225" i="17"/>
  <c r="AP217" i="17"/>
  <c r="AL212" i="17"/>
  <c r="AN204" i="17"/>
  <c r="AJ200" i="17"/>
  <c r="AM225" i="17"/>
  <c r="AO217" i="17"/>
  <c r="AQ211" i="17"/>
  <c r="AM204" i="17"/>
  <c r="AL199" i="17"/>
  <c r="AL225" i="17"/>
  <c r="AN217" i="17"/>
  <c r="AP211" i="17"/>
  <c r="AL204" i="17"/>
  <c r="AJ199" i="17"/>
  <c r="AO223" i="17"/>
  <c r="AM217" i="17"/>
  <c r="AO211" i="17"/>
  <c r="AK204" i="17"/>
  <c r="AQ198" i="17"/>
  <c r="AM223" i="17"/>
  <c r="AL217" i="17"/>
  <c r="AN211" i="17"/>
  <c r="AJ204" i="17"/>
  <c r="AP198" i="17"/>
  <c r="AL223" i="17"/>
  <c r="AK217" i="17"/>
  <c r="AM211" i="17"/>
  <c r="AL203" i="17"/>
  <c r="AO198" i="17"/>
  <c r="AK223" i="17"/>
  <c r="AJ217" i="17"/>
  <c r="AL211" i="17"/>
  <c r="AJ203" i="17"/>
  <c r="AN198" i="17"/>
  <c r="AO221" i="17"/>
  <c r="AO215" i="17"/>
  <c r="AL208" i="17"/>
  <c r="AO202" i="17"/>
  <c r="AK198" i="17"/>
  <c r="AN221" i="17"/>
  <c r="AN215" i="17"/>
  <c r="AJ208" i="17"/>
  <c r="AN202" i="17"/>
  <c r="AJ198" i="17"/>
  <c r="AM221" i="17"/>
  <c r="AM215" i="17"/>
  <c r="AQ206" i="17"/>
  <c r="AM202" i="17"/>
  <c r="AL197" i="17"/>
  <c r="CP231" i="17"/>
  <c r="CP229" i="17"/>
  <c r="CP227" i="17"/>
  <c r="AJ223" i="17"/>
  <c r="AP221" i="17"/>
  <c r="AL216" i="17"/>
  <c r="AP215" i="17"/>
  <c r="AK211" i="17"/>
  <c r="AJ211" i="17"/>
  <c r="AQ202" i="17"/>
  <c r="AP202" i="17"/>
  <c r="AM198" i="17"/>
  <c r="AL198" i="17"/>
  <c r="CQ231" i="17"/>
  <c r="CO229" i="17"/>
  <c r="CN227" i="17"/>
  <c r="CN225" i="17"/>
  <c r="CN223" i="17"/>
  <c r="CN221" i="17"/>
  <c r="CN219" i="17"/>
  <c r="CN217" i="17"/>
  <c r="CN215" i="17"/>
  <c r="CN213" i="17"/>
  <c r="CN211" i="17"/>
  <c r="CN206" i="17"/>
  <c r="CN204" i="17"/>
  <c r="CN202" i="17"/>
  <c r="CN200" i="17"/>
  <c r="CN198" i="17"/>
  <c r="CN196" i="17"/>
  <c r="CO231" i="17"/>
  <c r="CN229" i="17"/>
  <c r="CM227" i="17"/>
  <c r="CM225" i="17"/>
  <c r="CM223" i="17"/>
  <c r="CM221" i="17"/>
  <c r="CM219" i="17"/>
  <c r="CM217" i="17"/>
  <c r="CM215" i="17"/>
  <c r="CM213" i="17"/>
  <c r="CM211" i="17"/>
  <c r="CM206" i="17"/>
  <c r="CM204" i="17"/>
  <c r="CM202" i="17"/>
  <c r="CM200" i="17"/>
  <c r="CM198" i="17"/>
  <c r="CM196" i="17"/>
  <c r="CN231" i="17"/>
  <c r="CM229" i="17"/>
  <c r="CL227" i="17"/>
  <c r="CL225" i="17"/>
  <c r="CL223" i="17"/>
  <c r="CL221" i="17"/>
  <c r="CL219" i="17"/>
  <c r="CL217" i="17"/>
  <c r="CL215" i="17"/>
  <c r="CL213" i="17"/>
  <c r="CL211" i="17"/>
  <c r="CL206" i="17"/>
  <c r="CL204" i="17"/>
  <c r="CL202" i="17"/>
  <c r="CL200" i="17"/>
  <c r="CL198" i="17"/>
  <c r="CL196" i="17"/>
  <c r="CM231" i="17"/>
  <c r="CL229" i="17"/>
  <c r="CK227" i="17"/>
  <c r="CK225" i="17"/>
  <c r="CK223" i="17"/>
  <c r="CK221" i="17"/>
  <c r="CK219" i="17"/>
  <c r="CK217" i="17"/>
  <c r="CK215" i="17"/>
  <c r="CK213" i="17"/>
  <c r="CK211" i="17"/>
  <c r="CK206" i="17"/>
  <c r="CK204" i="17"/>
  <c r="CK202" i="17"/>
  <c r="CK200" i="17"/>
  <c r="CL231" i="17"/>
  <c r="CK229" i="17"/>
  <c r="CJ227" i="17"/>
  <c r="CJ225" i="17"/>
  <c r="CJ223" i="17"/>
  <c r="CJ221" i="17"/>
  <c r="CJ219" i="17"/>
  <c r="CJ217" i="17"/>
  <c r="CJ215" i="17"/>
  <c r="CJ213" i="17"/>
  <c r="CJ211" i="17"/>
  <c r="CJ206" i="17"/>
  <c r="CJ204" i="17"/>
  <c r="CJ202" i="17"/>
  <c r="CJ200" i="17"/>
  <c r="CJ198" i="17"/>
  <c r="CJ196" i="17"/>
  <c r="CK231" i="17"/>
  <c r="CJ229" i="17"/>
  <c r="CU226" i="17"/>
  <c r="CU224" i="17"/>
  <c r="CU222" i="17"/>
  <c r="CU220" i="17"/>
  <c r="CU218" i="17"/>
  <c r="CU216" i="17"/>
  <c r="CU214" i="17"/>
  <c r="CU212" i="17"/>
  <c r="CU208" i="17"/>
  <c r="CU205" i="17"/>
  <c r="CU203" i="17"/>
  <c r="CU201" i="17"/>
  <c r="CU199" i="17"/>
  <c r="CU197" i="17"/>
  <c r="CJ231" i="17"/>
  <c r="CU228" i="17"/>
  <c r="CT226" i="17"/>
  <c r="CT224" i="17"/>
  <c r="CT222" i="17"/>
  <c r="CT220" i="17"/>
  <c r="CT218" i="17"/>
  <c r="CT216" i="17"/>
  <c r="CT214" i="17"/>
  <c r="CT212" i="17"/>
  <c r="CT208" i="17"/>
  <c r="CT205" i="17"/>
  <c r="CT203" i="17"/>
  <c r="CT201" i="17"/>
  <c r="CT199" i="17"/>
  <c r="CT197" i="17"/>
  <c r="CU230" i="17"/>
  <c r="CT228" i="17"/>
  <c r="CS226" i="17"/>
  <c r="CS224" i="17"/>
  <c r="CS222" i="17"/>
  <c r="CS220" i="17"/>
  <c r="CS218" i="17"/>
  <c r="CS216" i="17"/>
  <c r="CS214" i="17"/>
  <c r="CS212" i="17"/>
  <c r="CS208" i="17"/>
  <c r="CS205" i="17"/>
  <c r="CS203" i="17"/>
  <c r="CS201" i="17"/>
  <c r="CS199" i="17"/>
  <c r="CS197" i="17"/>
  <c r="CT230" i="17"/>
  <c r="CS228" i="17"/>
  <c r="CR226" i="17"/>
  <c r="CR224" i="17"/>
  <c r="CR222" i="17"/>
  <c r="CR220" i="17"/>
  <c r="CR218" i="17"/>
  <c r="CR216" i="17"/>
  <c r="CR214" i="17"/>
  <c r="CR212" i="17"/>
  <c r="CR208" i="17"/>
  <c r="CR205" i="17"/>
  <c r="CR203" i="17"/>
  <c r="CR201" i="17"/>
  <c r="CR199" i="17"/>
  <c r="CR197" i="17"/>
  <c r="CS230" i="17"/>
  <c r="CR228" i="17"/>
  <c r="CQ226" i="17"/>
  <c r="CQ224" i="17"/>
  <c r="CQ222" i="17"/>
  <c r="CQ220" i="17"/>
  <c r="CQ218" i="17"/>
  <c r="CQ216" i="17"/>
  <c r="CQ214" i="17"/>
  <c r="CQ212" i="17"/>
  <c r="CQ208" i="17"/>
  <c r="CQ205" i="17"/>
  <c r="CQ203" i="17"/>
  <c r="CQ201" i="17"/>
  <c r="CQ199" i="17"/>
  <c r="CQ197" i="17"/>
  <c r="CR230" i="17"/>
  <c r="CQ228" i="17"/>
  <c r="CP226" i="17"/>
  <c r="CP224" i="17"/>
  <c r="CP222" i="17"/>
  <c r="CP220" i="17"/>
  <c r="CP218" i="17"/>
  <c r="CP216" i="17"/>
  <c r="CP214" i="17"/>
  <c r="CP212" i="17"/>
  <c r="CP208" i="17"/>
  <c r="CP205" i="17"/>
  <c r="CP203" i="17"/>
  <c r="CP201" i="17"/>
  <c r="CP199" i="17"/>
  <c r="CP197" i="17"/>
  <c r="CQ230" i="17"/>
  <c r="CP228" i="17"/>
  <c r="CO226" i="17"/>
  <c r="CO224" i="17"/>
  <c r="CO222" i="17"/>
  <c r="CO220" i="17"/>
  <c r="CO218" i="17"/>
  <c r="CO216" i="17"/>
  <c r="CO214" i="17"/>
  <c r="CO212" i="17"/>
  <c r="CO208" i="17"/>
  <c r="CO205" i="17"/>
  <c r="CO203" i="17"/>
  <c r="CO201" i="17"/>
  <c r="CO199" i="17"/>
  <c r="CO197" i="17"/>
  <c r="CP230" i="17"/>
  <c r="CO228" i="17"/>
  <c r="CN226" i="17"/>
  <c r="CN224" i="17"/>
  <c r="CN222" i="17"/>
  <c r="CN220" i="17"/>
  <c r="CN218" i="17"/>
  <c r="CN216" i="17"/>
  <c r="CN214" i="17"/>
  <c r="CN212" i="17"/>
  <c r="CN208" i="17"/>
  <c r="CN205" i="17"/>
  <c r="CN203" i="17"/>
  <c r="CN201" i="17"/>
  <c r="CN199" i="17"/>
  <c r="CN197" i="17"/>
  <c r="CN230" i="17"/>
  <c r="CM228" i="17"/>
  <c r="CM230" i="17"/>
  <c r="CL228" i="17"/>
  <c r="CK226" i="17"/>
  <c r="CK224" i="17"/>
  <c r="CK222" i="17"/>
  <c r="CK220" i="17"/>
  <c r="CK218" i="17"/>
  <c r="CK216" i="17"/>
  <c r="CK214" i="17"/>
  <c r="CK212" i="17"/>
  <c r="CK208" i="17"/>
  <c r="CK205" i="17"/>
  <c r="CK203" i="17"/>
  <c r="CK201" i="17"/>
  <c r="CK199" i="17"/>
  <c r="CK197" i="17"/>
  <c r="CL230" i="17"/>
  <c r="CK228" i="17"/>
  <c r="CJ226" i="17"/>
  <c r="CJ224" i="17"/>
  <c r="CJ222" i="17"/>
  <c r="CJ220" i="17"/>
  <c r="CJ218" i="17"/>
  <c r="CJ216" i="17"/>
  <c r="CJ214" i="17"/>
  <c r="CJ212" i="17"/>
  <c r="CJ208" i="17"/>
  <c r="CJ205" i="17"/>
  <c r="CJ203" i="17"/>
  <c r="CJ201" i="17"/>
  <c r="CJ199" i="17"/>
  <c r="CJ197" i="17"/>
  <c r="CJ230" i="17"/>
  <c r="CU227" i="17"/>
  <c r="CT225" i="17"/>
  <c r="CT223" i="17"/>
  <c r="CT221" i="17"/>
  <c r="CT219" i="17"/>
  <c r="CT217" i="17"/>
  <c r="CT215" i="17"/>
  <c r="CT213" i="17"/>
  <c r="CT211" i="17"/>
  <c r="CT206" i="17"/>
  <c r="CT204" i="17"/>
  <c r="CT202" i="17"/>
  <c r="CT200" i="17"/>
  <c r="CT198" i="17"/>
  <c r="CT196" i="17"/>
  <c r="CU229" i="17"/>
  <c r="CT227" i="17"/>
  <c r="CS225" i="17"/>
  <c r="CS223" i="17"/>
  <c r="CS221" i="17"/>
  <c r="CS219" i="17"/>
  <c r="CS217" i="17"/>
  <c r="CS215" i="17"/>
  <c r="CS213" i="17"/>
  <c r="CS211" i="17"/>
  <c r="CS206" i="17"/>
  <c r="CS204" i="17"/>
  <c r="CS202" i="17"/>
  <c r="CS200" i="17"/>
  <c r="CS198" i="17"/>
  <c r="CS196" i="17"/>
  <c r="CU231" i="17"/>
  <c r="CT229" i="17"/>
  <c r="CS227" i="17"/>
  <c r="CR225" i="17"/>
  <c r="CR223" i="17"/>
  <c r="CR221" i="17"/>
  <c r="CR219" i="17"/>
  <c r="CR217" i="17"/>
  <c r="CR215" i="17"/>
  <c r="CR213" i="17"/>
  <c r="CR211" i="17"/>
  <c r="CR206" i="17"/>
  <c r="CR204" i="17"/>
  <c r="CR202" i="17"/>
  <c r="CR200" i="17"/>
  <c r="CR198" i="17"/>
  <c r="CR196" i="17"/>
  <c r="CR231" i="17"/>
  <c r="CQ229" i="17"/>
  <c r="CO227" i="17"/>
  <c r="CO225" i="17"/>
  <c r="CO223" i="17"/>
  <c r="CO221" i="17"/>
  <c r="CO219" i="17"/>
  <c r="CO217" i="17"/>
  <c r="CO215" i="17"/>
  <c r="CO213" i="17"/>
  <c r="CO211" i="17"/>
  <c r="CO206" i="17"/>
  <c r="CO204" i="17"/>
  <c r="CO202" i="17"/>
  <c r="CO200" i="17"/>
  <c r="CO198" i="17"/>
  <c r="CO196" i="17"/>
  <c r="CQ225" i="17"/>
  <c r="CU215" i="17"/>
  <c r="CL203" i="17"/>
  <c r="CP225" i="17"/>
  <c r="CQ215" i="17"/>
  <c r="CU202" i="17"/>
  <c r="CM224" i="17"/>
  <c r="CP215" i="17"/>
  <c r="CQ202" i="17"/>
  <c r="CL224" i="17"/>
  <c r="CM214" i="17"/>
  <c r="CP202" i="17"/>
  <c r="CU223" i="17"/>
  <c r="CL214" i="17"/>
  <c r="CM201" i="17"/>
  <c r="CQ223" i="17"/>
  <c r="CU213" i="17"/>
  <c r="CL201" i="17"/>
  <c r="CP223" i="17"/>
  <c r="CQ213" i="17"/>
  <c r="CU200" i="17"/>
  <c r="CM222" i="17"/>
  <c r="CP213" i="17"/>
  <c r="CQ200" i="17"/>
  <c r="CL222" i="17"/>
  <c r="CM212" i="17"/>
  <c r="CP200" i="17"/>
  <c r="CU221" i="17"/>
  <c r="CL212" i="17"/>
  <c r="CM199" i="17"/>
  <c r="CQ221" i="17"/>
  <c r="CU211" i="17"/>
  <c r="CL199" i="17"/>
  <c r="CT231" i="17"/>
  <c r="CP221" i="17"/>
  <c r="CQ211" i="17"/>
  <c r="CU198" i="17"/>
  <c r="CS231" i="17"/>
  <c r="CM220" i="17"/>
  <c r="CP211" i="17"/>
  <c r="CQ198" i="17"/>
  <c r="CO230" i="17"/>
  <c r="CL220" i="17"/>
  <c r="CM208" i="17"/>
  <c r="CP198" i="17"/>
  <c r="CK230" i="17"/>
  <c r="CU219" i="17"/>
  <c r="CL208" i="17"/>
  <c r="CK198" i="17"/>
  <c r="CS229" i="17"/>
  <c r="CQ219" i="17"/>
  <c r="CU206" i="17"/>
  <c r="CM197" i="17"/>
  <c r="CR229" i="17"/>
  <c r="CP219" i="17"/>
  <c r="CQ206" i="17"/>
  <c r="CL197" i="17"/>
  <c r="CN228" i="17"/>
  <c r="CM218" i="17"/>
  <c r="CP206" i="17"/>
  <c r="CU196" i="17"/>
  <c r="CJ228" i="17"/>
  <c r="CL218" i="17"/>
  <c r="CM205" i="17"/>
  <c r="CQ196" i="17"/>
  <c r="CR227" i="17"/>
  <c r="CU217" i="17"/>
  <c r="CL205" i="17"/>
  <c r="CP196" i="17"/>
  <c r="CQ227" i="17"/>
  <c r="CQ217" i="17"/>
  <c r="CU204" i="17"/>
  <c r="CK196" i="17"/>
  <c r="CM226" i="17"/>
  <c r="CP217" i="17"/>
  <c r="CQ204" i="17"/>
  <c r="CU225" i="17"/>
  <c r="CL216" i="17"/>
  <c r="CM203" i="17"/>
  <c r="CD230" i="17"/>
  <c r="CD228" i="17"/>
  <c r="CD226" i="17"/>
  <c r="CD224" i="17"/>
  <c r="CD222" i="17"/>
  <c r="CD220" i="17"/>
  <c r="CD218" i="17"/>
  <c r="CD216" i="17"/>
  <c r="CD214" i="17"/>
  <c r="CD212" i="17"/>
  <c r="CD208" i="17"/>
  <c r="CD205" i="17"/>
  <c r="CD203" i="17"/>
  <c r="CD201" i="17"/>
  <c r="CD199" i="17"/>
  <c r="CD197" i="17"/>
  <c r="CC230" i="17"/>
  <c r="CC228" i="17"/>
  <c r="CC226" i="17"/>
  <c r="CC224" i="17"/>
  <c r="CC222" i="17"/>
  <c r="CC220" i="17"/>
  <c r="CC218" i="17"/>
  <c r="CC216" i="17"/>
  <c r="CC214" i="17"/>
  <c r="CC212" i="17"/>
  <c r="CC208" i="17"/>
  <c r="CC205" i="17"/>
  <c r="CC203" i="17"/>
  <c r="CC201" i="17"/>
  <c r="CC199" i="17"/>
  <c r="CC197" i="17"/>
  <c r="CB230" i="17"/>
  <c r="CB228" i="17"/>
  <c r="CB226" i="17"/>
  <c r="CB224" i="17"/>
  <c r="CB222" i="17"/>
  <c r="CB220" i="17"/>
  <c r="CB218" i="17"/>
  <c r="CB216" i="17"/>
  <c r="CL226" i="17"/>
  <c r="BZ230" i="17"/>
  <c r="CM216" i="17"/>
  <c r="CP204" i="17"/>
  <c r="BX230" i="17"/>
  <c r="BV230" i="17"/>
  <c r="BV228" i="17"/>
  <c r="BV226" i="17"/>
  <c r="BV224" i="17"/>
  <c r="BV222" i="17"/>
  <c r="CG231" i="17"/>
  <c r="CG229" i="17"/>
  <c r="CG227" i="17"/>
  <c r="CG225" i="17"/>
  <c r="CG223" i="17"/>
  <c r="CG221" i="17"/>
  <c r="CG219" i="17"/>
  <c r="CG217" i="17"/>
  <c r="CG215" i="17"/>
  <c r="CG213" i="17"/>
  <c r="CG211" i="17"/>
  <c r="CG206" i="17"/>
  <c r="CG204" i="17"/>
  <c r="CG202" i="17"/>
  <c r="CG200" i="17"/>
  <c r="CG198" i="17"/>
  <c r="CG196" i="17"/>
  <c r="CF231" i="17"/>
  <c r="CF229" i="17"/>
  <c r="CF227" i="17"/>
  <c r="CF225" i="17"/>
  <c r="CF223" i="17"/>
  <c r="CF221" i="17"/>
  <c r="CF219" i="17"/>
  <c r="CF217" i="17"/>
  <c r="CF215" i="17"/>
  <c r="CF213" i="17"/>
  <c r="CF211" i="17"/>
  <c r="CF206" i="17"/>
  <c r="CF204" i="17"/>
  <c r="CF202" i="17"/>
  <c r="CF200" i="17"/>
  <c r="CF198" i="17"/>
  <c r="CF196" i="17"/>
  <c r="CE231" i="17"/>
  <c r="CE229" i="17"/>
  <c r="CE227" i="17"/>
  <c r="CE225" i="17"/>
  <c r="CE223" i="17"/>
  <c r="CC231" i="17"/>
  <c r="CC229" i="17"/>
  <c r="CC227" i="17"/>
  <c r="BY230" i="17"/>
  <c r="BW227" i="17"/>
  <c r="BY224" i="17"/>
  <c r="CA221" i="17"/>
  <c r="BV219" i="17"/>
  <c r="BZ216" i="17"/>
  <c r="BV214" i="17"/>
  <c r="CB211" i="17"/>
  <c r="BX206" i="17"/>
  <c r="CF203" i="17"/>
  <c r="BZ201" i="17"/>
  <c r="BV199" i="17"/>
  <c r="CB196" i="17"/>
  <c r="BW230" i="17"/>
  <c r="BV227" i="17"/>
  <c r="BX224" i="17"/>
  <c r="BZ221" i="17"/>
  <c r="CG218" i="17"/>
  <c r="BY216" i="17"/>
  <c r="CE213" i="17"/>
  <c r="CA211" i="17"/>
  <c r="BW206" i="17"/>
  <c r="CE203" i="17"/>
  <c r="BY201" i="17"/>
  <c r="CE198" i="17"/>
  <c r="CA196" i="17"/>
  <c r="CD229" i="17"/>
  <c r="CG226" i="17"/>
  <c r="BW224" i="17"/>
  <c r="BY221" i="17"/>
  <c r="CF218" i="17"/>
  <c r="BX216" i="17"/>
  <c r="CD213" i="17"/>
  <c r="BZ211" i="17"/>
  <c r="BV206" i="17"/>
  <c r="CB203" i="17"/>
  <c r="BX201" i="17"/>
  <c r="CD198" i="17"/>
  <c r="BZ196" i="17"/>
  <c r="CB229" i="17"/>
  <c r="CF226" i="17"/>
  <c r="CD223" i="17"/>
  <c r="BX221" i="17"/>
  <c r="CE218" i="17"/>
  <c r="BW216" i="17"/>
  <c r="CC213" i="17"/>
  <c r="BY211" i="17"/>
  <c r="CG205" i="17"/>
  <c r="CA203" i="17"/>
  <c r="BW201" i="17"/>
  <c r="CC198" i="17"/>
  <c r="BY196" i="17"/>
  <c r="CA229" i="17"/>
  <c r="CE226" i="17"/>
  <c r="CC223" i="17"/>
  <c r="BW221" i="17"/>
  <c r="CA218" i="17"/>
  <c r="BV216" i="17"/>
  <c r="CB213" i="17"/>
  <c r="BX211" i="17"/>
  <c r="CF205" i="17"/>
  <c r="BZ203" i="17"/>
  <c r="BV201" i="17"/>
  <c r="CB198" i="17"/>
  <c r="BX196" i="17"/>
  <c r="BZ229" i="17"/>
  <c r="CA226" i="17"/>
  <c r="CB223" i="17"/>
  <c r="BV221" i="17"/>
  <c r="BZ218" i="17"/>
  <c r="CE215" i="17"/>
  <c r="CA213" i="17"/>
  <c r="BW211" i="17"/>
  <c r="CE205" i="17"/>
  <c r="BY203" i="17"/>
  <c r="CE200" i="17"/>
  <c r="CA198" i="17"/>
  <c r="BW196" i="17"/>
  <c r="BY229" i="17"/>
  <c r="BZ226" i="17"/>
  <c r="CA223" i="17"/>
  <c r="CG220" i="17"/>
  <c r="BY218" i="17"/>
  <c r="CD215" i="17"/>
  <c r="BZ213" i="17"/>
  <c r="BV211" i="17"/>
  <c r="CB205" i="17"/>
  <c r="BX203" i="17"/>
  <c r="CD200" i="17"/>
  <c r="BZ198" i="17"/>
  <c r="BV196" i="17"/>
  <c r="BX229" i="17"/>
  <c r="BY226" i="17"/>
  <c r="BZ223" i="17"/>
  <c r="CF220" i="17"/>
  <c r="BX218" i="17"/>
  <c r="CC215" i="17"/>
  <c r="BY213" i="17"/>
  <c r="CG208" i="17"/>
  <c r="CA205" i="17"/>
  <c r="BW203" i="17"/>
  <c r="CC200" i="17"/>
  <c r="BY198" i="17"/>
  <c r="BW229" i="17"/>
  <c r="BX226" i="17"/>
  <c r="BY223" i="17"/>
  <c r="CE220" i="17"/>
  <c r="BW218" i="17"/>
  <c r="CB215" i="17"/>
  <c r="BX213" i="17"/>
  <c r="CF208" i="17"/>
  <c r="BZ205" i="17"/>
  <c r="BV203" i="17"/>
  <c r="CB200" i="17"/>
  <c r="BX198" i="17"/>
  <c r="BV229" i="17"/>
  <c r="BW226" i="17"/>
  <c r="BX223" i="17"/>
  <c r="CA220" i="17"/>
  <c r="BV218" i="17"/>
  <c r="CA215" i="17"/>
  <c r="BW213" i="17"/>
  <c r="CE208" i="17"/>
  <c r="BY205" i="17"/>
  <c r="CE202" i="17"/>
  <c r="CA200" i="17"/>
  <c r="BW198" i="17"/>
  <c r="CG228" i="17"/>
  <c r="CD225" i="17"/>
  <c r="BW223" i="17"/>
  <c r="BZ220" i="17"/>
  <c r="CE217" i="17"/>
  <c r="BZ215" i="17"/>
  <c r="BV213" i="17"/>
  <c r="CB208" i="17"/>
  <c r="BX205" i="17"/>
  <c r="CD202" i="17"/>
  <c r="BZ200" i="17"/>
  <c r="BV198" i="17"/>
  <c r="CF228" i="17"/>
  <c r="CC225" i="17"/>
  <c r="BV223" i="17"/>
  <c r="BY220" i="17"/>
  <c r="CD217" i="17"/>
  <c r="BY215" i="17"/>
  <c r="CG212" i="17"/>
  <c r="CA208" i="17"/>
  <c r="BW205" i="17"/>
  <c r="CC202" i="17"/>
  <c r="BY200" i="17"/>
  <c r="CG197" i="17"/>
  <c r="CD231" i="17"/>
  <c r="CE228" i="17"/>
  <c r="CB225" i="17"/>
  <c r="CG222" i="17"/>
  <c r="BX220" i="17"/>
  <c r="CC217" i="17"/>
  <c r="BX215" i="17"/>
  <c r="CF212" i="17"/>
  <c r="BZ208" i="17"/>
  <c r="BV205" i="17"/>
  <c r="CB202" i="17"/>
  <c r="BX200" i="17"/>
  <c r="CF197" i="17"/>
  <c r="CB231" i="17"/>
  <c r="CA228" i="17"/>
  <c r="CA225" i="17"/>
  <c r="CF222" i="17"/>
  <c r="BW220" i="17"/>
  <c r="CB217" i="17"/>
  <c r="BW215" i="17"/>
  <c r="CE212" i="17"/>
  <c r="BY208" i="17"/>
  <c r="CE204" i="17"/>
  <c r="CA202" i="17"/>
  <c r="BW200" i="17"/>
  <c r="CE197" i="17"/>
  <c r="CA231" i="17"/>
  <c r="BZ228" i="17"/>
  <c r="BZ225" i="17"/>
  <c r="CE222" i="17"/>
  <c r="BV220" i="17"/>
  <c r="CA217" i="17"/>
  <c r="BV215" i="17"/>
  <c r="CB212" i="17"/>
  <c r="BX208" i="17"/>
  <c r="CD204" i="17"/>
  <c r="BZ202" i="17"/>
  <c r="BV200" i="17"/>
  <c r="CB197" i="17"/>
  <c r="BZ231" i="17"/>
  <c r="BY228" i="17"/>
  <c r="BY225" i="17"/>
  <c r="CA222" i="17"/>
  <c r="CE219" i="17"/>
  <c r="BZ217" i="17"/>
  <c r="CG214" i="17"/>
  <c r="CA212" i="17"/>
  <c r="BW208" i="17"/>
  <c r="CC204" i="17"/>
  <c r="BY202" i="17"/>
  <c r="CG199" i="17"/>
  <c r="CA197" i="17"/>
  <c r="BY231" i="17"/>
  <c r="BX228" i="17"/>
  <c r="BX225" i="17"/>
  <c r="BZ222" i="17"/>
  <c r="CD219" i="17"/>
  <c r="BY217" i="17"/>
  <c r="CF214" i="17"/>
  <c r="BZ212" i="17"/>
  <c r="BV208" i="17"/>
  <c r="CB204" i="17"/>
  <c r="BX202" i="17"/>
  <c r="CF199" i="17"/>
  <c r="BZ197" i="17"/>
  <c r="BX231" i="17"/>
  <c r="BW228" i="17"/>
  <c r="BW225" i="17"/>
  <c r="BY222" i="17"/>
  <c r="CC219" i="17"/>
  <c r="BX217" i="17"/>
  <c r="CE214" i="17"/>
  <c r="BY212" i="17"/>
  <c r="CE206" i="17"/>
  <c r="CA204" i="17"/>
  <c r="BW202" i="17"/>
  <c r="CE199" i="17"/>
  <c r="BY197" i="17"/>
  <c r="BW231" i="17"/>
  <c r="CD227" i="17"/>
  <c r="BV225" i="17"/>
  <c r="BX222" i="17"/>
  <c r="CB219" i="17"/>
  <c r="BW217" i="17"/>
  <c r="CB214" i="17"/>
  <c r="BX212" i="17"/>
  <c r="CD206" i="17"/>
  <c r="BZ204" i="17"/>
  <c r="BV202" i="17"/>
  <c r="CB199" i="17"/>
  <c r="BX197" i="17"/>
  <c r="BV231" i="17"/>
  <c r="CB227" i="17"/>
  <c r="CG224" i="17"/>
  <c r="BW222" i="17"/>
  <c r="CA219" i="17"/>
  <c r="BV217" i="17"/>
  <c r="CA214" i="17"/>
  <c r="BW212" i="17"/>
  <c r="CC206" i="17"/>
  <c r="BY204" i="17"/>
  <c r="CG201" i="17"/>
  <c r="CA199" i="17"/>
  <c r="BW197" i="17"/>
  <c r="CG230" i="17"/>
  <c r="CA227" i="17"/>
  <c r="CF224" i="17"/>
  <c r="CE221" i="17"/>
  <c r="BZ219" i="17"/>
  <c r="CG216" i="17"/>
  <c r="BZ214" i="17"/>
  <c r="BV212" i="17"/>
  <c r="CB206" i="17"/>
  <c r="BX204" i="17"/>
  <c r="CF201" i="17"/>
  <c r="BZ199" i="17"/>
  <c r="BV197" i="17"/>
  <c r="CA230" i="17"/>
  <c r="BX227" i="17"/>
  <c r="BZ224" i="17"/>
  <c r="CB221" i="17"/>
  <c r="BW219" i="17"/>
  <c r="CA216" i="17"/>
  <c r="BW214" i="17"/>
  <c r="CC211" i="17"/>
  <c r="BY206" i="17"/>
  <c r="CG203" i="17"/>
  <c r="CA201" i="17"/>
  <c r="BW199" i="17"/>
  <c r="CC196" i="17"/>
  <c r="CE201" i="17"/>
  <c r="BH231" i="17"/>
  <c r="CB201" i="17"/>
  <c r="BY199" i="17"/>
  <c r="BX199" i="17"/>
  <c r="CF230" i="17"/>
  <c r="CE196" i="17"/>
  <c r="CE230" i="17"/>
  <c r="CD196" i="17"/>
  <c r="BZ227" i="17"/>
  <c r="BY227" i="17"/>
  <c r="CE224" i="17"/>
  <c r="CA224" i="17"/>
  <c r="CD221" i="17"/>
  <c r="CC221" i="17"/>
  <c r="BY219" i="17"/>
  <c r="BX219" i="17"/>
  <c r="CF216" i="17"/>
  <c r="CE216" i="17"/>
  <c r="BY214" i="17"/>
  <c r="BX214" i="17"/>
  <c r="CE211" i="17"/>
  <c r="CD211" i="17"/>
  <c r="CA206" i="17"/>
  <c r="BV204" i="17"/>
  <c r="BK231" i="17"/>
  <c r="BJ229" i="17"/>
  <c r="BJ227" i="17"/>
  <c r="BJ225" i="17"/>
  <c r="BJ223" i="17"/>
  <c r="BJ221" i="17"/>
  <c r="BJ219" i="17"/>
  <c r="BJ217" i="17"/>
  <c r="BJ215" i="17"/>
  <c r="BJ213" i="17"/>
  <c r="BJ211" i="17"/>
  <c r="BJ206" i="17"/>
  <c r="BJ204" i="17"/>
  <c r="BJ202" i="17"/>
  <c r="BJ200" i="17"/>
  <c r="BJ198" i="17"/>
  <c r="BJ196" i="17"/>
  <c r="BJ231" i="17"/>
  <c r="BI229" i="17"/>
  <c r="BI227" i="17"/>
  <c r="BI225" i="17"/>
  <c r="BI223" i="17"/>
  <c r="BI221" i="17"/>
  <c r="BI219" i="17"/>
  <c r="BI217" i="17"/>
  <c r="BI215" i="17"/>
  <c r="BI213" i="17"/>
  <c r="BI211" i="17"/>
  <c r="BI206" i="17"/>
  <c r="BI204" i="17"/>
  <c r="BI202" i="17"/>
  <c r="BI200" i="17"/>
  <c r="BI198" i="17"/>
  <c r="BI196" i="17"/>
  <c r="BI231" i="17"/>
  <c r="BH229" i="17"/>
  <c r="BH227" i="17"/>
  <c r="BH225" i="17"/>
  <c r="BH223" i="17"/>
  <c r="BH221" i="17"/>
  <c r="BH219" i="17"/>
  <c r="BH217" i="17"/>
  <c r="BH215" i="17"/>
  <c r="BH213" i="17"/>
  <c r="BH211" i="17"/>
  <c r="BH206" i="17"/>
  <c r="BH204" i="17"/>
  <c r="BH202" i="17"/>
  <c r="BH200" i="17"/>
  <c r="BH198" i="17"/>
  <c r="BH196" i="17"/>
  <c r="BZ206" i="17"/>
  <c r="BS230" i="17"/>
  <c r="BS228" i="17"/>
  <c r="BS226" i="17"/>
  <c r="BS224" i="17"/>
  <c r="BS222" i="17"/>
  <c r="BS220" i="17"/>
  <c r="BS218" i="17"/>
  <c r="BS216" i="17"/>
  <c r="BS214" i="17"/>
  <c r="BS212" i="17"/>
  <c r="BS208" i="17"/>
  <c r="BS205" i="17"/>
  <c r="BS203" i="17"/>
  <c r="BS201" i="17"/>
  <c r="BS199" i="17"/>
  <c r="BS197" i="17"/>
  <c r="BW204" i="17"/>
  <c r="BR230" i="17"/>
  <c r="BR228" i="17"/>
  <c r="BR226" i="17"/>
  <c r="BR224" i="17"/>
  <c r="BR222" i="17"/>
  <c r="BR220" i="17"/>
  <c r="BR218" i="17"/>
  <c r="BR216" i="17"/>
  <c r="BR214" i="17"/>
  <c r="BR212" i="17"/>
  <c r="BR208" i="17"/>
  <c r="BR205" i="17"/>
  <c r="BR203" i="17"/>
  <c r="BR201" i="17"/>
  <c r="BR199" i="17"/>
  <c r="BR197" i="17"/>
  <c r="BQ230" i="17"/>
  <c r="BQ228" i="17"/>
  <c r="BQ226" i="17"/>
  <c r="BQ224" i="17"/>
  <c r="BQ222" i="17"/>
  <c r="BQ220" i="17"/>
  <c r="BQ218" i="17"/>
  <c r="BQ216" i="17"/>
  <c r="BQ214" i="17"/>
  <c r="BQ212" i="17"/>
  <c r="BQ208" i="17"/>
  <c r="BQ205" i="17"/>
  <c r="BQ203" i="17"/>
  <c r="BQ201" i="17"/>
  <c r="BQ199" i="17"/>
  <c r="BQ197" i="17"/>
  <c r="BP230" i="17"/>
  <c r="BP228" i="17"/>
  <c r="BP226" i="17"/>
  <c r="BP224" i="17"/>
  <c r="BP222" i="17"/>
  <c r="BP220" i="17"/>
  <c r="BP218" i="17"/>
  <c r="BP216" i="17"/>
  <c r="BP214" i="17"/>
  <c r="BP212" i="17"/>
  <c r="BP208" i="17"/>
  <c r="BP205" i="17"/>
  <c r="BP203" i="17"/>
  <c r="BP201" i="17"/>
  <c r="BP199" i="17"/>
  <c r="BP197" i="17"/>
  <c r="BO230" i="17"/>
  <c r="BO228" i="17"/>
  <c r="BO226" i="17"/>
  <c r="BO224" i="17"/>
  <c r="BO222" i="17"/>
  <c r="BO220" i="17"/>
  <c r="BO218" i="17"/>
  <c r="BO216" i="17"/>
  <c r="BO214" i="17"/>
  <c r="BO212" i="17"/>
  <c r="BO208" i="17"/>
  <c r="BO205" i="17"/>
  <c r="BO203" i="17"/>
  <c r="BO201" i="17"/>
  <c r="BO199" i="17"/>
  <c r="BO197" i="17"/>
  <c r="BN230" i="17"/>
  <c r="BN228" i="17"/>
  <c r="BN226" i="17"/>
  <c r="BN224" i="17"/>
  <c r="BN222" i="17"/>
  <c r="BN220" i="17"/>
  <c r="BN218" i="17"/>
  <c r="BN216" i="17"/>
  <c r="BN214" i="17"/>
  <c r="BN212" i="17"/>
  <c r="BN208" i="17"/>
  <c r="BN205" i="17"/>
  <c r="BN203" i="17"/>
  <c r="BN201" i="17"/>
  <c r="BN199" i="17"/>
  <c r="BN197" i="17"/>
  <c r="BM230" i="17"/>
  <c r="BM228" i="17"/>
  <c r="BM226" i="17"/>
  <c r="BM224" i="17"/>
  <c r="BM222" i="17"/>
  <c r="BM220" i="17"/>
  <c r="BM218" i="17"/>
  <c r="BM216" i="17"/>
  <c r="BM214" i="17"/>
  <c r="BM212" i="17"/>
  <c r="BM208" i="17"/>
  <c r="BM205" i="17"/>
  <c r="BM203" i="17"/>
  <c r="BM201" i="17"/>
  <c r="BM199" i="17"/>
  <c r="BM197" i="17"/>
  <c r="BL230" i="17"/>
  <c r="BL228" i="17"/>
  <c r="BL226" i="17"/>
  <c r="BL224" i="17"/>
  <c r="BL222" i="17"/>
  <c r="BL220" i="17"/>
  <c r="BL218" i="17"/>
  <c r="BL216" i="17"/>
  <c r="BL214" i="17"/>
  <c r="BL212" i="17"/>
  <c r="BL208" i="17"/>
  <c r="BL205" i="17"/>
  <c r="BL203" i="17"/>
  <c r="BL201" i="17"/>
  <c r="BL199" i="17"/>
  <c r="BL197" i="17"/>
  <c r="BK230" i="17"/>
  <c r="BK228" i="17"/>
  <c r="BK226" i="17"/>
  <c r="BK224" i="17"/>
  <c r="BK222" i="17"/>
  <c r="BK220" i="17"/>
  <c r="BK218" i="17"/>
  <c r="BK216" i="17"/>
  <c r="BK214" i="17"/>
  <c r="BK212" i="17"/>
  <c r="BK208" i="17"/>
  <c r="BK205" i="17"/>
  <c r="BK203" i="17"/>
  <c r="BK201" i="17"/>
  <c r="BK199" i="17"/>
  <c r="BK197" i="17"/>
  <c r="BJ230" i="17"/>
  <c r="BJ228" i="17"/>
  <c r="BJ226" i="17"/>
  <c r="BJ224" i="17"/>
  <c r="BJ222" i="17"/>
  <c r="BJ220" i="17"/>
  <c r="BJ218" i="17"/>
  <c r="BJ216" i="17"/>
  <c r="BJ214" i="17"/>
  <c r="BJ212" i="17"/>
  <c r="BJ208" i="17"/>
  <c r="BJ205" i="17"/>
  <c r="BJ203" i="17"/>
  <c r="BJ201" i="17"/>
  <c r="BJ199" i="17"/>
  <c r="BJ197" i="17"/>
  <c r="BI230" i="17"/>
  <c r="BI228" i="17"/>
  <c r="BI226" i="17"/>
  <c r="BI224" i="17"/>
  <c r="BI222" i="17"/>
  <c r="BI220" i="17"/>
  <c r="BI218" i="17"/>
  <c r="BI216" i="17"/>
  <c r="BI214" i="17"/>
  <c r="BI212" i="17"/>
  <c r="BI208" i="17"/>
  <c r="BI205" i="17"/>
  <c r="BI203" i="17"/>
  <c r="BI201" i="17"/>
  <c r="BI199" i="17"/>
  <c r="BI197" i="17"/>
  <c r="BH230" i="17"/>
  <c r="BH228" i="17"/>
  <c r="BH226" i="17"/>
  <c r="BH224" i="17"/>
  <c r="BH222" i="17"/>
  <c r="BH220" i="17"/>
  <c r="BH218" i="17"/>
  <c r="BH216" i="17"/>
  <c r="BH214" i="17"/>
  <c r="BH212" i="17"/>
  <c r="BH208" i="17"/>
  <c r="BH205" i="17"/>
  <c r="BH203" i="17"/>
  <c r="BH201" i="17"/>
  <c r="BH199" i="17"/>
  <c r="BH197" i="17"/>
  <c r="BS229" i="17"/>
  <c r="BS227" i="17"/>
  <c r="BS225" i="17"/>
  <c r="BS223" i="17"/>
  <c r="BS221" i="17"/>
  <c r="BS219" i="17"/>
  <c r="BS217" i="17"/>
  <c r="BS215" i="17"/>
  <c r="BS213" i="17"/>
  <c r="BS211" i="17"/>
  <c r="BS206" i="17"/>
  <c r="BS204" i="17"/>
  <c r="BS202" i="17"/>
  <c r="BS200" i="17"/>
  <c r="BS198" i="17"/>
  <c r="BS196" i="17"/>
  <c r="BS231" i="17"/>
  <c r="BR229" i="17"/>
  <c r="BR227" i="17"/>
  <c r="BR225" i="17"/>
  <c r="BR223" i="17"/>
  <c r="BR221" i="17"/>
  <c r="BR219" i="17"/>
  <c r="BR217" i="17"/>
  <c r="BR215" i="17"/>
  <c r="BR213" i="17"/>
  <c r="BR211" i="17"/>
  <c r="BR206" i="17"/>
  <c r="BR204" i="17"/>
  <c r="BR202" i="17"/>
  <c r="BR200" i="17"/>
  <c r="BR198" i="17"/>
  <c r="BR196" i="17"/>
  <c r="BR231" i="17"/>
  <c r="BQ229" i="17"/>
  <c r="BQ227" i="17"/>
  <c r="BQ225" i="17"/>
  <c r="BQ223" i="17"/>
  <c r="BQ221" i="17"/>
  <c r="BQ219" i="17"/>
  <c r="BQ217" i="17"/>
  <c r="BQ215" i="17"/>
  <c r="BQ213" i="17"/>
  <c r="BQ211" i="17"/>
  <c r="BQ206" i="17"/>
  <c r="BQ204" i="17"/>
  <c r="BQ202" i="17"/>
  <c r="BQ200" i="17"/>
  <c r="BQ198" i="17"/>
  <c r="BQ196" i="17"/>
  <c r="BQ231" i="17"/>
  <c r="BP229" i="17"/>
  <c r="BP227" i="17"/>
  <c r="BP225" i="17"/>
  <c r="BP223" i="17"/>
  <c r="BP221" i="17"/>
  <c r="BP219" i="17"/>
  <c r="BP217" i="17"/>
  <c r="BP215" i="17"/>
  <c r="BP213" i="17"/>
  <c r="BP211" i="17"/>
  <c r="BP206" i="17"/>
  <c r="BP204" i="17"/>
  <c r="BP202" i="17"/>
  <c r="BP200" i="17"/>
  <c r="BP198" i="17"/>
  <c r="BP196" i="17"/>
  <c r="BP231" i="17"/>
  <c r="BO229" i="17"/>
  <c r="BO227" i="17"/>
  <c r="BO225" i="17"/>
  <c r="BO223" i="17"/>
  <c r="BO221" i="17"/>
  <c r="BO219" i="17"/>
  <c r="BO217" i="17"/>
  <c r="BO215" i="17"/>
  <c r="BO213" i="17"/>
  <c r="BO211" i="17"/>
  <c r="BO206" i="17"/>
  <c r="BO204" i="17"/>
  <c r="BO202" i="17"/>
  <c r="BO200" i="17"/>
  <c r="BO198" i="17"/>
  <c r="BO196" i="17"/>
  <c r="BO231" i="17"/>
  <c r="BN229" i="17"/>
  <c r="BN227" i="17"/>
  <c r="BN225" i="17"/>
  <c r="BN223" i="17"/>
  <c r="BN221" i="17"/>
  <c r="BN219" i="17"/>
  <c r="BN217" i="17"/>
  <c r="BN215" i="17"/>
  <c r="BN213" i="17"/>
  <c r="BN211" i="17"/>
  <c r="BN206" i="17"/>
  <c r="BN204" i="17"/>
  <c r="BN202" i="17"/>
  <c r="BN200" i="17"/>
  <c r="BN198" i="17"/>
  <c r="BN196" i="17"/>
  <c r="BN231" i="17"/>
  <c r="BM229" i="17"/>
  <c r="BM227" i="17"/>
  <c r="BM225" i="17"/>
  <c r="BM223" i="17"/>
  <c r="BM221" i="17"/>
  <c r="BM219" i="17"/>
  <c r="BM217" i="17"/>
  <c r="BM215" i="17"/>
  <c r="BM213" i="17"/>
  <c r="BM211" i="17"/>
  <c r="BM206" i="17"/>
  <c r="BM204" i="17"/>
  <c r="BM202" i="17"/>
  <c r="BM200" i="17"/>
  <c r="BM198" i="17"/>
  <c r="BM196" i="17"/>
  <c r="BL231" i="17"/>
  <c r="BK229" i="17"/>
  <c r="BK227" i="17"/>
  <c r="BK225" i="17"/>
  <c r="BK223" i="17"/>
  <c r="BK221" i="17"/>
  <c r="BK219" i="17"/>
  <c r="BK217" i="17"/>
  <c r="BK215" i="17"/>
  <c r="BK213" i="17"/>
  <c r="BK211" i="17"/>
  <c r="BK206" i="17"/>
  <c r="BK204" i="17"/>
  <c r="BK202" i="17"/>
  <c r="BK200" i="17"/>
  <c r="BK198" i="17"/>
  <c r="BK196" i="17"/>
  <c r="BL217" i="17"/>
  <c r="BL215" i="17"/>
  <c r="BL213" i="17"/>
  <c r="BL211" i="17"/>
  <c r="BL206" i="17"/>
  <c r="BL204" i="17"/>
  <c r="BL202" i="17"/>
  <c r="BL200" i="17"/>
  <c r="BL198" i="17"/>
  <c r="BL196" i="17"/>
  <c r="BM231" i="17"/>
  <c r="BL229" i="17"/>
  <c r="BL227" i="17"/>
  <c r="BL225" i="17"/>
  <c r="BL223" i="17"/>
  <c r="BL219" i="17"/>
  <c r="BC231" i="17"/>
  <c r="BC229" i="17"/>
  <c r="BC227" i="17"/>
  <c r="BC225" i="17"/>
  <c r="BC223" i="17"/>
  <c r="BC221" i="17"/>
  <c r="BC219" i="17"/>
  <c r="BC217" i="17"/>
  <c r="BC215" i="17"/>
  <c r="BC213" i="17"/>
  <c r="BC211" i="17"/>
  <c r="BC206" i="17"/>
  <c r="BC204" i="17"/>
  <c r="BC202" i="17"/>
  <c r="BC200" i="17"/>
  <c r="BC198" i="17"/>
  <c r="BC196" i="17"/>
  <c r="BB231" i="17"/>
  <c r="BB229" i="17"/>
  <c r="BB227" i="17"/>
  <c r="BB225" i="17"/>
  <c r="BB223" i="17"/>
  <c r="BB221" i="17"/>
  <c r="BB219" i="17"/>
  <c r="BB217" i="17"/>
  <c r="BB215" i="17"/>
  <c r="BB213" i="17"/>
  <c r="BB211" i="17"/>
  <c r="BB206" i="17"/>
  <c r="BB204" i="17"/>
  <c r="BB202" i="17"/>
  <c r="BB200" i="17"/>
  <c r="BB198" i="17"/>
  <c r="BB196" i="17"/>
  <c r="BL221" i="17"/>
  <c r="BA231" i="17"/>
  <c r="BA229" i="17"/>
  <c r="BA227" i="17"/>
  <c r="BA225" i="17"/>
  <c r="BA223" i="17"/>
  <c r="BA221" i="17"/>
  <c r="BA219" i="17"/>
  <c r="BA217" i="17"/>
  <c r="BA215" i="17"/>
  <c r="BA213" i="17"/>
  <c r="BA211" i="17"/>
  <c r="BA206" i="17"/>
  <c r="BA204" i="17"/>
  <c r="BA202" i="17"/>
  <c r="BA200" i="17"/>
  <c r="BA198" i="17"/>
  <c r="BA196" i="17"/>
  <c r="AZ231" i="17"/>
  <c r="AZ229" i="17"/>
  <c r="AZ227" i="17"/>
  <c r="AZ225" i="17"/>
  <c r="AZ223" i="17"/>
  <c r="AZ221" i="17"/>
  <c r="AZ219" i="17"/>
  <c r="AZ217" i="17"/>
  <c r="AZ215" i="17"/>
  <c r="AZ213" i="17"/>
  <c r="AZ211" i="17"/>
  <c r="AZ206" i="17"/>
  <c r="AZ204" i="17"/>
  <c r="AZ202" i="17"/>
  <c r="AZ200" i="17"/>
  <c r="AZ198" i="17"/>
  <c r="AZ196" i="17"/>
  <c r="AY231" i="17"/>
  <c r="AY229" i="17"/>
  <c r="AY227" i="17"/>
  <c r="AY225" i="17"/>
  <c r="AY223" i="17"/>
  <c r="AY221" i="17"/>
  <c r="AY219" i="17"/>
  <c r="AY217" i="17"/>
  <c r="AY215" i="17"/>
  <c r="AY213" i="17"/>
  <c r="AY211" i="17"/>
  <c r="AY206" i="17"/>
  <c r="AY204" i="17"/>
  <c r="AY202" i="17"/>
  <c r="AY200" i="17"/>
  <c r="AY198" i="17"/>
  <c r="AY196" i="17"/>
  <c r="AX231" i="17"/>
  <c r="AX229" i="17"/>
  <c r="AX227" i="17"/>
  <c r="AX225" i="17"/>
  <c r="AX223" i="17"/>
  <c r="AX221" i="17"/>
  <c r="AX219" i="17"/>
  <c r="AX217" i="17"/>
  <c r="AX215" i="17"/>
  <c r="AX213" i="17"/>
  <c r="AX211" i="17"/>
  <c r="AX206" i="17"/>
  <c r="AX204" i="17"/>
  <c r="AX202" i="17"/>
  <c r="AX200" i="17"/>
  <c r="AX198" i="17"/>
  <c r="AX196" i="17"/>
  <c r="AW231" i="17"/>
  <c r="AW229" i="17"/>
  <c r="AW227" i="17"/>
  <c r="AW225" i="17"/>
  <c r="AW223" i="17"/>
  <c r="AW221" i="17"/>
  <c r="AW219" i="17"/>
  <c r="AW217" i="17"/>
  <c r="AW215" i="17"/>
  <c r="AW213" i="17"/>
  <c r="AW211" i="17"/>
  <c r="AW206" i="17"/>
  <c r="AW204" i="17"/>
  <c r="AW202" i="17"/>
  <c r="AW200" i="17"/>
  <c r="AW198" i="17"/>
  <c r="AW196" i="17"/>
  <c r="AV231" i="17"/>
  <c r="AV229" i="17"/>
  <c r="AV227" i="17"/>
  <c r="AV225" i="17"/>
  <c r="AV223" i="17"/>
  <c r="AV221" i="17"/>
  <c r="AV219" i="17"/>
  <c r="AV217" i="17"/>
  <c r="AV215" i="17"/>
  <c r="AV213" i="17"/>
  <c r="AV211" i="17"/>
  <c r="AV206" i="17"/>
  <c r="AV204" i="17"/>
  <c r="AV202" i="17"/>
  <c r="AV200" i="17"/>
  <c r="AV198" i="17"/>
  <c r="AV196" i="17"/>
  <c r="AU231" i="17"/>
  <c r="AU229" i="17"/>
  <c r="AU227" i="17"/>
  <c r="AU225" i="17"/>
  <c r="AU223" i="17"/>
  <c r="AU221" i="17"/>
  <c r="AU219" i="17"/>
  <c r="AU217" i="17"/>
  <c r="AU215" i="17"/>
  <c r="AU213" i="17"/>
  <c r="AU211" i="17"/>
  <c r="AU206" i="17"/>
  <c r="AU204" i="17"/>
  <c r="AU202" i="17"/>
  <c r="AU200" i="17"/>
  <c r="AU198" i="17"/>
  <c r="AU196" i="17"/>
  <c r="AT231" i="17"/>
  <c r="AT229" i="17"/>
  <c r="AT227" i="17"/>
  <c r="AT225" i="17"/>
  <c r="AT223" i="17"/>
  <c r="AT221" i="17"/>
  <c r="AT219" i="17"/>
  <c r="AT217" i="17"/>
  <c r="AT215" i="17"/>
  <c r="AT213" i="17"/>
  <c r="AT211" i="17"/>
  <c r="AT206" i="17"/>
  <c r="AT204" i="17"/>
  <c r="AT202" i="17"/>
  <c r="AT200" i="17"/>
  <c r="AT198" i="17"/>
  <c r="AT196" i="17"/>
  <c r="BE230" i="17"/>
  <c r="BE228" i="17"/>
  <c r="BE226" i="17"/>
  <c r="BE224" i="17"/>
  <c r="BE222" i="17"/>
  <c r="BE220" i="17"/>
  <c r="BE218" i="17"/>
  <c r="BE216" i="17"/>
  <c r="BE214" i="17"/>
  <c r="BE212" i="17"/>
  <c r="BE208" i="17"/>
  <c r="BE205" i="17"/>
  <c r="BE203" i="17"/>
  <c r="BE201" i="17"/>
  <c r="BE199" i="17"/>
  <c r="BE197" i="17"/>
  <c r="BD230" i="17"/>
  <c r="BD228" i="17"/>
  <c r="BD226" i="17"/>
  <c r="BD224" i="17"/>
  <c r="BD222" i="17"/>
  <c r="BD220" i="17"/>
  <c r="BD218" i="17"/>
  <c r="BD216" i="17"/>
  <c r="BD214" i="17"/>
  <c r="BD212" i="17"/>
  <c r="BD208" i="17"/>
  <c r="BD205" i="17"/>
  <c r="BD203" i="17"/>
  <c r="BD201" i="17"/>
  <c r="BD199" i="17"/>
  <c r="BD197" i="17"/>
  <c r="BC230" i="17"/>
  <c r="BC228" i="17"/>
  <c r="BC226" i="17"/>
  <c r="BC224" i="17"/>
  <c r="BC222" i="17"/>
  <c r="BC220" i="17"/>
  <c r="BC218" i="17"/>
  <c r="BC216" i="17"/>
  <c r="BC214" i="17"/>
  <c r="BC212" i="17"/>
  <c r="BC208" i="17"/>
  <c r="BC205" i="17"/>
  <c r="BC203" i="17"/>
  <c r="BC201" i="17"/>
  <c r="BC199" i="17"/>
  <c r="BC197" i="17"/>
  <c r="BB230" i="17"/>
  <c r="BB228" i="17"/>
  <c r="BB226" i="17"/>
  <c r="BB224" i="17"/>
  <c r="BB222" i="17"/>
  <c r="BB220" i="17"/>
  <c r="BB218" i="17"/>
  <c r="BB216" i="17"/>
  <c r="BB214" i="17"/>
  <c r="BB212" i="17"/>
  <c r="BB208" i="17"/>
  <c r="BB205" i="17"/>
  <c r="BB203" i="17"/>
  <c r="BB201" i="17"/>
  <c r="BB199" i="17"/>
  <c r="BB197" i="17"/>
  <c r="BA230" i="17"/>
  <c r="BA228" i="17"/>
  <c r="BA226" i="17"/>
  <c r="BA224" i="17"/>
  <c r="BA222" i="17"/>
  <c r="BA220" i="17"/>
  <c r="BA218" i="17"/>
  <c r="BA216" i="17"/>
  <c r="BA214" i="17"/>
  <c r="BA212" i="17"/>
  <c r="BA208" i="17"/>
  <c r="BA205" i="17"/>
  <c r="BA203" i="17"/>
  <c r="BA201" i="17"/>
  <c r="BA199" i="17"/>
  <c r="BA197" i="17"/>
  <c r="AZ230" i="17"/>
  <c r="AZ228" i="17"/>
  <c r="AZ226" i="17"/>
  <c r="AZ224" i="17"/>
  <c r="AZ222" i="17"/>
  <c r="AZ220" i="17"/>
  <c r="AZ218" i="17"/>
  <c r="AZ216" i="17"/>
  <c r="AZ214" i="17"/>
  <c r="AZ212" i="17"/>
  <c r="AZ208" i="17"/>
  <c r="AZ205" i="17"/>
  <c r="AZ203" i="17"/>
  <c r="AZ201" i="17"/>
  <c r="AZ199" i="17"/>
  <c r="AZ197" i="17"/>
  <c r="AY230" i="17"/>
  <c r="AY228" i="17"/>
  <c r="AY226" i="17"/>
  <c r="AY224" i="17"/>
  <c r="AY222" i="17"/>
  <c r="AY220" i="17"/>
  <c r="AY218" i="17"/>
  <c r="AY216" i="17"/>
  <c r="AY214" i="17"/>
  <c r="AY212" i="17"/>
  <c r="AY208" i="17"/>
  <c r="AY205" i="17"/>
  <c r="AY203" i="17"/>
  <c r="AY201" i="17"/>
  <c r="AY199" i="17"/>
  <c r="AY197" i="17"/>
  <c r="AX230" i="17"/>
  <c r="AX228" i="17"/>
  <c r="AX226" i="17"/>
  <c r="AX224" i="17"/>
  <c r="AX222" i="17"/>
  <c r="AX220" i="17"/>
  <c r="AX218" i="17"/>
  <c r="AX216" i="17"/>
  <c r="AX214" i="17"/>
  <c r="AX212" i="17"/>
  <c r="AX208" i="17"/>
  <c r="AX205" i="17"/>
  <c r="AX203" i="17"/>
  <c r="AX201" i="17"/>
  <c r="AX199" i="17"/>
  <c r="AX197" i="17"/>
  <c r="AW230" i="17"/>
  <c r="AW228" i="17"/>
  <c r="AW226" i="17"/>
  <c r="AW224" i="17"/>
  <c r="AW222" i="17"/>
  <c r="AW220" i="17"/>
  <c r="AW218" i="17"/>
  <c r="AW216" i="17"/>
  <c r="AW214" i="17"/>
  <c r="AW212" i="17"/>
  <c r="AW208" i="17"/>
  <c r="AW205" i="17"/>
  <c r="AW203" i="17"/>
  <c r="AW201" i="17"/>
  <c r="AW199" i="17"/>
  <c r="AW197" i="17"/>
  <c r="AV230" i="17"/>
  <c r="AV228" i="17"/>
  <c r="AV226" i="17"/>
  <c r="AV224" i="17"/>
  <c r="AV222" i="17"/>
  <c r="AV220" i="17"/>
  <c r="AV218" i="17"/>
  <c r="AV216" i="17"/>
  <c r="AV214" i="17"/>
  <c r="AV212" i="17"/>
  <c r="AV208" i="17"/>
  <c r="AV205" i="17"/>
  <c r="AV203" i="17"/>
  <c r="AV201" i="17"/>
  <c r="AV199" i="17"/>
  <c r="AV197" i="17"/>
  <c r="AU230" i="17"/>
  <c r="AU228" i="17"/>
  <c r="AU226" i="17"/>
  <c r="AU224" i="17"/>
  <c r="AU222" i="17"/>
  <c r="AU220" i="17"/>
  <c r="AU218" i="17"/>
  <c r="AU216" i="17"/>
  <c r="AU214" i="17"/>
  <c r="AU212" i="17"/>
  <c r="AU208" i="17"/>
  <c r="AU205" i="17"/>
  <c r="AU203" i="17"/>
  <c r="AU201" i="17"/>
  <c r="AU199" i="17"/>
  <c r="AU197" i="17"/>
  <c r="BD231" i="17"/>
  <c r="BD229" i="17"/>
  <c r="BD227" i="17"/>
  <c r="BD225" i="17"/>
  <c r="BD223" i="17"/>
  <c r="BD221" i="17"/>
  <c r="BD219" i="17"/>
  <c r="BD217" i="17"/>
  <c r="BD215" i="17"/>
  <c r="BD213" i="17"/>
  <c r="BD211" i="17"/>
  <c r="BD206" i="17"/>
  <c r="BD204" i="17"/>
  <c r="BD202" i="17"/>
  <c r="BD200" i="17"/>
  <c r="BD198" i="17"/>
  <c r="BD196" i="17"/>
  <c r="BE206" i="17"/>
  <c r="AT205" i="17"/>
  <c r="BE231" i="17"/>
  <c r="BE204" i="17"/>
  <c r="AT230" i="17"/>
  <c r="AT203" i="17"/>
  <c r="BE229" i="17"/>
  <c r="BE202" i="17"/>
  <c r="AT228" i="17"/>
  <c r="AT201" i="17"/>
  <c r="BE227" i="17"/>
  <c r="BE200" i="17"/>
  <c r="AT226" i="17"/>
  <c r="AT199" i="17"/>
  <c r="BE225" i="17"/>
  <c r="BE198" i="17"/>
  <c r="AT224" i="17"/>
  <c r="AT197" i="17"/>
  <c r="BE223" i="17"/>
  <c r="BE196" i="17"/>
  <c r="AT222" i="17"/>
  <c r="BE221" i="17"/>
  <c r="AT220" i="17"/>
  <c r="BE219" i="17"/>
  <c r="AT218" i="17"/>
  <c r="BE217" i="17"/>
  <c r="AT216" i="17"/>
  <c r="BE215" i="17"/>
  <c r="AT214" i="17"/>
  <c r="BE213" i="17"/>
  <c r="AT208" i="17"/>
  <c r="V230" i="17"/>
  <c r="V228" i="17"/>
  <c r="V226" i="17"/>
  <c r="V224" i="17"/>
  <c r="V222" i="17"/>
  <c r="V220" i="17"/>
  <c r="V218" i="17"/>
  <c r="V216" i="17"/>
  <c r="V214" i="17"/>
  <c r="V212" i="17"/>
  <c r="V208" i="17"/>
  <c r="V205" i="17"/>
  <c r="V203" i="17"/>
  <c r="V201" i="17"/>
  <c r="V199" i="17"/>
  <c r="V197" i="17"/>
  <c r="U230" i="17"/>
  <c r="U228" i="17"/>
  <c r="U226" i="17"/>
  <c r="U224" i="17"/>
  <c r="U222" i="17"/>
  <c r="U220" i="17"/>
  <c r="U218" i="17"/>
  <c r="U216" i="17"/>
  <c r="U214" i="17"/>
  <c r="U212" i="17"/>
  <c r="U208" i="17"/>
  <c r="U205" i="17"/>
  <c r="U203" i="17"/>
  <c r="U201" i="17"/>
  <c r="U199" i="17"/>
  <c r="U197" i="17"/>
  <c r="T230" i="17"/>
  <c r="T228" i="17"/>
  <c r="T226" i="17"/>
  <c r="T224" i="17"/>
  <c r="T222" i="17"/>
  <c r="T220" i="17"/>
  <c r="T218" i="17"/>
  <c r="T216" i="17"/>
  <c r="T214" i="17"/>
  <c r="T212" i="17"/>
  <c r="T208" i="17"/>
  <c r="T205" i="17"/>
  <c r="T203" i="17"/>
  <c r="T201" i="17"/>
  <c r="T199" i="17"/>
  <c r="T197" i="17"/>
  <c r="S230" i="17"/>
  <c r="S228" i="17"/>
  <c r="S226" i="17"/>
  <c r="S224" i="17"/>
  <c r="S222" i="17"/>
  <c r="S220" i="17"/>
  <c r="S218" i="17"/>
  <c r="S216" i="17"/>
  <c r="S214" i="17"/>
  <c r="S212" i="17"/>
  <c r="S208" i="17"/>
  <c r="S205" i="17"/>
  <c r="S203" i="17"/>
  <c r="S201" i="17"/>
  <c r="S199" i="17"/>
  <c r="S197" i="17"/>
  <c r="R230" i="17"/>
  <c r="R228" i="17"/>
  <c r="R226" i="17"/>
  <c r="R224" i="17"/>
  <c r="R222" i="17"/>
  <c r="R220" i="17"/>
  <c r="R218" i="17"/>
  <c r="R216" i="17"/>
  <c r="R214" i="17"/>
  <c r="R212" i="17"/>
  <c r="R208" i="17"/>
  <c r="R205" i="17"/>
  <c r="R203" i="17"/>
  <c r="R201" i="17"/>
  <c r="R199" i="17"/>
  <c r="R197" i="17"/>
  <c r="AC231" i="17"/>
  <c r="AC229" i="17"/>
  <c r="AC227" i="17"/>
  <c r="AC225" i="17"/>
  <c r="AC223" i="17"/>
  <c r="AC221" i="17"/>
  <c r="AC219" i="17"/>
  <c r="AC217" i="17"/>
  <c r="AC215" i="17"/>
  <c r="AC213" i="17"/>
  <c r="AC211" i="17"/>
  <c r="AC206" i="17"/>
  <c r="AC204" i="17"/>
  <c r="AC202" i="17"/>
  <c r="AC200" i="17"/>
  <c r="AC198" i="17"/>
  <c r="AC196" i="17"/>
  <c r="AB231" i="17"/>
  <c r="AB229" i="17"/>
  <c r="AB227" i="17"/>
  <c r="AB225" i="17"/>
  <c r="AB223" i="17"/>
  <c r="AB221" i="17"/>
  <c r="AB219" i="17"/>
  <c r="AB217" i="17"/>
  <c r="AB215" i="17"/>
  <c r="AB213" i="17"/>
  <c r="AB211" i="17"/>
  <c r="AB206" i="17"/>
  <c r="AB204" i="17"/>
  <c r="AB202" i="17"/>
  <c r="AB200" i="17"/>
  <c r="AB198" i="17"/>
  <c r="AB196" i="17"/>
  <c r="AA231" i="17"/>
  <c r="AA229" i="17"/>
  <c r="AA227" i="17"/>
  <c r="AA225" i="17"/>
  <c r="AA223" i="17"/>
  <c r="AA221" i="17"/>
  <c r="AA219" i="17"/>
  <c r="AA217" i="17"/>
  <c r="AA215" i="17"/>
  <c r="AA213" i="17"/>
  <c r="AA211" i="17"/>
  <c r="AA206" i="17"/>
  <c r="AA204" i="17"/>
  <c r="AA202" i="17"/>
  <c r="AA200" i="17"/>
  <c r="AA198" i="17"/>
  <c r="AA196" i="17"/>
  <c r="Z231" i="17"/>
  <c r="Z229" i="17"/>
  <c r="Z227" i="17"/>
  <c r="Z225" i="17"/>
  <c r="Z223" i="17"/>
  <c r="Z221" i="17"/>
  <c r="Z219" i="17"/>
  <c r="Z217" i="17"/>
  <c r="Z215" i="17"/>
  <c r="Z213" i="17"/>
  <c r="Z211" i="17"/>
  <c r="Z206" i="17"/>
  <c r="Z204" i="17"/>
  <c r="Z202" i="17"/>
  <c r="Z200" i="17"/>
  <c r="Z198" i="17"/>
  <c r="Z196" i="17"/>
  <c r="AT212" i="17"/>
  <c r="Y231" i="17"/>
  <c r="Y229" i="17"/>
  <c r="Y227" i="17"/>
  <c r="Y225" i="17"/>
  <c r="Y223" i="17"/>
  <c r="Y221" i="17"/>
  <c r="Y219" i="17"/>
  <c r="Y217" i="17"/>
  <c r="Y215" i="17"/>
  <c r="Y213" i="17"/>
  <c r="Y211" i="17"/>
  <c r="Y206" i="17"/>
  <c r="Y204" i="17"/>
  <c r="Y202" i="17"/>
  <c r="Y200" i="17"/>
  <c r="Y198" i="17"/>
  <c r="Y196" i="17"/>
  <c r="BE211" i="17"/>
  <c r="X231" i="17"/>
  <c r="X229" i="17"/>
  <c r="X227" i="17"/>
  <c r="X225" i="17"/>
  <c r="X223" i="17"/>
  <c r="X221" i="17"/>
  <c r="X219" i="17"/>
  <c r="X217" i="17"/>
  <c r="X215" i="17"/>
  <c r="X213" i="17"/>
  <c r="X211" i="17"/>
  <c r="X206" i="17"/>
  <c r="X204" i="17"/>
  <c r="X202" i="17"/>
  <c r="X200" i="17"/>
  <c r="X198" i="17"/>
  <c r="X196" i="17"/>
  <c r="W231" i="17"/>
  <c r="W229" i="17"/>
  <c r="W227" i="17"/>
  <c r="W225" i="17"/>
  <c r="W223" i="17"/>
  <c r="W221" i="17"/>
  <c r="W219" i="17"/>
  <c r="W217" i="17"/>
  <c r="W215" i="17"/>
  <c r="W213" i="17"/>
  <c r="W211" i="17"/>
  <c r="W206" i="17"/>
  <c r="W204" i="17"/>
  <c r="W202" i="17"/>
  <c r="W200" i="17"/>
  <c r="W198" i="17"/>
  <c r="W196" i="17"/>
  <c r="V231" i="17"/>
  <c r="V229" i="17"/>
  <c r="V227" i="17"/>
  <c r="V225" i="17"/>
  <c r="V223" i="17"/>
  <c r="V221" i="17"/>
  <c r="V219" i="17"/>
  <c r="V217" i="17"/>
  <c r="V215" i="17"/>
  <c r="V213" i="17"/>
  <c r="V211" i="17"/>
  <c r="V206" i="17"/>
  <c r="V204" i="17"/>
  <c r="V202" i="17"/>
  <c r="V200" i="17"/>
  <c r="V198" i="17"/>
  <c r="V196" i="17"/>
  <c r="U231" i="17"/>
  <c r="U229" i="17"/>
  <c r="U227" i="17"/>
  <c r="U225" i="17"/>
  <c r="U223" i="17"/>
  <c r="U221" i="17"/>
  <c r="U219" i="17"/>
  <c r="U217" i="17"/>
  <c r="U215" i="17"/>
  <c r="U213" i="17"/>
  <c r="U211" i="17"/>
  <c r="U206" i="17"/>
  <c r="U204" i="17"/>
  <c r="U202" i="17"/>
  <c r="U200" i="17"/>
  <c r="U198" i="17"/>
  <c r="U196" i="17"/>
  <c r="T231" i="17"/>
  <c r="T229" i="17"/>
  <c r="T227" i="17"/>
  <c r="T225" i="17"/>
  <c r="T223" i="17"/>
  <c r="T221" i="17"/>
  <c r="T219" i="17"/>
  <c r="T217" i="17"/>
  <c r="T215" i="17"/>
  <c r="T213" i="17"/>
  <c r="T211" i="17"/>
  <c r="T206" i="17"/>
  <c r="T204" i="17"/>
  <c r="T202" i="17"/>
  <c r="T200" i="17"/>
  <c r="T198" i="17"/>
  <c r="T196" i="17"/>
  <c r="S231" i="17"/>
  <c r="S229" i="17"/>
  <c r="S227" i="17"/>
  <c r="S225" i="17"/>
  <c r="S223" i="17"/>
  <c r="S221" i="17"/>
  <c r="S219" i="17"/>
  <c r="S217" i="17"/>
  <c r="S215" i="17"/>
  <c r="S213" i="17"/>
  <c r="S211" i="17"/>
  <c r="S206" i="17"/>
  <c r="S204" i="17"/>
  <c r="S202" i="17"/>
  <c r="S200" i="17"/>
  <c r="S198" i="17"/>
  <c r="S196" i="17"/>
  <c r="R231" i="17"/>
  <c r="R229" i="17"/>
  <c r="R227" i="17"/>
  <c r="R225" i="17"/>
  <c r="R223" i="17"/>
  <c r="R221" i="17"/>
  <c r="R219" i="17"/>
  <c r="R217" i="17"/>
  <c r="R215" i="17"/>
  <c r="R213" i="17"/>
  <c r="R211" i="17"/>
  <c r="R206" i="17"/>
  <c r="R204" i="17"/>
  <c r="R202" i="17"/>
  <c r="R200" i="17"/>
  <c r="R198" i="17"/>
  <c r="R196" i="17"/>
  <c r="AC230" i="17"/>
  <c r="AC228" i="17"/>
  <c r="AC226" i="17"/>
  <c r="AC224" i="17"/>
  <c r="AC222" i="17"/>
  <c r="AC220" i="17"/>
  <c r="AC218" i="17"/>
  <c r="AC216" i="17"/>
  <c r="AC214" i="17"/>
  <c r="AC212" i="17"/>
  <c r="AC208" i="17"/>
  <c r="AC205" i="17"/>
  <c r="AC203" i="17"/>
  <c r="AC201" i="17"/>
  <c r="AC199" i="17"/>
  <c r="AC197" i="17"/>
  <c r="AB230" i="17"/>
  <c r="AB228" i="17"/>
  <c r="AB226" i="17"/>
  <c r="AB224" i="17"/>
  <c r="AB222" i="17"/>
  <c r="AB220" i="17"/>
  <c r="AB218" i="17"/>
  <c r="AB216" i="17"/>
  <c r="AB214" i="17"/>
  <c r="AB212" i="17"/>
  <c r="AB208" i="17"/>
  <c r="AB205" i="17"/>
  <c r="AB203" i="17"/>
  <c r="AB201" i="17"/>
  <c r="AB199" i="17"/>
  <c r="AB197" i="17"/>
  <c r="AA230" i="17"/>
  <c r="AA228" i="17"/>
  <c r="AA226" i="17"/>
  <c r="AA224" i="17"/>
  <c r="AA222" i="17"/>
  <c r="AA220" i="17"/>
  <c r="AA218" i="17"/>
  <c r="AA216" i="17"/>
  <c r="AA214" i="17"/>
  <c r="AA212" i="17"/>
  <c r="AA208" i="17"/>
  <c r="AA205" i="17"/>
  <c r="AA203" i="17"/>
  <c r="AA201" i="17"/>
  <c r="AA199" i="17"/>
  <c r="AA197" i="17"/>
  <c r="Z230" i="17"/>
  <c r="Z228" i="17"/>
  <c r="Z226" i="17"/>
  <c r="Z224" i="17"/>
  <c r="Z222" i="17"/>
  <c r="Z220" i="17"/>
  <c r="Z218" i="17"/>
  <c r="Z216" i="17"/>
  <c r="Z214" i="17"/>
  <c r="Z212" i="17"/>
  <c r="Z208" i="17"/>
  <c r="Z205" i="17"/>
  <c r="Z203" i="17"/>
  <c r="Z201" i="17"/>
  <c r="Z199" i="17"/>
  <c r="Z197" i="17"/>
  <c r="W230" i="17"/>
  <c r="W228" i="17"/>
  <c r="W226" i="17"/>
  <c r="W224" i="17"/>
  <c r="W222" i="17"/>
  <c r="W220" i="17"/>
  <c r="W218" i="17"/>
  <c r="W216" i="17"/>
  <c r="W214" i="17"/>
  <c r="W212" i="17"/>
  <c r="W208" i="17"/>
  <c r="W205" i="17"/>
  <c r="W203" i="17"/>
  <c r="W201" i="17"/>
  <c r="W199" i="17"/>
  <c r="W197" i="17"/>
  <c r="CU323" i="17"/>
  <c r="BS323" i="17"/>
  <c r="AQ323" i="17"/>
  <c r="CU321" i="17"/>
  <c r="BS321" i="17"/>
  <c r="AQ321" i="17"/>
  <c r="CT323" i="17"/>
  <c r="BR323" i="17"/>
  <c r="AP323" i="17"/>
  <c r="CT321" i="17"/>
  <c r="BR321" i="17"/>
  <c r="AP321" i="17"/>
  <c r="CS323" i="17"/>
  <c r="BQ323" i="17"/>
  <c r="AO323" i="17"/>
  <c r="CS321" i="17"/>
  <c r="BQ321" i="17"/>
  <c r="AO321" i="17"/>
  <c r="CR323" i="17"/>
  <c r="BP323" i="17"/>
  <c r="AN323" i="17"/>
  <c r="CR321" i="17"/>
  <c r="BP321" i="17"/>
  <c r="AN321" i="17"/>
  <c r="CQ323" i="17"/>
  <c r="BO323" i="17"/>
  <c r="AM323" i="17"/>
  <c r="CQ321" i="17"/>
  <c r="BO321" i="17"/>
  <c r="AM321" i="17"/>
  <c r="CP323" i="17"/>
  <c r="BN323" i="17"/>
  <c r="AL323" i="17"/>
  <c r="CP321" i="17"/>
  <c r="BN321" i="17"/>
  <c r="AL321" i="17"/>
  <c r="CO323" i="17"/>
  <c r="BM323" i="17"/>
  <c r="AK323" i="17"/>
  <c r="CO321" i="17"/>
  <c r="BM321" i="17"/>
  <c r="AK321" i="17"/>
  <c r="CN323" i="17"/>
  <c r="BL323" i="17"/>
  <c r="AJ323" i="17"/>
  <c r="CN321" i="17"/>
  <c r="BL321" i="17"/>
  <c r="AJ321" i="17"/>
  <c r="CM323" i="17"/>
  <c r="BK323" i="17"/>
  <c r="AI323" i="17"/>
  <c r="CM321" i="17"/>
  <c r="BK321" i="17"/>
  <c r="AI321" i="17"/>
  <c r="CL323" i="17"/>
  <c r="BJ323" i="17"/>
  <c r="AH323" i="17"/>
  <c r="CL321" i="17"/>
  <c r="BJ321" i="17"/>
  <c r="CK323" i="17"/>
  <c r="BI323" i="17"/>
  <c r="AG323" i="17"/>
  <c r="CK321" i="17"/>
  <c r="BI321" i="17"/>
  <c r="CJ323" i="17"/>
  <c r="BH323" i="17"/>
  <c r="AF323" i="17"/>
  <c r="CJ321" i="17"/>
  <c r="BH321" i="17"/>
  <c r="AF321" i="17"/>
  <c r="CG323" i="17"/>
  <c r="BE323" i="17"/>
  <c r="AC323" i="17"/>
  <c r="CG321" i="17"/>
  <c r="BE321" i="17"/>
  <c r="AC321" i="17"/>
  <c r="CF323" i="17"/>
  <c r="BD323" i="17"/>
  <c r="AB323" i="17"/>
  <c r="CF321" i="17"/>
  <c r="BD321" i="17"/>
  <c r="AB321" i="17"/>
  <c r="CE323" i="17"/>
  <c r="BC323" i="17"/>
  <c r="AA323" i="17"/>
  <c r="CE321" i="17"/>
  <c r="BC321" i="17"/>
  <c r="AA321" i="17"/>
  <c r="CD323" i="17"/>
  <c r="BB323" i="17"/>
  <c r="Z323" i="17"/>
  <c r="CD321" i="17"/>
  <c r="BB321" i="17"/>
  <c r="Z321" i="17"/>
  <c r="CC323" i="17"/>
  <c r="BA323" i="17"/>
  <c r="Y323" i="17"/>
  <c r="CC321" i="17"/>
  <c r="BA321" i="17"/>
  <c r="Y321" i="17"/>
  <c r="CB323" i="17"/>
  <c r="AZ323" i="17"/>
  <c r="X323" i="17"/>
  <c r="CB321" i="17"/>
  <c r="AZ321" i="17"/>
  <c r="X321" i="17"/>
  <c r="CA323" i="17"/>
  <c r="AY323" i="17"/>
  <c r="W323" i="17"/>
  <c r="BZ323" i="17"/>
  <c r="AX323" i="17"/>
  <c r="V323" i="17"/>
  <c r="BZ321" i="17"/>
  <c r="AX321" i="17"/>
  <c r="BY323" i="17"/>
  <c r="AW323" i="17"/>
  <c r="U323" i="17"/>
  <c r="BX323" i="17"/>
  <c r="AV323" i="17"/>
  <c r="T323" i="17"/>
  <c r="BX321" i="17"/>
  <c r="AV321" i="17"/>
  <c r="BW323" i="17"/>
  <c r="AU323" i="17"/>
  <c r="S323" i="17"/>
  <c r="BW321" i="17"/>
  <c r="BV323" i="17"/>
  <c r="AT323" i="17"/>
  <c r="R323" i="17"/>
  <c r="CA321" i="17"/>
  <c r="BY321" i="17"/>
  <c r="BV321" i="17"/>
  <c r="AY321" i="17"/>
  <c r="AW321" i="17"/>
  <c r="AU321" i="17"/>
  <c r="AT321" i="17"/>
  <c r="AH321" i="17"/>
  <c r="AG321" i="17"/>
  <c r="W321" i="17"/>
  <c r="V321" i="17"/>
  <c r="U321" i="17"/>
  <c r="T321" i="17"/>
  <c r="S321" i="17"/>
  <c r="R321" i="17"/>
  <c r="BV324" i="17"/>
  <c r="AT324" i="17"/>
  <c r="R324" i="17"/>
  <c r="CU324" i="17"/>
  <c r="BS324" i="17"/>
  <c r="AQ324" i="17"/>
  <c r="CT324" i="17"/>
  <c r="BR324" i="17"/>
  <c r="AP324" i="17"/>
  <c r="CS324" i="17"/>
  <c r="BQ324" i="17"/>
  <c r="AO324" i="17"/>
  <c r="CR324" i="17"/>
  <c r="BP324" i="17"/>
  <c r="AN324" i="17"/>
  <c r="CQ324" i="17"/>
  <c r="BO324" i="17"/>
  <c r="AM324" i="17"/>
  <c r="CP324" i="17"/>
  <c r="BN324" i="17"/>
  <c r="AL324" i="17"/>
  <c r="CO324" i="17"/>
  <c r="BM324" i="17"/>
  <c r="AK324" i="17"/>
  <c r="CN324" i="17"/>
  <c r="BL324" i="17"/>
  <c r="AJ324" i="17"/>
  <c r="CM324" i="17"/>
  <c r="BK324" i="17"/>
  <c r="AI324" i="17"/>
  <c r="CL324" i="17"/>
  <c r="BJ324" i="17"/>
  <c r="AH324" i="17"/>
  <c r="CK324" i="17"/>
  <c r="BI324" i="17"/>
  <c r="AG324" i="17"/>
  <c r="CJ324" i="17"/>
  <c r="BH324" i="17"/>
  <c r="AF324" i="17"/>
  <c r="CG324" i="17"/>
  <c r="BE324" i="17"/>
  <c r="AC324" i="17"/>
  <c r="CF324" i="17"/>
  <c r="BD324" i="17"/>
  <c r="AB324" i="17"/>
  <c r="CE324" i="17"/>
  <c r="BC324" i="17"/>
  <c r="AA324" i="17"/>
  <c r="CD324" i="17"/>
  <c r="BB324" i="17"/>
  <c r="Z324" i="17"/>
  <c r="CC324" i="17"/>
  <c r="BA324" i="17"/>
  <c r="CB324" i="17"/>
  <c r="AZ324" i="17"/>
  <c r="BZ324" i="17"/>
  <c r="AM345" i="17"/>
  <c r="AM343" i="17"/>
  <c r="AM341" i="17"/>
  <c r="AM339" i="17"/>
  <c r="AM337" i="17"/>
  <c r="AM335" i="17"/>
  <c r="AM333" i="17"/>
  <c r="AM331" i="17"/>
  <c r="AM329" i="17"/>
  <c r="AM327" i="17"/>
  <c r="AM325" i="17"/>
  <c r="AM320" i="17"/>
  <c r="AM318" i="17"/>
  <c r="AM316" i="17"/>
  <c r="AM314" i="17"/>
  <c r="AM312" i="17"/>
  <c r="AM310" i="17"/>
  <c r="BY324" i="17"/>
  <c r="AL345" i="17"/>
  <c r="AL343" i="17"/>
  <c r="AL341" i="17"/>
  <c r="AL339" i="17"/>
  <c r="AL337" i="17"/>
  <c r="AL335" i="17"/>
  <c r="AL333" i="17"/>
  <c r="AL331" i="17"/>
  <c r="AL329" i="17"/>
  <c r="AL327" i="17"/>
  <c r="AL325" i="17"/>
  <c r="AL320" i="17"/>
  <c r="AL318" i="17"/>
  <c r="AL316" i="17"/>
  <c r="AL314" i="17"/>
  <c r="AL312" i="17"/>
  <c r="AL310" i="17"/>
  <c r="BX324" i="17"/>
  <c r="AK345" i="17"/>
  <c r="AK343" i="17"/>
  <c r="AK341" i="17"/>
  <c r="AK339" i="17"/>
  <c r="AK337" i="17"/>
  <c r="AK335" i="17"/>
  <c r="AK333" i="17"/>
  <c r="AK331" i="17"/>
  <c r="AK329" i="17"/>
  <c r="AK327" i="17"/>
  <c r="AK325" i="17"/>
  <c r="AK320" i="17"/>
  <c r="AK318" i="17"/>
  <c r="AK316" i="17"/>
  <c r="AK314" i="17"/>
  <c r="AK312" i="17"/>
  <c r="AK310" i="17"/>
  <c r="BW324" i="17"/>
  <c r="AJ345" i="17"/>
  <c r="AJ343" i="17"/>
  <c r="AJ341" i="17"/>
  <c r="AJ339" i="17"/>
  <c r="AJ337" i="17"/>
  <c r="AJ335" i="17"/>
  <c r="AJ333" i="17"/>
  <c r="AJ331" i="17"/>
  <c r="AJ329" i="17"/>
  <c r="AJ327" i="17"/>
  <c r="AJ325" i="17"/>
  <c r="AJ320" i="17"/>
  <c r="AJ318" i="17"/>
  <c r="AJ316" i="17"/>
  <c r="AJ314" i="17"/>
  <c r="AJ312" i="17"/>
  <c r="AJ310" i="17"/>
  <c r="AY324" i="17"/>
  <c r="AI345" i="17"/>
  <c r="AI343" i="17"/>
  <c r="AI341" i="17"/>
  <c r="AI339" i="17"/>
  <c r="AI337" i="17"/>
  <c r="AI335" i="17"/>
  <c r="AI333" i="17"/>
  <c r="AI331" i="17"/>
  <c r="AI329" i="17"/>
  <c r="AI327" i="17"/>
  <c r="AI325" i="17"/>
  <c r="AI320" i="17"/>
  <c r="AI318" i="17"/>
  <c r="AI316" i="17"/>
  <c r="AI314" i="17"/>
  <c r="AI312" i="17"/>
  <c r="AI310" i="17"/>
  <c r="AX324" i="17"/>
  <c r="AH345" i="17"/>
  <c r="AH343" i="17"/>
  <c r="AH341" i="17"/>
  <c r="AH339" i="17"/>
  <c r="AH337" i="17"/>
  <c r="AH335" i="17"/>
  <c r="AH333" i="17"/>
  <c r="AH331" i="17"/>
  <c r="AH329" i="17"/>
  <c r="AH327" i="17"/>
  <c r="AH325" i="17"/>
  <c r="AH320" i="17"/>
  <c r="AH318" i="17"/>
  <c r="AH316" i="17"/>
  <c r="AW324" i="17"/>
  <c r="AG345" i="17"/>
  <c r="AG343" i="17"/>
  <c r="AG341" i="17"/>
  <c r="AG339" i="17"/>
  <c r="AG337" i="17"/>
  <c r="AG335" i="17"/>
  <c r="AG333" i="17"/>
  <c r="AG331" i="17"/>
  <c r="AG329" i="17"/>
  <c r="AG327" i="17"/>
  <c r="AG325" i="17"/>
  <c r="AG320" i="17"/>
  <c r="AG318" i="17"/>
  <c r="AG316" i="17"/>
  <c r="AG314" i="17"/>
  <c r="AG312" i="17"/>
  <c r="AG310" i="17"/>
  <c r="AV324" i="17"/>
  <c r="AF345" i="17"/>
  <c r="AU324" i="17"/>
  <c r="AQ344" i="17"/>
  <c r="AQ342" i="17"/>
  <c r="AQ340" i="17"/>
  <c r="AQ338" i="17"/>
  <c r="AQ336" i="17"/>
  <c r="AQ334" i="17"/>
  <c r="AQ332" i="17"/>
  <c r="Y324" i="17"/>
  <c r="AP344" i="17"/>
  <c r="AP342" i="17"/>
  <c r="AP340" i="17"/>
  <c r="AP338" i="17"/>
  <c r="AP336" i="17"/>
  <c r="AP334" i="17"/>
  <c r="AP332" i="17"/>
  <c r="X324" i="17"/>
  <c r="AO344" i="17"/>
  <c r="AO342" i="17"/>
  <c r="AO340" i="17"/>
  <c r="AO338" i="17"/>
  <c r="AO336" i="17"/>
  <c r="AO334" i="17"/>
  <c r="AO332" i="17"/>
  <c r="AO330" i="17"/>
  <c r="AO328" i="17"/>
  <c r="AO326" i="17"/>
  <c r="AO322" i="17"/>
  <c r="AO319" i="17"/>
  <c r="AO317" i="17"/>
  <c r="AO315" i="17"/>
  <c r="AO313" i="17"/>
  <c r="AO311" i="17"/>
  <c r="W324" i="17"/>
  <c r="AN344" i="17"/>
  <c r="AN342" i="17"/>
  <c r="AN340" i="17"/>
  <c r="AN338" i="17"/>
  <c r="AN336" i="17"/>
  <c r="V324" i="17"/>
  <c r="AM344" i="17"/>
  <c r="AM342" i="17"/>
  <c r="AM340" i="17"/>
  <c r="AM338" i="17"/>
  <c r="AM336" i="17"/>
  <c r="AM334" i="17"/>
  <c r="AM332" i="17"/>
  <c r="AM330" i="17"/>
  <c r="AM328" i="17"/>
  <c r="AM326" i="17"/>
  <c r="AM322" i="17"/>
  <c r="AM319" i="17"/>
  <c r="AM317" i="17"/>
  <c r="AM315" i="17"/>
  <c r="AM313" i="17"/>
  <c r="AM311" i="17"/>
  <c r="U324" i="17"/>
  <c r="AL344" i="17"/>
  <c r="AL342" i="17"/>
  <c r="AL340" i="17"/>
  <c r="AL338" i="17"/>
  <c r="AL336" i="17"/>
  <c r="AL334" i="17"/>
  <c r="T324" i="17"/>
  <c r="AK344" i="17"/>
  <c r="AK342" i="17"/>
  <c r="AK340" i="17"/>
  <c r="AK338" i="17"/>
  <c r="AK336" i="17"/>
  <c r="AK334" i="17"/>
  <c r="AK332" i="17"/>
  <c r="S324" i="17"/>
  <c r="AJ344" i="17"/>
  <c r="AJ342" i="17"/>
  <c r="AJ340" i="17"/>
  <c r="AJ338" i="17"/>
  <c r="AJ336" i="17"/>
  <c r="AJ334" i="17"/>
  <c r="AI344" i="17"/>
  <c r="AI342" i="17"/>
  <c r="CA324" i="17"/>
  <c r="AP341" i="17"/>
  <c r="AG336" i="17"/>
  <c r="AQ331" i="17"/>
  <c r="AK328" i="17"/>
  <c r="AN325" i="17"/>
  <c r="AH319" i="17"/>
  <c r="AP315" i="17"/>
  <c r="AF313" i="17"/>
  <c r="AO341" i="17"/>
  <c r="AF336" i="17"/>
  <c r="AP331" i="17"/>
  <c r="AJ328" i="17"/>
  <c r="AF325" i="17"/>
  <c r="AG319" i="17"/>
  <c r="AN315" i="17"/>
  <c r="AQ312" i="17"/>
  <c r="AN341" i="17"/>
  <c r="AQ335" i="17"/>
  <c r="AO331" i="17"/>
  <c r="AI328" i="17"/>
  <c r="AQ322" i="17"/>
  <c r="AF319" i="17"/>
  <c r="AL315" i="17"/>
  <c r="AP312" i="17"/>
  <c r="AF341" i="17"/>
  <c r="AP335" i="17"/>
  <c r="AN331" i="17"/>
  <c r="AH328" i="17"/>
  <c r="AP322" i="17"/>
  <c r="AQ318" i="17"/>
  <c r="AK315" i="17"/>
  <c r="AO312" i="17"/>
  <c r="AI340" i="17"/>
  <c r="AO335" i="17"/>
  <c r="AF331" i="17"/>
  <c r="AG328" i="17"/>
  <c r="AN322" i="17"/>
  <c r="AP318" i="17"/>
  <c r="AJ315" i="17"/>
  <c r="AN312" i="17"/>
  <c r="AH340" i="17"/>
  <c r="AN335" i="17"/>
  <c r="AQ330" i="17"/>
  <c r="AF328" i="17"/>
  <c r="AL322" i="17"/>
  <c r="AO318" i="17"/>
  <c r="AI315" i="17"/>
  <c r="AH312" i="17"/>
  <c r="AG340" i="17"/>
  <c r="AF335" i="17"/>
  <c r="AP330" i="17"/>
  <c r="AQ327" i="17"/>
  <c r="AK322" i="17"/>
  <c r="AN318" i="17"/>
  <c r="AH315" i="17"/>
  <c r="AF312" i="17"/>
  <c r="AF340" i="17"/>
  <c r="AN334" i="17"/>
  <c r="AN330" i="17"/>
  <c r="AP327" i="17"/>
  <c r="AJ322" i="17"/>
  <c r="AF318" i="17"/>
  <c r="AG315" i="17"/>
  <c r="AQ311" i="17"/>
  <c r="AQ345" i="17"/>
  <c r="AQ339" i="17"/>
  <c r="AI334" i="17"/>
  <c r="AL330" i="17"/>
  <c r="AO327" i="17"/>
  <c r="AI322" i="17"/>
  <c r="AQ317" i="17"/>
  <c r="AF315" i="17"/>
  <c r="AP311" i="17"/>
  <c r="AP345" i="17"/>
  <c r="AP339" i="17"/>
  <c r="AH334" i="17"/>
  <c r="AK330" i="17"/>
  <c r="AN327" i="17"/>
  <c r="AH322" i="17"/>
  <c r="AP317" i="17"/>
  <c r="AQ314" i="17"/>
  <c r="AN311" i="17"/>
  <c r="AO345" i="17"/>
  <c r="AO339" i="17"/>
  <c r="AG334" i="17"/>
  <c r="AJ330" i="17"/>
  <c r="AF327" i="17"/>
  <c r="AG322" i="17"/>
  <c r="AN317" i="17"/>
  <c r="AP314" i="17"/>
  <c r="AL311" i="17"/>
  <c r="AN345" i="17"/>
  <c r="AN339" i="17"/>
  <c r="AF334" i="17"/>
  <c r="AI330" i="17"/>
  <c r="AQ326" i="17"/>
  <c r="AF322" i="17"/>
  <c r="AL317" i="17"/>
  <c r="AO314" i="17"/>
  <c r="AK311" i="17"/>
  <c r="AH344" i="17"/>
  <c r="AF339" i="17"/>
  <c r="AQ333" i="17"/>
  <c r="AH330" i="17"/>
  <c r="AP326" i="17"/>
  <c r="AQ320" i="17"/>
  <c r="AK317" i="17"/>
  <c r="AN314" i="17"/>
  <c r="AJ311" i="17"/>
  <c r="AG344" i="17"/>
  <c r="AI338" i="17"/>
  <c r="AP333" i="17"/>
  <c r="AG330" i="17"/>
  <c r="AN326" i="17"/>
  <c r="AP320" i="17"/>
  <c r="AJ317" i="17"/>
  <c r="AH314" i="17"/>
  <c r="AI311" i="17"/>
  <c r="AF344" i="17"/>
  <c r="AH338" i="17"/>
  <c r="AO333" i="17"/>
  <c r="AF330" i="17"/>
  <c r="AL326" i="17"/>
  <c r="AO320" i="17"/>
  <c r="AI317" i="17"/>
  <c r="AF314" i="17"/>
  <c r="AH311" i="17"/>
  <c r="AQ343" i="17"/>
  <c r="AG338" i="17"/>
  <c r="AN333" i="17"/>
  <c r="AQ329" i="17"/>
  <c r="AK326" i="17"/>
  <c r="AN320" i="17"/>
  <c r="AH317" i="17"/>
  <c r="AQ313" i="17"/>
  <c r="AG311" i="17"/>
  <c r="AP343" i="17"/>
  <c r="AF338" i="17"/>
  <c r="AF333" i="17"/>
  <c r="AP329" i="17"/>
  <c r="AJ326" i="17"/>
  <c r="AF320" i="17"/>
  <c r="AG317" i="17"/>
  <c r="AP313" i="17"/>
  <c r="AF311" i="17"/>
  <c r="AO343" i="17"/>
  <c r="AQ337" i="17"/>
  <c r="AN332" i="17"/>
  <c r="AO329" i="17"/>
  <c r="AI326" i="17"/>
  <c r="AQ319" i="17"/>
  <c r="AF317" i="17"/>
  <c r="AN313" i="17"/>
  <c r="AQ310" i="17"/>
  <c r="AN343" i="17"/>
  <c r="AP337" i="17"/>
  <c r="AL332" i="17"/>
  <c r="AN329" i="17"/>
  <c r="AH326" i="17"/>
  <c r="AP319" i="17"/>
  <c r="AQ316" i="17"/>
  <c r="AL313" i="17"/>
  <c r="AP310" i="17"/>
  <c r="AF343" i="17"/>
  <c r="AO337" i="17"/>
  <c r="AJ332" i="17"/>
  <c r="AF329" i="17"/>
  <c r="AG326" i="17"/>
  <c r="AN319" i="17"/>
  <c r="AP316" i="17"/>
  <c r="AK313" i="17"/>
  <c r="AO310" i="17"/>
  <c r="AH342" i="17"/>
  <c r="AN337" i="17"/>
  <c r="AI332" i="17"/>
  <c r="AQ328" i="17"/>
  <c r="AF326" i="17"/>
  <c r="AL319" i="17"/>
  <c r="AO316" i="17"/>
  <c r="AJ313" i="17"/>
  <c r="AN310" i="17"/>
  <c r="AG342" i="17"/>
  <c r="AF337" i="17"/>
  <c r="AH332" i="17"/>
  <c r="AP328" i="17"/>
  <c r="AQ325" i="17"/>
  <c r="AK319" i="17"/>
  <c r="AN316" i="17"/>
  <c r="AI313" i="17"/>
  <c r="AH310" i="17"/>
  <c r="AF342" i="17"/>
  <c r="AI336" i="17"/>
  <c r="AG332" i="17"/>
  <c r="AN328" i="17"/>
  <c r="AP325" i="17"/>
  <c r="AJ319" i="17"/>
  <c r="AF316" i="17"/>
  <c r="AH313" i="17"/>
  <c r="AF310" i="17"/>
  <c r="AQ341" i="17"/>
  <c r="AH336" i="17"/>
  <c r="AF332" i="17"/>
  <c r="AL328" i="17"/>
  <c r="AO325" i="17"/>
  <c r="AI319" i="17"/>
  <c r="AQ315" i="17"/>
  <c r="AG313" i="17"/>
  <c r="CP344" i="17"/>
  <c r="CP342" i="17"/>
  <c r="CP340" i="17"/>
  <c r="CP338" i="17"/>
  <c r="CP336" i="17"/>
  <c r="CP334" i="17"/>
  <c r="CP332" i="17"/>
  <c r="CP330" i="17"/>
  <c r="CP328" i="17"/>
  <c r="CP326" i="17"/>
  <c r="CP322" i="17"/>
  <c r="CP319" i="17"/>
  <c r="CP317" i="17"/>
  <c r="CP315" i="17"/>
  <c r="CP313" i="17"/>
  <c r="CP311" i="17"/>
  <c r="CN344" i="17"/>
  <c r="CN342" i="17"/>
  <c r="CN340" i="17"/>
  <c r="CN338" i="17"/>
  <c r="CN336" i="17"/>
  <c r="CN334" i="17"/>
  <c r="CN332" i="17"/>
  <c r="CN330" i="17"/>
  <c r="CN328" i="17"/>
  <c r="CN326" i="17"/>
  <c r="CN322" i="17"/>
  <c r="CN319" i="17"/>
  <c r="CN317" i="17"/>
  <c r="CN315" i="17"/>
  <c r="CN313" i="17"/>
  <c r="CN311" i="17"/>
  <c r="CM344" i="17"/>
  <c r="CM342" i="17"/>
  <c r="CM340" i="17"/>
  <c r="CM338" i="17"/>
  <c r="CM336" i="17"/>
  <c r="CM334" i="17"/>
  <c r="CM332" i="17"/>
  <c r="CM330" i="17"/>
  <c r="CM328" i="17"/>
  <c r="CM326" i="17"/>
  <c r="CM322" i="17"/>
  <c r="CM319" i="17"/>
  <c r="CM317" i="17"/>
  <c r="CM315" i="17"/>
  <c r="CM313" i="17"/>
  <c r="CM311" i="17"/>
  <c r="CL344" i="17"/>
  <c r="CL342" i="17"/>
  <c r="CL340" i="17"/>
  <c r="CL338" i="17"/>
  <c r="CL336" i="17"/>
  <c r="CL334" i="17"/>
  <c r="CL332" i="17"/>
  <c r="CL330" i="17"/>
  <c r="CL328" i="17"/>
  <c r="CL326" i="17"/>
  <c r="CL322" i="17"/>
  <c r="CL319" i="17"/>
  <c r="CL317" i="17"/>
  <c r="CL315" i="17"/>
  <c r="CL313" i="17"/>
  <c r="CL311" i="17"/>
  <c r="CK344" i="17"/>
  <c r="CK342" i="17"/>
  <c r="CK340" i="17"/>
  <c r="CK338" i="17"/>
  <c r="CK336" i="17"/>
  <c r="CK334" i="17"/>
  <c r="CK332" i="17"/>
  <c r="CK330" i="17"/>
  <c r="CK328" i="17"/>
  <c r="CK326" i="17"/>
  <c r="CK322" i="17"/>
  <c r="CK319" i="17"/>
  <c r="CK317" i="17"/>
  <c r="CK315" i="17"/>
  <c r="CK313" i="17"/>
  <c r="CK311" i="17"/>
  <c r="CJ344" i="17"/>
  <c r="CJ342" i="17"/>
  <c r="CJ340" i="17"/>
  <c r="CJ338" i="17"/>
  <c r="CJ336" i="17"/>
  <c r="CJ334" i="17"/>
  <c r="CJ332" i="17"/>
  <c r="CJ330" i="17"/>
  <c r="CJ328" i="17"/>
  <c r="CJ326" i="17"/>
  <c r="CJ322" i="17"/>
  <c r="CJ319" i="17"/>
  <c r="CJ317" i="17"/>
  <c r="CJ315" i="17"/>
  <c r="CJ313" i="17"/>
  <c r="CJ311" i="17"/>
  <c r="CU345" i="17"/>
  <c r="CU343" i="17"/>
  <c r="CU341" i="17"/>
  <c r="CU339" i="17"/>
  <c r="CU337" i="17"/>
  <c r="CU335" i="17"/>
  <c r="CU333" i="17"/>
  <c r="CU331" i="17"/>
  <c r="CU329" i="17"/>
  <c r="CU327" i="17"/>
  <c r="CU325" i="17"/>
  <c r="CU320" i="17"/>
  <c r="CU318" i="17"/>
  <c r="CU316" i="17"/>
  <c r="CU314" i="17"/>
  <c r="CU312" i="17"/>
  <c r="CU310" i="17"/>
  <c r="CT345" i="17"/>
  <c r="CT343" i="17"/>
  <c r="CT341" i="17"/>
  <c r="CT339" i="17"/>
  <c r="CT337" i="17"/>
  <c r="CT335" i="17"/>
  <c r="CT333" i="17"/>
  <c r="CT331" i="17"/>
  <c r="CT329" i="17"/>
  <c r="CT327" i="17"/>
  <c r="CT325" i="17"/>
  <c r="CT320" i="17"/>
  <c r="CT318" i="17"/>
  <c r="CT316" i="17"/>
  <c r="CT314" i="17"/>
  <c r="CT312" i="17"/>
  <c r="CT310" i="17"/>
  <c r="CS345" i="17"/>
  <c r="CS343" i="17"/>
  <c r="CS341" i="17"/>
  <c r="CS339" i="17"/>
  <c r="CS337" i="17"/>
  <c r="CS335" i="17"/>
  <c r="CS333" i="17"/>
  <c r="CS331" i="17"/>
  <c r="CS329" i="17"/>
  <c r="CS327" i="17"/>
  <c r="CS325" i="17"/>
  <c r="CS320" i="17"/>
  <c r="CS318" i="17"/>
  <c r="CS316" i="17"/>
  <c r="CS314" i="17"/>
  <c r="CS312" i="17"/>
  <c r="CS310" i="17"/>
  <c r="CR345" i="17"/>
  <c r="CR343" i="17"/>
  <c r="CR341" i="17"/>
  <c r="CR339" i="17"/>
  <c r="CR337" i="17"/>
  <c r="CR335" i="17"/>
  <c r="CR333" i="17"/>
  <c r="CR331" i="17"/>
  <c r="CR329" i="17"/>
  <c r="CR327" i="17"/>
  <c r="CR325" i="17"/>
  <c r="CR320" i="17"/>
  <c r="CR318" i="17"/>
  <c r="CR316" i="17"/>
  <c r="CR314" i="17"/>
  <c r="CR312" i="17"/>
  <c r="CR310" i="17"/>
  <c r="CQ345" i="17"/>
  <c r="CQ343" i="17"/>
  <c r="CQ341" i="17"/>
  <c r="CQ339" i="17"/>
  <c r="CQ337" i="17"/>
  <c r="CQ335" i="17"/>
  <c r="CQ333" i="17"/>
  <c r="CQ331" i="17"/>
  <c r="CQ329" i="17"/>
  <c r="CQ327" i="17"/>
  <c r="CQ325" i="17"/>
  <c r="CQ320" i="17"/>
  <c r="CQ318" i="17"/>
  <c r="CQ316" i="17"/>
  <c r="CQ314" i="17"/>
  <c r="CQ312" i="17"/>
  <c r="CQ310" i="17"/>
  <c r="CP345" i="17"/>
  <c r="CP343" i="17"/>
  <c r="CP341" i="17"/>
  <c r="CP339" i="17"/>
  <c r="CP337" i="17"/>
  <c r="CP335" i="17"/>
  <c r="CP333" i="17"/>
  <c r="CP331" i="17"/>
  <c r="CP329" i="17"/>
  <c r="CP327" i="17"/>
  <c r="CP325" i="17"/>
  <c r="CP320" i="17"/>
  <c r="CP318" i="17"/>
  <c r="CP316" i="17"/>
  <c r="CP314" i="17"/>
  <c r="CP312" i="17"/>
  <c r="CP310" i="17"/>
  <c r="CO345" i="17"/>
  <c r="CO343" i="17"/>
  <c r="CO341" i="17"/>
  <c r="CO339" i="17"/>
  <c r="CO337" i="17"/>
  <c r="CO335" i="17"/>
  <c r="CO333" i="17"/>
  <c r="CO331" i="17"/>
  <c r="CO329" i="17"/>
  <c r="CO327" i="17"/>
  <c r="CO325" i="17"/>
  <c r="CO320" i="17"/>
  <c r="CO318" i="17"/>
  <c r="CO316" i="17"/>
  <c r="CO314" i="17"/>
  <c r="CO312" i="17"/>
  <c r="CO310" i="17"/>
  <c r="CN345" i="17"/>
  <c r="CN343" i="17"/>
  <c r="CN341" i="17"/>
  <c r="CN339" i="17"/>
  <c r="CN337" i="17"/>
  <c r="CN335" i="17"/>
  <c r="CN333" i="17"/>
  <c r="CN331" i="17"/>
  <c r="CN329" i="17"/>
  <c r="CN327" i="17"/>
  <c r="CN325" i="17"/>
  <c r="CN320" i="17"/>
  <c r="CN318" i="17"/>
  <c r="CN316" i="17"/>
  <c r="CN314" i="17"/>
  <c r="CN312" i="17"/>
  <c r="CN310" i="17"/>
  <c r="CM345" i="17"/>
  <c r="CM343" i="17"/>
  <c r="CM341" i="17"/>
  <c r="CM339" i="17"/>
  <c r="CM337" i="17"/>
  <c r="CM335" i="17"/>
  <c r="CM333" i="17"/>
  <c r="CM331" i="17"/>
  <c r="CM329" i="17"/>
  <c r="CL345" i="17"/>
  <c r="CL343" i="17"/>
  <c r="CL341" i="17"/>
  <c r="CL339" i="17"/>
  <c r="CL337" i="17"/>
  <c r="CL335" i="17"/>
  <c r="CL333" i="17"/>
  <c r="CL331" i="17"/>
  <c r="CL329" i="17"/>
  <c r="CL327" i="17"/>
  <c r="CL325" i="17"/>
  <c r="CL320" i="17"/>
  <c r="CL318" i="17"/>
  <c r="CL316" i="17"/>
  <c r="CL314" i="17"/>
  <c r="CL312" i="17"/>
  <c r="CL310" i="17"/>
  <c r="CK345" i="17"/>
  <c r="CK343" i="17"/>
  <c r="CK341" i="17"/>
  <c r="CK339" i="17"/>
  <c r="CK337" i="17"/>
  <c r="CK335" i="17"/>
  <c r="CK333" i="17"/>
  <c r="CK331" i="17"/>
  <c r="CK329" i="17"/>
  <c r="CK327" i="17"/>
  <c r="CK325" i="17"/>
  <c r="CK320" i="17"/>
  <c r="CK318" i="17"/>
  <c r="CK316" i="17"/>
  <c r="CK314" i="17"/>
  <c r="CK312" i="17"/>
  <c r="CK310" i="17"/>
  <c r="CJ345" i="17"/>
  <c r="CJ343" i="17"/>
  <c r="CJ341" i="17"/>
  <c r="CJ339" i="17"/>
  <c r="CJ337" i="17"/>
  <c r="CJ335" i="17"/>
  <c r="CJ333" i="17"/>
  <c r="CJ331" i="17"/>
  <c r="CJ329" i="17"/>
  <c r="CJ327" i="17"/>
  <c r="CJ325" i="17"/>
  <c r="CJ320" i="17"/>
  <c r="CJ318" i="17"/>
  <c r="CJ316" i="17"/>
  <c r="CJ314" i="17"/>
  <c r="CJ312" i="17"/>
  <c r="CJ310" i="17"/>
  <c r="CU344" i="17"/>
  <c r="CU342" i="17"/>
  <c r="CU340" i="17"/>
  <c r="CU338" i="17"/>
  <c r="CU336" i="17"/>
  <c r="CU334" i="17"/>
  <c r="CU332" i="17"/>
  <c r="CU330" i="17"/>
  <c r="CU328" i="17"/>
  <c r="CU326" i="17"/>
  <c r="CU322" i="17"/>
  <c r="CU319" i="17"/>
  <c r="CU317" i="17"/>
  <c r="CU315" i="17"/>
  <c r="CU313" i="17"/>
  <c r="CU311" i="17"/>
  <c r="CS342" i="17"/>
  <c r="CT332" i="17"/>
  <c r="CR322" i="17"/>
  <c r="CR313" i="17"/>
  <c r="CR342" i="17"/>
  <c r="CS332" i="17"/>
  <c r="CQ322" i="17"/>
  <c r="CQ313" i="17"/>
  <c r="CQ342" i="17"/>
  <c r="CR332" i="17"/>
  <c r="CO322" i="17"/>
  <c r="CO313" i="17"/>
  <c r="CO342" i="17"/>
  <c r="CQ332" i="17"/>
  <c r="CM320" i="17"/>
  <c r="CM312" i="17"/>
  <c r="CT340" i="17"/>
  <c r="CO332" i="17"/>
  <c r="CT319" i="17"/>
  <c r="CT311" i="17"/>
  <c r="CS340" i="17"/>
  <c r="CT330" i="17"/>
  <c r="CS319" i="17"/>
  <c r="CS311" i="17"/>
  <c r="CR340" i="17"/>
  <c r="CS330" i="17"/>
  <c r="CR319" i="17"/>
  <c r="CR311" i="17"/>
  <c r="CQ340" i="17"/>
  <c r="CR330" i="17"/>
  <c r="CQ319" i="17"/>
  <c r="CQ311" i="17"/>
  <c r="CO340" i="17"/>
  <c r="CQ330" i="17"/>
  <c r="CO319" i="17"/>
  <c r="CO311" i="17"/>
  <c r="CT338" i="17"/>
  <c r="CO330" i="17"/>
  <c r="CM318" i="17"/>
  <c r="CM310" i="17"/>
  <c r="CS338" i="17"/>
  <c r="CT328" i="17"/>
  <c r="CT317" i="17"/>
  <c r="CR338" i="17"/>
  <c r="CS328" i="17"/>
  <c r="CS317" i="17"/>
  <c r="CQ338" i="17"/>
  <c r="CR328" i="17"/>
  <c r="CR317" i="17"/>
  <c r="CO338" i="17"/>
  <c r="CQ328" i="17"/>
  <c r="CT336" i="17"/>
  <c r="CO328" i="17"/>
  <c r="CO317" i="17"/>
  <c r="CS336" i="17"/>
  <c r="CM327" i="17"/>
  <c r="CM316" i="17"/>
  <c r="CR336" i="17"/>
  <c r="CT326" i="17"/>
  <c r="CT315" i="17"/>
  <c r="CQ336" i="17"/>
  <c r="CS326" i="17"/>
  <c r="CS315" i="17"/>
  <c r="CT344" i="17"/>
  <c r="CO336" i="17"/>
  <c r="CR326" i="17"/>
  <c r="CR315" i="17"/>
  <c r="CS344" i="17"/>
  <c r="CT334" i="17"/>
  <c r="CQ326" i="17"/>
  <c r="CQ315" i="17"/>
  <c r="CR344" i="17"/>
  <c r="CS334" i="17"/>
  <c r="CO326" i="17"/>
  <c r="CO315" i="17"/>
  <c r="CT342" i="17"/>
  <c r="CO334" i="17"/>
  <c r="CS322" i="17"/>
  <c r="CS313" i="17"/>
  <c r="CD345" i="17"/>
  <c r="CD343" i="17"/>
  <c r="CD341" i="17"/>
  <c r="CD339" i="17"/>
  <c r="CD337" i="17"/>
  <c r="CD335" i="17"/>
  <c r="CD333" i="17"/>
  <c r="CD331" i="17"/>
  <c r="CD329" i="17"/>
  <c r="CD327" i="17"/>
  <c r="CD325" i="17"/>
  <c r="CD320" i="17"/>
  <c r="CD318" i="17"/>
  <c r="CD316" i="17"/>
  <c r="CD314" i="17"/>
  <c r="CD312" i="17"/>
  <c r="CQ344" i="17"/>
  <c r="CO344" i="17"/>
  <c r="CR334" i="17"/>
  <c r="CG344" i="17"/>
  <c r="CQ334" i="17"/>
  <c r="CF344" i="17"/>
  <c r="CF342" i="17"/>
  <c r="CF340" i="17"/>
  <c r="CF338" i="17"/>
  <c r="CF336" i="17"/>
  <c r="CF334" i="17"/>
  <c r="CF332" i="17"/>
  <c r="CF330" i="17"/>
  <c r="CF328" i="17"/>
  <c r="CF326" i="17"/>
  <c r="CF322" i="17"/>
  <c r="CF319" i="17"/>
  <c r="CF317" i="17"/>
  <c r="CF315" i="17"/>
  <c r="CF313" i="17"/>
  <c r="CM325" i="17"/>
  <c r="CT322" i="17"/>
  <c r="CD344" i="17"/>
  <c r="CD342" i="17"/>
  <c r="CD340" i="17"/>
  <c r="CD338" i="17"/>
  <c r="CQ317" i="17"/>
  <c r="CM314" i="17"/>
  <c r="CT313" i="17"/>
  <c r="BZ344" i="17"/>
  <c r="BW342" i="17"/>
  <c r="CF339" i="17"/>
  <c r="CB337" i="17"/>
  <c r="BZ335" i="17"/>
  <c r="BX333" i="17"/>
  <c r="BV331" i="17"/>
  <c r="CE328" i="17"/>
  <c r="CC326" i="17"/>
  <c r="CA322" i="17"/>
  <c r="BY319" i="17"/>
  <c r="BW317" i="17"/>
  <c r="CG314" i="17"/>
  <c r="CE312" i="17"/>
  <c r="CD310" i="17"/>
  <c r="BY344" i="17"/>
  <c r="BV342" i="17"/>
  <c r="CE339" i="17"/>
  <c r="CA337" i="17"/>
  <c r="BY335" i="17"/>
  <c r="BW333" i="17"/>
  <c r="CG330" i="17"/>
  <c r="CD328" i="17"/>
  <c r="CB326" i="17"/>
  <c r="BZ322" i="17"/>
  <c r="BX319" i="17"/>
  <c r="BV317" i="17"/>
  <c r="CF314" i="17"/>
  <c r="CC312" i="17"/>
  <c r="CC310" i="17"/>
  <c r="BX344" i="17"/>
  <c r="CG341" i="17"/>
  <c r="CC339" i="17"/>
  <c r="BZ337" i="17"/>
  <c r="BX335" i="17"/>
  <c r="BV333" i="17"/>
  <c r="CE330" i="17"/>
  <c r="CC328" i="17"/>
  <c r="CA326" i="17"/>
  <c r="BY322" i="17"/>
  <c r="BW319" i="17"/>
  <c r="CG316" i="17"/>
  <c r="CE314" i="17"/>
  <c r="CB312" i="17"/>
  <c r="CB310" i="17"/>
  <c r="BW344" i="17"/>
  <c r="CF341" i="17"/>
  <c r="CB339" i="17"/>
  <c r="BY337" i="17"/>
  <c r="BW335" i="17"/>
  <c r="CG332" i="17"/>
  <c r="CD330" i="17"/>
  <c r="CB328" i="17"/>
  <c r="BZ326" i="17"/>
  <c r="BX322" i="17"/>
  <c r="BV319" i="17"/>
  <c r="CF316" i="17"/>
  <c r="CC314" i="17"/>
  <c r="CA312" i="17"/>
  <c r="CA310" i="17"/>
  <c r="BV344" i="17"/>
  <c r="CE341" i="17"/>
  <c r="CA339" i="17"/>
  <c r="BX337" i="17"/>
  <c r="BV335" i="17"/>
  <c r="CE332" i="17"/>
  <c r="CC330" i="17"/>
  <c r="CA328" i="17"/>
  <c r="BY326" i="17"/>
  <c r="BW322" i="17"/>
  <c r="CG318" i="17"/>
  <c r="CE316" i="17"/>
  <c r="CB314" i="17"/>
  <c r="BZ312" i="17"/>
  <c r="BZ310" i="17"/>
  <c r="CG343" i="17"/>
  <c r="CC341" i="17"/>
  <c r="BZ339" i="17"/>
  <c r="BW337" i="17"/>
  <c r="CG334" i="17"/>
  <c r="CD332" i="17"/>
  <c r="CB330" i="17"/>
  <c r="BZ328" i="17"/>
  <c r="BX326" i="17"/>
  <c r="BV322" i="17"/>
  <c r="CF318" i="17"/>
  <c r="CC316" i="17"/>
  <c r="CA314" i="17"/>
  <c r="BY312" i="17"/>
  <c r="BY310" i="17"/>
  <c r="CF343" i="17"/>
  <c r="CB341" i="17"/>
  <c r="BY339" i="17"/>
  <c r="BV337" i="17"/>
  <c r="CE334" i="17"/>
  <c r="CC332" i="17"/>
  <c r="CA330" i="17"/>
  <c r="BY328" i="17"/>
  <c r="BW326" i="17"/>
  <c r="CG320" i="17"/>
  <c r="CE318" i="17"/>
  <c r="CB316" i="17"/>
  <c r="BZ314" i="17"/>
  <c r="BX312" i="17"/>
  <c r="BX310" i="17"/>
  <c r="CE343" i="17"/>
  <c r="CA341" i="17"/>
  <c r="BX339" i="17"/>
  <c r="CG336" i="17"/>
  <c r="CD334" i="17"/>
  <c r="CB332" i="17"/>
  <c r="BZ330" i="17"/>
  <c r="BX328" i="17"/>
  <c r="BV326" i="17"/>
  <c r="CF320" i="17"/>
  <c r="CC318" i="17"/>
  <c r="CA316" i="17"/>
  <c r="BY314" i="17"/>
  <c r="BW312" i="17"/>
  <c r="BW310" i="17"/>
  <c r="CC343" i="17"/>
  <c r="BZ341" i="17"/>
  <c r="BW339" i="17"/>
  <c r="CE336" i="17"/>
  <c r="CC334" i="17"/>
  <c r="CA332" i="17"/>
  <c r="BY330" i="17"/>
  <c r="BW328" i="17"/>
  <c r="CG325" i="17"/>
  <c r="CE320" i="17"/>
  <c r="CB318" i="17"/>
  <c r="BZ316" i="17"/>
  <c r="BX314" i="17"/>
  <c r="BV312" i="17"/>
  <c r="BV310" i="17"/>
  <c r="CG345" i="17"/>
  <c r="CB343" i="17"/>
  <c r="BY341" i="17"/>
  <c r="BV339" i="17"/>
  <c r="CD336" i="17"/>
  <c r="CB334" i="17"/>
  <c r="BZ332" i="17"/>
  <c r="BX330" i="17"/>
  <c r="BV328" i="17"/>
  <c r="CF325" i="17"/>
  <c r="CC320" i="17"/>
  <c r="CA318" i="17"/>
  <c r="BY316" i="17"/>
  <c r="BW314" i="17"/>
  <c r="CG311" i="17"/>
  <c r="CF345" i="17"/>
  <c r="CA343" i="17"/>
  <c r="BX341" i="17"/>
  <c r="CG338" i="17"/>
  <c r="CC336" i="17"/>
  <c r="CA334" i="17"/>
  <c r="BY332" i="17"/>
  <c r="BW330" i="17"/>
  <c r="CG327" i="17"/>
  <c r="CE325" i="17"/>
  <c r="CB320" i="17"/>
  <c r="BZ318" i="17"/>
  <c r="BX316" i="17"/>
  <c r="BV314" i="17"/>
  <c r="CF311" i="17"/>
  <c r="CE345" i="17"/>
  <c r="BZ343" i="17"/>
  <c r="BW341" i="17"/>
  <c r="CE338" i="17"/>
  <c r="CB336" i="17"/>
  <c r="BZ334" i="17"/>
  <c r="BX332" i="17"/>
  <c r="BV330" i="17"/>
  <c r="CF327" i="17"/>
  <c r="CC325" i="17"/>
  <c r="CA320" i="17"/>
  <c r="BY318" i="17"/>
  <c r="BW316" i="17"/>
  <c r="CG313" i="17"/>
  <c r="CE311" i="17"/>
  <c r="CC345" i="17"/>
  <c r="BY343" i="17"/>
  <c r="BV341" i="17"/>
  <c r="CC338" i="17"/>
  <c r="CA336" i="17"/>
  <c r="BY334" i="17"/>
  <c r="BW332" i="17"/>
  <c r="CG329" i="17"/>
  <c r="CE327" i="17"/>
  <c r="CB325" i="17"/>
  <c r="BZ320" i="17"/>
  <c r="BX318" i="17"/>
  <c r="BV316" i="17"/>
  <c r="CB345" i="17"/>
  <c r="BX343" i="17"/>
  <c r="CG340" i="17"/>
  <c r="CB338" i="17"/>
  <c r="BZ336" i="17"/>
  <c r="BX334" i="17"/>
  <c r="BV332" i="17"/>
  <c r="CF329" i="17"/>
  <c r="CC327" i="17"/>
  <c r="CA325" i="17"/>
  <c r="BY320" i="17"/>
  <c r="BW318" i="17"/>
  <c r="CG315" i="17"/>
  <c r="CD313" i="17"/>
  <c r="CC311" i="17"/>
  <c r="CA345" i="17"/>
  <c r="BW343" i="17"/>
  <c r="CE340" i="17"/>
  <c r="CA338" i="17"/>
  <c r="BY336" i="17"/>
  <c r="BW334" i="17"/>
  <c r="CG331" i="17"/>
  <c r="CE329" i="17"/>
  <c r="CB327" i="17"/>
  <c r="BZ325" i="17"/>
  <c r="BX320" i="17"/>
  <c r="BV318" i="17"/>
  <c r="CE315" i="17"/>
  <c r="CC313" i="17"/>
  <c r="CB311" i="17"/>
  <c r="BY345" i="17"/>
  <c r="CG342" i="17"/>
  <c r="CB340" i="17"/>
  <c r="BY338" i="17"/>
  <c r="BW336" i="17"/>
  <c r="CG333" i="17"/>
  <c r="CE331" i="17"/>
  <c r="CB329" i="17"/>
  <c r="BZ327" i="17"/>
  <c r="BX325" i="17"/>
  <c r="BV320" i="17"/>
  <c r="CE317" i="17"/>
  <c r="CC315" i="17"/>
  <c r="CA313" i="17"/>
  <c r="BZ311" i="17"/>
  <c r="BX345" i="17"/>
  <c r="CE342" i="17"/>
  <c r="CA340" i="17"/>
  <c r="BX338" i="17"/>
  <c r="BV336" i="17"/>
  <c r="CF333" i="17"/>
  <c r="CC331" i="17"/>
  <c r="CA329" i="17"/>
  <c r="BY327" i="17"/>
  <c r="BW325" i="17"/>
  <c r="CG319" i="17"/>
  <c r="CD317" i="17"/>
  <c r="CB315" i="17"/>
  <c r="BZ313" i="17"/>
  <c r="BY311" i="17"/>
  <c r="BW345" i="17"/>
  <c r="CC342" i="17"/>
  <c r="BZ340" i="17"/>
  <c r="BW338" i="17"/>
  <c r="CG335" i="17"/>
  <c r="CE333" i="17"/>
  <c r="CB331" i="17"/>
  <c r="BZ329" i="17"/>
  <c r="BX327" i="17"/>
  <c r="BV325" i="17"/>
  <c r="CE319" i="17"/>
  <c r="CC317" i="17"/>
  <c r="CA315" i="17"/>
  <c r="BY313" i="17"/>
  <c r="BX311" i="17"/>
  <c r="BV345" i="17"/>
  <c r="CB342" i="17"/>
  <c r="BY340" i="17"/>
  <c r="BV338" i="17"/>
  <c r="CF335" i="17"/>
  <c r="CC333" i="17"/>
  <c r="CA331" i="17"/>
  <c r="BY329" i="17"/>
  <c r="BW327" i="17"/>
  <c r="CG322" i="17"/>
  <c r="CD319" i="17"/>
  <c r="CB317" i="17"/>
  <c r="BZ315" i="17"/>
  <c r="BX313" i="17"/>
  <c r="BW311" i="17"/>
  <c r="CE344" i="17"/>
  <c r="CA342" i="17"/>
  <c r="BX340" i="17"/>
  <c r="CG337" i="17"/>
  <c r="CE335" i="17"/>
  <c r="CB333" i="17"/>
  <c r="BZ331" i="17"/>
  <c r="BX329" i="17"/>
  <c r="BV327" i="17"/>
  <c r="CE322" i="17"/>
  <c r="CC319" i="17"/>
  <c r="CA317" i="17"/>
  <c r="BY315" i="17"/>
  <c r="BW313" i="17"/>
  <c r="BV311" i="17"/>
  <c r="CA344" i="17"/>
  <c r="BX342" i="17"/>
  <c r="CG339" i="17"/>
  <c r="CC337" i="17"/>
  <c r="CA335" i="17"/>
  <c r="BY333" i="17"/>
  <c r="BW331" i="17"/>
  <c r="CG328" i="17"/>
  <c r="CD326" i="17"/>
  <c r="CB322" i="17"/>
  <c r="BZ319" i="17"/>
  <c r="BX317" i="17"/>
  <c r="BV315" i="17"/>
  <c r="CF312" i="17"/>
  <c r="CE310" i="17"/>
  <c r="BY342" i="17"/>
  <c r="CC322" i="17"/>
  <c r="CC340" i="17"/>
  <c r="BW320" i="17"/>
  <c r="BW340" i="17"/>
  <c r="CB319" i="17"/>
  <c r="BV340" i="17"/>
  <c r="CA319" i="17"/>
  <c r="BZ338" i="17"/>
  <c r="CG317" i="17"/>
  <c r="CF337" i="17"/>
  <c r="BZ317" i="17"/>
  <c r="CE337" i="17"/>
  <c r="BY317" i="17"/>
  <c r="BX336" i="17"/>
  <c r="CD315" i="17"/>
  <c r="CC335" i="17"/>
  <c r="BX315" i="17"/>
  <c r="CB335" i="17"/>
  <c r="BW315" i="17"/>
  <c r="BV334" i="17"/>
  <c r="CE313" i="17"/>
  <c r="CA333" i="17"/>
  <c r="CB313" i="17"/>
  <c r="BZ333" i="17"/>
  <c r="BV313" i="17"/>
  <c r="CF331" i="17"/>
  <c r="CG312" i="17"/>
  <c r="BY331" i="17"/>
  <c r="CD311" i="17"/>
  <c r="BX331" i="17"/>
  <c r="CA311" i="17"/>
  <c r="CC329" i="17"/>
  <c r="CG310" i="17"/>
  <c r="BW329" i="17"/>
  <c r="CF310" i="17"/>
  <c r="BV329" i="17"/>
  <c r="BZ345" i="17"/>
  <c r="CA327" i="17"/>
  <c r="CC344" i="17"/>
  <c r="CG326" i="17"/>
  <c r="BZ342" i="17"/>
  <c r="CD322" i="17"/>
  <c r="BH344" i="17"/>
  <c r="BH342" i="17"/>
  <c r="BH340" i="17"/>
  <c r="BH338" i="17"/>
  <c r="BH336" i="17"/>
  <c r="BH334" i="17"/>
  <c r="BH332" i="17"/>
  <c r="BH330" i="17"/>
  <c r="BH328" i="17"/>
  <c r="BH326" i="17"/>
  <c r="BH322" i="17"/>
  <c r="BH319" i="17"/>
  <c r="BH317" i="17"/>
  <c r="BH315" i="17"/>
  <c r="BH313" i="17"/>
  <c r="BH311" i="17"/>
  <c r="BS345" i="17"/>
  <c r="BS343" i="17"/>
  <c r="BS341" i="17"/>
  <c r="BS339" i="17"/>
  <c r="BS337" i="17"/>
  <c r="BS335" i="17"/>
  <c r="BS333" i="17"/>
  <c r="BS331" i="17"/>
  <c r="BS329" i="17"/>
  <c r="BS327" i="17"/>
  <c r="BS325" i="17"/>
  <c r="BS320" i="17"/>
  <c r="BS318" i="17"/>
  <c r="BS316" i="17"/>
  <c r="BS314" i="17"/>
  <c r="BS312" i="17"/>
  <c r="BS310" i="17"/>
  <c r="CB344" i="17"/>
  <c r="BR345" i="17"/>
  <c r="BR343" i="17"/>
  <c r="BR341" i="17"/>
  <c r="BR339" i="17"/>
  <c r="BR337" i="17"/>
  <c r="BR335" i="17"/>
  <c r="BR333" i="17"/>
  <c r="BR331" i="17"/>
  <c r="BR329" i="17"/>
  <c r="BR327" i="17"/>
  <c r="BR325" i="17"/>
  <c r="BR320" i="17"/>
  <c r="BR318" i="17"/>
  <c r="BR316" i="17"/>
  <c r="BR314" i="17"/>
  <c r="BR312" i="17"/>
  <c r="BR310" i="17"/>
  <c r="BV343" i="17"/>
  <c r="BQ345" i="17"/>
  <c r="BQ343" i="17"/>
  <c r="BQ341" i="17"/>
  <c r="BQ339" i="17"/>
  <c r="BQ337" i="17"/>
  <c r="BQ335" i="17"/>
  <c r="BQ333" i="17"/>
  <c r="BQ331" i="17"/>
  <c r="BQ329" i="17"/>
  <c r="CE326" i="17"/>
  <c r="BP345" i="17"/>
  <c r="BP343" i="17"/>
  <c r="BP341" i="17"/>
  <c r="BP339" i="17"/>
  <c r="BP337" i="17"/>
  <c r="BP335" i="17"/>
  <c r="BP333" i="17"/>
  <c r="BP331" i="17"/>
  <c r="BP329" i="17"/>
  <c r="BP327" i="17"/>
  <c r="BP325" i="17"/>
  <c r="BP320" i="17"/>
  <c r="BP318" i="17"/>
  <c r="BP316" i="17"/>
  <c r="BP314" i="17"/>
  <c r="BP312" i="17"/>
  <c r="BP310" i="17"/>
  <c r="BY325" i="17"/>
  <c r="BO345" i="17"/>
  <c r="BO343" i="17"/>
  <c r="BO341" i="17"/>
  <c r="BO339" i="17"/>
  <c r="BO337" i="17"/>
  <c r="BO335" i="17"/>
  <c r="BO333" i="17"/>
  <c r="BN345" i="17"/>
  <c r="BN343" i="17"/>
  <c r="BN341" i="17"/>
  <c r="BN339" i="17"/>
  <c r="BN337" i="17"/>
  <c r="BN335" i="17"/>
  <c r="BN333" i="17"/>
  <c r="BN331" i="17"/>
  <c r="BN329" i="17"/>
  <c r="BN327" i="17"/>
  <c r="BN325" i="17"/>
  <c r="BM345" i="17"/>
  <c r="BM343" i="17"/>
  <c r="BM341" i="17"/>
  <c r="BL345" i="17"/>
  <c r="BL343" i="17"/>
  <c r="BL341" i="17"/>
  <c r="BL339" i="17"/>
  <c r="BL337" i="17"/>
  <c r="BL335" i="17"/>
  <c r="BL333" i="17"/>
  <c r="BL331" i="17"/>
  <c r="BL329" i="17"/>
  <c r="BL327" i="17"/>
  <c r="BL325" i="17"/>
  <c r="BL320" i="17"/>
  <c r="BL318" i="17"/>
  <c r="BL316" i="17"/>
  <c r="BL314" i="17"/>
  <c r="BL312" i="17"/>
  <c r="BL310" i="17"/>
  <c r="BK345" i="17"/>
  <c r="BK343" i="17"/>
  <c r="BK341" i="17"/>
  <c r="BK339" i="17"/>
  <c r="BK337" i="17"/>
  <c r="BK335" i="17"/>
  <c r="BK333" i="17"/>
  <c r="BK331" i="17"/>
  <c r="BK329" i="17"/>
  <c r="BK327" i="17"/>
  <c r="BK325" i="17"/>
  <c r="BK320" i="17"/>
  <c r="BK318" i="17"/>
  <c r="BK316" i="17"/>
  <c r="BK314" i="17"/>
  <c r="BK312" i="17"/>
  <c r="BK310" i="17"/>
  <c r="BJ345" i="17"/>
  <c r="BJ343" i="17"/>
  <c r="BJ341" i="17"/>
  <c r="BJ339" i="17"/>
  <c r="BJ337" i="17"/>
  <c r="BJ335" i="17"/>
  <c r="BJ333" i="17"/>
  <c r="BJ331" i="17"/>
  <c r="BJ329" i="17"/>
  <c r="BJ327" i="17"/>
  <c r="BJ325" i="17"/>
  <c r="BJ320" i="17"/>
  <c r="BJ318" i="17"/>
  <c r="BJ316" i="17"/>
  <c r="BJ314" i="17"/>
  <c r="BJ312" i="17"/>
  <c r="BJ310" i="17"/>
  <c r="BI345" i="17"/>
  <c r="BI343" i="17"/>
  <c r="BI341" i="17"/>
  <c r="BI339" i="17"/>
  <c r="BI337" i="17"/>
  <c r="BH345" i="17"/>
  <c r="BH343" i="17"/>
  <c r="BH341" i="17"/>
  <c r="BH339" i="17"/>
  <c r="BH337" i="17"/>
  <c r="BH335" i="17"/>
  <c r="BH333" i="17"/>
  <c r="BH331" i="17"/>
  <c r="BH329" i="17"/>
  <c r="BH327" i="17"/>
  <c r="BH325" i="17"/>
  <c r="BH320" i="17"/>
  <c r="BH318" i="17"/>
  <c r="BH316" i="17"/>
  <c r="BH314" i="17"/>
  <c r="BH312" i="17"/>
  <c r="BH310" i="17"/>
  <c r="BS344" i="17"/>
  <c r="BS342" i="17"/>
  <c r="BS340" i="17"/>
  <c r="BS338" i="17"/>
  <c r="BS336" i="17"/>
  <c r="BS334" i="17"/>
  <c r="BS332" i="17"/>
  <c r="BS330" i="17"/>
  <c r="BS328" i="17"/>
  <c r="BS326" i="17"/>
  <c r="BS322" i="17"/>
  <c r="BS319" i="17"/>
  <c r="BS317" i="17"/>
  <c r="BS315" i="17"/>
  <c r="BS313" i="17"/>
  <c r="BS311" i="17"/>
  <c r="BR344" i="17"/>
  <c r="BR342" i="17"/>
  <c r="BR340" i="17"/>
  <c r="BR338" i="17"/>
  <c r="BR336" i="17"/>
  <c r="BR334" i="17"/>
  <c r="BR332" i="17"/>
  <c r="BR330" i="17"/>
  <c r="BR328" i="17"/>
  <c r="BR326" i="17"/>
  <c r="BR322" i="17"/>
  <c r="BR319" i="17"/>
  <c r="BR317" i="17"/>
  <c r="BR315" i="17"/>
  <c r="BR313" i="17"/>
  <c r="BR311" i="17"/>
  <c r="BQ344" i="17"/>
  <c r="BQ342" i="17"/>
  <c r="BQ340" i="17"/>
  <c r="BQ338" i="17"/>
  <c r="BQ336" i="17"/>
  <c r="BQ334" i="17"/>
  <c r="BQ332" i="17"/>
  <c r="BQ330" i="17"/>
  <c r="BQ328" i="17"/>
  <c r="BQ326" i="17"/>
  <c r="BQ322" i="17"/>
  <c r="BQ319" i="17"/>
  <c r="BQ317" i="17"/>
  <c r="BQ315" i="17"/>
  <c r="BQ313" i="17"/>
  <c r="BQ311" i="17"/>
  <c r="BP344" i="17"/>
  <c r="BP342" i="17"/>
  <c r="BP340" i="17"/>
  <c r="BP338" i="17"/>
  <c r="BP336" i="17"/>
  <c r="BP334" i="17"/>
  <c r="BP332" i="17"/>
  <c r="BP330" i="17"/>
  <c r="BP328" i="17"/>
  <c r="BP326" i="17"/>
  <c r="BP322" i="17"/>
  <c r="BP319" i="17"/>
  <c r="BP317" i="17"/>
  <c r="BP315" i="17"/>
  <c r="BP313" i="17"/>
  <c r="BP311" i="17"/>
  <c r="BO344" i="17"/>
  <c r="BO342" i="17"/>
  <c r="BO340" i="17"/>
  <c r="BO338" i="17"/>
  <c r="BO336" i="17"/>
  <c r="BN344" i="17"/>
  <c r="BN342" i="17"/>
  <c r="BN340" i="17"/>
  <c r="BN338" i="17"/>
  <c r="BN336" i="17"/>
  <c r="BN334" i="17"/>
  <c r="BM344" i="17"/>
  <c r="BM342" i="17"/>
  <c r="BM340" i="17"/>
  <c r="BM338" i="17"/>
  <c r="BM336" i="17"/>
  <c r="BM334" i="17"/>
  <c r="BM332" i="17"/>
  <c r="BM330" i="17"/>
  <c r="BM328" i="17"/>
  <c r="BI344" i="17"/>
  <c r="BI342" i="17"/>
  <c r="BM339" i="17"/>
  <c r="BI332" i="17"/>
  <c r="BN326" i="17"/>
  <c r="BM319" i="17"/>
  <c r="BM315" i="17"/>
  <c r="BM311" i="17"/>
  <c r="BL338" i="17"/>
  <c r="BO331" i="17"/>
  <c r="BM326" i="17"/>
  <c r="BL319" i="17"/>
  <c r="BL315" i="17"/>
  <c r="BL311" i="17"/>
  <c r="BK338" i="17"/>
  <c r="BM331" i="17"/>
  <c r="BL326" i="17"/>
  <c r="BK319" i="17"/>
  <c r="BK315" i="17"/>
  <c r="BK311" i="17"/>
  <c r="BJ338" i="17"/>
  <c r="BI331" i="17"/>
  <c r="BK326" i="17"/>
  <c r="BJ319" i="17"/>
  <c r="BJ315" i="17"/>
  <c r="BJ311" i="17"/>
  <c r="BI338" i="17"/>
  <c r="BO330" i="17"/>
  <c r="BJ326" i="17"/>
  <c r="BI319" i="17"/>
  <c r="BI315" i="17"/>
  <c r="BI311" i="17"/>
  <c r="BM337" i="17"/>
  <c r="BN330" i="17"/>
  <c r="BI326" i="17"/>
  <c r="BQ318" i="17"/>
  <c r="BQ314" i="17"/>
  <c r="BQ310" i="17"/>
  <c r="BL336" i="17"/>
  <c r="BL330" i="17"/>
  <c r="BQ325" i="17"/>
  <c r="BO318" i="17"/>
  <c r="BO314" i="17"/>
  <c r="BO310" i="17"/>
  <c r="BK336" i="17"/>
  <c r="BK330" i="17"/>
  <c r="BO325" i="17"/>
  <c r="BN318" i="17"/>
  <c r="BN314" i="17"/>
  <c r="BN310" i="17"/>
  <c r="BJ336" i="17"/>
  <c r="BJ330" i="17"/>
  <c r="BM325" i="17"/>
  <c r="BM318" i="17"/>
  <c r="BM314" i="17"/>
  <c r="BM310" i="17"/>
  <c r="BI336" i="17"/>
  <c r="BI330" i="17"/>
  <c r="BI325" i="17"/>
  <c r="BI318" i="17"/>
  <c r="BI314" i="17"/>
  <c r="BI310" i="17"/>
  <c r="BM335" i="17"/>
  <c r="BO329" i="17"/>
  <c r="BO322" i="17"/>
  <c r="BO317" i="17"/>
  <c r="BO313" i="17"/>
  <c r="BI335" i="17"/>
  <c r="BM329" i="17"/>
  <c r="BN322" i="17"/>
  <c r="BN317" i="17"/>
  <c r="BN313" i="17"/>
  <c r="BO334" i="17"/>
  <c r="BI329" i="17"/>
  <c r="BM322" i="17"/>
  <c r="BM317" i="17"/>
  <c r="BM313" i="17"/>
  <c r="BL334" i="17"/>
  <c r="BO328" i="17"/>
  <c r="BL322" i="17"/>
  <c r="BL317" i="17"/>
  <c r="BL313" i="17"/>
  <c r="BL344" i="17"/>
  <c r="BK334" i="17"/>
  <c r="BN328" i="17"/>
  <c r="BK322" i="17"/>
  <c r="BK317" i="17"/>
  <c r="BK313" i="17"/>
  <c r="BK344" i="17"/>
  <c r="BJ334" i="17"/>
  <c r="BL328" i="17"/>
  <c r="BJ322" i="17"/>
  <c r="BJ317" i="17"/>
  <c r="BJ313" i="17"/>
  <c r="BJ344" i="17"/>
  <c r="BI334" i="17"/>
  <c r="BK328" i="17"/>
  <c r="BI322" i="17"/>
  <c r="BI317" i="17"/>
  <c r="BI313" i="17"/>
  <c r="BL342" i="17"/>
  <c r="BM333" i="17"/>
  <c r="BJ328" i="17"/>
  <c r="BQ320" i="17"/>
  <c r="BQ316" i="17"/>
  <c r="BQ312" i="17"/>
  <c r="BK342" i="17"/>
  <c r="BI333" i="17"/>
  <c r="BI328" i="17"/>
  <c r="BO320" i="17"/>
  <c r="BO316" i="17"/>
  <c r="BO312" i="17"/>
  <c r="BJ342" i="17"/>
  <c r="BO332" i="17"/>
  <c r="BQ327" i="17"/>
  <c r="BN320" i="17"/>
  <c r="BN316" i="17"/>
  <c r="BN312" i="17"/>
  <c r="BL340" i="17"/>
  <c r="BN332" i="17"/>
  <c r="BO327" i="17"/>
  <c r="BM320" i="17"/>
  <c r="BM316" i="17"/>
  <c r="BM312" i="17"/>
  <c r="BK340" i="17"/>
  <c r="BL332" i="17"/>
  <c r="BM327" i="17"/>
  <c r="BI320" i="17"/>
  <c r="BI316" i="17"/>
  <c r="BI312" i="17"/>
  <c r="BI340" i="17"/>
  <c r="BJ332" i="17"/>
  <c r="BO326" i="17"/>
  <c r="BN319" i="17"/>
  <c r="BN315" i="17"/>
  <c r="BN311" i="17"/>
  <c r="AY344" i="17"/>
  <c r="AY342" i="17"/>
  <c r="AY340" i="17"/>
  <c r="AY338" i="17"/>
  <c r="AY336" i="17"/>
  <c r="AY334" i="17"/>
  <c r="AY332" i="17"/>
  <c r="AY330" i="17"/>
  <c r="AY328" i="17"/>
  <c r="AY326" i="17"/>
  <c r="AY322" i="17"/>
  <c r="AY319" i="17"/>
  <c r="AY317" i="17"/>
  <c r="AY315" i="17"/>
  <c r="AY313" i="17"/>
  <c r="AY311" i="17"/>
  <c r="AX344" i="17"/>
  <c r="AX342" i="17"/>
  <c r="AX340" i="17"/>
  <c r="AX338" i="17"/>
  <c r="AX336" i="17"/>
  <c r="AX334" i="17"/>
  <c r="AX332" i="17"/>
  <c r="AX330" i="17"/>
  <c r="AX328" i="17"/>
  <c r="AX326" i="17"/>
  <c r="AX322" i="17"/>
  <c r="AX319" i="17"/>
  <c r="AX317" i="17"/>
  <c r="AX315" i="17"/>
  <c r="AX313" i="17"/>
  <c r="AX311" i="17"/>
  <c r="AW344" i="17"/>
  <c r="AW342" i="17"/>
  <c r="AW340" i="17"/>
  <c r="AW338" i="17"/>
  <c r="AW336" i="17"/>
  <c r="AW334" i="17"/>
  <c r="AW332" i="17"/>
  <c r="AW330" i="17"/>
  <c r="AW328" i="17"/>
  <c r="AW326" i="17"/>
  <c r="AW322" i="17"/>
  <c r="AW319" i="17"/>
  <c r="AW317" i="17"/>
  <c r="AW315" i="17"/>
  <c r="AW313" i="17"/>
  <c r="AW311" i="17"/>
  <c r="AV344" i="17"/>
  <c r="AV342" i="17"/>
  <c r="AV340" i="17"/>
  <c r="AV338" i="17"/>
  <c r="AV336" i="17"/>
  <c r="AV334" i="17"/>
  <c r="AV332" i="17"/>
  <c r="AV330" i="17"/>
  <c r="AV328" i="17"/>
  <c r="AV326" i="17"/>
  <c r="AV322" i="17"/>
  <c r="AV319" i="17"/>
  <c r="AV317" i="17"/>
  <c r="AV315" i="17"/>
  <c r="AV313" i="17"/>
  <c r="AV311" i="17"/>
  <c r="AU344" i="17"/>
  <c r="AU342" i="17"/>
  <c r="AU340" i="17"/>
  <c r="AU338" i="17"/>
  <c r="AU336" i="17"/>
  <c r="AU334" i="17"/>
  <c r="AU332" i="17"/>
  <c r="AU330" i="17"/>
  <c r="AU328" i="17"/>
  <c r="AU326" i="17"/>
  <c r="AU322" i="17"/>
  <c r="AT344" i="17"/>
  <c r="AT342" i="17"/>
  <c r="AT340" i="17"/>
  <c r="AT338" i="17"/>
  <c r="AT336" i="17"/>
  <c r="AT334" i="17"/>
  <c r="AT332" i="17"/>
  <c r="AT330" i="17"/>
  <c r="AT328" i="17"/>
  <c r="AT326" i="17"/>
  <c r="AT322" i="17"/>
  <c r="AT319" i="17"/>
  <c r="AT317" i="17"/>
  <c r="AT315" i="17"/>
  <c r="AT313" i="17"/>
  <c r="AT311" i="17"/>
  <c r="BE345" i="17"/>
  <c r="BE343" i="17"/>
  <c r="BE341" i="17"/>
  <c r="BE339" i="17"/>
  <c r="BJ340" i="17"/>
  <c r="BK332" i="17"/>
  <c r="BC345" i="17"/>
  <c r="BC343" i="17"/>
  <c r="BC341" i="17"/>
  <c r="BC339" i="17"/>
  <c r="BC337" i="17"/>
  <c r="BI327" i="17"/>
  <c r="BB345" i="17"/>
  <c r="BB343" i="17"/>
  <c r="BB341" i="17"/>
  <c r="BB339" i="17"/>
  <c r="BB337" i="17"/>
  <c r="BB335" i="17"/>
  <c r="BB333" i="17"/>
  <c r="BB331" i="17"/>
  <c r="BB329" i="17"/>
  <c r="BB327" i="17"/>
  <c r="BB325" i="17"/>
  <c r="BB320" i="17"/>
  <c r="BB318" i="17"/>
  <c r="BB316" i="17"/>
  <c r="BB314" i="17"/>
  <c r="BB312" i="17"/>
  <c r="BB310" i="17"/>
  <c r="BO319" i="17"/>
  <c r="BA345" i="17"/>
  <c r="BA343" i="17"/>
  <c r="BA341" i="17"/>
  <c r="BA339" i="17"/>
  <c r="BA337" i="17"/>
  <c r="BA335" i="17"/>
  <c r="BA333" i="17"/>
  <c r="BA331" i="17"/>
  <c r="BA329" i="17"/>
  <c r="BA327" i="17"/>
  <c r="BA325" i="17"/>
  <c r="BA320" i="17"/>
  <c r="BA318" i="17"/>
  <c r="BO315" i="17"/>
  <c r="AZ345" i="17"/>
  <c r="AZ343" i="17"/>
  <c r="AZ341" i="17"/>
  <c r="AZ339" i="17"/>
  <c r="AZ337" i="17"/>
  <c r="AZ335" i="17"/>
  <c r="AZ333" i="17"/>
  <c r="AZ331" i="17"/>
  <c r="AZ329" i="17"/>
  <c r="AZ327" i="17"/>
  <c r="AZ325" i="17"/>
  <c r="AZ320" i="17"/>
  <c r="AZ318" i="17"/>
  <c r="AZ316" i="17"/>
  <c r="AZ314" i="17"/>
  <c r="AZ312" i="17"/>
  <c r="AZ310" i="17"/>
  <c r="BO311" i="17"/>
  <c r="AY345" i="17"/>
  <c r="AY343" i="17"/>
  <c r="AY341" i="17"/>
  <c r="AY339" i="17"/>
  <c r="AY337" i="17"/>
  <c r="AY335" i="17"/>
  <c r="AY333" i="17"/>
  <c r="AY331" i="17"/>
  <c r="AY329" i="17"/>
  <c r="AX345" i="17"/>
  <c r="AX343" i="17"/>
  <c r="AX341" i="17"/>
  <c r="AX339" i="17"/>
  <c r="AX337" i="17"/>
  <c r="AX335" i="17"/>
  <c r="AX333" i="17"/>
  <c r="AX331" i="17"/>
  <c r="AX329" i="17"/>
  <c r="AX327" i="17"/>
  <c r="AX325" i="17"/>
  <c r="AX320" i="17"/>
  <c r="AX318" i="17"/>
  <c r="AX316" i="17"/>
  <c r="AX314" i="17"/>
  <c r="AX312" i="17"/>
  <c r="AW345" i="17"/>
  <c r="AW343" i="17"/>
  <c r="AW341" i="17"/>
  <c r="AW339" i="17"/>
  <c r="AW337" i="17"/>
  <c r="AW335" i="17"/>
  <c r="AW333" i="17"/>
  <c r="AW331" i="17"/>
  <c r="AW329" i="17"/>
  <c r="AW327" i="17"/>
  <c r="AW325" i="17"/>
  <c r="BE344" i="17"/>
  <c r="BE342" i="17"/>
  <c r="BE340" i="17"/>
  <c r="BE338" i="17"/>
  <c r="BA344" i="17"/>
  <c r="BA342" i="17"/>
  <c r="AV345" i="17"/>
  <c r="BD339" i="17"/>
  <c r="AU335" i="17"/>
  <c r="AU331" i="17"/>
  <c r="AV327" i="17"/>
  <c r="BC320" i="17"/>
  <c r="BB317" i="17"/>
  <c r="AY314" i="17"/>
  <c r="BB311" i="17"/>
  <c r="AU345" i="17"/>
  <c r="AV339" i="17"/>
  <c r="AT335" i="17"/>
  <c r="AT331" i="17"/>
  <c r="AU327" i="17"/>
  <c r="AY320" i="17"/>
  <c r="BA317" i="17"/>
  <c r="AW314" i="17"/>
  <c r="BA311" i="17"/>
  <c r="AT345" i="17"/>
  <c r="AU339" i="17"/>
  <c r="BE334" i="17"/>
  <c r="BE330" i="17"/>
  <c r="AT327" i="17"/>
  <c r="AW320" i="17"/>
  <c r="AZ317" i="17"/>
  <c r="AV314" i="17"/>
  <c r="AZ311" i="17"/>
  <c r="BD344" i="17"/>
  <c r="AT339" i="17"/>
  <c r="BD334" i="17"/>
  <c r="BD330" i="17"/>
  <c r="BE326" i="17"/>
  <c r="AV320" i="17"/>
  <c r="AU317" i="17"/>
  <c r="AU314" i="17"/>
  <c r="AU311" i="17"/>
  <c r="BC344" i="17"/>
  <c r="BD338" i="17"/>
  <c r="BC334" i="17"/>
  <c r="BC330" i="17"/>
  <c r="BD326" i="17"/>
  <c r="AU320" i="17"/>
  <c r="BE316" i="17"/>
  <c r="AT314" i="17"/>
  <c r="BE310" i="17"/>
  <c r="BB344" i="17"/>
  <c r="BC338" i="17"/>
  <c r="BB334" i="17"/>
  <c r="BB330" i="17"/>
  <c r="BC326" i="17"/>
  <c r="AT320" i="17"/>
  <c r="BD316" i="17"/>
  <c r="BE313" i="17"/>
  <c r="BD310" i="17"/>
  <c r="AZ344" i="17"/>
  <c r="BB338" i="17"/>
  <c r="BA334" i="17"/>
  <c r="BA330" i="17"/>
  <c r="BB326" i="17"/>
  <c r="BE319" i="17"/>
  <c r="BC316" i="17"/>
  <c r="BD313" i="17"/>
  <c r="BC310" i="17"/>
  <c r="BD343" i="17"/>
  <c r="BA338" i="17"/>
  <c r="AZ334" i="17"/>
  <c r="AZ330" i="17"/>
  <c r="BA326" i="17"/>
  <c r="BD319" i="17"/>
  <c r="BA316" i="17"/>
  <c r="BC313" i="17"/>
  <c r="BA310" i="17"/>
  <c r="AV343" i="17"/>
  <c r="AZ338" i="17"/>
  <c r="BE333" i="17"/>
  <c r="BE329" i="17"/>
  <c r="AZ326" i="17"/>
  <c r="BC319" i="17"/>
  <c r="AY316" i="17"/>
  <c r="BB313" i="17"/>
  <c r="AY310" i="17"/>
  <c r="AU343" i="17"/>
  <c r="BE337" i="17"/>
  <c r="BD333" i="17"/>
  <c r="BD329" i="17"/>
  <c r="BE325" i="17"/>
  <c r="BB319" i="17"/>
  <c r="AW316" i="17"/>
  <c r="BA313" i="17"/>
  <c r="AX310" i="17"/>
  <c r="AT343" i="17"/>
  <c r="BD337" i="17"/>
  <c r="BC333" i="17"/>
  <c r="BC329" i="17"/>
  <c r="BD325" i="17"/>
  <c r="BA319" i="17"/>
  <c r="AV316" i="17"/>
  <c r="AZ313" i="17"/>
  <c r="AW310" i="17"/>
  <c r="BD342" i="17"/>
  <c r="AV337" i="17"/>
  <c r="AV333" i="17"/>
  <c r="AV329" i="17"/>
  <c r="BC325" i="17"/>
  <c r="AZ319" i="17"/>
  <c r="AU316" i="17"/>
  <c r="AU313" i="17"/>
  <c r="AV310" i="17"/>
  <c r="BC342" i="17"/>
  <c r="AU337" i="17"/>
  <c r="AU333" i="17"/>
  <c r="AU329" i="17"/>
  <c r="AY325" i="17"/>
  <c r="AU319" i="17"/>
  <c r="AT316" i="17"/>
  <c r="BE312" i="17"/>
  <c r="AU310" i="17"/>
  <c r="BB342" i="17"/>
  <c r="AT337" i="17"/>
  <c r="AT333" i="17"/>
  <c r="AT329" i="17"/>
  <c r="AV325" i="17"/>
  <c r="BE318" i="17"/>
  <c r="BE315" i="17"/>
  <c r="BD312" i="17"/>
  <c r="AT310" i="17"/>
  <c r="AZ342" i="17"/>
  <c r="BE336" i="17"/>
  <c r="BE332" i="17"/>
  <c r="BE328" i="17"/>
  <c r="AU325" i="17"/>
  <c r="BD318" i="17"/>
  <c r="BD315" i="17"/>
  <c r="BC312" i="17"/>
  <c r="BD341" i="17"/>
  <c r="BD336" i="17"/>
  <c r="BD332" i="17"/>
  <c r="BD328" i="17"/>
  <c r="AT325" i="17"/>
  <c r="BC318" i="17"/>
  <c r="BC315" i="17"/>
  <c r="BA312" i="17"/>
  <c r="AV341" i="17"/>
  <c r="BC336" i="17"/>
  <c r="BC332" i="17"/>
  <c r="BC328" i="17"/>
  <c r="BE322" i="17"/>
  <c r="AY318" i="17"/>
  <c r="BB315" i="17"/>
  <c r="AY312" i="17"/>
  <c r="AU341" i="17"/>
  <c r="BB336" i="17"/>
  <c r="BB332" i="17"/>
  <c r="BB328" i="17"/>
  <c r="BD322" i="17"/>
  <c r="AW318" i="17"/>
  <c r="BA315" i="17"/>
  <c r="AW312" i="17"/>
  <c r="AT341" i="17"/>
  <c r="BA336" i="17"/>
  <c r="BA332" i="17"/>
  <c r="BA328" i="17"/>
  <c r="BC322" i="17"/>
  <c r="AV318" i="17"/>
  <c r="AZ315" i="17"/>
  <c r="AV312" i="17"/>
  <c r="BD340" i="17"/>
  <c r="AZ336" i="17"/>
  <c r="AZ332" i="17"/>
  <c r="AZ328" i="17"/>
  <c r="BB322" i="17"/>
  <c r="AU318" i="17"/>
  <c r="AU315" i="17"/>
  <c r="AU312" i="17"/>
  <c r="BC340" i="17"/>
  <c r="BE335" i="17"/>
  <c r="BE331" i="17"/>
  <c r="BE327" i="17"/>
  <c r="BA322" i="17"/>
  <c r="AT318" i="17"/>
  <c r="BE314" i="17"/>
  <c r="AT312" i="17"/>
  <c r="BD345" i="17"/>
  <c r="AZ340" i="17"/>
  <c r="AV335" i="17"/>
  <c r="AV331" i="17"/>
  <c r="AY327" i="17"/>
  <c r="BD320" i="17"/>
  <c r="BC317" i="17"/>
  <c r="BA314" i="17"/>
  <c r="BC311" i="17"/>
  <c r="BC335" i="17"/>
  <c r="U344" i="17"/>
  <c r="U342" i="17"/>
  <c r="U340" i="17"/>
  <c r="U338" i="17"/>
  <c r="U336" i="17"/>
  <c r="U334" i="17"/>
  <c r="U332" i="17"/>
  <c r="U330" i="17"/>
  <c r="U328" i="17"/>
  <c r="U326" i="17"/>
  <c r="U322" i="17"/>
  <c r="U319" i="17"/>
  <c r="U317" i="17"/>
  <c r="U315" i="17"/>
  <c r="U313" i="17"/>
  <c r="U311" i="17"/>
  <c r="BD331" i="17"/>
  <c r="T344" i="17"/>
  <c r="T342" i="17"/>
  <c r="T340" i="17"/>
  <c r="T338" i="17"/>
  <c r="T336" i="17"/>
  <c r="T334" i="17"/>
  <c r="T332" i="17"/>
  <c r="T330" i="17"/>
  <c r="T328" i="17"/>
  <c r="T326" i="17"/>
  <c r="T322" i="17"/>
  <c r="T319" i="17"/>
  <c r="T317" i="17"/>
  <c r="T315" i="17"/>
  <c r="T313" i="17"/>
  <c r="T311" i="17"/>
  <c r="BC331" i="17"/>
  <c r="S344" i="17"/>
  <c r="S342" i="17"/>
  <c r="S340" i="17"/>
  <c r="S338" i="17"/>
  <c r="S336" i="17"/>
  <c r="S334" i="17"/>
  <c r="S332" i="17"/>
  <c r="S330" i="17"/>
  <c r="BD327" i="17"/>
  <c r="R344" i="17"/>
  <c r="R342" i="17"/>
  <c r="R340" i="17"/>
  <c r="R338" i="17"/>
  <c r="R336" i="17"/>
  <c r="R334" i="17"/>
  <c r="R332" i="17"/>
  <c r="R330" i="17"/>
  <c r="BC327" i="17"/>
  <c r="AC345" i="17"/>
  <c r="AC343" i="17"/>
  <c r="AC341" i="17"/>
  <c r="AZ322" i="17"/>
  <c r="BE320" i="17"/>
  <c r="BE317" i="17"/>
  <c r="BD317" i="17"/>
  <c r="BD314" i="17"/>
  <c r="X345" i="17"/>
  <c r="X343" i="17"/>
  <c r="X341" i="17"/>
  <c r="X339" i="17"/>
  <c r="X337" i="17"/>
  <c r="X335" i="17"/>
  <c r="X333" i="17"/>
  <c r="X331" i="17"/>
  <c r="X329" i="17"/>
  <c r="X327" i="17"/>
  <c r="X325" i="17"/>
  <c r="X320" i="17"/>
  <c r="X318" i="17"/>
  <c r="X316" i="17"/>
  <c r="X314" i="17"/>
  <c r="X312" i="17"/>
  <c r="X310" i="17"/>
  <c r="BC314" i="17"/>
  <c r="W345" i="17"/>
  <c r="W343" i="17"/>
  <c r="W341" i="17"/>
  <c r="W339" i="17"/>
  <c r="W337" i="17"/>
  <c r="W335" i="17"/>
  <c r="W333" i="17"/>
  <c r="W331" i="17"/>
  <c r="W329" i="17"/>
  <c r="W327" i="17"/>
  <c r="W325" i="17"/>
  <c r="W320" i="17"/>
  <c r="W318" i="17"/>
  <c r="W316" i="17"/>
  <c r="W314" i="17"/>
  <c r="W312" i="17"/>
  <c r="W310" i="17"/>
  <c r="BE311" i="17"/>
  <c r="BD311" i="17"/>
  <c r="U345" i="17"/>
  <c r="U343" i="17"/>
  <c r="U341" i="17"/>
  <c r="U339" i="17"/>
  <c r="U337" i="17"/>
  <c r="U335" i="17"/>
  <c r="U333" i="17"/>
  <c r="U331" i="17"/>
  <c r="U329" i="17"/>
  <c r="U327" i="17"/>
  <c r="U325" i="17"/>
  <c r="S345" i="17"/>
  <c r="S343" i="17"/>
  <c r="S341" i="17"/>
  <c r="S339" i="17"/>
  <c r="S337" i="17"/>
  <c r="S335" i="17"/>
  <c r="S333" i="17"/>
  <c r="S331" i="17"/>
  <c r="S329" i="17"/>
  <c r="S327" i="17"/>
  <c r="S325" i="17"/>
  <c r="BD335" i="17"/>
  <c r="Z344" i="17"/>
  <c r="V341" i="17"/>
  <c r="X338" i="17"/>
  <c r="V335" i="17"/>
  <c r="X332" i="17"/>
  <c r="V329" i="17"/>
  <c r="Z326" i="17"/>
  <c r="R322" i="17"/>
  <c r="Z318" i="17"/>
  <c r="T316" i="17"/>
  <c r="AB313" i="17"/>
  <c r="X311" i="17"/>
  <c r="BB340" i="17"/>
  <c r="Y344" i="17"/>
  <c r="T341" i="17"/>
  <c r="W338" i="17"/>
  <c r="T335" i="17"/>
  <c r="W332" i="17"/>
  <c r="T329" i="17"/>
  <c r="Y326" i="17"/>
  <c r="AC320" i="17"/>
  <c r="Y318" i="17"/>
  <c r="S316" i="17"/>
  <c r="AA313" i="17"/>
  <c r="W311" i="17"/>
  <c r="BA340" i="17"/>
  <c r="X344" i="17"/>
  <c r="R341" i="17"/>
  <c r="V338" i="17"/>
  <c r="R335" i="17"/>
  <c r="V332" i="17"/>
  <c r="R329" i="17"/>
  <c r="X326" i="17"/>
  <c r="AB320" i="17"/>
  <c r="V318" i="17"/>
  <c r="R316" i="17"/>
  <c r="Z313" i="17"/>
  <c r="V311" i="17"/>
  <c r="W344" i="17"/>
  <c r="AC340" i="17"/>
  <c r="AC337" i="17"/>
  <c r="AC334" i="17"/>
  <c r="AC331" i="17"/>
  <c r="AC328" i="17"/>
  <c r="W326" i="17"/>
  <c r="AA320" i="17"/>
  <c r="U318" i="17"/>
  <c r="AC315" i="17"/>
  <c r="Y313" i="17"/>
  <c r="S311" i="17"/>
  <c r="V344" i="17"/>
  <c r="AB340" i="17"/>
  <c r="AB337" i="17"/>
  <c r="AB334" i="17"/>
  <c r="AB331" i="17"/>
  <c r="AB328" i="17"/>
  <c r="V326" i="17"/>
  <c r="Z320" i="17"/>
  <c r="T318" i="17"/>
  <c r="AB315" i="17"/>
  <c r="X313" i="17"/>
  <c r="R311" i="17"/>
  <c r="AB343" i="17"/>
  <c r="AA340" i="17"/>
  <c r="AA337" i="17"/>
  <c r="AA334" i="17"/>
  <c r="AA331" i="17"/>
  <c r="AA328" i="17"/>
  <c r="S326" i="17"/>
  <c r="Y320" i="17"/>
  <c r="S318" i="17"/>
  <c r="AA315" i="17"/>
  <c r="W313" i="17"/>
  <c r="AC310" i="17"/>
  <c r="AA343" i="17"/>
  <c r="Z340" i="17"/>
  <c r="Z337" i="17"/>
  <c r="Z334" i="17"/>
  <c r="Z331" i="17"/>
  <c r="Z328" i="17"/>
  <c r="R326" i="17"/>
  <c r="V320" i="17"/>
  <c r="R318" i="17"/>
  <c r="Z315" i="17"/>
  <c r="V313" i="17"/>
  <c r="AB310" i="17"/>
  <c r="Z343" i="17"/>
  <c r="Y340" i="17"/>
  <c r="Y337" i="17"/>
  <c r="Y334" i="17"/>
  <c r="Y331" i="17"/>
  <c r="Y328" i="17"/>
  <c r="AC325" i="17"/>
  <c r="U320" i="17"/>
  <c r="AC317" i="17"/>
  <c r="Y315" i="17"/>
  <c r="S313" i="17"/>
  <c r="AA310" i="17"/>
  <c r="Y343" i="17"/>
  <c r="X340" i="17"/>
  <c r="V337" i="17"/>
  <c r="X334" i="17"/>
  <c r="V331" i="17"/>
  <c r="X328" i="17"/>
  <c r="AB325" i="17"/>
  <c r="T320" i="17"/>
  <c r="AB317" i="17"/>
  <c r="X315" i="17"/>
  <c r="R313" i="17"/>
  <c r="Z310" i="17"/>
  <c r="V343" i="17"/>
  <c r="W340" i="17"/>
  <c r="T337" i="17"/>
  <c r="W334" i="17"/>
  <c r="T331" i="17"/>
  <c r="W328" i="17"/>
  <c r="AA325" i="17"/>
  <c r="S320" i="17"/>
  <c r="AA317" i="17"/>
  <c r="W315" i="17"/>
  <c r="AC312" i="17"/>
  <c r="Y310" i="17"/>
  <c r="T343" i="17"/>
  <c r="V340" i="17"/>
  <c r="R337" i="17"/>
  <c r="V334" i="17"/>
  <c r="R331" i="17"/>
  <c r="V328" i="17"/>
  <c r="Z325" i="17"/>
  <c r="R320" i="17"/>
  <c r="Z317" i="17"/>
  <c r="V315" i="17"/>
  <c r="AB312" i="17"/>
  <c r="V310" i="17"/>
  <c r="R343" i="17"/>
  <c r="AC339" i="17"/>
  <c r="AC336" i="17"/>
  <c r="AC333" i="17"/>
  <c r="AC330" i="17"/>
  <c r="S328" i="17"/>
  <c r="Y325" i="17"/>
  <c r="AC319" i="17"/>
  <c r="Y317" i="17"/>
  <c r="S315" i="17"/>
  <c r="AA312" i="17"/>
  <c r="U310" i="17"/>
  <c r="AC342" i="17"/>
  <c r="AB339" i="17"/>
  <c r="AB336" i="17"/>
  <c r="AB333" i="17"/>
  <c r="AB330" i="17"/>
  <c r="R328" i="17"/>
  <c r="V325" i="17"/>
  <c r="AB319" i="17"/>
  <c r="X317" i="17"/>
  <c r="R315" i="17"/>
  <c r="Z312" i="17"/>
  <c r="T310" i="17"/>
  <c r="AB342" i="17"/>
  <c r="AA339" i="17"/>
  <c r="AA336" i="17"/>
  <c r="AA333" i="17"/>
  <c r="AA330" i="17"/>
  <c r="AC327" i="17"/>
  <c r="T325" i="17"/>
  <c r="AA319" i="17"/>
  <c r="W317" i="17"/>
  <c r="AC314" i="17"/>
  <c r="Y312" i="17"/>
  <c r="S310" i="17"/>
  <c r="AB345" i="17"/>
  <c r="AA342" i="17"/>
  <c r="Z339" i="17"/>
  <c r="Z336" i="17"/>
  <c r="Z333" i="17"/>
  <c r="Z330" i="17"/>
  <c r="AB327" i="17"/>
  <c r="R325" i="17"/>
  <c r="Z319" i="17"/>
  <c r="V317" i="17"/>
  <c r="AB314" i="17"/>
  <c r="V312" i="17"/>
  <c r="R310" i="17"/>
  <c r="AA345" i="17"/>
  <c r="Z342" i="17"/>
  <c r="Y339" i="17"/>
  <c r="Y336" i="17"/>
  <c r="Y333" i="17"/>
  <c r="Y330" i="17"/>
  <c r="AA327" i="17"/>
  <c r="AC322" i="17"/>
  <c r="Y319" i="17"/>
  <c r="S317" i="17"/>
  <c r="AA314" i="17"/>
  <c r="U312" i="17"/>
  <c r="Z345" i="17"/>
  <c r="Y342" i="17"/>
  <c r="V339" i="17"/>
  <c r="X336" i="17"/>
  <c r="V333" i="17"/>
  <c r="X330" i="17"/>
  <c r="Z327" i="17"/>
  <c r="AB322" i="17"/>
  <c r="X319" i="17"/>
  <c r="R317" i="17"/>
  <c r="Z314" i="17"/>
  <c r="T312" i="17"/>
  <c r="Y345" i="17"/>
  <c r="X342" i="17"/>
  <c r="T339" i="17"/>
  <c r="W336" i="17"/>
  <c r="T333" i="17"/>
  <c r="W330" i="17"/>
  <c r="Y327" i="17"/>
  <c r="AA322" i="17"/>
  <c r="W319" i="17"/>
  <c r="AC316" i="17"/>
  <c r="Y314" i="17"/>
  <c r="S312" i="17"/>
  <c r="V345" i="17"/>
  <c r="W342" i="17"/>
  <c r="R339" i="17"/>
  <c r="V336" i="17"/>
  <c r="R333" i="17"/>
  <c r="V330" i="17"/>
  <c r="V327" i="17"/>
  <c r="Z322" i="17"/>
  <c r="V319" i="17"/>
  <c r="AB316" i="17"/>
  <c r="V314" i="17"/>
  <c r="R312" i="17"/>
  <c r="T345" i="17"/>
  <c r="V342" i="17"/>
  <c r="AC338" i="17"/>
  <c r="AC335" i="17"/>
  <c r="AC332" i="17"/>
  <c r="AC329" i="17"/>
  <c r="T327" i="17"/>
  <c r="Y322" i="17"/>
  <c r="S319" i="17"/>
  <c r="AA316" i="17"/>
  <c r="U314" i="17"/>
  <c r="AC311" i="17"/>
  <c r="R345" i="17"/>
  <c r="AB341" i="17"/>
  <c r="AB338" i="17"/>
  <c r="AB335" i="17"/>
  <c r="AB332" i="17"/>
  <c r="AB329" i="17"/>
  <c r="R327" i="17"/>
  <c r="X322" i="17"/>
  <c r="R319" i="17"/>
  <c r="Z316" i="17"/>
  <c r="T314" i="17"/>
  <c r="AB311" i="17"/>
  <c r="AA344" i="17"/>
  <c r="Y341" i="17"/>
  <c r="Y338" i="17"/>
  <c r="Y335" i="17"/>
  <c r="Y332" i="17"/>
  <c r="Y329" i="17"/>
  <c r="AA326" i="17"/>
  <c r="S322" i="17"/>
  <c r="AA318" i="17"/>
  <c r="U316" i="17"/>
  <c r="AC313" i="17"/>
  <c r="Y311" i="17"/>
  <c r="CU437" i="17"/>
  <c r="BS437" i="17"/>
  <c r="AQ437" i="17"/>
  <c r="CU435" i="17"/>
  <c r="BS435" i="17"/>
  <c r="AQ435" i="17"/>
  <c r="CT437" i="17"/>
  <c r="BR437" i="17"/>
  <c r="AP437" i="17"/>
  <c r="CT435" i="17"/>
  <c r="BR435" i="17"/>
  <c r="AP435" i="17"/>
  <c r="CS437" i="17"/>
  <c r="BQ437" i="17"/>
  <c r="AO437" i="17"/>
  <c r="CS435" i="17"/>
  <c r="BQ435" i="17"/>
  <c r="AO435" i="17"/>
  <c r="CR437" i="17"/>
  <c r="BP437" i="17"/>
  <c r="AN437" i="17"/>
  <c r="CR435" i="17"/>
  <c r="BP435" i="17"/>
  <c r="AN435" i="17"/>
  <c r="CQ437" i="17"/>
  <c r="BO437" i="17"/>
  <c r="AM437" i="17"/>
  <c r="CQ435" i="17"/>
  <c r="BO435" i="17"/>
  <c r="AM435" i="17"/>
  <c r="CP437" i="17"/>
  <c r="BN437" i="17"/>
  <c r="AL437" i="17"/>
  <c r="CP435" i="17"/>
  <c r="BN435" i="17"/>
  <c r="AL435" i="17"/>
  <c r="CO437" i="17"/>
  <c r="BM437" i="17"/>
  <c r="AK437" i="17"/>
  <c r="CO435" i="17"/>
  <c r="BM435" i="17"/>
  <c r="AK435" i="17"/>
  <c r="CN437" i="17"/>
  <c r="BL437" i="17"/>
  <c r="AJ437" i="17"/>
  <c r="CN435" i="17"/>
  <c r="BL435" i="17"/>
  <c r="AJ435" i="17"/>
  <c r="CM437" i="17"/>
  <c r="BK437" i="17"/>
  <c r="AI437" i="17"/>
  <c r="CM435" i="17"/>
  <c r="BK435" i="17"/>
  <c r="AI435" i="17"/>
  <c r="CL437" i="17"/>
  <c r="BJ437" i="17"/>
  <c r="AH437" i="17"/>
  <c r="CL435" i="17"/>
  <c r="BJ435" i="17"/>
  <c r="AH435" i="17"/>
  <c r="CK437" i="17"/>
  <c r="BI437" i="17"/>
  <c r="AG437" i="17"/>
  <c r="CK435" i="17"/>
  <c r="BI435" i="17"/>
  <c r="AG435" i="17"/>
  <c r="CJ437" i="17"/>
  <c r="BH437" i="17"/>
  <c r="AF437" i="17"/>
  <c r="CJ435" i="17"/>
  <c r="BH435" i="17"/>
  <c r="AF435" i="17"/>
  <c r="CG437" i="17"/>
  <c r="BE437" i="17"/>
  <c r="AC437" i="17"/>
  <c r="CG435" i="17"/>
  <c r="BE435" i="17"/>
  <c r="AC435" i="17"/>
  <c r="CF437" i="17"/>
  <c r="BD437" i="17"/>
  <c r="AB437" i="17"/>
  <c r="CF435" i="17"/>
  <c r="BD435" i="17"/>
  <c r="AB435" i="17"/>
  <c r="CE437" i="17"/>
  <c r="BC437" i="17"/>
  <c r="AA437" i="17"/>
  <c r="CE435" i="17"/>
  <c r="BC435" i="17"/>
  <c r="AA435" i="17"/>
  <c r="CD437" i="17"/>
  <c r="BB437" i="17"/>
  <c r="Z437" i="17"/>
  <c r="CD435" i="17"/>
  <c r="BB435" i="17"/>
  <c r="Z435" i="17"/>
  <c r="CC437" i="17"/>
  <c r="BA437" i="17"/>
  <c r="Y437" i="17"/>
  <c r="CC435" i="17"/>
  <c r="BA435" i="17"/>
  <c r="Y435" i="17"/>
  <c r="CB437" i="17"/>
  <c r="AZ437" i="17"/>
  <c r="X437" i="17"/>
  <c r="CB435" i="17"/>
  <c r="AZ435" i="17"/>
  <c r="X435" i="17"/>
  <c r="CA437" i="17"/>
  <c r="AY437" i="17"/>
  <c r="W437" i="17"/>
  <c r="CA435" i="17"/>
  <c r="AY435" i="17"/>
  <c r="W435" i="17"/>
  <c r="BZ437" i="17"/>
  <c r="AX437" i="17"/>
  <c r="V437" i="17"/>
  <c r="BZ435" i="17"/>
  <c r="AX435" i="17"/>
  <c r="V435" i="17"/>
  <c r="BY437" i="17"/>
  <c r="AW437" i="17"/>
  <c r="U437" i="17"/>
  <c r="BY435" i="17"/>
  <c r="AW435" i="17"/>
  <c r="U435" i="17"/>
  <c r="BX437" i="17"/>
  <c r="AV437" i="17"/>
  <c r="T437" i="17"/>
  <c r="BX435" i="17"/>
  <c r="AV435" i="17"/>
  <c r="T435" i="17"/>
  <c r="BW437" i="17"/>
  <c r="AU437" i="17"/>
  <c r="S437" i="17"/>
  <c r="BW435" i="17"/>
  <c r="AU435" i="17"/>
  <c r="S435" i="17"/>
  <c r="BV437" i="17"/>
  <c r="AT437" i="17"/>
  <c r="R437" i="17"/>
  <c r="BV435" i="17"/>
  <c r="AT435" i="17"/>
  <c r="R435" i="17"/>
  <c r="BV438" i="17"/>
  <c r="AT438" i="17"/>
  <c r="R438" i="17"/>
  <c r="AF458" i="17"/>
  <c r="AF456" i="17"/>
  <c r="AF454" i="17"/>
  <c r="AF452" i="17"/>
  <c r="AF450" i="17"/>
  <c r="AF448" i="17"/>
  <c r="AF446" i="17"/>
  <c r="AF444" i="17"/>
  <c r="AF442" i="17"/>
  <c r="AF440" i="17"/>
  <c r="AF436" i="17"/>
  <c r="AF433" i="17"/>
  <c r="AF431" i="17"/>
  <c r="AF429" i="17"/>
  <c r="AF427" i="17"/>
  <c r="AF425" i="17"/>
  <c r="CU438" i="17"/>
  <c r="BS438" i="17"/>
  <c r="AQ438" i="17"/>
  <c r="AQ459" i="17"/>
  <c r="AQ457" i="17"/>
  <c r="AQ455" i="17"/>
  <c r="AQ453" i="17"/>
  <c r="AQ451" i="17"/>
  <c r="AQ449" i="17"/>
  <c r="AQ447" i="17"/>
  <c r="CT438" i="17"/>
  <c r="BR438" i="17"/>
  <c r="AP438" i="17"/>
  <c r="AP459" i="17"/>
  <c r="AP457" i="17"/>
  <c r="CS438" i="17"/>
  <c r="BQ438" i="17"/>
  <c r="AO438" i="17"/>
  <c r="AO459" i="17"/>
  <c r="AO457" i="17"/>
  <c r="AO455" i="17"/>
  <c r="AO453" i="17"/>
  <c r="AO451" i="17"/>
  <c r="AO449" i="17"/>
  <c r="AO447" i="17"/>
  <c r="CR438" i="17"/>
  <c r="BP438" i="17"/>
  <c r="AN438" i="17"/>
  <c r="AN459" i="17"/>
  <c r="AN457" i="17"/>
  <c r="AN455" i="17"/>
  <c r="CQ438" i="17"/>
  <c r="BO438" i="17"/>
  <c r="AM438" i="17"/>
  <c r="CP438" i="17"/>
  <c r="BN438" i="17"/>
  <c r="AL438" i="17"/>
  <c r="AL459" i="17"/>
  <c r="AL457" i="17"/>
  <c r="AL455" i="17"/>
  <c r="CO438" i="17"/>
  <c r="BM438" i="17"/>
  <c r="AK438" i="17"/>
  <c r="CN438" i="17"/>
  <c r="BL438" i="17"/>
  <c r="AJ438" i="17"/>
  <c r="CM438" i="17"/>
  <c r="BK438" i="17"/>
  <c r="AI438" i="17"/>
  <c r="CL438" i="17"/>
  <c r="BJ438" i="17"/>
  <c r="AH438" i="17"/>
  <c r="AH459" i="17"/>
  <c r="AH457" i="17"/>
  <c r="CK438" i="17"/>
  <c r="BI438" i="17"/>
  <c r="AG438" i="17"/>
  <c r="CJ438" i="17"/>
  <c r="BH438" i="17"/>
  <c r="AF438" i="17"/>
  <c r="CG438" i="17"/>
  <c r="BE438" i="17"/>
  <c r="AC438" i="17"/>
  <c r="CF438" i="17"/>
  <c r="BD438" i="17"/>
  <c r="AB438" i="17"/>
  <c r="CE438" i="17"/>
  <c r="BC438" i="17"/>
  <c r="AA438" i="17"/>
  <c r="CD438" i="17"/>
  <c r="BB438" i="17"/>
  <c r="Z438" i="17"/>
  <c r="CC438" i="17"/>
  <c r="BA438" i="17"/>
  <c r="Y438" i="17"/>
  <c r="CB438" i="17"/>
  <c r="AZ438" i="17"/>
  <c r="X438" i="17"/>
  <c r="CA438" i="17"/>
  <c r="AY438" i="17"/>
  <c r="W438" i="17"/>
  <c r="BZ438" i="17"/>
  <c r="AX438" i="17"/>
  <c r="V438" i="17"/>
  <c r="BY438" i="17"/>
  <c r="AW438" i="17"/>
  <c r="U438" i="17"/>
  <c r="BW438" i="17"/>
  <c r="AO458" i="17"/>
  <c r="AH456" i="17"/>
  <c r="AL453" i="17"/>
  <c r="AI451" i="17"/>
  <c r="AF449" i="17"/>
  <c r="AO446" i="17"/>
  <c r="AN444" i="17"/>
  <c r="AM442" i="17"/>
  <c r="AL440" i="17"/>
  <c r="AK436" i="17"/>
  <c r="AJ433" i="17"/>
  <c r="AI431" i="17"/>
  <c r="AH429" i="17"/>
  <c r="AG427" i="17"/>
  <c r="AQ424" i="17"/>
  <c r="BX438" i="17"/>
  <c r="AN458" i="17"/>
  <c r="AG456" i="17"/>
  <c r="AK453" i="17"/>
  <c r="AH451" i="17"/>
  <c r="AQ448" i="17"/>
  <c r="AN446" i="17"/>
  <c r="AM444" i="17"/>
  <c r="AL442" i="17"/>
  <c r="AK440" i="17"/>
  <c r="AJ436" i="17"/>
  <c r="AI433" i="17"/>
  <c r="AH431" i="17"/>
  <c r="AG429" i="17"/>
  <c r="AQ426" i="17"/>
  <c r="AP424" i="17"/>
  <c r="AV438" i="17"/>
  <c r="AM458" i="17"/>
  <c r="AP455" i="17"/>
  <c r="AJ453" i="17"/>
  <c r="AG451" i="17"/>
  <c r="AP448" i="17"/>
  <c r="AM446" i="17"/>
  <c r="AL444" i="17"/>
  <c r="AK442" i="17"/>
  <c r="AJ440" i="17"/>
  <c r="AI436" i="17"/>
  <c r="AH433" i="17"/>
  <c r="AG431" i="17"/>
  <c r="AQ428" i="17"/>
  <c r="AP426" i="17"/>
  <c r="AO424" i="17"/>
  <c r="AU438" i="17"/>
  <c r="AL458" i="17"/>
  <c r="AM455" i="17"/>
  <c r="AI453" i="17"/>
  <c r="AF451" i="17"/>
  <c r="AO448" i="17"/>
  <c r="AL446" i="17"/>
  <c r="AK444" i="17"/>
  <c r="AJ442" i="17"/>
  <c r="AI440" i="17"/>
  <c r="AH436" i="17"/>
  <c r="AG433" i="17"/>
  <c r="AQ430" i="17"/>
  <c r="AP428" i="17"/>
  <c r="AO426" i="17"/>
  <c r="AN424" i="17"/>
  <c r="T438" i="17"/>
  <c r="AK458" i="17"/>
  <c r="AK455" i="17"/>
  <c r="AH453" i="17"/>
  <c r="AQ450" i="17"/>
  <c r="AN448" i="17"/>
  <c r="AK446" i="17"/>
  <c r="AJ444" i="17"/>
  <c r="AI442" i="17"/>
  <c r="AH440" i="17"/>
  <c r="AG436" i="17"/>
  <c r="AQ432" i="17"/>
  <c r="AP430" i="17"/>
  <c r="AO428" i="17"/>
  <c r="AN426" i="17"/>
  <c r="AM424" i="17"/>
  <c r="S438" i="17"/>
  <c r="AJ458" i="17"/>
  <c r="AJ455" i="17"/>
  <c r="AG453" i="17"/>
  <c r="AP450" i="17"/>
  <c r="AM448" i="17"/>
  <c r="AJ446" i="17"/>
  <c r="AI444" i="17"/>
  <c r="AH442" i="17"/>
  <c r="AG440" i="17"/>
  <c r="AQ434" i="17"/>
  <c r="AP432" i="17"/>
  <c r="AO430" i="17"/>
  <c r="AN428" i="17"/>
  <c r="AM426" i="17"/>
  <c r="AL424" i="17"/>
  <c r="AI458" i="17"/>
  <c r="AI455" i="17"/>
  <c r="AF453" i="17"/>
  <c r="AO450" i="17"/>
  <c r="AL448" i="17"/>
  <c r="AI446" i="17"/>
  <c r="AH444" i="17"/>
  <c r="AG442" i="17"/>
  <c r="AQ439" i="17"/>
  <c r="AP434" i="17"/>
  <c r="AO432" i="17"/>
  <c r="AN430" i="17"/>
  <c r="AM428" i="17"/>
  <c r="AL426" i="17"/>
  <c r="AK424" i="17"/>
  <c r="AH458" i="17"/>
  <c r="AH455" i="17"/>
  <c r="AQ452" i="17"/>
  <c r="AN450" i="17"/>
  <c r="AK448" i="17"/>
  <c r="AH446" i="17"/>
  <c r="AG444" i="17"/>
  <c r="AQ441" i="17"/>
  <c r="AP439" i="17"/>
  <c r="AO434" i="17"/>
  <c r="AN432" i="17"/>
  <c r="AM430" i="17"/>
  <c r="AL428" i="17"/>
  <c r="AK426" i="17"/>
  <c r="AJ424" i="17"/>
  <c r="AG458" i="17"/>
  <c r="AG455" i="17"/>
  <c r="AP452" i="17"/>
  <c r="AM450" i="17"/>
  <c r="AJ448" i="17"/>
  <c r="AG446" i="17"/>
  <c r="AQ443" i="17"/>
  <c r="AP441" i="17"/>
  <c r="AO439" i="17"/>
  <c r="AN434" i="17"/>
  <c r="AM432" i="17"/>
  <c r="AL430" i="17"/>
  <c r="AK428" i="17"/>
  <c r="AJ426" i="17"/>
  <c r="AI424" i="17"/>
  <c r="AM457" i="17"/>
  <c r="AF455" i="17"/>
  <c r="AO452" i="17"/>
  <c r="AL450" i="17"/>
  <c r="AI448" i="17"/>
  <c r="AQ445" i="17"/>
  <c r="AP443" i="17"/>
  <c r="AO441" i="17"/>
  <c r="AN439" i="17"/>
  <c r="AM434" i="17"/>
  <c r="AL432" i="17"/>
  <c r="AK430" i="17"/>
  <c r="AJ428" i="17"/>
  <c r="AI426" i="17"/>
  <c r="AH424" i="17"/>
  <c r="AK457" i="17"/>
  <c r="AQ454" i="17"/>
  <c r="AN452" i="17"/>
  <c r="AK450" i="17"/>
  <c r="AH448" i="17"/>
  <c r="AP445" i="17"/>
  <c r="AO443" i="17"/>
  <c r="AN441" i="17"/>
  <c r="AM439" i="17"/>
  <c r="AL434" i="17"/>
  <c r="AK432" i="17"/>
  <c r="AJ430" i="17"/>
  <c r="AI428" i="17"/>
  <c r="AH426" i="17"/>
  <c r="AG424" i="17"/>
  <c r="AJ457" i="17"/>
  <c r="AP454" i="17"/>
  <c r="AM452" i="17"/>
  <c r="AJ450" i="17"/>
  <c r="AG448" i="17"/>
  <c r="AO445" i="17"/>
  <c r="AN443" i="17"/>
  <c r="AM441" i="17"/>
  <c r="AL439" i="17"/>
  <c r="AK434" i="17"/>
  <c r="AJ432" i="17"/>
  <c r="AI430" i="17"/>
  <c r="AH428" i="17"/>
  <c r="AG426" i="17"/>
  <c r="AF424" i="17"/>
  <c r="AI457" i="17"/>
  <c r="AO454" i="17"/>
  <c r="AL452" i="17"/>
  <c r="AI450" i="17"/>
  <c r="AP447" i="17"/>
  <c r="AN445" i="17"/>
  <c r="AM443" i="17"/>
  <c r="AL441" i="17"/>
  <c r="AK439" i="17"/>
  <c r="AJ434" i="17"/>
  <c r="AI432" i="17"/>
  <c r="AH430" i="17"/>
  <c r="AG428" i="17"/>
  <c r="AF426" i="17"/>
  <c r="AG457" i="17"/>
  <c r="AN454" i="17"/>
  <c r="AK452" i="17"/>
  <c r="AH450" i="17"/>
  <c r="AN447" i="17"/>
  <c r="AM445" i="17"/>
  <c r="AL443" i="17"/>
  <c r="AK441" i="17"/>
  <c r="AJ439" i="17"/>
  <c r="AI434" i="17"/>
  <c r="AH432" i="17"/>
  <c r="AG430" i="17"/>
  <c r="AF428" i="17"/>
  <c r="AQ425" i="17"/>
  <c r="AF457" i="17"/>
  <c r="AM454" i="17"/>
  <c r="AJ452" i="17"/>
  <c r="AG450" i="17"/>
  <c r="AM447" i="17"/>
  <c r="AL445" i="17"/>
  <c r="AK443" i="17"/>
  <c r="AJ441" i="17"/>
  <c r="AI439" i="17"/>
  <c r="AH434" i="17"/>
  <c r="AG432" i="17"/>
  <c r="AF430" i="17"/>
  <c r="AQ427" i="17"/>
  <c r="AP425" i="17"/>
  <c r="AQ456" i="17"/>
  <c r="AL454" i="17"/>
  <c r="AI452" i="17"/>
  <c r="AP449" i="17"/>
  <c r="AL447" i="17"/>
  <c r="AK445" i="17"/>
  <c r="AJ443" i="17"/>
  <c r="AI441" i="17"/>
  <c r="AH439" i="17"/>
  <c r="AG434" i="17"/>
  <c r="AF432" i="17"/>
  <c r="AQ429" i="17"/>
  <c r="AP427" i="17"/>
  <c r="AO425" i="17"/>
  <c r="AM459" i="17"/>
  <c r="AP456" i="17"/>
  <c r="AK454" i="17"/>
  <c r="AH452" i="17"/>
  <c r="AN449" i="17"/>
  <c r="AK447" i="17"/>
  <c r="AJ445" i="17"/>
  <c r="AI443" i="17"/>
  <c r="AH441" i="17"/>
  <c r="AG439" i="17"/>
  <c r="AF434" i="17"/>
  <c r="AQ431" i="17"/>
  <c r="AP429" i="17"/>
  <c r="AO427" i="17"/>
  <c r="AN425" i="17"/>
  <c r="AK459" i="17"/>
  <c r="AO456" i="17"/>
  <c r="AJ454" i="17"/>
  <c r="AG452" i="17"/>
  <c r="AM449" i="17"/>
  <c r="AJ447" i="17"/>
  <c r="AI445" i="17"/>
  <c r="AH443" i="17"/>
  <c r="AG441" i="17"/>
  <c r="AF439" i="17"/>
  <c r="AQ433" i="17"/>
  <c r="AP431" i="17"/>
  <c r="AO429" i="17"/>
  <c r="AN427" i="17"/>
  <c r="AM425" i="17"/>
  <c r="AJ459" i="17"/>
  <c r="AN456" i="17"/>
  <c r="AI454" i="17"/>
  <c r="AP451" i="17"/>
  <c r="AL449" i="17"/>
  <c r="AI447" i="17"/>
  <c r="AH445" i="17"/>
  <c r="AG443" i="17"/>
  <c r="AF441" i="17"/>
  <c r="AQ436" i="17"/>
  <c r="AP433" i="17"/>
  <c r="AO431" i="17"/>
  <c r="AN429" i="17"/>
  <c r="AM427" i="17"/>
  <c r="AL425" i="17"/>
  <c r="AI459" i="17"/>
  <c r="AM456" i="17"/>
  <c r="AH454" i="17"/>
  <c r="AN451" i="17"/>
  <c r="AK449" i="17"/>
  <c r="AH447" i="17"/>
  <c r="AG445" i="17"/>
  <c r="AF443" i="17"/>
  <c r="AQ440" i="17"/>
  <c r="AP436" i="17"/>
  <c r="AO433" i="17"/>
  <c r="AN431" i="17"/>
  <c r="AM429" i="17"/>
  <c r="AL427" i="17"/>
  <c r="AK425" i="17"/>
  <c r="AG459" i="17"/>
  <c r="AL456" i="17"/>
  <c r="AG454" i="17"/>
  <c r="AM451" i="17"/>
  <c r="AJ449" i="17"/>
  <c r="AG447" i="17"/>
  <c r="AF445" i="17"/>
  <c r="AQ442" i="17"/>
  <c r="AP440" i="17"/>
  <c r="AO436" i="17"/>
  <c r="AN433" i="17"/>
  <c r="AM431" i="17"/>
  <c r="AL429" i="17"/>
  <c r="AK427" i="17"/>
  <c r="AJ425" i="17"/>
  <c r="AF459" i="17"/>
  <c r="AK456" i="17"/>
  <c r="AP453" i="17"/>
  <c r="AL451" i="17"/>
  <c r="AI449" i="17"/>
  <c r="AF447" i="17"/>
  <c r="AQ444" i="17"/>
  <c r="AP442" i="17"/>
  <c r="AO440" i="17"/>
  <c r="AN436" i="17"/>
  <c r="AM433" i="17"/>
  <c r="AL431" i="17"/>
  <c r="AK429" i="17"/>
  <c r="AJ427" i="17"/>
  <c r="AI425" i="17"/>
  <c r="AP458" i="17"/>
  <c r="AI456" i="17"/>
  <c r="AM453" i="17"/>
  <c r="AJ451" i="17"/>
  <c r="AG449" i="17"/>
  <c r="AP446" i="17"/>
  <c r="AO444" i="17"/>
  <c r="AN442" i="17"/>
  <c r="AM440" i="17"/>
  <c r="AL436" i="17"/>
  <c r="AK433" i="17"/>
  <c r="AJ431" i="17"/>
  <c r="AI429" i="17"/>
  <c r="AH427" i="17"/>
  <c r="AG425" i="17"/>
  <c r="AL433" i="17"/>
  <c r="AK431" i="17"/>
  <c r="AJ429" i="17"/>
  <c r="AI427" i="17"/>
  <c r="AH425" i="17"/>
  <c r="AQ458" i="17"/>
  <c r="AJ456" i="17"/>
  <c r="AN453" i="17"/>
  <c r="AK451" i="17"/>
  <c r="AH449" i="17"/>
  <c r="AQ446" i="17"/>
  <c r="AP444" i="17"/>
  <c r="AO442" i="17"/>
  <c r="AN440" i="17"/>
  <c r="AM436" i="17"/>
  <c r="CT458" i="17"/>
  <c r="CT456" i="17"/>
  <c r="CT454" i="17"/>
  <c r="CT452" i="17"/>
  <c r="CT450" i="17"/>
  <c r="CT448" i="17"/>
  <c r="CT446" i="17"/>
  <c r="CT444" i="17"/>
  <c r="CT442" i="17"/>
  <c r="CT440" i="17"/>
  <c r="CT436" i="17"/>
  <c r="CT433" i="17"/>
  <c r="CT431" i="17"/>
  <c r="CT429" i="17"/>
  <c r="CT427" i="17"/>
  <c r="CT425" i="17"/>
  <c r="CS458" i="17"/>
  <c r="CS456" i="17"/>
  <c r="CS454" i="17"/>
  <c r="CS452" i="17"/>
  <c r="CS450" i="17"/>
  <c r="CS448" i="17"/>
  <c r="CS446" i="17"/>
  <c r="CS444" i="17"/>
  <c r="CS442" i="17"/>
  <c r="CS440" i="17"/>
  <c r="CS436" i="17"/>
  <c r="CS433" i="17"/>
  <c r="CS431" i="17"/>
  <c r="CS429" i="17"/>
  <c r="CS427" i="17"/>
  <c r="CS425" i="17"/>
  <c r="CR458" i="17"/>
  <c r="CR456" i="17"/>
  <c r="CR454" i="17"/>
  <c r="CR452" i="17"/>
  <c r="CR450" i="17"/>
  <c r="CR448" i="17"/>
  <c r="CR446" i="17"/>
  <c r="CR444" i="17"/>
  <c r="CR442" i="17"/>
  <c r="CR440" i="17"/>
  <c r="CR436" i="17"/>
  <c r="CR433" i="17"/>
  <c r="CR431" i="17"/>
  <c r="CR429" i="17"/>
  <c r="CR427" i="17"/>
  <c r="CR425" i="17"/>
  <c r="CQ458" i="17"/>
  <c r="CQ456" i="17"/>
  <c r="CQ454" i="17"/>
  <c r="CQ452" i="17"/>
  <c r="CQ450" i="17"/>
  <c r="CQ448" i="17"/>
  <c r="CQ446" i="17"/>
  <c r="CQ444" i="17"/>
  <c r="CQ442" i="17"/>
  <c r="CQ440" i="17"/>
  <c r="CQ436" i="17"/>
  <c r="CQ433" i="17"/>
  <c r="CQ431" i="17"/>
  <c r="CQ429" i="17"/>
  <c r="CQ427" i="17"/>
  <c r="CQ425" i="17"/>
  <c r="CP458" i="17"/>
  <c r="CP456" i="17"/>
  <c r="CP454" i="17"/>
  <c r="CP452" i="17"/>
  <c r="CP450" i="17"/>
  <c r="CP448" i="17"/>
  <c r="CP446" i="17"/>
  <c r="CP444" i="17"/>
  <c r="CP442" i="17"/>
  <c r="CP440" i="17"/>
  <c r="CP436" i="17"/>
  <c r="CP433" i="17"/>
  <c r="CP431" i="17"/>
  <c r="CP429" i="17"/>
  <c r="CP427" i="17"/>
  <c r="CP425" i="17"/>
  <c r="CO458" i="17"/>
  <c r="CO456" i="17"/>
  <c r="CO454" i="17"/>
  <c r="CO452" i="17"/>
  <c r="CO450" i="17"/>
  <c r="CO448" i="17"/>
  <c r="CO446" i="17"/>
  <c r="CO444" i="17"/>
  <c r="CO442" i="17"/>
  <c r="CO440" i="17"/>
  <c r="CO436" i="17"/>
  <c r="CO433" i="17"/>
  <c r="CO431" i="17"/>
  <c r="CO429" i="17"/>
  <c r="CO427" i="17"/>
  <c r="CN458" i="17"/>
  <c r="CN456" i="17"/>
  <c r="CN454" i="17"/>
  <c r="CN452" i="17"/>
  <c r="CN450" i="17"/>
  <c r="CN448" i="17"/>
  <c r="CN446" i="17"/>
  <c r="CN444" i="17"/>
  <c r="CN442" i="17"/>
  <c r="CN440" i="17"/>
  <c r="CN436" i="17"/>
  <c r="CN433" i="17"/>
  <c r="CN431" i="17"/>
  <c r="CN429" i="17"/>
  <c r="CN427" i="17"/>
  <c r="CN425" i="17"/>
  <c r="CM458" i="17"/>
  <c r="CM456" i="17"/>
  <c r="CM454" i="17"/>
  <c r="CM452" i="17"/>
  <c r="CM450" i="17"/>
  <c r="CM448" i="17"/>
  <c r="CM446" i="17"/>
  <c r="CM444" i="17"/>
  <c r="CM442" i="17"/>
  <c r="CM440" i="17"/>
  <c r="CM436" i="17"/>
  <c r="CM433" i="17"/>
  <c r="CM431" i="17"/>
  <c r="CM429" i="17"/>
  <c r="CM427" i="17"/>
  <c r="CM425" i="17"/>
  <c r="CL458" i="17"/>
  <c r="CL456" i="17"/>
  <c r="CL454" i="17"/>
  <c r="CL452" i="17"/>
  <c r="CL450" i="17"/>
  <c r="CL448" i="17"/>
  <c r="CL446" i="17"/>
  <c r="CL444" i="17"/>
  <c r="CL442" i="17"/>
  <c r="CL440" i="17"/>
  <c r="CL436" i="17"/>
  <c r="CL433" i="17"/>
  <c r="CL431" i="17"/>
  <c r="CL429" i="17"/>
  <c r="CL427" i="17"/>
  <c r="CL425" i="17"/>
  <c r="CK458" i="17"/>
  <c r="CK456" i="17"/>
  <c r="CK454" i="17"/>
  <c r="CK452" i="17"/>
  <c r="CK450" i="17"/>
  <c r="CK448" i="17"/>
  <c r="CK446" i="17"/>
  <c r="CK444" i="17"/>
  <c r="CK442" i="17"/>
  <c r="CK440" i="17"/>
  <c r="CK436" i="17"/>
  <c r="CK433" i="17"/>
  <c r="CK431" i="17"/>
  <c r="CK429" i="17"/>
  <c r="CK427" i="17"/>
  <c r="CK425" i="17"/>
  <c r="CJ458" i="17"/>
  <c r="CJ456" i="17"/>
  <c r="CJ454" i="17"/>
  <c r="CJ452" i="17"/>
  <c r="CJ450" i="17"/>
  <c r="CJ448" i="17"/>
  <c r="CJ446" i="17"/>
  <c r="CJ444" i="17"/>
  <c r="CJ442" i="17"/>
  <c r="CJ440" i="17"/>
  <c r="CJ436" i="17"/>
  <c r="CJ433" i="17"/>
  <c r="CJ431" i="17"/>
  <c r="CJ429" i="17"/>
  <c r="CJ427" i="17"/>
  <c r="CJ425" i="17"/>
  <c r="CU459" i="17"/>
  <c r="CU457" i="17"/>
  <c r="CU455" i="17"/>
  <c r="CU453" i="17"/>
  <c r="CU451" i="17"/>
  <c r="CU449" i="17"/>
  <c r="CU447" i="17"/>
  <c r="CU445" i="17"/>
  <c r="CU443" i="17"/>
  <c r="CU441" i="17"/>
  <c r="CU439" i="17"/>
  <c r="CU434" i="17"/>
  <c r="CU432" i="17"/>
  <c r="CU430" i="17"/>
  <c r="CU428" i="17"/>
  <c r="CU426" i="17"/>
  <c r="CT459" i="17"/>
  <c r="CT457" i="17"/>
  <c r="CT455" i="17"/>
  <c r="CT453" i="17"/>
  <c r="CT451" i="17"/>
  <c r="CT449" i="17"/>
  <c r="CT447" i="17"/>
  <c r="CT445" i="17"/>
  <c r="CT443" i="17"/>
  <c r="CT441" i="17"/>
  <c r="CT439" i="17"/>
  <c r="CT434" i="17"/>
  <c r="CT432" i="17"/>
  <c r="CT430" i="17"/>
  <c r="CT428" i="17"/>
  <c r="CT426" i="17"/>
  <c r="CT424" i="17"/>
  <c r="CS459" i="17"/>
  <c r="CS457" i="17"/>
  <c r="CS455" i="17"/>
  <c r="CS453" i="17"/>
  <c r="CS451" i="17"/>
  <c r="CS449" i="17"/>
  <c r="CS447" i="17"/>
  <c r="CS445" i="17"/>
  <c r="CS443" i="17"/>
  <c r="CS441" i="17"/>
  <c r="CS439" i="17"/>
  <c r="CS434" i="17"/>
  <c r="CS432" i="17"/>
  <c r="CS430" i="17"/>
  <c r="CS428" i="17"/>
  <c r="CS426" i="17"/>
  <c r="CS424" i="17"/>
  <c r="CR459" i="17"/>
  <c r="CR457" i="17"/>
  <c r="CR455" i="17"/>
  <c r="CR453" i="17"/>
  <c r="CR451" i="17"/>
  <c r="CR449" i="17"/>
  <c r="CR447" i="17"/>
  <c r="CR445" i="17"/>
  <c r="CR443" i="17"/>
  <c r="CR441" i="17"/>
  <c r="CR439" i="17"/>
  <c r="CR434" i="17"/>
  <c r="CR432" i="17"/>
  <c r="CR430" i="17"/>
  <c r="CR428" i="17"/>
  <c r="CR426" i="17"/>
  <c r="CQ459" i="17"/>
  <c r="CQ457" i="17"/>
  <c r="CQ455" i="17"/>
  <c r="CQ453" i="17"/>
  <c r="CQ451" i="17"/>
  <c r="CQ449" i="17"/>
  <c r="CQ447" i="17"/>
  <c r="CQ445" i="17"/>
  <c r="CQ443" i="17"/>
  <c r="CQ441" i="17"/>
  <c r="CQ439" i="17"/>
  <c r="CQ434" i="17"/>
  <c r="CQ432" i="17"/>
  <c r="CQ430" i="17"/>
  <c r="CQ428" i="17"/>
  <c r="CQ426" i="17"/>
  <c r="CQ424" i="17"/>
  <c r="CP459" i="17"/>
  <c r="CP457" i="17"/>
  <c r="CP455" i="17"/>
  <c r="CP453" i="17"/>
  <c r="CP451" i="17"/>
  <c r="CP449" i="17"/>
  <c r="CP447" i="17"/>
  <c r="CP445" i="17"/>
  <c r="CP443" i="17"/>
  <c r="CP441" i="17"/>
  <c r="CP439" i="17"/>
  <c r="CP434" i="17"/>
  <c r="CP432" i="17"/>
  <c r="CP430" i="17"/>
  <c r="CP428" i="17"/>
  <c r="CP426" i="17"/>
  <c r="CO459" i="17"/>
  <c r="CO457" i="17"/>
  <c r="CO455" i="17"/>
  <c r="CO453" i="17"/>
  <c r="CO451" i="17"/>
  <c r="CO449" i="17"/>
  <c r="CO447" i="17"/>
  <c r="CO445" i="17"/>
  <c r="CO443" i="17"/>
  <c r="CO441" i="17"/>
  <c r="CO439" i="17"/>
  <c r="CO434" i="17"/>
  <c r="CO432" i="17"/>
  <c r="CO430" i="17"/>
  <c r="CO428" i="17"/>
  <c r="CO426" i="17"/>
  <c r="CO424" i="17"/>
  <c r="CN459" i="17"/>
  <c r="CN457" i="17"/>
  <c r="CN455" i="17"/>
  <c r="CN453" i="17"/>
  <c r="CN451" i="17"/>
  <c r="CN449" i="17"/>
  <c r="CN447" i="17"/>
  <c r="CN445" i="17"/>
  <c r="CN443" i="17"/>
  <c r="CN441" i="17"/>
  <c r="CN439" i="17"/>
  <c r="CN434" i="17"/>
  <c r="CN432" i="17"/>
  <c r="CN430" i="17"/>
  <c r="CN428" i="17"/>
  <c r="CN426" i="17"/>
  <c r="CK459" i="17"/>
  <c r="CK457" i="17"/>
  <c r="CK455" i="17"/>
  <c r="CK453" i="17"/>
  <c r="CK451" i="17"/>
  <c r="CK449" i="17"/>
  <c r="CK447" i="17"/>
  <c r="CK445" i="17"/>
  <c r="CK443" i="17"/>
  <c r="CK441" i="17"/>
  <c r="CK439" i="17"/>
  <c r="CK434" i="17"/>
  <c r="CK432" i="17"/>
  <c r="CK430" i="17"/>
  <c r="CK428" i="17"/>
  <c r="CK426" i="17"/>
  <c r="CK424" i="17"/>
  <c r="CJ459" i="17"/>
  <c r="CJ457" i="17"/>
  <c r="CJ455" i="17"/>
  <c r="CJ453" i="17"/>
  <c r="CJ451" i="17"/>
  <c r="CJ449" i="17"/>
  <c r="CJ447" i="17"/>
  <c r="CJ445" i="17"/>
  <c r="CJ443" i="17"/>
  <c r="CJ441" i="17"/>
  <c r="CJ439" i="17"/>
  <c r="CJ434" i="17"/>
  <c r="CJ432" i="17"/>
  <c r="CJ430" i="17"/>
  <c r="CJ428" i="17"/>
  <c r="CJ426" i="17"/>
  <c r="CJ424" i="17"/>
  <c r="CU458" i="17"/>
  <c r="CU456" i="17"/>
  <c r="CU454" i="17"/>
  <c r="CU452" i="17"/>
  <c r="CU450" i="17"/>
  <c r="CU448" i="17"/>
  <c r="CU446" i="17"/>
  <c r="CU444" i="17"/>
  <c r="CU442" i="17"/>
  <c r="CU440" i="17"/>
  <c r="CU436" i="17"/>
  <c r="CU433" i="17"/>
  <c r="CU431" i="17"/>
  <c r="CU429" i="17"/>
  <c r="CU427" i="17"/>
  <c r="CU425" i="17"/>
  <c r="CL451" i="17"/>
  <c r="CU424" i="17"/>
  <c r="CM449" i="17"/>
  <c r="CR424" i="17"/>
  <c r="CL449" i="17"/>
  <c r="CP424" i="17"/>
  <c r="CM447" i="17"/>
  <c r="CN424" i="17"/>
  <c r="CL447" i="17"/>
  <c r="CM424" i="17"/>
  <c r="CM445" i="17"/>
  <c r="CL424" i="17"/>
  <c r="CL445" i="17"/>
  <c r="CM443" i="17"/>
  <c r="CL443" i="17"/>
  <c r="CM441" i="17"/>
  <c r="CL441" i="17"/>
  <c r="CM439" i="17"/>
  <c r="CL439" i="17"/>
  <c r="CM434" i="17"/>
  <c r="CL434" i="17"/>
  <c r="CM459" i="17"/>
  <c r="CM432" i="17"/>
  <c r="CL459" i="17"/>
  <c r="CL432" i="17"/>
  <c r="CM457" i="17"/>
  <c r="CM430" i="17"/>
  <c r="CL457" i="17"/>
  <c r="CL430" i="17"/>
  <c r="CM455" i="17"/>
  <c r="CM428" i="17"/>
  <c r="CL455" i="17"/>
  <c r="CL428" i="17"/>
  <c r="CM451" i="17"/>
  <c r="CO425" i="17"/>
  <c r="CM453" i="17"/>
  <c r="CL453" i="17"/>
  <c r="CM426" i="17"/>
  <c r="CL426" i="17"/>
  <c r="CD458" i="17"/>
  <c r="CD456" i="17"/>
  <c r="CD454" i="17"/>
  <c r="CD452" i="17"/>
  <c r="CD450" i="17"/>
  <c r="CD448" i="17"/>
  <c r="CD446" i="17"/>
  <c r="CD444" i="17"/>
  <c r="CD442" i="17"/>
  <c r="CD440" i="17"/>
  <c r="CD436" i="17"/>
  <c r="CD433" i="17"/>
  <c r="CD431" i="17"/>
  <c r="CD429" i="17"/>
  <c r="CD427" i="17"/>
  <c r="CD425" i="17"/>
  <c r="CB458" i="17"/>
  <c r="CB456" i="17"/>
  <c r="CB454" i="17"/>
  <c r="CB452" i="17"/>
  <c r="CB450" i="17"/>
  <c r="CB448" i="17"/>
  <c r="CB446" i="17"/>
  <c r="CB444" i="17"/>
  <c r="CB442" i="17"/>
  <c r="CB440" i="17"/>
  <c r="CB436" i="17"/>
  <c r="CB433" i="17"/>
  <c r="CB431" i="17"/>
  <c r="CB429" i="17"/>
  <c r="CB427" i="17"/>
  <c r="CB425" i="17"/>
  <c r="CA458" i="17"/>
  <c r="CA456" i="17"/>
  <c r="CA454" i="17"/>
  <c r="CA452" i="17"/>
  <c r="CA450" i="17"/>
  <c r="CA448" i="17"/>
  <c r="CA446" i="17"/>
  <c r="CA444" i="17"/>
  <c r="CA442" i="17"/>
  <c r="CA440" i="17"/>
  <c r="CA436" i="17"/>
  <c r="CA433" i="17"/>
  <c r="CA431" i="17"/>
  <c r="CA429" i="17"/>
  <c r="CA427" i="17"/>
  <c r="CA425" i="17"/>
  <c r="BZ458" i="17"/>
  <c r="BZ456" i="17"/>
  <c r="BZ454" i="17"/>
  <c r="BZ452" i="17"/>
  <c r="BZ450" i="17"/>
  <c r="BZ448" i="17"/>
  <c r="BZ446" i="17"/>
  <c r="BZ444" i="17"/>
  <c r="BZ442" i="17"/>
  <c r="BZ440" i="17"/>
  <c r="BZ436" i="17"/>
  <c r="BZ433" i="17"/>
  <c r="BZ431" i="17"/>
  <c r="BZ429" i="17"/>
  <c r="BZ427" i="17"/>
  <c r="BZ425" i="17"/>
  <c r="BY458" i="17"/>
  <c r="BY456" i="17"/>
  <c r="BY454" i="17"/>
  <c r="BY452" i="17"/>
  <c r="BY450" i="17"/>
  <c r="BY448" i="17"/>
  <c r="BY446" i="17"/>
  <c r="BY444" i="17"/>
  <c r="BY442" i="17"/>
  <c r="BY440" i="17"/>
  <c r="BY436" i="17"/>
  <c r="BY433" i="17"/>
  <c r="BY431" i="17"/>
  <c r="BY429" i="17"/>
  <c r="BY427" i="17"/>
  <c r="BY425" i="17"/>
  <c r="BX458" i="17"/>
  <c r="BX456" i="17"/>
  <c r="BX454" i="17"/>
  <c r="BX452" i="17"/>
  <c r="BX450" i="17"/>
  <c r="BX448" i="17"/>
  <c r="BX446" i="17"/>
  <c r="BX444" i="17"/>
  <c r="BX442" i="17"/>
  <c r="BX440" i="17"/>
  <c r="BX436" i="17"/>
  <c r="BX433" i="17"/>
  <c r="BX431" i="17"/>
  <c r="BX429" i="17"/>
  <c r="BX427" i="17"/>
  <c r="BX425" i="17"/>
  <c r="BW458" i="17"/>
  <c r="BW456" i="17"/>
  <c r="BW454" i="17"/>
  <c r="BW452" i="17"/>
  <c r="BW450" i="17"/>
  <c r="BW448" i="17"/>
  <c r="BW446" i="17"/>
  <c r="BW444" i="17"/>
  <c r="BW442" i="17"/>
  <c r="BW440" i="17"/>
  <c r="BV458" i="17"/>
  <c r="BV456" i="17"/>
  <c r="BV454" i="17"/>
  <c r="BV452" i="17"/>
  <c r="BV450" i="17"/>
  <c r="BV448" i="17"/>
  <c r="BV446" i="17"/>
  <c r="BV444" i="17"/>
  <c r="BV442" i="17"/>
  <c r="BV440" i="17"/>
  <c r="BV436" i="17"/>
  <c r="BV433" i="17"/>
  <c r="BV431" i="17"/>
  <c r="BV429" i="17"/>
  <c r="BV427" i="17"/>
  <c r="BV425" i="17"/>
  <c r="CG459" i="17"/>
  <c r="CG457" i="17"/>
  <c r="CG455" i="17"/>
  <c r="CG453" i="17"/>
  <c r="CG451" i="17"/>
  <c r="CG449" i="17"/>
  <c r="CG447" i="17"/>
  <c r="CG445" i="17"/>
  <c r="CG443" i="17"/>
  <c r="CG441" i="17"/>
  <c r="CG439" i="17"/>
  <c r="CG434" i="17"/>
  <c r="CG432" i="17"/>
  <c r="CG430" i="17"/>
  <c r="CG428" i="17"/>
  <c r="CG426" i="17"/>
  <c r="CG424" i="17"/>
  <c r="CF459" i="17"/>
  <c r="CF457" i="17"/>
  <c r="CF455" i="17"/>
  <c r="CF453" i="17"/>
  <c r="CF451" i="17"/>
  <c r="CF449" i="17"/>
  <c r="CF447" i="17"/>
  <c r="CF445" i="17"/>
  <c r="CF443" i="17"/>
  <c r="CF441" i="17"/>
  <c r="CF439" i="17"/>
  <c r="CF434" i="17"/>
  <c r="CF432" i="17"/>
  <c r="CF430" i="17"/>
  <c r="CF428" i="17"/>
  <c r="CF426" i="17"/>
  <c r="CF424" i="17"/>
  <c r="CE459" i="17"/>
  <c r="CE457" i="17"/>
  <c r="CE455" i="17"/>
  <c r="CE453" i="17"/>
  <c r="CE451" i="17"/>
  <c r="CE449" i="17"/>
  <c r="CE447" i="17"/>
  <c r="CE445" i="17"/>
  <c r="CE443" i="17"/>
  <c r="CE441" i="17"/>
  <c r="CE439" i="17"/>
  <c r="CE434" i="17"/>
  <c r="CE432" i="17"/>
  <c r="CE430" i="17"/>
  <c r="CE428" i="17"/>
  <c r="CE426" i="17"/>
  <c r="CE424" i="17"/>
  <c r="CD459" i="17"/>
  <c r="CD457" i="17"/>
  <c r="CD455" i="17"/>
  <c r="CD453" i="17"/>
  <c r="CD451" i="17"/>
  <c r="CD449" i="17"/>
  <c r="CD447" i="17"/>
  <c r="CD445" i="17"/>
  <c r="CD443" i="17"/>
  <c r="CD441" i="17"/>
  <c r="CD439" i="17"/>
  <c r="CD434" i="17"/>
  <c r="CD432" i="17"/>
  <c r="CD430" i="17"/>
  <c r="CD428" i="17"/>
  <c r="CD426" i="17"/>
  <c r="CD424" i="17"/>
  <c r="CC459" i="17"/>
  <c r="CC457" i="17"/>
  <c r="CC455" i="17"/>
  <c r="CC453" i="17"/>
  <c r="CC451" i="17"/>
  <c r="CC449" i="17"/>
  <c r="CC447" i="17"/>
  <c r="CC445" i="17"/>
  <c r="CC443" i="17"/>
  <c r="CC441" i="17"/>
  <c r="CC439" i="17"/>
  <c r="CC434" i="17"/>
  <c r="CC432" i="17"/>
  <c r="CC430" i="17"/>
  <c r="CC428" i="17"/>
  <c r="CC426" i="17"/>
  <c r="CC424" i="17"/>
  <c r="CA459" i="17"/>
  <c r="CA457" i="17"/>
  <c r="CA455" i="17"/>
  <c r="CA453" i="17"/>
  <c r="CA451" i="17"/>
  <c r="CA449" i="17"/>
  <c r="CA447" i="17"/>
  <c r="CA445" i="17"/>
  <c r="CA443" i="17"/>
  <c r="CA441" i="17"/>
  <c r="CA439" i="17"/>
  <c r="CA434" i="17"/>
  <c r="CA432" i="17"/>
  <c r="CA430" i="17"/>
  <c r="CA428" i="17"/>
  <c r="CA426" i="17"/>
  <c r="CA424" i="17"/>
  <c r="BZ459" i="17"/>
  <c r="BZ457" i="17"/>
  <c r="BZ455" i="17"/>
  <c r="BZ453" i="17"/>
  <c r="BZ451" i="17"/>
  <c r="BZ449" i="17"/>
  <c r="BZ447" i="17"/>
  <c r="BZ445" i="17"/>
  <c r="BZ443" i="17"/>
  <c r="BZ441" i="17"/>
  <c r="BY459" i="17"/>
  <c r="BY457" i="17"/>
  <c r="BY455" i="17"/>
  <c r="BY453" i="17"/>
  <c r="BY451" i="17"/>
  <c r="BY449" i="17"/>
  <c r="BY447" i="17"/>
  <c r="BY445" i="17"/>
  <c r="BY443" i="17"/>
  <c r="BY441" i="17"/>
  <c r="BY439" i="17"/>
  <c r="BY434" i="17"/>
  <c r="BY432" i="17"/>
  <c r="BY430" i="17"/>
  <c r="BY428" i="17"/>
  <c r="BY426" i="17"/>
  <c r="BY424" i="17"/>
  <c r="BX459" i="17"/>
  <c r="BX457" i="17"/>
  <c r="BX455" i="17"/>
  <c r="BX453" i="17"/>
  <c r="BX451" i="17"/>
  <c r="BX449" i="17"/>
  <c r="BX447" i="17"/>
  <c r="BX445" i="17"/>
  <c r="BX443" i="17"/>
  <c r="BX441" i="17"/>
  <c r="BX439" i="17"/>
  <c r="BX434" i="17"/>
  <c r="BX432" i="17"/>
  <c r="BX430" i="17"/>
  <c r="BW459" i="17"/>
  <c r="BW457" i="17"/>
  <c r="BW455" i="17"/>
  <c r="BW453" i="17"/>
  <c r="BW451" i="17"/>
  <c r="BW449" i="17"/>
  <c r="BW447" i="17"/>
  <c r="BW445" i="17"/>
  <c r="BW443" i="17"/>
  <c r="BW441" i="17"/>
  <c r="BW439" i="17"/>
  <c r="BW434" i="17"/>
  <c r="BW432" i="17"/>
  <c r="BW430" i="17"/>
  <c r="BW428" i="17"/>
  <c r="BW426" i="17"/>
  <c r="BW424" i="17"/>
  <c r="BV459" i="17"/>
  <c r="BV457" i="17"/>
  <c r="BV455" i="17"/>
  <c r="BV453" i="17"/>
  <c r="BV451" i="17"/>
  <c r="BV449" i="17"/>
  <c r="BV447" i="17"/>
  <c r="BV445" i="17"/>
  <c r="BV443" i="17"/>
  <c r="BV441" i="17"/>
  <c r="BV439" i="17"/>
  <c r="BV434" i="17"/>
  <c r="BV432" i="17"/>
  <c r="BV430" i="17"/>
  <c r="BV428" i="17"/>
  <c r="BV426" i="17"/>
  <c r="BV424" i="17"/>
  <c r="CE458" i="17"/>
  <c r="CE456" i="17"/>
  <c r="CE454" i="17"/>
  <c r="CE452" i="17"/>
  <c r="CE450" i="17"/>
  <c r="CE448" i="17"/>
  <c r="CE446" i="17"/>
  <c r="CE444" i="17"/>
  <c r="CE442" i="17"/>
  <c r="CE440" i="17"/>
  <c r="CE436" i="17"/>
  <c r="CE433" i="17"/>
  <c r="CE431" i="17"/>
  <c r="CE429" i="17"/>
  <c r="CF450" i="17"/>
  <c r="CG436" i="17"/>
  <c r="BX428" i="17"/>
  <c r="CC450" i="17"/>
  <c r="CF436" i="17"/>
  <c r="CG427" i="17"/>
  <c r="CB449" i="17"/>
  <c r="CC436" i="17"/>
  <c r="CF427" i="17"/>
  <c r="CG448" i="17"/>
  <c r="BW436" i="17"/>
  <c r="CE427" i="17"/>
  <c r="CF448" i="17"/>
  <c r="CB434" i="17"/>
  <c r="CC427" i="17"/>
  <c r="CC448" i="17"/>
  <c r="BZ434" i="17"/>
  <c r="BW427" i="17"/>
  <c r="CB459" i="17"/>
  <c r="CB447" i="17"/>
  <c r="CG433" i="17"/>
  <c r="CB426" i="17"/>
  <c r="CG458" i="17"/>
  <c r="CG446" i="17"/>
  <c r="CF433" i="17"/>
  <c r="BZ426" i="17"/>
  <c r="CF458" i="17"/>
  <c r="CF446" i="17"/>
  <c r="CC433" i="17"/>
  <c r="BX426" i="17"/>
  <c r="CC458" i="17"/>
  <c r="CC446" i="17"/>
  <c r="BW433" i="17"/>
  <c r="CG425" i="17"/>
  <c r="CB457" i="17"/>
  <c r="CB445" i="17"/>
  <c r="CB432" i="17"/>
  <c r="CF425" i="17"/>
  <c r="CG456" i="17"/>
  <c r="CG444" i="17"/>
  <c r="BZ432" i="17"/>
  <c r="CE425" i="17"/>
  <c r="CF456" i="17"/>
  <c r="CF444" i="17"/>
  <c r="CG431" i="17"/>
  <c r="CC425" i="17"/>
  <c r="CC456" i="17"/>
  <c r="CC444" i="17"/>
  <c r="CF431" i="17"/>
  <c r="BW425" i="17"/>
  <c r="CB455" i="17"/>
  <c r="CB443" i="17"/>
  <c r="CC431" i="17"/>
  <c r="CB424" i="17"/>
  <c r="CG454" i="17"/>
  <c r="CG442" i="17"/>
  <c r="BW431" i="17"/>
  <c r="BZ424" i="17"/>
  <c r="CF454" i="17"/>
  <c r="CF442" i="17"/>
  <c r="CB430" i="17"/>
  <c r="BX424" i="17"/>
  <c r="CC454" i="17"/>
  <c r="CC442" i="17"/>
  <c r="BZ430" i="17"/>
  <c r="CB453" i="17"/>
  <c r="CB441" i="17"/>
  <c r="CG429" i="17"/>
  <c r="CG452" i="17"/>
  <c r="CG440" i="17"/>
  <c r="CF429" i="17"/>
  <c r="CF452" i="17"/>
  <c r="CF440" i="17"/>
  <c r="CC429" i="17"/>
  <c r="CC452" i="17"/>
  <c r="CC440" i="17"/>
  <c r="BW429" i="17"/>
  <c r="CG450" i="17"/>
  <c r="BZ439" i="17"/>
  <c r="BZ428" i="17"/>
  <c r="BK459" i="17"/>
  <c r="BK457" i="17"/>
  <c r="BK455" i="17"/>
  <c r="BK453" i="17"/>
  <c r="BK451" i="17"/>
  <c r="BK449" i="17"/>
  <c r="BK447" i="17"/>
  <c r="BK445" i="17"/>
  <c r="BK443" i="17"/>
  <c r="BK441" i="17"/>
  <c r="BK439" i="17"/>
  <c r="BK434" i="17"/>
  <c r="BK432" i="17"/>
  <c r="BK430" i="17"/>
  <c r="BK428" i="17"/>
  <c r="BK426" i="17"/>
  <c r="BK424" i="17"/>
  <c r="BI459" i="17"/>
  <c r="BI457" i="17"/>
  <c r="BI455" i="17"/>
  <c r="BI453" i="17"/>
  <c r="BI451" i="17"/>
  <c r="BI449" i="17"/>
  <c r="BI447" i="17"/>
  <c r="BI445" i="17"/>
  <c r="BI443" i="17"/>
  <c r="BI441" i="17"/>
  <c r="BI439" i="17"/>
  <c r="BI434" i="17"/>
  <c r="BI432" i="17"/>
  <c r="BI430" i="17"/>
  <c r="BI428" i="17"/>
  <c r="BI426" i="17"/>
  <c r="BI424" i="17"/>
  <c r="CB451" i="17"/>
  <c r="CB439" i="17"/>
  <c r="CB428" i="17"/>
  <c r="BO458" i="17"/>
  <c r="BO456" i="17"/>
  <c r="BO454" i="17"/>
  <c r="BO452" i="17"/>
  <c r="BO450" i="17"/>
  <c r="BO448" i="17"/>
  <c r="BO446" i="17"/>
  <c r="BO444" i="17"/>
  <c r="BO442" i="17"/>
  <c r="BO440" i="17"/>
  <c r="BO436" i="17"/>
  <c r="BO433" i="17"/>
  <c r="BO431" i="17"/>
  <c r="BO429" i="17"/>
  <c r="BO427" i="17"/>
  <c r="BO425" i="17"/>
  <c r="BN458" i="17"/>
  <c r="BN456" i="17"/>
  <c r="BN454" i="17"/>
  <c r="BN452" i="17"/>
  <c r="BN450" i="17"/>
  <c r="BN448" i="17"/>
  <c r="BN446" i="17"/>
  <c r="BN444" i="17"/>
  <c r="BN442" i="17"/>
  <c r="BN440" i="17"/>
  <c r="BN436" i="17"/>
  <c r="BN433" i="17"/>
  <c r="BN431" i="17"/>
  <c r="BN429" i="17"/>
  <c r="BN427" i="17"/>
  <c r="BN425" i="17"/>
  <c r="BK458" i="17"/>
  <c r="BO457" i="17"/>
  <c r="BJ455" i="17"/>
  <c r="BQ452" i="17"/>
  <c r="BK450" i="17"/>
  <c r="BS447" i="17"/>
  <c r="BO445" i="17"/>
  <c r="BJ443" i="17"/>
  <c r="BQ440" i="17"/>
  <c r="BK436" i="17"/>
  <c r="BS432" i="17"/>
  <c r="BO430" i="17"/>
  <c r="BJ428" i="17"/>
  <c r="BQ425" i="17"/>
  <c r="BS459" i="17"/>
  <c r="BN457" i="17"/>
  <c r="BH455" i="17"/>
  <c r="BP452" i="17"/>
  <c r="BJ450" i="17"/>
  <c r="BR447" i="17"/>
  <c r="BN445" i="17"/>
  <c r="BH443" i="17"/>
  <c r="BP440" i="17"/>
  <c r="BJ436" i="17"/>
  <c r="BR432" i="17"/>
  <c r="BN430" i="17"/>
  <c r="BH428" i="17"/>
  <c r="BP425" i="17"/>
  <c r="BR459" i="17"/>
  <c r="BM457" i="17"/>
  <c r="BS454" i="17"/>
  <c r="BM452" i="17"/>
  <c r="BI450" i="17"/>
  <c r="BQ447" i="17"/>
  <c r="BM445" i="17"/>
  <c r="BS442" i="17"/>
  <c r="BM440" i="17"/>
  <c r="BI436" i="17"/>
  <c r="BQ432" i="17"/>
  <c r="BM430" i="17"/>
  <c r="BS427" i="17"/>
  <c r="BM425" i="17"/>
  <c r="BQ459" i="17"/>
  <c r="BL457" i="17"/>
  <c r="BR454" i="17"/>
  <c r="BL452" i="17"/>
  <c r="BH450" i="17"/>
  <c r="BP447" i="17"/>
  <c r="BL445" i="17"/>
  <c r="BR442" i="17"/>
  <c r="BL440" i="17"/>
  <c r="BH436" i="17"/>
  <c r="BP432" i="17"/>
  <c r="BL430" i="17"/>
  <c r="BR427" i="17"/>
  <c r="BL425" i="17"/>
  <c r="BP459" i="17"/>
  <c r="BJ457" i="17"/>
  <c r="BQ454" i="17"/>
  <c r="BK452" i="17"/>
  <c r="BS449" i="17"/>
  <c r="BO447" i="17"/>
  <c r="BJ445" i="17"/>
  <c r="BQ442" i="17"/>
  <c r="BK440" i="17"/>
  <c r="BS434" i="17"/>
  <c r="BO432" i="17"/>
  <c r="BJ430" i="17"/>
  <c r="BQ427" i="17"/>
  <c r="BK425" i="17"/>
  <c r="BO459" i="17"/>
  <c r="BH457" i="17"/>
  <c r="BP454" i="17"/>
  <c r="BJ452" i="17"/>
  <c r="BR449" i="17"/>
  <c r="BN447" i="17"/>
  <c r="BH445" i="17"/>
  <c r="BP442" i="17"/>
  <c r="BJ440" i="17"/>
  <c r="BR434" i="17"/>
  <c r="BN432" i="17"/>
  <c r="BH430" i="17"/>
  <c r="BP427" i="17"/>
  <c r="BJ425" i="17"/>
  <c r="BN459" i="17"/>
  <c r="BS456" i="17"/>
  <c r="BM454" i="17"/>
  <c r="BI452" i="17"/>
  <c r="BQ449" i="17"/>
  <c r="BM447" i="17"/>
  <c r="BS444" i="17"/>
  <c r="BM442" i="17"/>
  <c r="BI440" i="17"/>
  <c r="BQ434" i="17"/>
  <c r="BM432" i="17"/>
  <c r="BS429" i="17"/>
  <c r="BM427" i="17"/>
  <c r="BI425" i="17"/>
  <c r="BM459" i="17"/>
  <c r="BR456" i="17"/>
  <c r="BL454" i="17"/>
  <c r="BH452" i="17"/>
  <c r="BP449" i="17"/>
  <c r="BL447" i="17"/>
  <c r="BR444" i="17"/>
  <c r="BL442" i="17"/>
  <c r="BH440" i="17"/>
  <c r="BP434" i="17"/>
  <c r="BL432" i="17"/>
  <c r="BR429" i="17"/>
  <c r="BL427" i="17"/>
  <c r="BH425" i="17"/>
  <c r="BL459" i="17"/>
  <c r="BQ456" i="17"/>
  <c r="BK454" i="17"/>
  <c r="BS451" i="17"/>
  <c r="BO449" i="17"/>
  <c r="BJ447" i="17"/>
  <c r="BQ444" i="17"/>
  <c r="BK442" i="17"/>
  <c r="BS439" i="17"/>
  <c r="BO434" i="17"/>
  <c r="BJ432" i="17"/>
  <c r="BQ429" i="17"/>
  <c r="BK427" i="17"/>
  <c r="BS424" i="17"/>
  <c r="BJ459" i="17"/>
  <c r="BP456" i="17"/>
  <c r="BJ454" i="17"/>
  <c r="BR451" i="17"/>
  <c r="BN449" i="17"/>
  <c r="BH447" i="17"/>
  <c r="BP444" i="17"/>
  <c r="BJ442" i="17"/>
  <c r="BR439" i="17"/>
  <c r="BN434" i="17"/>
  <c r="BH432" i="17"/>
  <c r="BP429" i="17"/>
  <c r="BJ427" i="17"/>
  <c r="BR424" i="17"/>
  <c r="BH459" i="17"/>
  <c r="BM456" i="17"/>
  <c r="BI454" i="17"/>
  <c r="BQ451" i="17"/>
  <c r="BM449" i="17"/>
  <c r="BS446" i="17"/>
  <c r="BM444" i="17"/>
  <c r="BI442" i="17"/>
  <c r="BQ439" i="17"/>
  <c r="BM434" i="17"/>
  <c r="BS431" i="17"/>
  <c r="BM429" i="17"/>
  <c r="BI427" i="17"/>
  <c r="BQ424" i="17"/>
  <c r="BS458" i="17"/>
  <c r="BL456" i="17"/>
  <c r="BH454" i="17"/>
  <c r="BP451" i="17"/>
  <c r="BL449" i="17"/>
  <c r="BR446" i="17"/>
  <c r="BL444" i="17"/>
  <c r="BH442" i="17"/>
  <c r="BP439" i="17"/>
  <c r="BL434" i="17"/>
  <c r="BR431" i="17"/>
  <c r="BL429" i="17"/>
  <c r="BH427" i="17"/>
  <c r="BP424" i="17"/>
  <c r="BR458" i="17"/>
  <c r="BK456" i="17"/>
  <c r="BS453" i="17"/>
  <c r="BO451" i="17"/>
  <c r="BJ449" i="17"/>
  <c r="BQ446" i="17"/>
  <c r="BK444" i="17"/>
  <c r="BS441" i="17"/>
  <c r="BO439" i="17"/>
  <c r="BJ434" i="17"/>
  <c r="BQ431" i="17"/>
  <c r="BK429" i="17"/>
  <c r="BS426" i="17"/>
  <c r="BO424" i="17"/>
  <c r="BQ458" i="17"/>
  <c r="BJ456" i="17"/>
  <c r="BR453" i="17"/>
  <c r="BN451" i="17"/>
  <c r="BH449" i="17"/>
  <c r="BP446" i="17"/>
  <c r="BJ444" i="17"/>
  <c r="BR441" i="17"/>
  <c r="BN439" i="17"/>
  <c r="BH434" i="17"/>
  <c r="BP431" i="17"/>
  <c r="BJ429" i="17"/>
  <c r="BR426" i="17"/>
  <c r="BN424" i="17"/>
  <c r="BP458" i="17"/>
  <c r="BI456" i="17"/>
  <c r="BQ453" i="17"/>
  <c r="BM451" i="17"/>
  <c r="BS448" i="17"/>
  <c r="BM446" i="17"/>
  <c r="BI444" i="17"/>
  <c r="BQ441" i="17"/>
  <c r="BM439" i="17"/>
  <c r="BS433" i="17"/>
  <c r="BM431" i="17"/>
  <c r="BI429" i="17"/>
  <c r="BQ426" i="17"/>
  <c r="BM424" i="17"/>
  <c r="BM458" i="17"/>
  <c r="BH456" i="17"/>
  <c r="BP453" i="17"/>
  <c r="BL451" i="17"/>
  <c r="BR448" i="17"/>
  <c r="BL446" i="17"/>
  <c r="BH444" i="17"/>
  <c r="BP441" i="17"/>
  <c r="BL439" i="17"/>
  <c r="BR433" i="17"/>
  <c r="BL431" i="17"/>
  <c r="BH429" i="17"/>
  <c r="BP426" i="17"/>
  <c r="BL424" i="17"/>
  <c r="BL458" i="17"/>
  <c r="BS455" i="17"/>
  <c r="BO453" i="17"/>
  <c r="BJ451" i="17"/>
  <c r="BQ448" i="17"/>
  <c r="BK446" i="17"/>
  <c r="BS443" i="17"/>
  <c r="BO441" i="17"/>
  <c r="BJ439" i="17"/>
  <c r="BQ433" i="17"/>
  <c r="BK431" i="17"/>
  <c r="BS428" i="17"/>
  <c r="BO426" i="17"/>
  <c r="BJ424" i="17"/>
  <c r="BJ458" i="17"/>
  <c r="BR455" i="17"/>
  <c r="BN453" i="17"/>
  <c r="BH451" i="17"/>
  <c r="BP448" i="17"/>
  <c r="BJ446" i="17"/>
  <c r="BR443" i="17"/>
  <c r="BN441" i="17"/>
  <c r="BH439" i="17"/>
  <c r="BP433" i="17"/>
  <c r="BJ431" i="17"/>
  <c r="BR428" i="17"/>
  <c r="BN426" i="17"/>
  <c r="BH424" i="17"/>
  <c r="BI458" i="17"/>
  <c r="BQ455" i="17"/>
  <c r="BM453" i="17"/>
  <c r="BS450" i="17"/>
  <c r="BM448" i="17"/>
  <c r="BI446" i="17"/>
  <c r="BQ443" i="17"/>
  <c r="BM441" i="17"/>
  <c r="BS436" i="17"/>
  <c r="BM433" i="17"/>
  <c r="BI431" i="17"/>
  <c r="BQ428" i="17"/>
  <c r="BM426" i="17"/>
  <c r="BH458" i="17"/>
  <c r="BP455" i="17"/>
  <c r="BL453" i="17"/>
  <c r="BR450" i="17"/>
  <c r="BL448" i="17"/>
  <c r="BH446" i="17"/>
  <c r="BP443" i="17"/>
  <c r="BL441" i="17"/>
  <c r="BR436" i="17"/>
  <c r="BL433" i="17"/>
  <c r="BH431" i="17"/>
  <c r="BP428" i="17"/>
  <c r="BL426" i="17"/>
  <c r="BP457" i="17"/>
  <c r="BL455" i="17"/>
  <c r="BR452" i="17"/>
  <c r="BL450" i="17"/>
  <c r="BH448" i="17"/>
  <c r="BP445" i="17"/>
  <c r="BL443" i="17"/>
  <c r="BR440" i="17"/>
  <c r="BL436" i="17"/>
  <c r="BH433" i="17"/>
  <c r="BP430" i="17"/>
  <c r="BL428" i="17"/>
  <c r="BR425" i="17"/>
  <c r="BH441" i="17"/>
  <c r="AV458" i="17"/>
  <c r="AV456" i="17"/>
  <c r="AV454" i="17"/>
  <c r="AV452" i="17"/>
  <c r="AV450" i="17"/>
  <c r="AV448" i="17"/>
  <c r="AV446" i="17"/>
  <c r="AV444" i="17"/>
  <c r="AV442" i="17"/>
  <c r="AV440" i="17"/>
  <c r="AV436" i="17"/>
  <c r="AV433" i="17"/>
  <c r="AV431" i="17"/>
  <c r="AV429" i="17"/>
  <c r="AV427" i="17"/>
  <c r="AV425" i="17"/>
  <c r="BS440" i="17"/>
  <c r="AU458" i="17"/>
  <c r="AU456" i="17"/>
  <c r="AU454" i="17"/>
  <c r="AU452" i="17"/>
  <c r="AU450" i="17"/>
  <c r="AU448" i="17"/>
  <c r="AU446" i="17"/>
  <c r="AU444" i="17"/>
  <c r="AU442" i="17"/>
  <c r="AU440" i="17"/>
  <c r="AU436" i="17"/>
  <c r="AU433" i="17"/>
  <c r="AU431" i="17"/>
  <c r="AU429" i="17"/>
  <c r="AU427" i="17"/>
  <c r="BS457" i="17"/>
  <c r="BQ436" i="17"/>
  <c r="BR457" i="17"/>
  <c r="BP436" i="17"/>
  <c r="BQ457" i="17"/>
  <c r="BM436" i="17"/>
  <c r="BO455" i="17"/>
  <c r="BK433" i="17"/>
  <c r="BN455" i="17"/>
  <c r="BJ433" i="17"/>
  <c r="BM455" i="17"/>
  <c r="BI433" i="17"/>
  <c r="BJ453" i="17"/>
  <c r="BS430" i="17"/>
  <c r="BH453" i="17"/>
  <c r="BR430" i="17"/>
  <c r="BS452" i="17"/>
  <c r="BQ430" i="17"/>
  <c r="AX459" i="17"/>
  <c r="AX457" i="17"/>
  <c r="BQ450" i="17"/>
  <c r="BO428" i="17"/>
  <c r="BP450" i="17"/>
  <c r="BN428" i="17"/>
  <c r="AV459" i="17"/>
  <c r="AV457" i="17"/>
  <c r="AV455" i="17"/>
  <c r="AV453" i="17"/>
  <c r="AV451" i="17"/>
  <c r="AV449" i="17"/>
  <c r="AV447" i="17"/>
  <c r="AV445" i="17"/>
  <c r="AV443" i="17"/>
  <c r="AV441" i="17"/>
  <c r="BM450" i="17"/>
  <c r="BM428" i="17"/>
  <c r="BK448" i="17"/>
  <c r="BJ426" i="17"/>
  <c r="BJ448" i="17"/>
  <c r="BH426" i="17"/>
  <c r="BI448" i="17"/>
  <c r="BS425" i="17"/>
  <c r="BS445" i="17"/>
  <c r="BR445" i="17"/>
  <c r="BQ445" i="17"/>
  <c r="BO443" i="17"/>
  <c r="BN443" i="17"/>
  <c r="BJ441" i="17"/>
  <c r="BE458" i="17"/>
  <c r="BA456" i="17"/>
  <c r="AX454" i="17"/>
  <c r="BE451" i="17"/>
  <c r="BB449" i="17"/>
  <c r="AY447" i="17"/>
  <c r="AU445" i="17"/>
  <c r="BD442" i="17"/>
  <c r="BA440" i="17"/>
  <c r="AY436" i="17"/>
  <c r="AW433" i="17"/>
  <c r="BE430" i="17"/>
  <c r="BC428" i="17"/>
  <c r="BA426" i="17"/>
  <c r="AZ424" i="17"/>
  <c r="BD458" i="17"/>
  <c r="AZ456" i="17"/>
  <c r="AW454" i="17"/>
  <c r="BD451" i="17"/>
  <c r="BA449" i="17"/>
  <c r="AX447" i="17"/>
  <c r="AT445" i="17"/>
  <c r="BC442" i="17"/>
  <c r="AZ440" i="17"/>
  <c r="AX436" i="17"/>
  <c r="AT433" i="17"/>
  <c r="BD430" i="17"/>
  <c r="BB428" i="17"/>
  <c r="AZ426" i="17"/>
  <c r="AY424" i="17"/>
  <c r="BM443" i="17"/>
  <c r="BC458" i="17"/>
  <c r="AY456" i="17"/>
  <c r="AT454" i="17"/>
  <c r="BC451" i="17"/>
  <c r="AZ449" i="17"/>
  <c r="AW447" i="17"/>
  <c r="BE444" i="17"/>
  <c r="BB442" i="17"/>
  <c r="AY440" i="17"/>
  <c r="AW436" i="17"/>
  <c r="BE432" i="17"/>
  <c r="BC430" i="17"/>
  <c r="BA428" i="17"/>
  <c r="AY426" i="17"/>
  <c r="AX424" i="17"/>
  <c r="BB458" i="17"/>
  <c r="AX456" i="17"/>
  <c r="BE453" i="17"/>
  <c r="BB451" i="17"/>
  <c r="AY449" i="17"/>
  <c r="AU447" i="17"/>
  <c r="BD444" i="17"/>
  <c r="BA442" i="17"/>
  <c r="AX440" i="17"/>
  <c r="AT436" i="17"/>
  <c r="BD432" i="17"/>
  <c r="BB430" i="17"/>
  <c r="AZ428" i="17"/>
  <c r="AX426" i="17"/>
  <c r="AW424" i="17"/>
  <c r="BA458" i="17"/>
  <c r="AW456" i="17"/>
  <c r="BD453" i="17"/>
  <c r="BA451" i="17"/>
  <c r="AX449" i="17"/>
  <c r="AT447" i="17"/>
  <c r="BC444" i="17"/>
  <c r="AZ442" i="17"/>
  <c r="AW440" i="17"/>
  <c r="BE434" i="17"/>
  <c r="BC432" i="17"/>
  <c r="BA430" i="17"/>
  <c r="AY428" i="17"/>
  <c r="AW426" i="17"/>
  <c r="AV424" i="17"/>
  <c r="AZ458" i="17"/>
  <c r="AT456" i="17"/>
  <c r="BC453" i="17"/>
  <c r="AZ451" i="17"/>
  <c r="AW449" i="17"/>
  <c r="BE446" i="17"/>
  <c r="BB444" i="17"/>
  <c r="AY442" i="17"/>
  <c r="AT440" i="17"/>
  <c r="BD434" i="17"/>
  <c r="BB432" i="17"/>
  <c r="AZ430" i="17"/>
  <c r="AX428" i="17"/>
  <c r="AV426" i="17"/>
  <c r="AU424" i="17"/>
  <c r="AY458" i="17"/>
  <c r="BE455" i="17"/>
  <c r="BB453" i="17"/>
  <c r="AY451" i="17"/>
  <c r="AU449" i="17"/>
  <c r="BD446" i="17"/>
  <c r="BA444" i="17"/>
  <c r="AX442" i="17"/>
  <c r="BE439" i="17"/>
  <c r="BC434" i="17"/>
  <c r="BA432" i="17"/>
  <c r="AY430" i="17"/>
  <c r="AW428" i="17"/>
  <c r="AU426" i="17"/>
  <c r="AT424" i="17"/>
  <c r="AX458" i="17"/>
  <c r="BD455" i="17"/>
  <c r="BA453" i="17"/>
  <c r="AX451" i="17"/>
  <c r="AT449" i="17"/>
  <c r="BC446" i="17"/>
  <c r="AZ444" i="17"/>
  <c r="AW442" i="17"/>
  <c r="BD439" i="17"/>
  <c r="BB434" i="17"/>
  <c r="AZ432" i="17"/>
  <c r="AX430" i="17"/>
  <c r="AV428" i="17"/>
  <c r="AT426" i="17"/>
  <c r="AW458" i="17"/>
  <c r="BC455" i="17"/>
  <c r="AZ453" i="17"/>
  <c r="AW451" i="17"/>
  <c r="BE448" i="17"/>
  <c r="BB446" i="17"/>
  <c r="AY444" i="17"/>
  <c r="AT442" i="17"/>
  <c r="BC439" i="17"/>
  <c r="BA434" i="17"/>
  <c r="AY432" i="17"/>
  <c r="AW430" i="17"/>
  <c r="AU428" i="17"/>
  <c r="BE425" i="17"/>
  <c r="AT458" i="17"/>
  <c r="BB455" i="17"/>
  <c r="AY453" i="17"/>
  <c r="AU451" i="17"/>
  <c r="BD448" i="17"/>
  <c r="BA446" i="17"/>
  <c r="AX444" i="17"/>
  <c r="BE441" i="17"/>
  <c r="BB439" i="17"/>
  <c r="AZ434" i="17"/>
  <c r="AX432" i="17"/>
  <c r="AV430" i="17"/>
  <c r="AT428" i="17"/>
  <c r="BD425" i="17"/>
  <c r="BE457" i="17"/>
  <c r="BA455" i="17"/>
  <c r="AX453" i="17"/>
  <c r="AT451" i="17"/>
  <c r="BC448" i="17"/>
  <c r="AZ446" i="17"/>
  <c r="AW444" i="17"/>
  <c r="BD441" i="17"/>
  <c r="BA439" i="17"/>
  <c r="AY434" i="17"/>
  <c r="AW432" i="17"/>
  <c r="AU430" i="17"/>
  <c r="BE427" i="17"/>
  <c r="BC425" i="17"/>
  <c r="BD457" i="17"/>
  <c r="AZ455" i="17"/>
  <c r="AW453" i="17"/>
  <c r="BE450" i="17"/>
  <c r="BB448" i="17"/>
  <c r="AY446" i="17"/>
  <c r="AT444" i="17"/>
  <c r="BC441" i="17"/>
  <c r="AZ439" i="17"/>
  <c r="AX434" i="17"/>
  <c r="AV432" i="17"/>
  <c r="AT430" i="17"/>
  <c r="BD427" i="17"/>
  <c r="BB425" i="17"/>
  <c r="BC457" i="17"/>
  <c r="AY455" i="17"/>
  <c r="AU453" i="17"/>
  <c r="BD450" i="17"/>
  <c r="BA448" i="17"/>
  <c r="AX446" i="17"/>
  <c r="BE443" i="17"/>
  <c r="BB441" i="17"/>
  <c r="AY439" i="17"/>
  <c r="AW434" i="17"/>
  <c r="AU432" i="17"/>
  <c r="BE429" i="17"/>
  <c r="BC427" i="17"/>
  <c r="BA425" i="17"/>
  <c r="BB457" i="17"/>
  <c r="AX455" i="17"/>
  <c r="AT453" i="17"/>
  <c r="BC450" i="17"/>
  <c r="AZ448" i="17"/>
  <c r="AW446" i="17"/>
  <c r="BD443" i="17"/>
  <c r="BA441" i="17"/>
  <c r="AX439" i="17"/>
  <c r="AV434" i="17"/>
  <c r="AT432" i="17"/>
  <c r="BD429" i="17"/>
  <c r="BB427" i="17"/>
  <c r="AZ425" i="17"/>
  <c r="BE459" i="17"/>
  <c r="BA457" i="17"/>
  <c r="AW455" i="17"/>
  <c r="BE452" i="17"/>
  <c r="BB450" i="17"/>
  <c r="AY448" i="17"/>
  <c r="AT446" i="17"/>
  <c r="BC443" i="17"/>
  <c r="AZ441" i="17"/>
  <c r="AW439" i="17"/>
  <c r="AU434" i="17"/>
  <c r="BE431" i="17"/>
  <c r="BC429" i="17"/>
  <c r="BA427" i="17"/>
  <c r="AY425" i="17"/>
  <c r="BC459" i="17"/>
  <c r="AY457" i="17"/>
  <c r="AT455" i="17"/>
  <c r="BC452" i="17"/>
  <c r="AZ450" i="17"/>
  <c r="AW448" i="17"/>
  <c r="BD445" i="17"/>
  <c r="BA443" i="17"/>
  <c r="AX441" i="17"/>
  <c r="AU439" i="17"/>
  <c r="BE433" i="17"/>
  <c r="BC431" i="17"/>
  <c r="BA429" i="17"/>
  <c r="AY427" i="17"/>
  <c r="AW425" i="17"/>
  <c r="BB459" i="17"/>
  <c r="AW457" i="17"/>
  <c r="BE454" i="17"/>
  <c r="BB452" i="17"/>
  <c r="AY450" i="17"/>
  <c r="AT448" i="17"/>
  <c r="BC445" i="17"/>
  <c r="AZ443" i="17"/>
  <c r="AW441" i="17"/>
  <c r="AT439" i="17"/>
  <c r="BD433" i="17"/>
  <c r="BB431" i="17"/>
  <c r="AZ429" i="17"/>
  <c r="AX427" i="17"/>
  <c r="AU425" i="17"/>
  <c r="BA459" i="17"/>
  <c r="AU457" i="17"/>
  <c r="BD454" i="17"/>
  <c r="BA452" i="17"/>
  <c r="AX450" i="17"/>
  <c r="BE447" i="17"/>
  <c r="BB445" i="17"/>
  <c r="AY443" i="17"/>
  <c r="AU441" i="17"/>
  <c r="BE436" i="17"/>
  <c r="BC433" i="17"/>
  <c r="BA431" i="17"/>
  <c r="AY429" i="17"/>
  <c r="AW427" i="17"/>
  <c r="AT425" i="17"/>
  <c r="AZ459" i="17"/>
  <c r="AT457" i="17"/>
  <c r="BC454" i="17"/>
  <c r="AZ452" i="17"/>
  <c r="AW450" i="17"/>
  <c r="BD447" i="17"/>
  <c r="BA445" i="17"/>
  <c r="AX443" i="17"/>
  <c r="AT441" i="17"/>
  <c r="BD436" i="17"/>
  <c r="BB433" i="17"/>
  <c r="AZ431" i="17"/>
  <c r="AX429" i="17"/>
  <c r="AT427" i="17"/>
  <c r="BE424" i="17"/>
  <c r="AY459" i="17"/>
  <c r="BE456" i="17"/>
  <c r="BB454" i="17"/>
  <c r="AY452" i="17"/>
  <c r="AT450" i="17"/>
  <c r="BC447" i="17"/>
  <c r="AZ445" i="17"/>
  <c r="AW443" i="17"/>
  <c r="BE440" i="17"/>
  <c r="BC436" i="17"/>
  <c r="BA433" i="17"/>
  <c r="AY431" i="17"/>
  <c r="AW429" i="17"/>
  <c r="BE426" i="17"/>
  <c r="BD424" i="17"/>
  <c r="AU459" i="17"/>
  <c r="BC456" i="17"/>
  <c r="AZ454" i="17"/>
  <c r="AW452" i="17"/>
  <c r="BD449" i="17"/>
  <c r="BA447" i="17"/>
  <c r="AX445" i="17"/>
  <c r="AT443" i="17"/>
  <c r="BC440" i="17"/>
  <c r="BA436" i="17"/>
  <c r="AY433" i="17"/>
  <c r="AW431" i="17"/>
  <c r="BE428" i="17"/>
  <c r="BC426" i="17"/>
  <c r="BB424" i="17"/>
  <c r="AZ457" i="17"/>
  <c r="AV439" i="17"/>
  <c r="AB458" i="17"/>
  <c r="AB456" i="17"/>
  <c r="AB454" i="17"/>
  <c r="BD456" i="17"/>
  <c r="BB436" i="17"/>
  <c r="AA458" i="17"/>
  <c r="AA456" i="17"/>
  <c r="AA454" i="17"/>
  <c r="AA452" i="17"/>
  <c r="BB456" i="17"/>
  <c r="AZ436" i="17"/>
  <c r="AU455" i="17"/>
  <c r="AT434" i="17"/>
  <c r="BA454" i="17"/>
  <c r="AZ433" i="17"/>
  <c r="AY454" i="17"/>
  <c r="AX433" i="17"/>
  <c r="BD452" i="17"/>
  <c r="BD431" i="17"/>
  <c r="AX452" i="17"/>
  <c r="AX431" i="17"/>
  <c r="AT452" i="17"/>
  <c r="AT431" i="17"/>
  <c r="BA450" i="17"/>
  <c r="BB429" i="17"/>
  <c r="BE449" i="17"/>
  <c r="AT429" i="17"/>
  <c r="R458" i="17"/>
  <c r="BC449" i="17"/>
  <c r="BD428" i="17"/>
  <c r="AX448" i="17"/>
  <c r="AZ427" i="17"/>
  <c r="BB447" i="17"/>
  <c r="BD426" i="17"/>
  <c r="AZ447" i="17"/>
  <c r="BB426" i="17"/>
  <c r="BE445" i="17"/>
  <c r="AX425" i="17"/>
  <c r="AY445" i="17"/>
  <c r="BC424" i="17"/>
  <c r="AW445" i="17"/>
  <c r="BA424" i="17"/>
  <c r="BB443" i="17"/>
  <c r="AU443" i="17"/>
  <c r="BE442" i="17"/>
  <c r="AT459" i="17"/>
  <c r="BB440" i="17"/>
  <c r="AC459" i="17"/>
  <c r="Z457" i="17"/>
  <c r="X455" i="17"/>
  <c r="V453" i="17"/>
  <c r="U451" i="17"/>
  <c r="U449" i="17"/>
  <c r="U447" i="17"/>
  <c r="U445" i="17"/>
  <c r="U443" i="17"/>
  <c r="U441" i="17"/>
  <c r="U439" i="17"/>
  <c r="U434" i="17"/>
  <c r="U432" i="17"/>
  <c r="U430" i="17"/>
  <c r="U428" i="17"/>
  <c r="U426" i="17"/>
  <c r="U424" i="17"/>
  <c r="AB459" i="17"/>
  <c r="Y457" i="17"/>
  <c r="W455" i="17"/>
  <c r="U453" i="17"/>
  <c r="T451" i="17"/>
  <c r="T449" i="17"/>
  <c r="T447" i="17"/>
  <c r="T445" i="17"/>
  <c r="T443" i="17"/>
  <c r="T441" i="17"/>
  <c r="T439" i="17"/>
  <c r="T434" i="17"/>
  <c r="T432" i="17"/>
  <c r="T430" i="17"/>
  <c r="T428" i="17"/>
  <c r="T426" i="17"/>
  <c r="T424" i="17"/>
  <c r="AA459" i="17"/>
  <c r="X457" i="17"/>
  <c r="V455" i="17"/>
  <c r="T453" i="17"/>
  <c r="S451" i="17"/>
  <c r="S449" i="17"/>
  <c r="S447" i="17"/>
  <c r="S445" i="17"/>
  <c r="S443" i="17"/>
  <c r="S441" i="17"/>
  <c r="S439" i="17"/>
  <c r="S434" i="17"/>
  <c r="S432" i="17"/>
  <c r="S430" i="17"/>
  <c r="S428" i="17"/>
  <c r="S426" i="17"/>
  <c r="S424" i="17"/>
  <c r="Z459" i="17"/>
  <c r="W457" i="17"/>
  <c r="U455" i="17"/>
  <c r="S453" i="17"/>
  <c r="R451" i="17"/>
  <c r="R449" i="17"/>
  <c r="R447" i="17"/>
  <c r="R445" i="17"/>
  <c r="R443" i="17"/>
  <c r="R441" i="17"/>
  <c r="R439" i="17"/>
  <c r="R434" i="17"/>
  <c r="R432" i="17"/>
  <c r="R430" i="17"/>
  <c r="R428" i="17"/>
  <c r="R426" i="17"/>
  <c r="R424" i="17"/>
  <c r="Y459" i="17"/>
  <c r="V457" i="17"/>
  <c r="T455" i="17"/>
  <c r="R453" i="17"/>
  <c r="AC450" i="17"/>
  <c r="AC448" i="17"/>
  <c r="AC446" i="17"/>
  <c r="AC444" i="17"/>
  <c r="AC442" i="17"/>
  <c r="AC440" i="17"/>
  <c r="AC436" i="17"/>
  <c r="AC433" i="17"/>
  <c r="AC431" i="17"/>
  <c r="AC429" i="17"/>
  <c r="AC427" i="17"/>
  <c r="AC425" i="17"/>
  <c r="BD459" i="17"/>
  <c r="X459" i="17"/>
  <c r="U457" i="17"/>
  <c r="S455" i="17"/>
  <c r="AC452" i="17"/>
  <c r="AB450" i="17"/>
  <c r="AB448" i="17"/>
  <c r="AB446" i="17"/>
  <c r="AB444" i="17"/>
  <c r="AB442" i="17"/>
  <c r="AB440" i="17"/>
  <c r="AB436" i="17"/>
  <c r="AB433" i="17"/>
  <c r="AB431" i="17"/>
  <c r="AB429" i="17"/>
  <c r="AB427" i="17"/>
  <c r="AB425" i="17"/>
  <c r="AW459" i="17"/>
  <c r="W459" i="17"/>
  <c r="T457" i="17"/>
  <c r="R455" i="17"/>
  <c r="AB452" i="17"/>
  <c r="AA450" i="17"/>
  <c r="AA448" i="17"/>
  <c r="AA446" i="17"/>
  <c r="AA444" i="17"/>
  <c r="AA442" i="17"/>
  <c r="AA440" i="17"/>
  <c r="AA436" i="17"/>
  <c r="AA433" i="17"/>
  <c r="AA431" i="17"/>
  <c r="AA429" i="17"/>
  <c r="AA427" i="17"/>
  <c r="AA425" i="17"/>
  <c r="AY441" i="17"/>
  <c r="V459" i="17"/>
  <c r="S457" i="17"/>
  <c r="AC454" i="17"/>
  <c r="Z452" i="17"/>
  <c r="Z450" i="17"/>
  <c r="Z448" i="17"/>
  <c r="Z446" i="17"/>
  <c r="Z444" i="17"/>
  <c r="Z442" i="17"/>
  <c r="Z440" i="17"/>
  <c r="Z436" i="17"/>
  <c r="Z433" i="17"/>
  <c r="Z431" i="17"/>
  <c r="Z429" i="17"/>
  <c r="Z427" i="17"/>
  <c r="Z425" i="17"/>
  <c r="BD440" i="17"/>
  <c r="U459" i="17"/>
  <c r="R457" i="17"/>
  <c r="Z454" i="17"/>
  <c r="Y452" i="17"/>
  <c r="Y450" i="17"/>
  <c r="Y448" i="17"/>
  <c r="Y446" i="17"/>
  <c r="Y444" i="17"/>
  <c r="Y442" i="17"/>
  <c r="Y440" i="17"/>
  <c r="Y436" i="17"/>
  <c r="Y433" i="17"/>
  <c r="Y431" i="17"/>
  <c r="Y429" i="17"/>
  <c r="Y427" i="17"/>
  <c r="Y425" i="17"/>
  <c r="T459" i="17"/>
  <c r="AC456" i="17"/>
  <c r="Y454" i="17"/>
  <c r="X452" i="17"/>
  <c r="X450" i="17"/>
  <c r="X448" i="17"/>
  <c r="X446" i="17"/>
  <c r="X444" i="17"/>
  <c r="X442" i="17"/>
  <c r="X440" i="17"/>
  <c r="X436" i="17"/>
  <c r="X433" i="17"/>
  <c r="X431" i="17"/>
  <c r="X429" i="17"/>
  <c r="X427" i="17"/>
  <c r="X425" i="17"/>
  <c r="S459" i="17"/>
  <c r="Z456" i="17"/>
  <c r="X454" i="17"/>
  <c r="W452" i="17"/>
  <c r="W450" i="17"/>
  <c r="W448" i="17"/>
  <c r="W446" i="17"/>
  <c r="W444" i="17"/>
  <c r="W442" i="17"/>
  <c r="W440" i="17"/>
  <c r="W436" i="17"/>
  <c r="W433" i="17"/>
  <c r="W431" i="17"/>
  <c r="W429" i="17"/>
  <c r="W427" i="17"/>
  <c r="W425" i="17"/>
  <c r="R459" i="17"/>
  <c r="Y456" i="17"/>
  <c r="W454" i="17"/>
  <c r="V452" i="17"/>
  <c r="V450" i="17"/>
  <c r="V448" i="17"/>
  <c r="V446" i="17"/>
  <c r="V444" i="17"/>
  <c r="V442" i="17"/>
  <c r="V440" i="17"/>
  <c r="V436" i="17"/>
  <c r="V433" i="17"/>
  <c r="V431" i="17"/>
  <c r="V429" i="17"/>
  <c r="V427" i="17"/>
  <c r="V425" i="17"/>
  <c r="AC458" i="17"/>
  <c r="X456" i="17"/>
  <c r="V454" i="17"/>
  <c r="U452" i="17"/>
  <c r="U450" i="17"/>
  <c r="U448" i="17"/>
  <c r="U446" i="17"/>
  <c r="U444" i="17"/>
  <c r="U442" i="17"/>
  <c r="U440" i="17"/>
  <c r="U436" i="17"/>
  <c r="U433" i="17"/>
  <c r="U431" i="17"/>
  <c r="U429" i="17"/>
  <c r="U427" i="17"/>
  <c r="U425" i="17"/>
  <c r="Z458" i="17"/>
  <c r="W456" i="17"/>
  <c r="U454" i="17"/>
  <c r="T452" i="17"/>
  <c r="T450" i="17"/>
  <c r="T448" i="17"/>
  <c r="T446" i="17"/>
  <c r="T444" i="17"/>
  <c r="T442" i="17"/>
  <c r="T440" i="17"/>
  <c r="T436" i="17"/>
  <c r="T433" i="17"/>
  <c r="T431" i="17"/>
  <c r="T429" i="17"/>
  <c r="T427" i="17"/>
  <c r="T425" i="17"/>
  <c r="Y458" i="17"/>
  <c r="V456" i="17"/>
  <c r="T454" i="17"/>
  <c r="S452" i="17"/>
  <c r="S450" i="17"/>
  <c r="S448" i="17"/>
  <c r="S446" i="17"/>
  <c r="S444" i="17"/>
  <c r="S442" i="17"/>
  <c r="S440" i="17"/>
  <c r="S436" i="17"/>
  <c r="S433" i="17"/>
  <c r="S431" i="17"/>
  <c r="S429" i="17"/>
  <c r="S427" i="17"/>
  <c r="S425" i="17"/>
  <c r="X458" i="17"/>
  <c r="U456" i="17"/>
  <c r="S454" i="17"/>
  <c r="R452" i="17"/>
  <c r="R450" i="17"/>
  <c r="R448" i="17"/>
  <c r="R446" i="17"/>
  <c r="R444" i="17"/>
  <c r="R442" i="17"/>
  <c r="R440" i="17"/>
  <c r="R436" i="17"/>
  <c r="R433" i="17"/>
  <c r="R431" i="17"/>
  <c r="R429" i="17"/>
  <c r="R427" i="17"/>
  <c r="R425" i="17"/>
  <c r="V458" i="17"/>
  <c r="S456" i="17"/>
  <c r="AC453" i="17"/>
  <c r="AB451" i="17"/>
  <c r="AB449" i="17"/>
  <c r="AB447" i="17"/>
  <c r="AB445" i="17"/>
  <c r="AB443" i="17"/>
  <c r="AB441" i="17"/>
  <c r="AB439" i="17"/>
  <c r="AB434" i="17"/>
  <c r="AB432" i="17"/>
  <c r="AB430" i="17"/>
  <c r="AB428" i="17"/>
  <c r="AB426" i="17"/>
  <c r="AB424" i="17"/>
  <c r="U458" i="17"/>
  <c r="R456" i="17"/>
  <c r="AB453" i="17"/>
  <c r="AA451" i="17"/>
  <c r="AA449" i="17"/>
  <c r="AA447" i="17"/>
  <c r="AA445" i="17"/>
  <c r="AA443" i="17"/>
  <c r="AA441" i="17"/>
  <c r="AA439" i="17"/>
  <c r="AA434" i="17"/>
  <c r="AA432" i="17"/>
  <c r="AA430" i="17"/>
  <c r="AA428" i="17"/>
  <c r="AA426" i="17"/>
  <c r="AA424" i="17"/>
  <c r="T458" i="17"/>
  <c r="AC455" i="17"/>
  <c r="AA453" i="17"/>
  <c r="Z451" i="17"/>
  <c r="Z449" i="17"/>
  <c r="Z447" i="17"/>
  <c r="Z445" i="17"/>
  <c r="Z443" i="17"/>
  <c r="Z441" i="17"/>
  <c r="Z439" i="17"/>
  <c r="Z434" i="17"/>
  <c r="Z432" i="17"/>
  <c r="Z430" i="17"/>
  <c r="Z428" i="17"/>
  <c r="Z426" i="17"/>
  <c r="Z424" i="17"/>
  <c r="S458" i="17"/>
  <c r="AB455" i="17"/>
  <c r="Z453" i="17"/>
  <c r="Y451" i="17"/>
  <c r="Y449" i="17"/>
  <c r="Y447" i="17"/>
  <c r="Y445" i="17"/>
  <c r="Y443" i="17"/>
  <c r="Y441" i="17"/>
  <c r="Y439" i="17"/>
  <c r="Y434" i="17"/>
  <c r="Y432" i="17"/>
  <c r="Y430" i="17"/>
  <c r="Y428" i="17"/>
  <c r="Y426" i="17"/>
  <c r="Y424" i="17"/>
  <c r="AA457" i="17"/>
  <c r="Y455" i="17"/>
  <c r="W453" i="17"/>
  <c r="V451" i="17"/>
  <c r="V449" i="17"/>
  <c r="V447" i="17"/>
  <c r="V445" i="17"/>
  <c r="V443" i="17"/>
  <c r="V441" i="17"/>
  <c r="V439" i="17"/>
  <c r="V434" i="17"/>
  <c r="V432" i="17"/>
  <c r="V430" i="17"/>
  <c r="V428" i="17"/>
  <c r="V426" i="17"/>
  <c r="V424" i="17"/>
  <c r="X447" i="17"/>
  <c r="X428" i="17"/>
  <c r="W447" i="17"/>
  <c r="W428" i="17"/>
  <c r="AC445" i="17"/>
  <c r="AC426" i="17"/>
  <c r="X445" i="17"/>
  <c r="X426" i="17"/>
  <c r="W445" i="17"/>
  <c r="W426" i="17"/>
  <c r="AC443" i="17"/>
  <c r="AC424" i="17"/>
  <c r="X443" i="17"/>
  <c r="X424" i="17"/>
  <c r="W443" i="17"/>
  <c r="W424" i="17"/>
  <c r="W458" i="17"/>
  <c r="AC441" i="17"/>
  <c r="AC457" i="17"/>
  <c r="X441" i="17"/>
  <c r="AB457" i="17"/>
  <c r="W441" i="17"/>
  <c r="T456" i="17"/>
  <c r="AC439" i="17"/>
  <c r="AA455" i="17"/>
  <c r="X439" i="17"/>
  <c r="Z455" i="17"/>
  <c r="W439" i="17"/>
  <c r="R454" i="17"/>
  <c r="AC434" i="17"/>
  <c r="Y453" i="17"/>
  <c r="X434" i="17"/>
  <c r="X453" i="17"/>
  <c r="W434" i="17"/>
  <c r="AC451" i="17"/>
  <c r="AC432" i="17"/>
  <c r="X451" i="17"/>
  <c r="X432" i="17"/>
  <c r="W451" i="17"/>
  <c r="W432" i="17"/>
  <c r="AC449" i="17"/>
  <c r="AC430" i="17"/>
  <c r="AC447" i="17"/>
  <c r="AC428" i="17"/>
  <c r="R14" i="17"/>
  <c r="S8" i="17"/>
  <c r="S38" i="17"/>
  <c r="T33" i="17"/>
  <c r="U27" i="17"/>
  <c r="V21" i="17"/>
  <c r="W12" i="17"/>
  <c r="X6" i="17"/>
  <c r="X37" i="17"/>
  <c r="Y31" i="17"/>
  <c r="Z27" i="17"/>
  <c r="AA21" i="17"/>
  <c r="AB12" i="17"/>
  <c r="AC6" i="17"/>
  <c r="AC36" i="17"/>
  <c r="AA83" i="17"/>
  <c r="R86" i="17"/>
  <c r="W88" i="17"/>
  <c r="AA90" i="17"/>
  <c r="S94" i="17"/>
  <c r="W98" i="17"/>
  <c r="AC100" i="17"/>
  <c r="W103" i="17"/>
  <c r="AA105" i="17"/>
  <c r="S108" i="17"/>
  <c r="Z110" i="17"/>
  <c r="S113" i="17"/>
  <c r="Z115" i="17"/>
  <c r="S120" i="17"/>
  <c r="AB122" i="17"/>
  <c r="Z125" i="17"/>
  <c r="W128" i="17"/>
  <c r="X132" i="17"/>
  <c r="W137" i="17"/>
  <c r="AB140" i="17"/>
  <c r="AA144" i="17"/>
  <c r="AC148" i="17"/>
  <c r="AC154" i="17"/>
  <c r="AA167" i="17"/>
  <c r="Y191" i="17"/>
  <c r="Y220" i="17"/>
  <c r="AC277" i="17"/>
  <c r="AA311" i="17"/>
  <c r="W350" i="17"/>
  <c r="AU136" i="17"/>
  <c r="CU247" i="17"/>
  <c r="BS247" i="17"/>
  <c r="AQ247" i="17"/>
  <c r="CU245" i="17"/>
  <c r="BS245" i="17"/>
  <c r="AQ245" i="17"/>
  <c r="CT247" i="17"/>
  <c r="BR247" i="17"/>
  <c r="AP247" i="17"/>
  <c r="CT245" i="17"/>
  <c r="BR245" i="17"/>
  <c r="AP245" i="17"/>
  <c r="CS247" i="17"/>
  <c r="BQ247" i="17"/>
  <c r="AO247" i="17"/>
  <c r="CS245" i="17"/>
  <c r="BQ245" i="17"/>
  <c r="AO245" i="17"/>
  <c r="CR247" i="17"/>
  <c r="BP247" i="17"/>
  <c r="AN247" i="17"/>
  <c r="CR245" i="17"/>
  <c r="BP245" i="17"/>
  <c r="AN245" i="17"/>
  <c r="CQ247" i="17"/>
  <c r="BO247" i="17"/>
  <c r="AM247" i="17"/>
  <c r="CQ245" i="17"/>
  <c r="BO245" i="17"/>
  <c r="AM245" i="17"/>
  <c r="CP247" i="17"/>
  <c r="BN247" i="17"/>
  <c r="AL247" i="17"/>
  <c r="CP245" i="17"/>
  <c r="BN245" i="17"/>
  <c r="AL245" i="17"/>
  <c r="CO247" i="17"/>
  <c r="BM247" i="17"/>
  <c r="AK247" i="17"/>
  <c r="CO245" i="17"/>
  <c r="BM245" i="17"/>
  <c r="AK245" i="17"/>
  <c r="CN247" i="17"/>
  <c r="BL247" i="17"/>
  <c r="AJ247" i="17"/>
  <c r="CN245" i="17"/>
  <c r="BL245" i="17"/>
  <c r="AJ245" i="17"/>
  <c r="CM247" i="17"/>
  <c r="BK247" i="17"/>
  <c r="AI247" i="17"/>
  <c r="CL247" i="17"/>
  <c r="BJ247" i="17"/>
  <c r="AH247" i="17"/>
  <c r="CK247" i="17"/>
  <c r="BI247" i="17"/>
  <c r="AG247" i="17"/>
  <c r="CJ247" i="17"/>
  <c r="BH247" i="17"/>
  <c r="AF247" i="17"/>
  <c r="CJ245" i="17"/>
  <c r="BH245" i="17"/>
  <c r="AF245" i="17"/>
  <c r="CG247" i="17"/>
  <c r="BE247" i="17"/>
  <c r="AC247" i="17"/>
  <c r="CG245" i="17"/>
  <c r="BE245" i="17"/>
  <c r="AC245" i="17"/>
  <c r="CF247" i="17"/>
  <c r="BD247" i="17"/>
  <c r="AB247" i="17"/>
  <c r="CF245" i="17"/>
  <c r="BD245" i="17"/>
  <c r="AB245" i="17"/>
  <c r="CE247" i="17"/>
  <c r="BC247" i="17"/>
  <c r="AA247" i="17"/>
  <c r="CE245" i="17"/>
  <c r="BC245" i="17"/>
  <c r="AA245" i="17"/>
  <c r="CD247" i="17"/>
  <c r="BB247" i="17"/>
  <c r="Z247" i="17"/>
  <c r="CD245" i="17"/>
  <c r="BB245" i="17"/>
  <c r="Z245" i="17"/>
  <c r="CC247" i="17"/>
  <c r="BA247" i="17"/>
  <c r="Y247" i="17"/>
  <c r="CC245" i="17"/>
  <c r="BA245" i="17"/>
  <c r="Y245" i="17"/>
  <c r="CB247" i="17"/>
  <c r="AZ247" i="17"/>
  <c r="X247" i="17"/>
  <c r="CB245" i="17"/>
  <c r="AZ245" i="17"/>
  <c r="X245" i="17"/>
  <c r="CA247" i="17"/>
  <c r="AY247" i="17"/>
  <c r="W247" i="17"/>
  <c r="BZ247" i="17"/>
  <c r="AX247" i="17"/>
  <c r="V247" i="17"/>
  <c r="BY247" i="17"/>
  <c r="AW247" i="17"/>
  <c r="U247" i="17"/>
  <c r="BX247" i="17"/>
  <c r="AV247" i="17"/>
  <c r="T247" i="17"/>
  <c r="BW247" i="17"/>
  <c r="AU247" i="17"/>
  <c r="S247" i="17"/>
  <c r="BV247" i="17"/>
  <c r="AT247" i="17"/>
  <c r="R247" i="17"/>
  <c r="U245" i="17"/>
  <c r="CM245" i="17"/>
  <c r="T245" i="17"/>
  <c r="CL245" i="17"/>
  <c r="S245" i="17"/>
  <c r="CK245" i="17"/>
  <c r="R245" i="17"/>
  <c r="CA245" i="17"/>
  <c r="BZ245" i="17"/>
  <c r="BY245" i="17"/>
  <c r="BX245" i="17"/>
  <c r="BW245" i="17"/>
  <c r="BV245" i="17"/>
  <c r="BK245" i="17"/>
  <c r="BJ245" i="17"/>
  <c r="BI245" i="17"/>
  <c r="AY245" i="17"/>
  <c r="AX245" i="17"/>
  <c r="AW245" i="17"/>
  <c r="AV245" i="17"/>
  <c r="AU245" i="17"/>
  <c r="AT245" i="17"/>
  <c r="AI245" i="17"/>
  <c r="AH245" i="17"/>
  <c r="AG245" i="17"/>
  <c r="V245" i="17"/>
  <c r="BV248" i="17"/>
  <c r="AT248" i="17"/>
  <c r="R248" i="17"/>
  <c r="CU248" i="17"/>
  <c r="BS248" i="17"/>
  <c r="AQ248" i="17"/>
  <c r="W245" i="17"/>
  <c r="CT248" i="17"/>
  <c r="BR248" i="17"/>
  <c r="AP248" i="17"/>
  <c r="CS248" i="17"/>
  <c r="BQ248" i="17"/>
  <c r="AO248" i="17"/>
  <c r="CR248" i="17"/>
  <c r="BP248" i="17"/>
  <c r="AN248" i="17"/>
  <c r="CQ248" i="17"/>
  <c r="BO248" i="17"/>
  <c r="AM248" i="17"/>
  <c r="CP248" i="17"/>
  <c r="BN248" i="17"/>
  <c r="AL248" i="17"/>
  <c r="CN248" i="17"/>
  <c r="BL248" i="17"/>
  <c r="AJ248" i="17"/>
  <c r="CM248" i="17"/>
  <c r="BK248" i="17"/>
  <c r="AI248" i="17"/>
  <c r="CL248" i="17"/>
  <c r="BJ248" i="17"/>
  <c r="AH248" i="17"/>
  <c r="CK248" i="17"/>
  <c r="BI248" i="17"/>
  <c r="AG248" i="17"/>
  <c r="CJ248" i="17"/>
  <c r="BH248" i="17"/>
  <c r="AF248" i="17"/>
  <c r="CG248" i="17"/>
  <c r="BE248" i="17"/>
  <c r="AC248" i="17"/>
  <c r="CF248" i="17"/>
  <c r="BD248" i="17"/>
  <c r="AB248" i="17"/>
  <c r="CE248" i="17"/>
  <c r="BC248" i="17"/>
  <c r="AA248" i="17"/>
  <c r="BW248" i="17"/>
  <c r="AM269" i="17"/>
  <c r="AM267" i="17"/>
  <c r="AM265" i="17"/>
  <c r="AM263" i="17"/>
  <c r="AM261" i="17"/>
  <c r="AM259" i="17"/>
  <c r="AM257" i="17"/>
  <c r="AM255" i="17"/>
  <c r="AM253" i="17"/>
  <c r="AM251" i="17"/>
  <c r="AM249" i="17"/>
  <c r="AM244" i="17"/>
  <c r="AM242" i="17"/>
  <c r="AM240" i="17"/>
  <c r="AM238" i="17"/>
  <c r="AM236" i="17"/>
  <c r="AM234" i="17"/>
  <c r="BM248" i="17"/>
  <c r="AL269" i="17"/>
  <c r="AL267" i="17"/>
  <c r="AL265" i="17"/>
  <c r="AL263" i="17"/>
  <c r="AL261" i="17"/>
  <c r="AL259" i="17"/>
  <c r="AL257" i="17"/>
  <c r="AL255" i="17"/>
  <c r="AL253" i="17"/>
  <c r="AL251" i="17"/>
  <c r="AL249" i="17"/>
  <c r="AL244" i="17"/>
  <c r="AL242" i="17"/>
  <c r="AL240" i="17"/>
  <c r="AL238" i="17"/>
  <c r="AL236" i="17"/>
  <c r="AL234" i="17"/>
  <c r="BB248" i="17"/>
  <c r="BA248" i="17"/>
  <c r="AZ248" i="17"/>
  <c r="AY248" i="17"/>
  <c r="AX248" i="17"/>
  <c r="AW248" i="17"/>
  <c r="AV248" i="17"/>
  <c r="AU248" i="17"/>
  <c r="AK248" i="17"/>
  <c r="Z248" i="17"/>
  <c r="Y248" i="17"/>
  <c r="X248" i="17"/>
  <c r="W248" i="17"/>
  <c r="V248" i="17"/>
  <c r="CO248" i="17"/>
  <c r="U248" i="17"/>
  <c r="CD248" i="17"/>
  <c r="T248" i="17"/>
  <c r="CC248" i="17"/>
  <c r="S248" i="17"/>
  <c r="CB248" i="17"/>
  <c r="CA248" i="17"/>
  <c r="BZ248" i="17"/>
  <c r="BX248" i="17"/>
  <c r="AN269" i="17"/>
  <c r="AJ267" i="17"/>
  <c r="AH265" i="17"/>
  <c r="AF263" i="17"/>
  <c r="AP260" i="17"/>
  <c r="AN258" i="17"/>
  <c r="AL256" i="17"/>
  <c r="AJ254" i="17"/>
  <c r="AH252" i="17"/>
  <c r="AF250" i="17"/>
  <c r="AP244" i="17"/>
  <c r="AN242" i="17"/>
  <c r="AJ240" i="17"/>
  <c r="AH238" i="17"/>
  <c r="AF236" i="17"/>
  <c r="AK269" i="17"/>
  <c r="AI267" i="17"/>
  <c r="AG265" i="17"/>
  <c r="AQ262" i="17"/>
  <c r="AO260" i="17"/>
  <c r="AM258" i="17"/>
  <c r="AK256" i="17"/>
  <c r="AI254" i="17"/>
  <c r="AG252" i="17"/>
  <c r="AQ249" i="17"/>
  <c r="AO244" i="17"/>
  <c r="AK242" i="17"/>
  <c r="AI240" i="17"/>
  <c r="AG238" i="17"/>
  <c r="AQ235" i="17"/>
  <c r="AJ269" i="17"/>
  <c r="AH267" i="17"/>
  <c r="AF265" i="17"/>
  <c r="AP262" i="17"/>
  <c r="AN260" i="17"/>
  <c r="AL258" i="17"/>
  <c r="AJ256" i="17"/>
  <c r="AH254" i="17"/>
  <c r="AF252" i="17"/>
  <c r="AP249" i="17"/>
  <c r="AN244" i="17"/>
  <c r="AJ242" i="17"/>
  <c r="AH240" i="17"/>
  <c r="AF238" i="17"/>
  <c r="AP235" i="17"/>
  <c r="AI269" i="17"/>
  <c r="AG267" i="17"/>
  <c r="AQ264" i="17"/>
  <c r="AO262" i="17"/>
  <c r="AM260" i="17"/>
  <c r="AK258" i="17"/>
  <c r="AI256" i="17"/>
  <c r="AG254" i="17"/>
  <c r="AQ251" i="17"/>
  <c r="AO249" i="17"/>
  <c r="AK244" i="17"/>
  <c r="AI242" i="17"/>
  <c r="AG240" i="17"/>
  <c r="AQ237" i="17"/>
  <c r="AO235" i="17"/>
  <c r="BY248" i="17"/>
  <c r="AH269" i="17"/>
  <c r="AF267" i="17"/>
  <c r="AP264" i="17"/>
  <c r="AN262" i="17"/>
  <c r="AL260" i="17"/>
  <c r="AJ258" i="17"/>
  <c r="AH256" i="17"/>
  <c r="AF254" i="17"/>
  <c r="AP251" i="17"/>
  <c r="AN249" i="17"/>
  <c r="AJ244" i="17"/>
  <c r="AH242" i="17"/>
  <c r="AF240" i="17"/>
  <c r="AP237" i="17"/>
  <c r="AN235" i="17"/>
  <c r="AG269" i="17"/>
  <c r="AQ266" i="17"/>
  <c r="AO264" i="17"/>
  <c r="AM262" i="17"/>
  <c r="AK260" i="17"/>
  <c r="AI258" i="17"/>
  <c r="AG256" i="17"/>
  <c r="AQ253" i="17"/>
  <c r="AO251" i="17"/>
  <c r="AK249" i="17"/>
  <c r="AI244" i="17"/>
  <c r="AG242" i="17"/>
  <c r="AQ239" i="17"/>
  <c r="AO237" i="17"/>
  <c r="AM235" i="17"/>
  <c r="AF269" i="17"/>
  <c r="AP266" i="17"/>
  <c r="AN264" i="17"/>
  <c r="AL262" i="17"/>
  <c r="AJ260" i="17"/>
  <c r="AH258" i="17"/>
  <c r="AF256" i="17"/>
  <c r="AP253" i="17"/>
  <c r="AN251" i="17"/>
  <c r="AJ249" i="17"/>
  <c r="AH244" i="17"/>
  <c r="AF242" i="17"/>
  <c r="AP239" i="17"/>
  <c r="AN237" i="17"/>
  <c r="AL235" i="17"/>
  <c r="AQ268" i="17"/>
  <c r="AO266" i="17"/>
  <c r="AM264" i="17"/>
  <c r="AK262" i="17"/>
  <c r="AI260" i="17"/>
  <c r="AG258" i="17"/>
  <c r="AQ255" i="17"/>
  <c r="AO253" i="17"/>
  <c r="AK251" i="17"/>
  <c r="AI249" i="17"/>
  <c r="AG244" i="17"/>
  <c r="AQ241" i="17"/>
  <c r="AO239" i="17"/>
  <c r="AM237" i="17"/>
  <c r="AK235" i="17"/>
  <c r="AP268" i="17"/>
  <c r="AN266" i="17"/>
  <c r="AL264" i="17"/>
  <c r="AJ262" i="17"/>
  <c r="AH260" i="17"/>
  <c r="AF258" i="17"/>
  <c r="AP255" i="17"/>
  <c r="AN253" i="17"/>
  <c r="AJ251" i="17"/>
  <c r="AH249" i="17"/>
  <c r="AF244" i="17"/>
  <c r="AP241" i="17"/>
  <c r="AN239" i="17"/>
  <c r="AL237" i="17"/>
  <c r="AJ235" i="17"/>
  <c r="AO268" i="17"/>
  <c r="AM266" i="17"/>
  <c r="AK264" i="17"/>
  <c r="AI262" i="17"/>
  <c r="AG260" i="17"/>
  <c r="AQ257" i="17"/>
  <c r="AO255" i="17"/>
  <c r="AK253" i="17"/>
  <c r="AI251" i="17"/>
  <c r="AG249" i="17"/>
  <c r="AQ243" i="17"/>
  <c r="AO241" i="17"/>
  <c r="AM239" i="17"/>
  <c r="AK237" i="17"/>
  <c r="AI235" i="17"/>
  <c r="AN268" i="17"/>
  <c r="AL266" i="17"/>
  <c r="AJ264" i="17"/>
  <c r="AH262" i="17"/>
  <c r="AF260" i="17"/>
  <c r="AP257" i="17"/>
  <c r="AN255" i="17"/>
  <c r="AJ253" i="17"/>
  <c r="AH251" i="17"/>
  <c r="AF249" i="17"/>
  <c r="AP243" i="17"/>
  <c r="AN241" i="17"/>
  <c r="AL239" i="17"/>
  <c r="AJ237" i="17"/>
  <c r="AH235" i="17"/>
  <c r="AM268" i="17"/>
  <c r="AK266" i="17"/>
  <c r="AI264" i="17"/>
  <c r="AG262" i="17"/>
  <c r="AQ259" i="17"/>
  <c r="AO257" i="17"/>
  <c r="AK255" i="17"/>
  <c r="AI253" i="17"/>
  <c r="AG251" i="17"/>
  <c r="AQ246" i="17"/>
  <c r="AO243" i="17"/>
  <c r="AM241" i="17"/>
  <c r="AK239" i="17"/>
  <c r="AI237" i="17"/>
  <c r="AG235" i="17"/>
  <c r="AL268" i="17"/>
  <c r="AJ266" i="17"/>
  <c r="AH264" i="17"/>
  <c r="AF262" i="17"/>
  <c r="AP259" i="17"/>
  <c r="AN257" i="17"/>
  <c r="AJ255" i="17"/>
  <c r="AH253" i="17"/>
  <c r="AF251" i="17"/>
  <c r="AP246" i="17"/>
  <c r="AN243" i="17"/>
  <c r="AL241" i="17"/>
  <c r="AJ239" i="17"/>
  <c r="AH237" i="17"/>
  <c r="AF235" i="17"/>
  <c r="AK268" i="17"/>
  <c r="AI266" i="17"/>
  <c r="AG264" i="17"/>
  <c r="AQ261" i="17"/>
  <c r="AO259" i="17"/>
  <c r="AK257" i="17"/>
  <c r="AI255" i="17"/>
  <c r="AG253" i="17"/>
  <c r="AQ250" i="17"/>
  <c r="AO246" i="17"/>
  <c r="AM243" i="17"/>
  <c r="AK241" i="17"/>
  <c r="AI239" i="17"/>
  <c r="AG237" i="17"/>
  <c r="AQ234" i="17"/>
  <c r="AJ268" i="17"/>
  <c r="AH266" i="17"/>
  <c r="AF264" i="17"/>
  <c r="AP261" i="17"/>
  <c r="AN259" i="17"/>
  <c r="AJ257" i="17"/>
  <c r="AH255" i="17"/>
  <c r="AF253" i="17"/>
  <c r="AP250" i="17"/>
  <c r="AN246" i="17"/>
  <c r="AL243" i="17"/>
  <c r="AJ241" i="17"/>
  <c r="AH239" i="17"/>
  <c r="AF237" i="17"/>
  <c r="AP234" i="17"/>
  <c r="AI268" i="17"/>
  <c r="AG266" i="17"/>
  <c r="AQ263" i="17"/>
  <c r="AO261" i="17"/>
  <c r="AK259" i="17"/>
  <c r="AI257" i="17"/>
  <c r="AG255" i="17"/>
  <c r="AQ252" i="17"/>
  <c r="AO250" i="17"/>
  <c r="AM246" i="17"/>
  <c r="AK243" i="17"/>
  <c r="AI241" i="17"/>
  <c r="AG239" i="17"/>
  <c r="AQ236" i="17"/>
  <c r="AO234" i="17"/>
  <c r="AH268" i="17"/>
  <c r="AF266" i="17"/>
  <c r="AP263" i="17"/>
  <c r="AN261" i="17"/>
  <c r="AJ259" i="17"/>
  <c r="AH257" i="17"/>
  <c r="AF255" i="17"/>
  <c r="AP252" i="17"/>
  <c r="AN250" i="17"/>
  <c r="AL246" i="17"/>
  <c r="AJ243" i="17"/>
  <c r="AH241" i="17"/>
  <c r="AF239" i="17"/>
  <c r="AP236" i="17"/>
  <c r="AN234" i="17"/>
  <c r="AG268" i="17"/>
  <c r="AQ265" i="17"/>
  <c r="AO263" i="17"/>
  <c r="AK261" i="17"/>
  <c r="AI259" i="17"/>
  <c r="AG257" i="17"/>
  <c r="AQ254" i="17"/>
  <c r="AO252" i="17"/>
  <c r="AM250" i="17"/>
  <c r="AK246" i="17"/>
  <c r="AI243" i="17"/>
  <c r="AG241" i="17"/>
  <c r="AQ238" i="17"/>
  <c r="AO236" i="17"/>
  <c r="AK234" i="17"/>
  <c r="AQ267" i="17"/>
  <c r="AO265" i="17"/>
  <c r="AK263" i="17"/>
  <c r="AI261" i="17"/>
  <c r="AG259" i="17"/>
  <c r="AQ256" i="17"/>
  <c r="AO254" i="17"/>
  <c r="AM252" i="17"/>
  <c r="AK250" i="17"/>
  <c r="AI246" i="17"/>
  <c r="AG243" i="17"/>
  <c r="AQ240" i="17"/>
  <c r="AO238" i="17"/>
  <c r="AK236" i="17"/>
  <c r="AI234" i="17"/>
  <c r="AP267" i="17"/>
  <c r="AN265" i="17"/>
  <c r="AJ263" i="17"/>
  <c r="AH261" i="17"/>
  <c r="AF259" i="17"/>
  <c r="AP256" i="17"/>
  <c r="AN254" i="17"/>
  <c r="AL252" i="17"/>
  <c r="AJ250" i="17"/>
  <c r="AQ269" i="17"/>
  <c r="AO267" i="17"/>
  <c r="AK265" i="17"/>
  <c r="AI263" i="17"/>
  <c r="AG261" i="17"/>
  <c r="AQ258" i="17"/>
  <c r="AO256" i="17"/>
  <c r="AM254" i="17"/>
  <c r="AK252" i="17"/>
  <c r="AI250" i="17"/>
  <c r="AG246" i="17"/>
  <c r="AQ242" i="17"/>
  <c r="AO240" i="17"/>
  <c r="AK238" i="17"/>
  <c r="AI236" i="17"/>
  <c r="AO269" i="17"/>
  <c r="AK267" i="17"/>
  <c r="AI265" i="17"/>
  <c r="AG263" i="17"/>
  <c r="AQ260" i="17"/>
  <c r="AO258" i="17"/>
  <c r="AM256" i="17"/>
  <c r="AK254" i="17"/>
  <c r="AI252" i="17"/>
  <c r="AG250" i="17"/>
  <c r="AQ244" i="17"/>
  <c r="AO242" i="17"/>
  <c r="AK240" i="17"/>
  <c r="AI238" i="17"/>
  <c r="AG236" i="17"/>
  <c r="AF257" i="17"/>
  <c r="AH234" i="17"/>
  <c r="AN256" i="17"/>
  <c r="AG234" i="17"/>
  <c r="AP254" i="17"/>
  <c r="AF234" i="17"/>
  <c r="AL254" i="17"/>
  <c r="AN252" i="17"/>
  <c r="AJ252" i="17"/>
  <c r="AL250" i="17"/>
  <c r="AH250" i="17"/>
  <c r="AJ246" i="17"/>
  <c r="AH246" i="17"/>
  <c r="AF246" i="17"/>
  <c r="AH243" i="17"/>
  <c r="AF243" i="17"/>
  <c r="AP269" i="17"/>
  <c r="AP242" i="17"/>
  <c r="AF268" i="17"/>
  <c r="AF241" i="17"/>
  <c r="AN267" i="17"/>
  <c r="AP240" i="17"/>
  <c r="AP265" i="17"/>
  <c r="AN240" i="17"/>
  <c r="AJ265" i="17"/>
  <c r="AP238" i="17"/>
  <c r="AN263" i="17"/>
  <c r="AN238" i="17"/>
  <c r="AF261" i="17"/>
  <c r="AJ236" i="17"/>
  <c r="AH259" i="17"/>
  <c r="AH236" i="17"/>
  <c r="AP258" i="17"/>
  <c r="AJ234" i="17"/>
  <c r="AH263" i="17"/>
  <c r="CP268" i="17"/>
  <c r="CP266" i="17"/>
  <c r="CP264" i="17"/>
  <c r="CP262" i="17"/>
  <c r="CP260" i="17"/>
  <c r="CP258" i="17"/>
  <c r="CP256" i="17"/>
  <c r="CP254" i="17"/>
  <c r="CP252" i="17"/>
  <c r="CP250" i="17"/>
  <c r="CP246" i="17"/>
  <c r="CP243" i="17"/>
  <c r="CP241" i="17"/>
  <c r="CP239" i="17"/>
  <c r="CP237" i="17"/>
  <c r="CP235" i="17"/>
  <c r="AJ261" i="17"/>
  <c r="AJ238" i="17"/>
  <c r="CN268" i="17"/>
  <c r="CN266" i="17"/>
  <c r="CN264" i="17"/>
  <c r="CN262" i="17"/>
  <c r="CN260" i="17"/>
  <c r="CN258" i="17"/>
  <c r="CN256" i="17"/>
  <c r="CN254" i="17"/>
  <c r="CN252" i="17"/>
  <c r="CN250" i="17"/>
  <c r="CN246" i="17"/>
  <c r="AN236" i="17"/>
  <c r="CM268" i="17"/>
  <c r="CM266" i="17"/>
  <c r="CM264" i="17"/>
  <c r="CM262" i="17"/>
  <c r="CL268" i="17"/>
  <c r="CL266" i="17"/>
  <c r="CL264" i="17"/>
  <c r="CK268" i="17"/>
  <c r="CK266" i="17"/>
  <c r="CK264" i="17"/>
  <c r="CK262" i="17"/>
  <c r="CK260" i="17"/>
  <c r="CK258" i="17"/>
  <c r="CS269" i="17"/>
  <c r="CS267" i="17"/>
  <c r="CR269" i="17"/>
  <c r="CR267" i="17"/>
  <c r="CR265" i="17"/>
  <c r="CR263" i="17"/>
  <c r="CR261" i="17"/>
  <c r="CR259" i="17"/>
  <c r="CR257" i="17"/>
  <c r="CR255" i="17"/>
  <c r="CR253" i="17"/>
  <c r="CR251" i="17"/>
  <c r="CR249" i="17"/>
  <c r="CR244" i="17"/>
  <c r="CR242" i="17"/>
  <c r="CP269" i="17"/>
  <c r="CP267" i="17"/>
  <c r="CP265" i="17"/>
  <c r="CP263" i="17"/>
  <c r="CP261" i="17"/>
  <c r="CN269" i="17"/>
  <c r="CR266" i="17"/>
  <c r="CQ263" i="17"/>
  <c r="CJ261" i="17"/>
  <c r="CR258" i="17"/>
  <c r="CL256" i="17"/>
  <c r="CU253" i="17"/>
  <c r="CQ251" i="17"/>
  <c r="CN249" i="17"/>
  <c r="CK244" i="17"/>
  <c r="CU241" i="17"/>
  <c r="CT239" i="17"/>
  <c r="CS237" i="17"/>
  <c r="CR235" i="17"/>
  <c r="CM269" i="17"/>
  <c r="CQ266" i="17"/>
  <c r="CO263" i="17"/>
  <c r="CU260" i="17"/>
  <c r="CQ258" i="17"/>
  <c r="CK256" i="17"/>
  <c r="CT253" i="17"/>
  <c r="CP251" i="17"/>
  <c r="CM249" i="17"/>
  <c r="CJ244" i="17"/>
  <c r="CT241" i="17"/>
  <c r="CS239" i="17"/>
  <c r="CR237" i="17"/>
  <c r="CQ235" i="17"/>
  <c r="CL269" i="17"/>
  <c r="CO266" i="17"/>
  <c r="CN263" i="17"/>
  <c r="CT260" i="17"/>
  <c r="CO258" i="17"/>
  <c r="CJ256" i="17"/>
  <c r="CS253" i="17"/>
  <c r="CO251" i="17"/>
  <c r="CL249" i="17"/>
  <c r="CU243" i="17"/>
  <c r="CS241" i="17"/>
  <c r="CR239" i="17"/>
  <c r="CQ237" i="17"/>
  <c r="CO235" i="17"/>
  <c r="CK269" i="17"/>
  <c r="CJ266" i="17"/>
  <c r="CM263" i="17"/>
  <c r="CS260" i="17"/>
  <c r="CM258" i="17"/>
  <c r="CU255" i="17"/>
  <c r="CQ253" i="17"/>
  <c r="CN251" i="17"/>
  <c r="CK249" i="17"/>
  <c r="CT243" i="17"/>
  <c r="CR241" i="17"/>
  <c r="CQ239" i="17"/>
  <c r="CO237" i="17"/>
  <c r="CN235" i="17"/>
  <c r="CJ269" i="17"/>
  <c r="CU265" i="17"/>
  <c r="CL263" i="17"/>
  <c r="CR260" i="17"/>
  <c r="CL258" i="17"/>
  <c r="CT255" i="17"/>
  <c r="CP253" i="17"/>
  <c r="CM251" i="17"/>
  <c r="CJ249" i="17"/>
  <c r="CS243" i="17"/>
  <c r="CQ241" i="17"/>
  <c r="CO239" i="17"/>
  <c r="CN237" i="17"/>
  <c r="CM235" i="17"/>
  <c r="CU268" i="17"/>
  <c r="CT265" i="17"/>
  <c r="CK263" i="17"/>
  <c r="CQ260" i="17"/>
  <c r="CJ258" i="17"/>
  <c r="CS255" i="17"/>
  <c r="CO253" i="17"/>
  <c r="CL251" i="17"/>
  <c r="CU246" i="17"/>
  <c r="CR243" i="17"/>
  <c r="CO241" i="17"/>
  <c r="CN239" i="17"/>
  <c r="CM237" i="17"/>
  <c r="CL235" i="17"/>
  <c r="CT268" i="17"/>
  <c r="CS265" i="17"/>
  <c r="CJ263" i="17"/>
  <c r="CO260" i="17"/>
  <c r="CU257" i="17"/>
  <c r="CQ255" i="17"/>
  <c r="CN253" i="17"/>
  <c r="CK251" i="17"/>
  <c r="CT246" i="17"/>
  <c r="CQ243" i="17"/>
  <c r="CN241" i="17"/>
  <c r="CM239" i="17"/>
  <c r="CL237" i="17"/>
  <c r="CK235" i="17"/>
  <c r="CS268" i="17"/>
  <c r="CQ265" i="17"/>
  <c r="CU262" i="17"/>
  <c r="CM260" i="17"/>
  <c r="CT257" i="17"/>
  <c r="CP255" i="17"/>
  <c r="CM253" i="17"/>
  <c r="CJ251" i="17"/>
  <c r="CS246" i="17"/>
  <c r="CO243" i="17"/>
  <c r="CM241" i="17"/>
  <c r="CL239" i="17"/>
  <c r="CK237" i="17"/>
  <c r="CJ235" i="17"/>
  <c r="CR268" i="17"/>
  <c r="CO265" i="17"/>
  <c r="CT262" i="17"/>
  <c r="CL260" i="17"/>
  <c r="CS257" i="17"/>
  <c r="CO255" i="17"/>
  <c r="CL253" i="17"/>
  <c r="CU250" i="17"/>
  <c r="CR246" i="17"/>
  <c r="CN243" i="17"/>
  <c r="CL241" i="17"/>
  <c r="CK239" i="17"/>
  <c r="CJ237" i="17"/>
  <c r="CU234" i="17"/>
  <c r="CQ268" i="17"/>
  <c r="CN265" i="17"/>
  <c r="CS262" i="17"/>
  <c r="CJ260" i="17"/>
  <c r="CQ257" i="17"/>
  <c r="CN255" i="17"/>
  <c r="CK253" i="17"/>
  <c r="CT250" i="17"/>
  <c r="CQ246" i="17"/>
  <c r="CM243" i="17"/>
  <c r="CK241" i="17"/>
  <c r="CJ239" i="17"/>
  <c r="CU236" i="17"/>
  <c r="CT234" i="17"/>
  <c r="CO268" i="17"/>
  <c r="CM265" i="17"/>
  <c r="CR262" i="17"/>
  <c r="CU259" i="17"/>
  <c r="CP257" i="17"/>
  <c r="CM255" i="17"/>
  <c r="CJ253" i="17"/>
  <c r="CS250" i="17"/>
  <c r="CO246" i="17"/>
  <c r="CL243" i="17"/>
  <c r="CJ241" i="17"/>
  <c r="CU238" i="17"/>
  <c r="CT236" i="17"/>
  <c r="CS234" i="17"/>
  <c r="CJ268" i="17"/>
  <c r="CL265" i="17"/>
  <c r="CQ262" i="17"/>
  <c r="CT259" i="17"/>
  <c r="CO257" i="17"/>
  <c r="CL255" i="17"/>
  <c r="CU252" i="17"/>
  <c r="CR250" i="17"/>
  <c r="CM246" i="17"/>
  <c r="CK243" i="17"/>
  <c r="CU240" i="17"/>
  <c r="CT238" i="17"/>
  <c r="CS236" i="17"/>
  <c r="CR234" i="17"/>
  <c r="CU267" i="17"/>
  <c r="CK265" i="17"/>
  <c r="CO262" i="17"/>
  <c r="CS259" i="17"/>
  <c r="CN257" i="17"/>
  <c r="CK255" i="17"/>
  <c r="CT252" i="17"/>
  <c r="CQ250" i="17"/>
  <c r="CL246" i="17"/>
  <c r="CJ243" i="17"/>
  <c r="CT240" i="17"/>
  <c r="CS238" i="17"/>
  <c r="CR236" i="17"/>
  <c r="CQ234" i="17"/>
  <c r="CQ267" i="17"/>
  <c r="CU264" i="17"/>
  <c r="CJ262" i="17"/>
  <c r="CP259" i="17"/>
  <c r="CL257" i="17"/>
  <c r="CU254" i="17"/>
  <c r="CR252" i="17"/>
  <c r="CM250" i="17"/>
  <c r="CJ246" i="17"/>
  <c r="CT242" i="17"/>
  <c r="CR240" i="17"/>
  <c r="CQ238" i="17"/>
  <c r="CP236" i="17"/>
  <c r="CO234" i="17"/>
  <c r="CO267" i="17"/>
  <c r="CT264" i="17"/>
  <c r="CU261" i="17"/>
  <c r="CO259" i="17"/>
  <c r="CK257" i="17"/>
  <c r="CT254" i="17"/>
  <c r="CQ252" i="17"/>
  <c r="CL250" i="17"/>
  <c r="CU244" i="17"/>
  <c r="CS242" i="17"/>
  <c r="CQ240" i="17"/>
  <c r="CP238" i="17"/>
  <c r="CO236" i="17"/>
  <c r="CN234" i="17"/>
  <c r="CN267" i="17"/>
  <c r="CS264" i="17"/>
  <c r="CT261" i="17"/>
  <c r="CN259" i="17"/>
  <c r="CJ257" i="17"/>
  <c r="CS254" i="17"/>
  <c r="CO252" i="17"/>
  <c r="CK250" i="17"/>
  <c r="CT244" i="17"/>
  <c r="CQ242" i="17"/>
  <c r="CP240" i="17"/>
  <c r="CO238" i="17"/>
  <c r="CN236" i="17"/>
  <c r="CM234" i="17"/>
  <c r="CM267" i="17"/>
  <c r="CR264" i="17"/>
  <c r="CS261" i="17"/>
  <c r="CM259" i="17"/>
  <c r="CU256" i="17"/>
  <c r="CR254" i="17"/>
  <c r="CM252" i="17"/>
  <c r="CJ250" i="17"/>
  <c r="CS244" i="17"/>
  <c r="CP242" i="17"/>
  <c r="CO240" i="17"/>
  <c r="CL267" i="17"/>
  <c r="CQ264" i="17"/>
  <c r="CQ261" i="17"/>
  <c r="CL259" i="17"/>
  <c r="CT256" i="17"/>
  <c r="CQ254" i="17"/>
  <c r="CL252" i="17"/>
  <c r="CU249" i="17"/>
  <c r="CQ244" i="17"/>
  <c r="CO242" i="17"/>
  <c r="CN240" i="17"/>
  <c r="CM238" i="17"/>
  <c r="CL236" i="17"/>
  <c r="CK234" i="17"/>
  <c r="CK267" i="17"/>
  <c r="CO264" i="17"/>
  <c r="CO261" i="17"/>
  <c r="CK259" i="17"/>
  <c r="CS256" i="17"/>
  <c r="CO254" i="17"/>
  <c r="CK252" i="17"/>
  <c r="CT249" i="17"/>
  <c r="CP244" i="17"/>
  <c r="CN242" i="17"/>
  <c r="CM240" i="17"/>
  <c r="CL238" i="17"/>
  <c r="CK236" i="17"/>
  <c r="CJ234" i="17"/>
  <c r="CU269" i="17"/>
  <c r="CJ267" i="17"/>
  <c r="CJ264" i="17"/>
  <c r="CN261" i="17"/>
  <c r="CJ259" i="17"/>
  <c r="CR256" i="17"/>
  <c r="CM254" i="17"/>
  <c r="CJ252" i="17"/>
  <c r="CS249" i="17"/>
  <c r="CO244" i="17"/>
  <c r="CM242" i="17"/>
  <c r="CL240" i="17"/>
  <c r="CK238" i="17"/>
  <c r="CJ236" i="17"/>
  <c r="CO269" i="17"/>
  <c r="CS266" i="17"/>
  <c r="CS263" i="17"/>
  <c r="CK261" i="17"/>
  <c r="CS258" i="17"/>
  <c r="CM256" i="17"/>
  <c r="CJ254" i="17"/>
  <c r="CS251" i="17"/>
  <c r="CO249" i="17"/>
  <c r="CL244" i="17"/>
  <c r="CJ242" i="17"/>
  <c r="CU239" i="17"/>
  <c r="CT237" i="17"/>
  <c r="CS235" i="17"/>
  <c r="CL261" i="17"/>
  <c r="CJ240" i="17"/>
  <c r="CQ259" i="17"/>
  <c r="CR238" i="17"/>
  <c r="CU258" i="17"/>
  <c r="CN238" i="17"/>
  <c r="CT258" i="17"/>
  <c r="CJ238" i="17"/>
  <c r="CM257" i="17"/>
  <c r="CU237" i="17"/>
  <c r="CQ256" i="17"/>
  <c r="CQ236" i="17"/>
  <c r="CO256" i="17"/>
  <c r="CM236" i="17"/>
  <c r="CJ255" i="17"/>
  <c r="CU235" i="17"/>
  <c r="CL254" i="17"/>
  <c r="CT235" i="17"/>
  <c r="CK254" i="17"/>
  <c r="CP234" i="17"/>
  <c r="CS252" i="17"/>
  <c r="CL234" i="17"/>
  <c r="CU251" i="17"/>
  <c r="CT251" i="17"/>
  <c r="CO250" i="17"/>
  <c r="CT269" i="17"/>
  <c r="CQ249" i="17"/>
  <c r="CQ269" i="17"/>
  <c r="CP249" i="17"/>
  <c r="CT267" i="17"/>
  <c r="CK246" i="17"/>
  <c r="CU266" i="17"/>
  <c r="CN244" i="17"/>
  <c r="CT266" i="17"/>
  <c r="CM244" i="17"/>
  <c r="CJ265" i="17"/>
  <c r="CU242" i="17"/>
  <c r="CU263" i="17"/>
  <c r="CL242" i="17"/>
  <c r="CT263" i="17"/>
  <c r="CK242" i="17"/>
  <c r="CM261" i="17"/>
  <c r="CK240" i="17"/>
  <c r="CD269" i="17"/>
  <c r="CD267" i="17"/>
  <c r="CD265" i="17"/>
  <c r="CD263" i="17"/>
  <c r="CD261" i="17"/>
  <c r="CD259" i="17"/>
  <c r="CD257" i="17"/>
  <c r="CD255" i="17"/>
  <c r="CD253" i="17"/>
  <c r="CD251" i="17"/>
  <c r="CD249" i="17"/>
  <c r="CD244" i="17"/>
  <c r="CD242" i="17"/>
  <c r="CD240" i="17"/>
  <c r="CD238" i="17"/>
  <c r="CD236" i="17"/>
  <c r="CD234" i="17"/>
  <c r="CC269" i="17"/>
  <c r="CC267" i="17"/>
  <c r="CC265" i="17"/>
  <c r="CC263" i="17"/>
  <c r="CC261" i="17"/>
  <c r="CC259" i="17"/>
  <c r="CC257" i="17"/>
  <c r="CC255" i="17"/>
  <c r="CC253" i="17"/>
  <c r="CC251" i="17"/>
  <c r="CC249" i="17"/>
  <c r="CC244" i="17"/>
  <c r="CC242" i="17"/>
  <c r="CC240" i="17"/>
  <c r="CC238" i="17"/>
  <c r="CC236" i="17"/>
  <c r="CC234" i="17"/>
  <c r="CL262" i="17"/>
  <c r="CB269" i="17"/>
  <c r="CB267" i="17"/>
  <c r="CB265" i="17"/>
  <c r="CB263" i="17"/>
  <c r="CB261" i="17"/>
  <c r="CB259" i="17"/>
  <c r="CB257" i="17"/>
  <c r="CB255" i="17"/>
  <c r="CB253" i="17"/>
  <c r="CB251" i="17"/>
  <c r="CB249" i="17"/>
  <c r="CB244" i="17"/>
  <c r="CB242" i="17"/>
  <c r="CB240" i="17"/>
  <c r="CB238" i="17"/>
  <c r="CB236" i="17"/>
  <c r="CB234" i="17"/>
  <c r="CS240" i="17"/>
  <c r="CA269" i="17"/>
  <c r="CA267" i="17"/>
  <c r="CA265" i="17"/>
  <c r="CA263" i="17"/>
  <c r="CA261" i="17"/>
  <c r="CA259" i="17"/>
  <c r="CA257" i="17"/>
  <c r="CA255" i="17"/>
  <c r="CA253" i="17"/>
  <c r="CA251" i="17"/>
  <c r="BZ269" i="17"/>
  <c r="BZ267" i="17"/>
  <c r="BZ265" i="17"/>
  <c r="BZ263" i="17"/>
  <c r="BZ261" i="17"/>
  <c r="BZ259" i="17"/>
  <c r="BZ257" i="17"/>
  <c r="BZ255" i="17"/>
  <c r="BZ253" i="17"/>
  <c r="BZ251" i="17"/>
  <c r="BZ249" i="17"/>
  <c r="BZ244" i="17"/>
  <c r="BZ242" i="17"/>
  <c r="BZ240" i="17"/>
  <c r="BZ238" i="17"/>
  <c r="BZ236" i="17"/>
  <c r="BZ234" i="17"/>
  <c r="BY269" i="17"/>
  <c r="BY267" i="17"/>
  <c r="BY265" i="17"/>
  <c r="BY263" i="17"/>
  <c r="BY261" i="17"/>
  <c r="BY259" i="17"/>
  <c r="BY257" i="17"/>
  <c r="BY255" i="17"/>
  <c r="BY253" i="17"/>
  <c r="BY251" i="17"/>
  <c r="BY249" i="17"/>
  <c r="BY244" i="17"/>
  <c r="BY242" i="17"/>
  <c r="BY240" i="17"/>
  <c r="BY238" i="17"/>
  <c r="BY236" i="17"/>
  <c r="BX269" i="17"/>
  <c r="BX267" i="17"/>
  <c r="BX265" i="17"/>
  <c r="BX263" i="17"/>
  <c r="BX261" i="17"/>
  <c r="BX259" i="17"/>
  <c r="BX257" i="17"/>
  <c r="BX255" i="17"/>
  <c r="BX253" i="17"/>
  <c r="BX251" i="17"/>
  <c r="BX249" i="17"/>
  <c r="BX244" i="17"/>
  <c r="BX242" i="17"/>
  <c r="BX240" i="17"/>
  <c r="BX238" i="17"/>
  <c r="BX236" i="17"/>
  <c r="BX234" i="17"/>
  <c r="BV269" i="17"/>
  <c r="BV267" i="17"/>
  <c r="BV265" i="17"/>
  <c r="BV263" i="17"/>
  <c r="BV261" i="17"/>
  <c r="BV259" i="17"/>
  <c r="BV257" i="17"/>
  <c r="BV255" i="17"/>
  <c r="BV253" i="17"/>
  <c r="BV251" i="17"/>
  <c r="BV249" i="17"/>
  <c r="BV244" i="17"/>
  <c r="BV242" i="17"/>
  <c r="BV240" i="17"/>
  <c r="BV238" i="17"/>
  <c r="BV236" i="17"/>
  <c r="BV234" i="17"/>
  <c r="CG268" i="17"/>
  <c r="CG266" i="17"/>
  <c r="CG264" i="17"/>
  <c r="CG262" i="17"/>
  <c r="CG260" i="17"/>
  <c r="CG258" i="17"/>
  <c r="CG256" i="17"/>
  <c r="CG254" i="17"/>
  <c r="CG252" i="17"/>
  <c r="CG250" i="17"/>
  <c r="CG246" i="17"/>
  <c r="CG243" i="17"/>
  <c r="CG241" i="17"/>
  <c r="CG239" i="17"/>
  <c r="CG237" i="17"/>
  <c r="CG235" i="17"/>
  <c r="CF268" i="17"/>
  <c r="CF266" i="17"/>
  <c r="CF264" i="17"/>
  <c r="CF262" i="17"/>
  <c r="CF260" i="17"/>
  <c r="CF258" i="17"/>
  <c r="CF256" i="17"/>
  <c r="CF254" i="17"/>
  <c r="CF252" i="17"/>
  <c r="CF250" i="17"/>
  <c r="CF246" i="17"/>
  <c r="CF243" i="17"/>
  <c r="CF241" i="17"/>
  <c r="CF239" i="17"/>
  <c r="CF237" i="17"/>
  <c r="CF235" i="17"/>
  <c r="CE268" i="17"/>
  <c r="CE266" i="17"/>
  <c r="CE264" i="17"/>
  <c r="CE262" i="17"/>
  <c r="CE260" i="17"/>
  <c r="CE258" i="17"/>
  <c r="CE256" i="17"/>
  <c r="CE254" i="17"/>
  <c r="CE252" i="17"/>
  <c r="CE250" i="17"/>
  <c r="CE246" i="17"/>
  <c r="CE243" i="17"/>
  <c r="CE241" i="17"/>
  <c r="CE239" i="17"/>
  <c r="CE237" i="17"/>
  <c r="CE235" i="17"/>
  <c r="CC268" i="17"/>
  <c r="CC266" i="17"/>
  <c r="CC264" i="17"/>
  <c r="CC262" i="17"/>
  <c r="CC260" i="17"/>
  <c r="CC258" i="17"/>
  <c r="CC256" i="17"/>
  <c r="CC254" i="17"/>
  <c r="CC252" i="17"/>
  <c r="CC250" i="17"/>
  <c r="CC246" i="17"/>
  <c r="CC243" i="17"/>
  <c r="CC241" i="17"/>
  <c r="CC239" i="17"/>
  <c r="CC237" i="17"/>
  <c r="CC235" i="17"/>
  <c r="CB268" i="17"/>
  <c r="CB266" i="17"/>
  <c r="CB264" i="17"/>
  <c r="CB262" i="17"/>
  <c r="BZ268" i="17"/>
  <c r="BZ266" i="17"/>
  <c r="BZ264" i="17"/>
  <c r="BZ262" i="17"/>
  <c r="BZ260" i="17"/>
  <c r="BZ258" i="17"/>
  <c r="BZ256" i="17"/>
  <c r="BZ254" i="17"/>
  <c r="BZ252" i="17"/>
  <c r="BZ250" i="17"/>
  <c r="BW268" i="17"/>
  <c r="BW266" i="17"/>
  <c r="BW264" i="17"/>
  <c r="BW262" i="17"/>
  <c r="BW260" i="17"/>
  <c r="BW258" i="17"/>
  <c r="BV268" i="17"/>
  <c r="BV266" i="17"/>
  <c r="BV264" i="17"/>
  <c r="BV262" i="17"/>
  <c r="CE269" i="17"/>
  <c r="CE267" i="17"/>
  <c r="CG263" i="17"/>
  <c r="CA258" i="17"/>
  <c r="BW254" i="17"/>
  <c r="CG249" i="17"/>
  <c r="BW243" i="17"/>
  <c r="BY239" i="17"/>
  <c r="CA235" i="17"/>
  <c r="CF263" i="17"/>
  <c r="BY258" i="17"/>
  <c r="BV254" i="17"/>
  <c r="CF249" i="17"/>
  <c r="BV243" i="17"/>
  <c r="BX239" i="17"/>
  <c r="BZ235" i="17"/>
  <c r="CG269" i="17"/>
  <c r="CE263" i="17"/>
  <c r="BX258" i="17"/>
  <c r="CG253" i="17"/>
  <c r="CE249" i="17"/>
  <c r="CG242" i="17"/>
  <c r="BW239" i="17"/>
  <c r="BY235" i="17"/>
  <c r="CF269" i="17"/>
  <c r="BW263" i="17"/>
  <c r="BV258" i="17"/>
  <c r="CF253" i="17"/>
  <c r="CA249" i="17"/>
  <c r="CF242" i="17"/>
  <c r="BV239" i="17"/>
  <c r="BX235" i="17"/>
  <c r="BW269" i="17"/>
  <c r="CD262" i="17"/>
  <c r="CG257" i="17"/>
  <c r="CE253" i="17"/>
  <c r="BW249" i="17"/>
  <c r="CE242" i="17"/>
  <c r="CG238" i="17"/>
  <c r="BW235" i="17"/>
  <c r="CD268" i="17"/>
  <c r="CA262" i="17"/>
  <c r="CF257" i="17"/>
  <c r="BW253" i="17"/>
  <c r="CD246" i="17"/>
  <c r="CA242" i="17"/>
  <c r="CF238" i="17"/>
  <c r="BV235" i="17"/>
  <c r="CA268" i="17"/>
  <c r="BY262" i="17"/>
  <c r="CE257" i="17"/>
  <c r="CD252" i="17"/>
  <c r="CB246" i="17"/>
  <c r="BW242" i="17"/>
  <c r="CE238" i="17"/>
  <c r="CG234" i="17"/>
  <c r="BY268" i="17"/>
  <c r="BX262" i="17"/>
  <c r="BW257" i="17"/>
  <c r="CB252" i="17"/>
  <c r="CA246" i="17"/>
  <c r="CD241" i="17"/>
  <c r="CA238" i="17"/>
  <c r="CF234" i="17"/>
  <c r="BX268" i="17"/>
  <c r="CG261" i="17"/>
  <c r="CD256" i="17"/>
  <c r="CA252" i="17"/>
  <c r="BZ246" i="17"/>
  <c r="CB241" i="17"/>
  <c r="BW238" i="17"/>
  <c r="CE234" i="17"/>
  <c r="CG267" i="17"/>
  <c r="CF261" i="17"/>
  <c r="CB256" i="17"/>
  <c r="BY252" i="17"/>
  <c r="BY246" i="17"/>
  <c r="CA241" i="17"/>
  <c r="CD237" i="17"/>
  <c r="CA234" i="17"/>
  <c r="CF267" i="17"/>
  <c r="CE261" i="17"/>
  <c r="CA256" i="17"/>
  <c r="BX252" i="17"/>
  <c r="BX246" i="17"/>
  <c r="BZ241" i="17"/>
  <c r="CB237" i="17"/>
  <c r="BY234" i="17"/>
  <c r="BW267" i="17"/>
  <c r="BW261" i="17"/>
  <c r="BY256" i="17"/>
  <c r="BW252" i="17"/>
  <c r="BW246" i="17"/>
  <c r="BY241" i="17"/>
  <c r="CA237" i="17"/>
  <c r="BW234" i="17"/>
  <c r="CD266" i="17"/>
  <c r="CD260" i="17"/>
  <c r="BX256" i="17"/>
  <c r="BV252" i="17"/>
  <c r="BV246" i="17"/>
  <c r="BX241" i="17"/>
  <c r="BZ237" i="17"/>
  <c r="CA266" i="17"/>
  <c r="CB260" i="17"/>
  <c r="BW256" i="17"/>
  <c r="CG251" i="17"/>
  <c r="CG244" i="17"/>
  <c r="BW241" i="17"/>
  <c r="BY237" i="17"/>
  <c r="BY266" i="17"/>
  <c r="CA260" i="17"/>
  <c r="BV256" i="17"/>
  <c r="CF251" i="17"/>
  <c r="CF244" i="17"/>
  <c r="BV241" i="17"/>
  <c r="BX237" i="17"/>
  <c r="BX266" i="17"/>
  <c r="BY260" i="17"/>
  <c r="CG255" i="17"/>
  <c r="CE251" i="17"/>
  <c r="CE244" i="17"/>
  <c r="CG240" i="17"/>
  <c r="BW237" i="17"/>
  <c r="CG265" i="17"/>
  <c r="BX260" i="17"/>
  <c r="CF255" i="17"/>
  <c r="BW251" i="17"/>
  <c r="CA244" i="17"/>
  <c r="CF240" i="17"/>
  <c r="BV237" i="17"/>
  <c r="CF265" i="17"/>
  <c r="BV260" i="17"/>
  <c r="CE255" i="17"/>
  <c r="CD250" i="17"/>
  <c r="BW244" i="17"/>
  <c r="CE240" i="17"/>
  <c r="CG236" i="17"/>
  <c r="CE265" i="17"/>
  <c r="CG259" i="17"/>
  <c r="BW255" i="17"/>
  <c r="CB250" i="17"/>
  <c r="CD243" i="17"/>
  <c r="CA240" i="17"/>
  <c r="CF236" i="17"/>
  <c r="BW265" i="17"/>
  <c r="CF259" i="17"/>
  <c r="CD254" i="17"/>
  <c r="CA250" i="17"/>
  <c r="CB243" i="17"/>
  <c r="BW240" i="17"/>
  <c r="CE236" i="17"/>
  <c r="CD264" i="17"/>
  <c r="CE259" i="17"/>
  <c r="CB254" i="17"/>
  <c r="BY250" i="17"/>
  <c r="CA243" i="17"/>
  <c r="CD239" i="17"/>
  <c r="CA236" i="17"/>
  <c r="BX264" i="17"/>
  <c r="CB258" i="17"/>
  <c r="BX254" i="17"/>
  <c r="BV250" i="17"/>
  <c r="BX243" i="17"/>
  <c r="BZ239" i="17"/>
  <c r="CB235" i="17"/>
  <c r="CB239" i="17"/>
  <c r="BH268" i="17"/>
  <c r="BH266" i="17"/>
  <c r="BH264" i="17"/>
  <c r="BH262" i="17"/>
  <c r="BH260" i="17"/>
  <c r="BH258" i="17"/>
  <c r="BH256" i="17"/>
  <c r="BH254" i="17"/>
  <c r="BH252" i="17"/>
  <c r="BH250" i="17"/>
  <c r="BH246" i="17"/>
  <c r="BH243" i="17"/>
  <c r="BH241" i="17"/>
  <c r="BH239" i="17"/>
  <c r="BH237" i="17"/>
  <c r="BH235" i="17"/>
  <c r="CA239" i="17"/>
  <c r="BW236" i="17"/>
  <c r="CD235" i="17"/>
  <c r="BK269" i="17"/>
  <c r="BK267" i="17"/>
  <c r="BK265" i="17"/>
  <c r="BK263" i="17"/>
  <c r="BK261" i="17"/>
  <c r="BK259" i="17"/>
  <c r="BK257" i="17"/>
  <c r="BK255" i="17"/>
  <c r="BK253" i="17"/>
  <c r="BK251" i="17"/>
  <c r="BK249" i="17"/>
  <c r="BK244" i="17"/>
  <c r="BK242" i="17"/>
  <c r="BK240" i="17"/>
  <c r="BK238" i="17"/>
  <c r="BJ269" i="17"/>
  <c r="BJ267" i="17"/>
  <c r="BJ265" i="17"/>
  <c r="BJ263" i="17"/>
  <c r="BJ261" i="17"/>
  <c r="BJ259" i="17"/>
  <c r="BJ257" i="17"/>
  <c r="BJ255" i="17"/>
  <c r="BJ253" i="17"/>
  <c r="BJ251" i="17"/>
  <c r="BJ249" i="17"/>
  <c r="BJ244" i="17"/>
  <c r="BJ242" i="17"/>
  <c r="CA264" i="17"/>
  <c r="BY264" i="17"/>
  <c r="BW259" i="17"/>
  <c r="CD258" i="17"/>
  <c r="CA254" i="17"/>
  <c r="BY254" i="17"/>
  <c r="BX250" i="17"/>
  <c r="BY243" i="17"/>
  <c r="BS269" i="17"/>
  <c r="BP267" i="17"/>
  <c r="BM265" i="17"/>
  <c r="BH263" i="17"/>
  <c r="BQ260" i="17"/>
  <c r="BN258" i="17"/>
  <c r="BK256" i="17"/>
  <c r="BS253" i="17"/>
  <c r="BP251" i="17"/>
  <c r="BM249" i="17"/>
  <c r="BH244" i="17"/>
  <c r="BQ241" i="17"/>
  <c r="BO239" i="17"/>
  <c r="BM237" i="17"/>
  <c r="BL235" i="17"/>
  <c r="BW250" i="17"/>
  <c r="BR269" i="17"/>
  <c r="BO267" i="17"/>
  <c r="BL265" i="17"/>
  <c r="BS262" i="17"/>
  <c r="BP260" i="17"/>
  <c r="BM258" i="17"/>
  <c r="BJ256" i="17"/>
  <c r="BR253" i="17"/>
  <c r="BO251" i="17"/>
  <c r="BL249" i="17"/>
  <c r="BS243" i="17"/>
  <c r="BP241" i="17"/>
  <c r="BN239" i="17"/>
  <c r="BL237" i="17"/>
  <c r="BK235" i="17"/>
  <c r="BZ243" i="17"/>
  <c r="BQ269" i="17"/>
  <c r="BN267" i="17"/>
  <c r="BI265" i="17"/>
  <c r="BR262" i="17"/>
  <c r="BO260" i="17"/>
  <c r="BL258" i="17"/>
  <c r="BI256" i="17"/>
  <c r="BQ253" i="17"/>
  <c r="BN251" i="17"/>
  <c r="BI249" i="17"/>
  <c r="BR243" i="17"/>
  <c r="BO241" i="17"/>
  <c r="BM239" i="17"/>
  <c r="BK237" i="17"/>
  <c r="BJ235" i="17"/>
  <c r="BP269" i="17"/>
  <c r="BM267" i="17"/>
  <c r="BH265" i="17"/>
  <c r="BQ262" i="17"/>
  <c r="BN260" i="17"/>
  <c r="BK258" i="17"/>
  <c r="BS255" i="17"/>
  <c r="BP253" i="17"/>
  <c r="BM251" i="17"/>
  <c r="BH249" i="17"/>
  <c r="BQ243" i="17"/>
  <c r="BN241" i="17"/>
  <c r="BL239" i="17"/>
  <c r="BJ237" i="17"/>
  <c r="BI235" i="17"/>
  <c r="BO269" i="17"/>
  <c r="BL267" i="17"/>
  <c r="BS264" i="17"/>
  <c r="BP262" i="17"/>
  <c r="BM260" i="17"/>
  <c r="BJ258" i="17"/>
  <c r="BR255" i="17"/>
  <c r="BO253" i="17"/>
  <c r="BL251" i="17"/>
  <c r="BS246" i="17"/>
  <c r="BP243" i="17"/>
  <c r="BM241" i="17"/>
  <c r="BK239" i="17"/>
  <c r="BI237" i="17"/>
  <c r="BS234" i="17"/>
  <c r="BN269" i="17"/>
  <c r="BI267" i="17"/>
  <c r="BR264" i="17"/>
  <c r="BO262" i="17"/>
  <c r="BL260" i="17"/>
  <c r="BI258" i="17"/>
  <c r="BQ255" i="17"/>
  <c r="BN253" i="17"/>
  <c r="BI251" i="17"/>
  <c r="BR246" i="17"/>
  <c r="BO243" i="17"/>
  <c r="BL241" i="17"/>
  <c r="BJ239" i="17"/>
  <c r="BS236" i="17"/>
  <c r="BR234" i="17"/>
  <c r="BM269" i="17"/>
  <c r="BH267" i="17"/>
  <c r="BQ264" i="17"/>
  <c r="BN262" i="17"/>
  <c r="BK260" i="17"/>
  <c r="BS257" i="17"/>
  <c r="BP255" i="17"/>
  <c r="BM253" i="17"/>
  <c r="BH251" i="17"/>
  <c r="BQ246" i="17"/>
  <c r="BN243" i="17"/>
  <c r="BK241" i="17"/>
  <c r="BI239" i="17"/>
  <c r="BR236" i="17"/>
  <c r="BQ234" i="17"/>
  <c r="BL269" i="17"/>
  <c r="BS266" i="17"/>
  <c r="BP264" i="17"/>
  <c r="BM262" i="17"/>
  <c r="BJ260" i="17"/>
  <c r="BR257" i="17"/>
  <c r="BO255" i="17"/>
  <c r="BL253" i="17"/>
  <c r="BS250" i="17"/>
  <c r="BP246" i="17"/>
  <c r="BM243" i="17"/>
  <c r="BJ241" i="17"/>
  <c r="BS238" i="17"/>
  <c r="BQ236" i="17"/>
  <c r="BP234" i="17"/>
  <c r="BI269" i="17"/>
  <c r="BR266" i="17"/>
  <c r="BO264" i="17"/>
  <c r="BL262" i="17"/>
  <c r="BI260" i="17"/>
  <c r="BQ257" i="17"/>
  <c r="BN255" i="17"/>
  <c r="BI253" i="17"/>
  <c r="BR250" i="17"/>
  <c r="BO246" i="17"/>
  <c r="BL243" i="17"/>
  <c r="BI241" i="17"/>
  <c r="BR238" i="17"/>
  <c r="BP236" i="17"/>
  <c r="BO234" i="17"/>
  <c r="BH269" i="17"/>
  <c r="BQ266" i="17"/>
  <c r="BN264" i="17"/>
  <c r="BK262" i="17"/>
  <c r="BS259" i="17"/>
  <c r="BP257" i="17"/>
  <c r="BM255" i="17"/>
  <c r="BH253" i="17"/>
  <c r="BQ250" i="17"/>
  <c r="BN246" i="17"/>
  <c r="BK243" i="17"/>
  <c r="BS240" i="17"/>
  <c r="BQ238" i="17"/>
  <c r="BO236" i="17"/>
  <c r="BN234" i="17"/>
  <c r="BS268" i="17"/>
  <c r="BP266" i="17"/>
  <c r="BM264" i="17"/>
  <c r="BJ262" i="17"/>
  <c r="BR259" i="17"/>
  <c r="BO257" i="17"/>
  <c r="BL255" i="17"/>
  <c r="BS252" i="17"/>
  <c r="BP250" i="17"/>
  <c r="BM246" i="17"/>
  <c r="BJ243" i="17"/>
  <c r="BR240" i="17"/>
  <c r="BP238" i="17"/>
  <c r="BN236" i="17"/>
  <c r="BM234" i="17"/>
  <c r="BR268" i="17"/>
  <c r="BO266" i="17"/>
  <c r="BL264" i="17"/>
  <c r="BI262" i="17"/>
  <c r="BQ259" i="17"/>
  <c r="BN257" i="17"/>
  <c r="BI255" i="17"/>
  <c r="BR252" i="17"/>
  <c r="BO250" i="17"/>
  <c r="BL246" i="17"/>
  <c r="BI243" i="17"/>
  <c r="BQ240" i="17"/>
  <c r="BO238" i="17"/>
  <c r="BM236" i="17"/>
  <c r="BL234" i="17"/>
  <c r="BQ268" i="17"/>
  <c r="BN266" i="17"/>
  <c r="BK264" i="17"/>
  <c r="BS261" i="17"/>
  <c r="BP259" i="17"/>
  <c r="BM257" i="17"/>
  <c r="BH255" i="17"/>
  <c r="BQ252" i="17"/>
  <c r="BN250" i="17"/>
  <c r="BK246" i="17"/>
  <c r="BS242" i="17"/>
  <c r="BP240" i="17"/>
  <c r="BN238" i="17"/>
  <c r="BL236" i="17"/>
  <c r="BK234" i="17"/>
  <c r="BP268" i="17"/>
  <c r="BM266" i="17"/>
  <c r="BJ264" i="17"/>
  <c r="BR261" i="17"/>
  <c r="BO259" i="17"/>
  <c r="BL257" i="17"/>
  <c r="BS254" i="17"/>
  <c r="BP252" i="17"/>
  <c r="BM250" i="17"/>
  <c r="BJ246" i="17"/>
  <c r="BR242" i="17"/>
  <c r="BO240" i="17"/>
  <c r="BM238" i="17"/>
  <c r="BK236" i="17"/>
  <c r="BJ234" i="17"/>
  <c r="BO268" i="17"/>
  <c r="BL266" i="17"/>
  <c r="BI264" i="17"/>
  <c r="BQ261" i="17"/>
  <c r="BN259" i="17"/>
  <c r="BI257" i="17"/>
  <c r="BR254" i="17"/>
  <c r="BO252" i="17"/>
  <c r="BL250" i="17"/>
  <c r="BI246" i="17"/>
  <c r="BQ242" i="17"/>
  <c r="BN240" i="17"/>
  <c r="BL238" i="17"/>
  <c r="BJ236" i="17"/>
  <c r="BI234" i="17"/>
  <c r="BN268" i="17"/>
  <c r="BK266" i="17"/>
  <c r="BS263" i="17"/>
  <c r="BP261" i="17"/>
  <c r="BM259" i="17"/>
  <c r="BH257" i="17"/>
  <c r="BQ254" i="17"/>
  <c r="BN252" i="17"/>
  <c r="BK250" i="17"/>
  <c r="BS244" i="17"/>
  <c r="BP242" i="17"/>
  <c r="BM240" i="17"/>
  <c r="BJ238" i="17"/>
  <c r="BI236" i="17"/>
  <c r="BH234" i="17"/>
  <c r="BM268" i="17"/>
  <c r="BJ266" i="17"/>
  <c r="BR263" i="17"/>
  <c r="BO261" i="17"/>
  <c r="BL259" i="17"/>
  <c r="BS256" i="17"/>
  <c r="BP254" i="17"/>
  <c r="BM252" i="17"/>
  <c r="BJ250" i="17"/>
  <c r="BR244" i="17"/>
  <c r="BO242" i="17"/>
  <c r="BL240" i="17"/>
  <c r="BI238" i="17"/>
  <c r="BH236" i="17"/>
  <c r="BL268" i="17"/>
  <c r="BI266" i="17"/>
  <c r="BQ263" i="17"/>
  <c r="BN261" i="17"/>
  <c r="BI259" i="17"/>
  <c r="BR256" i="17"/>
  <c r="BO254" i="17"/>
  <c r="BL252" i="17"/>
  <c r="BI250" i="17"/>
  <c r="BQ244" i="17"/>
  <c r="BN242" i="17"/>
  <c r="BJ240" i="17"/>
  <c r="BH238" i="17"/>
  <c r="BS235" i="17"/>
  <c r="BK268" i="17"/>
  <c r="BS265" i="17"/>
  <c r="BP263" i="17"/>
  <c r="BM261" i="17"/>
  <c r="BH259" i="17"/>
  <c r="BQ256" i="17"/>
  <c r="BN254" i="17"/>
  <c r="BK252" i="17"/>
  <c r="BS249" i="17"/>
  <c r="BP244" i="17"/>
  <c r="BM242" i="17"/>
  <c r="BI240" i="17"/>
  <c r="BS237" i="17"/>
  <c r="BR235" i="17"/>
  <c r="BJ268" i="17"/>
  <c r="BR265" i="17"/>
  <c r="BO263" i="17"/>
  <c r="BL261" i="17"/>
  <c r="BS258" i="17"/>
  <c r="BP256" i="17"/>
  <c r="BM254" i="17"/>
  <c r="BJ252" i="17"/>
  <c r="BR249" i="17"/>
  <c r="BO244" i="17"/>
  <c r="BL242" i="17"/>
  <c r="BH240" i="17"/>
  <c r="BR237" i="17"/>
  <c r="BQ235" i="17"/>
  <c r="BI268" i="17"/>
  <c r="BQ265" i="17"/>
  <c r="BN263" i="17"/>
  <c r="BI261" i="17"/>
  <c r="BR258" i="17"/>
  <c r="BO256" i="17"/>
  <c r="BL254" i="17"/>
  <c r="BI252" i="17"/>
  <c r="BQ249" i="17"/>
  <c r="BN244" i="17"/>
  <c r="BI242" i="17"/>
  <c r="BS239" i="17"/>
  <c r="BQ237" i="17"/>
  <c r="BP235" i="17"/>
  <c r="BS267" i="17"/>
  <c r="BP265" i="17"/>
  <c r="BM263" i="17"/>
  <c r="BH261" i="17"/>
  <c r="BQ258" i="17"/>
  <c r="BN256" i="17"/>
  <c r="BK254" i="17"/>
  <c r="BS251" i="17"/>
  <c r="BP249" i="17"/>
  <c r="BM244" i="17"/>
  <c r="BH242" i="17"/>
  <c r="BR239" i="17"/>
  <c r="BP237" i="17"/>
  <c r="BO235" i="17"/>
  <c r="BQ267" i="17"/>
  <c r="BN265" i="17"/>
  <c r="BI263" i="17"/>
  <c r="BR260" i="17"/>
  <c r="BO258" i="17"/>
  <c r="BL256" i="17"/>
  <c r="BI254" i="17"/>
  <c r="BQ251" i="17"/>
  <c r="BN249" i="17"/>
  <c r="BI244" i="17"/>
  <c r="BR241" i="17"/>
  <c r="BP239" i="17"/>
  <c r="BN237" i="17"/>
  <c r="BM235" i="17"/>
  <c r="AY268" i="17"/>
  <c r="AY266" i="17"/>
  <c r="AY264" i="17"/>
  <c r="AY262" i="17"/>
  <c r="AY260" i="17"/>
  <c r="AY258" i="17"/>
  <c r="AY256" i="17"/>
  <c r="AY254" i="17"/>
  <c r="AY252" i="17"/>
  <c r="AY250" i="17"/>
  <c r="AY246" i="17"/>
  <c r="AY243" i="17"/>
  <c r="AY241" i="17"/>
  <c r="BR267" i="17"/>
  <c r="BO265" i="17"/>
  <c r="BL263" i="17"/>
  <c r="BS260" i="17"/>
  <c r="BP258" i="17"/>
  <c r="BM256" i="17"/>
  <c r="BJ254" i="17"/>
  <c r="BR251" i="17"/>
  <c r="BO249" i="17"/>
  <c r="BL244" i="17"/>
  <c r="AZ269" i="17"/>
  <c r="AZ267" i="17"/>
  <c r="AZ265" i="17"/>
  <c r="AZ263" i="17"/>
  <c r="AZ261" i="17"/>
  <c r="AZ259" i="17"/>
  <c r="AZ257" i="17"/>
  <c r="AZ255" i="17"/>
  <c r="AZ253" i="17"/>
  <c r="AZ251" i="17"/>
  <c r="AZ249" i="17"/>
  <c r="AZ244" i="17"/>
  <c r="BS241" i="17"/>
  <c r="BQ239" i="17"/>
  <c r="BO237" i="17"/>
  <c r="BN235" i="17"/>
  <c r="BC268" i="17"/>
  <c r="BA266" i="17"/>
  <c r="AX264" i="17"/>
  <c r="AV262" i="17"/>
  <c r="AT260" i="17"/>
  <c r="BD257" i="17"/>
  <c r="BB255" i="17"/>
  <c r="AY253" i="17"/>
  <c r="AW251" i="17"/>
  <c r="AU249" i="17"/>
  <c r="BE243" i="17"/>
  <c r="BD241" i="17"/>
  <c r="BC239" i="17"/>
  <c r="BC237" i="17"/>
  <c r="BC235" i="17"/>
  <c r="BB268" i="17"/>
  <c r="AZ266" i="17"/>
  <c r="AW264" i="17"/>
  <c r="AU262" i="17"/>
  <c r="BE259" i="17"/>
  <c r="BC257" i="17"/>
  <c r="BA255" i="17"/>
  <c r="AX253" i="17"/>
  <c r="AV251" i="17"/>
  <c r="AT249" i="17"/>
  <c r="BD243" i="17"/>
  <c r="BC241" i="17"/>
  <c r="BB239" i="17"/>
  <c r="BB237" i="17"/>
  <c r="BB235" i="17"/>
  <c r="BA268" i="17"/>
  <c r="AX266" i="17"/>
  <c r="AV264" i="17"/>
  <c r="AT262" i="17"/>
  <c r="BD259" i="17"/>
  <c r="BB257" i="17"/>
  <c r="AY255" i="17"/>
  <c r="AW253" i="17"/>
  <c r="AU251" i="17"/>
  <c r="BE246" i="17"/>
  <c r="BC243" i="17"/>
  <c r="BB241" i="17"/>
  <c r="BA239" i="17"/>
  <c r="BA237" i="17"/>
  <c r="BA235" i="17"/>
  <c r="AZ268" i="17"/>
  <c r="AW266" i="17"/>
  <c r="AU264" i="17"/>
  <c r="BE261" i="17"/>
  <c r="BC259" i="17"/>
  <c r="BA257" i="17"/>
  <c r="AX255" i="17"/>
  <c r="AV253" i="17"/>
  <c r="AT251" i="17"/>
  <c r="BD246" i="17"/>
  <c r="BB243" i="17"/>
  <c r="BA241" i="17"/>
  <c r="AZ239" i="17"/>
  <c r="AZ237" i="17"/>
  <c r="AZ235" i="17"/>
  <c r="AX268" i="17"/>
  <c r="AV266" i="17"/>
  <c r="AT264" i="17"/>
  <c r="BD261" i="17"/>
  <c r="BB259" i="17"/>
  <c r="AY257" i="17"/>
  <c r="AW255" i="17"/>
  <c r="AU253" i="17"/>
  <c r="BE250" i="17"/>
  <c r="BC246" i="17"/>
  <c r="BA243" i="17"/>
  <c r="AZ241" i="17"/>
  <c r="AY239" i="17"/>
  <c r="AY237" i="17"/>
  <c r="AY235" i="17"/>
  <c r="AW268" i="17"/>
  <c r="AU266" i="17"/>
  <c r="BE263" i="17"/>
  <c r="BC261" i="17"/>
  <c r="BA259" i="17"/>
  <c r="AX257" i="17"/>
  <c r="AV255" i="17"/>
  <c r="AT253" i="17"/>
  <c r="BD250" i="17"/>
  <c r="BB246" i="17"/>
  <c r="AZ243" i="17"/>
  <c r="AX241" i="17"/>
  <c r="AX239" i="17"/>
  <c r="AX237" i="17"/>
  <c r="AX235" i="17"/>
  <c r="AV268" i="17"/>
  <c r="AT266" i="17"/>
  <c r="BD263" i="17"/>
  <c r="BB261" i="17"/>
  <c r="AY259" i="17"/>
  <c r="AW257" i="17"/>
  <c r="AU255" i="17"/>
  <c r="BE252" i="17"/>
  <c r="BC250" i="17"/>
  <c r="BA246" i="17"/>
  <c r="AX243" i="17"/>
  <c r="AW241" i="17"/>
  <c r="AW239" i="17"/>
  <c r="AW237" i="17"/>
  <c r="AW235" i="17"/>
  <c r="AU268" i="17"/>
  <c r="BE265" i="17"/>
  <c r="BC263" i="17"/>
  <c r="BA261" i="17"/>
  <c r="AX259" i="17"/>
  <c r="AV257" i="17"/>
  <c r="AT255" i="17"/>
  <c r="BD252" i="17"/>
  <c r="BB250" i="17"/>
  <c r="AZ246" i="17"/>
  <c r="AW243" i="17"/>
  <c r="AV241" i="17"/>
  <c r="AV239" i="17"/>
  <c r="AV237" i="17"/>
  <c r="AV235" i="17"/>
  <c r="AT268" i="17"/>
  <c r="BD265" i="17"/>
  <c r="BB263" i="17"/>
  <c r="AY261" i="17"/>
  <c r="AW259" i="17"/>
  <c r="AU257" i="17"/>
  <c r="BE254" i="17"/>
  <c r="BC252" i="17"/>
  <c r="BA250" i="17"/>
  <c r="AX246" i="17"/>
  <c r="AV243" i="17"/>
  <c r="AU241" i="17"/>
  <c r="AU239" i="17"/>
  <c r="AU237" i="17"/>
  <c r="AU235" i="17"/>
  <c r="BE267" i="17"/>
  <c r="BC265" i="17"/>
  <c r="BA263" i="17"/>
  <c r="AX261" i="17"/>
  <c r="AV259" i="17"/>
  <c r="AT257" i="17"/>
  <c r="BD254" i="17"/>
  <c r="BB252" i="17"/>
  <c r="AZ250" i="17"/>
  <c r="AW246" i="17"/>
  <c r="AU243" i="17"/>
  <c r="AT241" i="17"/>
  <c r="AT239" i="17"/>
  <c r="AT237" i="17"/>
  <c r="AT235" i="17"/>
  <c r="BD267" i="17"/>
  <c r="BB265" i="17"/>
  <c r="AY263" i="17"/>
  <c r="AW261" i="17"/>
  <c r="AU259" i="17"/>
  <c r="BE256" i="17"/>
  <c r="BC254" i="17"/>
  <c r="BA252" i="17"/>
  <c r="AX250" i="17"/>
  <c r="AV246" i="17"/>
  <c r="AT243" i="17"/>
  <c r="BE240" i="17"/>
  <c r="BE238" i="17"/>
  <c r="BE236" i="17"/>
  <c r="BE234" i="17"/>
  <c r="BE269" i="17"/>
  <c r="BC267" i="17"/>
  <c r="BA265" i="17"/>
  <c r="AX263" i="17"/>
  <c r="AV261" i="17"/>
  <c r="AT259" i="17"/>
  <c r="BD256" i="17"/>
  <c r="BB254" i="17"/>
  <c r="AZ252" i="17"/>
  <c r="AW250" i="17"/>
  <c r="AU246" i="17"/>
  <c r="BE242" i="17"/>
  <c r="BD240" i="17"/>
  <c r="BD238" i="17"/>
  <c r="BD236" i="17"/>
  <c r="BD234" i="17"/>
  <c r="BD269" i="17"/>
  <c r="BB267" i="17"/>
  <c r="AY265" i="17"/>
  <c r="AW263" i="17"/>
  <c r="AU261" i="17"/>
  <c r="BE258" i="17"/>
  <c r="BC256" i="17"/>
  <c r="BA254" i="17"/>
  <c r="AX252" i="17"/>
  <c r="AV250" i="17"/>
  <c r="AT246" i="17"/>
  <c r="BD242" i="17"/>
  <c r="BC240" i="17"/>
  <c r="BC238" i="17"/>
  <c r="BC236" i="17"/>
  <c r="BC234" i="17"/>
  <c r="BC269" i="17"/>
  <c r="BA267" i="17"/>
  <c r="AX265" i="17"/>
  <c r="AV263" i="17"/>
  <c r="AT261" i="17"/>
  <c r="BD258" i="17"/>
  <c r="BB256" i="17"/>
  <c r="AZ254" i="17"/>
  <c r="AW252" i="17"/>
  <c r="AU250" i="17"/>
  <c r="BE244" i="17"/>
  <c r="BC242" i="17"/>
  <c r="BB240" i="17"/>
  <c r="BB238" i="17"/>
  <c r="BB236" i="17"/>
  <c r="BB234" i="17"/>
  <c r="BB269" i="17"/>
  <c r="AY267" i="17"/>
  <c r="AW265" i="17"/>
  <c r="AU263" i="17"/>
  <c r="BE260" i="17"/>
  <c r="BC258" i="17"/>
  <c r="BA256" i="17"/>
  <c r="AX254" i="17"/>
  <c r="AV252" i="17"/>
  <c r="AT250" i="17"/>
  <c r="BD244" i="17"/>
  <c r="BB242" i="17"/>
  <c r="BA240" i="17"/>
  <c r="BA238" i="17"/>
  <c r="BA236" i="17"/>
  <c r="BA234" i="17"/>
  <c r="BA269" i="17"/>
  <c r="AX267" i="17"/>
  <c r="AV265" i="17"/>
  <c r="AT263" i="17"/>
  <c r="BD260" i="17"/>
  <c r="BB258" i="17"/>
  <c r="AZ256" i="17"/>
  <c r="AW254" i="17"/>
  <c r="AU252" i="17"/>
  <c r="BE249" i="17"/>
  <c r="BC244" i="17"/>
  <c r="BA242" i="17"/>
  <c r="AZ240" i="17"/>
  <c r="AZ238" i="17"/>
  <c r="AZ236" i="17"/>
  <c r="AZ234" i="17"/>
  <c r="AY269" i="17"/>
  <c r="AW267" i="17"/>
  <c r="AU265" i="17"/>
  <c r="BE262" i="17"/>
  <c r="BC260" i="17"/>
  <c r="BA258" i="17"/>
  <c r="AX256" i="17"/>
  <c r="AV254" i="17"/>
  <c r="AT252" i="17"/>
  <c r="BD249" i="17"/>
  <c r="BB244" i="17"/>
  <c r="AZ242" i="17"/>
  <c r="AY240" i="17"/>
  <c r="AY238" i="17"/>
  <c r="AY236" i="17"/>
  <c r="AY234" i="17"/>
  <c r="AX269" i="17"/>
  <c r="AV267" i="17"/>
  <c r="AT265" i="17"/>
  <c r="BD262" i="17"/>
  <c r="BB260" i="17"/>
  <c r="AZ258" i="17"/>
  <c r="AW256" i="17"/>
  <c r="AU254" i="17"/>
  <c r="BE251" i="17"/>
  <c r="BC249" i="17"/>
  <c r="BA244" i="17"/>
  <c r="AY242" i="17"/>
  <c r="AX240" i="17"/>
  <c r="AX238" i="17"/>
  <c r="AX236" i="17"/>
  <c r="AX234" i="17"/>
  <c r="AW269" i="17"/>
  <c r="AU267" i="17"/>
  <c r="BE264" i="17"/>
  <c r="BC262" i="17"/>
  <c r="BA260" i="17"/>
  <c r="AX258" i="17"/>
  <c r="AV256" i="17"/>
  <c r="AT254" i="17"/>
  <c r="BD251" i="17"/>
  <c r="BB249" i="17"/>
  <c r="AY244" i="17"/>
  <c r="AX242" i="17"/>
  <c r="AW240" i="17"/>
  <c r="AW238" i="17"/>
  <c r="AW236" i="17"/>
  <c r="AW234" i="17"/>
  <c r="AV269" i="17"/>
  <c r="AT267" i="17"/>
  <c r="BD264" i="17"/>
  <c r="BB262" i="17"/>
  <c r="AZ260" i="17"/>
  <c r="AW258" i="17"/>
  <c r="AU256" i="17"/>
  <c r="BE253" i="17"/>
  <c r="BC251" i="17"/>
  <c r="BA249" i="17"/>
  <c r="AX244" i="17"/>
  <c r="AW242" i="17"/>
  <c r="AV240" i="17"/>
  <c r="AV238" i="17"/>
  <c r="AV236" i="17"/>
  <c r="AV234" i="17"/>
  <c r="AU269" i="17"/>
  <c r="BE266" i="17"/>
  <c r="BC264" i="17"/>
  <c r="BA262" i="17"/>
  <c r="AX260" i="17"/>
  <c r="AV258" i="17"/>
  <c r="AT256" i="17"/>
  <c r="BD253" i="17"/>
  <c r="BB251" i="17"/>
  <c r="AY249" i="17"/>
  <c r="AW244" i="17"/>
  <c r="AV242" i="17"/>
  <c r="AU240" i="17"/>
  <c r="AU238" i="17"/>
  <c r="AU236" i="17"/>
  <c r="AU234" i="17"/>
  <c r="BD268" i="17"/>
  <c r="BB266" i="17"/>
  <c r="AZ264" i="17"/>
  <c r="AW262" i="17"/>
  <c r="AU260" i="17"/>
  <c r="BE257" i="17"/>
  <c r="BC255" i="17"/>
  <c r="BA253" i="17"/>
  <c r="AX251" i="17"/>
  <c r="AV249" i="17"/>
  <c r="AT244" i="17"/>
  <c r="BE241" i="17"/>
  <c r="BD239" i="17"/>
  <c r="BD237" i="17"/>
  <c r="BD235" i="17"/>
  <c r="BA264" i="17"/>
  <c r="BE235" i="17"/>
  <c r="U268" i="17"/>
  <c r="U266" i="17"/>
  <c r="U264" i="17"/>
  <c r="U262" i="17"/>
  <c r="U260" i="17"/>
  <c r="U258" i="17"/>
  <c r="U256" i="17"/>
  <c r="AZ262" i="17"/>
  <c r="AT234" i="17"/>
  <c r="T268" i="17"/>
  <c r="T266" i="17"/>
  <c r="T264" i="17"/>
  <c r="T262" i="17"/>
  <c r="T260" i="17"/>
  <c r="T258" i="17"/>
  <c r="AX262" i="17"/>
  <c r="AW260" i="17"/>
  <c r="AV260" i="17"/>
  <c r="AU258" i="17"/>
  <c r="AT258" i="17"/>
  <c r="BE255" i="17"/>
  <c r="BD255" i="17"/>
  <c r="BC253" i="17"/>
  <c r="X269" i="17"/>
  <c r="BB253" i="17"/>
  <c r="W269" i="17"/>
  <c r="W267" i="17"/>
  <c r="BA251" i="17"/>
  <c r="AY251" i="17"/>
  <c r="AX249" i="17"/>
  <c r="AW249" i="17"/>
  <c r="AV244" i="17"/>
  <c r="AU244" i="17"/>
  <c r="AU242" i="17"/>
  <c r="AT242" i="17"/>
  <c r="AT269" i="17"/>
  <c r="AT240" i="17"/>
  <c r="BE268" i="17"/>
  <c r="BE239" i="17"/>
  <c r="BB264" i="17"/>
  <c r="AT236" i="17"/>
  <c r="X268" i="17"/>
  <c r="S266" i="17"/>
  <c r="AC263" i="17"/>
  <c r="AA261" i="17"/>
  <c r="Y259" i="17"/>
  <c r="W257" i="17"/>
  <c r="V255" i="17"/>
  <c r="V253" i="17"/>
  <c r="V251" i="17"/>
  <c r="V249" i="17"/>
  <c r="V244" i="17"/>
  <c r="V242" i="17"/>
  <c r="V240" i="17"/>
  <c r="V238" i="17"/>
  <c r="V236" i="17"/>
  <c r="V234" i="17"/>
  <c r="W268" i="17"/>
  <c r="R266" i="17"/>
  <c r="AB263" i="17"/>
  <c r="Z261" i="17"/>
  <c r="X259" i="17"/>
  <c r="V257" i="17"/>
  <c r="U255" i="17"/>
  <c r="U253" i="17"/>
  <c r="U251" i="17"/>
  <c r="U249" i="17"/>
  <c r="U244" i="17"/>
  <c r="U242" i="17"/>
  <c r="U240" i="17"/>
  <c r="U238" i="17"/>
  <c r="U236" i="17"/>
  <c r="U234" i="17"/>
  <c r="V268" i="17"/>
  <c r="AC265" i="17"/>
  <c r="AA263" i="17"/>
  <c r="Y261" i="17"/>
  <c r="W259" i="17"/>
  <c r="U257" i="17"/>
  <c r="T255" i="17"/>
  <c r="T253" i="17"/>
  <c r="T251" i="17"/>
  <c r="T249" i="17"/>
  <c r="T244" i="17"/>
  <c r="T242" i="17"/>
  <c r="T240" i="17"/>
  <c r="T238" i="17"/>
  <c r="T236" i="17"/>
  <c r="T234" i="17"/>
  <c r="S268" i="17"/>
  <c r="AB265" i="17"/>
  <c r="Z263" i="17"/>
  <c r="X261" i="17"/>
  <c r="V259" i="17"/>
  <c r="T257" i="17"/>
  <c r="S255" i="17"/>
  <c r="S253" i="17"/>
  <c r="S251" i="17"/>
  <c r="S249" i="17"/>
  <c r="S244" i="17"/>
  <c r="S242" i="17"/>
  <c r="S240" i="17"/>
  <c r="S238" i="17"/>
  <c r="S236" i="17"/>
  <c r="S234" i="17"/>
  <c r="R268" i="17"/>
  <c r="AA265" i="17"/>
  <c r="Y263" i="17"/>
  <c r="W261" i="17"/>
  <c r="U259" i="17"/>
  <c r="S257" i="17"/>
  <c r="R255" i="17"/>
  <c r="R253" i="17"/>
  <c r="R251" i="17"/>
  <c r="R249" i="17"/>
  <c r="R244" i="17"/>
  <c r="R242" i="17"/>
  <c r="R240" i="17"/>
  <c r="R238" i="17"/>
  <c r="R236" i="17"/>
  <c r="R234" i="17"/>
  <c r="BD266" i="17"/>
  <c r="AC267" i="17"/>
  <c r="Z265" i="17"/>
  <c r="X263" i="17"/>
  <c r="V261" i="17"/>
  <c r="T259" i="17"/>
  <c r="R257" i="17"/>
  <c r="AC254" i="17"/>
  <c r="AC252" i="17"/>
  <c r="AC250" i="17"/>
  <c r="AC246" i="17"/>
  <c r="AC243" i="17"/>
  <c r="AC241" i="17"/>
  <c r="AC239" i="17"/>
  <c r="AC237" i="17"/>
  <c r="AC235" i="17"/>
  <c r="BC266" i="17"/>
  <c r="AB267" i="17"/>
  <c r="Y265" i="17"/>
  <c r="W263" i="17"/>
  <c r="U261" i="17"/>
  <c r="S259" i="17"/>
  <c r="AC256" i="17"/>
  <c r="AB254" i="17"/>
  <c r="AB252" i="17"/>
  <c r="AB250" i="17"/>
  <c r="AB246" i="17"/>
  <c r="AB243" i="17"/>
  <c r="AB241" i="17"/>
  <c r="AB239" i="17"/>
  <c r="AB237" i="17"/>
  <c r="AB235" i="17"/>
  <c r="AT238" i="17"/>
  <c r="AA267" i="17"/>
  <c r="X265" i="17"/>
  <c r="V263" i="17"/>
  <c r="T261" i="17"/>
  <c r="R259" i="17"/>
  <c r="AB256" i="17"/>
  <c r="AA254" i="17"/>
  <c r="AA252" i="17"/>
  <c r="AA250" i="17"/>
  <c r="AA246" i="17"/>
  <c r="AA243" i="17"/>
  <c r="AA241" i="17"/>
  <c r="AA239" i="17"/>
  <c r="AA237" i="17"/>
  <c r="AA235" i="17"/>
  <c r="BE237" i="17"/>
  <c r="Z267" i="17"/>
  <c r="W265" i="17"/>
  <c r="U263" i="17"/>
  <c r="S261" i="17"/>
  <c r="AC258" i="17"/>
  <c r="AA256" i="17"/>
  <c r="Z254" i="17"/>
  <c r="Z252" i="17"/>
  <c r="Z250" i="17"/>
  <c r="Z246" i="17"/>
  <c r="Z243" i="17"/>
  <c r="Z241" i="17"/>
  <c r="Z239" i="17"/>
  <c r="Z237" i="17"/>
  <c r="Z235" i="17"/>
  <c r="AC269" i="17"/>
  <c r="Y267" i="17"/>
  <c r="V265" i="17"/>
  <c r="T263" i="17"/>
  <c r="R261" i="17"/>
  <c r="AB258" i="17"/>
  <c r="Z256" i="17"/>
  <c r="Y254" i="17"/>
  <c r="Y252" i="17"/>
  <c r="Y250" i="17"/>
  <c r="Y246" i="17"/>
  <c r="Y243" i="17"/>
  <c r="Y241" i="17"/>
  <c r="Y239" i="17"/>
  <c r="Y237" i="17"/>
  <c r="Y235" i="17"/>
  <c r="AB269" i="17"/>
  <c r="X267" i="17"/>
  <c r="U265" i="17"/>
  <c r="S263" i="17"/>
  <c r="AC260" i="17"/>
  <c r="AA258" i="17"/>
  <c r="Y256" i="17"/>
  <c r="X254" i="17"/>
  <c r="X252" i="17"/>
  <c r="X250" i="17"/>
  <c r="X246" i="17"/>
  <c r="X243" i="17"/>
  <c r="X241" i="17"/>
  <c r="X239" i="17"/>
  <c r="X237" i="17"/>
  <c r="X235" i="17"/>
  <c r="AA269" i="17"/>
  <c r="V267" i="17"/>
  <c r="T265" i="17"/>
  <c r="R263" i="17"/>
  <c r="AB260" i="17"/>
  <c r="Z258" i="17"/>
  <c r="X256" i="17"/>
  <c r="W254" i="17"/>
  <c r="W252" i="17"/>
  <c r="W250" i="17"/>
  <c r="W246" i="17"/>
  <c r="W243" i="17"/>
  <c r="W241" i="17"/>
  <c r="W239" i="17"/>
  <c r="W237" i="17"/>
  <c r="W235" i="17"/>
  <c r="Z269" i="17"/>
  <c r="U267" i="17"/>
  <c r="S265" i="17"/>
  <c r="AC262" i="17"/>
  <c r="AA260" i="17"/>
  <c r="Y258" i="17"/>
  <c r="W256" i="17"/>
  <c r="V254" i="17"/>
  <c r="V252" i="17"/>
  <c r="V250" i="17"/>
  <c r="V246" i="17"/>
  <c r="V243" i="17"/>
  <c r="V241" i="17"/>
  <c r="V239" i="17"/>
  <c r="V237" i="17"/>
  <c r="V235" i="17"/>
  <c r="Y269" i="17"/>
  <c r="T267" i="17"/>
  <c r="R265" i="17"/>
  <c r="AB262" i="17"/>
  <c r="Z260" i="17"/>
  <c r="X258" i="17"/>
  <c r="V256" i="17"/>
  <c r="U254" i="17"/>
  <c r="U252" i="17"/>
  <c r="U250" i="17"/>
  <c r="U246" i="17"/>
  <c r="U243" i="17"/>
  <c r="U241" i="17"/>
  <c r="U239" i="17"/>
  <c r="U237" i="17"/>
  <c r="U235" i="17"/>
  <c r="V269" i="17"/>
  <c r="S267" i="17"/>
  <c r="AC264" i="17"/>
  <c r="AA262" i="17"/>
  <c r="Y260" i="17"/>
  <c r="W258" i="17"/>
  <c r="T256" i="17"/>
  <c r="T254" i="17"/>
  <c r="T252" i="17"/>
  <c r="T250" i="17"/>
  <c r="T246" i="17"/>
  <c r="T243" i="17"/>
  <c r="T241" i="17"/>
  <c r="T239" i="17"/>
  <c r="T237" i="17"/>
  <c r="T235" i="17"/>
  <c r="U269" i="17"/>
  <c r="R267" i="17"/>
  <c r="AB264" i="17"/>
  <c r="Z262" i="17"/>
  <c r="X260" i="17"/>
  <c r="V258" i="17"/>
  <c r="S256" i="17"/>
  <c r="S254" i="17"/>
  <c r="S252" i="17"/>
  <c r="S250" i="17"/>
  <c r="S246" i="17"/>
  <c r="S243" i="17"/>
  <c r="S241" i="17"/>
  <c r="S239" i="17"/>
  <c r="S237" i="17"/>
  <c r="S235" i="17"/>
  <c r="T269" i="17"/>
  <c r="AC266" i="17"/>
  <c r="AA264" i="17"/>
  <c r="Y262" i="17"/>
  <c r="W260" i="17"/>
  <c r="S258" i="17"/>
  <c r="R256" i="17"/>
  <c r="R254" i="17"/>
  <c r="R252" i="17"/>
  <c r="R250" i="17"/>
  <c r="R246" i="17"/>
  <c r="R243" i="17"/>
  <c r="R241" i="17"/>
  <c r="R239" i="17"/>
  <c r="R237" i="17"/>
  <c r="R235" i="17"/>
  <c r="S269" i="17"/>
  <c r="AB266" i="17"/>
  <c r="Z264" i="17"/>
  <c r="X262" i="17"/>
  <c r="V260" i="17"/>
  <c r="R258" i="17"/>
  <c r="AC255" i="17"/>
  <c r="AC253" i="17"/>
  <c r="AC251" i="17"/>
  <c r="AC249" i="17"/>
  <c r="AC244" i="17"/>
  <c r="AC242" i="17"/>
  <c r="AC240" i="17"/>
  <c r="AC238" i="17"/>
  <c r="AC236" i="17"/>
  <c r="AC234" i="17"/>
  <c r="R269" i="17"/>
  <c r="AA266" i="17"/>
  <c r="Y264" i="17"/>
  <c r="W262" i="17"/>
  <c r="S260" i="17"/>
  <c r="AC257" i="17"/>
  <c r="AB255" i="17"/>
  <c r="AB253" i="17"/>
  <c r="AB251" i="17"/>
  <c r="AB249" i="17"/>
  <c r="AB244" i="17"/>
  <c r="AB242" i="17"/>
  <c r="AB240" i="17"/>
  <c r="AB238" i="17"/>
  <c r="AB236" i="17"/>
  <c r="AB234" i="17"/>
  <c r="AC268" i="17"/>
  <c r="Z266" i="17"/>
  <c r="X264" i="17"/>
  <c r="V262" i="17"/>
  <c r="R260" i="17"/>
  <c r="AB257" i="17"/>
  <c r="AA255" i="17"/>
  <c r="AA253" i="17"/>
  <c r="AA251" i="17"/>
  <c r="AA249" i="17"/>
  <c r="AA244" i="17"/>
  <c r="AA242" i="17"/>
  <c r="AA240" i="17"/>
  <c r="AA238" i="17"/>
  <c r="AA236" i="17"/>
  <c r="AA234" i="17"/>
  <c r="AB268" i="17"/>
  <c r="Y266" i="17"/>
  <c r="W264" i="17"/>
  <c r="S262" i="17"/>
  <c r="AC259" i="17"/>
  <c r="AA257" i="17"/>
  <c r="Z255" i="17"/>
  <c r="Z253" i="17"/>
  <c r="Z251" i="17"/>
  <c r="Z249" i="17"/>
  <c r="Z244" i="17"/>
  <c r="Z242" i="17"/>
  <c r="Z240" i="17"/>
  <c r="Z238" i="17"/>
  <c r="Z236" i="17"/>
  <c r="Z234" i="17"/>
  <c r="Y268" i="17"/>
  <c r="V266" i="17"/>
  <c r="R264" i="17"/>
  <c r="AB261" i="17"/>
  <c r="Z259" i="17"/>
  <c r="X257" i="17"/>
  <c r="W255" i="17"/>
  <c r="W253" i="17"/>
  <c r="W251" i="17"/>
  <c r="W249" i="17"/>
  <c r="W244" i="17"/>
  <c r="W242" i="17"/>
  <c r="W240" i="17"/>
  <c r="W238" i="17"/>
  <c r="W236" i="17"/>
  <c r="W234" i="17"/>
  <c r="CU399" i="17"/>
  <c r="BS399" i="17"/>
  <c r="AQ399" i="17"/>
  <c r="CU397" i="17"/>
  <c r="BS397" i="17"/>
  <c r="AQ397" i="17"/>
  <c r="CT399" i="17"/>
  <c r="BR399" i="17"/>
  <c r="AP399" i="17"/>
  <c r="CT397" i="17"/>
  <c r="BR397" i="17"/>
  <c r="AP397" i="17"/>
  <c r="CS399" i="17"/>
  <c r="BQ399" i="17"/>
  <c r="AO399" i="17"/>
  <c r="CS397" i="17"/>
  <c r="BQ397" i="17"/>
  <c r="AO397" i="17"/>
  <c r="CR399" i="17"/>
  <c r="BP399" i="17"/>
  <c r="AN399" i="17"/>
  <c r="CR397" i="17"/>
  <c r="BP397" i="17"/>
  <c r="AN397" i="17"/>
  <c r="CQ399" i="17"/>
  <c r="BO399" i="17"/>
  <c r="AM399" i="17"/>
  <c r="CQ397" i="17"/>
  <c r="BO397" i="17"/>
  <c r="AM397" i="17"/>
  <c r="CP399" i="17"/>
  <c r="BN399" i="17"/>
  <c r="AL399" i="17"/>
  <c r="CP397" i="17"/>
  <c r="BN397" i="17"/>
  <c r="AL397" i="17"/>
  <c r="CO399" i="17"/>
  <c r="BM399" i="17"/>
  <c r="AK399" i="17"/>
  <c r="CO397" i="17"/>
  <c r="BM397" i="17"/>
  <c r="AK397" i="17"/>
  <c r="CN399" i="17"/>
  <c r="BL399" i="17"/>
  <c r="AJ399" i="17"/>
  <c r="CN397" i="17"/>
  <c r="BL397" i="17"/>
  <c r="AJ397" i="17"/>
  <c r="CM399" i="17"/>
  <c r="BK399" i="17"/>
  <c r="AI399" i="17"/>
  <c r="CM397" i="17"/>
  <c r="BK397" i="17"/>
  <c r="AI397" i="17"/>
  <c r="CL399" i="17"/>
  <c r="BJ399" i="17"/>
  <c r="AH399" i="17"/>
  <c r="CL397" i="17"/>
  <c r="BJ397" i="17"/>
  <c r="AH397" i="17"/>
  <c r="CK399" i="17"/>
  <c r="BI399" i="17"/>
  <c r="AG399" i="17"/>
  <c r="CK397" i="17"/>
  <c r="BI397" i="17"/>
  <c r="AG397" i="17"/>
  <c r="CJ399" i="17"/>
  <c r="BH399" i="17"/>
  <c r="AF399" i="17"/>
  <c r="CJ397" i="17"/>
  <c r="BH397" i="17"/>
  <c r="AF397" i="17"/>
  <c r="CG399" i="17"/>
  <c r="BE399" i="17"/>
  <c r="AC399" i="17"/>
  <c r="CG397" i="17"/>
  <c r="BE397" i="17"/>
  <c r="AC397" i="17"/>
  <c r="CF399" i="17"/>
  <c r="BD399" i="17"/>
  <c r="AB399" i="17"/>
  <c r="CF397" i="17"/>
  <c r="BD397" i="17"/>
  <c r="AB397" i="17"/>
  <c r="CE399" i="17"/>
  <c r="BC399" i="17"/>
  <c r="AA399" i="17"/>
  <c r="CE397" i="17"/>
  <c r="BC397" i="17"/>
  <c r="AA397" i="17"/>
  <c r="CD399" i="17"/>
  <c r="BB399" i="17"/>
  <c r="Z399" i="17"/>
  <c r="CD397" i="17"/>
  <c r="BB397" i="17"/>
  <c r="Z397" i="17"/>
  <c r="CC399" i="17"/>
  <c r="BA399" i="17"/>
  <c r="Y399" i="17"/>
  <c r="CC397" i="17"/>
  <c r="BA397" i="17"/>
  <c r="Y397" i="17"/>
  <c r="CB399" i="17"/>
  <c r="AZ399" i="17"/>
  <c r="X399" i="17"/>
  <c r="CB397" i="17"/>
  <c r="AZ397" i="17"/>
  <c r="X397" i="17"/>
  <c r="CA399" i="17"/>
  <c r="AY399" i="17"/>
  <c r="W399" i="17"/>
  <c r="CA397" i="17"/>
  <c r="AY397" i="17"/>
  <c r="W397" i="17"/>
  <c r="BZ399" i="17"/>
  <c r="AX399" i="17"/>
  <c r="V399" i="17"/>
  <c r="BZ397" i="17"/>
  <c r="AX397" i="17"/>
  <c r="V397" i="17"/>
  <c r="BY399" i="17"/>
  <c r="AW399" i="17"/>
  <c r="U399" i="17"/>
  <c r="BY397" i="17"/>
  <c r="AW397" i="17"/>
  <c r="U397" i="17"/>
  <c r="BX399" i="17"/>
  <c r="AV399" i="17"/>
  <c r="T399" i="17"/>
  <c r="BX397" i="17"/>
  <c r="AV397" i="17"/>
  <c r="T397" i="17"/>
  <c r="BW399" i="17"/>
  <c r="AU399" i="17"/>
  <c r="S399" i="17"/>
  <c r="BW397" i="17"/>
  <c r="AU397" i="17"/>
  <c r="S397" i="17"/>
  <c r="BV399" i="17"/>
  <c r="AT399" i="17"/>
  <c r="R399" i="17"/>
  <c r="BV397" i="17"/>
  <c r="AT397" i="17"/>
  <c r="R397" i="17"/>
  <c r="BV400" i="17"/>
  <c r="AT400" i="17"/>
  <c r="R400" i="17"/>
  <c r="AF421" i="17"/>
  <c r="AF419" i="17"/>
  <c r="AF417" i="17"/>
  <c r="AF415" i="17"/>
  <c r="AF413" i="17"/>
  <c r="AF411" i="17"/>
  <c r="AF409" i="17"/>
  <c r="AF407" i="17"/>
  <c r="AF405" i="17"/>
  <c r="AF403" i="17"/>
  <c r="AF401" i="17"/>
  <c r="AF396" i="17"/>
  <c r="AF394" i="17"/>
  <c r="AF392" i="17"/>
  <c r="AF390" i="17"/>
  <c r="AF388" i="17"/>
  <c r="CU400" i="17"/>
  <c r="BS400" i="17"/>
  <c r="AQ400" i="17"/>
  <c r="CT400" i="17"/>
  <c r="BR400" i="17"/>
  <c r="AP400" i="17"/>
  <c r="CS400" i="17"/>
  <c r="BQ400" i="17"/>
  <c r="AO400" i="17"/>
  <c r="CR400" i="17"/>
  <c r="BP400" i="17"/>
  <c r="AN400" i="17"/>
  <c r="CQ400" i="17"/>
  <c r="BO400" i="17"/>
  <c r="AM400" i="17"/>
  <c r="CP400" i="17"/>
  <c r="BN400" i="17"/>
  <c r="AL400" i="17"/>
  <c r="CO400" i="17"/>
  <c r="BM400" i="17"/>
  <c r="AK400" i="17"/>
  <c r="CN400" i="17"/>
  <c r="BL400" i="17"/>
  <c r="AJ400" i="17"/>
  <c r="CM400" i="17"/>
  <c r="BK400" i="17"/>
  <c r="AI400" i="17"/>
  <c r="CL400" i="17"/>
  <c r="BJ400" i="17"/>
  <c r="AH400" i="17"/>
  <c r="CK400" i="17"/>
  <c r="BI400" i="17"/>
  <c r="AG400" i="17"/>
  <c r="CJ400" i="17"/>
  <c r="BH400" i="17"/>
  <c r="AF400" i="17"/>
  <c r="CG400" i="17"/>
  <c r="BE400" i="17"/>
  <c r="AC400" i="17"/>
  <c r="CF400" i="17"/>
  <c r="BD400" i="17"/>
  <c r="AB400" i="17"/>
  <c r="CE400" i="17"/>
  <c r="BC400" i="17"/>
  <c r="AA400" i="17"/>
  <c r="CD400" i="17"/>
  <c r="BB400" i="17"/>
  <c r="Z400" i="17"/>
  <c r="CC400" i="17"/>
  <c r="BA400" i="17"/>
  <c r="Y400" i="17"/>
  <c r="CB400" i="17"/>
  <c r="AZ400" i="17"/>
  <c r="X400" i="17"/>
  <c r="CA400" i="17"/>
  <c r="AY400" i="17"/>
  <c r="W400" i="17"/>
  <c r="BZ400" i="17"/>
  <c r="AX400" i="17"/>
  <c r="BY400" i="17"/>
  <c r="AW400" i="17"/>
  <c r="U400" i="17"/>
  <c r="AP420" i="17"/>
  <c r="AO418" i="17"/>
  <c r="AN416" i="17"/>
  <c r="AM414" i="17"/>
  <c r="AL412" i="17"/>
  <c r="AK410" i="17"/>
  <c r="AJ408" i="17"/>
  <c r="AI406" i="17"/>
  <c r="AH404" i="17"/>
  <c r="AG402" i="17"/>
  <c r="AF398" i="17"/>
  <c r="AQ394" i="17"/>
  <c r="AP392" i="17"/>
  <c r="AO390" i="17"/>
  <c r="AN388" i="17"/>
  <c r="AM386" i="17"/>
  <c r="AO420" i="17"/>
  <c r="AN418" i="17"/>
  <c r="AM416" i="17"/>
  <c r="AL414" i="17"/>
  <c r="AK412" i="17"/>
  <c r="AJ410" i="17"/>
  <c r="AI408" i="17"/>
  <c r="AH406" i="17"/>
  <c r="AG404" i="17"/>
  <c r="AF402" i="17"/>
  <c r="AQ396" i="17"/>
  <c r="AP394" i="17"/>
  <c r="AO392" i="17"/>
  <c r="AN390" i="17"/>
  <c r="AM388" i="17"/>
  <c r="AL386" i="17"/>
  <c r="AN420" i="17"/>
  <c r="AM418" i="17"/>
  <c r="AL416" i="17"/>
  <c r="AK414" i="17"/>
  <c r="AJ412" i="17"/>
  <c r="AI410" i="17"/>
  <c r="AH408" i="17"/>
  <c r="AG406" i="17"/>
  <c r="AF404" i="17"/>
  <c r="AQ401" i="17"/>
  <c r="AP396" i="17"/>
  <c r="AO394" i="17"/>
  <c r="AN392" i="17"/>
  <c r="AM390" i="17"/>
  <c r="AL388" i="17"/>
  <c r="AK386" i="17"/>
  <c r="AM420" i="17"/>
  <c r="AL418" i="17"/>
  <c r="AK416" i="17"/>
  <c r="AJ414" i="17"/>
  <c r="AI412" i="17"/>
  <c r="AH410" i="17"/>
  <c r="AG408" i="17"/>
  <c r="AF406" i="17"/>
  <c r="AQ403" i="17"/>
  <c r="AP401" i="17"/>
  <c r="AO396" i="17"/>
  <c r="AN394" i="17"/>
  <c r="AM392" i="17"/>
  <c r="AL390" i="17"/>
  <c r="AK388" i="17"/>
  <c r="AJ386" i="17"/>
  <c r="AL420" i="17"/>
  <c r="AK418" i="17"/>
  <c r="AJ416" i="17"/>
  <c r="AI414" i="17"/>
  <c r="AH412" i="17"/>
  <c r="AG410" i="17"/>
  <c r="AF408" i="17"/>
  <c r="AQ405" i="17"/>
  <c r="AP403" i="17"/>
  <c r="AO401" i="17"/>
  <c r="AN396" i="17"/>
  <c r="AM394" i="17"/>
  <c r="AL392" i="17"/>
  <c r="AK390" i="17"/>
  <c r="AJ388" i="17"/>
  <c r="AI386" i="17"/>
  <c r="AK420" i="17"/>
  <c r="AJ418" i="17"/>
  <c r="AI416" i="17"/>
  <c r="AH414" i="17"/>
  <c r="AG412" i="17"/>
  <c r="AF410" i="17"/>
  <c r="AQ407" i="17"/>
  <c r="AP405" i="17"/>
  <c r="AO403" i="17"/>
  <c r="AN401" i="17"/>
  <c r="AM396" i="17"/>
  <c r="AL394" i="17"/>
  <c r="AK392" i="17"/>
  <c r="AJ390" i="17"/>
  <c r="AI388" i="17"/>
  <c r="AH386" i="17"/>
  <c r="BX400" i="17"/>
  <c r="AJ420" i="17"/>
  <c r="AI418" i="17"/>
  <c r="AH416" i="17"/>
  <c r="AG414" i="17"/>
  <c r="AF412" i="17"/>
  <c r="AQ409" i="17"/>
  <c r="AP407" i="17"/>
  <c r="AO405" i="17"/>
  <c r="AN403" i="17"/>
  <c r="AM401" i="17"/>
  <c r="AL396" i="17"/>
  <c r="AK394" i="17"/>
  <c r="AJ392" i="17"/>
  <c r="AI390" i="17"/>
  <c r="AH388" i="17"/>
  <c r="AG386" i="17"/>
  <c r="BW400" i="17"/>
  <c r="AI420" i="17"/>
  <c r="AH418" i="17"/>
  <c r="AG416" i="17"/>
  <c r="AF414" i="17"/>
  <c r="AQ411" i="17"/>
  <c r="AP409" i="17"/>
  <c r="AO407" i="17"/>
  <c r="AN405" i="17"/>
  <c r="AM403" i="17"/>
  <c r="AL401" i="17"/>
  <c r="AK396" i="17"/>
  <c r="AJ394" i="17"/>
  <c r="AI392" i="17"/>
  <c r="AH390" i="17"/>
  <c r="AG388" i="17"/>
  <c r="AF386" i="17"/>
  <c r="AV400" i="17"/>
  <c r="AH420" i="17"/>
  <c r="AG418" i="17"/>
  <c r="AF416" i="17"/>
  <c r="AQ413" i="17"/>
  <c r="AP411" i="17"/>
  <c r="AO409" i="17"/>
  <c r="AN407" i="17"/>
  <c r="AM405" i="17"/>
  <c r="AL403" i="17"/>
  <c r="AK401" i="17"/>
  <c r="AJ396" i="17"/>
  <c r="AI394" i="17"/>
  <c r="AH392" i="17"/>
  <c r="AG390" i="17"/>
  <c r="AQ387" i="17"/>
  <c r="AU400" i="17"/>
  <c r="AG420" i="17"/>
  <c r="AF418" i="17"/>
  <c r="AQ415" i="17"/>
  <c r="AP413" i="17"/>
  <c r="AO411" i="17"/>
  <c r="AN409" i="17"/>
  <c r="AM407" i="17"/>
  <c r="AL405" i="17"/>
  <c r="AK403" i="17"/>
  <c r="AJ401" i="17"/>
  <c r="AI396" i="17"/>
  <c r="AH394" i="17"/>
  <c r="AG392" i="17"/>
  <c r="AQ389" i="17"/>
  <c r="AP387" i="17"/>
  <c r="V400" i="17"/>
  <c r="AF420" i="17"/>
  <c r="AQ417" i="17"/>
  <c r="AP415" i="17"/>
  <c r="AO413" i="17"/>
  <c r="AN411" i="17"/>
  <c r="AM409" i="17"/>
  <c r="AL407" i="17"/>
  <c r="AK405" i="17"/>
  <c r="AJ403" i="17"/>
  <c r="AI401" i="17"/>
  <c r="AH396" i="17"/>
  <c r="AG394" i="17"/>
  <c r="AQ391" i="17"/>
  <c r="AP389" i="17"/>
  <c r="AO387" i="17"/>
  <c r="T400" i="17"/>
  <c r="AQ419" i="17"/>
  <c r="AP417" i="17"/>
  <c r="AO415" i="17"/>
  <c r="AN413" i="17"/>
  <c r="AM411" i="17"/>
  <c r="AL409" i="17"/>
  <c r="AK407" i="17"/>
  <c r="AJ405" i="17"/>
  <c r="AI403" i="17"/>
  <c r="AH401" i="17"/>
  <c r="AG396" i="17"/>
  <c r="AQ393" i="17"/>
  <c r="AP391" i="17"/>
  <c r="AO389" i="17"/>
  <c r="AN387" i="17"/>
  <c r="S400" i="17"/>
  <c r="AQ421" i="17"/>
  <c r="AP419" i="17"/>
  <c r="AO417" i="17"/>
  <c r="AN415" i="17"/>
  <c r="AM413" i="17"/>
  <c r="AL411" i="17"/>
  <c r="AK409" i="17"/>
  <c r="AJ407" i="17"/>
  <c r="AI405" i="17"/>
  <c r="AH403" i="17"/>
  <c r="AG401" i="17"/>
  <c r="AQ395" i="17"/>
  <c r="AP393" i="17"/>
  <c r="AO391" i="17"/>
  <c r="AN389" i="17"/>
  <c r="AM387" i="17"/>
  <c r="AP421" i="17"/>
  <c r="AO419" i="17"/>
  <c r="AN417" i="17"/>
  <c r="AM415" i="17"/>
  <c r="AL413" i="17"/>
  <c r="AK411" i="17"/>
  <c r="AJ409" i="17"/>
  <c r="AI407" i="17"/>
  <c r="AH405" i="17"/>
  <c r="AG403" i="17"/>
  <c r="AQ398" i="17"/>
  <c r="AP395" i="17"/>
  <c r="AO393" i="17"/>
  <c r="AN391" i="17"/>
  <c r="AM389" i="17"/>
  <c r="AL387" i="17"/>
  <c r="AO421" i="17"/>
  <c r="AN419" i="17"/>
  <c r="AM417" i="17"/>
  <c r="AL415" i="17"/>
  <c r="AK413" i="17"/>
  <c r="AJ411" i="17"/>
  <c r="AI409" i="17"/>
  <c r="AH407" i="17"/>
  <c r="AG405" i="17"/>
  <c r="AQ402" i="17"/>
  <c r="AP398" i="17"/>
  <c r="AO395" i="17"/>
  <c r="AN393" i="17"/>
  <c r="AM391" i="17"/>
  <c r="AL389" i="17"/>
  <c r="AK387" i="17"/>
  <c r="AN421" i="17"/>
  <c r="AM419" i="17"/>
  <c r="AL417" i="17"/>
  <c r="AK415" i="17"/>
  <c r="AJ413" i="17"/>
  <c r="AI411" i="17"/>
  <c r="AH409" i="17"/>
  <c r="AG407" i="17"/>
  <c r="AQ404" i="17"/>
  <c r="AP402" i="17"/>
  <c r="AO398" i="17"/>
  <c r="AN395" i="17"/>
  <c r="AM393" i="17"/>
  <c r="AL391" i="17"/>
  <c r="AK389" i="17"/>
  <c r="AJ387" i="17"/>
  <c r="AM421" i="17"/>
  <c r="AL419" i="17"/>
  <c r="AK417" i="17"/>
  <c r="AJ415" i="17"/>
  <c r="AI413" i="17"/>
  <c r="AH411" i="17"/>
  <c r="AG409" i="17"/>
  <c r="AQ406" i="17"/>
  <c r="AP404" i="17"/>
  <c r="AO402" i="17"/>
  <c r="AN398" i="17"/>
  <c r="AM395" i="17"/>
  <c r="AL393" i="17"/>
  <c r="AK391" i="17"/>
  <c r="AJ389" i="17"/>
  <c r="AI387" i="17"/>
  <c r="AL421" i="17"/>
  <c r="AK419" i="17"/>
  <c r="AJ417" i="17"/>
  <c r="AI415" i="17"/>
  <c r="AH413" i="17"/>
  <c r="AG411" i="17"/>
  <c r="AQ408" i="17"/>
  <c r="AP406" i="17"/>
  <c r="AO404" i="17"/>
  <c r="AN402" i="17"/>
  <c r="AM398" i="17"/>
  <c r="AL395" i="17"/>
  <c r="AK393" i="17"/>
  <c r="AJ391" i="17"/>
  <c r="AI389" i="17"/>
  <c r="AH387" i="17"/>
  <c r="AK421" i="17"/>
  <c r="AJ419" i="17"/>
  <c r="AI417" i="17"/>
  <c r="AH415" i="17"/>
  <c r="AG413" i="17"/>
  <c r="AQ410" i="17"/>
  <c r="AP408" i="17"/>
  <c r="AO406" i="17"/>
  <c r="AN404" i="17"/>
  <c r="AM402" i="17"/>
  <c r="AL398" i="17"/>
  <c r="AK395" i="17"/>
  <c r="AJ393" i="17"/>
  <c r="AI391" i="17"/>
  <c r="AH389" i="17"/>
  <c r="AG387" i="17"/>
  <c r="AJ421" i="17"/>
  <c r="AI419" i="17"/>
  <c r="AH417" i="17"/>
  <c r="AG415" i="17"/>
  <c r="AQ412" i="17"/>
  <c r="AP410" i="17"/>
  <c r="AO408" i="17"/>
  <c r="AN406" i="17"/>
  <c r="AM404" i="17"/>
  <c r="AL402" i="17"/>
  <c r="AK398" i="17"/>
  <c r="AJ395" i="17"/>
  <c r="AI393" i="17"/>
  <c r="AH391" i="17"/>
  <c r="AG389" i="17"/>
  <c r="AF387" i="17"/>
  <c r="AI421" i="17"/>
  <c r="AH419" i="17"/>
  <c r="AG417" i="17"/>
  <c r="AQ414" i="17"/>
  <c r="AP412" i="17"/>
  <c r="AO410" i="17"/>
  <c r="AN408" i="17"/>
  <c r="AM406" i="17"/>
  <c r="AL404" i="17"/>
  <c r="AK402" i="17"/>
  <c r="AJ398" i="17"/>
  <c r="AI395" i="17"/>
  <c r="AH393" i="17"/>
  <c r="AG391" i="17"/>
  <c r="AF389" i="17"/>
  <c r="AQ386" i="17"/>
  <c r="AH421" i="17"/>
  <c r="AG419" i="17"/>
  <c r="AQ416" i="17"/>
  <c r="AP414" i="17"/>
  <c r="AO412" i="17"/>
  <c r="AN410" i="17"/>
  <c r="AM408" i="17"/>
  <c r="AL406" i="17"/>
  <c r="AK404" i="17"/>
  <c r="AJ402" i="17"/>
  <c r="AI398" i="17"/>
  <c r="AH395" i="17"/>
  <c r="AG393" i="17"/>
  <c r="AF391" i="17"/>
  <c r="AQ388" i="17"/>
  <c r="AP386" i="17"/>
  <c r="AQ420" i="17"/>
  <c r="AP418" i="17"/>
  <c r="AO416" i="17"/>
  <c r="AN414" i="17"/>
  <c r="AM412" i="17"/>
  <c r="AL410" i="17"/>
  <c r="AK408" i="17"/>
  <c r="AJ406" i="17"/>
  <c r="AI404" i="17"/>
  <c r="AH402" i="17"/>
  <c r="AG398" i="17"/>
  <c r="AF395" i="17"/>
  <c r="AQ392" i="17"/>
  <c r="AP390" i="17"/>
  <c r="AO388" i="17"/>
  <c r="AN386" i="17"/>
  <c r="AG421" i="17"/>
  <c r="AQ418" i="17"/>
  <c r="AP416" i="17"/>
  <c r="AO414" i="17"/>
  <c r="AN412" i="17"/>
  <c r="AM410" i="17"/>
  <c r="AL408" i="17"/>
  <c r="AK406" i="17"/>
  <c r="AJ404" i="17"/>
  <c r="AI402" i="17"/>
  <c r="AH398" i="17"/>
  <c r="AG395" i="17"/>
  <c r="AF393" i="17"/>
  <c r="AQ390" i="17"/>
  <c r="AP388" i="17"/>
  <c r="AO386" i="17"/>
  <c r="CT421" i="17"/>
  <c r="CT419" i="17"/>
  <c r="CT417" i="17"/>
  <c r="CT415" i="17"/>
  <c r="CT413" i="17"/>
  <c r="CT411" i="17"/>
  <c r="CT409" i="17"/>
  <c r="CT407" i="17"/>
  <c r="CR421" i="17"/>
  <c r="CQ421" i="17"/>
  <c r="CQ419" i="17"/>
  <c r="CT420" i="17"/>
  <c r="CT418" i="17"/>
  <c r="CT416" i="17"/>
  <c r="CT414" i="17"/>
  <c r="CT412" i="17"/>
  <c r="CT410" i="17"/>
  <c r="CT408" i="17"/>
  <c r="CT406" i="17"/>
  <c r="CS420" i="17"/>
  <c r="CQ420" i="17"/>
  <c r="CK420" i="17"/>
  <c r="CJ420" i="17"/>
  <c r="CR419" i="17"/>
  <c r="CO417" i="17"/>
  <c r="CM415" i="17"/>
  <c r="CK413" i="17"/>
  <c r="CU410" i="17"/>
  <c r="CR408" i="17"/>
  <c r="CP406" i="17"/>
  <c r="CP404" i="17"/>
  <c r="CP402" i="17"/>
  <c r="CP398" i="17"/>
  <c r="CP395" i="17"/>
  <c r="CP393" i="17"/>
  <c r="CP391" i="17"/>
  <c r="CP389" i="17"/>
  <c r="CP387" i="17"/>
  <c r="CP419" i="17"/>
  <c r="CN417" i="17"/>
  <c r="CL415" i="17"/>
  <c r="CJ413" i="17"/>
  <c r="CS410" i="17"/>
  <c r="CQ408" i="17"/>
  <c r="CO406" i="17"/>
  <c r="CO404" i="17"/>
  <c r="CO402" i="17"/>
  <c r="CO398" i="17"/>
  <c r="CO395" i="17"/>
  <c r="CO393" i="17"/>
  <c r="CO391" i="17"/>
  <c r="CO389" i="17"/>
  <c r="CO387" i="17"/>
  <c r="CO419" i="17"/>
  <c r="CM417" i="17"/>
  <c r="CK415" i="17"/>
  <c r="CU412" i="17"/>
  <c r="CR410" i="17"/>
  <c r="CP408" i="17"/>
  <c r="CN406" i="17"/>
  <c r="CN404" i="17"/>
  <c r="CN402" i="17"/>
  <c r="CN398" i="17"/>
  <c r="CN395" i="17"/>
  <c r="CN393" i="17"/>
  <c r="CN391" i="17"/>
  <c r="CN389" i="17"/>
  <c r="CN387" i="17"/>
  <c r="CN419" i="17"/>
  <c r="CL417" i="17"/>
  <c r="CJ415" i="17"/>
  <c r="CS412" i="17"/>
  <c r="CQ410" i="17"/>
  <c r="CO408" i="17"/>
  <c r="CM406" i="17"/>
  <c r="CM404" i="17"/>
  <c r="CM402" i="17"/>
  <c r="CM398" i="17"/>
  <c r="CM395" i="17"/>
  <c r="CM393" i="17"/>
  <c r="CM391" i="17"/>
  <c r="CM389" i="17"/>
  <c r="CM387" i="17"/>
  <c r="CM419" i="17"/>
  <c r="CK417" i="17"/>
  <c r="CU414" i="17"/>
  <c r="CR412" i="17"/>
  <c r="CP410" i="17"/>
  <c r="CN408" i="17"/>
  <c r="CL406" i="17"/>
  <c r="CL404" i="17"/>
  <c r="CL402" i="17"/>
  <c r="CL398" i="17"/>
  <c r="CL395" i="17"/>
  <c r="CL393" i="17"/>
  <c r="CL391" i="17"/>
  <c r="CL389" i="17"/>
  <c r="CL387" i="17"/>
  <c r="CL419" i="17"/>
  <c r="CJ417" i="17"/>
  <c r="CS414" i="17"/>
  <c r="CQ412" i="17"/>
  <c r="CO410" i="17"/>
  <c r="CM408" i="17"/>
  <c r="CK406" i="17"/>
  <c r="CK404" i="17"/>
  <c r="CK402" i="17"/>
  <c r="CK398" i="17"/>
  <c r="CK395" i="17"/>
  <c r="CK393" i="17"/>
  <c r="CK391" i="17"/>
  <c r="CK389" i="17"/>
  <c r="CK387" i="17"/>
  <c r="CU421" i="17"/>
  <c r="CK419" i="17"/>
  <c r="CU416" i="17"/>
  <c r="CR414" i="17"/>
  <c r="CP412" i="17"/>
  <c r="CN410" i="17"/>
  <c r="CL408" i="17"/>
  <c r="CJ406" i="17"/>
  <c r="CJ404" i="17"/>
  <c r="CJ402" i="17"/>
  <c r="CJ398" i="17"/>
  <c r="CJ395" i="17"/>
  <c r="CJ393" i="17"/>
  <c r="CJ391" i="17"/>
  <c r="CJ389" i="17"/>
  <c r="CJ387" i="17"/>
  <c r="CS421" i="17"/>
  <c r="CJ419" i="17"/>
  <c r="CS416" i="17"/>
  <c r="CQ414" i="17"/>
  <c r="CO412" i="17"/>
  <c r="CM410" i="17"/>
  <c r="CK408" i="17"/>
  <c r="CU405" i="17"/>
  <c r="CU403" i="17"/>
  <c r="CU401" i="17"/>
  <c r="CU396" i="17"/>
  <c r="CU394" i="17"/>
  <c r="CU392" i="17"/>
  <c r="CU390" i="17"/>
  <c r="CU388" i="17"/>
  <c r="CU386" i="17"/>
  <c r="CP421" i="17"/>
  <c r="CU418" i="17"/>
  <c r="CR416" i="17"/>
  <c r="CP414" i="17"/>
  <c r="CN412" i="17"/>
  <c r="CL410" i="17"/>
  <c r="CJ408" i="17"/>
  <c r="CT405" i="17"/>
  <c r="CT403" i="17"/>
  <c r="CT401" i="17"/>
  <c r="CT396" i="17"/>
  <c r="CT394" i="17"/>
  <c r="CT392" i="17"/>
  <c r="CT390" i="17"/>
  <c r="CT388" i="17"/>
  <c r="CT386" i="17"/>
  <c r="CO421" i="17"/>
  <c r="CS418" i="17"/>
  <c r="CQ416" i="17"/>
  <c r="CO414" i="17"/>
  <c r="CM412" i="17"/>
  <c r="CK410" i="17"/>
  <c r="CU407" i="17"/>
  <c r="CS405" i="17"/>
  <c r="CS403" i="17"/>
  <c r="CS401" i="17"/>
  <c r="CS396" i="17"/>
  <c r="CS394" i="17"/>
  <c r="CS392" i="17"/>
  <c r="CS390" i="17"/>
  <c r="CS388" i="17"/>
  <c r="CS386" i="17"/>
  <c r="CN421" i="17"/>
  <c r="CR418" i="17"/>
  <c r="CP416" i="17"/>
  <c r="CN414" i="17"/>
  <c r="CL412" i="17"/>
  <c r="CJ410" i="17"/>
  <c r="CS407" i="17"/>
  <c r="CR405" i="17"/>
  <c r="CR403" i="17"/>
  <c r="CR401" i="17"/>
  <c r="CR396" i="17"/>
  <c r="CR394" i="17"/>
  <c r="CR392" i="17"/>
  <c r="CR390" i="17"/>
  <c r="CR388" i="17"/>
  <c r="CR386" i="17"/>
  <c r="CM421" i="17"/>
  <c r="CQ418" i="17"/>
  <c r="CO416" i="17"/>
  <c r="CM414" i="17"/>
  <c r="CK412" i="17"/>
  <c r="CU409" i="17"/>
  <c r="CR407" i="17"/>
  <c r="CQ405" i="17"/>
  <c r="CQ403" i="17"/>
  <c r="CQ401" i="17"/>
  <c r="CQ396" i="17"/>
  <c r="CQ394" i="17"/>
  <c r="CQ392" i="17"/>
  <c r="CQ390" i="17"/>
  <c r="CQ388" i="17"/>
  <c r="CQ386" i="17"/>
  <c r="CL421" i="17"/>
  <c r="CP418" i="17"/>
  <c r="CN416" i="17"/>
  <c r="CL414" i="17"/>
  <c r="CJ412" i="17"/>
  <c r="CS409" i="17"/>
  <c r="CQ407" i="17"/>
  <c r="CP405" i="17"/>
  <c r="CP403" i="17"/>
  <c r="CP401" i="17"/>
  <c r="CP396" i="17"/>
  <c r="CP394" i="17"/>
  <c r="CP392" i="17"/>
  <c r="CP390" i="17"/>
  <c r="CP388" i="17"/>
  <c r="CP386" i="17"/>
  <c r="CK421" i="17"/>
  <c r="CO418" i="17"/>
  <c r="CM416" i="17"/>
  <c r="CK414" i="17"/>
  <c r="CU411" i="17"/>
  <c r="CR409" i="17"/>
  <c r="CP407" i="17"/>
  <c r="CO405" i="17"/>
  <c r="CO403" i="17"/>
  <c r="CO401" i="17"/>
  <c r="CO396" i="17"/>
  <c r="CO394" i="17"/>
  <c r="CO392" i="17"/>
  <c r="CO390" i="17"/>
  <c r="CO388" i="17"/>
  <c r="CO386" i="17"/>
  <c r="CJ421" i="17"/>
  <c r="CN418" i="17"/>
  <c r="CL416" i="17"/>
  <c r="CJ414" i="17"/>
  <c r="CS411" i="17"/>
  <c r="CQ409" i="17"/>
  <c r="CO407" i="17"/>
  <c r="CN405" i="17"/>
  <c r="CN403" i="17"/>
  <c r="CN401" i="17"/>
  <c r="CN396" i="17"/>
  <c r="CN394" i="17"/>
  <c r="CN392" i="17"/>
  <c r="CN390" i="17"/>
  <c r="CN388" i="17"/>
  <c r="CN386" i="17"/>
  <c r="CU420" i="17"/>
  <c r="CM418" i="17"/>
  <c r="CK416" i="17"/>
  <c r="CU413" i="17"/>
  <c r="CR411" i="17"/>
  <c r="CP409" i="17"/>
  <c r="CN407" i="17"/>
  <c r="CM405" i="17"/>
  <c r="CM403" i="17"/>
  <c r="CM401" i="17"/>
  <c r="CM396" i="17"/>
  <c r="CM394" i="17"/>
  <c r="CM392" i="17"/>
  <c r="CM390" i="17"/>
  <c r="CM388" i="17"/>
  <c r="CM386" i="17"/>
  <c r="CR420" i="17"/>
  <c r="CL418" i="17"/>
  <c r="CJ416" i="17"/>
  <c r="CS413" i="17"/>
  <c r="CQ411" i="17"/>
  <c r="CO409" i="17"/>
  <c r="CM407" i="17"/>
  <c r="CL405" i="17"/>
  <c r="CL403" i="17"/>
  <c r="CL401" i="17"/>
  <c r="CL396" i="17"/>
  <c r="CL394" i="17"/>
  <c r="CL392" i="17"/>
  <c r="CL390" i="17"/>
  <c r="CL388" i="17"/>
  <c r="CL386" i="17"/>
  <c r="CP420" i="17"/>
  <c r="CK418" i="17"/>
  <c r="CU415" i="17"/>
  <c r="CR413" i="17"/>
  <c r="CP411" i="17"/>
  <c r="CN409" i="17"/>
  <c r="CL407" i="17"/>
  <c r="CK405" i="17"/>
  <c r="CK403" i="17"/>
  <c r="CK401" i="17"/>
  <c r="CK396" i="17"/>
  <c r="CK394" i="17"/>
  <c r="CK392" i="17"/>
  <c r="CK390" i="17"/>
  <c r="CK388" i="17"/>
  <c r="CK386" i="17"/>
  <c r="CO420" i="17"/>
  <c r="CJ418" i="17"/>
  <c r="CS415" i="17"/>
  <c r="CQ413" i="17"/>
  <c r="CO411" i="17"/>
  <c r="CM409" i="17"/>
  <c r="CK407" i="17"/>
  <c r="CJ405" i="17"/>
  <c r="CJ403" i="17"/>
  <c r="CJ401" i="17"/>
  <c r="CJ396" i="17"/>
  <c r="CJ394" i="17"/>
  <c r="CJ392" i="17"/>
  <c r="CJ390" i="17"/>
  <c r="CJ388" i="17"/>
  <c r="CJ386" i="17"/>
  <c r="CN420" i="17"/>
  <c r="CU417" i="17"/>
  <c r="CR415" i="17"/>
  <c r="CP413" i="17"/>
  <c r="CN411" i="17"/>
  <c r="CL409" i="17"/>
  <c r="CJ407" i="17"/>
  <c r="CU404" i="17"/>
  <c r="CU402" i="17"/>
  <c r="CU398" i="17"/>
  <c r="CU395" i="17"/>
  <c r="CU393" i="17"/>
  <c r="CU391" i="17"/>
  <c r="CU389" i="17"/>
  <c r="CU387" i="17"/>
  <c r="CM420" i="17"/>
  <c r="CS417" i="17"/>
  <c r="CQ415" i="17"/>
  <c r="CO413" i="17"/>
  <c r="CM411" i="17"/>
  <c r="CK409" i="17"/>
  <c r="CU406" i="17"/>
  <c r="CT404" i="17"/>
  <c r="CT402" i="17"/>
  <c r="CT398" i="17"/>
  <c r="CT395" i="17"/>
  <c r="CT393" i="17"/>
  <c r="CT391" i="17"/>
  <c r="CT389" i="17"/>
  <c r="CT387" i="17"/>
  <c r="CS419" i="17"/>
  <c r="CP417" i="17"/>
  <c r="CN415" i="17"/>
  <c r="CL413" i="17"/>
  <c r="CJ411" i="17"/>
  <c r="CS408" i="17"/>
  <c r="CQ406" i="17"/>
  <c r="CQ404" i="17"/>
  <c r="CQ402" i="17"/>
  <c r="CQ398" i="17"/>
  <c r="CQ395" i="17"/>
  <c r="CQ393" i="17"/>
  <c r="CQ391" i="17"/>
  <c r="CQ389" i="17"/>
  <c r="CQ387" i="17"/>
  <c r="CK411" i="17"/>
  <c r="CJ409" i="17"/>
  <c r="CU408" i="17"/>
  <c r="CS406" i="17"/>
  <c r="CR406" i="17"/>
  <c r="CS404" i="17"/>
  <c r="CR404" i="17"/>
  <c r="CS402" i="17"/>
  <c r="CR402" i="17"/>
  <c r="CS398" i="17"/>
  <c r="CR398" i="17"/>
  <c r="CS395" i="17"/>
  <c r="CR395" i="17"/>
  <c r="CS393" i="17"/>
  <c r="CR393" i="17"/>
  <c r="CL420" i="17"/>
  <c r="CS391" i="17"/>
  <c r="CU419" i="17"/>
  <c r="CR391" i="17"/>
  <c r="CR417" i="17"/>
  <c r="CS389" i="17"/>
  <c r="CQ417" i="17"/>
  <c r="CR389" i="17"/>
  <c r="CP415" i="17"/>
  <c r="CS387" i="17"/>
  <c r="CO415" i="17"/>
  <c r="CR387" i="17"/>
  <c r="CL411" i="17"/>
  <c r="CD421" i="17"/>
  <c r="CD419" i="17"/>
  <c r="CD417" i="17"/>
  <c r="CD415" i="17"/>
  <c r="CD413" i="17"/>
  <c r="CD411" i="17"/>
  <c r="CD409" i="17"/>
  <c r="CD407" i="17"/>
  <c r="CD405" i="17"/>
  <c r="CD403" i="17"/>
  <c r="CD401" i="17"/>
  <c r="CD396" i="17"/>
  <c r="CD394" i="17"/>
  <c r="CD392" i="17"/>
  <c r="CD390" i="17"/>
  <c r="CD388" i="17"/>
  <c r="CD386" i="17"/>
  <c r="CN413" i="17"/>
  <c r="CM413" i="17"/>
  <c r="CB421" i="17"/>
  <c r="CB419" i="17"/>
  <c r="CB417" i="17"/>
  <c r="CB415" i="17"/>
  <c r="CB413" i="17"/>
  <c r="CB411" i="17"/>
  <c r="CB409" i="17"/>
  <c r="CA421" i="17"/>
  <c r="CA419" i="17"/>
  <c r="CA417" i="17"/>
  <c r="CA415" i="17"/>
  <c r="CA413" i="17"/>
  <c r="CA411" i="17"/>
  <c r="CA409" i="17"/>
  <c r="CA407" i="17"/>
  <c r="CA405" i="17"/>
  <c r="CA403" i="17"/>
  <c r="CA401" i="17"/>
  <c r="CA396" i="17"/>
  <c r="BZ421" i="17"/>
  <c r="BZ419" i="17"/>
  <c r="BZ417" i="17"/>
  <c r="BZ415" i="17"/>
  <c r="BZ413" i="17"/>
  <c r="BZ411" i="17"/>
  <c r="BZ409" i="17"/>
  <c r="BZ407" i="17"/>
  <c r="BZ405" i="17"/>
  <c r="BZ403" i="17"/>
  <c r="BZ401" i="17"/>
  <c r="BZ396" i="17"/>
  <c r="BZ394" i="17"/>
  <c r="BZ392" i="17"/>
  <c r="BZ390" i="17"/>
  <c r="BZ388" i="17"/>
  <c r="BZ386" i="17"/>
  <c r="BY421" i="17"/>
  <c r="BY419" i="17"/>
  <c r="BY417" i="17"/>
  <c r="BY415" i="17"/>
  <c r="BY413" i="17"/>
  <c r="BY411" i="17"/>
  <c r="BY409" i="17"/>
  <c r="BY407" i="17"/>
  <c r="BY405" i="17"/>
  <c r="BY403" i="17"/>
  <c r="BY401" i="17"/>
  <c r="BY396" i="17"/>
  <c r="BY394" i="17"/>
  <c r="BY392" i="17"/>
  <c r="BY390" i="17"/>
  <c r="BX421" i="17"/>
  <c r="BX419" i="17"/>
  <c r="BX417" i="17"/>
  <c r="BX415" i="17"/>
  <c r="BX413" i="17"/>
  <c r="BV421" i="17"/>
  <c r="BV419" i="17"/>
  <c r="BV417" i="17"/>
  <c r="BV415" i="17"/>
  <c r="CG420" i="17"/>
  <c r="CG418" i="17"/>
  <c r="CG416" i="17"/>
  <c r="CG414" i="17"/>
  <c r="CG412" i="17"/>
  <c r="CG410" i="17"/>
  <c r="CG408" i="17"/>
  <c r="CG406" i="17"/>
  <c r="CG404" i="17"/>
  <c r="CG402" i="17"/>
  <c r="CG398" i="17"/>
  <c r="CG395" i="17"/>
  <c r="CG393" i="17"/>
  <c r="CG391" i="17"/>
  <c r="CG389" i="17"/>
  <c r="CG387" i="17"/>
  <c r="CF420" i="17"/>
  <c r="CF418" i="17"/>
  <c r="CF416" i="17"/>
  <c r="CF414" i="17"/>
  <c r="CF412" i="17"/>
  <c r="CF410" i="17"/>
  <c r="CF408" i="17"/>
  <c r="CF406" i="17"/>
  <c r="CF404" i="17"/>
  <c r="CF402" i="17"/>
  <c r="CF398" i="17"/>
  <c r="CF395" i="17"/>
  <c r="CF393" i="17"/>
  <c r="CF391" i="17"/>
  <c r="CF389" i="17"/>
  <c r="CF387" i="17"/>
  <c r="CE420" i="17"/>
  <c r="CE418" i="17"/>
  <c r="CE416" i="17"/>
  <c r="CE414" i="17"/>
  <c r="CE412" i="17"/>
  <c r="CE410" i="17"/>
  <c r="CE408" i="17"/>
  <c r="CE406" i="17"/>
  <c r="CE404" i="17"/>
  <c r="CE402" i="17"/>
  <c r="CE398" i="17"/>
  <c r="CD420" i="17"/>
  <c r="CD418" i="17"/>
  <c r="CD416" i="17"/>
  <c r="CD414" i="17"/>
  <c r="CD412" i="17"/>
  <c r="CD410" i="17"/>
  <c r="CD408" i="17"/>
  <c r="CD406" i="17"/>
  <c r="CD404" i="17"/>
  <c r="CD402" i="17"/>
  <c r="CD398" i="17"/>
  <c r="CD395" i="17"/>
  <c r="CD393" i="17"/>
  <c r="CD391" i="17"/>
  <c r="CD389" i="17"/>
  <c r="CD387" i="17"/>
  <c r="CC420" i="17"/>
  <c r="CC418" i="17"/>
  <c r="CC416" i="17"/>
  <c r="CC414" i="17"/>
  <c r="CA420" i="17"/>
  <c r="CA418" i="17"/>
  <c r="CA416" i="17"/>
  <c r="CA414" i="17"/>
  <c r="CA412" i="17"/>
  <c r="CA410" i="17"/>
  <c r="CA408" i="17"/>
  <c r="CA406" i="17"/>
  <c r="CA404" i="17"/>
  <c r="CA402" i="17"/>
  <c r="CA398" i="17"/>
  <c r="CA395" i="17"/>
  <c r="CA393" i="17"/>
  <c r="CA391" i="17"/>
  <c r="BY420" i="17"/>
  <c r="BY418" i="17"/>
  <c r="BY416" i="17"/>
  <c r="BY414" i="17"/>
  <c r="BY412" i="17"/>
  <c r="BY410" i="17"/>
  <c r="BY408" i="17"/>
  <c r="BY406" i="17"/>
  <c r="BY404" i="17"/>
  <c r="BY402" i="17"/>
  <c r="BY398" i="17"/>
  <c r="BY395" i="17"/>
  <c r="BY393" i="17"/>
  <c r="BW420" i="17"/>
  <c r="BW418" i="17"/>
  <c r="BW416" i="17"/>
  <c r="BV420" i="17"/>
  <c r="BV418" i="17"/>
  <c r="BV416" i="17"/>
  <c r="BV414" i="17"/>
  <c r="BX420" i="17"/>
  <c r="BX414" i="17"/>
  <c r="BX410" i="17"/>
  <c r="CC406" i="17"/>
  <c r="CB403" i="17"/>
  <c r="CG396" i="17"/>
  <c r="CE393" i="17"/>
  <c r="CG390" i="17"/>
  <c r="BY388" i="17"/>
  <c r="CG419" i="17"/>
  <c r="BW414" i="17"/>
  <c r="BW410" i="17"/>
  <c r="CB406" i="17"/>
  <c r="BX403" i="17"/>
  <c r="CF396" i="17"/>
  <c r="CC393" i="17"/>
  <c r="CF390" i="17"/>
  <c r="BX388" i="17"/>
  <c r="CF419" i="17"/>
  <c r="CG413" i="17"/>
  <c r="BV410" i="17"/>
  <c r="BZ406" i="17"/>
  <c r="BW403" i="17"/>
  <c r="CE396" i="17"/>
  <c r="CB393" i="17"/>
  <c r="CE390" i="17"/>
  <c r="BW388" i="17"/>
  <c r="CE419" i="17"/>
  <c r="CF413" i="17"/>
  <c r="CG409" i="17"/>
  <c r="BX406" i="17"/>
  <c r="BV403" i="17"/>
  <c r="CC396" i="17"/>
  <c r="BZ393" i="17"/>
  <c r="CC390" i="17"/>
  <c r="BV388" i="17"/>
  <c r="CC419" i="17"/>
  <c r="CE413" i="17"/>
  <c r="CF409" i="17"/>
  <c r="BW406" i="17"/>
  <c r="CC402" i="17"/>
  <c r="CB396" i="17"/>
  <c r="BX393" i="17"/>
  <c r="CB390" i="17"/>
  <c r="CE387" i="17"/>
  <c r="BW419" i="17"/>
  <c r="CC413" i="17"/>
  <c r="CE409" i="17"/>
  <c r="BV406" i="17"/>
  <c r="CB402" i="17"/>
  <c r="BX396" i="17"/>
  <c r="BW393" i="17"/>
  <c r="CA390" i="17"/>
  <c r="CC387" i="17"/>
  <c r="CB418" i="17"/>
  <c r="BW413" i="17"/>
  <c r="CC409" i="17"/>
  <c r="CG405" i="17"/>
  <c r="BZ402" i="17"/>
  <c r="BW396" i="17"/>
  <c r="BV393" i="17"/>
  <c r="BX390" i="17"/>
  <c r="CB387" i="17"/>
  <c r="BZ418" i="17"/>
  <c r="BV413" i="17"/>
  <c r="BX409" i="17"/>
  <c r="CF405" i="17"/>
  <c r="BX402" i="17"/>
  <c r="BV396" i="17"/>
  <c r="CG392" i="17"/>
  <c r="BW390" i="17"/>
  <c r="CA387" i="17"/>
  <c r="BX418" i="17"/>
  <c r="CC412" i="17"/>
  <c r="BW409" i="17"/>
  <c r="CE405" i="17"/>
  <c r="BW402" i="17"/>
  <c r="CE395" i="17"/>
  <c r="CF392" i="17"/>
  <c r="BV390" i="17"/>
  <c r="BZ387" i="17"/>
  <c r="CG417" i="17"/>
  <c r="CB412" i="17"/>
  <c r="BV409" i="17"/>
  <c r="CC405" i="17"/>
  <c r="BV402" i="17"/>
  <c r="CC395" i="17"/>
  <c r="CE392" i="17"/>
  <c r="CE389" i="17"/>
  <c r="BY387" i="17"/>
  <c r="CF417" i="17"/>
  <c r="BZ412" i="17"/>
  <c r="CC408" i="17"/>
  <c r="CB405" i="17"/>
  <c r="CG401" i="17"/>
  <c r="CB395" i="17"/>
  <c r="CC392" i="17"/>
  <c r="CC389" i="17"/>
  <c r="BX387" i="17"/>
  <c r="CE417" i="17"/>
  <c r="BX412" i="17"/>
  <c r="CB408" i="17"/>
  <c r="BX405" i="17"/>
  <c r="CF401" i="17"/>
  <c r="BZ395" i="17"/>
  <c r="CB392" i="17"/>
  <c r="CB389" i="17"/>
  <c r="BW387" i="17"/>
  <c r="CC417" i="17"/>
  <c r="BW412" i="17"/>
  <c r="BZ408" i="17"/>
  <c r="BW405" i="17"/>
  <c r="CE401" i="17"/>
  <c r="BX395" i="17"/>
  <c r="CA392" i="17"/>
  <c r="CA389" i="17"/>
  <c r="BV387" i="17"/>
  <c r="BW417" i="17"/>
  <c r="BV412" i="17"/>
  <c r="BX408" i="17"/>
  <c r="BV405" i="17"/>
  <c r="CC401" i="17"/>
  <c r="BW395" i="17"/>
  <c r="BX392" i="17"/>
  <c r="BZ389" i="17"/>
  <c r="CG386" i="17"/>
  <c r="CB416" i="17"/>
  <c r="CG411" i="17"/>
  <c r="BW408" i="17"/>
  <c r="CC404" i="17"/>
  <c r="CB401" i="17"/>
  <c r="BV395" i="17"/>
  <c r="BW392" i="17"/>
  <c r="BY389" i="17"/>
  <c r="CF386" i="17"/>
  <c r="BZ416" i="17"/>
  <c r="CF411" i="17"/>
  <c r="BV408" i="17"/>
  <c r="CB404" i="17"/>
  <c r="BX401" i="17"/>
  <c r="CG394" i="17"/>
  <c r="BV392" i="17"/>
  <c r="BX389" i="17"/>
  <c r="CE386" i="17"/>
  <c r="BX416" i="17"/>
  <c r="CE411" i="17"/>
  <c r="CG407" i="17"/>
  <c r="BZ404" i="17"/>
  <c r="BW401" i="17"/>
  <c r="CF394" i="17"/>
  <c r="CE391" i="17"/>
  <c r="BW389" i="17"/>
  <c r="CC386" i="17"/>
  <c r="CG421" i="17"/>
  <c r="CG415" i="17"/>
  <c r="CC411" i="17"/>
  <c r="CF407" i="17"/>
  <c r="BX404" i="17"/>
  <c r="BV401" i="17"/>
  <c r="CE394" i="17"/>
  <c r="CC391" i="17"/>
  <c r="BV389" i="17"/>
  <c r="CB386" i="17"/>
  <c r="CF421" i="17"/>
  <c r="CF415" i="17"/>
  <c r="BX411" i="17"/>
  <c r="CE407" i="17"/>
  <c r="BW404" i="17"/>
  <c r="CC398" i="17"/>
  <c r="CC394" i="17"/>
  <c r="CB391" i="17"/>
  <c r="CG388" i="17"/>
  <c r="CA386" i="17"/>
  <c r="CE421" i="17"/>
  <c r="CE415" i="17"/>
  <c r="BW411" i="17"/>
  <c r="CC407" i="17"/>
  <c r="BV404" i="17"/>
  <c r="CB398" i="17"/>
  <c r="CB394" i="17"/>
  <c r="BZ391" i="17"/>
  <c r="CF388" i="17"/>
  <c r="BY386" i="17"/>
  <c r="CC421" i="17"/>
  <c r="CC415" i="17"/>
  <c r="BV411" i="17"/>
  <c r="CB407" i="17"/>
  <c r="CG403" i="17"/>
  <c r="BZ398" i="17"/>
  <c r="CA394" i="17"/>
  <c r="BY391" i="17"/>
  <c r="CE388" i="17"/>
  <c r="BX386" i="17"/>
  <c r="BW421" i="17"/>
  <c r="BW415" i="17"/>
  <c r="CC410" i="17"/>
  <c r="BX407" i="17"/>
  <c r="CF403" i="17"/>
  <c r="BX398" i="17"/>
  <c r="BX394" i="17"/>
  <c r="BX391" i="17"/>
  <c r="CC388" i="17"/>
  <c r="BW386" i="17"/>
  <c r="BZ420" i="17"/>
  <c r="BZ414" i="17"/>
  <c r="BZ410" i="17"/>
  <c r="BV407" i="17"/>
  <c r="CC403" i="17"/>
  <c r="BV398" i="17"/>
  <c r="BV394" i="17"/>
  <c r="BV391" i="17"/>
  <c r="CA388" i="17"/>
  <c r="BK420" i="17"/>
  <c r="BK418" i="17"/>
  <c r="BK416" i="17"/>
  <c r="BK414" i="17"/>
  <c r="BK412" i="17"/>
  <c r="BK410" i="17"/>
  <c r="BK408" i="17"/>
  <c r="BK406" i="17"/>
  <c r="BK404" i="17"/>
  <c r="BK402" i="17"/>
  <c r="BK398" i="17"/>
  <c r="BK395" i="17"/>
  <c r="BK393" i="17"/>
  <c r="BK391" i="17"/>
  <c r="BK389" i="17"/>
  <c r="BK387" i="17"/>
  <c r="BI420" i="17"/>
  <c r="BI418" i="17"/>
  <c r="BI416" i="17"/>
  <c r="BI414" i="17"/>
  <c r="BI412" i="17"/>
  <c r="BI410" i="17"/>
  <c r="BI408" i="17"/>
  <c r="BI406" i="17"/>
  <c r="BI404" i="17"/>
  <c r="BI402" i="17"/>
  <c r="BI398" i="17"/>
  <c r="BI395" i="17"/>
  <c r="BI393" i="17"/>
  <c r="BI391" i="17"/>
  <c r="BI389" i="17"/>
  <c r="BI387" i="17"/>
  <c r="BO421" i="17"/>
  <c r="BO419" i="17"/>
  <c r="BO417" i="17"/>
  <c r="BO415" i="17"/>
  <c r="BO413" i="17"/>
  <c r="BO411" i="17"/>
  <c r="BO409" i="17"/>
  <c r="BO407" i="17"/>
  <c r="BO405" i="17"/>
  <c r="BO403" i="17"/>
  <c r="BO401" i="17"/>
  <c r="BO396" i="17"/>
  <c r="BO394" i="17"/>
  <c r="BO392" i="17"/>
  <c r="BO390" i="17"/>
  <c r="BO388" i="17"/>
  <c r="BO386" i="17"/>
  <c r="CB420" i="17"/>
  <c r="BN421" i="17"/>
  <c r="BN419" i="17"/>
  <c r="BN417" i="17"/>
  <c r="BN415" i="17"/>
  <c r="BN413" i="17"/>
  <c r="BN411" i="17"/>
  <c r="BN409" i="17"/>
  <c r="CB414" i="17"/>
  <c r="CB410" i="17"/>
  <c r="BW407" i="17"/>
  <c r="CE403" i="17"/>
  <c r="BW398" i="17"/>
  <c r="BW394" i="17"/>
  <c r="BW391" i="17"/>
  <c r="CB388" i="17"/>
  <c r="BV386" i="17"/>
  <c r="BK421" i="17"/>
  <c r="BS418" i="17"/>
  <c r="BO416" i="17"/>
  <c r="BJ414" i="17"/>
  <c r="BQ411" i="17"/>
  <c r="BK409" i="17"/>
  <c r="BH407" i="17"/>
  <c r="BQ404" i="17"/>
  <c r="BN402" i="17"/>
  <c r="BJ398" i="17"/>
  <c r="BR394" i="17"/>
  <c r="BN392" i="17"/>
  <c r="BK390" i="17"/>
  <c r="BH388" i="17"/>
  <c r="BJ421" i="17"/>
  <c r="BR418" i="17"/>
  <c r="BN416" i="17"/>
  <c r="BH414" i="17"/>
  <c r="BP411" i="17"/>
  <c r="BJ409" i="17"/>
  <c r="BS406" i="17"/>
  <c r="BP404" i="17"/>
  <c r="BM402" i="17"/>
  <c r="BH398" i="17"/>
  <c r="BQ394" i="17"/>
  <c r="BM392" i="17"/>
  <c r="BJ390" i="17"/>
  <c r="BS387" i="17"/>
  <c r="BI421" i="17"/>
  <c r="BQ418" i="17"/>
  <c r="BM416" i="17"/>
  <c r="BS413" i="17"/>
  <c r="BM411" i="17"/>
  <c r="BI409" i="17"/>
  <c r="BR406" i="17"/>
  <c r="BO404" i="17"/>
  <c r="BL402" i="17"/>
  <c r="BS396" i="17"/>
  <c r="BP394" i="17"/>
  <c r="BL392" i="17"/>
  <c r="BI390" i="17"/>
  <c r="BR387" i="17"/>
  <c r="BH421" i="17"/>
  <c r="BP418" i="17"/>
  <c r="BL416" i="17"/>
  <c r="BR413" i="17"/>
  <c r="BL411" i="17"/>
  <c r="BH409" i="17"/>
  <c r="BQ406" i="17"/>
  <c r="BN404" i="17"/>
  <c r="BJ402" i="17"/>
  <c r="BR396" i="17"/>
  <c r="BN394" i="17"/>
  <c r="BK392" i="17"/>
  <c r="BH390" i="17"/>
  <c r="BQ387" i="17"/>
  <c r="BS420" i="17"/>
  <c r="BO418" i="17"/>
  <c r="BJ416" i="17"/>
  <c r="BQ413" i="17"/>
  <c r="BK411" i="17"/>
  <c r="BS408" i="17"/>
  <c r="BP406" i="17"/>
  <c r="BM404" i="17"/>
  <c r="BH402" i="17"/>
  <c r="BQ396" i="17"/>
  <c r="BM394" i="17"/>
  <c r="BJ392" i="17"/>
  <c r="BS389" i="17"/>
  <c r="BP387" i="17"/>
  <c r="BR420" i="17"/>
  <c r="BN418" i="17"/>
  <c r="BH416" i="17"/>
  <c r="BP413" i="17"/>
  <c r="BJ411" i="17"/>
  <c r="BR408" i="17"/>
  <c r="BO406" i="17"/>
  <c r="BL404" i="17"/>
  <c r="BS401" i="17"/>
  <c r="BP396" i="17"/>
  <c r="BL394" i="17"/>
  <c r="BI392" i="17"/>
  <c r="BR389" i="17"/>
  <c r="BO387" i="17"/>
  <c r="BQ420" i="17"/>
  <c r="BM418" i="17"/>
  <c r="BS415" i="17"/>
  <c r="BM413" i="17"/>
  <c r="BI411" i="17"/>
  <c r="BQ408" i="17"/>
  <c r="BN406" i="17"/>
  <c r="BJ404" i="17"/>
  <c r="BR401" i="17"/>
  <c r="BN396" i="17"/>
  <c r="BK394" i="17"/>
  <c r="BH392" i="17"/>
  <c r="BQ389" i="17"/>
  <c r="BN387" i="17"/>
  <c r="BP420" i="17"/>
  <c r="BL418" i="17"/>
  <c r="BR415" i="17"/>
  <c r="BL413" i="17"/>
  <c r="BH411" i="17"/>
  <c r="BP408" i="17"/>
  <c r="BM406" i="17"/>
  <c r="BH404" i="17"/>
  <c r="BQ401" i="17"/>
  <c r="BM396" i="17"/>
  <c r="BJ394" i="17"/>
  <c r="BS391" i="17"/>
  <c r="BP389" i="17"/>
  <c r="BM387" i="17"/>
  <c r="BO420" i="17"/>
  <c r="BJ418" i="17"/>
  <c r="BQ415" i="17"/>
  <c r="BK413" i="17"/>
  <c r="BS410" i="17"/>
  <c r="BO408" i="17"/>
  <c r="BL406" i="17"/>
  <c r="BS403" i="17"/>
  <c r="BP401" i="17"/>
  <c r="BL396" i="17"/>
  <c r="BI394" i="17"/>
  <c r="BR391" i="17"/>
  <c r="BO389" i="17"/>
  <c r="BL387" i="17"/>
  <c r="BN420" i="17"/>
  <c r="BH418" i="17"/>
  <c r="BP415" i="17"/>
  <c r="BJ413" i="17"/>
  <c r="BR410" i="17"/>
  <c r="BN408" i="17"/>
  <c r="BJ406" i="17"/>
  <c r="BR403" i="17"/>
  <c r="BN401" i="17"/>
  <c r="BK396" i="17"/>
  <c r="BH394" i="17"/>
  <c r="BQ391" i="17"/>
  <c r="BN389" i="17"/>
  <c r="BJ387" i="17"/>
  <c r="BM420" i="17"/>
  <c r="BS417" i="17"/>
  <c r="BM415" i="17"/>
  <c r="BI413" i="17"/>
  <c r="BQ410" i="17"/>
  <c r="BM408" i="17"/>
  <c r="BH406" i="17"/>
  <c r="BQ403" i="17"/>
  <c r="BM401" i="17"/>
  <c r="BJ396" i="17"/>
  <c r="BS393" i="17"/>
  <c r="BP391" i="17"/>
  <c r="BM389" i="17"/>
  <c r="BH387" i="17"/>
  <c r="BL420" i="17"/>
  <c r="BR417" i="17"/>
  <c r="BL415" i="17"/>
  <c r="BH413" i="17"/>
  <c r="BP410" i="17"/>
  <c r="BL408" i="17"/>
  <c r="BS405" i="17"/>
  <c r="BP403" i="17"/>
  <c r="BL401" i="17"/>
  <c r="BI396" i="17"/>
  <c r="BR393" i="17"/>
  <c r="BO391" i="17"/>
  <c r="BL389" i="17"/>
  <c r="BS386" i="17"/>
  <c r="BJ420" i="17"/>
  <c r="BQ417" i="17"/>
  <c r="BK415" i="17"/>
  <c r="BS412" i="17"/>
  <c r="BO410" i="17"/>
  <c r="BJ408" i="17"/>
  <c r="BR405" i="17"/>
  <c r="BN403" i="17"/>
  <c r="BK401" i="17"/>
  <c r="BH396" i="17"/>
  <c r="BQ393" i="17"/>
  <c r="BN391" i="17"/>
  <c r="BJ389" i="17"/>
  <c r="BR386" i="17"/>
  <c r="BH420" i="17"/>
  <c r="BP417" i="17"/>
  <c r="BJ415" i="17"/>
  <c r="BR412" i="17"/>
  <c r="BN410" i="17"/>
  <c r="BH408" i="17"/>
  <c r="BQ405" i="17"/>
  <c r="BM403" i="17"/>
  <c r="BJ401" i="17"/>
  <c r="BS395" i="17"/>
  <c r="BP393" i="17"/>
  <c r="BM391" i="17"/>
  <c r="BH389" i="17"/>
  <c r="BQ386" i="17"/>
  <c r="BS419" i="17"/>
  <c r="BM417" i="17"/>
  <c r="BI415" i="17"/>
  <c r="BQ412" i="17"/>
  <c r="BM410" i="17"/>
  <c r="BS407" i="17"/>
  <c r="BP405" i="17"/>
  <c r="BL403" i="17"/>
  <c r="BI401" i="17"/>
  <c r="BR395" i="17"/>
  <c r="BO393" i="17"/>
  <c r="BL391" i="17"/>
  <c r="BS388" i="17"/>
  <c r="BP386" i="17"/>
  <c r="BR419" i="17"/>
  <c r="BL417" i="17"/>
  <c r="BH415" i="17"/>
  <c r="BP412" i="17"/>
  <c r="BL410" i="17"/>
  <c r="BR407" i="17"/>
  <c r="BN405" i="17"/>
  <c r="BK403" i="17"/>
  <c r="BH401" i="17"/>
  <c r="BQ395" i="17"/>
  <c r="BN393" i="17"/>
  <c r="BJ391" i="17"/>
  <c r="BR388" i="17"/>
  <c r="BN386" i="17"/>
  <c r="BQ419" i="17"/>
  <c r="BK417" i="17"/>
  <c r="BS414" i="17"/>
  <c r="BO412" i="17"/>
  <c r="BJ410" i="17"/>
  <c r="BQ407" i="17"/>
  <c r="BM405" i="17"/>
  <c r="BJ403" i="17"/>
  <c r="BS398" i="17"/>
  <c r="BP395" i="17"/>
  <c r="BM393" i="17"/>
  <c r="BH391" i="17"/>
  <c r="BQ388" i="17"/>
  <c r="BM386" i="17"/>
  <c r="BP419" i="17"/>
  <c r="BJ417" i="17"/>
  <c r="BR414" i="17"/>
  <c r="BN412" i="17"/>
  <c r="BH410" i="17"/>
  <c r="BP407" i="17"/>
  <c r="BL405" i="17"/>
  <c r="BI403" i="17"/>
  <c r="BR398" i="17"/>
  <c r="BO395" i="17"/>
  <c r="BL393" i="17"/>
  <c r="BS390" i="17"/>
  <c r="BP388" i="17"/>
  <c r="BL386" i="17"/>
  <c r="BS421" i="17"/>
  <c r="BM419" i="17"/>
  <c r="BI417" i="17"/>
  <c r="BQ414" i="17"/>
  <c r="BM412" i="17"/>
  <c r="BS409" i="17"/>
  <c r="BN407" i="17"/>
  <c r="BK405" i="17"/>
  <c r="BH403" i="17"/>
  <c r="BQ398" i="17"/>
  <c r="BN395" i="17"/>
  <c r="BJ393" i="17"/>
  <c r="BR390" i="17"/>
  <c r="BN388" i="17"/>
  <c r="BK386" i="17"/>
  <c r="BR421" i="17"/>
  <c r="BL419" i="17"/>
  <c r="BH417" i="17"/>
  <c r="BP414" i="17"/>
  <c r="BL412" i="17"/>
  <c r="BR409" i="17"/>
  <c r="BM407" i="17"/>
  <c r="BJ405" i="17"/>
  <c r="BS402" i="17"/>
  <c r="BP398" i="17"/>
  <c r="BM395" i="17"/>
  <c r="BH393" i="17"/>
  <c r="BQ390" i="17"/>
  <c r="BM388" i="17"/>
  <c r="BJ386" i="17"/>
  <c r="BL421" i="17"/>
  <c r="BH419" i="17"/>
  <c r="BP416" i="17"/>
  <c r="BL414" i="17"/>
  <c r="BR411" i="17"/>
  <c r="BL409" i="17"/>
  <c r="BI407" i="17"/>
  <c r="BR404" i="17"/>
  <c r="BO402" i="17"/>
  <c r="BL398" i="17"/>
  <c r="BS394" i="17"/>
  <c r="BP392" i="17"/>
  <c r="BL390" i="17"/>
  <c r="BI388" i="17"/>
  <c r="BR416" i="17"/>
  <c r="BJ395" i="17"/>
  <c r="AV421" i="17"/>
  <c r="BQ416" i="17"/>
  <c r="BH395" i="17"/>
  <c r="BO414" i="17"/>
  <c r="BS392" i="17"/>
  <c r="BN414" i="17"/>
  <c r="BR392" i="17"/>
  <c r="BM414" i="17"/>
  <c r="BQ392" i="17"/>
  <c r="BJ412" i="17"/>
  <c r="BP390" i="17"/>
  <c r="BH412" i="17"/>
  <c r="BN390" i="17"/>
  <c r="BS411" i="17"/>
  <c r="BM390" i="17"/>
  <c r="BQ409" i="17"/>
  <c r="BL388" i="17"/>
  <c r="BP409" i="17"/>
  <c r="BK388" i="17"/>
  <c r="BM409" i="17"/>
  <c r="BJ388" i="17"/>
  <c r="BL407" i="17"/>
  <c r="BI386" i="17"/>
  <c r="BK407" i="17"/>
  <c r="BH386" i="17"/>
  <c r="BJ407" i="17"/>
  <c r="BI405" i="17"/>
  <c r="BH405" i="17"/>
  <c r="BS404" i="17"/>
  <c r="BQ421" i="17"/>
  <c r="BR402" i="17"/>
  <c r="BP421" i="17"/>
  <c r="BQ402" i="17"/>
  <c r="BM421" i="17"/>
  <c r="BP402" i="17"/>
  <c r="BK419" i="17"/>
  <c r="BO398" i="17"/>
  <c r="BJ419" i="17"/>
  <c r="BN398" i="17"/>
  <c r="BS416" i="17"/>
  <c r="BL395" i="17"/>
  <c r="AY420" i="17"/>
  <c r="AY418" i="17"/>
  <c r="AY416" i="17"/>
  <c r="AY414" i="17"/>
  <c r="AY412" i="17"/>
  <c r="AY410" i="17"/>
  <c r="AY408" i="17"/>
  <c r="AY406" i="17"/>
  <c r="AY404" i="17"/>
  <c r="AY402" i="17"/>
  <c r="AY398" i="17"/>
  <c r="AY395" i="17"/>
  <c r="AY393" i="17"/>
  <c r="AY391" i="17"/>
  <c r="AY389" i="17"/>
  <c r="AY387" i="17"/>
  <c r="AX420" i="17"/>
  <c r="AX418" i="17"/>
  <c r="AX416" i="17"/>
  <c r="AX414" i="17"/>
  <c r="AX412" i="17"/>
  <c r="AX410" i="17"/>
  <c r="AX408" i="17"/>
  <c r="AX406" i="17"/>
  <c r="AX404" i="17"/>
  <c r="AX402" i="17"/>
  <c r="AX398" i="17"/>
  <c r="AX395" i="17"/>
  <c r="AX393" i="17"/>
  <c r="AX391" i="17"/>
  <c r="AX389" i="17"/>
  <c r="AX387" i="17"/>
  <c r="AW420" i="17"/>
  <c r="AW418" i="17"/>
  <c r="AW416" i="17"/>
  <c r="AW414" i="17"/>
  <c r="AW412" i="17"/>
  <c r="AW410" i="17"/>
  <c r="AW408" i="17"/>
  <c r="AW406" i="17"/>
  <c r="AW404" i="17"/>
  <c r="AW402" i="17"/>
  <c r="AW398" i="17"/>
  <c r="AW395" i="17"/>
  <c r="AW393" i="17"/>
  <c r="AW391" i="17"/>
  <c r="AW389" i="17"/>
  <c r="AW387" i="17"/>
  <c r="BI419" i="17"/>
  <c r="AV420" i="17"/>
  <c r="AV418" i="17"/>
  <c r="AV416" i="17"/>
  <c r="AV414" i="17"/>
  <c r="AV412" i="17"/>
  <c r="AV410" i="17"/>
  <c r="AV408" i="17"/>
  <c r="AV406" i="17"/>
  <c r="AV404" i="17"/>
  <c r="AV402" i="17"/>
  <c r="AV398" i="17"/>
  <c r="AV395" i="17"/>
  <c r="AV393" i="17"/>
  <c r="AV391" i="17"/>
  <c r="AV389" i="17"/>
  <c r="AV387" i="17"/>
  <c r="BM398" i="17"/>
  <c r="AU420" i="17"/>
  <c r="AU418" i="17"/>
  <c r="AU416" i="17"/>
  <c r="AU414" i="17"/>
  <c r="AU412" i="17"/>
  <c r="AU410" i="17"/>
  <c r="AU408" i="17"/>
  <c r="AU406" i="17"/>
  <c r="AU404" i="17"/>
  <c r="AU402" i="17"/>
  <c r="AU398" i="17"/>
  <c r="AU395" i="17"/>
  <c r="AU393" i="17"/>
  <c r="AU391" i="17"/>
  <c r="AU389" i="17"/>
  <c r="AU387" i="17"/>
  <c r="AT420" i="17"/>
  <c r="AT418" i="17"/>
  <c r="AT416" i="17"/>
  <c r="AT414" i="17"/>
  <c r="AT412" i="17"/>
  <c r="AT410" i="17"/>
  <c r="AT408" i="17"/>
  <c r="AT406" i="17"/>
  <c r="AT404" i="17"/>
  <c r="AT402" i="17"/>
  <c r="AT398" i="17"/>
  <c r="AT395" i="17"/>
  <c r="AT393" i="17"/>
  <c r="AT391" i="17"/>
  <c r="AT389" i="17"/>
  <c r="AT387" i="17"/>
  <c r="BE419" i="17"/>
  <c r="BE417" i="17"/>
  <c r="BE415" i="17"/>
  <c r="BE413" i="17"/>
  <c r="BE411" i="17"/>
  <c r="BE409" i="17"/>
  <c r="BE407" i="17"/>
  <c r="BE405" i="17"/>
  <c r="BE403" i="17"/>
  <c r="BE401" i="17"/>
  <c r="BE396" i="17"/>
  <c r="BE394" i="17"/>
  <c r="BE392" i="17"/>
  <c r="BE390" i="17"/>
  <c r="BE388" i="17"/>
  <c r="BE386" i="17"/>
  <c r="BE421" i="17"/>
  <c r="BD419" i="17"/>
  <c r="BD417" i="17"/>
  <c r="BD415" i="17"/>
  <c r="BD413" i="17"/>
  <c r="BD411" i="17"/>
  <c r="BD409" i="17"/>
  <c r="BD407" i="17"/>
  <c r="BD405" i="17"/>
  <c r="BD403" i="17"/>
  <c r="BD401" i="17"/>
  <c r="BD396" i="17"/>
  <c r="BD394" i="17"/>
  <c r="BD392" i="17"/>
  <c r="BD390" i="17"/>
  <c r="BD388" i="17"/>
  <c r="BD386" i="17"/>
  <c r="BD421" i="17"/>
  <c r="BC419" i="17"/>
  <c r="BC417" i="17"/>
  <c r="BC415" i="17"/>
  <c r="BC413" i="17"/>
  <c r="BC411" i="17"/>
  <c r="BC409" i="17"/>
  <c r="BC407" i="17"/>
  <c r="BC405" i="17"/>
  <c r="BC403" i="17"/>
  <c r="BC401" i="17"/>
  <c r="BC396" i="17"/>
  <c r="BC394" i="17"/>
  <c r="BC392" i="17"/>
  <c r="BC390" i="17"/>
  <c r="BC388" i="17"/>
  <c r="BC386" i="17"/>
  <c r="BC421" i="17"/>
  <c r="BB419" i="17"/>
  <c r="BB417" i="17"/>
  <c r="BB415" i="17"/>
  <c r="BB413" i="17"/>
  <c r="BB411" i="17"/>
  <c r="BB409" i="17"/>
  <c r="BB407" i="17"/>
  <c r="BB405" i="17"/>
  <c r="BB403" i="17"/>
  <c r="BB401" i="17"/>
  <c r="BB396" i="17"/>
  <c r="BB394" i="17"/>
  <c r="BB392" i="17"/>
  <c r="BB390" i="17"/>
  <c r="BB388" i="17"/>
  <c r="BB386" i="17"/>
  <c r="BB421" i="17"/>
  <c r="BA419" i="17"/>
  <c r="BA417" i="17"/>
  <c r="BA415" i="17"/>
  <c r="BA413" i="17"/>
  <c r="BA411" i="17"/>
  <c r="BA409" i="17"/>
  <c r="BA407" i="17"/>
  <c r="BA405" i="17"/>
  <c r="BA403" i="17"/>
  <c r="BA401" i="17"/>
  <c r="BA396" i="17"/>
  <c r="BA394" i="17"/>
  <c r="BA392" i="17"/>
  <c r="BA390" i="17"/>
  <c r="BA388" i="17"/>
  <c r="BA386" i="17"/>
  <c r="BA421" i="17"/>
  <c r="AZ419" i="17"/>
  <c r="AZ417" i="17"/>
  <c r="AZ415" i="17"/>
  <c r="AZ413" i="17"/>
  <c r="AZ411" i="17"/>
  <c r="AZ409" i="17"/>
  <c r="AZ407" i="17"/>
  <c r="AZ405" i="17"/>
  <c r="AZ403" i="17"/>
  <c r="AZ401" i="17"/>
  <c r="AZ396" i="17"/>
  <c r="AZ394" i="17"/>
  <c r="AZ392" i="17"/>
  <c r="AZ390" i="17"/>
  <c r="AZ388" i="17"/>
  <c r="AZ386" i="17"/>
  <c r="AZ421" i="17"/>
  <c r="AY419" i="17"/>
  <c r="AY417" i="17"/>
  <c r="AY415" i="17"/>
  <c r="AY413" i="17"/>
  <c r="AY411" i="17"/>
  <c r="AY409" i="17"/>
  <c r="AY407" i="17"/>
  <c r="AY405" i="17"/>
  <c r="AY403" i="17"/>
  <c r="AY401" i="17"/>
  <c r="AY396" i="17"/>
  <c r="AY394" i="17"/>
  <c r="AY392" i="17"/>
  <c r="AY390" i="17"/>
  <c r="AY388" i="17"/>
  <c r="AY386" i="17"/>
  <c r="AY421" i="17"/>
  <c r="AX419" i="17"/>
  <c r="AX417" i="17"/>
  <c r="AX415" i="17"/>
  <c r="AX413" i="17"/>
  <c r="AX411" i="17"/>
  <c r="AX409" i="17"/>
  <c r="AX407" i="17"/>
  <c r="AX405" i="17"/>
  <c r="AX403" i="17"/>
  <c r="AX401" i="17"/>
  <c r="AX396" i="17"/>
  <c r="AX394" i="17"/>
  <c r="AX392" i="17"/>
  <c r="AX390" i="17"/>
  <c r="AX388" i="17"/>
  <c r="AX386" i="17"/>
  <c r="AX421" i="17"/>
  <c r="AW419" i="17"/>
  <c r="AW417" i="17"/>
  <c r="AW415" i="17"/>
  <c r="AW413" i="17"/>
  <c r="AW411" i="17"/>
  <c r="AW409" i="17"/>
  <c r="AW407" i="17"/>
  <c r="AW405" i="17"/>
  <c r="AW403" i="17"/>
  <c r="AW401" i="17"/>
  <c r="AW396" i="17"/>
  <c r="AW394" i="17"/>
  <c r="AW392" i="17"/>
  <c r="AW390" i="17"/>
  <c r="AW388" i="17"/>
  <c r="AW386" i="17"/>
  <c r="AU421" i="17"/>
  <c r="AU419" i="17"/>
  <c r="AU417" i="17"/>
  <c r="AU415" i="17"/>
  <c r="AU413" i="17"/>
  <c r="AU411" i="17"/>
  <c r="AU409" i="17"/>
  <c r="AU407" i="17"/>
  <c r="AU405" i="17"/>
  <c r="AU403" i="17"/>
  <c r="AU401" i="17"/>
  <c r="AU396" i="17"/>
  <c r="AU394" i="17"/>
  <c r="AU392" i="17"/>
  <c r="AU390" i="17"/>
  <c r="AU388" i="17"/>
  <c r="AU386" i="17"/>
  <c r="AT421" i="17"/>
  <c r="AT419" i="17"/>
  <c r="AT417" i="17"/>
  <c r="AT415" i="17"/>
  <c r="AT413" i="17"/>
  <c r="AT411" i="17"/>
  <c r="AT409" i="17"/>
  <c r="AT407" i="17"/>
  <c r="AT405" i="17"/>
  <c r="AT403" i="17"/>
  <c r="AT401" i="17"/>
  <c r="AT396" i="17"/>
  <c r="AT394" i="17"/>
  <c r="AT392" i="17"/>
  <c r="AT390" i="17"/>
  <c r="AT388" i="17"/>
  <c r="AT386" i="17"/>
  <c r="BE420" i="17"/>
  <c r="BE418" i="17"/>
  <c r="BE416" i="17"/>
  <c r="BE414" i="17"/>
  <c r="BE412" i="17"/>
  <c r="BE410" i="17"/>
  <c r="BE408" i="17"/>
  <c r="BE406" i="17"/>
  <c r="BE404" i="17"/>
  <c r="BE402" i="17"/>
  <c r="BE398" i="17"/>
  <c r="BE395" i="17"/>
  <c r="BE393" i="17"/>
  <c r="BE391" i="17"/>
  <c r="BE389" i="17"/>
  <c r="BE387" i="17"/>
  <c r="BD420" i="17"/>
  <c r="BD418" i="17"/>
  <c r="BD416" i="17"/>
  <c r="BD414" i="17"/>
  <c r="BD412" i="17"/>
  <c r="BD410" i="17"/>
  <c r="BD408" i="17"/>
  <c r="BD406" i="17"/>
  <c r="BD404" i="17"/>
  <c r="BD402" i="17"/>
  <c r="BD398" i="17"/>
  <c r="BD395" i="17"/>
  <c r="BD393" i="17"/>
  <c r="BD391" i="17"/>
  <c r="BD389" i="17"/>
  <c r="BD387" i="17"/>
  <c r="BC420" i="17"/>
  <c r="BC418" i="17"/>
  <c r="BC416" i="17"/>
  <c r="BC414" i="17"/>
  <c r="BC412" i="17"/>
  <c r="BC410" i="17"/>
  <c r="BC408" i="17"/>
  <c r="BC406" i="17"/>
  <c r="BC404" i="17"/>
  <c r="BC402" i="17"/>
  <c r="BC398" i="17"/>
  <c r="BC395" i="17"/>
  <c r="BC393" i="17"/>
  <c r="BC391" i="17"/>
  <c r="BC389" i="17"/>
  <c r="BC387" i="17"/>
  <c r="BA420" i="17"/>
  <c r="BA418" i="17"/>
  <c r="BA416" i="17"/>
  <c r="BA414" i="17"/>
  <c r="BA412" i="17"/>
  <c r="BA410" i="17"/>
  <c r="BA408" i="17"/>
  <c r="BA406" i="17"/>
  <c r="BA404" i="17"/>
  <c r="BA402" i="17"/>
  <c r="BA398" i="17"/>
  <c r="BA395" i="17"/>
  <c r="BA393" i="17"/>
  <c r="BA391" i="17"/>
  <c r="BA389" i="17"/>
  <c r="BA387" i="17"/>
  <c r="AV417" i="17"/>
  <c r="AV401" i="17"/>
  <c r="BB416" i="17"/>
  <c r="BB398" i="17"/>
  <c r="AZ416" i="17"/>
  <c r="AZ398" i="17"/>
  <c r="AV415" i="17"/>
  <c r="AV396" i="17"/>
  <c r="BB414" i="17"/>
  <c r="BB395" i="17"/>
  <c r="AZ414" i="17"/>
  <c r="AZ395" i="17"/>
  <c r="AV413" i="17"/>
  <c r="AV394" i="17"/>
  <c r="BB412" i="17"/>
  <c r="BB393" i="17"/>
  <c r="AZ412" i="17"/>
  <c r="AZ393" i="17"/>
  <c r="AV411" i="17"/>
  <c r="AV392" i="17"/>
  <c r="BB410" i="17"/>
  <c r="BB391" i="17"/>
  <c r="AZ410" i="17"/>
  <c r="AZ391" i="17"/>
  <c r="AV409" i="17"/>
  <c r="AV390" i="17"/>
  <c r="BB408" i="17"/>
  <c r="BB389" i="17"/>
  <c r="AZ408" i="17"/>
  <c r="AZ389" i="17"/>
  <c r="AV407" i="17"/>
  <c r="AV388" i="17"/>
  <c r="BB406" i="17"/>
  <c r="BB387" i="17"/>
  <c r="AZ406" i="17"/>
  <c r="AZ387" i="17"/>
  <c r="AW421" i="17"/>
  <c r="AV405" i="17"/>
  <c r="AV386" i="17"/>
  <c r="BB420" i="17"/>
  <c r="BB404" i="17"/>
  <c r="AZ420" i="17"/>
  <c r="AZ404" i="17"/>
  <c r="AZ418" i="17"/>
  <c r="AZ402" i="17"/>
  <c r="U420" i="17"/>
  <c r="U418" i="17"/>
  <c r="U416" i="17"/>
  <c r="U414" i="17"/>
  <c r="U412" i="17"/>
  <c r="U410" i="17"/>
  <c r="U408" i="17"/>
  <c r="U406" i="17"/>
  <c r="U404" i="17"/>
  <c r="U402" i="17"/>
  <c r="U398" i="17"/>
  <c r="U395" i="17"/>
  <c r="U393" i="17"/>
  <c r="U391" i="17"/>
  <c r="U389" i="17"/>
  <c r="U387" i="17"/>
  <c r="T420" i="17"/>
  <c r="T418" i="17"/>
  <c r="T416" i="17"/>
  <c r="T414" i="17"/>
  <c r="T412" i="17"/>
  <c r="T410" i="17"/>
  <c r="T408" i="17"/>
  <c r="T406" i="17"/>
  <c r="T404" i="17"/>
  <c r="T402" i="17"/>
  <c r="T398" i="17"/>
  <c r="T395" i="17"/>
  <c r="T393" i="17"/>
  <c r="T391" i="17"/>
  <c r="T389" i="17"/>
  <c r="T387" i="17"/>
  <c r="S420" i="17"/>
  <c r="S418" i="17"/>
  <c r="S416" i="17"/>
  <c r="S414" i="17"/>
  <c r="S412" i="17"/>
  <c r="S410" i="17"/>
  <c r="S408" i="17"/>
  <c r="S406" i="17"/>
  <c r="S404" i="17"/>
  <c r="S402" i="17"/>
  <c r="S398" i="17"/>
  <c r="S395" i="17"/>
  <c r="S393" i="17"/>
  <c r="S391" i="17"/>
  <c r="S389" i="17"/>
  <c r="S387" i="17"/>
  <c r="R420" i="17"/>
  <c r="R418" i="17"/>
  <c r="R416" i="17"/>
  <c r="R414" i="17"/>
  <c r="R412" i="17"/>
  <c r="R410" i="17"/>
  <c r="R408" i="17"/>
  <c r="R406" i="17"/>
  <c r="R404" i="17"/>
  <c r="R402" i="17"/>
  <c r="R398" i="17"/>
  <c r="R395" i="17"/>
  <c r="R393" i="17"/>
  <c r="R391" i="17"/>
  <c r="R389" i="17"/>
  <c r="R387" i="17"/>
  <c r="AC421" i="17"/>
  <c r="AC419" i="17"/>
  <c r="AC417" i="17"/>
  <c r="AC415" i="17"/>
  <c r="AC413" i="17"/>
  <c r="AC411" i="17"/>
  <c r="AC409" i="17"/>
  <c r="AC407" i="17"/>
  <c r="AC405" i="17"/>
  <c r="AC403" i="17"/>
  <c r="AC401" i="17"/>
  <c r="AC396" i="17"/>
  <c r="AC394" i="17"/>
  <c r="AC392" i="17"/>
  <c r="AC390" i="17"/>
  <c r="AC388" i="17"/>
  <c r="AC386" i="17"/>
  <c r="AB421" i="17"/>
  <c r="AB419" i="17"/>
  <c r="AB417" i="17"/>
  <c r="AB415" i="17"/>
  <c r="AB413" i="17"/>
  <c r="AB411" i="17"/>
  <c r="AB409" i="17"/>
  <c r="AB407" i="17"/>
  <c r="AB405" i="17"/>
  <c r="AB403" i="17"/>
  <c r="AB401" i="17"/>
  <c r="AB396" i="17"/>
  <c r="AB394" i="17"/>
  <c r="AB392" i="17"/>
  <c r="AB390" i="17"/>
  <c r="AB388" i="17"/>
  <c r="AB386" i="17"/>
  <c r="AA421" i="17"/>
  <c r="AA419" i="17"/>
  <c r="AA417" i="17"/>
  <c r="AA415" i="17"/>
  <c r="AA413" i="17"/>
  <c r="AA411" i="17"/>
  <c r="AA409" i="17"/>
  <c r="AA407" i="17"/>
  <c r="AA405" i="17"/>
  <c r="AA403" i="17"/>
  <c r="AA401" i="17"/>
  <c r="AA396" i="17"/>
  <c r="AA394" i="17"/>
  <c r="AA392" i="17"/>
  <c r="AA390" i="17"/>
  <c r="AA388" i="17"/>
  <c r="AA386" i="17"/>
  <c r="Z421" i="17"/>
  <c r="Z419" i="17"/>
  <c r="Z417" i="17"/>
  <c r="Z415" i="17"/>
  <c r="Z413" i="17"/>
  <c r="Z411" i="17"/>
  <c r="Z409" i="17"/>
  <c r="Z407" i="17"/>
  <c r="Z405" i="17"/>
  <c r="Z403" i="17"/>
  <c r="Z401" i="17"/>
  <c r="Z396" i="17"/>
  <c r="Z394" i="17"/>
  <c r="Z392" i="17"/>
  <c r="Z390" i="17"/>
  <c r="Z388" i="17"/>
  <c r="Z386" i="17"/>
  <c r="Y421" i="17"/>
  <c r="Y419" i="17"/>
  <c r="Y417" i="17"/>
  <c r="Y415" i="17"/>
  <c r="Y413" i="17"/>
  <c r="Y411" i="17"/>
  <c r="Y409" i="17"/>
  <c r="Y407" i="17"/>
  <c r="Y405" i="17"/>
  <c r="Y403" i="17"/>
  <c r="Y401" i="17"/>
  <c r="Y396" i="17"/>
  <c r="Y394" i="17"/>
  <c r="Y392" i="17"/>
  <c r="Y390" i="17"/>
  <c r="Y388" i="17"/>
  <c r="Y386" i="17"/>
  <c r="AV419" i="17"/>
  <c r="X421" i="17"/>
  <c r="X419" i="17"/>
  <c r="X417" i="17"/>
  <c r="X415" i="17"/>
  <c r="X413" i="17"/>
  <c r="X411" i="17"/>
  <c r="X409" i="17"/>
  <c r="X407" i="17"/>
  <c r="X405" i="17"/>
  <c r="X403" i="17"/>
  <c r="X401" i="17"/>
  <c r="X396" i="17"/>
  <c r="X394" i="17"/>
  <c r="X392" i="17"/>
  <c r="X390" i="17"/>
  <c r="X388" i="17"/>
  <c r="X386" i="17"/>
  <c r="BB418" i="17"/>
  <c r="W421" i="17"/>
  <c r="W419" i="17"/>
  <c r="W417" i="17"/>
  <c r="W415" i="17"/>
  <c r="W413" i="17"/>
  <c r="W411" i="17"/>
  <c r="W409" i="17"/>
  <c r="W407" i="17"/>
  <c r="W405" i="17"/>
  <c r="W403" i="17"/>
  <c r="W401" i="17"/>
  <c r="W396" i="17"/>
  <c r="W394" i="17"/>
  <c r="W392" i="17"/>
  <c r="W390" i="17"/>
  <c r="W388" i="17"/>
  <c r="W386" i="17"/>
  <c r="AV403" i="17"/>
  <c r="V421" i="17"/>
  <c r="V419" i="17"/>
  <c r="V417" i="17"/>
  <c r="V415" i="17"/>
  <c r="V413" i="17"/>
  <c r="V411" i="17"/>
  <c r="V409" i="17"/>
  <c r="V407" i="17"/>
  <c r="V405" i="17"/>
  <c r="V403" i="17"/>
  <c r="V401" i="17"/>
  <c r="V396" i="17"/>
  <c r="V394" i="17"/>
  <c r="V392" i="17"/>
  <c r="V390" i="17"/>
  <c r="V388" i="17"/>
  <c r="V386" i="17"/>
  <c r="BB402" i="17"/>
  <c r="U421" i="17"/>
  <c r="U419" i="17"/>
  <c r="U417" i="17"/>
  <c r="U415" i="17"/>
  <c r="U413" i="17"/>
  <c r="U411" i="17"/>
  <c r="U409" i="17"/>
  <c r="U407" i="17"/>
  <c r="U405" i="17"/>
  <c r="U403" i="17"/>
  <c r="U401" i="17"/>
  <c r="U396" i="17"/>
  <c r="U394" i="17"/>
  <c r="U392" i="17"/>
  <c r="U390" i="17"/>
  <c r="U388" i="17"/>
  <c r="U386" i="17"/>
  <c r="T421" i="17"/>
  <c r="T419" i="17"/>
  <c r="T417" i="17"/>
  <c r="T415" i="17"/>
  <c r="T413" i="17"/>
  <c r="T411" i="17"/>
  <c r="T409" i="17"/>
  <c r="T407" i="17"/>
  <c r="T405" i="17"/>
  <c r="T403" i="17"/>
  <c r="T401" i="17"/>
  <c r="T396" i="17"/>
  <c r="T394" i="17"/>
  <c r="T392" i="17"/>
  <c r="T390" i="17"/>
  <c r="T388" i="17"/>
  <c r="T386" i="17"/>
  <c r="S421" i="17"/>
  <c r="S419" i="17"/>
  <c r="S417" i="17"/>
  <c r="S415" i="17"/>
  <c r="S413" i="17"/>
  <c r="S411" i="17"/>
  <c r="S409" i="17"/>
  <c r="S407" i="17"/>
  <c r="S405" i="17"/>
  <c r="S403" i="17"/>
  <c r="S401" i="17"/>
  <c r="S396" i="17"/>
  <c r="S394" i="17"/>
  <c r="S392" i="17"/>
  <c r="S390" i="17"/>
  <c r="S388" i="17"/>
  <c r="S386" i="17"/>
  <c r="R421" i="17"/>
  <c r="R419" i="17"/>
  <c r="R417" i="17"/>
  <c r="R415" i="17"/>
  <c r="R413" i="17"/>
  <c r="R411" i="17"/>
  <c r="R409" i="17"/>
  <c r="R407" i="17"/>
  <c r="R405" i="17"/>
  <c r="R403" i="17"/>
  <c r="R401" i="17"/>
  <c r="R396" i="17"/>
  <c r="R394" i="17"/>
  <c r="R392" i="17"/>
  <c r="R390" i="17"/>
  <c r="R388" i="17"/>
  <c r="R386" i="17"/>
  <c r="AB420" i="17"/>
  <c r="AB418" i="17"/>
  <c r="AB416" i="17"/>
  <c r="AB414" i="17"/>
  <c r="AB412" i="17"/>
  <c r="AB410" i="17"/>
  <c r="AB408" i="17"/>
  <c r="AB406" i="17"/>
  <c r="AB404" i="17"/>
  <c r="AB402" i="17"/>
  <c r="AB398" i="17"/>
  <c r="AB395" i="17"/>
  <c r="AB393" i="17"/>
  <c r="AB391" i="17"/>
  <c r="AB389" i="17"/>
  <c r="AB387" i="17"/>
  <c r="AA420" i="17"/>
  <c r="AA418" i="17"/>
  <c r="AA416" i="17"/>
  <c r="AA414" i="17"/>
  <c r="AA412" i="17"/>
  <c r="AA410" i="17"/>
  <c r="AA408" i="17"/>
  <c r="AA406" i="17"/>
  <c r="AA404" i="17"/>
  <c r="AA402" i="17"/>
  <c r="AA398" i="17"/>
  <c r="AA395" i="17"/>
  <c r="AA393" i="17"/>
  <c r="AA391" i="17"/>
  <c r="AA389" i="17"/>
  <c r="AA387" i="17"/>
  <c r="Z420" i="17"/>
  <c r="Z418" i="17"/>
  <c r="Z416" i="17"/>
  <c r="Z414" i="17"/>
  <c r="Z412" i="17"/>
  <c r="Z410" i="17"/>
  <c r="Z408" i="17"/>
  <c r="Z406" i="17"/>
  <c r="Z404" i="17"/>
  <c r="Z402" i="17"/>
  <c r="Z398" i="17"/>
  <c r="Z395" i="17"/>
  <c r="Z393" i="17"/>
  <c r="Z391" i="17"/>
  <c r="Z389" i="17"/>
  <c r="Z387" i="17"/>
  <c r="Y420" i="17"/>
  <c r="Y418" i="17"/>
  <c r="Y416" i="17"/>
  <c r="Y414" i="17"/>
  <c r="Y412" i="17"/>
  <c r="Y410" i="17"/>
  <c r="Y408" i="17"/>
  <c r="Y406" i="17"/>
  <c r="Y404" i="17"/>
  <c r="Y402" i="17"/>
  <c r="Y398" i="17"/>
  <c r="Y395" i="17"/>
  <c r="Y393" i="17"/>
  <c r="Y391" i="17"/>
  <c r="Y389" i="17"/>
  <c r="Y387" i="17"/>
  <c r="V420" i="17"/>
  <c r="V418" i="17"/>
  <c r="V416" i="17"/>
  <c r="V414" i="17"/>
  <c r="V412" i="17"/>
  <c r="V410" i="17"/>
  <c r="V408" i="17"/>
  <c r="V406" i="17"/>
  <c r="V404" i="17"/>
  <c r="V402" i="17"/>
  <c r="V398" i="17"/>
  <c r="V395" i="17"/>
  <c r="V393" i="17"/>
  <c r="V391" i="17"/>
  <c r="V389" i="17"/>
  <c r="V387" i="17"/>
  <c r="X410" i="17"/>
  <c r="X391" i="17"/>
  <c r="W410" i="17"/>
  <c r="W391" i="17"/>
  <c r="AC408" i="17"/>
  <c r="AC389" i="17"/>
  <c r="X408" i="17"/>
  <c r="X389" i="17"/>
  <c r="W408" i="17"/>
  <c r="W389" i="17"/>
  <c r="AC406" i="17"/>
  <c r="AC387" i="17"/>
  <c r="X406" i="17"/>
  <c r="X387" i="17"/>
  <c r="W406" i="17"/>
  <c r="W387" i="17"/>
  <c r="AC420" i="17"/>
  <c r="AC404" i="17"/>
  <c r="X420" i="17"/>
  <c r="X404" i="17"/>
  <c r="W420" i="17"/>
  <c r="W404" i="17"/>
  <c r="AC418" i="17"/>
  <c r="AC402" i="17"/>
  <c r="X418" i="17"/>
  <c r="X402" i="17"/>
  <c r="W418" i="17"/>
  <c r="W402" i="17"/>
  <c r="AC416" i="17"/>
  <c r="AC398" i="17"/>
  <c r="X416" i="17"/>
  <c r="X398" i="17"/>
  <c r="W416" i="17"/>
  <c r="W398" i="17"/>
  <c r="AC414" i="17"/>
  <c r="AC395" i="17"/>
  <c r="X414" i="17"/>
  <c r="X395" i="17"/>
  <c r="W414" i="17"/>
  <c r="W395" i="17"/>
  <c r="AC412" i="17"/>
  <c r="AC393" i="17"/>
  <c r="AC410" i="17"/>
  <c r="AC391" i="17"/>
  <c r="R15" i="17"/>
  <c r="S9" i="17"/>
  <c r="S39" i="17"/>
  <c r="T34" i="17"/>
  <c r="U28" i="17"/>
  <c r="V22" i="17"/>
  <c r="W13" i="17"/>
  <c r="X8" i="17"/>
  <c r="X38" i="17"/>
  <c r="Y32" i="17"/>
  <c r="Z28" i="17"/>
  <c r="AA22" i="17"/>
  <c r="AB13" i="17"/>
  <c r="AC7" i="17"/>
  <c r="AC38" i="17"/>
  <c r="AB83" i="17"/>
  <c r="S86" i="17"/>
  <c r="X88" i="17"/>
  <c r="AB90" i="17"/>
  <c r="T94" i="17"/>
  <c r="Z98" i="17"/>
  <c r="R101" i="17"/>
  <c r="X103" i="17"/>
  <c r="AB105" i="17"/>
  <c r="T108" i="17"/>
  <c r="AA110" i="17"/>
  <c r="T113" i="17"/>
  <c r="AA115" i="17"/>
  <c r="U120" i="17"/>
  <c r="AC122" i="17"/>
  <c r="AA125" i="17"/>
  <c r="Z128" i="17"/>
  <c r="Y132" i="17"/>
  <c r="Z137" i="17"/>
  <c r="AC140" i="17"/>
  <c r="AB144" i="17"/>
  <c r="Z149" i="17"/>
  <c r="AA155" i="17"/>
  <c r="W168" i="17"/>
  <c r="X193" i="17"/>
  <c r="X222" i="17"/>
  <c r="X251" i="17"/>
  <c r="V280" i="17"/>
  <c r="R314" i="17"/>
  <c r="Z353" i="17"/>
  <c r="K227" i="2" l="1"/>
  <c r="L227" i="2" s="1"/>
  <c r="D203" i="23"/>
  <c r="Q203" i="23" s="1"/>
  <c r="P203" i="23" s="1"/>
  <c r="Q18" i="23"/>
  <c r="P18" i="23" s="1"/>
  <c r="Q43" i="48"/>
  <c r="S3" i="48" s="1"/>
  <c r="AE43" i="48"/>
  <c r="AG3" i="48" s="1"/>
  <c r="AS43" i="48"/>
  <c r="AU3" i="48" s="1"/>
  <c r="BG43" i="48"/>
  <c r="BI3" i="48" s="1"/>
  <c r="BU43" i="48"/>
  <c r="BW3" i="48" s="1"/>
  <c r="CI43" i="48"/>
  <c r="CK3" i="48" s="1"/>
  <c r="AS5" i="48"/>
  <c r="AT3" i="48" s="1"/>
  <c r="BU5" i="48"/>
  <c r="BV3" i="48" s="1"/>
  <c r="AE5" i="48"/>
  <c r="AF3" i="48" s="1"/>
  <c r="BG5" i="48"/>
  <c r="BH3" i="48" s="1"/>
  <c r="CI5" i="48"/>
  <c r="CJ3" i="48" s="1"/>
  <c r="Q5" i="48"/>
  <c r="R3" i="48" s="1"/>
  <c r="AE385" i="30"/>
  <c r="AP3" i="30" s="1"/>
  <c r="N38" i="23" s="1"/>
  <c r="Q385" i="30"/>
  <c r="AB3" i="30" s="1"/>
  <c r="N7" i="23" s="1"/>
  <c r="Q347" i="30"/>
  <c r="AA3" i="30" s="1"/>
  <c r="M7" i="23" s="1"/>
  <c r="AS385" i="30"/>
  <c r="BD3" i="30" s="1"/>
  <c r="N69" i="23" s="1"/>
  <c r="BG423" i="30"/>
  <c r="BS3" i="30" s="1"/>
  <c r="O100" i="23" s="1"/>
  <c r="BU423" i="30"/>
  <c r="CG3" i="30" s="1"/>
  <c r="O131" i="23" s="1"/>
  <c r="BG385" i="30"/>
  <c r="BR3" i="30" s="1"/>
  <c r="N100" i="23" s="1"/>
  <c r="BU385" i="30"/>
  <c r="CF3" i="30" s="1"/>
  <c r="N131" i="23" s="1"/>
  <c r="AS347" i="30"/>
  <c r="BC3" i="30" s="1"/>
  <c r="M69" i="23" s="1"/>
  <c r="BG271" i="30"/>
  <c r="BO3" i="30" s="1"/>
  <c r="K100" i="23" s="1"/>
  <c r="Q81" i="30"/>
  <c r="T3" i="30" s="1"/>
  <c r="F7" i="23" s="1"/>
  <c r="BG309" i="30"/>
  <c r="BP3" i="30" s="1"/>
  <c r="L100" i="23" s="1"/>
  <c r="CI271" i="30"/>
  <c r="CQ3" i="30" s="1"/>
  <c r="K162" i="23" s="1"/>
  <c r="K164" i="23" s="1"/>
  <c r="K168" i="23" s="1"/>
  <c r="K170" i="23" s="1"/>
  <c r="K172" i="23" s="1"/>
  <c r="K174" i="23" s="1"/>
  <c r="K176" i="23" s="1"/>
  <c r="K178" i="23" s="1"/>
  <c r="K180" i="23" s="1"/>
  <c r="K182" i="23" s="1"/>
  <c r="K184" i="23" s="1"/>
  <c r="K186" i="23" s="1"/>
  <c r="K188" i="23" s="1"/>
  <c r="K190" i="23" s="1"/>
  <c r="AE347" i="30"/>
  <c r="AO3" i="30" s="1"/>
  <c r="M38" i="23" s="1"/>
  <c r="Q195" i="30"/>
  <c r="W3" i="30" s="1"/>
  <c r="I7" i="23" s="1"/>
  <c r="BU5" i="30"/>
  <c r="BV3" i="30" s="1"/>
  <c r="D131" i="23" s="1"/>
  <c r="AE271" i="30"/>
  <c r="AM3" i="30" s="1"/>
  <c r="K38" i="23" s="1"/>
  <c r="AS195" i="30"/>
  <c r="AY3" i="30" s="1"/>
  <c r="I69" i="23" s="1"/>
  <c r="Q43" i="30"/>
  <c r="S3" i="30" s="1"/>
  <c r="E7" i="23" s="1"/>
  <c r="CI43" i="30"/>
  <c r="CK3" i="30" s="1"/>
  <c r="E162" i="23" s="1"/>
  <c r="E164" i="23" s="1"/>
  <c r="E168" i="23" s="1"/>
  <c r="E170" i="23" s="1"/>
  <c r="E172" i="23" s="1"/>
  <c r="E174" i="23" s="1"/>
  <c r="E176" i="23" s="1"/>
  <c r="E178" i="23" s="1"/>
  <c r="E180" i="23" s="1"/>
  <c r="E182" i="23" s="1"/>
  <c r="E184" i="23" s="1"/>
  <c r="E186" i="23" s="1"/>
  <c r="E188" i="23" s="1"/>
  <c r="E190" i="23" s="1"/>
  <c r="AE233" i="30"/>
  <c r="AL3" i="30" s="1"/>
  <c r="J38" i="23" s="1"/>
  <c r="AS271" i="30"/>
  <c r="BA3" i="30" s="1"/>
  <c r="K69" i="23" s="1"/>
  <c r="BG5" i="30"/>
  <c r="BH3" i="30" s="1"/>
  <c r="D100" i="23" s="1"/>
  <c r="BG233" i="30"/>
  <c r="BN3" i="30" s="1"/>
  <c r="J100" i="23" s="1"/>
  <c r="BU347" i="30"/>
  <c r="CE3" i="30" s="1"/>
  <c r="M131" i="23" s="1"/>
  <c r="AS309" i="30"/>
  <c r="BB3" i="30" s="1"/>
  <c r="L69" i="23" s="1"/>
  <c r="BG195" i="30"/>
  <c r="BM3" i="30" s="1"/>
  <c r="I100" i="23" s="1"/>
  <c r="BG157" i="30"/>
  <c r="BL3" i="30" s="1"/>
  <c r="H100" i="23" s="1"/>
  <c r="BG81" i="30"/>
  <c r="BJ3" i="30" s="1"/>
  <c r="F100" i="23" s="1"/>
  <c r="AS5" i="30"/>
  <c r="AT3" i="30" s="1"/>
  <c r="D69" i="23" s="1"/>
  <c r="BU309" i="30"/>
  <c r="CD3" i="30" s="1"/>
  <c r="L131" i="23" s="1"/>
  <c r="BU271" i="30"/>
  <c r="CC3" i="30" s="1"/>
  <c r="K131" i="23" s="1"/>
  <c r="AE5" i="30"/>
  <c r="AF3" i="30" s="1"/>
  <c r="D38" i="23" s="1"/>
  <c r="CI233" i="30"/>
  <c r="CP3" i="30" s="1"/>
  <c r="J162" i="23" s="1"/>
  <c r="J164" i="23" s="1"/>
  <c r="J168" i="23" s="1"/>
  <c r="J170" i="23" s="1"/>
  <c r="J172" i="23" s="1"/>
  <c r="J174" i="23" s="1"/>
  <c r="J176" i="23" s="1"/>
  <c r="J178" i="23" s="1"/>
  <c r="J180" i="23" s="1"/>
  <c r="J182" i="23" s="1"/>
  <c r="J184" i="23" s="1"/>
  <c r="J186" i="23" s="1"/>
  <c r="J188" i="23" s="1"/>
  <c r="J190" i="23" s="1"/>
  <c r="AE43" i="30"/>
  <c r="AG3" i="30" s="1"/>
  <c r="E38" i="23" s="1"/>
  <c r="Q233" i="30"/>
  <c r="X3" i="30" s="1"/>
  <c r="J7" i="23" s="1"/>
  <c r="AS81" i="30"/>
  <c r="AV3" i="30" s="1"/>
  <c r="F69" i="23" s="1"/>
  <c r="Q5" i="30"/>
  <c r="R3" i="30" s="1"/>
  <c r="D7" i="23" s="1"/>
  <c r="BU81" i="30"/>
  <c r="BX3" i="30" s="1"/>
  <c r="F131" i="23" s="1"/>
  <c r="CI385" i="30"/>
  <c r="CT3" i="30" s="1"/>
  <c r="N162" i="23" s="1"/>
  <c r="N164" i="23" s="1"/>
  <c r="N168" i="23" s="1"/>
  <c r="N170" i="23" s="1"/>
  <c r="N172" i="23" s="1"/>
  <c r="N174" i="23" s="1"/>
  <c r="N176" i="23" s="1"/>
  <c r="N178" i="23" s="1"/>
  <c r="N180" i="23" s="1"/>
  <c r="N182" i="23" s="1"/>
  <c r="N184" i="23" s="1"/>
  <c r="N186" i="23" s="1"/>
  <c r="N188" i="23" s="1"/>
  <c r="N190" i="23" s="1"/>
  <c r="BG347" i="30"/>
  <c r="BQ3" i="30" s="1"/>
  <c r="M100" i="23" s="1"/>
  <c r="CI195" i="30"/>
  <c r="CO3" i="30" s="1"/>
  <c r="I162" i="23" s="1"/>
  <c r="I164" i="23" s="1"/>
  <c r="I168" i="23" s="1"/>
  <c r="I170" i="23" s="1"/>
  <c r="I172" i="23" s="1"/>
  <c r="I174" i="23" s="1"/>
  <c r="I176" i="23" s="1"/>
  <c r="I178" i="23" s="1"/>
  <c r="I180" i="23" s="1"/>
  <c r="I182" i="23" s="1"/>
  <c r="I184" i="23" s="1"/>
  <c r="I186" i="23" s="1"/>
  <c r="I188" i="23" s="1"/>
  <c r="I190" i="23" s="1"/>
  <c r="CI81" i="30"/>
  <c r="CL3" i="30" s="1"/>
  <c r="F162" i="23" s="1"/>
  <c r="F164" i="23" s="1"/>
  <c r="F168" i="23" s="1"/>
  <c r="F170" i="23" s="1"/>
  <c r="F172" i="23" s="1"/>
  <c r="F174" i="23" s="1"/>
  <c r="F176" i="23" s="1"/>
  <c r="F178" i="23" s="1"/>
  <c r="F180" i="23" s="1"/>
  <c r="F182" i="23" s="1"/>
  <c r="F184" i="23" s="1"/>
  <c r="F186" i="23" s="1"/>
  <c r="F188" i="23" s="1"/>
  <c r="F190" i="23" s="1"/>
  <c r="BU195" i="30"/>
  <c r="CA3" i="30" s="1"/>
  <c r="I131" i="23" s="1"/>
  <c r="Q271" i="30"/>
  <c r="Y3" i="30" s="1"/>
  <c r="K7" i="23" s="1"/>
  <c r="AE309" i="30"/>
  <c r="AN3" i="30" s="1"/>
  <c r="L38" i="23" s="1"/>
  <c r="BU233" i="30"/>
  <c r="CB3" i="30" s="1"/>
  <c r="J131" i="23" s="1"/>
  <c r="AS233" i="30"/>
  <c r="AZ3" i="30" s="1"/>
  <c r="J69" i="23" s="1"/>
  <c r="AE81" i="30"/>
  <c r="AH3" i="30" s="1"/>
  <c r="F38" i="23" s="1"/>
  <c r="Q309" i="30"/>
  <c r="Z3" i="30" s="1"/>
  <c r="L7" i="23" s="1"/>
  <c r="BU43" i="30"/>
  <c r="BW3" i="30" s="1"/>
  <c r="E131" i="23" s="1"/>
  <c r="AE195" i="30"/>
  <c r="AK3" i="30" s="1"/>
  <c r="I38" i="23" s="1"/>
  <c r="CI309" i="30"/>
  <c r="CR3" i="30" s="1"/>
  <c r="L162" i="23" s="1"/>
  <c r="L164" i="23" s="1"/>
  <c r="L168" i="23" s="1"/>
  <c r="L170" i="23" s="1"/>
  <c r="L172" i="23" s="1"/>
  <c r="L174" i="23" s="1"/>
  <c r="L176" i="23" s="1"/>
  <c r="L178" i="23" s="1"/>
  <c r="L180" i="23" s="1"/>
  <c r="L182" i="23" s="1"/>
  <c r="L184" i="23" s="1"/>
  <c r="L186" i="23" s="1"/>
  <c r="L188" i="23" s="1"/>
  <c r="L190" i="23" s="1"/>
  <c r="Q119" i="30"/>
  <c r="U3" i="30" s="1"/>
  <c r="G7" i="23" s="1"/>
  <c r="Q157" i="30"/>
  <c r="V3" i="30" s="1"/>
  <c r="H7" i="23" s="1"/>
  <c r="BG43" i="30"/>
  <c r="BI3" i="30" s="1"/>
  <c r="E100" i="23" s="1"/>
  <c r="AE157" i="30"/>
  <c r="AJ3" i="30" s="1"/>
  <c r="H38" i="23" s="1"/>
  <c r="AS43" i="30"/>
  <c r="AU3" i="30" s="1"/>
  <c r="E69" i="23" s="1"/>
  <c r="AE119" i="30"/>
  <c r="AI3" i="30" s="1"/>
  <c r="G38" i="23" s="1"/>
  <c r="AS157" i="30"/>
  <c r="AX3" i="30" s="1"/>
  <c r="H69" i="23" s="1"/>
  <c r="AS119" i="30"/>
  <c r="AW3" i="30" s="1"/>
  <c r="G69" i="23" s="1"/>
  <c r="CI423" i="30"/>
  <c r="CU3" i="30" s="1"/>
  <c r="O162" i="23" s="1"/>
  <c r="O164" i="23" s="1"/>
  <c r="O168" i="23" s="1"/>
  <c r="O170" i="23" s="1"/>
  <c r="O172" i="23" s="1"/>
  <c r="O174" i="23" s="1"/>
  <c r="O176" i="23" s="1"/>
  <c r="O178" i="23" s="1"/>
  <c r="O180" i="23" s="1"/>
  <c r="O182" i="23" s="1"/>
  <c r="O184" i="23" s="1"/>
  <c r="O186" i="23" s="1"/>
  <c r="O188" i="23" s="1"/>
  <c r="O190" i="23" s="1"/>
  <c r="BU119" i="30"/>
  <c r="BY3" i="30" s="1"/>
  <c r="G131" i="23" s="1"/>
  <c r="CI347" i="30"/>
  <c r="CS3" i="30" s="1"/>
  <c r="M162" i="23" s="1"/>
  <c r="M164" i="23" s="1"/>
  <c r="M168" i="23" s="1"/>
  <c r="M170" i="23" s="1"/>
  <c r="M172" i="23" s="1"/>
  <c r="M174" i="23" s="1"/>
  <c r="M176" i="23" s="1"/>
  <c r="M178" i="23" s="1"/>
  <c r="M180" i="23" s="1"/>
  <c r="M182" i="23" s="1"/>
  <c r="M184" i="23" s="1"/>
  <c r="M186" i="23" s="1"/>
  <c r="M188" i="23" s="1"/>
  <c r="M190" i="23" s="1"/>
  <c r="BU157" i="30"/>
  <c r="BZ3" i="30" s="1"/>
  <c r="H131" i="23" s="1"/>
  <c r="CI5" i="30"/>
  <c r="CJ3" i="30" s="1"/>
  <c r="D162" i="23" s="1"/>
  <c r="D164" i="23" s="1"/>
  <c r="D168" i="23" s="1"/>
  <c r="D170" i="23" s="1"/>
  <c r="D172" i="23" s="1"/>
  <c r="D174" i="23" s="1"/>
  <c r="D176" i="23" s="1"/>
  <c r="D178" i="23" s="1"/>
  <c r="D180" i="23" s="1"/>
  <c r="D182" i="23" s="1"/>
  <c r="D184" i="23" s="1"/>
  <c r="D186" i="23" s="1"/>
  <c r="D188" i="23" s="1"/>
  <c r="D190" i="23" s="1"/>
  <c r="CI157" i="30"/>
  <c r="CN3" i="30" s="1"/>
  <c r="H162" i="23" s="1"/>
  <c r="H164" i="23" s="1"/>
  <c r="H168" i="23" s="1"/>
  <c r="H170" i="23" s="1"/>
  <c r="H172" i="23" s="1"/>
  <c r="H174" i="23" s="1"/>
  <c r="H176" i="23" s="1"/>
  <c r="H178" i="23" s="1"/>
  <c r="H180" i="23" s="1"/>
  <c r="H182" i="23" s="1"/>
  <c r="H184" i="23" s="1"/>
  <c r="H186" i="23" s="1"/>
  <c r="H188" i="23" s="1"/>
  <c r="H190" i="23" s="1"/>
  <c r="BG119" i="30"/>
  <c r="BK3" i="30" s="1"/>
  <c r="G100" i="23" s="1"/>
  <c r="CI119" i="30"/>
  <c r="CM3" i="30" s="1"/>
  <c r="G162" i="23" s="1"/>
  <c r="G164" i="23" s="1"/>
  <c r="G168" i="23" s="1"/>
  <c r="G170" i="23" s="1"/>
  <c r="G172" i="23" s="1"/>
  <c r="G174" i="23" s="1"/>
  <c r="G176" i="23" s="1"/>
  <c r="G178" i="23" s="1"/>
  <c r="G180" i="23" s="1"/>
  <c r="G182" i="23" s="1"/>
  <c r="G184" i="23" s="1"/>
  <c r="G186" i="23" s="1"/>
  <c r="G188" i="23" s="1"/>
  <c r="G190" i="23" s="1"/>
  <c r="Q221" i="2"/>
  <c r="P221" i="2" s="1"/>
  <c r="Q222" i="2"/>
  <c r="P222" i="2" s="1"/>
  <c r="BU309" i="8"/>
  <c r="CD3" i="8" s="1"/>
  <c r="L131" i="2" s="1"/>
  <c r="BG5" i="8"/>
  <c r="BH3" i="8" s="1"/>
  <c r="D100" i="2" s="1"/>
  <c r="BU43" i="8"/>
  <c r="BW3" i="8" s="1"/>
  <c r="E131" i="2" s="1"/>
  <c r="CI81" i="8"/>
  <c r="CL3" i="8" s="1"/>
  <c r="F162" i="2" s="1"/>
  <c r="F164" i="2" s="1"/>
  <c r="F168" i="2" s="1"/>
  <c r="F170" i="2" s="1"/>
  <c r="F172" i="2" s="1"/>
  <c r="F174" i="2" s="1"/>
  <c r="F176" i="2" s="1"/>
  <c r="F178" i="2" s="1"/>
  <c r="F180" i="2" s="1"/>
  <c r="F182" i="2" s="1"/>
  <c r="F184" i="2" s="1"/>
  <c r="F186" i="2" s="1"/>
  <c r="F188" i="2" s="1"/>
  <c r="F190" i="2" s="1"/>
  <c r="AS5" i="46"/>
  <c r="BC3" i="46" s="1"/>
  <c r="M69" i="2" s="1"/>
  <c r="BG309" i="8"/>
  <c r="BP3" i="8" s="1"/>
  <c r="L100" i="2" s="1"/>
  <c r="AE271" i="8"/>
  <c r="AM3" i="8" s="1"/>
  <c r="K38" i="2" s="1"/>
  <c r="BG271" i="8"/>
  <c r="BO3" i="8" s="1"/>
  <c r="K100" i="2" s="1"/>
  <c r="BU271" i="8"/>
  <c r="CC3" i="8" s="1"/>
  <c r="K131" i="2" s="1"/>
  <c r="AE233" i="8"/>
  <c r="AL3" i="8" s="1"/>
  <c r="J38" i="2" s="1"/>
  <c r="AS233" i="8"/>
  <c r="AZ3" i="8" s="1"/>
  <c r="J69" i="2" s="1"/>
  <c r="BG233" i="8"/>
  <c r="BN3" i="8" s="1"/>
  <c r="J100" i="2" s="1"/>
  <c r="BU233" i="8"/>
  <c r="CB3" i="8" s="1"/>
  <c r="J131" i="2" s="1"/>
  <c r="CI233" i="8"/>
  <c r="CP3" i="8" s="1"/>
  <c r="J162" i="2" s="1"/>
  <c r="J164" i="2" s="1"/>
  <c r="J168" i="2" s="1"/>
  <c r="J170" i="2" s="1"/>
  <c r="J172" i="2" s="1"/>
  <c r="J174" i="2" s="1"/>
  <c r="J176" i="2" s="1"/>
  <c r="J178" i="2" s="1"/>
  <c r="J180" i="2" s="1"/>
  <c r="J182" i="2" s="1"/>
  <c r="J184" i="2" s="1"/>
  <c r="J186" i="2" s="1"/>
  <c r="J188" i="2" s="1"/>
  <c r="J190" i="2" s="1"/>
  <c r="AE195" i="8"/>
  <c r="AK3" i="8" s="1"/>
  <c r="I38" i="2" s="1"/>
  <c r="AS195" i="8"/>
  <c r="AY3" i="8" s="1"/>
  <c r="I69" i="2" s="1"/>
  <c r="BG195" i="8"/>
  <c r="BM3" i="8" s="1"/>
  <c r="I100" i="2" s="1"/>
  <c r="BU195" i="8"/>
  <c r="CA3" i="8" s="1"/>
  <c r="I131" i="2" s="1"/>
  <c r="AS157" i="8"/>
  <c r="AX3" i="8" s="1"/>
  <c r="H69" i="2" s="1"/>
  <c r="BU157" i="8"/>
  <c r="BZ3" i="8" s="1"/>
  <c r="H131" i="2" s="1"/>
  <c r="CI157" i="8"/>
  <c r="CN3" i="8" s="1"/>
  <c r="H162" i="2" s="1"/>
  <c r="H164" i="2" s="1"/>
  <c r="H168" i="2" s="1"/>
  <c r="H170" i="2" s="1"/>
  <c r="H172" i="2" s="1"/>
  <c r="H174" i="2" s="1"/>
  <c r="H176" i="2" s="1"/>
  <c r="H178" i="2" s="1"/>
  <c r="H180" i="2" s="1"/>
  <c r="H182" i="2" s="1"/>
  <c r="H184" i="2" s="1"/>
  <c r="H186" i="2" s="1"/>
  <c r="H188" i="2" s="1"/>
  <c r="H190" i="2" s="1"/>
  <c r="CI43" i="8"/>
  <c r="CK3" i="8" s="1"/>
  <c r="E162" i="2" s="1"/>
  <c r="E164" i="2" s="1"/>
  <c r="E168" i="2" s="1"/>
  <c r="E170" i="2" s="1"/>
  <c r="E172" i="2" s="1"/>
  <c r="E174" i="2" s="1"/>
  <c r="E176" i="2" s="1"/>
  <c r="E178" i="2" s="1"/>
  <c r="E180" i="2" s="1"/>
  <c r="E182" i="2" s="1"/>
  <c r="E184" i="2" s="1"/>
  <c r="E186" i="2" s="1"/>
  <c r="E188" i="2" s="1"/>
  <c r="E190" i="2" s="1"/>
  <c r="BU81" i="8"/>
  <c r="BX3" i="8" s="1"/>
  <c r="F131" i="2" s="1"/>
  <c r="CI195" i="8"/>
  <c r="CO3" i="8" s="1"/>
  <c r="I162" i="2" s="1"/>
  <c r="I164" i="2" s="1"/>
  <c r="I168" i="2" s="1"/>
  <c r="I170" i="2" s="1"/>
  <c r="I172" i="2" s="1"/>
  <c r="I174" i="2" s="1"/>
  <c r="I176" i="2" s="1"/>
  <c r="I178" i="2" s="1"/>
  <c r="I180" i="2" s="1"/>
  <c r="I182" i="2" s="1"/>
  <c r="I184" i="2" s="1"/>
  <c r="I186" i="2" s="1"/>
  <c r="I188" i="2" s="1"/>
  <c r="I190" i="2" s="1"/>
  <c r="BG43" i="8"/>
  <c r="BI3" i="8" s="1"/>
  <c r="E100" i="2" s="1"/>
  <c r="BG157" i="8"/>
  <c r="BL3" i="8" s="1"/>
  <c r="H100" i="2" s="1"/>
  <c r="BG81" i="8"/>
  <c r="BJ3" i="8" s="1"/>
  <c r="F100" i="2" s="1"/>
  <c r="BU5" i="8"/>
  <c r="BV3" i="8" s="1"/>
  <c r="D131" i="2" s="1"/>
  <c r="CI309" i="8"/>
  <c r="CR3" i="8" s="1"/>
  <c r="L162" i="2" s="1"/>
  <c r="L164" i="2" s="1"/>
  <c r="L168" i="2" s="1"/>
  <c r="L170" i="2" s="1"/>
  <c r="L172" i="2" s="1"/>
  <c r="L174" i="2" s="1"/>
  <c r="L176" i="2" s="1"/>
  <c r="L178" i="2" s="1"/>
  <c r="L180" i="2" s="1"/>
  <c r="L182" i="2" s="1"/>
  <c r="L184" i="2" s="1"/>
  <c r="L186" i="2" s="1"/>
  <c r="L188" i="2" s="1"/>
  <c r="L190" i="2" s="1"/>
  <c r="AS271" i="8"/>
  <c r="BA3" i="8" s="1"/>
  <c r="K69" i="2" s="1"/>
  <c r="AS81" i="8"/>
  <c r="AV3" i="8" s="1"/>
  <c r="F69" i="2" s="1"/>
  <c r="AS5" i="8"/>
  <c r="AT3" i="8" s="1"/>
  <c r="D69" i="2" s="1"/>
  <c r="CI271" i="8"/>
  <c r="CQ3" i="8" s="1"/>
  <c r="K162" i="2" s="1"/>
  <c r="K164" i="2" s="1"/>
  <c r="K168" i="2" s="1"/>
  <c r="K170" i="2" s="1"/>
  <c r="K172" i="2" s="1"/>
  <c r="K174" i="2" s="1"/>
  <c r="K176" i="2" s="1"/>
  <c r="K178" i="2" s="1"/>
  <c r="K180" i="2" s="1"/>
  <c r="K182" i="2" s="1"/>
  <c r="K184" i="2" s="1"/>
  <c r="K186" i="2" s="1"/>
  <c r="K188" i="2" s="1"/>
  <c r="K190" i="2" s="1"/>
  <c r="AE309" i="8"/>
  <c r="AN3" i="8" s="1"/>
  <c r="L38" i="2" s="1"/>
  <c r="CI5" i="8"/>
  <c r="CJ3" i="8" s="1"/>
  <c r="D162" i="2" s="1"/>
  <c r="D164" i="2" s="1"/>
  <c r="D168" i="2" s="1"/>
  <c r="D170" i="2" s="1"/>
  <c r="D172" i="2" s="1"/>
  <c r="D174" i="2" s="1"/>
  <c r="D176" i="2" s="1"/>
  <c r="D178" i="2" s="1"/>
  <c r="D180" i="2" s="1"/>
  <c r="D182" i="2" s="1"/>
  <c r="D184" i="2" s="1"/>
  <c r="D186" i="2" s="1"/>
  <c r="D188" i="2" s="1"/>
  <c r="D190" i="2" s="1"/>
  <c r="AS43" i="8"/>
  <c r="AU3" i="8" s="1"/>
  <c r="E69" i="2" s="1"/>
  <c r="BU43" i="46"/>
  <c r="CF3" i="46" s="1"/>
  <c r="N131" i="2" s="1"/>
  <c r="CI5" i="46"/>
  <c r="CS3" i="46" s="1"/>
  <c r="M162" i="2" s="1"/>
  <c r="M164" i="2" s="1"/>
  <c r="M168" i="2" s="1"/>
  <c r="M170" i="2" s="1"/>
  <c r="M172" i="2" s="1"/>
  <c r="M174" i="2" s="1"/>
  <c r="M176" i="2" s="1"/>
  <c r="M178" i="2" s="1"/>
  <c r="M180" i="2" s="1"/>
  <c r="M182" i="2" s="1"/>
  <c r="M184" i="2" s="1"/>
  <c r="M186" i="2" s="1"/>
  <c r="M188" i="2" s="1"/>
  <c r="M190" i="2" s="1"/>
  <c r="Q5" i="46"/>
  <c r="AA3" i="46" s="1"/>
  <c r="M7" i="2" s="1"/>
  <c r="AE157" i="8"/>
  <c r="AJ3" i="8" s="1"/>
  <c r="H38" i="2" s="1"/>
  <c r="CI81" i="46"/>
  <c r="CU3" i="46" s="1"/>
  <c r="O162" i="2" s="1"/>
  <c r="O164" i="2" s="1"/>
  <c r="O168" i="2" s="1"/>
  <c r="O170" i="2" s="1"/>
  <c r="O172" i="2" s="1"/>
  <c r="O174" i="2" s="1"/>
  <c r="O176" i="2" s="1"/>
  <c r="O178" i="2" s="1"/>
  <c r="O180" i="2" s="1"/>
  <c r="O182" i="2" s="1"/>
  <c r="O184" i="2" s="1"/>
  <c r="O186" i="2" s="1"/>
  <c r="O188" i="2" s="1"/>
  <c r="O190" i="2" s="1"/>
  <c r="AE43" i="46"/>
  <c r="AP3" i="46" s="1"/>
  <c r="N38" i="2" s="1"/>
  <c r="AE5" i="46"/>
  <c r="AO3" i="46" s="1"/>
  <c r="M38" i="2" s="1"/>
  <c r="AE81" i="8"/>
  <c r="AH3" i="8" s="1"/>
  <c r="F38" i="2" s="1"/>
  <c r="BG43" i="46"/>
  <c r="BR3" i="46" s="1"/>
  <c r="N100" i="2" s="1"/>
  <c r="AS81" i="46"/>
  <c r="BE3" i="46" s="1"/>
  <c r="O69" i="2" s="1"/>
  <c r="BG5" i="46"/>
  <c r="BQ3" i="46" s="1"/>
  <c r="M100" i="2" s="1"/>
  <c r="BU5" i="46"/>
  <c r="CE3" i="46" s="1"/>
  <c r="M131" i="2" s="1"/>
  <c r="BU81" i="46"/>
  <c r="CG3" i="46" s="1"/>
  <c r="O131" i="2" s="1"/>
  <c r="BG81" i="46"/>
  <c r="BS3" i="46" s="1"/>
  <c r="O100" i="2" s="1"/>
  <c r="AE43" i="8"/>
  <c r="AG3" i="8" s="1"/>
  <c r="E38" i="2" s="1"/>
  <c r="AE5" i="8"/>
  <c r="AF3" i="8" s="1"/>
  <c r="D38" i="2" s="1"/>
  <c r="Q81" i="46"/>
  <c r="AC3" i="46" s="1"/>
  <c r="O7" i="2" s="1"/>
  <c r="Q43" i="46"/>
  <c r="AB3" i="46" s="1"/>
  <c r="N7" i="2" s="1"/>
  <c r="AS43" i="46"/>
  <c r="BD3" i="46" s="1"/>
  <c r="N69" i="2" s="1"/>
  <c r="AS309" i="8"/>
  <c r="BB3" i="8" s="1"/>
  <c r="L69" i="2" s="1"/>
  <c r="AE81" i="46"/>
  <c r="AQ3" i="46" s="1"/>
  <c r="O38" i="2" s="1"/>
  <c r="CI43" i="46"/>
  <c r="CT3" i="46" s="1"/>
  <c r="N162" i="2" s="1"/>
  <c r="N164" i="2" s="1"/>
  <c r="N168" i="2" s="1"/>
  <c r="N170" i="2" s="1"/>
  <c r="N172" i="2" s="1"/>
  <c r="N174" i="2" s="1"/>
  <c r="N176" i="2" s="1"/>
  <c r="N178" i="2" s="1"/>
  <c r="N180" i="2" s="1"/>
  <c r="N182" i="2" s="1"/>
  <c r="N184" i="2" s="1"/>
  <c r="N186" i="2" s="1"/>
  <c r="N188" i="2" s="1"/>
  <c r="N190" i="2" s="1"/>
  <c r="Q233" i="8"/>
  <c r="X3" i="8" s="1"/>
  <c r="J7" i="2" s="1"/>
  <c r="Q119" i="8"/>
  <c r="U3" i="8" s="1"/>
  <c r="G7" i="2" s="1"/>
  <c r="Q5" i="8"/>
  <c r="R3" i="8" s="1"/>
  <c r="D7" i="2" s="1"/>
  <c r="Q157" i="8"/>
  <c r="V3" i="8" s="1"/>
  <c r="H7" i="2" s="1"/>
  <c r="Q43" i="8"/>
  <c r="S3" i="8" s="1"/>
  <c r="E7" i="2" s="1"/>
  <c r="Q309" i="8"/>
  <c r="Z3" i="8" s="1"/>
  <c r="L7" i="2" s="1"/>
  <c r="CI119" i="8"/>
  <c r="CM3" i="8" s="1"/>
  <c r="G162" i="2" s="1"/>
  <c r="G164" i="2" s="1"/>
  <c r="G168" i="2" s="1"/>
  <c r="G170" i="2" s="1"/>
  <c r="G172" i="2" s="1"/>
  <c r="G174" i="2" s="1"/>
  <c r="G176" i="2" s="1"/>
  <c r="G178" i="2" s="1"/>
  <c r="G180" i="2" s="1"/>
  <c r="G182" i="2" s="1"/>
  <c r="G184" i="2" s="1"/>
  <c r="G186" i="2" s="1"/>
  <c r="G188" i="2" s="1"/>
  <c r="G190" i="2" s="1"/>
  <c r="AE119" i="8"/>
  <c r="AI3" i="8" s="1"/>
  <c r="G38" i="2" s="1"/>
  <c r="Q271" i="8"/>
  <c r="Y3" i="8" s="1"/>
  <c r="K7" i="2" s="1"/>
  <c r="BG119" i="8"/>
  <c r="BK3" i="8" s="1"/>
  <c r="G100" i="2" s="1"/>
  <c r="Q195" i="8"/>
  <c r="W3" i="8" s="1"/>
  <c r="I7" i="2" s="1"/>
  <c r="Q81" i="8"/>
  <c r="T3" i="8" s="1"/>
  <c r="F7" i="2" s="1"/>
  <c r="BU119" i="8"/>
  <c r="BY3" i="8" s="1"/>
  <c r="G131" i="2" s="1"/>
  <c r="AS119" i="8"/>
  <c r="AW3" i="8" s="1"/>
  <c r="G69" i="2" s="1"/>
  <c r="BU233" i="24"/>
  <c r="CB3" i="24" s="1"/>
  <c r="J131" i="22" s="1"/>
  <c r="Q195" i="24"/>
  <c r="W3" i="24" s="1"/>
  <c r="I7" i="22" s="1"/>
  <c r="Q43" i="24"/>
  <c r="S3" i="24" s="1"/>
  <c r="E7" i="22" s="1"/>
  <c r="Q385" i="24"/>
  <c r="AB3" i="24" s="1"/>
  <c r="N7" i="22" s="1"/>
  <c r="Q309" i="24"/>
  <c r="Z3" i="24" s="1"/>
  <c r="L7" i="22" s="1"/>
  <c r="BU43" i="24"/>
  <c r="BW3" i="24" s="1"/>
  <c r="E131" i="22" s="1"/>
  <c r="AE195" i="24"/>
  <c r="AK3" i="24" s="1"/>
  <c r="I38" i="22" s="1"/>
  <c r="AE157" i="24"/>
  <c r="AJ3" i="24" s="1"/>
  <c r="H38" i="22" s="1"/>
  <c r="Q119" i="24"/>
  <c r="U3" i="24" s="1"/>
  <c r="G7" i="22" s="1"/>
  <c r="BU5" i="24"/>
  <c r="BV3" i="24" s="1"/>
  <c r="D131" i="22" s="1"/>
  <c r="AS385" i="24"/>
  <c r="BD3" i="24" s="1"/>
  <c r="N69" i="22" s="1"/>
  <c r="BG195" i="24"/>
  <c r="BM3" i="24" s="1"/>
  <c r="I100" i="22" s="1"/>
  <c r="BG157" i="24"/>
  <c r="BL3" i="24" s="1"/>
  <c r="H100" i="22" s="1"/>
  <c r="Q81" i="24"/>
  <c r="T3" i="24" s="1"/>
  <c r="F7" i="22" s="1"/>
  <c r="AE423" i="24"/>
  <c r="AQ3" i="24" s="1"/>
  <c r="O38" i="22" s="1"/>
  <c r="AS423" i="24"/>
  <c r="BE3" i="24" s="1"/>
  <c r="O69" i="22" s="1"/>
  <c r="AE385" i="24"/>
  <c r="AP3" i="24" s="1"/>
  <c r="N38" i="22" s="1"/>
  <c r="AS271" i="24"/>
  <c r="BA3" i="24" s="1"/>
  <c r="K69" i="22" s="1"/>
  <c r="BG233" i="24"/>
  <c r="BN3" i="24" s="1"/>
  <c r="J100" i="22" s="1"/>
  <c r="CI195" i="24"/>
  <c r="CO3" i="24" s="1"/>
  <c r="I162" i="22" s="1"/>
  <c r="I164" i="22" s="1"/>
  <c r="I168" i="22" s="1"/>
  <c r="I170" i="22" s="1"/>
  <c r="I172" i="22" s="1"/>
  <c r="I174" i="22" s="1"/>
  <c r="I176" i="22" s="1"/>
  <c r="I178" i="22" s="1"/>
  <c r="I180" i="22" s="1"/>
  <c r="I182" i="22" s="1"/>
  <c r="I184" i="22" s="1"/>
  <c r="I186" i="22" s="1"/>
  <c r="I188" i="22" s="1"/>
  <c r="I190" i="22" s="1"/>
  <c r="CI157" i="24"/>
  <c r="CN3" i="24" s="1"/>
  <c r="H162" i="22" s="1"/>
  <c r="H164" i="22" s="1"/>
  <c r="H168" i="22" s="1"/>
  <c r="H170" i="22" s="1"/>
  <c r="H172" i="22" s="1"/>
  <c r="H174" i="22" s="1"/>
  <c r="H176" i="22" s="1"/>
  <c r="H178" i="22" s="1"/>
  <c r="H180" i="22" s="1"/>
  <c r="H182" i="22" s="1"/>
  <c r="H184" i="22" s="1"/>
  <c r="H186" i="22" s="1"/>
  <c r="H188" i="22" s="1"/>
  <c r="H190" i="22" s="1"/>
  <c r="CI119" i="24"/>
  <c r="CM3" i="24" s="1"/>
  <c r="G162" i="22" s="1"/>
  <c r="G164" i="22" s="1"/>
  <c r="G168" i="22" s="1"/>
  <c r="G170" i="22" s="1"/>
  <c r="G172" i="22" s="1"/>
  <c r="G174" i="22" s="1"/>
  <c r="G176" i="22" s="1"/>
  <c r="G178" i="22" s="1"/>
  <c r="G180" i="22" s="1"/>
  <c r="G182" i="22" s="1"/>
  <c r="G184" i="22" s="1"/>
  <c r="G186" i="22" s="1"/>
  <c r="G188" i="22" s="1"/>
  <c r="G190" i="22" s="1"/>
  <c r="AE81" i="24"/>
  <c r="AH3" i="24" s="1"/>
  <c r="F38" i="22" s="1"/>
  <c r="CI347" i="24"/>
  <c r="CS3" i="24" s="1"/>
  <c r="M162" i="22" s="1"/>
  <c r="M164" i="22" s="1"/>
  <c r="M168" i="22" s="1"/>
  <c r="M170" i="22" s="1"/>
  <c r="M172" i="22" s="1"/>
  <c r="M174" i="22" s="1"/>
  <c r="M176" i="22" s="1"/>
  <c r="M178" i="22" s="1"/>
  <c r="M180" i="22" s="1"/>
  <c r="M182" i="22" s="1"/>
  <c r="M184" i="22" s="1"/>
  <c r="M186" i="22" s="1"/>
  <c r="M188" i="22" s="1"/>
  <c r="M190" i="22" s="1"/>
  <c r="BG423" i="24"/>
  <c r="BS3" i="24" s="1"/>
  <c r="O100" i="22" s="1"/>
  <c r="BU423" i="24"/>
  <c r="CG3" i="24" s="1"/>
  <c r="O131" i="22" s="1"/>
  <c r="BU271" i="24"/>
  <c r="CC3" i="24" s="1"/>
  <c r="K131" i="22" s="1"/>
  <c r="AS195" i="24"/>
  <c r="AY3" i="24" s="1"/>
  <c r="I69" i="22" s="1"/>
  <c r="AS157" i="24"/>
  <c r="AX3" i="24" s="1"/>
  <c r="H69" i="22" s="1"/>
  <c r="BG81" i="24"/>
  <c r="BJ3" i="24" s="1"/>
  <c r="F100" i="22" s="1"/>
  <c r="AS5" i="24"/>
  <c r="AT3" i="24" s="1"/>
  <c r="D69" i="22" s="1"/>
  <c r="CI423" i="24"/>
  <c r="CU3" i="24" s="1"/>
  <c r="O162" i="22" s="1"/>
  <c r="O164" i="22" s="1"/>
  <c r="O168" i="22" s="1"/>
  <c r="O170" i="22" s="1"/>
  <c r="O172" i="22" s="1"/>
  <c r="O174" i="22" s="1"/>
  <c r="O176" i="22" s="1"/>
  <c r="O178" i="22" s="1"/>
  <c r="O180" i="22" s="1"/>
  <c r="O182" i="22" s="1"/>
  <c r="O184" i="22" s="1"/>
  <c r="O186" i="22" s="1"/>
  <c r="O188" i="22" s="1"/>
  <c r="O190" i="22" s="1"/>
  <c r="BU195" i="24"/>
  <c r="CA3" i="24" s="1"/>
  <c r="I131" i="22" s="1"/>
  <c r="BU157" i="24"/>
  <c r="BZ3" i="24" s="1"/>
  <c r="H131" i="22" s="1"/>
  <c r="CI81" i="24"/>
  <c r="CL3" i="24" s="1"/>
  <c r="F162" i="22" s="1"/>
  <c r="F164" i="22" s="1"/>
  <c r="F168" i="22" s="1"/>
  <c r="F170" i="22" s="1"/>
  <c r="F172" i="22" s="1"/>
  <c r="F174" i="22" s="1"/>
  <c r="F176" i="22" s="1"/>
  <c r="F178" i="22" s="1"/>
  <c r="F180" i="22" s="1"/>
  <c r="F182" i="22" s="1"/>
  <c r="F184" i="22" s="1"/>
  <c r="F186" i="22" s="1"/>
  <c r="F188" i="22" s="1"/>
  <c r="F190" i="22" s="1"/>
  <c r="BG347" i="24"/>
  <c r="BQ3" i="24" s="1"/>
  <c r="M100" i="22" s="1"/>
  <c r="CI385" i="24"/>
  <c r="CT3" i="24" s="1"/>
  <c r="N162" i="22" s="1"/>
  <c r="N164" i="22" s="1"/>
  <c r="N168" i="22" s="1"/>
  <c r="N170" i="22" s="1"/>
  <c r="N172" i="22" s="1"/>
  <c r="N174" i="22" s="1"/>
  <c r="N176" i="22" s="1"/>
  <c r="N178" i="22" s="1"/>
  <c r="N180" i="22" s="1"/>
  <c r="N182" i="22" s="1"/>
  <c r="N184" i="22" s="1"/>
  <c r="N186" i="22" s="1"/>
  <c r="N188" i="22" s="1"/>
  <c r="N190" i="22" s="1"/>
  <c r="AS309" i="24"/>
  <c r="BB3" i="24" s="1"/>
  <c r="L69" i="22" s="1"/>
  <c r="AS81" i="24"/>
  <c r="AV3" i="24" s="1"/>
  <c r="F69" i="22" s="1"/>
  <c r="BU309" i="24"/>
  <c r="CD3" i="24" s="1"/>
  <c r="L131" i="22" s="1"/>
  <c r="BG385" i="24"/>
  <c r="BR3" i="24" s="1"/>
  <c r="N100" i="22" s="1"/>
  <c r="CI43" i="24"/>
  <c r="CK3" i="24" s="1"/>
  <c r="E162" i="22" s="1"/>
  <c r="E164" i="22" s="1"/>
  <c r="E168" i="22" s="1"/>
  <c r="E170" i="22" s="1"/>
  <c r="E172" i="22" s="1"/>
  <c r="E174" i="22" s="1"/>
  <c r="E176" i="22" s="1"/>
  <c r="E178" i="22" s="1"/>
  <c r="E180" i="22" s="1"/>
  <c r="E182" i="22" s="1"/>
  <c r="E184" i="22" s="1"/>
  <c r="E186" i="22" s="1"/>
  <c r="E188" i="22" s="1"/>
  <c r="E190" i="22" s="1"/>
  <c r="BG43" i="24"/>
  <c r="BI3" i="24" s="1"/>
  <c r="E100" i="22" s="1"/>
  <c r="AE347" i="24"/>
  <c r="AO3" i="24" s="1"/>
  <c r="M38" i="22" s="1"/>
  <c r="AS233" i="24"/>
  <c r="AZ3" i="24" s="1"/>
  <c r="J69" i="22" s="1"/>
  <c r="BU347" i="24"/>
  <c r="CE3" i="24" s="1"/>
  <c r="M131" i="22" s="1"/>
  <c r="AE43" i="24"/>
  <c r="AG3" i="24" s="1"/>
  <c r="E38" i="22" s="1"/>
  <c r="AE309" i="24"/>
  <c r="AN3" i="24" s="1"/>
  <c r="L38" i="22" s="1"/>
  <c r="AE271" i="24"/>
  <c r="AM3" i="24" s="1"/>
  <c r="K38" i="22" s="1"/>
  <c r="AE119" i="24"/>
  <c r="AI3" i="24" s="1"/>
  <c r="G38" i="22" s="1"/>
  <c r="BG309" i="24"/>
  <c r="BP3" i="24" s="1"/>
  <c r="L100" i="22" s="1"/>
  <c r="AE233" i="24"/>
  <c r="AL3" i="24" s="1"/>
  <c r="J38" i="22" s="1"/>
  <c r="AS347" i="24"/>
  <c r="BC3" i="24" s="1"/>
  <c r="M69" i="22" s="1"/>
  <c r="CI309" i="24"/>
  <c r="CR3" i="24" s="1"/>
  <c r="L162" i="22" s="1"/>
  <c r="L164" i="22" s="1"/>
  <c r="L168" i="22" s="1"/>
  <c r="L170" i="22" s="1"/>
  <c r="L172" i="22" s="1"/>
  <c r="L174" i="22" s="1"/>
  <c r="L176" i="22" s="1"/>
  <c r="L178" i="22" s="1"/>
  <c r="L180" i="22" s="1"/>
  <c r="L182" i="22" s="1"/>
  <c r="L184" i="22" s="1"/>
  <c r="L186" i="22" s="1"/>
  <c r="L188" i="22" s="1"/>
  <c r="L190" i="22" s="1"/>
  <c r="Q233" i="24"/>
  <c r="X3" i="24" s="1"/>
  <c r="J7" i="22" s="1"/>
  <c r="BG119" i="24"/>
  <c r="BK3" i="24" s="1"/>
  <c r="G100" i="22" s="1"/>
  <c r="BG271" i="24"/>
  <c r="BO3" i="24" s="1"/>
  <c r="K100" i="22" s="1"/>
  <c r="BU81" i="24"/>
  <c r="BX3" i="24" s="1"/>
  <c r="F131" i="22" s="1"/>
  <c r="CI271" i="24"/>
  <c r="CQ3" i="24" s="1"/>
  <c r="K162" i="22" s="1"/>
  <c r="K164" i="22" s="1"/>
  <c r="K168" i="22" s="1"/>
  <c r="K170" i="22" s="1"/>
  <c r="K172" i="22" s="1"/>
  <c r="K174" i="22" s="1"/>
  <c r="K176" i="22" s="1"/>
  <c r="K178" i="22" s="1"/>
  <c r="K180" i="22" s="1"/>
  <c r="K182" i="22" s="1"/>
  <c r="K184" i="22" s="1"/>
  <c r="K186" i="22" s="1"/>
  <c r="K188" i="22" s="1"/>
  <c r="K190" i="22" s="1"/>
  <c r="CI233" i="24"/>
  <c r="CP3" i="24" s="1"/>
  <c r="J162" i="22" s="1"/>
  <c r="J164" i="22" s="1"/>
  <c r="J168" i="22" s="1"/>
  <c r="J170" i="22" s="1"/>
  <c r="J172" i="22" s="1"/>
  <c r="J174" i="22" s="1"/>
  <c r="J176" i="22" s="1"/>
  <c r="J178" i="22" s="1"/>
  <c r="J180" i="22" s="1"/>
  <c r="J182" i="22" s="1"/>
  <c r="J184" i="22" s="1"/>
  <c r="J186" i="22" s="1"/>
  <c r="J188" i="22" s="1"/>
  <c r="J190" i="22" s="1"/>
  <c r="Q157" i="24"/>
  <c r="V3" i="24" s="1"/>
  <c r="H7" i="22" s="1"/>
  <c r="AS119" i="24"/>
  <c r="AW3" i="24" s="1"/>
  <c r="G69" i="22" s="1"/>
  <c r="Q271" i="24"/>
  <c r="Y3" i="24" s="1"/>
  <c r="K7" i="22" s="1"/>
  <c r="BU119" i="24"/>
  <c r="BY3" i="24" s="1"/>
  <c r="G131" i="22" s="1"/>
  <c r="Q5" i="24"/>
  <c r="R3" i="24" s="1"/>
  <c r="D7" i="22" s="1"/>
  <c r="Q347" i="24"/>
  <c r="AA3" i="24" s="1"/>
  <c r="M7" i="22" s="1"/>
  <c r="BU385" i="24"/>
  <c r="CF3" i="24" s="1"/>
  <c r="N131" i="22" s="1"/>
  <c r="AE5" i="24"/>
  <c r="AF3" i="24" s="1"/>
  <c r="D38" i="22" s="1"/>
  <c r="Q423" i="24"/>
  <c r="AC3" i="24" s="1"/>
  <c r="O7" i="22" s="1"/>
  <c r="BG5" i="24"/>
  <c r="BH3" i="24" s="1"/>
  <c r="D100" i="22" s="1"/>
  <c r="AS43" i="24"/>
  <c r="AU3" i="24" s="1"/>
  <c r="E69" i="22" s="1"/>
  <c r="CI5" i="24"/>
  <c r="CJ3" i="24" s="1"/>
  <c r="D162" i="22" s="1"/>
  <c r="D164" i="22" s="1"/>
  <c r="D168" i="22" s="1"/>
  <c r="D170" i="22" s="1"/>
  <c r="D172" i="22" s="1"/>
  <c r="D174" i="22" s="1"/>
  <c r="D176" i="22" s="1"/>
  <c r="D178" i="22" s="1"/>
  <c r="D180" i="22" s="1"/>
  <c r="D182" i="22" s="1"/>
  <c r="D184" i="22" s="1"/>
  <c r="D186" i="22" s="1"/>
  <c r="D188" i="22" s="1"/>
  <c r="D190" i="22" s="1"/>
  <c r="CI5" i="17"/>
  <c r="CJ3" i="17" s="1"/>
  <c r="D162" i="14" s="1"/>
  <c r="D164" i="14" s="1"/>
  <c r="D168" i="14" s="1"/>
  <c r="D170" i="14" s="1"/>
  <c r="D172" i="14" s="1"/>
  <c r="D174" i="14" s="1"/>
  <c r="D176" i="14" s="1"/>
  <c r="D178" i="14" s="1"/>
  <c r="D180" i="14" s="1"/>
  <c r="D182" i="14" s="1"/>
  <c r="D184" i="14" s="1"/>
  <c r="D186" i="14" s="1"/>
  <c r="D188" i="14" s="1"/>
  <c r="D190" i="14" s="1"/>
  <c r="CI81" i="17"/>
  <c r="CL3" i="17" s="1"/>
  <c r="F162" i="14" s="1"/>
  <c r="F164" i="14" s="1"/>
  <c r="F168" i="14" s="1"/>
  <c r="F170" i="14" s="1"/>
  <c r="F172" i="14" s="1"/>
  <c r="F174" i="14" s="1"/>
  <c r="F176" i="14" s="1"/>
  <c r="F178" i="14" s="1"/>
  <c r="F180" i="14" s="1"/>
  <c r="F182" i="14" s="1"/>
  <c r="F184" i="14" s="1"/>
  <c r="F186" i="14" s="1"/>
  <c r="F188" i="14" s="1"/>
  <c r="F190" i="14" s="1"/>
  <c r="CI347" i="17"/>
  <c r="CS3" i="17" s="1"/>
  <c r="M162" i="14" s="1"/>
  <c r="M164" i="14" s="1"/>
  <c r="M168" i="14" s="1"/>
  <c r="M170" i="14" s="1"/>
  <c r="M172" i="14" s="1"/>
  <c r="M174" i="14" s="1"/>
  <c r="M176" i="14" s="1"/>
  <c r="M178" i="14" s="1"/>
  <c r="M180" i="14" s="1"/>
  <c r="M182" i="14" s="1"/>
  <c r="M184" i="14" s="1"/>
  <c r="M186" i="14" s="1"/>
  <c r="M188" i="14" s="1"/>
  <c r="M190" i="14" s="1"/>
  <c r="CI271" i="17"/>
  <c r="CQ3" i="17" s="1"/>
  <c r="K162" i="14" s="1"/>
  <c r="K164" i="14" s="1"/>
  <c r="K168" i="14" s="1"/>
  <c r="K170" i="14" s="1"/>
  <c r="K172" i="14" s="1"/>
  <c r="K174" i="14" s="1"/>
  <c r="K176" i="14" s="1"/>
  <c r="K178" i="14" s="1"/>
  <c r="K180" i="14" s="1"/>
  <c r="K182" i="14" s="1"/>
  <c r="K184" i="14" s="1"/>
  <c r="K186" i="14" s="1"/>
  <c r="K188" i="14" s="1"/>
  <c r="K190" i="14" s="1"/>
  <c r="CI157" i="17"/>
  <c r="CN3" i="17" s="1"/>
  <c r="H162" i="14" s="1"/>
  <c r="H164" i="14" s="1"/>
  <c r="H168" i="14" s="1"/>
  <c r="H170" i="14" s="1"/>
  <c r="H172" i="14" s="1"/>
  <c r="H174" i="14" s="1"/>
  <c r="H176" i="14" s="1"/>
  <c r="H178" i="14" s="1"/>
  <c r="H180" i="14" s="1"/>
  <c r="H182" i="14" s="1"/>
  <c r="H184" i="14" s="1"/>
  <c r="H186" i="14" s="1"/>
  <c r="H188" i="14" s="1"/>
  <c r="H190" i="14" s="1"/>
  <c r="CI119" i="17"/>
  <c r="CM3" i="17" s="1"/>
  <c r="G162" i="14" s="1"/>
  <c r="G164" i="14" s="1"/>
  <c r="G168" i="14" s="1"/>
  <c r="G170" i="14" s="1"/>
  <c r="G172" i="14" s="1"/>
  <c r="G174" i="14" s="1"/>
  <c r="G176" i="14" s="1"/>
  <c r="G178" i="14" s="1"/>
  <c r="G180" i="14" s="1"/>
  <c r="G182" i="14" s="1"/>
  <c r="G184" i="14" s="1"/>
  <c r="G186" i="14" s="1"/>
  <c r="G188" i="14" s="1"/>
  <c r="G190" i="14" s="1"/>
  <c r="CI233" i="17"/>
  <c r="CP3" i="17" s="1"/>
  <c r="J162" i="14" s="1"/>
  <c r="J164" i="14" s="1"/>
  <c r="J168" i="14" s="1"/>
  <c r="J170" i="14" s="1"/>
  <c r="J172" i="14" s="1"/>
  <c r="J174" i="14" s="1"/>
  <c r="J176" i="14" s="1"/>
  <c r="J178" i="14" s="1"/>
  <c r="J180" i="14" s="1"/>
  <c r="J182" i="14" s="1"/>
  <c r="J184" i="14" s="1"/>
  <c r="J186" i="14" s="1"/>
  <c r="J188" i="14" s="1"/>
  <c r="J190" i="14" s="1"/>
  <c r="CI423" i="17"/>
  <c r="CU3" i="17" s="1"/>
  <c r="O162" i="14" s="1"/>
  <c r="O164" i="14" s="1"/>
  <c r="O168" i="14" s="1"/>
  <c r="O170" i="14" s="1"/>
  <c r="O172" i="14" s="1"/>
  <c r="O174" i="14" s="1"/>
  <c r="O176" i="14" s="1"/>
  <c r="O178" i="14" s="1"/>
  <c r="O180" i="14" s="1"/>
  <c r="O182" i="14" s="1"/>
  <c r="O184" i="14" s="1"/>
  <c r="O186" i="14" s="1"/>
  <c r="O188" i="14" s="1"/>
  <c r="O190" i="14" s="1"/>
  <c r="AE423" i="17"/>
  <c r="AQ3" i="17" s="1"/>
  <c r="O38" i="14" s="1"/>
  <c r="CI309" i="17"/>
  <c r="CR3" i="17" s="1"/>
  <c r="L162" i="14" s="1"/>
  <c r="L164" i="14" s="1"/>
  <c r="L168" i="14" s="1"/>
  <c r="L170" i="14" s="1"/>
  <c r="L172" i="14" s="1"/>
  <c r="L174" i="14" s="1"/>
  <c r="L176" i="14" s="1"/>
  <c r="L178" i="14" s="1"/>
  <c r="L180" i="14" s="1"/>
  <c r="L182" i="14" s="1"/>
  <c r="L184" i="14" s="1"/>
  <c r="L186" i="14" s="1"/>
  <c r="L188" i="14" s="1"/>
  <c r="L190" i="14" s="1"/>
  <c r="AS195" i="17"/>
  <c r="AY3" i="17" s="1"/>
  <c r="I69" i="14" s="1"/>
  <c r="BG195" i="17"/>
  <c r="BM3" i="17" s="1"/>
  <c r="I100" i="14" s="1"/>
  <c r="CI195" i="17"/>
  <c r="CO3" i="17" s="1"/>
  <c r="I162" i="14" s="1"/>
  <c r="I164" i="14" s="1"/>
  <c r="I168" i="14" s="1"/>
  <c r="I170" i="14" s="1"/>
  <c r="I172" i="14" s="1"/>
  <c r="I174" i="14" s="1"/>
  <c r="I176" i="14" s="1"/>
  <c r="I178" i="14" s="1"/>
  <c r="I180" i="14" s="1"/>
  <c r="I182" i="14" s="1"/>
  <c r="I184" i="14" s="1"/>
  <c r="I186" i="14" s="1"/>
  <c r="I188" i="14" s="1"/>
  <c r="I190" i="14" s="1"/>
  <c r="AE195" i="17"/>
  <c r="AK3" i="17" s="1"/>
  <c r="I38" i="14" s="1"/>
  <c r="AS347" i="17"/>
  <c r="BC3" i="17" s="1"/>
  <c r="M69" i="14" s="1"/>
  <c r="BG347" i="17"/>
  <c r="BQ3" i="17" s="1"/>
  <c r="M100" i="14" s="1"/>
  <c r="BU347" i="17"/>
  <c r="CE3" i="17" s="1"/>
  <c r="M131" i="14" s="1"/>
  <c r="AE347" i="17"/>
  <c r="AO3" i="17" s="1"/>
  <c r="M38" i="14" s="1"/>
  <c r="AS271" i="17"/>
  <c r="BA3" i="17" s="1"/>
  <c r="K69" i="14" s="1"/>
  <c r="BG271" i="17"/>
  <c r="BO3" i="17" s="1"/>
  <c r="K100" i="14" s="1"/>
  <c r="AE271" i="17"/>
  <c r="AM3" i="17" s="1"/>
  <c r="K38" i="14" s="1"/>
  <c r="AS157" i="17"/>
  <c r="AX3" i="17" s="1"/>
  <c r="H69" i="14" s="1"/>
  <c r="BG157" i="17"/>
  <c r="BL3" i="17" s="1"/>
  <c r="H100" i="14" s="1"/>
  <c r="BU157" i="17"/>
  <c r="BZ3" i="17" s="1"/>
  <c r="H131" i="14" s="1"/>
  <c r="AE157" i="17"/>
  <c r="AJ3" i="17" s="1"/>
  <c r="H38" i="14" s="1"/>
  <c r="AS119" i="17"/>
  <c r="AW3" i="17" s="1"/>
  <c r="G69" i="14" s="1"/>
  <c r="BG119" i="17"/>
  <c r="BK3" i="17" s="1"/>
  <c r="G100" i="14" s="1"/>
  <c r="BU119" i="17"/>
  <c r="BY3" i="17" s="1"/>
  <c r="G131" i="14" s="1"/>
  <c r="AE119" i="17"/>
  <c r="AI3" i="17" s="1"/>
  <c r="G38" i="14" s="1"/>
  <c r="AS81" i="17"/>
  <c r="AV3" i="17" s="1"/>
  <c r="F69" i="14" s="1"/>
  <c r="BU81" i="17"/>
  <c r="BX3" i="17" s="1"/>
  <c r="F131" i="14" s="1"/>
  <c r="AE81" i="17"/>
  <c r="AH3" i="17" s="1"/>
  <c r="F38" i="14" s="1"/>
  <c r="AS5" i="17"/>
  <c r="AT3" i="17" s="1"/>
  <c r="D69" i="14" s="1"/>
  <c r="AE5" i="17"/>
  <c r="AF3" i="17" s="1"/>
  <c r="D38" i="14" s="1"/>
  <c r="BU195" i="17"/>
  <c r="CA3" i="17" s="1"/>
  <c r="I131" i="14" s="1"/>
  <c r="BU271" i="17"/>
  <c r="CC3" i="17" s="1"/>
  <c r="K131" i="14" s="1"/>
  <c r="BG81" i="17"/>
  <c r="BJ3" i="17" s="1"/>
  <c r="F100" i="14" s="1"/>
  <c r="BG5" i="17"/>
  <c r="BH3" i="17" s="1"/>
  <c r="D100" i="14" s="1"/>
  <c r="BU5" i="17"/>
  <c r="BV3" i="17" s="1"/>
  <c r="D131" i="14" s="1"/>
  <c r="CI385" i="17"/>
  <c r="CT3" i="17" s="1"/>
  <c r="N162" i="14" s="1"/>
  <c r="N164" i="14" s="1"/>
  <c r="N168" i="14" s="1"/>
  <c r="N170" i="14" s="1"/>
  <c r="N172" i="14" s="1"/>
  <c r="N174" i="14" s="1"/>
  <c r="N176" i="14" s="1"/>
  <c r="N178" i="14" s="1"/>
  <c r="N180" i="14" s="1"/>
  <c r="N182" i="14" s="1"/>
  <c r="N184" i="14" s="1"/>
  <c r="N186" i="14" s="1"/>
  <c r="N188" i="14" s="1"/>
  <c r="N190" i="14" s="1"/>
  <c r="AE309" i="17"/>
  <c r="AN3" i="17" s="1"/>
  <c r="L38" i="14" s="1"/>
  <c r="AE385" i="17"/>
  <c r="AP3" i="17" s="1"/>
  <c r="N38" i="14" s="1"/>
  <c r="AE233" i="17"/>
  <c r="AL3" i="17" s="1"/>
  <c r="J38" i="14" s="1"/>
  <c r="AS309" i="17"/>
  <c r="BB3" i="17" s="1"/>
  <c r="L69" i="14" s="1"/>
  <c r="AS385" i="17"/>
  <c r="BD3" i="17" s="1"/>
  <c r="N69" i="14" s="1"/>
  <c r="AS423" i="17"/>
  <c r="BE3" i="17" s="1"/>
  <c r="O69" i="14" s="1"/>
  <c r="AS233" i="17"/>
  <c r="AZ3" i="17" s="1"/>
  <c r="J69" i="14" s="1"/>
  <c r="BG309" i="17"/>
  <c r="BP3" i="17" s="1"/>
  <c r="L100" i="14" s="1"/>
  <c r="BG385" i="17"/>
  <c r="BR3" i="17" s="1"/>
  <c r="N100" i="14" s="1"/>
  <c r="BG233" i="17"/>
  <c r="BN3" i="17" s="1"/>
  <c r="J100" i="14" s="1"/>
  <c r="BG423" i="17"/>
  <c r="BS3" i="17" s="1"/>
  <c r="O100" i="14" s="1"/>
  <c r="BU233" i="17"/>
  <c r="CB3" i="17" s="1"/>
  <c r="J131" i="14" s="1"/>
  <c r="BU309" i="17"/>
  <c r="CD3" i="17" s="1"/>
  <c r="L131" i="14" s="1"/>
  <c r="BU385" i="17"/>
  <c r="CF3" i="17" s="1"/>
  <c r="N131" i="14" s="1"/>
  <c r="BU423" i="17"/>
  <c r="CG3" i="17" s="1"/>
  <c r="O131" i="14" s="1"/>
  <c r="F9" i="2" l="1"/>
  <c r="F15" i="2"/>
  <c r="F17" i="2"/>
  <c r="F13" i="2"/>
  <c r="I9" i="2"/>
  <c r="I17" i="2"/>
  <c r="K9" i="2"/>
  <c r="K17" i="2"/>
  <c r="O17" i="2"/>
  <c r="O13" i="2"/>
  <c r="O9" i="2"/>
  <c r="O19" i="2"/>
  <c r="H9" i="2"/>
  <c r="H17" i="2"/>
  <c r="H13" i="2"/>
  <c r="H15" i="2"/>
  <c r="N17" i="2"/>
  <c r="N9" i="2"/>
  <c r="D17" i="2"/>
  <c r="D9" i="2"/>
  <c r="E9" i="2"/>
  <c r="E17" i="2"/>
  <c r="G9" i="2"/>
  <c r="G17" i="2"/>
  <c r="K46" i="2"/>
  <c r="K52" i="2"/>
  <c r="K48" i="2"/>
  <c r="K44" i="2"/>
  <c r="K40" i="2"/>
  <c r="E48" i="2"/>
  <c r="E44" i="2"/>
  <c r="E58" i="2"/>
  <c r="E46" i="2"/>
  <c r="E40" i="2"/>
  <c r="O40" i="2"/>
  <c r="O58" i="2"/>
  <c r="O50" i="2"/>
  <c r="O48" i="2"/>
  <c r="O44" i="2"/>
  <c r="F46" i="2"/>
  <c r="F44" i="2"/>
  <c r="D60" i="2"/>
  <c r="D48" i="2"/>
  <c r="D40" i="2"/>
  <c r="M58" i="2"/>
  <c r="M46" i="2"/>
  <c r="M48" i="2"/>
  <c r="M44" i="2"/>
  <c r="M40" i="2"/>
  <c r="G58" i="2"/>
  <c r="G46" i="2"/>
  <c r="G40" i="2"/>
  <c r="G48" i="2"/>
  <c r="G44" i="2"/>
  <c r="N46" i="2"/>
  <c r="N40" i="2"/>
  <c r="N48" i="2"/>
  <c r="N44" i="2"/>
  <c r="J46" i="2"/>
  <c r="J48" i="2"/>
  <c r="J44" i="2"/>
  <c r="J40" i="2"/>
  <c r="I40" i="2"/>
  <c r="I48" i="2"/>
  <c r="I44" i="2"/>
  <c r="L58" i="2"/>
  <c r="L46" i="2"/>
  <c r="L48" i="2"/>
  <c r="L44" i="2"/>
  <c r="L40" i="2"/>
  <c r="H58" i="2"/>
  <c r="H50" i="2"/>
  <c r="H40" i="2"/>
  <c r="H48" i="2"/>
  <c r="K79" i="2"/>
  <c r="K71" i="2"/>
  <c r="K89" i="2"/>
  <c r="F93" i="2"/>
  <c r="F89" i="2"/>
  <c r="F237" i="2"/>
  <c r="H237" i="2"/>
  <c r="D79" i="2"/>
  <c r="D71" i="2"/>
  <c r="L237" i="2"/>
  <c r="E237" i="2"/>
  <c r="G71" i="2"/>
  <c r="G79" i="2"/>
  <c r="M237" i="2"/>
  <c r="O79" i="2"/>
  <c r="O71" i="2"/>
  <c r="O81" i="2"/>
  <c r="D237" i="2"/>
  <c r="N237" i="2"/>
  <c r="M83" i="2"/>
  <c r="M79" i="2"/>
  <c r="M71" i="2"/>
  <c r="M89" i="2"/>
  <c r="H71" i="2"/>
  <c r="H79" i="2"/>
  <c r="K237" i="2"/>
  <c r="O237" i="2"/>
  <c r="I237" i="2"/>
  <c r="N79" i="2"/>
  <c r="N71" i="2"/>
  <c r="G237" i="2"/>
  <c r="L79" i="2"/>
  <c r="L75" i="2"/>
  <c r="L77" i="2"/>
  <c r="L71" i="2"/>
  <c r="L81" i="2"/>
  <c r="I77" i="2"/>
  <c r="I71" i="2"/>
  <c r="I79" i="2"/>
  <c r="I75" i="2"/>
  <c r="E89" i="2"/>
  <c r="E81" i="2"/>
  <c r="E77" i="2"/>
  <c r="E71" i="2"/>
  <c r="E79" i="2"/>
  <c r="J237" i="2"/>
  <c r="J79" i="2"/>
  <c r="J75" i="2"/>
  <c r="J71" i="2"/>
  <c r="J77" i="2"/>
  <c r="O243" i="23"/>
  <c r="J243" i="22"/>
  <c r="J239" i="22"/>
  <c r="J241" i="22"/>
  <c r="J237" i="22"/>
  <c r="J233" i="22"/>
  <c r="G241" i="23"/>
  <c r="G237" i="23"/>
  <c r="G233" i="23"/>
  <c r="G243" i="23"/>
  <c r="G239" i="23"/>
  <c r="L239" i="22"/>
  <c r="L241" i="22"/>
  <c r="L237" i="22"/>
  <c r="L233" i="22"/>
  <c r="L243" i="22"/>
  <c r="N241" i="22"/>
  <c r="N237" i="22"/>
  <c r="N239" i="22"/>
  <c r="N233" i="22"/>
  <c r="N243" i="22"/>
  <c r="M243" i="23"/>
  <c r="M239" i="23"/>
  <c r="M241" i="23"/>
  <c r="M237" i="23"/>
  <c r="M233" i="23"/>
  <c r="E243" i="22"/>
  <c r="E239" i="22"/>
  <c r="E241" i="22"/>
  <c r="E237" i="22"/>
  <c r="E233" i="22"/>
  <c r="L233" i="23"/>
  <c r="L243" i="23"/>
  <c r="L239" i="23"/>
  <c r="L241" i="23"/>
  <c r="L237" i="23"/>
  <c r="N243" i="23"/>
  <c r="N239" i="23"/>
  <c r="N241" i="23"/>
  <c r="N237" i="23"/>
  <c r="N233" i="23"/>
  <c r="I243" i="22"/>
  <c r="I239" i="22"/>
  <c r="I241" i="22"/>
  <c r="I237" i="22"/>
  <c r="I233" i="22"/>
  <c r="K233" i="23"/>
  <c r="K243" i="23"/>
  <c r="K239" i="23"/>
  <c r="K241" i="23"/>
  <c r="K237" i="23"/>
  <c r="O241" i="22"/>
  <c r="O237" i="22"/>
  <c r="O233" i="22"/>
  <c r="O243" i="22"/>
  <c r="O239" i="22"/>
  <c r="E241" i="23"/>
  <c r="E237" i="23"/>
  <c r="E233" i="23"/>
  <c r="E243" i="23"/>
  <c r="E239" i="23"/>
  <c r="M239" i="22"/>
  <c r="M241" i="22"/>
  <c r="M237" i="22"/>
  <c r="M233" i="22"/>
  <c r="M243" i="22"/>
  <c r="D233" i="22"/>
  <c r="D243" i="22"/>
  <c r="D239" i="22"/>
  <c r="D241" i="22"/>
  <c r="D237" i="22"/>
  <c r="I237" i="23"/>
  <c r="I233" i="23"/>
  <c r="I243" i="23"/>
  <c r="I239" i="23"/>
  <c r="I241" i="23"/>
  <c r="K243" i="22"/>
  <c r="K239" i="22"/>
  <c r="K241" i="22"/>
  <c r="K237" i="22"/>
  <c r="K233" i="22"/>
  <c r="D241" i="23"/>
  <c r="D237" i="23"/>
  <c r="D233" i="23"/>
  <c r="D243" i="23"/>
  <c r="D239" i="23"/>
  <c r="F243" i="22"/>
  <c r="F239" i="22"/>
  <c r="F241" i="22"/>
  <c r="F237" i="22"/>
  <c r="F233" i="22"/>
  <c r="H243" i="22"/>
  <c r="H239" i="22"/>
  <c r="H241" i="22"/>
  <c r="H237" i="22"/>
  <c r="H233" i="22"/>
  <c r="J233" i="23"/>
  <c r="J237" i="23"/>
  <c r="J243" i="23"/>
  <c r="J239" i="23"/>
  <c r="J241" i="23"/>
  <c r="O233" i="23"/>
  <c r="F241" i="23"/>
  <c r="F237" i="23"/>
  <c r="F233" i="23"/>
  <c r="F243" i="23"/>
  <c r="F239" i="23"/>
  <c r="O237" i="23"/>
  <c r="O241" i="23"/>
  <c r="G243" i="22"/>
  <c r="G239" i="22"/>
  <c r="G241" i="22"/>
  <c r="G237" i="22"/>
  <c r="G233" i="22"/>
  <c r="O239" i="23"/>
  <c r="H237" i="23"/>
  <c r="H233" i="23"/>
  <c r="H241" i="23"/>
  <c r="H243" i="23"/>
  <c r="H239" i="23"/>
  <c r="L226" i="2"/>
  <c r="M226" i="2" s="1"/>
  <c r="D239" i="2"/>
  <c r="D233" i="2"/>
  <c r="D241" i="2"/>
  <c r="D243" i="2"/>
  <c r="N243" i="2"/>
  <c r="N239" i="2"/>
  <c r="N233" i="2"/>
  <c r="N241" i="2"/>
  <c r="O243" i="2"/>
  <c r="O239" i="2"/>
  <c r="O233" i="2"/>
  <c r="O241" i="2"/>
  <c r="F241" i="2"/>
  <c r="F243" i="2"/>
  <c r="F239" i="2"/>
  <c r="F233" i="2"/>
  <c r="I241" i="2"/>
  <c r="I243" i="2"/>
  <c r="I239" i="2"/>
  <c r="I233" i="2"/>
  <c r="K241" i="2"/>
  <c r="K243" i="2"/>
  <c r="K239" i="2"/>
  <c r="K233" i="2"/>
  <c r="L241" i="2"/>
  <c r="L243" i="2"/>
  <c r="L239" i="2"/>
  <c r="L233" i="2"/>
  <c r="E239" i="2"/>
  <c r="E233" i="2"/>
  <c r="E241" i="2"/>
  <c r="E243" i="2"/>
  <c r="M241" i="2"/>
  <c r="M243" i="2"/>
  <c r="M239" i="2"/>
  <c r="M233" i="2"/>
  <c r="H233" i="2"/>
  <c r="H241" i="2"/>
  <c r="H243" i="2"/>
  <c r="H239" i="2"/>
  <c r="G239" i="2"/>
  <c r="G241" i="2"/>
  <c r="G233" i="2"/>
  <c r="G243" i="2"/>
  <c r="J241" i="2"/>
  <c r="J243" i="2"/>
  <c r="J239" i="2"/>
  <c r="J233" i="2"/>
  <c r="O204" i="23"/>
  <c r="E130" i="2"/>
  <c r="L37" i="2"/>
  <c r="K68" i="2"/>
  <c r="G68" i="2"/>
  <c r="O200" i="23"/>
  <c r="Q195" i="17"/>
  <c r="W3" i="17" s="1"/>
  <c r="I7" i="14" s="1"/>
  <c r="Q81" i="17"/>
  <c r="T3" i="17" s="1"/>
  <c r="F7" i="14" s="1"/>
  <c r="Q347" i="17"/>
  <c r="AA3" i="17" s="1"/>
  <c r="M7" i="14" s="1"/>
  <c r="Q119" i="17"/>
  <c r="U3" i="17" s="1"/>
  <c r="G7" i="14" s="1"/>
  <c r="Q271" i="17"/>
  <c r="Y3" i="17" s="1"/>
  <c r="K7" i="14" s="1"/>
  <c r="Q5" i="17"/>
  <c r="R3" i="17" s="1"/>
  <c r="D7" i="14" s="1"/>
  <c r="Q423" i="17"/>
  <c r="AC3" i="17" s="1"/>
  <c r="O7" i="14" s="1"/>
  <c r="F99" i="2" l="1"/>
  <c r="I130" i="2"/>
  <c r="J130" i="2"/>
  <c r="N130" i="2"/>
  <c r="K130" i="2"/>
  <c r="O130" i="2"/>
  <c r="G130" i="2"/>
  <c r="L130" i="2"/>
  <c r="M130" i="2"/>
  <c r="J99" i="2"/>
  <c r="D99" i="2"/>
  <c r="O99" i="2"/>
  <c r="K99" i="2"/>
  <c r="M99" i="2"/>
  <c r="I99" i="2"/>
  <c r="H99" i="2"/>
  <c r="E99" i="2"/>
  <c r="N99" i="2"/>
  <c r="G99" i="2"/>
  <c r="L99" i="2"/>
  <c r="L68" i="2"/>
  <c r="O68" i="2"/>
  <c r="M68" i="2"/>
  <c r="N68" i="2"/>
  <c r="I68" i="2"/>
  <c r="J68" i="2"/>
  <c r="H68" i="2"/>
  <c r="F68" i="2"/>
  <c r="E68" i="2"/>
  <c r="D68" i="2"/>
  <c r="D37" i="2"/>
  <c r="F37" i="2"/>
  <c r="H37" i="2"/>
  <c r="O37" i="2"/>
  <c r="K37" i="2"/>
  <c r="N37" i="2"/>
  <c r="I37" i="2"/>
  <c r="E37" i="2"/>
  <c r="G37" i="2"/>
  <c r="Q244" i="22"/>
  <c r="P244" i="22" s="1"/>
  <c r="O196" i="23"/>
  <c r="Q237" i="22"/>
  <c r="P237" i="22" s="1"/>
  <c r="Q241" i="22"/>
  <c r="P241" i="22" s="1"/>
  <c r="Q235" i="22"/>
  <c r="P235" i="22" s="1"/>
  <c r="O214" i="23"/>
  <c r="O216" i="23"/>
  <c r="Q239" i="22"/>
  <c r="P239" i="22" s="1"/>
  <c r="Q243" i="22"/>
  <c r="P243" i="22" s="1"/>
  <c r="Q233" i="22"/>
  <c r="P233" i="22" s="1"/>
  <c r="Q235" i="23"/>
  <c r="P235" i="23" s="1"/>
  <c r="Q239" i="23"/>
  <c r="P239" i="23" s="1"/>
  <c r="Q243" i="23"/>
  <c r="P243" i="23" s="1"/>
  <c r="Q233" i="23"/>
  <c r="P233" i="23" s="1"/>
  <c r="Q237" i="23"/>
  <c r="P237" i="23" s="1"/>
  <c r="Q241" i="23"/>
  <c r="P241" i="23" s="1"/>
  <c r="M227" i="2"/>
  <c r="N227" i="2" s="1"/>
  <c r="Q237" i="2"/>
  <c r="P237" i="2" s="1"/>
  <c r="Q243" i="2"/>
  <c r="P243" i="2" s="1"/>
  <c r="Q235" i="2"/>
  <c r="P235" i="2" s="1"/>
  <c r="Q241" i="2"/>
  <c r="P241" i="2" s="1"/>
  <c r="Q244" i="2"/>
  <c r="P244" i="2" s="1"/>
  <c r="Q233" i="2"/>
  <c r="P233" i="2" s="1"/>
  <c r="Q239" i="2"/>
  <c r="P239" i="2" s="1"/>
  <c r="O202" i="23"/>
  <c r="O210" i="23"/>
  <c r="O218" i="23"/>
  <c r="O194" i="23"/>
  <c r="I220" i="23"/>
  <c r="H214" i="22"/>
  <c r="I220" i="14"/>
  <c r="I216" i="14"/>
  <c r="I212" i="14"/>
  <c r="I204" i="14"/>
  <c r="I200" i="14"/>
  <c r="I196" i="14"/>
  <c r="I218" i="14"/>
  <c r="I214" i="14"/>
  <c r="I210" i="14"/>
  <c r="I206" i="14"/>
  <c r="I202" i="14"/>
  <c r="F220" i="14"/>
  <c r="F216" i="14"/>
  <c r="F212" i="14"/>
  <c r="F204" i="14"/>
  <c r="F200" i="14"/>
  <c r="F196" i="14"/>
  <c r="F218" i="14"/>
  <c r="F214" i="14"/>
  <c r="F210" i="14"/>
  <c r="D198" i="14"/>
  <c r="K220" i="14"/>
  <c r="K216" i="14"/>
  <c r="K212" i="14"/>
  <c r="K204" i="14"/>
  <c r="K200" i="14"/>
  <c r="K214" i="14"/>
  <c r="K210" i="14"/>
  <c r="K206" i="14"/>
  <c r="K202" i="14"/>
  <c r="O218" i="14"/>
  <c r="O214" i="14"/>
  <c r="O210" i="14"/>
  <c r="O206" i="14"/>
  <c r="O202" i="14"/>
  <c r="O220" i="14"/>
  <c r="O216" i="14"/>
  <c r="O212" i="14"/>
  <c r="O204" i="14"/>
  <c r="O200" i="14"/>
  <c r="O196" i="14"/>
  <c r="M204" i="14"/>
  <c r="M216" i="14"/>
  <c r="M200" i="14"/>
  <c r="M218" i="14"/>
  <c r="M214" i="14"/>
  <c r="M210" i="14"/>
  <c r="M206" i="14"/>
  <c r="M202" i="14"/>
  <c r="M196" i="14"/>
  <c r="M220" i="14"/>
  <c r="M212" i="14"/>
  <c r="G220" i="14"/>
  <c r="G216" i="14"/>
  <c r="G212" i="14"/>
  <c r="G204" i="14"/>
  <c r="G200" i="14"/>
  <c r="G196" i="14"/>
  <c r="G218" i="14"/>
  <c r="G214" i="14"/>
  <c r="G210" i="14"/>
  <c r="G206" i="14"/>
  <c r="G202" i="14"/>
  <c r="J212" i="23"/>
  <c r="I214" i="23"/>
  <c r="F214" i="23"/>
  <c r="Q20" i="23"/>
  <c r="P20" i="23" s="1"/>
  <c r="D205" i="23"/>
  <c r="Q205" i="23" s="1"/>
  <c r="P205" i="23" s="1"/>
  <c r="J218" i="23"/>
  <c r="E216" i="23"/>
  <c r="F220" i="23"/>
  <c r="M220" i="22"/>
  <c r="M202" i="22"/>
  <c r="H198" i="22"/>
  <c r="J202" i="23"/>
  <c r="K200" i="22"/>
  <c r="K196" i="23"/>
  <c r="I241" i="14"/>
  <c r="I239" i="14"/>
  <c r="I233" i="14"/>
  <c r="I237" i="14"/>
  <c r="I243" i="14"/>
  <c r="Q176" i="23"/>
  <c r="P176" i="23" s="1"/>
  <c r="O239" i="14"/>
  <c r="O243" i="14"/>
  <c r="O237" i="14"/>
  <c r="O241" i="14"/>
  <c r="O233" i="14"/>
  <c r="J210" i="23"/>
  <c r="M196" i="23"/>
  <c r="J204" i="23"/>
  <c r="K202" i="22"/>
  <c r="H204" i="23"/>
  <c r="M206" i="23"/>
  <c r="Q44" i="23"/>
  <c r="P44" i="23" s="1"/>
  <c r="I210" i="23"/>
  <c r="J216" i="2"/>
  <c r="K218" i="22"/>
  <c r="H212" i="22"/>
  <c r="Q44" i="22"/>
  <c r="P44" i="22" s="1"/>
  <c r="I206" i="22"/>
  <c r="J212" i="22"/>
  <c r="G210" i="22"/>
  <c r="Q149" i="22"/>
  <c r="P149" i="22" s="1"/>
  <c r="N200" i="22"/>
  <c r="F200" i="22"/>
  <c r="F206" i="23"/>
  <c r="J198" i="22"/>
  <c r="H206" i="22"/>
  <c r="Q75" i="22"/>
  <c r="P75" i="22" s="1"/>
  <c r="E214" i="22"/>
  <c r="I210" i="22"/>
  <c r="N216" i="22"/>
  <c r="F206" i="22"/>
  <c r="I200" i="23"/>
  <c r="Q184" i="23"/>
  <c r="P184" i="23" s="1"/>
  <c r="L194" i="22"/>
  <c r="M216" i="22"/>
  <c r="L206" i="23"/>
  <c r="I218" i="23"/>
  <c r="O220" i="23"/>
  <c r="Q85" i="23"/>
  <c r="P85" i="23" s="1"/>
  <c r="G210" i="23"/>
  <c r="H216" i="22"/>
  <c r="F202" i="23"/>
  <c r="D239" i="14"/>
  <c r="D241" i="14"/>
  <c r="D237" i="14"/>
  <c r="D243" i="14"/>
  <c r="D233" i="14"/>
  <c r="F196" i="23"/>
  <c r="L218" i="23"/>
  <c r="O198" i="23"/>
  <c r="Q79" i="23"/>
  <c r="P79" i="23" s="1"/>
  <c r="K196" i="14"/>
  <c r="K239" i="14"/>
  <c r="K241" i="14"/>
  <c r="K218" i="14"/>
  <c r="K243" i="14"/>
  <c r="K237" i="14"/>
  <c r="K233" i="14"/>
  <c r="G241" i="14"/>
  <c r="G239" i="14"/>
  <c r="G233" i="14"/>
  <c r="G237" i="14"/>
  <c r="G243" i="14"/>
  <c r="M239" i="14"/>
  <c r="M241" i="14"/>
  <c r="M243" i="14"/>
  <c r="M233" i="14"/>
  <c r="M237" i="14"/>
  <c r="F239" i="14"/>
  <c r="F206" i="14"/>
  <c r="F202" i="14"/>
  <c r="F241" i="14"/>
  <c r="F237" i="14"/>
  <c r="F243" i="14"/>
  <c r="F233" i="14"/>
  <c r="M204" i="22"/>
  <c r="O214" i="22"/>
  <c r="K214" i="23"/>
  <c r="M218" i="23"/>
  <c r="Q120" i="23"/>
  <c r="P120" i="23" s="1"/>
  <c r="H206" i="23"/>
  <c r="I204" i="23"/>
  <c r="Q153" i="23"/>
  <c r="P153" i="23" s="1"/>
  <c r="Q174" i="23"/>
  <c r="P174" i="23" s="1"/>
  <c r="K208" i="23"/>
  <c r="Q124" i="23"/>
  <c r="P124" i="23" s="1"/>
  <c r="Q128" i="23"/>
  <c r="P128" i="23" s="1"/>
  <c r="Q83" i="23"/>
  <c r="P83" i="23" s="1"/>
  <c r="G202" i="23"/>
  <c r="H202" i="23"/>
  <c r="I198" i="23"/>
  <c r="M202" i="23"/>
  <c r="K216" i="23"/>
  <c r="Q168" i="23"/>
  <c r="P168" i="23" s="1"/>
  <c r="K210" i="23"/>
  <c r="Q77" i="23"/>
  <c r="P77" i="23" s="1"/>
  <c r="L210" i="23"/>
  <c r="H196" i="23"/>
  <c r="G196" i="23"/>
  <c r="M210" i="23"/>
  <c r="M214" i="23"/>
  <c r="Q164" i="23"/>
  <c r="P164" i="23" s="1"/>
  <c r="E210" i="23"/>
  <c r="Q126" i="23"/>
  <c r="P126" i="23" s="1"/>
  <c r="Q114" i="23"/>
  <c r="P114" i="23" s="1"/>
  <c r="L208" i="23"/>
  <c r="Q73" i="23"/>
  <c r="P73" i="23" s="1"/>
  <c r="H194" i="23"/>
  <c r="H200" i="23"/>
  <c r="Q56" i="23"/>
  <c r="P56" i="23" s="1"/>
  <c r="J220" i="23"/>
  <c r="I202" i="23"/>
  <c r="N214" i="23"/>
  <c r="Q188" i="23"/>
  <c r="P188" i="23" s="1"/>
  <c r="Q108" i="23"/>
  <c r="P108" i="23" s="1"/>
  <c r="K202" i="23"/>
  <c r="L204" i="23"/>
  <c r="Q71" i="23"/>
  <c r="P71" i="23" s="1"/>
  <c r="Q50" i="23"/>
  <c r="P50" i="23" s="1"/>
  <c r="D206" i="23"/>
  <c r="Q21" i="23"/>
  <c r="P21" i="23" s="1"/>
  <c r="I196" i="23"/>
  <c r="M212" i="23"/>
  <c r="E198" i="23"/>
  <c r="Q104" i="23"/>
  <c r="P104" i="23" s="1"/>
  <c r="L202" i="23"/>
  <c r="Q91" i="23"/>
  <c r="P91" i="23" s="1"/>
  <c r="G216" i="23"/>
  <c r="J206" i="23"/>
  <c r="M198" i="23"/>
  <c r="Q172" i="23"/>
  <c r="P172" i="23" s="1"/>
  <c r="Q110" i="23"/>
  <c r="P110" i="23" s="1"/>
  <c r="K204" i="23"/>
  <c r="L198" i="23"/>
  <c r="L220" i="23"/>
  <c r="Q93" i="23"/>
  <c r="P93" i="23" s="1"/>
  <c r="H198" i="23"/>
  <c r="Q15" i="23"/>
  <c r="P15" i="23" s="1"/>
  <c r="D200" i="23"/>
  <c r="Q190" i="23"/>
  <c r="P190" i="23" s="1"/>
  <c r="Q116" i="23"/>
  <c r="P116" i="23" s="1"/>
  <c r="L196" i="23"/>
  <c r="Q89" i="23"/>
  <c r="P89" i="23" s="1"/>
  <c r="J214" i="23"/>
  <c r="Q166" i="23"/>
  <c r="P166" i="23" s="1"/>
  <c r="Q17" i="23"/>
  <c r="P17" i="23" s="1"/>
  <c r="D202" i="23"/>
  <c r="Q58" i="23"/>
  <c r="P58" i="23" s="1"/>
  <c r="M208" i="23"/>
  <c r="M220" i="23"/>
  <c r="Q95" i="23"/>
  <c r="P95" i="23" s="1"/>
  <c r="H210" i="23"/>
  <c r="F200" i="23"/>
  <c r="L200" i="23"/>
  <c r="D194" i="23"/>
  <c r="Q9" i="23"/>
  <c r="P9" i="23" s="1"/>
  <c r="Q52" i="23"/>
  <c r="P52" i="23" s="1"/>
  <c r="I212" i="23"/>
  <c r="N220" i="23"/>
  <c r="K218" i="23"/>
  <c r="J198" i="23"/>
  <c r="Q122" i="23"/>
  <c r="P122" i="23" s="1"/>
  <c r="F194" i="23"/>
  <c r="J200" i="23"/>
  <c r="D196" i="23"/>
  <c r="Q11" i="23"/>
  <c r="P11" i="23" s="1"/>
  <c r="Q54" i="23"/>
  <c r="P54" i="23" s="1"/>
  <c r="I206" i="23"/>
  <c r="Q133" i="23"/>
  <c r="P133" i="23" s="1"/>
  <c r="K206" i="23"/>
  <c r="N216" i="23"/>
  <c r="L216" i="23"/>
  <c r="Q81" i="23"/>
  <c r="P81" i="23" s="1"/>
  <c r="J208" i="23"/>
  <c r="Q46" i="23"/>
  <c r="P46" i="23" s="1"/>
  <c r="Q159" i="23"/>
  <c r="P159" i="23" s="1"/>
  <c r="E214" i="23"/>
  <c r="Q102" i="23"/>
  <c r="P102" i="23" s="1"/>
  <c r="N198" i="23"/>
  <c r="J194" i="23"/>
  <c r="Q48" i="23"/>
  <c r="P48" i="23" s="1"/>
  <c r="Q151" i="23"/>
  <c r="P151" i="23" s="1"/>
  <c r="E220" i="23"/>
  <c r="Q118" i="23"/>
  <c r="P118" i="23" s="1"/>
  <c r="G204" i="23"/>
  <c r="Q40" i="23"/>
  <c r="P40" i="23" s="1"/>
  <c r="I194" i="23"/>
  <c r="E208" i="23"/>
  <c r="N218" i="23"/>
  <c r="N196" i="23"/>
  <c r="G218" i="23"/>
  <c r="F208" i="23"/>
  <c r="J196" i="23"/>
  <c r="Q42" i="23"/>
  <c r="P42" i="23" s="1"/>
  <c r="Q135" i="23"/>
  <c r="P135" i="23" s="1"/>
  <c r="E202" i="23"/>
  <c r="H216" i="23"/>
  <c r="M216" i="23"/>
  <c r="L214" i="23"/>
  <c r="G212" i="23"/>
  <c r="I208" i="23"/>
  <c r="F216" i="23"/>
  <c r="Q66" i="23"/>
  <c r="P66" i="23" s="1"/>
  <c r="Q155" i="23"/>
  <c r="P155" i="23" s="1"/>
  <c r="E218" i="23"/>
  <c r="K212" i="23"/>
  <c r="N212" i="23"/>
  <c r="O206" i="23"/>
  <c r="G206" i="23"/>
  <c r="L212" i="23"/>
  <c r="Q13" i="23"/>
  <c r="P13" i="23" s="1"/>
  <c r="Q62" i="23"/>
  <c r="P62" i="23" s="1"/>
  <c r="Q139" i="23"/>
  <c r="P139" i="23" s="1"/>
  <c r="Q149" i="23"/>
  <c r="P149" i="23" s="1"/>
  <c r="E196" i="23"/>
  <c r="M200" i="23"/>
  <c r="N206" i="23"/>
  <c r="O212" i="23"/>
  <c r="G200" i="23"/>
  <c r="Q178" i="23"/>
  <c r="P178" i="23" s="1"/>
  <c r="Q170" i="23"/>
  <c r="P170" i="23" s="1"/>
  <c r="L194" i="23"/>
  <c r="Q19" i="23"/>
  <c r="P19" i="23" s="1"/>
  <c r="Q60" i="23"/>
  <c r="P60" i="23" s="1"/>
  <c r="I216" i="23"/>
  <c r="Q157" i="23"/>
  <c r="P157" i="23" s="1"/>
  <c r="K194" i="23"/>
  <c r="M194" i="23"/>
  <c r="N208" i="23"/>
  <c r="Q87" i="23"/>
  <c r="P87" i="23" s="1"/>
  <c r="H220" i="23"/>
  <c r="F198" i="23"/>
  <c r="F212" i="23"/>
  <c r="F210" i="23"/>
  <c r="Q64" i="23"/>
  <c r="P64" i="23" s="1"/>
  <c r="G198" i="23"/>
  <c r="D204" i="23"/>
  <c r="Q143" i="23"/>
  <c r="P143" i="23" s="1"/>
  <c r="E212" i="23"/>
  <c r="K200" i="23"/>
  <c r="N194" i="23"/>
  <c r="N210" i="23"/>
  <c r="G194" i="23"/>
  <c r="F204" i="23"/>
  <c r="O208" i="23"/>
  <c r="Q147" i="23"/>
  <c r="P147" i="23" s="1"/>
  <c r="M204" i="23"/>
  <c r="E206" i="23"/>
  <c r="N200" i="23"/>
  <c r="E204" i="23"/>
  <c r="H218" i="23"/>
  <c r="F218" i="23"/>
  <c r="D198" i="23"/>
  <c r="Q137" i="23"/>
  <c r="P137" i="23" s="1"/>
  <c r="Q106" i="23"/>
  <c r="P106" i="23" s="1"/>
  <c r="E200" i="23"/>
  <c r="N202" i="23"/>
  <c r="Q75" i="23"/>
  <c r="P75" i="23" s="1"/>
  <c r="G220" i="23"/>
  <c r="H214" i="23"/>
  <c r="Q186" i="23"/>
  <c r="P186" i="23" s="1"/>
  <c r="Q145" i="23"/>
  <c r="P145" i="23" s="1"/>
  <c r="Q141" i="23"/>
  <c r="P141" i="23" s="1"/>
  <c r="Q182" i="23"/>
  <c r="P182" i="23" s="1"/>
  <c r="E194" i="23"/>
  <c r="K198" i="23"/>
  <c r="N204" i="23"/>
  <c r="Q112" i="23"/>
  <c r="P112" i="23" s="1"/>
  <c r="G214" i="23"/>
  <c r="H212" i="23"/>
  <c r="J216" i="23"/>
  <c r="Q180" i="23"/>
  <c r="P180" i="23" s="1"/>
  <c r="K220" i="23"/>
  <c r="Q97" i="23"/>
  <c r="P97" i="23" s="1"/>
  <c r="G208" i="23"/>
  <c r="H208" i="23"/>
  <c r="I200" i="22"/>
  <c r="L198" i="22"/>
  <c r="J220" i="22"/>
  <c r="K212" i="22"/>
  <c r="Q64" i="22"/>
  <c r="P64" i="22" s="1"/>
  <c r="Q97" i="22"/>
  <c r="P97" i="22" s="1"/>
  <c r="Q29" i="22"/>
  <c r="P29" i="22" s="1"/>
  <c r="D214" i="22"/>
  <c r="I194" i="22"/>
  <c r="E208" i="22"/>
  <c r="J214" i="22"/>
  <c r="Q137" i="22"/>
  <c r="P137" i="22" s="1"/>
  <c r="N196" i="22"/>
  <c r="F212" i="22"/>
  <c r="Q190" i="22"/>
  <c r="P190" i="22" s="1"/>
  <c r="D208" i="22"/>
  <c r="Q23" i="22"/>
  <c r="P23" i="22" s="1"/>
  <c r="I220" i="22"/>
  <c r="E206" i="22"/>
  <c r="N218" i="22"/>
  <c r="F218" i="22"/>
  <c r="Q17" i="22"/>
  <c r="P17" i="22" s="1"/>
  <c r="D202" i="22"/>
  <c r="I198" i="22"/>
  <c r="L216" i="22"/>
  <c r="Q147" i="22"/>
  <c r="P147" i="22" s="1"/>
  <c r="Q102" i="22"/>
  <c r="P102" i="22" s="1"/>
  <c r="Q143" i="22"/>
  <c r="P143" i="22" s="1"/>
  <c r="M196" i="22"/>
  <c r="K194" i="22"/>
  <c r="K208" i="22"/>
  <c r="I214" i="22"/>
  <c r="E202" i="22"/>
  <c r="Q141" i="22"/>
  <c r="P141" i="22" s="1"/>
  <c r="J208" i="22"/>
  <c r="Q157" i="22"/>
  <c r="P157" i="22" s="1"/>
  <c r="N208" i="22"/>
  <c r="Q184" i="22"/>
  <c r="P184" i="22" s="1"/>
  <c r="G204" i="22"/>
  <c r="Q186" i="22"/>
  <c r="P186" i="22" s="1"/>
  <c r="Q11" i="22"/>
  <c r="P11" i="22" s="1"/>
  <c r="D196" i="22"/>
  <c r="I208" i="22"/>
  <c r="Q93" i="22"/>
  <c r="P93" i="22" s="1"/>
  <c r="K196" i="22"/>
  <c r="Q133" i="22"/>
  <c r="P133" i="22" s="1"/>
  <c r="N202" i="22"/>
  <c r="M210" i="22"/>
  <c r="K216" i="22"/>
  <c r="I202" i="22"/>
  <c r="Q135" i="22"/>
  <c r="P135" i="22" s="1"/>
  <c r="L220" i="22"/>
  <c r="Q85" i="22"/>
  <c r="P85" i="22" s="1"/>
  <c r="J216" i="22"/>
  <c r="O206" i="22"/>
  <c r="K206" i="22"/>
  <c r="O204" i="22"/>
  <c r="I196" i="22"/>
  <c r="E196" i="22"/>
  <c r="L212" i="22"/>
  <c r="Q159" i="22"/>
  <c r="P159" i="22" s="1"/>
  <c r="L214" i="22"/>
  <c r="Q89" i="22"/>
  <c r="P89" i="22" s="1"/>
  <c r="Q139" i="22"/>
  <c r="P139" i="22" s="1"/>
  <c r="K210" i="22"/>
  <c r="Q50" i="22"/>
  <c r="P50" i="22" s="1"/>
  <c r="D218" i="22"/>
  <c r="Q33" i="22"/>
  <c r="P33" i="22" s="1"/>
  <c r="E216" i="22"/>
  <c r="L206" i="22"/>
  <c r="L208" i="22"/>
  <c r="Q83" i="22"/>
  <c r="P83" i="22" s="1"/>
  <c r="J202" i="22"/>
  <c r="Q170" i="22"/>
  <c r="P170" i="22" s="1"/>
  <c r="K204" i="22"/>
  <c r="Q116" i="22"/>
  <c r="P116" i="22" s="1"/>
  <c r="Q182" i="22"/>
  <c r="P182" i="22" s="1"/>
  <c r="Q27" i="22"/>
  <c r="P27" i="22" s="1"/>
  <c r="D212" i="22"/>
  <c r="G202" i="22"/>
  <c r="L200" i="22"/>
  <c r="L202" i="22"/>
  <c r="Q79" i="22"/>
  <c r="P79" i="22" s="1"/>
  <c r="J210" i="22"/>
  <c r="G212" i="22"/>
  <c r="F198" i="22"/>
  <c r="O196" i="22"/>
  <c r="M198" i="22"/>
  <c r="K198" i="22"/>
  <c r="Q110" i="22"/>
  <c r="P110" i="22" s="1"/>
  <c r="Q164" i="22"/>
  <c r="P164" i="22" s="1"/>
  <c r="K214" i="22"/>
  <c r="D206" i="22"/>
  <c r="Q21" i="22"/>
  <c r="P21" i="22" s="1"/>
  <c r="E210" i="22"/>
  <c r="Q95" i="22"/>
  <c r="P95" i="22" s="1"/>
  <c r="L196" i="22"/>
  <c r="Q77" i="22"/>
  <c r="P77" i="22" s="1"/>
  <c r="J196" i="22"/>
  <c r="G206" i="22"/>
  <c r="Q174" i="22"/>
  <c r="P174" i="22" s="1"/>
  <c r="F204" i="22"/>
  <c r="O212" i="22"/>
  <c r="M218" i="22"/>
  <c r="Q104" i="22"/>
  <c r="P104" i="22" s="1"/>
  <c r="G198" i="22"/>
  <c r="Q15" i="22"/>
  <c r="P15" i="22" s="1"/>
  <c r="D200" i="22"/>
  <c r="E204" i="22"/>
  <c r="Q73" i="22"/>
  <c r="P73" i="22" s="1"/>
  <c r="J204" i="22"/>
  <c r="G200" i="22"/>
  <c r="Q120" i="22"/>
  <c r="P120" i="22" s="1"/>
  <c r="F210" i="22"/>
  <c r="Q35" i="22"/>
  <c r="P35" i="22" s="1"/>
  <c r="D220" i="22"/>
  <c r="E198" i="22"/>
  <c r="Q91" i="22"/>
  <c r="P91" i="22" s="1"/>
  <c r="Q126" i="22"/>
  <c r="P126" i="22" s="1"/>
  <c r="F216" i="22"/>
  <c r="O218" i="22"/>
  <c r="M212" i="22"/>
  <c r="H194" i="22"/>
  <c r="D216" i="22"/>
  <c r="Q62" i="22"/>
  <c r="P62" i="22" s="1"/>
  <c r="D204" i="22"/>
  <c r="Q19" i="22"/>
  <c r="P19" i="22" s="1"/>
  <c r="E218" i="22"/>
  <c r="Q71" i="22"/>
  <c r="P71" i="22" s="1"/>
  <c r="G194" i="22"/>
  <c r="H202" i="22"/>
  <c r="Q58" i="22"/>
  <c r="P58" i="22" s="1"/>
  <c r="L218" i="22"/>
  <c r="J194" i="22"/>
  <c r="O200" i="22"/>
  <c r="Q9" i="22"/>
  <c r="P9" i="22" s="1"/>
  <c r="E194" i="22"/>
  <c r="Q176" i="22"/>
  <c r="P176" i="22" s="1"/>
  <c r="M206" i="22"/>
  <c r="H196" i="22"/>
  <c r="Q52" i="22"/>
  <c r="P52" i="22" s="1"/>
  <c r="O194" i="22"/>
  <c r="Q13" i="22"/>
  <c r="P13" i="22" s="1"/>
  <c r="Q56" i="22"/>
  <c r="P56" i="22" s="1"/>
  <c r="E212" i="22"/>
  <c r="N194" i="22"/>
  <c r="F196" i="22"/>
  <c r="Q155" i="22"/>
  <c r="P155" i="22" s="1"/>
  <c r="M200" i="22"/>
  <c r="Q122" i="22"/>
  <c r="P122" i="22" s="1"/>
  <c r="H200" i="22"/>
  <c r="Q46" i="22"/>
  <c r="P46" i="22" s="1"/>
  <c r="Q168" i="22"/>
  <c r="P168" i="22" s="1"/>
  <c r="F202" i="22"/>
  <c r="O210" i="22"/>
  <c r="M194" i="22"/>
  <c r="Q40" i="22"/>
  <c r="P40" i="22" s="1"/>
  <c r="Q124" i="22"/>
  <c r="P124" i="22" s="1"/>
  <c r="G196" i="22"/>
  <c r="K220" i="22"/>
  <c r="Q31" i="22"/>
  <c r="P31" i="22" s="1"/>
  <c r="Q153" i="22"/>
  <c r="P153" i="22" s="1"/>
  <c r="Q81" i="22"/>
  <c r="P81" i="22" s="1"/>
  <c r="F208" i="22"/>
  <c r="O202" i="22"/>
  <c r="Q114" i="22"/>
  <c r="P114" i="22" s="1"/>
  <c r="Q66" i="22"/>
  <c r="P66" i="22" s="1"/>
  <c r="Q118" i="22"/>
  <c r="P118" i="22" s="1"/>
  <c r="Q180" i="22"/>
  <c r="P180" i="22" s="1"/>
  <c r="D194" i="22"/>
  <c r="H210" i="22"/>
  <c r="I216" i="22"/>
  <c r="Q87" i="22"/>
  <c r="P87" i="22" s="1"/>
  <c r="G220" i="22"/>
  <c r="N210" i="22"/>
  <c r="I204" i="22"/>
  <c r="F214" i="22"/>
  <c r="Q108" i="22"/>
  <c r="P108" i="22" s="1"/>
  <c r="Q54" i="22"/>
  <c r="P54" i="22" s="1"/>
  <c r="Q112" i="22"/>
  <c r="P112" i="22" s="1"/>
  <c r="H204" i="22"/>
  <c r="J218" i="22"/>
  <c r="G214" i="22"/>
  <c r="N212" i="22"/>
  <c r="Q128" i="22"/>
  <c r="P128" i="22" s="1"/>
  <c r="F220" i="22"/>
  <c r="O216" i="22"/>
  <c r="O198" i="22"/>
  <c r="M214" i="22"/>
  <c r="H218" i="22"/>
  <c r="Q60" i="22"/>
  <c r="P60" i="22" s="1"/>
  <c r="D198" i="22"/>
  <c r="Q106" i="22"/>
  <c r="P106" i="22" s="1"/>
  <c r="Q188" i="22"/>
  <c r="P188" i="22" s="1"/>
  <c r="D210" i="22"/>
  <c r="Q25" i="22"/>
  <c r="P25" i="22" s="1"/>
  <c r="J206" i="22"/>
  <c r="G208" i="22"/>
  <c r="N204" i="22"/>
  <c r="Q166" i="22"/>
  <c r="P166" i="22" s="1"/>
  <c r="M208" i="22"/>
  <c r="H208" i="22"/>
  <c r="Q48" i="22"/>
  <c r="P48" i="22" s="1"/>
  <c r="I218" i="22"/>
  <c r="O220" i="22"/>
  <c r="E200" i="22"/>
  <c r="L210" i="22"/>
  <c r="Q151" i="22"/>
  <c r="P151" i="22" s="1"/>
  <c r="J200" i="22"/>
  <c r="G216" i="22"/>
  <c r="N206" i="22"/>
  <c r="N220" i="22"/>
  <c r="N214" i="22"/>
  <c r="H220" i="22"/>
  <c r="Q42" i="22"/>
  <c r="P42" i="22" s="1"/>
  <c r="Q172" i="22"/>
  <c r="P172" i="22" s="1"/>
  <c r="I212" i="22"/>
  <c r="O208" i="22"/>
  <c r="E220" i="22"/>
  <c r="L204" i="22"/>
  <c r="Q145" i="22"/>
  <c r="P145" i="22" s="1"/>
  <c r="G218" i="22"/>
  <c r="N198" i="22"/>
  <c r="Q178" i="22"/>
  <c r="P178" i="22" s="1"/>
  <c r="F194" i="22"/>
  <c r="I212" i="2"/>
  <c r="N194" i="2"/>
  <c r="N204" i="2"/>
  <c r="G194" i="2"/>
  <c r="I194" i="2"/>
  <c r="M208" i="2"/>
  <c r="H202" i="2"/>
  <c r="J208" i="2"/>
  <c r="J194" i="2"/>
  <c r="H220" i="2"/>
  <c r="O218" i="2"/>
  <c r="F206" i="2"/>
  <c r="O216" i="2"/>
  <c r="K204" i="2"/>
  <c r="E210" i="2"/>
  <c r="G204" i="2"/>
  <c r="J218" i="2"/>
  <c r="E198" i="2"/>
  <c r="K214" i="2"/>
  <c r="L216" i="2"/>
  <c r="K198" i="2"/>
  <c r="G220" i="2"/>
  <c r="L220" i="2"/>
  <c r="N216" i="2"/>
  <c r="K212" i="2"/>
  <c r="E208" i="2"/>
  <c r="M200" i="2"/>
  <c r="D218" i="2"/>
  <c r="N202" i="2"/>
  <c r="H200" i="2"/>
  <c r="D216" i="2"/>
  <c r="K216" i="2"/>
  <c r="N198" i="2"/>
  <c r="F204" i="2"/>
  <c r="I208" i="2"/>
  <c r="L204" i="2"/>
  <c r="F194" i="2"/>
  <c r="L198" i="2"/>
  <c r="H208" i="2"/>
  <c r="L210" i="2"/>
  <c r="H204" i="2"/>
  <c r="K200" i="2"/>
  <c r="J202" i="2"/>
  <c r="O220" i="2"/>
  <c r="L200" i="2"/>
  <c r="E204" i="2"/>
  <c r="F196" i="2"/>
  <c r="L196" i="2"/>
  <c r="J220" i="2"/>
  <c r="H218" i="2"/>
  <c r="K206" i="2"/>
  <c r="E202" i="2"/>
  <c r="G206" i="2"/>
  <c r="G216" i="2"/>
  <c r="O196" i="2"/>
  <c r="G218" i="2"/>
  <c r="L218" i="2"/>
  <c r="M212" i="2"/>
  <c r="E194" i="2"/>
  <c r="O210" i="2"/>
  <c r="O202" i="2"/>
  <c r="K196" i="2"/>
  <c r="N220" i="2"/>
  <c r="I216" i="2"/>
  <c r="E200" i="2"/>
  <c r="O214" i="2"/>
  <c r="I220" i="2"/>
  <c r="N212" i="2"/>
  <c r="N218" i="2"/>
  <c r="I218" i="2"/>
  <c r="E214" i="2"/>
  <c r="M206" i="2"/>
  <c r="I206" i="2"/>
  <c r="N214" i="2"/>
  <c r="M194" i="2"/>
  <c r="H214" i="2"/>
  <c r="J198" i="2"/>
  <c r="G208" i="2"/>
  <c r="D220" i="2"/>
  <c r="F216" i="2"/>
  <c r="N206" i="2"/>
  <c r="N200" i="2"/>
  <c r="J204" i="2"/>
  <c r="I200" i="2"/>
  <c r="N208" i="2"/>
  <c r="M214" i="2"/>
  <c r="H194" i="2"/>
  <c r="J210" i="2"/>
  <c r="O204" i="2"/>
  <c r="N196" i="2"/>
  <c r="H196" i="2"/>
  <c r="F220" i="2"/>
  <c r="I196" i="2"/>
  <c r="F218" i="2"/>
  <c r="J212" i="2"/>
  <c r="O198" i="2"/>
  <c r="I210" i="2"/>
  <c r="N210" i="2"/>
  <c r="M202" i="2"/>
  <c r="H210" i="2"/>
  <c r="J206" i="2"/>
  <c r="O200" i="2"/>
  <c r="M210" i="2"/>
  <c r="H206" i="2"/>
  <c r="J200" i="2"/>
  <c r="O194" i="2"/>
  <c r="J214" i="2"/>
  <c r="M220" i="2"/>
  <c r="M204" i="2"/>
  <c r="G212" i="2"/>
  <c r="H212" i="2"/>
  <c r="M218" i="2"/>
  <c r="G214" i="2"/>
  <c r="G196" i="2"/>
  <c r="M196" i="2"/>
  <c r="M216" i="2"/>
  <c r="E216" i="2"/>
  <c r="K218" i="2"/>
  <c r="I198" i="2"/>
  <c r="M198" i="2"/>
  <c r="F198" i="2"/>
  <c r="I202" i="2"/>
  <c r="F200" i="2"/>
  <c r="L194" i="2"/>
  <c r="H198" i="2"/>
  <c r="G198" i="2"/>
  <c r="E220" i="2"/>
  <c r="E218" i="2"/>
  <c r="K220" i="2"/>
  <c r="G200" i="2"/>
  <c r="F214" i="2"/>
  <c r="L214" i="2"/>
  <c r="G202" i="2"/>
  <c r="O208" i="2"/>
  <c r="J196" i="2"/>
  <c r="E196" i="2"/>
  <c r="I204" i="2"/>
  <c r="K202" i="2"/>
  <c r="F208" i="2"/>
  <c r="F202" i="2"/>
  <c r="O212" i="2"/>
  <c r="I214" i="2"/>
  <c r="L208" i="2"/>
  <c r="O206" i="2"/>
  <c r="K194" i="2"/>
  <c r="L202" i="2"/>
  <c r="K208" i="2"/>
  <c r="F210" i="2"/>
  <c r="L212" i="2"/>
  <c r="G210" i="2"/>
  <c r="K210" i="2"/>
  <c r="F212" i="2"/>
  <c r="L206" i="2"/>
  <c r="E212" i="2"/>
  <c r="E206" i="2"/>
  <c r="H216" i="2"/>
  <c r="Q190" i="2"/>
  <c r="P190" i="2" s="1"/>
  <c r="Q186" i="2"/>
  <c r="P186" i="2" s="1"/>
  <c r="Q188" i="2"/>
  <c r="P188" i="2" s="1"/>
  <c r="Q155" i="2"/>
  <c r="P155" i="2" s="1"/>
  <c r="Q159" i="2"/>
  <c r="P159" i="2" s="1"/>
  <c r="Q157" i="2"/>
  <c r="P157" i="2" s="1"/>
  <c r="Q124" i="2"/>
  <c r="P124" i="2" s="1"/>
  <c r="Q128" i="2"/>
  <c r="P128" i="2" s="1"/>
  <c r="Q126" i="2"/>
  <c r="P126" i="2" s="1"/>
  <c r="Q93" i="2"/>
  <c r="P93" i="2" s="1"/>
  <c r="Q97" i="2"/>
  <c r="P97" i="2" s="1"/>
  <c r="Q95" i="2"/>
  <c r="P95" i="2" s="1"/>
  <c r="Q66" i="2"/>
  <c r="P66" i="2" s="1"/>
  <c r="Q62" i="2"/>
  <c r="P62" i="2" s="1"/>
  <c r="Q64" i="2"/>
  <c r="P64" i="2" s="1"/>
  <c r="Q44" i="2"/>
  <c r="P44" i="2" s="1"/>
  <c r="Q58" i="2"/>
  <c r="P58" i="2" s="1"/>
  <c r="Q40" i="2"/>
  <c r="P40" i="2" s="1"/>
  <c r="Q54" i="2"/>
  <c r="P54" i="2" s="1"/>
  <c r="Q50" i="2"/>
  <c r="P50" i="2" s="1"/>
  <c r="Q52" i="2"/>
  <c r="P52" i="2" s="1"/>
  <c r="Q60" i="2"/>
  <c r="P60" i="2" s="1"/>
  <c r="Q46" i="2"/>
  <c r="P46" i="2" s="1"/>
  <c r="Q42" i="2"/>
  <c r="P42" i="2" s="1"/>
  <c r="Q56" i="2"/>
  <c r="P56" i="2" s="1"/>
  <c r="Q48" i="2"/>
  <c r="P48" i="2" s="1"/>
  <c r="Q73" i="2"/>
  <c r="P73" i="2" s="1"/>
  <c r="Q71" i="2"/>
  <c r="P71" i="2" s="1"/>
  <c r="Q164" i="2"/>
  <c r="P164" i="2" s="1"/>
  <c r="Q83" i="2"/>
  <c r="P83" i="2" s="1"/>
  <c r="Q174" i="2"/>
  <c r="P174" i="2" s="1"/>
  <c r="Q166" i="2"/>
  <c r="P166" i="2" s="1"/>
  <c r="Q79" i="2"/>
  <c r="P79" i="2" s="1"/>
  <c r="Q77" i="2"/>
  <c r="P77" i="2" s="1"/>
  <c r="Q75" i="2"/>
  <c r="P75" i="2" s="1"/>
  <c r="Q114" i="2"/>
  <c r="P114" i="2" s="1"/>
  <c r="Q108" i="2"/>
  <c r="P108" i="2" s="1"/>
  <c r="Q102" i="2"/>
  <c r="P102" i="2" s="1"/>
  <c r="Q81" i="2"/>
  <c r="P81" i="2" s="1"/>
  <c r="Q89" i="2"/>
  <c r="P89" i="2" s="1"/>
  <c r="Q180" i="2"/>
  <c r="P180" i="2" s="1"/>
  <c r="Q120" i="2"/>
  <c r="P120" i="2" s="1"/>
  <c r="Q118" i="2"/>
  <c r="P118" i="2" s="1"/>
  <c r="Q122" i="2"/>
  <c r="P122" i="2" s="1"/>
  <c r="Q110" i="2"/>
  <c r="P110" i="2" s="1"/>
  <c r="Q106" i="2"/>
  <c r="P106" i="2" s="1"/>
  <c r="Q172" i="2"/>
  <c r="P172" i="2" s="1"/>
  <c r="Q178" i="2"/>
  <c r="P178" i="2" s="1"/>
  <c r="Q168" i="2"/>
  <c r="P168" i="2" s="1"/>
  <c r="Q176" i="2"/>
  <c r="P176" i="2" s="1"/>
  <c r="Q170" i="2"/>
  <c r="P170" i="2" s="1"/>
  <c r="Q182" i="2"/>
  <c r="P182" i="2" s="1"/>
  <c r="Q133" i="2"/>
  <c r="P133" i="2" s="1"/>
  <c r="Q116" i="2"/>
  <c r="P116" i="2" s="1"/>
  <c r="Q112" i="2"/>
  <c r="P112" i="2" s="1"/>
  <c r="Q184" i="2"/>
  <c r="P184" i="2" s="1"/>
  <c r="Q139" i="2"/>
  <c r="P139" i="2" s="1"/>
  <c r="Q143" i="2"/>
  <c r="P143" i="2" s="1"/>
  <c r="Q137" i="2"/>
  <c r="P137" i="2" s="1"/>
  <c r="Q104" i="2"/>
  <c r="P104" i="2" s="1"/>
  <c r="Q151" i="2"/>
  <c r="P151" i="2" s="1"/>
  <c r="Q141" i="2"/>
  <c r="P141" i="2" s="1"/>
  <c r="Q135" i="2"/>
  <c r="P135" i="2" s="1"/>
  <c r="Q87" i="2"/>
  <c r="P87" i="2" s="1"/>
  <c r="Q147" i="2"/>
  <c r="P147" i="2" s="1"/>
  <c r="Q85" i="2"/>
  <c r="P85" i="2" s="1"/>
  <c r="Q149" i="2"/>
  <c r="P149" i="2" s="1"/>
  <c r="Q153" i="2"/>
  <c r="P153" i="2" s="1"/>
  <c r="Q91" i="2"/>
  <c r="P91" i="2" s="1"/>
  <c r="Q145" i="2"/>
  <c r="P145" i="2" s="1"/>
  <c r="N226" i="2" l="1"/>
  <c r="O226" i="2" s="1"/>
  <c r="B226" i="14" s="1"/>
  <c r="D223" i="14"/>
  <c r="F223" i="14"/>
  <c r="F245" i="14" s="1"/>
  <c r="F263" i="14" s="1"/>
  <c r="M208" i="14"/>
  <c r="I223" i="23"/>
  <c r="I245" i="23" s="1"/>
  <c r="I263" i="23" s="1"/>
  <c r="N223" i="23"/>
  <c r="N245" i="23" s="1"/>
  <c r="N263" i="23" s="1"/>
  <c r="D216" i="14"/>
  <c r="I208" i="14"/>
  <c r="G208" i="14"/>
  <c r="E223" i="22"/>
  <c r="E245" i="22" s="1"/>
  <c r="E263" i="22" s="1"/>
  <c r="F223" i="22"/>
  <c r="F245" i="22" s="1"/>
  <c r="F263" i="22" s="1"/>
  <c r="D214" i="14"/>
  <c r="O194" i="14"/>
  <c r="D208" i="14"/>
  <c r="M223" i="14"/>
  <c r="M245" i="14" s="1"/>
  <c r="M263" i="14" s="1"/>
  <c r="D202" i="14"/>
  <c r="I194" i="14"/>
  <c r="K208" i="14"/>
  <c r="D196" i="14"/>
  <c r="O223" i="22"/>
  <c r="O245" i="22" s="1"/>
  <c r="O263" i="22" s="1"/>
  <c r="G198" i="14"/>
  <c r="K194" i="14"/>
  <c r="M198" i="14"/>
  <c r="D204" i="14"/>
  <c r="D212" i="14"/>
  <c r="D194" i="14"/>
  <c r="I198" i="14"/>
  <c r="M223" i="22"/>
  <c r="M245" i="22" s="1"/>
  <c r="M263" i="22" s="1"/>
  <c r="F198" i="14"/>
  <c r="D218" i="14"/>
  <c r="D210" i="14"/>
  <c r="D206" i="14"/>
  <c r="G194" i="14"/>
  <c r="D200" i="14"/>
  <c r="K223" i="14"/>
  <c r="K245" i="14" s="1"/>
  <c r="K263" i="14" s="1"/>
  <c r="K198" i="14"/>
  <c r="F194" i="14"/>
  <c r="M194" i="14"/>
  <c r="D220" i="14"/>
  <c r="M223" i="23"/>
  <c r="M245" i="23" s="1"/>
  <c r="M263" i="23" s="1"/>
  <c r="O198" i="14"/>
  <c r="O208" i="14"/>
  <c r="F208" i="14"/>
  <c r="F223" i="23"/>
  <c r="F245" i="23" s="1"/>
  <c r="F263" i="23" s="1"/>
  <c r="E223" i="23"/>
  <c r="E245" i="23" s="1"/>
  <c r="E263" i="23" s="1"/>
  <c r="Q196" i="23"/>
  <c r="P196" i="23" s="1"/>
  <c r="Q200" i="23"/>
  <c r="P200" i="23" s="1"/>
  <c r="Q198" i="23"/>
  <c r="P198" i="23" s="1"/>
  <c r="Q130" i="23"/>
  <c r="P130" i="23" s="1"/>
  <c r="K223" i="23"/>
  <c r="K245" i="23" s="1"/>
  <c r="K263" i="23" s="1"/>
  <c r="O223" i="23"/>
  <c r="O245" i="23" s="1"/>
  <c r="O263" i="23" s="1"/>
  <c r="Q194" i="23"/>
  <c r="P194" i="23" s="1"/>
  <c r="Q206" i="23"/>
  <c r="P206" i="23" s="1"/>
  <c r="Q192" i="23"/>
  <c r="P192" i="23" s="1"/>
  <c r="G223" i="23"/>
  <c r="G245" i="23" s="1"/>
  <c r="G263" i="23" s="1"/>
  <c r="Q68" i="23"/>
  <c r="P68" i="23" s="1"/>
  <c r="H223" i="23"/>
  <c r="H245" i="23" s="1"/>
  <c r="H263" i="23" s="1"/>
  <c r="Q99" i="23"/>
  <c r="P99" i="23" s="1"/>
  <c r="J223" i="23"/>
  <c r="J245" i="23" s="1"/>
  <c r="J263" i="23" s="1"/>
  <c r="Q204" i="23"/>
  <c r="P204" i="23" s="1"/>
  <c r="Q161" i="23"/>
  <c r="P161" i="23" s="1"/>
  <c r="L223" i="23"/>
  <c r="L245" i="23" s="1"/>
  <c r="L263" i="23" s="1"/>
  <c r="Q202" i="23"/>
  <c r="P202" i="23" s="1"/>
  <c r="Q194" i="22"/>
  <c r="P194" i="22" s="1"/>
  <c r="Q130" i="22"/>
  <c r="P130" i="22" s="1"/>
  <c r="J223" i="22"/>
  <c r="J245" i="22" s="1"/>
  <c r="J263" i="22" s="1"/>
  <c r="L223" i="22"/>
  <c r="L245" i="22" s="1"/>
  <c r="L263" i="22" s="1"/>
  <c r="Q37" i="22"/>
  <c r="P37" i="22" s="1"/>
  <c r="Q198" i="22"/>
  <c r="P198" i="22" s="1"/>
  <c r="Q196" i="22"/>
  <c r="P196" i="22" s="1"/>
  <c r="Q212" i="22"/>
  <c r="P212" i="22" s="1"/>
  <c r="Q220" i="22"/>
  <c r="P220" i="22" s="1"/>
  <c r="Q202" i="22"/>
  <c r="P202" i="22" s="1"/>
  <c r="Q214" i="22"/>
  <c r="P214" i="22" s="1"/>
  <c r="I223" i="22"/>
  <c r="I245" i="22" s="1"/>
  <c r="I263" i="22" s="1"/>
  <c r="Q206" i="22"/>
  <c r="P206" i="22" s="1"/>
  <c r="N223" i="22"/>
  <c r="N245" i="22" s="1"/>
  <c r="N263" i="22" s="1"/>
  <c r="Q99" i="22"/>
  <c r="P99" i="22" s="1"/>
  <c r="Q161" i="22"/>
  <c r="P161" i="22" s="1"/>
  <c r="D223" i="22"/>
  <c r="D245" i="22" s="1"/>
  <c r="Q192" i="22"/>
  <c r="P192" i="22" s="1"/>
  <c r="G223" i="22"/>
  <c r="G245" i="22" s="1"/>
  <c r="G263" i="22" s="1"/>
  <c r="K223" i="22"/>
  <c r="K245" i="22" s="1"/>
  <c r="K263" i="22" s="1"/>
  <c r="Q204" i="22"/>
  <c r="P204" i="22" s="1"/>
  <c r="Q216" i="22"/>
  <c r="P216" i="22" s="1"/>
  <c r="Q68" i="22"/>
  <c r="P68" i="22" s="1"/>
  <c r="Q200" i="22"/>
  <c r="P200" i="22" s="1"/>
  <c r="Q218" i="22"/>
  <c r="P218" i="22" s="1"/>
  <c r="Q210" i="22"/>
  <c r="P210" i="22" s="1"/>
  <c r="Q208" i="22"/>
  <c r="P208" i="22" s="1"/>
  <c r="H223" i="22"/>
  <c r="H245" i="22" s="1"/>
  <c r="H263" i="22" s="1"/>
  <c r="Q218" i="2"/>
  <c r="P218" i="2" s="1"/>
  <c r="Q220" i="2"/>
  <c r="P220" i="2" s="1"/>
  <c r="Q216" i="2"/>
  <c r="P216" i="2" s="1"/>
  <c r="Q68" i="2"/>
  <c r="P68" i="2" s="1"/>
  <c r="L223" i="2"/>
  <c r="L245" i="2" s="1"/>
  <c r="L263" i="2" s="1"/>
  <c r="Q99" i="2"/>
  <c r="P99" i="2" s="1"/>
  <c r="M223" i="2"/>
  <c r="M245" i="2" s="1"/>
  <c r="M263" i="2" s="1"/>
  <c r="N223" i="2"/>
  <c r="N245" i="2" s="1"/>
  <c r="N263" i="2" s="1"/>
  <c r="H223" i="2"/>
  <c r="H245" i="2" s="1"/>
  <c r="H263" i="2" s="1"/>
  <c r="G223" i="2"/>
  <c r="G245" i="2" s="1"/>
  <c r="G263" i="2" s="1"/>
  <c r="K223" i="2"/>
  <c r="K245" i="2" s="1"/>
  <c r="K263" i="2" s="1"/>
  <c r="Q192" i="2"/>
  <c r="P192" i="2" s="1"/>
  <c r="F223" i="2"/>
  <c r="F245" i="2" s="1"/>
  <c r="F263" i="2" s="1"/>
  <c r="Q130" i="2"/>
  <c r="P130" i="2" s="1"/>
  <c r="I223" i="2"/>
  <c r="I245" i="2" s="1"/>
  <c r="I263" i="2" s="1"/>
  <c r="Q161" i="2"/>
  <c r="P161" i="2" s="1"/>
  <c r="O223" i="2"/>
  <c r="O245" i="2" s="1"/>
  <c r="O263" i="2" s="1"/>
  <c r="E223" i="2"/>
  <c r="E245" i="2" s="1"/>
  <c r="J223" i="2"/>
  <c r="J245" i="2" s="1"/>
  <c r="J263" i="2" s="1"/>
  <c r="Q157" i="17"/>
  <c r="V3" i="17" s="1"/>
  <c r="H7" i="14" s="1"/>
  <c r="D245" i="14" l="1"/>
  <c r="D263" i="14" s="1"/>
  <c r="D263" i="22"/>
  <c r="Q263" i="22" s="1"/>
  <c r="P263" i="22" s="1"/>
  <c r="Q245" i="22"/>
  <c r="P245" i="22" s="1"/>
  <c r="O227" i="2"/>
  <c r="B227" i="14" s="1"/>
  <c r="E263" i="2"/>
  <c r="H220" i="14"/>
  <c r="H216" i="14"/>
  <c r="H212" i="14"/>
  <c r="H204" i="14"/>
  <c r="H200" i="14"/>
  <c r="H196" i="14"/>
  <c r="H218" i="14"/>
  <c r="H214" i="14"/>
  <c r="H210" i="14"/>
  <c r="H206" i="14"/>
  <c r="H202" i="14"/>
  <c r="D207" i="23"/>
  <c r="Q207" i="23" s="1"/>
  <c r="P207" i="23" s="1"/>
  <c r="Q22" i="23"/>
  <c r="P22" i="23" s="1"/>
  <c r="I223" i="14"/>
  <c r="I245" i="14" s="1"/>
  <c r="I263" i="14" s="1"/>
  <c r="O223" i="14"/>
  <c r="O245" i="14" s="1"/>
  <c r="O263" i="14" s="1"/>
  <c r="G223" i="14"/>
  <c r="G245" i="14" s="1"/>
  <c r="G263" i="14" s="1"/>
  <c r="H241" i="14"/>
  <c r="H239" i="14"/>
  <c r="H237" i="14"/>
  <c r="H243" i="14"/>
  <c r="H233" i="14"/>
  <c r="Q223" i="22"/>
  <c r="P223" i="22" s="1"/>
  <c r="Q309" i="17"/>
  <c r="Z3" i="17" s="1"/>
  <c r="L7" i="14" s="1"/>
  <c r="Q385" i="17"/>
  <c r="AB3" i="17" s="1"/>
  <c r="N7" i="14" s="1"/>
  <c r="Q233" i="17"/>
  <c r="X3" i="17" s="1"/>
  <c r="J7" i="14" s="1"/>
  <c r="J212" i="14" l="1"/>
  <c r="J204" i="14"/>
  <c r="J200" i="14"/>
  <c r="J196" i="14"/>
  <c r="J218" i="14"/>
  <c r="J214" i="14"/>
  <c r="J210" i="14"/>
  <c r="J206" i="14"/>
  <c r="J202" i="14"/>
  <c r="N218" i="14"/>
  <c r="N214" i="14"/>
  <c r="N210" i="14"/>
  <c r="N206" i="14"/>
  <c r="N202" i="14"/>
  <c r="N220" i="14"/>
  <c r="N216" i="14"/>
  <c r="N212" i="14"/>
  <c r="L220" i="14"/>
  <c r="L216" i="14"/>
  <c r="L212" i="14"/>
  <c r="L200" i="14"/>
  <c r="L196" i="14"/>
  <c r="L218" i="14"/>
  <c r="L214" i="14"/>
  <c r="L210" i="14"/>
  <c r="L206" i="14"/>
  <c r="L202" i="14"/>
  <c r="Q24" i="23"/>
  <c r="P24" i="23" s="1"/>
  <c r="D209" i="23"/>
  <c r="Q209" i="23" s="1"/>
  <c r="P209" i="23" s="1"/>
  <c r="D208" i="23"/>
  <c r="Q208" i="23" s="1"/>
  <c r="P208" i="23" s="1"/>
  <c r="Q23" i="23"/>
  <c r="P23" i="23" s="1"/>
  <c r="J239" i="14"/>
  <c r="J241" i="14"/>
  <c r="J220" i="14"/>
  <c r="J216" i="14"/>
  <c r="J237" i="14"/>
  <c r="J243" i="14"/>
  <c r="J233" i="14"/>
  <c r="N204" i="14"/>
  <c r="N196" i="14"/>
  <c r="N239" i="14"/>
  <c r="N200" i="14"/>
  <c r="N243" i="14"/>
  <c r="N237" i="14"/>
  <c r="N233" i="14"/>
  <c r="N241" i="14"/>
  <c r="L243" i="14"/>
  <c r="L204" i="14"/>
  <c r="L239" i="14"/>
  <c r="L241" i="14"/>
  <c r="L233" i="14"/>
  <c r="L237" i="14"/>
  <c r="H198" i="14"/>
  <c r="H194" i="14"/>
  <c r="H208" i="14"/>
  <c r="CI43" i="17"/>
  <c r="CK3" i="17" s="1"/>
  <c r="E162" i="14" s="1"/>
  <c r="E164" i="14" s="1"/>
  <c r="E168" i="14" s="1"/>
  <c r="E170" i="14" s="1"/>
  <c r="E172" i="14" s="1"/>
  <c r="E174" i="14" s="1"/>
  <c r="E176" i="14" s="1"/>
  <c r="E178" i="14" s="1"/>
  <c r="E180" i="14" s="1"/>
  <c r="E182" i="14" s="1"/>
  <c r="E184" i="14" s="1"/>
  <c r="E186" i="14" s="1"/>
  <c r="E188" i="14" s="1"/>
  <c r="E190" i="14" s="1"/>
  <c r="Q166" i="14" l="1"/>
  <c r="P166" i="14" s="1"/>
  <c r="Q184" i="14"/>
  <c r="P184" i="14" s="1"/>
  <c r="Q180" i="14"/>
  <c r="P180" i="14" s="1"/>
  <c r="Q176" i="14"/>
  <c r="P176" i="14" s="1"/>
  <c r="Q172" i="14"/>
  <c r="P172" i="14" s="1"/>
  <c r="Q168" i="14"/>
  <c r="P168" i="14" s="1"/>
  <c r="D210" i="23"/>
  <c r="Q210" i="23" s="1"/>
  <c r="P210" i="23" s="1"/>
  <c r="Q25" i="23"/>
  <c r="P25" i="23" s="1"/>
  <c r="L198" i="14"/>
  <c r="J208" i="14"/>
  <c r="N198" i="14"/>
  <c r="H223" i="14"/>
  <c r="H245" i="14" s="1"/>
  <c r="H263" i="14" s="1"/>
  <c r="N208" i="14"/>
  <c r="J198" i="14"/>
  <c r="J194" i="14"/>
  <c r="N194" i="14"/>
  <c r="L208" i="14"/>
  <c r="L194" i="14"/>
  <c r="Q190" i="14"/>
  <c r="P190" i="14" s="1"/>
  <c r="Q178" i="14"/>
  <c r="P178" i="14" s="1"/>
  <c r="Q186" i="14"/>
  <c r="P186" i="14" s="1"/>
  <c r="Q174" i="14"/>
  <c r="P174" i="14" s="1"/>
  <c r="Q188" i="14"/>
  <c r="P188" i="14" s="1"/>
  <c r="Q182" i="14"/>
  <c r="P182" i="14" s="1"/>
  <c r="Q170" i="14"/>
  <c r="P170" i="14" s="1"/>
  <c r="Q43" i="17"/>
  <c r="S3" i="17" s="1"/>
  <c r="E7" i="14" s="1"/>
  <c r="Q33" i="14" l="1"/>
  <c r="D211" i="23"/>
  <c r="Q211" i="23" s="1"/>
  <c r="P211" i="23" s="1"/>
  <c r="Q26" i="23"/>
  <c r="P26" i="23" s="1"/>
  <c r="J223" i="14"/>
  <c r="J245" i="14" s="1"/>
  <c r="J263" i="14" s="1"/>
  <c r="N223" i="14"/>
  <c r="N245" i="14" s="1"/>
  <c r="N263" i="14" s="1"/>
  <c r="Q164" i="14"/>
  <c r="P164" i="14" s="1"/>
  <c r="Q31" i="14"/>
  <c r="P31" i="14" s="1"/>
  <c r="L223" i="14"/>
  <c r="L245" i="14" s="1"/>
  <c r="L263" i="14" s="1"/>
  <c r="BU43" i="17"/>
  <c r="BW3" i="17" s="1"/>
  <c r="E131" i="14" s="1"/>
  <c r="BG43" i="17"/>
  <c r="BI3" i="17" s="1"/>
  <c r="E100" i="14" s="1"/>
  <c r="AS43" i="17"/>
  <c r="AU3" i="17" s="1"/>
  <c r="E69" i="14" s="1"/>
  <c r="AE43" i="17"/>
  <c r="AG3" i="17" s="1"/>
  <c r="E38" i="14" s="1"/>
  <c r="Q37" i="14" l="1"/>
  <c r="P37" i="14" s="1"/>
  <c r="Q124" i="14"/>
  <c r="P124" i="14" s="1"/>
  <c r="Q112" i="14"/>
  <c r="P112" i="14" s="1"/>
  <c r="Q122" i="14"/>
  <c r="P122" i="14" s="1"/>
  <c r="Q118" i="14"/>
  <c r="P118" i="14" s="1"/>
  <c r="Q97" i="14"/>
  <c r="P97" i="14" s="1"/>
  <c r="Q93" i="14"/>
  <c r="P93" i="14" s="1"/>
  <c r="Q89" i="14"/>
  <c r="P89" i="14" s="1"/>
  <c r="Q85" i="14"/>
  <c r="P85" i="14" s="1"/>
  <c r="Q81" i="14"/>
  <c r="P81" i="14" s="1"/>
  <c r="Q77" i="14"/>
  <c r="P77" i="14" s="1"/>
  <c r="Q73" i="14"/>
  <c r="P73" i="14" s="1"/>
  <c r="Q95" i="14"/>
  <c r="P95" i="14" s="1"/>
  <c r="Q91" i="14"/>
  <c r="P91" i="14" s="1"/>
  <c r="Q87" i="14"/>
  <c r="P87" i="14" s="1"/>
  <c r="Q157" i="14"/>
  <c r="P157" i="14" s="1"/>
  <c r="Q153" i="14"/>
  <c r="P153" i="14" s="1"/>
  <c r="Q149" i="14"/>
  <c r="P149" i="14" s="1"/>
  <c r="Q145" i="14"/>
  <c r="P145" i="14" s="1"/>
  <c r="Q141" i="14"/>
  <c r="P141" i="14" s="1"/>
  <c r="Q137" i="14"/>
  <c r="P137" i="14" s="1"/>
  <c r="Q133" i="14"/>
  <c r="P133" i="14" s="1"/>
  <c r="Q159" i="14"/>
  <c r="P159" i="14" s="1"/>
  <c r="Q151" i="14"/>
  <c r="P151" i="14" s="1"/>
  <c r="Q147" i="14"/>
  <c r="P147" i="14" s="1"/>
  <c r="Q143" i="14"/>
  <c r="P143" i="14" s="1"/>
  <c r="Q139" i="14"/>
  <c r="P139" i="14" s="1"/>
  <c r="Q135" i="14"/>
  <c r="P135" i="14" s="1"/>
  <c r="Q58" i="14"/>
  <c r="P58" i="14" s="1"/>
  <c r="Q54" i="14"/>
  <c r="P54" i="14" s="1"/>
  <c r="Q50" i="14"/>
  <c r="P50" i="14" s="1"/>
  <c r="Q46" i="14"/>
  <c r="P46" i="14" s="1"/>
  <c r="Q64" i="14"/>
  <c r="P64" i="14" s="1"/>
  <c r="Q52" i="14"/>
  <c r="P52" i="14" s="1"/>
  <c r="Q48" i="14"/>
  <c r="P48" i="14" s="1"/>
  <c r="Q44" i="14"/>
  <c r="P44" i="14" s="1"/>
  <c r="D212" i="23"/>
  <c r="Q212" i="23" s="1"/>
  <c r="P212" i="23" s="1"/>
  <c r="Q27" i="23"/>
  <c r="P27" i="23" s="1"/>
  <c r="E239" i="14"/>
  <c r="Q239" i="14" s="1"/>
  <c r="P239" i="14" s="1"/>
  <c r="Q13" i="14"/>
  <c r="P13" i="14" s="1"/>
  <c r="Q9" i="14"/>
  <c r="P9" i="14" s="1"/>
  <c r="Q35" i="14"/>
  <c r="P35" i="14" s="1"/>
  <c r="Q19" i="14"/>
  <c r="P19" i="14" s="1"/>
  <c r="Q235" i="14"/>
  <c r="P235" i="14" s="1"/>
  <c r="Q244" i="14"/>
  <c r="P244" i="14" s="1"/>
  <c r="Q23" i="14"/>
  <c r="P23" i="14" s="1"/>
  <c r="Q15" i="14"/>
  <c r="P15" i="14" s="1"/>
  <c r="E233" i="14"/>
  <c r="Q233" i="14" s="1"/>
  <c r="P233" i="14" s="1"/>
  <c r="Q27" i="14"/>
  <c r="P27" i="14" s="1"/>
  <c r="E237" i="14"/>
  <c r="Q237" i="14" s="1"/>
  <c r="P237" i="14" s="1"/>
  <c r="Q29" i="14"/>
  <c r="P29" i="14" s="1"/>
  <c r="Q21" i="14"/>
  <c r="P21" i="14" s="1"/>
  <c r="P33" i="14"/>
  <c r="E243" i="14"/>
  <c r="Q243" i="14" s="1"/>
  <c r="P243" i="14" s="1"/>
  <c r="E241" i="14"/>
  <c r="Q241" i="14" s="1"/>
  <c r="P241" i="14" s="1"/>
  <c r="Q17" i="14"/>
  <c r="P17" i="14" s="1"/>
  <c r="Q11" i="14"/>
  <c r="P11" i="14" s="1"/>
  <c r="Q25" i="14"/>
  <c r="P25" i="14" s="1"/>
  <c r="Q56" i="14"/>
  <c r="P56" i="14" s="1"/>
  <c r="Q60" i="14"/>
  <c r="P60" i="14" s="1"/>
  <c r="Q66" i="14"/>
  <c r="P66" i="14" s="1"/>
  <c r="Q75" i="14"/>
  <c r="P75" i="14" s="1"/>
  <c r="Q83" i="14"/>
  <c r="P83" i="14" s="1"/>
  <c r="Q79" i="14"/>
  <c r="P79" i="14" s="1"/>
  <c r="Q120" i="14"/>
  <c r="P120" i="14" s="1"/>
  <c r="Q114" i="14"/>
  <c r="P114" i="14" s="1"/>
  <c r="Q108" i="14"/>
  <c r="P108" i="14" s="1"/>
  <c r="Q126" i="14"/>
  <c r="P126" i="14" s="1"/>
  <c r="Q116" i="14"/>
  <c r="P116" i="14" s="1"/>
  <c r="Q128" i="14"/>
  <c r="P128" i="14" s="1"/>
  <c r="Q110" i="14"/>
  <c r="P110" i="14" s="1"/>
  <c r="Q104" i="14"/>
  <c r="P104" i="14" s="1"/>
  <c r="Q106" i="14"/>
  <c r="P106" i="14" s="1"/>
  <c r="Q192" i="14"/>
  <c r="P192" i="14" s="1"/>
  <c r="D208" i="2"/>
  <c r="D194" i="2"/>
  <c r="D204" i="2"/>
  <c r="D212" i="2"/>
  <c r="D210" i="2"/>
  <c r="D200" i="2"/>
  <c r="D202" i="2"/>
  <c r="D206" i="2"/>
  <c r="Q42" i="14" l="1"/>
  <c r="P42" i="14" s="1"/>
  <c r="Q99" i="14"/>
  <c r="P99" i="14" s="1"/>
  <c r="Q28" i="23"/>
  <c r="P28" i="23" s="1"/>
  <c r="D213" i="23"/>
  <c r="Q213" i="23" s="1"/>
  <c r="P213" i="23" s="1"/>
  <c r="E218" i="14"/>
  <c r="Q218" i="14" s="1"/>
  <c r="P218" i="14" s="1"/>
  <c r="E206" i="14"/>
  <c r="Q206" i="14" s="1"/>
  <c r="P206" i="14" s="1"/>
  <c r="E214" i="14"/>
  <c r="Q214" i="14" s="1"/>
  <c r="P214" i="14" s="1"/>
  <c r="E212" i="14"/>
  <c r="Q212" i="14" s="1"/>
  <c r="P212" i="14" s="1"/>
  <c r="E216" i="14"/>
  <c r="Q216" i="14" s="1"/>
  <c r="P216" i="14" s="1"/>
  <c r="Q62" i="14"/>
  <c r="P62" i="14" s="1"/>
  <c r="E200" i="14"/>
  <c r="Q200" i="14" s="1"/>
  <c r="P200" i="14" s="1"/>
  <c r="E208" i="14"/>
  <c r="Q208" i="14" s="1"/>
  <c r="P208" i="14" s="1"/>
  <c r="Q130" i="14"/>
  <c r="P130" i="14" s="1"/>
  <c r="Q102" i="14"/>
  <c r="P102" i="14" s="1"/>
  <c r="Q68" i="14"/>
  <c r="P68" i="14" s="1"/>
  <c r="Q40" i="14"/>
  <c r="P40" i="14" s="1"/>
  <c r="E210" i="14"/>
  <c r="Q210" i="14" s="1"/>
  <c r="P210" i="14" s="1"/>
  <c r="E204" i="14"/>
  <c r="Q204" i="14" s="1"/>
  <c r="P204" i="14" s="1"/>
  <c r="Q155" i="14"/>
  <c r="P155" i="14" s="1"/>
  <c r="E196" i="14"/>
  <c r="Q196" i="14" s="1"/>
  <c r="P196" i="14" s="1"/>
  <c r="E220" i="14"/>
  <c r="Q220" i="14" s="1"/>
  <c r="P220" i="14" s="1"/>
  <c r="E202" i="14"/>
  <c r="Q202" i="14" s="1"/>
  <c r="P202" i="14" s="1"/>
  <c r="E194" i="14"/>
  <c r="Q194" i="14" s="1"/>
  <c r="P194" i="14" s="1"/>
  <c r="Q71" i="14"/>
  <c r="P71" i="14" s="1"/>
  <c r="E198" i="14"/>
  <c r="Q198" i="14" s="1"/>
  <c r="P198" i="14" s="1"/>
  <c r="Q29" i="2"/>
  <c r="P29" i="2" s="1"/>
  <c r="D214" i="2"/>
  <c r="Q214" i="2" s="1"/>
  <c r="P214" i="2" s="1"/>
  <c r="Q33" i="2"/>
  <c r="P33" i="2" s="1"/>
  <c r="D196" i="2"/>
  <c r="Q196" i="2" s="1"/>
  <c r="P196" i="2" s="1"/>
  <c r="Q35" i="2"/>
  <c r="P35" i="2" s="1"/>
  <c r="D198" i="2"/>
  <c r="Q198" i="2" s="1"/>
  <c r="P198" i="2" s="1"/>
  <c r="Q31" i="2"/>
  <c r="P31" i="2" s="1"/>
  <c r="Q37" i="2"/>
  <c r="P37" i="2" s="1"/>
  <c r="Q23" i="2"/>
  <c r="P23" i="2" s="1"/>
  <c r="Q15" i="2"/>
  <c r="P15" i="2" s="1"/>
  <c r="Q200" i="2"/>
  <c r="P200" i="2" s="1"/>
  <c r="Q9" i="2"/>
  <c r="P9" i="2" s="1"/>
  <c r="Q194" i="2"/>
  <c r="P194" i="2" s="1"/>
  <c r="Q206" i="2"/>
  <c r="P206" i="2" s="1"/>
  <c r="Q210" i="2"/>
  <c r="P210" i="2" s="1"/>
  <c r="Q204" i="2"/>
  <c r="P204" i="2" s="1"/>
  <c r="Q17" i="2"/>
  <c r="P17" i="2" s="1"/>
  <c r="Q202" i="2"/>
  <c r="P202" i="2" s="1"/>
  <c r="Q27" i="2"/>
  <c r="P27" i="2" s="1"/>
  <c r="Q212" i="2"/>
  <c r="P212" i="2" s="1"/>
  <c r="Q19" i="2"/>
  <c r="P19" i="2" s="1"/>
  <c r="D223" i="2"/>
  <c r="D245" i="2" s="1"/>
  <c r="Q208" i="2"/>
  <c r="P208" i="2" s="1"/>
  <c r="Q13" i="2"/>
  <c r="P13" i="2" s="1"/>
  <c r="Q11" i="2"/>
  <c r="P11" i="2" s="1"/>
  <c r="Q21" i="2"/>
  <c r="P21" i="2" s="1"/>
  <c r="Q25" i="2"/>
  <c r="P25" i="2" s="1"/>
  <c r="Q29" i="23" l="1"/>
  <c r="P29" i="23" s="1"/>
  <c r="D214" i="23"/>
  <c r="Q214" i="23" s="1"/>
  <c r="P214" i="23" s="1"/>
  <c r="Q161" i="14"/>
  <c r="P161" i="14" s="1"/>
  <c r="E223" i="14"/>
  <c r="E245" i="14" s="1"/>
  <c r="E263" i="14" s="1"/>
  <c r="Q263" i="14" s="1"/>
  <c r="P263" i="14" s="1"/>
  <c r="Q223" i="2"/>
  <c r="P223" i="2" s="1"/>
  <c r="Q245" i="2" l="1"/>
  <c r="P245" i="2" s="1"/>
  <c r="D263" i="2"/>
  <c r="Q263" i="2" s="1"/>
  <c r="P263" i="2" s="1"/>
  <c r="D215" i="23"/>
  <c r="Q215" i="23" s="1"/>
  <c r="P215" i="23" s="1"/>
  <c r="Q30" i="23"/>
  <c r="P30" i="23" s="1"/>
  <c r="Q223" i="14"/>
  <c r="P223" i="14" s="1"/>
  <c r="Q31" i="23" l="1"/>
  <c r="P31" i="23" s="1"/>
  <c r="D216" i="23"/>
  <c r="Q216" i="23" s="1"/>
  <c r="P216" i="23" s="1"/>
  <c r="Q245" i="14"/>
  <c r="P245" i="14" s="1"/>
  <c r="Q32" i="23" l="1"/>
  <c r="P32" i="23" s="1"/>
  <c r="D217" i="23"/>
  <c r="Q217" i="23" s="1"/>
  <c r="P217" i="23" s="1"/>
  <c r="Q33" i="23" l="1"/>
  <c r="P33" i="23" s="1"/>
  <c r="D218" i="23"/>
  <c r="Q218" i="23" s="1"/>
  <c r="P218" i="23" s="1"/>
  <c r="D219" i="23" l="1"/>
  <c r="Q219" i="23" s="1"/>
  <c r="P219" i="23" s="1"/>
  <c r="Q34" i="23"/>
  <c r="P34" i="23" s="1"/>
  <c r="D36" i="23"/>
  <c r="D37" i="23" s="1"/>
  <c r="D220" i="23" l="1"/>
  <c r="Q220" i="23" s="1"/>
  <c r="P220" i="23" s="1"/>
  <c r="Q35" i="23"/>
  <c r="P35" i="23" s="1"/>
  <c r="D222" i="23"/>
  <c r="Q244" i="23" s="1"/>
  <c r="P244" i="23" s="1"/>
  <c r="Q36" i="23"/>
  <c r="P36" i="23" s="1"/>
  <c r="D223" i="23" l="1"/>
  <c r="D245" i="23" s="1"/>
  <c r="Q37" i="23"/>
  <c r="P37" i="23" s="1"/>
  <c r="Q222" i="23"/>
  <c r="P222" i="23" s="1"/>
  <c r="Q245" i="23" l="1"/>
  <c r="P245" i="23" s="1"/>
  <c r="D263" i="23"/>
  <c r="Q263" i="23" s="1"/>
  <c r="P263" i="23" s="1"/>
  <c r="Q223" i="23"/>
  <c r="P223" i="23" s="1"/>
  <c r="D227" i="14"/>
  <c r="D226" i="14"/>
  <c r="E227" i="14" l="1"/>
  <c r="E226" i="14"/>
  <c r="F227" i="14" s="1"/>
  <c r="F226" i="14" l="1"/>
  <c r="G226" i="14" s="1"/>
  <c r="G227" i="14" l="1"/>
  <c r="H227" i="14" s="1"/>
  <c r="H226" i="14" l="1"/>
  <c r="I226" i="14" s="1"/>
  <c r="I227" i="14" l="1"/>
  <c r="J227" i="14" s="1"/>
  <c r="J226" i="14" l="1"/>
  <c r="K226" i="14" s="1"/>
  <c r="K227" i="14" l="1"/>
  <c r="L227" i="14" s="1"/>
  <c r="L226" i="14" l="1"/>
  <c r="M226" i="14" s="1"/>
  <c r="M227" i="14" l="1"/>
  <c r="N227" i="14" s="1"/>
  <c r="N226" i="14" l="1"/>
  <c r="O226" i="14" s="1"/>
  <c r="B226" i="22" s="1"/>
  <c r="O227" i="14" l="1"/>
  <c r="B227" i="22" s="1"/>
  <c r="D227" i="22" s="1"/>
  <c r="D226" i="22" l="1"/>
  <c r="E226" i="22" s="1"/>
  <c r="E227" i="22" l="1"/>
  <c r="F227" i="22" s="1"/>
  <c r="F226" i="22" l="1"/>
  <c r="G226" i="22" s="1"/>
  <c r="G227" i="22"/>
  <c r="H227" i="22" s="1"/>
  <c r="H226" i="22" l="1"/>
  <c r="I226" i="22" s="1"/>
  <c r="I227" i="22" l="1"/>
  <c r="J227" i="22" s="1"/>
  <c r="J226" i="22" l="1"/>
  <c r="K226" i="22" s="1"/>
  <c r="K227" i="22" l="1"/>
  <c r="L227" i="22" s="1"/>
  <c r="L226" i="22" l="1"/>
  <c r="M226" i="22" s="1"/>
  <c r="M227" i="22" l="1"/>
  <c r="N227" i="22" s="1"/>
  <c r="N226" i="22" l="1"/>
  <c r="O226" i="22" s="1"/>
  <c r="B226" i="23" s="1"/>
  <c r="O227" i="22" l="1"/>
  <c r="B227" i="23" s="1"/>
  <c r="D227" i="23" s="1"/>
  <c r="D226" i="23" l="1"/>
  <c r="E226" i="23" s="1"/>
  <c r="E227" i="23" l="1"/>
  <c r="F227" i="23" s="1"/>
  <c r="F226" i="23" l="1"/>
  <c r="G226" i="23" s="1"/>
  <c r="G227" i="23" l="1"/>
  <c r="H227" i="23" s="1"/>
  <c r="H226" i="23" l="1"/>
  <c r="I226" i="23" s="1"/>
  <c r="I227" i="23" l="1"/>
  <c r="J227" i="23" s="1"/>
  <c r="J226" i="23" l="1"/>
  <c r="K226" i="23" s="1"/>
  <c r="K227" i="23" l="1"/>
  <c r="L227" i="23" s="1"/>
  <c r="L226" i="23" l="1"/>
  <c r="M226" i="23" s="1"/>
  <c r="M227" i="23" l="1"/>
  <c r="N227" i="23" s="1"/>
  <c r="N226" i="23" l="1"/>
  <c r="O226" i="23" s="1"/>
  <c r="O227" i="23" l="1"/>
</calcChain>
</file>

<file path=xl/sharedStrings.xml><?xml version="1.0" encoding="utf-8"?>
<sst xmlns="http://schemas.openxmlformats.org/spreadsheetml/2006/main" count="18608" uniqueCount="190">
  <si>
    <t>AVG.</t>
  </si>
  <si>
    <t>SICK</t>
  </si>
  <si>
    <t>VACATION</t>
  </si>
  <si>
    <t>PAY RATE</t>
  </si>
  <si>
    <t>LINE/RESERVE</t>
  </si>
  <si>
    <t>TOTAL</t>
  </si>
  <si>
    <t>MLOA DAYS</t>
  </si>
  <si>
    <t>DOMESTIC</t>
  </si>
  <si>
    <t>INTERNATIONAL</t>
  </si>
  <si>
    <t>ADD.  PAY</t>
  </si>
  <si>
    <t>DEADHEAD</t>
  </si>
  <si>
    <t>MIN. UNDER</t>
  </si>
  <si>
    <t>GREEN SLIP</t>
  </si>
  <si>
    <t>23K</t>
  </si>
  <si>
    <t>PER DIEM
(TAFB)</t>
  </si>
  <si>
    <t>REROUTE</t>
  </si>
  <si>
    <t>TOTAL TIME</t>
  </si>
  <si>
    <t>TOTAL PAY</t>
  </si>
  <si>
    <t>TOTAL PAY TIME</t>
  </si>
  <si>
    <t>SICK DAYS</t>
  </si>
  <si>
    <t>4F1R</t>
  </si>
  <si>
    <t>T</t>
  </si>
  <si>
    <t>P</t>
  </si>
  <si>
    <t>TRAINING (20TR)</t>
  </si>
  <si>
    <t>RESERVE GUARANTEE</t>
  </si>
  <si>
    <t>DISTANCE TRNG</t>
  </si>
  <si>
    <t>TOTAL GROSS PAY</t>
  </si>
  <si>
    <t>TOTAL PER DIEM PAY</t>
  </si>
  <si>
    <t>PAY STATEMENTS</t>
  </si>
  <si>
    <t>CASH EARNINGS</t>
  </si>
  <si>
    <t>P1</t>
  </si>
  <si>
    <t>P2</t>
  </si>
  <si>
    <t>DEDUCTIONS</t>
  </si>
  <si>
    <t>TAXES</t>
  </si>
  <si>
    <t>NET PAY</t>
  </si>
  <si>
    <t>COMPANY 401K
CONTRIBUTIONS</t>
  </si>
  <si>
    <t>FLY DAYS</t>
  </si>
  <si>
    <t>PILOT ACTIVITY STATEMENT (PAS)</t>
  </si>
  <si>
    <t>B-777</t>
  </si>
  <si>
    <t>A-350</t>
  </si>
  <si>
    <t>B-787</t>
  </si>
  <si>
    <t>A-330-900/300/200</t>
  </si>
  <si>
    <t>B-767-400ER</t>
  </si>
  <si>
    <t>B-767-300ER</t>
  </si>
  <si>
    <t>B-767-300/200</t>
  </si>
  <si>
    <t>B-757</t>
  </si>
  <si>
    <t>A-321N</t>
  </si>
  <si>
    <t>B-737-900</t>
  </si>
  <si>
    <t>A-321</t>
  </si>
  <si>
    <t>B-737-800/700</t>
  </si>
  <si>
    <t>A-320/319</t>
  </si>
  <si>
    <t>A-220-300</t>
  </si>
  <si>
    <t>A-220-100</t>
  </si>
  <si>
    <t>B-717</t>
  </si>
  <si>
    <t>EMB-195</t>
  </si>
  <si>
    <t>EMB-190/CRJ-900</t>
  </si>
  <si>
    <t>PB</t>
  </si>
  <si>
    <t>EXC1</t>
  </si>
  <si>
    <t>EXC2</t>
  </si>
  <si>
    <t>OFF DAYS</t>
  </si>
  <si>
    <t>Year</t>
  </si>
  <si>
    <t>CA</t>
  </si>
  <si>
    <t>FO</t>
  </si>
  <si>
    <t>767-400</t>
  </si>
  <si>
    <t>A-330-300</t>
  </si>
  <si>
    <t>A-330-900</t>
  </si>
  <si>
    <t>A-330-200</t>
  </si>
  <si>
    <t>B-767-300</t>
  </si>
  <si>
    <t>B-767-200</t>
  </si>
  <si>
    <t>B-737-800</t>
  </si>
  <si>
    <t>A-320</t>
  </si>
  <si>
    <t>A-319</t>
  </si>
  <si>
    <t>LINE</t>
  </si>
  <si>
    <t>RSV</t>
  </si>
  <si>
    <t>DAL 2023 PWA FULL PAY SCALE</t>
  </si>
  <si>
    <t>Longevity</t>
  </si>
  <si>
    <t>FLEET</t>
  </si>
  <si>
    <t>SEAT</t>
  </si>
  <si>
    <t>2024 PAY CHART</t>
  </si>
  <si>
    <t>DAL 2023 PWA COMPACT PAY SCALE (ONLY ACTIVE DAL AC)</t>
  </si>
  <si>
    <t>2025 PAY CHART</t>
  </si>
  <si>
    <t>2026 PAY CHART</t>
  </si>
  <si>
    <t>JANUARY</t>
  </si>
  <si>
    <t>FEBRUARY</t>
  </si>
  <si>
    <t>MARCH</t>
  </si>
  <si>
    <t>APRIL</t>
  </si>
  <si>
    <t>MAY</t>
  </si>
  <si>
    <t>JUNE</t>
  </si>
  <si>
    <t>JULY</t>
  </si>
  <si>
    <t>AUGUST</t>
  </si>
  <si>
    <t>SEPTEMBER</t>
  </si>
  <si>
    <t>OCTOBER</t>
  </si>
  <si>
    <t>NOVEMBER</t>
  </si>
  <si>
    <t>DECEMBER</t>
  </si>
  <si>
    <t>270.Dl</t>
  </si>
  <si>
    <t>2023 JAN-SEPT</t>
  </si>
  <si>
    <t>2023 OCT-DEC</t>
  </si>
  <si>
    <t>2024 - AC1</t>
  </si>
  <si>
    <t>2024 - AC3</t>
  </si>
  <si>
    <t>2024 - AC2</t>
  </si>
  <si>
    <t>2024 - AC4</t>
  </si>
  <si>
    <t>2024 - AC5</t>
  </si>
  <si>
    <t>2024 - AC6</t>
  </si>
  <si>
    <t>2024 PAY ACTUAL - AC1</t>
  </si>
  <si>
    <t>2024 PAY ACTUAL - AC2</t>
  </si>
  <si>
    <t>2024 PAY ACTUAL - AC3</t>
  </si>
  <si>
    <t>2024 PAY ACTUAL - AC4</t>
  </si>
  <si>
    <t>2024 PAY ACTUAL - AC5</t>
  </si>
  <si>
    <t>2024 PAY ACTUAL - AC6</t>
  </si>
  <si>
    <t>2025 - AC1</t>
  </si>
  <si>
    <t>2025 - AC2</t>
  </si>
  <si>
    <t>-</t>
  </si>
  <si>
    <t>2025 - AC3</t>
  </si>
  <si>
    <t>2025 - AC4</t>
  </si>
  <si>
    <t>2025 - AC5</t>
  </si>
  <si>
    <t>2025 - AC6</t>
  </si>
  <si>
    <t>2025 PAY ACTUAL - AC1</t>
  </si>
  <si>
    <t>2025 PAY ACTUAL - AC2</t>
  </si>
  <si>
    <t>2025 PAY ACTUAL - AC3</t>
  </si>
  <si>
    <t>2025 PAY ACTUAL - AC4</t>
  </si>
  <si>
    <t>2025 PAY ACTUAL - AC5</t>
  </si>
  <si>
    <t>2025 PAY ACTUAL - AC6</t>
  </si>
  <si>
    <t>2026 - AC1</t>
  </si>
  <si>
    <t>2026 - AC2</t>
  </si>
  <si>
    <t>2026 - AC3</t>
  </si>
  <si>
    <t>2026 - AC4</t>
  </si>
  <si>
    <t>2026 - AC5</t>
  </si>
  <si>
    <t>2026 - AC6</t>
  </si>
  <si>
    <t>2026 PAY ACTUAL - AC1</t>
  </si>
  <si>
    <t>2026 PAY ACTUAL - AC2</t>
  </si>
  <si>
    <t>2026 PAY ACTUAL - AC3</t>
  </si>
  <si>
    <t>2026 PAY ACTUAL - AC4</t>
  </si>
  <si>
    <t>2026 PAY ACTUAL - AC5</t>
  </si>
  <si>
    <t>2026 PAY ACTUAL - AC6</t>
  </si>
  <si>
    <t>2023 - AC1</t>
  </si>
  <si>
    <t>2023 - AC2</t>
  </si>
  <si>
    <t>2023 - AC3</t>
  </si>
  <si>
    <t>2023 - AC4</t>
  </si>
  <si>
    <t>2023 - AC5</t>
  </si>
  <si>
    <t>2023 - AC6</t>
  </si>
  <si>
    <t>2023 PAY ACTUAL - AC1</t>
  </si>
  <si>
    <t>2023 PAY ACTUAL - AC2</t>
  </si>
  <si>
    <t>2023 PAY ACTUAL - AC3</t>
  </si>
  <si>
    <t>2023 PAY ACTUAL - AC4</t>
  </si>
  <si>
    <t>2023 PAY ACTUAL - AC5</t>
  </si>
  <si>
    <t>2023 PAY ACTUAL - AC6</t>
  </si>
  <si>
    <t>MLOA PAY</t>
  </si>
  <si>
    <t>PAY PER DAY &gt;&gt;&gt;</t>
  </si>
  <si>
    <t>PAY LONGEVITY</t>
  </si>
  <si>
    <t>INTERNATIONAL OVERRIDE</t>
  </si>
  <si>
    <t>DOM ($/HR) &gt;&gt;&gt;</t>
  </si>
  <si>
    <t>INTER ($/HR) &gt;&gt;&gt;</t>
  </si>
  <si>
    <t>TOTAL ANNUAL GROSS EARNINGS</t>
  </si>
  <si>
    <t>AVERAGE</t>
  </si>
  <si>
    <t>AVGERAGE PAY PER DAY WORKED</t>
  </si>
  <si>
    <t>TOTAL
FLIGHT
PAY</t>
  </si>
  <si>
    <t>Pilot Activity Statement Section (PAS)</t>
  </si>
  <si>
    <t>Pay Statement Section (PS)</t>
  </si>
  <si>
    <r>
      <t xml:space="preserve">2)  </t>
    </r>
    <r>
      <rPr>
        <sz val="12"/>
        <color rgb="FFFF0000"/>
        <rFont val="Arial Black"/>
        <family val="2"/>
      </rPr>
      <t>"LONGEVITY"</t>
    </r>
    <r>
      <rPr>
        <sz val="12"/>
        <rFont val="Arial Black"/>
        <family val="2"/>
      </rPr>
      <t xml:space="preserve"> is automatically calculated based on the hire date you entered above.
3)  </t>
    </r>
    <r>
      <rPr>
        <sz val="12"/>
        <color rgb="FFFF0000"/>
        <rFont val="Arial Black"/>
        <family val="2"/>
      </rPr>
      <t>"FLEET"</t>
    </r>
    <r>
      <rPr>
        <sz val="12"/>
        <rFont val="Arial Black"/>
        <family val="2"/>
      </rPr>
      <t xml:space="preserve"> is a general selection to show which fleet you're assigned in any given month, but does not affect pay calculations (at this time.)
4)  </t>
    </r>
    <r>
      <rPr>
        <sz val="12"/>
        <color rgb="FFFF0000"/>
        <rFont val="Arial Black"/>
        <family val="2"/>
      </rPr>
      <t>"SEAT"</t>
    </r>
    <r>
      <rPr>
        <sz val="12"/>
        <rFont val="Arial Black"/>
        <family val="2"/>
      </rPr>
      <t xml:space="preserve"> identifies CA or FO and impacts pay scale calculations.
5)  "</t>
    </r>
    <r>
      <rPr>
        <sz val="12"/>
        <color rgb="FFFF0000"/>
        <rFont val="Arial Black"/>
        <family val="2"/>
      </rPr>
      <t>Aircraft"</t>
    </r>
    <r>
      <rPr>
        <sz val="12"/>
        <rFont val="Arial Black"/>
        <family val="2"/>
      </rPr>
      <t xml:space="preserve"> on the left-hand side (large boxes) allows the selection of each fleet variant flown. Up to </t>
    </r>
    <r>
      <rPr>
        <sz val="12"/>
        <color rgb="FFFF0000"/>
        <rFont val="Arial Black"/>
        <family val="2"/>
      </rPr>
      <t>6 aircraft</t>
    </r>
    <r>
      <rPr>
        <sz val="12"/>
        <rFont val="Arial Black"/>
        <family val="2"/>
      </rPr>
      <t xml:space="preserve"> can be selected each year, which allows for most combinations of fleet-to-fleet transitions. This spreadsheet covers </t>
    </r>
    <r>
      <rPr>
        <sz val="12"/>
        <color rgb="FFFF0000"/>
        <rFont val="Arial Black"/>
        <family val="2"/>
      </rPr>
      <t>2023 - 2026</t>
    </r>
    <r>
      <rPr>
        <sz val="12"/>
        <rFont val="Arial Black"/>
        <family val="2"/>
      </rPr>
      <t xml:space="preserve"> and each year can be accessed by selecting the corresponding sheet tab.</t>
    </r>
  </si>
  <si>
    <r>
      <t xml:space="preserve">6)  Now, you're ready to start inputing your times from your monthly </t>
    </r>
    <r>
      <rPr>
        <sz val="12"/>
        <color rgb="FFFF0000"/>
        <rFont val="Arial Black"/>
        <family val="2"/>
      </rPr>
      <t>PAS</t>
    </r>
    <r>
      <rPr>
        <sz val="12"/>
        <rFont val="Arial Black"/>
        <family val="2"/>
      </rPr>
      <t xml:space="preserve">. You'll notice your PAS lists all of the aircraft varients under the AC category you flew for the month and this spreadsheet captures most of the corresponding pay codes. Input the </t>
    </r>
    <r>
      <rPr>
        <sz val="12"/>
        <color rgb="FFFF0000"/>
        <rFont val="Arial Black"/>
        <family val="2"/>
      </rPr>
      <t>PAS TIME</t>
    </r>
    <r>
      <rPr>
        <sz val="12"/>
        <rFont val="Arial Black"/>
        <family val="2"/>
      </rPr>
      <t xml:space="preserve"> for each aircraft/category in the corresponding location in the TMP spreadsheet. </t>
    </r>
    <r>
      <rPr>
        <sz val="12"/>
        <color rgb="FFFF0000"/>
        <rFont val="Arial Black"/>
        <family val="2"/>
      </rPr>
      <t>All PAY</t>
    </r>
    <r>
      <rPr>
        <sz val="12"/>
        <rFont val="Arial Black"/>
        <family val="2"/>
      </rPr>
      <t xml:space="preserve"> in the PAS section is calculated for you and does not require your input.</t>
    </r>
  </si>
  <si>
    <r>
      <t xml:space="preserve">10)  The </t>
    </r>
    <r>
      <rPr>
        <sz val="12"/>
        <color rgb="FFFF0000"/>
        <rFont val="Arial Black"/>
        <family val="2"/>
      </rPr>
      <t>401k section</t>
    </r>
    <r>
      <rPr>
        <sz val="12"/>
        <rFont val="Arial Black"/>
        <family val="2"/>
      </rPr>
      <t xml:space="preserve"> you'll notice </t>
    </r>
    <r>
      <rPr>
        <sz val="12"/>
        <color rgb="FFFF0000"/>
        <rFont val="Arial Black"/>
        <family val="2"/>
      </rPr>
      <t>"EXC1/EXC2"</t>
    </r>
    <r>
      <rPr>
        <sz val="12"/>
        <rFont val="Arial Black"/>
        <family val="2"/>
      </rPr>
      <t xml:space="preserve"> which account for the spillover (excess) once your 401k is maxed out. 
The </t>
    </r>
    <r>
      <rPr>
        <sz val="12"/>
        <color rgb="FFFF0000"/>
        <rFont val="Arial Black"/>
        <family val="2"/>
      </rPr>
      <t>"MLOA"</t>
    </r>
    <r>
      <rPr>
        <sz val="12"/>
        <rFont val="Arial Black"/>
        <family val="2"/>
      </rPr>
      <t xml:space="preserve"> section near the bottom is a </t>
    </r>
    <r>
      <rPr>
        <sz val="12"/>
        <color rgb="FFFF0000"/>
        <rFont val="Arial Black"/>
        <family val="2"/>
      </rPr>
      <t>customizable section</t>
    </r>
    <r>
      <rPr>
        <sz val="12"/>
        <rFont val="Arial Black"/>
        <family val="2"/>
      </rPr>
      <t xml:space="preserve"> that allows you to account for other jobs or sources of income, such as </t>
    </r>
    <r>
      <rPr>
        <sz val="12"/>
        <color rgb="FFFF0000"/>
        <rFont val="Arial Black"/>
        <family val="2"/>
      </rPr>
      <t>Military Leave</t>
    </r>
    <r>
      <rPr>
        <sz val="12"/>
        <rFont val="Arial Black"/>
        <family val="2"/>
      </rPr>
      <t>.</t>
    </r>
  </si>
  <si>
    <r>
      <rPr>
        <sz val="16"/>
        <rFont val="Arial Black"/>
        <family val="2"/>
      </rPr>
      <t>I've spent years just assuming my paychecks are accurate without any meaningful way of tracking my pay through cross-checking my Pilot Activity Statement against my Pay Statements.</t>
    </r>
    <r>
      <rPr>
        <sz val="14"/>
        <rFont val="Arial Black"/>
        <family val="2"/>
      </rPr>
      <t xml:space="preserve">
</t>
    </r>
    <r>
      <rPr>
        <b/>
        <u/>
        <sz val="16"/>
        <rFont val="Arial Black"/>
        <family val="2"/>
      </rPr>
      <t>My hope is that this spreadsheet helps you as much as it has helped me in tracking pay and providing the big picture overview of years worth of financial and flight data we have all been wishing for!</t>
    </r>
    <r>
      <rPr>
        <sz val="14"/>
        <color rgb="FFFF0000"/>
        <rFont val="Arial Black"/>
        <family val="2"/>
      </rPr>
      <t xml:space="preserve">
</t>
    </r>
    <r>
      <rPr>
        <sz val="14"/>
        <rFont val="Arial Black"/>
        <family val="2"/>
      </rPr>
      <t xml:space="preserve">
Please visit </t>
    </r>
    <r>
      <rPr>
        <sz val="14"/>
        <color rgb="FFFF0000"/>
        <rFont val="Arial Black"/>
        <family val="2"/>
      </rPr>
      <t xml:space="preserve">trackmypay.com </t>
    </r>
    <r>
      <rPr>
        <sz val="14"/>
        <rFont val="Arial Black"/>
        <family val="2"/>
      </rPr>
      <t xml:space="preserve">for all future TMP spreadsheet updates.
</t>
    </r>
    <r>
      <rPr>
        <u/>
        <sz val="18"/>
        <rFont val="Arial Black"/>
        <family val="2"/>
      </rPr>
      <t>Donations are greatly appreciated and will help fund future TMP upgrades/development!</t>
    </r>
    <r>
      <rPr>
        <sz val="14"/>
        <rFont val="Arial Black"/>
        <family val="2"/>
      </rPr>
      <t xml:space="preserve">
</t>
    </r>
    <r>
      <rPr>
        <sz val="22"/>
        <rFont val="Arial Black"/>
        <family val="2"/>
      </rPr>
      <t>-Mike</t>
    </r>
    <r>
      <rPr>
        <sz val="14"/>
        <rFont val="Arial Black"/>
        <family val="2"/>
      </rPr>
      <t xml:space="preserve">
</t>
    </r>
  </si>
  <si>
    <t>A-330-300/200</t>
  </si>
  <si>
    <t>MD-90/88</t>
  </si>
  <si>
    <t>CS-300</t>
  </si>
  <si>
    <t>CS-100</t>
  </si>
  <si>
    <t>First Officer</t>
  </si>
  <si>
    <t>Captain</t>
  </si>
  <si>
    <t>2023 MAR-SEPT</t>
  </si>
  <si>
    <r>
      <t xml:space="preserve">12)  The very bottom of the spreadsheet captures </t>
    </r>
    <r>
      <rPr>
        <sz val="12"/>
        <color rgb="FFFF0000"/>
        <rFont val="Arial Black"/>
        <family val="2"/>
      </rPr>
      <t>OFF/FLY/SICK/OTHER</t>
    </r>
    <r>
      <rPr>
        <sz val="12"/>
        <rFont val="Arial Black"/>
        <family val="2"/>
      </rPr>
      <t xml:space="preserve"> (MLOA) days. Populate this data using MiCrew, your calendar or however else you track your schedule. This information is mostly just </t>
    </r>
    <r>
      <rPr>
        <sz val="12"/>
        <color rgb="FFFF0000"/>
        <rFont val="Arial Black"/>
        <family val="2"/>
      </rPr>
      <t>"cool-to-know"</t>
    </r>
    <r>
      <rPr>
        <sz val="12"/>
        <rFont val="Arial Black"/>
        <family val="2"/>
      </rPr>
      <t xml:space="preserve"> but helps track productivity over the years.</t>
    </r>
  </si>
  <si>
    <r>
      <t xml:space="preserve">9)  The </t>
    </r>
    <r>
      <rPr>
        <sz val="12"/>
        <color rgb="FFFF0000"/>
        <rFont val="Arial Black"/>
        <family val="2"/>
      </rPr>
      <t>PS</t>
    </r>
    <r>
      <rPr>
        <sz val="12"/>
        <rFont val="Arial Black"/>
        <family val="2"/>
      </rPr>
      <t xml:space="preserve"> section is located under the PAS section, near the bottom of the spreadsheet. Note that </t>
    </r>
    <r>
      <rPr>
        <sz val="12"/>
        <color rgb="FFFF0000"/>
        <rFont val="Arial Black"/>
        <family val="2"/>
      </rPr>
      <t>"P1 and P2"</t>
    </r>
    <r>
      <rPr>
        <sz val="12"/>
        <rFont val="Arial Black"/>
        <family val="2"/>
      </rPr>
      <t xml:space="preserve"> correspond to paycheck 1 and 2. The </t>
    </r>
    <r>
      <rPr>
        <sz val="12"/>
        <color rgb="FFFF0000"/>
        <rFont val="Arial Black"/>
        <family val="2"/>
      </rPr>
      <t>"PB" (pay bonus)</t>
    </r>
    <r>
      <rPr>
        <sz val="12"/>
        <rFont val="Arial Black"/>
        <family val="2"/>
      </rPr>
      <t xml:space="preserve"> row is for extra paychecks, such as FEB profit sharing. Enter your </t>
    </r>
    <r>
      <rPr>
        <sz val="12"/>
        <color rgb="FFFF0000"/>
        <rFont val="Arial Black"/>
        <family val="2"/>
      </rPr>
      <t>"Cash Earnings"</t>
    </r>
    <r>
      <rPr>
        <sz val="12"/>
        <rFont val="Arial Black"/>
        <family val="2"/>
      </rPr>
      <t xml:space="preserve">, </t>
    </r>
    <r>
      <rPr>
        <sz val="12"/>
        <color rgb="FFFF0000"/>
        <rFont val="Arial Black"/>
        <family val="2"/>
      </rPr>
      <t>"Taxes"</t>
    </r>
    <r>
      <rPr>
        <sz val="12"/>
        <rFont val="Arial Black"/>
        <family val="2"/>
      </rPr>
      <t xml:space="preserve"> and </t>
    </r>
    <r>
      <rPr>
        <sz val="12"/>
        <color rgb="FFFF0000"/>
        <rFont val="Arial Black"/>
        <family val="2"/>
      </rPr>
      <t>"Deductions"</t>
    </r>
    <r>
      <rPr>
        <sz val="12"/>
        <rFont val="Arial Black"/>
        <family val="2"/>
      </rPr>
      <t xml:space="preserve"> as seen on your PS.</t>
    </r>
  </si>
  <si>
    <t>OTHER (RENAME)</t>
  </si>
  <si>
    <t>TOTAL BLOCK TIME</t>
  </si>
  <si>
    <t>CLICK HERE FOR AIRCRAFT MENU</t>
  </si>
  <si>
    <t>BANK PAY</t>
  </si>
  <si>
    <t>POS T</t>
  </si>
  <si>
    <t>NEG T</t>
  </si>
  <si>
    <t>TOTAL
POS T</t>
  </si>
  <si>
    <t>TOTAL
NEG T</t>
  </si>
  <si>
    <t>v YEAR START TIME v</t>
  </si>
  <si>
    <r>
      <t xml:space="preserve">7)  At the bottom of the PAS section you will input </t>
    </r>
    <r>
      <rPr>
        <sz val="12"/>
        <color rgb="FFFF0000"/>
        <rFont val="Arial Black"/>
        <family val="2"/>
      </rPr>
      <t>Full Service Bank</t>
    </r>
    <r>
      <rPr>
        <sz val="12"/>
        <rFont val="Arial Black"/>
        <family val="2"/>
      </rPr>
      <t xml:space="preserve"> deposits/withdrawal times, current year </t>
    </r>
    <r>
      <rPr>
        <sz val="12"/>
        <color rgb="FFFF0000"/>
        <rFont val="Arial Black"/>
        <family val="2"/>
      </rPr>
      <t xml:space="preserve">DOM/INT Per Diem </t>
    </r>
    <r>
      <rPr>
        <sz val="12"/>
        <rFont val="Arial Black"/>
        <family val="2"/>
      </rPr>
      <t xml:space="preserve">rates and times, </t>
    </r>
    <r>
      <rPr>
        <sz val="12"/>
        <color rgb="FFFF0000"/>
        <rFont val="Arial Black"/>
        <family val="2"/>
      </rPr>
      <t>Distance Training</t>
    </r>
    <r>
      <rPr>
        <sz val="12"/>
        <rFont val="Arial Black"/>
        <family val="2"/>
      </rPr>
      <t xml:space="preserve">, </t>
    </r>
    <r>
      <rPr>
        <sz val="12"/>
        <color rgb="FFFF0000"/>
        <rFont val="Arial Black"/>
        <family val="2"/>
      </rPr>
      <t>Reserve Guarantee</t>
    </r>
    <r>
      <rPr>
        <sz val="12"/>
        <rFont val="Arial Black"/>
        <family val="2"/>
      </rPr>
      <t xml:space="preserve">, </t>
    </r>
    <r>
      <rPr>
        <sz val="12"/>
        <color rgb="FFFF0000"/>
        <rFont val="Arial Black"/>
        <family val="2"/>
      </rPr>
      <t>Vacation</t>
    </r>
    <r>
      <rPr>
        <sz val="12"/>
        <rFont val="Arial Black"/>
        <family val="2"/>
      </rPr>
      <t xml:space="preserve"> and </t>
    </r>
    <r>
      <rPr>
        <sz val="12"/>
        <color rgb="FFFF0000"/>
        <rFont val="Arial Black"/>
        <family val="2"/>
      </rPr>
      <t>Training</t>
    </r>
    <r>
      <rPr>
        <sz val="12"/>
        <rFont val="Arial Black"/>
        <family val="2"/>
      </rPr>
      <t xml:space="preserve"> times, as stated on your PAS document. There are many variables that determine values for these categories. If you find the pay for any of the categories does not match your PAS, </t>
    </r>
    <r>
      <rPr>
        <sz val="12"/>
        <color rgb="FFFF0000"/>
        <rFont val="Arial Black"/>
        <family val="2"/>
      </rPr>
      <t>"unprotect"</t>
    </r>
    <r>
      <rPr>
        <sz val="12"/>
        <rFont val="Arial Black"/>
        <family val="2"/>
      </rPr>
      <t xml:space="preserve"> the sheet and override the equation by inputting the correct pay amount for the category.</t>
    </r>
  </si>
  <si>
    <t>FULL
SERVICE
BANK</t>
  </si>
  <si>
    <r>
      <t xml:space="preserve">1)  Next, I recommend downloading your Pilot Activity Statements (PAS) and Pay Statements (PS) from the Self-Service tab on DeltaNet. This tracker is designed to </t>
    </r>
    <r>
      <rPr>
        <sz val="12"/>
        <color rgb="FFFF0000"/>
        <rFont val="Arial Black"/>
        <family val="2"/>
      </rPr>
      <t xml:space="preserve">compare </t>
    </r>
    <r>
      <rPr>
        <u/>
        <sz val="12"/>
        <color rgb="FFFF0000"/>
        <rFont val="Arial Black"/>
        <family val="2"/>
      </rPr>
      <t>corresponding</t>
    </r>
    <r>
      <rPr>
        <sz val="12"/>
        <color rgb="FFFF0000"/>
        <rFont val="Arial Black"/>
        <family val="2"/>
      </rPr>
      <t xml:space="preserve"> PAS/PS numbers for each month</t>
    </r>
    <r>
      <rPr>
        <sz val="12"/>
        <rFont val="Arial Black"/>
        <family val="2"/>
      </rPr>
      <t xml:space="preserve">. Therefore, it's important to account for being </t>
    </r>
    <r>
      <rPr>
        <sz val="12"/>
        <color rgb="FFFF0000"/>
        <rFont val="Arial Black"/>
        <family val="2"/>
      </rPr>
      <t>"paid in arrears"</t>
    </r>
    <r>
      <rPr>
        <sz val="12"/>
        <rFont val="Arial Black"/>
        <family val="2"/>
      </rPr>
      <t xml:space="preserve"> in order for each month's flight/pay data to align. Properly renaming/organizing the PAS/PS .pdf files helps drastically with identifying which month each file corresponds to in the spreadsheet, as seen in the file name examples below.
Regular: </t>
    </r>
    <r>
      <rPr>
        <sz val="12"/>
        <color rgb="FFFF0000"/>
        <rFont val="Arial Black"/>
        <family val="2"/>
      </rPr>
      <t xml:space="preserve"> FEB PAS = "2PAS24.xlsx"     </t>
    </r>
    <r>
      <rPr>
        <u/>
        <sz val="12"/>
        <color rgb="FFFF0000"/>
        <rFont val="Arial Black"/>
        <family val="2"/>
      </rPr>
      <t>and</t>
    </r>
    <r>
      <rPr>
        <sz val="12"/>
        <color rgb="FFFF0000"/>
        <rFont val="Arial Black"/>
        <family val="2"/>
      </rPr>
      <t xml:space="preserve">     FEB 28th PS = "2.1PS24.xlsx"     </t>
    </r>
    <r>
      <rPr>
        <u/>
        <sz val="12"/>
        <color rgb="FFFF0000"/>
        <rFont val="Arial Black"/>
        <family val="2"/>
      </rPr>
      <t>and</t>
    </r>
    <r>
      <rPr>
        <sz val="12"/>
        <color rgb="FFFF0000"/>
        <rFont val="Arial Black"/>
        <family val="2"/>
      </rPr>
      <t xml:space="preserve">     MAR 15th PS "2.2PS24.xlsx"
</t>
    </r>
    <r>
      <rPr>
        <sz val="12"/>
        <rFont val="Arial Black"/>
        <family val="2"/>
      </rPr>
      <t xml:space="preserve">Bonus:  </t>
    </r>
    <r>
      <rPr>
        <sz val="12"/>
        <color rgb="FFFF0000"/>
        <rFont val="Arial Black"/>
        <family val="2"/>
      </rPr>
      <t>FEB Profit Sharing = "2.3PB24"</t>
    </r>
    <r>
      <rPr>
        <sz val="12"/>
        <rFont val="Arial Black"/>
        <family val="2"/>
      </rPr>
      <t/>
    </r>
  </si>
  <si>
    <r>
      <t xml:space="preserve">Please input your </t>
    </r>
    <r>
      <rPr>
        <sz val="20"/>
        <color rgb="FFFF0000"/>
        <rFont val="Arial Black"/>
        <family val="2"/>
      </rPr>
      <t>hire date</t>
    </r>
    <r>
      <rPr>
        <sz val="20"/>
        <rFont val="Arial Black"/>
        <family val="2"/>
      </rPr>
      <t xml:space="preserve"> here &gt;&gt;&gt;</t>
    </r>
  </si>
  <si>
    <r>
      <t xml:space="preserve">14)  I've noticed functionality of this tracker is </t>
    </r>
    <r>
      <rPr>
        <sz val="12"/>
        <color rgb="FFFF0000"/>
        <rFont val="Arial Black"/>
        <family val="2"/>
      </rPr>
      <t>GREATLY</t>
    </r>
    <r>
      <rPr>
        <sz val="12"/>
        <rFont val="Arial Black"/>
        <family val="2"/>
      </rPr>
      <t xml:space="preserve"> improved on my computer (PC) versus my iPhone/iPad. But, if you would like to use MAC products, the EXCEL App is your best option (</t>
    </r>
    <r>
      <rPr>
        <sz val="12"/>
        <color rgb="FFFF0000"/>
        <rFont val="Arial Black"/>
        <family val="2"/>
      </rPr>
      <t>log in using DAL credentials</t>
    </r>
    <r>
      <rPr>
        <sz val="12"/>
        <rFont val="Arial Black"/>
        <family val="2"/>
      </rPr>
      <t xml:space="preserve">). The </t>
    </r>
    <r>
      <rPr>
        <sz val="12"/>
        <color rgb="FFFF0000"/>
        <rFont val="Arial Black"/>
        <family val="2"/>
      </rPr>
      <t>Numbers App</t>
    </r>
    <r>
      <rPr>
        <sz val="12"/>
        <rFont val="Arial Black"/>
        <family val="2"/>
      </rPr>
      <t xml:space="preserve"> does not properly import the spreadsheet equations and is unusable for this spreadsheet. </t>
    </r>
  </si>
  <si>
    <r>
      <t xml:space="preserve">11)  The </t>
    </r>
    <r>
      <rPr>
        <sz val="12"/>
        <color rgb="FFFF0000"/>
        <rFont val="Arial Black"/>
        <family val="2"/>
      </rPr>
      <t>"PAS TOTAL GROSS PAY VS PS CASH EARNINGS"</t>
    </r>
    <r>
      <rPr>
        <sz val="12"/>
        <rFont val="Arial Black"/>
        <family val="2"/>
      </rPr>
      <t xml:space="preserve"> row near the bottom allows for easy recognition of differences in pay for any given month by highlighting the </t>
    </r>
    <r>
      <rPr>
        <sz val="12"/>
        <color rgb="FFFF0000"/>
        <rFont val="Arial Black"/>
        <family val="2"/>
      </rPr>
      <t>difference between</t>
    </r>
    <r>
      <rPr>
        <sz val="12"/>
        <rFont val="Arial Black"/>
        <family val="2"/>
      </rPr>
      <t xml:space="preserve"> the </t>
    </r>
    <r>
      <rPr>
        <u/>
        <sz val="12"/>
        <color rgb="FFFF0000"/>
        <rFont val="Arial Black"/>
        <family val="2"/>
      </rPr>
      <t>forecasted pay (PAS)</t>
    </r>
    <r>
      <rPr>
        <sz val="12"/>
        <rFont val="Arial Black"/>
        <family val="2"/>
      </rPr>
      <t xml:space="preserve"> and </t>
    </r>
    <r>
      <rPr>
        <u/>
        <sz val="12"/>
        <color rgb="FFFF0000"/>
        <rFont val="Arial Black"/>
        <family val="2"/>
      </rPr>
      <t>actual pay (2PSs)</t>
    </r>
    <r>
      <rPr>
        <sz val="12"/>
        <rFont val="Arial Black"/>
        <family val="2"/>
      </rPr>
      <t xml:space="preserve">. 
</t>
    </r>
    <r>
      <rPr>
        <u/>
        <sz val="12"/>
        <rFont val="Arial Black"/>
        <family val="2"/>
      </rPr>
      <t>The "TGP VS CE" is the magic number I originally set out to identify, as trying to sift through all of the variables every month using a calculator was confusing and immensley time consuming.</t>
    </r>
  </si>
  <si>
    <t>"PAS TOTAL GROSS PAY" VS 
"PS CASH EARNINGS" DIFFERENCE</t>
  </si>
  <si>
    <r>
      <rPr>
        <b/>
        <sz val="36"/>
        <rFont val="Arial Black"/>
        <family val="2"/>
      </rPr>
      <t xml:space="preserve">TMP v4.5
</t>
    </r>
    <r>
      <rPr>
        <b/>
        <u/>
        <sz val="36"/>
        <rFont val="Arial Black"/>
        <family val="2"/>
      </rPr>
      <t>Welcome to the "Track My Pay" Spreadsheet</t>
    </r>
    <r>
      <rPr>
        <sz val="26"/>
        <rFont val="Arial Black"/>
        <family val="2"/>
      </rPr>
      <t xml:space="preserve">
Below are some useful tips and tricks for using the tracker</t>
    </r>
    <r>
      <rPr>
        <u/>
        <sz val="20"/>
        <color rgb="FFFF0000"/>
        <rFont val="Arial Black"/>
        <family val="2"/>
      </rPr>
      <t/>
    </r>
  </si>
  <si>
    <r>
      <t xml:space="preserve">8)  The PAS </t>
    </r>
    <r>
      <rPr>
        <sz val="12"/>
        <color rgb="FFFF0000"/>
        <rFont val="Arial Black"/>
        <family val="2"/>
      </rPr>
      <t>"Codes"</t>
    </r>
    <r>
      <rPr>
        <sz val="12"/>
        <rFont val="Arial Black"/>
        <family val="2"/>
      </rPr>
      <t xml:space="preserve"> should mostly be accounted for but there is an </t>
    </r>
    <r>
      <rPr>
        <sz val="12"/>
        <color rgb="FFFF0000"/>
        <rFont val="Arial Black"/>
        <family val="2"/>
      </rPr>
      <t>"Other"</t>
    </r>
    <r>
      <rPr>
        <sz val="12"/>
        <rFont val="Arial Black"/>
        <family val="2"/>
      </rPr>
      <t xml:space="preserve"> option (</t>
    </r>
    <r>
      <rPr>
        <sz val="12"/>
        <color rgb="FFFF0000"/>
        <rFont val="Arial Black"/>
        <family val="2"/>
      </rPr>
      <t>name can be edited</t>
    </r>
    <r>
      <rPr>
        <sz val="12"/>
        <rFont val="Arial Black"/>
        <family val="2"/>
      </rPr>
      <t xml:space="preserve">) you can use to add </t>
    </r>
    <r>
      <rPr>
        <sz val="12"/>
        <color rgb="FFFF0000"/>
        <rFont val="Arial Black"/>
        <family val="2"/>
      </rPr>
      <t>unaccounted for PAS codes</t>
    </r>
    <r>
      <rPr>
        <sz val="12"/>
        <rFont val="Arial Black"/>
        <family val="2"/>
      </rPr>
      <t xml:space="preserve">, such as LCAs or Sim Instructors. You'll notice the </t>
    </r>
    <r>
      <rPr>
        <sz val="12"/>
        <color rgb="FFFF0000"/>
        <rFont val="Arial Black"/>
        <family val="2"/>
      </rPr>
      <t>"tan" cells</t>
    </r>
    <r>
      <rPr>
        <sz val="12"/>
        <rFont val="Arial Black"/>
        <family val="2"/>
      </rPr>
      <t xml:space="preserve"> accept data input while most all other cells require no input and are locked. The </t>
    </r>
    <r>
      <rPr>
        <sz val="12"/>
        <color rgb="FFFF0000"/>
        <rFont val="Arial Black"/>
        <family val="2"/>
      </rPr>
      <t>"year sheets"</t>
    </r>
    <r>
      <rPr>
        <sz val="12"/>
        <rFont val="Arial Black"/>
        <family val="2"/>
      </rPr>
      <t xml:space="preserve"> are </t>
    </r>
    <r>
      <rPr>
        <sz val="12"/>
        <color rgb="FFFF0000"/>
        <rFont val="Arial Black"/>
        <family val="2"/>
      </rPr>
      <t>locked but not password protected</t>
    </r>
    <r>
      <rPr>
        <sz val="12"/>
        <rFont val="Arial Black"/>
        <family val="2"/>
      </rPr>
      <t xml:space="preserve">. If you'd like to make any changes, simply unprotect the sheet and make any edits you'd like.
After you've finished inputing all of your PAS data you can review the </t>
    </r>
    <r>
      <rPr>
        <sz val="12"/>
        <color rgb="FFFF0000"/>
        <rFont val="Arial Black"/>
        <family val="2"/>
      </rPr>
      <t>totals</t>
    </r>
    <r>
      <rPr>
        <sz val="12"/>
        <rFont val="Arial Black"/>
        <family val="2"/>
      </rPr>
      <t xml:space="preserve"> at the bottom of the PAS section.</t>
    </r>
  </si>
  <si>
    <r>
      <t xml:space="preserve">13)  All data is totalized on the far right-hand side of the spreadsheet and can be </t>
    </r>
    <r>
      <rPr>
        <sz val="12"/>
        <color rgb="FFFF0000"/>
        <rFont val="Arial Black"/>
        <family val="2"/>
      </rPr>
      <t>displayed in graphical nature</t>
    </r>
    <r>
      <rPr>
        <sz val="12"/>
        <rFont val="Arial Black"/>
        <family val="2"/>
      </rPr>
      <t xml:space="preserve"> in the extra spreadsheet tabs. If you have decent Excel knowledge, you can unlock the 2023-2026 sheets and create new charts using the "+" or by copying the existing chart sheets and editing the data to </t>
    </r>
    <r>
      <rPr>
        <u/>
        <sz val="12"/>
        <rFont val="Arial Black"/>
        <family val="2"/>
      </rPr>
      <t>graphically display just about any combination of flight data/pay you can imagine</t>
    </r>
    <r>
      <rPr>
        <sz val="12"/>
        <rFont val="Arial Black"/>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</si>
</sst>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h]:mm"/>
    <numFmt numFmtId="165" formatCode="0.0"/>
    <numFmt numFmtId="166" formatCode="&quot;$&quot;#,##0.00"/>
    <numFmt numFmtId="167" formatCode="&quot;$&quot;#,##0"/>
    <numFmt numFmtId="168" formatCode="&quot;$&quot;#,##0;[Red]&quot;$&quot;#,##0"/>
    <numFmt numFmtId="169" formatCode="###0.00;###0.00"/>
    <numFmt numFmtId="170" formatCode="\-[h]:mm"/>
  </numFmts>
  <fonts count="37"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b/>
      <sz val="28"/>
      <color theme="1"/>
      <name val="Calibri"/>
      <family val="2"/>
      <scheme val="minor"/>
    </font>
    <font>
      <b/>
      <sz val="20"/>
      <color theme="1"/>
      <name val="Calibri"/>
      <family val="2"/>
      <scheme val="minor"/>
    </font>
    <font>
      <b/>
      <sz val="11"/>
      <color rgb="FFFF0000"/>
      <name val="Calibri"/>
      <family val="2"/>
      <scheme val="minor"/>
    </font>
    <font>
      <sz val="28"/>
      <color theme="1"/>
      <name val="Calibri"/>
      <family val="2"/>
      <scheme val="minor"/>
    </font>
    <font>
      <sz val="26"/>
      <color theme="1"/>
      <name val="Calibri"/>
      <family val="2"/>
      <scheme val="minor"/>
    </font>
    <font>
      <sz val="8"/>
      <name val="Calibri"/>
      <family val="2"/>
      <scheme val="minor"/>
    </font>
    <font>
      <sz val="10"/>
      <color indexed="63"/>
      <name val="Arial"/>
      <family val="2"/>
    </font>
    <font>
      <sz val="10"/>
      <color indexed="63"/>
      <name val="Times New Roman"/>
      <family val="1"/>
      <charset val="204"/>
    </font>
    <font>
      <sz val="9"/>
      <color indexed="63"/>
      <name val="Arial"/>
      <family val="2"/>
    </font>
    <font>
      <sz val="9"/>
      <color indexed="8"/>
      <name val="Arial"/>
      <family val="2"/>
    </font>
    <font>
      <sz val="10"/>
      <color indexed="8"/>
      <name val="Arial"/>
      <family val="2"/>
    </font>
    <font>
      <sz val="14"/>
      <name val="Arial Black"/>
      <family val="2"/>
    </font>
    <font>
      <sz val="20"/>
      <name val="Arial Black"/>
      <family val="2"/>
    </font>
    <font>
      <sz val="26"/>
      <name val="Arial Black"/>
      <family val="2"/>
    </font>
    <font>
      <b/>
      <sz val="36"/>
      <name val="Arial Black"/>
      <family val="2"/>
    </font>
    <font>
      <sz val="12"/>
      <name val="Arial Black"/>
      <family val="2"/>
    </font>
    <font>
      <sz val="11"/>
      <name val="Calibri"/>
      <family val="2"/>
      <scheme val="minor"/>
    </font>
    <font>
      <sz val="12"/>
      <color rgb="FFFF0000"/>
      <name val="Arial Black"/>
      <family val="2"/>
    </font>
    <font>
      <sz val="14"/>
      <color rgb="FFFF0000"/>
      <name val="Arial Black"/>
      <family val="2"/>
    </font>
    <font>
      <b/>
      <u/>
      <sz val="16"/>
      <name val="Arial Black"/>
      <family val="2"/>
    </font>
    <font>
      <u/>
      <sz val="20"/>
      <color rgb="FFFF0000"/>
      <name val="Arial Black"/>
      <family val="2"/>
    </font>
    <font>
      <sz val="20"/>
      <color rgb="FFFF0000"/>
      <name val="Arial Black"/>
      <family val="2"/>
    </font>
    <font>
      <b/>
      <u/>
      <sz val="36"/>
      <name val="Arial Black"/>
      <family val="2"/>
    </font>
    <font>
      <b/>
      <sz val="12"/>
      <color rgb="FFFF0000"/>
      <name val="Calibri"/>
      <family val="2"/>
      <scheme val="minor"/>
    </font>
    <font>
      <b/>
      <sz val="14"/>
      <color rgb="FFFF0000"/>
      <name val="Calibri"/>
      <family val="2"/>
      <scheme val="minor"/>
    </font>
    <font>
      <b/>
      <sz val="18"/>
      <color theme="1"/>
      <name val="Calibri"/>
      <family val="2"/>
      <scheme val="minor"/>
    </font>
    <font>
      <sz val="16"/>
      <name val="Arial Black"/>
      <family val="2"/>
    </font>
    <font>
      <sz val="22"/>
      <name val="Arial Black"/>
      <family val="2"/>
    </font>
    <font>
      <u/>
      <sz val="22"/>
      <name val="Arial Black"/>
      <family val="2"/>
    </font>
    <font>
      <u/>
      <sz val="12"/>
      <color rgb="FFFF0000"/>
      <name val="Arial Black"/>
      <family val="2"/>
    </font>
    <font>
      <u/>
      <sz val="12"/>
      <name val="Arial Black"/>
      <family val="2"/>
    </font>
    <font>
      <u/>
      <sz val="18"/>
      <name val="Arial Black"/>
      <family val="2"/>
    </font>
  </fonts>
  <fills count="36">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8E87E3"/>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9A95D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7"/>
        <bgColor indexed="64"/>
      </patternFill>
    </fill>
    <fill>
      <patternFill patternType="solid">
        <fgColor theme="7"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rgb="FFC0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theme="5" tint="-0.249977111117893"/>
        <bgColor indexed="64"/>
      </patternFill>
    </fill>
    <fill>
      <patternFill patternType="solid">
        <fgColor rgb="FF7030A0"/>
        <bgColor indexed="64"/>
      </patternFill>
    </fill>
    <fill>
      <patternFill patternType="solid">
        <fgColor theme="1"/>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bgColor indexed="64"/>
      </patternFill>
    </fill>
  </fills>
  <borders count="2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30003"/>
      </right>
      <top style="thin">
        <color rgb="FF000000"/>
      </top>
      <bottom style="thin">
        <color rgb="FF000000"/>
      </bottom>
      <diagonal/>
    </border>
    <border>
      <left style="thin">
        <color rgb="FF030003"/>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3"/>
      </bottom>
      <diagonal/>
    </border>
    <border>
      <left style="thin">
        <color rgb="FF000000"/>
      </left>
      <right style="thin">
        <color rgb="FF030003"/>
      </right>
      <top style="thin">
        <color rgb="FF000000"/>
      </top>
      <bottom style="thin">
        <color rgb="FF000003"/>
      </bottom>
      <diagonal/>
    </border>
    <border>
      <left style="thin">
        <color rgb="FF030003"/>
      </left>
      <right style="thin">
        <color rgb="FF000000"/>
      </right>
      <top style="thin">
        <color rgb="FF000000"/>
      </top>
      <bottom style="thin">
        <color rgb="FF000003"/>
      </bottom>
      <diagonal/>
    </border>
    <border>
      <left style="thin">
        <color rgb="FF000000"/>
      </left>
      <right style="thin">
        <color rgb="FF000000"/>
      </right>
      <top style="thin">
        <color rgb="FF000003"/>
      </top>
      <bottom style="thin">
        <color rgb="FF000000"/>
      </bottom>
      <diagonal/>
    </border>
    <border>
      <left style="thin">
        <color rgb="FF000000"/>
      </left>
      <right style="thin">
        <color rgb="FF030003"/>
      </right>
      <top style="thin">
        <color rgb="FF000003"/>
      </top>
      <bottom style="thin">
        <color rgb="FF000000"/>
      </bottom>
      <diagonal/>
    </border>
    <border>
      <left style="thin">
        <color rgb="FF030003"/>
      </left>
      <right style="thin">
        <color rgb="FF000000"/>
      </right>
      <top style="thin">
        <color rgb="FF000003"/>
      </top>
      <bottom style="thin">
        <color rgb="FF000000"/>
      </bottom>
      <diagonal/>
    </border>
    <border>
      <left style="thin">
        <color rgb="FF000000"/>
      </left>
      <right style="thin">
        <color rgb="FF000000"/>
      </right>
      <top style="thin">
        <color rgb="FF000000"/>
      </top>
      <bottom style="thin">
        <color rgb="FF030303"/>
      </bottom>
      <diagonal/>
    </border>
    <border>
      <left style="thin">
        <color rgb="FF000000"/>
      </left>
      <right style="thin">
        <color rgb="FF030003"/>
      </right>
      <top style="thin">
        <color rgb="FF000000"/>
      </top>
      <bottom style="thin">
        <color rgb="FF030303"/>
      </bottom>
      <diagonal/>
    </border>
    <border>
      <left style="thin">
        <color rgb="FF030003"/>
      </left>
      <right style="thin">
        <color rgb="FF000000"/>
      </right>
      <top style="thin">
        <color rgb="FF000000"/>
      </top>
      <bottom style="thin">
        <color rgb="FF030303"/>
      </bottom>
      <diagonal/>
    </border>
    <border>
      <left style="thin">
        <color rgb="FF000000"/>
      </left>
      <right style="thin">
        <color rgb="FF000003"/>
      </right>
      <top style="thin">
        <color rgb="FF000000"/>
      </top>
      <bottom style="thin">
        <color rgb="FF030303"/>
      </bottom>
      <diagonal/>
    </border>
    <border>
      <left style="thin">
        <color rgb="FF000003"/>
      </left>
      <right style="thin">
        <color rgb="FF000000"/>
      </right>
      <top style="thin">
        <color rgb="FF000000"/>
      </top>
      <bottom style="thin">
        <color rgb="FF030303"/>
      </bottom>
      <diagonal/>
    </border>
    <border>
      <left style="thin">
        <color rgb="FF000000"/>
      </left>
      <right style="thin">
        <color rgb="FF000000"/>
      </right>
      <top style="thin">
        <color rgb="FF030303"/>
      </top>
      <bottom style="thin">
        <color rgb="FF000000"/>
      </bottom>
      <diagonal/>
    </border>
    <border>
      <left style="thin">
        <color rgb="FF000000"/>
      </left>
      <right style="thin">
        <color rgb="FF030003"/>
      </right>
      <top style="thin">
        <color rgb="FF030303"/>
      </top>
      <bottom style="thin">
        <color rgb="FF000000"/>
      </bottom>
      <diagonal/>
    </border>
    <border>
      <left style="thin">
        <color rgb="FF030003"/>
      </left>
      <right style="thin">
        <color rgb="FF000000"/>
      </right>
      <top style="thin">
        <color rgb="FF030303"/>
      </top>
      <bottom style="thin">
        <color rgb="FF000000"/>
      </bottom>
      <diagonal/>
    </border>
    <border>
      <left style="thin">
        <color rgb="FF000000"/>
      </left>
      <right style="thin">
        <color rgb="FF000003"/>
      </right>
      <top style="thin">
        <color rgb="FF030303"/>
      </top>
      <bottom style="thin">
        <color rgb="FF000000"/>
      </bottom>
      <diagonal/>
    </border>
    <border>
      <left style="thin">
        <color rgb="FF000003"/>
      </left>
      <right style="thin">
        <color rgb="FF000000"/>
      </right>
      <top style="thin">
        <color rgb="FF030303"/>
      </top>
      <bottom style="thin">
        <color rgb="FF000000"/>
      </bottom>
      <diagonal/>
    </border>
    <border>
      <left style="thin">
        <color rgb="FF000000"/>
      </left>
      <right style="thin">
        <color rgb="FF000000"/>
      </right>
      <top style="thin">
        <color rgb="FF030303"/>
      </top>
      <bottom style="thin">
        <color rgb="FF000003"/>
      </bottom>
      <diagonal/>
    </border>
    <border>
      <left style="thin">
        <color rgb="FF000000"/>
      </left>
      <right style="thin">
        <color rgb="FF000003"/>
      </right>
      <top style="thin">
        <color rgb="FF030303"/>
      </top>
      <bottom style="thin">
        <color rgb="FF000003"/>
      </bottom>
      <diagonal/>
    </border>
    <border>
      <left style="thin">
        <color rgb="FF000003"/>
      </left>
      <right style="thin">
        <color rgb="FF000000"/>
      </right>
      <top style="thin">
        <color rgb="FF030303"/>
      </top>
      <bottom style="thin">
        <color rgb="FF000003"/>
      </bottom>
      <diagonal/>
    </border>
    <border>
      <left style="thin">
        <color rgb="FF000000"/>
      </left>
      <right style="thin">
        <color rgb="FF000000"/>
      </right>
      <top style="thin">
        <color rgb="FF000003"/>
      </top>
      <bottom style="thin">
        <color rgb="FF030303"/>
      </bottom>
      <diagonal/>
    </border>
    <border>
      <left style="thin">
        <color rgb="FF000000"/>
      </left>
      <right style="thin">
        <color rgb="FF000003"/>
      </right>
      <top style="thin">
        <color rgb="FF000003"/>
      </top>
      <bottom style="thin">
        <color rgb="FF030303"/>
      </bottom>
      <diagonal/>
    </border>
    <border>
      <left style="thin">
        <color rgb="FF000003"/>
      </left>
      <right style="thin">
        <color rgb="FF000000"/>
      </right>
      <top style="thin">
        <color rgb="FF000003"/>
      </top>
      <bottom style="thin">
        <color rgb="FF030303"/>
      </bottom>
      <diagonal/>
    </border>
    <border>
      <left style="thin">
        <color rgb="FF000000"/>
      </left>
      <right style="thin">
        <color rgb="FF000003"/>
      </right>
      <top style="thin">
        <color rgb="FF000000"/>
      </top>
      <bottom style="thin">
        <color rgb="FF000000"/>
      </bottom>
      <diagonal/>
    </border>
    <border>
      <left style="thin">
        <color rgb="FF000003"/>
      </left>
      <right style="thin">
        <color rgb="FF000003"/>
      </right>
      <top style="thin">
        <color rgb="FF000000"/>
      </top>
      <bottom style="thin">
        <color rgb="FF000000"/>
      </bottom>
      <diagonal/>
    </border>
    <border>
      <left style="thin">
        <color rgb="FF000003"/>
      </left>
      <right style="thin">
        <color rgb="FF000000"/>
      </right>
      <top style="thin">
        <color rgb="FF000000"/>
      </top>
      <bottom style="thin">
        <color rgb="FF000000"/>
      </bottom>
      <diagonal/>
    </border>
    <border>
      <left style="thin">
        <color rgb="FF000000"/>
      </left>
      <right style="thin">
        <color rgb="FF000003"/>
      </right>
      <top style="thin">
        <color rgb="FF000000"/>
      </top>
      <bottom style="thin">
        <color rgb="FF000003"/>
      </bottom>
      <diagonal/>
    </border>
    <border>
      <left style="thin">
        <color rgb="FF000003"/>
      </left>
      <right style="thin">
        <color rgb="FF000003"/>
      </right>
      <top style="thin">
        <color rgb="FF000000"/>
      </top>
      <bottom style="thin">
        <color rgb="FF000003"/>
      </bottom>
      <diagonal/>
    </border>
    <border>
      <left style="thin">
        <color rgb="FF000003"/>
      </left>
      <right style="thin">
        <color rgb="FF000000"/>
      </right>
      <top style="thin">
        <color rgb="FF000000"/>
      </top>
      <bottom style="thin">
        <color rgb="FF000003"/>
      </bottom>
      <diagonal/>
    </border>
    <border>
      <left style="thin">
        <color rgb="FF000000"/>
      </left>
      <right style="thin">
        <color rgb="FF000003"/>
      </right>
      <top style="thin">
        <color rgb="FF000003"/>
      </top>
      <bottom style="thin">
        <color rgb="FF000000"/>
      </bottom>
      <diagonal/>
    </border>
    <border>
      <left style="thin">
        <color rgb="FF000003"/>
      </left>
      <right style="thin">
        <color rgb="FF000003"/>
      </right>
      <top style="thin">
        <color rgb="FF000003"/>
      </top>
      <bottom style="thin">
        <color rgb="FF000000"/>
      </bottom>
      <diagonal/>
    </border>
    <border>
      <left style="thin">
        <color rgb="FF000003"/>
      </left>
      <right style="thin">
        <color rgb="FF000000"/>
      </right>
      <top style="thin">
        <color rgb="FF000003"/>
      </top>
      <bottom style="thin">
        <color rgb="FF000000"/>
      </bottom>
      <diagonal/>
    </border>
    <border>
      <left style="thin">
        <color rgb="FF000000"/>
      </left>
      <right style="thin">
        <color rgb="FF030003"/>
      </right>
      <top style="thin">
        <color rgb="FF030303"/>
      </top>
      <bottom style="thin">
        <color rgb="FF000003"/>
      </bottom>
      <diagonal/>
    </border>
    <border>
      <left style="thin">
        <color rgb="FF030003"/>
      </left>
      <right style="thin">
        <color rgb="FF000000"/>
      </right>
      <top style="thin">
        <color rgb="FF030303"/>
      </top>
      <bottom style="thin">
        <color rgb="FF000003"/>
      </bottom>
      <diagonal/>
    </border>
    <border>
      <left style="thin">
        <color rgb="FF000000"/>
      </left>
      <right style="thin">
        <color rgb="FF030003"/>
      </right>
      <top style="thin">
        <color rgb="FF000003"/>
      </top>
      <bottom style="thin">
        <color rgb="FF030303"/>
      </bottom>
      <diagonal/>
    </border>
    <border>
      <left style="thin">
        <color rgb="FF030003"/>
      </left>
      <right style="thin">
        <color rgb="FF000000"/>
      </right>
      <top style="thin">
        <color rgb="FF000003"/>
      </top>
      <bottom style="thin">
        <color rgb="FF030303"/>
      </bottom>
      <diagonal/>
    </border>
    <border>
      <left style="thin">
        <color rgb="FF000000"/>
      </left>
      <right style="thin">
        <color rgb="FF000000"/>
      </right>
      <top style="thin">
        <color rgb="FF000000"/>
      </top>
      <bottom style="thin">
        <color rgb="FF030000"/>
      </bottom>
      <diagonal/>
    </border>
    <border>
      <left style="thin">
        <color rgb="FF000000"/>
      </left>
      <right style="thin">
        <color rgb="FF030003"/>
      </right>
      <top style="thin">
        <color rgb="FF000000"/>
      </top>
      <bottom style="thin">
        <color rgb="FF030000"/>
      </bottom>
      <diagonal/>
    </border>
    <border>
      <left style="thin">
        <color rgb="FF030003"/>
      </left>
      <right style="thin">
        <color rgb="FF000000"/>
      </right>
      <top style="thin">
        <color rgb="FF000000"/>
      </top>
      <bottom style="thin">
        <color rgb="FF030000"/>
      </bottom>
      <diagonal/>
    </border>
    <border>
      <left style="thin">
        <color rgb="FF000000"/>
      </left>
      <right style="thin">
        <color rgb="FF000003"/>
      </right>
      <top style="thin">
        <color rgb="FF000000"/>
      </top>
      <bottom style="thin">
        <color rgb="FF030000"/>
      </bottom>
      <diagonal/>
    </border>
    <border>
      <left style="thin">
        <color rgb="FF000003"/>
      </left>
      <right style="thin">
        <color rgb="FF000000"/>
      </right>
      <top style="thin">
        <color rgb="FF000000"/>
      </top>
      <bottom style="thin">
        <color rgb="FF030000"/>
      </bottom>
      <diagonal/>
    </border>
    <border>
      <left style="thin">
        <color rgb="FF000000"/>
      </left>
      <right style="thin">
        <color rgb="FF000000"/>
      </right>
      <top style="thin">
        <color rgb="FF030000"/>
      </top>
      <bottom style="thin">
        <color rgb="FF000000"/>
      </bottom>
      <diagonal/>
    </border>
    <border>
      <left style="thin">
        <color rgb="FF000000"/>
      </left>
      <right style="thin">
        <color rgb="FF030003"/>
      </right>
      <top style="thin">
        <color rgb="FF030000"/>
      </top>
      <bottom style="thin">
        <color rgb="FF000000"/>
      </bottom>
      <diagonal/>
    </border>
    <border>
      <left style="thin">
        <color rgb="FF030003"/>
      </left>
      <right style="thin">
        <color rgb="FF000000"/>
      </right>
      <top style="thin">
        <color rgb="FF030000"/>
      </top>
      <bottom style="thin">
        <color rgb="FF000000"/>
      </bottom>
      <diagonal/>
    </border>
    <border>
      <left style="thin">
        <color rgb="FF000000"/>
      </left>
      <right style="thin">
        <color rgb="FF000003"/>
      </right>
      <top style="thin">
        <color rgb="FF030000"/>
      </top>
      <bottom style="thin">
        <color rgb="FF000000"/>
      </bottom>
      <diagonal/>
    </border>
    <border>
      <left style="thin">
        <color rgb="FF000003"/>
      </left>
      <right style="thin">
        <color rgb="FF000000"/>
      </right>
      <top style="thin">
        <color rgb="FF030000"/>
      </top>
      <bottom style="thin">
        <color rgb="FF000000"/>
      </bottom>
      <diagonal/>
    </border>
    <border>
      <left style="thin">
        <color rgb="FF000003"/>
      </left>
      <right style="thin">
        <color rgb="FF030C08"/>
      </right>
      <top style="thin">
        <color rgb="FF000003"/>
      </top>
      <bottom style="thin">
        <color rgb="FF000000"/>
      </bottom>
      <diagonal/>
    </border>
    <border>
      <left style="thin">
        <color rgb="FF030C08"/>
      </left>
      <right style="thin">
        <color rgb="FF000003"/>
      </right>
      <top style="thin">
        <color rgb="FF000003"/>
      </top>
      <bottom style="thin">
        <color rgb="FF000000"/>
      </bottom>
      <diagonal/>
    </border>
    <border>
      <left style="thin">
        <color rgb="FF000000"/>
      </left>
      <right style="thin">
        <color rgb="FF030000"/>
      </right>
      <top style="thin">
        <color rgb="FF000003"/>
      </top>
      <bottom style="thin">
        <color rgb="FF000000"/>
      </bottom>
      <diagonal/>
    </border>
    <border>
      <left style="thin">
        <color rgb="FF030000"/>
      </left>
      <right style="thin">
        <color rgb="FF000000"/>
      </right>
      <top style="thin">
        <color rgb="FF000003"/>
      </top>
      <bottom style="thin">
        <color rgb="FF000000"/>
      </bottom>
      <diagonal/>
    </border>
    <border>
      <left style="thin">
        <color rgb="FF000003"/>
      </left>
      <right style="thin">
        <color rgb="FF030C08"/>
      </right>
      <top style="thin">
        <color rgb="FF000000"/>
      </top>
      <bottom style="thin">
        <color rgb="FF000000"/>
      </bottom>
      <diagonal/>
    </border>
    <border>
      <left style="thin">
        <color rgb="FF030C08"/>
      </left>
      <right style="thin">
        <color rgb="FF000003"/>
      </right>
      <top style="thin">
        <color rgb="FF000000"/>
      </top>
      <bottom style="thin">
        <color rgb="FF000000"/>
      </bottom>
      <diagonal/>
    </border>
    <border>
      <left style="thin">
        <color rgb="FF000000"/>
      </left>
      <right style="thin">
        <color rgb="FF030000"/>
      </right>
      <top style="thin">
        <color rgb="FF000000"/>
      </top>
      <bottom style="thin">
        <color rgb="FF000000"/>
      </bottom>
      <diagonal/>
    </border>
    <border>
      <left style="thin">
        <color rgb="FF030000"/>
      </left>
      <right style="thin">
        <color rgb="FF000000"/>
      </right>
      <top style="thin">
        <color rgb="FF000000"/>
      </top>
      <bottom style="thin">
        <color rgb="FF000000"/>
      </bottom>
      <diagonal/>
    </border>
    <border>
      <left style="thin">
        <color rgb="FF000003"/>
      </left>
      <right style="thin">
        <color rgb="FF030C08"/>
      </right>
      <top style="thin">
        <color rgb="FF000000"/>
      </top>
      <bottom style="thin">
        <color rgb="FF000003"/>
      </bottom>
      <diagonal/>
    </border>
    <border>
      <left style="thin">
        <color rgb="FF030C08"/>
      </left>
      <right style="thin">
        <color rgb="FF000003"/>
      </right>
      <top style="thin">
        <color rgb="FF000000"/>
      </top>
      <bottom style="thin">
        <color rgb="FF000003"/>
      </bottom>
      <diagonal/>
    </border>
    <border>
      <left style="thin">
        <color rgb="FF000000"/>
      </left>
      <right style="thin">
        <color rgb="FF030000"/>
      </right>
      <top style="thin">
        <color rgb="FF000000"/>
      </top>
      <bottom style="thin">
        <color rgb="FF000003"/>
      </bottom>
      <diagonal/>
    </border>
    <border>
      <left style="thin">
        <color rgb="FF030000"/>
      </left>
      <right style="thin">
        <color rgb="FF000000"/>
      </right>
      <top style="thin">
        <color rgb="FF000000"/>
      </top>
      <bottom style="thin">
        <color rgb="FF000003"/>
      </bottom>
      <diagonal/>
    </border>
    <border>
      <left style="thin">
        <color rgb="FF030C08"/>
      </left>
      <right style="thin">
        <color rgb="FF283B2F"/>
      </right>
      <top style="thin">
        <color rgb="FF000000"/>
      </top>
      <bottom style="thin">
        <color rgb="FF1C6B48"/>
      </bottom>
      <diagonal/>
    </border>
    <border>
      <left style="thin">
        <color rgb="FF283B2F"/>
      </left>
      <right style="thin">
        <color rgb="FF000000"/>
      </right>
      <top style="thin">
        <color rgb="FF000000"/>
      </top>
      <bottom style="thin">
        <color rgb="FF000000"/>
      </bottom>
      <diagonal/>
    </border>
    <border>
      <left style="thin">
        <color rgb="FF000003"/>
      </left>
      <right style="thin">
        <color rgb="FF1F6044"/>
      </right>
      <top style="thin">
        <color rgb="FF000000"/>
      </top>
      <bottom style="thin">
        <color rgb="FF283F2F"/>
      </bottom>
      <diagonal/>
    </border>
    <border>
      <left style="thin">
        <color rgb="FF1F6044"/>
      </left>
      <right style="thin">
        <color rgb="FF345B48"/>
      </right>
      <top style="thin">
        <color rgb="FF1C6B48"/>
      </top>
      <bottom style="thin">
        <color rgb="FF386048"/>
      </bottom>
      <diagonal/>
    </border>
    <border>
      <left style="thin">
        <color rgb="FF345B48"/>
      </left>
      <right style="thin">
        <color rgb="FF000000"/>
      </right>
      <top style="thin">
        <color rgb="FF000000"/>
      </top>
      <bottom style="thin">
        <color rgb="FF030303"/>
      </bottom>
      <diagonal/>
    </border>
    <border>
      <left style="thin">
        <color rgb="FF000000"/>
      </left>
      <right style="thin">
        <color rgb="FF030000"/>
      </right>
      <top style="thin">
        <color rgb="FF000000"/>
      </top>
      <bottom style="thin">
        <color rgb="FF030303"/>
      </bottom>
      <diagonal/>
    </border>
    <border>
      <left style="thin">
        <color rgb="FF030000"/>
      </left>
      <right style="thin">
        <color rgb="FF000000"/>
      </right>
      <top style="thin">
        <color rgb="FF000000"/>
      </top>
      <bottom style="thin">
        <color rgb="FF030303"/>
      </bottom>
      <diagonal/>
    </border>
    <border>
      <left style="thin">
        <color rgb="FF000003"/>
      </left>
      <right style="thin">
        <color rgb="FF030C08"/>
      </right>
      <top style="thin">
        <color rgb="FF283F2F"/>
      </top>
      <bottom style="thin">
        <color rgb="FF000000"/>
      </bottom>
      <diagonal/>
    </border>
    <border>
      <left style="thin">
        <color rgb="FF030C08"/>
      </left>
      <right style="thin">
        <color rgb="FF0F231C"/>
      </right>
      <top style="thin">
        <color rgb="FF386048"/>
      </top>
      <bottom style="thin">
        <color rgb="FF000000"/>
      </bottom>
      <diagonal/>
    </border>
    <border>
      <left style="thin">
        <color rgb="FF0F231C"/>
      </left>
      <right style="thin">
        <color rgb="FF000000"/>
      </right>
      <top style="thin">
        <color rgb="FF030303"/>
      </top>
      <bottom style="thin">
        <color rgb="FF000000"/>
      </bottom>
      <diagonal/>
    </border>
    <border>
      <left style="thin">
        <color rgb="FF000000"/>
      </left>
      <right style="thin">
        <color rgb="FF030000"/>
      </right>
      <top style="thin">
        <color rgb="FF030303"/>
      </top>
      <bottom style="thin">
        <color rgb="FF000000"/>
      </bottom>
      <diagonal/>
    </border>
    <border>
      <left style="thin">
        <color rgb="FF030000"/>
      </left>
      <right style="thin">
        <color rgb="FF000000"/>
      </right>
      <top style="thin">
        <color rgb="FF030303"/>
      </top>
      <bottom style="thin">
        <color rgb="FF000000"/>
      </bottom>
      <diagonal/>
    </border>
    <border>
      <left style="thin">
        <color rgb="FF030C08"/>
      </left>
      <right style="thin">
        <color rgb="FF000000"/>
      </right>
      <top style="thin">
        <color rgb="FF000000"/>
      </top>
      <bottom style="thin">
        <color rgb="FF000000"/>
      </bottom>
      <diagonal/>
    </border>
    <border>
      <left style="thin">
        <color rgb="FF030C08"/>
      </left>
      <right style="thin">
        <color rgb="FF000000"/>
      </right>
      <top style="thin">
        <color rgb="FF000000"/>
      </top>
      <bottom style="thin">
        <color rgb="FF000003"/>
      </bottom>
      <diagonal/>
    </border>
    <border>
      <left style="thin">
        <color rgb="FF030C08"/>
      </left>
      <right style="thin">
        <color rgb="FF000000"/>
      </right>
      <top style="thin">
        <color rgb="FF000003"/>
      </top>
      <bottom style="thin">
        <color rgb="FF000000"/>
      </bottom>
      <diagonal/>
    </border>
    <border>
      <left style="medium">
        <color indexed="64"/>
      </left>
      <right style="thin">
        <color rgb="FF000000"/>
      </right>
      <top style="thin">
        <color rgb="FF000000"/>
      </top>
      <bottom style="thin">
        <color rgb="FF030303"/>
      </bottom>
      <diagonal/>
    </border>
    <border>
      <left style="thin">
        <color rgb="FF000000"/>
      </left>
      <right style="medium">
        <color indexed="64"/>
      </right>
      <top style="thin">
        <color rgb="FF000000"/>
      </top>
      <bottom style="thin">
        <color rgb="FF030303"/>
      </bottom>
      <diagonal/>
    </border>
    <border>
      <left style="medium">
        <color indexed="64"/>
      </left>
      <right style="thin">
        <color rgb="FF000000"/>
      </right>
      <top style="thin">
        <color rgb="FF030303"/>
      </top>
      <bottom style="thin">
        <color rgb="FF000000"/>
      </bottom>
      <diagonal/>
    </border>
    <border>
      <left style="thin">
        <color rgb="FF000000"/>
      </left>
      <right style="medium">
        <color indexed="64"/>
      </right>
      <top style="thin">
        <color rgb="FF030303"/>
      </top>
      <bottom style="thin">
        <color rgb="FF000000"/>
      </bottom>
      <diagonal/>
    </border>
    <border>
      <left style="medium">
        <color indexed="64"/>
      </left>
      <right style="thin">
        <color rgb="FF000000"/>
      </right>
      <top style="thin">
        <color rgb="FF030303"/>
      </top>
      <bottom style="thin">
        <color rgb="FF000003"/>
      </bottom>
      <diagonal/>
    </border>
    <border>
      <left style="thin">
        <color rgb="FF000000"/>
      </left>
      <right style="medium">
        <color indexed="64"/>
      </right>
      <top style="thin">
        <color rgb="FF030303"/>
      </top>
      <bottom style="thin">
        <color rgb="FF000003"/>
      </bottom>
      <diagonal/>
    </border>
    <border>
      <left style="medium">
        <color indexed="64"/>
      </left>
      <right style="thin">
        <color rgb="FF000000"/>
      </right>
      <top style="thin">
        <color rgb="FF000003"/>
      </top>
      <bottom style="thin">
        <color rgb="FF030303"/>
      </bottom>
      <diagonal/>
    </border>
    <border>
      <left style="thin">
        <color rgb="FF000000"/>
      </left>
      <right style="medium">
        <color indexed="64"/>
      </right>
      <top style="thin">
        <color rgb="FF000003"/>
      </top>
      <bottom style="thin">
        <color rgb="FF030303"/>
      </bottom>
      <diagonal/>
    </border>
    <border>
      <left style="medium">
        <color indexed="64"/>
      </left>
      <right style="thin">
        <color rgb="FF000000"/>
      </right>
      <top style="thin">
        <color rgb="FF000003"/>
      </top>
      <bottom style="thin">
        <color rgb="FF000000"/>
      </bottom>
      <diagonal/>
    </border>
    <border>
      <left style="thin">
        <color rgb="FF000000"/>
      </left>
      <right style="medium">
        <color indexed="64"/>
      </right>
      <top style="thin">
        <color rgb="FF000003"/>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3"/>
      </bottom>
      <diagonal/>
    </border>
    <border>
      <left style="thin">
        <color rgb="FF000000"/>
      </left>
      <right style="medium">
        <color indexed="64"/>
      </right>
      <top style="thin">
        <color rgb="FF000000"/>
      </top>
      <bottom style="thin">
        <color rgb="FF000003"/>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3"/>
      </right>
      <top style="thin">
        <color rgb="FF000000"/>
      </top>
      <bottom style="medium">
        <color indexed="64"/>
      </bottom>
      <diagonal/>
    </border>
    <border>
      <left style="thin">
        <color rgb="FF000003"/>
      </left>
      <right style="thin">
        <color rgb="FF030C08"/>
      </right>
      <top style="thin">
        <color rgb="FF000000"/>
      </top>
      <bottom style="medium">
        <color indexed="64"/>
      </bottom>
      <diagonal/>
    </border>
    <border>
      <left style="thin">
        <color rgb="FF030C08"/>
      </left>
      <right style="thin">
        <color rgb="FF000000"/>
      </right>
      <top style="thin">
        <color rgb="FF000000"/>
      </top>
      <bottom style="medium">
        <color indexed="64"/>
      </bottom>
      <diagonal/>
    </border>
    <border>
      <left style="thin">
        <color rgb="FF000000"/>
      </left>
      <right style="thin">
        <color rgb="FF030000"/>
      </right>
      <top style="thin">
        <color rgb="FF000000"/>
      </top>
      <bottom style="medium">
        <color indexed="64"/>
      </bottom>
      <diagonal/>
    </border>
    <border>
      <left style="thin">
        <color rgb="FF03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30003"/>
      </right>
      <top style="thin">
        <color rgb="FF000000"/>
      </top>
      <bottom style="medium">
        <color indexed="64"/>
      </bottom>
      <diagonal/>
    </border>
    <border>
      <left style="thin">
        <color rgb="FF030003"/>
      </left>
      <right style="thin">
        <color rgb="FF000000"/>
      </right>
      <top style="thin">
        <color rgb="FF000000"/>
      </top>
      <bottom style="medium">
        <color indexed="64"/>
      </bottom>
      <diagonal/>
    </border>
    <border>
      <left style="thin">
        <color rgb="FF000003"/>
      </left>
      <right style="thin">
        <color rgb="FF000000"/>
      </right>
      <top style="thin">
        <color rgb="FF000000"/>
      </top>
      <bottom style="medium">
        <color indexed="64"/>
      </bottom>
      <diagonal/>
    </border>
    <border>
      <left style="thin">
        <color rgb="FF030003"/>
      </left>
      <right style="medium">
        <color indexed="64"/>
      </right>
      <top style="thin">
        <color rgb="FF000000"/>
      </top>
      <bottom style="thin">
        <color rgb="FF000000"/>
      </bottom>
      <diagonal/>
    </border>
    <border>
      <left style="thin">
        <color rgb="FF030003"/>
      </left>
      <right style="medium">
        <color indexed="64"/>
      </right>
      <top style="thin">
        <color rgb="FF000000"/>
      </top>
      <bottom style="thin">
        <color rgb="FF000003"/>
      </bottom>
      <diagonal/>
    </border>
    <border>
      <left style="thin">
        <color rgb="FF030003"/>
      </left>
      <right style="medium">
        <color indexed="64"/>
      </right>
      <top style="thin">
        <color rgb="FF000003"/>
      </top>
      <bottom style="thin">
        <color rgb="FF000000"/>
      </bottom>
      <diagonal/>
    </border>
    <border>
      <left style="thin">
        <color rgb="FF000003"/>
      </left>
      <right style="thin">
        <color rgb="FF000003"/>
      </right>
      <top style="thin">
        <color rgb="FF000000"/>
      </top>
      <bottom style="medium">
        <color indexed="64"/>
      </bottom>
      <diagonal/>
    </border>
    <border>
      <left style="thin">
        <color rgb="FF030003"/>
      </left>
      <right style="medium">
        <color indexed="64"/>
      </right>
      <top style="thin">
        <color rgb="FF000000"/>
      </top>
      <bottom style="medium">
        <color indexed="64"/>
      </bottom>
      <diagonal/>
    </border>
    <border>
      <left style="medium">
        <color indexed="64"/>
      </left>
      <right style="thin">
        <color rgb="FF000000"/>
      </right>
      <top style="thin">
        <color rgb="FF000000"/>
      </top>
      <bottom style="thin">
        <color rgb="FF030000"/>
      </bottom>
      <diagonal/>
    </border>
    <border>
      <left style="thin">
        <color rgb="FF000000"/>
      </left>
      <right style="medium">
        <color indexed="64"/>
      </right>
      <top style="thin">
        <color rgb="FF000000"/>
      </top>
      <bottom style="thin">
        <color rgb="FF030000"/>
      </bottom>
      <diagonal/>
    </border>
    <border>
      <left style="medium">
        <color indexed="64"/>
      </left>
      <right style="thin">
        <color rgb="FF000000"/>
      </right>
      <top style="thin">
        <color rgb="FF030000"/>
      </top>
      <bottom style="thin">
        <color rgb="FF000000"/>
      </bottom>
      <diagonal/>
    </border>
    <border>
      <left style="thin">
        <color rgb="FF000000"/>
      </left>
      <right style="medium">
        <color indexed="64"/>
      </right>
      <top style="thin">
        <color rgb="FF030000"/>
      </top>
      <bottom style="thin">
        <color rgb="FF000000"/>
      </bottom>
      <diagonal/>
    </border>
    <border>
      <left style="medium">
        <color indexed="64"/>
      </left>
      <right style="thin">
        <color rgb="FF000000"/>
      </right>
      <top style="thin">
        <color rgb="FF000003"/>
      </top>
      <bottom style="medium">
        <color indexed="64"/>
      </bottom>
      <diagonal/>
    </border>
    <border>
      <left style="thin">
        <color rgb="FF000000"/>
      </left>
      <right style="thin">
        <color rgb="FF000000"/>
      </right>
      <top style="thin">
        <color rgb="FF000003"/>
      </top>
      <bottom style="medium">
        <color indexed="64"/>
      </bottom>
      <diagonal/>
    </border>
    <border>
      <left style="thin">
        <color rgb="FF000000"/>
      </left>
      <right style="thin">
        <color rgb="FF000003"/>
      </right>
      <top style="thin">
        <color rgb="FF000003"/>
      </top>
      <bottom style="medium">
        <color indexed="64"/>
      </bottom>
      <diagonal/>
    </border>
    <border>
      <left style="thin">
        <color rgb="FF000003"/>
      </left>
      <right style="thin">
        <color rgb="FF030C08"/>
      </right>
      <top style="thin">
        <color rgb="FF000003"/>
      </top>
      <bottom style="medium">
        <color indexed="64"/>
      </bottom>
      <diagonal/>
    </border>
    <border>
      <left style="thin">
        <color rgb="FF030C08"/>
      </left>
      <right style="thin">
        <color rgb="FF000000"/>
      </right>
      <top style="thin">
        <color rgb="FF000003"/>
      </top>
      <bottom style="medium">
        <color indexed="64"/>
      </bottom>
      <diagonal/>
    </border>
    <border>
      <left style="thin">
        <color rgb="FF000000"/>
      </left>
      <right style="thin">
        <color rgb="FF030000"/>
      </right>
      <top style="thin">
        <color rgb="FF000003"/>
      </top>
      <bottom style="medium">
        <color indexed="64"/>
      </bottom>
      <diagonal/>
    </border>
    <border>
      <left style="thin">
        <color rgb="FF030000"/>
      </left>
      <right style="thin">
        <color rgb="FF000000"/>
      </right>
      <top style="thin">
        <color rgb="FF000003"/>
      </top>
      <bottom style="medium">
        <color indexed="64"/>
      </bottom>
      <diagonal/>
    </border>
    <border>
      <left style="thin">
        <color rgb="FF000000"/>
      </left>
      <right style="medium">
        <color indexed="64"/>
      </right>
      <top style="thin">
        <color rgb="FF000003"/>
      </top>
      <bottom style="medium">
        <color indexed="64"/>
      </bottom>
      <diagonal/>
    </border>
    <border>
      <left style="thin">
        <color rgb="FF000000"/>
      </left>
      <right style="thin">
        <color rgb="FF030003"/>
      </right>
      <top style="thin">
        <color rgb="FF000003"/>
      </top>
      <bottom style="medium">
        <color indexed="64"/>
      </bottom>
      <diagonal/>
    </border>
    <border>
      <left style="thin">
        <color rgb="FF030003"/>
      </left>
      <right style="thin">
        <color rgb="FF000000"/>
      </right>
      <top style="thin">
        <color rgb="FF000003"/>
      </top>
      <bottom style="medium">
        <color indexed="64"/>
      </bottom>
      <diagonal/>
    </border>
    <border>
      <left style="thin">
        <color rgb="FF000003"/>
      </left>
      <right style="thin">
        <color rgb="FF000003"/>
      </right>
      <top style="thin">
        <color rgb="FF000003"/>
      </top>
      <bottom style="medium">
        <color indexed="64"/>
      </bottom>
      <diagonal/>
    </border>
    <border>
      <left style="thin">
        <color rgb="FF000003"/>
      </left>
      <right style="thin">
        <color rgb="FF000000"/>
      </right>
      <top style="thin">
        <color rgb="FF000003"/>
      </top>
      <bottom style="medium">
        <color indexed="64"/>
      </bottom>
      <diagonal/>
    </border>
    <border>
      <left style="thin">
        <color rgb="FF030003"/>
      </left>
      <right style="medium">
        <color indexed="64"/>
      </right>
      <top style="thin">
        <color rgb="FF000003"/>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3"/>
      </top>
      <bottom/>
      <diagonal/>
    </border>
    <border>
      <left style="thin">
        <color rgb="FF000000"/>
      </left>
      <right style="thin">
        <color rgb="FF030003"/>
      </right>
      <top style="thin">
        <color rgb="FF000003"/>
      </top>
      <bottom/>
      <diagonal/>
    </border>
    <border>
      <left style="thin">
        <color rgb="FF030003"/>
      </left>
      <right style="thin">
        <color rgb="FF000000"/>
      </right>
      <top style="thin">
        <color rgb="FF000003"/>
      </top>
      <bottom/>
      <diagonal/>
    </border>
    <border>
      <left style="thin">
        <color rgb="FF000000"/>
      </left>
      <right style="thin">
        <color rgb="FF000000"/>
      </right>
      <top style="thin">
        <color rgb="FF000003"/>
      </top>
      <bottom/>
      <diagonal/>
    </border>
    <border>
      <left style="thin">
        <color rgb="FF000000"/>
      </left>
      <right style="thin">
        <color rgb="FF000003"/>
      </right>
      <top style="thin">
        <color rgb="FF000003"/>
      </top>
      <bottom/>
      <diagonal/>
    </border>
    <border>
      <left style="thin">
        <color rgb="FF000003"/>
      </left>
      <right style="thin">
        <color rgb="FF000000"/>
      </right>
      <top style="thin">
        <color rgb="FF000003"/>
      </top>
      <bottom/>
      <diagonal/>
    </border>
    <border>
      <left style="thin">
        <color rgb="FF000000"/>
      </left>
      <right style="medium">
        <color indexed="64"/>
      </right>
      <top style="thin">
        <color rgb="FF000003"/>
      </top>
      <bottom/>
      <diagonal/>
    </border>
    <border>
      <left style="thin">
        <color rgb="FF000000"/>
      </left>
      <right style="thin">
        <color rgb="FF030003"/>
      </right>
      <top style="thin">
        <color rgb="FF000000"/>
      </top>
      <bottom/>
      <diagonal/>
    </border>
    <border>
      <left style="thin">
        <color rgb="FF030003"/>
      </left>
      <right style="thin">
        <color rgb="FF000000"/>
      </right>
      <top style="thin">
        <color rgb="FF000000"/>
      </top>
      <bottom/>
      <diagonal/>
    </border>
    <border>
      <left style="medium">
        <color indexed="64"/>
      </left>
      <right style="thin">
        <color rgb="FF000000"/>
      </right>
      <top style="medium">
        <color indexed="64"/>
      </top>
      <bottom style="thin">
        <color rgb="FF030303"/>
      </bottom>
      <diagonal/>
    </border>
    <border>
      <left style="thin">
        <color rgb="FF000000"/>
      </left>
      <right style="thin">
        <color rgb="FF000000"/>
      </right>
      <top style="medium">
        <color indexed="64"/>
      </top>
      <bottom style="thin">
        <color rgb="FF030303"/>
      </bottom>
      <diagonal/>
    </border>
    <border>
      <left style="thin">
        <color rgb="FF000000"/>
      </left>
      <right style="medium">
        <color indexed="64"/>
      </right>
      <top style="medium">
        <color indexed="64"/>
      </top>
      <bottom style="thin">
        <color rgb="FF03030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3"/>
      </right>
      <top style="medium">
        <color indexed="64"/>
      </top>
      <bottom style="thin">
        <color rgb="FF000000"/>
      </bottom>
      <diagonal/>
    </border>
    <border>
      <left style="thin">
        <color rgb="FF000003"/>
      </left>
      <right style="thin">
        <color rgb="FF030C08"/>
      </right>
      <top style="medium">
        <color indexed="64"/>
      </top>
      <bottom style="thin">
        <color rgb="FF000000"/>
      </bottom>
      <diagonal/>
    </border>
    <border>
      <left style="thin">
        <color rgb="FF030C08"/>
      </left>
      <right style="thin">
        <color rgb="FF000003"/>
      </right>
      <top style="medium">
        <color indexed="64"/>
      </top>
      <bottom style="thin">
        <color rgb="FF000000"/>
      </bottom>
      <diagonal/>
    </border>
    <border>
      <left style="thin">
        <color rgb="FF000003"/>
      </left>
      <right style="thin">
        <color rgb="FF000000"/>
      </right>
      <top style="medium">
        <color indexed="64"/>
      </top>
      <bottom style="thin">
        <color rgb="FF000000"/>
      </bottom>
      <diagonal/>
    </border>
    <border>
      <left style="thin">
        <color rgb="FF000000"/>
      </left>
      <right style="thin">
        <color rgb="FF030000"/>
      </right>
      <top style="medium">
        <color indexed="64"/>
      </top>
      <bottom style="thin">
        <color rgb="FF000000"/>
      </bottom>
      <diagonal/>
    </border>
    <border>
      <left style="thin">
        <color rgb="FF03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thin">
        <color rgb="FF030003"/>
      </right>
      <top style="medium">
        <color indexed="64"/>
      </top>
      <bottom style="thin">
        <color rgb="FF030303"/>
      </bottom>
      <diagonal/>
    </border>
    <border>
      <left style="thin">
        <color rgb="FF030003"/>
      </left>
      <right style="thin">
        <color rgb="FF000000"/>
      </right>
      <top style="medium">
        <color indexed="64"/>
      </top>
      <bottom style="thin">
        <color rgb="FF030303"/>
      </bottom>
      <diagonal/>
    </border>
    <border>
      <left style="thin">
        <color rgb="FF000000"/>
      </left>
      <right style="thin">
        <color rgb="FF000003"/>
      </right>
      <top style="medium">
        <color indexed="64"/>
      </top>
      <bottom style="thin">
        <color rgb="FF030303"/>
      </bottom>
      <diagonal/>
    </border>
    <border>
      <left style="thin">
        <color rgb="FF000003"/>
      </left>
      <right style="thin">
        <color rgb="FF000000"/>
      </right>
      <top style="medium">
        <color indexed="64"/>
      </top>
      <bottom style="thin">
        <color rgb="FF030303"/>
      </bottom>
      <diagonal/>
    </border>
    <border>
      <left style="thin">
        <color rgb="FF000000"/>
      </left>
      <right style="thin">
        <color rgb="FF030003"/>
      </right>
      <top style="medium">
        <color indexed="64"/>
      </top>
      <bottom style="thin">
        <color rgb="FF000000"/>
      </bottom>
      <diagonal/>
    </border>
    <border>
      <left style="thin">
        <color rgb="FF030003"/>
      </left>
      <right style="thin">
        <color rgb="FF000000"/>
      </right>
      <top style="medium">
        <color indexed="64"/>
      </top>
      <bottom style="thin">
        <color rgb="FF000000"/>
      </bottom>
      <diagonal/>
    </border>
    <border>
      <left style="thin">
        <color rgb="FF000003"/>
      </left>
      <right style="thin">
        <color rgb="FF000003"/>
      </right>
      <top style="medium">
        <color indexed="64"/>
      </top>
      <bottom style="thin">
        <color rgb="FF000000"/>
      </bottom>
      <diagonal/>
    </border>
    <border>
      <left style="thin">
        <color rgb="FF030003"/>
      </left>
      <right style="medium">
        <color indexed="64"/>
      </right>
      <top style="medium">
        <color indexed="64"/>
      </top>
      <bottom style="thin">
        <color rgb="FF000000"/>
      </bottom>
      <diagonal/>
    </border>
    <border>
      <left style="thin">
        <color rgb="FF000000"/>
      </left>
      <right style="thin">
        <color rgb="FF000003"/>
      </right>
      <top style="thin">
        <color rgb="FF000000"/>
      </top>
      <bottom/>
      <diagonal/>
    </border>
    <border>
      <left style="thin">
        <color rgb="FF000003"/>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30003"/>
      </right>
      <top/>
      <bottom style="thin">
        <color rgb="FF000000"/>
      </bottom>
      <diagonal/>
    </border>
    <border>
      <left style="thin">
        <color rgb="FF030003"/>
      </left>
      <right style="thin">
        <color rgb="FF000000"/>
      </right>
      <top/>
      <bottom style="thin">
        <color rgb="FF000000"/>
      </bottom>
      <diagonal/>
    </border>
    <border>
      <left style="thin">
        <color rgb="FF000000"/>
      </left>
      <right style="thin">
        <color rgb="FF000003"/>
      </right>
      <top/>
      <bottom style="thin">
        <color rgb="FF000000"/>
      </bottom>
      <diagonal/>
    </border>
    <border>
      <left style="thin">
        <color rgb="FF000003"/>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bottom style="thin">
        <color rgb="FF030303"/>
      </bottom>
      <diagonal/>
    </border>
    <border>
      <left style="thin">
        <color rgb="FF000000"/>
      </left>
      <right style="thin">
        <color rgb="FF030003"/>
      </right>
      <top/>
      <bottom style="thin">
        <color rgb="FF030303"/>
      </bottom>
      <diagonal/>
    </border>
    <border>
      <left style="thin">
        <color rgb="FF030003"/>
      </left>
      <right style="thin">
        <color rgb="FF000000"/>
      </right>
      <top/>
      <bottom style="thin">
        <color rgb="FF030303"/>
      </bottom>
      <diagonal/>
    </border>
    <border>
      <left style="thin">
        <color rgb="FF000000"/>
      </left>
      <right style="thin">
        <color rgb="FF000000"/>
      </right>
      <top/>
      <bottom style="thin">
        <color rgb="FF030303"/>
      </bottom>
      <diagonal/>
    </border>
    <border>
      <left style="thin">
        <color rgb="FF000000"/>
      </left>
      <right style="thin">
        <color rgb="FF000003"/>
      </right>
      <top/>
      <bottom style="thin">
        <color rgb="FF030303"/>
      </bottom>
      <diagonal/>
    </border>
    <border>
      <left style="thin">
        <color rgb="FF000003"/>
      </left>
      <right style="thin">
        <color rgb="FF000000"/>
      </right>
      <top/>
      <bottom style="thin">
        <color rgb="FF030303"/>
      </bottom>
      <diagonal/>
    </border>
    <border>
      <left style="thin">
        <color rgb="FF000000"/>
      </left>
      <right style="medium">
        <color indexed="64"/>
      </right>
      <top/>
      <bottom style="thin">
        <color rgb="FF030303"/>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medium">
        <color indexed="64"/>
      </top>
      <bottom style="thin">
        <color rgb="FF000000"/>
      </bottom>
      <diagonal/>
    </border>
    <border>
      <left/>
      <right style="thin">
        <color rgb="FF000000"/>
      </right>
      <top style="thin">
        <color rgb="FF000000"/>
      </top>
      <bottom style="thin">
        <color rgb="FF030303"/>
      </bottom>
      <diagonal/>
    </border>
    <border>
      <left/>
      <right style="thin">
        <color rgb="FF000000"/>
      </right>
      <top style="thin">
        <color rgb="FF030303"/>
      </top>
      <bottom style="thin">
        <color rgb="FF000000"/>
      </bottom>
      <diagonal/>
    </border>
    <border>
      <left/>
      <right style="thin">
        <color rgb="FF000000"/>
      </right>
      <top style="thin">
        <color rgb="FF000000"/>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033">
    <xf numFmtId="0" fontId="0" fillId="0" borderId="0" xfId="0"/>
    <xf numFmtId="0" fontId="1" fillId="0" borderId="0" xfId="0" applyFont="1"/>
    <xf numFmtId="0" fontId="0" fillId="0" borderId="9" xfId="0" applyBorder="1" applyAlignment="1">
      <alignment horizontal="center" vertical="center"/>
    </xf>
    <xf numFmtId="0" fontId="1" fillId="0" borderId="1" xfId="0" applyFont="1" applyBorder="1" applyAlignment="1">
      <alignment horizontal="center" vertical="center"/>
    </xf>
    <xf numFmtId="164" fontId="2" fillId="10" borderId="19" xfId="0" applyNumberFormat="1" applyFont="1" applyFill="1" applyBorder="1" applyAlignment="1">
      <alignment horizontal="center" vertical="center"/>
    </xf>
    <xf numFmtId="164" fontId="2" fillId="10" borderId="29" xfId="0" applyNumberFormat="1" applyFont="1" applyFill="1" applyBorder="1" applyAlignment="1">
      <alignment horizontal="center" vertical="center"/>
    </xf>
    <xf numFmtId="167" fontId="2" fillId="10" borderId="19" xfId="0" applyNumberFormat="1" applyFont="1" applyFill="1" applyBorder="1" applyAlignment="1">
      <alignment horizontal="center" vertical="center"/>
    </xf>
    <xf numFmtId="167" fontId="2" fillId="10" borderId="2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7" fillId="15" borderId="1" xfId="0" applyFont="1" applyFill="1" applyBorder="1" applyAlignment="1">
      <alignment horizontal="center" vertical="center"/>
    </xf>
    <xf numFmtId="0" fontId="7" fillId="15" borderId="8" xfId="0" applyFont="1" applyFill="1" applyBorder="1" applyAlignment="1">
      <alignment horizontal="center" vertical="center"/>
    </xf>
    <xf numFmtId="0" fontId="1" fillId="4" borderId="8" xfId="0" applyFont="1" applyFill="1" applyBorder="1" applyAlignment="1">
      <alignment horizontal="center" vertical="center"/>
    </xf>
    <xf numFmtId="167" fontId="8" fillId="5" borderId="46" xfId="0" applyNumberFormat="1" applyFont="1" applyFill="1" applyBorder="1" applyAlignment="1">
      <alignment horizontal="center" vertical="center"/>
    </xf>
    <xf numFmtId="0" fontId="0" fillId="0" borderId="1" xfId="0" applyBorder="1" applyAlignment="1">
      <alignment horizontal="center" vertical="center"/>
    </xf>
    <xf numFmtId="0" fontId="1" fillId="6" borderId="45" xfId="0" applyFont="1" applyFill="1" applyBorder="1" applyAlignment="1">
      <alignment horizontal="center" vertical="center"/>
    </xf>
    <xf numFmtId="0" fontId="1" fillId="6" borderId="47" xfId="0" applyFont="1" applyFill="1" applyBorder="1" applyAlignment="1">
      <alignment horizontal="center" vertical="center" wrapText="1"/>
    </xf>
    <xf numFmtId="0" fontId="0" fillId="16" borderId="9" xfId="0" applyFill="1" applyBorder="1" applyAlignment="1">
      <alignment horizontal="center" vertical="center"/>
    </xf>
    <xf numFmtId="0" fontId="0" fillId="16" borderId="11" xfId="0" applyFill="1" applyBorder="1" applyAlignment="1">
      <alignment horizontal="center" vertical="center"/>
    </xf>
    <xf numFmtId="0" fontId="0" fillId="16" borderId="5" xfId="0" applyFill="1" applyBorder="1" applyAlignment="1">
      <alignment horizontal="center" vertical="center"/>
    </xf>
    <xf numFmtId="0" fontId="0" fillId="16" borderId="4" xfId="0" applyFill="1" applyBorder="1" applyAlignment="1">
      <alignment horizontal="center" vertical="center"/>
    </xf>
    <xf numFmtId="0" fontId="0" fillId="16" borderId="8" xfId="0" applyFill="1" applyBorder="1" applyAlignment="1">
      <alignment horizontal="center" vertical="center"/>
    </xf>
    <xf numFmtId="0" fontId="1" fillId="0" borderId="0" xfId="0" applyFont="1" applyAlignment="1">
      <alignment vertical="center"/>
    </xf>
    <xf numFmtId="0" fontId="0" fillId="0" borderId="15" xfId="0" applyBorder="1" applyAlignment="1">
      <alignment horizontal="left"/>
    </xf>
    <xf numFmtId="0" fontId="0" fillId="0" borderId="39" xfId="0" applyBorder="1" applyAlignment="1">
      <alignment horizontal="left"/>
    </xf>
    <xf numFmtId="0" fontId="0" fillId="0" borderId="16" xfId="0" applyBorder="1" applyAlignment="1">
      <alignment horizontal="left"/>
    </xf>
    <xf numFmtId="2" fontId="0" fillId="4" borderId="41" xfId="0" applyNumberFormat="1" applyFill="1" applyBorder="1" applyAlignment="1">
      <alignment horizontal="center"/>
    </xf>
    <xf numFmtId="2" fontId="0" fillId="4" borderId="1" xfId="0" applyNumberFormat="1" applyFill="1" applyBorder="1" applyAlignment="1">
      <alignment horizontal="center"/>
    </xf>
    <xf numFmtId="2" fontId="0" fillId="4" borderId="19" xfId="0" applyNumberFormat="1" applyFill="1" applyBorder="1" applyAlignment="1">
      <alignment horizontal="center"/>
    </xf>
    <xf numFmtId="2" fontId="0" fillId="3" borderId="41" xfId="0" applyNumberFormat="1" applyFill="1" applyBorder="1" applyAlignment="1">
      <alignment horizontal="center"/>
    </xf>
    <xf numFmtId="2" fontId="0" fillId="3" borderId="1" xfId="0" applyNumberFormat="1" applyFill="1" applyBorder="1" applyAlignment="1">
      <alignment horizontal="center"/>
    </xf>
    <xf numFmtId="2" fontId="0" fillId="3" borderId="19" xfId="0" applyNumberFormat="1" applyFill="1" applyBorder="1" applyAlignment="1">
      <alignment horizontal="center"/>
    </xf>
    <xf numFmtId="2" fontId="0" fillId="9" borderId="1" xfId="0" applyNumberFormat="1" applyFill="1" applyBorder="1" applyAlignment="1">
      <alignment horizontal="center"/>
    </xf>
    <xf numFmtId="2" fontId="0" fillId="9" borderId="19" xfId="0" applyNumberFormat="1" applyFill="1" applyBorder="1" applyAlignment="1">
      <alignment horizontal="center"/>
    </xf>
    <xf numFmtId="2" fontId="0" fillId="4" borderId="42" xfId="0" applyNumberFormat="1" applyFill="1" applyBorder="1" applyAlignment="1">
      <alignment horizontal="center"/>
    </xf>
    <xf numFmtId="2" fontId="0" fillId="4" borderId="9" xfId="0" applyNumberFormat="1" applyFill="1" applyBorder="1" applyAlignment="1">
      <alignment horizontal="center"/>
    </xf>
    <xf numFmtId="2" fontId="0" fillId="4" borderId="30" xfId="0" applyNumberFormat="1" applyFill="1" applyBorder="1" applyAlignment="1">
      <alignment horizontal="center"/>
    </xf>
    <xf numFmtId="2" fontId="0" fillId="3" borderId="42" xfId="0" applyNumberFormat="1" applyFill="1" applyBorder="1" applyAlignment="1">
      <alignment horizontal="center"/>
    </xf>
    <xf numFmtId="2" fontId="0" fillId="3" borderId="9" xfId="0" applyNumberFormat="1" applyFill="1" applyBorder="1" applyAlignment="1">
      <alignment horizontal="center"/>
    </xf>
    <xf numFmtId="2" fontId="0" fillId="3" borderId="30" xfId="0" applyNumberFormat="1" applyFill="1" applyBorder="1" applyAlignment="1">
      <alignment horizontal="center"/>
    </xf>
    <xf numFmtId="2" fontId="0" fillId="9" borderId="9" xfId="0" applyNumberFormat="1" applyFill="1" applyBorder="1" applyAlignment="1">
      <alignment horizontal="center"/>
    </xf>
    <xf numFmtId="2" fontId="0" fillId="9" borderId="30" xfId="0" applyNumberFormat="1" applyFill="1" applyBorder="1" applyAlignment="1">
      <alignment horizontal="center"/>
    </xf>
    <xf numFmtId="2" fontId="0" fillId="4" borderId="53" xfId="0" applyNumberFormat="1" applyFill="1" applyBorder="1" applyAlignment="1">
      <alignment horizontal="center"/>
    </xf>
    <xf numFmtId="2" fontId="0" fillId="4" borderId="20" xfId="0" applyNumberFormat="1" applyFill="1" applyBorder="1" applyAlignment="1">
      <alignment horizontal="center"/>
    </xf>
    <xf numFmtId="2" fontId="0" fillId="4" borderId="21" xfId="0" applyNumberFormat="1" applyFill="1" applyBorder="1" applyAlignment="1">
      <alignment horizontal="center"/>
    </xf>
    <xf numFmtId="2" fontId="0" fillId="3" borderId="53" xfId="0" applyNumberFormat="1" applyFill="1" applyBorder="1" applyAlignment="1">
      <alignment horizontal="center"/>
    </xf>
    <xf numFmtId="2" fontId="0" fillId="3" borderId="20" xfId="0" applyNumberFormat="1" applyFill="1" applyBorder="1" applyAlignment="1">
      <alignment horizontal="center"/>
    </xf>
    <xf numFmtId="2" fontId="0" fillId="3" borderId="21" xfId="0" applyNumberFormat="1" applyFill="1" applyBorder="1" applyAlignment="1">
      <alignment horizontal="center"/>
    </xf>
    <xf numFmtId="2" fontId="0" fillId="9" borderId="20" xfId="0" applyNumberFormat="1" applyFill="1" applyBorder="1" applyAlignment="1">
      <alignment horizontal="center"/>
    </xf>
    <xf numFmtId="2" fontId="0" fillId="9" borderId="21" xfId="0" applyNumberFormat="1" applyFill="1" applyBorder="1" applyAlignment="1">
      <alignment horizontal="center"/>
    </xf>
    <xf numFmtId="17" fontId="1" fillId="6" borderId="45" xfId="0" applyNumberFormat="1" applyFont="1" applyFill="1" applyBorder="1" applyAlignment="1">
      <alignment horizontal="center" vertical="center" wrapText="1"/>
    </xf>
    <xf numFmtId="0" fontId="0" fillId="0" borderId="17" xfId="0" applyBorder="1" applyAlignment="1">
      <alignment horizontal="left"/>
    </xf>
    <xf numFmtId="0" fontId="0" fillId="0" borderId="25" xfId="0" applyBorder="1" applyAlignment="1">
      <alignment horizontal="left"/>
    </xf>
    <xf numFmtId="0" fontId="1" fillId="0" borderId="59" xfId="0" applyFont="1" applyBorder="1" applyAlignment="1">
      <alignment horizontal="center" vertical="center" wrapText="1"/>
    </xf>
    <xf numFmtId="0" fontId="1" fillId="0" borderId="58" xfId="0" applyFont="1" applyBorder="1" applyAlignment="1">
      <alignment horizontal="center" vertical="center"/>
    </xf>
    <xf numFmtId="0" fontId="1" fillId="0" borderId="58" xfId="0" applyFont="1" applyBorder="1" applyAlignment="1">
      <alignment horizontal="center" vertical="center" wrapText="1"/>
    </xf>
    <xf numFmtId="2" fontId="0" fillId="4" borderId="18" xfId="0" applyNumberFormat="1" applyFill="1" applyBorder="1" applyAlignment="1">
      <alignment horizontal="center"/>
    </xf>
    <xf numFmtId="2" fontId="0" fillId="4" borderId="11" xfId="0" applyNumberFormat="1" applyFill="1" applyBorder="1" applyAlignment="1">
      <alignment horizontal="center"/>
    </xf>
    <xf numFmtId="2" fontId="0" fillId="4" borderId="22" xfId="0" applyNumberFormat="1" applyFill="1" applyBorder="1" applyAlignment="1">
      <alignment horizontal="center"/>
    </xf>
    <xf numFmtId="2" fontId="0" fillId="3" borderId="18" xfId="0" applyNumberFormat="1" applyFill="1" applyBorder="1" applyAlignment="1">
      <alignment horizontal="center"/>
    </xf>
    <xf numFmtId="2" fontId="0" fillId="3" borderId="11" xfId="0" applyNumberFormat="1" applyFill="1" applyBorder="1" applyAlignment="1">
      <alignment horizontal="center"/>
    </xf>
    <xf numFmtId="2" fontId="0" fillId="3" borderId="22" xfId="0" applyNumberFormat="1" applyFill="1" applyBorder="1" applyAlignment="1">
      <alignment horizontal="center"/>
    </xf>
    <xf numFmtId="2" fontId="0" fillId="9" borderId="11" xfId="0" applyNumberFormat="1" applyFill="1" applyBorder="1" applyAlignment="1">
      <alignment horizontal="center"/>
    </xf>
    <xf numFmtId="2" fontId="0" fillId="9" borderId="22" xfId="0" applyNumberFormat="1" applyFill="1" applyBorder="1" applyAlignment="1">
      <alignment horizontal="center"/>
    </xf>
    <xf numFmtId="0" fontId="6" fillId="19" borderId="32" xfId="0" applyFont="1" applyFill="1" applyBorder="1" applyAlignment="1">
      <alignment vertical="center"/>
    </xf>
    <xf numFmtId="0" fontId="0" fillId="0" borderId="0" xfId="0" applyAlignment="1">
      <alignment horizontal="center" vertical="center"/>
    </xf>
    <xf numFmtId="0" fontId="1" fillId="0" borderId="0" xfId="0" applyFont="1" applyAlignment="1">
      <alignment horizontal="center" vertical="center"/>
    </xf>
    <xf numFmtId="1" fontId="4" fillId="17" borderId="28" xfId="0" applyNumberFormat="1" applyFont="1" applyFill="1" applyBorder="1" applyAlignment="1">
      <alignment horizontal="center" vertical="center"/>
    </xf>
    <xf numFmtId="0" fontId="2" fillId="3" borderId="1"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1" fillId="4" borderId="44" xfId="0" applyFont="1" applyFill="1" applyBorder="1" applyAlignment="1">
      <alignment horizontal="center" vertical="center"/>
    </xf>
    <xf numFmtId="0" fontId="1" fillId="4" borderId="45" xfId="0" applyFont="1" applyFill="1" applyBorder="1" applyAlignment="1">
      <alignment horizontal="center" vertical="center"/>
    </xf>
    <xf numFmtId="0" fontId="1" fillId="4" borderId="47" xfId="0" applyFont="1" applyFill="1" applyBorder="1" applyAlignment="1">
      <alignment horizontal="center" vertical="center"/>
    </xf>
    <xf numFmtId="0" fontId="1" fillId="17" borderId="45" xfId="0" applyFont="1" applyFill="1" applyBorder="1" applyAlignment="1">
      <alignment horizontal="center" vertical="center"/>
    </xf>
    <xf numFmtId="0" fontId="1" fillId="3" borderId="44" xfId="0" applyFont="1" applyFill="1" applyBorder="1" applyAlignment="1">
      <alignment horizontal="center" vertical="center"/>
    </xf>
    <xf numFmtId="0" fontId="1" fillId="3" borderId="45" xfId="0" applyFont="1" applyFill="1" applyBorder="1" applyAlignment="1">
      <alignment horizontal="center" vertical="center"/>
    </xf>
    <xf numFmtId="0" fontId="1" fillId="3" borderId="47" xfId="0" applyFont="1" applyFill="1" applyBorder="1" applyAlignment="1">
      <alignment horizontal="center" vertical="center"/>
    </xf>
    <xf numFmtId="0" fontId="1" fillId="9" borderId="45" xfId="0" applyFont="1" applyFill="1" applyBorder="1" applyAlignment="1">
      <alignment horizontal="center" vertical="center"/>
    </xf>
    <xf numFmtId="0" fontId="1" fillId="9" borderId="47" xfId="0" applyFont="1" applyFill="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1" fillId="17" borderId="44" xfId="0" applyFont="1" applyFill="1" applyBorder="1" applyAlignment="1">
      <alignment horizontal="center" vertical="center"/>
    </xf>
    <xf numFmtId="0" fontId="1" fillId="17" borderId="47" xfId="0" applyFont="1" applyFill="1" applyBorder="1" applyAlignment="1">
      <alignment horizontal="center" vertical="center"/>
    </xf>
    <xf numFmtId="0" fontId="1" fillId="9" borderId="44" xfId="0" applyFont="1" applyFill="1" applyBorder="1" applyAlignment="1">
      <alignment horizontal="center" vertical="center"/>
    </xf>
    <xf numFmtId="2" fontId="0" fillId="9" borderId="18" xfId="0" applyNumberFormat="1" applyFill="1" applyBorder="1" applyAlignment="1">
      <alignment horizontal="center"/>
    </xf>
    <xf numFmtId="2" fontId="0" fillId="9" borderId="41" xfId="0" applyNumberFormat="1" applyFill="1" applyBorder="1" applyAlignment="1">
      <alignment horizontal="center"/>
    </xf>
    <xf numFmtId="2" fontId="0" fillId="9" borderId="42" xfId="0" applyNumberFormat="1" applyFill="1" applyBorder="1" applyAlignment="1">
      <alignment horizontal="center"/>
    </xf>
    <xf numFmtId="2" fontId="0" fillId="9" borderId="53" xfId="0" applyNumberFormat="1" applyFill="1" applyBorder="1" applyAlignment="1">
      <alignment horizontal="center"/>
    </xf>
    <xf numFmtId="0" fontId="1" fillId="0" borderId="59" xfId="0" applyFont="1" applyBorder="1" applyAlignment="1">
      <alignment horizontal="center" vertical="center"/>
    </xf>
    <xf numFmtId="0" fontId="1" fillId="0" borderId="40" xfId="0" applyFont="1" applyBorder="1" applyAlignment="1">
      <alignment horizontal="center" vertical="center"/>
    </xf>
    <xf numFmtId="0" fontId="0" fillId="16" borderId="10" xfId="0" applyFill="1" applyBorder="1" applyAlignment="1">
      <alignment horizontal="center" vertical="center"/>
    </xf>
    <xf numFmtId="0" fontId="1" fillId="4" borderId="54"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47" xfId="0" applyFont="1" applyFill="1" applyBorder="1" applyAlignment="1">
      <alignment horizontal="center" vertical="center"/>
    </xf>
    <xf numFmtId="169" fontId="11" fillId="4" borderId="219" xfId="0" applyNumberFormat="1" applyFont="1" applyFill="1" applyBorder="1" applyAlignment="1">
      <alignment horizontal="center" vertical="center" wrapText="1"/>
    </xf>
    <xf numFmtId="169" fontId="11" fillId="2" borderId="220" xfId="0" applyNumberFormat="1" applyFont="1" applyFill="1" applyBorder="1" applyAlignment="1">
      <alignment horizontal="center" vertical="center" wrapText="1"/>
    </xf>
    <xf numFmtId="169" fontId="11" fillId="2" borderId="221" xfId="0" applyNumberFormat="1" applyFont="1" applyFill="1" applyBorder="1" applyAlignment="1">
      <alignment horizontal="center" vertical="center" wrapText="1"/>
    </xf>
    <xf numFmtId="169" fontId="11" fillId="2" borderId="222" xfId="0" applyNumberFormat="1" applyFont="1" applyFill="1" applyBorder="1" applyAlignment="1">
      <alignment horizontal="center" vertical="center" wrapText="1"/>
    </xf>
    <xf numFmtId="169" fontId="11" fillId="2" borderId="219" xfId="0" applyNumberFormat="1" applyFont="1" applyFill="1" applyBorder="1" applyAlignment="1">
      <alignment horizontal="center" vertical="center" wrapText="1"/>
    </xf>
    <xf numFmtId="169" fontId="11" fillId="2" borderId="223" xfId="0" applyNumberFormat="1" applyFont="1" applyFill="1" applyBorder="1" applyAlignment="1">
      <alignment horizontal="center" vertical="center" wrapText="1"/>
    </xf>
    <xf numFmtId="169" fontId="11" fillId="2" borderId="224" xfId="0" applyNumberFormat="1" applyFont="1" applyFill="1" applyBorder="1" applyAlignment="1">
      <alignment horizontal="center" vertical="center" wrapText="1"/>
    </xf>
    <xf numFmtId="169" fontId="11" fillId="2" borderId="225" xfId="0" applyNumberFormat="1" applyFont="1" applyFill="1" applyBorder="1" applyAlignment="1">
      <alignment horizontal="center" vertical="center" wrapText="1"/>
    </xf>
    <xf numFmtId="169" fontId="11" fillId="17" borderId="220" xfId="0" applyNumberFormat="1" applyFont="1" applyFill="1" applyBorder="1" applyAlignment="1">
      <alignment horizontal="center" vertical="center" wrapText="1"/>
    </xf>
    <xf numFmtId="169" fontId="11" fillId="17" borderId="219" xfId="0" applyNumberFormat="1" applyFont="1" applyFill="1" applyBorder="1" applyAlignment="1">
      <alignment horizontal="center" vertical="center" wrapText="1"/>
    </xf>
    <xf numFmtId="169" fontId="11" fillId="17" borderId="221" xfId="0" applyNumberFormat="1" applyFont="1" applyFill="1" applyBorder="1" applyAlignment="1">
      <alignment horizontal="center" vertical="center" wrapText="1"/>
    </xf>
    <xf numFmtId="169" fontId="11" fillId="17" borderId="222" xfId="0" applyNumberFormat="1" applyFont="1" applyFill="1" applyBorder="1" applyAlignment="1">
      <alignment horizontal="center" vertical="center" wrapText="1"/>
    </xf>
    <xf numFmtId="169" fontId="11" fillId="17" borderId="225" xfId="0" applyNumberFormat="1" applyFont="1" applyFill="1" applyBorder="1" applyAlignment="1">
      <alignment horizontal="center" vertical="center" wrapText="1"/>
    </xf>
    <xf numFmtId="169" fontId="11" fillId="3" borderId="220" xfId="0" applyNumberFormat="1" applyFont="1" applyFill="1" applyBorder="1" applyAlignment="1">
      <alignment horizontal="center" vertical="center" wrapText="1"/>
    </xf>
    <xf numFmtId="169" fontId="11" fillId="3" borderId="219" xfId="0" applyNumberFormat="1" applyFont="1" applyFill="1" applyBorder="1" applyAlignment="1">
      <alignment horizontal="center" vertical="center" wrapText="1"/>
    </xf>
    <xf numFmtId="169" fontId="11" fillId="3" borderId="223" xfId="0" applyNumberFormat="1" applyFont="1" applyFill="1" applyBorder="1" applyAlignment="1">
      <alignment horizontal="center" vertical="center" wrapText="1"/>
    </xf>
    <xf numFmtId="169" fontId="11" fillId="3" borderId="224" xfId="0" applyNumberFormat="1" applyFont="1" applyFill="1" applyBorder="1" applyAlignment="1">
      <alignment horizontal="center" vertical="center" wrapText="1"/>
    </xf>
    <xf numFmtId="169" fontId="11" fillId="3" borderId="225" xfId="0" applyNumberFormat="1" applyFont="1" applyFill="1" applyBorder="1" applyAlignment="1">
      <alignment horizontal="center" vertical="center" wrapText="1"/>
    </xf>
    <xf numFmtId="169" fontId="11" fillId="9" borderId="220" xfId="0" applyNumberFormat="1" applyFont="1" applyFill="1" applyBorder="1" applyAlignment="1">
      <alignment horizontal="center" vertical="center" wrapText="1"/>
    </xf>
    <xf numFmtId="169" fontId="11" fillId="9" borderId="219" xfId="0" applyNumberFormat="1" applyFont="1" applyFill="1" applyBorder="1" applyAlignment="1">
      <alignment horizontal="center" vertical="center" wrapText="1"/>
    </xf>
    <xf numFmtId="169" fontId="11" fillId="9" borderId="221" xfId="0" applyNumberFormat="1" applyFont="1" applyFill="1" applyBorder="1" applyAlignment="1">
      <alignment horizontal="center" vertical="center" wrapText="1"/>
    </xf>
    <xf numFmtId="169" fontId="11" fillId="9" borderId="222" xfId="0" applyNumberFormat="1" applyFont="1" applyFill="1" applyBorder="1" applyAlignment="1">
      <alignment horizontal="center" vertical="center" wrapText="1"/>
    </xf>
    <xf numFmtId="169" fontId="11" fillId="9" borderId="225" xfId="0" applyNumberFormat="1" applyFont="1" applyFill="1" applyBorder="1" applyAlignment="1">
      <alignment horizontal="center" vertical="center" wrapText="1"/>
    </xf>
    <xf numFmtId="169" fontId="11" fillId="4" borderId="63" xfId="0" applyNumberFormat="1" applyFont="1" applyFill="1" applyBorder="1" applyAlignment="1">
      <alignment horizontal="center" vertical="center" wrapText="1"/>
    </xf>
    <xf numFmtId="169" fontId="11" fillId="2" borderId="138" xfId="0" applyNumberFormat="1" applyFont="1" applyFill="1" applyBorder="1" applyAlignment="1">
      <alignment horizontal="center" vertical="center" wrapText="1"/>
    </xf>
    <xf numFmtId="169" fontId="11" fillId="2" borderId="73" xfId="0" applyNumberFormat="1" applyFont="1" applyFill="1" applyBorder="1" applyAlignment="1">
      <alignment horizontal="center" vertical="center" wrapText="1"/>
    </xf>
    <xf numFmtId="169" fontId="11" fillId="2" borderId="74" xfId="0" applyNumberFormat="1" applyFont="1" applyFill="1" applyBorder="1" applyAlignment="1">
      <alignment horizontal="center" vertical="center" wrapText="1"/>
    </xf>
    <xf numFmtId="169" fontId="11" fillId="2" borderId="72" xfId="0" applyNumberFormat="1" applyFont="1" applyFill="1" applyBorder="1" applyAlignment="1">
      <alignment horizontal="center" vertical="center" wrapText="1"/>
    </xf>
    <xf numFmtId="169" fontId="11" fillId="2" borderId="75" xfId="0" applyNumberFormat="1" applyFont="1" applyFill="1" applyBorder="1" applyAlignment="1">
      <alignment horizontal="center" vertical="center" wrapText="1"/>
    </xf>
    <xf numFmtId="169" fontId="11" fillId="2" borderId="76" xfId="0" applyNumberFormat="1" applyFont="1" applyFill="1" applyBorder="1" applyAlignment="1">
      <alignment horizontal="center" vertical="center" wrapText="1"/>
    </xf>
    <xf numFmtId="169" fontId="11" fillId="2" borderId="139" xfId="0" applyNumberFormat="1" applyFont="1" applyFill="1" applyBorder="1" applyAlignment="1">
      <alignment horizontal="center" vertical="center" wrapText="1"/>
    </xf>
    <xf numFmtId="169" fontId="11" fillId="17" borderId="148" xfId="0" applyNumberFormat="1" applyFont="1" applyFill="1" applyBorder="1" applyAlignment="1">
      <alignment horizontal="center" vertical="center" wrapText="1"/>
    </xf>
    <xf numFmtId="169" fontId="11" fillId="17" borderId="63" xfId="0" applyNumberFormat="1" applyFont="1" applyFill="1" applyBorder="1" applyAlignment="1">
      <alignment horizontal="center" vertical="center" wrapText="1"/>
    </xf>
    <xf numFmtId="169" fontId="11" fillId="17" borderId="64" xfId="0" applyNumberFormat="1" applyFont="1" applyFill="1" applyBorder="1" applyAlignment="1">
      <alignment horizontal="center" vertical="center" wrapText="1"/>
    </xf>
    <xf numFmtId="169" fontId="11" fillId="17" borderId="65" xfId="0" applyNumberFormat="1" applyFont="1" applyFill="1" applyBorder="1" applyAlignment="1">
      <alignment horizontal="center" vertical="center" wrapText="1"/>
    </xf>
    <xf numFmtId="169" fontId="11" fillId="17" borderId="149" xfId="0" applyNumberFormat="1" applyFont="1" applyFill="1" applyBorder="1" applyAlignment="1">
      <alignment horizontal="center" vertical="center" wrapText="1"/>
    </xf>
    <xf numFmtId="169" fontId="11" fillId="3" borderId="138" xfId="0" applyNumberFormat="1" applyFont="1" applyFill="1" applyBorder="1" applyAlignment="1">
      <alignment horizontal="center" vertical="center" wrapText="1"/>
    </xf>
    <xf numFmtId="169" fontId="11" fillId="3" borderId="72" xfId="0" applyNumberFormat="1" applyFont="1" applyFill="1" applyBorder="1" applyAlignment="1">
      <alignment horizontal="center" vertical="center" wrapText="1"/>
    </xf>
    <xf numFmtId="169" fontId="11" fillId="3" borderId="75" xfId="0" applyNumberFormat="1" applyFont="1" applyFill="1" applyBorder="1" applyAlignment="1">
      <alignment horizontal="center" vertical="center" wrapText="1"/>
    </xf>
    <xf numFmtId="169" fontId="11" fillId="3" borderId="76" xfId="0" applyNumberFormat="1" applyFont="1" applyFill="1" applyBorder="1" applyAlignment="1">
      <alignment horizontal="center" vertical="center" wrapText="1"/>
    </xf>
    <xf numFmtId="169" fontId="11" fillId="3" borderId="139" xfId="0" applyNumberFormat="1" applyFont="1" applyFill="1" applyBorder="1" applyAlignment="1">
      <alignment horizontal="center" vertical="center" wrapText="1"/>
    </xf>
    <xf numFmtId="169" fontId="11" fillId="9" borderId="138" xfId="0" applyNumberFormat="1" applyFont="1" applyFill="1" applyBorder="1" applyAlignment="1">
      <alignment horizontal="center" vertical="center" wrapText="1"/>
    </xf>
    <xf numFmtId="169" fontId="11" fillId="9" borderId="72" xfId="0" applyNumberFormat="1" applyFont="1" applyFill="1" applyBorder="1" applyAlignment="1">
      <alignment horizontal="center" vertical="center" wrapText="1"/>
    </xf>
    <xf numFmtId="169" fontId="11" fillId="9" borderId="73" xfId="0" applyNumberFormat="1" applyFont="1" applyFill="1" applyBorder="1" applyAlignment="1">
      <alignment horizontal="center" vertical="center" wrapText="1"/>
    </xf>
    <xf numFmtId="169" fontId="11" fillId="9" borderId="74" xfId="0" applyNumberFormat="1" applyFont="1" applyFill="1" applyBorder="1" applyAlignment="1">
      <alignment horizontal="center" vertical="center" wrapText="1"/>
    </xf>
    <xf numFmtId="169" fontId="11" fillId="9" borderId="139" xfId="0" applyNumberFormat="1" applyFont="1" applyFill="1" applyBorder="1" applyAlignment="1">
      <alignment horizontal="center" vertical="center" wrapText="1"/>
    </xf>
    <xf numFmtId="169" fontId="11" fillId="2" borderId="140" xfId="0" applyNumberFormat="1" applyFont="1" applyFill="1" applyBorder="1" applyAlignment="1">
      <alignment horizontal="center" vertical="center" wrapText="1"/>
    </xf>
    <xf numFmtId="169" fontId="11" fillId="2" borderId="78" xfId="0" applyNumberFormat="1" applyFont="1" applyFill="1" applyBorder="1" applyAlignment="1">
      <alignment horizontal="center" vertical="center" wrapText="1"/>
    </xf>
    <xf numFmtId="169" fontId="11" fillId="2" borderId="79" xfId="0" applyNumberFormat="1" applyFont="1" applyFill="1" applyBorder="1" applyAlignment="1">
      <alignment horizontal="center" vertical="center" wrapText="1"/>
    </xf>
    <xf numFmtId="169" fontId="11" fillId="2" borderId="77" xfId="0" applyNumberFormat="1" applyFont="1" applyFill="1" applyBorder="1" applyAlignment="1">
      <alignment horizontal="center" vertical="center" wrapText="1"/>
    </xf>
    <xf numFmtId="169" fontId="11" fillId="2" borderId="80" xfId="0" applyNumberFormat="1" applyFont="1" applyFill="1" applyBorder="1" applyAlignment="1">
      <alignment horizontal="center" vertical="center" wrapText="1"/>
    </xf>
    <xf numFmtId="169" fontId="11" fillId="2" borderId="81" xfId="0" applyNumberFormat="1" applyFont="1" applyFill="1" applyBorder="1" applyAlignment="1">
      <alignment horizontal="center" vertical="center" wrapText="1"/>
    </xf>
    <xf numFmtId="169" fontId="11" fillId="2" borderId="141" xfId="0" applyNumberFormat="1" applyFont="1" applyFill="1" applyBorder="1" applyAlignment="1">
      <alignment horizontal="center" vertical="center" wrapText="1"/>
    </xf>
    <xf numFmtId="169" fontId="11" fillId="3" borderId="140" xfId="0" applyNumberFormat="1" applyFont="1" applyFill="1" applyBorder="1" applyAlignment="1">
      <alignment horizontal="center" vertical="center" wrapText="1"/>
    </xf>
    <xf numFmtId="169" fontId="11" fillId="3" borderId="77" xfId="0" applyNumberFormat="1" applyFont="1" applyFill="1" applyBorder="1" applyAlignment="1">
      <alignment horizontal="center" vertical="center" wrapText="1"/>
    </xf>
    <xf numFmtId="169" fontId="11" fillId="3" borderId="80" xfId="0" applyNumberFormat="1" applyFont="1" applyFill="1" applyBorder="1" applyAlignment="1">
      <alignment horizontal="center" vertical="center" wrapText="1"/>
    </xf>
    <xf numFmtId="169" fontId="11" fillId="3" borderId="81" xfId="0" applyNumberFormat="1" applyFont="1" applyFill="1" applyBorder="1" applyAlignment="1">
      <alignment horizontal="center" vertical="center" wrapText="1"/>
    </xf>
    <xf numFmtId="169" fontId="11" fillId="3" borderId="141" xfId="0" applyNumberFormat="1" applyFont="1" applyFill="1" applyBorder="1" applyAlignment="1">
      <alignment horizontal="center" vertical="center" wrapText="1"/>
    </xf>
    <xf numFmtId="169" fontId="11" fillId="9" borderId="140" xfId="0" applyNumberFormat="1" applyFont="1" applyFill="1" applyBorder="1" applyAlignment="1">
      <alignment horizontal="center" vertical="center" wrapText="1"/>
    </xf>
    <xf numFmtId="169" fontId="11" fillId="9" borderId="77" xfId="0" applyNumberFormat="1" applyFont="1" applyFill="1" applyBorder="1" applyAlignment="1">
      <alignment horizontal="center" vertical="center" wrapText="1"/>
    </xf>
    <xf numFmtId="169" fontId="11" fillId="9" borderId="78" xfId="0" applyNumberFormat="1" applyFont="1" applyFill="1" applyBorder="1" applyAlignment="1">
      <alignment horizontal="center" vertical="center" wrapText="1"/>
    </xf>
    <xf numFmtId="169" fontId="11" fillId="9" borderId="79" xfId="0" applyNumberFormat="1" applyFont="1" applyFill="1" applyBorder="1" applyAlignment="1">
      <alignment horizontal="center" vertical="center" wrapText="1"/>
    </xf>
    <xf numFmtId="169" fontId="11" fillId="9" borderId="141" xfId="0" applyNumberFormat="1" applyFont="1" applyFill="1" applyBorder="1" applyAlignment="1">
      <alignment horizontal="center" vertical="center" wrapText="1"/>
    </xf>
    <xf numFmtId="169" fontId="11" fillId="17" borderId="150" xfId="0" applyNumberFormat="1" applyFont="1" applyFill="1" applyBorder="1" applyAlignment="1">
      <alignment horizontal="center" vertical="center" wrapText="1"/>
    </xf>
    <xf numFmtId="169" fontId="11" fillId="17" borderId="66" xfId="0" applyNumberFormat="1" applyFont="1" applyFill="1" applyBorder="1" applyAlignment="1">
      <alignment horizontal="center" vertical="center" wrapText="1"/>
    </xf>
    <xf numFmtId="169" fontId="11" fillId="17" borderId="67" xfId="0" applyNumberFormat="1" applyFont="1" applyFill="1" applyBorder="1" applyAlignment="1">
      <alignment horizontal="center" vertical="center" wrapText="1"/>
    </xf>
    <xf numFmtId="169" fontId="11" fillId="17" borderId="68" xfId="0" applyNumberFormat="1" applyFont="1" applyFill="1" applyBorder="1" applyAlignment="1">
      <alignment horizontal="center" vertical="center" wrapText="1"/>
    </xf>
    <xf numFmtId="169" fontId="11" fillId="17" borderId="151" xfId="0" applyNumberFormat="1" applyFont="1" applyFill="1" applyBorder="1" applyAlignment="1">
      <alignment horizontal="center" vertical="center" wrapText="1"/>
    </xf>
    <xf numFmtId="169" fontId="11" fillId="17" borderId="146" xfId="0" applyNumberFormat="1" applyFont="1" applyFill="1" applyBorder="1" applyAlignment="1">
      <alignment horizontal="center" vertical="center" wrapText="1"/>
    </xf>
    <xf numFmtId="169" fontId="11" fillId="17" borderId="69" xfId="0" applyNumberFormat="1" applyFont="1" applyFill="1" applyBorder="1" applyAlignment="1">
      <alignment horizontal="center" vertical="center" wrapText="1"/>
    </xf>
    <xf numFmtId="169" fontId="11" fillId="17" borderId="70" xfId="0" applyNumberFormat="1" applyFont="1" applyFill="1" applyBorder="1" applyAlignment="1">
      <alignment horizontal="center" vertical="center" wrapText="1"/>
    </xf>
    <xf numFmtId="169" fontId="11" fillId="17" borderId="71" xfId="0" applyNumberFormat="1" applyFont="1" applyFill="1" applyBorder="1" applyAlignment="1">
      <alignment horizontal="center" vertical="center" wrapText="1"/>
    </xf>
    <xf numFmtId="169" fontId="11" fillId="17" borderId="147" xfId="0" applyNumberFormat="1" applyFont="1" applyFill="1" applyBorder="1" applyAlignment="1">
      <alignment horizontal="center" vertical="center" wrapText="1"/>
    </xf>
    <xf numFmtId="169" fontId="11" fillId="3" borderId="142" xfId="0" applyNumberFormat="1" applyFont="1" applyFill="1" applyBorder="1" applyAlignment="1">
      <alignment horizontal="center" vertical="center" wrapText="1"/>
    </xf>
    <xf numFmtId="169" fontId="11" fillId="3" borderId="82" xfId="0" applyNumberFormat="1" applyFont="1" applyFill="1" applyBorder="1" applyAlignment="1">
      <alignment horizontal="center" vertical="center" wrapText="1"/>
    </xf>
    <xf numFmtId="169" fontId="11" fillId="3" borderId="83" xfId="0" applyNumberFormat="1" applyFont="1" applyFill="1" applyBorder="1" applyAlignment="1">
      <alignment horizontal="center" vertical="center" wrapText="1"/>
    </xf>
    <xf numFmtId="169" fontId="11" fillId="3" borderId="84" xfId="0" applyNumberFormat="1" applyFont="1" applyFill="1" applyBorder="1" applyAlignment="1">
      <alignment horizontal="center" vertical="center" wrapText="1"/>
    </xf>
    <xf numFmtId="169" fontId="11" fillId="3" borderId="143" xfId="0" applyNumberFormat="1" applyFont="1" applyFill="1" applyBorder="1" applyAlignment="1">
      <alignment horizontal="center" vertical="center" wrapText="1"/>
    </xf>
    <xf numFmtId="169" fontId="11" fillId="9" borderId="142" xfId="0" applyNumberFormat="1" applyFont="1" applyFill="1" applyBorder="1" applyAlignment="1">
      <alignment horizontal="center" vertical="center" wrapText="1"/>
    </xf>
    <xf numFmtId="169" fontId="11" fillId="9" borderId="82" xfId="0" applyNumberFormat="1" applyFont="1" applyFill="1" applyBorder="1" applyAlignment="1">
      <alignment horizontal="center" vertical="center" wrapText="1"/>
    </xf>
    <xf numFmtId="169" fontId="11" fillId="9" borderId="97" xfId="0" applyNumberFormat="1" applyFont="1" applyFill="1" applyBorder="1" applyAlignment="1">
      <alignment horizontal="center" vertical="center" wrapText="1"/>
    </xf>
    <xf numFmtId="169" fontId="11" fillId="9" borderId="98" xfId="0" applyNumberFormat="1" applyFont="1" applyFill="1" applyBorder="1" applyAlignment="1">
      <alignment horizontal="center" vertical="center" wrapText="1"/>
    </xf>
    <xf numFmtId="169" fontId="11" fillId="9" borderId="143" xfId="0" applyNumberFormat="1" applyFont="1" applyFill="1" applyBorder="1" applyAlignment="1">
      <alignment horizontal="center" vertical="center" wrapText="1"/>
    </xf>
    <xf numFmtId="169" fontId="11" fillId="3" borderId="144" xfId="0" applyNumberFormat="1" applyFont="1" applyFill="1" applyBorder="1" applyAlignment="1">
      <alignment horizontal="center" vertical="center" wrapText="1"/>
    </xf>
    <xf numFmtId="169" fontId="11" fillId="3" borderId="85" xfId="0" applyNumberFormat="1" applyFont="1" applyFill="1" applyBorder="1" applyAlignment="1">
      <alignment horizontal="center" vertical="center" wrapText="1"/>
    </xf>
    <xf numFmtId="169" fontId="11" fillId="3" borderId="86" xfId="0" applyNumberFormat="1" applyFont="1" applyFill="1" applyBorder="1" applyAlignment="1">
      <alignment horizontal="center" vertical="center" wrapText="1"/>
    </xf>
    <xf numFmtId="169" fontId="11" fillId="3" borderId="87" xfId="0" applyNumberFormat="1" applyFont="1" applyFill="1" applyBorder="1" applyAlignment="1">
      <alignment horizontal="center" vertical="center" wrapText="1"/>
    </xf>
    <xf numFmtId="169" fontId="11" fillId="3" borderId="145" xfId="0" applyNumberFormat="1" applyFont="1" applyFill="1" applyBorder="1" applyAlignment="1">
      <alignment horizontal="center" vertical="center" wrapText="1"/>
    </xf>
    <xf numFmtId="169" fontId="11" fillId="9" borderId="144" xfId="0" applyNumberFormat="1" applyFont="1" applyFill="1" applyBorder="1" applyAlignment="1">
      <alignment horizontal="center" vertical="center" wrapText="1"/>
    </xf>
    <xf numFmtId="169" fontId="11" fillId="9" borderId="85" xfId="0" applyNumberFormat="1" applyFont="1" applyFill="1" applyBorder="1" applyAlignment="1">
      <alignment horizontal="center" vertical="center" wrapText="1"/>
    </xf>
    <xf numFmtId="169" fontId="11" fillId="9" borderId="99" xfId="0" applyNumberFormat="1" applyFont="1" applyFill="1" applyBorder="1" applyAlignment="1">
      <alignment horizontal="center" vertical="center" wrapText="1"/>
    </xf>
    <xf numFmtId="169" fontId="11" fillId="9" borderId="100" xfId="0" applyNumberFormat="1" applyFont="1" applyFill="1" applyBorder="1" applyAlignment="1">
      <alignment horizontal="center" vertical="center" wrapText="1"/>
    </xf>
    <xf numFmtId="169" fontId="11" fillId="9" borderId="145" xfId="0" applyNumberFormat="1" applyFont="1" applyFill="1" applyBorder="1" applyAlignment="1">
      <alignment horizontal="center" vertical="center" wrapText="1"/>
    </xf>
    <xf numFmtId="169" fontId="11" fillId="2" borderId="142" xfId="0" applyNumberFormat="1" applyFont="1" applyFill="1" applyBorder="1" applyAlignment="1">
      <alignment horizontal="center" vertical="center" wrapText="1"/>
    </xf>
    <xf numFmtId="169" fontId="11" fillId="2" borderId="97" xfId="0" applyNumberFormat="1" applyFont="1" applyFill="1" applyBorder="1" applyAlignment="1">
      <alignment horizontal="center" vertical="center" wrapText="1"/>
    </xf>
    <xf numFmtId="169" fontId="11" fillId="2" borderId="98" xfId="0" applyNumberFormat="1" applyFont="1" applyFill="1" applyBorder="1" applyAlignment="1">
      <alignment horizontal="center" vertical="center" wrapText="1"/>
    </xf>
    <xf numFmtId="169" fontId="11" fillId="2" borderId="82" xfId="0" applyNumberFormat="1" applyFont="1" applyFill="1" applyBorder="1" applyAlignment="1">
      <alignment horizontal="center" vertical="center" wrapText="1"/>
    </xf>
    <xf numFmtId="169" fontId="11" fillId="2" borderId="83" xfId="0" applyNumberFormat="1" applyFont="1" applyFill="1" applyBorder="1" applyAlignment="1">
      <alignment horizontal="center" vertical="center" wrapText="1"/>
    </xf>
    <xf numFmtId="169" fontId="11" fillId="2" borderId="84" xfId="0" applyNumberFormat="1" applyFont="1" applyFill="1" applyBorder="1" applyAlignment="1">
      <alignment horizontal="center" vertical="center" wrapText="1"/>
    </xf>
    <xf numFmtId="169" fontId="11" fillId="2" borderId="143" xfId="0" applyNumberFormat="1" applyFont="1" applyFill="1" applyBorder="1" applyAlignment="1">
      <alignment horizontal="center" vertical="center" wrapText="1"/>
    </xf>
    <xf numFmtId="169" fontId="11" fillId="2" borderId="144" xfId="0" applyNumberFormat="1" applyFont="1" applyFill="1" applyBorder="1" applyAlignment="1">
      <alignment horizontal="center" vertical="center" wrapText="1"/>
    </xf>
    <xf numFmtId="169" fontId="11" fillId="2" borderId="99" xfId="0" applyNumberFormat="1" applyFont="1" applyFill="1" applyBorder="1" applyAlignment="1">
      <alignment horizontal="center" vertical="center" wrapText="1"/>
    </xf>
    <xf numFmtId="169" fontId="11" fillId="2" borderId="100" xfId="0" applyNumberFormat="1" applyFont="1" applyFill="1" applyBorder="1" applyAlignment="1">
      <alignment horizontal="center" vertical="center" wrapText="1"/>
    </xf>
    <xf numFmtId="169" fontId="11" fillId="2" borderId="85" xfId="0" applyNumberFormat="1" applyFont="1" applyFill="1" applyBorder="1" applyAlignment="1">
      <alignment horizontal="center" vertical="center" wrapText="1"/>
    </xf>
    <xf numFmtId="169" fontId="11" fillId="2" borderId="86" xfId="0" applyNumberFormat="1" applyFont="1" applyFill="1" applyBorder="1" applyAlignment="1">
      <alignment horizontal="center" vertical="center" wrapText="1"/>
    </xf>
    <xf numFmtId="169" fontId="11" fillId="2" borderId="87" xfId="0" applyNumberFormat="1" applyFont="1" applyFill="1" applyBorder="1" applyAlignment="1">
      <alignment horizontal="center" vertical="center" wrapText="1"/>
    </xf>
    <xf numFmtId="169" fontId="11" fillId="2" borderId="145" xfId="0" applyNumberFormat="1" applyFont="1" applyFill="1" applyBorder="1" applyAlignment="1">
      <alignment horizontal="center" vertical="center" wrapText="1"/>
    </xf>
    <xf numFmtId="169" fontId="11" fillId="4" borderId="186" xfId="0" applyNumberFormat="1" applyFont="1" applyFill="1" applyBorder="1" applyAlignment="1">
      <alignment horizontal="center" vertical="center" wrapText="1"/>
    </xf>
    <xf numFmtId="169" fontId="11" fillId="2" borderId="185" xfId="0" applyNumberFormat="1" applyFont="1" applyFill="1" applyBorder="1" applyAlignment="1">
      <alignment horizontal="center" vertical="center" wrapText="1"/>
    </xf>
    <xf numFmtId="169" fontId="11" fillId="2" borderId="195" xfId="0" applyNumberFormat="1" applyFont="1" applyFill="1" applyBorder="1" applyAlignment="1">
      <alignment horizontal="center" vertical="center" wrapText="1"/>
    </xf>
    <xf numFmtId="169" fontId="11" fillId="2" borderId="196" xfId="0" applyNumberFormat="1" applyFont="1" applyFill="1" applyBorder="1" applyAlignment="1">
      <alignment horizontal="center" vertical="center" wrapText="1"/>
    </xf>
    <xf numFmtId="169" fontId="11" fillId="2" borderId="186" xfId="0" applyNumberFormat="1" applyFont="1" applyFill="1" applyBorder="1" applyAlignment="1">
      <alignment horizontal="center" vertical="center" wrapText="1"/>
    </xf>
    <xf numFmtId="169" fontId="11" fillId="2" borderId="217" xfId="0" applyNumberFormat="1" applyFont="1" applyFill="1" applyBorder="1" applyAlignment="1">
      <alignment horizontal="center" vertical="center" wrapText="1"/>
    </xf>
    <xf numFmtId="169" fontId="11" fillId="2" borderId="218" xfId="0" applyNumberFormat="1" applyFont="1" applyFill="1" applyBorder="1" applyAlignment="1">
      <alignment horizontal="center" vertical="center" wrapText="1"/>
    </xf>
    <xf numFmtId="169" fontId="11" fillId="2" borderId="187" xfId="0" applyNumberFormat="1" applyFont="1" applyFill="1" applyBorder="1" applyAlignment="1">
      <alignment horizontal="center" vertical="center" wrapText="1"/>
    </xf>
    <xf numFmtId="169" fontId="11" fillId="17" borderId="185" xfId="0" applyNumberFormat="1" applyFont="1" applyFill="1" applyBorder="1" applyAlignment="1">
      <alignment horizontal="center" vertical="center" wrapText="1"/>
    </xf>
    <xf numFmtId="169" fontId="11" fillId="17" borderId="186" xfId="0" applyNumberFormat="1" applyFont="1" applyFill="1" applyBorder="1" applyAlignment="1">
      <alignment horizontal="center" vertical="center" wrapText="1"/>
    </xf>
    <xf numFmtId="169" fontId="11" fillId="17" borderId="195" xfId="0" applyNumberFormat="1" applyFont="1" applyFill="1" applyBorder="1" applyAlignment="1">
      <alignment horizontal="center" vertical="center" wrapText="1"/>
    </xf>
    <xf numFmtId="169" fontId="11" fillId="17" borderId="196" xfId="0" applyNumberFormat="1" applyFont="1" applyFill="1" applyBorder="1" applyAlignment="1">
      <alignment horizontal="center" vertical="center" wrapText="1"/>
    </xf>
    <xf numFmtId="169" fontId="11" fillId="17" borderId="187" xfId="0" applyNumberFormat="1" applyFont="1" applyFill="1" applyBorder="1" applyAlignment="1">
      <alignment horizontal="center" vertical="center" wrapText="1"/>
    </xf>
    <xf numFmtId="169" fontId="11" fillId="3" borderId="185" xfId="0" applyNumberFormat="1" applyFont="1" applyFill="1" applyBorder="1" applyAlignment="1">
      <alignment horizontal="center" vertical="center" wrapText="1"/>
    </xf>
    <xf numFmtId="169" fontId="11" fillId="3" borderId="186" xfId="0" applyNumberFormat="1" applyFont="1" applyFill="1" applyBorder="1" applyAlignment="1">
      <alignment horizontal="center" vertical="center" wrapText="1"/>
    </xf>
    <xf numFmtId="169" fontId="11" fillId="3" borderId="217" xfId="0" applyNumberFormat="1" applyFont="1" applyFill="1" applyBorder="1" applyAlignment="1">
      <alignment horizontal="center" vertical="center" wrapText="1"/>
    </xf>
    <xf numFmtId="169" fontId="11" fillId="3" borderId="218" xfId="0" applyNumberFormat="1" applyFont="1" applyFill="1" applyBorder="1" applyAlignment="1">
      <alignment horizontal="center" vertical="center" wrapText="1"/>
    </xf>
    <xf numFmtId="169" fontId="11" fillId="3" borderId="187" xfId="0" applyNumberFormat="1" applyFont="1" applyFill="1" applyBorder="1" applyAlignment="1">
      <alignment horizontal="center" vertical="center" wrapText="1"/>
    </xf>
    <xf numFmtId="169" fontId="11" fillId="9" borderId="185" xfId="0" applyNumberFormat="1" applyFont="1" applyFill="1" applyBorder="1" applyAlignment="1">
      <alignment horizontal="center" vertical="center" wrapText="1"/>
    </xf>
    <xf numFmtId="169" fontId="11" fillId="9" borderId="186" xfId="0" applyNumberFormat="1" applyFont="1" applyFill="1" applyBorder="1" applyAlignment="1">
      <alignment horizontal="center" vertical="center" wrapText="1"/>
    </xf>
    <xf numFmtId="169" fontId="11" fillId="9" borderId="195" xfId="0" applyNumberFormat="1" applyFont="1" applyFill="1" applyBorder="1" applyAlignment="1">
      <alignment horizontal="center" vertical="center" wrapText="1"/>
    </xf>
    <xf numFmtId="169" fontId="11" fillId="9" borderId="196" xfId="0" applyNumberFormat="1" applyFont="1" applyFill="1" applyBorder="1" applyAlignment="1">
      <alignment horizontal="center" vertical="center" wrapText="1"/>
    </xf>
    <xf numFmtId="169" fontId="11" fillId="9" borderId="187" xfId="0" applyNumberFormat="1" applyFont="1" applyFill="1" applyBorder="1" applyAlignment="1">
      <alignment horizontal="center" vertical="center" wrapText="1"/>
    </xf>
    <xf numFmtId="169" fontId="11" fillId="4" borderId="201" xfId="0" applyNumberFormat="1" applyFont="1" applyFill="1" applyBorder="1" applyAlignment="1">
      <alignment horizontal="center" vertical="center" wrapText="1"/>
    </xf>
    <xf numFmtId="169" fontId="11" fillId="2" borderId="200" xfId="0" applyNumberFormat="1" applyFont="1" applyFill="1" applyBorder="1" applyAlignment="1">
      <alignment horizontal="center" vertical="center" wrapText="1"/>
    </xf>
    <xf numFmtId="169" fontId="11" fillId="2" borderId="201" xfId="0" applyNumberFormat="1" applyFont="1" applyFill="1" applyBorder="1" applyAlignment="1">
      <alignment horizontal="center" vertical="center" wrapText="1"/>
    </xf>
    <xf numFmtId="169" fontId="11" fillId="2" borderId="202" xfId="0" applyNumberFormat="1" applyFont="1" applyFill="1" applyBorder="1" applyAlignment="1">
      <alignment horizontal="center" vertical="center" wrapText="1"/>
    </xf>
    <xf numFmtId="169" fontId="11" fillId="2" borderId="203" xfId="0" applyNumberFormat="1" applyFont="1" applyFill="1" applyBorder="1" applyAlignment="1">
      <alignment horizontal="center" vertical="center" wrapText="1"/>
    </xf>
    <xf numFmtId="169" fontId="11" fillId="2" borderId="204" xfId="0" applyNumberFormat="1" applyFont="1" applyFill="1" applyBorder="1" applyAlignment="1">
      <alignment horizontal="center" vertical="center" wrapText="1"/>
    </xf>
    <xf numFmtId="169" fontId="11" fillId="2" borderId="205" xfId="0" applyNumberFormat="1" applyFont="1" applyFill="1" applyBorder="1" applyAlignment="1">
      <alignment horizontal="center" vertical="center" wrapText="1"/>
    </xf>
    <xf numFmtId="169" fontId="11" fillId="2" borderId="206" xfId="0" applyNumberFormat="1" applyFont="1" applyFill="1" applyBorder="1" applyAlignment="1">
      <alignment horizontal="center" vertical="center" wrapText="1"/>
    </xf>
    <xf numFmtId="169" fontId="11" fillId="2" borderId="207" xfId="0" applyNumberFormat="1" applyFont="1" applyFill="1" applyBorder="1" applyAlignment="1">
      <alignment horizontal="center" vertical="center" wrapText="1"/>
    </xf>
    <xf numFmtId="169" fontId="11" fillId="2" borderId="208" xfId="0" applyNumberFormat="1" applyFont="1" applyFill="1" applyBorder="1" applyAlignment="1">
      <alignment horizontal="center" vertical="center" wrapText="1"/>
    </xf>
    <xf numFmtId="169" fontId="11" fillId="17" borderId="200" xfId="0" applyNumberFormat="1" applyFont="1" applyFill="1" applyBorder="1" applyAlignment="1">
      <alignment horizontal="center" vertical="center" wrapText="1"/>
    </xf>
    <xf numFmtId="169" fontId="11" fillId="17" borderId="213" xfId="0" applyNumberFormat="1" applyFont="1" applyFill="1" applyBorder="1" applyAlignment="1">
      <alignment horizontal="center" vertical="center" wrapText="1"/>
    </xf>
    <xf numFmtId="169" fontId="11" fillId="17" borderId="214" xfId="0" applyNumberFormat="1" applyFont="1" applyFill="1" applyBorder="1" applyAlignment="1">
      <alignment horizontal="center" vertical="center" wrapText="1"/>
    </xf>
    <xf numFmtId="169" fontId="11" fillId="17" borderId="201" xfId="0" applyNumberFormat="1" applyFont="1" applyFill="1" applyBorder="1" applyAlignment="1">
      <alignment horizontal="center" vertical="center" wrapText="1"/>
    </xf>
    <xf numFmtId="169" fontId="11" fillId="17" borderId="202" xfId="0" applyNumberFormat="1" applyFont="1" applyFill="1" applyBorder="1" applyAlignment="1">
      <alignment horizontal="center" vertical="center" wrapText="1"/>
    </xf>
    <xf numFmtId="169" fontId="11" fillId="17" borderId="205" xfId="0" applyNumberFormat="1" applyFont="1" applyFill="1" applyBorder="1" applyAlignment="1">
      <alignment horizontal="center" vertical="center" wrapText="1"/>
    </xf>
    <xf numFmtId="169" fontId="11" fillId="17" borderId="208" xfId="0" applyNumberFormat="1" applyFont="1" applyFill="1" applyBorder="1" applyAlignment="1">
      <alignment horizontal="center" vertical="center" wrapText="1"/>
    </xf>
    <xf numFmtId="169" fontId="13" fillId="3" borderId="200" xfId="0" applyNumberFormat="1" applyFont="1" applyFill="1" applyBorder="1" applyAlignment="1">
      <alignment horizontal="center" vertical="center" wrapText="1"/>
    </xf>
    <xf numFmtId="169" fontId="13" fillId="3" borderId="201" xfId="0" applyNumberFormat="1" applyFont="1" applyFill="1" applyBorder="1" applyAlignment="1">
      <alignment horizontal="center" vertical="center" wrapText="1"/>
    </xf>
    <xf numFmtId="169" fontId="13" fillId="3" borderId="213" xfId="0" applyNumberFormat="1" applyFont="1" applyFill="1" applyBorder="1" applyAlignment="1">
      <alignment horizontal="center" vertical="center" wrapText="1"/>
    </xf>
    <xf numFmtId="169" fontId="13" fillId="3" borderId="214" xfId="0" applyNumberFormat="1" applyFont="1" applyFill="1" applyBorder="1" applyAlignment="1">
      <alignment horizontal="center" vertical="center" wrapText="1"/>
    </xf>
    <xf numFmtId="169" fontId="13" fillId="3" borderId="202" xfId="0" applyNumberFormat="1" applyFont="1" applyFill="1" applyBorder="1" applyAlignment="1">
      <alignment horizontal="center" vertical="center" wrapText="1"/>
    </xf>
    <xf numFmtId="169" fontId="13" fillId="3" borderId="215" xfId="0" applyNumberFormat="1" applyFont="1" applyFill="1" applyBorder="1" applyAlignment="1">
      <alignment horizontal="center" vertical="center" wrapText="1"/>
    </xf>
    <xf numFmtId="169" fontId="13" fillId="3" borderId="205" xfId="0" applyNumberFormat="1" applyFont="1" applyFill="1" applyBorder="1" applyAlignment="1">
      <alignment horizontal="center" vertical="center" wrapText="1"/>
    </xf>
    <xf numFmtId="169" fontId="13" fillId="3" borderId="216" xfId="0" applyNumberFormat="1" applyFont="1" applyFill="1" applyBorder="1" applyAlignment="1">
      <alignment horizontal="center" vertical="center" wrapText="1"/>
    </xf>
    <xf numFmtId="169" fontId="11" fillId="9" borderId="200" xfId="0" applyNumberFormat="1" applyFont="1" applyFill="1" applyBorder="1" applyAlignment="1">
      <alignment horizontal="center" vertical="center" wrapText="1"/>
    </xf>
    <xf numFmtId="169" fontId="11" fillId="9" borderId="213" xfId="0" applyNumberFormat="1" applyFont="1" applyFill="1" applyBorder="1" applyAlignment="1">
      <alignment horizontal="center" vertical="center" wrapText="1"/>
    </xf>
    <xf numFmtId="169" fontId="11" fillId="9" borderId="214" xfId="0" applyNumberFormat="1" applyFont="1" applyFill="1" applyBorder="1" applyAlignment="1">
      <alignment horizontal="center" vertical="center" wrapText="1"/>
    </xf>
    <xf numFmtId="169" fontId="11" fillId="9" borderId="201" xfId="0" applyNumberFormat="1" applyFont="1" applyFill="1" applyBorder="1" applyAlignment="1">
      <alignment horizontal="center" vertical="center" wrapText="1"/>
    </xf>
    <xf numFmtId="169" fontId="11" fillId="9" borderId="202" xfId="0" applyNumberFormat="1" applyFont="1" applyFill="1" applyBorder="1" applyAlignment="1">
      <alignment horizontal="center" vertical="center" wrapText="1"/>
    </xf>
    <xf numFmtId="169" fontId="11" fillId="9" borderId="205" xfId="0" applyNumberFormat="1" applyFont="1" applyFill="1" applyBorder="1" applyAlignment="1">
      <alignment horizontal="center" vertical="center" wrapText="1"/>
    </xf>
    <xf numFmtId="169" fontId="11" fillId="9" borderId="208" xfId="0" applyNumberFormat="1" applyFont="1" applyFill="1" applyBorder="1" applyAlignment="1">
      <alignment horizontal="center" vertical="center" wrapText="1"/>
    </xf>
    <xf numFmtId="169" fontId="11" fillId="4" borderId="72" xfId="0" applyNumberFormat="1" applyFont="1" applyFill="1" applyBorder="1" applyAlignment="1">
      <alignment horizontal="center" vertical="center" wrapText="1"/>
    </xf>
    <xf numFmtId="169" fontId="15" fillId="4" borderId="72" xfId="0" applyNumberFormat="1" applyFont="1" applyFill="1" applyBorder="1" applyAlignment="1">
      <alignment horizontal="center" vertical="center" wrapText="1"/>
    </xf>
    <xf numFmtId="169" fontId="11" fillId="2" borderId="148" xfId="0" applyNumberFormat="1" applyFont="1" applyFill="1" applyBorder="1" applyAlignment="1">
      <alignment horizontal="center" vertical="center" wrapText="1"/>
    </xf>
    <xf numFmtId="169" fontId="11" fillId="2" borderId="63" xfId="0" applyNumberFormat="1" applyFont="1" applyFill="1" applyBorder="1" applyAlignment="1">
      <alignment horizontal="center" vertical="center" wrapText="1"/>
    </xf>
    <xf numFmtId="169" fontId="11" fillId="2" borderId="88" xfId="0" applyNumberFormat="1" applyFont="1" applyFill="1" applyBorder="1" applyAlignment="1">
      <alignment horizontal="center" vertical="center" wrapText="1"/>
    </xf>
    <xf numFmtId="169" fontId="11" fillId="2" borderId="115" xfId="0" applyNumberFormat="1" applyFont="1" applyFill="1" applyBorder="1" applyAlignment="1">
      <alignment horizontal="center" vertical="center" wrapText="1"/>
    </xf>
    <xf numFmtId="169" fontId="11" fillId="2" borderId="116" xfId="0" applyNumberFormat="1" applyFont="1" applyFill="1" applyBorder="1" applyAlignment="1">
      <alignment horizontal="center" vertical="center" wrapText="1"/>
    </xf>
    <xf numFmtId="169" fontId="11" fillId="2" borderId="90" xfId="0" applyNumberFormat="1" applyFont="1" applyFill="1" applyBorder="1" applyAlignment="1">
      <alignment horizontal="center" vertical="center" wrapText="1"/>
    </xf>
    <xf numFmtId="169" fontId="11" fillId="2" borderId="117" xfId="0" applyNumberFormat="1" applyFont="1" applyFill="1" applyBorder="1" applyAlignment="1">
      <alignment horizontal="center" vertical="center" wrapText="1"/>
    </xf>
    <xf numFmtId="169" fontId="11" fillId="2" borderId="118" xfId="0" applyNumberFormat="1" applyFont="1" applyFill="1" applyBorder="1" applyAlignment="1">
      <alignment horizontal="center" vertical="center" wrapText="1"/>
    </xf>
    <xf numFmtId="169" fontId="11" fillId="2" borderId="149" xfId="0" applyNumberFormat="1" applyFont="1" applyFill="1" applyBorder="1" applyAlignment="1">
      <alignment horizontal="center" vertical="center" wrapText="1"/>
    </xf>
    <xf numFmtId="169" fontId="11" fillId="17" borderId="138" xfId="0" applyNumberFormat="1" applyFont="1" applyFill="1" applyBorder="1" applyAlignment="1">
      <alignment horizontal="center" vertical="center" wrapText="1"/>
    </xf>
    <xf numFmtId="169" fontId="11" fillId="17" borderId="73" xfId="0" applyNumberFormat="1" applyFont="1" applyFill="1" applyBorder="1" applyAlignment="1">
      <alignment horizontal="center" vertical="center" wrapText="1"/>
    </xf>
    <xf numFmtId="169" fontId="11" fillId="17" borderId="74" xfId="0" applyNumberFormat="1" applyFont="1" applyFill="1" applyBorder="1" applyAlignment="1">
      <alignment horizontal="center" vertical="center" wrapText="1"/>
    </xf>
    <xf numFmtId="169" fontId="11" fillId="17" borderId="72" xfId="0" applyNumberFormat="1" applyFont="1" applyFill="1" applyBorder="1" applyAlignment="1">
      <alignment horizontal="center" vertical="center" wrapText="1"/>
    </xf>
    <xf numFmtId="169" fontId="11" fillId="17" borderId="75" xfId="0" applyNumberFormat="1" applyFont="1" applyFill="1" applyBorder="1" applyAlignment="1">
      <alignment horizontal="center" vertical="center" wrapText="1"/>
    </xf>
    <xf numFmtId="169" fontId="11" fillId="17" borderId="76" xfId="0" applyNumberFormat="1" applyFont="1" applyFill="1" applyBorder="1" applyAlignment="1">
      <alignment horizontal="center" vertical="center" wrapText="1"/>
    </xf>
    <xf numFmtId="169" fontId="11" fillId="17" borderId="139" xfId="0" applyNumberFormat="1" applyFont="1" applyFill="1" applyBorder="1" applyAlignment="1">
      <alignment horizontal="center" vertical="center" wrapText="1"/>
    </xf>
    <xf numFmtId="169" fontId="13" fillId="3" borderId="148" xfId="0" applyNumberFormat="1" applyFont="1" applyFill="1" applyBorder="1" applyAlignment="1">
      <alignment horizontal="center" vertical="center" wrapText="1"/>
    </xf>
    <xf numFmtId="169" fontId="13" fillId="3" borderId="63" xfId="0" applyNumberFormat="1" applyFont="1" applyFill="1" applyBorder="1" applyAlignment="1">
      <alignment horizontal="center" vertical="center" wrapText="1"/>
    </xf>
    <xf numFmtId="169" fontId="13" fillId="3" borderId="64" xfId="0" applyNumberFormat="1" applyFont="1" applyFill="1" applyBorder="1" applyAlignment="1">
      <alignment horizontal="center" vertical="center" wrapText="1"/>
    </xf>
    <xf numFmtId="169" fontId="13" fillId="3" borderId="65" xfId="0" applyNumberFormat="1" applyFont="1" applyFill="1" applyBorder="1" applyAlignment="1">
      <alignment horizontal="center" vertical="center" wrapText="1"/>
    </xf>
    <xf numFmtId="169" fontId="13" fillId="3" borderId="88" xfId="0" applyNumberFormat="1" applyFont="1" applyFill="1" applyBorder="1" applyAlignment="1">
      <alignment horizontal="center" vertical="center" wrapText="1"/>
    </xf>
    <xf numFmtId="169" fontId="13" fillId="3" borderId="89" xfId="0" applyNumberFormat="1" applyFont="1" applyFill="1" applyBorder="1" applyAlignment="1">
      <alignment horizontal="center" vertical="center" wrapText="1"/>
    </xf>
    <xf numFmtId="169" fontId="13" fillId="3" borderId="90" xfId="0" applyNumberFormat="1" applyFont="1" applyFill="1" applyBorder="1" applyAlignment="1">
      <alignment horizontal="center" vertical="center" wrapText="1"/>
    </xf>
    <xf numFmtId="169" fontId="13" fillId="3" borderId="163" xfId="0" applyNumberFormat="1" applyFont="1" applyFill="1" applyBorder="1" applyAlignment="1">
      <alignment horizontal="center" vertical="center" wrapText="1"/>
    </xf>
    <xf numFmtId="169" fontId="11" fillId="9" borderId="148" xfId="0" applyNumberFormat="1" applyFont="1" applyFill="1" applyBorder="1" applyAlignment="1">
      <alignment horizontal="center" vertical="center" wrapText="1"/>
    </xf>
    <xf numFmtId="169" fontId="11" fillId="9" borderId="64" xfId="0" applyNumberFormat="1" applyFont="1" applyFill="1" applyBorder="1" applyAlignment="1">
      <alignment horizontal="center" vertical="center" wrapText="1"/>
    </xf>
    <xf numFmtId="169" fontId="11" fillId="9" borderId="65" xfId="0" applyNumberFormat="1" applyFont="1" applyFill="1" applyBorder="1" applyAlignment="1">
      <alignment horizontal="center" vertical="center" wrapText="1"/>
    </xf>
    <xf numFmtId="169" fontId="11" fillId="9" borderId="63" xfId="0" applyNumberFormat="1" applyFont="1" applyFill="1" applyBorder="1" applyAlignment="1">
      <alignment horizontal="center" vertical="center" wrapText="1"/>
    </xf>
    <xf numFmtId="169" fontId="11" fillId="9" borderId="88" xfId="0" applyNumberFormat="1" applyFont="1" applyFill="1" applyBorder="1" applyAlignment="1">
      <alignment horizontal="center" vertical="center" wrapText="1"/>
    </xf>
    <xf numFmtId="169" fontId="11" fillId="9" borderId="90" xfId="0" applyNumberFormat="1" applyFont="1" applyFill="1" applyBorder="1" applyAlignment="1">
      <alignment horizontal="center" vertical="center" wrapText="1"/>
    </xf>
    <xf numFmtId="169" fontId="11" fillId="9" borderId="149" xfId="0" applyNumberFormat="1" applyFont="1" applyFill="1" applyBorder="1" applyAlignment="1">
      <alignment horizontal="center" vertical="center" wrapText="1"/>
    </xf>
    <xf numFmtId="169" fontId="11" fillId="4" borderId="77" xfId="0" applyNumberFormat="1" applyFont="1" applyFill="1" applyBorder="1" applyAlignment="1">
      <alignment horizontal="center" vertical="center" wrapText="1"/>
    </xf>
    <xf numFmtId="169" fontId="15" fillId="4" borderId="77" xfId="0" applyNumberFormat="1" applyFont="1" applyFill="1" applyBorder="1" applyAlignment="1">
      <alignment horizontal="center" vertical="center" wrapText="1"/>
    </xf>
    <xf numFmtId="169" fontId="11" fillId="2" borderId="150" xfId="0" applyNumberFormat="1" applyFont="1" applyFill="1" applyBorder="1" applyAlignment="1">
      <alignment horizontal="center" vertical="center" wrapText="1"/>
    </xf>
    <xf numFmtId="169" fontId="11" fillId="2" borderId="66" xfId="0" applyNumberFormat="1" applyFont="1" applyFill="1" applyBorder="1" applyAlignment="1">
      <alignment horizontal="center" vertical="center" wrapText="1"/>
    </xf>
    <xf numFmtId="169" fontId="11" fillId="2" borderId="91" xfId="0" applyNumberFormat="1" applyFont="1" applyFill="1" applyBorder="1" applyAlignment="1">
      <alignment horizontal="center" vertical="center" wrapText="1"/>
    </xf>
    <xf numFmtId="169" fontId="11" fillId="2" borderId="119" xfId="0" applyNumberFormat="1" applyFont="1" applyFill="1" applyBorder="1" applyAlignment="1">
      <alignment horizontal="center" vertical="center" wrapText="1"/>
    </xf>
    <xf numFmtId="169" fontId="11" fillId="2" borderId="120" xfId="0" applyNumberFormat="1" applyFont="1" applyFill="1" applyBorder="1" applyAlignment="1">
      <alignment horizontal="center" vertical="center" wrapText="1"/>
    </xf>
    <xf numFmtId="169" fontId="11" fillId="2" borderId="93" xfId="0" applyNumberFormat="1" applyFont="1" applyFill="1" applyBorder="1" applyAlignment="1">
      <alignment horizontal="center" vertical="center" wrapText="1"/>
    </xf>
    <xf numFmtId="169" fontId="11" fillId="2" borderId="121" xfId="0" applyNumberFormat="1" applyFont="1" applyFill="1" applyBorder="1" applyAlignment="1">
      <alignment horizontal="center" vertical="center" wrapText="1"/>
    </xf>
    <xf numFmtId="169" fontId="11" fillId="2" borderId="122" xfId="0" applyNumberFormat="1" applyFont="1" applyFill="1" applyBorder="1" applyAlignment="1">
      <alignment horizontal="center" vertical="center" wrapText="1"/>
    </xf>
    <xf numFmtId="169" fontId="11" fillId="2" borderId="151" xfId="0" applyNumberFormat="1" applyFont="1" applyFill="1" applyBorder="1" applyAlignment="1">
      <alignment horizontal="center" vertical="center" wrapText="1"/>
    </xf>
    <xf numFmtId="169" fontId="11" fillId="17" borderId="140" xfId="0" applyNumberFormat="1" applyFont="1" applyFill="1" applyBorder="1" applyAlignment="1">
      <alignment horizontal="center" vertical="center" wrapText="1"/>
    </xf>
    <xf numFmtId="169" fontId="11" fillId="17" borderId="78" xfId="0" applyNumberFormat="1" applyFont="1" applyFill="1" applyBorder="1" applyAlignment="1">
      <alignment horizontal="center" vertical="center" wrapText="1"/>
    </xf>
    <xf numFmtId="169" fontId="11" fillId="17" borderId="79" xfId="0" applyNumberFormat="1" applyFont="1" applyFill="1" applyBorder="1" applyAlignment="1">
      <alignment horizontal="center" vertical="center" wrapText="1"/>
    </xf>
    <xf numFmtId="169" fontId="11" fillId="17" borderId="77" xfId="0" applyNumberFormat="1" applyFont="1" applyFill="1" applyBorder="1" applyAlignment="1">
      <alignment horizontal="center" vertical="center" wrapText="1"/>
    </xf>
    <xf numFmtId="169" fontId="11" fillId="17" borderId="80" xfId="0" applyNumberFormat="1" applyFont="1" applyFill="1" applyBorder="1" applyAlignment="1">
      <alignment horizontal="center" vertical="center" wrapText="1"/>
    </xf>
    <xf numFmtId="169" fontId="11" fillId="17" borderId="81" xfId="0" applyNumberFormat="1" applyFont="1" applyFill="1" applyBorder="1" applyAlignment="1">
      <alignment horizontal="center" vertical="center" wrapText="1"/>
    </xf>
    <xf numFmtId="169" fontId="11" fillId="17" borderId="141" xfId="0" applyNumberFormat="1" applyFont="1" applyFill="1" applyBorder="1" applyAlignment="1">
      <alignment horizontal="center" vertical="center" wrapText="1"/>
    </xf>
    <xf numFmtId="169" fontId="13" fillId="3" borderId="150" xfId="0" applyNumberFormat="1" applyFont="1" applyFill="1" applyBorder="1" applyAlignment="1">
      <alignment horizontal="center" vertical="center" wrapText="1"/>
    </xf>
    <xf numFmtId="169" fontId="13" fillId="3" borderId="66" xfId="0" applyNumberFormat="1" applyFont="1" applyFill="1" applyBorder="1" applyAlignment="1">
      <alignment horizontal="center" vertical="center" wrapText="1"/>
    </xf>
    <xf numFmtId="169" fontId="13" fillId="3" borderId="67" xfId="0" applyNumberFormat="1" applyFont="1" applyFill="1" applyBorder="1" applyAlignment="1">
      <alignment horizontal="center" vertical="center" wrapText="1"/>
    </xf>
    <xf numFmtId="169" fontId="13" fillId="3" borderId="68" xfId="0" applyNumberFormat="1" applyFont="1" applyFill="1" applyBorder="1" applyAlignment="1">
      <alignment horizontal="center" vertical="center" wrapText="1"/>
    </xf>
    <xf numFmtId="169" fontId="13" fillId="3" borderId="91" xfId="0" applyNumberFormat="1" applyFont="1" applyFill="1" applyBorder="1" applyAlignment="1">
      <alignment horizontal="center" vertical="center" wrapText="1"/>
    </xf>
    <xf numFmtId="169" fontId="13" fillId="3" borderId="92" xfId="0" applyNumberFormat="1" applyFont="1" applyFill="1" applyBorder="1" applyAlignment="1">
      <alignment horizontal="center" vertical="center" wrapText="1"/>
    </xf>
    <xf numFmtId="169" fontId="13" fillId="3" borderId="93" xfId="0" applyNumberFormat="1" applyFont="1" applyFill="1" applyBorder="1" applyAlignment="1">
      <alignment horizontal="center" vertical="center" wrapText="1"/>
    </xf>
    <xf numFmtId="169" fontId="13" fillId="3" borderId="164" xfId="0" applyNumberFormat="1" applyFont="1" applyFill="1" applyBorder="1" applyAlignment="1">
      <alignment horizontal="center" vertical="center" wrapText="1"/>
    </xf>
    <xf numFmtId="169" fontId="15" fillId="4" borderId="63" xfId="0" applyNumberFormat="1" applyFont="1" applyFill="1" applyBorder="1" applyAlignment="1">
      <alignment horizontal="center" vertical="center" wrapText="1"/>
    </xf>
    <xf numFmtId="169" fontId="11" fillId="2" borderId="146" xfId="0" applyNumberFormat="1" applyFont="1" applyFill="1" applyBorder="1" applyAlignment="1">
      <alignment horizontal="center" vertical="center" wrapText="1"/>
    </xf>
    <xf numFmtId="169" fontId="11" fillId="2" borderId="69" xfId="0" applyNumberFormat="1" applyFont="1" applyFill="1" applyBorder="1" applyAlignment="1">
      <alignment horizontal="center" vertical="center" wrapText="1"/>
    </xf>
    <xf numFmtId="169" fontId="11" fillId="2" borderId="94" xfId="0" applyNumberFormat="1" applyFont="1" applyFill="1" applyBorder="1" applyAlignment="1">
      <alignment horizontal="center" vertical="center" wrapText="1"/>
    </xf>
    <xf numFmtId="169" fontId="11" fillId="2" borderId="111" xfId="0" applyNumberFormat="1" applyFont="1" applyFill="1" applyBorder="1" applyAlignment="1">
      <alignment horizontal="center" vertical="center" wrapText="1"/>
    </xf>
    <xf numFmtId="169" fontId="11" fillId="2" borderId="112" xfId="0" applyNumberFormat="1" applyFont="1" applyFill="1" applyBorder="1" applyAlignment="1">
      <alignment horizontal="center" vertical="center" wrapText="1"/>
    </xf>
    <xf numFmtId="169" fontId="11" fillId="2" borderId="96" xfId="0" applyNumberFormat="1" applyFont="1" applyFill="1" applyBorder="1" applyAlignment="1">
      <alignment horizontal="center" vertical="center" wrapText="1"/>
    </xf>
    <xf numFmtId="169" fontId="11" fillId="2" borderId="113" xfId="0" applyNumberFormat="1" applyFont="1" applyFill="1" applyBorder="1" applyAlignment="1">
      <alignment horizontal="center" vertical="center" wrapText="1"/>
    </xf>
    <xf numFmtId="169" fontId="11" fillId="2" borderId="114" xfId="0" applyNumberFormat="1" applyFont="1" applyFill="1" applyBorder="1" applyAlignment="1">
      <alignment horizontal="center" vertical="center" wrapText="1"/>
    </xf>
    <xf numFmtId="169" fontId="11" fillId="2" borderId="147" xfId="0" applyNumberFormat="1" applyFont="1" applyFill="1" applyBorder="1" applyAlignment="1">
      <alignment horizontal="center" vertical="center" wrapText="1"/>
    </xf>
    <xf numFmtId="169" fontId="13" fillId="3" borderId="146" xfId="0" applyNumberFormat="1" applyFont="1" applyFill="1" applyBorder="1" applyAlignment="1">
      <alignment horizontal="center" vertical="center" wrapText="1"/>
    </xf>
    <xf numFmtId="169" fontId="13" fillId="3" borderId="69" xfId="0" applyNumberFormat="1" applyFont="1" applyFill="1" applyBorder="1" applyAlignment="1">
      <alignment horizontal="center" vertical="center" wrapText="1"/>
    </xf>
    <xf numFmtId="169" fontId="13" fillId="3" borderId="70" xfId="0" applyNumberFormat="1" applyFont="1" applyFill="1" applyBorder="1" applyAlignment="1">
      <alignment horizontal="center" vertical="center" wrapText="1"/>
    </xf>
    <xf numFmtId="169" fontId="13" fillId="3" borderId="71" xfId="0" applyNumberFormat="1" applyFont="1" applyFill="1" applyBorder="1" applyAlignment="1">
      <alignment horizontal="center" vertical="center" wrapText="1"/>
    </xf>
    <xf numFmtId="169" fontId="13" fillId="3" borderId="94" xfId="0" applyNumberFormat="1" applyFont="1" applyFill="1" applyBorder="1" applyAlignment="1">
      <alignment horizontal="center" vertical="center" wrapText="1"/>
    </xf>
    <xf numFmtId="169" fontId="13" fillId="3" borderId="95" xfId="0" applyNumberFormat="1" applyFont="1" applyFill="1" applyBorder="1" applyAlignment="1">
      <alignment horizontal="center" vertical="center" wrapText="1"/>
    </xf>
    <xf numFmtId="169" fontId="13" fillId="3" borderId="96" xfId="0" applyNumberFormat="1" applyFont="1" applyFill="1" applyBorder="1" applyAlignment="1">
      <alignment horizontal="center" vertical="center" wrapText="1"/>
    </xf>
    <xf numFmtId="169" fontId="13" fillId="3" borderId="165" xfId="0" applyNumberFormat="1" applyFont="1" applyFill="1" applyBorder="1" applyAlignment="1">
      <alignment horizontal="center" vertical="center" wrapText="1"/>
    </xf>
    <xf numFmtId="169" fontId="11" fillId="2" borderId="123" xfId="0" applyNumberFormat="1" applyFont="1" applyFill="1" applyBorder="1" applyAlignment="1">
      <alignment horizontal="center" vertical="center" wrapText="1"/>
    </xf>
    <xf numFmtId="169" fontId="11" fillId="2" borderId="124" xfId="0" applyNumberFormat="1" applyFont="1" applyFill="1" applyBorder="1" applyAlignment="1">
      <alignment horizontal="center" vertical="center" wrapText="1"/>
    </xf>
    <xf numFmtId="0" fontId="12" fillId="9" borderId="65" xfId="0" applyFont="1" applyFill="1" applyBorder="1" applyAlignment="1">
      <alignment horizontal="center" vertical="center" wrapText="1"/>
    </xf>
    <xf numFmtId="169" fontId="11" fillId="2" borderId="125" xfId="0" applyNumberFormat="1" applyFont="1" applyFill="1" applyBorder="1" applyAlignment="1">
      <alignment horizontal="center" vertical="center" wrapText="1"/>
    </xf>
    <xf numFmtId="169" fontId="11" fillId="2" borderId="126" xfId="0" applyNumberFormat="1" applyFont="1" applyFill="1" applyBorder="1" applyAlignment="1">
      <alignment horizontal="center" vertical="center" wrapText="1"/>
    </xf>
    <xf numFmtId="169" fontId="11" fillId="2" borderId="127" xfId="0" applyNumberFormat="1" applyFont="1" applyFill="1" applyBorder="1" applyAlignment="1">
      <alignment horizontal="center" vertical="center" wrapText="1"/>
    </xf>
    <xf numFmtId="169" fontId="11" fillId="2" borderId="128" xfId="0" applyNumberFormat="1" applyFont="1" applyFill="1" applyBorder="1" applyAlignment="1">
      <alignment horizontal="center" vertical="center" wrapText="1"/>
    </xf>
    <xf numFmtId="169" fontId="11" fillId="2" borderId="129" xfId="0" applyNumberFormat="1" applyFont="1" applyFill="1" applyBorder="1" applyAlignment="1">
      <alignment horizontal="center" vertical="center" wrapText="1"/>
    </xf>
    <xf numFmtId="169" fontId="11" fillId="2" borderId="130" xfId="0" applyNumberFormat="1" applyFont="1" applyFill="1" applyBorder="1" applyAlignment="1">
      <alignment horizontal="center" vertical="center" wrapText="1"/>
    </xf>
    <xf numFmtId="169" fontId="11" fillId="2" borderId="131" xfId="0" applyNumberFormat="1" applyFont="1" applyFill="1" applyBorder="1" applyAlignment="1">
      <alignment horizontal="center" vertical="center" wrapText="1"/>
    </xf>
    <xf numFmtId="169" fontId="11" fillId="2" borderId="132" xfId="0" applyNumberFormat="1" applyFont="1" applyFill="1" applyBorder="1" applyAlignment="1">
      <alignment horizontal="center" vertical="center" wrapText="1"/>
    </xf>
    <xf numFmtId="169" fontId="11" fillId="2" borderId="133" xfId="0" applyNumberFormat="1" applyFont="1" applyFill="1" applyBorder="1" applyAlignment="1">
      <alignment horizontal="center" vertical="center" wrapText="1"/>
    </xf>
    <xf numFmtId="169" fontId="11" fillId="2" borderId="134" xfId="0" applyNumberFormat="1" applyFont="1" applyFill="1" applyBorder="1" applyAlignment="1">
      <alignment horizontal="center" vertical="center" wrapText="1"/>
    </xf>
    <xf numFmtId="169" fontId="11" fillId="9" borderId="168" xfId="0" applyNumberFormat="1" applyFont="1" applyFill="1" applyBorder="1" applyAlignment="1">
      <alignment horizontal="center" vertical="center" wrapText="1"/>
    </xf>
    <xf numFmtId="169" fontId="11" fillId="9" borderId="102" xfId="0" applyNumberFormat="1" applyFont="1" applyFill="1" applyBorder="1" applyAlignment="1">
      <alignment horizontal="center" vertical="center" wrapText="1"/>
    </xf>
    <xf numFmtId="169" fontId="11" fillId="9" borderId="103" xfId="0" applyNumberFormat="1" applyFont="1" applyFill="1" applyBorder="1" applyAlignment="1">
      <alignment horizontal="center" vertical="center" wrapText="1"/>
    </xf>
    <xf numFmtId="169" fontId="11" fillId="9" borderId="101" xfId="0" applyNumberFormat="1" applyFont="1" applyFill="1" applyBorder="1" applyAlignment="1">
      <alignment horizontal="center" vertical="center" wrapText="1"/>
    </xf>
    <xf numFmtId="169" fontId="11" fillId="9" borderId="104" xfId="0" applyNumberFormat="1" applyFont="1" applyFill="1" applyBorder="1" applyAlignment="1">
      <alignment horizontal="center" vertical="center" wrapText="1"/>
    </xf>
    <xf numFmtId="169" fontId="11" fillId="9" borderId="105" xfId="0" applyNumberFormat="1" applyFont="1" applyFill="1" applyBorder="1" applyAlignment="1">
      <alignment horizontal="center" vertical="center" wrapText="1"/>
    </xf>
    <xf numFmtId="169" fontId="11" fillId="9" borderId="169" xfId="0" applyNumberFormat="1" applyFont="1" applyFill="1" applyBorder="1" applyAlignment="1">
      <alignment horizontal="center" vertical="center" wrapText="1"/>
    </xf>
    <xf numFmtId="169" fontId="11" fillId="2" borderId="135" xfId="0" applyNumberFormat="1" applyFont="1" applyFill="1" applyBorder="1" applyAlignment="1">
      <alignment horizontal="center" vertical="center" wrapText="1"/>
    </xf>
    <xf numFmtId="169" fontId="11" fillId="9" borderId="170" xfId="0" applyNumberFormat="1" applyFont="1" applyFill="1" applyBorder="1" applyAlignment="1">
      <alignment horizontal="center" vertical="center" wrapText="1"/>
    </xf>
    <xf numFmtId="169" fontId="11" fillId="9" borderId="107" xfId="0" applyNumberFormat="1" applyFont="1" applyFill="1" applyBorder="1" applyAlignment="1">
      <alignment horizontal="center" vertical="center" wrapText="1"/>
    </xf>
    <xf numFmtId="169" fontId="11" fillId="9" borderId="108" xfId="0" applyNumberFormat="1" applyFont="1" applyFill="1" applyBorder="1" applyAlignment="1">
      <alignment horizontal="center" vertical="center" wrapText="1"/>
    </xf>
    <xf numFmtId="169" fontId="11" fillId="9" borderId="106" xfId="0" applyNumberFormat="1" applyFont="1" applyFill="1" applyBorder="1" applyAlignment="1">
      <alignment horizontal="center" vertical="center" wrapText="1"/>
    </xf>
    <xf numFmtId="169" fontId="11" fillId="9" borderId="109" xfId="0" applyNumberFormat="1" applyFont="1" applyFill="1" applyBorder="1" applyAlignment="1">
      <alignment horizontal="center" vertical="center" wrapText="1"/>
    </xf>
    <xf numFmtId="169" fontId="11" fillId="9" borderId="110" xfId="0" applyNumberFormat="1" applyFont="1" applyFill="1" applyBorder="1" applyAlignment="1">
      <alignment horizontal="center" vertical="center" wrapText="1"/>
    </xf>
    <xf numFmtId="169" fontId="11" fillId="9" borderId="171" xfId="0" applyNumberFormat="1" applyFont="1" applyFill="1" applyBorder="1" applyAlignment="1">
      <alignment horizontal="center" vertical="center" wrapText="1"/>
    </xf>
    <xf numFmtId="169" fontId="11" fillId="2" borderId="136" xfId="0" applyNumberFormat="1" applyFont="1" applyFill="1" applyBorder="1" applyAlignment="1">
      <alignment horizontal="center" vertical="center" wrapText="1"/>
    </xf>
    <xf numFmtId="169" fontId="11" fillId="2" borderId="137" xfId="0" applyNumberFormat="1" applyFont="1" applyFill="1" applyBorder="1" applyAlignment="1">
      <alignment horizontal="center" vertical="center" wrapText="1"/>
    </xf>
    <xf numFmtId="169" fontId="15" fillId="9" borderId="65" xfId="0" applyNumberFormat="1" applyFont="1" applyFill="1" applyBorder="1" applyAlignment="1">
      <alignment horizontal="center" vertical="center" wrapText="1"/>
    </xf>
    <xf numFmtId="169" fontId="15" fillId="9" borderId="88" xfId="0" applyNumberFormat="1" applyFont="1" applyFill="1" applyBorder="1" applyAlignment="1">
      <alignment horizontal="center" vertical="center" wrapText="1"/>
    </xf>
    <xf numFmtId="169" fontId="15" fillId="4" borderId="153" xfId="0" applyNumberFormat="1" applyFont="1" applyFill="1" applyBorder="1" applyAlignment="1">
      <alignment horizontal="center" vertical="center" wrapText="1"/>
    </xf>
    <xf numFmtId="169" fontId="11" fillId="4" borderId="153" xfId="0" applyNumberFormat="1" applyFont="1" applyFill="1" applyBorder="1" applyAlignment="1">
      <alignment horizontal="center" vertical="center" wrapText="1"/>
    </xf>
    <xf numFmtId="169" fontId="15" fillId="2" borderId="152" xfId="0" applyNumberFormat="1" applyFont="1" applyFill="1" applyBorder="1" applyAlignment="1">
      <alignment horizontal="center" vertical="center" wrapText="1"/>
    </xf>
    <xf numFmtId="169" fontId="15" fillId="2" borderId="153" xfId="0" applyNumberFormat="1" applyFont="1" applyFill="1" applyBorder="1" applyAlignment="1">
      <alignment horizontal="center" vertical="center" wrapText="1"/>
    </xf>
    <xf numFmtId="169" fontId="11" fillId="2" borderId="153" xfId="0" applyNumberFormat="1" applyFont="1" applyFill="1" applyBorder="1" applyAlignment="1">
      <alignment horizontal="center" vertical="center" wrapText="1"/>
    </xf>
    <xf numFmtId="169" fontId="11" fillId="2" borderId="154" xfId="0" applyNumberFormat="1" applyFont="1" applyFill="1" applyBorder="1" applyAlignment="1">
      <alignment horizontal="center" vertical="center" wrapText="1"/>
    </xf>
    <xf numFmtId="169" fontId="11" fillId="2" borderId="155" xfId="0" applyNumberFormat="1" applyFont="1" applyFill="1" applyBorder="1" applyAlignment="1">
      <alignment horizontal="center" vertical="center" wrapText="1"/>
    </xf>
    <xf numFmtId="169" fontId="11" fillId="2" borderId="156" xfId="0" applyNumberFormat="1" applyFont="1" applyFill="1" applyBorder="1" applyAlignment="1">
      <alignment horizontal="center" vertical="center" wrapText="1"/>
    </xf>
    <xf numFmtId="169" fontId="11" fillId="2" borderId="157" xfId="0" applyNumberFormat="1" applyFont="1" applyFill="1" applyBorder="1" applyAlignment="1">
      <alignment horizontal="center" vertical="center" wrapText="1"/>
    </xf>
    <xf numFmtId="169" fontId="11" fillId="2" borderId="158" xfId="0" applyNumberFormat="1" applyFont="1" applyFill="1" applyBorder="1" applyAlignment="1">
      <alignment horizontal="center" vertical="center" wrapText="1"/>
    </xf>
    <xf numFmtId="169" fontId="11" fillId="2" borderId="159" xfId="0" applyNumberFormat="1" applyFont="1" applyFill="1" applyBorder="1" applyAlignment="1">
      <alignment horizontal="center" vertical="center" wrapText="1"/>
    </xf>
    <xf numFmtId="169" fontId="11" fillId="17" borderId="152" xfId="0" applyNumberFormat="1" applyFont="1" applyFill="1" applyBorder="1" applyAlignment="1">
      <alignment horizontal="center" vertical="center" wrapText="1"/>
    </xf>
    <xf numFmtId="169" fontId="11" fillId="17" borderId="160" xfId="0" applyNumberFormat="1" applyFont="1" applyFill="1" applyBorder="1" applyAlignment="1">
      <alignment horizontal="center" vertical="center" wrapText="1"/>
    </xf>
    <xf numFmtId="169" fontId="11" fillId="17" borderId="161" xfId="0" applyNumberFormat="1" applyFont="1" applyFill="1" applyBorder="1" applyAlignment="1">
      <alignment horizontal="center" vertical="center" wrapText="1"/>
    </xf>
    <xf numFmtId="169" fontId="11" fillId="17" borderId="153" xfId="0" applyNumberFormat="1" applyFont="1" applyFill="1" applyBorder="1" applyAlignment="1">
      <alignment horizontal="center" vertical="center" wrapText="1"/>
    </xf>
    <xf numFmtId="169" fontId="11" fillId="17" borderId="154" xfId="0" applyNumberFormat="1" applyFont="1" applyFill="1" applyBorder="1" applyAlignment="1">
      <alignment horizontal="center" vertical="center" wrapText="1"/>
    </xf>
    <xf numFmtId="169" fontId="11" fillId="17" borderId="162" xfId="0" applyNumberFormat="1" applyFont="1" applyFill="1" applyBorder="1" applyAlignment="1">
      <alignment horizontal="center" vertical="center" wrapText="1"/>
    </xf>
    <xf numFmtId="169" fontId="11" fillId="17" borderId="159" xfId="0" applyNumberFormat="1" applyFont="1" applyFill="1" applyBorder="1" applyAlignment="1">
      <alignment horizontal="center" vertical="center" wrapText="1"/>
    </xf>
    <xf numFmtId="169" fontId="13" fillId="3" borderId="152" xfId="0" applyNumberFormat="1" applyFont="1" applyFill="1" applyBorder="1" applyAlignment="1">
      <alignment horizontal="center" vertical="center" wrapText="1"/>
    </xf>
    <xf numFmtId="169" fontId="14" fillId="3" borderId="153" xfId="0" applyNumberFormat="1" applyFont="1" applyFill="1" applyBorder="1" applyAlignment="1">
      <alignment horizontal="center" vertical="center" wrapText="1"/>
    </xf>
    <xf numFmtId="169" fontId="13" fillId="3" borderId="160" xfId="0" applyNumberFormat="1" applyFont="1" applyFill="1" applyBorder="1" applyAlignment="1">
      <alignment horizontal="center" vertical="center" wrapText="1"/>
    </xf>
    <xf numFmtId="169" fontId="13" fillId="3" borderId="161" xfId="0" applyNumberFormat="1" applyFont="1" applyFill="1" applyBorder="1" applyAlignment="1">
      <alignment horizontal="center" vertical="center" wrapText="1"/>
    </xf>
    <xf numFmtId="169" fontId="13" fillId="3" borderId="154" xfId="0" applyNumberFormat="1" applyFont="1" applyFill="1" applyBorder="1" applyAlignment="1">
      <alignment horizontal="center" vertical="center" wrapText="1"/>
    </xf>
    <xf numFmtId="169" fontId="13" fillId="3" borderId="166" xfId="0" applyNumberFormat="1" applyFont="1" applyFill="1" applyBorder="1" applyAlignment="1">
      <alignment horizontal="center" vertical="center" wrapText="1"/>
    </xf>
    <xf numFmtId="169" fontId="13" fillId="3" borderId="162" xfId="0" applyNumberFormat="1" applyFont="1" applyFill="1" applyBorder="1" applyAlignment="1">
      <alignment horizontal="center" vertical="center" wrapText="1"/>
    </xf>
    <xf numFmtId="169" fontId="13" fillId="3" borderId="153" xfId="0" applyNumberFormat="1" applyFont="1" applyFill="1" applyBorder="1" applyAlignment="1">
      <alignment horizontal="center" vertical="center" wrapText="1"/>
    </xf>
    <xf numFmtId="169" fontId="13" fillId="3" borderId="167" xfId="0" applyNumberFormat="1" applyFont="1" applyFill="1" applyBorder="1" applyAlignment="1">
      <alignment horizontal="center" vertical="center" wrapText="1"/>
    </xf>
    <xf numFmtId="169" fontId="15" fillId="9" borderId="152" xfId="0" applyNumberFormat="1" applyFont="1" applyFill="1" applyBorder="1" applyAlignment="1">
      <alignment horizontal="center" vertical="center" wrapText="1"/>
    </xf>
    <xf numFmtId="169" fontId="11" fillId="9" borderId="160" xfId="0" applyNumberFormat="1" applyFont="1" applyFill="1" applyBorder="1" applyAlignment="1">
      <alignment horizontal="center" vertical="center" wrapText="1"/>
    </xf>
    <xf numFmtId="169" fontId="11" fillId="9" borderId="161" xfId="0" applyNumberFormat="1" applyFont="1" applyFill="1" applyBorder="1" applyAlignment="1">
      <alignment horizontal="center" vertical="center" wrapText="1"/>
    </xf>
    <xf numFmtId="169" fontId="11" fillId="9" borderId="153" xfId="0" applyNumberFormat="1" applyFont="1" applyFill="1" applyBorder="1" applyAlignment="1">
      <alignment horizontal="center" vertical="center" wrapText="1"/>
    </xf>
    <xf numFmtId="169" fontId="15" fillId="9" borderId="153" xfId="0" applyNumberFormat="1" applyFont="1" applyFill="1" applyBorder="1" applyAlignment="1">
      <alignment horizontal="center" vertical="center" wrapText="1"/>
    </xf>
    <xf numFmtId="169" fontId="15" fillId="9" borderId="154" xfId="0" applyNumberFormat="1" applyFont="1" applyFill="1" applyBorder="1" applyAlignment="1">
      <alignment horizontal="center" vertical="center" wrapText="1"/>
    </xf>
    <xf numFmtId="169" fontId="11" fillId="9" borderId="162" xfId="0" applyNumberFormat="1" applyFont="1" applyFill="1" applyBorder="1" applyAlignment="1">
      <alignment horizontal="center" vertical="center" wrapText="1"/>
    </xf>
    <xf numFmtId="169" fontId="11" fillId="9" borderId="159" xfId="0" applyNumberFormat="1" applyFont="1" applyFill="1" applyBorder="1" applyAlignment="1">
      <alignment horizontal="center" vertical="center" wrapText="1"/>
    </xf>
    <xf numFmtId="169" fontId="11" fillId="4" borderId="220" xfId="0" applyNumberFormat="1" applyFont="1" applyFill="1" applyBorder="1" applyAlignment="1">
      <alignment horizontal="center" vertical="center" wrapText="1"/>
    </xf>
    <xf numFmtId="169" fontId="11" fillId="4" borderId="225" xfId="0" applyNumberFormat="1" applyFont="1" applyFill="1" applyBorder="1" applyAlignment="1">
      <alignment horizontal="center" vertical="center" wrapText="1"/>
    </xf>
    <xf numFmtId="169" fontId="11" fillId="2" borderId="226" xfId="0" applyNumberFormat="1" applyFont="1" applyFill="1" applyBorder="1" applyAlignment="1">
      <alignment horizontal="center" vertical="center" wrapText="1"/>
    </xf>
    <xf numFmtId="169" fontId="11" fillId="2" borderId="227" xfId="0" applyNumberFormat="1" applyFont="1" applyFill="1" applyBorder="1" applyAlignment="1">
      <alignment horizontal="center" vertical="center" wrapText="1"/>
    </xf>
    <xf numFmtId="169" fontId="11" fillId="2" borderId="228" xfId="0" applyNumberFormat="1" applyFont="1" applyFill="1" applyBorder="1" applyAlignment="1">
      <alignment horizontal="center" vertical="center" wrapText="1"/>
    </xf>
    <xf numFmtId="169" fontId="11" fillId="2" borderId="229" xfId="0" applyNumberFormat="1" applyFont="1" applyFill="1" applyBorder="1" applyAlignment="1">
      <alignment horizontal="center" vertical="center" wrapText="1"/>
    </xf>
    <xf numFmtId="169" fontId="11" fillId="2" borderId="230" xfId="0" applyNumberFormat="1" applyFont="1" applyFill="1" applyBorder="1" applyAlignment="1">
      <alignment horizontal="center" vertical="center" wrapText="1"/>
    </xf>
    <xf numFmtId="169" fontId="11" fillId="2" borderId="231" xfId="0" applyNumberFormat="1" applyFont="1" applyFill="1" applyBorder="1" applyAlignment="1">
      <alignment horizontal="center" vertical="center" wrapText="1"/>
    </xf>
    <xf numFmtId="169" fontId="11" fillId="2" borderId="232" xfId="0" applyNumberFormat="1" applyFont="1" applyFill="1" applyBorder="1" applyAlignment="1">
      <alignment horizontal="center" vertical="center" wrapText="1"/>
    </xf>
    <xf numFmtId="169" fontId="11" fillId="3" borderId="226" xfId="0" applyNumberFormat="1" applyFont="1" applyFill="1" applyBorder="1" applyAlignment="1">
      <alignment horizontal="center" vertical="center" wrapText="1"/>
    </xf>
    <xf numFmtId="169" fontId="11" fillId="3" borderId="229" xfId="0" applyNumberFormat="1" applyFont="1" applyFill="1" applyBorder="1" applyAlignment="1">
      <alignment horizontal="center" vertical="center" wrapText="1"/>
    </xf>
    <xf numFmtId="169" fontId="11" fillId="3" borderId="230" xfId="0" applyNumberFormat="1" applyFont="1" applyFill="1" applyBorder="1" applyAlignment="1">
      <alignment horizontal="center" vertical="center" wrapText="1"/>
    </xf>
    <xf numFmtId="169" fontId="11" fillId="3" borderId="231" xfId="0" applyNumberFormat="1" applyFont="1" applyFill="1" applyBorder="1" applyAlignment="1">
      <alignment horizontal="center" vertical="center" wrapText="1"/>
    </xf>
    <xf numFmtId="169" fontId="11" fillId="3" borderId="232" xfId="0" applyNumberFormat="1" applyFont="1" applyFill="1" applyBorder="1" applyAlignment="1">
      <alignment horizontal="center" vertical="center" wrapText="1"/>
    </xf>
    <xf numFmtId="169" fontId="11" fillId="9" borderId="226" xfId="0" applyNumberFormat="1" applyFont="1" applyFill="1" applyBorder="1" applyAlignment="1">
      <alignment horizontal="center" vertical="center" wrapText="1"/>
    </xf>
    <xf numFmtId="169" fontId="11" fillId="9" borderId="229" xfId="0" applyNumberFormat="1" applyFont="1" applyFill="1" applyBorder="1" applyAlignment="1">
      <alignment horizontal="center" vertical="center" wrapText="1"/>
    </xf>
    <xf numFmtId="169" fontId="11" fillId="9" borderId="227" xfId="0" applyNumberFormat="1" applyFont="1" applyFill="1" applyBorder="1" applyAlignment="1">
      <alignment horizontal="center" vertical="center" wrapText="1"/>
    </xf>
    <xf numFmtId="169" fontId="11" fillId="9" borderId="228" xfId="0" applyNumberFormat="1" applyFont="1" applyFill="1" applyBorder="1" applyAlignment="1">
      <alignment horizontal="center" vertical="center" wrapText="1"/>
    </xf>
    <xf numFmtId="169" fontId="11" fillId="9" borderId="232" xfId="0" applyNumberFormat="1" applyFont="1" applyFill="1" applyBorder="1" applyAlignment="1">
      <alignment horizontal="center" vertical="center" wrapText="1"/>
    </xf>
    <xf numFmtId="169" fontId="11" fillId="4" borderId="148" xfId="0" applyNumberFormat="1" applyFont="1" applyFill="1" applyBorder="1" applyAlignment="1">
      <alignment horizontal="center" vertical="center" wrapText="1"/>
    </xf>
    <xf numFmtId="169" fontId="11" fillId="4" borderId="149" xfId="0" applyNumberFormat="1" applyFont="1" applyFill="1" applyBorder="1" applyAlignment="1">
      <alignment horizontal="center" vertical="center" wrapText="1"/>
    </xf>
    <xf numFmtId="169" fontId="11" fillId="4" borderId="185" xfId="0" applyNumberFormat="1" applyFont="1" applyFill="1" applyBorder="1" applyAlignment="1">
      <alignment horizontal="center" vertical="center" wrapText="1"/>
    </xf>
    <xf numFmtId="169" fontId="11" fillId="4" borderId="187" xfId="0" applyNumberFormat="1" applyFont="1" applyFill="1" applyBorder="1" applyAlignment="1">
      <alignment horizontal="center" vertical="center" wrapText="1"/>
    </xf>
    <xf numFmtId="169" fontId="11" fillId="2" borderId="188" xfId="0" applyNumberFormat="1" applyFont="1" applyFill="1" applyBorder="1" applyAlignment="1">
      <alignment horizontal="center" vertical="center" wrapText="1"/>
    </xf>
    <xf numFmtId="169" fontId="11" fillId="2" borderId="189" xfId="0" applyNumberFormat="1" applyFont="1" applyFill="1" applyBorder="1" applyAlignment="1">
      <alignment horizontal="center" vertical="center" wrapText="1"/>
    </xf>
    <xf numFmtId="169" fontId="11" fillId="2" borderId="190" xfId="0" applyNumberFormat="1" applyFont="1" applyFill="1" applyBorder="1" applyAlignment="1">
      <alignment horizontal="center" vertical="center" wrapText="1"/>
    </xf>
    <xf numFmtId="169" fontId="11" fillId="2" borderId="191" xfId="0" applyNumberFormat="1" applyFont="1" applyFill="1" applyBorder="1" applyAlignment="1">
      <alignment horizontal="center" vertical="center" wrapText="1"/>
    </xf>
    <xf numFmtId="169" fontId="11" fillId="2" borderId="192" xfId="0" applyNumberFormat="1" applyFont="1" applyFill="1" applyBorder="1" applyAlignment="1">
      <alignment horizontal="center" vertical="center" wrapText="1"/>
    </xf>
    <xf numFmtId="169" fontId="11" fillId="2" borderId="193" xfId="0" applyNumberFormat="1" applyFont="1" applyFill="1" applyBorder="1" applyAlignment="1">
      <alignment horizontal="center" vertical="center" wrapText="1"/>
    </xf>
    <xf numFmtId="169" fontId="11" fillId="2" borderId="194" xfId="0" applyNumberFormat="1" applyFont="1" applyFill="1" applyBorder="1" applyAlignment="1">
      <alignment horizontal="center" vertical="center" wrapText="1"/>
    </xf>
    <xf numFmtId="169" fontId="11" fillId="3" borderId="188" xfId="0" applyNumberFormat="1" applyFont="1" applyFill="1" applyBorder="1" applyAlignment="1">
      <alignment horizontal="center" vertical="center" wrapText="1"/>
    </xf>
    <xf numFmtId="169" fontId="11" fillId="3" borderId="191" xfId="0" applyNumberFormat="1" applyFont="1" applyFill="1" applyBorder="1" applyAlignment="1">
      <alignment horizontal="center" vertical="center" wrapText="1"/>
    </xf>
    <xf numFmtId="169" fontId="11" fillId="3" borderId="192" xfId="0" applyNumberFormat="1" applyFont="1" applyFill="1" applyBorder="1" applyAlignment="1">
      <alignment horizontal="center" vertical="center" wrapText="1"/>
    </xf>
    <xf numFmtId="169" fontId="11" fillId="3" borderId="193" xfId="0" applyNumberFormat="1" applyFont="1" applyFill="1" applyBorder="1" applyAlignment="1">
      <alignment horizontal="center" vertical="center" wrapText="1"/>
    </xf>
    <xf numFmtId="169" fontId="11" fillId="3" borderId="194" xfId="0" applyNumberFormat="1" applyFont="1" applyFill="1" applyBorder="1" applyAlignment="1">
      <alignment horizontal="center" vertical="center" wrapText="1"/>
    </xf>
    <xf numFmtId="169" fontId="11" fillId="4" borderId="197" xfId="0" applyNumberFormat="1" applyFont="1" applyFill="1" applyBorder="1" applyAlignment="1">
      <alignment horizontal="center" vertical="center" wrapText="1"/>
    </xf>
    <xf numFmtId="169" fontId="11" fillId="4" borderId="198" xfId="0" applyNumberFormat="1" applyFont="1" applyFill="1" applyBorder="1" applyAlignment="1">
      <alignment horizontal="center" vertical="center" wrapText="1"/>
    </xf>
    <xf numFmtId="169" fontId="15" fillId="4" borderId="199" xfId="0" applyNumberFormat="1" applyFont="1" applyFill="1" applyBorder="1" applyAlignment="1">
      <alignment horizontal="center" vertical="center" wrapText="1"/>
    </xf>
    <xf numFmtId="169" fontId="11" fillId="17" borderId="197" xfId="0" applyNumberFormat="1" applyFont="1" applyFill="1" applyBorder="1" applyAlignment="1">
      <alignment horizontal="center" vertical="center" wrapText="1"/>
    </xf>
    <xf numFmtId="169" fontId="11" fillId="17" borderId="209" xfId="0" applyNumberFormat="1" applyFont="1" applyFill="1" applyBorder="1" applyAlignment="1">
      <alignment horizontal="center" vertical="center" wrapText="1"/>
    </xf>
    <xf numFmtId="169" fontId="11" fillId="17" borderId="210" xfId="0" applyNumberFormat="1" applyFont="1" applyFill="1" applyBorder="1" applyAlignment="1">
      <alignment horizontal="center" vertical="center" wrapText="1"/>
    </xf>
    <xf numFmtId="169" fontId="11" fillId="17" borderId="198" xfId="0" applyNumberFormat="1" applyFont="1" applyFill="1" applyBorder="1" applyAlignment="1">
      <alignment horizontal="center" vertical="center" wrapText="1"/>
    </xf>
    <xf numFmtId="169" fontId="11" fillId="17" borderId="211" xfId="0" applyNumberFormat="1" applyFont="1" applyFill="1" applyBorder="1" applyAlignment="1">
      <alignment horizontal="center" vertical="center" wrapText="1"/>
    </xf>
    <xf numFmtId="169" fontId="11" fillId="17" borderId="212" xfId="0" applyNumberFormat="1" applyFont="1" applyFill="1" applyBorder="1" applyAlignment="1">
      <alignment horizontal="center" vertical="center" wrapText="1"/>
    </xf>
    <xf numFmtId="169" fontId="11" fillId="17" borderId="199" xfId="0" applyNumberFormat="1" applyFont="1" applyFill="1" applyBorder="1" applyAlignment="1">
      <alignment horizontal="center" vertical="center" wrapText="1"/>
    </xf>
    <xf numFmtId="169" fontId="15" fillId="4" borderId="149" xfId="0" applyNumberFormat="1" applyFont="1" applyFill="1" applyBorder="1" applyAlignment="1">
      <alignment horizontal="center" vertical="center" wrapText="1"/>
    </xf>
    <xf numFmtId="169" fontId="11" fillId="4" borderId="138" xfId="0" applyNumberFormat="1" applyFont="1" applyFill="1" applyBorder="1" applyAlignment="1">
      <alignment horizontal="center" vertical="center" wrapText="1"/>
    </xf>
    <xf numFmtId="169" fontId="11" fillId="4" borderId="139" xfId="0" applyNumberFormat="1" applyFont="1" applyFill="1" applyBorder="1" applyAlignment="1">
      <alignment horizontal="center" vertical="center" wrapText="1"/>
    </xf>
    <xf numFmtId="169" fontId="11" fillId="4" borderId="140" xfId="0" applyNumberFormat="1" applyFont="1" applyFill="1" applyBorder="1" applyAlignment="1">
      <alignment horizontal="center" vertical="center" wrapText="1"/>
    </xf>
    <xf numFmtId="169" fontId="15" fillId="4" borderId="141" xfId="0" applyNumberFormat="1" applyFont="1" applyFill="1" applyBorder="1" applyAlignment="1">
      <alignment horizontal="center" vertical="center" wrapText="1"/>
    </xf>
    <xf numFmtId="169" fontId="15" fillId="4" borderId="139" xfId="0" applyNumberFormat="1" applyFont="1" applyFill="1" applyBorder="1" applyAlignment="1">
      <alignment horizontal="center" vertical="center" wrapText="1"/>
    </xf>
    <xf numFmtId="169" fontId="11" fillId="4" borderId="152" xfId="0" applyNumberFormat="1" applyFont="1" applyFill="1" applyBorder="1" applyAlignment="1">
      <alignment horizontal="center" vertical="center" wrapText="1"/>
    </xf>
    <xf numFmtId="169" fontId="15" fillId="4" borderId="159" xfId="0" applyNumberFormat="1" applyFont="1" applyFill="1" applyBorder="1" applyAlignment="1">
      <alignment horizontal="center" vertical="center" wrapText="1"/>
    </xf>
    <xf numFmtId="169" fontId="11" fillId="2" borderId="172" xfId="0" applyNumberFormat="1" applyFont="1" applyFill="1" applyBorder="1" applyAlignment="1">
      <alignment horizontal="center" vertical="center" wrapText="1"/>
    </xf>
    <xf numFmtId="169" fontId="11" fillId="2" borderId="173" xfId="0" applyNumberFormat="1" applyFont="1" applyFill="1" applyBorder="1" applyAlignment="1">
      <alignment horizontal="center" vertical="center" wrapText="1"/>
    </xf>
    <xf numFmtId="169" fontId="11" fillId="2" borderId="174" xfId="0" applyNumberFormat="1" applyFont="1" applyFill="1" applyBorder="1" applyAlignment="1">
      <alignment horizontal="center" vertical="center" wrapText="1"/>
    </xf>
    <xf numFmtId="169" fontId="11" fillId="2" borderId="175" xfId="0" applyNumberFormat="1" applyFont="1" applyFill="1" applyBorder="1" applyAlignment="1">
      <alignment horizontal="center" vertical="center" wrapText="1"/>
    </xf>
    <xf numFmtId="169" fontId="11" fillId="2" borderId="176" xfId="0" applyNumberFormat="1" applyFont="1" applyFill="1" applyBorder="1" applyAlignment="1">
      <alignment horizontal="center" vertical="center" wrapText="1"/>
    </xf>
    <xf numFmtId="169" fontId="11" fillId="2" borderId="177" xfId="0" applyNumberFormat="1" applyFont="1" applyFill="1" applyBorder="1" applyAlignment="1">
      <alignment horizontal="center" vertical="center" wrapText="1"/>
    </xf>
    <xf numFmtId="169" fontId="11" fillId="2" borderId="178" xfId="0" applyNumberFormat="1" applyFont="1" applyFill="1" applyBorder="1" applyAlignment="1">
      <alignment horizontal="center" vertical="center" wrapText="1"/>
    </xf>
    <xf numFmtId="169" fontId="11" fillId="2" borderId="179" xfId="0" applyNumberFormat="1" applyFont="1" applyFill="1" applyBorder="1" applyAlignment="1">
      <alignment horizontal="center" vertical="center" wrapText="1"/>
    </xf>
    <xf numFmtId="169" fontId="13" fillId="3" borderId="172" xfId="0" applyNumberFormat="1" applyFont="1" applyFill="1" applyBorder="1" applyAlignment="1">
      <alignment horizontal="center" vertical="center" wrapText="1"/>
    </xf>
    <xf numFmtId="169" fontId="13" fillId="3" borderId="173" xfId="0" applyNumberFormat="1" applyFont="1" applyFill="1" applyBorder="1" applyAlignment="1">
      <alignment horizontal="center" vertical="center" wrapText="1"/>
    </xf>
    <xf numFmtId="169" fontId="13" fillId="3" borderId="180" xfId="0" applyNumberFormat="1" applyFont="1" applyFill="1" applyBorder="1" applyAlignment="1">
      <alignment horizontal="center" vertical="center" wrapText="1"/>
    </xf>
    <xf numFmtId="169" fontId="13" fillId="3" borderId="181" xfId="0" applyNumberFormat="1" applyFont="1" applyFill="1" applyBorder="1" applyAlignment="1">
      <alignment horizontal="center" vertical="center" wrapText="1"/>
    </xf>
    <xf numFmtId="169" fontId="13" fillId="3" borderId="174" xfId="0" applyNumberFormat="1" applyFont="1" applyFill="1" applyBorder="1" applyAlignment="1">
      <alignment horizontal="center" vertical="center" wrapText="1"/>
    </xf>
    <xf numFmtId="169" fontId="13" fillId="3" borderId="182" xfId="0" applyNumberFormat="1" applyFont="1" applyFill="1" applyBorder="1" applyAlignment="1">
      <alignment horizontal="center" vertical="center" wrapText="1"/>
    </xf>
    <xf numFmtId="169" fontId="13" fillId="3" borderId="183" xfId="0" applyNumberFormat="1" applyFont="1" applyFill="1" applyBorder="1" applyAlignment="1">
      <alignment horizontal="center" vertical="center" wrapText="1"/>
    </xf>
    <xf numFmtId="169" fontId="13" fillId="3" borderId="184" xfId="0" applyNumberFormat="1" applyFont="1" applyFill="1" applyBorder="1" applyAlignment="1">
      <alignment horizontal="center" vertical="center" wrapText="1"/>
    </xf>
    <xf numFmtId="169" fontId="11" fillId="9" borderId="152" xfId="0" applyNumberFormat="1" applyFont="1" applyFill="1" applyBorder="1" applyAlignment="1">
      <alignment horizontal="center" vertical="center" wrapText="1"/>
    </xf>
    <xf numFmtId="169" fontId="11" fillId="9" borderId="154" xfId="0" applyNumberFormat="1" applyFont="1" applyFill="1" applyBorder="1" applyAlignment="1">
      <alignment horizontal="center" vertical="center" wrapText="1"/>
    </xf>
    <xf numFmtId="169" fontId="11" fillId="4" borderId="0" xfId="0" applyNumberFormat="1" applyFont="1" applyFill="1" applyAlignment="1">
      <alignment horizontal="center" vertical="center" wrapText="1"/>
    </xf>
    <xf numFmtId="169" fontId="11" fillId="2" borderId="0" xfId="0" applyNumberFormat="1" applyFont="1" applyFill="1" applyAlignment="1">
      <alignment horizontal="center" vertical="center" wrapText="1"/>
    </xf>
    <xf numFmtId="169" fontId="11" fillId="17" borderId="0" xfId="0" applyNumberFormat="1" applyFont="1" applyFill="1" applyAlignment="1">
      <alignment horizontal="center" vertical="center" wrapText="1"/>
    </xf>
    <xf numFmtId="169" fontId="11" fillId="3" borderId="0" xfId="0" applyNumberFormat="1" applyFont="1" applyFill="1" applyAlignment="1">
      <alignment horizontal="center" vertical="center" wrapText="1"/>
    </xf>
    <xf numFmtId="169" fontId="11" fillId="9" borderId="0" xfId="0" applyNumberFormat="1" applyFont="1" applyFill="1" applyAlignment="1">
      <alignment horizontal="center" vertical="center" wrapText="1"/>
    </xf>
    <xf numFmtId="169" fontId="15" fillId="4" borderId="0" xfId="0" applyNumberFormat="1" applyFont="1" applyFill="1" applyAlignment="1">
      <alignment horizontal="center" vertical="center" wrapText="1"/>
    </xf>
    <xf numFmtId="169" fontId="13" fillId="3" borderId="0" xfId="0" applyNumberFormat="1" applyFont="1" applyFill="1" applyAlignment="1">
      <alignment horizontal="center" vertical="center" wrapText="1"/>
    </xf>
    <xf numFmtId="0" fontId="12" fillId="9" borderId="0" xfId="0" applyFont="1" applyFill="1" applyAlignment="1">
      <alignment horizontal="center" vertical="center" wrapText="1"/>
    </xf>
    <xf numFmtId="0" fontId="1" fillId="0" borderId="50" xfId="0" applyFont="1" applyBorder="1" applyAlignment="1">
      <alignment vertical="center"/>
    </xf>
    <xf numFmtId="0" fontId="1" fillId="0" borderId="51" xfId="0" applyFont="1" applyBorder="1" applyAlignment="1">
      <alignment vertical="center"/>
    </xf>
    <xf numFmtId="169" fontId="11" fillId="4" borderId="40" xfId="0" applyNumberFormat="1" applyFont="1" applyFill="1" applyBorder="1" applyAlignment="1">
      <alignment horizontal="center" vertical="center" wrapText="1"/>
    </xf>
    <xf numFmtId="169" fontId="11" fillId="4" borderId="48" xfId="0" applyNumberFormat="1" applyFont="1" applyFill="1" applyBorder="1" applyAlignment="1">
      <alignment horizontal="center" vertical="center" wrapText="1"/>
    </xf>
    <xf numFmtId="169" fontId="15" fillId="4" borderId="48" xfId="0" applyNumberFormat="1" applyFont="1" applyFill="1" applyBorder="1" applyAlignment="1">
      <alignment horizontal="center" vertical="center" wrapText="1"/>
    </xf>
    <xf numFmtId="169" fontId="11" fillId="4" borderId="37" xfId="0" applyNumberFormat="1" applyFont="1" applyFill="1" applyBorder="1" applyAlignment="1">
      <alignment horizontal="center" vertical="center" wrapText="1"/>
    </xf>
    <xf numFmtId="169" fontId="11" fillId="4" borderId="34" xfId="0" applyNumberFormat="1" applyFont="1" applyFill="1" applyBorder="1" applyAlignment="1">
      <alignment horizontal="center" vertical="center" wrapText="1"/>
    </xf>
    <xf numFmtId="169" fontId="15" fillId="4" borderId="34" xfId="0" applyNumberFormat="1" applyFont="1" applyFill="1" applyBorder="1" applyAlignment="1">
      <alignment horizontal="center" vertical="center" wrapText="1"/>
    </xf>
    <xf numFmtId="169" fontId="15" fillId="4" borderId="49" xfId="0" applyNumberFormat="1" applyFont="1" applyFill="1" applyBorder="1" applyAlignment="1">
      <alignment horizontal="center" vertical="center" wrapText="1"/>
    </xf>
    <xf numFmtId="0" fontId="0" fillId="0" borderId="61" xfId="0" applyBorder="1" applyAlignment="1">
      <alignment horizontal="center" vertical="center"/>
    </xf>
    <xf numFmtId="169" fontId="11" fillId="2" borderId="40" xfId="0" applyNumberFormat="1" applyFont="1" applyFill="1" applyBorder="1" applyAlignment="1">
      <alignment horizontal="center" vertical="center" wrapText="1"/>
    </xf>
    <xf numFmtId="169" fontId="11" fillId="2" borderId="48" xfId="0" applyNumberFormat="1" applyFont="1" applyFill="1" applyBorder="1" applyAlignment="1">
      <alignment horizontal="center" vertical="center" wrapText="1"/>
    </xf>
    <xf numFmtId="169" fontId="11" fillId="2" borderId="37" xfId="0" applyNumberFormat="1" applyFont="1" applyFill="1" applyBorder="1" applyAlignment="1">
      <alignment horizontal="center" vertical="center" wrapText="1"/>
    </xf>
    <xf numFmtId="169" fontId="11" fillId="2" borderId="34" xfId="0" applyNumberFormat="1" applyFont="1" applyFill="1" applyBorder="1" applyAlignment="1">
      <alignment horizontal="center" vertical="center" wrapText="1"/>
    </xf>
    <xf numFmtId="169" fontId="11" fillId="2" borderId="49" xfId="0" applyNumberFormat="1" applyFont="1" applyFill="1" applyBorder="1" applyAlignment="1">
      <alignment horizontal="center" vertical="center" wrapText="1"/>
    </xf>
    <xf numFmtId="169" fontId="11" fillId="17" borderId="40" xfId="0" applyNumberFormat="1" applyFont="1" applyFill="1" applyBorder="1" applyAlignment="1">
      <alignment horizontal="center" vertical="center" wrapText="1"/>
    </xf>
    <xf numFmtId="169" fontId="11" fillId="17" borderId="48" xfId="0" applyNumberFormat="1" applyFont="1" applyFill="1" applyBorder="1" applyAlignment="1">
      <alignment horizontal="center" vertical="center" wrapText="1"/>
    </xf>
    <xf numFmtId="169" fontId="11" fillId="17" borderId="37" xfId="0" applyNumberFormat="1" applyFont="1" applyFill="1" applyBorder="1" applyAlignment="1">
      <alignment horizontal="center" vertical="center" wrapText="1"/>
    </xf>
    <xf numFmtId="169" fontId="11" fillId="17" borderId="34" xfId="0" applyNumberFormat="1" applyFont="1" applyFill="1" applyBorder="1" applyAlignment="1">
      <alignment horizontal="center" vertical="center" wrapText="1"/>
    </xf>
    <xf numFmtId="169" fontId="11" fillId="17" borderId="49" xfId="0" applyNumberFormat="1" applyFont="1" applyFill="1" applyBorder="1" applyAlignment="1">
      <alignment horizontal="center" vertical="center" wrapText="1"/>
    </xf>
    <xf numFmtId="169" fontId="11" fillId="3" borderId="40" xfId="0" applyNumberFormat="1" applyFont="1" applyFill="1" applyBorder="1" applyAlignment="1">
      <alignment horizontal="center" vertical="center" wrapText="1"/>
    </xf>
    <xf numFmtId="169" fontId="11" fillId="3" borderId="48" xfId="0" applyNumberFormat="1" applyFont="1" applyFill="1" applyBorder="1" applyAlignment="1">
      <alignment horizontal="center" vertical="center" wrapText="1"/>
    </xf>
    <xf numFmtId="169" fontId="13" fillId="3" borderId="40" xfId="0" applyNumberFormat="1" applyFont="1" applyFill="1" applyBorder="1" applyAlignment="1">
      <alignment horizontal="center" vertical="center" wrapText="1"/>
    </xf>
    <xf numFmtId="169" fontId="13" fillId="3" borderId="48" xfId="0" applyNumberFormat="1" applyFont="1" applyFill="1" applyBorder="1" applyAlignment="1">
      <alignment horizontal="center" vertical="center" wrapText="1"/>
    </xf>
    <xf numFmtId="169" fontId="13" fillId="3" borderId="37" xfId="0" applyNumberFormat="1" applyFont="1" applyFill="1" applyBorder="1" applyAlignment="1">
      <alignment horizontal="center" vertical="center" wrapText="1"/>
    </xf>
    <xf numFmtId="169" fontId="13" fillId="3" borderId="34" xfId="0" applyNumberFormat="1" applyFont="1" applyFill="1" applyBorder="1" applyAlignment="1">
      <alignment horizontal="center" vertical="center" wrapText="1"/>
    </xf>
    <xf numFmtId="169" fontId="13" fillId="3" borderId="49" xfId="0" applyNumberFormat="1" applyFont="1" applyFill="1" applyBorder="1" applyAlignment="1">
      <alignment horizontal="center" vertical="center" wrapText="1"/>
    </xf>
    <xf numFmtId="169" fontId="11" fillId="9" borderId="40" xfId="0" applyNumberFormat="1" applyFont="1" applyFill="1" applyBorder="1" applyAlignment="1">
      <alignment horizontal="center" vertical="center" wrapText="1"/>
    </xf>
    <xf numFmtId="169" fontId="11" fillId="9" borderId="48" xfId="0" applyNumberFormat="1" applyFont="1" applyFill="1" applyBorder="1" applyAlignment="1">
      <alignment horizontal="center" vertical="center" wrapText="1"/>
    </xf>
    <xf numFmtId="169" fontId="11" fillId="9" borderId="37" xfId="0" applyNumberFormat="1" applyFont="1" applyFill="1" applyBorder="1" applyAlignment="1">
      <alignment horizontal="center" vertical="center" wrapText="1"/>
    </xf>
    <xf numFmtId="169" fontId="11" fillId="9" borderId="34" xfId="0" applyNumberFormat="1" applyFont="1" applyFill="1" applyBorder="1" applyAlignment="1">
      <alignment horizontal="center" vertical="center" wrapText="1"/>
    </xf>
    <xf numFmtId="169" fontId="11" fillId="9" borderId="49" xfId="0" applyNumberFormat="1" applyFont="1" applyFill="1" applyBorder="1" applyAlignment="1">
      <alignment horizontal="center" vertical="center" wrapText="1"/>
    </xf>
    <xf numFmtId="167" fontId="2" fillId="10" borderId="14" xfId="0" applyNumberFormat="1" applyFont="1" applyFill="1" applyBorder="1" applyAlignment="1">
      <alignment horizontal="center" vertical="center"/>
    </xf>
    <xf numFmtId="164" fontId="2" fillId="10" borderId="14" xfId="0" applyNumberFormat="1" applyFont="1" applyFill="1" applyBorder="1" applyAlignment="1">
      <alignment horizontal="center" vertical="center"/>
    </xf>
    <xf numFmtId="0" fontId="0" fillId="16" borderId="2" xfId="0" applyFill="1" applyBorder="1" applyAlignment="1">
      <alignment horizontal="center" vertical="center"/>
    </xf>
    <xf numFmtId="0" fontId="1" fillId="0" borderId="12" xfId="0" applyFont="1" applyBorder="1" applyAlignment="1">
      <alignment horizontal="center" vertical="center"/>
    </xf>
    <xf numFmtId="169" fontId="11" fillId="17" borderId="55" xfId="0" applyNumberFormat="1" applyFont="1" applyFill="1" applyBorder="1" applyAlignment="1">
      <alignment horizontal="center" vertical="center" wrapText="1"/>
    </xf>
    <xf numFmtId="169" fontId="11" fillId="17" borderId="60" xfId="0" applyNumberFormat="1" applyFont="1" applyFill="1" applyBorder="1" applyAlignment="1">
      <alignment horizontal="center" vertical="center" wrapText="1"/>
    </xf>
    <xf numFmtId="169" fontId="11" fillId="17" borderId="61" xfId="0" applyNumberFormat="1" applyFont="1" applyFill="1" applyBorder="1" applyAlignment="1">
      <alignment horizontal="center" vertical="center" wrapText="1"/>
    </xf>
    <xf numFmtId="2" fontId="0" fillId="0" borderId="1" xfId="0" applyNumberFormat="1" applyBorder="1" applyAlignment="1">
      <alignment horizontal="center" vertical="center"/>
    </xf>
    <xf numFmtId="0" fontId="1" fillId="0" borderId="19" xfId="0" applyFont="1" applyBorder="1" applyAlignment="1">
      <alignment horizontal="center" vertical="center"/>
    </xf>
    <xf numFmtId="2" fontId="0" fillId="0" borderId="19" xfId="0" applyNumberFormat="1" applyBorder="1" applyAlignment="1">
      <alignment horizontal="center" vertical="center"/>
    </xf>
    <xf numFmtId="0" fontId="0" fillId="0" borderId="20" xfId="0" applyBorder="1" applyAlignment="1">
      <alignment horizontal="center" vertical="center"/>
    </xf>
    <xf numFmtId="2" fontId="0" fillId="0" borderId="20" xfId="0" applyNumberFormat="1" applyBorder="1" applyAlignment="1">
      <alignment horizontal="center" vertical="center"/>
    </xf>
    <xf numFmtId="2" fontId="0" fillId="0" borderId="21" xfId="0" applyNumberFormat="1" applyBorder="1" applyAlignment="1">
      <alignment horizontal="center" vertical="center"/>
    </xf>
    <xf numFmtId="0" fontId="6" fillId="19" borderId="26" xfId="0" applyFont="1" applyFill="1" applyBorder="1" applyAlignment="1">
      <alignment vertical="center"/>
    </xf>
    <xf numFmtId="167" fontId="2" fillId="10" borderId="36" xfId="0" applyNumberFormat="1" applyFont="1" applyFill="1" applyBorder="1" applyAlignment="1">
      <alignment horizontal="center" vertical="center"/>
    </xf>
    <xf numFmtId="0" fontId="0" fillId="16" borderId="38" xfId="0" applyFill="1" applyBorder="1" applyAlignment="1">
      <alignment horizontal="center" vertical="center"/>
    </xf>
    <xf numFmtId="0" fontId="0" fillId="16" borderId="23" xfId="0" applyFill="1" applyBorder="1" applyAlignment="1">
      <alignment horizontal="center" vertical="center"/>
    </xf>
    <xf numFmtId="167" fontId="3" fillId="5" borderId="20" xfId="0" applyNumberFormat="1" applyFont="1" applyFill="1" applyBorder="1" applyAlignment="1">
      <alignment horizontal="center" vertical="center"/>
    </xf>
    <xf numFmtId="0" fontId="1" fillId="4" borderId="27" xfId="0" applyFont="1" applyFill="1" applyBorder="1" applyAlignment="1">
      <alignment horizontal="center" vertical="center"/>
    </xf>
    <xf numFmtId="0" fontId="1" fillId="5" borderId="35" xfId="0" applyFont="1" applyFill="1" applyBorder="1" applyAlignment="1">
      <alignment horizontal="center" vertical="center"/>
    </xf>
    <xf numFmtId="167" fontId="1" fillId="5" borderId="23" xfId="0" applyNumberFormat="1" applyFont="1" applyFill="1" applyBorder="1" applyAlignment="1">
      <alignment horizontal="center" vertical="center"/>
    </xf>
    <xf numFmtId="168" fontId="3" fillId="8" borderId="45" xfId="0" applyNumberFormat="1" applyFont="1" applyFill="1" applyBorder="1" applyAlignment="1">
      <alignment horizontal="center" vertical="center"/>
    </xf>
    <xf numFmtId="168" fontId="3" fillId="8" borderId="47" xfId="0" applyNumberFormat="1" applyFont="1" applyFill="1" applyBorder="1" applyAlignment="1">
      <alignment horizontal="center" vertical="center"/>
    </xf>
    <xf numFmtId="167" fontId="1" fillId="5" borderId="235" xfId="0" applyNumberFormat="1" applyFont="1" applyFill="1" applyBorder="1" applyAlignment="1">
      <alignment horizontal="center" vertical="center"/>
    </xf>
    <xf numFmtId="0" fontId="7" fillId="15" borderId="27" xfId="0" applyFont="1" applyFill="1" applyBorder="1" applyAlignment="1">
      <alignment horizontal="center" vertical="center"/>
    </xf>
    <xf numFmtId="0" fontId="7" fillId="14" borderId="35" xfId="0" applyFont="1" applyFill="1" applyBorder="1" applyAlignment="1">
      <alignment horizontal="center" vertical="center"/>
    </xf>
    <xf numFmtId="0" fontId="7" fillId="15" borderId="28" xfId="0" applyFont="1" applyFill="1" applyBorder="1" applyAlignment="1">
      <alignment horizontal="center" vertical="center"/>
    </xf>
    <xf numFmtId="0" fontId="7" fillId="14" borderId="20" xfId="0" applyFont="1" applyFill="1" applyBorder="1" applyAlignment="1">
      <alignment horizontal="center" vertical="center"/>
    </xf>
    <xf numFmtId="167" fontId="7" fillId="14" borderId="20" xfId="0" applyNumberFormat="1" applyFont="1" applyFill="1" applyBorder="1" applyAlignment="1">
      <alignment horizontal="center" vertical="center"/>
    </xf>
    <xf numFmtId="167" fontId="7" fillId="14" borderId="21" xfId="0" applyNumberFormat="1" applyFont="1" applyFill="1" applyBorder="1" applyAlignment="1">
      <alignment horizontal="center" vertical="center"/>
    </xf>
    <xf numFmtId="0" fontId="1" fillId="4" borderId="28" xfId="0" applyFont="1" applyFill="1" applyBorder="1" applyAlignment="1">
      <alignment horizontal="center" vertical="center"/>
    </xf>
    <xf numFmtId="167" fontId="3" fillId="2" borderId="20" xfId="0" applyNumberFormat="1" applyFont="1" applyFill="1" applyBorder="1" applyAlignment="1">
      <alignment horizontal="center" vertical="center"/>
    </xf>
    <xf numFmtId="167" fontId="3" fillId="2" borderId="21" xfId="0" applyNumberFormat="1" applyFont="1" applyFill="1" applyBorder="1" applyAlignment="1">
      <alignment horizontal="center" vertical="center"/>
    </xf>
    <xf numFmtId="164" fontId="2" fillId="5" borderId="27" xfId="0" applyNumberFormat="1" applyFont="1" applyFill="1" applyBorder="1" applyAlignment="1">
      <alignment horizontal="center" vertical="center"/>
    </xf>
    <xf numFmtId="167" fontId="3" fillId="5" borderId="21" xfId="0" applyNumberFormat="1" applyFont="1" applyFill="1" applyBorder="1" applyAlignment="1">
      <alignment horizontal="center" vertical="center"/>
    </xf>
    <xf numFmtId="164" fontId="1" fillId="11" borderId="1" xfId="0" applyNumberFormat="1" applyFont="1" applyFill="1" applyBorder="1" applyAlignment="1">
      <alignment horizontal="center" vertical="center"/>
    </xf>
    <xf numFmtId="166" fontId="0" fillId="11" borderId="28" xfId="0" applyNumberFormat="1" applyFill="1" applyBorder="1" applyAlignment="1">
      <alignment horizontal="center" vertical="center"/>
    </xf>
    <xf numFmtId="166" fontId="0" fillId="11" borderId="29" xfId="0" applyNumberFormat="1" applyFill="1" applyBorder="1" applyAlignment="1">
      <alignment horizontal="center" vertical="center"/>
    </xf>
    <xf numFmtId="164" fontId="0" fillId="3" borderId="9" xfId="0" applyNumberFormat="1" applyFill="1" applyBorder="1" applyAlignment="1" applyProtection="1">
      <alignment horizontal="center" vertical="center"/>
      <protection locked="0"/>
    </xf>
    <xf numFmtId="164" fontId="0" fillId="3" borderId="30" xfId="0" applyNumberFormat="1" applyFill="1" applyBorder="1" applyAlignment="1" applyProtection="1">
      <alignment horizontal="center" vertical="center"/>
      <protection locked="0"/>
    </xf>
    <xf numFmtId="164" fontId="1" fillId="12" borderId="1" xfId="0" applyNumberFormat="1" applyFont="1" applyFill="1" applyBorder="1" applyAlignment="1">
      <alignment horizontal="center" vertical="center"/>
    </xf>
    <xf numFmtId="164" fontId="1" fillId="12" borderId="19" xfId="0" applyNumberFormat="1" applyFont="1" applyFill="1" applyBorder="1" applyAlignment="1">
      <alignment horizontal="center" vertical="center"/>
    </xf>
    <xf numFmtId="164" fontId="1" fillId="13" borderId="1" xfId="0" applyNumberFormat="1" applyFont="1" applyFill="1" applyBorder="1" applyAlignment="1">
      <alignment horizontal="center" vertical="center"/>
    </xf>
    <xf numFmtId="164" fontId="1" fillId="13" borderId="19" xfId="0" applyNumberFormat="1" applyFont="1" applyFill="1" applyBorder="1" applyAlignment="1">
      <alignment horizontal="center" vertical="center"/>
    </xf>
    <xf numFmtId="164" fontId="1" fillId="20" borderId="1" xfId="0" applyNumberFormat="1" applyFont="1" applyFill="1" applyBorder="1" applyAlignment="1">
      <alignment horizontal="center" vertical="center"/>
    </xf>
    <xf numFmtId="164" fontId="1" fillId="20" borderId="19" xfId="0" applyNumberFormat="1" applyFont="1" applyFill="1" applyBorder="1" applyAlignment="1">
      <alignment horizontal="center" vertical="center"/>
    </xf>
    <xf numFmtId="0" fontId="0" fillId="23" borderId="1" xfId="0" applyFill="1" applyBorder="1" applyAlignment="1">
      <alignment horizontal="center" vertical="center"/>
    </xf>
    <xf numFmtId="2" fontId="0" fillId="23" borderId="9" xfId="0" applyNumberFormat="1" applyFill="1" applyBorder="1" applyAlignment="1">
      <alignment horizontal="center" vertical="center"/>
    </xf>
    <xf numFmtId="0" fontId="0" fillId="24" borderId="1" xfId="0" applyFill="1" applyBorder="1" applyAlignment="1">
      <alignment horizontal="center" vertical="center"/>
    </xf>
    <xf numFmtId="2" fontId="0" fillId="24" borderId="9" xfId="0" applyNumberFormat="1" applyFill="1" applyBorder="1" applyAlignment="1">
      <alignment horizontal="center" vertical="center"/>
    </xf>
    <xf numFmtId="0" fontId="0" fillId="25" borderId="1" xfId="0" applyFill="1" applyBorder="1" applyAlignment="1">
      <alignment horizontal="center" vertical="center"/>
    </xf>
    <xf numFmtId="2" fontId="0" fillId="25" borderId="9" xfId="0" applyNumberFormat="1" applyFill="1" applyBorder="1" applyAlignment="1">
      <alignment horizontal="center" vertical="center"/>
    </xf>
    <xf numFmtId="0" fontId="0" fillId="26" borderId="1" xfId="0" applyFill="1" applyBorder="1" applyAlignment="1">
      <alignment horizontal="center" vertical="center"/>
    </xf>
    <xf numFmtId="2" fontId="0" fillId="26" borderId="9" xfId="0" applyNumberFormat="1" applyFill="1" applyBorder="1" applyAlignment="1">
      <alignment horizontal="center" vertical="center"/>
    </xf>
    <xf numFmtId="0" fontId="0" fillId="27" borderId="1" xfId="0" applyFill="1" applyBorder="1" applyAlignment="1">
      <alignment horizontal="center" vertical="center"/>
    </xf>
    <xf numFmtId="2" fontId="0" fillId="27" borderId="9" xfId="0" applyNumberFormat="1" applyFill="1" applyBorder="1" applyAlignment="1">
      <alignment horizontal="center" vertical="center"/>
    </xf>
    <xf numFmtId="0" fontId="0" fillId="28" borderId="1" xfId="0" applyFill="1" applyBorder="1" applyAlignment="1">
      <alignment horizontal="center" vertical="center"/>
    </xf>
    <xf numFmtId="2" fontId="0" fillId="28" borderId="9" xfId="0" applyNumberFormat="1" applyFill="1" applyBorder="1" applyAlignment="1">
      <alignment horizontal="center" vertical="center"/>
    </xf>
    <xf numFmtId="0" fontId="0" fillId="29" borderId="1" xfId="0" applyFill="1" applyBorder="1" applyAlignment="1">
      <alignment horizontal="center" vertical="center"/>
    </xf>
    <xf numFmtId="2" fontId="0" fillId="29" borderId="9" xfId="0" applyNumberFormat="1" applyFill="1" applyBorder="1" applyAlignment="1">
      <alignment horizontal="center" vertical="center"/>
    </xf>
    <xf numFmtId="0" fontId="0" fillId="30" borderId="1" xfId="0" applyFill="1" applyBorder="1" applyAlignment="1">
      <alignment horizontal="center" vertical="center"/>
    </xf>
    <xf numFmtId="2" fontId="0" fillId="30" borderId="9" xfId="0" applyNumberFormat="1" applyFill="1" applyBorder="1" applyAlignment="1">
      <alignment horizontal="center" vertical="center"/>
    </xf>
    <xf numFmtId="0" fontId="0" fillId="31" borderId="19" xfId="0" applyFill="1" applyBorder="1" applyAlignment="1">
      <alignment horizontal="center" vertical="center"/>
    </xf>
    <xf numFmtId="2" fontId="0" fillId="31" borderId="30" xfId="0" applyNumberFormat="1" applyFill="1" applyBorder="1" applyAlignment="1">
      <alignment horizontal="center" vertical="center"/>
    </xf>
    <xf numFmtId="0" fontId="0" fillId="6" borderId="1" xfId="0" applyFill="1" applyBorder="1" applyAlignment="1">
      <alignment horizontal="center" vertical="center"/>
    </xf>
    <xf numFmtId="2" fontId="0" fillId="6" borderId="9" xfId="0" applyNumberFormat="1" applyFill="1" applyBorder="1" applyAlignment="1">
      <alignment horizontal="center" vertical="center"/>
    </xf>
    <xf numFmtId="0" fontId="0" fillId="20" borderId="1" xfId="0" applyFill="1" applyBorder="1" applyAlignment="1">
      <alignment horizontal="center" vertical="center"/>
    </xf>
    <xf numFmtId="2" fontId="0" fillId="20" borderId="9" xfId="0" applyNumberFormat="1" applyFill="1" applyBorder="1" applyAlignment="1">
      <alignment horizontal="center" vertical="center"/>
    </xf>
    <xf numFmtId="0" fontId="0" fillId="5" borderId="1" xfId="0" applyFill="1" applyBorder="1" applyAlignment="1">
      <alignment horizontal="center" vertical="center"/>
    </xf>
    <xf numFmtId="2" fontId="0" fillId="5" borderId="9" xfId="0" applyNumberFormat="1" applyFill="1" applyBorder="1" applyAlignment="1">
      <alignment horizontal="center" vertical="center"/>
    </xf>
    <xf numFmtId="0" fontId="0" fillId="30" borderId="41" xfId="0" applyFill="1" applyBorder="1" applyAlignment="1">
      <alignment horizontal="center" vertical="center"/>
    </xf>
    <xf numFmtId="0" fontId="0" fillId="24" borderId="41" xfId="0" applyFill="1" applyBorder="1" applyAlignment="1">
      <alignment horizontal="center" vertical="center"/>
    </xf>
    <xf numFmtId="2" fontId="0" fillId="3" borderId="52" xfId="0" applyNumberFormat="1" applyFill="1" applyBorder="1" applyAlignment="1">
      <alignment horizontal="center"/>
    </xf>
    <xf numFmtId="2" fontId="0" fillId="3" borderId="28" xfId="0" applyNumberFormat="1" applyFill="1" applyBorder="1" applyAlignment="1">
      <alignment horizontal="center"/>
    </xf>
    <xf numFmtId="2" fontId="0" fillId="3" borderId="29" xfId="0" applyNumberFormat="1" applyFill="1" applyBorder="1" applyAlignment="1">
      <alignment horizontal="center"/>
    </xf>
    <xf numFmtId="0" fontId="0" fillId="23" borderId="41" xfId="0" applyFill="1" applyBorder="1" applyAlignment="1">
      <alignment horizontal="center" vertical="center"/>
    </xf>
    <xf numFmtId="2" fontId="0" fillId="9" borderId="52" xfId="0" applyNumberFormat="1" applyFill="1" applyBorder="1" applyAlignment="1">
      <alignment horizontal="center"/>
    </xf>
    <xf numFmtId="2" fontId="0" fillId="9" borderId="28" xfId="0" applyNumberFormat="1" applyFill="1" applyBorder="1" applyAlignment="1">
      <alignment horizontal="center"/>
    </xf>
    <xf numFmtId="2" fontId="0" fillId="9" borderId="29" xfId="0" applyNumberFormat="1" applyFill="1" applyBorder="1" applyAlignment="1">
      <alignment horizontal="center"/>
    </xf>
    <xf numFmtId="0" fontId="1" fillId="16" borderId="44" xfId="0" applyFont="1" applyFill="1" applyBorder="1" applyAlignment="1">
      <alignment horizontal="center" vertical="center"/>
    </xf>
    <xf numFmtId="0" fontId="1" fillId="16" borderId="45" xfId="0" applyFont="1" applyFill="1" applyBorder="1" applyAlignment="1">
      <alignment horizontal="center" vertical="center"/>
    </xf>
    <xf numFmtId="0" fontId="1" fillId="16" borderId="47" xfId="0" applyFont="1" applyFill="1" applyBorder="1" applyAlignment="1">
      <alignment horizontal="center" vertical="center"/>
    </xf>
    <xf numFmtId="0" fontId="0" fillId="29" borderId="41" xfId="0" applyFill="1" applyBorder="1" applyAlignment="1">
      <alignment horizontal="center" vertical="center"/>
    </xf>
    <xf numFmtId="0" fontId="0" fillId="6" borderId="41" xfId="0" applyFill="1" applyBorder="1" applyAlignment="1">
      <alignment horizontal="center" vertical="center"/>
    </xf>
    <xf numFmtId="0" fontId="0" fillId="31" borderId="236" xfId="0" applyFill="1" applyBorder="1" applyAlignment="1">
      <alignment horizontal="center" vertical="center"/>
    </xf>
    <xf numFmtId="0" fontId="0" fillId="25" borderId="41" xfId="0" applyFill="1" applyBorder="1" applyAlignment="1">
      <alignment horizontal="center" vertical="center"/>
    </xf>
    <xf numFmtId="0" fontId="0" fillId="26" borderId="41" xfId="0" applyFill="1" applyBorder="1" applyAlignment="1">
      <alignment horizontal="center" vertical="center"/>
    </xf>
    <xf numFmtId="0" fontId="0" fillId="5" borderId="41" xfId="0" applyFill="1" applyBorder="1" applyAlignment="1">
      <alignment horizontal="center" vertical="center"/>
    </xf>
    <xf numFmtId="0" fontId="0" fillId="27" borderId="41" xfId="0" applyFill="1" applyBorder="1" applyAlignment="1">
      <alignment horizontal="center" vertical="center"/>
    </xf>
    <xf numFmtId="0" fontId="0" fillId="20" borderId="41" xfId="0" applyFill="1" applyBorder="1" applyAlignment="1">
      <alignment horizontal="center" vertical="center"/>
    </xf>
    <xf numFmtId="0" fontId="0" fillId="28" borderId="41" xfId="0" applyFill="1" applyBorder="1" applyAlignment="1">
      <alignment horizontal="center" vertical="center"/>
    </xf>
    <xf numFmtId="0" fontId="0" fillId="32" borderId="1" xfId="0" applyFill="1" applyBorder="1" applyAlignment="1">
      <alignment horizontal="center" vertical="center"/>
    </xf>
    <xf numFmtId="0" fontId="0" fillId="32" borderId="19" xfId="0" applyFill="1" applyBorder="1" applyAlignment="1">
      <alignment horizontal="center" vertical="center"/>
    </xf>
    <xf numFmtId="2" fontId="0" fillId="32" borderId="9" xfId="0" applyNumberFormat="1" applyFill="1" applyBorder="1" applyAlignment="1">
      <alignment horizontal="center" vertical="center"/>
    </xf>
    <xf numFmtId="2" fontId="0" fillId="32" borderId="30" xfId="0" applyNumberFormat="1" applyFill="1" applyBorder="1" applyAlignment="1">
      <alignment horizontal="center" vertical="center"/>
    </xf>
    <xf numFmtId="167" fontId="1" fillId="3" borderId="28" xfId="0" applyNumberFormat="1" applyFont="1" applyFill="1" applyBorder="1" applyAlignment="1" applyProtection="1">
      <alignment horizontal="center" vertical="center"/>
      <protection locked="0"/>
    </xf>
    <xf numFmtId="167" fontId="1" fillId="3" borderId="29" xfId="0" applyNumberFormat="1" applyFont="1" applyFill="1" applyBorder="1" applyAlignment="1" applyProtection="1">
      <alignment horizontal="center" vertical="center"/>
      <protection locked="0"/>
    </xf>
    <xf numFmtId="167" fontId="1" fillId="3" borderId="1" xfId="0" applyNumberFormat="1" applyFont="1" applyFill="1" applyBorder="1" applyAlignment="1" applyProtection="1">
      <alignment horizontal="center" vertical="center"/>
      <protection locked="0"/>
    </xf>
    <xf numFmtId="167" fontId="1" fillId="3" borderId="19" xfId="0" applyNumberFormat="1" applyFont="1" applyFill="1" applyBorder="1" applyAlignment="1" applyProtection="1">
      <alignment horizontal="center" vertical="center"/>
      <protection locked="0"/>
    </xf>
    <xf numFmtId="167" fontId="1" fillId="3" borderId="11" xfId="0" applyNumberFormat="1" applyFont="1" applyFill="1" applyBorder="1" applyAlignment="1" applyProtection="1">
      <alignment horizontal="center" vertical="center"/>
      <protection locked="0"/>
    </xf>
    <xf numFmtId="167" fontId="1" fillId="3" borderId="22" xfId="0" applyNumberFormat="1" applyFont="1"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167" fontId="0" fillId="4" borderId="1" xfId="0" applyNumberFormat="1" applyFill="1" applyBorder="1" applyAlignment="1">
      <alignment horizontal="center" vertical="center"/>
    </xf>
    <xf numFmtId="167" fontId="0" fillId="4" borderId="20" xfId="0" applyNumberFormat="1" applyFill="1" applyBorder="1" applyAlignment="1">
      <alignment horizontal="center" vertical="center"/>
    </xf>
    <xf numFmtId="167" fontId="0" fillId="3" borderId="20" xfId="0" applyNumberFormat="1" applyFill="1" applyBorder="1" applyAlignment="1" applyProtection="1">
      <alignment horizontal="center" vertical="center"/>
      <protection locked="0"/>
    </xf>
    <xf numFmtId="0" fontId="18" fillId="33" borderId="0" xfId="0" applyFont="1" applyFill="1" applyAlignment="1">
      <alignment vertical="center" wrapText="1"/>
    </xf>
    <xf numFmtId="0" fontId="21" fillId="33" borderId="0" xfId="0" applyFont="1" applyFill="1"/>
    <xf numFmtId="0" fontId="16" fillId="33" borderId="0" xfId="0" applyFont="1" applyFill="1" applyAlignment="1">
      <alignment vertical="center" wrapText="1"/>
    </xf>
    <xf numFmtId="0" fontId="17" fillId="33" borderId="0" xfId="0" applyFont="1" applyFill="1" applyAlignment="1">
      <alignment vertical="center" wrapText="1"/>
    </xf>
    <xf numFmtId="14" fontId="16" fillId="24" borderId="58" xfId="0" applyNumberFormat="1" applyFont="1" applyFill="1" applyBorder="1" applyAlignment="1" applyProtection="1">
      <alignment horizontal="center" vertical="center" wrapText="1"/>
      <protection locked="0"/>
    </xf>
    <xf numFmtId="164" fontId="0" fillId="2" borderId="11" xfId="0" applyNumberFormat="1" applyFill="1" applyBorder="1" applyAlignment="1">
      <alignment horizontal="center" vertical="center"/>
    </xf>
    <xf numFmtId="166" fontId="1" fillId="3" borderId="1" xfId="0" applyNumberFormat="1" applyFont="1" applyFill="1" applyBorder="1" applyAlignment="1" applyProtection="1">
      <alignment horizontal="center" vertical="center" wrapText="1"/>
      <protection locked="0"/>
    </xf>
    <xf numFmtId="0" fontId="1" fillId="2" borderId="2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0" xfId="0" applyFont="1" applyFill="1" applyBorder="1" applyAlignment="1">
      <alignment horizontal="center" vertical="center"/>
    </xf>
    <xf numFmtId="167" fontId="2" fillId="10" borderId="30" xfId="0" applyNumberFormat="1" applyFont="1" applyFill="1" applyBorder="1" applyAlignment="1">
      <alignment horizontal="center" vertical="center"/>
    </xf>
    <xf numFmtId="164" fontId="2" fillId="10" borderId="27" xfId="0" applyNumberFormat="1" applyFont="1" applyFill="1" applyBorder="1" applyAlignment="1">
      <alignment horizontal="center" vertical="center"/>
    </xf>
    <xf numFmtId="167" fontId="2" fillId="10" borderId="4" xfId="0" applyNumberFormat="1" applyFont="1" applyFill="1" applyBorder="1" applyAlignment="1">
      <alignment horizontal="center" vertical="center"/>
    </xf>
    <xf numFmtId="164" fontId="0" fillId="2" borderId="22" xfId="0" applyNumberFormat="1" applyFill="1" applyBorder="1" applyAlignment="1">
      <alignment horizontal="center" vertical="center"/>
    </xf>
    <xf numFmtId="164" fontId="1" fillId="11" borderId="19" xfId="0" applyNumberFormat="1" applyFont="1" applyFill="1" applyBorder="1" applyAlignment="1">
      <alignment horizontal="center" vertical="center"/>
    </xf>
    <xf numFmtId="164" fontId="2" fillId="5" borderId="32" xfId="0" applyNumberFormat="1" applyFont="1" applyFill="1" applyBorder="1" applyAlignment="1">
      <alignment horizontal="center" vertical="center"/>
    </xf>
    <xf numFmtId="164" fontId="2" fillId="10" borderId="4" xfId="0" applyNumberFormat="1" applyFont="1" applyFill="1" applyBorder="1" applyAlignment="1">
      <alignment horizontal="center" vertical="center"/>
    </xf>
    <xf numFmtId="164" fontId="2" fillId="10" borderId="30" xfId="0" applyNumberFormat="1" applyFont="1" applyFill="1" applyBorder="1" applyAlignment="1">
      <alignment horizontal="center" vertical="center"/>
    </xf>
    <xf numFmtId="167" fontId="2" fillId="4" borderId="27" xfId="0" applyNumberFormat="1" applyFont="1" applyFill="1" applyBorder="1" applyAlignment="1">
      <alignment horizontal="center" vertical="center"/>
    </xf>
    <xf numFmtId="167" fontId="2" fillId="4" borderId="29" xfId="0" applyNumberFormat="1" applyFont="1" applyFill="1" applyBorder="1" applyAlignment="1">
      <alignment horizontal="center" vertical="center"/>
    </xf>
    <xf numFmtId="167" fontId="2" fillId="4" borderId="14" xfId="0" applyNumberFormat="1" applyFont="1" applyFill="1" applyBorder="1" applyAlignment="1">
      <alignment horizontal="center" vertical="center"/>
    </xf>
    <xf numFmtId="167" fontId="2" fillId="4" borderId="19" xfId="0" applyNumberFormat="1" applyFont="1" applyFill="1" applyBorder="1" applyAlignment="1">
      <alignment horizontal="center" vertical="center"/>
    </xf>
    <xf numFmtId="167" fontId="2" fillId="2" borderId="36" xfId="0" applyNumberFormat="1" applyFont="1" applyFill="1" applyBorder="1" applyAlignment="1">
      <alignment horizontal="center" vertical="center"/>
    </xf>
    <xf numFmtId="167" fontId="2" fillId="2" borderId="21" xfId="0" applyNumberFormat="1" applyFont="1" applyFill="1" applyBorder="1" applyAlignment="1">
      <alignment horizontal="center" vertical="center"/>
    </xf>
    <xf numFmtId="167" fontId="28" fillId="15" borderId="27" xfId="0" applyNumberFormat="1" applyFont="1" applyFill="1" applyBorder="1" applyAlignment="1">
      <alignment horizontal="center" vertical="center"/>
    </xf>
    <xf numFmtId="167" fontId="28" fillId="15" borderId="29" xfId="0" applyNumberFormat="1" applyFont="1" applyFill="1" applyBorder="1" applyAlignment="1">
      <alignment horizontal="center" vertical="center"/>
    </xf>
    <xf numFmtId="167" fontId="28" fillId="15" borderId="14" xfId="0" applyNumberFormat="1" applyFont="1" applyFill="1" applyBorder="1" applyAlignment="1">
      <alignment horizontal="center" vertical="center"/>
    </xf>
    <xf numFmtId="167" fontId="28" fillId="15" borderId="19" xfId="0" applyNumberFormat="1" applyFont="1" applyFill="1" applyBorder="1" applyAlignment="1">
      <alignment horizontal="center" vertical="center"/>
    </xf>
    <xf numFmtId="167" fontId="28" fillId="14" borderId="36" xfId="0" applyNumberFormat="1" applyFont="1" applyFill="1" applyBorder="1" applyAlignment="1">
      <alignment horizontal="center" vertical="center"/>
    </xf>
    <xf numFmtId="167" fontId="28" fillId="14" borderId="21" xfId="0" applyNumberFormat="1" applyFont="1" applyFill="1" applyBorder="1" applyAlignment="1">
      <alignment horizontal="center" vertical="center"/>
    </xf>
    <xf numFmtId="167" fontId="28" fillId="15" borderId="8" xfId="0" applyNumberFormat="1" applyFont="1" applyFill="1" applyBorder="1" applyAlignment="1">
      <alignment horizontal="center" vertical="center"/>
    </xf>
    <xf numFmtId="167" fontId="28" fillId="15" borderId="22" xfId="0" applyNumberFormat="1" applyFont="1" applyFill="1" applyBorder="1" applyAlignment="1">
      <alignment horizontal="center" vertical="center"/>
    </xf>
    <xf numFmtId="167" fontId="28" fillId="14" borderId="35" xfId="0" applyNumberFormat="1" applyFont="1" applyFill="1" applyBorder="1" applyAlignment="1">
      <alignment horizontal="center" vertical="center"/>
    </xf>
    <xf numFmtId="167" fontId="28" fillId="14" borderId="235" xfId="0" applyNumberFormat="1" applyFont="1" applyFill="1" applyBorder="1" applyAlignment="1">
      <alignment horizontal="center" vertical="center"/>
    </xf>
    <xf numFmtId="167" fontId="2" fillId="2" borderId="27" xfId="0" applyNumberFormat="1" applyFont="1" applyFill="1" applyBorder="1" applyAlignment="1">
      <alignment horizontal="center" vertical="center"/>
    </xf>
    <xf numFmtId="167" fontId="2" fillId="2" borderId="29" xfId="0" applyNumberFormat="1" applyFont="1" applyFill="1" applyBorder="1" applyAlignment="1">
      <alignment horizontal="center" vertical="center"/>
    </xf>
    <xf numFmtId="167" fontId="2" fillId="2" borderId="8" xfId="0" applyNumberFormat="1" applyFont="1" applyFill="1" applyBorder="1" applyAlignment="1">
      <alignment horizontal="center" vertical="center"/>
    </xf>
    <xf numFmtId="167" fontId="2" fillId="2" borderId="22" xfId="0" applyNumberFormat="1" applyFont="1" applyFill="1" applyBorder="1" applyAlignment="1">
      <alignment horizontal="center" vertical="center"/>
    </xf>
    <xf numFmtId="167" fontId="2" fillId="5" borderId="35" xfId="0" applyNumberFormat="1" applyFont="1" applyFill="1" applyBorder="1" applyAlignment="1">
      <alignment horizontal="center" vertical="center"/>
    </xf>
    <xf numFmtId="167" fontId="2" fillId="5" borderId="235" xfId="0" applyNumberFormat="1" applyFont="1" applyFill="1" applyBorder="1" applyAlignment="1">
      <alignment horizontal="center" vertical="center"/>
    </xf>
    <xf numFmtId="168" fontId="2" fillId="8" borderId="6" xfId="0" applyNumberFormat="1" applyFont="1" applyFill="1" applyBorder="1" applyAlignment="1">
      <alignment horizontal="center" vertical="center"/>
    </xf>
    <xf numFmtId="168" fontId="2" fillId="8" borderId="43" xfId="0" applyNumberFormat="1" applyFont="1" applyFill="1" applyBorder="1" applyAlignment="1">
      <alignment horizontal="center" vertical="center"/>
    </xf>
    <xf numFmtId="167" fontId="2" fillId="4" borderId="8" xfId="0" applyNumberFormat="1" applyFont="1" applyFill="1" applyBorder="1" applyAlignment="1">
      <alignment horizontal="center" vertical="center"/>
    </xf>
    <xf numFmtId="167" fontId="2" fillId="4" borderId="22" xfId="0" applyNumberFormat="1" applyFont="1" applyFill="1" applyBorder="1" applyAlignment="1">
      <alignment horizontal="center" vertical="center"/>
    </xf>
    <xf numFmtId="165" fontId="2" fillId="4" borderId="52" xfId="0" applyNumberFormat="1" applyFont="1" applyFill="1" applyBorder="1" applyAlignment="1">
      <alignment horizontal="center" vertical="center"/>
    </xf>
    <xf numFmtId="0" fontId="2" fillId="4" borderId="29" xfId="0" applyFont="1" applyFill="1" applyBorder="1" applyAlignment="1">
      <alignment horizontal="center" vertical="center"/>
    </xf>
    <xf numFmtId="165" fontId="2" fillId="4" borderId="41" xfId="0" applyNumberFormat="1" applyFont="1" applyFill="1" applyBorder="1" applyAlignment="1">
      <alignment horizontal="center" vertical="center"/>
    </xf>
    <xf numFmtId="0" fontId="2" fillId="4" borderId="19" xfId="0" applyFont="1" applyFill="1" applyBorder="1" applyAlignment="1">
      <alignment horizontal="center" vertical="center"/>
    </xf>
    <xf numFmtId="0" fontId="2" fillId="4" borderId="30" xfId="0" applyFont="1" applyFill="1" applyBorder="1" applyAlignment="1">
      <alignment horizontal="center" vertical="center"/>
    </xf>
    <xf numFmtId="167" fontId="2" fillId="4" borderId="15" xfId="0" applyNumberFormat="1" applyFont="1" applyFill="1" applyBorder="1" applyAlignment="1">
      <alignment horizontal="center" vertical="center"/>
    </xf>
    <xf numFmtId="166" fontId="2" fillId="7" borderId="19" xfId="0" applyNumberFormat="1" applyFont="1" applyFill="1" applyBorder="1" applyAlignment="1">
      <alignment vertical="center"/>
    </xf>
    <xf numFmtId="167" fontId="2" fillId="4" borderId="53" xfId="0" applyNumberFormat="1" applyFont="1" applyFill="1" applyBorder="1" applyAlignment="1">
      <alignment horizontal="center" vertical="center"/>
    </xf>
    <xf numFmtId="167" fontId="2" fillId="4" borderId="21" xfId="0" applyNumberFormat="1" applyFont="1" applyFill="1" applyBorder="1" applyAlignment="1">
      <alignment horizontal="center" vertical="center"/>
    </xf>
    <xf numFmtId="166" fontId="0" fillId="0" borderId="1" xfId="0" applyNumberFormat="1" applyBorder="1" applyAlignment="1">
      <alignment horizontal="center" vertical="center"/>
    </xf>
    <xf numFmtId="0" fontId="1" fillId="20" borderId="53" xfId="0" applyFont="1" applyFill="1" applyBorder="1" applyAlignment="1" applyProtection="1">
      <alignment horizontal="center" vertical="center"/>
      <protection locked="0"/>
    </xf>
    <xf numFmtId="0" fontId="0" fillId="20" borderId="20" xfId="0" applyFill="1" applyBorder="1" applyAlignment="1">
      <alignment horizontal="center" vertical="center"/>
    </xf>
    <xf numFmtId="164" fontId="0" fillId="3" borderId="1" xfId="0" applyNumberFormat="1" applyFill="1" applyBorder="1" applyAlignment="1" applyProtection="1">
      <alignment horizontal="center" vertical="center"/>
      <protection locked="0"/>
    </xf>
    <xf numFmtId="164" fontId="0" fillId="3" borderId="19" xfId="0" applyNumberFormat="1" applyFill="1" applyBorder="1" applyAlignment="1" applyProtection="1">
      <alignment horizontal="center" vertical="center"/>
      <protection locked="0"/>
    </xf>
    <xf numFmtId="167" fontId="0" fillId="2" borderId="1" xfId="0" applyNumberFormat="1" applyFill="1" applyBorder="1" applyAlignment="1">
      <alignment horizontal="center" vertical="center"/>
    </xf>
    <xf numFmtId="167" fontId="0" fillId="2" borderId="19" xfId="0" applyNumberFormat="1" applyFill="1" applyBorder="1" applyAlignment="1">
      <alignment horizontal="center" vertical="center"/>
    </xf>
    <xf numFmtId="167" fontId="0" fillId="2" borderId="20" xfId="0" applyNumberFormat="1" applyFill="1" applyBorder="1" applyAlignment="1">
      <alignment horizontal="center" vertical="center"/>
    </xf>
    <xf numFmtId="167" fontId="0" fillId="2" borderId="21" xfId="0" applyNumberFormat="1" applyFill="1" applyBorder="1" applyAlignment="1">
      <alignment horizontal="center" vertical="center"/>
    </xf>
    <xf numFmtId="167" fontId="0" fillId="2" borderId="11" xfId="0" applyNumberFormat="1" applyFill="1" applyBorder="1" applyAlignment="1">
      <alignment horizontal="center" vertical="center"/>
    </xf>
    <xf numFmtId="167" fontId="0" fillId="2" borderId="22" xfId="0" applyNumberFormat="1" applyFill="1" applyBorder="1" applyAlignment="1">
      <alignment horizontal="center" vertical="center"/>
    </xf>
    <xf numFmtId="167" fontId="0" fillId="4" borderId="10" xfId="0" applyNumberFormat="1" applyFill="1" applyBorder="1" applyAlignment="1">
      <alignment horizontal="center" vertical="center"/>
    </xf>
    <xf numFmtId="167" fontId="0" fillId="4" borderId="5" xfId="0" applyNumberFormat="1" applyFill="1" applyBorder="1" applyAlignment="1">
      <alignment horizontal="center" vertical="center"/>
    </xf>
    <xf numFmtId="167" fontId="0" fillId="4" borderId="48" xfId="0" applyNumberFormat="1" applyFill="1" applyBorder="1" applyAlignment="1">
      <alignment horizontal="center" vertical="center"/>
    </xf>
    <xf numFmtId="167" fontId="0" fillId="4" borderId="43" xfId="0" applyNumberFormat="1" applyFill="1" applyBorder="1" applyAlignment="1">
      <alignment horizontal="center" vertical="center"/>
    </xf>
    <xf numFmtId="167" fontId="0" fillId="4" borderId="11" xfId="0" applyNumberFormat="1" applyFill="1" applyBorder="1" applyAlignment="1">
      <alignment horizontal="center" vertical="center"/>
    </xf>
    <xf numFmtId="167" fontId="0" fillId="4" borderId="22" xfId="0" applyNumberFormat="1" applyFill="1" applyBorder="1" applyAlignment="1">
      <alignment horizontal="center" vertical="center"/>
    </xf>
    <xf numFmtId="164" fontId="1" fillId="22" borderId="1" xfId="0" applyNumberFormat="1" applyFont="1" applyFill="1" applyBorder="1" applyAlignment="1">
      <alignment horizontal="center" vertical="center"/>
    </xf>
    <xf numFmtId="164" fontId="1" fillId="22" borderId="19" xfId="0" applyNumberFormat="1" applyFont="1" applyFill="1" applyBorder="1" applyAlignment="1">
      <alignment horizontal="center" vertical="center"/>
    </xf>
    <xf numFmtId="167" fontId="1" fillId="13" borderId="23" xfId="0" applyNumberFormat="1" applyFont="1" applyFill="1" applyBorder="1" applyAlignment="1">
      <alignment horizontal="center" vertical="center"/>
    </xf>
    <xf numFmtId="167" fontId="1" fillId="13" borderId="33" xfId="0" applyNumberFormat="1" applyFont="1" applyFill="1" applyBorder="1" applyAlignment="1">
      <alignment horizontal="center" vertical="center"/>
    </xf>
    <xf numFmtId="167" fontId="1" fillId="13" borderId="49" xfId="0" applyNumberFormat="1" applyFont="1" applyFill="1" applyBorder="1" applyAlignment="1">
      <alignment horizontal="center" vertical="center"/>
    </xf>
    <xf numFmtId="167" fontId="1" fillId="20" borderId="23" xfId="0" applyNumberFormat="1" applyFont="1" applyFill="1" applyBorder="1" applyAlignment="1">
      <alignment horizontal="center" vertical="center"/>
    </xf>
    <xf numFmtId="167" fontId="1" fillId="20" borderId="33" xfId="0" applyNumberFormat="1" applyFont="1" applyFill="1" applyBorder="1" applyAlignment="1">
      <alignment horizontal="center" vertical="center"/>
    </xf>
    <xf numFmtId="167" fontId="1" fillId="20" borderId="49" xfId="0" applyNumberFormat="1" applyFont="1" applyFill="1" applyBorder="1" applyAlignment="1">
      <alignment horizontal="center" vertical="center"/>
    </xf>
    <xf numFmtId="167" fontId="1" fillId="11" borderId="20" xfId="0" applyNumberFormat="1" applyFont="1" applyFill="1" applyBorder="1" applyAlignment="1">
      <alignment horizontal="center" vertical="center"/>
    </xf>
    <xf numFmtId="167" fontId="1" fillId="11" borderId="21" xfId="0" applyNumberFormat="1" applyFont="1" applyFill="1" applyBorder="1" applyAlignment="1">
      <alignment horizontal="center" vertical="center"/>
    </xf>
    <xf numFmtId="0" fontId="2" fillId="3" borderId="20"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1" fillId="4" borderId="233" xfId="0" applyFont="1" applyFill="1" applyBorder="1" applyAlignment="1">
      <alignment horizontal="center" vertical="center"/>
    </xf>
    <xf numFmtId="169" fontId="11" fillId="4" borderId="237" xfId="0" applyNumberFormat="1" applyFont="1" applyFill="1" applyBorder="1" applyAlignment="1">
      <alignment horizontal="center" vertical="center" wrapText="1"/>
    </xf>
    <xf numFmtId="169" fontId="11" fillId="4" borderId="238" xfId="0" applyNumberFormat="1" applyFont="1" applyFill="1" applyBorder="1" applyAlignment="1">
      <alignment horizontal="center" vertical="center" wrapText="1"/>
    </xf>
    <xf numFmtId="169" fontId="11" fillId="4" borderId="239" xfId="0" applyNumberFormat="1" applyFont="1" applyFill="1" applyBorder="1" applyAlignment="1">
      <alignment horizontal="center" vertical="center" wrapText="1"/>
    </xf>
    <xf numFmtId="169" fontId="11" fillId="4" borderId="240" xfId="0" applyNumberFormat="1" applyFont="1" applyFill="1" applyBorder="1" applyAlignment="1">
      <alignment horizontal="center" vertical="center" wrapText="1"/>
    </xf>
    <xf numFmtId="169" fontId="11" fillId="4" borderId="241" xfId="0" applyNumberFormat="1" applyFont="1" applyFill="1" applyBorder="1" applyAlignment="1">
      <alignment horizontal="center" vertical="center" wrapText="1"/>
    </xf>
    <xf numFmtId="169" fontId="11" fillId="4" borderId="242" xfId="0" applyNumberFormat="1" applyFont="1" applyFill="1" applyBorder="1" applyAlignment="1">
      <alignment horizontal="center" vertical="center" wrapText="1"/>
    </xf>
    <xf numFmtId="169" fontId="15" fillId="4" borderId="238" xfId="0" applyNumberFormat="1" applyFont="1" applyFill="1" applyBorder="1" applyAlignment="1">
      <alignment horizontal="center" vertical="center" wrapText="1"/>
    </xf>
    <xf numFmtId="169" fontId="15" fillId="4" borderId="243" xfId="0" applyNumberFormat="1" applyFont="1" applyFill="1" applyBorder="1" applyAlignment="1">
      <alignment horizontal="center" vertical="center" wrapText="1"/>
    </xf>
    <xf numFmtId="167" fontId="1" fillId="2" borderId="28" xfId="0" applyNumberFormat="1" applyFont="1" applyFill="1" applyBorder="1" applyAlignment="1">
      <alignment horizontal="center" vertical="center"/>
    </xf>
    <xf numFmtId="167" fontId="1" fillId="2" borderId="29" xfId="0" applyNumberFormat="1" applyFont="1" applyFill="1" applyBorder="1" applyAlignment="1">
      <alignment horizontal="center" vertical="center"/>
    </xf>
    <xf numFmtId="167" fontId="1" fillId="2" borderId="1" xfId="0" applyNumberFormat="1" applyFont="1" applyFill="1" applyBorder="1" applyAlignment="1">
      <alignment horizontal="center" vertical="center"/>
    </xf>
    <xf numFmtId="167" fontId="1" fillId="2" borderId="19" xfId="0" applyNumberFormat="1" applyFont="1" applyFill="1" applyBorder="1" applyAlignment="1">
      <alignment horizontal="center" vertical="center"/>
    </xf>
    <xf numFmtId="167" fontId="0" fillId="2" borderId="9" xfId="0" applyNumberFormat="1" applyFill="1" applyBorder="1" applyAlignment="1">
      <alignment horizontal="center" vertical="center"/>
    </xf>
    <xf numFmtId="167" fontId="0" fillId="2" borderId="30" xfId="0" applyNumberFormat="1" applyFill="1" applyBorder="1" applyAlignment="1">
      <alignment horizontal="center" vertical="center"/>
    </xf>
    <xf numFmtId="164" fontId="0" fillId="3" borderId="14" xfId="0" applyNumberFormat="1" applyFill="1" applyBorder="1" applyAlignment="1" applyProtection="1">
      <alignment horizontal="center" vertical="center"/>
      <protection locked="0"/>
    </xf>
    <xf numFmtId="167" fontId="0" fillId="2" borderId="14" xfId="0" applyNumberFormat="1" applyFill="1" applyBorder="1" applyAlignment="1">
      <alignment horizontal="center" vertical="center"/>
    </xf>
    <xf numFmtId="167" fontId="0" fillId="2" borderId="36" xfId="0" applyNumberFormat="1" applyFill="1" applyBorder="1" applyAlignment="1">
      <alignment horizontal="center" vertical="center"/>
    </xf>
    <xf numFmtId="164" fontId="0" fillId="2" borderId="28" xfId="0" applyNumberFormat="1" applyFill="1" applyBorder="1" applyAlignment="1">
      <alignment horizontal="center" vertical="center"/>
    </xf>
    <xf numFmtId="164" fontId="0" fillId="2" borderId="29" xfId="0" applyNumberFormat="1" applyFill="1" applyBorder="1" applyAlignment="1">
      <alignment horizontal="center" vertical="center"/>
    </xf>
    <xf numFmtId="164" fontId="3" fillId="5" borderId="28" xfId="0" applyNumberFormat="1" applyFont="1" applyFill="1" applyBorder="1" applyAlignment="1">
      <alignment horizontal="center" vertical="center"/>
    </xf>
    <xf numFmtId="164" fontId="3" fillId="5" borderId="29" xfId="0" applyNumberFormat="1" applyFont="1" applyFill="1" applyBorder="1" applyAlignment="1">
      <alignment horizontal="center" vertical="center"/>
    </xf>
    <xf numFmtId="167" fontId="2" fillId="5" borderId="21" xfId="0" applyNumberFormat="1" applyFont="1" applyFill="1" applyBorder="1" applyAlignment="1">
      <alignment horizontal="center" vertical="center"/>
    </xf>
    <xf numFmtId="1" fontId="4" fillId="17" borderId="29" xfId="0" applyNumberFormat="1" applyFont="1" applyFill="1" applyBorder="1" applyAlignment="1">
      <alignment horizontal="center" vertical="center"/>
    </xf>
    <xf numFmtId="0" fontId="0" fillId="0" borderId="245" xfId="0" applyBorder="1" applyAlignment="1">
      <alignment horizontal="left"/>
    </xf>
    <xf numFmtId="0" fontId="0" fillId="0" borderId="236" xfId="0" applyBorder="1" applyAlignment="1">
      <alignment horizontal="left"/>
    </xf>
    <xf numFmtId="0" fontId="0" fillId="0" borderId="246" xfId="0" applyBorder="1" applyAlignment="1">
      <alignment horizontal="left"/>
    </xf>
    <xf numFmtId="0" fontId="0" fillId="0" borderId="247" xfId="0" applyBorder="1" applyAlignment="1">
      <alignment horizontal="left"/>
    </xf>
    <xf numFmtId="0" fontId="0" fillId="0" borderId="248" xfId="0" applyBorder="1" applyAlignment="1">
      <alignment horizontal="left"/>
    </xf>
    <xf numFmtId="0" fontId="1" fillId="0" borderId="13" xfId="0" applyFont="1" applyBorder="1" applyAlignment="1">
      <alignment horizontal="center" vertical="center"/>
    </xf>
    <xf numFmtId="167" fontId="1" fillId="22" borderId="20" xfId="0" applyNumberFormat="1" applyFont="1" applyFill="1" applyBorder="1" applyAlignment="1">
      <alignment horizontal="center" vertical="center"/>
    </xf>
    <xf numFmtId="167" fontId="1" fillId="22" borderId="21" xfId="0" applyNumberFormat="1" applyFont="1" applyFill="1" applyBorder="1" applyAlignment="1">
      <alignment horizontal="center" vertical="center"/>
    </xf>
    <xf numFmtId="167" fontId="1" fillId="12" borderId="20" xfId="0" applyNumberFormat="1" applyFont="1" applyFill="1" applyBorder="1" applyAlignment="1">
      <alignment horizontal="center" vertical="center"/>
    </xf>
    <xf numFmtId="167" fontId="1" fillId="12" borderId="21" xfId="0" applyNumberFormat="1" applyFont="1" applyFill="1" applyBorder="1" applyAlignment="1">
      <alignment horizontal="center" vertical="center"/>
    </xf>
    <xf numFmtId="166" fontId="1" fillId="3" borderId="11" xfId="0" applyNumberFormat="1" applyFont="1" applyFill="1" applyBorder="1" applyAlignment="1" applyProtection="1">
      <alignment horizontal="center" vertical="center" wrapText="1"/>
      <protection locked="0"/>
    </xf>
    <xf numFmtId="164" fontId="0" fillId="3" borderId="10" xfId="0" applyNumberFormat="1" applyFill="1" applyBorder="1" applyAlignment="1" applyProtection="1">
      <alignment horizontal="center" vertical="center"/>
      <protection locked="0"/>
    </xf>
    <xf numFmtId="164" fontId="0" fillId="3" borderId="43" xfId="0" applyNumberFormat="1" applyFill="1" applyBorder="1" applyAlignment="1" applyProtection="1">
      <alignment horizontal="center" vertical="center"/>
      <protection locked="0"/>
    </xf>
    <xf numFmtId="164" fontId="2" fillId="10" borderId="6" xfId="0" applyNumberFormat="1" applyFont="1" applyFill="1" applyBorder="1" applyAlignment="1">
      <alignment horizontal="center" vertical="center"/>
    </xf>
    <xf numFmtId="164" fontId="2" fillId="10" borderId="43" xfId="0" applyNumberFormat="1" applyFont="1" applyFill="1" applyBorder="1" applyAlignment="1">
      <alignment horizontal="center" vertical="center"/>
    </xf>
    <xf numFmtId="164" fontId="0" fillId="3" borderId="11" xfId="0" applyNumberFormat="1" applyFill="1" applyBorder="1" applyAlignment="1" applyProtection="1">
      <alignment horizontal="center" vertical="center"/>
      <protection locked="0"/>
    </xf>
    <xf numFmtId="164" fontId="0" fillId="3" borderId="22" xfId="0" applyNumberFormat="1" applyFill="1" applyBorder="1" applyAlignment="1" applyProtection="1">
      <alignment horizontal="center" vertical="center"/>
      <protection locked="0"/>
    </xf>
    <xf numFmtId="167" fontId="1" fillId="11" borderId="9" xfId="0" applyNumberFormat="1" applyFont="1" applyFill="1" applyBorder="1" applyAlignment="1">
      <alignment horizontal="center" vertical="center"/>
    </xf>
    <xf numFmtId="167" fontId="1" fillId="11" borderId="30" xfId="0" applyNumberFormat="1" applyFont="1" applyFill="1" applyBorder="1" applyAlignment="1">
      <alignment horizontal="center" vertical="center"/>
    </xf>
    <xf numFmtId="0" fontId="0" fillId="34" borderId="1" xfId="0" applyFill="1" applyBorder="1" applyAlignment="1">
      <alignment horizontal="center" vertical="center"/>
    </xf>
    <xf numFmtId="0" fontId="0" fillId="35" borderId="28" xfId="0" applyFill="1" applyBorder="1" applyAlignment="1">
      <alignment horizontal="center" vertical="center"/>
    </xf>
    <xf numFmtId="0" fontId="1" fillId="16" borderId="1" xfId="0" applyFont="1" applyFill="1" applyBorder="1" applyAlignment="1">
      <alignment horizontal="center" vertical="center" wrapText="1"/>
    </xf>
    <xf numFmtId="0" fontId="1" fillId="16" borderId="1" xfId="0" applyFont="1" applyFill="1" applyBorder="1" applyAlignment="1">
      <alignment horizontal="center" vertical="center"/>
    </xf>
    <xf numFmtId="0" fontId="1" fillId="16" borderId="11" xfId="0" applyFont="1" applyFill="1" applyBorder="1" applyAlignment="1">
      <alignment horizontal="center" vertical="center" wrapText="1"/>
    </xf>
    <xf numFmtId="164" fontId="1" fillId="35" borderId="1" xfId="0" applyNumberFormat="1" applyFont="1" applyFill="1" applyBorder="1" applyAlignment="1">
      <alignment horizontal="center" vertical="center"/>
    </xf>
    <xf numFmtId="164" fontId="1" fillId="35" borderId="19" xfId="0" applyNumberFormat="1" applyFont="1" applyFill="1" applyBorder="1" applyAlignment="1">
      <alignment horizontal="center" vertical="center"/>
    </xf>
    <xf numFmtId="164" fontId="0" fillId="3" borderId="28" xfId="0" applyNumberFormat="1" applyFill="1" applyBorder="1" applyAlignment="1" applyProtection="1">
      <alignment horizontal="center" vertical="center"/>
      <protection locked="0"/>
    </xf>
    <xf numFmtId="164" fontId="0" fillId="3" borderId="29" xfId="0" applyNumberFormat="1" applyFill="1" applyBorder="1" applyAlignment="1" applyProtection="1">
      <alignment horizontal="center" vertical="center"/>
      <protection locked="0"/>
    </xf>
    <xf numFmtId="170" fontId="0" fillId="3" borderId="1" xfId="0" applyNumberFormat="1" applyFill="1" applyBorder="1" applyAlignment="1" applyProtection="1">
      <alignment horizontal="center" vertical="center"/>
      <protection locked="0"/>
    </xf>
    <xf numFmtId="170" fontId="0" fillId="3" borderId="19" xfId="0" applyNumberFormat="1" applyFill="1" applyBorder="1" applyAlignment="1" applyProtection="1">
      <alignment horizontal="center" vertical="center"/>
      <protection locked="0"/>
    </xf>
    <xf numFmtId="0" fontId="1" fillId="35" borderId="1" xfId="0" applyFont="1" applyFill="1" applyBorder="1" applyAlignment="1">
      <alignment horizontal="center" vertical="center" wrapText="1"/>
    </xf>
    <xf numFmtId="0" fontId="1" fillId="34" borderId="9" xfId="0" applyFont="1" applyFill="1" applyBorder="1" applyAlignment="1">
      <alignment horizontal="center" vertical="center" wrapText="1"/>
    </xf>
    <xf numFmtId="170" fontId="1" fillId="34" borderId="9" xfId="0" applyNumberFormat="1" applyFont="1" applyFill="1" applyBorder="1" applyAlignment="1">
      <alignment horizontal="center" vertical="center"/>
    </xf>
    <xf numFmtId="167" fontId="1" fillId="2" borderId="20" xfId="0" applyNumberFormat="1" applyFont="1" applyFill="1" applyBorder="1" applyAlignment="1">
      <alignment horizontal="center" vertical="center"/>
    </xf>
    <xf numFmtId="170" fontId="1" fillId="34" borderId="30" xfId="0" applyNumberFormat="1" applyFont="1" applyFill="1" applyBorder="1" applyAlignment="1">
      <alignment horizontal="center" vertical="center"/>
    </xf>
    <xf numFmtId="167" fontId="1" fillId="2" borderId="21" xfId="0" applyNumberFormat="1" applyFont="1" applyFill="1" applyBorder="1" applyAlignment="1">
      <alignment horizontal="center" vertical="center"/>
    </xf>
    <xf numFmtId="164" fontId="1" fillId="4" borderId="1" xfId="0" applyNumberFormat="1" applyFont="1" applyFill="1" applyBorder="1" applyAlignment="1" applyProtection="1">
      <alignment horizontal="center" vertical="center" wrapText="1"/>
      <protection locked="0"/>
    </xf>
    <xf numFmtId="170" fontId="1" fillId="9" borderId="9" xfId="0" applyNumberFormat="1" applyFont="1" applyFill="1" applyBorder="1" applyAlignment="1" applyProtection="1">
      <alignment horizontal="center" vertical="center" wrapText="1"/>
      <protection locked="0"/>
    </xf>
    <xf numFmtId="167" fontId="0" fillId="4" borderId="10" xfId="0" applyNumberFormat="1" applyFill="1" applyBorder="1" applyAlignment="1" applyProtection="1">
      <alignment horizontal="center" vertical="center"/>
      <protection locked="0"/>
    </xf>
    <xf numFmtId="167" fontId="0" fillId="4" borderId="11" xfId="0" applyNumberFormat="1" applyFill="1" applyBorder="1" applyAlignment="1" applyProtection="1">
      <alignment horizontal="center" vertical="center"/>
      <protection locked="0"/>
    </xf>
    <xf numFmtId="164" fontId="1" fillId="17" borderId="1" xfId="0" applyNumberFormat="1" applyFont="1" applyFill="1" applyBorder="1" applyAlignment="1">
      <alignment horizontal="center" vertical="center"/>
    </xf>
    <xf numFmtId="164" fontId="1" fillId="17" borderId="19" xfId="0" applyNumberFormat="1" applyFont="1" applyFill="1" applyBorder="1" applyAlignment="1">
      <alignment horizontal="center" vertical="center"/>
    </xf>
    <xf numFmtId="167" fontId="1" fillId="17" borderId="23" xfId="0" applyNumberFormat="1" applyFont="1" applyFill="1" applyBorder="1" applyAlignment="1">
      <alignment horizontal="center" vertical="center"/>
    </xf>
    <xf numFmtId="167" fontId="1" fillId="17" borderId="33" xfId="0" applyNumberFormat="1" applyFont="1" applyFill="1" applyBorder="1" applyAlignment="1">
      <alignment horizontal="center" vertical="center"/>
    </xf>
    <xf numFmtId="167" fontId="1" fillId="17" borderId="49" xfId="0" applyNumberFormat="1" applyFont="1" applyFill="1" applyBorder="1" applyAlignment="1">
      <alignment horizontal="center" vertical="center"/>
    </xf>
    <xf numFmtId="164" fontId="1" fillId="21" borderId="1" xfId="0" applyNumberFormat="1" applyFont="1" applyFill="1" applyBorder="1" applyAlignment="1">
      <alignment horizontal="center" vertical="center"/>
    </xf>
    <xf numFmtId="164" fontId="1" fillId="21" borderId="19" xfId="0" applyNumberFormat="1" applyFont="1" applyFill="1" applyBorder="1" applyAlignment="1">
      <alignment horizontal="center" vertical="center"/>
    </xf>
    <xf numFmtId="167" fontId="1" fillId="21" borderId="23" xfId="0" applyNumberFormat="1" applyFont="1" applyFill="1" applyBorder="1" applyAlignment="1">
      <alignment horizontal="center" vertical="center"/>
    </xf>
    <xf numFmtId="167" fontId="1" fillId="21" borderId="33" xfId="0" applyNumberFormat="1" applyFont="1" applyFill="1" applyBorder="1" applyAlignment="1">
      <alignment horizontal="center" vertical="center"/>
    </xf>
    <xf numFmtId="167" fontId="1" fillId="21" borderId="49" xfId="0" applyNumberFormat="1" applyFont="1" applyFill="1" applyBorder="1" applyAlignment="1">
      <alignment horizontal="center" vertical="center"/>
    </xf>
    <xf numFmtId="0" fontId="0" fillId="16" borderId="0" xfId="0" applyFill="1" applyAlignment="1">
      <alignment horizontal="center" vertical="center"/>
    </xf>
    <xf numFmtId="167" fontId="0" fillId="4" borderId="43" xfId="0" applyNumberFormat="1" applyFill="1" applyBorder="1" applyAlignment="1" applyProtection="1">
      <alignment horizontal="center" vertical="center"/>
      <protection locked="0"/>
    </xf>
    <xf numFmtId="0" fontId="17" fillId="16" borderId="40" xfId="0" applyFont="1" applyFill="1" applyBorder="1" applyAlignment="1">
      <alignment horizontal="right" vertical="center"/>
    </xf>
    <xf numFmtId="0" fontId="18" fillId="16" borderId="55" xfId="0" applyFont="1" applyFill="1" applyBorder="1" applyAlignment="1">
      <alignment horizontal="center" vertical="center" wrapText="1"/>
    </xf>
    <xf numFmtId="0" fontId="18" fillId="16" borderId="61" xfId="0" applyFont="1" applyFill="1" applyBorder="1" applyAlignment="1">
      <alignment horizontal="center" vertical="center" wrapText="1"/>
    </xf>
    <xf numFmtId="0" fontId="20" fillId="16" borderId="40" xfId="0" applyFont="1" applyFill="1" applyBorder="1" applyAlignment="1">
      <alignment horizontal="left" wrapText="1"/>
    </xf>
    <xf numFmtId="0" fontId="20" fillId="16" borderId="48" xfId="0" applyFont="1" applyFill="1" applyBorder="1" applyAlignment="1">
      <alignment horizontal="left" wrapText="1"/>
    </xf>
    <xf numFmtId="0" fontId="16" fillId="16" borderId="40" xfId="0" applyFont="1" applyFill="1" applyBorder="1" applyAlignment="1">
      <alignment horizontal="center" wrapText="1"/>
    </xf>
    <xf numFmtId="0" fontId="16" fillId="16" borderId="48" xfId="0" applyFont="1" applyFill="1" applyBorder="1" applyAlignment="1">
      <alignment horizontal="center" wrapText="1"/>
    </xf>
    <xf numFmtId="0" fontId="16" fillId="16" borderId="37" xfId="0" applyFont="1" applyFill="1" applyBorder="1" applyAlignment="1">
      <alignment horizontal="center" vertical="center" wrapText="1"/>
    </xf>
    <xf numFmtId="0" fontId="16" fillId="16" borderId="49" xfId="0" applyFont="1" applyFill="1" applyBorder="1" applyAlignment="1">
      <alignment horizontal="center" vertical="center" wrapText="1"/>
    </xf>
    <xf numFmtId="0" fontId="33" fillId="16" borderId="40" xfId="0" applyFont="1" applyFill="1" applyBorder="1" applyAlignment="1">
      <alignment horizontal="center" vertical="center" wrapText="1"/>
    </xf>
    <xf numFmtId="0" fontId="33" fillId="16" borderId="48" xfId="0" applyFont="1" applyFill="1" applyBorder="1" applyAlignment="1">
      <alignment horizontal="center" vertical="center" wrapText="1"/>
    </xf>
    <xf numFmtId="0" fontId="1" fillId="16" borderId="18" xfId="0" applyFont="1" applyFill="1" applyBorder="1" applyAlignment="1">
      <alignment horizontal="center" vertical="center" wrapText="1"/>
    </xf>
    <xf numFmtId="0" fontId="1" fillId="16" borderId="41"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1" fillId="16" borderId="16" xfId="0" applyFont="1" applyFill="1" applyBorder="1" applyAlignment="1">
      <alignment horizontal="center" vertical="center" wrapText="1"/>
    </xf>
    <xf numFmtId="0" fontId="1" fillId="16" borderId="4" xfId="0" applyFont="1" applyFill="1" applyBorder="1" applyAlignment="1">
      <alignment horizontal="center" vertical="center" wrapText="1"/>
    </xf>
    <xf numFmtId="0" fontId="1" fillId="16" borderId="17" xfId="0" applyFont="1" applyFill="1" applyBorder="1" applyAlignment="1">
      <alignment horizontal="center" vertical="center" wrapText="1"/>
    </xf>
    <xf numFmtId="0" fontId="1" fillId="16" borderId="8" xfId="0" applyFont="1" applyFill="1" applyBorder="1" applyAlignment="1">
      <alignment horizontal="center" vertical="center" wrapText="1"/>
    </xf>
    <xf numFmtId="0" fontId="1" fillId="16" borderId="16" xfId="0" applyFont="1" applyFill="1" applyBorder="1" applyAlignment="1">
      <alignment horizontal="center" vertical="center"/>
    </xf>
    <xf numFmtId="0" fontId="1" fillId="16" borderId="4" xfId="0" applyFont="1" applyFill="1" applyBorder="1" applyAlignment="1">
      <alignment horizontal="center" vertical="center"/>
    </xf>
    <xf numFmtId="0" fontId="1" fillId="16" borderId="17" xfId="0" applyFont="1" applyFill="1" applyBorder="1" applyAlignment="1">
      <alignment horizontal="center" vertical="center"/>
    </xf>
    <xf numFmtId="0" fontId="1" fillId="16" borderId="8" xfId="0" applyFont="1" applyFill="1" applyBorder="1" applyAlignment="1">
      <alignment horizontal="center" vertical="center"/>
    </xf>
    <xf numFmtId="0" fontId="1" fillId="3" borderId="16"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37" xfId="0" applyFont="1" applyFill="1" applyBorder="1" applyAlignment="1" applyProtection="1">
      <alignment horizontal="center" vertical="center" wrapText="1"/>
      <protection locked="0"/>
    </xf>
    <xf numFmtId="0" fontId="1" fillId="3" borderId="35" xfId="0" applyFont="1" applyFill="1" applyBorder="1" applyAlignment="1" applyProtection="1">
      <alignment horizontal="center" vertical="center" wrapText="1"/>
      <protection locked="0"/>
    </xf>
    <xf numFmtId="0" fontId="3" fillId="5" borderId="55" xfId="0" applyFont="1" applyFill="1" applyBorder="1" applyAlignment="1">
      <alignment horizontal="center" vertical="center"/>
    </xf>
    <xf numFmtId="0" fontId="3" fillId="5" borderId="234" xfId="0" applyFont="1" applyFill="1" applyBorder="1" applyAlignment="1">
      <alignment horizontal="center" vertical="center"/>
    </xf>
    <xf numFmtId="0" fontId="3" fillId="5" borderId="40"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3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55" xfId="0" applyFont="1" applyFill="1" applyBorder="1" applyAlignment="1">
      <alignment horizontal="center" vertical="center" wrapText="1"/>
    </xf>
    <xf numFmtId="0" fontId="3" fillId="5" borderId="234"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12" borderId="39" xfId="0" applyFont="1" applyFill="1" applyBorder="1" applyAlignment="1">
      <alignment horizontal="center" vertical="center"/>
    </xf>
    <xf numFmtId="0" fontId="1" fillId="12" borderId="36" xfId="0" applyFont="1" applyFill="1" applyBorder="1" applyAlignment="1">
      <alignment horizontal="center" vertical="center"/>
    </xf>
    <xf numFmtId="0" fontId="0" fillId="11" borderId="26" xfId="0" applyFill="1" applyBorder="1" applyAlignment="1">
      <alignment horizontal="center" vertical="center"/>
    </xf>
    <xf numFmtId="0" fontId="0" fillId="16" borderId="42" xfId="0" applyFill="1" applyBorder="1" applyAlignment="1">
      <alignment horizontal="center" vertical="center"/>
    </xf>
    <xf numFmtId="0" fontId="0" fillId="16" borderId="18" xfId="0" applyFill="1" applyBorder="1" applyAlignment="1">
      <alignment horizontal="center" vertical="center"/>
    </xf>
    <xf numFmtId="0" fontId="1" fillId="12" borderId="15" xfId="0" applyFont="1" applyFill="1" applyBorder="1" applyAlignment="1">
      <alignment horizontal="center" vertical="center"/>
    </xf>
    <xf numFmtId="0" fontId="1" fillId="12" borderId="14" xfId="0" applyFont="1" applyFill="1" applyBorder="1" applyAlignment="1">
      <alignment horizontal="center" vertical="center"/>
    </xf>
    <xf numFmtId="0" fontId="0" fillId="16" borderId="6" xfId="0" applyFill="1" applyBorder="1" applyAlignment="1">
      <alignment horizontal="center" vertical="center"/>
    </xf>
    <xf numFmtId="0" fontId="0" fillId="16" borderId="4" xfId="0" applyFill="1" applyBorder="1" applyAlignment="1">
      <alignment horizontal="center" vertical="center"/>
    </xf>
    <xf numFmtId="0" fontId="0" fillId="16" borderId="8" xfId="0" applyFill="1" applyBorder="1" applyAlignment="1">
      <alignment horizontal="center" vertical="center"/>
    </xf>
    <xf numFmtId="0" fontId="1" fillId="13" borderId="13" xfId="0" applyFont="1" applyFill="1" applyBorder="1" applyAlignment="1">
      <alignment horizontal="center" vertical="center"/>
    </xf>
    <xf numFmtId="0" fontId="1" fillId="13" borderId="34" xfId="0" applyFont="1" applyFill="1" applyBorder="1" applyAlignment="1">
      <alignment horizontal="center" vertical="center"/>
    </xf>
    <xf numFmtId="0" fontId="1" fillId="17" borderId="13" xfId="0" applyFont="1" applyFill="1" applyBorder="1" applyAlignment="1">
      <alignment horizontal="center" vertical="center"/>
    </xf>
    <xf numFmtId="0" fontId="1" fillId="17" borderId="14" xfId="0" applyFont="1" applyFill="1" applyBorder="1" applyAlignment="1">
      <alignment horizontal="center" vertical="center"/>
    </xf>
    <xf numFmtId="0" fontId="1" fillId="17" borderId="24" xfId="0" applyFont="1" applyFill="1" applyBorder="1" applyAlignment="1">
      <alignment horizontal="center" vertical="center"/>
    </xf>
    <xf numFmtId="0" fontId="1" fillId="17" borderId="36" xfId="0" applyFont="1" applyFill="1" applyBorder="1" applyAlignment="1">
      <alignment horizontal="center" vertical="center"/>
    </xf>
    <xf numFmtId="0" fontId="0" fillId="16" borderId="3" xfId="0" applyFill="1" applyBorder="1" applyAlignment="1">
      <alignment horizontal="center" vertical="center"/>
    </xf>
    <xf numFmtId="0" fontId="0" fillId="16" borderId="7" xfId="0" applyFill="1" applyBorder="1" applyAlignment="1">
      <alignment horizontal="center" vertical="center"/>
    </xf>
    <xf numFmtId="0" fontId="1" fillId="16" borderId="55" xfId="0" applyFont="1" applyFill="1" applyBorder="1" applyAlignment="1">
      <alignment horizontal="center" vertical="center" wrapText="1"/>
    </xf>
    <xf numFmtId="0" fontId="1" fillId="16" borderId="40" xfId="0" applyFont="1" applyFill="1" applyBorder="1" applyAlignment="1">
      <alignment horizontal="center" vertical="center" wrapText="1"/>
    </xf>
    <xf numFmtId="0" fontId="1" fillId="16" borderId="37" xfId="0" applyFont="1" applyFill="1" applyBorder="1" applyAlignment="1">
      <alignment horizontal="center" vertical="center" wrapText="1"/>
    </xf>
    <xf numFmtId="0" fontId="1" fillId="16" borderId="28" xfId="0" applyFont="1" applyFill="1" applyBorder="1" applyAlignment="1">
      <alignment horizontal="center" vertical="center" wrapText="1"/>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9"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36" xfId="0" applyFont="1" applyFill="1" applyBorder="1" applyAlignment="1">
      <alignment horizontal="center" vertical="center"/>
    </xf>
    <xf numFmtId="0" fontId="29" fillId="14" borderId="55" xfId="0" applyFont="1" applyFill="1" applyBorder="1" applyAlignment="1">
      <alignment horizontal="center" vertical="center"/>
    </xf>
    <xf numFmtId="0" fontId="29" fillId="14" borderId="234" xfId="0" applyFont="1" applyFill="1" applyBorder="1" applyAlignment="1">
      <alignment horizontal="center" vertical="center"/>
    </xf>
    <xf numFmtId="0" fontId="29" fillId="14" borderId="40" xfId="0" applyFont="1" applyFill="1" applyBorder="1" applyAlignment="1">
      <alignment horizontal="center" vertical="center"/>
    </xf>
    <xf numFmtId="0" fontId="29" fillId="14" borderId="6" xfId="0" applyFont="1" applyFill="1" applyBorder="1" applyAlignment="1">
      <alignment horizontal="center" vertical="center"/>
    </xf>
    <xf numFmtId="0" fontId="29" fillId="14" borderId="37" xfId="0" applyFont="1" applyFill="1" applyBorder="1" applyAlignment="1">
      <alignment horizontal="center" vertical="center"/>
    </xf>
    <xf numFmtId="0" fontId="29" fillId="14" borderId="35" xfId="0" applyFont="1" applyFill="1" applyBorder="1" applyAlignment="1">
      <alignment horizontal="center" vertical="center"/>
    </xf>
    <xf numFmtId="0" fontId="1" fillId="20" borderId="15" xfId="0" applyFont="1" applyFill="1" applyBorder="1" applyAlignment="1" applyProtection="1">
      <alignment horizontal="center" vertical="center"/>
      <protection locked="0"/>
    </xf>
    <xf numFmtId="0" fontId="1" fillId="20" borderId="13" xfId="0" applyFont="1" applyFill="1" applyBorder="1" applyAlignment="1" applyProtection="1">
      <alignment horizontal="center" vertical="center"/>
      <protection locked="0"/>
    </xf>
    <xf numFmtId="0" fontId="1" fillId="20" borderId="14" xfId="0" applyFont="1" applyFill="1" applyBorder="1" applyAlignment="1" applyProtection="1">
      <alignment horizontal="center" vertical="center"/>
      <protection locked="0"/>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8" fillId="5" borderId="50" xfId="0" applyFont="1" applyFill="1" applyBorder="1" applyAlignment="1">
      <alignment horizontal="center" vertical="center"/>
    </xf>
    <xf numFmtId="0" fontId="8" fillId="5" borderId="51" xfId="0" applyFont="1" applyFill="1" applyBorder="1" applyAlignment="1">
      <alignment horizontal="center" vertical="center"/>
    </xf>
    <xf numFmtId="0" fontId="8" fillId="5" borderId="233" xfId="0" applyFont="1" applyFill="1" applyBorder="1" applyAlignment="1">
      <alignment horizontal="center" vertical="center"/>
    </xf>
    <xf numFmtId="0" fontId="30" fillId="13" borderId="57" xfId="0" applyFont="1" applyFill="1" applyBorder="1" applyAlignment="1" applyProtection="1">
      <alignment horizontal="center" vertical="center"/>
      <protection locked="0"/>
    </xf>
    <xf numFmtId="0" fontId="30" fillId="13" borderId="56" xfId="0" applyFont="1" applyFill="1" applyBorder="1" applyAlignment="1" applyProtection="1">
      <alignment horizontal="center" vertical="center"/>
      <protection locked="0"/>
    </xf>
    <xf numFmtId="0" fontId="30" fillId="13" borderId="59" xfId="0" applyFont="1" applyFill="1" applyBorder="1" applyAlignment="1" applyProtection="1">
      <alignment horizontal="center" vertical="center"/>
      <protection locked="0"/>
    </xf>
    <xf numFmtId="0" fontId="30" fillId="21" borderId="57" xfId="0" applyFont="1" applyFill="1" applyBorder="1" applyAlignment="1" applyProtection="1">
      <alignment horizontal="center" vertical="center"/>
      <protection locked="0"/>
    </xf>
    <xf numFmtId="0" fontId="30" fillId="21" borderId="56" xfId="0" applyFont="1" applyFill="1" applyBorder="1" applyAlignment="1" applyProtection="1">
      <alignment horizontal="center" vertical="center"/>
      <protection locked="0"/>
    </xf>
    <xf numFmtId="0" fontId="30" fillId="21" borderId="59" xfId="0" applyFont="1" applyFill="1" applyBorder="1" applyAlignment="1" applyProtection="1">
      <alignment horizontal="center" vertical="center"/>
      <protection locked="0"/>
    </xf>
    <xf numFmtId="0" fontId="30" fillId="17" borderId="57" xfId="0" applyFont="1" applyFill="1" applyBorder="1" applyAlignment="1" applyProtection="1">
      <alignment horizontal="center" vertical="center"/>
      <protection locked="0"/>
    </xf>
    <xf numFmtId="0" fontId="30" fillId="17" borderId="56" xfId="0" applyFont="1" applyFill="1" applyBorder="1" applyAlignment="1" applyProtection="1">
      <alignment horizontal="center" vertical="center"/>
      <protection locked="0"/>
    </xf>
    <xf numFmtId="0" fontId="30" fillId="17" borderId="59" xfId="0" applyFont="1" applyFill="1" applyBorder="1" applyAlignment="1" applyProtection="1">
      <alignment horizontal="center" vertical="center"/>
      <protection locked="0"/>
    </xf>
    <xf numFmtId="0" fontId="30" fillId="20" borderId="57" xfId="0" applyFont="1" applyFill="1" applyBorder="1" applyAlignment="1" applyProtection="1">
      <alignment horizontal="center" vertical="center"/>
      <protection locked="0"/>
    </xf>
    <xf numFmtId="0" fontId="30" fillId="20" borderId="56" xfId="0" applyFont="1" applyFill="1" applyBorder="1" applyAlignment="1" applyProtection="1">
      <alignment horizontal="center" vertical="center"/>
      <protection locked="0"/>
    </xf>
    <xf numFmtId="0" fontId="30" fillId="20" borderId="59" xfId="0" applyFont="1" applyFill="1" applyBorder="1" applyAlignment="1" applyProtection="1">
      <alignment horizontal="center" vertical="center"/>
      <protection locked="0"/>
    </xf>
    <xf numFmtId="0" fontId="3" fillId="8" borderId="50" xfId="0" applyFont="1" applyFill="1" applyBorder="1" applyAlignment="1">
      <alignment horizontal="center" vertical="center" wrapText="1"/>
    </xf>
    <xf numFmtId="0" fontId="3" fillId="8" borderId="51" xfId="0" applyFont="1" applyFill="1" applyBorder="1" applyAlignment="1">
      <alignment horizontal="center" vertical="center" wrapText="1"/>
    </xf>
    <xf numFmtId="0" fontId="3" fillId="8" borderId="233" xfId="0" applyFont="1" applyFill="1" applyBorder="1" applyAlignment="1">
      <alignment horizontal="center" vertical="center" wrapText="1"/>
    </xf>
    <xf numFmtId="0" fontId="0" fillId="11" borderId="25" xfId="0" applyFill="1" applyBorder="1" applyAlignment="1">
      <alignment horizontal="center" vertical="center"/>
    </xf>
    <xf numFmtId="0" fontId="0" fillId="11" borderId="27" xfId="0" applyFill="1" applyBorder="1" applyAlignment="1">
      <alignment horizontal="center" vertical="center"/>
    </xf>
    <xf numFmtId="166" fontId="2" fillId="7" borderId="26" xfId="0" applyNumberFormat="1" applyFont="1" applyFill="1" applyBorder="1" applyAlignment="1">
      <alignment horizontal="center" vertical="center"/>
    </xf>
    <xf numFmtId="166" fontId="2" fillId="7" borderId="32" xfId="0" applyNumberFormat="1" applyFont="1" applyFill="1" applyBorder="1" applyAlignment="1">
      <alignment horizontal="center" vertical="center"/>
    </xf>
    <xf numFmtId="0" fontId="2" fillId="5" borderId="41" xfId="0" applyFont="1" applyFill="1" applyBorder="1" applyAlignment="1">
      <alignment horizontal="center" vertical="center"/>
    </xf>
    <xf numFmtId="0" fontId="2" fillId="5" borderId="1" xfId="0" applyFont="1" applyFill="1" applyBorder="1" applyAlignment="1">
      <alignment horizontal="center" vertical="center"/>
    </xf>
    <xf numFmtId="0" fontId="1" fillId="22" borderId="15" xfId="0" applyFont="1" applyFill="1" applyBorder="1" applyAlignment="1">
      <alignment horizontal="center" vertical="center"/>
    </xf>
    <xf numFmtId="0" fontId="1" fillId="22" borderId="14" xfId="0" applyFont="1" applyFill="1" applyBorder="1" applyAlignment="1">
      <alignment horizontal="center" vertical="center"/>
    </xf>
    <xf numFmtId="0" fontId="5" fillId="6" borderId="44" xfId="0" applyFont="1" applyFill="1" applyBorder="1" applyAlignment="1">
      <alignment horizontal="center"/>
    </xf>
    <xf numFmtId="0" fontId="5" fillId="6" borderId="45" xfId="0" applyFont="1" applyFill="1" applyBorder="1" applyAlignment="1">
      <alignment horizontal="center"/>
    </xf>
    <xf numFmtId="0" fontId="6" fillId="30" borderId="50" xfId="0" applyFont="1" applyFill="1" applyBorder="1" applyAlignment="1">
      <alignment horizontal="center" vertical="center"/>
    </xf>
    <xf numFmtId="0" fontId="6" fillId="30" borderId="51" xfId="0" applyFont="1" applyFill="1" applyBorder="1" applyAlignment="1">
      <alignment horizontal="center" vertical="center"/>
    </xf>
    <xf numFmtId="0" fontId="6" fillId="30" borderId="46"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20" xfId="0" applyFont="1" applyFill="1" applyBorder="1" applyAlignment="1">
      <alignment horizontal="center" vertical="center"/>
    </xf>
    <xf numFmtId="0" fontId="30" fillId="22" borderId="57" xfId="0" applyFont="1" applyFill="1" applyBorder="1" applyAlignment="1" applyProtection="1">
      <alignment horizontal="center" vertical="center" wrapText="1"/>
      <protection locked="0"/>
    </xf>
    <xf numFmtId="0" fontId="30" fillId="22" borderId="56" xfId="0" applyFont="1" applyFill="1" applyBorder="1" applyAlignment="1" applyProtection="1">
      <alignment horizontal="center" vertical="center" wrapText="1"/>
      <protection locked="0"/>
    </xf>
    <xf numFmtId="0" fontId="30" fillId="22" borderId="59" xfId="0" applyFont="1" applyFill="1" applyBorder="1" applyAlignment="1" applyProtection="1">
      <alignment horizontal="center" vertical="center" wrapText="1"/>
      <protection locked="0"/>
    </xf>
    <xf numFmtId="0" fontId="1" fillId="32" borderId="3" xfId="0" applyFont="1" applyFill="1" applyBorder="1" applyAlignment="1">
      <alignment horizontal="center" vertical="center" wrapText="1"/>
    </xf>
    <xf numFmtId="0" fontId="1" fillId="32" borderId="62" xfId="0" applyFont="1" applyFill="1" applyBorder="1" applyAlignment="1">
      <alignment horizontal="center" vertical="center" wrapText="1"/>
    </xf>
    <xf numFmtId="0" fontId="1" fillId="32" borderId="0" xfId="0" applyFont="1" applyFill="1" applyAlignment="1">
      <alignment horizontal="center" vertical="center" wrapText="1"/>
    </xf>
    <xf numFmtId="0" fontId="1" fillId="32" borderId="48" xfId="0" applyFont="1" applyFill="1" applyBorder="1" applyAlignment="1">
      <alignment horizontal="center" vertical="center" wrapText="1"/>
    </xf>
    <xf numFmtId="0" fontId="0" fillId="3" borderId="42"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2" fillId="5" borderId="25"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27" xfId="0" applyFont="1" applyFill="1" applyBorder="1" applyAlignment="1">
      <alignment horizontal="center" vertical="center"/>
    </xf>
    <xf numFmtId="0" fontId="1" fillId="22" borderId="39" xfId="0" applyFont="1" applyFill="1" applyBorder="1" applyAlignment="1">
      <alignment horizontal="center" vertical="center"/>
    </xf>
    <xf numFmtId="0" fontId="1" fillId="22" borderId="36" xfId="0" applyFont="1" applyFill="1" applyBorder="1" applyAlignment="1">
      <alignment horizontal="center" vertical="center"/>
    </xf>
    <xf numFmtId="0" fontId="30" fillId="12" borderId="57" xfId="0" applyFont="1" applyFill="1" applyBorder="1" applyAlignment="1" applyProtection="1">
      <alignment horizontal="center" vertical="center"/>
      <protection locked="0"/>
    </xf>
    <xf numFmtId="0" fontId="30" fillId="12" borderId="56" xfId="0" applyFont="1" applyFill="1" applyBorder="1" applyAlignment="1" applyProtection="1">
      <alignment horizontal="center" vertical="center"/>
      <protection locked="0"/>
    </xf>
    <xf numFmtId="0" fontId="30" fillId="12" borderId="59" xfId="0" applyFont="1" applyFill="1" applyBorder="1" applyAlignment="1" applyProtection="1">
      <alignment horizontal="center" vertical="center"/>
      <protection locked="0"/>
    </xf>
    <xf numFmtId="0" fontId="1" fillId="20" borderId="13" xfId="0" applyFont="1" applyFill="1" applyBorder="1" applyAlignment="1">
      <alignment horizontal="center" vertical="center"/>
    </xf>
    <xf numFmtId="0" fontId="1" fillId="20" borderId="14" xfId="0" applyFont="1" applyFill="1" applyBorder="1" applyAlignment="1">
      <alignment horizontal="center" vertical="center"/>
    </xf>
    <xf numFmtId="0" fontId="1" fillId="20" borderId="24" xfId="0" applyFont="1" applyFill="1" applyBorder="1" applyAlignment="1">
      <alignment horizontal="center" vertical="center"/>
    </xf>
    <xf numFmtId="0" fontId="1" fillId="20" borderId="36" xfId="0" applyFont="1" applyFill="1" applyBorder="1" applyAlignment="1">
      <alignment horizontal="center" vertical="center"/>
    </xf>
    <xf numFmtId="0" fontId="4" fillId="11" borderId="57" xfId="0" applyFont="1" applyFill="1" applyBorder="1" applyAlignment="1">
      <alignment horizontal="center" vertical="center" wrapText="1"/>
    </xf>
    <xf numFmtId="0" fontId="4" fillId="11" borderId="56" xfId="0" applyFont="1" applyFill="1" applyBorder="1" applyAlignment="1">
      <alignment horizontal="center" vertical="center" wrapText="1"/>
    </xf>
    <xf numFmtId="0" fontId="4" fillId="11" borderId="59" xfId="0" applyFont="1" applyFill="1" applyBorder="1" applyAlignment="1">
      <alignment horizontal="center" vertical="center" wrapText="1"/>
    </xf>
    <xf numFmtId="0" fontId="3" fillId="2" borderId="55" xfId="0" applyFont="1" applyFill="1" applyBorder="1" applyAlignment="1">
      <alignment horizontal="center" vertical="center"/>
    </xf>
    <xf numFmtId="0" fontId="3" fillId="2" borderId="234"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5" xfId="0" applyFont="1" applyFill="1" applyBorder="1" applyAlignment="1">
      <alignment horizontal="center" vertical="center"/>
    </xf>
    <xf numFmtId="0" fontId="1" fillId="11" borderId="15" xfId="0" applyFont="1" applyFill="1" applyBorder="1" applyAlignment="1">
      <alignment horizontal="center" vertical="center"/>
    </xf>
    <xf numFmtId="0" fontId="1" fillId="11" borderId="14" xfId="0" applyFont="1" applyFill="1" applyBorder="1" applyAlignment="1">
      <alignment horizontal="center" vertical="center"/>
    </xf>
    <xf numFmtId="0" fontId="1" fillId="11" borderId="39" xfId="0" applyFont="1" applyFill="1" applyBorder="1" applyAlignment="1">
      <alignment horizontal="center" vertical="center"/>
    </xf>
    <xf numFmtId="0" fontId="1" fillId="11" borderId="36" xfId="0" applyFont="1" applyFill="1" applyBorder="1" applyAlignment="1">
      <alignment horizontal="center" vertical="center"/>
    </xf>
    <xf numFmtId="0" fontId="0" fillId="16" borderId="60" xfId="0" applyFill="1" applyBorder="1" applyAlignment="1">
      <alignment horizontal="center" vertical="center"/>
    </xf>
    <xf numFmtId="167" fontId="2" fillId="7" borderId="60" xfId="0" applyNumberFormat="1" applyFont="1" applyFill="1" applyBorder="1" applyAlignment="1">
      <alignment horizontal="center" vertical="center"/>
    </xf>
    <xf numFmtId="167" fontId="2" fillId="7" borderId="61" xfId="0" applyNumberFormat="1" applyFont="1" applyFill="1" applyBorder="1" applyAlignment="1">
      <alignment horizontal="center" vertical="center"/>
    </xf>
    <xf numFmtId="167" fontId="2" fillId="7" borderId="0" xfId="0" applyNumberFormat="1" applyFont="1" applyFill="1" applyAlignment="1">
      <alignment horizontal="center" vertical="center"/>
    </xf>
    <xf numFmtId="167" fontId="2" fillId="7" borderId="48" xfId="0" applyNumberFormat="1" applyFont="1" applyFill="1" applyBorder="1" applyAlignment="1">
      <alignment horizontal="center" vertical="center"/>
    </xf>
    <xf numFmtId="167" fontId="2" fillId="7" borderId="34" xfId="0" applyNumberFormat="1" applyFont="1" applyFill="1" applyBorder="1" applyAlignment="1">
      <alignment horizontal="center" vertical="center"/>
    </xf>
    <xf numFmtId="167" fontId="2" fillId="7" borderId="49" xfId="0" applyNumberFormat="1" applyFont="1" applyFill="1" applyBorder="1" applyAlignment="1">
      <alignment horizontal="center" vertical="center"/>
    </xf>
    <xf numFmtId="170" fontId="1" fillId="2" borderId="244" xfId="0" applyNumberFormat="1" applyFont="1" applyFill="1" applyBorder="1" applyAlignment="1" applyProtection="1">
      <alignment horizontal="center" vertical="center" wrapText="1"/>
      <protection locked="0"/>
    </xf>
    <xf numFmtId="170" fontId="1" fillId="2" borderId="36" xfId="0" applyNumberFormat="1" applyFont="1" applyFill="1" applyBorder="1" applyAlignment="1" applyProtection="1">
      <alignment horizontal="center" vertical="center" wrapText="1"/>
      <protection locked="0"/>
    </xf>
    <xf numFmtId="0" fontId="1" fillId="21" borderId="24" xfId="0" applyFont="1" applyFill="1" applyBorder="1" applyAlignment="1">
      <alignment horizontal="center" vertical="center"/>
    </xf>
    <xf numFmtId="0" fontId="1" fillId="21" borderId="36" xfId="0" applyFont="1" applyFill="1" applyBorder="1" applyAlignment="1">
      <alignment horizontal="center" vertical="center"/>
    </xf>
    <xf numFmtId="0" fontId="1" fillId="21" borderId="13" xfId="0" applyFont="1" applyFill="1" applyBorder="1" applyAlignment="1">
      <alignment horizontal="center" vertical="center"/>
    </xf>
    <xf numFmtId="0" fontId="1" fillId="21" borderId="14" xfId="0" applyFont="1" applyFill="1" applyBorder="1" applyAlignment="1">
      <alignment horizontal="center" vertical="center"/>
    </xf>
    <xf numFmtId="0" fontId="0" fillId="0" borderId="41" xfId="0" applyBorder="1" applyAlignment="1">
      <alignment horizontal="center" vertical="center"/>
    </xf>
    <xf numFmtId="0" fontId="0" fillId="0" borderId="53" xfId="0" applyBorder="1" applyAlignment="1">
      <alignment horizontal="center" vertical="center"/>
    </xf>
    <xf numFmtId="0" fontId="0" fillId="0" borderId="42" xfId="0" applyBorder="1" applyAlignment="1">
      <alignment horizontal="center" vertical="center"/>
    </xf>
    <xf numFmtId="0" fontId="1" fillId="0" borderId="52"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0" fillId="0" borderId="40" xfId="0" applyBorder="1" applyAlignment="1">
      <alignment horizontal="center" vertical="center"/>
    </xf>
    <xf numFmtId="0" fontId="1" fillId="16" borderId="34" xfId="0" applyFont="1" applyFill="1" applyBorder="1" applyAlignment="1">
      <alignment horizontal="center" vertical="center"/>
    </xf>
    <xf numFmtId="0" fontId="1" fillId="16" borderId="49" xfId="0" applyFont="1" applyFill="1" applyBorder="1" applyAlignment="1">
      <alignment horizontal="center" vertical="center"/>
    </xf>
    <xf numFmtId="0" fontId="4" fillId="0" borderId="52"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0" fillId="16" borderId="16" xfId="0" applyFill="1" applyBorder="1" applyAlignment="1">
      <alignment horizontal="center" vertical="center"/>
    </xf>
    <xf numFmtId="0" fontId="0" fillId="16" borderId="37" xfId="0" applyFill="1" applyBorder="1" applyAlignment="1">
      <alignment horizontal="center" vertical="center"/>
    </xf>
    <xf numFmtId="0" fontId="0" fillId="16" borderId="35" xfId="0" applyFill="1" applyBorder="1" applyAlignment="1">
      <alignment horizontal="center" vertical="center"/>
    </xf>
    <xf numFmtId="0" fontId="1" fillId="16" borderId="50" xfId="0" applyFont="1" applyFill="1" applyBorder="1" applyAlignment="1">
      <alignment horizontal="center" vertical="center"/>
    </xf>
    <xf numFmtId="0" fontId="1" fillId="16" borderId="46" xfId="0" applyFont="1" applyFill="1" applyBorder="1" applyAlignment="1">
      <alignment horizontal="center" vertical="center"/>
    </xf>
    <xf numFmtId="0" fontId="0" fillId="0" borderId="37" xfId="0" applyBorder="1" applyAlignment="1">
      <alignment horizontal="center" vertical="center"/>
    </xf>
    <xf numFmtId="0" fontId="1" fillId="16" borderId="51" xfId="0" applyFont="1" applyFill="1" applyBorder="1" applyAlignment="1">
      <alignment horizontal="center" vertical="center"/>
    </xf>
    <xf numFmtId="0" fontId="1" fillId="20" borderId="39" xfId="0" applyFont="1" applyFill="1" applyBorder="1" applyAlignment="1">
      <alignment horizontal="center" vertical="center"/>
    </xf>
    <xf numFmtId="0" fontId="0" fillId="16" borderId="31" xfId="0" applyFill="1" applyBorder="1" applyAlignment="1">
      <alignment horizontal="center" vertical="center"/>
    </xf>
    <xf numFmtId="0" fontId="5" fillId="6" borderId="50" xfId="0" applyFont="1" applyFill="1" applyBorder="1" applyAlignment="1">
      <alignment horizontal="center"/>
    </xf>
    <xf numFmtId="0" fontId="5" fillId="6" borderId="51" xfId="0" applyFont="1" applyFill="1" applyBorder="1" applyAlignment="1">
      <alignment horizontal="center"/>
    </xf>
    <xf numFmtId="0" fontId="5" fillId="6" borderId="233" xfId="0" applyFont="1" applyFill="1" applyBorder="1" applyAlignment="1">
      <alignment horizontal="center"/>
    </xf>
    <xf numFmtId="0" fontId="1" fillId="32" borderId="60" xfId="0" applyFont="1" applyFill="1" applyBorder="1" applyAlignment="1">
      <alignment horizontal="center" vertical="center" wrapText="1"/>
    </xf>
    <xf numFmtId="0" fontId="1" fillId="32" borderId="61" xfId="0" applyFont="1" applyFill="1" applyBorder="1" applyAlignment="1">
      <alignment horizontal="center" vertical="center" wrapText="1"/>
    </xf>
    <xf numFmtId="0" fontId="1" fillId="32" borderId="34" xfId="0" applyFont="1" applyFill="1" applyBorder="1" applyAlignment="1">
      <alignment horizontal="center" vertical="center" wrapText="1"/>
    </xf>
    <xf numFmtId="0" fontId="1" fillId="32" borderId="49" xfId="0" applyFont="1" applyFill="1" applyBorder="1" applyAlignment="1">
      <alignment horizontal="center" vertical="center" wrapText="1"/>
    </xf>
    <xf numFmtId="0" fontId="2" fillId="5" borderId="15"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36" xfId="0" applyFont="1" applyFill="1" applyBorder="1" applyAlignment="1">
      <alignment horizontal="center" vertical="center"/>
    </xf>
    <xf numFmtId="0" fontId="1" fillId="20" borderId="15" xfId="0" applyFont="1" applyFill="1" applyBorder="1" applyAlignment="1">
      <alignment horizontal="center" vertical="center"/>
    </xf>
    <xf numFmtId="0" fontId="1" fillId="13" borderId="15" xfId="0" applyFont="1" applyFill="1" applyBorder="1" applyAlignment="1">
      <alignment horizontal="center" vertical="center"/>
    </xf>
    <xf numFmtId="0" fontId="1" fillId="13" borderId="14" xfId="0" applyFont="1" applyFill="1" applyBorder="1" applyAlignment="1">
      <alignment horizontal="center" vertical="center"/>
    </xf>
    <xf numFmtId="0" fontId="1" fillId="13" borderId="39" xfId="0" applyFont="1" applyFill="1" applyBorder="1" applyAlignment="1">
      <alignment horizontal="center" vertical="center"/>
    </xf>
    <xf numFmtId="0" fontId="1" fillId="13" borderId="36" xfId="0" applyFont="1" applyFill="1" applyBorder="1" applyAlignment="1">
      <alignment horizontal="center" vertical="center"/>
    </xf>
    <xf numFmtId="0" fontId="1" fillId="17" borderId="15" xfId="0" applyFont="1" applyFill="1" applyBorder="1" applyAlignment="1">
      <alignment horizontal="center" vertical="center"/>
    </xf>
    <xf numFmtId="0" fontId="1" fillId="17" borderId="39" xfId="0" applyFont="1" applyFill="1" applyBorder="1" applyAlignment="1">
      <alignment horizontal="center" vertical="center"/>
    </xf>
    <xf numFmtId="0" fontId="1" fillId="21" borderId="15" xfId="0" applyFont="1" applyFill="1" applyBorder="1" applyAlignment="1">
      <alignment horizontal="center" vertical="center"/>
    </xf>
    <xf numFmtId="0" fontId="1" fillId="21" borderId="39" xfId="0" applyFont="1" applyFill="1" applyBorder="1" applyAlignment="1">
      <alignment horizontal="center" vertical="center"/>
    </xf>
    <xf numFmtId="0" fontId="1" fillId="11" borderId="16" xfId="0" applyFont="1" applyFill="1" applyBorder="1" applyAlignment="1">
      <alignment horizontal="center" vertical="center"/>
    </xf>
    <xf numFmtId="0" fontId="1" fillId="11" borderId="4" xfId="0" applyFont="1" applyFill="1" applyBorder="1" applyAlignment="1">
      <alignment horizontal="center" vertical="center"/>
    </xf>
    <xf numFmtId="0" fontId="1" fillId="16" borderId="11"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57" xfId="0" applyBorder="1" applyAlignment="1">
      <alignment horizontal="center" vertical="center" wrapText="1"/>
    </xf>
    <xf numFmtId="0" fontId="0" fillId="0" borderId="56" xfId="0" applyBorder="1" applyAlignment="1">
      <alignment horizontal="center" vertical="center" wrapText="1"/>
    </xf>
    <xf numFmtId="0" fontId="0" fillId="0" borderId="59" xfId="0" applyBorder="1" applyAlignment="1">
      <alignment horizontal="center" vertical="center" wrapText="1"/>
    </xf>
    <xf numFmtId="0" fontId="1" fillId="4" borderId="50" xfId="0" applyFont="1" applyFill="1" applyBorder="1" applyAlignment="1">
      <alignment horizontal="center" vertical="center"/>
    </xf>
    <xf numFmtId="0" fontId="1" fillId="4" borderId="51" xfId="0" applyFont="1" applyFill="1" applyBorder="1" applyAlignment="1">
      <alignment horizontal="center" vertical="center"/>
    </xf>
    <xf numFmtId="0" fontId="1" fillId="4" borderId="46"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1" xfId="0" applyFont="1" applyFill="1" applyBorder="1" applyAlignment="1">
      <alignment horizontal="center" vertical="center"/>
    </xf>
    <xf numFmtId="0" fontId="1" fillId="2" borderId="46" xfId="0" applyFont="1" applyFill="1" applyBorder="1" applyAlignment="1">
      <alignment horizontal="center" vertical="center"/>
    </xf>
    <xf numFmtId="0" fontId="1" fillId="17" borderId="50" xfId="0" applyFont="1" applyFill="1" applyBorder="1" applyAlignment="1">
      <alignment horizontal="center" vertical="center"/>
    </xf>
    <xf numFmtId="0" fontId="1" fillId="17" borderId="51" xfId="0" applyFont="1" applyFill="1" applyBorder="1" applyAlignment="1">
      <alignment horizontal="center" vertical="center"/>
    </xf>
    <xf numFmtId="0" fontId="1" fillId="17" borderId="46"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51" xfId="0" applyFont="1" applyFill="1" applyBorder="1" applyAlignment="1">
      <alignment horizontal="center" vertical="center"/>
    </xf>
    <xf numFmtId="0" fontId="1" fillId="3" borderId="46" xfId="0" applyFont="1" applyFill="1" applyBorder="1" applyAlignment="1">
      <alignment horizontal="center" vertical="center"/>
    </xf>
    <xf numFmtId="0" fontId="1" fillId="9" borderId="50" xfId="0" applyFont="1" applyFill="1" applyBorder="1" applyAlignment="1">
      <alignment horizontal="center" vertical="center"/>
    </xf>
    <xf numFmtId="0" fontId="1" fillId="9" borderId="51" xfId="0" applyFont="1" applyFill="1" applyBorder="1" applyAlignment="1">
      <alignment horizontal="center" vertical="center"/>
    </xf>
    <xf numFmtId="0" fontId="1" fillId="9" borderId="46" xfId="0" applyFont="1" applyFill="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9" fillId="18" borderId="50" xfId="0" applyFont="1" applyFill="1" applyBorder="1" applyAlignment="1">
      <alignment horizontal="center" vertical="center"/>
    </xf>
    <xf numFmtId="0" fontId="9" fillId="18" borderId="51" xfId="0" applyFont="1" applyFill="1" applyBorder="1" applyAlignment="1">
      <alignment horizontal="center" vertical="center"/>
    </xf>
    <xf numFmtId="0" fontId="9" fillId="18" borderId="46" xfId="0" applyFont="1" applyFill="1" applyBorder="1" applyAlignment="1">
      <alignment horizontal="center" vertical="center"/>
    </xf>
    <xf numFmtId="0" fontId="1" fillId="0" borderId="57"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56" xfId="0" applyFont="1" applyBorder="1" applyAlignment="1">
      <alignment horizontal="center" vertical="center"/>
    </xf>
    <xf numFmtId="0" fontId="1"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9" xfId="0" applyFont="1" applyBorder="1" applyAlignment="1">
      <alignment horizontal="center" vertical="center"/>
    </xf>
    <xf numFmtId="0" fontId="1" fillId="0" borderId="55"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6" xfId="0" applyFont="1" applyBorder="1" applyAlignment="1">
      <alignment horizontal="center" vertical="center"/>
    </xf>
    <xf numFmtId="0" fontId="1" fillId="0" borderId="55" xfId="0" applyFont="1" applyBorder="1" applyAlignment="1">
      <alignment horizontal="center" vertical="center"/>
    </xf>
    <xf numFmtId="0" fontId="1" fillId="0" borderId="61" xfId="0" applyFont="1" applyBorder="1" applyAlignment="1">
      <alignment horizontal="center" vertical="center"/>
    </xf>
    <xf numFmtId="0" fontId="1" fillId="0" borderId="40" xfId="0" applyFont="1" applyBorder="1" applyAlignment="1">
      <alignment horizontal="center" vertical="center"/>
    </xf>
    <xf numFmtId="0" fontId="1" fillId="0" borderId="48" xfId="0" applyFont="1" applyBorder="1" applyAlignment="1">
      <alignment horizontal="center" vertical="center"/>
    </xf>
    <xf numFmtId="0" fontId="1" fillId="0" borderId="37" xfId="0" applyFont="1" applyBorder="1" applyAlignment="1">
      <alignment horizontal="center" vertical="center"/>
    </xf>
    <xf numFmtId="0" fontId="1" fillId="0" borderId="49" xfId="0" applyFont="1" applyBorder="1" applyAlignment="1">
      <alignment horizontal="center" vertical="center"/>
    </xf>
    <xf numFmtId="0" fontId="0" fillId="0" borderId="1" xfId="0" applyBorder="1" applyAlignment="1">
      <alignment horizontal="center" vertical="center"/>
    </xf>
    <xf numFmtId="167" fontId="0" fillId="3" borderId="1" xfId="0" applyNumberFormat="1" applyFill="1" applyBorder="1" applyAlignment="1" applyProtection="1">
      <alignment horizontal="center" vertical="center"/>
      <protection locked="0"/>
    </xf>
    <xf numFmtId="167" fontId="0" fillId="3" borderId="19" xfId="0" applyNumberFormat="1" applyFill="1" applyBorder="1" applyAlignment="1" applyProtection="1">
      <alignment horizontal="center" vertical="center"/>
      <protection locked="0"/>
    </xf>
  </cellXfs>
  <cellStyles count="1">
    <cellStyle name="Normal" xfId="0" builtinId="0"/>
  </cellStyles>
  <dxfs count="1">
    <dxf>
      <fill>
        <patternFill>
          <bgColor theme="9" tint="-0.24994659260841701"/>
        </patternFill>
      </fill>
    </dxf>
  </dxfs>
  <tableStyles count="0" defaultTableStyle="TableStyleMedium2" defaultPivotStyle="PivotStyleLight16"/>
  <colors>
    <mruColors>
      <color rgb="FFFF3300"/>
      <color rgb="FFE62314"/>
      <color rgb="FF911717"/>
      <color rgb="FF0E02A6"/>
      <color rgb="FF8E87E3"/>
      <color rgb="FF9A9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PAY</a:t>
            </a:r>
            <a:r>
              <a:rPr lang="en-US" baseline="0"/>
              <a:t> STATEMENT</a:t>
            </a:r>
            <a:r>
              <a:rPr lang="en-US"/>
              <a:t> - CASH EARNINGS</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'2023'!$A$1:$C$1</c:f>
              <c:strCache>
                <c:ptCount val="3"/>
                <c:pt idx="0">
                  <c:v>2023</c:v>
                </c:pt>
              </c:strCache>
            </c:strRef>
          </c:tx>
          <c:spPr>
            <a:noFill/>
            <a:ln w="9525" cap="flat" cmpd="sng" algn="ctr">
              <a:solidFill>
                <a:schemeClr val="accent1"/>
              </a:solidFill>
              <a:miter lim="800000"/>
            </a:ln>
            <a:effectLst>
              <a:glow rad="63500">
                <a:schemeClr val="accent1">
                  <a:satMod val="175000"/>
                  <a:alpha val="25000"/>
                </a:schemeClr>
              </a:glow>
            </a:effectLst>
            <a:sp3d contourW="9525">
              <a:contourClr>
                <a:schemeClr val="accent1"/>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DATA!$I$2:$V$2</c:f>
              <c:strCache>
                <c:ptCount val="14"/>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AVERAGE</c:v>
                </c:pt>
                <c:pt idx="13">
                  <c:v>TOTAL</c:v>
                </c:pt>
              </c:strCache>
            </c:strRef>
          </c:cat>
          <c:val>
            <c:numRef>
              <c:f>'2023'!$D$250:$Q$250</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D8D4-40DE-B71A-0F6A8A859960}"/>
            </c:ext>
          </c:extLst>
        </c:ser>
        <c:ser>
          <c:idx val="1"/>
          <c:order val="1"/>
          <c:tx>
            <c:strRef>
              <c:f>'2024'!$A$1:$C$1</c:f>
              <c:strCache>
                <c:ptCount val="3"/>
                <c:pt idx="0">
                  <c:v>2024</c:v>
                </c:pt>
              </c:strCache>
            </c:strRef>
          </c:tx>
          <c:spPr>
            <a:noFill/>
            <a:ln w="9525" cap="flat" cmpd="sng" algn="ctr">
              <a:solidFill>
                <a:schemeClr val="accent2"/>
              </a:solidFill>
              <a:miter lim="800000"/>
            </a:ln>
            <a:effectLst>
              <a:glow rad="63500">
                <a:schemeClr val="accent2">
                  <a:satMod val="175000"/>
                  <a:alpha val="25000"/>
                </a:schemeClr>
              </a:glow>
            </a:effectLst>
            <a:sp3d contourW="9525">
              <a:contourClr>
                <a:schemeClr val="accent2"/>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DATA!$I$2:$V$2</c:f>
              <c:strCache>
                <c:ptCount val="14"/>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AVERAGE</c:v>
                </c:pt>
                <c:pt idx="13">
                  <c:v>TOTAL</c:v>
                </c:pt>
              </c:strCache>
            </c:strRef>
          </c:cat>
          <c:val>
            <c:numRef>
              <c:f>'2024'!$D$199:$Q$199</c:f>
              <c:numCache>
                <c:formatCode>[h]:mm</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D8D4-40DE-B71A-0F6A8A859960}"/>
            </c:ext>
          </c:extLst>
        </c:ser>
        <c:ser>
          <c:idx val="2"/>
          <c:order val="2"/>
          <c:tx>
            <c:strRef>
              <c:f>'2025'!$A$1:$C$1</c:f>
              <c:strCache>
                <c:ptCount val="3"/>
                <c:pt idx="0">
                  <c:v>2025</c:v>
                </c:pt>
              </c:strCache>
            </c:strRef>
          </c:tx>
          <c:spPr>
            <a:noFill/>
            <a:ln w="9525" cap="flat" cmpd="sng" algn="ctr">
              <a:solidFill>
                <a:schemeClr val="accent3"/>
              </a:solidFill>
              <a:miter lim="800000"/>
            </a:ln>
            <a:effectLst>
              <a:glow rad="63500">
                <a:schemeClr val="accent3">
                  <a:satMod val="175000"/>
                  <a:alpha val="25000"/>
                </a:schemeClr>
              </a:glow>
            </a:effectLst>
            <a:sp3d contourW="9525">
              <a:contourClr>
                <a:schemeClr val="accent3"/>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DATA!$I$2:$V$2</c:f>
              <c:strCache>
                <c:ptCount val="14"/>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AVERAGE</c:v>
                </c:pt>
                <c:pt idx="13">
                  <c:v>TOTAL</c:v>
                </c:pt>
              </c:strCache>
            </c:strRef>
          </c:cat>
          <c:val>
            <c:numRef>
              <c:f>'2025'!$D$199:$Q$199</c:f>
              <c:numCache>
                <c:formatCode>[h]:mm</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6-D8D4-40DE-B71A-0F6A8A859960}"/>
            </c:ext>
          </c:extLst>
        </c:ser>
        <c:ser>
          <c:idx val="3"/>
          <c:order val="3"/>
          <c:tx>
            <c:strRef>
              <c:f>'2026'!$A$1:$C$1</c:f>
              <c:strCache>
                <c:ptCount val="3"/>
                <c:pt idx="0">
                  <c:v>2026</c:v>
                </c:pt>
              </c:strCache>
            </c:strRef>
          </c:tx>
          <c:spPr>
            <a:noFill/>
            <a:ln w="9525" cap="flat" cmpd="sng" algn="ctr">
              <a:solidFill>
                <a:schemeClr val="accent4"/>
              </a:solidFill>
              <a:miter lim="800000"/>
            </a:ln>
            <a:effectLst>
              <a:glow rad="63500">
                <a:schemeClr val="accent4">
                  <a:satMod val="175000"/>
                  <a:alpha val="25000"/>
                </a:schemeClr>
              </a:glow>
            </a:effectLst>
            <a:sp3d contourW="9525">
              <a:contourClr>
                <a:schemeClr val="accent4"/>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DATA!$I$2:$V$2</c:f>
              <c:strCache>
                <c:ptCount val="14"/>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AVERAGE</c:v>
                </c:pt>
                <c:pt idx="13">
                  <c:v>TOTAL</c:v>
                </c:pt>
              </c:strCache>
            </c:strRef>
          </c:cat>
          <c:val>
            <c:numRef>
              <c:f>'2026'!$D$199:$Q$199</c:f>
              <c:numCache>
                <c:formatCode>[h]:mm</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7-D8D4-40DE-B71A-0F6A8A859960}"/>
            </c:ext>
          </c:extLst>
        </c:ser>
        <c:dLbls>
          <c:showLegendKey val="0"/>
          <c:showVal val="1"/>
          <c:showCatName val="0"/>
          <c:showSerName val="0"/>
          <c:showPercent val="0"/>
          <c:showBubbleSize val="0"/>
        </c:dLbls>
        <c:gapWidth val="315"/>
        <c:shape val="box"/>
        <c:axId val="2063792783"/>
        <c:axId val="199219935"/>
        <c:axId val="206086879"/>
      </c:bar3DChart>
      <c:catAx>
        <c:axId val="2063792783"/>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99219935"/>
        <c:crosses val="autoZero"/>
        <c:auto val="1"/>
        <c:lblAlgn val="ctr"/>
        <c:lblOffset val="100"/>
        <c:noMultiLvlLbl val="0"/>
      </c:catAx>
      <c:valAx>
        <c:axId val="199219935"/>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063792783"/>
        <c:crosses val="autoZero"/>
        <c:crossBetween val="between"/>
      </c:valAx>
      <c:serAx>
        <c:axId val="206086879"/>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99219935"/>
        <c:crosses val="autoZero"/>
      </c:ser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PAS</a:t>
            </a:r>
            <a:r>
              <a:rPr lang="en-US" baseline="0"/>
              <a:t> VS PAY STATEMENT DIFFERENCE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'2023'!$A$1:$C$1</c:f>
              <c:strCache>
                <c:ptCount val="3"/>
                <c:pt idx="0">
                  <c:v>2023</c:v>
                </c:pt>
              </c:strCache>
            </c:strRef>
          </c:tx>
          <c:spPr>
            <a:noFill/>
            <a:ln w="9525" cap="flat" cmpd="sng" algn="ctr">
              <a:solidFill>
                <a:schemeClr val="accent1"/>
              </a:solidFill>
              <a:miter lim="800000"/>
            </a:ln>
            <a:effectLst>
              <a:glow rad="63500">
                <a:schemeClr val="accent1">
                  <a:satMod val="175000"/>
                  <a:alpha val="25000"/>
                </a:schemeClr>
              </a:glow>
            </a:effectLst>
            <a:sp3d contourW="9525">
              <a:contourClr>
                <a:schemeClr val="accent1"/>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DATA!$I$2:$T$2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'2023'!$D$263:$O$263</c:f>
              <c:numCache>
                <c:formatCode>"$"#,##0;[Red]"$"#,##0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549-47B6-AD27-4F16C4369475}"/>
            </c:ext>
          </c:extLst>
        </c:ser>
        <c:ser>
          <c:idx val="1"/>
          <c:order val="1"/>
          <c:tx>
            <c:strRef>
              <c:f>'2024'!$A$1:$C$1</c:f>
              <c:strCache>
                <c:ptCount val="3"/>
                <c:pt idx="0">
                  <c:v>2024</c:v>
                </c:pt>
              </c:strCache>
            </c:strRef>
          </c:tx>
          <c:spPr>
            <a:noFill/>
            <a:ln w="9525" cap="flat" cmpd="sng" algn="ctr">
              <a:solidFill>
                <a:schemeClr val="accent2"/>
              </a:solidFill>
              <a:miter lim="800000"/>
            </a:ln>
            <a:effectLst>
              <a:glow rad="63500">
                <a:schemeClr val="accent2">
                  <a:satMod val="175000"/>
                  <a:alpha val="25000"/>
                </a:schemeClr>
              </a:glow>
            </a:effectLst>
            <a:sp3d contourW="9525">
              <a:contourClr>
                <a:schemeClr val="accent2"/>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DATA!$I$2:$T$2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'2024'!$D$212:$O$212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549-47B6-AD27-4F16C4369475}"/>
            </c:ext>
          </c:extLst>
        </c:ser>
        <c:ser>
          <c:idx val="2"/>
          <c:order val="2"/>
          <c:tx>
            <c:strRef>
              <c:f>'2025'!$A$1:$C$1</c:f>
              <c:strCache>
                <c:ptCount val="3"/>
                <c:pt idx="0">
                  <c:v>2025</c:v>
                </c:pt>
              </c:strCache>
            </c:strRef>
          </c:tx>
          <c:spPr>
            <a:noFill/>
            <a:ln w="9525" cap="flat" cmpd="sng" algn="ctr">
              <a:solidFill>
                <a:schemeClr val="accent3"/>
              </a:solidFill>
              <a:miter lim="800000"/>
            </a:ln>
            <a:effectLst>
              <a:glow rad="63500">
                <a:schemeClr val="accent3">
                  <a:satMod val="175000"/>
                  <a:alpha val="25000"/>
                </a:schemeClr>
              </a:glow>
            </a:effectLst>
            <a:sp3d contourW="9525">
              <a:contourClr>
                <a:schemeClr val="accent3"/>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DATA!$I$2:$T$2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'2025'!$D$212:$O$212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549-47B6-AD27-4F16C4369475}"/>
            </c:ext>
          </c:extLst>
        </c:ser>
        <c:ser>
          <c:idx val="3"/>
          <c:order val="3"/>
          <c:tx>
            <c:strRef>
              <c:f>'2026'!$A$1:$C$1</c:f>
              <c:strCache>
                <c:ptCount val="3"/>
                <c:pt idx="0">
                  <c:v>2026</c:v>
                </c:pt>
              </c:strCache>
            </c:strRef>
          </c:tx>
          <c:spPr>
            <a:noFill/>
            <a:ln w="9525" cap="flat" cmpd="sng" algn="ctr">
              <a:solidFill>
                <a:schemeClr val="accent4"/>
              </a:solidFill>
              <a:miter lim="800000"/>
            </a:ln>
            <a:effectLst>
              <a:glow rad="63500">
                <a:schemeClr val="accent4">
                  <a:satMod val="175000"/>
                  <a:alpha val="25000"/>
                </a:schemeClr>
              </a:glow>
            </a:effectLst>
            <a:sp3d contourW="9525">
              <a:contourClr>
                <a:schemeClr val="accent4"/>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DATA!$I$2:$T$2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'2026'!$D$212:$O$212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B549-47B6-AD27-4F16C4369475}"/>
            </c:ext>
          </c:extLst>
        </c:ser>
        <c:dLbls>
          <c:showLegendKey val="0"/>
          <c:showVal val="1"/>
          <c:showCatName val="0"/>
          <c:showSerName val="0"/>
          <c:showPercent val="0"/>
          <c:showBubbleSize val="0"/>
        </c:dLbls>
        <c:gapWidth val="315"/>
        <c:shape val="box"/>
        <c:axId val="2063792783"/>
        <c:axId val="199219935"/>
        <c:axId val="206086879"/>
      </c:bar3DChart>
      <c:catAx>
        <c:axId val="2063792783"/>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99219935"/>
        <c:crosses val="autoZero"/>
        <c:auto val="1"/>
        <c:lblAlgn val="ctr"/>
        <c:lblOffset val="100"/>
        <c:noMultiLvlLbl val="0"/>
      </c:catAx>
      <c:valAx>
        <c:axId val="199219935"/>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quot;$&quot;#,##0;[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063792783"/>
        <c:crosses val="autoZero"/>
        <c:crossBetween val="between"/>
      </c:valAx>
      <c:serAx>
        <c:axId val="206086879"/>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99219935"/>
        <c:crosses val="autoZero"/>
      </c:ser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AVERAGE PAY PER DAY WORKED</a:t>
            </a:r>
            <a:endParaRPr lang="en-US" baseline="0"/>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'2023'!$A$1:$C$1</c:f>
              <c:strCache>
                <c:ptCount val="3"/>
                <c:pt idx="0">
                  <c:v>2023</c:v>
                </c:pt>
              </c:strCache>
            </c:strRef>
          </c:tx>
          <c:spPr>
            <a:noFill/>
            <a:ln w="9525" cap="flat" cmpd="sng" algn="ctr">
              <a:solidFill>
                <a:schemeClr val="accent1"/>
              </a:solidFill>
              <a:miter lim="800000"/>
            </a:ln>
            <a:effectLst>
              <a:glow rad="63500">
                <a:schemeClr val="accent1">
                  <a:satMod val="175000"/>
                  <a:alpha val="25000"/>
                </a:schemeClr>
              </a:glow>
            </a:effectLst>
            <a:sp3d contourW="9525">
              <a:contourClr>
                <a:schemeClr val="accent1"/>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DATA!$I$2:$U$2</c:f>
              <c:strCache>
                <c:ptCount val="13"/>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AVERAGE</c:v>
                </c:pt>
              </c:strCache>
            </c:strRef>
          </c:cat>
          <c:val>
            <c:numRef>
              <c:f>'2023'!$D$274:$P$274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66A-4DF7-9159-0A170EB08E2E}"/>
            </c:ext>
          </c:extLst>
        </c:ser>
        <c:ser>
          <c:idx val="1"/>
          <c:order val="1"/>
          <c:tx>
            <c:strRef>
              <c:f>'2024'!$A$1:$C$1</c:f>
              <c:strCache>
                <c:ptCount val="3"/>
                <c:pt idx="0">
                  <c:v>2024</c:v>
                </c:pt>
              </c:strCache>
            </c:strRef>
          </c:tx>
          <c:spPr>
            <a:noFill/>
            <a:ln w="9525" cap="flat" cmpd="sng" algn="ctr">
              <a:solidFill>
                <a:schemeClr val="accent2"/>
              </a:solidFill>
              <a:miter lim="800000"/>
            </a:ln>
            <a:effectLst>
              <a:glow rad="63500">
                <a:schemeClr val="accent2">
                  <a:satMod val="175000"/>
                  <a:alpha val="25000"/>
                </a:schemeClr>
              </a:glow>
            </a:effectLst>
            <a:sp3d contourW="9525">
              <a:contourClr>
                <a:schemeClr val="accent2"/>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DATA!$I$2:$U$2</c:f>
              <c:strCache>
                <c:ptCount val="13"/>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AVERAGE</c:v>
                </c:pt>
              </c:strCache>
            </c:strRef>
          </c:cat>
          <c:val>
            <c:numRef>
              <c:f>'2024'!$D$223:$P$223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66A-4DF7-9159-0A170EB08E2E}"/>
            </c:ext>
          </c:extLst>
        </c:ser>
        <c:ser>
          <c:idx val="2"/>
          <c:order val="2"/>
          <c:tx>
            <c:strRef>
              <c:f>'2025'!$A$1:$C$1</c:f>
              <c:strCache>
                <c:ptCount val="3"/>
                <c:pt idx="0">
                  <c:v>2025</c:v>
                </c:pt>
              </c:strCache>
            </c:strRef>
          </c:tx>
          <c:spPr>
            <a:noFill/>
            <a:ln w="9525" cap="flat" cmpd="sng" algn="ctr">
              <a:solidFill>
                <a:schemeClr val="accent3"/>
              </a:solidFill>
              <a:miter lim="800000"/>
            </a:ln>
            <a:effectLst>
              <a:glow rad="63500">
                <a:schemeClr val="accent3">
                  <a:satMod val="175000"/>
                  <a:alpha val="25000"/>
                </a:schemeClr>
              </a:glow>
            </a:effectLst>
            <a:sp3d contourW="9525">
              <a:contourClr>
                <a:schemeClr val="accent3"/>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DATA!$I$2:$U$2</c:f>
              <c:strCache>
                <c:ptCount val="13"/>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AVERAGE</c:v>
                </c:pt>
              </c:strCache>
            </c:strRef>
          </c:cat>
          <c:val>
            <c:numRef>
              <c:f>'2025'!$D$223:$P$223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66A-4DF7-9159-0A170EB08E2E}"/>
            </c:ext>
          </c:extLst>
        </c:ser>
        <c:ser>
          <c:idx val="3"/>
          <c:order val="3"/>
          <c:tx>
            <c:strRef>
              <c:f>'2026'!$A$1:$C$1</c:f>
              <c:strCache>
                <c:ptCount val="3"/>
                <c:pt idx="0">
                  <c:v>2026</c:v>
                </c:pt>
              </c:strCache>
            </c:strRef>
          </c:tx>
          <c:spPr>
            <a:noFill/>
            <a:ln w="9525" cap="flat" cmpd="sng" algn="ctr">
              <a:solidFill>
                <a:schemeClr val="accent4"/>
              </a:solidFill>
              <a:miter lim="800000"/>
            </a:ln>
            <a:effectLst>
              <a:glow rad="63500">
                <a:schemeClr val="accent4">
                  <a:satMod val="175000"/>
                  <a:alpha val="25000"/>
                </a:schemeClr>
              </a:glow>
            </a:effectLst>
            <a:sp3d contourW="9525">
              <a:contourClr>
                <a:schemeClr val="accent4"/>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DATA!$I$2:$U$2</c:f>
              <c:strCache>
                <c:ptCount val="13"/>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AVERAGE</c:v>
                </c:pt>
              </c:strCache>
            </c:strRef>
          </c:cat>
          <c:val>
            <c:numRef>
              <c:f>'2026'!$D$223:$P$223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066A-4DF7-9159-0A170EB08E2E}"/>
            </c:ext>
          </c:extLst>
        </c:ser>
        <c:dLbls>
          <c:showLegendKey val="0"/>
          <c:showVal val="1"/>
          <c:showCatName val="0"/>
          <c:showSerName val="0"/>
          <c:showPercent val="0"/>
          <c:showBubbleSize val="0"/>
        </c:dLbls>
        <c:gapWidth val="315"/>
        <c:shape val="box"/>
        <c:axId val="2063792783"/>
        <c:axId val="199219935"/>
        <c:axId val="206086879"/>
      </c:bar3DChart>
      <c:catAx>
        <c:axId val="2063792783"/>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99219935"/>
        <c:crosses val="autoZero"/>
        <c:auto val="1"/>
        <c:lblAlgn val="ctr"/>
        <c:lblOffset val="100"/>
        <c:noMultiLvlLbl val="0"/>
      </c:catAx>
      <c:valAx>
        <c:axId val="199219935"/>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063792783"/>
        <c:crosses val="autoZero"/>
        <c:crossBetween val="between"/>
      </c:valAx>
      <c:serAx>
        <c:axId val="206086879"/>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99219935"/>
        <c:crosses val="autoZero"/>
      </c:ser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baseline="0"/>
              <a:t>BLOCK FLIGHT TIME PER MONTH</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'2023'!$A$1:$C$1</c:f>
              <c:strCache>
                <c:ptCount val="3"/>
                <c:pt idx="0">
                  <c:v>2023</c:v>
                </c:pt>
              </c:strCache>
            </c:strRef>
          </c:tx>
          <c:spPr>
            <a:noFill/>
            <a:ln w="9525" cap="flat" cmpd="sng" algn="ctr">
              <a:solidFill>
                <a:schemeClr val="accent1"/>
              </a:solidFill>
              <a:miter lim="800000"/>
            </a:ln>
            <a:effectLst>
              <a:glow rad="63500">
                <a:schemeClr val="accent1">
                  <a:satMod val="175000"/>
                  <a:alpha val="25000"/>
                </a:schemeClr>
              </a:glow>
            </a:effectLst>
            <a:sp3d contourW="9525">
              <a:contourClr>
                <a:schemeClr val="accent1"/>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DATA!$I$2:$V$2</c:f>
              <c:strCache>
                <c:ptCount val="14"/>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AVERAGE</c:v>
                </c:pt>
                <c:pt idx="13">
                  <c:v>TOTAL</c:v>
                </c:pt>
              </c:strCache>
            </c:strRef>
          </c:cat>
          <c:val>
            <c:numRef>
              <c:f>'2023'!$D$221:$Q$221</c:f>
              <c:numCache>
                <c:formatCode>[h]:mm</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8910-41B7-8390-FF3C54D9DDD9}"/>
            </c:ext>
          </c:extLst>
        </c:ser>
        <c:ser>
          <c:idx val="1"/>
          <c:order val="1"/>
          <c:tx>
            <c:strRef>
              <c:f>'2024'!$A$1:$C$1</c:f>
              <c:strCache>
                <c:ptCount val="3"/>
                <c:pt idx="0">
                  <c:v>2024</c:v>
                </c:pt>
              </c:strCache>
            </c:strRef>
          </c:tx>
          <c:spPr>
            <a:noFill/>
            <a:ln w="9525" cap="flat" cmpd="sng" algn="ctr">
              <a:solidFill>
                <a:schemeClr val="accent2"/>
              </a:solidFill>
              <a:miter lim="800000"/>
            </a:ln>
            <a:effectLst>
              <a:glow rad="63500">
                <a:schemeClr val="accent2">
                  <a:satMod val="175000"/>
                  <a:alpha val="25000"/>
                </a:schemeClr>
              </a:glow>
            </a:effectLst>
            <a:sp3d contourW="9525">
              <a:contourClr>
                <a:schemeClr val="accent2"/>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DATA!$I$2:$V$2</c:f>
              <c:strCache>
                <c:ptCount val="14"/>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AVERAGE</c:v>
                </c:pt>
                <c:pt idx="13">
                  <c:v>TOTAL</c:v>
                </c:pt>
              </c:strCache>
            </c:strRef>
          </c:cat>
          <c:val>
            <c:numRef>
              <c:f>'2024'!$D$179:$Q$179</c:f>
              <c:numCache>
                <c:formatCode>[h]:mm</c:formatCode>
                <c:ptCount val="14"/>
                <c:pt idx="12">
                  <c:v>0</c:v>
                </c:pt>
                <c:pt idx="13">
                  <c:v>0</c:v>
                </c:pt>
              </c:numCache>
            </c:numRef>
          </c:val>
          <c:extLst>
            <c:ext xmlns:c16="http://schemas.microsoft.com/office/drawing/2014/chart" uri="{C3380CC4-5D6E-409C-BE32-E72D297353CC}">
              <c16:uniqueId val="{00000001-8910-41B7-8390-FF3C54D9DDD9}"/>
            </c:ext>
          </c:extLst>
        </c:ser>
        <c:ser>
          <c:idx val="2"/>
          <c:order val="2"/>
          <c:tx>
            <c:strRef>
              <c:f>'2025'!$A$1:$C$1</c:f>
              <c:strCache>
                <c:ptCount val="3"/>
                <c:pt idx="0">
                  <c:v>2025</c:v>
                </c:pt>
              </c:strCache>
            </c:strRef>
          </c:tx>
          <c:spPr>
            <a:noFill/>
            <a:ln w="9525" cap="flat" cmpd="sng" algn="ctr">
              <a:solidFill>
                <a:schemeClr val="accent3"/>
              </a:solidFill>
              <a:miter lim="800000"/>
            </a:ln>
            <a:effectLst>
              <a:glow rad="63500">
                <a:schemeClr val="accent3">
                  <a:satMod val="175000"/>
                  <a:alpha val="25000"/>
                </a:schemeClr>
              </a:glow>
            </a:effectLst>
            <a:sp3d contourW="9525">
              <a:contourClr>
                <a:schemeClr val="accent3"/>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DATA!$I$2:$V$2</c:f>
              <c:strCache>
                <c:ptCount val="14"/>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AVERAGE</c:v>
                </c:pt>
                <c:pt idx="13">
                  <c:v>TOTAL</c:v>
                </c:pt>
              </c:strCache>
            </c:strRef>
          </c:cat>
          <c:val>
            <c:numRef>
              <c:f>'2025'!$D$179:$Q$179</c:f>
              <c:numCache>
                <c:formatCode>[h]:mm</c:formatCode>
                <c:ptCount val="14"/>
                <c:pt idx="12">
                  <c:v>0</c:v>
                </c:pt>
                <c:pt idx="13">
                  <c:v>0</c:v>
                </c:pt>
              </c:numCache>
            </c:numRef>
          </c:val>
          <c:extLst>
            <c:ext xmlns:c16="http://schemas.microsoft.com/office/drawing/2014/chart" uri="{C3380CC4-5D6E-409C-BE32-E72D297353CC}">
              <c16:uniqueId val="{00000002-8910-41B7-8390-FF3C54D9DDD9}"/>
            </c:ext>
          </c:extLst>
        </c:ser>
        <c:ser>
          <c:idx val="3"/>
          <c:order val="3"/>
          <c:tx>
            <c:strRef>
              <c:f>'2026'!$A$1:$C$1</c:f>
              <c:strCache>
                <c:ptCount val="3"/>
                <c:pt idx="0">
                  <c:v>2026</c:v>
                </c:pt>
              </c:strCache>
            </c:strRef>
          </c:tx>
          <c:spPr>
            <a:noFill/>
            <a:ln w="9525" cap="flat" cmpd="sng" algn="ctr">
              <a:solidFill>
                <a:schemeClr val="accent4"/>
              </a:solidFill>
              <a:miter lim="800000"/>
            </a:ln>
            <a:effectLst>
              <a:glow rad="63500">
                <a:schemeClr val="accent4">
                  <a:satMod val="175000"/>
                  <a:alpha val="25000"/>
                </a:schemeClr>
              </a:glow>
            </a:effectLst>
            <a:sp3d contourW="9525">
              <a:contourClr>
                <a:schemeClr val="accent4"/>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DATA!$I$2:$V$2</c:f>
              <c:strCache>
                <c:ptCount val="14"/>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pt idx="12">
                  <c:v>AVERAGE</c:v>
                </c:pt>
                <c:pt idx="13">
                  <c:v>TOTAL</c:v>
                </c:pt>
              </c:strCache>
            </c:strRef>
          </c:cat>
          <c:val>
            <c:numRef>
              <c:f>'2026'!$D$179:$Q$179</c:f>
              <c:numCache>
                <c:formatCode>[h]:mm</c:formatCode>
                <c:ptCount val="14"/>
                <c:pt idx="12">
                  <c:v>0</c:v>
                </c:pt>
                <c:pt idx="13">
                  <c:v>0</c:v>
                </c:pt>
              </c:numCache>
            </c:numRef>
          </c:val>
          <c:extLst>
            <c:ext xmlns:c16="http://schemas.microsoft.com/office/drawing/2014/chart" uri="{C3380CC4-5D6E-409C-BE32-E72D297353CC}">
              <c16:uniqueId val="{00000003-8910-41B7-8390-FF3C54D9DDD9}"/>
            </c:ext>
          </c:extLst>
        </c:ser>
        <c:dLbls>
          <c:showLegendKey val="0"/>
          <c:showVal val="1"/>
          <c:showCatName val="0"/>
          <c:showSerName val="0"/>
          <c:showPercent val="0"/>
          <c:showBubbleSize val="0"/>
        </c:dLbls>
        <c:gapWidth val="315"/>
        <c:shape val="box"/>
        <c:axId val="2063792783"/>
        <c:axId val="199219935"/>
        <c:axId val="206086879"/>
      </c:bar3DChart>
      <c:catAx>
        <c:axId val="2063792783"/>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99219935"/>
        <c:crosses val="autoZero"/>
        <c:auto val="1"/>
        <c:lblAlgn val="ctr"/>
        <c:lblOffset val="100"/>
        <c:noMultiLvlLbl val="0"/>
      </c:catAx>
      <c:valAx>
        <c:axId val="199219935"/>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h]:mm"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2063792783"/>
        <c:crosses val="autoZero"/>
        <c:crossBetween val="between"/>
      </c:valAx>
      <c:serAx>
        <c:axId val="206086879"/>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99219935"/>
        <c:crosses val="autoZero"/>
      </c:ser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25</xdr:col>
      <xdr:colOff>9525</xdr:colOff>
      <xdr:row>0</xdr:row>
      <xdr:rowOff>0</xdr:rowOff>
    </xdr:from>
    <xdr:to>
      <xdr:col>30</xdr:col>
      <xdr:colOff>508474</xdr:colOff>
      <xdr:row>2</xdr:row>
      <xdr:rowOff>1583055</xdr:rowOff>
    </xdr:to>
    <xdr:pic>
      <xdr:nvPicPr>
        <xdr:cNvPr id="2" name="Picture 1">
          <a:extLst>
            <a:ext uri="{FF2B5EF4-FFF2-40B4-BE49-F238E27FC236}">
              <a16:creationId xmlns:a16="http://schemas.microsoft.com/office/drawing/2014/main" id="{1B282B1F-2B70-49AB-82A4-9518F7AB75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9525" y="19050"/>
          <a:ext cx="3546949" cy="4400550"/>
        </a:xfrm>
        <a:prstGeom prst="rect">
          <a:avLst/>
        </a:prstGeom>
      </xdr:spPr>
    </xdr:pic>
    <xdr:clientData/>
  </xdr:twoCellAnchor>
  <xdr:twoCellAnchor editAs="oneCell">
    <xdr:from>
      <xdr:col>25</xdr:col>
      <xdr:colOff>9525</xdr:colOff>
      <xdr:row>15</xdr:row>
      <xdr:rowOff>0</xdr:rowOff>
    </xdr:from>
    <xdr:to>
      <xdr:col>30</xdr:col>
      <xdr:colOff>514350</xdr:colOff>
      <xdr:row>15</xdr:row>
      <xdr:rowOff>3343584</xdr:rowOff>
    </xdr:to>
    <xdr:pic>
      <xdr:nvPicPr>
        <xdr:cNvPr id="3" name="Picture 2">
          <a:extLst>
            <a:ext uri="{FF2B5EF4-FFF2-40B4-BE49-F238E27FC236}">
              <a16:creationId xmlns:a16="http://schemas.microsoft.com/office/drawing/2014/main" id="{871B26FB-E085-41BE-8013-6FDFC0A59C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9525" y="4438650"/>
          <a:ext cx="3552825" cy="3343584"/>
        </a:xfrm>
        <a:prstGeom prst="rect">
          <a:avLst/>
        </a:prstGeom>
      </xdr:spPr>
    </xdr:pic>
    <xdr:clientData/>
  </xdr:twoCellAnchor>
  <xdr:twoCellAnchor editAs="oneCell">
    <xdr:from>
      <xdr:col>0</xdr:col>
      <xdr:colOff>1343025</xdr:colOff>
      <xdr:row>15</xdr:row>
      <xdr:rowOff>4533900</xdr:rowOff>
    </xdr:from>
    <xdr:to>
      <xdr:col>0</xdr:col>
      <xdr:colOff>4889974</xdr:colOff>
      <xdr:row>16</xdr:row>
      <xdr:rowOff>4200525</xdr:rowOff>
    </xdr:to>
    <xdr:pic>
      <xdr:nvPicPr>
        <xdr:cNvPr id="4" name="Picture 3">
          <a:extLst>
            <a:ext uri="{FF2B5EF4-FFF2-40B4-BE49-F238E27FC236}">
              <a16:creationId xmlns:a16="http://schemas.microsoft.com/office/drawing/2014/main" id="{1945E293-3792-4514-8B0A-17D5B99601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3025" y="21926550"/>
          <a:ext cx="3546949" cy="4400550"/>
        </a:xfrm>
        <a:prstGeom prst="rect">
          <a:avLst/>
        </a:prstGeom>
      </xdr:spPr>
    </xdr:pic>
    <xdr:clientData/>
  </xdr:twoCellAnchor>
  <xdr:twoCellAnchor editAs="oneCell">
    <xdr:from>
      <xdr:col>0</xdr:col>
      <xdr:colOff>8353425</xdr:colOff>
      <xdr:row>15</xdr:row>
      <xdr:rowOff>4438650</xdr:rowOff>
    </xdr:from>
    <xdr:to>
      <xdr:col>1</xdr:col>
      <xdr:colOff>4019550</xdr:colOff>
      <xdr:row>16</xdr:row>
      <xdr:rowOff>3487547</xdr:rowOff>
    </xdr:to>
    <xdr:pic>
      <xdr:nvPicPr>
        <xdr:cNvPr id="5" name="Picture 4">
          <a:extLst>
            <a:ext uri="{FF2B5EF4-FFF2-40B4-BE49-F238E27FC236}">
              <a16:creationId xmlns:a16="http://schemas.microsoft.com/office/drawing/2014/main" id="{B4632E73-517B-485A-91D0-44192C8117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53425" y="21831300"/>
          <a:ext cx="4019550" cy="37828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9525</xdr:colOff>
      <xdr:row>1</xdr:row>
      <xdr:rowOff>0</xdr:rowOff>
    </xdr:from>
    <xdr:to>
      <xdr:col>16</xdr:col>
      <xdr:colOff>196904</xdr:colOff>
      <xdr:row>4</xdr:row>
      <xdr:rowOff>228600</xdr:rowOff>
    </xdr:to>
    <xdr:pic>
      <xdr:nvPicPr>
        <xdr:cNvPr id="9" name="Picture 8">
          <a:extLst>
            <a:ext uri="{FF2B5EF4-FFF2-40B4-BE49-F238E27FC236}">
              <a16:creationId xmlns:a16="http://schemas.microsoft.com/office/drawing/2014/main" id="{59DC9EB3-E588-42AA-9B80-7C4AB8CEA9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87325" y="466725"/>
          <a:ext cx="997004" cy="1000125"/>
        </a:xfrm>
        <a:prstGeom prst="rect">
          <a:avLst/>
        </a:prstGeom>
      </xdr:spPr>
    </xdr:pic>
    <xdr:clientData/>
  </xdr:twoCellAnchor>
  <xdr:twoCellAnchor editAs="oneCell">
    <xdr:from>
      <xdr:col>16</xdr:col>
      <xdr:colOff>666750</xdr:colOff>
      <xdr:row>1</xdr:row>
      <xdr:rowOff>19050</xdr:rowOff>
    </xdr:from>
    <xdr:to>
      <xdr:col>16</xdr:col>
      <xdr:colOff>1647826</xdr:colOff>
      <xdr:row>4</xdr:row>
      <xdr:rowOff>225777</xdr:rowOff>
    </xdr:to>
    <xdr:pic>
      <xdr:nvPicPr>
        <xdr:cNvPr id="11" name="Picture 10">
          <a:extLst>
            <a:ext uri="{FF2B5EF4-FFF2-40B4-BE49-F238E27FC236}">
              <a16:creationId xmlns:a16="http://schemas.microsoft.com/office/drawing/2014/main" id="{BB2F61B2-2C80-4ED3-9989-D9E1D1CEC0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54175" y="485775"/>
          <a:ext cx="981076" cy="9782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666750</xdr:colOff>
      <xdr:row>1</xdr:row>
      <xdr:rowOff>19051</xdr:rowOff>
    </xdr:from>
    <xdr:to>
      <xdr:col>16</xdr:col>
      <xdr:colOff>1647826</xdr:colOff>
      <xdr:row>4</xdr:row>
      <xdr:rowOff>225778</xdr:rowOff>
    </xdr:to>
    <xdr:pic>
      <xdr:nvPicPr>
        <xdr:cNvPr id="5" name="Picture 4">
          <a:extLst>
            <a:ext uri="{FF2B5EF4-FFF2-40B4-BE49-F238E27FC236}">
              <a16:creationId xmlns:a16="http://schemas.microsoft.com/office/drawing/2014/main" id="{A4055C96-2FEF-7FF6-D85A-B131C4C09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54175" y="485776"/>
          <a:ext cx="981076" cy="978252"/>
        </a:xfrm>
        <a:prstGeom prst="rect">
          <a:avLst/>
        </a:prstGeom>
      </xdr:spPr>
    </xdr:pic>
    <xdr:clientData/>
  </xdr:twoCellAnchor>
  <xdr:twoCellAnchor editAs="oneCell">
    <xdr:from>
      <xdr:col>15</xdr:col>
      <xdr:colOff>9525</xdr:colOff>
      <xdr:row>1</xdr:row>
      <xdr:rowOff>0</xdr:rowOff>
    </xdr:from>
    <xdr:to>
      <xdr:col>16</xdr:col>
      <xdr:colOff>196904</xdr:colOff>
      <xdr:row>4</xdr:row>
      <xdr:rowOff>228600</xdr:rowOff>
    </xdr:to>
    <xdr:pic>
      <xdr:nvPicPr>
        <xdr:cNvPr id="6" name="Picture 5">
          <a:extLst>
            <a:ext uri="{FF2B5EF4-FFF2-40B4-BE49-F238E27FC236}">
              <a16:creationId xmlns:a16="http://schemas.microsoft.com/office/drawing/2014/main" id="{30E855B7-0C55-4776-99A1-EEC6F55BAF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87325" y="466725"/>
          <a:ext cx="997004" cy="1000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12646</xdr:colOff>
      <xdr:row>1</xdr:row>
      <xdr:rowOff>0</xdr:rowOff>
    </xdr:from>
    <xdr:to>
      <xdr:col>16</xdr:col>
      <xdr:colOff>200025</xdr:colOff>
      <xdr:row>4</xdr:row>
      <xdr:rowOff>228600</xdr:rowOff>
    </xdr:to>
    <xdr:pic>
      <xdr:nvPicPr>
        <xdr:cNvPr id="3" name="Picture 2">
          <a:extLst>
            <a:ext uri="{FF2B5EF4-FFF2-40B4-BE49-F238E27FC236}">
              <a16:creationId xmlns:a16="http://schemas.microsoft.com/office/drawing/2014/main" id="{93691441-A337-67EC-B21F-F87EAC1D55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90446" y="466725"/>
          <a:ext cx="997004" cy="1000125"/>
        </a:xfrm>
        <a:prstGeom prst="rect">
          <a:avLst/>
        </a:prstGeom>
      </xdr:spPr>
    </xdr:pic>
    <xdr:clientData/>
  </xdr:twoCellAnchor>
  <xdr:twoCellAnchor editAs="oneCell">
    <xdr:from>
      <xdr:col>16</xdr:col>
      <xdr:colOff>669871</xdr:colOff>
      <xdr:row>1</xdr:row>
      <xdr:rowOff>19050</xdr:rowOff>
    </xdr:from>
    <xdr:to>
      <xdr:col>16</xdr:col>
      <xdr:colOff>1650947</xdr:colOff>
      <xdr:row>4</xdr:row>
      <xdr:rowOff>225777</xdr:rowOff>
    </xdr:to>
    <xdr:pic>
      <xdr:nvPicPr>
        <xdr:cNvPr id="5" name="Picture 4">
          <a:extLst>
            <a:ext uri="{FF2B5EF4-FFF2-40B4-BE49-F238E27FC236}">
              <a16:creationId xmlns:a16="http://schemas.microsoft.com/office/drawing/2014/main" id="{53530F0D-6C3F-48E9-8D60-0A35DADB03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57296" y="485775"/>
          <a:ext cx="981076" cy="9782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9525</xdr:colOff>
      <xdr:row>1</xdr:row>
      <xdr:rowOff>0</xdr:rowOff>
    </xdr:from>
    <xdr:to>
      <xdr:col>16</xdr:col>
      <xdr:colOff>196904</xdr:colOff>
      <xdr:row>4</xdr:row>
      <xdr:rowOff>228600</xdr:rowOff>
    </xdr:to>
    <xdr:pic>
      <xdr:nvPicPr>
        <xdr:cNvPr id="2" name="Picture 1">
          <a:extLst>
            <a:ext uri="{FF2B5EF4-FFF2-40B4-BE49-F238E27FC236}">
              <a16:creationId xmlns:a16="http://schemas.microsoft.com/office/drawing/2014/main" id="{9CFA7D84-E490-4A72-A410-F7021458D3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87325" y="466725"/>
          <a:ext cx="997004" cy="1000125"/>
        </a:xfrm>
        <a:prstGeom prst="rect">
          <a:avLst/>
        </a:prstGeom>
      </xdr:spPr>
    </xdr:pic>
    <xdr:clientData/>
  </xdr:twoCellAnchor>
  <xdr:twoCellAnchor editAs="oneCell">
    <xdr:from>
      <xdr:col>16</xdr:col>
      <xdr:colOff>666750</xdr:colOff>
      <xdr:row>1</xdr:row>
      <xdr:rowOff>19050</xdr:rowOff>
    </xdr:from>
    <xdr:to>
      <xdr:col>16</xdr:col>
      <xdr:colOff>1647826</xdr:colOff>
      <xdr:row>4</xdr:row>
      <xdr:rowOff>225777</xdr:rowOff>
    </xdr:to>
    <xdr:pic>
      <xdr:nvPicPr>
        <xdr:cNvPr id="3" name="Picture 2">
          <a:extLst>
            <a:ext uri="{FF2B5EF4-FFF2-40B4-BE49-F238E27FC236}">
              <a16:creationId xmlns:a16="http://schemas.microsoft.com/office/drawing/2014/main" id="{1B514759-C019-47DB-A3E4-FFA80F84E3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54175" y="485775"/>
          <a:ext cx="981076" cy="9782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4761</xdr:rowOff>
    </xdr:from>
    <xdr:to>
      <xdr:col>34</xdr:col>
      <xdr:colOff>381000</xdr:colOff>
      <xdr:row>55</xdr:row>
      <xdr:rowOff>66675</xdr:rowOff>
    </xdr:to>
    <xdr:graphicFrame macro="">
      <xdr:nvGraphicFramePr>
        <xdr:cNvPr id="2" name="Chart 1">
          <a:extLst>
            <a:ext uri="{FF2B5EF4-FFF2-40B4-BE49-F238E27FC236}">
              <a16:creationId xmlns:a16="http://schemas.microsoft.com/office/drawing/2014/main" id="{7838B5E5-7EF4-337B-7AF3-2D993FDA99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4761</xdr:rowOff>
    </xdr:from>
    <xdr:to>
      <xdr:col>34</xdr:col>
      <xdr:colOff>381000</xdr:colOff>
      <xdr:row>55</xdr:row>
      <xdr:rowOff>66675</xdr:rowOff>
    </xdr:to>
    <xdr:graphicFrame macro="">
      <xdr:nvGraphicFramePr>
        <xdr:cNvPr id="2" name="Chart 1">
          <a:extLst>
            <a:ext uri="{FF2B5EF4-FFF2-40B4-BE49-F238E27FC236}">
              <a16:creationId xmlns:a16="http://schemas.microsoft.com/office/drawing/2014/main" id="{DF139C6F-6B04-4967-B08E-1CB489B0B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4761</xdr:rowOff>
    </xdr:from>
    <xdr:to>
      <xdr:col>34</xdr:col>
      <xdr:colOff>381000</xdr:colOff>
      <xdr:row>55</xdr:row>
      <xdr:rowOff>66675</xdr:rowOff>
    </xdr:to>
    <xdr:graphicFrame macro="">
      <xdr:nvGraphicFramePr>
        <xdr:cNvPr id="2" name="Chart 1">
          <a:extLst>
            <a:ext uri="{FF2B5EF4-FFF2-40B4-BE49-F238E27FC236}">
              <a16:creationId xmlns:a16="http://schemas.microsoft.com/office/drawing/2014/main" id="{34BDA7DC-00D8-446E-AE31-3BCDC7652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4761</xdr:rowOff>
    </xdr:from>
    <xdr:to>
      <xdr:col>34</xdr:col>
      <xdr:colOff>381000</xdr:colOff>
      <xdr:row>55</xdr:row>
      <xdr:rowOff>66675</xdr:rowOff>
    </xdr:to>
    <xdr:graphicFrame macro="">
      <xdr:nvGraphicFramePr>
        <xdr:cNvPr id="2" name="Chart 1">
          <a:extLst>
            <a:ext uri="{FF2B5EF4-FFF2-40B4-BE49-F238E27FC236}">
              <a16:creationId xmlns:a16="http://schemas.microsoft.com/office/drawing/2014/main" id="{14A2AF2B-12DC-4CBB-BCA5-C2D7530EB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40F93-93FC-4190-957F-C8A0ABFEDD76}">
  <dimension ref="A1:Y47"/>
  <sheetViews>
    <sheetView showGridLines="0" showRowColHeaders="0" tabSelected="1" workbookViewId="0">
      <selection activeCell="B2" sqref="B2"/>
    </sheetView>
  </sheetViews>
  <sheetFormatPr defaultColWidth="9.140625" defaultRowHeight="15" x14ac:dyDescent="0.25"/>
  <cols>
    <col min="1" max="1" width="123.85546875" style="620" customWidth="1"/>
    <col min="2" max="2" width="75" style="620" customWidth="1"/>
    <col min="3" max="16384" width="9.140625" style="620"/>
  </cols>
  <sheetData>
    <row r="1" spans="1:25" ht="175.5" customHeight="1" thickBot="1" x14ac:dyDescent="0.3">
      <c r="A1" s="778" t="s">
        <v>187</v>
      </c>
      <c r="B1" s="779"/>
      <c r="C1" s="619"/>
      <c r="D1" s="619"/>
      <c r="E1" s="619"/>
      <c r="F1" s="619"/>
      <c r="G1" s="619"/>
      <c r="H1" s="619"/>
      <c r="I1" s="619"/>
      <c r="J1" s="619"/>
      <c r="K1" s="619"/>
      <c r="L1" s="619"/>
      <c r="M1" s="619"/>
      <c r="N1" s="619"/>
      <c r="O1" s="619"/>
      <c r="P1" s="619"/>
      <c r="Q1" s="619"/>
      <c r="R1" s="619"/>
      <c r="S1" s="619"/>
      <c r="T1" s="619"/>
      <c r="U1" s="619"/>
      <c r="V1" s="619"/>
      <c r="W1" s="619"/>
      <c r="X1" s="619"/>
      <c r="Y1" s="619"/>
    </row>
    <row r="2" spans="1:25" ht="45" customHeight="1" thickBot="1" x14ac:dyDescent="0.3">
      <c r="A2" s="777" t="s">
        <v>183</v>
      </c>
      <c r="B2" s="623"/>
      <c r="C2" s="619"/>
      <c r="D2" s="619"/>
      <c r="E2" s="619"/>
      <c r="F2" s="619"/>
      <c r="G2" s="619"/>
      <c r="H2" s="619"/>
      <c r="I2" s="619"/>
      <c r="J2" s="619"/>
      <c r="K2" s="619"/>
      <c r="L2" s="619"/>
      <c r="M2" s="619"/>
      <c r="N2" s="619"/>
      <c r="O2" s="619"/>
      <c r="P2" s="619"/>
      <c r="Q2" s="619"/>
      <c r="R2" s="619"/>
      <c r="S2" s="619"/>
      <c r="T2" s="619"/>
      <c r="U2" s="619"/>
      <c r="V2" s="619"/>
      <c r="W2" s="619"/>
      <c r="X2" s="619"/>
      <c r="Y2" s="619"/>
    </row>
    <row r="3" spans="1:25" ht="149.25" customHeight="1" x14ac:dyDescent="0.4">
      <c r="A3" s="780" t="s">
        <v>182</v>
      </c>
      <c r="B3" s="781"/>
      <c r="C3" s="619"/>
      <c r="D3" s="619"/>
      <c r="E3" s="619"/>
      <c r="F3" s="619"/>
      <c r="G3" s="619"/>
      <c r="H3" s="619"/>
      <c r="I3" s="619"/>
      <c r="J3" s="619"/>
      <c r="K3" s="619"/>
      <c r="L3" s="619"/>
      <c r="M3" s="619"/>
      <c r="N3" s="619"/>
      <c r="O3" s="619"/>
      <c r="P3" s="619"/>
      <c r="Q3" s="619"/>
      <c r="R3" s="619"/>
      <c r="S3" s="619"/>
      <c r="T3" s="619"/>
    </row>
    <row r="4" spans="1:25" ht="135.75" customHeight="1" x14ac:dyDescent="0.4">
      <c r="A4" s="780" t="s">
        <v>158</v>
      </c>
      <c r="B4" s="781"/>
      <c r="C4" s="619"/>
      <c r="D4" s="619"/>
      <c r="E4" s="619"/>
      <c r="F4" s="619"/>
      <c r="G4" s="619"/>
      <c r="H4" s="619"/>
      <c r="I4" s="619"/>
      <c r="J4" s="619"/>
      <c r="K4" s="619"/>
      <c r="L4" s="619"/>
      <c r="M4" s="619"/>
      <c r="N4" s="619"/>
      <c r="O4" s="619"/>
      <c r="P4" s="619"/>
      <c r="Q4" s="619"/>
      <c r="R4" s="619"/>
      <c r="S4" s="619"/>
      <c r="T4" s="619"/>
    </row>
    <row r="5" spans="1:25" ht="44.25" customHeight="1" x14ac:dyDescent="0.25">
      <c r="A5" s="786" t="s">
        <v>156</v>
      </c>
      <c r="B5" s="787"/>
      <c r="C5" s="619"/>
      <c r="D5" s="619"/>
      <c r="E5" s="619"/>
      <c r="F5" s="619"/>
      <c r="G5" s="619"/>
      <c r="H5" s="619"/>
      <c r="I5" s="619"/>
      <c r="J5" s="619"/>
      <c r="K5" s="619"/>
      <c r="L5" s="619"/>
      <c r="M5" s="619"/>
      <c r="N5" s="619"/>
      <c r="O5" s="619"/>
      <c r="P5" s="619"/>
      <c r="Q5" s="619"/>
      <c r="R5" s="619"/>
      <c r="S5" s="619"/>
      <c r="T5" s="619"/>
    </row>
    <row r="6" spans="1:25" ht="63.75" customHeight="1" x14ac:dyDescent="0.4">
      <c r="A6" s="780" t="s">
        <v>159</v>
      </c>
      <c r="B6" s="781"/>
      <c r="C6" s="619"/>
      <c r="D6" s="619"/>
      <c r="E6" s="619"/>
      <c r="F6" s="619"/>
      <c r="G6" s="619"/>
      <c r="H6" s="619"/>
      <c r="I6" s="619"/>
      <c r="J6" s="619"/>
      <c r="K6" s="619"/>
      <c r="L6" s="619"/>
      <c r="M6" s="619"/>
      <c r="N6" s="619"/>
      <c r="O6" s="619"/>
      <c r="P6" s="619"/>
      <c r="Q6" s="619"/>
      <c r="R6" s="619"/>
      <c r="S6" s="619"/>
      <c r="T6" s="619"/>
    </row>
    <row r="7" spans="1:25" ht="90" customHeight="1" x14ac:dyDescent="0.4">
      <c r="A7" s="780" t="s">
        <v>180</v>
      </c>
      <c r="B7" s="781"/>
      <c r="C7" s="619"/>
      <c r="D7" s="619"/>
      <c r="E7" s="619"/>
      <c r="F7" s="619"/>
      <c r="G7" s="619"/>
      <c r="H7" s="619"/>
      <c r="I7" s="619"/>
      <c r="J7" s="619"/>
      <c r="K7" s="619"/>
      <c r="L7" s="619"/>
      <c r="M7" s="619"/>
      <c r="N7" s="619"/>
      <c r="O7" s="619"/>
      <c r="P7" s="619"/>
      <c r="Q7" s="619"/>
      <c r="R7" s="619"/>
      <c r="S7" s="619"/>
      <c r="T7" s="619"/>
    </row>
    <row r="8" spans="1:25" ht="120" customHeight="1" x14ac:dyDescent="0.4">
      <c r="A8" s="780" t="s">
        <v>188</v>
      </c>
      <c r="B8" s="781"/>
      <c r="C8" s="619"/>
      <c r="D8" s="619"/>
      <c r="E8" s="619"/>
      <c r="F8" s="619"/>
      <c r="G8" s="619"/>
      <c r="H8" s="619"/>
      <c r="I8" s="619"/>
      <c r="J8" s="619"/>
      <c r="K8" s="619"/>
      <c r="L8" s="619"/>
      <c r="M8" s="619"/>
      <c r="N8" s="619"/>
      <c r="O8" s="619"/>
      <c r="P8" s="619"/>
      <c r="Q8" s="619"/>
      <c r="R8" s="619"/>
      <c r="S8" s="619"/>
      <c r="T8" s="619"/>
    </row>
    <row r="9" spans="1:25" ht="58.5" customHeight="1" x14ac:dyDescent="0.25">
      <c r="A9" s="786" t="s">
        <v>157</v>
      </c>
      <c r="B9" s="787"/>
      <c r="C9" s="619"/>
      <c r="D9" s="619"/>
      <c r="E9" s="619"/>
      <c r="F9" s="619"/>
      <c r="G9" s="619"/>
      <c r="H9" s="619"/>
      <c r="I9" s="619"/>
      <c r="J9" s="619"/>
      <c r="K9" s="619"/>
      <c r="L9" s="619"/>
      <c r="M9" s="619"/>
      <c r="N9" s="619"/>
      <c r="O9" s="619"/>
      <c r="P9" s="619"/>
      <c r="Q9" s="619"/>
      <c r="R9" s="619"/>
      <c r="S9" s="619"/>
      <c r="T9" s="619"/>
    </row>
    <row r="10" spans="1:25" ht="48.75" customHeight="1" x14ac:dyDescent="0.4">
      <c r="A10" s="780" t="s">
        <v>170</v>
      </c>
      <c r="B10" s="781"/>
      <c r="C10" s="619"/>
      <c r="D10" s="619"/>
      <c r="E10" s="619"/>
      <c r="F10" s="619"/>
      <c r="G10" s="619"/>
      <c r="H10" s="619"/>
      <c r="I10" s="619"/>
      <c r="J10" s="619"/>
      <c r="K10" s="619"/>
      <c r="L10" s="619"/>
      <c r="M10" s="619"/>
      <c r="N10" s="619"/>
      <c r="O10" s="619"/>
      <c r="P10" s="619"/>
      <c r="Q10" s="619"/>
      <c r="R10" s="619"/>
      <c r="S10" s="619"/>
      <c r="T10" s="619"/>
    </row>
    <row r="11" spans="1:25" ht="54.75" customHeight="1" x14ac:dyDescent="0.4">
      <c r="A11" s="780" t="s">
        <v>160</v>
      </c>
      <c r="B11" s="781"/>
      <c r="C11" s="619"/>
      <c r="D11" s="619"/>
      <c r="E11" s="619"/>
      <c r="F11" s="619"/>
      <c r="G11" s="619"/>
      <c r="H11" s="619"/>
      <c r="I11" s="619"/>
      <c r="J11" s="619"/>
      <c r="K11" s="619"/>
      <c r="L11" s="619"/>
      <c r="M11" s="619"/>
      <c r="N11" s="619"/>
      <c r="O11" s="619"/>
      <c r="P11" s="619"/>
      <c r="Q11" s="619"/>
      <c r="R11" s="619"/>
      <c r="S11" s="619"/>
      <c r="T11" s="619"/>
    </row>
    <row r="12" spans="1:25" ht="111" customHeight="1" x14ac:dyDescent="0.4">
      <c r="A12" s="780" t="s">
        <v>185</v>
      </c>
      <c r="B12" s="781"/>
      <c r="C12" s="619"/>
      <c r="D12" s="619"/>
      <c r="E12" s="619"/>
      <c r="F12" s="619"/>
      <c r="G12" s="619"/>
      <c r="H12" s="619"/>
      <c r="I12" s="619"/>
      <c r="J12" s="619"/>
      <c r="K12" s="619"/>
      <c r="L12" s="619"/>
      <c r="M12" s="619"/>
      <c r="N12" s="619"/>
      <c r="O12" s="619"/>
      <c r="P12" s="619"/>
      <c r="Q12" s="619"/>
      <c r="R12" s="619"/>
      <c r="S12" s="619"/>
      <c r="T12" s="619"/>
    </row>
    <row r="13" spans="1:25" ht="58.5" customHeight="1" x14ac:dyDescent="0.4">
      <c r="A13" s="780" t="s">
        <v>169</v>
      </c>
      <c r="B13" s="781"/>
      <c r="C13" s="619"/>
      <c r="D13" s="619"/>
      <c r="E13" s="619"/>
      <c r="F13" s="619"/>
      <c r="G13" s="619"/>
      <c r="H13" s="619"/>
      <c r="I13" s="619"/>
      <c r="J13" s="619"/>
      <c r="K13" s="619"/>
      <c r="L13" s="619"/>
      <c r="M13" s="619"/>
      <c r="N13" s="619"/>
      <c r="O13" s="619"/>
      <c r="P13" s="619"/>
      <c r="Q13" s="619"/>
      <c r="R13" s="619"/>
      <c r="S13" s="619"/>
      <c r="T13" s="619"/>
    </row>
    <row r="14" spans="1:25" ht="72.75" customHeight="1" x14ac:dyDescent="0.4">
      <c r="A14" s="780" t="s">
        <v>189</v>
      </c>
      <c r="B14" s="781"/>
      <c r="C14" s="619"/>
      <c r="D14" s="619"/>
      <c r="E14" s="619"/>
      <c r="F14" s="619"/>
      <c r="G14" s="619"/>
      <c r="H14" s="619"/>
      <c r="I14" s="619"/>
      <c r="J14" s="619"/>
      <c r="K14" s="619"/>
      <c r="L14" s="619"/>
      <c r="M14" s="619"/>
      <c r="N14" s="619"/>
      <c r="O14" s="619"/>
      <c r="P14" s="619"/>
      <c r="Q14" s="619"/>
      <c r="R14" s="619"/>
      <c r="S14" s="619"/>
      <c r="T14" s="619"/>
    </row>
    <row r="15" spans="1:25" ht="72" customHeight="1" x14ac:dyDescent="0.4">
      <c r="A15" s="780" t="s">
        <v>184</v>
      </c>
      <c r="B15" s="781"/>
      <c r="C15" s="619"/>
      <c r="D15" s="619"/>
      <c r="E15" s="619"/>
      <c r="F15" s="619"/>
      <c r="G15" s="619"/>
      <c r="H15" s="619"/>
      <c r="I15" s="619"/>
      <c r="J15" s="619"/>
      <c r="K15" s="619"/>
      <c r="L15" s="619"/>
      <c r="M15" s="619"/>
      <c r="N15" s="619"/>
      <c r="O15" s="619"/>
      <c r="P15" s="619"/>
      <c r="Q15" s="619"/>
      <c r="R15" s="619"/>
      <c r="S15" s="619"/>
      <c r="T15" s="619"/>
    </row>
    <row r="16" spans="1:25" ht="372.75" customHeight="1" x14ac:dyDescent="0.65">
      <c r="A16" s="782" t="s">
        <v>161</v>
      </c>
      <c r="B16" s="783"/>
      <c r="C16" s="621"/>
      <c r="D16" s="621"/>
      <c r="E16" s="621"/>
      <c r="F16" s="621"/>
      <c r="G16" s="621"/>
      <c r="H16" s="621"/>
      <c r="I16" s="621"/>
      <c r="J16" s="621"/>
      <c r="K16" s="621"/>
      <c r="L16" s="621"/>
      <c r="M16" s="621"/>
      <c r="N16" s="621"/>
      <c r="O16" s="621"/>
      <c r="P16" s="621"/>
      <c r="Q16" s="621"/>
      <c r="R16" s="621"/>
      <c r="S16" s="621"/>
      <c r="T16" s="621"/>
      <c r="U16" s="621"/>
      <c r="V16" s="621"/>
      <c r="W16" s="621"/>
      <c r="X16" s="621"/>
      <c r="Y16" s="621"/>
    </row>
    <row r="17" spans="1:25" ht="357" customHeight="1" thickBot="1" x14ac:dyDescent="0.3">
      <c r="A17" s="784"/>
      <c r="B17" s="785"/>
      <c r="C17" s="621"/>
      <c r="D17" s="621"/>
      <c r="E17" s="621"/>
      <c r="F17" s="621"/>
      <c r="G17" s="621"/>
      <c r="H17" s="621"/>
      <c r="I17" s="621"/>
      <c r="J17" s="621"/>
      <c r="K17" s="621"/>
      <c r="L17" s="621"/>
      <c r="M17" s="621"/>
      <c r="N17" s="621"/>
      <c r="O17" s="621"/>
      <c r="P17" s="621"/>
      <c r="Q17" s="621"/>
      <c r="R17" s="621"/>
      <c r="S17" s="621"/>
      <c r="T17" s="621"/>
      <c r="U17" s="621"/>
      <c r="V17" s="621"/>
      <c r="W17" s="621"/>
      <c r="X17" s="621"/>
      <c r="Y17" s="621"/>
    </row>
    <row r="18" spans="1:25" ht="15" customHeight="1" x14ac:dyDescent="0.25">
      <c r="A18" s="621"/>
      <c r="B18" s="621"/>
      <c r="C18" s="621"/>
      <c r="D18" s="621"/>
      <c r="E18" s="621"/>
      <c r="F18" s="621"/>
      <c r="G18" s="621"/>
      <c r="H18" s="621"/>
      <c r="I18" s="621"/>
      <c r="J18" s="621"/>
      <c r="K18" s="621"/>
      <c r="L18" s="621"/>
      <c r="M18" s="621"/>
      <c r="N18" s="621"/>
      <c r="O18" s="621"/>
      <c r="P18" s="621"/>
      <c r="Q18" s="621"/>
      <c r="R18" s="621"/>
      <c r="S18" s="621"/>
      <c r="T18" s="621"/>
      <c r="U18" s="621"/>
      <c r="V18" s="621"/>
      <c r="W18" s="621"/>
      <c r="X18" s="621"/>
      <c r="Y18" s="621"/>
    </row>
    <row r="19" spans="1:25" ht="15" customHeight="1" x14ac:dyDescent="0.25">
      <c r="A19" s="621"/>
      <c r="B19" s="621"/>
      <c r="C19" s="621"/>
      <c r="D19" s="621"/>
      <c r="E19" s="621"/>
      <c r="F19" s="621"/>
      <c r="G19" s="621"/>
      <c r="H19" s="621"/>
      <c r="I19" s="621"/>
      <c r="J19" s="621"/>
      <c r="K19" s="621"/>
      <c r="L19" s="621"/>
      <c r="M19" s="621"/>
      <c r="N19" s="621"/>
      <c r="O19" s="621"/>
      <c r="P19" s="621"/>
      <c r="Q19" s="621"/>
      <c r="R19" s="621"/>
      <c r="S19" s="621"/>
      <c r="T19" s="621"/>
      <c r="U19" s="621"/>
      <c r="V19" s="621"/>
      <c r="W19" s="621"/>
      <c r="X19" s="621"/>
      <c r="Y19" s="621"/>
    </row>
    <row r="20" spans="1:25" ht="15" customHeight="1" x14ac:dyDescent="0.25">
      <c r="A20" s="621"/>
      <c r="B20" s="621"/>
      <c r="C20" s="621"/>
      <c r="D20" s="621"/>
      <c r="E20" s="621"/>
      <c r="F20" s="621"/>
      <c r="G20" s="621"/>
      <c r="H20" s="621"/>
      <c r="I20" s="621"/>
      <c r="J20" s="621"/>
      <c r="K20" s="621"/>
      <c r="L20" s="621"/>
      <c r="M20" s="621"/>
      <c r="N20" s="621"/>
      <c r="O20" s="621"/>
      <c r="P20" s="621"/>
      <c r="Q20" s="621"/>
      <c r="R20" s="621"/>
      <c r="S20" s="621"/>
      <c r="T20" s="621"/>
      <c r="U20" s="621"/>
      <c r="V20" s="621"/>
      <c r="W20" s="621"/>
      <c r="X20" s="621"/>
      <c r="Y20" s="621"/>
    </row>
    <row r="21" spans="1:25" ht="15" customHeight="1" x14ac:dyDescent="0.25">
      <c r="A21" s="621"/>
      <c r="B21" s="621"/>
      <c r="C21" s="621"/>
      <c r="D21" s="621"/>
      <c r="E21" s="621"/>
      <c r="F21" s="621"/>
      <c r="G21" s="621"/>
      <c r="H21" s="621"/>
      <c r="I21" s="621"/>
      <c r="J21" s="621"/>
      <c r="K21" s="621"/>
      <c r="L21" s="621"/>
      <c r="M21" s="621"/>
      <c r="N21" s="621"/>
      <c r="O21" s="621"/>
      <c r="P21" s="621"/>
      <c r="Q21" s="621"/>
      <c r="R21" s="621"/>
      <c r="S21" s="621"/>
      <c r="T21" s="621"/>
      <c r="U21" s="621"/>
      <c r="V21" s="621"/>
      <c r="W21" s="621"/>
      <c r="X21" s="621"/>
      <c r="Y21" s="621"/>
    </row>
    <row r="22" spans="1:25" ht="15" customHeight="1" x14ac:dyDescent="0.25">
      <c r="A22" s="621"/>
      <c r="B22" s="621"/>
      <c r="C22" s="621"/>
      <c r="D22" s="621"/>
      <c r="E22" s="621"/>
      <c r="F22" s="621"/>
      <c r="G22" s="621"/>
      <c r="H22" s="621"/>
      <c r="I22" s="621"/>
      <c r="J22" s="621"/>
      <c r="K22" s="621"/>
      <c r="L22" s="621"/>
      <c r="M22" s="621"/>
      <c r="N22" s="621"/>
      <c r="O22" s="621"/>
      <c r="P22" s="621"/>
      <c r="Q22" s="621"/>
      <c r="R22" s="621"/>
      <c r="S22" s="621"/>
      <c r="T22" s="621"/>
      <c r="U22" s="621"/>
      <c r="V22" s="621"/>
      <c r="W22" s="621"/>
      <c r="X22" s="621"/>
      <c r="Y22" s="621"/>
    </row>
    <row r="23" spans="1:25" ht="15" customHeight="1" x14ac:dyDescent="0.25">
      <c r="A23" s="621"/>
      <c r="B23" s="621"/>
      <c r="C23" s="621"/>
      <c r="D23" s="621"/>
      <c r="E23" s="621"/>
      <c r="F23" s="621"/>
      <c r="G23" s="621"/>
      <c r="H23" s="621"/>
      <c r="I23" s="621"/>
      <c r="J23" s="621"/>
      <c r="K23" s="621"/>
      <c r="L23" s="621"/>
      <c r="M23" s="621"/>
      <c r="N23" s="621"/>
      <c r="O23" s="621"/>
      <c r="P23" s="621"/>
      <c r="Q23" s="621"/>
      <c r="R23" s="621"/>
      <c r="S23" s="621"/>
      <c r="T23" s="621"/>
      <c r="U23" s="621"/>
      <c r="V23" s="621"/>
      <c r="W23" s="621"/>
      <c r="X23" s="621"/>
      <c r="Y23" s="621"/>
    </row>
    <row r="24" spans="1:25" ht="15" customHeight="1" x14ac:dyDescent="0.25">
      <c r="A24" s="622"/>
      <c r="B24" s="622"/>
      <c r="C24" s="622"/>
      <c r="D24" s="622"/>
      <c r="E24" s="622"/>
      <c r="F24" s="622"/>
      <c r="G24" s="622"/>
      <c r="H24" s="622"/>
      <c r="I24" s="622"/>
      <c r="J24" s="622"/>
      <c r="K24" s="622"/>
      <c r="L24" s="622"/>
      <c r="M24" s="622"/>
      <c r="N24" s="622"/>
      <c r="O24" s="622"/>
      <c r="P24" s="622"/>
      <c r="Q24" s="622"/>
      <c r="R24" s="622"/>
      <c r="S24" s="622"/>
      <c r="T24" s="622"/>
      <c r="U24" s="622"/>
      <c r="V24" s="622"/>
      <c r="W24" s="622"/>
      <c r="X24" s="622"/>
      <c r="Y24" s="622"/>
    </row>
    <row r="25" spans="1:25" ht="15" customHeight="1" x14ac:dyDescent="0.25">
      <c r="A25" s="622"/>
      <c r="B25" s="622"/>
      <c r="C25" s="622"/>
      <c r="D25" s="622"/>
      <c r="E25" s="622"/>
      <c r="F25" s="622"/>
      <c r="G25" s="622"/>
      <c r="H25" s="622"/>
      <c r="I25" s="622"/>
      <c r="J25" s="622"/>
      <c r="K25" s="622"/>
      <c r="L25" s="622"/>
      <c r="M25" s="622"/>
      <c r="N25" s="622"/>
      <c r="O25" s="622"/>
      <c r="P25" s="622"/>
      <c r="Q25" s="622"/>
      <c r="R25" s="622"/>
      <c r="S25" s="622"/>
      <c r="T25" s="622"/>
      <c r="U25" s="622"/>
      <c r="V25" s="622"/>
      <c r="W25" s="622"/>
      <c r="X25" s="622"/>
      <c r="Y25" s="622"/>
    </row>
    <row r="26" spans="1:25" ht="15" customHeight="1" x14ac:dyDescent="0.25">
      <c r="A26" s="622"/>
      <c r="B26" s="622"/>
      <c r="C26" s="622"/>
      <c r="D26" s="622"/>
      <c r="E26" s="622"/>
      <c r="F26" s="622"/>
      <c r="G26" s="622"/>
      <c r="H26" s="622"/>
      <c r="I26" s="622"/>
      <c r="J26" s="622"/>
      <c r="K26" s="622"/>
      <c r="L26" s="622"/>
      <c r="M26" s="622"/>
      <c r="N26" s="622"/>
      <c r="O26" s="622"/>
      <c r="P26" s="622"/>
      <c r="Q26" s="622"/>
      <c r="R26" s="622"/>
      <c r="S26" s="622"/>
      <c r="T26" s="622"/>
      <c r="U26" s="622"/>
      <c r="V26" s="622"/>
      <c r="W26" s="622"/>
      <c r="X26" s="622"/>
      <c r="Y26" s="622"/>
    </row>
    <row r="27" spans="1:25" ht="15" customHeight="1" x14ac:dyDescent="0.25">
      <c r="A27" s="622"/>
      <c r="B27" s="622"/>
      <c r="C27" s="622"/>
      <c r="D27" s="622"/>
      <c r="E27" s="622"/>
      <c r="F27" s="622"/>
      <c r="G27" s="622"/>
      <c r="H27" s="622"/>
      <c r="I27" s="622"/>
      <c r="J27" s="622"/>
      <c r="K27" s="622"/>
      <c r="L27" s="622"/>
      <c r="M27" s="622"/>
      <c r="N27" s="622"/>
      <c r="O27" s="622"/>
      <c r="P27" s="622"/>
      <c r="Q27" s="622"/>
      <c r="R27" s="622"/>
      <c r="S27" s="622"/>
      <c r="T27" s="622"/>
      <c r="U27" s="622"/>
      <c r="V27" s="622"/>
      <c r="W27" s="622"/>
      <c r="X27" s="622"/>
      <c r="Y27" s="622"/>
    </row>
    <row r="28" spans="1:25" ht="15" customHeight="1" x14ac:dyDescent="0.25">
      <c r="A28" s="622"/>
      <c r="B28" s="622"/>
      <c r="C28" s="622"/>
      <c r="D28" s="622"/>
      <c r="E28" s="622"/>
      <c r="F28" s="622"/>
      <c r="G28" s="622"/>
      <c r="H28" s="622"/>
      <c r="I28" s="622"/>
      <c r="J28" s="622"/>
      <c r="K28" s="622"/>
      <c r="L28" s="622"/>
      <c r="M28" s="622"/>
      <c r="N28" s="622"/>
      <c r="O28" s="622"/>
      <c r="P28" s="622"/>
      <c r="Q28" s="622"/>
      <c r="R28" s="622"/>
      <c r="S28" s="622"/>
      <c r="T28" s="622"/>
      <c r="U28" s="622"/>
      <c r="V28" s="622"/>
      <c r="W28" s="622"/>
      <c r="X28" s="622"/>
      <c r="Y28" s="622"/>
    </row>
    <row r="29" spans="1:25" ht="15" customHeight="1" x14ac:dyDescent="0.25">
      <c r="A29" s="622"/>
      <c r="B29" s="622"/>
      <c r="C29" s="622"/>
      <c r="D29" s="622"/>
      <c r="E29" s="622"/>
      <c r="F29" s="622"/>
      <c r="G29" s="622"/>
      <c r="H29" s="622"/>
      <c r="I29" s="622"/>
      <c r="J29" s="622"/>
      <c r="K29" s="622"/>
      <c r="L29" s="622"/>
      <c r="M29" s="622"/>
      <c r="N29" s="622"/>
      <c r="O29" s="622"/>
      <c r="P29" s="622"/>
      <c r="Q29" s="622"/>
      <c r="R29" s="622"/>
      <c r="S29" s="622"/>
      <c r="T29" s="622"/>
      <c r="U29" s="622"/>
      <c r="V29" s="622"/>
      <c r="W29" s="622"/>
      <c r="X29" s="622"/>
      <c r="Y29" s="622"/>
    </row>
    <row r="30" spans="1:25" ht="15" customHeight="1" x14ac:dyDescent="0.25">
      <c r="A30" s="622"/>
      <c r="B30" s="622"/>
      <c r="C30" s="622"/>
      <c r="D30" s="622"/>
      <c r="E30" s="622"/>
      <c r="F30" s="622"/>
      <c r="G30" s="622"/>
      <c r="H30" s="622"/>
      <c r="I30" s="622"/>
      <c r="J30" s="622"/>
      <c r="K30" s="622"/>
      <c r="L30" s="622"/>
      <c r="M30" s="622"/>
      <c r="N30" s="622"/>
      <c r="O30" s="622"/>
      <c r="P30" s="622"/>
      <c r="Q30" s="622"/>
      <c r="R30" s="622"/>
      <c r="S30" s="622"/>
      <c r="T30" s="622"/>
      <c r="U30" s="622"/>
      <c r="V30" s="622"/>
      <c r="W30" s="622"/>
      <c r="X30" s="622"/>
      <c r="Y30" s="622"/>
    </row>
    <row r="31" spans="1:25" ht="15" customHeight="1" x14ac:dyDescent="0.25">
      <c r="A31" s="622"/>
      <c r="B31" s="622"/>
      <c r="C31" s="622"/>
      <c r="D31" s="622"/>
      <c r="E31" s="622"/>
      <c r="F31" s="622"/>
      <c r="G31" s="622"/>
      <c r="H31" s="622"/>
      <c r="I31" s="622"/>
      <c r="J31" s="622"/>
      <c r="K31" s="622"/>
      <c r="L31" s="622"/>
      <c r="M31" s="622"/>
      <c r="N31" s="622"/>
      <c r="O31" s="622"/>
      <c r="P31" s="622"/>
      <c r="Q31" s="622"/>
      <c r="R31" s="622"/>
      <c r="S31" s="622"/>
      <c r="T31" s="622"/>
      <c r="U31" s="622"/>
      <c r="V31" s="622"/>
      <c r="W31" s="622"/>
      <c r="X31" s="622"/>
      <c r="Y31" s="622"/>
    </row>
    <row r="32" spans="1:25" ht="15" customHeight="1" x14ac:dyDescent="0.25">
      <c r="A32" s="622"/>
      <c r="B32" s="622"/>
      <c r="C32" s="622"/>
      <c r="D32" s="622"/>
      <c r="E32" s="622"/>
      <c r="F32" s="622"/>
      <c r="G32" s="622"/>
      <c r="H32" s="622"/>
      <c r="I32" s="622"/>
      <c r="J32" s="622"/>
      <c r="K32" s="622"/>
      <c r="L32" s="622"/>
      <c r="M32" s="622"/>
      <c r="N32" s="622"/>
      <c r="O32" s="622"/>
      <c r="P32" s="622"/>
      <c r="Q32" s="622"/>
      <c r="R32" s="622"/>
      <c r="S32" s="622"/>
      <c r="T32" s="622"/>
      <c r="U32" s="622"/>
      <c r="V32" s="622"/>
      <c r="W32" s="622"/>
      <c r="X32" s="622"/>
      <c r="Y32" s="622"/>
    </row>
    <row r="33" spans="1:25" ht="15" customHeight="1" x14ac:dyDescent="0.25">
      <c r="A33" s="622"/>
      <c r="B33" s="622"/>
      <c r="C33" s="622"/>
      <c r="D33" s="622"/>
      <c r="E33" s="622"/>
      <c r="F33" s="622"/>
      <c r="G33" s="622"/>
      <c r="H33" s="622"/>
      <c r="I33" s="622"/>
      <c r="J33" s="622"/>
      <c r="K33" s="622"/>
      <c r="L33" s="622"/>
      <c r="M33" s="622"/>
      <c r="N33" s="622"/>
      <c r="O33" s="622"/>
      <c r="P33" s="622"/>
      <c r="Q33" s="622"/>
      <c r="R33" s="622"/>
      <c r="S33" s="622"/>
      <c r="T33" s="622"/>
      <c r="U33" s="622"/>
      <c r="V33" s="622"/>
      <c r="W33" s="622"/>
      <c r="X33" s="622"/>
      <c r="Y33" s="622"/>
    </row>
    <row r="34" spans="1:25" ht="15" customHeight="1" x14ac:dyDescent="0.25">
      <c r="A34" s="622"/>
      <c r="B34" s="622"/>
      <c r="C34" s="622"/>
      <c r="D34" s="622"/>
      <c r="E34" s="622"/>
      <c r="F34" s="622"/>
      <c r="G34" s="622"/>
      <c r="H34" s="622"/>
      <c r="I34" s="622"/>
      <c r="J34" s="622"/>
      <c r="K34" s="622"/>
      <c r="L34" s="622"/>
      <c r="M34" s="622"/>
      <c r="N34" s="622"/>
      <c r="O34" s="622"/>
      <c r="P34" s="622"/>
      <c r="Q34" s="622"/>
      <c r="R34" s="622"/>
      <c r="S34" s="622"/>
      <c r="T34" s="622"/>
      <c r="U34" s="622"/>
      <c r="V34" s="622"/>
      <c r="W34" s="622"/>
      <c r="X34" s="622"/>
      <c r="Y34" s="622"/>
    </row>
    <row r="35" spans="1:25" ht="15" customHeight="1" x14ac:dyDescent="0.25">
      <c r="A35" s="622"/>
      <c r="B35" s="622"/>
      <c r="C35" s="622"/>
      <c r="D35" s="622"/>
      <c r="E35" s="622"/>
      <c r="F35" s="622"/>
      <c r="G35" s="622"/>
      <c r="H35" s="622"/>
      <c r="I35" s="622"/>
      <c r="J35" s="622"/>
      <c r="K35" s="622"/>
      <c r="L35" s="622"/>
      <c r="M35" s="622"/>
      <c r="N35" s="622"/>
      <c r="O35" s="622"/>
      <c r="P35" s="622"/>
      <c r="Q35" s="622"/>
      <c r="R35" s="622"/>
      <c r="S35" s="622"/>
      <c r="T35" s="622"/>
      <c r="U35" s="622"/>
      <c r="V35" s="622"/>
      <c r="W35" s="622"/>
      <c r="X35" s="622"/>
      <c r="Y35" s="622"/>
    </row>
    <row r="36" spans="1:25" ht="15" customHeight="1" x14ac:dyDescent="0.25">
      <c r="A36" s="622"/>
      <c r="B36" s="622"/>
      <c r="C36" s="622"/>
      <c r="D36" s="622"/>
      <c r="E36" s="622"/>
      <c r="F36" s="622"/>
      <c r="G36" s="622"/>
      <c r="H36" s="622"/>
      <c r="I36" s="622"/>
      <c r="J36" s="622"/>
      <c r="K36" s="622"/>
      <c r="L36" s="622"/>
      <c r="M36" s="622"/>
      <c r="N36" s="622"/>
      <c r="O36" s="622"/>
      <c r="P36" s="622"/>
      <c r="Q36" s="622"/>
      <c r="R36" s="622"/>
      <c r="S36" s="622"/>
      <c r="T36" s="622"/>
      <c r="U36" s="622"/>
      <c r="V36" s="622"/>
      <c r="W36" s="622"/>
      <c r="X36" s="622"/>
      <c r="Y36" s="622"/>
    </row>
    <row r="37" spans="1:25" ht="15" customHeight="1" x14ac:dyDescent="0.25">
      <c r="A37" s="622"/>
      <c r="B37" s="622"/>
      <c r="C37" s="622"/>
      <c r="D37" s="622"/>
      <c r="E37" s="622"/>
      <c r="F37" s="622"/>
      <c r="G37" s="622"/>
      <c r="H37" s="622"/>
      <c r="I37" s="622"/>
      <c r="J37" s="622"/>
      <c r="K37" s="622"/>
      <c r="L37" s="622"/>
      <c r="M37" s="622"/>
      <c r="N37" s="622"/>
      <c r="O37" s="622"/>
      <c r="P37" s="622"/>
      <c r="Q37" s="622"/>
      <c r="R37" s="622"/>
      <c r="S37" s="622"/>
      <c r="T37" s="622"/>
      <c r="U37" s="622"/>
      <c r="V37" s="622"/>
      <c r="W37" s="622"/>
      <c r="X37" s="622"/>
      <c r="Y37" s="622"/>
    </row>
    <row r="38" spans="1:25" ht="15" customHeight="1" x14ac:dyDescent="0.25">
      <c r="A38" s="622"/>
      <c r="B38" s="622"/>
      <c r="C38" s="622"/>
      <c r="D38" s="622"/>
      <c r="E38" s="622"/>
      <c r="F38" s="622"/>
      <c r="G38" s="622"/>
      <c r="H38" s="622"/>
      <c r="I38" s="622"/>
      <c r="J38" s="622"/>
      <c r="K38" s="622"/>
      <c r="L38" s="622"/>
      <c r="M38" s="622"/>
      <c r="N38" s="622"/>
      <c r="O38" s="622"/>
      <c r="P38" s="622"/>
      <c r="Q38" s="622"/>
      <c r="R38" s="622"/>
      <c r="S38" s="622"/>
      <c r="T38" s="622"/>
      <c r="U38" s="622"/>
      <c r="V38" s="622"/>
      <c r="W38" s="622"/>
      <c r="X38" s="622"/>
      <c r="Y38" s="622"/>
    </row>
    <row r="39" spans="1:25" ht="15" customHeight="1" x14ac:dyDescent="0.25">
      <c r="A39" s="622"/>
      <c r="B39" s="622"/>
      <c r="C39" s="622"/>
      <c r="D39" s="622"/>
      <c r="E39" s="622"/>
      <c r="F39" s="622"/>
      <c r="G39" s="622"/>
      <c r="H39" s="622"/>
      <c r="I39" s="622"/>
      <c r="J39" s="622"/>
      <c r="K39" s="622"/>
      <c r="L39" s="622"/>
      <c r="M39" s="622"/>
      <c r="N39" s="622"/>
      <c r="O39" s="622"/>
      <c r="P39" s="622"/>
      <c r="Q39" s="622"/>
      <c r="R39" s="622"/>
      <c r="S39" s="622"/>
      <c r="T39" s="622"/>
      <c r="U39" s="622"/>
      <c r="V39" s="622"/>
      <c r="W39" s="622"/>
      <c r="X39" s="622"/>
      <c r="Y39" s="622"/>
    </row>
    <row r="40" spans="1:25" ht="15" customHeight="1" x14ac:dyDescent="0.25">
      <c r="A40" s="622"/>
      <c r="B40" s="622"/>
      <c r="C40" s="622"/>
      <c r="D40" s="622"/>
      <c r="E40" s="622"/>
      <c r="F40" s="622"/>
      <c r="G40" s="622"/>
      <c r="H40" s="622"/>
      <c r="I40" s="622"/>
      <c r="J40" s="622"/>
      <c r="K40" s="622"/>
      <c r="L40" s="622"/>
      <c r="M40" s="622"/>
      <c r="N40" s="622"/>
      <c r="O40" s="622"/>
      <c r="P40" s="622"/>
      <c r="Q40" s="622"/>
      <c r="R40" s="622"/>
      <c r="S40" s="622"/>
      <c r="T40" s="622"/>
      <c r="U40" s="622"/>
      <c r="V40" s="622"/>
      <c r="W40" s="622"/>
      <c r="X40" s="622"/>
      <c r="Y40" s="622"/>
    </row>
    <row r="41" spans="1:25" ht="15" customHeight="1" x14ac:dyDescent="0.25">
      <c r="A41" s="622"/>
      <c r="B41" s="622"/>
      <c r="C41" s="622"/>
      <c r="D41" s="622"/>
      <c r="E41" s="622"/>
      <c r="F41" s="622"/>
      <c r="G41" s="622"/>
      <c r="H41" s="622"/>
      <c r="I41" s="622"/>
      <c r="J41" s="622"/>
      <c r="K41" s="622"/>
      <c r="L41" s="622"/>
      <c r="M41" s="622"/>
      <c r="N41" s="622"/>
      <c r="O41" s="622"/>
      <c r="P41" s="622"/>
      <c r="Q41" s="622"/>
      <c r="R41" s="622"/>
      <c r="S41" s="622"/>
      <c r="T41" s="622"/>
      <c r="U41" s="622"/>
      <c r="V41" s="622"/>
      <c r="W41" s="622"/>
      <c r="X41" s="622"/>
      <c r="Y41" s="622"/>
    </row>
    <row r="42" spans="1:25" ht="15" customHeight="1" x14ac:dyDescent="0.25">
      <c r="A42" s="622"/>
      <c r="B42" s="622"/>
      <c r="C42" s="622"/>
      <c r="D42" s="622"/>
      <c r="E42" s="622"/>
      <c r="F42" s="622"/>
      <c r="G42" s="622"/>
      <c r="H42" s="622"/>
      <c r="I42" s="622"/>
      <c r="J42" s="622"/>
      <c r="K42" s="622"/>
      <c r="L42" s="622"/>
      <c r="M42" s="622"/>
      <c r="N42" s="622"/>
      <c r="O42" s="622"/>
      <c r="P42" s="622"/>
      <c r="Q42" s="622"/>
      <c r="R42" s="622"/>
      <c r="S42" s="622"/>
      <c r="T42" s="622"/>
      <c r="U42" s="622"/>
      <c r="V42" s="622"/>
      <c r="W42" s="622"/>
      <c r="X42" s="622"/>
      <c r="Y42" s="622"/>
    </row>
    <row r="43" spans="1:25" ht="15" customHeight="1" x14ac:dyDescent="0.25">
      <c r="A43" s="622"/>
      <c r="B43" s="622"/>
      <c r="C43" s="622"/>
      <c r="D43" s="622"/>
      <c r="E43" s="622"/>
      <c r="F43" s="622"/>
      <c r="G43" s="622"/>
      <c r="H43" s="622"/>
      <c r="I43" s="622"/>
      <c r="J43" s="622"/>
      <c r="K43" s="622"/>
      <c r="L43" s="622"/>
      <c r="M43" s="622"/>
      <c r="N43" s="622"/>
      <c r="O43" s="622"/>
      <c r="P43" s="622"/>
      <c r="Q43" s="622"/>
      <c r="R43" s="622"/>
      <c r="S43" s="622"/>
      <c r="T43" s="622"/>
      <c r="U43" s="622"/>
      <c r="V43" s="622"/>
      <c r="W43" s="622"/>
      <c r="X43" s="622"/>
      <c r="Y43" s="622"/>
    </row>
    <row r="44" spans="1:25" ht="15" customHeight="1" x14ac:dyDescent="0.25">
      <c r="A44" s="622"/>
      <c r="B44" s="622"/>
      <c r="C44" s="622"/>
      <c r="D44" s="622"/>
      <c r="E44" s="622"/>
      <c r="F44" s="622"/>
      <c r="G44" s="622"/>
      <c r="H44" s="622"/>
      <c r="I44" s="622"/>
      <c r="J44" s="622"/>
      <c r="K44" s="622"/>
      <c r="L44" s="622"/>
      <c r="M44" s="622"/>
      <c r="N44" s="622"/>
      <c r="O44" s="622"/>
      <c r="P44" s="622"/>
      <c r="Q44" s="622"/>
      <c r="R44" s="622"/>
      <c r="S44" s="622"/>
      <c r="T44" s="622"/>
      <c r="U44" s="622"/>
      <c r="V44" s="622"/>
      <c r="W44" s="622"/>
      <c r="X44" s="622"/>
      <c r="Y44" s="622"/>
    </row>
    <row r="45" spans="1:25" ht="15" customHeight="1" x14ac:dyDescent="0.25">
      <c r="A45" s="622"/>
      <c r="B45" s="622"/>
      <c r="C45" s="622"/>
      <c r="D45" s="622"/>
      <c r="E45" s="622"/>
      <c r="F45" s="622"/>
      <c r="G45" s="622"/>
      <c r="H45" s="622"/>
      <c r="I45" s="622"/>
      <c r="J45" s="622"/>
      <c r="K45" s="622"/>
      <c r="L45" s="622"/>
      <c r="M45" s="622"/>
      <c r="N45" s="622"/>
      <c r="O45" s="622"/>
      <c r="P45" s="622"/>
      <c r="Q45" s="622"/>
      <c r="R45" s="622"/>
      <c r="S45" s="622"/>
      <c r="T45" s="622"/>
      <c r="U45" s="622"/>
      <c r="V45" s="622"/>
      <c r="W45" s="622"/>
      <c r="X45" s="622"/>
      <c r="Y45" s="622"/>
    </row>
    <row r="46" spans="1:25" ht="15" customHeight="1" x14ac:dyDescent="0.25">
      <c r="A46" s="622"/>
      <c r="B46" s="622"/>
      <c r="C46" s="622"/>
      <c r="D46" s="622"/>
      <c r="E46" s="622"/>
      <c r="F46" s="622"/>
      <c r="G46" s="622"/>
      <c r="H46" s="622"/>
      <c r="I46" s="622"/>
      <c r="J46" s="622"/>
      <c r="K46" s="622"/>
      <c r="L46" s="622"/>
      <c r="M46" s="622"/>
      <c r="N46" s="622"/>
      <c r="O46" s="622"/>
      <c r="P46" s="622"/>
      <c r="Q46" s="622"/>
      <c r="R46" s="622"/>
      <c r="S46" s="622"/>
      <c r="T46" s="622"/>
      <c r="U46" s="622"/>
      <c r="V46" s="622"/>
      <c r="W46" s="622"/>
      <c r="X46" s="622"/>
      <c r="Y46" s="622"/>
    </row>
    <row r="47" spans="1:25" ht="15" customHeight="1" x14ac:dyDescent="0.25">
      <c r="A47" s="622"/>
      <c r="B47" s="622"/>
      <c r="C47" s="622"/>
      <c r="D47" s="622"/>
      <c r="E47" s="622"/>
      <c r="F47" s="622"/>
      <c r="G47" s="622"/>
      <c r="H47" s="622"/>
      <c r="I47" s="622"/>
      <c r="J47" s="622"/>
      <c r="K47" s="622"/>
      <c r="L47" s="622"/>
      <c r="M47" s="622"/>
      <c r="N47" s="622"/>
      <c r="O47" s="622"/>
      <c r="P47" s="622"/>
      <c r="Q47" s="622"/>
      <c r="R47" s="622"/>
      <c r="S47" s="622"/>
      <c r="T47" s="622"/>
      <c r="U47" s="622"/>
      <c r="V47" s="622"/>
      <c r="W47" s="622"/>
      <c r="X47" s="622"/>
      <c r="Y47" s="622"/>
    </row>
  </sheetData>
  <sheetProtection algorithmName="SHA-512" hashValue="EDZwd2Az9pXCGhHbBrX4KPk5Jhao4FcYV3HOXONZTyP4/0FwVl0wLp5e+g+bZT+gebrZpyBF8oCqLLkbBryWMA==" saltValue="kjZr8NSMUz9Vq1YQCXBVHw==" spinCount="100000" sheet="1" objects="1" scenarios="1" selectLockedCells="1"/>
  <mergeCells count="16">
    <mergeCell ref="A1:B1"/>
    <mergeCell ref="A8:B8"/>
    <mergeCell ref="A14:B14"/>
    <mergeCell ref="A16:B16"/>
    <mergeCell ref="A17:B17"/>
    <mergeCell ref="A3:B3"/>
    <mergeCell ref="A4:B4"/>
    <mergeCell ref="A6:B6"/>
    <mergeCell ref="A7:B7"/>
    <mergeCell ref="A5:B5"/>
    <mergeCell ref="A9:B9"/>
    <mergeCell ref="A10:B10"/>
    <mergeCell ref="A11:B11"/>
    <mergeCell ref="A12:B12"/>
    <mergeCell ref="A13:B13"/>
    <mergeCell ref="A15:B15"/>
  </mergeCells>
  <conditionalFormatting sqref="B2">
    <cfRule type="notContainsBlanks" dxfId="0" priority="2">
      <formula>LEN(TRIM(B2))&gt;0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200F1-6B90-47D4-A022-302A936D6886}">
  <dimension ref="A1:Q276"/>
  <sheetViews>
    <sheetView showGridLines="0" showRowColHeaders="0" zoomScaleNormal="100" workbookViewId="0">
      <pane ySplit="1" topLeftCell="A2" activePane="bottomLeft" state="frozen"/>
      <selection activeCell="D4" sqref="D4"/>
      <selection pane="bottomLeft" activeCell="A7" sqref="A7:A37"/>
    </sheetView>
  </sheetViews>
  <sheetFormatPr defaultRowHeight="15" x14ac:dyDescent="0.25"/>
  <cols>
    <col min="1" max="1" width="17.42578125" bestFit="1" customWidth="1"/>
    <col min="2" max="2" width="19.7109375" bestFit="1" customWidth="1"/>
    <col min="3" max="3" width="8.5703125" customWidth="1"/>
    <col min="4" max="15" width="12.28515625" customWidth="1"/>
    <col min="16" max="16" width="12.140625" customWidth="1"/>
    <col min="17" max="17" width="24.85546875" customWidth="1"/>
    <col min="23" max="23" width="9.7109375" customWidth="1"/>
  </cols>
  <sheetData>
    <row r="1" spans="1:17" ht="36.75" thickBot="1" x14ac:dyDescent="0.6">
      <c r="A1" s="886">
        <v>2023</v>
      </c>
      <c r="B1" s="887"/>
      <c r="C1" s="887"/>
      <c r="D1" s="49">
        <v>44927</v>
      </c>
      <c r="E1" s="49">
        <v>44958</v>
      </c>
      <c r="F1" s="49">
        <v>44986</v>
      </c>
      <c r="G1" s="49">
        <v>45017</v>
      </c>
      <c r="H1" s="49">
        <v>45047</v>
      </c>
      <c r="I1" s="49">
        <v>45078</v>
      </c>
      <c r="J1" s="49">
        <v>45108</v>
      </c>
      <c r="K1" s="49">
        <v>45139</v>
      </c>
      <c r="L1" s="49">
        <v>45170</v>
      </c>
      <c r="M1" s="49">
        <v>45200</v>
      </c>
      <c r="N1" s="49">
        <v>45231</v>
      </c>
      <c r="O1" s="49">
        <v>45261</v>
      </c>
      <c r="P1" s="14" t="s">
        <v>0</v>
      </c>
      <c r="Q1" s="15" t="s">
        <v>5</v>
      </c>
    </row>
    <row r="2" spans="1:17" ht="21" customHeight="1" x14ac:dyDescent="0.25">
      <c r="A2" s="902" t="s">
        <v>148</v>
      </c>
      <c r="B2" s="903"/>
      <c r="C2" s="904"/>
      <c r="D2" s="66" t="str">
        <f>IF(OR(WELCOME!$B$2&gt;'2023'!D1, ISBLANK(WELCOME!$B$2)),"",MIN(12,(DATEDIF(WELCOME!$B$2,D1,"Y")+1)))</f>
        <v/>
      </c>
      <c r="E2" s="66" t="str">
        <f>IF(OR(WELCOME!$B$2&gt;'2023'!E1, ISBLANK(WELCOME!$B$2)),"",MIN(12,(DATEDIF(WELCOME!$B$2,E1,"Y")+1)))</f>
        <v/>
      </c>
      <c r="F2" s="66" t="str">
        <f>IF(OR(WELCOME!$B$2&gt;'2023'!F1, ISBLANK(WELCOME!$B$2)),"",MIN(12,(DATEDIF(WELCOME!$B$2,F1,"Y")+1)))</f>
        <v/>
      </c>
      <c r="G2" s="66" t="str">
        <f>IF(OR(WELCOME!$B$2&gt;'2023'!G1, ISBLANK(WELCOME!$B$2)),"",MIN(12,(DATEDIF(WELCOME!$B$2,G1,"Y")+1)))</f>
        <v/>
      </c>
      <c r="H2" s="66" t="str">
        <f>IF(OR(WELCOME!$B$2&gt;'2023'!H1, ISBLANK(WELCOME!$B$2)),"",MIN(12,(DATEDIF(WELCOME!$B$2,H1,"Y")+1)))</f>
        <v/>
      </c>
      <c r="I2" s="66" t="str">
        <f>IF(OR(WELCOME!$B$2&gt;'2023'!I1, ISBLANK(WELCOME!$B$2)),"",MIN(12,(DATEDIF(WELCOME!$B$2,I1,"Y")+1)))</f>
        <v/>
      </c>
      <c r="J2" s="66" t="str">
        <f>IF(OR(WELCOME!$B$2&gt;'2023'!J1, ISBLANK(WELCOME!$B$2)),"",MIN(12,(DATEDIF(WELCOME!$B$2,J1,"Y")+1)))</f>
        <v/>
      </c>
      <c r="K2" s="66" t="str">
        <f>IF(OR(WELCOME!$B$2&gt;'2023'!K1, ISBLANK(WELCOME!$B$2)),"",MIN(12,(DATEDIF(WELCOME!$B$2,K1,"Y")+1)))</f>
        <v/>
      </c>
      <c r="L2" s="66" t="str">
        <f>IF(OR(WELCOME!$B$2&gt;'2023'!L1, ISBLANK(WELCOME!$B$2)),"",MIN(12,(DATEDIF(WELCOME!$B$2,L1,"Y")+1)))</f>
        <v/>
      </c>
      <c r="M2" s="66" t="str">
        <f>IF(OR(WELCOME!$B$2&gt;'2023'!M1, ISBLANK(WELCOME!$B$2)),"",MIN(12,(DATEDIF(WELCOME!$B$2,M1,"Y")+1)))</f>
        <v/>
      </c>
      <c r="N2" s="66" t="str">
        <f>IF(OR(WELCOME!$B$2&gt;'2023'!N1, ISBLANK(WELCOME!$B$2)),"",MIN(12,(DATEDIF(WELCOME!$B$2,N1,"Y")+1)))</f>
        <v/>
      </c>
      <c r="O2" s="724" t="str">
        <f>IF(OR(WELCOME!$B$2&gt;'2023'!O1, ISBLANK(WELCOME!$B$2)),"",MIN(12,(DATEDIF(WELCOME!$B$2,O1,"Y")+1)))</f>
        <v/>
      </c>
      <c r="P2" s="896"/>
      <c r="Q2" s="897"/>
    </row>
    <row r="3" spans="1:17" ht="20.25" customHeight="1" x14ac:dyDescent="0.25">
      <c r="A3" s="882" t="s">
        <v>76</v>
      </c>
      <c r="B3" s="883"/>
      <c r="C3" s="883"/>
      <c r="D3" s="67"/>
      <c r="E3" s="67"/>
      <c r="F3" s="67"/>
      <c r="G3" s="67"/>
      <c r="H3" s="67"/>
      <c r="I3" s="67"/>
      <c r="J3" s="67"/>
      <c r="K3" s="67"/>
      <c r="L3" s="67"/>
      <c r="M3" s="67"/>
      <c r="N3" s="67"/>
      <c r="O3" s="68"/>
      <c r="P3" s="898"/>
      <c r="Q3" s="899"/>
    </row>
    <row r="4" spans="1:17" ht="19.5" customHeight="1" x14ac:dyDescent="0.25">
      <c r="A4" s="882" t="s">
        <v>77</v>
      </c>
      <c r="B4" s="883"/>
      <c r="C4" s="883"/>
      <c r="D4" s="67"/>
      <c r="E4" s="67"/>
      <c r="F4" s="67"/>
      <c r="G4" s="67"/>
      <c r="H4" s="67"/>
      <c r="I4" s="67"/>
      <c r="J4" s="67"/>
      <c r="K4" s="67"/>
      <c r="L4" s="67"/>
      <c r="M4" s="67"/>
      <c r="N4" s="67"/>
      <c r="O4" s="68"/>
      <c r="P4" s="898"/>
      <c r="Q4" s="899"/>
    </row>
    <row r="5" spans="1:17" ht="19.5" customHeight="1" thickBot="1" x14ac:dyDescent="0.3">
      <c r="A5" s="891" t="s">
        <v>4</v>
      </c>
      <c r="B5" s="892"/>
      <c r="C5" s="892"/>
      <c r="D5" s="699"/>
      <c r="E5" s="699"/>
      <c r="F5" s="699"/>
      <c r="G5" s="699"/>
      <c r="H5" s="699"/>
      <c r="I5" s="699"/>
      <c r="J5" s="699"/>
      <c r="K5" s="699"/>
      <c r="L5" s="699"/>
      <c r="M5" s="699"/>
      <c r="N5" s="699"/>
      <c r="O5" s="700"/>
      <c r="P5" s="898"/>
      <c r="Q5" s="899"/>
    </row>
    <row r="6" spans="1:17" ht="27" thickBot="1" x14ac:dyDescent="0.3">
      <c r="A6" s="888" t="s">
        <v>37</v>
      </c>
      <c r="B6" s="889"/>
      <c r="C6" s="889"/>
      <c r="D6" s="889"/>
      <c r="E6" s="889"/>
      <c r="F6" s="889"/>
      <c r="G6" s="889"/>
      <c r="H6" s="889"/>
      <c r="I6" s="889"/>
      <c r="J6" s="889"/>
      <c r="K6" s="889"/>
      <c r="L6" s="889"/>
      <c r="M6" s="889"/>
      <c r="N6" s="889"/>
      <c r="O6" s="889"/>
      <c r="P6" s="889"/>
      <c r="Q6" s="890"/>
    </row>
    <row r="7" spans="1:17" ht="15" customHeight="1" x14ac:dyDescent="0.25">
      <c r="A7" s="893" t="s">
        <v>173</v>
      </c>
      <c r="B7" s="822" t="s">
        <v>3</v>
      </c>
      <c r="C7" s="822"/>
      <c r="D7" s="547" t="str">
        <f>IF('2023DATA'!R3=0,"",'2023DATA'!R3)</f>
        <v/>
      </c>
      <c r="E7" s="547" t="str">
        <f>IF('2023DATA'!S3=0,"",'2023DATA'!S3)</f>
        <v/>
      </c>
      <c r="F7" s="547" t="str">
        <f>IF('2023DATA'!T3=0,"",'2023DATA'!T3)</f>
        <v/>
      </c>
      <c r="G7" s="547" t="str">
        <f>IF('2023DATA'!U3=0,"",'2023DATA'!U3)</f>
        <v/>
      </c>
      <c r="H7" s="547" t="str">
        <f>IF('2023DATA'!V3=0,"",'2023DATA'!V3)</f>
        <v/>
      </c>
      <c r="I7" s="547" t="str">
        <f>IF('2023DATA'!W3=0,"",'2023DATA'!W3)</f>
        <v/>
      </c>
      <c r="J7" s="547" t="str">
        <f>IF('2023DATA'!X3=0,"",'2023DATA'!X3)</f>
        <v/>
      </c>
      <c r="K7" s="547" t="str">
        <f>IF('2023DATA'!Y3=0,"",'2023DATA'!Y3)</f>
        <v/>
      </c>
      <c r="L7" s="547" t="str">
        <f>IF('2023DATA'!Z3=0,"",'2023DATA'!Z3)</f>
        <v/>
      </c>
      <c r="M7" s="547" t="str">
        <f>IF('2023DATA2'!AA3=0,"",'2023DATA2'!AA3)</f>
        <v/>
      </c>
      <c r="N7" s="547" t="str">
        <f>IF('2023DATA2'!AB3=0,"",'2023DATA2'!AB3)</f>
        <v/>
      </c>
      <c r="O7" s="548" t="str">
        <f>IF('2023DATA2'!AC3=0,"",'2023DATA2'!AC3)</f>
        <v/>
      </c>
      <c r="P7" s="524"/>
      <c r="Q7" s="63"/>
    </row>
    <row r="8" spans="1:17" ht="15.75" x14ac:dyDescent="0.25">
      <c r="A8" s="894"/>
      <c r="B8" s="823" t="s">
        <v>7</v>
      </c>
      <c r="C8" s="19" t="s">
        <v>21</v>
      </c>
      <c r="D8" s="549"/>
      <c r="E8" s="549"/>
      <c r="F8" s="549"/>
      <c r="G8" s="549"/>
      <c r="H8" s="549"/>
      <c r="I8" s="549"/>
      <c r="J8" s="549"/>
      <c r="K8" s="549"/>
      <c r="L8" s="549"/>
      <c r="M8" s="549"/>
      <c r="N8" s="549"/>
      <c r="O8" s="550"/>
      <c r="P8" s="512" t="str">
        <f t="shared" ref="P8:P37" si="0">IF(Q8="-","-",Q8/12)</f>
        <v>-</v>
      </c>
      <c r="Q8" s="4" t="str">
        <f t="shared" ref="Q8:Q37" si="1">IF(SUM(D8:O8)=0,"-",SUM(D8:O8))</f>
        <v>-</v>
      </c>
    </row>
    <row r="9" spans="1:17" ht="15.75" x14ac:dyDescent="0.25">
      <c r="A9" s="894"/>
      <c r="B9" s="824"/>
      <c r="C9" s="20" t="s">
        <v>22</v>
      </c>
      <c r="D9" s="763" t="str">
        <f>IF(D8=0,"",D$7*D8*24)</f>
        <v/>
      </c>
      <c r="E9" s="763" t="str">
        <f t="shared" ref="E9:O9" si="2">IF(E8=0,"",E$7*E8*24)</f>
        <v/>
      </c>
      <c r="F9" s="683" t="str">
        <f t="shared" si="2"/>
        <v/>
      </c>
      <c r="G9" s="683" t="str">
        <f t="shared" si="2"/>
        <v/>
      </c>
      <c r="H9" s="683" t="str">
        <f t="shared" si="2"/>
        <v/>
      </c>
      <c r="I9" s="683" t="str">
        <f t="shared" si="2"/>
        <v/>
      </c>
      <c r="J9" s="683" t="str">
        <f t="shared" si="2"/>
        <v/>
      </c>
      <c r="K9" s="683" t="str">
        <f t="shared" si="2"/>
        <v/>
      </c>
      <c r="L9" s="683" t="str">
        <f t="shared" si="2"/>
        <v/>
      </c>
      <c r="M9" s="683" t="str">
        <f t="shared" si="2"/>
        <v/>
      </c>
      <c r="N9" s="683" t="str">
        <f t="shared" si="2"/>
        <v/>
      </c>
      <c r="O9" s="686" t="str">
        <f t="shared" si="2"/>
        <v/>
      </c>
      <c r="P9" s="511" t="str">
        <f t="shared" si="0"/>
        <v>-</v>
      </c>
      <c r="Q9" s="6" t="str">
        <f t="shared" si="1"/>
        <v>-</v>
      </c>
    </row>
    <row r="10" spans="1:17" ht="15.75" x14ac:dyDescent="0.25">
      <c r="A10" s="894"/>
      <c r="B10" s="823" t="s">
        <v>8</v>
      </c>
      <c r="C10" s="775" t="s">
        <v>21</v>
      </c>
      <c r="D10" s="549"/>
      <c r="E10" s="549"/>
      <c r="F10" s="549"/>
      <c r="G10" s="549"/>
      <c r="H10" s="549"/>
      <c r="I10" s="549"/>
      <c r="J10" s="549"/>
      <c r="K10" s="549"/>
      <c r="L10" s="549"/>
      <c r="M10" s="549"/>
      <c r="N10" s="549"/>
      <c r="O10" s="550"/>
      <c r="P10" s="512" t="str">
        <f t="shared" si="0"/>
        <v>-</v>
      </c>
      <c r="Q10" s="4" t="str">
        <f t="shared" si="1"/>
        <v>-</v>
      </c>
    </row>
    <row r="11" spans="1:17" ht="15.75" x14ac:dyDescent="0.25">
      <c r="A11" s="894"/>
      <c r="B11" s="824"/>
      <c r="C11" s="775" t="s">
        <v>22</v>
      </c>
      <c r="D11" s="763" t="str">
        <f>IF(D10=0,"",(D7+IF(D$4="CA",DATA!$B$22,DATA!$B$23))*D10*24)</f>
        <v/>
      </c>
      <c r="E11" s="763" t="str">
        <f>IF(E10=0,"",(E7+IF(E$4="CA",DATA!$B$22,DATA!$B$23))*E10*24)</f>
        <v/>
      </c>
      <c r="F11" s="763" t="str">
        <f>IF(F10=0,"",(F7+IF(F$4="CA",DATA!$B$22,DATA!$B$23))*F10*24)</f>
        <v/>
      </c>
      <c r="G11" s="763" t="str">
        <f>IF(G10=0,"",(G7+IF(G$4="CA",DATA!$B$22,DATA!$B$23))*G10*24)</f>
        <v/>
      </c>
      <c r="H11" s="763" t="str">
        <f>IF(H10=0,"",(H7+IF(H$4="CA",DATA!$B$22,DATA!$B$23))*H10*24)</f>
        <v/>
      </c>
      <c r="I11" s="763" t="str">
        <f>IF(I10=0,"",(I7+IF(I$4="CA",DATA!$B$22,DATA!$B$23))*I10*24)</f>
        <v/>
      </c>
      <c r="J11" s="763" t="str">
        <f>IF(J10=0,"",(J7+IF(J$4="CA",DATA!$B$22,DATA!$B$23))*J10*24)</f>
        <v/>
      </c>
      <c r="K11" s="763" t="str">
        <f>IF(K10=0,"",(K7+IF(K$4="CA",DATA!$B$22,DATA!$B$23))*K10*24)</f>
        <v/>
      </c>
      <c r="L11" s="763" t="str">
        <f>IF(L10=0,"",(L7+IF(L$4="CA",DATA!$B$22,DATA!$B$23))*L10*24)</f>
        <v/>
      </c>
      <c r="M11" s="763" t="str">
        <f>IF(M10=0,"",(M7+IF(M$4="CA",DATA!$B$22,DATA!$B$23))*M10*24)</f>
        <v/>
      </c>
      <c r="N11" s="763" t="str">
        <f>IF(N10=0,"",(N7+IF(N$4="CA",DATA!$B$22,DATA!$B$23))*N10*24)</f>
        <v/>
      </c>
      <c r="O11" s="776" t="str">
        <f>IF(O10=0,"",(O7+IF(O$4="CA",DATA!$B$22,DATA!$B$23))*O10*24)</f>
        <v/>
      </c>
      <c r="P11" s="511" t="str">
        <f t="shared" si="0"/>
        <v>-</v>
      </c>
      <c r="Q11" s="6" t="str">
        <f t="shared" si="1"/>
        <v>-</v>
      </c>
    </row>
    <row r="12" spans="1:17" ht="15.75" x14ac:dyDescent="0.25">
      <c r="A12" s="894"/>
      <c r="B12" s="823" t="s">
        <v>9</v>
      </c>
      <c r="C12" s="19" t="s">
        <v>21</v>
      </c>
      <c r="D12" s="549"/>
      <c r="E12" s="549"/>
      <c r="F12" s="549"/>
      <c r="G12" s="549"/>
      <c r="H12" s="549"/>
      <c r="I12" s="549"/>
      <c r="J12" s="549"/>
      <c r="K12" s="549"/>
      <c r="L12" s="549"/>
      <c r="M12" s="549"/>
      <c r="N12" s="549"/>
      <c r="O12" s="550"/>
      <c r="P12" s="512" t="str">
        <f t="shared" si="0"/>
        <v>-</v>
      </c>
      <c r="Q12" s="4" t="str">
        <f t="shared" si="1"/>
        <v>-</v>
      </c>
    </row>
    <row r="13" spans="1:17" ht="15.75" x14ac:dyDescent="0.25">
      <c r="A13" s="894"/>
      <c r="B13" s="824"/>
      <c r="C13" s="20" t="s">
        <v>22</v>
      </c>
      <c r="D13" s="763" t="str">
        <f>IF(D12=0,"",D$7*D12*24)</f>
        <v/>
      </c>
      <c r="E13" s="763" t="str">
        <f t="shared" ref="E13" si="3">IF(E12=0,"",E$7*E12*24)</f>
        <v/>
      </c>
      <c r="F13" s="683" t="str">
        <f t="shared" ref="F13" si="4">IF(F12=0,"",F$7*F12*24)</f>
        <v/>
      </c>
      <c r="G13" s="683" t="str">
        <f t="shared" ref="G13" si="5">IF(G12=0,"",G$7*G12*24)</f>
        <v/>
      </c>
      <c r="H13" s="683" t="str">
        <f t="shared" ref="H13" si="6">IF(H12=0,"",H$7*H12*24)</f>
        <v/>
      </c>
      <c r="I13" s="683" t="str">
        <f t="shared" ref="I13" si="7">IF(I12=0,"",I$7*I12*24)</f>
        <v/>
      </c>
      <c r="J13" s="683" t="str">
        <f t="shared" ref="J13" si="8">IF(J12=0,"",J$7*J12*24)</f>
        <v/>
      </c>
      <c r="K13" s="683" t="str">
        <f t="shared" ref="K13" si="9">IF(K12=0,"",K$7*K12*24)</f>
        <v/>
      </c>
      <c r="L13" s="683" t="str">
        <f t="shared" ref="L13" si="10">IF(L12=0,"",L$7*L12*24)</f>
        <v/>
      </c>
      <c r="M13" s="683" t="str">
        <f t="shared" ref="M13" si="11">IF(M12=0,"",M$7*M12*24)</f>
        <v/>
      </c>
      <c r="N13" s="683" t="str">
        <f t="shared" ref="N13" si="12">IF(N12=0,"",N$7*N12*24)</f>
        <v/>
      </c>
      <c r="O13" s="686" t="str">
        <f t="shared" ref="O13" si="13">IF(O12=0,"",O$7*O12*24)</f>
        <v/>
      </c>
      <c r="P13" s="511" t="str">
        <f t="shared" si="0"/>
        <v>-</v>
      </c>
      <c r="Q13" s="6" t="str">
        <f t="shared" si="1"/>
        <v>-</v>
      </c>
    </row>
    <row r="14" spans="1:17" ht="15.75" x14ac:dyDescent="0.25">
      <c r="A14" s="894"/>
      <c r="B14" s="823" t="s">
        <v>10</v>
      </c>
      <c r="C14" s="775" t="s">
        <v>21</v>
      </c>
      <c r="D14" s="549"/>
      <c r="E14" s="549"/>
      <c r="F14" s="549"/>
      <c r="G14" s="549"/>
      <c r="H14" s="549"/>
      <c r="I14" s="549"/>
      <c r="J14" s="549"/>
      <c r="K14" s="549"/>
      <c r="L14" s="549"/>
      <c r="M14" s="549"/>
      <c r="N14" s="549"/>
      <c r="O14" s="550"/>
      <c r="P14" s="512" t="str">
        <f t="shared" si="0"/>
        <v>-</v>
      </c>
      <c r="Q14" s="4" t="str">
        <f t="shared" si="1"/>
        <v>-</v>
      </c>
    </row>
    <row r="15" spans="1:17" ht="15.75" x14ac:dyDescent="0.25">
      <c r="A15" s="894"/>
      <c r="B15" s="824"/>
      <c r="C15" s="775" t="s">
        <v>22</v>
      </c>
      <c r="D15" s="763" t="str">
        <f>IF(D14=0,"",D$7*D14*24)</f>
        <v/>
      </c>
      <c r="E15" s="763" t="str">
        <f t="shared" ref="E15" si="14">IF(E14=0,"",E$7*E14*24)</f>
        <v/>
      </c>
      <c r="F15" s="683" t="str">
        <f t="shared" ref="F15" si="15">IF(F14=0,"",F$7*F14*24)</f>
        <v/>
      </c>
      <c r="G15" s="683" t="str">
        <f t="shared" ref="G15" si="16">IF(G14=0,"",G$7*G14*24)</f>
        <v/>
      </c>
      <c r="H15" s="683" t="str">
        <f t="shared" ref="H15" si="17">IF(H14=0,"",H$7*H14*24)</f>
        <v/>
      </c>
      <c r="I15" s="683" t="str">
        <f t="shared" ref="I15" si="18">IF(I14=0,"",I$7*I14*24)</f>
        <v/>
      </c>
      <c r="J15" s="683" t="str">
        <f t="shared" ref="J15" si="19">IF(J14=0,"",J$7*J14*24)</f>
        <v/>
      </c>
      <c r="K15" s="683" t="str">
        <f t="shared" ref="K15" si="20">IF(K14=0,"",K$7*K14*24)</f>
        <v/>
      </c>
      <c r="L15" s="683" t="str">
        <f t="shared" ref="L15" si="21">IF(L14=0,"",L$7*L14*24)</f>
        <v/>
      </c>
      <c r="M15" s="683" t="str">
        <f t="shared" ref="M15" si="22">IF(M14=0,"",M$7*M14*24)</f>
        <v/>
      </c>
      <c r="N15" s="683" t="str">
        <f t="shared" ref="N15" si="23">IF(N14=0,"",N$7*N14*24)</f>
        <v/>
      </c>
      <c r="O15" s="686" t="str">
        <f t="shared" ref="O15" si="24">IF(O14=0,"",O$7*O14*24)</f>
        <v/>
      </c>
      <c r="P15" s="511" t="str">
        <f t="shared" si="0"/>
        <v>-</v>
      </c>
      <c r="Q15" s="6" t="str">
        <f t="shared" si="1"/>
        <v>-</v>
      </c>
    </row>
    <row r="16" spans="1:17" ht="15.75" x14ac:dyDescent="0.25">
      <c r="A16" s="894"/>
      <c r="B16" s="823" t="s">
        <v>11</v>
      </c>
      <c r="C16" s="19" t="s">
        <v>21</v>
      </c>
      <c r="D16" s="549"/>
      <c r="E16" s="549"/>
      <c r="F16" s="549"/>
      <c r="G16" s="549"/>
      <c r="H16" s="549"/>
      <c r="I16" s="549"/>
      <c r="J16" s="549"/>
      <c r="K16" s="549"/>
      <c r="L16" s="549"/>
      <c r="M16" s="549"/>
      <c r="N16" s="549"/>
      <c r="O16" s="550"/>
      <c r="P16" s="512" t="str">
        <f t="shared" si="0"/>
        <v>-</v>
      </c>
      <c r="Q16" s="4" t="str">
        <f t="shared" si="1"/>
        <v>-</v>
      </c>
    </row>
    <row r="17" spans="1:17" ht="15.75" x14ac:dyDescent="0.25">
      <c r="A17" s="894"/>
      <c r="B17" s="824"/>
      <c r="C17" s="20" t="s">
        <v>22</v>
      </c>
      <c r="D17" s="763" t="str">
        <f>IF(D16=0,"",D$7*D16*24)</f>
        <v/>
      </c>
      <c r="E17" s="763" t="str">
        <f t="shared" ref="E17" si="25">IF(E16=0,"",E$7*E16*24)</f>
        <v/>
      </c>
      <c r="F17" s="683" t="str">
        <f t="shared" ref="F17" si="26">IF(F16=0,"",F$7*F16*24)</f>
        <v/>
      </c>
      <c r="G17" s="683" t="str">
        <f t="shared" ref="G17" si="27">IF(G16=0,"",G$7*G16*24)</f>
        <v/>
      </c>
      <c r="H17" s="683" t="str">
        <f t="shared" ref="H17" si="28">IF(H16=0,"",H$7*H16*24)</f>
        <v/>
      </c>
      <c r="I17" s="683" t="str">
        <f t="shared" ref="I17" si="29">IF(I16=0,"",I$7*I16*24)</f>
        <v/>
      </c>
      <c r="J17" s="683" t="str">
        <f t="shared" ref="J17" si="30">IF(J16=0,"",J$7*J16*24)</f>
        <v/>
      </c>
      <c r="K17" s="683" t="str">
        <f t="shared" ref="K17" si="31">IF(K16=0,"",K$7*K16*24)</f>
        <v/>
      </c>
      <c r="L17" s="683" t="str">
        <f t="shared" ref="L17" si="32">IF(L16=0,"",L$7*L16*24)</f>
        <v/>
      </c>
      <c r="M17" s="683" t="str">
        <f t="shared" ref="M17" si="33">IF(M16=0,"",M$7*M16*24)</f>
        <v/>
      </c>
      <c r="N17" s="683" t="str">
        <f t="shared" ref="N17" si="34">IF(N16=0,"",N$7*N16*24)</f>
        <v/>
      </c>
      <c r="O17" s="686" t="str">
        <f t="shared" ref="O17" si="35">IF(O16=0,"",O$7*O16*24)</f>
        <v/>
      </c>
      <c r="P17" s="511" t="str">
        <f t="shared" si="0"/>
        <v>-</v>
      </c>
      <c r="Q17" s="6" t="str">
        <f t="shared" si="1"/>
        <v>-</v>
      </c>
    </row>
    <row r="18" spans="1:17" ht="15.75" x14ac:dyDescent="0.25">
      <c r="A18" s="894"/>
      <c r="B18" s="823" t="s">
        <v>12</v>
      </c>
      <c r="C18" s="775" t="s">
        <v>21</v>
      </c>
      <c r="D18" s="549"/>
      <c r="E18" s="549"/>
      <c r="F18" s="549"/>
      <c r="G18" s="549"/>
      <c r="H18" s="549"/>
      <c r="I18" s="549"/>
      <c r="J18" s="549"/>
      <c r="K18" s="549"/>
      <c r="L18" s="549"/>
      <c r="M18" s="549"/>
      <c r="N18" s="549"/>
      <c r="O18" s="550"/>
      <c r="P18" s="512" t="str">
        <f t="shared" si="0"/>
        <v>-</v>
      </c>
      <c r="Q18" s="4" t="str">
        <f t="shared" si="1"/>
        <v>-</v>
      </c>
    </row>
    <row r="19" spans="1:17" ht="15.75" x14ac:dyDescent="0.25">
      <c r="A19" s="894"/>
      <c r="B19" s="824"/>
      <c r="C19" s="775" t="s">
        <v>22</v>
      </c>
      <c r="D19" s="763" t="str">
        <f>IF(D18=0,"",D$7*D18*24)</f>
        <v/>
      </c>
      <c r="E19" s="763" t="str">
        <f t="shared" ref="E19" si="36">IF(E18=0,"",E$7*E18*24)</f>
        <v/>
      </c>
      <c r="F19" s="683" t="str">
        <f t="shared" ref="F19" si="37">IF(F18=0,"",F$7*F18*24)</f>
        <v/>
      </c>
      <c r="G19" s="683" t="str">
        <f t="shared" ref="G19" si="38">IF(G18=0,"",G$7*G18*24)</f>
        <v/>
      </c>
      <c r="H19" s="683" t="str">
        <f t="shared" ref="H19" si="39">IF(H18=0,"",H$7*H18*24)</f>
        <v/>
      </c>
      <c r="I19" s="683" t="str">
        <f t="shared" ref="I19" si="40">IF(I18=0,"",I$7*I18*24)</f>
        <v/>
      </c>
      <c r="J19" s="683" t="str">
        <f t="shared" ref="J19" si="41">IF(J18=0,"",J$7*J18*24)</f>
        <v/>
      </c>
      <c r="K19" s="683" t="str">
        <f t="shared" ref="K19" si="42">IF(K18=0,"",K$7*K18*24)</f>
        <v/>
      </c>
      <c r="L19" s="683" t="str">
        <f t="shared" ref="L19" si="43">IF(L18=0,"",L$7*L18*24)</f>
        <v/>
      </c>
      <c r="M19" s="683" t="str">
        <f t="shared" ref="M19" si="44">IF(M18=0,"",M$7*M18*24)</f>
        <v/>
      </c>
      <c r="N19" s="683" t="str">
        <f t="shared" ref="N19" si="45">IF(N18=0,"",N$7*N18*24)</f>
        <v/>
      </c>
      <c r="O19" s="686" t="str">
        <f t="shared" ref="O19" si="46">IF(O18=0,"",O$7*O18*24)</f>
        <v/>
      </c>
      <c r="P19" s="511" t="str">
        <f t="shared" si="0"/>
        <v>-</v>
      </c>
      <c r="Q19" s="6" t="str">
        <f t="shared" si="1"/>
        <v>-</v>
      </c>
    </row>
    <row r="20" spans="1:17" ht="15.75" x14ac:dyDescent="0.25">
      <c r="A20" s="894"/>
      <c r="B20" s="823" t="s">
        <v>15</v>
      </c>
      <c r="C20" s="19" t="s">
        <v>21</v>
      </c>
      <c r="D20" s="549"/>
      <c r="E20" s="549"/>
      <c r="F20" s="549"/>
      <c r="G20" s="549"/>
      <c r="H20" s="549"/>
      <c r="I20" s="549"/>
      <c r="J20" s="549"/>
      <c r="K20" s="549"/>
      <c r="L20" s="549"/>
      <c r="M20" s="549"/>
      <c r="N20" s="549"/>
      <c r="O20" s="550"/>
      <c r="P20" s="512" t="str">
        <f t="shared" si="0"/>
        <v>-</v>
      </c>
      <c r="Q20" s="4" t="str">
        <f t="shared" si="1"/>
        <v>-</v>
      </c>
    </row>
    <row r="21" spans="1:17" ht="15.75" x14ac:dyDescent="0.25">
      <c r="A21" s="894"/>
      <c r="B21" s="824"/>
      <c r="C21" s="20" t="s">
        <v>22</v>
      </c>
      <c r="D21" s="763" t="str">
        <f>IF(D20=0,"",D$7*D20*24)</f>
        <v/>
      </c>
      <c r="E21" s="763" t="str">
        <f t="shared" ref="E21" si="47">IF(E20=0,"",E$7*E20*24)</f>
        <v/>
      </c>
      <c r="F21" s="683" t="str">
        <f t="shared" ref="F21" si="48">IF(F20=0,"",F$7*F20*24)</f>
        <v/>
      </c>
      <c r="G21" s="683" t="str">
        <f t="shared" ref="G21" si="49">IF(G20=0,"",G$7*G20*24)</f>
        <v/>
      </c>
      <c r="H21" s="683" t="str">
        <f t="shared" ref="H21" si="50">IF(H20=0,"",H$7*H20*24)</f>
        <v/>
      </c>
      <c r="I21" s="683" t="str">
        <f t="shared" ref="I21" si="51">IF(I20=0,"",I$7*I20*24)</f>
        <v/>
      </c>
      <c r="J21" s="683" t="str">
        <f t="shared" ref="J21" si="52">IF(J20=0,"",J$7*J20*24)</f>
        <v/>
      </c>
      <c r="K21" s="683" t="str">
        <f t="shared" ref="K21" si="53">IF(K20=0,"",K$7*K20*24)</f>
        <v/>
      </c>
      <c r="L21" s="683" t="str">
        <f t="shared" ref="L21" si="54">IF(L20=0,"",L$7*L20*24)</f>
        <v/>
      </c>
      <c r="M21" s="683" t="str">
        <f t="shared" ref="M21" si="55">IF(M20=0,"",M$7*M20*24)</f>
        <v/>
      </c>
      <c r="N21" s="683" t="str">
        <f t="shared" ref="N21" si="56">IF(N20=0,"",N$7*N20*24)</f>
        <v/>
      </c>
      <c r="O21" s="686" t="str">
        <f t="shared" ref="O21" si="57">IF(O20=0,"",O$7*O20*24)</f>
        <v/>
      </c>
      <c r="P21" s="511" t="str">
        <f t="shared" si="0"/>
        <v>-</v>
      </c>
      <c r="Q21" s="6" t="str">
        <f t="shared" si="1"/>
        <v>-</v>
      </c>
    </row>
    <row r="22" spans="1:17" ht="15.75" x14ac:dyDescent="0.25">
      <c r="A22" s="894"/>
      <c r="B22" s="823" t="s">
        <v>13</v>
      </c>
      <c r="C22" s="775" t="s">
        <v>21</v>
      </c>
      <c r="D22" s="549"/>
      <c r="E22" s="549"/>
      <c r="F22" s="549"/>
      <c r="G22" s="549"/>
      <c r="H22" s="549"/>
      <c r="I22" s="549"/>
      <c r="J22" s="549"/>
      <c r="K22" s="549"/>
      <c r="L22" s="549"/>
      <c r="M22" s="549"/>
      <c r="N22" s="549"/>
      <c r="O22" s="550"/>
      <c r="P22" s="512" t="str">
        <f t="shared" si="0"/>
        <v>-</v>
      </c>
      <c r="Q22" s="4" t="str">
        <f t="shared" si="1"/>
        <v>-</v>
      </c>
    </row>
    <row r="23" spans="1:17" ht="15.75" x14ac:dyDescent="0.25">
      <c r="A23" s="894"/>
      <c r="B23" s="824"/>
      <c r="C23" s="775" t="s">
        <v>22</v>
      </c>
      <c r="D23" s="763" t="str">
        <f>IF(D22=0,"",D$7*D22*24)</f>
        <v/>
      </c>
      <c r="E23" s="763" t="str">
        <f t="shared" ref="E23" si="58">IF(E22=0,"",E$7*E22*24)</f>
        <v/>
      </c>
      <c r="F23" s="683" t="str">
        <f t="shared" ref="F23" si="59">IF(F22=0,"",F$7*F22*24)</f>
        <v/>
      </c>
      <c r="G23" s="683" t="str">
        <f t="shared" ref="G23" si="60">IF(G22=0,"",G$7*G22*24)</f>
        <v/>
      </c>
      <c r="H23" s="683" t="str">
        <f t="shared" ref="H23" si="61">IF(H22=0,"",H$7*H22*24)</f>
        <v/>
      </c>
      <c r="I23" s="683" t="str">
        <f t="shared" ref="I23" si="62">IF(I22=0,"",I$7*I22*24)</f>
        <v/>
      </c>
      <c r="J23" s="683" t="str">
        <f t="shared" ref="J23" si="63">IF(J22=0,"",J$7*J22*24)</f>
        <v/>
      </c>
      <c r="K23" s="683" t="str">
        <f t="shared" ref="K23" si="64">IF(K22=0,"",K$7*K22*24)</f>
        <v/>
      </c>
      <c r="L23" s="683" t="str">
        <f t="shared" ref="L23" si="65">IF(L22=0,"",L$7*L22*24)</f>
        <v/>
      </c>
      <c r="M23" s="683" t="str">
        <f t="shared" ref="M23" si="66">IF(M22=0,"",M$7*M22*24)</f>
        <v/>
      </c>
      <c r="N23" s="683" t="str">
        <f t="shared" ref="N23" si="67">IF(N22=0,"",N$7*N22*24)</f>
        <v/>
      </c>
      <c r="O23" s="686" t="str">
        <f t="shared" ref="O23" si="68">IF(O22=0,"",O$7*O22*24)</f>
        <v/>
      </c>
      <c r="P23" s="511" t="str">
        <f t="shared" si="0"/>
        <v>-</v>
      </c>
      <c r="Q23" s="6" t="str">
        <f t="shared" si="1"/>
        <v>-</v>
      </c>
    </row>
    <row r="24" spans="1:17" ht="15.75" x14ac:dyDescent="0.25">
      <c r="A24" s="894"/>
      <c r="B24" s="823" t="s">
        <v>20</v>
      </c>
      <c r="C24" s="19" t="s">
        <v>21</v>
      </c>
      <c r="D24" s="549"/>
      <c r="E24" s="549"/>
      <c r="F24" s="549"/>
      <c r="G24" s="549"/>
      <c r="H24" s="549"/>
      <c r="I24" s="549"/>
      <c r="J24" s="549"/>
      <c r="K24" s="549"/>
      <c r="L24" s="549"/>
      <c r="M24" s="549"/>
      <c r="N24" s="549"/>
      <c r="O24" s="550"/>
      <c r="P24" s="512" t="str">
        <f t="shared" si="0"/>
        <v>-</v>
      </c>
      <c r="Q24" s="4" t="str">
        <f t="shared" si="1"/>
        <v>-</v>
      </c>
    </row>
    <row r="25" spans="1:17" ht="15.75" x14ac:dyDescent="0.25">
      <c r="A25" s="894"/>
      <c r="B25" s="824"/>
      <c r="C25" s="20" t="s">
        <v>22</v>
      </c>
      <c r="D25" s="763" t="str">
        <f>IF(D24=0,"",D$7*D24*24)</f>
        <v/>
      </c>
      <c r="E25" s="763" t="str">
        <f t="shared" ref="E25" si="69">IF(E24=0,"",E$7*E24*24)</f>
        <v/>
      </c>
      <c r="F25" s="683" t="str">
        <f t="shared" ref="F25" si="70">IF(F24=0,"",F$7*F24*24)</f>
        <v/>
      </c>
      <c r="G25" s="683" t="str">
        <f t="shared" ref="G25" si="71">IF(G24=0,"",G$7*G24*24)</f>
        <v/>
      </c>
      <c r="H25" s="683" t="str">
        <f t="shared" ref="H25" si="72">IF(H24=0,"",H$7*H24*24)</f>
        <v/>
      </c>
      <c r="I25" s="683" t="str">
        <f t="shared" ref="I25" si="73">IF(I24=0,"",I$7*I24*24)</f>
        <v/>
      </c>
      <c r="J25" s="683" t="str">
        <f t="shared" ref="J25" si="74">IF(J24=0,"",J$7*J24*24)</f>
        <v/>
      </c>
      <c r="K25" s="683" t="str">
        <f t="shared" ref="K25" si="75">IF(K24=0,"",K$7*K24*24)</f>
        <v/>
      </c>
      <c r="L25" s="683" t="str">
        <f t="shared" ref="L25" si="76">IF(L24=0,"",L$7*L24*24)</f>
        <v/>
      </c>
      <c r="M25" s="683" t="str">
        <f t="shared" ref="M25" si="77">IF(M24=0,"",M$7*M24*24)</f>
        <v/>
      </c>
      <c r="N25" s="683" t="str">
        <f t="shared" ref="N25" si="78">IF(N24=0,"",N$7*N24*24)</f>
        <v/>
      </c>
      <c r="O25" s="686" t="str">
        <f t="shared" ref="O25" si="79">IF(O24=0,"",O$7*O24*24)</f>
        <v/>
      </c>
      <c r="P25" s="511" t="str">
        <f t="shared" si="0"/>
        <v>-</v>
      </c>
      <c r="Q25" s="6" t="str">
        <f t="shared" si="1"/>
        <v>-</v>
      </c>
    </row>
    <row r="26" spans="1:17" ht="15.75" x14ac:dyDescent="0.25">
      <c r="A26" s="894"/>
      <c r="B26" s="823" t="s">
        <v>1</v>
      </c>
      <c r="C26" s="775" t="s">
        <v>21</v>
      </c>
      <c r="D26" s="549"/>
      <c r="E26" s="549"/>
      <c r="F26" s="549"/>
      <c r="G26" s="549"/>
      <c r="H26" s="549"/>
      <c r="I26" s="549"/>
      <c r="J26" s="549"/>
      <c r="K26" s="549"/>
      <c r="L26" s="549"/>
      <c r="M26" s="549"/>
      <c r="N26" s="549"/>
      <c r="O26" s="550"/>
      <c r="P26" s="512" t="str">
        <f t="shared" si="0"/>
        <v>-</v>
      </c>
      <c r="Q26" s="4" t="str">
        <f t="shared" si="1"/>
        <v>-</v>
      </c>
    </row>
    <row r="27" spans="1:17" ht="15.75" x14ac:dyDescent="0.25">
      <c r="A27" s="894"/>
      <c r="B27" s="824"/>
      <c r="C27" s="775" t="s">
        <v>22</v>
      </c>
      <c r="D27" s="763" t="str">
        <f>IF(D26=0,"",D$7*D26*24)</f>
        <v/>
      </c>
      <c r="E27" s="763" t="str">
        <f t="shared" ref="E27" si="80">IF(E26=0,"",E$7*E26*24)</f>
        <v/>
      </c>
      <c r="F27" s="683" t="str">
        <f t="shared" ref="F27" si="81">IF(F26=0,"",F$7*F26*24)</f>
        <v/>
      </c>
      <c r="G27" s="683" t="str">
        <f t="shared" ref="G27" si="82">IF(G26=0,"",G$7*G26*24)</f>
        <v/>
      </c>
      <c r="H27" s="683" t="str">
        <f t="shared" ref="H27" si="83">IF(H26=0,"",H$7*H26*24)</f>
        <v/>
      </c>
      <c r="I27" s="683" t="str">
        <f t="shared" ref="I27" si="84">IF(I26=0,"",I$7*I26*24)</f>
        <v/>
      </c>
      <c r="J27" s="683" t="str">
        <f t="shared" ref="J27" si="85">IF(J26=0,"",J$7*J26*24)</f>
        <v/>
      </c>
      <c r="K27" s="683" t="str">
        <f t="shared" ref="K27" si="86">IF(K26=0,"",K$7*K26*24)</f>
        <v/>
      </c>
      <c r="L27" s="683" t="str">
        <f t="shared" ref="L27" si="87">IF(L26=0,"",L$7*L26*24)</f>
        <v/>
      </c>
      <c r="M27" s="683" t="str">
        <f t="shared" ref="M27" si="88">IF(M26=0,"",M$7*M26*24)</f>
        <v/>
      </c>
      <c r="N27" s="683" t="str">
        <f t="shared" ref="N27" si="89">IF(N26=0,"",N$7*N26*24)</f>
        <v/>
      </c>
      <c r="O27" s="686" t="str">
        <f t="shared" ref="O27" si="90">IF(O26=0,"",O$7*O26*24)</f>
        <v/>
      </c>
      <c r="P27" s="511" t="str">
        <f t="shared" si="0"/>
        <v>-</v>
      </c>
      <c r="Q27" s="6" t="str">
        <f t="shared" si="1"/>
        <v>-</v>
      </c>
    </row>
    <row r="28" spans="1:17" ht="15.75" x14ac:dyDescent="0.25">
      <c r="A28" s="894"/>
      <c r="B28" s="900" t="s">
        <v>171</v>
      </c>
      <c r="C28" s="16" t="s">
        <v>21</v>
      </c>
      <c r="D28" s="549"/>
      <c r="E28" s="549"/>
      <c r="F28" s="549"/>
      <c r="G28" s="549"/>
      <c r="H28" s="549"/>
      <c r="I28" s="549"/>
      <c r="J28" s="549"/>
      <c r="K28" s="549"/>
      <c r="L28" s="549"/>
      <c r="M28" s="549"/>
      <c r="N28" s="549"/>
      <c r="O28" s="550"/>
      <c r="P28" s="512" t="str">
        <f t="shared" si="0"/>
        <v>-</v>
      </c>
      <c r="Q28" s="4" t="str">
        <f t="shared" si="1"/>
        <v>-</v>
      </c>
    </row>
    <row r="29" spans="1:17" ht="15.75" x14ac:dyDescent="0.25">
      <c r="A29" s="894"/>
      <c r="B29" s="901"/>
      <c r="C29" s="17" t="s">
        <v>22</v>
      </c>
      <c r="D29" s="764" t="str">
        <f>IF(D28=0,"",D$7*D28*24)</f>
        <v/>
      </c>
      <c r="E29" s="764" t="str">
        <f t="shared" ref="E29" si="91">IF(E28=0,"",E$7*E28*24)</f>
        <v/>
      </c>
      <c r="F29" s="687" t="str">
        <f t="shared" ref="F29" si="92">IF(F28=0,"",F$7*F28*24)</f>
        <v/>
      </c>
      <c r="G29" s="687" t="str">
        <f t="shared" ref="G29" si="93">IF(G28=0,"",G$7*G28*24)</f>
        <v/>
      </c>
      <c r="H29" s="687" t="str">
        <f t="shared" ref="H29" si="94">IF(H28=0,"",H$7*H28*24)</f>
        <v/>
      </c>
      <c r="I29" s="687" t="str">
        <f t="shared" ref="I29" si="95">IF(I28=0,"",I$7*I28*24)</f>
        <v/>
      </c>
      <c r="J29" s="687" t="str">
        <f t="shared" ref="J29" si="96">IF(J28=0,"",J$7*J28*24)</f>
        <v/>
      </c>
      <c r="K29" s="687" t="str">
        <f t="shared" ref="K29" si="97">IF(K28=0,"",K$7*K28*24)</f>
        <v/>
      </c>
      <c r="L29" s="687" t="str">
        <f t="shared" ref="L29" si="98">IF(L28=0,"",L$7*L28*24)</f>
        <v/>
      </c>
      <c r="M29" s="687" t="str">
        <f t="shared" ref="M29" si="99">IF(M28=0,"",M$7*M28*24)</f>
        <v/>
      </c>
      <c r="N29" s="687" t="str">
        <f t="shared" ref="N29" si="100">IF(N28=0,"",N$7*N28*24)</f>
        <v/>
      </c>
      <c r="O29" s="688" t="str">
        <f t="shared" ref="O29" si="101">IF(O28=0,"",O$7*O28*24)</f>
        <v/>
      </c>
      <c r="P29" s="511" t="str">
        <f t="shared" si="0"/>
        <v>-</v>
      </c>
      <c r="Q29" s="6" t="str">
        <f t="shared" si="1"/>
        <v>-</v>
      </c>
    </row>
    <row r="30" spans="1:17" ht="15.75" x14ac:dyDescent="0.25">
      <c r="A30" s="894"/>
      <c r="B30" s="900" t="s">
        <v>171</v>
      </c>
      <c r="C30" s="16" t="s">
        <v>21</v>
      </c>
      <c r="D30" s="549"/>
      <c r="E30" s="549"/>
      <c r="F30" s="549"/>
      <c r="G30" s="549"/>
      <c r="H30" s="549"/>
      <c r="I30" s="549"/>
      <c r="J30" s="549"/>
      <c r="K30" s="549"/>
      <c r="L30" s="549"/>
      <c r="M30" s="549"/>
      <c r="N30" s="549"/>
      <c r="O30" s="550"/>
      <c r="P30" s="512" t="str">
        <f t="shared" ref="P30:P35" si="102">IF(Q30="-","-",Q30/12)</f>
        <v>-</v>
      </c>
      <c r="Q30" s="4" t="str">
        <f t="shared" ref="Q30:Q35" si="103">IF(SUM(D30:O30)=0,"-",SUM(D30:O30))</f>
        <v>-</v>
      </c>
    </row>
    <row r="31" spans="1:17" ht="15.75" x14ac:dyDescent="0.25">
      <c r="A31" s="894"/>
      <c r="B31" s="901"/>
      <c r="C31" s="17" t="s">
        <v>22</v>
      </c>
      <c r="D31" s="764" t="str">
        <f>IF(D30=0,"",D$7*D30*24)</f>
        <v/>
      </c>
      <c r="E31" s="764" t="str">
        <f t="shared" ref="E31" si="104">IF(E30=0,"",E$7*E30*24)</f>
        <v/>
      </c>
      <c r="F31" s="687" t="str">
        <f t="shared" ref="F31" si="105">IF(F30=0,"",F$7*F30*24)</f>
        <v/>
      </c>
      <c r="G31" s="687" t="str">
        <f t="shared" ref="G31" si="106">IF(G30=0,"",G$7*G30*24)</f>
        <v/>
      </c>
      <c r="H31" s="687" t="str">
        <f t="shared" ref="H31" si="107">IF(H30=0,"",H$7*H30*24)</f>
        <v/>
      </c>
      <c r="I31" s="687" t="str">
        <f t="shared" ref="I31" si="108">IF(I30=0,"",I$7*I30*24)</f>
        <v/>
      </c>
      <c r="J31" s="687" t="str">
        <f t="shared" ref="J31" si="109">IF(J30=0,"",J$7*J30*24)</f>
        <v/>
      </c>
      <c r="K31" s="687" t="str">
        <f t="shared" ref="K31" si="110">IF(K30=0,"",K$7*K30*24)</f>
        <v/>
      </c>
      <c r="L31" s="687" t="str">
        <f t="shared" ref="L31" si="111">IF(L30=0,"",L$7*L30*24)</f>
        <v/>
      </c>
      <c r="M31" s="687" t="str">
        <f t="shared" ref="M31" si="112">IF(M30=0,"",M$7*M30*24)</f>
        <v/>
      </c>
      <c r="N31" s="687" t="str">
        <f t="shared" ref="N31" si="113">IF(N30=0,"",N$7*N30*24)</f>
        <v/>
      </c>
      <c r="O31" s="688" t="str">
        <f t="shared" ref="O31" si="114">IF(O30=0,"",O$7*O30*24)</f>
        <v/>
      </c>
      <c r="P31" s="511" t="str">
        <f t="shared" si="102"/>
        <v>-</v>
      </c>
      <c r="Q31" s="6" t="str">
        <f t="shared" si="103"/>
        <v>-</v>
      </c>
    </row>
    <row r="32" spans="1:17" ht="15.75" x14ac:dyDescent="0.25">
      <c r="A32" s="894"/>
      <c r="B32" s="900" t="s">
        <v>171</v>
      </c>
      <c r="C32" s="16" t="s">
        <v>21</v>
      </c>
      <c r="D32" s="549"/>
      <c r="E32" s="549"/>
      <c r="F32" s="549"/>
      <c r="G32" s="549"/>
      <c r="H32" s="549"/>
      <c r="I32" s="549"/>
      <c r="J32" s="549"/>
      <c r="K32" s="549"/>
      <c r="L32" s="549"/>
      <c r="M32" s="549"/>
      <c r="N32" s="549"/>
      <c r="O32" s="550"/>
      <c r="P32" s="512" t="str">
        <f t="shared" si="102"/>
        <v>-</v>
      </c>
      <c r="Q32" s="4" t="str">
        <f t="shared" si="103"/>
        <v>-</v>
      </c>
    </row>
    <row r="33" spans="1:17" ht="15.75" x14ac:dyDescent="0.25">
      <c r="A33" s="894"/>
      <c r="B33" s="901"/>
      <c r="C33" s="17" t="s">
        <v>22</v>
      </c>
      <c r="D33" s="764" t="str">
        <f>IF(D32=0,"",D$7*D32*24)</f>
        <v/>
      </c>
      <c r="E33" s="764" t="str">
        <f t="shared" ref="E33" si="115">IF(E32=0,"",E$7*E32*24)</f>
        <v/>
      </c>
      <c r="F33" s="687" t="str">
        <f t="shared" ref="F33" si="116">IF(F32=0,"",F$7*F32*24)</f>
        <v/>
      </c>
      <c r="G33" s="687" t="str">
        <f t="shared" ref="G33" si="117">IF(G32=0,"",G$7*G32*24)</f>
        <v/>
      </c>
      <c r="H33" s="687" t="str">
        <f t="shared" ref="H33" si="118">IF(H32=0,"",H$7*H32*24)</f>
        <v/>
      </c>
      <c r="I33" s="687" t="str">
        <f t="shared" ref="I33" si="119">IF(I32=0,"",I$7*I32*24)</f>
        <v/>
      </c>
      <c r="J33" s="687" t="str">
        <f t="shared" ref="J33" si="120">IF(J32=0,"",J$7*J32*24)</f>
        <v/>
      </c>
      <c r="K33" s="687" t="str">
        <f t="shared" ref="K33" si="121">IF(K32=0,"",K$7*K32*24)</f>
        <v/>
      </c>
      <c r="L33" s="687" t="str">
        <f t="shared" ref="L33" si="122">IF(L32=0,"",L$7*L32*24)</f>
        <v/>
      </c>
      <c r="M33" s="687" t="str">
        <f t="shared" ref="M33" si="123">IF(M32=0,"",M$7*M32*24)</f>
        <v/>
      </c>
      <c r="N33" s="687" t="str">
        <f t="shared" ref="N33" si="124">IF(N32=0,"",N$7*N32*24)</f>
        <v/>
      </c>
      <c r="O33" s="688" t="str">
        <f t="shared" ref="O33" si="125">IF(O32=0,"",O$7*O32*24)</f>
        <v/>
      </c>
      <c r="P33" s="511" t="str">
        <f t="shared" si="102"/>
        <v>-</v>
      </c>
      <c r="Q33" s="6" t="str">
        <f t="shared" si="103"/>
        <v>-</v>
      </c>
    </row>
    <row r="34" spans="1:17" ht="15.75" x14ac:dyDescent="0.25">
      <c r="A34" s="894"/>
      <c r="B34" s="900" t="s">
        <v>171</v>
      </c>
      <c r="C34" s="16" t="s">
        <v>21</v>
      </c>
      <c r="D34" s="549"/>
      <c r="E34" s="549"/>
      <c r="F34" s="549"/>
      <c r="G34" s="549"/>
      <c r="H34" s="549"/>
      <c r="I34" s="549"/>
      <c r="J34" s="549"/>
      <c r="K34" s="549"/>
      <c r="L34" s="549"/>
      <c r="M34" s="549"/>
      <c r="N34" s="549"/>
      <c r="O34" s="550"/>
      <c r="P34" s="512" t="str">
        <f t="shared" si="102"/>
        <v>-</v>
      </c>
      <c r="Q34" s="4" t="str">
        <f t="shared" si="103"/>
        <v>-</v>
      </c>
    </row>
    <row r="35" spans="1:17" ht="15.75" x14ac:dyDescent="0.25">
      <c r="A35" s="894"/>
      <c r="B35" s="901"/>
      <c r="C35" s="17" t="s">
        <v>22</v>
      </c>
      <c r="D35" s="764" t="str">
        <f>IF(D34=0,"",D$7*D34*24)</f>
        <v/>
      </c>
      <c r="E35" s="764" t="str">
        <f t="shared" ref="E35" si="126">IF(E34=0,"",E$7*E34*24)</f>
        <v/>
      </c>
      <c r="F35" s="687" t="str">
        <f t="shared" ref="F35" si="127">IF(F34=0,"",F$7*F34*24)</f>
        <v/>
      </c>
      <c r="G35" s="687" t="str">
        <f t="shared" ref="G35" si="128">IF(G34=0,"",G$7*G34*24)</f>
        <v/>
      </c>
      <c r="H35" s="687" t="str">
        <f t="shared" ref="H35" si="129">IF(H34=0,"",H$7*H34*24)</f>
        <v/>
      </c>
      <c r="I35" s="687" t="str">
        <f t="shared" ref="I35" si="130">IF(I34=0,"",I$7*I34*24)</f>
        <v/>
      </c>
      <c r="J35" s="687" t="str">
        <f t="shared" ref="J35" si="131">IF(J34=0,"",J$7*J34*24)</f>
        <v/>
      </c>
      <c r="K35" s="687" t="str">
        <f t="shared" ref="K35" si="132">IF(K34=0,"",K$7*K34*24)</f>
        <v/>
      </c>
      <c r="L35" s="687" t="str">
        <f t="shared" ref="L35" si="133">IF(L34=0,"",L$7*L34*24)</f>
        <v/>
      </c>
      <c r="M35" s="687" t="str">
        <f t="shared" ref="M35" si="134">IF(M34=0,"",M$7*M34*24)</f>
        <v/>
      </c>
      <c r="N35" s="687" t="str">
        <f t="shared" ref="N35" si="135">IF(N34=0,"",N$7*N34*24)</f>
        <v/>
      </c>
      <c r="O35" s="688" t="str">
        <f t="shared" ref="O35" si="136">IF(O34=0,"",O$7*O34*24)</f>
        <v/>
      </c>
      <c r="P35" s="511" t="str">
        <f t="shared" si="102"/>
        <v>-</v>
      </c>
      <c r="Q35" s="6" t="str">
        <f t="shared" si="103"/>
        <v>-</v>
      </c>
    </row>
    <row r="36" spans="1:17" ht="15.75" x14ac:dyDescent="0.25">
      <c r="A36" s="894"/>
      <c r="B36" s="884" t="s">
        <v>18</v>
      </c>
      <c r="C36" s="885"/>
      <c r="D36" s="689" t="str">
        <f>IF(SUM(D8,D10,D12,D14,D16,D18,D20,D22,D24,D26,D28,D30,D32,D34)=0,"",SUM(D8,D10,D12,D14,D16,D18,D20,D22,D24,D26,D28,D30,D32,D34))</f>
        <v/>
      </c>
      <c r="E36" s="689" t="str">
        <f t="shared" ref="E36:O36" si="137">IF(SUM(E8,E10,E12,E14,E16,E18,E20,E22,E24,E26,E28,E30,E32,E34)=0,"",SUM(E8,E10,E12,E14,E16,E18,E20,E22,E24,E26,E28,E30,E32,E34))</f>
        <v/>
      </c>
      <c r="F36" s="689" t="str">
        <f t="shared" si="137"/>
        <v/>
      </c>
      <c r="G36" s="689" t="str">
        <f t="shared" si="137"/>
        <v/>
      </c>
      <c r="H36" s="689" t="str">
        <f t="shared" si="137"/>
        <v/>
      </c>
      <c r="I36" s="689" t="str">
        <f t="shared" si="137"/>
        <v/>
      </c>
      <c r="J36" s="689" t="str">
        <f t="shared" si="137"/>
        <v/>
      </c>
      <c r="K36" s="689" t="str">
        <f t="shared" si="137"/>
        <v/>
      </c>
      <c r="L36" s="689" t="str">
        <f t="shared" si="137"/>
        <v/>
      </c>
      <c r="M36" s="689" t="str">
        <f t="shared" si="137"/>
        <v/>
      </c>
      <c r="N36" s="689" t="str">
        <f t="shared" si="137"/>
        <v/>
      </c>
      <c r="O36" s="690" t="str">
        <f t="shared" si="137"/>
        <v/>
      </c>
      <c r="P36" s="512" t="str">
        <f t="shared" si="0"/>
        <v>-</v>
      </c>
      <c r="Q36" s="4" t="str">
        <f t="shared" si="1"/>
        <v>-</v>
      </c>
    </row>
    <row r="37" spans="1:17" ht="15.75" customHeight="1" thickBot="1" x14ac:dyDescent="0.3">
      <c r="A37" s="895"/>
      <c r="B37" s="905" t="s">
        <v>17</v>
      </c>
      <c r="C37" s="906"/>
      <c r="D37" s="731" t="str">
        <f>IF(D36="","",SUM(D9,D11,D13,D15,D17,D19,D21,D23,D25,D27,D29,D31,D33,D35))</f>
        <v/>
      </c>
      <c r="E37" s="731" t="str">
        <f t="shared" ref="E37:O37" si="138">IF(E36="","",SUM(E9,E11,E13,E15,E17,E19,E21,E23,E25,E27,E29,E31,E33,E35))</f>
        <v/>
      </c>
      <c r="F37" s="731" t="str">
        <f t="shared" si="138"/>
        <v/>
      </c>
      <c r="G37" s="731" t="str">
        <f t="shared" si="138"/>
        <v/>
      </c>
      <c r="H37" s="731" t="str">
        <f t="shared" si="138"/>
        <v/>
      </c>
      <c r="I37" s="731" t="str">
        <f t="shared" si="138"/>
        <v/>
      </c>
      <c r="J37" s="731" t="str">
        <f t="shared" si="138"/>
        <v/>
      </c>
      <c r="K37" s="731" t="str">
        <f t="shared" si="138"/>
        <v/>
      </c>
      <c r="L37" s="731" t="str">
        <f t="shared" si="138"/>
        <v/>
      </c>
      <c r="M37" s="731" t="str">
        <f t="shared" si="138"/>
        <v/>
      </c>
      <c r="N37" s="731" t="str">
        <f t="shared" si="138"/>
        <v/>
      </c>
      <c r="O37" s="732" t="str">
        <f t="shared" si="138"/>
        <v/>
      </c>
      <c r="P37" s="525" t="str">
        <f t="shared" si="0"/>
        <v>-</v>
      </c>
      <c r="Q37" s="7" t="str">
        <f t="shared" si="1"/>
        <v>-</v>
      </c>
    </row>
    <row r="38" spans="1:17" ht="15.75" x14ac:dyDescent="0.25">
      <c r="A38" s="907" t="s">
        <v>111</v>
      </c>
      <c r="B38" s="822" t="s">
        <v>3</v>
      </c>
      <c r="C38" s="822"/>
      <c r="D38" s="547" t="str">
        <f>IF('2023DATA'!AF3=0,"",'2023DATA'!AF3)</f>
        <v/>
      </c>
      <c r="E38" s="547" t="str">
        <f>IF('2023DATA'!AG3=0,"",'2023DATA'!AG3)</f>
        <v/>
      </c>
      <c r="F38" s="547" t="str">
        <f>IF('2023DATA'!AH3=0,"",'2023DATA'!AH3)</f>
        <v/>
      </c>
      <c r="G38" s="547" t="str">
        <f>IF('2023DATA'!AI3=0,"",'2023DATA'!AI3)</f>
        <v/>
      </c>
      <c r="H38" s="547" t="str">
        <f>IF('2023DATA'!AJ3=0,"",'2023DATA'!AJ3)</f>
        <v/>
      </c>
      <c r="I38" s="547" t="str">
        <f>IF('2023DATA'!AK3=0,"",'2023DATA'!AK3)</f>
        <v/>
      </c>
      <c r="J38" s="547" t="str">
        <f>IF('2023DATA'!AL3=0,"",'2023DATA'!AL3)</f>
        <v/>
      </c>
      <c r="K38" s="547" t="str">
        <f>IF('2023DATA'!AM3=0,"",'2023DATA'!AM3)</f>
        <v/>
      </c>
      <c r="L38" s="547" t="str">
        <f>IF('2023DATA'!AN3=0,"",'2023DATA'!AN3)</f>
        <v/>
      </c>
      <c r="M38" s="547" t="str">
        <f>IF('2023DATA2'!AO3=0,"",'2023DATA2'!AO3)</f>
        <v/>
      </c>
      <c r="N38" s="547" t="str">
        <f>IF('2023DATA2'!AP3=0,"",'2023DATA2'!AP3)</f>
        <v/>
      </c>
      <c r="O38" s="548" t="str">
        <f>IF('2023DATA2'!AQ3=0,"",'2023DATA2'!AQ3)</f>
        <v/>
      </c>
      <c r="P38" s="880"/>
      <c r="Q38" s="881"/>
    </row>
    <row r="39" spans="1:17" ht="15.75" x14ac:dyDescent="0.25">
      <c r="A39" s="908"/>
      <c r="B39" s="823" t="s">
        <v>7</v>
      </c>
      <c r="C39" s="16" t="s">
        <v>21</v>
      </c>
      <c r="D39" s="549"/>
      <c r="E39" s="549"/>
      <c r="F39" s="549"/>
      <c r="G39" s="549"/>
      <c r="H39" s="549"/>
      <c r="I39" s="549"/>
      <c r="J39" s="549"/>
      <c r="K39" s="549"/>
      <c r="L39" s="549"/>
      <c r="M39" s="549"/>
      <c r="N39" s="549"/>
      <c r="O39" s="550"/>
      <c r="P39" s="512" t="str">
        <f t="shared" ref="P39:P66" si="139">IF(Q39="-","-",Q39/12)</f>
        <v>-</v>
      </c>
      <c r="Q39" s="4" t="str">
        <f t="shared" ref="Q39:Q60" si="140">IF(SUM(D39:O39)=0,"-",SUM(D39:O39))</f>
        <v>-</v>
      </c>
    </row>
    <row r="40" spans="1:17" ht="15.75" x14ac:dyDescent="0.25">
      <c r="A40" s="908"/>
      <c r="B40" s="824"/>
      <c r="C40" s="17" t="s">
        <v>22</v>
      </c>
      <c r="D40" s="763" t="str">
        <f>IF(D39=0,"",D$38*D39*24)</f>
        <v/>
      </c>
      <c r="E40" s="763" t="str">
        <f t="shared" ref="E40:O40" si="141">IF(E39=0,"",E$38*E39*24)</f>
        <v/>
      </c>
      <c r="F40" s="683" t="str">
        <f t="shared" si="141"/>
        <v/>
      </c>
      <c r="G40" s="683" t="str">
        <f t="shared" si="141"/>
        <v/>
      </c>
      <c r="H40" s="683" t="str">
        <f t="shared" si="141"/>
        <v/>
      </c>
      <c r="I40" s="683" t="str">
        <f t="shared" si="141"/>
        <v/>
      </c>
      <c r="J40" s="683" t="str">
        <f t="shared" si="141"/>
        <v/>
      </c>
      <c r="K40" s="683" t="str">
        <f t="shared" si="141"/>
        <v/>
      </c>
      <c r="L40" s="683" t="str">
        <f t="shared" si="141"/>
        <v/>
      </c>
      <c r="M40" s="683" t="str">
        <f t="shared" si="141"/>
        <v/>
      </c>
      <c r="N40" s="683" t="str">
        <f t="shared" si="141"/>
        <v/>
      </c>
      <c r="O40" s="686" t="str">
        <f t="shared" si="141"/>
        <v/>
      </c>
      <c r="P40" s="511" t="str">
        <f t="shared" si="139"/>
        <v>-</v>
      </c>
      <c r="Q40" s="6" t="str">
        <f t="shared" si="140"/>
        <v>-</v>
      </c>
    </row>
    <row r="41" spans="1:17" ht="15.75" x14ac:dyDescent="0.25">
      <c r="A41" s="908"/>
      <c r="B41" s="823" t="s">
        <v>8</v>
      </c>
      <c r="C41" s="18" t="s">
        <v>21</v>
      </c>
      <c r="D41" s="549"/>
      <c r="E41" s="549"/>
      <c r="F41" s="549"/>
      <c r="G41" s="549"/>
      <c r="H41" s="549"/>
      <c r="I41" s="549"/>
      <c r="J41" s="549"/>
      <c r="K41" s="549"/>
      <c r="L41" s="549"/>
      <c r="M41" s="549"/>
      <c r="N41" s="549"/>
      <c r="O41" s="550"/>
      <c r="P41" s="512" t="str">
        <f t="shared" si="139"/>
        <v>-</v>
      </c>
      <c r="Q41" s="4" t="str">
        <f t="shared" si="140"/>
        <v>-</v>
      </c>
    </row>
    <row r="42" spans="1:17" ht="15.75" x14ac:dyDescent="0.25">
      <c r="A42" s="908"/>
      <c r="B42" s="824"/>
      <c r="C42" s="18" t="s">
        <v>22</v>
      </c>
      <c r="D42" s="763" t="str">
        <f>IF(D41=0,"",(D38+IF(D$4="CA",DATA!$B$22,DATA!$B$23))*D41*24)</f>
        <v/>
      </c>
      <c r="E42" s="763" t="str">
        <f>IF(E41=0,"",(E38+IF(E$4="CA",DATA!$B$22,DATA!$B$23))*E41*24)</f>
        <v/>
      </c>
      <c r="F42" s="763" t="str">
        <f>IF(F41=0,"",(F38+IF(F$4="CA",DATA!$B$22,DATA!$B$23))*F41*24)</f>
        <v/>
      </c>
      <c r="G42" s="763" t="str">
        <f>IF(G41=0,"",(G38+IF(G$4="CA",DATA!$B$22,DATA!$B$23))*G41*24)</f>
        <v/>
      </c>
      <c r="H42" s="763" t="str">
        <f>IF(H41=0,"",(H38+IF(H$4="CA",DATA!$B$22,DATA!$B$23))*H41*24)</f>
        <v/>
      </c>
      <c r="I42" s="763" t="str">
        <f>IF(I41=0,"",(I38+IF(I$4="CA",DATA!$B$22,DATA!$B$23))*I41*24)</f>
        <v/>
      </c>
      <c r="J42" s="763" t="str">
        <f>IF(J41=0,"",(J38+IF(J$4="CA",DATA!$B$22,DATA!$B$23))*J41*24)</f>
        <v/>
      </c>
      <c r="K42" s="763" t="str">
        <f>IF(K41=0,"",(K38+IF(K$4="CA",DATA!$B$22,DATA!$B$23))*K41*24)</f>
        <v/>
      </c>
      <c r="L42" s="763" t="str">
        <f>IF(L41=0,"",(L38+IF(L$4="CA",DATA!$B$22,DATA!$B$23))*L41*24)</f>
        <v/>
      </c>
      <c r="M42" s="763" t="str">
        <f>IF(M41=0,"",(M38+IF(M$4="CA",DATA!$B$22,DATA!$B$23))*M41*24)</f>
        <v/>
      </c>
      <c r="N42" s="763" t="str">
        <f>IF(N41=0,"",(N38+IF(N$4="CA",DATA!$B$22,DATA!$B$23))*N41*24)</f>
        <v/>
      </c>
      <c r="O42" s="776" t="str">
        <f>IF(O41=0,"",(O38+IF(O$4="CA",DATA!$B$22,DATA!$B$23))*O41*24)</f>
        <v/>
      </c>
      <c r="P42" s="511" t="str">
        <f t="shared" si="139"/>
        <v>-</v>
      </c>
      <c r="Q42" s="6" t="str">
        <f t="shared" si="140"/>
        <v>-</v>
      </c>
    </row>
    <row r="43" spans="1:17" ht="15.75" x14ac:dyDescent="0.25">
      <c r="A43" s="908"/>
      <c r="B43" s="823" t="s">
        <v>9</v>
      </c>
      <c r="C43" s="16" t="s">
        <v>21</v>
      </c>
      <c r="D43" s="549"/>
      <c r="E43" s="549"/>
      <c r="F43" s="549"/>
      <c r="G43" s="549"/>
      <c r="H43" s="549"/>
      <c r="I43" s="549"/>
      <c r="J43" s="549"/>
      <c r="K43" s="549"/>
      <c r="L43" s="549"/>
      <c r="M43" s="549"/>
      <c r="N43" s="549"/>
      <c r="O43" s="550"/>
      <c r="P43" s="512" t="str">
        <f t="shared" si="139"/>
        <v>-</v>
      </c>
      <c r="Q43" s="4" t="str">
        <f t="shared" si="140"/>
        <v>-</v>
      </c>
    </row>
    <row r="44" spans="1:17" ht="15.75" x14ac:dyDescent="0.25">
      <c r="A44" s="908"/>
      <c r="B44" s="824"/>
      <c r="C44" s="17" t="s">
        <v>22</v>
      </c>
      <c r="D44" s="763" t="str">
        <f>IF(D43=0,"",D$38*D43*24)</f>
        <v/>
      </c>
      <c r="E44" s="763" t="str">
        <f t="shared" ref="E44" si="142">IF(E43=0,"",E$38*E43*24)</f>
        <v/>
      </c>
      <c r="F44" s="683" t="str">
        <f t="shared" ref="F44" si="143">IF(F43=0,"",F$38*F43*24)</f>
        <v/>
      </c>
      <c r="G44" s="683" t="str">
        <f t="shared" ref="G44" si="144">IF(G43=0,"",G$38*G43*24)</f>
        <v/>
      </c>
      <c r="H44" s="683" t="str">
        <f t="shared" ref="H44" si="145">IF(H43=0,"",H$38*H43*24)</f>
        <v/>
      </c>
      <c r="I44" s="683" t="str">
        <f t="shared" ref="I44" si="146">IF(I43=0,"",I$38*I43*24)</f>
        <v/>
      </c>
      <c r="J44" s="683" t="str">
        <f t="shared" ref="J44" si="147">IF(J43=0,"",J$38*J43*24)</f>
        <v/>
      </c>
      <c r="K44" s="683" t="str">
        <f t="shared" ref="K44" si="148">IF(K43=0,"",K$38*K43*24)</f>
        <v/>
      </c>
      <c r="L44" s="683" t="str">
        <f t="shared" ref="L44" si="149">IF(L43=0,"",L$38*L43*24)</f>
        <v/>
      </c>
      <c r="M44" s="683" t="str">
        <f t="shared" ref="M44" si="150">IF(M43=0,"",M$38*M43*24)</f>
        <v/>
      </c>
      <c r="N44" s="683" t="str">
        <f t="shared" ref="N44" si="151">IF(N43=0,"",N$38*N43*24)</f>
        <v/>
      </c>
      <c r="O44" s="686" t="str">
        <f t="shared" ref="O44" si="152">IF(O43=0,"",O$38*O43*24)</f>
        <v/>
      </c>
      <c r="P44" s="511" t="str">
        <f t="shared" si="139"/>
        <v>-</v>
      </c>
      <c r="Q44" s="6" t="str">
        <f t="shared" si="140"/>
        <v>-</v>
      </c>
    </row>
    <row r="45" spans="1:17" ht="15.75" x14ac:dyDescent="0.25">
      <c r="A45" s="908"/>
      <c r="B45" s="823" t="s">
        <v>10</v>
      </c>
      <c r="C45" s="18" t="s">
        <v>21</v>
      </c>
      <c r="D45" s="549"/>
      <c r="E45" s="549"/>
      <c r="F45" s="549"/>
      <c r="G45" s="549"/>
      <c r="H45" s="549"/>
      <c r="I45" s="549"/>
      <c r="J45" s="549"/>
      <c r="K45" s="549"/>
      <c r="L45" s="549"/>
      <c r="M45" s="549"/>
      <c r="N45" s="549"/>
      <c r="O45" s="550"/>
      <c r="P45" s="512" t="str">
        <f t="shared" si="139"/>
        <v>-</v>
      </c>
      <c r="Q45" s="4" t="str">
        <f t="shared" si="140"/>
        <v>-</v>
      </c>
    </row>
    <row r="46" spans="1:17" ht="15.75" x14ac:dyDescent="0.25">
      <c r="A46" s="908"/>
      <c r="B46" s="824"/>
      <c r="C46" s="18" t="s">
        <v>22</v>
      </c>
      <c r="D46" s="763" t="str">
        <f>IF(D45=0,"",D$38*D45*24)</f>
        <v/>
      </c>
      <c r="E46" s="763" t="str">
        <f t="shared" ref="E46" si="153">IF(E45=0,"",E$38*E45*24)</f>
        <v/>
      </c>
      <c r="F46" s="683" t="str">
        <f t="shared" ref="F46" si="154">IF(F45=0,"",F$38*F45*24)</f>
        <v/>
      </c>
      <c r="G46" s="683" t="str">
        <f t="shared" ref="G46" si="155">IF(G45=0,"",G$38*G45*24)</f>
        <v/>
      </c>
      <c r="H46" s="683" t="str">
        <f t="shared" ref="H46" si="156">IF(H45=0,"",H$38*H45*24)</f>
        <v/>
      </c>
      <c r="I46" s="683" t="str">
        <f t="shared" ref="I46" si="157">IF(I45=0,"",I$38*I45*24)</f>
        <v/>
      </c>
      <c r="J46" s="683" t="str">
        <f t="shared" ref="J46" si="158">IF(J45=0,"",J$38*J45*24)</f>
        <v/>
      </c>
      <c r="K46" s="683" t="str">
        <f t="shared" ref="K46" si="159">IF(K45=0,"",K$38*K45*24)</f>
        <v/>
      </c>
      <c r="L46" s="683" t="str">
        <f t="shared" ref="L46" si="160">IF(L45=0,"",L$38*L45*24)</f>
        <v/>
      </c>
      <c r="M46" s="683" t="str">
        <f t="shared" ref="M46" si="161">IF(M45=0,"",M$38*M45*24)</f>
        <v/>
      </c>
      <c r="N46" s="683" t="str">
        <f t="shared" ref="N46" si="162">IF(N45=0,"",N$38*N45*24)</f>
        <v/>
      </c>
      <c r="O46" s="686" t="str">
        <f t="shared" ref="O46" si="163">IF(O45=0,"",O$38*O45*24)</f>
        <v/>
      </c>
      <c r="P46" s="511" t="str">
        <f t="shared" si="139"/>
        <v>-</v>
      </c>
      <c r="Q46" s="6" t="str">
        <f t="shared" si="140"/>
        <v>-</v>
      </c>
    </row>
    <row r="47" spans="1:17" ht="15.75" x14ac:dyDescent="0.25">
      <c r="A47" s="908"/>
      <c r="B47" s="823" t="s">
        <v>11</v>
      </c>
      <c r="C47" s="16" t="s">
        <v>21</v>
      </c>
      <c r="D47" s="549"/>
      <c r="E47" s="549"/>
      <c r="F47" s="549"/>
      <c r="G47" s="549"/>
      <c r="H47" s="549"/>
      <c r="I47" s="549"/>
      <c r="J47" s="549"/>
      <c r="K47" s="549"/>
      <c r="L47" s="549"/>
      <c r="M47" s="549"/>
      <c r="N47" s="549"/>
      <c r="O47" s="550"/>
      <c r="P47" s="512" t="str">
        <f t="shared" si="139"/>
        <v>-</v>
      </c>
      <c r="Q47" s="4" t="str">
        <f t="shared" si="140"/>
        <v>-</v>
      </c>
    </row>
    <row r="48" spans="1:17" ht="15.75" x14ac:dyDescent="0.25">
      <c r="A48" s="908"/>
      <c r="B48" s="824"/>
      <c r="C48" s="17" t="s">
        <v>22</v>
      </c>
      <c r="D48" s="763" t="str">
        <f>IF(D47=0,"",D$38*D47*24)</f>
        <v/>
      </c>
      <c r="E48" s="763" t="str">
        <f t="shared" ref="E48" si="164">IF(E47=0,"",E$38*E47*24)</f>
        <v/>
      </c>
      <c r="F48" s="683" t="str">
        <f t="shared" ref="F48" si="165">IF(F47=0,"",F$38*F47*24)</f>
        <v/>
      </c>
      <c r="G48" s="683" t="str">
        <f t="shared" ref="G48" si="166">IF(G47=0,"",G$38*G47*24)</f>
        <v/>
      </c>
      <c r="H48" s="683" t="str">
        <f t="shared" ref="H48" si="167">IF(H47=0,"",H$38*H47*24)</f>
        <v/>
      </c>
      <c r="I48" s="683" t="str">
        <f t="shared" ref="I48" si="168">IF(I47=0,"",I$38*I47*24)</f>
        <v/>
      </c>
      <c r="J48" s="683" t="str">
        <f t="shared" ref="J48" si="169">IF(J47=0,"",J$38*J47*24)</f>
        <v/>
      </c>
      <c r="K48" s="683" t="str">
        <f t="shared" ref="K48" si="170">IF(K47=0,"",K$38*K47*24)</f>
        <v/>
      </c>
      <c r="L48" s="683" t="str">
        <f t="shared" ref="L48" si="171">IF(L47=0,"",L$38*L47*24)</f>
        <v/>
      </c>
      <c r="M48" s="683" t="str">
        <f t="shared" ref="M48" si="172">IF(M47=0,"",M$38*M47*24)</f>
        <v/>
      </c>
      <c r="N48" s="683" t="str">
        <f t="shared" ref="N48" si="173">IF(N47=0,"",N$38*N47*24)</f>
        <v/>
      </c>
      <c r="O48" s="686" t="str">
        <f t="shared" ref="O48" si="174">IF(O47=0,"",O$38*O47*24)</f>
        <v/>
      </c>
      <c r="P48" s="511" t="str">
        <f t="shared" si="139"/>
        <v>-</v>
      </c>
      <c r="Q48" s="6" t="str">
        <f t="shared" si="140"/>
        <v>-</v>
      </c>
    </row>
    <row r="49" spans="1:17" ht="15.75" customHeight="1" x14ac:dyDescent="0.25">
      <c r="A49" s="908"/>
      <c r="B49" s="823" t="s">
        <v>12</v>
      </c>
      <c r="C49" s="18" t="s">
        <v>21</v>
      </c>
      <c r="D49" s="549"/>
      <c r="E49" s="549"/>
      <c r="F49" s="549"/>
      <c r="G49" s="549"/>
      <c r="H49" s="549"/>
      <c r="I49" s="549"/>
      <c r="J49" s="549"/>
      <c r="K49" s="549"/>
      <c r="L49" s="549"/>
      <c r="M49" s="549"/>
      <c r="N49" s="549"/>
      <c r="O49" s="550"/>
      <c r="P49" s="512" t="str">
        <f t="shared" si="139"/>
        <v>-</v>
      </c>
      <c r="Q49" s="4" t="str">
        <f t="shared" si="140"/>
        <v>-</v>
      </c>
    </row>
    <row r="50" spans="1:17" ht="15.75" customHeight="1" x14ac:dyDescent="0.25">
      <c r="A50" s="908"/>
      <c r="B50" s="824"/>
      <c r="C50" s="18" t="s">
        <v>22</v>
      </c>
      <c r="D50" s="763" t="str">
        <f>IF(D49=0,"",D$38*D49*24)</f>
        <v/>
      </c>
      <c r="E50" s="763" t="str">
        <f t="shared" ref="E50" si="175">IF(E49=0,"",E$38*E49*24)</f>
        <v/>
      </c>
      <c r="F50" s="683" t="str">
        <f t="shared" ref="F50" si="176">IF(F49=0,"",F$38*F49*24)</f>
        <v/>
      </c>
      <c r="G50" s="683" t="str">
        <f t="shared" ref="G50" si="177">IF(G49=0,"",G$38*G49*24)</f>
        <v/>
      </c>
      <c r="H50" s="683" t="str">
        <f t="shared" ref="H50" si="178">IF(H49=0,"",H$38*H49*24)</f>
        <v/>
      </c>
      <c r="I50" s="683" t="str">
        <f t="shared" ref="I50" si="179">IF(I49=0,"",I$38*I49*24)</f>
        <v/>
      </c>
      <c r="J50" s="683" t="str">
        <f t="shared" ref="J50" si="180">IF(J49=0,"",J$38*J49*24)</f>
        <v/>
      </c>
      <c r="K50" s="683" t="str">
        <f t="shared" ref="K50" si="181">IF(K49=0,"",K$38*K49*24)</f>
        <v/>
      </c>
      <c r="L50" s="683" t="str">
        <f t="shared" ref="L50" si="182">IF(L49=0,"",L$38*L49*24)</f>
        <v/>
      </c>
      <c r="M50" s="683" t="str">
        <f t="shared" ref="M50" si="183">IF(M49=0,"",M$38*M49*24)</f>
        <v/>
      </c>
      <c r="N50" s="683" t="str">
        <f t="shared" ref="N50" si="184">IF(N49=0,"",N$38*N49*24)</f>
        <v/>
      </c>
      <c r="O50" s="686" t="str">
        <f t="shared" ref="O50" si="185">IF(O49=0,"",O$38*O49*24)</f>
        <v/>
      </c>
      <c r="P50" s="511" t="str">
        <f t="shared" si="139"/>
        <v>-</v>
      </c>
      <c r="Q50" s="6" t="str">
        <f t="shared" si="140"/>
        <v>-</v>
      </c>
    </row>
    <row r="51" spans="1:17" ht="15.75" customHeight="1" x14ac:dyDescent="0.25">
      <c r="A51" s="908"/>
      <c r="B51" s="823" t="s">
        <v>15</v>
      </c>
      <c r="C51" s="16" t="s">
        <v>21</v>
      </c>
      <c r="D51" s="549"/>
      <c r="E51" s="549"/>
      <c r="F51" s="549"/>
      <c r="G51" s="549"/>
      <c r="H51" s="549"/>
      <c r="I51" s="549"/>
      <c r="J51" s="549"/>
      <c r="K51" s="549"/>
      <c r="L51" s="549"/>
      <c r="M51" s="549"/>
      <c r="N51" s="549"/>
      <c r="O51" s="550"/>
      <c r="P51" s="512" t="str">
        <f t="shared" si="139"/>
        <v>-</v>
      </c>
      <c r="Q51" s="4" t="str">
        <f t="shared" si="140"/>
        <v>-</v>
      </c>
    </row>
    <row r="52" spans="1:17" ht="15.75" customHeight="1" x14ac:dyDescent="0.25">
      <c r="A52" s="908"/>
      <c r="B52" s="824"/>
      <c r="C52" s="17" t="s">
        <v>22</v>
      </c>
      <c r="D52" s="763" t="str">
        <f>IF(D51=0,"",D$38*D51*24)</f>
        <v/>
      </c>
      <c r="E52" s="763" t="str">
        <f t="shared" ref="E52" si="186">IF(E51=0,"",E$38*E51*24)</f>
        <v/>
      </c>
      <c r="F52" s="683" t="str">
        <f t="shared" ref="F52" si="187">IF(F51=0,"",F$38*F51*24)</f>
        <v/>
      </c>
      <c r="G52" s="683" t="str">
        <f t="shared" ref="G52" si="188">IF(G51=0,"",G$38*G51*24)</f>
        <v/>
      </c>
      <c r="H52" s="683" t="str">
        <f t="shared" ref="H52" si="189">IF(H51=0,"",H$38*H51*24)</f>
        <v/>
      </c>
      <c r="I52" s="683" t="str">
        <f t="shared" ref="I52" si="190">IF(I51=0,"",I$38*I51*24)</f>
        <v/>
      </c>
      <c r="J52" s="683" t="str">
        <f t="shared" ref="J52" si="191">IF(J51=0,"",J$38*J51*24)</f>
        <v/>
      </c>
      <c r="K52" s="683" t="str">
        <f t="shared" ref="K52" si="192">IF(K51=0,"",K$38*K51*24)</f>
        <v/>
      </c>
      <c r="L52" s="683" t="str">
        <f t="shared" ref="L52" si="193">IF(L51=0,"",L$38*L51*24)</f>
        <v/>
      </c>
      <c r="M52" s="683" t="str">
        <f t="shared" ref="M52" si="194">IF(M51=0,"",M$38*M51*24)</f>
        <v/>
      </c>
      <c r="N52" s="683" t="str">
        <f t="shared" ref="N52" si="195">IF(N51=0,"",N$38*N51*24)</f>
        <v/>
      </c>
      <c r="O52" s="686" t="str">
        <f t="shared" ref="O52" si="196">IF(O51=0,"",O$38*O51*24)</f>
        <v/>
      </c>
      <c r="P52" s="511" t="str">
        <f t="shared" si="139"/>
        <v>-</v>
      </c>
      <c r="Q52" s="6" t="str">
        <f t="shared" si="140"/>
        <v>-</v>
      </c>
    </row>
    <row r="53" spans="1:17" ht="15.75" customHeight="1" x14ac:dyDescent="0.25">
      <c r="A53" s="908"/>
      <c r="B53" s="823" t="s">
        <v>13</v>
      </c>
      <c r="C53" s="16" t="s">
        <v>21</v>
      </c>
      <c r="D53" s="549"/>
      <c r="E53" s="549"/>
      <c r="F53" s="549"/>
      <c r="G53" s="549"/>
      <c r="H53" s="549"/>
      <c r="I53" s="549"/>
      <c r="J53" s="549"/>
      <c r="K53" s="549"/>
      <c r="L53" s="549"/>
      <c r="M53" s="549"/>
      <c r="N53" s="549"/>
      <c r="O53" s="550"/>
      <c r="P53" s="512" t="str">
        <f t="shared" si="139"/>
        <v>-</v>
      </c>
      <c r="Q53" s="4" t="str">
        <f t="shared" si="140"/>
        <v>-</v>
      </c>
    </row>
    <row r="54" spans="1:17" ht="15.75" customHeight="1" x14ac:dyDescent="0.25">
      <c r="A54" s="908"/>
      <c r="B54" s="824"/>
      <c r="C54" s="17" t="s">
        <v>22</v>
      </c>
      <c r="D54" s="763" t="str">
        <f>IF(D53=0,"",D$38*D53*24)</f>
        <v/>
      </c>
      <c r="E54" s="763" t="str">
        <f t="shared" ref="E54" si="197">IF(E53=0,"",E$38*E53*24)</f>
        <v/>
      </c>
      <c r="F54" s="683" t="str">
        <f t="shared" ref="F54" si="198">IF(F53=0,"",F$38*F53*24)</f>
        <v/>
      </c>
      <c r="G54" s="683" t="str">
        <f t="shared" ref="G54" si="199">IF(G53=0,"",G$38*G53*24)</f>
        <v/>
      </c>
      <c r="H54" s="683" t="str">
        <f t="shared" ref="H54" si="200">IF(H53=0,"",H$38*H53*24)</f>
        <v/>
      </c>
      <c r="I54" s="683" t="str">
        <f t="shared" ref="I54" si="201">IF(I53=0,"",I$38*I53*24)</f>
        <v/>
      </c>
      <c r="J54" s="683" t="str">
        <f t="shared" ref="J54" si="202">IF(J53=0,"",J$38*J53*24)</f>
        <v/>
      </c>
      <c r="K54" s="683" t="str">
        <f t="shared" ref="K54" si="203">IF(K53=0,"",K$38*K53*24)</f>
        <v/>
      </c>
      <c r="L54" s="683" t="str">
        <f t="shared" ref="L54" si="204">IF(L53=0,"",L$38*L53*24)</f>
        <v/>
      </c>
      <c r="M54" s="683" t="str">
        <f t="shared" ref="M54" si="205">IF(M53=0,"",M$38*M53*24)</f>
        <v/>
      </c>
      <c r="N54" s="683" t="str">
        <f t="shared" ref="N54" si="206">IF(N53=0,"",N$38*N53*24)</f>
        <v/>
      </c>
      <c r="O54" s="686" t="str">
        <f t="shared" ref="O54" si="207">IF(O53=0,"",O$38*O53*24)</f>
        <v/>
      </c>
      <c r="P54" s="511" t="str">
        <f t="shared" si="139"/>
        <v>-</v>
      </c>
      <c r="Q54" s="6" t="str">
        <f t="shared" si="140"/>
        <v>-</v>
      </c>
    </row>
    <row r="55" spans="1:17" ht="15.75" customHeight="1" x14ac:dyDescent="0.25">
      <c r="A55" s="908"/>
      <c r="B55" s="823" t="s">
        <v>20</v>
      </c>
      <c r="C55" s="16" t="s">
        <v>21</v>
      </c>
      <c r="D55" s="549"/>
      <c r="E55" s="549"/>
      <c r="F55" s="549"/>
      <c r="G55" s="549"/>
      <c r="H55" s="549"/>
      <c r="I55" s="549"/>
      <c r="J55" s="549"/>
      <c r="K55" s="549"/>
      <c r="L55" s="549"/>
      <c r="M55" s="549"/>
      <c r="N55" s="549"/>
      <c r="O55" s="550"/>
      <c r="P55" s="512" t="str">
        <f t="shared" si="139"/>
        <v>-</v>
      </c>
      <c r="Q55" s="4" t="str">
        <f t="shared" si="140"/>
        <v>-</v>
      </c>
    </row>
    <row r="56" spans="1:17" ht="15.75" customHeight="1" x14ac:dyDescent="0.25">
      <c r="A56" s="908"/>
      <c r="B56" s="824"/>
      <c r="C56" s="17" t="s">
        <v>22</v>
      </c>
      <c r="D56" s="763" t="str">
        <f>IF(D55=0,"",D$38*D55*24)</f>
        <v/>
      </c>
      <c r="E56" s="763" t="str">
        <f t="shared" ref="E56" si="208">IF(E55=0,"",E$38*E55*24)</f>
        <v/>
      </c>
      <c r="F56" s="683" t="str">
        <f t="shared" ref="F56" si="209">IF(F55=0,"",F$38*F55*24)</f>
        <v/>
      </c>
      <c r="G56" s="683" t="str">
        <f t="shared" ref="G56" si="210">IF(G55=0,"",G$38*G55*24)</f>
        <v/>
      </c>
      <c r="H56" s="683" t="str">
        <f t="shared" ref="H56" si="211">IF(H55=0,"",H$38*H55*24)</f>
        <v/>
      </c>
      <c r="I56" s="683" t="str">
        <f t="shared" ref="I56" si="212">IF(I55=0,"",I$38*I55*24)</f>
        <v/>
      </c>
      <c r="J56" s="683" t="str">
        <f t="shared" ref="J56" si="213">IF(J55=0,"",J$38*J55*24)</f>
        <v/>
      </c>
      <c r="K56" s="683" t="str">
        <f t="shared" ref="K56" si="214">IF(K55=0,"",K$38*K55*24)</f>
        <v/>
      </c>
      <c r="L56" s="683" t="str">
        <f t="shared" ref="L56" si="215">IF(L55=0,"",L$38*L55*24)</f>
        <v/>
      </c>
      <c r="M56" s="683" t="str">
        <f t="shared" ref="M56" si="216">IF(M55=0,"",M$38*M55*24)</f>
        <v/>
      </c>
      <c r="N56" s="683" t="str">
        <f t="shared" ref="N56" si="217">IF(N55=0,"",N$38*N55*24)</f>
        <v/>
      </c>
      <c r="O56" s="686" t="str">
        <f t="shared" ref="O56" si="218">IF(O55=0,"",O$38*O55*24)</f>
        <v/>
      </c>
      <c r="P56" s="511" t="str">
        <f t="shared" si="139"/>
        <v>-</v>
      </c>
      <c r="Q56" s="6" t="str">
        <f t="shared" si="140"/>
        <v>-</v>
      </c>
    </row>
    <row r="57" spans="1:17" ht="15.75" x14ac:dyDescent="0.25">
      <c r="A57" s="908"/>
      <c r="B57" s="823" t="s">
        <v>1</v>
      </c>
      <c r="C57" s="18" t="s">
        <v>21</v>
      </c>
      <c r="D57" s="549"/>
      <c r="E57" s="549"/>
      <c r="F57" s="549"/>
      <c r="G57" s="549"/>
      <c r="H57" s="549"/>
      <c r="I57" s="549"/>
      <c r="J57" s="549"/>
      <c r="K57" s="549"/>
      <c r="L57" s="549"/>
      <c r="M57" s="549"/>
      <c r="N57" s="549"/>
      <c r="O57" s="550"/>
      <c r="P57" s="512" t="str">
        <f t="shared" si="139"/>
        <v>-</v>
      </c>
      <c r="Q57" s="4" t="str">
        <f t="shared" si="140"/>
        <v>-</v>
      </c>
    </row>
    <row r="58" spans="1:17" ht="15.75" customHeight="1" x14ac:dyDescent="0.25">
      <c r="A58" s="908"/>
      <c r="B58" s="824"/>
      <c r="C58" s="18" t="s">
        <v>22</v>
      </c>
      <c r="D58" s="763" t="str">
        <f>IF(D57=0,"",D$38*D57*24)</f>
        <v/>
      </c>
      <c r="E58" s="763" t="str">
        <f t="shared" ref="E58" si="219">IF(E57=0,"",E$38*E57*24)</f>
        <v/>
      </c>
      <c r="F58" s="683" t="str">
        <f t="shared" ref="F58" si="220">IF(F57=0,"",F$38*F57*24)</f>
        <v/>
      </c>
      <c r="G58" s="683" t="str">
        <f t="shared" ref="G58" si="221">IF(G57=0,"",G$38*G57*24)</f>
        <v/>
      </c>
      <c r="H58" s="683" t="str">
        <f t="shared" ref="H58" si="222">IF(H57=0,"",H$38*H57*24)</f>
        <v/>
      </c>
      <c r="I58" s="683" t="str">
        <f t="shared" ref="I58" si="223">IF(I57=0,"",I$38*I57*24)</f>
        <v/>
      </c>
      <c r="J58" s="683" t="str">
        <f t="shared" ref="J58" si="224">IF(J57=0,"",J$38*J57*24)</f>
        <v/>
      </c>
      <c r="K58" s="683" t="str">
        <f t="shared" ref="K58" si="225">IF(K57=0,"",K$38*K57*24)</f>
        <v/>
      </c>
      <c r="L58" s="683" t="str">
        <f t="shared" ref="L58" si="226">IF(L57=0,"",L$38*L57*24)</f>
        <v/>
      </c>
      <c r="M58" s="683" t="str">
        <f t="shared" ref="M58" si="227">IF(M57=0,"",M$38*M57*24)</f>
        <v/>
      </c>
      <c r="N58" s="683" t="str">
        <f t="shared" ref="N58" si="228">IF(N57=0,"",N$38*N57*24)</f>
        <v/>
      </c>
      <c r="O58" s="686" t="str">
        <f t="shared" ref="O58" si="229">IF(O57=0,"",O$38*O57*24)</f>
        <v/>
      </c>
      <c r="P58" s="511" t="str">
        <f t="shared" si="139"/>
        <v>-</v>
      </c>
      <c r="Q58" s="6" t="str">
        <f t="shared" si="140"/>
        <v>-</v>
      </c>
    </row>
    <row r="59" spans="1:17" ht="15.75" customHeight="1" x14ac:dyDescent="0.25">
      <c r="A59" s="908"/>
      <c r="B59" s="823" t="str">
        <f>IF($B$28="OTHER (RENAME)","OTHER",$B$28)</f>
        <v>OTHER</v>
      </c>
      <c r="C59" s="19" t="s">
        <v>21</v>
      </c>
      <c r="D59" s="549"/>
      <c r="E59" s="549"/>
      <c r="F59" s="549"/>
      <c r="G59" s="549"/>
      <c r="H59" s="549"/>
      <c r="I59" s="549"/>
      <c r="J59" s="549"/>
      <c r="K59" s="549"/>
      <c r="L59" s="549"/>
      <c r="M59" s="549"/>
      <c r="N59" s="549"/>
      <c r="O59" s="550"/>
      <c r="P59" s="512" t="str">
        <f t="shared" si="139"/>
        <v>-</v>
      </c>
      <c r="Q59" s="4" t="str">
        <f t="shared" si="140"/>
        <v>-</v>
      </c>
    </row>
    <row r="60" spans="1:17" ht="15.75" customHeight="1" x14ac:dyDescent="0.25">
      <c r="A60" s="908"/>
      <c r="B60" s="824"/>
      <c r="C60" s="20" t="s">
        <v>22</v>
      </c>
      <c r="D60" s="764" t="str">
        <f>IF(D59=0,"",D$38*D59*24)</f>
        <v/>
      </c>
      <c r="E60" s="764" t="str">
        <f t="shared" ref="E60" si="230">IF(E59=0,"",E$38*E59*24)</f>
        <v/>
      </c>
      <c r="F60" s="687" t="str">
        <f t="shared" ref="F60" si="231">IF(F59=0,"",F$38*F59*24)</f>
        <v/>
      </c>
      <c r="G60" s="687" t="str">
        <f t="shared" ref="G60" si="232">IF(G59=0,"",G$38*G59*24)</f>
        <v/>
      </c>
      <c r="H60" s="687" t="str">
        <f t="shared" ref="H60" si="233">IF(H59=0,"",H$38*H59*24)</f>
        <v/>
      </c>
      <c r="I60" s="687" t="str">
        <f t="shared" ref="I60" si="234">IF(I59=0,"",I$38*I59*24)</f>
        <v/>
      </c>
      <c r="J60" s="687" t="str">
        <f t="shared" ref="J60" si="235">IF(J59=0,"",J$38*J59*24)</f>
        <v/>
      </c>
      <c r="K60" s="687" t="str">
        <f t="shared" ref="K60" si="236">IF(K59=0,"",K$38*K59*24)</f>
        <v/>
      </c>
      <c r="L60" s="687" t="str">
        <f t="shared" ref="L60" si="237">IF(L59=0,"",L$38*L59*24)</f>
        <v/>
      </c>
      <c r="M60" s="687" t="str">
        <f t="shared" ref="M60" si="238">IF(M59=0,"",M$38*M59*24)</f>
        <v/>
      </c>
      <c r="N60" s="687" t="str">
        <f t="shared" ref="N60" si="239">IF(N59=0,"",N$38*N59*24)</f>
        <v/>
      </c>
      <c r="O60" s="688" t="str">
        <f t="shared" ref="O60" si="240">IF(O59=0,"",O$38*O59*24)</f>
        <v/>
      </c>
      <c r="P60" s="511" t="str">
        <f t="shared" si="139"/>
        <v>-</v>
      </c>
      <c r="Q60" s="6" t="str">
        <f t="shared" si="140"/>
        <v>-</v>
      </c>
    </row>
    <row r="61" spans="1:17" ht="15.75" x14ac:dyDescent="0.25">
      <c r="A61" s="908"/>
      <c r="B61" s="823" t="str">
        <f>IF($B$30="OTHER (RENAME)","OTHER",$B$30)</f>
        <v>OTHER</v>
      </c>
      <c r="C61" s="16" t="s">
        <v>21</v>
      </c>
      <c r="D61" s="549"/>
      <c r="E61" s="549"/>
      <c r="F61" s="549"/>
      <c r="G61" s="549"/>
      <c r="H61" s="549"/>
      <c r="I61" s="549"/>
      <c r="J61" s="549"/>
      <c r="K61" s="549"/>
      <c r="L61" s="549"/>
      <c r="M61" s="549"/>
      <c r="N61" s="549"/>
      <c r="O61" s="550"/>
      <c r="P61" s="512" t="str">
        <f t="shared" si="139"/>
        <v>-</v>
      </c>
      <c r="Q61" s="4" t="str">
        <f t="shared" ref="Q61:Q66" si="241">IF(SUM(D61:O61)=0,"-",SUM(D61:O61))</f>
        <v>-</v>
      </c>
    </row>
    <row r="62" spans="1:17" ht="15.75" x14ac:dyDescent="0.25">
      <c r="A62" s="908"/>
      <c r="B62" s="824"/>
      <c r="C62" s="17" t="s">
        <v>22</v>
      </c>
      <c r="D62" s="764" t="str">
        <f>IF(D61=0,"",D$38*D61*24)</f>
        <v/>
      </c>
      <c r="E62" s="764" t="str">
        <f t="shared" ref="E62" si="242">IF(E61=0,"",E$38*E61*24)</f>
        <v/>
      </c>
      <c r="F62" s="687" t="str">
        <f t="shared" ref="F62" si="243">IF(F61=0,"",F$38*F61*24)</f>
        <v/>
      </c>
      <c r="G62" s="687" t="str">
        <f t="shared" ref="G62" si="244">IF(G61=0,"",G$38*G61*24)</f>
        <v/>
      </c>
      <c r="H62" s="687" t="str">
        <f t="shared" ref="H62" si="245">IF(H61=0,"",H$38*H61*24)</f>
        <v/>
      </c>
      <c r="I62" s="687" t="str">
        <f t="shared" ref="I62" si="246">IF(I61=0,"",I$38*I61*24)</f>
        <v/>
      </c>
      <c r="J62" s="687" t="str">
        <f t="shared" ref="J62" si="247">IF(J61=0,"",J$38*J61*24)</f>
        <v/>
      </c>
      <c r="K62" s="687" t="str">
        <f t="shared" ref="K62" si="248">IF(K61=0,"",K$38*K61*24)</f>
        <v/>
      </c>
      <c r="L62" s="687" t="str">
        <f t="shared" ref="L62" si="249">IF(L61=0,"",L$38*L61*24)</f>
        <v/>
      </c>
      <c r="M62" s="687" t="str">
        <f t="shared" ref="M62" si="250">IF(M61=0,"",M$38*M61*24)</f>
        <v/>
      </c>
      <c r="N62" s="687" t="str">
        <f t="shared" ref="N62" si="251">IF(N61=0,"",N$38*N61*24)</f>
        <v/>
      </c>
      <c r="O62" s="688" t="str">
        <f t="shared" ref="O62" si="252">IF(O61=0,"",O$38*O61*24)</f>
        <v/>
      </c>
      <c r="P62" s="511" t="str">
        <f t="shared" si="139"/>
        <v>-</v>
      </c>
      <c r="Q62" s="6" t="str">
        <f t="shared" si="241"/>
        <v>-</v>
      </c>
    </row>
    <row r="63" spans="1:17" ht="15.75" x14ac:dyDescent="0.25">
      <c r="A63" s="908"/>
      <c r="B63" s="823" t="str">
        <f>IF($B$32="OTHER (RENAME)","OTHER",$B$32)</f>
        <v>OTHER</v>
      </c>
      <c r="C63" s="16" t="s">
        <v>21</v>
      </c>
      <c r="D63" s="549"/>
      <c r="E63" s="549"/>
      <c r="F63" s="549"/>
      <c r="G63" s="549"/>
      <c r="H63" s="549"/>
      <c r="I63" s="549"/>
      <c r="J63" s="549"/>
      <c r="K63" s="549"/>
      <c r="L63" s="549"/>
      <c r="M63" s="549"/>
      <c r="N63" s="549"/>
      <c r="O63" s="550"/>
      <c r="P63" s="512" t="str">
        <f t="shared" si="139"/>
        <v>-</v>
      </c>
      <c r="Q63" s="4" t="str">
        <f t="shared" si="241"/>
        <v>-</v>
      </c>
    </row>
    <row r="64" spans="1:17" ht="15.75" x14ac:dyDescent="0.25">
      <c r="A64" s="908"/>
      <c r="B64" s="824"/>
      <c r="C64" s="17" t="s">
        <v>22</v>
      </c>
      <c r="D64" s="764" t="str">
        <f>IF(D63=0,"",D$38*D63*24)</f>
        <v/>
      </c>
      <c r="E64" s="764" t="str">
        <f t="shared" ref="E64" si="253">IF(E63=0,"",E$38*E63*24)</f>
        <v/>
      </c>
      <c r="F64" s="687" t="str">
        <f t="shared" ref="F64" si="254">IF(F63=0,"",F$38*F63*24)</f>
        <v/>
      </c>
      <c r="G64" s="687" t="str">
        <f t="shared" ref="G64" si="255">IF(G63=0,"",G$38*G63*24)</f>
        <v/>
      </c>
      <c r="H64" s="687" t="str">
        <f t="shared" ref="H64" si="256">IF(H63=0,"",H$38*H63*24)</f>
        <v/>
      </c>
      <c r="I64" s="687" t="str">
        <f t="shared" ref="I64" si="257">IF(I63=0,"",I$38*I63*24)</f>
        <v/>
      </c>
      <c r="J64" s="687" t="str">
        <f t="shared" ref="J64" si="258">IF(J63=0,"",J$38*J63*24)</f>
        <v/>
      </c>
      <c r="K64" s="687" t="str">
        <f t="shared" ref="K64" si="259">IF(K63=0,"",K$38*K63*24)</f>
        <v/>
      </c>
      <c r="L64" s="687" t="str">
        <f t="shared" ref="L64" si="260">IF(L63=0,"",L$38*L63*24)</f>
        <v/>
      </c>
      <c r="M64" s="687" t="str">
        <f t="shared" ref="M64" si="261">IF(M63=0,"",M$38*M63*24)</f>
        <v/>
      </c>
      <c r="N64" s="687" t="str">
        <f t="shared" ref="N64" si="262">IF(N63=0,"",N$38*N63*24)</f>
        <v/>
      </c>
      <c r="O64" s="688" t="str">
        <f t="shared" ref="O64" si="263">IF(O63=0,"",O$38*O63*24)</f>
        <v/>
      </c>
      <c r="P64" s="511" t="str">
        <f t="shared" si="139"/>
        <v>-</v>
      </c>
      <c r="Q64" s="6" t="str">
        <f t="shared" si="241"/>
        <v>-</v>
      </c>
    </row>
    <row r="65" spans="1:17" ht="15.75" x14ac:dyDescent="0.25">
      <c r="A65" s="908"/>
      <c r="B65" s="823" t="str">
        <f>IF($B$34="OTHER (RENAME)","OTHER",$B$34)</f>
        <v>OTHER</v>
      </c>
      <c r="C65" s="16" t="s">
        <v>21</v>
      </c>
      <c r="D65" s="549"/>
      <c r="E65" s="549"/>
      <c r="F65" s="549"/>
      <c r="G65" s="549"/>
      <c r="H65" s="549"/>
      <c r="I65" s="549"/>
      <c r="J65" s="549"/>
      <c r="K65" s="549"/>
      <c r="L65" s="549"/>
      <c r="M65" s="549"/>
      <c r="N65" s="549"/>
      <c r="O65" s="550"/>
      <c r="P65" s="512" t="str">
        <f t="shared" si="139"/>
        <v>-</v>
      </c>
      <c r="Q65" s="4" t="str">
        <f t="shared" si="241"/>
        <v>-</v>
      </c>
    </row>
    <row r="66" spans="1:17" ht="15.75" x14ac:dyDescent="0.25">
      <c r="A66" s="908"/>
      <c r="B66" s="824"/>
      <c r="C66" s="17" t="s">
        <v>22</v>
      </c>
      <c r="D66" s="764" t="str">
        <f>IF(D65=0,"",D$38*D65*24)</f>
        <v/>
      </c>
      <c r="E66" s="764" t="str">
        <f t="shared" ref="E66" si="264">IF(E65=0,"",E$38*E65*24)</f>
        <v/>
      </c>
      <c r="F66" s="687" t="str">
        <f t="shared" ref="F66" si="265">IF(F65=0,"",F$38*F65*24)</f>
        <v/>
      </c>
      <c r="G66" s="687" t="str">
        <f t="shared" ref="G66" si="266">IF(G65=0,"",G$38*G65*24)</f>
        <v/>
      </c>
      <c r="H66" s="687" t="str">
        <f t="shared" ref="H66" si="267">IF(H65=0,"",H$38*H65*24)</f>
        <v/>
      </c>
      <c r="I66" s="687" t="str">
        <f t="shared" ref="I66" si="268">IF(I65=0,"",I$38*I65*24)</f>
        <v/>
      </c>
      <c r="J66" s="687" t="str">
        <f t="shared" ref="J66" si="269">IF(J65=0,"",J$38*J65*24)</f>
        <v/>
      </c>
      <c r="K66" s="687" t="str">
        <f t="shared" ref="K66" si="270">IF(K65=0,"",K$38*K65*24)</f>
        <v/>
      </c>
      <c r="L66" s="687" t="str">
        <f t="shared" ref="L66" si="271">IF(L65=0,"",L$38*L65*24)</f>
        <v/>
      </c>
      <c r="M66" s="687" t="str">
        <f t="shared" ref="M66" si="272">IF(M65=0,"",M$38*M65*24)</f>
        <v/>
      </c>
      <c r="N66" s="687" t="str">
        <f t="shared" ref="N66" si="273">IF(N65=0,"",N$38*N65*24)</f>
        <v/>
      </c>
      <c r="O66" s="688" t="str">
        <f t="shared" ref="O66" si="274">IF(O65=0,"",O$38*O65*24)</f>
        <v/>
      </c>
      <c r="P66" s="511" t="str">
        <f t="shared" si="139"/>
        <v>-</v>
      </c>
      <c r="Q66" s="6" t="str">
        <f t="shared" si="241"/>
        <v>-</v>
      </c>
    </row>
    <row r="67" spans="1:17" ht="15.75" x14ac:dyDescent="0.25">
      <c r="A67" s="908"/>
      <c r="B67" s="825" t="s">
        <v>16</v>
      </c>
      <c r="C67" s="826"/>
      <c r="D67" s="551" t="str">
        <f>IF(SUM(D39,D41,D43,D45,D47,D49,D51,D53,D55,D57,D59,D61,D63,D65)=0,"",SUM(D39,D41,D43,D45,D47,D49,D51,D53,D55,D57,D59,D61,D63,D65))</f>
        <v/>
      </c>
      <c r="E67" s="551" t="str">
        <f t="shared" ref="E67:O67" si="275">IF(SUM(E39,E41,E43,E45,E47,E49,E51,E53,E55,E57,E59,E61,E63,E65)=0,"",SUM(E39,E41,E43,E45,E47,E49,E51,E53,E55,E57,E59,E61,E63,E65))</f>
        <v/>
      </c>
      <c r="F67" s="551" t="str">
        <f t="shared" si="275"/>
        <v/>
      </c>
      <c r="G67" s="551" t="str">
        <f t="shared" si="275"/>
        <v/>
      </c>
      <c r="H67" s="551" t="str">
        <f t="shared" si="275"/>
        <v/>
      </c>
      <c r="I67" s="551" t="str">
        <f t="shared" si="275"/>
        <v/>
      </c>
      <c r="J67" s="551" t="str">
        <f t="shared" si="275"/>
        <v/>
      </c>
      <c r="K67" s="551" t="str">
        <f t="shared" si="275"/>
        <v/>
      </c>
      <c r="L67" s="551" t="str">
        <f t="shared" si="275"/>
        <v/>
      </c>
      <c r="M67" s="551" t="str">
        <f t="shared" si="275"/>
        <v/>
      </c>
      <c r="N67" s="551" t="str">
        <f t="shared" si="275"/>
        <v/>
      </c>
      <c r="O67" s="552" t="str">
        <f t="shared" si="275"/>
        <v/>
      </c>
      <c r="P67" s="512" t="str">
        <f>IF(Q67="-","-",Q67/12)</f>
        <v>-</v>
      </c>
      <c r="Q67" s="4" t="str">
        <f>IF(SUM(D67:O67)=0,"-",SUM(D67:O67))</f>
        <v>-</v>
      </c>
    </row>
    <row r="68" spans="1:17" ht="16.5" thickBot="1" x14ac:dyDescent="0.3">
      <c r="A68" s="909"/>
      <c r="B68" s="820" t="s">
        <v>17</v>
      </c>
      <c r="C68" s="821"/>
      <c r="D68" s="733" t="str">
        <f>IF(D67="","",SUM(D40,D42,D44,D46,D48,D50,D52,D54,D56,D58,D60,D62,D64,D66))</f>
        <v/>
      </c>
      <c r="E68" s="733" t="str">
        <f t="shared" ref="E68" si="276">IF(E67="","",SUM(E40,E42,E44,E46,E48,E50,E52,E54,E56,E58,E60,E62,E64,E66))</f>
        <v/>
      </c>
      <c r="F68" s="733" t="str">
        <f t="shared" ref="F68" si="277">IF(F67="","",SUM(F40,F42,F44,F46,F48,F50,F52,F54,F56,F58,F60,F62,F64,F66))</f>
        <v/>
      </c>
      <c r="G68" s="733" t="str">
        <f t="shared" ref="G68" si="278">IF(G67="","",SUM(G40,G42,G44,G46,G48,G50,G52,G54,G56,G58,G60,G62,G64,G66))</f>
        <v/>
      </c>
      <c r="H68" s="733" t="str">
        <f t="shared" ref="H68" si="279">IF(H67="","",SUM(H40,H42,H44,H46,H48,H50,H52,H54,H56,H58,H60,H62,H64,H66))</f>
        <v/>
      </c>
      <c r="I68" s="733" t="str">
        <f t="shared" ref="I68" si="280">IF(I67="","",SUM(I40,I42,I44,I46,I48,I50,I52,I54,I56,I58,I60,I62,I64,I66))</f>
        <v/>
      </c>
      <c r="J68" s="733" t="str">
        <f t="shared" ref="J68" si="281">IF(J67="","",SUM(J40,J42,J44,J46,J48,J50,J52,J54,J56,J58,J60,J62,J64,J66))</f>
        <v/>
      </c>
      <c r="K68" s="733" t="str">
        <f t="shared" ref="K68" si="282">IF(K67="","",SUM(K40,K42,K44,K46,K48,K50,K52,K54,K56,K58,K60,K62,K64,K66))</f>
        <v/>
      </c>
      <c r="L68" s="733" t="str">
        <f t="shared" ref="L68" si="283">IF(L67="","",SUM(L40,L42,L44,L46,L48,L50,L52,L54,L56,L58,L60,L62,L64,L66))</f>
        <v/>
      </c>
      <c r="M68" s="733" t="str">
        <f t="shared" ref="M68" si="284">IF(M67="","",SUM(M40,M42,M44,M46,M48,M50,M52,M54,M56,M58,M60,M62,M64,M66))</f>
        <v/>
      </c>
      <c r="N68" s="733" t="str">
        <f t="shared" ref="N68" si="285">IF(N67="","",SUM(N40,N42,N44,N46,N48,N50,N52,N54,N56,N58,N60,N62,N64,N66))</f>
        <v/>
      </c>
      <c r="O68" s="734" t="str">
        <f t="shared" ref="O68" si="286">IF(O67="","",SUM(O40,O42,O44,O46,O48,O50,O52,O54,O56,O58,O60,O62,O64,O66))</f>
        <v/>
      </c>
      <c r="P68" s="525" t="str">
        <f>IF(Q68="-","-",Q68/12)</f>
        <v>-</v>
      </c>
      <c r="Q68" s="7" t="str">
        <f>IF(SUM(D68:O68)=0,"-",SUM(D68:O68))</f>
        <v>-</v>
      </c>
    </row>
    <row r="69" spans="1:17" ht="15.75" x14ac:dyDescent="0.25">
      <c r="A69" s="863" t="s">
        <v>111</v>
      </c>
      <c r="B69" s="878" t="s">
        <v>3</v>
      </c>
      <c r="C69" s="879"/>
      <c r="D69" s="547" t="str">
        <f>IF('2023DATA'!AT3=0,"",'2023DATA'!AT3)</f>
        <v/>
      </c>
      <c r="E69" s="547" t="str">
        <f>IF('2023DATA'!AU3=0,"",'2023DATA'!AU3)</f>
        <v/>
      </c>
      <c r="F69" s="547" t="str">
        <f>IF('2023DATA'!AV3=0,"",'2023DATA'!AV3)</f>
        <v/>
      </c>
      <c r="G69" s="547" t="str">
        <f>IF('2023DATA'!AW3=0,"",'2023DATA'!AW3)</f>
        <v/>
      </c>
      <c r="H69" s="547" t="str">
        <f>IF('2023DATA'!AX3=0,"",'2023DATA'!AX3)</f>
        <v/>
      </c>
      <c r="I69" s="547" t="str">
        <f>IF('2023DATA'!AY3=0,"",'2023DATA'!AY3)</f>
        <v/>
      </c>
      <c r="J69" s="547" t="str">
        <f>IF('2023DATA'!AZ3=0,"",'2023DATA'!AZ3)</f>
        <v/>
      </c>
      <c r="K69" s="547" t="str">
        <f>IF('2023DATA'!BA3=0,"",'2023DATA'!BA3)</f>
        <v/>
      </c>
      <c r="L69" s="547" t="str">
        <f>IF('2023DATA'!BB3=0,"",'2023DATA'!BB3)</f>
        <v/>
      </c>
      <c r="M69" s="547" t="str">
        <f>IF('2023DATA2'!BC3=0,"",'2023DATA2'!BC3)</f>
        <v/>
      </c>
      <c r="N69" s="547" t="str">
        <f>IF('2023DATA2'!BD3=0,"",'2023DATA2'!BD3)</f>
        <v/>
      </c>
      <c r="O69" s="548" t="str">
        <f>IF('2023DATA2'!BE3=0,"",'2023DATA2'!BE3)</f>
        <v/>
      </c>
      <c r="P69" s="880"/>
      <c r="Q69" s="881"/>
    </row>
    <row r="70" spans="1:17" ht="15.75" x14ac:dyDescent="0.25">
      <c r="A70" s="864"/>
      <c r="B70" s="823" t="s">
        <v>7</v>
      </c>
      <c r="C70" s="513" t="s">
        <v>21</v>
      </c>
      <c r="D70" s="549"/>
      <c r="E70" s="549"/>
      <c r="F70" s="549"/>
      <c r="G70" s="549"/>
      <c r="H70" s="549"/>
      <c r="I70" s="549"/>
      <c r="J70" s="549"/>
      <c r="K70" s="549"/>
      <c r="L70" s="549"/>
      <c r="M70" s="549"/>
      <c r="N70" s="549"/>
      <c r="O70" s="550"/>
      <c r="P70" s="512" t="str">
        <f t="shared" ref="P70:P99" si="287">IF(Q70="-","-",Q70/12)</f>
        <v>-</v>
      </c>
      <c r="Q70" s="4" t="str">
        <f t="shared" ref="Q70:Q89" si="288">IF(SUM(D70:O70)=0,"-",SUM(D70:O70))</f>
        <v>-</v>
      </c>
    </row>
    <row r="71" spans="1:17" ht="15.75" x14ac:dyDescent="0.25">
      <c r="A71" s="864"/>
      <c r="B71" s="824"/>
      <c r="C71" s="18" t="s">
        <v>22</v>
      </c>
      <c r="D71" s="763" t="str">
        <f>IF(D70="","",D$69*D70*24)</f>
        <v/>
      </c>
      <c r="E71" s="763" t="str">
        <f t="shared" ref="E71:O71" si="289">IF(E70="","",E$69*E70*24)</f>
        <v/>
      </c>
      <c r="F71" s="683" t="str">
        <f t="shared" si="289"/>
        <v/>
      </c>
      <c r="G71" s="683" t="str">
        <f t="shared" si="289"/>
        <v/>
      </c>
      <c r="H71" s="683" t="str">
        <f t="shared" si="289"/>
        <v/>
      </c>
      <c r="I71" s="683" t="str">
        <f t="shared" si="289"/>
        <v/>
      </c>
      <c r="J71" s="683" t="str">
        <f t="shared" si="289"/>
        <v/>
      </c>
      <c r="K71" s="683" t="str">
        <f t="shared" si="289"/>
        <v/>
      </c>
      <c r="L71" s="683" t="str">
        <f t="shared" si="289"/>
        <v/>
      </c>
      <c r="M71" s="683" t="str">
        <f t="shared" si="289"/>
        <v/>
      </c>
      <c r="N71" s="683" t="str">
        <f t="shared" si="289"/>
        <v/>
      </c>
      <c r="O71" s="686" t="str">
        <f t="shared" si="289"/>
        <v/>
      </c>
      <c r="P71" s="511" t="str">
        <f t="shared" si="287"/>
        <v>-</v>
      </c>
      <c r="Q71" s="6" t="str">
        <f t="shared" si="288"/>
        <v>-</v>
      </c>
    </row>
    <row r="72" spans="1:17" ht="15.75" x14ac:dyDescent="0.25">
      <c r="A72" s="864"/>
      <c r="B72" s="823" t="s">
        <v>8</v>
      </c>
      <c r="C72" s="16" t="s">
        <v>21</v>
      </c>
      <c r="D72" s="549"/>
      <c r="E72" s="549"/>
      <c r="F72" s="549"/>
      <c r="G72" s="549"/>
      <c r="H72" s="549"/>
      <c r="I72" s="549"/>
      <c r="J72" s="549"/>
      <c r="K72" s="549"/>
      <c r="L72" s="549"/>
      <c r="M72" s="549"/>
      <c r="N72" s="549"/>
      <c r="O72" s="550"/>
      <c r="P72" s="512" t="str">
        <f t="shared" si="287"/>
        <v>-</v>
      </c>
      <c r="Q72" s="4" t="str">
        <f t="shared" si="288"/>
        <v>-</v>
      </c>
    </row>
    <row r="73" spans="1:17" ht="15.75" x14ac:dyDescent="0.25">
      <c r="A73" s="864"/>
      <c r="B73" s="824"/>
      <c r="C73" s="17" t="s">
        <v>22</v>
      </c>
      <c r="D73" s="763" t="str">
        <f>IF(D72=0,"",(D69+IF(D$4="CA",DATA!$B$22,DATA!$B$23))*D72*24)</f>
        <v/>
      </c>
      <c r="E73" s="763" t="str">
        <f>IF(E72=0,"",(E69+IF(E$4="CA",DATA!$B$22,DATA!$B$23))*E72*24)</f>
        <v/>
      </c>
      <c r="F73" s="763" t="str">
        <f>IF(F72=0,"",(F69+IF(F$4="CA",DATA!$B$22,DATA!$B$23))*F72*24)</f>
        <v/>
      </c>
      <c r="G73" s="763" t="str">
        <f>IF(G72=0,"",(G69+IF(G$4="CA",DATA!$B$22,DATA!$B$23))*G72*24)</f>
        <v/>
      </c>
      <c r="H73" s="763" t="str">
        <f>IF(H72=0,"",(H69+IF(H$4="CA",DATA!$B$22,DATA!$B$23))*H72*24)</f>
        <v/>
      </c>
      <c r="I73" s="763" t="str">
        <f>IF(I72=0,"",(I69+IF(I$4="CA",DATA!$B$22,DATA!$B$23))*I72*24)</f>
        <v/>
      </c>
      <c r="J73" s="763" t="str">
        <f>IF(J72=0,"",(J69+IF(J$4="CA",DATA!$B$22,DATA!$B$23))*J72*24)</f>
        <v/>
      </c>
      <c r="K73" s="763" t="str">
        <f>IF(K72=0,"",(K69+IF(K$4="CA",DATA!$B$22,DATA!$B$23))*K72*24)</f>
        <v/>
      </c>
      <c r="L73" s="763" t="str">
        <f>IF(L72=0,"",(L69+IF(L$4="CA",DATA!$B$22,DATA!$B$23))*L72*24)</f>
        <v/>
      </c>
      <c r="M73" s="763" t="str">
        <f>IF(M72=0,"",(M69+IF(M$4="CA",DATA!$B$22,DATA!$B$23))*M72*24)</f>
        <v/>
      </c>
      <c r="N73" s="763" t="str">
        <f>IF(N72=0,"",(N69+IF(N$4="CA",DATA!$B$22,DATA!$B$23))*N72*24)</f>
        <v/>
      </c>
      <c r="O73" s="776" t="str">
        <f>IF(O72=0,"",(O69+IF(O$4="CA",DATA!$B$22,DATA!$B$23))*O72*24)</f>
        <v/>
      </c>
      <c r="P73" s="511" t="str">
        <f t="shared" si="287"/>
        <v>-</v>
      </c>
      <c r="Q73" s="6" t="str">
        <f t="shared" si="288"/>
        <v>-</v>
      </c>
    </row>
    <row r="74" spans="1:17" ht="15.75" x14ac:dyDescent="0.25">
      <c r="A74" s="864"/>
      <c r="B74" s="827" t="s">
        <v>9</v>
      </c>
      <c r="C74" s="18" t="s">
        <v>21</v>
      </c>
      <c r="D74" s="549"/>
      <c r="E74" s="549"/>
      <c r="F74" s="549"/>
      <c r="G74" s="549"/>
      <c r="H74" s="549"/>
      <c r="I74" s="549"/>
      <c r="J74" s="549"/>
      <c r="K74" s="549"/>
      <c r="L74" s="549"/>
      <c r="M74" s="549"/>
      <c r="N74" s="549"/>
      <c r="O74" s="550"/>
      <c r="P74" s="512" t="str">
        <f t="shared" si="287"/>
        <v>-</v>
      </c>
      <c r="Q74" s="4" t="str">
        <f t="shared" si="288"/>
        <v>-</v>
      </c>
    </row>
    <row r="75" spans="1:17" ht="15.75" x14ac:dyDescent="0.25">
      <c r="A75" s="864"/>
      <c r="B75" s="827"/>
      <c r="C75" s="18" t="s">
        <v>22</v>
      </c>
      <c r="D75" s="763" t="str">
        <f>IF(D74="","",D$69*D74*24)</f>
        <v/>
      </c>
      <c r="E75" s="763" t="str">
        <f t="shared" ref="E75" si="290">IF(E74="","",E$69*E74*24)</f>
        <v/>
      </c>
      <c r="F75" s="684" t="str">
        <f t="shared" ref="F75" si="291">IF(F74="","",F$69*F74*24)</f>
        <v/>
      </c>
      <c r="G75" s="683" t="str">
        <f t="shared" ref="G75" si="292">IF(G74="","",G$69*G74*24)</f>
        <v/>
      </c>
      <c r="H75" s="683" t="str">
        <f t="shared" ref="H75" si="293">IF(H74="","",H$69*H74*24)</f>
        <v/>
      </c>
      <c r="I75" s="683" t="str">
        <f t="shared" ref="I75" si="294">IF(I74="","",I$69*I74*24)</f>
        <v/>
      </c>
      <c r="J75" s="683" t="str">
        <f t="shared" ref="J75" si="295">IF(J74="","",J$69*J74*24)</f>
        <v/>
      </c>
      <c r="K75" s="683" t="str">
        <f t="shared" ref="K75" si="296">IF(K74="","",K$69*K74*24)</f>
        <v/>
      </c>
      <c r="L75" s="683" t="str">
        <f t="shared" ref="L75" si="297">IF(L74="","",L$69*L74*24)</f>
        <v/>
      </c>
      <c r="M75" s="683" t="str">
        <f t="shared" ref="M75" si="298">IF(M74="","",M$69*M74*24)</f>
        <v/>
      </c>
      <c r="N75" s="683" t="str">
        <f t="shared" ref="N75" si="299">IF(N74="","",N$69*N74*24)</f>
        <v/>
      </c>
      <c r="O75" s="685" t="str">
        <f t="shared" ref="O75" si="300">IF(O74="","",O$69*O74*24)</f>
        <v/>
      </c>
      <c r="P75" s="511" t="str">
        <f t="shared" si="287"/>
        <v>-</v>
      </c>
      <c r="Q75" s="6" t="str">
        <f t="shared" si="288"/>
        <v>-</v>
      </c>
    </row>
    <row r="76" spans="1:17" ht="15.75" x14ac:dyDescent="0.25">
      <c r="A76" s="864"/>
      <c r="B76" s="828" t="s">
        <v>10</v>
      </c>
      <c r="C76" s="16" t="s">
        <v>21</v>
      </c>
      <c r="D76" s="549"/>
      <c r="E76" s="549"/>
      <c r="F76" s="549"/>
      <c r="G76" s="549"/>
      <c r="H76" s="549"/>
      <c r="I76" s="549"/>
      <c r="J76" s="549"/>
      <c r="K76" s="549"/>
      <c r="L76" s="549"/>
      <c r="M76" s="549"/>
      <c r="N76" s="549"/>
      <c r="O76" s="550"/>
      <c r="P76" s="512" t="str">
        <f t="shared" si="287"/>
        <v>-</v>
      </c>
      <c r="Q76" s="4" t="str">
        <f t="shared" si="288"/>
        <v>-</v>
      </c>
    </row>
    <row r="77" spans="1:17" ht="15.75" x14ac:dyDescent="0.25">
      <c r="A77" s="864"/>
      <c r="B77" s="829"/>
      <c r="C77" s="17" t="s">
        <v>22</v>
      </c>
      <c r="D77" s="763" t="str">
        <f>IF(D76="","",D$69*D76*24)</f>
        <v/>
      </c>
      <c r="E77" s="763" t="str">
        <f t="shared" ref="E77" si="301">IF(E76="","",E$69*E76*24)</f>
        <v/>
      </c>
      <c r="F77" s="684" t="str">
        <f t="shared" ref="F77" si="302">IF(F76="","",F$69*F76*24)</f>
        <v/>
      </c>
      <c r="G77" s="683" t="str">
        <f t="shared" ref="G77" si="303">IF(G76="","",G$69*G76*24)</f>
        <v/>
      </c>
      <c r="H77" s="683" t="str">
        <f t="shared" ref="H77" si="304">IF(H76="","",H$69*H76*24)</f>
        <v/>
      </c>
      <c r="I77" s="683" t="str">
        <f t="shared" ref="I77" si="305">IF(I76="","",I$69*I76*24)</f>
        <v/>
      </c>
      <c r="J77" s="683" t="str">
        <f t="shared" ref="J77" si="306">IF(J76="","",J$69*J76*24)</f>
        <v/>
      </c>
      <c r="K77" s="683" t="str">
        <f t="shared" ref="K77" si="307">IF(K76="","",K$69*K76*24)</f>
        <v/>
      </c>
      <c r="L77" s="683" t="str">
        <f t="shared" ref="L77" si="308">IF(L76="","",L$69*L76*24)</f>
        <v/>
      </c>
      <c r="M77" s="683" t="str">
        <f t="shared" ref="M77" si="309">IF(M76="","",M$69*M76*24)</f>
        <v/>
      </c>
      <c r="N77" s="683" t="str">
        <f t="shared" ref="N77" si="310">IF(N76="","",N$69*N76*24)</f>
        <v/>
      </c>
      <c r="O77" s="685" t="str">
        <f t="shared" ref="O77" si="311">IF(O76="","",O$69*O76*24)</f>
        <v/>
      </c>
      <c r="P77" s="511" t="str">
        <f t="shared" si="287"/>
        <v>-</v>
      </c>
      <c r="Q77" s="6" t="str">
        <f t="shared" si="288"/>
        <v>-</v>
      </c>
    </row>
    <row r="78" spans="1:17" ht="15.75" x14ac:dyDescent="0.25">
      <c r="A78" s="864"/>
      <c r="B78" s="827" t="s">
        <v>11</v>
      </c>
      <c r="C78" s="18" t="s">
        <v>21</v>
      </c>
      <c r="D78" s="549"/>
      <c r="E78" s="549"/>
      <c r="F78" s="549"/>
      <c r="G78" s="549"/>
      <c r="H78" s="549"/>
      <c r="I78" s="549"/>
      <c r="J78" s="549"/>
      <c r="K78" s="549"/>
      <c r="L78" s="549"/>
      <c r="M78" s="549"/>
      <c r="N78" s="549"/>
      <c r="O78" s="550"/>
      <c r="P78" s="512" t="str">
        <f t="shared" si="287"/>
        <v>-</v>
      </c>
      <c r="Q78" s="4" t="str">
        <f t="shared" si="288"/>
        <v>-</v>
      </c>
    </row>
    <row r="79" spans="1:17" ht="15.75" x14ac:dyDescent="0.25">
      <c r="A79" s="864"/>
      <c r="B79" s="827"/>
      <c r="C79" s="18" t="s">
        <v>22</v>
      </c>
      <c r="D79" s="763" t="str">
        <f>IF(D78="","",D$69*D78*24)</f>
        <v/>
      </c>
      <c r="E79" s="763" t="str">
        <f t="shared" ref="E79" si="312">IF(E78="","",E$69*E78*24)</f>
        <v/>
      </c>
      <c r="F79" s="684" t="str">
        <f t="shared" ref="F79" si="313">IF(F78="","",F$69*F78*24)</f>
        <v/>
      </c>
      <c r="G79" s="683" t="str">
        <f t="shared" ref="G79" si="314">IF(G78="","",G$69*G78*24)</f>
        <v/>
      </c>
      <c r="H79" s="683" t="str">
        <f t="shared" ref="H79" si="315">IF(H78="","",H$69*H78*24)</f>
        <v/>
      </c>
      <c r="I79" s="683" t="str">
        <f t="shared" ref="I79" si="316">IF(I78="","",I$69*I78*24)</f>
        <v/>
      </c>
      <c r="J79" s="683" t="str">
        <f t="shared" ref="J79" si="317">IF(J78="","",J$69*J78*24)</f>
        <v/>
      </c>
      <c r="K79" s="683" t="str">
        <f t="shared" ref="K79" si="318">IF(K78="","",K$69*K78*24)</f>
        <v/>
      </c>
      <c r="L79" s="683" t="str">
        <f t="shared" ref="L79" si="319">IF(L78="","",L$69*L78*24)</f>
        <v/>
      </c>
      <c r="M79" s="683" t="str">
        <f t="shared" ref="M79" si="320">IF(M78="","",M$69*M78*24)</f>
        <v/>
      </c>
      <c r="N79" s="683" t="str">
        <f t="shared" ref="N79" si="321">IF(N78="","",N$69*N78*24)</f>
        <v/>
      </c>
      <c r="O79" s="685" t="str">
        <f t="shared" ref="O79" si="322">IF(O78="","",O$69*O78*24)</f>
        <v/>
      </c>
      <c r="P79" s="511" t="str">
        <f t="shared" si="287"/>
        <v>-</v>
      </c>
      <c r="Q79" s="6" t="str">
        <f t="shared" si="288"/>
        <v>-</v>
      </c>
    </row>
    <row r="80" spans="1:17" ht="15.75" x14ac:dyDescent="0.25">
      <c r="A80" s="864"/>
      <c r="B80" s="828" t="s">
        <v>12</v>
      </c>
      <c r="C80" s="16" t="s">
        <v>21</v>
      </c>
      <c r="D80" s="549"/>
      <c r="E80" s="549"/>
      <c r="F80" s="549"/>
      <c r="G80" s="549"/>
      <c r="H80" s="549"/>
      <c r="I80" s="549"/>
      <c r="J80" s="549"/>
      <c r="K80" s="549"/>
      <c r="L80" s="549"/>
      <c r="M80" s="549"/>
      <c r="N80" s="549"/>
      <c r="O80" s="550"/>
      <c r="P80" s="512" t="str">
        <f t="shared" si="287"/>
        <v>-</v>
      </c>
      <c r="Q80" s="4" t="str">
        <f t="shared" si="288"/>
        <v>-</v>
      </c>
    </row>
    <row r="81" spans="1:17" ht="15.75" x14ac:dyDescent="0.25">
      <c r="A81" s="864"/>
      <c r="B81" s="829"/>
      <c r="C81" s="17" t="s">
        <v>22</v>
      </c>
      <c r="D81" s="763" t="str">
        <f>IF(D80="","",D$69*D80*24)</f>
        <v/>
      </c>
      <c r="E81" s="763" t="str">
        <f t="shared" ref="E81" si="323">IF(E80="","",E$69*E80*24)</f>
        <v/>
      </c>
      <c r="F81" s="684" t="str">
        <f t="shared" ref="F81" si="324">IF(F80="","",F$69*F80*24)</f>
        <v/>
      </c>
      <c r="G81" s="683" t="str">
        <f t="shared" ref="G81" si="325">IF(G80="","",G$69*G80*24)</f>
        <v/>
      </c>
      <c r="H81" s="683" t="str">
        <f t="shared" ref="H81" si="326">IF(H80="","",H$69*H80*24)</f>
        <v/>
      </c>
      <c r="I81" s="683" t="str">
        <f t="shared" ref="I81" si="327">IF(I80="","",I$69*I80*24)</f>
        <v/>
      </c>
      <c r="J81" s="683" t="str">
        <f t="shared" ref="J81" si="328">IF(J80="","",J$69*J80*24)</f>
        <v/>
      </c>
      <c r="K81" s="683" t="str">
        <f t="shared" ref="K81" si="329">IF(K80="","",K$69*K80*24)</f>
        <v/>
      </c>
      <c r="L81" s="683" t="str">
        <f t="shared" ref="L81" si="330">IF(L80="","",L$69*L80*24)</f>
        <v/>
      </c>
      <c r="M81" s="683" t="str">
        <f t="shared" ref="M81" si="331">IF(M80="","",M$69*M80*24)</f>
        <v/>
      </c>
      <c r="N81" s="683" t="str">
        <f t="shared" ref="N81" si="332">IF(N80="","",N$69*N80*24)</f>
        <v/>
      </c>
      <c r="O81" s="685" t="str">
        <f t="shared" ref="O81" si="333">IF(O80="","",O$69*O80*24)</f>
        <v/>
      </c>
      <c r="P81" s="511" t="str">
        <f t="shared" si="287"/>
        <v>-</v>
      </c>
      <c r="Q81" s="6" t="str">
        <f t="shared" si="288"/>
        <v>-</v>
      </c>
    </row>
    <row r="82" spans="1:17" ht="15.75" x14ac:dyDescent="0.25">
      <c r="A82" s="864"/>
      <c r="B82" s="827" t="s">
        <v>15</v>
      </c>
      <c r="C82" s="18" t="s">
        <v>21</v>
      </c>
      <c r="D82" s="549"/>
      <c r="E82" s="549"/>
      <c r="F82" s="549"/>
      <c r="G82" s="549"/>
      <c r="H82" s="549"/>
      <c r="I82" s="549"/>
      <c r="J82" s="549"/>
      <c r="K82" s="549"/>
      <c r="L82" s="549"/>
      <c r="M82" s="549"/>
      <c r="N82" s="549"/>
      <c r="O82" s="550"/>
      <c r="P82" s="512" t="str">
        <f t="shared" si="287"/>
        <v>-</v>
      </c>
      <c r="Q82" s="4" t="str">
        <f t="shared" si="288"/>
        <v>-</v>
      </c>
    </row>
    <row r="83" spans="1:17" ht="15.75" x14ac:dyDescent="0.25">
      <c r="A83" s="864"/>
      <c r="B83" s="827"/>
      <c r="C83" s="18" t="s">
        <v>22</v>
      </c>
      <c r="D83" s="763" t="str">
        <f>IF(D82="","",D$69*D82*24)</f>
        <v/>
      </c>
      <c r="E83" s="763" t="str">
        <f t="shared" ref="E83" si="334">IF(E82="","",E$69*E82*24)</f>
        <v/>
      </c>
      <c r="F83" s="684" t="str">
        <f t="shared" ref="F83" si="335">IF(F82="","",F$69*F82*24)</f>
        <v/>
      </c>
      <c r="G83" s="683" t="str">
        <f t="shared" ref="G83" si="336">IF(G82="","",G$69*G82*24)</f>
        <v/>
      </c>
      <c r="H83" s="683" t="str">
        <f t="shared" ref="H83" si="337">IF(H82="","",H$69*H82*24)</f>
        <v/>
      </c>
      <c r="I83" s="683" t="str">
        <f t="shared" ref="I83" si="338">IF(I82="","",I$69*I82*24)</f>
        <v/>
      </c>
      <c r="J83" s="683" t="str">
        <f t="shared" ref="J83" si="339">IF(J82="","",J$69*J82*24)</f>
        <v/>
      </c>
      <c r="K83" s="683" t="str">
        <f t="shared" ref="K83" si="340">IF(K82="","",K$69*K82*24)</f>
        <v/>
      </c>
      <c r="L83" s="683" t="str">
        <f t="shared" ref="L83" si="341">IF(L82="","",L$69*L82*24)</f>
        <v/>
      </c>
      <c r="M83" s="683" t="str">
        <f t="shared" ref="M83" si="342">IF(M82="","",M$69*M82*24)</f>
        <v/>
      </c>
      <c r="N83" s="683" t="str">
        <f t="shared" ref="N83" si="343">IF(N82="","",N$69*N82*24)</f>
        <v/>
      </c>
      <c r="O83" s="685" t="str">
        <f t="shared" ref="O83" si="344">IF(O82="","",O$69*O82*24)</f>
        <v/>
      </c>
      <c r="P83" s="511" t="str">
        <f t="shared" si="287"/>
        <v>-</v>
      </c>
      <c r="Q83" s="6" t="str">
        <f t="shared" si="288"/>
        <v>-</v>
      </c>
    </row>
    <row r="84" spans="1:17" ht="15.75" x14ac:dyDescent="0.25">
      <c r="A84" s="864"/>
      <c r="B84" s="828" t="s">
        <v>13</v>
      </c>
      <c r="C84" s="16" t="s">
        <v>21</v>
      </c>
      <c r="D84" s="549"/>
      <c r="E84" s="549"/>
      <c r="F84" s="549"/>
      <c r="G84" s="549"/>
      <c r="H84" s="549"/>
      <c r="I84" s="549"/>
      <c r="J84" s="549"/>
      <c r="K84" s="549"/>
      <c r="L84" s="549"/>
      <c r="M84" s="549"/>
      <c r="N84" s="549"/>
      <c r="O84" s="550"/>
      <c r="P84" s="512" t="str">
        <f t="shared" si="287"/>
        <v>-</v>
      </c>
      <c r="Q84" s="4" t="str">
        <f t="shared" si="288"/>
        <v>-</v>
      </c>
    </row>
    <row r="85" spans="1:17" ht="15.75" x14ac:dyDescent="0.25">
      <c r="A85" s="864"/>
      <c r="B85" s="829"/>
      <c r="C85" s="17" t="s">
        <v>22</v>
      </c>
      <c r="D85" s="763" t="str">
        <f>IF(D84="","",D$69*D84*24)</f>
        <v/>
      </c>
      <c r="E85" s="763" t="str">
        <f t="shared" ref="E85" si="345">IF(E84="","",E$69*E84*24)</f>
        <v/>
      </c>
      <c r="F85" s="684" t="str">
        <f t="shared" ref="F85" si="346">IF(F84="","",F$69*F84*24)</f>
        <v/>
      </c>
      <c r="G85" s="683" t="str">
        <f t="shared" ref="G85" si="347">IF(G84="","",G$69*G84*24)</f>
        <v/>
      </c>
      <c r="H85" s="683" t="str">
        <f t="shared" ref="H85" si="348">IF(H84="","",H$69*H84*24)</f>
        <v/>
      </c>
      <c r="I85" s="683" t="str">
        <f t="shared" ref="I85" si="349">IF(I84="","",I$69*I84*24)</f>
        <v/>
      </c>
      <c r="J85" s="683" t="str">
        <f t="shared" ref="J85" si="350">IF(J84="","",J$69*J84*24)</f>
        <v/>
      </c>
      <c r="K85" s="683" t="str">
        <f t="shared" ref="K85" si="351">IF(K84="","",K$69*K84*24)</f>
        <v/>
      </c>
      <c r="L85" s="683" t="str">
        <f t="shared" ref="L85" si="352">IF(L84="","",L$69*L84*24)</f>
        <v/>
      </c>
      <c r="M85" s="683" t="str">
        <f t="shared" ref="M85" si="353">IF(M84="","",M$69*M84*24)</f>
        <v/>
      </c>
      <c r="N85" s="683" t="str">
        <f t="shared" ref="N85" si="354">IF(N84="","",N$69*N84*24)</f>
        <v/>
      </c>
      <c r="O85" s="685" t="str">
        <f t="shared" ref="O85" si="355">IF(O84="","",O$69*O84*24)</f>
        <v/>
      </c>
      <c r="P85" s="511" t="str">
        <f t="shared" si="287"/>
        <v>-</v>
      </c>
      <c r="Q85" s="6" t="str">
        <f t="shared" si="288"/>
        <v>-</v>
      </c>
    </row>
    <row r="86" spans="1:17" ht="15.75" x14ac:dyDescent="0.25">
      <c r="A86" s="864"/>
      <c r="B86" s="827" t="s">
        <v>20</v>
      </c>
      <c r="C86" s="18" t="s">
        <v>21</v>
      </c>
      <c r="D86" s="549"/>
      <c r="E86" s="549"/>
      <c r="F86" s="549"/>
      <c r="G86" s="549"/>
      <c r="H86" s="549"/>
      <c r="I86" s="549"/>
      <c r="J86" s="549"/>
      <c r="K86" s="549"/>
      <c r="L86" s="549"/>
      <c r="M86" s="549"/>
      <c r="N86" s="549"/>
      <c r="O86" s="550"/>
      <c r="P86" s="512" t="str">
        <f t="shared" si="287"/>
        <v>-</v>
      </c>
      <c r="Q86" s="4" t="str">
        <f t="shared" si="288"/>
        <v>-</v>
      </c>
    </row>
    <row r="87" spans="1:17" ht="15.75" x14ac:dyDescent="0.25">
      <c r="A87" s="864"/>
      <c r="B87" s="827"/>
      <c r="C87" s="18" t="s">
        <v>22</v>
      </c>
      <c r="D87" s="763" t="str">
        <f>IF(D86="","",D$69*D86*24)</f>
        <v/>
      </c>
      <c r="E87" s="763" t="str">
        <f t="shared" ref="E87" si="356">IF(E86="","",E$69*E86*24)</f>
        <v/>
      </c>
      <c r="F87" s="684" t="str">
        <f t="shared" ref="F87" si="357">IF(F86="","",F$69*F86*24)</f>
        <v/>
      </c>
      <c r="G87" s="683" t="str">
        <f t="shared" ref="G87" si="358">IF(G86="","",G$69*G86*24)</f>
        <v/>
      </c>
      <c r="H87" s="683" t="str">
        <f t="shared" ref="H87" si="359">IF(H86="","",H$69*H86*24)</f>
        <v/>
      </c>
      <c r="I87" s="683" t="str">
        <f t="shared" ref="I87" si="360">IF(I86="","",I$69*I86*24)</f>
        <v/>
      </c>
      <c r="J87" s="683" t="str">
        <f t="shared" ref="J87" si="361">IF(J86="","",J$69*J86*24)</f>
        <v/>
      </c>
      <c r="K87" s="683" t="str">
        <f t="shared" ref="K87" si="362">IF(K86="","",K$69*K86*24)</f>
        <v/>
      </c>
      <c r="L87" s="683" t="str">
        <f t="shared" ref="L87" si="363">IF(L86="","",L$69*L86*24)</f>
        <v/>
      </c>
      <c r="M87" s="683" t="str">
        <f t="shared" ref="M87" si="364">IF(M86="","",M$69*M86*24)</f>
        <v/>
      </c>
      <c r="N87" s="683" t="str">
        <f t="shared" ref="N87" si="365">IF(N86="","",N$69*N86*24)</f>
        <v/>
      </c>
      <c r="O87" s="685" t="str">
        <f t="shared" ref="O87" si="366">IF(O86="","",O$69*O86*24)</f>
        <v/>
      </c>
      <c r="P87" s="511" t="str">
        <f t="shared" si="287"/>
        <v>-</v>
      </c>
      <c r="Q87" s="6" t="str">
        <f t="shared" si="288"/>
        <v>-</v>
      </c>
    </row>
    <row r="88" spans="1:17" ht="15.75" x14ac:dyDescent="0.25">
      <c r="A88" s="864"/>
      <c r="B88" s="828" t="s">
        <v>1</v>
      </c>
      <c r="C88" s="16" t="s">
        <v>21</v>
      </c>
      <c r="D88" s="549"/>
      <c r="E88" s="549"/>
      <c r="F88" s="549"/>
      <c r="G88" s="549"/>
      <c r="H88" s="549"/>
      <c r="I88" s="549"/>
      <c r="J88" s="549"/>
      <c r="K88" s="549"/>
      <c r="L88" s="549"/>
      <c r="M88" s="549"/>
      <c r="N88" s="549"/>
      <c r="O88" s="550"/>
      <c r="P88" s="512" t="str">
        <f t="shared" si="287"/>
        <v>-</v>
      </c>
      <c r="Q88" s="4" t="str">
        <f t="shared" si="288"/>
        <v>-</v>
      </c>
    </row>
    <row r="89" spans="1:17" ht="15.75" x14ac:dyDescent="0.25">
      <c r="A89" s="864"/>
      <c r="B89" s="829"/>
      <c r="C89" s="17" t="s">
        <v>22</v>
      </c>
      <c r="D89" s="763" t="str">
        <f>IF(D88="","",D$69*D88*24)</f>
        <v/>
      </c>
      <c r="E89" s="763" t="str">
        <f t="shared" ref="E89" si="367">IF(E88="","",E$69*E88*24)</f>
        <v/>
      </c>
      <c r="F89" s="684" t="str">
        <f t="shared" ref="F89" si="368">IF(F88="","",F$69*F88*24)</f>
        <v/>
      </c>
      <c r="G89" s="683" t="str">
        <f t="shared" ref="G89" si="369">IF(G88="","",G$69*G88*24)</f>
        <v/>
      </c>
      <c r="H89" s="683" t="str">
        <f t="shared" ref="H89" si="370">IF(H88="","",H$69*H88*24)</f>
        <v/>
      </c>
      <c r="I89" s="683" t="str">
        <f t="shared" ref="I89" si="371">IF(I88="","",I$69*I88*24)</f>
        <v/>
      </c>
      <c r="J89" s="683" t="str">
        <f t="shared" ref="J89" si="372">IF(J88="","",J$69*J88*24)</f>
        <v/>
      </c>
      <c r="K89" s="683" t="str">
        <f t="shared" ref="K89" si="373">IF(K88="","",K$69*K88*24)</f>
        <v/>
      </c>
      <c r="L89" s="683" t="str">
        <f t="shared" ref="L89" si="374">IF(L88="","",L$69*L88*24)</f>
        <v/>
      </c>
      <c r="M89" s="683" t="str">
        <f t="shared" ref="M89" si="375">IF(M88="","",M$69*M88*24)</f>
        <v/>
      </c>
      <c r="N89" s="683" t="str">
        <f t="shared" ref="N89" si="376">IF(N88="","",N$69*N88*24)</f>
        <v/>
      </c>
      <c r="O89" s="685" t="str">
        <f t="shared" ref="O89" si="377">IF(O88="","",O$69*O88*24)</f>
        <v/>
      </c>
      <c r="P89" s="511" t="str">
        <f t="shared" si="287"/>
        <v>-</v>
      </c>
      <c r="Q89" s="6" t="str">
        <f t="shared" si="288"/>
        <v>-</v>
      </c>
    </row>
    <row r="90" spans="1:17" ht="15.75" x14ac:dyDescent="0.25">
      <c r="A90" s="864"/>
      <c r="B90" s="828" t="str">
        <f>IF($B$28="OTHER (RENAME)","OTHER",$B$28)</f>
        <v>OTHER</v>
      </c>
      <c r="C90" s="19" t="s">
        <v>21</v>
      </c>
      <c r="D90" s="549"/>
      <c r="E90" s="549"/>
      <c r="F90" s="549"/>
      <c r="G90" s="549"/>
      <c r="H90" s="549"/>
      <c r="I90" s="549"/>
      <c r="J90" s="549"/>
      <c r="K90" s="549"/>
      <c r="L90" s="549"/>
      <c r="M90" s="549"/>
      <c r="N90" s="549"/>
      <c r="O90" s="550"/>
      <c r="P90" s="512" t="str">
        <f t="shared" si="287"/>
        <v>-</v>
      </c>
      <c r="Q90" s="4" t="str">
        <f t="shared" ref="Q90:Q91" si="378">IF(SUM(D90:O90)=0,"-",SUM(D90:O90))</f>
        <v>-</v>
      </c>
    </row>
    <row r="91" spans="1:17" ht="15.75" x14ac:dyDescent="0.25">
      <c r="A91" s="864"/>
      <c r="B91" s="829"/>
      <c r="C91" s="20" t="s">
        <v>22</v>
      </c>
      <c r="D91" s="764" t="str">
        <f>IF(D90="","",D$69*D90*24)</f>
        <v/>
      </c>
      <c r="E91" s="764" t="str">
        <f t="shared" ref="E91" si="379">IF(E90="","",E$69*E90*24)</f>
        <v/>
      </c>
      <c r="F91" s="687" t="str">
        <f t="shared" ref="F91" si="380">IF(F90="","",F$69*F90*24)</f>
        <v/>
      </c>
      <c r="G91" s="687" t="str">
        <f t="shared" ref="G91" si="381">IF(G90="","",G$69*G90*24)</f>
        <v/>
      </c>
      <c r="H91" s="687" t="str">
        <f t="shared" ref="H91" si="382">IF(H90="","",H$69*H90*24)</f>
        <v/>
      </c>
      <c r="I91" s="687" t="str">
        <f t="shared" ref="I91" si="383">IF(I90="","",I$69*I90*24)</f>
        <v/>
      </c>
      <c r="J91" s="687" t="str">
        <f t="shared" ref="J91" si="384">IF(J90="","",J$69*J90*24)</f>
        <v/>
      </c>
      <c r="K91" s="687" t="str">
        <f t="shared" ref="K91" si="385">IF(K90="","",K$69*K90*24)</f>
        <v/>
      </c>
      <c r="L91" s="687" t="str">
        <f t="shared" ref="L91" si="386">IF(L90="","",L$69*L90*24)</f>
        <v/>
      </c>
      <c r="M91" s="687" t="str">
        <f t="shared" ref="M91" si="387">IF(M90="","",M$69*M90*24)</f>
        <v/>
      </c>
      <c r="N91" s="687" t="str">
        <f t="shared" ref="N91" si="388">IF(N90="","",N$69*N90*24)</f>
        <v/>
      </c>
      <c r="O91" s="688" t="str">
        <f t="shared" ref="O91" si="389">IF(O90="","",O$69*O90*24)</f>
        <v/>
      </c>
      <c r="P91" s="511" t="str">
        <f t="shared" si="287"/>
        <v>-</v>
      </c>
      <c r="Q91" s="6" t="str">
        <f t="shared" si="378"/>
        <v>-</v>
      </c>
    </row>
    <row r="92" spans="1:17" ht="15.75" x14ac:dyDescent="0.25">
      <c r="A92" s="864"/>
      <c r="B92" s="828" t="str">
        <f>IF($B$30="OTHER (RENAME)","OTHER",$B$30)</f>
        <v>OTHER</v>
      </c>
      <c r="C92" s="16" t="s">
        <v>21</v>
      </c>
      <c r="D92" s="549"/>
      <c r="E92" s="549"/>
      <c r="F92" s="549"/>
      <c r="G92" s="549"/>
      <c r="H92" s="549"/>
      <c r="I92" s="549"/>
      <c r="J92" s="549"/>
      <c r="K92" s="549"/>
      <c r="L92" s="549"/>
      <c r="M92" s="549"/>
      <c r="N92" s="549"/>
      <c r="O92" s="550"/>
      <c r="P92" s="512" t="str">
        <f t="shared" si="287"/>
        <v>-</v>
      </c>
      <c r="Q92" s="4" t="str">
        <f t="shared" ref="Q92:Q97" si="390">IF(SUM(D92:O92)=0,"-",SUM(D92:O92))</f>
        <v>-</v>
      </c>
    </row>
    <row r="93" spans="1:17" ht="15.75" x14ac:dyDescent="0.25">
      <c r="A93" s="864"/>
      <c r="B93" s="829"/>
      <c r="C93" s="17" t="s">
        <v>22</v>
      </c>
      <c r="D93" s="764" t="str">
        <f>IF(D92="","",D$69*D92*24)</f>
        <v/>
      </c>
      <c r="E93" s="764" t="str">
        <f t="shared" ref="E93" si="391">IF(E92="","",E$69*E92*24)</f>
        <v/>
      </c>
      <c r="F93" s="687" t="str">
        <f t="shared" ref="F93" si="392">IF(F92="","",F$69*F92*24)</f>
        <v/>
      </c>
      <c r="G93" s="687" t="str">
        <f t="shared" ref="G93" si="393">IF(G92="","",G$69*G92*24)</f>
        <v/>
      </c>
      <c r="H93" s="687" t="str">
        <f t="shared" ref="H93" si="394">IF(H92="","",H$69*H92*24)</f>
        <v/>
      </c>
      <c r="I93" s="687" t="str">
        <f t="shared" ref="I93" si="395">IF(I92="","",I$69*I92*24)</f>
        <v/>
      </c>
      <c r="J93" s="687" t="str">
        <f t="shared" ref="J93" si="396">IF(J92="","",J$69*J92*24)</f>
        <v/>
      </c>
      <c r="K93" s="687" t="str">
        <f t="shared" ref="K93" si="397">IF(K92="","",K$69*K92*24)</f>
        <v/>
      </c>
      <c r="L93" s="687" t="str">
        <f t="shared" ref="L93" si="398">IF(L92="","",L$69*L92*24)</f>
        <v/>
      </c>
      <c r="M93" s="687" t="str">
        <f t="shared" ref="M93" si="399">IF(M92="","",M$69*M92*24)</f>
        <v/>
      </c>
      <c r="N93" s="687" t="str">
        <f t="shared" ref="N93" si="400">IF(N92="","",N$69*N92*24)</f>
        <v/>
      </c>
      <c r="O93" s="688" t="str">
        <f t="shared" ref="O93" si="401">IF(O92="","",O$69*O92*24)</f>
        <v/>
      </c>
      <c r="P93" s="511" t="str">
        <f t="shared" si="287"/>
        <v>-</v>
      </c>
      <c r="Q93" s="6" t="str">
        <f t="shared" si="390"/>
        <v>-</v>
      </c>
    </row>
    <row r="94" spans="1:17" ht="15.75" x14ac:dyDescent="0.25">
      <c r="A94" s="864"/>
      <c r="B94" s="828" t="str">
        <f>IF($B$32="OTHER (RENAME)","OTHER",$B$32)</f>
        <v>OTHER</v>
      </c>
      <c r="C94" s="16" t="s">
        <v>21</v>
      </c>
      <c r="D94" s="549"/>
      <c r="E94" s="549"/>
      <c r="F94" s="549"/>
      <c r="G94" s="549"/>
      <c r="H94" s="549"/>
      <c r="I94" s="549"/>
      <c r="J94" s="549"/>
      <c r="K94" s="549"/>
      <c r="L94" s="549"/>
      <c r="M94" s="549"/>
      <c r="N94" s="549"/>
      <c r="O94" s="550"/>
      <c r="P94" s="512" t="str">
        <f t="shared" si="287"/>
        <v>-</v>
      </c>
      <c r="Q94" s="4" t="str">
        <f t="shared" si="390"/>
        <v>-</v>
      </c>
    </row>
    <row r="95" spans="1:17" ht="15.75" x14ac:dyDescent="0.25">
      <c r="A95" s="864"/>
      <c r="B95" s="829"/>
      <c r="C95" s="17" t="s">
        <v>22</v>
      </c>
      <c r="D95" s="764" t="str">
        <f>IF(D94="","",D$69*D94*24)</f>
        <v/>
      </c>
      <c r="E95" s="764" t="str">
        <f t="shared" ref="E95" si="402">IF(E94="","",E$69*E94*24)</f>
        <v/>
      </c>
      <c r="F95" s="687" t="str">
        <f t="shared" ref="F95" si="403">IF(F94="","",F$69*F94*24)</f>
        <v/>
      </c>
      <c r="G95" s="687" t="str">
        <f t="shared" ref="G95" si="404">IF(G94="","",G$69*G94*24)</f>
        <v/>
      </c>
      <c r="H95" s="687" t="str">
        <f t="shared" ref="H95" si="405">IF(H94="","",H$69*H94*24)</f>
        <v/>
      </c>
      <c r="I95" s="687" t="str">
        <f t="shared" ref="I95" si="406">IF(I94="","",I$69*I94*24)</f>
        <v/>
      </c>
      <c r="J95" s="687" t="str">
        <f t="shared" ref="J95" si="407">IF(J94="","",J$69*J94*24)</f>
        <v/>
      </c>
      <c r="K95" s="687" t="str">
        <f t="shared" ref="K95" si="408">IF(K94="","",K$69*K94*24)</f>
        <v/>
      </c>
      <c r="L95" s="687" t="str">
        <f t="shared" ref="L95" si="409">IF(L94="","",L$69*L94*24)</f>
        <v/>
      </c>
      <c r="M95" s="687" t="str">
        <f t="shared" ref="M95" si="410">IF(M94="","",M$69*M94*24)</f>
        <v/>
      </c>
      <c r="N95" s="687" t="str">
        <f t="shared" ref="N95" si="411">IF(N94="","",N$69*N94*24)</f>
        <v/>
      </c>
      <c r="O95" s="688" t="str">
        <f t="shared" ref="O95" si="412">IF(O94="","",O$69*O94*24)</f>
        <v/>
      </c>
      <c r="P95" s="511" t="str">
        <f t="shared" si="287"/>
        <v>-</v>
      </c>
      <c r="Q95" s="6" t="str">
        <f t="shared" si="390"/>
        <v>-</v>
      </c>
    </row>
    <row r="96" spans="1:17" ht="15.75" x14ac:dyDescent="0.25">
      <c r="A96" s="864"/>
      <c r="B96" s="828" t="str">
        <f>IF($B$34="OTHER (RENAME)","OTHER",$B$34)</f>
        <v>OTHER</v>
      </c>
      <c r="C96" s="16" t="s">
        <v>21</v>
      </c>
      <c r="D96" s="549"/>
      <c r="E96" s="549"/>
      <c r="F96" s="549"/>
      <c r="G96" s="549"/>
      <c r="H96" s="549"/>
      <c r="I96" s="549"/>
      <c r="J96" s="549"/>
      <c r="K96" s="549"/>
      <c r="L96" s="549"/>
      <c r="M96" s="549"/>
      <c r="N96" s="549"/>
      <c r="O96" s="550"/>
      <c r="P96" s="512" t="str">
        <f t="shared" si="287"/>
        <v>-</v>
      </c>
      <c r="Q96" s="4" t="str">
        <f t="shared" si="390"/>
        <v>-</v>
      </c>
    </row>
    <row r="97" spans="1:17" ht="15.75" x14ac:dyDescent="0.25">
      <c r="A97" s="864"/>
      <c r="B97" s="829"/>
      <c r="C97" s="17" t="s">
        <v>22</v>
      </c>
      <c r="D97" s="764" t="str">
        <f>IF(D96="","",D$69*D96*24)</f>
        <v/>
      </c>
      <c r="E97" s="764" t="str">
        <f t="shared" ref="E97" si="413">IF(E96="","",E$69*E96*24)</f>
        <v/>
      </c>
      <c r="F97" s="687" t="str">
        <f t="shared" ref="F97" si="414">IF(F96="","",F$69*F96*24)</f>
        <v/>
      </c>
      <c r="G97" s="687" t="str">
        <f t="shared" ref="G97" si="415">IF(G96="","",G$69*G96*24)</f>
        <v/>
      </c>
      <c r="H97" s="687" t="str">
        <f t="shared" ref="H97" si="416">IF(H96="","",H$69*H96*24)</f>
        <v/>
      </c>
      <c r="I97" s="687" t="str">
        <f t="shared" ref="I97" si="417">IF(I96="","",I$69*I96*24)</f>
        <v/>
      </c>
      <c r="J97" s="687" t="str">
        <f t="shared" ref="J97" si="418">IF(J96="","",J$69*J96*24)</f>
        <v/>
      </c>
      <c r="K97" s="687" t="str">
        <f t="shared" ref="K97" si="419">IF(K96="","",K$69*K96*24)</f>
        <v/>
      </c>
      <c r="L97" s="687" t="str">
        <f t="shared" ref="L97" si="420">IF(L96="","",L$69*L96*24)</f>
        <v/>
      </c>
      <c r="M97" s="687" t="str">
        <f t="shared" ref="M97" si="421">IF(M96="","",M$69*M96*24)</f>
        <v/>
      </c>
      <c r="N97" s="687" t="str">
        <f t="shared" ref="N97" si="422">IF(N96="","",N$69*N96*24)</f>
        <v/>
      </c>
      <c r="O97" s="688" t="str">
        <f t="shared" ref="O97" si="423">IF(O96="","",O$69*O96*24)</f>
        <v/>
      </c>
      <c r="P97" s="511" t="str">
        <f t="shared" si="287"/>
        <v>-</v>
      </c>
      <c r="Q97" s="6" t="str">
        <f t="shared" si="390"/>
        <v>-</v>
      </c>
    </row>
    <row r="98" spans="1:17" ht="15.75" x14ac:dyDescent="0.25">
      <c r="A98" s="864"/>
      <c r="B98" s="830" t="s">
        <v>16</v>
      </c>
      <c r="C98" s="830"/>
      <c r="D98" s="553" t="str">
        <f>IF(SUM(D70,D72,D74,D76,D78,D80,D82,D84,D86,D88,D90,D92,D94,D96)=0,"",SUM(D70,D72,D74,D76,D78,D80,D82,D84,D86,D88,D90,D92,D94,D96))</f>
        <v/>
      </c>
      <c r="E98" s="553" t="str">
        <f t="shared" ref="E98:O98" si="424">IF(SUM(E70,E72,E74,E76,E78,E80,E82,E84,E86,E88,E90,E92,E94,E96)=0,"",SUM(E70,E72,E74,E76,E78,E80,E82,E84,E86,E88,E90,E92,E94,E96))</f>
        <v/>
      </c>
      <c r="F98" s="553" t="str">
        <f t="shared" si="424"/>
        <v/>
      </c>
      <c r="G98" s="553" t="str">
        <f t="shared" si="424"/>
        <v/>
      </c>
      <c r="H98" s="553" t="str">
        <f t="shared" si="424"/>
        <v/>
      </c>
      <c r="I98" s="553" t="str">
        <f t="shared" si="424"/>
        <v/>
      </c>
      <c r="J98" s="553" t="str">
        <f t="shared" si="424"/>
        <v/>
      </c>
      <c r="K98" s="553" t="str">
        <f t="shared" si="424"/>
        <v/>
      </c>
      <c r="L98" s="553" t="str">
        <f t="shared" si="424"/>
        <v/>
      </c>
      <c r="M98" s="553" t="str">
        <f t="shared" si="424"/>
        <v/>
      </c>
      <c r="N98" s="553" t="str">
        <f t="shared" si="424"/>
        <v/>
      </c>
      <c r="O98" s="554" t="str">
        <f t="shared" si="424"/>
        <v/>
      </c>
      <c r="P98" s="512" t="str">
        <f t="shared" si="287"/>
        <v>-</v>
      </c>
      <c r="Q98" s="4" t="str">
        <f>IF(SUM(D98:O98)=0,"-",SUM(D98:O98))</f>
        <v>-</v>
      </c>
    </row>
    <row r="99" spans="1:17" ht="16.5" thickBot="1" x14ac:dyDescent="0.3">
      <c r="A99" s="865"/>
      <c r="B99" s="831" t="s">
        <v>17</v>
      </c>
      <c r="C99" s="831"/>
      <c r="D99" s="691" t="str">
        <f>IF(D98="","",SUM(D71,D73,D75,D77,D79,D81,D83,D85,D87,D89,D91,D93,D95,D97))</f>
        <v/>
      </c>
      <c r="E99" s="691" t="str">
        <f t="shared" ref="E99" si="425">IF(E98="","",SUM(E71,E73,E75,E77,E79,E81,E83,E85,E87,E89,E91,E93,E95,E97))</f>
        <v/>
      </c>
      <c r="F99" s="692" t="str">
        <f t="shared" ref="F99" si="426">IF(F98="","",SUM(F71,F73,F75,F77,F79,F81,F83,F85,F87,F89,F91,F93,F95,F97))</f>
        <v/>
      </c>
      <c r="G99" s="691" t="str">
        <f t="shared" ref="G99" si="427">IF(G98="","",SUM(G71,G73,G75,G77,G79,G81,G83,G85,G87,G89,G91,G93,G95,G97))</f>
        <v/>
      </c>
      <c r="H99" s="691" t="str">
        <f t="shared" ref="H99" si="428">IF(H98="","",SUM(H71,H73,H75,H77,H79,H81,H83,H85,H87,H89,H91,H93,H95,H97))</f>
        <v/>
      </c>
      <c r="I99" s="691" t="str">
        <f t="shared" ref="I99" si="429">IF(I98="","",SUM(I71,I73,I75,I77,I79,I81,I83,I85,I87,I89,I91,I93,I95,I97))</f>
        <v/>
      </c>
      <c r="J99" s="691" t="str">
        <f t="shared" ref="J99" si="430">IF(J98="","",SUM(J71,J73,J75,J77,J79,J81,J83,J85,J87,J89,J91,J93,J95,J97))</f>
        <v/>
      </c>
      <c r="K99" s="691" t="str">
        <f t="shared" ref="K99" si="431">IF(K98="","",SUM(K71,K73,K75,K77,K79,K81,K83,K85,K87,K89,K91,K93,K95,K97))</f>
        <v/>
      </c>
      <c r="L99" s="691" t="str">
        <f t="shared" ref="L99" si="432">IF(L98="","",SUM(L71,L73,L75,L77,L79,L81,L83,L85,L87,L89,L91,L93,L95,L97))</f>
        <v/>
      </c>
      <c r="M99" s="691" t="str">
        <f t="shared" ref="M99" si="433">IF(M98="","",SUM(M71,M73,M75,M77,M79,M81,M83,M85,M87,M89,M91,M93,M95,M97))</f>
        <v/>
      </c>
      <c r="N99" s="691" t="str">
        <f t="shared" ref="N99" si="434">IF(N98="","",SUM(N71,N73,N75,N77,N79,N81,N83,N85,N87,N89,N91,N93,N95,N97))</f>
        <v/>
      </c>
      <c r="O99" s="693" t="str">
        <f t="shared" ref="O99" si="435">IF(O98="","",SUM(O71,O73,O75,O77,O79,O81,O83,O85,O87,O89,O91,O93,O95,O97))</f>
        <v/>
      </c>
      <c r="P99" s="525" t="str">
        <f t="shared" si="287"/>
        <v>-</v>
      </c>
      <c r="Q99" s="7" t="str">
        <f>IF(SUM(D99:O99)=0,"-",SUM(D99:O99))</f>
        <v>-</v>
      </c>
    </row>
    <row r="100" spans="1:17" ht="15.75" x14ac:dyDescent="0.25">
      <c r="A100" s="872" t="s">
        <v>111</v>
      </c>
      <c r="B100" s="822" t="s">
        <v>3</v>
      </c>
      <c r="C100" s="822"/>
      <c r="D100" s="547" t="str">
        <f>IF('2023DATA'!BH3=0,"",'2023DATA'!BH3)</f>
        <v/>
      </c>
      <c r="E100" s="547" t="str">
        <f>IF('2023DATA'!BI3=0,"",'2023DATA'!BI3)</f>
        <v/>
      </c>
      <c r="F100" s="547" t="str">
        <f>IF('2023DATA'!BJ3=0,"",'2023DATA'!BJ3)</f>
        <v/>
      </c>
      <c r="G100" s="547" t="str">
        <f>IF('2023DATA'!BK3=0,"",'2023DATA'!BK3)</f>
        <v/>
      </c>
      <c r="H100" s="547" t="str">
        <f>IF('2023DATA'!BL3=0,"",'2023DATA'!BL3)</f>
        <v/>
      </c>
      <c r="I100" s="547" t="str">
        <f>IF('2023DATA'!BM3=0,"",'2023DATA'!BM3)</f>
        <v/>
      </c>
      <c r="J100" s="547" t="str">
        <f>IF('2023DATA'!BN3=0,"",'2023DATA'!BN3)</f>
        <v/>
      </c>
      <c r="K100" s="547" t="str">
        <f>IF('2023DATA'!BO3=0,"",'2023DATA'!BO3)</f>
        <v/>
      </c>
      <c r="L100" s="547" t="str">
        <f>IF('2023DATA'!BP3=0,"",'2023DATA'!BP3)</f>
        <v/>
      </c>
      <c r="M100" s="547" t="str">
        <f>IF('2023DATA2'!BQ3=0,"",'2023DATA2'!BQ3)</f>
        <v/>
      </c>
      <c r="N100" s="547" t="str">
        <f>IF('2023DATA2'!BR3=0,"",'2023DATA2'!BR3)</f>
        <v/>
      </c>
      <c r="O100" s="548" t="str">
        <f>IF('2023DATA2'!BS3=0,"",'2023DATA2'!BS3)</f>
        <v/>
      </c>
      <c r="P100" s="880"/>
      <c r="Q100" s="881"/>
    </row>
    <row r="101" spans="1:17" ht="15.75" x14ac:dyDescent="0.25">
      <c r="A101" s="873"/>
      <c r="B101" s="828" t="s">
        <v>7</v>
      </c>
      <c r="C101" s="16" t="s">
        <v>21</v>
      </c>
      <c r="D101" s="549"/>
      <c r="E101" s="549"/>
      <c r="F101" s="549"/>
      <c r="G101" s="549"/>
      <c r="H101" s="549"/>
      <c r="I101" s="549"/>
      <c r="J101" s="549"/>
      <c r="K101" s="549"/>
      <c r="L101" s="549"/>
      <c r="M101" s="549"/>
      <c r="N101" s="549"/>
      <c r="O101" s="550"/>
      <c r="P101" s="512" t="str">
        <f t="shared" ref="P101:P130" si="436">IF(Q101="-","-",Q101/12)</f>
        <v>-</v>
      </c>
      <c r="Q101" s="4" t="str">
        <f t="shared" ref="Q101:Q120" si="437">IF(SUM(D101:O101)=0,"-",SUM(D101:O101))</f>
        <v>-</v>
      </c>
    </row>
    <row r="102" spans="1:17" ht="15.75" x14ac:dyDescent="0.25">
      <c r="A102" s="873"/>
      <c r="B102" s="829"/>
      <c r="C102" s="17" t="s">
        <v>22</v>
      </c>
      <c r="D102" s="763" t="str">
        <f>IF(D101="","",D$100*D101*24)</f>
        <v/>
      </c>
      <c r="E102" s="763" t="str">
        <f t="shared" ref="E102:O102" si="438">IF(E101="","",E$100*E101*24)</f>
        <v/>
      </c>
      <c r="F102" s="683" t="str">
        <f t="shared" si="438"/>
        <v/>
      </c>
      <c r="G102" s="683" t="str">
        <f t="shared" si="438"/>
        <v/>
      </c>
      <c r="H102" s="683" t="str">
        <f t="shared" si="438"/>
        <v/>
      </c>
      <c r="I102" s="683" t="str">
        <f t="shared" si="438"/>
        <v/>
      </c>
      <c r="J102" s="683" t="str">
        <f t="shared" si="438"/>
        <v/>
      </c>
      <c r="K102" s="683" t="str">
        <f t="shared" si="438"/>
        <v/>
      </c>
      <c r="L102" s="683" t="str">
        <f t="shared" si="438"/>
        <v/>
      </c>
      <c r="M102" s="683" t="str">
        <f t="shared" si="438"/>
        <v/>
      </c>
      <c r="N102" s="683" t="str">
        <f t="shared" si="438"/>
        <v/>
      </c>
      <c r="O102" s="686" t="str">
        <f t="shared" si="438"/>
        <v/>
      </c>
      <c r="P102" s="511" t="str">
        <f t="shared" si="436"/>
        <v>-</v>
      </c>
      <c r="Q102" s="6" t="str">
        <f t="shared" si="437"/>
        <v>-</v>
      </c>
    </row>
    <row r="103" spans="1:17" ht="15.75" x14ac:dyDescent="0.25">
      <c r="A103" s="873"/>
      <c r="B103" s="827" t="s">
        <v>8</v>
      </c>
      <c r="C103" s="18" t="s">
        <v>21</v>
      </c>
      <c r="D103" s="549"/>
      <c r="E103" s="549"/>
      <c r="F103" s="549"/>
      <c r="G103" s="549"/>
      <c r="H103" s="549"/>
      <c r="I103" s="549"/>
      <c r="J103" s="549"/>
      <c r="K103" s="549"/>
      <c r="L103" s="549"/>
      <c r="M103" s="549"/>
      <c r="N103" s="549"/>
      <c r="O103" s="550"/>
      <c r="P103" s="512" t="str">
        <f t="shared" si="436"/>
        <v>-</v>
      </c>
      <c r="Q103" s="4" t="str">
        <f t="shared" si="437"/>
        <v>-</v>
      </c>
    </row>
    <row r="104" spans="1:17" ht="15.75" x14ac:dyDescent="0.25">
      <c r="A104" s="873"/>
      <c r="B104" s="827"/>
      <c r="C104" s="18" t="s">
        <v>22</v>
      </c>
      <c r="D104" s="763" t="str">
        <f>IF(D103=0,"",(D100+IF(D$4="CA",DATA!$B$22,DATA!$B$23))*D103*24)</f>
        <v/>
      </c>
      <c r="E104" s="763" t="str">
        <f>IF(E103=0,"",(E100+IF(E$4="CA",DATA!$B$22,DATA!$B$23))*E103*24)</f>
        <v/>
      </c>
      <c r="F104" s="763" t="str">
        <f>IF(F103=0,"",(F100+IF(F$4="CA",DATA!$B$22,DATA!$B$23))*F103*24)</f>
        <v/>
      </c>
      <c r="G104" s="763" t="str">
        <f>IF(G103=0,"",(G100+IF(G$4="CA",DATA!$B$22,DATA!$B$23))*G103*24)</f>
        <v/>
      </c>
      <c r="H104" s="763" t="str">
        <f>IF(H103=0,"",(H100+IF(H$4="CA",DATA!$B$22,DATA!$B$23))*H103*24)</f>
        <v/>
      </c>
      <c r="I104" s="763" t="str">
        <f>IF(I103=0,"",(I100+IF(I$4="CA",DATA!$B$22,DATA!$B$23))*I103*24)</f>
        <v/>
      </c>
      <c r="J104" s="763" t="str">
        <f>IF(J103=0,"",(J100+IF(J$4="CA",DATA!$B$22,DATA!$B$23))*J103*24)</f>
        <v/>
      </c>
      <c r="K104" s="763" t="str">
        <f>IF(K103=0,"",(K100+IF(K$4="CA",DATA!$B$22,DATA!$B$23))*K103*24)</f>
        <v/>
      </c>
      <c r="L104" s="763" t="str">
        <f>IF(L103=0,"",(L100+IF(L$4="CA",DATA!$B$22,DATA!$B$23))*L103*24)</f>
        <v/>
      </c>
      <c r="M104" s="763" t="str">
        <f>IF(M103=0,"",(M100+IF(M$4="CA",DATA!$B$22,DATA!$B$23))*M103*24)</f>
        <v/>
      </c>
      <c r="N104" s="763" t="str">
        <f>IF(N103=0,"",(N100+IF(N$4="CA",DATA!$B$22,DATA!$B$23))*N103*24)</f>
        <v/>
      </c>
      <c r="O104" s="776" t="str">
        <f>IF(O103=0,"",(O100+IF(O$4="CA",DATA!$B$22,DATA!$B$23))*O103*24)</f>
        <v/>
      </c>
      <c r="P104" s="511" t="str">
        <f t="shared" si="436"/>
        <v>-</v>
      </c>
      <c r="Q104" s="6" t="str">
        <f t="shared" si="437"/>
        <v>-</v>
      </c>
    </row>
    <row r="105" spans="1:17" ht="15.75" x14ac:dyDescent="0.25">
      <c r="A105" s="873"/>
      <c r="B105" s="828" t="s">
        <v>9</v>
      </c>
      <c r="C105" s="16" t="s">
        <v>21</v>
      </c>
      <c r="D105" s="549"/>
      <c r="E105" s="549"/>
      <c r="F105" s="549"/>
      <c r="G105" s="549"/>
      <c r="H105" s="549"/>
      <c r="I105" s="549"/>
      <c r="J105" s="549"/>
      <c r="K105" s="549"/>
      <c r="L105" s="549"/>
      <c r="M105" s="549"/>
      <c r="N105" s="549"/>
      <c r="O105" s="550"/>
      <c r="P105" s="512" t="str">
        <f t="shared" si="436"/>
        <v>-</v>
      </c>
      <c r="Q105" s="4" t="str">
        <f t="shared" si="437"/>
        <v>-</v>
      </c>
    </row>
    <row r="106" spans="1:17" ht="15.75" x14ac:dyDescent="0.25">
      <c r="A106" s="873"/>
      <c r="B106" s="829"/>
      <c r="C106" s="17" t="s">
        <v>22</v>
      </c>
      <c r="D106" s="763" t="str">
        <f>IF(D105="","",D$100*D105*24)</f>
        <v/>
      </c>
      <c r="E106" s="763" t="str">
        <f t="shared" ref="E106" si="439">IF(E105="","",E$100*E105*24)</f>
        <v/>
      </c>
      <c r="F106" s="684" t="str">
        <f t="shared" ref="F106" si="440">IF(F105="","",F$100*F105*24)</f>
        <v/>
      </c>
      <c r="G106" s="683" t="str">
        <f t="shared" ref="G106" si="441">IF(G105="","",G$100*G105*24)</f>
        <v/>
      </c>
      <c r="H106" s="683" t="str">
        <f t="shared" ref="H106" si="442">IF(H105="","",H$100*H105*24)</f>
        <v/>
      </c>
      <c r="I106" s="683" t="str">
        <f t="shared" ref="I106" si="443">IF(I105="","",I$100*I105*24)</f>
        <v/>
      </c>
      <c r="J106" s="683" t="str">
        <f t="shared" ref="J106" si="444">IF(J105="","",J$100*J105*24)</f>
        <v/>
      </c>
      <c r="K106" s="683" t="str">
        <f t="shared" ref="K106" si="445">IF(K105="","",K$100*K105*24)</f>
        <v/>
      </c>
      <c r="L106" s="683" t="str">
        <f t="shared" ref="L106" si="446">IF(L105="","",L$100*L105*24)</f>
        <v/>
      </c>
      <c r="M106" s="683" t="str">
        <f t="shared" ref="M106" si="447">IF(M105="","",M$100*M105*24)</f>
        <v/>
      </c>
      <c r="N106" s="683" t="str">
        <f t="shared" ref="N106" si="448">IF(N105="","",N$100*N105*24)</f>
        <v/>
      </c>
      <c r="O106" s="685" t="str">
        <f t="shared" ref="O106" si="449">IF(O105="","",O$100*O105*24)</f>
        <v/>
      </c>
      <c r="P106" s="511" t="str">
        <f t="shared" si="436"/>
        <v>-</v>
      </c>
      <c r="Q106" s="6" t="str">
        <f t="shared" si="437"/>
        <v>-</v>
      </c>
    </row>
    <row r="107" spans="1:17" ht="15.75" x14ac:dyDescent="0.25">
      <c r="A107" s="873"/>
      <c r="B107" s="827" t="s">
        <v>10</v>
      </c>
      <c r="C107" s="18" t="s">
        <v>21</v>
      </c>
      <c r="D107" s="549"/>
      <c r="E107" s="549"/>
      <c r="F107" s="549"/>
      <c r="G107" s="549"/>
      <c r="H107" s="549"/>
      <c r="I107" s="549"/>
      <c r="J107" s="549"/>
      <c r="K107" s="549"/>
      <c r="L107" s="549"/>
      <c r="M107" s="549"/>
      <c r="N107" s="549"/>
      <c r="O107" s="550"/>
      <c r="P107" s="512" t="str">
        <f t="shared" si="436"/>
        <v>-</v>
      </c>
      <c r="Q107" s="4" t="str">
        <f t="shared" si="437"/>
        <v>-</v>
      </c>
    </row>
    <row r="108" spans="1:17" ht="15.75" x14ac:dyDescent="0.25">
      <c r="A108" s="873"/>
      <c r="B108" s="827"/>
      <c r="C108" s="18" t="s">
        <v>22</v>
      </c>
      <c r="D108" s="763" t="str">
        <f>IF(D107="","",D$100*D107*24)</f>
        <v/>
      </c>
      <c r="E108" s="763" t="str">
        <f t="shared" ref="E108" si="450">IF(E107="","",E$100*E107*24)</f>
        <v/>
      </c>
      <c r="F108" s="684" t="str">
        <f t="shared" ref="F108" si="451">IF(F107="","",F$100*F107*24)</f>
        <v/>
      </c>
      <c r="G108" s="683" t="str">
        <f t="shared" ref="G108" si="452">IF(G107="","",G$100*G107*24)</f>
        <v/>
      </c>
      <c r="H108" s="683" t="str">
        <f t="shared" ref="H108" si="453">IF(H107="","",H$100*H107*24)</f>
        <v/>
      </c>
      <c r="I108" s="683" t="str">
        <f t="shared" ref="I108" si="454">IF(I107="","",I$100*I107*24)</f>
        <v/>
      </c>
      <c r="J108" s="683" t="str">
        <f t="shared" ref="J108" si="455">IF(J107="","",J$100*J107*24)</f>
        <v/>
      </c>
      <c r="K108" s="683" t="str">
        <f t="shared" ref="K108" si="456">IF(K107="","",K$100*K107*24)</f>
        <v/>
      </c>
      <c r="L108" s="683" t="str">
        <f t="shared" ref="L108" si="457">IF(L107="","",L$100*L107*24)</f>
        <v/>
      </c>
      <c r="M108" s="683" t="str">
        <f t="shared" ref="M108" si="458">IF(M107="","",M$100*M107*24)</f>
        <v/>
      </c>
      <c r="N108" s="683" t="str">
        <f t="shared" ref="N108" si="459">IF(N107="","",N$100*N107*24)</f>
        <v/>
      </c>
      <c r="O108" s="685" t="str">
        <f t="shared" ref="O108" si="460">IF(O107="","",O$100*O107*24)</f>
        <v/>
      </c>
      <c r="P108" s="511" t="str">
        <f t="shared" si="436"/>
        <v>-</v>
      </c>
      <c r="Q108" s="6" t="str">
        <f t="shared" si="437"/>
        <v>-</v>
      </c>
    </row>
    <row r="109" spans="1:17" ht="15.75" x14ac:dyDescent="0.25">
      <c r="A109" s="873"/>
      <c r="B109" s="828" t="s">
        <v>11</v>
      </c>
      <c r="C109" s="16" t="s">
        <v>21</v>
      </c>
      <c r="D109" s="549"/>
      <c r="E109" s="549"/>
      <c r="F109" s="549"/>
      <c r="G109" s="549"/>
      <c r="H109" s="549"/>
      <c r="I109" s="549"/>
      <c r="J109" s="549"/>
      <c r="K109" s="549"/>
      <c r="L109" s="549"/>
      <c r="M109" s="549"/>
      <c r="N109" s="549"/>
      <c r="O109" s="550"/>
      <c r="P109" s="512" t="str">
        <f t="shared" si="436"/>
        <v>-</v>
      </c>
      <c r="Q109" s="4" t="str">
        <f t="shared" si="437"/>
        <v>-</v>
      </c>
    </row>
    <row r="110" spans="1:17" ht="15.75" x14ac:dyDescent="0.25">
      <c r="A110" s="873"/>
      <c r="B110" s="829"/>
      <c r="C110" s="17" t="s">
        <v>22</v>
      </c>
      <c r="D110" s="763" t="str">
        <f>IF(D109="","",D$100*D109*24)</f>
        <v/>
      </c>
      <c r="E110" s="763" t="str">
        <f t="shared" ref="E110" si="461">IF(E109="","",E$100*E109*24)</f>
        <v/>
      </c>
      <c r="F110" s="684" t="str">
        <f t="shared" ref="F110" si="462">IF(F109="","",F$100*F109*24)</f>
        <v/>
      </c>
      <c r="G110" s="683" t="str">
        <f t="shared" ref="G110" si="463">IF(G109="","",G$100*G109*24)</f>
        <v/>
      </c>
      <c r="H110" s="683" t="str">
        <f t="shared" ref="H110" si="464">IF(H109="","",H$100*H109*24)</f>
        <v/>
      </c>
      <c r="I110" s="683" t="str">
        <f t="shared" ref="I110" si="465">IF(I109="","",I$100*I109*24)</f>
        <v/>
      </c>
      <c r="J110" s="683" t="str">
        <f t="shared" ref="J110" si="466">IF(J109="","",J$100*J109*24)</f>
        <v/>
      </c>
      <c r="K110" s="683" t="str">
        <f t="shared" ref="K110" si="467">IF(K109="","",K$100*K109*24)</f>
        <v/>
      </c>
      <c r="L110" s="683" t="str">
        <f t="shared" ref="L110" si="468">IF(L109="","",L$100*L109*24)</f>
        <v/>
      </c>
      <c r="M110" s="683" t="str">
        <f t="shared" ref="M110" si="469">IF(M109="","",M$100*M109*24)</f>
        <v/>
      </c>
      <c r="N110" s="683" t="str">
        <f t="shared" ref="N110" si="470">IF(N109="","",N$100*N109*24)</f>
        <v/>
      </c>
      <c r="O110" s="685" t="str">
        <f t="shared" ref="O110" si="471">IF(O109="","",O$100*O109*24)</f>
        <v/>
      </c>
      <c r="P110" s="511" t="str">
        <f t="shared" si="436"/>
        <v>-</v>
      </c>
      <c r="Q110" s="6" t="str">
        <f t="shared" si="437"/>
        <v>-</v>
      </c>
    </row>
    <row r="111" spans="1:17" ht="15.75" x14ac:dyDescent="0.25">
      <c r="A111" s="873"/>
      <c r="B111" s="827" t="s">
        <v>12</v>
      </c>
      <c r="C111" s="18" t="s">
        <v>21</v>
      </c>
      <c r="D111" s="549"/>
      <c r="E111" s="549"/>
      <c r="F111" s="549"/>
      <c r="G111" s="549"/>
      <c r="H111" s="549"/>
      <c r="I111" s="549"/>
      <c r="J111" s="549"/>
      <c r="K111" s="549"/>
      <c r="L111" s="549"/>
      <c r="M111" s="549"/>
      <c r="N111" s="549"/>
      <c r="O111" s="550"/>
      <c r="P111" s="512" t="str">
        <f t="shared" si="436"/>
        <v>-</v>
      </c>
      <c r="Q111" s="4" t="str">
        <f t="shared" si="437"/>
        <v>-</v>
      </c>
    </row>
    <row r="112" spans="1:17" ht="15.75" x14ac:dyDescent="0.25">
      <c r="A112" s="873"/>
      <c r="B112" s="827"/>
      <c r="C112" s="18" t="s">
        <v>22</v>
      </c>
      <c r="D112" s="763" t="str">
        <f>IF(D111="","",D$100*D111*24)</f>
        <v/>
      </c>
      <c r="E112" s="763" t="str">
        <f t="shared" ref="E112" si="472">IF(E111="","",E$100*E111*24)</f>
        <v/>
      </c>
      <c r="F112" s="684" t="str">
        <f t="shared" ref="F112" si="473">IF(F111="","",F$100*F111*24)</f>
        <v/>
      </c>
      <c r="G112" s="683" t="str">
        <f t="shared" ref="G112" si="474">IF(G111="","",G$100*G111*24)</f>
        <v/>
      </c>
      <c r="H112" s="683" t="str">
        <f t="shared" ref="H112" si="475">IF(H111="","",H$100*H111*24)</f>
        <v/>
      </c>
      <c r="I112" s="683" t="str">
        <f t="shared" ref="I112" si="476">IF(I111="","",I$100*I111*24)</f>
        <v/>
      </c>
      <c r="J112" s="683" t="str">
        <f t="shared" ref="J112" si="477">IF(J111="","",J$100*J111*24)</f>
        <v/>
      </c>
      <c r="K112" s="683" t="str">
        <f t="shared" ref="K112" si="478">IF(K111="","",K$100*K111*24)</f>
        <v/>
      </c>
      <c r="L112" s="683" t="str">
        <f t="shared" ref="L112" si="479">IF(L111="","",L$100*L111*24)</f>
        <v/>
      </c>
      <c r="M112" s="683" t="str">
        <f t="shared" ref="M112" si="480">IF(M111="","",M$100*M111*24)</f>
        <v/>
      </c>
      <c r="N112" s="683" t="str">
        <f t="shared" ref="N112" si="481">IF(N111="","",N$100*N111*24)</f>
        <v/>
      </c>
      <c r="O112" s="685" t="str">
        <f t="shared" ref="O112" si="482">IF(O111="","",O$100*O111*24)</f>
        <v/>
      </c>
      <c r="P112" s="511" t="str">
        <f t="shared" si="436"/>
        <v>-</v>
      </c>
      <c r="Q112" s="6" t="str">
        <f t="shared" si="437"/>
        <v>-</v>
      </c>
    </row>
    <row r="113" spans="1:17" ht="15.75" x14ac:dyDescent="0.25">
      <c r="A113" s="873"/>
      <c r="B113" s="828" t="s">
        <v>15</v>
      </c>
      <c r="C113" s="16" t="s">
        <v>21</v>
      </c>
      <c r="D113" s="549"/>
      <c r="E113" s="549"/>
      <c r="F113" s="549"/>
      <c r="G113" s="549"/>
      <c r="H113" s="549"/>
      <c r="I113" s="549"/>
      <c r="J113" s="549"/>
      <c r="K113" s="549"/>
      <c r="L113" s="549"/>
      <c r="M113" s="549"/>
      <c r="N113" s="549"/>
      <c r="O113" s="550"/>
      <c r="P113" s="512" t="str">
        <f t="shared" si="436"/>
        <v>-</v>
      </c>
      <c r="Q113" s="4" t="str">
        <f t="shared" si="437"/>
        <v>-</v>
      </c>
    </row>
    <row r="114" spans="1:17" ht="15.75" x14ac:dyDescent="0.25">
      <c r="A114" s="873"/>
      <c r="B114" s="829"/>
      <c r="C114" s="17" t="s">
        <v>22</v>
      </c>
      <c r="D114" s="763" t="str">
        <f>IF(D113="","",D$100*D113*24)</f>
        <v/>
      </c>
      <c r="E114" s="763" t="str">
        <f t="shared" ref="E114" si="483">IF(E113="","",E$100*E113*24)</f>
        <v/>
      </c>
      <c r="F114" s="684" t="str">
        <f t="shared" ref="F114" si="484">IF(F113="","",F$100*F113*24)</f>
        <v/>
      </c>
      <c r="G114" s="683" t="str">
        <f t="shared" ref="G114" si="485">IF(G113="","",G$100*G113*24)</f>
        <v/>
      </c>
      <c r="H114" s="683" t="str">
        <f t="shared" ref="H114" si="486">IF(H113="","",H$100*H113*24)</f>
        <v/>
      </c>
      <c r="I114" s="683" t="str">
        <f t="shared" ref="I114" si="487">IF(I113="","",I$100*I113*24)</f>
        <v/>
      </c>
      <c r="J114" s="683" t="str">
        <f t="shared" ref="J114" si="488">IF(J113="","",J$100*J113*24)</f>
        <v/>
      </c>
      <c r="K114" s="683" t="str">
        <f t="shared" ref="K114" si="489">IF(K113="","",K$100*K113*24)</f>
        <v/>
      </c>
      <c r="L114" s="683" t="str">
        <f t="shared" ref="L114" si="490">IF(L113="","",L$100*L113*24)</f>
        <v/>
      </c>
      <c r="M114" s="683" t="str">
        <f t="shared" ref="M114" si="491">IF(M113="","",M$100*M113*24)</f>
        <v/>
      </c>
      <c r="N114" s="683" t="str">
        <f t="shared" ref="N114" si="492">IF(N113="","",N$100*N113*24)</f>
        <v/>
      </c>
      <c r="O114" s="685" t="str">
        <f t="shared" ref="O114" si="493">IF(O113="","",O$100*O113*24)</f>
        <v/>
      </c>
      <c r="P114" s="511" t="str">
        <f t="shared" si="436"/>
        <v>-</v>
      </c>
      <c r="Q114" s="6" t="str">
        <f t="shared" si="437"/>
        <v>-</v>
      </c>
    </row>
    <row r="115" spans="1:17" ht="15.75" x14ac:dyDescent="0.25">
      <c r="A115" s="873"/>
      <c r="B115" s="827" t="s">
        <v>13</v>
      </c>
      <c r="C115" s="18" t="s">
        <v>21</v>
      </c>
      <c r="D115" s="549"/>
      <c r="E115" s="549"/>
      <c r="F115" s="549"/>
      <c r="G115" s="549"/>
      <c r="H115" s="549"/>
      <c r="I115" s="549"/>
      <c r="J115" s="549"/>
      <c r="K115" s="549"/>
      <c r="L115" s="549"/>
      <c r="M115" s="549"/>
      <c r="N115" s="549"/>
      <c r="O115" s="550"/>
      <c r="P115" s="512" t="str">
        <f t="shared" si="436"/>
        <v>-</v>
      </c>
      <c r="Q115" s="4" t="str">
        <f t="shared" si="437"/>
        <v>-</v>
      </c>
    </row>
    <row r="116" spans="1:17" ht="15.75" x14ac:dyDescent="0.25">
      <c r="A116" s="873"/>
      <c r="B116" s="827"/>
      <c r="C116" s="18" t="s">
        <v>22</v>
      </c>
      <c r="D116" s="763" t="str">
        <f>IF(D115="","",D$100*D115*24)</f>
        <v/>
      </c>
      <c r="E116" s="763" t="str">
        <f t="shared" ref="E116" si="494">IF(E115="","",E$100*E115*24)</f>
        <v/>
      </c>
      <c r="F116" s="684" t="str">
        <f t="shared" ref="F116" si="495">IF(F115="","",F$100*F115*24)</f>
        <v/>
      </c>
      <c r="G116" s="683" t="str">
        <f t="shared" ref="G116" si="496">IF(G115="","",G$100*G115*24)</f>
        <v/>
      </c>
      <c r="H116" s="683" t="str">
        <f t="shared" ref="H116" si="497">IF(H115="","",H$100*H115*24)</f>
        <v/>
      </c>
      <c r="I116" s="683" t="str">
        <f t="shared" ref="I116" si="498">IF(I115="","",I$100*I115*24)</f>
        <v/>
      </c>
      <c r="J116" s="683" t="str">
        <f t="shared" ref="J116" si="499">IF(J115="","",J$100*J115*24)</f>
        <v/>
      </c>
      <c r="K116" s="683" t="str">
        <f t="shared" ref="K116" si="500">IF(K115="","",K$100*K115*24)</f>
        <v/>
      </c>
      <c r="L116" s="683" t="str">
        <f t="shared" ref="L116" si="501">IF(L115="","",L$100*L115*24)</f>
        <v/>
      </c>
      <c r="M116" s="683" t="str">
        <f t="shared" ref="M116" si="502">IF(M115="","",M$100*M115*24)</f>
        <v/>
      </c>
      <c r="N116" s="683" t="str">
        <f t="shared" ref="N116" si="503">IF(N115="","",N$100*N115*24)</f>
        <v/>
      </c>
      <c r="O116" s="685" t="str">
        <f t="shared" ref="O116" si="504">IF(O115="","",O$100*O115*24)</f>
        <v/>
      </c>
      <c r="P116" s="511" t="str">
        <f t="shared" si="436"/>
        <v>-</v>
      </c>
      <c r="Q116" s="6" t="str">
        <f t="shared" si="437"/>
        <v>-</v>
      </c>
    </row>
    <row r="117" spans="1:17" ht="15.75" x14ac:dyDescent="0.25">
      <c r="A117" s="873"/>
      <c r="B117" s="828" t="s">
        <v>20</v>
      </c>
      <c r="C117" s="16" t="s">
        <v>21</v>
      </c>
      <c r="D117" s="549"/>
      <c r="E117" s="549"/>
      <c r="F117" s="549"/>
      <c r="G117" s="549"/>
      <c r="H117" s="549"/>
      <c r="I117" s="549"/>
      <c r="J117" s="549"/>
      <c r="K117" s="549"/>
      <c r="L117" s="549"/>
      <c r="M117" s="549"/>
      <c r="N117" s="549"/>
      <c r="O117" s="550"/>
      <c r="P117" s="512" t="str">
        <f t="shared" si="436"/>
        <v>-</v>
      </c>
      <c r="Q117" s="4" t="str">
        <f t="shared" si="437"/>
        <v>-</v>
      </c>
    </row>
    <row r="118" spans="1:17" ht="15.75" x14ac:dyDescent="0.25">
      <c r="A118" s="873"/>
      <c r="B118" s="829"/>
      <c r="C118" s="17" t="s">
        <v>22</v>
      </c>
      <c r="D118" s="763" t="str">
        <f>IF(D117="","",D$100*D117*24)</f>
        <v/>
      </c>
      <c r="E118" s="763" t="str">
        <f t="shared" ref="E118" si="505">IF(E117="","",E$100*E117*24)</f>
        <v/>
      </c>
      <c r="F118" s="684" t="str">
        <f t="shared" ref="F118" si="506">IF(F117="","",F$100*F117*24)</f>
        <v/>
      </c>
      <c r="G118" s="683" t="str">
        <f t="shared" ref="G118" si="507">IF(G117="","",G$100*G117*24)</f>
        <v/>
      </c>
      <c r="H118" s="683" t="str">
        <f t="shared" ref="H118" si="508">IF(H117="","",H$100*H117*24)</f>
        <v/>
      </c>
      <c r="I118" s="683" t="str">
        <f t="shared" ref="I118" si="509">IF(I117="","",I$100*I117*24)</f>
        <v/>
      </c>
      <c r="J118" s="683" t="str">
        <f t="shared" ref="J118" si="510">IF(J117="","",J$100*J117*24)</f>
        <v/>
      </c>
      <c r="K118" s="683" t="str">
        <f t="shared" ref="K118" si="511">IF(K117="","",K$100*K117*24)</f>
        <v/>
      </c>
      <c r="L118" s="683" t="str">
        <f t="shared" ref="L118" si="512">IF(L117="","",L$100*L117*24)</f>
        <v/>
      </c>
      <c r="M118" s="683" t="str">
        <f t="shared" ref="M118" si="513">IF(M117="","",M$100*M117*24)</f>
        <v/>
      </c>
      <c r="N118" s="683" t="str">
        <f t="shared" ref="N118" si="514">IF(N117="","",N$100*N117*24)</f>
        <v/>
      </c>
      <c r="O118" s="685" t="str">
        <f t="shared" ref="O118" si="515">IF(O117="","",O$100*O117*24)</f>
        <v/>
      </c>
      <c r="P118" s="511" t="str">
        <f t="shared" si="436"/>
        <v>-</v>
      </c>
      <c r="Q118" s="6" t="str">
        <f t="shared" si="437"/>
        <v>-</v>
      </c>
    </row>
    <row r="119" spans="1:17" ht="15.75" x14ac:dyDescent="0.25">
      <c r="A119" s="873"/>
      <c r="B119" s="827" t="s">
        <v>1</v>
      </c>
      <c r="C119" s="18" t="s">
        <v>21</v>
      </c>
      <c r="D119" s="549"/>
      <c r="E119" s="549"/>
      <c r="F119" s="549"/>
      <c r="G119" s="549"/>
      <c r="H119" s="549"/>
      <c r="I119" s="549"/>
      <c r="J119" s="549"/>
      <c r="K119" s="549"/>
      <c r="L119" s="549"/>
      <c r="M119" s="549"/>
      <c r="N119" s="549"/>
      <c r="O119" s="550"/>
      <c r="P119" s="512" t="str">
        <f t="shared" si="436"/>
        <v>-</v>
      </c>
      <c r="Q119" s="4" t="str">
        <f t="shared" si="437"/>
        <v>-</v>
      </c>
    </row>
    <row r="120" spans="1:17" ht="15.75" x14ac:dyDescent="0.25">
      <c r="A120" s="873"/>
      <c r="B120" s="827"/>
      <c r="C120" s="18" t="s">
        <v>22</v>
      </c>
      <c r="D120" s="763" t="str">
        <f>IF(D119="","",D$100*D119*24)</f>
        <v/>
      </c>
      <c r="E120" s="763" t="str">
        <f t="shared" ref="E120" si="516">IF(E119="","",E$100*E119*24)</f>
        <v/>
      </c>
      <c r="F120" s="684" t="str">
        <f t="shared" ref="F120" si="517">IF(F119="","",F$100*F119*24)</f>
        <v/>
      </c>
      <c r="G120" s="683" t="str">
        <f t="shared" ref="G120" si="518">IF(G119="","",G$100*G119*24)</f>
        <v/>
      </c>
      <c r="H120" s="683" t="str">
        <f t="shared" ref="H120" si="519">IF(H119="","",H$100*H119*24)</f>
        <v/>
      </c>
      <c r="I120" s="683" t="str">
        <f t="shared" ref="I120" si="520">IF(I119="","",I$100*I119*24)</f>
        <v/>
      </c>
      <c r="J120" s="683" t="str">
        <f t="shared" ref="J120" si="521">IF(J119="","",J$100*J119*24)</f>
        <v/>
      </c>
      <c r="K120" s="683" t="str">
        <f t="shared" ref="K120" si="522">IF(K119="","",K$100*K119*24)</f>
        <v/>
      </c>
      <c r="L120" s="683" t="str">
        <f t="shared" ref="L120" si="523">IF(L119="","",L$100*L119*24)</f>
        <v/>
      </c>
      <c r="M120" s="683" t="str">
        <f t="shared" ref="M120" si="524">IF(M119="","",M$100*M119*24)</f>
        <v/>
      </c>
      <c r="N120" s="683" t="str">
        <f t="shared" ref="N120" si="525">IF(N119="","",N$100*N119*24)</f>
        <v/>
      </c>
      <c r="O120" s="685" t="str">
        <f t="shared" ref="O120" si="526">IF(O119="","",O$100*O119*24)</f>
        <v/>
      </c>
      <c r="P120" s="511" t="str">
        <f t="shared" si="436"/>
        <v>-</v>
      </c>
      <c r="Q120" s="6" t="str">
        <f t="shared" si="437"/>
        <v>-</v>
      </c>
    </row>
    <row r="121" spans="1:17" ht="15.75" x14ac:dyDescent="0.25">
      <c r="A121" s="873"/>
      <c r="B121" s="828" t="str">
        <f>IF($B$28="OTHER (RENAME)","OTHER",$B$28)</f>
        <v>OTHER</v>
      </c>
      <c r="C121" s="19" t="s">
        <v>21</v>
      </c>
      <c r="D121" s="549"/>
      <c r="E121" s="549"/>
      <c r="F121" s="549"/>
      <c r="G121" s="549"/>
      <c r="H121" s="549"/>
      <c r="I121" s="549"/>
      <c r="J121" s="549"/>
      <c r="K121" s="549"/>
      <c r="L121" s="549"/>
      <c r="M121" s="549"/>
      <c r="N121" s="549"/>
      <c r="O121" s="550"/>
      <c r="P121" s="512" t="str">
        <f t="shared" si="436"/>
        <v>-</v>
      </c>
      <c r="Q121" s="4" t="str">
        <f t="shared" ref="Q121:Q122" si="527">IF(SUM(D121:O121)=0,"-",SUM(D121:O121))</f>
        <v>-</v>
      </c>
    </row>
    <row r="122" spans="1:17" ht="15.75" x14ac:dyDescent="0.25">
      <c r="A122" s="873"/>
      <c r="B122" s="829"/>
      <c r="C122" s="20" t="s">
        <v>22</v>
      </c>
      <c r="D122" s="764" t="str">
        <f>IF(D121="","",D$100*D121*24)</f>
        <v/>
      </c>
      <c r="E122" s="764" t="str">
        <f t="shared" ref="E122" si="528">IF(E121="","",E$100*E121*24)</f>
        <v/>
      </c>
      <c r="F122" s="687" t="str">
        <f t="shared" ref="F122" si="529">IF(F121="","",F$100*F121*24)</f>
        <v/>
      </c>
      <c r="G122" s="687" t="str">
        <f t="shared" ref="G122" si="530">IF(G121="","",G$100*G121*24)</f>
        <v/>
      </c>
      <c r="H122" s="687" t="str">
        <f t="shared" ref="H122" si="531">IF(H121="","",H$100*H121*24)</f>
        <v/>
      </c>
      <c r="I122" s="687" t="str">
        <f t="shared" ref="I122" si="532">IF(I121="","",I$100*I121*24)</f>
        <v/>
      </c>
      <c r="J122" s="687" t="str">
        <f t="shared" ref="J122" si="533">IF(J121="","",J$100*J121*24)</f>
        <v/>
      </c>
      <c r="K122" s="687" t="str">
        <f t="shared" ref="K122" si="534">IF(K121="","",K$100*K121*24)</f>
        <v/>
      </c>
      <c r="L122" s="687" t="str">
        <f t="shared" ref="L122" si="535">IF(L121="","",L$100*L121*24)</f>
        <v/>
      </c>
      <c r="M122" s="687" t="str">
        <f t="shared" ref="M122" si="536">IF(M121="","",M$100*M121*24)</f>
        <v/>
      </c>
      <c r="N122" s="687" t="str">
        <f t="shared" ref="N122" si="537">IF(N121="","",N$100*N121*24)</f>
        <v/>
      </c>
      <c r="O122" s="688" t="str">
        <f t="shared" ref="O122" si="538">IF(O121="","",O$100*O121*24)</f>
        <v/>
      </c>
      <c r="P122" s="511" t="str">
        <f t="shared" si="436"/>
        <v>-</v>
      </c>
      <c r="Q122" s="6" t="str">
        <f t="shared" si="527"/>
        <v>-</v>
      </c>
    </row>
    <row r="123" spans="1:17" ht="15.75" x14ac:dyDescent="0.25">
      <c r="A123" s="873"/>
      <c r="B123" s="828" t="str">
        <f>IF($B$30="OTHER (RENAME)","OTHER",$B$30)</f>
        <v>OTHER</v>
      </c>
      <c r="C123" s="16" t="s">
        <v>21</v>
      </c>
      <c r="D123" s="549"/>
      <c r="E123" s="549"/>
      <c r="F123" s="549"/>
      <c r="G123" s="549"/>
      <c r="H123" s="549"/>
      <c r="I123" s="549"/>
      <c r="J123" s="549"/>
      <c r="K123" s="549"/>
      <c r="L123" s="549"/>
      <c r="M123" s="549"/>
      <c r="N123" s="549"/>
      <c r="O123" s="550"/>
      <c r="P123" s="512" t="str">
        <f t="shared" si="436"/>
        <v>-</v>
      </c>
      <c r="Q123" s="4" t="str">
        <f t="shared" ref="Q123:Q128" si="539">IF(SUM(D123:O123)=0,"-",SUM(D123:O123))</f>
        <v>-</v>
      </c>
    </row>
    <row r="124" spans="1:17" ht="15.75" x14ac:dyDescent="0.25">
      <c r="A124" s="873"/>
      <c r="B124" s="829"/>
      <c r="C124" s="17" t="s">
        <v>22</v>
      </c>
      <c r="D124" s="764" t="str">
        <f>IF(D123="","",D$100*D123*24)</f>
        <v/>
      </c>
      <c r="E124" s="764" t="str">
        <f t="shared" ref="E124" si="540">IF(E123="","",E$100*E123*24)</f>
        <v/>
      </c>
      <c r="F124" s="687" t="str">
        <f t="shared" ref="F124" si="541">IF(F123="","",F$100*F123*24)</f>
        <v/>
      </c>
      <c r="G124" s="687" t="str">
        <f t="shared" ref="G124" si="542">IF(G123="","",G$100*G123*24)</f>
        <v/>
      </c>
      <c r="H124" s="687" t="str">
        <f t="shared" ref="H124" si="543">IF(H123="","",H$100*H123*24)</f>
        <v/>
      </c>
      <c r="I124" s="687" t="str">
        <f t="shared" ref="I124" si="544">IF(I123="","",I$100*I123*24)</f>
        <v/>
      </c>
      <c r="J124" s="687" t="str">
        <f t="shared" ref="J124" si="545">IF(J123="","",J$100*J123*24)</f>
        <v/>
      </c>
      <c r="K124" s="687" t="str">
        <f t="shared" ref="K124" si="546">IF(K123="","",K$100*K123*24)</f>
        <v/>
      </c>
      <c r="L124" s="687" t="str">
        <f t="shared" ref="L124" si="547">IF(L123="","",L$100*L123*24)</f>
        <v/>
      </c>
      <c r="M124" s="687" t="str">
        <f t="shared" ref="M124" si="548">IF(M123="","",M$100*M123*24)</f>
        <v/>
      </c>
      <c r="N124" s="687" t="str">
        <f t="shared" ref="N124" si="549">IF(N123="","",N$100*N123*24)</f>
        <v/>
      </c>
      <c r="O124" s="688" t="str">
        <f t="shared" ref="O124" si="550">IF(O123="","",O$100*O123*24)</f>
        <v/>
      </c>
      <c r="P124" s="511" t="str">
        <f t="shared" si="436"/>
        <v>-</v>
      </c>
      <c r="Q124" s="6" t="str">
        <f t="shared" si="539"/>
        <v>-</v>
      </c>
    </row>
    <row r="125" spans="1:17" ht="15.75" x14ac:dyDescent="0.25">
      <c r="A125" s="873"/>
      <c r="B125" s="828" t="str">
        <f>IF($B$32="OTHER (RENAME)","OTHER",$B$32)</f>
        <v>OTHER</v>
      </c>
      <c r="C125" s="16" t="s">
        <v>21</v>
      </c>
      <c r="D125" s="549"/>
      <c r="E125" s="549"/>
      <c r="F125" s="549"/>
      <c r="G125" s="549"/>
      <c r="H125" s="549"/>
      <c r="I125" s="549"/>
      <c r="J125" s="549"/>
      <c r="K125" s="549"/>
      <c r="L125" s="549"/>
      <c r="M125" s="549"/>
      <c r="N125" s="549"/>
      <c r="O125" s="550"/>
      <c r="P125" s="512" t="str">
        <f t="shared" si="436"/>
        <v>-</v>
      </c>
      <c r="Q125" s="4" t="str">
        <f t="shared" si="539"/>
        <v>-</v>
      </c>
    </row>
    <row r="126" spans="1:17" ht="15.75" x14ac:dyDescent="0.25">
      <c r="A126" s="873"/>
      <c r="B126" s="829"/>
      <c r="C126" s="17" t="s">
        <v>22</v>
      </c>
      <c r="D126" s="764" t="str">
        <f>IF(D125="","",D$100*D125*24)</f>
        <v/>
      </c>
      <c r="E126" s="764" t="str">
        <f t="shared" ref="E126" si="551">IF(E125="","",E$100*E125*24)</f>
        <v/>
      </c>
      <c r="F126" s="687" t="str">
        <f t="shared" ref="F126" si="552">IF(F125="","",F$100*F125*24)</f>
        <v/>
      </c>
      <c r="G126" s="687" t="str">
        <f t="shared" ref="G126" si="553">IF(G125="","",G$100*G125*24)</f>
        <v/>
      </c>
      <c r="H126" s="687" t="str">
        <f t="shared" ref="H126" si="554">IF(H125="","",H$100*H125*24)</f>
        <v/>
      </c>
      <c r="I126" s="687" t="str">
        <f t="shared" ref="I126" si="555">IF(I125="","",I$100*I125*24)</f>
        <v/>
      </c>
      <c r="J126" s="687" t="str">
        <f t="shared" ref="J126" si="556">IF(J125="","",J$100*J125*24)</f>
        <v/>
      </c>
      <c r="K126" s="687" t="str">
        <f t="shared" ref="K126" si="557">IF(K125="","",K$100*K125*24)</f>
        <v/>
      </c>
      <c r="L126" s="687" t="str">
        <f t="shared" ref="L126" si="558">IF(L125="","",L$100*L125*24)</f>
        <v/>
      </c>
      <c r="M126" s="687" t="str">
        <f t="shared" ref="M126" si="559">IF(M125="","",M$100*M125*24)</f>
        <v/>
      </c>
      <c r="N126" s="687" t="str">
        <f t="shared" ref="N126" si="560">IF(N125="","",N$100*N125*24)</f>
        <v/>
      </c>
      <c r="O126" s="688" t="str">
        <f t="shared" ref="O126" si="561">IF(O125="","",O$100*O125*24)</f>
        <v/>
      </c>
      <c r="P126" s="511" t="str">
        <f t="shared" si="436"/>
        <v>-</v>
      </c>
      <c r="Q126" s="6" t="str">
        <f t="shared" si="539"/>
        <v>-</v>
      </c>
    </row>
    <row r="127" spans="1:17" ht="15.75" x14ac:dyDescent="0.25">
      <c r="A127" s="873"/>
      <c r="B127" s="828" t="str">
        <f>IF($B$34="OTHER (RENAME)","OTHER",$B$34)</f>
        <v>OTHER</v>
      </c>
      <c r="C127" s="16" t="s">
        <v>21</v>
      </c>
      <c r="D127" s="549"/>
      <c r="E127" s="549"/>
      <c r="F127" s="549"/>
      <c r="G127" s="549"/>
      <c r="H127" s="549"/>
      <c r="I127" s="549"/>
      <c r="J127" s="549"/>
      <c r="K127" s="549"/>
      <c r="L127" s="549"/>
      <c r="M127" s="549"/>
      <c r="N127" s="549"/>
      <c r="O127" s="550"/>
      <c r="P127" s="512" t="str">
        <f t="shared" si="436"/>
        <v>-</v>
      </c>
      <c r="Q127" s="4" t="str">
        <f t="shared" si="539"/>
        <v>-</v>
      </c>
    </row>
    <row r="128" spans="1:17" ht="15.75" x14ac:dyDescent="0.25">
      <c r="A128" s="873"/>
      <c r="B128" s="829"/>
      <c r="C128" s="17" t="s">
        <v>22</v>
      </c>
      <c r="D128" s="764" t="str">
        <f>IF(D127="","",D$100*D127*24)</f>
        <v/>
      </c>
      <c r="E128" s="764" t="str">
        <f t="shared" ref="E128" si="562">IF(E127="","",E$100*E127*24)</f>
        <v/>
      </c>
      <c r="F128" s="687" t="str">
        <f t="shared" ref="F128" si="563">IF(F127="","",F$100*F127*24)</f>
        <v/>
      </c>
      <c r="G128" s="687" t="str">
        <f t="shared" ref="G128" si="564">IF(G127="","",G$100*G127*24)</f>
        <v/>
      </c>
      <c r="H128" s="687" t="str">
        <f t="shared" ref="H128" si="565">IF(H127="","",H$100*H127*24)</f>
        <v/>
      </c>
      <c r="I128" s="687" t="str">
        <f t="shared" ref="I128" si="566">IF(I127="","",I$100*I127*24)</f>
        <v/>
      </c>
      <c r="J128" s="687" t="str">
        <f t="shared" ref="J128" si="567">IF(J127="","",J$100*J127*24)</f>
        <v/>
      </c>
      <c r="K128" s="687" t="str">
        <f t="shared" ref="K128" si="568">IF(K127="","",K$100*K127*24)</f>
        <v/>
      </c>
      <c r="L128" s="687" t="str">
        <f t="shared" ref="L128" si="569">IF(L127="","",L$100*L127*24)</f>
        <v/>
      </c>
      <c r="M128" s="687" t="str">
        <f t="shared" ref="M128" si="570">IF(M127="","",M$100*M127*24)</f>
        <v/>
      </c>
      <c r="N128" s="687" t="str">
        <f t="shared" ref="N128" si="571">IF(N127="","",N$100*N127*24)</f>
        <v/>
      </c>
      <c r="O128" s="688" t="str">
        <f t="shared" ref="O128" si="572">IF(O127="","",O$100*O127*24)</f>
        <v/>
      </c>
      <c r="P128" s="511" t="str">
        <f t="shared" si="436"/>
        <v>-</v>
      </c>
      <c r="Q128" s="6" t="str">
        <f t="shared" si="539"/>
        <v>-</v>
      </c>
    </row>
    <row r="129" spans="1:17" ht="15.75" x14ac:dyDescent="0.25">
      <c r="A129" s="873"/>
      <c r="B129" s="910" t="s">
        <v>16</v>
      </c>
      <c r="C129" s="911"/>
      <c r="D129" s="555" t="str">
        <f>IF(SUM(D101,D103,D105,D107,D109,D111,D113,D115,D117,D119,D121,D123,D125,D127)=0,"",SUM(D101,D103,D105,D107,D109,D111,D113,D115,D117,D119,D121,D123,D125,D127))</f>
        <v/>
      </c>
      <c r="E129" s="555" t="str">
        <f t="shared" ref="E129:O129" si="573">IF(SUM(E101,E103,E105,E107,E109,E111,E113,E115,E117,E119,E121,E123,E125,E127)=0,"",SUM(E101,E103,E105,E107,E109,E111,E113,E115,E117,E119,E121,E123,E125,E127))</f>
        <v/>
      </c>
      <c r="F129" s="555" t="str">
        <f t="shared" si="573"/>
        <v/>
      </c>
      <c r="G129" s="555" t="str">
        <f t="shared" si="573"/>
        <v/>
      </c>
      <c r="H129" s="555" t="str">
        <f t="shared" si="573"/>
        <v/>
      </c>
      <c r="I129" s="555" t="str">
        <f t="shared" si="573"/>
        <v/>
      </c>
      <c r="J129" s="555" t="str">
        <f t="shared" si="573"/>
        <v/>
      </c>
      <c r="K129" s="555" t="str">
        <f t="shared" si="573"/>
        <v/>
      </c>
      <c r="L129" s="555" t="str">
        <f t="shared" si="573"/>
        <v/>
      </c>
      <c r="M129" s="555" t="str">
        <f t="shared" si="573"/>
        <v/>
      </c>
      <c r="N129" s="555" t="str">
        <f t="shared" si="573"/>
        <v/>
      </c>
      <c r="O129" s="556" t="str">
        <f t="shared" si="573"/>
        <v/>
      </c>
      <c r="P129" s="512" t="str">
        <f t="shared" si="436"/>
        <v>-</v>
      </c>
      <c r="Q129" s="4" t="str">
        <f>IF(SUM(D129:O129)=0,"-",SUM(D129:O129))</f>
        <v>-</v>
      </c>
    </row>
    <row r="130" spans="1:17" ht="16.5" thickBot="1" x14ac:dyDescent="0.3">
      <c r="A130" s="874"/>
      <c r="B130" s="912" t="s">
        <v>17</v>
      </c>
      <c r="C130" s="913"/>
      <c r="D130" s="694" t="str">
        <f>IF(D129="","",SUM(D102,D104,D106,D108,D110,D112,D114,D116,D118,D120,D122,D124,D126,D128))</f>
        <v/>
      </c>
      <c r="E130" s="694" t="str">
        <f t="shared" ref="E130" si="574">IF(E129="","",SUM(E102,E104,E106,E108,E110,E112,E114,E116,E118,E120,E122,E124,E126,E128))</f>
        <v/>
      </c>
      <c r="F130" s="695" t="str">
        <f t="shared" ref="F130" si="575">IF(F129="","",SUM(F102,F104,F106,F108,F110,F112,F114,F116,F118,F120,F122,F124,F126,F128))</f>
        <v/>
      </c>
      <c r="G130" s="694" t="str">
        <f t="shared" ref="G130" si="576">IF(G129="","",SUM(G102,G104,G106,G108,G110,G112,G114,G116,G118,G120,G122,G124,G126,G128))</f>
        <v/>
      </c>
      <c r="H130" s="694" t="str">
        <f t="shared" ref="H130" si="577">IF(H129="","",SUM(H102,H104,H106,H108,H110,H112,H114,H116,H118,H120,H122,H124,H126,H128))</f>
        <v/>
      </c>
      <c r="I130" s="694" t="str">
        <f t="shared" ref="I130" si="578">IF(I129="","",SUM(I102,I104,I106,I108,I110,I112,I114,I116,I118,I120,I122,I124,I126,I128))</f>
        <v/>
      </c>
      <c r="J130" s="694" t="str">
        <f t="shared" ref="J130" si="579">IF(J129="","",SUM(J102,J104,J106,J108,J110,J112,J114,J116,J118,J120,J122,J124,J126,J128))</f>
        <v/>
      </c>
      <c r="K130" s="694" t="str">
        <f t="shared" ref="K130" si="580">IF(K129="","",SUM(K102,K104,K106,K108,K110,K112,K114,K116,K118,K120,K122,K124,K126,K128))</f>
        <v/>
      </c>
      <c r="L130" s="694" t="str">
        <f t="shared" ref="L130" si="581">IF(L129="","",SUM(L102,L104,L106,L108,L110,L112,L114,L116,L118,L120,L122,L124,L126,L128))</f>
        <v/>
      </c>
      <c r="M130" s="694" t="str">
        <f t="shared" ref="M130" si="582">IF(M129="","",SUM(M102,M104,M106,M108,M110,M112,M114,M116,M118,M120,M122,M124,M126,M128))</f>
        <v/>
      </c>
      <c r="N130" s="694" t="str">
        <f t="shared" ref="N130" si="583">IF(N129="","",SUM(N102,N104,N106,N108,N110,N112,N114,N116,N118,N120,N122,N124,N126,N128))</f>
        <v/>
      </c>
      <c r="O130" s="696" t="str">
        <f t="shared" ref="O130" si="584">IF(O129="","",SUM(O102,O104,O106,O108,O110,O112,O114,O116,O118,O120,O122,O124,O126,O128))</f>
        <v/>
      </c>
      <c r="P130" s="525" t="str">
        <f t="shared" si="436"/>
        <v>-</v>
      </c>
      <c r="Q130" s="7" t="str">
        <f>IF(SUM(D130:O130)=0,"-",SUM(D130:O130))</f>
        <v>-</v>
      </c>
    </row>
    <row r="131" spans="1:17" ht="15.75" x14ac:dyDescent="0.25">
      <c r="A131" s="869" t="s">
        <v>111</v>
      </c>
      <c r="B131" s="822" t="s">
        <v>3</v>
      </c>
      <c r="C131" s="822"/>
      <c r="D131" s="547" t="str">
        <f>IF('2023DATA'!BV3=0,"",'2023DATA'!BV3)</f>
        <v/>
      </c>
      <c r="E131" s="547" t="str">
        <f>IF('2023DATA'!BW3=0,"",'2023DATA'!BW3)</f>
        <v/>
      </c>
      <c r="F131" s="547" t="str">
        <f>IF('2023DATA'!BX3=0,"",'2023DATA'!BX3)</f>
        <v/>
      </c>
      <c r="G131" s="547" t="str">
        <f>IF('2023DATA'!BY3=0,"",'2023DATA'!BY3)</f>
        <v/>
      </c>
      <c r="H131" s="547" t="str">
        <f>IF('2023DATA'!BZ3=0,"",'2023DATA'!BZ3)</f>
        <v/>
      </c>
      <c r="I131" s="547" t="str">
        <f>IF('2023DATA'!CA3=0,"",'2023DATA'!CA3)</f>
        <v/>
      </c>
      <c r="J131" s="547" t="str">
        <f>IF('2023DATA'!CB3=0,"",'2023DATA'!CB3)</f>
        <v/>
      </c>
      <c r="K131" s="547" t="str">
        <f>IF('2023DATA'!CC3=0,"",'2023DATA'!CC3)</f>
        <v/>
      </c>
      <c r="L131" s="547" t="str">
        <f>IF('2023DATA'!CD3=0,"",'2023DATA'!CD3)</f>
        <v/>
      </c>
      <c r="M131" s="547" t="str">
        <f>IF('2023DATA2'!CE3=0,"",'2023DATA2'!CE3)</f>
        <v/>
      </c>
      <c r="N131" s="547" t="str">
        <f>IF('2023DATA2'!CF3=0,"",'2023DATA2'!CF3)</f>
        <v/>
      </c>
      <c r="O131" s="548" t="str">
        <f>IF('2023DATA2'!CG3=0,"",'2023DATA2'!CG3)</f>
        <v/>
      </c>
      <c r="P131" s="880"/>
      <c r="Q131" s="881"/>
    </row>
    <row r="132" spans="1:17" ht="15.75" x14ac:dyDescent="0.25">
      <c r="A132" s="870"/>
      <c r="B132" s="828" t="s">
        <v>7</v>
      </c>
      <c r="C132" s="16" t="s">
        <v>21</v>
      </c>
      <c r="D132" s="549"/>
      <c r="E132" s="549"/>
      <c r="F132" s="549"/>
      <c r="G132" s="549"/>
      <c r="H132" s="549"/>
      <c r="I132" s="549"/>
      <c r="J132" s="549"/>
      <c r="K132" s="549"/>
      <c r="L132" s="549"/>
      <c r="M132" s="549"/>
      <c r="N132" s="549"/>
      <c r="O132" s="550"/>
      <c r="P132" s="512" t="str">
        <f t="shared" ref="P132:P141" si="585">IF(Q132="-","-",Q132/12)</f>
        <v>-</v>
      </c>
      <c r="Q132" s="4" t="str">
        <f t="shared" ref="Q132:Q151" si="586">IF(SUM(D132:O132)=0,"-",SUM(D132:O132))</f>
        <v>-</v>
      </c>
    </row>
    <row r="133" spans="1:17" ht="15.75" x14ac:dyDescent="0.25">
      <c r="A133" s="870"/>
      <c r="B133" s="829"/>
      <c r="C133" s="17" t="s">
        <v>22</v>
      </c>
      <c r="D133" s="763" t="str">
        <f>IF(D132="","",D$131*D132*24)</f>
        <v/>
      </c>
      <c r="E133" s="763" t="str">
        <f t="shared" ref="E133:O133" si="587">IF(E132="","",E$131*E132*24)</f>
        <v/>
      </c>
      <c r="F133" s="683" t="str">
        <f t="shared" si="587"/>
        <v/>
      </c>
      <c r="G133" s="683" t="str">
        <f t="shared" si="587"/>
        <v/>
      </c>
      <c r="H133" s="683" t="str">
        <f t="shared" si="587"/>
        <v/>
      </c>
      <c r="I133" s="683" t="str">
        <f t="shared" si="587"/>
        <v/>
      </c>
      <c r="J133" s="683" t="str">
        <f t="shared" si="587"/>
        <v/>
      </c>
      <c r="K133" s="683" t="str">
        <f t="shared" si="587"/>
        <v/>
      </c>
      <c r="L133" s="683" t="str">
        <f t="shared" si="587"/>
        <v/>
      </c>
      <c r="M133" s="683" t="str">
        <f t="shared" si="587"/>
        <v/>
      </c>
      <c r="N133" s="683" t="str">
        <f t="shared" si="587"/>
        <v/>
      </c>
      <c r="O133" s="686" t="str">
        <f t="shared" si="587"/>
        <v/>
      </c>
      <c r="P133" s="511" t="str">
        <f t="shared" si="585"/>
        <v>-</v>
      </c>
      <c r="Q133" s="6" t="str">
        <f t="shared" si="586"/>
        <v>-</v>
      </c>
    </row>
    <row r="134" spans="1:17" ht="15.75" x14ac:dyDescent="0.25">
      <c r="A134" s="870"/>
      <c r="B134" s="827" t="s">
        <v>8</v>
      </c>
      <c r="C134" s="18" t="s">
        <v>21</v>
      </c>
      <c r="D134" s="549"/>
      <c r="E134" s="549"/>
      <c r="F134" s="549"/>
      <c r="G134" s="549"/>
      <c r="H134" s="549"/>
      <c r="I134" s="549"/>
      <c r="J134" s="549"/>
      <c r="K134" s="549"/>
      <c r="L134" s="549"/>
      <c r="M134" s="549"/>
      <c r="N134" s="549"/>
      <c r="O134" s="550"/>
      <c r="P134" s="512" t="str">
        <f t="shared" si="585"/>
        <v>-</v>
      </c>
      <c r="Q134" s="4" t="str">
        <f t="shared" si="586"/>
        <v>-</v>
      </c>
    </row>
    <row r="135" spans="1:17" ht="15.75" x14ac:dyDescent="0.25">
      <c r="A135" s="870"/>
      <c r="B135" s="827"/>
      <c r="C135" s="18" t="s">
        <v>22</v>
      </c>
      <c r="D135" s="763" t="str">
        <f>IF(D134=0,"",(D131+IF(D$4="CA",DATA!$B$22,DATA!$B$23))*D134*24)</f>
        <v/>
      </c>
      <c r="E135" s="763" t="str">
        <f>IF(E134=0,"",(E131+IF(E$4="CA",DATA!$B$22,DATA!$B$23))*E134*24)</f>
        <v/>
      </c>
      <c r="F135" s="763" t="str">
        <f>IF(F134=0,"",(F131+IF(F$4="CA",DATA!$B$22,DATA!$B$23))*F134*24)</f>
        <v/>
      </c>
      <c r="G135" s="763" t="str">
        <f>IF(G134=0,"",(G131+IF(G$4="CA",DATA!$B$22,DATA!$B$23))*G134*24)</f>
        <v/>
      </c>
      <c r="H135" s="763" t="str">
        <f>IF(H134=0,"",(H131+IF(H$4="CA",DATA!$B$22,DATA!$B$23))*H134*24)</f>
        <v/>
      </c>
      <c r="I135" s="763" t="str">
        <f>IF(I134=0,"",(I131+IF(I$4="CA",DATA!$B$22,DATA!$B$23))*I134*24)</f>
        <v/>
      </c>
      <c r="J135" s="763" t="str">
        <f>IF(J134=0,"",(J131+IF(J$4="CA",DATA!$B$22,DATA!$B$23))*J134*24)</f>
        <v/>
      </c>
      <c r="K135" s="763" t="str">
        <f>IF(K134=0,"",(K131+IF(K$4="CA",DATA!$B$22,DATA!$B$23))*K134*24)</f>
        <v/>
      </c>
      <c r="L135" s="763" t="str">
        <f>IF(L134=0,"",(L131+IF(L$4="CA",DATA!$B$22,DATA!$B$23))*L134*24)</f>
        <v/>
      </c>
      <c r="M135" s="763" t="str">
        <f>IF(M134=0,"",(M131+IF(M$4="CA",DATA!$B$22,DATA!$B$23))*M134*24)</f>
        <v/>
      </c>
      <c r="N135" s="763" t="str">
        <f>IF(N134=0,"",(N131+IF(N$4="CA",DATA!$B$22,DATA!$B$23))*N134*24)</f>
        <v/>
      </c>
      <c r="O135" s="776" t="str">
        <f>IF(O134=0,"",(O131+IF(O$4="CA",DATA!$B$22,DATA!$B$23))*O134*24)</f>
        <v/>
      </c>
      <c r="P135" s="511" t="str">
        <f t="shared" si="585"/>
        <v>-</v>
      </c>
      <c r="Q135" s="6" t="str">
        <f t="shared" si="586"/>
        <v>-</v>
      </c>
    </row>
    <row r="136" spans="1:17" ht="15.75" x14ac:dyDescent="0.25">
      <c r="A136" s="870"/>
      <c r="B136" s="828" t="s">
        <v>9</v>
      </c>
      <c r="C136" s="16" t="s">
        <v>21</v>
      </c>
      <c r="D136" s="549"/>
      <c r="E136" s="549"/>
      <c r="F136" s="549"/>
      <c r="G136" s="549"/>
      <c r="H136" s="549"/>
      <c r="I136" s="549"/>
      <c r="J136" s="549"/>
      <c r="K136" s="549"/>
      <c r="L136" s="549"/>
      <c r="M136" s="549"/>
      <c r="N136" s="549"/>
      <c r="O136" s="550"/>
      <c r="P136" s="512" t="str">
        <f t="shared" si="585"/>
        <v>-</v>
      </c>
      <c r="Q136" s="4" t="str">
        <f t="shared" si="586"/>
        <v>-</v>
      </c>
    </row>
    <row r="137" spans="1:17" ht="15.75" x14ac:dyDescent="0.25">
      <c r="A137" s="870"/>
      <c r="B137" s="829"/>
      <c r="C137" s="17" t="s">
        <v>22</v>
      </c>
      <c r="D137" s="763" t="str">
        <f>IF(D136="","",D$131*D136*24)</f>
        <v/>
      </c>
      <c r="E137" s="763" t="str">
        <f t="shared" ref="E137" si="588">IF(E136="","",E$131*E136*24)</f>
        <v/>
      </c>
      <c r="F137" s="683" t="str">
        <f t="shared" ref="F137" si="589">IF(F136="","",F$131*F136*24)</f>
        <v/>
      </c>
      <c r="G137" s="683" t="str">
        <f t="shared" ref="G137" si="590">IF(G136="","",G$131*G136*24)</f>
        <v/>
      </c>
      <c r="H137" s="683" t="str">
        <f t="shared" ref="H137" si="591">IF(H136="","",H$131*H136*24)</f>
        <v/>
      </c>
      <c r="I137" s="683" t="str">
        <f t="shared" ref="I137" si="592">IF(I136="","",I$131*I136*24)</f>
        <v/>
      </c>
      <c r="J137" s="683" t="str">
        <f t="shared" ref="J137" si="593">IF(J136="","",J$131*J136*24)</f>
        <v/>
      </c>
      <c r="K137" s="683" t="str">
        <f t="shared" ref="K137" si="594">IF(K136="","",K$131*K136*24)</f>
        <v/>
      </c>
      <c r="L137" s="683" t="str">
        <f t="shared" ref="L137" si="595">IF(L136="","",L$131*L136*24)</f>
        <v/>
      </c>
      <c r="M137" s="683" t="str">
        <f t="shared" ref="M137" si="596">IF(M136="","",M$131*M136*24)</f>
        <v/>
      </c>
      <c r="N137" s="683" t="str">
        <f t="shared" ref="N137" si="597">IF(N136="","",N$131*N136*24)</f>
        <v/>
      </c>
      <c r="O137" s="686" t="str">
        <f t="shared" ref="O137" si="598">IF(O136="","",O$131*O136*24)</f>
        <v/>
      </c>
      <c r="P137" s="511" t="str">
        <f t="shared" si="585"/>
        <v>-</v>
      </c>
      <c r="Q137" s="6" t="str">
        <f t="shared" si="586"/>
        <v>-</v>
      </c>
    </row>
    <row r="138" spans="1:17" ht="15.75" x14ac:dyDescent="0.25">
      <c r="A138" s="870"/>
      <c r="B138" s="827" t="s">
        <v>10</v>
      </c>
      <c r="C138" s="18" t="s">
        <v>21</v>
      </c>
      <c r="D138" s="549"/>
      <c r="E138" s="549"/>
      <c r="F138" s="549"/>
      <c r="G138" s="549"/>
      <c r="H138" s="549"/>
      <c r="I138" s="549"/>
      <c r="J138" s="549"/>
      <c r="K138" s="549"/>
      <c r="L138" s="549"/>
      <c r="M138" s="549"/>
      <c r="N138" s="549"/>
      <c r="O138" s="550"/>
      <c r="P138" s="512" t="str">
        <f t="shared" si="585"/>
        <v>-</v>
      </c>
      <c r="Q138" s="4" t="str">
        <f t="shared" si="586"/>
        <v>-</v>
      </c>
    </row>
    <row r="139" spans="1:17" ht="15.75" x14ac:dyDescent="0.25">
      <c r="A139" s="870"/>
      <c r="B139" s="827"/>
      <c r="C139" s="18" t="s">
        <v>22</v>
      </c>
      <c r="D139" s="763" t="str">
        <f>IF(D138="","",D$131*D138*24)</f>
        <v/>
      </c>
      <c r="E139" s="763" t="str">
        <f t="shared" ref="E139" si="599">IF(E138="","",E$131*E138*24)</f>
        <v/>
      </c>
      <c r="F139" s="683" t="str">
        <f t="shared" ref="F139" si="600">IF(F138="","",F$131*F138*24)</f>
        <v/>
      </c>
      <c r="G139" s="683" t="str">
        <f t="shared" ref="G139" si="601">IF(G138="","",G$131*G138*24)</f>
        <v/>
      </c>
      <c r="H139" s="683" t="str">
        <f t="shared" ref="H139" si="602">IF(H138="","",H$131*H138*24)</f>
        <v/>
      </c>
      <c r="I139" s="683" t="str">
        <f t="shared" ref="I139" si="603">IF(I138="","",I$131*I138*24)</f>
        <v/>
      </c>
      <c r="J139" s="683" t="str">
        <f t="shared" ref="J139" si="604">IF(J138="","",J$131*J138*24)</f>
        <v/>
      </c>
      <c r="K139" s="683" t="str">
        <f t="shared" ref="K139" si="605">IF(K138="","",K$131*K138*24)</f>
        <v/>
      </c>
      <c r="L139" s="683" t="str">
        <f t="shared" ref="L139" si="606">IF(L138="","",L$131*L138*24)</f>
        <v/>
      </c>
      <c r="M139" s="683" t="str">
        <f t="shared" ref="M139" si="607">IF(M138="","",M$131*M138*24)</f>
        <v/>
      </c>
      <c r="N139" s="683" t="str">
        <f t="shared" ref="N139" si="608">IF(N138="","",N$131*N138*24)</f>
        <v/>
      </c>
      <c r="O139" s="686" t="str">
        <f t="shared" ref="O139" si="609">IF(O138="","",O$131*O138*24)</f>
        <v/>
      </c>
      <c r="P139" s="511" t="str">
        <f t="shared" si="585"/>
        <v>-</v>
      </c>
      <c r="Q139" s="6" t="str">
        <f t="shared" si="586"/>
        <v>-</v>
      </c>
    </row>
    <row r="140" spans="1:17" ht="15.75" x14ac:dyDescent="0.25">
      <c r="A140" s="870"/>
      <c r="B140" s="828" t="s">
        <v>11</v>
      </c>
      <c r="C140" s="16" t="s">
        <v>21</v>
      </c>
      <c r="D140" s="549"/>
      <c r="E140" s="549"/>
      <c r="F140" s="549"/>
      <c r="G140" s="549"/>
      <c r="H140" s="549"/>
      <c r="I140" s="549"/>
      <c r="J140" s="549"/>
      <c r="K140" s="549"/>
      <c r="L140" s="549"/>
      <c r="M140" s="549"/>
      <c r="N140" s="549"/>
      <c r="O140" s="550"/>
      <c r="P140" s="512" t="str">
        <f t="shared" si="585"/>
        <v>-</v>
      </c>
      <c r="Q140" s="4" t="str">
        <f t="shared" si="586"/>
        <v>-</v>
      </c>
    </row>
    <row r="141" spans="1:17" ht="15.75" x14ac:dyDescent="0.25">
      <c r="A141" s="870"/>
      <c r="B141" s="829"/>
      <c r="C141" s="17" t="s">
        <v>22</v>
      </c>
      <c r="D141" s="763" t="str">
        <f>IF(D140="","",D$131*D140*24)</f>
        <v/>
      </c>
      <c r="E141" s="763" t="str">
        <f t="shared" ref="E141" si="610">IF(E140="","",E$131*E140*24)</f>
        <v/>
      </c>
      <c r="F141" s="683" t="str">
        <f t="shared" ref="F141" si="611">IF(F140="","",F$131*F140*24)</f>
        <v/>
      </c>
      <c r="G141" s="683" t="str">
        <f t="shared" ref="G141" si="612">IF(G140="","",G$131*G140*24)</f>
        <v/>
      </c>
      <c r="H141" s="683" t="str">
        <f t="shared" ref="H141" si="613">IF(H140="","",H$131*H140*24)</f>
        <v/>
      </c>
      <c r="I141" s="683" t="str">
        <f t="shared" ref="I141" si="614">IF(I140="","",I$131*I140*24)</f>
        <v/>
      </c>
      <c r="J141" s="683" t="str">
        <f t="shared" ref="J141" si="615">IF(J140="","",J$131*J140*24)</f>
        <v/>
      </c>
      <c r="K141" s="683" t="str">
        <f t="shared" ref="K141" si="616">IF(K140="","",K$131*K140*24)</f>
        <v/>
      </c>
      <c r="L141" s="683" t="str">
        <f t="shared" ref="L141" si="617">IF(L140="","",L$131*L140*24)</f>
        <v/>
      </c>
      <c r="M141" s="683" t="str">
        <f t="shared" ref="M141" si="618">IF(M140="","",M$131*M140*24)</f>
        <v/>
      </c>
      <c r="N141" s="683" t="str">
        <f t="shared" ref="N141" si="619">IF(N140="","",N$131*N140*24)</f>
        <v/>
      </c>
      <c r="O141" s="686" t="str">
        <f t="shared" ref="O141" si="620">IF(O140="","",O$131*O140*24)</f>
        <v/>
      </c>
      <c r="P141" s="511" t="str">
        <f t="shared" si="585"/>
        <v>-</v>
      </c>
      <c r="Q141" s="6" t="str">
        <f t="shared" si="586"/>
        <v>-</v>
      </c>
    </row>
    <row r="142" spans="1:17" ht="15.75" x14ac:dyDescent="0.25">
      <c r="A142" s="870"/>
      <c r="B142" s="827" t="s">
        <v>12</v>
      </c>
      <c r="C142" s="18" t="s">
        <v>21</v>
      </c>
      <c r="D142" s="549"/>
      <c r="E142" s="549"/>
      <c r="F142" s="549"/>
      <c r="G142" s="549"/>
      <c r="H142" s="549"/>
      <c r="I142" s="549"/>
      <c r="J142" s="549"/>
      <c r="K142" s="549"/>
      <c r="L142" s="549"/>
      <c r="M142" s="549"/>
      <c r="N142" s="549"/>
      <c r="O142" s="550"/>
      <c r="P142" s="512" t="str">
        <f>IF(Q142="-","-",Q142/12)</f>
        <v>-</v>
      </c>
      <c r="Q142" s="4" t="str">
        <f t="shared" si="586"/>
        <v>-</v>
      </c>
    </row>
    <row r="143" spans="1:17" ht="15.75" x14ac:dyDescent="0.25">
      <c r="A143" s="870"/>
      <c r="B143" s="827"/>
      <c r="C143" s="18" t="s">
        <v>22</v>
      </c>
      <c r="D143" s="763" t="str">
        <f>IF(D142="","",D$131*D142*24)</f>
        <v/>
      </c>
      <c r="E143" s="763" t="str">
        <f t="shared" ref="E143" si="621">IF(E142="","",E$131*E142*24)</f>
        <v/>
      </c>
      <c r="F143" s="683" t="str">
        <f t="shared" ref="F143" si="622">IF(F142="","",F$131*F142*24)</f>
        <v/>
      </c>
      <c r="G143" s="683" t="str">
        <f t="shared" ref="G143" si="623">IF(G142="","",G$131*G142*24)</f>
        <v/>
      </c>
      <c r="H143" s="683" t="str">
        <f t="shared" ref="H143" si="624">IF(H142="","",H$131*H142*24)</f>
        <v/>
      </c>
      <c r="I143" s="683" t="str">
        <f t="shared" ref="I143" si="625">IF(I142="","",I$131*I142*24)</f>
        <v/>
      </c>
      <c r="J143" s="683" t="str">
        <f t="shared" ref="J143" si="626">IF(J142="","",J$131*J142*24)</f>
        <v/>
      </c>
      <c r="K143" s="683" t="str">
        <f t="shared" ref="K143" si="627">IF(K142="","",K$131*K142*24)</f>
        <v/>
      </c>
      <c r="L143" s="683" t="str">
        <f t="shared" ref="L143" si="628">IF(L142="","",L$131*L142*24)</f>
        <v/>
      </c>
      <c r="M143" s="683" t="str">
        <f t="shared" ref="M143" si="629">IF(M142="","",M$131*M142*24)</f>
        <v/>
      </c>
      <c r="N143" s="683" t="str">
        <f t="shared" ref="N143" si="630">IF(N142="","",N$131*N142*24)</f>
        <v/>
      </c>
      <c r="O143" s="686" t="str">
        <f t="shared" ref="O143" si="631">IF(O142="","",O$131*O142*24)</f>
        <v/>
      </c>
      <c r="P143" s="511" t="str">
        <f t="shared" ref="P143:P161" si="632">IF(Q143="-","-",Q143/12)</f>
        <v>-</v>
      </c>
      <c r="Q143" s="6" t="str">
        <f t="shared" si="586"/>
        <v>-</v>
      </c>
    </row>
    <row r="144" spans="1:17" ht="15.75" x14ac:dyDescent="0.25">
      <c r="A144" s="870"/>
      <c r="B144" s="828" t="s">
        <v>15</v>
      </c>
      <c r="C144" s="16" t="s">
        <v>21</v>
      </c>
      <c r="D144" s="549"/>
      <c r="E144" s="549"/>
      <c r="F144" s="549"/>
      <c r="G144" s="549"/>
      <c r="H144" s="549"/>
      <c r="I144" s="549"/>
      <c r="J144" s="549"/>
      <c r="K144" s="549"/>
      <c r="L144" s="549"/>
      <c r="M144" s="549"/>
      <c r="N144" s="549"/>
      <c r="O144" s="550"/>
      <c r="P144" s="512" t="str">
        <f t="shared" si="632"/>
        <v>-</v>
      </c>
      <c r="Q144" s="4" t="str">
        <f t="shared" si="586"/>
        <v>-</v>
      </c>
    </row>
    <row r="145" spans="1:17" ht="15.75" x14ac:dyDescent="0.25">
      <c r="A145" s="870"/>
      <c r="B145" s="829"/>
      <c r="C145" s="17" t="s">
        <v>22</v>
      </c>
      <c r="D145" s="763" t="str">
        <f>IF(D144="","",D$131*D144*24)</f>
        <v/>
      </c>
      <c r="E145" s="763" t="str">
        <f t="shared" ref="E145" si="633">IF(E144="","",E$131*E144*24)</f>
        <v/>
      </c>
      <c r="F145" s="683" t="str">
        <f t="shared" ref="F145" si="634">IF(F144="","",F$131*F144*24)</f>
        <v/>
      </c>
      <c r="G145" s="683" t="str">
        <f t="shared" ref="G145" si="635">IF(G144="","",G$131*G144*24)</f>
        <v/>
      </c>
      <c r="H145" s="683" t="str">
        <f t="shared" ref="H145" si="636">IF(H144="","",H$131*H144*24)</f>
        <v/>
      </c>
      <c r="I145" s="683" t="str">
        <f t="shared" ref="I145" si="637">IF(I144="","",I$131*I144*24)</f>
        <v/>
      </c>
      <c r="J145" s="683" t="str">
        <f t="shared" ref="J145" si="638">IF(J144="","",J$131*J144*24)</f>
        <v/>
      </c>
      <c r="K145" s="683" t="str">
        <f t="shared" ref="K145" si="639">IF(K144="","",K$131*K144*24)</f>
        <v/>
      </c>
      <c r="L145" s="683" t="str">
        <f t="shared" ref="L145" si="640">IF(L144="","",L$131*L144*24)</f>
        <v/>
      </c>
      <c r="M145" s="683" t="str">
        <f t="shared" ref="M145" si="641">IF(M144="","",M$131*M144*24)</f>
        <v/>
      </c>
      <c r="N145" s="683" t="str">
        <f t="shared" ref="N145" si="642">IF(N144="","",N$131*N144*24)</f>
        <v/>
      </c>
      <c r="O145" s="686" t="str">
        <f t="shared" ref="O145" si="643">IF(O144="","",O$131*O144*24)</f>
        <v/>
      </c>
      <c r="P145" s="511" t="str">
        <f t="shared" si="632"/>
        <v>-</v>
      </c>
      <c r="Q145" s="6" t="str">
        <f t="shared" si="586"/>
        <v>-</v>
      </c>
    </row>
    <row r="146" spans="1:17" ht="15.75" x14ac:dyDescent="0.25">
      <c r="A146" s="870"/>
      <c r="B146" s="827" t="s">
        <v>13</v>
      </c>
      <c r="C146" s="18" t="s">
        <v>21</v>
      </c>
      <c r="D146" s="549"/>
      <c r="E146" s="549"/>
      <c r="F146" s="549"/>
      <c r="G146" s="549"/>
      <c r="H146" s="549"/>
      <c r="I146" s="549"/>
      <c r="J146" s="549"/>
      <c r="K146" s="549"/>
      <c r="L146" s="549"/>
      <c r="M146" s="549"/>
      <c r="N146" s="549"/>
      <c r="O146" s="550"/>
      <c r="P146" s="512" t="str">
        <f t="shared" si="632"/>
        <v>-</v>
      </c>
      <c r="Q146" s="4" t="str">
        <f t="shared" si="586"/>
        <v>-</v>
      </c>
    </row>
    <row r="147" spans="1:17" ht="15.75" x14ac:dyDescent="0.25">
      <c r="A147" s="870"/>
      <c r="B147" s="827"/>
      <c r="C147" s="18" t="s">
        <v>22</v>
      </c>
      <c r="D147" s="763" t="str">
        <f>IF(D146="","",D$131*D146*24)</f>
        <v/>
      </c>
      <c r="E147" s="763" t="str">
        <f t="shared" ref="E147" si="644">IF(E146="","",E$131*E146*24)</f>
        <v/>
      </c>
      <c r="F147" s="683" t="str">
        <f t="shared" ref="F147" si="645">IF(F146="","",F$131*F146*24)</f>
        <v/>
      </c>
      <c r="G147" s="683" t="str">
        <f t="shared" ref="G147" si="646">IF(G146="","",G$131*G146*24)</f>
        <v/>
      </c>
      <c r="H147" s="683" t="str">
        <f t="shared" ref="H147" si="647">IF(H146="","",H$131*H146*24)</f>
        <v/>
      </c>
      <c r="I147" s="683" t="str">
        <f t="shared" ref="I147" si="648">IF(I146="","",I$131*I146*24)</f>
        <v/>
      </c>
      <c r="J147" s="683" t="str">
        <f t="shared" ref="J147" si="649">IF(J146="","",J$131*J146*24)</f>
        <v/>
      </c>
      <c r="K147" s="683" t="str">
        <f t="shared" ref="K147" si="650">IF(K146="","",K$131*K146*24)</f>
        <v/>
      </c>
      <c r="L147" s="683" t="str">
        <f t="shared" ref="L147" si="651">IF(L146="","",L$131*L146*24)</f>
        <v/>
      </c>
      <c r="M147" s="683" t="str">
        <f t="shared" ref="M147" si="652">IF(M146="","",M$131*M146*24)</f>
        <v/>
      </c>
      <c r="N147" s="683" t="str">
        <f t="shared" ref="N147" si="653">IF(N146="","",N$131*N146*24)</f>
        <v/>
      </c>
      <c r="O147" s="686" t="str">
        <f t="shared" ref="O147" si="654">IF(O146="","",O$131*O146*24)</f>
        <v/>
      </c>
      <c r="P147" s="511" t="str">
        <f t="shared" si="632"/>
        <v>-</v>
      </c>
      <c r="Q147" s="6" t="str">
        <f t="shared" si="586"/>
        <v>-</v>
      </c>
    </row>
    <row r="148" spans="1:17" ht="15.75" x14ac:dyDescent="0.25">
      <c r="A148" s="870"/>
      <c r="B148" s="828" t="s">
        <v>20</v>
      </c>
      <c r="C148" s="16" t="s">
        <v>21</v>
      </c>
      <c r="D148" s="549"/>
      <c r="E148" s="549"/>
      <c r="F148" s="549"/>
      <c r="G148" s="549"/>
      <c r="H148" s="549"/>
      <c r="I148" s="549"/>
      <c r="J148" s="549"/>
      <c r="K148" s="549"/>
      <c r="L148" s="549"/>
      <c r="M148" s="549"/>
      <c r="N148" s="549"/>
      <c r="O148" s="550"/>
      <c r="P148" s="512" t="str">
        <f t="shared" si="632"/>
        <v>-</v>
      </c>
      <c r="Q148" s="4" t="str">
        <f t="shared" si="586"/>
        <v>-</v>
      </c>
    </row>
    <row r="149" spans="1:17" ht="15.75" x14ac:dyDescent="0.25">
      <c r="A149" s="870"/>
      <c r="B149" s="829"/>
      <c r="C149" s="17" t="s">
        <v>22</v>
      </c>
      <c r="D149" s="763" t="str">
        <f>IF(D148="","",D$131*D148*24)</f>
        <v/>
      </c>
      <c r="E149" s="763" t="str">
        <f t="shared" ref="E149" si="655">IF(E148="","",E$131*E148*24)</f>
        <v/>
      </c>
      <c r="F149" s="683" t="str">
        <f t="shared" ref="F149" si="656">IF(F148="","",F$131*F148*24)</f>
        <v/>
      </c>
      <c r="G149" s="683" t="str">
        <f t="shared" ref="G149" si="657">IF(G148="","",G$131*G148*24)</f>
        <v/>
      </c>
      <c r="H149" s="683" t="str">
        <f t="shared" ref="H149" si="658">IF(H148="","",H$131*H148*24)</f>
        <v/>
      </c>
      <c r="I149" s="683" t="str">
        <f t="shared" ref="I149" si="659">IF(I148="","",I$131*I148*24)</f>
        <v/>
      </c>
      <c r="J149" s="683" t="str">
        <f t="shared" ref="J149" si="660">IF(J148="","",J$131*J148*24)</f>
        <v/>
      </c>
      <c r="K149" s="683" t="str">
        <f t="shared" ref="K149" si="661">IF(K148="","",K$131*K148*24)</f>
        <v/>
      </c>
      <c r="L149" s="683" t="str">
        <f t="shared" ref="L149" si="662">IF(L148="","",L$131*L148*24)</f>
        <v/>
      </c>
      <c r="M149" s="683" t="str">
        <f t="shared" ref="M149" si="663">IF(M148="","",M$131*M148*24)</f>
        <v/>
      </c>
      <c r="N149" s="683" t="str">
        <f t="shared" ref="N149" si="664">IF(N148="","",N$131*N148*24)</f>
        <v/>
      </c>
      <c r="O149" s="686" t="str">
        <f t="shared" ref="O149" si="665">IF(O148="","",O$131*O148*24)</f>
        <v/>
      </c>
      <c r="P149" s="511" t="str">
        <f t="shared" si="632"/>
        <v>-</v>
      </c>
      <c r="Q149" s="6" t="str">
        <f t="shared" si="586"/>
        <v>-</v>
      </c>
    </row>
    <row r="150" spans="1:17" ht="15.75" x14ac:dyDescent="0.25">
      <c r="A150" s="870"/>
      <c r="B150" s="827" t="s">
        <v>1</v>
      </c>
      <c r="C150" s="18" t="s">
        <v>21</v>
      </c>
      <c r="D150" s="549"/>
      <c r="E150" s="549"/>
      <c r="F150" s="549"/>
      <c r="G150" s="549"/>
      <c r="H150" s="549"/>
      <c r="I150" s="549"/>
      <c r="J150" s="549"/>
      <c r="K150" s="549"/>
      <c r="L150" s="549"/>
      <c r="M150" s="549"/>
      <c r="N150" s="549"/>
      <c r="O150" s="550"/>
      <c r="P150" s="512" t="str">
        <f t="shared" si="632"/>
        <v>-</v>
      </c>
      <c r="Q150" s="4" t="str">
        <f t="shared" si="586"/>
        <v>-</v>
      </c>
    </row>
    <row r="151" spans="1:17" ht="15.75" customHeight="1" x14ac:dyDescent="0.25">
      <c r="A151" s="870"/>
      <c r="B151" s="827"/>
      <c r="C151" s="18" t="s">
        <v>22</v>
      </c>
      <c r="D151" s="763" t="str">
        <f>IF(D150="","",D$131*D150*24)</f>
        <v/>
      </c>
      <c r="E151" s="763" t="str">
        <f t="shared" ref="E151" si="666">IF(E150="","",E$131*E150*24)</f>
        <v/>
      </c>
      <c r="F151" s="683" t="str">
        <f t="shared" ref="F151" si="667">IF(F150="","",F$131*F150*24)</f>
        <v/>
      </c>
      <c r="G151" s="683" t="str">
        <f t="shared" ref="G151" si="668">IF(G150="","",G$131*G150*24)</f>
        <v/>
      </c>
      <c r="H151" s="683" t="str">
        <f t="shared" ref="H151" si="669">IF(H150="","",H$131*H150*24)</f>
        <v/>
      </c>
      <c r="I151" s="683" t="str">
        <f t="shared" ref="I151" si="670">IF(I150="","",I$131*I150*24)</f>
        <v/>
      </c>
      <c r="J151" s="683" t="str">
        <f t="shared" ref="J151" si="671">IF(J150="","",J$131*J150*24)</f>
        <v/>
      </c>
      <c r="K151" s="683" t="str">
        <f t="shared" ref="K151" si="672">IF(K150="","",K$131*K150*24)</f>
        <v/>
      </c>
      <c r="L151" s="683" t="str">
        <f t="shared" ref="L151" si="673">IF(L150="","",L$131*L150*24)</f>
        <v/>
      </c>
      <c r="M151" s="683" t="str">
        <f t="shared" ref="M151" si="674">IF(M150="","",M$131*M150*24)</f>
        <v/>
      </c>
      <c r="N151" s="683" t="str">
        <f t="shared" ref="N151" si="675">IF(N150="","",N$131*N150*24)</f>
        <v/>
      </c>
      <c r="O151" s="686" t="str">
        <f t="shared" ref="O151" si="676">IF(O150="","",O$131*O150*24)</f>
        <v/>
      </c>
      <c r="P151" s="511" t="str">
        <f t="shared" si="632"/>
        <v>-</v>
      </c>
      <c r="Q151" s="6" t="str">
        <f t="shared" si="586"/>
        <v>-</v>
      </c>
    </row>
    <row r="152" spans="1:17" ht="15.75" customHeight="1" x14ac:dyDescent="0.25">
      <c r="A152" s="870"/>
      <c r="B152" s="828" t="str">
        <f>IF($B$28="OTHER (RENAME)","OTHER",$B$28)</f>
        <v>OTHER</v>
      </c>
      <c r="C152" s="19" t="s">
        <v>21</v>
      </c>
      <c r="D152" s="549"/>
      <c r="E152" s="549"/>
      <c r="F152" s="549"/>
      <c r="G152" s="549"/>
      <c r="H152" s="549"/>
      <c r="I152" s="549"/>
      <c r="J152" s="549"/>
      <c r="K152" s="549"/>
      <c r="L152" s="549"/>
      <c r="M152" s="549"/>
      <c r="N152" s="549"/>
      <c r="O152" s="550"/>
      <c r="P152" s="512" t="str">
        <f t="shared" si="632"/>
        <v>-</v>
      </c>
      <c r="Q152" s="4" t="str">
        <f t="shared" ref="Q152:Q153" si="677">IF(SUM(D152:O152)=0,"-",SUM(D152:O152))</f>
        <v>-</v>
      </c>
    </row>
    <row r="153" spans="1:17" ht="15.75" customHeight="1" x14ac:dyDescent="0.25">
      <c r="A153" s="870"/>
      <c r="B153" s="829"/>
      <c r="C153" s="20" t="s">
        <v>22</v>
      </c>
      <c r="D153" s="764" t="str">
        <f>IF(D152="","",D$131*D152*24)</f>
        <v/>
      </c>
      <c r="E153" s="764" t="str">
        <f t="shared" ref="E153" si="678">IF(E152="","",E$131*E152*24)</f>
        <v/>
      </c>
      <c r="F153" s="687" t="str">
        <f t="shared" ref="F153" si="679">IF(F152="","",F$131*F152*24)</f>
        <v/>
      </c>
      <c r="G153" s="687" t="str">
        <f t="shared" ref="G153" si="680">IF(G152="","",G$131*G152*24)</f>
        <v/>
      </c>
      <c r="H153" s="687" t="str">
        <f t="shared" ref="H153" si="681">IF(H152="","",H$131*H152*24)</f>
        <v/>
      </c>
      <c r="I153" s="687" t="str">
        <f t="shared" ref="I153" si="682">IF(I152="","",I$131*I152*24)</f>
        <v/>
      </c>
      <c r="J153" s="687" t="str">
        <f t="shared" ref="J153" si="683">IF(J152="","",J$131*J152*24)</f>
        <v/>
      </c>
      <c r="K153" s="687" t="str">
        <f t="shared" ref="K153" si="684">IF(K152="","",K$131*K152*24)</f>
        <v/>
      </c>
      <c r="L153" s="687" t="str">
        <f t="shared" ref="L153" si="685">IF(L152="","",L$131*L152*24)</f>
        <v/>
      </c>
      <c r="M153" s="687" t="str">
        <f t="shared" ref="M153" si="686">IF(M152="","",M$131*M152*24)</f>
        <v/>
      </c>
      <c r="N153" s="687" t="str">
        <f t="shared" ref="N153" si="687">IF(N152="","",N$131*N152*24)</f>
        <v/>
      </c>
      <c r="O153" s="688" t="str">
        <f t="shared" ref="O153" si="688">IF(O152="","",O$131*O152*24)</f>
        <v/>
      </c>
      <c r="P153" s="511" t="str">
        <f t="shared" si="632"/>
        <v>-</v>
      </c>
      <c r="Q153" s="6" t="str">
        <f t="shared" si="677"/>
        <v>-</v>
      </c>
    </row>
    <row r="154" spans="1:17" ht="15.75" x14ac:dyDescent="0.25">
      <c r="A154" s="870"/>
      <c r="B154" s="828" t="str">
        <f>IF($B$30="OTHER (RENAME)","OTHER",$B$30)</f>
        <v>OTHER</v>
      </c>
      <c r="C154" s="16" t="s">
        <v>21</v>
      </c>
      <c r="D154" s="549"/>
      <c r="E154" s="549"/>
      <c r="F154" s="549"/>
      <c r="G154" s="549"/>
      <c r="H154" s="549"/>
      <c r="I154" s="549"/>
      <c r="J154" s="549"/>
      <c r="K154" s="549"/>
      <c r="L154" s="549"/>
      <c r="M154" s="549"/>
      <c r="N154" s="549"/>
      <c r="O154" s="550"/>
      <c r="P154" s="512" t="str">
        <f t="shared" si="632"/>
        <v>-</v>
      </c>
      <c r="Q154" s="4" t="str">
        <f t="shared" ref="Q154:Q159" si="689">IF(SUM(D154:O154)=0,"-",SUM(D154:O154))</f>
        <v>-</v>
      </c>
    </row>
    <row r="155" spans="1:17" ht="15.75" x14ac:dyDescent="0.25">
      <c r="A155" s="870"/>
      <c r="B155" s="829"/>
      <c r="C155" s="17" t="s">
        <v>22</v>
      </c>
      <c r="D155" s="764" t="str">
        <f>IF(D154="","",D$131*D154*24)</f>
        <v/>
      </c>
      <c r="E155" s="764" t="str">
        <f t="shared" ref="E155" si="690">IF(E154="","",E$131*E154*24)</f>
        <v/>
      </c>
      <c r="F155" s="687" t="str">
        <f t="shared" ref="F155" si="691">IF(F154="","",F$131*F154*24)</f>
        <v/>
      </c>
      <c r="G155" s="687" t="str">
        <f t="shared" ref="G155" si="692">IF(G154="","",G$131*G154*24)</f>
        <v/>
      </c>
      <c r="H155" s="687" t="str">
        <f t="shared" ref="H155" si="693">IF(H154="","",H$131*H154*24)</f>
        <v/>
      </c>
      <c r="I155" s="687" t="str">
        <f t="shared" ref="I155" si="694">IF(I154="","",I$131*I154*24)</f>
        <v/>
      </c>
      <c r="J155" s="687" t="str">
        <f t="shared" ref="J155" si="695">IF(J154="","",J$131*J154*24)</f>
        <v/>
      </c>
      <c r="K155" s="687" t="str">
        <f t="shared" ref="K155" si="696">IF(K154="","",K$131*K154*24)</f>
        <v/>
      </c>
      <c r="L155" s="687" t="str">
        <f t="shared" ref="L155" si="697">IF(L154="","",L$131*L154*24)</f>
        <v/>
      </c>
      <c r="M155" s="687" t="str">
        <f t="shared" ref="M155" si="698">IF(M154="","",M$131*M154*24)</f>
        <v/>
      </c>
      <c r="N155" s="687" t="str">
        <f t="shared" ref="N155" si="699">IF(N154="","",N$131*N154*24)</f>
        <v/>
      </c>
      <c r="O155" s="688" t="str">
        <f t="shared" ref="O155" si="700">IF(O154="","",O$131*O154*24)</f>
        <v/>
      </c>
      <c r="P155" s="511" t="str">
        <f t="shared" si="632"/>
        <v>-</v>
      </c>
      <c r="Q155" s="6" t="str">
        <f t="shared" si="689"/>
        <v>-</v>
      </c>
    </row>
    <row r="156" spans="1:17" ht="15.75" x14ac:dyDescent="0.25">
      <c r="A156" s="870"/>
      <c r="B156" s="828" t="str">
        <f>IF($B$32="OTHER (RENAME)","OTHER",$B$32)</f>
        <v>OTHER</v>
      </c>
      <c r="C156" s="16" t="s">
        <v>21</v>
      </c>
      <c r="D156" s="549"/>
      <c r="E156" s="549"/>
      <c r="F156" s="549"/>
      <c r="G156" s="549"/>
      <c r="H156" s="549"/>
      <c r="I156" s="549"/>
      <c r="J156" s="549"/>
      <c r="K156" s="549"/>
      <c r="L156" s="549"/>
      <c r="M156" s="549"/>
      <c r="N156" s="549"/>
      <c r="O156" s="550"/>
      <c r="P156" s="512" t="str">
        <f t="shared" si="632"/>
        <v>-</v>
      </c>
      <c r="Q156" s="4" t="str">
        <f t="shared" si="689"/>
        <v>-</v>
      </c>
    </row>
    <row r="157" spans="1:17" ht="15.75" x14ac:dyDescent="0.25">
      <c r="A157" s="870"/>
      <c r="B157" s="829"/>
      <c r="C157" s="17" t="s">
        <v>22</v>
      </c>
      <c r="D157" s="764" t="str">
        <f>IF(D156="","",D$131*D156*24)</f>
        <v/>
      </c>
      <c r="E157" s="764" t="str">
        <f t="shared" ref="E157" si="701">IF(E156="","",E$131*E156*24)</f>
        <v/>
      </c>
      <c r="F157" s="687" t="str">
        <f t="shared" ref="F157" si="702">IF(F156="","",F$131*F156*24)</f>
        <v/>
      </c>
      <c r="G157" s="687" t="str">
        <f t="shared" ref="G157" si="703">IF(G156="","",G$131*G156*24)</f>
        <v/>
      </c>
      <c r="H157" s="687" t="str">
        <f t="shared" ref="H157" si="704">IF(H156="","",H$131*H156*24)</f>
        <v/>
      </c>
      <c r="I157" s="687" t="str">
        <f t="shared" ref="I157" si="705">IF(I156="","",I$131*I156*24)</f>
        <v/>
      </c>
      <c r="J157" s="687" t="str">
        <f t="shared" ref="J157" si="706">IF(J156="","",J$131*J156*24)</f>
        <v/>
      </c>
      <c r="K157" s="687" t="str">
        <f t="shared" ref="K157" si="707">IF(K156="","",K$131*K156*24)</f>
        <v/>
      </c>
      <c r="L157" s="687" t="str">
        <f t="shared" ref="L157" si="708">IF(L156="","",L$131*L156*24)</f>
        <v/>
      </c>
      <c r="M157" s="687" t="str">
        <f t="shared" ref="M157" si="709">IF(M156="","",M$131*M156*24)</f>
        <v/>
      </c>
      <c r="N157" s="687" t="str">
        <f t="shared" ref="N157" si="710">IF(N156="","",N$131*N156*24)</f>
        <v/>
      </c>
      <c r="O157" s="688" t="str">
        <f t="shared" ref="O157" si="711">IF(O156="","",O$131*O156*24)</f>
        <v/>
      </c>
      <c r="P157" s="511" t="str">
        <f t="shared" si="632"/>
        <v>-</v>
      </c>
      <c r="Q157" s="6" t="str">
        <f t="shared" si="689"/>
        <v>-</v>
      </c>
    </row>
    <row r="158" spans="1:17" ht="15.75" x14ac:dyDescent="0.25">
      <c r="A158" s="870"/>
      <c r="B158" s="828" t="str">
        <f>IF($B$34="OTHER (RENAME)","OTHER",$B$34)</f>
        <v>OTHER</v>
      </c>
      <c r="C158" s="16" t="s">
        <v>21</v>
      </c>
      <c r="D158" s="549"/>
      <c r="E158" s="549"/>
      <c r="F158" s="549"/>
      <c r="G158" s="549"/>
      <c r="H158" s="549"/>
      <c r="I158" s="549"/>
      <c r="J158" s="549"/>
      <c r="K158" s="549"/>
      <c r="L158" s="549"/>
      <c r="M158" s="549"/>
      <c r="N158" s="549"/>
      <c r="O158" s="550"/>
      <c r="P158" s="512" t="str">
        <f t="shared" si="632"/>
        <v>-</v>
      </c>
      <c r="Q158" s="4" t="str">
        <f t="shared" si="689"/>
        <v>-</v>
      </c>
    </row>
    <row r="159" spans="1:17" ht="15.75" x14ac:dyDescent="0.25">
      <c r="A159" s="870"/>
      <c r="B159" s="829"/>
      <c r="C159" s="17" t="s">
        <v>22</v>
      </c>
      <c r="D159" s="764" t="str">
        <f>IF(D158="","",D$131*D158*24)</f>
        <v/>
      </c>
      <c r="E159" s="764" t="str">
        <f t="shared" ref="E159" si="712">IF(E158="","",E$131*E158*24)</f>
        <v/>
      </c>
      <c r="F159" s="687" t="str">
        <f t="shared" ref="F159" si="713">IF(F158="","",F$131*F158*24)</f>
        <v/>
      </c>
      <c r="G159" s="687" t="str">
        <f t="shared" ref="G159" si="714">IF(G158="","",G$131*G158*24)</f>
        <v/>
      </c>
      <c r="H159" s="687" t="str">
        <f t="shared" ref="H159" si="715">IF(H158="","",H$131*H158*24)</f>
        <v/>
      </c>
      <c r="I159" s="687" t="str">
        <f t="shared" ref="I159" si="716">IF(I158="","",I$131*I158*24)</f>
        <v/>
      </c>
      <c r="J159" s="687" t="str">
        <f t="shared" ref="J159" si="717">IF(J158="","",J$131*J158*24)</f>
        <v/>
      </c>
      <c r="K159" s="687" t="str">
        <f t="shared" ref="K159" si="718">IF(K158="","",K$131*K158*24)</f>
        <v/>
      </c>
      <c r="L159" s="687" t="str">
        <f t="shared" ref="L159" si="719">IF(L158="","",L$131*L158*24)</f>
        <v/>
      </c>
      <c r="M159" s="687" t="str">
        <f t="shared" ref="M159" si="720">IF(M158="","",M$131*M158*24)</f>
        <v/>
      </c>
      <c r="N159" s="687" t="str">
        <f t="shared" ref="N159" si="721">IF(N158="","",N$131*N158*24)</f>
        <v/>
      </c>
      <c r="O159" s="688" t="str">
        <f t="shared" ref="O159" si="722">IF(O158="","",O$131*O158*24)</f>
        <v/>
      </c>
      <c r="P159" s="511" t="str">
        <f t="shared" si="632"/>
        <v>-</v>
      </c>
      <c r="Q159" s="6" t="str">
        <f t="shared" si="689"/>
        <v>-</v>
      </c>
    </row>
    <row r="160" spans="1:17" ht="15.75" customHeight="1" x14ac:dyDescent="0.25">
      <c r="A160" s="870"/>
      <c r="B160" s="832" t="s">
        <v>16</v>
      </c>
      <c r="C160" s="833"/>
      <c r="D160" s="765" t="str">
        <f>IF(SUM(D132,D134,D136,D138,D140,D142,D144,D146,D148,D150,D152,D154,D156,D158)=0,"",SUM(D132,D134,D136,D138,D140,D142,D144,D146,D148,D150,D152,D154,D156,D158))</f>
        <v/>
      </c>
      <c r="E160" s="765" t="str">
        <f t="shared" ref="E160:O160" si="723">IF(SUM(E132,E134,E136,E138,E140,E142,E144,E146,E148,E150,E152,E154,E156,E158)=0,"",SUM(E132,E134,E136,E138,E140,E142,E144,E146,E148,E150,E152,E154,E156,E158))</f>
        <v/>
      </c>
      <c r="F160" s="765" t="str">
        <f t="shared" si="723"/>
        <v/>
      </c>
      <c r="G160" s="765" t="str">
        <f t="shared" si="723"/>
        <v/>
      </c>
      <c r="H160" s="765" t="str">
        <f t="shared" si="723"/>
        <v/>
      </c>
      <c r="I160" s="765" t="str">
        <f t="shared" si="723"/>
        <v/>
      </c>
      <c r="J160" s="765" t="str">
        <f t="shared" si="723"/>
        <v/>
      </c>
      <c r="K160" s="765" t="str">
        <f t="shared" si="723"/>
        <v/>
      </c>
      <c r="L160" s="765" t="str">
        <f t="shared" si="723"/>
        <v/>
      </c>
      <c r="M160" s="765" t="str">
        <f t="shared" si="723"/>
        <v/>
      </c>
      <c r="N160" s="765" t="str">
        <f t="shared" si="723"/>
        <v/>
      </c>
      <c r="O160" s="766" t="str">
        <f t="shared" si="723"/>
        <v/>
      </c>
      <c r="P160" s="512" t="str">
        <f t="shared" si="632"/>
        <v>-</v>
      </c>
      <c r="Q160" s="4" t="str">
        <f>IF(SUM(D160:O160)=0,"-",SUM(D160:O160))</f>
        <v>-</v>
      </c>
    </row>
    <row r="161" spans="1:17" ht="15.75" customHeight="1" thickBot="1" x14ac:dyDescent="0.3">
      <c r="A161" s="871"/>
      <c r="B161" s="834" t="s">
        <v>17</v>
      </c>
      <c r="C161" s="835"/>
      <c r="D161" s="767" t="str">
        <f>IF(D160="","",SUM(D133,D135,D137,D139,D141,D143,D145,D147,D149,D151,D153,D155,D157,D159))</f>
        <v/>
      </c>
      <c r="E161" s="767" t="str">
        <f t="shared" ref="E161" si="724">IF(E160="","",SUM(E133,E135,E137,E139,E141,E143,E145,E147,E149,E151,E153,E155,E157,E159))</f>
        <v/>
      </c>
      <c r="F161" s="768" t="str">
        <f t="shared" ref="F161" si="725">IF(F160="","",SUM(F133,F135,F137,F139,F141,F143,F145,F147,F149,F151,F153,F155,F157,F159))</f>
        <v/>
      </c>
      <c r="G161" s="767" t="str">
        <f t="shared" ref="G161" si="726">IF(G160="","",SUM(G133,G135,G137,G139,G141,G143,G145,G147,G149,G151,G153,G155,G157,G159))</f>
        <v/>
      </c>
      <c r="H161" s="767" t="str">
        <f t="shared" ref="H161" si="727">IF(H160="","",SUM(H133,H135,H137,H139,H141,H143,H145,H147,H149,H151,H153,H155,H157,H159))</f>
        <v/>
      </c>
      <c r="I161" s="767" t="str">
        <f t="shared" ref="I161" si="728">IF(I160="","",SUM(I133,I135,I137,I139,I141,I143,I145,I147,I149,I151,I153,I155,I157,I159))</f>
        <v/>
      </c>
      <c r="J161" s="767" t="str">
        <f t="shared" ref="J161" si="729">IF(J160="","",SUM(J133,J135,J137,J139,J141,J143,J145,J147,J149,J151,J153,J155,J157,J159))</f>
        <v/>
      </c>
      <c r="K161" s="767" t="str">
        <f t="shared" ref="K161" si="730">IF(K160="","",SUM(K133,K135,K137,K139,K141,K143,K145,K147,K149,K151,K153,K155,K157,K159))</f>
        <v/>
      </c>
      <c r="L161" s="767" t="str">
        <f t="shared" ref="L161" si="731">IF(L160="","",SUM(L133,L135,L137,L139,L141,L143,L145,L147,L149,L151,L153,L155,L157,L159))</f>
        <v/>
      </c>
      <c r="M161" s="767" t="str">
        <f t="shared" ref="M161" si="732">IF(M160="","",SUM(M133,M135,M137,M139,M141,M143,M145,M147,M149,M151,M153,M155,M157,M159))</f>
        <v/>
      </c>
      <c r="N161" s="767" t="str">
        <f t="shared" ref="N161" si="733">IF(N160="","",SUM(N133,N135,N137,N139,N141,N143,N145,N147,N149,N151,N153,N155,N157,N159))</f>
        <v/>
      </c>
      <c r="O161" s="769" t="str">
        <f t="shared" ref="O161" si="734">IF(O160="","",SUM(O133,O135,O137,O139,O141,O143,O145,O147,O149,O151,O153,O155,O157,O159))</f>
        <v/>
      </c>
      <c r="P161" s="525" t="str">
        <f t="shared" si="632"/>
        <v>-</v>
      </c>
      <c r="Q161" s="7" t="str">
        <f>IF(SUM(D161:O161)=0,"-",SUM(D161:O161))</f>
        <v>-</v>
      </c>
    </row>
    <row r="162" spans="1:17" ht="15.75" customHeight="1" x14ac:dyDescent="0.25">
      <c r="A162" s="866" t="s">
        <v>111</v>
      </c>
      <c r="B162" s="822" t="s">
        <v>3</v>
      </c>
      <c r="C162" s="822"/>
      <c r="D162" s="547" t="str">
        <f>IF('2023DATA'!CJ3=0,"",'2023DATA'!CJ3)</f>
        <v/>
      </c>
      <c r="E162" s="547" t="str">
        <f>IF('2023DATA'!CK3=0,"",'2023DATA'!CK3)</f>
        <v/>
      </c>
      <c r="F162" s="547" t="str">
        <f>IF('2023DATA'!CL3=0,"",'2023DATA'!CL3)</f>
        <v/>
      </c>
      <c r="G162" s="547" t="str">
        <f>IF('2023DATA'!CM3=0,"",'2023DATA'!CM3)</f>
        <v/>
      </c>
      <c r="H162" s="547" t="str">
        <f>IF('2023DATA'!CN3=0,"",'2023DATA'!CN3)</f>
        <v/>
      </c>
      <c r="I162" s="547" t="str">
        <f>IF('2023DATA'!CO3=0,"",'2023DATA'!CO3)</f>
        <v/>
      </c>
      <c r="J162" s="547" t="str">
        <f>IF('2023DATA'!CP3=0,"",'2023DATA'!CP3)</f>
        <v/>
      </c>
      <c r="K162" s="547" t="str">
        <f>IF('2023DATA'!CQ3=0,"",'2023DATA'!CQ3)</f>
        <v/>
      </c>
      <c r="L162" s="547" t="str">
        <f>IF('2023DATA'!CR3=0,"",'2023DATA'!CR3)</f>
        <v/>
      </c>
      <c r="M162" s="547" t="str">
        <f>IF('2023DATA2'!CS3=0,"",'2023DATA2'!CS3)</f>
        <v/>
      </c>
      <c r="N162" s="547" t="str">
        <f>IF('2023DATA2'!CT3=0,"",'2023DATA2'!CT3)</f>
        <v/>
      </c>
      <c r="O162" s="548" t="str">
        <f>IF('2023DATA2'!CU3=0,"",'2023DATA2'!CU3)</f>
        <v/>
      </c>
      <c r="P162" s="880"/>
      <c r="Q162" s="881"/>
    </row>
    <row r="163" spans="1:17" ht="15.75" customHeight="1" x14ac:dyDescent="0.25">
      <c r="A163" s="867"/>
      <c r="B163" s="828" t="s">
        <v>7</v>
      </c>
      <c r="C163" s="16" t="s">
        <v>21</v>
      </c>
      <c r="D163" s="549"/>
      <c r="E163" s="549"/>
      <c r="F163" s="549"/>
      <c r="G163" s="549"/>
      <c r="H163" s="549"/>
      <c r="I163" s="549"/>
      <c r="J163" s="549"/>
      <c r="K163" s="549"/>
      <c r="L163" s="549"/>
      <c r="M163" s="549"/>
      <c r="N163" s="549"/>
      <c r="O163" s="550"/>
      <c r="P163" s="512" t="str">
        <f t="shared" ref="P163:P172" si="735">IF(Q163="-","-",Q163/12)</f>
        <v>-</v>
      </c>
      <c r="Q163" s="4" t="str">
        <f t="shared" ref="Q163:Q182" si="736">IF(SUM(D163:O163)=0,"-",SUM(D163:O163))</f>
        <v>-</v>
      </c>
    </row>
    <row r="164" spans="1:17" ht="15.75" customHeight="1" x14ac:dyDescent="0.25">
      <c r="A164" s="867"/>
      <c r="B164" s="829"/>
      <c r="C164" s="17" t="s">
        <v>22</v>
      </c>
      <c r="D164" s="763" t="str">
        <f>IF(D162="","",D$162*D163*24)</f>
        <v/>
      </c>
      <c r="E164" s="763" t="str">
        <f t="shared" ref="E164:O164" si="737">IF(E162="","",E$162*E163*24)</f>
        <v/>
      </c>
      <c r="F164" s="683" t="str">
        <f t="shared" si="737"/>
        <v/>
      </c>
      <c r="G164" s="683" t="str">
        <f t="shared" si="737"/>
        <v/>
      </c>
      <c r="H164" s="683" t="str">
        <f t="shared" si="737"/>
        <v/>
      </c>
      <c r="I164" s="683" t="str">
        <f t="shared" si="737"/>
        <v/>
      </c>
      <c r="J164" s="683" t="str">
        <f t="shared" si="737"/>
        <v/>
      </c>
      <c r="K164" s="683" t="str">
        <f t="shared" si="737"/>
        <v/>
      </c>
      <c r="L164" s="683" t="str">
        <f t="shared" si="737"/>
        <v/>
      </c>
      <c r="M164" s="683" t="str">
        <f t="shared" si="737"/>
        <v/>
      </c>
      <c r="N164" s="683" t="str">
        <f t="shared" si="737"/>
        <v/>
      </c>
      <c r="O164" s="686" t="str">
        <f t="shared" si="737"/>
        <v/>
      </c>
      <c r="P164" s="511" t="str">
        <f t="shared" si="735"/>
        <v>-</v>
      </c>
      <c r="Q164" s="6" t="str">
        <f t="shared" si="736"/>
        <v>-</v>
      </c>
    </row>
    <row r="165" spans="1:17" ht="15.75" customHeight="1" x14ac:dyDescent="0.25">
      <c r="A165" s="867"/>
      <c r="B165" s="827" t="s">
        <v>8</v>
      </c>
      <c r="C165" s="18" t="s">
        <v>21</v>
      </c>
      <c r="D165" s="549"/>
      <c r="E165" s="549"/>
      <c r="F165" s="549"/>
      <c r="G165" s="549"/>
      <c r="H165" s="549"/>
      <c r="I165" s="549"/>
      <c r="J165" s="549"/>
      <c r="K165" s="549"/>
      <c r="L165" s="549"/>
      <c r="M165" s="549"/>
      <c r="N165" s="549"/>
      <c r="O165" s="550"/>
      <c r="P165" s="512" t="str">
        <f t="shared" si="735"/>
        <v>-</v>
      </c>
      <c r="Q165" s="4" t="str">
        <f t="shared" si="736"/>
        <v>-</v>
      </c>
    </row>
    <row r="166" spans="1:17" ht="15.75" customHeight="1" x14ac:dyDescent="0.25">
      <c r="A166" s="867"/>
      <c r="B166" s="827"/>
      <c r="C166" s="18" t="s">
        <v>22</v>
      </c>
      <c r="D166" s="763" t="str">
        <f>IF(D165=0,"",(D162+IF(D$4="CA",DATA!$B$22,DATA!$B$23))*D165*24)</f>
        <v/>
      </c>
      <c r="E166" s="763" t="str">
        <f>IF(E165=0,"",(E162+IF(E$4="CA",DATA!$B$22,DATA!$B$23))*E165*24)</f>
        <v/>
      </c>
      <c r="F166" s="763" t="str">
        <f>IF(F165=0,"",(F162+IF(F$4="CA",DATA!$B$22,DATA!$B$23))*F165*24)</f>
        <v/>
      </c>
      <c r="G166" s="763" t="str">
        <f>IF(G165=0,"",(G162+IF(G$4="CA",DATA!$B$22,DATA!$B$23))*G165*24)</f>
        <v/>
      </c>
      <c r="H166" s="763" t="str">
        <f>IF(H165=0,"",(H162+IF(H$4="CA",DATA!$B$22,DATA!$B$23))*H165*24)</f>
        <v/>
      </c>
      <c r="I166" s="763" t="str">
        <f>IF(I165=0,"",(I162+IF(I$4="CA",DATA!$B$22,DATA!$B$23))*I165*24)</f>
        <v/>
      </c>
      <c r="J166" s="763" t="str">
        <f>IF(J165=0,"",(J162+IF(J$4="CA",DATA!$B$22,DATA!$B$23))*J165*24)</f>
        <v/>
      </c>
      <c r="K166" s="763" t="str">
        <f>IF(K165=0,"",(K162+IF(K$4="CA",DATA!$B$22,DATA!$B$23))*K165*24)</f>
        <v/>
      </c>
      <c r="L166" s="763" t="str">
        <f>IF(L165=0,"",(L162+IF(L$4="CA",DATA!$B$22,DATA!$B$23))*L165*24)</f>
        <v/>
      </c>
      <c r="M166" s="763" t="str">
        <f>IF(M165=0,"",(M162+IF(M$4="CA",DATA!$B$22,DATA!$B$23))*M165*24)</f>
        <v/>
      </c>
      <c r="N166" s="763" t="str">
        <f>IF(N165=0,"",(N162+IF(N$4="CA",DATA!$B$22,DATA!$B$23))*N165*24)</f>
        <v/>
      </c>
      <c r="O166" s="776" t="str">
        <f>IF(O165=0,"",(O162+IF(O$4="CA",DATA!$B$22,DATA!$B$23))*O165*24)</f>
        <v/>
      </c>
      <c r="P166" s="511" t="str">
        <f t="shared" si="735"/>
        <v>-</v>
      </c>
      <c r="Q166" s="6" t="str">
        <f t="shared" si="736"/>
        <v>-</v>
      </c>
    </row>
    <row r="167" spans="1:17" ht="15.75" customHeight="1" x14ac:dyDescent="0.25">
      <c r="A167" s="867"/>
      <c r="B167" s="828" t="s">
        <v>9</v>
      </c>
      <c r="C167" s="16" t="s">
        <v>21</v>
      </c>
      <c r="D167" s="549"/>
      <c r="E167" s="549"/>
      <c r="F167" s="549"/>
      <c r="G167" s="549"/>
      <c r="H167" s="549"/>
      <c r="I167" s="549"/>
      <c r="J167" s="549"/>
      <c r="K167" s="549"/>
      <c r="L167" s="549"/>
      <c r="M167" s="549"/>
      <c r="N167" s="549"/>
      <c r="O167" s="550"/>
      <c r="P167" s="512" t="str">
        <f t="shared" si="735"/>
        <v>-</v>
      </c>
      <c r="Q167" s="4" t="str">
        <f t="shared" si="736"/>
        <v>-</v>
      </c>
    </row>
    <row r="168" spans="1:17" ht="15.75" customHeight="1" x14ac:dyDescent="0.25">
      <c r="A168" s="867"/>
      <c r="B168" s="829"/>
      <c r="C168" s="17" t="s">
        <v>22</v>
      </c>
      <c r="D168" s="763" t="str">
        <f>IF(D166="","",D$162*D167*24)</f>
        <v/>
      </c>
      <c r="E168" s="763" t="str">
        <f t="shared" ref="E168" si="738">IF(E166="","",E$162*E167*24)</f>
        <v/>
      </c>
      <c r="F168" s="683" t="str">
        <f t="shared" ref="F168" si="739">IF(F166="","",F$162*F167*24)</f>
        <v/>
      </c>
      <c r="G168" s="683" t="str">
        <f t="shared" ref="G168" si="740">IF(G166="","",G$162*G167*24)</f>
        <v/>
      </c>
      <c r="H168" s="683" t="str">
        <f t="shared" ref="H168" si="741">IF(H166="","",H$162*H167*24)</f>
        <v/>
      </c>
      <c r="I168" s="683" t="str">
        <f t="shared" ref="I168" si="742">IF(I166="","",I$162*I167*24)</f>
        <v/>
      </c>
      <c r="J168" s="683" t="str">
        <f t="shared" ref="J168" si="743">IF(J166="","",J$162*J167*24)</f>
        <v/>
      </c>
      <c r="K168" s="683" t="str">
        <f t="shared" ref="K168" si="744">IF(K166="","",K$162*K167*24)</f>
        <v/>
      </c>
      <c r="L168" s="683" t="str">
        <f t="shared" ref="L168" si="745">IF(L166="","",L$162*L167*24)</f>
        <v/>
      </c>
      <c r="M168" s="683" t="str">
        <f t="shared" ref="M168" si="746">IF(M166="","",M$162*M167*24)</f>
        <v/>
      </c>
      <c r="N168" s="683" t="str">
        <f t="shared" ref="N168" si="747">IF(N166="","",N$162*N167*24)</f>
        <v/>
      </c>
      <c r="O168" s="686" t="str">
        <f t="shared" ref="O168" si="748">IF(O166="","",O$162*O167*24)</f>
        <v/>
      </c>
      <c r="P168" s="511" t="str">
        <f t="shared" si="735"/>
        <v>-</v>
      </c>
      <c r="Q168" s="6" t="str">
        <f t="shared" si="736"/>
        <v>-</v>
      </c>
    </row>
    <row r="169" spans="1:17" ht="15.75" customHeight="1" x14ac:dyDescent="0.25">
      <c r="A169" s="867"/>
      <c r="B169" s="827" t="s">
        <v>10</v>
      </c>
      <c r="C169" s="18" t="s">
        <v>21</v>
      </c>
      <c r="D169" s="549"/>
      <c r="E169" s="549"/>
      <c r="F169" s="549"/>
      <c r="G169" s="549"/>
      <c r="H169" s="549"/>
      <c r="I169" s="549"/>
      <c r="J169" s="549"/>
      <c r="K169" s="549"/>
      <c r="L169" s="549"/>
      <c r="M169" s="549"/>
      <c r="N169" s="549"/>
      <c r="O169" s="550"/>
      <c r="P169" s="512" t="str">
        <f t="shared" si="735"/>
        <v>-</v>
      </c>
      <c r="Q169" s="4" t="str">
        <f t="shared" si="736"/>
        <v>-</v>
      </c>
    </row>
    <row r="170" spans="1:17" ht="15.75" customHeight="1" x14ac:dyDescent="0.25">
      <c r="A170" s="867"/>
      <c r="B170" s="827"/>
      <c r="C170" s="18" t="s">
        <v>22</v>
      </c>
      <c r="D170" s="763" t="str">
        <f>IF(D168="","",D$162*D169*24)</f>
        <v/>
      </c>
      <c r="E170" s="763" t="str">
        <f t="shared" ref="E170" si="749">IF(E168="","",E$162*E169*24)</f>
        <v/>
      </c>
      <c r="F170" s="683" t="str">
        <f t="shared" ref="F170" si="750">IF(F168="","",F$162*F169*24)</f>
        <v/>
      </c>
      <c r="G170" s="683" t="str">
        <f t="shared" ref="G170" si="751">IF(G168="","",G$162*G169*24)</f>
        <v/>
      </c>
      <c r="H170" s="683" t="str">
        <f t="shared" ref="H170" si="752">IF(H168="","",H$162*H169*24)</f>
        <v/>
      </c>
      <c r="I170" s="683" t="str">
        <f t="shared" ref="I170" si="753">IF(I168="","",I$162*I169*24)</f>
        <v/>
      </c>
      <c r="J170" s="683" t="str">
        <f t="shared" ref="J170" si="754">IF(J168="","",J$162*J169*24)</f>
        <v/>
      </c>
      <c r="K170" s="683" t="str">
        <f t="shared" ref="K170" si="755">IF(K168="","",K$162*K169*24)</f>
        <v/>
      </c>
      <c r="L170" s="683" t="str">
        <f t="shared" ref="L170" si="756">IF(L168="","",L$162*L169*24)</f>
        <v/>
      </c>
      <c r="M170" s="683" t="str">
        <f t="shared" ref="M170" si="757">IF(M168="","",M$162*M169*24)</f>
        <v/>
      </c>
      <c r="N170" s="683" t="str">
        <f t="shared" ref="N170" si="758">IF(N168="","",N$162*N169*24)</f>
        <v/>
      </c>
      <c r="O170" s="686" t="str">
        <f t="shared" ref="O170" si="759">IF(O168="","",O$162*O169*24)</f>
        <v/>
      </c>
      <c r="P170" s="511" t="str">
        <f t="shared" si="735"/>
        <v>-</v>
      </c>
      <c r="Q170" s="6" t="str">
        <f t="shared" si="736"/>
        <v>-</v>
      </c>
    </row>
    <row r="171" spans="1:17" ht="15.75" customHeight="1" x14ac:dyDescent="0.25">
      <c r="A171" s="867"/>
      <c r="B171" s="828" t="s">
        <v>11</v>
      </c>
      <c r="C171" s="16" t="s">
        <v>21</v>
      </c>
      <c r="D171" s="549"/>
      <c r="E171" s="549"/>
      <c r="F171" s="549"/>
      <c r="G171" s="549"/>
      <c r="H171" s="549"/>
      <c r="I171" s="549"/>
      <c r="J171" s="549"/>
      <c r="K171" s="549"/>
      <c r="L171" s="549"/>
      <c r="M171" s="549"/>
      <c r="N171" s="549"/>
      <c r="O171" s="550"/>
      <c r="P171" s="512" t="str">
        <f t="shared" si="735"/>
        <v>-</v>
      </c>
      <c r="Q171" s="4" t="str">
        <f t="shared" si="736"/>
        <v>-</v>
      </c>
    </row>
    <row r="172" spans="1:17" ht="15.75" customHeight="1" x14ac:dyDescent="0.25">
      <c r="A172" s="867"/>
      <c r="B172" s="829"/>
      <c r="C172" s="17" t="s">
        <v>22</v>
      </c>
      <c r="D172" s="763" t="str">
        <f>IF(D170="","",D$162*D171*24)</f>
        <v/>
      </c>
      <c r="E172" s="763" t="str">
        <f t="shared" ref="E172" si="760">IF(E170="","",E$162*E171*24)</f>
        <v/>
      </c>
      <c r="F172" s="683" t="str">
        <f t="shared" ref="F172" si="761">IF(F170="","",F$162*F171*24)</f>
        <v/>
      </c>
      <c r="G172" s="683" t="str">
        <f t="shared" ref="G172" si="762">IF(G170="","",G$162*G171*24)</f>
        <v/>
      </c>
      <c r="H172" s="683" t="str">
        <f t="shared" ref="H172" si="763">IF(H170="","",H$162*H171*24)</f>
        <v/>
      </c>
      <c r="I172" s="683" t="str">
        <f t="shared" ref="I172" si="764">IF(I170="","",I$162*I171*24)</f>
        <v/>
      </c>
      <c r="J172" s="683" t="str">
        <f t="shared" ref="J172" si="765">IF(J170="","",J$162*J171*24)</f>
        <v/>
      </c>
      <c r="K172" s="683" t="str">
        <f t="shared" ref="K172" si="766">IF(K170="","",K$162*K171*24)</f>
        <v/>
      </c>
      <c r="L172" s="683" t="str">
        <f t="shared" ref="L172" si="767">IF(L170="","",L$162*L171*24)</f>
        <v/>
      </c>
      <c r="M172" s="683" t="str">
        <f t="shared" ref="M172" si="768">IF(M170="","",M$162*M171*24)</f>
        <v/>
      </c>
      <c r="N172" s="683" t="str">
        <f t="shared" ref="N172" si="769">IF(N170="","",N$162*N171*24)</f>
        <v/>
      </c>
      <c r="O172" s="686" t="str">
        <f t="shared" ref="O172" si="770">IF(O170="","",O$162*O171*24)</f>
        <v/>
      </c>
      <c r="P172" s="511" t="str">
        <f t="shared" si="735"/>
        <v>-</v>
      </c>
      <c r="Q172" s="6" t="str">
        <f t="shared" si="736"/>
        <v>-</v>
      </c>
    </row>
    <row r="173" spans="1:17" ht="15.75" customHeight="1" x14ac:dyDescent="0.25">
      <c r="A173" s="867"/>
      <c r="B173" s="827" t="s">
        <v>12</v>
      </c>
      <c r="C173" s="18" t="s">
        <v>21</v>
      </c>
      <c r="D173" s="549"/>
      <c r="E173" s="549"/>
      <c r="F173" s="549"/>
      <c r="G173" s="549"/>
      <c r="H173" s="549"/>
      <c r="I173" s="549"/>
      <c r="J173" s="549"/>
      <c r="K173" s="549"/>
      <c r="L173" s="549"/>
      <c r="M173" s="549"/>
      <c r="N173" s="549"/>
      <c r="O173" s="550"/>
      <c r="P173" s="512" t="str">
        <f>IF(Q173="-","-",Q173/12)</f>
        <v>-</v>
      </c>
      <c r="Q173" s="4" t="str">
        <f t="shared" si="736"/>
        <v>-</v>
      </c>
    </row>
    <row r="174" spans="1:17" ht="15.75" customHeight="1" x14ac:dyDescent="0.25">
      <c r="A174" s="867"/>
      <c r="B174" s="827"/>
      <c r="C174" s="18" t="s">
        <v>22</v>
      </c>
      <c r="D174" s="763" t="str">
        <f>IF(D172="","",D$162*D173*24)</f>
        <v/>
      </c>
      <c r="E174" s="763" t="str">
        <f t="shared" ref="E174" si="771">IF(E172="","",E$162*E173*24)</f>
        <v/>
      </c>
      <c r="F174" s="683" t="str">
        <f t="shared" ref="F174" si="772">IF(F172="","",F$162*F173*24)</f>
        <v/>
      </c>
      <c r="G174" s="683" t="str">
        <f t="shared" ref="G174" si="773">IF(G172="","",G$162*G173*24)</f>
        <v/>
      </c>
      <c r="H174" s="683" t="str">
        <f t="shared" ref="H174" si="774">IF(H172="","",H$162*H173*24)</f>
        <v/>
      </c>
      <c r="I174" s="683" t="str">
        <f t="shared" ref="I174" si="775">IF(I172="","",I$162*I173*24)</f>
        <v/>
      </c>
      <c r="J174" s="683" t="str">
        <f t="shared" ref="J174" si="776">IF(J172="","",J$162*J173*24)</f>
        <v/>
      </c>
      <c r="K174" s="683" t="str">
        <f t="shared" ref="K174" si="777">IF(K172="","",K$162*K173*24)</f>
        <v/>
      </c>
      <c r="L174" s="683" t="str">
        <f t="shared" ref="L174" si="778">IF(L172="","",L$162*L173*24)</f>
        <v/>
      </c>
      <c r="M174" s="683" t="str">
        <f t="shared" ref="M174" si="779">IF(M172="","",M$162*M173*24)</f>
        <v/>
      </c>
      <c r="N174" s="683" t="str">
        <f t="shared" ref="N174" si="780">IF(N172="","",N$162*N173*24)</f>
        <v/>
      </c>
      <c r="O174" s="686" t="str">
        <f t="shared" ref="O174" si="781">IF(O172="","",O$162*O173*24)</f>
        <v/>
      </c>
      <c r="P174" s="511" t="str">
        <f t="shared" ref="P174:P214" si="782">IF(Q174="-","-",Q174/12)</f>
        <v>-</v>
      </c>
      <c r="Q174" s="6" t="str">
        <f t="shared" si="736"/>
        <v>-</v>
      </c>
    </row>
    <row r="175" spans="1:17" ht="15.75" customHeight="1" x14ac:dyDescent="0.25">
      <c r="A175" s="867"/>
      <c r="B175" s="828" t="s">
        <v>15</v>
      </c>
      <c r="C175" s="16" t="s">
        <v>21</v>
      </c>
      <c r="D175" s="549"/>
      <c r="E175" s="549"/>
      <c r="F175" s="549"/>
      <c r="G175" s="549"/>
      <c r="H175" s="549"/>
      <c r="I175" s="549"/>
      <c r="J175" s="549"/>
      <c r="K175" s="549"/>
      <c r="L175" s="549"/>
      <c r="M175" s="549"/>
      <c r="N175" s="549"/>
      <c r="O175" s="550"/>
      <c r="P175" s="512" t="str">
        <f t="shared" si="782"/>
        <v>-</v>
      </c>
      <c r="Q175" s="4" t="str">
        <f t="shared" si="736"/>
        <v>-</v>
      </c>
    </row>
    <row r="176" spans="1:17" ht="15.75" customHeight="1" x14ac:dyDescent="0.25">
      <c r="A176" s="867"/>
      <c r="B176" s="829"/>
      <c r="C176" s="17" t="s">
        <v>22</v>
      </c>
      <c r="D176" s="763" t="str">
        <f>IF(D174="","",D$162*D175*24)</f>
        <v/>
      </c>
      <c r="E176" s="763" t="str">
        <f t="shared" ref="E176" si="783">IF(E174="","",E$162*E175*24)</f>
        <v/>
      </c>
      <c r="F176" s="683" t="str">
        <f t="shared" ref="F176" si="784">IF(F174="","",F$162*F175*24)</f>
        <v/>
      </c>
      <c r="G176" s="683" t="str">
        <f t="shared" ref="G176" si="785">IF(G174="","",G$162*G175*24)</f>
        <v/>
      </c>
      <c r="H176" s="683" t="str">
        <f t="shared" ref="H176" si="786">IF(H174="","",H$162*H175*24)</f>
        <v/>
      </c>
      <c r="I176" s="683" t="str">
        <f t="shared" ref="I176" si="787">IF(I174="","",I$162*I175*24)</f>
        <v/>
      </c>
      <c r="J176" s="683" t="str">
        <f t="shared" ref="J176" si="788">IF(J174="","",J$162*J175*24)</f>
        <v/>
      </c>
      <c r="K176" s="683" t="str">
        <f t="shared" ref="K176" si="789">IF(K174="","",K$162*K175*24)</f>
        <v/>
      </c>
      <c r="L176" s="683" t="str">
        <f t="shared" ref="L176" si="790">IF(L174="","",L$162*L175*24)</f>
        <v/>
      </c>
      <c r="M176" s="683" t="str">
        <f t="shared" ref="M176" si="791">IF(M174="","",M$162*M175*24)</f>
        <v/>
      </c>
      <c r="N176" s="683" t="str">
        <f t="shared" ref="N176" si="792">IF(N174="","",N$162*N175*24)</f>
        <v/>
      </c>
      <c r="O176" s="686" t="str">
        <f t="shared" ref="O176" si="793">IF(O174="","",O$162*O175*24)</f>
        <v/>
      </c>
      <c r="P176" s="511" t="str">
        <f t="shared" si="782"/>
        <v>-</v>
      </c>
      <c r="Q176" s="6" t="str">
        <f t="shared" si="736"/>
        <v>-</v>
      </c>
    </row>
    <row r="177" spans="1:17" ht="15.75" customHeight="1" x14ac:dyDescent="0.25">
      <c r="A177" s="867"/>
      <c r="B177" s="827" t="s">
        <v>13</v>
      </c>
      <c r="C177" s="18" t="s">
        <v>21</v>
      </c>
      <c r="D177" s="549"/>
      <c r="E177" s="549"/>
      <c r="F177" s="549"/>
      <c r="G177" s="549"/>
      <c r="H177" s="549"/>
      <c r="I177" s="549"/>
      <c r="J177" s="549"/>
      <c r="K177" s="549"/>
      <c r="L177" s="549"/>
      <c r="M177" s="549"/>
      <c r="N177" s="549"/>
      <c r="O177" s="550"/>
      <c r="P177" s="512" t="str">
        <f t="shared" si="782"/>
        <v>-</v>
      </c>
      <c r="Q177" s="4" t="str">
        <f t="shared" si="736"/>
        <v>-</v>
      </c>
    </row>
    <row r="178" spans="1:17" ht="15.75" customHeight="1" x14ac:dyDescent="0.25">
      <c r="A178" s="867"/>
      <c r="B178" s="827"/>
      <c r="C178" s="18" t="s">
        <v>22</v>
      </c>
      <c r="D178" s="763" t="str">
        <f>IF(D176="","",D$162*D177*24)</f>
        <v/>
      </c>
      <c r="E178" s="763" t="str">
        <f t="shared" ref="E178" si="794">IF(E176="","",E$162*E177*24)</f>
        <v/>
      </c>
      <c r="F178" s="683" t="str">
        <f t="shared" ref="F178" si="795">IF(F176="","",F$162*F177*24)</f>
        <v/>
      </c>
      <c r="G178" s="683" t="str">
        <f t="shared" ref="G178" si="796">IF(G176="","",G$162*G177*24)</f>
        <v/>
      </c>
      <c r="H178" s="683" t="str">
        <f t="shared" ref="H178" si="797">IF(H176="","",H$162*H177*24)</f>
        <v/>
      </c>
      <c r="I178" s="683" t="str">
        <f t="shared" ref="I178" si="798">IF(I176="","",I$162*I177*24)</f>
        <v/>
      </c>
      <c r="J178" s="683" t="str">
        <f t="shared" ref="J178" si="799">IF(J176="","",J$162*J177*24)</f>
        <v/>
      </c>
      <c r="K178" s="683" t="str">
        <f t="shared" ref="K178" si="800">IF(K176="","",K$162*K177*24)</f>
        <v/>
      </c>
      <c r="L178" s="683" t="str">
        <f t="shared" ref="L178" si="801">IF(L176="","",L$162*L177*24)</f>
        <v/>
      </c>
      <c r="M178" s="683" t="str">
        <f t="shared" ref="M178" si="802">IF(M176="","",M$162*M177*24)</f>
        <v/>
      </c>
      <c r="N178" s="683" t="str">
        <f t="shared" ref="N178" si="803">IF(N176="","",N$162*N177*24)</f>
        <v/>
      </c>
      <c r="O178" s="686" t="str">
        <f t="shared" ref="O178" si="804">IF(O176="","",O$162*O177*24)</f>
        <v/>
      </c>
      <c r="P178" s="511" t="str">
        <f t="shared" si="782"/>
        <v>-</v>
      </c>
      <c r="Q178" s="6" t="str">
        <f t="shared" si="736"/>
        <v>-</v>
      </c>
    </row>
    <row r="179" spans="1:17" ht="15.75" customHeight="1" x14ac:dyDescent="0.25">
      <c r="A179" s="867"/>
      <c r="B179" s="828" t="s">
        <v>20</v>
      </c>
      <c r="C179" s="16" t="s">
        <v>21</v>
      </c>
      <c r="D179" s="549"/>
      <c r="E179" s="549"/>
      <c r="F179" s="549"/>
      <c r="G179" s="549"/>
      <c r="H179" s="549"/>
      <c r="I179" s="549"/>
      <c r="J179" s="549"/>
      <c r="K179" s="549"/>
      <c r="L179" s="549"/>
      <c r="M179" s="549"/>
      <c r="N179" s="549"/>
      <c r="O179" s="550"/>
      <c r="P179" s="512" t="str">
        <f t="shared" si="782"/>
        <v>-</v>
      </c>
      <c r="Q179" s="4" t="str">
        <f t="shared" si="736"/>
        <v>-</v>
      </c>
    </row>
    <row r="180" spans="1:17" ht="15.75" customHeight="1" x14ac:dyDescent="0.25">
      <c r="A180" s="867"/>
      <c r="B180" s="829"/>
      <c r="C180" s="17" t="s">
        <v>22</v>
      </c>
      <c r="D180" s="763" t="str">
        <f>IF(D178="","",D$162*D179*24)</f>
        <v/>
      </c>
      <c r="E180" s="763" t="str">
        <f t="shared" ref="E180" si="805">IF(E178="","",E$162*E179*24)</f>
        <v/>
      </c>
      <c r="F180" s="683" t="str">
        <f t="shared" ref="F180" si="806">IF(F178="","",F$162*F179*24)</f>
        <v/>
      </c>
      <c r="G180" s="683" t="str">
        <f t="shared" ref="G180" si="807">IF(G178="","",G$162*G179*24)</f>
        <v/>
      </c>
      <c r="H180" s="683" t="str">
        <f t="shared" ref="H180" si="808">IF(H178="","",H$162*H179*24)</f>
        <v/>
      </c>
      <c r="I180" s="683" t="str">
        <f t="shared" ref="I180" si="809">IF(I178="","",I$162*I179*24)</f>
        <v/>
      </c>
      <c r="J180" s="683" t="str">
        <f t="shared" ref="J180" si="810">IF(J178="","",J$162*J179*24)</f>
        <v/>
      </c>
      <c r="K180" s="683" t="str">
        <f t="shared" ref="K180" si="811">IF(K178="","",K$162*K179*24)</f>
        <v/>
      </c>
      <c r="L180" s="683" t="str">
        <f t="shared" ref="L180" si="812">IF(L178="","",L$162*L179*24)</f>
        <v/>
      </c>
      <c r="M180" s="683" t="str">
        <f t="shared" ref="M180" si="813">IF(M178="","",M$162*M179*24)</f>
        <v/>
      </c>
      <c r="N180" s="683" t="str">
        <f t="shared" ref="N180" si="814">IF(N178="","",N$162*N179*24)</f>
        <v/>
      </c>
      <c r="O180" s="686" t="str">
        <f t="shared" ref="O180" si="815">IF(O178="","",O$162*O179*24)</f>
        <v/>
      </c>
      <c r="P180" s="511" t="str">
        <f t="shared" si="782"/>
        <v>-</v>
      </c>
      <c r="Q180" s="6" t="str">
        <f t="shared" si="736"/>
        <v>-</v>
      </c>
    </row>
    <row r="181" spans="1:17" ht="15.75" customHeight="1" x14ac:dyDescent="0.25">
      <c r="A181" s="867"/>
      <c r="B181" s="827" t="s">
        <v>1</v>
      </c>
      <c r="C181" s="18" t="s">
        <v>21</v>
      </c>
      <c r="D181" s="549"/>
      <c r="E181" s="549"/>
      <c r="F181" s="549"/>
      <c r="G181" s="549"/>
      <c r="H181" s="549"/>
      <c r="I181" s="549"/>
      <c r="J181" s="549"/>
      <c r="K181" s="549"/>
      <c r="L181" s="549"/>
      <c r="M181" s="549"/>
      <c r="N181" s="549"/>
      <c r="O181" s="550"/>
      <c r="P181" s="512" t="str">
        <f t="shared" si="782"/>
        <v>-</v>
      </c>
      <c r="Q181" s="4" t="str">
        <f t="shared" si="736"/>
        <v>-</v>
      </c>
    </row>
    <row r="182" spans="1:17" ht="15.75" customHeight="1" x14ac:dyDescent="0.25">
      <c r="A182" s="867"/>
      <c r="B182" s="827"/>
      <c r="C182" s="18" t="s">
        <v>22</v>
      </c>
      <c r="D182" s="763" t="str">
        <f>IF(D180="","",D$162*D181*24)</f>
        <v/>
      </c>
      <c r="E182" s="763" t="str">
        <f t="shared" ref="E182" si="816">IF(E180="","",E$162*E181*24)</f>
        <v/>
      </c>
      <c r="F182" s="683" t="str">
        <f t="shared" ref="F182" si="817">IF(F180="","",F$162*F181*24)</f>
        <v/>
      </c>
      <c r="G182" s="683" t="str">
        <f t="shared" ref="G182" si="818">IF(G180="","",G$162*G181*24)</f>
        <v/>
      </c>
      <c r="H182" s="683" t="str">
        <f t="shared" ref="H182" si="819">IF(H180="","",H$162*H181*24)</f>
        <v/>
      </c>
      <c r="I182" s="683" t="str">
        <f t="shared" ref="I182" si="820">IF(I180="","",I$162*I181*24)</f>
        <v/>
      </c>
      <c r="J182" s="683" t="str">
        <f t="shared" ref="J182" si="821">IF(J180="","",J$162*J181*24)</f>
        <v/>
      </c>
      <c r="K182" s="683" t="str">
        <f t="shared" ref="K182" si="822">IF(K180="","",K$162*K181*24)</f>
        <v/>
      </c>
      <c r="L182" s="683" t="str">
        <f t="shared" ref="L182" si="823">IF(L180="","",L$162*L181*24)</f>
        <v/>
      </c>
      <c r="M182" s="683" t="str">
        <f t="shared" ref="M182" si="824">IF(M180="","",M$162*M181*24)</f>
        <v/>
      </c>
      <c r="N182" s="683" t="str">
        <f t="shared" ref="N182" si="825">IF(N180="","",N$162*N181*24)</f>
        <v/>
      </c>
      <c r="O182" s="686" t="str">
        <f t="shared" ref="O182" si="826">IF(O180="","",O$162*O181*24)</f>
        <v/>
      </c>
      <c r="P182" s="511" t="str">
        <f t="shared" si="782"/>
        <v>-</v>
      </c>
      <c r="Q182" s="6" t="str">
        <f t="shared" si="736"/>
        <v>-</v>
      </c>
    </row>
    <row r="183" spans="1:17" ht="15.75" customHeight="1" x14ac:dyDescent="0.25">
      <c r="A183" s="867"/>
      <c r="B183" s="828" t="str">
        <f>IF($B$28="OTHER (RENAME)","OTHER",$B$28)</f>
        <v>OTHER</v>
      </c>
      <c r="C183" s="19" t="s">
        <v>21</v>
      </c>
      <c r="D183" s="549"/>
      <c r="E183" s="549"/>
      <c r="F183" s="549"/>
      <c r="G183" s="549"/>
      <c r="H183" s="549"/>
      <c r="I183" s="549"/>
      <c r="J183" s="549"/>
      <c r="K183" s="549"/>
      <c r="L183" s="549"/>
      <c r="M183" s="549"/>
      <c r="N183" s="549"/>
      <c r="O183" s="550"/>
      <c r="P183" s="512" t="str">
        <f t="shared" si="782"/>
        <v>-</v>
      </c>
      <c r="Q183" s="4" t="str">
        <f t="shared" ref="Q183:Q184" si="827">IF(SUM(D183:O183)=0,"-",SUM(D183:O183))</f>
        <v>-</v>
      </c>
    </row>
    <row r="184" spans="1:17" ht="15.75" customHeight="1" x14ac:dyDescent="0.25">
      <c r="A184" s="867"/>
      <c r="B184" s="829"/>
      <c r="C184" s="20" t="s">
        <v>22</v>
      </c>
      <c r="D184" s="764" t="str">
        <f>IF(D182="","",D$162*D183*24)</f>
        <v/>
      </c>
      <c r="E184" s="764" t="str">
        <f t="shared" ref="E184" si="828">IF(E182="","",E$162*E183*24)</f>
        <v/>
      </c>
      <c r="F184" s="687" t="str">
        <f t="shared" ref="F184" si="829">IF(F182="","",F$162*F183*24)</f>
        <v/>
      </c>
      <c r="G184" s="687" t="str">
        <f t="shared" ref="G184" si="830">IF(G182="","",G$162*G183*24)</f>
        <v/>
      </c>
      <c r="H184" s="687" t="str">
        <f t="shared" ref="H184" si="831">IF(H182="","",H$162*H183*24)</f>
        <v/>
      </c>
      <c r="I184" s="687" t="str">
        <f t="shared" ref="I184" si="832">IF(I182="","",I$162*I183*24)</f>
        <v/>
      </c>
      <c r="J184" s="687" t="str">
        <f t="shared" ref="J184" si="833">IF(J182="","",J$162*J183*24)</f>
        <v/>
      </c>
      <c r="K184" s="687" t="str">
        <f t="shared" ref="K184" si="834">IF(K182="","",K$162*K183*24)</f>
        <v/>
      </c>
      <c r="L184" s="687" t="str">
        <f t="shared" ref="L184" si="835">IF(L182="","",L$162*L183*24)</f>
        <v/>
      </c>
      <c r="M184" s="687" t="str">
        <f t="shared" ref="M184" si="836">IF(M182="","",M$162*M183*24)</f>
        <v/>
      </c>
      <c r="N184" s="687" t="str">
        <f t="shared" ref="N184" si="837">IF(N182="","",N$162*N183*24)</f>
        <v/>
      </c>
      <c r="O184" s="688" t="str">
        <f t="shared" ref="O184" si="838">IF(O182="","",O$162*O183*24)</f>
        <v/>
      </c>
      <c r="P184" s="511" t="str">
        <f t="shared" si="782"/>
        <v>-</v>
      </c>
      <c r="Q184" s="6" t="str">
        <f t="shared" si="827"/>
        <v>-</v>
      </c>
    </row>
    <row r="185" spans="1:17" ht="15.75" x14ac:dyDescent="0.25">
      <c r="A185" s="867"/>
      <c r="B185" s="828" t="str">
        <f>IF($B$30="OTHER (RENAME)","OTHER",$B$30)</f>
        <v>OTHER</v>
      </c>
      <c r="C185" s="16" t="s">
        <v>21</v>
      </c>
      <c r="D185" s="549"/>
      <c r="E185" s="549"/>
      <c r="F185" s="549"/>
      <c r="G185" s="549"/>
      <c r="H185" s="549"/>
      <c r="I185" s="549"/>
      <c r="J185" s="549"/>
      <c r="K185" s="549"/>
      <c r="L185" s="549"/>
      <c r="M185" s="549"/>
      <c r="N185" s="549"/>
      <c r="O185" s="550"/>
      <c r="P185" s="512" t="str">
        <f t="shared" si="782"/>
        <v>-</v>
      </c>
      <c r="Q185" s="4" t="str">
        <f t="shared" ref="Q185:Q190" si="839">IF(SUM(D185:O185)=0,"-",SUM(D185:O185))</f>
        <v>-</v>
      </c>
    </row>
    <row r="186" spans="1:17" ht="15.75" x14ac:dyDescent="0.25">
      <c r="A186" s="867"/>
      <c r="B186" s="829"/>
      <c r="C186" s="17" t="s">
        <v>22</v>
      </c>
      <c r="D186" s="764" t="str">
        <f>IF(D184="","",D$162*D185*24)</f>
        <v/>
      </c>
      <c r="E186" s="764" t="str">
        <f t="shared" ref="E186" si="840">IF(E184="","",E$162*E185*24)</f>
        <v/>
      </c>
      <c r="F186" s="687" t="str">
        <f t="shared" ref="F186" si="841">IF(F184="","",F$162*F185*24)</f>
        <v/>
      </c>
      <c r="G186" s="687" t="str">
        <f t="shared" ref="G186" si="842">IF(G184="","",G$162*G185*24)</f>
        <v/>
      </c>
      <c r="H186" s="687" t="str">
        <f t="shared" ref="H186" si="843">IF(H184="","",H$162*H185*24)</f>
        <v/>
      </c>
      <c r="I186" s="687" t="str">
        <f t="shared" ref="I186" si="844">IF(I184="","",I$162*I185*24)</f>
        <v/>
      </c>
      <c r="J186" s="687" t="str">
        <f t="shared" ref="J186" si="845">IF(J184="","",J$162*J185*24)</f>
        <v/>
      </c>
      <c r="K186" s="687" t="str">
        <f t="shared" ref="K186" si="846">IF(K184="","",K$162*K185*24)</f>
        <v/>
      </c>
      <c r="L186" s="687" t="str">
        <f t="shared" ref="L186" si="847">IF(L184="","",L$162*L185*24)</f>
        <v/>
      </c>
      <c r="M186" s="687" t="str">
        <f t="shared" ref="M186" si="848">IF(M184="","",M$162*M185*24)</f>
        <v/>
      </c>
      <c r="N186" s="687" t="str">
        <f t="shared" ref="N186" si="849">IF(N184="","",N$162*N185*24)</f>
        <v/>
      </c>
      <c r="O186" s="688" t="str">
        <f t="shared" ref="O186" si="850">IF(O184="","",O$162*O185*24)</f>
        <v/>
      </c>
      <c r="P186" s="511" t="str">
        <f t="shared" si="782"/>
        <v>-</v>
      </c>
      <c r="Q186" s="6" t="str">
        <f t="shared" si="839"/>
        <v>-</v>
      </c>
    </row>
    <row r="187" spans="1:17" ht="15.75" x14ac:dyDescent="0.25">
      <c r="A187" s="867"/>
      <c r="B187" s="828" t="str">
        <f>IF($B$32="OTHER (RENAME)","OTHER",$B$32)</f>
        <v>OTHER</v>
      </c>
      <c r="C187" s="16" t="s">
        <v>21</v>
      </c>
      <c r="D187" s="549"/>
      <c r="E187" s="549"/>
      <c r="F187" s="549"/>
      <c r="G187" s="549"/>
      <c r="H187" s="549"/>
      <c r="I187" s="549"/>
      <c r="J187" s="549"/>
      <c r="K187" s="549"/>
      <c r="L187" s="549"/>
      <c r="M187" s="549"/>
      <c r="N187" s="549"/>
      <c r="O187" s="550"/>
      <c r="P187" s="512" t="str">
        <f t="shared" si="782"/>
        <v>-</v>
      </c>
      <c r="Q187" s="4" t="str">
        <f t="shared" si="839"/>
        <v>-</v>
      </c>
    </row>
    <row r="188" spans="1:17" ht="15.75" x14ac:dyDescent="0.25">
      <c r="A188" s="867"/>
      <c r="B188" s="829"/>
      <c r="C188" s="17" t="s">
        <v>22</v>
      </c>
      <c r="D188" s="764" t="str">
        <f>IF(D186="","",D$162*D187*24)</f>
        <v/>
      </c>
      <c r="E188" s="764" t="str">
        <f t="shared" ref="E188" si="851">IF(E186="","",E$162*E187*24)</f>
        <v/>
      </c>
      <c r="F188" s="687" t="str">
        <f t="shared" ref="F188" si="852">IF(F186="","",F$162*F187*24)</f>
        <v/>
      </c>
      <c r="G188" s="687" t="str">
        <f t="shared" ref="G188" si="853">IF(G186="","",G$162*G187*24)</f>
        <v/>
      </c>
      <c r="H188" s="687" t="str">
        <f t="shared" ref="H188" si="854">IF(H186="","",H$162*H187*24)</f>
        <v/>
      </c>
      <c r="I188" s="687" t="str">
        <f t="shared" ref="I188" si="855">IF(I186="","",I$162*I187*24)</f>
        <v/>
      </c>
      <c r="J188" s="687" t="str">
        <f t="shared" ref="J188" si="856">IF(J186="","",J$162*J187*24)</f>
        <v/>
      </c>
      <c r="K188" s="687" t="str">
        <f t="shared" ref="K188" si="857">IF(K186="","",K$162*K187*24)</f>
        <v/>
      </c>
      <c r="L188" s="687" t="str">
        <f t="shared" ref="L188" si="858">IF(L186="","",L$162*L187*24)</f>
        <v/>
      </c>
      <c r="M188" s="687" t="str">
        <f t="shared" ref="M188" si="859">IF(M186="","",M$162*M187*24)</f>
        <v/>
      </c>
      <c r="N188" s="687" t="str">
        <f t="shared" ref="N188" si="860">IF(N186="","",N$162*N187*24)</f>
        <v/>
      </c>
      <c r="O188" s="688" t="str">
        <f t="shared" ref="O188" si="861">IF(O186="","",O$162*O187*24)</f>
        <v/>
      </c>
      <c r="P188" s="511" t="str">
        <f t="shared" si="782"/>
        <v>-</v>
      </c>
      <c r="Q188" s="6" t="str">
        <f t="shared" si="839"/>
        <v>-</v>
      </c>
    </row>
    <row r="189" spans="1:17" ht="15.75" x14ac:dyDescent="0.25">
      <c r="A189" s="867"/>
      <c r="B189" s="828" t="str">
        <f>IF($B$34="OTHER (RENAME)","OTHER",$B$34)</f>
        <v>OTHER</v>
      </c>
      <c r="C189" s="16" t="s">
        <v>21</v>
      </c>
      <c r="D189" s="549"/>
      <c r="E189" s="549"/>
      <c r="F189" s="549"/>
      <c r="G189" s="549"/>
      <c r="H189" s="549"/>
      <c r="I189" s="549"/>
      <c r="J189" s="549"/>
      <c r="K189" s="549"/>
      <c r="L189" s="549"/>
      <c r="M189" s="549"/>
      <c r="N189" s="549"/>
      <c r="O189" s="550"/>
      <c r="P189" s="512" t="str">
        <f t="shared" si="782"/>
        <v>-</v>
      </c>
      <c r="Q189" s="4" t="str">
        <f t="shared" si="839"/>
        <v>-</v>
      </c>
    </row>
    <row r="190" spans="1:17" ht="15.75" x14ac:dyDescent="0.25">
      <c r="A190" s="867"/>
      <c r="B190" s="829"/>
      <c r="C190" s="17" t="s">
        <v>22</v>
      </c>
      <c r="D190" s="764" t="str">
        <f>IF(D188="","",D$162*D189*24)</f>
        <v/>
      </c>
      <c r="E190" s="764" t="str">
        <f t="shared" ref="E190" si="862">IF(E188="","",E$162*E189*24)</f>
        <v/>
      </c>
      <c r="F190" s="687" t="str">
        <f t="shared" ref="F190" si="863">IF(F188="","",F$162*F189*24)</f>
        <v/>
      </c>
      <c r="G190" s="687" t="str">
        <f t="shared" ref="G190" si="864">IF(G188="","",G$162*G189*24)</f>
        <v/>
      </c>
      <c r="H190" s="687" t="str">
        <f t="shared" ref="H190" si="865">IF(H188="","",H$162*H189*24)</f>
        <v/>
      </c>
      <c r="I190" s="687" t="str">
        <f t="shared" ref="I190" si="866">IF(I188="","",I$162*I189*24)</f>
        <v/>
      </c>
      <c r="J190" s="687" t="str">
        <f t="shared" ref="J190" si="867">IF(J188="","",J$162*J189*24)</f>
        <v/>
      </c>
      <c r="K190" s="687" t="str">
        <f t="shared" ref="K190" si="868">IF(K188="","",K$162*K189*24)</f>
        <v/>
      </c>
      <c r="L190" s="687" t="str">
        <f t="shared" ref="L190" si="869">IF(L188="","",L$162*L189*24)</f>
        <v/>
      </c>
      <c r="M190" s="687" t="str">
        <f t="shared" ref="M190" si="870">IF(M188="","",M$162*M189*24)</f>
        <v/>
      </c>
      <c r="N190" s="687" t="str">
        <f t="shared" ref="N190" si="871">IF(N188="","",N$162*N189*24)</f>
        <v/>
      </c>
      <c r="O190" s="688" t="str">
        <f t="shared" ref="O190" si="872">IF(O188="","",O$162*O189*24)</f>
        <v/>
      </c>
      <c r="P190" s="511" t="str">
        <f t="shared" si="782"/>
        <v>-</v>
      </c>
      <c r="Q190" s="6" t="str">
        <f t="shared" si="839"/>
        <v>-</v>
      </c>
    </row>
    <row r="191" spans="1:17" ht="15.75" customHeight="1" x14ac:dyDescent="0.25">
      <c r="A191" s="867"/>
      <c r="B191" s="938" t="s">
        <v>16</v>
      </c>
      <c r="C191" s="939"/>
      <c r="D191" s="770" t="str">
        <f>IF(SUM(D163,D165,D167,D169,D171,D173,D175,D177,D179,D181,D183,D185,D187,D189)=0,"",SUM(D163,D165,D167,D169,D171,D173,D175,D177,D179,D181,D183,D185,D187,D189))</f>
        <v/>
      </c>
      <c r="E191" s="770" t="str">
        <f t="shared" ref="E191:O191" si="873">IF(SUM(E163,E165,E167,E169,E171,E173,E175,E177,E179,E181,E183,E185,E187,E189)=0,"",SUM(E163,E165,E167,E169,E171,E173,E175,E177,E179,E181,E183,E185,E187,E189))</f>
        <v/>
      </c>
      <c r="F191" s="770" t="str">
        <f t="shared" si="873"/>
        <v/>
      </c>
      <c r="G191" s="770" t="str">
        <f t="shared" si="873"/>
        <v/>
      </c>
      <c r="H191" s="770" t="str">
        <f t="shared" si="873"/>
        <v/>
      </c>
      <c r="I191" s="770" t="str">
        <f t="shared" si="873"/>
        <v/>
      </c>
      <c r="J191" s="770" t="str">
        <f t="shared" si="873"/>
        <v/>
      </c>
      <c r="K191" s="770" t="str">
        <f t="shared" si="873"/>
        <v/>
      </c>
      <c r="L191" s="770" t="str">
        <f t="shared" si="873"/>
        <v/>
      </c>
      <c r="M191" s="770" t="str">
        <f t="shared" si="873"/>
        <v/>
      </c>
      <c r="N191" s="770" t="str">
        <f t="shared" si="873"/>
        <v/>
      </c>
      <c r="O191" s="771" t="str">
        <f t="shared" si="873"/>
        <v/>
      </c>
      <c r="P191" s="512" t="str">
        <f t="shared" si="782"/>
        <v>-</v>
      </c>
      <c r="Q191" s="4" t="str">
        <f t="shared" ref="Q191:Q212" si="874">IF(SUM(D191:O191)=0,"-",SUM(D191:O191))</f>
        <v>-</v>
      </c>
    </row>
    <row r="192" spans="1:17" ht="15.75" customHeight="1" thickBot="1" x14ac:dyDescent="0.3">
      <c r="A192" s="868"/>
      <c r="B192" s="936" t="s">
        <v>17</v>
      </c>
      <c r="C192" s="937"/>
      <c r="D192" s="772" t="str">
        <f>IF(D191="","",SUM(D164,D166,D168,D170,D172,D174,D176,D178,D180,D182,D184,D186,D188,D190))</f>
        <v/>
      </c>
      <c r="E192" s="772" t="str">
        <f t="shared" ref="E192" si="875">IF(E191="","",SUM(E164,E166,E168,E170,E172,E174,E176,E178,E180,E182,E184,E186,E188,E190))</f>
        <v/>
      </c>
      <c r="F192" s="773" t="str">
        <f t="shared" ref="F192" si="876">IF(F191="","",SUM(F164,F166,F168,F170,F172,F174,F176,F178,F180,F182,F184,F186,F188,F190))</f>
        <v/>
      </c>
      <c r="G192" s="772" t="str">
        <f t="shared" ref="G192" si="877">IF(G191="","",SUM(G164,G166,G168,G170,G172,G174,G176,G178,G180,G182,G184,G186,G188,G190))</f>
        <v/>
      </c>
      <c r="H192" s="772" t="str">
        <f t="shared" ref="H192" si="878">IF(H191="","",SUM(H164,H166,H168,H170,H172,H174,H176,H178,H180,H182,H184,H186,H188,H190))</f>
        <v/>
      </c>
      <c r="I192" s="772" t="str">
        <f t="shared" ref="I192" si="879">IF(I191="","",SUM(I164,I166,I168,I170,I172,I174,I176,I178,I180,I182,I184,I186,I188,I190))</f>
        <v/>
      </c>
      <c r="J192" s="772" t="str">
        <f t="shared" ref="J192" si="880">IF(J191="","",SUM(J164,J166,J168,J170,J172,J174,J176,J178,J180,J182,J184,J186,J188,J190))</f>
        <v/>
      </c>
      <c r="K192" s="772" t="str">
        <f t="shared" ref="K192" si="881">IF(K191="","",SUM(K164,K166,K168,K170,K172,K174,K176,K178,K180,K182,K184,K186,K188,K190))</f>
        <v/>
      </c>
      <c r="L192" s="772" t="str">
        <f t="shared" ref="L192" si="882">IF(L191="","",SUM(L164,L166,L168,L170,L172,L174,L176,L178,L180,L182,L184,L186,L188,L190))</f>
        <v/>
      </c>
      <c r="M192" s="772" t="str">
        <f t="shared" ref="M192" si="883">IF(M191="","",SUM(M164,M166,M168,M170,M172,M174,M176,M178,M180,M182,M184,M186,M188,M190))</f>
        <v/>
      </c>
      <c r="N192" s="772" t="str">
        <f t="shared" ref="N192" si="884">IF(N191="","",SUM(N164,N166,N168,N170,N172,N174,N176,N178,N180,N182,N184,N186,N188,N190))</f>
        <v/>
      </c>
      <c r="O192" s="774" t="str">
        <f t="shared" ref="O192" si="885">IF(O191="","",SUM(O164,O166,O168,O170,O172,O174,O176,O178,O180,O182,O184,O186,O188,O190))</f>
        <v/>
      </c>
      <c r="P192" s="525" t="str">
        <f t="shared" si="782"/>
        <v>-</v>
      </c>
      <c r="Q192" s="7" t="str">
        <f t="shared" si="874"/>
        <v>-</v>
      </c>
    </row>
    <row r="193" spans="1:17" ht="15" customHeight="1" collapsed="1" x14ac:dyDescent="0.25">
      <c r="A193" s="914" t="s">
        <v>155</v>
      </c>
      <c r="B193" s="927" t="s">
        <v>7</v>
      </c>
      <c r="C193" s="526" t="s">
        <v>21</v>
      </c>
      <c r="D193" s="719" t="str">
        <f>IF(SUM(D8,D39,D70,D101,D132,D163)=0,"",SUM(D8,D39,D70,D101,D132,D163))</f>
        <v/>
      </c>
      <c r="E193" s="719" t="str">
        <f t="shared" ref="E193:O193" si="886">IF(SUM(E8,E39,E70,E101,E132,E163)=0,"",SUM(E8,E39,E70,E101,E132,E163))</f>
        <v/>
      </c>
      <c r="F193" s="719" t="str">
        <f t="shared" si="886"/>
        <v/>
      </c>
      <c r="G193" s="719" t="str">
        <f t="shared" si="886"/>
        <v/>
      </c>
      <c r="H193" s="719" t="str">
        <f t="shared" si="886"/>
        <v/>
      </c>
      <c r="I193" s="719" t="str">
        <f t="shared" si="886"/>
        <v/>
      </c>
      <c r="J193" s="719" t="str">
        <f t="shared" si="886"/>
        <v/>
      </c>
      <c r="K193" s="719" t="str">
        <f t="shared" si="886"/>
        <v/>
      </c>
      <c r="L193" s="719" t="str">
        <f t="shared" si="886"/>
        <v/>
      </c>
      <c r="M193" s="719" t="str">
        <f t="shared" si="886"/>
        <v/>
      </c>
      <c r="N193" s="719" t="str">
        <f t="shared" si="886"/>
        <v/>
      </c>
      <c r="O193" s="720" t="str">
        <f t="shared" si="886"/>
        <v/>
      </c>
      <c r="P193" s="630" t="str">
        <f t="shared" si="782"/>
        <v>-</v>
      </c>
      <c r="Q193" s="5" t="str">
        <f t="shared" si="874"/>
        <v>-</v>
      </c>
    </row>
    <row r="194" spans="1:17" ht="15" customHeight="1" x14ac:dyDescent="0.25">
      <c r="A194" s="915"/>
      <c r="B194" s="837"/>
      <c r="C194" s="17" t="s">
        <v>22</v>
      </c>
      <c r="D194" s="681" t="str">
        <f t="shared" ref="D194:O220" si="887">IF(SUM(D9,D40,D71,D102,D133,D164)=0,"",SUM(D9,D40,D71,D102,D133,D164))</f>
        <v/>
      </c>
      <c r="E194" s="681" t="str">
        <f t="shared" si="887"/>
        <v/>
      </c>
      <c r="F194" s="681" t="str">
        <f t="shared" si="887"/>
        <v/>
      </c>
      <c r="G194" s="681" t="str">
        <f t="shared" si="887"/>
        <v/>
      </c>
      <c r="H194" s="681" t="str">
        <f t="shared" si="887"/>
        <v/>
      </c>
      <c r="I194" s="681" t="str">
        <f t="shared" si="887"/>
        <v/>
      </c>
      <c r="J194" s="681" t="str">
        <f t="shared" si="887"/>
        <v/>
      </c>
      <c r="K194" s="681" t="str">
        <f t="shared" si="887"/>
        <v/>
      </c>
      <c r="L194" s="681" t="str">
        <f t="shared" si="887"/>
        <v/>
      </c>
      <c r="M194" s="681" t="str">
        <f t="shared" si="887"/>
        <v/>
      </c>
      <c r="N194" s="681" t="str">
        <f t="shared" si="887"/>
        <v/>
      </c>
      <c r="O194" s="682" t="str">
        <f t="shared" si="887"/>
        <v/>
      </c>
      <c r="P194" s="511" t="str">
        <f t="shared" si="782"/>
        <v>-</v>
      </c>
      <c r="Q194" s="6" t="str">
        <f t="shared" si="874"/>
        <v>-</v>
      </c>
    </row>
    <row r="195" spans="1:17" ht="15.75" customHeight="1" x14ac:dyDescent="0.25">
      <c r="A195" s="915"/>
      <c r="B195" s="836" t="s">
        <v>8</v>
      </c>
      <c r="C195" s="16" t="s">
        <v>21</v>
      </c>
      <c r="D195" s="624" t="str">
        <f t="shared" si="887"/>
        <v/>
      </c>
      <c r="E195" s="624" t="str">
        <f t="shared" si="887"/>
        <v/>
      </c>
      <c r="F195" s="624" t="str">
        <f t="shared" si="887"/>
        <v/>
      </c>
      <c r="G195" s="624" t="str">
        <f t="shared" si="887"/>
        <v/>
      </c>
      <c r="H195" s="624" t="str">
        <f t="shared" si="887"/>
        <v/>
      </c>
      <c r="I195" s="624" t="str">
        <f t="shared" si="887"/>
        <v/>
      </c>
      <c r="J195" s="624" t="str">
        <f t="shared" si="887"/>
        <v/>
      </c>
      <c r="K195" s="624" t="str">
        <f t="shared" si="887"/>
        <v/>
      </c>
      <c r="L195" s="624" t="str">
        <f t="shared" si="887"/>
        <v/>
      </c>
      <c r="M195" s="624" t="str">
        <f t="shared" si="887"/>
        <v/>
      </c>
      <c r="N195" s="624" t="str">
        <f t="shared" si="887"/>
        <v/>
      </c>
      <c r="O195" s="632" t="str">
        <f t="shared" si="887"/>
        <v/>
      </c>
      <c r="P195" s="512" t="str">
        <f t="shared" si="782"/>
        <v>-</v>
      </c>
      <c r="Q195" s="4" t="str">
        <f t="shared" si="874"/>
        <v>-</v>
      </c>
    </row>
    <row r="196" spans="1:17" ht="15.75" customHeight="1" x14ac:dyDescent="0.25">
      <c r="A196" s="915"/>
      <c r="B196" s="837"/>
      <c r="C196" s="17" t="s">
        <v>22</v>
      </c>
      <c r="D196" s="681" t="str">
        <f t="shared" si="887"/>
        <v/>
      </c>
      <c r="E196" s="681" t="str">
        <f t="shared" si="887"/>
        <v/>
      </c>
      <c r="F196" s="681" t="str">
        <f t="shared" si="887"/>
        <v/>
      </c>
      <c r="G196" s="681" t="str">
        <f t="shared" si="887"/>
        <v/>
      </c>
      <c r="H196" s="681" t="str">
        <f t="shared" si="887"/>
        <v/>
      </c>
      <c r="I196" s="681" t="str">
        <f t="shared" si="887"/>
        <v/>
      </c>
      <c r="J196" s="681" t="str">
        <f t="shared" si="887"/>
        <v/>
      </c>
      <c r="K196" s="681" t="str">
        <f t="shared" si="887"/>
        <v/>
      </c>
      <c r="L196" s="681" t="str">
        <f t="shared" si="887"/>
        <v/>
      </c>
      <c r="M196" s="681" t="str">
        <f t="shared" si="887"/>
        <v/>
      </c>
      <c r="N196" s="681" t="str">
        <f t="shared" si="887"/>
        <v/>
      </c>
      <c r="O196" s="682" t="str">
        <f t="shared" si="887"/>
        <v/>
      </c>
      <c r="P196" s="511" t="str">
        <f t="shared" si="782"/>
        <v>-</v>
      </c>
      <c r="Q196" s="6" t="str">
        <f t="shared" si="874"/>
        <v>-</v>
      </c>
    </row>
    <row r="197" spans="1:17" ht="15.75" customHeight="1" x14ac:dyDescent="0.25">
      <c r="A197" s="915"/>
      <c r="B197" s="836" t="s">
        <v>9</v>
      </c>
      <c r="C197" s="16" t="s">
        <v>21</v>
      </c>
      <c r="D197" s="624" t="str">
        <f t="shared" si="887"/>
        <v/>
      </c>
      <c r="E197" s="624" t="str">
        <f t="shared" si="887"/>
        <v/>
      </c>
      <c r="F197" s="624" t="str">
        <f t="shared" si="887"/>
        <v/>
      </c>
      <c r="G197" s="624" t="str">
        <f t="shared" si="887"/>
        <v/>
      </c>
      <c r="H197" s="624" t="str">
        <f t="shared" si="887"/>
        <v/>
      </c>
      <c r="I197" s="624" t="str">
        <f t="shared" si="887"/>
        <v/>
      </c>
      <c r="J197" s="624" t="str">
        <f t="shared" si="887"/>
        <v/>
      </c>
      <c r="K197" s="624" t="str">
        <f t="shared" si="887"/>
        <v/>
      </c>
      <c r="L197" s="624" t="str">
        <f t="shared" si="887"/>
        <v/>
      </c>
      <c r="M197" s="624" t="str">
        <f t="shared" si="887"/>
        <v/>
      </c>
      <c r="N197" s="624" t="str">
        <f t="shared" si="887"/>
        <v/>
      </c>
      <c r="O197" s="632" t="str">
        <f t="shared" si="887"/>
        <v/>
      </c>
      <c r="P197" s="512" t="str">
        <f t="shared" si="782"/>
        <v>-</v>
      </c>
      <c r="Q197" s="4" t="str">
        <f t="shared" si="874"/>
        <v>-</v>
      </c>
    </row>
    <row r="198" spans="1:17" ht="15.75" x14ac:dyDescent="0.25">
      <c r="A198" s="915"/>
      <c r="B198" s="837"/>
      <c r="C198" s="17" t="s">
        <v>22</v>
      </c>
      <c r="D198" s="681" t="str">
        <f t="shared" si="887"/>
        <v/>
      </c>
      <c r="E198" s="681" t="str">
        <f t="shared" si="887"/>
        <v/>
      </c>
      <c r="F198" s="681" t="str">
        <f t="shared" si="887"/>
        <v/>
      </c>
      <c r="G198" s="681" t="str">
        <f t="shared" si="887"/>
        <v/>
      </c>
      <c r="H198" s="681" t="str">
        <f t="shared" si="887"/>
        <v/>
      </c>
      <c r="I198" s="681" t="str">
        <f t="shared" si="887"/>
        <v/>
      </c>
      <c r="J198" s="681" t="str">
        <f t="shared" si="887"/>
        <v/>
      </c>
      <c r="K198" s="681" t="str">
        <f t="shared" si="887"/>
        <v/>
      </c>
      <c r="L198" s="681" t="str">
        <f t="shared" si="887"/>
        <v/>
      </c>
      <c r="M198" s="681" t="str">
        <f t="shared" si="887"/>
        <v/>
      </c>
      <c r="N198" s="681" t="str">
        <f t="shared" si="887"/>
        <v/>
      </c>
      <c r="O198" s="682" t="str">
        <f t="shared" si="887"/>
        <v/>
      </c>
      <c r="P198" s="511" t="str">
        <f t="shared" si="782"/>
        <v>-</v>
      </c>
      <c r="Q198" s="6" t="str">
        <f t="shared" si="874"/>
        <v>-</v>
      </c>
    </row>
    <row r="199" spans="1:17" ht="15.75" x14ac:dyDescent="0.25">
      <c r="A199" s="915"/>
      <c r="B199" s="836" t="s">
        <v>10</v>
      </c>
      <c r="C199" s="16" t="s">
        <v>21</v>
      </c>
      <c r="D199" s="624" t="str">
        <f t="shared" si="887"/>
        <v/>
      </c>
      <c r="E199" s="624" t="str">
        <f t="shared" si="887"/>
        <v/>
      </c>
      <c r="F199" s="624" t="str">
        <f t="shared" si="887"/>
        <v/>
      </c>
      <c r="G199" s="624" t="str">
        <f t="shared" si="887"/>
        <v/>
      </c>
      <c r="H199" s="624" t="str">
        <f t="shared" si="887"/>
        <v/>
      </c>
      <c r="I199" s="624" t="str">
        <f t="shared" si="887"/>
        <v/>
      </c>
      <c r="J199" s="624" t="str">
        <f t="shared" si="887"/>
        <v/>
      </c>
      <c r="K199" s="624" t="str">
        <f t="shared" si="887"/>
        <v/>
      </c>
      <c r="L199" s="624" t="str">
        <f t="shared" si="887"/>
        <v/>
      </c>
      <c r="M199" s="624" t="str">
        <f t="shared" si="887"/>
        <v/>
      </c>
      <c r="N199" s="624" t="str">
        <f t="shared" si="887"/>
        <v/>
      </c>
      <c r="O199" s="632" t="str">
        <f t="shared" si="887"/>
        <v/>
      </c>
      <c r="P199" s="512" t="str">
        <f t="shared" si="782"/>
        <v>-</v>
      </c>
      <c r="Q199" s="4" t="str">
        <f t="shared" si="874"/>
        <v>-</v>
      </c>
    </row>
    <row r="200" spans="1:17" ht="15" customHeight="1" x14ac:dyDescent="0.25">
      <c r="A200" s="915"/>
      <c r="B200" s="837"/>
      <c r="C200" s="17" t="s">
        <v>22</v>
      </c>
      <c r="D200" s="681" t="str">
        <f t="shared" si="887"/>
        <v/>
      </c>
      <c r="E200" s="681" t="str">
        <f t="shared" si="887"/>
        <v/>
      </c>
      <c r="F200" s="681" t="str">
        <f t="shared" si="887"/>
        <v/>
      </c>
      <c r="G200" s="681" t="str">
        <f t="shared" si="887"/>
        <v/>
      </c>
      <c r="H200" s="681" t="str">
        <f t="shared" si="887"/>
        <v/>
      </c>
      <c r="I200" s="681" t="str">
        <f t="shared" si="887"/>
        <v/>
      </c>
      <c r="J200" s="681" t="str">
        <f t="shared" si="887"/>
        <v/>
      </c>
      <c r="K200" s="681" t="str">
        <f t="shared" si="887"/>
        <v/>
      </c>
      <c r="L200" s="681" t="str">
        <f t="shared" si="887"/>
        <v/>
      </c>
      <c r="M200" s="681" t="str">
        <f t="shared" si="887"/>
        <v/>
      </c>
      <c r="N200" s="681" t="str">
        <f t="shared" si="887"/>
        <v/>
      </c>
      <c r="O200" s="682" t="str">
        <f t="shared" si="887"/>
        <v/>
      </c>
      <c r="P200" s="511" t="str">
        <f t="shared" si="782"/>
        <v>-</v>
      </c>
      <c r="Q200" s="6" t="str">
        <f t="shared" si="874"/>
        <v>-</v>
      </c>
    </row>
    <row r="201" spans="1:17" ht="15" customHeight="1" x14ac:dyDescent="0.25">
      <c r="A201" s="915"/>
      <c r="B201" s="836" t="s">
        <v>11</v>
      </c>
      <c r="C201" s="16" t="s">
        <v>21</v>
      </c>
      <c r="D201" s="624" t="str">
        <f t="shared" si="887"/>
        <v/>
      </c>
      <c r="E201" s="624" t="str">
        <f t="shared" si="887"/>
        <v/>
      </c>
      <c r="F201" s="624" t="str">
        <f t="shared" si="887"/>
        <v/>
      </c>
      <c r="G201" s="624" t="str">
        <f t="shared" si="887"/>
        <v/>
      </c>
      <c r="H201" s="624" t="str">
        <f t="shared" si="887"/>
        <v/>
      </c>
      <c r="I201" s="624" t="str">
        <f t="shared" si="887"/>
        <v/>
      </c>
      <c r="J201" s="624" t="str">
        <f t="shared" si="887"/>
        <v/>
      </c>
      <c r="K201" s="624" t="str">
        <f t="shared" si="887"/>
        <v/>
      </c>
      <c r="L201" s="624" t="str">
        <f t="shared" si="887"/>
        <v/>
      </c>
      <c r="M201" s="624" t="str">
        <f t="shared" si="887"/>
        <v/>
      </c>
      <c r="N201" s="624" t="str">
        <f t="shared" si="887"/>
        <v/>
      </c>
      <c r="O201" s="632" t="str">
        <f t="shared" si="887"/>
        <v/>
      </c>
      <c r="P201" s="512" t="str">
        <f t="shared" si="782"/>
        <v>-</v>
      </c>
      <c r="Q201" s="4" t="str">
        <f t="shared" si="874"/>
        <v>-</v>
      </c>
    </row>
    <row r="202" spans="1:17" ht="15" customHeight="1" x14ac:dyDescent="0.25">
      <c r="A202" s="915"/>
      <c r="B202" s="837"/>
      <c r="C202" s="17" t="s">
        <v>22</v>
      </c>
      <c r="D202" s="681" t="str">
        <f t="shared" si="887"/>
        <v/>
      </c>
      <c r="E202" s="681" t="str">
        <f t="shared" si="887"/>
        <v/>
      </c>
      <c r="F202" s="681" t="str">
        <f t="shared" si="887"/>
        <v/>
      </c>
      <c r="G202" s="681" t="str">
        <f t="shared" si="887"/>
        <v/>
      </c>
      <c r="H202" s="681" t="str">
        <f t="shared" si="887"/>
        <v/>
      </c>
      <c r="I202" s="681" t="str">
        <f t="shared" si="887"/>
        <v/>
      </c>
      <c r="J202" s="681" t="str">
        <f t="shared" si="887"/>
        <v/>
      </c>
      <c r="K202" s="681" t="str">
        <f t="shared" si="887"/>
        <v/>
      </c>
      <c r="L202" s="681" t="str">
        <f t="shared" si="887"/>
        <v/>
      </c>
      <c r="M202" s="681" t="str">
        <f t="shared" si="887"/>
        <v/>
      </c>
      <c r="N202" s="681" t="str">
        <f t="shared" si="887"/>
        <v/>
      </c>
      <c r="O202" s="682" t="str">
        <f t="shared" si="887"/>
        <v/>
      </c>
      <c r="P202" s="511" t="str">
        <f t="shared" si="782"/>
        <v>-</v>
      </c>
      <c r="Q202" s="6" t="str">
        <f t="shared" si="874"/>
        <v>-</v>
      </c>
    </row>
    <row r="203" spans="1:17" ht="15" customHeight="1" x14ac:dyDescent="0.25">
      <c r="A203" s="915"/>
      <c r="B203" s="836" t="s">
        <v>12</v>
      </c>
      <c r="C203" s="16" t="s">
        <v>21</v>
      </c>
      <c r="D203" s="624" t="str">
        <f t="shared" si="887"/>
        <v/>
      </c>
      <c r="E203" s="624" t="str">
        <f t="shared" si="887"/>
        <v/>
      </c>
      <c r="F203" s="624" t="str">
        <f t="shared" si="887"/>
        <v/>
      </c>
      <c r="G203" s="624" t="str">
        <f t="shared" si="887"/>
        <v/>
      </c>
      <c r="H203" s="624" t="str">
        <f t="shared" si="887"/>
        <v/>
      </c>
      <c r="I203" s="624" t="str">
        <f t="shared" si="887"/>
        <v/>
      </c>
      <c r="J203" s="624" t="str">
        <f t="shared" si="887"/>
        <v/>
      </c>
      <c r="K203" s="624" t="str">
        <f t="shared" si="887"/>
        <v/>
      </c>
      <c r="L203" s="624" t="str">
        <f t="shared" si="887"/>
        <v/>
      </c>
      <c r="M203" s="624" t="str">
        <f t="shared" si="887"/>
        <v/>
      </c>
      <c r="N203" s="624" t="str">
        <f t="shared" si="887"/>
        <v/>
      </c>
      <c r="O203" s="632" t="str">
        <f t="shared" si="887"/>
        <v/>
      </c>
      <c r="P203" s="512" t="str">
        <f t="shared" si="782"/>
        <v>-</v>
      </c>
      <c r="Q203" s="4" t="str">
        <f t="shared" si="874"/>
        <v>-</v>
      </c>
    </row>
    <row r="204" spans="1:17" ht="15" customHeight="1" x14ac:dyDescent="0.25">
      <c r="A204" s="915"/>
      <c r="B204" s="837"/>
      <c r="C204" s="17" t="s">
        <v>22</v>
      </c>
      <c r="D204" s="681" t="str">
        <f t="shared" si="887"/>
        <v/>
      </c>
      <c r="E204" s="681" t="str">
        <f t="shared" si="887"/>
        <v/>
      </c>
      <c r="F204" s="681" t="str">
        <f t="shared" si="887"/>
        <v/>
      </c>
      <c r="G204" s="681" t="str">
        <f t="shared" si="887"/>
        <v/>
      </c>
      <c r="H204" s="681" t="str">
        <f t="shared" si="887"/>
        <v/>
      </c>
      <c r="I204" s="681" t="str">
        <f t="shared" si="887"/>
        <v/>
      </c>
      <c r="J204" s="681" t="str">
        <f t="shared" si="887"/>
        <v/>
      </c>
      <c r="K204" s="681" t="str">
        <f t="shared" si="887"/>
        <v/>
      </c>
      <c r="L204" s="681" t="str">
        <f t="shared" si="887"/>
        <v/>
      </c>
      <c r="M204" s="681" t="str">
        <f t="shared" si="887"/>
        <v/>
      </c>
      <c r="N204" s="681" t="str">
        <f t="shared" si="887"/>
        <v/>
      </c>
      <c r="O204" s="682" t="str">
        <f t="shared" si="887"/>
        <v/>
      </c>
      <c r="P204" s="511" t="str">
        <f t="shared" si="782"/>
        <v>-</v>
      </c>
      <c r="Q204" s="6" t="str">
        <f t="shared" si="874"/>
        <v>-</v>
      </c>
    </row>
    <row r="205" spans="1:17" ht="15.75" x14ac:dyDescent="0.25">
      <c r="A205" s="915"/>
      <c r="B205" s="836" t="s">
        <v>15</v>
      </c>
      <c r="C205" s="16" t="s">
        <v>21</v>
      </c>
      <c r="D205" s="624" t="str">
        <f t="shared" si="887"/>
        <v/>
      </c>
      <c r="E205" s="624" t="str">
        <f t="shared" si="887"/>
        <v/>
      </c>
      <c r="F205" s="624" t="str">
        <f t="shared" si="887"/>
        <v/>
      </c>
      <c r="G205" s="624" t="str">
        <f t="shared" si="887"/>
        <v/>
      </c>
      <c r="H205" s="624" t="str">
        <f t="shared" si="887"/>
        <v/>
      </c>
      <c r="I205" s="624" t="str">
        <f t="shared" si="887"/>
        <v/>
      </c>
      <c r="J205" s="624" t="str">
        <f t="shared" si="887"/>
        <v/>
      </c>
      <c r="K205" s="624" t="str">
        <f t="shared" si="887"/>
        <v/>
      </c>
      <c r="L205" s="624" t="str">
        <f t="shared" si="887"/>
        <v/>
      </c>
      <c r="M205" s="624" t="str">
        <f t="shared" si="887"/>
        <v/>
      </c>
      <c r="N205" s="624" t="str">
        <f t="shared" si="887"/>
        <v/>
      </c>
      <c r="O205" s="632" t="str">
        <f t="shared" si="887"/>
        <v/>
      </c>
      <c r="P205" s="512" t="str">
        <f t="shared" si="782"/>
        <v>-</v>
      </c>
      <c r="Q205" s="4" t="str">
        <f t="shared" si="874"/>
        <v>-</v>
      </c>
    </row>
    <row r="206" spans="1:17" ht="15.75" x14ac:dyDescent="0.25">
      <c r="A206" s="915"/>
      <c r="B206" s="837"/>
      <c r="C206" s="17" t="s">
        <v>22</v>
      </c>
      <c r="D206" s="681" t="str">
        <f t="shared" si="887"/>
        <v/>
      </c>
      <c r="E206" s="681" t="str">
        <f t="shared" si="887"/>
        <v/>
      </c>
      <c r="F206" s="681" t="str">
        <f t="shared" si="887"/>
        <v/>
      </c>
      <c r="G206" s="681" t="str">
        <f t="shared" si="887"/>
        <v/>
      </c>
      <c r="H206" s="681" t="str">
        <f t="shared" si="887"/>
        <v/>
      </c>
      <c r="I206" s="681" t="str">
        <f t="shared" si="887"/>
        <v/>
      </c>
      <c r="J206" s="681" t="str">
        <f t="shared" si="887"/>
        <v/>
      </c>
      <c r="K206" s="681" t="str">
        <f t="shared" si="887"/>
        <v/>
      </c>
      <c r="L206" s="681" t="str">
        <f t="shared" si="887"/>
        <v/>
      </c>
      <c r="M206" s="681" t="str">
        <f t="shared" si="887"/>
        <v/>
      </c>
      <c r="N206" s="681" t="str">
        <f t="shared" si="887"/>
        <v/>
      </c>
      <c r="O206" s="682" t="str">
        <f t="shared" si="887"/>
        <v/>
      </c>
      <c r="P206" s="511" t="str">
        <f t="shared" si="782"/>
        <v>-</v>
      </c>
      <c r="Q206" s="6" t="str">
        <f t="shared" si="874"/>
        <v>-</v>
      </c>
    </row>
    <row r="207" spans="1:17" ht="15.75" x14ac:dyDescent="0.25">
      <c r="A207" s="915"/>
      <c r="B207" s="836" t="s">
        <v>13</v>
      </c>
      <c r="C207" s="16" t="s">
        <v>21</v>
      </c>
      <c r="D207" s="624" t="str">
        <f t="shared" si="887"/>
        <v/>
      </c>
      <c r="E207" s="624" t="str">
        <f t="shared" si="887"/>
        <v/>
      </c>
      <c r="F207" s="624" t="str">
        <f t="shared" si="887"/>
        <v/>
      </c>
      <c r="G207" s="624" t="str">
        <f t="shared" si="887"/>
        <v/>
      </c>
      <c r="H207" s="624" t="str">
        <f t="shared" si="887"/>
        <v/>
      </c>
      <c r="I207" s="624" t="str">
        <f t="shared" si="887"/>
        <v/>
      </c>
      <c r="J207" s="624" t="str">
        <f t="shared" si="887"/>
        <v/>
      </c>
      <c r="K207" s="624" t="str">
        <f t="shared" si="887"/>
        <v/>
      </c>
      <c r="L207" s="624" t="str">
        <f t="shared" si="887"/>
        <v/>
      </c>
      <c r="M207" s="624" t="str">
        <f t="shared" si="887"/>
        <v/>
      </c>
      <c r="N207" s="624" t="str">
        <f t="shared" si="887"/>
        <v/>
      </c>
      <c r="O207" s="632" t="str">
        <f t="shared" si="887"/>
        <v/>
      </c>
      <c r="P207" s="512" t="str">
        <f t="shared" si="782"/>
        <v>-</v>
      </c>
      <c r="Q207" s="4" t="str">
        <f t="shared" si="874"/>
        <v>-</v>
      </c>
    </row>
    <row r="208" spans="1:17" ht="15.75" x14ac:dyDescent="0.25">
      <c r="A208" s="915"/>
      <c r="B208" s="837"/>
      <c r="C208" s="17" t="s">
        <v>22</v>
      </c>
      <c r="D208" s="681" t="str">
        <f t="shared" si="887"/>
        <v/>
      </c>
      <c r="E208" s="681" t="str">
        <f t="shared" si="887"/>
        <v/>
      </c>
      <c r="F208" s="681" t="str">
        <f t="shared" si="887"/>
        <v/>
      </c>
      <c r="G208" s="681" t="str">
        <f t="shared" si="887"/>
        <v/>
      </c>
      <c r="H208" s="681" t="str">
        <f t="shared" si="887"/>
        <v/>
      </c>
      <c r="I208" s="681" t="str">
        <f t="shared" si="887"/>
        <v/>
      </c>
      <c r="J208" s="681" t="str">
        <f t="shared" si="887"/>
        <v/>
      </c>
      <c r="K208" s="681" t="str">
        <f t="shared" si="887"/>
        <v/>
      </c>
      <c r="L208" s="681" t="str">
        <f t="shared" si="887"/>
        <v/>
      </c>
      <c r="M208" s="681" t="str">
        <f t="shared" si="887"/>
        <v/>
      </c>
      <c r="N208" s="681" t="str">
        <f t="shared" si="887"/>
        <v/>
      </c>
      <c r="O208" s="682" t="str">
        <f t="shared" si="887"/>
        <v/>
      </c>
      <c r="P208" s="511" t="str">
        <f t="shared" si="782"/>
        <v>-</v>
      </c>
      <c r="Q208" s="6" t="str">
        <f t="shared" si="874"/>
        <v>-</v>
      </c>
    </row>
    <row r="209" spans="1:17" ht="15.75" x14ac:dyDescent="0.25">
      <c r="A209" s="915"/>
      <c r="B209" s="836" t="s">
        <v>20</v>
      </c>
      <c r="C209" s="16" t="s">
        <v>21</v>
      </c>
      <c r="D209" s="624" t="str">
        <f t="shared" si="887"/>
        <v/>
      </c>
      <c r="E209" s="624" t="str">
        <f t="shared" si="887"/>
        <v/>
      </c>
      <c r="F209" s="624" t="str">
        <f t="shared" si="887"/>
        <v/>
      </c>
      <c r="G209" s="624" t="str">
        <f t="shared" si="887"/>
        <v/>
      </c>
      <c r="H209" s="624" t="str">
        <f t="shared" si="887"/>
        <v/>
      </c>
      <c r="I209" s="624" t="str">
        <f t="shared" si="887"/>
        <v/>
      </c>
      <c r="J209" s="624" t="str">
        <f t="shared" si="887"/>
        <v/>
      </c>
      <c r="K209" s="624" t="str">
        <f t="shared" si="887"/>
        <v/>
      </c>
      <c r="L209" s="624" t="str">
        <f t="shared" si="887"/>
        <v/>
      </c>
      <c r="M209" s="624" t="str">
        <f t="shared" si="887"/>
        <v/>
      </c>
      <c r="N209" s="624" t="str">
        <f t="shared" si="887"/>
        <v/>
      </c>
      <c r="O209" s="632" t="str">
        <f t="shared" si="887"/>
        <v/>
      </c>
      <c r="P209" s="512" t="str">
        <f t="shared" si="782"/>
        <v>-</v>
      </c>
      <c r="Q209" s="4" t="str">
        <f t="shared" si="874"/>
        <v>-</v>
      </c>
    </row>
    <row r="210" spans="1:17" ht="15.75" x14ac:dyDescent="0.25">
      <c r="A210" s="915"/>
      <c r="B210" s="837"/>
      <c r="C210" s="17" t="s">
        <v>22</v>
      </c>
      <c r="D210" s="681" t="str">
        <f t="shared" si="887"/>
        <v/>
      </c>
      <c r="E210" s="681" t="str">
        <f t="shared" si="887"/>
        <v/>
      </c>
      <c r="F210" s="681" t="str">
        <f t="shared" si="887"/>
        <v/>
      </c>
      <c r="G210" s="681" t="str">
        <f t="shared" si="887"/>
        <v/>
      </c>
      <c r="H210" s="681" t="str">
        <f t="shared" si="887"/>
        <v/>
      </c>
      <c r="I210" s="681" t="str">
        <f t="shared" si="887"/>
        <v/>
      </c>
      <c r="J210" s="681" t="str">
        <f t="shared" si="887"/>
        <v/>
      </c>
      <c r="K210" s="681" t="str">
        <f t="shared" si="887"/>
        <v/>
      </c>
      <c r="L210" s="681" t="str">
        <f t="shared" si="887"/>
        <v/>
      </c>
      <c r="M210" s="681" t="str">
        <f t="shared" si="887"/>
        <v/>
      </c>
      <c r="N210" s="681" t="str">
        <f t="shared" si="887"/>
        <v/>
      </c>
      <c r="O210" s="682" t="str">
        <f t="shared" si="887"/>
        <v/>
      </c>
      <c r="P210" s="511" t="str">
        <f t="shared" si="782"/>
        <v>-</v>
      </c>
      <c r="Q210" s="6" t="str">
        <f t="shared" si="874"/>
        <v>-</v>
      </c>
    </row>
    <row r="211" spans="1:17" ht="15.75" x14ac:dyDescent="0.25">
      <c r="A211" s="915"/>
      <c r="B211" s="836" t="s">
        <v>1</v>
      </c>
      <c r="C211" s="16" t="s">
        <v>21</v>
      </c>
      <c r="D211" s="624" t="str">
        <f t="shared" si="887"/>
        <v/>
      </c>
      <c r="E211" s="624" t="str">
        <f t="shared" si="887"/>
        <v/>
      </c>
      <c r="F211" s="624" t="str">
        <f t="shared" si="887"/>
        <v/>
      </c>
      <c r="G211" s="624" t="str">
        <f t="shared" si="887"/>
        <v/>
      </c>
      <c r="H211" s="624" t="str">
        <f t="shared" si="887"/>
        <v/>
      </c>
      <c r="I211" s="624" t="str">
        <f t="shared" si="887"/>
        <v/>
      </c>
      <c r="J211" s="624" t="str">
        <f t="shared" si="887"/>
        <v/>
      </c>
      <c r="K211" s="624" t="str">
        <f t="shared" si="887"/>
        <v/>
      </c>
      <c r="L211" s="624" t="str">
        <f t="shared" si="887"/>
        <v/>
      </c>
      <c r="M211" s="624" t="str">
        <f t="shared" si="887"/>
        <v/>
      </c>
      <c r="N211" s="624" t="str">
        <f t="shared" si="887"/>
        <v/>
      </c>
      <c r="O211" s="632" t="str">
        <f t="shared" si="887"/>
        <v/>
      </c>
      <c r="P211" s="512" t="str">
        <f t="shared" si="782"/>
        <v>-</v>
      </c>
      <c r="Q211" s="4" t="str">
        <f t="shared" si="874"/>
        <v>-</v>
      </c>
    </row>
    <row r="212" spans="1:17" ht="15.75" x14ac:dyDescent="0.25">
      <c r="A212" s="915"/>
      <c r="B212" s="837"/>
      <c r="C212" s="17" t="s">
        <v>22</v>
      </c>
      <c r="D212" s="681" t="str">
        <f t="shared" si="887"/>
        <v/>
      </c>
      <c r="E212" s="681" t="str">
        <f t="shared" si="887"/>
        <v/>
      </c>
      <c r="F212" s="681" t="str">
        <f t="shared" si="887"/>
        <v/>
      </c>
      <c r="G212" s="681" t="str">
        <f t="shared" si="887"/>
        <v/>
      </c>
      <c r="H212" s="681" t="str">
        <f t="shared" si="887"/>
        <v/>
      </c>
      <c r="I212" s="681" t="str">
        <f t="shared" si="887"/>
        <v/>
      </c>
      <c r="J212" s="681" t="str">
        <f t="shared" si="887"/>
        <v/>
      </c>
      <c r="K212" s="681" t="str">
        <f t="shared" si="887"/>
        <v/>
      </c>
      <c r="L212" s="681" t="str">
        <f t="shared" si="887"/>
        <v/>
      </c>
      <c r="M212" s="681" t="str">
        <f t="shared" si="887"/>
        <v/>
      </c>
      <c r="N212" s="681" t="str">
        <f t="shared" si="887"/>
        <v/>
      </c>
      <c r="O212" s="682" t="str">
        <f t="shared" si="887"/>
        <v/>
      </c>
      <c r="P212" s="511" t="str">
        <f t="shared" si="782"/>
        <v>-</v>
      </c>
      <c r="Q212" s="6" t="str">
        <f t="shared" si="874"/>
        <v>-</v>
      </c>
    </row>
    <row r="213" spans="1:17" ht="15.75" x14ac:dyDescent="0.25">
      <c r="A213" s="915"/>
      <c r="B213" s="828" t="str">
        <f>IF($B$28="OTHER (RENAME)","OTHER",$B$28)</f>
        <v>OTHER</v>
      </c>
      <c r="C213" s="18" t="s">
        <v>21</v>
      </c>
      <c r="D213" s="624" t="str">
        <f t="shared" si="887"/>
        <v/>
      </c>
      <c r="E213" s="624" t="str">
        <f t="shared" si="887"/>
        <v/>
      </c>
      <c r="F213" s="624" t="str">
        <f t="shared" si="887"/>
        <v/>
      </c>
      <c r="G213" s="624" t="str">
        <f t="shared" si="887"/>
        <v/>
      </c>
      <c r="H213" s="624" t="str">
        <f t="shared" si="887"/>
        <v/>
      </c>
      <c r="I213" s="624" t="str">
        <f t="shared" si="887"/>
        <v/>
      </c>
      <c r="J213" s="624" t="str">
        <f t="shared" si="887"/>
        <v/>
      </c>
      <c r="K213" s="624" t="str">
        <f t="shared" si="887"/>
        <v/>
      </c>
      <c r="L213" s="624" t="str">
        <f t="shared" si="887"/>
        <v/>
      </c>
      <c r="M213" s="624" t="str">
        <f t="shared" si="887"/>
        <v/>
      </c>
      <c r="N213" s="624" t="str">
        <f t="shared" si="887"/>
        <v/>
      </c>
      <c r="O213" s="632" t="str">
        <f t="shared" si="887"/>
        <v/>
      </c>
      <c r="P213" s="512" t="str">
        <f t="shared" si="782"/>
        <v>-</v>
      </c>
      <c r="Q213" s="4" t="str">
        <f t="shared" ref="Q213:Q214" si="888">IF(SUM(D213:O213)=0,"-",SUM(D213:O213))</f>
        <v>-</v>
      </c>
    </row>
    <row r="214" spans="1:17" ht="15.75" x14ac:dyDescent="0.25">
      <c r="A214" s="915"/>
      <c r="B214" s="829"/>
      <c r="C214" s="18" t="s">
        <v>22</v>
      </c>
      <c r="D214" s="681" t="str">
        <f t="shared" si="887"/>
        <v/>
      </c>
      <c r="E214" s="681" t="str">
        <f t="shared" si="887"/>
        <v/>
      </c>
      <c r="F214" s="681" t="str">
        <f t="shared" si="887"/>
        <v/>
      </c>
      <c r="G214" s="681" t="str">
        <f t="shared" si="887"/>
        <v/>
      </c>
      <c r="H214" s="681" t="str">
        <f t="shared" si="887"/>
        <v/>
      </c>
      <c r="I214" s="681" t="str">
        <f t="shared" si="887"/>
        <v/>
      </c>
      <c r="J214" s="681" t="str">
        <f t="shared" si="887"/>
        <v/>
      </c>
      <c r="K214" s="681" t="str">
        <f t="shared" si="887"/>
        <v/>
      </c>
      <c r="L214" s="681" t="str">
        <f t="shared" si="887"/>
        <v/>
      </c>
      <c r="M214" s="681" t="str">
        <f t="shared" ref="E214:O220" si="889">IF(SUM(M29,M60,M91,M122,M153,M184)=0,"",SUM(M29,M60,M91,M122,M153,M184))</f>
        <v/>
      </c>
      <c r="N214" s="681" t="str">
        <f t="shared" si="889"/>
        <v/>
      </c>
      <c r="O214" s="682" t="str">
        <f t="shared" si="889"/>
        <v/>
      </c>
      <c r="P214" s="511" t="str">
        <f t="shared" si="782"/>
        <v>-</v>
      </c>
      <c r="Q214" s="6" t="str">
        <f t="shared" si="888"/>
        <v>-</v>
      </c>
    </row>
    <row r="215" spans="1:17" ht="15.75" x14ac:dyDescent="0.25">
      <c r="A215" s="915"/>
      <c r="B215" s="828" t="str">
        <f>IF($B$30="OTHER (RENAME)","OTHER",$B$30)</f>
        <v>OTHER</v>
      </c>
      <c r="C215" s="16" t="s">
        <v>21</v>
      </c>
      <c r="D215" s="624" t="str">
        <f t="shared" si="887"/>
        <v/>
      </c>
      <c r="E215" s="624" t="str">
        <f t="shared" si="889"/>
        <v/>
      </c>
      <c r="F215" s="624" t="str">
        <f t="shared" si="889"/>
        <v/>
      </c>
      <c r="G215" s="624" t="str">
        <f t="shared" si="889"/>
        <v/>
      </c>
      <c r="H215" s="624" t="str">
        <f t="shared" si="889"/>
        <v/>
      </c>
      <c r="I215" s="624" t="str">
        <f t="shared" si="889"/>
        <v/>
      </c>
      <c r="J215" s="624" t="str">
        <f t="shared" si="889"/>
        <v/>
      </c>
      <c r="K215" s="624" t="str">
        <f t="shared" si="889"/>
        <v/>
      </c>
      <c r="L215" s="624" t="str">
        <f t="shared" si="889"/>
        <v/>
      </c>
      <c r="M215" s="624" t="str">
        <f t="shared" si="889"/>
        <v/>
      </c>
      <c r="N215" s="624" t="str">
        <f t="shared" si="889"/>
        <v/>
      </c>
      <c r="O215" s="632" t="str">
        <f t="shared" si="889"/>
        <v/>
      </c>
      <c r="P215" s="512" t="str">
        <f t="shared" ref="P215:P220" si="890">IF(Q215="-","-",Q215/12)</f>
        <v>-</v>
      </c>
      <c r="Q215" s="4" t="str">
        <f t="shared" ref="Q215:Q220" si="891">IF(SUM(D215:O215)=0,"-",SUM(D215:O215))</f>
        <v>-</v>
      </c>
    </row>
    <row r="216" spans="1:17" ht="15.75" x14ac:dyDescent="0.25">
      <c r="A216" s="915"/>
      <c r="B216" s="829"/>
      <c r="C216" s="17" t="s">
        <v>22</v>
      </c>
      <c r="D216" s="681" t="str">
        <f t="shared" si="887"/>
        <v/>
      </c>
      <c r="E216" s="681" t="str">
        <f t="shared" si="889"/>
        <v/>
      </c>
      <c r="F216" s="681" t="str">
        <f t="shared" si="889"/>
        <v/>
      </c>
      <c r="G216" s="681" t="str">
        <f t="shared" si="889"/>
        <v/>
      </c>
      <c r="H216" s="681" t="str">
        <f t="shared" si="889"/>
        <v/>
      </c>
      <c r="I216" s="681" t="str">
        <f t="shared" si="889"/>
        <v/>
      </c>
      <c r="J216" s="681" t="str">
        <f t="shared" si="889"/>
        <v/>
      </c>
      <c r="K216" s="681" t="str">
        <f t="shared" si="889"/>
        <v/>
      </c>
      <c r="L216" s="681" t="str">
        <f t="shared" si="889"/>
        <v/>
      </c>
      <c r="M216" s="681" t="str">
        <f t="shared" si="889"/>
        <v/>
      </c>
      <c r="N216" s="681" t="str">
        <f t="shared" si="889"/>
        <v/>
      </c>
      <c r="O216" s="682" t="str">
        <f t="shared" si="889"/>
        <v/>
      </c>
      <c r="P216" s="511" t="str">
        <f t="shared" si="890"/>
        <v>-</v>
      </c>
      <c r="Q216" s="6" t="str">
        <f t="shared" si="891"/>
        <v>-</v>
      </c>
    </row>
    <row r="217" spans="1:17" ht="15.75" x14ac:dyDescent="0.25">
      <c r="A217" s="915"/>
      <c r="B217" s="828" t="str">
        <f>IF($B$32="OTHER (RENAME)","OTHER",$B$32)</f>
        <v>OTHER</v>
      </c>
      <c r="C217" s="16" t="s">
        <v>21</v>
      </c>
      <c r="D217" s="624" t="str">
        <f t="shared" si="887"/>
        <v/>
      </c>
      <c r="E217" s="624" t="str">
        <f t="shared" si="889"/>
        <v/>
      </c>
      <c r="F217" s="624" t="str">
        <f t="shared" si="889"/>
        <v/>
      </c>
      <c r="G217" s="624" t="str">
        <f t="shared" si="889"/>
        <v/>
      </c>
      <c r="H217" s="624" t="str">
        <f t="shared" si="889"/>
        <v/>
      </c>
      <c r="I217" s="624" t="str">
        <f t="shared" si="889"/>
        <v/>
      </c>
      <c r="J217" s="624" t="str">
        <f t="shared" si="889"/>
        <v/>
      </c>
      <c r="K217" s="624" t="str">
        <f t="shared" si="889"/>
        <v/>
      </c>
      <c r="L217" s="624" t="str">
        <f t="shared" si="889"/>
        <v/>
      </c>
      <c r="M217" s="624" t="str">
        <f t="shared" si="889"/>
        <v/>
      </c>
      <c r="N217" s="624" t="str">
        <f t="shared" si="889"/>
        <v/>
      </c>
      <c r="O217" s="632" t="str">
        <f t="shared" si="889"/>
        <v/>
      </c>
      <c r="P217" s="512" t="str">
        <f t="shared" si="890"/>
        <v>-</v>
      </c>
      <c r="Q217" s="4" t="str">
        <f t="shared" si="891"/>
        <v>-</v>
      </c>
    </row>
    <row r="218" spans="1:17" ht="15.75" x14ac:dyDescent="0.25">
      <c r="A218" s="915"/>
      <c r="B218" s="829"/>
      <c r="C218" s="17" t="s">
        <v>22</v>
      </c>
      <c r="D218" s="681" t="str">
        <f t="shared" si="887"/>
        <v/>
      </c>
      <c r="E218" s="681" t="str">
        <f t="shared" si="889"/>
        <v/>
      </c>
      <c r="F218" s="681" t="str">
        <f t="shared" si="889"/>
        <v/>
      </c>
      <c r="G218" s="681" t="str">
        <f t="shared" si="889"/>
        <v/>
      </c>
      <c r="H218" s="681" t="str">
        <f t="shared" si="889"/>
        <v/>
      </c>
      <c r="I218" s="681" t="str">
        <f t="shared" si="889"/>
        <v/>
      </c>
      <c r="J218" s="681" t="str">
        <f t="shared" si="889"/>
        <v/>
      </c>
      <c r="K218" s="681" t="str">
        <f t="shared" si="889"/>
        <v/>
      </c>
      <c r="L218" s="681" t="str">
        <f t="shared" si="889"/>
        <v/>
      </c>
      <c r="M218" s="681" t="str">
        <f t="shared" si="889"/>
        <v/>
      </c>
      <c r="N218" s="681" t="str">
        <f t="shared" si="889"/>
        <v/>
      </c>
      <c r="O218" s="682" t="str">
        <f t="shared" si="889"/>
        <v/>
      </c>
      <c r="P218" s="511" t="str">
        <f t="shared" si="890"/>
        <v>-</v>
      </c>
      <c r="Q218" s="6" t="str">
        <f t="shared" si="891"/>
        <v>-</v>
      </c>
    </row>
    <row r="219" spans="1:17" ht="15.75" x14ac:dyDescent="0.25">
      <c r="A219" s="915"/>
      <c r="B219" s="828" t="str">
        <f>IF($B$34="OTHER (RENAME)","OTHER",$B$34)</f>
        <v>OTHER</v>
      </c>
      <c r="C219" s="16" t="s">
        <v>21</v>
      </c>
      <c r="D219" s="624" t="str">
        <f t="shared" si="887"/>
        <v/>
      </c>
      <c r="E219" s="624" t="str">
        <f t="shared" si="889"/>
        <v/>
      </c>
      <c r="F219" s="624" t="str">
        <f t="shared" si="889"/>
        <v/>
      </c>
      <c r="G219" s="624" t="str">
        <f t="shared" si="889"/>
        <v/>
      </c>
      <c r="H219" s="624" t="str">
        <f t="shared" si="889"/>
        <v/>
      </c>
      <c r="I219" s="624" t="str">
        <f t="shared" si="889"/>
        <v/>
      </c>
      <c r="J219" s="624" t="str">
        <f t="shared" si="889"/>
        <v/>
      </c>
      <c r="K219" s="624" t="str">
        <f t="shared" si="889"/>
        <v/>
      </c>
      <c r="L219" s="624" t="str">
        <f t="shared" si="889"/>
        <v/>
      </c>
      <c r="M219" s="624" t="str">
        <f t="shared" si="889"/>
        <v/>
      </c>
      <c r="N219" s="624" t="str">
        <f t="shared" si="889"/>
        <v/>
      </c>
      <c r="O219" s="632" t="str">
        <f t="shared" si="889"/>
        <v/>
      </c>
      <c r="P219" s="512" t="str">
        <f t="shared" si="890"/>
        <v>-</v>
      </c>
      <c r="Q219" s="4" t="str">
        <f t="shared" si="891"/>
        <v>-</v>
      </c>
    </row>
    <row r="220" spans="1:17" ht="15.75" x14ac:dyDescent="0.25">
      <c r="A220" s="915"/>
      <c r="B220" s="829"/>
      <c r="C220" s="17" t="s">
        <v>22</v>
      </c>
      <c r="D220" s="681" t="str">
        <f t="shared" si="887"/>
        <v/>
      </c>
      <c r="E220" s="681" t="str">
        <f t="shared" si="889"/>
        <v/>
      </c>
      <c r="F220" s="681" t="str">
        <f t="shared" si="889"/>
        <v/>
      </c>
      <c r="G220" s="681" t="str">
        <f t="shared" si="889"/>
        <v/>
      </c>
      <c r="H220" s="681" t="str">
        <f t="shared" si="889"/>
        <v/>
      </c>
      <c r="I220" s="681" t="str">
        <f t="shared" si="889"/>
        <v/>
      </c>
      <c r="J220" s="681" t="str">
        <f t="shared" si="889"/>
        <v/>
      </c>
      <c r="K220" s="681" t="str">
        <f t="shared" si="889"/>
        <v/>
      </c>
      <c r="L220" s="681" t="str">
        <f t="shared" si="889"/>
        <v/>
      </c>
      <c r="M220" s="681" t="str">
        <f t="shared" si="889"/>
        <v/>
      </c>
      <c r="N220" s="681" t="str">
        <f t="shared" si="889"/>
        <v/>
      </c>
      <c r="O220" s="682" t="str">
        <f t="shared" si="889"/>
        <v/>
      </c>
      <c r="P220" s="511" t="str">
        <f t="shared" si="890"/>
        <v>-</v>
      </c>
      <c r="Q220" s="6" t="str">
        <f t="shared" si="891"/>
        <v>-</v>
      </c>
    </row>
    <row r="221" spans="1:17" ht="15.75" x14ac:dyDescent="0.25">
      <c r="A221" s="915"/>
      <c r="B221" s="923" t="s">
        <v>172</v>
      </c>
      <c r="C221" s="924"/>
      <c r="D221" s="546" t="str">
        <f>IF(SUM(D193,D195)=0,"",SUM(D193,D195))</f>
        <v/>
      </c>
      <c r="E221" s="546" t="str">
        <f t="shared" ref="E221:O221" si="892">IF(SUM(E193,E195)=0,"",SUM(E193,E195))</f>
        <v/>
      </c>
      <c r="F221" s="546" t="str">
        <f t="shared" si="892"/>
        <v/>
      </c>
      <c r="G221" s="546" t="str">
        <f t="shared" si="892"/>
        <v/>
      </c>
      <c r="H221" s="546" t="str">
        <f t="shared" si="892"/>
        <v/>
      </c>
      <c r="I221" s="546" t="str">
        <f t="shared" si="892"/>
        <v/>
      </c>
      <c r="J221" s="546" t="str">
        <f t="shared" si="892"/>
        <v/>
      </c>
      <c r="K221" s="546" t="str">
        <f t="shared" si="892"/>
        <v/>
      </c>
      <c r="L221" s="546" t="str">
        <f t="shared" si="892"/>
        <v/>
      </c>
      <c r="M221" s="546" t="str">
        <f t="shared" si="892"/>
        <v/>
      </c>
      <c r="N221" s="546" t="str">
        <f t="shared" si="892"/>
        <v/>
      </c>
      <c r="O221" s="633" t="str">
        <f t="shared" si="892"/>
        <v/>
      </c>
      <c r="P221" s="512" t="str">
        <f t="shared" ref="P221:P222" si="893">IF(Q221="-","-",Q221/COUNTIF(D221:O221,"&gt;0"))</f>
        <v>-</v>
      </c>
      <c r="Q221" s="4" t="str">
        <f>IF(SUM(D221:O221)=0,"-",SUM(D221:O221))</f>
        <v>-</v>
      </c>
    </row>
    <row r="222" spans="1:17" ht="15.75" x14ac:dyDescent="0.25">
      <c r="A222" s="915"/>
      <c r="B222" s="923" t="s">
        <v>18</v>
      </c>
      <c r="C222" s="924"/>
      <c r="D222" s="546" t="str">
        <f t="shared" ref="D222:O222" si="894">IF(SUM(D36,D67,D98,D129,D160,D191)=0,"",SUM(D36,D67,D98,D129,D160,D191))</f>
        <v/>
      </c>
      <c r="E222" s="546" t="str">
        <f t="shared" si="894"/>
        <v/>
      </c>
      <c r="F222" s="546" t="str">
        <f t="shared" si="894"/>
        <v/>
      </c>
      <c r="G222" s="546" t="str">
        <f t="shared" si="894"/>
        <v/>
      </c>
      <c r="H222" s="546" t="str">
        <f t="shared" si="894"/>
        <v/>
      </c>
      <c r="I222" s="546" t="str">
        <f t="shared" si="894"/>
        <v/>
      </c>
      <c r="J222" s="546" t="str">
        <f t="shared" si="894"/>
        <v/>
      </c>
      <c r="K222" s="546" t="str">
        <f t="shared" si="894"/>
        <v/>
      </c>
      <c r="L222" s="546" t="str">
        <f t="shared" si="894"/>
        <v/>
      </c>
      <c r="M222" s="546" t="str">
        <f t="shared" si="894"/>
        <v/>
      </c>
      <c r="N222" s="546" t="str">
        <f t="shared" si="894"/>
        <v/>
      </c>
      <c r="O222" s="633" t="str">
        <f t="shared" si="894"/>
        <v/>
      </c>
      <c r="P222" s="512" t="str">
        <f t="shared" si="893"/>
        <v>-</v>
      </c>
      <c r="Q222" s="4" t="str">
        <f>IF(SUM(D222:O222)=0,"-",SUM(D222:O222))</f>
        <v>-</v>
      </c>
    </row>
    <row r="223" spans="1:17" ht="16.5" thickBot="1" x14ac:dyDescent="0.3">
      <c r="A223" s="916"/>
      <c r="B223" s="925" t="s">
        <v>17</v>
      </c>
      <c r="C223" s="926"/>
      <c r="D223" s="697" t="str">
        <f t="shared" ref="D223:O223" si="895">IF(SUM(D192,D161,D130,D99,D68,D37)=0,"",SUM(D192,D161,D130,D99,D68,D37))</f>
        <v/>
      </c>
      <c r="E223" s="697" t="str">
        <f t="shared" si="895"/>
        <v/>
      </c>
      <c r="F223" s="697" t="str">
        <f t="shared" si="895"/>
        <v/>
      </c>
      <c r="G223" s="697" t="str">
        <f t="shared" si="895"/>
        <v/>
      </c>
      <c r="H223" s="697" t="str">
        <f t="shared" si="895"/>
        <v/>
      </c>
      <c r="I223" s="697" t="str">
        <f t="shared" si="895"/>
        <v/>
      </c>
      <c r="J223" s="697" t="str">
        <f t="shared" si="895"/>
        <v/>
      </c>
      <c r="K223" s="697" t="str">
        <f t="shared" si="895"/>
        <v/>
      </c>
      <c r="L223" s="697" t="str">
        <f t="shared" si="895"/>
        <v/>
      </c>
      <c r="M223" s="697" t="str">
        <f t="shared" si="895"/>
        <v/>
      </c>
      <c r="N223" s="697" t="str">
        <f t="shared" si="895"/>
        <v/>
      </c>
      <c r="O223" s="698" t="str">
        <f t="shared" si="895"/>
        <v/>
      </c>
      <c r="P223" s="631" t="str">
        <f>IF(Q223="-","-",Q223/COUNTIF(D223:O223,"&gt;0"))</f>
        <v>-</v>
      </c>
      <c r="Q223" s="629" t="str">
        <f>IF(SUM(D223:O223)=0,"-",SUM(D223:O223))</f>
        <v>-</v>
      </c>
    </row>
    <row r="224" spans="1:17" ht="15.75" customHeight="1" x14ac:dyDescent="0.25">
      <c r="A224" s="838" t="s">
        <v>181</v>
      </c>
      <c r="B224" s="841" t="s">
        <v>179</v>
      </c>
      <c r="C224" s="745" t="s">
        <v>175</v>
      </c>
      <c r="D224" s="751"/>
      <c r="E224" s="751"/>
      <c r="F224" s="751"/>
      <c r="G224" s="751"/>
      <c r="H224" s="751"/>
      <c r="I224" s="751"/>
      <c r="J224" s="751"/>
      <c r="K224" s="751"/>
      <c r="L224" s="751"/>
      <c r="M224" s="751"/>
      <c r="N224" s="751"/>
      <c r="O224" s="752"/>
      <c r="P224" s="928"/>
      <c r="Q224" s="929"/>
    </row>
    <row r="225" spans="1:17" ht="15.75" customHeight="1" x14ac:dyDescent="0.25">
      <c r="A225" s="839"/>
      <c r="B225" s="790"/>
      <c r="C225" s="744" t="s">
        <v>176</v>
      </c>
      <c r="D225" s="753"/>
      <c r="E225" s="753"/>
      <c r="F225" s="753"/>
      <c r="G225" s="753"/>
      <c r="H225" s="753"/>
      <c r="I225" s="753"/>
      <c r="J225" s="753"/>
      <c r="K225" s="753"/>
      <c r="L225" s="753"/>
      <c r="M225" s="753"/>
      <c r="N225" s="753"/>
      <c r="O225" s="754"/>
      <c r="P225" s="930"/>
      <c r="Q225" s="931"/>
    </row>
    <row r="226" spans="1:17" ht="30" x14ac:dyDescent="0.25">
      <c r="A226" s="839"/>
      <c r="B226" s="761"/>
      <c r="C226" s="755" t="s">
        <v>177</v>
      </c>
      <c r="D226" s="749" t="str">
        <f>IF(B226-B227+D224-D225&lt;=0,"0:00",B226+D224-D225)</f>
        <v>0:00</v>
      </c>
      <c r="E226" s="749" t="str">
        <f>IF(D226-D227+E224-E225&lt;=0,"0:00",D226-D227+E224-E225)</f>
        <v>0:00</v>
      </c>
      <c r="F226" s="749" t="str">
        <f t="shared" ref="F226:O226" si="896">IF(E226-E227+F224-F225&lt;=0,"0:00",E226-E227+F224-F225)</f>
        <v>0:00</v>
      </c>
      <c r="G226" s="749" t="str">
        <f t="shared" si="896"/>
        <v>0:00</v>
      </c>
      <c r="H226" s="749" t="str">
        <f t="shared" si="896"/>
        <v>0:00</v>
      </c>
      <c r="I226" s="749" t="str">
        <f t="shared" si="896"/>
        <v>0:00</v>
      </c>
      <c r="J226" s="749" t="str">
        <f t="shared" si="896"/>
        <v>0:00</v>
      </c>
      <c r="K226" s="749" t="str">
        <f t="shared" si="896"/>
        <v>0:00</v>
      </c>
      <c r="L226" s="749" t="str">
        <f t="shared" si="896"/>
        <v>0:00</v>
      </c>
      <c r="M226" s="749" t="str">
        <f t="shared" si="896"/>
        <v>0:00</v>
      </c>
      <c r="N226" s="749" t="str">
        <f t="shared" si="896"/>
        <v>0:00</v>
      </c>
      <c r="O226" s="750" t="str">
        <f t="shared" si="896"/>
        <v>0:00</v>
      </c>
      <c r="P226" s="930"/>
      <c r="Q226" s="931"/>
    </row>
    <row r="227" spans="1:17" ht="30" x14ac:dyDescent="0.25">
      <c r="A227" s="839"/>
      <c r="B227" s="762"/>
      <c r="C227" s="756" t="s">
        <v>178</v>
      </c>
      <c r="D227" s="757" t="str">
        <f>IF(B227-B226-D224+D225&lt;=0,"0:00",B227-D224+D225)</f>
        <v>0:00</v>
      </c>
      <c r="E227" s="757" t="str">
        <f>IF(D227-D226-E224+E225&lt;=0,"0:00",D227-D226-E224+E225)</f>
        <v>0:00</v>
      </c>
      <c r="F227" s="757" t="str">
        <f>IF(E227-E226-F224+F225&lt;=0,"0:00",E227-E226-F224+F225)</f>
        <v>0:00</v>
      </c>
      <c r="G227" s="757" t="str">
        <f t="shared" ref="G227:O227" si="897">IF(F227-F226-G224+G225&lt;=0,"0:00",F227-F226-G224+G225)</f>
        <v>0:00</v>
      </c>
      <c r="H227" s="757" t="str">
        <f t="shared" si="897"/>
        <v>0:00</v>
      </c>
      <c r="I227" s="757" t="str">
        <f t="shared" si="897"/>
        <v>0:00</v>
      </c>
      <c r="J227" s="757" t="str">
        <f t="shared" si="897"/>
        <v>0:00</v>
      </c>
      <c r="K227" s="757" t="str">
        <f t="shared" si="897"/>
        <v>0:00</v>
      </c>
      <c r="L227" s="757" t="str">
        <f t="shared" si="897"/>
        <v>0:00</v>
      </c>
      <c r="M227" s="757" t="str">
        <f t="shared" si="897"/>
        <v>0:00</v>
      </c>
      <c r="N227" s="757" t="str">
        <f t="shared" si="897"/>
        <v>0:00</v>
      </c>
      <c r="O227" s="759" t="str">
        <f t="shared" si="897"/>
        <v>0:00</v>
      </c>
      <c r="P227" s="930"/>
      <c r="Q227" s="931"/>
    </row>
    <row r="228" spans="1:17" ht="15.75" thickBot="1" x14ac:dyDescent="0.3">
      <c r="A228" s="840"/>
      <c r="B228" s="934" t="s">
        <v>174</v>
      </c>
      <c r="C228" s="935"/>
      <c r="D228" s="758" t="str">
        <f>IF(SUM(D224:D225)=0,"",(D225-D224)*MAX(D$7,D$38,D$69,D$100,D$131,D$162)*24)</f>
        <v/>
      </c>
      <c r="E228" s="758" t="str">
        <f t="shared" ref="E228:O228" si="898">IF(SUM(E224:E225)=0,"",(E225-E224)*MAX(E$7,E$38,E$69,E$100,E$131,E$162)*24)</f>
        <v/>
      </c>
      <c r="F228" s="758" t="str">
        <f t="shared" si="898"/>
        <v/>
      </c>
      <c r="G228" s="758" t="str">
        <f t="shared" si="898"/>
        <v/>
      </c>
      <c r="H228" s="758" t="str">
        <f t="shared" si="898"/>
        <v/>
      </c>
      <c r="I228" s="758" t="str">
        <f t="shared" si="898"/>
        <v/>
      </c>
      <c r="J228" s="758" t="str">
        <f t="shared" si="898"/>
        <v/>
      </c>
      <c r="K228" s="758" t="str">
        <f t="shared" si="898"/>
        <v/>
      </c>
      <c r="L228" s="758" t="str">
        <f t="shared" si="898"/>
        <v/>
      </c>
      <c r="M228" s="758" t="str">
        <f t="shared" si="898"/>
        <v/>
      </c>
      <c r="N228" s="758" t="str">
        <f t="shared" si="898"/>
        <v/>
      </c>
      <c r="O228" s="760" t="str">
        <f t="shared" si="898"/>
        <v/>
      </c>
      <c r="P228" s="932"/>
      <c r="Q228" s="933"/>
    </row>
    <row r="229" spans="1:17" ht="15.75" customHeight="1" x14ac:dyDescent="0.25">
      <c r="A229" s="788" t="s">
        <v>14</v>
      </c>
      <c r="B229" s="748" t="s">
        <v>150</v>
      </c>
      <c r="C229" s="735">
        <v>2.85</v>
      </c>
      <c r="D229" s="736"/>
      <c r="E229" s="736"/>
      <c r="F229" s="736"/>
      <c r="G229" s="736"/>
      <c r="H229" s="736"/>
      <c r="I229" s="736"/>
      <c r="J229" s="736"/>
      <c r="K229" s="736"/>
      <c r="L229" s="736"/>
      <c r="M229" s="736"/>
      <c r="N229" s="736"/>
      <c r="O229" s="737"/>
      <c r="P229" s="738" t="str">
        <f t="shared" ref="P229:P245" si="899">IF(Q229="-","-",Q229/COUNTIF(D229:O229,"&gt;0"))</f>
        <v>-</v>
      </c>
      <c r="Q229" s="739" t="str">
        <f t="shared" ref="Q229:Q245" si="900">IF(SUM(D229:O229)=0,"-",SUM(D229:O229))</f>
        <v>-</v>
      </c>
    </row>
    <row r="230" spans="1:17" ht="15.75" customHeight="1" x14ac:dyDescent="0.25">
      <c r="A230" s="789"/>
      <c r="B230" s="746" t="s">
        <v>151</v>
      </c>
      <c r="C230" s="625">
        <v>3.35</v>
      </c>
      <c r="D230" s="549"/>
      <c r="E230" s="549"/>
      <c r="F230" s="549"/>
      <c r="G230" s="549"/>
      <c r="H230" s="549"/>
      <c r="I230" s="549"/>
      <c r="J230" s="549"/>
      <c r="K230" s="549"/>
      <c r="L230" s="549"/>
      <c r="M230" s="549"/>
      <c r="N230" s="549"/>
      <c r="O230" s="550"/>
      <c r="P230" s="635" t="str">
        <f t="shared" si="899"/>
        <v>-</v>
      </c>
      <c r="Q230" s="636" t="str">
        <f t="shared" si="900"/>
        <v>-</v>
      </c>
    </row>
    <row r="231" spans="1:17" ht="15.75" customHeight="1" x14ac:dyDescent="0.25">
      <c r="A231" s="789"/>
      <c r="B231" s="747" t="s">
        <v>27</v>
      </c>
      <c r="C231" s="17" t="s">
        <v>22</v>
      </c>
      <c r="D231" s="677" t="str">
        <f>IF(((D229)+(D230))*24=0,"",((D229*$C$229)+(D230*$C$230))*24)</f>
        <v/>
      </c>
      <c r="E231" s="677" t="str">
        <f t="shared" ref="E231:O231" si="901">IF(((E229)+(E230))*24=0,"",((E229*$C$229)+(E230*$C$230))*24)</f>
        <v/>
      </c>
      <c r="F231" s="677" t="str">
        <f t="shared" si="901"/>
        <v/>
      </c>
      <c r="G231" s="677" t="str">
        <f t="shared" si="901"/>
        <v/>
      </c>
      <c r="H231" s="677" t="str">
        <f t="shared" si="901"/>
        <v/>
      </c>
      <c r="I231" s="677" t="str">
        <f t="shared" si="901"/>
        <v/>
      </c>
      <c r="J231" s="677" t="str">
        <f t="shared" si="901"/>
        <v/>
      </c>
      <c r="K231" s="677" t="str">
        <f t="shared" si="901"/>
        <v/>
      </c>
      <c r="L231" s="677" t="str">
        <f t="shared" si="901"/>
        <v/>
      </c>
      <c r="M231" s="677" t="str">
        <f t="shared" si="901"/>
        <v/>
      </c>
      <c r="N231" s="677" t="str">
        <f t="shared" si="901"/>
        <v/>
      </c>
      <c r="O231" s="678" t="str">
        <f t="shared" si="901"/>
        <v/>
      </c>
      <c r="P231" s="631" t="str">
        <f t="shared" si="899"/>
        <v>-</v>
      </c>
      <c r="Q231" s="629" t="str">
        <f t="shared" si="900"/>
        <v>-</v>
      </c>
    </row>
    <row r="232" spans="1:17" ht="15.75" customHeight="1" x14ac:dyDescent="0.25">
      <c r="A232" s="789" t="s">
        <v>25</v>
      </c>
      <c r="B232" s="790"/>
      <c r="C232" s="89" t="s">
        <v>21</v>
      </c>
      <c r="D232" s="740"/>
      <c r="E232" s="740"/>
      <c r="F232" s="740"/>
      <c r="G232" s="740"/>
      <c r="H232" s="740"/>
      <c r="I232" s="740"/>
      <c r="J232" s="740"/>
      <c r="K232" s="740"/>
      <c r="L232" s="740"/>
      <c r="M232" s="740"/>
      <c r="N232" s="740"/>
      <c r="O232" s="741"/>
      <c r="P232" s="635" t="str">
        <f t="shared" si="899"/>
        <v>-</v>
      </c>
      <c r="Q232" s="636" t="str">
        <f t="shared" si="900"/>
        <v>-</v>
      </c>
    </row>
    <row r="233" spans="1:17" ht="15.75" customHeight="1" x14ac:dyDescent="0.25">
      <c r="A233" s="789"/>
      <c r="B233" s="790"/>
      <c r="C233" s="17" t="s">
        <v>22</v>
      </c>
      <c r="D233" s="677" t="str">
        <f t="shared" ref="D233:O233" si="902">IF(D232*MAX(D$7,D$38,D$69,D$100,D$131,D$162)*24=0,"",D232*MAX(D$7,D$38,D$69,D$100,D$131,D$162)*24)</f>
        <v/>
      </c>
      <c r="E233" s="677" t="str">
        <f t="shared" si="902"/>
        <v/>
      </c>
      <c r="F233" s="677" t="str">
        <f t="shared" si="902"/>
        <v/>
      </c>
      <c r="G233" s="677" t="str">
        <f t="shared" si="902"/>
        <v/>
      </c>
      <c r="H233" s="677" t="str">
        <f t="shared" si="902"/>
        <v/>
      </c>
      <c r="I233" s="677" t="str">
        <f t="shared" si="902"/>
        <v/>
      </c>
      <c r="J233" s="677" t="str">
        <f t="shared" si="902"/>
        <v/>
      </c>
      <c r="K233" s="677" t="str">
        <f t="shared" si="902"/>
        <v/>
      </c>
      <c r="L233" s="677" t="str">
        <f t="shared" si="902"/>
        <v/>
      </c>
      <c r="M233" s="677" t="str">
        <f t="shared" si="902"/>
        <v/>
      </c>
      <c r="N233" s="677" t="str">
        <f t="shared" si="902"/>
        <v/>
      </c>
      <c r="O233" s="678" t="str">
        <f t="shared" si="902"/>
        <v/>
      </c>
      <c r="P233" s="631" t="str">
        <f t="shared" si="899"/>
        <v>-</v>
      </c>
      <c r="Q233" s="629" t="str">
        <f t="shared" si="900"/>
        <v>-</v>
      </c>
    </row>
    <row r="234" spans="1:17" ht="15.75" customHeight="1" x14ac:dyDescent="0.25">
      <c r="A234" s="791" t="s">
        <v>24</v>
      </c>
      <c r="B234" s="792"/>
      <c r="C234" s="16" t="s">
        <v>21</v>
      </c>
      <c r="D234" s="675"/>
      <c r="E234" s="675"/>
      <c r="F234" s="675"/>
      <c r="G234" s="675"/>
      <c r="H234" s="675"/>
      <c r="I234" s="675"/>
      <c r="J234" s="675"/>
      <c r="K234" s="675"/>
      <c r="L234" s="675"/>
      <c r="M234" s="675"/>
      <c r="N234" s="675"/>
      <c r="O234" s="676"/>
      <c r="P234" s="635" t="str">
        <f t="shared" si="899"/>
        <v>-</v>
      </c>
      <c r="Q234" s="636" t="str">
        <f t="shared" si="900"/>
        <v>-</v>
      </c>
    </row>
    <row r="235" spans="1:17" ht="15.75" customHeight="1" x14ac:dyDescent="0.25">
      <c r="A235" s="793"/>
      <c r="B235" s="794"/>
      <c r="C235" s="17" t="s">
        <v>22</v>
      </c>
      <c r="D235" s="1031"/>
      <c r="E235" s="1031"/>
      <c r="F235" s="1031"/>
      <c r="G235" s="1031"/>
      <c r="H235" s="1031"/>
      <c r="I235" s="1031"/>
      <c r="J235" s="1031"/>
      <c r="K235" s="1031"/>
      <c r="L235" s="1031"/>
      <c r="M235" s="1031"/>
      <c r="N235" s="1031"/>
      <c r="O235" s="1032"/>
      <c r="P235" s="631" t="str">
        <f t="shared" si="899"/>
        <v>-</v>
      </c>
      <c r="Q235" s="629" t="str">
        <f t="shared" si="900"/>
        <v>-</v>
      </c>
    </row>
    <row r="236" spans="1:17" ht="15.75" customHeight="1" x14ac:dyDescent="0.25">
      <c r="A236" s="795" t="s">
        <v>2</v>
      </c>
      <c r="B236" s="796"/>
      <c r="C236" s="16" t="s">
        <v>21</v>
      </c>
      <c r="D236" s="675"/>
      <c r="E236" s="675"/>
      <c r="F236" s="675"/>
      <c r="G236" s="675"/>
      <c r="H236" s="675"/>
      <c r="I236" s="675"/>
      <c r="J236" s="675"/>
      <c r="K236" s="675"/>
      <c r="L236" s="675"/>
      <c r="M236" s="675"/>
      <c r="N236" s="675"/>
      <c r="O236" s="676"/>
      <c r="P236" s="635" t="str">
        <f t="shared" si="899"/>
        <v>-</v>
      </c>
      <c r="Q236" s="636" t="str">
        <f t="shared" si="900"/>
        <v>-</v>
      </c>
    </row>
    <row r="237" spans="1:17" ht="15.75" customHeight="1" x14ac:dyDescent="0.25">
      <c r="A237" s="797"/>
      <c r="B237" s="798"/>
      <c r="C237" s="17" t="s">
        <v>22</v>
      </c>
      <c r="D237" s="677" t="str">
        <f t="shared" ref="D237:G237" si="903">IF(D236*MAX(D$7,D$38,D$69,D$100,D$131,D$162)*24=0,"",D236*MIN(D$7,D$38,D$69,D$100,D$131,D$162)*24)</f>
        <v/>
      </c>
      <c r="E237" s="677" t="str">
        <f t="shared" si="903"/>
        <v/>
      </c>
      <c r="F237" s="677" t="str">
        <f t="shared" si="903"/>
        <v/>
      </c>
      <c r="G237" s="677" t="str">
        <f t="shared" si="903"/>
        <v/>
      </c>
      <c r="H237" s="677" t="str">
        <f>IF(H236*MAX(H$7,H$38,H$69,H$100,H$131,H$162)*24=0,"",H236*MIN(H$7,H$38,H$69,H$100,H$131,H$162)*24)</f>
        <v/>
      </c>
      <c r="I237" s="677" t="str">
        <f t="shared" ref="I237:O237" si="904">IF(I236*MAX(I$7,I$38,I$69,I$100,I$131,I$162)*24=0,"",I236*MIN(I$7,I$38,I$69,I$100,I$131,I$162)*24)</f>
        <v/>
      </c>
      <c r="J237" s="677" t="str">
        <f t="shared" si="904"/>
        <v/>
      </c>
      <c r="K237" s="677" t="str">
        <f t="shared" si="904"/>
        <v/>
      </c>
      <c r="L237" s="677" t="str">
        <f t="shared" si="904"/>
        <v/>
      </c>
      <c r="M237" s="677" t="str">
        <f t="shared" si="904"/>
        <v/>
      </c>
      <c r="N237" s="677" t="str">
        <f t="shared" si="904"/>
        <v/>
      </c>
      <c r="O237" s="678" t="str">
        <f t="shared" si="904"/>
        <v/>
      </c>
      <c r="P237" s="631" t="str">
        <f t="shared" si="899"/>
        <v>-</v>
      </c>
      <c r="Q237" s="629" t="str">
        <f t="shared" si="900"/>
        <v>-</v>
      </c>
    </row>
    <row r="238" spans="1:17" ht="15.75" customHeight="1" x14ac:dyDescent="0.25">
      <c r="A238" s="791" t="s">
        <v>23</v>
      </c>
      <c r="B238" s="792"/>
      <c r="C238" s="16" t="s">
        <v>21</v>
      </c>
      <c r="D238" s="675"/>
      <c r="E238" s="675"/>
      <c r="F238" s="675"/>
      <c r="G238" s="675"/>
      <c r="H238" s="675"/>
      <c r="I238" s="675"/>
      <c r="J238" s="675"/>
      <c r="K238" s="675"/>
      <c r="L238" s="675"/>
      <c r="M238" s="675"/>
      <c r="N238" s="675"/>
      <c r="O238" s="676"/>
      <c r="P238" s="635" t="str">
        <f t="shared" si="899"/>
        <v>-</v>
      </c>
      <c r="Q238" s="636" t="str">
        <f t="shared" si="900"/>
        <v>-</v>
      </c>
    </row>
    <row r="239" spans="1:17" ht="15.75" customHeight="1" x14ac:dyDescent="0.25">
      <c r="A239" s="793"/>
      <c r="B239" s="794"/>
      <c r="C239" s="89" t="s">
        <v>22</v>
      </c>
      <c r="D239" s="714" t="str">
        <f>IF(D238*MAX(D$7,D$38,D$69,D$100,D$131,D$162)*24=0,"",D238*MAX(D$7,D$38,D$69,D$100,D$131,D$162)*24)</f>
        <v/>
      </c>
      <c r="E239" s="714" t="str">
        <f t="shared" ref="E239:O239" si="905">IF(E238*MAX(E$7,E$38,E$69,E$100,E$131,E$162)*24=0,"",E238*MAX(E$7,E$38,E$69,E$100,E$131,E$162)*24)</f>
        <v/>
      </c>
      <c r="F239" s="714" t="str">
        <f t="shared" si="905"/>
        <v/>
      </c>
      <c r="G239" s="714" t="str">
        <f t="shared" si="905"/>
        <v/>
      </c>
      <c r="H239" s="714" t="str">
        <f t="shared" si="905"/>
        <v/>
      </c>
      <c r="I239" s="714" t="str">
        <f t="shared" si="905"/>
        <v/>
      </c>
      <c r="J239" s="714" t="str">
        <f t="shared" si="905"/>
        <v/>
      </c>
      <c r="K239" s="714" t="str">
        <f t="shared" si="905"/>
        <v/>
      </c>
      <c r="L239" s="714" t="str">
        <f t="shared" si="905"/>
        <v/>
      </c>
      <c r="M239" s="714" t="str">
        <f t="shared" si="905"/>
        <v/>
      </c>
      <c r="N239" s="714" t="str">
        <f t="shared" si="905"/>
        <v/>
      </c>
      <c r="O239" s="715" t="str">
        <f t="shared" si="905"/>
        <v/>
      </c>
      <c r="P239" s="631" t="str">
        <f t="shared" si="899"/>
        <v>-</v>
      </c>
      <c r="Q239" s="629" t="str">
        <f t="shared" si="900"/>
        <v>-</v>
      </c>
    </row>
    <row r="240" spans="1:17" ht="15.75" customHeight="1" x14ac:dyDescent="0.25">
      <c r="A240" s="799" t="s">
        <v>171</v>
      </c>
      <c r="B240" s="800"/>
      <c r="C240" s="16" t="s">
        <v>21</v>
      </c>
      <c r="D240" s="716"/>
      <c r="E240" s="675"/>
      <c r="F240" s="675"/>
      <c r="G240" s="675"/>
      <c r="H240" s="675"/>
      <c r="I240" s="675"/>
      <c r="J240" s="675"/>
      <c r="K240" s="675"/>
      <c r="L240" s="675"/>
      <c r="M240" s="675"/>
      <c r="N240" s="675"/>
      <c r="O240" s="676"/>
      <c r="P240" s="635" t="str">
        <f t="shared" si="899"/>
        <v>-</v>
      </c>
      <c r="Q240" s="636" t="str">
        <f t="shared" si="900"/>
        <v>-</v>
      </c>
    </row>
    <row r="241" spans="1:17" ht="15.75" customHeight="1" x14ac:dyDescent="0.25">
      <c r="A241" s="801"/>
      <c r="B241" s="802"/>
      <c r="C241" s="17" t="s">
        <v>22</v>
      </c>
      <c r="D241" s="717" t="str">
        <f t="shared" ref="D241:O241" si="906">IF(D240*MAX(D$7,D$38,D$69,D$100,D$131,D$162)*24=0,"",D240*MAX(D$7,D$38,D$69,D$100,D$131,D$162)*24)</f>
        <v/>
      </c>
      <c r="E241" s="677" t="str">
        <f t="shared" si="906"/>
        <v/>
      </c>
      <c r="F241" s="677" t="str">
        <f t="shared" si="906"/>
        <v/>
      </c>
      <c r="G241" s="677" t="str">
        <f t="shared" si="906"/>
        <v/>
      </c>
      <c r="H241" s="677" t="str">
        <f t="shared" si="906"/>
        <v/>
      </c>
      <c r="I241" s="677" t="str">
        <f t="shared" si="906"/>
        <v/>
      </c>
      <c r="J241" s="677" t="str">
        <f t="shared" si="906"/>
        <v/>
      </c>
      <c r="K241" s="677" t="str">
        <f t="shared" si="906"/>
        <v/>
      </c>
      <c r="L241" s="677" t="str">
        <f t="shared" si="906"/>
        <v/>
      </c>
      <c r="M241" s="677" t="str">
        <f t="shared" si="906"/>
        <v/>
      </c>
      <c r="N241" s="677" t="str">
        <f t="shared" si="906"/>
        <v/>
      </c>
      <c r="O241" s="678" t="str">
        <f t="shared" si="906"/>
        <v/>
      </c>
      <c r="P241" s="631" t="str">
        <f t="shared" si="899"/>
        <v>-</v>
      </c>
      <c r="Q241" s="629" t="str">
        <f t="shared" si="900"/>
        <v>-</v>
      </c>
    </row>
    <row r="242" spans="1:17" ht="15.75" customHeight="1" x14ac:dyDescent="0.25">
      <c r="A242" s="799" t="s">
        <v>171</v>
      </c>
      <c r="B242" s="800"/>
      <c r="C242" s="16" t="s">
        <v>21</v>
      </c>
      <c r="D242" s="716"/>
      <c r="E242" s="675"/>
      <c r="F242" s="675"/>
      <c r="G242" s="675"/>
      <c r="H242" s="675"/>
      <c r="I242" s="675"/>
      <c r="J242" s="675"/>
      <c r="K242" s="675"/>
      <c r="L242" s="675"/>
      <c r="M242" s="675"/>
      <c r="N242" s="675"/>
      <c r="O242" s="676"/>
      <c r="P242" s="635" t="str">
        <f t="shared" si="899"/>
        <v>-</v>
      </c>
      <c r="Q242" s="636" t="str">
        <f t="shared" si="900"/>
        <v>-</v>
      </c>
    </row>
    <row r="243" spans="1:17" ht="15.75" customHeight="1" thickBot="1" x14ac:dyDescent="0.3">
      <c r="A243" s="803"/>
      <c r="B243" s="804"/>
      <c r="C243" s="527" t="s">
        <v>22</v>
      </c>
      <c r="D243" s="718" t="str">
        <f t="shared" ref="D243:O243" si="907">IF(D242*MAX(D$7,D$38,D$69,D$100,D$131,D$162)*24=0,"",D242*MAX(D$7,D$38,D$69,D$100,D$131,D$162)*24)</f>
        <v/>
      </c>
      <c r="E243" s="679" t="str">
        <f t="shared" si="907"/>
        <v/>
      </c>
      <c r="F243" s="679" t="str">
        <f t="shared" si="907"/>
        <v/>
      </c>
      <c r="G243" s="679" t="str">
        <f t="shared" si="907"/>
        <v/>
      </c>
      <c r="H243" s="679" t="str">
        <f t="shared" si="907"/>
        <v/>
      </c>
      <c r="I243" s="679" t="str">
        <f t="shared" si="907"/>
        <v/>
      </c>
      <c r="J243" s="679" t="str">
        <f t="shared" si="907"/>
        <v/>
      </c>
      <c r="K243" s="679" t="str">
        <f t="shared" si="907"/>
        <v/>
      </c>
      <c r="L243" s="679" t="str">
        <f t="shared" si="907"/>
        <v/>
      </c>
      <c r="M243" s="679" t="str">
        <f t="shared" si="907"/>
        <v/>
      </c>
      <c r="N243" s="679" t="str">
        <f t="shared" si="907"/>
        <v/>
      </c>
      <c r="O243" s="680" t="str">
        <f t="shared" si="907"/>
        <v/>
      </c>
      <c r="P243" s="525" t="str">
        <f t="shared" si="899"/>
        <v>-</v>
      </c>
      <c r="Q243" s="7" t="str">
        <f t="shared" si="900"/>
        <v>-</v>
      </c>
    </row>
    <row r="244" spans="1:17" ht="23.1" customHeight="1" x14ac:dyDescent="0.25">
      <c r="A244" s="842" t="s">
        <v>18</v>
      </c>
      <c r="B244" s="843"/>
      <c r="C244" s="844"/>
      <c r="D244" s="721" t="str">
        <f>IF(SUM(D222,D224,D232,D234,D236,D238,D240,D242)-D225=0,"",SUM(D222,D225,D232,D234,D236,D238,D240,D242)-D224)</f>
        <v/>
      </c>
      <c r="E244" s="721" t="str">
        <f t="shared" ref="E244:O244" si="908">IF(SUM(E222,E224,E232,E234,E236,E238,E240,E242)-E225=0,"",SUM(E222,E225,E232,E234,E236,E238,E240,E242)-E224)</f>
        <v/>
      </c>
      <c r="F244" s="721" t="str">
        <f t="shared" si="908"/>
        <v/>
      </c>
      <c r="G244" s="721" t="str">
        <f t="shared" si="908"/>
        <v/>
      </c>
      <c r="H244" s="721" t="str">
        <f t="shared" si="908"/>
        <v/>
      </c>
      <c r="I244" s="721" t="str">
        <f t="shared" si="908"/>
        <v/>
      </c>
      <c r="J244" s="721" t="str">
        <f t="shared" si="908"/>
        <v/>
      </c>
      <c r="K244" s="721" t="str">
        <f t="shared" si="908"/>
        <v/>
      </c>
      <c r="L244" s="721" t="str">
        <f t="shared" si="908"/>
        <v/>
      </c>
      <c r="M244" s="721" t="str">
        <f t="shared" si="908"/>
        <v/>
      </c>
      <c r="N244" s="721" t="str">
        <f t="shared" si="908"/>
        <v/>
      </c>
      <c r="O244" s="722" t="str">
        <f t="shared" si="908"/>
        <v/>
      </c>
      <c r="P244" s="544" t="str">
        <f t="shared" si="899"/>
        <v>-</v>
      </c>
      <c r="Q244" s="634" t="str">
        <f t="shared" si="900"/>
        <v>-</v>
      </c>
    </row>
    <row r="245" spans="1:17" ht="23.1" customHeight="1" thickBot="1" x14ac:dyDescent="0.3">
      <c r="A245" s="845" t="s">
        <v>26</v>
      </c>
      <c r="B245" s="846"/>
      <c r="C245" s="847"/>
      <c r="D245" s="528" t="str">
        <f>IF(SUM(D223,D228,D231,D233,D235,D237,D239,D241,D243)=0,"",SUM(D223,D228,D231,D233,D235,D237,D239,D241,D243)*0.84)</f>
        <v/>
      </c>
      <c r="E245" s="528" t="str">
        <f>IF(SUM(E223,E228,E231,E233,E235,E237,E239,E241,E243)=0,"",SUM(E223,E228,E231,E233,E235,E237,E239,E241,E243)*0.84)</f>
        <v/>
      </c>
      <c r="F245" s="528" t="str">
        <f t="shared" ref="F245:O245" si="909">IF(SUM(F223,F228,F231,F233,F235,F237,F239,F241,F243)=0,"",SUM(F223,F228,F231,F233,F235,F237,F239,F241,F243))</f>
        <v/>
      </c>
      <c r="G245" s="528" t="str">
        <f t="shared" si="909"/>
        <v/>
      </c>
      <c r="H245" s="528" t="str">
        <f t="shared" si="909"/>
        <v/>
      </c>
      <c r="I245" s="528" t="str">
        <f t="shared" si="909"/>
        <v/>
      </c>
      <c r="J245" s="528" t="str">
        <f t="shared" si="909"/>
        <v/>
      </c>
      <c r="K245" s="528" t="str">
        <f t="shared" si="909"/>
        <v/>
      </c>
      <c r="L245" s="528" t="str">
        <f t="shared" si="909"/>
        <v/>
      </c>
      <c r="M245" s="528" t="str">
        <f t="shared" si="909"/>
        <v/>
      </c>
      <c r="N245" s="528" t="str">
        <f t="shared" si="909"/>
        <v/>
      </c>
      <c r="O245" s="545" t="str">
        <f t="shared" si="909"/>
        <v/>
      </c>
      <c r="P245" s="657" t="str">
        <f t="shared" si="899"/>
        <v>-</v>
      </c>
      <c r="Q245" s="723" t="str">
        <f t="shared" si="900"/>
        <v>-</v>
      </c>
    </row>
    <row r="246" spans="1:17" ht="27" thickBot="1" x14ac:dyDescent="0.3">
      <c r="A246" s="888" t="s">
        <v>28</v>
      </c>
      <c r="B246" s="889"/>
      <c r="C246" s="889"/>
      <c r="D246" s="889"/>
      <c r="E246" s="889"/>
      <c r="F246" s="889"/>
      <c r="G246" s="889"/>
      <c r="H246" s="889"/>
      <c r="I246" s="889"/>
      <c r="J246" s="889"/>
      <c r="K246" s="889"/>
      <c r="L246" s="889"/>
      <c r="M246" s="889"/>
      <c r="N246" s="889"/>
      <c r="O246" s="889"/>
      <c r="P246" s="889"/>
      <c r="Q246" s="890"/>
    </row>
    <row r="247" spans="1:17" ht="15.75" customHeight="1" x14ac:dyDescent="0.25">
      <c r="A247" s="917" t="s">
        <v>29</v>
      </c>
      <c r="B247" s="918"/>
      <c r="C247" s="541" t="s">
        <v>30</v>
      </c>
      <c r="D247" s="606"/>
      <c r="E247" s="606"/>
      <c r="F247" s="606"/>
      <c r="G247" s="606"/>
      <c r="H247" s="606"/>
      <c r="I247" s="606"/>
      <c r="J247" s="606"/>
      <c r="K247" s="606"/>
      <c r="L247" s="606"/>
      <c r="M247" s="606"/>
      <c r="N247" s="606"/>
      <c r="O247" s="607"/>
      <c r="P247" s="637" t="str">
        <f t="shared" ref="P247:P275" si="910">IF(Q247="-","-",Q247/COUNTIF(D247:O247,"&gt;0"))</f>
        <v>-</v>
      </c>
      <c r="Q247" s="638" t="str">
        <f t="shared" ref="Q247:Q275" si="911">IF(SUM(D247:O247)=0,"-",SUM(D247:O247))</f>
        <v>-</v>
      </c>
    </row>
    <row r="248" spans="1:17" ht="15.75" customHeight="1" x14ac:dyDescent="0.25">
      <c r="A248" s="919"/>
      <c r="B248" s="920"/>
      <c r="C248" s="8" t="s">
        <v>31</v>
      </c>
      <c r="D248" s="608"/>
      <c r="E248" s="608"/>
      <c r="F248" s="608"/>
      <c r="G248" s="608"/>
      <c r="H248" s="608"/>
      <c r="I248" s="608"/>
      <c r="J248" s="608"/>
      <c r="K248" s="608"/>
      <c r="L248" s="608"/>
      <c r="M248" s="608"/>
      <c r="N248" s="608"/>
      <c r="O248" s="609"/>
      <c r="P248" s="639" t="str">
        <f t="shared" si="910"/>
        <v>-</v>
      </c>
      <c r="Q248" s="640" t="str">
        <f t="shared" si="911"/>
        <v>-</v>
      </c>
    </row>
    <row r="249" spans="1:17" ht="15.75" customHeight="1" x14ac:dyDescent="0.25">
      <c r="A249" s="919"/>
      <c r="B249" s="920"/>
      <c r="C249" s="8" t="s">
        <v>56</v>
      </c>
      <c r="D249" s="608"/>
      <c r="E249" s="608"/>
      <c r="F249" s="608"/>
      <c r="G249" s="608"/>
      <c r="H249" s="608"/>
      <c r="I249" s="608"/>
      <c r="J249" s="608"/>
      <c r="K249" s="608"/>
      <c r="L249" s="608"/>
      <c r="M249" s="608"/>
      <c r="N249" s="608"/>
      <c r="O249" s="609"/>
      <c r="P249" s="639" t="str">
        <f t="shared" si="910"/>
        <v>-</v>
      </c>
      <c r="Q249" s="640" t="str">
        <f t="shared" si="911"/>
        <v>-</v>
      </c>
    </row>
    <row r="250" spans="1:17" ht="19.5" thickBot="1" x14ac:dyDescent="0.3">
      <c r="A250" s="921"/>
      <c r="B250" s="922"/>
      <c r="C250" s="628" t="s">
        <v>5</v>
      </c>
      <c r="D250" s="542">
        <f>IF(SUM(D247,D248,D249)=0,0,SUM(D247,D248,D249))</f>
        <v>0</v>
      </c>
      <c r="E250" s="542">
        <f t="shared" ref="E250:O250" si="912">IF(SUM(E247,E248,E249)=0,0,SUM(E247,E248,E249))</f>
        <v>0</v>
      </c>
      <c r="F250" s="542">
        <f t="shared" si="912"/>
        <v>0</v>
      </c>
      <c r="G250" s="542">
        <f t="shared" si="912"/>
        <v>0</v>
      </c>
      <c r="H250" s="542">
        <f t="shared" si="912"/>
        <v>0</v>
      </c>
      <c r="I250" s="542">
        <f t="shared" si="912"/>
        <v>0</v>
      </c>
      <c r="J250" s="542">
        <f t="shared" si="912"/>
        <v>0</v>
      </c>
      <c r="K250" s="542">
        <f t="shared" si="912"/>
        <v>0</v>
      </c>
      <c r="L250" s="542">
        <f t="shared" si="912"/>
        <v>0</v>
      </c>
      <c r="M250" s="542">
        <f t="shared" si="912"/>
        <v>0</v>
      </c>
      <c r="N250" s="542">
        <f t="shared" si="912"/>
        <v>0</v>
      </c>
      <c r="O250" s="543">
        <f t="shared" si="912"/>
        <v>0</v>
      </c>
      <c r="P250" s="641" t="str">
        <f>IF(Q250="-","-",Q250/COUNTIF(D250:O250,"&gt;0"))</f>
        <v>-</v>
      </c>
      <c r="Q250" s="642" t="str">
        <f t="shared" si="911"/>
        <v>-</v>
      </c>
    </row>
    <row r="251" spans="1:17" ht="15.75" customHeight="1" x14ac:dyDescent="0.25">
      <c r="A251" s="848" t="s">
        <v>32</v>
      </c>
      <c r="B251" s="849"/>
      <c r="C251" s="537" t="s">
        <v>30</v>
      </c>
      <c r="D251" s="606"/>
      <c r="E251" s="606"/>
      <c r="F251" s="606"/>
      <c r="G251" s="606"/>
      <c r="H251" s="606"/>
      <c r="I251" s="606"/>
      <c r="J251" s="606"/>
      <c r="K251" s="606"/>
      <c r="L251" s="606"/>
      <c r="M251" s="606"/>
      <c r="N251" s="606"/>
      <c r="O251" s="607"/>
      <c r="P251" s="643" t="str">
        <f t="shared" si="910"/>
        <v>-</v>
      </c>
      <c r="Q251" s="644" t="str">
        <f t="shared" si="911"/>
        <v>-</v>
      </c>
    </row>
    <row r="252" spans="1:17" ht="15.75" customHeight="1" x14ac:dyDescent="0.25">
      <c r="A252" s="850"/>
      <c r="B252" s="851"/>
      <c r="C252" s="9" t="s">
        <v>31</v>
      </c>
      <c r="D252" s="608"/>
      <c r="E252" s="608"/>
      <c r="F252" s="608"/>
      <c r="G252" s="608"/>
      <c r="H252" s="608"/>
      <c r="I252" s="608"/>
      <c r="J252" s="608"/>
      <c r="K252" s="608"/>
      <c r="L252" s="608"/>
      <c r="M252" s="608"/>
      <c r="N252" s="608"/>
      <c r="O252" s="609"/>
      <c r="P252" s="645" t="str">
        <f t="shared" si="910"/>
        <v>-</v>
      </c>
      <c r="Q252" s="646" t="str">
        <f t="shared" si="911"/>
        <v>-</v>
      </c>
    </row>
    <row r="253" spans="1:17" ht="15.75" customHeight="1" x14ac:dyDescent="0.25">
      <c r="A253" s="850"/>
      <c r="B253" s="851"/>
      <c r="C253" s="9" t="s">
        <v>56</v>
      </c>
      <c r="D253" s="608"/>
      <c r="E253" s="608"/>
      <c r="F253" s="608"/>
      <c r="G253" s="608"/>
      <c r="H253" s="608"/>
      <c r="I253" s="608"/>
      <c r="J253" s="608"/>
      <c r="K253" s="608"/>
      <c r="L253" s="608"/>
      <c r="M253" s="608"/>
      <c r="N253" s="608"/>
      <c r="O253" s="609"/>
      <c r="P253" s="645" t="str">
        <f t="shared" si="910"/>
        <v>-</v>
      </c>
      <c r="Q253" s="646" t="str">
        <f t="shared" si="911"/>
        <v>-</v>
      </c>
    </row>
    <row r="254" spans="1:17" ht="15.75" customHeight="1" thickBot="1" x14ac:dyDescent="0.3">
      <c r="A254" s="852"/>
      <c r="B254" s="853"/>
      <c r="C254" s="538" t="s">
        <v>5</v>
      </c>
      <c r="D254" s="539">
        <f>IF(SUM(D251,D252,D253)=0,0,SUM(D251,D252,D253))</f>
        <v>0</v>
      </c>
      <c r="E254" s="539">
        <f t="shared" ref="E254:O254" si="913">IF(SUM(E251,E252,E253)=0,0,SUM(E251,E252,E253))</f>
        <v>0</v>
      </c>
      <c r="F254" s="539">
        <f t="shared" si="913"/>
        <v>0</v>
      </c>
      <c r="G254" s="539">
        <f t="shared" si="913"/>
        <v>0</v>
      </c>
      <c r="H254" s="539">
        <f t="shared" si="913"/>
        <v>0</v>
      </c>
      <c r="I254" s="539">
        <f t="shared" si="913"/>
        <v>0</v>
      </c>
      <c r="J254" s="539">
        <f t="shared" si="913"/>
        <v>0</v>
      </c>
      <c r="K254" s="539">
        <f t="shared" si="913"/>
        <v>0</v>
      </c>
      <c r="L254" s="539">
        <f t="shared" si="913"/>
        <v>0</v>
      </c>
      <c r="M254" s="539">
        <f t="shared" si="913"/>
        <v>0</v>
      </c>
      <c r="N254" s="539">
        <f t="shared" si="913"/>
        <v>0</v>
      </c>
      <c r="O254" s="540">
        <f t="shared" si="913"/>
        <v>0</v>
      </c>
      <c r="P254" s="647" t="str">
        <f>IF(Q254="-","-",Q254/COUNTIF(D254:O254,"&gt;0"))</f>
        <v>-</v>
      </c>
      <c r="Q254" s="648" t="str">
        <f t="shared" si="911"/>
        <v>-</v>
      </c>
    </row>
    <row r="255" spans="1:17" ht="15.75" customHeight="1" x14ac:dyDescent="0.25">
      <c r="A255" s="848" t="s">
        <v>33</v>
      </c>
      <c r="B255" s="849"/>
      <c r="C255" s="535" t="s">
        <v>30</v>
      </c>
      <c r="D255" s="606"/>
      <c r="E255" s="606"/>
      <c r="F255" s="606"/>
      <c r="G255" s="606"/>
      <c r="H255" s="606"/>
      <c r="I255" s="606"/>
      <c r="J255" s="606"/>
      <c r="K255" s="606"/>
      <c r="L255" s="606"/>
      <c r="M255" s="606"/>
      <c r="N255" s="606"/>
      <c r="O255" s="607"/>
      <c r="P255" s="643" t="str">
        <f t="shared" si="910"/>
        <v>-</v>
      </c>
      <c r="Q255" s="644" t="str">
        <f t="shared" si="911"/>
        <v>-</v>
      </c>
    </row>
    <row r="256" spans="1:17" ht="15.75" customHeight="1" x14ac:dyDescent="0.25">
      <c r="A256" s="850"/>
      <c r="B256" s="851"/>
      <c r="C256" s="10" t="s">
        <v>31</v>
      </c>
      <c r="D256" s="608"/>
      <c r="E256" s="608"/>
      <c r="F256" s="608"/>
      <c r="G256" s="608"/>
      <c r="H256" s="608"/>
      <c r="I256" s="608"/>
      <c r="J256" s="608"/>
      <c r="K256" s="608"/>
      <c r="L256" s="608"/>
      <c r="M256" s="608"/>
      <c r="N256" s="608"/>
      <c r="O256" s="609"/>
      <c r="P256" s="649" t="str">
        <f t="shared" si="910"/>
        <v>-</v>
      </c>
      <c r="Q256" s="650" t="str">
        <f t="shared" si="911"/>
        <v>-</v>
      </c>
    </row>
    <row r="257" spans="1:17" ht="15.75" customHeight="1" x14ac:dyDescent="0.25">
      <c r="A257" s="850"/>
      <c r="B257" s="851"/>
      <c r="C257" s="10" t="s">
        <v>56</v>
      </c>
      <c r="D257" s="608"/>
      <c r="E257" s="608"/>
      <c r="F257" s="608"/>
      <c r="G257" s="608"/>
      <c r="H257" s="608"/>
      <c r="I257" s="608"/>
      <c r="J257" s="608"/>
      <c r="K257" s="608"/>
      <c r="L257" s="608"/>
      <c r="M257" s="608"/>
      <c r="N257" s="608"/>
      <c r="O257" s="609"/>
      <c r="P257" s="649" t="str">
        <f t="shared" si="910"/>
        <v>-</v>
      </c>
      <c r="Q257" s="650" t="str">
        <f t="shared" si="911"/>
        <v>-</v>
      </c>
    </row>
    <row r="258" spans="1:17" ht="15.75" customHeight="1" thickBot="1" x14ac:dyDescent="0.3">
      <c r="A258" s="852"/>
      <c r="B258" s="853"/>
      <c r="C258" s="536" t="s">
        <v>5</v>
      </c>
      <c r="D258" s="539">
        <f>IF(SUM(D255,D256,D257)=0,0,SUM(D255,D256,D257))</f>
        <v>0</v>
      </c>
      <c r="E258" s="539">
        <f t="shared" ref="E258:O258" si="914">IF(SUM(E255,E256,E257)=0,0,SUM(E255,E256,E257))</f>
        <v>0</v>
      </c>
      <c r="F258" s="539">
        <f t="shared" si="914"/>
        <v>0</v>
      </c>
      <c r="G258" s="539">
        <f t="shared" si="914"/>
        <v>0</v>
      </c>
      <c r="H258" s="539">
        <f t="shared" si="914"/>
        <v>0</v>
      </c>
      <c r="I258" s="539">
        <f t="shared" si="914"/>
        <v>0</v>
      </c>
      <c r="J258" s="539">
        <f t="shared" si="914"/>
        <v>0</v>
      </c>
      <c r="K258" s="539">
        <f t="shared" si="914"/>
        <v>0</v>
      </c>
      <c r="L258" s="539">
        <f t="shared" si="914"/>
        <v>0</v>
      </c>
      <c r="M258" s="539">
        <f t="shared" si="914"/>
        <v>0</v>
      </c>
      <c r="N258" s="539">
        <f t="shared" si="914"/>
        <v>0</v>
      </c>
      <c r="O258" s="540">
        <f t="shared" si="914"/>
        <v>0</v>
      </c>
      <c r="P258" s="651" t="str">
        <f>IF(Q258="-","-",Q258/COUNTIF(D258:O258,"&gt;0"))</f>
        <v>-</v>
      </c>
      <c r="Q258" s="652" t="str">
        <f t="shared" si="911"/>
        <v>-</v>
      </c>
    </row>
    <row r="259" spans="1:17" ht="15.75" customHeight="1" x14ac:dyDescent="0.25">
      <c r="A259" s="805" t="s">
        <v>34</v>
      </c>
      <c r="B259" s="806"/>
      <c r="C259" s="626" t="s">
        <v>30</v>
      </c>
      <c r="D259" s="710" t="str">
        <f>IF(D247-D251-D255=0, "",D247-D251-D255)</f>
        <v/>
      </c>
      <c r="E259" s="710" t="str">
        <f t="shared" ref="E259:O259" si="915">IF(E247-E251-E255=0, "",E247-E251-E255)</f>
        <v/>
      </c>
      <c r="F259" s="710" t="str">
        <f t="shared" si="915"/>
        <v/>
      </c>
      <c r="G259" s="710" t="str">
        <f t="shared" si="915"/>
        <v/>
      </c>
      <c r="H259" s="710" t="str">
        <f t="shared" si="915"/>
        <v/>
      </c>
      <c r="I259" s="710" t="str">
        <f t="shared" si="915"/>
        <v/>
      </c>
      <c r="J259" s="710" t="str">
        <f t="shared" si="915"/>
        <v/>
      </c>
      <c r="K259" s="710" t="str">
        <f t="shared" si="915"/>
        <v/>
      </c>
      <c r="L259" s="710" t="str">
        <f t="shared" si="915"/>
        <v/>
      </c>
      <c r="M259" s="710" t="str">
        <f t="shared" si="915"/>
        <v/>
      </c>
      <c r="N259" s="710" t="str">
        <f t="shared" si="915"/>
        <v/>
      </c>
      <c r="O259" s="711" t="str">
        <f t="shared" si="915"/>
        <v/>
      </c>
      <c r="P259" s="653" t="str">
        <f t="shared" si="910"/>
        <v>-</v>
      </c>
      <c r="Q259" s="654" t="str">
        <f t="shared" si="911"/>
        <v>-</v>
      </c>
    </row>
    <row r="260" spans="1:17" ht="15.75" customHeight="1" x14ac:dyDescent="0.25">
      <c r="A260" s="807"/>
      <c r="B260" s="808"/>
      <c r="C260" s="627" t="s">
        <v>31</v>
      </c>
      <c r="D260" s="712" t="str">
        <f t="shared" ref="D260:O261" si="916">IF(D248-D252-D256=0, "",D248-D252-D256)</f>
        <v/>
      </c>
      <c r="E260" s="712" t="str">
        <f t="shared" si="916"/>
        <v/>
      </c>
      <c r="F260" s="712" t="str">
        <f t="shared" si="916"/>
        <v/>
      </c>
      <c r="G260" s="712" t="str">
        <f t="shared" si="916"/>
        <v/>
      </c>
      <c r="H260" s="712" t="str">
        <f t="shared" si="916"/>
        <v/>
      </c>
      <c r="I260" s="712" t="str">
        <f t="shared" si="916"/>
        <v/>
      </c>
      <c r="J260" s="712" t="str">
        <f t="shared" si="916"/>
        <v/>
      </c>
      <c r="K260" s="712" t="str">
        <f t="shared" si="916"/>
        <v/>
      </c>
      <c r="L260" s="712" t="str">
        <f t="shared" si="916"/>
        <v/>
      </c>
      <c r="M260" s="712" t="str">
        <f t="shared" si="916"/>
        <v/>
      </c>
      <c r="N260" s="712" t="str">
        <f t="shared" si="916"/>
        <v/>
      </c>
      <c r="O260" s="713" t="str">
        <f t="shared" si="916"/>
        <v/>
      </c>
      <c r="P260" s="655" t="str">
        <f t="shared" si="910"/>
        <v>-</v>
      </c>
      <c r="Q260" s="656" t="str">
        <f t="shared" si="911"/>
        <v>-</v>
      </c>
    </row>
    <row r="261" spans="1:17" ht="15.75" customHeight="1" x14ac:dyDescent="0.25">
      <c r="A261" s="807"/>
      <c r="B261" s="808"/>
      <c r="C261" s="627" t="s">
        <v>56</v>
      </c>
      <c r="D261" s="712" t="str">
        <f t="shared" si="916"/>
        <v/>
      </c>
      <c r="E261" s="712" t="str">
        <f t="shared" si="916"/>
        <v/>
      </c>
      <c r="F261" s="712" t="str">
        <f t="shared" si="916"/>
        <v/>
      </c>
      <c r="G261" s="712" t="str">
        <f t="shared" si="916"/>
        <v/>
      </c>
      <c r="H261" s="712" t="str">
        <f t="shared" si="916"/>
        <v/>
      </c>
      <c r="I261" s="712" t="str">
        <f t="shared" si="916"/>
        <v/>
      </c>
      <c r="J261" s="712" t="str">
        <f t="shared" si="916"/>
        <v/>
      </c>
      <c r="K261" s="712" t="str">
        <f t="shared" si="916"/>
        <v/>
      </c>
      <c r="L261" s="712" t="str">
        <f t="shared" si="916"/>
        <v/>
      </c>
      <c r="M261" s="712" t="str">
        <f t="shared" si="916"/>
        <v/>
      </c>
      <c r="N261" s="712" t="str">
        <f t="shared" si="916"/>
        <v/>
      </c>
      <c r="O261" s="713" t="str">
        <f t="shared" si="916"/>
        <v/>
      </c>
      <c r="P261" s="655" t="str">
        <f t="shared" si="910"/>
        <v>-</v>
      </c>
      <c r="Q261" s="656" t="str">
        <f t="shared" si="911"/>
        <v>-</v>
      </c>
    </row>
    <row r="262" spans="1:17" ht="19.5" thickBot="1" x14ac:dyDescent="0.3">
      <c r="A262" s="809"/>
      <c r="B262" s="810"/>
      <c r="C262" s="530" t="s">
        <v>5</v>
      </c>
      <c r="D262" s="528">
        <f>IF(SUM(D259:D261)=0,0,SUM(D259:D261))</f>
        <v>0</v>
      </c>
      <c r="E262" s="528">
        <f t="shared" ref="E262:O262" si="917">IF(SUM(E259:E261)=0,0,SUM(E259:E261))</f>
        <v>0</v>
      </c>
      <c r="F262" s="528">
        <f t="shared" si="917"/>
        <v>0</v>
      </c>
      <c r="G262" s="528">
        <f t="shared" si="917"/>
        <v>0</v>
      </c>
      <c r="H262" s="528">
        <f t="shared" si="917"/>
        <v>0</v>
      </c>
      <c r="I262" s="528">
        <f t="shared" si="917"/>
        <v>0</v>
      </c>
      <c r="J262" s="528">
        <f t="shared" si="917"/>
        <v>0</v>
      </c>
      <c r="K262" s="528">
        <f t="shared" si="917"/>
        <v>0</v>
      </c>
      <c r="L262" s="528">
        <f t="shared" si="917"/>
        <v>0</v>
      </c>
      <c r="M262" s="528">
        <f t="shared" si="917"/>
        <v>0</v>
      </c>
      <c r="N262" s="528">
        <f t="shared" si="917"/>
        <v>0</v>
      </c>
      <c r="O262" s="545">
        <f t="shared" si="917"/>
        <v>0</v>
      </c>
      <c r="P262" s="657" t="str">
        <f>IF(Q262="-","-",Q262/COUNTIF(D262:O262,"&gt;0"))</f>
        <v>-</v>
      </c>
      <c r="Q262" s="658" t="str">
        <f t="shared" si="911"/>
        <v>-</v>
      </c>
    </row>
    <row r="263" spans="1:17" ht="39" customHeight="1" thickBot="1" x14ac:dyDescent="0.3">
      <c r="A263" s="875" t="s">
        <v>186</v>
      </c>
      <c r="B263" s="876"/>
      <c r="C263" s="877"/>
      <c r="D263" s="532">
        <f>IF(SUM(D245,D250)=0,0,D247+D248-D245-D267-D268)</f>
        <v>0</v>
      </c>
      <c r="E263" s="532">
        <f t="shared" ref="E263:O263" si="918">IF(SUM(E245,E250)=0,0,E247+E248-E245-E267-E268)</f>
        <v>0</v>
      </c>
      <c r="F263" s="532">
        <f t="shared" si="918"/>
        <v>0</v>
      </c>
      <c r="G263" s="532">
        <f t="shared" si="918"/>
        <v>0</v>
      </c>
      <c r="H263" s="532">
        <f t="shared" si="918"/>
        <v>0</v>
      </c>
      <c r="I263" s="532">
        <f t="shared" si="918"/>
        <v>0</v>
      </c>
      <c r="J263" s="532">
        <f t="shared" si="918"/>
        <v>0</v>
      </c>
      <c r="K263" s="532">
        <f t="shared" si="918"/>
        <v>0</v>
      </c>
      <c r="L263" s="532">
        <f t="shared" si="918"/>
        <v>0</v>
      </c>
      <c r="M263" s="532">
        <f t="shared" si="918"/>
        <v>0</v>
      </c>
      <c r="N263" s="532">
        <f t="shared" si="918"/>
        <v>0</v>
      </c>
      <c r="O263" s="533">
        <f t="shared" si="918"/>
        <v>0</v>
      </c>
      <c r="P263" s="659" t="str">
        <f>IF(Q263="-","-",Q263/COUNTIF(D263:O263,"&lt;&gt;0"))</f>
        <v>-</v>
      </c>
      <c r="Q263" s="660" t="str">
        <f t="shared" si="911"/>
        <v>-</v>
      </c>
    </row>
    <row r="264" spans="1:17" ht="15.75" customHeight="1" x14ac:dyDescent="0.25">
      <c r="A264" s="811" t="s">
        <v>35</v>
      </c>
      <c r="B264" s="812"/>
      <c r="C264" s="529" t="s">
        <v>30</v>
      </c>
      <c r="D264" s="606"/>
      <c r="E264" s="606"/>
      <c r="F264" s="606"/>
      <c r="G264" s="606"/>
      <c r="H264" s="606"/>
      <c r="I264" s="606"/>
      <c r="J264" s="606"/>
      <c r="K264" s="606"/>
      <c r="L264" s="606"/>
      <c r="M264" s="606"/>
      <c r="N264" s="606"/>
      <c r="O264" s="607"/>
      <c r="P264" s="637" t="str">
        <f t="shared" ref="P264:P273" si="919">IF(Q264="-","-",Q264/COUNTIF(D264:O264,"&lt;&gt;"))</f>
        <v>-</v>
      </c>
      <c r="Q264" s="638" t="str">
        <f t="shared" si="911"/>
        <v>-</v>
      </c>
    </row>
    <row r="265" spans="1:17" ht="15.75" customHeight="1" x14ac:dyDescent="0.25">
      <c r="A265" s="813"/>
      <c r="B265" s="814"/>
      <c r="C265" s="11" t="s">
        <v>31</v>
      </c>
      <c r="D265" s="608"/>
      <c r="E265" s="610"/>
      <c r="F265" s="610"/>
      <c r="G265" s="610"/>
      <c r="H265" s="610"/>
      <c r="I265" s="610"/>
      <c r="J265" s="610"/>
      <c r="K265" s="610"/>
      <c r="L265" s="610"/>
      <c r="M265" s="610"/>
      <c r="N265" s="610"/>
      <c r="O265" s="611"/>
      <c r="P265" s="661" t="str">
        <f t="shared" si="919"/>
        <v>-</v>
      </c>
      <c r="Q265" s="662" t="str">
        <f t="shared" si="911"/>
        <v>-</v>
      </c>
    </row>
    <row r="266" spans="1:17" ht="15.75" customHeight="1" x14ac:dyDescent="0.25">
      <c r="A266" s="813"/>
      <c r="B266" s="814"/>
      <c r="C266" s="8" t="s">
        <v>56</v>
      </c>
      <c r="D266" s="608"/>
      <c r="E266" s="608"/>
      <c r="F266" s="608"/>
      <c r="G266" s="608"/>
      <c r="H266" s="608"/>
      <c r="I266" s="608"/>
      <c r="J266" s="608"/>
      <c r="K266" s="608"/>
      <c r="L266" s="608"/>
      <c r="M266" s="608"/>
      <c r="N266" s="608"/>
      <c r="O266" s="611"/>
      <c r="P266" s="639" t="str">
        <f t="shared" si="919"/>
        <v>-</v>
      </c>
      <c r="Q266" s="640" t="str">
        <f t="shared" si="911"/>
        <v>-</v>
      </c>
    </row>
    <row r="267" spans="1:17" ht="15.75" customHeight="1" x14ac:dyDescent="0.25">
      <c r="A267" s="813"/>
      <c r="B267" s="814"/>
      <c r="C267" s="8" t="s">
        <v>57</v>
      </c>
      <c r="D267" s="608"/>
      <c r="E267" s="608"/>
      <c r="F267" s="608"/>
      <c r="G267" s="608"/>
      <c r="H267" s="608"/>
      <c r="I267" s="608"/>
      <c r="J267" s="608"/>
      <c r="K267" s="608"/>
      <c r="L267" s="608"/>
      <c r="M267" s="608"/>
      <c r="N267" s="608"/>
      <c r="O267" s="611"/>
      <c r="P267" s="639" t="str">
        <f>IF(Q267=0,"-",Q267/COUNTIF(D267:O267,"&lt;&gt;"))</f>
        <v>-</v>
      </c>
      <c r="Q267" s="640">
        <f>IF(SUM(D267:O267)=0,0,SUM(D267:O267))</f>
        <v>0</v>
      </c>
    </row>
    <row r="268" spans="1:17" ht="15.75" customHeight="1" x14ac:dyDescent="0.25">
      <c r="A268" s="813"/>
      <c r="B268" s="814"/>
      <c r="C268" s="8" t="s">
        <v>58</v>
      </c>
      <c r="D268" s="608"/>
      <c r="E268" s="608"/>
      <c r="F268" s="608"/>
      <c r="G268" s="608"/>
      <c r="H268" s="608"/>
      <c r="I268" s="608"/>
      <c r="J268" s="608"/>
      <c r="K268" s="608"/>
      <c r="L268" s="608"/>
      <c r="M268" s="608"/>
      <c r="N268" s="608"/>
      <c r="O268" s="611"/>
      <c r="P268" s="639" t="str">
        <f>IF(Q268=0,"-",Q268/COUNTIF(D268:O268,"&lt;&gt;"))</f>
        <v>-</v>
      </c>
      <c r="Q268" s="640">
        <f>IF(SUM(D268:O268)=0,0,SUM(D268:O268))</f>
        <v>0</v>
      </c>
    </row>
    <row r="269" spans="1:17" ht="15.75" customHeight="1" thickBot="1" x14ac:dyDescent="0.3">
      <c r="A269" s="815"/>
      <c r="B269" s="816"/>
      <c r="C269" s="530" t="s">
        <v>5</v>
      </c>
      <c r="D269" s="531">
        <f>IF(SUM(D264:D268)=0,,SUM(D264:D268))</f>
        <v>0</v>
      </c>
      <c r="E269" s="531">
        <f>IF(SUM(E264:E268)=0,,SUM(E264:E268))</f>
        <v>0</v>
      </c>
      <c r="F269" s="531">
        <f t="shared" ref="F269:O269" si="920">IF(SUM(F264:F268)=0,,SUM(F264:F268))</f>
        <v>0</v>
      </c>
      <c r="G269" s="531">
        <f t="shared" si="920"/>
        <v>0</v>
      </c>
      <c r="H269" s="531">
        <f t="shared" si="920"/>
        <v>0</v>
      </c>
      <c r="I269" s="531">
        <f t="shared" si="920"/>
        <v>0</v>
      </c>
      <c r="J269" s="531">
        <f t="shared" si="920"/>
        <v>0</v>
      </c>
      <c r="K269" s="531">
        <f t="shared" si="920"/>
        <v>0</v>
      </c>
      <c r="L269" s="531">
        <f t="shared" si="920"/>
        <v>0</v>
      </c>
      <c r="M269" s="531">
        <f t="shared" si="920"/>
        <v>0</v>
      </c>
      <c r="N269" s="531">
        <f t="shared" si="920"/>
        <v>0</v>
      </c>
      <c r="O269" s="534">
        <f t="shared" si="920"/>
        <v>0</v>
      </c>
      <c r="P269" s="657" t="str">
        <f>IF(Q269="-","-",Q269/COUNTIF(D269:O269,"&gt;0"))</f>
        <v>-</v>
      </c>
      <c r="Q269" s="658" t="str">
        <f t="shared" si="911"/>
        <v>-</v>
      </c>
    </row>
    <row r="270" spans="1:17" ht="15.75" customHeight="1" x14ac:dyDescent="0.25">
      <c r="A270" s="817" t="s">
        <v>59</v>
      </c>
      <c r="B270" s="818"/>
      <c r="C270" s="819"/>
      <c r="D270" s="612"/>
      <c r="E270" s="612"/>
      <c r="F270" s="612"/>
      <c r="G270" s="612"/>
      <c r="H270" s="612"/>
      <c r="I270" s="612"/>
      <c r="J270" s="612"/>
      <c r="K270" s="612"/>
      <c r="L270" s="612"/>
      <c r="M270" s="612"/>
      <c r="N270" s="612"/>
      <c r="O270" s="613"/>
      <c r="P270" s="663" t="str">
        <f t="shared" si="919"/>
        <v>-</v>
      </c>
      <c r="Q270" s="664" t="str">
        <f t="shared" si="911"/>
        <v>-</v>
      </c>
    </row>
    <row r="271" spans="1:17" ht="15.75" customHeight="1" x14ac:dyDescent="0.25">
      <c r="A271" s="854" t="s">
        <v>6</v>
      </c>
      <c r="B271" s="855"/>
      <c r="C271" s="856"/>
      <c r="D271" s="614"/>
      <c r="E271" s="614"/>
      <c r="F271" s="614"/>
      <c r="G271" s="614"/>
      <c r="H271" s="614"/>
      <c r="I271" s="614"/>
      <c r="J271" s="614"/>
      <c r="K271" s="614"/>
      <c r="L271" s="614"/>
      <c r="M271" s="614"/>
      <c r="N271" s="614"/>
      <c r="O271" s="615"/>
      <c r="P271" s="665" t="str">
        <f t="shared" si="919"/>
        <v>-</v>
      </c>
      <c r="Q271" s="666" t="str">
        <f t="shared" si="911"/>
        <v>-</v>
      </c>
    </row>
    <row r="272" spans="1:17" ht="15.75" customHeight="1" x14ac:dyDescent="0.25">
      <c r="A272" s="857" t="s">
        <v>36</v>
      </c>
      <c r="B272" s="858"/>
      <c r="C272" s="859"/>
      <c r="D272" s="614"/>
      <c r="E272" s="614"/>
      <c r="F272" s="614"/>
      <c r="G272" s="614"/>
      <c r="H272" s="614"/>
      <c r="I272" s="614"/>
      <c r="J272" s="614"/>
      <c r="K272" s="614"/>
      <c r="L272" s="614"/>
      <c r="M272" s="614"/>
      <c r="N272" s="614"/>
      <c r="O272" s="615"/>
      <c r="P272" s="665" t="str">
        <f t="shared" si="919"/>
        <v>-</v>
      </c>
      <c r="Q272" s="666" t="str">
        <f t="shared" si="911"/>
        <v>-</v>
      </c>
    </row>
    <row r="273" spans="1:17" ht="15.75" customHeight="1" x14ac:dyDescent="0.25">
      <c r="A273" s="857" t="s">
        <v>19</v>
      </c>
      <c r="B273" s="858"/>
      <c r="C273" s="859"/>
      <c r="D273" s="614"/>
      <c r="E273" s="614"/>
      <c r="F273" s="614"/>
      <c r="G273" s="614"/>
      <c r="H273" s="614"/>
      <c r="I273" s="614"/>
      <c r="J273" s="614"/>
      <c r="K273" s="614"/>
      <c r="L273" s="614"/>
      <c r="M273" s="614"/>
      <c r="N273" s="614"/>
      <c r="O273" s="615"/>
      <c r="P273" s="665" t="str">
        <f t="shared" si="919"/>
        <v>-</v>
      </c>
      <c r="Q273" s="667" t="str">
        <f t="shared" si="911"/>
        <v>-</v>
      </c>
    </row>
    <row r="274" spans="1:17" ht="15.75" customHeight="1" x14ac:dyDescent="0.25">
      <c r="A274" s="857" t="s">
        <v>154</v>
      </c>
      <c r="B274" s="858"/>
      <c r="C274" s="859"/>
      <c r="D274" s="616" t="str">
        <f>IF(D272+D271=0,"",(SUM(D250,D269,D275))/(D272+D271))</f>
        <v/>
      </c>
      <c r="E274" s="616" t="str">
        <f t="shared" ref="E274:O274" si="921">IF(E272+E271=0,"",(SUM(E250,E269,E275))/(E272+E271))</f>
        <v/>
      </c>
      <c r="F274" s="616" t="str">
        <f t="shared" si="921"/>
        <v/>
      </c>
      <c r="G274" s="616" t="str">
        <f t="shared" si="921"/>
        <v/>
      </c>
      <c r="H274" s="616" t="str">
        <f t="shared" si="921"/>
        <v/>
      </c>
      <c r="I274" s="616" t="str">
        <f t="shared" si="921"/>
        <v/>
      </c>
      <c r="J274" s="616" t="str">
        <f t="shared" si="921"/>
        <v/>
      </c>
      <c r="K274" s="616" t="str">
        <f t="shared" si="921"/>
        <v/>
      </c>
      <c r="L274" s="616" t="str">
        <f t="shared" si="921"/>
        <v/>
      </c>
      <c r="M274" s="616" t="str">
        <f t="shared" si="921"/>
        <v/>
      </c>
      <c r="N274" s="616" t="str">
        <f t="shared" si="921"/>
        <v/>
      </c>
      <c r="O274" s="616" t="str">
        <f t="shared" si="921"/>
        <v/>
      </c>
      <c r="P274" s="668" t="str">
        <f>IF(SUM(D274:N274)=0,"-",(SUM(D274:N274))/COUNTIF(D274:O274,"&lt;&gt;"))</f>
        <v>-</v>
      </c>
      <c r="Q274" s="669"/>
    </row>
    <row r="275" spans="1:17" ht="15.75" customHeight="1" thickBot="1" x14ac:dyDescent="0.3">
      <c r="A275" s="673" t="s">
        <v>146</v>
      </c>
      <c r="B275" s="674" t="s">
        <v>147</v>
      </c>
      <c r="C275" s="618"/>
      <c r="D275" s="617" t="str">
        <f>IF(D271=0,"",D271*$C$275)</f>
        <v/>
      </c>
      <c r="E275" s="617" t="str">
        <f t="shared" ref="E275:O275" si="922">IF(E271=0,"",E271*$C$275)</f>
        <v/>
      </c>
      <c r="F275" s="617" t="str">
        <f t="shared" si="922"/>
        <v/>
      </c>
      <c r="G275" s="617" t="str">
        <f t="shared" si="922"/>
        <v/>
      </c>
      <c r="H275" s="617" t="str">
        <f t="shared" si="922"/>
        <v/>
      </c>
      <c r="I275" s="617" t="str">
        <f t="shared" si="922"/>
        <v/>
      </c>
      <c r="J275" s="617" t="str">
        <f t="shared" si="922"/>
        <v/>
      </c>
      <c r="K275" s="617" t="str">
        <f t="shared" si="922"/>
        <v/>
      </c>
      <c r="L275" s="617" t="str">
        <f t="shared" si="922"/>
        <v/>
      </c>
      <c r="M275" s="617" t="str">
        <f t="shared" si="922"/>
        <v/>
      </c>
      <c r="N275" s="617" t="str">
        <f t="shared" si="922"/>
        <v/>
      </c>
      <c r="O275" s="617" t="str">
        <f t="shared" si="922"/>
        <v/>
      </c>
      <c r="P275" s="670" t="str">
        <f t="shared" si="910"/>
        <v>-</v>
      </c>
      <c r="Q275" s="671" t="str">
        <f t="shared" si="911"/>
        <v>-</v>
      </c>
    </row>
    <row r="276" spans="1:17" ht="36.75" thickBot="1" x14ac:dyDescent="0.3">
      <c r="A276" s="860" t="s">
        <v>152</v>
      </c>
      <c r="B276" s="861"/>
      <c r="C276" s="861"/>
      <c r="D276" s="861"/>
      <c r="E276" s="861"/>
      <c r="F276" s="861"/>
      <c r="G276" s="861"/>
      <c r="H276" s="861"/>
      <c r="I276" s="861"/>
      <c r="J276" s="861"/>
      <c r="K276" s="861"/>
      <c r="L276" s="861"/>
      <c r="M276" s="861"/>
      <c r="N276" s="861"/>
      <c r="O276" s="861"/>
      <c r="P276" s="862"/>
      <c r="Q276" s="12" t="str">
        <f>IF(Q250="-","-",Q250+Q269+Q275-Q267-Q268)</f>
        <v>-</v>
      </c>
    </row>
  </sheetData>
  <sheetProtection sheet="1" objects="1" scenarios="1" selectLockedCells="1"/>
  <mergeCells count="164">
    <mergeCell ref="B61:B62"/>
    <mergeCell ref="B63:B64"/>
    <mergeCell ref="B65:B66"/>
    <mergeCell ref="B92:B93"/>
    <mergeCell ref="B94:B95"/>
    <mergeCell ref="B96:B97"/>
    <mergeCell ref="B123:B124"/>
    <mergeCell ref="B125:B126"/>
    <mergeCell ref="B127:B128"/>
    <mergeCell ref="B55:B56"/>
    <mergeCell ref="B30:B31"/>
    <mergeCell ref="B32:B33"/>
    <mergeCell ref="B34:B35"/>
    <mergeCell ref="B39:B40"/>
    <mergeCell ref="B41:B42"/>
    <mergeCell ref="B43:B44"/>
    <mergeCell ref="B45:B46"/>
    <mergeCell ref="B47:B48"/>
    <mergeCell ref="B49:B50"/>
    <mergeCell ref="B51:B52"/>
    <mergeCell ref="B53:B54"/>
    <mergeCell ref="B148:B149"/>
    <mergeCell ref="B150:B151"/>
    <mergeCell ref="B192:C192"/>
    <mergeCell ref="B131:C131"/>
    <mergeCell ref="B167:B168"/>
    <mergeCell ref="B169:B170"/>
    <mergeCell ref="B171:B172"/>
    <mergeCell ref="B173:B174"/>
    <mergeCell ref="B175:B176"/>
    <mergeCell ref="B177:B178"/>
    <mergeCell ref="B179:B180"/>
    <mergeCell ref="B181:B182"/>
    <mergeCell ref="B191:C191"/>
    <mergeCell ref="B154:B155"/>
    <mergeCell ref="B156:B157"/>
    <mergeCell ref="B158:B159"/>
    <mergeCell ref="B185:B186"/>
    <mergeCell ref="B187:B188"/>
    <mergeCell ref="B189:B190"/>
    <mergeCell ref="P162:Q162"/>
    <mergeCell ref="B163:B164"/>
    <mergeCell ref="B165:B166"/>
    <mergeCell ref="B209:B210"/>
    <mergeCell ref="B211:B212"/>
    <mergeCell ref="B213:B214"/>
    <mergeCell ref="A193:A223"/>
    <mergeCell ref="A247:B250"/>
    <mergeCell ref="A246:Q246"/>
    <mergeCell ref="B221:C221"/>
    <mergeCell ref="B222:C222"/>
    <mergeCell ref="B223:C223"/>
    <mergeCell ref="B193:B194"/>
    <mergeCell ref="B195:B196"/>
    <mergeCell ref="B197:B198"/>
    <mergeCell ref="B203:B204"/>
    <mergeCell ref="B205:B206"/>
    <mergeCell ref="B215:B216"/>
    <mergeCell ref="B217:B218"/>
    <mergeCell ref="B219:B220"/>
    <mergeCell ref="B199:B200"/>
    <mergeCell ref="B201:B202"/>
    <mergeCell ref="P224:Q228"/>
    <mergeCell ref="B228:C228"/>
    <mergeCell ref="P100:Q100"/>
    <mergeCell ref="B101:B102"/>
    <mergeCell ref="B103:B104"/>
    <mergeCell ref="B105:B106"/>
    <mergeCell ref="B100:C100"/>
    <mergeCell ref="B117:B118"/>
    <mergeCell ref="B119:B120"/>
    <mergeCell ref="B129:C129"/>
    <mergeCell ref="B138:B139"/>
    <mergeCell ref="B107:B108"/>
    <mergeCell ref="B111:B112"/>
    <mergeCell ref="B113:B114"/>
    <mergeCell ref="B115:B116"/>
    <mergeCell ref="B109:B110"/>
    <mergeCell ref="B130:C130"/>
    <mergeCell ref="P131:Q131"/>
    <mergeCell ref="B132:B133"/>
    <mergeCell ref="B134:B135"/>
    <mergeCell ref="B136:B137"/>
    <mergeCell ref="P38:Q38"/>
    <mergeCell ref="A3:C3"/>
    <mergeCell ref="B36:C36"/>
    <mergeCell ref="A1:C1"/>
    <mergeCell ref="A6:Q6"/>
    <mergeCell ref="A5:C5"/>
    <mergeCell ref="A7:A37"/>
    <mergeCell ref="B7:C7"/>
    <mergeCell ref="B8:B9"/>
    <mergeCell ref="B10:B11"/>
    <mergeCell ref="B12:B13"/>
    <mergeCell ref="B14:B15"/>
    <mergeCell ref="B16:B17"/>
    <mergeCell ref="B18:B19"/>
    <mergeCell ref="B20:B21"/>
    <mergeCell ref="B22:B23"/>
    <mergeCell ref="B24:B25"/>
    <mergeCell ref="B26:B27"/>
    <mergeCell ref="P2:Q5"/>
    <mergeCell ref="A4:C4"/>
    <mergeCell ref="B28:B29"/>
    <mergeCell ref="A2:C2"/>
    <mergeCell ref="B37:C37"/>
    <mergeCell ref="A38:A68"/>
    <mergeCell ref="A271:C271"/>
    <mergeCell ref="A272:C272"/>
    <mergeCell ref="A273:C273"/>
    <mergeCell ref="A274:C274"/>
    <mergeCell ref="A276:P276"/>
    <mergeCell ref="A69:A99"/>
    <mergeCell ref="A162:A192"/>
    <mergeCell ref="A131:A161"/>
    <mergeCell ref="A100:A130"/>
    <mergeCell ref="A263:C263"/>
    <mergeCell ref="B90:B91"/>
    <mergeCell ref="B121:B122"/>
    <mergeCell ref="B152:B153"/>
    <mergeCell ref="B183:B184"/>
    <mergeCell ref="B69:C69"/>
    <mergeCell ref="P69:Q69"/>
    <mergeCell ref="B70:B71"/>
    <mergeCell ref="B72:B73"/>
    <mergeCell ref="B74:B75"/>
    <mergeCell ref="B76:B77"/>
    <mergeCell ref="B78:B79"/>
    <mergeCell ref="B80:B81"/>
    <mergeCell ref="B82:B83"/>
    <mergeCell ref="B84:B85"/>
    <mergeCell ref="A270:C270"/>
    <mergeCell ref="B68:C68"/>
    <mergeCell ref="B38:C38"/>
    <mergeCell ref="B57:B58"/>
    <mergeCell ref="B67:C67"/>
    <mergeCell ref="B59:B60"/>
    <mergeCell ref="B86:B87"/>
    <mergeCell ref="B88:B89"/>
    <mergeCell ref="B98:C98"/>
    <mergeCell ref="B99:C99"/>
    <mergeCell ref="B146:B147"/>
    <mergeCell ref="B160:C160"/>
    <mergeCell ref="B161:C161"/>
    <mergeCell ref="B162:C162"/>
    <mergeCell ref="B207:B208"/>
    <mergeCell ref="A224:A228"/>
    <mergeCell ref="B224:B225"/>
    <mergeCell ref="A244:C244"/>
    <mergeCell ref="A245:C245"/>
    <mergeCell ref="A251:B254"/>
    <mergeCell ref="A255:B258"/>
    <mergeCell ref="B140:B141"/>
    <mergeCell ref="B142:B143"/>
    <mergeCell ref="B144:B145"/>
    <mergeCell ref="A229:A231"/>
    <mergeCell ref="A232:B233"/>
    <mergeCell ref="A234:B235"/>
    <mergeCell ref="A236:B237"/>
    <mergeCell ref="A238:B239"/>
    <mergeCell ref="A240:B241"/>
    <mergeCell ref="A242:B243"/>
    <mergeCell ref="A259:B262"/>
    <mergeCell ref="A264:B269"/>
  </mergeCells>
  <pageMargins left="0.7" right="0.7" top="0.75" bottom="0.75" header="0.3" footer="0.3"/>
  <ignoredErrors>
    <ignoredError sqref="P269" formula="1"/>
    <ignoredError sqref="P229:Q230" formulaRange="1"/>
    <ignoredError sqref="B213:B220 B183:B190 D132:E132 D163:E163 D160:E160 F134:O134 F136:O136 F138:O138 F140:O140 F142:O142 F144:O144 F146:O146 F148:O148 F150:O150 F152:O152 F154:O154 F156:O156 F158:O158 F165:O165 F167:O167 F169:O169 F171:O171 F173:O173 F175:O175 F177:O177 F179:O179 F181:O181 F183:O183 F185:O185 F187:O187 F189:O189 D129:E129 D127:E127 D125:E125 D123:E123 D117:E117 D115:E115 D121:E121 D113:E113 D102:E103 D114:E114 D122:E122 D116:E116 D118:E118 D124:E124 D126:E126 D128:E128 D134:E134 D136:E136 D138:E138 D140:E140 D142:E142 D144:E144 D146:E146 D148:E148 D150:E150 D152:E152 D154:E154 D156:E156 D158:E158 D133:E133 D159:E159 D157:E157 D155:E155 D153:E153 D151:E151 D149:E149 D147:E147 D145:E145 D143:E143 D141:E141 D139:E139 D137:E137 D98:E98 D96:E96 D94:E94 D92:E92 D86:E86 D90:E90 D84:E84 D71:E71 D85:E85 D91:E91 D87:E87 D93:E93 D95:E95 D97:E97 D67:E67 D65:E65 D63:E63 D55:E55 E59 D61:E61 D53:E53 D41:E41 D40:E40 D54:E54 D62:E62 D60:E60 D56:E56 D64:E64 D66:E66 D36:E36 D34:E34 D32:E32 D30:E30 D24:E24 D22:E22 D28:E28 D20:E20 D10:E10 D9:E9 D12:E15 D21:E21 D29:E29 D23:E23 D25:E25 D31:E31 D33:E33 D35:E35 D165:E165 D167:E167 D169:E169 D171:E171 D173:E173 D175:E175 D177:E177 D179:E179 D181:E181 D183:E183 D185:E185 D187:E187 D189:E189 D164:E164 D190:E190 D188:E188 D186:E186 D184:E184 D182:E182 D180:E180 D178:E178 D176:E176 D174:E174 D172:E172 D170:E170 D168:E168 D120:E120 D119 D74:E75 E72 D77:E77 D76 D79:E79 D81:E83 D80 D89:E89 D88 D44:E44 D43 D46:E46 D45 D48:E52 D58:E58 D57 D27:E27 D26 D17:E19 D105:E112 D166:O166 D135:O135 D104:O104 D73:O73 D42:O42 D11:O11" unlockedFormula="1"/>
  </ignoredErrors>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AF551FFB-2460-4A6A-B254-E354C32DF64F}">
          <x14:formula1>
            <xm:f>DATA!$E$1:$E$3</xm:f>
          </x14:formula1>
          <xm:sqref>D5:O6</xm:sqref>
        </x14:dataValidation>
        <x14:dataValidation type="list" allowBlank="1" showInputMessage="1" showErrorMessage="1" xr:uid="{7A4C7FE2-E34F-43F4-AD4F-E37548CE9DC4}">
          <x14:formula1>
            <xm:f>DATA!$B$1:$B$9</xm:f>
          </x14:formula1>
          <xm:sqref>D3:O3</xm:sqref>
        </x14:dataValidation>
        <x14:dataValidation type="list" allowBlank="1" showInputMessage="1" showErrorMessage="1" xr:uid="{7475E694-D281-4F5F-AF79-40E811A0A6BD}">
          <x14:formula1>
            <xm:f>DATA!$A$1:$A$3</xm:f>
          </x14:formula1>
          <xm:sqref>D4:O4</xm:sqref>
        </x14:dataValidation>
        <x14:dataValidation type="list" allowBlank="1" showInputMessage="1" showErrorMessage="1" xr:uid="{F78D4F2F-BB02-4673-9A11-4DF909FEFC55}">
          <x14:formula1>
            <xm:f>DATA!$C$1:$C$19</xm:f>
          </x14:formula1>
          <xm:sqref>A69 A7:A38 A100 A131 A162 A61:A66 A92:A97 A123:A128 A154:A159 A185:A190 A215:A220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5812-CBFC-4B39-8F4E-ABB723070320}">
  <dimension ref="A1:CU345"/>
  <sheetViews>
    <sheetView workbookViewId="0">
      <selection activeCell="J48" sqref="J48"/>
    </sheetView>
  </sheetViews>
  <sheetFormatPr defaultRowHeight="15" x14ac:dyDescent="0.25"/>
  <cols>
    <col min="1" max="1" width="11.7109375" bestFit="1" customWidth="1"/>
    <col min="2" max="2" width="3.42578125" bestFit="1" customWidth="1"/>
    <col min="3" max="3" width="8.42578125" bestFit="1" customWidth="1"/>
    <col min="4" max="14" width="6.5703125" bestFit="1" customWidth="1"/>
    <col min="15" max="15" width="3.7109375" customWidth="1"/>
    <col min="16" max="16" width="11.7109375" bestFit="1" customWidth="1"/>
    <col min="17" max="17" width="7" bestFit="1" customWidth="1"/>
    <col min="18" max="18" width="7.140625" bestFit="1" customWidth="1"/>
    <col min="19" max="29" width="6.5703125" bestFit="1" customWidth="1"/>
    <col min="30" max="30" width="11.7109375" bestFit="1" customWidth="1"/>
    <col min="31" max="31" width="7" bestFit="1" customWidth="1"/>
    <col min="32" max="43" width="6.5703125" bestFit="1" customWidth="1"/>
    <col min="44" max="44" width="11.7109375" bestFit="1" customWidth="1"/>
    <col min="45" max="45" width="7" bestFit="1" customWidth="1"/>
    <col min="46" max="57" width="6.5703125" bestFit="1" customWidth="1"/>
    <col min="58" max="58" width="11.7109375" bestFit="1" customWidth="1"/>
    <col min="59" max="59" width="7" bestFit="1" customWidth="1"/>
    <col min="60" max="71" width="6.5703125" bestFit="1" customWidth="1"/>
    <col min="72" max="72" width="11.7109375" bestFit="1" customWidth="1"/>
    <col min="73" max="73" width="7" bestFit="1" customWidth="1"/>
    <col min="74" max="85" width="6.5703125" bestFit="1" customWidth="1"/>
    <col min="86" max="86" width="11.7109375" bestFit="1" customWidth="1"/>
    <col min="87" max="87" width="7" bestFit="1" customWidth="1"/>
    <col min="88" max="99" width="6.5703125" bestFit="1" customWidth="1"/>
  </cols>
  <sheetData>
    <row r="1" spans="1:99" ht="33.75" customHeight="1" thickBot="1" x14ac:dyDescent="0.3">
      <c r="A1" s="947" t="s">
        <v>95</v>
      </c>
      <c r="B1" s="947"/>
      <c r="C1" s="947"/>
      <c r="D1" s="947"/>
      <c r="E1" s="947"/>
      <c r="F1" s="947"/>
      <c r="G1" s="947"/>
      <c r="H1" s="947"/>
      <c r="I1" s="947"/>
      <c r="J1" s="947"/>
      <c r="K1" s="947"/>
      <c r="L1" s="947"/>
      <c r="M1" s="947"/>
      <c r="N1" s="948"/>
      <c r="P1" s="949" t="s">
        <v>134</v>
      </c>
      <c r="Q1" s="950"/>
      <c r="R1" s="950"/>
      <c r="S1" s="950"/>
      <c r="T1" s="950"/>
      <c r="U1" s="950"/>
      <c r="V1" s="950"/>
      <c r="W1" s="950"/>
      <c r="X1" s="950"/>
      <c r="Y1" s="950"/>
      <c r="Z1" s="950"/>
      <c r="AA1" s="950"/>
      <c r="AB1" s="950"/>
      <c r="AC1" s="951"/>
      <c r="AD1" s="949" t="s">
        <v>135</v>
      </c>
      <c r="AE1" s="950"/>
      <c r="AF1" s="950"/>
      <c r="AG1" s="950"/>
      <c r="AH1" s="950"/>
      <c r="AI1" s="950"/>
      <c r="AJ1" s="950"/>
      <c r="AK1" s="950"/>
      <c r="AL1" s="950"/>
      <c r="AM1" s="950"/>
      <c r="AN1" s="950"/>
      <c r="AO1" s="950"/>
      <c r="AP1" s="950"/>
      <c r="AQ1" s="951"/>
      <c r="AR1" s="949" t="s">
        <v>136</v>
      </c>
      <c r="AS1" s="950"/>
      <c r="AT1" s="950"/>
      <c r="AU1" s="950"/>
      <c r="AV1" s="950"/>
      <c r="AW1" s="950"/>
      <c r="AX1" s="950"/>
      <c r="AY1" s="950"/>
      <c r="AZ1" s="950"/>
      <c r="BA1" s="950"/>
      <c r="BB1" s="950"/>
      <c r="BC1" s="950"/>
      <c r="BD1" s="950"/>
      <c r="BE1" s="951"/>
      <c r="BF1" s="949" t="s">
        <v>137</v>
      </c>
      <c r="BG1" s="950"/>
      <c r="BH1" s="950"/>
      <c r="BI1" s="950"/>
      <c r="BJ1" s="950"/>
      <c r="BK1" s="950"/>
      <c r="BL1" s="950"/>
      <c r="BM1" s="950"/>
      <c r="BN1" s="950"/>
      <c r="BO1" s="950"/>
      <c r="BP1" s="950"/>
      <c r="BQ1" s="950"/>
      <c r="BR1" s="950"/>
      <c r="BS1" s="951"/>
      <c r="BT1" s="949" t="s">
        <v>138</v>
      </c>
      <c r="BU1" s="950"/>
      <c r="BV1" s="950"/>
      <c r="BW1" s="950"/>
      <c r="BX1" s="950"/>
      <c r="BY1" s="950"/>
      <c r="BZ1" s="950"/>
      <c r="CA1" s="950"/>
      <c r="CB1" s="950"/>
      <c r="CC1" s="950"/>
      <c r="CD1" s="950"/>
      <c r="CE1" s="950"/>
      <c r="CF1" s="950"/>
      <c r="CG1" s="951"/>
      <c r="CH1" s="949" t="s">
        <v>139</v>
      </c>
      <c r="CI1" s="950"/>
      <c r="CJ1" s="950"/>
      <c r="CK1" s="950"/>
      <c r="CL1" s="950"/>
      <c r="CM1" s="950"/>
      <c r="CN1" s="950"/>
      <c r="CO1" s="950"/>
      <c r="CP1" s="950"/>
      <c r="CQ1" s="950"/>
      <c r="CR1" s="950"/>
      <c r="CS1" s="950"/>
      <c r="CT1" s="950"/>
      <c r="CU1" s="951"/>
    </row>
    <row r="2" spans="1:99" ht="15.75" thickBot="1" x14ac:dyDescent="0.3">
      <c r="A2" s="955" t="s">
        <v>75</v>
      </c>
      <c r="B2" s="956"/>
      <c r="C2" s="590">
        <v>12</v>
      </c>
      <c r="D2" s="591">
        <v>11</v>
      </c>
      <c r="E2" s="591">
        <v>10</v>
      </c>
      <c r="F2" s="591">
        <v>9</v>
      </c>
      <c r="G2" s="591">
        <v>8</v>
      </c>
      <c r="H2" s="591">
        <v>7</v>
      </c>
      <c r="I2" s="591">
        <v>6</v>
      </c>
      <c r="J2" s="591">
        <v>5</v>
      </c>
      <c r="K2" s="591">
        <v>4</v>
      </c>
      <c r="L2" s="591">
        <v>3</v>
      </c>
      <c r="M2" s="591">
        <v>2</v>
      </c>
      <c r="N2" s="592">
        <v>1</v>
      </c>
      <c r="P2" s="952"/>
      <c r="Q2" s="828"/>
      <c r="R2" s="557">
        <v>1</v>
      </c>
      <c r="S2" s="571">
        <v>2</v>
      </c>
      <c r="T2" s="559">
        <v>3</v>
      </c>
      <c r="U2" s="561">
        <v>4</v>
      </c>
      <c r="V2" s="563">
        <v>5</v>
      </c>
      <c r="W2" s="579">
        <v>6</v>
      </c>
      <c r="X2" s="565">
        <v>7</v>
      </c>
      <c r="Y2" s="577">
        <v>8</v>
      </c>
      <c r="Z2" s="567">
        <v>9</v>
      </c>
      <c r="AA2" s="602"/>
      <c r="AB2" s="602"/>
      <c r="AC2" s="603"/>
      <c r="AD2" s="952"/>
      <c r="AE2" s="828"/>
      <c r="AF2" s="557">
        <v>1</v>
      </c>
      <c r="AG2" s="571">
        <v>2</v>
      </c>
      <c r="AH2" s="559">
        <v>3</v>
      </c>
      <c r="AI2" s="561">
        <v>4</v>
      </c>
      <c r="AJ2" s="563">
        <v>5</v>
      </c>
      <c r="AK2" s="579">
        <v>6</v>
      </c>
      <c r="AL2" s="565">
        <v>7</v>
      </c>
      <c r="AM2" s="577">
        <v>8</v>
      </c>
      <c r="AN2" s="567">
        <v>9</v>
      </c>
      <c r="AO2" s="602"/>
      <c r="AP2" s="602"/>
      <c r="AQ2" s="603"/>
      <c r="AR2" s="952"/>
      <c r="AS2" s="828"/>
      <c r="AT2" s="557">
        <v>1</v>
      </c>
      <c r="AU2" s="571">
        <v>2</v>
      </c>
      <c r="AV2" s="559">
        <v>3</v>
      </c>
      <c r="AW2" s="561">
        <v>4</v>
      </c>
      <c r="AX2" s="563">
        <v>5</v>
      </c>
      <c r="AY2" s="579">
        <v>6</v>
      </c>
      <c r="AZ2" s="565">
        <v>7</v>
      </c>
      <c r="BA2" s="577">
        <v>8</v>
      </c>
      <c r="BB2" s="567">
        <v>9</v>
      </c>
      <c r="BC2" s="602"/>
      <c r="BD2" s="602"/>
      <c r="BE2" s="603"/>
      <c r="BF2" s="952"/>
      <c r="BG2" s="828"/>
      <c r="BH2" s="557">
        <v>1</v>
      </c>
      <c r="BI2" s="571">
        <v>2</v>
      </c>
      <c r="BJ2" s="559">
        <v>3</v>
      </c>
      <c r="BK2" s="561">
        <v>4</v>
      </c>
      <c r="BL2" s="563">
        <v>5</v>
      </c>
      <c r="BM2" s="579">
        <v>6</v>
      </c>
      <c r="BN2" s="565">
        <v>7</v>
      </c>
      <c r="BO2" s="577">
        <v>8</v>
      </c>
      <c r="BP2" s="567">
        <v>9</v>
      </c>
      <c r="BQ2" s="602"/>
      <c r="BR2" s="602"/>
      <c r="BS2" s="603"/>
      <c r="BT2" s="952"/>
      <c r="BU2" s="828"/>
      <c r="BV2" s="557">
        <v>1</v>
      </c>
      <c r="BW2" s="571">
        <v>2</v>
      </c>
      <c r="BX2" s="559">
        <v>3</v>
      </c>
      <c r="BY2" s="561">
        <v>4</v>
      </c>
      <c r="BZ2" s="563">
        <v>5</v>
      </c>
      <c r="CA2" s="579">
        <v>6</v>
      </c>
      <c r="CB2" s="565">
        <v>7</v>
      </c>
      <c r="CC2" s="577">
        <v>8</v>
      </c>
      <c r="CD2" s="567">
        <v>9</v>
      </c>
      <c r="CE2" s="602"/>
      <c r="CF2" s="602"/>
      <c r="CG2" s="603"/>
      <c r="CH2" s="952"/>
      <c r="CI2" s="828"/>
      <c r="CJ2" s="557">
        <v>1</v>
      </c>
      <c r="CK2" s="571">
        <v>2</v>
      </c>
      <c r="CL2" s="559">
        <v>3</v>
      </c>
      <c r="CM2" s="561">
        <v>4</v>
      </c>
      <c r="CN2" s="563">
        <v>5</v>
      </c>
      <c r="CO2" s="579">
        <v>6</v>
      </c>
      <c r="CP2" s="565">
        <v>7</v>
      </c>
      <c r="CQ2" s="577">
        <v>8</v>
      </c>
      <c r="CR2" s="567">
        <v>9</v>
      </c>
      <c r="CS2" s="602"/>
      <c r="CT2" s="602"/>
      <c r="CU2" s="603"/>
    </row>
    <row r="3" spans="1:99" ht="15.75" thickBot="1" x14ac:dyDescent="0.3">
      <c r="A3" s="946" t="s">
        <v>39</v>
      </c>
      <c r="B3" s="78" t="s">
        <v>61</v>
      </c>
      <c r="C3" s="55">
        <v>417.54</v>
      </c>
      <c r="D3" s="56">
        <v>414.4</v>
      </c>
      <c r="E3" s="56">
        <v>411.28</v>
      </c>
      <c r="F3" s="56">
        <v>408.16</v>
      </c>
      <c r="G3" s="56">
        <v>405.02</v>
      </c>
      <c r="H3" s="56">
        <v>401.92</v>
      </c>
      <c r="I3" s="56">
        <v>398.78</v>
      </c>
      <c r="J3" s="56">
        <v>395.68</v>
      </c>
      <c r="K3" s="56">
        <v>392.52</v>
      </c>
      <c r="L3" s="56">
        <v>389.39</v>
      </c>
      <c r="M3" s="56">
        <v>386.23</v>
      </c>
      <c r="N3" s="57">
        <v>383.12</v>
      </c>
      <c r="P3" s="953"/>
      <c r="Q3" s="954"/>
      <c r="R3" s="558">
        <f>Q5</f>
        <v>0</v>
      </c>
      <c r="S3" s="572">
        <f>Q43</f>
        <v>0</v>
      </c>
      <c r="T3" s="560">
        <f>Q81</f>
        <v>0</v>
      </c>
      <c r="U3" s="562">
        <f>Q119</f>
        <v>0</v>
      </c>
      <c r="V3" s="564">
        <f>Q157</f>
        <v>0</v>
      </c>
      <c r="W3" s="580">
        <f>Q195</f>
        <v>0</v>
      </c>
      <c r="X3" s="566">
        <f>Q233</f>
        <v>0</v>
      </c>
      <c r="Y3" s="578">
        <f>Q271</f>
        <v>0</v>
      </c>
      <c r="Z3" s="568">
        <f>Q309</f>
        <v>0</v>
      </c>
      <c r="AA3" s="604"/>
      <c r="AB3" s="604"/>
      <c r="AC3" s="605"/>
      <c r="AD3" s="953"/>
      <c r="AE3" s="954"/>
      <c r="AF3" s="558">
        <f>AE5</f>
        <v>0</v>
      </c>
      <c r="AG3" s="572">
        <f>AE43</f>
        <v>0</v>
      </c>
      <c r="AH3" s="560">
        <f>AE81</f>
        <v>0</v>
      </c>
      <c r="AI3" s="562">
        <f>AE119</f>
        <v>0</v>
      </c>
      <c r="AJ3" s="564">
        <f>AE157</f>
        <v>0</v>
      </c>
      <c r="AK3" s="580">
        <f>AE195</f>
        <v>0</v>
      </c>
      <c r="AL3" s="566">
        <f>AE233</f>
        <v>0</v>
      </c>
      <c r="AM3" s="578">
        <f>AE271</f>
        <v>0</v>
      </c>
      <c r="AN3" s="568">
        <f>AE309</f>
        <v>0</v>
      </c>
      <c r="AO3" s="604"/>
      <c r="AP3" s="604"/>
      <c r="AQ3" s="605"/>
      <c r="AR3" s="953"/>
      <c r="AS3" s="954"/>
      <c r="AT3" s="558">
        <f>AS5</f>
        <v>0</v>
      </c>
      <c r="AU3" s="572">
        <f>AS43</f>
        <v>0</v>
      </c>
      <c r="AV3" s="560">
        <f>AS81</f>
        <v>0</v>
      </c>
      <c r="AW3" s="562">
        <f>AS119</f>
        <v>0</v>
      </c>
      <c r="AX3" s="564">
        <f>AS157</f>
        <v>0</v>
      </c>
      <c r="AY3" s="580">
        <f>AS195</f>
        <v>0</v>
      </c>
      <c r="AZ3" s="566">
        <f>AS233</f>
        <v>0</v>
      </c>
      <c r="BA3" s="578">
        <f>AS271</f>
        <v>0</v>
      </c>
      <c r="BB3" s="568">
        <f>AS309</f>
        <v>0</v>
      </c>
      <c r="BC3" s="604"/>
      <c r="BD3" s="604"/>
      <c r="BE3" s="605"/>
      <c r="BF3" s="953"/>
      <c r="BG3" s="954"/>
      <c r="BH3" s="558">
        <f>BG5</f>
        <v>0</v>
      </c>
      <c r="BI3" s="572">
        <f>BG43</f>
        <v>0</v>
      </c>
      <c r="BJ3" s="560">
        <f>BG81</f>
        <v>0</v>
      </c>
      <c r="BK3" s="562">
        <f>BG119</f>
        <v>0</v>
      </c>
      <c r="BL3" s="564">
        <f>BG157</f>
        <v>0</v>
      </c>
      <c r="BM3" s="580">
        <f>BG195</f>
        <v>0</v>
      </c>
      <c r="BN3" s="566">
        <f>BG233</f>
        <v>0</v>
      </c>
      <c r="BO3" s="578">
        <f>BG271</f>
        <v>0</v>
      </c>
      <c r="BP3" s="568">
        <f>BG309</f>
        <v>0</v>
      </c>
      <c r="BQ3" s="604"/>
      <c r="BR3" s="604"/>
      <c r="BS3" s="605"/>
      <c r="BT3" s="953"/>
      <c r="BU3" s="954"/>
      <c r="BV3" s="558">
        <f>BU5</f>
        <v>0</v>
      </c>
      <c r="BW3" s="572">
        <f>BU43</f>
        <v>0</v>
      </c>
      <c r="BX3" s="560">
        <f>BU81</f>
        <v>0</v>
      </c>
      <c r="BY3" s="562">
        <f>BU119</f>
        <v>0</v>
      </c>
      <c r="BZ3" s="564">
        <f>BU157</f>
        <v>0</v>
      </c>
      <c r="CA3" s="580">
        <f>BU195</f>
        <v>0</v>
      </c>
      <c r="CB3" s="566">
        <f>BU233</f>
        <v>0</v>
      </c>
      <c r="CC3" s="578">
        <f>BU271</f>
        <v>0</v>
      </c>
      <c r="CD3" s="568">
        <f>BU309</f>
        <v>0</v>
      </c>
      <c r="CE3" s="604"/>
      <c r="CF3" s="604"/>
      <c r="CG3" s="605"/>
      <c r="CH3" s="953"/>
      <c r="CI3" s="954"/>
      <c r="CJ3" s="558">
        <f>CI5</f>
        <v>0</v>
      </c>
      <c r="CK3" s="572">
        <f>CI43</f>
        <v>0</v>
      </c>
      <c r="CL3" s="560">
        <f>CI81</f>
        <v>0</v>
      </c>
      <c r="CM3" s="562">
        <f>CI119</f>
        <v>0</v>
      </c>
      <c r="CN3" s="564">
        <f>CI157</f>
        <v>0</v>
      </c>
      <c r="CO3" s="580">
        <f>CI195</f>
        <v>0</v>
      </c>
      <c r="CP3" s="566">
        <f>CI233</f>
        <v>0</v>
      </c>
      <c r="CQ3" s="578">
        <f>CI271</f>
        <v>0</v>
      </c>
      <c r="CR3" s="568">
        <f>CI309</f>
        <v>0</v>
      </c>
      <c r="CS3" s="604"/>
      <c r="CT3" s="604"/>
      <c r="CU3" s="605"/>
    </row>
    <row r="4" spans="1:99" x14ac:dyDescent="0.25">
      <c r="A4" s="946"/>
      <c r="B4" s="78" t="s">
        <v>62</v>
      </c>
      <c r="C4" s="55">
        <v>285.22000000000003</v>
      </c>
      <c r="D4" s="56">
        <v>282.62</v>
      </c>
      <c r="E4" s="56">
        <v>280.11</v>
      </c>
      <c r="F4" s="56">
        <v>276.36</v>
      </c>
      <c r="G4" s="56">
        <v>273.38</v>
      </c>
      <c r="H4" s="56">
        <v>267.25</v>
      </c>
      <c r="I4" s="56">
        <v>260.02</v>
      </c>
      <c r="J4" s="56">
        <v>253.59</v>
      </c>
      <c r="K4" s="56">
        <v>247.68</v>
      </c>
      <c r="L4" s="56">
        <v>241.82</v>
      </c>
      <c r="M4" s="56">
        <v>206.65</v>
      </c>
      <c r="N4" s="57">
        <v>108.34</v>
      </c>
      <c r="P4" s="943" t="s">
        <v>140</v>
      </c>
      <c r="Q4" s="944"/>
      <c r="R4" s="944"/>
      <c r="S4" s="944"/>
      <c r="T4" s="944"/>
      <c r="U4" s="944"/>
      <c r="V4" s="944"/>
      <c r="W4" s="944"/>
      <c r="X4" s="944"/>
      <c r="Y4" s="944"/>
      <c r="Z4" s="944"/>
      <c r="AA4" s="944"/>
      <c r="AB4" s="944"/>
      <c r="AC4" s="945"/>
      <c r="AD4" s="943" t="s">
        <v>141</v>
      </c>
      <c r="AE4" s="944"/>
      <c r="AF4" s="944"/>
      <c r="AG4" s="944"/>
      <c r="AH4" s="944"/>
      <c r="AI4" s="944"/>
      <c r="AJ4" s="944"/>
      <c r="AK4" s="944"/>
      <c r="AL4" s="944"/>
      <c r="AM4" s="944"/>
      <c r="AN4" s="944"/>
      <c r="AO4" s="944"/>
      <c r="AP4" s="944"/>
      <c r="AQ4" s="945"/>
      <c r="AR4" s="943" t="s">
        <v>142</v>
      </c>
      <c r="AS4" s="944"/>
      <c r="AT4" s="944"/>
      <c r="AU4" s="944"/>
      <c r="AV4" s="944"/>
      <c r="AW4" s="944"/>
      <c r="AX4" s="944"/>
      <c r="AY4" s="944"/>
      <c r="AZ4" s="944"/>
      <c r="BA4" s="944"/>
      <c r="BB4" s="944"/>
      <c r="BC4" s="944"/>
      <c r="BD4" s="944"/>
      <c r="BE4" s="945"/>
      <c r="BF4" s="943" t="s">
        <v>143</v>
      </c>
      <c r="BG4" s="944"/>
      <c r="BH4" s="944"/>
      <c r="BI4" s="944"/>
      <c r="BJ4" s="944"/>
      <c r="BK4" s="944"/>
      <c r="BL4" s="944"/>
      <c r="BM4" s="944"/>
      <c r="BN4" s="944"/>
      <c r="BO4" s="944"/>
      <c r="BP4" s="944"/>
      <c r="BQ4" s="944"/>
      <c r="BR4" s="944"/>
      <c r="BS4" s="945"/>
      <c r="BT4" s="943" t="s">
        <v>144</v>
      </c>
      <c r="BU4" s="944"/>
      <c r="BV4" s="944"/>
      <c r="BW4" s="944"/>
      <c r="BX4" s="944"/>
      <c r="BY4" s="944"/>
      <c r="BZ4" s="944"/>
      <c r="CA4" s="944"/>
      <c r="CB4" s="944"/>
      <c r="CC4" s="944"/>
      <c r="CD4" s="944"/>
      <c r="CE4" s="944"/>
      <c r="CF4" s="944"/>
      <c r="CG4" s="945"/>
      <c r="CH4" s="943" t="s">
        <v>145</v>
      </c>
      <c r="CI4" s="944"/>
      <c r="CJ4" s="944"/>
      <c r="CK4" s="944"/>
      <c r="CL4" s="944"/>
      <c r="CM4" s="944"/>
      <c r="CN4" s="944"/>
      <c r="CO4" s="944"/>
      <c r="CP4" s="944"/>
      <c r="CQ4" s="944"/>
      <c r="CR4" s="944"/>
      <c r="CS4" s="944"/>
      <c r="CT4" s="944"/>
      <c r="CU4" s="945"/>
    </row>
    <row r="5" spans="1:99" x14ac:dyDescent="0.25">
      <c r="A5" s="946" t="s">
        <v>65</v>
      </c>
      <c r="B5" s="78" t="s">
        <v>61</v>
      </c>
      <c r="C5" s="25">
        <v>417.54</v>
      </c>
      <c r="D5" s="26">
        <v>414.4</v>
      </c>
      <c r="E5" s="26">
        <v>411.28</v>
      </c>
      <c r="F5" s="26">
        <v>408.16</v>
      </c>
      <c r="G5" s="26">
        <v>405.02</v>
      </c>
      <c r="H5" s="26">
        <v>401.92</v>
      </c>
      <c r="I5" s="26">
        <v>398.78</v>
      </c>
      <c r="J5" s="26">
        <v>395.68</v>
      </c>
      <c r="K5" s="26">
        <v>392.52</v>
      </c>
      <c r="L5" s="26">
        <v>389.39</v>
      </c>
      <c r="M5" s="26">
        <v>386.23</v>
      </c>
      <c r="N5" s="27">
        <v>383.12</v>
      </c>
      <c r="P5" s="586">
        <v>1</v>
      </c>
      <c r="Q5" s="557">
        <f>SUM(R6:AC41)</f>
        <v>0</v>
      </c>
      <c r="R5" s="3">
        <v>12</v>
      </c>
      <c r="S5" s="3">
        <v>11</v>
      </c>
      <c r="T5" s="3">
        <v>10</v>
      </c>
      <c r="U5" s="3">
        <v>9</v>
      </c>
      <c r="V5" s="3">
        <v>8</v>
      </c>
      <c r="W5" s="3">
        <v>7</v>
      </c>
      <c r="X5" s="3">
        <v>6</v>
      </c>
      <c r="Y5" s="3">
        <v>5</v>
      </c>
      <c r="Z5" s="3">
        <v>4</v>
      </c>
      <c r="AA5" s="3">
        <v>3</v>
      </c>
      <c r="AB5" s="3">
        <v>2</v>
      </c>
      <c r="AC5" s="519">
        <v>1</v>
      </c>
      <c r="AD5" s="557">
        <v>1</v>
      </c>
      <c r="AE5" s="557">
        <f>SUM(AF6:AQ41)</f>
        <v>0</v>
      </c>
      <c r="AF5" s="3">
        <v>12</v>
      </c>
      <c r="AG5" s="3">
        <v>11</v>
      </c>
      <c r="AH5" s="3">
        <v>10</v>
      </c>
      <c r="AI5" s="3">
        <v>9</v>
      </c>
      <c r="AJ5" s="3">
        <v>8</v>
      </c>
      <c r="AK5" s="3">
        <v>7</v>
      </c>
      <c r="AL5" s="3">
        <v>6</v>
      </c>
      <c r="AM5" s="3">
        <v>5</v>
      </c>
      <c r="AN5" s="3">
        <v>4</v>
      </c>
      <c r="AO5" s="3">
        <v>3</v>
      </c>
      <c r="AP5" s="3">
        <v>2</v>
      </c>
      <c r="AQ5" s="519">
        <v>1</v>
      </c>
      <c r="AR5" s="557">
        <v>1</v>
      </c>
      <c r="AS5" s="557">
        <f>SUM(AT6:BE41)</f>
        <v>0</v>
      </c>
      <c r="AT5" s="3">
        <v>12</v>
      </c>
      <c r="AU5" s="3">
        <v>11</v>
      </c>
      <c r="AV5" s="3">
        <v>10</v>
      </c>
      <c r="AW5" s="3">
        <v>9</v>
      </c>
      <c r="AX5" s="3">
        <v>8</v>
      </c>
      <c r="AY5" s="3">
        <v>7</v>
      </c>
      <c r="AZ5" s="3">
        <v>6</v>
      </c>
      <c r="BA5" s="3">
        <v>5</v>
      </c>
      <c r="BB5" s="3">
        <v>4</v>
      </c>
      <c r="BC5" s="3">
        <v>3</v>
      </c>
      <c r="BD5" s="3">
        <v>2</v>
      </c>
      <c r="BE5" s="519">
        <v>1</v>
      </c>
      <c r="BF5" s="557">
        <v>1</v>
      </c>
      <c r="BG5" s="557">
        <f>SUM(BH6:BS41)</f>
        <v>0</v>
      </c>
      <c r="BH5" s="3">
        <v>12</v>
      </c>
      <c r="BI5" s="3">
        <v>11</v>
      </c>
      <c r="BJ5" s="3">
        <v>10</v>
      </c>
      <c r="BK5" s="3">
        <v>9</v>
      </c>
      <c r="BL5" s="3">
        <v>8</v>
      </c>
      <c r="BM5" s="3">
        <v>7</v>
      </c>
      <c r="BN5" s="3">
        <v>6</v>
      </c>
      <c r="BO5" s="3">
        <v>5</v>
      </c>
      <c r="BP5" s="3">
        <v>4</v>
      </c>
      <c r="BQ5" s="3">
        <v>3</v>
      </c>
      <c r="BR5" s="3">
        <v>2</v>
      </c>
      <c r="BS5" s="519">
        <v>1</v>
      </c>
      <c r="BT5" s="557">
        <v>1</v>
      </c>
      <c r="BU5" s="557">
        <f>SUM(BV6:CG41)</f>
        <v>0</v>
      </c>
      <c r="BV5" s="3">
        <v>12</v>
      </c>
      <c r="BW5" s="3">
        <v>11</v>
      </c>
      <c r="BX5" s="3">
        <v>10</v>
      </c>
      <c r="BY5" s="3">
        <v>9</v>
      </c>
      <c r="BZ5" s="3">
        <v>8</v>
      </c>
      <c r="CA5" s="3">
        <v>7</v>
      </c>
      <c r="CB5" s="3">
        <v>6</v>
      </c>
      <c r="CC5" s="3">
        <v>5</v>
      </c>
      <c r="CD5" s="3">
        <v>4</v>
      </c>
      <c r="CE5" s="3">
        <v>3</v>
      </c>
      <c r="CF5" s="3">
        <v>2</v>
      </c>
      <c r="CG5" s="519">
        <v>1</v>
      </c>
      <c r="CH5" s="557">
        <v>1</v>
      </c>
      <c r="CI5" s="557">
        <f>SUM(CJ6:CU41)</f>
        <v>0</v>
      </c>
      <c r="CJ5" s="3">
        <v>12</v>
      </c>
      <c r="CK5" s="3">
        <v>11</v>
      </c>
      <c r="CL5" s="3">
        <v>10</v>
      </c>
      <c r="CM5" s="3">
        <v>9</v>
      </c>
      <c r="CN5" s="3">
        <v>8</v>
      </c>
      <c r="CO5" s="3">
        <v>7</v>
      </c>
      <c r="CP5" s="3">
        <v>6</v>
      </c>
      <c r="CQ5" s="3">
        <v>5</v>
      </c>
      <c r="CR5" s="3">
        <v>4</v>
      </c>
      <c r="CS5" s="3">
        <v>3</v>
      </c>
      <c r="CT5" s="3">
        <v>2</v>
      </c>
      <c r="CU5" s="519">
        <v>1</v>
      </c>
    </row>
    <row r="6" spans="1:99" x14ac:dyDescent="0.25">
      <c r="A6" s="946"/>
      <c r="B6" s="78" t="s">
        <v>62</v>
      </c>
      <c r="C6" s="25">
        <v>285.22000000000003</v>
      </c>
      <c r="D6" s="26">
        <v>282.62</v>
      </c>
      <c r="E6" s="26">
        <v>280.11</v>
      </c>
      <c r="F6" s="26">
        <v>276.36</v>
      </c>
      <c r="G6" s="26">
        <v>273.38</v>
      </c>
      <c r="H6" s="26">
        <v>267.25</v>
      </c>
      <c r="I6" s="26">
        <v>260.02</v>
      </c>
      <c r="J6" s="26">
        <v>253.59</v>
      </c>
      <c r="K6" s="26">
        <v>247.68</v>
      </c>
      <c r="L6" s="26">
        <v>241.82</v>
      </c>
      <c r="M6" s="26">
        <v>206.65</v>
      </c>
      <c r="N6" s="27">
        <v>108.34</v>
      </c>
      <c r="P6" s="940" t="s">
        <v>39</v>
      </c>
      <c r="Q6" s="13" t="s">
        <v>61</v>
      </c>
      <c r="R6" s="518" t="str">
        <f>IF(AND(_AC1="A-350",'2023'!$D$4="CA",'2023'!$D$2=R5),'2023DATA'!$C$3,"")</f>
        <v/>
      </c>
      <c r="S6" s="518" t="str">
        <f>IF(AND(_AC1="A-350",'2023'!$D$4="CA",'2023'!$D$2=S5),'2023DATA'!$D$3,"")</f>
        <v/>
      </c>
      <c r="T6" s="518" t="str">
        <f>IF(AND(_AC1="A-350",'2023'!$D$4="CA",'2023'!$D$2=T5),'2023DATA'!$E$3,"")</f>
        <v/>
      </c>
      <c r="U6" s="518" t="str">
        <f>IF(AND(_AC1="A-350",'2023'!$D$4="CA",'2023'!$D$2=U5),'2023DATA'!$F$3,"")</f>
        <v/>
      </c>
      <c r="V6" s="518" t="str">
        <f>IF(AND(_AC1="A-350",'2023'!$D$4="CA",'2023'!$D$2=V5),'2023DATA'!$G$3,"")</f>
        <v/>
      </c>
      <c r="W6" s="518" t="str">
        <f>IF(AND(_AC1="A-350",'2023'!$D$4="CA",'2023'!$D$2=W5),'2023DATA'!$H$3,"")</f>
        <v/>
      </c>
      <c r="X6" s="518" t="str">
        <f>IF(AND(_AC1="A-350",'2023'!$D$4="CA",'2023'!$D$2=X5),'2023DATA'!$I$3,"")</f>
        <v/>
      </c>
      <c r="Y6" s="518" t="str">
        <f>IF(AND(_AC1="A-350",'2023'!$D$4="CA",'2023'!$D$2=Y5),'2023DATA'!$J$3,"")</f>
        <v/>
      </c>
      <c r="Z6" s="518" t="str">
        <f>IF(AND(_AC1="A-350",'2023'!$D$4="CA",'2023'!$D$2=Z5),'2023DATA'!$K$3,"")</f>
        <v/>
      </c>
      <c r="AA6" s="518" t="str">
        <f>IF(AND(_AC1="A-350",'2023'!$D$4="CA",'2023'!$D$2=AA5),'2023DATA'!$L$3,"")</f>
        <v/>
      </c>
      <c r="AB6" s="518" t="str">
        <f>IF(AND(_AC1="A-350",'2023'!$D$4="CA",'2023'!$D$2=AB5),'2023DATA'!$M$3,"")</f>
        <v/>
      </c>
      <c r="AC6" s="520" t="str">
        <f>IF(AND(_AC1="A-350",'2023'!$D$4="CA",'2023'!$D$2=AC5),'2023DATA'!$N$3,"")</f>
        <v/>
      </c>
      <c r="AD6" s="940" t="s">
        <v>39</v>
      </c>
      <c r="AE6" s="13" t="s">
        <v>61</v>
      </c>
      <c r="AF6" s="518" t="str">
        <f>IF(AND(_AC2="A-350",'2023'!$D$4="CA",'2023'!$D$2=AF5),'2023DATA'!$C$3,"")</f>
        <v/>
      </c>
      <c r="AG6" s="518" t="str">
        <f>IF(AND(_AC2="A-350",'2023'!$D$4="CA",'2023'!$D$2=AG5),'2023DATA'!$D$3,"")</f>
        <v/>
      </c>
      <c r="AH6" s="518" t="str">
        <f>IF(AND(_AC2="A-350",'2023'!$D$4="CA",'2023'!$D$2=AH5),'2023DATA'!$E$3,"")</f>
        <v/>
      </c>
      <c r="AI6" s="518" t="str">
        <f>IF(AND(_AC2="A-350",'2023'!$D$4="CA",'2023'!$D$2=AI5),'2023DATA'!$F$3,"")</f>
        <v/>
      </c>
      <c r="AJ6" s="518" t="str">
        <f>IF(AND(_AC2="A-350",'2023'!$D$4="CA",'2023'!$D$2=AJ5),'2023DATA'!$G$3,"")</f>
        <v/>
      </c>
      <c r="AK6" s="518" t="str">
        <f>IF(AND(_AC2="A-350",'2023'!$D$4="CA",'2023'!$D$2=AK5),'2023DATA'!$H$3,"")</f>
        <v/>
      </c>
      <c r="AL6" s="518" t="str">
        <f>IF(AND(_AC2="A-350",'2023'!$D$4="CA",'2023'!$D$2=AL5),'2023DATA'!$I$3,"")</f>
        <v/>
      </c>
      <c r="AM6" s="518" t="str">
        <f>IF(AND(_AC2="A-350",'2023'!$D$4="CA",'2023'!$D$2=AM5),'2023DATA'!$J$3,"")</f>
        <v/>
      </c>
      <c r="AN6" s="518" t="str">
        <f>IF(AND(_AC2="A-350",'2023'!$D$4="CA",'2023'!$D$2=AN5),'2023DATA'!$K$3,"")</f>
        <v/>
      </c>
      <c r="AO6" s="518" t="str">
        <f>IF(AND(_AC2="A-350",'2023'!$D$4="CA",'2023'!$D$2=AO5),'2023DATA'!$L$3,"")</f>
        <v/>
      </c>
      <c r="AP6" s="518" t="str">
        <f>IF(AND(_AC2="A-350",'2023'!$D$4="CA",'2023'!$D$2=AP5),'2023DATA'!$M$3,"")</f>
        <v/>
      </c>
      <c r="AQ6" s="520" t="str">
        <f>IF(AND(_AC2="A-350",'2023'!$D$4="CA",'2023'!$D$2=AQ5),'2023DATA'!$N$3,"")</f>
        <v/>
      </c>
      <c r="AR6" s="940" t="s">
        <v>39</v>
      </c>
      <c r="AS6" s="13" t="s">
        <v>61</v>
      </c>
      <c r="AT6" s="518" t="str">
        <f>IF(AND(_AC3="A-350",'2023'!$D$4="CA",'2023'!$D$2=AT5),'2023DATA'!$C$3,"")</f>
        <v/>
      </c>
      <c r="AU6" s="518" t="str">
        <f>IF(AND(_AC3="A-350",'2023'!$D$4="CA",'2023'!$D$2=AU5),'2023DATA'!$D$3,"")</f>
        <v/>
      </c>
      <c r="AV6" s="518" t="str">
        <f>IF(AND(_AC3="A-350",'2023'!$D$4="CA",'2023'!$D$2=AV5),'2023DATA'!$E$3,"")</f>
        <v/>
      </c>
      <c r="AW6" s="518" t="str">
        <f>IF(AND(_AC3="A-350",'2023'!$D$4="CA",'2023'!$D$2=AW5),'2023DATA'!$F$3,"")</f>
        <v/>
      </c>
      <c r="AX6" s="518" t="str">
        <f>IF(AND(_AC3="A-350",'2023'!$D$4="CA",'2023'!$D$2=AX5),'2023DATA'!$G$3,"")</f>
        <v/>
      </c>
      <c r="AY6" s="518" t="str">
        <f>IF(AND(_AC3="A-350",'2023'!$D$4="CA",'2023'!$D$2=AY5),'2023DATA'!$H$3,"")</f>
        <v/>
      </c>
      <c r="AZ6" s="518" t="str">
        <f>IF(AND(_AC3="A-350",'2023'!$D$4="CA",'2023'!$D$2=AZ5),'2023DATA'!$I$3,"")</f>
        <v/>
      </c>
      <c r="BA6" s="518" t="str">
        <f>IF(AND(_AC3="A-350",'2023'!$D$4="CA",'2023'!$D$2=BA5),'2023DATA'!$J$3,"")</f>
        <v/>
      </c>
      <c r="BB6" s="518" t="str">
        <f>IF(AND(_AC3="A-350",'2023'!$D$4="CA",'2023'!$D$2=BB5),'2023DATA'!$K$3,"")</f>
        <v/>
      </c>
      <c r="BC6" s="518" t="str">
        <f>IF(AND(_AC3="A-350",'2023'!$D$4="CA",'2023'!$D$2=BC5),'2023DATA'!$L$3,"")</f>
        <v/>
      </c>
      <c r="BD6" s="518" t="str">
        <f>IF(AND(_AC3="A-350",'2023'!$D$4="CA",'2023'!$D$2=BD5),'2023DATA'!$M$3,"")</f>
        <v/>
      </c>
      <c r="BE6" s="520" t="str">
        <f>IF(AND(_AC3="A-350",'2023'!$D$4="CA",'2023'!$D$2=BE5),'2023DATA'!$N$3,"")</f>
        <v/>
      </c>
      <c r="BF6" s="940" t="s">
        <v>39</v>
      </c>
      <c r="BG6" s="13" t="s">
        <v>61</v>
      </c>
      <c r="BH6" s="518" t="str">
        <f>IF(AND(_AC4="A-350",'2023'!$D$4="CA",'2023'!$D$2=BH5),'2023DATA'!$C$3,"")</f>
        <v/>
      </c>
      <c r="BI6" s="518" t="str">
        <f>IF(AND(_AC4="A-350",'2023'!$D$4="CA",'2023'!$D$2=BI5),'2023DATA'!$D$3,"")</f>
        <v/>
      </c>
      <c r="BJ6" s="518" t="str">
        <f>IF(AND(_AC4="A-350",'2023'!$D$4="CA",'2023'!$D$2=BJ5),'2023DATA'!$E$3,"")</f>
        <v/>
      </c>
      <c r="BK6" s="518" t="str">
        <f>IF(AND(_AC4="A-350",'2023'!$D$4="CA",'2023'!$D$2=BK5),'2023DATA'!$F$3,"")</f>
        <v/>
      </c>
      <c r="BL6" s="518" t="str">
        <f>IF(AND(_AC4="A-350",'2023'!$D$4="CA",'2023'!$D$2=BL5),'2023DATA'!$G$3,"")</f>
        <v/>
      </c>
      <c r="BM6" s="518" t="str">
        <f>IF(AND(_AC4="A-350",'2023'!$D$4="CA",'2023'!$D$2=BM5),'2023DATA'!$H$3,"")</f>
        <v/>
      </c>
      <c r="BN6" s="518" t="str">
        <f>IF(AND(_AC4="A-350",'2023'!$D$4="CA",'2023'!$D$2=BN5),'2023DATA'!$I$3,"")</f>
        <v/>
      </c>
      <c r="BO6" s="518" t="str">
        <f>IF(AND(_AC4="A-350",'2023'!$D$4="CA",'2023'!$D$2=BO5),'2023DATA'!$J$3,"")</f>
        <v/>
      </c>
      <c r="BP6" s="518" t="str">
        <f>IF(AND(_AC4="A-350",'2023'!$D$4="CA",'2023'!$D$2=BP5),'2023DATA'!$K$3,"")</f>
        <v/>
      </c>
      <c r="BQ6" s="518" t="str">
        <f>IF(AND(_AC4="A-350",'2023'!$D$4="CA",'2023'!$D$2=BQ5),'2023DATA'!$L$3,"")</f>
        <v/>
      </c>
      <c r="BR6" s="518" t="str">
        <f>IF(AND(_AC4="A-350",'2023'!$D$4="CA",'2023'!$D$2=BR5),'2023DATA'!$M$3,"")</f>
        <v/>
      </c>
      <c r="BS6" s="520" t="str">
        <f>IF(AND(_AC4="A-350",'2023'!$D$4="CA",'2023'!$D$2=BS5),'2023DATA'!$N$3,"")</f>
        <v/>
      </c>
      <c r="BT6" s="940" t="s">
        <v>39</v>
      </c>
      <c r="BU6" s="13" t="s">
        <v>61</v>
      </c>
      <c r="BV6" s="518" t="str">
        <f>IF(AND(_AC5="A-350",'2023'!$D$4="CA",'2023'!$D$2=BV5),'2023DATA'!$C$3,"")</f>
        <v/>
      </c>
      <c r="BW6" s="518" t="str">
        <f>IF(AND(_AC5="A-350",'2023'!$D$4="CA",'2023'!$D$2=BW5),'2023DATA'!$D$3,"")</f>
        <v/>
      </c>
      <c r="BX6" s="518" t="str">
        <f>IF(AND(_AC5="A-350",'2023'!$D$4="CA",'2023'!$D$2=BX5),'2023DATA'!$E$3,"")</f>
        <v/>
      </c>
      <c r="BY6" s="518" t="str">
        <f>IF(AND(_AC5="A-350",'2023'!$D$4="CA",'2023'!$D$2=BY5),'2023DATA'!$F$3,"")</f>
        <v/>
      </c>
      <c r="BZ6" s="518" t="str">
        <f>IF(AND(_AC5="A-350",'2023'!$D$4="CA",'2023'!$D$2=BZ5),'2023DATA'!$G$3,"")</f>
        <v/>
      </c>
      <c r="CA6" s="518" t="str">
        <f>IF(AND(_AC5="A-350",'2023'!$D$4="CA",'2023'!$D$2=CA5),'2023DATA'!$H$3,"")</f>
        <v/>
      </c>
      <c r="CB6" s="518" t="str">
        <f>IF(AND(_AC5="A-350",'2023'!$D$4="CA",'2023'!$D$2=CB5),'2023DATA'!$I$3,"")</f>
        <v/>
      </c>
      <c r="CC6" s="518" t="str">
        <f>IF(AND(_AC5="A-350",'2023'!$D$4="CA",'2023'!$D$2=CC5),'2023DATA'!$J$3,"")</f>
        <v/>
      </c>
      <c r="CD6" s="518" t="str">
        <f>IF(AND(_AC5="A-350",'2023'!$D$4="CA",'2023'!$D$2=CD5),'2023DATA'!$K$3,"")</f>
        <v/>
      </c>
      <c r="CE6" s="518" t="str">
        <f>IF(AND(_AC5="A-350",'2023'!$D$4="CA",'2023'!$D$2=CE5),'2023DATA'!$L$3,"")</f>
        <v/>
      </c>
      <c r="CF6" s="518" t="str">
        <f>IF(AND(_AC5="A-350",'2023'!$D$4="CA",'2023'!$D$2=CF5),'2023DATA'!$M$3,"")</f>
        <v/>
      </c>
      <c r="CG6" s="520" t="str">
        <f>IF(AND(_AC5="A-350",'2023'!$D$4="CA",'2023'!$D$2=CG5),'2023DATA'!$N$3,"")</f>
        <v/>
      </c>
      <c r="CH6" s="940" t="s">
        <v>39</v>
      </c>
      <c r="CI6" s="13" t="s">
        <v>61</v>
      </c>
      <c r="CJ6" s="518" t="str">
        <f>IF(AND(_AC6="A-350",'2023'!$D$4="CA",'2023'!$D$2=CJ5),'2023DATA'!$C$3,"")</f>
        <v/>
      </c>
      <c r="CK6" s="518" t="str">
        <f>IF(AND(_AC6="A-350",'2023'!$D$4="CA",'2023'!$D$2=CK5),'2023DATA'!$D$3,"")</f>
        <v/>
      </c>
      <c r="CL6" s="518" t="str">
        <f>IF(AND(_AC6="A-350",'2023'!$D$4="CA",'2023'!$D$2=CL5),'2023DATA'!$E$3,"")</f>
        <v/>
      </c>
      <c r="CM6" s="518" t="str">
        <f>IF(AND(_AC6="A-350",'2023'!$D$4="CA",'2023'!$D$2=CM5),'2023DATA'!$F$3,"")</f>
        <v/>
      </c>
      <c r="CN6" s="518" t="str">
        <f>IF(AND(_AC6="A-350",'2023'!$D$4="CA",'2023'!$D$2=CN5),'2023DATA'!$G$3,"")</f>
        <v/>
      </c>
      <c r="CO6" s="518" t="str">
        <f>IF(AND(_AC6="A-350",'2023'!$D$4="CA",'2023'!$D$2=CO5),'2023DATA'!$H$3,"")</f>
        <v/>
      </c>
      <c r="CP6" s="518" t="str">
        <f>IF(AND(_AC6="A-350",'2023'!$D$4="CA",'2023'!$D$2=CP5),'2023DATA'!$I$3,"")</f>
        <v/>
      </c>
      <c r="CQ6" s="518" t="str">
        <f>IF(AND(_AC6="A-350",'2023'!$D$4="CA",'2023'!$D$2=CQ5),'2023DATA'!$J$3,"")</f>
        <v/>
      </c>
      <c r="CR6" s="518" t="str">
        <f>IF(AND(_AC6="A-350",'2023'!$D$4="CA",'2023'!$D$2=CR5),'2023DATA'!$K$3,"")</f>
        <v/>
      </c>
      <c r="CS6" s="518" t="str">
        <f>IF(AND(_AC6="A-350",'2023'!$D$4="CA",'2023'!$D$2=CS5),'2023DATA'!$L$3,"")</f>
        <v/>
      </c>
      <c r="CT6" s="518" t="str">
        <f>IF(AND(_AC6="A-350",'2023'!$D$4="CA",'2023'!$D$2=CT5),'2023DATA'!$M$3,"")</f>
        <v/>
      </c>
      <c r="CU6" s="520" t="str">
        <f>IF(AND(_AC6="A-350",'2023'!$D$4="CA",'2023'!$D$2=CU5),'2023DATA'!$N$3,"")</f>
        <v/>
      </c>
    </row>
    <row r="7" spans="1:99" x14ac:dyDescent="0.25">
      <c r="A7" s="946" t="s">
        <v>64</v>
      </c>
      <c r="B7" s="78" t="s">
        <v>61</v>
      </c>
      <c r="C7" s="25">
        <v>417.54</v>
      </c>
      <c r="D7" s="26">
        <v>414.4</v>
      </c>
      <c r="E7" s="26">
        <v>411.28</v>
      </c>
      <c r="F7" s="26">
        <v>408.16</v>
      </c>
      <c r="G7" s="26">
        <v>405.02</v>
      </c>
      <c r="H7" s="26">
        <v>401.92</v>
      </c>
      <c r="I7" s="26">
        <v>398.78</v>
      </c>
      <c r="J7" s="26">
        <v>395.68</v>
      </c>
      <c r="K7" s="26">
        <v>392.52</v>
      </c>
      <c r="L7" s="26">
        <v>389.39</v>
      </c>
      <c r="M7" s="26">
        <v>386.23</v>
      </c>
      <c r="N7" s="27">
        <v>383.12</v>
      </c>
      <c r="P7" s="940"/>
      <c r="Q7" s="13" t="s">
        <v>62</v>
      </c>
      <c r="R7" s="518" t="str">
        <f>IF(AND(_AC1="A-350",'2023'!$D$4="FO",'2023'!$D$2=R5),'2023DATA'!$C$4,"")</f>
        <v/>
      </c>
      <c r="S7" s="518" t="str">
        <f>IF(AND(_AC1="A-350",'2023'!$D$4="FO",'2023'!$D$2=S5),'2023DATA'!$D$4,"")</f>
        <v/>
      </c>
      <c r="T7" s="518" t="str">
        <f>IF(AND(_AC1="A-350",'2023'!$D$4="FO",'2023'!$D$2=T5),'2023DATA'!$E$4,"")</f>
        <v/>
      </c>
      <c r="U7" s="518" t="str">
        <f>IF(AND(_AC1="A-350",'2023'!$D$4="FO",'2023'!$D$2=U5),'2023DATA'!$F$4,"")</f>
        <v/>
      </c>
      <c r="V7" s="518" t="str">
        <f>IF(AND(_AC1="A-350",'2023'!$D$4="FO",'2023'!$D$2=V5),'2023DATA'!$G$4,"")</f>
        <v/>
      </c>
      <c r="W7" s="518" t="str">
        <f>IF(AND(_AC1="A-350",'2023'!$D$4="FO",'2023'!$D$2=W5),'2023DATA'!$H$4,"")</f>
        <v/>
      </c>
      <c r="X7" s="518" t="str">
        <f>IF(AND(_AC1="A-350",'2023'!$D$4="FO",'2023'!$D$2=X5),'2023DATA'!$I$4,"")</f>
        <v/>
      </c>
      <c r="Y7" s="518" t="str">
        <f>IF(AND(_AC1="A-350",'2023'!$D$4="FO",'2023'!$D$2=Y5),'2023DATA'!$J$4,"")</f>
        <v/>
      </c>
      <c r="Z7" s="518" t="str">
        <f>IF(AND(_AC1="A-350",'2023'!$D$4="FO",'2023'!$D$2=Z5),'2023DATA'!$K$4,"")</f>
        <v/>
      </c>
      <c r="AA7" s="518" t="str">
        <f>IF(AND(_AC1="A-350",'2023'!$D$4="FO",'2023'!$D$2=AA5),'2023DATA'!$L$4,"")</f>
        <v/>
      </c>
      <c r="AB7" s="518" t="str">
        <f>IF(AND(_AC1="A-350",'2023'!$D$4="FO",'2023'!$D$2=AB5),'2023DATA'!$M$4,"")</f>
        <v/>
      </c>
      <c r="AC7" s="520" t="str">
        <f>IF(AND(_AC1="A-350",'2023'!$D$4="FO",'2023'!$D$2=AC5),'2023DATA'!$N$4,"")</f>
        <v/>
      </c>
      <c r="AD7" s="940"/>
      <c r="AE7" s="13" t="s">
        <v>62</v>
      </c>
      <c r="AF7" s="518" t="str">
        <f>IF(AND(_AC2="A-350",'2023'!$D$4="FO",'2023'!$D$2=AF5),'2023DATA'!$C$4,"")</f>
        <v/>
      </c>
      <c r="AG7" s="518" t="str">
        <f>IF(AND(_AC2="A-350",'2023'!$D$4="FO",'2023'!$D$2=AG5),'2023DATA'!$D$4,"")</f>
        <v/>
      </c>
      <c r="AH7" s="518" t="str">
        <f>IF(AND(_AC2="A-350",'2023'!$D$4="FO",'2023'!$D$2=AH5),'2023DATA'!$E$4,"")</f>
        <v/>
      </c>
      <c r="AI7" s="518" t="str">
        <f>IF(AND(_AC2="A-350",'2023'!$D$4="FO",'2023'!$D$2=AI5),'2023DATA'!$F$4,"")</f>
        <v/>
      </c>
      <c r="AJ7" s="518" t="str">
        <f>IF(AND(_AC2="A-350",'2023'!$D$4="FO",'2023'!$D$2=AJ5),'2023DATA'!$G$4,"")</f>
        <v/>
      </c>
      <c r="AK7" s="518" t="str">
        <f>IF(AND(_AC2="A-350",'2023'!$D$4="FO",'2023'!$D$2=AK5),'2023DATA'!$H$4,"")</f>
        <v/>
      </c>
      <c r="AL7" s="518" t="str">
        <f>IF(AND(_AC2="A-350",'2023'!$D$4="FO",'2023'!$D$2=AL5),'2023DATA'!$I$4,"")</f>
        <v/>
      </c>
      <c r="AM7" s="518" t="str">
        <f>IF(AND(_AC2="A-350",'2023'!$D$4="FO",'2023'!$D$2=AM5),'2023DATA'!$J$4,"")</f>
        <v/>
      </c>
      <c r="AN7" s="518" t="str">
        <f>IF(AND(_AC2="A-350",'2023'!$D$4="FO",'2023'!$D$2=AN5),'2023DATA'!$K$4,"")</f>
        <v/>
      </c>
      <c r="AO7" s="518" t="str">
        <f>IF(AND(_AC2="A-350",'2023'!$D$4="FO",'2023'!$D$2=AO5),'2023DATA'!$L$4,"")</f>
        <v/>
      </c>
      <c r="AP7" s="518" t="str">
        <f>IF(AND(_AC2="A-350",'2023'!$D$4="FO",'2023'!$D$2=AP5),'2023DATA'!$M$4,"")</f>
        <v/>
      </c>
      <c r="AQ7" s="520" t="str">
        <f>IF(AND(_AC2="A-350",'2023'!$D$4="FO",'2023'!$D$2=AQ5),'2023DATA'!$N$4,"")</f>
        <v/>
      </c>
      <c r="AR7" s="940"/>
      <c r="AS7" s="13" t="s">
        <v>62</v>
      </c>
      <c r="AT7" s="518" t="str">
        <f>IF(AND(_AC3="A-350",'2023'!$D$4="FO",'2023'!$D$2=AT5),'2023DATA'!$C$4,"")</f>
        <v/>
      </c>
      <c r="AU7" s="518" t="str">
        <f>IF(AND(_AC3="A-350",'2023'!$D$4="FO",'2023'!$D$2=AU5),'2023DATA'!$D$4,"")</f>
        <v/>
      </c>
      <c r="AV7" s="518" t="str">
        <f>IF(AND(_AC3="A-350",'2023'!$D$4="FO",'2023'!$D$2=AV5),'2023DATA'!$E$4,"")</f>
        <v/>
      </c>
      <c r="AW7" s="518" t="str">
        <f>IF(AND(_AC3="A-350",'2023'!$D$4="FO",'2023'!$D$2=AW5),'2023DATA'!$F$4,"")</f>
        <v/>
      </c>
      <c r="AX7" s="518" t="str">
        <f>IF(AND(_AC3="A-350",'2023'!$D$4="FO",'2023'!$D$2=AX5),'2023DATA'!$G$4,"")</f>
        <v/>
      </c>
      <c r="AY7" s="518" t="str">
        <f>IF(AND(_AC3="A-350",'2023'!$D$4="FO",'2023'!$D$2=AY5),'2023DATA'!$H$4,"")</f>
        <v/>
      </c>
      <c r="AZ7" s="518" t="str">
        <f>IF(AND(_AC3="A-350",'2023'!$D$4="FO",'2023'!$D$2=AZ5),'2023DATA'!$I$4,"")</f>
        <v/>
      </c>
      <c r="BA7" s="518" t="str">
        <f>IF(AND(_AC3="A-350",'2023'!$D$4="FO",'2023'!$D$2=BA5),'2023DATA'!$J$4,"")</f>
        <v/>
      </c>
      <c r="BB7" s="518" t="str">
        <f>IF(AND(_AC3="A-350",'2023'!$D$4="FO",'2023'!$D$2=BB5),'2023DATA'!$K$4,"")</f>
        <v/>
      </c>
      <c r="BC7" s="518" t="str">
        <f>IF(AND(_AC3="A-350",'2023'!$D$4="FO",'2023'!$D$2=BC5),'2023DATA'!$L$4,"")</f>
        <v/>
      </c>
      <c r="BD7" s="518" t="str">
        <f>IF(AND(_AC3="A-350",'2023'!$D$4="FO",'2023'!$D$2=BD5),'2023DATA'!$M$4,"")</f>
        <v/>
      </c>
      <c r="BE7" s="520" t="str">
        <f>IF(AND(_AC3="A-350",'2023'!$D$4="FO",'2023'!$D$2=BE5),'2023DATA'!$N$4,"")</f>
        <v/>
      </c>
      <c r="BF7" s="940"/>
      <c r="BG7" s="13" t="s">
        <v>62</v>
      </c>
      <c r="BH7" s="518" t="str">
        <f>IF(AND(_AC4="A-350",'2023'!$D$4="FO",'2023'!$D$2=BH5),'2023DATA'!$C$4,"")</f>
        <v/>
      </c>
      <c r="BI7" s="518" t="str">
        <f>IF(AND(_AC4="A-350",'2023'!$D$4="FO",'2023'!$D$2=BI5),'2023DATA'!$D$4,"")</f>
        <v/>
      </c>
      <c r="BJ7" s="518" t="str">
        <f>IF(AND(_AC4="A-350",'2023'!$D$4="FO",'2023'!$D$2=BJ5),'2023DATA'!$E$4,"")</f>
        <v/>
      </c>
      <c r="BK7" s="518" t="str">
        <f>IF(AND(_AC4="A-350",'2023'!$D$4="FO",'2023'!$D$2=BK5),'2023DATA'!$F$4,"")</f>
        <v/>
      </c>
      <c r="BL7" s="518" t="str">
        <f>IF(AND(_AC4="A-350",'2023'!$D$4="FO",'2023'!$D$2=BL5),'2023DATA'!$G$4,"")</f>
        <v/>
      </c>
      <c r="BM7" s="518" t="str">
        <f>IF(AND(_AC4="A-350",'2023'!$D$4="FO",'2023'!$D$2=BM5),'2023DATA'!$H$4,"")</f>
        <v/>
      </c>
      <c r="BN7" s="518" t="str">
        <f>IF(AND(_AC4="A-350",'2023'!$D$4="FO",'2023'!$D$2=BN5),'2023DATA'!$I$4,"")</f>
        <v/>
      </c>
      <c r="BO7" s="518" t="str">
        <f>IF(AND(_AC4="A-350",'2023'!$D$4="FO",'2023'!$D$2=BO5),'2023DATA'!$J$4,"")</f>
        <v/>
      </c>
      <c r="BP7" s="518" t="str">
        <f>IF(AND(_AC4="A-350",'2023'!$D$4="FO",'2023'!$D$2=BP5),'2023DATA'!$K$4,"")</f>
        <v/>
      </c>
      <c r="BQ7" s="518" t="str">
        <f>IF(AND(_AC4="A-350",'2023'!$D$4="FO",'2023'!$D$2=BQ5),'2023DATA'!$L$4,"")</f>
        <v/>
      </c>
      <c r="BR7" s="518" t="str">
        <f>IF(AND(_AC4="A-350",'2023'!$D$4="FO",'2023'!$D$2=BR5),'2023DATA'!$M$4,"")</f>
        <v/>
      </c>
      <c r="BS7" s="520" t="str">
        <f>IF(AND(_AC4="A-350",'2023'!$D$4="FO",'2023'!$D$2=BS5),'2023DATA'!$N$4,"")</f>
        <v/>
      </c>
      <c r="BT7" s="940"/>
      <c r="BU7" s="13" t="s">
        <v>62</v>
      </c>
      <c r="BV7" s="518" t="str">
        <f>IF(AND(_AC5="A-350",'2023'!$D$4="FO",'2023'!$D$2=BV5),'2023DATA'!$C$4,"")</f>
        <v/>
      </c>
      <c r="BW7" s="518" t="str">
        <f>IF(AND(_AC5="A-350",'2023'!$D$4="FO",'2023'!$D$2=BW5),'2023DATA'!$D$4,"")</f>
        <v/>
      </c>
      <c r="BX7" s="518" t="str">
        <f>IF(AND(_AC5="A-350",'2023'!$D$4="FO",'2023'!$D$2=BX5),'2023DATA'!$E$4,"")</f>
        <v/>
      </c>
      <c r="BY7" s="518" t="str">
        <f>IF(AND(_AC5="A-350",'2023'!$D$4="FO",'2023'!$D$2=BY5),'2023DATA'!$F$4,"")</f>
        <v/>
      </c>
      <c r="BZ7" s="518" t="str">
        <f>IF(AND(_AC5="A-350",'2023'!$D$4="FO",'2023'!$D$2=BZ5),'2023DATA'!$G$4,"")</f>
        <v/>
      </c>
      <c r="CA7" s="518" t="str">
        <f>IF(AND(_AC5="A-350",'2023'!$D$4="FO",'2023'!$D$2=CA5),'2023DATA'!$H$4,"")</f>
        <v/>
      </c>
      <c r="CB7" s="518" t="str">
        <f>IF(AND(_AC5="A-350",'2023'!$D$4="FO",'2023'!$D$2=CB5),'2023DATA'!$I$4,"")</f>
        <v/>
      </c>
      <c r="CC7" s="518" t="str">
        <f>IF(AND(_AC5="A-350",'2023'!$D$4="FO",'2023'!$D$2=CC5),'2023DATA'!$J$4,"")</f>
        <v/>
      </c>
      <c r="CD7" s="518" t="str">
        <f>IF(AND(_AC5="A-350",'2023'!$D$4="FO",'2023'!$D$2=CD5),'2023DATA'!$K$4,"")</f>
        <v/>
      </c>
      <c r="CE7" s="518" t="str">
        <f>IF(AND(_AC5="A-350",'2023'!$D$4="FO",'2023'!$D$2=CE5),'2023DATA'!$L$4,"")</f>
        <v/>
      </c>
      <c r="CF7" s="518" t="str">
        <f>IF(AND(_AC5="A-350",'2023'!$D$4="FO",'2023'!$D$2=CF5),'2023DATA'!$M$4,"")</f>
        <v/>
      </c>
      <c r="CG7" s="520" t="str">
        <f>IF(AND(_AC5="A-350",'2023'!$D$4="FO",'2023'!$D$2=CG5),'2023DATA'!$N$4,"")</f>
        <v/>
      </c>
      <c r="CH7" s="940"/>
      <c r="CI7" s="13" t="s">
        <v>62</v>
      </c>
      <c r="CJ7" s="518" t="str">
        <f>IF(AND(_AC6="A-350",'2023'!$D$4="FO",'2023'!$D$2=CJ5),'2023DATA'!$C$4,"")</f>
        <v/>
      </c>
      <c r="CK7" s="518" t="str">
        <f>IF(AND(_AC6="A-350",'2023'!$D$4="FO",'2023'!$D$2=CK5),'2023DATA'!$D$4,"")</f>
        <v/>
      </c>
      <c r="CL7" s="518" t="str">
        <f>IF(AND(_AC6="A-350",'2023'!$D$4="FO",'2023'!$D$2=CL5),'2023DATA'!$E$4,"")</f>
        <v/>
      </c>
      <c r="CM7" s="518" t="str">
        <f>IF(AND(_AC6="A-350",'2023'!$D$4="FO",'2023'!$D$2=CM5),'2023DATA'!$F$4,"")</f>
        <v/>
      </c>
      <c r="CN7" s="518" t="str">
        <f>IF(AND(_AC6="A-350",'2023'!$D$4="FO",'2023'!$D$2=CN5),'2023DATA'!$G$4,"")</f>
        <v/>
      </c>
      <c r="CO7" s="518" t="str">
        <f>IF(AND(_AC6="A-350",'2023'!$D$4="FO",'2023'!$D$2=CO5),'2023DATA'!$H$4,"")</f>
        <v/>
      </c>
      <c r="CP7" s="518" t="str">
        <f>IF(AND(_AC6="A-350",'2023'!$D$4="FO",'2023'!$D$2=CP5),'2023DATA'!$I$4,"")</f>
        <v/>
      </c>
      <c r="CQ7" s="518" t="str">
        <f>IF(AND(_AC6="A-350",'2023'!$D$4="FO",'2023'!$D$2=CQ5),'2023DATA'!$J$4,"")</f>
        <v/>
      </c>
      <c r="CR7" s="518" t="str">
        <f>IF(AND(_AC6="A-350",'2023'!$D$4="FO",'2023'!$D$2=CR5),'2023DATA'!$K$4,"")</f>
        <v/>
      </c>
      <c r="CS7" s="518" t="str">
        <f>IF(AND(_AC6="A-350",'2023'!$D$4="FO",'2023'!$D$2=CS5),'2023DATA'!$L$4,"")</f>
        <v/>
      </c>
      <c r="CT7" s="518" t="str">
        <f>IF(AND(_AC6="A-350",'2023'!$D$4="FO",'2023'!$D$2=CT5),'2023DATA'!$M$4,"")</f>
        <v/>
      </c>
      <c r="CU7" s="520" t="str">
        <f>IF(AND(_AC6="A-350",'2023'!$D$4="FO",'2023'!$D$2=CU5),'2023DATA'!$N$4,"")</f>
        <v/>
      </c>
    </row>
    <row r="8" spans="1:99" x14ac:dyDescent="0.25">
      <c r="A8" s="946"/>
      <c r="B8" s="78" t="s">
        <v>62</v>
      </c>
      <c r="C8" s="25">
        <v>285.22000000000003</v>
      </c>
      <c r="D8" s="26">
        <v>282.62</v>
      </c>
      <c r="E8" s="26">
        <v>280.11</v>
      </c>
      <c r="F8" s="26">
        <v>276.36</v>
      </c>
      <c r="G8" s="26">
        <v>273.38</v>
      </c>
      <c r="H8" s="26">
        <v>267.25</v>
      </c>
      <c r="I8" s="26">
        <v>260.02</v>
      </c>
      <c r="J8" s="26">
        <v>253.59</v>
      </c>
      <c r="K8" s="26">
        <v>247.68</v>
      </c>
      <c r="L8" s="26">
        <v>241.82</v>
      </c>
      <c r="M8" s="26">
        <v>206.65</v>
      </c>
      <c r="N8" s="27">
        <v>108.34</v>
      </c>
      <c r="P8" s="940" t="s">
        <v>65</v>
      </c>
      <c r="Q8" s="13" t="s">
        <v>61</v>
      </c>
      <c r="R8" s="518" t="str">
        <f>IF(AND(_AC1="A-330-900",'2023'!$D$4="CA",'2023'!$D$2=R5),'2023DATA'!$C$5,"")</f>
        <v/>
      </c>
      <c r="S8" s="518" t="str">
        <f>IF(AND(_AC1="A-330-900",'2023'!$D$4="CA",'2023'!$D$2=S5),'2023DATA'!$D$5,"")</f>
        <v/>
      </c>
      <c r="T8" s="518" t="str">
        <f>IF(AND(_AC1="A-330-900",'2023'!$D$4="CA",'2023'!$D$2=T5),'2023DATA'!$E$5,"")</f>
        <v/>
      </c>
      <c r="U8" s="518" t="str">
        <f>IF(AND(_AC1="A-330-900",'2023'!$D$4="CA",'2023'!$D$2=U5),'2023DATA'!$F$5,"")</f>
        <v/>
      </c>
      <c r="V8" s="518" t="str">
        <f>IF(AND(_AC1="A-330-900",'2023'!$D$4="CA",'2023'!$D$2=V5),'2023DATA'!$G$5,"")</f>
        <v/>
      </c>
      <c r="W8" s="518" t="str">
        <f>IF(AND(_AC1="A-330-900",'2023'!$D$4="CA",'2023'!$D$2=W5),'2023DATA'!$H$5,"")</f>
        <v/>
      </c>
      <c r="X8" s="518" t="str">
        <f>IF(AND(_AC1="A-330-900",'2023'!$D$4="CA",'2023'!$D$2=X5),'2023DATA'!$I$5,"")</f>
        <v/>
      </c>
      <c r="Y8" s="518" t="str">
        <f>IF(AND(_AC1="A-330-900",'2023'!$D$4="CA",'2023'!$D$2=Y5),'2023DATA'!$J$5,"")</f>
        <v/>
      </c>
      <c r="Z8" s="518" t="str">
        <f>IF(AND(_AC1="A-330-900",'2023'!$D$4="CA",'2023'!$D$2=Z5),'2023DATA'!$K$5,"")</f>
        <v/>
      </c>
      <c r="AA8" s="518" t="str">
        <f>IF(AND(_AC1="A-330-900",'2023'!$D$4="CA",'2023'!$D$2=AA5),'2023DATA'!$L$5,"")</f>
        <v/>
      </c>
      <c r="AB8" s="518" t="str">
        <f>IF(AND(_AC1="A-330-900",'2023'!$D$4="CA",'2023'!$D$2=AB5),'2023DATA'!$M$5,"")</f>
        <v/>
      </c>
      <c r="AC8" s="520" t="str">
        <f>IF(AND(_AC1="A-330-900",'2023'!$D$4="CA",'2023'!$D$2=AC5),'2023DATA'!$N$5,"")</f>
        <v/>
      </c>
      <c r="AD8" s="940" t="s">
        <v>65</v>
      </c>
      <c r="AE8" s="13" t="s">
        <v>61</v>
      </c>
      <c r="AF8" s="518" t="str">
        <f>IF(AND(_AC2="A-330-900",'2023'!$D$4="CA",'2023'!$D$2=AF5),'2023DATA'!$C$5,"")</f>
        <v/>
      </c>
      <c r="AG8" s="518" t="str">
        <f>IF(AND(_AC2="A-330-900",'2023'!$D$4="CA",'2023'!$D$2=AG5),'2023DATA'!$D$5,"")</f>
        <v/>
      </c>
      <c r="AH8" s="518" t="str">
        <f>IF(AND(_AC2="A-330-900",'2023'!$D$4="CA",'2023'!$D$2=AH5),'2023DATA'!$E$5,"")</f>
        <v/>
      </c>
      <c r="AI8" s="518" t="str">
        <f>IF(AND(_AC2="A-330-900",'2023'!$D$4="CA",'2023'!$D$2=AI5),'2023DATA'!$F$5,"")</f>
        <v/>
      </c>
      <c r="AJ8" s="518" t="str">
        <f>IF(AND(_AC2="A-330-900",'2023'!$D$4="CA",'2023'!$D$2=AJ5),'2023DATA'!$G$5,"")</f>
        <v/>
      </c>
      <c r="AK8" s="518" t="str">
        <f>IF(AND(_AC2="A-330-900",'2023'!$D$4="CA",'2023'!$D$2=AK5),'2023DATA'!$H$5,"")</f>
        <v/>
      </c>
      <c r="AL8" s="518" t="str">
        <f>IF(AND(_AC2="A-330-900",'2023'!$D$4="CA",'2023'!$D$2=AL5),'2023DATA'!$I$5,"")</f>
        <v/>
      </c>
      <c r="AM8" s="518" t="str">
        <f>IF(AND(_AC2="A-330-900",'2023'!$D$4="CA",'2023'!$D$2=AM5),'2023DATA'!$J$5,"")</f>
        <v/>
      </c>
      <c r="AN8" s="518" t="str">
        <f>IF(AND(_AC2="A-330-900",'2023'!$D$4="CA",'2023'!$D$2=AN5),'2023DATA'!$K$5,"")</f>
        <v/>
      </c>
      <c r="AO8" s="518" t="str">
        <f>IF(AND(_AC2="A-330-900",'2023'!$D$4="CA",'2023'!$D$2=AO5),'2023DATA'!$L$5,"")</f>
        <v/>
      </c>
      <c r="AP8" s="518" t="str">
        <f>IF(AND(_AC2="A-330-900",'2023'!$D$4="CA",'2023'!$D$2=AP5),'2023DATA'!$M$5,"")</f>
        <v/>
      </c>
      <c r="AQ8" s="520" t="str">
        <f>IF(AND(_AC2="A-330-900",'2023'!$D$4="CA",'2023'!$D$2=AQ5),'2023DATA'!$N$5,"")</f>
        <v/>
      </c>
      <c r="AR8" s="940" t="s">
        <v>65</v>
      </c>
      <c r="AS8" s="13" t="s">
        <v>61</v>
      </c>
      <c r="AT8" s="518" t="str">
        <f>IF(AND(_AC3="A-330-900",'2023'!$D$4="CA",'2023'!$D$2=AT5),'2023DATA'!$C$5,"")</f>
        <v/>
      </c>
      <c r="AU8" s="518" t="str">
        <f>IF(AND(_AC3="A-330-900",'2023'!$D$4="CA",'2023'!$D$2=AU5),'2023DATA'!$D$5,"")</f>
        <v/>
      </c>
      <c r="AV8" s="518" t="str">
        <f>IF(AND(_AC3="A-330-900",'2023'!$D$4="CA",'2023'!$D$2=AV5),'2023DATA'!$E$5,"")</f>
        <v/>
      </c>
      <c r="AW8" s="518" t="str">
        <f>IF(AND(_AC3="A-330-900",'2023'!$D$4="CA",'2023'!$D$2=AW5),'2023DATA'!$F$5,"")</f>
        <v/>
      </c>
      <c r="AX8" s="518" t="str">
        <f>IF(AND(_AC3="A-330-900",'2023'!$D$4="CA",'2023'!$D$2=AX5),'2023DATA'!$G$5,"")</f>
        <v/>
      </c>
      <c r="AY8" s="518" t="str">
        <f>IF(AND(_AC3="A-330-900",'2023'!$D$4="CA",'2023'!$D$2=AY5),'2023DATA'!$H$5,"")</f>
        <v/>
      </c>
      <c r="AZ8" s="518" t="str">
        <f>IF(AND(_AC3="A-330-900",'2023'!$D$4="CA",'2023'!$D$2=AZ5),'2023DATA'!$I$5,"")</f>
        <v/>
      </c>
      <c r="BA8" s="518" t="str">
        <f>IF(AND(_AC3="A-330-900",'2023'!$D$4="CA",'2023'!$D$2=BA5),'2023DATA'!$J$5,"")</f>
        <v/>
      </c>
      <c r="BB8" s="518" t="str">
        <f>IF(AND(_AC3="A-330-900",'2023'!$D$4="CA",'2023'!$D$2=BB5),'2023DATA'!$K$5,"")</f>
        <v/>
      </c>
      <c r="BC8" s="518" t="str">
        <f>IF(AND(_AC3="A-330-900",'2023'!$D$4="CA",'2023'!$D$2=BC5),'2023DATA'!$L$5,"")</f>
        <v/>
      </c>
      <c r="BD8" s="518" t="str">
        <f>IF(AND(_AC3="A-330-900",'2023'!$D$4="CA",'2023'!$D$2=BD5),'2023DATA'!$M$5,"")</f>
        <v/>
      </c>
      <c r="BE8" s="520" t="str">
        <f>IF(AND(_AC3="A-330-900",'2023'!$D$4="CA",'2023'!$D$2=BE5),'2023DATA'!$N$5,"")</f>
        <v/>
      </c>
      <c r="BF8" s="940" t="s">
        <v>65</v>
      </c>
      <c r="BG8" s="13" t="s">
        <v>61</v>
      </c>
      <c r="BH8" s="518" t="str">
        <f>IF(AND(_AC4="A-330-900",'2023'!$D$4="CA",'2023'!$D$2=BH5),'2023DATA'!$C$5,"")</f>
        <v/>
      </c>
      <c r="BI8" s="518" t="str">
        <f>IF(AND(_AC4="A-330-900",'2023'!$D$4="CA",'2023'!$D$2=BI5),'2023DATA'!$D$5,"")</f>
        <v/>
      </c>
      <c r="BJ8" s="518" t="str">
        <f>IF(AND(_AC4="A-330-900",'2023'!$D$4="CA",'2023'!$D$2=BJ5),'2023DATA'!$E$5,"")</f>
        <v/>
      </c>
      <c r="BK8" s="518" t="str">
        <f>IF(AND(_AC4="A-330-900",'2023'!$D$4="CA",'2023'!$D$2=BK5),'2023DATA'!$F$5,"")</f>
        <v/>
      </c>
      <c r="BL8" s="518" t="str">
        <f>IF(AND(_AC4="A-330-900",'2023'!$D$4="CA",'2023'!$D$2=BL5),'2023DATA'!$G$5,"")</f>
        <v/>
      </c>
      <c r="BM8" s="518" t="str">
        <f>IF(AND(_AC4="A-330-900",'2023'!$D$4="CA",'2023'!$D$2=BM5),'2023DATA'!$H$5,"")</f>
        <v/>
      </c>
      <c r="BN8" s="518" t="str">
        <f>IF(AND(_AC4="A-330-900",'2023'!$D$4="CA",'2023'!$D$2=BN5),'2023DATA'!$I$5,"")</f>
        <v/>
      </c>
      <c r="BO8" s="518" t="str">
        <f>IF(AND(_AC4="A-330-900",'2023'!$D$4="CA",'2023'!$D$2=BO5),'2023DATA'!$J$5,"")</f>
        <v/>
      </c>
      <c r="BP8" s="518" t="str">
        <f>IF(AND(_AC4="A-330-900",'2023'!$D$4="CA",'2023'!$D$2=BP5),'2023DATA'!$K$5,"")</f>
        <v/>
      </c>
      <c r="BQ8" s="518" t="str">
        <f>IF(AND(_AC4="A-330-900",'2023'!$D$4="CA",'2023'!$D$2=BQ5),'2023DATA'!$L$5,"")</f>
        <v/>
      </c>
      <c r="BR8" s="518" t="str">
        <f>IF(AND(_AC4="A-330-900",'2023'!$D$4="CA",'2023'!$D$2=BR5),'2023DATA'!$M$5,"")</f>
        <v/>
      </c>
      <c r="BS8" s="520" t="str">
        <f>IF(AND(_AC4="A-330-900",'2023'!$D$4="CA",'2023'!$D$2=BS5),'2023DATA'!$N$5,"")</f>
        <v/>
      </c>
      <c r="BT8" s="940" t="s">
        <v>65</v>
      </c>
      <c r="BU8" s="13" t="s">
        <v>61</v>
      </c>
      <c r="BV8" s="518" t="str">
        <f>IF(AND(_AC5="A-330-900",'2023'!$D$4="CA",'2023'!$D$2=BV5),'2023DATA'!$C$5,"")</f>
        <v/>
      </c>
      <c r="BW8" s="518" t="str">
        <f>IF(AND(_AC5="A-330-900",'2023'!$D$4="CA",'2023'!$D$2=BW5),'2023DATA'!$D$5,"")</f>
        <v/>
      </c>
      <c r="BX8" s="518" t="str">
        <f>IF(AND(_AC5="A-330-900",'2023'!$D$4="CA",'2023'!$D$2=BX5),'2023DATA'!$E$5,"")</f>
        <v/>
      </c>
      <c r="BY8" s="518" t="str">
        <f>IF(AND(_AC5="A-330-900",'2023'!$D$4="CA",'2023'!$D$2=BY5),'2023DATA'!$F$5,"")</f>
        <v/>
      </c>
      <c r="BZ8" s="518" t="str">
        <f>IF(AND(_AC5="A-330-900",'2023'!$D$4="CA",'2023'!$D$2=BZ5),'2023DATA'!$G$5,"")</f>
        <v/>
      </c>
      <c r="CA8" s="518" t="str">
        <f>IF(AND(_AC5="A-330-900",'2023'!$D$4="CA",'2023'!$D$2=CA5),'2023DATA'!$H$5,"")</f>
        <v/>
      </c>
      <c r="CB8" s="518" t="str">
        <f>IF(AND(_AC5="A-330-900",'2023'!$D$4="CA",'2023'!$D$2=CB5),'2023DATA'!$I$5,"")</f>
        <v/>
      </c>
      <c r="CC8" s="518" t="str">
        <f>IF(AND(_AC5="A-330-900",'2023'!$D$4="CA",'2023'!$D$2=CC5),'2023DATA'!$J$5,"")</f>
        <v/>
      </c>
      <c r="CD8" s="518" t="str">
        <f>IF(AND(_AC5="A-330-900",'2023'!$D$4="CA",'2023'!$D$2=CD5),'2023DATA'!$K$5,"")</f>
        <v/>
      </c>
      <c r="CE8" s="518" t="str">
        <f>IF(AND(_AC5="A-330-900",'2023'!$D$4="CA",'2023'!$D$2=CE5),'2023DATA'!$L$5,"")</f>
        <v/>
      </c>
      <c r="CF8" s="518" t="str">
        <f>IF(AND(_AC5="A-330-900",'2023'!$D$4="CA",'2023'!$D$2=CF5),'2023DATA'!$M$5,"")</f>
        <v/>
      </c>
      <c r="CG8" s="520" t="str">
        <f>IF(AND(_AC5="A-330-900",'2023'!$D$4="CA",'2023'!$D$2=CG5),'2023DATA'!$N$5,"")</f>
        <v/>
      </c>
      <c r="CH8" s="940" t="s">
        <v>65</v>
      </c>
      <c r="CI8" s="13" t="s">
        <v>61</v>
      </c>
      <c r="CJ8" s="518" t="str">
        <f>IF(AND(_AC6="A-330-900",'2023'!$D$4="CA",'2023'!$D$2=CJ5),'2023DATA'!$C$5,"")</f>
        <v/>
      </c>
      <c r="CK8" s="518" t="str">
        <f>IF(AND(_AC6="A-330-900",'2023'!$D$4="CA",'2023'!$D$2=CK5),'2023DATA'!$D$5,"")</f>
        <v/>
      </c>
      <c r="CL8" s="518" t="str">
        <f>IF(AND(_AC6="A-330-900",'2023'!$D$4="CA",'2023'!$D$2=CL5),'2023DATA'!$E$5,"")</f>
        <v/>
      </c>
      <c r="CM8" s="518" t="str">
        <f>IF(AND(_AC6="A-330-900",'2023'!$D$4="CA",'2023'!$D$2=CM5),'2023DATA'!$F$5,"")</f>
        <v/>
      </c>
      <c r="CN8" s="518" t="str">
        <f>IF(AND(_AC6="A-330-900",'2023'!$D$4="CA",'2023'!$D$2=CN5),'2023DATA'!$G$5,"")</f>
        <v/>
      </c>
      <c r="CO8" s="518" t="str">
        <f>IF(AND(_AC6="A-330-900",'2023'!$D$4="CA",'2023'!$D$2=CO5),'2023DATA'!$H$5,"")</f>
        <v/>
      </c>
      <c r="CP8" s="518" t="str">
        <f>IF(AND(_AC6="A-330-900",'2023'!$D$4="CA",'2023'!$D$2=CP5),'2023DATA'!$I$5,"")</f>
        <v/>
      </c>
      <c r="CQ8" s="518" t="str">
        <f>IF(AND(_AC6="A-330-900",'2023'!$D$4="CA",'2023'!$D$2=CQ5),'2023DATA'!$J$5,"")</f>
        <v/>
      </c>
      <c r="CR8" s="518" t="str">
        <f>IF(AND(_AC6="A-330-900",'2023'!$D$4="CA",'2023'!$D$2=CR5),'2023DATA'!$K$5,"")</f>
        <v/>
      </c>
      <c r="CS8" s="518" t="str">
        <f>IF(AND(_AC6="A-330-900",'2023'!$D$4="CA",'2023'!$D$2=CS5),'2023DATA'!$L$5,"")</f>
        <v/>
      </c>
      <c r="CT8" s="518" t="str">
        <f>IF(AND(_AC6="A-330-900",'2023'!$D$4="CA",'2023'!$D$2=CT5),'2023DATA'!$M$5,"")</f>
        <v/>
      </c>
      <c r="CU8" s="520" t="str">
        <f>IF(AND(_AC6="A-330-900",'2023'!$D$4="CA",'2023'!$D$2=CU5),'2023DATA'!$N$5,"")</f>
        <v/>
      </c>
    </row>
    <row r="9" spans="1:99" x14ac:dyDescent="0.25">
      <c r="A9" s="946" t="s">
        <v>66</v>
      </c>
      <c r="B9" s="78" t="s">
        <v>61</v>
      </c>
      <c r="C9" s="25">
        <v>417.54</v>
      </c>
      <c r="D9" s="26">
        <v>414.4</v>
      </c>
      <c r="E9" s="26">
        <v>411.28</v>
      </c>
      <c r="F9" s="26">
        <v>408.16</v>
      </c>
      <c r="G9" s="26">
        <v>405.02</v>
      </c>
      <c r="H9" s="26">
        <v>401.92</v>
      </c>
      <c r="I9" s="26">
        <v>398.78</v>
      </c>
      <c r="J9" s="26">
        <v>395.68</v>
      </c>
      <c r="K9" s="26">
        <v>392.52</v>
      </c>
      <c r="L9" s="26">
        <v>389.39</v>
      </c>
      <c r="M9" s="26">
        <v>386.23</v>
      </c>
      <c r="N9" s="27">
        <v>383.12</v>
      </c>
      <c r="P9" s="940"/>
      <c r="Q9" s="13" t="s">
        <v>62</v>
      </c>
      <c r="R9" s="518" t="str">
        <f>IF(AND(_AC1="A-330-900",'2023'!$D$4="FO",'2023'!$D$2=R5),'2023DATA'!$C$6,"")</f>
        <v/>
      </c>
      <c r="S9" s="518" t="str">
        <f>IF(AND(_AC1="A-330-900",'2023'!$D$4="FO",'2023'!$D$2=S5),'2023DATA'!$D$6,"")</f>
        <v/>
      </c>
      <c r="T9" s="518" t="str">
        <f>IF(AND(_AC1="A-330-900",'2023'!$D$4="FO",'2023'!$D$2=T5),'2023DATA'!$E$6,"")</f>
        <v/>
      </c>
      <c r="U9" s="518" t="str">
        <f>IF(AND(_AC1="A-330-900",'2023'!$D$4="FO",'2023'!$D$2=U5),'2023DATA'!$F$6,"")</f>
        <v/>
      </c>
      <c r="V9" s="518" t="str">
        <f>IF(AND(_AC1="A-330-900",'2023'!$D$4="FO",'2023'!$D$2=V5),'2023DATA'!$G$6,"")</f>
        <v/>
      </c>
      <c r="W9" s="518" t="str">
        <f>IF(AND(_AC1="A-330-900",'2023'!$D$4="FO",'2023'!$D$2=W5),'2023DATA'!$H$6,"")</f>
        <v/>
      </c>
      <c r="X9" s="518" t="str">
        <f>IF(AND(_AC1="A-330-900",'2023'!$D$4="FO",'2023'!$D$2=X5),'2023DATA'!$I$6,"")</f>
        <v/>
      </c>
      <c r="Y9" s="518" t="str">
        <f>IF(AND(_AC1="A-330-900",'2023'!$D$4="FO",'2023'!$D$2=Y5),'2023DATA'!$J$6,"")</f>
        <v/>
      </c>
      <c r="Z9" s="518" t="str">
        <f>IF(AND(_AC1="A-330-900",'2023'!$D$4="FO",'2023'!$D$2=Z5),'2023DATA'!$K$6,"")</f>
        <v/>
      </c>
      <c r="AA9" s="518" t="str">
        <f>IF(AND(_AC1="A-330-900",'2023'!$D$4="FO",'2023'!$D$2=AA5),'2023DATA'!$L$6,"")</f>
        <v/>
      </c>
      <c r="AB9" s="518" t="str">
        <f>IF(AND(_AC1="A-330-900",'2023'!$D$4="FO",'2023'!$D$2=AB5),'2023DATA'!$M$6,"")</f>
        <v/>
      </c>
      <c r="AC9" s="520" t="str">
        <f>IF(AND(_AC1="A-330-900",'2023'!$D$4="FO",'2023'!$D$2=AC5),'2023DATA'!$N$6,"")</f>
        <v/>
      </c>
      <c r="AD9" s="940"/>
      <c r="AE9" s="13" t="s">
        <v>62</v>
      </c>
      <c r="AF9" s="518" t="str">
        <f>IF(AND(_AC2="A-330-900",'2023'!$D$4="FO",'2023'!$D$2=AF5),'2023DATA'!$C$6,"")</f>
        <v/>
      </c>
      <c r="AG9" s="518" t="str">
        <f>IF(AND(_AC2="A-330-900",'2023'!$D$4="FO",'2023'!$D$2=AG5),'2023DATA'!$D$6,"")</f>
        <v/>
      </c>
      <c r="AH9" s="518" t="str">
        <f>IF(AND(_AC2="A-330-900",'2023'!$D$4="FO",'2023'!$D$2=AH5),'2023DATA'!$E$6,"")</f>
        <v/>
      </c>
      <c r="AI9" s="518" t="str">
        <f>IF(AND(_AC2="A-330-900",'2023'!$D$4="FO",'2023'!$D$2=AI5),'2023DATA'!$F$6,"")</f>
        <v/>
      </c>
      <c r="AJ9" s="518" t="str">
        <f>IF(AND(_AC2="A-330-900",'2023'!$D$4="FO",'2023'!$D$2=AJ5),'2023DATA'!$G$6,"")</f>
        <v/>
      </c>
      <c r="AK9" s="518" t="str">
        <f>IF(AND(_AC2="A-330-900",'2023'!$D$4="FO",'2023'!$D$2=AK5),'2023DATA'!$H$6,"")</f>
        <v/>
      </c>
      <c r="AL9" s="518" t="str">
        <f>IF(AND(_AC2="A-330-900",'2023'!$D$4="FO",'2023'!$D$2=AL5),'2023DATA'!$I$6,"")</f>
        <v/>
      </c>
      <c r="AM9" s="518" t="str">
        <f>IF(AND(_AC2="A-330-900",'2023'!$D$4="FO",'2023'!$D$2=AM5),'2023DATA'!$J$6,"")</f>
        <v/>
      </c>
      <c r="AN9" s="518" t="str">
        <f>IF(AND(_AC2="A-330-900",'2023'!$D$4="FO",'2023'!$D$2=AN5),'2023DATA'!$K$6,"")</f>
        <v/>
      </c>
      <c r="AO9" s="518" t="str">
        <f>IF(AND(_AC2="A-330-900",'2023'!$D$4="FO",'2023'!$D$2=AO5),'2023DATA'!$L$6,"")</f>
        <v/>
      </c>
      <c r="AP9" s="518" t="str">
        <f>IF(AND(_AC2="A-330-900",'2023'!$D$4="FO",'2023'!$D$2=AP5),'2023DATA'!$M$6,"")</f>
        <v/>
      </c>
      <c r="AQ9" s="520" t="str">
        <f>IF(AND(_AC2="A-330-900",'2023'!$D$4="FO",'2023'!$D$2=AQ5),'2023DATA'!$N$6,"")</f>
        <v/>
      </c>
      <c r="AR9" s="940"/>
      <c r="AS9" s="13" t="s">
        <v>62</v>
      </c>
      <c r="AT9" s="518" t="str">
        <f>IF(AND(_AC3="A-330-900",'2023'!$D$4="FO",'2023'!$D$2=AT5),'2023DATA'!$C$6,"")</f>
        <v/>
      </c>
      <c r="AU9" s="518" t="str">
        <f>IF(AND(_AC3="A-330-900",'2023'!$D$4="FO",'2023'!$D$2=AU5),'2023DATA'!$D$6,"")</f>
        <v/>
      </c>
      <c r="AV9" s="518" t="str">
        <f>IF(AND(_AC3="A-330-900",'2023'!$D$4="FO",'2023'!$D$2=AV5),'2023DATA'!$E$6,"")</f>
        <v/>
      </c>
      <c r="AW9" s="518" t="str">
        <f>IF(AND(_AC3="A-330-900",'2023'!$D$4="FO",'2023'!$D$2=AW5),'2023DATA'!$F$6,"")</f>
        <v/>
      </c>
      <c r="AX9" s="518" t="str">
        <f>IF(AND(_AC3="A-330-900",'2023'!$D$4="FO",'2023'!$D$2=AX5),'2023DATA'!$G$6,"")</f>
        <v/>
      </c>
      <c r="AY9" s="518" t="str">
        <f>IF(AND(_AC3="A-330-900",'2023'!$D$4="FO",'2023'!$D$2=AY5),'2023DATA'!$H$6,"")</f>
        <v/>
      </c>
      <c r="AZ9" s="518" t="str">
        <f>IF(AND(_AC3="A-330-900",'2023'!$D$4="FO",'2023'!$D$2=AZ5),'2023DATA'!$I$6,"")</f>
        <v/>
      </c>
      <c r="BA9" s="518" t="str">
        <f>IF(AND(_AC3="A-330-900",'2023'!$D$4="FO",'2023'!$D$2=BA5),'2023DATA'!$J$6,"")</f>
        <v/>
      </c>
      <c r="BB9" s="518" t="str">
        <f>IF(AND(_AC3="A-330-900",'2023'!$D$4="FO",'2023'!$D$2=BB5),'2023DATA'!$K$6,"")</f>
        <v/>
      </c>
      <c r="BC9" s="518" t="str">
        <f>IF(AND(_AC3="A-330-900",'2023'!$D$4="FO",'2023'!$D$2=BC5),'2023DATA'!$L$6,"")</f>
        <v/>
      </c>
      <c r="BD9" s="518" t="str">
        <f>IF(AND(_AC3="A-330-900",'2023'!$D$4="FO",'2023'!$D$2=BD5),'2023DATA'!$M$6,"")</f>
        <v/>
      </c>
      <c r="BE9" s="520" t="str">
        <f>IF(AND(_AC3="A-330-900",'2023'!$D$4="FO",'2023'!$D$2=BE5),'2023DATA'!$N$6,"")</f>
        <v/>
      </c>
      <c r="BF9" s="940"/>
      <c r="BG9" s="13" t="s">
        <v>62</v>
      </c>
      <c r="BH9" s="518" t="str">
        <f>IF(AND(_AC4="A-330-900",'2023'!$D$4="FO",'2023'!$D$2=BH5),'2023DATA'!$C$6,"")</f>
        <v/>
      </c>
      <c r="BI9" s="518" t="str">
        <f>IF(AND(_AC4="A-330-900",'2023'!$D$4="FO",'2023'!$D$2=BI5),'2023DATA'!$D$6,"")</f>
        <v/>
      </c>
      <c r="BJ9" s="518" t="str">
        <f>IF(AND(_AC4="A-330-900",'2023'!$D$4="FO",'2023'!$D$2=BJ5),'2023DATA'!$E$6,"")</f>
        <v/>
      </c>
      <c r="BK9" s="518" t="str">
        <f>IF(AND(_AC4="A-330-900",'2023'!$D$4="FO",'2023'!$D$2=BK5),'2023DATA'!$F$6,"")</f>
        <v/>
      </c>
      <c r="BL9" s="518" t="str">
        <f>IF(AND(_AC4="A-330-900",'2023'!$D$4="FO",'2023'!$D$2=BL5),'2023DATA'!$G$6,"")</f>
        <v/>
      </c>
      <c r="BM9" s="518" t="str">
        <f>IF(AND(_AC4="A-330-900",'2023'!$D$4="FO",'2023'!$D$2=BM5),'2023DATA'!$H$6,"")</f>
        <v/>
      </c>
      <c r="BN9" s="518" t="str">
        <f>IF(AND(_AC4="A-330-900",'2023'!$D$4="FO",'2023'!$D$2=BN5),'2023DATA'!$I$6,"")</f>
        <v/>
      </c>
      <c r="BO9" s="518" t="str">
        <f>IF(AND(_AC4="A-330-900",'2023'!$D$4="FO",'2023'!$D$2=BO5),'2023DATA'!$J$6,"")</f>
        <v/>
      </c>
      <c r="BP9" s="518" t="str">
        <f>IF(AND(_AC4="A-330-900",'2023'!$D$4="FO",'2023'!$D$2=BP5),'2023DATA'!$K$6,"")</f>
        <v/>
      </c>
      <c r="BQ9" s="518" t="str">
        <f>IF(AND(_AC4="A-330-900",'2023'!$D$4="FO",'2023'!$D$2=BQ5),'2023DATA'!$L$6,"")</f>
        <v/>
      </c>
      <c r="BR9" s="518" t="str">
        <f>IF(AND(_AC4="A-330-900",'2023'!$D$4="FO",'2023'!$D$2=BR5),'2023DATA'!$M$6,"")</f>
        <v/>
      </c>
      <c r="BS9" s="520" t="str">
        <f>IF(AND(_AC4="A-330-900",'2023'!$D$4="FO",'2023'!$D$2=BS5),'2023DATA'!$N$6,"")</f>
        <v/>
      </c>
      <c r="BT9" s="940"/>
      <c r="BU9" s="13" t="s">
        <v>62</v>
      </c>
      <c r="BV9" s="518" t="str">
        <f>IF(AND(_AC5="A-330-900",'2023'!$D$4="FO",'2023'!$D$2=BV5),'2023DATA'!$C$6,"")</f>
        <v/>
      </c>
      <c r="BW9" s="518" t="str">
        <f>IF(AND(_AC5="A-330-900",'2023'!$D$4="FO",'2023'!$D$2=BW5),'2023DATA'!$D$6,"")</f>
        <v/>
      </c>
      <c r="BX9" s="518" t="str">
        <f>IF(AND(_AC5="A-330-900",'2023'!$D$4="FO",'2023'!$D$2=BX5),'2023DATA'!$E$6,"")</f>
        <v/>
      </c>
      <c r="BY9" s="518" t="str">
        <f>IF(AND(_AC5="A-330-900",'2023'!$D$4="FO",'2023'!$D$2=BY5),'2023DATA'!$F$6,"")</f>
        <v/>
      </c>
      <c r="BZ9" s="518" t="str">
        <f>IF(AND(_AC5="A-330-900",'2023'!$D$4="FO",'2023'!$D$2=BZ5),'2023DATA'!$G$6,"")</f>
        <v/>
      </c>
      <c r="CA9" s="518" t="str">
        <f>IF(AND(_AC5="A-330-900",'2023'!$D$4="FO",'2023'!$D$2=CA5),'2023DATA'!$H$6,"")</f>
        <v/>
      </c>
      <c r="CB9" s="518" t="str">
        <f>IF(AND(_AC5="A-330-900",'2023'!$D$4="FO",'2023'!$D$2=CB5),'2023DATA'!$I$6,"")</f>
        <v/>
      </c>
      <c r="CC9" s="518" t="str">
        <f>IF(AND(_AC5="A-330-900",'2023'!$D$4="FO",'2023'!$D$2=CC5),'2023DATA'!$J$6,"")</f>
        <v/>
      </c>
      <c r="CD9" s="518" t="str">
        <f>IF(AND(_AC5="A-330-900",'2023'!$D$4="FO",'2023'!$D$2=CD5),'2023DATA'!$K$6,"")</f>
        <v/>
      </c>
      <c r="CE9" s="518" t="str">
        <f>IF(AND(_AC5="A-330-900",'2023'!$D$4="FO",'2023'!$D$2=CE5),'2023DATA'!$L$6,"")</f>
        <v/>
      </c>
      <c r="CF9" s="518" t="str">
        <f>IF(AND(_AC5="A-330-900",'2023'!$D$4="FO",'2023'!$D$2=CF5),'2023DATA'!$M$6,"")</f>
        <v/>
      </c>
      <c r="CG9" s="520" t="str">
        <f>IF(AND(_AC5="A-330-900",'2023'!$D$4="FO",'2023'!$D$2=CG5),'2023DATA'!$N$6,"")</f>
        <v/>
      </c>
      <c r="CH9" s="940"/>
      <c r="CI9" s="13" t="s">
        <v>62</v>
      </c>
      <c r="CJ9" s="518" t="str">
        <f>IF(AND(_AC6="A-330-900",'2023'!$D$4="FO",'2023'!$D$2=CJ5),'2023DATA'!$C$6,"")</f>
        <v/>
      </c>
      <c r="CK9" s="518" t="str">
        <f>IF(AND(_AC6="A-330-900",'2023'!$D$4="FO",'2023'!$D$2=CK5),'2023DATA'!$D$6,"")</f>
        <v/>
      </c>
      <c r="CL9" s="518" t="str">
        <f>IF(AND(_AC6="A-330-900",'2023'!$D$4="FO",'2023'!$D$2=CL5),'2023DATA'!$E$6,"")</f>
        <v/>
      </c>
      <c r="CM9" s="518" t="str">
        <f>IF(AND(_AC6="A-330-900",'2023'!$D$4="FO",'2023'!$D$2=CM5),'2023DATA'!$F$6,"")</f>
        <v/>
      </c>
      <c r="CN9" s="518" t="str">
        <f>IF(AND(_AC6="A-330-900",'2023'!$D$4="FO",'2023'!$D$2=CN5),'2023DATA'!$G$6,"")</f>
        <v/>
      </c>
      <c r="CO9" s="518" t="str">
        <f>IF(AND(_AC6="A-330-900",'2023'!$D$4="FO",'2023'!$D$2=CO5),'2023DATA'!$H$6,"")</f>
        <v/>
      </c>
      <c r="CP9" s="518" t="str">
        <f>IF(AND(_AC6="A-330-900",'2023'!$D$4="FO",'2023'!$D$2=CP5),'2023DATA'!$I$6,"")</f>
        <v/>
      </c>
      <c r="CQ9" s="518" t="str">
        <f>IF(AND(_AC6="A-330-900",'2023'!$D$4="FO",'2023'!$D$2=CQ5),'2023DATA'!$J$6,"")</f>
        <v/>
      </c>
      <c r="CR9" s="518" t="str">
        <f>IF(AND(_AC6="A-330-900",'2023'!$D$4="FO",'2023'!$D$2=CR5),'2023DATA'!$K$6,"")</f>
        <v/>
      </c>
      <c r="CS9" s="518" t="str">
        <f>IF(AND(_AC6="A-330-900",'2023'!$D$4="FO",'2023'!$D$2=CS5),'2023DATA'!$L$6,"")</f>
        <v/>
      </c>
      <c r="CT9" s="518" t="str">
        <f>IF(AND(_AC6="A-330-900",'2023'!$D$4="FO",'2023'!$D$2=CT5),'2023DATA'!$M$6,"")</f>
        <v/>
      </c>
      <c r="CU9" s="520" t="str">
        <f>IF(AND(_AC6="A-330-900",'2023'!$D$4="FO",'2023'!$D$2=CU5),'2023DATA'!$N$6,"")</f>
        <v/>
      </c>
    </row>
    <row r="10" spans="1:99" x14ac:dyDescent="0.25">
      <c r="A10" s="946"/>
      <c r="B10" s="78" t="s">
        <v>62</v>
      </c>
      <c r="C10" s="25">
        <v>285.22000000000003</v>
      </c>
      <c r="D10" s="26">
        <v>282.62</v>
      </c>
      <c r="E10" s="26">
        <v>280.11</v>
      </c>
      <c r="F10" s="26">
        <v>276.36</v>
      </c>
      <c r="G10" s="26">
        <v>273.38</v>
      </c>
      <c r="H10" s="26">
        <v>267.25</v>
      </c>
      <c r="I10" s="26">
        <v>260.02</v>
      </c>
      <c r="J10" s="26">
        <v>253.59</v>
      </c>
      <c r="K10" s="26">
        <v>247.68</v>
      </c>
      <c r="L10" s="26">
        <v>241.82</v>
      </c>
      <c r="M10" s="26">
        <v>206.65</v>
      </c>
      <c r="N10" s="27">
        <v>108.34</v>
      </c>
      <c r="P10" s="940" t="s">
        <v>64</v>
      </c>
      <c r="Q10" s="13" t="s">
        <v>61</v>
      </c>
      <c r="R10" s="518" t="str">
        <f>IF(AND(_AC1="A-330-300",'2023'!$D$4="CA",'2023'!$D$2=R5),'2023DATA'!$C$7,"")</f>
        <v/>
      </c>
      <c r="S10" s="518" t="str">
        <f>IF(AND(_AC1="A-330-300",'2023'!$D$4="CA",'2023'!$D$2=S5),'2023DATA'!$D$7,"")</f>
        <v/>
      </c>
      <c r="T10" s="518" t="str">
        <f>IF(AND(_AC1="A-330-300",'2023'!$D$4="CA",'2023'!$D$2=T5),'2023DATA'!$E$7,"")</f>
        <v/>
      </c>
      <c r="U10" s="518" t="str">
        <f>IF(AND(_AC1="A-330-300",'2023'!$D$4="CA",'2023'!$D$2=U5),'2023DATA'!$F$7,"")</f>
        <v/>
      </c>
      <c r="V10" s="518" t="str">
        <f>IF(AND(_AC1="A-330-300",'2023'!$D$4="CA",'2023'!$D$2=V5),'2023DATA'!$G$7,"")</f>
        <v/>
      </c>
      <c r="W10" s="518" t="str">
        <f>IF(AND(_AC1="A-330-300",'2023'!$D$4="CA",'2023'!$D$2=W5),'2023DATA'!$H$7,"")</f>
        <v/>
      </c>
      <c r="X10" s="518" t="str">
        <f>IF(AND(_AC1="A-330-300",'2023'!$D$4="CA",'2023'!$D$2=X5),'2023DATA'!$I$7,"")</f>
        <v/>
      </c>
      <c r="Y10" s="518" t="str">
        <f>IF(AND(_AC1="A-330-300",'2023'!$D$4="CA",'2023'!$D$2=Y5),'2023DATA'!$J$7,"")</f>
        <v/>
      </c>
      <c r="Z10" s="518" t="str">
        <f>IF(AND(_AC1="A-330-300",'2023'!$D$4="CA",'2023'!$D$2=Z5),'2023DATA'!$K$7,"")</f>
        <v/>
      </c>
      <c r="AA10" s="518" t="str">
        <f>IF(AND(_AC1="A-330-300",'2023'!$D$4="CA",'2023'!$D$2=AA5),'2023DATA'!$L$7,"")</f>
        <v/>
      </c>
      <c r="AB10" s="518" t="str">
        <f>IF(AND(_AC1="A-330-300",'2023'!$D$4="CA",'2023'!$D$2=AB5),'2023DATA'!$M$7,"")</f>
        <v/>
      </c>
      <c r="AC10" s="520" t="str">
        <f>IF(AND(_AC1="A-330-300",'2023'!$D$4="CA",'2023'!$D$2=AC5),'2023DATA'!$N$7,"")</f>
        <v/>
      </c>
      <c r="AD10" s="940" t="s">
        <v>64</v>
      </c>
      <c r="AE10" s="13" t="s">
        <v>61</v>
      </c>
      <c r="AF10" s="518" t="str">
        <f>IF(AND(_AC2="A-330-300",'2023'!$D$4="CA",'2023'!$D$2=AF5),'2023DATA'!$C$7,"")</f>
        <v/>
      </c>
      <c r="AG10" s="518" t="str">
        <f>IF(AND(_AC2="A-330-300",'2023'!$D$4="CA",'2023'!$D$2=AG5),'2023DATA'!$D$7,"")</f>
        <v/>
      </c>
      <c r="AH10" s="518" t="str">
        <f>IF(AND(_AC2="A-330-300",'2023'!$D$4="CA",'2023'!$D$2=AH5),'2023DATA'!$E$7,"")</f>
        <v/>
      </c>
      <c r="AI10" s="518" t="str">
        <f>IF(AND(_AC2="A-330-300",'2023'!$D$4="CA",'2023'!$D$2=AI5),'2023DATA'!$F$7,"")</f>
        <v/>
      </c>
      <c r="AJ10" s="518" t="str">
        <f>IF(AND(_AC2="A-330-300",'2023'!$D$4="CA",'2023'!$D$2=AJ5),'2023DATA'!$G$7,"")</f>
        <v/>
      </c>
      <c r="AK10" s="518" t="str">
        <f>IF(AND(_AC2="A-330-300",'2023'!$D$4="CA",'2023'!$D$2=AK5),'2023DATA'!$H$7,"")</f>
        <v/>
      </c>
      <c r="AL10" s="518" t="str">
        <f>IF(AND(_AC2="A-330-300",'2023'!$D$4="CA",'2023'!$D$2=AL5),'2023DATA'!$I$7,"")</f>
        <v/>
      </c>
      <c r="AM10" s="518" t="str">
        <f>IF(AND(_AC2="A-330-300",'2023'!$D$4="CA",'2023'!$D$2=AM5),'2023DATA'!$J$7,"")</f>
        <v/>
      </c>
      <c r="AN10" s="518" t="str">
        <f>IF(AND(_AC2="A-330-300",'2023'!$D$4="CA",'2023'!$D$2=AN5),'2023DATA'!$K$7,"")</f>
        <v/>
      </c>
      <c r="AO10" s="518" t="str">
        <f>IF(AND(_AC2="A-330-300",'2023'!$D$4="CA",'2023'!$D$2=AO5),'2023DATA'!$L$7,"")</f>
        <v/>
      </c>
      <c r="AP10" s="518" t="str">
        <f>IF(AND(_AC2="A-330-300",'2023'!$D$4="CA",'2023'!$D$2=AP5),'2023DATA'!$M$7,"")</f>
        <v/>
      </c>
      <c r="AQ10" s="520" t="str">
        <f>IF(AND(_AC2="A-330-300",'2023'!$D$4="CA",'2023'!$D$2=AQ5),'2023DATA'!$N$7,"")</f>
        <v/>
      </c>
      <c r="AR10" s="940" t="s">
        <v>64</v>
      </c>
      <c r="AS10" s="13" t="s">
        <v>61</v>
      </c>
      <c r="AT10" s="518" t="str">
        <f>IF(AND(_AC3="A-330-300",'2023'!$D$4="CA",'2023'!$D$2=AT5),'2023DATA'!$C$7,"")</f>
        <v/>
      </c>
      <c r="AU10" s="518" t="str">
        <f>IF(AND(_AC3="A-330-300",'2023'!$D$4="CA",'2023'!$D$2=AU5),'2023DATA'!$D$7,"")</f>
        <v/>
      </c>
      <c r="AV10" s="518" t="str">
        <f>IF(AND(_AC3="A-330-300",'2023'!$D$4="CA",'2023'!$D$2=AV5),'2023DATA'!$E$7,"")</f>
        <v/>
      </c>
      <c r="AW10" s="518" t="str">
        <f>IF(AND(_AC3="A-330-300",'2023'!$D$4="CA",'2023'!$D$2=AW5),'2023DATA'!$F$7,"")</f>
        <v/>
      </c>
      <c r="AX10" s="518" t="str">
        <f>IF(AND(_AC3="A-330-300",'2023'!$D$4="CA",'2023'!$D$2=AX5),'2023DATA'!$G$7,"")</f>
        <v/>
      </c>
      <c r="AY10" s="518" t="str">
        <f>IF(AND(_AC3="A-330-300",'2023'!$D$4="CA",'2023'!$D$2=AY5),'2023DATA'!$H$7,"")</f>
        <v/>
      </c>
      <c r="AZ10" s="518" t="str">
        <f>IF(AND(_AC3="A-330-300",'2023'!$D$4="CA",'2023'!$D$2=AZ5),'2023DATA'!$I$7,"")</f>
        <v/>
      </c>
      <c r="BA10" s="518" t="str">
        <f>IF(AND(_AC3="A-330-300",'2023'!$D$4="CA",'2023'!$D$2=BA5),'2023DATA'!$J$7,"")</f>
        <v/>
      </c>
      <c r="BB10" s="518" t="str">
        <f>IF(AND(_AC3="A-330-300",'2023'!$D$4="CA",'2023'!$D$2=BB5),'2023DATA'!$K$7,"")</f>
        <v/>
      </c>
      <c r="BC10" s="518" t="str">
        <f>IF(AND(_AC3="A-330-300",'2023'!$D$4="CA",'2023'!$D$2=BC5),'2023DATA'!$L$7,"")</f>
        <v/>
      </c>
      <c r="BD10" s="518" t="str">
        <f>IF(AND(_AC3="A-330-300",'2023'!$D$4="CA",'2023'!$D$2=BD5),'2023DATA'!$M$7,"")</f>
        <v/>
      </c>
      <c r="BE10" s="520" t="str">
        <f>IF(AND(_AC3="A-330-300",'2023'!$D$4="CA",'2023'!$D$2=BE5),'2023DATA'!$N$7,"")</f>
        <v/>
      </c>
      <c r="BF10" s="940" t="s">
        <v>64</v>
      </c>
      <c r="BG10" s="13" t="s">
        <v>61</v>
      </c>
      <c r="BH10" s="518" t="str">
        <f>IF(AND(_AC4="A-330-300",'2023'!$D$4="CA",'2023'!$D$2=BH5),'2023DATA'!$C$7,"")</f>
        <v/>
      </c>
      <c r="BI10" s="518" t="str">
        <f>IF(AND(_AC4="A-330-300",'2023'!$D$4="CA",'2023'!$D$2=BI5),'2023DATA'!$D$7,"")</f>
        <v/>
      </c>
      <c r="BJ10" s="518" t="str">
        <f>IF(AND(_AC4="A-330-300",'2023'!$D$4="CA",'2023'!$D$2=BJ5),'2023DATA'!$E$7,"")</f>
        <v/>
      </c>
      <c r="BK10" s="518" t="str">
        <f>IF(AND(_AC4="A-330-300",'2023'!$D$4="CA",'2023'!$D$2=BK5),'2023DATA'!$F$7,"")</f>
        <v/>
      </c>
      <c r="BL10" s="518" t="str">
        <f>IF(AND(_AC4="A-330-300",'2023'!$D$4="CA",'2023'!$D$2=BL5),'2023DATA'!$G$7,"")</f>
        <v/>
      </c>
      <c r="BM10" s="518" t="str">
        <f>IF(AND(_AC4="A-330-300",'2023'!$D$4="CA",'2023'!$D$2=BM5),'2023DATA'!$H$7,"")</f>
        <v/>
      </c>
      <c r="BN10" s="518" t="str">
        <f>IF(AND(_AC4="A-330-300",'2023'!$D$4="CA",'2023'!$D$2=BN5),'2023DATA'!$I$7,"")</f>
        <v/>
      </c>
      <c r="BO10" s="518" t="str">
        <f>IF(AND(_AC4="A-330-300",'2023'!$D$4="CA",'2023'!$D$2=BO5),'2023DATA'!$J$7,"")</f>
        <v/>
      </c>
      <c r="BP10" s="518" t="str">
        <f>IF(AND(_AC4="A-330-300",'2023'!$D$4="CA",'2023'!$D$2=BP5),'2023DATA'!$K$7,"")</f>
        <v/>
      </c>
      <c r="BQ10" s="518" t="str">
        <f>IF(AND(_AC4="A-330-300",'2023'!$D$4="CA",'2023'!$D$2=BQ5),'2023DATA'!$L$7,"")</f>
        <v/>
      </c>
      <c r="BR10" s="518" t="str">
        <f>IF(AND(_AC4="A-330-300",'2023'!$D$4="CA",'2023'!$D$2=BR5),'2023DATA'!$M$7,"")</f>
        <v/>
      </c>
      <c r="BS10" s="520" t="str">
        <f>IF(AND(_AC4="A-330-300",'2023'!$D$4="CA",'2023'!$D$2=BS5),'2023DATA'!$N$7,"")</f>
        <v/>
      </c>
      <c r="BT10" s="940" t="s">
        <v>64</v>
      </c>
      <c r="BU10" s="13" t="s">
        <v>61</v>
      </c>
      <c r="BV10" s="518" t="str">
        <f>IF(AND(_AC5="A-330-300",'2023'!$D$4="CA",'2023'!$D$2=BV5),'2023DATA'!$C$7,"")</f>
        <v/>
      </c>
      <c r="BW10" s="518" t="str">
        <f>IF(AND(_AC5="A-330-300",'2023'!$D$4="CA",'2023'!$D$2=BW5),'2023DATA'!$D$7,"")</f>
        <v/>
      </c>
      <c r="BX10" s="518" t="str">
        <f>IF(AND(_AC5="A-330-300",'2023'!$D$4="CA",'2023'!$D$2=BX5),'2023DATA'!$E$7,"")</f>
        <v/>
      </c>
      <c r="BY10" s="518" t="str">
        <f>IF(AND(_AC5="A-330-300",'2023'!$D$4="CA",'2023'!$D$2=BY5),'2023DATA'!$F$7,"")</f>
        <v/>
      </c>
      <c r="BZ10" s="518" t="str">
        <f>IF(AND(_AC5="A-330-300",'2023'!$D$4="CA",'2023'!$D$2=BZ5),'2023DATA'!$G$7,"")</f>
        <v/>
      </c>
      <c r="CA10" s="518" t="str">
        <f>IF(AND(_AC5="A-330-300",'2023'!$D$4="CA",'2023'!$D$2=CA5),'2023DATA'!$H$7,"")</f>
        <v/>
      </c>
      <c r="CB10" s="518" t="str">
        <f>IF(AND(_AC5="A-330-300",'2023'!$D$4="CA",'2023'!$D$2=CB5),'2023DATA'!$I$7,"")</f>
        <v/>
      </c>
      <c r="CC10" s="518" t="str">
        <f>IF(AND(_AC5="A-330-300",'2023'!$D$4="CA",'2023'!$D$2=CC5),'2023DATA'!$J$7,"")</f>
        <v/>
      </c>
      <c r="CD10" s="518" t="str">
        <f>IF(AND(_AC5="A-330-300",'2023'!$D$4="CA",'2023'!$D$2=CD5),'2023DATA'!$K$7,"")</f>
        <v/>
      </c>
      <c r="CE10" s="518" t="str">
        <f>IF(AND(_AC5="A-330-300",'2023'!$D$4="CA",'2023'!$D$2=CE5),'2023DATA'!$L$7,"")</f>
        <v/>
      </c>
      <c r="CF10" s="518" t="str">
        <f>IF(AND(_AC5="A-330-300",'2023'!$D$4="CA",'2023'!$D$2=CF5),'2023DATA'!$M$7,"")</f>
        <v/>
      </c>
      <c r="CG10" s="520" t="str">
        <f>IF(AND(_AC5="A-330-300",'2023'!$D$4="CA",'2023'!$D$2=CG5),'2023DATA'!$N$7,"")</f>
        <v/>
      </c>
      <c r="CH10" s="940" t="s">
        <v>64</v>
      </c>
      <c r="CI10" s="13" t="s">
        <v>61</v>
      </c>
      <c r="CJ10" s="518" t="str">
        <f>IF(AND(_AC6="A-330-300",'2023'!$D$4="CA",'2023'!$D$2=CJ5),'2023DATA'!$C$7,"")</f>
        <v/>
      </c>
      <c r="CK10" s="518" t="str">
        <f>IF(AND(_AC6="A-330-300",'2023'!$D$4="CA",'2023'!$D$2=CK5),'2023DATA'!$D$7,"")</f>
        <v/>
      </c>
      <c r="CL10" s="518" t="str">
        <f>IF(AND(_AC6="A-330-300",'2023'!$D$4="CA",'2023'!$D$2=CL5),'2023DATA'!$E$7,"")</f>
        <v/>
      </c>
      <c r="CM10" s="518" t="str">
        <f>IF(AND(_AC6="A-330-300",'2023'!$D$4="CA",'2023'!$D$2=CM5),'2023DATA'!$F$7,"")</f>
        <v/>
      </c>
      <c r="CN10" s="518" t="str">
        <f>IF(AND(_AC6="A-330-300",'2023'!$D$4="CA",'2023'!$D$2=CN5),'2023DATA'!$G$7,"")</f>
        <v/>
      </c>
      <c r="CO10" s="518" t="str">
        <f>IF(AND(_AC6="A-330-300",'2023'!$D$4="CA",'2023'!$D$2=CO5),'2023DATA'!$H$7,"")</f>
        <v/>
      </c>
      <c r="CP10" s="518" t="str">
        <f>IF(AND(_AC6="A-330-300",'2023'!$D$4="CA",'2023'!$D$2=CP5),'2023DATA'!$I$7,"")</f>
        <v/>
      </c>
      <c r="CQ10" s="518" t="str">
        <f>IF(AND(_AC6="A-330-300",'2023'!$D$4="CA",'2023'!$D$2=CQ5),'2023DATA'!$J$7,"")</f>
        <v/>
      </c>
      <c r="CR10" s="518" t="str">
        <f>IF(AND(_AC6="A-330-300",'2023'!$D$4="CA",'2023'!$D$2=CR5),'2023DATA'!$K$7,"")</f>
        <v/>
      </c>
      <c r="CS10" s="518" t="str">
        <f>IF(AND(_AC6="A-330-300",'2023'!$D$4="CA",'2023'!$D$2=CS5),'2023DATA'!$L$7,"")</f>
        <v/>
      </c>
      <c r="CT10" s="518" t="str">
        <f>IF(AND(_AC6="A-330-300",'2023'!$D$4="CA",'2023'!$D$2=CT5),'2023DATA'!$M$7,"")</f>
        <v/>
      </c>
      <c r="CU10" s="520" t="str">
        <f>IF(AND(_AC6="A-330-300",'2023'!$D$4="CA",'2023'!$D$2=CU5),'2023DATA'!$N$7,"")</f>
        <v/>
      </c>
    </row>
    <row r="11" spans="1:99" x14ac:dyDescent="0.25">
      <c r="A11" s="946" t="s">
        <v>42</v>
      </c>
      <c r="B11" s="78" t="s">
        <v>61</v>
      </c>
      <c r="C11" s="25">
        <v>417.54</v>
      </c>
      <c r="D11" s="26">
        <v>414.4</v>
      </c>
      <c r="E11" s="26">
        <v>411.28</v>
      </c>
      <c r="F11" s="26">
        <v>408.16</v>
      </c>
      <c r="G11" s="26">
        <v>405.02</v>
      </c>
      <c r="H11" s="26">
        <v>401.92</v>
      </c>
      <c r="I11" s="26">
        <v>398.78</v>
      </c>
      <c r="J11" s="26">
        <v>395.68</v>
      </c>
      <c r="K11" s="26">
        <v>392.52</v>
      </c>
      <c r="L11" s="26">
        <v>389.39</v>
      </c>
      <c r="M11" s="26">
        <v>386.23</v>
      </c>
      <c r="N11" s="27">
        <v>383.12</v>
      </c>
      <c r="P11" s="940"/>
      <c r="Q11" s="13" t="s">
        <v>62</v>
      </c>
      <c r="R11" s="518" t="str">
        <f>IF(AND(_AC1="A-330-300",'2023'!$D$4="FO",'2023'!$D$2=R5),'2023DATA'!$C$8,"")</f>
        <v/>
      </c>
      <c r="S11" s="518" t="str">
        <f>IF(AND(_AC1="A-330-300",'2023'!$D$4="FO",'2023'!$D$2=S5),'2023DATA'!$D$8,"")</f>
        <v/>
      </c>
      <c r="T11" s="518" t="str">
        <f>IF(AND(_AC1="A-330-300",'2023'!$D$4="FO",'2023'!$D$2=T5),'2023DATA'!$E$8,"")</f>
        <v/>
      </c>
      <c r="U11" s="518" t="str">
        <f>IF(AND(_AC1="A-330-300",'2023'!$D$4="FO",'2023'!$D$2=U5),'2023DATA'!$F$8,"")</f>
        <v/>
      </c>
      <c r="V11" s="518" t="str">
        <f>IF(AND(_AC1="A-330-300",'2023'!$D$4="FO",'2023'!$D$2=V5),'2023DATA'!$G$8,"")</f>
        <v/>
      </c>
      <c r="W11" s="518" t="str">
        <f>IF(AND(_AC1="A-330-300",'2023'!$D$4="FO",'2023'!$D$2=W5),'2023DATA'!$H$8,"")</f>
        <v/>
      </c>
      <c r="X11" s="518" t="str">
        <f>IF(AND(_AC1="A-330-300",'2023'!$D$4="FO",'2023'!$D$2=X5),'2023DATA'!$I$8,"")</f>
        <v/>
      </c>
      <c r="Y11" s="518" t="str">
        <f>IF(AND(_AC1="A-330-300",'2023'!$D$4="FO",'2023'!$D$2=Y5),'2023DATA'!$J$8,"")</f>
        <v/>
      </c>
      <c r="Z11" s="518" t="str">
        <f>IF(AND(_AC1="A-330-300",'2023'!$D$4="FO",'2023'!$D$2=Z5),'2023DATA'!$K$8,"")</f>
        <v/>
      </c>
      <c r="AA11" s="518" t="str">
        <f>IF(AND(_AC1="A-330-300",'2023'!$D$4="FO",'2023'!$D$2=AA5),'2023DATA'!$L$8,"")</f>
        <v/>
      </c>
      <c r="AB11" s="518" t="str">
        <f>IF(AND(_AC1="A-330-300",'2023'!$D$4="FO",'2023'!$D$2=AB5),'2023DATA'!$M$8,"")</f>
        <v/>
      </c>
      <c r="AC11" s="520" t="str">
        <f>IF(AND(_AC1="A-330-300",'2023'!$D$4="FO",'2023'!$D$2=AC5),'2023DATA'!$N$8,"")</f>
        <v/>
      </c>
      <c r="AD11" s="940"/>
      <c r="AE11" s="13" t="s">
        <v>62</v>
      </c>
      <c r="AF11" s="518" t="str">
        <f>IF(AND(_AC2="A-330-300",'2023'!$D$4="FO",'2023'!$D$2=AF5),'2023DATA'!$C$8,"")</f>
        <v/>
      </c>
      <c r="AG11" s="518" t="str">
        <f>IF(AND(_AC2="A-330-300",'2023'!$D$4="FO",'2023'!$D$2=AG5),'2023DATA'!$D$8,"")</f>
        <v/>
      </c>
      <c r="AH11" s="518" t="str">
        <f>IF(AND(_AC2="A-330-300",'2023'!$D$4="FO",'2023'!$D$2=AH5),'2023DATA'!$E$8,"")</f>
        <v/>
      </c>
      <c r="AI11" s="518" t="str">
        <f>IF(AND(_AC2="A-330-300",'2023'!$D$4="FO",'2023'!$D$2=AI5),'2023DATA'!$F$8,"")</f>
        <v/>
      </c>
      <c r="AJ11" s="518" t="str">
        <f>IF(AND(_AC2="A-330-300",'2023'!$D$4="FO",'2023'!$D$2=AJ5),'2023DATA'!$G$8,"")</f>
        <v/>
      </c>
      <c r="AK11" s="518" t="str">
        <f>IF(AND(_AC2="A-330-300",'2023'!$D$4="FO",'2023'!$D$2=AK5),'2023DATA'!$H$8,"")</f>
        <v/>
      </c>
      <c r="AL11" s="518" t="str">
        <f>IF(AND(_AC2="A-330-300",'2023'!$D$4="FO",'2023'!$D$2=AL5),'2023DATA'!$I$8,"")</f>
        <v/>
      </c>
      <c r="AM11" s="518" t="str">
        <f>IF(AND(_AC2="A-330-300",'2023'!$D$4="FO",'2023'!$D$2=AM5),'2023DATA'!$J$8,"")</f>
        <v/>
      </c>
      <c r="AN11" s="518" t="str">
        <f>IF(AND(_AC2="A-330-300",'2023'!$D$4="FO",'2023'!$D$2=AN5),'2023DATA'!$K$8,"")</f>
        <v/>
      </c>
      <c r="AO11" s="518" t="str">
        <f>IF(AND(_AC2="A-330-300",'2023'!$D$4="FO",'2023'!$D$2=AO5),'2023DATA'!$L$8,"")</f>
        <v/>
      </c>
      <c r="AP11" s="518" t="str">
        <f>IF(AND(_AC2="A-330-300",'2023'!$D$4="FO",'2023'!$D$2=AP5),'2023DATA'!$M$8,"")</f>
        <v/>
      </c>
      <c r="AQ11" s="520" t="str">
        <f>IF(AND(_AC2="A-330-300",'2023'!$D$4="FO",'2023'!$D$2=AQ5),'2023DATA'!$N$8,"")</f>
        <v/>
      </c>
      <c r="AR11" s="940"/>
      <c r="AS11" s="13" t="s">
        <v>62</v>
      </c>
      <c r="AT11" s="518" t="str">
        <f>IF(AND(_AC3="A-330-300",'2023'!$D$4="FO",'2023'!$D$2=AT5),'2023DATA'!$C$8,"")</f>
        <v/>
      </c>
      <c r="AU11" s="518" t="str">
        <f>IF(AND(_AC3="A-330-300",'2023'!$D$4="FO",'2023'!$D$2=AU5),'2023DATA'!$D$8,"")</f>
        <v/>
      </c>
      <c r="AV11" s="518" t="str">
        <f>IF(AND(_AC3="A-330-300",'2023'!$D$4="FO",'2023'!$D$2=AV5),'2023DATA'!$E$8,"")</f>
        <v/>
      </c>
      <c r="AW11" s="518" t="str">
        <f>IF(AND(_AC3="A-330-300",'2023'!$D$4="FO",'2023'!$D$2=AW5),'2023DATA'!$F$8,"")</f>
        <v/>
      </c>
      <c r="AX11" s="518" t="str">
        <f>IF(AND(_AC3="A-330-300",'2023'!$D$4="FO",'2023'!$D$2=AX5),'2023DATA'!$G$8,"")</f>
        <v/>
      </c>
      <c r="AY11" s="518" t="str">
        <f>IF(AND(_AC3="A-330-300",'2023'!$D$4="FO",'2023'!$D$2=AY5),'2023DATA'!$H$8,"")</f>
        <v/>
      </c>
      <c r="AZ11" s="518" t="str">
        <f>IF(AND(_AC3="A-330-300",'2023'!$D$4="FO",'2023'!$D$2=AZ5),'2023DATA'!$I$8,"")</f>
        <v/>
      </c>
      <c r="BA11" s="518" t="str">
        <f>IF(AND(_AC3="A-330-300",'2023'!$D$4="FO",'2023'!$D$2=BA5),'2023DATA'!$J$8,"")</f>
        <v/>
      </c>
      <c r="BB11" s="518" t="str">
        <f>IF(AND(_AC3="A-330-300",'2023'!$D$4="FO",'2023'!$D$2=BB5),'2023DATA'!$K$8,"")</f>
        <v/>
      </c>
      <c r="BC11" s="518" t="str">
        <f>IF(AND(_AC3="A-330-300",'2023'!$D$4="FO",'2023'!$D$2=BC5),'2023DATA'!$L$8,"")</f>
        <v/>
      </c>
      <c r="BD11" s="518" t="str">
        <f>IF(AND(_AC3="A-330-300",'2023'!$D$4="FO",'2023'!$D$2=BD5),'2023DATA'!$M$8,"")</f>
        <v/>
      </c>
      <c r="BE11" s="520" t="str">
        <f>IF(AND(_AC3="A-330-300",'2023'!$D$4="FO",'2023'!$D$2=BE5),'2023DATA'!$N$8,"")</f>
        <v/>
      </c>
      <c r="BF11" s="940"/>
      <c r="BG11" s="13" t="s">
        <v>62</v>
      </c>
      <c r="BH11" s="518" t="str">
        <f>IF(AND(_AC4="A-330-300",'2023'!$D$4="FO",'2023'!$D$2=BH5),'2023DATA'!$C$8,"")</f>
        <v/>
      </c>
      <c r="BI11" s="518" t="str">
        <f>IF(AND(_AC4="A-330-300",'2023'!$D$4="FO",'2023'!$D$2=BI5),'2023DATA'!$D$8,"")</f>
        <v/>
      </c>
      <c r="BJ11" s="518" t="str">
        <f>IF(AND(_AC4="A-330-300",'2023'!$D$4="FO",'2023'!$D$2=BJ5),'2023DATA'!$E$8,"")</f>
        <v/>
      </c>
      <c r="BK11" s="518" t="str">
        <f>IF(AND(_AC4="A-330-300",'2023'!$D$4="FO",'2023'!$D$2=BK5),'2023DATA'!$F$8,"")</f>
        <v/>
      </c>
      <c r="BL11" s="518" t="str">
        <f>IF(AND(_AC4="A-330-300",'2023'!$D$4="FO",'2023'!$D$2=BL5),'2023DATA'!$G$8,"")</f>
        <v/>
      </c>
      <c r="BM11" s="518" t="str">
        <f>IF(AND(_AC4="A-330-300",'2023'!$D$4="FO",'2023'!$D$2=BM5),'2023DATA'!$H$8,"")</f>
        <v/>
      </c>
      <c r="BN11" s="518" t="str">
        <f>IF(AND(_AC4="A-330-300",'2023'!$D$4="FO",'2023'!$D$2=BN5),'2023DATA'!$I$8,"")</f>
        <v/>
      </c>
      <c r="BO11" s="518" t="str">
        <f>IF(AND(_AC4="A-330-300",'2023'!$D$4="FO",'2023'!$D$2=BO5),'2023DATA'!$J$8,"")</f>
        <v/>
      </c>
      <c r="BP11" s="518" t="str">
        <f>IF(AND(_AC4="A-330-300",'2023'!$D$4="FO",'2023'!$D$2=BP5),'2023DATA'!$K$8,"")</f>
        <v/>
      </c>
      <c r="BQ11" s="518" t="str">
        <f>IF(AND(_AC4="A-330-300",'2023'!$D$4="FO",'2023'!$D$2=BQ5),'2023DATA'!$L$8,"")</f>
        <v/>
      </c>
      <c r="BR11" s="518" t="str">
        <f>IF(AND(_AC4="A-330-300",'2023'!$D$4="FO",'2023'!$D$2=BR5),'2023DATA'!$M$8,"")</f>
        <v/>
      </c>
      <c r="BS11" s="520" t="str">
        <f>IF(AND(_AC4="A-330-300",'2023'!$D$4="FO",'2023'!$D$2=BS5),'2023DATA'!$N$8,"")</f>
        <v/>
      </c>
      <c r="BT11" s="940"/>
      <c r="BU11" s="13" t="s">
        <v>62</v>
      </c>
      <c r="BV11" s="518" t="str">
        <f>IF(AND(_AC5="A-330-300",'2023'!$D$4="FO",'2023'!$D$2=BV5),'2023DATA'!$C$8,"")</f>
        <v/>
      </c>
      <c r="BW11" s="518" t="str">
        <f>IF(AND(_AC5="A-330-300",'2023'!$D$4="FO",'2023'!$D$2=BW5),'2023DATA'!$D$8,"")</f>
        <v/>
      </c>
      <c r="BX11" s="518" t="str">
        <f>IF(AND(_AC5="A-330-300",'2023'!$D$4="FO",'2023'!$D$2=BX5),'2023DATA'!$E$8,"")</f>
        <v/>
      </c>
      <c r="BY11" s="518" t="str">
        <f>IF(AND(_AC5="A-330-300",'2023'!$D$4="FO",'2023'!$D$2=BY5),'2023DATA'!$F$8,"")</f>
        <v/>
      </c>
      <c r="BZ11" s="518" t="str">
        <f>IF(AND(_AC5="A-330-300",'2023'!$D$4="FO",'2023'!$D$2=BZ5),'2023DATA'!$G$8,"")</f>
        <v/>
      </c>
      <c r="CA11" s="518" t="str">
        <f>IF(AND(_AC5="A-330-300",'2023'!$D$4="FO",'2023'!$D$2=CA5),'2023DATA'!$H$8,"")</f>
        <v/>
      </c>
      <c r="CB11" s="518" t="str">
        <f>IF(AND(_AC5="A-330-300",'2023'!$D$4="FO",'2023'!$D$2=CB5),'2023DATA'!$I$8,"")</f>
        <v/>
      </c>
      <c r="CC11" s="518" t="str">
        <f>IF(AND(_AC5="A-330-300",'2023'!$D$4="FO",'2023'!$D$2=CC5),'2023DATA'!$J$8,"")</f>
        <v/>
      </c>
      <c r="CD11" s="518" t="str">
        <f>IF(AND(_AC5="A-330-300",'2023'!$D$4="FO",'2023'!$D$2=CD5),'2023DATA'!$K$8,"")</f>
        <v/>
      </c>
      <c r="CE11" s="518" t="str">
        <f>IF(AND(_AC5="A-330-300",'2023'!$D$4="FO",'2023'!$D$2=CE5),'2023DATA'!$L$8,"")</f>
        <v/>
      </c>
      <c r="CF11" s="518" t="str">
        <f>IF(AND(_AC5="A-330-300",'2023'!$D$4="FO",'2023'!$D$2=CF5),'2023DATA'!$M$8,"")</f>
        <v/>
      </c>
      <c r="CG11" s="520" t="str">
        <f>IF(AND(_AC5="A-330-300",'2023'!$D$4="FO",'2023'!$D$2=CG5),'2023DATA'!$N$8,"")</f>
        <v/>
      </c>
      <c r="CH11" s="940"/>
      <c r="CI11" s="13" t="s">
        <v>62</v>
      </c>
      <c r="CJ11" s="518" t="str">
        <f>IF(AND(_AC6="A-330-300",'2023'!$D$4="FO",'2023'!$D$2=CJ5),'2023DATA'!$C$8,"")</f>
        <v/>
      </c>
      <c r="CK11" s="518" t="str">
        <f>IF(AND(_AC6="A-330-300",'2023'!$D$4="FO",'2023'!$D$2=CK5),'2023DATA'!$D$8,"")</f>
        <v/>
      </c>
      <c r="CL11" s="518" t="str">
        <f>IF(AND(_AC6="A-330-300",'2023'!$D$4="FO",'2023'!$D$2=CL5),'2023DATA'!$E$8,"")</f>
        <v/>
      </c>
      <c r="CM11" s="518" t="str">
        <f>IF(AND(_AC6="A-330-300",'2023'!$D$4="FO",'2023'!$D$2=CM5),'2023DATA'!$F$8,"")</f>
        <v/>
      </c>
      <c r="CN11" s="518" t="str">
        <f>IF(AND(_AC6="A-330-300",'2023'!$D$4="FO",'2023'!$D$2=CN5),'2023DATA'!$G$8,"")</f>
        <v/>
      </c>
      <c r="CO11" s="518" t="str">
        <f>IF(AND(_AC6="A-330-300",'2023'!$D$4="FO",'2023'!$D$2=CO5),'2023DATA'!$H$8,"")</f>
        <v/>
      </c>
      <c r="CP11" s="518" t="str">
        <f>IF(AND(_AC6="A-330-300",'2023'!$D$4="FO",'2023'!$D$2=CP5),'2023DATA'!$I$8,"")</f>
        <v/>
      </c>
      <c r="CQ11" s="518" t="str">
        <f>IF(AND(_AC6="A-330-300",'2023'!$D$4="FO",'2023'!$D$2=CQ5),'2023DATA'!$J$8,"")</f>
        <v/>
      </c>
      <c r="CR11" s="518" t="str">
        <f>IF(AND(_AC6="A-330-300",'2023'!$D$4="FO",'2023'!$D$2=CR5),'2023DATA'!$K$8,"")</f>
        <v/>
      </c>
      <c r="CS11" s="518" t="str">
        <f>IF(AND(_AC6="A-330-300",'2023'!$D$4="FO",'2023'!$D$2=CS5),'2023DATA'!$L$8,"")</f>
        <v/>
      </c>
      <c r="CT11" s="518" t="str">
        <f>IF(AND(_AC6="A-330-300",'2023'!$D$4="FO",'2023'!$D$2=CT5),'2023DATA'!$M$8,"")</f>
        <v/>
      </c>
      <c r="CU11" s="520" t="str">
        <f>IF(AND(_AC6="A-330-300",'2023'!$D$4="FO",'2023'!$D$2=CU5),'2023DATA'!$N$8,"")</f>
        <v/>
      </c>
    </row>
    <row r="12" spans="1:99" x14ac:dyDescent="0.25">
      <c r="A12" s="946"/>
      <c r="B12" s="78" t="s">
        <v>62</v>
      </c>
      <c r="C12" s="25">
        <v>285.22000000000003</v>
      </c>
      <c r="D12" s="26">
        <v>282.62</v>
      </c>
      <c r="E12" s="26">
        <v>280.11</v>
      </c>
      <c r="F12" s="26">
        <v>276.36</v>
      </c>
      <c r="G12" s="26">
        <v>273.38</v>
      </c>
      <c r="H12" s="26">
        <v>267.25</v>
      </c>
      <c r="I12" s="26">
        <v>260.02</v>
      </c>
      <c r="J12" s="26">
        <v>253.59</v>
      </c>
      <c r="K12" s="26">
        <v>247.68</v>
      </c>
      <c r="L12" s="26">
        <v>241.82</v>
      </c>
      <c r="M12" s="26">
        <v>206.65</v>
      </c>
      <c r="N12" s="27">
        <v>108.34</v>
      </c>
      <c r="P12" s="940" t="s">
        <v>66</v>
      </c>
      <c r="Q12" s="13" t="s">
        <v>61</v>
      </c>
      <c r="R12" s="518" t="str">
        <f>IF(AND(_AC1="A-330-200",'2023'!$D$4="CA",'2023'!$D$2=R5),'2023DATA'!$C$9,"")</f>
        <v/>
      </c>
      <c r="S12" s="518" t="str">
        <f>IF(AND(_AC1="A-330-200",'2023'!$D$4="CA",'2023'!$D$2=S5),'2023DATA'!$D$9,"")</f>
        <v/>
      </c>
      <c r="T12" s="518" t="str">
        <f>IF(AND(_AC1="A-330-200",'2023'!$D$4="CA",'2023'!$D$2=T5),'2023DATA'!$E$9,"")</f>
        <v/>
      </c>
      <c r="U12" s="518" t="str">
        <f>IF(AND(_AC1="A-330-200",'2023'!$D$4="CA",'2023'!$D$2=U5),'2023DATA'!$F$9,"")</f>
        <v/>
      </c>
      <c r="V12" s="518" t="str">
        <f>IF(AND(_AC1="A-330-200",'2023'!$D$4="CA",'2023'!$D$2=V5),'2023DATA'!$G$9,"")</f>
        <v/>
      </c>
      <c r="W12" s="518" t="str">
        <f>IF(AND(_AC1="A-330-200",'2023'!$D$4="CA",'2023'!$D$2=W5),'2023DATA'!$H$9,"")</f>
        <v/>
      </c>
      <c r="X12" s="518" t="str">
        <f>IF(AND(_AC1="A-330-200",'2023'!$D$4="CA",'2023'!$D$2=X5),'2023DATA'!$I$9,"")</f>
        <v/>
      </c>
      <c r="Y12" s="518" t="str">
        <f>IF(AND(_AC1="A-330-200",'2023'!$D$4="CA",'2023'!$D$2=Y5),'2023DATA'!$J$9,"")</f>
        <v/>
      </c>
      <c r="Z12" s="518" t="str">
        <f>IF(AND(_AC1="A-330-200",'2023'!$D$4="CA",'2023'!$D$2=Z5),'2023DATA'!$K$9,"")</f>
        <v/>
      </c>
      <c r="AA12" s="518" t="str">
        <f>IF(AND(_AC1="A-330-200",'2023'!$D$4="CA",'2023'!$D$2=AA5),'2023DATA'!$L$9,"")</f>
        <v/>
      </c>
      <c r="AB12" s="518" t="str">
        <f>IF(AND(_AC1="A-330-200",'2023'!$D$4="CA",'2023'!$D$2=AB5),'2023DATA'!$M$9,"")</f>
        <v/>
      </c>
      <c r="AC12" s="520" t="str">
        <f>IF(AND(_AC1="A-330-200",'2023'!$D$4="CA",'2023'!$D$2=AC5),'2023DATA'!$N$9,"")</f>
        <v/>
      </c>
      <c r="AD12" s="940" t="s">
        <v>66</v>
      </c>
      <c r="AE12" s="13" t="s">
        <v>61</v>
      </c>
      <c r="AF12" s="518" t="str">
        <f>IF(AND(_AC2="A-330-200",'2023'!$D$4="CA",'2023'!$D$2=AF5),'2023DATA'!$C$9,"")</f>
        <v/>
      </c>
      <c r="AG12" s="518" t="str">
        <f>IF(AND(_AC2="A-330-200",'2023'!$D$4="CA",'2023'!$D$2=AG5),'2023DATA'!$D$9,"")</f>
        <v/>
      </c>
      <c r="AH12" s="518" t="str">
        <f>IF(AND(_AC2="A-330-200",'2023'!$D$4="CA",'2023'!$D$2=AH5),'2023DATA'!$E$9,"")</f>
        <v/>
      </c>
      <c r="AI12" s="518" t="str">
        <f>IF(AND(_AC2="A-330-200",'2023'!$D$4="CA",'2023'!$D$2=AI5),'2023DATA'!$F$9,"")</f>
        <v/>
      </c>
      <c r="AJ12" s="518" t="str">
        <f>IF(AND(_AC2="A-330-200",'2023'!$D$4="CA",'2023'!$D$2=AJ5),'2023DATA'!$G$9,"")</f>
        <v/>
      </c>
      <c r="AK12" s="518" t="str">
        <f>IF(AND(_AC2="A-330-200",'2023'!$D$4="CA",'2023'!$D$2=AK5),'2023DATA'!$H$9,"")</f>
        <v/>
      </c>
      <c r="AL12" s="518" t="str">
        <f>IF(AND(_AC2="A-330-200",'2023'!$D$4="CA",'2023'!$D$2=AL5),'2023DATA'!$I$9,"")</f>
        <v/>
      </c>
      <c r="AM12" s="518" t="str">
        <f>IF(AND(_AC2="A-330-200",'2023'!$D$4="CA",'2023'!$D$2=AM5),'2023DATA'!$J$9,"")</f>
        <v/>
      </c>
      <c r="AN12" s="518" t="str">
        <f>IF(AND(_AC2="A-330-200",'2023'!$D$4="CA",'2023'!$D$2=AN5),'2023DATA'!$K$9,"")</f>
        <v/>
      </c>
      <c r="AO12" s="518" t="str">
        <f>IF(AND(_AC2="A-330-200",'2023'!$D$4="CA",'2023'!$D$2=AO5),'2023DATA'!$L$9,"")</f>
        <v/>
      </c>
      <c r="AP12" s="518" t="str">
        <f>IF(AND(_AC2="A-330-200",'2023'!$D$4="CA",'2023'!$D$2=AP5),'2023DATA'!$M$9,"")</f>
        <v/>
      </c>
      <c r="AQ12" s="520" t="str">
        <f>IF(AND(_AC2="A-330-200",'2023'!$D$4="CA",'2023'!$D$2=AQ5),'2023DATA'!$N$9,"")</f>
        <v/>
      </c>
      <c r="AR12" s="940" t="s">
        <v>66</v>
      </c>
      <c r="AS12" s="13" t="s">
        <v>61</v>
      </c>
      <c r="AT12" s="518" t="str">
        <f>IF(AND(_AC3="A-330-200",'2023'!$D$4="CA",'2023'!$D$2=AT5),'2023DATA'!$C$9,"")</f>
        <v/>
      </c>
      <c r="AU12" s="518" t="str">
        <f>IF(AND(_AC3="A-330-200",'2023'!$D$4="CA",'2023'!$D$2=AU5),'2023DATA'!$D$9,"")</f>
        <v/>
      </c>
      <c r="AV12" s="518" t="str">
        <f>IF(AND(_AC3="A-330-200",'2023'!$D$4="CA",'2023'!$D$2=AV5),'2023DATA'!$E$9,"")</f>
        <v/>
      </c>
      <c r="AW12" s="518" t="str">
        <f>IF(AND(_AC3="A-330-200",'2023'!$D$4="CA",'2023'!$D$2=AW5),'2023DATA'!$F$9,"")</f>
        <v/>
      </c>
      <c r="AX12" s="518" t="str">
        <f>IF(AND(_AC3="A-330-200",'2023'!$D$4="CA",'2023'!$D$2=AX5),'2023DATA'!$G$9,"")</f>
        <v/>
      </c>
      <c r="AY12" s="518" t="str">
        <f>IF(AND(_AC3="A-330-200",'2023'!$D$4="CA",'2023'!$D$2=AY5),'2023DATA'!$H$9,"")</f>
        <v/>
      </c>
      <c r="AZ12" s="518" t="str">
        <f>IF(AND(_AC3="A-330-200",'2023'!$D$4="CA",'2023'!$D$2=AZ5),'2023DATA'!$I$9,"")</f>
        <v/>
      </c>
      <c r="BA12" s="518" t="str">
        <f>IF(AND(_AC3="A-330-200",'2023'!$D$4="CA",'2023'!$D$2=BA5),'2023DATA'!$J$9,"")</f>
        <v/>
      </c>
      <c r="BB12" s="518" t="str">
        <f>IF(AND(_AC3="A-330-200",'2023'!$D$4="CA",'2023'!$D$2=BB5),'2023DATA'!$K$9,"")</f>
        <v/>
      </c>
      <c r="BC12" s="518" t="str">
        <f>IF(AND(_AC3="A-330-200",'2023'!$D$4="CA",'2023'!$D$2=BC5),'2023DATA'!$L$9,"")</f>
        <v/>
      </c>
      <c r="BD12" s="518" t="str">
        <f>IF(AND(_AC3="A-330-200",'2023'!$D$4="CA",'2023'!$D$2=BD5),'2023DATA'!$M$9,"")</f>
        <v/>
      </c>
      <c r="BE12" s="520" t="str">
        <f>IF(AND(_AC3="A-330-200",'2023'!$D$4="CA",'2023'!$D$2=BE5),'2023DATA'!$N$9,"")</f>
        <v/>
      </c>
      <c r="BF12" s="940" t="s">
        <v>66</v>
      </c>
      <c r="BG12" s="13" t="s">
        <v>61</v>
      </c>
      <c r="BH12" s="518" t="str">
        <f>IF(AND(_AC4="A-330-200",'2023'!$D$4="CA",'2023'!$D$2=BH5),'2023DATA'!$C$9,"")</f>
        <v/>
      </c>
      <c r="BI12" s="518" t="str">
        <f>IF(AND(_AC4="A-330-200",'2023'!$D$4="CA",'2023'!$D$2=BI5),'2023DATA'!$D$9,"")</f>
        <v/>
      </c>
      <c r="BJ12" s="518" t="str">
        <f>IF(AND(_AC4="A-330-200",'2023'!$D$4="CA",'2023'!$D$2=BJ5),'2023DATA'!$E$9,"")</f>
        <v/>
      </c>
      <c r="BK12" s="518" t="str">
        <f>IF(AND(_AC4="A-330-200",'2023'!$D$4="CA",'2023'!$D$2=BK5),'2023DATA'!$F$9,"")</f>
        <v/>
      </c>
      <c r="BL12" s="518" t="str">
        <f>IF(AND(_AC4="A-330-200",'2023'!$D$4="CA",'2023'!$D$2=BL5),'2023DATA'!$G$9,"")</f>
        <v/>
      </c>
      <c r="BM12" s="518" t="str">
        <f>IF(AND(_AC4="A-330-200",'2023'!$D$4="CA",'2023'!$D$2=BM5),'2023DATA'!$H$9,"")</f>
        <v/>
      </c>
      <c r="BN12" s="518" t="str">
        <f>IF(AND(_AC4="A-330-200",'2023'!$D$4="CA",'2023'!$D$2=BN5),'2023DATA'!$I$9,"")</f>
        <v/>
      </c>
      <c r="BO12" s="518" t="str">
        <f>IF(AND(_AC4="A-330-200",'2023'!$D$4="CA",'2023'!$D$2=BO5),'2023DATA'!$J$9,"")</f>
        <v/>
      </c>
      <c r="BP12" s="518" t="str">
        <f>IF(AND(_AC4="A-330-200",'2023'!$D$4="CA",'2023'!$D$2=BP5),'2023DATA'!$K$9,"")</f>
        <v/>
      </c>
      <c r="BQ12" s="518" t="str">
        <f>IF(AND(_AC4="A-330-200",'2023'!$D$4="CA",'2023'!$D$2=BQ5),'2023DATA'!$L$9,"")</f>
        <v/>
      </c>
      <c r="BR12" s="518" t="str">
        <f>IF(AND(_AC4="A-330-200",'2023'!$D$4="CA",'2023'!$D$2=BR5),'2023DATA'!$M$9,"")</f>
        <v/>
      </c>
      <c r="BS12" s="520" t="str">
        <f>IF(AND(_AC4="A-330-200",'2023'!$D$4="CA",'2023'!$D$2=BS5),'2023DATA'!$N$9,"")</f>
        <v/>
      </c>
      <c r="BT12" s="940" t="s">
        <v>66</v>
      </c>
      <c r="BU12" s="13" t="s">
        <v>61</v>
      </c>
      <c r="BV12" s="518" t="str">
        <f>IF(AND(_AC5="A-330-200",'2023'!$D$4="CA",'2023'!$D$2=BV5),'2023DATA'!$C$9,"")</f>
        <v/>
      </c>
      <c r="BW12" s="518" t="str">
        <f>IF(AND(_AC5="A-330-200",'2023'!$D$4="CA",'2023'!$D$2=BW5),'2023DATA'!$D$9,"")</f>
        <v/>
      </c>
      <c r="BX12" s="518" t="str">
        <f>IF(AND(_AC5="A-330-200",'2023'!$D$4="CA",'2023'!$D$2=BX5),'2023DATA'!$E$9,"")</f>
        <v/>
      </c>
      <c r="BY12" s="518" t="str">
        <f>IF(AND(_AC5="A-330-200",'2023'!$D$4="CA",'2023'!$D$2=BY5),'2023DATA'!$F$9,"")</f>
        <v/>
      </c>
      <c r="BZ12" s="518" t="str">
        <f>IF(AND(_AC5="A-330-200",'2023'!$D$4="CA",'2023'!$D$2=BZ5),'2023DATA'!$G$9,"")</f>
        <v/>
      </c>
      <c r="CA12" s="518" t="str">
        <f>IF(AND(_AC5="A-330-200",'2023'!$D$4="CA",'2023'!$D$2=CA5),'2023DATA'!$H$9,"")</f>
        <v/>
      </c>
      <c r="CB12" s="518" t="str">
        <f>IF(AND(_AC5="A-330-200",'2023'!$D$4="CA",'2023'!$D$2=CB5),'2023DATA'!$I$9,"")</f>
        <v/>
      </c>
      <c r="CC12" s="518" t="str">
        <f>IF(AND(_AC5="A-330-200",'2023'!$D$4="CA",'2023'!$D$2=CC5),'2023DATA'!$J$9,"")</f>
        <v/>
      </c>
      <c r="CD12" s="518" t="str">
        <f>IF(AND(_AC5="A-330-200",'2023'!$D$4="CA",'2023'!$D$2=CD5),'2023DATA'!$K$9,"")</f>
        <v/>
      </c>
      <c r="CE12" s="518" t="str">
        <f>IF(AND(_AC5="A-330-200",'2023'!$D$4="CA",'2023'!$D$2=CE5),'2023DATA'!$L$9,"")</f>
        <v/>
      </c>
      <c r="CF12" s="518" t="str">
        <f>IF(AND(_AC5="A-330-200",'2023'!$D$4="CA",'2023'!$D$2=CF5),'2023DATA'!$M$9,"")</f>
        <v/>
      </c>
      <c r="CG12" s="520" t="str">
        <f>IF(AND(_AC5="A-330-200",'2023'!$D$4="CA",'2023'!$D$2=CG5),'2023DATA'!$N$9,"")</f>
        <v/>
      </c>
      <c r="CH12" s="940" t="s">
        <v>66</v>
      </c>
      <c r="CI12" s="13" t="s">
        <v>61</v>
      </c>
      <c r="CJ12" s="518" t="str">
        <f>IF(AND(_AC6="A-330-200",'2023'!$D$4="CA",'2023'!$D$2=CJ5),'2023DATA'!$C$9,"")</f>
        <v/>
      </c>
      <c r="CK12" s="518" t="str">
        <f>IF(AND(_AC6="A-330-200",'2023'!$D$4="CA",'2023'!$D$2=CK5),'2023DATA'!$D$9,"")</f>
        <v/>
      </c>
      <c r="CL12" s="518" t="str">
        <f>IF(AND(_AC6="A-330-200",'2023'!$D$4="CA",'2023'!$D$2=CL5),'2023DATA'!$E$9,"")</f>
        <v/>
      </c>
      <c r="CM12" s="518" t="str">
        <f>IF(AND(_AC6="A-330-200",'2023'!$D$4="CA",'2023'!$D$2=CM5),'2023DATA'!$F$9,"")</f>
        <v/>
      </c>
      <c r="CN12" s="518" t="str">
        <f>IF(AND(_AC6="A-330-200",'2023'!$D$4="CA",'2023'!$D$2=CN5),'2023DATA'!$G$9,"")</f>
        <v/>
      </c>
      <c r="CO12" s="518" t="str">
        <f>IF(AND(_AC6="A-330-200",'2023'!$D$4="CA",'2023'!$D$2=CO5),'2023DATA'!$H$9,"")</f>
        <v/>
      </c>
      <c r="CP12" s="518" t="str">
        <f>IF(AND(_AC6="A-330-200",'2023'!$D$4="CA",'2023'!$D$2=CP5),'2023DATA'!$I$9,"")</f>
        <v/>
      </c>
      <c r="CQ12" s="518" t="str">
        <f>IF(AND(_AC6="A-330-200",'2023'!$D$4="CA",'2023'!$D$2=CQ5),'2023DATA'!$J$9,"")</f>
        <v/>
      </c>
      <c r="CR12" s="518" t="str">
        <f>IF(AND(_AC6="A-330-200",'2023'!$D$4="CA",'2023'!$D$2=CR5),'2023DATA'!$K$9,"")</f>
        <v/>
      </c>
      <c r="CS12" s="518" t="str">
        <f>IF(AND(_AC6="A-330-200",'2023'!$D$4="CA",'2023'!$D$2=CS5),'2023DATA'!$L$9,"")</f>
        <v/>
      </c>
      <c r="CT12" s="518" t="str">
        <f>IF(AND(_AC6="A-330-200",'2023'!$D$4="CA",'2023'!$D$2=CT5),'2023DATA'!$M$9,"")</f>
        <v/>
      </c>
      <c r="CU12" s="520" t="str">
        <f>IF(AND(_AC6="A-330-200",'2023'!$D$4="CA",'2023'!$D$2=CU5),'2023DATA'!$N$9,"")</f>
        <v/>
      </c>
    </row>
    <row r="13" spans="1:99" x14ac:dyDescent="0.25">
      <c r="A13" s="946" t="s">
        <v>43</v>
      </c>
      <c r="B13" s="78" t="s">
        <v>61</v>
      </c>
      <c r="C13" s="25">
        <v>349.5</v>
      </c>
      <c r="D13" s="26">
        <v>345.93</v>
      </c>
      <c r="E13" s="26">
        <v>342.25</v>
      </c>
      <c r="F13" s="26">
        <v>338.61</v>
      </c>
      <c r="G13" s="26">
        <v>336.22</v>
      </c>
      <c r="H13" s="26">
        <v>333.46</v>
      </c>
      <c r="I13" s="26">
        <v>331.01</v>
      </c>
      <c r="J13" s="26">
        <v>328.45</v>
      </c>
      <c r="K13" s="26">
        <v>325.68</v>
      </c>
      <c r="L13" s="26">
        <v>323.06</v>
      </c>
      <c r="M13" s="26">
        <v>320.45999999999998</v>
      </c>
      <c r="N13" s="27">
        <v>317.76</v>
      </c>
      <c r="P13" s="940"/>
      <c r="Q13" s="13" t="s">
        <v>62</v>
      </c>
      <c r="R13" s="518" t="str">
        <f>IF(AND(_AC1="A-330-200",'2023'!$D$4="FO",'2023'!$D$2=R5),'2023DATA'!$C$10,"")</f>
        <v/>
      </c>
      <c r="S13" s="518" t="str">
        <f>IF(AND(_AC1="A-330-200",'2023'!$D$4="FO",'2023'!$D$2=S5),'2023DATA'!$D$10,"")</f>
        <v/>
      </c>
      <c r="T13" s="518" t="str">
        <f>IF(AND(_AC1="A-330-200",'2023'!$D$4="FO",'2023'!$D$2=T5),'2023DATA'!$E$10,"")</f>
        <v/>
      </c>
      <c r="U13" s="518" t="str">
        <f>IF(AND(_AC1="A-330-200",'2023'!$D$4="FO",'2023'!$D$2=U5),'2023DATA'!$F$10,"")</f>
        <v/>
      </c>
      <c r="V13" s="518" t="str">
        <f>IF(AND(_AC1="A-330-200",'2023'!$D$4="FO",'2023'!$D$2=V5),'2023DATA'!$G$10,"")</f>
        <v/>
      </c>
      <c r="W13" s="518" t="str">
        <f>IF(AND(_AC1="A-330-200",'2023'!$D$4="FO",'2023'!$D$2=W5),'2023DATA'!$H$10,"")</f>
        <v/>
      </c>
      <c r="X13" s="518" t="str">
        <f>IF(AND(_AC1="A-330-200",'2023'!$D$4="FO",'2023'!$D$2=X5),'2023DATA'!$I$10,"")</f>
        <v/>
      </c>
      <c r="Y13" s="518" t="str">
        <f>IF(AND(_AC1="A-330-200",'2023'!$D$4="FO",'2023'!$D$2=Y5),'2023DATA'!$J$10,"")</f>
        <v/>
      </c>
      <c r="Z13" s="518" t="str">
        <f>IF(AND(_AC1="A-330-200",'2023'!$D$4="FO",'2023'!$D$2=Z5),'2023DATA'!$K$10,"")</f>
        <v/>
      </c>
      <c r="AA13" s="518" t="str">
        <f>IF(AND(_AC1="A-330-200",'2023'!$D$4="FO",'2023'!$D$2=AA5),'2023DATA'!$L$10,"")</f>
        <v/>
      </c>
      <c r="AB13" s="518" t="str">
        <f>IF(AND(_AC1="A-330-200",'2023'!$D$4="FO",'2023'!$D$2=AB5),'2023DATA'!$M$10,"")</f>
        <v/>
      </c>
      <c r="AC13" s="520" t="str">
        <f>IF(AND(_AC1="A-330-200",'2023'!$D$4="FO",'2023'!$D$2=AC5),'2023DATA'!$N$10,"")</f>
        <v/>
      </c>
      <c r="AD13" s="940"/>
      <c r="AE13" s="13" t="s">
        <v>62</v>
      </c>
      <c r="AF13" s="518" t="str">
        <f>IF(AND(_AC2="A-330-200",'2023'!$D$4="FO",'2023'!$D$2=AF5),'2023DATA'!$C$10,"")</f>
        <v/>
      </c>
      <c r="AG13" s="518" t="str">
        <f>IF(AND(_AC2="A-330-200",'2023'!$D$4="FO",'2023'!$D$2=AG5),'2023DATA'!$D$10,"")</f>
        <v/>
      </c>
      <c r="AH13" s="518" t="str">
        <f>IF(AND(_AC2="A-330-200",'2023'!$D$4="FO",'2023'!$D$2=AH5),'2023DATA'!$E$10,"")</f>
        <v/>
      </c>
      <c r="AI13" s="518" t="str">
        <f>IF(AND(_AC2="A-330-200",'2023'!$D$4="FO",'2023'!$D$2=AI5),'2023DATA'!$F$10,"")</f>
        <v/>
      </c>
      <c r="AJ13" s="518" t="str">
        <f>IF(AND(_AC2="A-330-200",'2023'!$D$4="FO",'2023'!$D$2=AJ5),'2023DATA'!$G$10,"")</f>
        <v/>
      </c>
      <c r="AK13" s="518" t="str">
        <f>IF(AND(_AC2="A-330-200",'2023'!$D$4="FO",'2023'!$D$2=AK5),'2023DATA'!$H$10,"")</f>
        <v/>
      </c>
      <c r="AL13" s="518" t="str">
        <f>IF(AND(_AC2="A-330-200",'2023'!$D$4="FO",'2023'!$D$2=AL5),'2023DATA'!$I$10,"")</f>
        <v/>
      </c>
      <c r="AM13" s="518" t="str">
        <f>IF(AND(_AC2="A-330-200",'2023'!$D$4="FO",'2023'!$D$2=AM5),'2023DATA'!$J$10,"")</f>
        <v/>
      </c>
      <c r="AN13" s="518" t="str">
        <f>IF(AND(_AC2="A-330-200",'2023'!$D$4="FO",'2023'!$D$2=AN5),'2023DATA'!$K$10,"")</f>
        <v/>
      </c>
      <c r="AO13" s="518" t="str">
        <f>IF(AND(_AC2="A-330-200",'2023'!$D$4="FO",'2023'!$D$2=AO5),'2023DATA'!$L$10,"")</f>
        <v/>
      </c>
      <c r="AP13" s="518" t="str">
        <f>IF(AND(_AC2="A-330-200",'2023'!$D$4="FO",'2023'!$D$2=AP5),'2023DATA'!$M$10,"")</f>
        <v/>
      </c>
      <c r="AQ13" s="520" t="str">
        <f>IF(AND(_AC2="A-330-200",'2023'!$D$4="FO",'2023'!$D$2=AQ5),'2023DATA'!$N$10,"")</f>
        <v/>
      </c>
      <c r="AR13" s="940"/>
      <c r="AS13" s="13" t="s">
        <v>62</v>
      </c>
      <c r="AT13" s="518" t="str">
        <f>IF(AND(_AC3="A-330-200",'2023'!$D$4="FO",'2023'!$D$2=AT5),'2023DATA'!$C$10,"")</f>
        <v/>
      </c>
      <c r="AU13" s="518" t="str">
        <f>IF(AND(_AC3="A-330-200",'2023'!$D$4="FO",'2023'!$D$2=AU5),'2023DATA'!$D$10,"")</f>
        <v/>
      </c>
      <c r="AV13" s="518" t="str">
        <f>IF(AND(_AC3="A-330-200",'2023'!$D$4="FO",'2023'!$D$2=AV5),'2023DATA'!$E$10,"")</f>
        <v/>
      </c>
      <c r="AW13" s="518" t="str">
        <f>IF(AND(_AC3="A-330-200",'2023'!$D$4="FO",'2023'!$D$2=AW5),'2023DATA'!$F$10,"")</f>
        <v/>
      </c>
      <c r="AX13" s="518" t="str">
        <f>IF(AND(_AC3="A-330-200",'2023'!$D$4="FO",'2023'!$D$2=AX5),'2023DATA'!$G$10,"")</f>
        <v/>
      </c>
      <c r="AY13" s="518" t="str">
        <f>IF(AND(_AC3="A-330-200",'2023'!$D$4="FO",'2023'!$D$2=AY5),'2023DATA'!$H$10,"")</f>
        <v/>
      </c>
      <c r="AZ13" s="518" t="str">
        <f>IF(AND(_AC3="A-330-200",'2023'!$D$4="FO",'2023'!$D$2=AZ5),'2023DATA'!$I$10,"")</f>
        <v/>
      </c>
      <c r="BA13" s="518" t="str">
        <f>IF(AND(_AC3="A-330-200",'2023'!$D$4="FO",'2023'!$D$2=BA5),'2023DATA'!$J$10,"")</f>
        <v/>
      </c>
      <c r="BB13" s="518" t="str">
        <f>IF(AND(_AC3="A-330-200",'2023'!$D$4="FO",'2023'!$D$2=BB5),'2023DATA'!$K$10,"")</f>
        <v/>
      </c>
      <c r="BC13" s="518" t="str">
        <f>IF(AND(_AC3="A-330-200",'2023'!$D$4="FO",'2023'!$D$2=BC5),'2023DATA'!$L$10,"")</f>
        <v/>
      </c>
      <c r="BD13" s="518" t="str">
        <f>IF(AND(_AC3="A-330-200",'2023'!$D$4="FO",'2023'!$D$2=BD5),'2023DATA'!$M$10,"")</f>
        <v/>
      </c>
      <c r="BE13" s="520" t="str">
        <f>IF(AND(_AC3="A-330-200",'2023'!$D$4="FO",'2023'!$D$2=BE5),'2023DATA'!$N$10,"")</f>
        <v/>
      </c>
      <c r="BF13" s="940"/>
      <c r="BG13" s="13" t="s">
        <v>62</v>
      </c>
      <c r="BH13" s="518" t="str">
        <f>IF(AND(_AC4="A-330-200",'2023'!$D$4="FO",'2023'!$D$2=BH5),'2023DATA'!$C$10,"")</f>
        <v/>
      </c>
      <c r="BI13" s="518" t="str">
        <f>IF(AND(_AC4="A-330-200",'2023'!$D$4="FO",'2023'!$D$2=BI5),'2023DATA'!$D$10,"")</f>
        <v/>
      </c>
      <c r="BJ13" s="518" t="str">
        <f>IF(AND(_AC4="A-330-200",'2023'!$D$4="FO",'2023'!$D$2=BJ5),'2023DATA'!$E$10,"")</f>
        <v/>
      </c>
      <c r="BK13" s="518" t="str">
        <f>IF(AND(_AC4="A-330-200",'2023'!$D$4="FO",'2023'!$D$2=BK5),'2023DATA'!$F$10,"")</f>
        <v/>
      </c>
      <c r="BL13" s="518" t="str">
        <f>IF(AND(_AC4="A-330-200",'2023'!$D$4="FO",'2023'!$D$2=BL5),'2023DATA'!$G$10,"")</f>
        <v/>
      </c>
      <c r="BM13" s="518" t="str">
        <f>IF(AND(_AC4="A-330-200",'2023'!$D$4="FO",'2023'!$D$2=BM5),'2023DATA'!$H$10,"")</f>
        <v/>
      </c>
      <c r="BN13" s="518" t="str">
        <f>IF(AND(_AC4="A-330-200",'2023'!$D$4="FO",'2023'!$D$2=BN5),'2023DATA'!$I$10,"")</f>
        <v/>
      </c>
      <c r="BO13" s="518" t="str">
        <f>IF(AND(_AC4="A-330-200",'2023'!$D$4="FO",'2023'!$D$2=BO5),'2023DATA'!$J$10,"")</f>
        <v/>
      </c>
      <c r="BP13" s="518" t="str">
        <f>IF(AND(_AC4="A-330-200",'2023'!$D$4="FO",'2023'!$D$2=BP5),'2023DATA'!$K$10,"")</f>
        <v/>
      </c>
      <c r="BQ13" s="518" t="str">
        <f>IF(AND(_AC4="A-330-200",'2023'!$D$4="FO",'2023'!$D$2=BQ5),'2023DATA'!$L$10,"")</f>
        <v/>
      </c>
      <c r="BR13" s="518" t="str">
        <f>IF(AND(_AC4="A-330-200",'2023'!$D$4="FO",'2023'!$D$2=BR5),'2023DATA'!$M$10,"")</f>
        <v/>
      </c>
      <c r="BS13" s="520" t="str">
        <f>IF(AND(_AC4="A-330-200",'2023'!$D$4="FO",'2023'!$D$2=BS5),'2023DATA'!$N$10,"")</f>
        <v/>
      </c>
      <c r="BT13" s="940"/>
      <c r="BU13" s="13" t="s">
        <v>62</v>
      </c>
      <c r="BV13" s="518" t="str">
        <f>IF(AND(_AC5="A-330-200",'2023'!$D$4="FO",'2023'!$D$2=BV5),'2023DATA'!$C$10,"")</f>
        <v/>
      </c>
      <c r="BW13" s="518" t="str">
        <f>IF(AND(_AC5="A-330-200",'2023'!$D$4="FO",'2023'!$D$2=BW5),'2023DATA'!$D$10,"")</f>
        <v/>
      </c>
      <c r="BX13" s="518" t="str">
        <f>IF(AND(_AC5="A-330-200",'2023'!$D$4="FO",'2023'!$D$2=BX5),'2023DATA'!$E$10,"")</f>
        <v/>
      </c>
      <c r="BY13" s="518" t="str">
        <f>IF(AND(_AC5="A-330-200",'2023'!$D$4="FO",'2023'!$D$2=BY5),'2023DATA'!$F$10,"")</f>
        <v/>
      </c>
      <c r="BZ13" s="518" t="str">
        <f>IF(AND(_AC5="A-330-200",'2023'!$D$4="FO",'2023'!$D$2=BZ5),'2023DATA'!$G$10,"")</f>
        <v/>
      </c>
      <c r="CA13" s="518" t="str">
        <f>IF(AND(_AC5="A-330-200",'2023'!$D$4="FO",'2023'!$D$2=CA5),'2023DATA'!$H$10,"")</f>
        <v/>
      </c>
      <c r="CB13" s="518" t="str">
        <f>IF(AND(_AC5="A-330-200",'2023'!$D$4="FO",'2023'!$D$2=CB5),'2023DATA'!$I$10,"")</f>
        <v/>
      </c>
      <c r="CC13" s="518" t="str">
        <f>IF(AND(_AC5="A-330-200",'2023'!$D$4="FO",'2023'!$D$2=CC5),'2023DATA'!$J$10,"")</f>
        <v/>
      </c>
      <c r="CD13" s="518" t="str">
        <f>IF(AND(_AC5="A-330-200",'2023'!$D$4="FO",'2023'!$D$2=CD5),'2023DATA'!$K$10,"")</f>
        <v/>
      </c>
      <c r="CE13" s="518" t="str">
        <f>IF(AND(_AC5="A-330-200",'2023'!$D$4="FO",'2023'!$D$2=CE5),'2023DATA'!$L$10,"")</f>
        <v/>
      </c>
      <c r="CF13" s="518" t="str">
        <f>IF(AND(_AC5="A-330-200",'2023'!$D$4="FO",'2023'!$D$2=CF5),'2023DATA'!$M$10,"")</f>
        <v/>
      </c>
      <c r="CG13" s="520" t="str">
        <f>IF(AND(_AC5="A-330-200",'2023'!$D$4="FO",'2023'!$D$2=CG5),'2023DATA'!$N$10,"")</f>
        <v/>
      </c>
      <c r="CH13" s="940"/>
      <c r="CI13" s="13" t="s">
        <v>62</v>
      </c>
      <c r="CJ13" s="518" t="str">
        <f>IF(AND(_AC6="A-330-200",'2023'!$D$4="FO",'2023'!$D$2=CJ5),'2023DATA'!$C$10,"")</f>
        <v/>
      </c>
      <c r="CK13" s="518" t="str">
        <f>IF(AND(_AC6="A-330-200",'2023'!$D$4="FO",'2023'!$D$2=CK5),'2023DATA'!$D$10,"")</f>
        <v/>
      </c>
      <c r="CL13" s="518" t="str">
        <f>IF(AND(_AC6="A-330-200",'2023'!$D$4="FO",'2023'!$D$2=CL5),'2023DATA'!$E$10,"")</f>
        <v/>
      </c>
      <c r="CM13" s="518" t="str">
        <f>IF(AND(_AC6="A-330-200",'2023'!$D$4="FO",'2023'!$D$2=CM5),'2023DATA'!$F$10,"")</f>
        <v/>
      </c>
      <c r="CN13" s="518" t="str">
        <f>IF(AND(_AC6="A-330-200",'2023'!$D$4="FO",'2023'!$D$2=CN5),'2023DATA'!$G$10,"")</f>
        <v/>
      </c>
      <c r="CO13" s="518" t="str">
        <f>IF(AND(_AC6="A-330-200",'2023'!$D$4="FO",'2023'!$D$2=CO5),'2023DATA'!$H$10,"")</f>
        <v/>
      </c>
      <c r="CP13" s="518" t="str">
        <f>IF(AND(_AC6="A-330-200",'2023'!$D$4="FO",'2023'!$D$2=CP5),'2023DATA'!$I$10,"")</f>
        <v/>
      </c>
      <c r="CQ13" s="518" t="str">
        <f>IF(AND(_AC6="A-330-200",'2023'!$D$4="FO",'2023'!$D$2=CQ5),'2023DATA'!$J$10,"")</f>
        <v/>
      </c>
      <c r="CR13" s="518" t="str">
        <f>IF(AND(_AC6="A-330-200",'2023'!$D$4="FO",'2023'!$D$2=CR5),'2023DATA'!$K$10,"")</f>
        <v/>
      </c>
      <c r="CS13" s="518" t="str">
        <f>IF(AND(_AC6="A-330-200",'2023'!$D$4="FO",'2023'!$D$2=CS5),'2023DATA'!$L$10,"")</f>
        <v/>
      </c>
      <c r="CT13" s="518" t="str">
        <f>IF(AND(_AC6="A-330-200",'2023'!$D$4="FO",'2023'!$D$2=CT5),'2023DATA'!$M$10,"")</f>
        <v/>
      </c>
      <c r="CU13" s="520" t="str">
        <f>IF(AND(_AC6="A-330-200",'2023'!$D$4="FO",'2023'!$D$2=CU5),'2023DATA'!$N$10,"")</f>
        <v/>
      </c>
    </row>
    <row r="14" spans="1:99" x14ac:dyDescent="0.25">
      <c r="A14" s="946"/>
      <c r="B14" s="78" t="s">
        <v>62</v>
      </c>
      <c r="C14" s="25">
        <v>238.71</v>
      </c>
      <c r="D14" s="26">
        <v>235.93</v>
      </c>
      <c r="E14" s="26">
        <v>233.07</v>
      </c>
      <c r="F14" s="26">
        <v>229.26</v>
      </c>
      <c r="G14" s="26">
        <v>226.96</v>
      </c>
      <c r="H14" s="26">
        <v>221.76</v>
      </c>
      <c r="I14" s="26">
        <v>215.81</v>
      </c>
      <c r="J14" s="26">
        <v>210.54</v>
      </c>
      <c r="K14" s="26">
        <v>205.51</v>
      </c>
      <c r="L14" s="26">
        <v>200.62</v>
      </c>
      <c r="M14" s="26">
        <v>171.44</v>
      </c>
      <c r="N14" s="27">
        <v>108.34</v>
      </c>
      <c r="P14" s="940" t="s">
        <v>42</v>
      </c>
      <c r="Q14" s="13" t="s">
        <v>61</v>
      </c>
      <c r="R14" s="518" t="str">
        <f>IF(AND(_AC1="B-767-400ER",'2023'!$D$4="CA",'2023'!$D$2=R5),'2023DATA'!$C$11,"")</f>
        <v/>
      </c>
      <c r="S14" s="518" t="str">
        <f>IF(AND(_AC1="B-767-400ER",'2023'!$D$4="CA",'2023'!$D$2=S5),'2023DATA'!$D$11,"")</f>
        <v/>
      </c>
      <c r="T14" s="518" t="str">
        <f>IF(AND(_AC1="B-767-400ER",'2023'!$D$4="CA",'2023'!$D$2=T5),'2023DATA'!$E$11,"")</f>
        <v/>
      </c>
      <c r="U14" s="518" t="str">
        <f>IF(AND(_AC1="B-767-400ER",'2023'!$D$4="CA",'2023'!$D$2=U5),'2023DATA'!$F$11,"")</f>
        <v/>
      </c>
      <c r="V14" s="518" t="str">
        <f>IF(AND(_AC1="B-767-400ER",'2023'!$D$4="CA",'2023'!$D$2=V5),'2023DATA'!$G$11,"")</f>
        <v/>
      </c>
      <c r="W14" s="518" t="str">
        <f>IF(AND(_AC1="B-767-400ER",'2023'!$D$4="CA",'2023'!$D$2=W5),'2023DATA'!$H$11,"")</f>
        <v/>
      </c>
      <c r="X14" s="518" t="str">
        <f>IF(AND(_AC1="B-767-400ER",'2023'!$D$4="CA",'2023'!$D$2=X5),'2023DATA'!$I$11,"")</f>
        <v/>
      </c>
      <c r="Y14" s="518" t="str">
        <f>IF(AND(_AC1="B-767-400ER",'2023'!$D$4="CA",'2023'!$D$2=Y5),'2023DATA'!$J$11,"")</f>
        <v/>
      </c>
      <c r="Z14" s="518" t="str">
        <f>IF(AND(_AC1="B-767-400ER",'2023'!$D$4="CA",'2023'!$D$2=Z5),'2023DATA'!$K$11,"")</f>
        <v/>
      </c>
      <c r="AA14" s="518" t="str">
        <f>IF(AND(_AC1="B-767-400ER",'2023'!$D$4="CA",'2023'!$D$2=AA5),'2023DATA'!$L$11,"")</f>
        <v/>
      </c>
      <c r="AB14" s="518" t="str">
        <f>IF(AND(_AC1="B-767-400ER",'2023'!$D$4="CA",'2023'!$D$2=AB5),'2023DATA'!$M$11,"")</f>
        <v/>
      </c>
      <c r="AC14" s="520" t="str">
        <f>IF(AND(_AC1="B-767-400ER",'2023'!$D$4="CA",'2023'!$D$2=AC5),'2023DATA'!$N$11,"")</f>
        <v/>
      </c>
      <c r="AD14" s="940" t="s">
        <v>42</v>
      </c>
      <c r="AE14" s="13" t="s">
        <v>61</v>
      </c>
      <c r="AF14" s="518" t="str">
        <f>IF(AND(_AC2="B-767-400ER",'2023'!$D$4="CA",'2023'!$D$2=AF5),'2023DATA'!$C$11,"")</f>
        <v/>
      </c>
      <c r="AG14" s="518" t="str">
        <f>IF(AND(_AC2="B-767-400ER",'2023'!$D$4="CA",'2023'!$D$2=AG5),'2023DATA'!$D$11,"")</f>
        <v/>
      </c>
      <c r="AH14" s="518" t="str">
        <f>IF(AND(_AC2="B-767-400ER",'2023'!$D$4="CA",'2023'!$D$2=AH5),'2023DATA'!$E$11,"")</f>
        <v/>
      </c>
      <c r="AI14" s="518" t="str">
        <f>IF(AND(_AC2="B-767-400ER",'2023'!$D$4="CA",'2023'!$D$2=AI5),'2023DATA'!$F$11,"")</f>
        <v/>
      </c>
      <c r="AJ14" s="518" t="str">
        <f>IF(AND(_AC2="B-767-400ER",'2023'!$D$4="CA",'2023'!$D$2=AJ5),'2023DATA'!$G$11,"")</f>
        <v/>
      </c>
      <c r="AK14" s="518" t="str">
        <f>IF(AND(_AC2="B-767-400ER",'2023'!$D$4="CA",'2023'!$D$2=AK5),'2023DATA'!$H$11,"")</f>
        <v/>
      </c>
      <c r="AL14" s="518" t="str">
        <f>IF(AND(_AC2="B-767-400ER",'2023'!$D$4="CA",'2023'!$D$2=AL5),'2023DATA'!$I$11,"")</f>
        <v/>
      </c>
      <c r="AM14" s="518" t="str">
        <f>IF(AND(_AC2="B-767-400ER",'2023'!$D$4="CA",'2023'!$D$2=AM5),'2023DATA'!$J$11,"")</f>
        <v/>
      </c>
      <c r="AN14" s="518" t="str">
        <f>IF(AND(_AC2="B-767-400ER",'2023'!$D$4="CA",'2023'!$D$2=AN5),'2023DATA'!$K$11,"")</f>
        <v/>
      </c>
      <c r="AO14" s="518" t="str">
        <f>IF(AND(_AC2="B-767-400ER",'2023'!$D$4="CA",'2023'!$D$2=AO5),'2023DATA'!$L$11,"")</f>
        <v/>
      </c>
      <c r="AP14" s="518" t="str">
        <f>IF(AND(_AC2="B-767-400ER",'2023'!$D$4="CA",'2023'!$D$2=AP5),'2023DATA'!$M$11,"")</f>
        <v/>
      </c>
      <c r="AQ14" s="520" t="str">
        <f>IF(AND(_AC2="B-767-400ER",'2023'!$D$4="CA",'2023'!$D$2=AQ5),'2023DATA'!$N$11,"")</f>
        <v/>
      </c>
      <c r="AR14" s="940" t="s">
        <v>42</v>
      </c>
      <c r="AS14" s="13" t="s">
        <v>61</v>
      </c>
      <c r="AT14" s="518" t="str">
        <f>IF(AND(_AC3="B-767-400ER",'2023'!$D$4="CA",'2023'!$D$2=AT5),'2023DATA'!$C$11,"")</f>
        <v/>
      </c>
      <c r="AU14" s="518" t="str">
        <f>IF(AND(_AC3="B-767-400ER",'2023'!$D$4="CA",'2023'!$D$2=AU5),'2023DATA'!$D$11,"")</f>
        <v/>
      </c>
      <c r="AV14" s="518" t="str">
        <f>IF(AND(_AC3="B-767-400ER",'2023'!$D$4="CA",'2023'!$D$2=AV5),'2023DATA'!$E$11,"")</f>
        <v/>
      </c>
      <c r="AW14" s="518" t="str">
        <f>IF(AND(_AC3="B-767-400ER",'2023'!$D$4="CA",'2023'!$D$2=AW5),'2023DATA'!$F$11,"")</f>
        <v/>
      </c>
      <c r="AX14" s="518" t="str">
        <f>IF(AND(_AC3="B-767-400ER",'2023'!$D$4="CA",'2023'!$D$2=AX5),'2023DATA'!$G$11,"")</f>
        <v/>
      </c>
      <c r="AY14" s="518" t="str">
        <f>IF(AND(_AC3="B-767-400ER",'2023'!$D$4="CA",'2023'!$D$2=AY5),'2023DATA'!$H$11,"")</f>
        <v/>
      </c>
      <c r="AZ14" s="518" t="str">
        <f>IF(AND(_AC3="B-767-400ER",'2023'!$D$4="CA",'2023'!$D$2=AZ5),'2023DATA'!$I$11,"")</f>
        <v/>
      </c>
      <c r="BA14" s="518" t="str">
        <f>IF(AND(_AC3="B-767-400ER",'2023'!$D$4="CA",'2023'!$D$2=BA5),'2023DATA'!$J$11,"")</f>
        <v/>
      </c>
      <c r="BB14" s="518" t="str">
        <f>IF(AND(_AC3="B-767-400ER",'2023'!$D$4="CA",'2023'!$D$2=BB5),'2023DATA'!$K$11,"")</f>
        <v/>
      </c>
      <c r="BC14" s="518" t="str">
        <f>IF(AND(_AC3="B-767-400ER",'2023'!$D$4="CA",'2023'!$D$2=BC5),'2023DATA'!$L$11,"")</f>
        <v/>
      </c>
      <c r="BD14" s="518" t="str">
        <f>IF(AND(_AC3="B-767-400ER",'2023'!$D$4="CA",'2023'!$D$2=BD5),'2023DATA'!$M$11,"")</f>
        <v/>
      </c>
      <c r="BE14" s="520" t="str">
        <f>IF(AND(_AC3="B-767-400ER",'2023'!$D$4="CA",'2023'!$D$2=BE5),'2023DATA'!$N$11,"")</f>
        <v/>
      </c>
      <c r="BF14" s="940" t="s">
        <v>42</v>
      </c>
      <c r="BG14" s="13" t="s">
        <v>61</v>
      </c>
      <c r="BH14" s="518" t="str">
        <f>IF(AND(_AC4="B-767-400ER",'2023'!$D$4="CA",'2023'!$D$2=BH5),'2023DATA'!$C$11,"")</f>
        <v/>
      </c>
      <c r="BI14" s="518" t="str">
        <f>IF(AND(_AC4="B-767-400ER",'2023'!$D$4="CA",'2023'!$D$2=BI5),'2023DATA'!$D$11,"")</f>
        <v/>
      </c>
      <c r="BJ14" s="518" t="str">
        <f>IF(AND(_AC4="B-767-400ER",'2023'!$D$4="CA",'2023'!$D$2=BJ5),'2023DATA'!$E$11,"")</f>
        <v/>
      </c>
      <c r="BK14" s="518" t="str">
        <f>IF(AND(_AC4="B-767-400ER",'2023'!$D$4="CA",'2023'!$D$2=BK5),'2023DATA'!$F$11,"")</f>
        <v/>
      </c>
      <c r="BL14" s="518" t="str">
        <f>IF(AND(_AC4="B-767-400ER",'2023'!$D$4="CA",'2023'!$D$2=BL5),'2023DATA'!$G$11,"")</f>
        <v/>
      </c>
      <c r="BM14" s="518" t="str">
        <f>IF(AND(_AC4="B-767-400ER",'2023'!$D$4="CA",'2023'!$D$2=BM5),'2023DATA'!$H$11,"")</f>
        <v/>
      </c>
      <c r="BN14" s="518" t="str">
        <f>IF(AND(_AC4="B-767-400ER",'2023'!$D$4="CA",'2023'!$D$2=BN5),'2023DATA'!$I$11,"")</f>
        <v/>
      </c>
      <c r="BO14" s="518" t="str">
        <f>IF(AND(_AC4="B-767-400ER",'2023'!$D$4="CA",'2023'!$D$2=BO5),'2023DATA'!$J$11,"")</f>
        <v/>
      </c>
      <c r="BP14" s="518" t="str">
        <f>IF(AND(_AC4="B-767-400ER",'2023'!$D$4="CA",'2023'!$D$2=BP5),'2023DATA'!$K$11,"")</f>
        <v/>
      </c>
      <c r="BQ14" s="518" t="str">
        <f>IF(AND(_AC4="B-767-400ER",'2023'!$D$4="CA",'2023'!$D$2=BQ5),'2023DATA'!$L$11,"")</f>
        <v/>
      </c>
      <c r="BR14" s="518" t="str">
        <f>IF(AND(_AC4="B-767-400ER",'2023'!$D$4="CA",'2023'!$D$2=BR5),'2023DATA'!$M$11,"")</f>
        <v/>
      </c>
      <c r="BS14" s="520" t="str">
        <f>IF(AND(_AC4="B-767-400ER",'2023'!$D$4="CA",'2023'!$D$2=BS5),'2023DATA'!$N$11,"")</f>
        <v/>
      </c>
      <c r="BT14" s="940" t="s">
        <v>42</v>
      </c>
      <c r="BU14" s="13" t="s">
        <v>61</v>
      </c>
      <c r="BV14" s="518" t="str">
        <f>IF(AND(_AC5="B-767-400ER",'2023'!$D$4="CA",'2023'!$D$2=BV5),'2023DATA'!$C$11,"")</f>
        <v/>
      </c>
      <c r="BW14" s="518" t="str">
        <f>IF(AND(_AC5="B-767-400ER",'2023'!$D$4="CA",'2023'!$D$2=BW5),'2023DATA'!$D$11,"")</f>
        <v/>
      </c>
      <c r="BX14" s="518" t="str">
        <f>IF(AND(_AC5="B-767-400ER",'2023'!$D$4="CA",'2023'!$D$2=BX5),'2023DATA'!$E$11,"")</f>
        <v/>
      </c>
      <c r="BY14" s="518" t="str">
        <f>IF(AND(_AC5="B-767-400ER",'2023'!$D$4="CA",'2023'!$D$2=BY5),'2023DATA'!$F$11,"")</f>
        <v/>
      </c>
      <c r="BZ14" s="518" t="str">
        <f>IF(AND(_AC5="B-767-400ER",'2023'!$D$4="CA",'2023'!$D$2=BZ5),'2023DATA'!$G$11,"")</f>
        <v/>
      </c>
      <c r="CA14" s="518" t="str">
        <f>IF(AND(_AC5="B-767-400ER",'2023'!$D$4="CA",'2023'!$D$2=CA5),'2023DATA'!$H$11,"")</f>
        <v/>
      </c>
      <c r="CB14" s="518" t="str">
        <f>IF(AND(_AC5="B-767-400ER",'2023'!$D$4="CA",'2023'!$D$2=CB5),'2023DATA'!$I$11,"")</f>
        <v/>
      </c>
      <c r="CC14" s="518" t="str">
        <f>IF(AND(_AC5="B-767-400ER",'2023'!$D$4="CA",'2023'!$D$2=CC5),'2023DATA'!$J$11,"")</f>
        <v/>
      </c>
      <c r="CD14" s="518" t="str">
        <f>IF(AND(_AC5="B-767-400ER",'2023'!$D$4="CA",'2023'!$D$2=CD5),'2023DATA'!$K$11,"")</f>
        <v/>
      </c>
      <c r="CE14" s="518" t="str">
        <f>IF(AND(_AC5="B-767-400ER",'2023'!$D$4="CA",'2023'!$D$2=CE5),'2023DATA'!$L$11,"")</f>
        <v/>
      </c>
      <c r="CF14" s="518" t="str">
        <f>IF(AND(_AC5="B-767-400ER",'2023'!$D$4="CA",'2023'!$D$2=CF5),'2023DATA'!$M$11,"")</f>
        <v/>
      </c>
      <c r="CG14" s="520" t="str">
        <f>IF(AND(_AC5="B-767-400ER",'2023'!$D$4="CA",'2023'!$D$2=CG5),'2023DATA'!$N$11,"")</f>
        <v/>
      </c>
      <c r="CH14" s="940" t="s">
        <v>42</v>
      </c>
      <c r="CI14" s="13" t="s">
        <v>61</v>
      </c>
      <c r="CJ14" s="518" t="str">
        <f>IF(AND(_AC6="B-767-400ER",'2023'!$D$4="CA",'2023'!$D$2=CJ5),'2023DATA'!$C$11,"")</f>
        <v/>
      </c>
      <c r="CK14" s="518" t="str">
        <f>IF(AND(_AC6="B-767-400ER",'2023'!$D$4="CA",'2023'!$D$2=CK5),'2023DATA'!$D$11,"")</f>
        <v/>
      </c>
      <c r="CL14" s="518" t="str">
        <f>IF(AND(_AC6="B-767-400ER",'2023'!$D$4="CA",'2023'!$D$2=CL5),'2023DATA'!$E$11,"")</f>
        <v/>
      </c>
      <c r="CM14" s="518" t="str">
        <f>IF(AND(_AC6="B-767-400ER",'2023'!$D$4="CA",'2023'!$D$2=CM5),'2023DATA'!$F$11,"")</f>
        <v/>
      </c>
      <c r="CN14" s="518" t="str">
        <f>IF(AND(_AC6="B-767-400ER",'2023'!$D$4="CA",'2023'!$D$2=CN5),'2023DATA'!$G$11,"")</f>
        <v/>
      </c>
      <c r="CO14" s="518" t="str">
        <f>IF(AND(_AC6="B-767-400ER",'2023'!$D$4="CA",'2023'!$D$2=CO5),'2023DATA'!$H$11,"")</f>
        <v/>
      </c>
      <c r="CP14" s="518" t="str">
        <f>IF(AND(_AC6="B-767-400ER",'2023'!$D$4="CA",'2023'!$D$2=CP5),'2023DATA'!$I$11,"")</f>
        <v/>
      </c>
      <c r="CQ14" s="518" t="str">
        <f>IF(AND(_AC6="B-767-400ER",'2023'!$D$4="CA",'2023'!$D$2=CQ5),'2023DATA'!$J$11,"")</f>
        <v/>
      </c>
      <c r="CR14" s="518" t="str">
        <f>IF(AND(_AC6="B-767-400ER",'2023'!$D$4="CA",'2023'!$D$2=CR5),'2023DATA'!$K$11,"")</f>
        <v/>
      </c>
      <c r="CS14" s="518" t="str">
        <f>IF(AND(_AC6="B-767-400ER",'2023'!$D$4="CA",'2023'!$D$2=CS5),'2023DATA'!$L$11,"")</f>
        <v/>
      </c>
      <c r="CT14" s="518" t="str">
        <f>IF(AND(_AC6="B-767-400ER",'2023'!$D$4="CA",'2023'!$D$2=CT5),'2023DATA'!$M$11,"")</f>
        <v/>
      </c>
      <c r="CU14" s="520" t="str">
        <f>IF(AND(_AC6="B-767-400ER",'2023'!$D$4="CA",'2023'!$D$2=CU5),'2023DATA'!$N$11,"")</f>
        <v/>
      </c>
    </row>
    <row r="15" spans="1:99" x14ac:dyDescent="0.25">
      <c r="A15" s="946" t="s">
        <v>67</v>
      </c>
      <c r="B15" s="78" t="s">
        <v>61</v>
      </c>
      <c r="C15" s="25">
        <v>349.5</v>
      </c>
      <c r="D15" s="26">
        <v>345.93</v>
      </c>
      <c r="E15" s="26">
        <v>342.25</v>
      </c>
      <c r="F15" s="26">
        <v>338.61</v>
      </c>
      <c r="G15" s="26">
        <v>336.22</v>
      </c>
      <c r="H15" s="26">
        <v>333.46</v>
      </c>
      <c r="I15" s="26">
        <v>331.01</v>
      </c>
      <c r="J15" s="26">
        <v>328.45</v>
      </c>
      <c r="K15" s="26">
        <v>325.68</v>
      </c>
      <c r="L15" s="26">
        <v>323.06</v>
      </c>
      <c r="M15" s="26">
        <v>320.45999999999998</v>
      </c>
      <c r="N15" s="27">
        <v>317.76</v>
      </c>
      <c r="P15" s="940"/>
      <c r="Q15" s="13" t="s">
        <v>62</v>
      </c>
      <c r="R15" s="518" t="str">
        <f>IF(AND(_AC1="B-767-400ER",'2023'!$D$4="FO",'2023'!$D$2=R5),'2023DATA'!$C$12,"")</f>
        <v/>
      </c>
      <c r="S15" s="518" t="str">
        <f>IF(AND(_AC1="B-767-400ER",'2023'!$D$4="FO",'2023'!$D$2=S5),'2023DATA'!$D$12,"")</f>
        <v/>
      </c>
      <c r="T15" s="518" t="str">
        <f>IF(AND(_AC1="B-767-400ER",'2023'!$D$4="FO",'2023'!$D$2=T5),'2023DATA'!$E$12,"")</f>
        <v/>
      </c>
      <c r="U15" s="518" t="str">
        <f>IF(AND(_AC1="B-767-400ER",'2023'!$D$4="FO",'2023'!$D$2=U5),'2023DATA'!$F$12,"")</f>
        <v/>
      </c>
      <c r="V15" s="518" t="str">
        <f>IF(AND(_AC1="B-767-400ER",'2023'!$D$4="FO",'2023'!$D$2=V5),'2023DATA'!$G$12,"")</f>
        <v/>
      </c>
      <c r="W15" s="518" t="str">
        <f>IF(AND(_AC1="B-767-400ER",'2023'!$D$4="FO",'2023'!$D$2=W5),'2023DATA'!$H$12,"")</f>
        <v/>
      </c>
      <c r="X15" s="518" t="str">
        <f>IF(AND(_AC1="B-767-400ER",'2023'!$D$4="FO",'2023'!$D$2=X5),'2023DATA'!$I$12,"")</f>
        <v/>
      </c>
      <c r="Y15" s="518" t="str">
        <f>IF(AND(_AC1="B-767-400ER",'2023'!$D$4="FO",'2023'!$D$2=Y5),'2023DATA'!$J$12,"")</f>
        <v/>
      </c>
      <c r="Z15" s="518" t="str">
        <f>IF(AND(_AC1="B-767-400ER",'2023'!$D$4="FO",'2023'!$D$2=Z5),'2023DATA'!$K$12,"")</f>
        <v/>
      </c>
      <c r="AA15" s="518" t="str">
        <f>IF(AND(_AC1="B-767-400ER",'2023'!$D$4="FO",'2023'!$D$2=AA5),'2023DATA'!$L$12,"")</f>
        <v/>
      </c>
      <c r="AB15" s="518" t="str">
        <f>IF(AND(_AC1="B-767-400ER",'2023'!$D$4="FO",'2023'!$D$2=AB5),'2023DATA'!$M$12,"")</f>
        <v/>
      </c>
      <c r="AC15" s="520" t="str">
        <f>IF(AND(_AC1="B-767-400ER",'2023'!$D$4="FO",'2023'!$D$2=AC5),'2023DATA'!$N$12,"")</f>
        <v/>
      </c>
      <c r="AD15" s="940"/>
      <c r="AE15" s="13" t="s">
        <v>62</v>
      </c>
      <c r="AF15" s="518" t="str">
        <f>IF(AND(_AC2="B-767-400ER",'2023'!$D$4="FO",'2023'!$D$2=AF5),'2023DATA'!$C$12,"")</f>
        <v/>
      </c>
      <c r="AG15" s="518" t="str">
        <f>IF(AND(_AC2="B-767-400ER",'2023'!$D$4="FO",'2023'!$D$2=AG5),'2023DATA'!$D$12,"")</f>
        <v/>
      </c>
      <c r="AH15" s="518" t="str">
        <f>IF(AND(_AC2="B-767-400ER",'2023'!$D$4="FO",'2023'!$D$2=AH5),'2023DATA'!$E$12,"")</f>
        <v/>
      </c>
      <c r="AI15" s="518" t="str">
        <f>IF(AND(_AC2="B-767-400ER",'2023'!$D$4="FO",'2023'!$D$2=AI5),'2023DATA'!$F$12,"")</f>
        <v/>
      </c>
      <c r="AJ15" s="518" t="str">
        <f>IF(AND(_AC2="B-767-400ER",'2023'!$D$4="FO",'2023'!$D$2=AJ5),'2023DATA'!$G$12,"")</f>
        <v/>
      </c>
      <c r="AK15" s="518" t="str">
        <f>IF(AND(_AC2="B-767-400ER",'2023'!$D$4="FO",'2023'!$D$2=AK5),'2023DATA'!$H$12,"")</f>
        <v/>
      </c>
      <c r="AL15" s="518" t="str">
        <f>IF(AND(_AC2="B-767-400ER",'2023'!$D$4="FO",'2023'!$D$2=AL5),'2023DATA'!$I$12,"")</f>
        <v/>
      </c>
      <c r="AM15" s="518" t="str">
        <f>IF(AND(_AC2="B-767-400ER",'2023'!$D$4="FO",'2023'!$D$2=AM5),'2023DATA'!$J$12,"")</f>
        <v/>
      </c>
      <c r="AN15" s="518" t="str">
        <f>IF(AND(_AC2="B-767-400ER",'2023'!$D$4="FO",'2023'!$D$2=AN5),'2023DATA'!$K$12,"")</f>
        <v/>
      </c>
      <c r="AO15" s="518" t="str">
        <f>IF(AND(_AC2="B-767-400ER",'2023'!$D$4="FO",'2023'!$D$2=AO5),'2023DATA'!$L$12,"")</f>
        <v/>
      </c>
      <c r="AP15" s="518" t="str">
        <f>IF(AND(_AC2="B-767-400ER",'2023'!$D$4="FO",'2023'!$D$2=AP5),'2023DATA'!$M$12,"")</f>
        <v/>
      </c>
      <c r="AQ15" s="520" t="str">
        <f>IF(AND(_AC2="B-767-400ER",'2023'!$D$4="FO",'2023'!$D$2=AQ5),'2023DATA'!$N$12,"")</f>
        <v/>
      </c>
      <c r="AR15" s="940"/>
      <c r="AS15" s="13" t="s">
        <v>62</v>
      </c>
      <c r="AT15" s="518" t="str">
        <f>IF(AND(_AC3="B-767-400ER",'2023'!$D$4="FO",'2023'!$D$2=AT5),'2023DATA'!$C$12,"")</f>
        <v/>
      </c>
      <c r="AU15" s="518" t="str">
        <f>IF(AND(_AC3="B-767-400ER",'2023'!$D$4="FO",'2023'!$D$2=AU5),'2023DATA'!$D$12,"")</f>
        <v/>
      </c>
      <c r="AV15" s="518" t="str">
        <f>IF(AND(_AC3="B-767-400ER",'2023'!$D$4="FO",'2023'!$D$2=AV5),'2023DATA'!$E$12,"")</f>
        <v/>
      </c>
      <c r="AW15" s="518" t="str">
        <f>IF(AND(_AC3="B-767-400ER",'2023'!$D$4="FO",'2023'!$D$2=AW5),'2023DATA'!$F$12,"")</f>
        <v/>
      </c>
      <c r="AX15" s="518" t="str">
        <f>IF(AND(_AC3="B-767-400ER",'2023'!$D$4="FO",'2023'!$D$2=AX5),'2023DATA'!$G$12,"")</f>
        <v/>
      </c>
      <c r="AY15" s="518" t="str">
        <f>IF(AND(_AC3="B-767-400ER",'2023'!$D$4="FO",'2023'!$D$2=AY5),'2023DATA'!$H$12,"")</f>
        <v/>
      </c>
      <c r="AZ15" s="518" t="str">
        <f>IF(AND(_AC3="B-767-400ER",'2023'!$D$4="FO",'2023'!$D$2=AZ5),'2023DATA'!$I$12,"")</f>
        <v/>
      </c>
      <c r="BA15" s="518" t="str">
        <f>IF(AND(_AC3="B-767-400ER",'2023'!$D$4="FO",'2023'!$D$2=BA5),'2023DATA'!$J$12,"")</f>
        <v/>
      </c>
      <c r="BB15" s="518" t="str">
        <f>IF(AND(_AC3="B-767-400ER",'2023'!$D$4="FO",'2023'!$D$2=BB5),'2023DATA'!$K$12,"")</f>
        <v/>
      </c>
      <c r="BC15" s="518" t="str">
        <f>IF(AND(_AC3="B-767-400ER",'2023'!$D$4="FO",'2023'!$D$2=BC5),'2023DATA'!$L$12,"")</f>
        <v/>
      </c>
      <c r="BD15" s="518" t="str">
        <f>IF(AND(_AC3="B-767-400ER",'2023'!$D$4="FO",'2023'!$D$2=BD5),'2023DATA'!$M$12,"")</f>
        <v/>
      </c>
      <c r="BE15" s="520" t="str">
        <f>IF(AND(_AC3="B-767-400ER",'2023'!$D$4="FO",'2023'!$D$2=BE5),'2023DATA'!$N$12,"")</f>
        <v/>
      </c>
      <c r="BF15" s="940"/>
      <c r="BG15" s="13" t="s">
        <v>62</v>
      </c>
      <c r="BH15" s="518" t="str">
        <f>IF(AND(_AC4="B-767-400ER",'2023'!$D$4="FO",'2023'!$D$2=BH5),'2023DATA'!$C$12,"")</f>
        <v/>
      </c>
      <c r="BI15" s="518" t="str">
        <f>IF(AND(_AC4="B-767-400ER",'2023'!$D$4="FO",'2023'!$D$2=BI5),'2023DATA'!$D$12,"")</f>
        <v/>
      </c>
      <c r="BJ15" s="518" t="str">
        <f>IF(AND(_AC4="B-767-400ER",'2023'!$D$4="FO",'2023'!$D$2=BJ5),'2023DATA'!$E$12,"")</f>
        <v/>
      </c>
      <c r="BK15" s="518" t="str">
        <f>IF(AND(_AC4="B-767-400ER",'2023'!$D$4="FO",'2023'!$D$2=BK5),'2023DATA'!$F$12,"")</f>
        <v/>
      </c>
      <c r="BL15" s="518" t="str">
        <f>IF(AND(_AC4="B-767-400ER",'2023'!$D$4="FO",'2023'!$D$2=BL5),'2023DATA'!$G$12,"")</f>
        <v/>
      </c>
      <c r="BM15" s="518" t="str">
        <f>IF(AND(_AC4="B-767-400ER",'2023'!$D$4="FO",'2023'!$D$2=BM5),'2023DATA'!$H$12,"")</f>
        <v/>
      </c>
      <c r="BN15" s="518" t="str">
        <f>IF(AND(_AC4="B-767-400ER",'2023'!$D$4="FO",'2023'!$D$2=BN5),'2023DATA'!$I$12,"")</f>
        <v/>
      </c>
      <c r="BO15" s="518" t="str">
        <f>IF(AND(_AC4="B-767-400ER",'2023'!$D$4="FO",'2023'!$D$2=BO5),'2023DATA'!$J$12,"")</f>
        <v/>
      </c>
      <c r="BP15" s="518" t="str">
        <f>IF(AND(_AC4="B-767-400ER",'2023'!$D$4="FO",'2023'!$D$2=BP5),'2023DATA'!$K$12,"")</f>
        <v/>
      </c>
      <c r="BQ15" s="518" t="str">
        <f>IF(AND(_AC4="B-767-400ER",'2023'!$D$4="FO",'2023'!$D$2=BQ5),'2023DATA'!$L$12,"")</f>
        <v/>
      </c>
      <c r="BR15" s="518" t="str">
        <f>IF(AND(_AC4="B-767-400ER",'2023'!$D$4="FO",'2023'!$D$2=BR5),'2023DATA'!$M$12,"")</f>
        <v/>
      </c>
      <c r="BS15" s="520" t="str">
        <f>IF(AND(_AC4="B-767-400ER",'2023'!$D$4="FO",'2023'!$D$2=BS5),'2023DATA'!$N$12,"")</f>
        <v/>
      </c>
      <c r="BT15" s="940"/>
      <c r="BU15" s="13" t="s">
        <v>62</v>
      </c>
      <c r="BV15" s="518" t="str">
        <f>IF(AND(_AC5="B-767-400ER",'2023'!$D$4="FO",'2023'!$D$2=BV5),'2023DATA'!$C$12,"")</f>
        <v/>
      </c>
      <c r="BW15" s="518" t="str">
        <f>IF(AND(_AC5="B-767-400ER",'2023'!$D$4="FO",'2023'!$D$2=BW5),'2023DATA'!$D$12,"")</f>
        <v/>
      </c>
      <c r="BX15" s="518" t="str">
        <f>IF(AND(_AC5="B-767-400ER",'2023'!$D$4="FO",'2023'!$D$2=BX5),'2023DATA'!$E$12,"")</f>
        <v/>
      </c>
      <c r="BY15" s="518" t="str">
        <f>IF(AND(_AC5="B-767-400ER",'2023'!$D$4="FO",'2023'!$D$2=BY5),'2023DATA'!$F$12,"")</f>
        <v/>
      </c>
      <c r="BZ15" s="518" t="str">
        <f>IF(AND(_AC5="B-767-400ER",'2023'!$D$4="FO",'2023'!$D$2=BZ5),'2023DATA'!$G$12,"")</f>
        <v/>
      </c>
      <c r="CA15" s="518" t="str">
        <f>IF(AND(_AC5="B-767-400ER",'2023'!$D$4="FO",'2023'!$D$2=CA5),'2023DATA'!$H$12,"")</f>
        <v/>
      </c>
      <c r="CB15" s="518" t="str">
        <f>IF(AND(_AC5="B-767-400ER",'2023'!$D$4="FO",'2023'!$D$2=CB5),'2023DATA'!$I$12,"")</f>
        <v/>
      </c>
      <c r="CC15" s="518" t="str">
        <f>IF(AND(_AC5="B-767-400ER",'2023'!$D$4="FO",'2023'!$D$2=CC5),'2023DATA'!$J$12,"")</f>
        <v/>
      </c>
      <c r="CD15" s="518" t="str">
        <f>IF(AND(_AC5="B-767-400ER",'2023'!$D$4="FO",'2023'!$D$2=CD5),'2023DATA'!$K$12,"")</f>
        <v/>
      </c>
      <c r="CE15" s="518" t="str">
        <f>IF(AND(_AC5="B-767-400ER",'2023'!$D$4="FO",'2023'!$D$2=CE5),'2023DATA'!$L$12,"")</f>
        <v/>
      </c>
      <c r="CF15" s="518" t="str">
        <f>IF(AND(_AC5="B-767-400ER",'2023'!$D$4="FO",'2023'!$D$2=CF5),'2023DATA'!$M$12,"")</f>
        <v/>
      </c>
      <c r="CG15" s="520" t="str">
        <f>IF(AND(_AC5="B-767-400ER",'2023'!$D$4="FO",'2023'!$D$2=CG5),'2023DATA'!$N$12,"")</f>
        <v/>
      </c>
      <c r="CH15" s="940"/>
      <c r="CI15" s="13" t="s">
        <v>62</v>
      </c>
      <c r="CJ15" s="518" t="str">
        <f>IF(AND(_AC6="B-767-400ER",'2023'!$D$4="FO",'2023'!$D$2=CJ5),'2023DATA'!$C$12,"")</f>
        <v/>
      </c>
      <c r="CK15" s="518" t="str">
        <f>IF(AND(_AC6="B-767-400ER",'2023'!$D$4="FO",'2023'!$D$2=CK5),'2023DATA'!$D$12,"")</f>
        <v/>
      </c>
      <c r="CL15" s="518" t="str">
        <f>IF(AND(_AC6="B-767-400ER",'2023'!$D$4="FO",'2023'!$D$2=CL5),'2023DATA'!$E$12,"")</f>
        <v/>
      </c>
      <c r="CM15" s="518" t="str">
        <f>IF(AND(_AC6="B-767-400ER",'2023'!$D$4="FO",'2023'!$D$2=CM5),'2023DATA'!$F$12,"")</f>
        <v/>
      </c>
      <c r="CN15" s="518" t="str">
        <f>IF(AND(_AC6="B-767-400ER",'2023'!$D$4="FO",'2023'!$D$2=CN5),'2023DATA'!$G$12,"")</f>
        <v/>
      </c>
      <c r="CO15" s="518" t="str">
        <f>IF(AND(_AC6="B-767-400ER",'2023'!$D$4="FO",'2023'!$D$2=CO5),'2023DATA'!$H$12,"")</f>
        <v/>
      </c>
      <c r="CP15" s="518" t="str">
        <f>IF(AND(_AC6="B-767-400ER",'2023'!$D$4="FO",'2023'!$D$2=CP5),'2023DATA'!$I$12,"")</f>
        <v/>
      </c>
      <c r="CQ15" s="518" t="str">
        <f>IF(AND(_AC6="B-767-400ER",'2023'!$D$4="FO",'2023'!$D$2=CQ5),'2023DATA'!$J$12,"")</f>
        <v/>
      </c>
      <c r="CR15" s="518" t="str">
        <f>IF(AND(_AC6="B-767-400ER",'2023'!$D$4="FO",'2023'!$D$2=CR5),'2023DATA'!$K$12,"")</f>
        <v/>
      </c>
      <c r="CS15" s="518" t="str">
        <f>IF(AND(_AC6="B-767-400ER",'2023'!$D$4="FO",'2023'!$D$2=CS5),'2023DATA'!$L$12,"")</f>
        <v/>
      </c>
      <c r="CT15" s="518" t="str">
        <f>IF(AND(_AC6="B-767-400ER",'2023'!$D$4="FO",'2023'!$D$2=CT5),'2023DATA'!$M$12,"")</f>
        <v/>
      </c>
      <c r="CU15" s="520" t="str">
        <f>IF(AND(_AC6="B-767-400ER",'2023'!$D$4="FO",'2023'!$D$2=CU5),'2023DATA'!$N$12,"")</f>
        <v/>
      </c>
    </row>
    <row r="16" spans="1:99" x14ac:dyDescent="0.25">
      <c r="A16" s="946"/>
      <c r="B16" s="78" t="s">
        <v>62</v>
      </c>
      <c r="C16" s="25">
        <v>238.71</v>
      </c>
      <c r="D16" s="26">
        <v>235.93</v>
      </c>
      <c r="E16" s="26">
        <v>233.07</v>
      </c>
      <c r="F16" s="26">
        <v>229.26</v>
      </c>
      <c r="G16" s="26">
        <v>226.96</v>
      </c>
      <c r="H16" s="26">
        <v>221.76</v>
      </c>
      <c r="I16" s="26">
        <v>215.81</v>
      </c>
      <c r="J16" s="26">
        <v>210.54</v>
      </c>
      <c r="K16" s="26">
        <v>205.51</v>
      </c>
      <c r="L16" s="26">
        <v>200.62</v>
      </c>
      <c r="M16" s="26">
        <v>171.44</v>
      </c>
      <c r="N16" s="27">
        <v>108.34</v>
      </c>
      <c r="P16" s="940" t="s">
        <v>43</v>
      </c>
      <c r="Q16" s="13" t="s">
        <v>61</v>
      </c>
      <c r="R16" s="518" t="str">
        <f>IF(AND(_AC1="B-767-300ER",'2023'!$D$4="CA",'2023'!$D$2=R5),'2023DATA'!$C$13,"")</f>
        <v/>
      </c>
      <c r="S16" s="518" t="str">
        <f>IF(AND(_AC1="B-767-300ER",'2023'!$D$4="CA",'2023'!$D$2=S5),'2023DATA'!$D$13,"")</f>
        <v/>
      </c>
      <c r="T16" s="518" t="str">
        <f>IF(AND(_AC1="B-767-300ER",'2023'!$D$4="CA",'2023'!$D$2=T5),'2023DATA'!$E$13,"")</f>
        <v/>
      </c>
      <c r="U16" s="518" t="str">
        <f>IF(AND(_AC1="B-767-300ER",'2023'!$D$4="CA",'2023'!$D$2=U5),'2023DATA'!$F$13,"")</f>
        <v/>
      </c>
      <c r="V16" s="518" t="str">
        <f>IF(AND(_AC1="B-767-300ER",'2023'!$D$4="CA",'2023'!$D$2=V5),'2023DATA'!$G$13,"")</f>
        <v/>
      </c>
      <c r="W16" s="518" t="str">
        <f>IF(AND(_AC1="B-767-300ER",'2023'!$D$4="CA",'2023'!$D$2=W5),'2023DATA'!$H$13,"")</f>
        <v/>
      </c>
      <c r="X16" s="518" t="str">
        <f>IF(AND(_AC1="B-767-300ER",'2023'!$D$4="CA",'2023'!$D$2=X5),'2023DATA'!$I$13,"")</f>
        <v/>
      </c>
      <c r="Y16" s="518" t="str">
        <f>IF(AND(_AC1="B-767-300ER",'2023'!$D$4="CA",'2023'!$D$2=Y5),'2023DATA'!$J$13,"")</f>
        <v/>
      </c>
      <c r="Z16" s="518" t="str">
        <f>IF(AND(_AC1="B-767-300ER",'2023'!$D$4="CA",'2023'!$D$2=Z5),'2023DATA'!$K$13,"")</f>
        <v/>
      </c>
      <c r="AA16" s="518" t="str">
        <f>IF(AND(_AC1="B-767-300ER",'2023'!$D$4="CA",'2023'!$D$2=AA5),'2023DATA'!$L$13,"")</f>
        <v/>
      </c>
      <c r="AB16" s="518" t="str">
        <f>IF(AND(_AC1="B-767-300ER",'2023'!$D$4="CA",'2023'!$D$2=AB5),'2023DATA'!$M$13,"")</f>
        <v/>
      </c>
      <c r="AC16" s="520" t="str">
        <f>IF(AND(_AC1="B-767-300ER",'2023'!$D$4="CA",'2023'!$D$2=AC5),'2023DATA'!$N$13,"")</f>
        <v/>
      </c>
      <c r="AD16" s="940" t="s">
        <v>43</v>
      </c>
      <c r="AE16" s="13" t="s">
        <v>61</v>
      </c>
      <c r="AF16" s="518" t="str">
        <f>IF(AND(_AC2="B-767-300ER",'2023'!$D$4="CA",'2023'!$D$2=AF5),'2023DATA'!$C$13,"")</f>
        <v/>
      </c>
      <c r="AG16" s="518" t="str">
        <f>IF(AND(_AC2="B-767-300ER",'2023'!$D$4="CA",'2023'!$D$2=AG5),'2023DATA'!$D$13,"")</f>
        <v/>
      </c>
      <c r="AH16" s="518" t="str">
        <f>IF(AND(_AC2="B-767-300ER",'2023'!$D$4="CA",'2023'!$D$2=AH5),'2023DATA'!$E$13,"")</f>
        <v/>
      </c>
      <c r="AI16" s="518" t="str">
        <f>IF(AND(_AC2="B-767-300ER",'2023'!$D$4="CA",'2023'!$D$2=AI5),'2023DATA'!$F$13,"")</f>
        <v/>
      </c>
      <c r="AJ16" s="518" t="str">
        <f>IF(AND(_AC2="B-767-300ER",'2023'!$D$4="CA",'2023'!$D$2=AJ5),'2023DATA'!$G$13,"")</f>
        <v/>
      </c>
      <c r="AK16" s="518" t="str">
        <f>IF(AND(_AC2="B-767-300ER",'2023'!$D$4="CA",'2023'!$D$2=AK5),'2023DATA'!$H$13,"")</f>
        <v/>
      </c>
      <c r="AL16" s="518" t="str">
        <f>IF(AND(_AC2="B-767-300ER",'2023'!$D$4="CA",'2023'!$D$2=AL5),'2023DATA'!$I$13,"")</f>
        <v/>
      </c>
      <c r="AM16" s="518" t="str">
        <f>IF(AND(_AC2="B-767-300ER",'2023'!$D$4="CA",'2023'!$D$2=AM5),'2023DATA'!$J$13,"")</f>
        <v/>
      </c>
      <c r="AN16" s="518" t="str">
        <f>IF(AND(_AC2="B-767-300ER",'2023'!$D$4="CA",'2023'!$D$2=AN5),'2023DATA'!$K$13,"")</f>
        <v/>
      </c>
      <c r="AO16" s="518" t="str">
        <f>IF(AND(_AC2="B-767-300ER",'2023'!$D$4="CA",'2023'!$D$2=AO5),'2023DATA'!$L$13,"")</f>
        <v/>
      </c>
      <c r="AP16" s="518" t="str">
        <f>IF(AND(_AC2="B-767-300ER",'2023'!$D$4="CA",'2023'!$D$2=AP5),'2023DATA'!$M$13,"")</f>
        <v/>
      </c>
      <c r="AQ16" s="520" t="str">
        <f>IF(AND(_AC2="B-767-300ER",'2023'!$D$4="CA",'2023'!$D$2=AQ5),'2023DATA'!$N$13,"")</f>
        <v/>
      </c>
      <c r="AR16" s="940" t="s">
        <v>43</v>
      </c>
      <c r="AS16" s="13" t="s">
        <v>61</v>
      </c>
      <c r="AT16" s="518" t="str">
        <f>IF(AND(_AC3="B-767-300ER",'2023'!$D$4="CA",'2023'!$D$2=AT5),'2023DATA'!$C$13,"")</f>
        <v/>
      </c>
      <c r="AU16" s="518" t="str">
        <f>IF(AND(_AC3="B-767-300ER",'2023'!$D$4="CA",'2023'!$D$2=AU5),'2023DATA'!$D$13,"")</f>
        <v/>
      </c>
      <c r="AV16" s="518" t="str">
        <f>IF(AND(_AC3="B-767-300ER",'2023'!$D$4="CA",'2023'!$D$2=AV5),'2023DATA'!$E$13,"")</f>
        <v/>
      </c>
      <c r="AW16" s="518" t="str">
        <f>IF(AND(_AC3="B-767-300ER",'2023'!$D$4="CA",'2023'!$D$2=AW5),'2023DATA'!$F$13,"")</f>
        <v/>
      </c>
      <c r="AX16" s="518" t="str">
        <f>IF(AND(_AC3="B-767-300ER",'2023'!$D$4="CA",'2023'!$D$2=AX5),'2023DATA'!$G$13,"")</f>
        <v/>
      </c>
      <c r="AY16" s="518" t="str">
        <f>IF(AND(_AC3="B-767-300ER",'2023'!$D$4="CA",'2023'!$D$2=AY5),'2023DATA'!$H$13,"")</f>
        <v/>
      </c>
      <c r="AZ16" s="518" t="str">
        <f>IF(AND(_AC3="B-767-300ER",'2023'!$D$4="CA",'2023'!$D$2=AZ5),'2023DATA'!$I$13,"")</f>
        <v/>
      </c>
      <c r="BA16" s="518" t="str">
        <f>IF(AND(_AC3="B-767-300ER",'2023'!$D$4="CA",'2023'!$D$2=BA5),'2023DATA'!$J$13,"")</f>
        <v/>
      </c>
      <c r="BB16" s="518" t="str">
        <f>IF(AND(_AC3="B-767-300ER",'2023'!$D$4="CA",'2023'!$D$2=BB5),'2023DATA'!$K$13,"")</f>
        <v/>
      </c>
      <c r="BC16" s="518" t="str">
        <f>IF(AND(_AC3="B-767-300ER",'2023'!$D$4="CA",'2023'!$D$2=BC5),'2023DATA'!$L$13,"")</f>
        <v/>
      </c>
      <c r="BD16" s="518" t="str">
        <f>IF(AND(_AC3="B-767-300ER",'2023'!$D$4="CA",'2023'!$D$2=BD5),'2023DATA'!$M$13,"")</f>
        <v/>
      </c>
      <c r="BE16" s="520" t="str">
        <f>IF(AND(_AC3="B-767-300ER",'2023'!$D$4="CA",'2023'!$D$2=BE5),'2023DATA'!$N$13,"")</f>
        <v/>
      </c>
      <c r="BF16" s="940" t="s">
        <v>43</v>
      </c>
      <c r="BG16" s="13" t="s">
        <v>61</v>
      </c>
      <c r="BH16" s="518" t="str">
        <f>IF(AND(_AC4="B-767-300ER",'2023'!$D$4="CA",'2023'!$D$2=BH5),'2023DATA'!$C$13,"")</f>
        <v/>
      </c>
      <c r="BI16" s="518" t="str">
        <f>IF(AND(_AC4="B-767-300ER",'2023'!$D$4="CA",'2023'!$D$2=BI5),'2023DATA'!$D$13,"")</f>
        <v/>
      </c>
      <c r="BJ16" s="518" t="str">
        <f>IF(AND(_AC4="B-767-300ER",'2023'!$D$4="CA",'2023'!$D$2=BJ5),'2023DATA'!$E$13,"")</f>
        <v/>
      </c>
      <c r="BK16" s="518" t="str">
        <f>IF(AND(_AC4="B-767-300ER",'2023'!$D$4="CA",'2023'!$D$2=BK5),'2023DATA'!$F$13,"")</f>
        <v/>
      </c>
      <c r="BL16" s="518" t="str">
        <f>IF(AND(_AC4="B-767-300ER",'2023'!$D$4="CA",'2023'!$D$2=BL5),'2023DATA'!$G$13,"")</f>
        <v/>
      </c>
      <c r="BM16" s="518" t="str">
        <f>IF(AND(_AC4="B-767-300ER",'2023'!$D$4="CA",'2023'!$D$2=BM5),'2023DATA'!$H$13,"")</f>
        <v/>
      </c>
      <c r="BN16" s="518" t="str">
        <f>IF(AND(_AC4="B-767-300ER",'2023'!$D$4="CA",'2023'!$D$2=BN5),'2023DATA'!$I$13,"")</f>
        <v/>
      </c>
      <c r="BO16" s="518" t="str">
        <f>IF(AND(_AC4="B-767-300ER",'2023'!$D$4="CA",'2023'!$D$2=BO5),'2023DATA'!$J$13,"")</f>
        <v/>
      </c>
      <c r="BP16" s="518" t="str">
        <f>IF(AND(_AC4="B-767-300ER",'2023'!$D$4="CA",'2023'!$D$2=BP5),'2023DATA'!$K$13,"")</f>
        <v/>
      </c>
      <c r="BQ16" s="518" t="str">
        <f>IF(AND(_AC4="B-767-300ER",'2023'!$D$4="CA",'2023'!$D$2=BQ5),'2023DATA'!$L$13,"")</f>
        <v/>
      </c>
      <c r="BR16" s="518" t="str">
        <f>IF(AND(_AC4="B-767-300ER",'2023'!$D$4="CA",'2023'!$D$2=BR5),'2023DATA'!$M$13,"")</f>
        <v/>
      </c>
      <c r="BS16" s="520" t="str">
        <f>IF(AND(_AC4="B-767-300ER",'2023'!$D$4="CA",'2023'!$D$2=BS5),'2023DATA'!$N$13,"")</f>
        <v/>
      </c>
      <c r="BT16" s="940" t="s">
        <v>43</v>
      </c>
      <c r="BU16" s="13" t="s">
        <v>61</v>
      </c>
      <c r="BV16" s="518" t="str">
        <f>IF(AND(_AC5="B-767-300ER",'2023'!$D$4="CA",'2023'!$D$2=BV5),'2023DATA'!$C$13,"")</f>
        <v/>
      </c>
      <c r="BW16" s="518" t="str">
        <f>IF(AND(_AC5="B-767-300ER",'2023'!$D$4="CA",'2023'!$D$2=BW5),'2023DATA'!$D$13,"")</f>
        <v/>
      </c>
      <c r="BX16" s="518" t="str">
        <f>IF(AND(_AC5="B-767-300ER",'2023'!$D$4="CA",'2023'!$D$2=BX5),'2023DATA'!$E$13,"")</f>
        <v/>
      </c>
      <c r="BY16" s="518" t="str">
        <f>IF(AND(_AC5="B-767-300ER",'2023'!$D$4="CA",'2023'!$D$2=BY5),'2023DATA'!$F$13,"")</f>
        <v/>
      </c>
      <c r="BZ16" s="518" t="str">
        <f>IF(AND(_AC5="B-767-300ER",'2023'!$D$4="CA",'2023'!$D$2=BZ5),'2023DATA'!$G$13,"")</f>
        <v/>
      </c>
      <c r="CA16" s="518" t="str">
        <f>IF(AND(_AC5="B-767-300ER",'2023'!$D$4="CA",'2023'!$D$2=CA5),'2023DATA'!$H$13,"")</f>
        <v/>
      </c>
      <c r="CB16" s="518" t="str">
        <f>IF(AND(_AC5="B-767-300ER",'2023'!$D$4="CA",'2023'!$D$2=CB5),'2023DATA'!$I$13,"")</f>
        <v/>
      </c>
      <c r="CC16" s="518" t="str">
        <f>IF(AND(_AC5="B-767-300ER",'2023'!$D$4="CA",'2023'!$D$2=CC5),'2023DATA'!$J$13,"")</f>
        <v/>
      </c>
      <c r="CD16" s="518" t="str">
        <f>IF(AND(_AC5="B-767-300ER",'2023'!$D$4="CA",'2023'!$D$2=CD5),'2023DATA'!$K$13,"")</f>
        <v/>
      </c>
      <c r="CE16" s="518" t="str">
        <f>IF(AND(_AC5="B-767-300ER",'2023'!$D$4="CA",'2023'!$D$2=CE5),'2023DATA'!$L$13,"")</f>
        <v/>
      </c>
      <c r="CF16" s="518" t="str">
        <f>IF(AND(_AC5="B-767-300ER",'2023'!$D$4="CA",'2023'!$D$2=CF5),'2023DATA'!$M$13,"")</f>
        <v/>
      </c>
      <c r="CG16" s="520" t="str">
        <f>IF(AND(_AC5="B-767-300ER",'2023'!$D$4="CA",'2023'!$D$2=CG5),'2023DATA'!$N$13,"")</f>
        <v/>
      </c>
      <c r="CH16" s="940" t="s">
        <v>43</v>
      </c>
      <c r="CI16" s="13" t="s">
        <v>61</v>
      </c>
      <c r="CJ16" s="518" t="str">
        <f>IF(AND(_AC6="B-767-300ER",'2023'!$D$4="CA",'2023'!$D$2=CJ5),'2023DATA'!$C$13,"")</f>
        <v/>
      </c>
      <c r="CK16" s="518" t="str">
        <f>IF(AND(_AC6="B-767-300ER",'2023'!$D$4="CA",'2023'!$D$2=CK5),'2023DATA'!$D$13,"")</f>
        <v/>
      </c>
      <c r="CL16" s="518" t="str">
        <f>IF(AND(_AC6="B-767-300ER",'2023'!$D$4="CA",'2023'!$D$2=CL5),'2023DATA'!$E$13,"")</f>
        <v/>
      </c>
      <c r="CM16" s="518" t="str">
        <f>IF(AND(_AC6="B-767-300ER",'2023'!$D$4="CA",'2023'!$D$2=CM5),'2023DATA'!$F$13,"")</f>
        <v/>
      </c>
      <c r="CN16" s="518" t="str">
        <f>IF(AND(_AC6="B-767-300ER",'2023'!$D$4="CA",'2023'!$D$2=CN5),'2023DATA'!$G$13,"")</f>
        <v/>
      </c>
      <c r="CO16" s="518" t="str">
        <f>IF(AND(_AC6="B-767-300ER",'2023'!$D$4="CA",'2023'!$D$2=CO5),'2023DATA'!$H$13,"")</f>
        <v/>
      </c>
      <c r="CP16" s="518" t="str">
        <f>IF(AND(_AC6="B-767-300ER",'2023'!$D$4="CA",'2023'!$D$2=CP5),'2023DATA'!$I$13,"")</f>
        <v/>
      </c>
      <c r="CQ16" s="518" t="str">
        <f>IF(AND(_AC6="B-767-300ER",'2023'!$D$4="CA",'2023'!$D$2=CQ5),'2023DATA'!$J$13,"")</f>
        <v/>
      </c>
      <c r="CR16" s="518" t="str">
        <f>IF(AND(_AC6="B-767-300ER",'2023'!$D$4="CA",'2023'!$D$2=CR5),'2023DATA'!$K$13,"")</f>
        <v/>
      </c>
      <c r="CS16" s="518" t="str">
        <f>IF(AND(_AC6="B-767-300ER",'2023'!$D$4="CA",'2023'!$D$2=CS5),'2023DATA'!$L$13,"")</f>
        <v/>
      </c>
      <c r="CT16" s="518" t="str">
        <f>IF(AND(_AC6="B-767-300ER",'2023'!$D$4="CA",'2023'!$D$2=CT5),'2023DATA'!$M$13,"")</f>
        <v/>
      </c>
      <c r="CU16" s="520" t="str">
        <f>IF(AND(_AC6="B-767-300ER",'2023'!$D$4="CA",'2023'!$D$2=CU5),'2023DATA'!$N$13,"")</f>
        <v/>
      </c>
    </row>
    <row r="17" spans="1:99" x14ac:dyDescent="0.25">
      <c r="A17" s="946" t="s">
        <v>68</v>
      </c>
      <c r="B17" s="78" t="s">
        <v>61</v>
      </c>
      <c r="C17" s="25">
        <v>349.5</v>
      </c>
      <c r="D17" s="26">
        <v>345.93</v>
      </c>
      <c r="E17" s="26">
        <v>342.25</v>
      </c>
      <c r="F17" s="26">
        <v>338.61</v>
      </c>
      <c r="G17" s="26">
        <v>336.22</v>
      </c>
      <c r="H17" s="26">
        <v>333.46</v>
      </c>
      <c r="I17" s="26">
        <v>331.01</v>
      </c>
      <c r="J17" s="26">
        <v>328.45</v>
      </c>
      <c r="K17" s="26">
        <v>325.68</v>
      </c>
      <c r="L17" s="26">
        <v>323.06</v>
      </c>
      <c r="M17" s="26">
        <v>320.45999999999998</v>
      </c>
      <c r="N17" s="27">
        <v>317.76</v>
      </c>
      <c r="P17" s="940"/>
      <c r="Q17" s="13" t="s">
        <v>62</v>
      </c>
      <c r="R17" s="518" t="str">
        <f>IF(AND(_AC1="B-767-300ER",'2023'!$D$4="FO",'2023'!$D$2=R5),'2023DATA'!$C$14,"")</f>
        <v/>
      </c>
      <c r="S17" s="518" t="str">
        <f>IF(AND(_AC1="B-767-300ER",'2023'!$D$4="FO",'2023'!$D$2=S5),'2023DATA'!$D$14,"")</f>
        <v/>
      </c>
      <c r="T17" s="518" t="str">
        <f>IF(AND(_AC1="B-767-300ER",'2023'!$D$4="FO",'2023'!$D$2=T5),'2023DATA'!$E$14,"")</f>
        <v/>
      </c>
      <c r="U17" s="518" t="str">
        <f>IF(AND(_AC1="B-767-300ER",'2023'!$D$4="FO",'2023'!$D$2=U5),'2023DATA'!$F$14,"")</f>
        <v/>
      </c>
      <c r="V17" s="518" t="str">
        <f>IF(AND(_AC1="B-767-300ER",'2023'!$D$4="FO",'2023'!$D$2=V5),'2023DATA'!$G$14,"")</f>
        <v/>
      </c>
      <c r="W17" s="518" t="str">
        <f>IF(AND(_AC1="B-767-300ER",'2023'!$D$4="FO",'2023'!$D$2=W5),'2023DATA'!$H$14,"")</f>
        <v/>
      </c>
      <c r="X17" s="518" t="str">
        <f>IF(AND(_AC1="B-767-300ER",'2023'!$D$4="FO",'2023'!$D$2=X5),'2023DATA'!$I$14,"")</f>
        <v/>
      </c>
      <c r="Y17" s="518" t="str">
        <f>IF(AND(_AC1="B-767-300ER",'2023'!$D$4="FO",'2023'!$D$2=Y5),'2023DATA'!$J$14,"")</f>
        <v/>
      </c>
      <c r="Z17" s="518" t="str">
        <f>IF(AND(_AC1="B-767-300ER",'2023'!$D$4="FO",'2023'!$D$2=Z5),'2023DATA'!$K$14,"")</f>
        <v/>
      </c>
      <c r="AA17" s="518" t="str">
        <f>IF(AND(_AC1="B-767-300ER",'2023'!$D$4="FO",'2023'!$D$2=AA5),'2023DATA'!$L$14,"")</f>
        <v/>
      </c>
      <c r="AB17" s="518" t="str">
        <f>IF(AND(_AC1="B-767-300ER",'2023'!$D$4="FO",'2023'!$D$2=AB5),'2023DATA'!$M$14,"")</f>
        <v/>
      </c>
      <c r="AC17" s="520" t="str">
        <f>IF(AND(_AC1="B-767-300ER",'2023'!$D$4="FO",'2023'!$D$2=AC5),'2023DATA'!$N$14,"")</f>
        <v/>
      </c>
      <c r="AD17" s="940"/>
      <c r="AE17" s="13" t="s">
        <v>62</v>
      </c>
      <c r="AF17" s="518" t="str">
        <f>IF(AND(_AC2="B-767-300ER",'2023'!$D$4="FO",'2023'!$D$2=AF5),'2023DATA'!$C$14,"")</f>
        <v/>
      </c>
      <c r="AG17" s="518" t="str">
        <f>IF(AND(_AC2="B-767-300ER",'2023'!$D$4="FO",'2023'!$D$2=AG5),'2023DATA'!$D$14,"")</f>
        <v/>
      </c>
      <c r="AH17" s="518" t="str">
        <f>IF(AND(_AC2="B-767-300ER",'2023'!$D$4="FO",'2023'!$D$2=AH5),'2023DATA'!$E$14,"")</f>
        <v/>
      </c>
      <c r="AI17" s="518" t="str">
        <f>IF(AND(_AC2="B-767-300ER",'2023'!$D$4="FO",'2023'!$D$2=AI5),'2023DATA'!$F$14,"")</f>
        <v/>
      </c>
      <c r="AJ17" s="518" t="str">
        <f>IF(AND(_AC2="B-767-300ER",'2023'!$D$4="FO",'2023'!$D$2=AJ5),'2023DATA'!$G$14,"")</f>
        <v/>
      </c>
      <c r="AK17" s="518" t="str">
        <f>IF(AND(_AC2="B-767-300ER",'2023'!$D$4="FO",'2023'!$D$2=AK5),'2023DATA'!$H$14,"")</f>
        <v/>
      </c>
      <c r="AL17" s="518" t="str">
        <f>IF(AND(_AC2="B-767-300ER",'2023'!$D$4="FO",'2023'!$D$2=AL5),'2023DATA'!$I$14,"")</f>
        <v/>
      </c>
      <c r="AM17" s="518" t="str">
        <f>IF(AND(_AC2="B-767-300ER",'2023'!$D$4="FO",'2023'!$D$2=AM5),'2023DATA'!$J$14,"")</f>
        <v/>
      </c>
      <c r="AN17" s="518" t="str">
        <f>IF(AND(_AC2="B-767-300ER",'2023'!$D$4="FO",'2023'!$D$2=AN5),'2023DATA'!$K$14,"")</f>
        <v/>
      </c>
      <c r="AO17" s="518" t="str">
        <f>IF(AND(_AC2="B-767-300ER",'2023'!$D$4="FO",'2023'!$D$2=AO5),'2023DATA'!$L$14,"")</f>
        <v/>
      </c>
      <c r="AP17" s="518" t="str">
        <f>IF(AND(_AC2="B-767-300ER",'2023'!$D$4="FO",'2023'!$D$2=AP5),'2023DATA'!$M$14,"")</f>
        <v/>
      </c>
      <c r="AQ17" s="520" t="str">
        <f>IF(AND(_AC2="B-767-300ER",'2023'!$D$4="FO",'2023'!$D$2=AQ5),'2023DATA'!$N$14,"")</f>
        <v/>
      </c>
      <c r="AR17" s="940"/>
      <c r="AS17" s="13" t="s">
        <v>62</v>
      </c>
      <c r="AT17" s="518" t="str">
        <f>IF(AND(_AC3="B-767-300ER",'2023'!$D$4="FO",'2023'!$D$2=AT5),'2023DATA'!$C$14,"")</f>
        <v/>
      </c>
      <c r="AU17" s="518" t="str">
        <f>IF(AND(_AC3="B-767-300ER",'2023'!$D$4="FO",'2023'!$D$2=AU5),'2023DATA'!$D$14,"")</f>
        <v/>
      </c>
      <c r="AV17" s="518" t="str">
        <f>IF(AND(_AC3="B-767-300ER",'2023'!$D$4="FO",'2023'!$D$2=AV5),'2023DATA'!$E$14,"")</f>
        <v/>
      </c>
      <c r="AW17" s="518" t="str">
        <f>IF(AND(_AC3="B-767-300ER",'2023'!$D$4="FO",'2023'!$D$2=AW5),'2023DATA'!$F$14,"")</f>
        <v/>
      </c>
      <c r="AX17" s="518" t="str">
        <f>IF(AND(_AC3="B-767-300ER",'2023'!$D$4="FO",'2023'!$D$2=AX5),'2023DATA'!$G$14,"")</f>
        <v/>
      </c>
      <c r="AY17" s="518" t="str">
        <f>IF(AND(_AC3="B-767-300ER",'2023'!$D$4="FO",'2023'!$D$2=AY5),'2023DATA'!$H$14,"")</f>
        <v/>
      </c>
      <c r="AZ17" s="518" t="str">
        <f>IF(AND(_AC3="B-767-300ER",'2023'!$D$4="FO",'2023'!$D$2=AZ5),'2023DATA'!$I$14,"")</f>
        <v/>
      </c>
      <c r="BA17" s="518" t="str">
        <f>IF(AND(_AC3="B-767-300ER",'2023'!$D$4="FO",'2023'!$D$2=BA5),'2023DATA'!$J$14,"")</f>
        <v/>
      </c>
      <c r="BB17" s="518" t="str">
        <f>IF(AND(_AC3="B-767-300ER",'2023'!$D$4="FO",'2023'!$D$2=BB5),'2023DATA'!$K$14,"")</f>
        <v/>
      </c>
      <c r="BC17" s="518" t="str">
        <f>IF(AND(_AC3="B-767-300ER",'2023'!$D$4="FO",'2023'!$D$2=BC5),'2023DATA'!$L$14,"")</f>
        <v/>
      </c>
      <c r="BD17" s="518" t="str">
        <f>IF(AND(_AC3="B-767-300ER",'2023'!$D$4="FO",'2023'!$D$2=BD5),'2023DATA'!$M$14,"")</f>
        <v/>
      </c>
      <c r="BE17" s="520" t="str">
        <f>IF(AND(_AC3="B-767-300ER",'2023'!$D$4="FO",'2023'!$D$2=BE5),'2023DATA'!$N$14,"")</f>
        <v/>
      </c>
      <c r="BF17" s="940"/>
      <c r="BG17" s="13" t="s">
        <v>62</v>
      </c>
      <c r="BH17" s="518" t="str">
        <f>IF(AND(_AC4="B-767-300ER",'2023'!$D$4="FO",'2023'!$D$2=BH5),'2023DATA'!$C$14,"")</f>
        <v/>
      </c>
      <c r="BI17" s="518" t="str">
        <f>IF(AND(_AC4="B-767-300ER",'2023'!$D$4="FO",'2023'!$D$2=BI5),'2023DATA'!$D$14,"")</f>
        <v/>
      </c>
      <c r="BJ17" s="518" t="str">
        <f>IF(AND(_AC4="B-767-300ER",'2023'!$D$4="FO",'2023'!$D$2=BJ5),'2023DATA'!$E$14,"")</f>
        <v/>
      </c>
      <c r="BK17" s="518" t="str">
        <f>IF(AND(_AC4="B-767-300ER",'2023'!$D$4="FO",'2023'!$D$2=BK5),'2023DATA'!$F$14,"")</f>
        <v/>
      </c>
      <c r="BL17" s="518" t="str">
        <f>IF(AND(_AC4="B-767-300ER",'2023'!$D$4="FO",'2023'!$D$2=BL5),'2023DATA'!$G$14,"")</f>
        <v/>
      </c>
      <c r="BM17" s="518" t="str">
        <f>IF(AND(_AC4="B-767-300ER",'2023'!$D$4="FO",'2023'!$D$2=BM5),'2023DATA'!$H$14,"")</f>
        <v/>
      </c>
      <c r="BN17" s="518" t="str">
        <f>IF(AND(_AC4="B-767-300ER",'2023'!$D$4="FO",'2023'!$D$2=BN5),'2023DATA'!$I$14,"")</f>
        <v/>
      </c>
      <c r="BO17" s="518" t="str">
        <f>IF(AND(_AC4="B-767-300ER",'2023'!$D$4="FO",'2023'!$D$2=BO5),'2023DATA'!$J$14,"")</f>
        <v/>
      </c>
      <c r="BP17" s="518" t="str">
        <f>IF(AND(_AC4="B-767-300ER",'2023'!$D$4="FO",'2023'!$D$2=BP5),'2023DATA'!$K$14,"")</f>
        <v/>
      </c>
      <c r="BQ17" s="518" t="str">
        <f>IF(AND(_AC4="B-767-300ER",'2023'!$D$4="FO",'2023'!$D$2=BQ5),'2023DATA'!$L$14,"")</f>
        <v/>
      </c>
      <c r="BR17" s="518" t="str">
        <f>IF(AND(_AC4="B-767-300ER",'2023'!$D$4="FO",'2023'!$D$2=BR5),'2023DATA'!$M$14,"")</f>
        <v/>
      </c>
      <c r="BS17" s="520" t="str">
        <f>IF(AND(_AC4="B-767-300ER",'2023'!$D$4="FO",'2023'!$D$2=BS5),'2023DATA'!$N$14,"")</f>
        <v/>
      </c>
      <c r="BT17" s="940"/>
      <c r="BU17" s="13" t="s">
        <v>62</v>
      </c>
      <c r="BV17" s="518" t="str">
        <f>IF(AND(_AC5="B-767-300ER",'2023'!$D$4="FO",'2023'!$D$2=BV5),'2023DATA'!$C$14,"")</f>
        <v/>
      </c>
      <c r="BW17" s="518" t="str">
        <f>IF(AND(_AC5="B-767-300ER",'2023'!$D$4="FO",'2023'!$D$2=BW5),'2023DATA'!$D$14,"")</f>
        <v/>
      </c>
      <c r="BX17" s="518" t="str">
        <f>IF(AND(_AC5="B-767-300ER",'2023'!$D$4="FO",'2023'!$D$2=BX5),'2023DATA'!$E$14,"")</f>
        <v/>
      </c>
      <c r="BY17" s="518" t="str">
        <f>IF(AND(_AC5="B-767-300ER",'2023'!$D$4="FO",'2023'!$D$2=BY5),'2023DATA'!$F$14,"")</f>
        <v/>
      </c>
      <c r="BZ17" s="518" t="str">
        <f>IF(AND(_AC5="B-767-300ER",'2023'!$D$4="FO",'2023'!$D$2=BZ5),'2023DATA'!$G$14,"")</f>
        <v/>
      </c>
      <c r="CA17" s="518" t="str">
        <f>IF(AND(_AC5="B-767-300ER",'2023'!$D$4="FO",'2023'!$D$2=CA5),'2023DATA'!$H$14,"")</f>
        <v/>
      </c>
      <c r="CB17" s="518" t="str">
        <f>IF(AND(_AC5="B-767-300ER",'2023'!$D$4="FO",'2023'!$D$2=CB5),'2023DATA'!$I$14,"")</f>
        <v/>
      </c>
      <c r="CC17" s="518" t="str">
        <f>IF(AND(_AC5="B-767-300ER",'2023'!$D$4="FO",'2023'!$D$2=CC5),'2023DATA'!$J$14,"")</f>
        <v/>
      </c>
      <c r="CD17" s="518" t="str">
        <f>IF(AND(_AC5="B-767-300ER",'2023'!$D$4="FO",'2023'!$D$2=CD5),'2023DATA'!$K$14,"")</f>
        <v/>
      </c>
      <c r="CE17" s="518" t="str">
        <f>IF(AND(_AC5="B-767-300ER",'2023'!$D$4="FO",'2023'!$D$2=CE5),'2023DATA'!$L$14,"")</f>
        <v/>
      </c>
      <c r="CF17" s="518" t="str">
        <f>IF(AND(_AC5="B-767-300ER",'2023'!$D$4="FO",'2023'!$D$2=CF5),'2023DATA'!$M$14,"")</f>
        <v/>
      </c>
      <c r="CG17" s="520" t="str">
        <f>IF(AND(_AC5="B-767-300ER",'2023'!$D$4="FO",'2023'!$D$2=CG5),'2023DATA'!$N$14,"")</f>
        <v/>
      </c>
      <c r="CH17" s="940"/>
      <c r="CI17" s="13" t="s">
        <v>62</v>
      </c>
      <c r="CJ17" s="518" t="str">
        <f>IF(AND(_AC6="B-767-300ER",'2023'!$D$4="FO",'2023'!$D$2=CJ5),'2023DATA'!$C$14,"")</f>
        <v/>
      </c>
      <c r="CK17" s="518" t="str">
        <f>IF(AND(_AC6="B-767-300ER",'2023'!$D$4="FO",'2023'!$D$2=CK5),'2023DATA'!$D$14,"")</f>
        <v/>
      </c>
      <c r="CL17" s="518" t="str">
        <f>IF(AND(_AC6="B-767-300ER",'2023'!$D$4="FO",'2023'!$D$2=CL5),'2023DATA'!$E$14,"")</f>
        <v/>
      </c>
      <c r="CM17" s="518" t="str">
        <f>IF(AND(_AC6="B-767-300ER",'2023'!$D$4="FO",'2023'!$D$2=CM5),'2023DATA'!$F$14,"")</f>
        <v/>
      </c>
      <c r="CN17" s="518" t="str">
        <f>IF(AND(_AC6="B-767-300ER",'2023'!$D$4="FO",'2023'!$D$2=CN5),'2023DATA'!$G$14,"")</f>
        <v/>
      </c>
      <c r="CO17" s="518" t="str">
        <f>IF(AND(_AC6="B-767-300ER",'2023'!$D$4="FO",'2023'!$D$2=CO5),'2023DATA'!$H$14,"")</f>
        <v/>
      </c>
      <c r="CP17" s="518" t="str">
        <f>IF(AND(_AC6="B-767-300ER",'2023'!$D$4="FO",'2023'!$D$2=CP5),'2023DATA'!$I$14,"")</f>
        <v/>
      </c>
      <c r="CQ17" s="518" t="str">
        <f>IF(AND(_AC6="B-767-300ER",'2023'!$D$4="FO",'2023'!$D$2=CQ5),'2023DATA'!$J$14,"")</f>
        <v/>
      </c>
      <c r="CR17" s="518" t="str">
        <f>IF(AND(_AC6="B-767-300ER",'2023'!$D$4="FO",'2023'!$D$2=CR5),'2023DATA'!$K$14,"")</f>
        <v/>
      </c>
      <c r="CS17" s="518" t="str">
        <f>IF(AND(_AC6="B-767-300ER",'2023'!$D$4="FO",'2023'!$D$2=CS5),'2023DATA'!$L$14,"")</f>
        <v/>
      </c>
      <c r="CT17" s="518" t="str">
        <f>IF(AND(_AC6="B-767-300ER",'2023'!$D$4="FO",'2023'!$D$2=CT5),'2023DATA'!$M$14,"")</f>
        <v/>
      </c>
      <c r="CU17" s="520" t="str">
        <f>IF(AND(_AC6="B-767-300ER",'2023'!$D$4="FO",'2023'!$D$2=CU5),'2023DATA'!$N$14,"")</f>
        <v/>
      </c>
    </row>
    <row r="18" spans="1:99" x14ac:dyDescent="0.25">
      <c r="A18" s="946"/>
      <c r="B18" s="78" t="s">
        <v>62</v>
      </c>
      <c r="C18" s="25">
        <v>238.71</v>
      </c>
      <c r="D18" s="26">
        <v>235.93</v>
      </c>
      <c r="E18" s="26">
        <v>233.07</v>
      </c>
      <c r="F18" s="26">
        <v>229.26</v>
      </c>
      <c r="G18" s="26">
        <v>226.96</v>
      </c>
      <c r="H18" s="26">
        <v>221.76</v>
      </c>
      <c r="I18" s="26">
        <v>215.81</v>
      </c>
      <c r="J18" s="26">
        <v>210.54</v>
      </c>
      <c r="K18" s="26">
        <v>205.51</v>
      </c>
      <c r="L18" s="26">
        <v>200.62</v>
      </c>
      <c r="M18" s="26">
        <v>171.44</v>
      </c>
      <c r="N18" s="27">
        <v>108.34</v>
      </c>
      <c r="P18" s="940" t="s">
        <v>67</v>
      </c>
      <c r="Q18" s="13" t="s">
        <v>61</v>
      </c>
      <c r="R18" s="518" t="str">
        <f>IF(AND(_AC1="B-767-300",'2023'!$D$4="CA",'2023'!$D$2=R5),'2023DATA'!$C$15,"")</f>
        <v/>
      </c>
      <c r="S18" s="518" t="str">
        <f>IF(AND(_AC1="B-767-300",'2023'!$D$4="CA",'2023'!$D$2=S5),'2023DATA'!$D$15,"")</f>
        <v/>
      </c>
      <c r="T18" s="518" t="str">
        <f>IF(AND(_AC1="B-767-300",'2023'!$D$4="CA",'2023'!$D$2=T5),'2023DATA'!$E$15,"")</f>
        <v/>
      </c>
      <c r="U18" s="518" t="str">
        <f>IF(AND(_AC1="B-767-300",'2023'!$D$4="CA",'2023'!$D$2=U5),'2023DATA'!$F$15,"")</f>
        <v/>
      </c>
      <c r="V18" s="518" t="str">
        <f>IF(AND(_AC1="B-767-300",'2023'!$D$4="CA",'2023'!$D$2=V5),'2023DATA'!$G$15,"")</f>
        <v/>
      </c>
      <c r="W18" s="518" t="str">
        <f>IF(AND(_AC1="B-767-300",'2023'!$D$4="CA",'2023'!$D$2=W5),'2023DATA'!$H$15,"")</f>
        <v/>
      </c>
      <c r="X18" s="518" t="str">
        <f>IF(AND(_AC1="B-767-300",'2023'!$D$4="CA",'2023'!$D$2=X5),'2023DATA'!$I$15,"")</f>
        <v/>
      </c>
      <c r="Y18" s="518" t="str">
        <f>IF(AND(_AC1="B-767-300",'2023'!$D$4="CA",'2023'!$D$2=Y5),'2023DATA'!$J$15,"")</f>
        <v/>
      </c>
      <c r="Z18" s="518" t="str">
        <f>IF(AND(_AC1="B-767-300",'2023'!$D$4="CA",'2023'!$D$2=Z5),'2023DATA'!$K$15,"")</f>
        <v/>
      </c>
      <c r="AA18" s="518" t="str">
        <f>IF(AND(_AC1="B-767-300",'2023'!$D$4="CA",'2023'!$D$2=AA5),'2023DATA'!$L$15,"")</f>
        <v/>
      </c>
      <c r="AB18" s="518" t="str">
        <f>IF(AND(_AC1="B-767-300",'2023'!$D$4="CA",'2023'!$D$2=AB5),'2023DATA'!$M$15,"")</f>
        <v/>
      </c>
      <c r="AC18" s="520" t="str">
        <f>IF(AND(_AC1="B-767-300",'2023'!$D$4="CA",'2023'!$D$2=AC5),'2023DATA'!$N$15,"")</f>
        <v/>
      </c>
      <c r="AD18" s="940" t="s">
        <v>67</v>
      </c>
      <c r="AE18" s="13" t="s">
        <v>61</v>
      </c>
      <c r="AF18" s="518" t="str">
        <f>IF(AND(_AC2="B-767-300",'2023'!$D$4="CA",'2023'!$D$2=AF5),'2023DATA'!$C$15,"")</f>
        <v/>
      </c>
      <c r="AG18" s="518" t="str">
        <f>IF(AND(_AC2="B-767-300",'2023'!$D$4="CA",'2023'!$D$2=AG5),'2023DATA'!$D$15,"")</f>
        <v/>
      </c>
      <c r="AH18" s="518" t="str">
        <f>IF(AND(_AC2="B-767-300",'2023'!$D$4="CA",'2023'!$D$2=AH5),'2023DATA'!$E$15,"")</f>
        <v/>
      </c>
      <c r="AI18" s="518" t="str">
        <f>IF(AND(_AC2="B-767-300",'2023'!$D$4="CA",'2023'!$D$2=AI5),'2023DATA'!$F$15,"")</f>
        <v/>
      </c>
      <c r="AJ18" s="518" t="str">
        <f>IF(AND(_AC2="B-767-300",'2023'!$D$4="CA",'2023'!$D$2=AJ5),'2023DATA'!$G$15,"")</f>
        <v/>
      </c>
      <c r="AK18" s="518" t="str">
        <f>IF(AND(_AC2="B-767-300",'2023'!$D$4="CA",'2023'!$D$2=AK5),'2023DATA'!$H$15,"")</f>
        <v/>
      </c>
      <c r="AL18" s="518" t="str">
        <f>IF(AND(_AC2="B-767-300",'2023'!$D$4="CA",'2023'!$D$2=AL5),'2023DATA'!$I$15,"")</f>
        <v/>
      </c>
      <c r="AM18" s="518" t="str">
        <f>IF(AND(_AC2="B-767-300",'2023'!$D$4="CA",'2023'!$D$2=AM5),'2023DATA'!$J$15,"")</f>
        <v/>
      </c>
      <c r="AN18" s="518" t="str">
        <f>IF(AND(_AC2="B-767-300",'2023'!$D$4="CA",'2023'!$D$2=AN5),'2023DATA'!$K$15,"")</f>
        <v/>
      </c>
      <c r="AO18" s="518" t="str">
        <f>IF(AND(_AC2="B-767-300",'2023'!$D$4="CA",'2023'!$D$2=AO5),'2023DATA'!$L$15,"")</f>
        <v/>
      </c>
      <c r="AP18" s="518" t="str">
        <f>IF(AND(_AC2="B-767-300",'2023'!$D$4="CA",'2023'!$D$2=AP5),'2023DATA'!$M$15,"")</f>
        <v/>
      </c>
      <c r="AQ18" s="520" t="str">
        <f>IF(AND(_AC2="B-767-300",'2023'!$D$4="CA",'2023'!$D$2=AQ5),'2023DATA'!$N$15,"")</f>
        <v/>
      </c>
      <c r="AR18" s="940" t="s">
        <v>67</v>
      </c>
      <c r="AS18" s="13" t="s">
        <v>61</v>
      </c>
      <c r="AT18" s="518" t="str">
        <f>IF(AND(_AC3="B-767-300",'2023'!$D$4="CA",'2023'!$D$2=AT5),'2023DATA'!$C$15,"")</f>
        <v/>
      </c>
      <c r="AU18" s="518" t="str">
        <f>IF(AND(_AC3="B-767-300",'2023'!$D$4="CA",'2023'!$D$2=AU5),'2023DATA'!$D$15,"")</f>
        <v/>
      </c>
      <c r="AV18" s="518" t="str">
        <f>IF(AND(_AC3="B-767-300",'2023'!$D$4="CA",'2023'!$D$2=AV5),'2023DATA'!$E$15,"")</f>
        <v/>
      </c>
      <c r="AW18" s="518" t="str">
        <f>IF(AND(_AC3="B-767-300",'2023'!$D$4="CA",'2023'!$D$2=AW5),'2023DATA'!$F$15,"")</f>
        <v/>
      </c>
      <c r="AX18" s="518" t="str">
        <f>IF(AND(_AC3="B-767-300",'2023'!$D$4="CA",'2023'!$D$2=AX5),'2023DATA'!$G$15,"")</f>
        <v/>
      </c>
      <c r="AY18" s="518" t="str">
        <f>IF(AND(_AC3="B-767-300",'2023'!$D$4="CA",'2023'!$D$2=AY5),'2023DATA'!$H$15,"")</f>
        <v/>
      </c>
      <c r="AZ18" s="518" t="str">
        <f>IF(AND(_AC3="B-767-300",'2023'!$D$4="CA",'2023'!$D$2=AZ5),'2023DATA'!$I$15,"")</f>
        <v/>
      </c>
      <c r="BA18" s="518" t="str">
        <f>IF(AND(_AC3="B-767-300",'2023'!$D$4="CA",'2023'!$D$2=BA5),'2023DATA'!$J$15,"")</f>
        <v/>
      </c>
      <c r="BB18" s="518" t="str">
        <f>IF(AND(_AC3="B-767-300",'2023'!$D$4="CA",'2023'!$D$2=BB5),'2023DATA'!$K$15,"")</f>
        <v/>
      </c>
      <c r="BC18" s="518" t="str">
        <f>IF(AND(_AC3="B-767-300",'2023'!$D$4="CA",'2023'!$D$2=BC5),'2023DATA'!$L$15,"")</f>
        <v/>
      </c>
      <c r="BD18" s="518" t="str">
        <f>IF(AND(_AC3="B-767-300",'2023'!$D$4="CA",'2023'!$D$2=BD5),'2023DATA'!$M$15,"")</f>
        <v/>
      </c>
      <c r="BE18" s="520" t="str">
        <f>IF(AND(_AC3="B-767-300",'2023'!$D$4="CA",'2023'!$D$2=BE5),'2023DATA'!$N$15,"")</f>
        <v/>
      </c>
      <c r="BF18" s="940" t="s">
        <v>67</v>
      </c>
      <c r="BG18" s="13" t="s">
        <v>61</v>
      </c>
      <c r="BH18" s="518" t="str">
        <f>IF(AND(_AC4="B-767-300",'2023'!$D$4="CA",'2023'!$D$2=BH5),'2023DATA'!$C$15,"")</f>
        <v/>
      </c>
      <c r="BI18" s="518" t="str">
        <f>IF(AND(_AC4="B-767-300",'2023'!$D$4="CA",'2023'!$D$2=BI5),'2023DATA'!$D$15,"")</f>
        <v/>
      </c>
      <c r="BJ18" s="518" t="str">
        <f>IF(AND(_AC4="B-767-300",'2023'!$D$4="CA",'2023'!$D$2=BJ5),'2023DATA'!$E$15,"")</f>
        <v/>
      </c>
      <c r="BK18" s="518" t="str">
        <f>IF(AND(_AC4="B-767-300",'2023'!$D$4="CA",'2023'!$D$2=BK5),'2023DATA'!$F$15,"")</f>
        <v/>
      </c>
      <c r="BL18" s="518" t="str">
        <f>IF(AND(_AC4="B-767-300",'2023'!$D$4="CA",'2023'!$D$2=BL5),'2023DATA'!$G$15,"")</f>
        <v/>
      </c>
      <c r="BM18" s="518" t="str">
        <f>IF(AND(_AC4="B-767-300",'2023'!$D$4="CA",'2023'!$D$2=BM5),'2023DATA'!$H$15,"")</f>
        <v/>
      </c>
      <c r="BN18" s="518" t="str">
        <f>IF(AND(_AC4="B-767-300",'2023'!$D$4="CA",'2023'!$D$2=BN5),'2023DATA'!$I$15,"")</f>
        <v/>
      </c>
      <c r="BO18" s="518" t="str">
        <f>IF(AND(_AC4="B-767-300",'2023'!$D$4="CA",'2023'!$D$2=BO5),'2023DATA'!$J$15,"")</f>
        <v/>
      </c>
      <c r="BP18" s="518" t="str">
        <f>IF(AND(_AC4="B-767-300",'2023'!$D$4="CA",'2023'!$D$2=BP5),'2023DATA'!$K$15,"")</f>
        <v/>
      </c>
      <c r="BQ18" s="518" t="str">
        <f>IF(AND(_AC4="B-767-300",'2023'!$D$4="CA",'2023'!$D$2=BQ5),'2023DATA'!$L$15,"")</f>
        <v/>
      </c>
      <c r="BR18" s="518" t="str">
        <f>IF(AND(_AC4="B-767-300",'2023'!$D$4="CA",'2023'!$D$2=BR5),'2023DATA'!$M$15,"")</f>
        <v/>
      </c>
      <c r="BS18" s="520" t="str">
        <f>IF(AND(_AC4="B-767-300",'2023'!$D$4="CA",'2023'!$D$2=BS5),'2023DATA'!$N$15,"")</f>
        <v/>
      </c>
      <c r="BT18" s="940" t="s">
        <v>67</v>
      </c>
      <c r="BU18" s="13" t="s">
        <v>61</v>
      </c>
      <c r="BV18" s="518" t="str">
        <f>IF(AND(_AC5="B-767-300",'2023'!$D$4="CA",'2023'!$D$2=BV5),'2023DATA'!$C$15,"")</f>
        <v/>
      </c>
      <c r="BW18" s="518" t="str">
        <f>IF(AND(_AC5="B-767-300",'2023'!$D$4="CA",'2023'!$D$2=BW5),'2023DATA'!$D$15,"")</f>
        <v/>
      </c>
      <c r="BX18" s="518" t="str">
        <f>IF(AND(_AC5="B-767-300",'2023'!$D$4="CA",'2023'!$D$2=BX5),'2023DATA'!$E$15,"")</f>
        <v/>
      </c>
      <c r="BY18" s="518" t="str">
        <f>IF(AND(_AC5="B-767-300",'2023'!$D$4="CA",'2023'!$D$2=BY5),'2023DATA'!$F$15,"")</f>
        <v/>
      </c>
      <c r="BZ18" s="518" t="str">
        <f>IF(AND(_AC5="B-767-300",'2023'!$D$4="CA",'2023'!$D$2=BZ5),'2023DATA'!$G$15,"")</f>
        <v/>
      </c>
      <c r="CA18" s="518" t="str">
        <f>IF(AND(_AC5="B-767-300",'2023'!$D$4="CA",'2023'!$D$2=CA5),'2023DATA'!$H$15,"")</f>
        <v/>
      </c>
      <c r="CB18" s="518" t="str">
        <f>IF(AND(_AC5="B-767-300",'2023'!$D$4="CA",'2023'!$D$2=CB5),'2023DATA'!$I$15,"")</f>
        <v/>
      </c>
      <c r="CC18" s="518" t="str">
        <f>IF(AND(_AC5="B-767-300",'2023'!$D$4="CA",'2023'!$D$2=CC5),'2023DATA'!$J$15,"")</f>
        <v/>
      </c>
      <c r="CD18" s="518" t="str">
        <f>IF(AND(_AC5="B-767-300",'2023'!$D$4="CA",'2023'!$D$2=CD5),'2023DATA'!$K$15,"")</f>
        <v/>
      </c>
      <c r="CE18" s="518" t="str">
        <f>IF(AND(_AC5="B-767-300",'2023'!$D$4="CA",'2023'!$D$2=CE5),'2023DATA'!$L$15,"")</f>
        <v/>
      </c>
      <c r="CF18" s="518" t="str">
        <f>IF(AND(_AC5="B-767-300",'2023'!$D$4="CA",'2023'!$D$2=CF5),'2023DATA'!$M$15,"")</f>
        <v/>
      </c>
      <c r="CG18" s="520" t="str">
        <f>IF(AND(_AC5="B-767-300",'2023'!$D$4="CA",'2023'!$D$2=CG5),'2023DATA'!$N$15,"")</f>
        <v/>
      </c>
      <c r="CH18" s="940" t="s">
        <v>67</v>
      </c>
      <c r="CI18" s="13" t="s">
        <v>61</v>
      </c>
      <c r="CJ18" s="518" t="str">
        <f>IF(AND(_AC6="B-767-300",'2023'!$D$4="CA",'2023'!$D$2=CJ5),'2023DATA'!$C$15,"")</f>
        <v/>
      </c>
      <c r="CK18" s="518" t="str">
        <f>IF(AND(_AC6="B-767-300",'2023'!$D$4="CA",'2023'!$D$2=CK5),'2023DATA'!$D$15,"")</f>
        <v/>
      </c>
      <c r="CL18" s="518" t="str">
        <f>IF(AND(_AC6="B-767-300",'2023'!$D$4="CA",'2023'!$D$2=CL5),'2023DATA'!$E$15,"")</f>
        <v/>
      </c>
      <c r="CM18" s="518" t="str">
        <f>IF(AND(_AC6="B-767-300",'2023'!$D$4="CA",'2023'!$D$2=CM5),'2023DATA'!$F$15,"")</f>
        <v/>
      </c>
      <c r="CN18" s="518" t="str">
        <f>IF(AND(_AC6="B-767-300",'2023'!$D$4="CA",'2023'!$D$2=CN5),'2023DATA'!$G$15,"")</f>
        <v/>
      </c>
      <c r="CO18" s="518" t="str">
        <f>IF(AND(_AC6="B-767-300",'2023'!$D$4="CA",'2023'!$D$2=CO5),'2023DATA'!$H$15,"")</f>
        <v/>
      </c>
      <c r="CP18" s="518" t="str">
        <f>IF(AND(_AC6="B-767-300",'2023'!$D$4="CA",'2023'!$D$2=CP5),'2023DATA'!$I$15,"")</f>
        <v/>
      </c>
      <c r="CQ18" s="518" t="str">
        <f>IF(AND(_AC6="B-767-300",'2023'!$D$4="CA",'2023'!$D$2=CQ5),'2023DATA'!$J$15,"")</f>
        <v/>
      </c>
      <c r="CR18" s="518" t="str">
        <f>IF(AND(_AC6="B-767-300",'2023'!$D$4="CA",'2023'!$D$2=CR5),'2023DATA'!$K$15,"")</f>
        <v/>
      </c>
      <c r="CS18" s="518" t="str">
        <f>IF(AND(_AC6="B-767-300",'2023'!$D$4="CA",'2023'!$D$2=CS5),'2023DATA'!$L$15,"")</f>
        <v/>
      </c>
      <c r="CT18" s="518" t="str">
        <f>IF(AND(_AC6="B-767-300",'2023'!$D$4="CA",'2023'!$D$2=CT5),'2023DATA'!$M$15,"")</f>
        <v/>
      </c>
      <c r="CU18" s="520" t="str">
        <f>IF(AND(_AC6="B-767-300",'2023'!$D$4="CA",'2023'!$D$2=CU5),'2023DATA'!$N$15,"")</f>
        <v/>
      </c>
    </row>
    <row r="19" spans="1:99" x14ac:dyDescent="0.25">
      <c r="A19" s="946" t="s">
        <v>45</v>
      </c>
      <c r="B19" s="78" t="s">
        <v>61</v>
      </c>
      <c r="C19" s="25">
        <v>349.5</v>
      </c>
      <c r="D19" s="26">
        <v>345.93</v>
      </c>
      <c r="E19" s="26">
        <v>342.25</v>
      </c>
      <c r="F19" s="26">
        <v>338.61</v>
      </c>
      <c r="G19" s="26">
        <v>336.22</v>
      </c>
      <c r="H19" s="26">
        <v>333.46</v>
      </c>
      <c r="I19" s="26">
        <v>331.01</v>
      </c>
      <c r="J19" s="26">
        <v>328.45</v>
      </c>
      <c r="K19" s="26">
        <v>325.68</v>
      </c>
      <c r="L19" s="26">
        <v>323.06</v>
      </c>
      <c r="M19" s="26">
        <v>320.45999999999998</v>
      </c>
      <c r="N19" s="27">
        <v>317.76</v>
      </c>
      <c r="P19" s="940"/>
      <c r="Q19" s="13" t="s">
        <v>62</v>
      </c>
      <c r="R19" s="518" t="str">
        <f>IF(AND(_AC1="B-767-300",'2023'!$D$4="FO",'2023'!$D$2=R5),'2023DATA'!$C$16,"")</f>
        <v/>
      </c>
      <c r="S19" s="518" t="str">
        <f>IF(AND(_AC1="B-767-300",'2023'!$D$4="FO",'2023'!$D$2=S5),'2023DATA'!$D$16,"")</f>
        <v/>
      </c>
      <c r="T19" s="518" t="str">
        <f>IF(AND(_AC1="B-767-300",'2023'!$D$4="FO",'2023'!$D$2=T5),'2023DATA'!$E$16,"")</f>
        <v/>
      </c>
      <c r="U19" s="518" t="str">
        <f>IF(AND(_AC1="B-767-300",'2023'!$D$4="FO",'2023'!$D$2=U5),'2023DATA'!$F$16,"")</f>
        <v/>
      </c>
      <c r="V19" s="518" t="str">
        <f>IF(AND(_AC1="B-767-300",'2023'!$D$4="FO",'2023'!$D$2=V5),'2023DATA'!$G$16,"")</f>
        <v/>
      </c>
      <c r="W19" s="518" t="str">
        <f>IF(AND(_AC1="B-767-300",'2023'!$D$4="FO",'2023'!$D$2=W5),'2023DATA'!$H$16,"")</f>
        <v/>
      </c>
      <c r="X19" s="518" t="str">
        <f>IF(AND(_AC1="B-767-300",'2023'!$D$4="FO",'2023'!$D$2=X5),'2023DATA'!$I$16,"")</f>
        <v/>
      </c>
      <c r="Y19" s="518" t="str">
        <f>IF(AND(_AC1="B-767-300",'2023'!$D$4="FO",'2023'!$D$2=Y5),'2023DATA'!$J$16,"")</f>
        <v/>
      </c>
      <c r="Z19" s="518" t="str">
        <f>IF(AND(_AC1="B-767-300",'2023'!$D$4="FO",'2023'!$D$2=Z5),'2023DATA'!$K$16,"")</f>
        <v/>
      </c>
      <c r="AA19" s="518" t="str">
        <f>IF(AND(_AC1="B-767-300",'2023'!$D$4="FO",'2023'!$D$2=AA5),'2023DATA'!$L$16,"")</f>
        <v/>
      </c>
      <c r="AB19" s="518" t="str">
        <f>IF(AND(_AC1="B-767-300",'2023'!$D$4="FO",'2023'!$D$2=AB5),'2023DATA'!$M$16,"")</f>
        <v/>
      </c>
      <c r="AC19" s="520" t="str">
        <f>IF(AND(_AC1="B-767-300",'2023'!$D$4="FO",'2023'!$D$2=AC5),'2023DATA'!$N$16,"")</f>
        <v/>
      </c>
      <c r="AD19" s="940"/>
      <c r="AE19" s="13" t="s">
        <v>62</v>
      </c>
      <c r="AF19" s="518" t="str">
        <f>IF(AND(_AC2="B-767-300",'2023'!$D$4="FO",'2023'!$D$2=AF5),'2023DATA'!$C$16,"")</f>
        <v/>
      </c>
      <c r="AG19" s="518" t="str">
        <f>IF(AND(_AC2="B-767-300",'2023'!$D$4="FO",'2023'!$D$2=AG5),'2023DATA'!$D$16,"")</f>
        <v/>
      </c>
      <c r="AH19" s="518" t="str">
        <f>IF(AND(_AC2="B-767-300",'2023'!$D$4="FO",'2023'!$D$2=AH5),'2023DATA'!$E$16,"")</f>
        <v/>
      </c>
      <c r="AI19" s="518" t="str">
        <f>IF(AND(_AC2="B-767-300",'2023'!$D$4="FO",'2023'!$D$2=AI5),'2023DATA'!$F$16,"")</f>
        <v/>
      </c>
      <c r="AJ19" s="518" t="str">
        <f>IF(AND(_AC2="B-767-300",'2023'!$D$4="FO",'2023'!$D$2=AJ5),'2023DATA'!$G$16,"")</f>
        <v/>
      </c>
      <c r="AK19" s="518" t="str">
        <f>IF(AND(_AC2="B-767-300",'2023'!$D$4="FO",'2023'!$D$2=AK5),'2023DATA'!$H$16,"")</f>
        <v/>
      </c>
      <c r="AL19" s="518" t="str">
        <f>IF(AND(_AC2="B-767-300",'2023'!$D$4="FO",'2023'!$D$2=AL5),'2023DATA'!$I$16,"")</f>
        <v/>
      </c>
      <c r="AM19" s="518" t="str">
        <f>IF(AND(_AC2="B-767-300",'2023'!$D$4="FO",'2023'!$D$2=AM5),'2023DATA'!$J$16,"")</f>
        <v/>
      </c>
      <c r="AN19" s="518" t="str">
        <f>IF(AND(_AC2="B-767-300",'2023'!$D$4="FO",'2023'!$D$2=AN5),'2023DATA'!$K$16,"")</f>
        <v/>
      </c>
      <c r="AO19" s="518" t="str">
        <f>IF(AND(_AC2="B-767-300",'2023'!$D$4="FO",'2023'!$D$2=AO5),'2023DATA'!$L$16,"")</f>
        <v/>
      </c>
      <c r="AP19" s="518" t="str">
        <f>IF(AND(_AC2="B-767-300",'2023'!$D$4="FO",'2023'!$D$2=AP5),'2023DATA'!$M$16,"")</f>
        <v/>
      </c>
      <c r="AQ19" s="520" t="str">
        <f>IF(AND(_AC2="B-767-300",'2023'!$D$4="FO",'2023'!$D$2=AQ5),'2023DATA'!$N$16,"")</f>
        <v/>
      </c>
      <c r="AR19" s="940"/>
      <c r="AS19" s="13" t="s">
        <v>62</v>
      </c>
      <c r="AT19" s="518" t="str">
        <f>IF(AND(_AC3="B-767-300",'2023'!$D$4="FO",'2023'!$D$2=AT5),'2023DATA'!$C$16,"")</f>
        <v/>
      </c>
      <c r="AU19" s="518" t="str">
        <f>IF(AND(_AC3="B-767-300",'2023'!$D$4="FO",'2023'!$D$2=AU5),'2023DATA'!$D$16,"")</f>
        <v/>
      </c>
      <c r="AV19" s="518" t="str">
        <f>IF(AND(_AC3="B-767-300",'2023'!$D$4="FO",'2023'!$D$2=AV5),'2023DATA'!$E$16,"")</f>
        <v/>
      </c>
      <c r="AW19" s="518" t="str">
        <f>IF(AND(_AC3="B-767-300",'2023'!$D$4="FO",'2023'!$D$2=AW5),'2023DATA'!$F$16,"")</f>
        <v/>
      </c>
      <c r="AX19" s="518" t="str">
        <f>IF(AND(_AC3="B-767-300",'2023'!$D$4="FO",'2023'!$D$2=AX5),'2023DATA'!$G$16,"")</f>
        <v/>
      </c>
      <c r="AY19" s="518" t="str">
        <f>IF(AND(_AC3="B-767-300",'2023'!$D$4="FO",'2023'!$D$2=AY5),'2023DATA'!$H$16,"")</f>
        <v/>
      </c>
      <c r="AZ19" s="518" t="str">
        <f>IF(AND(_AC3="B-767-300",'2023'!$D$4="FO",'2023'!$D$2=AZ5),'2023DATA'!$I$16,"")</f>
        <v/>
      </c>
      <c r="BA19" s="518" t="str">
        <f>IF(AND(_AC3="B-767-300",'2023'!$D$4="FO",'2023'!$D$2=BA5),'2023DATA'!$J$16,"")</f>
        <v/>
      </c>
      <c r="BB19" s="518" t="str">
        <f>IF(AND(_AC3="B-767-300",'2023'!$D$4="FO",'2023'!$D$2=BB5),'2023DATA'!$K$16,"")</f>
        <v/>
      </c>
      <c r="BC19" s="518" t="str">
        <f>IF(AND(_AC3="B-767-300",'2023'!$D$4="FO",'2023'!$D$2=BC5),'2023DATA'!$L$16,"")</f>
        <v/>
      </c>
      <c r="BD19" s="518" t="str">
        <f>IF(AND(_AC3="B-767-300",'2023'!$D$4="FO",'2023'!$D$2=BD5),'2023DATA'!$M$16,"")</f>
        <v/>
      </c>
      <c r="BE19" s="520" t="str">
        <f>IF(AND(_AC3="B-767-300",'2023'!$D$4="FO",'2023'!$D$2=BE5),'2023DATA'!$N$16,"")</f>
        <v/>
      </c>
      <c r="BF19" s="940"/>
      <c r="BG19" s="13" t="s">
        <v>62</v>
      </c>
      <c r="BH19" s="518" t="str">
        <f>IF(AND(_AC4="B-767-300",'2023'!$D$4="FO",'2023'!$D$2=BH5),'2023DATA'!$C$16,"")</f>
        <v/>
      </c>
      <c r="BI19" s="518" t="str">
        <f>IF(AND(_AC4="B-767-300",'2023'!$D$4="FO",'2023'!$D$2=BI5),'2023DATA'!$D$16,"")</f>
        <v/>
      </c>
      <c r="BJ19" s="518" t="str">
        <f>IF(AND(_AC4="B-767-300",'2023'!$D$4="FO",'2023'!$D$2=BJ5),'2023DATA'!$E$16,"")</f>
        <v/>
      </c>
      <c r="BK19" s="518" t="str">
        <f>IF(AND(_AC4="B-767-300",'2023'!$D$4="FO",'2023'!$D$2=BK5),'2023DATA'!$F$16,"")</f>
        <v/>
      </c>
      <c r="BL19" s="518" t="str">
        <f>IF(AND(_AC4="B-767-300",'2023'!$D$4="FO",'2023'!$D$2=BL5),'2023DATA'!$G$16,"")</f>
        <v/>
      </c>
      <c r="BM19" s="518" t="str">
        <f>IF(AND(_AC4="B-767-300",'2023'!$D$4="FO",'2023'!$D$2=BM5),'2023DATA'!$H$16,"")</f>
        <v/>
      </c>
      <c r="BN19" s="518" t="str">
        <f>IF(AND(_AC4="B-767-300",'2023'!$D$4="FO",'2023'!$D$2=BN5),'2023DATA'!$I$16,"")</f>
        <v/>
      </c>
      <c r="BO19" s="518" t="str">
        <f>IF(AND(_AC4="B-767-300",'2023'!$D$4="FO",'2023'!$D$2=BO5),'2023DATA'!$J$16,"")</f>
        <v/>
      </c>
      <c r="BP19" s="518" t="str">
        <f>IF(AND(_AC4="B-767-300",'2023'!$D$4="FO",'2023'!$D$2=BP5),'2023DATA'!$K$16,"")</f>
        <v/>
      </c>
      <c r="BQ19" s="518" t="str">
        <f>IF(AND(_AC4="B-767-300",'2023'!$D$4="FO",'2023'!$D$2=BQ5),'2023DATA'!$L$16,"")</f>
        <v/>
      </c>
      <c r="BR19" s="518" t="str">
        <f>IF(AND(_AC4="B-767-300",'2023'!$D$4="FO",'2023'!$D$2=BR5),'2023DATA'!$M$16,"")</f>
        <v/>
      </c>
      <c r="BS19" s="520" t="str">
        <f>IF(AND(_AC4="B-767-300",'2023'!$D$4="FO",'2023'!$D$2=BS5),'2023DATA'!$N$16,"")</f>
        <v/>
      </c>
      <c r="BT19" s="940"/>
      <c r="BU19" s="13" t="s">
        <v>62</v>
      </c>
      <c r="BV19" s="518" t="str">
        <f>IF(AND(_AC5="B-767-300",'2023'!$D$4="FO",'2023'!$D$2=BV5),'2023DATA'!$C$16,"")</f>
        <v/>
      </c>
      <c r="BW19" s="518" t="str">
        <f>IF(AND(_AC5="B-767-300",'2023'!$D$4="FO",'2023'!$D$2=BW5),'2023DATA'!$D$16,"")</f>
        <v/>
      </c>
      <c r="BX19" s="518" t="str">
        <f>IF(AND(_AC5="B-767-300",'2023'!$D$4="FO",'2023'!$D$2=BX5),'2023DATA'!$E$16,"")</f>
        <v/>
      </c>
      <c r="BY19" s="518" t="str">
        <f>IF(AND(_AC5="B-767-300",'2023'!$D$4="FO",'2023'!$D$2=BY5),'2023DATA'!$F$16,"")</f>
        <v/>
      </c>
      <c r="BZ19" s="518" t="str">
        <f>IF(AND(_AC5="B-767-300",'2023'!$D$4="FO",'2023'!$D$2=BZ5),'2023DATA'!$G$16,"")</f>
        <v/>
      </c>
      <c r="CA19" s="518" t="str">
        <f>IF(AND(_AC5="B-767-300",'2023'!$D$4="FO",'2023'!$D$2=CA5),'2023DATA'!$H$16,"")</f>
        <v/>
      </c>
      <c r="CB19" s="518" t="str">
        <f>IF(AND(_AC5="B-767-300",'2023'!$D$4="FO",'2023'!$D$2=CB5),'2023DATA'!$I$16,"")</f>
        <v/>
      </c>
      <c r="CC19" s="518" t="str">
        <f>IF(AND(_AC5="B-767-300",'2023'!$D$4="FO",'2023'!$D$2=CC5),'2023DATA'!$J$16,"")</f>
        <v/>
      </c>
      <c r="CD19" s="518" t="str">
        <f>IF(AND(_AC5="B-767-300",'2023'!$D$4="FO",'2023'!$D$2=CD5),'2023DATA'!$K$16,"")</f>
        <v/>
      </c>
      <c r="CE19" s="518" t="str">
        <f>IF(AND(_AC5="B-767-300",'2023'!$D$4="FO",'2023'!$D$2=CE5),'2023DATA'!$L$16,"")</f>
        <v/>
      </c>
      <c r="CF19" s="518" t="str">
        <f>IF(AND(_AC5="B-767-300",'2023'!$D$4="FO",'2023'!$D$2=CF5),'2023DATA'!$M$16,"")</f>
        <v/>
      </c>
      <c r="CG19" s="520" t="str">
        <f>IF(AND(_AC5="B-767-300",'2023'!$D$4="FO",'2023'!$D$2=CG5),'2023DATA'!$N$16,"")</f>
        <v/>
      </c>
      <c r="CH19" s="940"/>
      <c r="CI19" s="13" t="s">
        <v>62</v>
      </c>
      <c r="CJ19" s="518" t="str">
        <f>IF(AND(_AC6="B-767-300",'2023'!$D$4="FO",'2023'!$D$2=CJ5),'2023DATA'!$C$16,"")</f>
        <v/>
      </c>
      <c r="CK19" s="518" t="str">
        <f>IF(AND(_AC6="B-767-300",'2023'!$D$4="FO",'2023'!$D$2=CK5),'2023DATA'!$D$16,"")</f>
        <v/>
      </c>
      <c r="CL19" s="518" t="str">
        <f>IF(AND(_AC6="B-767-300",'2023'!$D$4="FO",'2023'!$D$2=CL5),'2023DATA'!$E$16,"")</f>
        <v/>
      </c>
      <c r="CM19" s="518" t="str">
        <f>IF(AND(_AC6="B-767-300",'2023'!$D$4="FO",'2023'!$D$2=CM5),'2023DATA'!$F$16,"")</f>
        <v/>
      </c>
      <c r="CN19" s="518" t="str">
        <f>IF(AND(_AC6="B-767-300",'2023'!$D$4="FO",'2023'!$D$2=CN5),'2023DATA'!$G$16,"")</f>
        <v/>
      </c>
      <c r="CO19" s="518" t="str">
        <f>IF(AND(_AC6="B-767-300",'2023'!$D$4="FO",'2023'!$D$2=CO5),'2023DATA'!$H$16,"")</f>
        <v/>
      </c>
      <c r="CP19" s="518" t="str">
        <f>IF(AND(_AC6="B-767-300",'2023'!$D$4="FO",'2023'!$D$2=CP5),'2023DATA'!$I$16,"")</f>
        <v/>
      </c>
      <c r="CQ19" s="518" t="str">
        <f>IF(AND(_AC6="B-767-300",'2023'!$D$4="FO",'2023'!$D$2=CQ5),'2023DATA'!$J$16,"")</f>
        <v/>
      </c>
      <c r="CR19" s="518" t="str">
        <f>IF(AND(_AC6="B-767-300",'2023'!$D$4="FO",'2023'!$D$2=CR5),'2023DATA'!$K$16,"")</f>
        <v/>
      </c>
      <c r="CS19" s="518" t="str">
        <f>IF(AND(_AC6="B-767-300",'2023'!$D$4="FO",'2023'!$D$2=CS5),'2023DATA'!$L$16,"")</f>
        <v/>
      </c>
      <c r="CT19" s="518" t="str">
        <f>IF(AND(_AC6="B-767-300",'2023'!$D$4="FO",'2023'!$D$2=CT5),'2023DATA'!$M$16,"")</f>
        <v/>
      </c>
      <c r="CU19" s="520" t="str">
        <f>IF(AND(_AC6="B-767-300",'2023'!$D$4="FO",'2023'!$D$2=CU5),'2023DATA'!$N$16,"")</f>
        <v/>
      </c>
    </row>
    <row r="20" spans="1:99" x14ac:dyDescent="0.25">
      <c r="A20" s="946"/>
      <c r="B20" s="78" t="s">
        <v>62</v>
      </c>
      <c r="C20" s="25">
        <v>238.71</v>
      </c>
      <c r="D20" s="26">
        <v>235.93</v>
      </c>
      <c r="E20" s="26">
        <v>233.07</v>
      </c>
      <c r="F20" s="26">
        <v>229.26</v>
      </c>
      <c r="G20" s="26">
        <v>226.96</v>
      </c>
      <c r="H20" s="26">
        <v>221.76</v>
      </c>
      <c r="I20" s="26">
        <v>215.81</v>
      </c>
      <c r="J20" s="26">
        <v>210.54</v>
      </c>
      <c r="K20" s="26">
        <v>205.51</v>
      </c>
      <c r="L20" s="26">
        <v>200.62</v>
      </c>
      <c r="M20" s="26">
        <v>171.44</v>
      </c>
      <c r="N20" s="27">
        <v>108.34</v>
      </c>
      <c r="P20" s="940" t="s">
        <v>68</v>
      </c>
      <c r="Q20" s="13" t="s">
        <v>61</v>
      </c>
      <c r="R20" s="518" t="str">
        <f>IF(AND(_AC1="B-767-200",'2023'!$D$4="CA",'2023'!$D$2=R5),'2023DATA'!$C$17,"")</f>
        <v/>
      </c>
      <c r="S20" s="518" t="str">
        <f>IF(AND(_AC1="B-767-200",'2023'!$D$4="CA",'2023'!$D$2=S5),'2023DATA'!$D$17,"")</f>
        <v/>
      </c>
      <c r="T20" s="518" t="str">
        <f>IF(AND(_AC1="B-767-200",'2023'!$D$4="CA",'2023'!$D$2=T5),'2023DATA'!$E$17,"")</f>
        <v/>
      </c>
      <c r="U20" s="518" t="str">
        <f>IF(AND(_AC1="B-767-200",'2023'!$D$4="CA",'2023'!$D$2=U5),'2023DATA'!$F$17,"")</f>
        <v/>
      </c>
      <c r="V20" s="518" t="str">
        <f>IF(AND(_AC1="B-767-200",'2023'!$D$4="CA",'2023'!$D$2=V5),'2023DATA'!$G$17,"")</f>
        <v/>
      </c>
      <c r="W20" s="518" t="str">
        <f>IF(AND(_AC1="B-767-200",'2023'!$D$4="CA",'2023'!$D$2=W5),'2023DATA'!$H$17,"")</f>
        <v/>
      </c>
      <c r="X20" s="518" t="str">
        <f>IF(AND(_AC1="B-767-200",'2023'!$D$4="CA",'2023'!$D$2=X5),'2023DATA'!$I$17,"")</f>
        <v/>
      </c>
      <c r="Y20" s="518" t="str">
        <f>IF(AND(_AC1="B-767-200",'2023'!$D$4="CA",'2023'!$D$2=Y5),'2023DATA'!$J$17,"")</f>
        <v/>
      </c>
      <c r="Z20" s="518" t="str">
        <f>IF(AND(_AC1="B-767-200",'2023'!$D$4="CA",'2023'!$D$2=Z5),'2023DATA'!$K$17,"")</f>
        <v/>
      </c>
      <c r="AA20" s="518" t="str">
        <f>IF(AND(_AC1="B-767-200",'2023'!$D$4="CA",'2023'!$D$2=AA5),'2023DATA'!$L$17,"")</f>
        <v/>
      </c>
      <c r="AB20" s="518" t="str">
        <f>IF(AND(_AC1="B-767-200",'2023'!$D$4="CA",'2023'!$D$2=AB5),'2023DATA'!$M$17,"")</f>
        <v/>
      </c>
      <c r="AC20" s="520" t="str">
        <f>IF(AND(_AC1="B-767-200",'2023'!$D$4="CA",'2023'!$D$2=AC5),'2023DATA'!$N$17,"")</f>
        <v/>
      </c>
      <c r="AD20" s="940" t="s">
        <v>68</v>
      </c>
      <c r="AE20" s="13" t="s">
        <v>61</v>
      </c>
      <c r="AF20" s="518" t="str">
        <f>IF(AND(_AC2="B-767-200",'2023'!$D$4="CA",'2023'!$D$2=AF5),'2023DATA'!$C$17,"")</f>
        <v/>
      </c>
      <c r="AG20" s="518" t="str">
        <f>IF(AND(_AC2="B-767-200",'2023'!$D$4="CA",'2023'!$D$2=AG5),'2023DATA'!$D$17,"")</f>
        <v/>
      </c>
      <c r="AH20" s="518" t="str">
        <f>IF(AND(_AC2="B-767-200",'2023'!$D$4="CA",'2023'!$D$2=AH5),'2023DATA'!$E$17,"")</f>
        <v/>
      </c>
      <c r="AI20" s="518" t="str">
        <f>IF(AND(_AC2="B-767-200",'2023'!$D$4="CA",'2023'!$D$2=AI5),'2023DATA'!$F$17,"")</f>
        <v/>
      </c>
      <c r="AJ20" s="518" t="str">
        <f>IF(AND(_AC2="B-767-200",'2023'!$D$4="CA",'2023'!$D$2=AJ5),'2023DATA'!$G$17,"")</f>
        <v/>
      </c>
      <c r="AK20" s="518" t="str">
        <f>IF(AND(_AC2="B-767-200",'2023'!$D$4="CA",'2023'!$D$2=AK5),'2023DATA'!$H$17,"")</f>
        <v/>
      </c>
      <c r="AL20" s="518" t="str">
        <f>IF(AND(_AC2="B-767-200",'2023'!$D$4="CA",'2023'!$D$2=AL5),'2023DATA'!$I$17,"")</f>
        <v/>
      </c>
      <c r="AM20" s="518" t="str">
        <f>IF(AND(_AC2="B-767-200",'2023'!$D$4="CA",'2023'!$D$2=AM5),'2023DATA'!$J$17,"")</f>
        <v/>
      </c>
      <c r="AN20" s="518" t="str">
        <f>IF(AND(_AC2="B-767-200",'2023'!$D$4="CA",'2023'!$D$2=AN5),'2023DATA'!$K$17,"")</f>
        <v/>
      </c>
      <c r="AO20" s="518" t="str">
        <f>IF(AND(_AC2="B-767-200",'2023'!$D$4="CA",'2023'!$D$2=AO5),'2023DATA'!$L$17,"")</f>
        <v/>
      </c>
      <c r="AP20" s="518" t="str">
        <f>IF(AND(_AC2="B-767-200",'2023'!$D$4="CA",'2023'!$D$2=AP5),'2023DATA'!$M$17,"")</f>
        <v/>
      </c>
      <c r="AQ20" s="520" t="str">
        <f>IF(AND(_AC2="B-767-200",'2023'!$D$4="CA",'2023'!$D$2=AQ5),'2023DATA'!$N$17,"")</f>
        <v/>
      </c>
      <c r="AR20" s="940" t="s">
        <v>68</v>
      </c>
      <c r="AS20" s="13" t="s">
        <v>61</v>
      </c>
      <c r="AT20" s="518" t="str">
        <f>IF(AND(_AC3="B-767-200",'2023'!$D$4="CA",'2023'!$D$2=AT5),'2023DATA'!$C$17,"")</f>
        <v/>
      </c>
      <c r="AU20" s="518" t="str">
        <f>IF(AND(_AC3="B-767-200",'2023'!$D$4="CA",'2023'!$D$2=AU5),'2023DATA'!$D$17,"")</f>
        <v/>
      </c>
      <c r="AV20" s="518" t="str">
        <f>IF(AND(_AC3="B-767-200",'2023'!$D$4="CA",'2023'!$D$2=AV5),'2023DATA'!$E$17,"")</f>
        <v/>
      </c>
      <c r="AW20" s="518" t="str">
        <f>IF(AND(_AC3="B-767-200",'2023'!$D$4="CA",'2023'!$D$2=AW5),'2023DATA'!$F$17,"")</f>
        <v/>
      </c>
      <c r="AX20" s="518" t="str">
        <f>IF(AND(_AC3="B-767-200",'2023'!$D$4="CA",'2023'!$D$2=AX5),'2023DATA'!$G$17,"")</f>
        <v/>
      </c>
      <c r="AY20" s="518" t="str">
        <f>IF(AND(_AC3="B-767-200",'2023'!$D$4="CA",'2023'!$D$2=AY5),'2023DATA'!$H$17,"")</f>
        <v/>
      </c>
      <c r="AZ20" s="518" t="str">
        <f>IF(AND(_AC3="B-767-200",'2023'!$D$4="CA",'2023'!$D$2=AZ5),'2023DATA'!$I$17,"")</f>
        <v/>
      </c>
      <c r="BA20" s="518" t="str">
        <f>IF(AND(_AC3="B-767-200",'2023'!$D$4="CA",'2023'!$D$2=BA5),'2023DATA'!$J$17,"")</f>
        <v/>
      </c>
      <c r="BB20" s="518" t="str">
        <f>IF(AND(_AC3="B-767-200",'2023'!$D$4="CA",'2023'!$D$2=BB5),'2023DATA'!$K$17,"")</f>
        <v/>
      </c>
      <c r="BC20" s="518" t="str">
        <f>IF(AND(_AC3="B-767-200",'2023'!$D$4="CA",'2023'!$D$2=BC5),'2023DATA'!$L$17,"")</f>
        <v/>
      </c>
      <c r="BD20" s="518" t="str">
        <f>IF(AND(_AC3="B-767-200",'2023'!$D$4="CA",'2023'!$D$2=BD5),'2023DATA'!$M$17,"")</f>
        <v/>
      </c>
      <c r="BE20" s="520" t="str">
        <f>IF(AND(_AC3="B-767-200",'2023'!$D$4="CA",'2023'!$D$2=BE5),'2023DATA'!$N$17,"")</f>
        <v/>
      </c>
      <c r="BF20" s="940" t="s">
        <v>68</v>
      </c>
      <c r="BG20" s="13" t="s">
        <v>61</v>
      </c>
      <c r="BH20" s="518" t="str">
        <f>IF(AND(_AC4="B-767-200",'2023'!$D$4="CA",'2023'!$D$2=BH5),'2023DATA'!$C$17,"")</f>
        <v/>
      </c>
      <c r="BI20" s="518" t="str">
        <f>IF(AND(_AC4="B-767-200",'2023'!$D$4="CA",'2023'!$D$2=BI5),'2023DATA'!$D$17,"")</f>
        <v/>
      </c>
      <c r="BJ20" s="518" t="str">
        <f>IF(AND(_AC4="B-767-200",'2023'!$D$4="CA",'2023'!$D$2=BJ5),'2023DATA'!$E$17,"")</f>
        <v/>
      </c>
      <c r="BK20" s="518" t="str">
        <f>IF(AND(_AC4="B-767-200",'2023'!$D$4="CA",'2023'!$D$2=BK5),'2023DATA'!$F$17,"")</f>
        <v/>
      </c>
      <c r="BL20" s="518" t="str">
        <f>IF(AND(_AC4="B-767-200",'2023'!$D$4="CA",'2023'!$D$2=BL5),'2023DATA'!$G$17,"")</f>
        <v/>
      </c>
      <c r="BM20" s="518" t="str">
        <f>IF(AND(_AC4="B-767-200",'2023'!$D$4="CA",'2023'!$D$2=BM5),'2023DATA'!$H$17,"")</f>
        <v/>
      </c>
      <c r="BN20" s="518" t="str">
        <f>IF(AND(_AC4="B-767-200",'2023'!$D$4="CA",'2023'!$D$2=BN5),'2023DATA'!$I$17,"")</f>
        <v/>
      </c>
      <c r="BO20" s="518" t="str">
        <f>IF(AND(_AC4="B-767-200",'2023'!$D$4="CA",'2023'!$D$2=BO5),'2023DATA'!$J$17,"")</f>
        <v/>
      </c>
      <c r="BP20" s="518" t="str">
        <f>IF(AND(_AC4="B-767-200",'2023'!$D$4="CA",'2023'!$D$2=BP5),'2023DATA'!$K$17,"")</f>
        <v/>
      </c>
      <c r="BQ20" s="518" t="str">
        <f>IF(AND(_AC4="B-767-200",'2023'!$D$4="CA",'2023'!$D$2=BQ5),'2023DATA'!$L$17,"")</f>
        <v/>
      </c>
      <c r="BR20" s="518" t="str">
        <f>IF(AND(_AC4="B-767-200",'2023'!$D$4="CA",'2023'!$D$2=BR5),'2023DATA'!$M$17,"")</f>
        <v/>
      </c>
      <c r="BS20" s="520" t="str">
        <f>IF(AND(_AC4="B-767-200",'2023'!$D$4="CA",'2023'!$D$2=BS5),'2023DATA'!$N$17,"")</f>
        <v/>
      </c>
      <c r="BT20" s="940" t="s">
        <v>68</v>
      </c>
      <c r="BU20" s="13" t="s">
        <v>61</v>
      </c>
      <c r="BV20" s="518" t="str">
        <f>IF(AND(_AC5="B-767-200",'2023'!$D$4="CA",'2023'!$D$2=BV5),'2023DATA'!$C$17,"")</f>
        <v/>
      </c>
      <c r="BW20" s="518" t="str">
        <f>IF(AND(_AC5="B-767-200",'2023'!$D$4="CA",'2023'!$D$2=BW5),'2023DATA'!$D$17,"")</f>
        <v/>
      </c>
      <c r="BX20" s="518" t="str">
        <f>IF(AND(_AC5="B-767-200",'2023'!$D$4="CA",'2023'!$D$2=BX5),'2023DATA'!$E$17,"")</f>
        <v/>
      </c>
      <c r="BY20" s="518" t="str">
        <f>IF(AND(_AC5="B-767-200",'2023'!$D$4="CA",'2023'!$D$2=BY5),'2023DATA'!$F$17,"")</f>
        <v/>
      </c>
      <c r="BZ20" s="518" t="str">
        <f>IF(AND(_AC5="B-767-200",'2023'!$D$4="CA",'2023'!$D$2=BZ5),'2023DATA'!$G$17,"")</f>
        <v/>
      </c>
      <c r="CA20" s="518" t="str">
        <f>IF(AND(_AC5="B-767-200",'2023'!$D$4="CA",'2023'!$D$2=CA5),'2023DATA'!$H$17,"")</f>
        <v/>
      </c>
      <c r="CB20" s="518" t="str">
        <f>IF(AND(_AC5="B-767-200",'2023'!$D$4="CA",'2023'!$D$2=CB5),'2023DATA'!$I$17,"")</f>
        <v/>
      </c>
      <c r="CC20" s="518" t="str">
        <f>IF(AND(_AC5="B-767-200",'2023'!$D$4="CA",'2023'!$D$2=CC5),'2023DATA'!$J$17,"")</f>
        <v/>
      </c>
      <c r="CD20" s="518" t="str">
        <f>IF(AND(_AC5="B-767-200",'2023'!$D$4="CA",'2023'!$D$2=CD5),'2023DATA'!$K$17,"")</f>
        <v/>
      </c>
      <c r="CE20" s="518" t="str">
        <f>IF(AND(_AC5="B-767-200",'2023'!$D$4="CA",'2023'!$D$2=CE5),'2023DATA'!$L$17,"")</f>
        <v/>
      </c>
      <c r="CF20" s="518" t="str">
        <f>IF(AND(_AC5="B-767-200",'2023'!$D$4="CA",'2023'!$D$2=CF5),'2023DATA'!$M$17,"")</f>
        <v/>
      </c>
      <c r="CG20" s="520" t="str">
        <f>IF(AND(_AC5="B-767-200",'2023'!$D$4="CA",'2023'!$D$2=CG5),'2023DATA'!$N$17,"")</f>
        <v/>
      </c>
      <c r="CH20" s="940" t="s">
        <v>68</v>
      </c>
      <c r="CI20" s="13" t="s">
        <v>61</v>
      </c>
      <c r="CJ20" s="518" t="str">
        <f>IF(AND(_AC6="B-767-200",'2023'!$D$4="CA",'2023'!$D$2=CJ5),'2023DATA'!$C$17,"")</f>
        <v/>
      </c>
      <c r="CK20" s="518" t="str">
        <f>IF(AND(_AC6="B-767-200",'2023'!$D$4="CA",'2023'!$D$2=CK5),'2023DATA'!$D$17,"")</f>
        <v/>
      </c>
      <c r="CL20" s="518" t="str">
        <f>IF(AND(_AC6="B-767-200",'2023'!$D$4="CA",'2023'!$D$2=CL5),'2023DATA'!$E$17,"")</f>
        <v/>
      </c>
      <c r="CM20" s="518" t="str">
        <f>IF(AND(_AC6="B-767-200",'2023'!$D$4="CA",'2023'!$D$2=CM5),'2023DATA'!$F$17,"")</f>
        <v/>
      </c>
      <c r="CN20" s="518" t="str">
        <f>IF(AND(_AC6="B-767-200",'2023'!$D$4="CA",'2023'!$D$2=CN5),'2023DATA'!$G$17,"")</f>
        <v/>
      </c>
      <c r="CO20" s="518" t="str">
        <f>IF(AND(_AC6="B-767-200",'2023'!$D$4="CA",'2023'!$D$2=CO5),'2023DATA'!$H$17,"")</f>
        <v/>
      </c>
      <c r="CP20" s="518" t="str">
        <f>IF(AND(_AC6="B-767-200",'2023'!$D$4="CA",'2023'!$D$2=CP5),'2023DATA'!$I$17,"")</f>
        <v/>
      </c>
      <c r="CQ20" s="518" t="str">
        <f>IF(AND(_AC6="B-767-200",'2023'!$D$4="CA",'2023'!$D$2=CQ5),'2023DATA'!$J$17,"")</f>
        <v/>
      </c>
      <c r="CR20" s="518" t="str">
        <f>IF(AND(_AC6="B-767-200",'2023'!$D$4="CA",'2023'!$D$2=CR5),'2023DATA'!$K$17,"")</f>
        <v/>
      </c>
      <c r="CS20" s="518" t="str">
        <f>IF(AND(_AC6="B-767-200",'2023'!$D$4="CA",'2023'!$D$2=CS5),'2023DATA'!$L$17,"")</f>
        <v/>
      </c>
      <c r="CT20" s="518" t="str">
        <f>IF(AND(_AC6="B-767-200",'2023'!$D$4="CA",'2023'!$D$2=CT5),'2023DATA'!$M$17,"")</f>
        <v/>
      </c>
      <c r="CU20" s="520" t="str">
        <f>IF(AND(_AC6="B-767-200",'2023'!$D$4="CA",'2023'!$D$2=CU5),'2023DATA'!$N$17,"")</f>
        <v/>
      </c>
    </row>
    <row r="21" spans="1:99" x14ac:dyDescent="0.25">
      <c r="A21" s="946" t="s">
        <v>47</v>
      </c>
      <c r="B21" s="78" t="s">
        <v>61</v>
      </c>
      <c r="C21" s="25">
        <v>336.89</v>
      </c>
      <c r="D21" s="26">
        <v>334.29</v>
      </c>
      <c r="E21" s="26">
        <v>331.69</v>
      </c>
      <c r="F21" s="26">
        <v>329.24</v>
      </c>
      <c r="G21" s="26">
        <v>326.64</v>
      </c>
      <c r="H21" s="26">
        <v>324.10000000000002</v>
      </c>
      <c r="I21" s="26">
        <v>321.57</v>
      </c>
      <c r="J21" s="26">
        <v>319.02</v>
      </c>
      <c r="K21" s="26">
        <v>316.45</v>
      </c>
      <c r="L21" s="26">
        <v>313.89999999999998</v>
      </c>
      <c r="M21" s="26">
        <v>311.45999999999998</v>
      </c>
      <c r="N21" s="27">
        <v>309.02999999999997</v>
      </c>
      <c r="P21" s="940"/>
      <c r="Q21" s="13" t="s">
        <v>62</v>
      </c>
      <c r="R21" s="518" t="str">
        <f>IF(AND(_AC1="B-767-200",'2023'!$D$4="FO",'2023'!$D$2=R5),'2023DATA'!$C$18,"")</f>
        <v/>
      </c>
      <c r="S21" s="518" t="str">
        <f>IF(AND(_AC1="B-767-200",'2023'!$D$4="FO",'2023'!$D$2=S5),'2023DATA'!$D$18,"")</f>
        <v/>
      </c>
      <c r="T21" s="518" t="str">
        <f>IF(AND(_AC1="B-767-200",'2023'!$D$4="FO",'2023'!$D$2=T5),'2023DATA'!$E$18,"")</f>
        <v/>
      </c>
      <c r="U21" s="518" t="str">
        <f>IF(AND(_AC1="B-767-200",'2023'!$D$4="FO",'2023'!$D$2=U5),'2023DATA'!$F$18,"")</f>
        <v/>
      </c>
      <c r="V21" s="518" t="str">
        <f>IF(AND(_AC1="B-767-200",'2023'!$D$4="FO",'2023'!$D$2=V5),'2023DATA'!$G$18,"")</f>
        <v/>
      </c>
      <c r="W21" s="518" t="str">
        <f>IF(AND(_AC1="B-767-200",'2023'!$D$4="FO",'2023'!$D$2=W5),'2023DATA'!$H$18,"")</f>
        <v/>
      </c>
      <c r="X21" s="518" t="str">
        <f>IF(AND(_AC1="B-767-200",'2023'!$D$4="FO",'2023'!$D$2=X5),'2023DATA'!$I$18,"")</f>
        <v/>
      </c>
      <c r="Y21" s="518" t="str">
        <f>IF(AND(_AC1="B-767-200",'2023'!$D$4="FO",'2023'!$D$2=Y5),'2023DATA'!$J$18,"")</f>
        <v/>
      </c>
      <c r="Z21" s="518" t="str">
        <f>IF(AND(_AC1="B-767-200",'2023'!$D$4="FO",'2023'!$D$2=Z5),'2023DATA'!$K$18,"")</f>
        <v/>
      </c>
      <c r="AA21" s="518" t="str">
        <f>IF(AND(_AC1="B-767-200",'2023'!$D$4="FO",'2023'!$D$2=AA5),'2023DATA'!$L$18,"")</f>
        <v/>
      </c>
      <c r="AB21" s="518" t="str">
        <f>IF(AND(_AC1="B-767-200",'2023'!$D$4="FO",'2023'!$D$2=AB5),'2023DATA'!$M$18,"")</f>
        <v/>
      </c>
      <c r="AC21" s="520" t="str">
        <f>IF(AND(_AC1="B-767-200",'2023'!$D$4="FO",'2023'!$D$2=AC5),'2023DATA'!$N$18,"")</f>
        <v/>
      </c>
      <c r="AD21" s="940"/>
      <c r="AE21" s="13" t="s">
        <v>62</v>
      </c>
      <c r="AF21" s="518" t="str">
        <f>IF(AND(_AC2="B-767-200",'2023'!$D$4="FO",'2023'!$D$2=AF5),'2023DATA'!$C$18,"")</f>
        <v/>
      </c>
      <c r="AG21" s="518" t="str">
        <f>IF(AND(_AC2="B-767-200",'2023'!$D$4="FO",'2023'!$D$2=AG5),'2023DATA'!$D$18,"")</f>
        <v/>
      </c>
      <c r="AH21" s="518" t="str">
        <f>IF(AND(_AC2="B-767-200",'2023'!$D$4="FO",'2023'!$D$2=AH5),'2023DATA'!$E$18,"")</f>
        <v/>
      </c>
      <c r="AI21" s="518" t="str">
        <f>IF(AND(_AC2="B-767-200",'2023'!$D$4="FO",'2023'!$D$2=AI5),'2023DATA'!$F$18,"")</f>
        <v/>
      </c>
      <c r="AJ21" s="518" t="str">
        <f>IF(AND(_AC2="B-767-200",'2023'!$D$4="FO",'2023'!$D$2=AJ5),'2023DATA'!$G$18,"")</f>
        <v/>
      </c>
      <c r="AK21" s="518" t="str">
        <f>IF(AND(_AC2="B-767-200",'2023'!$D$4="FO",'2023'!$D$2=AK5),'2023DATA'!$H$18,"")</f>
        <v/>
      </c>
      <c r="AL21" s="518" t="str">
        <f>IF(AND(_AC2="B-767-200",'2023'!$D$4="FO",'2023'!$D$2=AL5),'2023DATA'!$I$18,"")</f>
        <v/>
      </c>
      <c r="AM21" s="518" t="str">
        <f>IF(AND(_AC2="B-767-200",'2023'!$D$4="FO",'2023'!$D$2=AM5),'2023DATA'!$J$18,"")</f>
        <v/>
      </c>
      <c r="AN21" s="518" t="str">
        <f>IF(AND(_AC2="B-767-200",'2023'!$D$4="FO",'2023'!$D$2=AN5),'2023DATA'!$K$18,"")</f>
        <v/>
      </c>
      <c r="AO21" s="518" t="str">
        <f>IF(AND(_AC2="B-767-200",'2023'!$D$4="FO",'2023'!$D$2=AO5),'2023DATA'!$L$18,"")</f>
        <v/>
      </c>
      <c r="AP21" s="518" t="str">
        <f>IF(AND(_AC2="B-767-200",'2023'!$D$4="FO",'2023'!$D$2=AP5),'2023DATA'!$M$18,"")</f>
        <v/>
      </c>
      <c r="AQ21" s="520" t="str">
        <f>IF(AND(_AC2="B-767-200",'2023'!$D$4="FO",'2023'!$D$2=AQ5),'2023DATA'!$N$18,"")</f>
        <v/>
      </c>
      <c r="AR21" s="940"/>
      <c r="AS21" s="13" t="s">
        <v>62</v>
      </c>
      <c r="AT21" s="518" t="str">
        <f>IF(AND(_AC3="B-767-200",'2023'!$D$4="FO",'2023'!$D$2=AT5),'2023DATA'!$C$18,"")</f>
        <v/>
      </c>
      <c r="AU21" s="518" t="str">
        <f>IF(AND(_AC3="B-767-200",'2023'!$D$4="FO",'2023'!$D$2=AU5),'2023DATA'!$D$18,"")</f>
        <v/>
      </c>
      <c r="AV21" s="518" t="str">
        <f>IF(AND(_AC3="B-767-200",'2023'!$D$4="FO",'2023'!$D$2=AV5),'2023DATA'!$E$18,"")</f>
        <v/>
      </c>
      <c r="AW21" s="518" t="str">
        <f>IF(AND(_AC3="B-767-200",'2023'!$D$4="FO",'2023'!$D$2=AW5),'2023DATA'!$F$18,"")</f>
        <v/>
      </c>
      <c r="AX21" s="518" t="str">
        <f>IF(AND(_AC3="B-767-200",'2023'!$D$4="FO",'2023'!$D$2=AX5),'2023DATA'!$G$18,"")</f>
        <v/>
      </c>
      <c r="AY21" s="518" t="str">
        <f>IF(AND(_AC3="B-767-200",'2023'!$D$4="FO",'2023'!$D$2=AY5),'2023DATA'!$H$18,"")</f>
        <v/>
      </c>
      <c r="AZ21" s="518" t="str">
        <f>IF(AND(_AC3="B-767-200",'2023'!$D$4="FO",'2023'!$D$2=AZ5),'2023DATA'!$I$18,"")</f>
        <v/>
      </c>
      <c r="BA21" s="518" t="str">
        <f>IF(AND(_AC3="B-767-200",'2023'!$D$4="FO",'2023'!$D$2=BA5),'2023DATA'!$J$18,"")</f>
        <v/>
      </c>
      <c r="BB21" s="518" t="str">
        <f>IF(AND(_AC3="B-767-200",'2023'!$D$4="FO",'2023'!$D$2=BB5),'2023DATA'!$K$18,"")</f>
        <v/>
      </c>
      <c r="BC21" s="518" t="str">
        <f>IF(AND(_AC3="B-767-200",'2023'!$D$4="FO",'2023'!$D$2=BC5),'2023DATA'!$L$18,"")</f>
        <v/>
      </c>
      <c r="BD21" s="518" t="str">
        <f>IF(AND(_AC3="B-767-200",'2023'!$D$4="FO",'2023'!$D$2=BD5),'2023DATA'!$M$18,"")</f>
        <v/>
      </c>
      <c r="BE21" s="520" t="str">
        <f>IF(AND(_AC3="B-767-200",'2023'!$D$4="FO",'2023'!$D$2=BE5),'2023DATA'!$N$18,"")</f>
        <v/>
      </c>
      <c r="BF21" s="940"/>
      <c r="BG21" s="13" t="s">
        <v>62</v>
      </c>
      <c r="BH21" s="518" t="str">
        <f>IF(AND(_AC4="B-767-200",'2023'!$D$4="FO",'2023'!$D$2=BH5),'2023DATA'!$C$18,"")</f>
        <v/>
      </c>
      <c r="BI21" s="518" t="str">
        <f>IF(AND(_AC4="B-767-200",'2023'!$D$4="FO",'2023'!$D$2=BI5),'2023DATA'!$D$18,"")</f>
        <v/>
      </c>
      <c r="BJ21" s="518" t="str">
        <f>IF(AND(_AC4="B-767-200",'2023'!$D$4="FO",'2023'!$D$2=BJ5),'2023DATA'!$E$18,"")</f>
        <v/>
      </c>
      <c r="BK21" s="518" t="str">
        <f>IF(AND(_AC4="B-767-200",'2023'!$D$4="FO",'2023'!$D$2=BK5),'2023DATA'!$F$18,"")</f>
        <v/>
      </c>
      <c r="BL21" s="518" t="str">
        <f>IF(AND(_AC4="B-767-200",'2023'!$D$4="FO",'2023'!$D$2=BL5),'2023DATA'!$G$18,"")</f>
        <v/>
      </c>
      <c r="BM21" s="518" t="str">
        <f>IF(AND(_AC4="B-767-200",'2023'!$D$4="FO",'2023'!$D$2=BM5),'2023DATA'!$H$18,"")</f>
        <v/>
      </c>
      <c r="BN21" s="518" t="str">
        <f>IF(AND(_AC4="B-767-200",'2023'!$D$4="FO",'2023'!$D$2=BN5),'2023DATA'!$I$18,"")</f>
        <v/>
      </c>
      <c r="BO21" s="518" t="str">
        <f>IF(AND(_AC4="B-767-200",'2023'!$D$4="FO",'2023'!$D$2=BO5),'2023DATA'!$J$18,"")</f>
        <v/>
      </c>
      <c r="BP21" s="518" t="str">
        <f>IF(AND(_AC4="B-767-200",'2023'!$D$4="FO",'2023'!$D$2=BP5),'2023DATA'!$K$18,"")</f>
        <v/>
      </c>
      <c r="BQ21" s="518" t="str">
        <f>IF(AND(_AC4="B-767-200",'2023'!$D$4="FO",'2023'!$D$2=BQ5),'2023DATA'!$L$18,"")</f>
        <v/>
      </c>
      <c r="BR21" s="518" t="str">
        <f>IF(AND(_AC4="B-767-200",'2023'!$D$4="FO",'2023'!$D$2=BR5),'2023DATA'!$M$18,"")</f>
        <v/>
      </c>
      <c r="BS21" s="520" t="str">
        <f>IF(AND(_AC4="B-767-200",'2023'!$D$4="FO",'2023'!$D$2=BS5),'2023DATA'!$N$18,"")</f>
        <v/>
      </c>
      <c r="BT21" s="940"/>
      <c r="BU21" s="13" t="s">
        <v>62</v>
      </c>
      <c r="BV21" s="518" t="str">
        <f>IF(AND(_AC5="B-767-200",'2023'!$D$4="FO",'2023'!$D$2=BV5),'2023DATA'!$C$18,"")</f>
        <v/>
      </c>
      <c r="BW21" s="518" t="str">
        <f>IF(AND(_AC5="B-767-200",'2023'!$D$4="FO",'2023'!$D$2=BW5),'2023DATA'!$D$18,"")</f>
        <v/>
      </c>
      <c r="BX21" s="518" t="str">
        <f>IF(AND(_AC5="B-767-200",'2023'!$D$4="FO",'2023'!$D$2=BX5),'2023DATA'!$E$18,"")</f>
        <v/>
      </c>
      <c r="BY21" s="518" t="str">
        <f>IF(AND(_AC5="B-767-200",'2023'!$D$4="FO",'2023'!$D$2=BY5),'2023DATA'!$F$18,"")</f>
        <v/>
      </c>
      <c r="BZ21" s="518" t="str">
        <f>IF(AND(_AC5="B-767-200",'2023'!$D$4="FO",'2023'!$D$2=BZ5),'2023DATA'!$G$18,"")</f>
        <v/>
      </c>
      <c r="CA21" s="518" t="str">
        <f>IF(AND(_AC5="B-767-200",'2023'!$D$4="FO",'2023'!$D$2=CA5),'2023DATA'!$H$18,"")</f>
        <v/>
      </c>
      <c r="CB21" s="518" t="str">
        <f>IF(AND(_AC5="B-767-200",'2023'!$D$4="FO",'2023'!$D$2=CB5),'2023DATA'!$I$18,"")</f>
        <v/>
      </c>
      <c r="CC21" s="518" t="str">
        <f>IF(AND(_AC5="B-767-200",'2023'!$D$4="FO",'2023'!$D$2=CC5),'2023DATA'!$J$18,"")</f>
        <v/>
      </c>
      <c r="CD21" s="518" t="str">
        <f>IF(AND(_AC5="B-767-200",'2023'!$D$4="FO",'2023'!$D$2=CD5),'2023DATA'!$K$18,"")</f>
        <v/>
      </c>
      <c r="CE21" s="518" t="str">
        <f>IF(AND(_AC5="B-767-200",'2023'!$D$4="FO",'2023'!$D$2=CE5),'2023DATA'!$L$18,"")</f>
        <v/>
      </c>
      <c r="CF21" s="518" t="str">
        <f>IF(AND(_AC5="B-767-200",'2023'!$D$4="FO",'2023'!$D$2=CF5),'2023DATA'!$M$18,"")</f>
        <v/>
      </c>
      <c r="CG21" s="520" t="str">
        <f>IF(AND(_AC5="B-767-200",'2023'!$D$4="FO",'2023'!$D$2=CG5),'2023DATA'!$N$18,"")</f>
        <v/>
      </c>
      <c r="CH21" s="940"/>
      <c r="CI21" s="13" t="s">
        <v>62</v>
      </c>
      <c r="CJ21" s="518" t="str">
        <f>IF(AND(_AC6="B-767-200",'2023'!$D$4="FO",'2023'!$D$2=CJ5),'2023DATA'!$C$18,"")</f>
        <v/>
      </c>
      <c r="CK21" s="518" t="str">
        <f>IF(AND(_AC6="B-767-200",'2023'!$D$4="FO",'2023'!$D$2=CK5),'2023DATA'!$D$18,"")</f>
        <v/>
      </c>
      <c r="CL21" s="518" t="str">
        <f>IF(AND(_AC6="B-767-200",'2023'!$D$4="FO",'2023'!$D$2=CL5),'2023DATA'!$E$18,"")</f>
        <v/>
      </c>
      <c r="CM21" s="518" t="str">
        <f>IF(AND(_AC6="B-767-200",'2023'!$D$4="FO",'2023'!$D$2=CM5),'2023DATA'!$F$18,"")</f>
        <v/>
      </c>
      <c r="CN21" s="518" t="str">
        <f>IF(AND(_AC6="B-767-200",'2023'!$D$4="FO",'2023'!$D$2=CN5),'2023DATA'!$G$18,"")</f>
        <v/>
      </c>
      <c r="CO21" s="518" t="str">
        <f>IF(AND(_AC6="B-767-200",'2023'!$D$4="FO",'2023'!$D$2=CO5),'2023DATA'!$H$18,"")</f>
        <v/>
      </c>
      <c r="CP21" s="518" t="str">
        <f>IF(AND(_AC6="B-767-200",'2023'!$D$4="FO",'2023'!$D$2=CP5),'2023DATA'!$I$18,"")</f>
        <v/>
      </c>
      <c r="CQ21" s="518" t="str">
        <f>IF(AND(_AC6="B-767-200",'2023'!$D$4="FO",'2023'!$D$2=CQ5),'2023DATA'!$J$18,"")</f>
        <v/>
      </c>
      <c r="CR21" s="518" t="str">
        <f>IF(AND(_AC6="B-767-200",'2023'!$D$4="FO",'2023'!$D$2=CR5),'2023DATA'!$K$18,"")</f>
        <v/>
      </c>
      <c r="CS21" s="518" t="str">
        <f>IF(AND(_AC6="B-767-200",'2023'!$D$4="FO",'2023'!$D$2=CS5),'2023DATA'!$L$18,"")</f>
        <v/>
      </c>
      <c r="CT21" s="518" t="str">
        <f>IF(AND(_AC6="B-767-200",'2023'!$D$4="FO",'2023'!$D$2=CT5),'2023DATA'!$M$18,"")</f>
        <v/>
      </c>
      <c r="CU21" s="520" t="str">
        <f>IF(AND(_AC6="B-767-200",'2023'!$D$4="FO",'2023'!$D$2=CU5),'2023DATA'!$N$18,"")</f>
        <v/>
      </c>
    </row>
    <row r="22" spans="1:99" x14ac:dyDescent="0.25">
      <c r="A22" s="946"/>
      <c r="B22" s="78" t="s">
        <v>62</v>
      </c>
      <c r="C22" s="25">
        <v>230.1</v>
      </c>
      <c r="D22" s="26">
        <v>227.98</v>
      </c>
      <c r="E22" s="26">
        <v>225.91</v>
      </c>
      <c r="F22" s="26">
        <v>222.88</v>
      </c>
      <c r="G22" s="26">
        <v>220.51</v>
      </c>
      <c r="H22" s="26">
        <v>215.54</v>
      </c>
      <c r="I22" s="26">
        <v>209.67</v>
      </c>
      <c r="J22" s="26">
        <v>204.47</v>
      </c>
      <c r="K22" s="26">
        <v>199.67</v>
      </c>
      <c r="L22" s="26">
        <v>194.95</v>
      </c>
      <c r="M22" s="26">
        <v>166.6</v>
      </c>
      <c r="N22" s="27">
        <v>108.34</v>
      </c>
      <c r="P22" s="940" t="s">
        <v>45</v>
      </c>
      <c r="Q22" s="13" t="s">
        <v>61</v>
      </c>
      <c r="R22" s="518" t="str">
        <f>IF(AND(_AC1="B-757",'2023'!$D$4="CA",'2023'!$D$2=R5),'2023DATA'!$C$19,"")</f>
        <v/>
      </c>
      <c r="S22" s="518" t="str">
        <f>IF(AND(_AC1="B-757",'2023'!$D$4="CA",'2023'!$D$2=S5),'2023DATA'!$D$19,"")</f>
        <v/>
      </c>
      <c r="T22" s="518" t="str">
        <f>IF(AND(_AC1="B-757",'2023'!$D$4="CA",'2023'!$D$2=T5),'2023DATA'!$E$19,"")</f>
        <v/>
      </c>
      <c r="U22" s="518" t="str">
        <f>IF(AND(_AC1="B-757",'2023'!$D$4="CA",'2023'!$D$2=U5),'2023DATA'!$F$19,"")</f>
        <v/>
      </c>
      <c r="V22" s="518" t="str">
        <f>IF(AND(_AC1="B-757",'2023'!$D$4="CA",'2023'!$D$2=V5),'2023DATA'!$G$19,"")</f>
        <v/>
      </c>
      <c r="W22" s="518" t="str">
        <f>IF(AND(_AC1="B-757",'2023'!$D$4="CA",'2023'!$D$2=W5),'2023DATA'!$H$19,"")</f>
        <v/>
      </c>
      <c r="X22" s="518" t="str">
        <f>IF(AND(_AC1="B-757",'2023'!$D$4="CA",'2023'!$D$2=X5),'2023DATA'!$I$19,"")</f>
        <v/>
      </c>
      <c r="Y22" s="518" t="str">
        <f>IF(AND(_AC1="B-757",'2023'!$D$4="CA",'2023'!$D$2=Y5),'2023DATA'!$J$19,"")</f>
        <v/>
      </c>
      <c r="Z22" s="518" t="str">
        <f>IF(AND(_AC1="B-757",'2023'!$D$4="CA",'2023'!$D$2=Z5),'2023DATA'!$K$19,"")</f>
        <v/>
      </c>
      <c r="AA22" s="518" t="str">
        <f>IF(AND(_AC1="B-757",'2023'!$D$4="CA",'2023'!$D$2=AA5),'2023DATA'!$L$19,"")</f>
        <v/>
      </c>
      <c r="AB22" s="518" t="str">
        <f>IF(AND(_AC1="B-757",'2023'!$D$4="CA",'2023'!$D$2=AB5),'2023DATA'!$M$19,"")</f>
        <v/>
      </c>
      <c r="AC22" s="520" t="str">
        <f>IF(AND(_AC1="B-757",'2023'!$D$4="CA",'2023'!$D$2=AC5),'2023DATA'!$N$19,"")</f>
        <v/>
      </c>
      <c r="AD22" s="940" t="s">
        <v>45</v>
      </c>
      <c r="AE22" s="13" t="s">
        <v>61</v>
      </c>
      <c r="AF22" s="518" t="str">
        <f>IF(AND(_AC2="B-757",'2023'!$D$4="CA",'2023'!$D$2=AF5),'2023DATA'!$C$19,"")</f>
        <v/>
      </c>
      <c r="AG22" s="518" t="str">
        <f>IF(AND(_AC2="B-757",'2023'!$D$4="CA",'2023'!$D$2=AG5),'2023DATA'!$D$19,"")</f>
        <v/>
      </c>
      <c r="AH22" s="518" t="str">
        <f>IF(AND(_AC2="B-757",'2023'!$D$4="CA",'2023'!$D$2=AH5),'2023DATA'!$E$19,"")</f>
        <v/>
      </c>
      <c r="AI22" s="518" t="str">
        <f>IF(AND(_AC2="B-757",'2023'!$D$4="CA",'2023'!$D$2=AI5),'2023DATA'!$F$19,"")</f>
        <v/>
      </c>
      <c r="AJ22" s="518" t="str">
        <f>IF(AND(_AC2="B-757",'2023'!$D$4="CA",'2023'!$D$2=AJ5),'2023DATA'!$G$19,"")</f>
        <v/>
      </c>
      <c r="AK22" s="518" t="str">
        <f>IF(AND(_AC2="B-757",'2023'!$D$4="CA",'2023'!$D$2=AK5),'2023DATA'!$H$19,"")</f>
        <v/>
      </c>
      <c r="AL22" s="518" t="str">
        <f>IF(AND(_AC2="B-757",'2023'!$D$4="CA",'2023'!$D$2=AL5),'2023DATA'!$I$19,"")</f>
        <v/>
      </c>
      <c r="AM22" s="518" t="str">
        <f>IF(AND(_AC2="B-757",'2023'!$D$4="CA",'2023'!$D$2=AM5),'2023DATA'!$J$19,"")</f>
        <v/>
      </c>
      <c r="AN22" s="518" t="str">
        <f>IF(AND(_AC2="B-757",'2023'!$D$4="CA",'2023'!$D$2=AN5),'2023DATA'!$K$19,"")</f>
        <v/>
      </c>
      <c r="AO22" s="518" t="str">
        <f>IF(AND(_AC2="B-757",'2023'!$D$4="CA",'2023'!$D$2=AO5),'2023DATA'!$L$19,"")</f>
        <v/>
      </c>
      <c r="AP22" s="518" t="str">
        <f>IF(AND(_AC2="B-757",'2023'!$D$4="CA",'2023'!$D$2=AP5),'2023DATA'!$M$19,"")</f>
        <v/>
      </c>
      <c r="AQ22" s="520" t="str">
        <f>IF(AND(_AC2="B-757",'2023'!$D$4="CA",'2023'!$D$2=AQ5),'2023DATA'!$N$19,"")</f>
        <v/>
      </c>
      <c r="AR22" s="940" t="s">
        <v>45</v>
      </c>
      <c r="AS22" s="13" t="s">
        <v>61</v>
      </c>
      <c r="AT22" s="518" t="str">
        <f>IF(AND(_AC3="B-757",'2023'!$D$4="CA",'2023'!$D$2=AT5),'2023DATA'!$C$19,"")</f>
        <v/>
      </c>
      <c r="AU22" s="518" t="str">
        <f>IF(AND(_AC3="B-757",'2023'!$D$4="CA",'2023'!$D$2=AU5),'2023DATA'!$D$19,"")</f>
        <v/>
      </c>
      <c r="AV22" s="518" t="str">
        <f>IF(AND(_AC3="B-757",'2023'!$D$4="CA",'2023'!$D$2=AV5),'2023DATA'!$E$19,"")</f>
        <v/>
      </c>
      <c r="AW22" s="518" t="str">
        <f>IF(AND(_AC3="B-757",'2023'!$D$4="CA",'2023'!$D$2=AW5),'2023DATA'!$F$19,"")</f>
        <v/>
      </c>
      <c r="AX22" s="518" t="str">
        <f>IF(AND(_AC3="B-757",'2023'!$D$4="CA",'2023'!$D$2=AX5),'2023DATA'!$G$19,"")</f>
        <v/>
      </c>
      <c r="AY22" s="518" t="str">
        <f>IF(AND(_AC3="B-757",'2023'!$D$4="CA",'2023'!$D$2=AY5),'2023DATA'!$H$19,"")</f>
        <v/>
      </c>
      <c r="AZ22" s="518" t="str">
        <f>IF(AND(_AC3="B-757",'2023'!$D$4="CA",'2023'!$D$2=AZ5),'2023DATA'!$I$19,"")</f>
        <v/>
      </c>
      <c r="BA22" s="518" t="str">
        <f>IF(AND(_AC3="B-757",'2023'!$D$4="CA",'2023'!$D$2=BA5),'2023DATA'!$J$19,"")</f>
        <v/>
      </c>
      <c r="BB22" s="518" t="str">
        <f>IF(AND(_AC3="B-757",'2023'!$D$4="CA",'2023'!$D$2=BB5),'2023DATA'!$K$19,"")</f>
        <v/>
      </c>
      <c r="BC22" s="518" t="str">
        <f>IF(AND(_AC3="B-757",'2023'!$D$4="CA",'2023'!$D$2=BC5),'2023DATA'!$L$19,"")</f>
        <v/>
      </c>
      <c r="BD22" s="518" t="str">
        <f>IF(AND(_AC3="B-757",'2023'!$D$4="CA",'2023'!$D$2=BD5),'2023DATA'!$M$19,"")</f>
        <v/>
      </c>
      <c r="BE22" s="520" t="str">
        <f>IF(AND(_AC3="B-757",'2023'!$D$4="CA",'2023'!$D$2=BE5),'2023DATA'!$N$19,"")</f>
        <v/>
      </c>
      <c r="BF22" s="940" t="s">
        <v>45</v>
      </c>
      <c r="BG22" s="13" t="s">
        <v>61</v>
      </c>
      <c r="BH22" s="518" t="str">
        <f>IF(AND(_AC4="B-757",'2023'!$D$4="CA",'2023'!$D$2=BH5),'2023DATA'!$C$19,"")</f>
        <v/>
      </c>
      <c r="BI22" s="518" t="str">
        <f>IF(AND(_AC4="B-757",'2023'!$D$4="CA",'2023'!$D$2=BI5),'2023DATA'!$D$19,"")</f>
        <v/>
      </c>
      <c r="BJ22" s="518" t="str">
        <f>IF(AND(_AC4="B-757",'2023'!$D$4="CA",'2023'!$D$2=BJ5),'2023DATA'!$E$19,"")</f>
        <v/>
      </c>
      <c r="BK22" s="518" t="str">
        <f>IF(AND(_AC4="B-757",'2023'!$D$4="CA",'2023'!$D$2=BK5),'2023DATA'!$F$19,"")</f>
        <v/>
      </c>
      <c r="BL22" s="518" t="str">
        <f>IF(AND(_AC4="B-757",'2023'!$D$4="CA",'2023'!$D$2=BL5),'2023DATA'!$G$19,"")</f>
        <v/>
      </c>
      <c r="BM22" s="518" t="str">
        <f>IF(AND(_AC4="B-757",'2023'!$D$4="CA",'2023'!$D$2=BM5),'2023DATA'!$H$19,"")</f>
        <v/>
      </c>
      <c r="BN22" s="518" t="str">
        <f>IF(AND(_AC4="B-757",'2023'!$D$4="CA",'2023'!$D$2=BN5),'2023DATA'!$I$19,"")</f>
        <v/>
      </c>
      <c r="BO22" s="518" t="str">
        <f>IF(AND(_AC4="B-757",'2023'!$D$4="CA",'2023'!$D$2=BO5),'2023DATA'!$J$19,"")</f>
        <v/>
      </c>
      <c r="BP22" s="518" t="str">
        <f>IF(AND(_AC4="B-757",'2023'!$D$4="CA",'2023'!$D$2=BP5),'2023DATA'!$K$19,"")</f>
        <v/>
      </c>
      <c r="BQ22" s="518" t="str">
        <f>IF(AND(_AC4="B-757",'2023'!$D$4="CA",'2023'!$D$2=BQ5),'2023DATA'!$L$19,"")</f>
        <v/>
      </c>
      <c r="BR22" s="518" t="str">
        <f>IF(AND(_AC4="B-757",'2023'!$D$4="CA",'2023'!$D$2=BR5),'2023DATA'!$M$19,"")</f>
        <v/>
      </c>
      <c r="BS22" s="520" t="str">
        <f>IF(AND(_AC4="B-757",'2023'!$D$4="CA",'2023'!$D$2=BS5),'2023DATA'!$N$19,"")</f>
        <v/>
      </c>
      <c r="BT22" s="940" t="s">
        <v>45</v>
      </c>
      <c r="BU22" s="13" t="s">
        <v>61</v>
      </c>
      <c r="BV22" s="518" t="str">
        <f>IF(AND(_AC5="B-757",'2023'!$D$4="CA",'2023'!$D$2=BV5),'2023DATA'!$C$19,"")</f>
        <v/>
      </c>
      <c r="BW22" s="518" t="str">
        <f>IF(AND(_AC5="B-757",'2023'!$D$4="CA",'2023'!$D$2=BW5),'2023DATA'!$D$19,"")</f>
        <v/>
      </c>
      <c r="BX22" s="518" t="str">
        <f>IF(AND(_AC5="B-757",'2023'!$D$4="CA",'2023'!$D$2=BX5),'2023DATA'!$E$19,"")</f>
        <v/>
      </c>
      <c r="BY22" s="518" t="str">
        <f>IF(AND(_AC5="B-757",'2023'!$D$4="CA",'2023'!$D$2=BY5),'2023DATA'!$F$19,"")</f>
        <v/>
      </c>
      <c r="BZ22" s="518" t="str">
        <f>IF(AND(_AC5="B-757",'2023'!$D$4="CA",'2023'!$D$2=BZ5),'2023DATA'!$G$19,"")</f>
        <v/>
      </c>
      <c r="CA22" s="518" t="str">
        <f>IF(AND(_AC5="B-757",'2023'!$D$4="CA",'2023'!$D$2=CA5),'2023DATA'!$H$19,"")</f>
        <v/>
      </c>
      <c r="CB22" s="518" t="str">
        <f>IF(AND(_AC5="B-757",'2023'!$D$4="CA",'2023'!$D$2=CB5),'2023DATA'!$I$19,"")</f>
        <v/>
      </c>
      <c r="CC22" s="518" t="str">
        <f>IF(AND(_AC5="B-757",'2023'!$D$4="CA",'2023'!$D$2=CC5),'2023DATA'!$J$19,"")</f>
        <v/>
      </c>
      <c r="CD22" s="518" t="str">
        <f>IF(AND(_AC5="B-757",'2023'!$D$4="CA",'2023'!$D$2=CD5),'2023DATA'!$K$19,"")</f>
        <v/>
      </c>
      <c r="CE22" s="518" t="str">
        <f>IF(AND(_AC5="B-757",'2023'!$D$4="CA",'2023'!$D$2=CE5),'2023DATA'!$L$19,"")</f>
        <v/>
      </c>
      <c r="CF22" s="518" t="str">
        <f>IF(AND(_AC5="B-757",'2023'!$D$4="CA",'2023'!$D$2=CF5),'2023DATA'!$M$19,"")</f>
        <v/>
      </c>
      <c r="CG22" s="520" t="str">
        <f>IF(AND(_AC5="B-757",'2023'!$D$4="CA",'2023'!$D$2=CG5),'2023DATA'!$N$19,"")</f>
        <v/>
      </c>
      <c r="CH22" s="940" t="s">
        <v>45</v>
      </c>
      <c r="CI22" s="13" t="s">
        <v>61</v>
      </c>
      <c r="CJ22" s="518" t="str">
        <f>IF(AND(_AC6="B-757",'2023'!$D$4="CA",'2023'!$D$2=CJ5),'2023DATA'!$C$19,"")</f>
        <v/>
      </c>
      <c r="CK22" s="518" t="str">
        <f>IF(AND(_AC6="B-757",'2023'!$D$4="CA",'2023'!$D$2=CK5),'2023DATA'!$D$19,"")</f>
        <v/>
      </c>
      <c r="CL22" s="518" t="str">
        <f>IF(AND(_AC6="B-757",'2023'!$D$4="CA",'2023'!$D$2=CL5),'2023DATA'!$E$19,"")</f>
        <v/>
      </c>
      <c r="CM22" s="518" t="str">
        <f>IF(AND(_AC6="B-757",'2023'!$D$4="CA",'2023'!$D$2=CM5),'2023DATA'!$F$19,"")</f>
        <v/>
      </c>
      <c r="CN22" s="518" t="str">
        <f>IF(AND(_AC6="B-757",'2023'!$D$4="CA",'2023'!$D$2=CN5),'2023DATA'!$G$19,"")</f>
        <v/>
      </c>
      <c r="CO22" s="518" t="str">
        <f>IF(AND(_AC6="B-757",'2023'!$D$4="CA",'2023'!$D$2=CO5),'2023DATA'!$H$19,"")</f>
        <v/>
      </c>
      <c r="CP22" s="518" t="str">
        <f>IF(AND(_AC6="B-757",'2023'!$D$4="CA",'2023'!$D$2=CP5),'2023DATA'!$I$19,"")</f>
        <v/>
      </c>
      <c r="CQ22" s="518" t="str">
        <f>IF(AND(_AC6="B-757",'2023'!$D$4="CA",'2023'!$D$2=CQ5),'2023DATA'!$J$19,"")</f>
        <v/>
      </c>
      <c r="CR22" s="518" t="str">
        <f>IF(AND(_AC6="B-757",'2023'!$D$4="CA",'2023'!$D$2=CR5),'2023DATA'!$K$19,"")</f>
        <v/>
      </c>
      <c r="CS22" s="518" t="str">
        <f>IF(AND(_AC6="B-757",'2023'!$D$4="CA",'2023'!$D$2=CS5),'2023DATA'!$L$19,"")</f>
        <v/>
      </c>
      <c r="CT22" s="518" t="str">
        <f>IF(AND(_AC6="B-757",'2023'!$D$4="CA",'2023'!$D$2=CT5),'2023DATA'!$M$19,"")</f>
        <v/>
      </c>
      <c r="CU22" s="520" t="str">
        <f>IF(AND(_AC6="B-757",'2023'!$D$4="CA",'2023'!$D$2=CU5),'2023DATA'!$N$19,"")</f>
        <v/>
      </c>
    </row>
    <row r="23" spans="1:99" x14ac:dyDescent="0.25">
      <c r="A23" s="946" t="s">
        <v>69</v>
      </c>
      <c r="B23" s="78" t="s">
        <v>61</v>
      </c>
      <c r="C23" s="25">
        <v>335.13</v>
      </c>
      <c r="D23" s="26">
        <v>332.67</v>
      </c>
      <c r="E23" s="26">
        <v>330.13</v>
      </c>
      <c r="F23" s="26">
        <v>327.64999999999998</v>
      </c>
      <c r="G23" s="26">
        <v>325.11</v>
      </c>
      <c r="H23" s="26">
        <v>322.58999999999997</v>
      </c>
      <c r="I23" s="26">
        <v>320.10000000000002</v>
      </c>
      <c r="J23" s="26">
        <v>317.60000000000002</v>
      </c>
      <c r="K23" s="26">
        <v>315.06</v>
      </c>
      <c r="L23" s="26">
        <v>312.52</v>
      </c>
      <c r="M23" s="26">
        <v>310.08999999999997</v>
      </c>
      <c r="N23" s="27">
        <v>307.69</v>
      </c>
      <c r="P23" s="940"/>
      <c r="Q23" s="13" t="s">
        <v>62</v>
      </c>
      <c r="R23" s="518" t="str">
        <f>IF(AND(_AC1="B-757",'2023'!$D$4="FO",'2023'!$D$2=R5),'2023DATA'!$C$20,"")</f>
        <v/>
      </c>
      <c r="S23" s="518" t="str">
        <f>IF(AND(_AC1="B-757",'2023'!$D$4="FO",'2023'!$D$2=S5),'2023DATA'!$D$20,"")</f>
        <v/>
      </c>
      <c r="T23" s="518" t="str">
        <f>IF(AND(_AC1="B-757",'2023'!$D$4="FO",'2023'!$D$2=T5),'2023DATA'!$E$20,"")</f>
        <v/>
      </c>
      <c r="U23" s="518" t="str">
        <f>IF(AND(_AC1="B-757",'2023'!$D$4="FO",'2023'!$D$2=U5),'2023DATA'!$F$20,"")</f>
        <v/>
      </c>
      <c r="V23" s="518" t="str">
        <f>IF(AND(_AC1="B-757",'2023'!$D$4="FO",'2023'!$D$2=V5),'2023DATA'!$G$20,"")</f>
        <v/>
      </c>
      <c r="W23" s="518" t="str">
        <f>IF(AND(_AC1="B-757",'2023'!$D$4="FO",'2023'!$D$2=W5),'2023DATA'!$H$20,"")</f>
        <v/>
      </c>
      <c r="X23" s="518" t="str">
        <f>IF(AND(_AC1="B-757",'2023'!$D$4="FO",'2023'!$D$2=X5),'2023DATA'!$I$20,"")</f>
        <v/>
      </c>
      <c r="Y23" s="518" t="str">
        <f>IF(AND(_AC1="B-757",'2023'!$D$4="FO",'2023'!$D$2=Y5),'2023DATA'!$J$20,"")</f>
        <v/>
      </c>
      <c r="Z23" s="518" t="str">
        <f>IF(AND(_AC1="B-757",'2023'!$D$4="FO",'2023'!$D$2=Z5),'2023DATA'!$K$20,"")</f>
        <v/>
      </c>
      <c r="AA23" s="518" t="str">
        <f>IF(AND(_AC1="B-757",'2023'!$D$4="FO",'2023'!$D$2=AA5),'2023DATA'!$L$20,"")</f>
        <v/>
      </c>
      <c r="AB23" s="518" t="str">
        <f>IF(AND(_AC1="B-757",'2023'!$D$4="FO",'2023'!$D$2=AB5),'2023DATA'!$M$20,"")</f>
        <v/>
      </c>
      <c r="AC23" s="520" t="str">
        <f>IF(AND(_AC1="B-757",'2023'!$D$4="FO",'2023'!$D$2=AC5),'2023DATA'!$N$20,"")</f>
        <v/>
      </c>
      <c r="AD23" s="940"/>
      <c r="AE23" s="13" t="s">
        <v>62</v>
      </c>
      <c r="AF23" s="518" t="str">
        <f>IF(AND(_AC2="B-757",'2023'!$D$4="FO",'2023'!$D$2=AF5),'2023DATA'!$C$20,"")</f>
        <v/>
      </c>
      <c r="AG23" s="518" t="str">
        <f>IF(AND(_AC2="B-757",'2023'!$D$4="FO",'2023'!$D$2=AG5),'2023DATA'!$D$20,"")</f>
        <v/>
      </c>
      <c r="AH23" s="518" t="str">
        <f>IF(AND(_AC2="B-757",'2023'!$D$4="FO",'2023'!$D$2=AH5),'2023DATA'!$E$20,"")</f>
        <v/>
      </c>
      <c r="AI23" s="518" t="str">
        <f>IF(AND(_AC2="B-757",'2023'!$D$4="FO",'2023'!$D$2=AI5),'2023DATA'!$F$20,"")</f>
        <v/>
      </c>
      <c r="AJ23" s="518" t="str">
        <f>IF(AND(_AC2="B-757",'2023'!$D$4="FO",'2023'!$D$2=AJ5),'2023DATA'!$G$20,"")</f>
        <v/>
      </c>
      <c r="AK23" s="518" t="str">
        <f>IF(AND(_AC2="B-757",'2023'!$D$4="FO",'2023'!$D$2=AK5),'2023DATA'!$H$20,"")</f>
        <v/>
      </c>
      <c r="AL23" s="518" t="str">
        <f>IF(AND(_AC2="B-757",'2023'!$D$4="FO",'2023'!$D$2=AL5),'2023DATA'!$I$20,"")</f>
        <v/>
      </c>
      <c r="AM23" s="518" t="str">
        <f>IF(AND(_AC2="B-757",'2023'!$D$4="FO",'2023'!$D$2=AM5),'2023DATA'!$J$20,"")</f>
        <v/>
      </c>
      <c r="AN23" s="518" t="str">
        <f>IF(AND(_AC2="B-757",'2023'!$D$4="FO",'2023'!$D$2=AN5),'2023DATA'!$K$20,"")</f>
        <v/>
      </c>
      <c r="AO23" s="518" t="str">
        <f>IF(AND(_AC2="B-757",'2023'!$D$4="FO",'2023'!$D$2=AO5),'2023DATA'!$L$20,"")</f>
        <v/>
      </c>
      <c r="AP23" s="518" t="str">
        <f>IF(AND(_AC2="B-757",'2023'!$D$4="FO",'2023'!$D$2=AP5),'2023DATA'!$M$20,"")</f>
        <v/>
      </c>
      <c r="AQ23" s="520" t="str">
        <f>IF(AND(_AC2="B-757",'2023'!$D$4="FO",'2023'!$D$2=AQ5),'2023DATA'!$N$20,"")</f>
        <v/>
      </c>
      <c r="AR23" s="940"/>
      <c r="AS23" s="13" t="s">
        <v>62</v>
      </c>
      <c r="AT23" s="518" t="str">
        <f>IF(AND(_AC3="B-757",'2023'!$D$4="FO",'2023'!$D$2=AT5),'2023DATA'!$C$20,"")</f>
        <v/>
      </c>
      <c r="AU23" s="518" t="str">
        <f>IF(AND(_AC3="B-757",'2023'!$D$4="FO",'2023'!$D$2=AU5),'2023DATA'!$D$20,"")</f>
        <v/>
      </c>
      <c r="AV23" s="518" t="str">
        <f>IF(AND(_AC3="B-757",'2023'!$D$4="FO",'2023'!$D$2=AV5),'2023DATA'!$E$20,"")</f>
        <v/>
      </c>
      <c r="AW23" s="518" t="str">
        <f>IF(AND(_AC3="B-757",'2023'!$D$4="FO",'2023'!$D$2=AW5),'2023DATA'!$F$20,"")</f>
        <v/>
      </c>
      <c r="AX23" s="518" t="str">
        <f>IF(AND(_AC3="B-757",'2023'!$D$4="FO",'2023'!$D$2=AX5),'2023DATA'!$G$20,"")</f>
        <v/>
      </c>
      <c r="AY23" s="518" t="str">
        <f>IF(AND(_AC3="B-757",'2023'!$D$4="FO",'2023'!$D$2=AY5),'2023DATA'!$H$20,"")</f>
        <v/>
      </c>
      <c r="AZ23" s="518" t="str">
        <f>IF(AND(_AC3="B-757",'2023'!$D$4="FO",'2023'!$D$2=AZ5),'2023DATA'!$I$20,"")</f>
        <v/>
      </c>
      <c r="BA23" s="518" t="str">
        <f>IF(AND(_AC3="B-757",'2023'!$D$4="FO",'2023'!$D$2=BA5),'2023DATA'!$J$20,"")</f>
        <v/>
      </c>
      <c r="BB23" s="518" t="str">
        <f>IF(AND(_AC3="B-757",'2023'!$D$4="FO",'2023'!$D$2=BB5),'2023DATA'!$K$20,"")</f>
        <v/>
      </c>
      <c r="BC23" s="518" t="str">
        <f>IF(AND(_AC3="B-757",'2023'!$D$4="FO",'2023'!$D$2=BC5),'2023DATA'!$L$20,"")</f>
        <v/>
      </c>
      <c r="BD23" s="518" t="str">
        <f>IF(AND(_AC3="B-757",'2023'!$D$4="FO",'2023'!$D$2=BD5),'2023DATA'!$M$20,"")</f>
        <v/>
      </c>
      <c r="BE23" s="520" t="str">
        <f>IF(AND(_AC3="B-757",'2023'!$D$4="FO",'2023'!$D$2=BE5),'2023DATA'!$N$20,"")</f>
        <v/>
      </c>
      <c r="BF23" s="940"/>
      <c r="BG23" s="13" t="s">
        <v>62</v>
      </c>
      <c r="BH23" s="518" t="str">
        <f>IF(AND(_AC4="B-757",'2023'!$D$4="FO",'2023'!$D$2=BH5),'2023DATA'!$C$20,"")</f>
        <v/>
      </c>
      <c r="BI23" s="518" t="str">
        <f>IF(AND(_AC4="B-757",'2023'!$D$4="FO",'2023'!$D$2=BI5),'2023DATA'!$D$20,"")</f>
        <v/>
      </c>
      <c r="BJ23" s="518" t="str">
        <f>IF(AND(_AC4="B-757",'2023'!$D$4="FO",'2023'!$D$2=BJ5),'2023DATA'!$E$20,"")</f>
        <v/>
      </c>
      <c r="BK23" s="518" t="str">
        <f>IF(AND(_AC4="B-757",'2023'!$D$4="FO",'2023'!$D$2=BK5),'2023DATA'!$F$20,"")</f>
        <v/>
      </c>
      <c r="BL23" s="518" t="str">
        <f>IF(AND(_AC4="B-757",'2023'!$D$4="FO",'2023'!$D$2=BL5),'2023DATA'!$G$20,"")</f>
        <v/>
      </c>
      <c r="BM23" s="518" t="str">
        <f>IF(AND(_AC4="B-757",'2023'!$D$4="FO",'2023'!$D$2=BM5),'2023DATA'!$H$20,"")</f>
        <v/>
      </c>
      <c r="BN23" s="518" t="str">
        <f>IF(AND(_AC4="B-757",'2023'!$D$4="FO",'2023'!$D$2=BN5),'2023DATA'!$I$20,"")</f>
        <v/>
      </c>
      <c r="BO23" s="518" t="str">
        <f>IF(AND(_AC4="B-757",'2023'!$D$4="FO",'2023'!$D$2=BO5),'2023DATA'!$J$20,"")</f>
        <v/>
      </c>
      <c r="BP23" s="518" t="str">
        <f>IF(AND(_AC4="B-757",'2023'!$D$4="FO",'2023'!$D$2=BP5),'2023DATA'!$K$20,"")</f>
        <v/>
      </c>
      <c r="BQ23" s="518" t="str">
        <f>IF(AND(_AC4="B-757",'2023'!$D$4="FO",'2023'!$D$2=BQ5),'2023DATA'!$L$20,"")</f>
        <v/>
      </c>
      <c r="BR23" s="518" t="str">
        <f>IF(AND(_AC4="B-757",'2023'!$D$4="FO",'2023'!$D$2=BR5),'2023DATA'!$M$20,"")</f>
        <v/>
      </c>
      <c r="BS23" s="520" t="str">
        <f>IF(AND(_AC4="B-757",'2023'!$D$4="FO",'2023'!$D$2=BS5),'2023DATA'!$N$20,"")</f>
        <v/>
      </c>
      <c r="BT23" s="940"/>
      <c r="BU23" s="13" t="s">
        <v>62</v>
      </c>
      <c r="BV23" s="518" t="str">
        <f>IF(AND(_AC5="B-757",'2023'!$D$4="FO",'2023'!$D$2=BV5),'2023DATA'!$C$20,"")</f>
        <v/>
      </c>
      <c r="BW23" s="518" t="str">
        <f>IF(AND(_AC5="B-757",'2023'!$D$4="FO",'2023'!$D$2=BW5),'2023DATA'!$D$20,"")</f>
        <v/>
      </c>
      <c r="BX23" s="518" t="str">
        <f>IF(AND(_AC5="B-757",'2023'!$D$4="FO",'2023'!$D$2=BX5),'2023DATA'!$E$20,"")</f>
        <v/>
      </c>
      <c r="BY23" s="518" t="str">
        <f>IF(AND(_AC5="B-757",'2023'!$D$4="FO",'2023'!$D$2=BY5),'2023DATA'!$F$20,"")</f>
        <v/>
      </c>
      <c r="BZ23" s="518" t="str">
        <f>IF(AND(_AC5="B-757",'2023'!$D$4="FO",'2023'!$D$2=BZ5),'2023DATA'!$G$20,"")</f>
        <v/>
      </c>
      <c r="CA23" s="518" t="str">
        <f>IF(AND(_AC5="B-757",'2023'!$D$4="FO",'2023'!$D$2=CA5),'2023DATA'!$H$20,"")</f>
        <v/>
      </c>
      <c r="CB23" s="518" t="str">
        <f>IF(AND(_AC5="B-757",'2023'!$D$4="FO",'2023'!$D$2=CB5),'2023DATA'!$I$20,"")</f>
        <v/>
      </c>
      <c r="CC23" s="518" t="str">
        <f>IF(AND(_AC5="B-757",'2023'!$D$4="FO",'2023'!$D$2=CC5),'2023DATA'!$J$20,"")</f>
        <v/>
      </c>
      <c r="CD23" s="518" t="str">
        <f>IF(AND(_AC5="B-757",'2023'!$D$4="FO",'2023'!$D$2=CD5),'2023DATA'!$K$20,"")</f>
        <v/>
      </c>
      <c r="CE23" s="518" t="str">
        <f>IF(AND(_AC5="B-757",'2023'!$D$4="FO",'2023'!$D$2=CE5),'2023DATA'!$L$20,"")</f>
        <v/>
      </c>
      <c r="CF23" s="518" t="str">
        <f>IF(AND(_AC5="B-757",'2023'!$D$4="FO",'2023'!$D$2=CF5),'2023DATA'!$M$20,"")</f>
        <v/>
      </c>
      <c r="CG23" s="520" t="str">
        <f>IF(AND(_AC5="B-757",'2023'!$D$4="FO",'2023'!$D$2=CG5),'2023DATA'!$N$20,"")</f>
        <v/>
      </c>
      <c r="CH23" s="940"/>
      <c r="CI23" s="13" t="s">
        <v>62</v>
      </c>
      <c r="CJ23" s="518" t="str">
        <f>IF(AND(_AC6="B-757",'2023'!$D$4="FO",'2023'!$D$2=CJ5),'2023DATA'!$C$20,"")</f>
        <v/>
      </c>
      <c r="CK23" s="518" t="str">
        <f>IF(AND(_AC6="B-757",'2023'!$D$4="FO",'2023'!$D$2=CK5),'2023DATA'!$D$20,"")</f>
        <v/>
      </c>
      <c r="CL23" s="518" t="str">
        <f>IF(AND(_AC6="B-757",'2023'!$D$4="FO",'2023'!$D$2=CL5),'2023DATA'!$E$20,"")</f>
        <v/>
      </c>
      <c r="CM23" s="518" t="str">
        <f>IF(AND(_AC6="B-757",'2023'!$D$4="FO",'2023'!$D$2=CM5),'2023DATA'!$F$20,"")</f>
        <v/>
      </c>
      <c r="CN23" s="518" t="str">
        <f>IF(AND(_AC6="B-757",'2023'!$D$4="FO",'2023'!$D$2=CN5),'2023DATA'!$G$20,"")</f>
        <v/>
      </c>
      <c r="CO23" s="518" t="str">
        <f>IF(AND(_AC6="B-757",'2023'!$D$4="FO",'2023'!$D$2=CO5),'2023DATA'!$H$20,"")</f>
        <v/>
      </c>
      <c r="CP23" s="518" t="str">
        <f>IF(AND(_AC6="B-757",'2023'!$D$4="FO",'2023'!$D$2=CP5),'2023DATA'!$I$20,"")</f>
        <v/>
      </c>
      <c r="CQ23" s="518" t="str">
        <f>IF(AND(_AC6="B-757",'2023'!$D$4="FO",'2023'!$D$2=CQ5),'2023DATA'!$J$20,"")</f>
        <v/>
      </c>
      <c r="CR23" s="518" t="str">
        <f>IF(AND(_AC6="B-757",'2023'!$D$4="FO",'2023'!$D$2=CR5),'2023DATA'!$K$20,"")</f>
        <v/>
      </c>
      <c r="CS23" s="518" t="str">
        <f>IF(AND(_AC6="B-757",'2023'!$D$4="FO",'2023'!$D$2=CS5),'2023DATA'!$L$20,"")</f>
        <v/>
      </c>
      <c r="CT23" s="518" t="str">
        <f>IF(AND(_AC6="B-757",'2023'!$D$4="FO",'2023'!$D$2=CT5),'2023DATA'!$M$20,"")</f>
        <v/>
      </c>
      <c r="CU23" s="520" t="str">
        <f>IF(AND(_AC6="B-757",'2023'!$D$4="FO",'2023'!$D$2=CU5),'2023DATA'!$N$20,"")</f>
        <v/>
      </c>
    </row>
    <row r="24" spans="1:99" x14ac:dyDescent="0.25">
      <c r="A24" s="946"/>
      <c r="B24" s="78" t="s">
        <v>62</v>
      </c>
      <c r="C24" s="25">
        <v>228.9</v>
      </c>
      <c r="D24" s="26">
        <v>226.87</v>
      </c>
      <c r="E24" s="26">
        <v>224.8</v>
      </c>
      <c r="F24" s="26">
        <v>221.8</v>
      </c>
      <c r="G24" s="26">
        <v>219.46</v>
      </c>
      <c r="H24" s="26">
        <v>214.5</v>
      </c>
      <c r="I24" s="26">
        <v>208.68</v>
      </c>
      <c r="J24" s="26">
        <v>203.59</v>
      </c>
      <c r="K24" s="26">
        <v>198.81</v>
      </c>
      <c r="L24" s="26">
        <v>194.09</v>
      </c>
      <c r="M24" s="26">
        <v>165.91</v>
      </c>
      <c r="N24" s="27">
        <v>108.34</v>
      </c>
      <c r="P24" s="940" t="s">
        <v>47</v>
      </c>
      <c r="Q24" s="13" t="s">
        <v>61</v>
      </c>
      <c r="R24" s="518" t="str">
        <f>IF(AND(_AC1="B-737-900",'2023'!$D$4="CA",'2023'!$D$2=R5),'2023DATA'!$C$21,"")</f>
        <v/>
      </c>
      <c r="S24" s="518" t="str">
        <f>IF(AND(_AC1="B-737-900",'2023'!$D$4="CA",'2023'!$D$2=S5),'2023DATA'!$D$21,"")</f>
        <v/>
      </c>
      <c r="T24" s="518" t="str">
        <f>IF(AND(_AC1="B-737-900",'2023'!$D$4="CA",'2023'!$D$2=T5),'2023DATA'!$E$21,"")</f>
        <v/>
      </c>
      <c r="U24" s="518" t="str">
        <f>IF(AND(_AC1="B-737-900",'2023'!$D$4="CA",'2023'!$D$2=U5),'2023DATA'!$F$21,"")</f>
        <v/>
      </c>
      <c r="V24" s="518" t="str">
        <f>IF(AND(_AC1="B-737-900",'2023'!$D$4="CA",'2023'!$D$2=V5),'2023DATA'!$G$21,"")</f>
        <v/>
      </c>
      <c r="W24" s="518" t="str">
        <f>IF(AND(_AC1="B-737-900",'2023'!$D$4="CA",'2023'!$D$2=W5),'2023DATA'!$H$21,"")</f>
        <v/>
      </c>
      <c r="X24" s="518" t="str">
        <f>IF(AND(_AC1="B-737-900",'2023'!$D$4="CA",'2023'!$D$2=X5),'2023DATA'!$I$21,"")</f>
        <v/>
      </c>
      <c r="Y24" s="518" t="str">
        <f>IF(AND(_AC1="B-737-900",'2023'!$D$4="CA",'2023'!$D$2=Y5),'2023DATA'!$J$21,"")</f>
        <v/>
      </c>
      <c r="Z24" s="518" t="str">
        <f>IF(AND(_AC1="B-737-900",'2023'!$D$4="CA",'2023'!$D$2=Z5),'2023DATA'!$K$21,"")</f>
        <v/>
      </c>
      <c r="AA24" s="518" t="str">
        <f>IF(AND(_AC1="B-737-900",'2023'!$D$4="CA",'2023'!$D$2=AA5),'2023DATA'!$L$21,"")</f>
        <v/>
      </c>
      <c r="AB24" s="518" t="str">
        <f>IF(AND(_AC1="B-737-900",'2023'!$D$4="CA",'2023'!$D$2=AB5),'2023DATA'!$M$21,"")</f>
        <v/>
      </c>
      <c r="AC24" s="520" t="str">
        <f>IF(AND(_AC1="B-737-900",'2023'!$D$4="CA",'2023'!$D$2=AC5),'2023DATA'!$N$21,"")</f>
        <v/>
      </c>
      <c r="AD24" s="940" t="s">
        <v>47</v>
      </c>
      <c r="AE24" s="13" t="s">
        <v>61</v>
      </c>
      <c r="AF24" s="518" t="str">
        <f>IF(AND(_AC2="B-737-900",'2023'!$D$4="CA",'2023'!$D$2=AF5),'2023DATA'!$C$21,"")</f>
        <v/>
      </c>
      <c r="AG24" s="518" t="str">
        <f>IF(AND(_AC2="B-737-900",'2023'!$D$4="CA",'2023'!$D$2=AG5),'2023DATA'!$D$21,"")</f>
        <v/>
      </c>
      <c r="AH24" s="518" t="str">
        <f>IF(AND(_AC2="B-737-900",'2023'!$D$4="CA",'2023'!$D$2=AH5),'2023DATA'!$E$21,"")</f>
        <v/>
      </c>
      <c r="AI24" s="518" t="str">
        <f>IF(AND(_AC2="B-737-900",'2023'!$D$4="CA",'2023'!$D$2=AI5),'2023DATA'!$F$21,"")</f>
        <v/>
      </c>
      <c r="AJ24" s="518" t="str">
        <f>IF(AND(_AC2="B-737-900",'2023'!$D$4="CA",'2023'!$D$2=AJ5),'2023DATA'!$G$21,"")</f>
        <v/>
      </c>
      <c r="AK24" s="518" t="str">
        <f>IF(AND(_AC2="B-737-900",'2023'!$D$4="CA",'2023'!$D$2=AK5),'2023DATA'!$H$21,"")</f>
        <v/>
      </c>
      <c r="AL24" s="518" t="str">
        <f>IF(AND(_AC2="B-737-900",'2023'!$D$4="CA",'2023'!$D$2=AL5),'2023DATA'!$I$21,"")</f>
        <v/>
      </c>
      <c r="AM24" s="518" t="str">
        <f>IF(AND(_AC2="B-737-900",'2023'!$D$4="CA",'2023'!$D$2=AM5),'2023DATA'!$J$21,"")</f>
        <v/>
      </c>
      <c r="AN24" s="518" t="str">
        <f>IF(AND(_AC2="B-737-900",'2023'!$D$4="CA",'2023'!$D$2=AN5),'2023DATA'!$K$21,"")</f>
        <v/>
      </c>
      <c r="AO24" s="518" t="str">
        <f>IF(AND(_AC2="B-737-900",'2023'!$D$4="CA",'2023'!$D$2=AO5),'2023DATA'!$L$21,"")</f>
        <v/>
      </c>
      <c r="AP24" s="518" t="str">
        <f>IF(AND(_AC2="B-737-900",'2023'!$D$4="CA",'2023'!$D$2=AP5),'2023DATA'!$M$21,"")</f>
        <v/>
      </c>
      <c r="AQ24" s="520" t="str">
        <f>IF(AND(_AC2="B-737-900",'2023'!$D$4="CA",'2023'!$D$2=AQ5),'2023DATA'!$N$21,"")</f>
        <v/>
      </c>
      <c r="AR24" s="940" t="s">
        <v>47</v>
      </c>
      <c r="AS24" s="13" t="s">
        <v>61</v>
      </c>
      <c r="AT24" s="518" t="str">
        <f>IF(AND(_AC3="B-737-900",'2023'!$D$4="CA",'2023'!$D$2=AT5),'2023DATA'!$C$21,"")</f>
        <v/>
      </c>
      <c r="AU24" s="518" t="str">
        <f>IF(AND(_AC3="B-737-900",'2023'!$D$4="CA",'2023'!$D$2=AU5),'2023DATA'!$D$21,"")</f>
        <v/>
      </c>
      <c r="AV24" s="518" t="str">
        <f>IF(AND(_AC3="B-737-900",'2023'!$D$4="CA",'2023'!$D$2=AV5),'2023DATA'!$E$21,"")</f>
        <v/>
      </c>
      <c r="AW24" s="518" t="str">
        <f>IF(AND(_AC3="B-737-900",'2023'!$D$4="CA",'2023'!$D$2=AW5),'2023DATA'!$F$21,"")</f>
        <v/>
      </c>
      <c r="AX24" s="518" t="str">
        <f>IF(AND(_AC3="B-737-900",'2023'!$D$4="CA",'2023'!$D$2=AX5),'2023DATA'!$G$21,"")</f>
        <v/>
      </c>
      <c r="AY24" s="518" t="str">
        <f>IF(AND(_AC3="B-737-900",'2023'!$D$4="CA",'2023'!$D$2=AY5),'2023DATA'!$H$21,"")</f>
        <v/>
      </c>
      <c r="AZ24" s="518" t="str">
        <f>IF(AND(_AC3="B-737-900",'2023'!$D$4="CA",'2023'!$D$2=AZ5),'2023DATA'!$I$21,"")</f>
        <v/>
      </c>
      <c r="BA24" s="518" t="str">
        <f>IF(AND(_AC3="B-737-900",'2023'!$D$4="CA",'2023'!$D$2=BA5),'2023DATA'!$J$21,"")</f>
        <v/>
      </c>
      <c r="BB24" s="518" t="str">
        <f>IF(AND(_AC3="B-737-900",'2023'!$D$4="CA",'2023'!$D$2=BB5),'2023DATA'!$K$21,"")</f>
        <v/>
      </c>
      <c r="BC24" s="518" t="str">
        <f>IF(AND(_AC3="B-737-900",'2023'!$D$4="CA",'2023'!$D$2=BC5),'2023DATA'!$L$21,"")</f>
        <v/>
      </c>
      <c r="BD24" s="518" t="str">
        <f>IF(AND(_AC3="B-737-900",'2023'!$D$4="CA",'2023'!$D$2=BD5),'2023DATA'!$M$21,"")</f>
        <v/>
      </c>
      <c r="BE24" s="520" t="str">
        <f>IF(AND(_AC3="B-737-900",'2023'!$D$4="CA",'2023'!$D$2=BE5),'2023DATA'!$N$21,"")</f>
        <v/>
      </c>
      <c r="BF24" s="940" t="s">
        <v>47</v>
      </c>
      <c r="BG24" s="13" t="s">
        <v>61</v>
      </c>
      <c r="BH24" s="518" t="str">
        <f>IF(AND(_AC4="B-737-900",'2023'!$D$4="CA",'2023'!$D$2=BH5),'2023DATA'!$C$21,"")</f>
        <v/>
      </c>
      <c r="BI24" s="518" t="str">
        <f>IF(AND(_AC4="B-737-900",'2023'!$D$4="CA",'2023'!$D$2=BI5),'2023DATA'!$D$21,"")</f>
        <v/>
      </c>
      <c r="BJ24" s="518" t="str">
        <f>IF(AND(_AC4="B-737-900",'2023'!$D$4="CA",'2023'!$D$2=BJ5),'2023DATA'!$E$21,"")</f>
        <v/>
      </c>
      <c r="BK24" s="518" t="str">
        <f>IF(AND(_AC4="B-737-900",'2023'!$D$4="CA",'2023'!$D$2=BK5),'2023DATA'!$F$21,"")</f>
        <v/>
      </c>
      <c r="BL24" s="518" t="str">
        <f>IF(AND(_AC4="B-737-900",'2023'!$D$4="CA",'2023'!$D$2=BL5),'2023DATA'!$G$21,"")</f>
        <v/>
      </c>
      <c r="BM24" s="518" t="str">
        <f>IF(AND(_AC4="B-737-900",'2023'!$D$4="CA",'2023'!$D$2=BM5),'2023DATA'!$H$21,"")</f>
        <v/>
      </c>
      <c r="BN24" s="518" t="str">
        <f>IF(AND(_AC4="B-737-900",'2023'!$D$4="CA",'2023'!$D$2=BN5),'2023DATA'!$I$21,"")</f>
        <v/>
      </c>
      <c r="BO24" s="518" t="str">
        <f>IF(AND(_AC4="B-737-900",'2023'!$D$4="CA",'2023'!$D$2=BO5),'2023DATA'!$J$21,"")</f>
        <v/>
      </c>
      <c r="BP24" s="518" t="str">
        <f>IF(AND(_AC4="B-737-900",'2023'!$D$4="CA",'2023'!$D$2=BP5),'2023DATA'!$K$21,"")</f>
        <v/>
      </c>
      <c r="BQ24" s="518" t="str">
        <f>IF(AND(_AC4="B-737-900",'2023'!$D$4="CA",'2023'!$D$2=BQ5),'2023DATA'!$L$21,"")</f>
        <v/>
      </c>
      <c r="BR24" s="518" t="str">
        <f>IF(AND(_AC4="B-737-900",'2023'!$D$4="CA",'2023'!$D$2=BR5),'2023DATA'!$M$21,"")</f>
        <v/>
      </c>
      <c r="BS24" s="520" t="str">
        <f>IF(AND(_AC4="B-737-900",'2023'!$D$4="CA",'2023'!$D$2=BS5),'2023DATA'!$N$21,"")</f>
        <v/>
      </c>
      <c r="BT24" s="940" t="s">
        <v>47</v>
      </c>
      <c r="BU24" s="13" t="s">
        <v>61</v>
      </c>
      <c r="BV24" s="518" t="str">
        <f>IF(AND(_AC5="B-737-900",'2023'!$D$4="CA",'2023'!$D$2=BV5),'2023DATA'!$C$21,"")</f>
        <v/>
      </c>
      <c r="BW24" s="518" t="str">
        <f>IF(AND(_AC5="B-737-900",'2023'!$D$4="CA",'2023'!$D$2=BW5),'2023DATA'!$D$21,"")</f>
        <v/>
      </c>
      <c r="BX24" s="518" t="str">
        <f>IF(AND(_AC5="B-737-900",'2023'!$D$4="CA",'2023'!$D$2=BX5),'2023DATA'!$E$21,"")</f>
        <v/>
      </c>
      <c r="BY24" s="518" t="str">
        <f>IF(AND(_AC5="B-737-900",'2023'!$D$4="CA",'2023'!$D$2=BY5),'2023DATA'!$F$21,"")</f>
        <v/>
      </c>
      <c r="BZ24" s="518" t="str">
        <f>IF(AND(_AC5="B-737-900",'2023'!$D$4="CA",'2023'!$D$2=BZ5),'2023DATA'!$G$21,"")</f>
        <v/>
      </c>
      <c r="CA24" s="518" t="str">
        <f>IF(AND(_AC5="B-737-900",'2023'!$D$4="CA",'2023'!$D$2=CA5),'2023DATA'!$H$21,"")</f>
        <v/>
      </c>
      <c r="CB24" s="518" t="str">
        <f>IF(AND(_AC5="B-737-900",'2023'!$D$4="CA",'2023'!$D$2=CB5),'2023DATA'!$I$21,"")</f>
        <v/>
      </c>
      <c r="CC24" s="518" t="str">
        <f>IF(AND(_AC5="B-737-900",'2023'!$D$4="CA",'2023'!$D$2=CC5),'2023DATA'!$J$21,"")</f>
        <v/>
      </c>
      <c r="CD24" s="518" t="str">
        <f>IF(AND(_AC5="B-737-900",'2023'!$D$4="CA",'2023'!$D$2=CD5),'2023DATA'!$K$21,"")</f>
        <v/>
      </c>
      <c r="CE24" s="518" t="str">
        <f>IF(AND(_AC5="B-737-900",'2023'!$D$4="CA",'2023'!$D$2=CE5),'2023DATA'!$L$21,"")</f>
        <v/>
      </c>
      <c r="CF24" s="518" t="str">
        <f>IF(AND(_AC5="B-737-900",'2023'!$D$4="CA",'2023'!$D$2=CF5),'2023DATA'!$M$21,"")</f>
        <v/>
      </c>
      <c r="CG24" s="520" t="str">
        <f>IF(AND(_AC5="B-737-900",'2023'!$D$4="CA",'2023'!$D$2=CG5),'2023DATA'!$N$21,"")</f>
        <v/>
      </c>
      <c r="CH24" s="940" t="s">
        <v>47</v>
      </c>
      <c r="CI24" s="13" t="s">
        <v>61</v>
      </c>
      <c r="CJ24" s="518" t="str">
        <f>IF(AND(_AC6="B-737-900",'2023'!$D$4="CA",'2023'!$D$2=CJ5),'2023DATA'!$C$21,"")</f>
        <v/>
      </c>
      <c r="CK24" s="518" t="str">
        <f>IF(AND(_AC6="B-737-900",'2023'!$D$4="CA",'2023'!$D$2=CK5),'2023DATA'!$D$21,"")</f>
        <v/>
      </c>
      <c r="CL24" s="518" t="str">
        <f>IF(AND(_AC6="B-737-900",'2023'!$D$4="CA",'2023'!$D$2=CL5),'2023DATA'!$E$21,"")</f>
        <v/>
      </c>
      <c r="CM24" s="518" t="str">
        <f>IF(AND(_AC6="B-737-900",'2023'!$D$4="CA",'2023'!$D$2=CM5),'2023DATA'!$F$21,"")</f>
        <v/>
      </c>
      <c r="CN24" s="518" t="str">
        <f>IF(AND(_AC6="B-737-900",'2023'!$D$4="CA",'2023'!$D$2=CN5),'2023DATA'!$G$21,"")</f>
        <v/>
      </c>
      <c r="CO24" s="518" t="str">
        <f>IF(AND(_AC6="B-737-900",'2023'!$D$4="CA",'2023'!$D$2=CO5),'2023DATA'!$H$21,"")</f>
        <v/>
      </c>
      <c r="CP24" s="518" t="str">
        <f>IF(AND(_AC6="B-737-900",'2023'!$D$4="CA",'2023'!$D$2=CP5),'2023DATA'!$I$21,"")</f>
        <v/>
      </c>
      <c r="CQ24" s="518" t="str">
        <f>IF(AND(_AC6="B-737-900",'2023'!$D$4="CA",'2023'!$D$2=CQ5),'2023DATA'!$J$21,"")</f>
        <v/>
      </c>
      <c r="CR24" s="518" t="str">
        <f>IF(AND(_AC6="B-737-900",'2023'!$D$4="CA",'2023'!$D$2=CR5),'2023DATA'!$K$21,"")</f>
        <v/>
      </c>
      <c r="CS24" s="518" t="str">
        <f>IF(AND(_AC6="B-737-900",'2023'!$D$4="CA",'2023'!$D$2=CS5),'2023DATA'!$L$21,"")</f>
        <v/>
      </c>
      <c r="CT24" s="518" t="str">
        <f>IF(AND(_AC6="B-737-900",'2023'!$D$4="CA",'2023'!$D$2=CT5),'2023DATA'!$M$21,"")</f>
        <v/>
      </c>
      <c r="CU24" s="520" t="str">
        <f>IF(AND(_AC6="B-737-900",'2023'!$D$4="CA",'2023'!$D$2=CU5),'2023DATA'!$N$21,"")</f>
        <v/>
      </c>
    </row>
    <row r="25" spans="1:99" x14ac:dyDescent="0.25">
      <c r="A25" s="946" t="s">
        <v>46</v>
      </c>
      <c r="B25" s="78" t="s">
        <v>61</v>
      </c>
      <c r="C25" s="25">
        <v>349.5</v>
      </c>
      <c r="D25" s="26">
        <v>345.93</v>
      </c>
      <c r="E25" s="26">
        <v>342.25</v>
      </c>
      <c r="F25" s="26">
        <v>338.61</v>
      </c>
      <c r="G25" s="26">
        <v>336.22</v>
      </c>
      <c r="H25" s="26">
        <v>333.46</v>
      </c>
      <c r="I25" s="26">
        <v>331.01</v>
      </c>
      <c r="J25" s="26">
        <v>328.45</v>
      </c>
      <c r="K25" s="26">
        <v>325.68</v>
      </c>
      <c r="L25" s="26">
        <v>323.06</v>
      </c>
      <c r="M25" s="26">
        <v>320.45999999999998</v>
      </c>
      <c r="N25" s="27">
        <v>317.76</v>
      </c>
      <c r="P25" s="940"/>
      <c r="Q25" s="13" t="s">
        <v>62</v>
      </c>
      <c r="R25" s="518" t="str">
        <f>IF(AND(_AC1="B-737-900",'2023'!$D$4="FO",'2023'!$D$2=R5),'2023DATA'!$C$22,"")</f>
        <v/>
      </c>
      <c r="S25" s="518" t="str">
        <f>IF(AND(_AC1="B-737-900",'2023'!$D$4="FO",'2023'!$D$2=S5),'2023DATA'!$D$22,"")</f>
        <v/>
      </c>
      <c r="T25" s="518" t="str">
        <f>IF(AND(_AC1="B-737-900",'2023'!$D$4="FO",'2023'!$D$2=T5),'2023DATA'!$E$22,"")</f>
        <v/>
      </c>
      <c r="U25" s="518" t="str">
        <f>IF(AND(_AC1="B-737-900",'2023'!$D$4="FO",'2023'!$D$2=U5),'2023DATA'!$F$22,"")</f>
        <v/>
      </c>
      <c r="V25" s="518" t="str">
        <f>IF(AND(_AC1="B-737-900",'2023'!$D$4="FO",'2023'!$D$2=V5),'2023DATA'!$G$22,"")</f>
        <v/>
      </c>
      <c r="W25" s="518" t="str">
        <f>IF(AND(_AC1="B-737-900",'2023'!$D$4="FO",'2023'!$D$2=W5),'2023DATA'!$H$22,"")</f>
        <v/>
      </c>
      <c r="X25" s="518" t="str">
        <f>IF(AND(_AC1="B-737-900",'2023'!$D$4="FO",'2023'!$D$2=X5),'2023DATA'!$I$22,"")</f>
        <v/>
      </c>
      <c r="Y25" s="518" t="str">
        <f>IF(AND(_AC1="B-737-900",'2023'!$D$4="FO",'2023'!$D$2=Y5),'2023DATA'!$J$22,"")</f>
        <v/>
      </c>
      <c r="Z25" s="518" t="str">
        <f>IF(AND(_AC1="B-737-900",'2023'!$D$4="FO",'2023'!$D$2=Z5),'2023DATA'!$K$22,"")</f>
        <v/>
      </c>
      <c r="AA25" s="518" t="str">
        <f>IF(AND(_AC1="B-737-900",'2023'!$D$4="FO",'2023'!$D$2=AA5),'2023DATA'!$L$22,"")</f>
        <v/>
      </c>
      <c r="AB25" s="518" t="str">
        <f>IF(AND(_AC1="B-737-900",'2023'!$D$4="FO",'2023'!$D$2=AB5),'2023DATA'!$M$22,"")</f>
        <v/>
      </c>
      <c r="AC25" s="520" t="str">
        <f>IF(AND(_AC1="B-737-900",'2023'!$D$4="FO",'2023'!$D$2=AC5),'2023DATA'!$N$22,"")</f>
        <v/>
      </c>
      <c r="AD25" s="940"/>
      <c r="AE25" s="13" t="s">
        <v>62</v>
      </c>
      <c r="AF25" s="518" t="str">
        <f>IF(AND(_AC2="B-737-900",'2023'!$D$4="FO",'2023'!$D$2=AF5),'2023DATA'!$C$22,"")</f>
        <v/>
      </c>
      <c r="AG25" s="518" t="str">
        <f>IF(AND(_AC2="B-737-900",'2023'!$D$4="FO",'2023'!$D$2=AG5),'2023DATA'!$D$22,"")</f>
        <v/>
      </c>
      <c r="AH25" s="518" t="str">
        <f>IF(AND(_AC2="B-737-900",'2023'!$D$4="FO",'2023'!$D$2=AH5),'2023DATA'!$E$22,"")</f>
        <v/>
      </c>
      <c r="AI25" s="518" t="str">
        <f>IF(AND(_AC2="B-737-900",'2023'!$D$4="FO",'2023'!$D$2=AI5),'2023DATA'!$F$22,"")</f>
        <v/>
      </c>
      <c r="AJ25" s="518" t="str">
        <f>IF(AND(_AC2="B-737-900",'2023'!$D$4="FO",'2023'!$D$2=AJ5),'2023DATA'!$G$22,"")</f>
        <v/>
      </c>
      <c r="AK25" s="518" t="str">
        <f>IF(AND(_AC2="B-737-900",'2023'!$D$4="FO",'2023'!$D$2=AK5),'2023DATA'!$H$22,"")</f>
        <v/>
      </c>
      <c r="AL25" s="518" t="str">
        <f>IF(AND(_AC2="B-737-900",'2023'!$D$4="FO",'2023'!$D$2=AL5),'2023DATA'!$I$22,"")</f>
        <v/>
      </c>
      <c r="AM25" s="518" t="str">
        <f>IF(AND(_AC2="B-737-900",'2023'!$D$4="FO",'2023'!$D$2=AM5),'2023DATA'!$J$22,"")</f>
        <v/>
      </c>
      <c r="AN25" s="518" t="str">
        <f>IF(AND(_AC2="B-737-900",'2023'!$D$4="FO",'2023'!$D$2=AN5),'2023DATA'!$K$22,"")</f>
        <v/>
      </c>
      <c r="AO25" s="518" t="str">
        <f>IF(AND(_AC2="B-737-900",'2023'!$D$4="FO",'2023'!$D$2=AO5),'2023DATA'!$L$22,"")</f>
        <v/>
      </c>
      <c r="AP25" s="518" t="str">
        <f>IF(AND(_AC2="B-737-900",'2023'!$D$4="FO",'2023'!$D$2=AP5),'2023DATA'!$M$22,"")</f>
        <v/>
      </c>
      <c r="AQ25" s="520" t="str">
        <f>IF(AND(_AC2="B-737-900",'2023'!$D$4="FO",'2023'!$D$2=AQ5),'2023DATA'!$N$22,"")</f>
        <v/>
      </c>
      <c r="AR25" s="940"/>
      <c r="AS25" s="13" t="s">
        <v>62</v>
      </c>
      <c r="AT25" s="518" t="str">
        <f>IF(AND(_AC3="B-737-900",'2023'!$D$4="FO",'2023'!$D$2=AT5),'2023DATA'!$C$22,"")</f>
        <v/>
      </c>
      <c r="AU25" s="518" t="str">
        <f>IF(AND(_AC3="B-737-900",'2023'!$D$4="FO",'2023'!$D$2=AU5),'2023DATA'!$D$22,"")</f>
        <v/>
      </c>
      <c r="AV25" s="518" t="str">
        <f>IF(AND(_AC3="B-737-900",'2023'!$D$4="FO",'2023'!$D$2=AV5),'2023DATA'!$E$22,"")</f>
        <v/>
      </c>
      <c r="AW25" s="518" t="str">
        <f>IF(AND(_AC3="B-737-900",'2023'!$D$4="FO",'2023'!$D$2=AW5),'2023DATA'!$F$22,"")</f>
        <v/>
      </c>
      <c r="AX25" s="518" t="str">
        <f>IF(AND(_AC3="B-737-900",'2023'!$D$4="FO",'2023'!$D$2=AX5),'2023DATA'!$G$22,"")</f>
        <v/>
      </c>
      <c r="AY25" s="518" t="str">
        <f>IF(AND(_AC3="B-737-900",'2023'!$D$4="FO",'2023'!$D$2=AY5),'2023DATA'!$H$22,"")</f>
        <v/>
      </c>
      <c r="AZ25" s="518" t="str">
        <f>IF(AND(_AC3="B-737-900",'2023'!$D$4="FO",'2023'!$D$2=AZ5),'2023DATA'!$I$22,"")</f>
        <v/>
      </c>
      <c r="BA25" s="518" t="str">
        <f>IF(AND(_AC3="B-737-900",'2023'!$D$4="FO",'2023'!$D$2=BA5),'2023DATA'!$J$22,"")</f>
        <v/>
      </c>
      <c r="BB25" s="518" t="str">
        <f>IF(AND(_AC3="B-737-900",'2023'!$D$4="FO",'2023'!$D$2=BB5),'2023DATA'!$K$22,"")</f>
        <v/>
      </c>
      <c r="BC25" s="518" t="str">
        <f>IF(AND(_AC3="B-737-900",'2023'!$D$4="FO",'2023'!$D$2=BC5),'2023DATA'!$L$22,"")</f>
        <v/>
      </c>
      <c r="BD25" s="518" t="str">
        <f>IF(AND(_AC3="B-737-900",'2023'!$D$4="FO",'2023'!$D$2=BD5),'2023DATA'!$M$22,"")</f>
        <v/>
      </c>
      <c r="BE25" s="520" t="str">
        <f>IF(AND(_AC3="B-737-900",'2023'!$D$4="FO",'2023'!$D$2=BE5),'2023DATA'!$N$22,"")</f>
        <v/>
      </c>
      <c r="BF25" s="940"/>
      <c r="BG25" s="13" t="s">
        <v>62</v>
      </c>
      <c r="BH25" s="518" t="str">
        <f>IF(AND(_AC4="B-737-900",'2023'!$D$4="FO",'2023'!$D$2=BH5),'2023DATA'!$C$22,"")</f>
        <v/>
      </c>
      <c r="BI25" s="518" t="str">
        <f>IF(AND(_AC4="B-737-900",'2023'!$D$4="FO",'2023'!$D$2=BI5),'2023DATA'!$D$22,"")</f>
        <v/>
      </c>
      <c r="BJ25" s="518" t="str">
        <f>IF(AND(_AC4="B-737-900",'2023'!$D$4="FO",'2023'!$D$2=BJ5),'2023DATA'!$E$22,"")</f>
        <v/>
      </c>
      <c r="BK25" s="518" t="str">
        <f>IF(AND(_AC4="B-737-900",'2023'!$D$4="FO",'2023'!$D$2=BK5),'2023DATA'!$F$22,"")</f>
        <v/>
      </c>
      <c r="BL25" s="518" t="str">
        <f>IF(AND(_AC4="B-737-900",'2023'!$D$4="FO",'2023'!$D$2=BL5),'2023DATA'!$G$22,"")</f>
        <v/>
      </c>
      <c r="BM25" s="518" t="str">
        <f>IF(AND(_AC4="B-737-900",'2023'!$D$4="FO",'2023'!$D$2=BM5),'2023DATA'!$H$22,"")</f>
        <v/>
      </c>
      <c r="BN25" s="518" t="str">
        <f>IF(AND(_AC4="B-737-900",'2023'!$D$4="FO",'2023'!$D$2=BN5),'2023DATA'!$I$22,"")</f>
        <v/>
      </c>
      <c r="BO25" s="518" t="str">
        <f>IF(AND(_AC4="B-737-900",'2023'!$D$4="FO",'2023'!$D$2=BO5),'2023DATA'!$J$22,"")</f>
        <v/>
      </c>
      <c r="BP25" s="518" t="str">
        <f>IF(AND(_AC4="B-737-900",'2023'!$D$4="FO",'2023'!$D$2=BP5),'2023DATA'!$K$22,"")</f>
        <v/>
      </c>
      <c r="BQ25" s="518" t="str">
        <f>IF(AND(_AC4="B-737-900",'2023'!$D$4="FO",'2023'!$D$2=BQ5),'2023DATA'!$L$22,"")</f>
        <v/>
      </c>
      <c r="BR25" s="518" t="str">
        <f>IF(AND(_AC4="B-737-900",'2023'!$D$4="FO",'2023'!$D$2=BR5),'2023DATA'!$M$22,"")</f>
        <v/>
      </c>
      <c r="BS25" s="520" t="str">
        <f>IF(AND(_AC4="B-737-900",'2023'!$D$4="FO",'2023'!$D$2=BS5),'2023DATA'!$N$22,"")</f>
        <v/>
      </c>
      <c r="BT25" s="940"/>
      <c r="BU25" s="13" t="s">
        <v>62</v>
      </c>
      <c r="BV25" s="518" t="str">
        <f>IF(AND(_AC5="B-737-900",'2023'!$D$4="FO",'2023'!$D$2=BV5),'2023DATA'!$C$22,"")</f>
        <v/>
      </c>
      <c r="BW25" s="518" t="str">
        <f>IF(AND(_AC5="B-737-900",'2023'!$D$4="FO",'2023'!$D$2=BW5),'2023DATA'!$D$22,"")</f>
        <v/>
      </c>
      <c r="BX25" s="518" t="str">
        <f>IF(AND(_AC5="B-737-900",'2023'!$D$4="FO",'2023'!$D$2=BX5),'2023DATA'!$E$22,"")</f>
        <v/>
      </c>
      <c r="BY25" s="518" t="str">
        <f>IF(AND(_AC5="B-737-900",'2023'!$D$4="FO",'2023'!$D$2=BY5),'2023DATA'!$F$22,"")</f>
        <v/>
      </c>
      <c r="BZ25" s="518" t="str">
        <f>IF(AND(_AC5="B-737-900",'2023'!$D$4="FO",'2023'!$D$2=BZ5),'2023DATA'!$G$22,"")</f>
        <v/>
      </c>
      <c r="CA25" s="518" t="str">
        <f>IF(AND(_AC5="B-737-900",'2023'!$D$4="FO",'2023'!$D$2=CA5),'2023DATA'!$H$22,"")</f>
        <v/>
      </c>
      <c r="CB25" s="518" t="str">
        <f>IF(AND(_AC5="B-737-900",'2023'!$D$4="FO",'2023'!$D$2=CB5),'2023DATA'!$I$22,"")</f>
        <v/>
      </c>
      <c r="CC25" s="518" t="str">
        <f>IF(AND(_AC5="B-737-900",'2023'!$D$4="FO",'2023'!$D$2=CC5),'2023DATA'!$J$22,"")</f>
        <v/>
      </c>
      <c r="CD25" s="518" t="str">
        <f>IF(AND(_AC5="B-737-900",'2023'!$D$4="FO",'2023'!$D$2=CD5),'2023DATA'!$K$22,"")</f>
        <v/>
      </c>
      <c r="CE25" s="518" t="str">
        <f>IF(AND(_AC5="B-737-900",'2023'!$D$4="FO",'2023'!$D$2=CE5),'2023DATA'!$L$22,"")</f>
        <v/>
      </c>
      <c r="CF25" s="518" t="str">
        <f>IF(AND(_AC5="B-737-900",'2023'!$D$4="FO",'2023'!$D$2=CF5),'2023DATA'!$M$22,"")</f>
        <v/>
      </c>
      <c r="CG25" s="520" t="str">
        <f>IF(AND(_AC5="B-737-900",'2023'!$D$4="FO",'2023'!$D$2=CG5),'2023DATA'!$N$22,"")</f>
        <v/>
      </c>
      <c r="CH25" s="940"/>
      <c r="CI25" s="13" t="s">
        <v>62</v>
      </c>
      <c r="CJ25" s="518" t="str">
        <f>IF(AND(_AC6="B-737-900",'2023'!$D$4="FO",'2023'!$D$2=CJ5),'2023DATA'!$C$22,"")</f>
        <v/>
      </c>
      <c r="CK25" s="518" t="str">
        <f>IF(AND(_AC6="B-737-900",'2023'!$D$4="FO",'2023'!$D$2=CK5),'2023DATA'!$D$22,"")</f>
        <v/>
      </c>
      <c r="CL25" s="518" t="str">
        <f>IF(AND(_AC6="B-737-900",'2023'!$D$4="FO",'2023'!$D$2=CL5),'2023DATA'!$E$22,"")</f>
        <v/>
      </c>
      <c r="CM25" s="518" t="str">
        <f>IF(AND(_AC6="B-737-900",'2023'!$D$4="FO",'2023'!$D$2=CM5),'2023DATA'!$F$22,"")</f>
        <v/>
      </c>
      <c r="CN25" s="518" t="str">
        <f>IF(AND(_AC6="B-737-900",'2023'!$D$4="FO",'2023'!$D$2=CN5),'2023DATA'!$G$22,"")</f>
        <v/>
      </c>
      <c r="CO25" s="518" t="str">
        <f>IF(AND(_AC6="B-737-900",'2023'!$D$4="FO",'2023'!$D$2=CO5),'2023DATA'!$H$22,"")</f>
        <v/>
      </c>
      <c r="CP25" s="518" t="str">
        <f>IF(AND(_AC6="B-737-900",'2023'!$D$4="FO",'2023'!$D$2=CP5),'2023DATA'!$I$22,"")</f>
        <v/>
      </c>
      <c r="CQ25" s="518" t="str">
        <f>IF(AND(_AC6="B-737-900",'2023'!$D$4="FO",'2023'!$D$2=CQ5),'2023DATA'!$J$22,"")</f>
        <v/>
      </c>
      <c r="CR25" s="518" t="str">
        <f>IF(AND(_AC6="B-737-900",'2023'!$D$4="FO",'2023'!$D$2=CR5),'2023DATA'!$K$22,"")</f>
        <v/>
      </c>
      <c r="CS25" s="518" t="str">
        <f>IF(AND(_AC6="B-737-900",'2023'!$D$4="FO",'2023'!$D$2=CS5),'2023DATA'!$L$22,"")</f>
        <v/>
      </c>
      <c r="CT25" s="518" t="str">
        <f>IF(AND(_AC6="B-737-900",'2023'!$D$4="FO",'2023'!$D$2=CT5),'2023DATA'!$M$22,"")</f>
        <v/>
      </c>
      <c r="CU25" s="520" t="str">
        <f>IF(AND(_AC6="B-737-900",'2023'!$D$4="FO",'2023'!$D$2=CU5),'2023DATA'!$N$22,"")</f>
        <v/>
      </c>
    </row>
    <row r="26" spans="1:99" x14ac:dyDescent="0.25">
      <c r="A26" s="946"/>
      <c r="B26" s="78" t="s">
        <v>62</v>
      </c>
      <c r="C26" s="25">
        <v>238.71</v>
      </c>
      <c r="D26" s="26">
        <v>235.93</v>
      </c>
      <c r="E26" s="26">
        <v>233.07</v>
      </c>
      <c r="F26" s="26">
        <v>229.26</v>
      </c>
      <c r="G26" s="26">
        <v>226.96</v>
      </c>
      <c r="H26" s="26">
        <v>221.76</v>
      </c>
      <c r="I26" s="26">
        <v>215.81</v>
      </c>
      <c r="J26" s="26">
        <v>210.54</v>
      </c>
      <c r="K26" s="26">
        <v>205.51</v>
      </c>
      <c r="L26" s="26">
        <v>200.62</v>
      </c>
      <c r="M26" s="26">
        <v>171.44</v>
      </c>
      <c r="N26" s="27">
        <v>108.34</v>
      </c>
      <c r="P26" s="940" t="s">
        <v>69</v>
      </c>
      <c r="Q26" s="13" t="s">
        <v>61</v>
      </c>
      <c r="R26" s="518" t="str">
        <f>IF(AND(_AC1="B-737-800",'2023'!$D$4="CA",'2023'!$D$2=R5),'2023DATA'!$C$23,"")</f>
        <v/>
      </c>
      <c r="S26" s="518" t="str">
        <f>IF(AND(_AC1="B-737-800",'2023'!$D$4="CA",'2023'!$D$2=S5),'2023DATA'!$D$23,"")</f>
        <v/>
      </c>
      <c r="T26" s="518" t="str">
        <f>IF(AND(_AC1="B-737-800",'2023'!$D$4="CA",'2023'!$D$2=T5),'2023DATA'!$E$23,"")</f>
        <v/>
      </c>
      <c r="U26" s="518" t="str">
        <f>IF(AND(_AC1="B-737-800",'2023'!$D$4="CA",'2023'!$D$2=U5),'2023DATA'!$F$23,"")</f>
        <v/>
      </c>
      <c r="V26" s="518" t="str">
        <f>IF(AND(_AC1="B-737-800",'2023'!$D$4="CA",'2023'!$D$2=V5),'2023DATA'!$G$23,"")</f>
        <v/>
      </c>
      <c r="W26" s="518" t="str">
        <f>IF(AND(_AC1="B-737-800",'2023'!$D$4="CA",'2023'!$D$2=W5),'2023DATA'!$H$23,"")</f>
        <v/>
      </c>
      <c r="X26" s="518" t="str">
        <f>IF(AND(_AC1="B-737-800",'2023'!$D$4="CA",'2023'!$D$2=X5),'2023DATA'!$I$23,"")</f>
        <v/>
      </c>
      <c r="Y26" s="518" t="str">
        <f>IF(AND(_AC1="B-737-800",'2023'!$D$4="CA",'2023'!$D$2=Y5),'2023DATA'!$J$23,"")</f>
        <v/>
      </c>
      <c r="Z26" s="518" t="str">
        <f>IF(AND(_AC1="B-737-800",'2023'!$D$4="CA",'2023'!$D$2=Z5),'2023DATA'!$K$23,"")</f>
        <v/>
      </c>
      <c r="AA26" s="518" t="str">
        <f>IF(AND(_AC1="B-737-800",'2023'!$D$4="CA",'2023'!$D$2=AA5),'2023DATA'!$L$23,"")</f>
        <v/>
      </c>
      <c r="AB26" s="518" t="str">
        <f>IF(AND(_AC1="B-737-800",'2023'!$D$4="CA",'2023'!$D$2=AB5),'2023DATA'!$M$23,"")</f>
        <v/>
      </c>
      <c r="AC26" s="520" t="str">
        <f>IF(AND(_AC1="B-737-800",'2023'!$D$4="CA",'2023'!$D$2=AC5),'2023DATA'!$N$23,"")</f>
        <v/>
      </c>
      <c r="AD26" s="940" t="s">
        <v>69</v>
      </c>
      <c r="AE26" s="13" t="s">
        <v>61</v>
      </c>
      <c r="AF26" s="518" t="str">
        <f>IF(AND(_AC2="B-737-800",'2023'!$D$4="CA",'2023'!$D$2=AF5),'2023DATA'!$C$23,"")</f>
        <v/>
      </c>
      <c r="AG26" s="518" t="str">
        <f>IF(AND(_AC2="B-737-800",'2023'!$D$4="CA",'2023'!$D$2=AG5),'2023DATA'!$D$23,"")</f>
        <v/>
      </c>
      <c r="AH26" s="518" t="str">
        <f>IF(AND(_AC2="B-737-800",'2023'!$D$4="CA",'2023'!$D$2=AH5),'2023DATA'!$E$23,"")</f>
        <v/>
      </c>
      <c r="AI26" s="518" t="str">
        <f>IF(AND(_AC2="B-737-800",'2023'!$D$4="CA",'2023'!$D$2=AI5),'2023DATA'!$F$23,"")</f>
        <v/>
      </c>
      <c r="AJ26" s="518" t="str">
        <f>IF(AND(_AC2="B-737-800",'2023'!$D$4="CA",'2023'!$D$2=AJ5),'2023DATA'!$G$23,"")</f>
        <v/>
      </c>
      <c r="AK26" s="518" t="str">
        <f>IF(AND(_AC2="B-737-800",'2023'!$D$4="CA",'2023'!$D$2=AK5),'2023DATA'!$H$23,"")</f>
        <v/>
      </c>
      <c r="AL26" s="518" t="str">
        <f>IF(AND(_AC2="B-737-800",'2023'!$D$4="CA",'2023'!$D$2=AL5),'2023DATA'!$I$23,"")</f>
        <v/>
      </c>
      <c r="AM26" s="518" t="str">
        <f>IF(AND(_AC2="B-737-800",'2023'!$D$4="CA",'2023'!$D$2=AM5),'2023DATA'!$J$23,"")</f>
        <v/>
      </c>
      <c r="AN26" s="518" t="str">
        <f>IF(AND(_AC2="B-737-800",'2023'!$D$4="CA",'2023'!$D$2=AN5),'2023DATA'!$K$23,"")</f>
        <v/>
      </c>
      <c r="AO26" s="518" t="str">
        <f>IF(AND(_AC2="B-737-800",'2023'!$D$4="CA",'2023'!$D$2=AO5),'2023DATA'!$L$23,"")</f>
        <v/>
      </c>
      <c r="AP26" s="518" t="str">
        <f>IF(AND(_AC2="B-737-800",'2023'!$D$4="CA",'2023'!$D$2=AP5),'2023DATA'!$M$23,"")</f>
        <v/>
      </c>
      <c r="AQ26" s="520" t="str">
        <f>IF(AND(_AC2="B-737-800",'2023'!$D$4="CA",'2023'!$D$2=AQ5),'2023DATA'!$N$23,"")</f>
        <v/>
      </c>
      <c r="AR26" s="940" t="s">
        <v>69</v>
      </c>
      <c r="AS26" s="13" t="s">
        <v>61</v>
      </c>
      <c r="AT26" s="518" t="str">
        <f>IF(AND(_AC3="B-737-800",'2023'!$D$4="CA",'2023'!$D$2=AT5),'2023DATA'!$C$23,"")</f>
        <v/>
      </c>
      <c r="AU26" s="518" t="str">
        <f>IF(AND(_AC3="B-737-800",'2023'!$D$4="CA",'2023'!$D$2=AU5),'2023DATA'!$D$23,"")</f>
        <v/>
      </c>
      <c r="AV26" s="518" t="str">
        <f>IF(AND(_AC3="B-737-800",'2023'!$D$4="CA",'2023'!$D$2=AV5),'2023DATA'!$E$23,"")</f>
        <v/>
      </c>
      <c r="AW26" s="518" t="str">
        <f>IF(AND(_AC3="B-737-800",'2023'!$D$4="CA",'2023'!$D$2=AW5),'2023DATA'!$F$23,"")</f>
        <v/>
      </c>
      <c r="AX26" s="518" t="str">
        <f>IF(AND(_AC3="B-737-800",'2023'!$D$4="CA",'2023'!$D$2=AX5),'2023DATA'!$G$23,"")</f>
        <v/>
      </c>
      <c r="AY26" s="518" t="str">
        <f>IF(AND(_AC3="B-737-800",'2023'!$D$4="CA",'2023'!$D$2=AY5),'2023DATA'!$H$23,"")</f>
        <v/>
      </c>
      <c r="AZ26" s="518" t="str">
        <f>IF(AND(_AC3="B-737-800",'2023'!$D$4="CA",'2023'!$D$2=AZ5),'2023DATA'!$I$23,"")</f>
        <v/>
      </c>
      <c r="BA26" s="518" t="str">
        <f>IF(AND(_AC3="B-737-800",'2023'!$D$4="CA",'2023'!$D$2=BA5),'2023DATA'!$J$23,"")</f>
        <v/>
      </c>
      <c r="BB26" s="518" t="str">
        <f>IF(AND(_AC3="B-737-800",'2023'!$D$4="CA",'2023'!$D$2=BB5),'2023DATA'!$K$23,"")</f>
        <v/>
      </c>
      <c r="BC26" s="518" t="str">
        <f>IF(AND(_AC3="B-737-800",'2023'!$D$4="CA",'2023'!$D$2=BC5),'2023DATA'!$L$23,"")</f>
        <v/>
      </c>
      <c r="BD26" s="518" t="str">
        <f>IF(AND(_AC3="B-737-800",'2023'!$D$4="CA",'2023'!$D$2=BD5),'2023DATA'!$M$23,"")</f>
        <v/>
      </c>
      <c r="BE26" s="520" t="str">
        <f>IF(AND(_AC3="B-737-800",'2023'!$D$4="CA",'2023'!$D$2=BE5),'2023DATA'!$N$23,"")</f>
        <v/>
      </c>
      <c r="BF26" s="940" t="s">
        <v>69</v>
      </c>
      <c r="BG26" s="13" t="s">
        <v>61</v>
      </c>
      <c r="BH26" s="518" t="str">
        <f>IF(AND(_AC4="B-737-800",'2023'!$D$4="CA",'2023'!$D$2=BH5),'2023DATA'!$C$23,"")</f>
        <v/>
      </c>
      <c r="BI26" s="518" t="str">
        <f>IF(AND(_AC4="B-737-800",'2023'!$D$4="CA",'2023'!$D$2=BI5),'2023DATA'!$D$23,"")</f>
        <v/>
      </c>
      <c r="BJ26" s="518" t="str">
        <f>IF(AND(_AC4="B-737-800",'2023'!$D$4="CA",'2023'!$D$2=BJ5),'2023DATA'!$E$23,"")</f>
        <v/>
      </c>
      <c r="BK26" s="518" t="str">
        <f>IF(AND(_AC4="B-737-800",'2023'!$D$4="CA",'2023'!$D$2=BK5),'2023DATA'!$F$23,"")</f>
        <v/>
      </c>
      <c r="BL26" s="518" t="str">
        <f>IF(AND(_AC4="B-737-800",'2023'!$D$4="CA",'2023'!$D$2=BL5),'2023DATA'!$G$23,"")</f>
        <v/>
      </c>
      <c r="BM26" s="518" t="str">
        <f>IF(AND(_AC4="B-737-800",'2023'!$D$4="CA",'2023'!$D$2=BM5),'2023DATA'!$H$23,"")</f>
        <v/>
      </c>
      <c r="BN26" s="518" t="str">
        <f>IF(AND(_AC4="B-737-800",'2023'!$D$4="CA",'2023'!$D$2=BN5),'2023DATA'!$I$23,"")</f>
        <v/>
      </c>
      <c r="BO26" s="518" t="str">
        <f>IF(AND(_AC4="B-737-800",'2023'!$D$4="CA",'2023'!$D$2=BO5),'2023DATA'!$J$23,"")</f>
        <v/>
      </c>
      <c r="BP26" s="518" t="str">
        <f>IF(AND(_AC4="B-737-800",'2023'!$D$4="CA",'2023'!$D$2=BP5),'2023DATA'!$K$23,"")</f>
        <v/>
      </c>
      <c r="BQ26" s="518" t="str">
        <f>IF(AND(_AC4="B-737-800",'2023'!$D$4="CA",'2023'!$D$2=BQ5),'2023DATA'!$L$23,"")</f>
        <v/>
      </c>
      <c r="BR26" s="518" t="str">
        <f>IF(AND(_AC4="B-737-800",'2023'!$D$4="CA",'2023'!$D$2=BR5),'2023DATA'!$M$23,"")</f>
        <v/>
      </c>
      <c r="BS26" s="520" t="str">
        <f>IF(AND(_AC4="B-737-800",'2023'!$D$4="CA",'2023'!$D$2=BS5),'2023DATA'!$N$23,"")</f>
        <v/>
      </c>
      <c r="BT26" s="940" t="s">
        <v>69</v>
      </c>
      <c r="BU26" s="13" t="s">
        <v>61</v>
      </c>
      <c r="BV26" s="518" t="str">
        <f>IF(AND(_AC5="B-737-800",'2023'!$D$4="CA",'2023'!$D$2=BV5),'2023DATA'!$C$23,"")</f>
        <v/>
      </c>
      <c r="BW26" s="518" t="str">
        <f>IF(AND(_AC5="B-737-800",'2023'!$D$4="CA",'2023'!$D$2=BW5),'2023DATA'!$D$23,"")</f>
        <v/>
      </c>
      <c r="BX26" s="518" t="str">
        <f>IF(AND(_AC5="B-737-800",'2023'!$D$4="CA",'2023'!$D$2=BX5),'2023DATA'!$E$23,"")</f>
        <v/>
      </c>
      <c r="BY26" s="518" t="str">
        <f>IF(AND(_AC5="B-737-800",'2023'!$D$4="CA",'2023'!$D$2=BY5),'2023DATA'!$F$23,"")</f>
        <v/>
      </c>
      <c r="BZ26" s="518" t="str">
        <f>IF(AND(_AC5="B-737-800",'2023'!$D$4="CA",'2023'!$D$2=BZ5),'2023DATA'!$G$23,"")</f>
        <v/>
      </c>
      <c r="CA26" s="518" t="str">
        <f>IF(AND(_AC5="B-737-800",'2023'!$D$4="CA",'2023'!$D$2=CA5),'2023DATA'!$H$23,"")</f>
        <v/>
      </c>
      <c r="CB26" s="518" t="str">
        <f>IF(AND(_AC5="B-737-800",'2023'!$D$4="CA",'2023'!$D$2=CB5),'2023DATA'!$I$23,"")</f>
        <v/>
      </c>
      <c r="CC26" s="518" t="str">
        <f>IF(AND(_AC5="B-737-800",'2023'!$D$4="CA",'2023'!$D$2=CC5),'2023DATA'!$J$23,"")</f>
        <v/>
      </c>
      <c r="CD26" s="518" t="str">
        <f>IF(AND(_AC5="B-737-800",'2023'!$D$4="CA",'2023'!$D$2=CD5),'2023DATA'!$K$23,"")</f>
        <v/>
      </c>
      <c r="CE26" s="518" t="str">
        <f>IF(AND(_AC5="B-737-800",'2023'!$D$4="CA",'2023'!$D$2=CE5),'2023DATA'!$L$23,"")</f>
        <v/>
      </c>
      <c r="CF26" s="518" t="str">
        <f>IF(AND(_AC5="B-737-800",'2023'!$D$4="CA",'2023'!$D$2=CF5),'2023DATA'!$M$23,"")</f>
        <v/>
      </c>
      <c r="CG26" s="520" t="str">
        <f>IF(AND(_AC5="B-737-800",'2023'!$D$4="CA",'2023'!$D$2=CG5),'2023DATA'!$N$23,"")</f>
        <v/>
      </c>
      <c r="CH26" s="940" t="s">
        <v>69</v>
      </c>
      <c r="CI26" s="13" t="s">
        <v>61</v>
      </c>
      <c r="CJ26" s="518" t="str">
        <f>IF(AND(_AC6="B-737-800",'2023'!$D$4="CA",'2023'!$D$2=CJ5),'2023DATA'!$C$23,"")</f>
        <v/>
      </c>
      <c r="CK26" s="518" t="str">
        <f>IF(AND(_AC6="B-737-800",'2023'!$D$4="CA",'2023'!$D$2=CK5),'2023DATA'!$D$23,"")</f>
        <v/>
      </c>
      <c r="CL26" s="518" t="str">
        <f>IF(AND(_AC6="B-737-800",'2023'!$D$4="CA",'2023'!$D$2=CL5),'2023DATA'!$E$23,"")</f>
        <v/>
      </c>
      <c r="CM26" s="518" t="str">
        <f>IF(AND(_AC6="B-737-800",'2023'!$D$4="CA",'2023'!$D$2=CM5),'2023DATA'!$F$23,"")</f>
        <v/>
      </c>
      <c r="CN26" s="518" t="str">
        <f>IF(AND(_AC6="B-737-800",'2023'!$D$4="CA",'2023'!$D$2=CN5),'2023DATA'!$G$23,"")</f>
        <v/>
      </c>
      <c r="CO26" s="518" t="str">
        <f>IF(AND(_AC6="B-737-800",'2023'!$D$4="CA",'2023'!$D$2=CO5),'2023DATA'!$H$23,"")</f>
        <v/>
      </c>
      <c r="CP26" s="518" t="str">
        <f>IF(AND(_AC6="B-737-800",'2023'!$D$4="CA",'2023'!$D$2=CP5),'2023DATA'!$I$23,"")</f>
        <v/>
      </c>
      <c r="CQ26" s="518" t="str">
        <f>IF(AND(_AC6="B-737-800",'2023'!$D$4="CA",'2023'!$D$2=CQ5),'2023DATA'!$J$23,"")</f>
        <v/>
      </c>
      <c r="CR26" s="518" t="str">
        <f>IF(AND(_AC6="B-737-800",'2023'!$D$4="CA",'2023'!$D$2=CR5),'2023DATA'!$K$23,"")</f>
        <v/>
      </c>
      <c r="CS26" s="518" t="str">
        <f>IF(AND(_AC6="B-737-800",'2023'!$D$4="CA",'2023'!$D$2=CS5),'2023DATA'!$L$23,"")</f>
        <v/>
      </c>
      <c r="CT26" s="518" t="str">
        <f>IF(AND(_AC6="B-737-800",'2023'!$D$4="CA",'2023'!$D$2=CT5),'2023DATA'!$M$23,"")</f>
        <v/>
      </c>
      <c r="CU26" s="520" t="str">
        <f>IF(AND(_AC6="B-737-800",'2023'!$D$4="CA",'2023'!$D$2=CU5),'2023DATA'!$N$23,"")</f>
        <v/>
      </c>
    </row>
    <row r="27" spans="1:99" x14ac:dyDescent="0.25">
      <c r="A27" s="946" t="s">
        <v>48</v>
      </c>
      <c r="B27" s="78" t="s">
        <v>61</v>
      </c>
      <c r="C27" s="25">
        <v>336.89</v>
      </c>
      <c r="D27" s="26">
        <v>334.29</v>
      </c>
      <c r="E27" s="26">
        <v>331.69</v>
      </c>
      <c r="F27" s="26">
        <v>329.24</v>
      </c>
      <c r="G27" s="26">
        <v>326.64</v>
      </c>
      <c r="H27" s="26">
        <v>324.10000000000002</v>
      </c>
      <c r="I27" s="26">
        <v>321.57</v>
      </c>
      <c r="J27" s="26">
        <v>319.02</v>
      </c>
      <c r="K27" s="26">
        <v>316.45</v>
      </c>
      <c r="L27" s="26">
        <v>313.89999999999998</v>
      </c>
      <c r="M27" s="26">
        <v>311.45999999999998</v>
      </c>
      <c r="N27" s="27">
        <v>309.02999999999997</v>
      </c>
      <c r="P27" s="940"/>
      <c r="Q27" s="13" t="s">
        <v>62</v>
      </c>
      <c r="R27" s="518" t="str">
        <f>IF(AND(_AC1="B-737-800",'2023'!$D$4="FO",'2023'!$D$2=R5),'2023DATA'!$C$24,"")</f>
        <v/>
      </c>
      <c r="S27" s="518" t="str">
        <f>IF(AND(_AC1="B-737-800",'2023'!$D$4="FO",'2023'!$D$2=S5),'2023DATA'!$D$24,"")</f>
        <v/>
      </c>
      <c r="T27" s="518" t="str">
        <f>IF(AND(_AC1="B-737-800",'2023'!$D$4="FO",'2023'!$D$2=T5),'2023DATA'!$E$24,"")</f>
        <v/>
      </c>
      <c r="U27" s="518" t="str">
        <f>IF(AND(_AC1="B-737-800",'2023'!$D$4="FO",'2023'!$D$2=U5),'2023DATA'!$F$24,"")</f>
        <v/>
      </c>
      <c r="V27" s="518" t="str">
        <f>IF(AND(_AC1="B-737-800",'2023'!$D$4="FO",'2023'!$D$2=V5),'2023DATA'!$G$24,"")</f>
        <v/>
      </c>
      <c r="W27" s="518" t="str">
        <f>IF(AND(_AC1="B-737-800",'2023'!$D$4="FO",'2023'!$D$2=W5),'2023DATA'!$H$24,"")</f>
        <v/>
      </c>
      <c r="X27" s="518" t="str">
        <f>IF(AND(_AC1="B-737-800",'2023'!$D$4="FO",'2023'!$D$2=X5),'2023DATA'!$I$24,"")</f>
        <v/>
      </c>
      <c r="Y27" s="518" t="str">
        <f>IF(AND(_AC1="B-737-800",'2023'!$D$4="FO",'2023'!$D$2=Y5),'2023DATA'!$J$24,"")</f>
        <v/>
      </c>
      <c r="Z27" s="518" t="str">
        <f>IF(AND(_AC1="B-737-800",'2023'!$D$4="FO",'2023'!$D$2=Z5),'2023DATA'!$K$24,"")</f>
        <v/>
      </c>
      <c r="AA27" s="518" t="str">
        <f>IF(AND(_AC1="B-737-800",'2023'!$D$4="FO",'2023'!$D$2=AA5),'2023DATA'!$L$24,"")</f>
        <v/>
      </c>
      <c r="AB27" s="518" t="str">
        <f>IF(AND(_AC1="B-737-800",'2023'!$D$4="FO",'2023'!$D$2=AB5),'2023DATA'!$M$24,"")</f>
        <v/>
      </c>
      <c r="AC27" s="520" t="str">
        <f>IF(AND(_AC1="B-737-800",'2023'!$D$4="FO",'2023'!$D$2=AC5),'2023DATA'!$N$24,"")</f>
        <v/>
      </c>
      <c r="AD27" s="940"/>
      <c r="AE27" s="13" t="s">
        <v>62</v>
      </c>
      <c r="AF27" s="518" t="str">
        <f>IF(AND(_AC2="B-737-800",'2023'!$D$4="FO",'2023'!$D$2=AF5),'2023DATA'!$C$24,"")</f>
        <v/>
      </c>
      <c r="AG27" s="518" t="str">
        <f>IF(AND(_AC2="B-737-800",'2023'!$D$4="FO",'2023'!$D$2=AG5),'2023DATA'!$D$24,"")</f>
        <v/>
      </c>
      <c r="AH27" s="518" t="str">
        <f>IF(AND(_AC2="B-737-800",'2023'!$D$4="FO",'2023'!$D$2=AH5),'2023DATA'!$E$24,"")</f>
        <v/>
      </c>
      <c r="AI27" s="518" t="str">
        <f>IF(AND(_AC2="B-737-800",'2023'!$D$4="FO",'2023'!$D$2=AI5),'2023DATA'!$F$24,"")</f>
        <v/>
      </c>
      <c r="AJ27" s="518" t="str">
        <f>IF(AND(_AC2="B-737-800",'2023'!$D$4="FO",'2023'!$D$2=AJ5),'2023DATA'!$G$24,"")</f>
        <v/>
      </c>
      <c r="AK27" s="518" t="str">
        <f>IF(AND(_AC2="B-737-800",'2023'!$D$4="FO",'2023'!$D$2=AK5),'2023DATA'!$H$24,"")</f>
        <v/>
      </c>
      <c r="AL27" s="518" t="str">
        <f>IF(AND(_AC2="B-737-800",'2023'!$D$4="FO",'2023'!$D$2=AL5),'2023DATA'!$I$24,"")</f>
        <v/>
      </c>
      <c r="AM27" s="518" t="str">
        <f>IF(AND(_AC2="B-737-800",'2023'!$D$4="FO",'2023'!$D$2=AM5),'2023DATA'!$J$24,"")</f>
        <v/>
      </c>
      <c r="AN27" s="518" t="str">
        <f>IF(AND(_AC2="B-737-800",'2023'!$D$4="FO",'2023'!$D$2=AN5),'2023DATA'!$K$24,"")</f>
        <v/>
      </c>
      <c r="AO27" s="518" t="str">
        <f>IF(AND(_AC2="B-737-800",'2023'!$D$4="FO",'2023'!$D$2=AO5),'2023DATA'!$L$24,"")</f>
        <v/>
      </c>
      <c r="AP27" s="518" t="str">
        <f>IF(AND(_AC2="B-737-800",'2023'!$D$4="FO",'2023'!$D$2=AP5),'2023DATA'!$M$24,"")</f>
        <v/>
      </c>
      <c r="AQ27" s="520" t="str">
        <f>IF(AND(_AC2="B-737-800",'2023'!$D$4="FO",'2023'!$D$2=AQ5),'2023DATA'!$N$24,"")</f>
        <v/>
      </c>
      <c r="AR27" s="940"/>
      <c r="AS27" s="13" t="s">
        <v>62</v>
      </c>
      <c r="AT27" s="518" t="str">
        <f>IF(AND(_AC3="B-737-800",'2023'!$D$4="FO",'2023'!$D$2=AT5),'2023DATA'!$C$24,"")</f>
        <v/>
      </c>
      <c r="AU27" s="518" t="str">
        <f>IF(AND(_AC3="B-737-800",'2023'!$D$4="FO",'2023'!$D$2=AU5),'2023DATA'!$D$24,"")</f>
        <v/>
      </c>
      <c r="AV27" s="518" t="str">
        <f>IF(AND(_AC3="B-737-800",'2023'!$D$4="FO",'2023'!$D$2=AV5),'2023DATA'!$E$24,"")</f>
        <v/>
      </c>
      <c r="AW27" s="518" t="str">
        <f>IF(AND(_AC3="B-737-800",'2023'!$D$4="FO",'2023'!$D$2=AW5),'2023DATA'!$F$24,"")</f>
        <v/>
      </c>
      <c r="AX27" s="518" t="str">
        <f>IF(AND(_AC3="B-737-800",'2023'!$D$4="FO",'2023'!$D$2=AX5),'2023DATA'!$G$24,"")</f>
        <v/>
      </c>
      <c r="AY27" s="518" t="str">
        <f>IF(AND(_AC3="B-737-800",'2023'!$D$4="FO",'2023'!$D$2=AY5),'2023DATA'!$H$24,"")</f>
        <v/>
      </c>
      <c r="AZ27" s="518" t="str">
        <f>IF(AND(_AC3="B-737-800",'2023'!$D$4="FO",'2023'!$D$2=AZ5),'2023DATA'!$I$24,"")</f>
        <v/>
      </c>
      <c r="BA27" s="518" t="str">
        <f>IF(AND(_AC3="B-737-800",'2023'!$D$4="FO",'2023'!$D$2=BA5),'2023DATA'!$J$24,"")</f>
        <v/>
      </c>
      <c r="BB27" s="518" t="str">
        <f>IF(AND(_AC3="B-737-800",'2023'!$D$4="FO",'2023'!$D$2=BB5),'2023DATA'!$K$24,"")</f>
        <v/>
      </c>
      <c r="BC27" s="518" t="str">
        <f>IF(AND(_AC3="B-737-800",'2023'!$D$4="FO",'2023'!$D$2=BC5),'2023DATA'!$L$24,"")</f>
        <v/>
      </c>
      <c r="BD27" s="518" t="str">
        <f>IF(AND(_AC3="B-737-800",'2023'!$D$4="FO",'2023'!$D$2=BD5),'2023DATA'!$M$24,"")</f>
        <v/>
      </c>
      <c r="BE27" s="520" t="str">
        <f>IF(AND(_AC3="B-737-800",'2023'!$D$4="FO",'2023'!$D$2=BE5),'2023DATA'!$N$24,"")</f>
        <v/>
      </c>
      <c r="BF27" s="940"/>
      <c r="BG27" s="13" t="s">
        <v>62</v>
      </c>
      <c r="BH27" s="518" t="str">
        <f>IF(AND(_AC4="B-737-800",'2023'!$D$4="FO",'2023'!$D$2=BH5),'2023DATA'!$C$24,"")</f>
        <v/>
      </c>
      <c r="BI27" s="518" t="str">
        <f>IF(AND(_AC4="B-737-800",'2023'!$D$4="FO",'2023'!$D$2=BI5),'2023DATA'!$D$24,"")</f>
        <v/>
      </c>
      <c r="BJ27" s="518" t="str">
        <f>IF(AND(_AC4="B-737-800",'2023'!$D$4="FO",'2023'!$D$2=BJ5),'2023DATA'!$E$24,"")</f>
        <v/>
      </c>
      <c r="BK27" s="518" t="str">
        <f>IF(AND(_AC4="B-737-800",'2023'!$D$4="FO",'2023'!$D$2=BK5),'2023DATA'!$F$24,"")</f>
        <v/>
      </c>
      <c r="BL27" s="518" t="str">
        <f>IF(AND(_AC4="B-737-800",'2023'!$D$4="FO",'2023'!$D$2=BL5),'2023DATA'!$G$24,"")</f>
        <v/>
      </c>
      <c r="BM27" s="518" t="str">
        <f>IF(AND(_AC4="B-737-800",'2023'!$D$4="FO",'2023'!$D$2=BM5),'2023DATA'!$H$24,"")</f>
        <v/>
      </c>
      <c r="BN27" s="518" t="str">
        <f>IF(AND(_AC4="B-737-800",'2023'!$D$4="FO",'2023'!$D$2=BN5),'2023DATA'!$I$24,"")</f>
        <v/>
      </c>
      <c r="BO27" s="518" t="str">
        <f>IF(AND(_AC4="B-737-800",'2023'!$D$4="FO",'2023'!$D$2=BO5),'2023DATA'!$J$24,"")</f>
        <v/>
      </c>
      <c r="BP27" s="518" t="str">
        <f>IF(AND(_AC4="B-737-800",'2023'!$D$4="FO",'2023'!$D$2=BP5),'2023DATA'!$K$24,"")</f>
        <v/>
      </c>
      <c r="BQ27" s="518" t="str">
        <f>IF(AND(_AC4="B-737-800",'2023'!$D$4="FO",'2023'!$D$2=BQ5),'2023DATA'!$L$24,"")</f>
        <v/>
      </c>
      <c r="BR27" s="518" t="str">
        <f>IF(AND(_AC4="B-737-800",'2023'!$D$4="FO",'2023'!$D$2=BR5),'2023DATA'!$M$24,"")</f>
        <v/>
      </c>
      <c r="BS27" s="520" t="str">
        <f>IF(AND(_AC4="B-737-800",'2023'!$D$4="FO",'2023'!$D$2=BS5),'2023DATA'!$N$24,"")</f>
        <v/>
      </c>
      <c r="BT27" s="940"/>
      <c r="BU27" s="13" t="s">
        <v>62</v>
      </c>
      <c r="BV27" s="518" t="str">
        <f>IF(AND(_AC5="B-737-800",'2023'!$D$4="FO",'2023'!$D$2=BV5),'2023DATA'!$C$24,"")</f>
        <v/>
      </c>
      <c r="BW27" s="518" t="str">
        <f>IF(AND(_AC5="B-737-800",'2023'!$D$4="FO",'2023'!$D$2=BW5),'2023DATA'!$D$24,"")</f>
        <v/>
      </c>
      <c r="BX27" s="518" t="str">
        <f>IF(AND(_AC5="B-737-800",'2023'!$D$4="FO",'2023'!$D$2=BX5),'2023DATA'!$E$24,"")</f>
        <v/>
      </c>
      <c r="BY27" s="518" t="str">
        <f>IF(AND(_AC5="B-737-800",'2023'!$D$4="FO",'2023'!$D$2=BY5),'2023DATA'!$F$24,"")</f>
        <v/>
      </c>
      <c r="BZ27" s="518" t="str">
        <f>IF(AND(_AC5="B-737-800",'2023'!$D$4="FO",'2023'!$D$2=BZ5),'2023DATA'!$G$24,"")</f>
        <v/>
      </c>
      <c r="CA27" s="518" t="str">
        <f>IF(AND(_AC5="B-737-800",'2023'!$D$4="FO",'2023'!$D$2=CA5),'2023DATA'!$H$24,"")</f>
        <v/>
      </c>
      <c r="CB27" s="518" t="str">
        <f>IF(AND(_AC5="B-737-800",'2023'!$D$4="FO",'2023'!$D$2=CB5),'2023DATA'!$I$24,"")</f>
        <v/>
      </c>
      <c r="CC27" s="518" t="str">
        <f>IF(AND(_AC5="B-737-800",'2023'!$D$4="FO",'2023'!$D$2=CC5),'2023DATA'!$J$24,"")</f>
        <v/>
      </c>
      <c r="CD27" s="518" t="str">
        <f>IF(AND(_AC5="B-737-800",'2023'!$D$4="FO",'2023'!$D$2=CD5),'2023DATA'!$K$24,"")</f>
        <v/>
      </c>
      <c r="CE27" s="518" t="str">
        <f>IF(AND(_AC5="B-737-800",'2023'!$D$4="FO",'2023'!$D$2=CE5),'2023DATA'!$L$24,"")</f>
        <v/>
      </c>
      <c r="CF27" s="518" t="str">
        <f>IF(AND(_AC5="B-737-800",'2023'!$D$4="FO",'2023'!$D$2=CF5),'2023DATA'!$M$24,"")</f>
        <v/>
      </c>
      <c r="CG27" s="520" t="str">
        <f>IF(AND(_AC5="B-737-800",'2023'!$D$4="FO",'2023'!$D$2=CG5),'2023DATA'!$N$24,"")</f>
        <v/>
      </c>
      <c r="CH27" s="940"/>
      <c r="CI27" s="13" t="s">
        <v>62</v>
      </c>
      <c r="CJ27" s="518" t="str">
        <f>IF(AND(_AC6="B-737-800",'2023'!$D$4="FO",'2023'!$D$2=CJ5),'2023DATA'!$C$24,"")</f>
        <v/>
      </c>
      <c r="CK27" s="518" t="str">
        <f>IF(AND(_AC6="B-737-800",'2023'!$D$4="FO",'2023'!$D$2=CK5),'2023DATA'!$D$24,"")</f>
        <v/>
      </c>
      <c r="CL27" s="518" t="str">
        <f>IF(AND(_AC6="B-737-800",'2023'!$D$4="FO",'2023'!$D$2=CL5),'2023DATA'!$E$24,"")</f>
        <v/>
      </c>
      <c r="CM27" s="518" t="str">
        <f>IF(AND(_AC6="B-737-800",'2023'!$D$4="FO",'2023'!$D$2=CM5),'2023DATA'!$F$24,"")</f>
        <v/>
      </c>
      <c r="CN27" s="518" t="str">
        <f>IF(AND(_AC6="B-737-800",'2023'!$D$4="FO",'2023'!$D$2=CN5),'2023DATA'!$G$24,"")</f>
        <v/>
      </c>
      <c r="CO27" s="518" t="str">
        <f>IF(AND(_AC6="B-737-800",'2023'!$D$4="FO",'2023'!$D$2=CO5),'2023DATA'!$H$24,"")</f>
        <v/>
      </c>
      <c r="CP27" s="518" t="str">
        <f>IF(AND(_AC6="B-737-800",'2023'!$D$4="FO",'2023'!$D$2=CP5),'2023DATA'!$I$24,"")</f>
        <v/>
      </c>
      <c r="CQ27" s="518" t="str">
        <f>IF(AND(_AC6="B-737-800",'2023'!$D$4="FO",'2023'!$D$2=CQ5),'2023DATA'!$J$24,"")</f>
        <v/>
      </c>
      <c r="CR27" s="518" t="str">
        <f>IF(AND(_AC6="B-737-800",'2023'!$D$4="FO",'2023'!$D$2=CR5),'2023DATA'!$K$24,"")</f>
        <v/>
      </c>
      <c r="CS27" s="518" t="str">
        <f>IF(AND(_AC6="B-737-800",'2023'!$D$4="FO",'2023'!$D$2=CS5),'2023DATA'!$L$24,"")</f>
        <v/>
      </c>
      <c r="CT27" s="518" t="str">
        <f>IF(AND(_AC6="B-737-800",'2023'!$D$4="FO",'2023'!$D$2=CT5),'2023DATA'!$M$24,"")</f>
        <v/>
      </c>
      <c r="CU27" s="520" t="str">
        <f>IF(AND(_AC6="B-737-800",'2023'!$D$4="FO",'2023'!$D$2=CU5),'2023DATA'!$N$24,"")</f>
        <v/>
      </c>
    </row>
    <row r="28" spans="1:99" x14ac:dyDescent="0.25">
      <c r="A28" s="946"/>
      <c r="B28" s="78" t="s">
        <v>62</v>
      </c>
      <c r="C28" s="25">
        <v>230.1</v>
      </c>
      <c r="D28" s="26">
        <v>227.98</v>
      </c>
      <c r="E28" s="26">
        <v>225.91</v>
      </c>
      <c r="F28" s="26">
        <v>222.88</v>
      </c>
      <c r="G28" s="26">
        <v>220.51</v>
      </c>
      <c r="H28" s="26">
        <v>215.54</v>
      </c>
      <c r="I28" s="26">
        <v>209.67</v>
      </c>
      <c r="J28" s="26">
        <v>204.47</v>
      </c>
      <c r="K28" s="26">
        <v>199.67</v>
      </c>
      <c r="L28" s="26">
        <v>194.95</v>
      </c>
      <c r="M28" s="26">
        <v>166.6</v>
      </c>
      <c r="N28" s="27">
        <v>108.34</v>
      </c>
      <c r="P28" s="940" t="s">
        <v>46</v>
      </c>
      <c r="Q28" s="13" t="s">
        <v>61</v>
      </c>
      <c r="R28" s="518" t="str">
        <f>IF(AND(_AC1="A-321N",'2023'!$D$4="CA",'2023'!$D$2=R5),'2023DATA'!$C$25,"")</f>
        <v/>
      </c>
      <c r="S28" s="518" t="str">
        <f>IF(AND(_AC1="A-321N",'2023'!$D$4="CA",'2023'!$D$2=S5),'2023DATA'!$D$25,"")</f>
        <v/>
      </c>
      <c r="T28" s="518" t="str">
        <f>IF(AND(_AC1="A-321N",'2023'!$D$4="CA",'2023'!$D$2=T5),'2023DATA'!$E$25,"")</f>
        <v/>
      </c>
      <c r="U28" s="518" t="str">
        <f>IF(AND(_AC1="A-321N",'2023'!$D$4="CA",'2023'!$D$2=U5),'2023DATA'!$F$25,"")</f>
        <v/>
      </c>
      <c r="V28" s="518" t="str">
        <f>IF(AND(_AC1="A-321N",'2023'!$D$4="CA",'2023'!$D$2=V5),'2023DATA'!$G$25,"")</f>
        <v/>
      </c>
      <c r="W28" s="518" t="str">
        <f>IF(AND(_AC1="A-321N",'2023'!$D$4="CA",'2023'!$D$2=W5),'2023DATA'!$H$25,"")</f>
        <v/>
      </c>
      <c r="X28" s="518" t="str">
        <f>IF(AND(_AC1="A-321N",'2023'!$D$4="CA",'2023'!$D$2=X5),'2023DATA'!$I$25,"")</f>
        <v/>
      </c>
      <c r="Y28" s="518" t="str">
        <f>IF(AND(_AC1="A-321N",'2023'!$D$4="CA",'2023'!$D$2=Y5),'2023DATA'!$J$25,"")</f>
        <v/>
      </c>
      <c r="Z28" s="518" t="str">
        <f>IF(AND(_AC1="A-321N",'2023'!$D$4="CA",'2023'!$D$2=Z5),'2023DATA'!$K$25,"")</f>
        <v/>
      </c>
      <c r="AA28" s="518" t="str">
        <f>IF(AND(_AC1="A-321N",'2023'!$D$4="CA",'2023'!$D$2=AA5),'2023DATA'!$L$25,"")</f>
        <v/>
      </c>
      <c r="AB28" s="518" t="str">
        <f>IF(AND(_AC1="A-321N",'2023'!$D$4="CA",'2023'!$D$2=AB5),'2023DATA'!$M$25,"")</f>
        <v/>
      </c>
      <c r="AC28" s="520" t="str">
        <f>IF(AND(_AC1="A-321N",'2023'!$D$4="CA",'2023'!$D$2=AC5),'2023DATA'!$N$25,"")</f>
        <v/>
      </c>
      <c r="AD28" s="940" t="s">
        <v>46</v>
      </c>
      <c r="AE28" s="13" t="s">
        <v>61</v>
      </c>
      <c r="AF28" s="518" t="str">
        <f>IF(AND(_AC2="A-321N",'2023'!$D$4="CA",'2023'!$D$2=AF5),'2023DATA'!$C$25,"")</f>
        <v/>
      </c>
      <c r="AG28" s="518" t="str">
        <f>IF(AND(_AC2="A-321N",'2023'!$D$4="CA",'2023'!$D$2=AG5),'2023DATA'!$D$25,"")</f>
        <v/>
      </c>
      <c r="AH28" s="518" t="str">
        <f>IF(AND(_AC2="A-321N",'2023'!$D$4="CA",'2023'!$D$2=AH5),'2023DATA'!$E$25,"")</f>
        <v/>
      </c>
      <c r="AI28" s="518" t="str">
        <f>IF(AND(_AC2="A-321N",'2023'!$D$4="CA",'2023'!$D$2=AI5),'2023DATA'!$F$25,"")</f>
        <v/>
      </c>
      <c r="AJ28" s="518" t="str">
        <f>IF(AND(_AC2="A-321N",'2023'!$D$4="CA",'2023'!$D$2=AJ5),'2023DATA'!$G$25,"")</f>
        <v/>
      </c>
      <c r="AK28" s="518" t="str">
        <f>IF(AND(_AC2="A-321N",'2023'!$D$4="CA",'2023'!$D$2=AK5),'2023DATA'!$H$25,"")</f>
        <v/>
      </c>
      <c r="AL28" s="518" t="str">
        <f>IF(AND(_AC2="A-321N",'2023'!$D$4="CA",'2023'!$D$2=AL5),'2023DATA'!$I$25,"")</f>
        <v/>
      </c>
      <c r="AM28" s="518" t="str">
        <f>IF(AND(_AC2="A-321N",'2023'!$D$4="CA",'2023'!$D$2=AM5),'2023DATA'!$J$25,"")</f>
        <v/>
      </c>
      <c r="AN28" s="518" t="str">
        <f>IF(AND(_AC2="A-321N",'2023'!$D$4="CA",'2023'!$D$2=AN5),'2023DATA'!$K$25,"")</f>
        <v/>
      </c>
      <c r="AO28" s="518" t="str">
        <f>IF(AND(_AC2="A-321N",'2023'!$D$4="CA",'2023'!$D$2=AO5),'2023DATA'!$L$25,"")</f>
        <v/>
      </c>
      <c r="AP28" s="518" t="str">
        <f>IF(AND(_AC2="A-321N",'2023'!$D$4="CA",'2023'!$D$2=AP5),'2023DATA'!$M$25,"")</f>
        <v/>
      </c>
      <c r="AQ28" s="520" t="str">
        <f>IF(AND(_AC2="A-321N",'2023'!$D$4="CA",'2023'!$D$2=AQ5),'2023DATA'!$N$25,"")</f>
        <v/>
      </c>
      <c r="AR28" s="940" t="s">
        <v>46</v>
      </c>
      <c r="AS28" s="13" t="s">
        <v>61</v>
      </c>
      <c r="AT28" s="518" t="str">
        <f>IF(AND(_AC3="A-321N",'2023'!$D$4="CA",'2023'!$D$2=AT5),'2023DATA'!$C$25,"")</f>
        <v/>
      </c>
      <c r="AU28" s="518" t="str">
        <f>IF(AND(_AC3="A-321N",'2023'!$D$4="CA",'2023'!$D$2=AU5),'2023DATA'!$D$25,"")</f>
        <v/>
      </c>
      <c r="AV28" s="518" t="str">
        <f>IF(AND(_AC3="A-321N",'2023'!$D$4="CA",'2023'!$D$2=AV5),'2023DATA'!$E$25,"")</f>
        <v/>
      </c>
      <c r="AW28" s="518" t="str">
        <f>IF(AND(_AC3="A-321N",'2023'!$D$4="CA",'2023'!$D$2=AW5),'2023DATA'!$F$25,"")</f>
        <v/>
      </c>
      <c r="AX28" s="518" t="str">
        <f>IF(AND(_AC3="A-321N",'2023'!$D$4="CA",'2023'!$D$2=AX5),'2023DATA'!$G$25,"")</f>
        <v/>
      </c>
      <c r="AY28" s="518" t="str">
        <f>IF(AND(_AC3="A-321N",'2023'!$D$4="CA",'2023'!$D$2=AY5),'2023DATA'!$H$25,"")</f>
        <v/>
      </c>
      <c r="AZ28" s="518" t="str">
        <f>IF(AND(_AC3="A-321N",'2023'!$D$4="CA",'2023'!$D$2=AZ5),'2023DATA'!$I$25,"")</f>
        <v/>
      </c>
      <c r="BA28" s="518" t="str">
        <f>IF(AND(_AC3="A-321N",'2023'!$D$4="CA",'2023'!$D$2=BA5),'2023DATA'!$J$25,"")</f>
        <v/>
      </c>
      <c r="BB28" s="518" t="str">
        <f>IF(AND(_AC3="A-321N",'2023'!$D$4="CA",'2023'!$D$2=BB5),'2023DATA'!$K$25,"")</f>
        <v/>
      </c>
      <c r="BC28" s="518" t="str">
        <f>IF(AND(_AC3="A-321N",'2023'!$D$4="CA",'2023'!$D$2=BC5),'2023DATA'!$L$25,"")</f>
        <v/>
      </c>
      <c r="BD28" s="518" t="str">
        <f>IF(AND(_AC3="A-321N",'2023'!$D$4="CA",'2023'!$D$2=BD5),'2023DATA'!$M$25,"")</f>
        <v/>
      </c>
      <c r="BE28" s="520" t="str">
        <f>IF(AND(_AC3="A-321N",'2023'!$D$4="CA",'2023'!$D$2=BE5),'2023DATA'!$N$25,"")</f>
        <v/>
      </c>
      <c r="BF28" s="940" t="s">
        <v>46</v>
      </c>
      <c r="BG28" s="13" t="s">
        <v>61</v>
      </c>
      <c r="BH28" s="518" t="str">
        <f>IF(AND(_AC4="A-321N",'2023'!$D$4="CA",'2023'!$D$2=BH5),'2023DATA'!$C$25,"")</f>
        <v/>
      </c>
      <c r="BI28" s="518" t="str">
        <f>IF(AND(_AC4="A-321N",'2023'!$D$4="CA",'2023'!$D$2=BI5),'2023DATA'!$D$25,"")</f>
        <v/>
      </c>
      <c r="BJ28" s="518" t="str">
        <f>IF(AND(_AC4="A-321N",'2023'!$D$4="CA",'2023'!$D$2=BJ5),'2023DATA'!$E$25,"")</f>
        <v/>
      </c>
      <c r="BK28" s="518" t="str">
        <f>IF(AND(_AC4="A-321N",'2023'!$D$4="CA",'2023'!$D$2=BK5),'2023DATA'!$F$25,"")</f>
        <v/>
      </c>
      <c r="BL28" s="518" t="str">
        <f>IF(AND(_AC4="A-321N",'2023'!$D$4="CA",'2023'!$D$2=BL5),'2023DATA'!$G$25,"")</f>
        <v/>
      </c>
      <c r="BM28" s="518" t="str">
        <f>IF(AND(_AC4="A-321N",'2023'!$D$4="CA",'2023'!$D$2=BM5),'2023DATA'!$H$25,"")</f>
        <v/>
      </c>
      <c r="BN28" s="518" t="str">
        <f>IF(AND(_AC4="A-321N",'2023'!$D$4="CA",'2023'!$D$2=BN5),'2023DATA'!$I$25,"")</f>
        <v/>
      </c>
      <c r="BO28" s="518" t="str">
        <f>IF(AND(_AC4="A-321N",'2023'!$D$4="CA",'2023'!$D$2=BO5),'2023DATA'!$J$25,"")</f>
        <v/>
      </c>
      <c r="BP28" s="518" t="str">
        <f>IF(AND(_AC4="A-321N",'2023'!$D$4="CA",'2023'!$D$2=BP5),'2023DATA'!$K$25,"")</f>
        <v/>
      </c>
      <c r="BQ28" s="518" t="str">
        <f>IF(AND(_AC4="A-321N",'2023'!$D$4="CA",'2023'!$D$2=BQ5),'2023DATA'!$L$25,"")</f>
        <v/>
      </c>
      <c r="BR28" s="518" t="str">
        <f>IF(AND(_AC4="A-321N",'2023'!$D$4="CA",'2023'!$D$2=BR5),'2023DATA'!$M$25,"")</f>
        <v/>
      </c>
      <c r="BS28" s="520" t="str">
        <f>IF(AND(_AC4="A-321N",'2023'!$D$4="CA",'2023'!$D$2=BS5),'2023DATA'!$N$25,"")</f>
        <v/>
      </c>
      <c r="BT28" s="940" t="s">
        <v>46</v>
      </c>
      <c r="BU28" s="13" t="s">
        <v>61</v>
      </c>
      <c r="BV28" s="518" t="str">
        <f>IF(AND(_AC5="A-321N",'2023'!$D$4="CA",'2023'!$D$2=BV5),'2023DATA'!$C$25,"")</f>
        <v/>
      </c>
      <c r="BW28" s="518" t="str">
        <f>IF(AND(_AC5="A-321N",'2023'!$D$4="CA",'2023'!$D$2=BW5),'2023DATA'!$D$25,"")</f>
        <v/>
      </c>
      <c r="BX28" s="518" t="str">
        <f>IF(AND(_AC5="A-321N",'2023'!$D$4="CA",'2023'!$D$2=BX5),'2023DATA'!$E$25,"")</f>
        <v/>
      </c>
      <c r="BY28" s="518" t="str">
        <f>IF(AND(_AC5="A-321N",'2023'!$D$4="CA",'2023'!$D$2=BY5),'2023DATA'!$F$25,"")</f>
        <v/>
      </c>
      <c r="BZ28" s="518" t="str">
        <f>IF(AND(_AC5="A-321N",'2023'!$D$4="CA",'2023'!$D$2=BZ5),'2023DATA'!$G$25,"")</f>
        <v/>
      </c>
      <c r="CA28" s="518" t="str">
        <f>IF(AND(_AC5="A-321N",'2023'!$D$4="CA",'2023'!$D$2=CA5),'2023DATA'!$H$25,"")</f>
        <v/>
      </c>
      <c r="CB28" s="518" t="str">
        <f>IF(AND(_AC5="A-321N",'2023'!$D$4="CA",'2023'!$D$2=CB5),'2023DATA'!$I$25,"")</f>
        <v/>
      </c>
      <c r="CC28" s="518" t="str">
        <f>IF(AND(_AC5="A-321N",'2023'!$D$4="CA",'2023'!$D$2=CC5),'2023DATA'!$J$25,"")</f>
        <v/>
      </c>
      <c r="CD28" s="518" t="str">
        <f>IF(AND(_AC5="A-321N",'2023'!$D$4="CA",'2023'!$D$2=CD5),'2023DATA'!$K$25,"")</f>
        <v/>
      </c>
      <c r="CE28" s="518" t="str">
        <f>IF(AND(_AC5="A-321N",'2023'!$D$4="CA",'2023'!$D$2=CE5),'2023DATA'!$L$25,"")</f>
        <v/>
      </c>
      <c r="CF28" s="518" t="str">
        <f>IF(AND(_AC5="A-321N",'2023'!$D$4="CA",'2023'!$D$2=CF5),'2023DATA'!$M$25,"")</f>
        <v/>
      </c>
      <c r="CG28" s="520" t="str">
        <f>IF(AND(_AC5="A-321N",'2023'!$D$4="CA",'2023'!$D$2=CG5),'2023DATA'!$N$25,"")</f>
        <v/>
      </c>
      <c r="CH28" s="940" t="s">
        <v>46</v>
      </c>
      <c r="CI28" s="13" t="s">
        <v>61</v>
      </c>
      <c r="CJ28" s="518" t="str">
        <f>IF(AND(_AC6="A-321N",'2023'!$D$4="CA",'2023'!$D$2=CJ5),'2023DATA'!$C$25,"")</f>
        <v/>
      </c>
      <c r="CK28" s="518" t="str">
        <f>IF(AND(_AC6="A-321N",'2023'!$D$4="CA",'2023'!$D$2=CK5),'2023DATA'!$D$25,"")</f>
        <v/>
      </c>
      <c r="CL28" s="518" t="str">
        <f>IF(AND(_AC6="A-321N",'2023'!$D$4="CA",'2023'!$D$2=CL5),'2023DATA'!$E$25,"")</f>
        <v/>
      </c>
      <c r="CM28" s="518" t="str">
        <f>IF(AND(_AC6="A-321N",'2023'!$D$4="CA",'2023'!$D$2=CM5),'2023DATA'!$F$25,"")</f>
        <v/>
      </c>
      <c r="CN28" s="518" t="str">
        <f>IF(AND(_AC6="A-321N",'2023'!$D$4="CA",'2023'!$D$2=CN5),'2023DATA'!$G$25,"")</f>
        <v/>
      </c>
      <c r="CO28" s="518" t="str">
        <f>IF(AND(_AC6="A-321N",'2023'!$D$4="CA",'2023'!$D$2=CO5),'2023DATA'!$H$25,"")</f>
        <v/>
      </c>
      <c r="CP28" s="518" t="str">
        <f>IF(AND(_AC6="A-321N",'2023'!$D$4="CA",'2023'!$D$2=CP5),'2023DATA'!$I$25,"")</f>
        <v/>
      </c>
      <c r="CQ28" s="518" t="str">
        <f>IF(AND(_AC6="A-321N",'2023'!$D$4="CA",'2023'!$D$2=CQ5),'2023DATA'!$J$25,"")</f>
        <v/>
      </c>
      <c r="CR28" s="518" t="str">
        <f>IF(AND(_AC6="A-321N",'2023'!$D$4="CA",'2023'!$D$2=CR5),'2023DATA'!$K$25,"")</f>
        <v/>
      </c>
      <c r="CS28" s="518" t="str">
        <f>IF(AND(_AC6="A-321N",'2023'!$D$4="CA",'2023'!$D$2=CS5),'2023DATA'!$L$25,"")</f>
        <v/>
      </c>
      <c r="CT28" s="518" t="str">
        <f>IF(AND(_AC6="A-321N",'2023'!$D$4="CA",'2023'!$D$2=CT5),'2023DATA'!$M$25,"")</f>
        <v/>
      </c>
      <c r="CU28" s="520" t="str">
        <f>IF(AND(_AC6="A-321N",'2023'!$D$4="CA",'2023'!$D$2=CU5),'2023DATA'!$N$25,"")</f>
        <v/>
      </c>
    </row>
    <row r="29" spans="1:99" x14ac:dyDescent="0.25">
      <c r="A29" s="946" t="s">
        <v>70</v>
      </c>
      <c r="B29" s="78" t="s">
        <v>61</v>
      </c>
      <c r="C29" s="25">
        <v>335.13</v>
      </c>
      <c r="D29" s="26">
        <v>332.67</v>
      </c>
      <c r="E29" s="26">
        <v>330.13</v>
      </c>
      <c r="F29" s="26">
        <v>327.64999999999998</v>
      </c>
      <c r="G29" s="26">
        <v>325.11</v>
      </c>
      <c r="H29" s="26">
        <v>322.58999999999997</v>
      </c>
      <c r="I29" s="26">
        <v>320.10000000000002</v>
      </c>
      <c r="J29" s="26">
        <v>317.60000000000002</v>
      </c>
      <c r="K29" s="26">
        <v>315.06</v>
      </c>
      <c r="L29" s="26">
        <v>312.52</v>
      </c>
      <c r="M29" s="26">
        <v>310.08999999999997</v>
      </c>
      <c r="N29" s="27">
        <v>307.69</v>
      </c>
      <c r="P29" s="940"/>
      <c r="Q29" s="13" t="s">
        <v>62</v>
      </c>
      <c r="R29" s="518" t="str">
        <f>IF(AND(_AC1="A-321N",'2023'!$D$4="FO",'2023'!$D$2=R5),'2023DATA'!$C$26,"")</f>
        <v/>
      </c>
      <c r="S29" s="518" t="str">
        <f>IF(AND(_AC1="A-321N",'2023'!$D$4="FO",'2023'!$D$2=S5),'2023DATA'!$D$26,"")</f>
        <v/>
      </c>
      <c r="T29" s="518" t="str">
        <f>IF(AND(_AC1="A-321N",'2023'!$D$4="FO",'2023'!$D$2=T5),'2023DATA'!$E$26,"")</f>
        <v/>
      </c>
      <c r="U29" s="518" t="str">
        <f>IF(AND(_AC1="A-321N",'2023'!$D$4="FO",'2023'!$D$2=U5),'2023DATA'!$F$26,"")</f>
        <v/>
      </c>
      <c r="V29" s="518" t="str">
        <f>IF(AND(_AC1="A-321N",'2023'!$D$4="FO",'2023'!$D$2=V5),'2023DATA'!$G$26,"")</f>
        <v/>
      </c>
      <c r="W29" s="518" t="str">
        <f>IF(AND(_AC1="A-321N",'2023'!$D$4="FO",'2023'!$D$2=W5),'2023DATA'!$H$26,"")</f>
        <v/>
      </c>
      <c r="X29" s="518" t="str">
        <f>IF(AND(_AC1="A-321N",'2023'!$D$4="FO",'2023'!$D$2=X5),'2023DATA'!$I$26,"")</f>
        <v/>
      </c>
      <c r="Y29" s="518" t="str">
        <f>IF(AND(_AC1="A-321N",'2023'!$D$4="FO",'2023'!$D$2=Y5),'2023DATA'!$J$26,"")</f>
        <v/>
      </c>
      <c r="Z29" s="518" t="str">
        <f>IF(AND(_AC1="A-321N",'2023'!$D$4="FO",'2023'!$D$2=Z5),'2023DATA'!$K$26,"")</f>
        <v/>
      </c>
      <c r="AA29" s="518" t="str">
        <f>IF(AND(_AC1="A-321N",'2023'!$D$4="FO",'2023'!$D$2=AA5),'2023DATA'!$L$26,"")</f>
        <v/>
      </c>
      <c r="AB29" s="518" t="str">
        <f>IF(AND(_AC1="A-321N",'2023'!$D$4="FO",'2023'!$D$2=AB5),'2023DATA'!$M$26,"")</f>
        <v/>
      </c>
      <c r="AC29" s="520" t="str">
        <f>IF(AND(_AC1="A-321N",'2023'!$D$4="FO",'2023'!$D$2=AC5),'2023DATA'!$N$26,"")</f>
        <v/>
      </c>
      <c r="AD29" s="940"/>
      <c r="AE29" s="13" t="s">
        <v>62</v>
      </c>
      <c r="AF29" s="518" t="str">
        <f>IF(AND(_AC2="A-321N",'2023'!$D$4="FO",'2023'!$D$2=AF5),'2023DATA'!$C$26,"")</f>
        <v/>
      </c>
      <c r="AG29" s="518" t="str">
        <f>IF(AND(_AC2="A-321N",'2023'!$D$4="FO",'2023'!$D$2=AG5),'2023DATA'!$D$26,"")</f>
        <v/>
      </c>
      <c r="AH29" s="518" t="str">
        <f>IF(AND(_AC2="A-321N",'2023'!$D$4="FO",'2023'!$D$2=AH5),'2023DATA'!$E$26,"")</f>
        <v/>
      </c>
      <c r="AI29" s="518" t="str">
        <f>IF(AND(_AC2="A-321N",'2023'!$D$4="FO",'2023'!$D$2=AI5),'2023DATA'!$F$26,"")</f>
        <v/>
      </c>
      <c r="AJ29" s="518" t="str">
        <f>IF(AND(_AC2="A-321N",'2023'!$D$4="FO",'2023'!$D$2=AJ5),'2023DATA'!$G$26,"")</f>
        <v/>
      </c>
      <c r="AK29" s="518" t="str">
        <f>IF(AND(_AC2="A-321N",'2023'!$D$4="FO",'2023'!$D$2=AK5),'2023DATA'!$H$26,"")</f>
        <v/>
      </c>
      <c r="AL29" s="518" t="str">
        <f>IF(AND(_AC2="A-321N",'2023'!$D$4="FO",'2023'!$D$2=AL5),'2023DATA'!$I$26,"")</f>
        <v/>
      </c>
      <c r="AM29" s="518" t="str">
        <f>IF(AND(_AC2="A-321N",'2023'!$D$4="FO",'2023'!$D$2=AM5),'2023DATA'!$J$26,"")</f>
        <v/>
      </c>
      <c r="AN29" s="518" t="str">
        <f>IF(AND(_AC2="A-321N",'2023'!$D$4="FO",'2023'!$D$2=AN5),'2023DATA'!$K$26,"")</f>
        <v/>
      </c>
      <c r="AO29" s="518" t="str">
        <f>IF(AND(_AC2="A-321N",'2023'!$D$4="FO",'2023'!$D$2=AO5),'2023DATA'!$L$26,"")</f>
        <v/>
      </c>
      <c r="AP29" s="518" t="str">
        <f>IF(AND(_AC2="A-321N",'2023'!$D$4="FO",'2023'!$D$2=AP5),'2023DATA'!$M$26,"")</f>
        <v/>
      </c>
      <c r="AQ29" s="520" t="str">
        <f>IF(AND(_AC2="A-321N",'2023'!$D$4="FO",'2023'!$D$2=AQ5),'2023DATA'!$N$26,"")</f>
        <v/>
      </c>
      <c r="AR29" s="940"/>
      <c r="AS29" s="13" t="s">
        <v>62</v>
      </c>
      <c r="AT29" s="518" t="str">
        <f>IF(AND(_AC3="A-321N",'2023'!$D$4="FO",'2023'!$D$2=AT5),'2023DATA'!$C$26,"")</f>
        <v/>
      </c>
      <c r="AU29" s="518" t="str">
        <f>IF(AND(_AC3="A-321N",'2023'!$D$4="FO",'2023'!$D$2=AU5),'2023DATA'!$D$26,"")</f>
        <v/>
      </c>
      <c r="AV29" s="518" t="str">
        <f>IF(AND(_AC3="A-321N",'2023'!$D$4="FO",'2023'!$D$2=AV5),'2023DATA'!$E$26,"")</f>
        <v/>
      </c>
      <c r="AW29" s="518" t="str">
        <f>IF(AND(_AC3="A-321N",'2023'!$D$4="FO",'2023'!$D$2=AW5),'2023DATA'!$F$26,"")</f>
        <v/>
      </c>
      <c r="AX29" s="518" t="str">
        <f>IF(AND(_AC3="A-321N",'2023'!$D$4="FO",'2023'!$D$2=AX5),'2023DATA'!$G$26,"")</f>
        <v/>
      </c>
      <c r="AY29" s="518" t="str">
        <f>IF(AND(_AC3="A-321N",'2023'!$D$4="FO",'2023'!$D$2=AY5),'2023DATA'!$H$26,"")</f>
        <v/>
      </c>
      <c r="AZ29" s="518" t="str">
        <f>IF(AND(_AC3="A-321N",'2023'!$D$4="FO",'2023'!$D$2=AZ5),'2023DATA'!$I$26,"")</f>
        <v/>
      </c>
      <c r="BA29" s="518" t="str">
        <f>IF(AND(_AC3="A-321N",'2023'!$D$4="FO",'2023'!$D$2=BA5),'2023DATA'!$J$26,"")</f>
        <v/>
      </c>
      <c r="BB29" s="518" t="str">
        <f>IF(AND(_AC3="A-321N",'2023'!$D$4="FO",'2023'!$D$2=BB5),'2023DATA'!$K$26,"")</f>
        <v/>
      </c>
      <c r="BC29" s="518" t="str">
        <f>IF(AND(_AC3="A-321N",'2023'!$D$4="FO",'2023'!$D$2=BC5),'2023DATA'!$L$26,"")</f>
        <v/>
      </c>
      <c r="BD29" s="518" t="str">
        <f>IF(AND(_AC3="A-321N",'2023'!$D$4="FO",'2023'!$D$2=BD5),'2023DATA'!$M$26,"")</f>
        <v/>
      </c>
      <c r="BE29" s="520" t="str">
        <f>IF(AND(_AC3="A-321N",'2023'!$D$4="FO",'2023'!$D$2=BE5),'2023DATA'!$N$26,"")</f>
        <v/>
      </c>
      <c r="BF29" s="940"/>
      <c r="BG29" s="13" t="s">
        <v>62</v>
      </c>
      <c r="BH29" s="518" t="str">
        <f>IF(AND(_AC4="A-321N",'2023'!$D$4="FO",'2023'!$D$2=BH5),'2023DATA'!$C$26,"")</f>
        <v/>
      </c>
      <c r="BI29" s="518" t="str">
        <f>IF(AND(_AC4="A-321N",'2023'!$D$4="FO",'2023'!$D$2=BI5),'2023DATA'!$D$26,"")</f>
        <v/>
      </c>
      <c r="BJ29" s="518" t="str">
        <f>IF(AND(_AC4="A-321N",'2023'!$D$4="FO",'2023'!$D$2=BJ5),'2023DATA'!$E$26,"")</f>
        <v/>
      </c>
      <c r="BK29" s="518" t="str">
        <f>IF(AND(_AC4="A-321N",'2023'!$D$4="FO",'2023'!$D$2=BK5),'2023DATA'!$F$26,"")</f>
        <v/>
      </c>
      <c r="BL29" s="518" t="str">
        <f>IF(AND(_AC4="A-321N",'2023'!$D$4="FO",'2023'!$D$2=BL5),'2023DATA'!$G$26,"")</f>
        <v/>
      </c>
      <c r="BM29" s="518" t="str">
        <f>IF(AND(_AC4="A-321N",'2023'!$D$4="FO",'2023'!$D$2=BM5),'2023DATA'!$H$26,"")</f>
        <v/>
      </c>
      <c r="BN29" s="518" t="str">
        <f>IF(AND(_AC4="A-321N",'2023'!$D$4="FO",'2023'!$D$2=BN5),'2023DATA'!$I$26,"")</f>
        <v/>
      </c>
      <c r="BO29" s="518" t="str">
        <f>IF(AND(_AC4="A-321N",'2023'!$D$4="FO",'2023'!$D$2=BO5),'2023DATA'!$J$26,"")</f>
        <v/>
      </c>
      <c r="BP29" s="518" t="str">
        <f>IF(AND(_AC4="A-321N",'2023'!$D$4="FO",'2023'!$D$2=BP5),'2023DATA'!$K$26,"")</f>
        <v/>
      </c>
      <c r="BQ29" s="518" t="str">
        <f>IF(AND(_AC4="A-321N",'2023'!$D$4="FO",'2023'!$D$2=BQ5),'2023DATA'!$L$26,"")</f>
        <v/>
      </c>
      <c r="BR29" s="518" t="str">
        <f>IF(AND(_AC4="A-321N",'2023'!$D$4="FO",'2023'!$D$2=BR5),'2023DATA'!$M$26,"")</f>
        <v/>
      </c>
      <c r="BS29" s="520" t="str">
        <f>IF(AND(_AC4="A-321N",'2023'!$D$4="FO",'2023'!$D$2=BS5),'2023DATA'!$N$26,"")</f>
        <v/>
      </c>
      <c r="BT29" s="940"/>
      <c r="BU29" s="13" t="s">
        <v>62</v>
      </c>
      <c r="BV29" s="518" t="str">
        <f>IF(AND(_AC5="A-321N",'2023'!$D$4="FO",'2023'!$D$2=BV5),'2023DATA'!$C$26,"")</f>
        <v/>
      </c>
      <c r="BW29" s="518" t="str">
        <f>IF(AND(_AC5="A-321N",'2023'!$D$4="FO",'2023'!$D$2=BW5),'2023DATA'!$D$26,"")</f>
        <v/>
      </c>
      <c r="BX29" s="518" t="str">
        <f>IF(AND(_AC5="A-321N",'2023'!$D$4="FO",'2023'!$D$2=BX5),'2023DATA'!$E$26,"")</f>
        <v/>
      </c>
      <c r="BY29" s="518" t="str">
        <f>IF(AND(_AC5="A-321N",'2023'!$D$4="FO",'2023'!$D$2=BY5),'2023DATA'!$F$26,"")</f>
        <v/>
      </c>
      <c r="BZ29" s="518" t="str">
        <f>IF(AND(_AC5="A-321N",'2023'!$D$4="FO",'2023'!$D$2=BZ5),'2023DATA'!$G$26,"")</f>
        <v/>
      </c>
      <c r="CA29" s="518" t="str">
        <f>IF(AND(_AC5="A-321N",'2023'!$D$4="FO",'2023'!$D$2=CA5),'2023DATA'!$H$26,"")</f>
        <v/>
      </c>
      <c r="CB29" s="518" t="str">
        <f>IF(AND(_AC5="A-321N",'2023'!$D$4="FO",'2023'!$D$2=CB5),'2023DATA'!$I$26,"")</f>
        <v/>
      </c>
      <c r="CC29" s="518" t="str">
        <f>IF(AND(_AC5="A-321N",'2023'!$D$4="FO",'2023'!$D$2=CC5),'2023DATA'!$J$26,"")</f>
        <v/>
      </c>
      <c r="CD29" s="518" t="str">
        <f>IF(AND(_AC5="A-321N",'2023'!$D$4="FO",'2023'!$D$2=CD5),'2023DATA'!$K$26,"")</f>
        <v/>
      </c>
      <c r="CE29" s="518" t="str">
        <f>IF(AND(_AC5="A-321N",'2023'!$D$4="FO",'2023'!$D$2=CE5),'2023DATA'!$L$26,"")</f>
        <v/>
      </c>
      <c r="CF29" s="518" t="str">
        <f>IF(AND(_AC5="A-321N",'2023'!$D$4="FO",'2023'!$D$2=CF5),'2023DATA'!$M$26,"")</f>
        <v/>
      </c>
      <c r="CG29" s="520" t="str">
        <f>IF(AND(_AC5="A-321N",'2023'!$D$4="FO",'2023'!$D$2=CG5),'2023DATA'!$N$26,"")</f>
        <v/>
      </c>
      <c r="CH29" s="940"/>
      <c r="CI29" s="13" t="s">
        <v>62</v>
      </c>
      <c r="CJ29" s="518" t="str">
        <f>IF(AND(_AC6="A-321N",'2023'!$D$4="FO",'2023'!$D$2=CJ5),'2023DATA'!$C$26,"")</f>
        <v/>
      </c>
      <c r="CK29" s="518" t="str">
        <f>IF(AND(_AC6="A-321N",'2023'!$D$4="FO",'2023'!$D$2=CK5),'2023DATA'!$D$26,"")</f>
        <v/>
      </c>
      <c r="CL29" s="518" t="str">
        <f>IF(AND(_AC6="A-321N",'2023'!$D$4="FO",'2023'!$D$2=CL5),'2023DATA'!$E$26,"")</f>
        <v/>
      </c>
      <c r="CM29" s="518" t="str">
        <f>IF(AND(_AC6="A-321N",'2023'!$D$4="FO",'2023'!$D$2=CM5),'2023DATA'!$F$26,"")</f>
        <v/>
      </c>
      <c r="CN29" s="518" t="str">
        <f>IF(AND(_AC6="A-321N",'2023'!$D$4="FO",'2023'!$D$2=CN5),'2023DATA'!$G$26,"")</f>
        <v/>
      </c>
      <c r="CO29" s="518" t="str">
        <f>IF(AND(_AC6="A-321N",'2023'!$D$4="FO",'2023'!$D$2=CO5),'2023DATA'!$H$26,"")</f>
        <v/>
      </c>
      <c r="CP29" s="518" t="str">
        <f>IF(AND(_AC6="A-321N",'2023'!$D$4="FO",'2023'!$D$2=CP5),'2023DATA'!$I$26,"")</f>
        <v/>
      </c>
      <c r="CQ29" s="518" t="str">
        <f>IF(AND(_AC6="A-321N",'2023'!$D$4="FO",'2023'!$D$2=CQ5),'2023DATA'!$J$26,"")</f>
        <v/>
      </c>
      <c r="CR29" s="518" t="str">
        <f>IF(AND(_AC6="A-321N",'2023'!$D$4="FO",'2023'!$D$2=CR5),'2023DATA'!$K$26,"")</f>
        <v/>
      </c>
      <c r="CS29" s="518" t="str">
        <f>IF(AND(_AC6="A-321N",'2023'!$D$4="FO",'2023'!$D$2=CS5),'2023DATA'!$L$26,"")</f>
        <v/>
      </c>
      <c r="CT29" s="518" t="str">
        <f>IF(AND(_AC6="A-321N",'2023'!$D$4="FO",'2023'!$D$2=CT5),'2023DATA'!$M$26,"")</f>
        <v/>
      </c>
      <c r="CU29" s="520" t="str">
        <f>IF(AND(_AC6="A-321N",'2023'!$D$4="FO",'2023'!$D$2=CU5),'2023DATA'!$N$26,"")</f>
        <v/>
      </c>
    </row>
    <row r="30" spans="1:99" x14ac:dyDescent="0.25">
      <c r="A30" s="946"/>
      <c r="B30" s="78" t="s">
        <v>62</v>
      </c>
      <c r="C30" s="25">
        <v>228.9</v>
      </c>
      <c r="D30" s="26">
        <v>226.87</v>
      </c>
      <c r="E30" s="26">
        <v>224.8</v>
      </c>
      <c r="F30" s="26">
        <v>221.8</v>
      </c>
      <c r="G30" s="26">
        <v>219.46</v>
      </c>
      <c r="H30" s="26">
        <v>214.5</v>
      </c>
      <c r="I30" s="26">
        <v>208.68</v>
      </c>
      <c r="J30" s="26">
        <v>203.59</v>
      </c>
      <c r="K30" s="26">
        <v>198.81</v>
      </c>
      <c r="L30" s="26">
        <v>194.09</v>
      </c>
      <c r="M30" s="26">
        <v>165.91</v>
      </c>
      <c r="N30" s="27">
        <v>108.34</v>
      </c>
      <c r="P30" s="940" t="s">
        <v>48</v>
      </c>
      <c r="Q30" s="13" t="s">
        <v>61</v>
      </c>
      <c r="R30" s="518" t="str">
        <f>IF(AND(_AC1="A-321",'2023'!$D$4="CA",'2023'!$D$2=R5),'2023DATA'!$C$27,"")</f>
        <v/>
      </c>
      <c r="S30" s="518" t="str">
        <f>IF(AND(_AC1="A-321",'2023'!$D$4="CA",'2023'!$D$2=S5),'2023DATA'!$D$27,"")</f>
        <v/>
      </c>
      <c r="T30" s="518" t="str">
        <f>IF(AND(_AC1="A-321",'2023'!$D$4="CA",'2023'!$D$2=T5),'2023DATA'!$E$27,"")</f>
        <v/>
      </c>
      <c r="U30" s="518" t="str">
        <f>IF(AND(_AC1="A-321",'2023'!$D$4="CA",'2023'!$D$2=U5),'2023DATA'!$F$27,"")</f>
        <v/>
      </c>
      <c r="V30" s="518" t="str">
        <f>IF(AND(_AC1="A-321",'2023'!$D$4="CA",'2023'!$D$2=V5),'2023DATA'!$G$27,"")</f>
        <v/>
      </c>
      <c r="W30" s="518" t="str">
        <f>IF(AND(_AC1="A-321",'2023'!$D$4="CA",'2023'!$D$2=W5),'2023DATA'!$H$27,"")</f>
        <v/>
      </c>
      <c r="X30" s="518" t="str">
        <f>IF(AND(_AC1="A-321",'2023'!$D$4="CA",'2023'!$D$2=X5),'2023DATA'!$I$27,"")</f>
        <v/>
      </c>
      <c r="Y30" s="518" t="str">
        <f>IF(AND(_AC1="A-321",'2023'!$D$4="CA",'2023'!$D$2=Y5),'2023DATA'!$J$27,"")</f>
        <v/>
      </c>
      <c r="Z30" s="518" t="str">
        <f>IF(AND(_AC1="A-321",'2023'!$D$4="CA",'2023'!$D$2=Z5),'2023DATA'!$K$27,"")</f>
        <v/>
      </c>
      <c r="AA30" s="518" t="str">
        <f>IF(AND(_AC1="A-321",'2023'!$D$4="CA",'2023'!$D$2=AA5),'2023DATA'!$L$27,"")</f>
        <v/>
      </c>
      <c r="AB30" s="518" t="str">
        <f>IF(AND(_AC1="A-321",'2023'!$D$4="CA",'2023'!$D$2=AB5),'2023DATA'!$M$27,"")</f>
        <v/>
      </c>
      <c r="AC30" s="520" t="str">
        <f>IF(AND(_AC1="A-321",'2023'!$D$4="CA",'2023'!$D$2=AC5),'2023DATA'!$N$27,"")</f>
        <v/>
      </c>
      <c r="AD30" s="940" t="s">
        <v>48</v>
      </c>
      <c r="AE30" s="13" t="s">
        <v>61</v>
      </c>
      <c r="AF30" s="518" t="str">
        <f>IF(AND(_AC2="A-321",'2023'!$D$4="CA",'2023'!$D$2=AF5),'2023DATA'!$C$27,"")</f>
        <v/>
      </c>
      <c r="AG30" s="518" t="str">
        <f>IF(AND(_AC2="A-321",'2023'!$D$4="CA",'2023'!$D$2=AG5),'2023DATA'!$D$27,"")</f>
        <v/>
      </c>
      <c r="AH30" s="518" t="str">
        <f>IF(AND(_AC2="A-321",'2023'!$D$4="CA",'2023'!$D$2=AH5),'2023DATA'!$E$27,"")</f>
        <v/>
      </c>
      <c r="AI30" s="518" t="str">
        <f>IF(AND(_AC2="A-321",'2023'!$D$4="CA",'2023'!$D$2=AI5),'2023DATA'!$F$27,"")</f>
        <v/>
      </c>
      <c r="AJ30" s="518" t="str">
        <f>IF(AND(_AC2="A-321",'2023'!$D$4="CA",'2023'!$D$2=AJ5),'2023DATA'!$G$27,"")</f>
        <v/>
      </c>
      <c r="AK30" s="518" t="str">
        <f>IF(AND(_AC2="A-321",'2023'!$D$4="CA",'2023'!$D$2=AK5),'2023DATA'!$H$27,"")</f>
        <v/>
      </c>
      <c r="AL30" s="518" t="str">
        <f>IF(AND(_AC2="A-321",'2023'!$D$4="CA",'2023'!$D$2=AL5),'2023DATA'!$I$27,"")</f>
        <v/>
      </c>
      <c r="AM30" s="518" t="str">
        <f>IF(AND(_AC2="A-321",'2023'!$D$4="CA",'2023'!$D$2=AM5),'2023DATA'!$J$27,"")</f>
        <v/>
      </c>
      <c r="AN30" s="518" t="str">
        <f>IF(AND(_AC2="A-321",'2023'!$D$4="CA",'2023'!$D$2=AN5),'2023DATA'!$K$27,"")</f>
        <v/>
      </c>
      <c r="AO30" s="518" t="str">
        <f>IF(AND(_AC2="A-321",'2023'!$D$4="CA",'2023'!$D$2=AO5),'2023DATA'!$L$27,"")</f>
        <v/>
      </c>
      <c r="AP30" s="518" t="str">
        <f>IF(AND(_AC2="A-321",'2023'!$D$4="CA",'2023'!$D$2=AP5),'2023DATA'!$M$27,"")</f>
        <v/>
      </c>
      <c r="AQ30" s="520" t="str">
        <f>IF(AND(_AC2="A-321",'2023'!$D$4="CA",'2023'!$D$2=AQ5),'2023DATA'!$N$27,"")</f>
        <v/>
      </c>
      <c r="AR30" s="940" t="s">
        <v>48</v>
      </c>
      <c r="AS30" s="13" t="s">
        <v>61</v>
      </c>
      <c r="AT30" s="518" t="str">
        <f>IF(AND(_AC3="A-321",'2023'!$D$4="CA",'2023'!$D$2=AT5),'2023DATA'!$C$27,"")</f>
        <v/>
      </c>
      <c r="AU30" s="518" t="str">
        <f>IF(AND(_AC3="A-321",'2023'!$D$4="CA",'2023'!$D$2=AU5),'2023DATA'!$D$27,"")</f>
        <v/>
      </c>
      <c r="AV30" s="518" t="str">
        <f>IF(AND(_AC3="A-321",'2023'!$D$4="CA",'2023'!$D$2=AV5),'2023DATA'!$E$27,"")</f>
        <v/>
      </c>
      <c r="AW30" s="518" t="str">
        <f>IF(AND(_AC3="A-321",'2023'!$D$4="CA",'2023'!$D$2=AW5),'2023DATA'!$F$27,"")</f>
        <v/>
      </c>
      <c r="AX30" s="518" t="str">
        <f>IF(AND(_AC3="A-321",'2023'!$D$4="CA",'2023'!$D$2=AX5),'2023DATA'!$G$27,"")</f>
        <v/>
      </c>
      <c r="AY30" s="518" t="str">
        <f>IF(AND(_AC3="A-321",'2023'!$D$4="CA",'2023'!$D$2=AY5),'2023DATA'!$H$27,"")</f>
        <v/>
      </c>
      <c r="AZ30" s="518" t="str">
        <f>IF(AND(_AC3="A-321",'2023'!$D$4="CA",'2023'!$D$2=AZ5),'2023DATA'!$I$27,"")</f>
        <v/>
      </c>
      <c r="BA30" s="518" t="str">
        <f>IF(AND(_AC3="A-321",'2023'!$D$4="CA",'2023'!$D$2=BA5),'2023DATA'!$J$27,"")</f>
        <v/>
      </c>
      <c r="BB30" s="518" t="str">
        <f>IF(AND(_AC3="A-321",'2023'!$D$4="CA",'2023'!$D$2=BB5),'2023DATA'!$K$27,"")</f>
        <v/>
      </c>
      <c r="BC30" s="518" t="str">
        <f>IF(AND(_AC3="A-321",'2023'!$D$4="CA",'2023'!$D$2=BC5),'2023DATA'!$L$27,"")</f>
        <v/>
      </c>
      <c r="BD30" s="518" t="str">
        <f>IF(AND(_AC3="A-321",'2023'!$D$4="CA",'2023'!$D$2=BD5),'2023DATA'!$M$27,"")</f>
        <v/>
      </c>
      <c r="BE30" s="520" t="str">
        <f>IF(AND(_AC3="A-321",'2023'!$D$4="CA",'2023'!$D$2=BE5),'2023DATA'!$N$27,"")</f>
        <v/>
      </c>
      <c r="BF30" s="940" t="s">
        <v>48</v>
      </c>
      <c r="BG30" s="13" t="s">
        <v>61</v>
      </c>
      <c r="BH30" s="518" t="str">
        <f>IF(AND(_AC4="A-321",'2023'!$D$4="CA",'2023'!$D$2=BH5),'2023DATA'!$C$27,"")</f>
        <v/>
      </c>
      <c r="BI30" s="518" t="str">
        <f>IF(AND(_AC4="A-321",'2023'!$D$4="CA",'2023'!$D$2=BI5),'2023DATA'!$D$27,"")</f>
        <v/>
      </c>
      <c r="BJ30" s="518" t="str">
        <f>IF(AND(_AC4="A-321",'2023'!$D$4="CA",'2023'!$D$2=BJ5),'2023DATA'!$E$27,"")</f>
        <v/>
      </c>
      <c r="BK30" s="518" t="str">
        <f>IF(AND(_AC4="A-321",'2023'!$D$4="CA",'2023'!$D$2=BK5),'2023DATA'!$F$27,"")</f>
        <v/>
      </c>
      <c r="BL30" s="518" t="str">
        <f>IF(AND(_AC4="A-321",'2023'!$D$4="CA",'2023'!$D$2=BL5),'2023DATA'!$G$27,"")</f>
        <v/>
      </c>
      <c r="BM30" s="518" t="str">
        <f>IF(AND(_AC4="A-321",'2023'!$D$4="CA",'2023'!$D$2=BM5),'2023DATA'!$H$27,"")</f>
        <v/>
      </c>
      <c r="BN30" s="518" t="str">
        <f>IF(AND(_AC4="A-321",'2023'!$D$4="CA",'2023'!$D$2=BN5),'2023DATA'!$I$27,"")</f>
        <v/>
      </c>
      <c r="BO30" s="518" t="str">
        <f>IF(AND(_AC4="A-321",'2023'!$D$4="CA",'2023'!$D$2=BO5),'2023DATA'!$J$27,"")</f>
        <v/>
      </c>
      <c r="BP30" s="518" t="str">
        <f>IF(AND(_AC4="A-321",'2023'!$D$4="CA",'2023'!$D$2=BP5),'2023DATA'!$K$27,"")</f>
        <v/>
      </c>
      <c r="BQ30" s="518" t="str">
        <f>IF(AND(_AC4="A-321",'2023'!$D$4="CA",'2023'!$D$2=BQ5),'2023DATA'!$L$27,"")</f>
        <v/>
      </c>
      <c r="BR30" s="518" t="str">
        <f>IF(AND(_AC4="A-321",'2023'!$D$4="CA",'2023'!$D$2=BR5),'2023DATA'!$M$27,"")</f>
        <v/>
      </c>
      <c r="BS30" s="520" t="str">
        <f>IF(AND(_AC4="A-321",'2023'!$D$4="CA",'2023'!$D$2=BS5),'2023DATA'!$N$27,"")</f>
        <v/>
      </c>
      <c r="BT30" s="940" t="s">
        <v>48</v>
      </c>
      <c r="BU30" s="13" t="s">
        <v>61</v>
      </c>
      <c r="BV30" s="518" t="str">
        <f>IF(AND(_AC5="A-321",'2023'!$D$4="CA",'2023'!$D$2=BV5),'2023DATA'!$C$27,"")</f>
        <v/>
      </c>
      <c r="BW30" s="518" t="str">
        <f>IF(AND(_AC5="A-321",'2023'!$D$4="CA",'2023'!$D$2=BW5),'2023DATA'!$D$27,"")</f>
        <v/>
      </c>
      <c r="BX30" s="518" t="str">
        <f>IF(AND(_AC5="A-321",'2023'!$D$4="CA",'2023'!$D$2=BX5),'2023DATA'!$E$27,"")</f>
        <v/>
      </c>
      <c r="BY30" s="518" t="str">
        <f>IF(AND(_AC5="A-321",'2023'!$D$4="CA",'2023'!$D$2=BY5),'2023DATA'!$F$27,"")</f>
        <v/>
      </c>
      <c r="BZ30" s="518" t="str">
        <f>IF(AND(_AC5="A-321",'2023'!$D$4="CA",'2023'!$D$2=BZ5),'2023DATA'!$G$27,"")</f>
        <v/>
      </c>
      <c r="CA30" s="518" t="str">
        <f>IF(AND(_AC5="A-321",'2023'!$D$4="CA",'2023'!$D$2=CA5),'2023DATA'!$H$27,"")</f>
        <v/>
      </c>
      <c r="CB30" s="518" t="str">
        <f>IF(AND(_AC5="A-321",'2023'!$D$4="CA",'2023'!$D$2=CB5),'2023DATA'!$I$27,"")</f>
        <v/>
      </c>
      <c r="CC30" s="518" t="str">
        <f>IF(AND(_AC5="A-321",'2023'!$D$4="CA",'2023'!$D$2=CC5),'2023DATA'!$J$27,"")</f>
        <v/>
      </c>
      <c r="CD30" s="518" t="str">
        <f>IF(AND(_AC5="A-321",'2023'!$D$4="CA",'2023'!$D$2=CD5),'2023DATA'!$K$27,"")</f>
        <v/>
      </c>
      <c r="CE30" s="518" t="str">
        <f>IF(AND(_AC5="A-321",'2023'!$D$4="CA",'2023'!$D$2=CE5),'2023DATA'!$L$27,"")</f>
        <v/>
      </c>
      <c r="CF30" s="518" t="str">
        <f>IF(AND(_AC5="A-321",'2023'!$D$4="CA",'2023'!$D$2=CF5),'2023DATA'!$M$27,"")</f>
        <v/>
      </c>
      <c r="CG30" s="520" t="str">
        <f>IF(AND(_AC5="A-321",'2023'!$D$4="CA",'2023'!$D$2=CG5),'2023DATA'!$N$27,"")</f>
        <v/>
      </c>
      <c r="CH30" s="940" t="s">
        <v>48</v>
      </c>
      <c r="CI30" s="13" t="s">
        <v>61</v>
      </c>
      <c r="CJ30" s="518" t="str">
        <f>IF(AND(_AC6="A-321",'2023'!$D$4="CA",'2023'!$D$2=CJ5),'2023DATA'!$C$27,"")</f>
        <v/>
      </c>
      <c r="CK30" s="518" t="str">
        <f>IF(AND(_AC6="A-321",'2023'!$D$4="CA",'2023'!$D$2=CK5),'2023DATA'!$D$27,"")</f>
        <v/>
      </c>
      <c r="CL30" s="518" t="str">
        <f>IF(AND(_AC6="A-321",'2023'!$D$4="CA",'2023'!$D$2=CL5),'2023DATA'!$E$27,"")</f>
        <v/>
      </c>
      <c r="CM30" s="518" t="str">
        <f>IF(AND(_AC6="A-321",'2023'!$D$4="CA",'2023'!$D$2=CM5),'2023DATA'!$F$27,"")</f>
        <v/>
      </c>
      <c r="CN30" s="518" t="str">
        <f>IF(AND(_AC6="A-321",'2023'!$D$4="CA",'2023'!$D$2=CN5),'2023DATA'!$G$27,"")</f>
        <v/>
      </c>
      <c r="CO30" s="518" t="str">
        <f>IF(AND(_AC6="A-321",'2023'!$D$4="CA",'2023'!$D$2=CO5),'2023DATA'!$H$27,"")</f>
        <v/>
      </c>
      <c r="CP30" s="518" t="str">
        <f>IF(AND(_AC6="A-321",'2023'!$D$4="CA",'2023'!$D$2=CP5),'2023DATA'!$I$27,"")</f>
        <v/>
      </c>
      <c r="CQ30" s="518" t="str">
        <f>IF(AND(_AC6="A-321",'2023'!$D$4="CA",'2023'!$D$2=CQ5),'2023DATA'!$J$27,"")</f>
        <v/>
      </c>
      <c r="CR30" s="518" t="str">
        <f>IF(AND(_AC6="A-321",'2023'!$D$4="CA",'2023'!$D$2=CR5),'2023DATA'!$K$27,"")</f>
        <v/>
      </c>
      <c r="CS30" s="518" t="str">
        <f>IF(AND(_AC6="A-321",'2023'!$D$4="CA",'2023'!$D$2=CS5),'2023DATA'!$L$27,"")</f>
        <v/>
      </c>
      <c r="CT30" s="518" t="str">
        <f>IF(AND(_AC6="A-321",'2023'!$D$4="CA",'2023'!$D$2=CT5),'2023DATA'!$M$27,"")</f>
        <v/>
      </c>
      <c r="CU30" s="520" t="str">
        <f>IF(AND(_AC6="A-321",'2023'!$D$4="CA",'2023'!$D$2=CU5),'2023DATA'!$N$27,"")</f>
        <v/>
      </c>
    </row>
    <row r="31" spans="1:99" x14ac:dyDescent="0.25">
      <c r="A31" s="946" t="s">
        <v>71</v>
      </c>
      <c r="B31" s="78" t="s">
        <v>61</v>
      </c>
      <c r="C31" s="25">
        <v>335.13</v>
      </c>
      <c r="D31" s="26">
        <v>332.67</v>
      </c>
      <c r="E31" s="26">
        <v>330.13</v>
      </c>
      <c r="F31" s="26">
        <v>327.64999999999998</v>
      </c>
      <c r="G31" s="26">
        <v>325.11</v>
      </c>
      <c r="H31" s="26">
        <v>322.58999999999997</v>
      </c>
      <c r="I31" s="26">
        <v>320.10000000000002</v>
      </c>
      <c r="J31" s="26">
        <v>317.60000000000002</v>
      </c>
      <c r="K31" s="26">
        <v>315.06</v>
      </c>
      <c r="L31" s="26">
        <v>312.52</v>
      </c>
      <c r="M31" s="26">
        <v>310.08999999999997</v>
      </c>
      <c r="N31" s="27">
        <v>307.69</v>
      </c>
      <c r="P31" s="940"/>
      <c r="Q31" s="13" t="s">
        <v>62</v>
      </c>
      <c r="R31" s="518" t="str">
        <f>IF(AND(_AC1="A-321",'2023'!$D$4="FO",'2023'!$D$2=R5),'2023DATA'!$C$28,"")</f>
        <v/>
      </c>
      <c r="S31" s="518" t="str">
        <f>IF(AND(_AC1="A-321",'2023'!$D$4="FO",'2023'!$D$2=S5),'2023DATA'!$D$28,"")</f>
        <v/>
      </c>
      <c r="T31" s="518" t="str">
        <f>IF(AND(_AC1="A-321",'2023'!$D$4="FO",'2023'!$D$2=T5),'2023DATA'!$E$28,"")</f>
        <v/>
      </c>
      <c r="U31" s="518" t="str">
        <f>IF(AND(_AC1="A-321",'2023'!$D$4="FO",'2023'!$D$2=U5),'2023DATA'!$F$28,"")</f>
        <v/>
      </c>
      <c r="V31" s="518" t="str">
        <f>IF(AND(_AC1="A-321",'2023'!$D$4="FO",'2023'!$D$2=V5),'2023DATA'!$G$28,"")</f>
        <v/>
      </c>
      <c r="W31" s="518" t="str">
        <f>IF(AND(_AC1="A-321",'2023'!$D$4="FO",'2023'!$D$2=W5),'2023DATA'!$H$28,"")</f>
        <v/>
      </c>
      <c r="X31" s="518" t="str">
        <f>IF(AND(_AC1="A-321",'2023'!$D$4="FO",'2023'!$D$2=X5),'2023DATA'!$I$28,"")</f>
        <v/>
      </c>
      <c r="Y31" s="518" t="str">
        <f>IF(AND(_AC1="A-321",'2023'!$D$4="FO",'2023'!$D$2=Y5),'2023DATA'!$J$28,"")</f>
        <v/>
      </c>
      <c r="Z31" s="518" t="str">
        <f>IF(AND(_AC1="A-321",'2023'!$D$4="FO",'2023'!$D$2=Z5),'2023DATA'!$K$28,"")</f>
        <v/>
      </c>
      <c r="AA31" s="518" t="str">
        <f>IF(AND(_AC1="A-321",'2023'!$D$4="FO",'2023'!$D$2=AA5),'2023DATA'!$L$28,"")</f>
        <v/>
      </c>
      <c r="AB31" s="518" t="str">
        <f>IF(AND(_AC1="A-321",'2023'!$D$4="FO",'2023'!$D$2=AB5),'2023DATA'!$M$28,"")</f>
        <v/>
      </c>
      <c r="AC31" s="520" t="str">
        <f>IF(AND(_AC1="A-321",'2023'!$D$4="FO",'2023'!$D$2=AC5),'2023DATA'!$N$28,"")</f>
        <v/>
      </c>
      <c r="AD31" s="940"/>
      <c r="AE31" s="13" t="s">
        <v>62</v>
      </c>
      <c r="AF31" s="518" t="str">
        <f>IF(AND(_AC2="A-321",'2023'!$D$4="FO",'2023'!$D$2=AF5),'2023DATA'!$C$28,"")</f>
        <v/>
      </c>
      <c r="AG31" s="518" t="str">
        <f>IF(AND(_AC2="A-321",'2023'!$D$4="FO",'2023'!$D$2=AG5),'2023DATA'!$D$28,"")</f>
        <v/>
      </c>
      <c r="AH31" s="518" t="str">
        <f>IF(AND(_AC2="A-321",'2023'!$D$4="FO",'2023'!$D$2=AH5),'2023DATA'!$E$28,"")</f>
        <v/>
      </c>
      <c r="AI31" s="518" t="str">
        <f>IF(AND(_AC2="A-321",'2023'!$D$4="FO",'2023'!$D$2=AI5),'2023DATA'!$F$28,"")</f>
        <v/>
      </c>
      <c r="AJ31" s="518" t="str">
        <f>IF(AND(_AC2="A-321",'2023'!$D$4="FO",'2023'!$D$2=AJ5),'2023DATA'!$G$28,"")</f>
        <v/>
      </c>
      <c r="AK31" s="518" t="str">
        <f>IF(AND(_AC2="A-321",'2023'!$D$4="FO",'2023'!$D$2=AK5),'2023DATA'!$H$28,"")</f>
        <v/>
      </c>
      <c r="AL31" s="518" t="str">
        <f>IF(AND(_AC2="A-321",'2023'!$D$4="FO",'2023'!$D$2=AL5),'2023DATA'!$I$28,"")</f>
        <v/>
      </c>
      <c r="AM31" s="518" t="str">
        <f>IF(AND(_AC2="A-321",'2023'!$D$4="FO",'2023'!$D$2=AM5),'2023DATA'!$J$28,"")</f>
        <v/>
      </c>
      <c r="AN31" s="518" t="str">
        <f>IF(AND(_AC2="A-321",'2023'!$D$4="FO",'2023'!$D$2=AN5),'2023DATA'!$K$28,"")</f>
        <v/>
      </c>
      <c r="AO31" s="518" t="str">
        <f>IF(AND(_AC2="A-321",'2023'!$D$4="FO",'2023'!$D$2=AO5),'2023DATA'!$L$28,"")</f>
        <v/>
      </c>
      <c r="AP31" s="518" t="str">
        <f>IF(AND(_AC2="A-321",'2023'!$D$4="FO",'2023'!$D$2=AP5),'2023DATA'!$M$28,"")</f>
        <v/>
      </c>
      <c r="AQ31" s="520" t="str">
        <f>IF(AND(_AC2="A-321",'2023'!$D$4="FO",'2023'!$D$2=AQ5),'2023DATA'!$N$28,"")</f>
        <v/>
      </c>
      <c r="AR31" s="940"/>
      <c r="AS31" s="13" t="s">
        <v>62</v>
      </c>
      <c r="AT31" s="518" t="str">
        <f>IF(AND(_AC3="A-321",'2023'!$D$4="FO",'2023'!$D$2=AT5),'2023DATA'!$C$28,"")</f>
        <v/>
      </c>
      <c r="AU31" s="518" t="str">
        <f>IF(AND(_AC3="A-321",'2023'!$D$4="FO",'2023'!$D$2=AU5),'2023DATA'!$D$28,"")</f>
        <v/>
      </c>
      <c r="AV31" s="518" t="str">
        <f>IF(AND(_AC3="A-321",'2023'!$D$4="FO",'2023'!$D$2=AV5),'2023DATA'!$E$28,"")</f>
        <v/>
      </c>
      <c r="AW31" s="518" t="str">
        <f>IF(AND(_AC3="A-321",'2023'!$D$4="FO",'2023'!$D$2=AW5),'2023DATA'!$F$28,"")</f>
        <v/>
      </c>
      <c r="AX31" s="518" t="str">
        <f>IF(AND(_AC3="A-321",'2023'!$D$4="FO",'2023'!$D$2=AX5),'2023DATA'!$G$28,"")</f>
        <v/>
      </c>
      <c r="AY31" s="518" t="str">
        <f>IF(AND(_AC3="A-321",'2023'!$D$4="FO",'2023'!$D$2=AY5),'2023DATA'!$H$28,"")</f>
        <v/>
      </c>
      <c r="AZ31" s="518" t="str">
        <f>IF(AND(_AC3="A-321",'2023'!$D$4="FO",'2023'!$D$2=AZ5),'2023DATA'!$I$28,"")</f>
        <v/>
      </c>
      <c r="BA31" s="518" t="str">
        <f>IF(AND(_AC3="A-321",'2023'!$D$4="FO",'2023'!$D$2=BA5),'2023DATA'!$J$28,"")</f>
        <v/>
      </c>
      <c r="BB31" s="518" t="str">
        <f>IF(AND(_AC3="A-321",'2023'!$D$4="FO",'2023'!$D$2=BB5),'2023DATA'!$K$28,"")</f>
        <v/>
      </c>
      <c r="BC31" s="518" t="str">
        <f>IF(AND(_AC3="A-321",'2023'!$D$4="FO",'2023'!$D$2=BC5),'2023DATA'!$L$28,"")</f>
        <v/>
      </c>
      <c r="BD31" s="518" t="str">
        <f>IF(AND(_AC3="A-321",'2023'!$D$4="FO",'2023'!$D$2=BD5),'2023DATA'!$M$28,"")</f>
        <v/>
      </c>
      <c r="BE31" s="520" t="str">
        <f>IF(AND(_AC3="A-321",'2023'!$D$4="FO",'2023'!$D$2=BE5),'2023DATA'!$N$28,"")</f>
        <v/>
      </c>
      <c r="BF31" s="940"/>
      <c r="BG31" s="13" t="s">
        <v>62</v>
      </c>
      <c r="BH31" s="518" t="str">
        <f>IF(AND(_AC4="A-321",'2023'!$D$4="FO",'2023'!$D$2=BH5),'2023DATA'!$C$28,"")</f>
        <v/>
      </c>
      <c r="BI31" s="518" t="str">
        <f>IF(AND(_AC4="A-321",'2023'!$D$4="FO",'2023'!$D$2=BI5),'2023DATA'!$D$28,"")</f>
        <v/>
      </c>
      <c r="BJ31" s="518" t="str">
        <f>IF(AND(_AC4="A-321",'2023'!$D$4="FO",'2023'!$D$2=BJ5),'2023DATA'!$E$28,"")</f>
        <v/>
      </c>
      <c r="BK31" s="518" t="str">
        <f>IF(AND(_AC4="A-321",'2023'!$D$4="FO",'2023'!$D$2=BK5),'2023DATA'!$F$28,"")</f>
        <v/>
      </c>
      <c r="BL31" s="518" t="str">
        <f>IF(AND(_AC4="A-321",'2023'!$D$4="FO",'2023'!$D$2=BL5),'2023DATA'!$G$28,"")</f>
        <v/>
      </c>
      <c r="BM31" s="518" t="str">
        <f>IF(AND(_AC4="A-321",'2023'!$D$4="FO",'2023'!$D$2=BM5),'2023DATA'!$H$28,"")</f>
        <v/>
      </c>
      <c r="BN31" s="518" t="str">
        <f>IF(AND(_AC4="A-321",'2023'!$D$4="FO",'2023'!$D$2=BN5),'2023DATA'!$I$28,"")</f>
        <v/>
      </c>
      <c r="BO31" s="518" t="str">
        <f>IF(AND(_AC4="A-321",'2023'!$D$4="FO",'2023'!$D$2=BO5),'2023DATA'!$J$28,"")</f>
        <v/>
      </c>
      <c r="BP31" s="518" t="str">
        <f>IF(AND(_AC4="A-321",'2023'!$D$4="FO",'2023'!$D$2=BP5),'2023DATA'!$K$28,"")</f>
        <v/>
      </c>
      <c r="BQ31" s="518" t="str">
        <f>IF(AND(_AC4="A-321",'2023'!$D$4="FO",'2023'!$D$2=BQ5),'2023DATA'!$L$28,"")</f>
        <v/>
      </c>
      <c r="BR31" s="518" t="str">
        <f>IF(AND(_AC4="A-321",'2023'!$D$4="FO",'2023'!$D$2=BR5),'2023DATA'!$M$28,"")</f>
        <v/>
      </c>
      <c r="BS31" s="520" t="str">
        <f>IF(AND(_AC4="A-321",'2023'!$D$4="FO",'2023'!$D$2=BS5),'2023DATA'!$N$28,"")</f>
        <v/>
      </c>
      <c r="BT31" s="940"/>
      <c r="BU31" s="13" t="s">
        <v>62</v>
      </c>
      <c r="BV31" s="518" t="str">
        <f>IF(AND(_AC5="A-321",'2023'!$D$4="FO",'2023'!$D$2=BV5),'2023DATA'!$C$28,"")</f>
        <v/>
      </c>
      <c r="BW31" s="518" t="str">
        <f>IF(AND(_AC5="A-321",'2023'!$D$4="FO",'2023'!$D$2=BW5),'2023DATA'!$D$28,"")</f>
        <v/>
      </c>
      <c r="BX31" s="518" t="str">
        <f>IF(AND(_AC5="A-321",'2023'!$D$4="FO",'2023'!$D$2=BX5),'2023DATA'!$E$28,"")</f>
        <v/>
      </c>
      <c r="BY31" s="518" t="str">
        <f>IF(AND(_AC5="A-321",'2023'!$D$4="FO",'2023'!$D$2=BY5),'2023DATA'!$F$28,"")</f>
        <v/>
      </c>
      <c r="BZ31" s="518" t="str">
        <f>IF(AND(_AC5="A-321",'2023'!$D$4="FO",'2023'!$D$2=BZ5),'2023DATA'!$G$28,"")</f>
        <v/>
      </c>
      <c r="CA31" s="518" t="str">
        <f>IF(AND(_AC5="A-321",'2023'!$D$4="FO",'2023'!$D$2=CA5),'2023DATA'!$H$28,"")</f>
        <v/>
      </c>
      <c r="CB31" s="518" t="str">
        <f>IF(AND(_AC5="A-321",'2023'!$D$4="FO",'2023'!$D$2=CB5),'2023DATA'!$I$28,"")</f>
        <v/>
      </c>
      <c r="CC31" s="518" t="str">
        <f>IF(AND(_AC5="A-321",'2023'!$D$4="FO",'2023'!$D$2=CC5),'2023DATA'!$J$28,"")</f>
        <v/>
      </c>
      <c r="CD31" s="518" t="str">
        <f>IF(AND(_AC5="A-321",'2023'!$D$4="FO",'2023'!$D$2=CD5),'2023DATA'!$K$28,"")</f>
        <v/>
      </c>
      <c r="CE31" s="518" t="str">
        <f>IF(AND(_AC5="A-321",'2023'!$D$4="FO",'2023'!$D$2=CE5),'2023DATA'!$L$28,"")</f>
        <v/>
      </c>
      <c r="CF31" s="518" t="str">
        <f>IF(AND(_AC5="A-321",'2023'!$D$4="FO",'2023'!$D$2=CF5),'2023DATA'!$M$28,"")</f>
        <v/>
      </c>
      <c r="CG31" s="520" t="str">
        <f>IF(AND(_AC5="A-321",'2023'!$D$4="FO",'2023'!$D$2=CG5),'2023DATA'!$N$28,"")</f>
        <v/>
      </c>
      <c r="CH31" s="940"/>
      <c r="CI31" s="13" t="s">
        <v>62</v>
      </c>
      <c r="CJ31" s="518" t="str">
        <f>IF(AND(_AC6="A-321",'2023'!$D$4="FO",'2023'!$D$2=CJ5),'2023DATA'!$C$28,"")</f>
        <v/>
      </c>
      <c r="CK31" s="518" t="str">
        <f>IF(AND(_AC6="A-321",'2023'!$D$4="FO",'2023'!$D$2=CK5),'2023DATA'!$D$28,"")</f>
        <v/>
      </c>
      <c r="CL31" s="518" t="str">
        <f>IF(AND(_AC6="A-321",'2023'!$D$4="FO",'2023'!$D$2=CL5),'2023DATA'!$E$28,"")</f>
        <v/>
      </c>
      <c r="CM31" s="518" t="str">
        <f>IF(AND(_AC6="A-321",'2023'!$D$4="FO",'2023'!$D$2=CM5),'2023DATA'!$F$28,"")</f>
        <v/>
      </c>
      <c r="CN31" s="518" t="str">
        <f>IF(AND(_AC6="A-321",'2023'!$D$4="FO",'2023'!$D$2=CN5),'2023DATA'!$G$28,"")</f>
        <v/>
      </c>
      <c r="CO31" s="518" t="str">
        <f>IF(AND(_AC6="A-321",'2023'!$D$4="FO",'2023'!$D$2=CO5),'2023DATA'!$H$28,"")</f>
        <v/>
      </c>
      <c r="CP31" s="518" t="str">
        <f>IF(AND(_AC6="A-321",'2023'!$D$4="FO",'2023'!$D$2=CP5),'2023DATA'!$I$28,"")</f>
        <v/>
      </c>
      <c r="CQ31" s="518" t="str">
        <f>IF(AND(_AC6="A-321",'2023'!$D$4="FO",'2023'!$D$2=CQ5),'2023DATA'!$J$28,"")</f>
        <v/>
      </c>
      <c r="CR31" s="518" t="str">
        <f>IF(AND(_AC6="A-321",'2023'!$D$4="FO",'2023'!$D$2=CR5),'2023DATA'!$K$28,"")</f>
        <v/>
      </c>
      <c r="CS31" s="518" t="str">
        <f>IF(AND(_AC6="A-321",'2023'!$D$4="FO",'2023'!$D$2=CS5),'2023DATA'!$L$28,"")</f>
        <v/>
      </c>
      <c r="CT31" s="518" t="str">
        <f>IF(AND(_AC6="A-321",'2023'!$D$4="FO",'2023'!$D$2=CT5),'2023DATA'!$M$28,"")</f>
        <v/>
      </c>
      <c r="CU31" s="520" t="str">
        <f>IF(AND(_AC6="A-321",'2023'!$D$4="FO",'2023'!$D$2=CU5),'2023DATA'!$N$28,"")</f>
        <v/>
      </c>
    </row>
    <row r="32" spans="1:99" x14ac:dyDescent="0.25">
      <c r="A32" s="946"/>
      <c r="B32" s="78" t="s">
        <v>62</v>
      </c>
      <c r="C32" s="25">
        <v>228.9</v>
      </c>
      <c r="D32" s="26">
        <v>226.87</v>
      </c>
      <c r="E32" s="26">
        <v>224.8</v>
      </c>
      <c r="F32" s="26">
        <v>221.8</v>
      </c>
      <c r="G32" s="26">
        <v>219.46</v>
      </c>
      <c r="H32" s="26">
        <v>214.5</v>
      </c>
      <c r="I32" s="26">
        <v>208.68</v>
      </c>
      <c r="J32" s="26">
        <v>203.59</v>
      </c>
      <c r="K32" s="26">
        <v>198.81</v>
      </c>
      <c r="L32" s="26">
        <v>194.09</v>
      </c>
      <c r="M32" s="26">
        <v>165.91</v>
      </c>
      <c r="N32" s="27">
        <v>108.34</v>
      </c>
      <c r="P32" s="940" t="s">
        <v>70</v>
      </c>
      <c r="Q32" s="13" t="s">
        <v>61</v>
      </c>
      <c r="R32" s="518" t="str">
        <f>IF(AND(_AC1="A-320",'2023'!$D$4="CA",'2023'!$D$2=R5),'2023DATA'!$C$29,"")</f>
        <v/>
      </c>
      <c r="S32" s="518" t="str">
        <f>IF(AND(_AC1="A-320",'2023'!$D$4="CA",'2023'!$D$2=S5),'2023DATA'!$D$29,"")</f>
        <v/>
      </c>
      <c r="T32" s="518" t="str">
        <f>IF(AND(_AC1="A-320",'2023'!$D$4="CA",'2023'!$D$2=T5),'2023DATA'!$E$29,"")</f>
        <v/>
      </c>
      <c r="U32" s="518" t="str">
        <f>IF(AND(_AC1="A-320",'2023'!$D$4="CA",'2023'!$D$2=U5),'2023DATA'!$F$29,"")</f>
        <v/>
      </c>
      <c r="V32" s="518" t="str">
        <f>IF(AND(_AC1="A-320",'2023'!$D$4="CA",'2023'!$D$2=V5),'2023DATA'!$G$29,"")</f>
        <v/>
      </c>
      <c r="W32" s="518" t="str">
        <f>IF(AND(_AC1="A-320",'2023'!$D$4="CA",'2023'!$D$2=W5),'2023DATA'!$H$29,"")</f>
        <v/>
      </c>
      <c r="X32" s="518" t="str">
        <f>IF(AND(_AC1="A-320",'2023'!$D$4="CA",'2023'!$D$2=X5),'2023DATA'!$I$29,"")</f>
        <v/>
      </c>
      <c r="Y32" s="518" t="str">
        <f>IF(AND(_AC1="A-320",'2023'!$D$4="CA",'2023'!$D$2=Y5),'2023DATA'!$J$29,"")</f>
        <v/>
      </c>
      <c r="Z32" s="518" t="str">
        <f>IF(AND(_AC1="A-320",'2023'!$D$4="CA",'2023'!$D$2=Z5),'2023DATA'!$K$29,"")</f>
        <v/>
      </c>
      <c r="AA32" s="518" t="str">
        <f>IF(AND(_AC1="A-320",'2023'!$D$4="CA",'2023'!$D$2=AA5),'2023DATA'!$L$29,"")</f>
        <v/>
      </c>
      <c r="AB32" s="518" t="str">
        <f>IF(AND(_AC1="A-320",'2023'!$D$4="CA",'2023'!$D$2=AB5),'2023DATA'!$M$29,"")</f>
        <v/>
      </c>
      <c r="AC32" s="520" t="str">
        <f>IF(AND(_AC1="A-320",'2023'!$D$4="CA",'2023'!$D$2=AC5),'2023DATA'!$N$29,"")</f>
        <v/>
      </c>
      <c r="AD32" s="940" t="s">
        <v>70</v>
      </c>
      <c r="AE32" s="13" t="s">
        <v>61</v>
      </c>
      <c r="AF32" s="518" t="str">
        <f>IF(AND(_AC2="A-320",'2023'!$D$4="CA",'2023'!$D$2=AF5),'2023DATA'!$C$29,"")</f>
        <v/>
      </c>
      <c r="AG32" s="518" t="str">
        <f>IF(AND(_AC2="A-320",'2023'!$D$4="CA",'2023'!$D$2=AG5),'2023DATA'!$D$29,"")</f>
        <v/>
      </c>
      <c r="AH32" s="518" t="str">
        <f>IF(AND(_AC2="A-320",'2023'!$D$4="CA",'2023'!$D$2=AH5),'2023DATA'!$E$29,"")</f>
        <v/>
      </c>
      <c r="AI32" s="518" t="str">
        <f>IF(AND(_AC2="A-320",'2023'!$D$4="CA",'2023'!$D$2=AI5),'2023DATA'!$F$29,"")</f>
        <v/>
      </c>
      <c r="AJ32" s="518" t="str">
        <f>IF(AND(_AC2="A-320",'2023'!$D$4="CA",'2023'!$D$2=AJ5),'2023DATA'!$G$29,"")</f>
        <v/>
      </c>
      <c r="AK32" s="518" t="str">
        <f>IF(AND(_AC2="A-320",'2023'!$D$4="CA",'2023'!$D$2=AK5),'2023DATA'!$H$29,"")</f>
        <v/>
      </c>
      <c r="AL32" s="518" t="str">
        <f>IF(AND(_AC2="A-320",'2023'!$D$4="CA",'2023'!$D$2=AL5),'2023DATA'!$I$29,"")</f>
        <v/>
      </c>
      <c r="AM32" s="518" t="str">
        <f>IF(AND(_AC2="A-320",'2023'!$D$4="CA",'2023'!$D$2=AM5),'2023DATA'!$J$29,"")</f>
        <v/>
      </c>
      <c r="AN32" s="518" t="str">
        <f>IF(AND(_AC2="A-320",'2023'!$D$4="CA",'2023'!$D$2=AN5),'2023DATA'!$K$29,"")</f>
        <v/>
      </c>
      <c r="AO32" s="518" t="str">
        <f>IF(AND(_AC2="A-320",'2023'!$D$4="CA",'2023'!$D$2=AO5),'2023DATA'!$L$29,"")</f>
        <v/>
      </c>
      <c r="AP32" s="518" t="str">
        <f>IF(AND(_AC2="A-320",'2023'!$D$4="CA",'2023'!$D$2=AP5),'2023DATA'!$M$29,"")</f>
        <v/>
      </c>
      <c r="AQ32" s="520" t="str">
        <f>IF(AND(_AC2="A-320",'2023'!$D$4="CA",'2023'!$D$2=AQ5),'2023DATA'!$N$29,"")</f>
        <v/>
      </c>
      <c r="AR32" s="940" t="s">
        <v>70</v>
      </c>
      <c r="AS32" s="13" t="s">
        <v>61</v>
      </c>
      <c r="AT32" s="518" t="str">
        <f>IF(AND(_AC3="A-320",'2023'!$D$4="CA",'2023'!$D$2=AT5),'2023DATA'!$C$29,"")</f>
        <v/>
      </c>
      <c r="AU32" s="518" t="str">
        <f>IF(AND(_AC3="A-320",'2023'!$D$4="CA",'2023'!$D$2=AU5),'2023DATA'!$D$29,"")</f>
        <v/>
      </c>
      <c r="AV32" s="518" t="str">
        <f>IF(AND(_AC3="A-320",'2023'!$D$4="CA",'2023'!$D$2=AV5),'2023DATA'!$E$29,"")</f>
        <v/>
      </c>
      <c r="AW32" s="518" t="str">
        <f>IF(AND(_AC3="A-320",'2023'!$D$4="CA",'2023'!$D$2=AW5),'2023DATA'!$F$29,"")</f>
        <v/>
      </c>
      <c r="AX32" s="518" t="str">
        <f>IF(AND(_AC3="A-320",'2023'!$D$4="CA",'2023'!$D$2=AX5),'2023DATA'!$G$29,"")</f>
        <v/>
      </c>
      <c r="AY32" s="518" t="str">
        <f>IF(AND(_AC3="A-320",'2023'!$D$4="CA",'2023'!$D$2=AY5),'2023DATA'!$H$29,"")</f>
        <v/>
      </c>
      <c r="AZ32" s="518" t="str">
        <f>IF(AND(_AC3="A-320",'2023'!$D$4="CA",'2023'!$D$2=AZ5),'2023DATA'!$I$29,"")</f>
        <v/>
      </c>
      <c r="BA32" s="518" t="str">
        <f>IF(AND(_AC3="A-320",'2023'!$D$4="CA",'2023'!$D$2=BA5),'2023DATA'!$J$29,"")</f>
        <v/>
      </c>
      <c r="BB32" s="518" t="str">
        <f>IF(AND(_AC3="A-320",'2023'!$D$4="CA",'2023'!$D$2=BB5),'2023DATA'!$K$29,"")</f>
        <v/>
      </c>
      <c r="BC32" s="518" t="str">
        <f>IF(AND(_AC3="A-320",'2023'!$D$4="CA",'2023'!$D$2=BC5),'2023DATA'!$L$29,"")</f>
        <v/>
      </c>
      <c r="BD32" s="518" t="str">
        <f>IF(AND(_AC3="A-320",'2023'!$D$4="CA",'2023'!$D$2=BD5),'2023DATA'!$M$29,"")</f>
        <v/>
      </c>
      <c r="BE32" s="520" t="str">
        <f>IF(AND(_AC3="A-320",'2023'!$D$4="CA",'2023'!$D$2=BE5),'2023DATA'!$N$29,"")</f>
        <v/>
      </c>
      <c r="BF32" s="940" t="s">
        <v>70</v>
      </c>
      <c r="BG32" s="13" t="s">
        <v>61</v>
      </c>
      <c r="BH32" s="518" t="str">
        <f>IF(AND(_AC4="A-320",'2023'!$D$4="CA",'2023'!$D$2=BH5),'2023DATA'!$C$29,"")</f>
        <v/>
      </c>
      <c r="BI32" s="518" t="str">
        <f>IF(AND(_AC4="A-320",'2023'!$D$4="CA",'2023'!$D$2=BI5),'2023DATA'!$D$29,"")</f>
        <v/>
      </c>
      <c r="BJ32" s="518" t="str">
        <f>IF(AND(_AC4="A-320",'2023'!$D$4="CA",'2023'!$D$2=BJ5),'2023DATA'!$E$29,"")</f>
        <v/>
      </c>
      <c r="BK32" s="518" t="str">
        <f>IF(AND(_AC4="A-320",'2023'!$D$4="CA",'2023'!$D$2=BK5),'2023DATA'!$F$29,"")</f>
        <v/>
      </c>
      <c r="BL32" s="518" t="str">
        <f>IF(AND(_AC4="A-320",'2023'!$D$4="CA",'2023'!$D$2=BL5),'2023DATA'!$G$29,"")</f>
        <v/>
      </c>
      <c r="BM32" s="518" t="str">
        <f>IF(AND(_AC4="A-320",'2023'!$D$4="CA",'2023'!$D$2=BM5),'2023DATA'!$H$29,"")</f>
        <v/>
      </c>
      <c r="BN32" s="518" t="str">
        <f>IF(AND(_AC4="A-320",'2023'!$D$4="CA",'2023'!$D$2=BN5),'2023DATA'!$I$29,"")</f>
        <v/>
      </c>
      <c r="BO32" s="518" t="str">
        <f>IF(AND(_AC4="A-320",'2023'!$D$4="CA",'2023'!$D$2=BO5),'2023DATA'!$J$29,"")</f>
        <v/>
      </c>
      <c r="BP32" s="518" t="str">
        <f>IF(AND(_AC4="A-320",'2023'!$D$4="CA",'2023'!$D$2=BP5),'2023DATA'!$K$29,"")</f>
        <v/>
      </c>
      <c r="BQ32" s="518" t="str">
        <f>IF(AND(_AC4="A-320",'2023'!$D$4="CA",'2023'!$D$2=BQ5),'2023DATA'!$L$29,"")</f>
        <v/>
      </c>
      <c r="BR32" s="518" t="str">
        <f>IF(AND(_AC4="A-320",'2023'!$D$4="CA",'2023'!$D$2=BR5),'2023DATA'!$M$29,"")</f>
        <v/>
      </c>
      <c r="BS32" s="520" t="str">
        <f>IF(AND(_AC4="A-320",'2023'!$D$4="CA",'2023'!$D$2=BS5),'2023DATA'!$N$29,"")</f>
        <v/>
      </c>
      <c r="BT32" s="940" t="s">
        <v>70</v>
      </c>
      <c r="BU32" s="13" t="s">
        <v>61</v>
      </c>
      <c r="BV32" s="518" t="str">
        <f>IF(AND(_AC5="A-320",'2023'!$D$4="CA",'2023'!$D$2=BV5),'2023DATA'!$C$29,"")</f>
        <v/>
      </c>
      <c r="BW32" s="518" t="str">
        <f>IF(AND(_AC5="A-320",'2023'!$D$4="CA",'2023'!$D$2=BW5),'2023DATA'!$D$29,"")</f>
        <v/>
      </c>
      <c r="BX32" s="518" t="str">
        <f>IF(AND(_AC5="A-320",'2023'!$D$4="CA",'2023'!$D$2=BX5),'2023DATA'!$E$29,"")</f>
        <v/>
      </c>
      <c r="BY32" s="518" t="str">
        <f>IF(AND(_AC5="A-320",'2023'!$D$4="CA",'2023'!$D$2=BY5),'2023DATA'!$F$29,"")</f>
        <v/>
      </c>
      <c r="BZ32" s="518" t="str">
        <f>IF(AND(_AC5="A-320",'2023'!$D$4="CA",'2023'!$D$2=BZ5),'2023DATA'!$G$29,"")</f>
        <v/>
      </c>
      <c r="CA32" s="518" t="str">
        <f>IF(AND(_AC5="A-320",'2023'!$D$4="CA",'2023'!$D$2=CA5),'2023DATA'!$H$29,"")</f>
        <v/>
      </c>
      <c r="CB32" s="518" t="str">
        <f>IF(AND(_AC5="A-320",'2023'!$D$4="CA",'2023'!$D$2=CB5),'2023DATA'!$I$29,"")</f>
        <v/>
      </c>
      <c r="CC32" s="518" t="str">
        <f>IF(AND(_AC5="A-320",'2023'!$D$4="CA",'2023'!$D$2=CC5),'2023DATA'!$J$29,"")</f>
        <v/>
      </c>
      <c r="CD32" s="518" t="str">
        <f>IF(AND(_AC5="A-320",'2023'!$D$4="CA",'2023'!$D$2=CD5),'2023DATA'!$K$29,"")</f>
        <v/>
      </c>
      <c r="CE32" s="518" t="str">
        <f>IF(AND(_AC5="A-320",'2023'!$D$4="CA",'2023'!$D$2=CE5),'2023DATA'!$L$29,"")</f>
        <v/>
      </c>
      <c r="CF32" s="518" t="str">
        <f>IF(AND(_AC5="A-320",'2023'!$D$4="CA",'2023'!$D$2=CF5),'2023DATA'!$M$29,"")</f>
        <v/>
      </c>
      <c r="CG32" s="520" t="str">
        <f>IF(AND(_AC5="A-320",'2023'!$D$4="CA",'2023'!$D$2=CG5),'2023DATA'!$N$29,"")</f>
        <v/>
      </c>
      <c r="CH32" s="940" t="s">
        <v>70</v>
      </c>
      <c r="CI32" s="13" t="s">
        <v>61</v>
      </c>
      <c r="CJ32" s="518" t="str">
        <f>IF(AND(_AC6="A-320",'2023'!$D$4="CA",'2023'!$D$2=CJ5),'2023DATA'!$C$29,"")</f>
        <v/>
      </c>
      <c r="CK32" s="518" t="str">
        <f>IF(AND(_AC6="A-320",'2023'!$D$4="CA",'2023'!$D$2=CK5),'2023DATA'!$D$29,"")</f>
        <v/>
      </c>
      <c r="CL32" s="518" t="str">
        <f>IF(AND(_AC6="A-320",'2023'!$D$4="CA",'2023'!$D$2=CL5),'2023DATA'!$E$29,"")</f>
        <v/>
      </c>
      <c r="CM32" s="518" t="str">
        <f>IF(AND(_AC6="A-320",'2023'!$D$4="CA",'2023'!$D$2=CM5),'2023DATA'!$F$29,"")</f>
        <v/>
      </c>
      <c r="CN32" s="518" t="str">
        <f>IF(AND(_AC6="A-320",'2023'!$D$4="CA",'2023'!$D$2=CN5),'2023DATA'!$G$29,"")</f>
        <v/>
      </c>
      <c r="CO32" s="518" t="str">
        <f>IF(AND(_AC6="A-320",'2023'!$D$4="CA",'2023'!$D$2=CO5),'2023DATA'!$H$29,"")</f>
        <v/>
      </c>
      <c r="CP32" s="518" t="str">
        <f>IF(AND(_AC6="A-320",'2023'!$D$4="CA",'2023'!$D$2=CP5),'2023DATA'!$I$29,"")</f>
        <v/>
      </c>
      <c r="CQ32" s="518" t="str">
        <f>IF(AND(_AC6="A-320",'2023'!$D$4="CA",'2023'!$D$2=CQ5),'2023DATA'!$J$29,"")</f>
        <v/>
      </c>
      <c r="CR32" s="518" t="str">
        <f>IF(AND(_AC6="A-320",'2023'!$D$4="CA",'2023'!$D$2=CR5),'2023DATA'!$K$29,"")</f>
        <v/>
      </c>
      <c r="CS32" s="518" t="str">
        <f>IF(AND(_AC6="A-320",'2023'!$D$4="CA",'2023'!$D$2=CS5),'2023DATA'!$L$29,"")</f>
        <v/>
      </c>
      <c r="CT32" s="518" t="str">
        <f>IF(AND(_AC6="A-320",'2023'!$D$4="CA",'2023'!$D$2=CT5),'2023DATA'!$M$29,"")</f>
        <v/>
      </c>
      <c r="CU32" s="520" t="str">
        <f>IF(AND(_AC6="A-320",'2023'!$D$4="CA",'2023'!$D$2=CU5),'2023DATA'!$N$29,"")</f>
        <v/>
      </c>
    </row>
    <row r="33" spans="1:99" x14ac:dyDescent="0.25">
      <c r="A33" s="946" t="s">
        <v>51</v>
      </c>
      <c r="B33" s="78" t="s">
        <v>61</v>
      </c>
      <c r="C33" s="25">
        <v>323.39</v>
      </c>
      <c r="D33" s="26">
        <v>320.94</v>
      </c>
      <c r="E33" s="26">
        <v>318.47000000000003</v>
      </c>
      <c r="F33" s="26">
        <v>316.02</v>
      </c>
      <c r="G33" s="26">
        <v>313.60000000000002</v>
      </c>
      <c r="H33" s="26">
        <v>311.17</v>
      </c>
      <c r="I33" s="26">
        <v>308.74</v>
      </c>
      <c r="J33" s="26">
        <v>306.27</v>
      </c>
      <c r="K33" s="26">
        <v>303.81</v>
      </c>
      <c r="L33" s="26">
        <v>301.37</v>
      </c>
      <c r="M33" s="26">
        <v>298.95999999999998</v>
      </c>
      <c r="N33" s="27">
        <v>296.51</v>
      </c>
      <c r="P33" s="940"/>
      <c r="Q33" s="13" t="s">
        <v>62</v>
      </c>
      <c r="R33" s="518" t="str">
        <f>IF(AND(_AC1="A-320",'2023'!$D$4="FO",'2023'!$D$2=R5),'2023DATA'!$C$30,"")</f>
        <v/>
      </c>
      <c r="S33" s="518" t="str">
        <f>IF(AND(_AC1="A-320",'2023'!$D$4="FO",'2023'!$D$2=S5),'2023DATA'!$D$30,"")</f>
        <v/>
      </c>
      <c r="T33" s="518" t="str">
        <f>IF(AND(_AC1="A-320",'2023'!$D$4="FO",'2023'!$D$2=T5),'2023DATA'!$E$30,"")</f>
        <v/>
      </c>
      <c r="U33" s="518" t="str">
        <f>IF(AND(_AC1="A-320",'2023'!$D$4="FO",'2023'!$D$2=U5),'2023DATA'!$F$30,"")</f>
        <v/>
      </c>
      <c r="V33" s="518" t="str">
        <f>IF(AND(_AC1="A-320",'2023'!$D$4="FO",'2023'!$D$2=V5),'2023DATA'!$G$30,"")</f>
        <v/>
      </c>
      <c r="W33" s="518" t="str">
        <f>IF(AND(_AC1="A-320",'2023'!$D$4="FO",'2023'!$D$2=W5),'2023DATA'!$H$30,"")</f>
        <v/>
      </c>
      <c r="X33" s="518" t="str">
        <f>IF(AND(_AC1="A-320",'2023'!$D$4="FO",'2023'!$D$2=X5),'2023DATA'!$I$30,"")</f>
        <v/>
      </c>
      <c r="Y33" s="518" t="str">
        <f>IF(AND(_AC1="A-320",'2023'!$D$4="FO",'2023'!$D$2=Y5),'2023DATA'!$J$30,"")</f>
        <v/>
      </c>
      <c r="Z33" s="518" t="str">
        <f>IF(AND(_AC1="A-320",'2023'!$D$4="FO",'2023'!$D$2=Z5),'2023DATA'!$K$30,"")</f>
        <v/>
      </c>
      <c r="AA33" s="518" t="str">
        <f>IF(AND(_AC1="A-320",'2023'!$D$4="FO",'2023'!$D$2=AA5),'2023DATA'!$L$30,"")</f>
        <v/>
      </c>
      <c r="AB33" s="518" t="str">
        <f>IF(AND(_AC1="A-320",'2023'!$D$4="FO",'2023'!$D$2=AB5),'2023DATA'!$M$30,"")</f>
        <v/>
      </c>
      <c r="AC33" s="520" t="str">
        <f>IF(AND(_AC1="A-320",'2023'!$D$4="FO",'2023'!$D$2=AC5),'2023DATA'!$N$30,"")</f>
        <v/>
      </c>
      <c r="AD33" s="940"/>
      <c r="AE33" s="13" t="s">
        <v>62</v>
      </c>
      <c r="AF33" s="518" t="str">
        <f>IF(AND(_AC2="A-320",'2023'!$D$4="FO",'2023'!$D$2=AF5),'2023DATA'!$C$30,"")</f>
        <v/>
      </c>
      <c r="AG33" s="518" t="str">
        <f>IF(AND(_AC2="A-320",'2023'!$D$4="FO",'2023'!$D$2=AG5),'2023DATA'!$D$30,"")</f>
        <v/>
      </c>
      <c r="AH33" s="518" t="str">
        <f>IF(AND(_AC2="A-320",'2023'!$D$4="FO",'2023'!$D$2=AH5),'2023DATA'!$E$30,"")</f>
        <v/>
      </c>
      <c r="AI33" s="518" t="str">
        <f>IF(AND(_AC2="A-320",'2023'!$D$4="FO",'2023'!$D$2=AI5),'2023DATA'!$F$30,"")</f>
        <v/>
      </c>
      <c r="AJ33" s="518" t="str">
        <f>IF(AND(_AC2="A-320",'2023'!$D$4="FO",'2023'!$D$2=AJ5),'2023DATA'!$G$30,"")</f>
        <v/>
      </c>
      <c r="AK33" s="518" t="str">
        <f>IF(AND(_AC2="A-320",'2023'!$D$4="FO",'2023'!$D$2=AK5),'2023DATA'!$H$30,"")</f>
        <v/>
      </c>
      <c r="AL33" s="518" t="str">
        <f>IF(AND(_AC2="A-320",'2023'!$D$4="FO",'2023'!$D$2=AL5),'2023DATA'!$I$30,"")</f>
        <v/>
      </c>
      <c r="AM33" s="518" t="str">
        <f>IF(AND(_AC2="A-320",'2023'!$D$4="FO",'2023'!$D$2=AM5),'2023DATA'!$J$30,"")</f>
        <v/>
      </c>
      <c r="AN33" s="518" t="str">
        <f>IF(AND(_AC2="A-320",'2023'!$D$4="FO",'2023'!$D$2=AN5),'2023DATA'!$K$30,"")</f>
        <v/>
      </c>
      <c r="AO33" s="518" t="str">
        <f>IF(AND(_AC2="A-320",'2023'!$D$4="FO",'2023'!$D$2=AO5),'2023DATA'!$L$30,"")</f>
        <v/>
      </c>
      <c r="AP33" s="518" t="str">
        <f>IF(AND(_AC2="A-320",'2023'!$D$4="FO",'2023'!$D$2=AP5),'2023DATA'!$M$30,"")</f>
        <v/>
      </c>
      <c r="AQ33" s="520" t="str">
        <f>IF(AND(_AC2="A-320",'2023'!$D$4="FO",'2023'!$D$2=AQ5),'2023DATA'!$N$30,"")</f>
        <v/>
      </c>
      <c r="AR33" s="940"/>
      <c r="AS33" s="13" t="s">
        <v>62</v>
      </c>
      <c r="AT33" s="518" t="str">
        <f>IF(AND(_AC3="A-320",'2023'!$D$4="FO",'2023'!$D$2=AT5),'2023DATA'!$C$30,"")</f>
        <v/>
      </c>
      <c r="AU33" s="518" t="str">
        <f>IF(AND(_AC3="A-320",'2023'!$D$4="FO",'2023'!$D$2=AU5),'2023DATA'!$D$30,"")</f>
        <v/>
      </c>
      <c r="AV33" s="518" t="str">
        <f>IF(AND(_AC3="A-320",'2023'!$D$4="FO",'2023'!$D$2=AV5),'2023DATA'!$E$30,"")</f>
        <v/>
      </c>
      <c r="AW33" s="518" t="str">
        <f>IF(AND(_AC3="A-320",'2023'!$D$4="FO",'2023'!$D$2=AW5),'2023DATA'!$F$30,"")</f>
        <v/>
      </c>
      <c r="AX33" s="518" t="str">
        <f>IF(AND(_AC3="A-320",'2023'!$D$4="FO",'2023'!$D$2=AX5),'2023DATA'!$G$30,"")</f>
        <v/>
      </c>
      <c r="AY33" s="518" t="str">
        <f>IF(AND(_AC3="A-320",'2023'!$D$4="FO",'2023'!$D$2=AY5),'2023DATA'!$H$30,"")</f>
        <v/>
      </c>
      <c r="AZ33" s="518" t="str">
        <f>IF(AND(_AC3="A-320",'2023'!$D$4="FO",'2023'!$D$2=AZ5),'2023DATA'!$I$30,"")</f>
        <v/>
      </c>
      <c r="BA33" s="518" t="str">
        <f>IF(AND(_AC3="A-320",'2023'!$D$4="FO",'2023'!$D$2=BA5),'2023DATA'!$J$30,"")</f>
        <v/>
      </c>
      <c r="BB33" s="518" t="str">
        <f>IF(AND(_AC3="A-320",'2023'!$D$4="FO",'2023'!$D$2=BB5),'2023DATA'!$K$30,"")</f>
        <v/>
      </c>
      <c r="BC33" s="518" t="str">
        <f>IF(AND(_AC3="A-320",'2023'!$D$4="FO",'2023'!$D$2=BC5),'2023DATA'!$L$30,"")</f>
        <v/>
      </c>
      <c r="BD33" s="518" t="str">
        <f>IF(AND(_AC3="A-320",'2023'!$D$4="FO",'2023'!$D$2=BD5),'2023DATA'!$M$30,"")</f>
        <v/>
      </c>
      <c r="BE33" s="520" t="str">
        <f>IF(AND(_AC3="A-320",'2023'!$D$4="FO",'2023'!$D$2=BE5),'2023DATA'!$N$30,"")</f>
        <v/>
      </c>
      <c r="BF33" s="940"/>
      <c r="BG33" s="13" t="s">
        <v>62</v>
      </c>
      <c r="BH33" s="518" t="str">
        <f>IF(AND(_AC4="A-320",'2023'!$D$4="FO",'2023'!$D$2=BH5),'2023DATA'!$C$30,"")</f>
        <v/>
      </c>
      <c r="BI33" s="518" t="str">
        <f>IF(AND(_AC4="A-320",'2023'!$D$4="FO",'2023'!$D$2=BI5),'2023DATA'!$D$30,"")</f>
        <v/>
      </c>
      <c r="BJ33" s="518" t="str">
        <f>IF(AND(_AC4="A-320",'2023'!$D$4="FO",'2023'!$D$2=BJ5),'2023DATA'!$E$30,"")</f>
        <v/>
      </c>
      <c r="BK33" s="518" t="str">
        <f>IF(AND(_AC4="A-320",'2023'!$D$4="FO",'2023'!$D$2=BK5),'2023DATA'!$F$30,"")</f>
        <v/>
      </c>
      <c r="BL33" s="518" t="str">
        <f>IF(AND(_AC4="A-320",'2023'!$D$4="FO",'2023'!$D$2=BL5),'2023DATA'!$G$30,"")</f>
        <v/>
      </c>
      <c r="BM33" s="518" t="str">
        <f>IF(AND(_AC4="A-320",'2023'!$D$4="FO",'2023'!$D$2=BM5),'2023DATA'!$H$30,"")</f>
        <v/>
      </c>
      <c r="BN33" s="518" t="str">
        <f>IF(AND(_AC4="A-320",'2023'!$D$4="FO",'2023'!$D$2=BN5),'2023DATA'!$I$30,"")</f>
        <v/>
      </c>
      <c r="BO33" s="518" t="str">
        <f>IF(AND(_AC4="A-320",'2023'!$D$4="FO",'2023'!$D$2=BO5),'2023DATA'!$J$30,"")</f>
        <v/>
      </c>
      <c r="BP33" s="518" t="str">
        <f>IF(AND(_AC4="A-320",'2023'!$D$4="FO",'2023'!$D$2=BP5),'2023DATA'!$K$30,"")</f>
        <v/>
      </c>
      <c r="BQ33" s="518" t="str">
        <f>IF(AND(_AC4="A-320",'2023'!$D$4="FO",'2023'!$D$2=BQ5),'2023DATA'!$L$30,"")</f>
        <v/>
      </c>
      <c r="BR33" s="518" t="str">
        <f>IF(AND(_AC4="A-320",'2023'!$D$4="FO",'2023'!$D$2=BR5),'2023DATA'!$M$30,"")</f>
        <v/>
      </c>
      <c r="BS33" s="520" t="str">
        <f>IF(AND(_AC4="A-320",'2023'!$D$4="FO",'2023'!$D$2=BS5),'2023DATA'!$N$30,"")</f>
        <v/>
      </c>
      <c r="BT33" s="940"/>
      <c r="BU33" s="13" t="s">
        <v>62</v>
      </c>
      <c r="BV33" s="518" t="str">
        <f>IF(AND(_AC5="A-320",'2023'!$D$4="FO",'2023'!$D$2=BV5),'2023DATA'!$C$30,"")</f>
        <v/>
      </c>
      <c r="BW33" s="518" t="str">
        <f>IF(AND(_AC5="A-320",'2023'!$D$4="FO",'2023'!$D$2=BW5),'2023DATA'!$D$30,"")</f>
        <v/>
      </c>
      <c r="BX33" s="518" t="str">
        <f>IF(AND(_AC5="A-320",'2023'!$D$4="FO",'2023'!$D$2=BX5),'2023DATA'!$E$30,"")</f>
        <v/>
      </c>
      <c r="BY33" s="518" t="str">
        <f>IF(AND(_AC5="A-320",'2023'!$D$4="FO",'2023'!$D$2=BY5),'2023DATA'!$F$30,"")</f>
        <v/>
      </c>
      <c r="BZ33" s="518" t="str">
        <f>IF(AND(_AC5="A-320",'2023'!$D$4="FO",'2023'!$D$2=BZ5),'2023DATA'!$G$30,"")</f>
        <v/>
      </c>
      <c r="CA33" s="518" t="str">
        <f>IF(AND(_AC5="A-320",'2023'!$D$4="FO",'2023'!$D$2=CA5),'2023DATA'!$H$30,"")</f>
        <v/>
      </c>
      <c r="CB33" s="518" t="str">
        <f>IF(AND(_AC5="A-320",'2023'!$D$4="FO",'2023'!$D$2=CB5),'2023DATA'!$I$30,"")</f>
        <v/>
      </c>
      <c r="CC33" s="518" t="str">
        <f>IF(AND(_AC5="A-320",'2023'!$D$4="FO",'2023'!$D$2=CC5),'2023DATA'!$J$30,"")</f>
        <v/>
      </c>
      <c r="CD33" s="518" t="str">
        <f>IF(AND(_AC5="A-320",'2023'!$D$4="FO",'2023'!$D$2=CD5),'2023DATA'!$K$30,"")</f>
        <v/>
      </c>
      <c r="CE33" s="518" t="str">
        <f>IF(AND(_AC5="A-320",'2023'!$D$4="FO",'2023'!$D$2=CE5),'2023DATA'!$L$30,"")</f>
        <v/>
      </c>
      <c r="CF33" s="518" t="str">
        <f>IF(AND(_AC5="A-320",'2023'!$D$4="FO",'2023'!$D$2=CF5),'2023DATA'!$M$30,"")</f>
        <v/>
      </c>
      <c r="CG33" s="520" t="str">
        <f>IF(AND(_AC5="A-320",'2023'!$D$4="FO",'2023'!$D$2=CG5),'2023DATA'!$N$30,"")</f>
        <v/>
      </c>
      <c r="CH33" s="940"/>
      <c r="CI33" s="13" t="s">
        <v>62</v>
      </c>
      <c r="CJ33" s="518" t="str">
        <f>IF(AND(_AC6="A-320",'2023'!$D$4="FO",'2023'!$D$2=CJ5),'2023DATA'!$C$30,"")</f>
        <v/>
      </c>
      <c r="CK33" s="518" t="str">
        <f>IF(AND(_AC6="A-320",'2023'!$D$4="FO",'2023'!$D$2=CK5),'2023DATA'!$D$30,"")</f>
        <v/>
      </c>
      <c r="CL33" s="518" t="str">
        <f>IF(AND(_AC6="A-320",'2023'!$D$4="FO",'2023'!$D$2=CL5),'2023DATA'!$E$30,"")</f>
        <v/>
      </c>
      <c r="CM33" s="518" t="str">
        <f>IF(AND(_AC6="A-320",'2023'!$D$4="FO",'2023'!$D$2=CM5),'2023DATA'!$F$30,"")</f>
        <v/>
      </c>
      <c r="CN33" s="518" t="str">
        <f>IF(AND(_AC6="A-320",'2023'!$D$4="FO",'2023'!$D$2=CN5),'2023DATA'!$G$30,"")</f>
        <v/>
      </c>
      <c r="CO33" s="518" t="str">
        <f>IF(AND(_AC6="A-320",'2023'!$D$4="FO",'2023'!$D$2=CO5),'2023DATA'!$H$30,"")</f>
        <v/>
      </c>
      <c r="CP33" s="518" t="str">
        <f>IF(AND(_AC6="A-320",'2023'!$D$4="FO",'2023'!$D$2=CP5),'2023DATA'!$I$30,"")</f>
        <v/>
      </c>
      <c r="CQ33" s="518" t="str">
        <f>IF(AND(_AC6="A-320",'2023'!$D$4="FO",'2023'!$D$2=CQ5),'2023DATA'!$J$30,"")</f>
        <v/>
      </c>
      <c r="CR33" s="518" t="str">
        <f>IF(AND(_AC6="A-320",'2023'!$D$4="FO",'2023'!$D$2=CR5),'2023DATA'!$K$30,"")</f>
        <v/>
      </c>
      <c r="CS33" s="518" t="str">
        <f>IF(AND(_AC6="A-320",'2023'!$D$4="FO",'2023'!$D$2=CS5),'2023DATA'!$L$30,"")</f>
        <v/>
      </c>
      <c r="CT33" s="518" t="str">
        <f>IF(AND(_AC6="A-320",'2023'!$D$4="FO",'2023'!$D$2=CT5),'2023DATA'!$M$30,"")</f>
        <v/>
      </c>
      <c r="CU33" s="520" t="str">
        <f>IF(AND(_AC6="A-320",'2023'!$D$4="FO",'2023'!$D$2=CU5),'2023DATA'!$N$30,"")</f>
        <v/>
      </c>
    </row>
    <row r="34" spans="1:99" x14ac:dyDescent="0.25">
      <c r="A34" s="946"/>
      <c r="B34" s="78" t="s">
        <v>62</v>
      </c>
      <c r="C34" s="25">
        <v>220.88</v>
      </c>
      <c r="D34" s="26">
        <v>218.89</v>
      </c>
      <c r="E34" s="26">
        <v>216.9</v>
      </c>
      <c r="F34" s="26">
        <v>213.97</v>
      </c>
      <c r="G34" s="26">
        <v>211.68</v>
      </c>
      <c r="H34" s="26">
        <v>206.91</v>
      </c>
      <c r="I34" s="26">
        <v>201.28</v>
      </c>
      <c r="J34" s="26">
        <v>196.32</v>
      </c>
      <c r="K34" s="26">
        <v>191.7</v>
      </c>
      <c r="L34" s="26">
        <v>187.17</v>
      </c>
      <c r="M34" s="26">
        <v>159.94999999999999</v>
      </c>
      <c r="N34" s="27">
        <v>108.34</v>
      </c>
      <c r="P34" s="940" t="s">
        <v>71</v>
      </c>
      <c r="Q34" s="13" t="s">
        <v>61</v>
      </c>
      <c r="R34" s="518" t="str">
        <f>IF(AND(_AC1="A-319",'2023'!$D$4="CA",'2023'!$D$2=R5),'2023DATA'!$C$31,"")</f>
        <v/>
      </c>
      <c r="S34" s="518" t="str">
        <f>IF(AND(_AC1="A-319",'2023'!$D$4="CA",'2023'!$D$2=S5),'2023DATA'!$D$31,"")</f>
        <v/>
      </c>
      <c r="T34" s="518" t="str">
        <f>IF(AND(_AC1="A-319",'2023'!$D$4="CA",'2023'!$D$2=T5),'2023DATA'!$E$31,"")</f>
        <v/>
      </c>
      <c r="U34" s="518" t="str">
        <f>IF(AND(_AC1="A-319",'2023'!$D$4="CA",'2023'!$D$2=U5),'2023DATA'!$F$31,"")</f>
        <v/>
      </c>
      <c r="V34" s="518" t="str">
        <f>IF(AND(_AC1="A-319",'2023'!$D$4="CA",'2023'!$D$2=V5),'2023DATA'!$G$31,"")</f>
        <v/>
      </c>
      <c r="W34" s="518" t="str">
        <f>IF(AND(_AC1="A-319",'2023'!$D$4="CA",'2023'!$D$2=W5),'2023DATA'!$H$31,"")</f>
        <v/>
      </c>
      <c r="X34" s="518" t="str">
        <f>IF(AND(_AC1="A-319",'2023'!$D$4="CA",'2023'!$D$2=X5),'2023DATA'!$I$31,"")</f>
        <v/>
      </c>
      <c r="Y34" s="518" t="str">
        <f>IF(AND(_AC1="A-319",'2023'!$D$4="CA",'2023'!$D$2=Y5),'2023DATA'!$J$31,"")</f>
        <v/>
      </c>
      <c r="Z34" s="518" t="str">
        <f>IF(AND(_AC1="A-319",'2023'!$D$4="CA",'2023'!$D$2=Z5),'2023DATA'!$K$31,"")</f>
        <v/>
      </c>
      <c r="AA34" s="518" t="str">
        <f>IF(AND(_AC1="A-319",'2023'!$D$4="CA",'2023'!$D$2=AA5),'2023DATA'!$L$31,"")</f>
        <v/>
      </c>
      <c r="AB34" s="518" t="str">
        <f>IF(AND(_AC1="A-319",'2023'!$D$4="CA",'2023'!$D$2=AB5),'2023DATA'!$M$31,"")</f>
        <v/>
      </c>
      <c r="AC34" s="520" t="str">
        <f>IF(AND(_AC1="A-319",'2023'!$D$4="CA",'2023'!$D$2=AC5),'2023DATA'!$N$31,"")</f>
        <v/>
      </c>
      <c r="AD34" s="940" t="s">
        <v>71</v>
      </c>
      <c r="AE34" s="13" t="s">
        <v>61</v>
      </c>
      <c r="AF34" s="518" t="str">
        <f>IF(AND(_AC2="A-319",'2023'!$D$4="CA",'2023'!$D$2=AF5),'2023DATA'!$C$31,"")</f>
        <v/>
      </c>
      <c r="AG34" s="518" t="str">
        <f>IF(AND(_AC2="A-319",'2023'!$D$4="CA",'2023'!$D$2=AG5),'2023DATA'!$D$31,"")</f>
        <v/>
      </c>
      <c r="AH34" s="518" t="str">
        <f>IF(AND(_AC2="A-319",'2023'!$D$4="CA",'2023'!$D$2=AH5),'2023DATA'!$E$31,"")</f>
        <v/>
      </c>
      <c r="AI34" s="518" t="str">
        <f>IF(AND(_AC2="A-319",'2023'!$D$4="CA",'2023'!$D$2=AI5),'2023DATA'!$F$31,"")</f>
        <v/>
      </c>
      <c r="AJ34" s="518" t="str">
        <f>IF(AND(_AC2="A-319",'2023'!$D$4="CA",'2023'!$D$2=AJ5),'2023DATA'!$G$31,"")</f>
        <v/>
      </c>
      <c r="AK34" s="518" t="str">
        <f>IF(AND(_AC2="A-319",'2023'!$D$4="CA",'2023'!$D$2=AK5),'2023DATA'!$H$31,"")</f>
        <v/>
      </c>
      <c r="AL34" s="518" t="str">
        <f>IF(AND(_AC2="A-319",'2023'!$D$4="CA",'2023'!$D$2=AL5),'2023DATA'!$I$31,"")</f>
        <v/>
      </c>
      <c r="AM34" s="518" t="str">
        <f>IF(AND(_AC2="A-319",'2023'!$D$4="CA",'2023'!$D$2=AM5),'2023DATA'!$J$31,"")</f>
        <v/>
      </c>
      <c r="AN34" s="518" t="str">
        <f>IF(AND(_AC2="A-319",'2023'!$D$4="CA",'2023'!$D$2=AN5),'2023DATA'!$K$31,"")</f>
        <v/>
      </c>
      <c r="AO34" s="518" t="str">
        <f>IF(AND(_AC2="A-319",'2023'!$D$4="CA",'2023'!$D$2=AO5),'2023DATA'!$L$31,"")</f>
        <v/>
      </c>
      <c r="AP34" s="518" t="str">
        <f>IF(AND(_AC2="A-319",'2023'!$D$4="CA",'2023'!$D$2=AP5),'2023DATA'!$M$31,"")</f>
        <v/>
      </c>
      <c r="AQ34" s="520" t="str">
        <f>IF(AND(_AC2="A-319",'2023'!$D$4="CA",'2023'!$D$2=AQ5),'2023DATA'!$N$31,"")</f>
        <v/>
      </c>
      <c r="AR34" s="940" t="s">
        <v>71</v>
      </c>
      <c r="AS34" s="13" t="s">
        <v>61</v>
      </c>
      <c r="AT34" s="518" t="str">
        <f>IF(AND(_AC3="A-319",'2023'!$D$4="CA",'2023'!$D$2=AT5),'2023DATA'!$C$31,"")</f>
        <v/>
      </c>
      <c r="AU34" s="518" t="str">
        <f>IF(AND(_AC3="A-319",'2023'!$D$4="CA",'2023'!$D$2=AU5),'2023DATA'!$D$31,"")</f>
        <v/>
      </c>
      <c r="AV34" s="518" t="str">
        <f>IF(AND(_AC3="A-319",'2023'!$D$4="CA",'2023'!$D$2=AV5),'2023DATA'!$E$31,"")</f>
        <v/>
      </c>
      <c r="AW34" s="518" t="str">
        <f>IF(AND(_AC3="A-319",'2023'!$D$4="CA",'2023'!$D$2=AW5),'2023DATA'!$F$31,"")</f>
        <v/>
      </c>
      <c r="AX34" s="518" t="str">
        <f>IF(AND(_AC3="A-319",'2023'!$D$4="CA",'2023'!$D$2=AX5),'2023DATA'!$G$31,"")</f>
        <v/>
      </c>
      <c r="AY34" s="518" t="str">
        <f>IF(AND(_AC3="A-319",'2023'!$D$4="CA",'2023'!$D$2=AY5),'2023DATA'!$H$31,"")</f>
        <v/>
      </c>
      <c r="AZ34" s="518" t="str">
        <f>IF(AND(_AC3="A-319",'2023'!$D$4="CA",'2023'!$D$2=AZ5),'2023DATA'!$I$31,"")</f>
        <v/>
      </c>
      <c r="BA34" s="518" t="str">
        <f>IF(AND(_AC3="A-319",'2023'!$D$4="CA",'2023'!$D$2=BA5),'2023DATA'!$J$31,"")</f>
        <v/>
      </c>
      <c r="BB34" s="518" t="str">
        <f>IF(AND(_AC3="A-319",'2023'!$D$4="CA",'2023'!$D$2=BB5),'2023DATA'!$K$31,"")</f>
        <v/>
      </c>
      <c r="BC34" s="518" t="str">
        <f>IF(AND(_AC3="A-319",'2023'!$D$4="CA",'2023'!$D$2=BC5),'2023DATA'!$L$31,"")</f>
        <v/>
      </c>
      <c r="BD34" s="518" t="str">
        <f>IF(AND(_AC3="A-319",'2023'!$D$4="CA",'2023'!$D$2=BD5),'2023DATA'!$M$31,"")</f>
        <v/>
      </c>
      <c r="BE34" s="520" t="str">
        <f>IF(AND(_AC3="A-319",'2023'!$D$4="CA",'2023'!$D$2=BE5),'2023DATA'!$N$31,"")</f>
        <v/>
      </c>
      <c r="BF34" s="940" t="s">
        <v>71</v>
      </c>
      <c r="BG34" s="13" t="s">
        <v>61</v>
      </c>
      <c r="BH34" s="518" t="str">
        <f>IF(AND(_AC4="A-319",'2023'!$D$4="CA",'2023'!$D$2=BH5),'2023DATA'!$C$31,"")</f>
        <v/>
      </c>
      <c r="BI34" s="518" t="str">
        <f>IF(AND(_AC4="A-319",'2023'!$D$4="CA",'2023'!$D$2=BI5),'2023DATA'!$D$31,"")</f>
        <v/>
      </c>
      <c r="BJ34" s="518" t="str">
        <f>IF(AND(_AC4="A-319",'2023'!$D$4="CA",'2023'!$D$2=BJ5),'2023DATA'!$E$31,"")</f>
        <v/>
      </c>
      <c r="BK34" s="518" t="str">
        <f>IF(AND(_AC4="A-319",'2023'!$D$4="CA",'2023'!$D$2=BK5),'2023DATA'!$F$31,"")</f>
        <v/>
      </c>
      <c r="BL34" s="518" t="str">
        <f>IF(AND(_AC4="A-319",'2023'!$D$4="CA",'2023'!$D$2=BL5),'2023DATA'!$G$31,"")</f>
        <v/>
      </c>
      <c r="BM34" s="518" t="str">
        <f>IF(AND(_AC4="A-319",'2023'!$D$4="CA",'2023'!$D$2=BM5),'2023DATA'!$H$31,"")</f>
        <v/>
      </c>
      <c r="BN34" s="518" t="str">
        <f>IF(AND(_AC4="A-319",'2023'!$D$4="CA",'2023'!$D$2=BN5),'2023DATA'!$I$31,"")</f>
        <v/>
      </c>
      <c r="BO34" s="518" t="str">
        <f>IF(AND(_AC4="A-319",'2023'!$D$4="CA",'2023'!$D$2=BO5),'2023DATA'!$J$31,"")</f>
        <v/>
      </c>
      <c r="BP34" s="518" t="str">
        <f>IF(AND(_AC4="A-319",'2023'!$D$4="CA",'2023'!$D$2=BP5),'2023DATA'!$K$31,"")</f>
        <v/>
      </c>
      <c r="BQ34" s="518" t="str">
        <f>IF(AND(_AC4="A-319",'2023'!$D$4="CA",'2023'!$D$2=BQ5),'2023DATA'!$L$31,"")</f>
        <v/>
      </c>
      <c r="BR34" s="518" t="str">
        <f>IF(AND(_AC4="A-319",'2023'!$D$4="CA",'2023'!$D$2=BR5),'2023DATA'!$M$31,"")</f>
        <v/>
      </c>
      <c r="BS34" s="520" t="str">
        <f>IF(AND(_AC4="A-319",'2023'!$D$4="CA",'2023'!$D$2=BS5),'2023DATA'!$N$31,"")</f>
        <v/>
      </c>
      <c r="BT34" s="940" t="s">
        <v>71</v>
      </c>
      <c r="BU34" s="13" t="s">
        <v>61</v>
      </c>
      <c r="BV34" s="518" t="str">
        <f>IF(AND(_AC5="A-319",'2023'!$D$4="CA",'2023'!$D$2=BV5),'2023DATA'!$C$31,"")</f>
        <v/>
      </c>
      <c r="BW34" s="518" t="str">
        <f>IF(AND(_AC5="A-319",'2023'!$D$4="CA",'2023'!$D$2=BW5),'2023DATA'!$D$31,"")</f>
        <v/>
      </c>
      <c r="BX34" s="518" t="str">
        <f>IF(AND(_AC5="A-319",'2023'!$D$4="CA",'2023'!$D$2=BX5),'2023DATA'!$E$31,"")</f>
        <v/>
      </c>
      <c r="BY34" s="518" t="str">
        <f>IF(AND(_AC5="A-319",'2023'!$D$4="CA",'2023'!$D$2=BY5),'2023DATA'!$F$31,"")</f>
        <v/>
      </c>
      <c r="BZ34" s="518" t="str">
        <f>IF(AND(_AC5="A-319",'2023'!$D$4="CA",'2023'!$D$2=BZ5),'2023DATA'!$G$31,"")</f>
        <v/>
      </c>
      <c r="CA34" s="518" t="str">
        <f>IF(AND(_AC5="A-319",'2023'!$D$4="CA",'2023'!$D$2=CA5),'2023DATA'!$H$31,"")</f>
        <v/>
      </c>
      <c r="CB34" s="518" t="str">
        <f>IF(AND(_AC5="A-319",'2023'!$D$4="CA",'2023'!$D$2=CB5),'2023DATA'!$I$31,"")</f>
        <v/>
      </c>
      <c r="CC34" s="518" t="str">
        <f>IF(AND(_AC5="A-319",'2023'!$D$4="CA",'2023'!$D$2=CC5),'2023DATA'!$J$31,"")</f>
        <v/>
      </c>
      <c r="CD34" s="518" t="str">
        <f>IF(AND(_AC5="A-319",'2023'!$D$4="CA",'2023'!$D$2=CD5),'2023DATA'!$K$31,"")</f>
        <v/>
      </c>
      <c r="CE34" s="518" t="str">
        <f>IF(AND(_AC5="A-319",'2023'!$D$4="CA",'2023'!$D$2=CE5),'2023DATA'!$L$31,"")</f>
        <v/>
      </c>
      <c r="CF34" s="518" t="str">
        <f>IF(AND(_AC5="A-319",'2023'!$D$4="CA",'2023'!$D$2=CF5),'2023DATA'!$M$31,"")</f>
        <v/>
      </c>
      <c r="CG34" s="520" t="str">
        <f>IF(AND(_AC5="A-319",'2023'!$D$4="CA",'2023'!$D$2=CG5),'2023DATA'!$N$31,"")</f>
        <v/>
      </c>
      <c r="CH34" s="940" t="s">
        <v>71</v>
      </c>
      <c r="CI34" s="13" t="s">
        <v>61</v>
      </c>
      <c r="CJ34" s="518" t="str">
        <f>IF(AND(_AC6="A-319",'2023'!$D$4="CA",'2023'!$D$2=CJ5),'2023DATA'!$C$31,"")</f>
        <v/>
      </c>
      <c r="CK34" s="518" t="str">
        <f>IF(AND(_AC6="A-319",'2023'!$D$4="CA",'2023'!$D$2=CK5),'2023DATA'!$D$31,"")</f>
        <v/>
      </c>
      <c r="CL34" s="518" t="str">
        <f>IF(AND(_AC6="A-319",'2023'!$D$4="CA",'2023'!$D$2=CL5),'2023DATA'!$E$31,"")</f>
        <v/>
      </c>
      <c r="CM34" s="518" t="str">
        <f>IF(AND(_AC6="A-319",'2023'!$D$4="CA",'2023'!$D$2=CM5),'2023DATA'!$F$31,"")</f>
        <v/>
      </c>
      <c r="CN34" s="518" t="str">
        <f>IF(AND(_AC6="A-319",'2023'!$D$4="CA",'2023'!$D$2=CN5),'2023DATA'!$G$31,"")</f>
        <v/>
      </c>
      <c r="CO34" s="518" t="str">
        <f>IF(AND(_AC6="A-319",'2023'!$D$4="CA",'2023'!$D$2=CO5),'2023DATA'!$H$31,"")</f>
        <v/>
      </c>
      <c r="CP34" s="518" t="str">
        <f>IF(AND(_AC6="A-319",'2023'!$D$4="CA",'2023'!$D$2=CP5),'2023DATA'!$I$31,"")</f>
        <v/>
      </c>
      <c r="CQ34" s="518" t="str">
        <f>IF(AND(_AC6="A-319",'2023'!$D$4="CA",'2023'!$D$2=CQ5),'2023DATA'!$J$31,"")</f>
        <v/>
      </c>
      <c r="CR34" s="518" t="str">
        <f>IF(AND(_AC6="A-319",'2023'!$D$4="CA",'2023'!$D$2=CR5),'2023DATA'!$K$31,"")</f>
        <v/>
      </c>
      <c r="CS34" s="518" t="str">
        <f>IF(AND(_AC6="A-319",'2023'!$D$4="CA",'2023'!$D$2=CS5),'2023DATA'!$L$31,"")</f>
        <v/>
      </c>
      <c r="CT34" s="518" t="str">
        <f>IF(AND(_AC6="A-319",'2023'!$D$4="CA",'2023'!$D$2=CT5),'2023DATA'!$M$31,"")</f>
        <v/>
      </c>
      <c r="CU34" s="520" t="str">
        <f>IF(AND(_AC6="A-319",'2023'!$D$4="CA",'2023'!$D$2=CU5),'2023DATA'!$N$31,"")</f>
        <v/>
      </c>
    </row>
    <row r="35" spans="1:99" x14ac:dyDescent="0.25">
      <c r="A35" s="946" t="s">
        <v>52</v>
      </c>
      <c r="B35" s="78" t="s">
        <v>61</v>
      </c>
      <c r="C35" s="25">
        <v>310.14999999999998</v>
      </c>
      <c r="D35" s="26">
        <v>307.8</v>
      </c>
      <c r="E35" s="26">
        <v>305.43</v>
      </c>
      <c r="F35" s="26">
        <v>303.08</v>
      </c>
      <c r="G35" s="26">
        <v>300.76</v>
      </c>
      <c r="H35" s="26">
        <v>298.42</v>
      </c>
      <c r="I35" s="26">
        <v>296.10000000000002</v>
      </c>
      <c r="J35" s="26">
        <v>293.73</v>
      </c>
      <c r="K35" s="26">
        <v>291.38</v>
      </c>
      <c r="L35" s="26">
        <v>289.02999999999997</v>
      </c>
      <c r="M35" s="26">
        <v>286.73</v>
      </c>
      <c r="N35" s="27">
        <v>284.37</v>
      </c>
      <c r="P35" s="940"/>
      <c r="Q35" s="13" t="s">
        <v>62</v>
      </c>
      <c r="R35" s="518" t="str">
        <f>IF(AND(_AC1="A-319",'2023'!$D$4="FO",'2023'!$D$2=R5),'2023DATA'!$C$32,"")</f>
        <v/>
      </c>
      <c r="S35" s="518" t="str">
        <f>IF(AND(_AC1="A-319",'2023'!$D$4="FO",'2023'!$D$2=S5),'2023DATA'!$D$32,"")</f>
        <v/>
      </c>
      <c r="T35" s="518" t="str">
        <f>IF(AND(_AC1="A-319",'2023'!$D$4="FO",'2023'!$D$2=T5),'2023DATA'!$E$32,"")</f>
        <v/>
      </c>
      <c r="U35" s="518" t="str">
        <f>IF(AND(_AC1="A-319",'2023'!$D$4="FO",'2023'!$D$2=U5),'2023DATA'!$F$32,"")</f>
        <v/>
      </c>
      <c r="V35" s="518" t="str">
        <f>IF(AND(_AC1="A-319",'2023'!$D$4="FO",'2023'!$D$2=V5),'2023DATA'!$G$32,"")</f>
        <v/>
      </c>
      <c r="W35" s="518" t="str">
        <f>IF(AND(_AC1="A-319",'2023'!$D$4="FO",'2023'!$D$2=W5),'2023DATA'!$H$32,"")</f>
        <v/>
      </c>
      <c r="X35" s="518" t="str">
        <f>IF(AND(_AC1="A-319",'2023'!$D$4="FO",'2023'!$D$2=X5),'2023DATA'!$I$32,"")</f>
        <v/>
      </c>
      <c r="Y35" s="518" t="str">
        <f>IF(AND(_AC1="A-319",'2023'!$D$4="FO",'2023'!$D$2=Y5),'2023DATA'!$J$32,"")</f>
        <v/>
      </c>
      <c r="Z35" s="518" t="str">
        <f>IF(AND(_AC1="A-319",'2023'!$D$4="FO",'2023'!$D$2=Z5),'2023DATA'!$K$32,"")</f>
        <v/>
      </c>
      <c r="AA35" s="518" t="str">
        <f>IF(AND(_AC1="A-319",'2023'!$D$4="FO",'2023'!$D$2=AA5),'2023DATA'!$L$32,"")</f>
        <v/>
      </c>
      <c r="AB35" s="518" t="str">
        <f>IF(AND(_AC1="A-319",'2023'!$D$4="FO",'2023'!$D$2=AB5),'2023DATA'!$M$32,"")</f>
        <v/>
      </c>
      <c r="AC35" s="520" t="str">
        <f>IF(AND(_AC1="A-319",'2023'!$D$4="FO",'2023'!$D$2=AC5),'2023DATA'!$N$32,"")</f>
        <v/>
      </c>
      <c r="AD35" s="940"/>
      <c r="AE35" s="13" t="s">
        <v>62</v>
      </c>
      <c r="AF35" s="518" t="str">
        <f>IF(AND(_AC2="A-319",'2023'!$D$4="FO",'2023'!$D$2=AF5),'2023DATA'!$C$32,"")</f>
        <v/>
      </c>
      <c r="AG35" s="518" t="str">
        <f>IF(AND(_AC2="A-319",'2023'!$D$4="FO",'2023'!$D$2=AG5),'2023DATA'!$D$32,"")</f>
        <v/>
      </c>
      <c r="AH35" s="518" t="str">
        <f>IF(AND(_AC2="A-319",'2023'!$D$4="FO",'2023'!$D$2=AH5),'2023DATA'!$E$32,"")</f>
        <v/>
      </c>
      <c r="AI35" s="518" t="str">
        <f>IF(AND(_AC2="A-319",'2023'!$D$4="FO",'2023'!$D$2=AI5),'2023DATA'!$F$32,"")</f>
        <v/>
      </c>
      <c r="AJ35" s="518" t="str">
        <f>IF(AND(_AC2="A-319",'2023'!$D$4="FO",'2023'!$D$2=AJ5),'2023DATA'!$G$32,"")</f>
        <v/>
      </c>
      <c r="AK35" s="518" t="str">
        <f>IF(AND(_AC2="A-319",'2023'!$D$4="FO",'2023'!$D$2=AK5),'2023DATA'!$H$32,"")</f>
        <v/>
      </c>
      <c r="AL35" s="518" t="str">
        <f>IF(AND(_AC2="A-319",'2023'!$D$4="FO",'2023'!$D$2=AL5),'2023DATA'!$I$32,"")</f>
        <v/>
      </c>
      <c r="AM35" s="518" t="str">
        <f>IF(AND(_AC2="A-319",'2023'!$D$4="FO",'2023'!$D$2=AM5),'2023DATA'!$J$32,"")</f>
        <v/>
      </c>
      <c r="AN35" s="518" t="str">
        <f>IF(AND(_AC2="A-319",'2023'!$D$4="FO",'2023'!$D$2=AN5),'2023DATA'!$K$32,"")</f>
        <v/>
      </c>
      <c r="AO35" s="518" t="str">
        <f>IF(AND(_AC2="A-319",'2023'!$D$4="FO",'2023'!$D$2=AO5),'2023DATA'!$L$32,"")</f>
        <v/>
      </c>
      <c r="AP35" s="518" t="str">
        <f>IF(AND(_AC2="A-319",'2023'!$D$4="FO",'2023'!$D$2=AP5),'2023DATA'!$M$32,"")</f>
        <v/>
      </c>
      <c r="AQ35" s="520" t="str">
        <f>IF(AND(_AC2="A-319",'2023'!$D$4="FO",'2023'!$D$2=AQ5),'2023DATA'!$N$32,"")</f>
        <v/>
      </c>
      <c r="AR35" s="940"/>
      <c r="AS35" s="13" t="s">
        <v>62</v>
      </c>
      <c r="AT35" s="518" t="str">
        <f>IF(AND(_AC3="A-319",'2023'!$D$4="FO",'2023'!$D$2=AT5),'2023DATA'!$C$32,"")</f>
        <v/>
      </c>
      <c r="AU35" s="518" t="str">
        <f>IF(AND(_AC3="A-319",'2023'!$D$4="FO",'2023'!$D$2=AU5),'2023DATA'!$D$32,"")</f>
        <v/>
      </c>
      <c r="AV35" s="518" t="str">
        <f>IF(AND(_AC3="A-319",'2023'!$D$4="FO",'2023'!$D$2=AV5),'2023DATA'!$E$32,"")</f>
        <v/>
      </c>
      <c r="AW35" s="518" t="str">
        <f>IF(AND(_AC3="A-319",'2023'!$D$4="FO",'2023'!$D$2=AW5),'2023DATA'!$F$32,"")</f>
        <v/>
      </c>
      <c r="AX35" s="518" t="str">
        <f>IF(AND(_AC3="A-319",'2023'!$D$4="FO",'2023'!$D$2=AX5),'2023DATA'!$G$32,"")</f>
        <v/>
      </c>
      <c r="AY35" s="518" t="str">
        <f>IF(AND(_AC3="A-319",'2023'!$D$4="FO",'2023'!$D$2=AY5),'2023DATA'!$H$32,"")</f>
        <v/>
      </c>
      <c r="AZ35" s="518" t="str">
        <f>IF(AND(_AC3="A-319",'2023'!$D$4="FO",'2023'!$D$2=AZ5),'2023DATA'!$I$32,"")</f>
        <v/>
      </c>
      <c r="BA35" s="518" t="str">
        <f>IF(AND(_AC3="A-319",'2023'!$D$4="FO",'2023'!$D$2=BA5),'2023DATA'!$J$32,"")</f>
        <v/>
      </c>
      <c r="BB35" s="518" t="str">
        <f>IF(AND(_AC3="A-319",'2023'!$D$4="FO",'2023'!$D$2=BB5),'2023DATA'!$K$32,"")</f>
        <v/>
      </c>
      <c r="BC35" s="518" t="str">
        <f>IF(AND(_AC3="A-319",'2023'!$D$4="FO",'2023'!$D$2=BC5),'2023DATA'!$L$32,"")</f>
        <v/>
      </c>
      <c r="BD35" s="518" t="str">
        <f>IF(AND(_AC3="A-319",'2023'!$D$4="FO",'2023'!$D$2=BD5),'2023DATA'!$M$32,"")</f>
        <v/>
      </c>
      <c r="BE35" s="520" t="str">
        <f>IF(AND(_AC3="A-319",'2023'!$D$4="FO",'2023'!$D$2=BE5),'2023DATA'!$N$32,"")</f>
        <v/>
      </c>
      <c r="BF35" s="940"/>
      <c r="BG35" s="13" t="s">
        <v>62</v>
      </c>
      <c r="BH35" s="518" t="str">
        <f>IF(AND(_AC4="A-319",'2023'!$D$4="FO",'2023'!$D$2=BH5),'2023DATA'!$C$32,"")</f>
        <v/>
      </c>
      <c r="BI35" s="518" t="str">
        <f>IF(AND(_AC4="A-319",'2023'!$D$4="FO",'2023'!$D$2=BI5),'2023DATA'!$D$32,"")</f>
        <v/>
      </c>
      <c r="BJ35" s="518" t="str">
        <f>IF(AND(_AC4="A-319",'2023'!$D$4="FO",'2023'!$D$2=BJ5),'2023DATA'!$E$32,"")</f>
        <v/>
      </c>
      <c r="BK35" s="518" t="str">
        <f>IF(AND(_AC4="A-319",'2023'!$D$4="FO",'2023'!$D$2=BK5),'2023DATA'!$F$32,"")</f>
        <v/>
      </c>
      <c r="BL35" s="518" t="str">
        <f>IF(AND(_AC4="A-319",'2023'!$D$4="FO",'2023'!$D$2=BL5),'2023DATA'!$G$32,"")</f>
        <v/>
      </c>
      <c r="BM35" s="518" t="str">
        <f>IF(AND(_AC4="A-319",'2023'!$D$4="FO",'2023'!$D$2=BM5),'2023DATA'!$H$32,"")</f>
        <v/>
      </c>
      <c r="BN35" s="518" t="str">
        <f>IF(AND(_AC4="A-319",'2023'!$D$4="FO",'2023'!$D$2=BN5),'2023DATA'!$I$32,"")</f>
        <v/>
      </c>
      <c r="BO35" s="518" t="str">
        <f>IF(AND(_AC4="A-319",'2023'!$D$4="FO",'2023'!$D$2=BO5),'2023DATA'!$J$32,"")</f>
        <v/>
      </c>
      <c r="BP35" s="518" t="str">
        <f>IF(AND(_AC4="A-319",'2023'!$D$4="FO",'2023'!$D$2=BP5),'2023DATA'!$K$32,"")</f>
        <v/>
      </c>
      <c r="BQ35" s="518" t="str">
        <f>IF(AND(_AC4="A-319",'2023'!$D$4="FO",'2023'!$D$2=BQ5),'2023DATA'!$L$32,"")</f>
        <v/>
      </c>
      <c r="BR35" s="518" t="str">
        <f>IF(AND(_AC4="A-319",'2023'!$D$4="FO",'2023'!$D$2=BR5),'2023DATA'!$M$32,"")</f>
        <v/>
      </c>
      <c r="BS35" s="520" t="str">
        <f>IF(AND(_AC4="A-319",'2023'!$D$4="FO",'2023'!$D$2=BS5),'2023DATA'!$N$32,"")</f>
        <v/>
      </c>
      <c r="BT35" s="940"/>
      <c r="BU35" s="13" t="s">
        <v>62</v>
      </c>
      <c r="BV35" s="518" t="str">
        <f>IF(AND(_AC5="A-319",'2023'!$D$4="FO",'2023'!$D$2=BV5),'2023DATA'!$C$32,"")</f>
        <v/>
      </c>
      <c r="BW35" s="518" t="str">
        <f>IF(AND(_AC5="A-319",'2023'!$D$4="FO",'2023'!$D$2=BW5),'2023DATA'!$D$32,"")</f>
        <v/>
      </c>
      <c r="BX35" s="518" t="str">
        <f>IF(AND(_AC5="A-319",'2023'!$D$4="FO",'2023'!$D$2=BX5),'2023DATA'!$E$32,"")</f>
        <v/>
      </c>
      <c r="BY35" s="518" t="str">
        <f>IF(AND(_AC5="A-319",'2023'!$D$4="FO",'2023'!$D$2=BY5),'2023DATA'!$F$32,"")</f>
        <v/>
      </c>
      <c r="BZ35" s="518" t="str">
        <f>IF(AND(_AC5="A-319",'2023'!$D$4="FO",'2023'!$D$2=BZ5),'2023DATA'!$G$32,"")</f>
        <v/>
      </c>
      <c r="CA35" s="518" t="str">
        <f>IF(AND(_AC5="A-319",'2023'!$D$4="FO",'2023'!$D$2=CA5),'2023DATA'!$H$32,"")</f>
        <v/>
      </c>
      <c r="CB35" s="518" t="str">
        <f>IF(AND(_AC5="A-319",'2023'!$D$4="FO",'2023'!$D$2=CB5),'2023DATA'!$I$32,"")</f>
        <v/>
      </c>
      <c r="CC35" s="518" t="str">
        <f>IF(AND(_AC5="A-319",'2023'!$D$4="FO",'2023'!$D$2=CC5),'2023DATA'!$J$32,"")</f>
        <v/>
      </c>
      <c r="CD35" s="518" t="str">
        <f>IF(AND(_AC5="A-319",'2023'!$D$4="FO",'2023'!$D$2=CD5),'2023DATA'!$K$32,"")</f>
        <v/>
      </c>
      <c r="CE35" s="518" t="str">
        <f>IF(AND(_AC5="A-319",'2023'!$D$4="FO",'2023'!$D$2=CE5),'2023DATA'!$L$32,"")</f>
        <v/>
      </c>
      <c r="CF35" s="518" t="str">
        <f>IF(AND(_AC5="A-319",'2023'!$D$4="FO",'2023'!$D$2=CF5),'2023DATA'!$M$32,"")</f>
        <v/>
      </c>
      <c r="CG35" s="520" t="str">
        <f>IF(AND(_AC5="A-319",'2023'!$D$4="FO",'2023'!$D$2=CG5),'2023DATA'!$N$32,"")</f>
        <v/>
      </c>
      <c r="CH35" s="940"/>
      <c r="CI35" s="13" t="s">
        <v>62</v>
      </c>
      <c r="CJ35" s="518" t="str">
        <f>IF(AND(_AC6="A-319",'2023'!$D$4="FO",'2023'!$D$2=CJ5),'2023DATA'!$C$32,"")</f>
        <v/>
      </c>
      <c r="CK35" s="518" t="str">
        <f>IF(AND(_AC6="A-319",'2023'!$D$4="FO",'2023'!$D$2=CK5),'2023DATA'!$D$32,"")</f>
        <v/>
      </c>
      <c r="CL35" s="518" t="str">
        <f>IF(AND(_AC6="A-319",'2023'!$D$4="FO",'2023'!$D$2=CL5),'2023DATA'!$E$32,"")</f>
        <v/>
      </c>
      <c r="CM35" s="518" t="str">
        <f>IF(AND(_AC6="A-319",'2023'!$D$4="FO",'2023'!$D$2=CM5),'2023DATA'!$F$32,"")</f>
        <v/>
      </c>
      <c r="CN35" s="518" t="str">
        <f>IF(AND(_AC6="A-319",'2023'!$D$4="FO",'2023'!$D$2=CN5),'2023DATA'!$G$32,"")</f>
        <v/>
      </c>
      <c r="CO35" s="518" t="str">
        <f>IF(AND(_AC6="A-319",'2023'!$D$4="FO",'2023'!$D$2=CO5),'2023DATA'!$H$32,"")</f>
        <v/>
      </c>
      <c r="CP35" s="518" t="str">
        <f>IF(AND(_AC6="A-319",'2023'!$D$4="FO",'2023'!$D$2=CP5),'2023DATA'!$I$32,"")</f>
        <v/>
      </c>
      <c r="CQ35" s="518" t="str">
        <f>IF(AND(_AC6="A-319",'2023'!$D$4="FO",'2023'!$D$2=CQ5),'2023DATA'!$J$32,"")</f>
        <v/>
      </c>
      <c r="CR35" s="518" t="str">
        <f>IF(AND(_AC6="A-319",'2023'!$D$4="FO",'2023'!$D$2=CR5),'2023DATA'!$K$32,"")</f>
        <v/>
      </c>
      <c r="CS35" s="518" t="str">
        <f>IF(AND(_AC6="A-319",'2023'!$D$4="FO",'2023'!$D$2=CS5),'2023DATA'!$L$32,"")</f>
        <v/>
      </c>
      <c r="CT35" s="518" t="str">
        <f>IF(AND(_AC6="A-319",'2023'!$D$4="FO",'2023'!$D$2=CT5),'2023DATA'!$M$32,"")</f>
        <v/>
      </c>
      <c r="CU35" s="520" t="str">
        <f>IF(AND(_AC6="A-319",'2023'!$D$4="FO",'2023'!$D$2=CU5),'2023DATA'!$N$32,"")</f>
        <v/>
      </c>
    </row>
    <row r="36" spans="1:99" x14ac:dyDescent="0.25">
      <c r="A36" s="946"/>
      <c r="B36" s="78" t="s">
        <v>62</v>
      </c>
      <c r="C36" s="25">
        <v>211.83</v>
      </c>
      <c r="D36" s="26">
        <v>209.92</v>
      </c>
      <c r="E36" s="26">
        <v>208.01</v>
      </c>
      <c r="F36" s="26">
        <v>205.2</v>
      </c>
      <c r="G36" s="26">
        <v>203.01</v>
      </c>
      <c r="H36" s="26">
        <v>198.44</v>
      </c>
      <c r="I36" s="26">
        <v>193.04</v>
      </c>
      <c r="J36" s="26">
        <v>188.27</v>
      </c>
      <c r="K36" s="26">
        <v>183.84</v>
      </c>
      <c r="L36" s="26">
        <v>179.5</v>
      </c>
      <c r="M36" s="26">
        <v>153.4</v>
      </c>
      <c r="N36" s="27">
        <v>108.34</v>
      </c>
      <c r="P36" s="940" t="s">
        <v>51</v>
      </c>
      <c r="Q36" s="13" t="s">
        <v>61</v>
      </c>
      <c r="R36" s="518" t="str">
        <f>IF(AND(_AC1="A-220-300",'2023'!$D$4="CA",'2023'!$D$2=R5),'2023DATA'!$C$33,"")</f>
        <v/>
      </c>
      <c r="S36" s="518" t="str">
        <f>IF(AND(_AC1="A-220-300",'2023'!$D$4="CA",'2023'!$D$2=S5),'2023DATA'!$D$33,"")</f>
        <v/>
      </c>
      <c r="T36" s="518" t="str">
        <f>IF(AND(_AC1="A-220-300",'2023'!$D$4="CA",'2023'!$D$2=T5),'2023DATA'!$E$33,"")</f>
        <v/>
      </c>
      <c r="U36" s="518" t="str">
        <f>IF(AND(_AC1="A-220-300",'2023'!$D$4="CA",'2023'!$D$2=U5),'2023DATA'!$F$33,"")</f>
        <v/>
      </c>
      <c r="V36" s="518" t="str">
        <f>IF(AND(_AC1="A-220-300",'2023'!$D$4="CA",'2023'!$D$2=V5),'2023DATA'!$G$33,"")</f>
        <v/>
      </c>
      <c r="W36" s="518" t="str">
        <f>IF(AND(_AC1="A-220-300",'2023'!$D$4="CA",'2023'!$D$2=W5),'2023DATA'!$H$33,"")</f>
        <v/>
      </c>
      <c r="X36" s="518" t="str">
        <f>IF(AND(_AC1="A-220-300",'2023'!$D$4="CA",'2023'!$D$2=X5),'2023DATA'!$I$33,"")</f>
        <v/>
      </c>
      <c r="Y36" s="518" t="str">
        <f>IF(AND(_AC1="A-220-300",'2023'!$D$4="CA",'2023'!$D$2=Y5),'2023DATA'!$J$33,"")</f>
        <v/>
      </c>
      <c r="Z36" s="518" t="str">
        <f>IF(AND(_AC1="A-220-300",'2023'!$D$4="CA",'2023'!$D$2=Z5),'2023DATA'!$K$33,"")</f>
        <v/>
      </c>
      <c r="AA36" s="518" t="str">
        <f>IF(AND(_AC1="A-220-300",'2023'!$D$4="CA",'2023'!$D$2=AA5),'2023DATA'!$L$33,"")</f>
        <v/>
      </c>
      <c r="AB36" s="518" t="str">
        <f>IF(AND(_AC1="A-220-300",'2023'!$D$4="CA",'2023'!$D$2=AB5),'2023DATA'!$M$33,"")</f>
        <v/>
      </c>
      <c r="AC36" s="520" t="str">
        <f>IF(AND(_AC1="A-220-300",'2023'!$D$4="CA",'2023'!$D$2=AC5),'2023DATA'!$N$33,"")</f>
        <v/>
      </c>
      <c r="AD36" s="940" t="s">
        <v>51</v>
      </c>
      <c r="AE36" s="13" t="s">
        <v>61</v>
      </c>
      <c r="AF36" s="518" t="str">
        <f>IF(AND(_AC2="A-220-300",'2023'!$D$4="CA",'2023'!$D$2=AF5),'2023DATA'!$C$33,"")</f>
        <v/>
      </c>
      <c r="AG36" s="518" t="str">
        <f>IF(AND(_AC2="A-220-300",'2023'!$D$4="CA",'2023'!$D$2=AG5),'2023DATA'!$D$33,"")</f>
        <v/>
      </c>
      <c r="AH36" s="518" t="str">
        <f>IF(AND(_AC2="A-220-300",'2023'!$D$4="CA",'2023'!$D$2=AH5),'2023DATA'!$E$33,"")</f>
        <v/>
      </c>
      <c r="AI36" s="518" t="str">
        <f>IF(AND(_AC2="A-220-300",'2023'!$D$4="CA",'2023'!$D$2=AI5),'2023DATA'!$F$33,"")</f>
        <v/>
      </c>
      <c r="AJ36" s="518" t="str">
        <f>IF(AND(_AC2="A-220-300",'2023'!$D$4="CA",'2023'!$D$2=AJ5),'2023DATA'!$G$33,"")</f>
        <v/>
      </c>
      <c r="AK36" s="518" t="str">
        <f>IF(AND(_AC2="A-220-300",'2023'!$D$4="CA",'2023'!$D$2=AK5),'2023DATA'!$H$33,"")</f>
        <v/>
      </c>
      <c r="AL36" s="518" t="str">
        <f>IF(AND(_AC2="A-220-300",'2023'!$D$4="CA",'2023'!$D$2=AL5),'2023DATA'!$I$33,"")</f>
        <v/>
      </c>
      <c r="AM36" s="518" t="str">
        <f>IF(AND(_AC2="A-220-300",'2023'!$D$4="CA",'2023'!$D$2=AM5),'2023DATA'!$J$33,"")</f>
        <v/>
      </c>
      <c r="AN36" s="518" t="str">
        <f>IF(AND(_AC2="A-220-300",'2023'!$D$4="CA",'2023'!$D$2=AN5),'2023DATA'!$K$33,"")</f>
        <v/>
      </c>
      <c r="AO36" s="518" t="str">
        <f>IF(AND(_AC2="A-220-300",'2023'!$D$4="CA",'2023'!$D$2=AO5),'2023DATA'!$L$33,"")</f>
        <v/>
      </c>
      <c r="AP36" s="518" t="str">
        <f>IF(AND(_AC2="A-220-300",'2023'!$D$4="CA",'2023'!$D$2=AP5),'2023DATA'!$M$33,"")</f>
        <v/>
      </c>
      <c r="AQ36" s="520" t="str">
        <f>IF(AND(_AC2="A-220-300",'2023'!$D$4="CA",'2023'!$D$2=AQ5),'2023DATA'!$N$33,"")</f>
        <v/>
      </c>
      <c r="AR36" s="940" t="s">
        <v>51</v>
      </c>
      <c r="AS36" s="13" t="s">
        <v>61</v>
      </c>
      <c r="AT36" s="518" t="str">
        <f>IF(AND(_AC3="A-220-300",'2023'!$D$4="CA",'2023'!$D$2=AT5),'2023DATA'!$C$33,"")</f>
        <v/>
      </c>
      <c r="AU36" s="518" t="str">
        <f>IF(AND(_AC3="A-220-300",'2023'!$D$4="CA",'2023'!$D$2=AU5),'2023DATA'!$D$33,"")</f>
        <v/>
      </c>
      <c r="AV36" s="518" t="str">
        <f>IF(AND(_AC3="A-220-300",'2023'!$D$4="CA",'2023'!$D$2=AV5),'2023DATA'!$E$33,"")</f>
        <v/>
      </c>
      <c r="AW36" s="518" t="str">
        <f>IF(AND(_AC3="A-220-300",'2023'!$D$4="CA",'2023'!$D$2=AW5),'2023DATA'!$F$33,"")</f>
        <v/>
      </c>
      <c r="AX36" s="518" t="str">
        <f>IF(AND(_AC3="A-220-300",'2023'!$D$4="CA",'2023'!$D$2=AX5),'2023DATA'!$G$33,"")</f>
        <v/>
      </c>
      <c r="AY36" s="518" t="str">
        <f>IF(AND(_AC3="A-220-300",'2023'!$D$4="CA",'2023'!$D$2=AY5),'2023DATA'!$H$33,"")</f>
        <v/>
      </c>
      <c r="AZ36" s="518" t="str">
        <f>IF(AND(_AC3="A-220-300",'2023'!$D$4="CA",'2023'!$D$2=AZ5),'2023DATA'!$I$33,"")</f>
        <v/>
      </c>
      <c r="BA36" s="518" t="str">
        <f>IF(AND(_AC3="A-220-300",'2023'!$D$4="CA",'2023'!$D$2=BA5),'2023DATA'!$J$33,"")</f>
        <v/>
      </c>
      <c r="BB36" s="518" t="str">
        <f>IF(AND(_AC3="A-220-300",'2023'!$D$4="CA",'2023'!$D$2=BB5),'2023DATA'!$K$33,"")</f>
        <v/>
      </c>
      <c r="BC36" s="518" t="str">
        <f>IF(AND(_AC3="A-220-300",'2023'!$D$4="CA",'2023'!$D$2=BC5),'2023DATA'!$L$33,"")</f>
        <v/>
      </c>
      <c r="BD36" s="518" t="str">
        <f>IF(AND(_AC3="A-220-300",'2023'!$D$4="CA",'2023'!$D$2=BD5),'2023DATA'!$M$33,"")</f>
        <v/>
      </c>
      <c r="BE36" s="520" t="str">
        <f>IF(AND(_AC3="A-220-300",'2023'!$D$4="CA",'2023'!$D$2=BE5),'2023DATA'!$N$33,"")</f>
        <v/>
      </c>
      <c r="BF36" s="940" t="s">
        <v>51</v>
      </c>
      <c r="BG36" s="13" t="s">
        <v>61</v>
      </c>
      <c r="BH36" s="518" t="str">
        <f>IF(AND(_AC4="A-220-300",'2023'!$D$4="CA",'2023'!$D$2=BH5),'2023DATA'!$C$33,"")</f>
        <v/>
      </c>
      <c r="BI36" s="518" t="str">
        <f>IF(AND(_AC4="A-220-300",'2023'!$D$4="CA",'2023'!$D$2=BI5),'2023DATA'!$D$33,"")</f>
        <v/>
      </c>
      <c r="BJ36" s="518" t="str">
        <f>IF(AND(_AC4="A-220-300",'2023'!$D$4="CA",'2023'!$D$2=BJ5),'2023DATA'!$E$33,"")</f>
        <v/>
      </c>
      <c r="BK36" s="518" t="str">
        <f>IF(AND(_AC4="A-220-300",'2023'!$D$4="CA",'2023'!$D$2=BK5),'2023DATA'!$F$33,"")</f>
        <v/>
      </c>
      <c r="BL36" s="518" t="str">
        <f>IF(AND(_AC4="A-220-300",'2023'!$D$4="CA",'2023'!$D$2=BL5),'2023DATA'!$G$33,"")</f>
        <v/>
      </c>
      <c r="BM36" s="518" t="str">
        <f>IF(AND(_AC4="A-220-300",'2023'!$D$4="CA",'2023'!$D$2=BM5),'2023DATA'!$H$33,"")</f>
        <v/>
      </c>
      <c r="BN36" s="518" t="str">
        <f>IF(AND(_AC4="A-220-300",'2023'!$D$4="CA",'2023'!$D$2=BN5),'2023DATA'!$I$33,"")</f>
        <v/>
      </c>
      <c r="BO36" s="518" t="str">
        <f>IF(AND(_AC4="A-220-300",'2023'!$D$4="CA",'2023'!$D$2=BO5),'2023DATA'!$J$33,"")</f>
        <v/>
      </c>
      <c r="BP36" s="518" t="str">
        <f>IF(AND(_AC4="A-220-300",'2023'!$D$4="CA",'2023'!$D$2=BP5),'2023DATA'!$K$33,"")</f>
        <v/>
      </c>
      <c r="BQ36" s="518" t="str">
        <f>IF(AND(_AC4="A-220-300",'2023'!$D$4="CA",'2023'!$D$2=BQ5),'2023DATA'!$L$33,"")</f>
        <v/>
      </c>
      <c r="BR36" s="518" t="str">
        <f>IF(AND(_AC4="A-220-300",'2023'!$D$4="CA",'2023'!$D$2=BR5),'2023DATA'!$M$33,"")</f>
        <v/>
      </c>
      <c r="BS36" s="520" t="str">
        <f>IF(AND(_AC4="A-220-300",'2023'!$D$4="CA",'2023'!$D$2=BS5),'2023DATA'!$N$33,"")</f>
        <v/>
      </c>
      <c r="BT36" s="940" t="s">
        <v>51</v>
      </c>
      <c r="BU36" s="13" t="s">
        <v>61</v>
      </c>
      <c r="BV36" s="518" t="str">
        <f>IF(AND(_AC5="A-220-300",'2023'!$D$4="CA",'2023'!$D$2=BV5),'2023DATA'!$C$33,"")</f>
        <v/>
      </c>
      <c r="BW36" s="518" t="str">
        <f>IF(AND(_AC5="A-220-300",'2023'!$D$4="CA",'2023'!$D$2=BW5),'2023DATA'!$D$33,"")</f>
        <v/>
      </c>
      <c r="BX36" s="518" t="str">
        <f>IF(AND(_AC5="A-220-300",'2023'!$D$4="CA",'2023'!$D$2=BX5),'2023DATA'!$E$33,"")</f>
        <v/>
      </c>
      <c r="BY36" s="518" t="str">
        <f>IF(AND(_AC5="A-220-300",'2023'!$D$4="CA",'2023'!$D$2=BY5),'2023DATA'!$F$33,"")</f>
        <v/>
      </c>
      <c r="BZ36" s="518" t="str">
        <f>IF(AND(_AC5="A-220-300",'2023'!$D$4="CA",'2023'!$D$2=BZ5),'2023DATA'!$G$33,"")</f>
        <v/>
      </c>
      <c r="CA36" s="518" t="str">
        <f>IF(AND(_AC5="A-220-300",'2023'!$D$4="CA",'2023'!$D$2=CA5),'2023DATA'!$H$33,"")</f>
        <v/>
      </c>
      <c r="CB36" s="518" t="str">
        <f>IF(AND(_AC5="A-220-300",'2023'!$D$4="CA",'2023'!$D$2=CB5),'2023DATA'!$I$33,"")</f>
        <v/>
      </c>
      <c r="CC36" s="518" t="str">
        <f>IF(AND(_AC5="A-220-300",'2023'!$D$4="CA",'2023'!$D$2=CC5),'2023DATA'!$J$33,"")</f>
        <v/>
      </c>
      <c r="CD36" s="518" t="str">
        <f>IF(AND(_AC5="A-220-300",'2023'!$D$4="CA",'2023'!$D$2=CD5),'2023DATA'!$K$33,"")</f>
        <v/>
      </c>
      <c r="CE36" s="518" t="str">
        <f>IF(AND(_AC5="A-220-300",'2023'!$D$4="CA",'2023'!$D$2=CE5),'2023DATA'!$L$33,"")</f>
        <v/>
      </c>
      <c r="CF36" s="518" t="str">
        <f>IF(AND(_AC5="A-220-300",'2023'!$D$4="CA",'2023'!$D$2=CF5),'2023DATA'!$M$33,"")</f>
        <v/>
      </c>
      <c r="CG36" s="520" t="str">
        <f>IF(AND(_AC5="A-220-300",'2023'!$D$4="CA",'2023'!$D$2=CG5),'2023DATA'!$N$33,"")</f>
        <v/>
      </c>
      <c r="CH36" s="940" t="s">
        <v>51</v>
      </c>
      <c r="CI36" s="13" t="s">
        <v>61</v>
      </c>
      <c r="CJ36" s="518" t="str">
        <f>IF(AND(_AC6="A-220-300",'2023'!$D$4="CA",'2023'!$D$2=CJ5),'2023DATA'!$C$33,"")</f>
        <v/>
      </c>
      <c r="CK36" s="518" t="str">
        <f>IF(AND(_AC6="A-220-300",'2023'!$D$4="CA",'2023'!$D$2=CK5),'2023DATA'!$D$33,"")</f>
        <v/>
      </c>
      <c r="CL36" s="518" t="str">
        <f>IF(AND(_AC6="A-220-300",'2023'!$D$4="CA",'2023'!$D$2=CL5),'2023DATA'!$E$33,"")</f>
        <v/>
      </c>
      <c r="CM36" s="518" t="str">
        <f>IF(AND(_AC6="A-220-300",'2023'!$D$4="CA",'2023'!$D$2=CM5),'2023DATA'!$F$33,"")</f>
        <v/>
      </c>
      <c r="CN36" s="518" t="str">
        <f>IF(AND(_AC6="A-220-300",'2023'!$D$4="CA",'2023'!$D$2=CN5),'2023DATA'!$G$33,"")</f>
        <v/>
      </c>
      <c r="CO36" s="518" t="str">
        <f>IF(AND(_AC6="A-220-300",'2023'!$D$4="CA",'2023'!$D$2=CO5),'2023DATA'!$H$33,"")</f>
        <v/>
      </c>
      <c r="CP36" s="518" t="str">
        <f>IF(AND(_AC6="A-220-300",'2023'!$D$4="CA",'2023'!$D$2=CP5),'2023DATA'!$I$33,"")</f>
        <v/>
      </c>
      <c r="CQ36" s="518" t="str">
        <f>IF(AND(_AC6="A-220-300",'2023'!$D$4="CA",'2023'!$D$2=CQ5),'2023DATA'!$J$33,"")</f>
        <v/>
      </c>
      <c r="CR36" s="518" t="str">
        <f>IF(AND(_AC6="A-220-300",'2023'!$D$4="CA",'2023'!$D$2=CR5),'2023DATA'!$K$33,"")</f>
        <v/>
      </c>
      <c r="CS36" s="518" t="str">
        <f>IF(AND(_AC6="A-220-300",'2023'!$D$4="CA",'2023'!$D$2=CS5),'2023DATA'!$L$33,"")</f>
        <v/>
      </c>
      <c r="CT36" s="518" t="str">
        <f>IF(AND(_AC6="A-220-300",'2023'!$D$4="CA",'2023'!$D$2=CT5),'2023DATA'!$M$33,"")</f>
        <v/>
      </c>
      <c r="CU36" s="520" t="str">
        <f>IF(AND(_AC6="A-220-300",'2023'!$D$4="CA",'2023'!$D$2=CU5),'2023DATA'!$N$33,"")</f>
        <v/>
      </c>
    </row>
    <row r="37" spans="1:99" x14ac:dyDescent="0.25">
      <c r="A37" s="946" t="s">
        <v>53</v>
      </c>
      <c r="B37" s="78" t="s">
        <v>61</v>
      </c>
      <c r="C37" s="33">
        <v>301.57</v>
      </c>
      <c r="D37" s="34">
        <v>299.39999999999998</v>
      </c>
      <c r="E37" s="34">
        <v>297.08</v>
      </c>
      <c r="F37" s="34">
        <v>294.77999999999997</v>
      </c>
      <c r="G37" s="34">
        <v>292.51</v>
      </c>
      <c r="H37" s="34">
        <v>290.24</v>
      </c>
      <c r="I37" s="34">
        <v>288.05</v>
      </c>
      <c r="J37" s="34">
        <v>285.69</v>
      </c>
      <c r="K37" s="34">
        <v>283.51</v>
      </c>
      <c r="L37" s="34">
        <v>281.23</v>
      </c>
      <c r="M37" s="34">
        <v>278.94</v>
      </c>
      <c r="N37" s="35">
        <v>276.89999999999998</v>
      </c>
      <c r="P37" s="940"/>
      <c r="Q37" s="13" t="s">
        <v>62</v>
      </c>
      <c r="R37" s="518" t="str">
        <f>IF(AND(_AC1="A-220-300",'2023'!$D$4="FO",'2023'!$D$2=R5),'2023DATA'!$C$34,"")</f>
        <v/>
      </c>
      <c r="S37" s="518" t="str">
        <f>IF(AND(_AC1="A-220-300",'2023'!$D$4="FO",'2023'!$D$2=S5),'2023DATA'!$D$34,"")</f>
        <v/>
      </c>
      <c r="T37" s="518" t="str">
        <f>IF(AND(_AC1="A-220-300",'2023'!$D$4="FO",'2023'!$D$2=T5),'2023DATA'!$E$34,"")</f>
        <v/>
      </c>
      <c r="U37" s="518" t="str">
        <f>IF(AND(_AC1="A-220-300",'2023'!$D$4="FO",'2023'!$D$2=U5),'2023DATA'!$F$34,"")</f>
        <v/>
      </c>
      <c r="V37" s="518" t="str">
        <f>IF(AND(_AC1="A-220-300",'2023'!$D$4="FO",'2023'!$D$2=V5),'2023DATA'!$G$34,"")</f>
        <v/>
      </c>
      <c r="W37" s="518" t="str">
        <f>IF(AND(_AC1="A-220-300",'2023'!$D$4="FO",'2023'!$D$2=W5),'2023DATA'!$H$34,"")</f>
        <v/>
      </c>
      <c r="X37" s="518" t="str">
        <f>IF(AND(_AC1="A-220-300",'2023'!$D$4="FO",'2023'!$D$2=X5),'2023DATA'!$I$34,"")</f>
        <v/>
      </c>
      <c r="Y37" s="518" t="str">
        <f>IF(AND(_AC1="A-220-300",'2023'!$D$4="FO",'2023'!$D$2=Y5),'2023DATA'!$J$34,"")</f>
        <v/>
      </c>
      <c r="Z37" s="518" t="str">
        <f>IF(AND(_AC1="A-220-300",'2023'!$D$4="FO",'2023'!$D$2=Z5),'2023DATA'!$K$34,"")</f>
        <v/>
      </c>
      <c r="AA37" s="518" t="str">
        <f>IF(AND(_AC1="A-220-300",'2023'!$D$4="FO",'2023'!$D$2=AA5),'2023DATA'!$L$34,"")</f>
        <v/>
      </c>
      <c r="AB37" s="518" t="str">
        <f>IF(AND(_AC1="A-220-300",'2023'!$D$4="FO",'2023'!$D$2=AB5),'2023DATA'!$M$34,"")</f>
        <v/>
      </c>
      <c r="AC37" s="520" t="str">
        <f>IF(AND(_AC1="A-220-300",'2023'!$D$4="FO",'2023'!$D$2=AC5),'2023DATA'!$N$34,"")</f>
        <v/>
      </c>
      <c r="AD37" s="940"/>
      <c r="AE37" s="13" t="s">
        <v>62</v>
      </c>
      <c r="AF37" s="518" t="str">
        <f>IF(AND(_AC2="A-220-300",'2023'!$D$4="FO",'2023'!$D$2=AF5),'2023DATA'!$C$34,"")</f>
        <v/>
      </c>
      <c r="AG37" s="518" t="str">
        <f>IF(AND(_AC2="A-220-300",'2023'!$D$4="FO",'2023'!$D$2=AG5),'2023DATA'!$D$34,"")</f>
        <v/>
      </c>
      <c r="AH37" s="518" t="str">
        <f>IF(AND(_AC2="A-220-300",'2023'!$D$4="FO",'2023'!$D$2=AH5),'2023DATA'!$E$34,"")</f>
        <v/>
      </c>
      <c r="AI37" s="518" t="str">
        <f>IF(AND(_AC2="A-220-300",'2023'!$D$4="FO",'2023'!$D$2=AI5),'2023DATA'!$F$34,"")</f>
        <v/>
      </c>
      <c r="AJ37" s="518" t="str">
        <f>IF(AND(_AC2="A-220-300",'2023'!$D$4="FO",'2023'!$D$2=AJ5),'2023DATA'!$G$34,"")</f>
        <v/>
      </c>
      <c r="AK37" s="518" t="str">
        <f>IF(AND(_AC2="A-220-300",'2023'!$D$4="FO",'2023'!$D$2=AK5),'2023DATA'!$H$34,"")</f>
        <v/>
      </c>
      <c r="AL37" s="518" t="str">
        <f>IF(AND(_AC2="A-220-300",'2023'!$D$4="FO",'2023'!$D$2=AL5),'2023DATA'!$I$34,"")</f>
        <v/>
      </c>
      <c r="AM37" s="518" t="str">
        <f>IF(AND(_AC2="A-220-300",'2023'!$D$4="FO",'2023'!$D$2=AM5),'2023DATA'!$J$34,"")</f>
        <v/>
      </c>
      <c r="AN37" s="518" t="str">
        <f>IF(AND(_AC2="A-220-300",'2023'!$D$4="FO",'2023'!$D$2=AN5),'2023DATA'!$K$34,"")</f>
        <v/>
      </c>
      <c r="AO37" s="518" t="str">
        <f>IF(AND(_AC2="A-220-300",'2023'!$D$4="FO",'2023'!$D$2=AO5),'2023DATA'!$L$34,"")</f>
        <v/>
      </c>
      <c r="AP37" s="518" t="str">
        <f>IF(AND(_AC2="A-220-300",'2023'!$D$4="FO",'2023'!$D$2=AP5),'2023DATA'!$M$34,"")</f>
        <v/>
      </c>
      <c r="AQ37" s="520" t="str">
        <f>IF(AND(_AC2="A-220-300",'2023'!$D$4="FO",'2023'!$D$2=AQ5),'2023DATA'!$N$34,"")</f>
        <v/>
      </c>
      <c r="AR37" s="940"/>
      <c r="AS37" s="13" t="s">
        <v>62</v>
      </c>
      <c r="AT37" s="518" t="str">
        <f>IF(AND(_AC3="A-220-300",'2023'!$D$4="FO",'2023'!$D$2=AT5),'2023DATA'!$C$34,"")</f>
        <v/>
      </c>
      <c r="AU37" s="518" t="str">
        <f>IF(AND(_AC3="A-220-300",'2023'!$D$4="FO",'2023'!$D$2=AU5),'2023DATA'!$D$34,"")</f>
        <v/>
      </c>
      <c r="AV37" s="518" t="str">
        <f>IF(AND(_AC3="A-220-300",'2023'!$D$4="FO",'2023'!$D$2=AV5),'2023DATA'!$E$34,"")</f>
        <v/>
      </c>
      <c r="AW37" s="518" t="str">
        <f>IF(AND(_AC3="A-220-300",'2023'!$D$4="FO",'2023'!$D$2=AW5),'2023DATA'!$F$34,"")</f>
        <v/>
      </c>
      <c r="AX37" s="518" t="str">
        <f>IF(AND(_AC3="A-220-300",'2023'!$D$4="FO",'2023'!$D$2=AX5),'2023DATA'!$G$34,"")</f>
        <v/>
      </c>
      <c r="AY37" s="518" t="str">
        <f>IF(AND(_AC3="A-220-300",'2023'!$D$4="FO",'2023'!$D$2=AY5),'2023DATA'!$H$34,"")</f>
        <v/>
      </c>
      <c r="AZ37" s="518" t="str">
        <f>IF(AND(_AC3="A-220-300",'2023'!$D$4="FO",'2023'!$D$2=AZ5),'2023DATA'!$I$34,"")</f>
        <v/>
      </c>
      <c r="BA37" s="518" t="str">
        <f>IF(AND(_AC3="A-220-300",'2023'!$D$4="FO",'2023'!$D$2=BA5),'2023DATA'!$J$34,"")</f>
        <v/>
      </c>
      <c r="BB37" s="518" t="str">
        <f>IF(AND(_AC3="A-220-300",'2023'!$D$4="FO",'2023'!$D$2=BB5),'2023DATA'!$K$34,"")</f>
        <v/>
      </c>
      <c r="BC37" s="518" t="str">
        <f>IF(AND(_AC3="A-220-300",'2023'!$D$4="FO",'2023'!$D$2=BC5),'2023DATA'!$L$34,"")</f>
        <v/>
      </c>
      <c r="BD37" s="518" t="str">
        <f>IF(AND(_AC3="A-220-300",'2023'!$D$4="FO",'2023'!$D$2=BD5),'2023DATA'!$M$34,"")</f>
        <v/>
      </c>
      <c r="BE37" s="520" t="str">
        <f>IF(AND(_AC3="A-220-300",'2023'!$D$4="FO",'2023'!$D$2=BE5),'2023DATA'!$N$34,"")</f>
        <v/>
      </c>
      <c r="BF37" s="940"/>
      <c r="BG37" s="13" t="s">
        <v>62</v>
      </c>
      <c r="BH37" s="518" t="str">
        <f>IF(AND(_AC4="A-220-300",'2023'!$D$4="FO",'2023'!$D$2=BH5),'2023DATA'!$C$34,"")</f>
        <v/>
      </c>
      <c r="BI37" s="518" t="str">
        <f>IF(AND(_AC4="A-220-300",'2023'!$D$4="FO",'2023'!$D$2=BI5),'2023DATA'!$D$34,"")</f>
        <v/>
      </c>
      <c r="BJ37" s="518" t="str">
        <f>IF(AND(_AC4="A-220-300",'2023'!$D$4="FO",'2023'!$D$2=BJ5),'2023DATA'!$E$34,"")</f>
        <v/>
      </c>
      <c r="BK37" s="518" t="str">
        <f>IF(AND(_AC4="A-220-300",'2023'!$D$4="FO",'2023'!$D$2=BK5),'2023DATA'!$F$34,"")</f>
        <v/>
      </c>
      <c r="BL37" s="518" t="str">
        <f>IF(AND(_AC4="A-220-300",'2023'!$D$4="FO",'2023'!$D$2=BL5),'2023DATA'!$G$34,"")</f>
        <v/>
      </c>
      <c r="BM37" s="518" t="str">
        <f>IF(AND(_AC4="A-220-300",'2023'!$D$4="FO",'2023'!$D$2=BM5),'2023DATA'!$H$34,"")</f>
        <v/>
      </c>
      <c r="BN37" s="518" t="str">
        <f>IF(AND(_AC4="A-220-300",'2023'!$D$4="FO",'2023'!$D$2=BN5),'2023DATA'!$I$34,"")</f>
        <v/>
      </c>
      <c r="BO37" s="518" t="str">
        <f>IF(AND(_AC4="A-220-300",'2023'!$D$4="FO",'2023'!$D$2=BO5),'2023DATA'!$J$34,"")</f>
        <v/>
      </c>
      <c r="BP37" s="518" t="str">
        <f>IF(AND(_AC4="A-220-300",'2023'!$D$4="FO",'2023'!$D$2=BP5),'2023DATA'!$K$34,"")</f>
        <v/>
      </c>
      <c r="BQ37" s="518" t="str">
        <f>IF(AND(_AC4="A-220-300",'2023'!$D$4="FO",'2023'!$D$2=BQ5),'2023DATA'!$L$34,"")</f>
        <v/>
      </c>
      <c r="BR37" s="518" t="str">
        <f>IF(AND(_AC4="A-220-300",'2023'!$D$4="FO",'2023'!$D$2=BR5),'2023DATA'!$M$34,"")</f>
        <v/>
      </c>
      <c r="BS37" s="520" t="str">
        <f>IF(AND(_AC4="A-220-300",'2023'!$D$4="FO",'2023'!$D$2=BS5),'2023DATA'!$N$34,"")</f>
        <v/>
      </c>
      <c r="BT37" s="940"/>
      <c r="BU37" s="13" t="s">
        <v>62</v>
      </c>
      <c r="BV37" s="518" t="str">
        <f>IF(AND(_AC5="A-220-300",'2023'!$D$4="FO",'2023'!$D$2=BV5),'2023DATA'!$C$34,"")</f>
        <v/>
      </c>
      <c r="BW37" s="518" t="str">
        <f>IF(AND(_AC5="A-220-300",'2023'!$D$4="FO",'2023'!$D$2=BW5),'2023DATA'!$D$34,"")</f>
        <v/>
      </c>
      <c r="BX37" s="518" t="str">
        <f>IF(AND(_AC5="A-220-300",'2023'!$D$4="FO",'2023'!$D$2=BX5),'2023DATA'!$E$34,"")</f>
        <v/>
      </c>
      <c r="BY37" s="518" t="str">
        <f>IF(AND(_AC5="A-220-300",'2023'!$D$4="FO",'2023'!$D$2=BY5),'2023DATA'!$F$34,"")</f>
        <v/>
      </c>
      <c r="BZ37" s="518" t="str">
        <f>IF(AND(_AC5="A-220-300",'2023'!$D$4="FO",'2023'!$D$2=BZ5),'2023DATA'!$G$34,"")</f>
        <v/>
      </c>
      <c r="CA37" s="518" t="str">
        <f>IF(AND(_AC5="A-220-300",'2023'!$D$4="FO",'2023'!$D$2=CA5),'2023DATA'!$H$34,"")</f>
        <v/>
      </c>
      <c r="CB37" s="518" t="str">
        <f>IF(AND(_AC5="A-220-300",'2023'!$D$4="FO",'2023'!$D$2=CB5),'2023DATA'!$I$34,"")</f>
        <v/>
      </c>
      <c r="CC37" s="518" t="str">
        <f>IF(AND(_AC5="A-220-300",'2023'!$D$4="FO",'2023'!$D$2=CC5),'2023DATA'!$J$34,"")</f>
        <v/>
      </c>
      <c r="CD37" s="518" t="str">
        <f>IF(AND(_AC5="A-220-300",'2023'!$D$4="FO",'2023'!$D$2=CD5),'2023DATA'!$K$34,"")</f>
        <v/>
      </c>
      <c r="CE37" s="518" t="str">
        <f>IF(AND(_AC5="A-220-300",'2023'!$D$4="FO",'2023'!$D$2=CE5),'2023DATA'!$L$34,"")</f>
        <v/>
      </c>
      <c r="CF37" s="518" t="str">
        <f>IF(AND(_AC5="A-220-300",'2023'!$D$4="FO",'2023'!$D$2=CF5),'2023DATA'!$M$34,"")</f>
        <v/>
      </c>
      <c r="CG37" s="520" t="str">
        <f>IF(AND(_AC5="A-220-300",'2023'!$D$4="FO",'2023'!$D$2=CG5),'2023DATA'!$N$34,"")</f>
        <v/>
      </c>
      <c r="CH37" s="940"/>
      <c r="CI37" s="13" t="s">
        <v>62</v>
      </c>
      <c r="CJ37" s="518" t="str">
        <f>IF(AND(_AC6="A-220-300",'2023'!$D$4="FO",'2023'!$D$2=CJ5),'2023DATA'!$C$34,"")</f>
        <v/>
      </c>
      <c r="CK37" s="518" t="str">
        <f>IF(AND(_AC6="A-220-300",'2023'!$D$4="FO",'2023'!$D$2=CK5),'2023DATA'!$D$34,"")</f>
        <v/>
      </c>
      <c r="CL37" s="518" t="str">
        <f>IF(AND(_AC6="A-220-300",'2023'!$D$4="FO",'2023'!$D$2=CL5),'2023DATA'!$E$34,"")</f>
        <v/>
      </c>
      <c r="CM37" s="518" t="str">
        <f>IF(AND(_AC6="A-220-300",'2023'!$D$4="FO",'2023'!$D$2=CM5),'2023DATA'!$F$34,"")</f>
        <v/>
      </c>
      <c r="CN37" s="518" t="str">
        <f>IF(AND(_AC6="A-220-300",'2023'!$D$4="FO",'2023'!$D$2=CN5),'2023DATA'!$G$34,"")</f>
        <v/>
      </c>
      <c r="CO37" s="518" t="str">
        <f>IF(AND(_AC6="A-220-300",'2023'!$D$4="FO",'2023'!$D$2=CO5),'2023DATA'!$H$34,"")</f>
        <v/>
      </c>
      <c r="CP37" s="518" t="str">
        <f>IF(AND(_AC6="A-220-300",'2023'!$D$4="FO",'2023'!$D$2=CP5),'2023DATA'!$I$34,"")</f>
        <v/>
      </c>
      <c r="CQ37" s="518" t="str">
        <f>IF(AND(_AC6="A-220-300",'2023'!$D$4="FO",'2023'!$D$2=CQ5),'2023DATA'!$J$34,"")</f>
        <v/>
      </c>
      <c r="CR37" s="518" t="str">
        <f>IF(AND(_AC6="A-220-300",'2023'!$D$4="FO",'2023'!$D$2=CR5),'2023DATA'!$K$34,"")</f>
        <v/>
      </c>
      <c r="CS37" s="518" t="str">
        <f>IF(AND(_AC6="A-220-300",'2023'!$D$4="FO",'2023'!$D$2=CS5),'2023DATA'!$L$34,"")</f>
        <v/>
      </c>
      <c r="CT37" s="518" t="str">
        <f>IF(AND(_AC6="A-220-300",'2023'!$D$4="FO",'2023'!$D$2=CT5),'2023DATA'!$M$34,"")</f>
        <v/>
      </c>
      <c r="CU37" s="520" t="str">
        <f>IF(AND(_AC6="A-220-300",'2023'!$D$4="FO",'2023'!$D$2=CU5),'2023DATA'!$N$34,"")</f>
        <v/>
      </c>
    </row>
    <row r="38" spans="1:99" ht="15.75" thickBot="1" x14ac:dyDescent="0.3">
      <c r="A38" s="957"/>
      <c r="B38" s="79" t="s">
        <v>62</v>
      </c>
      <c r="C38" s="41">
        <v>205.96</v>
      </c>
      <c r="D38" s="42">
        <v>204.23</v>
      </c>
      <c r="E38" s="42">
        <v>202.3</v>
      </c>
      <c r="F38" s="42">
        <v>199.56</v>
      </c>
      <c r="G38" s="42">
        <v>197.47</v>
      </c>
      <c r="H38" s="42">
        <v>193</v>
      </c>
      <c r="I38" s="42">
        <v>187.8</v>
      </c>
      <c r="J38" s="42">
        <v>183.11</v>
      </c>
      <c r="K38" s="42">
        <v>178.89</v>
      </c>
      <c r="L38" s="42">
        <v>174.63</v>
      </c>
      <c r="M38" s="42">
        <v>149.21</v>
      </c>
      <c r="N38" s="43">
        <v>108.34</v>
      </c>
      <c r="P38" s="940" t="s">
        <v>52</v>
      </c>
      <c r="Q38" s="13" t="s">
        <v>61</v>
      </c>
      <c r="R38" s="518" t="str">
        <f>IF(AND(_AC1="A-220-100",'2023'!$D$4="CA",'2023'!$D$2=R5),'2023DATA'!$C$35,"")</f>
        <v/>
      </c>
      <c r="S38" s="518" t="str">
        <f>IF(AND(_AC1="A-220-100",'2023'!$D$4="CA",'2023'!$D$2=S5),'2023DATA'!$D$35,"")</f>
        <v/>
      </c>
      <c r="T38" s="518" t="str">
        <f>IF(AND(_AC1="A-220-100",'2023'!$D$4="CA",'2023'!$D$2=T5),'2023DATA'!$E$35,"")</f>
        <v/>
      </c>
      <c r="U38" s="518" t="str">
        <f>IF(AND(_AC1="A-220-100",'2023'!$D$4="CA",'2023'!$D$2=U5),'2023DATA'!$F$35,"")</f>
        <v/>
      </c>
      <c r="V38" s="518" t="str">
        <f>IF(AND(_AC1="A-220-100",'2023'!$D$4="CA",'2023'!$D$2=V5),'2023DATA'!$G$35,"")</f>
        <v/>
      </c>
      <c r="W38" s="518" t="str">
        <f>IF(AND(_AC1="A-220-100",'2023'!$D$4="CA",'2023'!$D$2=W5),'2023DATA'!$H$35,"")</f>
        <v/>
      </c>
      <c r="X38" s="518" t="str">
        <f>IF(AND(_AC1="A-220-100",'2023'!$D$4="CA",'2023'!$D$2=X5),'2023DATA'!$I$35,"")</f>
        <v/>
      </c>
      <c r="Y38" s="518" t="str">
        <f>IF(AND(_AC1="A-220-100",'2023'!$D$4="CA",'2023'!$D$2=Y5),'2023DATA'!$J$35,"")</f>
        <v/>
      </c>
      <c r="Z38" s="518" t="str">
        <f>IF(AND(_AC1="A-220-100",'2023'!$D$4="CA",'2023'!$D$2=Z5),'2023DATA'!$K$35,"")</f>
        <v/>
      </c>
      <c r="AA38" s="518" t="str">
        <f>IF(AND(_AC1="A-220-100",'2023'!$D$4="CA",'2023'!$D$2=AA5),'2023DATA'!$L$35,"")</f>
        <v/>
      </c>
      <c r="AB38" s="518" t="str">
        <f>IF(AND(_AC1="A-220-100",'2023'!$D$4="CA",'2023'!$D$2=AB5),'2023DATA'!$M$35,"")</f>
        <v/>
      </c>
      <c r="AC38" s="520" t="str">
        <f>IF(AND(_AC1="A-220-100",'2023'!$D$4="CA",'2023'!$D$2=AC5),'2023DATA'!$N$35,"")</f>
        <v/>
      </c>
      <c r="AD38" s="940" t="s">
        <v>52</v>
      </c>
      <c r="AE38" s="13" t="s">
        <v>61</v>
      </c>
      <c r="AF38" s="518" t="str">
        <f>IF(AND(_AC2="A-220-100",'2023'!$D$4="CA",'2023'!$D$2=AF5),'2023DATA'!$C$35,"")</f>
        <v/>
      </c>
      <c r="AG38" s="518" t="str">
        <f>IF(AND(_AC2="A-220-100",'2023'!$D$4="CA",'2023'!$D$2=AG5),'2023DATA'!$D$35,"")</f>
        <v/>
      </c>
      <c r="AH38" s="518" t="str">
        <f>IF(AND(_AC2="A-220-100",'2023'!$D$4="CA",'2023'!$D$2=AH5),'2023DATA'!$E$35,"")</f>
        <v/>
      </c>
      <c r="AI38" s="518" t="str">
        <f>IF(AND(_AC2="A-220-100",'2023'!$D$4="CA",'2023'!$D$2=AI5),'2023DATA'!$F$35,"")</f>
        <v/>
      </c>
      <c r="AJ38" s="518" t="str">
        <f>IF(AND(_AC2="A-220-100",'2023'!$D$4="CA",'2023'!$D$2=AJ5),'2023DATA'!$G$35,"")</f>
        <v/>
      </c>
      <c r="AK38" s="518" t="str">
        <f>IF(AND(_AC2="A-220-100",'2023'!$D$4="CA",'2023'!$D$2=AK5),'2023DATA'!$H$35,"")</f>
        <v/>
      </c>
      <c r="AL38" s="518" t="str">
        <f>IF(AND(_AC2="A-220-100",'2023'!$D$4="CA",'2023'!$D$2=AL5),'2023DATA'!$I$35,"")</f>
        <v/>
      </c>
      <c r="AM38" s="518" t="str">
        <f>IF(AND(_AC2="A-220-100",'2023'!$D$4="CA",'2023'!$D$2=AM5),'2023DATA'!$J$35,"")</f>
        <v/>
      </c>
      <c r="AN38" s="518" t="str">
        <f>IF(AND(_AC2="A-220-100",'2023'!$D$4="CA",'2023'!$D$2=AN5),'2023DATA'!$K$35,"")</f>
        <v/>
      </c>
      <c r="AO38" s="518" t="str">
        <f>IF(AND(_AC2="A-220-100",'2023'!$D$4="CA",'2023'!$D$2=AO5),'2023DATA'!$L$35,"")</f>
        <v/>
      </c>
      <c r="AP38" s="518" t="str">
        <f>IF(AND(_AC2="A-220-100",'2023'!$D$4="CA",'2023'!$D$2=AP5),'2023DATA'!$M$35,"")</f>
        <v/>
      </c>
      <c r="AQ38" s="520" t="str">
        <f>IF(AND(_AC2="A-220-100",'2023'!$D$4="CA",'2023'!$D$2=AQ5),'2023DATA'!$N$35,"")</f>
        <v/>
      </c>
      <c r="AR38" s="940" t="s">
        <v>52</v>
      </c>
      <c r="AS38" s="13" t="s">
        <v>61</v>
      </c>
      <c r="AT38" s="518" t="str">
        <f>IF(AND(_AC3="A-220-100",'2023'!$D$4="CA",'2023'!$D$2=AT5),'2023DATA'!$C$35,"")</f>
        <v/>
      </c>
      <c r="AU38" s="518" t="str">
        <f>IF(AND(_AC3="A-220-100",'2023'!$D$4="CA",'2023'!$D$2=AU5),'2023DATA'!$D$35,"")</f>
        <v/>
      </c>
      <c r="AV38" s="518" t="str">
        <f>IF(AND(_AC3="A-220-100",'2023'!$D$4="CA",'2023'!$D$2=AV5),'2023DATA'!$E$35,"")</f>
        <v/>
      </c>
      <c r="AW38" s="518" t="str">
        <f>IF(AND(_AC3="A-220-100",'2023'!$D$4="CA",'2023'!$D$2=AW5),'2023DATA'!$F$35,"")</f>
        <v/>
      </c>
      <c r="AX38" s="518" t="str">
        <f>IF(AND(_AC3="A-220-100",'2023'!$D$4="CA",'2023'!$D$2=AX5),'2023DATA'!$G$35,"")</f>
        <v/>
      </c>
      <c r="AY38" s="518" t="str">
        <f>IF(AND(_AC3="A-220-100",'2023'!$D$4="CA",'2023'!$D$2=AY5),'2023DATA'!$H$35,"")</f>
        <v/>
      </c>
      <c r="AZ38" s="518" t="str">
        <f>IF(AND(_AC3="A-220-100",'2023'!$D$4="CA",'2023'!$D$2=AZ5),'2023DATA'!$I$35,"")</f>
        <v/>
      </c>
      <c r="BA38" s="518" t="str">
        <f>IF(AND(_AC3="A-220-100",'2023'!$D$4="CA",'2023'!$D$2=BA5),'2023DATA'!$J$35,"")</f>
        <v/>
      </c>
      <c r="BB38" s="518" t="str">
        <f>IF(AND(_AC3="A-220-100",'2023'!$D$4="CA",'2023'!$D$2=BB5),'2023DATA'!$K$35,"")</f>
        <v/>
      </c>
      <c r="BC38" s="518" t="str">
        <f>IF(AND(_AC3="A-220-100",'2023'!$D$4="CA",'2023'!$D$2=BC5),'2023DATA'!$L$35,"")</f>
        <v/>
      </c>
      <c r="BD38" s="518" t="str">
        <f>IF(AND(_AC3="A-220-100",'2023'!$D$4="CA",'2023'!$D$2=BD5),'2023DATA'!$M$35,"")</f>
        <v/>
      </c>
      <c r="BE38" s="520" t="str">
        <f>IF(AND(_AC3="A-220-100",'2023'!$D$4="CA",'2023'!$D$2=BE5),'2023DATA'!$N$35,"")</f>
        <v/>
      </c>
      <c r="BF38" s="940" t="s">
        <v>52</v>
      </c>
      <c r="BG38" s="13" t="s">
        <v>61</v>
      </c>
      <c r="BH38" s="518" t="str">
        <f>IF(AND(_AC4="A-220-100",'2023'!$D$4="CA",'2023'!$D$2=BH5),'2023DATA'!$C$35,"")</f>
        <v/>
      </c>
      <c r="BI38" s="518" t="str">
        <f>IF(AND(_AC4="A-220-100",'2023'!$D$4="CA",'2023'!$D$2=BI5),'2023DATA'!$D$35,"")</f>
        <v/>
      </c>
      <c r="BJ38" s="518" t="str">
        <f>IF(AND(_AC4="A-220-100",'2023'!$D$4="CA",'2023'!$D$2=BJ5),'2023DATA'!$E$35,"")</f>
        <v/>
      </c>
      <c r="BK38" s="518" t="str">
        <f>IF(AND(_AC4="A-220-100",'2023'!$D$4="CA",'2023'!$D$2=BK5),'2023DATA'!$F$35,"")</f>
        <v/>
      </c>
      <c r="BL38" s="518" t="str">
        <f>IF(AND(_AC4="A-220-100",'2023'!$D$4="CA",'2023'!$D$2=BL5),'2023DATA'!$G$35,"")</f>
        <v/>
      </c>
      <c r="BM38" s="518" t="str">
        <f>IF(AND(_AC4="A-220-100",'2023'!$D$4="CA",'2023'!$D$2=BM5),'2023DATA'!$H$35,"")</f>
        <v/>
      </c>
      <c r="BN38" s="518" t="str">
        <f>IF(AND(_AC4="A-220-100",'2023'!$D$4="CA",'2023'!$D$2=BN5),'2023DATA'!$I$35,"")</f>
        <v/>
      </c>
      <c r="BO38" s="518" t="str">
        <f>IF(AND(_AC4="A-220-100",'2023'!$D$4="CA",'2023'!$D$2=BO5),'2023DATA'!$J$35,"")</f>
        <v/>
      </c>
      <c r="BP38" s="518" t="str">
        <f>IF(AND(_AC4="A-220-100",'2023'!$D$4="CA",'2023'!$D$2=BP5),'2023DATA'!$K$35,"")</f>
        <v/>
      </c>
      <c r="BQ38" s="518" t="str">
        <f>IF(AND(_AC4="A-220-100",'2023'!$D$4="CA",'2023'!$D$2=BQ5),'2023DATA'!$L$35,"")</f>
        <v/>
      </c>
      <c r="BR38" s="518" t="str">
        <f>IF(AND(_AC4="A-220-100",'2023'!$D$4="CA",'2023'!$D$2=BR5),'2023DATA'!$M$35,"")</f>
        <v/>
      </c>
      <c r="BS38" s="520" t="str">
        <f>IF(AND(_AC4="A-220-100",'2023'!$D$4="CA",'2023'!$D$2=BS5),'2023DATA'!$N$35,"")</f>
        <v/>
      </c>
      <c r="BT38" s="940" t="s">
        <v>52</v>
      </c>
      <c r="BU38" s="13" t="s">
        <v>61</v>
      </c>
      <c r="BV38" s="518" t="str">
        <f>IF(AND(_AC5="A-220-100",'2023'!$D$4="CA",'2023'!$D$2=BV5),'2023DATA'!$C$35,"")</f>
        <v/>
      </c>
      <c r="BW38" s="518" t="str">
        <f>IF(AND(_AC5="A-220-100",'2023'!$D$4="CA",'2023'!$D$2=BW5),'2023DATA'!$D$35,"")</f>
        <v/>
      </c>
      <c r="BX38" s="518" t="str">
        <f>IF(AND(_AC5="A-220-100",'2023'!$D$4="CA",'2023'!$D$2=BX5),'2023DATA'!$E$35,"")</f>
        <v/>
      </c>
      <c r="BY38" s="518" t="str">
        <f>IF(AND(_AC5="A-220-100",'2023'!$D$4="CA",'2023'!$D$2=BY5),'2023DATA'!$F$35,"")</f>
        <v/>
      </c>
      <c r="BZ38" s="518" t="str">
        <f>IF(AND(_AC5="A-220-100",'2023'!$D$4="CA",'2023'!$D$2=BZ5),'2023DATA'!$G$35,"")</f>
        <v/>
      </c>
      <c r="CA38" s="518" t="str">
        <f>IF(AND(_AC5="A-220-100",'2023'!$D$4="CA",'2023'!$D$2=CA5),'2023DATA'!$H$35,"")</f>
        <v/>
      </c>
      <c r="CB38" s="518" t="str">
        <f>IF(AND(_AC5="A-220-100",'2023'!$D$4="CA",'2023'!$D$2=CB5),'2023DATA'!$I$35,"")</f>
        <v/>
      </c>
      <c r="CC38" s="518" t="str">
        <f>IF(AND(_AC5="A-220-100",'2023'!$D$4="CA",'2023'!$D$2=CC5),'2023DATA'!$J$35,"")</f>
        <v/>
      </c>
      <c r="CD38" s="518" t="str">
        <f>IF(AND(_AC5="A-220-100",'2023'!$D$4="CA",'2023'!$D$2=CD5),'2023DATA'!$K$35,"")</f>
        <v/>
      </c>
      <c r="CE38" s="518" t="str">
        <f>IF(AND(_AC5="A-220-100",'2023'!$D$4="CA",'2023'!$D$2=CE5),'2023DATA'!$L$35,"")</f>
        <v/>
      </c>
      <c r="CF38" s="518" t="str">
        <f>IF(AND(_AC5="A-220-100",'2023'!$D$4="CA",'2023'!$D$2=CF5),'2023DATA'!$M$35,"")</f>
        <v/>
      </c>
      <c r="CG38" s="520" t="str">
        <f>IF(AND(_AC5="A-220-100",'2023'!$D$4="CA",'2023'!$D$2=CG5),'2023DATA'!$N$35,"")</f>
        <v/>
      </c>
      <c r="CH38" s="940" t="s">
        <v>52</v>
      </c>
      <c r="CI38" s="13" t="s">
        <v>61</v>
      </c>
      <c r="CJ38" s="518" t="str">
        <f>IF(AND(_AC6="A-220-100",'2023'!$D$4="CA",'2023'!$D$2=CJ5),'2023DATA'!$C$35,"")</f>
        <v/>
      </c>
      <c r="CK38" s="518" t="str">
        <f>IF(AND(_AC6="A-220-100",'2023'!$D$4="CA",'2023'!$D$2=CK5),'2023DATA'!$D$35,"")</f>
        <v/>
      </c>
      <c r="CL38" s="518" t="str">
        <f>IF(AND(_AC6="A-220-100",'2023'!$D$4="CA",'2023'!$D$2=CL5),'2023DATA'!$E$35,"")</f>
        <v/>
      </c>
      <c r="CM38" s="518" t="str">
        <f>IF(AND(_AC6="A-220-100",'2023'!$D$4="CA",'2023'!$D$2=CM5),'2023DATA'!$F$35,"")</f>
        <v/>
      </c>
      <c r="CN38" s="518" t="str">
        <f>IF(AND(_AC6="A-220-100",'2023'!$D$4="CA",'2023'!$D$2=CN5),'2023DATA'!$G$35,"")</f>
        <v/>
      </c>
      <c r="CO38" s="518" t="str">
        <f>IF(AND(_AC6="A-220-100",'2023'!$D$4="CA",'2023'!$D$2=CO5),'2023DATA'!$H$35,"")</f>
        <v/>
      </c>
      <c r="CP38" s="518" t="str">
        <f>IF(AND(_AC6="A-220-100",'2023'!$D$4="CA",'2023'!$D$2=CP5),'2023DATA'!$I$35,"")</f>
        <v/>
      </c>
      <c r="CQ38" s="518" t="str">
        <f>IF(AND(_AC6="A-220-100",'2023'!$D$4="CA",'2023'!$D$2=CQ5),'2023DATA'!$J$35,"")</f>
        <v/>
      </c>
      <c r="CR38" s="518" t="str">
        <f>IF(AND(_AC6="A-220-100",'2023'!$D$4="CA",'2023'!$D$2=CR5),'2023DATA'!$K$35,"")</f>
        <v/>
      </c>
      <c r="CS38" s="518" t="str">
        <f>IF(AND(_AC6="A-220-100",'2023'!$D$4="CA",'2023'!$D$2=CS5),'2023DATA'!$L$35,"")</f>
        <v/>
      </c>
      <c r="CT38" s="518" t="str">
        <f>IF(AND(_AC6="A-220-100",'2023'!$D$4="CA",'2023'!$D$2=CT5),'2023DATA'!$M$35,"")</f>
        <v/>
      </c>
      <c r="CU38" s="520" t="str">
        <f>IF(AND(_AC6="A-220-100",'2023'!$D$4="CA",'2023'!$D$2=CU5),'2023DATA'!$N$35,"")</f>
        <v/>
      </c>
    </row>
    <row r="39" spans="1:99" x14ac:dyDescent="0.25">
      <c r="P39" s="940"/>
      <c r="Q39" s="13" t="s">
        <v>62</v>
      </c>
      <c r="R39" s="518" t="str">
        <f>IF(AND(_AC1="A-220-100",'2023'!$D$4="FO",'2023'!$D$2=R5),'2023DATA'!$C$36,"")</f>
        <v/>
      </c>
      <c r="S39" s="518" t="str">
        <f>IF(AND(_AC1="A-220-100",'2023'!$D$4="FO",'2023'!$D$2=S5),'2023DATA'!$D$36,"")</f>
        <v/>
      </c>
      <c r="T39" s="518" t="str">
        <f>IF(AND(_AC1="A-220-100",'2023'!$D$4="FO",'2023'!$D$2=T5),'2023DATA'!$E$36,"")</f>
        <v/>
      </c>
      <c r="U39" s="518" t="str">
        <f>IF(AND(_AC1="A-220-100",'2023'!$D$4="FO",'2023'!$D$2=U5),'2023DATA'!$F$36,"")</f>
        <v/>
      </c>
      <c r="V39" s="518" t="str">
        <f>IF(AND(_AC1="A-220-100",'2023'!$D$4="FO",'2023'!$D$2=V5),'2023DATA'!$G$36,"")</f>
        <v/>
      </c>
      <c r="W39" s="518" t="str">
        <f>IF(AND(_AC1="A-220-100",'2023'!$D$4="FO",'2023'!$D$2=W5),'2023DATA'!$H$36,"")</f>
        <v/>
      </c>
      <c r="X39" s="518" t="str">
        <f>IF(AND(_AC1="A-220-100",'2023'!$D$4="FO",'2023'!$D$2=X5),'2023DATA'!$I$36,"")</f>
        <v/>
      </c>
      <c r="Y39" s="518" t="str">
        <f>IF(AND(_AC1="A-220-100",'2023'!$D$4="FO",'2023'!$D$2=Y5),'2023DATA'!$J$36,"")</f>
        <v/>
      </c>
      <c r="Z39" s="518" t="str">
        <f>IF(AND(_AC1="A-220-100",'2023'!$D$4="FO",'2023'!$D$2=Z5),'2023DATA'!$K$36,"")</f>
        <v/>
      </c>
      <c r="AA39" s="518" t="str">
        <f>IF(AND(_AC1="A-220-100",'2023'!$D$4="FO",'2023'!$D$2=AA5),'2023DATA'!$L$36,"")</f>
        <v/>
      </c>
      <c r="AB39" s="518" t="str">
        <f>IF(AND(_AC1="A-220-100",'2023'!$D$4="FO",'2023'!$D$2=AB5),'2023DATA'!$M$36,"")</f>
        <v/>
      </c>
      <c r="AC39" s="520" t="str">
        <f>IF(AND(_AC1="A-220-100",'2023'!$D$4="FO",'2023'!$D$2=AC5),'2023DATA'!$N$36,"")</f>
        <v/>
      </c>
      <c r="AD39" s="940"/>
      <c r="AE39" s="13" t="s">
        <v>62</v>
      </c>
      <c r="AF39" s="518" t="str">
        <f>IF(AND(_AC2="A-220-100",'2023'!$D$4="FO",'2023'!$D$2=AF5),'2023DATA'!$C$36,"")</f>
        <v/>
      </c>
      <c r="AG39" s="518" t="str">
        <f>IF(AND(_AC2="A-220-100",'2023'!$D$4="FO",'2023'!$D$2=AG5),'2023DATA'!$D$36,"")</f>
        <v/>
      </c>
      <c r="AH39" s="518" t="str">
        <f>IF(AND(_AC2="A-220-100",'2023'!$D$4="FO",'2023'!$D$2=AH5),'2023DATA'!$E$36,"")</f>
        <v/>
      </c>
      <c r="AI39" s="518" t="str">
        <f>IF(AND(_AC2="A-220-100",'2023'!$D$4="FO",'2023'!$D$2=AI5),'2023DATA'!$F$36,"")</f>
        <v/>
      </c>
      <c r="AJ39" s="518" t="str">
        <f>IF(AND(_AC2="A-220-100",'2023'!$D$4="FO",'2023'!$D$2=AJ5),'2023DATA'!$G$36,"")</f>
        <v/>
      </c>
      <c r="AK39" s="518" t="str">
        <f>IF(AND(_AC2="A-220-100",'2023'!$D$4="FO",'2023'!$D$2=AK5),'2023DATA'!$H$36,"")</f>
        <v/>
      </c>
      <c r="AL39" s="518" t="str">
        <f>IF(AND(_AC2="A-220-100",'2023'!$D$4="FO",'2023'!$D$2=AL5),'2023DATA'!$I$36,"")</f>
        <v/>
      </c>
      <c r="AM39" s="518" t="str">
        <f>IF(AND(_AC2="A-220-100",'2023'!$D$4="FO",'2023'!$D$2=AM5),'2023DATA'!$J$36,"")</f>
        <v/>
      </c>
      <c r="AN39" s="518" t="str">
        <f>IF(AND(_AC2="A-220-100",'2023'!$D$4="FO",'2023'!$D$2=AN5),'2023DATA'!$K$36,"")</f>
        <v/>
      </c>
      <c r="AO39" s="518" t="str">
        <f>IF(AND(_AC2="A-220-100",'2023'!$D$4="FO",'2023'!$D$2=AO5),'2023DATA'!$L$36,"")</f>
        <v/>
      </c>
      <c r="AP39" s="518" t="str">
        <f>IF(AND(_AC2="A-220-100",'2023'!$D$4="FO",'2023'!$D$2=AP5),'2023DATA'!$M$36,"")</f>
        <v/>
      </c>
      <c r="AQ39" s="520" t="str">
        <f>IF(AND(_AC2="A-220-100",'2023'!$D$4="FO",'2023'!$D$2=AQ5),'2023DATA'!$N$36,"")</f>
        <v/>
      </c>
      <c r="AR39" s="940"/>
      <c r="AS39" s="13" t="s">
        <v>62</v>
      </c>
      <c r="AT39" s="518" t="str">
        <f>IF(AND(_AC3="A-220-100",'2023'!$D$4="FO",'2023'!$D$2=AT5),'2023DATA'!$C$36,"")</f>
        <v/>
      </c>
      <c r="AU39" s="518" t="str">
        <f>IF(AND(_AC3="A-220-100",'2023'!$D$4="FO",'2023'!$D$2=AU5),'2023DATA'!$D$36,"")</f>
        <v/>
      </c>
      <c r="AV39" s="518" t="str">
        <f>IF(AND(_AC3="A-220-100",'2023'!$D$4="FO",'2023'!$D$2=AV5),'2023DATA'!$E$36,"")</f>
        <v/>
      </c>
      <c r="AW39" s="518" t="str">
        <f>IF(AND(_AC3="A-220-100",'2023'!$D$4="FO",'2023'!$D$2=AW5),'2023DATA'!$F$36,"")</f>
        <v/>
      </c>
      <c r="AX39" s="518" t="str">
        <f>IF(AND(_AC3="A-220-100",'2023'!$D$4="FO",'2023'!$D$2=AX5),'2023DATA'!$G$36,"")</f>
        <v/>
      </c>
      <c r="AY39" s="518" t="str">
        <f>IF(AND(_AC3="A-220-100",'2023'!$D$4="FO",'2023'!$D$2=AY5),'2023DATA'!$H$36,"")</f>
        <v/>
      </c>
      <c r="AZ39" s="518" t="str">
        <f>IF(AND(_AC3="A-220-100",'2023'!$D$4="FO",'2023'!$D$2=AZ5),'2023DATA'!$I$36,"")</f>
        <v/>
      </c>
      <c r="BA39" s="518" t="str">
        <f>IF(AND(_AC3="A-220-100",'2023'!$D$4="FO",'2023'!$D$2=BA5),'2023DATA'!$J$36,"")</f>
        <v/>
      </c>
      <c r="BB39" s="518" t="str">
        <f>IF(AND(_AC3="A-220-100",'2023'!$D$4="FO",'2023'!$D$2=BB5),'2023DATA'!$K$36,"")</f>
        <v/>
      </c>
      <c r="BC39" s="518" t="str">
        <f>IF(AND(_AC3="A-220-100",'2023'!$D$4="FO",'2023'!$D$2=BC5),'2023DATA'!$L$36,"")</f>
        <v/>
      </c>
      <c r="BD39" s="518" t="str">
        <f>IF(AND(_AC3="A-220-100",'2023'!$D$4="FO",'2023'!$D$2=BD5),'2023DATA'!$M$36,"")</f>
        <v/>
      </c>
      <c r="BE39" s="520" t="str">
        <f>IF(AND(_AC3="A-220-100",'2023'!$D$4="FO",'2023'!$D$2=BE5),'2023DATA'!$N$36,"")</f>
        <v/>
      </c>
      <c r="BF39" s="940"/>
      <c r="BG39" s="13" t="s">
        <v>62</v>
      </c>
      <c r="BH39" s="518" t="str">
        <f>IF(AND(_AC4="A-220-100",'2023'!$D$4="FO",'2023'!$D$2=BH5),'2023DATA'!$C$36,"")</f>
        <v/>
      </c>
      <c r="BI39" s="518" t="str">
        <f>IF(AND(_AC4="A-220-100",'2023'!$D$4="FO",'2023'!$D$2=BI5),'2023DATA'!$D$36,"")</f>
        <v/>
      </c>
      <c r="BJ39" s="518" t="str">
        <f>IF(AND(_AC4="A-220-100",'2023'!$D$4="FO",'2023'!$D$2=BJ5),'2023DATA'!$E$36,"")</f>
        <v/>
      </c>
      <c r="BK39" s="518" t="str">
        <f>IF(AND(_AC4="A-220-100",'2023'!$D$4="FO",'2023'!$D$2=BK5),'2023DATA'!$F$36,"")</f>
        <v/>
      </c>
      <c r="BL39" s="518" t="str">
        <f>IF(AND(_AC4="A-220-100",'2023'!$D$4="FO",'2023'!$D$2=BL5),'2023DATA'!$G$36,"")</f>
        <v/>
      </c>
      <c r="BM39" s="518" t="str">
        <f>IF(AND(_AC4="A-220-100",'2023'!$D$4="FO",'2023'!$D$2=BM5),'2023DATA'!$H$36,"")</f>
        <v/>
      </c>
      <c r="BN39" s="518" t="str">
        <f>IF(AND(_AC4="A-220-100",'2023'!$D$4="FO",'2023'!$D$2=BN5),'2023DATA'!$I$36,"")</f>
        <v/>
      </c>
      <c r="BO39" s="518" t="str">
        <f>IF(AND(_AC4="A-220-100",'2023'!$D$4="FO",'2023'!$D$2=BO5),'2023DATA'!$J$36,"")</f>
        <v/>
      </c>
      <c r="BP39" s="518" t="str">
        <f>IF(AND(_AC4="A-220-100",'2023'!$D$4="FO",'2023'!$D$2=BP5),'2023DATA'!$K$36,"")</f>
        <v/>
      </c>
      <c r="BQ39" s="518" t="str">
        <f>IF(AND(_AC4="A-220-100",'2023'!$D$4="FO",'2023'!$D$2=BQ5),'2023DATA'!$L$36,"")</f>
        <v/>
      </c>
      <c r="BR39" s="518" t="str">
        <f>IF(AND(_AC4="A-220-100",'2023'!$D$4="FO",'2023'!$D$2=BR5),'2023DATA'!$M$36,"")</f>
        <v/>
      </c>
      <c r="BS39" s="520" t="str">
        <f>IF(AND(_AC4="A-220-100",'2023'!$D$4="FO",'2023'!$D$2=BS5),'2023DATA'!$N$36,"")</f>
        <v/>
      </c>
      <c r="BT39" s="940"/>
      <c r="BU39" s="13" t="s">
        <v>62</v>
      </c>
      <c r="BV39" s="518" t="str">
        <f>IF(AND(_AC5="A-220-100",'2023'!$D$4="FO",'2023'!$D$2=BV5),'2023DATA'!$C$36,"")</f>
        <v/>
      </c>
      <c r="BW39" s="518" t="str">
        <f>IF(AND(_AC5="A-220-100",'2023'!$D$4="FO",'2023'!$D$2=BW5),'2023DATA'!$D$36,"")</f>
        <v/>
      </c>
      <c r="BX39" s="518" t="str">
        <f>IF(AND(_AC5="A-220-100",'2023'!$D$4="FO",'2023'!$D$2=BX5),'2023DATA'!$E$36,"")</f>
        <v/>
      </c>
      <c r="BY39" s="518" t="str">
        <f>IF(AND(_AC5="A-220-100",'2023'!$D$4="FO",'2023'!$D$2=BY5),'2023DATA'!$F$36,"")</f>
        <v/>
      </c>
      <c r="BZ39" s="518" t="str">
        <f>IF(AND(_AC5="A-220-100",'2023'!$D$4="FO",'2023'!$D$2=BZ5),'2023DATA'!$G$36,"")</f>
        <v/>
      </c>
      <c r="CA39" s="518" t="str">
        <f>IF(AND(_AC5="A-220-100",'2023'!$D$4="FO",'2023'!$D$2=CA5),'2023DATA'!$H$36,"")</f>
        <v/>
      </c>
      <c r="CB39" s="518" t="str">
        <f>IF(AND(_AC5="A-220-100",'2023'!$D$4="FO",'2023'!$D$2=CB5),'2023DATA'!$I$36,"")</f>
        <v/>
      </c>
      <c r="CC39" s="518" t="str">
        <f>IF(AND(_AC5="A-220-100",'2023'!$D$4="FO",'2023'!$D$2=CC5),'2023DATA'!$J$36,"")</f>
        <v/>
      </c>
      <c r="CD39" s="518" t="str">
        <f>IF(AND(_AC5="A-220-100",'2023'!$D$4="FO",'2023'!$D$2=CD5),'2023DATA'!$K$36,"")</f>
        <v/>
      </c>
      <c r="CE39" s="518" t="str">
        <f>IF(AND(_AC5="A-220-100",'2023'!$D$4="FO",'2023'!$D$2=CE5),'2023DATA'!$L$36,"")</f>
        <v/>
      </c>
      <c r="CF39" s="518" t="str">
        <f>IF(AND(_AC5="A-220-100",'2023'!$D$4="FO",'2023'!$D$2=CF5),'2023DATA'!$M$36,"")</f>
        <v/>
      </c>
      <c r="CG39" s="520" t="str">
        <f>IF(AND(_AC5="A-220-100",'2023'!$D$4="FO",'2023'!$D$2=CG5),'2023DATA'!$N$36,"")</f>
        <v/>
      </c>
      <c r="CH39" s="940"/>
      <c r="CI39" s="13" t="s">
        <v>62</v>
      </c>
      <c r="CJ39" s="518" t="str">
        <f>IF(AND(_AC6="A-220-100",'2023'!$D$4="FO",'2023'!$D$2=CJ5),'2023DATA'!$C$36,"")</f>
        <v/>
      </c>
      <c r="CK39" s="518" t="str">
        <f>IF(AND(_AC6="A-220-100",'2023'!$D$4="FO",'2023'!$D$2=CK5),'2023DATA'!$D$36,"")</f>
        <v/>
      </c>
      <c r="CL39" s="518" t="str">
        <f>IF(AND(_AC6="A-220-100",'2023'!$D$4="FO",'2023'!$D$2=CL5),'2023DATA'!$E$36,"")</f>
        <v/>
      </c>
      <c r="CM39" s="518" t="str">
        <f>IF(AND(_AC6="A-220-100",'2023'!$D$4="FO",'2023'!$D$2=CM5),'2023DATA'!$F$36,"")</f>
        <v/>
      </c>
      <c r="CN39" s="518" t="str">
        <f>IF(AND(_AC6="A-220-100",'2023'!$D$4="FO",'2023'!$D$2=CN5),'2023DATA'!$G$36,"")</f>
        <v/>
      </c>
      <c r="CO39" s="518" t="str">
        <f>IF(AND(_AC6="A-220-100",'2023'!$D$4="FO",'2023'!$D$2=CO5),'2023DATA'!$H$36,"")</f>
        <v/>
      </c>
      <c r="CP39" s="518" t="str">
        <f>IF(AND(_AC6="A-220-100",'2023'!$D$4="FO",'2023'!$D$2=CP5),'2023DATA'!$I$36,"")</f>
        <v/>
      </c>
      <c r="CQ39" s="518" t="str">
        <f>IF(AND(_AC6="A-220-100",'2023'!$D$4="FO",'2023'!$D$2=CQ5),'2023DATA'!$J$36,"")</f>
        <v/>
      </c>
      <c r="CR39" s="518" t="str">
        <f>IF(AND(_AC6="A-220-100",'2023'!$D$4="FO",'2023'!$D$2=CR5),'2023DATA'!$K$36,"")</f>
        <v/>
      </c>
      <c r="CS39" s="518" t="str">
        <f>IF(AND(_AC6="A-220-100",'2023'!$D$4="FO",'2023'!$D$2=CS5),'2023DATA'!$L$36,"")</f>
        <v/>
      </c>
      <c r="CT39" s="518" t="str">
        <f>IF(AND(_AC6="A-220-100",'2023'!$D$4="FO",'2023'!$D$2=CT5),'2023DATA'!$M$36,"")</f>
        <v/>
      </c>
      <c r="CU39" s="520" t="str">
        <f>IF(AND(_AC6="A-220-100",'2023'!$D$4="FO",'2023'!$D$2=CU5),'2023DATA'!$N$36,"")</f>
        <v/>
      </c>
    </row>
    <row r="40" spans="1:99" x14ac:dyDescent="0.25">
      <c r="P40" s="940" t="s">
        <v>53</v>
      </c>
      <c r="Q40" s="13" t="s">
        <v>61</v>
      </c>
      <c r="R40" s="518" t="str">
        <f>IF(AND(_AC1="B-717",'2023'!$D$4="CA",'2023'!$D$2=R5),'2023DATA'!$C$37,"")</f>
        <v/>
      </c>
      <c r="S40" s="518" t="str">
        <f>IF(AND(_AC1="B-717",'2023'!$D$4="CA",'2023'!$D$2=S5),'2023DATA'!$D$37,"")</f>
        <v/>
      </c>
      <c r="T40" s="518" t="str">
        <f>IF(AND(_AC1="B-717",'2023'!$D$4="CA",'2023'!$D$2=T5),'2023DATA'!$E$37,"")</f>
        <v/>
      </c>
      <c r="U40" s="518" t="str">
        <f>IF(AND(_AC1="B-717",'2023'!$D$4="CA",'2023'!$D$2=U5),'2023DATA'!$F$37,"")</f>
        <v/>
      </c>
      <c r="V40" s="518" t="str">
        <f>IF(AND(_AC1="B-717",'2023'!$D$4="CA",'2023'!$D$2=V5),'2023DATA'!$G$37,"")</f>
        <v/>
      </c>
      <c r="W40" s="518" t="str">
        <f>IF(AND(_AC1="B-717",'2023'!$D$4="CA",'2023'!$D$2=W5),'2023DATA'!$H$37,"")</f>
        <v/>
      </c>
      <c r="X40" s="518" t="str">
        <f>IF(AND(_AC1="B-717",'2023'!$D$4="CA",'2023'!$D$2=X5),'2023DATA'!$I$37,"")</f>
        <v/>
      </c>
      <c r="Y40" s="518" t="str">
        <f>IF(AND(_AC1="B-717",'2023'!$D$4="CA",'2023'!$D$2=Y5),'2023DATA'!$J$37,"")</f>
        <v/>
      </c>
      <c r="Z40" s="518" t="str">
        <f>IF(AND(_AC1="B-717",'2023'!$D$4="CA",'2023'!$D$2=Z5),'2023DATA'!$K$37,"")</f>
        <v/>
      </c>
      <c r="AA40" s="518" t="str">
        <f>IF(AND(_AC1="B-717",'2023'!$D$4="CA",'2023'!$D$2=AA5),'2023DATA'!$L$37,"")</f>
        <v/>
      </c>
      <c r="AB40" s="518" t="str">
        <f>IF(AND(_AC1="B-717",'2023'!$D$4="CA",'2023'!$D$2=AB5),'2023DATA'!$M$37,"")</f>
        <v/>
      </c>
      <c r="AC40" s="520" t="str">
        <f>IF(AND(_AC1="B-717",'2023'!$D$4="CA",'2023'!$D$2=AC5),'2023DATA'!$N$37,"")</f>
        <v/>
      </c>
      <c r="AD40" s="940" t="s">
        <v>53</v>
      </c>
      <c r="AE40" s="13" t="s">
        <v>61</v>
      </c>
      <c r="AF40" s="518" t="str">
        <f>IF(AND(_AC2="B-717",'2023'!$D$4="CA",'2023'!$D$2=AF5),'2023DATA'!$C$37,"")</f>
        <v/>
      </c>
      <c r="AG40" s="518" t="str">
        <f>IF(AND(_AC2="B-717",'2023'!$D$4="CA",'2023'!$D$2=AG5),'2023DATA'!$D$37,"")</f>
        <v/>
      </c>
      <c r="AH40" s="518" t="str">
        <f>IF(AND(_AC2="B-717",'2023'!$D$4="CA",'2023'!$D$2=AH5),'2023DATA'!$E$37,"")</f>
        <v/>
      </c>
      <c r="AI40" s="518" t="str">
        <f>IF(AND(_AC2="B-717",'2023'!$D$4="CA",'2023'!$D$2=AI5),'2023DATA'!$F$37,"")</f>
        <v/>
      </c>
      <c r="AJ40" s="518" t="str">
        <f>IF(AND(_AC2="B-717",'2023'!$D$4="CA",'2023'!$D$2=AJ5),'2023DATA'!$G$37,"")</f>
        <v/>
      </c>
      <c r="AK40" s="518" t="str">
        <f>IF(AND(_AC2="B-717",'2023'!$D$4="CA",'2023'!$D$2=AK5),'2023DATA'!$H$37,"")</f>
        <v/>
      </c>
      <c r="AL40" s="518" t="str">
        <f>IF(AND(_AC2="B-717",'2023'!$D$4="CA",'2023'!$D$2=AL5),'2023DATA'!$I$37,"")</f>
        <v/>
      </c>
      <c r="AM40" s="518" t="str">
        <f>IF(AND(_AC2="B-717",'2023'!$D$4="CA",'2023'!$D$2=AM5),'2023DATA'!$J$37,"")</f>
        <v/>
      </c>
      <c r="AN40" s="518" t="str">
        <f>IF(AND(_AC2="B-717",'2023'!$D$4="CA",'2023'!$D$2=AN5),'2023DATA'!$K$37,"")</f>
        <v/>
      </c>
      <c r="AO40" s="518" t="str">
        <f>IF(AND(_AC2="B-717",'2023'!$D$4="CA",'2023'!$D$2=AO5),'2023DATA'!$L$37,"")</f>
        <v/>
      </c>
      <c r="AP40" s="518" t="str">
        <f>IF(AND(_AC2="B-717",'2023'!$D$4="CA",'2023'!$D$2=AP5),'2023DATA'!$M$37,"")</f>
        <v/>
      </c>
      <c r="AQ40" s="520" t="str">
        <f>IF(AND(_AC2="B-717",'2023'!$D$4="CA",'2023'!$D$2=AQ5),'2023DATA'!$N$37,"")</f>
        <v/>
      </c>
      <c r="AR40" s="940" t="s">
        <v>53</v>
      </c>
      <c r="AS40" s="13" t="s">
        <v>61</v>
      </c>
      <c r="AT40" s="518" t="str">
        <f>IF(AND(_AC3="B-717",'2023'!$D$4="CA",'2023'!$D$2=AT5),'2023DATA'!$C$37,"")</f>
        <v/>
      </c>
      <c r="AU40" s="518" t="str">
        <f>IF(AND(_AC3="B-717",'2023'!$D$4="CA",'2023'!$D$2=AU5),'2023DATA'!$D$37,"")</f>
        <v/>
      </c>
      <c r="AV40" s="518" t="str">
        <f>IF(AND(_AC3="B-717",'2023'!$D$4="CA",'2023'!$D$2=AV5),'2023DATA'!$E$37,"")</f>
        <v/>
      </c>
      <c r="AW40" s="518" t="str">
        <f>IF(AND(_AC3="B-717",'2023'!$D$4="CA",'2023'!$D$2=AW5),'2023DATA'!$F$37,"")</f>
        <v/>
      </c>
      <c r="AX40" s="518" t="str">
        <f>IF(AND(_AC3="B-717",'2023'!$D$4="CA",'2023'!$D$2=AX5),'2023DATA'!$G$37,"")</f>
        <v/>
      </c>
      <c r="AY40" s="518" t="str">
        <f>IF(AND(_AC3="B-717",'2023'!$D$4="CA",'2023'!$D$2=AY5),'2023DATA'!$H$37,"")</f>
        <v/>
      </c>
      <c r="AZ40" s="518" t="str">
        <f>IF(AND(_AC3="B-717",'2023'!$D$4="CA",'2023'!$D$2=AZ5),'2023DATA'!$I$37,"")</f>
        <v/>
      </c>
      <c r="BA40" s="518" t="str">
        <f>IF(AND(_AC3="B-717",'2023'!$D$4="CA",'2023'!$D$2=BA5),'2023DATA'!$J$37,"")</f>
        <v/>
      </c>
      <c r="BB40" s="518" t="str">
        <f>IF(AND(_AC3="B-717",'2023'!$D$4="CA",'2023'!$D$2=BB5),'2023DATA'!$K$37,"")</f>
        <v/>
      </c>
      <c r="BC40" s="518" t="str">
        <f>IF(AND(_AC3="B-717",'2023'!$D$4="CA",'2023'!$D$2=BC5),'2023DATA'!$L$37,"")</f>
        <v/>
      </c>
      <c r="BD40" s="518" t="str">
        <f>IF(AND(_AC3="B-717",'2023'!$D$4="CA",'2023'!$D$2=BD5),'2023DATA'!$M$37,"")</f>
        <v/>
      </c>
      <c r="BE40" s="520" t="str">
        <f>IF(AND(_AC3="B-717",'2023'!$D$4="CA",'2023'!$D$2=BE5),'2023DATA'!$N$37,"")</f>
        <v/>
      </c>
      <c r="BF40" s="940" t="s">
        <v>53</v>
      </c>
      <c r="BG40" s="13" t="s">
        <v>61</v>
      </c>
      <c r="BH40" s="518" t="str">
        <f>IF(AND(_AC4="B-717",'2023'!$D$4="CA",'2023'!$D$2=BH5),'2023DATA'!$C$37,"")</f>
        <v/>
      </c>
      <c r="BI40" s="518" t="str">
        <f>IF(AND(_AC4="B-717",'2023'!$D$4="CA",'2023'!$D$2=BI5),'2023DATA'!$D$37,"")</f>
        <v/>
      </c>
      <c r="BJ40" s="518" t="str">
        <f>IF(AND(_AC4="B-717",'2023'!$D$4="CA",'2023'!$D$2=BJ5),'2023DATA'!$E$37,"")</f>
        <v/>
      </c>
      <c r="BK40" s="518" t="str">
        <f>IF(AND(_AC4="B-717",'2023'!$D$4="CA",'2023'!$D$2=BK5),'2023DATA'!$F$37,"")</f>
        <v/>
      </c>
      <c r="BL40" s="518" t="str">
        <f>IF(AND(_AC4="B-717",'2023'!$D$4="CA",'2023'!$D$2=BL5),'2023DATA'!$G$37,"")</f>
        <v/>
      </c>
      <c r="BM40" s="518" t="str">
        <f>IF(AND(_AC4="B-717",'2023'!$D$4="CA",'2023'!$D$2=BM5),'2023DATA'!$H$37,"")</f>
        <v/>
      </c>
      <c r="BN40" s="518" t="str">
        <f>IF(AND(_AC4="B-717",'2023'!$D$4="CA",'2023'!$D$2=BN5),'2023DATA'!$I$37,"")</f>
        <v/>
      </c>
      <c r="BO40" s="518" t="str">
        <f>IF(AND(_AC4="B-717",'2023'!$D$4="CA",'2023'!$D$2=BO5),'2023DATA'!$J$37,"")</f>
        <v/>
      </c>
      <c r="BP40" s="518" t="str">
        <f>IF(AND(_AC4="B-717",'2023'!$D$4="CA",'2023'!$D$2=BP5),'2023DATA'!$K$37,"")</f>
        <v/>
      </c>
      <c r="BQ40" s="518" t="str">
        <f>IF(AND(_AC4="B-717",'2023'!$D$4="CA",'2023'!$D$2=BQ5),'2023DATA'!$L$37,"")</f>
        <v/>
      </c>
      <c r="BR40" s="518" t="str">
        <f>IF(AND(_AC4="B-717",'2023'!$D$4="CA",'2023'!$D$2=BR5),'2023DATA'!$M$37,"")</f>
        <v/>
      </c>
      <c r="BS40" s="520" t="str">
        <f>IF(AND(_AC4="B-717",'2023'!$D$4="CA",'2023'!$D$2=BS5),'2023DATA'!$N$37,"")</f>
        <v/>
      </c>
      <c r="BT40" s="940" t="s">
        <v>53</v>
      </c>
      <c r="BU40" s="13" t="s">
        <v>61</v>
      </c>
      <c r="BV40" s="518" t="str">
        <f>IF(AND(_AC5="B-717",'2023'!$D$4="CA",'2023'!$D$2=BV5),'2023DATA'!$C$37,"")</f>
        <v/>
      </c>
      <c r="BW40" s="518" t="str">
        <f>IF(AND(_AC5="B-717",'2023'!$D$4="CA",'2023'!$D$2=BW5),'2023DATA'!$D$37,"")</f>
        <v/>
      </c>
      <c r="BX40" s="518" t="str">
        <f>IF(AND(_AC5="B-717",'2023'!$D$4="CA",'2023'!$D$2=BX5),'2023DATA'!$E$37,"")</f>
        <v/>
      </c>
      <c r="BY40" s="518" t="str">
        <f>IF(AND(_AC5="B-717",'2023'!$D$4="CA",'2023'!$D$2=BY5),'2023DATA'!$F$37,"")</f>
        <v/>
      </c>
      <c r="BZ40" s="518" t="str">
        <f>IF(AND(_AC5="B-717",'2023'!$D$4="CA",'2023'!$D$2=BZ5),'2023DATA'!$G$37,"")</f>
        <v/>
      </c>
      <c r="CA40" s="518" t="str">
        <f>IF(AND(_AC5="B-717",'2023'!$D$4="CA",'2023'!$D$2=CA5),'2023DATA'!$H$37,"")</f>
        <v/>
      </c>
      <c r="CB40" s="518" t="str">
        <f>IF(AND(_AC5="B-717",'2023'!$D$4="CA",'2023'!$D$2=CB5),'2023DATA'!$I$37,"")</f>
        <v/>
      </c>
      <c r="CC40" s="518" t="str">
        <f>IF(AND(_AC5="B-717",'2023'!$D$4="CA",'2023'!$D$2=CC5),'2023DATA'!$J$37,"")</f>
        <v/>
      </c>
      <c r="CD40" s="518" t="str">
        <f>IF(AND(_AC5="B-717",'2023'!$D$4="CA",'2023'!$D$2=CD5),'2023DATA'!$K$37,"")</f>
        <v/>
      </c>
      <c r="CE40" s="518" t="str">
        <f>IF(AND(_AC5="B-717",'2023'!$D$4="CA",'2023'!$D$2=CE5),'2023DATA'!$L$37,"")</f>
        <v/>
      </c>
      <c r="CF40" s="518" t="str">
        <f>IF(AND(_AC5="B-717",'2023'!$D$4="CA",'2023'!$D$2=CF5),'2023DATA'!$M$37,"")</f>
        <v/>
      </c>
      <c r="CG40" s="520" t="str">
        <f>IF(AND(_AC5="B-717",'2023'!$D$4="CA",'2023'!$D$2=CG5),'2023DATA'!$N$37,"")</f>
        <v/>
      </c>
      <c r="CH40" s="940" t="s">
        <v>53</v>
      </c>
      <c r="CI40" s="13" t="s">
        <v>61</v>
      </c>
      <c r="CJ40" s="518" t="str">
        <f>IF(AND(_AC6="B-717",'2023'!$D$4="CA",'2023'!$D$2=CJ5),'2023DATA'!$C$37,"")</f>
        <v/>
      </c>
      <c r="CK40" s="518" t="str">
        <f>IF(AND(_AC6="B-717",'2023'!$D$4="CA",'2023'!$D$2=CK5),'2023DATA'!$D$37,"")</f>
        <v/>
      </c>
      <c r="CL40" s="518" t="str">
        <f>IF(AND(_AC6="B-717",'2023'!$D$4="CA",'2023'!$D$2=CL5),'2023DATA'!$E$37,"")</f>
        <v/>
      </c>
      <c r="CM40" s="518" t="str">
        <f>IF(AND(_AC6="B-717",'2023'!$D$4="CA",'2023'!$D$2=CM5),'2023DATA'!$F$37,"")</f>
        <v/>
      </c>
      <c r="CN40" s="518" t="str">
        <f>IF(AND(_AC6="B-717",'2023'!$D$4="CA",'2023'!$D$2=CN5),'2023DATA'!$G$37,"")</f>
        <v/>
      </c>
      <c r="CO40" s="518" t="str">
        <f>IF(AND(_AC6="B-717",'2023'!$D$4="CA",'2023'!$D$2=CO5),'2023DATA'!$H$37,"")</f>
        <v/>
      </c>
      <c r="CP40" s="518" t="str">
        <f>IF(AND(_AC6="B-717",'2023'!$D$4="CA",'2023'!$D$2=CP5),'2023DATA'!$I$37,"")</f>
        <v/>
      </c>
      <c r="CQ40" s="518" t="str">
        <f>IF(AND(_AC6="B-717",'2023'!$D$4="CA",'2023'!$D$2=CQ5),'2023DATA'!$J$37,"")</f>
        <v/>
      </c>
      <c r="CR40" s="518" t="str">
        <f>IF(AND(_AC6="B-717",'2023'!$D$4="CA",'2023'!$D$2=CR5),'2023DATA'!$K$37,"")</f>
        <v/>
      </c>
      <c r="CS40" s="518" t="str">
        <f>IF(AND(_AC6="B-717",'2023'!$D$4="CA",'2023'!$D$2=CS5),'2023DATA'!$L$37,"")</f>
        <v/>
      </c>
      <c r="CT40" s="518" t="str">
        <f>IF(AND(_AC6="B-717",'2023'!$D$4="CA",'2023'!$D$2=CT5),'2023DATA'!$M$37,"")</f>
        <v/>
      </c>
      <c r="CU40" s="520" t="str">
        <f>IF(AND(_AC6="B-717",'2023'!$D$4="CA",'2023'!$D$2=CU5),'2023DATA'!$N$37,"")</f>
        <v/>
      </c>
    </row>
    <row r="41" spans="1:99" ht="15.75" thickBot="1" x14ac:dyDescent="0.3">
      <c r="P41" s="941"/>
      <c r="Q41" s="521" t="s">
        <v>62</v>
      </c>
      <c r="R41" s="522" t="str">
        <f>IF(AND(_AC1="B-717",'2023'!$D$4="FO",'2023'!$D$2=R5),'2023DATA'!$C$38,"")</f>
        <v/>
      </c>
      <c r="S41" s="522" t="str">
        <f>IF(AND(_AC1="B-717",'2023'!$D$4="FO",'2023'!$D$2=S5),'2023DATA'!$D$38,"")</f>
        <v/>
      </c>
      <c r="T41" s="522" t="str">
        <f>IF(AND(_AC1="B-717",'2023'!$D$4="FO",'2023'!$D$2=T5),'2023DATA'!$E$38,"")</f>
        <v/>
      </c>
      <c r="U41" s="522" t="str">
        <f>IF(AND(_AC1="B-717",'2023'!$D$4="FO",'2023'!$D$2=U5),'2023DATA'!$F$38,"")</f>
        <v/>
      </c>
      <c r="V41" s="522" t="str">
        <f>IF(AND(_AC1="B-717",'2023'!$D$4="FO",'2023'!$D$2=V5),'2023DATA'!$G$38,"")</f>
        <v/>
      </c>
      <c r="W41" s="522" t="str">
        <f>IF(AND(_AC1="B-717",'2023'!$D$4="FO",'2023'!$D$2=W5),'2023DATA'!$H$38,"")</f>
        <v/>
      </c>
      <c r="X41" s="522" t="str">
        <f>IF(AND(_AC1="B-717",'2023'!$D$4="FO",'2023'!$D$2=X5),'2023DATA'!$I$38,"")</f>
        <v/>
      </c>
      <c r="Y41" s="522" t="str">
        <f>IF(AND(_AC1="B-717",'2023'!$D$4="FO",'2023'!$D$2=Y5),'2023DATA'!$J$38,"")</f>
        <v/>
      </c>
      <c r="Z41" s="522" t="str">
        <f>IF(AND(_AC1="B-717",'2023'!$D$4="FO",'2023'!$D$2=Z5),'2023DATA'!$K$38,"")</f>
        <v/>
      </c>
      <c r="AA41" s="522" t="str">
        <f>IF(AND(_AC1="B-717",'2023'!$D$4="FO",'2023'!$D$2=AA5),'2023DATA'!$L$38,"")</f>
        <v/>
      </c>
      <c r="AB41" s="522" t="str">
        <f>IF(AND(_AC1="B-717",'2023'!$D$4="FO",'2023'!$D$2=AB5),'2023DATA'!$M$38,"")</f>
        <v/>
      </c>
      <c r="AC41" s="523" t="str">
        <f>IF(AND(_AC1="B-717",'2023'!$D$4="FO",'2023'!$D$2=AC5),'2023DATA'!$N$38,"")</f>
        <v/>
      </c>
      <c r="AD41" s="940"/>
      <c r="AE41" s="13" t="s">
        <v>62</v>
      </c>
      <c r="AF41" s="518" t="str">
        <f>IF(AND(_AC2="B-717",'2023'!$D$4="FO",'2023'!$D$2=AF5),'2023DATA'!$C$38,"")</f>
        <v/>
      </c>
      <c r="AG41" s="518" t="str">
        <f>IF(AND(_AC2="B-717",'2023'!$D$4="FO",'2023'!$D$2=AG5),'2023DATA'!$D$38,"")</f>
        <v/>
      </c>
      <c r="AH41" s="518" t="str">
        <f>IF(AND(_AC2="B-717",'2023'!$D$4="FO",'2023'!$D$2=AH5),'2023DATA'!$E$38,"")</f>
        <v/>
      </c>
      <c r="AI41" s="518" t="str">
        <f>IF(AND(_AC2="B-717",'2023'!$D$4="FO",'2023'!$D$2=AI5),'2023DATA'!$F$38,"")</f>
        <v/>
      </c>
      <c r="AJ41" s="518" t="str">
        <f>IF(AND(_AC2="B-717",'2023'!$D$4="FO",'2023'!$D$2=AJ5),'2023DATA'!$G$38,"")</f>
        <v/>
      </c>
      <c r="AK41" s="518" t="str">
        <f>IF(AND(_AC2="B-717",'2023'!$D$4="FO",'2023'!$D$2=AK5),'2023DATA'!$H$38,"")</f>
        <v/>
      </c>
      <c r="AL41" s="518" t="str">
        <f>IF(AND(_AC2="B-717",'2023'!$D$4="FO",'2023'!$D$2=AL5),'2023DATA'!$I$38,"")</f>
        <v/>
      </c>
      <c r="AM41" s="518" t="str">
        <f>IF(AND(_AC2="B-717",'2023'!$D$4="FO",'2023'!$D$2=AM5),'2023DATA'!$J$38,"")</f>
        <v/>
      </c>
      <c r="AN41" s="518" t="str">
        <f>IF(AND(_AC2="B-717",'2023'!$D$4="FO",'2023'!$D$2=AN5),'2023DATA'!$K$38,"")</f>
        <v/>
      </c>
      <c r="AO41" s="518" t="str">
        <f>IF(AND(_AC2="B-717",'2023'!$D$4="FO",'2023'!$D$2=AO5),'2023DATA'!$L$38,"")</f>
        <v/>
      </c>
      <c r="AP41" s="518" t="str">
        <f>IF(AND(_AC2="B-717",'2023'!$D$4="FO",'2023'!$D$2=AP5),'2023DATA'!$M$38,"")</f>
        <v/>
      </c>
      <c r="AQ41" s="520" t="str">
        <f>IF(AND(_AC2="B-717",'2023'!$D$4="FO",'2023'!$D$2=AQ5),'2023DATA'!$N$38,"")</f>
        <v/>
      </c>
      <c r="AR41" s="940"/>
      <c r="AS41" s="13" t="s">
        <v>62</v>
      </c>
      <c r="AT41" s="518" t="str">
        <f>IF(AND(_AC3="B-717",'2023'!$D$4="FO",'2023'!$D$2=AT5),'2023DATA'!$C$38,"")</f>
        <v/>
      </c>
      <c r="AU41" s="518" t="str">
        <f>IF(AND(_AC3="B-717",'2023'!$D$4="FO",'2023'!$D$2=AU5),'2023DATA'!$D$38,"")</f>
        <v/>
      </c>
      <c r="AV41" s="518" t="str">
        <f>IF(AND(_AC3="B-717",'2023'!$D$4="FO",'2023'!$D$2=AV5),'2023DATA'!$E$38,"")</f>
        <v/>
      </c>
      <c r="AW41" s="518" t="str">
        <f>IF(AND(_AC3="B-717",'2023'!$D$4="FO",'2023'!$D$2=AW5),'2023DATA'!$F$38,"")</f>
        <v/>
      </c>
      <c r="AX41" s="518" t="str">
        <f>IF(AND(_AC3="B-717",'2023'!$D$4="FO",'2023'!$D$2=AX5),'2023DATA'!$G$38,"")</f>
        <v/>
      </c>
      <c r="AY41" s="518" t="str">
        <f>IF(AND(_AC3="B-717",'2023'!$D$4="FO",'2023'!$D$2=AY5),'2023DATA'!$H$38,"")</f>
        <v/>
      </c>
      <c r="AZ41" s="518" t="str">
        <f>IF(AND(_AC3="B-717",'2023'!$D$4="FO",'2023'!$D$2=AZ5),'2023DATA'!$I$38,"")</f>
        <v/>
      </c>
      <c r="BA41" s="518" t="str">
        <f>IF(AND(_AC3="B-717",'2023'!$D$4="FO",'2023'!$D$2=BA5),'2023DATA'!$J$38,"")</f>
        <v/>
      </c>
      <c r="BB41" s="518" t="str">
        <f>IF(AND(_AC3="B-717",'2023'!$D$4="FO",'2023'!$D$2=BB5),'2023DATA'!$K$38,"")</f>
        <v/>
      </c>
      <c r="BC41" s="518" t="str">
        <f>IF(AND(_AC3="B-717",'2023'!$D$4="FO",'2023'!$D$2=BC5),'2023DATA'!$L$38,"")</f>
        <v/>
      </c>
      <c r="BD41" s="518" t="str">
        <f>IF(AND(_AC3="B-717",'2023'!$D$4="FO",'2023'!$D$2=BD5),'2023DATA'!$M$38,"")</f>
        <v/>
      </c>
      <c r="BE41" s="520" t="str">
        <f>IF(AND(_AC3="B-717",'2023'!$D$4="FO",'2023'!$D$2=BE5),'2023DATA'!$N$38,"")</f>
        <v/>
      </c>
      <c r="BF41" s="940"/>
      <c r="BG41" s="13" t="s">
        <v>62</v>
      </c>
      <c r="BH41" s="518" t="str">
        <f>IF(AND(_AC4="B-717",'2023'!$D$4="FO",'2023'!$D$2=BH5),'2023DATA'!$C$38,"")</f>
        <v/>
      </c>
      <c r="BI41" s="518" t="str">
        <f>IF(AND(_AC4="B-717",'2023'!$D$4="FO",'2023'!$D$2=BI5),'2023DATA'!$D$38,"")</f>
        <v/>
      </c>
      <c r="BJ41" s="518" t="str">
        <f>IF(AND(_AC4="B-717",'2023'!$D$4="FO",'2023'!$D$2=BJ5),'2023DATA'!$E$38,"")</f>
        <v/>
      </c>
      <c r="BK41" s="518" t="str">
        <f>IF(AND(_AC4="B-717",'2023'!$D$4="FO",'2023'!$D$2=BK5),'2023DATA'!$F$38,"")</f>
        <v/>
      </c>
      <c r="BL41" s="518" t="str">
        <f>IF(AND(_AC4="B-717",'2023'!$D$4="FO",'2023'!$D$2=BL5),'2023DATA'!$G$38,"")</f>
        <v/>
      </c>
      <c r="BM41" s="518" t="str">
        <f>IF(AND(_AC4="B-717",'2023'!$D$4="FO",'2023'!$D$2=BM5),'2023DATA'!$H$38,"")</f>
        <v/>
      </c>
      <c r="BN41" s="518" t="str">
        <f>IF(AND(_AC4="B-717",'2023'!$D$4="FO",'2023'!$D$2=BN5),'2023DATA'!$I$38,"")</f>
        <v/>
      </c>
      <c r="BO41" s="518" t="str">
        <f>IF(AND(_AC4="B-717",'2023'!$D$4="FO",'2023'!$D$2=BO5),'2023DATA'!$J$38,"")</f>
        <v/>
      </c>
      <c r="BP41" s="518" t="str">
        <f>IF(AND(_AC4="B-717",'2023'!$D$4="FO",'2023'!$D$2=BP5),'2023DATA'!$K$38,"")</f>
        <v/>
      </c>
      <c r="BQ41" s="518" t="str">
        <f>IF(AND(_AC4="B-717",'2023'!$D$4="FO",'2023'!$D$2=BQ5),'2023DATA'!$L$38,"")</f>
        <v/>
      </c>
      <c r="BR41" s="518" t="str">
        <f>IF(AND(_AC4="B-717",'2023'!$D$4="FO",'2023'!$D$2=BR5),'2023DATA'!$M$38,"")</f>
        <v/>
      </c>
      <c r="BS41" s="520" t="str">
        <f>IF(AND(_AC4="B-717",'2023'!$D$4="FO",'2023'!$D$2=BS5),'2023DATA'!$N$38,"")</f>
        <v/>
      </c>
      <c r="BT41" s="940"/>
      <c r="BU41" s="13" t="s">
        <v>62</v>
      </c>
      <c r="BV41" s="518" t="str">
        <f>IF(AND(_AC5="B-717",'2023'!$D$4="FO",'2023'!$D$2=BV5),'2023DATA'!$C$38,"")</f>
        <v/>
      </c>
      <c r="BW41" s="518" t="str">
        <f>IF(AND(_AC5="B-717",'2023'!$D$4="FO",'2023'!$D$2=BW5),'2023DATA'!$D$38,"")</f>
        <v/>
      </c>
      <c r="BX41" s="518" t="str">
        <f>IF(AND(_AC5="B-717",'2023'!$D$4="FO",'2023'!$D$2=BX5),'2023DATA'!$E$38,"")</f>
        <v/>
      </c>
      <c r="BY41" s="518" t="str">
        <f>IF(AND(_AC5="B-717",'2023'!$D$4="FO",'2023'!$D$2=BY5),'2023DATA'!$F$38,"")</f>
        <v/>
      </c>
      <c r="BZ41" s="518" t="str">
        <f>IF(AND(_AC5="B-717",'2023'!$D$4="FO",'2023'!$D$2=BZ5),'2023DATA'!$G$38,"")</f>
        <v/>
      </c>
      <c r="CA41" s="518" t="str">
        <f>IF(AND(_AC5="B-717",'2023'!$D$4="FO",'2023'!$D$2=CA5),'2023DATA'!$H$38,"")</f>
        <v/>
      </c>
      <c r="CB41" s="518" t="str">
        <f>IF(AND(_AC5="B-717",'2023'!$D$4="FO",'2023'!$D$2=CB5),'2023DATA'!$I$38,"")</f>
        <v/>
      </c>
      <c r="CC41" s="518" t="str">
        <f>IF(AND(_AC5="B-717",'2023'!$D$4="FO",'2023'!$D$2=CC5),'2023DATA'!$J$38,"")</f>
        <v/>
      </c>
      <c r="CD41" s="518" t="str">
        <f>IF(AND(_AC5="B-717",'2023'!$D$4="FO",'2023'!$D$2=CD5),'2023DATA'!$K$38,"")</f>
        <v/>
      </c>
      <c r="CE41" s="518" t="str">
        <f>IF(AND(_AC5="B-717",'2023'!$D$4="FO",'2023'!$D$2=CE5),'2023DATA'!$L$38,"")</f>
        <v/>
      </c>
      <c r="CF41" s="518" t="str">
        <f>IF(AND(_AC5="B-717",'2023'!$D$4="FO",'2023'!$D$2=CF5),'2023DATA'!$M$38,"")</f>
        <v/>
      </c>
      <c r="CG41" s="520" t="str">
        <f>IF(AND(_AC5="B-717",'2023'!$D$4="FO",'2023'!$D$2=CG5),'2023DATA'!$N$38,"")</f>
        <v/>
      </c>
      <c r="CH41" s="940"/>
      <c r="CI41" s="13" t="s">
        <v>62</v>
      </c>
      <c r="CJ41" s="518" t="str">
        <f>IF(AND(_AC6="B-717",'2023'!$D$4="FO",'2023'!$D$2=CJ5),'2023DATA'!$C$38,"")</f>
        <v/>
      </c>
      <c r="CK41" s="518" t="str">
        <f>IF(AND(_AC6="B-717",'2023'!$D$4="FO",'2023'!$D$2=CK5),'2023DATA'!$D$38,"")</f>
        <v/>
      </c>
      <c r="CL41" s="518" t="str">
        <f>IF(AND(_AC6="B-717",'2023'!$D$4="FO",'2023'!$D$2=CL5),'2023DATA'!$E$38,"")</f>
        <v/>
      </c>
      <c r="CM41" s="518" t="str">
        <f>IF(AND(_AC6="B-717",'2023'!$D$4="FO",'2023'!$D$2=CM5),'2023DATA'!$F$38,"")</f>
        <v/>
      </c>
      <c r="CN41" s="518" t="str">
        <f>IF(AND(_AC6="B-717",'2023'!$D$4="FO",'2023'!$D$2=CN5),'2023DATA'!$G$38,"")</f>
        <v/>
      </c>
      <c r="CO41" s="518" t="str">
        <f>IF(AND(_AC6="B-717",'2023'!$D$4="FO",'2023'!$D$2=CO5),'2023DATA'!$H$38,"")</f>
        <v/>
      </c>
      <c r="CP41" s="518" t="str">
        <f>IF(AND(_AC6="B-717",'2023'!$D$4="FO",'2023'!$D$2=CP5),'2023DATA'!$I$38,"")</f>
        <v/>
      </c>
      <c r="CQ41" s="518" t="str">
        <f>IF(AND(_AC6="B-717",'2023'!$D$4="FO",'2023'!$D$2=CQ5),'2023DATA'!$J$38,"")</f>
        <v/>
      </c>
      <c r="CR41" s="518" t="str">
        <f>IF(AND(_AC6="B-717",'2023'!$D$4="FO",'2023'!$D$2=CR5),'2023DATA'!$K$38,"")</f>
        <v/>
      </c>
      <c r="CS41" s="518" t="str">
        <f>IF(AND(_AC6="B-717",'2023'!$D$4="FO",'2023'!$D$2=CS5),'2023DATA'!$L$38,"")</f>
        <v/>
      </c>
      <c r="CT41" s="518" t="str">
        <f>IF(AND(_AC6="B-717",'2023'!$D$4="FO",'2023'!$D$2=CT5),'2023DATA'!$M$38,"")</f>
        <v/>
      </c>
      <c r="CU41" s="520" t="str">
        <f>IF(AND(_AC6="B-717",'2023'!$D$4="FO",'2023'!$D$2=CU5),'2023DATA'!$N$38,"")</f>
        <v/>
      </c>
    </row>
    <row r="42" spans="1:99" x14ac:dyDescent="0.25">
      <c r="P42" s="943" t="s">
        <v>140</v>
      </c>
      <c r="Q42" s="944"/>
      <c r="R42" s="944"/>
      <c r="S42" s="944"/>
      <c r="T42" s="944"/>
      <c r="U42" s="944"/>
      <c r="V42" s="944"/>
      <c r="W42" s="944"/>
      <c r="X42" s="944"/>
      <c r="Y42" s="944"/>
      <c r="Z42" s="944"/>
      <c r="AA42" s="944"/>
      <c r="AB42" s="944"/>
      <c r="AC42" s="945"/>
      <c r="AD42" s="943" t="s">
        <v>141</v>
      </c>
      <c r="AE42" s="944"/>
      <c r="AF42" s="944"/>
      <c r="AG42" s="944"/>
      <c r="AH42" s="944"/>
      <c r="AI42" s="944"/>
      <c r="AJ42" s="944"/>
      <c r="AK42" s="944"/>
      <c r="AL42" s="944"/>
      <c r="AM42" s="944"/>
      <c r="AN42" s="944"/>
      <c r="AO42" s="944"/>
      <c r="AP42" s="944"/>
      <c r="AQ42" s="945"/>
      <c r="AR42" s="943" t="s">
        <v>142</v>
      </c>
      <c r="AS42" s="944"/>
      <c r="AT42" s="944"/>
      <c r="AU42" s="944"/>
      <c r="AV42" s="944"/>
      <c r="AW42" s="944"/>
      <c r="AX42" s="944"/>
      <c r="AY42" s="944"/>
      <c r="AZ42" s="944"/>
      <c r="BA42" s="944"/>
      <c r="BB42" s="944"/>
      <c r="BC42" s="944"/>
      <c r="BD42" s="944"/>
      <c r="BE42" s="945"/>
      <c r="BF42" s="943" t="s">
        <v>143</v>
      </c>
      <c r="BG42" s="944"/>
      <c r="BH42" s="944"/>
      <c r="BI42" s="944"/>
      <c r="BJ42" s="944"/>
      <c r="BK42" s="944"/>
      <c r="BL42" s="944"/>
      <c r="BM42" s="944"/>
      <c r="BN42" s="944"/>
      <c r="BO42" s="944"/>
      <c r="BP42" s="944"/>
      <c r="BQ42" s="944"/>
      <c r="BR42" s="944"/>
      <c r="BS42" s="945"/>
      <c r="BT42" s="943" t="s">
        <v>144</v>
      </c>
      <c r="BU42" s="944"/>
      <c r="BV42" s="944"/>
      <c r="BW42" s="944"/>
      <c r="BX42" s="944"/>
      <c r="BY42" s="944"/>
      <c r="BZ42" s="944"/>
      <c r="CA42" s="944"/>
      <c r="CB42" s="944"/>
      <c r="CC42" s="944"/>
      <c r="CD42" s="944"/>
      <c r="CE42" s="944"/>
      <c r="CF42" s="944"/>
      <c r="CG42" s="945"/>
      <c r="CH42" s="943" t="s">
        <v>145</v>
      </c>
      <c r="CI42" s="944"/>
      <c r="CJ42" s="944"/>
      <c r="CK42" s="944"/>
      <c r="CL42" s="944"/>
      <c r="CM42" s="944"/>
      <c r="CN42" s="944"/>
      <c r="CO42" s="944"/>
      <c r="CP42" s="944"/>
      <c r="CQ42" s="944"/>
      <c r="CR42" s="944"/>
      <c r="CS42" s="944"/>
      <c r="CT42" s="944"/>
      <c r="CU42" s="945"/>
    </row>
    <row r="43" spans="1:99" x14ac:dyDescent="0.25">
      <c r="P43" s="581">
        <v>2</v>
      </c>
      <c r="Q43" s="571">
        <f>SUM(R44:AC79)</f>
        <v>0</v>
      </c>
      <c r="R43" s="3">
        <v>12</v>
      </c>
      <c r="S43" s="3">
        <v>11</v>
      </c>
      <c r="T43" s="3">
        <v>10</v>
      </c>
      <c r="U43" s="3">
        <v>9</v>
      </c>
      <c r="V43" s="3">
        <v>8</v>
      </c>
      <c r="W43" s="3">
        <v>7</v>
      </c>
      <c r="X43" s="3">
        <v>6</v>
      </c>
      <c r="Y43" s="3">
        <v>5</v>
      </c>
      <c r="Z43" s="3">
        <v>4</v>
      </c>
      <c r="AA43" s="3">
        <v>3</v>
      </c>
      <c r="AB43" s="3">
        <v>2</v>
      </c>
      <c r="AC43" s="519">
        <v>1</v>
      </c>
      <c r="AD43" s="571">
        <v>2</v>
      </c>
      <c r="AE43" s="571">
        <f>SUM(AF44:AQ79)</f>
        <v>0</v>
      </c>
      <c r="AF43" s="3">
        <v>12</v>
      </c>
      <c r="AG43" s="3">
        <v>11</v>
      </c>
      <c r="AH43" s="3">
        <v>10</v>
      </c>
      <c r="AI43" s="3">
        <v>9</v>
      </c>
      <c r="AJ43" s="3">
        <v>8</v>
      </c>
      <c r="AK43" s="3">
        <v>7</v>
      </c>
      <c r="AL43" s="3">
        <v>6</v>
      </c>
      <c r="AM43" s="3">
        <v>5</v>
      </c>
      <c r="AN43" s="3">
        <v>4</v>
      </c>
      <c r="AO43" s="3">
        <v>3</v>
      </c>
      <c r="AP43" s="3">
        <v>2</v>
      </c>
      <c r="AQ43" s="519">
        <v>1</v>
      </c>
      <c r="AR43" s="571">
        <v>2</v>
      </c>
      <c r="AS43" s="571">
        <f>SUM(AT44:BE79)</f>
        <v>0</v>
      </c>
      <c r="AT43" s="3">
        <v>12</v>
      </c>
      <c r="AU43" s="3">
        <v>11</v>
      </c>
      <c r="AV43" s="3">
        <v>10</v>
      </c>
      <c r="AW43" s="3">
        <v>9</v>
      </c>
      <c r="AX43" s="3">
        <v>8</v>
      </c>
      <c r="AY43" s="3">
        <v>7</v>
      </c>
      <c r="AZ43" s="3">
        <v>6</v>
      </c>
      <c r="BA43" s="3">
        <v>5</v>
      </c>
      <c r="BB43" s="3">
        <v>4</v>
      </c>
      <c r="BC43" s="3">
        <v>3</v>
      </c>
      <c r="BD43" s="3">
        <v>2</v>
      </c>
      <c r="BE43" s="519">
        <v>1</v>
      </c>
      <c r="BF43" s="571">
        <v>2</v>
      </c>
      <c r="BG43" s="571">
        <f>SUM(BH44:BS79)</f>
        <v>0</v>
      </c>
      <c r="BH43" s="3">
        <v>12</v>
      </c>
      <c r="BI43" s="3">
        <v>11</v>
      </c>
      <c r="BJ43" s="3">
        <v>10</v>
      </c>
      <c r="BK43" s="3">
        <v>9</v>
      </c>
      <c r="BL43" s="3">
        <v>8</v>
      </c>
      <c r="BM43" s="3">
        <v>7</v>
      </c>
      <c r="BN43" s="3">
        <v>6</v>
      </c>
      <c r="BO43" s="3">
        <v>5</v>
      </c>
      <c r="BP43" s="3">
        <v>4</v>
      </c>
      <c r="BQ43" s="3">
        <v>3</v>
      </c>
      <c r="BR43" s="3">
        <v>2</v>
      </c>
      <c r="BS43" s="519">
        <v>1</v>
      </c>
      <c r="BT43" s="571">
        <v>2</v>
      </c>
      <c r="BU43" s="571">
        <f>SUM(BV44:CG79)</f>
        <v>0</v>
      </c>
      <c r="BV43" s="3">
        <v>12</v>
      </c>
      <c r="BW43" s="3">
        <v>11</v>
      </c>
      <c r="BX43" s="3">
        <v>10</v>
      </c>
      <c r="BY43" s="3">
        <v>9</v>
      </c>
      <c r="BZ43" s="3">
        <v>8</v>
      </c>
      <c r="CA43" s="3">
        <v>7</v>
      </c>
      <c r="CB43" s="3">
        <v>6</v>
      </c>
      <c r="CC43" s="3">
        <v>5</v>
      </c>
      <c r="CD43" s="3">
        <v>4</v>
      </c>
      <c r="CE43" s="3">
        <v>3</v>
      </c>
      <c r="CF43" s="3">
        <v>2</v>
      </c>
      <c r="CG43" s="519">
        <v>1</v>
      </c>
      <c r="CH43" s="571">
        <v>2</v>
      </c>
      <c r="CI43" s="571">
        <f>SUM(CJ44:CU79)</f>
        <v>0</v>
      </c>
      <c r="CJ43" s="3">
        <v>12</v>
      </c>
      <c r="CK43" s="3">
        <v>11</v>
      </c>
      <c r="CL43" s="3">
        <v>10</v>
      </c>
      <c r="CM43" s="3">
        <v>9</v>
      </c>
      <c r="CN43" s="3">
        <v>8</v>
      </c>
      <c r="CO43" s="3">
        <v>7</v>
      </c>
      <c r="CP43" s="3">
        <v>6</v>
      </c>
      <c r="CQ43" s="3">
        <v>5</v>
      </c>
      <c r="CR43" s="3">
        <v>4</v>
      </c>
      <c r="CS43" s="3">
        <v>3</v>
      </c>
      <c r="CT43" s="3">
        <v>2</v>
      </c>
      <c r="CU43" s="519">
        <v>1</v>
      </c>
    </row>
    <row r="44" spans="1:99" x14ac:dyDescent="0.25">
      <c r="P44" s="940" t="s">
        <v>39</v>
      </c>
      <c r="Q44" s="13" t="s">
        <v>61</v>
      </c>
      <c r="R44" s="518" t="str">
        <f>IF(AND(_AC1="A-350",'2023'!$E$4="CA",'2023'!$E$2=R43),'2023DATA'!$C$3,"")</f>
        <v/>
      </c>
      <c r="S44" s="518" t="str">
        <f>IF(AND(_AC1="A-350",'2023'!$E$4="CA",'2023'!$E$2=S43),'2023DATA'!$D$3,"")</f>
        <v/>
      </c>
      <c r="T44" s="518" t="str">
        <f>IF(AND(_AC1="A-350",'2023'!$E$4="CA",'2023'!$E$2=T43),'2023DATA'!$E$3,"")</f>
        <v/>
      </c>
      <c r="U44" s="518" t="str">
        <f>IF(AND(_AC1="A-350",'2023'!$E$4="CA",'2023'!$E$2=U43),'2023DATA'!$F$3,"")</f>
        <v/>
      </c>
      <c r="V44" s="518" t="str">
        <f>IF(AND(_AC1="A-350",'2023'!$E$4="CA",'2023'!$E$2=V43),'2023DATA'!$G$3,"")</f>
        <v/>
      </c>
      <c r="W44" s="518" t="str">
        <f>IF(AND(_AC1="A-350",'2023'!$E$4="CA",'2023'!$E$2=W43),'2023DATA'!$H$3,"")</f>
        <v/>
      </c>
      <c r="X44" s="518" t="str">
        <f>IF(AND(_AC1="A-350",'2023'!$E$4="CA",'2023'!$E$2=X43),'2023DATA'!$I$3,"")</f>
        <v/>
      </c>
      <c r="Y44" s="518" t="str">
        <f>IF(AND(_AC1="A-350",'2023'!$E$4="CA",'2023'!$E$2=Y43),'2023DATA'!$J$3,"")</f>
        <v/>
      </c>
      <c r="Z44" s="518" t="str">
        <f>IF(AND(_AC1="A-350",'2023'!$E$4="CA",'2023'!$E$2=Z43),'2023DATA'!$K$3,"")</f>
        <v/>
      </c>
      <c r="AA44" s="518" t="str">
        <f>IF(AND(_AC1="A-350",'2023'!$E$4="CA",'2023'!$E$2=AA43),'2023DATA'!$L$3,"")</f>
        <v/>
      </c>
      <c r="AB44" s="518" t="str">
        <f>IF(AND(_AC1="A-350",'2023'!$E$4="CA",'2023'!$E$2=AB43),'2023DATA'!$M$3,"")</f>
        <v/>
      </c>
      <c r="AC44" s="520" t="str">
        <f>IF(AND(_AC1="A-350",'2023'!$E$4="CA",'2023'!$E$2=AC43),'2023DATA'!$N$3,"")</f>
        <v/>
      </c>
      <c r="AD44" s="940" t="s">
        <v>39</v>
      </c>
      <c r="AE44" s="13" t="s">
        <v>61</v>
      </c>
      <c r="AF44" s="518" t="str">
        <f>IF(AND(_AC2="A-350",'2023'!$E$4="CA",'2023'!$E$2=AF43),'2023DATA'!$C$3,"")</f>
        <v/>
      </c>
      <c r="AG44" s="518" t="str">
        <f>IF(AND(_AC2="A-350",'2023'!$E$4="CA",'2023'!$E$2=AG43),'2023DATA'!$D$3,"")</f>
        <v/>
      </c>
      <c r="AH44" s="518" t="str">
        <f>IF(AND(_AC2="A-350",'2023'!$E$4="CA",'2023'!$E$2=AH43),'2023DATA'!$E$3,"")</f>
        <v/>
      </c>
      <c r="AI44" s="518" t="str">
        <f>IF(AND(_AC2="A-350",'2023'!$E$4="CA",'2023'!$E$2=AI43),'2023DATA'!$F$3,"")</f>
        <v/>
      </c>
      <c r="AJ44" s="518" t="str">
        <f>IF(AND(_AC2="A-350",'2023'!$E$4="CA",'2023'!$E$2=AJ43),'2023DATA'!$G$3,"")</f>
        <v/>
      </c>
      <c r="AK44" s="518" t="str">
        <f>IF(AND(_AC2="A-350",'2023'!$E$4="CA",'2023'!$E$2=AK43),'2023DATA'!$H$3,"")</f>
        <v/>
      </c>
      <c r="AL44" s="518" t="str">
        <f>IF(AND(_AC2="A-350",'2023'!$E$4="CA",'2023'!$E$2=AL43),'2023DATA'!$I$3,"")</f>
        <v/>
      </c>
      <c r="AM44" s="518" t="str">
        <f>IF(AND(_AC2="A-350",'2023'!$E$4="CA",'2023'!$E$2=AM43),'2023DATA'!$J$3,"")</f>
        <v/>
      </c>
      <c r="AN44" s="518" t="str">
        <f>IF(AND(_AC2="A-350",'2023'!$E$4="CA",'2023'!$E$2=AN43),'2023DATA'!$K$3,"")</f>
        <v/>
      </c>
      <c r="AO44" s="518" t="str">
        <f>IF(AND(_AC2="A-350",'2023'!$E$4="CA",'2023'!$E$2=AO43),'2023DATA'!$L$3,"")</f>
        <v/>
      </c>
      <c r="AP44" s="518" t="str">
        <f>IF(AND(_AC2="A-350",'2023'!$E$4="CA",'2023'!$E$2=AP43),'2023DATA'!$M$3,"")</f>
        <v/>
      </c>
      <c r="AQ44" s="520" t="str">
        <f>IF(AND(_AC2="A-350",'2023'!$E$4="CA",'2023'!$E$2=AQ43),'2023DATA'!$N$3,"")</f>
        <v/>
      </c>
      <c r="AR44" s="940" t="s">
        <v>39</v>
      </c>
      <c r="AS44" s="13" t="s">
        <v>61</v>
      </c>
      <c r="AT44" s="518" t="str">
        <f>IF(AND(_AC3="A-350",'2023'!$E$4="CA",'2023'!$E$2=AT43),'2023DATA'!$C$3,"")</f>
        <v/>
      </c>
      <c r="AU44" s="518" t="str">
        <f>IF(AND(_AC3="A-350",'2023'!$E$4="CA",'2023'!$E$2=AU43),'2023DATA'!$D$3,"")</f>
        <v/>
      </c>
      <c r="AV44" s="518" t="str">
        <f>IF(AND(_AC3="A-350",'2023'!$E$4="CA",'2023'!$E$2=AV43),'2023DATA'!$E$3,"")</f>
        <v/>
      </c>
      <c r="AW44" s="518" t="str">
        <f>IF(AND(_AC3="A-350",'2023'!$E$4="CA",'2023'!$E$2=AW43),'2023DATA'!$F$3,"")</f>
        <v/>
      </c>
      <c r="AX44" s="518" t="str">
        <f>IF(AND(_AC3="A-350",'2023'!$E$4="CA",'2023'!$E$2=AX43),'2023DATA'!$G$3,"")</f>
        <v/>
      </c>
      <c r="AY44" s="518" t="str">
        <f>IF(AND(_AC3="A-350",'2023'!$E$4="CA",'2023'!$E$2=AY43),'2023DATA'!$H$3,"")</f>
        <v/>
      </c>
      <c r="AZ44" s="518" t="str">
        <f>IF(AND(_AC3="A-350",'2023'!$E$4="CA",'2023'!$E$2=AZ43),'2023DATA'!$I$3,"")</f>
        <v/>
      </c>
      <c r="BA44" s="518" t="str">
        <f>IF(AND(_AC3="A-350",'2023'!$E$4="CA",'2023'!$E$2=BA43),'2023DATA'!$J$3,"")</f>
        <v/>
      </c>
      <c r="BB44" s="518" t="str">
        <f>IF(AND(_AC3="A-350",'2023'!$E$4="CA",'2023'!$E$2=BB43),'2023DATA'!$K$3,"")</f>
        <v/>
      </c>
      <c r="BC44" s="518" t="str">
        <f>IF(AND(_AC3="A-350",'2023'!$E$4="CA",'2023'!$E$2=BC43),'2023DATA'!$L$3,"")</f>
        <v/>
      </c>
      <c r="BD44" s="518" t="str">
        <f>IF(AND(_AC3="A-350",'2023'!$E$4="CA",'2023'!$E$2=BD43),'2023DATA'!$M$3,"")</f>
        <v/>
      </c>
      <c r="BE44" s="520" t="str">
        <f>IF(AND(_AC3="A-350",'2023'!$E$4="CA",'2023'!$E$2=BE43),'2023DATA'!$N$3,"")</f>
        <v/>
      </c>
      <c r="BF44" s="940" t="s">
        <v>39</v>
      </c>
      <c r="BG44" s="13" t="s">
        <v>61</v>
      </c>
      <c r="BH44" s="518" t="str">
        <f>IF(AND(_AC4="A-350",'2023'!$E$4="CA",'2023'!$E$2=BH43),'2023DATA'!$C$3,"")</f>
        <v/>
      </c>
      <c r="BI44" s="518" t="str">
        <f>IF(AND(_AC4="A-350",'2023'!$E$4="CA",'2023'!$E$2=BI43),'2023DATA'!$D$3,"")</f>
        <v/>
      </c>
      <c r="BJ44" s="518" t="str">
        <f>IF(AND(_AC4="A-350",'2023'!$E$4="CA",'2023'!$E$2=BJ43),'2023DATA'!$E$3,"")</f>
        <v/>
      </c>
      <c r="BK44" s="518" t="str">
        <f>IF(AND(_AC4="A-350",'2023'!$E$4="CA",'2023'!$E$2=BK43),'2023DATA'!$F$3,"")</f>
        <v/>
      </c>
      <c r="BL44" s="518" t="str">
        <f>IF(AND(_AC4="A-350",'2023'!$E$4="CA",'2023'!$E$2=BL43),'2023DATA'!$G$3,"")</f>
        <v/>
      </c>
      <c r="BM44" s="518" t="str">
        <f>IF(AND(_AC4="A-350",'2023'!$E$4="CA",'2023'!$E$2=BM43),'2023DATA'!$H$3,"")</f>
        <v/>
      </c>
      <c r="BN44" s="518" t="str">
        <f>IF(AND(_AC4="A-350",'2023'!$E$4="CA",'2023'!$E$2=BN43),'2023DATA'!$I$3,"")</f>
        <v/>
      </c>
      <c r="BO44" s="518" t="str">
        <f>IF(AND(_AC4="A-350",'2023'!$E$4="CA",'2023'!$E$2=BO43),'2023DATA'!$J$3,"")</f>
        <v/>
      </c>
      <c r="BP44" s="518" t="str">
        <f>IF(AND(_AC4="A-350",'2023'!$E$4="CA",'2023'!$E$2=BP43),'2023DATA'!$K$3,"")</f>
        <v/>
      </c>
      <c r="BQ44" s="518" t="str">
        <f>IF(AND(_AC4="A-350",'2023'!$E$4="CA",'2023'!$E$2=BQ43),'2023DATA'!$L$3,"")</f>
        <v/>
      </c>
      <c r="BR44" s="518" t="str">
        <f>IF(AND(_AC4="A-350",'2023'!$E$4="CA",'2023'!$E$2=BR43),'2023DATA'!$M$3,"")</f>
        <v/>
      </c>
      <c r="BS44" s="520" t="str">
        <f>IF(AND(_AC4="A-350",'2023'!$E$4="CA",'2023'!$E$2=BS43),'2023DATA'!$N$3,"")</f>
        <v/>
      </c>
      <c r="BT44" s="940" t="s">
        <v>39</v>
      </c>
      <c r="BU44" s="13" t="s">
        <v>61</v>
      </c>
      <c r="BV44" s="518" t="str">
        <f>IF(AND(_AC5="A-350",'2023'!$E$4="CA",'2023'!$E$2=BV43),'2023DATA'!$C$3,"")</f>
        <v/>
      </c>
      <c r="BW44" s="518" t="str">
        <f>IF(AND(_AC5="A-350",'2023'!$E$4="CA",'2023'!$E$2=BW43),'2023DATA'!$D$3,"")</f>
        <v/>
      </c>
      <c r="BX44" s="518" t="str">
        <f>IF(AND(_AC5="A-350",'2023'!$E$4="CA",'2023'!$E$2=BX43),'2023DATA'!$E$3,"")</f>
        <v/>
      </c>
      <c r="BY44" s="518" t="str">
        <f>IF(AND(_AC5="A-350",'2023'!$E$4="CA",'2023'!$E$2=BY43),'2023DATA'!$F$3,"")</f>
        <v/>
      </c>
      <c r="BZ44" s="518" t="str">
        <f>IF(AND(_AC5="A-350",'2023'!$E$4="CA",'2023'!$E$2=BZ43),'2023DATA'!$G$3,"")</f>
        <v/>
      </c>
      <c r="CA44" s="518" t="str">
        <f>IF(AND(_AC5="A-350",'2023'!$E$4="CA",'2023'!$E$2=CA43),'2023DATA'!$H$3,"")</f>
        <v/>
      </c>
      <c r="CB44" s="518" t="str">
        <f>IF(AND(_AC5="A-350",'2023'!$E$4="CA",'2023'!$E$2=CB43),'2023DATA'!$I$3,"")</f>
        <v/>
      </c>
      <c r="CC44" s="518" t="str">
        <f>IF(AND(_AC5="A-350",'2023'!$E$4="CA",'2023'!$E$2=CC43),'2023DATA'!$J$3,"")</f>
        <v/>
      </c>
      <c r="CD44" s="518" t="str">
        <f>IF(AND(_AC5="A-350",'2023'!$E$4="CA",'2023'!$E$2=CD43),'2023DATA'!$K$3,"")</f>
        <v/>
      </c>
      <c r="CE44" s="518" t="str">
        <f>IF(AND(_AC5="A-350",'2023'!$E$4="CA",'2023'!$E$2=CE43),'2023DATA'!$L$3,"")</f>
        <v/>
      </c>
      <c r="CF44" s="518" t="str">
        <f>IF(AND(_AC5="A-350",'2023'!$E$4="CA",'2023'!$E$2=CF43),'2023DATA'!$M$3,"")</f>
        <v/>
      </c>
      <c r="CG44" s="520" t="str">
        <f>IF(AND(_AC5="A-350",'2023'!$E$4="CA",'2023'!$E$2=CG43),'2023DATA'!$N$3,"")</f>
        <v/>
      </c>
      <c r="CH44" s="940" t="s">
        <v>39</v>
      </c>
      <c r="CI44" s="13" t="s">
        <v>61</v>
      </c>
      <c r="CJ44" s="518" t="str">
        <f>IF(AND(_AC6="A-350",'2023'!$E$4="CA",'2023'!$E$2=CJ43),'2023DATA'!$C$3,"")</f>
        <v/>
      </c>
      <c r="CK44" s="518" t="str">
        <f>IF(AND(_AC6="A-350",'2023'!$E$4="CA",'2023'!$E$2=CK43),'2023DATA'!$D$3,"")</f>
        <v/>
      </c>
      <c r="CL44" s="518" t="str">
        <f>IF(AND(_AC6="A-350",'2023'!$E$4="CA",'2023'!$E$2=CL43),'2023DATA'!$E$3,"")</f>
        <v/>
      </c>
      <c r="CM44" s="518" t="str">
        <f>IF(AND(_AC6="A-350",'2023'!$E$4="CA",'2023'!$E$2=CM43),'2023DATA'!$F$3,"")</f>
        <v/>
      </c>
      <c r="CN44" s="518" t="str">
        <f>IF(AND(_AC6="A-350",'2023'!$E$4="CA",'2023'!$E$2=CN43),'2023DATA'!$G$3,"")</f>
        <v/>
      </c>
      <c r="CO44" s="518" t="str">
        <f>IF(AND(_AC6="A-350",'2023'!$E$4="CA",'2023'!$E$2=CO43),'2023DATA'!$H$3,"")</f>
        <v/>
      </c>
      <c r="CP44" s="518" t="str">
        <f>IF(AND(_AC6="A-350",'2023'!$E$4="CA",'2023'!$E$2=CP43),'2023DATA'!$I$3,"")</f>
        <v/>
      </c>
      <c r="CQ44" s="518" t="str">
        <f>IF(AND(_AC6="A-350",'2023'!$E$4="CA",'2023'!$E$2=CQ43),'2023DATA'!$J$3,"")</f>
        <v/>
      </c>
      <c r="CR44" s="518" t="str">
        <f>IF(AND(_AC6="A-350",'2023'!$E$4="CA",'2023'!$E$2=CR43),'2023DATA'!$K$3,"")</f>
        <v/>
      </c>
      <c r="CS44" s="518" t="str">
        <f>IF(AND(_AC6="A-350",'2023'!$E$4="CA",'2023'!$E$2=CS43),'2023DATA'!$L$3,"")</f>
        <v/>
      </c>
      <c r="CT44" s="518" t="str">
        <f>IF(AND(_AC6="A-350",'2023'!$E$4="CA",'2023'!$E$2=CT43),'2023DATA'!$M$3,"")</f>
        <v/>
      </c>
      <c r="CU44" s="520" t="str">
        <f>IF(AND(_AC6="A-350",'2023'!$E$4="CA",'2023'!$E$2=CU43),'2023DATA'!$N$3,"")</f>
        <v/>
      </c>
    </row>
    <row r="45" spans="1:99" x14ac:dyDescent="0.25">
      <c r="P45" s="940"/>
      <c r="Q45" s="13" t="s">
        <v>62</v>
      </c>
      <c r="R45" s="518" t="str">
        <f>IF(AND(_AC1="A-350",'2023'!$E$4="FO",'2023'!$E$2=R43),'2023DATA'!$C$4,"")</f>
        <v/>
      </c>
      <c r="S45" s="518" t="str">
        <f>IF(AND(_AC1="A-350",'2023'!$E$4="FO",'2023'!$E$2=S43),'2023DATA'!$D$4,"")</f>
        <v/>
      </c>
      <c r="T45" s="518" t="str">
        <f>IF(AND(_AC1="A-350",'2023'!$E$4="FO",'2023'!$E$2=T43),'2023DATA'!$E$4,"")</f>
        <v/>
      </c>
      <c r="U45" s="518" t="str">
        <f>IF(AND(_AC1="A-350",'2023'!$E$4="FO",'2023'!$E$2=U43),'2023DATA'!$F$4,"")</f>
        <v/>
      </c>
      <c r="V45" s="518" t="str">
        <f>IF(AND(_AC1="A-350",'2023'!$E$4="FO",'2023'!$E$2=V43),'2023DATA'!$G$4,"")</f>
        <v/>
      </c>
      <c r="W45" s="518" t="str">
        <f>IF(AND(_AC1="A-350",'2023'!$E$4="FO",'2023'!$E$2=W43),'2023DATA'!$H$4,"")</f>
        <v/>
      </c>
      <c r="X45" s="518" t="str">
        <f>IF(AND(_AC1="A-350",'2023'!$E$4="FO",'2023'!$E$2=X43),'2023DATA'!$I$4,"")</f>
        <v/>
      </c>
      <c r="Y45" s="518" t="str">
        <f>IF(AND(_AC1="A-350",'2023'!$E$4="FO",'2023'!$E$2=Y43),'2023DATA'!$J$4,"")</f>
        <v/>
      </c>
      <c r="Z45" s="518" t="str">
        <f>IF(AND(_AC1="A-350",'2023'!$E$4="FO",'2023'!$E$2=Z43),'2023DATA'!$K$4,"")</f>
        <v/>
      </c>
      <c r="AA45" s="518" t="str">
        <f>IF(AND(_AC1="A-350",'2023'!$E$4="FO",'2023'!$E$2=AA43),'2023DATA'!$L$4,"")</f>
        <v/>
      </c>
      <c r="AB45" s="518" t="str">
        <f>IF(AND(_AC1="A-350",'2023'!$E$4="FO",'2023'!$E$2=AB43),'2023DATA'!$M$4,"")</f>
        <v/>
      </c>
      <c r="AC45" s="520" t="str">
        <f>IF(AND(_AC1="A-350",'2023'!$E$4="FO",'2023'!$E$2=AC43),'2023DATA'!$N$4,"")</f>
        <v/>
      </c>
      <c r="AD45" s="940"/>
      <c r="AE45" s="13" t="s">
        <v>62</v>
      </c>
      <c r="AF45" s="518" t="str">
        <f>IF(AND(_AC2="A-350",'2023'!$E$4="FO",'2023'!$E$2=AF43),'2023DATA'!$C$4,"")</f>
        <v/>
      </c>
      <c r="AG45" s="518" t="str">
        <f>IF(AND(_AC2="A-350",'2023'!$E$4="FO",'2023'!$E$2=AG43),'2023DATA'!$D$4,"")</f>
        <v/>
      </c>
      <c r="AH45" s="518" t="str">
        <f>IF(AND(_AC2="A-350",'2023'!$E$4="FO",'2023'!$E$2=AH43),'2023DATA'!$E$4,"")</f>
        <v/>
      </c>
      <c r="AI45" s="518" t="str">
        <f>IF(AND(_AC2="A-350",'2023'!$E$4="FO",'2023'!$E$2=AI43),'2023DATA'!$F$4,"")</f>
        <v/>
      </c>
      <c r="AJ45" s="518" t="str">
        <f>IF(AND(_AC2="A-350",'2023'!$E$4="FO",'2023'!$E$2=AJ43),'2023DATA'!$G$4,"")</f>
        <v/>
      </c>
      <c r="AK45" s="518" t="str">
        <f>IF(AND(_AC2="A-350",'2023'!$E$4="FO",'2023'!$E$2=AK43),'2023DATA'!$H$4,"")</f>
        <v/>
      </c>
      <c r="AL45" s="518" t="str">
        <f>IF(AND(_AC2="A-350",'2023'!$E$4="FO",'2023'!$E$2=AL43),'2023DATA'!$I$4,"")</f>
        <v/>
      </c>
      <c r="AM45" s="518" t="str">
        <f>IF(AND(_AC2="A-350",'2023'!$E$4="FO",'2023'!$E$2=AM43),'2023DATA'!$J$4,"")</f>
        <v/>
      </c>
      <c r="AN45" s="518" t="str">
        <f>IF(AND(_AC2="A-350",'2023'!$E$4="FO",'2023'!$E$2=AN43),'2023DATA'!$K$4,"")</f>
        <v/>
      </c>
      <c r="AO45" s="518" t="str">
        <f>IF(AND(_AC2="A-350",'2023'!$E$4="FO",'2023'!$E$2=AO43),'2023DATA'!$L$4,"")</f>
        <v/>
      </c>
      <c r="AP45" s="518" t="str">
        <f>IF(AND(_AC2="A-350",'2023'!$E$4="FO",'2023'!$E$2=AP43),'2023DATA'!$M$4,"")</f>
        <v/>
      </c>
      <c r="AQ45" s="520" t="str">
        <f>IF(AND(_AC2="A-350",'2023'!$E$4="FO",'2023'!$E$2=AQ43),'2023DATA'!$N$4,"")</f>
        <v/>
      </c>
      <c r="AR45" s="940"/>
      <c r="AS45" s="13" t="s">
        <v>62</v>
      </c>
      <c r="AT45" s="518" t="str">
        <f>IF(AND(_AC3="A-350",'2023'!$E$4="FO",'2023'!$E$2=AT43),'2023DATA'!$C$4,"")</f>
        <v/>
      </c>
      <c r="AU45" s="518" t="str">
        <f>IF(AND(_AC3="A-350",'2023'!$E$4="FO",'2023'!$E$2=AU43),'2023DATA'!$D$4,"")</f>
        <v/>
      </c>
      <c r="AV45" s="518" t="str">
        <f>IF(AND(_AC3="A-350",'2023'!$E$4="FO",'2023'!$E$2=AV43),'2023DATA'!$E$4,"")</f>
        <v/>
      </c>
      <c r="AW45" s="518" t="str">
        <f>IF(AND(_AC3="A-350",'2023'!$E$4="FO",'2023'!$E$2=AW43),'2023DATA'!$F$4,"")</f>
        <v/>
      </c>
      <c r="AX45" s="518" t="str">
        <f>IF(AND(_AC3="A-350",'2023'!$E$4="FO",'2023'!$E$2=AX43),'2023DATA'!$G$4,"")</f>
        <v/>
      </c>
      <c r="AY45" s="518" t="str">
        <f>IF(AND(_AC3="A-350",'2023'!$E$4="FO",'2023'!$E$2=AY43),'2023DATA'!$H$4,"")</f>
        <v/>
      </c>
      <c r="AZ45" s="518" t="str">
        <f>IF(AND(_AC3="A-350",'2023'!$E$4="FO",'2023'!$E$2=AZ43),'2023DATA'!$I$4,"")</f>
        <v/>
      </c>
      <c r="BA45" s="518" t="str">
        <f>IF(AND(_AC3="A-350",'2023'!$E$4="FO",'2023'!$E$2=BA43),'2023DATA'!$J$4,"")</f>
        <v/>
      </c>
      <c r="BB45" s="518" t="str">
        <f>IF(AND(_AC3="A-350",'2023'!$E$4="FO",'2023'!$E$2=BB43),'2023DATA'!$K$4,"")</f>
        <v/>
      </c>
      <c r="BC45" s="518" t="str">
        <f>IF(AND(_AC3="A-350",'2023'!$E$4="FO",'2023'!$E$2=BC43),'2023DATA'!$L$4,"")</f>
        <v/>
      </c>
      <c r="BD45" s="518" t="str">
        <f>IF(AND(_AC3="A-350",'2023'!$E$4="FO",'2023'!$E$2=BD43),'2023DATA'!$M$4,"")</f>
        <v/>
      </c>
      <c r="BE45" s="520" t="str">
        <f>IF(AND(_AC3="A-350",'2023'!$E$4="FO",'2023'!$E$2=BE43),'2023DATA'!$N$4,"")</f>
        <v/>
      </c>
      <c r="BF45" s="940"/>
      <c r="BG45" s="13" t="s">
        <v>62</v>
      </c>
      <c r="BH45" s="518" t="str">
        <f>IF(AND(_AC4="A-350",'2023'!$E$4="FO",'2023'!$E$2=BH43),'2023DATA'!$C$4,"")</f>
        <v/>
      </c>
      <c r="BI45" s="518" t="str">
        <f>IF(AND(_AC4="A-350",'2023'!$E$4="FO",'2023'!$E$2=BI43),'2023DATA'!$D$4,"")</f>
        <v/>
      </c>
      <c r="BJ45" s="518" t="str">
        <f>IF(AND(_AC4="A-350",'2023'!$E$4="FO",'2023'!$E$2=BJ43),'2023DATA'!$E$4,"")</f>
        <v/>
      </c>
      <c r="BK45" s="518" t="str">
        <f>IF(AND(_AC4="A-350",'2023'!$E$4="FO",'2023'!$E$2=BK43),'2023DATA'!$F$4,"")</f>
        <v/>
      </c>
      <c r="BL45" s="518" t="str">
        <f>IF(AND(_AC4="A-350",'2023'!$E$4="FO",'2023'!$E$2=BL43),'2023DATA'!$G$4,"")</f>
        <v/>
      </c>
      <c r="BM45" s="518" t="str">
        <f>IF(AND(_AC4="A-350",'2023'!$E$4="FO",'2023'!$E$2=BM43),'2023DATA'!$H$4,"")</f>
        <v/>
      </c>
      <c r="BN45" s="518" t="str">
        <f>IF(AND(_AC4="A-350",'2023'!$E$4="FO",'2023'!$E$2=BN43),'2023DATA'!$I$4,"")</f>
        <v/>
      </c>
      <c r="BO45" s="518" t="str">
        <f>IF(AND(_AC4="A-350",'2023'!$E$4="FO",'2023'!$E$2=BO43),'2023DATA'!$J$4,"")</f>
        <v/>
      </c>
      <c r="BP45" s="518" t="str">
        <f>IF(AND(_AC4="A-350",'2023'!$E$4="FO",'2023'!$E$2=BP43),'2023DATA'!$K$4,"")</f>
        <v/>
      </c>
      <c r="BQ45" s="518" t="str">
        <f>IF(AND(_AC4="A-350",'2023'!$E$4="FO",'2023'!$E$2=BQ43),'2023DATA'!$L$4,"")</f>
        <v/>
      </c>
      <c r="BR45" s="518" t="str">
        <f>IF(AND(_AC4="A-350",'2023'!$E$4="FO",'2023'!$E$2=BR43),'2023DATA'!$M$4,"")</f>
        <v/>
      </c>
      <c r="BS45" s="520" t="str">
        <f>IF(AND(_AC4="A-350",'2023'!$E$4="FO",'2023'!$E$2=BS43),'2023DATA'!$N$4,"")</f>
        <v/>
      </c>
      <c r="BT45" s="940"/>
      <c r="BU45" s="13" t="s">
        <v>62</v>
      </c>
      <c r="BV45" s="518" t="str">
        <f>IF(AND(_AC5="A-350",'2023'!$E$4="FO",'2023'!$E$2=BV43),'2023DATA'!$C$4,"")</f>
        <v/>
      </c>
      <c r="BW45" s="518" t="str">
        <f>IF(AND(_AC5="A-350",'2023'!$E$4="FO",'2023'!$E$2=BW43),'2023DATA'!$D$4,"")</f>
        <v/>
      </c>
      <c r="BX45" s="518" t="str">
        <f>IF(AND(_AC5="A-350",'2023'!$E$4="FO",'2023'!$E$2=BX43),'2023DATA'!$E$4,"")</f>
        <v/>
      </c>
      <c r="BY45" s="518" t="str">
        <f>IF(AND(_AC5="A-350",'2023'!$E$4="FO",'2023'!$E$2=BY43),'2023DATA'!$F$4,"")</f>
        <v/>
      </c>
      <c r="BZ45" s="518" t="str">
        <f>IF(AND(_AC5="A-350",'2023'!$E$4="FO",'2023'!$E$2=BZ43),'2023DATA'!$G$4,"")</f>
        <v/>
      </c>
      <c r="CA45" s="518" t="str">
        <f>IF(AND(_AC5="A-350",'2023'!$E$4="FO",'2023'!$E$2=CA43),'2023DATA'!$H$4,"")</f>
        <v/>
      </c>
      <c r="CB45" s="518" t="str">
        <f>IF(AND(_AC5="A-350",'2023'!$E$4="FO",'2023'!$E$2=CB43),'2023DATA'!$I$4,"")</f>
        <v/>
      </c>
      <c r="CC45" s="518" t="str">
        <f>IF(AND(_AC5="A-350",'2023'!$E$4="FO",'2023'!$E$2=CC43),'2023DATA'!$J$4,"")</f>
        <v/>
      </c>
      <c r="CD45" s="518" t="str">
        <f>IF(AND(_AC5="A-350",'2023'!$E$4="FO",'2023'!$E$2=CD43),'2023DATA'!$K$4,"")</f>
        <v/>
      </c>
      <c r="CE45" s="518" t="str">
        <f>IF(AND(_AC5="A-350",'2023'!$E$4="FO",'2023'!$E$2=CE43),'2023DATA'!$L$4,"")</f>
        <v/>
      </c>
      <c r="CF45" s="518" t="str">
        <f>IF(AND(_AC5="A-350",'2023'!$E$4="FO",'2023'!$E$2=CF43),'2023DATA'!$M$4,"")</f>
        <v/>
      </c>
      <c r="CG45" s="520" t="str">
        <f>IF(AND(_AC5="A-350",'2023'!$E$4="FO",'2023'!$E$2=CG43),'2023DATA'!$N$4,"")</f>
        <v/>
      </c>
      <c r="CH45" s="940"/>
      <c r="CI45" s="13" t="s">
        <v>62</v>
      </c>
      <c r="CJ45" s="518" t="str">
        <f>IF(AND(_AC6="A-350",'2023'!$E$4="FO",'2023'!$E$2=CJ43),'2023DATA'!$C$4,"")</f>
        <v/>
      </c>
      <c r="CK45" s="518" t="str">
        <f>IF(AND(_AC6="A-350",'2023'!$E$4="FO",'2023'!$E$2=CK43),'2023DATA'!$D$4,"")</f>
        <v/>
      </c>
      <c r="CL45" s="518" t="str">
        <f>IF(AND(_AC6="A-350",'2023'!$E$4="FO",'2023'!$E$2=CL43),'2023DATA'!$E$4,"")</f>
        <v/>
      </c>
      <c r="CM45" s="518" t="str">
        <f>IF(AND(_AC6="A-350",'2023'!$E$4="FO",'2023'!$E$2=CM43),'2023DATA'!$F$4,"")</f>
        <v/>
      </c>
      <c r="CN45" s="518" t="str">
        <f>IF(AND(_AC6="A-350",'2023'!$E$4="FO",'2023'!$E$2=CN43),'2023DATA'!$G$4,"")</f>
        <v/>
      </c>
      <c r="CO45" s="518" t="str">
        <f>IF(AND(_AC6="A-350",'2023'!$E$4="FO",'2023'!$E$2=CO43),'2023DATA'!$H$4,"")</f>
        <v/>
      </c>
      <c r="CP45" s="518" t="str">
        <f>IF(AND(_AC6="A-350",'2023'!$E$4="FO",'2023'!$E$2=CP43),'2023DATA'!$I$4,"")</f>
        <v/>
      </c>
      <c r="CQ45" s="518" t="str">
        <f>IF(AND(_AC6="A-350",'2023'!$E$4="FO",'2023'!$E$2=CQ43),'2023DATA'!$J$4,"")</f>
        <v/>
      </c>
      <c r="CR45" s="518" t="str">
        <f>IF(AND(_AC6="A-350",'2023'!$E$4="FO",'2023'!$E$2=CR43),'2023DATA'!$K$4,"")</f>
        <v/>
      </c>
      <c r="CS45" s="518" t="str">
        <f>IF(AND(_AC6="A-350",'2023'!$E$4="FO",'2023'!$E$2=CS43),'2023DATA'!$L$4,"")</f>
        <v/>
      </c>
      <c r="CT45" s="518" t="str">
        <f>IF(AND(_AC6="A-350",'2023'!$E$4="FO",'2023'!$E$2=CT43),'2023DATA'!$M$4,"")</f>
        <v/>
      </c>
      <c r="CU45" s="520" t="str">
        <f>IF(AND(_AC6="A-350",'2023'!$E$4="FO",'2023'!$E$2=CU43),'2023DATA'!$N$4,"")</f>
        <v/>
      </c>
    </row>
    <row r="46" spans="1:99" x14ac:dyDescent="0.25">
      <c r="P46" s="940" t="s">
        <v>65</v>
      </c>
      <c r="Q46" s="13" t="s">
        <v>61</v>
      </c>
      <c r="R46" s="518" t="str">
        <f>IF(AND(_AC1="A-330-900",'2023'!$E$4="CA",'2023'!$E$2=R43),'2023DATA'!$C$5,"")</f>
        <v/>
      </c>
      <c r="S46" s="518" t="str">
        <f>IF(AND(_AC1="A-330-900",'2023'!$E$4="CA",'2023'!$E$2=S43),'2023DATA'!$D$5,"")</f>
        <v/>
      </c>
      <c r="T46" s="518" t="str">
        <f>IF(AND(_AC1="A-330-900",'2023'!$E$4="CA",'2023'!$E$2=T43),'2023DATA'!$E$5,"")</f>
        <v/>
      </c>
      <c r="U46" s="518" t="str">
        <f>IF(AND(_AC1="A-330-900",'2023'!$E$4="CA",'2023'!$E$2=U43),'2023DATA'!$F$5,"")</f>
        <v/>
      </c>
      <c r="V46" s="518" t="str">
        <f>IF(AND(_AC1="A-330-900",'2023'!$E$4="CA",'2023'!$E$2=V43),'2023DATA'!$G$5,"")</f>
        <v/>
      </c>
      <c r="W46" s="518" t="str">
        <f>IF(AND(_AC1="A-330-900",'2023'!$E$4="CA",'2023'!$E$2=W43),'2023DATA'!$H$5,"")</f>
        <v/>
      </c>
      <c r="X46" s="518" t="str">
        <f>IF(AND(_AC1="A-330-900",'2023'!$E$4="CA",'2023'!$E$2=X43),'2023DATA'!$I$5,"")</f>
        <v/>
      </c>
      <c r="Y46" s="518" t="str">
        <f>IF(AND(_AC1="A-330-900",'2023'!$E$4="CA",'2023'!$E$2=Y43),'2023DATA'!$J$5,"")</f>
        <v/>
      </c>
      <c r="Z46" s="518" t="str">
        <f>IF(AND(_AC1="A-330-900",'2023'!$E$4="CA",'2023'!$E$2=Z43),'2023DATA'!$K$5,"")</f>
        <v/>
      </c>
      <c r="AA46" s="518" t="str">
        <f>IF(AND(_AC1="A-330-900",'2023'!$E$4="CA",'2023'!$E$2=AA43),'2023DATA'!$L$5,"")</f>
        <v/>
      </c>
      <c r="AB46" s="518" t="str">
        <f>IF(AND(_AC1="A-330-900",'2023'!$E$4="CA",'2023'!$E$2=AB43),'2023DATA'!$M$5,"")</f>
        <v/>
      </c>
      <c r="AC46" s="520" t="str">
        <f>IF(AND(_AC1="A-330-900",'2023'!$E$4="CA",'2023'!$E$2=AC43),'2023DATA'!$N$5,"")</f>
        <v/>
      </c>
      <c r="AD46" s="940" t="s">
        <v>65</v>
      </c>
      <c r="AE46" s="13" t="s">
        <v>61</v>
      </c>
      <c r="AF46" s="518" t="str">
        <f>IF(AND(_AC2="A-330-900",'2023'!$E$4="CA",'2023'!$E$2=AF43),'2023DATA'!$C$5,"")</f>
        <v/>
      </c>
      <c r="AG46" s="518" t="str">
        <f>IF(AND(_AC2="A-330-900",'2023'!$E$4="CA",'2023'!$E$2=AG43),'2023DATA'!$D$5,"")</f>
        <v/>
      </c>
      <c r="AH46" s="518" t="str">
        <f>IF(AND(_AC2="A-330-900",'2023'!$E$4="CA",'2023'!$E$2=AH43),'2023DATA'!$E$5,"")</f>
        <v/>
      </c>
      <c r="AI46" s="518" t="str">
        <f>IF(AND(_AC2="A-330-900",'2023'!$E$4="CA",'2023'!$E$2=AI43),'2023DATA'!$F$5,"")</f>
        <v/>
      </c>
      <c r="AJ46" s="518" t="str">
        <f>IF(AND(_AC2="A-330-900",'2023'!$E$4="CA",'2023'!$E$2=AJ43),'2023DATA'!$G$5,"")</f>
        <v/>
      </c>
      <c r="AK46" s="518" t="str">
        <f>IF(AND(_AC2="A-330-900",'2023'!$E$4="CA",'2023'!$E$2=AK43),'2023DATA'!$H$5,"")</f>
        <v/>
      </c>
      <c r="AL46" s="518" t="str">
        <f>IF(AND(_AC2="A-330-900",'2023'!$E$4="CA",'2023'!$E$2=AL43),'2023DATA'!$I$5,"")</f>
        <v/>
      </c>
      <c r="AM46" s="518" t="str">
        <f>IF(AND(_AC2="A-330-900",'2023'!$E$4="CA",'2023'!$E$2=AM43),'2023DATA'!$J$5,"")</f>
        <v/>
      </c>
      <c r="AN46" s="518" t="str">
        <f>IF(AND(_AC2="A-330-900",'2023'!$E$4="CA",'2023'!$E$2=AN43),'2023DATA'!$K$5,"")</f>
        <v/>
      </c>
      <c r="AO46" s="518" t="str">
        <f>IF(AND(_AC2="A-330-900",'2023'!$E$4="CA",'2023'!$E$2=AO43),'2023DATA'!$L$5,"")</f>
        <v/>
      </c>
      <c r="AP46" s="518" t="str">
        <f>IF(AND(_AC2="A-330-900",'2023'!$E$4="CA",'2023'!$E$2=AP43),'2023DATA'!$M$5,"")</f>
        <v/>
      </c>
      <c r="AQ46" s="520" t="str">
        <f>IF(AND(_AC2="A-330-900",'2023'!$E$4="CA",'2023'!$E$2=AQ43),'2023DATA'!$N$5,"")</f>
        <v/>
      </c>
      <c r="AR46" s="940" t="s">
        <v>65</v>
      </c>
      <c r="AS46" s="13" t="s">
        <v>61</v>
      </c>
      <c r="AT46" s="518" t="str">
        <f>IF(AND(_AC3="A-330-900",'2023'!$E$4="CA",'2023'!$E$2=AT43),'2023DATA'!$C$5,"")</f>
        <v/>
      </c>
      <c r="AU46" s="518" t="str">
        <f>IF(AND(_AC3="A-330-900",'2023'!$E$4="CA",'2023'!$E$2=AU43),'2023DATA'!$D$5,"")</f>
        <v/>
      </c>
      <c r="AV46" s="518" t="str">
        <f>IF(AND(_AC3="A-330-900",'2023'!$E$4="CA",'2023'!$E$2=AV43),'2023DATA'!$E$5,"")</f>
        <v/>
      </c>
      <c r="AW46" s="518" t="str">
        <f>IF(AND(_AC3="A-330-900",'2023'!$E$4="CA",'2023'!$E$2=AW43),'2023DATA'!$F$5,"")</f>
        <v/>
      </c>
      <c r="AX46" s="518" t="str">
        <f>IF(AND(_AC3="A-330-900",'2023'!$E$4="CA",'2023'!$E$2=AX43),'2023DATA'!$G$5,"")</f>
        <v/>
      </c>
      <c r="AY46" s="518" t="str">
        <f>IF(AND(_AC3="A-330-900",'2023'!$E$4="CA",'2023'!$E$2=AY43),'2023DATA'!$H$5,"")</f>
        <v/>
      </c>
      <c r="AZ46" s="518" t="str">
        <f>IF(AND(_AC3="A-330-900",'2023'!$E$4="CA",'2023'!$E$2=AZ43),'2023DATA'!$I$5,"")</f>
        <v/>
      </c>
      <c r="BA46" s="518" t="str">
        <f>IF(AND(_AC3="A-330-900",'2023'!$E$4="CA",'2023'!$E$2=BA43),'2023DATA'!$J$5,"")</f>
        <v/>
      </c>
      <c r="BB46" s="518" t="str">
        <f>IF(AND(_AC3="A-330-900",'2023'!$E$4="CA",'2023'!$E$2=BB43),'2023DATA'!$K$5,"")</f>
        <v/>
      </c>
      <c r="BC46" s="518" t="str">
        <f>IF(AND(_AC3="A-330-900",'2023'!$E$4="CA",'2023'!$E$2=BC43),'2023DATA'!$L$5,"")</f>
        <v/>
      </c>
      <c r="BD46" s="518" t="str">
        <f>IF(AND(_AC3="A-330-900",'2023'!$E$4="CA",'2023'!$E$2=BD43),'2023DATA'!$M$5,"")</f>
        <v/>
      </c>
      <c r="BE46" s="520" t="str">
        <f>IF(AND(_AC3="A-330-900",'2023'!$E$4="CA",'2023'!$E$2=BE43),'2023DATA'!$N$5,"")</f>
        <v/>
      </c>
      <c r="BF46" s="940" t="s">
        <v>65</v>
      </c>
      <c r="BG46" s="13" t="s">
        <v>61</v>
      </c>
      <c r="BH46" s="518" t="str">
        <f>IF(AND(_AC4="A-330-900",'2023'!$E$4="CA",'2023'!$E$2=BH43),'2023DATA'!$C$5,"")</f>
        <v/>
      </c>
      <c r="BI46" s="518" t="str">
        <f>IF(AND(_AC4="A-330-900",'2023'!$E$4="CA",'2023'!$E$2=BI43),'2023DATA'!$D$5,"")</f>
        <v/>
      </c>
      <c r="BJ46" s="518" t="str">
        <f>IF(AND(_AC4="A-330-900",'2023'!$E$4="CA",'2023'!$E$2=BJ43),'2023DATA'!$E$5,"")</f>
        <v/>
      </c>
      <c r="BK46" s="518" t="str">
        <f>IF(AND(_AC4="A-330-900",'2023'!$E$4="CA",'2023'!$E$2=BK43),'2023DATA'!$F$5,"")</f>
        <v/>
      </c>
      <c r="BL46" s="518" t="str">
        <f>IF(AND(_AC4="A-330-900",'2023'!$E$4="CA",'2023'!$E$2=BL43),'2023DATA'!$G$5,"")</f>
        <v/>
      </c>
      <c r="BM46" s="518" t="str">
        <f>IF(AND(_AC4="A-330-900",'2023'!$E$4="CA",'2023'!$E$2=BM43),'2023DATA'!$H$5,"")</f>
        <v/>
      </c>
      <c r="BN46" s="518" t="str">
        <f>IF(AND(_AC4="A-330-900",'2023'!$E$4="CA",'2023'!$E$2=BN43),'2023DATA'!$I$5,"")</f>
        <v/>
      </c>
      <c r="BO46" s="518" t="str">
        <f>IF(AND(_AC4="A-330-900",'2023'!$E$4="CA",'2023'!$E$2=BO43),'2023DATA'!$J$5,"")</f>
        <v/>
      </c>
      <c r="BP46" s="518" t="str">
        <f>IF(AND(_AC4="A-330-900",'2023'!$E$4="CA",'2023'!$E$2=BP43),'2023DATA'!$K$5,"")</f>
        <v/>
      </c>
      <c r="BQ46" s="518" t="str">
        <f>IF(AND(_AC4="A-330-900",'2023'!$E$4="CA",'2023'!$E$2=BQ43),'2023DATA'!$L$5,"")</f>
        <v/>
      </c>
      <c r="BR46" s="518" t="str">
        <f>IF(AND(_AC4="A-330-900",'2023'!$E$4="CA",'2023'!$E$2=BR43),'2023DATA'!$M$5,"")</f>
        <v/>
      </c>
      <c r="BS46" s="520" t="str">
        <f>IF(AND(_AC4="A-330-900",'2023'!$E$4="CA",'2023'!$E$2=BS43),'2023DATA'!$N$5,"")</f>
        <v/>
      </c>
      <c r="BT46" s="940" t="s">
        <v>65</v>
      </c>
      <c r="BU46" s="13" t="s">
        <v>61</v>
      </c>
      <c r="BV46" s="518" t="str">
        <f>IF(AND(_AC5="A-330-900",'2023'!$E$4="CA",'2023'!$E$2=BV43),'2023DATA'!$C$5,"")</f>
        <v/>
      </c>
      <c r="BW46" s="518" t="str">
        <f>IF(AND(_AC5="A-330-900",'2023'!$E$4="CA",'2023'!$E$2=BW43),'2023DATA'!$D$5,"")</f>
        <v/>
      </c>
      <c r="BX46" s="518" t="str">
        <f>IF(AND(_AC5="A-330-900",'2023'!$E$4="CA",'2023'!$E$2=BX43),'2023DATA'!$E$5,"")</f>
        <v/>
      </c>
      <c r="BY46" s="518" t="str">
        <f>IF(AND(_AC5="A-330-900",'2023'!$E$4="CA",'2023'!$E$2=BY43),'2023DATA'!$F$5,"")</f>
        <v/>
      </c>
      <c r="BZ46" s="518" t="str">
        <f>IF(AND(_AC5="A-330-900",'2023'!$E$4="CA",'2023'!$E$2=BZ43),'2023DATA'!$G$5,"")</f>
        <v/>
      </c>
      <c r="CA46" s="518" t="str">
        <f>IF(AND(_AC5="A-330-900",'2023'!$E$4="CA",'2023'!$E$2=CA43),'2023DATA'!$H$5,"")</f>
        <v/>
      </c>
      <c r="CB46" s="518" t="str">
        <f>IF(AND(_AC5="A-330-900",'2023'!$E$4="CA",'2023'!$E$2=CB43),'2023DATA'!$I$5,"")</f>
        <v/>
      </c>
      <c r="CC46" s="518" t="str">
        <f>IF(AND(_AC5="A-330-900",'2023'!$E$4="CA",'2023'!$E$2=CC43),'2023DATA'!$J$5,"")</f>
        <v/>
      </c>
      <c r="CD46" s="518" t="str">
        <f>IF(AND(_AC5="A-330-900",'2023'!$E$4="CA",'2023'!$E$2=CD43),'2023DATA'!$K$5,"")</f>
        <v/>
      </c>
      <c r="CE46" s="518" t="str">
        <f>IF(AND(_AC5="A-330-900",'2023'!$E$4="CA",'2023'!$E$2=CE43),'2023DATA'!$L$5,"")</f>
        <v/>
      </c>
      <c r="CF46" s="518" t="str">
        <f>IF(AND(_AC5="A-330-900",'2023'!$E$4="CA",'2023'!$E$2=CF43),'2023DATA'!$M$5,"")</f>
        <v/>
      </c>
      <c r="CG46" s="520" t="str">
        <f>IF(AND(_AC5="A-330-900",'2023'!$E$4="CA",'2023'!$E$2=CG43),'2023DATA'!$N$5,"")</f>
        <v/>
      </c>
      <c r="CH46" s="940" t="s">
        <v>65</v>
      </c>
      <c r="CI46" s="13" t="s">
        <v>61</v>
      </c>
      <c r="CJ46" s="518" t="str">
        <f>IF(AND(_AC6="A-330-900",'2023'!$E$4="CA",'2023'!$E$2=CJ43),'2023DATA'!$C$5,"")</f>
        <v/>
      </c>
      <c r="CK46" s="518" t="str">
        <f>IF(AND(_AC6="A-330-900",'2023'!$E$4="CA",'2023'!$E$2=CK43),'2023DATA'!$D$5,"")</f>
        <v/>
      </c>
      <c r="CL46" s="518" t="str">
        <f>IF(AND(_AC6="A-330-900",'2023'!$E$4="CA",'2023'!$E$2=CL43),'2023DATA'!$E$5,"")</f>
        <v/>
      </c>
      <c r="CM46" s="518" t="str">
        <f>IF(AND(_AC6="A-330-900",'2023'!$E$4="CA",'2023'!$E$2=CM43),'2023DATA'!$F$5,"")</f>
        <v/>
      </c>
      <c r="CN46" s="518" t="str">
        <f>IF(AND(_AC6="A-330-900",'2023'!$E$4="CA",'2023'!$E$2=CN43),'2023DATA'!$G$5,"")</f>
        <v/>
      </c>
      <c r="CO46" s="518" t="str">
        <f>IF(AND(_AC6="A-330-900",'2023'!$E$4="CA",'2023'!$E$2=CO43),'2023DATA'!$H$5,"")</f>
        <v/>
      </c>
      <c r="CP46" s="518" t="str">
        <f>IF(AND(_AC6="A-330-900",'2023'!$E$4="CA",'2023'!$E$2=CP43),'2023DATA'!$I$5,"")</f>
        <v/>
      </c>
      <c r="CQ46" s="518" t="str">
        <f>IF(AND(_AC6="A-330-900",'2023'!$E$4="CA",'2023'!$E$2=CQ43),'2023DATA'!$J$5,"")</f>
        <v/>
      </c>
      <c r="CR46" s="518" t="str">
        <f>IF(AND(_AC6="A-330-900",'2023'!$E$4="CA",'2023'!$E$2=CR43),'2023DATA'!$K$5,"")</f>
        <v/>
      </c>
      <c r="CS46" s="518" t="str">
        <f>IF(AND(_AC6="A-330-900",'2023'!$E$4="CA",'2023'!$E$2=CS43),'2023DATA'!$L$5,"")</f>
        <v/>
      </c>
      <c r="CT46" s="518" t="str">
        <f>IF(AND(_AC6="A-330-900",'2023'!$E$4="CA",'2023'!$E$2=CT43),'2023DATA'!$M$5,"")</f>
        <v/>
      </c>
      <c r="CU46" s="520" t="str">
        <f>IF(AND(_AC6="A-330-900",'2023'!$E$4="CA",'2023'!$E$2=CU43),'2023DATA'!$N$5,"")</f>
        <v/>
      </c>
    </row>
    <row r="47" spans="1:99" x14ac:dyDescent="0.25">
      <c r="P47" s="940"/>
      <c r="Q47" s="13" t="s">
        <v>62</v>
      </c>
      <c r="R47" s="518" t="str">
        <f>IF(AND(_AC1="A-330-900",'2023'!$E$4="FO",'2023'!$E$2=R43),'2023DATA'!$C$6,"")</f>
        <v/>
      </c>
      <c r="S47" s="518" t="str">
        <f>IF(AND(_AC1="A-330-900",'2023'!$E$4="FO",'2023'!$E$2=S43),'2023DATA'!$D$6,"")</f>
        <v/>
      </c>
      <c r="T47" s="518" t="str">
        <f>IF(AND(_AC1="A-330-900",'2023'!$E$4="FO",'2023'!$E$2=T43),'2023DATA'!$E$6,"")</f>
        <v/>
      </c>
      <c r="U47" s="518" t="str">
        <f>IF(AND(_AC1="A-330-900",'2023'!$E$4="FO",'2023'!$E$2=U43),'2023DATA'!$F$6,"")</f>
        <v/>
      </c>
      <c r="V47" s="518" t="str">
        <f>IF(AND(_AC1="A-330-900",'2023'!$E$4="FO",'2023'!$E$2=V43),'2023DATA'!$G$6,"")</f>
        <v/>
      </c>
      <c r="W47" s="518" t="str">
        <f>IF(AND(_AC1="A-330-900",'2023'!$E$4="FO",'2023'!$E$2=W43),'2023DATA'!$H$6,"")</f>
        <v/>
      </c>
      <c r="X47" s="518" t="str">
        <f>IF(AND(_AC1="A-330-900",'2023'!$E$4="FO",'2023'!$E$2=X43),'2023DATA'!$I$6,"")</f>
        <v/>
      </c>
      <c r="Y47" s="518" t="str">
        <f>IF(AND(_AC1="A-330-900",'2023'!$E$4="FO",'2023'!$E$2=Y43),'2023DATA'!$J$6,"")</f>
        <v/>
      </c>
      <c r="Z47" s="518" t="str">
        <f>IF(AND(_AC1="A-330-900",'2023'!$E$4="FO",'2023'!$E$2=Z43),'2023DATA'!$K$6,"")</f>
        <v/>
      </c>
      <c r="AA47" s="518" t="str">
        <f>IF(AND(_AC1="A-330-900",'2023'!$E$4="FO",'2023'!$E$2=AA43),'2023DATA'!$L$6,"")</f>
        <v/>
      </c>
      <c r="AB47" s="518" t="str">
        <f>IF(AND(_AC1="A-330-900",'2023'!$E$4="FO",'2023'!$E$2=AB43),'2023DATA'!$M$6,"")</f>
        <v/>
      </c>
      <c r="AC47" s="520" t="str">
        <f>IF(AND(_AC1="A-330-900",'2023'!$E$4="FO",'2023'!$E$2=AC43),'2023DATA'!$N$6,"")</f>
        <v/>
      </c>
      <c r="AD47" s="940"/>
      <c r="AE47" s="13" t="s">
        <v>62</v>
      </c>
      <c r="AF47" s="518" t="str">
        <f>IF(AND(_AC2="A-330-900",'2023'!$E$4="FO",'2023'!$E$2=AF43),'2023DATA'!$C$6,"")</f>
        <v/>
      </c>
      <c r="AG47" s="518" t="str">
        <f>IF(AND(_AC2="A-330-900",'2023'!$E$4="FO",'2023'!$E$2=AG43),'2023DATA'!$D$6,"")</f>
        <v/>
      </c>
      <c r="AH47" s="518" t="str">
        <f>IF(AND(_AC2="A-330-900",'2023'!$E$4="FO",'2023'!$E$2=AH43),'2023DATA'!$E$6,"")</f>
        <v/>
      </c>
      <c r="AI47" s="518" t="str">
        <f>IF(AND(_AC2="A-330-900",'2023'!$E$4="FO",'2023'!$E$2=AI43),'2023DATA'!$F$6,"")</f>
        <v/>
      </c>
      <c r="AJ47" s="518" t="str">
        <f>IF(AND(_AC2="A-330-900",'2023'!$E$4="FO",'2023'!$E$2=AJ43),'2023DATA'!$G$6,"")</f>
        <v/>
      </c>
      <c r="AK47" s="518" t="str">
        <f>IF(AND(_AC2="A-330-900",'2023'!$E$4="FO",'2023'!$E$2=AK43),'2023DATA'!$H$6,"")</f>
        <v/>
      </c>
      <c r="AL47" s="518" t="str">
        <f>IF(AND(_AC2="A-330-900",'2023'!$E$4="FO",'2023'!$E$2=AL43),'2023DATA'!$I$6,"")</f>
        <v/>
      </c>
      <c r="AM47" s="518" t="str">
        <f>IF(AND(_AC2="A-330-900",'2023'!$E$4="FO",'2023'!$E$2=AM43),'2023DATA'!$J$6,"")</f>
        <v/>
      </c>
      <c r="AN47" s="518" t="str">
        <f>IF(AND(_AC2="A-330-900",'2023'!$E$4="FO",'2023'!$E$2=AN43),'2023DATA'!$K$6,"")</f>
        <v/>
      </c>
      <c r="AO47" s="518" t="str">
        <f>IF(AND(_AC2="A-330-900",'2023'!$E$4="FO",'2023'!$E$2=AO43),'2023DATA'!$L$6,"")</f>
        <v/>
      </c>
      <c r="AP47" s="518" t="str">
        <f>IF(AND(_AC2="A-330-900",'2023'!$E$4="FO",'2023'!$E$2=AP43),'2023DATA'!$M$6,"")</f>
        <v/>
      </c>
      <c r="AQ47" s="520" t="str">
        <f>IF(AND(_AC2="A-330-900",'2023'!$E$4="FO",'2023'!$E$2=AQ43),'2023DATA'!$N$6,"")</f>
        <v/>
      </c>
      <c r="AR47" s="940"/>
      <c r="AS47" s="13" t="s">
        <v>62</v>
      </c>
      <c r="AT47" s="518" t="str">
        <f>IF(AND(_AC3="A-330-900",'2023'!$E$4="FO",'2023'!$E$2=AT43),'2023DATA'!$C$6,"")</f>
        <v/>
      </c>
      <c r="AU47" s="518" t="str">
        <f>IF(AND(_AC3="A-330-900",'2023'!$E$4="FO",'2023'!$E$2=AU43),'2023DATA'!$D$6,"")</f>
        <v/>
      </c>
      <c r="AV47" s="518" t="str">
        <f>IF(AND(_AC3="A-330-900",'2023'!$E$4="FO",'2023'!$E$2=AV43),'2023DATA'!$E$6,"")</f>
        <v/>
      </c>
      <c r="AW47" s="518" t="str">
        <f>IF(AND(_AC3="A-330-900",'2023'!$E$4="FO",'2023'!$E$2=AW43),'2023DATA'!$F$6,"")</f>
        <v/>
      </c>
      <c r="AX47" s="518" t="str">
        <f>IF(AND(_AC3="A-330-900",'2023'!$E$4="FO",'2023'!$E$2=AX43),'2023DATA'!$G$6,"")</f>
        <v/>
      </c>
      <c r="AY47" s="518" t="str">
        <f>IF(AND(_AC3="A-330-900",'2023'!$E$4="FO",'2023'!$E$2=AY43),'2023DATA'!$H$6,"")</f>
        <v/>
      </c>
      <c r="AZ47" s="518" t="str">
        <f>IF(AND(_AC3="A-330-900",'2023'!$E$4="FO",'2023'!$E$2=AZ43),'2023DATA'!$I$6,"")</f>
        <v/>
      </c>
      <c r="BA47" s="518" t="str">
        <f>IF(AND(_AC3="A-330-900",'2023'!$E$4="FO",'2023'!$E$2=BA43),'2023DATA'!$J$6,"")</f>
        <v/>
      </c>
      <c r="BB47" s="518" t="str">
        <f>IF(AND(_AC3="A-330-900",'2023'!$E$4="FO",'2023'!$E$2=BB43),'2023DATA'!$K$6,"")</f>
        <v/>
      </c>
      <c r="BC47" s="518" t="str">
        <f>IF(AND(_AC3="A-330-900",'2023'!$E$4="FO",'2023'!$E$2=BC43),'2023DATA'!$L$6,"")</f>
        <v/>
      </c>
      <c r="BD47" s="518" t="str">
        <f>IF(AND(_AC3="A-330-900",'2023'!$E$4="FO",'2023'!$E$2=BD43),'2023DATA'!$M$6,"")</f>
        <v/>
      </c>
      <c r="BE47" s="520" t="str">
        <f>IF(AND(_AC3="A-330-900",'2023'!$E$4="FO",'2023'!$E$2=BE43),'2023DATA'!$N$6,"")</f>
        <v/>
      </c>
      <c r="BF47" s="940"/>
      <c r="BG47" s="13" t="s">
        <v>62</v>
      </c>
      <c r="BH47" s="518" t="str">
        <f>IF(AND(_AC4="A-330-900",'2023'!$E$4="FO",'2023'!$E$2=BH43),'2023DATA'!$C$6,"")</f>
        <v/>
      </c>
      <c r="BI47" s="518" t="str">
        <f>IF(AND(_AC4="A-330-900",'2023'!$E$4="FO",'2023'!$E$2=BI43),'2023DATA'!$D$6,"")</f>
        <v/>
      </c>
      <c r="BJ47" s="518" t="str">
        <f>IF(AND(_AC4="A-330-900",'2023'!$E$4="FO",'2023'!$E$2=BJ43),'2023DATA'!$E$6,"")</f>
        <v/>
      </c>
      <c r="BK47" s="518" t="str">
        <f>IF(AND(_AC4="A-330-900",'2023'!$E$4="FO",'2023'!$E$2=BK43),'2023DATA'!$F$6,"")</f>
        <v/>
      </c>
      <c r="BL47" s="518" t="str">
        <f>IF(AND(_AC4="A-330-900",'2023'!$E$4="FO",'2023'!$E$2=BL43),'2023DATA'!$G$6,"")</f>
        <v/>
      </c>
      <c r="BM47" s="518" t="str">
        <f>IF(AND(_AC4="A-330-900",'2023'!$E$4="FO",'2023'!$E$2=BM43),'2023DATA'!$H$6,"")</f>
        <v/>
      </c>
      <c r="BN47" s="518" t="str">
        <f>IF(AND(_AC4="A-330-900",'2023'!$E$4="FO",'2023'!$E$2=BN43),'2023DATA'!$I$6,"")</f>
        <v/>
      </c>
      <c r="BO47" s="518" t="str">
        <f>IF(AND(_AC4="A-330-900",'2023'!$E$4="FO",'2023'!$E$2=BO43),'2023DATA'!$J$6,"")</f>
        <v/>
      </c>
      <c r="BP47" s="518" t="str">
        <f>IF(AND(_AC4="A-330-900",'2023'!$E$4="FO",'2023'!$E$2=BP43),'2023DATA'!$K$6,"")</f>
        <v/>
      </c>
      <c r="BQ47" s="518" t="str">
        <f>IF(AND(_AC4="A-330-900",'2023'!$E$4="FO",'2023'!$E$2=BQ43),'2023DATA'!$L$6,"")</f>
        <v/>
      </c>
      <c r="BR47" s="518" t="str">
        <f>IF(AND(_AC4="A-330-900",'2023'!$E$4="FO",'2023'!$E$2=BR43),'2023DATA'!$M$6,"")</f>
        <v/>
      </c>
      <c r="BS47" s="520" t="str">
        <f>IF(AND(_AC4="A-330-900",'2023'!$E$4="FO",'2023'!$E$2=BS43),'2023DATA'!$N$6,"")</f>
        <v/>
      </c>
      <c r="BT47" s="940"/>
      <c r="BU47" s="13" t="s">
        <v>62</v>
      </c>
      <c r="BV47" s="518" t="str">
        <f>IF(AND(_AC5="A-330-900",'2023'!$E$4="FO",'2023'!$E$2=BV43),'2023DATA'!$C$6,"")</f>
        <v/>
      </c>
      <c r="BW47" s="518" t="str">
        <f>IF(AND(_AC5="A-330-900",'2023'!$E$4="FO",'2023'!$E$2=BW43),'2023DATA'!$D$6,"")</f>
        <v/>
      </c>
      <c r="BX47" s="518" t="str">
        <f>IF(AND(_AC5="A-330-900",'2023'!$E$4="FO",'2023'!$E$2=BX43),'2023DATA'!$E$6,"")</f>
        <v/>
      </c>
      <c r="BY47" s="518" t="str">
        <f>IF(AND(_AC5="A-330-900",'2023'!$E$4="FO",'2023'!$E$2=BY43),'2023DATA'!$F$6,"")</f>
        <v/>
      </c>
      <c r="BZ47" s="518" t="str">
        <f>IF(AND(_AC5="A-330-900",'2023'!$E$4="FO",'2023'!$E$2=BZ43),'2023DATA'!$G$6,"")</f>
        <v/>
      </c>
      <c r="CA47" s="518" t="str">
        <f>IF(AND(_AC5="A-330-900",'2023'!$E$4="FO",'2023'!$E$2=CA43),'2023DATA'!$H$6,"")</f>
        <v/>
      </c>
      <c r="CB47" s="518" t="str">
        <f>IF(AND(_AC5="A-330-900",'2023'!$E$4="FO",'2023'!$E$2=CB43),'2023DATA'!$I$6,"")</f>
        <v/>
      </c>
      <c r="CC47" s="518" t="str">
        <f>IF(AND(_AC5="A-330-900",'2023'!$E$4="FO",'2023'!$E$2=CC43),'2023DATA'!$J$6,"")</f>
        <v/>
      </c>
      <c r="CD47" s="518" t="str">
        <f>IF(AND(_AC5="A-330-900",'2023'!$E$4="FO",'2023'!$E$2=CD43),'2023DATA'!$K$6,"")</f>
        <v/>
      </c>
      <c r="CE47" s="518" t="str">
        <f>IF(AND(_AC5="A-330-900",'2023'!$E$4="FO",'2023'!$E$2=CE43),'2023DATA'!$L$6,"")</f>
        <v/>
      </c>
      <c r="CF47" s="518" t="str">
        <f>IF(AND(_AC5="A-330-900",'2023'!$E$4="FO",'2023'!$E$2=CF43),'2023DATA'!$M$6,"")</f>
        <v/>
      </c>
      <c r="CG47" s="520" t="str">
        <f>IF(AND(_AC5="A-330-900",'2023'!$E$4="FO",'2023'!$E$2=CG43),'2023DATA'!$N$6,"")</f>
        <v/>
      </c>
      <c r="CH47" s="940"/>
      <c r="CI47" s="13" t="s">
        <v>62</v>
      </c>
      <c r="CJ47" s="518" t="str">
        <f>IF(AND(_AC6="A-330-900",'2023'!$E$4="FO",'2023'!$E$2=CJ43),'2023DATA'!$C$6,"")</f>
        <v/>
      </c>
      <c r="CK47" s="518" t="str">
        <f>IF(AND(_AC6="A-330-900",'2023'!$E$4="FO",'2023'!$E$2=CK43),'2023DATA'!$D$6,"")</f>
        <v/>
      </c>
      <c r="CL47" s="518" t="str">
        <f>IF(AND(_AC6="A-330-900",'2023'!$E$4="FO",'2023'!$E$2=CL43),'2023DATA'!$E$6,"")</f>
        <v/>
      </c>
      <c r="CM47" s="518" t="str">
        <f>IF(AND(_AC6="A-330-900",'2023'!$E$4="FO",'2023'!$E$2=CM43),'2023DATA'!$F$6,"")</f>
        <v/>
      </c>
      <c r="CN47" s="518" t="str">
        <f>IF(AND(_AC6="A-330-900",'2023'!$E$4="FO",'2023'!$E$2=CN43),'2023DATA'!$G$6,"")</f>
        <v/>
      </c>
      <c r="CO47" s="518" t="str">
        <f>IF(AND(_AC6="A-330-900",'2023'!$E$4="FO",'2023'!$E$2=CO43),'2023DATA'!$H$6,"")</f>
        <v/>
      </c>
      <c r="CP47" s="518" t="str">
        <f>IF(AND(_AC6="A-330-900",'2023'!$E$4="FO",'2023'!$E$2=CP43),'2023DATA'!$I$6,"")</f>
        <v/>
      </c>
      <c r="CQ47" s="518" t="str">
        <f>IF(AND(_AC6="A-330-900",'2023'!$E$4="FO",'2023'!$E$2=CQ43),'2023DATA'!$J$6,"")</f>
        <v/>
      </c>
      <c r="CR47" s="518" t="str">
        <f>IF(AND(_AC6="A-330-900",'2023'!$E$4="FO",'2023'!$E$2=CR43),'2023DATA'!$K$6,"")</f>
        <v/>
      </c>
      <c r="CS47" s="518" t="str">
        <f>IF(AND(_AC6="A-330-900",'2023'!$E$4="FO",'2023'!$E$2=CS43),'2023DATA'!$L$6,"")</f>
        <v/>
      </c>
      <c r="CT47" s="518" t="str">
        <f>IF(AND(_AC6="A-330-900",'2023'!$E$4="FO",'2023'!$E$2=CT43),'2023DATA'!$M$6,"")</f>
        <v/>
      </c>
      <c r="CU47" s="520" t="str">
        <f>IF(AND(_AC6="A-330-900",'2023'!$E$4="FO",'2023'!$E$2=CU43),'2023DATA'!$N$6,"")</f>
        <v/>
      </c>
    </row>
    <row r="48" spans="1:99" x14ac:dyDescent="0.25">
      <c r="P48" s="940" t="s">
        <v>64</v>
      </c>
      <c r="Q48" s="13" t="s">
        <v>61</v>
      </c>
      <c r="R48" s="518" t="str">
        <f>IF(AND(_AC1="A-330-300",'2023'!$E$4="CA",'2023'!$E$2=R43),'2023DATA'!$C$7,"")</f>
        <v/>
      </c>
      <c r="S48" s="518" t="str">
        <f>IF(AND(_AC1="A-330-300",'2023'!$E$4="CA",'2023'!$E$2=S43),'2023DATA'!$D$7,"")</f>
        <v/>
      </c>
      <c r="T48" s="518" t="str">
        <f>IF(AND(_AC1="A-330-300",'2023'!$E$4="CA",'2023'!$E$2=T43),'2023DATA'!$E$7,"")</f>
        <v/>
      </c>
      <c r="U48" s="518" t="str">
        <f>IF(AND(_AC1="A-330-300",'2023'!$E$4="CA",'2023'!$E$2=U43),'2023DATA'!$F$7,"")</f>
        <v/>
      </c>
      <c r="V48" s="518" t="str">
        <f>IF(AND(_AC1="A-330-300",'2023'!$E$4="CA",'2023'!$E$2=V43),'2023DATA'!$G$7,"")</f>
        <v/>
      </c>
      <c r="W48" s="518" t="str">
        <f>IF(AND(_AC1="A-330-300",'2023'!$E$4="CA",'2023'!$E$2=W43),'2023DATA'!$H$7,"")</f>
        <v/>
      </c>
      <c r="X48" s="518" t="str">
        <f>IF(AND(_AC1="A-330-300",'2023'!$E$4="CA",'2023'!$E$2=X43),'2023DATA'!$I$7,"")</f>
        <v/>
      </c>
      <c r="Y48" s="518" t="str">
        <f>IF(AND(_AC1="A-330-300",'2023'!$E$4="CA",'2023'!$E$2=Y43),'2023DATA'!$J$7,"")</f>
        <v/>
      </c>
      <c r="Z48" s="518" t="str">
        <f>IF(AND(_AC1="A-330-300",'2023'!$E$4="CA",'2023'!$E$2=Z43),'2023DATA'!$K$7,"")</f>
        <v/>
      </c>
      <c r="AA48" s="518" t="str">
        <f>IF(AND(_AC1="A-330-300",'2023'!$E$4="CA",'2023'!$E$2=AA43),'2023DATA'!$L$7,"")</f>
        <v/>
      </c>
      <c r="AB48" s="518" t="str">
        <f>IF(AND(_AC1="A-330-300",'2023'!$E$4="CA",'2023'!$E$2=AB43),'2023DATA'!$M$7,"")</f>
        <v/>
      </c>
      <c r="AC48" s="520" t="str">
        <f>IF(AND(_AC1="A-330-300",'2023'!$E$4="CA",'2023'!$E$2=AC43),'2023DATA'!$N$7,"")</f>
        <v/>
      </c>
      <c r="AD48" s="940" t="s">
        <v>64</v>
      </c>
      <c r="AE48" s="13" t="s">
        <v>61</v>
      </c>
      <c r="AF48" s="518" t="str">
        <f>IF(AND(_AC2="A-330-300",'2023'!$E$4="CA",'2023'!$E$2=AF43),'2023DATA'!$C$7,"")</f>
        <v/>
      </c>
      <c r="AG48" s="518" t="str">
        <f>IF(AND(_AC2="A-330-300",'2023'!$E$4="CA",'2023'!$E$2=AG43),'2023DATA'!$D$7,"")</f>
        <v/>
      </c>
      <c r="AH48" s="518" t="str">
        <f>IF(AND(_AC2="A-330-300",'2023'!$E$4="CA",'2023'!$E$2=AH43),'2023DATA'!$E$7,"")</f>
        <v/>
      </c>
      <c r="AI48" s="518" t="str">
        <f>IF(AND(_AC2="A-330-300",'2023'!$E$4="CA",'2023'!$E$2=AI43),'2023DATA'!$F$7,"")</f>
        <v/>
      </c>
      <c r="AJ48" s="518" t="str">
        <f>IF(AND(_AC2="A-330-300",'2023'!$E$4="CA",'2023'!$E$2=AJ43),'2023DATA'!$G$7,"")</f>
        <v/>
      </c>
      <c r="AK48" s="518" t="str">
        <f>IF(AND(_AC2="A-330-300",'2023'!$E$4="CA",'2023'!$E$2=AK43),'2023DATA'!$H$7,"")</f>
        <v/>
      </c>
      <c r="AL48" s="518" t="str">
        <f>IF(AND(_AC2="A-330-300",'2023'!$E$4="CA",'2023'!$E$2=AL43),'2023DATA'!$I$7,"")</f>
        <v/>
      </c>
      <c r="AM48" s="518" t="str">
        <f>IF(AND(_AC2="A-330-300",'2023'!$E$4="CA",'2023'!$E$2=AM43),'2023DATA'!$J$7,"")</f>
        <v/>
      </c>
      <c r="AN48" s="518" t="str">
        <f>IF(AND(_AC2="A-330-300",'2023'!$E$4="CA",'2023'!$E$2=AN43),'2023DATA'!$K$7,"")</f>
        <v/>
      </c>
      <c r="AO48" s="518" t="str">
        <f>IF(AND(_AC2="A-330-300",'2023'!$E$4="CA",'2023'!$E$2=AO43),'2023DATA'!$L$7,"")</f>
        <v/>
      </c>
      <c r="AP48" s="518" t="str">
        <f>IF(AND(_AC2="A-330-300",'2023'!$E$4="CA",'2023'!$E$2=AP43),'2023DATA'!$M$7,"")</f>
        <v/>
      </c>
      <c r="AQ48" s="520" t="str">
        <f>IF(AND(_AC2="A-330-300",'2023'!$E$4="CA",'2023'!$E$2=AQ43),'2023DATA'!$N$7,"")</f>
        <v/>
      </c>
      <c r="AR48" s="940" t="s">
        <v>64</v>
      </c>
      <c r="AS48" s="13" t="s">
        <v>61</v>
      </c>
      <c r="AT48" s="518" t="str">
        <f>IF(AND(_AC3="A-330-300",'2023'!$E$4="CA",'2023'!$E$2=AT43),'2023DATA'!$C$7,"")</f>
        <v/>
      </c>
      <c r="AU48" s="518" t="str">
        <f>IF(AND(_AC3="A-330-300",'2023'!$E$4="CA",'2023'!$E$2=AU43),'2023DATA'!$D$7,"")</f>
        <v/>
      </c>
      <c r="AV48" s="518" t="str">
        <f>IF(AND(_AC3="A-330-300",'2023'!$E$4="CA",'2023'!$E$2=AV43),'2023DATA'!$E$7,"")</f>
        <v/>
      </c>
      <c r="AW48" s="518" t="str">
        <f>IF(AND(_AC3="A-330-300",'2023'!$E$4="CA",'2023'!$E$2=AW43),'2023DATA'!$F$7,"")</f>
        <v/>
      </c>
      <c r="AX48" s="518" t="str">
        <f>IF(AND(_AC3="A-330-300",'2023'!$E$4="CA",'2023'!$E$2=AX43),'2023DATA'!$G$7,"")</f>
        <v/>
      </c>
      <c r="AY48" s="518" t="str">
        <f>IF(AND(_AC3="A-330-300",'2023'!$E$4="CA",'2023'!$E$2=AY43),'2023DATA'!$H$7,"")</f>
        <v/>
      </c>
      <c r="AZ48" s="518" t="str">
        <f>IF(AND(_AC3="A-330-300",'2023'!$E$4="CA",'2023'!$E$2=AZ43),'2023DATA'!$I$7,"")</f>
        <v/>
      </c>
      <c r="BA48" s="518" t="str">
        <f>IF(AND(_AC3="A-330-300",'2023'!$E$4="CA",'2023'!$E$2=BA43),'2023DATA'!$J$7,"")</f>
        <v/>
      </c>
      <c r="BB48" s="518" t="str">
        <f>IF(AND(_AC3="A-330-300",'2023'!$E$4="CA",'2023'!$E$2=BB43),'2023DATA'!$K$7,"")</f>
        <v/>
      </c>
      <c r="BC48" s="518" t="str">
        <f>IF(AND(_AC3="A-330-300",'2023'!$E$4="CA",'2023'!$E$2=BC43),'2023DATA'!$L$7,"")</f>
        <v/>
      </c>
      <c r="BD48" s="518" t="str">
        <f>IF(AND(_AC3="A-330-300",'2023'!$E$4="CA",'2023'!$E$2=BD43),'2023DATA'!$M$7,"")</f>
        <v/>
      </c>
      <c r="BE48" s="520" t="str">
        <f>IF(AND(_AC3="A-330-300",'2023'!$E$4="CA",'2023'!$E$2=BE43),'2023DATA'!$N$7,"")</f>
        <v/>
      </c>
      <c r="BF48" s="940" t="s">
        <v>64</v>
      </c>
      <c r="BG48" s="13" t="s">
        <v>61</v>
      </c>
      <c r="BH48" s="518" t="str">
        <f>IF(AND(_AC4="A-330-300",'2023'!$E$4="CA",'2023'!$E$2=BH43),'2023DATA'!$C$7,"")</f>
        <v/>
      </c>
      <c r="BI48" s="518" t="str">
        <f>IF(AND(_AC4="A-330-300",'2023'!$E$4="CA",'2023'!$E$2=BI43),'2023DATA'!$D$7,"")</f>
        <v/>
      </c>
      <c r="BJ48" s="518" t="str">
        <f>IF(AND(_AC4="A-330-300",'2023'!$E$4="CA",'2023'!$E$2=BJ43),'2023DATA'!$E$7,"")</f>
        <v/>
      </c>
      <c r="BK48" s="518" t="str">
        <f>IF(AND(_AC4="A-330-300",'2023'!$E$4="CA",'2023'!$E$2=BK43),'2023DATA'!$F$7,"")</f>
        <v/>
      </c>
      <c r="BL48" s="518" t="str">
        <f>IF(AND(_AC4="A-330-300",'2023'!$E$4="CA",'2023'!$E$2=BL43),'2023DATA'!$G$7,"")</f>
        <v/>
      </c>
      <c r="BM48" s="518" t="str">
        <f>IF(AND(_AC4="A-330-300",'2023'!$E$4="CA",'2023'!$E$2=BM43),'2023DATA'!$H$7,"")</f>
        <v/>
      </c>
      <c r="BN48" s="518" t="str">
        <f>IF(AND(_AC4="A-330-300",'2023'!$E$4="CA",'2023'!$E$2=BN43),'2023DATA'!$I$7,"")</f>
        <v/>
      </c>
      <c r="BO48" s="518" t="str">
        <f>IF(AND(_AC4="A-330-300",'2023'!$E$4="CA",'2023'!$E$2=BO43),'2023DATA'!$J$7,"")</f>
        <v/>
      </c>
      <c r="BP48" s="518" t="str">
        <f>IF(AND(_AC4="A-330-300",'2023'!$E$4="CA",'2023'!$E$2=BP43),'2023DATA'!$K$7,"")</f>
        <v/>
      </c>
      <c r="BQ48" s="518" t="str">
        <f>IF(AND(_AC4="A-330-300",'2023'!$E$4="CA",'2023'!$E$2=BQ43),'2023DATA'!$L$7,"")</f>
        <v/>
      </c>
      <c r="BR48" s="518" t="str">
        <f>IF(AND(_AC4="A-330-300",'2023'!$E$4="CA",'2023'!$E$2=BR43),'2023DATA'!$M$7,"")</f>
        <v/>
      </c>
      <c r="BS48" s="520" t="str">
        <f>IF(AND(_AC4="A-330-300",'2023'!$E$4="CA",'2023'!$E$2=BS43),'2023DATA'!$N$7,"")</f>
        <v/>
      </c>
      <c r="BT48" s="940" t="s">
        <v>64</v>
      </c>
      <c r="BU48" s="13" t="s">
        <v>61</v>
      </c>
      <c r="BV48" s="518" t="str">
        <f>IF(AND(_AC5="A-330-300",'2023'!$E$4="CA",'2023'!$E$2=BV43),'2023DATA'!$C$7,"")</f>
        <v/>
      </c>
      <c r="BW48" s="518" t="str">
        <f>IF(AND(_AC5="A-330-300",'2023'!$E$4="CA",'2023'!$E$2=BW43),'2023DATA'!$D$7,"")</f>
        <v/>
      </c>
      <c r="BX48" s="518" t="str">
        <f>IF(AND(_AC5="A-330-300",'2023'!$E$4="CA",'2023'!$E$2=BX43),'2023DATA'!$E$7,"")</f>
        <v/>
      </c>
      <c r="BY48" s="518" t="str">
        <f>IF(AND(_AC5="A-330-300",'2023'!$E$4="CA",'2023'!$E$2=BY43),'2023DATA'!$F$7,"")</f>
        <v/>
      </c>
      <c r="BZ48" s="518" t="str">
        <f>IF(AND(_AC5="A-330-300",'2023'!$E$4="CA",'2023'!$E$2=BZ43),'2023DATA'!$G$7,"")</f>
        <v/>
      </c>
      <c r="CA48" s="518" t="str">
        <f>IF(AND(_AC5="A-330-300",'2023'!$E$4="CA",'2023'!$E$2=CA43),'2023DATA'!$H$7,"")</f>
        <v/>
      </c>
      <c r="CB48" s="518" t="str">
        <f>IF(AND(_AC5="A-330-300",'2023'!$E$4="CA",'2023'!$E$2=CB43),'2023DATA'!$I$7,"")</f>
        <v/>
      </c>
      <c r="CC48" s="518" t="str">
        <f>IF(AND(_AC5="A-330-300",'2023'!$E$4="CA",'2023'!$E$2=CC43),'2023DATA'!$J$7,"")</f>
        <v/>
      </c>
      <c r="CD48" s="518" t="str">
        <f>IF(AND(_AC5="A-330-300",'2023'!$E$4="CA",'2023'!$E$2=CD43),'2023DATA'!$K$7,"")</f>
        <v/>
      </c>
      <c r="CE48" s="518" t="str">
        <f>IF(AND(_AC5="A-330-300",'2023'!$E$4="CA",'2023'!$E$2=CE43),'2023DATA'!$L$7,"")</f>
        <v/>
      </c>
      <c r="CF48" s="518" t="str">
        <f>IF(AND(_AC5="A-330-300",'2023'!$E$4="CA",'2023'!$E$2=CF43),'2023DATA'!$M$7,"")</f>
        <v/>
      </c>
      <c r="CG48" s="520" t="str">
        <f>IF(AND(_AC5="A-330-300",'2023'!$E$4="CA",'2023'!$E$2=CG43),'2023DATA'!$N$7,"")</f>
        <v/>
      </c>
      <c r="CH48" s="940" t="s">
        <v>64</v>
      </c>
      <c r="CI48" s="13" t="s">
        <v>61</v>
      </c>
      <c r="CJ48" s="518" t="str">
        <f>IF(AND(_AC6="A-330-300",'2023'!$E$4="CA",'2023'!$E$2=CJ43),'2023DATA'!$C$7,"")</f>
        <v/>
      </c>
      <c r="CK48" s="518" t="str">
        <f>IF(AND(_AC6="A-330-300",'2023'!$E$4="CA",'2023'!$E$2=CK43),'2023DATA'!$D$7,"")</f>
        <v/>
      </c>
      <c r="CL48" s="518" t="str">
        <f>IF(AND(_AC6="A-330-300",'2023'!$E$4="CA",'2023'!$E$2=CL43),'2023DATA'!$E$7,"")</f>
        <v/>
      </c>
      <c r="CM48" s="518" t="str">
        <f>IF(AND(_AC6="A-330-300",'2023'!$E$4="CA",'2023'!$E$2=CM43),'2023DATA'!$F$7,"")</f>
        <v/>
      </c>
      <c r="CN48" s="518" t="str">
        <f>IF(AND(_AC6="A-330-300",'2023'!$E$4="CA",'2023'!$E$2=CN43),'2023DATA'!$G$7,"")</f>
        <v/>
      </c>
      <c r="CO48" s="518" t="str">
        <f>IF(AND(_AC6="A-330-300",'2023'!$E$4="CA",'2023'!$E$2=CO43),'2023DATA'!$H$7,"")</f>
        <v/>
      </c>
      <c r="CP48" s="518" t="str">
        <f>IF(AND(_AC6="A-330-300",'2023'!$E$4="CA",'2023'!$E$2=CP43),'2023DATA'!$I$7,"")</f>
        <v/>
      </c>
      <c r="CQ48" s="518" t="str">
        <f>IF(AND(_AC6="A-330-300",'2023'!$E$4="CA",'2023'!$E$2=CQ43),'2023DATA'!$J$7,"")</f>
        <v/>
      </c>
      <c r="CR48" s="518" t="str">
        <f>IF(AND(_AC6="A-330-300",'2023'!$E$4="CA",'2023'!$E$2=CR43),'2023DATA'!$K$7,"")</f>
        <v/>
      </c>
      <c r="CS48" s="518" t="str">
        <f>IF(AND(_AC6="A-330-300",'2023'!$E$4="CA",'2023'!$E$2=CS43),'2023DATA'!$L$7,"")</f>
        <v/>
      </c>
      <c r="CT48" s="518" t="str">
        <f>IF(AND(_AC6="A-330-300",'2023'!$E$4="CA",'2023'!$E$2=CT43),'2023DATA'!$M$7,"")</f>
        <v/>
      </c>
      <c r="CU48" s="520" t="str">
        <f>IF(AND(_AC6="A-330-300",'2023'!$E$4="CA",'2023'!$E$2=CU43),'2023DATA'!$N$7,"")</f>
        <v/>
      </c>
    </row>
    <row r="49" spans="16:99" x14ac:dyDescent="0.25">
      <c r="P49" s="940"/>
      <c r="Q49" s="13" t="s">
        <v>62</v>
      </c>
      <c r="R49" s="518" t="str">
        <f>IF(AND(_AC1="A-330-300",'2023'!$E$4="FO",'2023'!$E$2=R43),'2023DATA'!$C$8,"")</f>
        <v/>
      </c>
      <c r="S49" s="518" t="str">
        <f>IF(AND(_AC1="A-330-300",'2023'!$E$4="FO",'2023'!$E$2=S43),'2023DATA'!$D$8,"")</f>
        <v/>
      </c>
      <c r="T49" s="518" t="str">
        <f>IF(AND(_AC1="A-330-300",'2023'!$E$4="FO",'2023'!$E$2=T43),'2023DATA'!$E$8,"")</f>
        <v/>
      </c>
      <c r="U49" s="518" t="str">
        <f>IF(AND(_AC1="A-330-300",'2023'!$E$4="FO",'2023'!$E$2=U43),'2023DATA'!$F$8,"")</f>
        <v/>
      </c>
      <c r="V49" s="518" t="str">
        <f>IF(AND(_AC1="A-330-300",'2023'!$E$4="FO",'2023'!$E$2=V43),'2023DATA'!$G$8,"")</f>
        <v/>
      </c>
      <c r="W49" s="518" t="str">
        <f>IF(AND(_AC1="A-330-300",'2023'!$E$4="FO",'2023'!$E$2=W43),'2023DATA'!$H$8,"")</f>
        <v/>
      </c>
      <c r="X49" s="518" t="str">
        <f>IF(AND(_AC1="A-330-300",'2023'!$E$4="FO",'2023'!$E$2=X43),'2023DATA'!$I$8,"")</f>
        <v/>
      </c>
      <c r="Y49" s="518" t="str">
        <f>IF(AND(_AC1="A-330-300",'2023'!$E$4="FO",'2023'!$E$2=Y43),'2023DATA'!$J$8,"")</f>
        <v/>
      </c>
      <c r="Z49" s="518" t="str">
        <f>IF(AND(_AC1="A-330-300",'2023'!$E$4="FO",'2023'!$E$2=Z43),'2023DATA'!$K$8,"")</f>
        <v/>
      </c>
      <c r="AA49" s="518" t="str">
        <f>IF(AND(_AC1="A-330-300",'2023'!$E$4="FO",'2023'!$E$2=AA43),'2023DATA'!$L$8,"")</f>
        <v/>
      </c>
      <c r="AB49" s="518" t="str">
        <f>IF(AND(_AC1="A-330-300",'2023'!$E$4="FO",'2023'!$E$2=AB43),'2023DATA'!$M$8,"")</f>
        <v/>
      </c>
      <c r="AC49" s="520" t="str">
        <f>IF(AND(_AC1="A-330-300",'2023'!$E$4="FO",'2023'!$E$2=AC43),'2023DATA'!$N$8,"")</f>
        <v/>
      </c>
      <c r="AD49" s="940"/>
      <c r="AE49" s="13" t="s">
        <v>62</v>
      </c>
      <c r="AF49" s="518" t="str">
        <f>IF(AND(_AC2="A-330-300",'2023'!$E$4="FO",'2023'!$E$2=AF43),'2023DATA'!$C$8,"")</f>
        <v/>
      </c>
      <c r="AG49" s="518" t="str">
        <f>IF(AND(_AC2="A-330-300",'2023'!$E$4="FO",'2023'!$E$2=AG43),'2023DATA'!$D$8,"")</f>
        <v/>
      </c>
      <c r="AH49" s="518" t="str">
        <f>IF(AND(_AC2="A-330-300",'2023'!$E$4="FO",'2023'!$E$2=AH43),'2023DATA'!$E$8,"")</f>
        <v/>
      </c>
      <c r="AI49" s="518" t="str">
        <f>IF(AND(_AC2="A-330-300",'2023'!$E$4="FO",'2023'!$E$2=AI43),'2023DATA'!$F$8,"")</f>
        <v/>
      </c>
      <c r="AJ49" s="518" t="str">
        <f>IF(AND(_AC2="A-330-300",'2023'!$E$4="FO",'2023'!$E$2=AJ43),'2023DATA'!$G$8,"")</f>
        <v/>
      </c>
      <c r="AK49" s="518" t="str">
        <f>IF(AND(_AC2="A-330-300",'2023'!$E$4="FO",'2023'!$E$2=AK43),'2023DATA'!$H$8,"")</f>
        <v/>
      </c>
      <c r="AL49" s="518" t="str">
        <f>IF(AND(_AC2="A-330-300",'2023'!$E$4="FO",'2023'!$E$2=AL43),'2023DATA'!$I$8,"")</f>
        <v/>
      </c>
      <c r="AM49" s="518" t="str">
        <f>IF(AND(_AC2="A-330-300",'2023'!$E$4="FO",'2023'!$E$2=AM43),'2023DATA'!$J$8,"")</f>
        <v/>
      </c>
      <c r="AN49" s="518" t="str">
        <f>IF(AND(_AC2="A-330-300",'2023'!$E$4="FO",'2023'!$E$2=AN43),'2023DATA'!$K$8,"")</f>
        <v/>
      </c>
      <c r="AO49" s="518" t="str">
        <f>IF(AND(_AC2="A-330-300",'2023'!$E$4="FO",'2023'!$E$2=AO43),'2023DATA'!$L$8,"")</f>
        <v/>
      </c>
      <c r="AP49" s="518" t="str">
        <f>IF(AND(_AC2="A-330-300",'2023'!$E$4="FO",'2023'!$E$2=AP43),'2023DATA'!$M$8,"")</f>
        <v/>
      </c>
      <c r="AQ49" s="520" t="str">
        <f>IF(AND(_AC2="A-330-300",'2023'!$E$4="FO",'2023'!$E$2=AQ43),'2023DATA'!$N$8,"")</f>
        <v/>
      </c>
      <c r="AR49" s="940"/>
      <c r="AS49" s="13" t="s">
        <v>62</v>
      </c>
      <c r="AT49" s="518" t="str">
        <f>IF(AND(_AC3="A-330-300",'2023'!$E$4="FO",'2023'!$E$2=AT43),'2023DATA'!$C$8,"")</f>
        <v/>
      </c>
      <c r="AU49" s="518" t="str">
        <f>IF(AND(_AC3="A-330-300",'2023'!$E$4="FO",'2023'!$E$2=AU43),'2023DATA'!$D$8,"")</f>
        <v/>
      </c>
      <c r="AV49" s="518" t="str">
        <f>IF(AND(_AC3="A-330-300",'2023'!$E$4="FO",'2023'!$E$2=AV43),'2023DATA'!$E$8,"")</f>
        <v/>
      </c>
      <c r="AW49" s="518" t="str">
        <f>IF(AND(_AC3="A-330-300",'2023'!$E$4="FO",'2023'!$E$2=AW43),'2023DATA'!$F$8,"")</f>
        <v/>
      </c>
      <c r="AX49" s="518" t="str">
        <f>IF(AND(_AC3="A-330-300",'2023'!$E$4="FO",'2023'!$E$2=AX43),'2023DATA'!$G$8,"")</f>
        <v/>
      </c>
      <c r="AY49" s="518" t="str">
        <f>IF(AND(_AC3="A-330-300",'2023'!$E$4="FO",'2023'!$E$2=AY43),'2023DATA'!$H$8,"")</f>
        <v/>
      </c>
      <c r="AZ49" s="518" t="str">
        <f>IF(AND(_AC3="A-330-300",'2023'!$E$4="FO",'2023'!$E$2=AZ43),'2023DATA'!$I$8,"")</f>
        <v/>
      </c>
      <c r="BA49" s="518" t="str">
        <f>IF(AND(_AC3="A-330-300",'2023'!$E$4="FO",'2023'!$E$2=BA43),'2023DATA'!$J$8,"")</f>
        <v/>
      </c>
      <c r="BB49" s="518" t="str">
        <f>IF(AND(_AC3="A-330-300",'2023'!$E$4="FO",'2023'!$E$2=BB43),'2023DATA'!$K$8,"")</f>
        <v/>
      </c>
      <c r="BC49" s="518" t="str">
        <f>IF(AND(_AC3="A-330-300",'2023'!$E$4="FO",'2023'!$E$2=BC43),'2023DATA'!$L$8,"")</f>
        <v/>
      </c>
      <c r="BD49" s="518" t="str">
        <f>IF(AND(_AC3="A-330-300",'2023'!$E$4="FO",'2023'!$E$2=BD43),'2023DATA'!$M$8,"")</f>
        <v/>
      </c>
      <c r="BE49" s="520" t="str">
        <f>IF(AND(_AC3="A-330-300",'2023'!$E$4="FO",'2023'!$E$2=BE43),'2023DATA'!$N$8,"")</f>
        <v/>
      </c>
      <c r="BF49" s="940"/>
      <c r="BG49" s="13" t="s">
        <v>62</v>
      </c>
      <c r="BH49" s="518" t="str">
        <f>IF(AND(_AC4="A-330-300",'2023'!$E$4="FO",'2023'!$E$2=BH43),'2023DATA'!$C$8,"")</f>
        <v/>
      </c>
      <c r="BI49" s="518" t="str">
        <f>IF(AND(_AC4="A-330-300",'2023'!$E$4="FO",'2023'!$E$2=BI43),'2023DATA'!$D$8,"")</f>
        <v/>
      </c>
      <c r="BJ49" s="518" t="str">
        <f>IF(AND(_AC4="A-330-300",'2023'!$E$4="FO",'2023'!$E$2=BJ43),'2023DATA'!$E$8,"")</f>
        <v/>
      </c>
      <c r="BK49" s="518" t="str">
        <f>IF(AND(_AC4="A-330-300",'2023'!$E$4="FO",'2023'!$E$2=BK43),'2023DATA'!$F$8,"")</f>
        <v/>
      </c>
      <c r="BL49" s="518" t="str">
        <f>IF(AND(_AC4="A-330-300",'2023'!$E$4="FO",'2023'!$E$2=BL43),'2023DATA'!$G$8,"")</f>
        <v/>
      </c>
      <c r="BM49" s="518" t="str">
        <f>IF(AND(_AC4="A-330-300",'2023'!$E$4="FO",'2023'!$E$2=BM43),'2023DATA'!$H$8,"")</f>
        <v/>
      </c>
      <c r="BN49" s="518" t="str">
        <f>IF(AND(_AC4="A-330-300",'2023'!$E$4="FO",'2023'!$E$2=BN43),'2023DATA'!$I$8,"")</f>
        <v/>
      </c>
      <c r="BO49" s="518" t="str">
        <f>IF(AND(_AC4="A-330-300",'2023'!$E$4="FO",'2023'!$E$2=BO43),'2023DATA'!$J$8,"")</f>
        <v/>
      </c>
      <c r="BP49" s="518" t="str">
        <f>IF(AND(_AC4="A-330-300",'2023'!$E$4="FO",'2023'!$E$2=BP43),'2023DATA'!$K$8,"")</f>
        <v/>
      </c>
      <c r="BQ49" s="518" t="str">
        <f>IF(AND(_AC4="A-330-300",'2023'!$E$4="FO",'2023'!$E$2=BQ43),'2023DATA'!$L$8,"")</f>
        <v/>
      </c>
      <c r="BR49" s="518" t="str">
        <f>IF(AND(_AC4="A-330-300",'2023'!$E$4="FO",'2023'!$E$2=BR43),'2023DATA'!$M$8,"")</f>
        <v/>
      </c>
      <c r="BS49" s="520" t="str">
        <f>IF(AND(_AC4="A-330-300",'2023'!$E$4="FO",'2023'!$E$2=BS43),'2023DATA'!$N$8,"")</f>
        <v/>
      </c>
      <c r="BT49" s="940"/>
      <c r="BU49" s="13" t="s">
        <v>62</v>
      </c>
      <c r="BV49" s="518" t="str">
        <f>IF(AND(_AC5="A-330-300",'2023'!$E$4="FO",'2023'!$E$2=BV43),'2023DATA'!$C$8,"")</f>
        <v/>
      </c>
      <c r="BW49" s="518" t="str">
        <f>IF(AND(_AC5="A-330-300",'2023'!$E$4="FO",'2023'!$E$2=BW43),'2023DATA'!$D$8,"")</f>
        <v/>
      </c>
      <c r="BX49" s="518" t="str">
        <f>IF(AND(_AC5="A-330-300",'2023'!$E$4="FO",'2023'!$E$2=BX43),'2023DATA'!$E$8,"")</f>
        <v/>
      </c>
      <c r="BY49" s="518" t="str">
        <f>IF(AND(_AC5="A-330-300",'2023'!$E$4="FO",'2023'!$E$2=BY43),'2023DATA'!$F$8,"")</f>
        <v/>
      </c>
      <c r="BZ49" s="518" t="str">
        <f>IF(AND(_AC5="A-330-300",'2023'!$E$4="FO",'2023'!$E$2=BZ43),'2023DATA'!$G$8,"")</f>
        <v/>
      </c>
      <c r="CA49" s="518" t="str">
        <f>IF(AND(_AC5="A-330-300",'2023'!$E$4="FO",'2023'!$E$2=CA43),'2023DATA'!$H$8,"")</f>
        <v/>
      </c>
      <c r="CB49" s="518" t="str">
        <f>IF(AND(_AC5="A-330-300",'2023'!$E$4="FO",'2023'!$E$2=CB43),'2023DATA'!$I$8,"")</f>
        <v/>
      </c>
      <c r="CC49" s="518" t="str">
        <f>IF(AND(_AC5="A-330-300",'2023'!$E$4="FO",'2023'!$E$2=CC43),'2023DATA'!$J$8,"")</f>
        <v/>
      </c>
      <c r="CD49" s="518" t="str">
        <f>IF(AND(_AC5="A-330-300",'2023'!$E$4="FO",'2023'!$E$2=CD43),'2023DATA'!$K$8,"")</f>
        <v/>
      </c>
      <c r="CE49" s="518" t="str">
        <f>IF(AND(_AC5="A-330-300",'2023'!$E$4="FO",'2023'!$E$2=CE43),'2023DATA'!$L$8,"")</f>
        <v/>
      </c>
      <c r="CF49" s="518" t="str">
        <f>IF(AND(_AC5="A-330-300",'2023'!$E$4="FO",'2023'!$E$2=CF43),'2023DATA'!$M$8,"")</f>
        <v/>
      </c>
      <c r="CG49" s="520" t="str">
        <f>IF(AND(_AC5="A-330-300",'2023'!$E$4="FO",'2023'!$E$2=CG43),'2023DATA'!$N$8,"")</f>
        <v/>
      </c>
      <c r="CH49" s="940"/>
      <c r="CI49" s="13" t="s">
        <v>62</v>
      </c>
      <c r="CJ49" s="518" t="str">
        <f>IF(AND(_AC6="A-330-300",'2023'!$E$4="FO",'2023'!$E$2=CJ43),'2023DATA'!$C$8,"")</f>
        <v/>
      </c>
      <c r="CK49" s="518" t="str">
        <f>IF(AND(_AC6="A-330-300",'2023'!$E$4="FO",'2023'!$E$2=CK43),'2023DATA'!$D$8,"")</f>
        <v/>
      </c>
      <c r="CL49" s="518" t="str">
        <f>IF(AND(_AC6="A-330-300",'2023'!$E$4="FO",'2023'!$E$2=CL43),'2023DATA'!$E$8,"")</f>
        <v/>
      </c>
      <c r="CM49" s="518" t="str">
        <f>IF(AND(_AC6="A-330-300",'2023'!$E$4="FO",'2023'!$E$2=CM43),'2023DATA'!$F$8,"")</f>
        <v/>
      </c>
      <c r="CN49" s="518" t="str">
        <f>IF(AND(_AC6="A-330-300",'2023'!$E$4="FO",'2023'!$E$2=CN43),'2023DATA'!$G$8,"")</f>
        <v/>
      </c>
      <c r="CO49" s="518" t="str">
        <f>IF(AND(_AC6="A-330-300",'2023'!$E$4="FO",'2023'!$E$2=CO43),'2023DATA'!$H$8,"")</f>
        <v/>
      </c>
      <c r="CP49" s="518" t="str">
        <f>IF(AND(_AC6="A-330-300",'2023'!$E$4="FO",'2023'!$E$2=CP43),'2023DATA'!$I$8,"")</f>
        <v/>
      </c>
      <c r="CQ49" s="518" t="str">
        <f>IF(AND(_AC6="A-330-300",'2023'!$E$4="FO",'2023'!$E$2=CQ43),'2023DATA'!$J$8,"")</f>
        <v/>
      </c>
      <c r="CR49" s="518" t="str">
        <f>IF(AND(_AC6="A-330-300",'2023'!$E$4="FO",'2023'!$E$2=CR43),'2023DATA'!$K$8,"")</f>
        <v/>
      </c>
      <c r="CS49" s="518" t="str">
        <f>IF(AND(_AC6="A-330-300",'2023'!$E$4="FO",'2023'!$E$2=CS43),'2023DATA'!$L$8,"")</f>
        <v/>
      </c>
      <c r="CT49" s="518" t="str">
        <f>IF(AND(_AC6="A-330-300",'2023'!$E$4="FO",'2023'!$E$2=CT43),'2023DATA'!$M$8,"")</f>
        <v/>
      </c>
      <c r="CU49" s="520" t="str">
        <f>IF(AND(_AC6="A-330-300",'2023'!$E$4="FO",'2023'!$E$2=CU43),'2023DATA'!$N$8,"")</f>
        <v/>
      </c>
    </row>
    <row r="50" spans="16:99" x14ac:dyDescent="0.25">
      <c r="P50" s="940" t="s">
        <v>66</v>
      </c>
      <c r="Q50" s="13" t="s">
        <v>61</v>
      </c>
      <c r="R50" s="518" t="str">
        <f>IF(AND(_AC1="A-330-200",'2023'!$E$4="CA",'2023'!$E$2=R43),'2023DATA'!$C$9,"")</f>
        <v/>
      </c>
      <c r="S50" s="518" t="str">
        <f>IF(AND(_AC1="A-330-200",'2023'!$E$4="CA",'2023'!$E$2=S43),'2023DATA'!$D$9,"")</f>
        <v/>
      </c>
      <c r="T50" s="518" t="str">
        <f>IF(AND(_AC1="A-330-200",'2023'!$E$4="CA",'2023'!$E$2=T43),'2023DATA'!$E$9,"")</f>
        <v/>
      </c>
      <c r="U50" s="518" t="str">
        <f>IF(AND(_AC1="A-330-200",'2023'!$E$4="CA",'2023'!$E$2=U43),'2023DATA'!$F$9,"")</f>
        <v/>
      </c>
      <c r="V50" s="518" t="str">
        <f>IF(AND(_AC1="A-330-200",'2023'!$E$4="CA",'2023'!$E$2=V43),'2023DATA'!$G$9,"")</f>
        <v/>
      </c>
      <c r="W50" s="518" t="str">
        <f>IF(AND(_AC1="A-330-200",'2023'!$E$4="CA",'2023'!$E$2=W43),'2023DATA'!$H$9,"")</f>
        <v/>
      </c>
      <c r="X50" s="518" t="str">
        <f>IF(AND(_AC1="A-330-200",'2023'!$E$4="CA",'2023'!$E$2=X43),'2023DATA'!$I$9,"")</f>
        <v/>
      </c>
      <c r="Y50" s="518" t="str">
        <f>IF(AND(_AC1="A-330-200",'2023'!$E$4="CA",'2023'!$E$2=Y43),'2023DATA'!$J$9,"")</f>
        <v/>
      </c>
      <c r="Z50" s="518" t="str">
        <f>IF(AND(_AC1="A-330-200",'2023'!$E$4="CA",'2023'!$E$2=Z43),'2023DATA'!$K$9,"")</f>
        <v/>
      </c>
      <c r="AA50" s="518" t="str">
        <f>IF(AND(_AC1="A-330-200",'2023'!$E$4="CA",'2023'!$E$2=AA43),'2023DATA'!$L$9,"")</f>
        <v/>
      </c>
      <c r="AB50" s="518" t="str">
        <f>IF(AND(_AC1="A-330-200",'2023'!$E$4="CA",'2023'!$E$2=AB43),'2023DATA'!$M$9,"")</f>
        <v/>
      </c>
      <c r="AC50" s="520" t="str">
        <f>IF(AND(_AC1="A-330-200",'2023'!$E$4="CA",'2023'!$E$2=AC43),'2023DATA'!$N$9,"")</f>
        <v/>
      </c>
      <c r="AD50" s="940" t="s">
        <v>66</v>
      </c>
      <c r="AE50" s="13" t="s">
        <v>61</v>
      </c>
      <c r="AF50" s="518" t="str">
        <f>IF(AND(_AC2="A-330-200",'2023'!$E$4="CA",'2023'!$E$2=AF43),'2023DATA'!$C$9,"")</f>
        <v/>
      </c>
      <c r="AG50" s="518" t="str">
        <f>IF(AND(_AC2="A-330-200",'2023'!$E$4="CA",'2023'!$E$2=AG43),'2023DATA'!$D$9,"")</f>
        <v/>
      </c>
      <c r="AH50" s="518" t="str">
        <f>IF(AND(_AC2="A-330-200",'2023'!$E$4="CA",'2023'!$E$2=AH43),'2023DATA'!$E$9,"")</f>
        <v/>
      </c>
      <c r="AI50" s="518" t="str">
        <f>IF(AND(_AC2="A-330-200",'2023'!$E$4="CA",'2023'!$E$2=AI43),'2023DATA'!$F$9,"")</f>
        <v/>
      </c>
      <c r="AJ50" s="518" t="str">
        <f>IF(AND(_AC2="A-330-200",'2023'!$E$4="CA",'2023'!$E$2=AJ43),'2023DATA'!$G$9,"")</f>
        <v/>
      </c>
      <c r="AK50" s="518" t="str">
        <f>IF(AND(_AC2="A-330-200",'2023'!$E$4="CA",'2023'!$E$2=AK43),'2023DATA'!$H$9,"")</f>
        <v/>
      </c>
      <c r="AL50" s="518" t="str">
        <f>IF(AND(_AC2="A-330-200",'2023'!$E$4="CA",'2023'!$E$2=AL43),'2023DATA'!$I$9,"")</f>
        <v/>
      </c>
      <c r="AM50" s="518" t="str">
        <f>IF(AND(_AC2="A-330-200",'2023'!$E$4="CA",'2023'!$E$2=AM43),'2023DATA'!$J$9,"")</f>
        <v/>
      </c>
      <c r="AN50" s="518" t="str">
        <f>IF(AND(_AC2="A-330-200",'2023'!$E$4="CA",'2023'!$E$2=AN43),'2023DATA'!$K$9,"")</f>
        <v/>
      </c>
      <c r="AO50" s="518" t="str">
        <f>IF(AND(_AC2="A-330-200",'2023'!$E$4="CA",'2023'!$E$2=AO43),'2023DATA'!$L$9,"")</f>
        <v/>
      </c>
      <c r="AP50" s="518" t="str">
        <f>IF(AND(_AC2="A-330-200",'2023'!$E$4="CA",'2023'!$E$2=AP43),'2023DATA'!$M$9,"")</f>
        <v/>
      </c>
      <c r="AQ50" s="520" t="str">
        <f>IF(AND(_AC2="A-330-200",'2023'!$E$4="CA",'2023'!$E$2=AQ43),'2023DATA'!$N$9,"")</f>
        <v/>
      </c>
      <c r="AR50" s="940" t="s">
        <v>66</v>
      </c>
      <c r="AS50" s="13" t="s">
        <v>61</v>
      </c>
      <c r="AT50" s="518" t="str">
        <f>IF(AND(_AC3="A-330-200",'2023'!$E$4="CA",'2023'!$E$2=AT43),'2023DATA'!$C$9,"")</f>
        <v/>
      </c>
      <c r="AU50" s="518" t="str">
        <f>IF(AND(_AC3="A-330-200",'2023'!$E$4="CA",'2023'!$E$2=AU43),'2023DATA'!$D$9,"")</f>
        <v/>
      </c>
      <c r="AV50" s="518" t="str">
        <f>IF(AND(_AC3="A-330-200",'2023'!$E$4="CA",'2023'!$E$2=AV43),'2023DATA'!$E$9,"")</f>
        <v/>
      </c>
      <c r="AW50" s="518" t="str">
        <f>IF(AND(_AC3="A-330-200",'2023'!$E$4="CA",'2023'!$E$2=AW43),'2023DATA'!$F$9,"")</f>
        <v/>
      </c>
      <c r="AX50" s="518" t="str">
        <f>IF(AND(_AC3="A-330-200",'2023'!$E$4="CA",'2023'!$E$2=AX43),'2023DATA'!$G$9,"")</f>
        <v/>
      </c>
      <c r="AY50" s="518" t="str">
        <f>IF(AND(_AC3="A-330-200",'2023'!$E$4="CA",'2023'!$E$2=AY43),'2023DATA'!$H$9,"")</f>
        <v/>
      </c>
      <c r="AZ50" s="518" t="str">
        <f>IF(AND(_AC3="A-330-200",'2023'!$E$4="CA",'2023'!$E$2=AZ43),'2023DATA'!$I$9,"")</f>
        <v/>
      </c>
      <c r="BA50" s="518" t="str">
        <f>IF(AND(_AC3="A-330-200",'2023'!$E$4="CA",'2023'!$E$2=BA43),'2023DATA'!$J$9,"")</f>
        <v/>
      </c>
      <c r="BB50" s="518" t="str">
        <f>IF(AND(_AC3="A-330-200",'2023'!$E$4="CA",'2023'!$E$2=BB43),'2023DATA'!$K$9,"")</f>
        <v/>
      </c>
      <c r="BC50" s="518" t="str">
        <f>IF(AND(_AC3="A-330-200",'2023'!$E$4="CA",'2023'!$E$2=BC43),'2023DATA'!$L$9,"")</f>
        <v/>
      </c>
      <c r="BD50" s="518" t="str">
        <f>IF(AND(_AC3="A-330-200",'2023'!$E$4="CA",'2023'!$E$2=BD43),'2023DATA'!$M$9,"")</f>
        <v/>
      </c>
      <c r="BE50" s="520" t="str">
        <f>IF(AND(_AC3="A-330-200",'2023'!$E$4="CA",'2023'!$E$2=BE43),'2023DATA'!$N$9,"")</f>
        <v/>
      </c>
      <c r="BF50" s="940" t="s">
        <v>66</v>
      </c>
      <c r="BG50" s="13" t="s">
        <v>61</v>
      </c>
      <c r="BH50" s="518" t="str">
        <f>IF(AND(_AC4="A-330-200",'2023'!$E$4="CA",'2023'!$E$2=BH43),'2023DATA'!$C$9,"")</f>
        <v/>
      </c>
      <c r="BI50" s="518" t="str">
        <f>IF(AND(_AC4="A-330-200",'2023'!$E$4="CA",'2023'!$E$2=BI43),'2023DATA'!$D$9,"")</f>
        <v/>
      </c>
      <c r="BJ50" s="518" t="str">
        <f>IF(AND(_AC4="A-330-200",'2023'!$E$4="CA",'2023'!$E$2=BJ43),'2023DATA'!$E$9,"")</f>
        <v/>
      </c>
      <c r="BK50" s="518" t="str">
        <f>IF(AND(_AC4="A-330-200",'2023'!$E$4="CA",'2023'!$E$2=BK43),'2023DATA'!$F$9,"")</f>
        <v/>
      </c>
      <c r="BL50" s="518" t="str">
        <f>IF(AND(_AC4="A-330-200",'2023'!$E$4="CA",'2023'!$E$2=BL43),'2023DATA'!$G$9,"")</f>
        <v/>
      </c>
      <c r="BM50" s="518" t="str">
        <f>IF(AND(_AC4="A-330-200",'2023'!$E$4="CA",'2023'!$E$2=BM43),'2023DATA'!$H$9,"")</f>
        <v/>
      </c>
      <c r="BN50" s="518" t="str">
        <f>IF(AND(_AC4="A-330-200",'2023'!$E$4="CA",'2023'!$E$2=BN43),'2023DATA'!$I$9,"")</f>
        <v/>
      </c>
      <c r="BO50" s="518" t="str">
        <f>IF(AND(_AC4="A-330-200",'2023'!$E$4="CA",'2023'!$E$2=BO43),'2023DATA'!$J$9,"")</f>
        <v/>
      </c>
      <c r="BP50" s="518" t="str">
        <f>IF(AND(_AC4="A-330-200",'2023'!$E$4="CA",'2023'!$E$2=BP43),'2023DATA'!$K$9,"")</f>
        <v/>
      </c>
      <c r="BQ50" s="518" t="str">
        <f>IF(AND(_AC4="A-330-200",'2023'!$E$4="CA",'2023'!$E$2=BQ43),'2023DATA'!$L$9,"")</f>
        <v/>
      </c>
      <c r="BR50" s="518" t="str">
        <f>IF(AND(_AC4="A-330-200",'2023'!$E$4="CA",'2023'!$E$2=BR43),'2023DATA'!$M$9,"")</f>
        <v/>
      </c>
      <c r="BS50" s="520" t="str">
        <f>IF(AND(_AC4="A-330-200",'2023'!$E$4="CA",'2023'!$E$2=BS43),'2023DATA'!$N$9,"")</f>
        <v/>
      </c>
      <c r="BT50" s="940" t="s">
        <v>66</v>
      </c>
      <c r="BU50" s="13" t="s">
        <v>61</v>
      </c>
      <c r="BV50" s="518" t="str">
        <f>IF(AND(_AC5="A-330-200",'2023'!$E$4="CA",'2023'!$E$2=BV43),'2023DATA'!$C$9,"")</f>
        <v/>
      </c>
      <c r="BW50" s="518" t="str">
        <f>IF(AND(_AC5="A-330-200",'2023'!$E$4="CA",'2023'!$E$2=BW43),'2023DATA'!$D$9,"")</f>
        <v/>
      </c>
      <c r="BX50" s="518" t="str">
        <f>IF(AND(_AC5="A-330-200",'2023'!$E$4="CA",'2023'!$E$2=BX43),'2023DATA'!$E$9,"")</f>
        <v/>
      </c>
      <c r="BY50" s="518" t="str">
        <f>IF(AND(_AC5="A-330-200",'2023'!$E$4="CA",'2023'!$E$2=BY43),'2023DATA'!$F$9,"")</f>
        <v/>
      </c>
      <c r="BZ50" s="518" t="str">
        <f>IF(AND(_AC5="A-330-200",'2023'!$E$4="CA",'2023'!$E$2=BZ43),'2023DATA'!$G$9,"")</f>
        <v/>
      </c>
      <c r="CA50" s="518" t="str">
        <f>IF(AND(_AC5="A-330-200",'2023'!$E$4="CA",'2023'!$E$2=CA43),'2023DATA'!$H$9,"")</f>
        <v/>
      </c>
      <c r="CB50" s="518" t="str">
        <f>IF(AND(_AC5="A-330-200",'2023'!$E$4="CA",'2023'!$E$2=CB43),'2023DATA'!$I$9,"")</f>
        <v/>
      </c>
      <c r="CC50" s="518" t="str">
        <f>IF(AND(_AC5="A-330-200",'2023'!$E$4="CA",'2023'!$E$2=CC43),'2023DATA'!$J$9,"")</f>
        <v/>
      </c>
      <c r="CD50" s="518" t="str">
        <f>IF(AND(_AC5="A-330-200",'2023'!$E$4="CA",'2023'!$E$2=CD43),'2023DATA'!$K$9,"")</f>
        <v/>
      </c>
      <c r="CE50" s="518" t="str">
        <f>IF(AND(_AC5="A-330-200",'2023'!$E$4="CA",'2023'!$E$2=CE43),'2023DATA'!$L$9,"")</f>
        <v/>
      </c>
      <c r="CF50" s="518" t="str">
        <f>IF(AND(_AC5="A-330-200",'2023'!$E$4="CA",'2023'!$E$2=CF43),'2023DATA'!$M$9,"")</f>
        <v/>
      </c>
      <c r="CG50" s="520" t="str">
        <f>IF(AND(_AC5="A-330-200",'2023'!$E$4="CA",'2023'!$E$2=CG43),'2023DATA'!$N$9,"")</f>
        <v/>
      </c>
      <c r="CH50" s="940" t="s">
        <v>66</v>
      </c>
      <c r="CI50" s="13" t="s">
        <v>61</v>
      </c>
      <c r="CJ50" s="518" t="str">
        <f>IF(AND(_AC6="A-330-200",'2023'!$E$4="CA",'2023'!$E$2=CJ43),'2023DATA'!$C$9,"")</f>
        <v/>
      </c>
      <c r="CK50" s="518" t="str">
        <f>IF(AND(_AC6="A-330-200",'2023'!$E$4="CA",'2023'!$E$2=CK43),'2023DATA'!$D$9,"")</f>
        <v/>
      </c>
      <c r="CL50" s="518" t="str">
        <f>IF(AND(_AC6="A-330-200",'2023'!$E$4="CA",'2023'!$E$2=CL43),'2023DATA'!$E$9,"")</f>
        <v/>
      </c>
      <c r="CM50" s="518" t="str">
        <f>IF(AND(_AC6="A-330-200",'2023'!$E$4="CA",'2023'!$E$2=CM43),'2023DATA'!$F$9,"")</f>
        <v/>
      </c>
      <c r="CN50" s="518" t="str">
        <f>IF(AND(_AC6="A-330-200",'2023'!$E$4="CA",'2023'!$E$2=CN43),'2023DATA'!$G$9,"")</f>
        <v/>
      </c>
      <c r="CO50" s="518" t="str">
        <f>IF(AND(_AC6="A-330-200",'2023'!$E$4="CA",'2023'!$E$2=CO43),'2023DATA'!$H$9,"")</f>
        <v/>
      </c>
      <c r="CP50" s="518" t="str">
        <f>IF(AND(_AC6="A-330-200",'2023'!$E$4="CA",'2023'!$E$2=CP43),'2023DATA'!$I$9,"")</f>
        <v/>
      </c>
      <c r="CQ50" s="518" t="str">
        <f>IF(AND(_AC6="A-330-200",'2023'!$E$4="CA",'2023'!$E$2=CQ43),'2023DATA'!$J$9,"")</f>
        <v/>
      </c>
      <c r="CR50" s="518" t="str">
        <f>IF(AND(_AC6="A-330-200",'2023'!$E$4="CA",'2023'!$E$2=CR43),'2023DATA'!$K$9,"")</f>
        <v/>
      </c>
      <c r="CS50" s="518" t="str">
        <f>IF(AND(_AC6="A-330-200",'2023'!$E$4="CA",'2023'!$E$2=CS43),'2023DATA'!$L$9,"")</f>
        <v/>
      </c>
      <c r="CT50" s="518" t="str">
        <f>IF(AND(_AC6="A-330-200",'2023'!$E$4="CA",'2023'!$E$2=CT43),'2023DATA'!$M$9,"")</f>
        <v/>
      </c>
      <c r="CU50" s="520" t="str">
        <f>IF(AND(_AC6="A-330-200",'2023'!$E$4="CA",'2023'!$E$2=CU43),'2023DATA'!$N$9,"")</f>
        <v/>
      </c>
    </row>
    <row r="51" spans="16:99" x14ac:dyDescent="0.25">
      <c r="P51" s="940"/>
      <c r="Q51" s="13" t="s">
        <v>62</v>
      </c>
      <c r="R51" s="518" t="str">
        <f>IF(AND(_AC1="A-330-200",'2023'!$E$4="FO",'2023'!$E$2=R43),'2023DATA'!$C$10,"")</f>
        <v/>
      </c>
      <c r="S51" s="518" t="str">
        <f>IF(AND(_AC1="A-330-200",'2023'!$E$4="FO",'2023'!$E$2=S43),'2023DATA'!$D$10,"")</f>
        <v/>
      </c>
      <c r="T51" s="518" t="str">
        <f>IF(AND(_AC1="A-330-200",'2023'!$E$4="FO",'2023'!$E$2=T43),'2023DATA'!$E$10,"")</f>
        <v/>
      </c>
      <c r="U51" s="518" t="str">
        <f>IF(AND(_AC1="A-330-200",'2023'!$E$4="FO",'2023'!$E$2=U43),'2023DATA'!$F$10,"")</f>
        <v/>
      </c>
      <c r="V51" s="518" t="str">
        <f>IF(AND(_AC1="A-330-200",'2023'!$E$4="FO",'2023'!$E$2=V43),'2023DATA'!$G$10,"")</f>
        <v/>
      </c>
      <c r="W51" s="518" t="str">
        <f>IF(AND(_AC1="A-330-200",'2023'!$E$4="FO",'2023'!$E$2=W43),'2023DATA'!$H$10,"")</f>
        <v/>
      </c>
      <c r="X51" s="518" t="str">
        <f>IF(AND(_AC1="A-330-200",'2023'!$E$4="FO",'2023'!$E$2=X43),'2023DATA'!$I$10,"")</f>
        <v/>
      </c>
      <c r="Y51" s="518" t="str">
        <f>IF(AND(_AC1="A-330-200",'2023'!$E$4="FO",'2023'!$E$2=Y43),'2023DATA'!$J$10,"")</f>
        <v/>
      </c>
      <c r="Z51" s="518" t="str">
        <f>IF(AND(_AC1="A-330-200",'2023'!$E$4="FO",'2023'!$E$2=Z43),'2023DATA'!$K$10,"")</f>
        <v/>
      </c>
      <c r="AA51" s="518" t="str">
        <f>IF(AND(_AC1="A-330-200",'2023'!$E$4="FO",'2023'!$E$2=AA43),'2023DATA'!$L$10,"")</f>
        <v/>
      </c>
      <c r="AB51" s="518" t="str">
        <f>IF(AND(_AC1="A-330-200",'2023'!$E$4="FO",'2023'!$E$2=AB43),'2023DATA'!$M$10,"")</f>
        <v/>
      </c>
      <c r="AC51" s="520" t="str">
        <f>IF(AND(_AC1="A-330-200",'2023'!$E$4="FO",'2023'!$E$2=AC43),'2023DATA'!$N$10,"")</f>
        <v/>
      </c>
      <c r="AD51" s="940"/>
      <c r="AE51" s="13" t="s">
        <v>62</v>
      </c>
      <c r="AF51" s="518" t="str">
        <f>IF(AND(_AC2="A-330-200",'2023'!$E$4="FO",'2023'!$E$2=AF43),'2023DATA'!$C$10,"")</f>
        <v/>
      </c>
      <c r="AG51" s="518" t="str">
        <f>IF(AND(_AC2="A-330-200",'2023'!$E$4="FO",'2023'!$E$2=AG43),'2023DATA'!$D$10,"")</f>
        <v/>
      </c>
      <c r="AH51" s="518" t="str">
        <f>IF(AND(_AC2="A-330-200",'2023'!$E$4="FO",'2023'!$E$2=AH43),'2023DATA'!$E$10,"")</f>
        <v/>
      </c>
      <c r="AI51" s="518" t="str">
        <f>IF(AND(_AC2="A-330-200",'2023'!$E$4="FO",'2023'!$E$2=AI43),'2023DATA'!$F$10,"")</f>
        <v/>
      </c>
      <c r="AJ51" s="518" t="str">
        <f>IF(AND(_AC2="A-330-200",'2023'!$E$4="FO",'2023'!$E$2=AJ43),'2023DATA'!$G$10,"")</f>
        <v/>
      </c>
      <c r="AK51" s="518" t="str">
        <f>IF(AND(_AC2="A-330-200",'2023'!$E$4="FO",'2023'!$E$2=AK43),'2023DATA'!$H$10,"")</f>
        <v/>
      </c>
      <c r="AL51" s="518" t="str">
        <f>IF(AND(_AC2="A-330-200",'2023'!$E$4="FO",'2023'!$E$2=AL43),'2023DATA'!$I$10,"")</f>
        <v/>
      </c>
      <c r="AM51" s="518" t="str">
        <f>IF(AND(_AC2="A-330-200",'2023'!$E$4="FO",'2023'!$E$2=AM43),'2023DATA'!$J$10,"")</f>
        <v/>
      </c>
      <c r="AN51" s="518" t="str">
        <f>IF(AND(_AC2="A-330-200",'2023'!$E$4="FO",'2023'!$E$2=AN43),'2023DATA'!$K$10,"")</f>
        <v/>
      </c>
      <c r="AO51" s="518" t="str">
        <f>IF(AND(_AC2="A-330-200",'2023'!$E$4="FO",'2023'!$E$2=AO43),'2023DATA'!$L$10,"")</f>
        <v/>
      </c>
      <c r="AP51" s="518" t="str">
        <f>IF(AND(_AC2="A-330-200",'2023'!$E$4="FO",'2023'!$E$2=AP43),'2023DATA'!$M$10,"")</f>
        <v/>
      </c>
      <c r="AQ51" s="520" t="str">
        <f>IF(AND(_AC2="A-330-200",'2023'!$E$4="FO",'2023'!$E$2=AQ43),'2023DATA'!$N$10,"")</f>
        <v/>
      </c>
      <c r="AR51" s="940"/>
      <c r="AS51" s="13" t="s">
        <v>62</v>
      </c>
      <c r="AT51" s="518" t="str">
        <f>IF(AND(_AC3="A-330-200",'2023'!$E$4="FO",'2023'!$E$2=AT43),'2023DATA'!$C$10,"")</f>
        <v/>
      </c>
      <c r="AU51" s="518" t="str">
        <f>IF(AND(_AC3="A-330-200",'2023'!$E$4="FO",'2023'!$E$2=AU43),'2023DATA'!$D$10,"")</f>
        <v/>
      </c>
      <c r="AV51" s="518" t="str">
        <f>IF(AND(_AC3="A-330-200",'2023'!$E$4="FO",'2023'!$E$2=AV43),'2023DATA'!$E$10,"")</f>
        <v/>
      </c>
      <c r="AW51" s="518" t="str">
        <f>IF(AND(_AC3="A-330-200",'2023'!$E$4="FO",'2023'!$E$2=AW43),'2023DATA'!$F$10,"")</f>
        <v/>
      </c>
      <c r="AX51" s="518" t="str">
        <f>IF(AND(_AC3="A-330-200",'2023'!$E$4="FO",'2023'!$E$2=AX43),'2023DATA'!$G$10,"")</f>
        <v/>
      </c>
      <c r="AY51" s="518" t="str">
        <f>IF(AND(_AC3="A-330-200",'2023'!$E$4="FO",'2023'!$E$2=AY43),'2023DATA'!$H$10,"")</f>
        <v/>
      </c>
      <c r="AZ51" s="518" t="str">
        <f>IF(AND(_AC3="A-330-200",'2023'!$E$4="FO",'2023'!$E$2=AZ43),'2023DATA'!$I$10,"")</f>
        <v/>
      </c>
      <c r="BA51" s="518" t="str">
        <f>IF(AND(_AC3="A-330-200",'2023'!$E$4="FO",'2023'!$E$2=BA43),'2023DATA'!$J$10,"")</f>
        <v/>
      </c>
      <c r="BB51" s="518" t="str">
        <f>IF(AND(_AC3="A-330-200",'2023'!$E$4="FO",'2023'!$E$2=BB43),'2023DATA'!$K$10,"")</f>
        <v/>
      </c>
      <c r="BC51" s="518" t="str">
        <f>IF(AND(_AC3="A-330-200",'2023'!$E$4="FO",'2023'!$E$2=BC43),'2023DATA'!$L$10,"")</f>
        <v/>
      </c>
      <c r="BD51" s="518" t="str">
        <f>IF(AND(_AC3="A-330-200",'2023'!$E$4="FO",'2023'!$E$2=BD43),'2023DATA'!$M$10,"")</f>
        <v/>
      </c>
      <c r="BE51" s="520" t="str">
        <f>IF(AND(_AC3="A-330-200",'2023'!$E$4="FO",'2023'!$E$2=BE43),'2023DATA'!$N$10,"")</f>
        <v/>
      </c>
      <c r="BF51" s="940"/>
      <c r="BG51" s="13" t="s">
        <v>62</v>
      </c>
      <c r="BH51" s="518" t="str">
        <f>IF(AND(_AC4="A-330-200",'2023'!$E$4="FO",'2023'!$E$2=BH43),'2023DATA'!$C$10,"")</f>
        <v/>
      </c>
      <c r="BI51" s="518" t="str">
        <f>IF(AND(_AC4="A-330-200",'2023'!$E$4="FO",'2023'!$E$2=BI43),'2023DATA'!$D$10,"")</f>
        <v/>
      </c>
      <c r="BJ51" s="518" t="str">
        <f>IF(AND(_AC4="A-330-200",'2023'!$E$4="FO",'2023'!$E$2=BJ43),'2023DATA'!$E$10,"")</f>
        <v/>
      </c>
      <c r="BK51" s="518" t="str">
        <f>IF(AND(_AC4="A-330-200",'2023'!$E$4="FO",'2023'!$E$2=BK43),'2023DATA'!$F$10,"")</f>
        <v/>
      </c>
      <c r="BL51" s="518" t="str">
        <f>IF(AND(_AC4="A-330-200",'2023'!$E$4="FO",'2023'!$E$2=BL43),'2023DATA'!$G$10,"")</f>
        <v/>
      </c>
      <c r="BM51" s="518" t="str">
        <f>IF(AND(_AC4="A-330-200",'2023'!$E$4="FO",'2023'!$E$2=BM43),'2023DATA'!$H$10,"")</f>
        <v/>
      </c>
      <c r="BN51" s="518" t="str">
        <f>IF(AND(_AC4="A-330-200",'2023'!$E$4="FO",'2023'!$E$2=BN43),'2023DATA'!$I$10,"")</f>
        <v/>
      </c>
      <c r="BO51" s="518" t="str">
        <f>IF(AND(_AC4="A-330-200",'2023'!$E$4="FO",'2023'!$E$2=BO43),'2023DATA'!$J$10,"")</f>
        <v/>
      </c>
      <c r="BP51" s="518" t="str">
        <f>IF(AND(_AC4="A-330-200",'2023'!$E$4="FO",'2023'!$E$2=BP43),'2023DATA'!$K$10,"")</f>
        <v/>
      </c>
      <c r="BQ51" s="518" t="str">
        <f>IF(AND(_AC4="A-330-200",'2023'!$E$4="FO",'2023'!$E$2=BQ43),'2023DATA'!$L$10,"")</f>
        <v/>
      </c>
      <c r="BR51" s="518" t="str">
        <f>IF(AND(_AC4="A-330-200",'2023'!$E$4="FO",'2023'!$E$2=BR43),'2023DATA'!$M$10,"")</f>
        <v/>
      </c>
      <c r="BS51" s="520" t="str">
        <f>IF(AND(_AC4="A-330-200",'2023'!$E$4="FO",'2023'!$E$2=BS43),'2023DATA'!$N$10,"")</f>
        <v/>
      </c>
      <c r="BT51" s="940"/>
      <c r="BU51" s="13" t="s">
        <v>62</v>
      </c>
      <c r="BV51" s="518" t="str">
        <f>IF(AND(_AC5="A-330-200",'2023'!$E$4="FO",'2023'!$E$2=BV43),'2023DATA'!$C$10,"")</f>
        <v/>
      </c>
      <c r="BW51" s="518" t="str">
        <f>IF(AND(_AC5="A-330-200",'2023'!$E$4="FO",'2023'!$E$2=BW43),'2023DATA'!$D$10,"")</f>
        <v/>
      </c>
      <c r="BX51" s="518" t="str">
        <f>IF(AND(_AC5="A-330-200",'2023'!$E$4="FO",'2023'!$E$2=BX43),'2023DATA'!$E$10,"")</f>
        <v/>
      </c>
      <c r="BY51" s="518" t="str">
        <f>IF(AND(_AC5="A-330-200",'2023'!$E$4="FO",'2023'!$E$2=BY43),'2023DATA'!$F$10,"")</f>
        <v/>
      </c>
      <c r="BZ51" s="518" t="str">
        <f>IF(AND(_AC5="A-330-200",'2023'!$E$4="FO",'2023'!$E$2=BZ43),'2023DATA'!$G$10,"")</f>
        <v/>
      </c>
      <c r="CA51" s="518" t="str">
        <f>IF(AND(_AC5="A-330-200",'2023'!$E$4="FO",'2023'!$E$2=CA43),'2023DATA'!$H$10,"")</f>
        <v/>
      </c>
      <c r="CB51" s="518" t="str">
        <f>IF(AND(_AC5="A-330-200",'2023'!$E$4="FO",'2023'!$E$2=CB43),'2023DATA'!$I$10,"")</f>
        <v/>
      </c>
      <c r="CC51" s="518" t="str">
        <f>IF(AND(_AC5="A-330-200",'2023'!$E$4="FO",'2023'!$E$2=CC43),'2023DATA'!$J$10,"")</f>
        <v/>
      </c>
      <c r="CD51" s="518" t="str">
        <f>IF(AND(_AC5="A-330-200",'2023'!$E$4="FO",'2023'!$E$2=CD43),'2023DATA'!$K$10,"")</f>
        <v/>
      </c>
      <c r="CE51" s="518" t="str">
        <f>IF(AND(_AC5="A-330-200",'2023'!$E$4="FO",'2023'!$E$2=CE43),'2023DATA'!$L$10,"")</f>
        <v/>
      </c>
      <c r="CF51" s="518" t="str">
        <f>IF(AND(_AC5="A-330-200",'2023'!$E$4="FO",'2023'!$E$2=CF43),'2023DATA'!$M$10,"")</f>
        <v/>
      </c>
      <c r="CG51" s="520" t="str">
        <f>IF(AND(_AC5="A-330-200",'2023'!$E$4="FO",'2023'!$E$2=CG43),'2023DATA'!$N$10,"")</f>
        <v/>
      </c>
      <c r="CH51" s="940"/>
      <c r="CI51" s="13" t="s">
        <v>62</v>
      </c>
      <c r="CJ51" s="518" t="str">
        <f>IF(AND(_AC6="A-330-200",'2023'!$E$4="FO",'2023'!$E$2=CJ43),'2023DATA'!$C$10,"")</f>
        <v/>
      </c>
      <c r="CK51" s="518" t="str">
        <f>IF(AND(_AC6="A-330-200",'2023'!$E$4="FO",'2023'!$E$2=CK43),'2023DATA'!$D$10,"")</f>
        <v/>
      </c>
      <c r="CL51" s="518" t="str">
        <f>IF(AND(_AC6="A-330-200",'2023'!$E$4="FO",'2023'!$E$2=CL43),'2023DATA'!$E$10,"")</f>
        <v/>
      </c>
      <c r="CM51" s="518" t="str">
        <f>IF(AND(_AC6="A-330-200",'2023'!$E$4="FO",'2023'!$E$2=CM43),'2023DATA'!$F$10,"")</f>
        <v/>
      </c>
      <c r="CN51" s="518" t="str">
        <f>IF(AND(_AC6="A-330-200",'2023'!$E$4="FO",'2023'!$E$2=CN43),'2023DATA'!$G$10,"")</f>
        <v/>
      </c>
      <c r="CO51" s="518" t="str">
        <f>IF(AND(_AC6="A-330-200",'2023'!$E$4="FO",'2023'!$E$2=CO43),'2023DATA'!$H$10,"")</f>
        <v/>
      </c>
      <c r="CP51" s="518" t="str">
        <f>IF(AND(_AC6="A-330-200",'2023'!$E$4="FO",'2023'!$E$2=CP43),'2023DATA'!$I$10,"")</f>
        <v/>
      </c>
      <c r="CQ51" s="518" t="str">
        <f>IF(AND(_AC6="A-330-200",'2023'!$E$4="FO",'2023'!$E$2=CQ43),'2023DATA'!$J$10,"")</f>
        <v/>
      </c>
      <c r="CR51" s="518" t="str">
        <f>IF(AND(_AC6="A-330-200",'2023'!$E$4="FO",'2023'!$E$2=CR43),'2023DATA'!$K$10,"")</f>
        <v/>
      </c>
      <c r="CS51" s="518" t="str">
        <f>IF(AND(_AC6="A-330-200",'2023'!$E$4="FO",'2023'!$E$2=CS43),'2023DATA'!$L$10,"")</f>
        <v/>
      </c>
      <c r="CT51" s="518" t="str">
        <f>IF(AND(_AC6="A-330-200",'2023'!$E$4="FO",'2023'!$E$2=CT43),'2023DATA'!$M$10,"")</f>
        <v/>
      </c>
      <c r="CU51" s="520" t="str">
        <f>IF(AND(_AC6="A-330-200",'2023'!$E$4="FO",'2023'!$E$2=CU43),'2023DATA'!$N$10,"")</f>
        <v/>
      </c>
    </row>
    <row r="52" spans="16:99" x14ac:dyDescent="0.25">
      <c r="P52" s="940" t="s">
        <v>42</v>
      </c>
      <c r="Q52" s="13" t="s">
        <v>61</v>
      </c>
      <c r="R52" s="518" t="str">
        <f>IF(AND(_AC1="B-767-400ER",'2023'!$E$4="CA",'2023'!$E$2=R43),'2023DATA'!$C$11,"")</f>
        <v/>
      </c>
      <c r="S52" s="518" t="str">
        <f>IF(AND(_AC1="B-767-400ER",'2023'!$E$4="CA",'2023'!$E$2=S43),'2023DATA'!$D$11,"")</f>
        <v/>
      </c>
      <c r="T52" s="518" t="str">
        <f>IF(AND(_AC1="B-767-400ER",'2023'!$E$4="CA",'2023'!$E$2=T43),'2023DATA'!$E$11,"")</f>
        <v/>
      </c>
      <c r="U52" s="518" t="str">
        <f>IF(AND(_AC1="B-767-400ER",'2023'!$E$4="CA",'2023'!$E$2=U43),'2023DATA'!$F$11,"")</f>
        <v/>
      </c>
      <c r="V52" s="518" t="str">
        <f>IF(AND(_AC1="B-767-400ER",'2023'!$E$4="CA",'2023'!$E$2=V43),'2023DATA'!$G$11,"")</f>
        <v/>
      </c>
      <c r="W52" s="518" t="str">
        <f>IF(AND(_AC1="B-767-400ER",'2023'!$E$4="CA",'2023'!$E$2=W43),'2023DATA'!$H$11,"")</f>
        <v/>
      </c>
      <c r="X52" s="518" t="str">
        <f>IF(AND(_AC1="B-767-400ER",'2023'!$E$4="CA",'2023'!$E$2=X43),'2023DATA'!$I$11,"")</f>
        <v/>
      </c>
      <c r="Y52" s="518" t="str">
        <f>IF(AND(_AC1="B-767-400ER",'2023'!$E$4="CA",'2023'!$E$2=Y43),'2023DATA'!$J$11,"")</f>
        <v/>
      </c>
      <c r="Z52" s="518" t="str">
        <f>IF(AND(_AC1="B-767-400ER",'2023'!$E$4="CA",'2023'!$E$2=Z43),'2023DATA'!$K$11,"")</f>
        <v/>
      </c>
      <c r="AA52" s="518" t="str">
        <f>IF(AND(_AC1="B-767-400ER",'2023'!$E$4="CA",'2023'!$E$2=AA43),'2023DATA'!$L$11,"")</f>
        <v/>
      </c>
      <c r="AB52" s="518" t="str">
        <f>IF(AND(_AC1="B-767-400ER",'2023'!$E$4="CA",'2023'!$E$2=AB43),'2023DATA'!$M$11,"")</f>
        <v/>
      </c>
      <c r="AC52" s="520" t="str">
        <f>IF(AND(_AC1="B-767-400ER",'2023'!$E$4="CA",'2023'!$E$2=AC43),'2023DATA'!$N$11,"")</f>
        <v/>
      </c>
      <c r="AD52" s="940" t="s">
        <v>42</v>
      </c>
      <c r="AE52" s="13" t="s">
        <v>61</v>
      </c>
      <c r="AF52" s="518" t="str">
        <f>IF(AND(_AC2="B-767-400ER",'2023'!$E$4="CA",'2023'!$E$2=AF43),'2023DATA'!$C$11,"")</f>
        <v/>
      </c>
      <c r="AG52" s="518" t="str">
        <f>IF(AND(_AC2="B-767-400ER",'2023'!$E$4="CA",'2023'!$E$2=AG43),'2023DATA'!$D$11,"")</f>
        <v/>
      </c>
      <c r="AH52" s="518" t="str">
        <f>IF(AND(_AC2="B-767-400ER",'2023'!$E$4="CA",'2023'!$E$2=AH43),'2023DATA'!$E$11,"")</f>
        <v/>
      </c>
      <c r="AI52" s="518" t="str">
        <f>IF(AND(_AC2="B-767-400ER",'2023'!$E$4="CA",'2023'!$E$2=AI43),'2023DATA'!$F$11,"")</f>
        <v/>
      </c>
      <c r="AJ52" s="518" t="str">
        <f>IF(AND(_AC2="B-767-400ER",'2023'!$E$4="CA",'2023'!$E$2=AJ43),'2023DATA'!$G$11,"")</f>
        <v/>
      </c>
      <c r="AK52" s="518" t="str">
        <f>IF(AND(_AC2="B-767-400ER",'2023'!$E$4="CA",'2023'!$E$2=AK43),'2023DATA'!$H$11,"")</f>
        <v/>
      </c>
      <c r="AL52" s="518" t="str">
        <f>IF(AND(_AC2="B-767-400ER",'2023'!$E$4="CA",'2023'!$E$2=AL43),'2023DATA'!$I$11,"")</f>
        <v/>
      </c>
      <c r="AM52" s="518" t="str">
        <f>IF(AND(_AC2="B-767-400ER",'2023'!$E$4="CA",'2023'!$E$2=AM43),'2023DATA'!$J$11,"")</f>
        <v/>
      </c>
      <c r="AN52" s="518" t="str">
        <f>IF(AND(_AC2="B-767-400ER",'2023'!$E$4="CA",'2023'!$E$2=AN43),'2023DATA'!$K$11,"")</f>
        <v/>
      </c>
      <c r="AO52" s="518" t="str">
        <f>IF(AND(_AC2="B-767-400ER",'2023'!$E$4="CA",'2023'!$E$2=AO43),'2023DATA'!$L$11,"")</f>
        <v/>
      </c>
      <c r="AP52" s="518" t="str">
        <f>IF(AND(_AC2="B-767-400ER",'2023'!$E$4="CA",'2023'!$E$2=AP43),'2023DATA'!$M$11,"")</f>
        <v/>
      </c>
      <c r="AQ52" s="520" t="str">
        <f>IF(AND(_AC2="B-767-400ER",'2023'!$E$4="CA",'2023'!$E$2=AQ43),'2023DATA'!$N$11,"")</f>
        <v/>
      </c>
      <c r="AR52" s="940" t="s">
        <v>42</v>
      </c>
      <c r="AS52" s="13" t="s">
        <v>61</v>
      </c>
      <c r="AT52" s="518" t="str">
        <f>IF(AND(_AC3="B-767-400ER",'2023'!$E$4="CA",'2023'!$E$2=AT43),'2023DATA'!$C$11,"")</f>
        <v/>
      </c>
      <c r="AU52" s="518" t="str">
        <f>IF(AND(_AC3="B-767-400ER",'2023'!$E$4="CA",'2023'!$E$2=AU43),'2023DATA'!$D$11,"")</f>
        <v/>
      </c>
      <c r="AV52" s="518" t="str">
        <f>IF(AND(_AC3="B-767-400ER",'2023'!$E$4="CA",'2023'!$E$2=AV43),'2023DATA'!$E$11,"")</f>
        <v/>
      </c>
      <c r="AW52" s="518" t="str">
        <f>IF(AND(_AC3="B-767-400ER",'2023'!$E$4="CA",'2023'!$E$2=AW43),'2023DATA'!$F$11,"")</f>
        <v/>
      </c>
      <c r="AX52" s="518" t="str">
        <f>IF(AND(_AC3="B-767-400ER",'2023'!$E$4="CA",'2023'!$E$2=AX43),'2023DATA'!$G$11,"")</f>
        <v/>
      </c>
      <c r="AY52" s="518" t="str">
        <f>IF(AND(_AC3="B-767-400ER",'2023'!$E$4="CA",'2023'!$E$2=AY43),'2023DATA'!$H$11,"")</f>
        <v/>
      </c>
      <c r="AZ52" s="518" t="str">
        <f>IF(AND(_AC3="B-767-400ER",'2023'!$E$4="CA",'2023'!$E$2=AZ43),'2023DATA'!$I$11,"")</f>
        <v/>
      </c>
      <c r="BA52" s="518" t="str">
        <f>IF(AND(_AC3="B-767-400ER",'2023'!$E$4="CA",'2023'!$E$2=BA43),'2023DATA'!$J$11,"")</f>
        <v/>
      </c>
      <c r="BB52" s="518" t="str">
        <f>IF(AND(_AC3="B-767-400ER",'2023'!$E$4="CA",'2023'!$E$2=BB43),'2023DATA'!$K$11,"")</f>
        <v/>
      </c>
      <c r="BC52" s="518" t="str">
        <f>IF(AND(_AC3="B-767-400ER",'2023'!$E$4="CA",'2023'!$E$2=BC43),'2023DATA'!$L$11,"")</f>
        <v/>
      </c>
      <c r="BD52" s="518" t="str">
        <f>IF(AND(_AC3="B-767-400ER",'2023'!$E$4="CA",'2023'!$E$2=BD43),'2023DATA'!$M$11,"")</f>
        <v/>
      </c>
      <c r="BE52" s="520" t="str">
        <f>IF(AND(_AC3="B-767-400ER",'2023'!$E$4="CA",'2023'!$E$2=BE43),'2023DATA'!$N$11,"")</f>
        <v/>
      </c>
      <c r="BF52" s="940" t="s">
        <v>42</v>
      </c>
      <c r="BG52" s="13" t="s">
        <v>61</v>
      </c>
      <c r="BH52" s="518" t="str">
        <f>IF(AND(_AC4="B-767-400ER",'2023'!$E$4="CA",'2023'!$E$2=BH43),'2023DATA'!$C$11,"")</f>
        <v/>
      </c>
      <c r="BI52" s="518" t="str">
        <f>IF(AND(_AC4="B-767-400ER",'2023'!$E$4="CA",'2023'!$E$2=BI43),'2023DATA'!$D$11,"")</f>
        <v/>
      </c>
      <c r="BJ52" s="518" t="str">
        <f>IF(AND(_AC4="B-767-400ER",'2023'!$E$4="CA",'2023'!$E$2=BJ43),'2023DATA'!$E$11,"")</f>
        <v/>
      </c>
      <c r="BK52" s="518" t="str">
        <f>IF(AND(_AC4="B-767-400ER",'2023'!$E$4="CA",'2023'!$E$2=BK43),'2023DATA'!$F$11,"")</f>
        <v/>
      </c>
      <c r="BL52" s="518" t="str">
        <f>IF(AND(_AC4="B-767-400ER",'2023'!$E$4="CA",'2023'!$E$2=BL43),'2023DATA'!$G$11,"")</f>
        <v/>
      </c>
      <c r="BM52" s="518" t="str">
        <f>IF(AND(_AC4="B-767-400ER",'2023'!$E$4="CA",'2023'!$E$2=BM43),'2023DATA'!$H$11,"")</f>
        <v/>
      </c>
      <c r="BN52" s="518" t="str">
        <f>IF(AND(_AC4="B-767-400ER",'2023'!$E$4="CA",'2023'!$E$2=BN43),'2023DATA'!$I$11,"")</f>
        <v/>
      </c>
      <c r="BO52" s="518" t="str">
        <f>IF(AND(_AC4="B-767-400ER",'2023'!$E$4="CA",'2023'!$E$2=BO43),'2023DATA'!$J$11,"")</f>
        <v/>
      </c>
      <c r="BP52" s="518" t="str">
        <f>IF(AND(_AC4="B-767-400ER",'2023'!$E$4="CA",'2023'!$E$2=BP43),'2023DATA'!$K$11,"")</f>
        <v/>
      </c>
      <c r="BQ52" s="518" t="str">
        <f>IF(AND(_AC4="B-767-400ER",'2023'!$E$4="CA",'2023'!$E$2=BQ43),'2023DATA'!$L$11,"")</f>
        <v/>
      </c>
      <c r="BR52" s="518" t="str">
        <f>IF(AND(_AC4="B-767-400ER",'2023'!$E$4="CA",'2023'!$E$2=BR43),'2023DATA'!$M$11,"")</f>
        <v/>
      </c>
      <c r="BS52" s="520" t="str">
        <f>IF(AND(_AC4="B-767-400ER",'2023'!$E$4="CA",'2023'!$E$2=BS43),'2023DATA'!$N$11,"")</f>
        <v/>
      </c>
      <c r="BT52" s="940" t="s">
        <v>42</v>
      </c>
      <c r="BU52" s="13" t="s">
        <v>61</v>
      </c>
      <c r="BV52" s="518" t="str">
        <f>IF(AND(_AC5="B-767-400ER",'2023'!$E$4="CA",'2023'!$E$2=BV43),'2023DATA'!$C$11,"")</f>
        <v/>
      </c>
      <c r="BW52" s="518" t="str">
        <f>IF(AND(_AC5="B-767-400ER",'2023'!$E$4="CA",'2023'!$E$2=BW43),'2023DATA'!$D$11,"")</f>
        <v/>
      </c>
      <c r="BX52" s="518" t="str">
        <f>IF(AND(_AC5="B-767-400ER",'2023'!$E$4="CA",'2023'!$E$2=BX43),'2023DATA'!$E$11,"")</f>
        <v/>
      </c>
      <c r="BY52" s="518" t="str">
        <f>IF(AND(_AC5="B-767-400ER",'2023'!$E$4="CA",'2023'!$E$2=BY43),'2023DATA'!$F$11,"")</f>
        <v/>
      </c>
      <c r="BZ52" s="518" t="str">
        <f>IF(AND(_AC5="B-767-400ER",'2023'!$E$4="CA",'2023'!$E$2=BZ43),'2023DATA'!$G$11,"")</f>
        <v/>
      </c>
      <c r="CA52" s="518" t="str">
        <f>IF(AND(_AC5="B-767-400ER",'2023'!$E$4="CA",'2023'!$E$2=CA43),'2023DATA'!$H$11,"")</f>
        <v/>
      </c>
      <c r="CB52" s="518" t="str">
        <f>IF(AND(_AC5="B-767-400ER",'2023'!$E$4="CA",'2023'!$E$2=CB43),'2023DATA'!$I$11,"")</f>
        <v/>
      </c>
      <c r="CC52" s="518" t="str">
        <f>IF(AND(_AC5="B-767-400ER",'2023'!$E$4="CA",'2023'!$E$2=CC43),'2023DATA'!$J$11,"")</f>
        <v/>
      </c>
      <c r="CD52" s="518" t="str">
        <f>IF(AND(_AC5="B-767-400ER",'2023'!$E$4="CA",'2023'!$E$2=CD43),'2023DATA'!$K$11,"")</f>
        <v/>
      </c>
      <c r="CE52" s="518" t="str">
        <f>IF(AND(_AC5="B-767-400ER",'2023'!$E$4="CA",'2023'!$E$2=CE43),'2023DATA'!$L$11,"")</f>
        <v/>
      </c>
      <c r="CF52" s="518" t="str">
        <f>IF(AND(_AC5="B-767-400ER",'2023'!$E$4="CA",'2023'!$E$2=CF43),'2023DATA'!$M$11,"")</f>
        <v/>
      </c>
      <c r="CG52" s="520" t="str">
        <f>IF(AND(_AC5="B-767-400ER",'2023'!$E$4="CA",'2023'!$E$2=CG43),'2023DATA'!$N$11,"")</f>
        <v/>
      </c>
      <c r="CH52" s="940" t="s">
        <v>42</v>
      </c>
      <c r="CI52" s="13" t="s">
        <v>61</v>
      </c>
      <c r="CJ52" s="518" t="str">
        <f>IF(AND(_AC6="B-767-400ER",'2023'!$E$4="CA",'2023'!$E$2=CJ43),'2023DATA'!$C$11,"")</f>
        <v/>
      </c>
      <c r="CK52" s="518" t="str">
        <f>IF(AND(_AC6="B-767-400ER",'2023'!$E$4="CA",'2023'!$E$2=CK43),'2023DATA'!$D$11,"")</f>
        <v/>
      </c>
      <c r="CL52" s="518" t="str">
        <f>IF(AND(_AC6="B-767-400ER",'2023'!$E$4="CA",'2023'!$E$2=CL43),'2023DATA'!$E$11,"")</f>
        <v/>
      </c>
      <c r="CM52" s="518" t="str">
        <f>IF(AND(_AC6="B-767-400ER",'2023'!$E$4="CA",'2023'!$E$2=CM43),'2023DATA'!$F$11,"")</f>
        <v/>
      </c>
      <c r="CN52" s="518" t="str">
        <f>IF(AND(_AC6="B-767-400ER",'2023'!$E$4="CA",'2023'!$E$2=CN43),'2023DATA'!$G$11,"")</f>
        <v/>
      </c>
      <c r="CO52" s="518" t="str">
        <f>IF(AND(_AC6="B-767-400ER",'2023'!$E$4="CA",'2023'!$E$2=CO43),'2023DATA'!$H$11,"")</f>
        <v/>
      </c>
      <c r="CP52" s="518" t="str">
        <f>IF(AND(_AC6="B-767-400ER",'2023'!$E$4="CA",'2023'!$E$2=CP43),'2023DATA'!$I$11,"")</f>
        <v/>
      </c>
      <c r="CQ52" s="518" t="str">
        <f>IF(AND(_AC6="B-767-400ER",'2023'!$E$4="CA",'2023'!$E$2=CQ43),'2023DATA'!$J$11,"")</f>
        <v/>
      </c>
      <c r="CR52" s="518" t="str">
        <f>IF(AND(_AC6="B-767-400ER",'2023'!$E$4="CA",'2023'!$E$2=CR43),'2023DATA'!$K$11,"")</f>
        <v/>
      </c>
      <c r="CS52" s="518" t="str">
        <f>IF(AND(_AC6="B-767-400ER",'2023'!$E$4="CA",'2023'!$E$2=CS43),'2023DATA'!$L$11,"")</f>
        <v/>
      </c>
      <c r="CT52" s="518" t="str">
        <f>IF(AND(_AC6="B-767-400ER",'2023'!$E$4="CA",'2023'!$E$2=CT43),'2023DATA'!$M$11,"")</f>
        <v/>
      </c>
      <c r="CU52" s="520" t="str">
        <f>IF(AND(_AC6="B-767-400ER",'2023'!$E$4="CA",'2023'!$E$2=CU43),'2023DATA'!$N$11,"")</f>
        <v/>
      </c>
    </row>
    <row r="53" spans="16:99" x14ac:dyDescent="0.25">
      <c r="P53" s="940"/>
      <c r="Q53" s="13" t="s">
        <v>62</v>
      </c>
      <c r="R53" s="518" t="str">
        <f>IF(AND(_AC1="B-767-400ER",'2023'!$E$4="FO",'2023'!$E$2=R43),'2023DATA'!$C$12,"")</f>
        <v/>
      </c>
      <c r="S53" s="518" t="str">
        <f>IF(AND(_AC1="B-767-400ER",'2023'!$E$4="FO",'2023'!$E$2=S43),'2023DATA'!$D$12,"")</f>
        <v/>
      </c>
      <c r="T53" s="518" t="str">
        <f>IF(AND(_AC1="B-767-400ER",'2023'!$E$4="FO",'2023'!$E$2=T43),'2023DATA'!$E$12,"")</f>
        <v/>
      </c>
      <c r="U53" s="518" t="str">
        <f>IF(AND(_AC1="B-767-400ER",'2023'!$E$4="FO",'2023'!$E$2=U43),'2023DATA'!$F$12,"")</f>
        <v/>
      </c>
      <c r="V53" s="518" t="str">
        <f>IF(AND(_AC1="B-767-400ER",'2023'!$E$4="FO",'2023'!$E$2=V43),'2023DATA'!$G$12,"")</f>
        <v/>
      </c>
      <c r="W53" s="518" t="str">
        <f>IF(AND(_AC1="B-767-400ER",'2023'!$E$4="FO",'2023'!$E$2=W43),'2023DATA'!$H$12,"")</f>
        <v/>
      </c>
      <c r="X53" s="518" t="str">
        <f>IF(AND(_AC1="B-767-400ER",'2023'!$E$4="FO",'2023'!$E$2=X43),'2023DATA'!$I$12,"")</f>
        <v/>
      </c>
      <c r="Y53" s="518" t="str">
        <f>IF(AND(_AC1="B-767-400ER",'2023'!$E$4="FO",'2023'!$E$2=Y43),'2023DATA'!$J$12,"")</f>
        <v/>
      </c>
      <c r="Z53" s="518" t="str">
        <f>IF(AND(_AC1="B-767-400ER",'2023'!$E$4="FO",'2023'!$E$2=Z43),'2023DATA'!$K$12,"")</f>
        <v/>
      </c>
      <c r="AA53" s="518" t="str">
        <f>IF(AND(_AC1="B-767-400ER",'2023'!$E$4="FO",'2023'!$E$2=AA43),'2023DATA'!$L$12,"")</f>
        <v/>
      </c>
      <c r="AB53" s="518" t="str">
        <f>IF(AND(_AC1="B-767-400ER",'2023'!$E$4="FO",'2023'!$E$2=AB43),'2023DATA'!$M$12,"")</f>
        <v/>
      </c>
      <c r="AC53" s="520" t="str">
        <f>IF(AND(_AC1="B-767-400ER",'2023'!$E$4="FO",'2023'!$E$2=AC43),'2023DATA'!$N$12,"")</f>
        <v/>
      </c>
      <c r="AD53" s="940"/>
      <c r="AE53" s="13" t="s">
        <v>62</v>
      </c>
      <c r="AF53" s="518" t="str">
        <f>IF(AND(_AC2="B-767-400ER",'2023'!$E$4="FO",'2023'!$E$2=AF43),'2023DATA'!$C$12,"")</f>
        <v/>
      </c>
      <c r="AG53" s="518" t="str">
        <f>IF(AND(_AC2="B-767-400ER",'2023'!$E$4="FO",'2023'!$E$2=AG43),'2023DATA'!$D$12,"")</f>
        <v/>
      </c>
      <c r="AH53" s="518" t="str">
        <f>IF(AND(_AC2="B-767-400ER",'2023'!$E$4="FO",'2023'!$E$2=AH43),'2023DATA'!$E$12,"")</f>
        <v/>
      </c>
      <c r="AI53" s="518" t="str">
        <f>IF(AND(_AC2="B-767-400ER",'2023'!$E$4="FO",'2023'!$E$2=AI43),'2023DATA'!$F$12,"")</f>
        <v/>
      </c>
      <c r="AJ53" s="518" t="str">
        <f>IF(AND(_AC2="B-767-400ER",'2023'!$E$4="FO",'2023'!$E$2=AJ43),'2023DATA'!$G$12,"")</f>
        <v/>
      </c>
      <c r="AK53" s="518" t="str">
        <f>IF(AND(_AC2="B-767-400ER",'2023'!$E$4="FO",'2023'!$E$2=AK43),'2023DATA'!$H$12,"")</f>
        <v/>
      </c>
      <c r="AL53" s="518" t="str">
        <f>IF(AND(_AC2="B-767-400ER",'2023'!$E$4="FO",'2023'!$E$2=AL43),'2023DATA'!$I$12,"")</f>
        <v/>
      </c>
      <c r="AM53" s="518" t="str">
        <f>IF(AND(_AC2="B-767-400ER",'2023'!$E$4="FO",'2023'!$E$2=AM43),'2023DATA'!$J$12,"")</f>
        <v/>
      </c>
      <c r="AN53" s="518" t="str">
        <f>IF(AND(_AC2="B-767-400ER",'2023'!$E$4="FO",'2023'!$E$2=AN43),'2023DATA'!$K$12,"")</f>
        <v/>
      </c>
      <c r="AO53" s="518" t="str">
        <f>IF(AND(_AC2="B-767-400ER",'2023'!$E$4="FO",'2023'!$E$2=AO43),'2023DATA'!$L$12,"")</f>
        <v/>
      </c>
      <c r="AP53" s="518" t="str">
        <f>IF(AND(_AC2="B-767-400ER",'2023'!$E$4="FO",'2023'!$E$2=AP43),'2023DATA'!$M$12,"")</f>
        <v/>
      </c>
      <c r="AQ53" s="520" t="str">
        <f>IF(AND(_AC2="B-767-400ER",'2023'!$E$4="FO",'2023'!$E$2=AQ43),'2023DATA'!$N$12,"")</f>
        <v/>
      </c>
      <c r="AR53" s="940"/>
      <c r="AS53" s="13" t="s">
        <v>62</v>
      </c>
      <c r="AT53" s="518" t="str">
        <f>IF(AND(_AC3="B-767-400ER",'2023'!$E$4="FO",'2023'!$E$2=AT43),'2023DATA'!$C$12,"")</f>
        <v/>
      </c>
      <c r="AU53" s="518" t="str">
        <f>IF(AND(_AC3="B-767-400ER",'2023'!$E$4="FO",'2023'!$E$2=AU43),'2023DATA'!$D$12,"")</f>
        <v/>
      </c>
      <c r="AV53" s="518" t="str">
        <f>IF(AND(_AC3="B-767-400ER",'2023'!$E$4="FO",'2023'!$E$2=AV43),'2023DATA'!$E$12,"")</f>
        <v/>
      </c>
      <c r="AW53" s="518" t="str">
        <f>IF(AND(_AC3="B-767-400ER",'2023'!$E$4="FO",'2023'!$E$2=AW43),'2023DATA'!$F$12,"")</f>
        <v/>
      </c>
      <c r="AX53" s="518" t="str">
        <f>IF(AND(_AC3="B-767-400ER",'2023'!$E$4="FO",'2023'!$E$2=AX43),'2023DATA'!$G$12,"")</f>
        <v/>
      </c>
      <c r="AY53" s="518" t="str">
        <f>IF(AND(_AC3="B-767-400ER",'2023'!$E$4="FO",'2023'!$E$2=AY43),'2023DATA'!$H$12,"")</f>
        <v/>
      </c>
      <c r="AZ53" s="518" t="str">
        <f>IF(AND(_AC3="B-767-400ER",'2023'!$E$4="FO",'2023'!$E$2=AZ43),'2023DATA'!$I$12,"")</f>
        <v/>
      </c>
      <c r="BA53" s="518" t="str">
        <f>IF(AND(_AC3="B-767-400ER",'2023'!$E$4="FO",'2023'!$E$2=BA43),'2023DATA'!$J$12,"")</f>
        <v/>
      </c>
      <c r="BB53" s="518" t="str">
        <f>IF(AND(_AC3="B-767-400ER",'2023'!$E$4="FO",'2023'!$E$2=BB43),'2023DATA'!$K$12,"")</f>
        <v/>
      </c>
      <c r="BC53" s="518" t="str">
        <f>IF(AND(_AC3="B-767-400ER",'2023'!$E$4="FO",'2023'!$E$2=BC43),'2023DATA'!$L$12,"")</f>
        <v/>
      </c>
      <c r="BD53" s="518" t="str">
        <f>IF(AND(_AC3="B-767-400ER",'2023'!$E$4="FO",'2023'!$E$2=BD43),'2023DATA'!$M$12,"")</f>
        <v/>
      </c>
      <c r="BE53" s="520" t="str">
        <f>IF(AND(_AC3="B-767-400ER",'2023'!$E$4="FO",'2023'!$E$2=BE43),'2023DATA'!$N$12,"")</f>
        <v/>
      </c>
      <c r="BF53" s="940"/>
      <c r="BG53" s="13" t="s">
        <v>62</v>
      </c>
      <c r="BH53" s="518" t="str">
        <f>IF(AND(_AC4="B-767-400ER",'2023'!$E$4="FO",'2023'!$E$2=BH43),'2023DATA'!$C$12,"")</f>
        <v/>
      </c>
      <c r="BI53" s="518" t="str">
        <f>IF(AND(_AC4="B-767-400ER",'2023'!$E$4="FO",'2023'!$E$2=BI43),'2023DATA'!$D$12,"")</f>
        <v/>
      </c>
      <c r="BJ53" s="518" t="str">
        <f>IF(AND(_AC4="B-767-400ER",'2023'!$E$4="FO",'2023'!$E$2=BJ43),'2023DATA'!$E$12,"")</f>
        <v/>
      </c>
      <c r="BK53" s="518" t="str">
        <f>IF(AND(_AC4="B-767-400ER",'2023'!$E$4="FO",'2023'!$E$2=BK43),'2023DATA'!$F$12,"")</f>
        <v/>
      </c>
      <c r="BL53" s="518" t="str">
        <f>IF(AND(_AC4="B-767-400ER",'2023'!$E$4="FO",'2023'!$E$2=BL43),'2023DATA'!$G$12,"")</f>
        <v/>
      </c>
      <c r="BM53" s="518" t="str">
        <f>IF(AND(_AC4="B-767-400ER",'2023'!$E$4="FO",'2023'!$E$2=BM43),'2023DATA'!$H$12,"")</f>
        <v/>
      </c>
      <c r="BN53" s="518" t="str">
        <f>IF(AND(_AC4="B-767-400ER",'2023'!$E$4="FO",'2023'!$E$2=BN43),'2023DATA'!$I$12,"")</f>
        <v/>
      </c>
      <c r="BO53" s="518" t="str">
        <f>IF(AND(_AC4="B-767-400ER",'2023'!$E$4="FO",'2023'!$E$2=BO43),'2023DATA'!$J$12,"")</f>
        <v/>
      </c>
      <c r="BP53" s="518" t="str">
        <f>IF(AND(_AC4="B-767-400ER",'2023'!$E$4="FO",'2023'!$E$2=BP43),'2023DATA'!$K$12,"")</f>
        <v/>
      </c>
      <c r="BQ53" s="518" t="str">
        <f>IF(AND(_AC4="B-767-400ER",'2023'!$E$4="FO",'2023'!$E$2=BQ43),'2023DATA'!$L$12,"")</f>
        <v/>
      </c>
      <c r="BR53" s="518" t="str">
        <f>IF(AND(_AC4="B-767-400ER",'2023'!$E$4="FO",'2023'!$E$2=BR43),'2023DATA'!$M$12,"")</f>
        <v/>
      </c>
      <c r="BS53" s="520" t="str">
        <f>IF(AND(_AC4="B-767-400ER",'2023'!$E$4="FO",'2023'!$E$2=BS43),'2023DATA'!$N$12,"")</f>
        <v/>
      </c>
      <c r="BT53" s="940"/>
      <c r="BU53" s="13" t="s">
        <v>62</v>
      </c>
      <c r="BV53" s="518" t="str">
        <f>IF(AND(_AC5="B-767-400ER",'2023'!$E$4="FO",'2023'!$E$2=BV43),'2023DATA'!$C$12,"")</f>
        <v/>
      </c>
      <c r="BW53" s="518" t="str">
        <f>IF(AND(_AC5="B-767-400ER",'2023'!$E$4="FO",'2023'!$E$2=BW43),'2023DATA'!$D$12,"")</f>
        <v/>
      </c>
      <c r="BX53" s="518" t="str">
        <f>IF(AND(_AC5="B-767-400ER",'2023'!$E$4="FO",'2023'!$E$2=BX43),'2023DATA'!$E$12,"")</f>
        <v/>
      </c>
      <c r="BY53" s="518" t="str">
        <f>IF(AND(_AC5="B-767-400ER",'2023'!$E$4="FO",'2023'!$E$2=BY43),'2023DATA'!$F$12,"")</f>
        <v/>
      </c>
      <c r="BZ53" s="518" t="str">
        <f>IF(AND(_AC5="B-767-400ER",'2023'!$E$4="FO",'2023'!$E$2=BZ43),'2023DATA'!$G$12,"")</f>
        <v/>
      </c>
      <c r="CA53" s="518" t="str">
        <f>IF(AND(_AC5="B-767-400ER",'2023'!$E$4="FO",'2023'!$E$2=CA43),'2023DATA'!$H$12,"")</f>
        <v/>
      </c>
      <c r="CB53" s="518" t="str">
        <f>IF(AND(_AC5="B-767-400ER",'2023'!$E$4="FO",'2023'!$E$2=CB43),'2023DATA'!$I$12,"")</f>
        <v/>
      </c>
      <c r="CC53" s="518" t="str">
        <f>IF(AND(_AC5="B-767-400ER",'2023'!$E$4="FO",'2023'!$E$2=CC43),'2023DATA'!$J$12,"")</f>
        <v/>
      </c>
      <c r="CD53" s="518" t="str">
        <f>IF(AND(_AC5="B-767-400ER",'2023'!$E$4="FO",'2023'!$E$2=CD43),'2023DATA'!$K$12,"")</f>
        <v/>
      </c>
      <c r="CE53" s="518" t="str">
        <f>IF(AND(_AC5="B-767-400ER",'2023'!$E$4="FO",'2023'!$E$2=CE43),'2023DATA'!$L$12,"")</f>
        <v/>
      </c>
      <c r="CF53" s="518" t="str">
        <f>IF(AND(_AC5="B-767-400ER",'2023'!$E$4="FO",'2023'!$E$2=CF43),'2023DATA'!$M$12,"")</f>
        <v/>
      </c>
      <c r="CG53" s="520" t="str">
        <f>IF(AND(_AC5="B-767-400ER",'2023'!$E$4="FO",'2023'!$E$2=CG43),'2023DATA'!$N$12,"")</f>
        <v/>
      </c>
      <c r="CH53" s="940"/>
      <c r="CI53" s="13" t="s">
        <v>62</v>
      </c>
      <c r="CJ53" s="518" t="str">
        <f>IF(AND(_AC6="B-767-400ER",'2023'!$E$4="FO",'2023'!$E$2=CJ43),'2023DATA'!$C$12,"")</f>
        <v/>
      </c>
      <c r="CK53" s="518" t="str">
        <f>IF(AND(_AC6="B-767-400ER",'2023'!$E$4="FO",'2023'!$E$2=CK43),'2023DATA'!$D$12,"")</f>
        <v/>
      </c>
      <c r="CL53" s="518" t="str">
        <f>IF(AND(_AC6="B-767-400ER",'2023'!$E$4="FO",'2023'!$E$2=CL43),'2023DATA'!$E$12,"")</f>
        <v/>
      </c>
      <c r="CM53" s="518" t="str">
        <f>IF(AND(_AC6="B-767-400ER",'2023'!$E$4="FO",'2023'!$E$2=CM43),'2023DATA'!$F$12,"")</f>
        <v/>
      </c>
      <c r="CN53" s="518" t="str">
        <f>IF(AND(_AC6="B-767-400ER",'2023'!$E$4="FO",'2023'!$E$2=CN43),'2023DATA'!$G$12,"")</f>
        <v/>
      </c>
      <c r="CO53" s="518" t="str">
        <f>IF(AND(_AC6="B-767-400ER",'2023'!$E$4="FO",'2023'!$E$2=CO43),'2023DATA'!$H$12,"")</f>
        <v/>
      </c>
      <c r="CP53" s="518" t="str">
        <f>IF(AND(_AC6="B-767-400ER",'2023'!$E$4="FO",'2023'!$E$2=CP43),'2023DATA'!$I$12,"")</f>
        <v/>
      </c>
      <c r="CQ53" s="518" t="str">
        <f>IF(AND(_AC6="B-767-400ER",'2023'!$E$4="FO",'2023'!$E$2=CQ43),'2023DATA'!$J$12,"")</f>
        <v/>
      </c>
      <c r="CR53" s="518" t="str">
        <f>IF(AND(_AC6="B-767-400ER",'2023'!$E$4="FO",'2023'!$E$2=CR43),'2023DATA'!$K$12,"")</f>
        <v/>
      </c>
      <c r="CS53" s="518" t="str">
        <f>IF(AND(_AC6="B-767-400ER",'2023'!$E$4="FO",'2023'!$E$2=CS43),'2023DATA'!$L$12,"")</f>
        <v/>
      </c>
      <c r="CT53" s="518" t="str">
        <f>IF(AND(_AC6="B-767-400ER",'2023'!$E$4="FO",'2023'!$E$2=CT43),'2023DATA'!$M$12,"")</f>
        <v/>
      </c>
      <c r="CU53" s="520" t="str">
        <f>IF(AND(_AC6="B-767-400ER",'2023'!$E$4="FO",'2023'!$E$2=CU43),'2023DATA'!$N$12,"")</f>
        <v/>
      </c>
    </row>
    <row r="54" spans="16:99" x14ac:dyDescent="0.25">
      <c r="P54" s="940" t="s">
        <v>43</v>
      </c>
      <c r="Q54" s="13" t="s">
        <v>61</v>
      </c>
      <c r="R54" s="518" t="str">
        <f>IF(AND(_AC1="B-767-300ER",'2023'!$E$4="CA",'2023'!$E$2=R43),'2023DATA'!$C$13,"")</f>
        <v/>
      </c>
      <c r="S54" s="518" t="str">
        <f>IF(AND(_AC1="B-767-300ER",'2023'!$E$4="CA",'2023'!$E$2=S43),'2023DATA'!$D$13,"")</f>
        <v/>
      </c>
      <c r="T54" s="518" t="str">
        <f>IF(AND(_AC1="B-767-300ER",'2023'!$E$4="CA",'2023'!$E$2=T43),'2023DATA'!$E$13,"")</f>
        <v/>
      </c>
      <c r="U54" s="518" t="str">
        <f>IF(AND(_AC1="B-767-300ER",'2023'!$E$4="CA",'2023'!$E$2=U43),'2023DATA'!$F$13,"")</f>
        <v/>
      </c>
      <c r="V54" s="518" t="str">
        <f>IF(AND(_AC1="B-767-300ER",'2023'!$E$4="CA",'2023'!$E$2=V43),'2023DATA'!$G$13,"")</f>
        <v/>
      </c>
      <c r="W54" s="518" t="str">
        <f>IF(AND(_AC1="B-767-300ER",'2023'!$E$4="CA",'2023'!$E$2=W43),'2023DATA'!$H$13,"")</f>
        <v/>
      </c>
      <c r="X54" s="518" t="str">
        <f>IF(AND(_AC1="B-767-300ER",'2023'!$E$4="CA",'2023'!$E$2=X43),'2023DATA'!$I$13,"")</f>
        <v/>
      </c>
      <c r="Y54" s="518" t="str">
        <f>IF(AND(_AC1="B-767-300ER",'2023'!$E$4="CA",'2023'!$E$2=Y43),'2023DATA'!$J$13,"")</f>
        <v/>
      </c>
      <c r="Z54" s="518" t="str">
        <f>IF(AND(_AC1="B-767-300ER",'2023'!$E$4="CA",'2023'!$E$2=Z43),'2023DATA'!$K$13,"")</f>
        <v/>
      </c>
      <c r="AA54" s="518" t="str">
        <f>IF(AND(_AC1="B-767-300ER",'2023'!$E$4="CA",'2023'!$E$2=AA43),'2023DATA'!$L$13,"")</f>
        <v/>
      </c>
      <c r="AB54" s="518" t="str">
        <f>IF(AND(_AC1="B-767-300ER",'2023'!$E$4="CA",'2023'!$E$2=AB43),'2023DATA'!$M$13,"")</f>
        <v/>
      </c>
      <c r="AC54" s="520" t="str">
        <f>IF(AND(_AC1="B-767-300ER",'2023'!$E$4="CA",'2023'!$E$2=AC43),'2023DATA'!$N$13,"")</f>
        <v/>
      </c>
      <c r="AD54" s="940" t="s">
        <v>43</v>
      </c>
      <c r="AE54" s="13" t="s">
        <v>61</v>
      </c>
      <c r="AF54" s="518" t="str">
        <f>IF(AND(_AC2="B-767-300ER",'2023'!$E$4="CA",'2023'!$E$2=AF43),'2023DATA'!$C$13,"")</f>
        <v/>
      </c>
      <c r="AG54" s="518" t="str">
        <f>IF(AND(_AC2="B-767-300ER",'2023'!$E$4="CA",'2023'!$E$2=AG43),'2023DATA'!$D$13,"")</f>
        <v/>
      </c>
      <c r="AH54" s="518" t="str">
        <f>IF(AND(_AC2="B-767-300ER",'2023'!$E$4="CA",'2023'!$E$2=AH43),'2023DATA'!$E$13,"")</f>
        <v/>
      </c>
      <c r="AI54" s="518" t="str">
        <f>IF(AND(_AC2="B-767-300ER",'2023'!$E$4="CA",'2023'!$E$2=AI43),'2023DATA'!$F$13,"")</f>
        <v/>
      </c>
      <c r="AJ54" s="518" t="str">
        <f>IF(AND(_AC2="B-767-300ER",'2023'!$E$4="CA",'2023'!$E$2=AJ43),'2023DATA'!$G$13,"")</f>
        <v/>
      </c>
      <c r="AK54" s="518" t="str">
        <f>IF(AND(_AC2="B-767-300ER",'2023'!$E$4="CA",'2023'!$E$2=AK43),'2023DATA'!$H$13,"")</f>
        <v/>
      </c>
      <c r="AL54" s="518" t="str">
        <f>IF(AND(_AC2="B-767-300ER",'2023'!$E$4="CA",'2023'!$E$2=AL43),'2023DATA'!$I$13,"")</f>
        <v/>
      </c>
      <c r="AM54" s="518" t="str">
        <f>IF(AND(_AC2="B-767-300ER",'2023'!$E$4="CA",'2023'!$E$2=AM43),'2023DATA'!$J$13,"")</f>
        <v/>
      </c>
      <c r="AN54" s="518" t="str">
        <f>IF(AND(_AC2="B-767-300ER",'2023'!$E$4="CA",'2023'!$E$2=AN43),'2023DATA'!$K$13,"")</f>
        <v/>
      </c>
      <c r="AO54" s="518" t="str">
        <f>IF(AND(_AC2="B-767-300ER",'2023'!$E$4="CA",'2023'!$E$2=AO43),'2023DATA'!$L$13,"")</f>
        <v/>
      </c>
      <c r="AP54" s="518" t="str">
        <f>IF(AND(_AC2="B-767-300ER",'2023'!$E$4="CA",'2023'!$E$2=AP43),'2023DATA'!$M$13,"")</f>
        <v/>
      </c>
      <c r="AQ54" s="520" t="str">
        <f>IF(AND(_AC2="B-767-300ER",'2023'!$E$4="CA",'2023'!$E$2=AQ43),'2023DATA'!$N$13,"")</f>
        <v/>
      </c>
      <c r="AR54" s="940" t="s">
        <v>43</v>
      </c>
      <c r="AS54" s="13" t="s">
        <v>61</v>
      </c>
      <c r="AT54" s="518" t="str">
        <f>IF(AND(_AC3="B-767-300ER",'2023'!$E$4="CA",'2023'!$E$2=AT43),'2023DATA'!$C$13,"")</f>
        <v/>
      </c>
      <c r="AU54" s="518" t="str">
        <f>IF(AND(_AC3="B-767-300ER",'2023'!$E$4="CA",'2023'!$E$2=AU43),'2023DATA'!$D$13,"")</f>
        <v/>
      </c>
      <c r="AV54" s="518" t="str">
        <f>IF(AND(_AC3="B-767-300ER",'2023'!$E$4="CA",'2023'!$E$2=AV43),'2023DATA'!$E$13,"")</f>
        <v/>
      </c>
      <c r="AW54" s="518" t="str">
        <f>IF(AND(_AC3="B-767-300ER",'2023'!$E$4="CA",'2023'!$E$2=AW43),'2023DATA'!$F$13,"")</f>
        <v/>
      </c>
      <c r="AX54" s="518" t="str">
        <f>IF(AND(_AC3="B-767-300ER",'2023'!$E$4="CA",'2023'!$E$2=AX43),'2023DATA'!$G$13,"")</f>
        <v/>
      </c>
      <c r="AY54" s="518" t="str">
        <f>IF(AND(_AC3="B-767-300ER",'2023'!$E$4="CA",'2023'!$E$2=AY43),'2023DATA'!$H$13,"")</f>
        <v/>
      </c>
      <c r="AZ54" s="518" t="str">
        <f>IF(AND(_AC3="B-767-300ER",'2023'!$E$4="CA",'2023'!$E$2=AZ43),'2023DATA'!$I$13,"")</f>
        <v/>
      </c>
      <c r="BA54" s="518" t="str">
        <f>IF(AND(_AC3="B-767-300ER",'2023'!$E$4="CA",'2023'!$E$2=BA43),'2023DATA'!$J$13,"")</f>
        <v/>
      </c>
      <c r="BB54" s="518" t="str">
        <f>IF(AND(_AC3="B-767-300ER",'2023'!$E$4="CA",'2023'!$E$2=BB43),'2023DATA'!$K$13,"")</f>
        <v/>
      </c>
      <c r="BC54" s="518" t="str">
        <f>IF(AND(_AC3="B-767-300ER",'2023'!$E$4="CA",'2023'!$E$2=BC43),'2023DATA'!$L$13,"")</f>
        <v/>
      </c>
      <c r="BD54" s="518" t="str">
        <f>IF(AND(_AC3="B-767-300ER",'2023'!$E$4="CA",'2023'!$E$2=BD43),'2023DATA'!$M$13,"")</f>
        <v/>
      </c>
      <c r="BE54" s="520" t="str">
        <f>IF(AND(_AC3="B-767-300ER",'2023'!$E$4="CA",'2023'!$E$2=BE43),'2023DATA'!$N$13,"")</f>
        <v/>
      </c>
      <c r="BF54" s="940" t="s">
        <v>43</v>
      </c>
      <c r="BG54" s="13" t="s">
        <v>61</v>
      </c>
      <c r="BH54" s="518" t="str">
        <f>IF(AND(_AC4="B-767-300ER",'2023'!$E$4="CA",'2023'!$E$2=BH43),'2023DATA'!$C$13,"")</f>
        <v/>
      </c>
      <c r="BI54" s="518" t="str">
        <f>IF(AND(_AC4="B-767-300ER",'2023'!$E$4="CA",'2023'!$E$2=BI43),'2023DATA'!$D$13,"")</f>
        <v/>
      </c>
      <c r="BJ54" s="518" t="str">
        <f>IF(AND(_AC4="B-767-300ER",'2023'!$E$4="CA",'2023'!$E$2=BJ43),'2023DATA'!$E$13,"")</f>
        <v/>
      </c>
      <c r="BK54" s="518" t="str">
        <f>IF(AND(_AC4="B-767-300ER",'2023'!$E$4="CA",'2023'!$E$2=BK43),'2023DATA'!$F$13,"")</f>
        <v/>
      </c>
      <c r="BL54" s="518" t="str">
        <f>IF(AND(_AC4="B-767-300ER",'2023'!$E$4="CA",'2023'!$E$2=BL43),'2023DATA'!$G$13,"")</f>
        <v/>
      </c>
      <c r="BM54" s="518" t="str">
        <f>IF(AND(_AC4="B-767-300ER",'2023'!$E$4="CA",'2023'!$E$2=BM43),'2023DATA'!$H$13,"")</f>
        <v/>
      </c>
      <c r="BN54" s="518" t="str">
        <f>IF(AND(_AC4="B-767-300ER",'2023'!$E$4="CA",'2023'!$E$2=BN43),'2023DATA'!$I$13,"")</f>
        <v/>
      </c>
      <c r="BO54" s="518" t="str">
        <f>IF(AND(_AC4="B-767-300ER",'2023'!$E$4="CA",'2023'!$E$2=BO43),'2023DATA'!$J$13,"")</f>
        <v/>
      </c>
      <c r="BP54" s="518" t="str">
        <f>IF(AND(_AC4="B-767-300ER",'2023'!$E$4="CA",'2023'!$E$2=BP43),'2023DATA'!$K$13,"")</f>
        <v/>
      </c>
      <c r="BQ54" s="518" t="str">
        <f>IF(AND(_AC4="B-767-300ER",'2023'!$E$4="CA",'2023'!$E$2=BQ43),'2023DATA'!$L$13,"")</f>
        <v/>
      </c>
      <c r="BR54" s="518" t="str">
        <f>IF(AND(_AC4="B-767-300ER",'2023'!$E$4="CA",'2023'!$E$2=BR43),'2023DATA'!$M$13,"")</f>
        <v/>
      </c>
      <c r="BS54" s="520" t="str">
        <f>IF(AND(_AC4="B-767-300ER",'2023'!$E$4="CA",'2023'!$E$2=BS43),'2023DATA'!$N$13,"")</f>
        <v/>
      </c>
      <c r="BT54" s="940" t="s">
        <v>43</v>
      </c>
      <c r="BU54" s="13" t="s">
        <v>61</v>
      </c>
      <c r="BV54" s="518" t="str">
        <f>IF(AND(_AC5="B-767-300ER",'2023'!$E$4="CA",'2023'!$E$2=BV43),'2023DATA'!$C$13,"")</f>
        <v/>
      </c>
      <c r="BW54" s="518" t="str">
        <f>IF(AND(_AC5="B-767-300ER",'2023'!$E$4="CA",'2023'!$E$2=BW43),'2023DATA'!$D$13,"")</f>
        <v/>
      </c>
      <c r="BX54" s="518" t="str">
        <f>IF(AND(_AC5="B-767-300ER",'2023'!$E$4="CA",'2023'!$E$2=BX43),'2023DATA'!$E$13,"")</f>
        <v/>
      </c>
      <c r="BY54" s="518" t="str">
        <f>IF(AND(_AC5="B-767-300ER",'2023'!$E$4="CA",'2023'!$E$2=BY43),'2023DATA'!$F$13,"")</f>
        <v/>
      </c>
      <c r="BZ54" s="518" t="str">
        <f>IF(AND(_AC5="B-767-300ER",'2023'!$E$4="CA",'2023'!$E$2=BZ43),'2023DATA'!$G$13,"")</f>
        <v/>
      </c>
      <c r="CA54" s="518" t="str">
        <f>IF(AND(_AC5="B-767-300ER",'2023'!$E$4="CA",'2023'!$E$2=CA43),'2023DATA'!$H$13,"")</f>
        <v/>
      </c>
      <c r="CB54" s="518" t="str">
        <f>IF(AND(_AC5="B-767-300ER",'2023'!$E$4="CA",'2023'!$E$2=CB43),'2023DATA'!$I$13,"")</f>
        <v/>
      </c>
      <c r="CC54" s="518" t="str">
        <f>IF(AND(_AC5="B-767-300ER",'2023'!$E$4="CA",'2023'!$E$2=CC43),'2023DATA'!$J$13,"")</f>
        <v/>
      </c>
      <c r="CD54" s="518" t="str">
        <f>IF(AND(_AC5="B-767-300ER",'2023'!$E$4="CA",'2023'!$E$2=CD43),'2023DATA'!$K$13,"")</f>
        <v/>
      </c>
      <c r="CE54" s="518" t="str">
        <f>IF(AND(_AC5="B-767-300ER",'2023'!$E$4="CA",'2023'!$E$2=CE43),'2023DATA'!$L$13,"")</f>
        <v/>
      </c>
      <c r="CF54" s="518" t="str">
        <f>IF(AND(_AC5="B-767-300ER",'2023'!$E$4="CA",'2023'!$E$2=CF43),'2023DATA'!$M$13,"")</f>
        <v/>
      </c>
      <c r="CG54" s="520" t="str">
        <f>IF(AND(_AC5="B-767-300ER",'2023'!$E$4="CA",'2023'!$E$2=CG43),'2023DATA'!$N$13,"")</f>
        <v/>
      </c>
      <c r="CH54" s="940" t="s">
        <v>43</v>
      </c>
      <c r="CI54" s="13" t="s">
        <v>61</v>
      </c>
      <c r="CJ54" s="518" t="str">
        <f>IF(AND(_AC6="B-767-300ER",'2023'!$E$4="CA",'2023'!$E$2=CJ43),'2023DATA'!$C$13,"")</f>
        <v/>
      </c>
      <c r="CK54" s="518" t="str">
        <f>IF(AND(_AC6="B-767-300ER",'2023'!$E$4="CA",'2023'!$E$2=CK43),'2023DATA'!$D$13,"")</f>
        <v/>
      </c>
      <c r="CL54" s="518" t="str">
        <f>IF(AND(_AC6="B-767-300ER",'2023'!$E$4="CA",'2023'!$E$2=CL43),'2023DATA'!$E$13,"")</f>
        <v/>
      </c>
      <c r="CM54" s="518" t="str">
        <f>IF(AND(_AC6="B-767-300ER",'2023'!$E$4="CA",'2023'!$E$2=CM43),'2023DATA'!$F$13,"")</f>
        <v/>
      </c>
      <c r="CN54" s="518" t="str">
        <f>IF(AND(_AC6="B-767-300ER",'2023'!$E$4="CA",'2023'!$E$2=CN43),'2023DATA'!$G$13,"")</f>
        <v/>
      </c>
      <c r="CO54" s="518" t="str">
        <f>IF(AND(_AC6="B-767-300ER",'2023'!$E$4="CA",'2023'!$E$2=CO43),'2023DATA'!$H$13,"")</f>
        <v/>
      </c>
      <c r="CP54" s="518" t="str">
        <f>IF(AND(_AC6="B-767-300ER",'2023'!$E$4="CA",'2023'!$E$2=CP43),'2023DATA'!$I$13,"")</f>
        <v/>
      </c>
      <c r="CQ54" s="518" t="str">
        <f>IF(AND(_AC6="B-767-300ER",'2023'!$E$4="CA",'2023'!$E$2=CQ43),'2023DATA'!$J$13,"")</f>
        <v/>
      </c>
      <c r="CR54" s="518" t="str">
        <f>IF(AND(_AC6="B-767-300ER",'2023'!$E$4="CA",'2023'!$E$2=CR43),'2023DATA'!$K$13,"")</f>
        <v/>
      </c>
      <c r="CS54" s="518" t="str">
        <f>IF(AND(_AC6="B-767-300ER",'2023'!$E$4="CA",'2023'!$E$2=CS43),'2023DATA'!$L$13,"")</f>
        <v/>
      </c>
      <c r="CT54" s="518" t="str">
        <f>IF(AND(_AC6="B-767-300ER",'2023'!$E$4="CA",'2023'!$E$2=CT43),'2023DATA'!$M$13,"")</f>
        <v/>
      </c>
      <c r="CU54" s="520" t="str">
        <f>IF(AND(_AC6="B-767-300ER",'2023'!$E$4="CA",'2023'!$E$2=CU43),'2023DATA'!$N$13,"")</f>
        <v/>
      </c>
    </row>
    <row r="55" spans="16:99" x14ac:dyDescent="0.25">
      <c r="P55" s="940"/>
      <c r="Q55" s="13" t="s">
        <v>62</v>
      </c>
      <c r="R55" s="518" t="str">
        <f>IF(AND(_AC1="B-767-300ER",'2023'!$E$4="FO",'2023'!$E$2=R43),'2023DATA'!$C$14,"")</f>
        <v/>
      </c>
      <c r="S55" s="518" t="str">
        <f>IF(AND(_AC1="B-767-300ER",'2023'!$E$4="FO",'2023'!$E$2=S43),'2023DATA'!$D$14,"")</f>
        <v/>
      </c>
      <c r="T55" s="518" t="str">
        <f>IF(AND(_AC1="B-767-300ER",'2023'!$E$4="FO",'2023'!$E$2=T43),'2023DATA'!$E$14,"")</f>
        <v/>
      </c>
      <c r="U55" s="518" t="str">
        <f>IF(AND(_AC1="B-767-300ER",'2023'!$E$4="FO",'2023'!$E$2=U43),'2023DATA'!$F$14,"")</f>
        <v/>
      </c>
      <c r="V55" s="518" t="str">
        <f>IF(AND(_AC1="B-767-300ER",'2023'!$E$4="FO",'2023'!$E$2=V43),'2023DATA'!$G$14,"")</f>
        <v/>
      </c>
      <c r="W55" s="518" t="str">
        <f>IF(AND(_AC1="B-767-300ER",'2023'!$E$4="FO",'2023'!$E$2=W43),'2023DATA'!$H$14,"")</f>
        <v/>
      </c>
      <c r="X55" s="518" t="str">
        <f>IF(AND(_AC1="B-767-300ER",'2023'!$E$4="FO",'2023'!$E$2=X43),'2023DATA'!$I$14,"")</f>
        <v/>
      </c>
      <c r="Y55" s="518" t="str">
        <f>IF(AND(_AC1="B-767-300ER",'2023'!$E$4="FO",'2023'!$E$2=Y43),'2023DATA'!$J$14,"")</f>
        <v/>
      </c>
      <c r="Z55" s="518" t="str">
        <f>IF(AND(_AC1="B-767-300ER",'2023'!$E$4="FO",'2023'!$E$2=Z43),'2023DATA'!$K$14,"")</f>
        <v/>
      </c>
      <c r="AA55" s="518" t="str">
        <f>IF(AND(_AC1="B-767-300ER",'2023'!$E$4="FO",'2023'!$E$2=AA43),'2023DATA'!$L$14,"")</f>
        <v/>
      </c>
      <c r="AB55" s="518" t="str">
        <f>IF(AND(_AC1="B-767-300ER",'2023'!$E$4="FO",'2023'!$E$2=AB43),'2023DATA'!$M$14,"")</f>
        <v/>
      </c>
      <c r="AC55" s="520" t="str">
        <f>IF(AND(_AC1="B-767-300ER",'2023'!$E$4="FO",'2023'!$E$2=AC43),'2023DATA'!$N$14,"")</f>
        <v/>
      </c>
      <c r="AD55" s="940"/>
      <c r="AE55" s="13" t="s">
        <v>62</v>
      </c>
      <c r="AF55" s="518" t="str">
        <f>IF(AND(_AC2="B-767-300ER",'2023'!$E$4="FO",'2023'!$E$2=AF43),'2023DATA'!$C$14,"")</f>
        <v/>
      </c>
      <c r="AG55" s="518" t="str">
        <f>IF(AND(_AC2="B-767-300ER",'2023'!$E$4="FO",'2023'!$E$2=AG43),'2023DATA'!$D$14,"")</f>
        <v/>
      </c>
      <c r="AH55" s="518" t="str">
        <f>IF(AND(_AC2="B-767-300ER",'2023'!$E$4="FO",'2023'!$E$2=AH43),'2023DATA'!$E$14,"")</f>
        <v/>
      </c>
      <c r="AI55" s="518" t="str">
        <f>IF(AND(_AC2="B-767-300ER",'2023'!$E$4="FO",'2023'!$E$2=AI43),'2023DATA'!$F$14,"")</f>
        <v/>
      </c>
      <c r="AJ55" s="518" t="str">
        <f>IF(AND(_AC2="B-767-300ER",'2023'!$E$4="FO",'2023'!$E$2=AJ43),'2023DATA'!$G$14,"")</f>
        <v/>
      </c>
      <c r="AK55" s="518" t="str">
        <f>IF(AND(_AC2="B-767-300ER",'2023'!$E$4="FO",'2023'!$E$2=AK43),'2023DATA'!$H$14,"")</f>
        <v/>
      </c>
      <c r="AL55" s="518" t="str">
        <f>IF(AND(_AC2="B-767-300ER",'2023'!$E$4="FO",'2023'!$E$2=AL43),'2023DATA'!$I$14,"")</f>
        <v/>
      </c>
      <c r="AM55" s="518" t="str">
        <f>IF(AND(_AC2="B-767-300ER",'2023'!$E$4="FO",'2023'!$E$2=AM43),'2023DATA'!$J$14,"")</f>
        <v/>
      </c>
      <c r="AN55" s="518" t="str">
        <f>IF(AND(_AC2="B-767-300ER",'2023'!$E$4="FO",'2023'!$E$2=AN43),'2023DATA'!$K$14,"")</f>
        <v/>
      </c>
      <c r="AO55" s="518" t="str">
        <f>IF(AND(_AC2="B-767-300ER",'2023'!$E$4="FO",'2023'!$E$2=AO43),'2023DATA'!$L$14,"")</f>
        <v/>
      </c>
      <c r="AP55" s="518" t="str">
        <f>IF(AND(_AC2="B-767-300ER",'2023'!$E$4="FO",'2023'!$E$2=AP43),'2023DATA'!$M$14,"")</f>
        <v/>
      </c>
      <c r="AQ55" s="520" t="str">
        <f>IF(AND(_AC2="B-767-300ER",'2023'!$E$4="FO",'2023'!$E$2=AQ43),'2023DATA'!$N$14,"")</f>
        <v/>
      </c>
      <c r="AR55" s="940"/>
      <c r="AS55" s="13" t="s">
        <v>62</v>
      </c>
      <c r="AT55" s="518" t="str">
        <f>IF(AND(_AC3="B-767-300ER",'2023'!$E$4="FO",'2023'!$E$2=AT43),'2023DATA'!$C$14,"")</f>
        <v/>
      </c>
      <c r="AU55" s="518" t="str">
        <f>IF(AND(_AC3="B-767-300ER",'2023'!$E$4="FO",'2023'!$E$2=AU43),'2023DATA'!$D$14,"")</f>
        <v/>
      </c>
      <c r="AV55" s="518" t="str">
        <f>IF(AND(_AC3="B-767-300ER",'2023'!$E$4="FO",'2023'!$E$2=AV43),'2023DATA'!$E$14,"")</f>
        <v/>
      </c>
      <c r="AW55" s="518" t="str">
        <f>IF(AND(_AC3="B-767-300ER",'2023'!$E$4="FO",'2023'!$E$2=AW43),'2023DATA'!$F$14,"")</f>
        <v/>
      </c>
      <c r="AX55" s="518" t="str">
        <f>IF(AND(_AC3="B-767-300ER",'2023'!$E$4="FO",'2023'!$E$2=AX43),'2023DATA'!$G$14,"")</f>
        <v/>
      </c>
      <c r="AY55" s="518" t="str">
        <f>IF(AND(_AC3="B-767-300ER",'2023'!$E$4="FO",'2023'!$E$2=AY43),'2023DATA'!$H$14,"")</f>
        <v/>
      </c>
      <c r="AZ55" s="518" t="str">
        <f>IF(AND(_AC3="B-767-300ER",'2023'!$E$4="FO",'2023'!$E$2=AZ43),'2023DATA'!$I$14,"")</f>
        <v/>
      </c>
      <c r="BA55" s="518" t="str">
        <f>IF(AND(_AC3="B-767-300ER",'2023'!$E$4="FO",'2023'!$E$2=BA43),'2023DATA'!$J$14,"")</f>
        <v/>
      </c>
      <c r="BB55" s="518" t="str">
        <f>IF(AND(_AC3="B-767-300ER",'2023'!$E$4="FO",'2023'!$E$2=BB43),'2023DATA'!$K$14,"")</f>
        <v/>
      </c>
      <c r="BC55" s="518" t="str">
        <f>IF(AND(_AC3="B-767-300ER",'2023'!$E$4="FO",'2023'!$E$2=BC43),'2023DATA'!$L$14,"")</f>
        <v/>
      </c>
      <c r="BD55" s="518" t="str">
        <f>IF(AND(_AC3="B-767-300ER",'2023'!$E$4="FO",'2023'!$E$2=BD43),'2023DATA'!$M$14,"")</f>
        <v/>
      </c>
      <c r="BE55" s="520" t="str">
        <f>IF(AND(_AC3="B-767-300ER",'2023'!$E$4="FO",'2023'!$E$2=BE43),'2023DATA'!$N$14,"")</f>
        <v/>
      </c>
      <c r="BF55" s="940"/>
      <c r="BG55" s="13" t="s">
        <v>62</v>
      </c>
      <c r="BH55" s="518" t="str">
        <f>IF(AND(_AC4="B-767-300ER",'2023'!$E$4="FO",'2023'!$E$2=BH43),'2023DATA'!$C$14,"")</f>
        <v/>
      </c>
      <c r="BI55" s="518" t="str">
        <f>IF(AND(_AC4="B-767-300ER",'2023'!$E$4="FO",'2023'!$E$2=BI43),'2023DATA'!$D$14,"")</f>
        <v/>
      </c>
      <c r="BJ55" s="518" t="str">
        <f>IF(AND(_AC4="B-767-300ER",'2023'!$E$4="FO",'2023'!$E$2=BJ43),'2023DATA'!$E$14,"")</f>
        <v/>
      </c>
      <c r="BK55" s="518" t="str">
        <f>IF(AND(_AC4="B-767-300ER",'2023'!$E$4="FO",'2023'!$E$2=BK43),'2023DATA'!$F$14,"")</f>
        <v/>
      </c>
      <c r="BL55" s="518" t="str">
        <f>IF(AND(_AC4="B-767-300ER",'2023'!$E$4="FO",'2023'!$E$2=BL43),'2023DATA'!$G$14,"")</f>
        <v/>
      </c>
      <c r="BM55" s="518" t="str">
        <f>IF(AND(_AC4="B-767-300ER",'2023'!$E$4="FO",'2023'!$E$2=BM43),'2023DATA'!$H$14,"")</f>
        <v/>
      </c>
      <c r="BN55" s="518" t="str">
        <f>IF(AND(_AC4="B-767-300ER",'2023'!$E$4="FO",'2023'!$E$2=BN43),'2023DATA'!$I$14,"")</f>
        <v/>
      </c>
      <c r="BO55" s="518" t="str">
        <f>IF(AND(_AC4="B-767-300ER",'2023'!$E$4="FO",'2023'!$E$2=BO43),'2023DATA'!$J$14,"")</f>
        <v/>
      </c>
      <c r="BP55" s="518" t="str">
        <f>IF(AND(_AC4="B-767-300ER",'2023'!$E$4="FO",'2023'!$E$2=BP43),'2023DATA'!$K$14,"")</f>
        <v/>
      </c>
      <c r="BQ55" s="518" t="str">
        <f>IF(AND(_AC4="B-767-300ER",'2023'!$E$4="FO",'2023'!$E$2=BQ43),'2023DATA'!$L$14,"")</f>
        <v/>
      </c>
      <c r="BR55" s="518" t="str">
        <f>IF(AND(_AC4="B-767-300ER",'2023'!$E$4="FO",'2023'!$E$2=BR43),'2023DATA'!$M$14,"")</f>
        <v/>
      </c>
      <c r="BS55" s="520" t="str">
        <f>IF(AND(_AC4="B-767-300ER",'2023'!$E$4="FO",'2023'!$E$2=BS43),'2023DATA'!$N$14,"")</f>
        <v/>
      </c>
      <c r="BT55" s="940"/>
      <c r="BU55" s="13" t="s">
        <v>62</v>
      </c>
      <c r="BV55" s="518" t="str">
        <f>IF(AND(_AC5="B-767-300ER",'2023'!$E$4="FO",'2023'!$E$2=BV43),'2023DATA'!$C$14,"")</f>
        <v/>
      </c>
      <c r="BW55" s="518" t="str">
        <f>IF(AND(_AC5="B-767-300ER",'2023'!$E$4="FO",'2023'!$E$2=BW43),'2023DATA'!$D$14,"")</f>
        <v/>
      </c>
      <c r="BX55" s="518" t="str">
        <f>IF(AND(_AC5="B-767-300ER",'2023'!$E$4="FO",'2023'!$E$2=BX43),'2023DATA'!$E$14,"")</f>
        <v/>
      </c>
      <c r="BY55" s="518" t="str">
        <f>IF(AND(_AC5="B-767-300ER",'2023'!$E$4="FO",'2023'!$E$2=BY43),'2023DATA'!$F$14,"")</f>
        <v/>
      </c>
      <c r="BZ55" s="518" t="str">
        <f>IF(AND(_AC5="B-767-300ER",'2023'!$E$4="FO",'2023'!$E$2=BZ43),'2023DATA'!$G$14,"")</f>
        <v/>
      </c>
      <c r="CA55" s="518" t="str">
        <f>IF(AND(_AC5="B-767-300ER",'2023'!$E$4="FO",'2023'!$E$2=CA43),'2023DATA'!$H$14,"")</f>
        <v/>
      </c>
      <c r="CB55" s="518" t="str">
        <f>IF(AND(_AC5="B-767-300ER",'2023'!$E$4="FO",'2023'!$E$2=CB43),'2023DATA'!$I$14,"")</f>
        <v/>
      </c>
      <c r="CC55" s="518" t="str">
        <f>IF(AND(_AC5="B-767-300ER",'2023'!$E$4="FO",'2023'!$E$2=CC43),'2023DATA'!$J$14,"")</f>
        <v/>
      </c>
      <c r="CD55" s="518" t="str">
        <f>IF(AND(_AC5="B-767-300ER",'2023'!$E$4="FO",'2023'!$E$2=CD43),'2023DATA'!$K$14,"")</f>
        <v/>
      </c>
      <c r="CE55" s="518" t="str">
        <f>IF(AND(_AC5="B-767-300ER",'2023'!$E$4="FO",'2023'!$E$2=CE43),'2023DATA'!$L$14,"")</f>
        <v/>
      </c>
      <c r="CF55" s="518" t="str">
        <f>IF(AND(_AC5="B-767-300ER",'2023'!$E$4="FO",'2023'!$E$2=CF43),'2023DATA'!$M$14,"")</f>
        <v/>
      </c>
      <c r="CG55" s="520" t="str">
        <f>IF(AND(_AC5="B-767-300ER",'2023'!$E$4="FO",'2023'!$E$2=CG43),'2023DATA'!$N$14,"")</f>
        <v/>
      </c>
      <c r="CH55" s="940"/>
      <c r="CI55" s="13" t="s">
        <v>62</v>
      </c>
      <c r="CJ55" s="518" t="str">
        <f>IF(AND(_AC6="B-767-300ER",'2023'!$E$4="FO",'2023'!$E$2=CJ43),'2023DATA'!$C$14,"")</f>
        <v/>
      </c>
      <c r="CK55" s="518" t="str">
        <f>IF(AND(_AC6="B-767-300ER",'2023'!$E$4="FO",'2023'!$E$2=CK43),'2023DATA'!$D$14,"")</f>
        <v/>
      </c>
      <c r="CL55" s="518" t="str">
        <f>IF(AND(_AC6="B-767-300ER",'2023'!$E$4="FO",'2023'!$E$2=CL43),'2023DATA'!$E$14,"")</f>
        <v/>
      </c>
      <c r="CM55" s="518" t="str">
        <f>IF(AND(_AC6="B-767-300ER",'2023'!$E$4="FO",'2023'!$E$2=CM43),'2023DATA'!$F$14,"")</f>
        <v/>
      </c>
      <c r="CN55" s="518" t="str">
        <f>IF(AND(_AC6="B-767-300ER",'2023'!$E$4="FO",'2023'!$E$2=CN43),'2023DATA'!$G$14,"")</f>
        <v/>
      </c>
      <c r="CO55" s="518" t="str">
        <f>IF(AND(_AC6="B-767-300ER",'2023'!$E$4="FO",'2023'!$E$2=CO43),'2023DATA'!$H$14,"")</f>
        <v/>
      </c>
      <c r="CP55" s="518" t="str">
        <f>IF(AND(_AC6="B-767-300ER",'2023'!$E$4="FO",'2023'!$E$2=CP43),'2023DATA'!$I$14,"")</f>
        <v/>
      </c>
      <c r="CQ55" s="518" t="str">
        <f>IF(AND(_AC6="B-767-300ER",'2023'!$E$4="FO",'2023'!$E$2=CQ43),'2023DATA'!$J$14,"")</f>
        <v/>
      </c>
      <c r="CR55" s="518" t="str">
        <f>IF(AND(_AC6="B-767-300ER",'2023'!$E$4="FO",'2023'!$E$2=CR43),'2023DATA'!$K$14,"")</f>
        <v/>
      </c>
      <c r="CS55" s="518" t="str">
        <f>IF(AND(_AC6="B-767-300ER",'2023'!$E$4="FO",'2023'!$E$2=CS43),'2023DATA'!$L$14,"")</f>
        <v/>
      </c>
      <c r="CT55" s="518" t="str">
        <f>IF(AND(_AC6="B-767-300ER",'2023'!$E$4="FO",'2023'!$E$2=CT43),'2023DATA'!$M$14,"")</f>
        <v/>
      </c>
      <c r="CU55" s="520" t="str">
        <f>IF(AND(_AC6="B-767-300ER",'2023'!$E$4="FO",'2023'!$E$2=CU43),'2023DATA'!$N$14,"")</f>
        <v/>
      </c>
    </row>
    <row r="56" spans="16:99" x14ac:dyDescent="0.25">
      <c r="P56" s="940" t="s">
        <v>67</v>
      </c>
      <c r="Q56" s="13" t="s">
        <v>61</v>
      </c>
      <c r="R56" s="518" t="str">
        <f>IF(AND(_AC1="B-767-300",'2023'!$E$4="CA",'2023'!$E$2=R43),'2023DATA'!$C$15,"")</f>
        <v/>
      </c>
      <c r="S56" s="518" t="str">
        <f>IF(AND(_AC1="B-767-300",'2023'!$E$4="CA",'2023'!$E$2=S43),'2023DATA'!$D$15,"")</f>
        <v/>
      </c>
      <c r="T56" s="518" t="str">
        <f>IF(AND(_AC1="B-767-300",'2023'!$E$4="CA",'2023'!$E$2=T43),'2023DATA'!$E$15,"")</f>
        <v/>
      </c>
      <c r="U56" s="518" t="str">
        <f>IF(AND(_AC1="B-767-300",'2023'!$E$4="CA",'2023'!$E$2=U43),'2023DATA'!$F$15,"")</f>
        <v/>
      </c>
      <c r="V56" s="518" t="str">
        <f>IF(AND(_AC1="B-767-300",'2023'!$E$4="CA",'2023'!$E$2=V43),'2023DATA'!$G$15,"")</f>
        <v/>
      </c>
      <c r="W56" s="518" t="str">
        <f>IF(AND(_AC1="B-767-300",'2023'!$E$4="CA",'2023'!$E$2=W43),'2023DATA'!$H$15,"")</f>
        <v/>
      </c>
      <c r="X56" s="518" t="str">
        <f>IF(AND(_AC1="B-767-300",'2023'!$E$4="CA",'2023'!$E$2=X43),'2023DATA'!$I$15,"")</f>
        <v/>
      </c>
      <c r="Y56" s="518" t="str">
        <f>IF(AND(_AC1="B-767-300",'2023'!$E$4="CA",'2023'!$E$2=Y43),'2023DATA'!$J$15,"")</f>
        <v/>
      </c>
      <c r="Z56" s="518" t="str">
        <f>IF(AND(_AC1="B-767-300",'2023'!$E$4="CA",'2023'!$E$2=Z43),'2023DATA'!$K$15,"")</f>
        <v/>
      </c>
      <c r="AA56" s="518" t="str">
        <f>IF(AND(_AC1="B-767-300",'2023'!$E$4="CA",'2023'!$E$2=AA43),'2023DATA'!$L$15,"")</f>
        <v/>
      </c>
      <c r="AB56" s="518" t="str">
        <f>IF(AND(_AC1="B-767-300",'2023'!$E$4="CA",'2023'!$E$2=AB43),'2023DATA'!$M$15,"")</f>
        <v/>
      </c>
      <c r="AC56" s="520" t="str">
        <f>IF(AND(_AC1="B-767-300",'2023'!$E$4="CA",'2023'!$E$2=AC43),'2023DATA'!$N$15,"")</f>
        <v/>
      </c>
      <c r="AD56" s="940" t="s">
        <v>67</v>
      </c>
      <c r="AE56" s="13" t="s">
        <v>61</v>
      </c>
      <c r="AF56" s="518" t="str">
        <f>IF(AND(_AC2="B-767-300",'2023'!$E$4="CA",'2023'!$E$2=AF43),'2023DATA'!$C$15,"")</f>
        <v/>
      </c>
      <c r="AG56" s="518" t="str">
        <f>IF(AND(_AC2="B-767-300",'2023'!$E$4="CA",'2023'!$E$2=AG43),'2023DATA'!$D$15,"")</f>
        <v/>
      </c>
      <c r="AH56" s="518" t="str">
        <f>IF(AND(_AC2="B-767-300",'2023'!$E$4="CA",'2023'!$E$2=AH43),'2023DATA'!$E$15,"")</f>
        <v/>
      </c>
      <c r="AI56" s="518" t="str">
        <f>IF(AND(_AC2="B-767-300",'2023'!$E$4="CA",'2023'!$E$2=AI43),'2023DATA'!$F$15,"")</f>
        <v/>
      </c>
      <c r="AJ56" s="518" t="str">
        <f>IF(AND(_AC2="B-767-300",'2023'!$E$4="CA",'2023'!$E$2=AJ43),'2023DATA'!$G$15,"")</f>
        <v/>
      </c>
      <c r="AK56" s="518" t="str">
        <f>IF(AND(_AC2="B-767-300",'2023'!$E$4="CA",'2023'!$E$2=AK43),'2023DATA'!$H$15,"")</f>
        <v/>
      </c>
      <c r="AL56" s="518" t="str">
        <f>IF(AND(_AC2="B-767-300",'2023'!$E$4="CA",'2023'!$E$2=AL43),'2023DATA'!$I$15,"")</f>
        <v/>
      </c>
      <c r="AM56" s="518" t="str">
        <f>IF(AND(_AC2="B-767-300",'2023'!$E$4="CA",'2023'!$E$2=AM43),'2023DATA'!$J$15,"")</f>
        <v/>
      </c>
      <c r="AN56" s="518" t="str">
        <f>IF(AND(_AC2="B-767-300",'2023'!$E$4="CA",'2023'!$E$2=AN43),'2023DATA'!$K$15,"")</f>
        <v/>
      </c>
      <c r="AO56" s="518" t="str">
        <f>IF(AND(_AC2="B-767-300",'2023'!$E$4="CA",'2023'!$E$2=AO43),'2023DATA'!$L$15,"")</f>
        <v/>
      </c>
      <c r="AP56" s="518" t="str">
        <f>IF(AND(_AC2="B-767-300",'2023'!$E$4="CA",'2023'!$E$2=AP43),'2023DATA'!$M$15,"")</f>
        <v/>
      </c>
      <c r="AQ56" s="520" t="str">
        <f>IF(AND(_AC2="B-767-300",'2023'!$E$4="CA",'2023'!$E$2=AQ43),'2023DATA'!$N$15,"")</f>
        <v/>
      </c>
      <c r="AR56" s="940" t="s">
        <v>67</v>
      </c>
      <c r="AS56" s="13" t="s">
        <v>61</v>
      </c>
      <c r="AT56" s="518" t="str">
        <f>IF(AND(_AC3="B-767-300",'2023'!$E$4="CA",'2023'!$E$2=AT43),'2023DATA'!$C$15,"")</f>
        <v/>
      </c>
      <c r="AU56" s="518" t="str">
        <f>IF(AND(_AC3="B-767-300",'2023'!$E$4="CA",'2023'!$E$2=AU43),'2023DATA'!$D$15,"")</f>
        <v/>
      </c>
      <c r="AV56" s="518" t="str">
        <f>IF(AND(_AC3="B-767-300",'2023'!$E$4="CA",'2023'!$E$2=AV43),'2023DATA'!$E$15,"")</f>
        <v/>
      </c>
      <c r="AW56" s="518" t="str">
        <f>IF(AND(_AC3="B-767-300",'2023'!$E$4="CA",'2023'!$E$2=AW43),'2023DATA'!$F$15,"")</f>
        <v/>
      </c>
      <c r="AX56" s="518" t="str">
        <f>IF(AND(_AC3="B-767-300",'2023'!$E$4="CA",'2023'!$E$2=AX43),'2023DATA'!$G$15,"")</f>
        <v/>
      </c>
      <c r="AY56" s="518" t="str">
        <f>IF(AND(_AC3="B-767-300",'2023'!$E$4="CA",'2023'!$E$2=AY43),'2023DATA'!$H$15,"")</f>
        <v/>
      </c>
      <c r="AZ56" s="518" t="str">
        <f>IF(AND(_AC3="B-767-300",'2023'!$E$4="CA",'2023'!$E$2=AZ43),'2023DATA'!$I$15,"")</f>
        <v/>
      </c>
      <c r="BA56" s="518" t="str">
        <f>IF(AND(_AC3="B-767-300",'2023'!$E$4="CA",'2023'!$E$2=BA43),'2023DATA'!$J$15,"")</f>
        <v/>
      </c>
      <c r="BB56" s="518" t="str">
        <f>IF(AND(_AC3="B-767-300",'2023'!$E$4="CA",'2023'!$E$2=BB43),'2023DATA'!$K$15,"")</f>
        <v/>
      </c>
      <c r="BC56" s="518" t="str">
        <f>IF(AND(_AC3="B-767-300",'2023'!$E$4="CA",'2023'!$E$2=BC43),'2023DATA'!$L$15,"")</f>
        <v/>
      </c>
      <c r="BD56" s="518" t="str">
        <f>IF(AND(_AC3="B-767-300",'2023'!$E$4="CA",'2023'!$E$2=BD43),'2023DATA'!$M$15,"")</f>
        <v/>
      </c>
      <c r="BE56" s="520" t="str">
        <f>IF(AND(_AC3="B-767-300",'2023'!$E$4="CA",'2023'!$E$2=BE43),'2023DATA'!$N$15,"")</f>
        <v/>
      </c>
      <c r="BF56" s="940" t="s">
        <v>67</v>
      </c>
      <c r="BG56" s="13" t="s">
        <v>61</v>
      </c>
      <c r="BH56" s="518" t="str">
        <f>IF(AND(_AC4="B-767-300",'2023'!$E$4="CA",'2023'!$E$2=BH43),'2023DATA'!$C$15,"")</f>
        <v/>
      </c>
      <c r="BI56" s="518" t="str">
        <f>IF(AND(_AC4="B-767-300",'2023'!$E$4="CA",'2023'!$E$2=BI43),'2023DATA'!$D$15,"")</f>
        <v/>
      </c>
      <c r="BJ56" s="518" t="str">
        <f>IF(AND(_AC4="B-767-300",'2023'!$E$4="CA",'2023'!$E$2=BJ43),'2023DATA'!$E$15,"")</f>
        <v/>
      </c>
      <c r="BK56" s="518" t="str">
        <f>IF(AND(_AC4="B-767-300",'2023'!$E$4="CA",'2023'!$E$2=BK43),'2023DATA'!$F$15,"")</f>
        <v/>
      </c>
      <c r="BL56" s="518" t="str">
        <f>IF(AND(_AC4="B-767-300",'2023'!$E$4="CA",'2023'!$E$2=BL43),'2023DATA'!$G$15,"")</f>
        <v/>
      </c>
      <c r="BM56" s="518" t="str">
        <f>IF(AND(_AC4="B-767-300",'2023'!$E$4="CA",'2023'!$E$2=BM43),'2023DATA'!$H$15,"")</f>
        <v/>
      </c>
      <c r="BN56" s="518" t="str">
        <f>IF(AND(_AC4="B-767-300",'2023'!$E$4="CA",'2023'!$E$2=BN43),'2023DATA'!$I$15,"")</f>
        <v/>
      </c>
      <c r="BO56" s="518" t="str">
        <f>IF(AND(_AC4="B-767-300",'2023'!$E$4="CA",'2023'!$E$2=BO43),'2023DATA'!$J$15,"")</f>
        <v/>
      </c>
      <c r="BP56" s="518" t="str">
        <f>IF(AND(_AC4="B-767-300",'2023'!$E$4="CA",'2023'!$E$2=BP43),'2023DATA'!$K$15,"")</f>
        <v/>
      </c>
      <c r="BQ56" s="518" t="str">
        <f>IF(AND(_AC4="B-767-300",'2023'!$E$4="CA",'2023'!$E$2=BQ43),'2023DATA'!$L$15,"")</f>
        <v/>
      </c>
      <c r="BR56" s="518" t="str">
        <f>IF(AND(_AC4="B-767-300",'2023'!$E$4="CA",'2023'!$E$2=BR43),'2023DATA'!$M$15,"")</f>
        <v/>
      </c>
      <c r="BS56" s="520" t="str">
        <f>IF(AND(_AC4="B-767-300",'2023'!$E$4="CA",'2023'!$E$2=BS43),'2023DATA'!$N$15,"")</f>
        <v/>
      </c>
      <c r="BT56" s="940" t="s">
        <v>67</v>
      </c>
      <c r="BU56" s="13" t="s">
        <v>61</v>
      </c>
      <c r="BV56" s="518" t="str">
        <f>IF(AND(_AC5="B-767-300",'2023'!$E$4="CA",'2023'!$E$2=BV43),'2023DATA'!$C$15,"")</f>
        <v/>
      </c>
      <c r="BW56" s="518" t="str">
        <f>IF(AND(_AC5="B-767-300",'2023'!$E$4="CA",'2023'!$E$2=BW43),'2023DATA'!$D$15,"")</f>
        <v/>
      </c>
      <c r="BX56" s="518" t="str">
        <f>IF(AND(_AC5="B-767-300",'2023'!$E$4="CA",'2023'!$E$2=BX43),'2023DATA'!$E$15,"")</f>
        <v/>
      </c>
      <c r="BY56" s="518" t="str">
        <f>IF(AND(_AC5="B-767-300",'2023'!$E$4="CA",'2023'!$E$2=BY43),'2023DATA'!$F$15,"")</f>
        <v/>
      </c>
      <c r="BZ56" s="518" t="str">
        <f>IF(AND(_AC5="B-767-300",'2023'!$E$4="CA",'2023'!$E$2=BZ43),'2023DATA'!$G$15,"")</f>
        <v/>
      </c>
      <c r="CA56" s="518" t="str">
        <f>IF(AND(_AC5="B-767-300",'2023'!$E$4="CA",'2023'!$E$2=CA43),'2023DATA'!$H$15,"")</f>
        <v/>
      </c>
      <c r="CB56" s="518" t="str">
        <f>IF(AND(_AC5="B-767-300",'2023'!$E$4="CA",'2023'!$E$2=CB43),'2023DATA'!$I$15,"")</f>
        <v/>
      </c>
      <c r="CC56" s="518" t="str">
        <f>IF(AND(_AC5="B-767-300",'2023'!$E$4="CA",'2023'!$E$2=CC43),'2023DATA'!$J$15,"")</f>
        <v/>
      </c>
      <c r="CD56" s="518" t="str">
        <f>IF(AND(_AC5="B-767-300",'2023'!$E$4="CA",'2023'!$E$2=CD43),'2023DATA'!$K$15,"")</f>
        <v/>
      </c>
      <c r="CE56" s="518" t="str">
        <f>IF(AND(_AC5="B-767-300",'2023'!$E$4="CA",'2023'!$E$2=CE43),'2023DATA'!$L$15,"")</f>
        <v/>
      </c>
      <c r="CF56" s="518" t="str">
        <f>IF(AND(_AC5="B-767-300",'2023'!$E$4="CA",'2023'!$E$2=CF43),'2023DATA'!$M$15,"")</f>
        <v/>
      </c>
      <c r="CG56" s="520" t="str">
        <f>IF(AND(_AC5="B-767-300",'2023'!$E$4="CA",'2023'!$E$2=CG43),'2023DATA'!$N$15,"")</f>
        <v/>
      </c>
      <c r="CH56" s="940" t="s">
        <v>67</v>
      </c>
      <c r="CI56" s="13" t="s">
        <v>61</v>
      </c>
      <c r="CJ56" s="518" t="str">
        <f>IF(AND(_AC6="B-767-300",'2023'!$E$4="CA",'2023'!$E$2=CJ43),'2023DATA'!$C$15,"")</f>
        <v/>
      </c>
      <c r="CK56" s="518" t="str">
        <f>IF(AND(_AC6="B-767-300",'2023'!$E$4="CA",'2023'!$E$2=CK43),'2023DATA'!$D$15,"")</f>
        <v/>
      </c>
      <c r="CL56" s="518" t="str">
        <f>IF(AND(_AC6="B-767-300",'2023'!$E$4="CA",'2023'!$E$2=CL43),'2023DATA'!$E$15,"")</f>
        <v/>
      </c>
      <c r="CM56" s="518" t="str">
        <f>IF(AND(_AC6="B-767-300",'2023'!$E$4="CA",'2023'!$E$2=CM43),'2023DATA'!$F$15,"")</f>
        <v/>
      </c>
      <c r="CN56" s="518" t="str">
        <f>IF(AND(_AC6="B-767-300",'2023'!$E$4="CA",'2023'!$E$2=CN43),'2023DATA'!$G$15,"")</f>
        <v/>
      </c>
      <c r="CO56" s="518" t="str">
        <f>IF(AND(_AC6="B-767-300",'2023'!$E$4="CA",'2023'!$E$2=CO43),'2023DATA'!$H$15,"")</f>
        <v/>
      </c>
      <c r="CP56" s="518" t="str">
        <f>IF(AND(_AC6="B-767-300",'2023'!$E$4="CA",'2023'!$E$2=CP43),'2023DATA'!$I$15,"")</f>
        <v/>
      </c>
      <c r="CQ56" s="518" t="str">
        <f>IF(AND(_AC6="B-767-300",'2023'!$E$4="CA",'2023'!$E$2=CQ43),'2023DATA'!$J$15,"")</f>
        <v/>
      </c>
      <c r="CR56" s="518" t="str">
        <f>IF(AND(_AC6="B-767-300",'2023'!$E$4="CA",'2023'!$E$2=CR43),'2023DATA'!$K$15,"")</f>
        <v/>
      </c>
      <c r="CS56" s="518" t="str">
        <f>IF(AND(_AC6="B-767-300",'2023'!$E$4="CA",'2023'!$E$2=CS43),'2023DATA'!$L$15,"")</f>
        <v/>
      </c>
      <c r="CT56" s="518" t="str">
        <f>IF(AND(_AC6="B-767-300",'2023'!$E$4="CA",'2023'!$E$2=CT43),'2023DATA'!$M$15,"")</f>
        <v/>
      </c>
      <c r="CU56" s="520" t="str">
        <f>IF(AND(_AC6="B-767-300",'2023'!$E$4="CA",'2023'!$E$2=CU43),'2023DATA'!$N$15,"")</f>
        <v/>
      </c>
    </row>
    <row r="57" spans="16:99" x14ac:dyDescent="0.25">
      <c r="P57" s="940"/>
      <c r="Q57" s="13" t="s">
        <v>62</v>
      </c>
      <c r="R57" s="518" t="str">
        <f>IF(AND(_AC1="B-767-300",'2023'!$E$4="FO",'2023'!$E$2=R43),'2023DATA'!$C$16,"")</f>
        <v/>
      </c>
      <c r="S57" s="518" t="str">
        <f>IF(AND(_AC1="B-767-300",'2023'!$E$4="FO",'2023'!$E$2=S43),'2023DATA'!$D$16,"")</f>
        <v/>
      </c>
      <c r="T57" s="518" t="str">
        <f>IF(AND(_AC1="B-767-300",'2023'!$E$4="FO",'2023'!$E$2=T43),'2023DATA'!$E$16,"")</f>
        <v/>
      </c>
      <c r="U57" s="518" t="str">
        <f>IF(AND(_AC1="B-767-300",'2023'!$E$4="FO",'2023'!$E$2=U43),'2023DATA'!$F$16,"")</f>
        <v/>
      </c>
      <c r="V57" s="518" t="str">
        <f>IF(AND(_AC1="B-767-300",'2023'!$E$4="FO",'2023'!$E$2=V43),'2023DATA'!$G$16,"")</f>
        <v/>
      </c>
      <c r="W57" s="518" t="str">
        <f>IF(AND(_AC1="B-767-300",'2023'!$E$4="FO",'2023'!$E$2=W43),'2023DATA'!$H$16,"")</f>
        <v/>
      </c>
      <c r="X57" s="518" t="str">
        <f>IF(AND(_AC1="B-767-300",'2023'!$E$4="FO",'2023'!$E$2=X43),'2023DATA'!$I$16,"")</f>
        <v/>
      </c>
      <c r="Y57" s="518" t="str">
        <f>IF(AND(_AC1="B-767-300",'2023'!$E$4="FO",'2023'!$E$2=Y43),'2023DATA'!$J$16,"")</f>
        <v/>
      </c>
      <c r="Z57" s="518" t="str">
        <f>IF(AND(_AC1="B-767-300",'2023'!$E$4="FO",'2023'!$E$2=Z43),'2023DATA'!$K$16,"")</f>
        <v/>
      </c>
      <c r="AA57" s="518" t="str">
        <f>IF(AND(_AC1="B-767-300",'2023'!$E$4="FO",'2023'!$E$2=AA43),'2023DATA'!$L$16,"")</f>
        <v/>
      </c>
      <c r="AB57" s="518" t="str">
        <f>IF(AND(_AC1="B-767-300",'2023'!$E$4="FO",'2023'!$E$2=AB43),'2023DATA'!$M$16,"")</f>
        <v/>
      </c>
      <c r="AC57" s="520" t="str">
        <f>IF(AND(_AC1="B-767-300",'2023'!$E$4="FO",'2023'!$E$2=AC43),'2023DATA'!$N$16,"")</f>
        <v/>
      </c>
      <c r="AD57" s="940"/>
      <c r="AE57" s="13" t="s">
        <v>62</v>
      </c>
      <c r="AF57" s="518" t="str">
        <f>IF(AND(_AC2="B-767-300",'2023'!$E$4="FO",'2023'!$E$2=AF43),'2023DATA'!$C$16,"")</f>
        <v/>
      </c>
      <c r="AG57" s="518" t="str">
        <f>IF(AND(_AC2="B-767-300",'2023'!$E$4="FO",'2023'!$E$2=AG43),'2023DATA'!$D$16,"")</f>
        <v/>
      </c>
      <c r="AH57" s="518" t="str">
        <f>IF(AND(_AC2="B-767-300",'2023'!$E$4="FO",'2023'!$E$2=AH43),'2023DATA'!$E$16,"")</f>
        <v/>
      </c>
      <c r="AI57" s="518" t="str">
        <f>IF(AND(_AC2="B-767-300",'2023'!$E$4="FO",'2023'!$E$2=AI43),'2023DATA'!$F$16,"")</f>
        <v/>
      </c>
      <c r="AJ57" s="518" t="str">
        <f>IF(AND(_AC2="B-767-300",'2023'!$E$4="FO",'2023'!$E$2=AJ43),'2023DATA'!$G$16,"")</f>
        <v/>
      </c>
      <c r="AK57" s="518" t="str">
        <f>IF(AND(_AC2="B-767-300",'2023'!$E$4="FO",'2023'!$E$2=AK43),'2023DATA'!$H$16,"")</f>
        <v/>
      </c>
      <c r="AL57" s="518" t="str">
        <f>IF(AND(_AC2="B-767-300",'2023'!$E$4="FO",'2023'!$E$2=AL43),'2023DATA'!$I$16,"")</f>
        <v/>
      </c>
      <c r="AM57" s="518" t="str">
        <f>IF(AND(_AC2="B-767-300",'2023'!$E$4="FO",'2023'!$E$2=AM43),'2023DATA'!$J$16,"")</f>
        <v/>
      </c>
      <c r="AN57" s="518" t="str">
        <f>IF(AND(_AC2="B-767-300",'2023'!$E$4="FO",'2023'!$E$2=AN43),'2023DATA'!$K$16,"")</f>
        <v/>
      </c>
      <c r="AO57" s="518" t="str">
        <f>IF(AND(_AC2="B-767-300",'2023'!$E$4="FO",'2023'!$E$2=AO43),'2023DATA'!$L$16,"")</f>
        <v/>
      </c>
      <c r="AP57" s="518" t="str">
        <f>IF(AND(_AC2="B-767-300",'2023'!$E$4="FO",'2023'!$E$2=AP43),'2023DATA'!$M$16,"")</f>
        <v/>
      </c>
      <c r="AQ57" s="520" t="str">
        <f>IF(AND(_AC2="B-767-300",'2023'!$E$4="FO",'2023'!$E$2=AQ43),'2023DATA'!$N$16,"")</f>
        <v/>
      </c>
      <c r="AR57" s="940"/>
      <c r="AS57" s="13" t="s">
        <v>62</v>
      </c>
      <c r="AT57" s="518" t="str">
        <f>IF(AND(_AC3="B-767-300",'2023'!$E$4="FO",'2023'!$E$2=AT43),'2023DATA'!$C$16,"")</f>
        <v/>
      </c>
      <c r="AU57" s="518" t="str">
        <f>IF(AND(_AC3="B-767-300",'2023'!$E$4="FO",'2023'!$E$2=AU43),'2023DATA'!$D$16,"")</f>
        <v/>
      </c>
      <c r="AV57" s="518" t="str">
        <f>IF(AND(_AC3="B-767-300",'2023'!$E$4="FO",'2023'!$E$2=AV43),'2023DATA'!$E$16,"")</f>
        <v/>
      </c>
      <c r="AW57" s="518" t="str">
        <f>IF(AND(_AC3="B-767-300",'2023'!$E$4="FO",'2023'!$E$2=AW43),'2023DATA'!$F$16,"")</f>
        <v/>
      </c>
      <c r="AX57" s="518" t="str">
        <f>IF(AND(_AC3="B-767-300",'2023'!$E$4="FO",'2023'!$E$2=AX43),'2023DATA'!$G$16,"")</f>
        <v/>
      </c>
      <c r="AY57" s="518" t="str">
        <f>IF(AND(_AC3="B-767-300",'2023'!$E$4="FO",'2023'!$E$2=AY43),'2023DATA'!$H$16,"")</f>
        <v/>
      </c>
      <c r="AZ57" s="518" t="str">
        <f>IF(AND(_AC3="B-767-300",'2023'!$E$4="FO",'2023'!$E$2=AZ43),'2023DATA'!$I$16,"")</f>
        <v/>
      </c>
      <c r="BA57" s="518" t="str">
        <f>IF(AND(_AC3="B-767-300",'2023'!$E$4="FO",'2023'!$E$2=BA43),'2023DATA'!$J$16,"")</f>
        <v/>
      </c>
      <c r="BB57" s="518" t="str">
        <f>IF(AND(_AC3="B-767-300",'2023'!$E$4="FO",'2023'!$E$2=BB43),'2023DATA'!$K$16,"")</f>
        <v/>
      </c>
      <c r="BC57" s="518" t="str">
        <f>IF(AND(_AC3="B-767-300",'2023'!$E$4="FO",'2023'!$E$2=BC43),'2023DATA'!$L$16,"")</f>
        <v/>
      </c>
      <c r="BD57" s="518" t="str">
        <f>IF(AND(_AC3="B-767-300",'2023'!$E$4="FO",'2023'!$E$2=BD43),'2023DATA'!$M$16,"")</f>
        <v/>
      </c>
      <c r="BE57" s="520" t="str">
        <f>IF(AND(_AC3="B-767-300",'2023'!$E$4="FO",'2023'!$E$2=BE43),'2023DATA'!$N$16,"")</f>
        <v/>
      </c>
      <c r="BF57" s="940"/>
      <c r="BG57" s="13" t="s">
        <v>62</v>
      </c>
      <c r="BH57" s="518" t="str">
        <f>IF(AND(_AC4="B-767-300",'2023'!$E$4="FO",'2023'!$E$2=BH43),'2023DATA'!$C$16,"")</f>
        <v/>
      </c>
      <c r="BI57" s="518" t="str">
        <f>IF(AND(_AC4="B-767-300",'2023'!$E$4="FO",'2023'!$E$2=BI43),'2023DATA'!$D$16,"")</f>
        <v/>
      </c>
      <c r="BJ57" s="518" t="str">
        <f>IF(AND(_AC4="B-767-300",'2023'!$E$4="FO",'2023'!$E$2=BJ43),'2023DATA'!$E$16,"")</f>
        <v/>
      </c>
      <c r="BK57" s="518" t="str">
        <f>IF(AND(_AC4="B-767-300",'2023'!$E$4="FO",'2023'!$E$2=BK43),'2023DATA'!$F$16,"")</f>
        <v/>
      </c>
      <c r="BL57" s="518" t="str">
        <f>IF(AND(_AC4="B-767-300",'2023'!$E$4="FO",'2023'!$E$2=BL43),'2023DATA'!$G$16,"")</f>
        <v/>
      </c>
      <c r="BM57" s="518" t="str">
        <f>IF(AND(_AC4="B-767-300",'2023'!$E$4="FO",'2023'!$E$2=BM43),'2023DATA'!$H$16,"")</f>
        <v/>
      </c>
      <c r="BN57" s="518" t="str">
        <f>IF(AND(_AC4="B-767-300",'2023'!$E$4="FO",'2023'!$E$2=BN43),'2023DATA'!$I$16,"")</f>
        <v/>
      </c>
      <c r="BO57" s="518" t="str">
        <f>IF(AND(_AC4="B-767-300",'2023'!$E$4="FO",'2023'!$E$2=BO43),'2023DATA'!$J$16,"")</f>
        <v/>
      </c>
      <c r="BP57" s="518" t="str">
        <f>IF(AND(_AC4="B-767-300",'2023'!$E$4="FO",'2023'!$E$2=BP43),'2023DATA'!$K$16,"")</f>
        <v/>
      </c>
      <c r="BQ57" s="518" t="str">
        <f>IF(AND(_AC4="B-767-300",'2023'!$E$4="FO",'2023'!$E$2=BQ43),'2023DATA'!$L$16,"")</f>
        <v/>
      </c>
      <c r="BR57" s="518" t="str">
        <f>IF(AND(_AC4="B-767-300",'2023'!$E$4="FO",'2023'!$E$2=BR43),'2023DATA'!$M$16,"")</f>
        <v/>
      </c>
      <c r="BS57" s="520" t="str">
        <f>IF(AND(_AC4="B-767-300",'2023'!$E$4="FO",'2023'!$E$2=BS43),'2023DATA'!$N$16,"")</f>
        <v/>
      </c>
      <c r="BT57" s="940"/>
      <c r="BU57" s="13" t="s">
        <v>62</v>
      </c>
      <c r="BV57" s="518" t="str">
        <f>IF(AND(_AC5="B-767-300",'2023'!$E$4="FO",'2023'!$E$2=BV43),'2023DATA'!$C$16,"")</f>
        <v/>
      </c>
      <c r="BW57" s="518" t="str">
        <f>IF(AND(_AC5="B-767-300",'2023'!$E$4="FO",'2023'!$E$2=BW43),'2023DATA'!$D$16,"")</f>
        <v/>
      </c>
      <c r="BX57" s="518" t="str">
        <f>IF(AND(_AC5="B-767-300",'2023'!$E$4="FO",'2023'!$E$2=BX43),'2023DATA'!$E$16,"")</f>
        <v/>
      </c>
      <c r="BY57" s="518" t="str">
        <f>IF(AND(_AC5="B-767-300",'2023'!$E$4="FO",'2023'!$E$2=BY43),'2023DATA'!$F$16,"")</f>
        <v/>
      </c>
      <c r="BZ57" s="518" t="str">
        <f>IF(AND(_AC5="B-767-300",'2023'!$E$4="FO",'2023'!$E$2=BZ43),'2023DATA'!$G$16,"")</f>
        <v/>
      </c>
      <c r="CA57" s="518" t="str">
        <f>IF(AND(_AC5="B-767-300",'2023'!$E$4="FO",'2023'!$E$2=CA43),'2023DATA'!$H$16,"")</f>
        <v/>
      </c>
      <c r="CB57" s="518" t="str">
        <f>IF(AND(_AC5="B-767-300",'2023'!$E$4="FO",'2023'!$E$2=CB43),'2023DATA'!$I$16,"")</f>
        <v/>
      </c>
      <c r="CC57" s="518" t="str">
        <f>IF(AND(_AC5="B-767-300",'2023'!$E$4="FO",'2023'!$E$2=CC43),'2023DATA'!$J$16,"")</f>
        <v/>
      </c>
      <c r="CD57" s="518" t="str">
        <f>IF(AND(_AC5="B-767-300",'2023'!$E$4="FO",'2023'!$E$2=CD43),'2023DATA'!$K$16,"")</f>
        <v/>
      </c>
      <c r="CE57" s="518" t="str">
        <f>IF(AND(_AC5="B-767-300",'2023'!$E$4="FO",'2023'!$E$2=CE43),'2023DATA'!$L$16,"")</f>
        <v/>
      </c>
      <c r="CF57" s="518" t="str">
        <f>IF(AND(_AC5="B-767-300",'2023'!$E$4="FO",'2023'!$E$2=CF43),'2023DATA'!$M$16,"")</f>
        <v/>
      </c>
      <c r="CG57" s="520" t="str">
        <f>IF(AND(_AC5="B-767-300",'2023'!$E$4="FO",'2023'!$E$2=CG43),'2023DATA'!$N$16,"")</f>
        <v/>
      </c>
      <c r="CH57" s="940"/>
      <c r="CI57" s="13" t="s">
        <v>62</v>
      </c>
      <c r="CJ57" s="518" t="str">
        <f>IF(AND(_AC6="B-767-300",'2023'!$E$4="FO",'2023'!$E$2=CJ43),'2023DATA'!$C$16,"")</f>
        <v/>
      </c>
      <c r="CK57" s="518" t="str">
        <f>IF(AND(_AC6="B-767-300",'2023'!$E$4="FO",'2023'!$E$2=CK43),'2023DATA'!$D$16,"")</f>
        <v/>
      </c>
      <c r="CL57" s="518" t="str">
        <f>IF(AND(_AC6="B-767-300",'2023'!$E$4="FO",'2023'!$E$2=CL43),'2023DATA'!$E$16,"")</f>
        <v/>
      </c>
      <c r="CM57" s="518" t="str">
        <f>IF(AND(_AC6="B-767-300",'2023'!$E$4="FO",'2023'!$E$2=CM43),'2023DATA'!$F$16,"")</f>
        <v/>
      </c>
      <c r="CN57" s="518" t="str">
        <f>IF(AND(_AC6="B-767-300",'2023'!$E$4="FO",'2023'!$E$2=CN43),'2023DATA'!$G$16,"")</f>
        <v/>
      </c>
      <c r="CO57" s="518" t="str">
        <f>IF(AND(_AC6="B-767-300",'2023'!$E$4="FO",'2023'!$E$2=CO43),'2023DATA'!$H$16,"")</f>
        <v/>
      </c>
      <c r="CP57" s="518" t="str">
        <f>IF(AND(_AC6="B-767-300",'2023'!$E$4="FO",'2023'!$E$2=CP43),'2023DATA'!$I$16,"")</f>
        <v/>
      </c>
      <c r="CQ57" s="518" t="str">
        <f>IF(AND(_AC6="B-767-300",'2023'!$E$4="FO",'2023'!$E$2=CQ43),'2023DATA'!$J$16,"")</f>
        <v/>
      </c>
      <c r="CR57" s="518" t="str">
        <f>IF(AND(_AC6="B-767-300",'2023'!$E$4="FO",'2023'!$E$2=CR43),'2023DATA'!$K$16,"")</f>
        <v/>
      </c>
      <c r="CS57" s="518" t="str">
        <f>IF(AND(_AC6="B-767-300",'2023'!$E$4="FO",'2023'!$E$2=CS43),'2023DATA'!$L$16,"")</f>
        <v/>
      </c>
      <c r="CT57" s="518" t="str">
        <f>IF(AND(_AC6="B-767-300",'2023'!$E$4="FO",'2023'!$E$2=CT43),'2023DATA'!$M$16,"")</f>
        <v/>
      </c>
      <c r="CU57" s="520" t="str">
        <f>IF(AND(_AC6="B-767-300",'2023'!$E$4="FO",'2023'!$E$2=CU43),'2023DATA'!$N$16,"")</f>
        <v/>
      </c>
    </row>
    <row r="58" spans="16:99" x14ac:dyDescent="0.25">
      <c r="P58" s="940" t="s">
        <v>68</v>
      </c>
      <c r="Q58" s="13" t="s">
        <v>61</v>
      </c>
      <c r="R58" s="518" t="str">
        <f>IF(AND(_AC1="B-767-200",'2023'!$E$4="CA",'2023'!$E$2=R43),'2023DATA'!$C$17,"")</f>
        <v/>
      </c>
      <c r="S58" s="518" t="str">
        <f>IF(AND(_AC1="B-767-200",'2023'!$E$4="CA",'2023'!$E$2=S43),'2023DATA'!$D$17,"")</f>
        <v/>
      </c>
      <c r="T58" s="518" t="str">
        <f>IF(AND(_AC1="B-767-200",'2023'!$E$4="CA",'2023'!$E$2=T43),'2023DATA'!$E$17,"")</f>
        <v/>
      </c>
      <c r="U58" s="518" t="str">
        <f>IF(AND(_AC1="B-767-200",'2023'!$E$4="CA",'2023'!$E$2=U43),'2023DATA'!$F$17,"")</f>
        <v/>
      </c>
      <c r="V58" s="518" t="str">
        <f>IF(AND(_AC1="B-767-200",'2023'!$E$4="CA",'2023'!$E$2=V43),'2023DATA'!$G$17,"")</f>
        <v/>
      </c>
      <c r="W58" s="518" t="str">
        <f>IF(AND(_AC1="B-767-200",'2023'!$E$4="CA",'2023'!$E$2=W43),'2023DATA'!$H$17,"")</f>
        <v/>
      </c>
      <c r="X58" s="518" t="str">
        <f>IF(AND(_AC1="B-767-200",'2023'!$E$4="CA",'2023'!$E$2=X43),'2023DATA'!$I$17,"")</f>
        <v/>
      </c>
      <c r="Y58" s="518" t="str">
        <f>IF(AND(_AC1="B-767-200",'2023'!$E$4="CA",'2023'!$E$2=Y43),'2023DATA'!$J$17,"")</f>
        <v/>
      </c>
      <c r="Z58" s="518" t="str">
        <f>IF(AND(_AC1="B-767-200",'2023'!$E$4="CA",'2023'!$E$2=Z43),'2023DATA'!$K$17,"")</f>
        <v/>
      </c>
      <c r="AA58" s="518" t="str">
        <f>IF(AND(_AC1="B-767-200",'2023'!$E$4="CA",'2023'!$E$2=AA43),'2023DATA'!$L$17,"")</f>
        <v/>
      </c>
      <c r="AB58" s="518" t="str">
        <f>IF(AND(_AC1="B-767-200",'2023'!$E$4="CA",'2023'!$E$2=AB43),'2023DATA'!$M$17,"")</f>
        <v/>
      </c>
      <c r="AC58" s="520" t="str">
        <f>IF(AND(_AC1="B-767-200",'2023'!$E$4="CA",'2023'!$E$2=AC43),'2023DATA'!$N$17,"")</f>
        <v/>
      </c>
      <c r="AD58" s="940" t="s">
        <v>68</v>
      </c>
      <c r="AE58" s="13" t="s">
        <v>61</v>
      </c>
      <c r="AF58" s="518" t="str">
        <f>IF(AND(_AC2="B-767-200",'2023'!$E$4="CA",'2023'!$E$2=AF43),'2023DATA'!$C$17,"")</f>
        <v/>
      </c>
      <c r="AG58" s="518" t="str">
        <f>IF(AND(_AC2="B-767-200",'2023'!$E$4="CA",'2023'!$E$2=AG43),'2023DATA'!$D$17,"")</f>
        <v/>
      </c>
      <c r="AH58" s="518" t="str">
        <f>IF(AND(_AC2="B-767-200",'2023'!$E$4="CA",'2023'!$E$2=AH43),'2023DATA'!$E$17,"")</f>
        <v/>
      </c>
      <c r="AI58" s="518" t="str">
        <f>IF(AND(_AC2="B-767-200",'2023'!$E$4="CA",'2023'!$E$2=AI43),'2023DATA'!$F$17,"")</f>
        <v/>
      </c>
      <c r="AJ58" s="518" t="str">
        <f>IF(AND(_AC2="B-767-200",'2023'!$E$4="CA",'2023'!$E$2=AJ43),'2023DATA'!$G$17,"")</f>
        <v/>
      </c>
      <c r="AK58" s="518" t="str">
        <f>IF(AND(_AC2="B-767-200",'2023'!$E$4="CA",'2023'!$E$2=AK43),'2023DATA'!$H$17,"")</f>
        <v/>
      </c>
      <c r="AL58" s="518" t="str">
        <f>IF(AND(_AC2="B-767-200",'2023'!$E$4="CA",'2023'!$E$2=AL43),'2023DATA'!$I$17,"")</f>
        <v/>
      </c>
      <c r="AM58" s="518" t="str">
        <f>IF(AND(_AC2="B-767-200",'2023'!$E$4="CA",'2023'!$E$2=AM43),'2023DATA'!$J$17,"")</f>
        <v/>
      </c>
      <c r="AN58" s="518" t="str">
        <f>IF(AND(_AC2="B-767-200",'2023'!$E$4="CA",'2023'!$E$2=AN43),'2023DATA'!$K$17,"")</f>
        <v/>
      </c>
      <c r="AO58" s="518" t="str">
        <f>IF(AND(_AC2="B-767-200",'2023'!$E$4="CA",'2023'!$E$2=AO43),'2023DATA'!$L$17,"")</f>
        <v/>
      </c>
      <c r="AP58" s="518" t="str">
        <f>IF(AND(_AC2="B-767-200",'2023'!$E$4="CA",'2023'!$E$2=AP43),'2023DATA'!$M$17,"")</f>
        <v/>
      </c>
      <c r="AQ58" s="520" t="str">
        <f>IF(AND(_AC2="B-767-200",'2023'!$E$4="CA",'2023'!$E$2=AQ43),'2023DATA'!$N$17,"")</f>
        <v/>
      </c>
      <c r="AR58" s="940" t="s">
        <v>68</v>
      </c>
      <c r="AS58" s="13" t="s">
        <v>61</v>
      </c>
      <c r="AT58" s="518" t="str">
        <f>IF(AND(_AC3="B-767-200",'2023'!$E$4="CA",'2023'!$E$2=AT43),'2023DATA'!$C$17,"")</f>
        <v/>
      </c>
      <c r="AU58" s="518" t="str">
        <f>IF(AND(_AC3="B-767-200",'2023'!$E$4="CA",'2023'!$E$2=AU43),'2023DATA'!$D$17,"")</f>
        <v/>
      </c>
      <c r="AV58" s="518" t="str">
        <f>IF(AND(_AC3="B-767-200",'2023'!$E$4="CA",'2023'!$E$2=AV43),'2023DATA'!$E$17,"")</f>
        <v/>
      </c>
      <c r="AW58" s="518" t="str">
        <f>IF(AND(_AC3="B-767-200",'2023'!$E$4="CA",'2023'!$E$2=AW43),'2023DATA'!$F$17,"")</f>
        <v/>
      </c>
      <c r="AX58" s="518" t="str">
        <f>IF(AND(_AC3="B-767-200",'2023'!$E$4="CA",'2023'!$E$2=AX43),'2023DATA'!$G$17,"")</f>
        <v/>
      </c>
      <c r="AY58" s="518" t="str">
        <f>IF(AND(_AC3="B-767-200",'2023'!$E$4="CA",'2023'!$E$2=AY43),'2023DATA'!$H$17,"")</f>
        <v/>
      </c>
      <c r="AZ58" s="518" t="str">
        <f>IF(AND(_AC3="B-767-200",'2023'!$E$4="CA",'2023'!$E$2=AZ43),'2023DATA'!$I$17,"")</f>
        <v/>
      </c>
      <c r="BA58" s="518" t="str">
        <f>IF(AND(_AC3="B-767-200",'2023'!$E$4="CA",'2023'!$E$2=BA43),'2023DATA'!$J$17,"")</f>
        <v/>
      </c>
      <c r="BB58" s="518" t="str">
        <f>IF(AND(_AC3="B-767-200",'2023'!$E$4="CA",'2023'!$E$2=BB43),'2023DATA'!$K$17,"")</f>
        <v/>
      </c>
      <c r="BC58" s="518" t="str">
        <f>IF(AND(_AC3="B-767-200",'2023'!$E$4="CA",'2023'!$E$2=BC43),'2023DATA'!$L$17,"")</f>
        <v/>
      </c>
      <c r="BD58" s="518" t="str">
        <f>IF(AND(_AC3="B-767-200",'2023'!$E$4="CA",'2023'!$E$2=BD43),'2023DATA'!$M$17,"")</f>
        <v/>
      </c>
      <c r="BE58" s="520" t="str">
        <f>IF(AND(_AC3="B-767-200",'2023'!$E$4="CA",'2023'!$E$2=BE43),'2023DATA'!$N$17,"")</f>
        <v/>
      </c>
      <c r="BF58" s="940" t="s">
        <v>68</v>
      </c>
      <c r="BG58" s="13" t="s">
        <v>61</v>
      </c>
      <c r="BH58" s="518" t="str">
        <f>IF(AND(_AC4="B-767-200",'2023'!$E$4="CA",'2023'!$E$2=BH43),'2023DATA'!$C$17,"")</f>
        <v/>
      </c>
      <c r="BI58" s="518" t="str">
        <f>IF(AND(_AC4="B-767-200",'2023'!$E$4="CA",'2023'!$E$2=BI43),'2023DATA'!$D$17,"")</f>
        <v/>
      </c>
      <c r="BJ58" s="518" t="str">
        <f>IF(AND(_AC4="B-767-200",'2023'!$E$4="CA",'2023'!$E$2=BJ43),'2023DATA'!$E$17,"")</f>
        <v/>
      </c>
      <c r="BK58" s="518" t="str">
        <f>IF(AND(_AC4="B-767-200",'2023'!$E$4="CA",'2023'!$E$2=BK43),'2023DATA'!$F$17,"")</f>
        <v/>
      </c>
      <c r="BL58" s="518" t="str">
        <f>IF(AND(_AC4="B-767-200",'2023'!$E$4="CA",'2023'!$E$2=BL43),'2023DATA'!$G$17,"")</f>
        <v/>
      </c>
      <c r="BM58" s="518" t="str">
        <f>IF(AND(_AC4="B-767-200",'2023'!$E$4="CA",'2023'!$E$2=BM43),'2023DATA'!$H$17,"")</f>
        <v/>
      </c>
      <c r="BN58" s="518" t="str">
        <f>IF(AND(_AC4="B-767-200",'2023'!$E$4="CA",'2023'!$E$2=BN43),'2023DATA'!$I$17,"")</f>
        <v/>
      </c>
      <c r="BO58" s="518" t="str">
        <f>IF(AND(_AC4="B-767-200",'2023'!$E$4="CA",'2023'!$E$2=BO43),'2023DATA'!$J$17,"")</f>
        <v/>
      </c>
      <c r="BP58" s="518" t="str">
        <f>IF(AND(_AC4="B-767-200",'2023'!$E$4="CA",'2023'!$E$2=BP43),'2023DATA'!$K$17,"")</f>
        <v/>
      </c>
      <c r="BQ58" s="518" t="str">
        <f>IF(AND(_AC4="B-767-200",'2023'!$E$4="CA",'2023'!$E$2=BQ43),'2023DATA'!$L$17,"")</f>
        <v/>
      </c>
      <c r="BR58" s="518" t="str">
        <f>IF(AND(_AC4="B-767-200",'2023'!$E$4="CA",'2023'!$E$2=BR43),'2023DATA'!$M$17,"")</f>
        <v/>
      </c>
      <c r="BS58" s="520" t="str">
        <f>IF(AND(_AC4="B-767-200",'2023'!$E$4="CA",'2023'!$E$2=BS43),'2023DATA'!$N$17,"")</f>
        <v/>
      </c>
      <c r="BT58" s="940" t="s">
        <v>68</v>
      </c>
      <c r="BU58" s="13" t="s">
        <v>61</v>
      </c>
      <c r="BV58" s="518" t="str">
        <f>IF(AND(_AC5="B-767-200",'2023'!$E$4="CA",'2023'!$E$2=BV43),'2023DATA'!$C$17,"")</f>
        <v/>
      </c>
      <c r="BW58" s="518" t="str">
        <f>IF(AND(_AC5="B-767-200",'2023'!$E$4="CA",'2023'!$E$2=BW43),'2023DATA'!$D$17,"")</f>
        <v/>
      </c>
      <c r="BX58" s="518" t="str">
        <f>IF(AND(_AC5="B-767-200",'2023'!$E$4="CA",'2023'!$E$2=BX43),'2023DATA'!$E$17,"")</f>
        <v/>
      </c>
      <c r="BY58" s="518" t="str">
        <f>IF(AND(_AC5="B-767-200",'2023'!$E$4="CA",'2023'!$E$2=BY43),'2023DATA'!$F$17,"")</f>
        <v/>
      </c>
      <c r="BZ58" s="518" t="str">
        <f>IF(AND(_AC5="B-767-200",'2023'!$E$4="CA",'2023'!$E$2=BZ43),'2023DATA'!$G$17,"")</f>
        <v/>
      </c>
      <c r="CA58" s="518" t="str">
        <f>IF(AND(_AC5="B-767-200",'2023'!$E$4="CA",'2023'!$E$2=CA43),'2023DATA'!$H$17,"")</f>
        <v/>
      </c>
      <c r="CB58" s="518" t="str">
        <f>IF(AND(_AC5="B-767-200",'2023'!$E$4="CA",'2023'!$E$2=CB43),'2023DATA'!$I$17,"")</f>
        <v/>
      </c>
      <c r="CC58" s="518" t="str">
        <f>IF(AND(_AC5="B-767-200",'2023'!$E$4="CA",'2023'!$E$2=CC43),'2023DATA'!$J$17,"")</f>
        <v/>
      </c>
      <c r="CD58" s="518" t="str">
        <f>IF(AND(_AC5="B-767-200",'2023'!$E$4="CA",'2023'!$E$2=CD43),'2023DATA'!$K$17,"")</f>
        <v/>
      </c>
      <c r="CE58" s="518" t="str">
        <f>IF(AND(_AC5="B-767-200",'2023'!$E$4="CA",'2023'!$E$2=CE43),'2023DATA'!$L$17,"")</f>
        <v/>
      </c>
      <c r="CF58" s="518" t="str">
        <f>IF(AND(_AC5="B-767-200",'2023'!$E$4="CA",'2023'!$E$2=CF43),'2023DATA'!$M$17,"")</f>
        <v/>
      </c>
      <c r="CG58" s="520" t="str">
        <f>IF(AND(_AC5="B-767-200",'2023'!$E$4="CA",'2023'!$E$2=CG43),'2023DATA'!$N$17,"")</f>
        <v/>
      </c>
      <c r="CH58" s="940" t="s">
        <v>68</v>
      </c>
      <c r="CI58" s="13" t="s">
        <v>61</v>
      </c>
      <c r="CJ58" s="518" t="str">
        <f>IF(AND(_AC6="B-767-200",'2023'!$E$4="CA",'2023'!$E$2=CJ43),'2023DATA'!$C$17,"")</f>
        <v/>
      </c>
      <c r="CK58" s="518" t="str">
        <f>IF(AND(_AC6="B-767-200",'2023'!$E$4="CA",'2023'!$E$2=CK43),'2023DATA'!$D$17,"")</f>
        <v/>
      </c>
      <c r="CL58" s="518" t="str">
        <f>IF(AND(_AC6="B-767-200",'2023'!$E$4="CA",'2023'!$E$2=CL43),'2023DATA'!$E$17,"")</f>
        <v/>
      </c>
      <c r="CM58" s="518" t="str">
        <f>IF(AND(_AC6="B-767-200",'2023'!$E$4="CA",'2023'!$E$2=CM43),'2023DATA'!$F$17,"")</f>
        <v/>
      </c>
      <c r="CN58" s="518" t="str">
        <f>IF(AND(_AC6="B-767-200",'2023'!$E$4="CA",'2023'!$E$2=CN43),'2023DATA'!$G$17,"")</f>
        <v/>
      </c>
      <c r="CO58" s="518" t="str">
        <f>IF(AND(_AC6="B-767-200",'2023'!$E$4="CA",'2023'!$E$2=CO43),'2023DATA'!$H$17,"")</f>
        <v/>
      </c>
      <c r="CP58" s="518" t="str">
        <f>IF(AND(_AC6="B-767-200",'2023'!$E$4="CA",'2023'!$E$2=CP43),'2023DATA'!$I$17,"")</f>
        <v/>
      </c>
      <c r="CQ58" s="518" t="str">
        <f>IF(AND(_AC6="B-767-200",'2023'!$E$4="CA",'2023'!$E$2=CQ43),'2023DATA'!$J$17,"")</f>
        <v/>
      </c>
      <c r="CR58" s="518" t="str">
        <f>IF(AND(_AC6="B-767-200",'2023'!$E$4="CA",'2023'!$E$2=CR43),'2023DATA'!$K$17,"")</f>
        <v/>
      </c>
      <c r="CS58" s="518" t="str">
        <f>IF(AND(_AC6="B-767-200",'2023'!$E$4="CA",'2023'!$E$2=CS43),'2023DATA'!$L$17,"")</f>
        <v/>
      </c>
      <c r="CT58" s="518" t="str">
        <f>IF(AND(_AC6="B-767-200",'2023'!$E$4="CA",'2023'!$E$2=CT43),'2023DATA'!$M$17,"")</f>
        <v/>
      </c>
      <c r="CU58" s="520" t="str">
        <f>IF(AND(_AC6="B-767-200",'2023'!$E$4="CA",'2023'!$E$2=CU43),'2023DATA'!$N$17,"")</f>
        <v/>
      </c>
    </row>
    <row r="59" spans="16:99" x14ac:dyDescent="0.25">
      <c r="P59" s="940"/>
      <c r="Q59" s="13" t="s">
        <v>62</v>
      </c>
      <c r="R59" s="518" t="str">
        <f>IF(AND(_AC1="B-767-200",'2023'!$E$4="FO",'2023'!$E$2=R43),'2023DATA'!$C$18,"")</f>
        <v/>
      </c>
      <c r="S59" s="518" t="str">
        <f>IF(AND(_AC1="B-767-200",'2023'!$E$4="FO",'2023'!$E$2=S43),'2023DATA'!$D$18,"")</f>
        <v/>
      </c>
      <c r="T59" s="518" t="str">
        <f>IF(AND(_AC1="B-767-200",'2023'!$E$4="FO",'2023'!$E$2=T43),'2023DATA'!$E$18,"")</f>
        <v/>
      </c>
      <c r="U59" s="518" t="str">
        <f>IF(AND(_AC1="B-767-200",'2023'!$E$4="FO",'2023'!$E$2=U43),'2023DATA'!$F$18,"")</f>
        <v/>
      </c>
      <c r="V59" s="518" t="str">
        <f>IF(AND(_AC1="B-767-200",'2023'!$E$4="FO",'2023'!$E$2=V43),'2023DATA'!$G$18,"")</f>
        <v/>
      </c>
      <c r="W59" s="518" t="str">
        <f>IF(AND(_AC1="B-767-200",'2023'!$E$4="FO",'2023'!$E$2=W43),'2023DATA'!$H$18,"")</f>
        <v/>
      </c>
      <c r="X59" s="518" t="str">
        <f>IF(AND(_AC1="B-767-200",'2023'!$E$4="FO",'2023'!$E$2=X43),'2023DATA'!$I$18,"")</f>
        <v/>
      </c>
      <c r="Y59" s="518" t="str">
        <f>IF(AND(_AC1="B-767-200",'2023'!$E$4="FO",'2023'!$E$2=Y43),'2023DATA'!$J$18,"")</f>
        <v/>
      </c>
      <c r="Z59" s="518" t="str">
        <f>IF(AND(_AC1="B-767-200",'2023'!$E$4="FO",'2023'!$E$2=Z43),'2023DATA'!$K$18,"")</f>
        <v/>
      </c>
      <c r="AA59" s="518" t="str">
        <f>IF(AND(_AC1="B-767-200",'2023'!$E$4="FO",'2023'!$E$2=AA43),'2023DATA'!$L$18,"")</f>
        <v/>
      </c>
      <c r="AB59" s="518" t="str">
        <f>IF(AND(_AC1="B-767-200",'2023'!$E$4="FO",'2023'!$E$2=AB43),'2023DATA'!$M$18,"")</f>
        <v/>
      </c>
      <c r="AC59" s="520" t="str">
        <f>IF(AND(_AC1="B-767-200",'2023'!$E$4="FO",'2023'!$E$2=AC43),'2023DATA'!$N$18,"")</f>
        <v/>
      </c>
      <c r="AD59" s="940"/>
      <c r="AE59" s="13" t="s">
        <v>62</v>
      </c>
      <c r="AF59" s="518" t="str">
        <f>IF(AND(_AC2="B-767-200",'2023'!$E$4="FO",'2023'!$E$2=AF43),'2023DATA'!$C$18,"")</f>
        <v/>
      </c>
      <c r="AG59" s="518" t="str">
        <f>IF(AND(_AC2="B-767-200",'2023'!$E$4="FO",'2023'!$E$2=AG43),'2023DATA'!$D$18,"")</f>
        <v/>
      </c>
      <c r="AH59" s="518" t="str">
        <f>IF(AND(_AC2="B-767-200",'2023'!$E$4="FO",'2023'!$E$2=AH43),'2023DATA'!$E$18,"")</f>
        <v/>
      </c>
      <c r="AI59" s="518" t="str">
        <f>IF(AND(_AC2="B-767-200",'2023'!$E$4="FO",'2023'!$E$2=AI43),'2023DATA'!$F$18,"")</f>
        <v/>
      </c>
      <c r="AJ59" s="518" t="str">
        <f>IF(AND(_AC2="B-767-200",'2023'!$E$4="FO",'2023'!$E$2=AJ43),'2023DATA'!$G$18,"")</f>
        <v/>
      </c>
      <c r="AK59" s="518" t="str">
        <f>IF(AND(_AC2="B-767-200",'2023'!$E$4="FO",'2023'!$E$2=AK43),'2023DATA'!$H$18,"")</f>
        <v/>
      </c>
      <c r="AL59" s="518" t="str">
        <f>IF(AND(_AC2="B-767-200",'2023'!$E$4="FO",'2023'!$E$2=AL43),'2023DATA'!$I$18,"")</f>
        <v/>
      </c>
      <c r="AM59" s="518" t="str">
        <f>IF(AND(_AC2="B-767-200",'2023'!$E$4="FO",'2023'!$E$2=AM43),'2023DATA'!$J$18,"")</f>
        <v/>
      </c>
      <c r="AN59" s="518" t="str">
        <f>IF(AND(_AC2="B-767-200",'2023'!$E$4="FO",'2023'!$E$2=AN43),'2023DATA'!$K$18,"")</f>
        <v/>
      </c>
      <c r="AO59" s="518" t="str">
        <f>IF(AND(_AC2="B-767-200",'2023'!$E$4="FO",'2023'!$E$2=AO43),'2023DATA'!$L$18,"")</f>
        <v/>
      </c>
      <c r="AP59" s="518" t="str">
        <f>IF(AND(_AC2="B-767-200",'2023'!$E$4="FO",'2023'!$E$2=AP43),'2023DATA'!$M$18,"")</f>
        <v/>
      </c>
      <c r="AQ59" s="520" t="str">
        <f>IF(AND(_AC2="B-767-200",'2023'!$E$4="FO",'2023'!$E$2=AQ43),'2023DATA'!$N$18,"")</f>
        <v/>
      </c>
      <c r="AR59" s="940"/>
      <c r="AS59" s="13" t="s">
        <v>62</v>
      </c>
      <c r="AT59" s="518" t="str">
        <f>IF(AND(_AC3="B-767-200",'2023'!$E$4="FO",'2023'!$E$2=AT43),'2023DATA'!$C$18,"")</f>
        <v/>
      </c>
      <c r="AU59" s="518" t="str">
        <f>IF(AND(_AC3="B-767-200",'2023'!$E$4="FO",'2023'!$E$2=AU43),'2023DATA'!$D$18,"")</f>
        <v/>
      </c>
      <c r="AV59" s="518" t="str">
        <f>IF(AND(_AC3="B-767-200",'2023'!$E$4="FO",'2023'!$E$2=AV43),'2023DATA'!$E$18,"")</f>
        <v/>
      </c>
      <c r="AW59" s="518" t="str">
        <f>IF(AND(_AC3="B-767-200",'2023'!$E$4="FO",'2023'!$E$2=AW43),'2023DATA'!$F$18,"")</f>
        <v/>
      </c>
      <c r="AX59" s="518" t="str">
        <f>IF(AND(_AC3="B-767-200",'2023'!$E$4="FO",'2023'!$E$2=AX43),'2023DATA'!$G$18,"")</f>
        <v/>
      </c>
      <c r="AY59" s="518" t="str">
        <f>IF(AND(_AC3="B-767-200",'2023'!$E$4="FO",'2023'!$E$2=AY43),'2023DATA'!$H$18,"")</f>
        <v/>
      </c>
      <c r="AZ59" s="518" t="str">
        <f>IF(AND(_AC3="B-767-200",'2023'!$E$4="FO",'2023'!$E$2=AZ43),'2023DATA'!$I$18,"")</f>
        <v/>
      </c>
      <c r="BA59" s="518" t="str">
        <f>IF(AND(_AC3="B-767-200",'2023'!$E$4="FO",'2023'!$E$2=BA43),'2023DATA'!$J$18,"")</f>
        <v/>
      </c>
      <c r="BB59" s="518" t="str">
        <f>IF(AND(_AC3="B-767-200",'2023'!$E$4="FO",'2023'!$E$2=BB43),'2023DATA'!$K$18,"")</f>
        <v/>
      </c>
      <c r="BC59" s="518" t="str">
        <f>IF(AND(_AC3="B-767-200",'2023'!$E$4="FO",'2023'!$E$2=BC43),'2023DATA'!$L$18,"")</f>
        <v/>
      </c>
      <c r="BD59" s="518" t="str">
        <f>IF(AND(_AC3="B-767-200",'2023'!$E$4="FO",'2023'!$E$2=BD43),'2023DATA'!$M$18,"")</f>
        <v/>
      </c>
      <c r="BE59" s="520" t="str">
        <f>IF(AND(_AC3="B-767-200",'2023'!$E$4="FO",'2023'!$E$2=BE43),'2023DATA'!$N$18,"")</f>
        <v/>
      </c>
      <c r="BF59" s="940"/>
      <c r="BG59" s="13" t="s">
        <v>62</v>
      </c>
      <c r="BH59" s="518" t="str">
        <f>IF(AND(_AC4="B-767-200",'2023'!$E$4="FO",'2023'!$E$2=BH43),'2023DATA'!$C$18,"")</f>
        <v/>
      </c>
      <c r="BI59" s="518" t="str">
        <f>IF(AND(_AC4="B-767-200",'2023'!$E$4="FO",'2023'!$E$2=BI43),'2023DATA'!$D$18,"")</f>
        <v/>
      </c>
      <c r="BJ59" s="518" t="str">
        <f>IF(AND(_AC4="B-767-200",'2023'!$E$4="FO",'2023'!$E$2=BJ43),'2023DATA'!$E$18,"")</f>
        <v/>
      </c>
      <c r="BK59" s="518" t="str">
        <f>IF(AND(_AC4="B-767-200",'2023'!$E$4="FO",'2023'!$E$2=BK43),'2023DATA'!$F$18,"")</f>
        <v/>
      </c>
      <c r="BL59" s="518" t="str">
        <f>IF(AND(_AC4="B-767-200",'2023'!$E$4="FO",'2023'!$E$2=BL43),'2023DATA'!$G$18,"")</f>
        <v/>
      </c>
      <c r="BM59" s="518" t="str">
        <f>IF(AND(_AC4="B-767-200",'2023'!$E$4="FO",'2023'!$E$2=BM43),'2023DATA'!$H$18,"")</f>
        <v/>
      </c>
      <c r="BN59" s="518" t="str">
        <f>IF(AND(_AC4="B-767-200",'2023'!$E$4="FO",'2023'!$E$2=BN43),'2023DATA'!$I$18,"")</f>
        <v/>
      </c>
      <c r="BO59" s="518" t="str">
        <f>IF(AND(_AC4="B-767-200",'2023'!$E$4="FO",'2023'!$E$2=BO43),'2023DATA'!$J$18,"")</f>
        <v/>
      </c>
      <c r="BP59" s="518" t="str">
        <f>IF(AND(_AC4="B-767-200",'2023'!$E$4="FO",'2023'!$E$2=BP43),'2023DATA'!$K$18,"")</f>
        <v/>
      </c>
      <c r="BQ59" s="518" t="str">
        <f>IF(AND(_AC4="B-767-200",'2023'!$E$4="FO",'2023'!$E$2=BQ43),'2023DATA'!$L$18,"")</f>
        <v/>
      </c>
      <c r="BR59" s="518" t="str">
        <f>IF(AND(_AC4="B-767-200",'2023'!$E$4="FO",'2023'!$E$2=BR43),'2023DATA'!$M$18,"")</f>
        <v/>
      </c>
      <c r="BS59" s="520" t="str">
        <f>IF(AND(_AC4="B-767-200",'2023'!$E$4="FO",'2023'!$E$2=BS43),'2023DATA'!$N$18,"")</f>
        <v/>
      </c>
      <c r="BT59" s="940"/>
      <c r="BU59" s="13" t="s">
        <v>62</v>
      </c>
      <c r="BV59" s="518" t="str">
        <f>IF(AND(_AC5="B-767-200",'2023'!$E$4="FO",'2023'!$E$2=BV43),'2023DATA'!$C$18,"")</f>
        <v/>
      </c>
      <c r="BW59" s="518" t="str">
        <f>IF(AND(_AC5="B-767-200",'2023'!$E$4="FO",'2023'!$E$2=BW43),'2023DATA'!$D$18,"")</f>
        <v/>
      </c>
      <c r="BX59" s="518" t="str">
        <f>IF(AND(_AC5="B-767-200",'2023'!$E$4="FO",'2023'!$E$2=BX43),'2023DATA'!$E$18,"")</f>
        <v/>
      </c>
      <c r="BY59" s="518" t="str">
        <f>IF(AND(_AC5="B-767-200",'2023'!$E$4="FO",'2023'!$E$2=BY43),'2023DATA'!$F$18,"")</f>
        <v/>
      </c>
      <c r="BZ59" s="518" t="str">
        <f>IF(AND(_AC5="B-767-200",'2023'!$E$4="FO",'2023'!$E$2=BZ43),'2023DATA'!$G$18,"")</f>
        <v/>
      </c>
      <c r="CA59" s="518" t="str">
        <f>IF(AND(_AC5="B-767-200",'2023'!$E$4="FO",'2023'!$E$2=CA43),'2023DATA'!$H$18,"")</f>
        <v/>
      </c>
      <c r="CB59" s="518" t="str">
        <f>IF(AND(_AC5="B-767-200",'2023'!$E$4="FO",'2023'!$E$2=CB43),'2023DATA'!$I$18,"")</f>
        <v/>
      </c>
      <c r="CC59" s="518" t="str">
        <f>IF(AND(_AC5="B-767-200",'2023'!$E$4="FO",'2023'!$E$2=CC43),'2023DATA'!$J$18,"")</f>
        <v/>
      </c>
      <c r="CD59" s="518" t="str">
        <f>IF(AND(_AC5="B-767-200",'2023'!$E$4="FO",'2023'!$E$2=CD43),'2023DATA'!$K$18,"")</f>
        <v/>
      </c>
      <c r="CE59" s="518" t="str">
        <f>IF(AND(_AC5="B-767-200",'2023'!$E$4="FO",'2023'!$E$2=CE43),'2023DATA'!$L$18,"")</f>
        <v/>
      </c>
      <c r="CF59" s="518" t="str">
        <f>IF(AND(_AC5="B-767-200",'2023'!$E$4="FO",'2023'!$E$2=CF43),'2023DATA'!$M$18,"")</f>
        <v/>
      </c>
      <c r="CG59" s="520" t="str">
        <f>IF(AND(_AC5="B-767-200",'2023'!$E$4="FO",'2023'!$E$2=CG43),'2023DATA'!$N$18,"")</f>
        <v/>
      </c>
      <c r="CH59" s="940"/>
      <c r="CI59" s="13" t="s">
        <v>62</v>
      </c>
      <c r="CJ59" s="518" t="str">
        <f>IF(AND(_AC6="B-767-200",'2023'!$E$4="FO",'2023'!$E$2=CJ43),'2023DATA'!$C$18,"")</f>
        <v/>
      </c>
      <c r="CK59" s="518" t="str">
        <f>IF(AND(_AC6="B-767-200",'2023'!$E$4="FO",'2023'!$E$2=CK43),'2023DATA'!$D$18,"")</f>
        <v/>
      </c>
      <c r="CL59" s="518" t="str">
        <f>IF(AND(_AC6="B-767-200",'2023'!$E$4="FO",'2023'!$E$2=CL43),'2023DATA'!$E$18,"")</f>
        <v/>
      </c>
      <c r="CM59" s="518" t="str">
        <f>IF(AND(_AC6="B-767-200",'2023'!$E$4="FO",'2023'!$E$2=CM43),'2023DATA'!$F$18,"")</f>
        <v/>
      </c>
      <c r="CN59" s="518" t="str">
        <f>IF(AND(_AC6="B-767-200",'2023'!$E$4="FO",'2023'!$E$2=CN43),'2023DATA'!$G$18,"")</f>
        <v/>
      </c>
      <c r="CO59" s="518" t="str">
        <f>IF(AND(_AC6="B-767-200",'2023'!$E$4="FO",'2023'!$E$2=CO43),'2023DATA'!$H$18,"")</f>
        <v/>
      </c>
      <c r="CP59" s="518" t="str">
        <f>IF(AND(_AC6="B-767-200",'2023'!$E$4="FO",'2023'!$E$2=CP43),'2023DATA'!$I$18,"")</f>
        <v/>
      </c>
      <c r="CQ59" s="518" t="str">
        <f>IF(AND(_AC6="B-767-200",'2023'!$E$4="FO",'2023'!$E$2=CQ43),'2023DATA'!$J$18,"")</f>
        <v/>
      </c>
      <c r="CR59" s="518" t="str">
        <f>IF(AND(_AC6="B-767-200",'2023'!$E$4="FO",'2023'!$E$2=CR43),'2023DATA'!$K$18,"")</f>
        <v/>
      </c>
      <c r="CS59" s="518" t="str">
        <f>IF(AND(_AC6="B-767-200",'2023'!$E$4="FO",'2023'!$E$2=CS43),'2023DATA'!$L$18,"")</f>
        <v/>
      </c>
      <c r="CT59" s="518" t="str">
        <f>IF(AND(_AC6="B-767-200",'2023'!$E$4="FO",'2023'!$E$2=CT43),'2023DATA'!$M$18,"")</f>
        <v/>
      </c>
      <c r="CU59" s="520" t="str">
        <f>IF(AND(_AC6="B-767-200",'2023'!$E$4="FO",'2023'!$E$2=CU43),'2023DATA'!$N$18,"")</f>
        <v/>
      </c>
    </row>
    <row r="60" spans="16:99" x14ac:dyDescent="0.25">
      <c r="P60" s="940" t="s">
        <v>45</v>
      </c>
      <c r="Q60" s="13" t="s">
        <v>61</v>
      </c>
      <c r="R60" s="518" t="str">
        <f>IF(AND(_AC1="B-757",'2023'!$E$4="CA",'2023'!$E$2=R43),'2023DATA'!$C$19,"")</f>
        <v/>
      </c>
      <c r="S60" s="518" t="str">
        <f>IF(AND(_AC1="B-757",'2023'!$E$4="CA",'2023'!$E$2=S43),'2023DATA'!$D$19,"")</f>
        <v/>
      </c>
      <c r="T60" s="518" t="str">
        <f>IF(AND(_AC1="B-757",'2023'!$E$4="CA",'2023'!$E$2=T43),'2023DATA'!$E$19,"")</f>
        <v/>
      </c>
      <c r="U60" s="518" t="str">
        <f>IF(AND(_AC1="B-757",'2023'!$E$4="CA",'2023'!$E$2=U43),'2023DATA'!$F$19,"")</f>
        <v/>
      </c>
      <c r="V60" s="518" t="str">
        <f>IF(AND(_AC1="B-757",'2023'!$E$4="CA",'2023'!$E$2=V43),'2023DATA'!$G$19,"")</f>
        <v/>
      </c>
      <c r="W60" s="518" t="str">
        <f>IF(AND(_AC1="B-757",'2023'!$E$4="CA",'2023'!$E$2=W43),'2023DATA'!$H$19,"")</f>
        <v/>
      </c>
      <c r="X60" s="518" t="str">
        <f>IF(AND(_AC1="B-757",'2023'!$E$4="CA",'2023'!$E$2=X43),'2023DATA'!$I$19,"")</f>
        <v/>
      </c>
      <c r="Y60" s="518" t="str">
        <f>IF(AND(_AC1="B-757",'2023'!$E$4="CA",'2023'!$E$2=Y43),'2023DATA'!$J$19,"")</f>
        <v/>
      </c>
      <c r="Z60" s="518" t="str">
        <f>IF(AND(_AC1="B-757",'2023'!$E$4="CA",'2023'!$E$2=Z43),'2023DATA'!$K$19,"")</f>
        <v/>
      </c>
      <c r="AA60" s="518" t="str">
        <f>IF(AND(_AC1="B-757",'2023'!$E$4="CA",'2023'!$E$2=AA43),'2023DATA'!$L$19,"")</f>
        <v/>
      </c>
      <c r="AB60" s="518" t="str">
        <f>IF(AND(_AC1="B-757",'2023'!$E$4="CA",'2023'!$E$2=AB43),'2023DATA'!$M$19,"")</f>
        <v/>
      </c>
      <c r="AC60" s="520" t="str">
        <f>IF(AND(_AC1="B-757",'2023'!$E$4="CA",'2023'!$E$2=AC43),'2023DATA'!$N$19,"")</f>
        <v/>
      </c>
      <c r="AD60" s="940" t="s">
        <v>45</v>
      </c>
      <c r="AE60" s="13" t="s">
        <v>61</v>
      </c>
      <c r="AF60" s="518" t="str">
        <f>IF(AND(_AC2="B-757",'2023'!$E$4="CA",'2023'!$E$2=AF43),'2023DATA'!$C$19,"")</f>
        <v/>
      </c>
      <c r="AG60" s="518" t="str">
        <f>IF(AND(_AC2="B-757",'2023'!$E$4="CA",'2023'!$E$2=AG43),'2023DATA'!$D$19,"")</f>
        <v/>
      </c>
      <c r="AH60" s="518" t="str">
        <f>IF(AND(_AC2="B-757",'2023'!$E$4="CA",'2023'!$E$2=AH43),'2023DATA'!$E$19,"")</f>
        <v/>
      </c>
      <c r="AI60" s="518" t="str">
        <f>IF(AND(_AC2="B-757",'2023'!$E$4="CA",'2023'!$E$2=AI43),'2023DATA'!$F$19,"")</f>
        <v/>
      </c>
      <c r="AJ60" s="518" t="str">
        <f>IF(AND(_AC2="B-757",'2023'!$E$4="CA",'2023'!$E$2=AJ43),'2023DATA'!$G$19,"")</f>
        <v/>
      </c>
      <c r="AK60" s="518" t="str">
        <f>IF(AND(_AC2="B-757",'2023'!$E$4="CA",'2023'!$E$2=AK43),'2023DATA'!$H$19,"")</f>
        <v/>
      </c>
      <c r="AL60" s="518" t="str">
        <f>IF(AND(_AC2="B-757",'2023'!$E$4="CA",'2023'!$E$2=AL43),'2023DATA'!$I$19,"")</f>
        <v/>
      </c>
      <c r="AM60" s="518" t="str">
        <f>IF(AND(_AC2="B-757",'2023'!$E$4="CA",'2023'!$E$2=AM43),'2023DATA'!$J$19,"")</f>
        <v/>
      </c>
      <c r="AN60" s="518" t="str">
        <f>IF(AND(_AC2="B-757",'2023'!$E$4="CA",'2023'!$E$2=AN43),'2023DATA'!$K$19,"")</f>
        <v/>
      </c>
      <c r="AO60" s="518" t="str">
        <f>IF(AND(_AC2="B-757",'2023'!$E$4="CA",'2023'!$E$2=AO43),'2023DATA'!$L$19,"")</f>
        <v/>
      </c>
      <c r="AP60" s="518" t="str">
        <f>IF(AND(_AC2="B-757",'2023'!$E$4="CA",'2023'!$E$2=AP43),'2023DATA'!$M$19,"")</f>
        <v/>
      </c>
      <c r="AQ60" s="520" t="str">
        <f>IF(AND(_AC2="B-757",'2023'!$E$4="CA",'2023'!$E$2=AQ43),'2023DATA'!$N$19,"")</f>
        <v/>
      </c>
      <c r="AR60" s="940" t="s">
        <v>45</v>
      </c>
      <c r="AS60" s="13" t="s">
        <v>61</v>
      </c>
      <c r="AT60" s="518" t="str">
        <f>IF(AND(_AC3="B-757",'2023'!$E$4="CA",'2023'!$E$2=AT43),'2023DATA'!$C$19,"")</f>
        <v/>
      </c>
      <c r="AU60" s="518" t="str">
        <f>IF(AND(_AC3="B-757",'2023'!$E$4="CA",'2023'!$E$2=AU43),'2023DATA'!$D$19,"")</f>
        <v/>
      </c>
      <c r="AV60" s="518" t="str">
        <f>IF(AND(_AC3="B-757",'2023'!$E$4="CA",'2023'!$E$2=AV43),'2023DATA'!$E$19,"")</f>
        <v/>
      </c>
      <c r="AW60" s="518" t="str">
        <f>IF(AND(_AC3="B-757",'2023'!$E$4="CA",'2023'!$E$2=AW43),'2023DATA'!$F$19,"")</f>
        <v/>
      </c>
      <c r="AX60" s="518" t="str">
        <f>IF(AND(_AC3="B-757",'2023'!$E$4="CA",'2023'!$E$2=AX43),'2023DATA'!$G$19,"")</f>
        <v/>
      </c>
      <c r="AY60" s="518" t="str">
        <f>IF(AND(_AC3="B-757",'2023'!$E$4="CA",'2023'!$E$2=AY43),'2023DATA'!$H$19,"")</f>
        <v/>
      </c>
      <c r="AZ60" s="518" t="str">
        <f>IF(AND(_AC3="B-757",'2023'!$E$4="CA",'2023'!$E$2=AZ43),'2023DATA'!$I$19,"")</f>
        <v/>
      </c>
      <c r="BA60" s="518" t="str">
        <f>IF(AND(_AC3="B-757",'2023'!$E$4="CA",'2023'!$E$2=BA43),'2023DATA'!$J$19,"")</f>
        <v/>
      </c>
      <c r="BB60" s="518" t="str">
        <f>IF(AND(_AC3="B-757",'2023'!$E$4="CA",'2023'!$E$2=BB43),'2023DATA'!$K$19,"")</f>
        <v/>
      </c>
      <c r="BC60" s="518" t="str">
        <f>IF(AND(_AC3="B-757",'2023'!$E$4="CA",'2023'!$E$2=BC43),'2023DATA'!$L$19,"")</f>
        <v/>
      </c>
      <c r="BD60" s="518" t="str">
        <f>IF(AND(_AC3="B-757",'2023'!$E$4="CA",'2023'!$E$2=BD43),'2023DATA'!$M$19,"")</f>
        <v/>
      </c>
      <c r="BE60" s="520" t="str">
        <f>IF(AND(_AC3="B-757",'2023'!$E$4="CA",'2023'!$E$2=BE43),'2023DATA'!$N$19,"")</f>
        <v/>
      </c>
      <c r="BF60" s="940" t="s">
        <v>45</v>
      </c>
      <c r="BG60" s="13" t="s">
        <v>61</v>
      </c>
      <c r="BH60" s="518" t="str">
        <f>IF(AND(_AC4="B-757",'2023'!$E$4="CA",'2023'!$E$2=BH43),'2023DATA'!$C$19,"")</f>
        <v/>
      </c>
      <c r="BI60" s="518" t="str">
        <f>IF(AND(_AC4="B-757",'2023'!$E$4="CA",'2023'!$E$2=BI43),'2023DATA'!$D$19,"")</f>
        <v/>
      </c>
      <c r="BJ60" s="518" t="str">
        <f>IF(AND(_AC4="B-757",'2023'!$E$4="CA",'2023'!$E$2=BJ43),'2023DATA'!$E$19,"")</f>
        <v/>
      </c>
      <c r="BK60" s="518" t="str">
        <f>IF(AND(_AC4="B-757",'2023'!$E$4="CA",'2023'!$E$2=BK43),'2023DATA'!$F$19,"")</f>
        <v/>
      </c>
      <c r="BL60" s="518" t="str">
        <f>IF(AND(_AC4="B-757",'2023'!$E$4="CA",'2023'!$E$2=BL43),'2023DATA'!$G$19,"")</f>
        <v/>
      </c>
      <c r="BM60" s="518" t="str">
        <f>IF(AND(_AC4="B-757",'2023'!$E$4="CA",'2023'!$E$2=BM43),'2023DATA'!$H$19,"")</f>
        <v/>
      </c>
      <c r="BN60" s="518" t="str">
        <f>IF(AND(_AC4="B-757",'2023'!$E$4="CA",'2023'!$E$2=BN43),'2023DATA'!$I$19,"")</f>
        <v/>
      </c>
      <c r="BO60" s="518" t="str">
        <f>IF(AND(_AC4="B-757",'2023'!$E$4="CA",'2023'!$E$2=BO43),'2023DATA'!$J$19,"")</f>
        <v/>
      </c>
      <c r="BP60" s="518" t="str">
        <f>IF(AND(_AC4="B-757",'2023'!$E$4="CA",'2023'!$E$2=BP43),'2023DATA'!$K$19,"")</f>
        <v/>
      </c>
      <c r="BQ60" s="518" t="str">
        <f>IF(AND(_AC4="B-757",'2023'!$E$4="CA",'2023'!$E$2=BQ43),'2023DATA'!$L$19,"")</f>
        <v/>
      </c>
      <c r="BR60" s="518" t="str">
        <f>IF(AND(_AC4="B-757",'2023'!$E$4="CA",'2023'!$E$2=BR43),'2023DATA'!$M$19,"")</f>
        <v/>
      </c>
      <c r="BS60" s="520" t="str">
        <f>IF(AND(_AC4="B-757",'2023'!$E$4="CA",'2023'!$E$2=BS43),'2023DATA'!$N$19,"")</f>
        <v/>
      </c>
      <c r="BT60" s="940" t="s">
        <v>45</v>
      </c>
      <c r="BU60" s="13" t="s">
        <v>61</v>
      </c>
      <c r="BV60" s="518" t="str">
        <f>IF(AND(_AC5="B-757",'2023'!$E$4="CA",'2023'!$E$2=BV43),'2023DATA'!$C$19,"")</f>
        <v/>
      </c>
      <c r="BW60" s="518" t="str">
        <f>IF(AND(_AC5="B-757",'2023'!$E$4="CA",'2023'!$E$2=BW43),'2023DATA'!$D$19,"")</f>
        <v/>
      </c>
      <c r="BX60" s="518" t="str">
        <f>IF(AND(_AC5="B-757",'2023'!$E$4="CA",'2023'!$E$2=BX43),'2023DATA'!$E$19,"")</f>
        <v/>
      </c>
      <c r="BY60" s="518" t="str">
        <f>IF(AND(_AC5="B-757",'2023'!$E$4="CA",'2023'!$E$2=BY43),'2023DATA'!$F$19,"")</f>
        <v/>
      </c>
      <c r="BZ60" s="518" t="str">
        <f>IF(AND(_AC5="B-757",'2023'!$E$4="CA",'2023'!$E$2=BZ43),'2023DATA'!$G$19,"")</f>
        <v/>
      </c>
      <c r="CA60" s="518" t="str">
        <f>IF(AND(_AC5="B-757",'2023'!$E$4="CA",'2023'!$E$2=CA43),'2023DATA'!$H$19,"")</f>
        <v/>
      </c>
      <c r="CB60" s="518" t="str">
        <f>IF(AND(_AC5="B-757",'2023'!$E$4="CA",'2023'!$E$2=CB43),'2023DATA'!$I$19,"")</f>
        <v/>
      </c>
      <c r="CC60" s="518" t="str">
        <f>IF(AND(_AC5="B-757",'2023'!$E$4="CA",'2023'!$E$2=CC43),'2023DATA'!$J$19,"")</f>
        <v/>
      </c>
      <c r="CD60" s="518" t="str">
        <f>IF(AND(_AC5="B-757",'2023'!$E$4="CA",'2023'!$E$2=CD43),'2023DATA'!$K$19,"")</f>
        <v/>
      </c>
      <c r="CE60" s="518" t="str">
        <f>IF(AND(_AC5="B-757",'2023'!$E$4="CA",'2023'!$E$2=CE43),'2023DATA'!$L$19,"")</f>
        <v/>
      </c>
      <c r="CF60" s="518" t="str">
        <f>IF(AND(_AC5="B-757",'2023'!$E$4="CA",'2023'!$E$2=CF43),'2023DATA'!$M$19,"")</f>
        <v/>
      </c>
      <c r="CG60" s="520" t="str">
        <f>IF(AND(_AC5="B-757",'2023'!$E$4="CA",'2023'!$E$2=CG43),'2023DATA'!$N$19,"")</f>
        <v/>
      </c>
      <c r="CH60" s="940" t="s">
        <v>45</v>
      </c>
      <c r="CI60" s="13" t="s">
        <v>61</v>
      </c>
      <c r="CJ60" s="518" t="str">
        <f>IF(AND(_AC6="B-757",'2023'!$E$4="CA",'2023'!$E$2=CJ43),'2023DATA'!$C$19,"")</f>
        <v/>
      </c>
      <c r="CK60" s="518" t="str">
        <f>IF(AND(_AC6="B-757",'2023'!$E$4="CA",'2023'!$E$2=CK43),'2023DATA'!$D$19,"")</f>
        <v/>
      </c>
      <c r="CL60" s="518" t="str">
        <f>IF(AND(_AC6="B-757",'2023'!$E$4="CA",'2023'!$E$2=CL43),'2023DATA'!$E$19,"")</f>
        <v/>
      </c>
      <c r="CM60" s="518" t="str">
        <f>IF(AND(_AC6="B-757",'2023'!$E$4="CA",'2023'!$E$2=CM43),'2023DATA'!$F$19,"")</f>
        <v/>
      </c>
      <c r="CN60" s="518" t="str">
        <f>IF(AND(_AC6="B-757",'2023'!$E$4="CA",'2023'!$E$2=CN43),'2023DATA'!$G$19,"")</f>
        <v/>
      </c>
      <c r="CO60" s="518" t="str">
        <f>IF(AND(_AC6="B-757",'2023'!$E$4="CA",'2023'!$E$2=CO43),'2023DATA'!$H$19,"")</f>
        <v/>
      </c>
      <c r="CP60" s="518" t="str">
        <f>IF(AND(_AC6="B-757",'2023'!$E$4="CA",'2023'!$E$2=CP43),'2023DATA'!$I$19,"")</f>
        <v/>
      </c>
      <c r="CQ60" s="518" t="str">
        <f>IF(AND(_AC6="B-757",'2023'!$E$4="CA",'2023'!$E$2=CQ43),'2023DATA'!$J$19,"")</f>
        <v/>
      </c>
      <c r="CR60" s="518" t="str">
        <f>IF(AND(_AC6="B-757",'2023'!$E$4="CA",'2023'!$E$2=CR43),'2023DATA'!$K$19,"")</f>
        <v/>
      </c>
      <c r="CS60" s="518" t="str">
        <f>IF(AND(_AC6="B-757",'2023'!$E$4="CA",'2023'!$E$2=CS43),'2023DATA'!$L$19,"")</f>
        <v/>
      </c>
      <c r="CT60" s="518" t="str">
        <f>IF(AND(_AC6="B-757",'2023'!$E$4="CA",'2023'!$E$2=CT43),'2023DATA'!$M$19,"")</f>
        <v/>
      </c>
      <c r="CU60" s="520" t="str">
        <f>IF(AND(_AC6="B-757",'2023'!$E$4="CA",'2023'!$E$2=CU43),'2023DATA'!$N$19,"")</f>
        <v/>
      </c>
    </row>
    <row r="61" spans="16:99" x14ac:dyDescent="0.25">
      <c r="P61" s="940"/>
      <c r="Q61" s="13" t="s">
        <v>62</v>
      </c>
      <c r="R61" s="518" t="str">
        <f>IF(AND(_AC1="B-757",'2023'!$E$4="FO",'2023'!$E$2=R43),'2023DATA'!$C$20,"")</f>
        <v/>
      </c>
      <c r="S61" s="518" t="str">
        <f>IF(AND(_AC1="B-757",'2023'!$E$4="FO",'2023'!$E$2=S43),'2023DATA'!$D$20,"")</f>
        <v/>
      </c>
      <c r="T61" s="518" t="str">
        <f>IF(AND(_AC1="B-757",'2023'!$E$4="FO",'2023'!$E$2=T43),'2023DATA'!$E$20,"")</f>
        <v/>
      </c>
      <c r="U61" s="518" t="str">
        <f>IF(AND(_AC1="B-757",'2023'!$E$4="FO",'2023'!$E$2=U43),'2023DATA'!$F$20,"")</f>
        <v/>
      </c>
      <c r="V61" s="518" t="str">
        <f>IF(AND(_AC1="B-757",'2023'!$E$4="FO",'2023'!$E$2=V43),'2023DATA'!$G$20,"")</f>
        <v/>
      </c>
      <c r="W61" s="518" t="str">
        <f>IF(AND(_AC1="B-757",'2023'!$E$4="FO",'2023'!$E$2=W43),'2023DATA'!$H$20,"")</f>
        <v/>
      </c>
      <c r="X61" s="518" t="str">
        <f>IF(AND(_AC1="B-757",'2023'!$E$4="FO",'2023'!$E$2=X43),'2023DATA'!$I$20,"")</f>
        <v/>
      </c>
      <c r="Y61" s="518" t="str">
        <f>IF(AND(_AC1="B-757",'2023'!$E$4="FO",'2023'!$E$2=Y43),'2023DATA'!$J$20,"")</f>
        <v/>
      </c>
      <c r="Z61" s="518" t="str">
        <f>IF(AND(_AC1="B-757",'2023'!$E$4="FO",'2023'!$E$2=Z43),'2023DATA'!$K$20,"")</f>
        <v/>
      </c>
      <c r="AA61" s="518" t="str">
        <f>IF(AND(_AC1="B-757",'2023'!$E$4="FO",'2023'!$E$2=AA43),'2023DATA'!$L$20,"")</f>
        <v/>
      </c>
      <c r="AB61" s="518" t="str">
        <f>IF(AND(_AC1="B-757",'2023'!$E$4="FO",'2023'!$E$2=AB43),'2023DATA'!$M$20,"")</f>
        <v/>
      </c>
      <c r="AC61" s="520" t="str">
        <f>IF(AND(_AC1="B-757",'2023'!$E$4="FO",'2023'!$E$2=AC43),'2023DATA'!$N$20,"")</f>
        <v/>
      </c>
      <c r="AD61" s="940"/>
      <c r="AE61" s="13" t="s">
        <v>62</v>
      </c>
      <c r="AF61" s="518" t="str">
        <f>IF(AND(_AC2="B-757",'2023'!$E$4="FO",'2023'!$E$2=AF43),'2023DATA'!$C$20,"")</f>
        <v/>
      </c>
      <c r="AG61" s="518" t="str">
        <f>IF(AND(_AC2="B-757",'2023'!$E$4="FO",'2023'!$E$2=AG43),'2023DATA'!$D$20,"")</f>
        <v/>
      </c>
      <c r="AH61" s="518" t="str">
        <f>IF(AND(_AC2="B-757",'2023'!$E$4="FO",'2023'!$E$2=AH43),'2023DATA'!$E$20,"")</f>
        <v/>
      </c>
      <c r="AI61" s="518" t="str">
        <f>IF(AND(_AC2="B-757",'2023'!$E$4="FO",'2023'!$E$2=AI43),'2023DATA'!$F$20,"")</f>
        <v/>
      </c>
      <c r="AJ61" s="518" t="str">
        <f>IF(AND(_AC2="B-757",'2023'!$E$4="FO",'2023'!$E$2=AJ43),'2023DATA'!$G$20,"")</f>
        <v/>
      </c>
      <c r="AK61" s="518" t="str">
        <f>IF(AND(_AC2="B-757",'2023'!$E$4="FO",'2023'!$E$2=AK43),'2023DATA'!$H$20,"")</f>
        <v/>
      </c>
      <c r="AL61" s="518" t="str">
        <f>IF(AND(_AC2="B-757",'2023'!$E$4="FO",'2023'!$E$2=AL43),'2023DATA'!$I$20,"")</f>
        <v/>
      </c>
      <c r="AM61" s="518" t="str">
        <f>IF(AND(_AC2="B-757",'2023'!$E$4="FO",'2023'!$E$2=AM43),'2023DATA'!$J$20,"")</f>
        <v/>
      </c>
      <c r="AN61" s="518" t="str">
        <f>IF(AND(_AC2="B-757",'2023'!$E$4="FO",'2023'!$E$2=AN43),'2023DATA'!$K$20,"")</f>
        <v/>
      </c>
      <c r="AO61" s="518" t="str">
        <f>IF(AND(_AC2="B-757",'2023'!$E$4="FO",'2023'!$E$2=AO43),'2023DATA'!$L$20,"")</f>
        <v/>
      </c>
      <c r="AP61" s="518" t="str">
        <f>IF(AND(_AC2="B-757",'2023'!$E$4="FO",'2023'!$E$2=AP43),'2023DATA'!$M$20,"")</f>
        <v/>
      </c>
      <c r="AQ61" s="520" t="str">
        <f>IF(AND(_AC2="B-757",'2023'!$E$4="FO",'2023'!$E$2=AQ43),'2023DATA'!$N$20,"")</f>
        <v/>
      </c>
      <c r="AR61" s="940"/>
      <c r="AS61" s="13" t="s">
        <v>62</v>
      </c>
      <c r="AT61" s="518" t="str">
        <f>IF(AND(_AC3="B-757",'2023'!$E$4="FO",'2023'!$E$2=AT43),'2023DATA'!$C$20,"")</f>
        <v/>
      </c>
      <c r="AU61" s="518" t="str">
        <f>IF(AND(_AC3="B-757",'2023'!$E$4="FO",'2023'!$E$2=AU43),'2023DATA'!$D$20,"")</f>
        <v/>
      </c>
      <c r="AV61" s="518" t="str">
        <f>IF(AND(_AC3="B-757",'2023'!$E$4="FO",'2023'!$E$2=AV43),'2023DATA'!$E$20,"")</f>
        <v/>
      </c>
      <c r="AW61" s="518" t="str">
        <f>IF(AND(_AC3="B-757",'2023'!$E$4="FO",'2023'!$E$2=AW43),'2023DATA'!$F$20,"")</f>
        <v/>
      </c>
      <c r="AX61" s="518" t="str">
        <f>IF(AND(_AC3="B-757",'2023'!$E$4="FO",'2023'!$E$2=AX43),'2023DATA'!$G$20,"")</f>
        <v/>
      </c>
      <c r="AY61" s="518" t="str">
        <f>IF(AND(_AC3="B-757",'2023'!$E$4="FO",'2023'!$E$2=AY43),'2023DATA'!$H$20,"")</f>
        <v/>
      </c>
      <c r="AZ61" s="518" t="str">
        <f>IF(AND(_AC3="B-757",'2023'!$E$4="FO",'2023'!$E$2=AZ43),'2023DATA'!$I$20,"")</f>
        <v/>
      </c>
      <c r="BA61" s="518" t="str">
        <f>IF(AND(_AC3="B-757",'2023'!$E$4="FO",'2023'!$E$2=BA43),'2023DATA'!$J$20,"")</f>
        <v/>
      </c>
      <c r="BB61" s="518" t="str">
        <f>IF(AND(_AC3="B-757",'2023'!$E$4="FO",'2023'!$E$2=BB43),'2023DATA'!$K$20,"")</f>
        <v/>
      </c>
      <c r="BC61" s="518" t="str">
        <f>IF(AND(_AC3="B-757",'2023'!$E$4="FO",'2023'!$E$2=BC43),'2023DATA'!$L$20,"")</f>
        <v/>
      </c>
      <c r="BD61" s="518" t="str">
        <f>IF(AND(_AC3="B-757",'2023'!$E$4="FO",'2023'!$E$2=BD43),'2023DATA'!$M$20,"")</f>
        <v/>
      </c>
      <c r="BE61" s="520" t="str">
        <f>IF(AND(_AC3="B-757",'2023'!$E$4="FO",'2023'!$E$2=BE43),'2023DATA'!$N$20,"")</f>
        <v/>
      </c>
      <c r="BF61" s="940"/>
      <c r="BG61" s="13" t="s">
        <v>62</v>
      </c>
      <c r="BH61" s="518" t="str">
        <f>IF(AND(_AC4="B-757",'2023'!$E$4="FO",'2023'!$E$2=BH43),'2023DATA'!$C$20,"")</f>
        <v/>
      </c>
      <c r="BI61" s="518" t="str">
        <f>IF(AND(_AC4="B-757",'2023'!$E$4="FO",'2023'!$E$2=BI43),'2023DATA'!$D$20,"")</f>
        <v/>
      </c>
      <c r="BJ61" s="518" t="str">
        <f>IF(AND(_AC4="B-757",'2023'!$E$4="FO",'2023'!$E$2=BJ43),'2023DATA'!$E$20,"")</f>
        <v/>
      </c>
      <c r="BK61" s="518" t="str">
        <f>IF(AND(_AC4="B-757",'2023'!$E$4="FO",'2023'!$E$2=BK43),'2023DATA'!$F$20,"")</f>
        <v/>
      </c>
      <c r="BL61" s="518" t="str">
        <f>IF(AND(_AC4="B-757",'2023'!$E$4="FO",'2023'!$E$2=BL43),'2023DATA'!$G$20,"")</f>
        <v/>
      </c>
      <c r="BM61" s="518" t="str">
        <f>IF(AND(_AC4="B-757",'2023'!$E$4="FO",'2023'!$E$2=BM43),'2023DATA'!$H$20,"")</f>
        <v/>
      </c>
      <c r="BN61" s="518" t="str">
        <f>IF(AND(_AC4="B-757",'2023'!$E$4="FO",'2023'!$E$2=BN43),'2023DATA'!$I$20,"")</f>
        <v/>
      </c>
      <c r="BO61" s="518" t="str">
        <f>IF(AND(_AC4="B-757",'2023'!$E$4="FO",'2023'!$E$2=BO43),'2023DATA'!$J$20,"")</f>
        <v/>
      </c>
      <c r="BP61" s="518" t="str">
        <f>IF(AND(_AC4="B-757",'2023'!$E$4="FO",'2023'!$E$2=BP43),'2023DATA'!$K$20,"")</f>
        <v/>
      </c>
      <c r="BQ61" s="518" t="str">
        <f>IF(AND(_AC4="B-757",'2023'!$E$4="FO",'2023'!$E$2=BQ43),'2023DATA'!$L$20,"")</f>
        <v/>
      </c>
      <c r="BR61" s="518" t="str">
        <f>IF(AND(_AC4="B-757",'2023'!$E$4="FO",'2023'!$E$2=BR43),'2023DATA'!$M$20,"")</f>
        <v/>
      </c>
      <c r="BS61" s="520" t="str">
        <f>IF(AND(_AC4="B-757",'2023'!$E$4="FO",'2023'!$E$2=BS43),'2023DATA'!$N$20,"")</f>
        <v/>
      </c>
      <c r="BT61" s="940"/>
      <c r="BU61" s="13" t="s">
        <v>62</v>
      </c>
      <c r="BV61" s="518" t="str">
        <f>IF(AND(_AC5="B-757",'2023'!$E$4="FO",'2023'!$E$2=BV43),'2023DATA'!$C$20,"")</f>
        <v/>
      </c>
      <c r="BW61" s="518" t="str">
        <f>IF(AND(_AC5="B-757",'2023'!$E$4="FO",'2023'!$E$2=BW43),'2023DATA'!$D$20,"")</f>
        <v/>
      </c>
      <c r="BX61" s="518" t="str">
        <f>IF(AND(_AC5="B-757",'2023'!$E$4="FO",'2023'!$E$2=BX43),'2023DATA'!$E$20,"")</f>
        <v/>
      </c>
      <c r="BY61" s="518" t="str">
        <f>IF(AND(_AC5="B-757",'2023'!$E$4="FO",'2023'!$E$2=BY43),'2023DATA'!$F$20,"")</f>
        <v/>
      </c>
      <c r="BZ61" s="518" t="str">
        <f>IF(AND(_AC5="B-757",'2023'!$E$4="FO",'2023'!$E$2=BZ43),'2023DATA'!$G$20,"")</f>
        <v/>
      </c>
      <c r="CA61" s="518" t="str">
        <f>IF(AND(_AC5="B-757",'2023'!$E$4="FO",'2023'!$E$2=CA43),'2023DATA'!$H$20,"")</f>
        <v/>
      </c>
      <c r="CB61" s="518" t="str">
        <f>IF(AND(_AC5="B-757",'2023'!$E$4="FO",'2023'!$E$2=CB43),'2023DATA'!$I$20,"")</f>
        <v/>
      </c>
      <c r="CC61" s="518" t="str">
        <f>IF(AND(_AC5="B-757",'2023'!$E$4="FO",'2023'!$E$2=CC43),'2023DATA'!$J$20,"")</f>
        <v/>
      </c>
      <c r="CD61" s="518" t="str">
        <f>IF(AND(_AC5="B-757",'2023'!$E$4="FO",'2023'!$E$2=CD43),'2023DATA'!$K$20,"")</f>
        <v/>
      </c>
      <c r="CE61" s="518" t="str">
        <f>IF(AND(_AC5="B-757",'2023'!$E$4="FO",'2023'!$E$2=CE43),'2023DATA'!$L$20,"")</f>
        <v/>
      </c>
      <c r="CF61" s="518" t="str">
        <f>IF(AND(_AC5="B-757",'2023'!$E$4="FO",'2023'!$E$2=CF43),'2023DATA'!$M$20,"")</f>
        <v/>
      </c>
      <c r="CG61" s="520" t="str">
        <f>IF(AND(_AC5="B-757",'2023'!$E$4="FO",'2023'!$E$2=CG43),'2023DATA'!$N$20,"")</f>
        <v/>
      </c>
      <c r="CH61" s="940"/>
      <c r="CI61" s="13" t="s">
        <v>62</v>
      </c>
      <c r="CJ61" s="518" t="str">
        <f>IF(AND(_AC6="B-757",'2023'!$E$4="FO",'2023'!$E$2=CJ43),'2023DATA'!$C$20,"")</f>
        <v/>
      </c>
      <c r="CK61" s="518" t="str">
        <f>IF(AND(_AC6="B-757",'2023'!$E$4="FO",'2023'!$E$2=CK43),'2023DATA'!$D$20,"")</f>
        <v/>
      </c>
      <c r="CL61" s="518" t="str">
        <f>IF(AND(_AC6="B-757",'2023'!$E$4="FO",'2023'!$E$2=CL43),'2023DATA'!$E$20,"")</f>
        <v/>
      </c>
      <c r="CM61" s="518" t="str">
        <f>IF(AND(_AC6="B-757",'2023'!$E$4="FO",'2023'!$E$2=CM43),'2023DATA'!$F$20,"")</f>
        <v/>
      </c>
      <c r="CN61" s="518" t="str">
        <f>IF(AND(_AC6="B-757",'2023'!$E$4="FO",'2023'!$E$2=CN43),'2023DATA'!$G$20,"")</f>
        <v/>
      </c>
      <c r="CO61" s="518" t="str">
        <f>IF(AND(_AC6="B-757",'2023'!$E$4="FO",'2023'!$E$2=CO43),'2023DATA'!$H$20,"")</f>
        <v/>
      </c>
      <c r="CP61" s="518" t="str">
        <f>IF(AND(_AC6="B-757",'2023'!$E$4="FO",'2023'!$E$2=CP43),'2023DATA'!$I$20,"")</f>
        <v/>
      </c>
      <c r="CQ61" s="518" t="str">
        <f>IF(AND(_AC6="B-757",'2023'!$E$4="FO",'2023'!$E$2=CQ43),'2023DATA'!$J$20,"")</f>
        <v/>
      </c>
      <c r="CR61" s="518" t="str">
        <f>IF(AND(_AC6="B-757",'2023'!$E$4="FO",'2023'!$E$2=CR43),'2023DATA'!$K$20,"")</f>
        <v/>
      </c>
      <c r="CS61" s="518" t="str">
        <f>IF(AND(_AC6="B-757",'2023'!$E$4="FO",'2023'!$E$2=CS43),'2023DATA'!$L$20,"")</f>
        <v/>
      </c>
      <c r="CT61" s="518" t="str">
        <f>IF(AND(_AC6="B-757",'2023'!$E$4="FO",'2023'!$E$2=CT43),'2023DATA'!$M$20,"")</f>
        <v/>
      </c>
      <c r="CU61" s="520" t="str">
        <f>IF(AND(_AC6="B-757",'2023'!$E$4="FO",'2023'!$E$2=CU43),'2023DATA'!$N$20,"")</f>
        <v/>
      </c>
    </row>
    <row r="62" spans="16:99" x14ac:dyDescent="0.25">
      <c r="P62" s="940" t="s">
        <v>47</v>
      </c>
      <c r="Q62" s="13" t="s">
        <v>61</v>
      </c>
      <c r="R62" s="518" t="str">
        <f>IF(AND(_AC1="B-737-900",'2023'!$E$4="CA",'2023'!$E$2=R43),'2023DATA'!$C$21,"")</f>
        <v/>
      </c>
      <c r="S62" s="518" t="str">
        <f>IF(AND(_AC1="B-737-900",'2023'!$E$4="CA",'2023'!$E$2=S43),'2023DATA'!$D$21,"")</f>
        <v/>
      </c>
      <c r="T62" s="518" t="str">
        <f>IF(AND(_AC1="B-737-900",'2023'!$E$4="CA",'2023'!$E$2=T43),'2023DATA'!$E$21,"")</f>
        <v/>
      </c>
      <c r="U62" s="518" t="str">
        <f>IF(AND(_AC1="B-737-900",'2023'!$E$4="CA",'2023'!$E$2=U43),'2023DATA'!$F$21,"")</f>
        <v/>
      </c>
      <c r="V62" s="518" t="str">
        <f>IF(AND(_AC1="B-737-900",'2023'!$E$4="CA",'2023'!$E$2=V43),'2023DATA'!$G$21,"")</f>
        <v/>
      </c>
      <c r="W62" s="518" t="str">
        <f>IF(AND(_AC1="B-737-900",'2023'!$E$4="CA",'2023'!$E$2=W43),'2023DATA'!$H$21,"")</f>
        <v/>
      </c>
      <c r="X62" s="518" t="str">
        <f>IF(AND(_AC1="B-737-900",'2023'!$E$4="CA",'2023'!$E$2=X43),'2023DATA'!$I$21,"")</f>
        <v/>
      </c>
      <c r="Y62" s="518" t="str">
        <f>IF(AND(_AC1="B-737-900",'2023'!$E$4="CA",'2023'!$E$2=Y43),'2023DATA'!$J$21,"")</f>
        <v/>
      </c>
      <c r="Z62" s="518" t="str">
        <f>IF(AND(_AC1="B-737-900",'2023'!$E$4="CA",'2023'!$E$2=Z43),'2023DATA'!$K$21,"")</f>
        <v/>
      </c>
      <c r="AA62" s="518" t="str">
        <f>IF(AND(_AC1="B-737-900",'2023'!$E$4="CA",'2023'!$E$2=AA43),'2023DATA'!$L$21,"")</f>
        <v/>
      </c>
      <c r="AB62" s="518" t="str">
        <f>IF(AND(_AC1="B-737-900",'2023'!$E$4="CA",'2023'!$E$2=AB43),'2023DATA'!$M$21,"")</f>
        <v/>
      </c>
      <c r="AC62" s="520" t="str">
        <f>IF(AND(_AC1="B-737-900",'2023'!$E$4="CA",'2023'!$E$2=AC43),'2023DATA'!$N$21,"")</f>
        <v/>
      </c>
      <c r="AD62" s="940" t="s">
        <v>47</v>
      </c>
      <c r="AE62" s="13" t="s">
        <v>61</v>
      </c>
      <c r="AF62" s="518" t="str">
        <f>IF(AND(_AC2="B-737-900",'2023'!$E$4="CA",'2023'!$E$2=AF43),'2023DATA'!$C$21,"")</f>
        <v/>
      </c>
      <c r="AG62" s="518" t="str">
        <f>IF(AND(_AC2="B-737-900",'2023'!$E$4="CA",'2023'!$E$2=AG43),'2023DATA'!$D$21,"")</f>
        <v/>
      </c>
      <c r="AH62" s="518" t="str">
        <f>IF(AND(_AC2="B-737-900",'2023'!$E$4="CA",'2023'!$E$2=AH43),'2023DATA'!$E$21,"")</f>
        <v/>
      </c>
      <c r="AI62" s="518" t="str">
        <f>IF(AND(_AC2="B-737-900",'2023'!$E$4="CA",'2023'!$E$2=AI43),'2023DATA'!$F$21,"")</f>
        <v/>
      </c>
      <c r="AJ62" s="518" t="str">
        <f>IF(AND(_AC2="B-737-900",'2023'!$E$4="CA",'2023'!$E$2=AJ43),'2023DATA'!$G$21,"")</f>
        <v/>
      </c>
      <c r="AK62" s="518" t="str">
        <f>IF(AND(_AC2="B-737-900",'2023'!$E$4="CA",'2023'!$E$2=AK43),'2023DATA'!$H$21,"")</f>
        <v/>
      </c>
      <c r="AL62" s="518" t="str">
        <f>IF(AND(_AC2="B-737-900",'2023'!$E$4="CA",'2023'!$E$2=AL43),'2023DATA'!$I$21,"")</f>
        <v/>
      </c>
      <c r="AM62" s="518" t="str">
        <f>IF(AND(_AC2="B-737-900",'2023'!$E$4="CA",'2023'!$E$2=AM43),'2023DATA'!$J$21,"")</f>
        <v/>
      </c>
      <c r="AN62" s="518" t="str">
        <f>IF(AND(_AC2="B-737-900",'2023'!$E$4="CA",'2023'!$E$2=AN43),'2023DATA'!$K$21,"")</f>
        <v/>
      </c>
      <c r="AO62" s="518" t="str">
        <f>IF(AND(_AC2="B-737-900",'2023'!$E$4="CA",'2023'!$E$2=AO43),'2023DATA'!$L$21,"")</f>
        <v/>
      </c>
      <c r="AP62" s="518" t="str">
        <f>IF(AND(_AC2="B-737-900",'2023'!$E$4="CA",'2023'!$E$2=AP43),'2023DATA'!$M$21,"")</f>
        <v/>
      </c>
      <c r="AQ62" s="520" t="str">
        <f>IF(AND(_AC2="B-737-900",'2023'!$E$4="CA",'2023'!$E$2=AQ43),'2023DATA'!$N$21,"")</f>
        <v/>
      </c>
      <c r="AR62" s="940" t="s">
        <v>47</v>
      </c>
      <c r="AS62" s="13" t="s">
        <v>61</v>
      </c>
      <c r="AT62" s="518" t="str">
        <f>IF(AND(_AC3="B-737-900",'2023'!$E$4="CA",'2023'!$E$2=AT43),'2023DATA'!$C$21,"")</f>
        <v/>
      </c>
      <c r="AU62" s="518" t="str">
        <f>IF(AND(_AC3="B-737-900",'2023'!$E$4="CA",'2023'!$E$2=AU43),'2023DATA'!$D$21,"")</f>
        <v/>
      </c>
      <c r="AV62" s="518" t="str">
        <f>IF(AND(_AC3="B-737-900",'2023'!$E$4="CA",'2023'!$E$2=AV43),'2023DATA'!$E$21,"")</f>
        <v/>
      </c>
      <c r="AW62" s="518" t="str">
        <f>IF(AND(_AC3="B-737-900",'2023'!$E$4="CA",'2023'!$E$2=AW43),'2023DATA'!$F$21,"")</f>
        <v/>
      </c>
      <c r="AX62" s="518" t="str">
        <f>IF(AND(_AC3="B-737-900",'2023'!$E$4="CA",'2023'!$E$2=AX43),'2023DATA'!$G$21,"")</f>
        <v/>
      </c>
      <c r="AY62" s="518" t="str">
        <f>IF(AND(_AC3="B-737-900",'2023'!$E$4="CA",'2023'!$E$2=AY43),'2023DATA'!$H$21,"")</f>
        <v/>
      </c>
      <c r="AZ62" s="518" t="str">
        <f>IF(AND(_AC3="B-737-900",'2023'!$E$4="CA",'2023'!$E$2=AZ43),'2023DATA'!$I$21,"")</f>
        <v/>
      </c>
      <c r="BA62" s="518" t="str">
        <f>IF(AND(_AC3="B-737-900",'2023'!$E$4="CA",'2023'!$E$2=BA43),'2023DATA'!$J$21,"")</f>
        <v/>
      </c>
      <c r="BB62" s="518" t="str">
        <f>IF(AND(_AC3="B-737-900",'2023'!$E$4="CA",'2023'!$E$2=BB43),'2023DATA'!$K$21,"")</f>
        <v/>
      </c>
      <c r="BC62" s="518" t="str">
        <f>IF(AND(_AC3="B-737-900",'2023'!$E$4="CA",'2023'!$E$2=BC43),'2023DATA'!$L$21,"")</f>
        <v/>
      </c>
      <c r="BD62" s="518" t="str">
        <f>IF(AND(_AC3="B-737-900",'2023'!$E$4="CA",'2023'!$E$2=BD43),'2023DATA'!$M$21,"")</f>
        <v/>
      </c>
      <c r="BE62" s="520" t="str">
        <f>IF(AND(_AC3="B-737-900",'2023'!$E$4="CA",'2023'!$E$2=BE43),'2023DATA'!$N$21,"")</f>
        <v/>
      </c>
      <c r="BF62" s="940" t="s">
        <v>47</v>
      </c>
      <c r="BG62" s="13" t="s">
        <v>61</v>
      </c>
      <c r="BH62" s="518" t="str">
        <f>IF(AND(_AC4="B-737-900",'2023'!$E$4="CA",'2023'!$E$2=BH43),'2023DATA'!$C$21,"")</f>
        <v/>
      </c>
      <c r="BI62" s="518" t="str">
        <f>IF(AND(_AC4="B-737-900",'2023'!$E$4="CA",'2023'!$E$2=BI43),'2023DATA'!$D$21,"")</f>
        <v/>
      </c>
      <c r="BJ62" s="518" t="str">
        <f>IF(AND(_AC4="B-737-900",'2023'!$E$4="CA",'2023'!$E$2=BJ43),'2023DATA'!$E$21,"")</f>
        <v/>
      </c>
      <c r="BK62" s="518" t="str">
        <f>IF(AND(_AC4="B-737-900",'2023'!$E$4="CA",'2023'!$E$2=BK43),'2023DATA'!$F$21,"")</f>
        <v/>
      </c>
      <c r="BL62" s="518" t="str">
        <f>IF(AND(_AC4="B-737-900",'2023'!$E$4="CA",'2023'!$E$2=BL43),'2023DATA'!$G$21,"")</f>
        <v/>
      </c>
      <c r="BM62" s="518" t="str">
        <f>IF(AND(_AC4="B-737-900",'2023'!$E$4="CA",'2023'!$E$2=BM43),'2023DATA'!$H$21,"")</f>
        <v/>
      </c>
      <c r="BN62" s="518" t="str">
        <f>IF(AND(_AC4="B-737-900",'2023'!$E$4="CA",'2023'!$E$2=BN43),'2023DATA'!$I$21,"")</f>
        <v/>
      </c>
      <c r="BO62" s="518" t="str">
        <f>IF(AND(_AC4="B-737-900",'2023'!$E$4="CA",'2023'!$E$2=BO43),'2023DATA'!$J$21,"")</f>
        <v/>
      </c>
      <c r="BP62" s="518" t="str">
        <f>IF(AND(_AC4="B-737-900",'2023'!$E$4="CA",'2023'!$E$2=BP43),'2023DATA'!$K$21,"")</f>
        <v/>
      </c>
      <c r="BQ62" s="518" t="str">
        <f>IF(AND(_AC4="B-737-900",'2023'!$E$4="CA",'2023'!$E$2=BQ43),'2023DATA'!$L$21,"")</f>
        <v/>
      </c>
      <c r="BR62" s="518" t="str">
        <f>IF(AND(_AC4="B-737-900",'2023'!$E$4="CA",'2023'!$E$2=BR43),'2023DATA'!$M$21,"")</f>
        <v/>
      </c>
      <c r="BS62" s="520" t="str">
        <f>IF(AND(_AC4="B-737-900",'2023'!$E$4="CA",'2023'!$E$2=BS43),'2023DATA'!$N$21,"")</f>
        <v/>
      </c>
      <c r="BT62" s="940" t="s">
        <v>47</v>
      </c>
      <c r="BU62" s="13" t="s">
        <v>61</v>
      </c>
      <c r="BV62" s="518" t="str">
        <f>IF(AND(_AC5="B-737-900",'2023'!$E$4="CA",'2023'!$E$2=BV43),'2023DATA'!$C$21,"")</f>
        <v/>
      </c>
      <c r="BW62" s="518" t="str">
        <f>IF(AND(_AC5="B-737-900",'2023'!$E$4="CA",'2023'!$E$2=BW43),'2023DATA'!$D$21,"")</f>
        <v/>
      </c>
      <c r="BX62" s="518" t="str">
        <f>IF(AND(_AC5="B-737-900",'2023'!$E$4="CA",'2023'!$E$2=BX43),'2023DATA'!$E$21,"")</f>
        <v/>
      </c>
      <c r="BY62" s="518" t="str">
        <f>IF(AND(_AC5="B-737-900",'2023'!$E$4="CA",'2023'!$E$2=BY43),'2023DATA'!$F$21,"")</f>
        <v/>
      </c>
      <c r="BZ62" s="518" t="str">
        <f>IF(AND(_AC5="B-737-900",'2023'!$E$4="CA",'2023'!$E$2=BZ43),'2023DATA'!$G$21,"")</f>
        <v/>
      </c>
      <c r="CA62" s="518" t="str">
        <f>IF(AND(_AC5="B-737-900",'2023'!$E$4="CA",'2023'!$E$2=CA43),'2023DATA'!$H$21,"")</f>
        <v/>
      </c>
      <c r="CB62" s="518" t="str">
        <f>IF(AND(_AC5="B-737-900",'2023'!$E$4="CA",'2023'!$E$2=CB43),'2023DATA'!$I$21,"")</f>
        <v/>
      </c>
      <c r="CC62" s="518" t="str">
        <f>IF(AND(_AC5="B-737-900",'2023'!$E$4="CA",'2023'!$E$2=CC43),'2023DATA'!$J$21,"")</f>
        <v/>
      </c>
      <c r="CD62" s="518" t="str">
        <f>IF(AND(_AC5="B-737-900",'2023'!$E$4="CA",'2023'!$E$2=CD43),'2023DATA'!$K$21,"")</f>
        <v/>
      </c>
      <c r="CE62" s="518" t="str">
        <f>IF(AND(_AC5="B-737-900",'2023'!$E$4="CA",'2023'!$E$2=CE43),'2023DATA'!$L$21,"")</f>
        <v/>
      </c>
      <c r="CF62" s="518" t="str">
        <f>IF(AND(_AC5="B-737-900",'2023'!$E$4="CA",'2023'!$E$2=CF43),'2023DATA'!$M$21,"")</f>
        <v/>
      </c>
      <c r="CG62" s="520" t="str">
        <f>IF(AND(_AC5="B-737-900",'2023'!$E$4="CA",'2023'!$E$2=CG43),'2023DATA'!$N$21,"")</f>
        <v/>
      </c>
      <c r="CH62" s="940" t="s">
        <v>47</v>
      </c>
      <c r="CI62" s="13" t="s">
        <v>61</v>
      </c>
      <c r="CJ62" s="518" t="str">
        <f>IF(AND(_AC6="B-737-900",'2023'!$E$4="CA",'2023'!$E$2=CJ43),'2023DATA'!$C$21,"")</f>
        <v/>
      </c>
      <c r="CK62" s="518" t="str">
        <f>IF(AND(_AC6="B-737-900",'2023'!$E$4="CA",'2023'!$E$2=CK43),'2023DATA'!$D$21,"")</f>
        <v/>
      </c>
      <c r="CL62" s="518" t="str">
        <f>IF(AND(_AC6="B-737-900",'2023'!$E$4="CA",'2023'!$E$2=CL43),'2023DATA'!$E$21,"")</f>
        <v/>
      </c>
      <c r="CM62" s="518" t="str">
        <f>IF(AND(_AC6="B-737-900",'2023'!$E$4="CA",'2023'!$E$2=CM43),'2023DATA'!$F$21,"")</f>
        <v/>
      </c>
      <c r="CN62" s="518" t="str">
        <f>IF(AND(_AC6="B-737-900",'2023'!$E$4="CA",'2023'!$E$2=CN43),'2023DATA'!$G$21,"")</f>
        <v/>
      </c>
      <c r="CO62" s="518" t="str">
        <f>IF(AND(_AC6="B-737-900",'2023'!$E$4="CA",'2023'!$E$2=CO43),'2023DATA'!$H$21,"")</f>
        <v/>
      </c>
      <c r="CP62" s="518" t="str">
        <f>IF(AND(_AC6="B-737-900",'2023'!$E$4="CA",'2023'!$E$2=CP43),'2023DATA'!$I$21,"")</f>
        <v/>
      </c>
      <c r="CQ62" s="518" t="str">
        <f>IF(AND(_AC6="B-737-900",'2023'!$E$4="CA",'2023'!$E$2=CQ43),'2023DATA'!$J$21,"")</f>
        <v/>
      </c>
      <c r="CR62" s="518" t="str">
        <f>IF(AND(_AC6="B-737-900",'2023'!$E$4="CA",'2023'!$E$2=CR43),'2023DATA'!$K$21,"")</f>
        <v/>
      </c>
      <c r="CS62" s="518" t="str">
        <f>IF(AND(_AC6="B-737-900",'2023'!$E$4="CA",'2023'!$E$2=CS43),'2023DATA'!$L$21,"")</f>
        <v/>
      </c>
      <c r="CT62" s="518" t="str">
        <f>IF(AND(_AC6="B-737-900",'2023'!$E$4="CA",'2023'!$E$2=CT43),'2023DATA'!$M$21,"")</f>
        <v/>
      </c>
      <c r="CU62" s="520" t="str">
        <f>IF(AND(_AC6="B-737-900",'2023'!$E$4="CA",'2023'!$E$2=CU43),'2023DATA'!$N$21,"")</f>
        <v/>
      </c>
    </row>
    <row r="63" spans="16:99" x14ac:dyDescent="0.25">
      <c r="P63" s="940"/>
      <c r="Q63" s="13" t="s">
        <v>62</v>
      </c>
      <c r="R63" s="518" t="str">
        <f>IF(AND(_AC1="B-737-900",'2023'!$E$4="FO",'2023'!$E$2=R43),'2023DATA'!$C$22,"")</f>
        <v/>
      </c>
      <c r="S63" s="518" t="str">
        <f>IF(AND(_AC1="B-737-900",'2023'!$E$4="FO",'2023'!$E$2=S43),'2023DATA'!$D$22,"")</f>
        <v/>
      </c>
      <c r="T63" s="518" t="str">
        <f>IF(AND(_AC1="B-737-900",'2023'!$E$4="FO",'2023'!$E$2=T43),'2023DATA'!$E$22,"")</f>
        <v/>
      </c>
      <c r="U63" s="518" t="str">
        <f>IF(AND(_AC1="B-737-900",'2023'!$E$4="FO",'2023'!$E$2=U43),'2023DATA'!$F$22,"")</f>
        <v/>
      </c>
      <c r="V63" s="518" t="str">
        <f>IF(AND(_AC1="B-737-900",'2023'!$E$4="FO",'2023'!$E$2=V43),'2023DATA'!$G$22,"")</f>
        <v/>
      </c>
      <c r="W63" s="518" t="str">
        <f>IF(AND(_AC1="B-737-900",'2023'!$E$4="FO",'2023'!$E$2=W43),'2023DATA'!$H$22,"")</f>
        <v/>
      </c>
      <c r="X63" s="518" t="str">
        <f>IF(AND(_AC1="B-737-900",'2023'!$E$4="FO",'2023'!$E$2=X43),'2023DATA'!$I$22,"")</f>
        <v/>
      </c>
      <c r="Y63" s="518" t="str">
        <f>IF(AND(_AC1="B-737-900",'2023'!$E$4="FO",'2023'!$E$2=Y43),'2023DATA'!$J$22,"")</f>
        <v/>
      </c>
      <c r="Z63" s="518" t="str">
        <f>IF(AND(_AC1="B-737-900",'2023'!$E$4="FO",'2023'!$E$2=Z43),'2023DATA'!$K$22,"")</f>
        <v/>
      </c>
      <c r="AA63" s="518" t="str">
        <f>IF(AND(_AC1="B-737-900",'2023'!$E$4="FO",'2023'!$E$2=AA43),'2023DATA'!$L$22,"")</f>
        <v/>
      </c>
      <c r="AB63" s="518" t="str">
        <f>IF(AND(_AC1="B-737-900",'2023'!$E$4="FO",'2023'!$E$2=AB43),'2023DATA'!$M$22,"")</f>
        <v/>
      </c>
      <c r="AC63" s="520" t="str">
        <f>IF(AND(_AC1="B-737-900",'2023'!$E$4="FO",'2023'!$E$2=AC43),'2023DATA'!$N$22,"")</f>
        <v/>
      </c>
      <c r="AD63" s="940"/>
      <c r="AE63" s="13" t="s">
        <v>62</v>
      </c>
      <c r="AF63" s="518" t="str">
        <f>IF(AND(_AC2="B-737-900",'2023'!$E$4="FO",'2023'!$E$2=AF43),'2023DATA'!$C$22,"")</f>
        <v/>
      </c>
      <c r="AG63" s="518" t="str">
        <f>IF(AND(_AC2="B-737-900",'2023'!$E$4="FO",'2023'!$E$2=AG43),'2023DATA'!$D$22,"")</f>
        <v/>
      </c>
      <c r="AH63" s="518" t="str">
        <f>IF(AND(_AC2="B-737-900",'2023'!$E$4="FO",'2023'!$E$2=AH43),'2023DATA'!$E$22,"")</f>
        <v/>
      </c>
      <c r="AI63" s="518" t="str">
        <f>IF(AND(_AC2="B-737-900",'2023'!$E$4="FO",'2023'!$E$2=AI43),'2023DATA'!$F$22,"")</f>
        <v/>
      </c>
      <c r="AJ63" s="518" t="str">
        <f>IF(AND(_AC2="B-737-900",'2023'!$E$4="FO",'2023'!$E$2=AJ43),'2023DATA'!$G$22,"")</f>
        <v/>
      </c>
      <c r="AK63" s="518" t="str">
        <f>IF(AND(_AC2="B-737-900",'2023'!$E$4="FO",'2023'!$E$2=AK43),'2023DATA'!$H$22,"")</f>
        <v/>
      </c>
      <c r="AL63" s="518" t="str">
        <f>IF(AND(_AC2="B-737-900",'2023'!$E$4="FO",'2023'!$E$2=AL43),'2023DATA'!$I$22,"")</f>
        <v/>
      </c>
      <c r="AM63" s="518" t="str">
        <f>IF(AND(_AC2="B-737-900",'2023'!$E$4="FO",'2023'!$E$2=AM43),'2023DATA'!$J$22,"")</f>
        <v/>
      </c>
      <c r="AN63" s="518" t="str">
        <f>IF(AND(_AC2="B-737-900",'2023'!$E$4="FO",'2023'!$E$2=AN43),'2023DATA'!$K$22,"")</f>
        <v/>
      </c>
      <c r="AO63" s="518" t="str">
        <f>IF(AND(_AC2="B-737-900",'2023'!$E$4="FO",'2023'!$E$2=AO43),'2023DATA'!$L$22,"")</f>
        <v/>
      </c>
      <c r="AP63" s="518" t="str">
        <f>IF(AND(_AC2="B-737-900",'2023'!$E$4="FO",'2023'!$E$2=AP43),'2023DATA'!$M$22,"")</f>
        <v/>
      </c>
      <c r="AQ63" s="520" t="str">
        <f>IF(AND(_AC2="B-737-900",'2023'!$E$4="FO",'2023'!$E$2=AQ43),'2023DATA'!$N$22,"")</f>
        <v/>
      </c>
      <c r="AR63" s="940"/>
      <c r="AS63" s="13" t="s">
        <v>62</v>
      </c>
      <c r="AT63" s="518" t="str">
        <f>IF(AND(_AC3="B-737-900",'2023'!$E$4="FO",'2023'!$E$2=AT43),'2023DATA'!$C$22,"")</f>
        <v/>
      </c>
      <c r="AU63" s="518" t="str">
        <f>IF(AND(_AC3="B-737-900",'2023'!$E$4="FO",'2023'!$E$2=AU43),'2023DATA'!$D$22,"")</f>
        <v/>
      </c>
      <c r="AV63" s="518" t="str">
        <f>IF(AND(_AC3="B-737-900",'2023'!$E$4="FO",'2023'!$E$2=AV43),'2023DATA'!$E$22,"")</f>
        <v/>
      </c>
      <c r="AW63" s="518" t="str">
        <f>IF(AND(_AC3="B-737-900",'2023'!$E$4="FO",'2023'!$E$2=AW43),'2023DATA'!$F$22,"")</f>
        <v/>
      </c>
      <c r="AX63" s="518" t="str">
        <f>IF(AND(_AC3="B-737-900",'2023'!$E$4="FO",'2023'!$E$2=AX43),'2023DATA'!$G$22,"")</f>
        <v/>
      </c>
      <c r="AY63" s="518" t="str">
        <f>IF(AND(_AC3="B-737-900",'2023'!$E$4="FO",'2023'!$E$2=AY43),'2023DATA'!$H$22,"")</f>
        <v/>
      </c>
      <c r="AZ63" s="518" t="str">
        <f>IF(AND(_AC3="B-737-900",'2023'!$E$4="FO",'2023'!$E$2=AZ43),'2023DATA'!$I$22,"")</f>
        <v/>
      </c>
      <c r="BA63" s="518" t="str">
        <f>IF(AND(_AC3="B-737-900",'2023'!$E$4="FO",'2023'!$E$2=BA43),'2023DATA'!$J$22,"")</f>
        <v/>
      </c>
      <c r="BB63" s="518" t="str">
        <f>IF(AND(_AC3="B-737-900",'2023'!$E$4="FO",'2023'!$E$2=BB43),'2023DATA'!$K$22,"")</f>
        <v/>
      </c>
      <c r="BC63" s="518" t="str">
        <f>IF(AND(_AC3="B-737-900",'2023'!$E$4="FO",'2023'!$E$2=BC43),'2023DATA'!$L$22,"")</f>
        <v/>
      </c>
      <c r="BD63" s="518" t="str">
        <f>IF(AND(_AC3="B-737-900",'2023'!$E$4="FO",'2023'!$E$2=BD43),'2023DATA'!$M$22,"")</f>
        <v/>
      </c>
      <c r="BE63" s="520" t="str">
        <f>IF(AND(_AC3="B-737-900",'2023'!$E$4="FO",'2023'!$E$2=BE43),'2023DATA'!$N$22,"")</f>
        <v/>
      </c>
      <c r="BF63" s="940"/>
      <c r="BG63" s="13" t="s">
        <v>62</v>
      </c>
      <c r="BH63" s="518" t="str">
        <f>IF(AND(_AC4="B-737-900",'2023'!$E$4="FO",'2023'!$E$2=BH43),'2023DATA'!$C$22,"")</f>
        <v/>
      </c>
      <c r="BI63" s="518" t="str">
        <f>IF(AND(_AC4="B-737-900",'2023'!$E$4="FO",'2023'!$E$2=BI43),'2023DATA'!$D$22,"")</f>
        <v/>
      </c>
      <c r="BJ63" s="518" t="str">
        <f>IF(AND(_AC4="B-737-900",'2023'!$E$4="FO",'2023'!$E$2=BJ43),'2023DATA'!$E$22,"")</f>
        <v/>
      </c>
      <c r="BK63" s="518" t="str">
        <f>IF(AND(_AC4="B-737-900",'2023'!$E$4="FO",'2023'!$E$2=BK43),'2023DATA'!$F$22,"")</f>
        <v/>
      </c>
      <c r="BL63" s="518" t="str">
        <f>IF(AND(_AC4="B-737-900",'2023'!$E$4="FO",'2023'!$E$2=BL43),'2023DATA'!$G$22,"")</f>
        <v/>
      </c>
      <c r="BM63" s="518" t="str">
        <f>IF(AND(_AC4="B-737-900",'2023'!$E$4="FO",'2023'!$E$2=BM43),'2023DATA'!$H$22,"")</f>
        <v/>
      </c>
      <c r="BN63" s="518" t="str">
        <f>IF(AND(_AC4="B-737-900",'2023'!$E$4="FO",'2023'!$E$2=BN43),'2023DATA'!$I$22,"")</f>
        <v/>
      </c>
      <c r="BO63" s="518" t="str">
        <f>IF(AND(_AC4="B-737-900",'2023'!$E$4="FO",'2023'!$E$2=BO43),'2023DATA'!$J$22,"")</f>
        <v/>
      </c>
      <c r="BP63" s="518" t="str">
        <f>IF(AND(_AC4="B-737-900",'2023'!$E$4="FO",'2023'!$E$2=BP43),'2023DATA'!$K$22,"")</f>
        <v/>
      </c>
      <c r="BQ63" s="518" t="str">
        <f>IF(AND(_AC4="B-737-900",'2023'!$E$4="FO",'2023'!$E$2=BQ43),'2023DATA'!$L$22,"")</f>
        <v/>
      </c>
      <c r="BR63" s="518" t="str">
        <f>IF(AND(_AC4="B-737-900",'2023'!$E$4="FO",'2023'!$E$2=BR43),'2023DATA'!$M$22,"")</f>
        <v/>
      </c>
      <c r="BS63" s="520" t="str">
        <f>IF(AND(_AC4="B-737-900",'2023'!$E$4="FO",'2023'!$E$2=BS43),'2023DATA'!$N$22,"")</f>
        <v/>
      </c>
      <c r="BT63" s="940"/>
      <c r="BU63" s="13" t="s">
        <v>62</v>
      </c>
      <c r="BV63" s="518" t="str">
        <f>IF(AND(_AC5="B-737-900",'2023'!$E$4="FO",'2023'!$E$2=BV43),'2023DATA'!$C$22,"")</f>
        <v/>
      </c>
      <c r="BW63" s="518" t="str">
        <f>IF(AND(_AC5="B-737-900",'2023'!$E$4="FO",'2023'!$E$2=BW43),'2023DATA'!$D$22,"")</f>
        <v/>
      </c>
      <c r="BX63" s="518" t="str">
        <f>IF(AND(_AC5="B-737-900",'2023'!$E$4="FO",'2023'!$E$2=BX43),'2023DATA'!$E$22,"")</f>
        <v/>
      </c>
      <c r="BY63" s="518" t="str">
        <f>IF(AND(_AC5="B-737-900",'2023'!$E$4="FO",'2023'!$E$2=BY43),'2023DATA'!$F$22,"")</f>
        <v/>
      </c>
      <c r="BZ63" s="518" t="str">
        <f>IF(AND(_AC5="B-737-900",'2023'!$E$4="FO",'2023'!$E$2=BZ43),'2023DATA'!$G$22,"")</f>
        <v/>
      </c>
      <c r="CA63" s="518" t="str">
        <f>IF(AND(_AC5="B-737-900",'2023'!$E$4="FO",'2023'!$E$2=CA43),'2023DATA'!$H$22,"")</f>
        <v/>
      </c>
      <c r="CB63" s="518" t="str">
        <f>IF(AND(_AC5="B-737-900",'2023'!$E$4="FO",'2023'!$E$2=CB43),'2023DATA'!$I$22,"")</f>
        <v/>
      </c>
      <c r="CC63" s="518" t="str">
        <f>IF(AND(_AC5="B-737-900",'2023'!$E$4="FO",'2023'!$E$2=CC43),'2023DATA'!$J$22,"")</f>
        <v/>
      </c>
      <c r="CD63" s="518" t="str">
        <f>IF(AND(_AC5="B-737-900",'2023'!$E$4="FO",'2023'!$E$2=CD43),'2023DATA'!$K$22,"")</f>
        <v/>
      </c>
      <c r="CE63" s="518" t="str">
        <f>IF(AND(_AC5="B-737-900",'2023'!$E$4="FO",'2023'!$E$2=CE43),'2023DATA'!$L$22,"")</f>
        <v/>
      </c>
      <c r="CF63" s="518" t="str">
        <f>IF(AND(_AC5="B-737-900",'2023'!$E$4="FO",'2023'!$E$2=CF43),'2023DATA'!$M$22,"")</f>
        <v/>
      </c>
      <c r="CG63" s="520" t="str">
        <f>IF(AND(_AC5="B-737-900",'2023'!$E$4="FO",'2023'!$E$2=CG43),'2023DATA'!$N$22,"")</f>
        <v/>
      </c>
      <c r="CH63" s="940"/>
      <c r="CI63" s="13" t="s">
        <v>62</v>
      </c>
      <c r="CJ63" s="518" t="str">
        <f>IF(AND(_AC6="B-737-900",'2023'!$E$4="FO",'2023'!$E$2=CJ43),'2023DATA'!$C$22,"")</f>
        <v/>
      </c>
      <c r="CK63" s="518" t="str">
        <f>IF(AND(_AC6="B-737-900",'2023'!$E$4="FO",'2023'!$E$2=CK43),'2023DATA'!$D$22,"")</f>
        <v/>
      </c>
      <c r="CL63" s="518" t="str">
        <f>IF(AND(_AC6="B-737-900",'2023'!$E$4="FO",'2023'!$E$2=CL43),'2023DATA'!$E$22,"")</f>
        <v/>
      </c>
      <c r="CM63" s="518" t="str">
        <f>IF(AND(_AC6="B-737-900",'2023'!$E$4="FO",'2023'!$E$2=CM43),'2023DATA'!$F$22,"")</f>
        <v/>
      </c>
      <c r="CN63" s="518" t="str">
        <f>IF(AND(_AC6="B-737-900",'2023'!$E$4="FO",'2023'!$E$2=CN43),'2023DATA'!$G$22,"")</f>
        <v/>
      </c>
      <c r="CO63" s="518" t="str">
        <f>IF(AND(_AC6="B-737-900",'2023'!$E$4="FO",'2023'!$E$2=CO43),'2023DATA'!$H$22,"")</f>
        <v/>
      </c>
      <c r="CP63" s="518" t="str">
        <f>IF(AND(_AC6="B-737-900",'2023'!$E$4="FO",'2023'!$E$2=CP43),'2023DATA'!$I$22,"")</f>
        <v/>
      </c>
      <c r="CQ63" s="518" t="str">
        <f>IF(AND(_AC6="B-737-900",'2023'!$E$4="FO",'2023'!$E$2=CQ43),'2023DATA'!$J$22,"")</f>
        <v/>
      </c>
      <c r="CR63" s="518" t="str">
        <f>IF(AND(_AC6="B-737-900",'2023'!$E$4="FO",'2023'!$E$2=CR43),'2023DATA'!$K$22,"")</f>
        <v/>
      </c>
      <c r="CS63" s="518" t="str">
        <f>IF(AND(_AC6="B-737-900",'2023'!$E$4="FO",'2023'!$E$2=CS43),'2023DATA'!$L$22,"")</f>
        <v/>
      </c>
      <c r="CT63" s="518" t="str">
        <f>IF(AND(_AC6="B-737-900",'2023'!$E$4="FO",'2023'!$E$2=CT43),'2023DATA'!$M$22,"")</f>
        <v/>
      </c>
      <c r="CU63" s="520" t="str">
        <f>IF(AND(_AC6="B-737-900",'2023'!$E$4="FO",'2023'!$E$2=CU43),'2023DATA'!$N$22,"")</f>
        <v/>
      </c>
    </row>
    <row r="64" spans="16:99" x14ac:dyDescent="0.25">
      <c r="P64" s="940" t="s">
        <v>69</v>
      </c>
      <c r="Q64" s="13" t="s">
        <v>61</v>
      </c>
      <c r="R64" s="518" t="str">
        <f>IF(AND(_AC1="B-737-800",'2023'!$E$4="CA",'2023'!$E$2=R43),'2023DATA'!$C$23,"")</f>
        <v/>
      </c>
      <c r="S64" s="518" t="str">
        <f>IF(AND(_AC1="B-737-800",'2023'!$E$4="CA",'2023'!$E$2=S43),'2023DATA'!$D$23,"")</f>
        <v/>
      </c>
      <c r="T64" s="518" t="str">
        <f>IF(AND(_AC1="B-737-800",'2023'!$E$4="CA",'2023'!$E$2=T43),'2023DATA'!$E$23,"")</f>
        <v/>
      </c>
      <c r="U64" s="518" t="str">
        <f>IF(AND(_AC1="B-737-800",'2023'!$E$4="CA",'2023'!$E$2=U43),'2023DATA'!$F$23,"")</f>
        <v/>
      </c>
      <c r="V64" s="518" t="str">
        <f>IF(AND(_AC1="B-737-800",'2023'!$E$4="CA",'2023'!$E$2=V43),'2023DATA'!$G$23,"")</f>
        <v/>
      </c>
      <c r="W64" s="518" t="str">
        <f>IF(AND(_AC1="B-737-800",'2023'!$E$4="CA",'2023'!$E$2=W43),'2023DATA'!$H$23,"")</f>
        <v/>
      </c>
      <c r="X64" s="518" t="str">
        <f>IF(AND(_AC1="B-737-800",'2023'!$E$4="CA",'2023'!$E$2=X43),'2023DATA'!$I$23,"")</f>
        <v/>
      </c>
      <c r="Y64" s="518" t="str">
        <f>IF(AND(_AC1="B-737-800",'2023'!$E$4="CA",'2023'!$E$2=Y43),'2023DATA'!$J$23,"")</f>
        <v/>
      </c>
      <c r="Z64" s="518" t="str">
        <f>IF(AND(_AC1="B-737-800",'2023'!$E$4="CA",'2023'!$E$2=Z43),'2023DATA'!$K$23,"")</f>
        <v/>
      </c>
      <c r="AA64" s="518" t="str">
        <f>IF(AND(_AC1="B-737-800",'2023'!$E$4="CA",'2023'!$E$2=AA43),'2023DATA'!$L$23,"")</f>
        <v/>
      </c>
      <c r="AB64" s="518" t="str">
        <f>IF(AND(_AC1="B-737-800",'2023'!$E$4="CA",'2023'!$E$2=AB43),'2023DATA'!$M$23,"")</f>
        <v/>
      </c>
      <c r="AC64" s="520" t="str">
        <f>IF(AND(_AC1="B-737-800",'2023'!$E$4="CA",'2023'!$E$2=AC43),'2023DATA'!$N$23,"")</f>
        <v/>
      </c>
      <c r="AD64" s="940" t="s">
        <v>69</v>
      </c>
      <c r="AE64" s="13" t="s">
        <v>61</v>
      </c>
      <c r="AF64" s="518" t="str">
        <f>IF(AND(_AC2="B-737-800",'2023'!$E$4="CA",'2023'!$E$2=AF43),'2023DATA'!$C$23,"")</f>
        <v/>
      </c>
      <c r="AG64" s="518" t="str">
        <f>IF(AND(_AC2="B-737-800",'2023'!$E$4="CA",'2023'!$E$2=AG43),'2023DATA'!$D$23,"")</f>
        <v/>
      </c>
      <c r="AH64" s="518" t="str">
        <f>IF(AND(_AC2="B-737-800",'2023'!$E$4="CA",'2023'!$E$2=AH43),'2023DATA'!$E$23,"")</f>
        <v/>
      </c>
      <c r="AI64" s="518" t="str">
        <f>IF(AND(_AC2="B-737-800",'2023'!$E$4="CA",'2023'!$E$2=AI43),'2023DATA'!$F$23,"")</f>
        <v/>
      </c>
      <c r="AJ64" s="518" t="str">
        <f>IF(AND(_AC2="B-737-800",'2023'!$E$4="CA",'2023'!$E$2=AJ43),'2023DATA'!$G$23,"")</f>
        <v/>
      </c>
      <c r="AK64" s="518" t="str">
        <f>IF(AND(_AC2="B-737-800",'2023'!$E$4="CA",'2023'!$E$2=AK43),'2023DATA'!$H$23,"")</f>
        <v/>
      </c>
      <c r="AL64" s="518" t="str">
        <f>IF(AND(_AC2="B-737-800",'2023'!$E$4="CA",'2023'!$E$2=AL43),'2023DATA'!$I$23,"")</f>
        <v/>
      </c>
      <c r="AM64" s="518" t="str">
        <f>IF(AND(_AC2="B-737-800",'2023'!$E$4="CA",'2023'!$E$2=AM43),'2023DATA'!$J$23,"")</f>
        <v/>
      </c>
      <c r="AN64" s="518" t="str">
        <f>IF(AND(_AC2="B-737-800",'2023'!$E$4="CA",'2023'!$E$2=AN43),'2023DATA'!$K$23,"")</f>
        <v/>
      </c>
      <c r="AO64" s="518" t="str">
        <f>IF(AND(_AC2="B-737-800",'2023'!$E$4="CA",'2023'!$E$2=AO43),'2023DATA'!$L$23,"")</f>
        <v/>
      </c>
      <c r="AP64" s="518" t="str">
        <f>IF(AND(_AC2="B-737-800",'2023'!$E$4="CA",'2023'!$E$2=AP43),'2023DATA'!$M$23,"")</f>
        <v/>
      </c>
      <c r="AQ64" s="520" t="str">
        <f>IF(AND(_AC2="B-737-800",'2023'!$E$4="CA",'2023'!$E$2=AQ43),'2023DATA'!$N$23,"")</f>
        <v/>
      </c>
      <c r="AR64" s="940" t="s">
        <v>69</v>
      </c>
      <c r="AS64" s="13" t="s">
        <v>61</v>
      </c>
      <c r="AT64" s="518" t="str">
        <f>IF(AND(_AC3="B-737-800",'2023'!$E$4="CA",'2023'!$E$2=AT43),'2023DATA'!$C$23,"")</f>
        <v/>
      </c>
      <c r="AU64" s="518" t="str">
        <f>IF(AND(_AC3="B-737-800",'2023'!$E$4="CA",'2023'!$E$2=AU43),'2023DATA'!$D$23,"")</f>
        <v/>
      </c>
      <c r="AV64" s="518" t="str">
        <f>IF(AND(_AC3="B-737-800",'2023'!$E$4="CA",'2023'!$E$2=AV43),'2023DATA'!$E$23,"")</f>
        <v/>
      </c>
      <c r="AW64" s="518" t="str">
        <f>IF(AND(_AC3="B-737-800",'2023'!$E$4="CA",'2023'!$E$2=AW43),'2023DATA'!$F$23,"")</f>
        <v/>
      </c>
      <c r="AX64" s="518" t="str">
        <f>IF(AND(_AC3="B-737-800",'2023'!$E$4="CA",'2023'!$E$2=AX43),'2023DATA'!$G$23,"")</f>
        <v/>
      </c>
      <c r="AY64" s="518" t="str">
        <f>IF(AND(_AC3="B-737-800",'2023'!$E$4="CA",'2023'!$E$2=AY43),'2023DATA'!$H$23,"")</f>
        <v/>
      </c>
      <c r="AZ64" s="518" t="str">
        <f>IF(AND(_AC3="B-737-800",'2023'!$E$4="CA",'2023'!$E$2=AZ43),'2023DATA'!$I$23,"")</f>
        <v/>
      </c>
      <c r="BA64" s="518" t="str">
        <f>IF(AND(_AC3="B-737-800",'2023'!$E$4="CA",'2023'!$E$2=BA43),'2023DATA'!$J$23,"")</f>
        <v/>
      </c>
      <c r="BB64" s="518" t="str">
        <f>IF(AND(_AC3="B-737-800",'2023'!$E$4="CA",'2023'!$E$2=BB43),'2023DATA'!$K$23,"")</f>
        <v/>
      </c>
      <c r="BC64" s="518" t="str">
        <f>IF(AND(_AC3="B-737-800",'2023'!$E$4="CA",'2023'!$E$2=BC43),'2023DATA'!$L$23,"")</f>
        <v/>
      </c>
      <c r="BD64" s="518" t="str">
        <f>IF(AND(_AC3="B-737-800",'2023'!$E$4="CA",'2023'!$E$2=BD43),'2023DATA'!$M$23,"")</f>
        <v/>
      </c>
      <c r="BE64" s="520" t="str">
        <f>IF(AND(_AC3="B-737-800",'2023'!$E$4="CA",'2023'!$E$2=BE43),'2023DATA'!$N$23,"")</f>
        <v/>
      </c>
      <c r="BF64" s="940" t="s">
        <v>69</v>
      </c>
      <c r="BG64" s="13" t="s">
        <v>61</v>
      </c>
      <c r="BH64" s="518" t="str">
        <f>IF(AND(_AC4="B-737-800",'2023'!$E$4="CA",'2023'!$E$2=BH43),'2023DATA'!$C$23,"")</f>
        <v/>
      </c>
      <c r="BI64" s="518" t="str">
        <f>IF(AND(_AC4="B-737-800",'2023'!$E$4="CA",'2023'!$E$2=BI43),'2023DATA'!$D$23,"")</f>
        <v/>
      </c>
      <c r="BJ64" s="518" t="str">
        <f>IF(AND(_AC4="B-737-800",'2023'!$E$4="CA",'2023'!$E$2=BJ43),'2023DATA'!$E$23,"")</f>
        <v/>
      </c>
      <c r="BK64" s="518" t="str">
        <f>IF(AND(_AC4="B-737-800",'2023'!$E$4="CA",'2023'!$E$2=BK43),'2023DATA'!$F$23,"")</f>
        <v/>
      </c>
      <c r="BL64" s="518" t="str">
        <f>IF(AND(_AC4="B-737-800",'2023'!$E$4="CA",'2023'!$E$2=BL43),'2023DATA'!$G$23,"")</f>
        <v/>
      </c>
      <c r="BM64" s="518" t="str">
        <f>IF(AND(_AC4="B-737-800",'2023'!$E$4="CA",'2023'!$E$2=BM43),'2023DATA'!$H$23,"")</f>
        <v/>
      </c>
      <c r="BN64" s="518" t="str">
        <f>IF(AND(_AC4="B-737-800",'2023'!$E$4="CA",'2023'!$E$2=BN43),'2023DATA'!$I$23,"")</f>
        <v/>
      </c>
      <c r="BO64" s="518" t="str">
        <f>IF(AND(_AC4="B-737-800",'2023'!$E$4="CA",'2023'!$E$2=BO43),'2023DATA'!$J$23,"")</f>
        <v/>
      </c>
      <c r="BP64" s="518" t="str">
        <f>IF(AND(_AC4="B-737-800",'2023'!$E$4="CA",'2023'!$E$2=BP43),'2023DATA'!$K$23,"")</f>
        <v/>
      </c>
      <c r="BQ64" s="518" t="str">
        <f>IF(AND(_AC4="B-737-800",'2023'!$E$4="CA",'2023'!$E$2=BQ43),'2023DATA'!$L$23,"")</f>
        <v/>
      </c>
      <c r="BR64" s="518" t="str">
        <f>IF(AND(_AC4="B-737-800",'2023'!$E$4="CA",'2023'!$E$2=BR43),'2023DATA'!$M$23,"")</f>
        <v/>
      </c>
      <c r="BS64" s="520" t="str">
        <f>IF(AND(_AC4="B-737-800",'2023'!$E$4="CA",'2023'!$E$2=BS43),'2023DATA'!$N$23,"")</f>
        <v/>
      </c>
      <c r="BT64" s="940" t="s">
        <v>69</v>
      </c>
      <c r="BU64" s="13" t="s">
        <v>61</v>
      </c>
      <c r="BV64" s="518" t="str">
        <f>IF(AND(_AC5="B-737-800",'2023'!$E$4="CA",'2023'!$E$2=BV43),'2023DATA'!$C$23,"")</f>
        <v/>
      </c>
      <c r="BW64" s="518" t="str">
        <f>IF(AND(_AC5="B-737-800",'2023'!$E$4="CA",'2023'!$E$2=BW43),'2023DATA'!$D$23,"")</f>
        <v/>
      </c>
      <c r="BX64" s="518" t="str">
        <f>IF(AND(_AC5="B-737-800",'2023'!$E$4="CA",'2023'!$E$2=BX43),'2023DATA'!$E$23,"")</f>
        <v/>
      </c>
      <c r="BY64" s="518" t="str">
        <f>IF(AND(_AC5="B-737-800",'2023'!$E$4="CA",'2023'!$E$2=BY43),'2023DATA'!$F$23,"")</f>
        <v/>
      </c>
      <c r="BZ64" s="518" t="str">
        <f>IF(AND(_AC5="B-737-800",'2023'!$E$4="CA",'2023'!$E$2=BZ43),'2023DATA'!$G$23,"")</f>
        <v/>
      </c>
      <c r="CA64" s="518" t="str">
        <f>IF(AND(_AC5="B-737-800",'2023'!$E$4="CA",'2023'!$E$2=CA43),'2023DATA'!$H$23,"")</f>
        <v/>
      </c>
      <c r="CB64" s="518" t="str">
        <f>IF(AND(_AC5="B-737-800",'2023'!$E$4="CA",'2023'!$E$2=CB43),'2023DATA'!$I$23,"")</f>
        <v/>
      </c>
      <c r="CC64" s="518" t="str">
        <f>IF(AND(_AC5="B-737-800",'2023'!$E$4="CA",'2023'!$E$2=CC43),'2023DATA'!$J$23,"")</f>
        <v/>
      </c>
      <c r="CD64" s="518" t="str">
        <f>IF(AND(_AC5="B-737-800",'2023'!$E$4="CA",'2023'!$E$2=CD43),'2023DATA'!$K$23,"")</f>
        <v/>
      </c>
      <c r="CE64" s="518" t="str">
        <f>IF(AND(_AC5="B-737-800",'2023'!$E$4="CA",'2023'!$E$2=CE43),'2023DATA'!$L$23,"")</f>
        <v/>
      </c>
      <c r="CF64" s="518" t="str">
        <f>IF(AND(_AC5="B-737-800",'2023'!$E$4="CA",'2023'!$E$2=CF43),'2023DATA'!$M$23,"")</f>
        <v/>
      </c>
      <c r="CG64" s="520" t="str">
        <f>IF(AND(_AC5="B-737-800",'2023'!$E$4="CA",'2023'!$E$2=CG43),'2023DATA'!$N$23,"")</f>
        <v/>
      </c>
      <c r="CH64" s="940" t="s">
        <v>69</v>
      </c>
      <c r="CI64" s="13" t="s">
        <v>61</v>
      </c>
      <c r="CJ64" s="518" t="str">
        <f>IF(AND(_AC6="B-737-800",'2023'!$E$4="CA",'2023'!$E$2=CJ43),'2023DATA'!$C$23,"")</f>
        <v/>
      </c>
      <c r="CK64" s="518" t="str">
        <f>IF(AND(_AC6="B-737-800",'2023'!$E$4="CA",'2023'!$E$2=CK43),'2023DATA'!$D$23,"")</f>
        <v/>
      </c>
      <c r="CL64" s="518" t="str">
        <f>IF(AND(_AC6="B-737-800",'2023'!$E$4="CA",'2023'!$E$2=CL43),'2023DATA'!$E$23,"")</f>
        <v/>
      </c>
      <c r="CM64" s="518" t="str">
        <f>IF(AND(_AC6="B-737-800",'2023'!$E$4="CA",'2023'!$E$2=CM43),'2023DATA'!$F$23,"")</f>
        <v/>
      </c>
      <c r="CN64" s="518" t="str">
        <f>IF(AND(_AC6="B-737-800",'2023'!$E$4="CA",'2023'!$E$2=CN43),'2023DATA'!$G$23,"")</f>
        <v/>
      </c>
      <c r="CO64" s="518" t="str">
        <f>IF(AND(_AC6="B-737-800",'2023'!$E$4="CA",'2023'!$E$2=CO43),'2023DATA'!$H$23,"")</f>
        <v/>
      </c>
      <c r="CP64" s="518" t="str">
        <f>IF(AND(_AC6="B-737-800",'2023'!$E$4="CA",'2023'!$E$2=CP43),'2023DATA'!$I$23,"")</f>
        <v/>
      </c>
      <c r="CQ64" s="518" t="str">
        <f>IF(AND(_AC6="B-737-800",'2023'!$E$4="CA",'2023'!$E$2=CQ43),'2023DATA'!$J$23,"")</f>
        <v/>
      </c>
      <c r="CR64" s="518" t="str">
        <f>IF(AND(_AC6="B-737-800",'2023'!$E$4="CA",'2023'!$E$2=CR43),'2023DATA'!$K$23,"")</f>
        <v/>
      </c>
      <c r="CS64" s="518" t="str">
        <f>IF(AND(_AC6="B-737-800",'2023'!$E$4="CA",'2023'!$E$2=CS43),'2023DATA'!$L$23,"")</f>
        <v/>
      </c>
      <c r="CT64" s="518" t="str">
        <f>IF(AND(_AC6="B-737-800",'2023'!$E$4="CA",'2023'!$E$2=CT43),'2023DATA'!$M$23,"")</f>
        <v/>
      </c>
      <c r="CU64" s="520" t="str">
        <f>IF(AND(_AC6="B-737-800",'2023'!$E$4="CA",'2023'!$E$2=CU43),'2023DATA'!$N$23,"")</f>
        <v/>
      </c>
    </row>
    <row r="65" spans="16:99" x14ac:dyDescent="0.25">
      <c r="P65" s="940"/>
      <c r="Q65" s="13" t="s">
        <v>62</v>
      </c>
      <c r="R65" s="518" t="str">
        <f>IF(AND(_AC1="B-737-800",'2023'!$E$4="FO",'2023'!$E$2=R43),'2023DATA'!$C$24,"")</f>
        <v/>
      </c>
      <c r="S65" s="518" t="str">
        <f>IF(AND(_AC1="B-737-800",'2023'!$E$4="FO",'2023'!$E$2=S43),'2023DATA'!$D$24,"")</f>
        <v/>
      </c>
      <c r="T65" s="518" t="str">
        <f>IF(AND(_AC1="B-737-800",'2023'!$E$4="FO",'2023'!$E$2=T43),'2023DATA'!$E$24,"")</f>
        <v/>
      </c>
      <c r="U65" s="518" t="str">
        <f>IF(AND(_AC1="B-737-800",'2023'!$E$4="FO",'2023'!$E$2=U43),'2023DATA'!$F$24,"")</f>
        <v/>
      </c>
      <c r="V65" s="518" t="str">
        <f>IF(AND(_AC1="B-737-800",'2023'!$E$4="FO",'2023'!$E$2=V43),'2023DATA'!$G$24,"")</f>
        <v/>
      </c>
      <c r="W65" s="518" t="str">
        <f>IF(AND(_AC1="B-737-800",'2023'!$E$4="FO",'2023'!$E$2=W43),'2023DATA'!$H$24,"")</f>
        <v/>
      </c>
      <c r="X65" s="518" t="str">
        <f>IF(AND(_AC1="B-737-800",'2023'!$E$4="FO",'2023'!$E$2=X43),'2023DATA'!$I$24,"")</f>
        <v/>
      </c>
      <c r="Y65" s="518" t="str">
        <f>IF(AND(_AC1="B-737-800",'2023'!$E$4="FO",'2023'!$E$2=Y43),'2023DATA'!$J$24,"")</f>
        <v/>
      </c>
      <c r="Z65" s="518" t="str">
        <f>IF(AND(_AC1="B-737-800",'2023'!$E$4="FO",'2023'!$E$2=Z43),'2023DATA'!$K$24,"")</f>
        <v/>
      </c>
      <c r="AA65" s="518" t="str">
        <f>IF(AND(_AC1="B-737-800",'2023'!$E$4="FO",'2023'!$E$2=AA43),'2023DATA'!$L$24,"")</f>
        <v/>
      </c>
      <c r="AB65" s="518" t="str">
        <f>IF(AND(_AC1="B-737-800",'2023'!$E$4="FO",'2023'!$E$2=AB43),'2023DATA'!$M$24,"")</f>
        <v/>
      </c>
      <c r="AC65" s="520" t="str">
        <f>IF(AND(_AC1="B-737-800",'2023'!$E$4="FO",'2023'!$E$2=AC43),'2023DATA'!$N$24,"")</f>
        <v/>
      </c>
      <c r="AD65" s="940"/>
      <c r="AE65" s="13" t="s">
        <v>62</v>
      </c>
      <c r="AF65" s="518" t="str">
        <f>IF(AND(_AC2="B-737-800",'2023'!$E$4="FO",'2023'!$E$2=AF43),'2023DATA'!$C$24,"")</f>
        <v/>
      </c>
      <c r="AG65" s="518" t="str">
        <f>IF(AND(_AC2="B-737-800",'2023'!$E$4="FO",'2023'!$E$2=AG43),'2023DATA'!$D$24,"")</f>
        <v/>
      </c>
      <c r="AH65" s="518" t="str">
        <f>IF(AND(_AC2="B-737-800",'2023'!$E$4="FO",'2023'!$E$2=AH43),'2023DATA'!$E$24,"")</f>
        <v/>
      </c>
      <c r="AI65" s="518" t="str">
        <f>IF(AND(_AC2="B-737-800",'2023'!$E$4="FO",'2023'!$E$2=AI43),'2023DATA'!$F$24,"")</f>
        <v/>
      </c>
      <c r="AJ65" s="518" t="str">
        <f>IF(AND(_AC2="B-737-800",'2023'!$E$4="FO",'2023'!$E$2=AJ43),'2023DATA'!$G$24,"")</f>
        <v/>
      </c>
      <c r="AK65" s="518" t="str">
        <f>IF(AND(_AC2="B-737-800",'2023'!$E$4="FO",'2023'!$E$2=AK43),'2023DATA'!$H$24,"")</f>
        <v/>
      </c>
      <c r="AL65" s="518" t="str">
        <f>IF(AND(_AC2="B-737-800",'2023'!$E$4="FO",'2023'!$E$2=AL43),'2023DATA'!$I$24,"")</f>
        <v/>
      </c>
      <c r="AM65" s="518" t="str">
        <f>IF(AND(_AC2="B-737-800",'2023'!$E$4="FO",'2023'!$E$2=AM43),'2023DATA'!$J$24,"")</f>
        <v/>
      </c>
      <c r="AN65" s="518" t="str">
        <f>IF(AND(_AC2="B-737-800",'2023'!$E$4="FO",'2023'!$E$2=AN43),'2023DATA'!$K$24,"")</f>
        <v/>
      </c>
      <c r="AO65" s="518" t="str">
        <f>IF(AND(_AC2="B-737-800",'2023'!$E$4="FO",'2023'!$E$2=AO43),'2023DATA'!$L$24,"")</f>
        <v/>
      </c>
      <c r="AP65" s="518" t="str">
        <f>IF(AND(_AC2="B-737-800",'2023'!$E$4="FO",'2023'!$E$2=AP43),'2023DATA'!$M$24,"")</f>
        <v/>
      </c>
      <c r="AQ65" s="520" t="str">
        <f>IF(AND(_AC2="B-737-800",'2023'!$E$4="FO",'2023'!$E$2=AQ43),'2023DATA'!$N$24,"")</f>
        <v/>
      </c>
      <c r="AR65" s="940"/>
      <c r="AS65" s="13" t="s">
        <v>62</v>
      </c>
      <c r="AT65" s="518" t="str">
        <f>IF(AND(_AC3="B-737-800",'2023'!$E$4="FO",'2023'!$E$2=AT43),'2023DATA'!$C$24,"")</f>
        <v/>
      </c>
      <c r="AU65" s="518" t="str">
        <f>IF(AND(_AC3="B-737-800",'2023'!$E$4="FO",'2023'!$E$2=AU43),'2023DATA'!$D$24,"")</f>
        <v/>
      </c>
      <c r="AV65" s="518" t="str">
        <f>IF(AND(_AC3="B-737-800",'2023'!$E$4="FO",'2023'!$E$2=AV43),'2023DATA'!$E$24,"")</f>
        <v/>
      </c>
      <c r="AW65" s="518" t="str">
        <f>IF(AND(_AC3="B-737-800",'2023'!$E$4="FO",'2023'!$E$2=AW43),'2023DATA'!$F$24,"")</f>
        <v/>
      </c>
      <c r="AX65" s="518" t="str">
        <f>IF(AND(_AC3="B-737-800",'2023'!$E$4="FO",'2023'!$E$2=AX43),'2023DATA'!$G$24,"")</f>
        <v/>
      </c>
      <c r="AY65" s="518" t="str">
        <f>IF(AND(_AC3="B-737-800",'2023'!$E$4="FO",'2023'!$E$2=AY43),'2023DATA'!$H$24,"")</f>
        <v/>
      </c>
      <c r="AZ65" s="518" t="str">
        <f>IF(AND(_AC3="B-737-800",'2023'!$E$4="FO",'2023'!$E$2=AZ43),'2023DATA'!$I$24,"")</f>
        <v/>
      </c>
      <c r="BA65" s="518" t="str">
        <f>IF(AND(_AC3="B-737-800",'2023'!$E$4="FO",'2023'!$E$2=BA43),'2023DATA'!$J$24,"")</f>
        <v/>
      </c>
      <c r="BB65" s="518" t="str">
        <f>IF(AND(_AC3="B-737-800",'2023'!$E$4="FO",'2023'!$E$2=BB43),'2023DATA'!$K$24,"")</f>
        <v/>
      </c>
      <c r="BC65" s="518" t="str">
        <f>IF(AND(_AC3="B-737-800",'2023'!$E$4="FO",'2023'!$E$2=BC43),'2023DATA'!$L$24,"")</f>
        <v/>
      </c>
      <c r="BD65" s="518" t="str">
        <f>IF(AND(_AC3="B-737-800",'2023'!$E$4="FO",'2023'!$E$2=BD43),'2023DATA'!$M$24,"")</f>
        <v/>
      </c>
      <c r="BE65" s="520" t="str">
        <f>IF(AND(_AC3="B-737-800",'2023'!$E$4="FO",'2023'!$E$2=BE43),'2023DATA'!$N$24,"")</f>
        <v/>
      </c>
      <c r="BF65" s="940"/>
      <c r="BG65" s="13" t="s">
        <v>62</v>
      </c>
      <c r="BH65" s="518" t="str">
        <f>IF(AND(_AC4="B-737-800",'2023'!$E$4="FO",'2023'!$E$2=BH43),'2023DATA'!$C$24,"")</f>
        <v/>
      </c>
      <c r="BI65" s="518" t="str">
        <f>IF(AND(_AC4="B-737-800",'2023'!$E$4="FO",'2023'!$E$2=BI43),'2023DATA'!$D$24,"")</f>
        <v/>
      </c>
      <c r="BJ65" s="518" t="str">
        <f>IF(AND(_AC4="B-737-800",'2023'!$E$4="FO",'2023'!$E$2=BJ43),'2023DATA'!$E$24,"")</f>
        <v/>
      </c>
      <c r="BK65" s="518" t="str">
        <f>IF(AND(_AC4="B-737-800",'2023'!$E$4="FO",'2023'!$E$2=BK43),'2023DATA'!$F$24,"")</f>
        <v/>
      </c>
      <c r="BL65" s="518" t="str">
        <f>IF(AND(_AC4="B-737-800",'2023'!$E$4="FO",'2023'!$E$2=BL43),'2023DATA'!$G$24,"")</f>
        <v/>
      </c>
      <c r="BM65" s="518" t="str">
        <f>IF(AND(_AC4="B-737-800",'2023'!$E$4="FO",'2023'!$E$2=BM43),'2023DATA'!$H$24,"")</f>
        <v/>
      </c>
      <c r="BN65" s="518" t="str">
        <f>IF(AND(_AC4="B-737-800",'2023'!$E$4="FO",'2023'!$E$2=BN43),'2023DATA'!$I$24,"")</f>
        <v/>
      </c>
      <c r="BO65" s="518" t="str">
        <f>IF(AND(_AC4="B-737-800",'2023'!$E$4="FO",'2023'!$E$2=BO43),'2023DATA'!$J$24,"")</f>
        <v/>
      </c>
      <c r="BP65" s="518" t="str">
        <f>IF(AND(_AC4="B-737-800",'2023'!$E$4="FO",'2023'!$E$2=BP43),'2023DATA'!$K$24,"")</f>
        <v/>
      </c>
      <c r="BQ65" s="518" t="str">
        <f>IF(AND(_AC4="B-737-800",'2023'!$E$4="FO",'2023'!$E$2=BQ43),'2023DATA'!$L$24,"")</f>
        <v/>
      </c>
      <c r="BR65" s="518" t="str">
        <f>IF(AND(_AC4="B-737-800",'2023'!$E$4="FO",'2023'!$E$2=BR43),'2023DATA'!$M$24,"")</f>
        <v/>
      </c>
      <c r="BS65" s="520" t="str">
        <f>IF(AND(_AC4="B-737-800",'2023'!$E$4="FO",'2023'!$E$2=BS43),'2023DATA'!$N$24,"")</f>
        <v/>
      </c>
      <c r="BT65" s="940"/>
      <c r="BU65" s="13" t="s">
        <v>62</v>
      </c>
      <c r="BV65" s="518" t="str">
        <f>IF(AND(_AC5="B-737-800",'2023'!$E$4="FO",'2023'!$E$2=BV43),'2023DATA'!$C$24,"")</f>
        <v/>
      </c>
      <c r="BW65" s="518" t="str">
        <f>IF(AND(_AC5="B-737-800",'2023'!$E$4="FO",'2023'!$E$2=BW43),'2023DATA'!$D$24,"")</f>
        <v/>
      </c>
      <c r="BX65" s="518" t="str">
        <f>IF(AND(_AC5="B-737-800",'2023'!$E$4="FO",'2023'!$E$2=BX43),'2023DATA'!$E$24,"")</f>
        <v/>
      </c>
      <c r="BY65" s="518" t="str">
        <f>IF(AND(_AC5="B-737-800",'2023'!$E$4="FO",'2023'!$E$2=BY43),'2023DATA'!$F$24,"")</f>
        <v/>
      </c>
      <c r="BZ65" s="518" t="str">
        <f>IF(AND(_AC5="B-737-800",'2023'!$E$4="FO",'2023'!$E$2=BZ43),'2023DATA'!$G$24,"")</f>
        <v/>
      </c>
      <c r="CA65" s="518" t="str">
        <f>IF(AND(_AC5="B-737-800",'2023'!$E$4="FO",'2023'!$E$2=CA43),'2023DATA'!$H$24,"")</f>
        <v/>
      </c>
      <c r="CB65" s="518" t="str">
        <f>IF(AND(_AC5="B-737-800",'2023'!$E$4="FO",'2023'!$E$2=CB43),'2023DATA'!$I$24,"")</f>
        <v/>
      </c>
      <c r="CC65" s="518" t="str">
        <f>IF(AND(_AC5="B-737-800",'2023'!$E$4="FO",'2023'!$E$2=CC43),'2023DATA'!$J$24,"")</f>
        <v/>
      </c>
      <c r="CD65" s="518" t="str">
        <f>IF(AND(_AC5="B-737-800",'2023'!$E$4="FO",'2023'!$E$2=CD43),'2023DATA'!$K$24,"")</f>
        <v/>
      </c>
      <c r="CE65" s="518" t="str">
        <f>IF(AND(_AC5="B-737-800",'2023'!$E$4="FO",'2023'!$E$2=CE43),'2023DATA'!$L$24,"")</f>
        <v/>
      </c>
      <c r="CF65" s="518" t="str">
        <f>IF(AND(_AC5="B-737-800",'2023'!$E$4="FO",'2023'!$E$2=CF43),'2023DATA'!$M$24,"")</f>
        <v/>
      </c>
      <c r="CG65" s="520" t="str">
        <f>IF(AND(_AC5="B-737-800",'2023'!$E$4="FO",'2023'!$E$2=CG43),'2023DATA'!$N$24,"")</f>
        <v/>
      </c>
      <c r="CH65" s="940"/>
      <c r="CI65" s="13" t="s">
        <v>62</v>
      </c>
      <c r="CJ65" s="518" t="str">
        <f>IF(AND(_AC6="B-737-800",'2023'!$E$4="FO",'2023'!$E$2=CJ43),'2023DATA'!$C$24,"")</f>
        <v/>
      </c>
      <c r="CK65" s="518" t="str">
        <f>IF(AND(_AC6="B-737-800",'2023'!$E$4="FO",'2023'!$E$2=CK43),'2023DATA'!$D$24,"")</f>
        <v/>
      </c>
      <c r="CL65" s="518" t="str">
        <f>IF(AND(_AC6="B-737-800",'2023'!$E$4="FO",'2023'!$E$2=CL43),'2023DATA'!$E$24,"")</f>
        <v/>
      </c>
      <c r="CM65" s="518" t="str">
        <f>IF(AND(_AC6="B-737-800",'2023'!$E$4="FO",'2023'!$E$2=CM43),'2023DATA'!$F$24,"")</f>
        <v/>
      </c>
      <c r="CN65" s="518" t="str">
        <f>IF(AND(_AC6="B-737-800",'2023'!$E$4="FO",'2023'!$E$2=CN43),'2023DATA'!$G$24,"")</f>
        <v/>
      </c>
      <c r="CO65" s="518" t="str">
        <f>IF(AND(_AC6="B-737-800",'2023'!$E$4="FO",'2023'!$E$2=CO43),'2023DATA'!$H$24,"")</f>
        <v/>
      </c>
      <c r="CP65" s="518" t="str">
        <f>IF(AND(_AC6="B-737-800",'2023'!$E$4="FO",'2023'!$E$2=CP43),'2023DATA'!$I$24,"")</f>
        <v/>
      </c>
      <c r="CQ65" s="518" t="str">
        <f>IF(AND(_AC6="B-737-800",'2023'!$E$4="FO",'2023'!$E$2=CQ43),'2023DATA'!$J$24,"")</f>
        <v/>
      </c>
      <c r="CR65" s="518" t="str">
        <f>IF(AND(_AC6="B-737-800",'2023'!$E$4="FO",'2023'!$E$2=CR43),'2023DATA'!$K$24,"")</f>
        <v/>
      </c>
      <c r="CS65" s="518" t="str">
        <f>IF(AND(_AC6="B-737-800",'2023'!$E$4="FO",'2023'!$E$2=CS43),'2023DATA'!$L$24,"")</f>
        <v/>
      </c>
      <c r="CT65" s="518" t="str">
        <f>IF(AND(_AC6="B-737-800",'2023'!$E$4="FO",'2023'!$E$2=CT43),'2023DATA'!$M$24,"")</f>
        <v/>
      </c>
      <c r="CU65" s="520" t="str">
        <f>IF(AND(_AC6="B-737-800",'2023'!$E$4="FO",'2023'!$E$2=CU43),'2023DATA'!$N$24,"")</f>
        <v/>
      </c>
    </row>
    <row r="66" spans="16:99" x14ac:dyDescent="0.25">
      <c r="P66" s="940" t="s">
        <v>46</v>
      </c>
      <c r="Q66" s="13" t="s">
        <v>61</v>
      </c>
      <c r="R66" s="518" t="str">
        <f>IF(AND(_AC1="A-321N",'2023'!$E$4="CA",'2023'!$E$2=R43),'2023DATA'!$C$25,"")</f>
        <v/>
      </c>
      <c r="S66" s="518" t="str">
        <f>IF(AND(_AC1="A-321N",'2023'!$E$4="CA",'2023'!$E$2=S43),'2023DATA'!$D$25,"")</f>
        <v/>
      </c>
      <c r="T66" s="518" t="str">
        <f>IF(AND(_AC1="A-321N",'2023'!$E$4="CA",'2023'!$E$2=T43),'2023DATA'!$E$25,"")</f>
        <v/>
      </c>
      <c r="U66" s="518" t="str">
        <f>IF(AND(_AC1="A-321N",'2023'!$E$4="CA",'2023'!$E$2=U43),'2023DATA'!$F$25,"")</f>
        <v/>
      </c>
      <c r="V66" s="518" t="str">
        <f>IF(AND(_AC1="A-321N",'2023'!$E$4="CA",'2023'!$E$2=V43),'2023DATA'!$G$25,"")</f>
        <v/>
      </c>
      <c r="W66" s="518" t="str">
        <f>IF(AND(_AC1="A-321N",'2023'!$E$4="CA",'2023'!$E$2=W43),'2023DATA'!$H$25,"")</f>
        <v/>
      </c>
      <c r="X66" s="518" t="str">
        <f>IF(AND(_AC1="A-321N",'2023'!$E$4="CA",'2023'!$E$2=X43),'2023DATA'!$I$25,"")</f>
        <v/>
      </c>
      <c r="Y66" s="518" t="str">
        <f>IF(AND(_AC1="A-321N",'2023'!$E$4="CA",'2023'!$E$2=Y43),'2023DATA'!$J$25,"")</f>
        <v/>
      </c>
      <c r="Z66" s="518" t="str">
        <f>IF(AND(_AC1="A-321N",'2023'!$E$4="CA",'2023'!$E$2=Z43),'2023DATA'!$K$25,"")</f>
        <v/>
      </c>
      <c r="AA66" s="518" t="str">
        <f>IF(AND(_AC1="A-321N",'2023'!$E$4="CA",'2023'!$E$2=AA43),'2023DATA'!$L$25,"")</f>
        <v/>
      </c>
      <c r="AB66" s="518" t="str">
        <f>IF(AND(_AC1="A-321N",'2023'!$E$4="CA",'2023'!$E$2=AB43),'2023DATA'!$M$25,"")</f>
        <v/>
      </c>
      <c r="AC66" s="520" t="str">
        <f>IF(AND(_AC1="A-321N",'2023'!$E$4="CA",'2023'!$E$2=AC43),'2023DATA'!$N$25,"")</f>
        <v/>
      </c>
      <c r="AD66" s="940" t="s">
        <v>46</v>
      </c>
      <c r="AE66" s="13" t="s">
        <v>61</v>
      </c>
      <c r="AF66" s="518" t="str">
        <f>IF(AND(_AC2="A-321N",'2023'!$E$4="CA",'2023'!$E$2=AF43),'2023DATA'!$C$25,"")</f>
        <v/>
      </c>
      <c r="AG66" s="518" t="str">
        <f>IF(AND(_AC2="A-321N",'2023'!$E$4="CA",'2023'!$E$2=AG43),'2023DATA'!$D$25,"")</f>
        <v/>
      </c>
      <c r="AH66" s="518" t="str">
        <f>IF(AND(_AC2="A-321N",'2023'!$E$4="CA",'2023'!$E$2=AH43),'2023DATA'!$E$25,"")</f>
        <v/>
      </c>
      <c r="AI66" s="518" t="str">
        <f>IF(AND(_AC2="A-321N",'2023'!$E$4="CA",'2023'!$E$2=AI43),'2023DATA'!$F$25,"")</f>
        <v/>
      </c>
      <c r="AJ66" s="518" t="str">
        <f>IF(AND(_AC2="A-321N",'2023'!$E$4="CA",'2023'!$E$2=AJ43),'2023DATA'!$G$25,"")</f>
        <v/>
      </c>
      <c r="AK66" s="518" t="str">
        <f>IF(AND(_AC2="A-321N",'2023'!$E$4="CA",'2023'!$E$2=AK43),'2023DATA'!$H$25,"")</f>
        <v/>
      </c>
      <c r="AL66" s="518" t="str">
        <f>IF(AND(_AC2="A-321N",'2023'!$E$4="CA",'2023'!$E$2=AL43),'2023DATA'!$I$25,"")</f>
        <v/>
      </c>
      <c r="AM66" s="518" t="str">
        <f>IF(AND(_AC2="A-321N",'2023'!$E$4="CA",'2023'!$E$2=AM43),'2023DATA'!$J$25,"")</f>
        <v/>
      </c>
      <c r="AN66" s="518" t="str">
        <f>IF(AND(_AC2="A-321N",'2023'!$E$4="CA",'2023'!$E$2=AN43),'2023DATA'!$K$25,"")</f>
        <v/>
      </c>
      <c r="AO66" s="518" t="str">
        <f>IF(AND(_AC2="A-321N",'2023'!$E$4="CA",'2023'!$E$2=AO43),'2023DATA'!$L$25,"")</f>
        <v/>
      </c>
      <c r="AP66" s="518" t="str">
        <f>IF(AND(_AC2="A-321N",'2023'!$E$4="CA",'2023'!$E$2=AP43),'2023DATA'!$M$25,"")</f>
        <v/>
      </c>
      <c r="AQ66" s="520" t="str">
        <f>IF(AND(_AC2="A-321N",'2023'!$E$4="CA",'2023'!$E$2=AQ43),'2023DATA'!$N$25,"")</f>
        <v/>
      </c>
      <c r="AR66" s="940" t="s">
        <v>46</v>
      </c>
      <c r="AS66" s="13" t="s">
        <v>61</v>
      </c>
      <c r="AT66" s="518" t="str">
        <f>IF(AND(_AC3="A-321N",'2023'!$E$4="CA",'2023'!$E$2=AT43),'2023DATA'!$C$25,"")</f>
        <v/>
      </c>
      <c r="AU66" s="518" t="str">
        <f>IF(AND(_AC3="A-321N",'2023'!$E$4="CA",'2023'!$E$2=AU43),'2023DATA'!$D$25,"")</f>
        <v/>
      </c>
      <c r="AV66" s="518" t="str">
        <f>IF(AND(_AC3="A-321N",'2023'!$E$4="CA",'2023'!$E$2=AV43),'2023DATA'!$E$25,"")</f>
        <v/>
      </c>
      <c r="AW66" s="518" t="str">
        <f>IF(AND(_AC3="A-321N",'2023'!$E$4="CA",'2023'!$E$2=AW43),'2023DATA'!$F$25,"")</f>
        <v/>
      </c>
      <c r="AX66" s="518" t="str">
        <f>IF(AND(_AC3="A-321N",'2023'!$E$4="CA",'2023'!$E$2=AX43),'2023DATA'!$G$25,"")</f>
        <v/>
      </c>
      <c r="AY66" s="518" t="str">
        <f>IF(AND(_AC3="A-321N",'2023'!$E$4="CA",'2023'!$E$2=AY43),'2023DATA'!$H$25,"")</f>
        <v/>
      </c>
      <c r="AZ66" s="518" t="str">
        <f>IF(AND(_AC3="A-321N",'2023'!$E$4="CA",'2023'!$E$2=AZ43),'2023DATA'!$I$25,"")</f>
        <v/>
      </c>
      <c r="BA66" s="518" t="str">
        <f>IF(AND(_AC3="A-321N",'2023'!$E$4="CA",'2023'!$E$2=BA43),'2023DATA'!$J$25,"")</f>
        <v/>
      </c>
      <c r="BB66" s="518" t="str">
        <f>IF(AND(_AC3="A-321N",'2023'!$E$4="CA",'2023'!$E$2=BB43),'2023DATA'!$K$25,"")</f>
        <v/>
      </c>
      <c r="BC66" s="518" t="str">
        <f>IF(AND(_AC3="A-321N",'2023'!$E$4="CA",'2023'!$E$2=BC43),'2023DATA'!$L$25,"")</f>
        <v/>
      </c>
      <c r="BD66" s="518" t="str">
        <f>IF(AND(_AC3="A-321N",'2023'!$E$4="CA",'2023'!$E$2=BD43),'2023DATA'!$M$25,"")</f>
        <v/>
      </c>
      <c r="BE66" s="520" t="str">
        <f>IF(AND(_AC3="A-321N",'2023'!$E$4="CA",'2023'!$E$2=BE43),'2023DATA'!$N$25,"")</f>
        <v/>
      </c>
      <c r="BF66" s="940" t="s">
        <v>46</v>
      </c>
      <c r="BG66" s="13" t="s">
        <v>61</v>
      </c>
      <c r="BH66" s="518" t="str">
        <f>IF(AND(_AC4="A-321N",'2023'!$E$4="CA",'2023'!$E$2=BH43),'2023DATA'!$C$25,"")</f>
        <v/>
      </c>
      <c r="BI66" s="518" t="str">
        <f>IF(AND(_AC4="A-321N",'2023'!$E$4="CA",'2023'!$E$2=BI43),'2023DATA'!$D$25,"")</f>
        <v/>
      </c>
      <c r="BJ66" s="518" t="str">
        <f>IF(AND(_AC4="A-321N",'2023'!$E$4="CA",'2023'!$E$2=BJ43),'2023DATA'!$E$25,"")</f>
        <v/>
      </c>
      <c r="BK66" s="518" t="str">
        <f>IF(AND(_AC4="A-321N",'2023'!$E$4="CA",'2023'!$E$2=BK43),'2023DATA'!$F$25,"")</f>
        <v/>
      </c>
      <c r="BL66" s="518" t="str">
        <f>IF(AND(_AC4="A-321N",'2023'!$E$4="CA",'2023'!$E$2=BL43),'2023DATA'!$G$25,"")</f>
        <v/>
      </c>
      <c r="BM66" s="518" t="str">
        <f>IF(AND(_AC4="A-321N",'2023'!$E$4="CA",'2023'!$E$2=BM43),'2023DATA'!$H$25,"")</f>
        <v/>
      </c>
      <c r="BN66" s="518" t="str">
        <f>IF(AND(_AC4="A-321N",'2023'!$E$4="CA",'2023'!$E$2=BN43),'2023DATA'!$I$25,"")</f>
        <v/>
      </c>
      <c r="BO66" s="518" t="str">
        <f>IF(AND(_AC4="A-321N",'2023'!$E$4="CA",'2023'!$E$2=BO43),'2023DATA'!$J$25,"")</f>
        <v/>
      </c>
      <c r="BP66" s="518" t="str">
        <f>IF(AND(_AC4="A-321N",'2023'!$E$4="CA",'2023'!$E$2=BP43),'2023DATA'!$K$25,"")</f>
        <v/>
      </c>
      <c r="BQ66" s="518" t="str">
        <f>IF(AND(_AC4="A-321N",'2023'!$E$4="CA",'2023'!$E$2=BQ43),'2023DATA'!$L$25,"")</f>
        <v/>
      </c>
      <c r="BR66" s="518" t="str">
        <f>IF(AND(_AC4="A-321N",'2023'!$E$4="CA",'2023'!$E$2=BR43),'2023DATA'!$M$25,"")</f>
        <v/>
      </c>
      <c r="BS66" s="520" t="str">
        <f>IF(AND(_AC4="A-321N",'2023'!$E$4="CA",'2023'!$E$2=BS43),'2023DATA'!$N$25,"")</f>
        <v/>
      </c>
      <c r="BT66" s="940" t="s">
        <v>46</v>
      </c>
      <c r="BU66" s="13" t="s">
        <v>61</v>
      </c>
      <c r="BV66" s="518" t="str">
        <f>IF(AND(_AC5="A-321N",'2023'!$E$4="CA",'2023'!$E$2=BV43),'2023DATA'!$C$25,"")</f>
        <v/>
      </c>
      <c r="BW66" s="518" t="str">
        <f>IF(AND(_AC5="A-321N",'2023'!$E$4="CA",'2023'!$E$2=BW43),'2023DATA'!$D$25,"")</f>
        <v/>
      </c>
      <c r="BX66" s="518" t="str">
        <f>IF(AND(_AC5="A-321N",'2023'!$E$4="CA",'2023'!$E$2=BX43),'2023DATA'!$E$25,"")</f>
        <v/>
      </c>
      <c r="BY66" s="518" t="str">
        <f>IF(AND(_AC5="A-321N",'2023'!$E$4="CA",'2023'!$E$2=BY43),'2023DATA'!$F$25,"")</f>
        <v/>
      </c>
      <c r="BZ66" s="518" t="str">
        <f>IF(AND(_AC5="A-321N",'2023'!$E$4="CA",'2023'!$E$2=BZ43),'2023DATA'!$G$25,"")</f>
        <v/>
      </c>
      <c r="CA66" s="518" t="str">
        <f>IF(AND(_AC5="A-321N",'2023'!$E$4="CA",'2023'!$E$2=CA43),'2023DATA'!$H$25,"")</f>
        <v/>
      </c>
      <c r="CB66" s="518" t="str">
        <f>IF(AND(_AC5="A-321N",'2023'!$E$4="CA",'2023'!$E$2=CB43),'2023DATA'!$I$25,"")</f>
        <v/>
      </c>
      <c r="CC66" s="518" t="str">
        <f>IF(AND(_AC5="A-321N",'2023'!$E$4="CA",'2023'!$E$2=CC43),'2023DATA'!$J$25,"")</f>
        <v/>
      </c>
      <c r="CD66" s="518" t="str">
        <f>IF(AND(_AC5="A-321N",'2023'!$E$4="CA",'2023'!$E$2=CD43),'2023DATA'!$K$25,"")</f>
        <v/>
      </c>
      <c r="CE66" s="518" t="str">
        <f>IF(AND(_AC5="A-321N",'2023'!$E$4="CA",'2023'!$E$2=CE43),'2023DATA'!$L$25,"")</f>
        <v/>
      </c>
      <c r="CF66" s="518" t="str">
        <f>IF(AND(_AC5="A-321N",'2023'!$E$4="CA",'2023'!$E$2=CF43),'2023DATA'!$M$25,"")</f>
        <v/>
      </c>
      <c r="CG66" s="520" t="str">
        <f>IF(AND(_AC5="A-321N",'2023'!$E$4="CA",'2023'!$E$2=CG43),'2023DATA'!$N$25,"")</f>
        <v/>
      </c>
      <c r="CH66" s="940" t="s">
        <v>46</v>
      </c>
      <c r="CI66" s="13" t="s">
        <v>61</v>
      </c>
      <c r="CJ66" s="518" t="str">
        <f>IF(AND(_AC6="A-321N",'2023'!$E$4="CA",'2023'!$E$2=CJ43),'2023DATA'!$C$25,"")</f>
        <v/>
      </c>
      <c r="CK66" s="518" t="str">
        <f>IF(AND(_AC6="A-321N",'2023'!$E$4="CA",'2023'!$E$2=CK43),'2023DATA'!$D$25,"")</f>
        <v/>
      </c>
      <c r="CL66" s="518" t="str">
        <f>IF(AND(_AC6="A-321N",'2023'!$E$4="CA",'2023'!$E$2=CL43),'2023DATA'!$E$25,"")</f>
        <v/>
      </c>
      <c r="CM66" s="518" t="str">
        <f>IF(AND(_AC6="A-321N",'2023'!$E$4="CA",'2023'!$E$2=CM43),'2023DATA'!$F$25,"")</f>
        <v/>
      </c>
      <c r="CN66" s="518" t="str">
        <f>IF(AND(_AC6="A-321N",'2023'!$E$4="CA",'2023'!$E$2=CN43),'2023DATA'!$G$25,"")</f>
        <v/>
      </c>
      <c r="CO66" s="518" t="str">
        <f>IF(AND(_AC6="A-321N",'2023'!$E$4="CA",'2023'!$E$2=CO43),'2023DATA'!$H$25,"")</f>
        <v/>
      </c>
      <c r="CP66" s="518" t="str">
        <f>IF(AND(_AC6="A-321N",'2023'!$E$4="CA",'2023'!$E$2=CP43),'2023DATA'!$I$25,"")</f>
        <v/>
      </c>
      <c r="CQ66" s="518" t="str">
        <f>IF(AND(_AC6="A-321N",'2023'!$E$4="CA",'2023'!$E$2=CQ43),'2023DATA'!$J$25,"")</f>
        <v/>
      </c>
      <c r="CR66" s="518" t="str">
        <f>IF(AND(_AC6="A-321N",'2023'!$E$4="CA",'2023'!$E$2=CR43),'2023DATA'!$K$25,"")</f>
        <v/>
      </c>
      <c r="CS66" s="518" t="str">
        <f>IF(AND(_AC6="A-321N",'2023'!$E$4="CA",'2023'!$E$2=CS43),'2023DATA'!$L$25,"")</f>
        <v/>
      </c>
      <c r="CT66" s="518" t="str">
        <f>IF(AND(_AC6="A-321N",'2023'!$E$4="CA",'2023'!$E$2=CT43),'2023DATA'!$M$25,"")</f>
        <v/>
      </c>
      <c r="CU66" s="520" t="str">
        <f>IF(AND(_AC6="A-321N",'2023'!$E$4="CA",'2023'!$E$2=CU43),'2023DATA'!$N$25,"")</f>
        <v/>
      </c>
    </row>
    <row r="67" spans="16:99" x14ac:dyDescent="0.25">
      <c r="P67" s="940"/>
      <c r="Q67" s="13" t="s">
        <v>62</v>
      </c>
      <c r="R67" s="518" t="str">
        <f>IF(AND(_AC1="A-321N",'2023'!$E$4="FO",'2023'!$E$2=R43),'2023DATA'!$C$26,"")</f>
        <v/>
      </c>
      <c r="S67" s="518" t="str">
        <f>IF(AND(_AC1="A-321N",'2023'!$E$4="FO",'2023'!$E$2=S43),'2023DATA'!$D$26,"")</f>
        <v/>
      </c>
      <c r="T67" s="518" t="str">
        <f>IF(AND(_AC1="A-321N",'2023'!$E$4="FO",'2023'!$E$2=T43),'2023DATA'!$E$26,"")</f>
        <v/>
      </c>
      <c r="U67" s="518" t="str">
        <f>IF(AND(_AC1="A-321N",'2023'!$E$4="FO",'2023'!$E$2=U43),'2023DATA'!$F$26,"")</f>
        <v/>
      </c>
      <c r="V67" s="518" t="str">
        <f>IF(AND(_AC1="A-321N",'2023'!$E$4="FO",'2023'!$E$2=V43),'2023DATA'!$G$26,"")</f>
        <v/>
      </c>
      <c r="W67" s="518" t="str">
        <f>IF(AND(_AC1="A-321N",'2023'!$E$4="FO",'2023'!$E$2=W43),'2023DATA'!$H$26,"")</f>
        <v/>
      </c>
      <c r="X67" s="518" t="str">
        <f>IF(AND(_AC1="A-321N",'2023'!$E$4="FO",'2023'!$E$2=X43),'2023DATA'!$I$26,"")</f>
        <v/>
      </c>
      <c r="Y67" s="518" t="str">
        <f>IF(AND(_AC1="A-321N",'2023'!$E$4="FO",'2023'!$E$2=Y43),'2023DATA'!$J$26,"")</f>
        <v/>
      </c>
      <c r="Z67" s="518" t="str">
        <f>IF(AND(_AC1="A-321N",'2023'!$E$4="FO",'2023'!$E$2=Z43),'2023DATA'!$K$26,"")</f>
        <v/>
      </c>
      <c r="AA67" s="518" t="str">
        <f>IF(AND(_AC1="A-321N",'2023'!$E$4="FO",'2023'!$E$2=AA43),'2023DATA'!$L$26,"")</f>
        <v/>
      </c>
      <c r="AB67" s="518" t="str">
        <f>IF(AND(_AC1="A-321N",'2023'!$E$4="FO",'2023'!$E$2=AB43),'2023DATA'!$M$26,"")</f>
        <v/>
      </c>
      <c r="AC67" s="520" t="str">
        <f>IF(AND(_AC1="A-321N",'2023'!$E$4="FO",'2023'!$E$2=AC43),'2023DATA'!$N$26,"")</f>
        <v/>
      </c>
      <c r="AD67" s="940"/>
      <c r="AE67" s="13" t="s">
        <v>62</v>
      </c>
      <c r="AF67" s="518" t="str">
        <f>IF(AND(_AC2="A-321N",'2023'!$E$4="FO",'2023'!$E$2=AF43),'2023DATA'!$C$26,"")</f>
        <v/>
      </c>
      <c r="AG67" s="518" t="str">
        <f>IF(AND(_AC2="A-321N",'2023'!$E$4="FO",'2023'!$E$2=AG43),'2023DATA'!$D$26,"")</f>
        <v/>
      </c>
      <c r="AH67" s="518" t="str">
        <f>IF(AND(_AC2="A-321N",'2023'!$E$4="FO",'2023'!$E$2=AH43),'2023DATA'!$E$26,"")</f>
        <v/>
      </c>
      <c r="AI67" s="518" t="str">
        <f>IF(AND(_AC2="A-321N",'2023'!$E$4="FO",'2023'!$E$2=AI43),'2023DATA'!$F$26,"")</f>
        <v/>
      </c>
      <c r="AJ67" s="518" t="str">
        <f>IF(AND(_AC2="A-321N",'2023'!$E$4="FO",'2023'!$E$2=AJ43),'2023DATA'!$G$26,"")</f>
        <v/>
      </c>
      <c r="AK67" s="518" t="str">
        <f>IF(AND(_AC2="A-321N",'2023'!$E$4="FO",'2023'!$E$2=AK43),'2023DATA'!$H$26,"")</f>
        <v/>
      </c>
      <c r="AL67" s="518" t="str">
        <f>IF(AND(_AC2="A-321N",'2023'!$E$4="FO",'2023'!$E$2=AL43),'2023DATA'!$I$26,"")</f>
        <v/>
      </c>
      <c r="AM67" s="518" t="str">
        <f>IF(AND(_AC2="A-321N",'2023'!$E$4="FO",'2023'!$E$2=AM43),'2023DATA'!$J$26,"")</f>
        <v/>
      </c>
      <c r="AN67" s="518" t="str">
        <f>IF(AND(_AC2="A-321N",'2023'!$E$4="FO",'2023'!$E$2=AN43),'2023DATA'!$K$26,"")</f>
        <v/>
      </c>
      <c r="AO67" s="518" t="str">
        <f>IF(AND(_AC2="A-321N",'2023'!$E$4="FO",'2023'!$E$2=AO43),'2023DATA'!$L$26,"")</f>
        <v/>
      </c>
      <c r="AP67" s="518" t="str">
        <f>IF(AND(_AC2="A-321N",'2023'!$E$4="FO",'2023'!$E$2=AP43),'2023DATA'!$M$26,"")</f>
        <v/>
      </c>
      <c r="AQ67" s="520" t="str">
        <f>IF(AND(_AC2="A-321N",'2023'!$E$4="FO",'2023'!$E$2=AQ43),'2023DATA'!$N$26,"")</f>
        <v/>
      </c>
      <c r="AR67" s="940"/>
      <c r="AS67" s="13" t="s">
        <v>62</v>
      </c>
      <c r="AT67" s="518" t="str">
        <f>IF(AND(_AC3="A-321N",'2023'!$E$4="FO",'2023'!$E$2=AT43),'2023DATA'!$C$26,"")</f>
        <v/>
      </c>
      <c r="AU67" s="518" t="str">
        <f>IF(AND(_AC3="A-321N",'2023'!$E$4="FO",'2023'!$E$2=AU43),'2023DATA'!$D$26,"")</f>
        <v/>
      </c>
      <c r="AV67" s="518" t="str">
        <f>IF(AND(_AC3="A-321N",'2023'!$E$4="FO",'2023'!$E$2=AV43),'2023DATA'!$E$26,"")</f>
        <v/>
      </c>
      <c r="AW67" s="518" t="str">
        <f>IF(AND(_AC3="A-321N",'2023'!$E$4="FO",'2023'!$E$2=AW43),'2023DATA'!$F$26,"")</f>
        <v/>
      </c>
      <c r="AX67" s="518" t="str">
        <f>IF(AND(_AC3="A-321N",'2023'!$E$4="FO",'2023'!$E$2=AX43),'2023DATA'!$G$26,"")</f>
        <v/>
      </c>
      <c r="AY67" s="518" t="str">
        <f>IF(AND(_AC3="A-321N",'2023'!$E$4="FO",'2023'!$E$2=AY43),'2023DATA'!$H$26,"")</f>
        <v/>
      </c>
      <c r="AZ67" s="518" t="str">
        <f>IF(AND(_AC3="A-321N",'2023'!$E$4="FO",'2023'!$E$2=AZ43),'2023DATA'!$I$26,"")</f>
        <v/>
      </c>
      <c r="BA67" s="518" t="str">
        <f>IF(AND(_AC3="A-321N",'2023'!$E$4="FO",'2023'!$E$2=BA43),'2023DATA'!$J$26,"")</f>
        <v/>
      </c>
      <c r="BB67" s="518" t="str">
        <f>IF(AND(_AC3="A-321N",'2023'!$E$4="FO",'2023'!$E$2=BB43),'2023DATA'!$K$26,"")</f>
        <v/>
      </c>
      <c r="BC67" s="518" t="str">
        <f>IF(AND(_AC3="A-321N",'2023'!$E$4="FO",'2023'!$E$2=BC43),'2023DATA'!$L$26,"")</f>
        <v/>
      </c>
      <c r="BD67" s="518" t="str">
        <f>IF(AND(_AC3="A-321N",'2023'!$E$4="FO",'2023'!$E$2=BD43),'2023DATA'!$M$26,"")</f>
        <v/>
      </c>
      <c r="BE67" s="520" t="str">
        <f>IF(AND(_AC3="A-321N",'2023'!$E$4="FO",'2023'!$E$2=BE43),'2023DATA'!$N$26,"")</f>
        <v/>
      </c>
      <c r="BF67" s="940"/>
      <c r="BG67" s="13" t="s">
        <v>62</v>
      </c>
      <c r="BH67" s="518" t="str">
        <f>IF(AND(_AC4="A-321N",'2023'!$E$4="FO",'2023'!$E$2=BH43),'2023DATA'!$C$26,"")</f>
        <v/>
      </c>
      <c r="BI67" s="518" t="str">
        <f>IF(AND(_AC4="A-321N",'2023'!$E$4="FO",'2023'!$E$2=BI43),'2023DATA'!$D$26,"")</f>
        <v/>
      </c>
      <c r="BJ67" s="518" t="str">
        <f>IF(AND(_AC4="A-321N",'2023'!$E$4="FO",'2023'!$E$2=BJ43),'2023DATA'!$E$26,"")</f>
        <v/>
      </c>
      <c r="BK67" s="518" t="str">
        <f>IF(AND(_AC4="A-321N",'2023'!$E$4="FO",'2023'!$E$2=BK43),'2023DATA'!$F$26,"")</f>
        <v/>
      </c>
      <c r="BL67" s="518" t="str">
        <f>IF(AND(_AC4="A-321N",'2023'!$E$4="FO",'2023'!$E$2=BL43),'2023DATA'!$G$26,"")</f>
        <v/>
      </c>
      <c r="BM67" s="518" t="str">
        <f>IF(AND(_AC4="A-321N",'2023'!$E$4="FO",'2023'!$E$2=BM43),'2023DATA'!$H$26,"")</f>
        <v/>
      </c>
      <c r="BN67" s="518" t="str">
        <f>IF(AND(_AC4="A-321N",'2023'!$E$4="FO",'2023'!$E$2=BN43),'2023DATA'!$I$26,"")</f>
        <v/>
      </c>
      <c r="BO67" s="518" t="str">
        <f>IF(AND(_AC4="A-321N",'2023'!$E$4="FO",'2023'!$E$2=BO43),'2023DATA'!$J$26,"")</f>
        <v/>
      </c>
      <c r="BP67" s="518" t="str">
        <f>IF(AND(_AC4="A-321N",'2023'!$E$4="FO",'2023'!$E$2=BP43),'2023DATA'!$K$26,"")</f>
        <v/>
      </c>
      <c r="BQ67" s="518" t="str">
        <f>IF(AND(_AC4="A-321N",'2023'!$E$4="FO",'2023'!$E$2=BQ43),'2023DATA'!$L$26,"")</f>
        <v/>
      </c>
      <c r="BR67" s="518" t="str">
        <f>IF(AND(_AC4="A-321N",'2023'!$E$4="FO",'2023'!$E$2=BR43),'2023DATA'!$M$26,"")</f>
        <v/>
      </c>
      <c r="BS67" s="520" t="str">
        <f>IF(AND(_AC4="A-321N",'2023'!$E$4="FO",'2023'!$E$2=BS43),'2023DATA'!$N$26,"")</f>
        <v/>
      </c>
      <c r="BT67" s="940"/>
      <c r="BU67" s="13" t="s">
        <v>62</v>
      </c>
      <c r="BV67" s="518" t="str">
        <f>IF(AND(_AC5="A-321N",'2023'!$E$4="FO",'2023'!$E$2=BV43),'2023DATA'!$C$26,"")</f>
        <v/>
      </c>
      <c r="BW67" s="518" t="str">
        <f>IF(AND(_AC5="A-321N",'2023'!$E$4="FO",'2023'!$E$2=BW43),'2023DATA'!$D$26,"")</f>
        <v/>
      </c>
      <c r="BX67" s="518" t="str">
        <f>IF(AND(_AC5="A-321N",'2023'!$E$4="FO",'2023'!$E$2=BX43),'2023DATA'!$E$26,"")</f>
        <v/>
      </c>
      <c r="BY67" s="518" t="str">
        <f>IF(AND(_AC5="A-321N",'2023'!$E$4="FO",'2023'!$E$2=BY43),'2023DATA'!$F$26,"")</f>
        <v/>
      </c>
      <c r="BZ67" s="518" t="str">
        <f>IF(AND(_AC5="A-321N",'2023'!$E$4="FO",'2023'!$E$2=BZ43),'2023DATA'!$G$26,"")</f>
        <v/>
      </c>
      <c r="CA67" s="518" t="str">
        <f>IF(AND(_AC5="A-321N",'2023'!$E$4="FO",'2023'!$E$2=CA43),'2023DATA'!$H$26,"")</f>
        <v/>
      </c>
      <c r="CB67" s="518" t="str">
        <f>IF(AND(_AC5="A-321N",'2023'!$E$4="FO",'2023'!$E$2=CB43),'2023DATA'!$I$26,"")</f>
        <v/>
      </c>
      <c r="CC67" s="518" t="str">
        <f>IF(AND(_AC5="A-321N",'2023'!$E$4="FO",'2023'!$E$2=CC43),'2023DATA'!$J$26,"")</f>
        <v/>
      </c>
      <c r="CD67" s="518" t="str">
        <f>IF(AND(_AC5="A-321N",'2023'!$E$4="FO",'2023'!$E$2=CD43),'2023DATA'!$K$26,"")</f>
        <v/>
      </c>
      <c r="CE67" s="518" t="str">
        <f>IF(AND(_AC5="A-321N",'2023'!$E$4="FO",'2023'!$E$2=CE43),'2023DATA'!$L$26,"")</f>
        <v/>
      </c>
      <c r="CF67" s="518" t="str">
        <f>IF(AND(_AC5="A-321N",'2023'!$E$4="FO",'2023'!$E$2=CF43),'2023DATA'!$M$26,"")</f>
        <v/>
      </c>
      <c r="CG67" s="520" t="str">
        <f>IF(AND(_AC5="A-321N",'2023'!$E$4="FO",'2023'!$E$2=CG43),'2023DATA'!$N$26,"")</f>
        <v/>
      </c>
      <c r="CH67" s="940"/>
      <c r="CI67" s="13" t="s">
        <v>62</v>
      </c>
      <c r="CJ67" s="518" t="str">
        <f>IF(AND(_AC6="A-321N",'2023'!$E$4="FO",'2023'!$E$2=CJ43),'2023DATA'!$C$26,"")</f>
        <v/>
      </c>
      <c r="CK67" s="518" t="str">
        <f>IF(AND(_AC6="A-321N",'2023'!$E$4="FO",'2023'!$E$2=CK43),'2023DATA'!$D$26,"")</f>
        <v/>
      </c>
      <c r="CL67" s="518" t="str">
        <f>IF(AND(_AC6="A-321N",'2023'!$E$4="FO",'2023'!$E$2=CL43),'2023DATA'!$E$26,"")</f>
        <v/>
      </c>
      <c r="CM67" s="518" t="str">
        <f>IF(AND(_AC6="A-321N",'2023'!$E$4="FO",'2023'!$E$2=CM43),'2023DATA'!$F$26,"")</f>
        <v/>
      </c>
      <c r="CN67" s="518" t="str">
        <f>IF(AND(_AC6="A-321N",'2023'!$E$4="FO",'2023'!$E$2=CN43),'2023DATA'!$G$26,"")</f>
        <v/>
      </c>
      <c r="CO67" s="518" t="str">
        <f>IF(AND(_AC6="A-321N",'2023'!$E$4="FO",'2023'!$E$2=CO43),'2023DATA'!$H$26,"")</f>
        <v/>
      </c>
      <c r="CP67" s="518" t="str">
        <f>IF(AND(_AC6="A-321N",'2023'!$E$4="FO",'2023'!$E$2=CP43),'2023DATA'!$I$26,"")</f>
        <v/>
      </c>
      <c r="CQ67" s="518" t="str">
        <f>IF(AND(_AC6="A-321N",'2023'!$E$4="FO",'2023'!$E$2=CQ43),'2023DATA'!$J$26,"")</f>
        <v/>
      </c>
      <c r="CR67" s="518" t="str">
        <f>IF(AND(_AC6="A-321N",'2023'!$E$4="FO",'2023'!$E$2=CR43),'2023DATA'!$K$26,"")</f>
        <v/>
      </c>
      <c r="CS67" s="518" t="str">
        <f>IF(AND(_AC6="A-321N",'2023'!$E$4="FO",'2023'!$E$2=CS43),'2023DATA'!$L$26,"")</f>
        <v/>
      </c>
      <c r="CT67" s="518" t="str">
        <f>IF(AND(_AC6="A-321N",'2023'!$E$4="FO",'2023'!$E$2=CT43),'2023DATA'!$M$26,"")</f>
        <v/>
      </c>
      <c r="CU67" s="520" t="str">
        <f>IF(AND(_AC6="A-321N",'2023'!$E$4="FO",'2023'!$E$2=CU43),'2023DATA'!$N$26,"")</f>
        <v/>
      </c>
    </row>
    <row r="68" spans="16:99" x14ac:dyDescent="0.25">
      <c r="P68" s="940" t="s">
        <v>48</v>
      </c>
      <c r="Q68" s="13" t="s">
        <v>61</v>
      </c>
      <c r="R68" s="518" t="str">
        <f>IF(AND(_AC1="A-321",'2023'!$E$4="CA",'2023'!$E$2=R43),'2023DATA'!$C$27,"")</f>
        <v/>
      </c>
      <c r="S68" s="518" t="str">
        <f>IF(AND(_AC1="A-321",'2023'!$E$4="CA",'2023'!$E$2=S43),'2023DATA'!$D$27,"")</f>
        <v/>
      </c>
      <c r="T68" s="518" t="str">
        <f>IF(AND(_AC1="A-321",'2023'!$E$4="CA",'2023'!$E$2=T43),'2023DATA'!$E$27,"")</f>
        <v/>
      </c>
      <c r="U68" s="518" t="str">
        <f>IF(AND(_AC1="A-321",'2023'!$E$4="CA",'2023'!$E$2=U43),'2023DATA'!$F$27,"")</f>
        <v/>
      </c>
      <c r="V68" s="518" t="str">
        <f>IF(AND(_AC1="A-321",'2023'!$E$4="CA",'2023'!$E$2=V43),'2023DATA'!$G$27,"")</f>
        <v/>
      </c>
      <c r="W68" s="518" t="str">
        <f>IF(AND(_AC1="A-321",'2023'!$E$4="CA",'2023'!$E$2=W43),'2023DATA'!$H$27,"")</f>
        <v/>
      </c>
      <c r="X68" s="518" t="str">
        <f>IF(AND(_AC1="A-321",'2023'!$E$4="CA",'2023'!$E$2=X43),'2023DATA'!$I$27,"")</f>
        <v/>
      </c>
      <c r="Y68" s="518" t="str">
        <f>IF(AND(_AC1="A-321",'2023'!$E$4="CA",'2023'!$E$2=Y43),'2023DATA'!$J$27,"")</f>
        <v/>
      </c>
      <c r="Z68" s="518" t="str">
        <f>IF(AND(_AC1="A-321",'2023'!$E$4="CA",'2023'!$E$2=Z43),'2023DATA'!$K$27,"")</f>
        <v/>
      </c>
      <c r="AA68" s="518" t="str">
        <f>IF(AND(_AC1="A-321",'2023'!$E$4="CA",'2023'!$E$2=AA43),'2023DATA'!$L$27,"")</f>
        <v/>
      </c>
      <c r="AB68" s="518" t="str">
        <f>IF(AND(_AC1="A-321",'2023'!$E$4="CA",'2023'!$E$2=AB43),'2023DATA'!$M$27,"")</f>
        <v/>
      </c>
      <c r="AC68" s="520" t="str">
        <f>IF(AND(_AC1="A-321",'2023'!$E$4="CA",'2023'!$E$2=AC43),'2023DATA'!$N$27,"")</f>
        <v/>
      </c>
      <c r="AD68" s="940" t="s">
        <v>48</v>
      </c>
      <c r="AE68" s="13" t="s">
        <v>61</v>
      </c>
      <c r="AF68" s="518" t="str">
        <f>IF(AND(_AC2="A-321",'2023'!$E$4="CA",'2023'!$E$2=AF43),'2023DATA'!$C$27,"")</f>
        <v/>
      </c>
      <c r="AG68" s="518" t="str">
        <f>IF(AND(_AC2="A-321",'2023'!$E$4="CA",'2023'!$E$2=AG43),'2023DATA'!$D$27,"")</f>
        <v/>
      </c>
      <c r="AH68" s="518" t="str">
        <f>IF(AND(_AC2="A-321",'2023'!$E$4="CA",'2023'!$E$2=AH43),'2023DATA'!$E$27,"")</f>
        <v/>
      </c>
      <c r="AI68" s="518" t="str">
        <f>IF(AND(_AC2="A-321",'2023'!$E$4="CA",'2023'!$E$2=AI43),'2023DATA'!$F$27,"")</f>
        <v/>
      </c>
      <c r="AJ68" s="518" t="str">
        <f>IF(AND(_AC2="A-321",'2023'!$E$4="CA",'2023'!$E$2=AJ43),'2023DATA'!$G$27,"")</f>
        <v/>
      </c>
      <c r="AK68" s="518" t="str">
        <f>IF(AND(_AC2="A-321",'2023'!$E$4="CA",'2023'!$E$2=AK43),'2023DATA'!$H$27,"")</f>
        <v/>
      </c>
      <c r="AL68" s="518" t="str">
        <f>IF(AND(_AC2="A-321",'2023'!$E$4="CA",'2023'!$E$2=AL43),'2023DATA'!$I$27,"")</f>
        <v/>
      </c>
      <c r="AM68" s="518" t="str">
        <f>IF(AND(_AC2="A-321",'2023'!$E$4="CA",'2023'!$E$2=AM43),'2023DATA'!$J$27,"")</f>
        <v/>
      </c>
      <c r="AN68" s="518" t="str">
        <f>IF(AND(_AC2="A-321",'2023'!$E$4="CA",'2023'!$E$2=AN43),'2023DATA'!$K$27,"")</f>
        <v/>
      </c>
      <c r="AO68" s="518" t="str">
        <f>IF(AND(_AC2="A-321",'2023'!$E$4="CA",'2023'!$E$2=AO43),'2023DATA'!$L$27,"")</f>
        <v/>
      </c>
      <c r="AP68" s="518" t="str">
        <f>IF(AND(_AC2="A-321",'2023'!$E$4="CA",'2023'!$E$2=AP43),'2023DATA'!$M$27,"")</f>
        <v/>
      </c>
      <c r="AQ68" s="520" t="str">
        <f>IF(AND(_AC2="A-321",'2023'!$E$4="CA",'2023'!$E$2=AQ43),'2023DATA'!$N$27,"")</f>
        <v/>
      </c>
      <c r="AR68" s="940" t="s">
        <v>48</v>
      </c>
      <c r="AS68" s="13" t="s">
        <v>61</v>
      </c>
      <c r="AT68" s="518" t="str">
        <f>IF(AND(_AC3="A-321",'2023'!$E$4="CA",'2023'!$E$2=AT43),'2023DATA'!$C$27,"")</f>
        <v/>
      </c>
      <c r="AU68" s="518" t="str">
        <f>IF(AND(_AC3="A-321",'2023'!$E$4="CA",'2023'!$E$2=AU43),'2023DATA'!$D$27,"")</f>
        <v/>
      </c>
      <c r="AV68" s="518" t="str">
        <f>IF(AND(_AC3="A-321",'2023'!$E$4="CA",'2023'!$E$2=AV43),'2023DATA'!$E$27,"")</f>
        <v/>
      </c>
      <c r="AW68" s="518" t="str">
        <f>IF(AND(_AC3="A-321",'2023'!$E$4="CA",'2023'!$E$2=AW43),'2023DATA'!$F$27,"")</f>
        <v/>
      </c>
      <c r="AX68" s="518" t="str">
        <f>IF(AND(_AC3="A-321",'2023'!$E$4="CA",'2023'!$E$2=AX43),'2023DATA'!$G$27,"")</f>
        <v/>
      </c>
      <c r="AY68" s="518" t="str">
        <f>IF(AND(_AC3="A-321",'2023'!$E$4="CA",'2023'!$E$2=AY43),'2023DATA'!$H$27,"")</f>
        <v/>
      </c>
      <c r="AZ68" s="518" t="str">
        <f>IF(AND(_AC3="A-321",'2023'!$E$4="CA",'2023'!$E$2=AZ43),'2023DATA'!$I$27,"")</f>
        <v/>
      </c>
      <c r="BA68" s="518" t="str">
        <f>IF(AND(_AC3="A-321",'2023'!$E$4="CA",'2023'!$E$2=BA43),'2023DATA'!$J$27,"")</f>
        <v/>
      </c>
      <c r="BB68" s="518" t="str">
        <f>IF(AND(_AC3="A-321",'2023'!$E$4="CA",'2023'!$E$2=BB43),'2023DATA'!$K$27,"")</f>
        <v/>
      </c>
      <c r="BC68" s="518" t="str">
        <f>IF(AND(_AC3="A-321",'2023'!$E$4="CA",'2023'!$E$2=BC43),'2023DATA'!$L$27,"")</f>
        <v/>
      </c>
      <c r="BD68" s="518" t="str">
        <f>IF(AND(_AC3="A-321",'2023'!$E$4="CA",'2023'!$E$2=BD43),'2023DATA'!$M$27,"")</f>
        <v/>
      </c>
      <c r="BE68" s="520" t="str">
        <f>IF(AND(_AC3="A-321",'2023'!$E$4="CA",'2023'!$E$2=BE43),'2023DATA'!$N$27,"")</f>
        <v/>
      </c>
      <c r="BF68" s="940" t="s">
        <v>48</v>
      </c>
      <c r="BG68" s="13" t="s">
        <v>61</v>
      </c>
      <c r="BH68" s="518" t="str">
        <f>IF(AND(_AC4="A-321",'2023'!$E$4="CA",'2023'!$E$2=BH43),'2023DATA'!$C$27,"")</f>
        <v/>
      </c>
      <c r="BI68" s="518" t="str">
        <f>IF(AND(_AC4="A-321",'2023'!$E$4="CA",'2023'!$E$2=BI43),'2023DATA'!$D$27,"")</f>
        <v/>
      </c>
      <c r="BJ68" s="518" t="str">
        <f>IF(AND(_AC4="A-321",'2023'!$E$4="CA",'2023'!$E$2=BJ43),'2023DATA'!$E$27,"")</f>
        <v/>
      </c>
      <c r="BK68" s="518" t="str">
        <f>IF(AND(_AC4="A-321",'2023'!$E$4="CA",'2023'!$E$2=BK43),'2023DATA'!$F$27,"")</f>
        <v/>
      </c>
      <c r="BL68" s="518" t="str">
        <f>IF(AND(_AC4="A-321",'2023'!$E$4="CA",'2023'!$E$2=BL43),'2023DATA'!$G$27,"")</f>
        <v/>
      </c>
      <c r="BM68" s="518" t="str">
        <f>IF(AND(_AC4="A-321",'2023'!$E$4="CA",'2023'!$E$2=BM43),'2023DATA'!$H$27,"")</f>
        <v/>
      </c>
      <c r="BN68" s="518" t="str">
        <f>IF(AND(_AC4="A-321",'2023'!$E$4="CA",'2023'!$E$2=BN43),'2023DATA'!$I$27,"")</f>
        <v/>
      </c>
      <c r="BO68" s="518" t="str">
        <f>IF(AND(_AC4="A-321",'2023'!$E$4="CA",'2023'!$E$2=BO43),'2023DATA'!$J$27,"")</f>
        <v/>
      </c>
      <c r="BP68" s="518" t="str">
        <f>IF(AND(_AC4="A-321",'2023'!$E$4="CA",'2023'!$E$2=BP43),'2023DATA'!$K$27,"")</f>
        <v/>
      </c>
      <c r="BQ68" s="518" t="str">
        <f>IF(AND(_AC4="A-321",'2023'!$E$4="CA",'2023'!$E$2=BQ43),'2023DATA'!$L$27,"")</f>
        <v/>
      </c>
      <c r="BR68" s="518" t="str">
        <f>IF(AND(_AC4="A-321",'2023'!$E$4="CA",'2023'!$E$2=BR43),'2023DATA'!$M$27,"")</f>
        <v/>
      </c>
      <c r="BS68" s="520" t="str">
        <f>IF(AND(_AC4="A-321",'2023'!$E$4="CA",'2023'!$E$2=BS43),'2023DATA'!$N$27,"")</f>
        <v/>
      </c>
      <c r="BT68" s="940" t="s">
        <v>48</v>
      </c>
      <c r="BU68" s="13" t="s">
        <v>61</v>
      </c>
      <c r="BV68" s="518" t="str">
        <f>IF(AND(_AC5="A-321",'2023'!$E$4="CA",'2023'!$E$2=BV43),'2023DATA'!$C$27,"")</f>
        <v/>
      </c>
      <c r="BW68" s="518" t="str">
        <f>IF(AND(_AC5="A-321",'2023'!$E$4="CA",'2023'!$E$2=BW43),'2023DATA'!$D$27,"")</f>
        <v/>
      </c>
      <c r="BX68" s="518" t="str">
        <f>IF(AND(_AC5="A-321",'2023'!$E$4="CA",'2023'!$E$2=BX43),'2023DATA'!$E$27,"")</f>
        <v/>
      </c>
      <c r="BY68" s="518" t="str">
        <f>IF(AND(_AC5="A-321",'2023'!$E$4="CA",'2023'!$E$2=BY43),'2023DATA'!$F$27,"")</f>
        <v/>
      </c>
      <c r="BZ68" s="518" t="str">
        <f>IF(AND(_AC5="A-321",'2023'!$E$4="CA",'2023'!$E$2=BZ43),'2023DATA'!$G$27,"")</f>
        <v/>
      </c>
      <c r="CA68" s="518" t="str">
        <f>IF(AND(_AC5="A-321",'2023'!$E$4="CA",'2023'!$E$2=CA43),'2023DATA'!$H$27,"")</f>
        <v/>
      </c>
      <c r="CB68" s="518" t="str">
        <f>IF(AND(_AC5="A-321",'2023'!$E$4="CA",'2023'!$E$2=CB43),'2023DATA'!$I$27,"")</f>
        <v/>
      </c>
      <c r="CC68" s="518" t="str">
        <f>IF(AND(_AC5="A-321",'2023'!$E$4="CA",'2023'!$E$2=CC43),'2023DATA'!$J$27,"")</f>
        <v/>
      </c>
      <c r="CD68" s="518" t="str">
        <f>IF(AND(_AC5="A-321",'2023'!$E$4="CA",'2023'!$E$2=CD43),'2023DATA'!$K$27,"")</f>
        <v/>
      </c>
      <c r="CE68" s="518" t="str">
        <f>IF(AND(_AC5="A-321",'2023'!$E$4="CA",'2023'!$E$2=CE43),'2023DATA'!$L$27,"")</f>
        <v/>
      </c>
      <c r="CF68" s="518" t="str">
        <f>IF(AND(_AC5="A-321",'2023'!$E$4="CA",'2023'!$E$2=CF43),'2023DATA'!$M$27,"")</f>
        <v/>
      </c>
      <c r="CG68" s="520" t="str">
        <f>IF(AND(_AC5="A-321",'2023'!$E$4="CA",'2023'!$E$2=CG43),'2023DATA'!$N$27,"")</f>
        <v/>
      </c>
      <c r="CH68" s="940" t="s">
        <v>48</v>
      </c>
      <c r="CI68" s="13" t="s">
        <v>61</v>
      </c>
      <c r="CJ68" s="518" t="str">
        <f>IF(AND(_AC6="A-321",'2023'!$E$4="CA",'2023'!$E$2=CJ43),'2023DATA'!$C$27,"")</f>
        <v/>
      </c>
      <c r="CK68" s="518" t="str">
        <f>IF(AND(_AC6="A-321",'2023'!$E$4="CA",'2023'!$E$2=CK43),'2023DATA'!$D$27,"")</f>
        <v/>
      </c>
      <c r="CL68" s="518" t="str">
        <f>IF(AND(_AC6="A-321",'2023'!$E$4="CA",'2023'!$E$2=CL43),'2023DATA'!$E$27,"")</f>
        <v/>
      </c>
      <c r="CM68" s="518" t="str">
        <f>IF(AND(_AC6="A-321",'2023'!$E$4="CA",'2023'!$E$2=CM43),'2023DATA'!$F$27,"")</f>
        <v/>
      </c>
      <c r="CN68" s="518" t="str">
        <f>IF(AND(_AC6="A-321",'2023'!$E$4="CA",'2023'!$E$2=CN43),'2023DATA'!$G$27,"")</f>
        <v/>
      </c>
      <c r="CO68" s="518" t="str">
        <f>IF(AND(_AC6="A-321",'2023'!$E$4="CA",'2023'!$E$2=CO43),'2023DATA'!$H$27,"")</f>
        <v/>
      </c>
      <c r="CP68" s="518" t="str">
        <f>IF(AND(_AC6="A-321",'2023'!$E$4="CA",'2023'!$E$2=CP43),'2023DATA'!$I$27,"")</f>
        <v/>
      </c>
      <c r="CQ68" s="518" t="str">
        <f>IF(AND(_AC6="A-321",'2023'!$E$4="CA",'2023'!$E$2=CQ43),'2023DATA'!$J$27,"")</f>
        <v/>
      </c>
      <c r="CR68" s="518" t="str">
        <f>IF(AND(_AC6="A-321",'2023'!$E$4="CA",'2023'!$E$2=CR43),'2023DATA'!$K$27,"")</f>
        <v/>
      </c>
      <c r="CS68" s="518" t="str">
        <f>IF(AND(_AC6="A-321",'2023'!$E$4="CA",'2023'!$E$2=CS43),'2023DATA'!$L$27,"")</f>
        <v/>
      </c>
      <c r="CT68" s="518" t="str">
        <f>IF(AND(_AC6="A-321",'2023'!$E$4="CA",'2023'!$E$2=CT43),'2023DATA'!$M$27,"")</f>
        <v/>
      </c>
      <c r="CU68" s="520" t="str">
        <f>IF(AND(_AC6="A-321",'2023'!$E$4="CA",'2023'!$E$2=CU43),'2023DATA'!$N$27,"")</f>
        <v/>
      </c>
    </row>
    <row r="69" spans="16:99" x14ac:dyDescent="0.25">
      <c r="P69" s="940"/>
      <c r="Q69" s="13" t="s">
        <v>62</v>
      </c>
      <c r="R69" s="518" t="str">
        <f>IF(AND(_AC1="A-321",'2023'!$E$4="FO",'2023'!$E$2=R43),'2023DATA'!$C$28,"")</f>
        <v/>
      </c>
      <c r="S69" s="518" t="str">
        <f>IF(AND(_AC1="A-321",'2023'!$E$4="FO",'2023'!$E$2=S43),'2023DATA'!$D$28,"")</f>
        <v/>
      </c>
      <c r="T69" s="518" t="str">
        <f>IF(AND(_AC1="A-321",'2023'!$E$4="FO",'2023'!$E$2=T43),'2023DATA'!$E$28,"")</f>
        <v/>
      </c>
      <c r="U69" s="518" t="str">
        <f>IF(AND(_AC1="A-321",'2023'!$E$4="FO",'2023'!$E$2=U43),'2023DATA'!$F$28,"")</f>
        <v/>
      </c>
      <c r="V69" s="518" t="str">
        <f>IF(AND(_AC1="A-321",'2023'!$E$4="FO",'2023'!$E$2=V43),'2023DATA'!$G$28,"")</f>
        <v/>
      </c>
      <c r="W69" s="518" t="str">
        <f>IF(AND(_AC1="A-321",'2023'!$E$4="FO",'2023'!$E$2=W43),'2023DATA'!$H$28,"")</f>
        <v/>
      </c>
      <c r="X69" s="518" t="str">
        <f>IF(AND(_AC1="A-321",'2023'!$E$4="FO",'2023'!$E$2=X43),'2023DATA'!$I$28,"")</f>
        <v/>
      </c>
      <c r="Y69" s="518" t="str">
        <f>IF(AND(_AC1="A-321",'2023'!$E$4="FO",'2023'!$E$2=Y43),'2023DATA'!$J$28,"")</f>
        <v/>
      </c>
      <c r="Z69" s="518" t="str">
        <f>IF(AND(_AC1="A-321",'2023'!$E$4="FO",'2023'!$E$2=Z43),'2023DATA'!$K$28,"")</f>
        <v/>
      </c>
      <c r="AA69" s="518" t="str">
        <f>IF(AND(_AC1="A-321",'2023'!$E$4="FO",'2023'!$E$2=AA43),'2023DATA'!$L$28,"")</f>
        <v/>
      </c>
      <c r="AB69" s="518" t="str">
        <f>IF(AND(_AC1="A-321",'2023'!$E$4="FO",'2023'!$E$2=AB43),'2023DATA'!$M$28,"")</f>
        <v/>
      </c>
      <c r="AC69" s="520" t="str">
        <f>IF(AND(_AC1="A-321",'2023'!$E$4="FO",'2023'!$E$2=AC43),'2023DATA'!$N$28,"")</f>
        <v/>
      </c>
      <c r="AD69" s="940"/>
      <c r="AE69" s="13" t="s">
        <v>62</v>
      </c>
      <c r="AF69" s="518" t="str">
        <f>IF(AND(_AC2="A-321",'2023'!$E$4="FO",'2023'!$E$2=AF43),'2023DATA'!$C$28,"")</f>
        <v/>
      </c>
      <c r="AG69" s="518" t="str">
        <f>IF(AND(_AC2="A-321",'2023'!$E$4="FO",'2023'!$E$2=AG43),'2023DATA'!$D$28,"")</f>
        <v/>
      </c>
      <c r="AH69" s="518" t="str">
        <f>IF(AND(_AC2="A-321",'2023'!$E$4="FO",'2023'!$E$2=AH43),'2023DATA'!$E$28,"")</f>
        <v/>
      </c>
      <c r="AI69" s="518" t="str">
        <f>IF(AND(_AC2="A-321",'2023'!$E$4="FO",'2023'!$E$2=AI43),'2023DATA'!$F$28,"")</f>
        <v/>
      </c>
      <c r="AJ69" s="518" t="str">
        <f>IF(AND(_AC2="A-321",'2023'!$E$4="FO",'2023'!$E$2=AJ43),'2023DATA'!$G$28,"")</f>
        <v/>
      </c>
      <c r="AK69" s="518" t="str">
        <f>IF(AND(_AC2="A-321",'2023'!$E$4="FO",'2023'!$E$2=AK43),'2023DATA'!$H$28,"")</f>
        <v/>
      </c>
      <c r="AL69" s="518" t="str">
        <f>IF(AND(_AC2="A-321",'2023'!$E$4="FO",'2023'!$E$2=AL43),'2023DATA'!$I$28,"")</f>
        <v/>
      </c>
      <c r="AM69" s="518" t="str">
        <f>IF(AND(_AC2="A-321",'2023'!$E$4="FO",'2023'!$E$2=AM43),'2023DATA'!$J$28,"")</f>
        <v/>
      </c>
      <c r="AN69" s="518" t="str">
        <f>IF(AND(_AC2="A-321",'2023'!$E$4="FO",'2023'!$E$2=AN43),'2023DATA'!$K$28,"")</f>
        <v/>
      </c>
      <c r="AO69" s="518" t="str">
        <f>IF(AND(_AC2="A-321",'2023'!$E$4="FO",'2023'!$E$2=AO43),'2023DATA'!$L$28,"")</f>
        <v/>
      </c>
      <c r="AP69" s="518" t="str">
        <f>IF(AND(_AC2="A-321",'2023'!$E$4="FO",'2023'!$E$2=AP43),'2023DATA'!$M$28,"")</f>
        <v/>
      </c>
      <c r="AQ69" s="520" t="str">
        <f>IF(AND(_AC2="A-321",'2023'!$E$4="FO",'2023'!$E$2=AQ43),'2023DATA'!$N$28,"")</f>
        <v/>
      </c>
      <c r="AR69" s="940"/>
      <c r="AS69" s="13" t="s">
        <v>62</v>
      </c>
      <c r="AT69" s="518" t="str">
        <f>IF(AND(_AC3="A-321",'2023'!$E$4="FO",'2023'!$E$2=AT43),'2023DATA'!$C$28,"")</f>
        <v/>
      </c>
      <c r="AU69" s="518" t="str">
        <f>IF(AND(_AC3="A-321",'2023'!$E$4="FO",'2023'!$E$2=AU43),'2023DATA'!$D$28,"")</f>
        <v/>
      </c>
      <c r="AV69" s="518" t="str">
        <f>IF(AND(_AC3="A-321",'2023'!$E$4="FO",'2023'!$E$2=AV43),'2023DATA'!$E$28,"")</f>
        <v/>
      </c>
      <c r="AW69" s="518" t="str">
        <f>IF(AND(_AC3="A-321",'2023'!$E$4="FO",'2023'!$E$2=AW43),'2023DATA'!$F$28,"")</f>
        <v/>
      </c>
      <c r="AX69" s="518" t="str">
        <f>IF(AND(_AC3="A-321",'2023'!$E$4="FO",'2023'!$E$2=AX43),'2023DATA'!$G$28,"")</f>
        <v/>
      </c>
      <c r="AY69" s="518" t="str">
        <f>IF(AND(_AC3="A-321",'2023'!$E$4="FO",'2023'!$E$2=AY43),'2023DATA'!$H$28,"")</f>
        <v/>
      </c>
      <c r="AZ69" s="518" t="str">
        <f>IF(AND(_AC3="A-321",'2023'!$E$4="FO",'2023'!$E$2=AZ43),'2023DATA'!$I$28,"")</f>
        <v/>
      </c>
      <c r="BA69" s="518" t="str">
        <f>IF(AND(_AC3="A-321",'2023'!$E$4="FO",'2023'!$E$2=BA43),'2023DATA'!$J$28,"")</f>
        <v/>
      </c>
      <c r="BB69" s="518" t="str">
        <f>IF(AND(_AC3="A-321",'2023'!$E$4="FO",'2023'!$E$2=BB43),'2023DATA'!$K$28,"")</f>
        <v/>
      </c>
      <c r="BC69" s="518" t="str">
        <f>IF(AND(_AC3="A-321",'2023'!$E$4="FO",'2023'!$E$2=BC43),'2023DATA'!$L$28,"")</f>
        <v/>
      </c>
      <c r="BD69" s="518" t="str">
        <f>IF(AND(_AC3="A-321",'2023'!$E$4="FO",'2023'!$E$2=BD43),'2023DATA'!$M$28,"")</f>
        <v/>
      </c>
      <c r="BE69" s="520" t="str">
        <f>IF(AND(_AC3="A-321",'2023'!$E$4="FO",'2023'!$E$2=BE43),'2023DATA'!$N$28,"")</f>
        <v/>
      </c>
      <c r="BF69" s="940"/>
      <c r="BG69" s="13" t="s">
        <v>62</v>
      </c>
      <c r="BH69" s="518" t="str">
        <f>IF(AND(_AC4="A-321",'2023'!$E$4="FO",'2023'!$E$2=BH43),'2023DATA'!$C$28,"")</f>
        <v/>
      </c>
      <c r="BI69" s="518" t="str">
        <f>IF(AND(_AC4="A-321",'2023'!$E$4="FO",'2023'!$E$2=BI43),'2023DATA'!$D$28,"")</f>
        <v/>
      </c>
      <c r="BJ69" s="518" t="str">
        <f>IF(AND(_AC4="A-321",'2023'!$E$4="FO",'2023'!$E$2=BJ43),'2023DATA'!$E$28,"")</f>
        <v/>
      </c>
      <c r="BK69" s="518" t="str">
        <f>IF(AND(_AC4="A-321",'2023'!$E$4="FO",'2023'!$E$2=BK43),'2023DATA'!$F$28,"")</f>
        <v/>
      </c>
      <c r="BL69" s="518" t="str">
        <f>IF(AND(_AC4="A-321",'2023'!$E$4="FO",'2023'!$E$2=BL43),'2023DATA'!$G$28,"")</f>
        <v/>
      </c>
      <c r="BM69" s="518" t="str">
        <f>IF(AND(_AC4="A-321",'2023'!$E$4="FO",'2023'!$E$2=BM43),'2023DATA'!$H$28,"")</f>
        <v/>
      </c>
      <c r="BN69" s="518" t="str">
        <f>IF(AND(_AC4="A-321",'2023'!$E$4="FO",'2023'!$E$2=BN43),'2023DATA'!$I$28,"")</f>
        <v/>
      </c>
      <c r="BO69" s="518" t="str">
        <f>IF(AND(_AC4="A-321",'2023'!$E$4="FO",'2023'!$E$2=BO43),'2023DATA'!$J$28,"")</f>
        <v/>
      </c>
      <c r="BP69" s="518" t="str">
        <f>IF(AND(_AC4="A-321",'2023'!$E$4="FO",'2023'!$E$2=BP43),'2023DATA'!$K$28,"")</f>
        <v/>
      </c>
      <c r="BQ69" s="518" t="str">
        <f>IF(AND(_AC4="A-321",'2023'!$E$4="FO",'2023'!$E$2=BQ43),'2023DATA'!$L$28,"")</f>
        <v/>
      </c>
      <c r="BR69" s="518" t="str">
        <f>IF(AND(_AC4="A-321",'2023'!$E$4="FO",'2023'!$E$2=BR43),'2023DATA'!$M$28,"")</f>
        <v/>
      </c>
      <c r="BS69" s="520" t="str">
        <f>IF(AND(_AC4="A-321",'2023'!$E$4="FO",'2023'!$E$2=BS43),'2023DATA'!$N$28,"")</f>
        <v/>
      </c>
      <c r="BT69" s="940"/>
      <c r="BU69" s="13" t="s">
        <v>62</v>
      </c>
      <c r="BV69" s="518" t="str">
        <f>IF(AND(_AC5="A-321",'2023'!$E$4="FO",'2023'!$E$2=BV43),'2023DATA'!$C$28,"")</f>
        <v/>
      </c>
      <c r="BW69" s="518" t="str">
        <f>IF(AND(_AC5="A-321",'2023'!$E$4="FO",'2023'!$E$2=BW43),'2023DATA'!$D$28,"")</f>
        <v/>
      </c>
      <c r="BX69" s="518" t="str">
        <f>IF(AND(_AC5="A-321",'2023'!$E$4="FO",'2023'!$E$2=BX43),'2023DATA'!$E$28,"")</f>
        <v/>
      </c>
      <c r="BY69" s="518" t="str">
        <f>IF(AND(_AC5="A-321",'2023'!$E$4="FO",'2023'!$E$2=BY43),'2023DATA'!$F$28,"")</f>
        <v/>
      </c>
      <c r="BZ69" s="518" t="str">
        <f>IF(AND(_AC5="A-321",'2023'!$E$4="FO",'2023'!$E$2=BZ43),'2023DATA'!$G$28,"")</f>
        <v/>
      </c>
      <c r="CA69" s="518" t="str">
        <f>IF(AND(_AC5="A-321",'2023'!$E$4="FO",'2023'!$E$2=CA43),'2023DATA'!$H$28,"")</f>
        <v/>
      </c>
      <c r="CB69" s="518" t="str">
        <f>IF(AND(_AC5="A-321",'2023'!$E$4="FO",'2023'!$E$2=CB43),'2023DATA'!$I$28,"")</f>
        <v/>
      </c>
      <c r="CC69" s="518" t="str">
        <f>IF(AND(_AC5="A-321",'2023'!$E$4="FO",'2023'!$E$2=CC43),'2023DATA'!$J$28,"")</f>
        <v/>
      </c>
      <c r="CD69" s="518" t="str">
        <f>IF(AND(_AC5="A-321",'2023'!$E$4="FO",'2023'!$E$2=CD43),'2023DATA'!$K$28,"")</f>
        <v/>
      </c>
      <c r="CE69" s="518" t="str">
        <f>IF(AND(_AC5="A-321",'2023'!$E$4="FO",'2023'!$E$2=CE43),'2023DATA'!$L$28,"")</f>
        <v/>
      </c>
      <c r="CF69" s="518" t="str">
        <f>IF(AND(_AC5="A-321",'2023'!$E$4="FO",'2023'!$E$2=CF43),'2023DATA'!$M$28,"")</f>
        <v/>
      </c>
      <c r="CG69" s="520" t="str">
        <f>IF(AND(_AC5="A-321",'2023'!$E$4="FO",'2023'!$E$2=CG43),'2023DATA'!$N$28,"")</f>
        <v/>
      </c>
      <c r="CH69" s="940"/>
      <c r="CI69" s="13" t="s">
        <v>62</v>
      </c>
      <c r="CJ69" s="518" t="str">
        <f>IF(AND(_AC6="A-321",'2023'!$E$4="FO",'2023'!$E$2=CJ43),'2023DATA'!$C$28,"")</f>
        <v/>
      </c>
      <c r="CK69" s="518" t="str">
        <f>IF(AND(_AC6="A-321",'2023'!$E$4="FO",'2023'!$E$2=CK43),'2023DATA'!$D$28,"")</f>
        <v/>
      </c>
      <c r="CL69" s="518" t="str">
        <f>IF(AND(_AC6="A-321",'2023'!$E$4="FO",'2023'!$E$2=CL43),'2023DATA'!$E$28,"")</f>
        <v/>
      </c>
      <c r="CM69" s="518" t="str">
        <f>IF(AND(_AC6="A-321",'2023'!$E$4="FO",'2023'!$E$2=CM43),'2023DATA'!$F$28,"")</f>
        <v/>
      </c>
      <c r="CN69" s="518" t="str">
        <f>IF(AND(_AC6="A-321",'2023'!$E$4="FO",'2023'!$E$2=CN43),'2023DATA'!$G$28,"")</f>
        <v/>
      </c>
      <c r="CO69" s="518" t="str">
        <f>IF(AND(_AC6="A-321",'2023'!$E$4="FO",'2023'!$E$2=CO43),'2023DATA'!$H$28,"")</f>
        <v/>
      </c>
      <c r="CP69" s="518" t="str">
        <f>IF(AND(_AC6="A-321",'2023'!$E$4="FO",'2023'!$E$2=CP43),'2023DATA'!$I$28,"")</f>
        <v/>
      </c>
      <c r="CQ69" s="518" t="str">
        <f>IF(AND(_AC6="A-321",'2023'!$E$4="FO",'2023'!$E$2=CQ43),'2023DATA'!$J$28,"")</f>
        <v/>
      </c>
      <c r="CR69" s="518" t="str">
        <f>IF(AND(_AC6="A-321",'2023'!$E$4="FO",'2023'!$E$2=CR43),'2023DATA'!$K$28,"")</f>
        <v/>
      </c>
      <c r="CS69" s="518" t="str">
        <f>IF(AND(_AC6="A-321",'2023'!$E$4="FO",'2023'!$E$2=CS43),'2023DATA'!$L$28,"")</f>
        <v/>
      </c>
      <c r="CT69" s="518" t="str">
        <f>IF(AND(_AC6="A-321",'2023'!$E$4="FO",'2023'!$E$2=CT43),'2023DATA'!$M$28,"")</f>
        <v/>
      </c>
      <c r="CU69" s="520" t="str">
        <f>IF(AND(_AC6="A-321",'2023'!$E$4="FO",'2023'!$E$2=CU43),'2023DATA'!$N$28,"")</f>
        <v/>
      </c>
    </row>
    <row r="70" spans="16:99" x14ac:dyDescent="0.25">
      <c r="P70" s="940" t="s">
        <v>70</v>
      </c>
      <c r="Q70" s="13" t="s">
        <v>61</v>
      </c>
      <c r="R70" s="518" t="str">
        <f>IF(AND(_AC1="A-320",'2023'!$E$4="CA",'2023'!$E$2=R43),'2023DATA'!$C$29,"")</f>
        <v/>
      </c>
      <c r="S70" s="518" t="str">
        <f>IF(AND(_AC1="A-320",'2023'!$E$4="CA",'2023'!$E$2=S43),'2023DATA'!$D$29,"")</f>
        <v/>
      </c>
      <c r="T70" s="518" t="str">
        <f>IF(AND(_AC1="A-320",'2023'!$E$4="CA",'2023'!$E$2=T43),'2023DATA'!$E$29,"")</f>
        <v/>
      </c>
      <c r="U70" s="518" t="str">
        <f>IF(AND(_AC1="A-320",'2023'!$E$4="CA",'2023'!$E$2=U43),'2023DATA'!$F$29,"")</f>
        <v/>
      </c>
      <c r="V70" s="518" t="str">
        <f>IF(AND(_AC1="A-320",'2023'!$E$4="CA",'2023'!$E$2=V43),'2023DATA'!$G$29,"")</f>
        <v/>
      </c>
      <c r="W70" s="518" t="str">
        <f>IF(AND(_AC1="A-320",'2023'!$E$4="CA",'2023'!$E$2=W43),'2023DATA'!$H$29,"")</f>
        <v/>
      </c>
      <c r="X70" s="518" t="str">
        <f>IF(AND(_AC1="A-320",'2023'!$E$4="CA",'2023'!$E$2=X43),'2023DATA'!$I$29,"")</f>
        <v/>
      </c>
      <c r="Y70" s="518" t="str">
        <f>IF(AND(_AC1="A-320",'2023'!$E$4="CA",'2023'!$E$2=Y43),'2023DATA'!$J$29,"")</f>
        <v/>
      </c>
      <c r="Z70" s="518" t="str">
        <f>IF(AND(_AC1="A-320",'2023'!$E$4="CA",'2023'!$E$2=Z43),'2023DATA'!$K$29,"")</f>
        <v/>
      </c>
      <c r="AA70" s="518" t="str">
        <f>IF(AND(_AC1="A-320",'2023'!$E$4="CA",'2023'!$E$2=AA43),'2023DATA'!$L$29,"")</f>
        <v/>
      </c>
      <c r="AB70" s="518" t="str">
        <f>IF(AND(_AC1="A-320",'2023'!$E$4="CA",'2023'!$E$2=AB43),'2023DATA'!$M$29,"")</f>
        <v/>
      </c>
      <c r="AC70" s="520" t="str">
        <f>IF(AND(_AC1="A-320",'2023'!$E$4="CA",'2023'!$E$2=AC43),'2023DATA'!$N$29,"")</f>
        <v/>
      </c>
      <c r="AD70" s="940" t="s">
        <v>70</v>
      </c>
      <c r="AE70" s="13" t="s">
        <v>61</v>
      </c>
      <c r="AF70" s="518" t="str">
        <f>IF(AND(_AC2="A-320",'2023'!$E$4="CA",'2023'!$E$2=AF43),'2023DATA'!$C$29,"")</f>
        <v/>
      </c>
      <c r="AG70" s="518" t="str">
        <f>IF(AND(_AC2="A-320",'2023'!$E$4="CA",'2023'!$E$2=AG43),'2023DATA'!$D$29,"")</f>
        <v/>
      </c>
      <c r="AH70" s="518" t="str">
        <f>IF(AND(_AC2="A-320",'2023'!$E$4="CA",'2023'!$E$2=AH43),'2023DATA'!$E$29,"")</f>
        <v/>
      </c>
      <c r="AI70" s="518" t="str">
        <f>IF(AND(_AC2="A-320",'2023'!$E$4="CA",'2023'!$E$2=AI43),'2023DATA'!$F$29,"")</f>
        <v/>
      </c>
      <c r="AJ70" s="518" t="str">
        <f>IF(AND(_AC2="A-320",'2023'!$E$4="CA",'2023'!$E$2=AJ43),'2023DATA'!$G$29,"")</f>
        <v/>
      </c>
      <c r="AK70" s="518" t="str">
        <f>IF(AND(_AC2="A-320",'2023'!$E$4="CA",'2023'!$E$2=AK43),'2023DATA'!$H$29,"")</f>
        <v/>
      </c>
      <c r="AL70" s="518" t="str">
        <f>IF(AND(_AC2="A-320",'2023'!$E$4="CA",'2023'!$E$2=AL43),'2023DATA'!$I$29,"")</f>
        <v/>
      </c>
      <c r="AM70" s="518" t="str">
        <f>IF(AND(_AC2="A-320",'2023'!$E$4="CA",'2023'!$E$2=AM43),'2023DATA'!$J$29,"")</f>
        <v/>
      </c>
      <c r="AN70" s="518" t="str">
        <f>IF(AND(_AC2="A-320",'2023'!$E$4="CA",'2023'!$E$2=AN43),'2023DATA'!$K$29,"")</f>
        <v/>
      </c>
      <c r="AO70" s="518" t="str">
        <f>IF(AND(_AC2="A-320",'2023'!$E$4="CA",'2023'!$E$2=AO43),'2023DATA'!$L$29,"")</f>
        <v/>
      </c>
      <c r="AP70" s="518" t="str">
        <f>IF(AND(_AC2="A-320",'2023'!$E$4="CA",'2023'!$E$2=AP43),'2023DATA'!$M$29,"")</f>
        <v/>
      </c>
      <c r="AQ70" s="520" t="str">
        <f>IF(AND(_AC2="A-320",'2023'!$E$4="CA",'2023'!$E$2=AQ43),'2023DATA'!$N$29,"")</f>
        <v/>
      </c>
      <c r="AR70" s="940" t="s">
        <v>70</v>
      </c>
      <c r="AS70" s="13" t="s">
        <v>61</v>
      </c>
      <c r="AT70" s="518" t="str">
        <f>IF(AND(_AC3="A-320",'2023'!$E$4="CA",'2023'!$E$2=AT43),'2023DATA'!$C$29,"")</f>
        <v/>
      </c>
      <c r="AU70" s="518" t="str">
        <f>IF(AND(_AC3="A-320",'2023'!$E$4="CA",'2023'!$E$2=AU43),'2023DATA'!$D$29,"")</f>
        <v/>
      </c>
      <c r="AV70" s="518" t="str">
        <f>IF(AND(_AC3="A-320",'2023'!$E$4="CA",'2023'!$E$2=AV43),'2023DATA'!$E$29,"")</f>
        <v/>
      </c>
      <c r="AW70" s="518" t="str">
        <f>IF(AND(_AC3="A-320",'2023'!$E$4="CA",'2023'!$E$2=AW43),'2023DATA'!$F$29,"")</f>
        <v/>
      </c>
      <c r="AX70" s="518" t="str">
        <f>IF(AND(_AC3="A-320",'2023'!$E$4="CA",'2023'!$E$2=AX43),'2023DATA'!$G$29,"")</f>
        <v/>
      </c>
      <c r="AY70" s="518" t="str">
        <f>IF(AND(_AC3="A-320",'2023'!$E$4="CA",'2023'!$E$2=AY43),'2023DATA'!$H$29,"")</f>
        <v/>
      </c>
      <c r="AZ70" s="518" t="str">
        <f>IF(AND(_AC3="A-320",'2023'!$E$4="CA",'2023'!$E$2=AZ43),'2023DATA'!$I$29,"")</f>
        <v/>
      </c>
      <c r="BA70" s="518" t="str">
        <f>IF(AND(_AC3="A-320",'2023'!$E$4="CA",'2023'!$E$2=BA43),'2023DATA'!$J$29,"")</f>
        <v/>
      </c>
      <c r="BB70" s="518" t="str">
        <f>IF(AND(_AC3="A-320",'2023'!$E$4="CA",'2023'!$E$2=BB43),'2023DATA'!$K$29,"")</f>
        <v/>
      </c>
      <c r="BC70" s="518" t="str">
        <f>IF(AND(_AC3="A-320",'2023'!$E$4="CA",'2023'!$E$2=BC43),'2023DATA'!$L$29,"")</f>
        <v/>
      </c>
      <c r="BD70" s="518" t="str">
        <f>IF(AND(_AC3="A-320",'2023'!$E$4="CA",'2023'!$E$2=BD43),'2023DATA'!$M$29,"")</f>
        <v/>
      </c>
      <c r="BE70" s="520" t="str">
        <f>IF(AND(_AC3="A-320",'2023'!$E$4="CA",'2023'!$E$2=BE43),'2023DATA'!$N$29,"")</f>
        <v/>
      </c>
      <c r="BF70" s="940" t="s">
        <v>70</v>
      </c>
      <c r="BG70" s="13" t="s">
        <v>61</v>
      </c>
      <c r="BH70" s="518" t="str">
        <f>IF(AND(_AC4="A-320",'2023'!$E$4="CA",'2023'!$E$2=BH43),'2023DATA'!$C$29,"")</f>
        <v/>
      </c>
      <c r="BI70" s="518" t="str">
        <f>IF(AND(_AC4="A-320",'2023'!$E$4="CA",'2023'!$E$2=BI43),'2023DATA'!$D$29,"")</f>
        <v/>
      </c>
      <c r="BJ70" s="518" t="str">
        <f>IF(AND(_AC4="A-320",'2023'!$E$4="CA",'2023'!$E$2=BJ43),'2023DATA'!$E$29,"")</f>
        <v/>
      </c>
      <c r="BK70" s="518" t="str">
        <f>IF(AND(_AC4="A-320",'2023'!$E$4="CA",'2023'!$E$2=BK43),'2023DATA'!$F$29,"")</f>
        <v/>
      </c>
      <c r="BL70" s="518" t="str">
        <f>IF(AND(_AC4="A-320",'2023'!$E$4="CA",'2023'!$E$2=BL43),'2023DATA'!$G$29,"")</f>
        <v/>
      </c>
      <c r="BM70" s="518" t="str">
        <f>IF(AND(_AC4="A-320",'2023'!$E$4="CA",'2023'!$E$2=BM43),'2023DATA'!$H$29,"")</f>
        <v/>
      </c>
      <c r="BN70" s="518" t="str">
        <f>IF(AND(_AC4="A-320",'2023'!$E$4="CA",'2023'!$E$2=BN43),'2023DATA'!$I$29,"")</f>
        <v/>
      </c>
      <c r="BO70" s="518" t="str">
        <f>IF(AND(_AC4="A-320",'2023'!$E$4="CA",'2023'!$E$2=BO43),'2023DATA'!$J$29,"")</f>
        <v/>
      </c>
      <c r="BP70" s="518" t="str">
        <f>IF(AND(_AC4="A-320",'2023'!$E$4="CA",'2023'!$E$2=BP43),'2023DATA'!$K$29,"")</f>
        <v/>
      </c>
      <c r="BQ70" s="518" t="str">
        <f>IF(AND(_AC4="A-320",'2023'!$E$4="CA",'2023'!$E$2=BQ43),'2023DATA'!$L$29,"")</f>
        <v/>
      </c>
      <c r="BR70" s="518" t="str">
        <f>IF(AND(_AC4="A-320",'2023'!$E$4="CA",'2023'!$E$2=BR43),'2023DATA'!$M$29,"")</f>
        <v/>
      </c>
      <c r="BS70" s="520" t="str">
        <f>IF(AND(_AC4="A-320",'2023'!$E$4="CA",'2023'!$E$2=BS43),'2023DATA'!$N$29,"")</f>
        <v/>
      </c>
      <c r="BT70" s="940" t="s">
        <v>70</v>
      </c>
      <c r="BU70" s="13" t="s">
        <v>61</v>
      </c>
      <c r="BV70" s="518" t="str">
        <f>IF(AND(_AC5="A-320",'2023'!$E$4="CA",'2023'!$E$2=BV43),'2023DATA'!$C$29,"")</f>
        <v/>
      </c>
      <c r="BW70" s="518" t="str">
        <f>IF(AND(_AC5="A-320",'2023'!$E$4="CA",'2023'!$E$2=BW43),'2023DATA'!$D$29,"")</f>
        <v/>
      </c>
      <c r="BX70" s="518" t="str">
        <f>IF(AND(_AC5="A-320",'2023'!$E$4="CA",'2023'!$E$2=BX43),'2023DATA'!$E$29,"")</f>
        <v/>
      </c>
      <c r="BY70" s="518" t="str">
        <f>IF(AND(_AC5="A-320",'2023'!$E$4="CA",'2023'!$E$2=BY43),'2023DATA'!$F$29,"")</f>
        <v/>
      </c>
      <c r="BZ70" s="518" t="str">
        <f>IF(AND(_AC5="A-320",'2023'!$E$4="CA",'2023'!$E$2=BZ43),'2023DATA'!$G$29,"")</f>
        <v/>
      </c>
      <c r="CA70" s="518" t="str">
        <f>IF(AND(_AC5="A-320",'2023'!$E$4="CA",'2023'!$E$2=CA43),'2023DATA'!$H$29,"")</f>
        <v/>
      </c>
      <c r="CB70" s="518" t="str">
        <f>IF(AND(_AC5="A-320",'2023'!$E$4="CA",'2023'!$E$2=CB43),'2023DATA'!$I$29,"")</f>
        <v/>
      </c>
      <c r="CC70" s="518" t="str">
        <f>IF(AND(_AC5="A-320",'2023'!$E$4="CA",'2023'!$E$2=CC43),'2023DATA'!$J$29,"")</f>
        <v/>
      </c>
      <c r="CD70" s="518" t="str">
        <f>IF(AND(_AC5="A-320",'2023'!$E$4="CA",'2023'!$E$2=CD43),'2023DATA'!$K$29,"")</f>
        <v/>
      </c>
      <c r="CE70" s="518" t="str">
        <f>IF(AND(_AC5="A-320",'2023'!$E$4="CA",'2023'!$E$2=CE43),'2023DATA'!$L$29,"")</f>
        <v/>
      </c>
      <c r="CF70" s="518" t="str">
        <f>IF(AND(_AC5="A-320",'2023'!$E$4="CA",'2023'!$E$2=CF43),'2023DATA'!$M$29,"")</f>
        <v/>
      </c>
      <c r="CG70" s="520" t="str">
        <f>IF(AND(_AC5="A-320",'2023'!$E$4="CA",'2023'!$E$2=CG43),'2023DATA'!$N$29,"")</f>
        <v/>
      </c>
      <c r="CH70" s="940" t="s">
        <v>70</v>
      </c>
      <c r="CI70" s="13" t="s">
        <v>61</v>
      </c>
      <c r="CJ70" s="518" t="str">
        <f>IF(AND(_AC6="A-320",'2023'!$E$4="CA",'2023'!$E$2=CJ43),'2023DATA'!$C$29,"")</f>
        <v/>
      </c>
      <c r="CK70" s="518" t="str">
        <f>IF(AND(_AC6="A-320",'2023'!$E$4="CA",'2023'!$E$2=CK43),'2023DATA'!$D$29,"")</f>
        <v/>
      </c>
      <c r="CL70" s="518" t="str">
        <f>IF(AND(_AC6="A-320",'2023'!$E$4="CA",'2023'!$E$2=CL43),'2023DATA'!$E$29,"")</f>
        <v/>
      </c>
      <c r="CM70" s="518" t="str">
        <f>IF(AND(_AC6="A-320",'2023'!$E$4="CA",'2023'!$E$2=CM43),'2023DATA'!$F$29,"")</f>
        <v/>
      </c>
      <c r="CN70" s="518" t="str">
        <f>IF(AND(_AC6="A-320",'2023'!$E$4="CA",'2023'!$E$2=CN43),'2023DATA'!$G$29,"")</f>
        <v/>
      </c>
      <c r="CO70" s="518" t="str">
        <f>IF(AND(_AC6="A-320",'2023'!$E$4="CA",'2023'!$E$2=CO43),'2023DATA'!$H$29,"")</f>
        <v/>
      </c>
      <c r="CP70" s="518" t="str">
        <f>IF(AND(_AC6="A-320",'2023'!$E$4="CA",'2023'!$E$2=CP43),'2023DATA'!$I$29,"")</f>
        <v/>
      </c>
      <c r="CQ70" s="518" t="str">
        <f>IF(AND(_AC6="A-320",'2023'!$E$4="CA",'2023'!$E$2=CQ43),'2023DATA'!$J$29,"")</f>
        <v/>
      </c>
      <c r="CR70" s="518" t="str">
        <f>IF(AND(_AC6="A-320",'2023'!$E$4="CA",'2023'!$E$2=CR43),'2023DATA'!$K$29,"")</f>
        <v/>
      </c>
      <c r="CS70" s="518" t="str">
        <f>IF(AND(_AC6="A-320",'2023'!$E$4="CA",'2023'!$E$2=CS43),'2023DATA'!$L$29,"")</f>
        <v/>
      </c>
      <c r="CT70" s="518" t="str">
        <f>IF(AND(_AC6="A-320",'2023'!$E$4="CA",'2023'!$E$2=CT43),'2023DATA'!$M$29,"")</f>
        <v/>
      </c>
      <c r="CU70" s="520" t="str">
        <f>IF(AND(_AC6="A-320",'2023'!$E$4="CA",'2023'!$E$2=CU43),'2023DATA'!$N$29,"")</f>
        <v/>
      </c>
    </row>
    <row r="71" spans="16:99" x14ac:dyDescent="0.25">
      <c r="P71" s="940"/>
      <c r="Q71" s="13" t="s">
        <v>62</v>
      </c>
      <c r="R71" s="518" t="str">
        <f>IF(AND(_AC1="A-320",'2023'!$E$4="FO",'2023'!$E$2=R43),'2023DATA'!$C$30,"")</f>
        <v/>
      </c>
      <c r="S71" s="518" t="str">
        <f>IF(AND(_AC1="A-320",'2023'!$E$4="FO",'2023'!$E$2=S43),'2023DATA'!$D$30,"")</f>
        <v/>
      </c>
      <c r="T71" s="518" t="str">
        <f>IF(AND(_AC1="A-320",'2023'!$E$4="FO",'2023'!$E$2=T43),'2023DATA'!$E$30,"")</f>
        <v/>
      </c>
      <c r="U71" s="518" t="str">
        <f>IF(AND(_AC1="A-320",'2023'!$E$4="FO",'2023'!$E$2=U43),'2023DATA'!$F$30,"")</f>
        <v/>
      </c>
      <c r="V71" s="518" t="str">
        <f>IF(AND(_AC1="A-320",'2023'!$E$4="FO",'2023'!$E$2=V43),'2023DATA'!$G$30,"")</f>
        <v/>
      </c>
      <c r="W71" s="518" t="str">
        <f>IF(AND(_AC1="A-320",'2023'!$E$4="FO",'2023'!$E$2=W43),'2023DATA'!$H$30,"")</f>
        <v/>
      </c>
      <c r="X71" s="518" t="str">
        <f>IF(AND(_AC1="A-320",'2023'!$E$4="FO",'2023'!$E$2=X43),'2023DATA'!$I$30,"")</f>
        <v/>
      </c>
      <c r="Y71" s="518" t="str">
        <f>IF(AND(_AC1="A-320",'2023'!$E$4="FO",'2023'!$E$2=Y43),'2023DATA'!$J$30,"")</f>
        <v/>
      </c>
      <c r="Z71" s="518" t="str">
        <f>IF(AND(_AC1="A-320",'2023'!$E$4="FO",'2023'!$E$2=Z43),'2023DATA'!$K$30,"")</f>
        <v/>
      </c>
      <c r="AA71" s="518" t="str">
        <f>IF(AND(_AC1="A-320",'2023'!$E$4="FO",'2023'!$E$2=AA43),'2023DATA'!$L$30,"")</f>
        <v/>
      </c>
      <c r="AB71" s="518" t="str">
        <f>IF(AND(_AC1="A-320",'2023'!$E$4="FO",'2023'!$E$2=AB43),'2023DATA'!$M$30,"")</f>
        <v/>
      </c>
      <c r="AC71" s="520" t="str">
        <f>IF(AND(_AC1="A-320",'2023'!$E$4="FO",'2023'!$E$2=AC43),'2023DATA'!$N$30,"")</f>
        <v/>
      </c>
      <c r="AD71" s="940"/>
      <c r="AE71" s="13" t="s">
        <v>62</v>
      </c>
      <c r="AF71" s="518" t="str">
        <f>IF(AND(_AC2="A-320",'2023'!$E$4="FO",'2023'!$E$2=AF43),'2023DATA'!$C$30,"")</f>
        <v/>
      </c>
      <c r="AG71" s="518" t="str">
        <f>IF(AND(_AC2="A-320",'2023'!$E$4="FO",'2023'!$E$2=AG43),'2023DATA'!$D$30,"")</f>
        <v/>
      </c>
      <c r="AH71" s="518" t="str">
        <f>IF(AND(_AC2="A-320",'2023'!$E$4="FO",'2023'!$E$2=AH43),'2023DATA'!$E$30,"")</f>
        <v/>
      </c>
      <c r="AI71" s="518" t="str">
        <f>IF(AND(_AC2="A-320",'2023'!$E$4="FO",'2023'!$E$2=AI43),'2023DATA'!$F$30,"")</f>
        <v/>
      </c>
      <c r="AJ71" s="518" t="str">
        <f>IF(AND(_AC2="A-320",'2023'!$E$4="FO",'2023'!$E$2=AJ43),'2023DATA'!$G$30,"")</f>
        <v/>
      </c>
      <c r="AK71" s="518" t="str">
        <f>IF(AND(_AC2="A-320",'2023'!$E$4="FO",'2023'!$E$2=AK43),'2023DATA'!$H$30,"")</f>
        <v/>
      </c>
      <c r="AL71" s="518" t="str">
        <f>IF(AND(_AC2="A-320",'2023'!$E$4="FO",'2023'!$E$2=AL43),'2023DATA'!$I$30,"")</f>
        <v/>
      </c>
      <c r="AM71" s="518" t="str">
        <f>IF(AND(_AC2="A-320",'2023'!$E$4="FO",'2023'!$E$2=AM43),'2023DATA'!$J$30,"")</f>
        <v/>
      </c>
      <c r="AN71" s="518" t="str">
        <f>IF(AND(_AC2="A-320",'2023'!$E$4="FO",'2023'!$E$2=AN43),'2023DATA'!$K$30,"")</f>
        <v/>
      </c>
      <c r="AO71" s="518" t="str">
        <f>IF(AND(_AC2="A-320",'2023'!$E$4="FO",'2023'!$E$2=AO43),'2023DATA'!$L$30,"")</f>
        <v/>
      </c>
      <c r="AP71" s="518" t="str">
        <f>IF(AND(_AC2="A-320",'2023'!$E$4="FO",'2023'!$E$2=AP43),'2023DATA'!$M$30,"")</f>
        <v/>
      </c>
      <c r="AQ71" s="520" t="str">
        <f>IF(AND(_AC2="A-320",'2023'!$E$4="FO",'2023'!$E$2=AQ43),'2023DATA'!$N$30,"")</f>
        <v/>
      </c>
      <c r="AR71" s="940"/>
      <c r="AS71" s="13" t="s">
        <v>62</v>
      </c>
      <c r="AT71" s="518" t="str">
        <f>IF(AND(_AC3="A-320",'2023'!$E$4="FO",'2023'!$E$2=AT43),'2023DATA'!$C$30,"")</f>
        <v/>
      </c>
      <c r="AU71" s="518" t="str">
        <f>IF(AND(_AC3="A-320",'2023'!$E$4="FO",'2023'!$E$2=AU43),'2023DATA'!$D$30,"")</f>
        <v/>
      </c>
      <c r="AV71" s="518" t="str">
        <f>IF(AND(_AC3="A-320",'2023'!$E$4="FO",'2023'!$E$2=AV43),'2023DATA'!$E$30,"")</f>
        <v/>
      </c>
      <c r="AW71" s="518" t="str">
        <f>IF(AND(_AC3="A-320",'2023'!$E$4="FO",'2023'!$E$2=AW43),'2023DATA'!$F$30,"")</f>
        <v/>
      </c>
      <c r="AX71" s="518" t="str">
        <f>IF(AND(_AC3="A-320",'2023'!$E$4="FO",'2023'!$E$2=AX43),'2023DATA'!$G$30,"")</f>
        <v/>
      </c>
      <c r="AY71" s="518" t="str">
        <f>IF(AND(_AC3="A-320",'2023'!$E$4="FO",'2023'!$E$2=AY43),'2023DATA'!$H$30,"")</f>
        <v/>
      </c>
      <c r="AZ71" s="518" t="str">
        <f>IF(AND(_AC3="A-320",'2023'!$E$4="FO",'2023'!$E$2=AZ43),'2023DATA'!$I$30,"")</f>
        <v/>
      </c>
      <c r="BA71" s="518" t="str">
        <f>IF(AND(_AC3="A-320",'2023'!$E$4="FO",'2023'!$E$2=BA43),'2023DATA'!$J$30,"")</f>
        <v/>
      </c>
      <c r="BB71" s="518" t="str">
        <f>IF(AND(_AC3="A-320",'2023'!$E$4="FO",'2023'!$E$2=BB43),'2023DATA'!$K$30,"")</f>
        <v/>
      </c>
      <c r="BC71" s="518" t="str">
        <f>IF(AND(_AC3="A-320",'2023'!$E$4="FO",'2023'!$E$2=BC43),'2023DATA'!$L$30,"")</f>
        <v/>
      </c>
      <c r="BD71" s="518" t="str">
        <f>IF(AND(_AC3="A-320",'2023'!$E$4="FO",'2023'!$E$2=BD43),'2023DATA'!$M$30,"")</f>
        <v/>
      </c>
      <c r="BE71" s="520" t="str">
        <f>IF(AND(_AC3="A-320",'2023'!$E$4="FO",'2023'!$E$2=BE43),'2023DATA'!$N$30,"")</f>
        <v/>
      </c>
      <c r="BF71" s="940"/>
      <c r="BG71" s="13" t="s">
        <v>62</v>
      </c>
      <c r="BH71" s="518" t="str">
        <f>IF(AND(_AC4="A-320",'2023'!$E$4="FO",'2023'!$E$2=BH43),'2023DATA'!$C$30,"")</f>
        <v/>
      </c>
      <c r="BI71" s="518" t="str">
        <f>IF(AND(_AC4="A-320",'2023'!$E$4="FO",'2023'!$E$2=BI43),'2023DATA'!$D$30,"")</f>
        <v/>
      </c>
      <c r="BJ71" s="518" t="str">
        <f>IF(AND(_AC4="A-320",'2023'!$E$4="FO",'2023'!$E$2=BJ43),'2023DATA'!$E$30,"")</f>
        <v/>
      </c>
      <c r="BK71" s="518" t="str">
        <f>IF(AND(_AC4="A-320",'2023'!$E$4="FO",'2023'!$E$2=BK43),'2023DATA'!$F$30,"")</f>
        <v/>
      </c>
      <c r="BL71" s="518" t="str">
        <f>IF(AND(_AC4="A-320",'2023'!$E$4="FO",'2023'!$E$2=BL43),'2023DATA'!$G$30,"")</f>
        <v/>
      </c>
      <c r="BM71" s="518" t="str">
        <f>IF(AND(_AC4="A-320",'2023'!$E$4="FO",'2023'!$E$2=BM43),'2023DATA'!$H$30,"")</f>
        <v/>
      </c>
      <c r="BN71" s="518" t="str">
        <f>IF(AND(_AC4="A-320",'2023'!$E$4="FO",'2023'!$E$2=BN43),'2023DATA'!$I$30,"")</f>
        <v/>
      </c>
      <c r="BO71" s="518" t="str">
        <f>IF(AND(_AC4="A-320",'2023'!$E$4="FO",'2023'!$E$2=BO43),'2023DATA'!$J$30,"")</f>
        <v/>
      </c>
      <c r="BP71" s="518" t="str">
        <f>IF(AND(_AC4="A-320",'2023'!$E$4="FO",'2023'!$E$2=BP43),'2023DATA'!$K$30,"")</f>
        <v/>
      </c>
      <c r="BQ71" s="518" t="str">
        <f>IF(AND(_AC4="A-320",'2023'!$E$4="FO",'2023'!$E$2=BQ43),'2023DATA'!$L$30,"")</f>
        <v/>
      </c>
      <c r="BR71" s="518" t="str">
        <f>IF(AND(_AC4="A-320",'2023'!$E$4="FO",'2023'!$E$2=BR43),'2023DATA'!$M$30,"")</f>
        <v/>
      </c>
      <c r="BS71" s="520" t="str">
        <f>IF(AND(_AC4="A-320",'2023'!$E$4="FO",'2023'!$E$2=BS43),'2023DATA'!$N$30,"")</f>
        <v/>
      </c>
      <c r="BT71" s="940"/>
      <c r="BU71" s="13" t="s">
        <v>62</v>
      </c>
      <c r="BV71" s="518" t="str">
        <f>IF(AND(_AC5="A-320",'2023'!$E$4="FO",'2023'!$E$2=BV43),'2023DATA'!$C$30,"")</f>
        <v/>
      </c>
      <c r="BW71" s="518" t="str">
        <f>IF(AND(_AC5="A-320",'2023'!$E$4="FO",'2023'!$E$2=BW43),'2023DATA'!$D$30,"")</f>
        <v/>
      </c>
      <c r="BX71" s="518" t="str">
        <f>IF(AND(_AC5="A-320",'2023'!$E$4="FO",'2023'!$E$2=BX43),'2023DATA'!$E$30,"")</f>
        <v/>
      </c>
      <c r="BY71" s="518" t="str">
        <f>IF(AND(_AC5="A-320",'2023'!$E$4="FO",'2023'!$E$2=BY43),'2023DATA'!$F$30,"")</f>
        <v/>
      </c>
      <c r="BZ71" s="518" t="str">
        <f>IF(AND(_AC5="A-320",'2023'!$E$4="FO",'2023'!$E$2=BZ43),'2023DATA'!$G$30,"")</f>
        <v/>
      </c>
      <c r="CA71" s="518" t="str">
        <f>IF(AND(_AC5="A-320",'2023'!$E$4="FO",'2023'!$E$2=CA43),'2023DATA'!$H$30,"")</f>
        <v/>
      </c>
      <c r="CB71" s="518" t="str">
        <f>IF(AND(_AC5="A-320",'2023'!$E$4="FO",'2023'!$E$2=CB43),'2023DATA'!$I$30,"")</f>
        <v/>
      </c>
      <c r="CC71" s="518" t="str">
        <f>IF(AND(_AC5="A-320",'2023'!$E$4="FO",'2023'!$E$2=CC43),'2023DATA'!$J$30,"")</f>
        <v/>
      </c>
      <c r="CD71" s="518" t="str">
        <f>IF(AND(_AC5="A-320",'2023'!$E$4="FO",'2023'!$E$2=CD43),'2023DATA'!$K$30,"")</f>
        <v/>
      </c>
      <c r="CE71" s="518" t="str">
        <f>IF(AND(_AC5="A-320",'2023'!$E$4="FO",'2023'!$E$2=CE43),'2023DATA'!$L$30,"")</f>
        <v/>
      </c>
      <c r="CF71" s="518" t="str">
        <f>IF(AND(_AC5="A-320",'2023'!$E$4="FO",'2023'!$E$2=CF43),'2023DATA'!$M$30,"")</f>
        <v/>
      </c>
      <c r="CG71" s="520" t="str">
        <f>IF(AND(_AC5="A-320",'2023'!$E$4="FO",'2023'!$E$2=CG43),'2023DATA'!$N$30,"")</f>
        <v/>
      </c>
      <c r="CH71" s="940"/>
      <c r="CI71" s="13" t="s">
        <v>62</v>
      </c>
      <c r="CJ71" s="518" t="str">
        <f>IF(AND(_AC6="A-320",'2023'!$E$4="FO",'2023'!$E$2=CJ43),'2023DATA'!$C$30,"")</f>
        <v/>
      </c>
      <c r="CK71" s="518" t="str">
        <f>IF(AND(_AC6="A-320",'2023'!$E$4="FO",'2023'!$E$2=CK43),'2023DATA'!$D$30,"")</f>
        <v/>
      </c>
      <c r="CL71" s="518" t="str">
        <f>IF(AND(_AC6="A-320",'2023'!$E$4="FO",'2023'!$E$2=CL43),'2023DATA'!$E$30,"")</f>
        <v/>
      </c>
      <c r="CM71" s="518" t="str">
        <f>IF(AND(_AC6="A-320",'2023'!$E$4="FO",'2023'!$E$2=CM43),'2023DATA'!$F$30,"")</f>
        <v/>
      </c>
      <c r="CN71" s="518" t="str">
        <f>IF(AND(_AC6="A-320",'2023'!$E$4="FO",'2023'!$E$2=CN43),'2023DATA'!$G$30,"")</f>
        <v/>
      </c>
      <c r="CO71" s="518" t="str">
        <f>IF(AND(_AC6="A-320",'2023'!$E$4="FO",'2023'!$E$2=CO43),'2023DATA'!$H$30,"")</f>
        <v/>
      </c>
      <c r="CP71" s="518" t="str">
        <f>IF(AND(_AC6="A-320",'2023'!$E$4="FO",'2023'!$E$2=CP43),'2023DATA'!$I$30,"")</f>
        <v/>
      </c>
      <c r="CQ71" s="518" t="str">
        <f>IF(AND(_AC6="A-320",'2023'!$E$4="FO",'2023'!$E$2=CQ43),'2023DATA'!$J$30,"")</f>
        <v/>
      </c>
      <c r="CR71" s="518" t="str">
        <f>IF(AND(_AC6="A-320",'2023'!$E$4="FO",'2023'!$E$2=CR43),'2023DATA'!$K$30,"")</f>
        <v/>
      </c>
      <c r="CS71" s="518" t="str">
        <f>IF(AND(_AC6="A-320",'2023'!$E$4="FO",'2023'!$E$2=CS43),'2023DATA'!$L$30,"")</f>
        <v/>
      </c>
      <c r="CT71" s="518" t="str">
        <f>IF(AND(_AC6="A-320",'2023'!$E$4="FO",'2023'!$E$2=CT43),'2023DATA'!$M$30,"")</f>
        <v/>
      </c>
      <c r="CU71" s="520" t="str">
        <f>IF(AND(_AC6="A-320",'2023'!$E$4="FO",'2023'!$E$2=CU43),'2023DATA'!$N$30,"")</f>
        <v/>
      </c>
    </row>
    <row r="72" spans="16:99" x14ac:dyDescent="0.25">
      <c r="P72" s="940" t="s">
        <v>71</v>
      </c>
      <c r="Q72" s="13" t="s">
        <v>61</v>
      </c>
      <c r="R72" s="518" t="str">
        <f>IF(AND(_AC1="A-319",'2023'!$E$4="CA",'2023'!$E$2=R43),'2023DATA'!$C$31,"")</f>
        <v/>
      </c>
      <c r="S72" s="518" t="str">
        <f>IF(AND(_AC1="A-319",'2023'!$E$4="CA",'2023'!$E$2=S43),'2023DATA'!$D$31,"")</f>
        <v/>
      </c>
      <c r="T72" s="518" t="str">
        <f>IF(AND(_AC1="A-319",'2023'!$E$4="CA",'2023'!$E$2=T43),'2023DATA'!$E$31,"")</f>
        <v/>
      </c>
      <c r="U72" s="518" t="str">
        <f>IF(AND(_AC1="A-319",'2023'!$E$4="CA",'2023'!$E$2=U43),'2023DATA'!$F$31,"")</f>
        <v/>
      </c>
      <c r="V72" s="518" t="str">
        <f>IF(AND(_AC1="A-319",'2023'!$E$4="CA",'2023'!$E$2=V43),'2023DATA'!$G$31,"")</f>
        <v/>
      </c>
      <c r="W72" s="518" t="str">
        <f>IF(AND(_AC1="A-319",'2023'!$E$4="CA",'2023'!$E$2=W43),'2023DATA'!$H$31,"")</f>
        <v/>
      </c>
      <c r="X72" s="518" t="str">
        <f>IF(AND(_AC1="A-319",'2023'!$E$4="CA",'2023'!$E$2=X43),'2023DATA'!$I$31,"")</f>
        <v/>
      </c>
      <c r="Y72" s="518" t="str">
        <f>IF(AND(_AC1="A-319",'2023'!$E$4="CA",'2023'!$E$2=Y43),'2023DATA'!$J$31,"")</f>
        <v/>
      </c>
      <c r="Z72" s="518" t="str">
        <f>IF(AND(_AC1="A-319",'2023'!$E$4="CA",'2023'!$E$2=Z43),'2023DATA'!$K$31,"")</f>
        <v/>
      </c>
      <c r="AA72" s="518" t="str">
        <f>IF(AND(_AC1="A-319",'2023'!$E$4="CA",'2023'!$E$2=AA43),'2023DATA'!$L$31,"")</f>
        <v/>
      </c>
      <c r="AB72" s="518" t="str">
        <f>IF(AND(_AC1="A-319",'2023'!$E$4="CA",'2023'!$E$2=AB43),'2023DATA'!$M$31,"")</f>
        <v/>
      </c>
      <c r="AC72" s="520" t="str">
        <f>IF(AND(_AC1="A-319",'2023'!$E$4="CA",'2023'!$E$2=AC43),'2023DATA'!$N$31,"")</f>
        <v/>
      </c>
      <c r="AD72" s="940" t="s">
        <v>71</v>
      </c>
      <c r="AE72" s="13" t="s">
        <v>61</v>
      </c>
      <c r="AF72" s="518" t="str">
        <f>IF(AND(_AC2="A-319",'2023'!$E$4="CA",'2023'!$E$2=AF43),'2023DATA'!$C$31,"")</f>
        <v/>
      </c>
      <c r="AG72" s="518" t="str">
        <f>IF(AND(_AC2="A-319",'2023'!$E$4="CA",'2023'!$E$2=AG43),'2023DATA'!$D$31,"")</f>
        <v/>
      </c>
      <c r="AH72" s="518" t="str">
        <f>IF(AND(_AC2="A-319",'2023'!$E$4="CA",'2023'!$E$2=AH43),'2023DATA'!$E$31,"")</f>
        <v/>
      </c>
      <c r="AI72" s="518" t="str">
        <f>IF(AND(_AC2="A-319",'2023'!$E$4="CA",'2023'!$E$2=AI43),'2023DATA'!$F$31,"")</f>
        <v/>
      </c>
      <c r="AJ72" s="518" t="str">
        <f>IF(AND(_AC2="A-319",'2023'!$E$4="CA",'2023'!$E$2=AJ43),'2023DATA'!$G$31,"")</f>
        <v/>
      </c>
      <c r="AK72" s="518" t="str">
        <f>IF(AND(_AC2="A-319",'2023'!$E$4="CA",'2023'!$E$2=AK43),'2023DATA'!$H$31,"")</f>
        <v/>
      </c>
      <c r="AL72" s="518" t="str">
        <f>IF(AND(_AC2="A-319",'2023'!$E$4="CA",'2023'!$E$2=AL43),'2023DATA'!$I$31,"")</f>
        <v/>
      </c>
      <c r="AM72" s="518" t="str">
        <f>IF(AND(_AC2="A-319",'2023'!$E$4="CA",'2023'!$E$2=AM43),'2023DATA'!$J$31,"")</f>
        <v/>
      </c>
      <c r="AN72" s="518" t="str">
        <f>IF(AND(_AC2="A-319",'2023'!$E$4="CA",'2023'!$E$2=AN43),'2023DATA'!$K$31,"")</f>
        <v/>
      </c>
      <c r="AO72" s="518" t="str">
        <f>IF(AND(_AC2="A-319",'2023'!$E$4="CA",'2023'!$E$2=AO43),'2023DATA'!$L$31,"")</f>
        <v/>
      </c>
      <c r="AP72" s="518" t="str">
        <f>IF(AND(_AC2="A-319",'2023'!$E$4="CA",'2023'!$E$2=AP43),'2023DATA'!$M$31,"")</f>
        <v/>
      </c>
      <c r="AQ72" s="520" t="str">
        <f>IF(AND(_AC2="A-319",'2023'!$E$4="CA",'2023'!$E$2=AQ43),'2023DATA'!$N$31,"")</f>
        <v/>
      </c>
      <c r="AR72" s="940" t="s">
        <v>71</v>
      </c>
      <c r="AS72" s="13" t="s">
        <v>61</v>
      </c>
      <c r="AT72" s="518" t="str">
        <f>IF(AND(_AC3="A-319",'2023'!$E$4="CA",'2023'!$E$2=AT43),'2023DATA'!$C$31,"")</f>
        <v/>
      </c>
      <c r="AU72" s="518" t="str">
        <f>IF(AND(_AC3="A-319",'2023'!$E$4="CA",'2023'!$E$2=AU43),'2023DATA'!$D$31,"")</f>
        <v/>
      </c>
      <c r="AV72" s="518" t="str">
        <f>IF(AND(_AC3="A-319",'2023'!$E$4="CA",'2023'!$E$2=AV43),'2023DATA'!$E$31,"")</f>
        <v/>
      </c>
      <c r="AW72" s="518" t="str">
        <f>IF(AND(_AC3="A-319",'2023'!$E$4="CA",'2023'!$E$2=AW43),'2023DATA'!$F$31,"")</f>
        <v/>
      </c>
      <c r="AX72" s="518" t="str">
        <f>IF(AND(_AC3="A-319",'2023'!$E$4="CA",'2023'!$E$2=AX43),'2023DATA'!$G$31,"")</f>
        <v/>
      </c>
      <c r="AY72" s="518" t="str">
        <f>IF(AND(_AC3="A-319",'2023'!$E$4="CA",'2023'!$E$2=AY43),'2023DATA'!$H$31,"")</f>
        <v/>
      </c>
      <c r="AZ72" s="518" t="str">
        <f>IF(AND(_AC3="A-319",'2023'!$E$4="CA",'2023'!$E$2=AZ43),'2023DATA'!$I$31,"")</f>
        <v/>
      </c>
      <c r="BA72" s="518" t="str">
        <f>IF(AND(_AC3="A-319",'2023'!$E$4="CA",'2023'!$E$2=BA43),'2023DATA'!$J$31,"")</f>
        <v/>
      </c>
      <c r="BB72" s="518" t="str">
        <f>IF(AND(_AC3="A-319",'2023'!$E$4="CA",'2023'!$E$2=BB43),'2023DATA'!$K$31,"")</f>
        <v/>
      </c>
      <c r="BC72" s="518" t="str">
        <f>IF(AND(_AC3="A-319",'2023'!$E$4="CA",'2023'!$E$2=BC43),'2023DATA'!$L$31,"")</f>
        <v/>
      </c>
      <c r="BD72" s="518" t="str">
        <f>IF(AND(_AC3="A-319",'2023'!$E$4="CA",'2023'!$E$2=BD43),'2023DATA'!$M$31,"")</f>
        <v/>
      </c>
      <c r="BE72" s="520" t="str">
        <f>IF(AND(_AC3="A-319",'2023'!$E$4="CA",'2023'!$E$2=BE43),'2023DATA'!$N$31,"")</f>
        <v/>
      </c>
      <c r="BF72" s="940" t="s">
        <v>71</v>
      </c>
      <c r="BG72" s="13" t="s">
        <v>61</v>
      </c>
      <c r="BH72" s="518" t="str">
        <f>IF(AND(_AC4="A-319",'2023'!$E$4="CA",'2023'!$E$2=BH43),'2023DATA'!$C$31,"")</f>
        <v/>
      </c>
      <c r="BI72" s="518" t="str">
        <f>IF(AND(_AC4="A-319",'2023'!$E$4="CA",'2023'!$E$2=BI43),'2023DATA'!$D$31,"")</f>
        <v/>
      </c>
      <c r="BJ72" s="518" t="str">
        <f>IF(AND(_AC4="A-319",'2023'!$E$4="CA",'2023'!$E$2=BJ43),'2023DATA'!$E$31,"")</f>
        <v/>
      </c>
      <c r="BK72" s="518" t="str">
        <f>IF(AND(_AC4="A-319",'2023'!$E$4="CA",'2023'!$E$2=BK43),'2023DATA'!$F$31,"")</f>
        <v/>
      </c>
      <c r="BL72" s="518" t="str">
        <f>IF(AND(_AC4="A-319",'2023'!$E$4="CA",'2023'!$E$2=BL43),'2023DATA'!$G$31,"")</f>
        <v/>
      </c>
      <c r="BM72" s="518" t="str">
        <f>IF(AND(_AC4="A-319",'2023'!$E$4="CA",'2023'!$E$2=BM43),'2023DATA'!$H$31,"")</f>
        <v/>
      </c>
      <c r="BN72" s="518" t="str">
        <f>IF(AND(_AC4="A-319",'2023'!$E$4="CA",'2023'!$E$2=BN43),'2023DATA'!$I$31,"")</f>
        <v/>
      </c>
      <c r="BO72" s="518" t="str">
        <f>IF(AND(_AC4="A-319",'2023'!$E$4="CA",'2023'!$E$2=BO43),'2023DATA'!$J$31,"")</f>
        <v/>
      </c>
      <c r="BP72" s="518" t="str">
        <f>IF(AND(_AC4="A-319",'2023'!$E$4="CA",'2023'!$E$2=BP43),'2023DATA'!$K$31,"")</f>
        <v/>
      </c>
      <c r="BQ72" s="518" t="str">
        <f>IF(AND(_AC4="A-319",'2023'!$E$4="CA",'2023'!$E$2=BQ43),'2023DATA'!$L$31,"")</f>
        <v/>
      </c>
      <c r="BR72" s="518" t="str">
        <f>IF(AND(_AC4="A-319",'2023'!$E$4="CA",'2023'!$E$2=BR43),'2023DATA'!$M$31,"")</f>
        <v/>
      </c>
      <c r="BS72" s="520" t="str">
        <f>IF(AND(_AC4="A-319",'2023'!$E$4="CA",'2023'!$E$2=BS43),'2023DATA'!$N$31,"")</f>
        <v/>
      </c>
      <c r="BT72" s="940" t="s">
        <v>71</v>
      </c>
      <c r="BU72" s="13" t="s">
        <v>61</v>
      </c>
      <c r="BV72" s="518" t="str">
        <f>IF(AND(_AC5="A-319",'2023'!$E$4="CA",'2023'!$E$2=BV43),'2023DATA'!$C$31,"")</f>
        <v/>
      </c>
      <c r="BW72" s="518" t="str">
        <f>IF(AND(_AC5="A-319",'2023'!$E$4="CA",'2023'!$E$2=BW43),'2023DATA'!$D$31,"")</f>
        <v/>
      </c>
      <c r="BX72" s="518" t="str">
        <f>IF(AND(_AC5="A-319",'2023'!$E$4="CA",'2023'!$E$2=BX43),'2023DATA'!$E$31,"")</f>
        <v/>
      </c>
      <c r="BY72" s="518" t="str">
        <f>IF(AND(_AC5="A-319",'2023'!$E$4="CA",'2023'!$E$2=BY43),'2023DATA'!$F$31,"")</f>
        <v/>
      </c>
      <c r="BZ72" s="518" t="str">
        <f>IF(AND(_AC5="A-319",'2023'!$E$4="CA",'2023'!$E$2=BZ43),'2023DATA'!$G$31,"")</f>
        <v/>
      </c>
      <c r="CA72" s="518" t="str">
        <f>IF(AND(_AC5="A-319",'2023'!$E$4="CA",'2023'!$E$2=CA43),'2023DATA'!$H$31,"")</f>
        <v/>
      </c>
      <c r="CB72" s="518" t="str">
        <f>IF(AND(_AC5="A-319",'2023'!$E$4="CA",'2023'!$E$2=CB43),'2023DATA'!$I$31,"")</f>
        <v/>
      </c>
      <c r="CC72" s="518" t="str">
        <f>IF(AND(_AC5="A-319",'2023'!$E$4="CA",'2023'!$E$2=CC43),'2023DATA'!$J$31,"")</f>
        <v/>
      </c>
      <c r="CD72" s="518" t="str">
        <f>IF(AND(_AC5="A-319",'2023'!$E$4="CA",'2023'!$E$2=CD43),'2023DATA'!$K$31,"")</f>
        <v/>
      </c>
      <c r="CE72" s="518" t="str">
        <f>IF(AND(_AC5="A-319",'2023'!$E$4="CA",'2023'!$E$2=CE43),'2023DATA'!$L$31,"")</f>
        <v/>
      </c>
      <c r="CF72" s="518" t="str">
        <f>IF(AND(_AC5="A-319",'2023'!$E$4="CA",'2023'!$E$2=CF43),'2023DATA'!$M$31,"")</f>
        <v/>
      </c>
      <c r="CG72" s="520" t="str">
        <f>IF(AND(_AC5="A-319",'2023'!$E$4="CA",'2023'!$E$2=CG43),'2023DATA'!$N$31,"")</f>
        <v/>
      </c>
      <c r="CH72" s="940" t="s">
        <v>71</v>
      </c>
      <c r="CI72" s="13" t="s">
        <v>61</v>
      </c>
      <c r="CJ72" s="518" t="str">
        <f>IF(AND(_AC6="A-319",'2023'!$E$4="CA",'2023'!$E$2=CJ43),'2023DATA'!$C$31,"")</f>
        <v/>
      </c>
      <c r="CK72" s="518" t="str">
        <f>IF(AND(_AC6="A-319",'2023'!$E$4="CA",'2023'!$E$2=CK43),'2023DATA'!$D$31,"")</f>
        <v/>
      </c>
      <c r="CL72" s="518" t="str">
        <f>IF(AND(_AC6="A-319",'2023'!$E$4="CA",'2023'!$E$2=CL43),'2023DATA'!$E$31,"")</f>
        <v/>
      </c>
      <c r="CM72" s="518" t="str">
        <f>IF(AND(_AC6="A-319",'2023'!$E$4="CA",'2023'!$E$2=CM43),'2023DATA'!$F$31,"")</f>
        <v/>
      </c>
      <c r="CN72" s="518" t="str">
        <f>IF(AND(_AC6="A-319",'2023'!$E$4="CA",'2023'!$E$2=CN43),'2023DATA'!$G$31,"")</f>
        <v/>
      </c>
      <c r="CO72" s="518" t="str">
        <f>IF(AND(_AC6="A-319",'2023'!$E$4="CA",'2023'!$E$2=CO43),'2023DATA'!$H$31,"")</f>
        <v/>
      </c>
      <c r="CP72" s="518" t="str">
        <f>IF(AND(_AC6="A-319",'2023'!$E$4="CA",'2023'!$E$2=CP43),'2023DATA'!$I$31,"")</f>
        <v/>
      </c>
      <c r="CQ72" s="518" t="str">
        <f>IF(AND(_AC6="A-319",'2023'!$E$4="CA",'2023'!$E$2=CQ43),'2023DATA'!$J$31,"")</f>
        <v/>
      </c>
      <c r="CR72" s="518" t="str">
        <f>IF(AND(_AC6="A-319",'2023'!$E$4="CA",'2023'!$E$2=CR43),'2023DATA'!$K$31,"")</f>
        <v/>
      </c>
      <c r="CS72" s="518" t="str">
        <f>IF(AND(_AC6="A-319",'2023'!$E$4="CA",'2023'!$E$2=CS43),'2023DATA'!$L$31,"")</f>
        <v/>
      </c>
      <c r="CT72" s="518" t="str">
        <f>IF(AND(_AC6="A-319",'2023'!$E$4="CA",'2023'!$E$2=CT43),'2023DATA'!$M$31,"")</f>
        <v/>
      </c>
      <c r="CU72" s="520" t="str">
        <f>IF(AND(_AC6="A-319",'2023'!$E$4="CA",'2023'!$E$2=CU43),'2023DATA'!$N$31,"")</f>
        <v/>
      </c>
    </row>
    <row r="73" spans="16:99" x14ac:dyDescent="0.25">
      <c r="P73" s="940"/>
      <c r="Q73" s="13" t="s">
        <v>62</v>
      </c>
      <c r="R73" s="518" t="str">
        <f>IF(AND(_AC1="A-319",'2023'!$E$4="FO",'2023'!$E$2=R43),'2023DATA'!$C$32,"")</f>
        <v/>
      </c>
      <c r="S73" s="518" t="str">
        <f>IF(AND(_AC1="A-319",'2023'!$E$4="FO",'2023'!$E$2=S43),'2023DATA'!$D$32,"")</f>
        <v/>
      </c>
      <c r="T73" s="518" t="str">
        <f>IF(AND(_AC1="A-319",'2023'!$E$4="FO",'2023'!$E$2=T43),'2023DATA'!$E$32,"")</f>
        <v/>
      </c>
      <c r="U73" s="518" t="str">
        <f>IF(AND(_AC1="A-319",'2023'!$E$4="FO",'2023'!$E$2=U43),'2023DATA'!$F$32,"")</f>
        <v/>
      </c>
      <c r="V73" s="518" t="str">
        <f>IF(AND(_AC1="A-319",'2023'!$E$4="FO",'2023'!$E$2=V43),'2023DATA'!$G$32,"")</f>
        <v/>
      </c>
      <c r="W73" s="518" t="str">
        <f>IF(AND(_AC1="A-319",'2023'!$E$4="FO",'2023'!$E$2=W43),'2023DATA'!$H$32,"")</f>
        <v/>
      </c>
      <c r="X73" s="518" t="str">
        <f>IF(AND(_AC1="A-319",'2023'!$E$4="FO",'2023'!$E$2=X43),'2023DATA'!$I$32,"")</f>
        <v/>
      </c>
      <c r="Y73" s="518" t="str">
        <f>IF(AND(_AC1="A-319",'2023'!$E$4="FO",'2023'!$E$2=Y43),'2023DATA'!$J$32,"")</f>
        <v/>
      </c>
      <c r="Z73" s="518" t="str">
        <f>IF(AND(_AC1="A-319",'2023'!$E$4="FO",'2023'!$E$2=Z43),'2023DATA'!$K$32,"")</f>
        <v/>
      </c>
      <c r="AA73" s="518" t="str">
        <f>IF(AND(_AC1="A-319",'2023'!$E$4="FO",'2023'!$E$2=AA43),'2023DATA'!$L$32,"")</f>
        <v/>
      </c>
      <c r="AB73" s="518" t="str">
        <f>IF(AND(_AC1="A-319",'2023'!$E$4="FO",'2023'!$E$2=AB43),'2023DATA'!$M$32,"")</f>
        <v/>
      </c>
      <c r="AC73" s="520" t="str">
        <f>IF(AND(_AC1="A-319",'2023'!$E$4="FO",'2023'!$E$2=AC43),'2023DATA'!$N$32,"")</f>
        <v/>
      </c>
      <c r="AD73" s="940"/>
      <c r="AE73" s="13" t="s">
        <v>62</v>
      </c>
      <c r="AF73" s="518" t="str">
        <f>IF(AND(_AC2="A-319",'2023'!$E$4="FO",'2023'!$E$2=AF43),'2023DATA'!$C$32,"")</f>
        <v/>
      </c>
      <c r="AG73" s="518" t="str">
        <f>IF(AND(_AC2="A-319",'2023'!$E$4="FO",'2023'!$E$2=AG43),'2023DATA'!$D$32,"")</f>
        <v/>
      </c>
      <c r="AH73" s="518" t="str">
        <f>IF(AND(_AC2="A-319",'2023'!$E$4="FO",'2023'!$E$2=AH43),'2023DATA'!$E$32,"")</f>
        <v/>
      </c>
      <c r="AI73" s="518" t="str">
        <f>IF(AND(_AC2="A-319",'2023'!$E$4="FO",'2023'!$E$2=AI43),'2023DATA'!$F$32,"")</f>
        <v/>
      </c>
      <c r="AJ73" s="518" t="str">
        <f>IF(AND(_AC2="A-319",'2023'!$E$4="FO",'2023'!$E$2=AJ43),'2023DATA'!$G$32,"")</f>
        <v/>
      </c>
      <c r="AK73" s="518" t="str">
        <f>IF(AND(_AC2="A-319",'2023'!$E$4="FO",'2023'!$E$2=AK43),'2023DATA'!$H$32,"")</f>
        <v/>
      </c>
      <c r="AL73" s="518" t="str">
        <f>IF(AND(_AC2="A-319",'2023'!$E$4="FO",'2023'!$E$2=AL43),'2023DATA'!$I$32,"")</f>
        <v/>
      </c>
      <c r="AM73" s="518" t="str">
        <f>IF(AND(_AC2="A-319",'2023'!$E$4="FO",'2023'!$E$2=AM43),'2023DATA'!$J$32,"")</f>
        <v/>
      </c>
      <c r="AN73" s="518" t="str">
        <f>IF(AND(_AC2="A-319",'2023'!$E$4="FO",'2023'!$E$2=AN43),'2023DATA'!$K$32,"")</f>
        <v/>
      </c>
      <c r="AO73" s="518" t="str">
        <f>IF(AND(_AC2="A-319",'2023'!$E$4="FO",'2023'!$E$2=AO43),'2023DATA'!$L$32,"")</f>
        <v/>
      </c>
      <c r="AP73" s="518" t="str">
        <f>IF(AND(_AC2="A-319",'2023'!$E$4="FO",'2023'!$E$2=AP43),'2023DATA'!$M$32,"")</f>
        <v/>
      </c>
      <c r="AQ73" s="520" t="str">
        <f>IF(AND(_AC2="A-319",'2023'!$E$4="FO",'2023'!$E$2=AQ43),'2023DATA'!$N$32,"")</f>
        <v/>
      </c>
      <c r="AR73" s="940"/>
      <c r="AS73" s="13" t="s">
        <v>62</v>
      </c>
      <c r="AT73" s="518" t="str">
        <f>IF(AND(_AC3="A-319",'2023'!$E$4="FO",'2023'!$E$2=AT43),'2023DATA'!$C$32,"")</f>
        <v/>
      </c>
      <c r="AU73" s="518" t="str">
        <f>IF(AND(_AC3="A-319",'2023'!$E$4="FO",'2023'!$E$2=AU43),'2023DATA'!$D$32,"")</f>
        <v/>
      </c>
      <c r="AV73" s="518" t="str">
        <f>IF(AND(_AC3="A-319",'2023'!$E$4="FO",'2023'!$E$2=AV43),'2023DATA'!$E$32,"")</f>
        <v/>
      </c>
      <c r="AW73" s="518" t="str">
        <f>IF(AND(_AC3="A-319",'2023'!$E$4="FO",'2023'!$E$2=AW43),'2023DATA'!$F$32,"")</f>
        <v/>
      </c>
      <c r="AX73" s="518" t="str">
        <f>IF(AND(_AC3="A-319",'2023'!$E$4="FO",'2023'!$E$2=AX43),'2023DATA'!$G$32,"")</f>
        <v/>
      </c>
      <c r="AY73" s="518" t="str">
        <f>IF(AND(_AC3="A-319",'2023'!$E$4="FO",'2023'!$E$2=AY43),'2023DATA'!$H$32,"")</f>
        <v/>
      </c>
      <c r="AZ73" s="518" t="str">
        <f>IF(AND(_AC3="A-319",'2023'!$E$4="FO",'2023'!$E$2=AZ43),'2023DATA'!$I$32,"")</f>
        <v/>
      </c>
      <c r="BA73" s="518" t="str">
        <f>IF(AND(_AC3="A-319",'2023'!$E$4="FO",'2023'!$E$2=BA43),'2023DATA'!$J$32,"")</f>
        <v/>
      </c>
      <c r="BB73" s="518" t="str">
        <f>IF(AND(_AC3="A-319",'2023'!$E$4="FO",'2023'!$E$2=BB43),'2023DATA'!$K$32,"")</f>
        <v/>
      </c>
      <c r="BC73" s="518" t="str">
        <f>IF(AND(_AC3="A-319",'2023'!$E$4="FO",'2023'!$E$2=BC43),'2023DATA'!$L$32,"")</f>
        <v/>
      </c>
      <c r="BD73" s="518" t="str">
        <f>IF(AND(_AC3="A-319",'2023'!$E$4="FO",'2023'!$E$2=BD43),'2023DATA'!$M$32,"")</f>
        <v/>
      </c>
      <c r="BE73" s="520" t="str">
        <f>IF(AND(_AC3="A-319",'2023'!$E$4="FO",'2023'!$E$2=BE43),'2023DATA'!$N$32,"")</f>
        <v/>
      </c>
      <c r="BF73" s="940"/>
      <c r="BG73" s="13" t="s">
        <v>62</v>
      </c>
      <c r="BH73" s="518" t="str">
        <f>IF(AND(_AC4="A-319",'2023'!$E$4="FO",'2023'!$E$2=BH43),'2023DATA'!$C$32,"")</f>
        <v/>
      </c>
      <c r="BI73" s="518" t="str">
        <f>IF(AND(_AC4="A-319",'2023'!$E$4="FO",'2023'!$E$2=BI43),'2023DATA'!$D$32,"")</f>
        <v/>
      </c>
      <c r="BJ73" s="518" t="str">
        <f>IF(AND(_AC4="A-319",'2023'!$E$4="FO",'2023'!$E$2=BJ43),'2023DATA'!$E$32,"")</f>
        <v/>
      </c>
      <c r="BK73" s="518" t="str">
        <f>IF(AND(_AC4="A-319",'2023'!$E$4="FO",'2023'!$E$2=BK43),'2023DATA'!$F$32,"")</f>
        <v/>
      </c>
      <c r="BL73" s="518" t="str">
        <f>IF(AND(_AC4="A-319",'2023'!$E$4="FO",'2023'!$E$2=BL43),'2023DATA'!$G$32,"")</f>
        <v/>
      </c>
      <c r="BM73" s="518" t="str">
        <f>IF(AND(_AC4="A-319",'2023'!$E$4="FO",'2023'!$E$2=BM43),'2023DATA'!$H$32,"")</f>
        <v/>
      </c>
      <c r="BN73" s="518" t="str">
        <f>IF(AND(_AC4="A-319",'2023'!$E$4="FO",'2023'!$E$2=BN43),'2023DATA'!$I$32,"")</f>
        <v/>
      </c>
      <c r="BO73" s="518" t="str">
        <f>IF(AND(_AC4="A-319",'2023'!$E$4="FO",'2023'!$E$2=BO43),'2023DATA'!$J$32,"")</f>
        <v/>
      </c>
      <c r="BP73" s="518" t="str">
        <f>IF(AND(_AC4="A-319",'2023'!$E$4="FO",'2023'!$E$2=BP43),'2023DATA'!$K$32,"")</f>
        <v/>
      </c>
      <c r="BQ73" s="518" t="str">
        <f>IF(AND(_AC4="A-319",'2023'!$E$4="FO",'2023'!$E$2=BQ43),'2023DATA'!$L$32,"")</f>
        <v/>
      </c>
      <c r="BR73" s="518" t="str">
        <f>IF(AND(_AC4="A-319",'2023'!$E$4="FO",'2023'!$E$2=BR43),'2023DATA'!$M$32,"")</f>
        <v/>
      </c>
      <c r="BS73" s="520" t="str">
        <f>IF(AND(_AC4="A-319",'2023'!$E$4="FO",'2023'!$E$2=BS43),'2023DATA'!$N$32,"")</f>
        <v/>
      </c>
      <c r="BT73" s="940"/>
      <c r="BU73" s="13" t="s">
        <v>62</v>
      </c>
      <c r="BV73" s="518" t="str">
        <f>IF(AND(_AC5="A-319",'2023'!$E$4="FO",'2023'!$E$2=BV43),'2023DATA'!$C$32,"")</f>
        <v/>
      </c>
      <c r="BW73" s="518" t="str">
        <f>IF(AND(_AC5="A-319",'2023'!$E$4="FO",'2023'!$E$2=BW43),'2023DATA'!$D$32,"")</f>
        <v/>
      </c>
      <c r="BX73" s="518" t="str">
        <f>IF(AND(_AC5="A-319",'2023'!$E$4="FO",'2023'!$E$2=BX43),'2023DATA'!$E$32,"")</f>
        <v/>
      </c>
      <c r="BY73" s="518" t="str">
        <f>IF(AND(_AC5="A-319",'2023'!$E$4="FO",'2023'!$E$2=BY43),'2023DATA'!$F$32,"")</f>
        <v/>
      </c>
      <c r="BZ73" s="518" t="str">
        <f>IF(AND(_AC5="A-319",'2023'!$E$4="FO",'2023'!$E$2=BZ43),'2023DATA'!$G$32,"")</f>
        <v/>
      </c>
      <c r="CA73" s="518" t="str">
        <f>IF(AND(_AC5="A-319",'2023'!$E$4="FO",'2023'!$E$2=CA43),'2023DATA'!$H$32,"")</f>
        <v/>
      </c>
      <c r="CB73" s="518" t="str">
        <f>IF(AND(_AC5="A-319",'2023'!$E$4="FO",'2023'!$E$2=CB43),'2023DATA'!$I$32,"")</f>
        <v/>
      </c>
      <c r="CC73" s="518" t="str">
        <f>IF(AND(_AC5="A-319",'2023'!$E$4="FO",'2023'!$E$2=CC43),'2023DATA'!$J$32,"")</f>
        <v/>
      </c>
      <c r="CD73" s="518" t="str">
        <f>IF(AND(_AC5="A-319",'2023'!$E$4="FO",'2023'!$E$2=CD43),'2023DATA'!$K$32,"")</f>
        <v/>
      </c>
      <c r="CE73" s="518" t="str">
        <f>IF(AND(_AC5="A-319",'2023'!$E$4="FO",'2023'!$E$2=CE43),'2023DATA'!$L$32,"")</f>
        <v/>
      </c>
      <c r="CF73" s="518" t="str">
        <f>IF(AND(_AC5="A-319",'2023'!$E$4="FO",'2023'!$E$2=CF43),'2023DATA'!$M$32,"")</f>
        <v/>
      </c>
      <c r="CG73" s="520" t="str">
        <f>IF(AND(_AC5="A-319",'2023'!$E$4="FO",'2023'!$E$2=CG43),'2023DATA'!$N$32,"")</f>
        <v/>
      </c>
      <c r="CH73" s="940"/>
      <c r="CI73" s="13" t="s">
        <v>62</v>
      </c>
      <c r="CJ73" s="518" t="str">
        <f>IF(AND(_AC6="A-319",'2023'!$E$4="FO",'2023'!$E$2=CJ43),'2023DATA'!$C$32,"")</f>
        <v/>
      </c>
      <c r="CK73" s="518" t="str">
        <f>IF(AND(_AC6="A-319",'2023'!$E$4="FO",'2023'!$E$2=CK43),'2023DATA'!$D$32,"")</f>
        <v/>
      </c>
      <c r="CL73" s="518" t="str">
        <f>IF(AND(_AC6="A-319",'2023'!$E$4="FO",'2023'!$E$2=CL43),'2023DATA'!$E$32,"")</f>
        <v/>
      </c>
      <c r="CM73" s="518" t="str">
        <f>IF(AND(_AC6="A-319",'2023'!$E$4="FO",'2023'!$E$2=CM43),'2023DATA'!$F$32,"")</f>
        <v/>
      </c>
      <c r="CN73" s="518" t="str">
        <f>IF(AND(_AC6="A-319",'2023'!$E$4="FO",'2023'!$E$2=CN43),'2023DATA'!$G$32,"")</f>
        <v/>
      </c>
      <c r="CO73" s="518" t="str">
        <f>IF(AND(_AC6="A-319",'2023'!$E$4="FO",'2023'!$E$2=CO43),'2023DATA'!$H$32,"")</f>
        <v/>
      </c>
      <c r="CP73" s="518" t="str">
        <f>IF(AND(_AC6="A-319",'2023'!$E$4="FO",'2023'!$E$2=CP43),'2023DATA'!$I$32,"")</f>
        <v/>
      </c>
      <c r="CQ73" s="518" t="str">
        <f>IF(AND(_AC6="A-319",'2023'!$E$4="FO",'2023'!$E$2=CQ43),'2023DATA'!$J$32,"")</f>
        <v/>
      </c>
      <c r="CR73" s="518" t="str">
        <f>IF(AND(_AC6="A-319",'2023'!$E$4="FO",'2023'!$E$2=CR43),'2023DATA'!$K$32,"")</f>
        <v/>
      </c>
      <c r="CS73" s="518" t="str">
        <f>IF(AND(_AC6="A-319",'2023'!$E$4="FO",'2023'!$E$2=CS43),'2023DATA'!$L$32,"")</f>
        <v/>
      </c>
      <c r="CT73" s="518" t="str">
        <f>IF(AND(_AC6="A-319",'2023'!$E$4="FO",'2023'!$E$2=CT43),'2023DATA'!$M$32,"")</f>
        <v/>
      </c>
      <c r="CU73" s="520" t="str">
        <f>IF(AND(_AC6="A-319",'2023'!$E$4="FO",'2023'!$E$2=CU43),'2023DATA'!$N$32,"")</f>
        <v/>
      </c>
    </row>
    <row r="74" spans="16:99" x14ac:dyDescent="0.25">
      <c r="P74" s="940" t="s">
        <v>51</v>
      </c>
      <c r="Q74" s="13" t="s">
        <v>61</v>
      </c>
      <c r="R74" s="518" t="str">
        <f>IF(AND(_AC1="A-220-300",'2023'!$E$4="CA",'2023'!$E$2=R43),'2023DATA'!$C$33,"")</f>
        <v/>
      </c>
      <c r="S74" s="518" t="str">
        <f>IF(AND(_AC1="A-220-300",'2023'!$E$4="CA",'2023'!$E$2=S43),'2023DATA'!$D$33,"")</f>
        <v/>
      </c>
      <c r="T74" s="518" t="str">
        <f>IF(AND(_AC1="A-220-300",'2023'!$E$4="CA",'2023'!$E$2=T43),'2023DATA'!$E$33,"")</f>
        <v/>
      </c>
      <c r="U74" s="518" t="str">
        <f>IF(AND(_AC1="A-220-300",'2023'!$E$4="CA",'2023'!$E$2=U43),'2023DATA'!$F$33,"")</f>
        <v/>
      </c>
      <c r="V74" s="518" t="str">
        <f>IF(AND(_AC1="A-220-300",'2023'!$E$4="CA",'2023'!$E$2=V43),'2023DATA'!$G$33,"")</f>
        <v/>
      </c>
      <c r="W74" s="518" t="str">
        <f>IF(AND(_AC1="A-220-300",'2023'!$E$4="CA",'2023'!$E$2=W43),'2023DATA'!$H$33,"")</f>
        <v/>
      </c>
      <c r="X74" s="518" t="str">
        <f>IF(AND(_AC1="A-220-300",'2023'!$E$4="CA",'2023'!$E$2=X43),'2023DATA'!$I$33,"")</f>
        <v/>
      </c>
      <c r="Y74" s="518" t="str">
        <f>IF(AND(_AC1="A-220-300",'2023'!$E$4="CA",'2023'!$E$2=Y43),'2023DATA'!$J$33,"")</f>
        <v/>
      </c>
      <c r="Z74" s="518" t="str">
        <f>IF(AND(_AC1="A-220-300",'2023'!$E$4="CA",'2023'!$E$2=Z43),'2023DATA'!$K$33,"")</f>
        <v/>
      </c>
      <c r="AA74" s="518" t="str">
        <f>IF(AND(_AC1="A-220-300",'2023'!$E$4="CA",'2023'!$E$2=AA43),'2023DATA'!$L$33,"")</f>
        <v/>
      </c>
      <c r="AB74" s="518" t="str">
        <f>IF(AND(_AC1="A-220-300",'2023'!$E$4="CA",'2023'!$E$2=AB43),'2023DATA'!$M$33,"")</f>
        <v/>
      </c>
      <c r="AC74" s="520" t="str">
        <f>IF(AND(_AC1="A-220-300",'2023'!$E$4="CA",'2023'!$E$2=AC43),'2023DATA'!$N$33,"")</f>
        <v/>
      </c>
      <c r="AD74" s="940" t="s">
        <v>51</v>
      </c>
      <c r="AE74" s="13" t="s">
        <v>61</v>
      </c>
      <c r="AF74" s="518" t="str">
        <f>IF(AND(_AC2="A-220-300",'2023'!$E$4="CA",'2023'!$E$2=AF43),'2023DATA'!$C$33,"")</f>
        <v/>
      </c>
      <c r="AG74" s="518" t="str">
        <f>IF(AND(_AC2="A-220-300",'2023'!$E$4="CA",'2023'!$E$2=AG43),'2023DATA'!$D$33,"")</f>
        <v/>
      </c>
      <c r="AH74" s="518" t="str">
        <f>IF(AND(_AC2="A-220-300",'2023'!$E$4="CA",'2023'!$E$2=AH43),'2023DATA'!$E$33,"")</f>
        <v/>
      </c>
      <c r="AI74" s="518" t="str">
        <f>IF(AND(_AC2="A-220-300",'2023'!$E$4="CA",'2023'!$E$2=AI43),'2023DATA'!$F$33,"")</f>
        <v/>
      </c>
      <c r="AJ74" s="518" t="str">
        <f>IF(AND(_AC2="A-220-300",'2023'!$E$4="CA",'2023'!$E$2=AJ43),'2023DATA'!$G$33,"")</f>
        <v/>
      </c>
      <c r="AK74" s="518" t="str">
        <f>IF(AND(_AC2="A-220-300",'2023'!$E$4="CA",'2023'!$E$2=AK43),'2023DATA'!$H$33,"")</f>
        <v/>
      </c>
      <c r="AL74" s="518" t="str">
        <f>IF(AND(_AC2="A-220-300",'2023'!$E$4="CA",'2023'!$E$2=AL43),'2023DATA'!$I$33,"")</f>
        <v/>
      </c>
      <c r="AM74" s="518" t="str">
        <f>IF(AND(_AC2="A-220-300",'2023'!$E$4="CA",'2023'!$E$2=AM43),'2023DATA'!$J$33,"")</f>
        <v/>
      </c>
      <c r="AN74" s="518" t="str">
        <f>IF(AND(_AC2="A-220-300",'2023'!$E$4="CA",'2023'!$E$2=AN43),'2023DATA'!$K$33,"")</f>
        <v/>
      </c>
      <c r="AO74" s="518" t="str">
        <f>IF(AND(_AC2="A-220-300",'2023'!$E$4="CA",'2023'!$E$2=AO43),'2023DATA'!$L$33,"")</f>
        <v/>
      </c>
      <c r="AP74" s="518" t="str">
        <f>IF(AND(_AC2="A-220-300",'2023'!$E$4="CA",'2023'!$E$2=AP43),'2023DATA'!$M$33,"")</f>
        <v/>
      </c>
      <c r="AQ74" s="520" t="str">
        <f>IF(AND(_AC2="A-220-300",'2023'!$E$4="CA",'2023'!$E$2=AQ43),'2023DATA'!$N$33,"")</f>
        <v/>
      </c>
      <c r="AR74" s="940" t="s">
        <v>51</v>
      </c>
      <c r="AS74" s="13" t="s">
        <v>61</v>
      </c>
      <c r="AT74" s="518" t="str">
        <f>IF(AND(_AC3="A-220-300",'2023'!$E$4="CA",'2023'!$E$2=AT43),'2023DATA'!$C$33,"")</f>
        <v/>
      </c>
      <c r="AU74" s="518" t="str">
        <f>IF(AND(_AC3="A-220-300",'2023'!$E$4="CA",'2023'!$E$2=AU43),'2023DATA'!$D$33,"")</f>
        <v/>
      </c>
      <c r="AV74" s="518" t="str">
        <f>IF(AND(_AC3="A-220-300",'2023'!$E$4="CA",'2023'!$E$2=AV43),'2023DATA'!$E$33,"")</f>
        <v/>
      </c>
      <c r="AW74" s="518" t="str">
        <f>IF(AND(_AC3="A-220-300",'2023'!$E$4="CA",'2023'!$E$2=AW43),'2023DATA'!$F$33,"")</f>
        <v/>
      </c>
      <c r="AX74" s="518" t="str">
        <f>IF(AND(_AC3="A-220-300",'2023'!$E$4="CA",'2023'!$E$2=AX43),'2023DATA'!$G$33,"")</f>
        <v/>
      </c>
      <c r="AY74" s="518" t="str">
        <f>IF(AND(_AC3="A-220-300",'2023'!$E$4="CA",'2023'!$E$2=AY43),'2023DATA'!$H$33,"")</f>
        <v/>
      </c>
      <c r="AZ74" s="518" t="str">
        <f>IF(AND(_AC3="A-220-300",'2023'!$E$4="CA",'2023'!$E$2=AZ43),'2023DATA'!$I$33,"")</f>
        <v/>
      </c>
      <c r="BA74" s="518" t="str">
        <f>IF(AND(_AC3="A-220-300",'2023'!$E$4="CA",'2023'!$E$2=BA43),'2023DATA'!$J$33,"")</f>
        <v/>
      </c>
      <c r="BB74" s="518" t="str">
        <f>IF(AND(_AC3="A-220-300",'2023'!$E$4="CA",'2023'!$E$2=BB43),'2023DATA'!$K$33,"")</f>
        <v/>
      </c>
      <c r="BC74" s="518" t="str">
        <f>IF(AND(_AC3="A-220-300",'2023'!$E$4="CA",'2023'!$E$2=BC43),'2023DATA'!$L$33,"")</f>
        <v/>
      </c>
      <c r="BD74" s="518" t="str">
        <f>IF(AND(_AC3="A-220-300",'2023'!$E$4="CA",'2023'!$E$2=BD43),'2023DATA'!$M$33,"")</f>
        <v/>
      </c>
      <c r="BE74" s="520" t="str">
        <f>IF(AND(_AC3="A-220-300",'2023'!$E$4="CA",'2023'!$E$2=BE43),'2023DATA'!$N$33,"")</f>
        <v/>
      </c>
      <c r="BF74" s="940" t="s">
        <v>51</v>
      </c>
      <c r="BG74" s="13" t="s">
        <v>61</v>
      </c>
      <c r="BH74" s="518" t="str">
        <f>IF(AND(_AC4="A-220-300",'2023'!$E$4="CA",'2023'!$E$2=BH43),'2023DATA'!$C$33,"")</f>
        <v/>
      </c>
      <c r="BI74" s="518" t="str">
        <f>IF(AND(_AC4="A-220-300",'2023'!$E$4="CA",'2023'!$E$2=BI43),'2023DATA'!$D$33,"")</f>
        <v/>
      </c>
      <c r="BJ74" s="518" t="str">
        <f>IF(AND(_AC4="A-220-300",'2023'!$E$4="CA",'2023'!$E$2=BJ43),'2023DATA'!$E$33,"")</f>
        <v/>
      </c>
      <c r="BK74" s="518" t="str">
        <f>IF(AND(_AC4="A-220-300",'2023'!$E$4="CA",'2023'!$E$2=BK43),'2023DATA'!$F$33,"")</f>
        <v/>
      </c>
      <c r="BL74" s="518" t="str">
        <f>IF(AND(_AC4="A-220-300",'2023'!$E$4="CA",'2023'!$E$2=BL43),'2023DATA'!$G$33,"")</f>
        <v/>
      </c>
      <c r="BM74" s="518" t="str">
        <f>IF(AND(_AC4="A-220-300",'2023'!$E$4="CA",'2023'!$E$2=BM43),'2023DATA'!$H$33,"")</f>
        <v/>
      </c>
      <c r="BN74" s="518" t="str">
        <f>IF(AND(_AC4="A-220-300",'2023'!$E$4="CA",'2023'!$E$2=BN43),'2023DATA'!$I$33,"")</f>
        <v/>
      </c>
      <c r="BO74" s="518" t="str">
        <f>IF(AND(_AC4="A-220-300",'2023'!$E$4="CA",'2023'!$E$2=BO43),'2023DATA'!$J$33,"")</f>
        <v/>
      </c>
      <c r="BP74" s="518" t="str">
        <f>IF(AND(_AC4="A-220-300",'2023'!$E$4="CA",'2023'!$E$2=BP43),'2023DATA'!$K$33,"")</f>
        <v/>
      </c>
      <c r="BQ74" s="518" t="str">
        <f>IF(AND(_AC4="A-220-300",'2023'!$E$4="CA",'2023'!$E$2=BQ43),'2023DATA'!$L$33,"")</f>
        <v/>
      </c>
      <c r="BR74" s="518" t="str">
        <f>IF(AND(_AC4="A-220-300",'2023'!$E$4="CA",'2023'!$E$2=BR43),'2023DATA'!$M$33,"")</f>
        <v/>
      </c>
      <c r="BS74" s="520" t="str">
        <f>IF(AND(_AC4="A-220-300",'2023'!$E$4="CA",'2023'!$E$2=BS43),'2023DATA'!$N$33,"")</f>
        <v/>
      </c>
      <c r="BT74" s="940" t="s">
        <v>51</v>
      </c>
      <c r="BU74" s="13" t="s">
        <v>61</v>
      </c>
      <c r="BV74" s="518" t="str">
        <f>IF(AND(_AC5="A-220-300",'2023'!$E$4="CA",'2023'!$E$2=BV43),'2023DATA'!$C$33,"")</f>
        <v/>
      </c>
      <c r="BW74" s="518" t="str">
        <f>IF(AND(_AC5="A-220-300",'2023'!$E$4="CA",'2023'!$E$2=BW43),'2023DATA'!$D$33,"")</f>
        <v/>
      </c>
      <c r="BX74" s="518" t="str">
        <f>IF(AND(_AC5="A-220-300",'2023'!$E$4="CA",'2023'!$E$2=BX43),'2023DATA'!$E$33,"")</f>
        <v/>
      </c>
      <c r="BY74" s="518" t="str">
        <f>IF(AND(_AC5="A-220-300",'2023'!$E$4="CA",'2023'!$E$2=BY43),'2023DATA'!$F$33,"")</f>
        <v/>
      </c>
      <c r="BZ74" s="518" t="str">
        <f>IF(AND(_AC5="A-220-300",'2023'!$E$4="CA",'2023'!$E$2=BZ43),'2023DATA'!$G$33,"")</f>
        <v/>
      </c>
      <c r="CA74" s="518" t="str">
        <f>IF(AND(_AC5="A-220-300",'2023'!$E$4="CA",'2023'!$E$2=CA43),'2023DATA'!$H$33,"")</f>
        <v/>
      </c>
      <c r="CB74" s="518" t="str">
        <f>IF(AND(_AC5="A-220-300",'2023'!$E$4="CA",'2023'!$E$2=CB43),'2023DATA'!$I$33,"")</f>
        <v/>
      </c>
      <c r="CC74" s="518" t="str">
        <f>IF(AND(_AC5="A-220-300",'2023'!$E$4="CA",'2023'!$E$2=CC43),'2023DATA'!$J$33,"")</f>
        <v/>
      </c>
      <c r="CD74" s="518" t="str">
        <f>IF(AND(_AC5="A-220-300",'2023'!$E$4="CA",'2023'!$E$2=CD43),'2023DATA'!$K$33,"")</f>
        <v/>
      </c>
      <c r="CE74" s="518" t="str">
        <f>IF(AND(_AC5="A-220-300",'2023'!$E$4="CA",'2023'!$E$2=CE43),'2023DATA'!$L$33,"")</f>
        <v/>
      </c>
      <c r="CF74" s="518" t="str">
        <f>IF(AND(_AC5="A-220-300",'2023'!$E$4="CA",'2023'!$E$2=CF43),'2023DATA'!$M$33,"")</f>
        <v/>
      </c>
      <c r="CG74" s="520" t="str">
        <f>IF(AND(_AC5="A-220-300",'2023'!$E$4="CA",'2023'!$E$2=CG43),'2023DATA'!$N$33,"")</f>
        <v/>
      </c>
      <c r="CH74" s="940" t="s">
        <v>51</v>
      </c>
      <c r="CI74" s="13" t="s">
        <v>61</v>
      </c>
      <c r="CJ74" s="518" t="str">
        <f>IF(AND(_AC6="A-220-300",'2023'!$E$4="CA",'2023'!$E$2=CJ43),'2023DATA'!$C$33,"")</f>
        <v/>
      </c>
      <c r="CK74" s="518" t="str">
        <f>IF(AND(_AC6="A-220-300",'2023'!$E$4="CA",'2023'!$E$2=CK43),'2023DATA'!$D$33,"")</f>
        <v/>
      </c>
      <c r="CL74" s="518" t="str">
        <f>IF(AND(_AC6="A-220-300",'2023'!$E$4="CA",'2023'!$E$2=CL43),'2023DATA'!$E$33,"")</f>
        <v/>
      </c>
      <c r="CM74" s="518" t="str">
        <f>IF(AND(_AC6="A-220-300",'2023'!$E$4="CA",'2023'!$E$2=CM43),'2023DATA'!$F$33,"")</f>
        <v/>
      </c>
      <c r="CN74" s="518" t="str">
        <f>IF(AND(_AC6="A-220-300",'2023'!$E$4="CA",'2023'!$E$2=CN43),'2023DATA'!$G$33,"")</f>
        <v/>
      </c>
      <c r="CO74" s="518" t="str">
        <f>IF(AND(_AC6="A-220-300",'2023'!$E$4="CA",'2023'!$E$2=CO43),'2023DATA'!$H$33,"")</f>
        <v/>
      </c>
      <c r="CP74" s="518" t="str">
        <f>IF(AND(_AC6="A-220-300",'2023'!$E$4="CA",'2023'!$E$2=CP43),'2023DATA'!$I$33,"")</f>
        <v/>
      </c>
      <c r="CQ74" s="518" t="str">
        <f>IF(AND(_AC6="A-220-300",'2023'!$E$4="CA",'2023'!$E$2=CQ43),'2023DATA'!$J$33,"")</f>
        <v/>
      </c>
      <c r="CR74" s="518" t="str">
        <f>IF(AND(_AC6="A-220-300",'2023'!$E$4="CA",'2023'!$E$2=CR43),'2023DATA'!$K$33,"")</f>
        <v/>
      </c>
      <c r="CS74" s="518" t="str">
        <f>IF(AND(_AC6="A-220-300",'2023'!$E$4="CA",'2023'!$E$2=CS43),'2023DATA'!$L$33,"")</f>
        <v/>
      </c>
      <c r="CT74" s="518" t="str">
        <f>IF(AND(_AC6="A-220-300",'2023'!$E$4="CA",'2023'!$E$2=CT43),'2023DATA'!$M$33,"")</f>
        <v/>
      </c>
      <c r="CU74" s="520" t="str">
        <f>IF(AND(_AC6="A-220-300",'2023'!$E$4="CA",'2023'!$E$2=CU43),'2023DATA'!$N$33,"")</f>
        <v/>
      </c>
    </row>
    <row r="75" spans="16:99" x14ac:dyDescent="0.25">
      <c r="P75" s="940"/>
      <c r="Q75" s="13" t="s">
        <v>62</v>
      </c>
      <c r="R75" s="518" t="str">
        <f>IF(AND(_AC1="A-220-300",'2023'!$E$4="FO",'2023'!$E$2=R43),'2023DATA'!$C$34,"")</f>
        <v/>
      </c>
      <c r="S75" s="518" t="str">
        <f>IF(AND(_AC1="A-220-300",'2023'!$E$4="FO",'2023'!$E$2=S43),'2023DATA'!$D$34,"")</f>
        <v/>
      </c>
      <c r="T75" s="518" t="str">
        <f>IF(AND(_AC1="A-220-300",'2023'!$E$4="FO",'2023'!$E$2=T43),'2023DATA'!$E$34,"")</f>
        <v/>
      </c>
      <c r="U75" s="518" t="str">
        <f>IF(AND(_AC1="A-220-300",'2023'!$E$4="FO",'2023'!$E$2=U43),'2023DATA'!$F$34,"")</f>
        <v/>
      </c>
      <c r="V75" s="518" t="str">
        <f>IF(AND(_AC1="A-220-300",'2023'!$E$4="FO",'2023'!$E$2=V43),'2023DATA'!$G$34,"")</f>
        <v/>
      </c>
      <c r="W75" s="518" t="str">
        <f>IF(AND(_AC1="A-220-300",'2023'!$E$4="FO",'2023'!$E$2=W43),'2023DATA'!$H$34,"")</f>
        <v/>
      </c>
      <c r="X75" s="518" t="str">
        <f>IF(AND(_AC1="A-220-300",'2023'!$E$4="FO",'2023'!$E$2=X43),'2023DATA'!$I$34,"")</f>
        <v/>
      </c>
      <c r="Y75" s="518" t="str">
        <f>IF(AND(_AC1="A-220-300",'2023'!$E$4="FO",'2023'!$E$2=Y43),'2023DATA'!$J$34,"")</f>
        <v/>
      </c>
      <c r="Z75" s="518" t="str">
        <f>IF(AND(_AC1="A-220-300",'2023'!$E$4="FO",'2023'!$E$2=Z43),'2023DATA'!$K$34,"")</f>
        <v/>
      </c>
      <c r="AA75" s="518" t="str">
        <f>IF(AND(_AC1="A-220-300",'2023'!$E$4="FO",'2023'!$E$2=AA43),'2023DATA'!$L$34,"")</f>
        <v/>
      </c>
      <c r="AB75" s="518" t="str">
        <f>IF(AND(_AC1="A-220-300",'2023'!$E$4="FO",'2023'!$E$2=AB43),'2023DATA'!$M$34,"")</f>
        <v/>
      </c>
      <c r="AC75" s="520" t="str">
        <f>IF(AND(_AC1="A-220-300",'2023'!$E$4="FO",'2023'!$E$2=AC43),'2023DATA'!$N$34,"")</f>
        <v/>
      </c>
      <c r="AD75" s="940"/>
      <c r="AE75" s="13" t="s">
        <v>62</v>
      </c>
      <c r="AF75" s="518" t="str">
        <f>IF(AND(_AC2="A-220-300",'2023'!$E$4="FO",'2023'!$E$2=AF43),'2023DATA'!$C$34,"")</f>
        <v/>
      </c>
      <c r="AG75" s="518" t="str">
        <f>IF(AND(_AC2="A-220-300",'2023'!$E$4="FO",'2023'!$E$2=AG43),'2023DATA'!$D$34,"")</f>
        <v/>
      </c>
      <c r="AH75" s="518" t="str">
        <f>IF(AND(_AC2="A-220-300",'2023'!$E$4="FO",'2023'!$E$2=AH43),'2023DATA'!$E$34,"")</f>
        <v/>
      </c>
      <c r="AI75" s="518" t="str">
        <f>IF(AND(_AC2="A-220-300",'2023'!$E$4="FO",'2023'!$E$2=AI43),'2023DATA'!$F$34,"")</f>
        <v/>
      </c>
      <c r="AJ75" s="518" t="str">
        <f>IF(AND(_AC2="A-220-300",'2023'!$E$4="FO",'2023'!$E$2=AJ43),'2023DATA'!$G$34,"")</f>
        <v/>
      </c>
      <c r="AK75" s="518" t="str">
        <f>IF(AND(_AC2="A-220-300",'2023'!$E$4="FO",'2023'!$E$2=AK43),'2023DATA'!$H$34,"")</f>
        <v/>
      </c>
      <c r="AL75" s="518" t="str">
        <f>IF(AND(_AC2="A-220-300",'2023'!$E$4="FO",'2023'!$E$2=AL43),'2023DATA'!$I$34,"")</f>
        <v/>
      </c>
      <c r="AM75" s="518" t="str">
        <f>IF(AND(_AC2="A-220-300",'2023'!$E$4="FO",'2023'!$E$2=AM43),'2023DATA'!$J$34,"")</f>
        <v/>
      </c>
      <c r="AN75" s="518" t="str">
        <f>IF(AND(_AC2="A-220-300",'2023'!$E$4="FO",'2023'!$E$2=AN43),'2023DATA'!$K$34,"")</f>
        <v/>
      </c>
      <c r="AO75" s="518" t="str">
        <f>IF(AND(_AC2="A-220-300",'2023'!$E$4="FO",'2023'!$E$2=AO43),'2023DATA'!$L$34,"")</f>
        <v/>
      </c>
      <c r="AP75" s="518" t="str">
        <f>IF(AND(_AC2="A-220-300",'2023'!$E$4="FO",'2023'!$E$2=AP43),'2023DATA'!$M$34,"")</f>
        <v/>
      </c>
      <c r="AQ75" s="520" t="str">
        <f>IF(AND(_AC2="A-220-300",'2023'!$E$4="FO",'2023'!$E$2=AQ43),'2023DATA'!$N$34,"")</f>
        <v/>
      </c>
      <c r="AR75" s="940"/>
      <c r="AS75" s="13" t="s">
        <v>62</v>
      </c>
      <c r="AT75" s="518" t="str">
        <f>IF(AND(_AC3="A-220-300",'2023'!$E$4="FO",'2023'!$E$2=AT43),'2023DATA'!$C$34,"")</f>
        <v/>
      </c>
      <c r="AU75" s="518" t="str">
        <f>IF(AND(_AC3="A-220-300",'2023'!$E$4="FO",'2023'!$E$2=AU43),'2023DATA'!$D$34,"")</f>
        <v/>
      </c>
      <c r="AV75" s="518" t="str">
        <f>IF(AND(_AC3="A-220-300",'2023'!$E$4="FO",'2023'!$E$2=AV43),'2023DATA'!$E$34,"")</f>
        <v/>
      </c>
      <c r="AW75" s="518" t="str">
        <f>IF(AND(_AC3="A-220-300",'2023'!$E$4="FO",'2023'!$E$2=AW43),'2023DATA'!$F$34,"")</f>
        <v/>
      </c>
      <c r="AX75" s="518" t="str">
        <f>IF(AND(_AC3="A-220-300",'2023'!$E$4="FO",'2023'!$E$2=AX43),'2023DATA'!$G$34,"")</f>
        <v/>
      </c>
      <c r="AY75" s="518" t="str">
        <f>IF(AND(_AC3="A-220-300",'2023'!$E$4="FO",'2023'!$E$2=AY43),'2023DATA'!$H$34,"")</f>
        <v/>
      </c>
      <c r="AZ75" s="518" t="str">
        <f>IF(AND(_AC3="A-220-300",'2023'!$E$4="FO",'2023'!$E$2=AZ43),'2023DATA'!$I$34,"")</f>
        <v/>
      </c>
      <c r="BA75" s="518" t="str">
        <f>IF(AND(_AC3="A-220-300",'2023'!$E$4="FO",'2023'!$E$2=BA43),'2023DATA'!$J$34,"")</f>
        <v/>
      </c>
      <c r="BB75" s="518" t="str">
        <f>IF(AND(_AC3="A-220-300",'2023'!$E$4="FO",'2023'!$E$2=BB43),'2023DATA'!$K$34,"")</f>
        <v/>
      </c>
      <c r="BC75" s="518" t="str">
        <f>IF(AND(_AC3="A-220-300",'2023'!$E$4="FO",'2023'!$E$2=BC43),'2023DATA'!$L$34,"")</f>
        <v/>
      </c>
      <c r="BD75" s="518" t="str">
        <f>IF(AND(_AC3="A-220-300",'2023'!$E$4="FO",'2023'!$E$2=BD43),'2023DATA'!$M$34,"")</f>
        <v/>
      </c>
      <c r="BE75" s="520" t="str">
        <f>IF(AND(_AC3="A-220-300",'2023'!$E$4="FO",'2023'!$E$2=BE43),'2023DATA'!$N$34,"")</f>
        <v/>
      </c>
      <c r="BF75" s="940"/>
      <c r="BG75" s="13" t="s">
        <v>62</v>
      </c>
      <c r="BH75" s="518" t="str">
        <f>IF(AND(_AC4="A-220-300",'2023'!$E$4="FO",'2023'!$E$2=BH43),'2023DATA'!$C$34,"")</f>
        <v/>
      </c>
      <c r="BI75" s="518" t="str">
        <f>IF(AND(_AC4="A-220-300",'2023'!$E$4="FO",'2023'!$E$2=BI43),'2023DATA'!$D$34,"")</f>
        <v/>
      </c>
      <c r="BJ75" s="518" t="str">
        <f>IF(AND(_AC4="A-220-300",'2023'!$E$4="FO",'2023'!$E$2=BJ43),'2023DATA'!$E$34,"")</f>
        <v/>
      </c>
      <c r="BK75" s="518" t="str">
        <f>IF(AND(_AC4="A-220-300",'2023'!$E$4="FO",'2023'!$E$2=BK43),'2023DATA'!$F$34,"")</f>
        <v/>
      </c>
      <c r="BL75" s="518" t="str">
        <f>IF(AND(_AC4="A-220-300",'2023'!$E$4="FO",'2023'!$E$2=BL43),'2023DATA'!$G$34,"")</f>
        <v/>
      </c>
      <c r="BM75" s="518" t="str">
        <f>IF(AND(_AC4="A-220-300",'2023'!$E$4="FO",'2023'!$E$2=BM43),'2023DATA'!$H$34,"")</f>
        <v/>
      </c>
      <c r="BN75" s="518" t="str">
        <f>IF(AND(_AC4="A-220-300",'2023'!$E$4="FO",'2023'!$E$2=BN43),'2023DATA'!$I$34,"")</f>
        <v/>
      </c>
      <c r="BO75" s="518" t="str">
        <f>IF(AND(_AC4="A-220-300",'2023'!$E$4="FO",'2023'!$E$2=BO43),'2023DATA'!$J$34,"")</f>
        <v/>
      </c>
      <c r="BP75" s="518" t="str">
        <f>IF(AND(_AC4="A-220-300",'2023'!$E$4="FO",'2023'!$E$2=BP43),'2023DATA'!$K$34,"")</f>
        <v/>
      </c>
      <c r="BQ75" s="518" t="str">
        <f>IF(AND(_AC4="A-220-300",'2023'!$E$4="FO",'2023'!$E$2=BQ43),'2023DATA'!$L$34,"")</f>
        <v/>
      </c>
      <c r="BR75" s="518" t="str">
        <f>IF(AND(_AC4="A-220-300",'2023'!$E$4="FO",'2023'!$E$2=BR43),'2023DATA'!$M$34,"")</f>
        <v/>
      </c>
      <c r="BS75" s="520" t="str">
        <f>IF(AND(_AC4="A-220-300",'2023'!$E$4="FO",'2023'!$E$2=BS43),'2023DATA'!$N$34,"")</f>
        <v/>
      </c>
      <c r="BT75" s="940"/>
      <c r="BU75" s="13" t="s">
        <v>62</v>
      </c>
      <c r="BV75" s="518" t="str">
        <f>IF(AND(_AC5="A-220-300",'2023'!$E$4="FO",'2023'!$E$2=BV43),'2023DATA'!$C$34,"")</f>
        <v/>
      </c>
      <c r="BW75" s="518" t="str">
        <f>IF(AND(_AC5="A-220-300",'2023'!$E$4="FO",'2023'!$E$2=BW43),'2023DATA'!$D$34,"")</f>
        <v/>
      </c>
      <c r="BX75" s="518" t="str">
        <f>IF(AND(_AC5="A-220-300",'2023'!$E$4="FO",'2023'!$E$2=BX43),'2023DATA'!$E$34,"")</f>
        <v/>
      </c>
      <c r="BY75" s="518" t="str">
        <f>IF(AND(_AC5="A-220-300",'2023'!$E$4="FO",'2023'!$E$2=BY43),'2023DATA'!$F$34,"")</f>
        <v/>
      </c>
      <c r="BZ75" s="518" t="str">
        <f>IF(AND(_AC5="A-220-300",'2023'!$E$4="FO",'2023'!$E$2=BZ43),'2023DATA'!$G$34,"")</f>
        <v/>
      </c>
      <c r="CA75" s="518" t="str">
        <f>IF(AND(_AC5="A-220-300",'2023'!$E$4="FO",'2023'!$E$2=CA43),'2023DATA'!$H$34,"")</f>
        <v/>
      </c>
      <c r="CB75" s="518" t="str">
        <f>IF(AND(_AC5="A-220-300",'2023'!$E$4="FO",'2023'!$E$2=CB43),'2023DATA'!$I$34,"")</f>
        <v/>
      </c>
      <c r="CC75" s="518" t="str">
        <f>IF(AND(_AC5="A-220-300",'2023'!$E$4="FO",'2023'!$E$2=CC43),'2023DATA'!$J$34,"")</f>
        <v/>
      </c>
      <c r="CD75" s="518" t="str">
        <f>IF(AND(_AC5="A-220-300",'2023'!$E$4="FO",'2023'!$E$2=CD43),'2023DATA'!$K$34,"")</f>
        <v/>
      </c>
      <c r="CE75" s="518" t="str">
        <f>IF(AND(_AC5="A-220-300",'2023'!$E$4="FO",'2023'!$E$2=CE43),'2023DATA'!$L$34,"")</f>
        <v/>
      </c>
      <c r="CF75" s="518" t="str">
        <f>IF(AND(_AC5="A-220-300",'2023'!$E$4="FO",'2023'!$E$2=CF43),'2023DATA'!$M$34,"")</f>
        <v/>
      </c>
      <c r="CG75" s="520" t="str">
        <f>IF(AND(_AC5="A-220-300",'2023'!$E$4="FO",'2023'!$E$2=CG43),'2023DATA'!$N$34,"")</f>
        <v/>
      </c>
      <c r="CH75" s="940"/>
      <c r="CI75" s="13" t="s">
        <v>62</v>
      </c>
      <c r="CJ75" s="518" t="str">
        <f>IF(AND(_AC6="A-220-300",'2023'!$E$4="FO",'2023'!$E$2=CJ43),'2023DATA'!$C$34,"")</f>
        <v/>
      </c>
      <c r="CK75" s="518" t="str">
        <f>IF(AND(_AC6="A-220-300",'2023'!$E$4="FO",'2023'!$E$2=CK43),'2023DATA'!$D$34,"")</f>
        <v/>
      </c>
      <c r="CL75" s="518" t="str">
        <f>IF(AND(_AC6="A-220-300",'2023'!$E$4="FO",'2023'!$E$2=CL43),'2023DATA'!$E$34,"")</f>
        <v/>
      </c>
      <c r="CM75" s="518" t="str">
        <f>IF(AND(_AC6="A-220-300",'2023'!$E$4="FO",'2023'!$E$2=CM43),'2023DATA'!$F$34,"")</f>
        <v/>
      </c>
      <c r="CN75" s="518" t="str">
        <f>IF(AND(_AC6="A-220-300",'2023'!$E$4="FO",'2023'!$E$2=CN43),'2023DATA'!$G$34,"")</f>
        <v/>
      </c>
      <c r="CO75" s="518" t="str">
        <f>IF(AND(_AC6="A-220-300",'2023'!$E$4="FO",'2023'!$E$2=CO43),'2023DATA'!$H$34,"")</f>
        <v/>
      </c>
      <c r="CP75" s="518" t="str">
        <f>IF(AND(_AC6="A-220-300",'2023'!$E$4="FO",'2023'!$E$2=CP43),'2023DATA'!$I$34,"")</f>
        <v/>
      </c>
      <c r="CQ75" s="518" t="str">
        <f>IF(AND(_AC6="A-220-300",'2023'!$E$4="FO",'2023'!$E$2=CQ43),'2023DATA'!$J$34,"")</f>
        <v/>
      </c>
      <c r="CR75" s="518" t="str">
        <f>IF(AND(_AC6="A-220-300",'2023'!$E$4="FO",'2023'!$E$2=CR43),'2023DATA'!$K$34,"")</f>
        <v/>
      </c>
      <c r="CS75" s="518" t="str">
        <f>IF(AND(_AC6="A-220-300",'2023'!$E$4="FO",'2023'!$E$2=CS43),'2023DATA'!$L$34,"")</f>
        <v/>
      </c>
      <c r="CT75" s="518" t="str">
        <f>IF(AND(_AC6="A-220-300",'2023'!$E$4="FO",'2023'!$E$2=CT43),'2023DATA'!$M$34,"")</f>
        <v/>
      </c>
      <c r="CU75" s="520" t="str">
        <f>IF(AND(_AC6="A-220-300",'2023'!$E$4="FO",'2023'!$E$2=CU43),'2023DATA'!$N$34,"")</f>
        <v/>
      </c>
    </row>
    <row r="76" spans="16:99" x14ac:dyDescent="0.25">
      <c r="P76" s="940" t="s">
        <v>52</v>
      </c>
      <c r="Q76" s="13" t="s">
        <v>61</v>
      </c>
      <c r="R76" s="518" t="str">
        <f>IF(AND(_AC1="A-220-100",'2023'!$E$4="CA",'2023'!$E$2=R43),'2023DATA'!$C$35,"")</f>
        <v/>
      </c>
      <c r="S76" s="518" t="str">
        <f>IF(AND(_AC1="A-220-100",'2023'!$E$4="CA",'2023'!$E$2=S43),'2023DATA'!$D$35,"")</f>
        <v/>
      </c>
      <c r="T76" s="518" t="str">
        <f>IF(AND(_AC1="A-220-100",'2023'!$E$4="CA",'2023'!$E$2=T43),'2023DATA'!$E$35,"")</f>
        <v/>
      </c>
      <c r="U76" s="518" t="str">
        <f>IF(AND(_AC1="A-220-100",'2023'!$E$4="CA",'2023'!$E$2=U43),'2023DATA'!$F$35,"")</f>
        <v/>
      </c>
      <c r="V76" s="518" t="str">
        <f>IF(AND(_AC1="A-220-100",'2023'!$E$4="CA",'2023'!$E$2=V43),'2023DATA'!$G$35,"")</f>
        <v/>
      </c>
      <c r="W76" s="518" t="str">
        <f>IF(AND(_AC1="A-220-100",'2023'!$E$4="CA",'2023'!$E$2=W43),'2023DATA'!$H$35,"")</f>
        <v/>
      </c>
      <c r="X76" s="518" t="str">
        <f>IF(AND(_AC1="A-220-100",'2023'!$E$4="CA",'2023'!$E$2=X43),'2023DATA'!$I$35,"")</f>
        <v/>
      </c>
      <c r="Y76" s="518" t="str">
        <f>IF(AND(_AC1="A-220-100",'2023'!$E$4="CA",'2023'!$E$2=Y43),'2023DATA'!$J$35,"")</f>
        <v/>
      </c>
      <c r="Z76" s="518" t="str">
        <f>IF(AND(_AC1="A-220-100",'2023'!$E$4="CA",'2023'!$E$2=Z43),'2023DATA'!$K$35,"")</f>
        <v/>
      </c>
      <c r="AA76" s="518" t="str">
        <f>IF(AND(_AC1="A-220-100",'2023'!$E$4="CA",'2023'!$E$2=AA43),'2023DATA'!$L$35,"")</f>
        <v/>
      </c>
      <c r="AB76" s="518" t="str">
        <f>IF(AND(_AC1="A-220-100",'2023'!$E$4="CA",'2023'!$E$2=AB43),'2023DATA'!$M$35,"")</f>
        <v/>
      </c>
      <c r="AC76" s="520" t="str">
        <f>IF(AND(_AC1="A-220-100",'2023'!$E$4="CA",'2023'!$E$2=AC43),'2023DATA'!$N$35,"")</f>
        <v/>
      </c>
      <c r="AD76" s="940" t="s">
        <v>52</v>
      </c>
      <c r="AE76" s="13" t="s">
        <v>61</v>
      </c>
      <c r="AF76" s="518" t="str">
        <f>IF(AND(_AC2="A-220-100",'2023'!$E$4="CA",'2023'!$E$2=AF43),'2023DATA'!$C$35,"")</f>
        <v/>
      </c>
      <c r="AG76" s="518" t="str">
        <f>IF(AND(_AC2="A-220-100",'2023'!$E$4="CA",'2023'!$E$2=AG43),'2023DATA'!$D$35,"")</f>
        <v/>
      </c>
      <c r="AH76" s="518" t="str">
        <f>IF(AND(_AC2="A-220-100",'2023'!$E$4="CA",'2023'!$E$2=AH43),'2023DATA'!$E$35,"")</f>
        <v/>
      </c>
      <c r="AI76" s="518" t="str">
        <f>IF(AND(_AC2="A-220-100",'2023'!$E$4="CA",'2023'!$E$2=AI43),'2023DATA'!$F$35,"")</f>
        <v/>
      </c>
      <c r="AJ76" s="518" t="str">
        <f>IF(AND(_AC2="A-220-100",'2023'!$E$4="CA",'2023'!$E$2=AJ43),'2023DATA'!$G$35,"")</f>
        <v/>
      </c>
      <c r="AK76" s="518" t="str">
        <f>IF(AND(_AC2="A-220-100",'2023'!$E$4="CA",'2023'!$E$2=AK43),'2023DATA'!$H$35,"")</f>
        <v/>
      </c>
      <c r="AL76" s="518" t="str">
        <f>IF(AND(_AC2="A-220-100",'2023'!$E$4="CA",'2023'!$E$2=AL43),'2023DATA'!$I$35,"")</f>
        <v/>
      </c>
      <c r="AM76" s="518" t="str">
        <f>IF(AND(_AC2="A-220-100",'2023'!$E$4="CA",'2023'!$E$2=AM43),'2023DATA'!$J$35,"")</f>
        <v/>
      </c>
      <c r="AN76" s="518" t="str">
        <f>IF(AND(_AC2="A-220-100",'2023'!$E$4="CA",'2023'!$E$2=AN43),'2023DATA'!$K$35,"")</f>
        <v/>
      </c>
      <c r="AO76" s="518" t="str">
        <f>IF(AND(_AC2="A-220-100",'2023'!$E$4="CA",'2023'!$E$2=AO43),'2023DATA'!$L$35,"")</f>
        <v/>
      </c>
      <c r="AP76" s="518" t="str">
        <f>IF(AND(_AC2="A-220-100",'2023'!$E$4="CA",'2023'!$E$2=AP43),'2023DATA'!$M$35,"")</f>
        <v/>
      </c>
      <c r="AQ76" s="520" t="str">
        <f>IF(AND(_AC2="A-220-100",'2023'!$E$4="CA",'2023'!$E$2=AQ43),'2023DATA'!$N$35,"")</f>
        <v/>
      </c>
      <c r="AR76" s="940" t="s">
        <v>52</v>
      </c>
      <c r="AS76" s="13" t="s">
        <v>61</v>
      </c>
      <c r="AT76" s="518" t="str">
        <f>IF(AND(_AC3="A-220-100",'2023'!$E$4="CA",'2023'!$E$2=AT43),'2023DATA'!$C$35,"")</f>
        <v/>
      </c>
      <c r="AU76" s="518" t="str">
        <f>IF(AND(_AC3="A-220-100",'2023'!$E$4="CA",'2023'!$E$2=AU43),'2023DATA'!$D$35,"")</f>
        <v/>
      </c>
      <c r="AV76" s="518" t="str">
        <f>IF(AND(_AC3="A-220-100",'2023'!$E$4="CA",'2023'!$E$2=AV43),'2023DATA'!$E$35,"")</f>
        <v/>
      </c>
      <c r="AW76" s="518" t="str">
        <f>IF(AND(_AC3="A-220-100",'2023'!$E$4="CA",'2023'!$E$2=AW43),'2023DATA'!$F$35,"")</f>
        <v/>
      </c>
      <c r="AX76" s="518" t="str">
        <f>IF(AND(_AC3="A-220-100",'2023'!$E$4="CA",'2023'!$E$2=AX43),'2023DATA'!$G$35,"")</f>
        <v/>
      </c>
      <c r="AY76" s="518" t="str">
        <f>IF(AND(_AC3="A-220-100",'2023'!$E$4="CA",'2023'!$E$2=AY43),'2023DATA'!$H$35,"")</f>
        <v/>
      </c>
      <c r="AZ76" s="518" t="str">
        <f>IF(AND(_AC3="A-220-100",'2023'!$E$4="CA",'2023'!$E$2=AZ43),'2023DATA'!$I$35,"")</f>
        <v/>
      </c>
      <c r="BA76" s="518" t="str">
        <f>IF(AND(_AC3="A-220-100",'2023'!$E$4="CA",'2023'!$E$2=BA43),'2023DATA'!$J$35,"")</f>
        <v/>
      </c>
      <c r="BB76" s="518" t="str">
        <f>IF(AND(_AC3="A-220-100",'2023'!$E$4="CA",'2023'!$E$2=BB43),'2023DATA'!$K$35,"")</f>
        <v/>
      </c>
      <c r="BC76" s="518" t="str">
        <f>IF(AND(_AC3="A-220-100",'2023'!$E$4="CA",'2023'!$E$2=BC43),'2023DATA'!$L$35,"")</f>
        <v/>
      </c>
      <c r="BD76" s="518" t="str">
        <f>IF(AND(_AC3="A-220-100",'2023'!$E$4="CA",'2023'!$E$2=BD43),'2023DATA'!$M$35,"")</f>
        <v/>
      </c>
      <c r="BE76" s="520" t="str">
        <f>IF(AND(_AC3="A-220-100",'2023'!$E$4="CA",'2023'!$E$2=BE43),'2023DATA'!$N$35,"")</f>
        <v/>
      </c>
      <c r="BF76" s="940" t="s">
        <v>52</v>
      </c>
      <c r="BG76" s="13" t="s">
        <v>61</v>
      </c>
      <c r="BH76" s="518" t="str">
        <f>IF(AND(_AC4="A-220-100",'2023'!$E$4="CA",'2023'!$E$2=BH43),'2023DATA'!$C$35,"")</f>
        <v/>
      </c>
      <c r="BI76" s="518" t="str">
        <f>IF(AND(_AC4="A-220-100",'2023'!$E$4="CA",'2023'!$E$2=BI43),'2023DATA'!$D$35,"")</f>
        <v/>
      </c>
      <c r="BJ76" s="518" t="str">
        <f>IF(AND(_AC4="A-220-100",'2023'!$E$4="CA",'2023'!$E$2=BJ43),'2023DATA'!$E$35,"")</f>
        <v/>
      </c>
      <c r="BK76" s="518" t="str">
        <f>IF(AND(_AC4="A-220-100",'2023'!$E$4="CA",'2023'!$E$2=BK43),'2023DATA'!$F$35,"")</f>
        <v/>
      </c>
      <c r="BL76" s="518" t="str">
        <f>IF(AND(_AC4="A-220-100",'2023'!$E$4="CA",'2023'!$E$2=BL43),'2023DATA'!$G$35,"")</f>
        <v/>
      </c>
      <c r="BM76" s="518" t="str">
        <f>IF(AND(_AC4="A-220-100",'2023'!$E$4="CA",'2023'!$E$2=BM43),'2023DATA'!$H$35,"")</f>
        <v/>
      </c>
      <c r="BN76" s="518" t="str">
        <f>IF(AND(_AC4="A-220-100",'2023'!$E$4="CA",'2023'!$E$2=BN43),'2023DATA'!$I$35,"")</f>
        <v/>
      </c>
      <c r="BO76" s="518" t="str">
        <f>IF(AND(_AC4="A-220-100",'2023'!$E$4="CA",'2023'!$E$2=BO43),'2023DATA'!$J$35,"")</f>
        <v/>
      </c>
      <c r="BP76" s="518" t="str">
        <f>IF(AND(_AC4="A-220-100",'2023'!$E$4="CA",'2023'!$E$2=BP43),'2023DATA'!$K$35,"")</f>
        <v/>
      </c>
      <c r="BQ76" s="518" t="str">
        <f>IF(AND(_AC4="A-220-100",'2023'!$E$4="CA",'2023'!$E$2=BQ43),'2023DATA'!$L$35,"")</f>
        <v/>
      </c>
      <c r="BR76" s="518" t="str">
        <f>IF(AND(_AC4="A-220-100",'2023'!$E$4="CA",'2023'!$E$2=BR43),'2023DATA'!$M$35,"")</f>
        <v/>
      </c>
      <c r="BS76" s="520" t="str">
        <f>IF(AND(_AC4="A-220-100",'2023'!$E$4="CA",'2023'!$E$2=BS43),'2023DATA'!$N$35,"")</f>
        <v/>
      </c>
      <c r="BT76" s="940" t="s">
        <v>52</v>
      </c>
      <c r="BU76" s="13" t="s">
        <v>61</v>
      </c>
      <c r="BV76" s="518" t="str">
        <f>IF(AND(_AC5="A-220-100",'2023'!$E$4="CA",'2023'!$E$2=BV43),'2023DATA'!$C$35,"")</f>
        <v/>
      </c>
      <c r="BW76" s="518" t="str">
        <f>IF(AND(_AC5="A-220-100",'2023'!$E$4="CA",'2023'!$E$2=BW43),'2023DATA'!$D$35,"")</f>
        <v/>
      </c>
      <c r="BX76" s="518" t="str">
        <f>IF(AND(_AC5="A-220-100",'2023'!$E$4="CA",'2023'!$E$2=BX43),'2023DATA'!$E$35,"")</f>
        <v/>
      </c>
      <c r="BY76" s="518" t="str">
        <f>IF(AND(_AC5="A-220-100",'2023'!$E$4="CA",'2023'!$E$2=BY43),'2023DATA'!$F$35,"")</f>
        <v/>
      </c>
      <c r="BZ76" s="518" t="str">
        <f>IF(AND(_AC5="A-220-100",'2023'!$E$4="CA",'2023'!$E$2=BZ43),'2023DATA'!$G$35,"")</f>
        <v/>
      </c>
      <c r="CA76" s="518" t="str">
        <f>IF(AND(_AC5="A-220-100",'2023'!$E$4="CA",'2023'!$E$2=CA43),'2023DATA'!$H$35,"")</f>
        <v/>
      </c>
      <c r="CB76" s="518" t="str">
        <f>IF(AND(_AC5="A-220-100",'2023'!$E$4="CA",'2023'!$E$2=CB43),'2023DATA'!$I$35,"")</f>
        <v/>
      </c>
      <c r="CC76" s="518" t="str">
        <f>IF(AND(_AC5="A-220-100",'2023'!$E$4="CA",'2023'!$E$2=CC43),'2023DATA'!$J$35,"")</f>
        <v/>
      </c>
      <c r="CD76" s="518" t="str">
        <f>IF(AND(_AC5="A-220-100",'2023'!$E$4="CA",'2023'!$E$2=CD43),'2023DATA'!$K$35,"")</f>
        <v/>
      </c>
      <c r="CE76" s="518" t="str">
        <f>IF(AND(_AC5="A-220-100",'2023'!$E$4="CA",'2023'!$E$2=CE43),'2023DATA'!$L$35,"")</f>
        <v/>
      </c>
      <c r="CF76" s="518" t="str">
        <f>IF(AND(_AC5="A-220-100",'2023'!$E$4="CA",'2023'!$E$2=CF43),'2023DATA'!$M$35,"")</f>
        <v/>
      </c>
      <c r="CG76" s="520" t="str">
        <f>IF(AND(_AC5="A-220-100",'2023'!$E$4="CA",'2023'!$E$2=CG43),'2023DATA'!$N$35,"")</f>
        <v/>
      </c>
      <c r="CH76" s="940" t="s">
        <v>52</v>
      </c>
      <c r="CI76" s="13" t="s">
        <v>61</v>
      </c>
      <c r="CJ76" s="518" t="str">
        <f>IF(AND(_AC6="A-220-100",'2023'!$E$4="CA",'2023'!$E$2=CJ43),'2023DATA'!$C$35,"")</f>
        <v/>
      </c>
      <c r="CK76" s="518" t="str">
        <f>IF(AND(_AC6="A-220-100",'2023'!$E$4="CA",'2023'!$E$2=CK43),'2023DATA'!$D$35,"")</f>
        <v/>
      </c>
      <c r="CL76" s="518" t="str">
        <f>IF(AND(_AC6="A-220-100",'2023'!$E$4="CA",'2023'!$E$2=CL43),'2023DATA'!$E$35,"")</f>
        <v/>
      </c>
      <c r="CM76" s="518" t="str">
        <f>IF(AND(_AC6="A-220-100",'2023'!$E$4="CA",'2023'!$E$2=CM43),'2023DATA'!$F$35,"")</f>
        <v/>
      </c>
      <c r="CN76" s="518" t="str">
        <f>IF(AND(_AC6="A-220-100",'2023'!$E$4="CA",'2023'!$E$2=CN43),'2023DATA'!$G$35,"")</f>
        <v/>
      </c>
      <c r="CO76" s="518" t="str">
        <f>IF(AND(_AC6="A-220-100",'2023'!$E$4="CA",'2023'!$E$2=CO43),'2023DATA'!$H$35,"")</f>
        <v/>
      </c>
      <c r="CP76" s="518" t="str">
        <f>IF(AND(_AC6="A-220-100",'2023'!$E$4="CA",'2023'!$E$2=CP43),'2023DATA'!$I$35,"")</f>
        <v/>
      </c>
      <c r="CQ76" s="518" t="str">
        <f>IF(AND(_AC6="A-220-100",'2023'!$E$4="CA",'2023'!$E$2=CQ43),'2023DATA'!$J$35,"")</f>
        <v/>
      </c>
      <c r="CR76" s="518" t="str">
        <f>IF(AND(_AC6="A-220-100",'2023'!$E$4="CA",'2023'!$E$2=CR43),'2023DATA'!$K$35,"")</f>
        <v/>
      </c>
      <c r="CS76" s="518" t="str">
        <f>IF(AND(_AC6="A-220-100",'2023'!$E$4="CA",'2023'!$E$2=CS43),'2023DATA'!$L$35,"")</f>
        <v/>
      </c>
      <c r="CT76" s="518" t="str">
        <f>IF(AND(_AC6="A-220-100",'2023'!$E$4="CA",'2023'!$E$2=CT43),'2023DATA'!$M$35,"")</f>
        <v/>
      </c>
      <c r="CU76" s="520" t="str">
        <f>IF(AND(_AC6="A-220-100",'2023'!$E$4="CA",'2023'!$E$2=CU43),'2023DATA'!$N$35,"")</f>
        <v/>
      </c>
    </row>
    <row r="77" spans="16:99" x14ac:dyDescent="0.25">
      <c r="P77" s="940"/>
      <c r="Q77" s="13" t="s">
        <v>62</v>
      </c>
      <c r="R77" s="518" t="str">
        <f>IF(AND(_AC1="A-220-100",'2023'!$E$4="FO",'2023'!$E$2=R43),'2023DATA'!$C$36,"")</f>
        <v/>
      </c>
      <c r="S77" s="518" t="str">
        <f>IF(AND(_AC1="A-220-100",'2023'!$E$4="FO",'2023'!$E$2=S43),'2023DATA'!$D$36,"")</f>
        <v/>
      </c>
      <c r="T77" s="518" t="str">
        <f>IF(AND(_AC1="A-220-100",'2023'!$E$4="FO",'2023'!$E$2=T43),'2023DATA'!$E$36,"")</f>
        <v/>
      </c>
      <c r="U77" s="518" t="str">
        <f>IF(AND(_AC1="A-220-100",'2023'!$E$4="FO",'2023'!$E$2=U43),'2023DATA'!$F$36,"")</f>
        <v/>
      </c>
      <c r="V77" s="518" t="str">
        <f>IF(AND(_AC1="A-220-100",'2023'!$E$4="FO",'2023'!$E$2=V43),'2023DATA'!$G$36,"")</f>
        <v/>
      </c>
      <c r="W77" s="518" t="str">
        <f>IF(AND(_AC1="A-220-100",'2023'!$E$4="FO",'2023'!$E$2=W43),'2023DATA'!$H$36,"")</f>
        <v/>
      </c>
      <c r="X77" s="518" t="str">
        <f>IF(AND(_AC1="A-220-100",'2023'!$E$4="FO",'2023'!$E$2=X43),'2023DATA'!$I$36,"")</f>
        <v/>
      </c>
      <c r="Y77" s="518" t="str">
        <f>IF(AND(_AC1="A-220-100",'2023'!$E$4="FO",'2023'!$E$2=Y43),'2023DATA'!$J$36,"")</f>
        <v/>
      </c>
      <c r="Z77" s="518" t="str">
        <f>IF(AND(_AC1="A-220-100",'2023'!$E$4="FO",'2023'!$E$2=Z43),'2023DATA'!$K$36,"")</f>
        <v/>
      </c>
      <c r="AA77" s="518" t="str">
        <f>IF(AND(_AC1="A-220-100",'2023'!$E$4="FO",'2023'!$E$2=AA43),'2023DATA'!$L$36,"")</f>
        <v/>
      </c>
      <c r="AB77" s="518" t="str">
        <f>IF(AND(_AC1="A-220-100",'2023'!$E$4="FO",'2023'!$E$2=AB43),'2023DATA'!$M$36,"")</f>
        <v/>
      </c>
      <c r="AC77" s="520" t="str">
        <f>IF(AND(_AC1="A-220-100",'2023'!$E$4="FO",'2023'!$E$2=AC43),'2023DATA'!$N$36,"")</f>
        <v/>
      </c>
      <c r="AD77" s="940"/>
      <c r="AE77" s="13" t="s">
        <v>62</v>
      </c>
      <c r="AF77" s="518" t="str">
        <f>IF(AND(_AC2="A-220-100",'2023'!$E$4="FO",'2023'!$E$2=AF43),'2023DATA'!$C$36,"")</f>
        <v/>
      </c>
      <c r="AG77" s="518" t="str">
        <f>IF(AND(_AC2="A-220-100",'2023'!$E$4="FO",'2023'!$E$2=AG43),'2023DATA'!$D$36,"")</f>
        <v/>
      </c>
      <c r="AH77" s="518" t="str">
        <f>IF(AND(_AC2="A-220-100",'2023'!$E$4="FO",'2023'!$E$2=AH43),'2023DATA'!$E$36,"")</f>
        <v/>
      </c>
      <c r="AI77" s="518" t="str">
        <f>IF(AND(_AC2="A-220-100",'2023'!$E$4="FO",'2023'!$E$2=AI43),'2023DATA'!$F$36,"")</f>
        <v/>
      </c>
      <c r="AJ77" s="518" t="str">
        <f>IF(AND(_AC2="A-220-100",'2023'!$E$4="FO",'2023'!$E$2=AJ43),'2023DATA'!$G$36,"")</f>
        <v/>
      </c>
      <c r="AK77" s="518" t="str">
        <f>IF(AND(_AC2="A-220-100",'2023'!$E$4="FO",'2023'!$E$2=AK43),'2023DATA'!$H$36,"")</f>
        <v/>
      </c>
      <c r="AL77" s="518" t="str">
        <f>IF(AND(_AC2="A-220-100",'2023'!$E$4="FO",'2023'!$E$2=AL43),'2023DATA'!$I$36,"")</f>
        <v/>
      </c>
      <c r="AM77" s="518" t="str">
        <f>IF(AND(_AC2="A-220-100",'2023'!$E$4="FO",'2023'!$E$2=AM43),'2023DATA'!$J$36,"")</f>
        <v/>
      </c>
      <c r="AN77" s="518" t="str">
        <f>IF(AND(_AC2="A-220-100",'2023'!$E$4="FO",'2023'!$E$2=AN43),'2023DATA'!$K$36,"")</f>
        <v/>
      </c>
      <c r="AO77" s="518" t="str">
        <f>IF(AND(_AC2="A-220-100",'2023'!$E$4="FO",'2023'!$E$2=AO43),'2023DATA'!$L$36,"")</f>
        <v/>
      </c>
      <c r="AP77" s="518" t="str">
        <f>IF(AND(_AC2="A-220-100",'2023'!$E$4="FO",'2023'!$E$2=AP43),'2023DATA'!$M$36,"")</f>
        <v/>
      </c>
      <c r="AQ77" s="520" t="str">
        <f>IF(AND(_AC2="A-220-100",'2023'!$E$4="FO",'2023'!$E$2=AQ43),'2023DATA'!$N$36,"")</f>
        <v/>
      </c>
      <c r="AR77" s="940"/>
      <c r="AS77" s="13" t="s">
        <v>62</v>
      </c>
      <c r="AT77" s="518" t="str">
        <f>IF(AND(_AC3="A-220-100",'2023'!$E$4="FO",'2023'!$E$2=AT43),'2023DATA'!$C$36,"")</f>
        <v/>
      </c>
      <c r="AU77" s="518" t="str">
        <f>IF(AND(_AC3="A-220-100",'2023'!$E$4="FO",'2023'!$E$2=AU43),'2023DATA'!$D$36,"")</f>
        <v/>
      </c>
      <c r="AV77" s="518" t="str">
        <f>IF(AND(_AC3="A-220-100",'2023'!$E$4="FO",'2023'!$E$2=AV43),'2023DATA'!$E$36,"")</f>
        <v/>
      </c>
      <c r="AW77" s="518" t="str">
        <f>IF(AND(_AC3="A-220-100",'2023'!$E$4="FO",'2023'!$E$2=AW43),'2023DATA'!$F$36,"")</f>
        <v/>
      </c>
      <c r="AX77" s="518" t="str">
        <f>IF(AND(_AC3="A-220-100",'2023'!$E$4="FO",'2023'!$E$2=AX43),'2023DATA'!$G$36,"")</f>
        <v/>
      </c>
      <c r="AY77" s="518" t="str">
        <f>IF(AND(_AC3="A-220-100",'2023'!$E$4="FO",'2023'!$E$2=AY43),'2023DATA'!$H$36,"")</f>
        <v/>
      </c>
      <c r="AZ77" s="518" t="str">
        <f>IF(AND(_AC3="A-220-100",'2023'!$E$4="FO",'2023'!$E$2=AZ43),'2023DATA'!$I$36,"")</f>
        <v/>
      </c>
      <c r="BA77" s="518" t="str">
        <f>IF(AND(_AC3="A-220-100",'2023'!$E$4="FO",'2023'!$E$2=BA43),'2023DATA'!$J$36,"")</f>
        <v/>
      </c>
      <c r="BB77" s="518" t="str">
        <f>IF(AND(_AC3="A-220-100",'2023'!$E$4="FO",'2023'!$E$2=BB43),'2023DATA'!$K$36,"")</f>
        <v/>
      </c>
      <c r="BC77" s="518" t="str">
        <f>IF(AND(_AC3="A-220-100",'2023'!$E$4="FO",'2023'!$E$2=BC43),'2023DATA'!$L$36,"")</f>
        <v/>
      </c>
      <c r="BD77" s="518" t="str">
        <f>IF(AND(_AC3="A-220-100",'2023'!$E$4="FO",'2023'!$E$2=BD43),'2023DATA'!$M$36,"")</f>
        <v/>
      </c>
      <c r="BE77" s="520" t="str">
        <f>IF(AND(_AC3="A-220-100",'2023'!$E$4="FO",'2023'!$E$2=BE43),'2023DATA'!$N$36,"")</f>
        <v/>
      </c>
      <c r="BF77" s="940"/>
      <c r="BG77" s="13" t="s">
        <v>62</v>
      </c>
      <c r="BH77" s="518" t="str">
        <f>IF(AND(_AC4="A-220-100",'2023'!$E$4="FO",'2023'!$E$2=BH43),'2023DATA'!$C$36,"")</f>
        <v/>
      </c>
      <c r="BI77" s="518" t="str">
        <f>IF(AND(_AC4="A-220-100",'2023'!$E$4="FO",'2023'!$E$2=BI43),'2023DATA'!$D$36,"")</f>
        <v/>
      </c>
      <c r="BJ77" s="518" t="str">
        <f>IF(AND(_AC4="A-220-100",'2023'!$E$4="FO",'2023'!$E$2=BJ43),'2023DATA'!$E$36,"")</f>
        <v/>
      </c>
      <c r="BK77" s="518" t="str">
        <f>IF(AND(_AC4="A-220-100",'2023'!$E$4="FO",'2023'!$E$2=BK43),'2023DATA'!$F$36,"")</f>
        <v/>
      </c>
      <c r="BL77" s="518" t="str">
        <f>IF(AND(_AC4="A-220-100",'2023'!$E$4="FO",'2023'!$E$2=BL43),'2023DATA'!$G$36,"")</f>
        <v/>
      </c>
      <c r="BM77" s="518" t="str">
        <f>IF(AND(_AC4="A-220-100",'2023'!$E$4="FO",'2023'!$E$2=BM43),'2023DATA'!$H$36,"")</f>
        <v/>
      </c>
      <c r="BN77" s="518" t="str">
        <f>IF(AND(_AC4="A-220-100",'2023'!$E$4="FO",'2023'!$E$2=BN43),'2023DATA'!$I$36,"")</f>
        <v/>
      </c>
      <c r="BO77" s="518" t="str">
        <f>IF(AND(_AC4="A-220-100",'2023'!$E$4="FO",'2023'!$E$2=BO43),'2023DATA'!$J$36,"")</f>
        <v/>
      </c>
      <c r="BP77" s="518" t="str">
        <f>IF(AND(_AC4="A-220-100",'2023'!$E$4="FO",'2023'!$E$2=BP43),'2023DATA'!$K$36,"")</f>
        <v/>
      </c>
      <c r="BQ77" s="518" t="str">
        <f>IF(AND(_AC4="A-220-100",'2023'!$E$4="FO",'2023'!$E$2=BQ43),'2023DATA'!$L$36,"")</f>
        <v/>
      </c>
      <c r="BR77" s="518" t="str">
        <f>IF(AND(_AC4="A-220-100",'2023'!$E$4="FO",'2023'!$E$2=BR43),'2023DATA'!$M$36,"")</f>
        <v/>
      </c>
      <c r="BS77" s="520" t="str">
        <f>IF(AND(_AC4="A-220-100",'2023'!$E$4="FO",'2023'!$E$2=BS43),'2023DATA'!$N$36,"")</f>
        <v/>
      </c>
      <c r="BT77" s="940"/>
      <c r="BU77" s="13" t="s">
        <v>62</v>
      </c>
      <c r="BV77" s="518" t="str">
        <f>IF(AND(_AC5="A-220-100",'2023'!$E$4="FO",'2023'!$E$2=BV43),'2023DATA'!$C$36,"")</f>
        <v/>
      </c>
      <c r="BW77" s="518" t="str">
        <f>IF(AND(_AC5="A-220-100",'2023'!$E$4="FO",'2023'!$E$2=BW43),'2023DATA'!$D$36,"")</f>
        <v/>
      </c>
      <c r="BX77" s="518" t="str">
        <f>IF(AND(_AC5="A-220-100",'2023'!$E$4="FO",'2023'!$E$2=BX43),'2023DATA'!$E$36,"")</f>
        <v/>
      </c>
      <c r="BY77" s="518" t="str">
        <f>IF(AND(_AC5="A-220-100",'2023'!$E$4="FO",'2023'!$E$2=BY43),'2023DATA'!$F$36,"")</f>
        <v/>
      </c>
      <c r="BZ77" s="518" t="str">
        <f>IF(AND(_AC5="A-220-100",'2023'!$E$4="FO",'2023'!$E$2=BZ43),'2023DATA'!$G$36,"")</f>
        <v/>
      </c>
      <c r="CA77" s="518" t="str">
        <f>IF(AND(_AC5="A-220-100",'2023'!$E$4="FO",'2023'!$E$2=CA43),'2023DATA'!$H$36,"")</f>
        <v/>
      </c>
      <c r="CB77" s="518" t="str">
        <f>IF(AND(_AC5="A-220-100",'2023'!$E$4="FO",'2023'!$E$2=CB43),'2023DATA'!$I$36,"")</f>
        <v/>
      </c>
      <c r="CC77" s="518" t="str">
        <f>IF(AND(_AC5="A-220-100",'2023'!$E$4="FO",'2023'!$E$2=CC43),'2023DATA'!$J$36,"")</f>
        <v/>
      </c>
      <c r="CD77" s="518" t="str">
        <f>IF(AND(_AC5="A-220-100",'2023'!$E$4="FO",'2023'!$E$2=CD43),'2023DATA'!$K$36,"")</f>
        <v/>
      </c>
      <c r="CE77" s="518" t="str">
        <f>IF(AND(_AC5="A-220-100",'2023'!$E$4="FO",'2023'!$E$2=CE43),'2023DATA'!$L$36,"")</f>
        <v/>
      </c>
      <c r="CF77" s="518" t="str">
        <f>IF(AND(_AC5="A-220-100",'2023'!$E$4="FO",'2023'!$E$2=CF43),'2023DATA'!$M$36,"")</f>
        <v/>
      </c>
      <c r="CG77" s="520" t="str">
        <f>IF(AND(_AC5="A-220-100",'2023'!$E$4="FO",'2023'!$E$2=CG43),'2023DATA'!$N$36,"")</f>
        <v/>
      </c>
      <c r="CH77" s="940"/>
      <c r="CI77" s="13" t="s">
        <v>62</v>
      </c>
      <c r="CJ77" s="518" t="str">
        <f>IF(AND(_AC6="A-220-100",'2023'!$E$4="FO",'2023'!$E$2=CJ43),'2023DATA'!$C$36,"")</f>
        <v/>
      </c>
      <c r="CK77" s="518" t="str">
        <f>IF(AND(_AC6="A-220-100",'2023'!$E$4="FO",'2023'!$E$2=CK43),'2023DATA'!$D$36,"")</f>
        <v/>
      </c>
      <c r="CL77" s="518" t="str">
        <f>IF(AND(_AC6="A-220-100",'2023'!$E$4="FO",'2023'!$E$2=CL43),'2023DATA'!$E$36,"")</f>
        <v/>
      </c>
      <c r="CM77" s="518" t="str">
        <f>IF(AND(_AC6="A-220-100",'2023'!$E$4="FO",'2023'!$E$2=CM43),'2023DATA'!$F$36,"")</f>
        <v/>
      </c>
      <c r="CN77" s="518" t="str">
        <f>IF(AND(_AC6="A-220-100",'2023'!$E$4="FO",'2023'!$E$2=CN43),'2023DATA'!$G$36,"")</f>
        <v/>
      </c>
      <c r="CO77" s="518" t="str">
        <f>IF(AND(_AC6="A-220-100",'2023'!$E$4="FO",'2023'!$E$2=CO43),'2023DATA'!$H$36,"")</f>
        <v/>
      </c>
      <c r="CP77" s="518" t="str">
        <f>IF(AND(_AC6="A-220-100",'2023'!$E$4="FO",'2023'!$E$2=CP43),'2023DATA'!$I$36,"")</f>
        <v/>
      </c>
      <c r="CQ77" s="518" t="str">
        <f>IF(AND(_AC6="A-220-100",'2023'!$E$4="FO",'2023'!$E$2=CQ43),'2023DATA'!$J$36,"")</f>
        <v/>
      </c>
      <c r="CR77" s="518" t="str">
        <f>IF(AND(_AC6="A-220-100",'2023'!$E$4="FO",'2023'!$E$2=CR43),'2023DATA'!$K$36,"")</f>
        <v/>
      </c>
      <c r="CS77" s="518" t="str">
        <f>IF(AND(_AC6="A-220-100",'2023'!$E$4="FO",'2023'!$E$2=CS43),'2023DATA'!$L$36,"")</f>
        <v/>
      </c>
      <c r="CT77" s="518" t="str">
        <f>IF(AND(_AC6="A-220-100",'2023'!$E$4="FO",'2023'!$E$2=CT43),'2023DATA'!$M$36,"")</f>
        <v/>
      </c>
      <c r="CU77" s="520" t="str">
        <f>IF(AND(_AC6="A-220-100",'2023'!$E$4="FO",'2023'!$E$2=CU43),'2023DATA'!$N$36,"")</f>
        <v/>
      </c>
    </row>
    <row r="78" spans="16:99" x14ac:dyDescent="0.25">
      <c r="P78" s="940" t="s">
        <v>53</v>
      </c>
      <c r="Q78" s="13" t="s">
        <v>61</v>
      </c>
      <c r="R78" s="518" t="str">
        <f>IF(AND(_AC1="B-717",'2023'!$E$4="CA",'2023'!$E$2=R43),'2023DATA'!$C$37,"")</f>
        <v/>
      </c>
      <c r="S78" s="518" t="str">
        <f>IF(AND(_AC1="B-717",'2023'!$E$4="CA",'2023'!$E$2=S43),'2023DATA'!$D$37,"")</f>
        <v/>
      </c>
      <c r="T78" s="518" t="str">
        <f>IF(AND(_AC1="B-717",'2023'!$E$4="CA",'2023'!$E$2=T43),'2023DATA'!$E$37,"")</f>
        <v/>
      </c>
      <c r="U78" s="518" t="str">
        <f>IF(AND(_AC1="B-717",'2023'!$E$4="CA",'2023'!$E$2=U43),'2023DATA'!$F$37,"")</f>
        <v/>
      </c>
      <c r="V78" s="518" t="str">
        <f>IF(AND(_AC1="B-717",'2023'!$E$4="CA",'2023'!$E$2=V43),'2023DATA'!$G$37,"")</f>
        <v/>
      </c>
      <c r="W78" s="518" t="str">
        <f>IF(AND(_AC1="B-717",'2023'!$E$4="CA",'2023'!$E$2=W43),'2023DATA'!$H$37,"")</f>
        <v/>
      </c>
      <c r="X78" s="518" t="str">
        <f>IF(AND(_AC1="B-717",'2023'!$E$4="CA",'2023'!$E$2=X43),'2023DATA'!$I$37,"")</f>
        <v/>
      </c>
      <c r="Y78" s="518" t="str">
        <f>IF(AND(_AC1="B-717",'2023'!$E$4="CA",'2023'!$E$2=Y43),'2023DATA'!$J$37,"")</f>
        <v/>
      </c>
      <c r="Z78" s="518" t="str">
        <f>IF(AND(_AC1="B-717",'2023'!$E$4="CA",'2023'!$E$2=Z43),'2023DATA'!$K$37,"")</f>
        <v/>
      </c>
      <c r="AA78" s="518" t="str">
        <f>IF(AND(_AC1="B-717",'2023'!$E$4="CA",'2023'!$E$2=AA43),'2023DATA'!$L$37,"")</f>
        <v/>
      </c>
      <c r="AB78" s="518" t="str">
        <f>IF(AND(_AC1="B-717",'2023'!$E$4="CA",'2023'!$E$2=AB43),'2023DATA'!$M$37,"")</f>
        <v/>
      </c>
      <c r="AC78" s="520" t="str">
        <f>IF(AND(_AC1="B-717",'2023'!$E$4="CA",'2023'!$E$2=AC43),'2023DATA'!$N$37,"")</f>
        <v/>
      </c>
      <c r="AD78" s="940" t="s">
        <v>53</v>
      </c>
      <c r="AE78" s="13" t="s">
        <v>61</v>
      </c>
      <c r="AF78" s="518" t="str">
        <f>IF(AND(_AC2="B-717",'2023'!$E$4="CA",'2023'!$E$2=AF43),'2023DATA'!$C$37,"")</f>
        <v/>
      </c>
      <c r="AG78" s="518" t="str">
        <f>IF(AND(_AC2="B-717",'2023'!$E$4="CA",'2023'!$E$2=AG43),'2023DATA'!$D$37,"")</f>
        <v/>
      </c>
      <c r="AH78" s="518" t="str">
        <f>IF(AND(_AC2="B-717",'2023'!$E$4="CA",'2023'!$E$2=AH43),'2023DATA'!$E$37,"")</f>
        <v/>
      </c>
      <c r="AI78" s="518" t="str">
        <f>IF(AND(_AC2="B-717",'2023'!$E$4="CA",'2023'!$E$2=AI43),'2023DATA'!$F$37,"")</f>
        <v/>
      </c>
      <c r="AJ78" s="518" t="str">
        <f>IF(AND(_AC2="B-717",'2023'!$E$4="CA",'2023'!$E$2=AJ43),'2023DATA'!$G$37,"")</f>
        <v/>
      </c>
      <c r="AK78" s="518" t="str">
        <f>IF(AND(_AC2="B-717",'2023'!$E$4="CA",'2023'!$E$2=AK43),'2023DATA'!$H$37,"")</f>
        <v/>
      </c>
      <c r="AL78" s="518" t="str">
        <f>IF(AND(_AC2="B-717",'2023'!$E$4="CA",'2023'!$E$2=AL43),'2023DATA'!$I$37,"")</f>
        <v/>
      </c>
      <c r="AM78" s="518" t="str">
        <f>IF(AND(_AC2="B-717",'2023'!$E$4="CA",'2023'!$E$2=AM43),'2023DATA'!$J$37,"")</f>
        <v/>
      </c>
      <c r="AN78" s="518" t="str">
        <f>IF(AND(_AC2="B-717",'2023'!$E$4="CA",'2023'!$E$2=AN43),'2023DATA'!$K$37,"")</f>
        <v/>
      </c>
      <c r="AO78" s="518" t="str">
        <f>IF(AND(_AC2="B-717",'2023'!$E$4="CA",'2023'!$E$2=AO43),'2023DATA'!$L$37,"")</f>
        <v/>
      </c>
      <c r="AP78" s="518" t="str">
        <f>IF(AND(_AC2="B-717",'2023'!$E$4="CA",'2023'!$E$2=AP43),'2023DATA'!$M$37,"")</f>
        <v/>
      </c>
      <c r="AQ78" s="520" t="str">
        <f>IF(AND(_AC2="B-717",'2023'!$E$4="CA",'2023'!$E$2=AQ43),'2023DATA'!$N$37,"")</f>
        <v/>
      </c>
      <c r="AR78" s="940" t="s">
        <v>53</v>
      </c>
      <c r="AS78" s="13" t="s">
        <v>61</v>
      </c>
      <c r="AT78" s="518" t="str">
        <f>IF(AND(_AC3="B-717",'2023'!$E$4="CA",'2023'!$E$2=AT43),'2023DATA'!$C$37,"")</f>
        <v/>
      </c>
      <c r="AU78" s="518" t="str">
        <f>IF(AND(_AC3="B-717",'2023'!$E$4="CA",'2023'!$E$2=AU43),'2023DATA'!$D$37,"")</f>
        <v/>
      </c>
      <c r="AV78" s="518" t="str">
        <f>IF(AND(_AC3="B-717",'2023'!$E$4="CA",'2023'!$E$2=AV43),'2023DATA'!$E$37,"")</f>
        <v/>
      </c>
      <c r="AW78" s="518" t="str">
        <f>IF(AND(_AC3="B-717",'2023'!$E$4="CA",'2023'!$E$2=AW43),'2023DATA'!$F$37,"")</f>
        <v/>
      </c>
      <c r="AX78" s="518" t="str">
        <f>IF(AND(_AC3="B-717",'2023'!$E$4="CA",'2023'!$E$2=AX43),'2023DATA'!$G$37,"")</f>
        <v/>
      </c>
      <c r="AY78" s="518" t="str">
        <f>IF(AND(_AC3="B-717",'2023'!$E$4="CA",'2023'!$E$2=AY43),'2023DATA'!$H$37,"")</f>
        <v/>
      </c>
      <c r="AZ78" s="518" t="str">
        <f>IF(AND(_AC3="B-717",'2023'!$E$4="CA",'2023'!$E$2=AZ43),'2023DATA'!$I$37,"")</f>
        <v/>
      </c>
      <c r="BA78" s="518" t="str">
        <f>IF(AND(_AC3="B-717",'2023'!$E$4="CA",'2023'!$E$2=BA43),'2023DATA'!$J$37,"")</f>
        <v/>
      </c>
      <c r="BB78" s="518" t="str">
        <f>IF(AND(_AC3="B-717",'2023'!$E$4="CA",'2023'!$E$2=BB43),'2023DATA'!$K$37,"")</f>
        <v/>
      </c>
      <c r="BC78" s="518" t="str">
        <f>IF(AND(_AC3="B-717",'2023'!$E$4="CA",'2023'!$E$2=BC43),'2023DATA'!$L$37,"")</f>
        <v/>
      </c>
      <c r="BD78" s="518" t="str">
        <f>IF(AND(_AC3="B-717",'2023'!$E$4="CA",'2023'!$E$2=BD43),'2023DATA'!$M$37,"")</f>
        <v/>
      </c>
      <c r="BE78" s="520" t="str">
        <f>IF(AND(_AC3="B-717",'2023'!$E$4="CA",'2023'!$E$2=BE43),'2023DATA'!$N$37,"")</f>
        <v/>
      </c>
      <c r="BF78" s="940" t="s">
        <v>53</v>
      </c>
      <c r="BG78" s="13" t="s">
        <v>61</v>
      </c>
      <c r="BH78" s="518" t="str">
        <f>IF(AND(_AC4="B-717",'2023'!$E$4="CA",'2023'!$E$2=BH43),'2023DATA'!$C$37,"")</f>
        <v/>
      </c>
      <c r="BI78" s="518" t="str">
        <f>IF(AND(_AC4="B-717",'2023'!$E$4="CA",'2023'!$E$2=BI43),'2023DATA'!$D$37,"")</f>
        <v/>
      </c>
      <c r="BJ78" s="518" t="str">
        <f>IF(AND(_AC4="B-717",'2023'!$E$4="CA",'2023'!$E$2=BJ43),'2023DATA'!$E$37,"")</f>
        <v/>
      </c>
      <c r="BK78" s="518" t="str">
        <f>IF(AND(_AC4="B-717",'2023'!$E$4="CA",'2023'!$E$2=BK43),'2023DATA'!$F$37,"")</f>
        <v/>
      </c>
      <c r="BL78" s="518" t="str">
        <f>IF(AND(_AC4="B-717",'2023'!$E$4="CA",'2023'!$E$2=BL43),'2023DATA'!$G$37,"")</f>
        <v/>
      </c>
      <c r="BM78" s="518" t="str">
        <f>IF(AND(_AC4="B-717",'2023'!$E$4="CA",'2023'!$E$2=BM43),'2023DATA'!$H$37,"")</f>
        <v/>
      </c>
      <c r="BN78" s="518" t="str">
        <f>IF(AND(_AC4="B-717",'2023'!$E$4="CA",'2023'!$E$2=BN43),'2023DATA'!$I$37,"")</f>
        <v/>
      </c>
      <c r="BO78" s="518" t="str">
        <f>IF(AND(_AC4="B-717",'2023'!$E$4="CA",'2023'!$E$2=BO43),'2023DATA'!$J$37,"")</f>
        <v/>
      </c>
      <c r="BP78" s="518" t="str">
        <f>IF(AND(_AC4="B-717",'2023'!$E$4="CA",'2023'!$E$2=BP43),'2023DATA'!$K$37,"")</f>
        <v/>
      </c>
      <c r="BQ78" s="518" t="str">
        <f>IF(AND(_AC4="B-717",'2023'!$E$4="CA",'2023'!$E$2=BQ43),'2023DATA'!$L$37,"")</f>
        <v/>
      </c>
      <c r="BR78" s="518" t="str">
        <f>IF(AND(_AC4="B-717",'2023'!$E$4="CA",'2023'!$E$2=BR43),'2023DATA'!$M$37,"")</f>
        <v/>
      </c>
      <c r="BS78" s="520" t="str">
        <f>IF(AND(_AC4="B-717",'2023'!$E$4="CA",'2023'!$E$2=BS43),'2023DATA'!$N$37,"")</f>
        <v/>
      </c>
      <c r="BT78" s="940" t="s">
        <v>53</v>
      </c>
      <c r="BU78" s="13" t="s">
        <v>61</v>
      </c>
      <c r="BV78" s="518" t="str">
        <f>IF(AND(_AC5="B-717",'2023'!$E$4="CA",'2023'!$E$2=BV43),'2023DATA'!$C$37,"")</f>
        <v/>
      </c>
      <c r="BW78" s="518" t="str">
        <f>IF(AND(_AC5="B-717",'2023'!$E$4="CA",'2023'!$E$2=BW43),'2023DATA'!$D$37,"")</f>
        <v/>
      </c>
      <c r="BX78" s="518" t="str">
        <f>IF(AND(_AC5="B-717",'2023'!$E$4="CA",'2023'!$E$2=BX43),'2023DATA'!$E$37,"")</f>
        <v/>
      </c>
      <c r="BY78" s="518" t="str">
        <f>IF(AND(_AC5="B-717",'2023'!$E$4="CA",'2023'!$E$2=BY43),'2023DATA'!$F$37,"")</f>
        <v/>
      </c>
      <c r="BZ78" s="518" t="str">
        <f>IF(AND(_AC5="B-717",'2023'!$E$4="CA",'2023'!$E$2=BZ43),'2023DATA'!$G$37,"")</f>
        <v/>
      </c>
      <c r="CA78" s="518" t="str">
        <f>IF(AND(_AC5="B-717",'2023'!$E$4="CA",'2023'!$E$2=CA43),'2023DATA'!$H$37,"")</f>
        <v/>
      </c>
      <c r="CB78" s="518" t="str">
        <f>IF(AND(_AC5="B-717",'2023'!$E$4="CA",'2023'!$E$2=CB43),'2023DATA'!$I$37,"")</f>
        <v/>
      </c>
      <c r="CC78" s="518" t="str">
        <f>IF(AND(_AC5="B-717",'2023'!$E$4="CA",'2023'!$E$2=CC43),'2023DATA'!$J$37,"")</f>
        <v/>
      </c>
      <c r="CD78" s="518" t="str">
        <f>IF(AND(_AC5="B-717",'2023'!$E$4="CA",'2023'!$E$2=CD43),'2023DATA'!$K$37,"")</f>
        <v/>
      </c>
      <c r="CE78" s="518" t="str">
        <f>IF(AND(_AC5="B-717",'2023'!$E$4="CA",'2023'!$E$2=CE43),'2023DATA'!$L$37,"")</f>
        <v/>
      </c>
      <c r="CF78" s="518" t="str">
        <f>IF(AND(_AC5="B-717",'2023'!$E$4="CA",'2023'!$E$2=CF43),'2023DATA'!$M$37,"")</f>
        <v/>
      </c>
      <c r="CG78" s="520" t="str">
        <f>IF(AND(_AC5="B-717",'2023'!$E$4="CA",'2023'!$E$2=CG43),'2023DATA'!$N$37,"")</f>
        <v/>
      </c>
      <c r="CH78" s="940" t="s">
        <v>53</v>
      </c>
      <c r="CI78" s="13" t="s">
        <v>61</v>
      </c>
      <c r="CJ78" s="518" t="str">
        <f>IF(AND(_AC6="B-717",'2023'!$E$4="CA",'2023'!$E$2=CJ43),'2023DATA'!$C$37,"")</f>
        <v/>
      </c>
      <c r="CK78" s="518" t="str">
        <f>IF(AND(_AC6="B-717",'2023'!$E$4="CA",'2023'!$E$2=CK43),'2023DATA'!$D$37,"")</f>
        <v/>
      </c>
      <c r="CL78" s="518" t="str">
        <f>IF(AND(_AC6="B-717",'2023'!$E$4="CA",'2023'!$E$2=CL43),'2023DATA'!$E$37,"")</f>
        <v/>
      </c>
      <c r="CM78" s="518" t="str">
        <f>IF(AND(_AC6="B-717",'2023'!$E$4="CA",'2023'!$E$2=CM43),'2023DATA'!$F$37,"")</f>
        <v/>
      </c>
      <c r="CN78" s="518" t="str">
        <f>IF(AND(_AC6="B-717",'2023'!$E$4="CA",'2023'!$E$2=CN43),'2023DATA'!$G$37,"")</f>
        <v/>
      </c>
      <c r="CO78" s="518" t="str">
        <f>IF(AND(_AC6="B-717",'2023'!$E$4="CA",'2023'!$E$2=CO43),'2023DATA'!$H$37,"")</f>
        <v/>
      </c>
      <c r="CP78" s="518" t="str">
        <f>IF(AND(_AC6="B-717",'2023'!$E$4="CA",'2023'!$E$2=CP43),'2023DATA'!$I$37,"")</f>
        <v/>
      </c>
      <c r="CQ78" s="518" t="str">
        <f>IF(AND(_AC6="B-717",'2023'!$E$4="CA",'2023'!$E$2=CQ43),'2023DATA'!$J$37,"")</f>
        <v/>
      </c>
      <c r="CR78" s="518" t="str">
        <f>IF(AND(_AC6="B-717",'2023'!$E$4="CA",'2023'!$E$2=CR43),'2023DATA'!$K$37,"")</f>
        <v/>
      </c>
      <c r="CS78" s="518" t="str">
        <f>IF(AND(_AC6="B-717",'2023'!$E$4="CA",'2023'!$E$2=CS43),'2023DATA'!$L$37,"")</f>
        <v/>
      </c>
      <c r="CT78" s="518" t="str">
        <f>IF(AND(_AC6="B-717",'2023'!$E$4="CA",'2023'!$E$2=CT43),'2023DATA'!$M$37,"")</f>
        <v/>
      </c>
      <c r="CU78" s="520" t="str">
        <f>IF(AND(_AC6="B-717",'2023'!$E$4="CA",'2023'!$E$2=CU43),'2023DATA'!$N$37,"")</f>
        <v/>
      </c>
    </row>
    <row r="79" spans="16:99" ht="15.75" thickBot="1" x14ac:dyDescent="0.3">
      <c r="P79" s="940"/>
      <c r="Q79" s="13" t="s">
        <v>62</v>
      </c>
      <c r="R79" s="518" t="str">
        <f>IF(AND(_AC1="B-717",'2023'!$E$4="FO",'2023'!$E$2=R43),'2023DATA'!$C$38,"")</f>
        <v/>
      </c>
      <c r="S79" s="518" t="str">
        <f>IF(AND(_AC1="B-717",'2023'!$E$4="FO",'2023'!$E$2=S43),'2023DATA'!$D$38,"")</f>
        <v/>
      </c>
      <c r="T79" s="518" t="str">
        <f>IF(AND(_AC1="B-717",'2023'!$E$4="FO",'2023'!$E$2=T43),'2023DATA'!$E$38,"")</f>
        <v/>
      </c>
      <c r="U79" s="518" t="str">
        <f>IF(AND(_AC1="B-717",'2023'!$E$4="FO",'2023'!$E$2=U43),'2023DATA'!$F$38,"")</f>
        <v/>
      </c>
      <c r="V79" s="518" t="str">
        <f>IF(AND(_AC1="B-717",'2023'!$E$4="FO",'2023'!$E$2=V43),'2023DATA'!$G$38,"")</f>
        <v/>
      </c>
      <c r="W79" s="518" t="str">
        <f>IF(AND(_AC1="B-717",'2023'!$E$4="FO",'2023'!$E$2=W43),'2023DATA'!$H$38,"")</f>
        <v/>
      </c>
      <c r="X79" s="518" t="str">
        <f>IF(AND(_AC1="B-717",'2023'!$E$4="FO",'2023'!$E$2=X43),'2023DATA'!$I$38,"")</f>
        <v/>
      </c>
      <c r="Y79" s="518" t="str">
        <f>IF(AND(_AC1="B-717",'2023'!$E$4="FO",'2023'!$E$2=Y43),'2023DATA'!$J$38,"")</f>
        <v/>
      </c>
      <c r="Z79" s="518" t="str">
        <f>IF(AND(_AC1="B-717",'2023'!$E$4="FO",'2023'!$E$2=Z43),'2023DATA'!$K$38,"")</f>
        <v/>
      </c>
      <c r="AA79" s="518" t="str">
        <f>IF(AND(_AC1="B-717",'2023'!$E$4="FO",'2023'!$E$2=AA43),'2023DATA'!$L$38,"")</f>
        <v/>
      </c>
      <c r="AB79" s="518" t="str">
        <f>IF(AND(_AC1="B-717",'2023'!$E$4="FO",'2023'!$E$2=AB43),'2023DATA'!$M$38,"")</f>
        <v/>
      </c>
      <c r="AC79" s="520" t="str">
        <f>IF(AND(_AC1="B-717",'2023'!$E$4="FO",'2023'!$E$2=AC43),'2023DATA'!$N$38,"")</f>
        <v/>
      </c>
      <c r="AD79" s="940"/>
      <c r="AE79" s="13" t="s">
        <v>62</v>
      </c>
      <c r="AF79" s="518" t="str">
        <f>IF(AND(_AC2="B-717",'2023'!$E$4="FO",'2023'!$E$2=AF43),'2023DATA'!$C$38,"")</f>
        <v/>
      </c>
      <c r="AG79" s="518" t="str">
        <f>IF(AND(_AC2="B-717",'2023'!$E$4="FO",'2023'!$E$2=AG43),'2023DATA'!$D$38,"")</f>
        <v/>
      </c>
      <c r="AH79" s="518" t="str">
        <f>IF(AND(_AC2="B-717",'2023'!$E$4="FO",'2023'!$E$2=AH43),'2023DATA'!$E$38,"")</f>
        <v/>
      </c>
      <c r="AI79" s="518" t="str">
        <f>IF(AND(_AC2="B-717",'2023'!$E$4="FO",'2023'!$E$2=AI43),'2023DATA'!$F$38,"")</f>
        <v/>
      </c>
      <c r="AJ79" s="518" t="str">
        <f>IF(AND(_AC2="B-717",'2023'!$E$4="FO",'2023'!$E$2=AJ43),'2023DATA'!$G$38,"")</f>
        <v/>
      </c>
      <c r="AK79" s="518" t="str">
        <f>IF(AND(_AC2="B-717",'2023'!$E$4="FO",'2023'!$E$2=AK43),'2023DATA'!$H$38,"")</f>
        <v/>
      </c>
      <c r="AL79" s="518" t="str">
        <f>IF(AND(_AC2="B-717",'2023'!$E$4="FO",'2023'!$E$2=AL43),'2023DATA'!$I$38,"")</f>
        <v/>
      </c>
      <c r="AM79" s="518" t="str">
        <f>IF(AND(_AC2="B-717",'2023'!$E$4="FO",'2023'!$E$2=AM43),'2023DATA'!$J$38,"")</f>
        <v/>
      </c>
      <c r="AN79" s="518" t="str">
        <f>IF(AND(_AC2="B-717",'2023'!$E$4="FO",'2023'!$E$2=AN43),'2023DATA'!$K$38,"")</f>
        <v/>
      </c>
      <c r="AO79" s="518" t="str">
        <f>IF(AND(_AC2="B-717",'2023'!$E$4="FO",'2023'!$E$2=AO43),'2023DATA'!$L$38,"")</f>
        <v/>
      </c>
      <c r="AP79" s="518" t="str">
        <f>IF(AND(_AC2="B-717",'2023'!$E$4="FO",'2023'!$E$2=AP43),'2023DATA'!$M$38,"")</f>
        <v/>
      </c>
      <c r="AQ79" s="520" t="str">
        <f>IF(AND(_AC2="B-717",'2023'!$E$4="FO",'2023'!$E$2=AQ43),'2023DATA'!$N$38,"")</f>
        <v/>
      </c>
      <c r="AR79" s="940"/>
      <c r="AS79" s="13" t="s">
        <v>62</v>
      </c>
      <c r="AT79" s="518" t="str">
        <f>IF(AND(_AC3="B-717",'2023'!$E$4="FO",'2023'!$E$2=AT43),'2023DATA'!$C$38,"")</f>
        <v/>
      </c>
      <c r="AU79" s="518" t="str">
        <f>IF(AND(_AC3="B-717",'2023'!$E$4="FO",'2023'!$E$2=AU43),'2023DATA'!$D$38,"")</f>
        <v/>
      </c>
      <c r="AV79" s="518" t="str">
        <f>IF(AND(_AC3="B-717",'2023'!$E$4="FO",'2023'!$E$2=AV43),'2023DATA'!$E$38,"")</f>
        <v/>
      </c>
      <c r="AW79" s="518" t="str">
        <f>IF(AND(_AC3="B-717",'2023'!$E$4="FO",'2023'!$E$2=AW43),'2023DATA'!$F$38,"")</f>
        <v/>
      </c>
      <c r="AX79" s="518" t="str">
        <f>IF(AND(_AC3="B-717",'2023'!$E$4="FO",'2023'!$E$2=AX43),'2023DATA'!$G$38,"")</f>
        <v/>
      </c>
      <c r="AY79" s="518" t="str">
        <f>IF(AND(_AC3="B-717",'2023'!$E$4="FO",'2023'!$E$2=AY43),'2023DATA'!$H$38,"")</f>
        <v/>
      </c>
      <c r="AZ79" s="518" t="str">
        <f>IF(AND(_AC3="B-717",'2023'!$E$4="FO",'2023'!$E$2=AZ43),'2023DATA'!$I$38,"")</f>
        <v/>
      </c>
      <c r="BA79" s="518" t="str">
        <f>IF(AND(_AC3="B-717",'2023'!$E$4="FO",'2023'!$E$2=BA43),'2023DATA'!$J$38,"")</f>
        <v/>
      </c>
      <c r="BB79" s="518" t="str">
        <f>IF(AND(_AC3="B-717",'2023'!$E$4="FO",'2023'!$E$2=BB43),'2023DATA'!$K$38,"")</f>
        <v/>
      </c>
      <c r="BC79" s="518" t="str">
        <f>IF(AND(_AC3="B-717",'2023'!$E$4="FO",'2023'!$E$2=BC43),'2023DATA'!$L$38,"")</f>
        <v/>
      </c>
      <c r="BD79" s="518" t="str">
        <f>IF(AND(_AC3="B-717",'2023'!$E$4="FO",'2023'!$E$2=BD43),'2023DATA'!$M$38,"")</f>
        <v/>
      </c>
      <c r="BE79" s="520" t="str">
        <f>IF(AND(_AC3="B-717",'2023'!$E$4="FO",'2023'!$E$2=BE43),'2023DATA'!$N$38,"")</f>
        <v/>
      </c>
      <c r="BF79" s="940"/>
      <c r="BG79" s="13" t="s">
        <v>62</v>
      </c>
      <c r="BH79" s="518" t="str">
        <f>IF(AND(_AC4="B-717",'2023'!$E$4="FO",'2023'!$E$2=BH43),'2023DATA'!$C$38,"")</f>
        <v/>
      </c>
      <c r="BI79" s="518" t="str">
        <f>IF(AND(_AC4="B-717",'2023'!$E$4="FO",'2023'!$E$2=BI43),'2023DATA'!$D$38,"")</f>
        <v/>
      </c>
      <c r="BJ79" s="518" t="str">
        <f>IF(AND(_AC4="B-717",'2023'!$E$4="FO",'2023'!$E$2=BJ43),'2023DATA'!$E$38,"")</f>
        <v/>
      </c>
      <c r="BK79" s="518" t="str">
        <f>IF(AND(_AC4="B-717",'2023'!$E$4="FO",'2023'!$E$2=BK43),'2023DATA'!$F$38,"")</f>
        <v/>
      </c>
      <c r="BL79" s="518" t="str">
        <f>IF(AND(_AC4="B-717",'2023'!$E$4="FO",'2023'!$E$2=BL43),'2023DATA'!$G$38,"")</f>
        <v/>
      </c>
      <c r="BM79" s="518" t="str">
        <f>IF(AND(_AC4="B-717",'2023'!$E$4="FO",'2023'!$E$2=BM43),'2023DATA'!$H$38,"")</f>
        <v/>
      </c>
      <c r="BN79" s="518" t="str">
        <f>IF(AND(_AC4="B-717",'2023'!$E$4="FO",'2023'!$E$2=BN43),'2023DATA'!$I$38,"")</f>
        <v/>
      </c>
      <c r="BO79" s="518" t="str">
        <f>IF(AND(_AC4="B-717",'2023'!$E$4="FO",'2023'!$E$2=BO43),'2023DATA'!$J$38,"")</f>
        <v/>
      </c>
      <c r="BP79" s="518" t="str">
        <f>IF(AND(_AC4="B-717",'2023'!$E$4="FO",'2023'!$E$2=BP43),'2023DATA'!$K$38,"")</f>
        <v/>
      </c>
      <c r="BQ79" s="518" t="str">
        <f>IF(AND(_AC4="B-717",'2023'!$E$4="FO",'2023'!$E$2=BQ43),'2023DATA'!$L$38,"")</f>
        <v/>
      </c>
      <c r="BR79" s="518" t="str">
        <f>IF(AND(_AC4="B-717",'2023'!$E$4="FO",'2023'!$E$2=BR43),'2023DATA'!$M$38,"")</f>
        <v/>
      </c>
      <c r="BS79" s="520" t="str">
        <f>IF(AND(_AC4="B-717",'2023'!$E$4="FO",'2023'!$E$2=BS43),'2023DATA'!$N$38,"")</f>
        <v/>
      </c>
      <c r="BT79" s="940"/>
      <c r="BU79" s="13" t="s">
        <v>62</v>
      </c>
      <c r="BV79" s="518" t="str">
        <f>IF(AND(_AC5="B-717",'2023'!$E$4="FO",'2023'!$E$2=BV43),'2023DATA'!$C$38,"")</f>
        <v/>
      </c>
      <c r="BW79" s="518" t="str">
        <f>IF(AND(_AC5="B-717",'2023'!$E$4="FO",'2023'!$E$2=BW43),'2023DATA'!$D$38,"")</f>
        <v/>
      </c>
      <c r="BX79" s="518" t="str">
        <f>IF(AND(_AC5="B-717",'2023'!$E$4="FO",'2023'!$E$2=BX43),'2023DATA'!$E$38,"")</f>
        <v/>
      </c>
      <c r="BY79" s="518" t="str">
        <f>IF(AND(_AC5="B-717",'2023'!$E$4="FO",'2023'!$E$2=BY43),'2023DATA'!$F$38,"")</f>
        <v/>
      </c>
      <c r="BZ79" s="518" t="str">
        <f>IF(AND(_AC5="B-717",'2023'!$E$4="FO",'2023'!$E$2=BZ43),'2023DATA'!$G$38,"")</f>
        <v/>
      </c>
      <c r="CA79" s="518" t="str">
        <f>IF(AND(_AC5="B-717",'2023'!$E$4="FO",'2023'!$E$2=CA43),'2023DATA'!$H$38,"")</f>
        <v/>
      </c>
      <c r="CB79" s="518" t="str">
        <f>IF(AND(_AC5="B-717",'2023'!$E$4="FO",'2023'!$E$2=CB43),'2023DATA'!$I$38,"")</f>
        <v/>
      </c>
      <c r="CC79" s="518" t="str">
        <f>IF(AND(_AC5="B-717",'2023'!$E$4="FO",'2023'!$E$2=CC43),'2023DATA'!$J$38,"")</f>
        <v/>
      </c>
      <c r="CD79" s="518" t="str">
        <f>IF(AND(_AC5="B-717",'2023'!$E$4="FO",'2023'!$E$2=CD43),'2023DATA'!$K$38,"")</f>
        <v/>
      </c>
      <c r="CE79" s="518" t="str">
        <f>IF(AND(_AC5="B-717",'2023'!$E$4="FO",'2023'!$E$2=CE43),'2023DATA'!$L$38,"")</f>
        <v/>
      </c>
      <c r="CF79" s="518" t="str">
        <f>IF(AND(_AC5="B-717",'2023'!$E$4="FO",'2023'!$E$2=CF43),'2023DATA'!$M$38,"")</f>
        <v/>
      </c>
      <c r="CG79" s="520" t="str">
        <f>IF(AND(_AC5="B-717",'2023'!$E$4="FO",'2023'!$E$2=CG43),'2023DATA'!$N$38,"")</f>
        <v/>
      </c>
      <c r="CH79" s="940"/>
      <c r="CI79" s="13" t="s">
        <v>62</v>
      </c>
      <c r="CJ79" s="518" t="str">
        <f>IF(AND(_AC6="B-717",'2023'!$E$4="FO",'2023'!$E$2=CJ43),'2023DATA'!$C$38,"")</f>
        <v/>
      </c>
      <c r="CK79" s="518" t="str">
        <f>IF(AND(_AC6="B-717",'2023'!$E$4="FO",'2023'!$E$2=CK43),'2023DATA'!$D$38,"")</f>
        <v/>
      </c>
      <c r="CL79" s="518" t="str">
        <f>IF(AND(_AC6="B-717",'2023'!$E$4="FO",'2023'!$E$2=CL43),'2023DATA'!$E$38,"")</f>
        <v/>
      </c>
      <c r="CM79" s="518" t="str">
        <f>IF(AND(_AC6="B-717",'2023'!$E$4="FO",'2023'!$E$2=CM43),'2023DATA'!$F$38,"")</f>
        <v/>
      </c>
      <c r="CN79" s="518" t="str">
        <f>IF(AND(_AC6="B-717",'2023'!$E$4="FO",'2023'!$E$2=CN43),'2023DATA'!$G$38,"")</f>
        <v/>
      </c>
      <c r="CO79" s="518" t="str">
        <f>IF(AND(_AC6="B-717",'2023'!$E$4="FO",'2023'!$E$2=CO43),'2023DATA'!$H$38,"")</f>
        <v/>
      </c>
      <c r="CP79" s="518" t="str">
        <f>IF(AND(_AC6="B-717",'2023'!$E$4="FO",'2023'!$E$2=CP43),'2023DATA'!$I$38,"")</f>
        <v/>
      </c>
      <c r="CQ79" s="518" t="str">
        <f>IF(AND(_AC6="B-717",'2023'!$E$4="FO",'2023'!$E$2=CQ43),'2023DATA'!$J$38,"")</f>
        <v/>
      </c>
      <c r="CR79" s="518" t="str">
        <f>IF(AND(_AC6="B-717",'2023'!$E$4="FO",'2023'!$E$2=CR43),'2023DATA'!$K$38,"")</f>
        <v/>
      </c>
      <c r="CS79" s="518" t="str">
        <f>IF(AND(_AC6="B-717",'2023'!$E$4="FO",'2023'!$E$2=CS43),'2023DATA'!$L$38,"")</f>
        <v/>
      </c>
      <c r="CT79" s="518" t="str">
        <f>IF(AND(_AC6="B-717",'2023'!$E$4="FO",'2023'!$E$2=CT43),'2023DATA'!$M$38,"")</f>
        <v/>
      </c>
      <c r="CU79" s="520" t="str">
        <f>IF(AND(_AC6="B-717",'2023'!$E$4="FO",'2023'!$E$2=CU43),'2023DATA'!$N$38,"")</f>
        <v/>
      </c>
    </row>
    <row r="80" spans="16:99" x14ac:dyDescent="0.25">
      <c r="P80" s="943" t="s">
        <v>140</v>
      </c>
      <c r="Q80" s="944"/>
      <c r="R80" s="944"/>
      <c r="S80" s="944"/>
      <c r="T80" s="944"/>
      <c r="U80" s="944"/>
      <c r="V80" s="944"/>
      <c r="W80" s="944"/>
      <c r="X80" s="944"/>
      <c r="Y80" s="944"/>
      <c r="Z80" s="944"/>
      <c r="AA80" s="944"/>
      <c r="AB80" s="944"/>
      <c r="AC80" s="945"/>
      <c r="AD80" s="943" t="s">
        <v>141</v>
      </c>
      <c r="AE80" s="944"/>
      <c r="AF80" s="944"/>
      <c r="AG80" s="944"/>
      <c r="AH80" s="944"/>
      <c r="AI80" s="944"/>
      <c r="AJ80" s="944"/>
      <c r="AK80" s="944"/>
      <c r="AL80" s="944"/>
      <c r="AM80" s="944"/>
      <c r="AN80" s="944"/>
      <c r="AO80" s="944"/>
      <c r="AP80" s="944"/>
      <c r="AQ80" s="945"/>
      <c r="AR80" s="943" t="s">
        <v>142</v>
      </c>
      <c r="AS80" s="944"/>
      <c r="AT80" s="944"/>
      <c r="AU80" s="944"/>
      <c r="AV80" s="944"/>
      <c r="AW80" s="944"/>
      <c r="AX80" s="944"/>
      <c r="AY80" s="944"/>
      <c r="AZ80" s="944"/>
      <c r="BA80" s="944"/>
      <c r="BB80" s="944"/>
      <c r="BC80" s="944"/>
      <c r="BD80" s="944"/>
      <c r="BE80" s="945"/>
      <c r="BF80" s="943" t="s">
        <v>143</v>
      </c>
      <c r="BG80" s="944"/>
      <c r="BH80" s="944"/>
      <c r="BI80" s="944"/>
      <c r="BJ80" s="944"/>
      <c r="BK80" s="944"/>
      <c r="BL80" s="944"/>
      <c r="BM80" s="944"/>
      <c r="BN80" s="944"/>
      <c r="BO80" s="944"/>
      <c r="BP80" s="944"/>
      <c r="BQ80" s="944"/>
      <c r="BR80" s="944"/>
      <c r="BS80" s="945"/>
      <c r="BT80" s="943" t="s">
        <v>144</v>
      </c>
      <c r="BU80" s="944"/>
      <c r="BV80" s="944"/>
      <c r="BW80" s="944"/>
      <c r="BX80" s="944"/>
      <c r="BY80" s="944"/>
      <c r="BZ80" s="944"/>
      <c r="CA80" s="944"/>
      <c r="CB80" s="944"/>
      <c r="CC80" s="944"/>
      <c r="CD80" s="944"/>
      <c r="CE80" s="944"/>
      <c r="CF80" s="944"/>
      <c r="CG80" s="945"/>
      <c r="CH80" s="943" t="s">
        <v>145</v>
      </c>
      <c r="CI80" s="944"/>
      <c r="CJ80" s="944"/>
      <c r="CK80" s="944"/>
      <c r="CL80" s="944"/>
      <c r="CM80" s="944"/>
      <c r="CN80" s="944"/>
      <c r="CO80" s="944"/>
      <c r="CP80" s="944"/>
      <c r="CQ80" s="944"/>
      <c r="CR80" s="944"/>
      <c r="CS80" s="944"/>
      <c r="CT80" s="944"/>
      <c r="CU80" s="945"/>
    </row>
    <row r="81" spans="16:99" x14ac:dyDescent="0.25">
      <c r="P81" s="582">
        <v>3</v>
      </c>
      <c r="Q81" s="559">
        <f>SUM(R82:AC117)</f>
        <v>0</v>
      </c>
      <c r="R81" s="3">
        <v>12</v>
      </c>
      <c r="S81" s="3">
        <v>11</v>
      </c>
      <c r="T81" s="3">
        <v>10</v>
      </c>
      <c r="U81" s="3">
        <v>9</v>
      </c>
      <c r="V81" s="3">
        <v>8</v>
      </c>
      <c r="W81" s="3">
        <v>7</v>
      </c>
      <c r="X81" s="3">
        <v>6</v>
      </c>
      <c r="Y81" s="3">
        <v>5</v>
      </c>
      <c r="Z81" s="3">
        <v>4</v>
      </c>
      <c r="AA81" s="3">
        <v>3</v>
      </c>
      <c r="AB81" s="3">
        <v>2</v>
      </c>
      <c r="AC81" s="519">
        <v>1</v>
      </c>
      <c r="AD81" s="559">
        <v>3</v>
      </c>
      <c r="AE81" s="559">
        <f>SUM(AF82:AQ117)</f>
        <v>0</v>
      </c>
      <c r="AF81" s="3">
        <v>12</v>
      </c>
      <c r="AG81" s="3">
        <v>11</v>
      </c>
      <c r="AH81" s="3">
        <v>10</v>
      </c>
      <c r="AI81" s="3">
        <v>9</v>
      </c>
      <c r="AJ81" s="3">
        <v>8</v>
      </c>
      <c r="AK81" s="3">
        <v>7</v>
      </c>
      <c r="AL81" s="3">
        <v>6</v>
      </c>
      <c r="AM81" s="3">
        <v>5</v>
      </c>
      <c r="AN81" s="3">
        <v>4</v>
      </c>
      <c r="AO81" s="3">
        <v>3</v>
      </c>
      <c r="AP81" s="3">
        <v>2</v>
      </c>
      <c r="AQ81" s="519">
        <v>1</v>
      </c>
      <c r="AR81" s="559">
        <v>3</v>
      </c>
      <c r="AS81" s="559">
        <f>SUM(AT82:BE117)</f>
        <v>0</v>
      </c>
      <c r="AT81" s="3">
        <v>12</v>
      </c>
      <c r="AU81" s="3">
        <v>11</v>
      </c>
      <c r="AV81" s="3">
        <v>10</v>
      </c>
      <c r="AW81" s="3">
        <v>9</v>
      </c>
      <c r="AX81" s="3">
        <v>8</v>
      </c>
      <c r="AY81" s="3">
        <v>7</v>
      </c>
      <c r="AZ81" s="3">
        <v>6</v>
      </c>
      <c r="BA81" s="3">
        <v>5</v>
      </c>
      <c r="BB81" s="3">
        <v>4</v>
      </c>
      <c r="BC81" s="3">
        <v>3</v>
      </c>
      <c r="BD81" s="3">
        <v>2</v>
      </c>
      <c r="BE81" s="519">
        <v>1</v>
      </c>
      <c r="BF81" s="559">
        <v>3</v>
      </c>
      <c r="BG81" s="559">
        <f>SUM(BH82:BS117)</f>
        <v>0</v>
      </c>
      <c r="BH81" s="3">
        <v>12</v>
      </c>
      <c r="BI81" s="3">
        <v>11</v>
      </c>
      <c r="BJ81" s="3">
        <v>10</v>
      </c>
      <c r="BK81" s="3">
        <v>9</v>
      </c>
      <c r="BL81" s="3">
        <v>8</v>
      </c>
      <c r="BM81" s="3">
        <v>7</v>
      </c>
      <c r="BN81" s="3">
        <v>6</v>
      </c>
      <c r="BO81" s="3">
        <v>5</v>
      </c>
      <c r="BP81" s="3">
        <v>4</v>
      </c>
      <c r="BQ81" s="3">
        <v>3</v>
      </c>
      <c r="BR81" s="3">
        <v>2</v>
      </c>
      <c r="BS81" s="519">
        <v>1</v>
      </c>
      <c r="BT81" s="559">
        <v>3</v>
      </c>
      <c r="BU81" s="559">
        <f>SUM(BV82:CG117)</f>
        <v>0</v>
      </c>
      <c r="BV81" s="3">
        <v>12</v>
      </c>
      <c r="BW81" s="3">
        <v>11</v>
      </c>
      <c r="BX81" s="3">
        <v>10</v>
      </c>
      <c r="BY81" s="3">
        <v>9</v>
      </c>
      <c r="BZ81" s="3">
        <v>8</v>
      </c>
      <c r="CA81" s="3">
        <v>7</v>
      </c>
      <c r="CB81" s="3">
        <v>6</v>
      </c>
      <c r="CC81" s="3">
        <v>5</v>
      </c>
      <c r="CD81" s="3">
        <v>4</v>
      </c>
      <c r="CE81" s="3">
        <v>3</v>
      </c>
      <c r="CF81" s="3">
        <v>2</v>
      </c>
      <c r="CG81" s="519">
        <v>1</v>
      </c>
      <c r="CH81" s="559">
        <v>3</v>
      </c>
      <c r="CI81" s="559">
        <f>SUM(CJ82:CU117)</f>
        <v>0</v>
      </c>
      <c r="CJ81" s="3">
        <v>12</v>
      </c>
      <c r="CK81" s="3">
        <v>11</v>
      </c>
      <c r="CL81" s="3">
        <v>10</v>
      </c>
      <c r="CM81" s="3">
        <v>9</v>
      </c>
      <c r="CN81" s="3">
        <v>8</v>
      </c>
      <c r="CO81" s="3">
        <v>7</v>
      </c>
      <c r="CP81" s="3">
        <v>6</v>
      </c>
      <c r="CQ81" s="3">
        <v>5</v>
      </c>
      <c r="CR81" s="3">
        <v>4</v>
      </c>
      <c r="CS81" s="3">
        <v>3</v>
      </c>
      <c r="CT81" s="3">
        <v>2</v>
      </c>
      <c r="CU81" s="519">
        <v>1</v>
      </c>
    </row>
    <row r="82" spans="16:99" x14ac:dyDescent="0.25">
      <c r="P82" s="940" t="s">
        <v>39</v>
      </c>
      <c r="Q82" s="13" t="s">
        <v>61</v>
      </c>
      <c r="R82" s="518" t="str">
        <f>IF(AND(_AC1="A-350",'2023'!$F$4="CA",'2023'!$F$2=R81),'2023DATA'!$C$3,"")</f>
        <v/>
      </c>
      <c r="S82" s="518" t="str">
        <f>IF(AND(_AC1="A-350",'2023'!$F$4="CA",'2023'!$F$2=S81),'2023DATA'!$D$3,"")</f>
        <v/>
      </c>
      <c r="T82" s="518" t="str">
        <f>IF(AND(_AC1="A-350",'2023'!$F$4="CA",'2023'!$F$2=T81),'2023DATA'!$E$3,"")</f>
        <v/>
      </c>
      <c r="U82" s="518" t="str">
        <f>IF(AND(_AC1="A-350",'2023'!$F$4="CA",'2023'!$F$2=U81),'2023DATA'!$F$3,"")</f>
        <v/>
      </c>
      <c r="V82" s="518" t="str">
        <f>IF(AND(_AC1="A-350",'2023'!$F$4="CA",'2023'!$F$2=V81),'2023DATA'!$G$3,"")</f>
        <v/>
      </c>
      <c r="W82" s="518" t="str">
        <f>IF(AND(_AC1="A-350",'2023'!$F$4="CA",'2023'!$F$2=W81),'2023DATA'!$H$3,"")</f>
        <v/>
      </c>
      <c r="X82" s="518" t="str">
        <f>IF(AND(_AC1="A-350",'2023'!$F$4="CA",'2023'!$F$2=X81),'2023DATA'!$I$3,"")</f>
        <v/>
      </c>
      <c r="Y82" s="518" t="str">
        <f>IF(AND(_AC1="A-350",'2023'!$F$4="CA",'2023'!$F$2=Y81),'2023DATA'!$J$3,"")</f>
        <v/>
      </c>
      <c r="Z82" s="518" t="str">
        <f>IF(AND(_AC1="A-350",'2023'!$F$4="CA",'2023'!$F$2=Z81),'2023DATA'!$K$3,"")</f>
        <v/>
      </c>
      <c r="AA82" s="518" t="str">
        <f>IF(AND(_AC1="A-350",'2023'!$F$4="CA",'2023'!$F$2=AA81),'2023DATA'!$L$3,"")</f>
        <v/>
      </c>
      <c r="AB82" s="518" t="str">
        <f>IF(AND(_AC1="A-350",'2023'!$F$4="CA",'2023'!$F$2=AB81),'2023DATA'!$M$3,"")</f>
        <v/>
      </c>
      <c r="AC82" s="520" t="str">
        <f>IF(AND(_AC1="A-350",'2023'!$F$4="CA",'2023'!$F$2=AC81),'2023DATA'!$N$3,"")</f>
        <v/>
      </c>
      <c r="AD82" s="940" t="s">
        <v>39</v>
      </c>
      <c r="AE82" s="13" t="s">
        <v>61</v>
      </c>
      <c r="AF82" s="518" t="str">
        <f>IF(AND(_AC2="A-350",'2023'!$F$4="CA",'2023'!$F$2=AF81),'2023DATA'!$C$3,"")</f>
        <v/>
      </c>
      <c r="AG82" s="518" t="str">
        <f>IF(AND(_AC2="A-350",'2023'!$F$4="CA",'2023'!$F$2=AG81),'2023DATA'!$D$3,"")</f>
        <v/>
      </c>
      <c r="AH82" s="518" t="str">
        <f>IF(AND(_AC2="A-350",'2023'!$F$4="CA",'2023'!$F$2=AH81),'2023DATA'!$E$3,"")</f>
        <v/>
      </c>
      <c r="AI82" s="518" t="str">
        <f>IF(AND(_AC2="A-350",'2023'!$F$4="CA",'2023'!$F$2=AI81),'2023DATA'!$F$3,"")</f>
        <v/>
      </c>
      <c r="AJ82" s="518" t="str">
        <f>IF(AND(_AC2="A-350",'2023'!$F$4="CA",'2023'!$F$2=AJ81),'2023DATA'!$G$3,"")</f>
        <v/>
      </c>
      <c r="AK82" s="518" t="str">
        <f>IF(AND(_AC2="A-350",'2023'!$F$4="CA",'2023'!$F$2=AK81),'2023DATA'!$H$3,"")</f>
        <v/>
      </c>
      <c r="AL82" s="518" t="str">
        <f>IF(AND(_AC2="A-350",'2023'!$F$4="CA",'2023'!$F$2=AL81),'2023DATA'!$I$3,"")</f>
        <v/>
      </c>
      <c r="AM82" s="518" t="str">
        <f>IF(AND(_AC2="A-350",'2023'!$F$4="CA",'2023'!$F$2=AM81),'2023DATA'!$J$3,"")</f>
        <v/>
      </c>
      <c r="AN82" s="518" t="str">
        <f>IF(AND(_AC2="A-350",'2023'!$F$4="CA",'2023'!$F$2=AN81),'2023DATA'!$K$3,"")</f>
        <v/>
      </c>
      <c r="AO82" s="518" t="str">
        <f>IF(AND(_AC2="A-350",'2023'!$F$4="CA",'2023'!$F$2=AO81),'2023DATA'!$L$3,"")</f>
        <v/>
      </c>
      <c r="AP82" s="518" t="str">
        <f>IF(AND(_AC2="A-350",'2023'!$F$4="CA",'2023'!$F$2=AP81),'2023DATA'!$M$3,"")</f>
        <v/>
      </c>
      <c r="AQ82" s="520" t="str">
        <f>IF(AND(_AC2="A-350",'2023'!$F$4="CA",'2023'!$F$2=AQ81),'2023DATA'!$N$3,"")</f>
        <v/>
      </c>
      <c r="AR82" s="940" t="s">
        <v>39</v>
      </c>
      <c r="AS82" s="13" t="s">
        <v>61</v>
      </c>
      <c r="AT82" s="518" t="str">
        <f>IF(AND(_AC3="A-350",'2023'!$F$4="CA",'2023'!$F$2=AT81),'2023DATA'!$C$3,"")</f>
        <v/>
      </c>
      <c r="AU82" s="518" t="str">
        <f>IF(AND(_AC3="A-350",'2023'!$F$4="CA",'2023'!$F$2=AU81),'2023DATA'!$D$3,"")</f>
        <v/>
      </c>
      <c r="AV82" s="518" t="str">
        <f>IF(AND(_AC3="A-350",'2023'!$F$4="CA",'2023'!$F$2=AV81),'2023DATA'!$E$3,"")</f>
        <v/>
      </c>
      <c r="AW82" s="518" t="str">
        <f>IF(AND(_AC3="A-350",'2023'!$F$4="CA",'2023'!$F$2=AW81),'2023DATA'!$F$3,"")</f>
        <v/>
      </c>
      <c r="AX82" s="518" t="str">
        <f>IF(AND(_AC3="A-350",'2023'!$F$4="CA",'2023'!$F$2=AX81),'2023DATA'!$G$3,"")</f>
        <v/>
      </c>
      <c r="AY82" s="518" t="str">
        <f>IF(AND(_AC3="A-350",'2023'!$F$4="CA",'2023'!$F$2=AY81),'2023DATA'!$H$3,"")</f>
        <v/>
      </c>
      <c r="AZ82" s="518" t="str">
        <f>IF(AND(_AC3="A-350",'2023'!$F$4="CA",'2023'!$F$2=AZ81),'2023DATA'!$I$3,"")</f>
        <v/>
      </c>
      <c r="BA82" s="518" t="str">
        <f>IF(AND(_AC3="A-350",'2023'!$F$4="CA",'2023'!$F$2=BA81),'2023DATA'!$J$3,"")</f>
        <v/>
      </c>
      <c r="BB82" s="518" t="str">
        <f>IF(AND(_AC3="A-350",'2023'!$F$4="CA",'2023'!$F$2=BB81),'2023DATA'!$K$3,"")</f>
        <v/>
      </c>
      <c r="BC82" s="518" t="str">
        <f>IF(AND(_AC3="A-350",'2023'!$F$4="CA",'2023'!$F$2=BC81),'2023DATA'!$L$3,"")</f>
        <v/>
      </c>
      <c r="BD82" s="518" t="str">
        <f>IF(AND(_AC3="A-350",'2023'!$F$4="CA",'2023'!$F$2=BD81),'2023DATA'!$M$3,"")</f>
        <v/>
      </c>
      <c r="BE82" s="520" t="str">
        <f>IF(AND(_AC3="A-350",'2023'!$F$4="CA",'2023'!$F$2=BE81),'2023DATA'!$N$3,"")</f>
        <v/>
      </c>
      <c r="BF82" s="940" t="s">
        <v>39</v>
      </c>
      <c r="BG82" s="13" t="s">
        <v>61</v>
      </c>
      <c r="BH82" s="518" t="str">
        <f>IF(AND(_AC4="A-350",'2023'!$F$4="CA",'2023'!$F$2=BH81),'2023DATA'!$C$3,"")</f>
        <v/>
      </c>
      <c r="BI82" s="518" t="str">
        <f>IF(AND(_AC4="A-350",'2023'!$F$4="CA",'2023'!$F$2=BI81),'2023DATA'!$D$3,"")</f>
        <v/>
      </c>
      <c r="BJ82" s="518" t="str">
        <f>IF(AND(_AC4="A-350",'2023'!$F$4="CA",'2023'!$F$2=BJ81),'2023DATA'!$E$3,"")</f>
        <v/>
      </c>
      <c r="BK82" s="518" t="str">
        <f>IF(AND(_AC4="A-350",'2023'!$F$4="CA",'2023'!$F$2=BK81),'2023DATA'!$F$3,"")</f>
        <v/>
      </c>
      <c r="BL82" s="518" t="str">
        <f>IF(AND(_AC4="A-350",'2023'!$F$4="CA",'2023'!$F$2=BL81),'2023DATA'!$G$3,"")</f>
        <v/>
      </c>
      <c r="BM82" s="518" t="str">
        <f>IF(AND(_AC4="A-350",'2023'!$F$4="CA",'2023'!$F$2=BM81),'2023DATA'!$H$3,"")</f>
        <v/>
      </c>
      <c r="BN82" s="518" t="str">
        <f>IF(AND(_AC4="A-350",'2023'!$F$4="CA",'2023'!$F$2=BN81),'2023DATA'!$I$3,"")</f>
        <v/>
      </c>
      <c r="BO82" s="518" t="str">
        <f>IF(AND(_AC4="A-350",'2023'!$F$4="CA",'2023'!$F$2=BO81),'2023DATA'!$J$3,"")</f>
        <v/>
      </c>
      <c r="BP82" s="518" t="str">
        <f>IF(AND(_AC4="A-350",'2023'!$F$4="CA",'2023'!$F$2=BP81),'2023DATA'!$K$3,"")</f>
        <v/>
      </c>
      <c r="BQ82" s="518" t="str">
        <f>IF(AND(_AC4="A-350",'2023'!$F$4="CA",'2023'!$F$2=BQ81),'2023DATA'!$L$3,"")</f>
        <v/>
      </c>
      <c r="BR82" s="518" t="str">
        <f>IF(AND(_AC4="A-350",'2023'!$F$4="CA",'2023'!$F$2=BR81),'2023DATA'!$M$3,"")</f>
        <v/>
      </c>
      <c r="BS82" s="520" t="str">
        <f>IF(AND(_AC4="A-350",'2023'!$F$4="CA",'2023'!$F$2=BS81),'2023DATA'!$N$3,"")</f>
        <v/>
      </c>
      <c r="BT82" s="940" t="s">
        <v>39</v>
      </c>
      <c r="BU82" s="13" t="s">
        <v>61</v>
      </c>
      <c r="BV82" s="518" t="str">
        <f>IF(AND(_AC5="A-350",'2023'!$F$4="CA",'2023'!$F$2=BV81),'2023DATA'!$C$3,"")</f>
        <v/>
      </c>
      <c r="BW82" s="518" t="str">
        <f>IF(AND(_AC5="A-350",'2023'!$F$4="CA",'2023'!$F$2=BW81),'2023DATA'!$D$3,"")</f>
        <v/>
      </c>
      <c r="BX82" s="518" t="str">
        <f>IF(AND(_AC5="A-350",'2023'!$F$4="CA",'2023'!$F$2=BX81),'2023DATA'!$E$3,"")</f>
        <v/>
      </c>
      <c r="BY82" s="518" t="str">
        <f>IF(AND(_AC5="A-350",'2023'!$F$4="CA",'2023'!$F$2=BY81),'2023DATA'!$F$3,"")</f>
        <v/>
      </c>
      <c r="BZ82" s="518" t="str">
        <f>IF(AND(_AC5="A-350",'2023'!$F$4="CA",'2023'!$F$2=BZ81),'2023DATA'!$G$3,"")</f>
        <v/>
      </c>
      <c r="CA82" s="518" t="str">
        <f>IF(AND(_AC5="A-350",'2023'!$F$4="CA",'2023'!$F$2=CA81),'2023DATA'!$H$3,"")</f>
        <v/>
      </c>
      <c r="CB82" s="518" t="str">
        <f>IF(AND(_AC5="A-350",'2023'!$F$4="CA",'2023'!$F$2=CB81),'2023DATA'!$I$3,"")</f>
        <v/>
      </c>
      <c r="CC82" s="518" t="str">
        <f>IF(AND(_AC5="A-350",'2023'!$F$4="CA",'2023'!$F$2=CC81),'2023DATA'!$J$3,"")</f>
        <v/>
      </c>
      <c r="CD82" s="518" t="str">
        <f>IF(AND(_AC5="A-350",'2023'!$F$4="CA",'2023'!$F$2=CD81),'2023DATA'!$K$3,"")</f>
        <v/>
      </c>
      <c r="CE82" s="518" t="str">
        <f>IF(AND(_AC5="A-350",'2023'!$F$4="CA",'2023'!$F$2=CE81),'2023DATA'!$L$3,"")</f>
        <v/>
      </c>
      <c r="CF82" s="518" t="str">
        <f>IF(AND(_AC5="A-350",'2023'!$F$4="CA",'2023'!$F$2=CF81),'2023DATA'!$M$3,"")</f>
        <v/>
      </c>
      <c r="CG82" s="520" t="str">
        <f>IF(AND(_AC5="A-350",'2023'!$F$4="CA",'2023'!$F$2=CG81),'2023DATA'!$N$3,"")</f>
        <v/>
      </c>
      <c r="CH82" s="940" t="s">
        <v>39</v>
      </c>
      <c r="CI82" s="13" t="s">
        <v>61</v>
      </c>
      <c r="CJ82" s="518" t="str">
        <f>IF(AND(_AC6="A-350",'2023'!$F$4="CA",'2023'!$F$2=CJ81),'2023DATA'!$C$3,"")</f>
        <v/>
      </c>
      <c r="CK82" s="518" t="str">
        <f>IF(AND(_AC6="A-350",'2023'!$F$4="CA",'2023'!$F$2=CK81),'2023DATA'!$D$3,"")</f>
        <v/>
      </c>
      <c r="CL82" s="518" t="str">
        <f>IF(AND(_AC6="A-350",'2023'!$F$4="CA",'2023'!$F$2=CL81),'2023DATA'!$E$3,"")</f>
        <v/>
      </c>
      <c r="CM82" s="518" t="str">
        <f>IF(AND(_AC6="A-350",'2023'!$F$4="CA",'2023'!$F$2=CM81),'2023DATA'!$F$3,"")</f>
        <v/>
      </c>
      <c r="CN82" s="518" t="str">
        <f>IF(AND(_AC6="A-350",'2023'!$F$4="CA",'2023'!$F$2=CN81),'2023DATA'!$G$3,"")</f>
        <v/>
      </c>
      <c r="CO82" s="518" t="str">
        <f>IF(AND(_AC6="A-350",'2023'!$F$4="CA",'2023'!$F$2=CO81),'2023DATA'!$H$3,"")</f>
        <v/>
      </c>
      <c r="CP82" s="518" t="str">
        <f>IF(AND(_AC6="A-350",'2023'!$F$4="CA",'2023'!$F$2=CP81),'2023DATA'!$I$3,"")</f>
        <v/>
      </c>
      <c r="CQ82" s="518" t="str">
        <f>IF(AND(_AC6="A-350",'2023'!$F$4="CA",'2023'!$F$2=CQ81),'2023DATA'!$J$3,"")</f>
        <v/>
      </c>
      <c r="CR82" s="518" t="str">
        <f>IF(AND(_AC6="A-350",'2023'!$F$4="CA",'2023'!$F$2=CR81),'2023DATA'!$K$3,"")</f>
        <v/>
      </c>
      <c r="CS82" s="518" t="str">
        <f>IF(AND(_AC6="A-350",'2023'!$F$4="CA",'2023'!$F$2=CS81),'2023DATA'!$L$3,"")</f>
        <v/>
      </c>
      <c r="CT82" s="518" t="str">
        <f>IF(AND(_AC6="A-350",'2023'!$F$4="CA",'2023'!$F$2=CT81),'2023DATA'!$M$3,"")</f>
        <v/>
      </c>
      <c r="CU82" s="520" t="str">
        <f>IF(AND(_AC6="A-350",'2023'!$F$4="CA",'2023'!$F$2=CU81),'2023DATA'!$N$3,"")</f>
        <v/>
      </c>
    </row>
    <row r="83" spans="16:99" x14ac:dyDescent="0.25">
      <c r="P83" s="940"/>
      <c r="Q83" s="13" t="s">
        <v>62</v>
      </c>
      <c r="R83" s="518" t="str">
        <f>IF(AND(_AC1="A-350",'2023'!$F$4="FO",'2023'!$F$2=R81),'2023DATA'!$C$4,"")</f>
        <v/>
      </c>
      <c r="S83" s="518" t="str">
        <f>IF(AND(_AC1="A-350",'2023'!$F$4="FO",'2023'!$F$2=S81),'2023DATA'!$D$4,"")</f>
        <v/>
      </c>
      <c r="T83" s="518" t="str">
        <f>IF(AND(_AC1="A-350",'2023'!$F$4="FO",'2023'!$F$2=T81),'2023DATA'!$E$4,"")</f>
        <v/>
      </c>
      <c r="U83" s="518" t="str">
        <f>IF(AND(_AC1="A-350",'2023'!$F$4="FO",'2023'!$F$2=U81),'2023DATA'!$F$4,"")</f>
        <v/>
      </c>
      <c r="V83" s="518" t="str">
        <f>IF(AND(_AC1="A-350",'2023'!$F$4="FO",'2023'!$F$2=V81),'2023DATA'!$G$4,"")</f>
        <v/>
      </c>
      <c r="W83" s="518" t="str">
        <f>IF(AND(_AC1="A-350",'2023'!$F$4="FO",'2023'!$F$2=W81),'2023DATA'!$H$4,"")</f>
        <v/>
      </c>
      <c r="X83" s="518" t="str">
        <f>IF(AND(_AC1="A-350",'2023'!$F$4="FO",'2023'!$F$2=X81),'2023DATA'!$I$4,"")</f>
        <v/>
      </c>
      <c r="Y83" s="518" t="str">
        <f>IF(AND(_AC1="A-350",'2023'!$F$4="FO",'2023'!$F$2=Y81),'2023DATA'!$J$4,"")</f>
        <v/>
      </c>
      <c r="Z83" s="518" t="str">
        <f>IF(AND(_AC1="A-350",'2023'!$F$4="FO",'2023'!$F$2=Z81),'2023DATA'!$K$4,"")</f>
        <v/>
      </c>
      <c r="AA83" s="518" t="str">
        <f>IF(AND(_AC1="A-350",'2023'!$F$4="FO",'2023'!$F$2=AA81),'2023DATA'!$L$4,"")</f>
        <v/>
      </c>
      <c r="AB83" s="518" t="str">
        <f>IF(AND(_AC1="A-350",'2023'!$F$4="FO",'2023'!$F$2=AB81),'2023DATA'!$M$4,"")</f>
        <v/>
      </c>
      <c r="AC83" s="520" t="str">
        <f>IF(AND(_AC1="A-350",'2023'!$F$4="FO",'2023'!$F$2=AC81),'2023DATA'!$N$4,"")</f>
        <v/>
      </c>
      <c r="AD83" s="940"/>
      <c r="AE83" s="13" t="s">
        <v>62</v>
      </c>
      <c r="AF83" s="518" t="str">
        <f>IF(AND(_AC2="A-350",'2023'!$F$4="FO",'2023'!$F$2=AF81),'2023DATA'!$C$4,"")</f>
        <v/>
      </c>
      <c r="AG83" s="518" t="str">
        <f>IF(AND(_AC2="A-350",'2023'!$F$4="FO",'2023'!$F$2=AG81),'2023DATA'!$D$4,"")</f>
        <v/>
      </c>
      <c r="AH83" s="518" t="str">
        <f>IF(AND(_AC2="A-350",'2023'!$F$4="FO",'2023'!$F$2=AH81),'2023DATA'!$E$4,"")</f>
        <v/>
      </c>
      <c r="AI83" s="518" t="str">
        <f>IF(AND(_AC2="A-350",'2023'!$F$4="FO",'2023'!$F$2=AI81),'2023DATA'!$F$4,"")</f>
        <v/>
      </c>
      <c r="AJ83" s="518" t="str">
        <f>IF(AND(_AC2="A-350",'2023'!$F$4="FO",'2023'!$F$2=AJ81),'2023DATA'!$G$4,"")</f>
        <v/>
      </c>
      <c r="AK83" s="518" t="str">
        <f>IF(AND(_AC2="A-350",'2023'!$F$4="FO",'2023'!$F$2=AK81),'2023DATA'!$H$4,"")</f>
        <v/>
      </c>
      <c r="AL83" s="518" t="str">
        <f>IF(AND(_AC2="A-350",'2023'!$F$4="FO",'2023'!$F$2=AL81),'2023DATA'!$I$4,"")</f>
        <v/>
      </c>
      <c r="AM83" s="518" t="str">
        <f>IF(AND(_AC2="A-350",'2023'!$F$4="FO",'2023'!$F$2=AM81),'2023DATA'!$J$4,"")</f>
        <v/>
      </c>
      <c r="AN83" s="518" t="str">
        <f>IF(AND(_AC2="A-350",'2023'!$F$4="FO",'2023'!$F$2=AN81),'2023DATA'!$K$4,"")</f>
        <v/>
      </c>
      <c r="AO83" s="518" t="str">
        <f>IF(AND(_AC2="A-350",'2023'!$F$4="FO",'2023'!$F$2=AO81),'2023DATA'!$L$4,"")</f>
        <v/>
      </c>
      <c r="AP83" s="518" t="str">
        <f>IF(AND(_AC2="A-350",'2023'!$F$4="FO",'2023'!$F$2=AP81),'2023DATA'!$M$4,"")</f>
        <v/>
      </c>
      <c r="AQ83" s="520" t="str">
        <f>IF(AND(_AC2="A-350",'2023'!$F$4="FO",'2023'!$F$2=AQ81),'2023DATA'!$N$4,"")</f>
        <v/>
      </c>
      <c r="AR83" s="940"/>
      <c r="AS83" s="13" t="s">
        <v>62</v>
      </c>
      <c r="AT83" s="518" t="str">
        <f>IF(AND(_AC3="A-350",'2023'!$F$4="FO",'2023'!$F$2=AT81),'2023DATA'!$C$4,"")</f>
        <v/>
      </c>
      <c r="AU83" s="518" t="str">
        <f>IF(AND(_AC3="A-350",'2023'!$F$4="FO",'2023'!$F$2=AU81),'2023DATA'!$D$4,"")</f>
        <v/>
      </c>
      <c r="AV83" s="518" t="str">
        <f>IF(AND(_AC3="A-350",'2023'!$F$4="FO",'2023'!$F$2=AV81),'2023DATA'!$E$4,"")</f>
        <v/>
      </c>
      <c r="AW83" s="518" t="str">
        <f>IF(AND(_AC3="A-350",'2023'!$F$4="FO",'2023'!$F$2=AW81),'2023DATA'!$F$4,"")</f>
        <v/>
      </c>
      <c r="AX83" s="518" t="str">
        <f>IF(AND(_AC3="A-350",'2023'!$F$4="FO",'2023'!$F$2=AX81),'2023DATA'!$G$4,"")</f>
        <v/>
      </c>
      <c r="AY83" s="518" t="str">
        <f>IF(AND(_AC3="A-350",'2023'!$F$4="FO",'2023'!$F$2=AY81),'2023DATA'!$H$4,"")</f>
        <v/>
      </c>
      <c r="AZ83" s="518" t="str">
        <f>IF(AND(_AC3="A-350",'2023'!$F$4="FO",'2023'!$F$2=AZ81),'2023DATA'!$I$4,"")</f>
        <v/>
      </c>
      <c r="BA83" s="518" t="str">
        <f>IF(AND(_AC3="A-350",'2023'!$F$4="FO",'2023'!$F$2=BA81),'2023DATA'!$J$4,"")</f>
        <v/>
      </c>
      <c r="BB83" s="518" t="str">
        <f>IF(AND(_AC3="A-350",'2023'!$F$4="FO",'2023'!$F$2=BB81),'2023DATA'!$K$4,"")</f>
        <v/>
      </c>
      <c r="BC83" s="518" t="str">
        <f>IF(AND(_AC3="A-350",'2023'!$F$4="FO",'2023'!$F$2=BC81),'2023DATA'!$L$4,"")</f>
        <v/>
      </c>
      <c r="BD83" s="518" t="str">
        <f>IF(AND(_AC3="A-350",'2023'!$F$4="FO",'2023'!$F$2=BD81),'2023DATA'!$M$4,"")</f>
        <v/>
      </c>
      <c r="BE83" s="520" t="str">
        <f>IF(AND(_AC3="A-350",'2023'!$F$4="FO",'2023'!$F$2=BE81),'2023DATA'!$N$4,"")</f>
        <v/>
      </c>
      <c r="BF83" s="940"/>
      <c r="BG83" s="13" t="s">
        <v>62</v>
      </c>
      <c r="BH83" s="518" t="str">
        <f>IF(AND(_AC4="A-350",'2023'!$F$4="FO",'2023'!$F$2=BH81),'2023DATA'!$C$4,"")</f>
        <v/>
      </c>
      <c r="BI83" s="518" t="str">
        <f>IF(AND(_AC4="A-350",'2023'!$F$4="FO",'2023'!$F$2=BI81),'2023DATA'!$D$4,"")</f>
        <v/>
      </c>
      <c r="BJ83" s="518" t="str">
        <f>IF(AND(_AC4="A-350",'2023'!$F$4="FO",'2023'!$F$2=BJ81),'2023DATA'!$E$4,"")</f>
        <v/>
      </c>
      <c r="BK83" s="518" t="str">
        <f>IF(AND(_AC4="A-350",'2023'!$F$4="FO",'2023'!$F$2=BK81),'2023DATA'!$F$4,"")</f>
        <v/>
      </c>
      <c r="BL83" s="518" t="str">
        <f>IF(AND(_AC4="A-350",'2023'!$F$4="FO",'2023'!$F$2=BL81),'2023DATA'!$G$4,"")</f>
        <v/>
      </c>
      <c r="BM83" s="518" t="str">
        <f>IF(AND(_AC4="A-350",'2023'!$F$4="FO",'2023'!$F$2=BM81),'2023DATA'!$H$4,"")</f>
        <v/>
      </c>
      <c r="BN83" s="518" t="str">
        <f>IF(AND(_AC4="A-350",'2023'!$F$4="FO",'2023'!$F$2=BN81),'2023DATA'!$I$4,"")</f>
        <v/>
      </c>
      <c r="BO83" s="518" t="str">
        <f>IF(AND(_AC4="A-350",'2023'!$F$4="FO",'2023'!$F$2=BO81),'2023DATA'!$J$4,"")</f>
        <v/>
      </c>
      <c r="BP83" s="518" t="str">
        <f>IF(AND(_AC4="A-350",'2023'!$F$4="FO",'2023'!$F$2=BP81),'2023DATA'!$K$4,"")</f>
        <v/>
      </c>
      <c r="BQ83" s="518" t="str">
        <f>IF(AND(_AC4="A-350",'2023'!$F$4="FO",'2023'!$F$2=BQ81),'2023DATA'!$L$4,"")</f>
        <v/>
      </c>
      <c r="BR83" s="518" t="str">
        <f>IF(AND(_AC4="A-350",'2023'!$F$4="FO",'2023'!$F$2=BR81),'2023DATA'!$M$4,"")</f>
        <v/>
      </c>
      <c r="BS83" s="520" t="str">
        <f>IF(AND(_AC4="A-350",'2023'!$F$4="FO",'2023'!$F$2=BS81),'2023DATA'!$N$4,"")</f>
        <v/>
      </c>
      <c r="BT83" s="940"/>
      <c r="BU83" s="13" t="s">
        <v>62</v>
      </c>
      <c r="BV83" s="518" t="str">
        <f>IF(AND(_AC5="A-350",'2023'!$F$4="FO",'2023'!$F$2=BV81),'2023DATA'!$C$4,"")</f>
        <v/>
      </c>
      <c r="BW83" s="518" t="str">
        <f>IF(AND(_AC5="A-350",'2023'!$F$4="FO",'2023'!$F$2=BW81),'2023DATA'!$D$4,"")</f>
        <v/>
      </c>
      <c r="BX83" s="518" t="str">
        <f>IF(AND(_AC5="A-350",'2023'!$F$4="FO",'2023'!$F$2=BX81),'2023DATA'!$E$4,"")</f>
        <v/>
      </c>
      <c r="BY83" s="518" t="str">
        <f>IF(AND(_AC5="A-350",'2023'!$F$4="FO",'2023'!$F$2=BY81),'2023DATA'!$F$4,"")</f>
        <v/>
      </c>
      <c r="BZ83" s="518" t="str">
        <f>IF(AND(_AC5="A-350",'2023'!$F$4="FO",'2023'!$F$2=BZ81),'2023DATA'!$G$4,"")</f>
        <v/>
      </c>
      <c r="CA83" s="518" t="str">
        <f>IF(AND(_AC5="A-350",'2023'!$F$4="FO",'2023'!$F$2=CA81),'2023DATA'!$H$4,"")</f>
        <v/>
      </c>
      <c r="CB83" s="518" t="str">
        <f>IF(AND(_AC5="A-350",'2023'!$F$4="FO",'2023'!$F$2=CB81),'2023DATA'!$I$4,"")</f>
        <v/>
      </c>
      <c r="CC83" s="518" t="str">
        <f>IF(AND(_AC5="A-350",'2023'!$F$4="FO",'2023'!$F$2=CC81),'2023DATA'!$J$4,"")</f>
        <v/>
      </c>
      <c r="CD83" s="518" t="str">
        <f>IF(AND(_AC5="A-350",'2023'!$F$4="FO",'2023'!$F$2=CD81),'2023DATA'!$K$4,"")</f>
        <v/>
      </c>
      <c r="CE83" s="518" t="str">
        <f>IF(AND(_AC5="A-350",'2023'!$F$4="FO",'2023'!$F$2=CE81),'2023DATA'!$L$4,"")</f>
        <v/>
      </c>
      <c r="CF83" s="518" t="str">
        <f>IF(AND(_AC5="A-350",'2023'!$F$4="FO",'2023'!$F$2=CF81),'2023DATA'!$M$4,"")</f>
        <v/>
      </c>
      <c r="CG83" s="520" t="str">
        <f>IF(AND(_AC5="A-350",'2023'!$F$4="FO",'2023'!$F$2=CG81),'2023DATA'!$N$4,"")</f>
        <v/>
      </c>
      <c r="CH83" s="940"/>
      <c r="CI83" s="13" t="s">
        <v>62</v>
      </c>
      <c r="CJ83" s="518" t="str">
        <f>IF(AND(_AC6="A-350",'2023'!$F$4="FO",'2023'!$F$2=CJ81),'2023DATA'!$C$4,"")</f>
        <v/>
      </c>
      <c r="CK83" s="518" t="str">
        <f>IF(AND(_AC6="A-350",'2023'!$F$4="FO",'2023'!$F$2=CK81),'2023DATA'!$D$4,"")</f>
        <v/>
      </c>
      <c r="CL83" s="518" t="str">
        <f>IF(AND(_AC6="A-350",'2023'!$F$4="FO",'2023'!$F$2=CL81),'2023DATA'!$E$4,"")</f>
        <v/>
      </c>
      <c r="CM83" s="518" t="str">
        <f>IF(AND(_AC6="A-350",'2023'!$F$4="FO",'2023'!$F$2=CM81),'2023DATA'!$F$4,"")</f>
        <v/>
      </c>
      <c r="CN83" s="518" t="str">
        <f>IF(AND(_AC6="A-350",'2023'!$F$4="FO",'2023'!$F$2=CN81),'2023DATA'!$G$4,"")</f>
        <v/>
      </c>
      <c r="CO83" s="518" t="str">
        <f>IF(AND(_AC6="A-350",'2023'!$F$4="FO",'2023'!$F$2=CO81),'2023DATA'!$H$4,"")</f>
        <v/>
      </c>
      <c r="CP83" s="518" t="str">
        <f>IF(AND(_AC6="A-350",'2023'!$F$4="FO",'2023'!$F$2=CP81),'2023DATA'!$I$4,"")</f>
        <v/>
      </c>
      <c r="CQ83" s="518" t="str">
        <f>IF(AND(_AC6="A-350",'2023'!$F$4="FO",'2023'!$F$2=CQ81),'2023DATA'!$J$4,"")</f>
        <v/>
      </c>
      <c r="CR83" s="518" t="str">
        <f>IF(AND(_AC6="A-350",'2023'!$F$4="FO",'2023'!$F$2=CR81),'2023DATA'!$K$4,"")</f>
        <v/>
      </c>
      <c r="CS83" s="518" t="str">
        <f>IF(AND(_AC6="A-350",'2023'!$F$4="FO",'2023'!$F$2=CS81),'2023DATA'!$L$4,"")</f>
        <v/>
      </c>
      <c r="CT83" s="518" t="str">
        <f>IF(AND(_AC6="A-350",'2023'!$F$4="FO",'2023'!$F$2=CT81),'2023DATA'!$M$4,"")</f>
        <v/>
      </c>
      <c r="CU83" s="520" t="str">
        <f>IF(AND(_AC6="A-350",'2023'!$F$4="FO",'2023'!$F$2=CU81),'2023DATA'!$N$4,"")</f>
        <v/>
      </c>
    </row>
    <row r="84" spans="16:99" x14ac:dyDescent="0.25">
      <c r="P84" s="940" t="s">
        <v>65</v>
      </c>
      <c r="Q84" s="13" t="s">
        <v>61</v>
      </c>
      <c r="R84" s="518" t="str">
        <f>IF(AND(_AC1="A-330-900",'2023'!$F$4="CA",'2023'!$F$2=R81),'2023DATA'!$C$5,"")</f>
        <v/>
      </c>
      <c r="S84" s="518" t="str">
        <f>IF(AND(_AC1="A-330-900",'2023'!$F$4="CA",'2023'!$F$2=S81),'2023DATA'!$D$5,"")</f>
        <v/>
      </c>
      <c r="T84" s="518" t="str">
        <f>IF(AND(_AC1="A-330-900",'2023'!$F$4="CA",'2023'!$F$2=T81),'2023DATA'!$E$5,"")</f>
        <v/>
      </c>
      <c r="U84" s="518" t="str">
        <f>IF(AND(_AC1="A-330-900",'2023'!$F$4="CA",'2023'!$F$2=U81),'2023DATA'!$F$5,"")</f>
        <v/>
      </c>
      <c r="V84" s="518" t="str">
        <f>IF(AND(_AC1="A-330-900",'2023'!$F$4="CA",'2023'!$F$2=V81),'2023DATA'!$G$5,"")</f>
        <v/>
      </c>
      <c r="W84" s="518" t="str">
        <f>IF(AND(_AC1="A-330-900",'2023'!$F$4="CA",'2023'!$F$2=W81),'2023DATA'!$H$5,"")</f>
        <v/>
      </c>
      <c r="X84" s="518" t="str">
        <f>IF(AND(_AC1="A-330-900",'2023'!$F$4="CA",'2023'!$F$2=X81),'2023DATA'!$I$5,"")</f>
        <v/>
      </c>
      <c r="Y84" s="518" t="str">
        <f>IF(AND(_AC1="A-330-900",'2023'!$F$4="CA",'2023'!$F$2=Y81),'2023DATA'!$J$5,"")</f>
        <v/>
      </c>
      <c r="Z84" s="518" t="str">
        <f>IF(AND(_AC1="A-330-900",'2023'!$F$4="CA",'2023'!$F$2=Z81),'2023DATA'!$K$5,"")</f>
        <v/>
      </c>
      <c r="AA84" s="518" t="str">
        <f>IF(AND(_AC1="A-330-900",'2023'!$F$4="CA",'2023'!$F$2=AA81),'2023DATA'!$L$5,"")</f>
        <v/>
      </c>
      <c r="AB84" s="518" t="str">
        <f>IF(AND(_AC1="A-330-900",'2023'!$F$4="CA",'2023'!$F$2=AB81),'2023DATA'!$M$5,"")</f>
        <v/>
      </c>
      <c r="AC84" s="520" t="str">
        <f>IF(AND(_AC1="A-330-900",'2023'!$F$4="CA",'2023'!$F$2=AC81),'2023DATA'!$N$5,"")</f>
        <v/>
      </c>
      <c r="AD84" s="940" t="s">
        <v>65</v>
      </c>
      <c r="AE84" s="13" t="s">
        <v>61</v>
      </c>
      <c r="AF84" s="518" t="str">
        <f>IF(AND(_AC2="A-330-900",'2023'!$F$4="CA",'2023'!$F$2=AF81),'2023DATA'!$C$5,"")</f>
        <v/>
      </c>
      <c r="AG84" s="518" t="str">
        <f>IF(AND(_AC2="A-330-900",'2023'!$F$4="CA",'2023'!$F$2=AG81),'2023DATA'!$D$5,"")</f>
        <v/>
      </c>
      <c r="AH84" s="518" t="str">
        <f>IF(AND(_AC2="A-330-900",'2023'!$F$4="CA",'2023'!$F$2=AH81),'2023DATA'!$E$5,"")</f>
        <v/>
      </c>
      <c r="AI84" s="518" t="str">
        <f>IF(AND(_AC2="A-330-900",'2023'!$F$4="CA",'2023'!$F$2=AI81),'2023DATA'!$F$5,"")</f>
        <v/>
      </c>
      <c r="AJ84" s="518" t="str">
        <f>IF(AND(_AC2="A-330-900",'2023'!$F$4="CA",'2023'!$F$2=AJ81),'2023DATA'!$G$5,"")</f>
        <v/>
      </c>
      <c r="AK84" s="518" t="str">
        <f>IF(AND(_AC2="A-330-900",'2023'!$F$4="CA",'2023'!$F$2=AK81),'2023DATA'!$H$5,"")</f>
        <v/>
      </c>
      <c r="AL84" s="518" t="str">
        <f>IF(AND(_AC2="A-330-900",'2023'!$F$4="CA",'2023'!$F$2=AL81),'2023DATA'!$I$5,"")</f>
        <v/>
      </c>
      <c r="AM84" s="518" t="str">
        <f>IF(AND(_AC2="A-330-900",'2023'!$F$4="CA",'2023'!$F$2=AM81),'2023DATA'!$J$5,"")</f>
        <v/>
      </c>
      <c r="AN84" s="518" t="str">
        <f>IF(AND(_AC2="A-330-900",'2023'!$F$4="CA",'2023'!$F$2=AN81),'2023DATA'!$K$5,"")</f>
        <v/>
      </c>
      <c r="AO84" s="518" t="str">
        <f>IF(AND(_AC2="A-330-900",'2023'!$F$4="CA",'2023'!$F$2=AO81),'2023DATA'!$L$5,"")</f>
        <v/>
      </c>
      <c r="AP84" s="518" t="str">
        <f>IF(AND(_AC2="A-330-900",'2023'!$F$4="CA",'2023'!$F$2=AP81),'2023DATA'!$M$5,"")</f>
        <v/>
      </c>
      <c r="AQ84" s="520" t="str">
        <f>IF(AND(_AC2="A-330-900",'2023'!$F$4="CA",'2023'!$F$2=AQ81),'2023DATA'!$N$5,"")</f>
        <v/>
      </c>
      <c r="AR84" s="940" t="s">
        <v>65</v>
      </c>
      <c r="AS84" s="13" t="s">
        <v>61</v>
      </c>
      <c r="AT84" s="518" t="str">
        <f>IF(AND(_AC3="A-330-900",'2023'!$F$4="CA",'2023'!$F$2=AT81),'2023DATA'!$C$5,"")</f>
        <v/>
      </c>
      <c r="AU84" s="518" t="str">
        <f>IF(AND(_AC3="A-330-900",'2023'!$F$4="CA",'2023'!$F$2=AU81),'2023DATA'!$D$5,"")</f>
        <v/>
      </c>
      <c r="AV84" s="518" t="str">
        <f>IF(AND(_AC3="A-330-900",'2023'!$F$4="CA",'2023'!$F$2=AV81),'2023DATA'!$E$5,"")</f>
        <v/>
      </c>
      <c r="AW84" s="518" t="str">
        <f>IF(AND(_AC3="A-330-900",'2023'!$F$4="CA",'2023'!$F$2=AW81),'2023DATA'!$F$5,"")</f>
        <v/>
      </c>
      <c r="AX84" s="518" t="str">
        <f>IF(AND(_AC3="A-330-900",'2023'!$F$4="CA",'2023'!$F$2=AX81),'2023DATA'!$G$5,"")</f>
        <v/>
      </c>
      <c r="AY84" s="518" t="str">
        <f>IF(AND(_AC3="A-330-900",'2023'!$F$4="CA",'2023'!$F$2=AY81),'2023DATA'!$H$5,"")</f>
        <v/>
      </c>
      <c r="AZ84" s="518" t="str">
        <f>IF(AND(_AC3="A-330-900",'2023'!$F$4="CA",'2023'!$F$2=AZ81),'2023DATA'!$I$5,"")</f>
        <v/>
      </c>
      <c r="BA84" s="518" t="str">
        <f>IF(AND(_AC3="A-330-900",'2023'!$F$4="CA",'2023'!$F$2=BA81),'2023DATA'!$J$5,"")</f>
        <v/>
      </c>
      <c r="BB84" s="518" t="str">
        <f>IF(AND(_AC3="A-330-900",'2023'!$F$4="CA",'2023'!$F$2=BB81),'2023DATA'!$K$5,"")</f>
        <v/>
      </c>
      <c r="BC84" s="518" t="str">
        <f>IF(AND(_AC3="A-330-900",'2023'!$F$4="CA",'2023'!$F$2=BC81),'2023DATA'!$L$5,"")</f>
        <v/>
      </c>
      <c r="BD84" s="518" t="str">
        <f>IF(AND(_AC3="A-330-900",'2023'!$F$4="CA",'2023'!$F$2=BD81),'2023DATA'!$M$5,"")</f>
        <v/>
      </c>
      <c r="BE84" s="520" t="str">
        <f>IF(AND(_AC3="A-330-900",'2023'!$F$4="CA",'2023'!$F$2=BE81),'2023DATA'!$N$5,"")</f>
        <v/>
      </c>
      <c r="BF84" s="940" t="s">
        <v>65</v>
      </c>
      <c r="BG84" s="13" t="s">
        <v>61</v>
      </c>
      <c r="BH84" s="518" t="str">
        <f>IF(AND(_AC4="A-330-900",'2023'!$F$4="CA",'2023'!$F$2=BH81),'2023DATA'!$C$5,"")</f>
        <v/>
      </c>
      <c r="BI84" s="518" t="str">
        <f>IF(AND(_AC4="A-330-900",'2023'!$F$4="CA",'2023'!$F$2=BI81),'2023DATA'!$D$5,"")</f>
        <v/>
      </c>
      <c r="BJ84" s="518" t="str">
        <f>IF(AND(_AC4="A-330-900",'2023'!$F$4="CA",'2023'!$F$2=BJ81),'2023DATA'!$E$5,"")</f>
        <v/>
      </c>
      <c r="BK84" s="518" t="str">
        <f>IF(AND(_AC4="A-330-900",'2023'!$F$4="CA",'2023'!$F$2=BK81),'2023DATA'!$F$5,"")</f>
        <v/>
      </c>
      <c r="BL84" s="518" t="str">
        <f>IF(AND(_AC4="A-330-900",'2023'!$F$4="CA",'2023'!$F$2=BL81),'2023DATA'!$G$5,"")</f>
        <v/>
      </c>
      <c r="BM84" s="518" t="str">
        <f>IF(AND(_AC4="A-330-900",'2023'!$F$4="CA",'2023'!$F$2=BM81),'2023DATA'!$H$5,"")</f>
        <v/>
      </c>
      <c r="BN84" s="518" t="str">
        <f>IF(AND(_AC4="A-330-900",'2023'!$F$4="CA",'2023'!$F$2=BN81),'2023DATA'!$I$5,"")</f>
        <v/>
      </c>
      <c r="BO84" s="518" t="str">
        <f>IF(AND(_AC4="A-330-900",'2023'!$F$4="CA",'2023'!$F$2=BO81),'2023DATA'!$J$5,"")</f>
        <v/>
      </c>
      <c r="BP84" s="518" t="str">
        <f>IF(AND(_AC4="A-330-900",'2023'!$F$4="CA",'2023'!$F$2=BP81),'2023DATA'!$K$5,"")</f>
        <v/>
      </c>
      <c r="BQ84" s="518" t="str">
        <f>IF(AND(_AC4="A-330-900",'2023'!$F$4="CA",'2023'!$F$2=BQ81),'2023DATA'!$L$5,"")</f>
        <v/>
      </c>
      <c r="BR84" s="518" t="str">
        <f>IF(AND(_AC4="A-330-900",'2023'!$F$4="CA",'2023'!$F$2=BR81),'2023DATA'!$M$5,"")</f>
        <v/>
      </c>
      <c r="BS84" s="520" t="str">
        <f>IF(AND(_AC4="A-330-900",'2023'!$F$4="CA",'2023'!$F$2=BS81),'2023DATA'!$N$5,"")</f>
        <v/>
      </c>
      <c r="BT84" s="940" t="s">
        <v>65</v>
      </c>
      <c r="BU84" s="13" t="s">
        <v>61</v>
      </c>
      <c r="BV84" s="518" t="str">
        <f>IF(AND(_AC5="A-330-900",'2023'!$F$4="CA",'2023'!$F$2=BV81),'2023DATA'!$C$5,"")</f>
        <v/>
      </c>
      <c r="BW84" s="518" t="str">
        <f>IF(AND(_AC5="A-330-900",'2023'!$F$4="CA",'2023'!$F$2=BW81),'2023DATA'!$D$5,"")</f>
        <v/>
      </c>
      <c r="BX84" s="518" t="str">
        <f>IF(AND(_AC5="A-330-900",'2023'!$F$4="CA",'2023'!$F$2=BX81),'2023DATA'!$E$5,"")</f>
        <v/>
      </c>
      <c r="BY84" s="518" t="str">
        <f>IF(AND(_AC5="A-330-900",'2023'!$F$4="CA",'2023'!$F$2=BY81),'2023DATA'!$F$5,"")</f>
        <v/>
      </c>
      <c r="BZ84" s="518" t="str">
        <f>IF(AND(_AC5="A-330-900",'2023'!$F$4="CA",'2023'!$F$2=BZ81),'2023DATA'!$G$5,"")</f>
        <v/>
      </c>
      <c r="CA84" s="518" t="str">
        <f>IF(AND(_AC5="A-330-900",'2023'!$F$4="CA",'2023'!$F$2=CA81),'2023DATA'!$H$5,"")</f>
        <v/>
      </c>
      <c r="CB84" s="518" t="str">
        <f>IF(AND(_AC5="A-330-900",'2023'!$F$4="CA",'2023'!$F$2=CB81),'2023DATA'!$I$5,"")</f>
        <v/>
      </c>
      <c r="CC84" s="518" t="str">
        <f>IF(AND(_AC5="A-330-900",'2023'!$F$4="CA",'2023'!$F$2=CC81),'2023DATA'!$J$5,"")</f>
        <v/>
      </c>
      <c r="CD84" s="518" t="str">
        <f>IF(AND(_AC5="A-330-900",'2023'!$F$4="CA",'2023'!$F$2=CD81),'2023DATA'!$K$5,"")</f>
        <v/>
      </c>
      <c r="CE84" s="518" t="str">
        <f>IF(AND(_AC5="A-330-900",'2023'!$F$4="CA",'2023'!$F$2=CE81),'2023DATA'!$L$5,"")</f>
        <v/>
      </c>
      <c r="CF84" s="518" t="str">
        <f>IF(AND(_AC5="A-330-900",'2023'!$F$4="CA",'2023'!$F$2=CF81),'2023DATA'!$M$5,"")</f>
        <v/>
      </c>
      <c r="CG84" s="520" t="str">
        <f>IF(AND(_AC5="A-330-900",'2023'!$F$4="CA",'2023'!$F$2=CG81),'2023DATA'!$N$5,"")</f>
        <v/>
      </c>
      <c r="CH84" s="940" t="s">
        <v>65</v>
      </c>
      <c r="CI84" s="13" t="s">
        <v>61</v>
      </c>
      <c r="CJ84" s="518" t="str">
        <f>IF(AND(_AC6="A-330-900",'2023'!$F$4="CA",'2023'!$F$2=CJ81),'2023DATA'!$C$5,"")</f>
        <v/>
      </c>
      <c r="CK84" s="518" t="str">
        <f>IF(AND(_AC6="A-330-900",'2023'!$F$4="CA",'2023'!$F$2=CK81),'2023DATA'!$D$5,"")</f>
        <v/>
      </c>
      <c r="CL84" s="518" t="str">
        <f>IF(AND(_AC6="A-330-900",'2023'!$F$4="CA",'2023'!$F$2=CL81),'2023DATA'!$E$5,"")</f>
        <v/>
      </c>
      <c r="CM84" s="518" t="str">
        <f>IF(AND(_AC6="A-330-900",'2023'!$F$4="CA",'2023'!$F$2=CM81),'2023DATA'!$F$5,"")</f>
        <v/>
      </c>
      <c r="CN84" s="518" t="str">
        <f>IF(AND(_AC6="A-330-900",'2023'!$F$4="CA",'2023'!$F$2=CN81),'2023DATA'!$G$5,"")</f>
        <v/>
      </c>
      <c r="CO84" s="518" t="str">
        <f>IF(AND(_AC6="A-330-900",'2023'!$F$4="CA",'2023'!$F$2=CO81),'2023DATA'!$H$5,"")</f>
        <v/>
      </c>
      <c r="CP84" s="518" t="str">
        <f>IF(AND(_AC6="A-330-900",'2023'!$F$4="CA",'2023'!$F$2=CP81),'2023DATA'!$I$5,"")</f>
        <v/>
      </c>
      <c r="CQ84" s="518" t="str">
        <f>IF(AND(_AC6="A-330-900",'2023'!$F$4="CA",'2023'!$F$2=CQ81),'2023DATA'!$J$5,"")</f>
        <v/>
      </c>
      <c r="CR84" s="518" t="str">
        <f>IF(AND(_AC6="A-330-900",'2023'!$F$4="CA",'2023'!$F$2=CR81),'2023DATA'!$K$5,"")</f>
        <v/>
      </c>
      <c r="CS84" s="518" t="str">
        <f>IF(AND(_AC6="A-330-900",'2023'!$F$4="CA",'2023'!$F$2=CS81),'2023DATA'!$L$5,"")</f>
        <v/>
      </c>
      <c r="CT84" s="518" t="str">
        <f>IF(AND(_AC6="A-330-900",'2023'!$F$4="CA",'2023'!$F$2=CT81),'2023DATA'!$M$5,"")</f>
        <v/>
      </c>
      <c r="CU84" s="520" t="str">
        <f>IF(AND(_AC6="A-330-900",'2023'!$F$4="CA",'2023'!$F$2=CU81),'2023DATA'!$N$5,"")</f>
        <v/>
      </c>
    </row>
    <row r="85" spans="16:99" x14ac:dyDescent="0.25">
      <c r="P85" s="940"/>
      <c r="Q85" s="13" t="s">
        <v>62</v>
      </c>
      <c r="R85" s="518" t="str">
        <f>IF(AND(_AC1="A-330-900",'2023'!$F$4="FO",'2023'!$F$2=R81),'2023DATA'!$C$6,"")</f>
        <v/>
      </c>
      <c r="S85" s="518" t="str">
        <f>IF(AND(_AC1="A-330-900",'2023'!$F$4="FO",'2023'!$F$2=S81),'2023DATA'!$D$6,"")</f>
        <v/>
      </c>
      <c r="T85" s="518" t="str">
        <f>IF(AND(_AC1="A-330-900",'2023'!$F$4="FO",'2023'!$F$2=T81),'2023DATA'!$E$6,"")</f>
        <v/>
      </c>
      <c r="U85" s="518" t="str">
        <f>IF(AND(_AC1="A-330-900",'2023'!$F$4="FO",'2023'!$F$2=U81),'2023DATA'!$F$6,"")</f>
        <v/>
      </c>
      <c r="V85" s="518" t="str">
        <f>IF(AND(_AC1="A-330-900",'2023'!$F$4="FO",'2023'!$F$2=V81),'2023DATA'!$G$6,"")</f>
        <v/>
      </c>
      <c r="W85" s="518" t="str">
        <f>IF(AND(_AC1="A-330-900",'2023'!$F$4="FO",'2023'!$F$2=W81),'2023DATA'!$H$6,"")</f>
        <v/>
      </c>
      <c r="X85" s="518" t="str">
        <f>IF(AND(_AC1="A-330-900",'2023'!$F$4="FO",'2023'!$F$2=X81),'2023DATA'!$I$6,"")</f>
        <v/>
      </c>
      <c r="Y85" s="518" t="str">
        <f>IF(AND(_AC1="A-330-900",'2023'!$F$4="FO",'2023'!$F$2=Y81),'2023DATA'!$J$6,"")</f>
        <v/>
      </c>
      <c r="Z85" s="518" t="str">
        <f>IF(AND(_AC1="A-330-900",'2023'!$F$4="FO",'2023'!$F$2=Z81),'2023DATA'!$K$6,"")</f>
        <v/>
      </c>
      <c r="AA85" s="518" t="str">
        <f>IF(AND(_AC1="A-330-900",'2023'!$F$4="FO",'2023'!$F$2=AA81),'2023DATA'!$L$6,"")</f>
        <v/>
      </c>
      <c r="AB85" s="518" t="str">
        <f>IF(AND(_AC1="A-330-900",'2023'!$F$4="FO",'2023'!$F$2=AB81),'2023DATA'!$M$6,"")</f>
        <v/>
      </c>
      <c r="AC85" s="520" t="str">
        <f>IF(AND(_AC1="A-330-900",'2023'!$F$4="FO",'2023'!$F$2=AC81),'2023DATA'!$N$6,"")</f>
        <v/>
      </c>
      <c r="AD85" s="940"/>
      <c r="AE85" s="13" t="s">
        <v>62</v>
      </c>
      <c r="AF85" s="518" t="str">
        <f>IF(AND(_AC2="A-330-900",'2023'!$F$4="FO",'2023'!$F$2=AF81),'2023DATA'!$C$6,"")</f>
        <v/>
      </c>
      <c r="AG85" s="518" t="str">
        <f>IF(AND(_AC2="A-330-900",'2023'!$F$4="FO",'2023'!$F$2=AG81),'2023DATA'!$D$6,"")</f>
        <v/>
      </c>
      <c r="AH85" s="518" t="str">
        <f>IF(AND(_AC2="A-330-900",'2023'!$F$4="FO",'2023'!$F$2=AH81),'2023DATA'!$E$6,"")</f>
        <v/>
      </c>
      <c r="AI85" s="518" t="str">
        <f>IF(AND(_AC2="A-330-900",'2023'!$F$4="FO",'2023'!$F$2=AI81),'2023DATA'!$F$6,"")</f>
        <v/>
      </c>
      <c r="AJ85" s="518" t="str">
        <f>IF(AND(_AC2="A-330-900",'2023'!$F$4="FO",'2023'!$F$2=AJ81),'2023DATA'!$G$6,"")</f>
        <v/>
      </c>
      <c r="AK85" s="518" t="str">
        <f>IF(AND(_AC2="A-330-900",'2023'!$F$4="FO",'2023'!$F$2=AK81),'2023DATA'!$H$6,"")</f>
        <v/>
      </c>
      <c r="AL85" s="518" t="str">
        <f>IF(AND(_AC2="A-330-900",'2023'!$F$4="FO",'2023'!$F$2=AL81),'2023DATA'!$I$6,"")</f>
        <v/>
      </c>
      <c r="AM85" s="518" t="str">
        <f>IF(AND(_AC2="A-330-900",'2023'!$F$4="FO",'2023'!$F$2=AM81),'2023DATA'!$J$6,"")</f>
        <v/>
      </c>
      <c r="AN85" s="518" t="str">
        <f>IF(AND(_AC2="A-330-900",'2023'!$F$4="FO",'2023'!$F$2=AN81),'2023DATA'!$K$6,"")</f>
        <v/>
      </c>
      <c r="AO85" s="518" t="str">
        <f>IF(AND(_AC2="A-330-900",'2023'!$F$4="FO",'2023'!$F$2=AO81),'2023DATA'!$L$6,"")</f>
        <v/>
      </c>
      <c r="AP85" s="518" t="str">
        <f>IF(AND(_AC2="A-330-900",'2023'!$F$4="FO",'2023'!$F$2=AP81),'2023DATA'!$M$6,"")</f>
        <v/>
      </c>
      <c r="AQ85" s="520" t="str">
        <f>IF(AND(_AC2="A-330-900",'2023'!$F$4="FO",'2023'!$F$2=AQ81),'2023DATA'!$N$6,"")</f>
        <v/>
      </c>
      <c r="AR85" s="940"/>
      <c r="AS85" s="13" t="s">
        <v>62</v>
      </c>
      <c r="AT85" s="518" t="str">
        <f>IF(AND(_AC3="A-330-900",'2023'!$F$4="FO",'2023'!$F$2=AT81),'2023DATA'!$C$6,"")</f>
        <v/>
      </c>
      <c r="AU85" s="518" t="str">
        <f>IF(AND(_AC3="A-330-900",'2023'!$F$4="FO",'2023'!$F$2=AU81),'2023DATA'!$D$6,"")</f>
        <v/>
      </c>
      <c r="AV85" s="518" t="str">
        <f>IF(AND(_AC3="A-330-900",'2023'!$F$4="FO",'2023'!$F$2=AV81),'2023DATA'!$E$6,"")</f>
        <v/>
      </c>
      <c r="AW85" s="518" t="str">
        <f>IF(AND(_AC3="A-330-900",'2023'!$F$4="FO",'2023'!$F$2=AW81),'2023DATA'!$F$6,"")</f>
        <v/>
      </c>
      <c r="AX85" s="518" t="str">
        <f>IF(AND(_AC3="A-330-900",'2023'!$F$4="FO",'2023'!$F$2=AX81),'2023DATA'!$G$6,"")</f>
        <v/>
      </c>
      <c r="AY85" s="518" t="str">
        <f>IF(AND(_AC3="A-330-900",'2023'!$F$4="FO",'2023'!$F$2=AY81),'2023DATA'!$H$6,"")</f>
        <v/>
      </c>
      <c r="AZ85" s="518" t="str">
        <f>IF(AND(_AC3="A-330-900",'2023'!$F$4="FO",'2023'!$F$2=AZ81),'2023DATA'!$I$6,"")</f>
        <v/>
      </c>
      <c r="BA85" s="518" t="str">
        <f>IF(AND(_AC3="A-330-900",'2023'!$F$4="FO",'2023'!$F$2=BA81),'2023DATA'!$J$6,"")</f>
        <v/>
      </c>
      <c r="BB85" s="518" t="str">
        <f>IF(AND(_AC3="A-330-900",'2023'!$F$4="FO",'2023'!$F$2=BB81),'2023DATA'!$K$6,"")</f>
        <v/>
      </c>
      <c r="BC85" s="518" t="str">
        <f>IF(AND(_AC3="A-330-900",'2023'!$F$4="FO",'2023'!$F$2=BC81),'2023DATA'!$L$6,"")</f>
        <v/>
      </c>
      <c r="BD85" s="518" t="str">
        <f>IF(AND(_AC3="A-330-900",'2023'!$F$4="FO",'2023'!$F$2=BD81),'2023DATA'!$M$6,"")</f>
        <v/>
      </c>
      <c r="BE85" s="520" t="str">
        <f>IF(AND(_AC3="A-330-900",'2023'!$F$4="FO",'2023'!$F$2=BE81),'2023DATA'!$N$6,"")</f>
        <v/>
      </c>
      <c r="BF85" s="940"/>
      <c r="BG85" s="13" t="s">
        <v>62</v>
      </c>
      <c r="BH85" s="518" t="str">
        <f>IF(AND(_AC4="A-330-900",'2023'!$F$4="FO",'2023'!$F$2=BH81),'2023DATA'!$C$6,"")</f>
        <v/>
      </c>
      <c r="BI85" s="518" t="str">
        <f>IF(AND(_AC4="A-330-900",'2023'!$F$4="FO",'2023'!$F$2=BI81),'2023DATA'!$D$6,"")</f>
        <v/>
      </c>
      <c r="BJ85" s="518" t="str">
        <f>IF(AND(_AC4="A-330-900",'2023'!$F$4="FO",'2023'!$F$2=BJ81),'2023DATA'!$E$6,"")</f>
        <v/>
      </c>
      <c r="BK85" s="518" t="str">
        <f>IF(AND(_AC4="A-330-900",'2023'!$F$4="FO",'2023'!$F$2=BK81),'2023DATA'!$F$6,"")</f>
        <v/>
      </c>
      <c r="BL85" s="518" t="str">
        <f>IF(AND(_AC4="A-330-900",'2023'!$F$4="FO",'2023'!$F$2=BL81),'2023DATA'!$G$6,"")</f>
        <v/>
      </c>
      <c r="BM85" s="518" t="str">
        <f>IF(AND(_AC4="A-330-900",'2023'!$F$4="FO",'2023'!$F$2=BM81),'2023DATA'!$H$6,"")</f>
        <v/>
      </c>
      <c r="BN85" s="518" t="str">
        <f>IF(AND(_AC4="A-330-900",'2023'!$F$4="FO",'2023'!$F$2=BN81),'2023DATA'!$I$6,"")</f>
        <v/>
      </c>
      <c r="BO85" s="518" t="str">
        <f>IF(AND(_AC4="A-330-900",'2023'!$F$4="FO",'2023'!$F$2=BO81),'2023DATA'!$J$6,"")</f>
        <v/>
      </c>
      <c r="BP85" s="518" t="str">
        <f>IF(AND(_AC4="A-330-900",'2023'!$F$4="FO",'2023'!$F$2=BP81),'2023DATA'!$K$6,"")</f>
        <v/>
      </c>
      <c r="BQ85" s="518" t="str">
        <f>IF(AND(_AC4="A-330-900",'2023'!$F$4="FO",'2023'!$F$2=BQ81),'2023DATA'!$L$6,"")</f>
        <v/>
      </c>
      <c r="BR85" s="518" t="str">
        <f>IF(AND(_AC4="A-330-900",'2023'!$F$4="FO",'2023'!$F$2=BR81),'2023DATA'!$M$6,"")</f>
        <v/>
      </c>
      <c r="BS85" s="520" t="str">
        <f>IF(AND(_AC4="A-330-900",'2023'!$F$4="FO",'2023'!$F$2=BS81),'2023DATA'!$N$6,"")</f>
        <v/>
      </c>
      <c r="BT85" s="940"/>
      <c r="BU85" s="13" t="s">
        <v>62</v>
      </c>
      <c r="BV85" s="518" t="str">
        <f>IF(AND(_AC5="A-330-900",'2023'!$F$4="FO",'2023'!$F$2=BV81),'2023DATA'!$C$6,"")</f>
        <v/>
      </c>
      <c r="BW85" s="518" t="str">
        <f>IF(AND(_AC5="A-330-900",'2023'!$F$4="FO",'2023'!$F$2=BW81),'2023DATA'!$D$6,"")</f>
        <v/>
      </c>
      <c r="BX85" s="518" t="str">
        <f>IF(AND(_AC5="A-330-900",'2023'!$F$4="FO",'2023'!$F$2=BX81),'2023DATA'!$E$6,"")</f>
        <v/>
      </c>
      <c r="BY85" s="518" t="str">
        <f>IF(AND(_AC5="A-330-900",'2023'!$F$4="FO",'2023'!$F$2=BY81),'2023DATA'!$F$6,"")</f>
        <v/>
      </c>
      <c r="BZ85" s="518" t="str">
        <f>IF(AND(_AC5="A-330-900",'2023'!$F$4="FO",'2023'!$F$2=BZ81),'2023DATA'!$G$6,"")</f>
        <v/>
      </c>
      <c r="CA85" s="518" t="str">
        <f>IF(AND(_AC5="A-330-900",'2023'!$F$4="FO",'2023'!$F$2=CA81),'2023DATA'!$H$6,"")</f>
        <v/>
      </c>
      <c r="CB85" s="518" t="str">
        <f>IF(AND(_AC5="A-330-900",'2023'!$F$4="FO",'2023'!$F$2=CB81),'2023DATA'!$I$6,"")</f>
        <v/>
      </c>
      <c r="CC85" s="518" t="str">
        <f>IF(AND(_AC5="A-330-900",'2023'!$F$4="FO",'2023'!$F$2=CC81),'2023DATA'!$J$6,"")</f>
        <v/>
      </c>
      <c r="CD85" s="518" t="str">
        <f>IF(AND(_AC5="A-330-900",'2023'!$F$4="FO",'2023'!$F$2=CD81),'2023DATA'!$K$6,"")</f>
        <v/>
      </c>
      <c r="CE85" s="518" t="str">
        <f>IF(AND(_AC5="A-330-900",'2023'!$F$4="FO",'2023'!$F$2=CE81),'2023DATA'!$L$6,"")</f>
        <v/>
      </c>
      <c r="CF85" s="518" t="str">
        <f>IF(AND(_AC5="A-330-900",'2023'!$F$4="FO",'2023'!$F$2=CF81),'2023DATA'!$M$6,"")</f>
        <v/>
      </c>
      <c r="CG85" s="520" t="str">
        <f>IF(AND(_AC5="A-330-900",'2023'!$F$4="FO",'2023'!$F$2=CG81),'2023DATA'!$N$6,"")</f>
        <v/>
      </c>
      <c r="CH85" s="940"/>
      <c r="CI85" s="13" t="s">
        <v>62</v>
      </c>
      <c r="CJ85" s="518" t="str">
        <f>IF(AND(_AC6="A-330-900",'2023'!$F$4="FO",'2023'!$F$2=CJ81),'2023DATA'!$C$6,"")</f>
        <v/>
      </c>
      <c r="CK85" s="518" t="str">
        <f>IF(AND(_AC6="A-330-900",'2023'!$F$4="FO",'2023'!$F$2=CK81),'2023DATA'!$D$6,"")</f>
        <v/>
      </c>
      <c r="CL85" s="518" t="str">
        <f>IF(AND(_AC6="A-330-900",'2023'!$F$4="FO",'2023'!$F$2=CL81),'2023DATA'!$E$6,"")</f>
        <v/>
      </c>
      <c r="CM85" s="518" t="str">
        <f>IF(AND(_AC6="A-330-900",'2023'!$F$4="FO",'2023'!$F$2=CM81),'2023DATA'!$F$6,"")</f>
        <v/>
      </c>
      <c r="CN85" s="518" t="str">
        <f>IF(AND(_AC6="A-330-900",'2023'!$F$4="FO",'2023'!$F$2=CN81),'2023DATA'!$G$6,"")</f>
        <v/>
      </c>
      <c r="CO85" s="518" t="str">
        <f>IF(AND(_AC6="A-330-900",'2023'!$F$4="FO",'2023'!$F$2=CO81),'2023DATA'!$H$6,"")</f>
        <v/>
      </c>
      <c r="CP85" s="518" t="str">
        <f>IF(AND(_AC6="A-330-900",'2023'!$F$4="FO",'2023'!$F$2=CP81),'2023DATA'!$I$6,"")</f>
        <v/>
      </c>
      <c r="CQ85" s="518" t="str">
        <f>IF(AND(_AC6="A-330-900",'2023'!$F$4="FO",'2023'!$F$2=CQ81),'2023DATA'!$J$6,"")</f>
        <v/>
      </c>
      <c r="CR85" s="518" t="str">
        <f>IF(AND(_AC6="A-330-900",'2023'!$F$4="FO",'2023'!$F$2=CR81),'2023DATA'!$K$6,"")</f>
        <v/>
      </c>
      <c r="CS85" s="518" t="str">
        <f>IF(AND(_AC6="A-330-900",'2023'!$F$4="FO",'2023'!$F$2=CS81),'2023DATA'!$L$6,"")</f>
        <v/>
      </c>
      <c r="CT85" s="518" t="str">
        <f>IF(AND(_AC6="A-330-900",'2023'!$F$4="FO",'2023'!$F$2=CT81),'2023DATA'!$M$6,"")</f>
        <v/>
      </c>
      <c r="CU85" s="520" t="str">
        <f>IF(AND(_AC6="A-330-900",'2023'!$F$4="FO",'2023'!$F$2=CU81),'2023DATA'!$N$6,"")</f>
        <v/>
      </c>
    </row>
    <row r="86" spans="16:99" x14ac:dyDescent="0.25">
      <c r="P86" s="940" t="s">
        <v>64</v>
      </c>
      <c r="Q86" s="13" t="s">
        <v>61</v>
      </c>
      <c r="R86" s="518" t="str">
        <f>IF(AND(_AC1="A-330-300",'2023'!$F$4="CA",'2023'!$F$2=R81),'2023DATA'!$C$7,"")</f>
        <v/>
      </c>
      <c r="S86" s="518" t="str">
        <f>IF(AND(_AC1="A-330-300",'2023'!$F$4="CA",'2023'!$F$2=S81),'2023DATA'!$D$7,"")</f>
        <v/>
      </c>
      <c r="T86" s="518" t="str">
        <f>IF(AND(_AC1="A-330-300",'2023'!$F$4="CA",'2023'!$F$2=T81),'2023DATA'!$E$7,"")</f>
        <v/>
      </c>
      <c r="U86" s="518" t="str">
        <f>IF(AND(_AC1="A-330-300",'2023'!$F$4="CA",'2023'!$F$2=U81),'2023DATA'!$F$7,"")</f>
        <v/>
      </c>
      <c r="V86" s="518" t="str">
        <f>IF(AND(_AC1="A-330-300",'2023'!$F$4="CA",'2023'!$F$2=V81),'2023DATA'!$G$7,"")</f>
        <v/>
      </c>
      <c r="W86" s="518" t="str">
        <f>IF(AND(_AC1="A-330-300",'2023'!$F$4="CA",'2023'!$F$2=W81),'2023DATA'!$H$7,"")</f>
        <v/>
      </c>
      <c r="X86" s="518" t="str">
        <f>IF(AND(_AC1="A-330-300",'2023'!$F$4="CA",'2023'!$F$2=X81),'2023DATA'!$I$7,"")</f>
        <v/>
      </c>
      <c r="Y86" s="518" t="str">
        <f>IF(AND(_AC1="A-330-300",'2023'!$F$4="CA",'2023'!$F$2=Y81),'2023DATA'!$J$7,"")</f>
        <v/>
      </c>
      <c r="Z86" s="518" t="str">
        <f>IF(AND(_AC1="A-330-300",'2023'!$F$4="CA",'2023'!$F$2=Z81),'2023DATA'!$K$7,"")</f>
        <v/>
      </c>
      <c r="AA86" s="518" t="str">
        <f>IF(AND(_AC1="A-330-300",'2023'!$F$4="CA",'2023'!$F$2=AA81),'2023DATA'!$L$7,"")</f>
        <v/>
      </c>
      <c r="AB86" s="518" t="str">
        <f>IF(AND(_AC1="A-330-300",'2023'!$F$4="CA",'2023'!$F$2=AB81),'2023DATA'!$M$7,"")</f>
        <v/>
      </c>
      <c r="AC86" s="520" t="str">
        <f>IF(AND(_AC1="A-330-300",'2023'!$F$4="CA",'2023'!$F$2=AC81),'2023DATA'!$N$7,"")</f>
        <v/>
      </c>
      <c r="AD86" s="940" t="s">
        <v>64</v>
      </c>
      <c r="AE86" s="13" t="s">
        <v>61</v>
      </c>
      <c r="AF86" s="518" t="str">
        <f>IF(AND(_AC2="A-330-300",'2023'!$F$4="CA",'2023'!$F$2=AF81),'2023DATA'!$C$7,"")</f>
        <v/>
      </c>
      <c r="AG86" s="518" t="str">
        <f>IF(AND(_AC2="A-330-300",'2023'!$F$4="CA",'2023'!$F$2=AG81),'2023DATA'!$D$7,"")</f>
        <v/>
      </c>
      <c r="AH86" s="518" t="str">
        <f>IF(AND(_AC2="A-330-300",'2023'!$F$4="CA",'2023'!$F$2=AH81),'2023DATA'!$E$7,"")</f>
        <v/>
      </c>
      <c r="AI86" s="518" t="str">
        <f>IF(AND(_AC2="A-330-300",'2023'!$F$4="CA",'2023'!$F$2=AI81),'2023DATA'!$F$7,"")</f>
        <v/>
      </c>
      <c r="AJ86" s="518" t="str">
        <f>IF(AND(_AC2="A-330-300",'2023'!$F$4="CA",'2023'!$F$2=AJ81),'2023DATA'!$G$7,"")</f>
        <v/>
      </c>
      <c r="AK86" s="518" t="str">
        <f>IF(AND(_AC2="A-330-300",'2023'!$F$4="CA",'2023'!$F$2=AK81),'2023DATA'!$H$7,"")</f>
        <v/>
      </c>
      <c r="AL86" s="518" t="str">
        <f>IF(AND(_AC2="A-330-300",'2023'!$F$4="CA",'2023'!$F$2=AL81),'2023DATA'!$I$7,"")</f>
        <v/>
      </c>
      <c r="AM86" s="518" t="str">
        <f>IF(AND(_AC2="A-330-300",'2023'!$F$4="CA",'2023'!$F$2=AM81),'2023DATA'!$J$7,"")</f>
        <v/>
      </c>
      <c r="AN86" s="518" t="str">
        <f>IF(AND(_AC2="A-330-300",'2023'!$F$4="CA",'2023'!$F$2=AN81),'2023DATA'!$K$7,"")</f>
        <v/>
      </c>
      <c r="AO86" s="518" t="str">
        <f>IF(AND(_AC2="A-330-300",'2023'!$F$4="CA",'2023'!$F$2=AO81),'2023DATA'!$L$7,"")</f>
        <v/>
      </c>
      <c r="AP86" s="518" t="str">
        <f>IF(AND(_AC2="A-330-300",'2023'!$F$4="CA",'2023'!$F$2=AP81),'2023DATA'!$M$7,"")</f>
        <v/>
      </c>
      <c r="AQ86" s="520" t="str">
        <f>IF(AND(_AC2="A-330-300",'2023'!$F$4="CA",'2023'!$F$2=AQ81),'2023DATA'!$N$7,"")</f>
        <v/>
      </c>
      <c r="AR86" s="940" t="s">
        <v>64</v>
      </c>
      <c r="AS86" s="13" t="s">
        <v>61</v>
      </c>
      <c r="AT86" s="518" t="str">
        <f>IF(AND(_AC3="A-330-300",'2023'!$F$4="CA",'2023'!$F$2=AT81),'2023DATA'!$C$7,"")</f>
        <v/>
      </c>
      <c r="AU86" s="518" t="str">
        <f>IF(AND(_AC3="A-330-300",'2023'!$F$4="CA",'2023'!$F$2=AU81),'2023DATA'!$D$7,"")</f>
        <v/>
      </c>
      <c r="AV86" s="518" t="str">
        <f>IF(AND(_AC3="A-330-300",'2023'!$F$4="CA",'2023'!$F$2=AV81),'2023DATA'!$E$7,"")</f>
        <v/>
      </c>
      <c r="AW86" s="518" t="str">
        <f>IF(AND(_AC3="A-330-300",'2023'!$F$4="CA",'2023'!$F$2=AW81),'2023DATA'!$F$7,"")</f>
        <v/>
      </c>
      <c r="AX86" s="518" t="str">
        <f>IF(AND(_AC3="A-330-300",'2023'!$F$4="CA",'2023'!$F$2=AX81),'2023DATA'!$G$7,"")</f>
        <v/>
      </c>
      <c r="AY86" s="518" t="str">
        <f>IF(AND(_AC3="A-330-300",'2023'!$F$4="CA",'2023'!$F$2=AY81),'2023DATA'!$H$7,"")</f>
        <v/>
      </c>
      <c r="AZ86" s="518" t="str">
        <f>IF(AND(_AC3="A-330-300",'2023'!$F$4="CA",'2023'!$F$2=AZ81),'2023DATA'!$I$7,"")</f>
        <v/>
      </c>
      <c r="BA86" s="518" t="str">
        <f>IF(AND(_AC3="A-330-300",'2023'!$F$4="CA",'2023'!$F$2=BA81),'2023DATA'!$J$7,"")</f>
        <v/>
      </c>
      <c r="BB86" s="518" t="str">
        <f>IF(AND(_AC3="A-330-300",'2023'!$F$4="CA",'2023'!$F$2=BB81),'2023DATA'!$K$7,"")</f>
        <v/>
      </c>
      <c r="BC86" s="518" t="str">
        <f>IF(AND(_AC3="A-330-300",'2023'!$F$4="CA",'2023'!$F$2=BC81),'2023DATA'!$L$7,"")</f>
        <v/>
      </c>
      <c r="BD86" s="518" t="str">
        <f>IF(AND(_AC3="A-330-300",'2023'!$F$4="CA",'2023'!$F$2=BD81),'2023DATA'!$M$7,"")</f>
        <v/>
      </c>
      <c r="BE86" s="520" t="str">
        <f>IF(AND(_AC3="A-330-300",'2023'!$F$4="CA",'2023'!$F$2=BE81),'2023DATA'!$N$7,"")</f>
        <v/>
      </c>
      <c r="BF86" s="940" t="s">
        <v>64</v>
      </c>
      <c r="BG86" s="13" t="s">
        <v>61</v>
      </c>
      <c r="BH86" s="518" t="str">
        <f>IF(AND(_AC4="A-330-300",'2023'!$F$4="CA",'2023'!$F$2=BH81),'2023DATA'!$C$7,"")</f>
        <v/>
      </c>
      <c r="BI86" s="518" t="str">
        <f>IF(AND(_AC4="A-330-300",'2023'!$F$4="CA",'2023'!$F$2=BI81),'2023DATA'!$D$7,"")</f>
        <v/>
      </c>
      <c r="BJ86" s="518" t="str">
        <f>IF(AND(_AC4="A-330-300",'2023'!$F$4="CA",'2023'!$F$2=BJ81),'2023DATA'!$E$7,"")</f>
        <v/>
      </c>
      <c r="BK86" s="518" t="str">
        <f>IF(AND(_AC4="A-330-300",'2023'!$F$4="CA",'2023'!$F$2=BK81),'2023DATA'!$F$7,"")</f>
        <v/>
      </c>
      <c r="BL86" s="518" t="str">
        <f>IF(AND(_AC4="A-330-300",'2023'!$F$4="CA",'2023'!$F$2=BL81),'2023DATA'!$G$7,"")</f>
        <v/>
      </c>
      <c r="BM86" s="518" t="str">
        <f>IF(AND(_AC4="A-330-300",'2023'!$F$4="CA",'2023'!$F$2=BM81),'2023DATA'!$H$7,"")</f>
        <v/>
      </c>
      <c r="BN86" s="518" t="str">
        <f>IF(AND(_AC4="A-330-300",'2023'!$F$4="CA",'2023'!$F$2=BN81),'2023DATA'!$I$7,"")</f>
        <v/>
      </c>
      <c r="BO86" s="518" t="str">
        <f>IF(AND(_AC4="A-330-300",'2023'!$F$4="CA",'2023'!$F$2=BO81),'2023DATA'!$J$7,"")</f>
        <v/>
      </c>
      <c r="BP86" s="518" t="str">
        <f>IF(AND(_AC4="A-330-300",'2023'!$F$4="CA",'2023'!$F$2=BP81),'2023DATA'!$K$7,"")</f>
        <v/>
      </c>
      <c r="BQ86" s="518" t="str">
        <f>IF(AND(_AC4="A-330-300",'2023'!$F$4="CA",'2023'!$F$2=BQ81),'2023DATA'!$L$7,"")</f>
        <v/>
      </c>
      <c r="BR86" s="518" t="str">
        <f>IF(AND(_AC4="A-330-300",'2023'!$F$4="CA",'2023'!$F$2=BR81),'2023DATA'!$M$7,"")</f>
        <v/>
      </c>
      <c r="BS86" s="520" t="str">
        <f>IF(AND(_AC4="A-330-300",'2023'!$F$4="CA",'2023'!$F$2=BS81),'2023DATA'!$N$7,"")</f>
        <v/>
      </c>
      <c r="BT86" s="940" t="s">
        <v>64</v>
      </c>
      <c r="BU86" s="13" t="s">
        <v>61</v>
      </c>
      <c r="BV86" s="518" t="str">
        <f>IF(AND(_AC5="A-330-300",'2023'!$F$4="CA",'2023'!$F$2=BV81),'2023DATA'!$C$7,"")</f>
        <v/>
      </c>
      <c r="BW86" s="518" t="str">
        <f>IF(AND(_AC5="A-330-300",'2023'!$F$4="CA",'2023'!$F$2=BW81),'2023DATA'!$D$7,"")</f>
        <v/>
      </c>
      <c r="BX86" s="518" t="str">
        <f>IF(AND(_AC5="A-330-300",'2023'!$F$4="CA",'2023'!$F$2=BX81),'2023DATA'!$E$7,"")</f>
        <v/>
      </c>
      <c r="BY86" s="518" t="str">
        <f>IF(AND(_AC5="A-330-300",'2023'!$F$4="CA",'2023'!$F$2=BY81),'2023DATA'!$F$7,"")</f>
        <v/>
      </c>
      <c r="BZ86" s="518" t="str">
        <f>IF(AND(_AC5="A-330-300",'2023'!$F$4="CA",'2023'!$F$2=BZ81),'2023DATA'!$G$7,"")</f>
        <v/>
      </c>
      <c r="CA86" s="518" t="str">
        <f>IF(AND(_AC5="A-330-300",'2023'!$F$4="CA",'2023'!$F$2=CA81),'2023DATA'!$H$7,"")</f>
        <v/>
      </c>
      <c r="CB86" s="518" t="str">
        <f>IF(AND(_AC5="A-330-300",'2023'!$F$4="CA",'2023'!$F$2=CB81),'2023DATA'!$I$7,"")</f>
        <v/>
      </c>
      <c r="CC86" s="518" t="str">
        <f>IF(AND(_AC5="A-330-300",'2023'!$F$4="CA",'2023'!$F$2=CC81),'2023DATA'!$J$7,"")</f>
        <v/>
      </c>
      <c r="CD86" s="518" t="str">
        <f>IF(AND(_AC5="A-330-300",'2023'!$F$4="CA",'2023'!$F$2=CD81),'2023DATA'!$K$7,"")</f>
        <v/>
      </c>
      <c r="CE86" s="518" t="str">
        <f>IF(AND(_AC5="A-330-300",'2023'!$F$4="CA",'2023'!$F$2=CE81),'2023DATA'!$L$7,"")</f>
        <v/>
      </c>
      <c r="CF86" s="518" t="str">
        <f>IF(AND(_AC5="A-330-300",'2023'!$F$4="CA",'2023'!$F$2=CF81),'2023DATA'!$M$7,"")</f>
        <v/>
      </c>
      <c r="CG86" s="520" t="str">
        <f>IF(AND(_AC5="A-330-300",'2023'!$F$4="CA",'2023'!$F$2=CG81),'2023DATA'!$N$7,"")</f>
        <v/>
      </c>
      <c r="CH86" s="940" t="s">
        <v>64</v>
      </c>
      <c r="CI86" s="13" t="s">
        <v>61</v>
      </c>
      <c r="CJ86" s="518" t="str">
        <f>IF(AND(_AC6="A-330-300",'2023'!$F$4="CA",'2023'!$F$2=CJ81),'2023DATA'!$C$7,"")</f>
        <v/>
      </c>
      <c r="CK86" s="518" t="str">
        <f>IF(AND(_AC6="A-330-300",'2023'!$F$4="CA",'2023'!$F$2=CK81),'2023DATA'!$D$7,"")</f>
        <v/>
      </c>
      <c r="CL86" s="518" t="str">
        <f>IF(AND(_AC6="A-330-300",'2023'!$F$4="CA",'2023'!$F$2=CL81),'2023DATA'!$E$7,"")</f>
        <v/>
      </c>
      <c r="CM86" s="518" t="str">
        <f>IF(AND(_AC6="A-330-300",'2023'!$F$4="CA",'2023'!$F$2=CM81),'2023DATA'!$F$7,"")</f>
        <v/>
      </c>
      <c r="CN86" s="518" t="str">
        <f>IF(AND(_AC6="A-330-300",'2023'!$F$4="CA",'2023'!$F$2=CN81),'2023DATA'!$G$7,"")</f>
        <v/>
      </c>
      <c r="CO86" s="518" t="str">
        <f>IF(AND(_AC6="A-330-300",'2023'!$F$4="CA",'2023'!$F$2=CO81),'2023DATA'!$H$7,"")</f>
        <v/>
      </c>
      <c r="CP86" s="518" t="str">
        <f>IF(AND(_AC6="A-330-300",'2023'!$F$4="CA",'2023'!$F$2=CP81),'2023DATA'!$I$7,"")</f>
        <v/>
      </c>
      <c r="CQ86" s="518" t="str">
        <f>IF(AND(_AC6="A-330-300",'2023'!$F$4="CA",'2023'!$F$2=CQ81),'2023DATA'!$J$7,"")</f>
        <v/>
      </c>
      <c r="CR86" s="518" t="str">
        <f>IF(AND(_AC6="A-330-300",'2023'!$F$4="CA",'2023'!$F$2=CR81),'2023DATA'!$K$7,"")</f>
        <v/>
      </c>
      <c r="CS86" s="518" t="str">
        <f>IF(AND(_AC6="A-330-300",'2023'!$F$4="CA",'2023'!$F$2=CS81),'2023DATA'!$L$7,"")</f>
        <v/>
      </c>
      <c r="CT86" s="518" t="str">
        <f>IF(AND(_AC6="A-330-300",'2023'!$F$4="CA",'2023'!$F$2=CT81),'2023DATA'!$M$7,"")</f>
        <v/>
      </c>
      <c r="CU86" s="520" t="str">
        <f>IF(AND(_AC6="A-330-300",'2023'!$F$4="CA",'2023'!$F$2=CU81),'2023DATA'!$N$7,"")</f>
        <v/>
      </c>
    </row>
    <row r="87" spans="16:99" x14ac:dyDescent="0.25">
      <c r="P87" s="940"/>
      <c r="Q87" s="13" t="s">
        <v>62</v>
      </c>
      <c r="R87" s="518" t="str">
        <f>IF(AND(_AC1="A-330-300",'2023'!$F$4="FO",'2023'!$F$2=R81),'2023DATA'!$C$8,"")</f>
        <v/>
      </c>
      <c r="S87" s="518" t="str">
        <f>IF(AND(_AC1="A-330-300",'2023'!$F$4="FO",'2023'!$F$2=S81),'2023DATA'!$D$8,"")</f>
        <v/>
      </c>
      <c r="T87" s="518" t="str">
        <f>IF(AND(_AC1="A-330-300",'2023'!$F$4="FO",'2023'!$F$2=T81),'2023DATA'!$E$8,"")</f>
        <v/>
      </c>
      <c r="U87" s="518" t="str">
        <f>IF(AND(_AC1="A-330-300",'2023'!$F$4="FO",'2023'!$F$2=U81),'2023DATA'!$F$8,"")</f>
        <v/>
      </c>
      <c r="V87" s="518" t="str">
        <f>IF(AND(_AC1="A-330-300",'2023'!$F$4="FO",'2023'!$F$2=V81),'2023DATA'!$G$8,"")</f>
        <v/>
      </c>
      <c r="W87" s="518" t="str">
        <f>IF(AND(_AC1="A-330-300",'2023'!$F$4="FO",'2023'!$F$2=W81),'2023DATA'!$H$8,"")</f>
        <v/>
      </c>
      <c r="X87" s="518" t="str">
        <f>IF(AND(_AC1="A-330-300",'2023'!$F$4="FO",'2023'!$F$2=X81),'2023DATA'!$I$8,"")</f>
        <v/>
      </c>
      <c r="Y87" s="518" t="str">
        <f>IF(AND(_AC1="A-330-300",'2023'!$F$4="FO",'2023'!$F$2=Y81),'2023DATA'!$J$8,"")</f>
        <v/>
      </c>
      <c r="Z87" s="518" t="str">
        <f>IF(AND(_AC1="A-330-300",'2023'!$F$4="FO",'2023'!$F$2=Z81),'2023DATA'!$K$8,"")</f>
        <v/>
      </c>
      <c r="AA87" s="518" t="str">
        <f>IF(AND(_AC1="A-330-300",'2023'!$F$4="FO",'2023'!$F$2=AA81),'2023DATA'!$L$8,"")</f>
        <v/>
      </c>
      <c r="AB87" s="518" t="str">
        <f>IF(AND(_AC1="A-330-300",'2023'!$F$4="FO",'2023'!$F$2=AB81),'2023DATA'!$M$8,"")</f>
        <v/>
      </c>
      <c r="AC87" s="520" t="str">
        <f>IF(AND(_AC1="A-330-300",'2023'!$F$4="FO",'2023'!$F$2=AC81),'2023DATA'!$N$8,"")</f>
        <v/>
      </c>
      <c r="AD87" s="940"/>
      <c r="AE87" s="13" t="s">
        <v>62</v>
      </c>
      <c r="AF87" s="518" t="str">
        <f>IF(AND(_AC2="A-330-300",'2023'!$F$4="FO",'2023'!$F$2=AF81),'2023DATA'!$C$8,"")</f>
        <v/>
      </c>
      <c r="AG87" s="518" t="str">
        <f>IF(AND(_AC2="A-330-300",'2023'!$F$4="FO",'2023'!$F$2=AG81),'2023DATA'!$D$8,"")</f>
        <v/>
      </c>
      <c r="AH87" s="518" t="str">
        <f>IF(AND(_AC2="A-330-300",'2023'!$F$4="FO",'2023'!$F$2=AH81),'2023DATA'!$E$8,"")</f>
        <v/>
      </c>
      <c r="AI87" s="518" t="str">
        <f>IF(AND(_AC2="A-330-300",'2023'!$F$4="FO",'2023'!$F$2=AI81),'2023DATA'!$F$8,"")</f>
        <v/>
      </c>
      <c r="AJ87" s="518" t="str">
        <f>IF(AND(_AC2="A-330-300",'2023'!$F$4="FO",'2023'!$F$2=AJ81),'2023DATA'!$G$8,"")</f>
        <v/>
      </c>
      <c r="AK87" s="518" t="str">
        <f>IF(AND(_AC2="A-330-300",'2023'!$F$4="FO",'2023'!$F$2=AK81),'2023DATA'!$H$8,"")</f>
        <v/>
      </c>
      <c r="AL87" s="518" t="str">
        <f>IF(AND(_AC2="A-330-300",'2023'!$F$4="FO",'2023'!$F$2=AL81),'2023DATA'!$I$8,"")</f>
        <v/>
      </c>
      <c r="AM87" s="518" t="str">
        <f>IF(AND(_AC2="A-330-300",'2023'!$F$4="FO",'2023'!$F$2=AM81),'2023DATA'!$J$8,"")</f>
        <v/>
      </c>
      <c r="AN87" s="518" t="str">
        <f>IF(AND(_AC2="A-330-300",'2023'!$F$4="FO",'2023'!$F$2=AN81),'2023DATA'!$K$8,"")</f>
        <v/>
      </c>
      <c r="AO87" s="518" t="str">
        <f>IF(AND(_AC2="A-330-300",'2023'!$F$4="FO",'2023'!$F$2=AO81),'2023DATA'!$L$8,"")</f>
        <v/>
      </c>
      <c r="AP87" s="518" t="str">
        <f>IF(AND(_AC2="A-330-300",'2023'!$F$4="FO",'2023'!$F$2=AP81),'2023DATA'!$M$8,"")</f>
        <v/>
      </c>
      <c r="AQ87" s="520" t="str">
        <f>IF(AND(_AC2="A-330-300",'2023'!$F$4="FO",'2023'!$F$2=AQ81),'2023DATA'!$N$8,"")</f>
        <v/>
      </c>
      <c r="AR87" s="940"/>
      <c r="AS87" s="13" t="s">
        <v>62</v>
      </c>
      <c r="AT87" s="518" t="str">
        <f>IF(AND(_AC3="A-330-300",'2023'!$F$4="FO",'2023'!$F$2=AT81),'2023DATA'!$C$8,"")</f>
        <v/>
      </c>
      <c r="AU87" s="518" t="str">
        <f>IF(AND(_AC3="A-330-300",'2023'!$F$4="FO",'2023'!$F$2=AU81),'2023DATA'!$D$8,"")</f>
        <v/>
      </c>
      <c r="AV87" s="518" t="str">
        <f>IF(AND(_AC3="A-330-300",'2023'!$F$4="FO",'2023'!$F$2=AV81),'2023DATA'!$E$8,"")</f>
        <v/>
      </c>
      <c r="AW87" s="518" t="str">
        <f>IF(AND(_AC3="A-330-300",'2023'!$F$4="FO",'2023'!$F$2=AW81),'2023DATA'!$F$8,"")</f>
        <v/>
      </c>
      <c r="AX87" s="518" t="str">
        <f>IF(AND(_AC3="A-330-300",'2023'!$F$4="FO",'2023'!$F$2=AX81),'2023DATA'!$G$8,"")</f>
        <v/>
      </c>
      <c r="AY87" s="518" t="str">
        <f>IF(AND(_AC3="A-330-300",'2023'!$F$4="FO",'2023'!$F$2=AY81),'2023DATA'!$H$8,"")</f>
        <v/>
      </c>
      <c r="AZ87" s="518" t="str">
        <f>IF(AND(_AC3="A-330-300",'2023'!$F$4="FO",'2023'!$F$2=AZ81),'2023DATA'!$I$8,"")</f>
        <v/>
      </c>
      <c r="BA87" s="518" t="str">
        <f>IF(AND(_AC3="A-330-300",'2023'!$F$4="FO",'2023'!$F$2=BA81),'2023DATA'!$J$8,"")</f>
        <v/>
      </c>
      <c r="BB87" s="518" t="str">
        <f>IF(AND(_AC3="A-330-300",'2023'!$F$4="FO",'2023'!$F$2=BB81),'2023DATA'!$K$8,"")</f>
        <v/>
      </c>
      <c r="BC87" s="518" t="str">
        <f>IF(AND(_AC3="A-330-300",'2023'!$F$4="FO",'2023'!$F$2=BC81),'2023DATA'!$L$8,"")</f>
        <v/>
      </c>
      <c r="BD87" s="518" t="str">
        <f>IF(AND(_AC3="A-330-300",'2023'!$F$4="FO",'2023'!$F$2=BD81),'2023DATA'!$M$8,"")</f>
        <v/>
      </c>
      <c r="BE87" s="520" t="str">
        <f>IF(AND(_AC3="A-330-300",'2023'!$F$4="FO",'2023'!$F$2=BE81),'2023DATA'!$N$8,"")</f>
        <v/>
      </c>
      <c r="BF87" s="940"/>
      <c r="BG87" s="13" t="s">
        <v>62</v>
      </c>
      <c r="BH87" s="518" t="str">
        <f>IF(AND(_AC4="A-330-300",'2023'!$F$4="FO",'2023'!$F$2=BH81),'2023DATA'!$C$8,"")</f>
        <v/>
      </c>
      <c r="BI87" s="518" t="str">
        <f>IF(AND(_AC4="A-330-300",'2023'!$F$4="FO",'2023'!$F$2=BI81),'2023DATA'!$D$8,"")</f>
        <v/>
      </c>
      <c r="BJ87" s="518" t="str">
        <f>IF(AND(_AC4="A-330-300",'2023'!$F$4="FO",'2023'!$F$2=BJ81),'2023DATA'!$E$8,"")</f>
        <v/>
      </c>
      <c r="BK87" s="518" t="str">
        <f>IF(AND(_AC4="A-330-300",'2023'!$F$4="FO",'2023'!$F$2=BK81),'2023DATA'!$F$8,"")</f>
        <v/>
      </c>
      <c r="BL87" s="518" t="str">
        <f>IF(AND(_AC4="A-330-300",'2023'!$F$4="FO",'2023'!$F$2=BL81),'2023DATA'!$G$8,"")</f>
        <v/>
      </c>
      <c r="BM87" s="518" t="str">
        <f>IF(AND(_AC4="A-330-300",'2023'!$F$4="FO",'2023'!$F$2=BM81),'2023DATA'!$H$8,"")</f>
        <v/>
      </c>
      <c r="BN87" s="518" t="str">
        <f>IF(AND(_AC4="A-330-300",'2023'!$F$4="FO",'2023'!$F$2=BN81),'2023DATA'!$I$8,"")</f>
        <v/>
      </c>
      <c r="BO87" s="518" t="str">
        <f>IF(AND(_AC4="A-330-300",'2023'!$F$4="FO",'2023'!$F$2=BO81),'2023DATA'!$J$8,"")</f>
        <v/>
      </c>
      <c r="BP87" s="518" t="str">
        <f>IF(AND(_AC4="A-330-300",'2023'!$F$4="FO",'2023'!$F$2=BP81),'2023DATA'!$K$8,"")</f>
        <v/>
      </c>
      <c r="BQ87" s="518" t="str">
        <f>IF(AND(_AC4="A-330-300",'2023'!$F$4="FO",'2023'!$F$2=BQ81),'2023DATA'!$L$8,"")</f>
        <v/>
      </c>
      <c r="BR87" s="518" t="str">
        <f>IF(AND(_AC4="A-330-300",'2023'!$F$4="FO",'2023'!$F$2=BR81),'2023DATA'!$M$8,"")</f>
        <v/>
      </c>
      <c r="BS87" s="520" t="str">
        <f>IF(AND(_AC4="A-330-300",'2023'!$F$4="FO",'2023'!$F$2=BS81),'2023DATA'!$N$8,"")</f>
        <v/>
      </c>
      <c r="BT87" s="940"/>
      <c r="BU87" s="13" t="s">
        <v>62</v>
      </c>
      <c r="BV87" s="518" t="str">
        <f>IF(AND(_AC5="A-330-300",'2023'!$F$4="FO",'2023'!$F$2=BV81),'2023DATA'!$C$8,"")</f>
        <v/>
      </c>
      <c r="BW87" s="518" t="str">
        <f>IF(AND(_AC5="A-330-300",'2023'!$F$4="FO",'2023'!$F$2=BW81),'2023DATA'!$D$8,"")</f>
        <v/>
      </c>
      <c r="BX87" s="518" t="str">
        <f>IF(AND(_AC5="A-330-300",'2023'!$F$4="FO",'2023'!$F$2=BX81),'2023DATA'!$E$8,"")</f>
        <v/>
      </c>
      <c r="BY87" s="518" t="str">
        <f>IF(AND(_AC5="A-330-300",'2023'!$F$4="FO",'2023'!$F$2=BY81),'2023DATA'!$F$8,"")</f>
        <v/>
      </c>
      <c r="BZ87" s="518" t="str">
        <f>IF(AND(_AC5="A-330-300",'2023'!$F$4="FO",'2023'!$F$2=BZ81),'2023DATA'!$G$8,"")</f>
        <v/>
      </c>
      <c r="CA87" s="518" t="str">
        <f>IF(AND(_AC5="A-330-300",'2023'!$F$4="FO",'2023'!$F$2=CA81),'2023DATA'!$H$8,"")</f>
        <v/>
      </c>
      <c r="CB87" s="518" t="str">
        <f>IF(AND(_AC5="A-330-300",'2023'!$F$4="FO",'2023'!$F$2=CB81),'2023DATA'!$I$8,"")</f>
        <v/>
      </c>
      <c r="CC87" s="518" t="str">
        <f>IF(AND(_AC5="A-330-300",'2023'!$F$4="FO",'2023'!$F$2=CC81),'2023DATA'!$J$8,"")</f>
        <v/>
      </c>
      <c r="CD87" s="518" t="str">
        <f>IF(AND(_AC5="A-330-300",'2023'!$F$4="FO",'2023'!$F$2=CD81),'2023DATA'!$K$8,"")</f>
        <v/>
      </c>
      <c r="CE87" s="518" t="str">
        <f>IF(AND(_AC5="A-330-300",'2023'!$F$4="FO",'2023'!$F$2=CE81),'2023DATA'!$L$8,"")</f>
        <v/>
      </c>
      <c r="CF87" s="518" t="str">
        <f>IF(AND(_AC5="A-330-300",'2023'!$F$4="FO",'2023'!$F$2=CF81),'2023DATA'!$M$8,"")</f>
        <v/>
      </c>
      <c r="CG87" s="520" t="str">
        <f>IF(AND(_AC5="A-330-300",'2023'!$F$4="FO",'2023'!$F$2=CG81),'2023DATA'!$N$8,"")</f>
        <v/>
      </c>
      <c r="CH87" s="940"/>
      <c r="CI87" s="13" t="s">
        <v>62</v>
      </c>
      <c r="CJ87" s="518" t="str">
        <f>IF(AND(_AC6="A-330-300",'2023'!$F$4="FO",'2023'!$F$2=CJ81),'2023DATA'!$C$8,"")</f>
        <v/>
      </c>
      <c r="CK87" s="518" t="str">
        <f>IF(AND(_AC6="A-330-300",'2023'!$F$4="FO",'2023'!$F$2=CK81),'2023DATA'!$D$8,"")</f>
        <v/>
      </c>
      <c r="CL87" s="518" t="str">
        <f>IF(AND(_AC6="A-330-300",'2023'!$F$4="FO",'2023'!$F$2=CL81),'2023DATA'!$E$8,"")</f>
        <v/>
      </c>
      <c r="CM87" s="518" t="str">
        <f>IF(AND(_AC6="A-330-300",'2023'!$F$4="FO",'2023'!$F$2=CM81),'2023DATA'!$F$8,"")</f>
        <v/>
      </c>
      <c r="CN87" s="518" t="str">
        <f>IF(AND(_AC6="A-330-300",'2023'!$F$4="FO",'2023'!$F$2=CN81),'2023DATA'!$G$8,"")</f>
        <v/>
      </c>
      <c r="CO87" s="518" t="str">
        <f>IF(AND(_AC6="A-330-300",'2023'!$F$4="FO",'2023'!$F$2=CO81),'2023DATA'!$H$8,"")</f>
        <v/>
      </c>
      <c r="CP87" s="518" t="str">
        <f>IF(AND(_AC6="A-330-300",'2023'!$F$4="FO",'2023'!$F$2=CP81),'2023DATA'!$I$8,"")</f>
        <v/>
      </c>
      <c r="CQ87" s="518" t="str">
        <f>IF(AND(_AC6="A-330-300",'2023'!$F$4="FO",'2023'!$F$2=CQ81),'2023DATA'!$J$8,"")</f>
        <v/>
      </c>
      <c r="CR87" s="518" t="str">
        <f>IF(AND(_AC6="A-330-300",'2023'!$F$4="FO",'2023'!$F$2=CR81),'2023DATA'!$K$8,"")</f>
        <v/>
      </c>
      <c r="CS87" s="518" t="str">
        <f>IF(AND(_AC6="A-330-300",'2023'!$F$4="FO",'2023'!$F$2=CS81),'2023DATA'!$L$8,"")</f>
        <v/>
      </c>
      <c r="CT87" s="518" t="str">
        <f>IF(AND(_AC6="A-330-300",'2023'!$F$4="FO",'2023'!$F$2=CT81),'2023DATA'!$M$8,"")</f>
        <v/>
      </c>
      <c r="CU87" s="520" t="str">
        <f>IF(AND(_AC6="A-330-300",'2023'!$F$4="FO",'2023'!$F$2=CU81),'2023DATA'!$N$8,"")</f>
        <v/>
      </c>
    </row>
    <row r="88" spans="16:99" x14ac:dyDescent="0.25">
      <c r="P88" s="940" t="s">
        <v>66</v>
      </c>
      <c r="Q88" s="13" t="s">
        <v>61</v>
      </c>
      <c r="R88" s="518" t="str">
        <f>IF(AND(_AC1="A-330-200",'2023'!$F$4="CA",'2023'!$F$2=R81),'2023DATA'!$C$9,"")</f>
        <v/>
      </c>
      <c r="S88" s="518" t="str">
        <f>IF(AND(_AC1="A-330-200",'2023'!$F$4="CA",'2023'!$F$2=S81),'2023DATA'!$D$9,"")</f>
        <v/>
      </c>
      <c r="T88" s="518" t="str">
        <f>IF(AND(_AC1="A-330-200",'2023'!$F$4="CA",'2023'!$F$2=T81),'2023DATA'!$E$9,"")</f>
        <v/>
      </c>
      <c r="U88" s="518" t="str">
        <f>IF(AND(_AC1="A-330-200",'2023'!$F$4="CA",'2023'!$F$2=U81),'2023DATA'!$F$9,"")</f>
        <v/>
      </c>
      <c r="V88" s="518" t="str">
        <f>IF(AND(_AC1="A-330-200",'2023'!$F$4="CA",'2023'!$F$2=V81),'2023DATA'!$G$9,"")</f>
        <v/>
      </c>
      <c r="W88" s="518" t="str">
        <f>IF(AND(_AC1="A-330-200",'2023'!$F$4="CA",'2023'!$F$2=W81),'2023DATA'!$H$9,"")</f>
        <v/>
      </c>
      <c r="X88" s="518" t="str">
        <f>IF(AND(_AC1="A-330-200",'2023'!$F$4="CA",'2023'!$F$2=X81),'2023DATA'!$I$9,"")</f>
        <v/>
      </c>
      <c r="Y88" s="518" t="str">
        <f>IF(AND(_AC1="A-330-200",'2023'!$F$4="CA",'2023'!$F$2=Y81),'2023DATA'!$J$9,"")</f>
        <v/>
      </c>
      <c r="Z88" s="518" t="str">
        <f>IF(AND(_AC1="A-330-200",'2023'!$F$4="CA",'2023'!$F$2=Z81),'2023DATA'!$K$9,"")</f>
        <v/>
      </c>
      <c r="AA88" s="518" t="str">
        <f>IF(AND(_AC1="A-330-200",'2023'!$F$4="CA",'2023'!$F$2=AA81),'2023DATA'!$L$9,"")</f>
        <v/>
      </c>
      <c r="AB88" s="518" t="str">
        <f>IF(AND(_AC1="A-330-200",'2023'!$F$4="CA",'2023'!$F$2=AB81),'2023DATA'!$M$9,"")</f>
        <v/>
      </c>
      <c r="AC88" s="520" t="str">
        <f>IF(AND(_AC1="A-330-200",'2023'!$F$4="CA",'2023'!$F$2=AC81),'2023DATA'!$N$9,"")</f>
        <v/>
      </c>
      <c r="AD88" s="940" t="s">
        <v>66</v>
      </c>
      <c r="AE88" s="13" t="s">
        <v>61</v>
      </c>
      <c r="AF88" s="518" t="str">
        <f>IF(AND(_AC2="A-330-200",'2023'!$F$4="CA",'2023'!$F$2=AF81),'2023DATA'!$C$9,"")</f>
        <v/>
      </c>
      <c r="AG88" s="518" t="str">
        <f>IF(AND(_AC2="A-330-200",'2023'!$F$4="CA",'2023'!$F$2=AG81),'2023DATA'!$D$9,"")</f>
        <v/>
      </c>
      <c r="AH88" s="518" t="str">
        <f>IF(AND(_AC2="A-330-200",'2023'!$F$4="CA",'2023'!$F$2=AH81),'2023DATA'!$E$9,"")</f>
        <v/>
      </c>
      <c r="AI88" s="518" t="str">
        <f>IF(AND(_AC2="A-330-200",'2023'!$F$4="CA",'2023'!$F$2=AI81),'2023DATA'!$F$9,"")</f>
        <v/>
      </c>
      <c r="AJ88" s="518" t="str">
        <f>IF(AND(_AC2="A-330-200",'2023'!$F$4="CA",'2023'!$F$2=AJ81),'2023DATA'!$G$9,"")</f>
        <v/>
      </c>
      <c r="AK88" s="518" t="str">
        <f>IF(AND(_AC2="A-330-200",'2023'!$F$4="CA",'2023'!$F$2=AK81),'2023DATA'!$H$9,"")</f>
        <v/>
      </c>
      <c r="AL88" s="518" t="str">
        <f>IF(AND(_AC2="A-330-200",'2023'!$F$4="CA",'2023'!$F$2=AL81),'2023DATA'!$I$9,"")</f>
        <v/>
      </c>
      <c r="AM88" s="518" t="str">
        <f>IF(AND(_AC2="A-330-200",'2023'!$F$4="CA",'2023'!$F$2=AM81),'2023DATA'!$J$9,"")</f>
        <v/>
      </c>
      <c r="AN88" s="518" t="str">
        <f>IF(AND(_AC2="A-330-200",'2023'!$F$4="CA",'2023'!$F$2=AN81),'2023DATA'!$K$9,"")</f>
        <v/>
      </c>
      <c r="AO88" s="518" t="str">
        <f>IF(AND(_AC2="A-330-200",'2023'!$F$4="CA",'2023'!$F$2=AO81),'2023DATA'!$L$9,"")</f>
        <v/>
      </c>
      <c r="AP88" s="518" t="str">
        <f>IF(AND(_AC2="A-330-200",'2023'!$F$4="CA",'2023'!$F$2=AP81),'2023DATA'!$M$9,"")</f>
        <v/>
      </c>
      <c r="AQ88" s="520" t="str">
        <f>IF(AND(_AC2="A-330-200",'2023'!$F$4="CA",'2023'!$F$2=AQ81),'2023DATA'!$N$9,"")</f>
        <v/>
      </c>
      <c r="AR88" s="940" t="s">
        <v>66</v>
      </c>
      <c r="AS88" s="13" t="s">
        <v>61</v>
      </c>
      <c r="AT88" s="518" t="str">
        <f>IF(AND(_AC3="A-330-200",'2023'!$F$4="CA",'2023'!$F$2=AT81),'2023DATA'!$C$9,"")</f>
        <v/>
      </c>
      <c r="AU88" s="518" t="str">
        <f>IF(AND(_AC3="A-330-200",'2023'!$F$4="CA",'2023'!$F$2=AU81),'2023DATA'!$D$9,"")</f>
        <v/>
      </c>
      <c r="AV88" s="518" t="str">
        <f>IF(AND(_AC3="A-330-200",'2023'!$F$4="CA",'2023'!$F$2=AV81),'2023DATA'!$E$9,"")</f>
        <v/>
      </c>
      <c r="AW88" s="518" t="str">
        <f>IF(AND(_AC3="A-330-200",'2023'!$F$4="CA",'2023'!$F$2=AW81),'2023DATA'!$F$9,"")</f>
        <v/>
      </c>
      <c r="AX88" s="518" t="str">
        <f>IF(AND(_AC3="A-330-200",'2023'!$F$4="CA",'2023'!$F$2=AX81),'2023DATA'!$G$9,"")</f>
        <v/>
      </c>
      <c r="AY88" s="518" t="str">
        <f>IF(AND(_AC3="A-330-200",'2023'!$F$4="CA",'2023'!$F$2=AY81),'2023DATA'!$H$9,"")</f>
        <v/>
      </c>
      <c r="AZ88" s="518" t="str">
        <f>IF(AND(_AC3="A-330-200",'2023'!$F$4="CA",'2023'!$F$2=AZ81),'2023DATA'!$I$9,"")</f>
        <v/>
      </c>
      <c r="BA88" s="518" t="str">
        <f>IF(AND(_AC3="A-330-200",'2023'!$F$4="CA",'2023'!$F$2=BA81),'2023DATA'!$J$9,"")</f>
        <v/>
      </c>
      <c r="BB88" s="518" t="str">
        <f>IF(AND(_AC3="A-330-200",'2023'!$F$4="CA",'2023'!$F$2=BB81),'2023DATA'!$K$9,"")</f>
        <v/>
      </c>
      <c r="BC88" s="518" t="str">
        <f>IF(AND(_AC3="A-330-200",'2023'!$F$4="CA",'2023'!$F$2=BC81),'2023DATA'!$L$9,"")</f>
        <v/>
      </c>
      <c r="BD88" s="518" t="str">
        <f>IF(AND(_AC3="A-330-200",'2023'!$F$4="CA",'2023'!$F$2=BD81),'2023DATA'!$M$9,"")</f>
        <v/>
      </c>
      <c r="BE88" s="520" t="str">
        <f>IF(AND(_AC3="A-330-200",'2023'!$F$4="CA",'2023'!$F$2=BE81),'2023DATA'!$N$9,"")</f>
        <v/>
      </c>
      <c r="BF88" s="940" t="s">
        <v>66</v>
      </c>
      <c r="BG88" s="13" t="s">
        <v>61</v>
      </c>
      <c r="BH88" s="518" t="str">
        <f>IF(AND(_AC4="A-330-200",'2023'!$F$4="CA",'2023'!$F$2=BH81),'2023DATA'!$C$9,"")</f>
        <v/>
      </c>
      <c r="BI88" s="518" t="str">
        <f>IF(AND(_AC4="A-330-200",'2023'!$F$4="CA",'2023'!$F$2=BI81),'2023DATA'!$D$9,"")</f>
        <v/>
      </c>
      <c r="BJ88" s="518" t="str">
        <f>IF(AND(_AC4="A-330-200",'2023'!$F$4="CA",'2023'!$F$2=BJ81),'2023DATA'!$E$9,"")</f>
        <v/>
      </c>
      <c r="BK88" s="518" t="str">
        <f>IF(AND(_AC4="A-330-200",'2023'!$F$4="CA",'2023'!$F$2=BK81),'2023DATA'!$F$9,"")</f>
        <v/>
      </c>
      <c r="BL88" s="518" t="str">
        <f>IF(AND(_AC4="A-330-200",'2023'!$F$4="CA",'2023'!$F$2=BL81),'2023DATA'!$G$9,"")</f>
        <v/>
      </c>
      <c r="BM88" s="518" t="str">
        <f>IF(AND(_AC4="A-330-200",'2023'!$F$4="CA",'2023'!$F$2=BM81),'2023DATA'!$H$9,"")</f>
        <v/>
      </c>
      <c r="BN88" s="518" t="str">
        <f>IF(AND(_AC4="A-330-200",'2023'!$F$4="CA",'2023'!$F$2=BN81),'2023DATA'!$I$9,"")</f>
        <v/>
      </c>
      <c r="BO88" s="518" t="str">
        <f>IF(AND(_AC4="A-330-200",'2023'!$F$4="CA",'2023'!$F$2=BO81),'2023DATA'!$J$9,"")</f>
        <v/>
      </c>
      <c r="BP88" s="518" t="str">
        <f>IF(AND(_AC4="A-330-200",'2023'!$F$4="CA",'2023'!$F$2=BP81),'2023DATA'!$K$9,"")</f>
        <v/>
      </c>
      <c r="BQ88" s="518" t="str">
        <f>IF(AND(_AC4="A-330-200",'2023'!$F$4="CA",'2023'!$F$2=BQ81),'2023DATA'!$L$9,"")</f>
        <v/>
      </c>
      <c r="BR88" s="518" t="str">
        <f>IF(AND(_AC4="A-330-200",'2023'!$F$4="CA",'2023'!$F$2=BR81),'2023DATA'!$M$9,"")</f>
        <v/>
      </c>
      <c r="BS88" s="520" t="str">
        <f>IF(AND(_AC4="A-330-200",'2023'!$F$4="CA",'2023'!$F$2=BS81),'2023DATA'!$N$9,"")</f>
        <v/>
      </c>
      <c r="BT88" s="940" t="s">
        <v>66</v>
      </c>
      <c r="BU88" s="13" t="s">
        <v>61</v>
      </c>
      <c r="BV88" s="518" t="str">
        <f>IF(AND(_AC5="A-330-200",'2023'!$F$4="CA",'2023'!$F$2=BV81),'2023DATA'!$C$9,"")</f>
        <v/>
      </c>
      <c r="BW88" s="518" t="str">
        <f>IF(AND(_AC5="A-330-200",'2023'!$F$4="CA",'2023'!$F$2=BW81),'2023DATA'!$D$9,"")</f>
        <v/>
      </c>
      <c r="BX88" s="518" t="str">
        <f>IF(AND(_AC5="A-330-200",'2023'!$F$4="CA",'2023'!$F$2=BX81),'2023DATA'!$E$9,"")</f>
        <v/>
      </c>
      <c r="BY88" s="518" t="str">
        <f>IF(AND(_AC5="A-330-200",'2023'!$F$4="CA",'2023'!$F$2=BY81),'2023DATA'!$F$9,"")</f>
        <v/>
      </c>
      <c r="BZ88" s="518" t="str">
        <f>IF(AND(_AC5="A-330-200",'2023'!$F$4="CA",'2023'!$F$2=BZ81),'2023DATA'!$G$9,"")</f>
        <v/>
      </c>
      <c r="CA88" s="518" t="str">
        <f>IF(AND(_AC5="A-330-200",'2023'!$F$4="CA",'2023'!$F$2=CA81),'2023DATA'!$H$9,"")</f>
        <v/>
      </c>
      <c r="CB88" s="518" t="str">
        <f>IF(AND(_AC5="A-330-200",'2023'!$F$4="CA",'2023'!$F$2=CB81),'2023DATA'!$I$9,"")</f>
        <v/>
      </c>
      <c r="CC88" s="518" t="str">
        <f>IF(AND(_AC5="A-330-200",'2023'!$F$4="CA",'2023'!$F$2=CC81),'2023DATA'!$J$9,"")</f>
        <v/>
      </c>
      <c r="CD88" s="518" t="str">
        <f>IF(AND(_AC5="A-330-200",'2023'!$F$4="CA",'2023'!$F$2=CD81),'2023DATA'!$K$9,"")</f>
        <v/>
      </c>
      <c r="CE88" s="518" t="str">
        <f>IF(AND(_AC5="A-330-200",'2023'!$F$4="CA",'2023'!$F$2=CE81),'2023DATA'!$L$9,"")</f>
        <v/>
      </c>
      <c r="CF88" s="518" t="str">
        <f>IF(AND(_AC5="A-330-200",'2023'!$F$4="CA",'2023'!$F$2=CF81),'2023DATA'!$M$9,"")</f>
        <v/>
      </c>
      <c r="CG88" s="520" t="str">
        <f>IF(AND(_AC5="A-330-200",'2023'!$F$4="CA",'2023'!$F$2=CG81),'2023DATA'!$N$9,"")</f>
        <v/>
      </c>
      <c r="CH88" s="940" t="s">
        <v>66</v>
      </c>
      <c r="CI88" s="13" t="s">
        <v>61</v>
      </c>
      <c r="CJ88" s="518" t="str">
        <f>IF(AND(_AC6="A-330-200",'2023'!$F$4="CA",'2023'!$F$2=CJ81),'2023DATA'!$C$9,"")</f>
        <v/>
      </c>
      <c r="CK88" s="518" t="str">
        <f>IF(AND(_AC6="A-330-200",'2023'!$F$4="CA",'2023'!$F$2=CK81),'2023DATA'!$D$9,"")</f>
        <v/>
      </c>
      <c r="CL88" s="518" t="str">
        <f>IF(AND(_AC6="A-330-200",'2023'!$F$4="CA",'2023'!$F$2=CL81),'2023DATA'!$E$9,"")</f>
        <v/>
      </c>
      <c r="CM88" s="518" t="str">
        <f>IF(AND(_AC6="A-330-200",'2023'!$F$4="CA",'2023'!$F$2=CM81),'2023DATA'!$F$9,"")</f>
        <v/>
      </c>
      <c r="CN88" s="518" t="str">
        <f>IF(AND(_AC6="A-330-200",'2023'!$F$4="CA",'2023'!$F$2=CN81),'2023DATA'!$G$9,"")</f>
        <v/>
      </c>
      <c r="CO88" s="518" t="str">
        <f>IF(AND(_AC6="A-330-200",'2023'!$F$4="CA",'2023'!$F$2=CO81),'2023DATA'!$H$9,"")</f>
        <v/>
      </c>
      <c r="CP88" s="518" t="str">
        <f>IF(AND(_AC6="A-330-200",'2023'!$F$4="CA",'2023'!$F$2=CP81),'2023DATA'!$I$9,"")</f>
        <v/>
      </c>
      <c r="CQ88" s="518" t="str">
        <f>IF(AND(_AC6="A-330-200",'2023'!$F$4="CA",'2023'!$F$2=CQ81),'2023DATA'!$J$9,"")</f>
        <v/>
      </c>
      <c r="CR88" s="518" t="str">
        <f>IF(AND(_AC6="A-330-200",'2023'!$F$4="CA",'2023'!$F$2=CR81),'2023DATA'!$K$9,"")</f>
        <v/>
      </c>
      <c r="CS88" s="518" t="str">
        <f>IF(AND(_AC6="A-330-200",'2023'!$F$4="CA",'2023'!$F$2=CS81),'2023DATA'!$L$9,"")</f>
        <v/>
      </c>
      <c r="CT88" s="518" t="str">
        <f>IF(AND(_AC6="A-330-200",'2023'!$F$4="CA",'2023'!$F$2=CT81),'2023DATA'!$M$9,"")</f>
        <v/>
      </c>
      <c r="CU88" s="520" t="str">
        <f>IF(AND(_AC6="A-330-200",'2023'!$F$4="CA",'2023'!$F$2=CU81),'2023DATA'!$N$9,"")</f>
        <v/>
      </c>
    </row>
    <row r="89" spans="16:99" x14ac:dyDescent="0.25">
      <c r="P89" s="940"/>
      <c r="Q89" s="13" t="s">
        <v>62</v>
      </c>
      <c r="R89" s="518" t="str">
        <f>IF(AND(_AC1="A-330-200",'2023'!$F$4="FO",'2023'!$F$2=R81),'2023DATA'!$C$10,"")</f>
        <v/>
      </c>
      <c r="S89" s="518" t="str">
        <f>IF(AND(_AC1="A-330-200",'2023'!$F$4="FO",'2023'!$F$2=S81),'2023DATA'!$D$10,"")</f>
        <v/>
      </c>
      <c r="T89" s="518" t="str">
        <f>IF(AND(_AC1="A-330-200",'2023'!$F$4="FO",'2023'!$F$2=T81),'2023DATA'!$E$10,"")</f>
        <v/>
      </c>
      <c r="U89" s="518" t="str">
        <f>IF(AND(_AC1="A-330-200",'2023'!$F$4="FO",'2023'!$F$2=U81),'2023DATA'!$F$10,"")</f>
        <v/>
      </c>
      <c r="V89" s="518" t="str">
        <f>IF(AND(_AC1="A-330-200",'2023'!$F$4="FO",'2023'!$F$2=V81),'2023DATA'!$G$10,"")</f>
        <v/>
      </c>
      <c r="W89" s="518" t="str">
        <f>IF(AND(_AC1="A-330-200",'2023'!$F$4="FO",'2023'!$F$2=W81),'2023DATA'!$H$10,"")</f>
        <v/>
      </c>
      <c r="X89" s="518" t="str">
        <f>IF(AND(_AC1="A-330-200",'2023'!$F$4="FO",'2023'!$F$2=X81),'2023DATA'!$I$10,"")</f>
        <v/>
      </c>
      <c r="Y89" s="518" t="str">
        <f>IF(AND(_AC1="A-330-200",'2023'!$F$4="FO",'2023'!$F$2=Y81),'2023DATA'!$J$10,"")</f>
        <v/>
      </c>
      <c r="Z89" s="518" t="str">
        <f>IF(AND(_AC1="A-330-200",'2023'!$F$4="FO",'2023'!$F$2=Z81),'2023DATA'!$K$10,"")</f>
        <v/>
      </c>
      <c r="AA89" s="518" t="str">
        <f>IF(AND(_AC1="A-330-200",'2023'!$F$4="FO",'2023'!$F$2=AA81),'2023DATA'!$L$10,"")</f>
        <v/>
      </c>
      <c r="AB89" s="518" t="str">
        <f>IF(AND(_AC1="A-330-200",'2023'!$F$4="FO",'2023'!$F$2=AB81),'2023DATA'!$M$10,"")</f>
        <v/>
      </c>
      <c r="AC89" s="520" t="str">
        <f>IF(AND(_AC1="A-330-200",'2023'!$F$4="FO",'2023'!$F$2=AC81),'2023DATA'!$N$10,"")</f>
        <v/>
      </c>
      <c r="AD89" s="940"/>
      <c r="AE89" s="13" t="s">
        <v>62</v>
      </c>
      <c r="AF89" s="518" t="str">
        <f>IF(AND(_AC2="A-330-200",'2023'!$F$4="FO",'2023'!$F$2=AF81),'2023DATA'!$C$10,"")</f>
        <v/>
      </c>
      <c r="AG89" s="518" t="str">
        <f>IF(AND(_AC2="A-330-200",'2023'!$F$4="FO",'2023'!$F$2=AG81),'2023DATA'!$D$10,"")</f>
        <v/>
      </c>
      <c r="AH89" s="518" t="str">
        <f>IF(AND(_AC2="A-330-200",'2023'!$F$4="FO",'2023'!$F$2=AH81),'2023DATA'!$E$10,"")</f>
        <v/>
      </c>
      <c r="AI89" s="518" t="str">
        <f>IF(AND(_AC2="A-330-200",'2023'!$F$4="FO",'2023'!$F$2=AI81),'2023DATA'!$F$10,"")</f>
        <v/>
      </c>
      <c r="AJ89" s="518" t="str">
        <f>IF(AND(_AC2="A-330-200",'2023'!$F$4="FO",'2023'!$F$2=AJ81),'2023DATA'!$G$10,"")</f>
        <v/>
      </c>
      <c r="AK89" s="518" t="str">
        <f>IF(AND(_AC2="A-330-200",'2023'!$F$4="FO",'2023'!$F$2=AK81),'2023DATA'!$H$10,"")</f>
        <v/>
      </c>
      <c r="AL89" s="518" t="str">
        <f>IF(AND(_AC2="A-330-200",'2023'!$F$4="FO",'2023'!$F$2=AL81),'2023DATA'!$I$10,"")</f>
        <v/>
      </c>
      <c r="AM89" s="518" t="str">
        <f>IF(AND(_AC2="A-330-200",'2023'!$F$4="FO",'2023'!$F$2=AM81),'2023DATA'!$J$10,"")</f>
        <v/>
      </c>
      <c r="AN89" s="518" t="str">
        <f>IF(AND(_AC2="A-330-200",'2023'!$F$4="FO",'2023'!$F$2=AN81),'2023DATA'!$K$10,"")</f>
        <v/>
      </c>
      <c r="AO89" s="518" t="str">
        <f>IF(AND(_AC2="A-330-200",'2023'!$F$4="FO",'2023'!$F$2=AO81),'2023DATA'!$L$10,"")</f>
        <v/>
      </c>
      <c r="AP89" s="518" t="str">
        <f>IF(AND(_AC2="A-330-200",'2023'!$F$4="FO",'2023'!$F$2=AP81),'2023DATA'!$M$10,"")</f>
        <v/>
      </c>
      <c r="AQ89" s="520" t="str">
        <f>IF(AND(_AC2="A-330-200",'2023'!$F$4="FO",'2023'!$F$2=AQ81),'2023DATA'!$N$10,"")</f>
        <v/>
      </c>
      <c r="AR89" s="940"/>
      <c r="AS89" s="13" t="s">
        <v>62</v>
      </c>
      <c r="AT89" s="518" t="str">
        <f>IF(AND(_AC3="A-330-200",'2023'!$F$4="FO",'2023'!$F$2=AT81),'2023DATA'!$C$10,"")</f>
        <v/>
      </c>
      <c r="AU89" s="518" t="str">
        <f>IF(AND(_AC3="A-330-200",'2023'!$F$4="FO",'2023'!$F$2=AU81),'2023DATA'!$D$10,"")</f>
        <v/>
      </c>
      <c r="AV89" s="518" t="str">
        <f>IF(AND(_AC3="A-330-200",'2023'!$F$4="FO",'2023'!$F$2=AV81),'2023DATA'!$E$10,"")</f>
        <v/>
      </c>
      <c r="AW89" s="518" t="str">
        <f>IF(AND(_AC3="A-330-200",'2023'!$F$4="FO",'2023'!$F$2=AW81),'2023DATA'!$F$10,"")</f>
        <v/>
      </c>
      <c r="AX89" s="518" t="str">
        <f>IF(AND(_AC3="A-330-200",'2023'!$F$4="FO",'2023'!$F$2=AX81),'2023DATA'!$G$10,"")</f>
        <v/>
      </c>
      <c r="AY89" s="518" t="str">
        <f>IF(AND(_AC3="A-330-200",'2023'!$F$4="FO",'2023'!$F$2=AY81),'2023DATA'!$H$10,"")</f>
        <v/>
      </c>
      <c r="AZ89" s="518" t="str">
        <f>IF(AND(_AC3="A-330-200",'2023'!$F$4="FO",'2023'!$F$2=AZ81),'2023DATA'!$I$10,"")</f>
        <v/>
      </c>
      <c r="BA89" s="518" t="str">
        <f>IF(AND(_AC3="A-330-200",'2023'!$F$4="FO",'2023'!$F$2=BA81),'2023DATA'!$J$10,"")</f>
        <v/>
      </c>
      <c r="BB89" s="518" t="str">
        <f>IF(AND(_AC3="A-330-200",'2023'!$F$4="FO",'2023'!$F$2=BB81),'2023DATA'!$K$10,"")</f>
        <v/>
      </c>
      <c r="BC89" s="518" t="str">
        <f>IF(AND(_AC3="A-330-200",'2023'!$F$4="FO",'2023'!$F$2=BC81),'2023DATA'!$L$10,"")</f>
        <v/>
      </c>
      <c r="BD89" s="518" t="str">
        <f>IF(AND(_AC3="A-330-200",'2023'!$F$4="FO",'2023'!$F$2=BD81),'2023DATA'!$M$10,"")</f>
        <v/>
      </c>
      <c r="BE89" s="520" t="str">
        <f>IF(AND(_AC3="A-330-200",'2023'!$F$4="FO",'2023'!$F$2=BE81),'2023DATA'!$N$10,"")</f>
        <v/>
      </c>
      <c r="BF89" s="940"/>
      <c r="BG89" s="13" t="s">
        <v>62</v>
      </c>
      <c r="BH89" s="518" t="str">
        <f>IF(AND(_AC4="A-330-200",'2023'!$F$4="FO",'2023'!$F$2=BH81),'2023DATA'!$C$10,"")</f>
        <v/>
      </c>
      <c r="BI89" s="518" t="str">
        <f>IF(AND(_AC4="A-330-200",'2023'!$F$4="FO",'2023'!$F$2=BI81),'2023DATA'!$D$10,"")</f>
        <v/>
      </c>
      <c r="BJ89" s="518" t="str">
        <f>IF(AND(_AC4="A-330-200",'2023'!$F$4="FO",'2023'!$F$2=BJ81),'2023DATA'!$E$10,"")</f>
        <v/>
      </c>
      <c r="BK89" s="518" t="str">
        <f>IF(AND(_AC4="A-330-200",'2023'!$F$4="FO",'2023'!$F$2=BK81),'2023DATA'!$F$10,"")</f>
        <v/>
      </c>
      <c r="BL89" s="518" t="str">
        <f>IF(AND(_AC4="A-330-200",'2023'!$F$4="FO",'2023'!$F$2=BL81),'2023DATA'!$G$10,"")</f>
        <v/>
      </c>
      <c r="BM89" s="518" t="str">
        <f>IF(AND(_AC4="A-330-200",'2023'!$F$4="FO",'2023'!$F$2=BM81),'2023DATA'!$H$10,"")</f>
        <v/>
      </c>
      <c r="BN89" s="518" t="str">
        <f>IF(AND(_AC4="A-330-200",'2023'!$F$4="FO",'2023'!$F$2=BN81),'2023DATA'!$I$10,"")</f>
        <v/>
      </c>
      <c r="BO89" s="518" t="str">
        <f>IF(AND(_AC4="A-330-200",'2023'!$F$4="FO",'2023'!$F$2=BO81),'2023DATA'!$J$10,"")</f>
        <v/>
      </c>
      <c r="BP89" s="518" t="str">
        <f>IF(AND(_AC4="A-330-200",'2023'!$F$4="FO",'2023'!$F$2=BP81),'2023DATA'!$K$10,"")</f>
        <v/>
      </c>
      <c r="BQ89" s="518" t="str">
        <f>IF(AND(_AC4="A-330-200",'2023'!$F$4="FO",'2023'!$F$2=BQ81),'2023DATA'!$L$10,"")</f>
        <v/>
      </c>
      <c r="BR89" s="518" t="str">
        <f>IF(AND(_AC4="A-330-200",'2023'!$F$4="FO",'2023'!$F$2=BR81),'2023DATA'!$M$10,"")</f>
        <v/>
      </c>
      <c r="BS89" s="520" t="str">
        <f>IF(AND(_AC4="A-330-200",'2023'!$F$4="FO",'2023'!$F$2=BS81),'2023DATA'!$N$10,"")</f>
        <v/>
      </c>
      <c r="BT89" s="940"/>
      <c r="BU89" s="13" t="s">
        <v>62</v>
      </c>
      <c r="BV89" s="518" t="str">
        <f>IF(AND(_AC5="A-330-200",'2023'!$F$4="FO",'2023'!$F$2=BV81),'2023DATA'!$C$10,"")</f>
        <v/>
      </c>
      <c r="BW89" s="518" t="str">
        <f>IF(AND(_AC5="A-330-200",'2023'!$F$4="FO",'2023'!$F$2=BW81),'2023DATA'!$D$10,"")</f>
        <v/>
      </c>
      <c r="BX89" s="518" t="str">
        <f>IF(AND(_AC5="A-330-200",'2023'!$F$4="FO",'2023'!$F$2=BX81),'2023DATA'!$E$10,"")</f>
        <v/>
      </c>
      <c r="BY89" s="518" t="str">
        <f>IF(AND(_AC5="A-330-200",'2023'!$F$4="FO",'2023'!$F$2=BY81),'2023DATA'!$F$10,"")</f>
        <v/>
      </c>
      <c r="BZ89" s="518" t="str">
        <f>IF(AND(_AC5="A-330-200",'2023'!$F$4="FO",'2023'!$F$2=BZ81),'2023DATA'!$G$10,"")</f>
        <v/>
      </c>
      <c r="CA89" s="518" t="str">
        <f>IF(AND(_AC5="A-330-200",'2023'!$F$4="FO",'2023'!$F$2=CA81),'2023DATA'!$H$10,"")</f>
        <v/>
      </c>
      <c r="CB89" s="518" t="str">
        <f>IF(AND(_AC5="A-330-200",'2023'!$F$4="FO",'2023'!$F$2=CB81),'2023DATA'!$I$10,"")</f>
        <v/>
      </c>
      <c r="CC89" s="518" t="str">
        <f>IF(AND(_AC5="A-330-200",'2023'!$F$4="FO",'2023'!$F$2=CC81),'2023DATA'!$J$10,"")</f>
        <v/>
      </c>
      <c r="CD89" s="518" t="str">
        <f>IF(AND(_AC5="A-330-200",'2023'!$F$4="FO",'2023'!$F$2=CD81),'2023DATA'!$K$10,"")</f>
        <v/>
      </c>
      <c r="CE89" s="518" t="str">
        <f>IF(AND(_AC5="A-330-200",'2023'!$F$4="FO",'2023'!$F$2=CE81),'2023DATA'!$L$10,"")</f>
        <v/>
      </c>
      <c r="CF89" s="518" t="str">
        <f>IF(AND(_AC5="A-330-200",'2023'!$F$4="FO",'2023'!$F$2=CF81),'2023DATA'!$M$10,"")</f>
        <v/>
      </c>
      <c r="CG89" s="520" t="str">
        <f>IF(AND(_AC5="A-330-200",'2023'!$F$4="FO",'2023'!$F$2=CG81),'2023DATA'!$N$10,"")</f>
        <v/>
      </c>
      <c r="CH89" s="940"/>
      <c r="CI89" s="13" t="s">
        <v>62</v>
      </c>
      <c r="CJ89" s="518" t="str">
        <f>IF(AND(_AC6="A-330-200",'2023'!$F$4="FO",'2023'!$F$2=CJ81),'2023DATA'!$C$10,"")</f>
        <v/>
      </c>
      <c r="CK89" s="518" t="str">
        <f>IF(AND(_AC6="A-330-200",'2023'!$F$4="FO",'2023'!$F$2=CK81),'2023DATA'!$D$10,"")</f>
        <v/>
      </c>
      <c r="CL89" s="518" t="str">
        <f>IF(AND(_AC6="A-330-200",'2023'!$F$4="FO",'2023'!$F$2=CL81),'2023DATA'!$E$10,"")</f>
        <v/>
      </c>
      <c r="CM89" s="518" t="str">
        <f>IF(AND(_AC6="A-330-200",'2023'!$F$4="FO",'2023'!$F$2=CM81),'2023DATA'!$F$10,"")</f>
        <v/>
      </c>
      <c r="CN89" s="518" t="str">
        <f>IF(AND(_AC6="A-330-200",'2023'!$F$4="FO",'2023'!$F$2=CN81),'2023DATA'!$G$10,"")</f>
        <v/>
      </c>
      <c r="CO89" s="518" t="str">
        <f>IF(AND(_AC6="A-330-200",'2023'!$F$4="FO",'2023'!$F$2=CO81),'2023DATA'!$H$10,"")</f>
        <v/>
      </c>
      <c r="CP89" s="518" t="str">
        <f>IF(AND(_AC6="A-330-200",'2023'!$F$4="FO",'2023'!$F$2=CP81),'2023DATA'!$I$10,"")</f>
        <v/>
      </c>
      <c r="CQ89" s="518" t="str">
        <f>IF(AND(_AC6="A-330-200",'2023'!$F$4="FO",'2023'!$F$2=CQ81),'2023DATA'!$J$10,"")</f>
        <v/>
      </c>
      <c r="CR89" s="518" t="str">
        <f>IF(AND(_AC6="A-330-200",'2023'!$F$4="FO",'2023'!$F$2=CR81),'2023DATA'!$K$10,"")</f>
        <v/>
      </c>
      <c r="CS89" s="518" t="str">
        <f>IF(AND(_AC6="A-330-200",'2023'!$F$4="FO",'2023'!$F$2=CS81),'2023DATA'!$L$10,"")</f>
        <v/>
      </c>
      <c r="CT89" s="518" t="str">
        <f>IF(AND(_AC6="A-330-200",'2023'!$F$4="FO",'2023'!$F$2=CT81),'2023DATA'!$M$10,"")</f>
        <v/>
      </c>
      <c r="CU89" s="520" t="str">
        <f>IF(AND(_AC6="A-330-200",'2023'!$F$4="FO",'2023'!$F$2=CU81),'2023DATA'!$N$10,"")</f>
        <v/>
      </c>
    </row>
    <row r="90" spans="16:99" x14ac:dyDescent="0.25">
      <c r="P90" s="940" t="s">
        <v>42</v>
      </c>
      <c r="Q90" s="13" t="s">
        <v>61</v>
      </c>
      <c r="R90" s="518" t="str">
        <f>IF(AND(_AC1="B-767-400ER",'2023'!$F$4="CA",'2023'!$F$2=R81),'2023DATA'!$C$11,"")</f>
        <v/>
      </c>
      <c r="S90" s="518" t="str">
        <f>IF(AND(_AC1="B-767-400ER",'2023'!$F$4="CA",'2023'!$F$2=S81),'2023DATA'!$D$11,"")</f>
        <v/>
      </c>
      <c r="T90" s="518" t="str">
        <f>IF(AND(_AC1="B-767-400ER",'2023'!$F$4="CA",'2023'!$F$2=T81),'2023DATA'!$E$11,"")</f>
        <v/>
      </c>
      <c r="U90" s="518" t="str">
        <f>IF(AND(_AC1="B-767-400ER",'2023'!$F$4="CA",'2023'!$F$2=U81),'2023DATA'!$F$11,"")</f>
        <v/>
      </c>
      <c r="V90" s="518" t="str">
        <f>IF(AND(_AC1="B-767-400ER",'2023'!$F$4="CA",'2023'!$F$2=V81),'2023DATA'!$G$11,"")</f>
        <v/>
      </c>
      <c r="W90" s="518" t="str">
        <f>IF(AND(_AC1="B-767-400ER",'2023'!$F$4="CA",'2023'!$F$2=W81),'2023DATA'!$H$11,"")</f>
        <v/>
      </c>
      <c r="X90" s="518" t="str">
        <f>IF(AND(_AC1="B-767-400ER",'2023'!$F$4="CA",'2023'!$F$2=X81),'2023DATA'!$I$11,"")</f>
        <v/>
      </c>
      <c r="Y90" s="518" t="str">
        <f>IF(AND(_AC1="B-767-400ER",'2023'!$F$4="CA",'2023'!$F$2=Y81),'2023DATA'!$J$11,"")</f>
        <v/>
      </c>
      <c r="Z90" s="518" t="str">
        <f>IF(AND(_AC1="B-767-400ER",'2023'!$F$4="CA",'2023'!$F$2=Z81),'2023DATA'!$K$11,"")</f>
        <v/>
      </c>
      <c r="AA90" s="518" t="str">
        <f>IF(AND(_AC1="B-767-400ER",'2023'!$F$4="CA",'2023'!$F$2=AA81),'2023DATA'!$L$11,"")</f>
        <v/>
      </c>
      <c r="AB90" s="518" t="str">
        <f>IF(AND(_AC1="B-767-400ER",'2023'!$F$4="CA",'2023'!$F$2=AB81),'2023DATA'!$M$11,"")</f>
        <v/>
      </c>
      <c r="AC90" s="520" t="str">
        <f>IF(AND(_AC1="B-767-400ER",'2023'!$F$4="CA",'2023'!$F$2=AC81),'2023DATA'!$N$11,"")</f>
        <v/>
      </c>
      <c r="AD90" s="940" t="s">
        <v>42</v>
      </c>
      <c r="AE90" s="13" t="s">
        <v>61</v>
      </c>
      <c r="AF90" s="518" t="str">
        <f>IF(AND(_AC2="B-767-400ER",'2023'!$F$4="CA",'2023'!$F$2=AF81),'2023DATA'!$C$11,"")</f>
        <v/>
      </c>
      <c r="AG90" s="518" t="str">
        <f>IF(AND(_AC2="B-767-400ER",'2023'!$F$4="CA",'2023'!$F$2=AG81),'2023DATA'!$D$11,"")</f>
        <v/>
      </c>
      <c r="AH90" s="518" t="str">
        <f>IF(AND(_AC2="B-767-400ER",'2023'!$F$4="CA",'2023'!$F$2=AH81),'2023DATA'!$E$11,"")</f>
        <v/>
      </c>
      <c r="AI90" s="518" t="str">
        <f>IF(AND(_AC2="B-767-400ER",'2023'!$F$4="CA",'2023'!$F$2=AI81),'2023DATA'!$F$11,"")</f>
        <v/>
      </c>
      <c r="AJ90" s="518" t="str">
        <f>IF(AND(_AC2="B-767-400ER",'2023'!$F$4="CA",'2023'!$F$2=AJ81),'2023DATA'!$G$11,"")</f>
        <v/>
      </c>
      <c r="AK90" s="518" t="str">
        <f>IF(AND(_AC2="B-767-400ER",'2023'!$F$4="CA",'2023'!$F$2=AK81),'2023DATA'!$H$11,"")</f>
        <v/>
      </c>
      <c r="AL90" s="518" t="str">
        <f>IF(AND(_AC2="B-767-400ER",'2023'!$F$4="CA",'2023'!$F$2=AL81),'2023DATA'!$I$11,"")</f>
        <v/>
      </c>
      <c r="AM90" s="518" t="str">
        <f>IF(AND(_AC2="B-767-400ER",'2023'!$F$4="CA",'2023'!$F$2=AM81),'2023DATA'!$J$11,"")</f>
        <v/>
      </c>
      <c r="AN90" s="518" t="str">
        <f>IF(AND(_AC2="B-767-400ER",'2023'!$F$4="CA",'2023'!$F$2=AN81),'2023DATA'!$K$11,"")</f>
        <v/>
      </c>
      <c r="AO90" s="518" t="str">
        <f>IF(AND(_AC2="B-767-400ER",'2023'!$F$4="CA",'2023'!$F$2=AO81),'2023DATA'!$L$11,"")</f>
        <v/>
      </c>
      <c r="AP90" s="518" t="str">
        <f>IF(AND(_AC2="B-767-400ER",'2023'!$F$4="CA",'2023'!$F$2=AP81),'2023DATA'!$M$11,"")</f>
        <v/>
      </c>
      <c r="AQ90" s="520" t="str">
        <f>IF(AND(_AC2="B-767-400ER",'2023'!$F$4="CA",'2023'!$F$2=AQ81),'2023DATA'!$N$11,"")</f>
        <v/>
      </c>
      <c r="AR90" s="940" t="s">
        <v>42</v>
      </c>
      <c r="AS90" s="13" t="s">
        <v>61</v>
      </c>
      <c r="AT90" s="518" t="str">
        <f>IF(AND(_AC3="B-767-400ER",'2023'!$F$4="CA",'2023'!$F$2=AT81),'2023DATA'!$C$11,"")</f>
        <v/>
      </c>
      <c r="AU90" s="518" t="str">
        <f>IF(AND(_AC3="B-767-400ER",'2023'!$F$4="CA",'2023'!$F$2=AU81),'2023DATA'!$D$11,"")</f>
        <v/>
      </c>
      <c r="AV90" s="518" t="str">
        <f>IF(AND(_AC3="B-767-400ER",'2023'!$F$4="CA",'2023'!$F$2=AV81),'2023DATA'!$E$11,"")</f>
        <v/>
      </c>
      <c r="AW90" s="518" t="str">
        <f>IF(AND(_AC3="B-767-400ER",'2023'!$F$4="CA",'2023'!$F$2=AW81),'2023DATA'!$F$11,"")</f>
        <v/>
      </c>
      <c r="AX90" s="518" t="str">
        <f>IF(AND(_AC3="B-767-400ER",'2023'!$F$4="CA",'2023'!$F$2=AX81),'2023DATA'!$G$11,"")</f>
        <v/>
      </c>
      <c r="AY90" s="518" t="str">
        <f>IF(AND(_AC3="B-767-400ER",'2023'!$F$4="CA",'2023'!$F$2=AY81),'2023DATA'!$H$11,"")</f>
        <v/>
      </c>
      <c r="AZ90" s="518" t="str">
        <f>IF(AND(_AC3="B-767-400ER",'2023'!$F$4="CA",'2023'!$F$2=AZ81),'2023DATA'!$I$11,"")</f>
        <v/>
      </c>
      <c r="BA90" s="518" t="str">
        <f>IF(AND(_AC3="B-767-400ER",'2023'!$F$4="CA",'2023'!$F$2=BA81),'2023DATA'!$J$11,"")</f>
        <v/>
      </c>
      <c r="BB90" s="518" t="str">
        <f>IF(AND(_AC3="B-767-400ER",'2023'!$F$4="CA",'2023'!$F$2=BB81),'2023DATA'!$K$11,"")</f>
        <v/>
      </c>
      <c r="BC90" s="518" t="str">
        <f>IF(AND(_AC3="B-767-400ER",'2023'!$F$4="CA",'2023'!$F$2=BC81),'2023DATA'!$L$11,"")</f>
        <v/>
      </c>
      <c r="BD90" s="518" t="str">
        <f>IF(AND(_AC3="B-767-400ER",'2023'!$F$4="CA",'2023'!$F$2=BD81),'2023DATA'!$M$11,"")</f>
        <v/>
      </c>
      <c r="BE90" s="520" t="str">
        <f>IF(AND(_AC3="B-767-400ER",'2023'!$F$4="CA",'2023'!$F$2=BE81),'2023DATA'!$N$11,"")</f>
        <v/>
      </c>
      <c r="BF90" s="940" t="s">
        <v>42</v>
      </c>
      <c r="BG90" s="13" t="s">
        <v>61</v>
      </c>
      <c r="BH90" s="518" t="str">
        <f>IF(AND(_AC4="B-767-400ER",'2023'!$F$4="CA",'2023'!$F$2=BH81),'2023DATA'!$C$11,"")</f>
        <v/>
      </c>
      <c r="BI90" s="518" t="str">
        <f>IF(AND(_AC4="B-767-400ER",'2023'!$F$4="CA",'2023'!$F$2=BI81),'2023DATA'!$D$11,"")</f>
        <v/>
      </c>
      <c r="BJ90" s="518" t="str">
        <f>IF(AND(_AC4="B-767-400ER",'2023'!$F$4="CA",'2023'!$F$2=BJ81),'2023DATA'!$E$11,"")</f>
        <v/>
      </c>
      <c r="BK90" s="518" t="str">
        <f>IF(AND(_AC4="B-767-400ER",'2023'!$F$4="CA",'2023'!$F$2=BK81),'2023DATA'!$F$11,"")</f>
        <v/>
      </c>
      <c r="BL90" s="518" t="str">
        <f>IF(AND(_AC4="B-767-400ER",'2023'!$F$4="CA",'2023'!$F$2=BL81),'2023DATA'!$G$11,"")</f>
        <v/>
      </c>
      <c r="BM90" s="518" t="str">
        <f>IF(AND(_AC4="B-767-400ER",'2023'!$F$4="CA",'2023'!$F$2=BM81),'2023DATA'!$H$11,"")</f>
        <v/>
      </c>
      <c r="BN90" s="518" t="str">
        <f>IF(AND(_AC4="B-767-400ER",'2023'!$F$4="CA",'2023'!$F$2=BN81),'2023DATA'!$I$11,"")</f>
        <v/>
      </c>
      <c r="BO90" s="518" t="str">
        <f>IF(AND(_AC4="B-767-400ER",'2023'!$F$4="CA",'2023'!$F$2=BO81),'2023DATA'!$J$11,"")</f>
        <v/>
      </c>
      <c r="BP90" s="518" t="str">
        <f>IF(AND(_AC4="B-767-400ER",'2023'!$F$4="CA",'2023'!$F$2=BP81),'2023DATA'!$K$11,"")</f>
        <v/>
      </c>
      <c r="BQ90" s="518" t="str">
        <f>IF(AND(_AC4="B-767-400ER",'2023'!$F$4="CA",'2023'!$F$2=BQ81),'2023DATA'!$L$11,"")</f>
        <v/>
      </c>
      <c r="BR90" s="518" t="str">
        <f>IF(AND(_AC4="B-767-400ER",'2023'!$F$4="CA",'2023'!$F$2=BR81),'2023DATA'!$M$11,"")</f>
        <v/>
      </c>
      <c r="BS90" s="520" t="str">
        <f>IF(AND(_AC4="B-767-400ER",'2023'!$F$4="CA",'2023'!$F$2=BS81),'2023DATA'!$N$11,"")</f>
        <v/>
      </c>
      <c r="BT90" s="940" t="s">
        <v>42</v>
      </c>
      <c r="BU90" s="13" t="s">
        <v>61</v>
      </c>
      <c r="BV90" s="518" t="str">
        <f>IF(AND(_AC5="B-767-400ER",'2023'!$F$4="CA",'2023'!$F$2=BV81),'2023DATA'!$C$11,"")</f>
        <v/>
      </c>
      <c r="BW90" s="518" t="str">
        <f>IF(AND(_AC5="B-767-400ER",'2023'!$F$4="CA",'2023'!$F$2=BW81),'2023DATA'!$D$11,"")</f>
        <v/>
      </c>
      <c r="BX90" s="518" t="str">
        <f>IF(AND(_AC5="B-767-400ER",'2023'!$F$4="CA",'2023'!$F$2=BX81),'2023DATA'!$E$11,"")</f>
        <v/>
      </c>
      <c r="BY90" s="518" t="str">
        <f>IF(AND(_AC5="B-767-400ER",'2023'!$F$4="CA",'2023'!$F$2=BY81),'2023DATA'!$F$11,"")</f>
        <v/>
      </c>
      <c r="BZ90" s="518" t="str">
        <f>IF(AND(_AC5="B-767-400ER",'2023'!$F$4="CA",'2023'!$F$2=BZ81),'2023DATA'!$G$11,"")</f>
        <v/>
      </c>
      <c r="CA90" s="518" t="str">
        <f>IF(AND(_AC5="B-767-400ER",'2023'!$F$4="CA",'2023'!$F$2=CA81),'2023DATA'!$H$11,"")</f>
        <v/>
      </c>
      <c r="CB90" s="518" t="str">
        <f>IF(AND(_AC5="B-767-400ER",'2023'!$F$4="CA",'2023'!$F$2=CB81),'2023DATA'!$I$11,"")</f>
        <v/>
      </c>
      <c r="CC90" s="518" t="str">
        <f>IF(AND(_AC5="B-767-400ER",'2023'!$F$4="CA",'2023'!$F$2=CC81),'2023DATA'!$J$11,"")</f>
        <v/>
      </c>
      <c r="CD90" s="518" t="str">
        <f>IF(AND(_AC5="B-767-400ER",'2023'!$F$4="CA",'2023'!$F$2=CD81),'2023DATA'!$K$11,"")</f>
        <v/>
      </c>
      <c r="CE90" s="518" t="str">
        <f>IF(AND(_AC5="B-767-400ER",'2023'!$F$4="CA",'2023'!$F$2=CE81),'2023DATA'!$L$11,"")</f>
        <v/>
      </c>
      <c r="CF90" s="518" t="str">
        <f>IF(AND(_AC5="B-767-400ER",'2023'!$F$4="CA",'2023'!$F$2=CF81),'2023DATA'!$M$11,"")</f>
        <v/>
      </c>
      <c r="CG90" s="520" t="str">
        <f>IF(AND(_AC5="B-767-400ER",'2023'!$F$4="CA",'2023'!$F$2=CG81),'2023DATA'!$N$11,"")</f>
        <v/>
      </c>
      <c r="CH90" s="940" t="s">
        <v>42</v>
      </c>
      <c r="CI90" s="13" t="s">
        <v>61</v>
      </c>
      <c r="CJ90" s="518" t="str">
        <f>IF(AND(_AC6="B-767-400ER",'2023'!$F$4="CA",'2023'!$F$2=CJ81),'2023DATA'!$C$11,"")</f>
        <v/>
      </c>
      <c r="CK90" s="518" t="str">
        <f>IF(AND(_AC6="B-767-400ER",'2023'!$F$4="CA",'2023'!$F$2=CK81),'2023DATA'!$D$11,"")</f>
        <v/>
      </c>
      <c r="CL90" s="518" t="str">
        <f>IF(AND(_AC6="B-767-400ER",'2023'!$F$4="CA",'2023'!$F$2=CL81),'2023DATA'!$E$11,"")</f>
        <v/>
      </c>
      <c r="CM90" s="518" t="str">
        <f>IF(AND(_AC6="B-767-400ER",'2023'!$F$4="CA",'2023'!$F$2=CM81),'2023DATA'!$F$11,"")</f>
        <v/>
      </c>
      <c r="CN90" s="518" t="str">
        <f>IF(AND(_AC6="B-767-400ER",'2023'!$F$4="CA",'2023'!$F$2=CN81),'2023DATA'!$G$11,"")</f>
        <v/>
      </c>
      <c r="CO90" s="518" t="str">
        <f>IF(AND(_AC6="B-767-400ER",'2023'!$F$4="CA",'2023'!$F$2=CO81),'2023DATA'!$H$11,"")</f>
        <v/>
      </c>
      <c r="CP90" s="518" t="str">
        <f>IF(AND(_AC6="B-767-400ER",'2023'!$F$4="CA",'2023'!$F$2=CP81),'2023DATA'!$I$11,"")</f>
        <v/>
      </c>
      <c r="CQ90" s="518" t="str">
        <f>IF(AND(_AC6="B-767-400ER",'2023'!$F$4="CA",'2023'!$F$2=CQ81),'2023DATA'!$J$11,"")</f>
        <v/>
      </c>
      <c r="CR90" s="518" t="str">
        <f>IF(AND(_AC6="B-767-400ER",'2023'!$F$4="CA",'2023'!$F$2=CR81),'2023DATA'!$K$11,"")</f>
        <v/>
      </c>
      <c r="CS90" s="518" t="str">
        <f>IF(AND(_AC6="B-767-400ER",'2023'!$F$4="CA",'2023'!$F$2=CS81),'2023DATA'!$L$11,"")</f>
        <v/>
      </c>
      <c r="CT90" s="518" t="str">
        <f>IF(AND(_AC6="B-767-400ER",'2023'!$F$4="CA",'2023'!$F$2=CT81),'2023DATA'!$M$11,"")</f>
        <v/>
      </c>
      <c r="CU90" s="520" t="str">
        <f>IF(AND(_AC6="B-767-400ER",'2023'!$F$4="CA",'2023'!$F$2=CU81),'2023DATA'!$N$11,"")</f>
        <v/>
      </c>
    </row>
    <row r="91" spans="16:99" x14ac:dyDescent="0.25">
      <c r="P91" s="940"/>
      <c r="Q91" s="13" t="s">
        <v>62</v>
      </c>
      <c r="R91" s="518" t="str">
        <f>IF(AND(_AC1="B-767-400ER",'2023'!$F$4="FO",'2023'!$F$2=R81),'2023DATA'!$C$12,"")</f>
        <v/>
      </c>
      <c r="S91" s="518" t="str">
        <f>IF(AND(_AC1="B-767-400ER",'2023'!$F$4="FO",'2023'!$F$2=S81),'2023DATA'!$D$12,"")</f>
        <v/>
      </c>
      <c r="T91" s="518" t="str">
        <f>IF(AND(_AC1="B-767-400ER",'2023'!$F$4="FO",'2023'!$F$2=T81),'2023DATA'!$E$12,"")</f>
        <v/>
      </c>
      <c r="U91" s="518" t="str">
        <f>IF(AND(_AC1="B-767-400ER",'2023'!$F$4="FO",'2023'!$F$2=U81),'2023DATA'!$F$12,"")</f>
        <v/>
      </c>
      <c r="V91" s="518" t="str">
        <f>IF(AND(_AC1="B-767-400ER",'2023'!$F$4="FO",'2023'!$F$2=V81),'2023DATA'!$G$12,"")</f>
        <v/>
      </c>
      <c r="W91" s="518" t="str">
        <f>IF(AND(_AC1="B-767-400ER",'2023'!$F$4="FO",'2023'!$F$2=W81),'2023DATA'!$H$12,"")</f>
        <v/>
      </c>
      <c r="X91" s="518" t="str">
        <f>IF(AND(_AC1="B-767-400ER",'2023'!$F$4="FO",'2023'!$F$2=X81),'2023DATA'!$I$12,"")</f>
        <v/>
      </c>
      <c r="Y91" s="518" t="str">
        <f>IF(AND(_AC1="B-767-400ER",'2023'!$F$4="FO",'2023'!$F$2=Y81),'2023DATA'!$J$12,"")</f>
        <v/>
      </c>
      <c r="Z91" s="518" t="str">
        <f>IF(AND(_AC1="B-767-400ER",'2023'!$F$4="FO",'2023'!$F$2=Z81),'2023DATA'!$K$12,"")</f>
        <v/>
      </c>
      <c r="AA91" s="518" t="str">
        <f>IF(AND(_AC1="B-767-400ER",'2023'!$F$4="FO",'2023'!$F$2=AA81),'2023DATA'!$L$12,"")</f>
        <v/>
      </c>
      <c r="AB91" s="518" t="str">
        <f>IF(AND(_AC1="B-767-400ER",'2023'!$F$4="FO",'2023'!$F$2=AB81),'2023DATA'!$M$12,"")</f>
        <v/>
      </c>
      <c r="AC91" s="520" t="str">
        <f>IF(AND(_AC1="B-767-400ER",'2023'!$F$4="FO",'2023'!$F$2=AC81),'2023DATA'!$N$12,"")</f>
        <v/>
      </c>
      <c r="AD91" s="940"/>
      <c r="AE91" s="13" t="s">
        <v>62</v>
      </c>
      <c r="AF91" s="518" t="str">
        <f>IF(AND(_AC2="B-767-400ER",'2023'!$F$4="FO",'2023'!$F$2=AF81),'2023DATA'!$C$12,"")</f>
        <v/>
      </c>
      <c r="AG91" s="518" t="str">
        <f>IF(AND(_AC2="B-767-400ER",'2023'!$F$4="FO",'2023'!$F$2=AG81),'2023DATA'!$D$12,"")</f>
        <v/>
      </c>
      <c r="AH91" s="518" t="str">
        <f>IF(AND(_AC2="B-767-400ER",'2023'!$F$4="FO",'2023'!$F$2=AH81),'2023DATA'!$E$12,"")</f>
        <v/>
      </c>
      <c r="AI91" s="518" t="str">
        <f>IF(AND(_AC2="B-767-400ER",'2023'!$F$4="FO",'2023'!$F$2=AI81),'2023DATA'!$F$12,"")</f>
        <v/>
      </c>
      <c r="AJ91" s="518" t="str">
        <f>IF(AND(_AC2="B-767-400ER",'2023'!$F$4="FO",'2023'!$F$2=AJ81),'2023DATA'!$G$12,"")</f>
        <v/>
      </c>
      <c r="AK91" s="518" t="str">
        <f>IF(AND(_AC2="B-767-400ER",'2023'!$F$4="FO",'2023'!$F$2=AK81),'2023DATA'!$H$12,"")</f>
        <v/>
      </c>
      <c r="AL91" s="518" t="str">
        <f>IF(AND(_AC2="B-767-400ER",'2023'!$F$4="FO",'2023'!$F$2=AL81),'2023DATA'!$I$12,"")</f>
        <v/>
      </c>
      <c r="AM91" s="518" t="str">
        <f>IF(AND(_AC2="B-767-400ER",'2023'!$F$4="FO",'2023'!$F$2=AM81),'2023DATA'!$J$12,"")</f>
        <v/>
      </c>
      <c r="AN91" s="518" t="str">
        <f>IF(AND(_AC2="B-767-400ER",'2023'!$F$4="FO",'2023'!$F$2=AN81),'2023DATA'!$K$12,"")</f>
        <v/>
      </c>
      <c r="AO91" s="518" t="str">
        <f>IF(AND(_AC2="B-767-400ER",'2023'!$F$4="FO",'2023'!$F$2=AO81),'2023DATA'!$L$12,"")</f>
        <v/>
      </c>
      <c r="AP91" s="518" t="str">
        <f>IF(AND(_AC2="B-767-400ER",'2023'!$F$4="FO",'2023'!$F$2=AP81),'2023DATA'!$M$12,"")</f>
        <v/>
      </c>
      <c r="AQ91" s="520" t="str">
        <f>IF(AND(_AC2="B-767-400ER",'2023'!$F$4="FO",'2023'!$F$2=AQ81),'2023DATA'!$N$12,"")</f>
        <v/>
      </c>
      <c r="AR91" s="940"/>
      <c r="AS91" s="13" t="s">
        <v>62</v>
      </c>
      <c r="AT91" s="518" t="str">
        <f>IF(AND(_AC3="B-767-400ER",'2023'!$F$4="FO",'2023'!$F$2=AT81),'2023DATA'!$C$12,"")</f>
        <v/>
      </c>
      <c r="AU91" s="518" t="str">
        <f>IF(AND(_AC3="B-767-400ER",'2023'!$F$4="FO",'2023'!$F$2=AU81),'2023DATA'!$D$12,"")</f>
        <v/>
      </c>
      <c r="AV91" s="518" t="str">
        <f>IF(AND(_AC3="B-767-400ER",'2023'!$F$4="FO",'2023'!$F$2=AV81),'2023DATA'!$E$12,"")</f>
        <v/>
      </c>
      <c r="AW91" s="518" t="str">
        <f>IF(AND(_AC3="B-767-400ER",'2023'!$F$4="FO",'2023'!$F$2=AW81),'2023DATA'!$F$12,"")</f>
        <v/>
      </c>
      <c r="AX91" s="518" t="str">
        <f>IF(AND(_AC3="B-767-400ER",'2023'!$F$4="FO",'2023'!$F$2=AX81),'2023DATA'!$G$12,"")</f>
        <v/>
      </c>
      <c r="AY91" s="518" t="str">
        <f>IF(AND(_AC3="B-767-400ER",'2023'!$F$4="FO",'2023'!$F$2=AY81),'2023DATA'!$H$12,"")</f>
        <v/>
      </c>
      <c r="AZ91" s="518" t="str">
        <f>IF(AND(_AC3="B-767-400ER",'2023'!$F$4="FO",'2023'!$F$2=AZ81),'2023DATA'!$I$12,"")</f>
        <v/>
      </c>
      <c r="BA91" s="518" t="str">
        <f>IF(AND(_AC3="B-767-400ER",'2023'!$F$4="FO",'2023'!$F$2=BA81),'2023DATA'!$J$12,"")</f>
        <v/>
      </c>
      <c r="BB91" s="518" t="str">
        <f>IF(AND(_AC3="B-767-400ER",'2023'!$F$4="FO",'2023'!$F$2=BB81),'2023DATA'!$K$12,"")</f>
        <v/>
      </c>
      <c r="BC91" s="518" t="str">
        <f>IF(AND(_AC3="B-767-400ER",'2023'!$F$4="FO",'2023'!$F$2=BC81),'2023DATA'!$L$12,"")</f>
        <v/>
      </c>
      <c r="BD91" s="518" t="str">
        <f>IF(AND(_AC3="B-767-400ER",'2023'!$F$4="FO",'2023'!$F$2=BD81),'2023DATA'!$M$12,"")</f>
        <v/>
      </c>
      <c r="BE91" s="520" t="str">
        <f>IF(AND(_AC3="B-767-400ER",'2023'!$F$4="FO",'2023'!$F$2=BE81),'2023DATA'!$N$12,"")</f>
        <v/>
      </c>
      <c r="BF91" s="940"/>
      <c r="BG91" s="13" t="s">
        <v>62</v>
      </c>
      <c r="BH91" s="518" t="str">
        <f>IF(AND(_AC4="B-767-400ER",'2023'!$F$4="FO",'2023'!$F$2=BH81),'2023DATA'!$C$12,"")</f>
        <v/>
      </c>
      <c r="BI91" s="518" t="str">
        <f>IF(AND(_AC4="B-767-400ER",'2023'!$F$4="FO",'2023'!$F$2=BI81),'2023DATA'!$D$12,"")</f>
        <v/>
      </c>
      <c r="BJ91" s="518" t="str">
        <f>IF(AND(_AC4="B-767-400ER",'2023'!$F$4="FO",'2023'!$F$2=BJ81),'2023DATA'!$E$12,"")</f>
        <v/>
      </c>
      <c r="BK91" s="518" t="str">
        <f>IF(AND(_AC4="B-767-400ER",'2023'!$F$4="FO",'2023'!$F$2=BK81),'2023DATA'!$F$12,"")</f>
        <v/>
      </c>
      <c r="BL91" s="518" t="str">
        <f>IF(AND(_AC4="B-767-400ER",'2023'!$F$4="FO",'2023'!$F$2=BL81),'2023DATA'!$G$12,"")</f>
        <v/>
      </c>
      <c r="BM91" s="518" t="str">
        <f>IF(AND(_AC4="B-767-400ER",'2023'!$F$4="FO",'2023'!$F$2=BM81),'2023DATA'!$H$12,"")</f>
        <v/>
      </c>
      <c r="BN91" s="518" t="str">
        <f>IF(AND(_AC4="B-767-400ER",'2023'!$F$4="FO",'2023'!$F$2=BN81),'2023DATA'!$I$12,"")</f>
        <v/>
      </c>
      <c r="BO91" s="518" t="str">
        <f>IF(AND(_AC4="B-767-400ER",'2023'!$F$4="FO",'2023'!$F$2=BO81),'2023DATA'!$J$12,"")</f>
        <v/>
      </c>
      <c r="BP91" s="518" t="str">
        <f>IF(AND(_AC4="B-767-400ER",'2023'!$F$4="FO",'2023'!$F$2=BP81),'2023DATA'!$K$12,"")</f>
        <v/>
      </c>
      <c r="BQ91" s="518" t="str">
        <f>IF(AND(_AC4="B-767-400ER",'2023'!$F$4="FO",'2023'!$F$2=BQ81),'2023DATA'!$L$12,"")</f>
        <v/>
      </c>
      <c r="BR91" s="518" t="str">
        <f>IF(AND(_AC4="B-767-400ER",'2023'!$F$4="FO",'2023'!$F$2=BR81),'2023DATA'!$M$12,"")</f>
        <v/>
      </c>
      <c r="BS91" s="520" t="str">
        <f>IF(AND(_AC4="B-767-400ER",'2023'!$F$4="FO",'2023'!$F$2=BS81),'2023DATA'!$N$12,"")</f>
        <v/>
      </c>
      <c r="BT91" s="940"/>
      <c r="BU91" s="13" t="s">
        <v>62</v>
      </c>
      <c r="BV91" s="518" t="str">
        <f>IF(AND(_AC5="B-767-400ER",'2023'!$F$4="FO",'2023'!$F$2=BV81),'2023DATA'!$C$12,"")</f>
        <v/>
      </c>
      <c r="BW91" s="518" t="str">
        <f>IF(AND(_AC5="B-767-400ER",'2023'!$F$4="FO",'2023'!$F$2=BW81),'2023DATA'!$D$12,"")</f>
        <v/>
      </c>
      <c r="BX91" s="518" t="str">
        <f>IF(AND(_AC5="B-767-400ER",'2023'!$F$4="FO",'2023'!$F$2=BX81),'2023DATA'!$E$12,"")</f>
        <v/>
      </c>
      <c r="BY91" s="518" t="str">
        <f>IF(AND(_AC5="B-767-400ER",'2023'!$F$4="FO",'2023'!$F$2=BY81),'2023DATA'!$F$12,"")</f>
        <v/>
      </c>
      <c r="BZ91" s="518" t="str">
        <f>IF(AND(_AC5="B-767-400ER",'2023'!$F$4="FO",'2023'!$F$2=BZ81),'2023DATA'!$G$12,"")</f>
        <v/>
      </c>
      <c r="CA91" s="518" t="str">
        <f>IF(AND(_AC5="B-767-400ER",'2023'!$F$4="FO",'2023'!$F$2=CA81),'2023DATA'!$H$12,"")</f>
        <v/>
      </c>
      <c r="CB91" s="518" t="str">
        <f>IF(AND(_AC5="B-767-400ER",'2023'!$F$4="FO",'2023'!$F$2=CB81),'2023DATA'!$I$12,"")</f>
        <v/>
      </c>
      <c r="CC91" s="518" t="str">
        <f>IF(AND(_AC5="B-767-400ER",'2023'!$F$4="FO",'2023'!$F$2=CC81),'2023DATA'!$J$12,"")</f>
        <v/>
      </c>
      <c r="CD91" s="518" t="str">
        <f>IF(AND(_AC5="B-767-400ER",'2023'!$F$4="FO",'2023'!$F$2=CD81),'2023DATA'!$K$12,"")</f>
        <v/>
      </c>
      <c r="CE91" s="518" t="str">
        <f>IF(AND(_AC5="B-767-400ER",'2023'!$F$4="FO",'2023'!$F$2=CE81),'2023DATA'!$L$12,"")</f>
        <v/>
      </c>
      <c r="CF91" s="518" t="str">
        <f>IF(AND(_AC5="B-767-400ER",'2023'!$F$4="FO",'2023'!$F$2=CF81),'2023DATA'!$M$12,"")</f>
        <v/>
      </c>
      <c r="CG91" s="520" t="str">
        <f>IF(AND(_AC5="B-767-400ER",'2023'!$F$4="FO",'2023'!$F$2=CG81),'2023DATA'!$N$12,"")</f>
        <v/>
      </c>
      <c r="CH91" s="940"/>
      <c r="CI91" s="13" t="s">
        <v>62</v>
      </c>
      <c r="CJ91" s="518" t="str">
        <f>IF(AND(_AC6="B-767-400ER",'2023'!$F$4="FO",'2023'!$F$2=CJ81),'2023DATA'!$C$12,"")</f>
        <v/>
      </c>
      <c r="CK91" s="518" t="str">
        <f>IF(AND(_AC6="B-767-400ER",'2023'!$F$4="FO",'2023'!$F$2=CK81),'2023DATA'!$D$12,"")</f>
        <v/>
      </c>
      <c r="CL91" s="518" t="str">
        <f>IF(AND(_AC6="B-767-400ER",'2023'!$F$4="FO",'2023'!$F$2=CL81),'2023DATA'!$E$12,"")</f>
        <v/>
      </c>
      <c r="CM91" s="518" t="str">
        <f>IF(AND(_AC6="B-767-400ER",'2023'!$F$4="FO",'2023'!$F$2=CM81),'2023DATA'!$F$12,"")</f>
        <v/>
      </c>
      <c r="CN91" s="518" t="str">
        <f>IF(AND(_AC6="B-767-400ER",'2023'!$F$4="FO",'2023'!$F$2=CN81),'2023DATA'!$G$12,"")</f>
        <v/>
      </c>
      <c r="CO91" s="518" t="str">
        <f>IF(AND(_AC6="B-767-400ER",'2023'!$F$4="FO",'2023'!$F$2=CO81),'2023DATA'!$H$12,"")</f>
        <v/>
      </c>
      <c r="CP91" s="518" t="str">
        <f>IF(AND(_AC6="B-767-400ER",'2023'!$F$4="FO",'2023'!$F$2=CP81),'2023DATA'!$I$12,"")</f>
        <v/>
      </c>
      <c r="CQ91" s="518" t="str">
        <f>IF(AND(_AC6="B-767-400ER",'2023'!$F$4="FO",'2023'!$F$2=CQ81),'2023DATA'!$J$12,"")</f>
        <v/>
      </c>
      <c r="CR91" s="518" t="str">
        <f>IF(AND(_AC6="B-767-400ER",'2023'!$F$4="FO",'2023'!$F$2=CR81),'2023DATA'!$K$12,"")</f>
        <v/>
      </c>
      <c r="CS91" s="518" t="str">
        <f>IF(AND(_AC6="B-767-400ER",'2023'!$F$4="FO",'2023'!$F$2=CS81),'2023DATA'!$L$12,"")</f>
        <v/>
      </c>
      <c r="CT91" s="518" t="str">
        <f>IF(AND(_AC6="B-767-400ER",'2023'!$F$4="FO",'2023'!$F$2=CT81),'2023DATA'!$M$12,"")</f>
        <v/>
      </c>
      <c r="CU91" s="520" t="str">
        <f>IF(AND(_AC6="B-767-400ER",'2023'!$F$4="FO",'2023'!$F$2=CU81),'2023DATA'!$N$12,"")</f>
        <v/>
      </c>
    </row>
    <row r="92" spans="16:99" x14ac:dyDescent="0.25">
      <c r="P92" s="940" t="s">
        <v>43</v>
      </c>
      <c r="Q92" s="13" t="s">
        <v>61</v>
      </c>
      <c r="R92" s="518" t="str">
        <f>IF(AND(_AC1="B-767-300ER",'2023'!$F$4="CA",'2023'!$F$2=R81),'2023DATA'!$C$13,"")</f>
        <v/>
      </c>
      <c r="S92" s="518" t="str">
        <f>IF(AND(_AC1="B-767-300ER",'2023'!$F$4="CA",'2023'!$F$2=S81),'2023DATA'!$D$13,"")</f>
        <v/>
      </c>
      <c r="T92" s="518" t="str">
        <f>IF(AND(_AC1="B-767-300ER",'2023'!$F$4="CA",'2023'!$F$2=T81),'2023DATA'!$E$13,"")</f>
        <v/>
      </c>
      <c r="U92" s="518" t="str">
        <f>IF(AND(_AC1="B-767-300ER",'2023'!$F$4="CA",'2023'!$F$2=U81),'2023DATA'!$F$13,"")</f>
        <v/>
      </c>
      <c r="V92" s="518" t="str">
        <f>IF(AND(_AC1="B-767-300ER",'2023'!$F$4="CA",'2023'!$F$2=V81),'2023DATA'!$G$13,"")</f>
        <v/>
      </c>
      <c r="W92" s="518" t="str">
        <f>IF(AND(_AC1="B-767-300ER",'2023'!$F$4="CA",'2023'!$F$2=W81),'2023DATA'!$H$13,"")</f>
        <v/>
      </c>
      <c r="X92" s="518" t="str">
        <f>IF(AND(_AC1="B-767-300ER",'2023'!$F$4="CA",'2023'!$F$2=X81),'2023DATA'!$I$13,"")</f>
        <v/>
      </c>
      <c r="Y92" s="518" t="str">
        <f>IF(AND(_AC1="B-767-300ER",'2023'!$F$4="CA",'2023'!$F$2=Y81),'2023DATA'!$J$13,"")</f>
        <v/>
      </c>
      <c r="Z92" s="518" t="str">
        <f>IF(AND(_AC1="B-767-300ER",'2023'!$F$4="CA",'2023'!$F$2=Z81),'2023DATA'!$K$13,"")</f>
        <v/>
      </c>
      <c r="AA92" s="518" t="str">
        <f>IF(AND(_AC1="B-767-300ER",'2023'!$F$4="CA",'2023'!$F$2=AA81),'2023DATA'!$L$13,"")</f>
        <v/>
      </c>
      <c r="AB92" s="518" t="str">
        <f>IF(AND(_AC1="B-767-300ER",'2023'!$F$4="CA",'2023'!$F$2=AB81),'2023DATA'!$M$13,"")</f>
        <v/>
      </c>
      <c r="AC92" s="520" t="str">
        <f>IF(AND(_AC1="B-767-300ER",'2023'!$F$4="CA",'2023'!$F$2=AC81),'2023DATA'!$N$13,"")</f>
        <v/>
      </c>
      <c r="AD92" s="940" t="s">
        <v>43</v>
      </c>
      <c r="AE92" s="13" t="s">
        <v>61</v>
      </c>
      <c r="AF92" s="518" t="str">
        <f>IF(AND(_AC2="B-767-300ER",'2023'!$F$4="CA",'2023'!$F$2=AF81),'2023DATA'!$C$13,"")</f>
        <v/>
      </c>
      <c r="AG92" s="518" t="str">
        <f>IF(AND(_AC2="B-767-300ER",'2023'!$F$4="CA",'2023'!$F$2=AG81),'2023DATA'!$D$13,"")</f>
        <v/>
      </c>
      <c r="AH92" s="518" t="str">
        <f>IF(AND(_AC2="B-767-300ER",'2023'!$F$4="CA",'2023'!$F$2=AH81),'2023DATA'!$E$13,"")</f>
        <v/>
      </c>
      <c r="AI92" s="518" t="str">
        <f>IF(AND(_AC2="B-767-300ER",'2023'!$F$4="CA",'2023'!$F$2=AI81),'2023DATA'!$F$13,"")</f>
        <v/>
      </c>
      <c r="AJ92" s="518" t="str">
        <f>IF(AND(_AC2="B-767-300ER",'2023'!$F$4="CA",'2023'!$F$2=AJ81),'2023DATA'!$G$13,"")</f>
        <v/>
      </c>
      <c r="AK92" s="518" t="str">
        <f>IF(AND(_AC2="B-767-300ER",'2023'!$F$4="CA",'2023'!$F$2=AK81),'2023DATA'!$H$13,"")</f>
        <v/>
      </c>
      <c r="AL92" s="518" t="str">
        <f>IF(AND(_AC2="B-767-300ER",'2023'!$F$4="CA",'2023'!$F$2=AL81),'2023DATA'!$I$13,"")</f>
        <v/>
      </c>
      <c r="AM92" s="518" t="str">
        <f>IF(AND(_AC2="B-767-300ER",'2023'!$F$4="CA",'2023'!$F$2=AM81),'2023DATA'!$J$13,"")</f>
        <v/>
      </c>
      <c r="AN92" s="518" t="str">
        <f>IF(AND(_AC2="B-767-300ER",'2023'!$F$4="CA",'2023'!$F$2=AN81),'2023DATA'!$K$13,"")</f>
        <v/>
      </c>
      <c r="AO92" s="518" t="str">
        <f>IF(AND(_AC2="B-767-300ER",'2023'!$F$4="CA",'2023'!$F$2=AO81),'2023DATA'!$L$13,"")</f>
        <v/>
      </c>
      <c r="AP92" s="518" t="str">
        <f>IF(AND(_AC2="B-767-300ER",'2023'!$F$4="CA",'2023'!$F$2=AP81),'2023DATA'!$M$13,"")</f>
        <v/>
      </c>
      <c r="AQ92" s="520" t="str">
        <f>IF(AND(_AC2="B-767-300ER",'2023'!$F$4="CA",'2023'!$F$2=AQ81),'2023DATA'!$N$13,"")</f>
        <v/>
      </c>
      <c r="AR92" s="940" t="s">
        <v>43</v>
      </c>
      <c r="AS92" s="13" t="s">
        <v>61</v>
      </c>
      <c r="AT92" s="518" t="str">
        <f>IF(AND(_AC3="B-767-300ER",'2023'!$F$4="CA",'2023'!$F$2=AT81),'2023DATA'!$C$13,"")</f>
        <v/>
      </c>
      <c r="AU92" s="518" t="str">
        <f>IF(AND(_AC3="B-767-300ER",'2023'!$F$4="CA",'2023'!$F$2=AU81),'2023DATA'!$D$13,"")</f>
        <v/>
      </c>
      <c r="AV92" s="518" t="str">
        <f>IF(AND(_AC3="B-767-300ER",'2023'!$F$4="CA",'2023'!$F$2=AV81),'2023DATA'!$E$13,"")</f>
        <v/>
      </c>
      <c r="AW92" s="518" t="str">
        <f>IF(AND(_AC3="B-767-300ER",'2023'!$F$4="CA",'2023'!$F$2=AW81),'2023DATA'!$F$13,"")</f>
        <v/>
      </c>
      <c r="AX92" s="518" t="str">
        <f>IF(AND(_AC3="B-767-300ER",'2023'!$F$4="CA",'2023'!$F$2=AX81),'2023DATA'!$G$13,"")</f>
        <v/>
      </c>
      <c r="AY92" s="518" t="str">
        <f>IF(AND(_AC3="B-767-300ER",'2023'!$F$4="CA",'2023'!$F$2=AY81),'2023DATA'!$H$13,"")</f>
        <v/>
      </c>
      <c r="AZ92" s="518" t="str">
        <f>IF(AND(_AC3="B-767-300ER",'2023'!$F$4="CA",'2023'!$F$2=AZ81),'2023DATA'!$I$13,"")</f>
        <v/>
      </c>
      <c r="BA92" s="518" t="str">
        <f>IF(AND(_AC3="B-767-300ER",'2023'!$F$4="CA",'2023'!$F$2=BA81),'2023DATA'!$J$13,"")</f>
        <v/>
      </c>
      <c r="BB92" s="518" t="str">
        <f>IF(AND(_AC3="B-767-300ER",'2023'!$F$4="CA",'2023'!$F$2=BB81),'2023DATA'!$K$13,"")</f>
        <v/>
      </c>
      <c r="BC92" s="518" t="str">
        <f>IF(AND(_AC3="B-767-300ER",'2023'!$F$4="CA",'2023'!$F$2=BC81),'2023DATA'!$L$13,"")</f>
        <v/>
      </c>
      <c r="BD92" s="518" t="str">
        <f>IF(AND(_AC3="B-767-300ER",'2023'!$F$4="CA",'2023'!$F$2=BD81),'2023DATA'!$M$13,"")</f>
        <v/>
      </c>
      <c r="BE92" s="520" t="str">
        <f>IF(AND(_AC3="B-767-300ER",'2023'!$F$4="CA",'2023'!$F$2=BE81),'2023DATA'!$N$13,"")</f>
        <v/>
      </c>
      <c r="BF92" s="940" t="s">
        <v>43</v>
      </c>
      <c r="BG92" s="13" t="s">
        <v>61</v>
      </c>
      <c r="BH92" s="518" t="str">
        <f>IF(AND(_AC4="B-767-300ER",'2023'!$F$4="CA",'2023'!$F$2=BH81),'2023DATA'!$C$13,"")</f>
        <v/>
      </c>
      <c r="BI92" s="518" t="str">
        <f>IF(AND(_AC4="B-767-300ER",'2023'!$F$4="CA",'2023'!$F$2=BI81),'2023DATA'!$D$13,"")</f>
        <v/>
      </c>
      <c r="BJ92" s="518" t="str">
        <f>IF(AND(_AC4="B-767-300ER",'2023'!$F$4="CA",'2023'!$F$2=BJ81),'2023DATA'!$E$13,"")</f>
        <v/>
      </c>
      <c r="BK92" s="518" t="str">
        <f>IF(AND(_AC4="B-767-300ER",'2023'!$F$4="CA",'2023'!$F$2=BK81),'2023DATA'!$F$13,"")</f>
        <v/>
      </c>
      <c r="BL92" s="518" t="str">
        <f>IF(AND(_AC4="B-767-300ER",'2023'!$F$4="CA",'2023'!$F$2=BL81),'2023DATA'!$G$13,"")</f>
        <v/>
      </c>
      <c r="BM92" s="518" t="str">
        <f>IF(AND(_AC4="B-767-300ER",'2023'!$F$4="CA",'2023'!$F$2=BM81),'2023DATA'!$H$13,"")</f>
        <v/>
      </c>
      <c r="BN92" s="518" t="str">
        <f>IF(AND(_AC4="B-767-300ER",'2023'!$F$4="CA",'2023'!$F$2=BN81),'2023DATA'!$I$13,"")</f>
        <v/>
      </c>
      <c r="BO92" s="518" t="str">
        <f>IF(AND(_AC4="B-767-300ER",'2023'!$F$4="CA",'2023'!$F$2=BO81),'2023DATA'!$J$13,"")</f>
        <v/>
      </c>
      <c r="BP92" s="518" t="str">
        <f>IF(AND(_AC4="B-767-300ER",'2023'!$F$4="CA",'2023'!$F$2=BP81),'2023DATA'!$K$13,"")</f>
        <v/>
      </c>
      <c r="BQ92" s="518" t="str">
        <f>IF(AND(_AC4="B-767-300ER",'2023'!$F$4="CA",'2023'!$F$2=BQ81),'2023DATA'!$L$13,"")</f>
        <v/>
      </c>
      <c r="BR92" s="518" t="str">
        <f>IF(AND(_AC4="B-767-300ER",'2023'!$F$4="CA",'2023'!$F$2=BR81),'2023DATA'!$M$13,"")</f>
        <v/>
      </c>
      <c r="BS92" s="520" t="str">
        <f>IF(AND(_AC4="B-767-300ER",'2023'!$F$4="CA",'2023'!$F$2=BS81),'2023DATA'!$N$13,"")</f>
        <v/>
      </c>
      <c r="BT92" s="940" t="s">
        <v>43</v>
      </c>
      <c r="BU92" s="13" t="s">
        <v>61</v>
      </c>
      <c r="BV92" s="518" t="str">
        <f>IF(AND(_AC5="B-767-300ER",'2023'!$F$4="CA",'2023'!$F$2=BV81),'2023DATA'!$C$13,"")</f>
        <v/>
      </c>
      <c r="BW92" s="518" t="str">
        <f>IF(AND(_AC5="B-767-300ER",'2023'!$F$4="CA",'2023'!$F$2=BW81),'2023DATA'!$D$13,"")</f>
        <v/>
      </c>
      <c r="BX92" s="518" t="str">
        <f>IF(AND(_AC5="B-767-300ER",'2023'!$F$4="CA",'2023'!$F$2=BX81),'2023DATA'!$E$13,"")</f>
        <v/>
      </c>
      <c r="BY92" s="518" t="str">
        <f>IF(AND(_AC5="B-767-300ER",'2023'!$F$4="CA",'2023'!$F$2=BY81),'2023DATA'!$F$13,"")</f>
        <v/>
      </c>
      <c r="BZ92" s="518" t="str">
        <f>IF(AND(_AC5="B-767-300ER",'2023'!$F$4="CA",'2023'!$F$2=BZ81),'2023DATA'!$G$13,"")</f>
        <v/>
      </c>
      <c r="CA92" s="518" t="str">
        <f>IF(AND(_AC5="B-767-300ER",'2023'!$F$4="CA",'2023'!$F$2=CA81),'2023DATA'!$H$13,"")</f>
        <v/>
      </c>
      <c r="CB92" s="518" t="str">
        <f>IF(AND(_AC5="B-767-300ER",'2023'!$F$4="CA",'2023'!$F$2=CB81),'2023DATA'!$I$13,"")</f>
        <v/>
      </c>
      <c r="CC92" s="518" t="str">
        <f>IF(AND(_AC5="B-767-300ER",'2023'!$F$4="CA",'2023'!$F$2=CC81),'2023DATA'!$J$13,"")</f>
        <v/>
      </c>
      <c r="CD92" s="518" t="str">
        <f>IF(AND(_AC5="B-767-300ER",'2023'!$F$4="CA",'2023'!$F$2=CD81),'2023DATA'!$K$13,"")</f>
        <v/>
      </c>
      <c r="CE92" s="518" t="str">
        <f>IF(AND(_AC5="B-767-300ER",'2023'!$F$4="CA",'2023'!$F$2=CE81),'2023DATA'!$L$13,"")</f>
        <v/>
      </c>
      <c r="CF92" s="518" t="str">
        <f>IF(AND(_AC5="B-767-300ER",'2023'!$F$4="CA",'2023'!$F$2=CF81),'2023DATA'!$M$13,"")</f>
        <v/>
      </c>
      <c r="CG92" s="520" t="str">
        <f>IF(AND(_AC5="B-767-300ER",'2023'!$F$4="CA",'2023'!$F$2=CG81),'2023DATA'!$N$13,"")</f>
        <v/>
      </c>
      <c r="CH92" s="940" t="s">
        <v>43</v>
      </c>
      <c r="CI92" s="13" t="s">
        <v>61</v>
      </c>
      <c r="CJ92" s="518" t="str">
        <f>IF(AND(_AC6="B-767-300ER",'2023'!$F$4="CA",'2023'!$F$2=CJ81),'2023DATA'!$C$13,"")</f>
        <v/>
      </c>
      <c r="CK92" s="518" t="str">
        <f>IF(AND(_AC6="B-767-300ER",'2023'!$F$4="CA",'2023'!$F$2=CK81),'2023DATA'!$D$13,"")</f>
        <v/>
      </c>
      <c r="CL92" s="518" t="str">
        <f>IF(AND(_AC6="B-767-300ER",'2023'!$F$4="CA",'2023'!$F$2=CL81),'2023DATA'!$E$13,"")</f>
        <v/>
      </c>
      <c r="CM92" s="518" t="str">
        <f>IF(AND(_AC6="B-767-300ER",'2023'!$F$4="CA",'2023'!$F$2=CM81),'2023DATA'!$F$13,"")</f>
        <v/>
      </c>
      <c r="CN92" s="518" t="str">
        <f>IF(AND(_AC6="B-767-300ER",'2023'!$F$4="CA",'2023'!$F$2=CN81),'2023DATA'!$G$13,"")</f>
        <v/>
      </c>
      <c r="CO92" s="518" t="str">
        <f>IF(AND(_AC6="B-767-300ER",'2023'!$F$4="CA",'2023'!$F$2=CO81),'2023DATA'!$H$13,"")</f>
        <v/>
      </c>
      <c r="CP92" s="518" t="str">
        <f>IF(AND(_AC6="B-767-300ER",'2023'!$F$4="CA",'2023'!$F$2=CP81),'2023DATA'!$I$13,"")</f>
        <v/>
      </c>
      <c r="CQ92" s="518" t="str">
        <f>IF(AND(_AC6="B-767-300ER",'2023'!$F$4="CA",'2023'!$F$2=CQ81),'2023DATA'!$J$13,"")</f>
        <v/>
      </c>
      <c r="CR92" s="518" t="str">
        <f>IF(AND(_AC6="B-767-300ER",'2023'!$F$4="CA",'2023'!$F$2=CR81),'2023DATA'!$K$13,"")</f>
        <v/>
      </c>
      <c r="CS92" s="518" t="str">
        <f>IF(AND(_AC6="B-767-300ER",'2023'!$F$4="CA",'2023'!$F$2=CS81),'2023DATA'!$L$13,"")</f>
        <v/>
      </c>
      <c r="CT92" s="518" t="str">
        <f>IF(AND(_AC6="B-767-300ER",'2023'!$F$4="CA",'2023'!$F$2=CT81),'2023DATA'!$M$13,"")</f>
        <v/>
      </c>
      <c r="CU92" s="520" t="str">
        <f>IF(AND(_AC6="B-767-300ER",'2023'!$F$4="CA",'2023'!$F$2=CU81),'2023DATA'!$N$13,"")</f>
        <v/>
      </c>
    </row>
    <row r="93" spans="16:99" x14ac:dyDescent="0.25">
      <c r="P93" s="940"/>
      <c r="Q93" s="13" t="s">
        <v>62</v>
      </c>
      <c r="R93" s="518" t="str">
        <f>IF(AND(_AC1="B-767-300ER",'2023'!$F$4="FO",'2023'!$F$2=R81),'2023DATA'!$C$14,"")</f>
        <v/>
      </c>
      <c r="S93" s="518" t="str">
        <f>IF(AND(_AC1="B-767-300ER",'2023'!$F$4="FO",'2023'!$F$2=S81),'2023DATA'!$D$14,"")</f>
        <v/>
      </c>
      <c r="T93" s="518" t="str">
        <f>IF(AND(_AC1="B-767-300ER",'2023'!$F$4="FO",'2023'!$F$2=T81),'2023DATA'!$E$14,"")</f>
        <v/>
      </c>
      <c r="U93" s="518" t="str">
        <f>IF(AND(_AC1="B-767-300ER",'2023'!$F$4="FO",'2023'!$F$2=U81),'2023DATA'!$F$14,"")</f>
        <v/>
      </c>
      <c r="V93" s="518" t="str">
        <f>IF(AND(_AC1="B-767-300ER",'2023'!$F$4="FO",'2023'!$F$2=V81),'2023DATA'!$G$14,"")</f>
        <v/>
      </c>
      <c r="W93" s="518" t="str">
        <f>IF(AND(_AC1="B-767-300ER",'2023'!$F$4="FO",'2023'!$F$2=W81),'2023DATA'!$H$14,"")</f>
        <v/>
      </c>
      <c r="X93" s="518" t="str">
        <f>IF(AND(_AC1="B-767-300ER",'2023'!$F$4="FO",'2023'!$F$2=X81),'2023DATA'!$I$14,"")</f>
        <v/>
      </c>
      <c r="Y93" s="518" t="str">
        <f>IF(AND(_AC1="B-767-300ER",'2023'!$F$4="FO",'2023'!$F$2=Y81),'2023DATA'!$J$14,"")</f>
        <v/>
      </c>
      <c r="Z93" s="518" t="str">
        <f>IF(AND(_AC1="B-767-300ER",'2023'!$F$4="FO",'2023'!$F$2=Z81),'2023DATA'!$K$14,"")</f>
        <v/>
      </c>
      <c r="AA93" s="518" t="str">
        <f>IF(AND(_AC1="B-767-300ER",'2023'!$F$4="FO",'2023'!$F$2=AA81),'2023DATA'!$L$14,"")</f>
        <v/>
      </c>
      <c r="AB93" s="518" t="str">
        <f>IF(AND(_AC1="B-767-300ER",'2023'!$F$4="FO",'2023'!$F$2=AB81),'2023DATA'!$M$14,"")</f>
        <v/>
      </c>
      <c r="AC93" s="520" t="str">
        <f>IF(AND(_AC1="B-767-300ER",'2023'!$F$4="FO",'2023'!$F$2=AC81),'2023DATA'!$N$14,"")</f>
        <v/>
      </c>
      <c r="AD93" s="940"/>
      <c r="AE93" s="13" t="s">
        <v>62</v>
      </c>
      <c r="AF93" s="518" t="str">
        <f>IF(AND(_AC2="B-767-300ER",'2023'!$F$4="FO",'2023'!$F$2=AF81),'2023DATA'!$C$14,"")</f>
        <v/>
      </c>
      <c r="AG93" s="518" t="str">
        <f>IF(AND(_AC2="B-767-300ER",'2023'!$F$4="FO",'2023'!$F$2=AG81),'2023DATA'!$D$14,"")</f>
        <v/>
      </c>
      <c r="AH93" s="518" t="str">
        <f>IF(AND(_AC2="B-767-300ER",'2023'!$F$4="FO",'2023'!$F$2=AH81),'2023DATA'!$E$14,"")</f>
        <v/>
      </c>
      <c r="AI93" s="518" t="str">
        <f>IF(AND(_AC2="B-767-300ER",'2023'!$F$4="FO",'2023'!$F$2=AI81),'2023DATA'!$F$14,"")</f>
        <v/>
      </c>
      <c r="AJ93" s="518" t="str">
        <f>IF(AND(_AC2="B-767-300ER",'2023'!$F$4="FO",'2023'!$F$2=AJ81),'2023DATA'!$G$14,"")</f>
        <v/>
      </c>
      <c r="AK93" s="518" t="str">
        <f>IF(AND(_AC2="B-767-300ER",'2023'!$F$4="FO",'2023'!$F$2=AK81),'2023DATA'!$H$14,"")</f>
        <v/>
      </c>
      <c r="AL93" s="518" t="str">
        <f>IF(AND(_AC2="B-767-300ER",'2023'!$F$4="FO",'2023'!$F$2=AL81),'2023DATA'!$I$14,"")</f>
        <v/>
      </c>
      <c r="AM93" s="518" t="str">
        <f>IF(AND(_AC2="B-767-300ER",'2023'!$F$4="FO",'2023'!$F$2=AM81),'2023DATA'!$J$14,"")</f>
        <v/>
      </c>
      <c r="AN93" s="518" t="str">
        <f>IF(AND(_AC2="B-767-300ER",'2023'!$F$4="FO",'2023'!$F$2=AN81),'2023DATA'!$K$14,"")</f>
        <v/>
      </c>
      <c r="AO93" s="518" t="str">
        <f>IF(AND(_AC2="B-767-300ER",'2023'!$F$4="FO",'2023'!$F$2=AO81),'2023DATA'!$L$14,"")</f>
        <v/>
      </c>
      <c r="AP93" s="518" t="str">
        <f>IF(AND(_AC2="B-767-300ER",'2023'!$F$4="FO",'2023'!$F$2=AP81),'2023DATA'!$M$14,"")</f>
        <v/>
      </c>
      <c r="AQ93" s="520" t="str">
        <f>IF(AND(_AC2="B-767-300ER",'2023'!$F$4="FO",'2023'!$F$2=AQ81),'2023DATA'!$N$14,"")</f>
        <v/>
      </c>
      <c r="AR93" s="940"/>
      <c r="AS93" s="13" t="s">
        <v>62</v>
      </c>
      <c r="AT93" s="518" t="str">
        <f>IF(AND(_AC3="B-767-300ER",'2023'!$F$4="FO",'2023'!$F$2=AT81),'2023DATA'!$C$14,"")</f>
        <v/>
      </c>
      <c r="AU93" s="518" t="str">
        <f>IF(AND(_AC3="B-767-300ER",'2023'!$F$4="FO",'2023'!$F$2=AU81),'2023DATA'!$D$14,"")</f>
        <v/>
      </c>
      <c r="AV93" s="518" t="str">
        <f>IF(AND(_AC3="B-767-300ER",'2023'!$F$4="FO",'2023'!$F$2=AV81),'2023DATA'!$E$14,"")</f>
        <v/>
      </c>
      <c r="AW93" s="518" t="str">
        <f>IF(AND(_AC3="B-767-300ER",'2023'!$F$4="FO",'2023'!$F$2=AW81),'2023DATA'!$F$14,"")</f>
        <v/>
      </c>
      <c r="AX93" s="518" t="str">
        <f>IF(AND(_AC3="B-767-300ER",'2023'!$F$4="FO",'2023'!$F$2=AX81),'2023DATA'!$G$14,"")</f>
        <v/>
      </c>
      <c r="AY93" s="518" t="str">
        <f>IF(AND(_AC3="B-767-300ER",'2023'!$F$4="FO",'2023'!$F$2=AY81),'2023DATA'!$H$14,"")</f>
        <v/>
      </c>
      <c r="AZ93" s="518" t="str">
        <f>IF(AND(_AC3="B-767-300ER",'2023'!$F$4="FO",'2023'!$F$2=AZ81),'2023DATA'!$I$14,"")</f>
        <v/>
      </c>
      <c r="BA93" s="518" t="str">
        <f>IF(AND(_AC3="B-767-300ER",'2023'!$F$4="FO",'2023'!$F$2=BA81),'2023DATA'!$J$14,"")</f>
        <v/>
      </c>
      <c r="BB93" s="518" t="str">
        <f>IF(AND(_AC3="B-767-300ER",'2023'!$F$4="FO",'2023'!$F$2=BB81),'2023DATA'!$K$14,"")</f>
        <v/>
      </c>
      <c r="BC93" s="518" t="str">
        <f>IF(AND(_AC3="B-767-300ER",'2023'!$F$4="FO",'2023'!$F$2=BC81),'2023DATA'!$L$14,"")</f>
        <v/>
      </c>
      <c r="BD93" s="518" t="str">
        <f>IF(AND(_AC3="B-767-300ER",'2023'!$F$4="FO",'2023'!$F$2=BD81),'2023DATA'!$M$14,"")</f>
        <v/>
      </c>
      <c r="BE93" s="520" t="str">
        <f>IF(AND(_AC3="B-767-300ER",'2023'!$F$4="FO",'2023'!$F$2=BE81),'2023DATA'!$N$14,"")</f>
        <v/>
      </c>
      <c r="BF93" s="940"/>
      <c r="BG93" s="13" t="s">
        <v>62</v>
      </c>
      <c r="BH93" s="518" t="str">
        <f>IF(AND(_AC4="B-767-300ER",'2023'!$F$4="FO",'2023'!$F$2=BH81),'2023DATA'!$C$14,"")</f>
        <v/>
      </c>
      <c r="BI93" s="518" t="str">
        <f>IF(AND(_AC4="B-767-300ER",'2023'!$F$4="FO",'2023'!$F$2=BI81),'2023DATA'!$D$14,"")</f>
        <v/>
      </c>
      <c r="BJ93" s="518" t="str">
        <f>IF(AND(_AC4="B-767-300ER",'2023'!$F$4="FO",'2023'!$F$2=BJ81),'2023DATA'!$E$14,"")</f>
        <v/>
      </c>
      <c r="BK93" s="518" t="str">
        <f>IF(AND(_AC4="B-767-300ER",'2023'!$F$4="FO",'2023'!$F$2=BK81),'2023DATA'!$F$14,"")</f>
        <v/>
      </c>
      <c r="BL93" s="518" t="str">
        <f>IF(AND(_AC4="B-767-300ER",'2023'!$F$4="FO",'2023'!$F$2=BL81),'2023DATA'!$G$14,"")</f>
        <v/>
      </c>
      <c r="BM93" s="518" t="str">
        <f>IF(AND(_AC4="B-767-300ER",'2023'!$F$4="FO",'2023'!$F$2=BM81),'2023DATA'!$H$14,"")</f>
        <v/>
      </c>
      <c r="BN93" s="518" t="str">
        <f>IF(AND(_AC4="B-767-300ER",'2023'!$F$4="FO",'2023'!$F$2=BN81),'2023DATA'!$I$14,"")</f>
        <v/>
      </c>
      <c r="BO93" s="518" t="str">
        <f>IF(AND(_AC4="B-767-300ER",'2023'!$F$4="FO",'2023'!$F$2=BO81),'2023DATA'!$J$14,"")</f>
        <v/>
      </c>
      <c r="BP93" s="518" t="str">
        <f>IF(AND(_AC4="B-767-300ER",'2023'!$F$4="FO",'2023'!$F$2=BP81),'2023DATA'!$K$14,"")</f>
        <v/>
      </c>
      <c r="BQ93" s="518" t="str">
        <f>IF(AND(_AC4="B-767-300ER",'2023'!$F$4="FO",'2023'!$F$2=BQ81),'2023DATA'!$L$14,"")</f>
        <v/>
      </c>
      <c r="BR93" s="518" t="str">
        <f>IF(AND(_AC4="B-767-300ER",'2023'!$F$4="FO",'2023'!$F$2=BR81),'2023DATA'!$M$14,"")</f>
        <v/>
      </c>
      <c r="BS93" s="520" t="str">
        <f>IF(AND(_AC4="B-767-300ER",'2023'!$F$4="FO",'2023'!$F$2=BS81),'2023DATA'!$N$14,"")</f>
        <v/>
      </c>
      <c r="BT93" s="940"/>
      <c r="BU93" s="13" t="s">
        <v>62</v>
      </c>
      <c r="BV93" s="518" t="str">
        <f>IF(AND(_AC5="B-767-300ER",'2023'!$F$4="FO",'2023'!$F$2=BV81),'2023DATA'!$C$14,"")</f>
        <v/>
      </c>
      <c r="BW93" s="518" t="str">
        <f>IF(AND(_AC5="B-767-300ER",'2023'!$F$4="FO",'2023'!$F$2=BW81),'2023DATA'!$D$14,"")</f>
        <v/>
      </c>
      <c r="BX93" s="518" t="str">
        <f>IF(AND(_AC5="B-767-300ER",'2023'!$F$4="FO",'2023'!$F$2=BX81),'2023DATA'!$E$14,"")</f>
        <v/>
      </c>
      <c r="BY93" s="518" t="str">
        <f>IF(AND(_AC5="B-767-300ER",'2023'!$F$4="FO",'2023'!$F$2=BY81),'2023DATA'!$F$14,"")</f>
        <v/>
      </c>
      <c r="BZ93" s="518" t="str">
        <f>IF(AND(_AC5="B-767-300ER",'2023'!$F$4="FO",'2023'!$F$2=BZ81),'2023DATA'!$G$14,"")</f>
        <v/>
      </c>
      <c r="CA93" s="518" t="str">
        <f>IF(AND(_AC5="B-767-300ER",'2023'!$F$4="FO",'2023'!$F$2=CA81),'2023DATA'!$H$14,"")</f>
        <v/>
      </c>
      <c r="CB93" s="518" t="str">
        <f>IF(AND(_AC5="B-767-300ER",'2023'!$F$4="FO",'2023'!$F$2=CB81),'2023DATA'!$I$14,"")</f>
        <v/>
      </c>
      <c r="CC93" s="518" t="str">
        <f>IF(AND(_AC5="B-767-300ER",'2023'!$F$4="FO",'2023'!$F$2=CC81),'2023DATA'!$J$14,"")</f>
        <v/>
      </c>
      <c r="CD93" s="518" t="str">
        <f>IF(AND(_AC5="B-767-300ER",'2023'!$F$4="FO",'2023'!$F$2=CD81),'2023DATA'!$K$14,"")</f>
        <v/>
      </c>
      <c r="CE93" s="518" t="str">
        <f>IF(AND(_AC5="B-767-300ER",'2023'!$F$4="FO",'2023'!$F$2=CE81),'2023DATA'!$L$14,"")</f>
        <v/>
      </c>
      <c r="CF93" s="518" t="str">
        <f>IF(AND(_AC5="B-767-300ER",'2023'!$F$4="FO",'2023'!$F$2=CF81),'2023DATA'!$M$14,"")</f>
        <v/>
      </c>
      <c r="CG93" s="520" t="str">
        <f>IF(AND(_AC5="B-767-300ER",'2023'!$F$4="FO",'2023'!$F$2=CG81),'2023DATA'!$N$14,"")</f>
        <v/>
      </c>
      <c r="CH93" s="940"/>
      <c r="CI93" s="13" t="s">
        <v>62</v>
      </c>
      <c r="CJ93" s="518" t="str">
        <f>IF(AND(_AC6="B-767-300ER",'2023'!$F$4="FO",'2023'!$F$2=CJ81),'2023DATA'!$C$14,"")</f>
        <v/>
      </c>
      <c r="CK93" s="518" t="str">
        <f>IF(AND(_AC6="B-767-300ER",'2023'!$F$4="FO",'2023'!$F$2=CK81),'2023DATA'!$D$14,"")</f>
        <v/>
      </c>
      <c r="CL93" s="518" t="str">
        <f>IF(AND(_AC6="B-767-300ER",'2023'!$F$4="FO",'2023'!$F$2=CL81),'2023DATA'!$E$14,"")</f>
        <v/>
      </c>
      <c r="CM93" s="518" t="str">
        <f>IF(AND(_AC6="B-767-300ER",'2023'!$F$4="FO",'2023'!$F$2=CM81),'2023DATA'!$F$14,"")</f>
        <v/>
      </c>
      <c r="CN93" s="518" t="str">
        <f>IF(AND(_AC6="B-767-300ER",'2023'!$F$4="FO",'2023'!$F$2=CN81),'2023DATA'!$G$14,"")</f>
        <v/>
      </c>
      <c r="CO93" s="518" t="str">
        <f>IF(AND(_AC6="B-767-300ER",'2023'!$F$4="FO",'2023'!$F$2=CO81),'2023DATA'!$H$14,"")</f>
        <v/>
      </c>
      <c r="CP93" s="518" t="str">
        <f>IF(AND(_AC6="B-767-300ER",'2023'!$F$4="FO",'2023'!$F$2=CP81),'2023DATA'!$I$14,"")</f>
        <v/>
      </c>
      <c r="CQ93" s="518" t="str">
        <f>IF(AND(_AC6="B-767-300ER",'2023'!$F$4="FO",'2023'!$F$2=CQ81),'2023DATA'!$J$14,"")</f>
        <v/>
      </c>
      <c r="CR93" s="518" t="str">
        <f>IF(AND(_AC6="B-767-300ER",'2023'!$F$4="FO",'2023'!$F$2=CR81),'2023DATA'!$K$14,"")</f>
        <v/>
      </c>
      <c r="CS93" s="518" t="str">
        <f>IF(AND(_AC6="B-767-300ER",'2023'!$F$4="FO",'2023'!$F$2=CS81),'2023DATA'!$L$14,"")</f>
        <v/>
      </c>
      <c r="CT93" s="518" t="str">
        <f>IF(AND(_AC6="B-767-300ER",'2023'!$F$4="FO",'2023'!$F$2=CT81),'2023DATA'!$M$14,"")</f>
        <v/>
      </c>
      <c r="CU93" s="520" t="str">
        <f>IF(AND(_AC6="B-767-300ER",'2023'!$F$4="FO",'2023'!$F$2=CU81),'2023DATA'!$N$14,"")</f>
        <v/>
      </c>
    </row>
    <row r="94" spans="16:99" x14ac:dyDescent="0.25">
      <c r="P94" s="940" t="s">
        <v>67</v>
      </c>
      <c r="Q94" s="13" t="s">
        <v>61</v>
      </c>
      <c r="R94" s="518" t="str">
        <f>IF(AND(_AC1="B-767-300",'2023'!$F$4="CA",'2023'!$F$2=R81),'2023DATA'!$C$15,"")</f>
        <v/>
      </c>
      <c r="S94" s="518" t="str">
        <f>IF(AND(_AC1="B-767-300",'2023'!$F$4="CA",'2023'!$F$2=S81),'2023DATA'!$D$15,"")</f>
        <v/>
      </c>
      <c r="T94" s="518" t="str">
        <f>IF(AND(_AC1="B-767-300",'2023'!$F$4="CA",'2023'!$F$2=T81),'2023DATA'!$E$15,"")</f>
        <v/>
      </c>
      <c r="U94" s="518" t="str">
        <f>IF(AND(_AC1="B-767-300",'2023'!$F$4="CA",'2023'!$F$2=U81),'2023DATA'!$F$15,"")</f>
        <v/>
      </c>
      <c r="V94" s="518" t="str">
        <f>IF(AND(_AC1="B-767-300",'2023'!$F$4="CA",'2023'!$F$2=V81),'2023DATA'!$G$15,"")</f>
        <v/>
      </c>
      <c r="W94" s="518" t="str">
        <f>IF(AND(_AC1="B-767-300",'2023'!$F$4="CA",'2023'!$F$2=W81),'2023DATA'!$H$15,"")</f>
        <v/>
      </c>
      <c r="X94" s="518" t="str">
        <f>IF(AND(_AC1="B-767-300",'2023'!$F$4="CA",'2023'!$F$2=X81),'2023DATA'!$I$15,"")</f>
        <v/>
      </c>
      <c r="Y94" s="518" t="str">
        <f>IF(AND(_AC1="B-767-300",'2023'!$F$4="CA",'2023'!$F$2=Y81),'2023DATA'!$J$15,"")</f>
        <v/>
      </c>
      <c r="Z94" s="518" t="str">
        <f>IF(AND(_AC1="B-767-300",'2023'!$F$4="CA",'2023'!$F$2=Z81),'2023DATA'!$K$15,"")</f>
        <v/>
      </c>
      <c r="AA94" s="518" t="str">
        <f>IF(AND(_AC1="B-767-300",'2023'!$F$4="CA",'2023'!$F$2=AA81),'2023DATA'!$L$15,"")</f>
        <v/>
      </c>
      <c r="AB94" s="518" t="str">
        <f>IF(AND(_AC1="B-767-300",'2023'!$F$4="CA",'2023'!$F$2=AB81),'2023DATA'!$M$15,"")</f>
        <v/>
      </c>
      <c r="AC94" s="520" t="str">
        <f>IF(AND(_AC1="B-767-300",'2023'!$F$4="CA",'2023'!$F$2=AC81),'2023DATA'!$N$15,"")</f>
        <v/>
      </c>
      <c r="AD94" s="940" t="s">
        <v>67</v>
      </c>
      <c r="AE94" s="13" t="s">
        <v>61</v>
      </c>
      <c r="AF94" s="518" t="str">
        <f>IF(AND(_AC2="B-767-300",'2023'!$F$4="CA",'2023'!$F$2=AF81),'2023DATA'!$C$15,"")</f>
        <v/>
      </c>
      <c r="AG94" s="518" t="str">
        <f>IF(AND(_AC2="B-767-300",'2023'!$F$4="CA",'2023'!$F$2=AG81),'2023DATA'!$D$15,"")</f>
        <v/>
      </c>
      <c r="AH94" s="518" t="str">
        <f>IF(AND(_AC2="B-767-300",'2023'!$F$4="CA",'2023'!$F$2=AH81),'2023DATA'!$E$15,"")</f>
        <v/>
      </c>
      <c r="AI94" s="518" t="str">
        <f>IF(AND(_AC2="B-767-300",'2023'!$F$4="CA",'2023'!$F$2=AI81),'2023DATA'!$F$15,"")</f>
        <v/>
      </c>
      <c r="AJ94" s="518" t="str">
        <f>IF(AND(_AC2="B-767-300",'2023'!$F$4="CA",'2023'!$F$2=AJ81),'2023DATA'!$G$15,"")</f>
        <v/>
      </c>
      <c r="AK94" s="518" t="str">
        <f>IF(AND(_AC2="B-767-300",'2023'!$F$4="CA",'2023'!$F$2=AK81),'2023DATA'!$H$15,"")</f>
        <v/>
      </c>
      <c r="AL94" s="518" t="str">
        <f>IF(AND(_AC2="B-767-300",'2023'!$F$4="CA",'2023'!$F$2=AL81),'2023DATA'!$I$15,"")</f>
        <v/>
      </c>
      <c r="AM94" s="518" t="str">
        <f>IF(AND(_AC2="B-767-300",'2023'!$F$4="CA",'2023'!$F$2=AM81),'2023DATA'!$J$15,"")</f>
        <v/>
      </c>
      <c r="AN94" s="518" t="str">
        <f>IF(AND(_AC2="B-767-300",'2023'!$F$4="CA",'2023'!$F$2=AN81),'2023DATA'!$K$15,"")</f>
        <v/>
      </c>
      <c r="AO94" s="518" t="str">
        <f>IF(AND(_AC2="B-767-300",'2023'!$F$4="CA",'2023'!$F$2=AO81),'2023DATA'!$L$15,"")</f>
        <v/>
      </c>
      <c r="AP94" s="518" t="str">
        <f>IF(AND(_AC2="B-767-300",'2023'!$F$4="CA",'2023'!$F$2=AP81),'2023DATA'!$M$15,"")</f>
        <v/>
      </c>
      <c r="AQ94" s="520" t="str">
        <f>IF(AND(_AC2="B-767-300",'2023'!$F$4="CA",'2023'!$F$2=AQ81),'2023DATA'!$N$15,"")</f>
        <v/>
      </c>
      <c r="AR94" s="940" t="s">
        <v>67</v>
      </c>
      <c r="AS94" s="13" t="s">
        <v>61</v>
      </c>
      <c r="AT94" s="518" t="str">
        <f>IF(AND(_AC3="B-767-300",'2023'!$F$4="CA",'2023'!$F$2=AT81),'2023DATA'!$C$15,"")</f>
        <v/>
      </c>
      <c r="AU94" s="518" t="str">
        <f>IF(AND(_AC3="B-767-300",'2023'!$F$4="CA",'2023'!$F$2=AU81),'2023DATA'!$D$15,"")</f>
        <v/>
      </c>
      <c r="AV94" s="518" t="str">
        <f>IF(AND(_AC3="B-767-300",'2023'!$F$4="CA",'2023'!$F$2=AV81),'2023DATA'!$E$15,"")</f>
        <v/>
      </c>
      <c r="AW94" s="518" t="str">
        <f>IF(AND(_AC3="B-767-300",'2023'!$F$4="CA",'2023'!$F$2=AW81),'2023DATA'!$F$15,"")</f>
        <v/>
      </c>
      <c r="AX94" s="518" t="str">
        <f>IF(AND(_AC3="B-767-300",'2023'!$F$4="CA",'2023'!$F$2=AX81),'2023DATA'!$G$15,"")</f>
        <v/>
      </c>
      <c r="AY94" s="518" t="str">
        <f>IF(AND(_AC3="B-767-300",'2023'!$F$4="CA",'2023'!$F$2=AY81),'2023DATA'!$H$15,"")</f>
        <v/>
      </c>
      <c r="AZ94" s="518" t="str">
        <f>IF(AND(_AC3="B-767-300",'2023'!$F$4="CA",'2023'!$F$2=AZ81),'2023DATA'!$I$15,"")</f>
        <v/>
      </c>
      <c r="BA94" s="518" t="str">
        <f>IF(AND(_AC3="B-767-300",'2023'!$F$4="CA",'2023'!$F$2=BA81),'2023DATA'!$J$15,"")</f>
        <v/>
      </c>
      <c r="BB94" s="518" t="str">
        <f>IF(AND(_AC3="B-767-300",'2023'!$F$4="CA",'2023'!$F$2=BB81),'2023DATA'!$K$15,"")</f>
        <v/>
      </c>
      <c r="BC94" s="518" t="str">
        <f>IF(AND(_AC3="B-767-300",'2023'!$F$4="CA",'2023'!$F$2=BC81),'2023DATA'!$L$15,"")</f>
        <v/>
      </c>
      <c r="BD94" s="518" t="str">
        <f>IF(AND(_AC3="B-767-300",'2023'!$F$4="CA",'2023'!$F$2=BD81),'2023DATA'!$M$15,"")</f>
        <v/>
      </c>
      <c r="BE94" s="520" t="str">
        <f>IF(AND(_AC3="B-767-300",'2023'!$F$4="CA",'2023'!$F$2=BE81),'2023DATA'!$N$15,"")</f>
        <v/>
      </c>
      <c r="BF94" s="940" t="s">
        <v>67</v>
      </c>
      <c r="BG94" s="13" t="s">
        <v>61</v>
      </c>
      <c r="BH94" s="518" t="str">
        <f>IF(AND(_AC4="B-767-300",'2023'!$F$4="CA",'2023'!$F$2=BH81),'2023DATA'!$C$15,"")</f>
        <v/>
      </c>
      <c r="BI94" s="518" t="str">
        <f>IF(AND(_AC4="B-767-300",'2023'!$F$4="CA",'2023'!$F$2=BI81),'2023DATA'!$D$15,"")</f>
        <v/>
      </c>
      <c r="BJ94" s="518" t="str">
        <f>IF(AND(_AC4="B-767-300",'2023'!$F$4="CA",'2023'!$F$2=BJ81),'2023DATA'!$E$15,"")</f>
        <v/>
      </c>
      <c r="BK94" s="518" t="str">
        <f>IF(AND(_AC4="B-767-300",'2023'!$F$4="CA",'2023'!$F$2=BK81),'2023DATA'!$F$15,"")</f>
        <v/>
      </c>
      <c r="BL94" s="518" t="str">
        <f>IF(AND(_AC4="B-767-300",'2023'!$F$4="CA",'2023'!$F$2=BL81),'2023DATA'!$G$15,"")</f>
        <v/>
      </c>
      <c r="BM94" s="518" t="str">
        <f>IF(AND(_AC4="B-767-300",'2023'!$F$4="CA",'2023'!$F$2=BM81),'2023DATA'!$H$15,"")</f>
        <v/>
      </c>
      <c r="BN94" s="518" t="str">
        <f>IF(AND(_AC4="B-767-300",'2023'!$F$4="CA",'2023'!$F$2=BN81),'2023DATA'!$I$15,"")</f>
        <v/>
      </c>
      <c r="BO94" s="518" t="str">
        <f>IF(AND(_AC4="B-767-300",'2023'!$F$4="CA",'2023'!$F$2=BO81),'2023DATA'!$J$15,"")</f>
        <v/>
      </c>
      <c r="BP94" s="518" t="str">
        <f>IF(AND(_AC4="B-767-300",'2023'!$F$4="CA",'2023'!$F$2=BP81),'2023DATA'!$K$15,"")</f>
        <v/>
      </c>
      <c r="BQ94" s="518" t="str">
        <f>IF(AND(_AC4="B-767-300",'2023'!$F$4="CA",'2023'!$F$2=BQ81),'2023DATA'!$L$15,"")</f>
        <v/>
      </c>
      <c r="BR94" s="518" t="str">
        <f>IF(AND(_AC4="B-767-300",'2023'!$F$4="CA",'2023'!$F$2=BR81),'2023DATA'!$M$15,"")</f>
        <v/>
      </c>
      <c r="BS94" s="520" t="str">
        <f>IF(AND(_AC4="B-767-300",'2023'!$F$4="CA",'2023'!$F$2=BS81),'2023DATA'!$N$15,"")</f>
        <v/>
      </c>
      <c r="BT94" s="940" t="s">
        <v>67</v>
      </c>
      <c r="BU94" s="13" t="s">
        <v>61</v>
      </c>
      <c r="BV94" s="518" t="str">
        <f>IF(AND(_AC5="B-767-300",'2023'!$F$4="CA",'2023'!$F$2=BV81),'2023DATA'!$C$15,"")</f>
        <v/>
      </c>
      <c r="BW94" s="518" t="str">
        <f>IF(AND(_AC5="B-767-300",'2023'!$F$4="CA",'2023'!$F$2=BW81),'2023DATA'!$D$15,"")</f>
        <v/>
      </c>
      <c r="BX94" s="518" t="str">
        <f>IF(AND(_AC5="B-767-300",'2023'!$F$4="CA",'2023'!$F$2=BX81),'2023DATA'!$E$15,"")</f>
        <v/>
      </c>
      <c r="BY94" s="518" t="str">
        <f>IF(AND(_AC5="B-767-300",'2023'!$F$4="CA",'2023'!$F$2=BY81),'2023DATA'!$F$15,"")</f>
        <v/>
      </c>
      <c r="BZ94" s="518" t="str">
        <f>IF(AND(_AC5="B-767-300",'2023'!$F$4="CA",'2023'!$F$2=BZ81),'2023DATA'!$G$15,"")</f>
        <v/>
      </c>
      <c r="CA94" s="518" t="str">
        <f>IF(AND(_AC5="B-767-300",'2023'!$F$4="CA",'2023'!$F$2=CA81),'2023DATA'!$H$15,"")</f>
        <v/>
      </c>
      <c r="CB94" s="518" t="str">
        <f>IF(AND(_AC5="B-767-300",'2023'!$F$4="CA",'2023'!$F$2=CB81),'2023DATA'!$I$15,"")</f>
        <v/>
      </c>
      <c r="CC94" s="518" t="str">
        <f>IF(AND(_AC5="B-767-300",'2023'!$F$4="CA",'2023'!$F$2=CC81),'2023DATA'!$J$15,"")</f>
        <v/>
      </c>
      <c r="CD94" s="518" t="str">
        <f>IF(AND(_AC5="B-767-300",'2023'!$F$4="CA",'2023'!$F$2=CD81),'2023DATA'!$K$15,"")</f>
        <v/>
      </c>
      <c r="CE94" s="518" t="str">
        <f>IF(AND(_AC5="B-767-300",'2023'!$F$4="CA",'2023'!$F$2=CE81),'2023DATA'!$L$15,"")</f>
        <v/>
      </c>
      <c r="CF94" s="518" t="str">
        <f>IF(AND(_AC5="B-767-300",'2023'!$F$4="CA",'2023'!$F$2=CF81),'2023DATA'!$M$15,"")</f>
        <v/>
      </c>
      <c r="CG94" s="520" t="str">
        <f>IF(AND(_AC5="B-767-300",'2023'!$F$4="CA",'2023'!$F$2=CG81),'2023DATA'!$N$15,"")</f>
        <v/>
      </c>
      <c r="CH94" s="940" t="s">
        <v>67</v>
      </c>
      <c r="CI94" s="13" t="s">
        <v>61</v>
      </c>
      <c r="CJ94" s="518" t="str">
        <f>IF(AND(_AC6="B-767-300",'2023'!$F$4="CA",'2023'!$F$2=CJ81),'2023DATA'!$C$15,"")</f>
        <v/>
      </c>
      <c r="CK94" s="518" t="str">
        <f>IF(AND(_AC6="B-767-300",'2023'!$F$4="CA",'2023'!$F$2=CK81),'2023DATA'!$D$15,"")</f>
        <v/>
      </c>
      <c r="CL94" s="518" t="str">
        <f>IF(AND(_AC6="B-767-300",'2023'!$F$4="CA",'2023'!$F$2=CL81),'2023DATA'!$E$15,"")</f>
        <v/>
      </c>
      <c r="CM94" s="518" t="str">
        <f>IF(AND(_AC6="B-767-300",'2023'!$F$4="CA",'2023'!$F$2=CM81),'2023DATA'!$F$15,"")</f>
        <v/>
      </c>
      <c r="CN94" s="518" t="str">
        <f>IF(AND(_AC6="B-767-300",'2023'!$F$4="CA",'2023'!$F$2=CN81),'2023DATA'!$G$15,"")</f>
        <v/>
      </c>
      <c r="CO94" s="518" t="str">
        <f>IF(AND(_AC6="B-767-300",'2023'!$F$4="CA",'2023'!$F$2=CO81),'2023DATA'!$H$15,"")</f>
        <v/>
      </c>
      <c r="CP94" s="518" t="str">
        <f>IF(AND(_AC6="B-767-300",'2023'!$F$4="CA",'2023'!$F$2=CP81),'2023DATA'!$I$15,"")</f>
        <v/>
      </c>
      <c r="CQ94" s="518" t="str">
        <f>IF(AND(_AC6="B-767-300",'2023'!$F$4="CA",'2023'!$F$2=CQ81),'2023DATA'!$J$15,"")</f>
        <v/>
      </c>
      <c r="CR94" s="518" t="str">
        <f>IF(AND(_AC6="B-767-300",'2023'!$F$4="CA",'2023'!$F$2=CR81),'2023DATA'!$K$15,"")</f>
        <v/>
      </c>
      <c r="CS94" s="518" t="str">
        <f>IF(AND(_AC6="B-767-300",'2023'!$F$4="CA",'2023'!$F$2=CS81),'2023DATA'!$L$15,"")</f>
        <v/>
      </c>
      <c r="CT94" s="518" t="str">
        <f>IF(AND(_AC6="B-767-300",'2023'!$F$4="CA",'2023'!$F$2=CT81),'2023DATA'!$M$15,"")</f>
        <v/>
      </c>
      <c r="CU94" s="520" t="str">
        <f>IF(AND(_AC6="B-767-300",'2023'!$F$4="CA",'2023'!$F$2=CU81),'2023DATA'!$N$15,"")</f>
        <v/>
      </c>
    </row>
    <row r="95" spans="16:99" x14ac:dyDescent="0.25">
      <c r="P95" s="940"/>
      <c r="Q95" s="13" t="s">
        <v>62</v>
      </c>
      <c r="R95" s="518" t="str">
        <f>IF(AND(_AC1="B-767-300",'2023'!$F$4="FO",'2023'!$F$2=R81),'2023DATA'!$C$16,"")</f>
        <v/>
      </c>
      <c r="S95" s="518" t="str">
        <f>IF(AND(_AC1="B-767-300",'2023'!$F$4="FO",'2023'!$F$2=S81),'2023DATA'!$D$16,"")</f>
        <v/>
      </c>
      <c r="T95" s="518" t="str">
        <f>IF(AND(_AC1="B-767-300",'2023'!$F$4="FO",'2023'!$F$2=T81),'2023DATA'!$E$16,"")</f>
        <v/>
      </c>
      <c r="U95" s="518" t="str">
        <f>IF(AND(_AC1="B-767-300",'2023'!$F$4="FO",'2023'!$F$2=U81),'2023DATA'!$F$16,"")</f>
        <v/>
      </c>
      <c r="V95" s="518" t="str">
        <f>IF(AND(_AC1="B-767-300",'2023'!$F$4="FO",'2023'!$F$2=V81),'2023DATA'!$G$16,"")</f>
        <v/>
      </c>
      <c r="W95" s="518" t="str">
        <f>IF(AND(_AC1="B-767-300",'2023'!$F$4="FO",'2023'!$F$2=W81),'2023DATA'!$H$16,"")</f>
        <v/>
      </c>
      <c r="X95" s="518" t="str">
        <f>IF(AND(_AC1="B-767-300",'2023'!$F$4="FO",'2023'!$F$2=X81),'2023DATA'!$I$16,"")</f>
        <v/>
      </c>
      <c r="Y95" s="518" t="str">
        <f>IF(AND(_AC1="B-767-300",'2023'!$F$4="FO",'2023'!$F$2=Y81),'2023DATA'!$J$16,"")</f>
        <v/>
      </c>
      <c r="Z95" s="518" t="str">
        <f>IF(AND(_AC1="B-767-300",'2023'!$F$4="FO",'2023'!$F$2=Z81),'2023DATA'!$K$16,"")</f>
        <v/>
      </c>
      <c r="AA95" s="518" t="str">
        <f>IF(AND(_AC1="B-767-300",'2023'!$F$4="FO",'2023'!$F$2=AA81),'2023DATA'!$L$16,"")</f>
        <v/>
      </c>
      <c r="AB95" s="518" t="str">
        <f>IF(AND(_AC1="B-767-300",'2023'!$F$4="FO",'2023'!$F$2=AB81),'2023DATA'!$M$16,"")</f>
        <v/>
      </c>
      <c r="AC95" s="520" t="str">
        <f>IF(AND(_AC1="B-767-300",'2023'!$F$4="FO",'2023'!$F$2=AC81),'2023DATA'!$N$16,"")</f>
        <v/>
      </c>
      <c r="AD95" s="940"/>
      <c r="AE95" s="13" t="s">
        <v>62</v>
      </c>
      <c r="AF95" s="518" t="str">
        <f>IF(AND(_AC2="B-767-300",'2023'!$F$4="FO",'2023'!$F$2=AF81),'2023DATA'!$C$16,"")</f>
        <v/>
      </c>
      <c r="AG95" s="518" t="str">
        <f>IF(AND(_AC2="B-767-300",'2023'!$F$4="FO",'2023'!$F$2=AG81),'2023DATA'!$D$16,"")</f>
        <v/>
      </c>
      <c r="AH95" s="518" t="str">
        <f>IF(AND(_AC2="B-767-300",'2023'!$F$4="FO",'2023'!$F$2=AH81),'2023DATA'!$E$16,"")</f>
        <v/>
      </c>
      <c r="AI95" s="518" t="str">
        <f>IF(AND(_AC2="B-767-300",'2023'!$F$4="FO",'2023'!$F$2=AI81),'2023DATA'!$F$16,"")</f>
        <v/>
      </c>
      <c r="AJ95" s="518" t="str">
        <f>IF(AND(_AC2="B-767-300",'2023'!$F$4="FO",'2023'!$F$2=AJ81),'2023DATA'!$G$16,"")</f>
        <v/>
      </c>
      <c r="AK95" s="518" t="str">
        <f>IF(AND(_AC2="B-767-300",'2023'!$F$4="FO",'2023'!$F$2=AK81),'2023DATA'!$H$16,"")</f>
        <v/>
      </c>
      <c r="AL95" s="518" t="str">
        <f>IF(AND(_AC2="B-767-300",'2023'!$F$4="FO",'2023'!$F$2=AL81),'2023DATA'!$I$16,"")</f>
        <v/>
      </c>
      <c r="AM95" s="518" t="str">
        <f>IF(AND(_AC2="B-767-300",'2023'!$F$4="FO",'2023'!$F$2=AM81),'2023DATA'!$J$16,"")</f>
        <v/>
      </c>
      <c r="AN95" s="518" t="str">
        <f>IF(AND(_AC2="B-767-300",'2023'!$F$4="FO",'2023'!$F$2=AN81),'2023DATA'!$K$16,"")</f>
        <v/>
      </c>
      <c r="AO95" s="518" t="str">
        <f>IF(AND(_AC2="B-767-300",'2023'!$F$4="FO",'2023'!$F$2=AO81),'2023DATA'!$L$16,"")</f>
        <v/>
      </c>
      <c r="AP95" s="518" t="str">
        <f>IF(AND(_AC2="B-767-300",'2023'!$F$4="FO",'2023'!$F$2=AP81),'2023DATA'!$M$16,"")</f>
        <v/>
      </c>
      <c r="AQ95" s="520" t="str">
        <f>IF(AND(_AC2="B-767-300",'2023'!$F$4="FO",'2023'!$F$2=AQ81),'2023DATA'!$N$16,"")</f>
        <v/>
      </c>
      <c r="AR95" s="940"/>
      <c r="AS95" s="13" t="s">
        <v>62</v>
      </c>
      <c r="AT95" s="518" t="str">
        <f>IF(AND(_AC3="B-767-300",'2023'!$F$4="FO",'2023'!$F$2=AT81),'2023DATA'!$C$16,"")</f>
        <v/>
      </c>
      <c r="AU95" s="518" t="str">
        <f>IF(AND(_AC3="B-767-300",'2023'!$F$4="FO",'2023'!$F$2=AU81),'2023DATA'!$D$16,"")</f>
        <v/>
      </c>
      <c r="AV95" s="518" t="str">
        <f>IF(AND(_AC3="B-767-300",'2023'!$F$4="FO",'2023'!$F$2=AV81),'2023DATA'!$E$16,"")</f>
        <v/>
      </c>
      <c r="AW95" s="518" t="str">
        <f>IF(AND(_AC3="B-767-300",'2023'!$F$4="FO",'2023'!$F$2=AW81),'2023DATA'!$F$16,"")</f>
        <v/>
      </c>
      <c r="AX95" s="518" t="str">
        <f>IF(AND(_AC3="B-767-300",'2023'!$F$4="FO",'2023'!$F$2=AX81),'2023DATA'!$G$16,"")</f>
        <v/>
      </c>
      <c r="AY95" s="518" t="str">
        <f>IF(AND(_AC3="B-767-300",'2023'!$F$4="FO",'2023'!$F$2=AY81),'2023DATA'!$H$16,"")</f>
        <v/>
      </c>
      <c r="AZ95" s="518" t="str">
        <f>IF(AND(_AC3="B-767-300",'2023'!$F$4="FO",'2023'!$F$2=AZ81),'2023DATA'!$I$16,"")</f>
        <v/>
      </c>
      <c r="BA95" s="518" t="str">
        <f>IF(AND(_AC3="B-767-300",'2023'!$F$4="FO",'2023'!$F$2=BA81),'2023DATA'!$J$16,"")</f>
        <v/>
      </c>
      <c r="BB95" s="518" t="str">
        <f>IF(AND(_AC3="B-767-300",'2023'!$F$4="FO",'2023'!$F$2=BB81),'2023DATA'!$K$16,"")</f>
        <v/>
      </c>
      <c r="BC95" s="518" t="str">
        <f>IF(AND(_AC3="B-767-300",'2023'!$F$4="FO",'2023'!$F$2=BC81),'2023DATA'!$L$16,"")</f>
        <v/>
      </c>
      <c r="BD95" s="518" t="str">
        <f>IF(AND(_AC3="B-767-300",'2023'!$F$4="FO",'2023'!$F$2=BD81),'2023DATA'!$M$16,"")</f>
        <v/>
      </c>
      <c r="BE95" s="520" t="str">
        <f>IF(AND(_AC3="B-767-300",'2023'!$F$4="FO",'2023'!$F$2=BE81),'2023DATA'!$N$16,"")</f>
        <v/>
      </c>
      <c r="BF95" s="940"/>
      <c r="BG95" s="13" t="s">
        <v>62</v>
      </c>
      <c r="BH95" s="518" t="str">
        <f>IF(AND(_AC4="B-767-300",'2023'!$F$4="FO",'2023'!$F$2=BH81),'2023DATA'!$C$16,"")</f>
        <v/>
      </c>
      <c r="BI95" s="518" t="str">
        <f>IF(AND(_AC4="B-767-300",'2023'!$F$4="FO",'2023'!$F$2=BI81),'2023DATA'!$D$16,"")</f>
        <v/>
      </c>
      <c r="BJ95" s="518" t="str">
        <f>IF(AND(_AC4="B-767-300",'2023'!$F$4="FO",'2023'!$F$2=BJ81),'2023DATA'!$E$16,"")</f>
        <v/>
      </c>
      <c r="BK95" s="518" t="str">
        <f>IF(AND(_AC4="B-767-300",'2023'!$F$4="FO",'2023'!$F$2=BK81),'2023DATA'!$F$16,"")</f>
        <v/>
      </c>
      <c r="BL95" s="518" t="str">
        <f>IF(AND(_AC4="B-767-300",'2023'!$F$4="FO",'2023'!$F$2=BL81),'2023DATA'!$G$16,"")</f>
        <v/>
      </c>
      <c r="BM95" s="518" t="str">
        <f>IF(AND(_AC4="B-767-300",'2023'!$F$4="FO",'2023'!$F$2=BM81),'2023DATA'!$H$16,"")</f>
        <v/>
      </c>
      <c r="BN95" s="518" t="str">
        <f>IF(AND(_AC4="B-767-300",'2023'!$F$4="FO",'2023'!$F$2=BN81),'2023DATA'!$I$16,"")</f>
        <v/>
      </c>
      <c r="BO95" s="518" t="str">
        <f>IF(AND(_AC4="B-767-300",'2023'!$F$4="FO",'2023'!$F$2=BO81),'2023DATA'!$J$16,"")</f>
        <v/>
      </c>
      <c r="BP95" s="518" t="str">
        <f>IF(AND(_AC4="B-767-300",'2023'!$F$4="FO",'2023'!$F$2=BP81),'2023DATA'!$K$16,"")</f>
        <v/>
      </c>
      <c r="BQ95" s="518" t="str">
        <f>IF(AND(_AC4="B-767-300",'2023'!$F$4="FO",'2023'!$F$2=BQ81),'2023DATA'!$L$16,"")</f>
        <v/>
      </c>
      <c r="BR95" s="518" t="str">
        <f>IF(AND(_AC4="B-767-300",'2023'!$F$4="FO",'2023'!$F$2=BR81),'2023DATA'!$M$16,"")</f>
        <v/>
      </c>
      <c r="BS95" s="520" t="str">
        <f>IF(AND(_AC4="B-767-300",'2023'!$F$4="FO",'2023'!$F$2=BS81),'2023DATA'!$N$16,"")</f>
        <v/>
      </c>
      <c r="BT95" s="940"/>
      <c r="BU95" s="13" t="s">
        <v>62</v>
      </c>
      <c r="BV95" s="518" t="str">
        <f>IF(AND(_AC5="B-767-300",'2023'!$F$4="FO",'2023'!$F$2=BV81),'2023DATA'!$C$16,"")</f>
        <v/>
      </c>
      <c r="BW95" s="518" t="str">
        <f>IF(AND(_AC5="B-767-300",'2023'!$F$4="FO",'2023'!$F$2=BW81),'2023DATA'!$D$16,"")</f>
        <v/>
      </c>
      <c r="BX95" s="518" t="str">
        <f>IF(AND(_AC5="B-767-300",'2023'!$F$4="FO",'2023'!$F$2=BX81),'2023DATA'!$E$16,"")</f>
        <v/>
      </c>
      <c r="BY95" s="518" t="str">
        <f>IF(AND(_AC5="B-767-300",'2023'!$F$4="FO",'2023'!$F$2=BY81),'2023DATA'!$F$16,"")</f>
        <v/>
      </c>
      <c r="BZ95" s="518" t="str">
        <f>IF(AND(_AC5="B-767-300",'2023'!$F$4="FO",'2023'!$F$2=BZ81),'2023DATA'!$G$16,"")</f>
        <v/>
      </c>
      <c r="CA95" s="518" t="str">
        <f>IF(AND(_AC5="B-767-300",'2023'!$F$4="FO",'2023'!$F$2=CA81),'2023DATA'!$H$16,"")</f>
        <v/>
      </c>
      <c r="CB95" s="518" t="str">
        <f>IF(AND(_AC5="B-767-300",'2023'!$F$4="FO",'2023'!$F$2=CB81),'2023DATA'!$I$16,"")</f>
        <v/>
      </c>
      <c r="CC95" s="518" t="str">
        <f>IF(AND(_AC5="B-767-300",'2023'!$F$4="FO",'2023'!$F$2=CC81),'2023DATA'!$J$16,"")</f>
        <v/>
      </c>
      <c r="CD95" s="518" t="str">
        <f>IF(AND(_AC5="B-767-300",'2023'!$F$4="FO",'2023'!$F$2=CD81),'2023DATA'!$K$16,"")</f>
        <v/>
      </c>
      <c r="CE95" s="518" t="str">
        <f>IF(AND(_AC5="B-767-300",'2023'!$F$4="FO",'2023'!$F$2=CE81),'2023DATA'!$L$16,"")</f>
        <v/>
      </c>
      <c r="CF95" s="518" t="str">
        <f>IF(AND(_AC5="B-767-300",'2023'!$F$4="FO",'2023'!$F$2=CF81),'2023DATA'!$M$16,"")</f>
        <v/>
      </c>
      <c r="CG95" s="520" t="str">
        <f>IF(AND(_AC5="B-767-300",'2023'!$F$4="FO",'2023'!$F$2=CG81),'2023DATA'!$N$16,"")</f>
        <v/>
      </c>
      <c r="CH95" s="940"/>
      <c r="CI95" s="13" t="s">
        <v>62</v>
      </c>
      <c r="CJ95" s="518" t="str">
        <f>IF(AND(_AC6="B-767-300",'2023'!$F$4="FO",'2023'!$F$2=CJ81),'2023DATA'!$C$16,"")</f>
        <v/>
      </c>
      <c r="CK95" s="518" t="str">
        <f>IF(AND(_AC6="B-767-300",'2023'!$F$4="FO",'2023'!$F$2=CK81),'2023DATA'!$D$16,"")</f>
        <v/>
      </c>
      <c r="CL95" s="518" t="str">
        <f>IF(AND(_AC6="B-767-300",'2023'!$F$4="FO",'2023'!$F$2=CL81),'2023DATA'!$E$16,"")</f>
        <v/>
      </c>
      <c r="CM95" s="518" t="str">
        <f>IF(AND(_AC6="B-767-300",'2023'!$F$4="FO",'2023'!$F$2=CM81),'2023DATA'!$F$16,"")</f>
        <v/>
      </c>
      <c r="CN95" s="518" t="str">
        <f>IF(AND(_AC6="B-767-300",'2023'!$F$4="FO",'2023'!$F$2=CN81),'2023DATA'!$G$16,"")</f>
        <v/>
      </c>
      <c r="CO95" s="518" t="str">
        <f>IF(AND(_AC6="B-767-300",'2023'!$F$4="FO",'2023'!$F$2=CO81),'2023DATA'!$H$16,"")</f>
        <v/>
      </c>
      <c r="CP95" s="518" t="str">
        <f>IF(AND(_AC6="B-767-300",'2023'!$F$4="FO",'2023'!$F$2=CP81),'2023DATA'!$I$16,"")</f>
        <v/>
      </c>
      <c r="CQ95" s="518" t="str">
        <f>IF(AND(_AC6="B-767-300",'2023'!$F$4="FO",'2023'!$F$2=CQ81),'2023DATA'!$J$16,"")</f>
        <v/>
      </c>
      <c r="CR95" s="518" t="str">
        <f>IF(AND(_AC6="B-767-300",'2023'!$F$4="FO",'2023'!$F$2=CR81),'2023DATA'!$K$16,"")</f>
        <v/>
      </c>
      <c r="CS95" s="518" t="str">
        <f>IF(AND(_AC6="B-767-300",'2023'!$F$4="FO",'2023'!$F$2=CS81),'2023DATA'!$L$16,"")</f>
        <v/>
      </c>
      <c r="CT95" s="518" t="str">
        <f>IF(AND(_AC6="B-767-300",'2023'!$F$4="FO",'2023'!$F$2=CT81),'2023DATA'!$M$16,"")</f>
        <v/>
      </c>
      <c r="CU95" s="520" t="str">
        <f>IF(AND(_AC6="B-767-300",'2023'!$F$4="FO",'2023'!$F$2=CU81),'2023DATA'!$N$16,"")</f>
        <v/>
      </c>
    </row>
    <row r="96" spans="16:99" x14ac:dyDescent="0.25">
      <c r="P96" s="940" t="s">
        <v>68</v>
      </c>
      <c r="Q96" s="13" t="s">
        <v>61</v>
      </c>
      <c r="R96" s="518" t="str">
        <f>IF(AND(_AC1="B-767-200",'2023'!$F$4="CA",'2023'!$F$2=R81),'2023DATA'!$C$17,"")</f>
        <v/>
      </c>
      <c r="S96" s="518" t="str">
        <f>IF(AND(_AC1="B-767-200",'2023'!$F$4="CA",'2023'!$F$2=S81),'2023DATA'!$D$17,"")</f>
        <v/>
      </c>
      <c r="T96" s="518" t="str">
        <f>IF(AND(_AC1="B-767-200",'2023'!$F$4="CA",'2023'!$F$2=T81),'2023DATA'!$E$17,"")</f>
        <v/>
      </c>
      <c r="U96" s="518" t="str">
        <f>IF(AND(_AC1="B-767-200",'2023'!$F$4="CA",'2023'!$F$2=U81),'2023DATA'!$F$17,"")</f>
        <v/>
      </c>
      <c r="V96" s="518" t="str">
        <f>IF(AND(_AC1="B-767-200",'2023'!$F$4="CA",'2023'!$F$2=V81),'2023DATA'!$G$17,"")</f>
        <v/>
      </c>
      <c r="W96" s="518" t="str">
        <f>IF(AND(_AC1="B-767-200",'2023'!$F$4="CA",'2023'!$F$2=W81),'2023DATA'!$H$17,"")</f>
        <v/>
      </c>
      <c r="X96" s="518" t="str">
        <f>IF(AND(_AC1="B-767-200",'2023'!$F$4="CA",'2023'!$F$2=X81),'2023DATA'!$I$17,"")</f>
        <v/>
      </c>
      <c r="Y96" s="518" t="str">
        <f>IF(AND(_AC1="B-767-200",'2023'!$F$4="CA",'2023'!$F$2=Y81),'2023DATA'!$J$17,"")</f>
        <v/>
      </c>
      <c r="Z96" s="518" t="str">
        <f>IF(AND(_AC1="B-767-200",'2023'!$F$4="CA",'2023'!$F$2=Z81),'2023DATA'!$K$17,"")</f>
        <v/>
      </c>
      <c r="AA96" s="518" t="str">
        <f>IF(AND(_AC1="B-767-200",'2023'!$F$4="CA",'2023'!$F$2=AA81),'2023DATA'!$L$17,"")</f>
        <v/>
      </c>
      <c r="AB96" s="518" t="str">
        <f>IF(AND(_AC1="B-767-200",'2023'!$F$4="CA",'2023'!$F$2=AB81),'2023DATA'!$M$17,"")</f>
        <v/>
      </c>
      <c r="AC96" s="520" t="str">
        <f>IF(AND(_AC1="B-767-200",'2023'!$F$4="CA",'2023'!$F$2=AC81),'2023DATA'!$N$17,"")</f>
        <v/>
      </c>
      <c r="AD96" s="940" t="s">
        <v>68</v>
      </c>
      <c r="AE96" s="13" t="s">
        <v>61</v>
      </c>
      <c r="AF96" s="518" t="str">
        <f>IF(AND(_AC2="B-767-200",'2023'!$F$4="CA",'2023'!$F$2=AF81),'2023DATA'!$C$17,"")</f>
        <v/>
      </c>
      <c r="AG96" s="518" t="str">
        <f>IF(AND(_AC2="B-767-200",'2023'!$F$4="CA",'2023'!$F$2=AG81),'2023DATA'!$D$17,"")</f>
        <v/>
      </c>
      <c r="AH96" s="518" t="str">
        <f>IF(AND(_AC2="B-767-200",'2023'!$F$4="CA",'2023'!$F$2=AH81),'2023DATA'!$E$17,"")</f>
        <v/>
      </c>
      <c r="AI96" s="518" t="str">
        <f>IF(AND(_AC2="B-767-200",'2023'!$F$4="CA",'2023'!$F$2=AI81),'2023DATA'!$F$17,"")</f>
        <v/>
      </c>
      <c r="AJ96" s="518" t="str">
        <f>IF(AND(_AC2="B-767-200",'2023'!$F$4="CA",'2023'!$F$2=AJ81),'2023DATA'!$G$17,"")</f>
        <v/>
      </c>
      <c r="AK96" s="518" t="str">
        <f>IF(AND(_AC2="B-767-200",'2023'!$F$4="CA",'2023'!$F$2=AK81),'2023DATA'!$H$17,"")</f>
        <v/>
      </c>
      <c r="AL96" s="518" t="str">
        <f>IF(AND(_AC2="B-767-200",'2023'!$F$4="CA",'2023'!$F$2=AL81),'2023DATA'!$I$17,"")</f>
        <v/>
      </c>
      <c r="AM96" s="518" t="str">
        <f>IF(AND(_AC2="B-767-200",'2023'!$F$4="CA",'2023'!$F$2=AM81),'2023DATA'!$J$17,"")</f>
        <v/>
      </c>
      <c r="AN96" s="518" t="str">
        <f>IF(AND(_AC2="B-767-200",'2023'!$F$4="CA",'2023'!$F$2=AN81),'2023DATA'!$K$17,"")</f>
        <v/>
      </c>
      <c r="AO96" s="518" t="str">
        <f>IF(AND(_AC2="B-767-200",'2023'!$F$4="CA",'2023'!$F$2=AO81),'2023DATA'!$L$17,"")</f>
        <v/>
      </c>
      <c r="AP96" s="518" t="str">
        <f>IF(AND(_AC2="B-767-200",'2023'!$F$4="CA",'2023'!$F$2=AP81),'2023DATA'!$M$17,"")</f>
        <v/>
      </c>
      <c r="AQ96" s="520" t="str">
        <f>IF(AND(_AC2="B-767-200",'2023'!$F$4="CA",'2023'!$F$2=AQ81),'2023DATA'!$N$17,"")</f>
        <v/>
      </c>
      <c r="AR96" s="940" t="s">
        <v>68</v>
      </c>
      <c r="AS96" s="13" t="s">
        <v>61</v>
      </c>
      <c r="AT96" s="518" t="str">
        <f>IF(AND(_AC3="B-767-200",'2023'!$F$4="CA",'2023'!$F$2=AT81),'2023DATA'!$C$17,"")</f>
        <v/>
      </c>
      <c r="AU96" s="518" t="str">
        <f>IF(AND(_AC3="B-767-200",'2023'!$F$4="CA",'2023'!$F$2=AU81),'2023DATA'!$D$17,"")</f>
        <v/>
      </c>
      <c r="AV96" s="518" t="str">
        <f>IF(AND(_AC3="B-767-200",'2023'!$F$4="CA",'2023'!$F$2=AV81),'2023DATA'!$E$17,"")</f>
        <v/>
      </c>
      <c r="AW96" s="518" t="str">
        <f>IF(AND(_AC3="B-767-200",'2023'!$F$4="CA",'2023'!$F$2=AW81),'2023DATA'!$F$17,"")</f>
        <v/>
      </c>
      <c r="AX96" s="518" t="str">
        <f>IF(AND(_AC3="B-767-200",'2023'!$F$4="CA",'2023'!$F$2=AX81),'2023DATA'!$G$17,"")</f>
        <v/>
      </c>
      <c r="AY96" s="518" t="str">
        <f>IF(AND(_AC3="B-767-200",'2023'!$F$4="CA",'2023'!$F$2=AY81),'2023DATA'!$H$17,"")</f>
        <v/>
      </c>
      <c r="AZ96" s="518" t="str">
        <f>IF(AND(_AC3="B-767-200",'2023'!$F$4="CA",'2023'!$F$2=AZ81),'2023DATA'!$I$17,"")</f>
        <v/>
      </c>
      <c r="BA96" s="518" t="str">
        <f>IF(AND(_AC3="B-767-200",'2023'!$F$4="CA",'2023'!$F$2=BA81),'2023DATA'!$J$17,"")</f>
        <v/>
      </c>
      <c r="BB96" s="518" t="str">
        <f>IF(AND(_AC3="B-767-200",'2023'!$F$4="CA",'2023'!$F$2=BB81),'2023DATA'!$K$17,"")</f>
        <v/>
      </c>
      <c r="BC96" s="518" t="str">
        <f>IF(AND(_AC3="B-767-200",'2023'!$F$4="CA",'2023'!$F$2=BC81),'2023DATA'!$L$17,"")</f>
        <v/>
      </c>
      <c r="BD96" s="518" t="str">
        <f>IF(AND(_AC3="B-767-200",'2023'!$F$4="CA",'2023'!$F$2=BD81),'2023DATA'!$M$17,"")</f>
        <v/>
      </c>
      <c r="BE96" s="520" t="str">
        <f>IF(AND(_AC3="B-767-200",'2023'!$F$4="CA",'2023'!$F$2=BE81),'2023DATA'!$N$17,"")</f>
        <v/>
      </c>
      <c r="BF96" s="940" t="s">
        <v>68</v>
      </c>
      <c r="BG96" s="13" t="s">
        <v>61</v>
      </c>
      <c r="BH96" s="518" t="str">
        <f>IF(AND(_AC4="B-767-200",'2023'!$F$4="CA",'2023'!$F$2=BH81),'2023DATA'!$C$17,"")</f>
        <v/>
      </c>
      <c r="BI96" s="518" t="str">
        <f>IF(AND(_AC4="B-767-200",'2023'!$F$4="CA",'2023'!$F$2=BI81),'2023DATA'!$D$17,"")</f>
        <v/>
      </c>
      <c r="BJ96" s="518" t="str">
        <f>IF(AND(_AC4="B-767-200",'2023'!$F$4="CA",'2023'!$F$2=BJ81),'2023DATA'!$E$17,"")</f>
        <v/>
      </c>
      <c r="BK96" s="518" t="str">
        <f>IF(AND(_AC4="B-767-200",'2023'!$F$4="CA",'2023'!$F$2=BK81),'2023DATA'!$F$17,"")</f>
        <v/>
      </c>
      <c r="BL96" s="518" t="str">
        <f>IF(AND(_AC4="B-767-200",'2023'!$F$4="CA",'2023'!$F$2=BL81),'2023DATA'!$G$17,"")</f>
        <v/>
      </c>
      <c r="BM96" s="518" t="str">
        <f>IF(AND(_AC4="B-767-200",'2023'!$F$4="CA",'2023'!$F$2=BM81),'2023DATA'!$H$17,"")</f>
        <v/>
      </c>
      <c r="BN96" s="518" t="str">
        <f>IF(AND(_AC4="B-767-200",'2023'!$F$4="CA",'2023'!$F$2=BN81),'2023DATA'!$I$17,"")</f>
        <v/>
      </c>
      <c r="BO96" s="518" t="str">
        <f>IF(AND(_AC4="B-767-200",'2023'!$F$4="CA",'2023'!$F$2=BO81),'2023DATA'!$J$17,"")</f>
        <v/>
      </c>
      <c r="BP96" s="518" t="str">
        <f>IF(AND(_AC4="B-767-200",'2023'!$F$4="CA",'2023'!$F$2=BP81),'2023DATA'!$K$17,"")</f>
        <v/>
      </c>
      <c r="BQ96" s="518" t="str">
        <f>IF(AND(_AC4="B-767-200",'2023'!$F$4="CA",'2023'!$F$2=BQ81),'2023DATA'!$L$17,"")</f>
        <v/>
      </c>
      <c r="BR96" s="518" t="str">
        <f>IF(AND(_AC4="B-767-200",'2023'!$F$4="CA",'2023'!$F$2=BR81),'2023DATA'!$M$17,"")</f>
        <v/>
      </c>
      <c r="BS96" s="520" t="str">
        <f>IF(AND(_AC4="B-767-200",'2023'!$F$4="CA",'2023'!$F$2=BS81),'2023DATA'!$N$17,"")</f>
        <v/>
      </c>
      <c r="BT96" s="940" t="s">
        <v>68</v>
      </c>
      <c r="BU96" s="13" t="s">
        <v>61</v>
      </c>
      <c r="BV96" s="518" t="str">
        <f>IF(AND(_AC5="B-767-200",'2023'!$F$4="CA",'2023'!$F$2=BV81),'2023DATA'!$C$17,"")</f>
        <v/>
      </c>
      <c r="BW96" s="518" t="str">
        <f>IF(AND(_AC5="B-767-200",'2023'!$F$4="CA",'2023'!$F$2=BW81),'2023DATA'!$D$17,"")</f>
        <v/>
      </c>
      <c r="BX96" s="518" t="str">
        <f>IF(AND(_AC5="B-767-200",'2023'!$F$4="CA",'2023'!$F$2=BX81),'2023DATA'!$E$17,"")</f>
        <v/>
      </c>
      <c r="BY96" s="518" t="str">
        <f>IF(AND(_AC5="B-767-200",'2023'!$F$4="CA",'2023'!$F$2=BY81),'2023DATA'!$F$17,"")</f>
        <v/>
      </c>
      <c r="BZ96" s="518" t="str">
        <f>IF(AND(_AC5="B-767-200",'2023'!$F$4="CA",'2023'!$F$2=BZ81),'2023DATA'!$G$17,"")</f>
        <v/>
      </c>
      <c r="CA96" s="518" t="str">
        <f>IF(AND(_AC5="B-767-200",'2023'!$F$4="CA",'2023'!$F$2=CA81),'2023DATA'!$H$17,"")</f>
        <v/>
      </c>
      <c r="CB96" s="518" t="str">
        <f>IF(AND(_AC5="B-767-200",'2023'!$F$4="CA",'2023'!$F$2=CB81),'2023DATA'!$I$17,"")</f>
        <v/>
      </c>
      <c r="CC96" s="518" t="str">
        <f>IF(AND(_AC5="B-767-200",'2023'!$F$4="CA",'2023'!$F$2=CC81),'2023DATA'!$J$17,"")</f>
        <v/>
      </c>
      <c r="CD96" s="518" t="str">
        <f>IF(AND(_AC5="B-767-200",'2023'!$F$4="CA",'2023'!$F$2=CD81),'2023DATA'!$K$17,"")</f>
        <v/>
      </c>
      <c r="CE96" s="518" t="str">
        <f>IF(AND(_AC5="B-767-200",'2023'!$F$4="CA",'2023'!$F$2=CE81),'2023DATA'!$L$17,"")</f>
        <v/>
      </c>
      <c r="CF96" s="518" t="str">
        <f>IF(AND(_AC5="B-767-200",'2023'!$F$4="CA",'2023'!$F$2=CF81),'2023DATA'!$M$17,"")</f>
        <v/>
      </c>
      <c r="CG96" s="520" t="str">
        <f>IF(AND(_AC5="B-767-200",'2023'!$F$4="CA",'2023'!$F$2=CG81),'2023DATA'!$N$17,"")</f>
        <v/>
      </c>
      <c r="CH96" s="940" t="s">
        <v>68</v>
      </c>
      <c r="CI96" s="13" t="s">
        <v>61</v>
      </c>
      <c r="CJ96" s="518" t="str">
        <f>IF(AND(_AC6="B-767-200",'2023'!$F$4="CA",'2023'!$F$2=CJ81),'2023DATA'!$C$17,"")</f>
        <v/>
      </c>
      <c r="CK96" s="518" t="str">
        <f>IF(AND(_AC6="B-767-200",'2023'!$F$4="CA",'2023'!$F$2=CK81),'2023DATA'!$D$17,"")</f>
        <v/>
      </c>
      <c r="CL96" s="518" t="str">
        <f>IF(AND(_AC6="B-767-200",'2023'!$F$4="CA",'2023'!$F$2=CL81),'2023DATA'!$E$17,"")</f>
        <v/>
      </c>
      <c r="CM96" s="518" t="str">
        <f>IF(AND(_AC6="B-767-200",'2023'!$F$4="CA",'2023'!$F$2=CM81),'2023DATA'!$F$17,"")</f>
        <v/>
      </c>
      <c r="CN96" s="518" t="str">
        <f>IF(AND(_AC6="B-767-200",'2023'!$F$4="CA",'2023'!$F$2=CN81),'2023DATA'!$G$17,"")</f>
        <v/>
      </c>
      <c r="CO96" s="518" t="str">
        <f>IF(AND(_AC6="B-767-200",'2023'!$F$4="CA",'2023'!$F$2=CO81),'2023DATA'!$H$17,"")</f>
        <v/>
      </c>
      <c r="CP96" s="518" t="str">
        <f>IF(AND(_AC6="B-767-200",'2023'!$F$4="CA",'2023'!$F$2=CP81),'2023DATA'!$I$17,"")</f>
        <v/>
      </c>
      <c r="CQ96" s="518" t="str">
        <f>IF(AND(_AC6="B-767-200",'2023'!$F$4="CA",'2023'!$F$2=CQ81),'2023DATA'!$J$17,"")</f>
        <v/>
      </c>
      <c r="CR96" s="518" t="str">
        <f>IF(AND(_AC6="B-767-200",'2023'!$F$4="CA",'2023'!$F$2=CR81),'2023DATA'!$K$17,"")</f>
        <v/>
      </c>
      <c r="CS96" s="518" t="str">
        <f>IF(AND(_AC6="B-767-200",'2023'!$F$4="CA",'2023'!$F$2=CS81),'2023DATA'!$L$17,"")</f>
        <v/>
      </c>
      <c r="CT96" s="518" t="str">
        <f>IF(AND(_AC6="B-767-200",'2023'!$F$4="CA",'2023'!$F$2=CT81),'2023DATA'!$M$17,"")</f>
        <v/>
      </c>
      <c r="CU96" s="520" t="str">
        <f>IF(AND(_AC6="B-767-200",'2023'!$F$4="CA",'2023'!$F$2=CU81),'2023DATA'!$N$17,"")</f>
        <v/>
      </c>
    </row>
    <row r="97" spans="16:99" x14ac:dyDescent="0.25">
      <c r="P97" s="940"/>
      <c r="Q97" s="13" t="s">
        <v>62</v>
      </c>
      <c r="R97" s="518" t="str">
        <f>IF(AND(_AC1="B-767-200",'2023'!$F$4="FO",'2023'!$F$2=R81),'2023DATA'!$C$18,"")</f>
        <v/>
      </c>
      <c r="S97" s="518" t="str">
        <f>IF(AND(_AC1="B-767-200",'2023'!$F$4="FO",'2023'!$F$2=S81),'2023DATA'!$D$18,"")</f>
        <v/>
      </c>
      <c r="T97" s="518" t="str">
        <f>IF(AND(_AC1="B-767-200",'2023'!$F$4="FO",'2023'!$F$2=T81),'2023DATA'!$E$18,"")</f>
        <v/>
      </c>
      <c r="U97" s="518" t="str">
        <f>IF(AND(_AC1="B-767-200",'2023'!$F$4="FO",'2023'!$F$2=U81),'2023DATA'!$F$18,"")</f>
        <v/>
      </c>
      <c r="V97" s="518" t="str">
        <f>IF(AND(_AC1="B-767-200",'2023'!$F$4="FO",'2023'!$F$2=V81),'2023DATA'!$G$18,"")</f>
        <v/>
      </c>
      <c r="W97" s="518" t="str">
        <f>IF(AND(_AC1="B-767-200",'2023'!$F$4="FO",'2023'!$F$2=W81),'2023DATA'!$H$18,"")</f>
        <v/>
      </c>
      <c r="X97" s="518" t="str">
        <f>IF(AND(_AC1="B-767-200",'2023'!$F$4="FO",'2023'!$F$2=X81),'2023DATA'!$I$18,"")</f>
        <v/>
      </c>
      <c r="Y97" s="518" t="str">
        <f>IF(AND(_AC1="B-767-200",'2023'!$F$4="FO",'2023'!$F$2=Y81),'2023DATA'!$J$18,"")</f>
        <v/>
      </c>
      <c r="Z97" s="518" t="str">
        <f>IF(AND(_AC1="B-767-200",'2023'!$F$4="FO",'2023'!$F$2=Z81),'2023DATA'!$K$18,"")</f>
        <v/>
      </c>
      <c r="AA97" s="518" t="str">
        <f>IF(AND(_AC1="B-767-200",'2023'!$F$4="FO",'2023'!$F$2=AA81),'2023DATA'!$L$18,"")</f>
        <v/>
      </c>
      <c r="AB97" s="518" t="str">
        <f>IF(AND(_AC1="B-767-200",'2023'!$F$4="FO",'2023'!$F$2=AB81),'2023DATA'!$M$18,"")</f>
        <v/>
      </c>
      <c r="AC97" s="520" t="str">
        <f>IF(AND(_AC1="B-767-200",'2023'!$F$4="FO",'2023'!$F$2=AC81),'2023DATA'!$N$18,"")</f>
        <v/>
      </c>
      <c r="AD97" s="940"/>
      <c r="AE97" s="13" t="s">
        <v>62</v>
      </c>
      <c r="AF97" s="518" t="str">
        <f>IF(AND(_AC2="B-767-200",'2023'!$F$4="FO",'2023'!$F$2=AF81),'2023DATA'!$C$18,"")</f>
        <v/>
      </c>
      <c r="AG97" s="518" t="str">
        <f>IF(AND(_AC2="B-767-200",'2023'!$F$4="FO",'2023'!$F$2=AG81),'2023DATA'!$D$18,"")</f>
        <v/>
      </c>
      <c r="AH97" s="518" t="str">
        <f>IF(AND(_AC2="B-767-200",'2023'!$F$4="FO",'2023'!$F$2=AH81),'2023DATA'!$E$18,"")</f>
        <v/>
      </c>
      <c r="AI97" s="518" t="str">
        <f>IF(AND(_AC2="B-767-200",'2023'!$F$4="FO",'2023'!$F$2=AI81),'2023DATA'!$F$18,"")</f>
        <v/>
      </c>
      <c r="AJ97" s="518" t="str">
        <f>IF(AND(_AC2="B-767-200",'2023'!$F$4="FO",'2023'!$F$2=AJ81),'2023DATA'!$G$18,"")</f>
        <v/>
      </c>
      <c r="AK97" s="518" t="str">
        <f>IF(AND(_AC2="B-767-200",'2023'!$F$4="FO",'2023'!$F$2=AK81),'2023DATA'!$H$18,"")</f>
        <v/>
      </c>
      <c r="AL97" s="518" t="str">
        <f>IF(AND(_AC2="B-767-200",'2023'!$F$4="FO",'2023'!$F$2=AL81),'2023DATA'!$I$18,"")</f>
        <v/>
      </c>
      <c r="AM97" s="518" t="str">
        <f>IF(AND(_AC2="B-767-200",'2023'!$F$4="FO",'2023'!$F$2=AM81),'2023DATA'!$J$18,"")</f>
        <v/>
      </c>
      <c r="AN97" s="518" t="str">
        <f>IF(AND(_AC2="B-767-200",'2023'!$F$4="FO",'2023'!$F$2=AN81),'2023DATA'!$K$18,"")</f>
        <v/>
      </c>
      <c r="AO97" s="518" t="str">
        <f>IF(AND(_AC2="B-767-200",'2023'!$F$4="FO",'2023'!$F$2=AO81),'2023DATA'!$L$18,"")</f>
        <v/>
      </c>
      <c r="AP97" s="518" t="str">
        <f>IF(AND(_AC2="B-767-200",'2023'!$F$4="FO",'2023'!$F$2=AP81),'2023DATA'!$M$18,"")</f>
        <v/>
      </c>
      <c r="AQ97" s="520" t="str">
        <f>IF(AND(_AC2="B-767-200",'2023'!$F$4="FO",'2023'!$F$2=AQ81),'2023DATA'!$N$18,"")</f>
        <v/>
      </c>
      <c r="AR97" s="940"/>
      <c r="AS97" s="13" t="s">
        <v>62</v>
      </c>
      <c r="AT97" s="518" t="str">
        <f>IF(AND(_AC3="B-767-200",'2023'!$F$4="FO",'2023'!$F$2=AT81),'2023DATA'!$C$18,"")</f>
        <v/>
      </c>
      <c r="AU97" s="518" t="str">
        <f>IF(AND(_AC3="B-767-200",'2023'!$F$4="FO",'2023'!$F$2=AU81),'2023DATA'!$D$18,"")</f>
        <v/>
      </c>
      <c r="AV97" s="518" t="str">
        <f>IF(AND(_AC3="B-767-200",'2023'!$F$4="FO",'2023'!$F$2=AV81),'2023DATA'!$E$18,"")</f>
        <v/>
      </c>
      <c r="AW97" s="518" t="str">
        <f>IF(AND(_AC3="B-767-200",'2023'!$F$4="FO",'2023'!$F$2=AW81),'2023DATA'!$F$18,"")</f>
        <v/>
      </c>
      <c r="AX97" s="518" t="str">
        <f>IF(AND(_AC3="B-767-200",'2023'!$F$4="FO",'2023'!$F$2=AX81),'2023DATA'!$G$18,"")</f>
        <v/>
      </c>
      <c r="AY97" s="518" t="str">
        <f>IF(AND(_AC3="B-767-200",'2023'!$F$4="FO",'2023'!$F$2=AY81),'2023DATA'!$H$18,"")</f>
        <v/>
      </c>
      <c r="AZ97" s="518" t="str">
        <f>IF(AND(_AC3="B-767-200",'2023'!$F$4="FO",'2023'!$F$2=AZ81),'2023DATA'!$I$18,"")</f>
        <v/>
      </c>
      <c r="BA97" s="518" t="str">
        <f>IF(AND(_AC3="B-767-200",'2023'!$F$4="FO",'2023'!$F$2=BA81),'2023DATA'!$J$18,"")</f>
        <v/>
      </c>
      <c r="BB97" s="518" t="str">
        <f>IF(AND(_AC3="B-767-200",'2023'!$F$4="FO",'2023'!$F$2=BB81),'2023DATA'!$K$18,"")</f>
        <v/>
      </c>
      <c r="BC97" s="518" t="str">
        <f>IF(AND(_AC3="B-767-200",'2023'!$F$4="FO",'2023'!$F$2=BC81),'2023DATA'!$L$18,"")</f>
        <v/>
      </c>
      <c r="BD97" s="518" t="str">
        <f>IF(AND(_AC3="B-767-200",'2023'!$F$4="FO",'2023'!$F$2=BD81),'2023DATA'!$M$18,"")</f>
        <v/>
      </c>
      <c r="BE97" s="520" t="str">
        <f>IF(AND(_AC3="B-767-200",'2023'!$F$4="FO",'2023'!$F$2=BE81),'2023DATA'!$N$18,"")</f>
        <v/>
      </c>
      <c r="BF97" s="940"/>
      <c r="BG97" s="13" t="s">
        <v>62</v>
      </c>
      <c r="BH97" s="518" t="str">
        <f>IF(AND(_AC4="B-767-200",'2023'!$F$4="FO",'2023'!$F$2=BH81),'2023DATA'!$C$18,"")</f>
        <v/>
      </c>
      <c r="BI97" s="518" t="str">
        <f>IF(AND(_AC4="B-767-200",'2023'!$F$4="FO",'2023'!$F$2=BI81),'2023DATA'!$D$18,"")</f>
        <v/>
      </c>
      <c r="BJ97" s="518" t="str">
        <f>IF(AND(_AC4="B-767-200",'2023'!$F$4="FO",'2023'!$F$2=BJ81),'2023DATA'!$E$18,"")</f>
        <v/>
      </c>
      <c r="BK97" s="518" t="str">
        <f>IF(AND(_AC4="B-767-200",'2023'!$F$4="FO",'2023'!$F$2=BK81),'2023DATA'!$F$18,"")</f>
        <v/>
      </c>
      <c r="BL97" s="518" t="str">
        <f>IF(AND(_AC4="B-767-200",'2023'!$F$4="FO",'2023'!$F$2=BL81),'2023DATA'!$G$18,"")</f>
        <v/>
      </c>
      <c r="BM97" s="518" t="str">
        <f>IF(AND(_AC4="B-767-200",'2023'!$F$4="FO",'2023'!$F$2=BM81),'2023DATA'!$H$18,"")</f>
        <v/>
      </c>
      <c r="BN97" s="518" t="str">
        <f>IF(AND(_AC4="B-767-200",'2023'!$F$4="FO",'2023'!$F$2=BN81),'2023DATA'!$I$18,"")</f>
        <v/>
      </c>
      <c r="BO97" s="518" t="str">
        <f>IF(AND(_AC4="B-767-200",'2023'!$F$4="FO",'2023'!$F$2=BO81),'2023DATA'!$J$18,"")</f>
        <v/>
      </c>
      <c r="BP97" s="518" t="str">
        <f>IF(AND(_AC4="B-767-200",'2023'!$F$4="FO",'2023'!$F$2=BP81),'2023DATA'!$K$18,"")</f>
        <v/>
      </c>
      <c r="BQ97" s="518" t="str">
        <f>IF(AND(_AC4="B-767-200",'2023'!$F$4="FO",'2023'!$F$2=BQ81),'2023DATA'!$L$18,"")</f>
        <v/>
      </c>
      <c r="BR97" s="518" t="str">
        <f>IF(AND(_AC4="B-767-200",'2023'!$F$4="FO",'2023'!$F$2=BR81),'2023DATA'!$M$18,"")</f>
        <v/>
      </c>
      <c r="BS97" s="520" t="str">
        <f>IF(AND(_AC4="B-767-200",'2023'!$F$4="FO",'2023'!$F$2=BS81),'2023DATA'!$N$18,"")</f>
        <v/>
      </c>
      <c r="BT97" s="940"/>
      <c r="BU97" s="13" t="s">
        <v>62</v>
      </c>
      <c r="BV97" s="518" t="str">
        <f>IF(AND(_AC5="B-767-200",'2023'!$F$4="FO",'2023'!$F$2=BV81),'2023DATA'!$C$18,"")</f>
        <v/>
      </c>
      <c r="BW97" s="518" t="str">
        <f>IF(AND(_AC5="B-767-200",'2023'!$F$4="FO",'2023'!$F$2=BW81),'2023DATA'!$D$18,"")</f>
        <v/>
      </c>
      <c r="BX97" s="518" t="str">
        <f>IF(AND(_AC5="B-767-200",'2023'!$F$4="FO",'2023'!$F$2=BX81),'2023DATA'!$E$18,"")</f>
        <v/>
      </c>
      <c r="BY97" s="518" t="str">
        <f>IF(AND(_AC5="B-767-200",'2023'!$F$4="FO",'2023'!$F$2=BY81),'2023DATA'!$F$18,"")</f>
        <v/>
      </c>
      <c r="BZ97" s="518" t="str">
        <f>IF(AND(_AC5="B-767-200",'2023'!$F$4="FO",'2023'!$F$2=BZ81),'2023DATA'!$G$18,"")</f>
        <v/>
      </c>
      <c r="CA97" s="518" t="str">
        <f>IF(AND(_AC5="B-767-200",'2023'!$F$4="FO",'2023'!$F$2=CA81),'2023DATA'!$H$18,"")</f>
        <v/>
      </c>
      <c r="CB97" s="518" t="str">
        <f>IF(AND(_AC5="B-767-200",'2023'!$F$4="FO",'2023'!$F$2=CB81),'2023DATA'!$I$18,"")</f>
        <v/>
      </c>
      <c r="CC97" s="518" t="str">
        <f>IF(AND(_AC5="B-767-200",'2023'!$F$4="FO",'2023'!$F$2=CC81),'2023DATA'!$J$18,"")</f>
        <v/>
      </c>
      <c r="CD97" s="518" t="str">
        <f>IF(AND(_AC5="B-767-200",'2023'!$F$4="FO",'2023'!$F$2=CD81),'2023DATA'!$K$18,"")</f>
        <v/>
      </c>
      <c r="CE97" s="518" t="str">
        <f>IF(AND(_AC5="B-767-200",'2023'!$F$4="FO",'2023'!$F$2=CE81),'2023DATA'!$L$18,"")</f>
        <v/>
      </c>
      <c r="CF97" s="518" t="str">
        <f>IF(AND(_AC5="B-767-200",'2023'!$F$4="FO",'2023'!$F$2=CF81),'2023DATA'!$M$18,"")</f>
        <v/>
      </c>
      <c r="CG97" s="520" t="str">
        <f>IF(AND(_AC5="B-767-200",'2023'!$F$4="FO",'2023'!$F$2=CG81),'2023DATA'!$N$18,"")</f>
        <v/>
      </c>
      <c r="CH97" s="940"/>
      <c r="CI97" s="13" t="s">
        <v>62</v>
      </c>
      <c r="CJ97" s="518" t="str">
        <f>IF(AND(_AC6="B-767-200",'2023'!$F$4="FO",'2023'!$F$2=CJ81),'2023DATA'!$C$18,"")</f>
        <v/>
      </c>
      <c r="CK97" s="518" t="str">
        <f>IF(AND(_AC6="B-767-200",'2023'!$F$4="FO",'2023'!$F$2=CK81),'2023DATA'!$D$18,"")</f>
        <v/>
      </c>
      <c r="CL97" s="518" t="str">
        <f>IF(AND(_AC6="B-767-200",'2023'!$F$4="FO",'2023'!$F$2=CL81),'2023DATA'!$E$18,"")</f>
        <v/>
      </c>
      <c r="CM97" s="518" t="str">
        <f>IF(AND(_AC6="B-767-200",'2023'!$F$4="FO",'2023'!$F$2=CM81),'2023DATA'!$F$18,"")</f>
        <v/>
      </c>
      <c r="CN97" s="518" t="str">
        <f>IF(AND(_AC6="B-767-200",'2023'!$F$4="FO",'2023'!$F$2=CN81),'2023DATA'!$G$18,"")</f>
        <v/>
      </c>
      <c r="CO97" s="518" t="str">
        <f>IF(AND(_AC6="B-767-200",'2023'!$F$4="FO",'2023'!$F$2=CO81),'2023DATA'!$H$18,"")</f>
        <v/>
      </c>
      <c r="CP97" s="518" t="str">
        <f>IF(AND(_AC6="B-767-200",'2023'!$F$4="FO",'2023'!$F$2=CP81),'2023DATA'!$I$18,"")</f>
        <v/>
      </c>
      <c r="CQ97" s="518" t="str">
        <f>IF(AND(_AC6="B-767-200",'2023'!$F$4="FO",'2023'!$F$2=CQ81),'2023DATA'!$J$18,"")</f>
        <v/>
      </c>
      <c r="CR97" s="518" t="str">
        <f>IF(AND(_AC6="B-767-200",'2023'!$F$4="FO",'2023'!$F$2=CR81),'2023DATA'!$K$18,"")</f>
        <v/>
      </c>
      <c r="CS97" s="518" t="str">
        <f>IF(AND(_AC6="B-767-200",'2023'!$F$4="FO",'2023'!$F$2=CS81),'2023DATA'!$L$18,"")</f>
        <v/>
      </c>
      <c r="CT97" s="518" t="str">
        <f>IF(AND(_AC6="B-767-200",'2023'!$F$4="FO",'2023'!$F$2=CT81),'2023DATA'!$M$18,"")</f>
        <v/>
      </c>
      <c r="CU97" s="520" t="str">
        <f>IF(AND(_AC6="B-767-200",'2023'!$F$4="FO",'2023'!$F$2=CU81),'2023DATA'!$N$18,"")</f>
        <v/>
      </c>
    </row>
    <row r="98" spans="16:99" x14ac:dyDescent="0.25">
      <c r="P98" s="940" t="s">
        <v>45</v>
      </c>
      <c r="Q98" s="13" t="s">
        <v>61</v>
      </c>
      <c r="R98" s="518" t="str">
        <f>IF(AND(_AC1="B-757",'2023'!$F$4="CA",'2023'!$F$2=R81),'2023DATA'!$C$19,"")</f>
        <v/>
      </c>
      <c r="S98" s="518" t="str">
        <f>IF(AND(_AC1="B-757",'2023'!$F$4="CA",'2023'!$F$2=S81),'2023DATA'!$D$19,"")</f>
        <v/>
      </c>
      <c r="T98" s="518" t="str">
        <f>IF(AND(_AC1="B-757",'2023'!$F$4="CA",'2023'!$F$2=T81),'2023DATA'!$E$19,"")</f>
        <v/>
      </c>
      <c r="U98" s="518" t="str">
        <f>IF(AND(_AC1="B-757",'2023'!$F$4="CA",'2023'!$F$2=U81),'2023DATA'!$F$19,"")</f>
        <v/>
      </c>
      <c r="V98" s="518" t="str">
        <f>IF(AND(_AC1="B-757",'2023'!$F$4="CA",'2023'!$F$2=V81),'2023DATA'!$G$19,"")</f>
        <v/>
      </c>
      <c r="W98" s="518" t="str">
        <f>IF(AND(_AC1="B-757",'2023'!$F$4="CA",'2023'!$F$2=W81),'2023DATA'!$H$19,"")</f>
        <v/>
      </c>
      <c r="X98" s="518" t="str">
        <f>IF(AND(_AC1="B-757",'2023'!$F$4="CA",'2023'!$F$2=X81),'2023DATA'!$I$19,"")</f>
        <v/>
      </c>
      <c r="Y98" s="518" t="str">
        <f>IF(AND(_AC1="B-757",'2023'!$F$4="CA",'2023'!$F$2=Y81),'2023DATA'!$J$19,"")</f>
        <v/>
      </c>
      <c r="Z98" s="518" t="str">
        <f>IF(AND(_AC1="B-757",'2023'!$F$4="CA",'2023'!$F$2=Z81),'2023DATA'!$K$19,"")</f>
        <v/>
      </c>
      <c r="AA98" s="518" t="str">
        <f>IF(AND(_AC1="B-757",'2023'!$F$4="CA",'2023'!$F$2=AA81),'2023DATA'!$L$19,"")</f>
        <v/>
      </c>
      <c r="AB98" s="518" t="str">
        <f>IF(AND(_AC1="B-757",'2023'!$F$4="CA",'2023'!$F$2=AB81),'2023DATA'!$M$19,"")</f>
        <v/>
      </c>
      <c r="AC98" s="520" t="str">
        <f>IF(AND(_AC1="B-757",'2023'!$F$4="CA",'2023'!$F$2=AC81),'2023DATA'!$N$19,"")</f>
        <v/>
      </c>
      <c r="AD98" s="940" t="s">
        <v>45</v>
      </c>
      <c r="AE98" s="13" t="s">
        <v>61</v>
      </c>
      <c r="AF98" s="518" t="str">
        <f>IF(AND(_AC2="B-757",'2023'!$F$4="CA",'2023'!$F$2=AF81),'2023DATA'!$C$19,"")</f>
        <v/>
      </c>
      <c r="AG98" s="518" t="str">
        <f>IF(AND(_AC2="B-757",'2023'!$F$4="CA",'2023'!$F$2=AG81),'2023DATA'!$D$19,"")</f>
        <v/>
      </c>
      <c r="AH98" s="518" t="str">
        <f>IF(AND(_AC2="B-757",'2023'!$F$4="CA",'2023'!$F$2=AH81),'2023DATA'!$E$19,"")</f>
        <v/>
      </c>
      <c r="AI98" s="518" t="str">
        <f>IF(AND(_AC2="B-757",'2023'!$F$4="CA",'2023'!$F$2=AI81),'2023DATA'!$F$19,"")</f>
        <v/>
      </c>
      <c r="AJ98" s="518" t="str">
        <f>IF(AND(_AC2="B-757",'2023'!$F$4="CA",'2023'!$F$2=AJ81),'2023DATA'!$G$19,"")</f>
        <v/>
      </c>
      <c r="AK98" s="518" t="str">
        <f>IF(AND(_AC2="B-757",'2023'!$F$4="CA",'2023'!$F$2=AK81),'2023DATA'!$H$19,"")</f>
        <v/>
      </c>
      <c r="AL98" s="518" t="str">
        <f>IF(AND(_AC2="B-757",'2023'!$F$4="CA",'2023'!$F$2=AL81),'2023DATA'!$I$19,"")</f>
        <v/>
      </c>
      <c r="AM98" s="518" t="str">
        <f>IF(AND(_AC2="B-757",'2023'!$F$4="CA",'2023'!$F$2=AM81),'2023DATA'!$J$19,"")</f>
        <v/>
      </c>
      <c r="AN98" s="518" t="str">
        <f>IF(AND(_AC2="B-757",'2023'!$F$4="CA",'2023'!$F$2=AN81),'2023DATA'!$K$19,"")</f>
        <v/>
      </c>
      <c r="AO98" s="518" t="str">
        <f>IF(AND(_AC2="B-757",'2023'!$F$4="CA",'2023'!$F$2=AO81),'2023DATA'!$L$19,"")</f>
        <v/>
      </c>
      <c r="AP98" s="518" t="str">
        <f>IF(AND(_AC2="B-757",'2023'!$F$4="CA",'2023'!$F$2=AP81),'2023DATA'!$M$19,"")</f>
        <v/>
      </c>
      <c r="AQ98" s="520" t="str">
        <f>IF(AND(_AC2="B-757",'2023'!$F$4="CA",'2023'!$F$2=AQ81),'2023DATA'!$N$19,"")</f>
        <v/>
      </c>
      <c r="AR98" s="940" t="s">
        <v>45</v>
      </c>
      <c r="AS98" s="13" t="s">
        <v>61</v>
      </c>
      <c r="AT98" s="518" t="str">
        <f>IF(AND(_AC3="B-757",'2023'!$F$4="CA",'2023'!$F$2=AT81),'2023DATA'!$C$19,"")</f>
        <v/>
      </c>
      <c r="AU98" s="518" t="str">
        <f>IF(AND(_AC3="B-757",'2023'!$F$4="CA",'2023'!$F$2=AU81),'2023DATA'!$D$19,"")</f>
        <v/>
      </c>
      <c r="AV98" s="518" t="str">
        <f>IF(AND(_AC3="B-757",'2023'!$F$4="CA",'2023'!$F$2=AV81),'2023DATA'!$E$19,"")</f>
        <v/>
      </c>
      <c r="AW98" s="518" t="str">
        <f>IF(AND(_AC3="B-757",'2023'!$F$4="CA",'2023'!$F$2=AW81),'2023DATA'!$F$19,"")</f>
        <v/>
      </c>
      <c r="AX98" s="518" t="str">
        <f>IF(AND(_AC3="B-757",'2023'!$F$4="CA",'2023'!$F$2=AX81),'2023DATA'!$G$19,"")</f>
        <v/>
      </c>
      <c r="AY98" s="518" t="str">
        <f>IF(AND(_AC3="B-757",'2023'!$F$4="CA",'2023'!$F$2=AY81),'2023DATA'!$H$19,"")</f>
        <v/>
      </c>
      <c r="AZ98" s="518" t="str">
        <f>IF(AND(_AC3="B-757",'2023'!$F$4="CA",'2023'!$F$2=AZ81),'2023DATA'!$I$19,"")</f>
        <v/>
      </c>
      <c r="BA98" s="518" t="str">
        <f>IF(AND(_AC3="B-757",'2023'!$F$4="CA",'2023'!$F$2=BA81),'2023DATA'!$J$19,"")</f>
        <v/>
      </c>
      <c r="BB98" s="518" t="str">
        <f>IF(AND(_AC3="B-757",'2023'!$F$4="CA",'2023'!$F$2=BB81),'2023DATA'!$K$19,"")</f>
        <v/>
      </c>
      <c r="BC98" s="518" t="str">
        <f>IF(AND(_AC3="B-757",'2023'!$F$4="CA",'2023'!$F$2=BC81),'2023DATA'!$L$19,"")</f>
        <v/>
      </c>
      <c r="BD98" s="518" t="str">
        <f>IF(AND(_AC3="B-757",'2023'!$F$4="CA",'2023'!$F$2=BD81),'2023DATA'!$M$19,"")</f>
        <v/>
      </c>
      <c r="BE98" s="520" t="str">
        <f>IF(AND(_AC3="B-757",'2023'!$F$4="CA",'2023'!$F$2=BE81),'2023DATA'!$N$19,"")</f>
        <v/>
      </c>
      <c r="BF98" s="940" t="s">
        <v>45</v>
      </c>
      <c r="BG98" s="13" t="s">
        <v>61</v>
      </c>
      <c r="BH98" s="518" t="str">
        <f>IF(AND(_AC4="B-757",'2023'!$F$4="CA",'2023'!$F$2=BH81),'2023DATA'!$C$19,"")</f>
        <v/>
      </c>
      <c r="BI98" s="518" t="str">
        <f>IF(AND(_AC4="B-757",'2023'!$F$4="CA",'2023'!$F$2=BI81),'2023DATA'!$D$19,"")</f>
        <v/>
      </c>
      <c r="BJ98" s="518" t="str">
        <f>IF(AND(_AC4="B-757",'2023'!$F$4="CA",'2023'!$F$2=BJ81),'2023DATA'!$E$19,"")</f>
        <v/>
      </c>
      <c r="BK98" s="518" t="str">
        <f>IF(AND(_AC4="B-757",'2023'!$F$4="CA",'2023'!$F$2=BK81),'2023DATA'!$F$19,"")</f>
        <v/>
      </c>
      <c r="BL98" s="518" t="str">
        <f>IF(AND(_AC4="B-757",'2023'!$F$4="CA",'2023'!$F$2=BL81),'2023DATA'!$G$19,"")</f>
        <v/>
      </c>
      <c r="BM98" s="518" t="str">
        <f>IF(AND(_AC4="B-757",'2023'!$F$4="CA",'2023'!$F$2=BM81),'2023DATA'!$H$19,"")</f>
        <v/>
      </c>
      <c r="BN98" s="518" t="str">
        <f>IF(AND(_AC4="B-757",'2023'!$F$4="CA",'2023'!$F$2=BN81),'2023DATA'!$I$19,"")</f>
        <v/>
      </c>
      <c r="BO98" s="518" t="str">
        <f>IF(AND(_AC4="B-757",'2023'!$F$4="CA",'2023'!$F$2=BO81),'2023DATA'!$J$19,"")</f>
        <v/>
      </c>
      <c r="BP98" s="518" t="str">
        <f>IF(AND(_AC4="B-757",'2023'!$F$4="CA",'2023'!$F$2=BP81),'2023DATA'!$K$19,"")</f>
        <v/>
      </c>
      <c r="BQ98" s="518" t="str">
        <f>IF(AND(_AC4="B-757",'2023'!$F$4="CA",'2023'!$F$2=BQ81),'2023DATA'!$L$19,"")</f>
        <v/>
      </c>
      <c r="BR98" s="518" t="str">
        <f>IF(AND(_AC4="B-757",'2023'!$F$4="CA",'2023'!$F$2=BR81),'2023DATA'!$M$19,"")</f>
        <v/>
      </c>
      <c r="BS98" s="520" t="str">
        <f>IF(AND(_AC4="B-757",'2023'!$F$4="CA",'2023'!$F$2=BS81),'2023DATA'!$N$19,"")</f>
        <v/>
      </c>
      <c r="BT98" s="940" t="s">
        <v>45</v>
      </c>
      <c r="BU98" s="13" t="s">
        <v>61</v>
      </c>
      <c r="BV98" s="518" t="str">
        <f>IF(AND(_AC5="B-757",'2023'!$F$4="CA",'2023'!$F$2=BV81),'2023DATA'!$C$19,"")</f>
        <v/>
      </c>
      <c r="BW98" s="518" t="str">
        <f>IF(AND(_AC5="B-757",'2023'!$F$4="CA",'2023'!$F$2=BW81),'2023DATA'!$D$19,"")</f>
        <v/>
      </c>
      <c r="BX98" s="518" t="str">
        <f>IF(AND(_AC5="B-757",'2023'!$F$4="CA",'2023'!$F$2=BX81),'2023DATA'!$E$19,"")</f>
        <v/>
      </c>
      <c r="BY98" s="518" t="str">
        <f>IF(AND(_AC5="B-757",'2023'!$F$4="CA",'2023'!$F$2=BY81),'2023DATA'!$F$19,"")</f>
        <v/>
      </c>
      <c r="BZ98" s="518" t="str">
        <f>IF(AND(_AC5="B-757",'2023'!$F$4="CA",'2023'!$F$2=BZ81),'2023DATA'!$G$19,"")</f>
        <v/>
      </c>
      <c r="CA98" s="518" t="str">
        <f>IF(AND(_AC5="B-757",'2023'!$F$4="CA",'2023'!$F$2=CA81),'2023DATA'!$H$19,"")</f>
        <v/>
      </c>
      <c r="CB98" s="518" t="str">
        <f>IF(AND(_AC5="B-757",'2023'!$F$4="CA",'2023'!$F$2=CB81),'2023DATA'!$I$19,"")</f>
        <v/>
      </c>
      <c r="CC98" s="518" t="str">
        <f>IF(AND(_AC5="B-757",'2023'!$F$4="CA",'2023'!$F$2=CC81),'2023DATA'!$J$19,"")</f>
        <v/>
      </c>
      <c r="CD98" s="518" t="str">
        <f>IF(AND(_AC5="B-757",'2023'!$F$4="CA",'2023'!$F$2=CD81),'2023DATA'!$K$19,"")</f>
        <v/>
      </c>
      <c r="CE98" s="518" t="str">
        <f>IF(AND(_AC5="B-757",'2023'!$F$4="CA",'2023'!$F$2=CE81),'2023DATA'!$L$19,"")</f>
        <v/>
      </c>
      <c r="CF98" s="518" t="str">
        <f>IF(AND(_AC5="B-757",'2023'!$F$4="CA",'2023'!$F$2=CF81),'2023DATA'!$M$19,"")</f>
        <v/>
      </c>
      <c r="CG98" s="520" t="str">
        <f>IF(AND(_AC5="B-757",'2023'!$F$4="CA",'2023'!$F$2=CG81),'2023DATA'!$N$19,"")</f>
        <v/>
      </c>
      <c r="CH98" s="940" t="s">
        <v>45</v>
      </c>
      <c r="CI98" s="13" t="s">
        <v>61</v>
      </c>
      <c r="CJ98" s="518" t="str">
        <f>IF(AND(_AC6="B-757",'2023'!$F$4="CA",'2023'!$F$2=CJ81),'2023DATA'!$C$19,"")</f>
        <v/>
      </c>
      <c r="CK98" s="518" t="str">
        <f>IF(AND(_AC6="B-757",'2023'!$F$4="CA",'2023'!$F$2=CK81),'2023DATA'!$D$19,"")</f>
        <v/>
      </c>
      <c r="CL98" s="518" t="str">
        <f>IF(AND(_AC6="B-757",'2023'!$F$4="CA",'2023'!$F$2=CL81),'2023DATA'!$E$19,"")</f>
        <v/>
      </c>
      <c r="CM98" s="518" t="str">
        <f>IF(AND(_AC6="B-757",'2023'!$F$4="CA",'2023'!$F$2=CM81),'2023DATA'!$F$19,"")</f>
        <v/>
      </c>
      <c r="CN98" s="518" t="str">
        <f>IF(AND(_AC6="B-757",'2023'!$F$4="CA",'2023'!$F$2=CN81),'2023DATA'!$G$19,"")</f>
        <v/>
      </c>
      <c r="CO98" s="518" t="str">
        <f>IF(AND(_AC6="B-757",'2023'!$F$4="CA",'2023'!$F$2=CO81),'2023DATA'!$H$19,"")</f>
        <v/>
      </c>
      <c r="CP98" s="518" t="str">
        <f>IF(AND(_AC6="B-757",'2023'!$F$4="CA",'2023'!$F$2=CP81),'2023DATA'!$I$19,"")</f>
        <v/>
      </c>
      <c r="CQ98" s="518" t="str">
        <f>IF(AND(_AC6="B-757",'2023'!$F$4="CA",'2023'!$F$2=CQ81),'2023DATA'!$J$19,"")</f>
        <v/>
      </c>
      <c r="CR98" s="518" t="str">
        <f>IF(AND(_AC6="B-757",'2023'!$F$4="CA",'2023'!$F$2=CR81),'2023DATA'!$K$19,"")</f>
        <v/>
      </c>
      <c r="CS98" s="518" t="str">
        <f>IF(AND(_AC6="B-757",'2023'!$F$4="CA",'2023'!$F$2=CS81),'2023DATA'!$L$19,"")</f>
        <v/>
      </c>
      <c r="CT98" s="518" t="str">
        <f>IF(AND(_AC6="B-757",'2023'!$F$4="CA",'2023'!$F$2=CT81),'2023DATA'!$M$19,"")</f>
        <v/>
      </c>
      <c r="CU98" s="520" t="str">
        <f>IF(AND(_AC6="B-757",'2023'!$F$4="CA",'2023'!$F$2=CU81),'2023DATA'!$N$19,"")</f>
        <v/>
      </c>
    </row>
    <row r="99" spans="16:99" x14ac:dyDescent="0.25">
      <c r="P99" s="940"/>
      <c r="Q99" s="13" t="s">
        <v>62</v>
      </c>
      <c r="R99" s="518" t="str">
        <f>IF(AND(_AC1="B-757",'2023'!$F$4="FO",'2023'!$F$2=R81),'2023DATA'!$C$20,"")</f>
        <v/>
      </c>
      <c r="S99" s="518" t="str">
        <f>IF(AND(_AC1="B-757",'2023'!$F$4="FO",'2023'!$F$2=S81),'2023DATA'!$D$20,"")</f>
        <v/>
      </c>
      <c r="T99" s="518" t="str">
        <f>IF(AND(_AC1="B-757",'2023'!$F$4="FO",'2023'!$F$2=T81),'2023DATA'!$E$20,"")</f>
        <v/>
      </c>
      <c r="U99" s="518" t="str">
        <f>IF(AND(_AC1="B-757",'2023'!$F$4="FO",'2023'!$F$2=U81),'2023DATA'!$F$20,"")</f>
        <v/>
      </c>
      <c r="V99" s="518" t="str">
        <f>IF(AND(_AC1="B-757",'2023'!$F$4="FO",'2023'!$F$2=V81),'2023DATA'!$G$20,"")</f>
        <v/>
      </c>
      <c r="W99" s="518" t="str">
        <f>IF(AND(_AC1="B-757",'2023'!$F$4="FO",'2023'!$F$2=W81),'2023DATA'!$H$20,"")</f>
        <v/>
      </c>
      <c r="X99" s="518" t="str">
        <f>IF(AND(_AC1="B-757",'2023'!$F$4="FO",'2023'!$F$2=X81),'2023DATA'!$I$20,"")</f>
        <v/>
      </c>
      <c r="Y99" s="518" t="str">
        <f>IF(AND(_AC1="B-757",'2023'!$F$4="FO",'2023'!$F$2=Y81),'2023DATA'!$J$20,"")</f>
        <v/>
      </c>
      <c r="Z99" s="518" t="str">
        <f>IF(AND(_AC1="B-757",'2023'!$F$4="FO",'2023'!$F$2=Z81),'2023DATA'!$K$20,"")</f>
        <v/>
      </c>
      <c r="AA99" s="518" t="str">
        <f>IF(AND(_AC1="B-757",'2023'!$F$4="FO",'2023'!$F$2=AA81),'2023DATA'!$L$20,"")</f>
        <v/>
      </c>
      <c r="AB99" s="518" t="str">
        <f>IF(AND(_AC1="B-757",'2023'!$F$4="FO",'2023'!$F$2=AB81),'2023DATA'!$M$20,"")</f>
        <v/>
      </c>
      <c r="AC99" s="520" t="str">
        <f>IF(AND(_AC1="B-757",'2023'!$F$4="FO",'2023'!$F$2=AC81),'2023DATA'!$N$20,"")</f>
        <v/>
      </c>
      <c r="AD99" s="940"/>
      <c r="AE99" s="13" t="s">
        <v>62</v>
      </c>
      <c r="AF99" s="518" t="str">
        <f>IF(AND(_AC2="B-757",'2023'!$F$4="FO",'2023'!$F$2=AF81),'2023DATA'!$C$20,"")</f>
        <v/>
      </c>
      <c r="AG99" s="518" t="str">
        <f>IF(AND(_AC2="B-757",'2023'!$F$4="FO",'2023'!$F$2=AG81),'2023DATA'!$D$20,"")</f>
        <v/>
      </c>
      <c r="AH99" s="518" t="str">
        <f>IF(AND(_AC2="B-757",'2023'!$F$4="FO",'2023'!$F$2=AH81),'2023DATA'!$E$20,"")</f>
        <v/>
      </c>
      <c r="AI99" s="518" t="str">
        <f>IF(AND(_AC2="B-757",'2023'!$F$4="FO",'2023'!$F$2=AI81),'2023DATA'!$F$20,"")</f>
        <v/>
      </c>
      <c r="AJ99" s="518" t="str">
        <f>IF(AND(_AC2="B-757",'2023'!$F$4="FO",'2023'!$F$2=AJ81),'2023DATA'!$G$20,"")</f>
        <v/>
      </c>
      <c r="AK99" s="518" t="str">
        <f>IF(AND(_AC2="B-757",'2023'!$F$4="FO",'2023'!$F$2=AK81),'2023DATA'!$H$20,"")</f>
        <v/>
      </c>
      <c r="AL99" s="518" t="str">
        <f>IF(AND(_AC2="B-757",'2023'!$F$4="FO",'2023'!$F$2=AL81),'2023DATA'!$I$20,"")</f>
        <v/>
      </c>
      <c r="AM99" s="518" t="str">
        <f>IF(AND(_AC2="B-757",'2023'!$F$4="FO",'2023'!$F$2=AM81),'2023DATA'!$J$20,"")</f>
        <v/>
      </c>
      <c r="AN99" s="518" t="str">
        <f>IF(AND(_AC2="B-757",'2023'!$F$4="FO",'2023'!$F$2=AN81),'2023DATA'!$K$20,"")</f>
        <v/>
      </c>
      <c r="AO99" s="518" t="str">
        <f>IF(AND(_AC2="B-757",'2023'!$F$4="FO",'2023'!$F$2=AO81),'2023DATA'!$L$20,"")</f>
        <v/>
      </c>
      <c r="AP99" s="518" t="str">
        <f>IF(AND(_AC2="B-757",'2023'!$F$4="FO",'2023'!$F$2=AP81),'2023DATA'!$M$20,"")</f>
        <v/>
      </c>
      <c r="AQ99" s="520" t="str">
        <f>IF(AND(_AC2="B-757",'2023'!$F$4="FO",'2023'!$F$2=AQ81),'2023DATA'!$N$20,"")</f>
        <v/>
      </c>
      <c r="AR99" s="940"/>
      <c r="AS99" s="13" t="s">
        <v>62</v>
      </c>
      <c r="AT99" s="518" t="str">
        <f>IF(AND(_AC3="B-757",'2023'!$F$4="FO",'2023'!$F$2=AT81),'2023DATA'!$C$20,"")</f>
        <v/>
      </c>
      <c r="AU99" s="518" t="str">
        <f>IF(AND(_AC3="B-757",'2023'!$F$4="FO",'2023'!$F$2=AU81),'2023DATA'!$D$20,"")</f>
        <v/>
      </c>
      <c r="AV99" s="518" t="str">
        <f>IF(AND(_AC3="B-757",'2023'!$F$4="FO",'2023'!$F$2=AV81),'2023DATA'!$E$20,"")</f>
        <v/>
      </c>
      <c r="AW99" s="518" t="str">
        <f>IF(AND(_AC3="B-757",'2023'!$F$4="FO",'2023'!$F$2=AW81),'2023DATA'!$F$20,"")</f>
        <v/>
      </c>
      <c r="AX99" s="518" t="str">
        <f>IF(AND(_AC3="B-757",'2023'!$F$4="FO",'2023'!$F$2=AX81),'2023DATA'!$G$20,"")</f>
        <v/>
      </c>
      <c r="AY99" s="518" t="str">
        <f>IF(AND(_AC3="B-757",'2023'!$F$4="FO",'2023'!$F$2=AY81),'2023DATA'!$H$20,"")</f>
        <v/>
      </c>
      <c r="AZ99" s="518" t="str">
        <f>IF(AND(_AC3="B-757",'2023'!$F$4="FO",'2023'!$F$2=AZ81),'2023DATA'!$I$20,"")</f>
        <v/>
      </c>
      <c r="BA99" s="518" t="str">
        <f>IF(AND(_AC3="B-757",'2023'!$F$4="FO",'2023'!$F$2=BA81),'2023DATA'!$J$20,"")</f>
        <v/>
      </c>
      <c r="BB99" s="518" t="str">
        <f>IF(AND(_AC3="B-757",'2023'!$F$4="FO",'2023'!$F$2=BB81),'2023DATA'!$K$20,"")</f>
        <v/>
      </c>
      <c r="BC99" s="518" t="str">
        <f>IF(AND(_AC3="B-757",'2023'!$F$4="FO",'2023'!$F$2=BC81),'2023DATA'!$L$20,"")</f>
        <v/>
      </c>
      <c r="BD99" s="518" t="str">
        <f>IF(AND(_AC3="B-757",'2023'!$F$4="FO",'2023'!$F$2=BD81),'2023DATA'!$M$20,"")</f>
        <v/>
      </c>
      <c r="BE99" s="520" t="str">
        <f>IF(AND(_AC3="B-757",'2023'!$F$4="FO",'2023'!$F$2=BE81),'2023DATA'!$N$20,"")</f>
        <v/>
      </c>
      <c r="BF99" s="940"/>
      <c r="BG99" s="13" t="s">
        <v>62</v>
      </c>
      <c r="BH99" s="518" t="str">
        <f>IF(AND(_AC4="B-757",'2023'!$F$4="FO",'2023'!$F$2=BH81),'2023DATA'!$C$20,"")</f>
        <v/>
      </c>
      <c r="BI99" s="518" t="str">
        <f>IF(AND(_AC4="B-757",'2023'!$F$4="FO",'2023'!$F$2=BI81),'2023DATA'!$D$20,"")</f>
        <v/>
      </c>
      <c r="BJ99" s="518" t="str">
        <f>IF(AND(_AC4="B-757",'2023'!$F$4="FO",'2023'!$F$2=BJ81),'2023DATA'!$E$20,"")</f>
        <v/>
      </c>
      <c r="BK99" s="518" t="str">
        <f>IF(AND(_AC4="B-757",'2023'!$F$4="FO",'2023'!$F$2=BK81),'2023DATA'!$F$20,"")</f>
        <v/>
      </c>
      <c r="BL99" s="518" t="str">
        <f>IF(AND(_AC4="B-757",'2023'!$F$4="FO",'2023'!$F$2=BL81),'2023DATA'!$G$20,"")</f>
        <v/>
      </c>
      <c r="BM99" s="518" t="str">
        <f>IF(AND(_AC4="B-757",'2023'!$F$4="FO",'2023'!$F$2=BM81),'2023DATA'!$H$20,"")</f>
        <v/>
      </c>
      <c r="BN99" s="518" t="str">
        <f>IF(AND(_AC4="B-757",'2023'!$F$4="FO",'2023'!$F$2=BN81),'2023DATA'!$I$20,"")</f>
        <v/>
      </c>
      <c r="BO99" s="518" t="str">
        <f>IF(AND(_AC4="B-757",'2023'!$F$4="FO",'2023'!$F$2=BO81),'2023DATA'!$J$20,"")</f>
        <v/>
      </c>
      <c r="BP99" s="518" t="str">
        <f>IF(AND(_AC4="B-757",'2023'!$F$4="FO",'2023'!$F$2=BP81),'2023DATA'!$K$20,"")</f>
        <v/>
      </c>
      <c r="BQ99" s="518" t="str">
        <f>IF(AND(_AC4="B-757",'2023'!$F$4="FO",'2023'!$F$2=BQ81),'2023DATA'!$L$20,"")</f>
        <v/>
      </c>
      <c r="BR99" s="518" t="str">
        <f>IF(AND(_AC4="B-757",'2023'!$F$4="FO",'2023'!$F$2=BR81),'2023DATA'!$M$20,"")</f>
        <v/>
      </c>
      <c r="BS99" s="520" t="str">
        <f>IF(AND(_AC4="B-757",'2023'!$F$4="FO",'2023'!$F$2=BS81),'2023DATA'!$N$20,"")</f>
        <v/>
      </c>
      <c r="BT99" s="940"/>
      <c r="BU99" s="13" t="s">
        <v>62</v>
      </c>
      <c r="BV99" s="518" t="str">
        <f>IF(AND(_AC5="B-757",'2023'!$F$4="FO",'2023'!$F$2=BV81),'2023DATA'!$C$20,"")</f>
        <v/>
      </c>
      <c r="BW99" s="518" t="str">
        <f>IF(AND(_AC5="B-757",'2023'!$F$4="FO",'2023'!$F$2=BW81),'2023DATA'!$D$20,"")</f>
        <v/>
      </c>
      <c r="BX99" s="518" t="str">
        <f>IF(AND(_AC5="B-757",'2023'!$F$4="FO",'2023'!$F$2=BX81),'2023DATA'!$E$20,"")</f>
        <v/>
      </c>
      <c r="BY99" s="518" t="str">
        <f>IF(AND(_AC5="B-757",'2023'!$F$4="FO",'2023'!$F$2=BY81),'2023DATA'!$F$20,"")</f>
        <v/>
      </c>
      <c r="BZ99" s="518" t="str">
        <f>IF(AND(_AC5="B-757",'2023'!$F$4="FO",'2023'!$F$2=BZ81),'2023DATA'!$G$20,"")</f>
        <v/>
      </c>
      <c r="CA99" s="518" t="str">
        <f>IF(AND(_AC5="B-757",'2023'!$F$4="FO",'2023'!$F$2=CA81),'2023DATA'!$H$20,"")</f>
        <v/>
      </c>
      <c r="CB99" s="518" t="str">
        <f>IF(AND(_AC5="B-757",'2023'!$F$4="FO",'2023'!$F$2=CB81),'2023DATA'!$I$20,"")</f>
        <v/>
      </c>
      <c r="CC99" s="518" t="str">
        <f>IF(AND(_AC5="B-757",'2023'!$F$4="FO",'2023'!$F$2=CC81),'2023DATA'!$J$20,"")</f>
        <v/>
      </c>
      <c r="CD99" s="518" t="str">
        <f>IF(AND(_AC5="B-757",'2023'!$F$4="FO",'2023'!$F$2=CD81),'2023DATA'!$K$20,"")</f>
        <v/>
      </c>
      <c r="CE99" s="518" t="str">
        <f>IF(AND(_AC5="B-757",'2023'!$F$4="FO",'2023'!$F$2=CE81),'2023DATA'!$L$20,"")</f>
        <v/>
      </c>
      <c r="CF99" s="518" t="str">
        <f>IF(AND(_AC5="B-757",'2023'!$F$4="FO",'2023'!$F$2=CF81),'2023DATA'!$M$20,"")</f>
        <v/>
      </c>
      <c r="CG99" s="520" t="str">
        <f>IF(AND(_AC5="B-757",'2023'!$F$4="FO",'2023'!$F$2=CG81),'2023DATA'!$N$20,"")</f>
        <v/>
      </c>
      <c r="CH99" s="940"/>
      <c r="CI99" s="13" t="s">
        <v>62</v>
      </c>
      <c r="CJ99" s="518" t="str">
        <f>IF(AND(_AC6="B-757",'2023'!$F$4="FO",'2023'!$F$2=CJ81),'2023DATA'!$C$20,"")</f>
        <v/>
      </c>
      <c r="CK99" s="518" t="str">
        <f>IF(AND(_AC6="B-757",'2023'!$F$4="FO",'2023'!$F$2=CK81),'2023DATA'!$D$20,"")</f>
        <v/>
      </c>
      <c r="CL99" s="518" t="str">
        <f>IF(AND(_AC6="B-757",'2023'!$F$4="FO",'2023'!$F$2=CL81),'2023DATA'!$E$20,"")</f>
        <v/>
      </c>
      <c r="CM99" s="518" t="str">
        <f>IF(AND(_AC6="B-757",'2023'!$F$4="FO",'2023'!$F$2=CM81),'2023DATA'!$F$20,"")</f>
        <v/>
      </c>
      <c r="CN99" s="518" t="str">
        <f>IF(AND(_AC6="B-757",'2023'!$F$4="FO",'2023'!$F$2=CN81),'2023DATA'!$G$20,"")</f>
        <v/>
      </c>
      <c r="CO99" s="518" t="str">
        <f>IF(AND(_AC6="B-757",'2023'!$F$4="FO",'2023'!$F$2=CO81),'2023DATA'!$H$20,"")</f>
        <v/>
      </c>
      <c r="CP99" s="518" t="str">
        <f>IF(AND(_AC6="B-757",'2023'!$F$4="FO",'2023'!$F$2=CP81),'2023DATA'!$I$20,"")</f>
        <v/>
      </c>
      <c r="CQ99" s="518" t="str">
        <f>IF(AND(_AC6="B-757",'2023'!$F$4="FO",'2023'!$F$2=CQ81),'2023DATA'!$J$20,"")</f>
        <v/>
      </c>
      <c r="CR99" s="518" t="str">
        <f>IF(AND(_AC6="B-757",'2023'!$F$4="FO",'2023'!$F$2=CR81),'2023DATA'!$K$20,"")</f>
        <v/>
      </c>
      <c r="CS99" s="518" t="str">
        <f>IF(AND(_AC6="B-757",'2023'!$F$4="FO",'2023'!$F$2=CS81),'2023DATA'!$L$20,"")</f>
        <v/>
      </c>
      <c r="CT99" s="518" t="str">
        <f>IF(AND(_AC6="B-757",'2023'!$F$4="FO",'2023'!$F$2=CT81),'2023DATA'!$M$20,"")</f>
        <v/>
      </c>
      <c r="CU99" s="520" t="str">
        <f>IF(AND(_AC6="B-757",'2023'!$F$4="FO",'2023'!$F$2=CU81),'2023DATA'!$N$20,"")</f>
        <v/>
      </c>
    </row>
    <row r="100" spans="16:99" x14ac:dyDescent="0.25">
      <c r="P100" s="940" t="s">
        <v>47</v>
      </c>
      <c r="Q100" s="13" t="s">
        <v>61</v>
      </c>
      <c r="R100" s="518" t="str">
        <f>IF(AND(_AC1="B-737-900",'2023'!$F$4="CA",'2023'!$F$2=R81),'2023DATA'!$C$21,"")</f>
        <v/>
      </c>
      <c r="S100" s="518" t="str">
        <f>IF(AND(_AC1="B-737-900",'2023'!$F$4="CA",'2023'!$F$2=S81),'2023DATA'!$D$21,"")</f>
        <v/>
      </c>
      <c r="T100" s="518" t="str">
        <f>IF(AND(_AC1="B-737-900",'2023'!$F$4="CA",'2023'!$F$2=T81),'2023DATA'!$E$21,"")</f>
        <v/>
      </c>
      <c r="U100" s="518" t="str">
        <f>IF(AND(_AC1="B-737-900",'2023'!$F$4="CA",'2023'!$F$2=U81),'2023DATA'!$F$21,"")</f>
        <v/>
      </c>
      <c r="V100" s="518" t="str">
        <f>IF(AND(_AC1="B-737-900",'2023'!$F$4="CA",'2023'!$F$2=V81),'2023DATA'!$G$21,"")</f>
        <v/>
      </c>
      <c r="W100" s="518" t="str">
        <f>IF(AND(_AC1="B-737-900",'2023'!$F$4="CA",'2023'!$F$2=W81),'2023DATA'!$H$21,"")</f>
        <v/>
      </c>
      <c r="X100" s="518" t="str">
        <f>IF(AND(_AC1="B-737-900",'2023'!$F$4="CA",'2023'!$F$2=X81),'2023DATA'!$I$21,"")</f>
        <v/>
      </c>
      <c r="Y100" s="518" t="str">
        <f>IF(AND(_AC1="B-737-900",'2023'!$F$4="CA",'2023'!$F$2=Y81),'2023DATA'!$J$21,"")</f>
        <v/>
      </c>
      <c r="Z100" s="518" t="str">
        <f>IF(AND(_AC1="B-737-900",'2023'!$F$4="CA",'2023'!$F$2=Z81),'2023DATA'!$K$21,"")</f>
        <v/>
      </c>
      <c r="AA100" s="518" t="str">
        <f>IF(AND(_AC1="B-737-900",'2023'!$F$4="CA",'2023'!$F$2=AA81),'2023DATA'!$L$21,"")</f>
        <v/>
      </c>
      <c r="AB100" s="518" t="str">
        <f>IF(AND(_AC1="B-737-900",'2023'!$F$4="CA",'2023'!$F$2=AB81),'2023DATA'!$M$21,"")</f>
        <v/>
      </c>
      <c r="AC100" s="520" t="str">
        <f>IF(AND(_AC1="B-737-900",'2023'!$F$4="CA",'2023'!$F$2=AC81),'2023DATA'!$N$21,"")</f>
        <v/>
      </c>
      <c r="AD100" s="940" t="s">
        <v>47</v>
      </c>
      <c r="AE100" s="13" t="s">
        <v>61</v>
      </c>
      <c r="AF100" s="518" t="str">
        <f>IF(AND(_AC2="B-737-900",'2023'!$F$4="CA",'2023'!$F$2=AF81),'2023DATA'!$C$21,"")</f>
        <v/>
      </c>
      <c r="AG100" s="518" t="str">
        <f>IF(AND(_AC2="B-737-900",'2023'!$F$4="CA",'2023'!$F$2=AG81),'2023DATA'!$D$21,"")</f>
        <v/>
      </c>
      <c r="AH100" s="518" t="str">
        <f>IF(AND(_AC2="B-737-900",'2023'!$F$4="CA",'2023'!$F$2=AH81),'2023DATA'!$E$21,"")</f>
        <v/>
      </c>
      <c r="AI100" s="518" t="str">
        <f>IF(AND(_AC2="B-737-900",'2023'!$F$4="CA",'2023'!$F$2=AI81),'2023DATA'!$F$21,"")</f>
        <v/>
      </c>
      <c r="AJ100" s="518" t="str">
        <f>IF(AND(_AC2="B-737-900",'2023'!$F$4="CA",'2023'!$F$2=AJ81),'2023DATA'!$G$21,"")</f>
        <v/>
      </c>
      <c r="AK100" s="518" t="str">
        <f>IF(AND(_AC2="B-737-900",'2023'!$F$4="CA",'2023'!$F$2=AK81),'2023DATA'!$H$21,"")</f>
        <v/>
      </c>
      <c r="AL100" s="518" t="str">
        <f>IF(AND(_AC2="B-737-900",'2023'!$F$4="CA",'2023'!$F$2=AL81),'2023DATA'!$I$21,"")</f>
        <v/>
      </c>
      <c r="AM100" s="518" t="str">
        <f>IF(AND(_AC2="B-737-900",'2023'!$F$4="CA",'2023'!$F$2=AM81),'2023DATA'!$J$21,"")</f>
        <v/>
      </c>
      <c r="AN100" s="518" t="str">
        <f>IF(AND(_AC2="B-737-900",'2023'!$F$4="CA",'2023'!$F$2=AN81),'2023DATA'!$K$21,"")</f>
        <v/>
      </c>
      <c r="AO100" s="518" t="str">
        <f>IF(AND(_AC2="B-737-900",'2023'!$F$4="CA",'2023'!$F$2=AO81),'2023DATA'!$L$21,"")</f>
        <v/>
      </c>
      <c r="AP100" s="518" t="str">
        <f>IF(AND(_AC2="B-737-900",'2023'!$F$4="CA",'2023'!$F$2=AP81),'2023DATA'!$M$21,"")</f>
        <v/>
      </c>
      <c r="AQ100" s="520" t="str">
        <f>IF(AND(_AC2="B-737-900",'2023'!$F$4="CA",'2023'!$F$2=AQ81),'2023DATA'!$N$21,"")</f>
        <v/>
      </c>
      <c r="AR100" s="940" t="s">
        <v>47</v>
      </c>
      <c r="AS100" s="13" t="s">
        <v>61</v>
      </c>
      <c r="AT100" s="518" t="str">
        <f>IF(AND(_AC3="B-737-900",'2023'!$F$4="CA",'2023'!$F$2=AT81),'2023DATA'!$C$21,"")</f>
        <v/>
      </c>
      <c r="AU100" s="518" t="str">
        <f>IF(AND(_AC3="B-737-900",'2023'!$F$4="CA",'2023'!$F$2=AU81),'2023DATA'!$D$21,"")</f>
        <v/>
      </c>
      <c r="AV100" s="518" t="str">
        <f>IF(AND(_AC3="B-737-900",'2023'!$F$4="CA",'2023'!$F$2=AV81),'2023DATA'!$E$21,"")</f>
        <v/>
      </c>
      <c r="AW100" s="518" t="str">
        <f>IF(AND(_AC3="B-737-900",'2023'!$F$4="CA",'2023'!$F$2=AW81),'2023DATA'!$F$21,"")</f>
        <v/>
      </c>
      <c r="AX100" s="518" t="str">
        <f>IF(AND(_AC3="B-737-900",'2023'!$F$4="CA",'2023'!$F$2=AX81),'2023DATA'!$G$21,"")</f>
        <v/>
      </c>
      <c r="AY100" s="518" t="str">
        <f>IF(AND(_AC3="B-737-900",'2023'!$F$4="CA",'2023'!$F$2=AY81),'2023DATA'!$H$21,"")</f>
        <v/>
      </c>
      <c r="AZ100" s="518" t="str">
        <f>IF(AND(_AC3="B-737-900",'2023'!$F$4="CA",'2023'!$F$2=AZ81),'2023DATA'!$I$21,"")</f>
        <v/>
      </c>
      <c r="BA100" s="518" t="str">
        <f>IF(AND(_AC3="B-737-900",'2023'!$F$4="CA",'2023'!$F$2=BA81),'2023DATA'!$J$21,"")</f>
        <v/>
      </c>
      <c r="BB100" s="518" t="str">
        <f>IF(AND(_AC3="B-737-900",'2023'!$F$4="CA",'2023'!$F$2=BB81),'2023DATA'!$K$21,"")</f>
        <v/>
      </c>
      <c r="BC100" s="518" t="str">
        <f>IF(AND(_AC3="B-737-900",'2023'!$F$4="CA",'2023'!$F$2=BC81),'2023DATA'!$L$21,"")</f>
        <v/>
      </c>
      <c r="BD100" s="518" t="str">
        <f>IF(AND(_AC3="B-737-900",'2023'!$F$4="CA",'2023'!$F$2=BD81),'2023DATA'!$M$21,"")</f>
        <v/>
      </c>
      <c r="BE100" s="520" t="str">
        <f>IF(AND(_AC3="B-737-900",'2023'!$F$4="CA",'2023'!$F$2=BE81),'2023DATA'!$N$21,"")</f>
        <v/>
      </c>
      <c r="BF100" s="940" t="s">
        <v>47</v>
      </c>
      <c r="BG100" s="13" t="s">
        <v>61</v>
      </c>
      <c r="BH100" s="518" t="str">
        <f>IF(AND(_AC4="B-737-900",'2023'!$F$4="CA",'2023'!$F$2=BH81),'2023DATA'!$C$21,"")</f>
        <v/>
      </c>
      <c r="BI100" s="518" t="str">
        <f>IF(AND(_AC4="B-737-900",'2023'!$F$4="CA",'2023'!$F$2=BI81),'2023DATA'!$D$21,"")</f>
        <v/>
      </c>
      <c r="BJ100" s="518" t="str">
        <f>IF(AND(_AC4="B-737-900",'2023'!$F$4="CA",'2023'!$F$2=BJ81),'2023DATA'!$E$21,"")</f>
        <v/>
      </c>
      <c r="BK100" s="518" t="str">
        <f>IF(AND(_AC4="B-737-900",'2023'!$F$4="CA",'2023'!$F$2=BK81),'2023DATA'!$F$21,"")</f>
        <v/>
      </c>
      <c r="BL100" s="518" t="str">
        <f>IF(AND(_AC4="B-737-900",'2023'!$F$4="CA",'2023'!$F$2=BL81),'2023DATA'!$G$21,"")</f>
        <v/>
      </c>
      <c r="BM100" s="518" t="str">
        <f>IF(AND(_AC4="B-737-900",'2023'!$F$4="CA",'2023'!$F$2=BM81),'2023DATA'!$H$21,"")</f>
        <v/>
      </c>
      <c r="BN100" s="518" t="str">
        <f>IF(AND(_AC4="B-737-900",'2023'!$F$4="CA",'2023'!$F$2=BN81),'2023DATA'!$I$21,"")</f>
        <v/>
      </c>
      <c r="BO100" s="518" t="str">
        <f>IF(AND(_AC4="B-737-900",'2023'!$F$4="CA",'2023'!$F$2=BO81),'2023DATA'!$J$21,"")</f>
        <v/>
      </c>
      <c r="BP100" s="518" t="str">
        <f>IF(AND(_AC4="B-737-900",'2023'!$F$4="CA",'2023'!$F$2=BP81),'2023DATA'!$K$21,"")</f>
        <v/>
      </c>
      <c r="BQ100" s="518" t="str">
        <f>IF(AND(_AC4="B-737-900",'2023'!$F$4="CA",'2023'!$F$2=BQ81),'2023DATA'!$L$21,"")</f>
        <v/>
      </c>
      <c r="BR100" s="518" t="str">
        <f>IF(AND(_AC4="B-737-900",'2023'!$F$4="CA",'2023'!$F$2=BR81),'2023DATA'!$M$21,"")</f>
        <v/>
      </c>
      <c r="BS100" s="520" t="str">
        <f>IF(AND(_AC4="B-737-900",'2023'!$F$4="CA",'2023'!$F$2=BS81),'2023DATA'!$N$21,"")</f>
        <v/>
      </c>
      <c r="BT100" s="940" t="s">
        <v>47</v>
      </c>
      <c r="BU100" s="13" t="s">
        <v>61</v>
      </c>
      <c r="BV100" s="518" t="str">
        <f>IF(AND(_AC5="B-737-900",'2023'!$F$4="CA",'2023'!$F$2=BV81),'2023DATA'!$C$21,"")</f>
        <v/>
      </c>
      <c r="BW100" s="518" t="str">
        <f>IF(AND(_AC5="B-737-900",'2023'!$F$4="CA",'2023'!$F$2=BW81),'2023DATA'!$D$21,"")</f>
        <v/>
      </c>
      <c r="BX100" s="518" t="str">
        <f>IF(AND(_AC5="B-737-900",'2023'!$F$4="CA",'2023'!$F$2=BX81),'2023DATA'!$E$21,"")</f>
        <v/>
      </c>
      <c r="BY100" s="518" t="str">
        <f>IF(AND(_AC5="B-737-900",'2023'!$F$4="CA",'2023'!$F$2=BY81),'2023DATA'!$F$21,"")</f>
        <v/>
      </c>
      <c r="BZ100" s="518" t="str">
        <f>IF(AND(_AC5="B-737-900",'2023'!$F$4="CA",'2023'!$F$2=BZ81),'2023DATA'!$G$21,"")</f>
        <v/>
      </c>
      <c r="CA100" s="518" t="str">
        <f>IF(AND(_AC5="B-737-900",'2023'!$F$4="CA",'2023'!$F$2=CA81),'2023DATA'!$H$21,"")</f>
        <v/>
      </c>
      <c r="CB100" s="518" t="str">
        <f>IF(AND(_AC5="B-737-900",'2023'!$F$4="CA",'2023'!$F$2=CB81),'2023DATA'!$I$21,"")</f>
        <v/>
      </c>
      <c r="CC100" s="518" t="str">
        <f>IF(AND(_AC5="B-737-900",'2023'!$F$4="CA",'2023'!$F$2=CC81),'2023DATA'!$J$21,"")</f>
        <v/>
      </c>
      <c r="CD100" s="518" t="str">
        <f>IF(AND(_AC5="B-737-900",'2023'!$F$4="CA",'2023'!$F$2=CD81),'2023DATA'!$K$21,"")</f>
        <v/>
      </c>
      <c r="CE100" s="518" t="str">
        <f>IF(AND(_AC5="B-737-900",'2023'!$F$4="CA",'2023'!$F$2=CE81),'2023DATA'!$L$21,"")</f>
        <v/>
      </c>
      <c r="CF100" s="518" t="str">
        <f>IF(AND(_AC5="B-737-900",'2023'!$F$4="CA",'2023'!$F$2=CF81),'2023DATA'!$M$21,"")</f>
        <v/>
      </c>
      <c r="CG100" s="520" t="str">
        <f>IF(AND(_AC5="B-737-900",'2023'!$F$4="CA",'2023'!$F$2=CG81),'2023DATA'!$N$21,"")</f>
        <v/>
      </c>
      <c r="CH100" s="940" t="s">
        <v>47</v>
      </c>
      <c r="CI100" s="13" t="s">
        <v>61</v>
      </c>
      <c r="CJ100" s="518" t="str">
        <f>IF(AND(_AC6="B-737-900",'2023'!$F$4="CA",'2023'!$F$2=CJ81),'2023DATA'!$C$21,"")</f>
        <v/>
      </c>
      <c r="CK100" s="518" t="str">
        <f>IF(AND(_AC6="B-737-900",'2023'!$F$4="CA",'2023'!$F$2=CK81),'2023DATA'!$D$21,"")</f>
        <v/>
      </c>
      <c r="CL100" s="518" t="str">
        <f>IF(AND(_AC6="B-737-900",'2023'!$F$4="CA",'2023'!$F$2=CL81),'2023DATA'!$E$21,"")</f>
        <v/>
      </c>
      <c r="CM100" s="518" t="str">
        <f>IF(AND(_AC6="B-737-900",'2023'!$F$4="CA",'2023'!$F$2=CM81),'2023DATA'!$F$21,"")</f>
        <v/>
      </c>
      <c r="CN100" s="518" t="str">
        <f>IF(AND(_AC6="B-737-900",'2023'!$F$4="CA",'2023'!$F$2=CN81),'2023DATA'!$G$21,"")</f>
        <v/>
      </c>
      <c r="CO100" s="518" t="str">
        <f>IF(AND(_AC6="B-737-900",'2023'!$F$4="CA",'2023'!$F$2=CO81),'2023DATA'!$H$21,"")</f>
        <v/>
      </c>
      <c r="CP100" s="518" t="str">
        <f>IF(AND(_AC6="B-737-900",'2023'!$F$4="CA",'2023'!$F$2=CP81),'2023DATA'!$I$21,"")</f>
        <v/>
      </c>
      <c r="CQ100" s="518" t="str">
        <f>IF(AND(_AC6="B-737-900",'2023'!$F$4="CA",'2023'!$F$2=CQ81),'2023DATA'!$J$21,"")</f>
        <v/>
      </c>
      <c r="CR100" s="518" t="str">
        <f>IF(AND(_AC6="B-737-900",'2023'!$F$4="CA",'2023'!$F$2=CR81),'2023DATA'!$K$21,"")</f>
        <v/>
      </c>
      <c r="CS100" s="518" t="str">
        <f>IF(AND(_AC6="B-737-900",'2023'!$F$4="CA",'2023'!$F$2=CS81),'2023DATA'!$L$21,"")</f>
        <v/>
      </c>
      <c r="CT100" s="518" t="str">
        <f>IF(AND(_AC6="B-737-900",'2023'!$F$4="CA",'2023'!$F$2=CT81),'2023DATA'!$M$21,"")</f>
        <v/>
      </c>
      <c r="CU100" s="520" t="str">
        <f>IF(AND(_AC6="B-737-900",'2023'!$F$4="CA",'2023'!$F$2=CU81),'2023DATA'!$N$21,"")</f>
        <v/>
      </c>
    </row>
    <row r="101" spans="16:99" x14ac:dyDescent="0.25">
      <c r="P101" s="940"/>
      <c r="Q101" s="13" t="s">
        <v>62</v>
      </c>
      <c r="R101" s="518" t="str">
        <f>IF(AND(_AC1="B-737-900",'2023'!$F$4="FO",'2023'!$F$2=R81),'2023DATA'!$C$22,"")</f>
        <v/>
      </c>
      <c r="S101" s="518" t="str">
        <f>IF(AND(_AC1="B-737-900",'2023'!$F$4="FO",'2023'!$F$2=S81),'2023DATA'!$D$22,"")</f>
        <v/>
      </c>
      <c r="T101" s="518" t="str">
        <f>IF(AND(_AC1="B-737-900",'2023'!$F$4="FO",'2023'!$F$2=T81),'2023DATA'!$E$22,"")</f>
        <v/>
      </c>
      <c r="U101" s="518" t="str">
        <f>IF(AND(_AC1="B-737-900",'2023'!$F$4="FO",'2023'!$F$2=U81),'2023DATA'!$F$22,"")</f>
        <v/>
      </c>
      <c r="V101" s="518" t="str">
        <f>IF(AND(_AC1="B-737-900",'2023'!$F$4="FO",'2023'!$F$2=V81),'2023DATA'!$G$22,"")</f>
        <v/>
      </c>
      <c r="W101" s="518" t="str">
        <f>IF(AND(_AC1="B-737-900",'2023'!$F$4="FO",'2023'!$F$2=W81),'2023DATA'!$H$22,"")</f>
        <v/>
      </c>
      <c r="X101" s="518" t="str">
        <f>IF(AND(_AC1="B-737-900",'2023'!$F$4="FO",'2023'!$F$2=X81),'2023DATA'!$I$22,"")</f>
        <v/>
      </c>
      <c r="Y101" s="518" t="str">
        <f>IF(AND(_AC1="B-737-900",'2023'!$F$4="FO",'2023'!$F$2=Y81),'2023DATA'!$J$22,"")</f>
        <v/>
      </c>
      <c r="Z101" s="518" t="str">
        <f>IF(AND(_AC1="B-737-900",'2023'!$F$4="FO",'2023'!$F$2=Z81),'2023DATA'!$K$22,"")</f>
        <v/>
      </c>
      <c r="AA101" s="518" t="str">
        <f>IF(AND(_AC1="B-737-900",'2023'!$F$4="FO",'2023'!$F$2=AA81),'2023DATA'!$L$22,"")</f>
        <v/>
      </c>
      <c r="AB101" s="518" t="str">
        <f>IF(AND(_AC1="B-737-900",'2023'!$F$4="FO",'2023'!$F$2=AB81),'2023DATA'!$M$22,"")</f>
        <v/>
      </c>
      <c r="AC101" s="520" t="str">
        <f>IF(AND(_AC1="B-737-900",'2023'!$F$4="FO",'2023'!$F$2=AC81),'2023DATA'!$N$22,"")</f>
        <v/>
      </c>
      <c r="AD101" s="940"/>
      <c r="AE101" s="13" t="s">
        <v>62</v>
      </c>
      <c r="AF101" s="518" t="str">
        <f>IF(AND(_AC2="B-737-900",'2023'!$F$4="FO",'2023'!$F$2=AF81),'2023DATA'!$C$22,"")</f>
        <v/>
      </c>
      <c r="AG101" s="518" t="str">
        <f>IF(AND(_AC2="B-737-900",'2023'!$F$4="FO",'2023'!$F$2=AG81),'2023DATA'!$D$22,"")</f>
        <v/>
      </c>
      <c r="AH101" s="518" t="str">
        <f>IF(AND(_AC2="B-737-900",'2023'!$F$4="FO",'2023'!$F$2=AH81),'2023DATA'!$E$22,"")</f>
        <v/>
      </c>
      <c r="AI101" s="518" t="str">
        <f>IF(AND(_AC2="B-737-900",'2023'!$F$4="FO",'2023'!$F$2=AI81),'2023DATA'!$F$22,"")</f>
        <v/>
      </c>
      <c r="AJ101" s="518" t="str">
        <f>IF(AND(_AC2="B-737-900",'2023'!$F$4="FO",'2023'!$F$2=AJ81),'2023DATA'!$G$22,"")</f>
        <v/>
      </c>
      <c r="AK101" s="518" t="str">
        <f>IF(AND(_AC2="B-737-900",'2023'!$F$4="FO",'2023'!$F$2=AK81),'2023DATA'!$H$22,"")</f>
        <v/>
      </c>
      <c r="AL101" s="518" t="str">
        <f>IF(AND(_AC2="B-737-900",'2023'!$F$4="FO",'2023'!$F$2=AL81),'2023DATA'!$I$22,"")</f>
        <v/>
      </c>
      <c r="AM101" s="518" t="str">
        <f>IF(AND(_AC2="B-737-900",'2023'!$F$4="FO",'2023'!$F$2=AM81),'2023DATA'!$J$22,"")</f>
        <v/>
      </c>
      <c r="AN101" s="518" t="str">
        <f>IF(AND(_AC2="B-737-900",'2023'!$F$4="FO",'2023'!$F$2=AN81),'2023DATA'!$K$22,"")</f>
        <v/>
      </c>
      <c r="AO101" s="518" t="str">
        <f>IF(AND(_AC2="B-737-900",'2023'!$F$4="FO",'2023'!$F$2=AO81),'2023DATA'!$L$22,"")</f>
        <v/>
      </c>
      <c r="AP101" s="518" t="str">
        <f>IF(AND(_AC2="B-737-900",'2023'!$F$4="FO",'2023'!$F$2=AP81),'2023DATA'!$M$22,"")</f>
        <v/>
      </c>
      <c r="AQ101" s="520" t="str">
        <f>IF(AND(_AC2="B-737-900",'2023'!$F$4="FO",'2023'!$F$2=AQ81),'2023DATA'!$N$22,"")</f>
        <v/>
      </c>
      <c r="AR101" s="940"/>
      <c r="AS101" s="13" t="s">
        <v>62</v>
      </c>
      <c r="AT101" s="518" t="str">
        <f>IF(AND(_AC3="B-737-900",'2023'!$F$4="FO",'2023'!$F$2=AT81),'2023DATA'!$C$22,"")</f>
        <v/>
      </c>
      <c r="AU101" s="518" t="str">
        <f>IF(AND(_AC3="B-737-900",'2023'!$F$4="FO",'2023'!$F$2=AU81),'2023DATA'!$D$22,"")</f>
        <v/>
      </c>
      <c r="AV101" s="518" t="str">
        <f>IF(AND(_AC3="B-737-900",'2023'!$F$4="FO",'2023'!$F$2=AV81),'2023DATA'!$E$22,"")</f>
        <v/>
      </c>
      <c r="AW101" s="518" t="str">
        <f>IF(AND(_AC3="B-737-900",'2023'!$F$4="FO",'2023'!$F$2=AW81),'2023DATA'!$F$22,"")</f>
        <v/>
      </c>
      <c r="AX101" s="518" t="str">
        <f>IF(AND(_AC3="B-737-900",'2023'!$F$4="FO",'2023'!$F$2=AX81),'2023DATA'!$G$22,"")</f>
        <v/>
      </c>
      <c r="AY101" s="518" t="str">
        <f>IF(AND(_AC3="B-737-900",'2023'!$F$4="FO",'2023'!$F$2=AY81),'2023DATA'!$H$22,"")</f>
        <v/>
      </c>
      <c r="AZ101" s="518" t="str">
        <f>IF(AND(_AC3="B-737-900",'2023'!$F$4="FO",'2023'!$F$2=AZ81),'2023DATA'!$I$22,"")</f>
        <v/>
      </c>
      <c r="BA101" s="518" t="str">
        <f>IF(AND(_AC3="B-737-900",'2023'!$F$4="FO",'2023'!$F$2=BA81),'2023DATA'!$J$22,"")</f>
        <v/>
      </c>
      <c r="BB101" s="518" t="str">
        <f>IF(AND(_AC3="B-737-900",'2023'!$F$4="FO",'2023'!$F$2=BB81),'2023DATA'!$K$22,"")</f>
        <v/>
      </c>
      <c r="BC101" s="518" t="str">
        <f>IF(AND(_AC3="B-737-900",'2023'!$F$4="FO",'2023'!$F$2=BC81),'2023DATA'!$L$22,"")</f>
        <v/>
      </c>
      <c r="BD101" s="518" t="str">
        <f>IF(AND(_AC3="B-737-900",'2023'!$F$4="FO",'2023'!$F$2=BD81),'2023DATA'!$M$22,"")</f>
        <v/>
      </c>
      <c r="BE101" s="520" t="str">
        <f>IF(AND(_AC3="B-737-900",'2023'!$F$4="FO",'2023'!$F$2=BE81),'2023DATA'!$N$22,"")</f>
        <v/>
      </c>
      <c r="BF101" s="940"/>
      <c r="BG101" s="13" t="s">
        <v>62</v>
      </c>
      <c r="BH101" s="518" t="str">
        <f>IF(AND(_AC4="B-737-900",'2023'!$F$4="FO",'2023'!$F$2=BH81),'2023DATA'!$C$22,"")</f>
        <v/>
      </c>
      <c r="BI101" s="518" t="str">
        <f>IF(AND(_AC4="B-737-900",'2023'!$F$4="FO",'2023'!$F$2=BI81),'2023DATA'!$D$22,"")</f>
        <v/>
      </c>
      <c r="BJ101" s="518" t="str">
        <f>IF(AND(_AC4="B-737-900",'2023'!$F$4="FO",'2023'!$F$2=BJ81),'2023DATA'!$E$22,"")</f>
        <v/>
      </c>
      <c r="BK101" s="518" t="str">
        <f>IF(AND(_AC4="B-737-900",'2023'!$F$4="FO",'2023'!$F$2=BK81),'2023DATA'!$F$22,"")</f>
        <v/>
      </c>
      <c r="BL101" s="518" t="str">
        <f>IF(AND(_AC4="B-737-900",'2023'!$F$4="FO",'2023'!$F$2=BL81),'2023DATA'!$G$22,"")</f>
        <v/>
      </c>
      <c r="BM101" s="518" t="str">
        <f>IF(AND(_AC4="B-737-900",'2023'!$F$4="FO",'2023'!$F$2=BM81),'2023DATA'!$H$22,"")</f>
        <v/>
      </c>
      <c r="BN101" s="518" t="str">
        <f>IF(AND(_AC4="B-737-900",'2023'!$F$4="FO",'2023'!$F$2=BN81),'2023DATA'!$I$22,"")</f>
        <v/>
      </c>
      <c r="BO101" s="518" t="str">
        <f>IF(AND(_AC4="B-737-900",'2023'!$F$4="FO",'2023'!$F$2=BO81),'2023DATA'!$J$22,"")</f>
        <v/>
      </c>
      <c r="BP101" s="518" t="str">
        <f>IF(AND(_AC4="B-737-900",'2023'!$F$4="FO",'2023'!$F$2=BP81),'2023DATA'!$K$22,"")</f>
        <v/>
      </c>
      <c r="BQ101" s="518" t="str">
        <f>IF(AND(_AC4="B-737-900",'2023'!$F$4="FO",'2023'!$F$2=BQ81),'2023DATA'!$L$22,"")</f>
        <v/>
      </c>
      <c r="BR101" s="518" t="str">
        <f>IF(AND(_AC4="B-737-900",'2023'!$F$4="FO",'2023'!$F$2=BR81),'2023DATA'!$M$22,"")</f>
        <v/>
      </c>
      <c r="BS101" s="520" t="str">
        <f>IF(AND(_AC4="B-737-900",'2023'!$F$4="FO",'2023'!$F$2=BS81),'2023DATA'!$N$22,"")</f>
        <v/>
      </c>
      <c r="BT101" s="940"/>
      <c r="BU101" s="13" t="s">
        <v>62</v>
      </c>
      <c r="BV101" s="518" t="str">
        <f>IF(AND(_AC5="B-737-900",'2023'!$F$4="FO",'2023'!$F$2=BV81),'2023DATA'!$C$22,"")</f>
        <v/>
      </c>
      <c r="BW101" s="518" t="str">
        <f>IF(AND(_AC5="B-737-900",'2023'!$F$4="FO",'2023'!$F$2=BW81),'2023DATA'!$D$22,"")</f>
        <v/>
      </c>
      <c r="BX101" s="518" t="str">
        <f>IF(AND(_AC5="B-737-900",'2023'!$F$4="FO",'2023'!$F$2=BX81),'2023DATA'!$E$22,"")</f>
        <v/>
      </c>
      <c r="BY101" s="518" t="str">
        <f>IF(AND(_AC5="B-737-900",'2023'!$F$4="FO",'2023'!$F$2=BY81),'2023DATA'!$F$22,"")</f>
        <v/>
      </c>
      <c r="BZ101" s="518" t="str">
        <f>IF(AND(_AC5="B-737-900",'2023'!$F$4="FO",'2023'!$F$2=BZ81),'2023DATA'!$G$22,"")</f>
        <v/>
      </c>
      <c r="CA101" s="518" t="str">
        <f>IF(AND(_AC5="B-737-900",'2023'!$F$4="FO",'2023'!$F$2=CA81),'2023DATA'!$H$22,"")</f>
        <v/>
      </c>
      <c r="CB101" s="518" t="str">
        <f>IF(AND(_AC5="B-737-900",'2023'!$F$4="FO",'2023'!$F$2=CB81),'2023DATA'!$I$22,"")</f>
        <v/>
      </c>
      <c r="CC101" s="518" t="str">
        <f>IF(AND(_AC5="B-737-900",'2023'!$F$4="FO",'2023'!$F$2=CC81),'2023DATA'!$J$22,"")</f>
        <v/>
      </c>
      <c r="CD101" s="518" t="str">
        <f>IF(AND(_AC5="B-737-900",'2023'!$F$4="FO",'2023'!$F$2=CD81),'2023DATA'!$K$22,"")</f>
        <v/>
      </c>
      <c r="CE101" s="518" t="str">
        <f>IF(AND(_AC5="B-737-900",'2023'!$F$4="FO",'2023'!$F$2=CE81),'2023DATA'!$L$22,"")</f>
        <v/>
      </c>
      <c r="CF101" s="518" t="str">
        <f>IF(AND(_AC5="B-737-900",'2023'!$F$4="FO",'2023'!$F$2=CF81),'2023DATA'!$M$22,"")</f>
        <v/>
      </c>
      <c r="CG101" s="520" t="str">
        <f>IF(AND(_AC5="B-737-900",'2023'!$F$4="FO",'2023'!$F$2=CG81),'2023DATA'!$N$22,"")</f>
        <v/>
      </c>
      <c r="CH101" s="940"/>
      <c r="CI101" s="13" t="s">
        <v>62</v>
      </c>
      <c r="CJ101" s="518" t="str">
        <f>IF(AND(_AC6="B-737-900",'2023'!$F$4="FO",'2023'!$F$2=CJ81),'2023DATA'!$C$22,"")</f>
        <v/>
      </c>
      <c r="CK101" s="518" t="str">
        <f>IF(AND(_AC6="B-737-900",'2023'!$F$4="FO",'2023'!$F$2=CK81),'2023DATA'!$D$22,"")</f>
        <v/>
      </c>
      <c r="CL101" s="518" t="str">
        <f>IF(AND(_AC6="B-737-900",'2023'!$F$4="FO",'2023'!$F$2=CL81),'2023DATA'!$E$22,"")</f>
        <v/>
      </c>
      <c r="CM101" s="518" t="str">
        <f>IF(AND(_AC6="B-737-900",'2023'!$F$4="FO",'2023'!$F$2=CM81),'2023DATA'!$F$22,"")</f>
        <v/>
      </c>
      <c r="CN101" s="518" t="str">
        <f>IF(AND(_AC6="B-737-900",'2023'!$F$4="FO",'2023'!$F$2=CN81),'2023DATA'!$G$22,"")</f>
        <v/>
      </c>
      <c r="CO101" s="518" t="str">
        <f>IF(AND(_AC6="B-737-900",'2023'!$F$4="FO",'2023'!$F$2=CO81),'2023DATA'!$H$22,"")</f>
        <v/>
      </c>
      <c r="CP101" s="518" t="str">
        <f>IF(AND(_AC6="B-737-900",'2023'!$F$4="FO",'2023'!$F$2=CP81),'2023DATA'!$I$22,"")</f>
        <v/>
      </c>
      <c r="CQ101" s="518" t="str">
        <f>IF(AND(_AC6="B-737-900",'2023'!$F$4="FO",'2023'!$F$2=CQ81),'2023DATA'!$J$22,"")</f>
        <v/>
      </c>
      <c r="CR101" s="518" t="str">
        <f>IF(AND(_AC6="B-737-900",'2023'!$F$4="FO",'2023'!$F$2=CR81),'2023DATA'!$K$22,"")</f>
        <v/>
      </c>
      <c r="CS101" s="518" t="str">
        <f>IF(AND(_AC6="B-737-900",'2023'!$F$4="FO",'2023'!$F$2=CS81),'2023DATA'!$L$22,"")</f>
        <v/>
      </c>
      <c r="CT101" s="518" t="str">
        <f>IF(AND(_AC6="B-737-900",'2023'!$F$4="FO",'2023'!$F$2=CT81),'2023DATA'!$M$22,"")</f>
        <v/>
      </c>
      <c r="CU101" s="520" t="str">
        <f>IF(AND(_AC6="B-737-900",'2023'!$F$4="FO",'2023'!$F$2=CU81),'2023DATA'!$N$22,"")</f>
        <v/>
      </c>
    </row>
    <row r="102" spans="16:99" x14ac:dyDescent="0.25">
      <c r="P102" s="940" t="s">
        <v>69</v>
      </c>
      <c r="Q102" s="13" t="s">
        <v>61</v>
      </c>
      <c r="R102" s="518" t="str">
        <f>IF(AND(_AC1="B-737-800",'2023'!$F$4="CA",'2023'!$F$2=R81),'2023DATA'!$C$23,"")</f>
        <v/>
      </c>
      <c r="S102" s="518" t="str">
        <f>IF(AND(_AC1="B-737-800",'2023'!$F$4="CA",'2023'!$F$2=S81),'2023DATA'!$D$23,"")</f>
        <v/>
      </c>
      <c r="T102" s="518" t="str">
        <f>IF(AND(_AC1="B-737-800",'2023'!$F$4="CA",'2023'!$F$2=T81),'2023DATA'!$E$23,"")</f>
        <v/>
      </c>
      <c r="U102" s="518" t="str">
        <f>IF(AND(_AC1="B-737-800",'2023'!$F$4="CA",'2023'!$F$2=U81),'2023DATA'!$F$23,"")</f>
        <v/>
      </c>
      <c r="V102" s="518" t="str">
        <f>IF(AND(_AC1="B-737-800",'2023'!$F$4="CA",'2023'!$F$2=V81),'2023DATA'!$G$23,"")</f>
        <v/>
      </c>
      <c r="W102" s="518" t="str">
        <f>IF(AND(_AC1="B-737-800",'2023'!$F$4="CA",'2023'!$F$2=W81),'2023DATA'!$H$23,"")</f>
        <v/>
      </c>
      <c r="X102" s="518" t="str">
        <f>IF(AND(_AC1="B-737-800",'2023'!$F$4="CA",'2023'!$F$2=X81),'2023DATA'!$I$23,"")</f>
        <v/>
      </c>
      <c r="Y102" s="518" t="str">
        <f>IF(AND(_AC1="B-737-800",'2023'!$F$4="CA",'2023'!$F$2=Y81),'2023DATA'!$J$23,"")</f>
        <v/>
      </c>
      <c r="Z102" s="518" t="str">
        <f>IF(AND(_AC1="B-737-800",'2023'!$F$4="CA",'2023'!$F$2=Z81),'2023DATA'!$K$23,"")</f>
        <v/>
      </c>
      <c r="AA102" s="518" t="str">
        <f>IF(AND(_AC1="B-737-800",'2023'!$F$4="CA",'2023'!$F$2=AA81),'2023DATA'!$L$23,"")</f>
        <v/>
      </c>
      <c r="AB102" s="518" t="str">
        <f>IF(AND(_AC1="B-737-800",'2023'!$F$4="CA",'2023'!$F$2=AB81),'2023DATA'!$M$23,"")</f>
        <v/>
      </c>
      <c r="AC102" s="520" t="str">
        <f>IF(AND(_AC1="B-737-800",'2023'!$F$4="CA",'2023'!$F$2=AC81),'2023DATA'!$N$23,"")</f>
        <v/>
      </c>
      <c r="AD102" s="940" t="s">
        <v>69</v>
      </c>
      <c r="AE102" s="13" t="s">
        <v>61</v>
      </c>
      <c r="AF102" s="518" t="str">
        <f>IF(AND(_AC2="B-737-800",'2023'!$F$4="CA",'2023'!$F$2=AF81),'2023DATA'!$C$23,"")</f>
        <v/>
      </c>
      <c r="AG102" s="518" t="str">
        <f>IF(AND(_AC2="B-737-800",'2023'!$F$4="CA",'2023'!$F$2=AG81),'2023DATA'!$D$23,"")</f>
        <v/>
      </c>
      <c r="AH102" s="518" t="str">
        <f>IF(AND(_AC2="B-737-800",'2023'!$F$4="CA",'2023'!$F$2=AH81),'2023DATA'!$E$23,"")</f>
        <v/>
      </c>
      <c r="AI102" s="518" t="str">
        <f>IF(AND(_AC2="B-737-800",'2023'!$F$4="CA",'2023'!$F$2=AI81),'2023DATA'!$F$23,"")</f>
        <v/>
      </c>
      <c r="AJ102" s="518" t="str">
        <f>IF(AND(_AC2="B-737-800",'2023'!$F$4="CA",'2023'!$F$2=AJ81),'2023DATA'!$G$23,"")</f>
        <v/>
      </c>
      <c r="AK102" s="518" t="str">
        <f>IF(AND(_AC2="B-737-800",'2023'!$F$4="CA",'2023'!$F$2=AK81),'2023DATA'!$H$23,"")</f>
        <v/>
      </c>
      <c r="AL102" s="518" t="str">
        <f>IF(AND(_AC2="B-737-800",'2023'!$F$4="CA",'2023'!$F$2=AL81),'2023DATA'!$I$23,"")</f>
        <v/>
      </c>
      <c r="AM102" s="518" t="str">
        <f>IF(AND(_AC2="B-737-800",'2023'!$F$4="CA",'2023'!$F$2=AM81),'2023DATA'!$J$23,"")</f>
        <v/>
      </c>
      <c r="AN102" s="518" t="str">
        <f>IF(AND(_AC2="B-737-800",'2023'!$F$4="CA",'2023'!$F$2=AN81),'2023DATA'!$K$23,"")</f>
        <v/>
      </c>
      <c r="AO102" s="518" t="str">
        <f>IF(AND(_AC2="B-737-800",'2023'!$F$4="CA",'2023'!$F$2=AO81),'2023DATA'!$L$23,"")</f>
        <v/>
      </c>
      <c r="AP102" s="518" t="str">
        <f>IF(AND(_AC2="B-737-800",'2023'!$F$4="CA",'2023'!$F$2=AP81),'2023DATA'!$M$23,"")</f>
        <v/>
      </c>
      <c r="AQ102" s="520" t="str">
        <f>IF(AND(_AC2="B-737-800",'2023'!$F$4="CA",'2023'!$F$2=AQ81),'2023DATA'!$N$23,"")</f>
        <v/>
      </c>
      <c r="AR102" s="940" t="s">
        <v>69</v>
      </c>
      <c r="AS102" s="13" t="s">
        <v>61</v>
      </c>
      <c r="AT102" s="518" t="str">
        <f>IF(AND(_AC3="B-737-800",'2023'!$F$4="CA",'2023'!$F$2=AT81),'2023DATA'!$C$23,"")</f>
        <v/>
      </c>
      <c r="AU102" s="518" t="str">
        <f>IF(AND(_AC3="B-737-800",'2023'!$F$4="CA",'2023'!$F$2=AU81),'2023DATA'!$D$23,"")</f>
        <v/>
      </c>
      <c r="AV102" s="518" t="str">
        <f>IF(AND(_AC3="B-737-800",'2023'!$F$4="CA",'2023'!$F$2=AV81),'2023DATA'!$E$23,"")</f>
        <v/>
      </c>
      <c r="AW102" s="518" t="str">
        <f>IF(AND(_AC3="B-737-800",'2023'!$F$4="CA",'2023'!$F$2=AW81),'2023DATA'!$F$23,"")</f>
        <v/>
      </c>
      <c r="AX102" s="518" t="str">
        <f>IF(AND(_AC3="B-737-800",'2023'!$F$4="CA",'2023'!$F$2=AX81),'2023DATA'!$G$23,"")</f>
        <v/>
      </c>
      <c r="AY102" s="518" t="str">
        <f>IF(AND(_AC3="B-737-800",'2023'!$F$4="CA",'2023'!$F$2=AY81),'2023DATA'!$H$23,"")</f>
        <v/>
      </c>
      <c r="AZ102" s="518" t="str">
        <f>IF(AND(_AC3="B-737-800",'2023'!$F$4="CA",'2023'!$F$2=AZ81),'2023DATA'!$I$23,"")</f>
        <v/>
      </c>
      <c r="BA102" s="518" t="str">
        <f>IF(AND(_AC3="B-737-800",'2023'!$F$4="CA",'2023'!$F$2=BA81),'2023DATA'!$J$23,"")</f>
        <v/>
      </c>
      <c r="BB102" s="518" t="str">
        <f>IF(AND(_AC3="B-737-800",'2023'!$F$4="CA",'2023'!$F$2=BB81),'2023DATA'!$K$23,"")</f>
        <v/>
      </c>
      <c r="BC102" s="518" t="str">
        <f>IF(AND(_AC3="B-737-800",'2023'!$F$4="CA",'2023'!$F$2=BC81),'2023DATA'!$L$23,"")</f>
        <v/>
      </c>
      <c r="BD102" s="518" t="str">
        <f>IF(AND(_AC3="B-737-800",'2023'!$F$4="CA",'2023'!$F$2=BD81),'2023DATA'!$M$23,"")</f>
        <v/>
      </c>
      <c r="BE102" s="520" t="str">
        <f>IF(AND(_AC3="B-737-800",'2023'!$F$4="CA",'2023'!$F$2=BE81),'2023DATA'!$N$23,"")</f>
        <v/>
      </c>
      <c r="BF102" s="940" t="s">
        <v>69</v>
      </c>
      <c r="BG102" s="13" t="s">
        <v>61</v>
      </c>
      <c r="BH102" s="518" t="str">
        <f>IF(AND(_AC4="B-737-800",'2023'!$F$4="CA",'2023'!$F$2=BH81),'2023DATA'!$C$23,"")</f>
        <v/>
      </c>
      <c r="BI102" s="518" t="str">
        <f>IF(AND(_AC4="B-737-800",'2023'!$F$4="CA",'2023'!$F$2=BI81),'2023DATA'!$D$23,"")</f>
        <v/>
      </c>
      <c r="BJ102" s="518" t="str">
        <f>IF(AND(_AC4="B-737-800",'2023'!$F$4="CA",'2023'!$F$2=BJ81),'2023DATA'!$E$23,"")</f>
        <v/>
      </c>
      <c r="BK102" s="518" t="str">
        <f>IF(AND(_AC4="B-737-800",'2023'!$F$4="CA",'2023'!$F$2=BK81),'2023DATA'!$F$23,"")</f>
        <v/>
      </c>
      <c r="BL102" s="518" t="str">
        <f>IF(AND(_AC4="B-737-800",'2023'!$F$4="CA",'2023'!$F$2=BL81),'2023DATA'!$G$23,"")</f>
        <v/>
      </c>
      <c r="BM102" s="518" t="str">
        <f>IF(AND(_AC4="B-737-800",'2023'!$F$4="CA",'2023'!$F$2=BM81),'2023DATA'!$H$23,"")</f>
        <v/>
      </c>
      <c r="BN102" s="518" t="str">
        <f>IF(AND(_AC4="B-737-800",'2023'!$F$4="CA",'2023'!$F$2=BN81),'2023DATA'!$I$23,"")</f>
        <v/>
      </c>
      <c r="BO102" s="518" t="str">
        <f>IF(AND(_AC4="B-737-800",'2023'!$F$4="CA",'2023'!$F$2=BO81),'2023DATA'!$J$23,"")</f>
        <v/>
      </c>
      <c r="BP102" s="518" t="str">
        <f>IF(AND(_AC4="B-737-800",'2023'!$F$4="CA",'2023'!$F$2=BP81),'2023DATA'!$K$23,"")</f>
        <v/>
      </c>
      <c r="BQ102" s="518" t="str">
        <f>IF(AND(_AC4="B-737-800",'2023'!$F$4="CA",'2023'!$F$2=BQ81),'2023DATA'!$L$23,"")</f>
        <v/>
      </c>
      <c r="BR102" s="518" t="str">
        <f>IF(AND(_AC4="B-737-800",'2023'!$F$4="CA",'2023'!$F$2=BR81),'2023DATA'!$M$23,"")</f>
        <v/>
      </c>
      <c r="BS102" s="520" t="str">
        <f>IF(AND(_AC4="B-737-800",'2023'!$F$4="CA",'2023'!$F$2=BS81),'2023DATA'!$N$23,"")</f>
        <v/>
      </c>
      <c r="BT102" s="940" t="s">
        <v>69</v>
      </c>
      <c r="BU102" s="13" t="s">
        <v>61</v>
      </c>
      <c r="BV102" s="518" t="str">
        <f>IF(AND(_AC5="B-737-800",'2023'!$F$4="CA",'2023'!$F$2=BV81),'2023DATA'!$C$23,"")</f>
        <v/>
      </c>
      <c r="BW102" s="518" t="str">
        <f>IF(AND(_AC5="B-737-800",'2023'!$F$4="CA",'2023'!$F$2=BW81),'2023DATA'!$D$23,"")</f>
        <v/>
      </c>
      <c r="BX102" s="518" t="str">
        <f>IF(AND(_AC5="B-737-800",'2023'!$F$4="CA",'2023'!$F$2=BX81),'2023DATA'!$E$23,"")</f>
        <v/>
      </c>
      <c r="BY102" s="518" t="str">
        <f>IF(AND(_AC5="B-737-800",'2023'!$F$4="CA",'2023'!$F$2=BY81),'2023DATA'!$F$23,"")</f>
        <v/>
      </c>
      <c r="BZ102" s="518" t="str">
        <f>IF(AND(_AC5="B-737-800",'2023'!$F$4="CA",'2023'!$F$2=BZ81),'2023DATA'!$G$23,"")</f>
        <v/>
      </c>
      <c r="CA102" s="518" t="str">
        <f>IF(AND(_AC5="B-737-800",'2023'!$F$4="CA",'2023'!$F$2=CA81),'2023DATA'!$H$23,"")</f>
        <v/>
      </c>
      <c r="CB102" s="518" t="str">
        <f>IF(AND(_AC5="B-737-800",'2023'!$F$4="CA",'2023'!$F$2=CB81),'2023DATA'!$I$23,"")</f>
        <v/>
      </c>
      <c r="CC102" s="518" t="str">
        <f>IF(AND(_AC5="B-737-800",'2023'!$F$4="CA",'2023'!$F$2=CC81),'2023DATA'!$J$23,"")</f>
        <v/>
      </c>
      <c r="CD102" s="518" t="str">
        <f>IF(AND(_AC5="B-737-800",'2023'!$F$4="CA",'2023'!$F$2=CD81),'2023DATA'!$K$23,"")</f>
        <v/>
      </c>
      <c r="CE102" s="518" t="str">
        <f>IF(AND(_AC5="B-737-800",'2023'!$F$4="CA",'2023'!$F$2=CE81),'2023DATA'!$L$23,"")</f>
        <v/>
      </c>
      <c r="CF102" s="518" t="str">
        <f>IF(AND(_AC5="B-737-800",'2023'!$F$4="CA",'2023'!$F$2=CF81),'2023DATA'!$M$23,"")</f>
        <v/>
      </c>
      <c r="CG102" s="520" t="str">
        <f>IF(AND(_AC5="B-737-800",'2023'!$F$4="CA",'2023'!$F$2=CG81),'2023DATA'!$N$23,"")</f>
        <v/>
      </c>
      <c r="CH102" s="940" t="s">
        <v>69</v>
      </c>
      <c r="CI102" s="13" t="s">
        <v>61</v>
      </c>
      <c r="CJ102" s="518" t="str">
        <f>IF(AND(_AC6="B-737-800",'2023'!$F$4="CA",'2023'!$F$2=CJ81),'2023DATA'!$C$23,"")</f>
        <v/>
      </c>
      <c r="CK102" s="518" t="str">
        <f>IF(AND(_AC6="B-737-800",'2023'!$F$4="CA",'2023'!$F$2=CK81),'2023DATA'!$D$23,"")</f>
        <v/>
      </c>
      <c r="CL102" s="518" t="str">
        <f>IF(AND(_AC6="B-737-800",'2023'!$F$4="CA",'2023'!$F$2=CL81),'2023DATA'!$E$23,"")</f>
        <v/>
      </c>
      <c r="CM102" s="518" t="str">
        <f>IF(AND(_AC6="B-737-800",'2023'!$F$4="CA",'2023'!$F$2=CM81),'2023DATA'!$F$23,"")</f>
        <v/>
      </c>
      <c r="CN102" s="518" t="str">
        <f>IF(AND(_AC6="B-737-800",'2023'!$F$4="CA",'2023'!$F$2=CN81),'2023DATA'!$G$23,"")</f>
        <v/>
      </c>
      <c r="CO102" s="518" t="str">
        <f>IF(AND(_AC6="B-737-800",'2023'!$F$4="CA",'2023'!$F$2=CO81),'2023DATA'!$H$23,"")</f>
        <v/>
      </c>
      <c r="CP102" s="518" t="str">
        <f>IF(AND(_AC6="B-737-800",'2023'!$F$4="CA",'2023'!$F$2=CP81),'2023DATA'!$I$23,"")</f>
        <v/>
      </c>
      <c r="CQ102" s="518" t="str">
        <f>IF(AND(_AC6="B-737-800",'2023'!$F$4="CA",'2023'!$F$2=CQ81),'2023DATA'!$J$23,"")</f>
        <v/>
      </c>
      <c r="CR102" s="518" t="str">
        <f>IF(AND(_AC6="B-737-800",'2023'!$F$4="CA",'2023'!$F$2=CR81),'2023DATA'!$K$23,"")</f>
        <v/>
      </c>
      <c r="CS102" s="518" t="str">
        <f>IF(AND(_AC6="B-737-800",'2023'!$F$4="CA",'2023'!$F$2=CS81),'2023DATA'!$L$23,"")</f>
        <v/>
      </c>
      <c r="CT102" s="518" t="str">
        <f>IF(AND(_AC6="B-737-800",'2023'!$F$4="CA",'2023'!$F$2=CT81),'2023DATA'!$M$23,"")</f>
        <v/>
      </c>
      <c r="CU102" s="520" t="str">
        <f>IF(AND(_AC6="B-737-800",'2023'!$F$4="CA",'2023'!$F$2=CU81),'2023DATA'!$N$23,"")</f>
        <v/>
      </c>
    </row>
    <row r="103" spans="16:99" x14ac:dyDescent="0.25">
      <c r="P103" s="940"/>
      <c r="Q103" s="13" t="s">
        <v>62</v>
      </c>
      <c r="R103" s="518" t="str">
        <f>IF(AND(_AC1="B-737-800",'2023'!$F$4="FO",'2023'!$F$2=R81),'2023DATA'!$C$24,"")</f>
        <v/>
      </c>
      <c r="S103" s="518" t="str">
        <f>IF(AND(_AC1="B-737-800",'2023'!$F$4="FO",'2023'!$F$2=S81),'2023DATA'!$D$24,"")</f>
        <v/>
      </c>
      <c r="T103" s="518" t="str">
        <f>IF(AND(_AC1="B-737-800",'2023'!$F$4="FO",'2023'!$F$2=T81),'2023DATA'!$E$24,"")</f>
        <v/>
      </c>
      <c r="U103" s="518" t="str">
        <f>IF(AND(_AC1="B-737-800",'2023'!$F$4="FO",'2023'!$F$2=U81),'2023DATA'!$F$24,"")</f>
        <v/>
      </c>
      <c r="V103" s="518" t="str">
        <f>IF(AND(_AC1="B-737-800",'2023'!$F$4="FO",'2023'!$F$2=V81),'2023DATA'!$G$24,"")</f>
        <v/>
      </c>
      <c r="W103" s="518" t="str">
        <f>IF(AND(_AC1="B-737-800",'2023'!$F$4="FO",'2023'!$F$2=W81),'2023DATA'!$H$24,"")</f>
        <v/>
      </c>
      <c r="X103" s="518" t="str">
        <f>IF(AND(_AC1="B-737-800",'2023'!$F$4="FO",'2023'!$F$2=X81),'2023DATA'!$I$24,"")</f>
        <v/>
      </c>
      <c r="Y103" s="518" t="str">
        <f>IF(AND(_AC1="B-737-800",'2023'!$F$4="FO",'2023'!$F$2=Y81),'2023DATA'!$J$24,"")</f>
        <v/>
      </c>
      <c r="Z103" s="518" t="str">
        <f>IF(AND(_AC1="B-737-800",'2023'!$F$4="FO",'2023'!$F$2=Z81),'2023DATA'!$K$24,"")</f>
        <v/>
      </c>
      <c r="AA103" s="518" t="str">
        <f>IF(AND(_AC1="B-737-800",'2023'!$F$4="FO",'2023'!$F$2=AA81),'2023DATA'!$L$24,"")</f>
        <v/>
      </c>
      <c r="AB103" s="518" t="str">
        <f>IF(AND(_AC1="B-737-800",'2023'!$F$4="FO",'2023'!$F$2=AB81),'2023DATA'!$M$24,"")</f>
        <v/>
      </c>
      <c r="AC103" s="520" t="str">
        <f>IF(AND(_AC1="B-737-800",'2023'!$F$4="FO",'2023'!$F$2=AC81),'2023DATA'!$N$24,"")</f>
        <v/>
      </c>
      <c r="AD103" s="940"/>
      <c r="AE103" s="13" t="s">
        <v>62</v>
      </c>
      <c r="AF103" s="518" t="str">
        <f>IF(AND(_AC2="B-737-800",'2023'!$F$4="FO",'2023'!$F$2=AF81),'2023DATA'!$C$24,"")</f>
        <v/>
      </c>
      <c r="AG103" s="518" t="str">
        <f>IF(AND(_AC2="B-737-800",'2023'!$F$4="FO",'2023'!$F$2=AG81),'2023DATA'!$D$24,"")</f>
        <v/>
      </c>
      <c r="AH103" s="518" t="str">
        <f>IF(AND(_AC2="B-737-800",'2023'!$F$4="FO",'2023'!$F$2=AH81),'2023DATA'!$E$24,"")</f>
        <v/>
      </c>
      <c r="AI103" s="518" t="str">
        <f>IF(AND(_AC2="B-737-800",'2023'!$F$4="FO",'2023'!$F$2=AI81),'2023DATA'!$F$24,"")</f>
        <v/>
      </c>
      <c r="AJ103" s="518" t="str">
        <f>IF(AND(_AC2="B-737-800",'2023'!$F$4="FO",'2023'!$F$2=AJ81),'2023DATA'!$G$24,"")</f>
        <v/>
      </c>
      <c r="AK103" s="518" t="str">
        <f>IF(AND(_AC2="B-737-800",'2023'!$F$4="FO",'2023'!$F$2=AK81),'2023DATA'!$H$24,"")</f>
        <v/>
      </c>
      <c r="AL103" s="518" t="str">
        <f>IF(AND(_AC2="B-737-800",'2023'!$F$4="FO",'2023'!$F$2=AL81),'2023DATA'!$I$24,"")</f>
        <v/>
      </c>
      <c r="AM103" s="518" t="str">
        <f>IF(AND(_AC2="B-737-800",'2023'!$F$4="FO",'2023'!$F$2=AM81),'2023DATA'!$J$24,"")</f>
        <v/>
      </c>
      <c r="AN103" s="518" t="str">
        <f>IF(AND(_AC2="B-737-800",'2023'!$F$4="FO",'2023'!$F$2=AN81),'2023DATA'!$K$24,"")</f>
        <v/>
      </c>
      <c r="AO103" s="518" t="str">
        <f>IF(AND(_AC2="B-737-800",'2023'!$F$4="FO",'2023'!$F$2=AO81),'2023DATA'!$L$24,"")</f>
        <v/>
      </c>
      <c r="AP103" s="518" t="str">
        <f>IF(AND(_AC2="B-737-800",'2023'!$F$4="FO",'2023'!$F$2=AP81),'2023DATA'!$M$24,"")</f>
        <v/>
      </c>
      <c r="AQ103" s="520" t="str">
        <f>IF(AND(_AC2="B-737-800",'2023'!$F$4="FO",'2023'!$F$2=AQ81),'2023DATA'!$N$24,"")</f>
        <v/>
      </c>
      <c r="AR103" s="940"/>
      <c r="AS103" s="13" t="s">
        <v>62</v>
      </c>
      <c r="AT103" s="518" t="str">
        <f>IF(AND(_AC3="B-737-800",'2023'!$F$4="FO",'2023'!$F$2=AT81),'2023DATA'!$C$24,"")</f>
        <v/>
      </c>
      <c r="AU103" s="518" t="str">
        <f>IF(AND(_AC3="B-737-800",'2023'!$F$4="FO",'2023'!$F$2=AU81),'2023DATA'!$D$24,"")</f>
        <v/>
      </c>
      <c r="AV103" s="518" t="str">
        <f>IF(AND(_AC3="B-737-800",'2023'!$F$4="FO",'2023'!$F$2=AV81),'2023DATA'!$E$24,"")</f>
        <v/>
      </c>
      <c r="AW103" s="518" t="str">
        <f>IF(AND(_AC3="B-737-800",'2023'!$F$4="FO",'2023'!$F$2=AW81),'2023DATA'!$F$24,"")</f>
        <v/>
      </c>
      <c r="AX103" s="518" t="str">
        <f>IF(AND(_AC3="B-737-800",'2023'!$F$4="FO",'2023'!$F$2=AX81),'2023DATA'!$G$24,"")</f>
        <v/>
      </c>
      <c r="AY103" s="518" t="str">
        <f>IF(AND(_AC3="B-737-800",'2023'!$F$4="FO",'2023'!$F$2=AY81),'2023DATA'!$H$24,"")</f>
        <v/>
      </c>
      <c r="AZ103" s="518" t="str">
        <f>IF(AND(_AC3="B-737-800",'2023'!$F$4="FO",'2023'!$F$2=AZ81),'2023DATA'!$I$24,"")</f>
        <v/>
      </c>
      <c r="BA103" s="518" t="str">
        <f>IF(AND(_AC3="B-737-800",'2023'!$F$4="FO",'2023'!$F$2=BA81),'2023DATA'!$J$24,"")</f>
        <v/>
      </c>
      <c r="BB103" s="518" t="str">
        <f>IF(AND(_AC3="B-737-800",'2023'!$F$4="FO",'2023'!$F$2=BB81),'2023DATA'!$K$24,"")</f>
        <v/>
      </c>
      <c r="BC103" s="518" t="str">
        <f>IF(AND(_AC3="B-737-800",'2023'!$F$4="FO",'2023'!$F$2=BC81),'2023DATA'!$L$24,"")</f>
        <v/>
      </c>
      <c r="BD103" s="518" t="str">
        <f>IF(AND(_AC3="B-737-800",'2023'!$F$4="FO",'2023'!$F$2=BD81),'2023DATA'!$M$24,"")</f>
        <v/>
      </c>
      <c r="BE103" s="520" t="str">
        <f>IF(AND(_AC3="B-737-800",'2023'!$F$4="FO",'2023'!$F$2=BE81),'2023DATA'!$N$24,"")</f>
        <v/>
      </c>
      <c r="BF103" s="940"/>
      <c r="BG103" s="13" t="s">
        <v>62</v>
      </c>
      <c r="BH103" s="518" t="str">
        <f>IF(AND(_AC4="B-737-800",'2023'!$F$4="FO",'2023'!$F$2=BH81),'2023DATA'!$C$24,"")</f>
        <v/>
      </c>
      <c r="BI103" s="518" t="str">
        <f>IF(AND(_AC4="B-737-800",'2023'!$F$4="FO",'2023'!$F$2=BI81),'2023DATA'!$D$24,"")</f>
        <v/>
      </c>
      <c r="BJ103" s="518" t="str">
        <f>IF(AND(_AC4="B-737-800",'2023'!$F$4="FO",'2023'!$F$2=BJ81),'2023DATA'!$E$24,"")</f>
        <v/>
      </c>
      <c r="BK103" s="518" t="str">
        <f>IF(AND(_AC4="B-737-800",'2023'!$F$4="FO",'2023'!$F$2=BK81),'2023DATA'!$F$24,"")</f>
        <v/>
      </c>
      <c r="BL103" s="518" t="str">
        <f>IF(AND(_AC4="B-737-800",'2023'!$F$4="FO",'2023'!$F$2=BL81),'2023DATA'!$G$24,"")</f>
        <v/>
      </c>
      <c r="BM103" s="518" t="str">
        <f>IF(AND(_AC4="B-737-800",'2023'!$F$4="FO",'2023'!$F$2=BM81),'2023DATA'!$H$24,"")</f>
        <v/>
      </c>
      <c r="BN103" s="518" t="str">
        <f>IF(AND(_AC4="B-737-800",'2023'!$F$4="FO",'2023'!$F$2=BN81),'2023DATA'!$I$24,"")</f>
        <v/>
      </c>
      <c r="BO103" s="518" t="str">
        <f>IF(AND(_AC4="B-737-800",'2023'!$F$4="FO",'2023'!$F$2=BO81),'2023DATA'!$J$24,"")</f>
        <v/>
      </c>
      <c r="BP103" s="518" t="str">
        <f>IF(AND(_AC4="B-737-800",'2023'!$F$4="FO",'2023'!$F$2=BP81),'2023DATA'!$K$24,"")</f>
        <v/>
      </c>
      <c r="BQ103" s="518" t="str">
        <f>IF(AND(_AC4="B-737-800",'2023'!$F$4="FO",'2023'!$F$2=BQ81),'2023DATA'!$L$24,"")</f>
        <v/>
      </c>
      <c r="BR103" s="518" t="str">
        <f>IF(AND(_AC4="B-737-800",'2023'!$F$4="FO",'2023'!$F$2=BR81),'2023DATA'!$M$24,"")</f>
        <v/>
      </c>
      <c r="BS103" s="520" t="str">
        <f>IF(AND(_AC4="B-737-800",'2023'!$F$4="FO",'2023'!$F$2=BS81),'2023DATA'!$N$24,"")</f>
        <v/>
      </c>
      <c r="BT103" s="940"/>
      <c r="BU103" s="13" t="s">
        <v>62</v>
      </c>
      <c r="BV103" s="518" t="str">
        <f>IF(AND(_AC5="B-737-800",'2023'!$F$4="FO",'2023'!$F$2=BV81),'2023DATA'!$C$24,"")</f>
        <v/>
      </c>
      <c r="BW103" s="518" t="str">
        <f>IF(AND(_AC5="B-737-800",'2023'!$F$4="FO",'2023'!$F$2=BW81),'2023DATA'!$D$24,"")</f>
        <v/>
      </c>
      <c r="BX103" s="518" t="str">
        <f>IF(AND(_AC5="B-737-800",'2023'!$F$4="FO",'2023'!$F$2=BX81),'2023DATA'!$E$24,"")</f>
        <v/>
      </c>
      <c r="BY103" s="518" t="str">
        <f>IF(AND(_AC5="B-737-800",'2023'!$F$4="FO",'2023'!$F$2=BY81),'2023DATA'!$F$24,"")</f>
        <v/>
      </c>
      <c r="BZ103" s="518" t="str">
        <f>IF(AND(_AC5="B-737-800",'2023'!$F$4="FO",'2023'!$F$2=BZ81),'2023DATA'!$G$24,"")</f>
        <v/>
      </c>
      <c r="CA103" s="518" t="str">
        <f>IF(AND(_AC5="B-737-800",'2023'!$F$4="FO",'2023'!$F$2=CA81),'2023DATA'!$H$24,"")</f>
        <v/>
      </c>
      <c r="CB103" s="518" t="str">
        <f>IF(AND(_AC5="B-737-800",'2023'!$F$4="FO",'2023'!$F$2=CB81),'2023DATA'!$I$24,"")</f>
        <v/>
      </c>
      <c r="CC103" s="518" t="str">
        <f>IF(AND(_AC5="B-737-800",'2023'!$F$4="FO",'2023'!$F$2=CC81),'2023DATA'!$J$24,"")</f>
        <v/>
      </c>
      <c r="CD103" s="518" t="str">
        <f>IF(AND(_AC5="B-737-800",'2023'!$F$4="FO",'2023'!$F$2=CD81),'2023DATA'!$K$24,"")</f>
        <v/>
      </c>
      <c r="CE103" s="518" t="str">
        <f>IF(AND(_AC5="B-737-800",'2023'!$F$4="FO",'2023'!$F$2=CE81),'2023DATA'!$L$24,"")</f>
        <v/>
      </c>
      <c r="CF103" s="518" t="str">
        <f>IF(AND(_AC5="B-737-800",'2023'!$F$4="FO",'2023'!$F$2=CF81),'2023DATA'!$M$24,"")</f>
        <v/>
      </c>
      <c r="CG103" s="520" t="str">
        <f>IF(AND(_AC5="B-737-800",'2023'!$F$4="FO",'2023'!$F$2=CG81),'2023DATA'!$N$24,"")</f>
        <v/>
      </c>
      <c r="CH103" s="940"/>
      <c r="CI103" s="13" t="s">
        <v>62</v>
      </c>
      <c r="CJ103" s="518" t="str">
        <f>IF(AND(_AC6="B-737-800",'2023'!$F$4="FO",'2023'!$F$2=CJ81),'2023DATA'!$C$24,"")</f>
        <v/>
      </c>
      <c r="CK103" s="518" t="str">
        <f>IF(AND(_AC6="B-737-800",'2023'!$F$4="FO",'2023'!$F$2=CK81),'2023DATA'!$D$24,"")</f>
        <v/>
      </c>
      <c r="CL103" s="518" t="str">
        <f>IF(AND(_AC6="B-737-800",'2023'!$F$4="FO",'2023'!$F$2=CL81),'2023DATA'!$E$24,"")</f>
        <v/>
      </c>
      <c r="CM103" s="518" t="str">
        <f>IF(AND(_AC6="B-737-800",'2023'!$F$4="FO",'2023'!$F$2=CM81),'2023DATA'!$F$24,"")</f>
        <v/>
      </c>
      <c r="CN103" s="518" t="str">
        <f>IF(AND(_AC6="B-737-800",'2023'!$F$4="FO",'2023'!$F$2=CN81),'2023DATA'!$G$24,"")</f>
        <v/>
      </c>
      <c r="CO103" s="518" t="str">
        <f>IF(AND(_AC6="B-737-800",'2023'!$F$4="FO",'2023'!$F$2=CO81),'2023DATA'!$H$24,"")</f>
        <v/>
      </c>
      <c r="CP103" s="518" t="str">
        <f>IF(AND(_AC6="B-737-800",'2023'!$F$4="FO",'2023'!$F$2=CP81),'2023DATA'!$I$24,"")</f>
        <v/>
      </c>
      <c r="CQ103" s="518" t="str">
        <f>IF(AND(_AC6="B-737-800",'2023'!$F$4="FO",'2023'!$F$2=CQ81),'2023DATA'!$J$24,"")</f>
        <v/>
      </c>
      <c r="CR103" s="518" t="str">
        <f>IF(AND(_AC6="B-737-800",'2023'!$F$4="FO",'2023'!$F$2=CR81),'2023DATA'!$K$24,"")</f>
        <v/>
      </c>
      <c r="CS103" s="518" t="str">
        <f>IF(AND(_AC6="B-737-800",'2023'!$F$4="FO",'2023'!$F$2=CS81),'2023DATA'!$L$24,"")</f>
        <v/>
      </c>
      <c r="CT103" s="518" t="str">
        <f>IF(AND(_AC6="B-737-800",'2023'!$F$4="FO",'2023'!$F$2=CT81),'2023DATA'!$M$24,"")</f>
        <v/>
      </c>
      <c r="CU103" s="520" t="str">
        <f>IF(AND(_AC6="B-737-800",'2023'!$F$4="FO",'2023'!$F$2=CU81),'2023DATA'!$N$24,"")</f>
        <v/>
      </c>
    </row>
    <row r="104" spans="16:99" x14ac:dyDescent="0.25">
      <c r="P104" s="940" t="s">
        <v>46</v>
      </c>
      <c r="Q104" s="13" t="s">
        <v>61</v>
      </c>
      <c r="R104" s="518" t="str">
        <f>IF(AND(_AC1="A-321N",'2023'!$F$4="CA",'2023'!$F$2=R81),'2023DATA'!$C$25,"")</f>
        <v/>
      </c>
      <c r="S104" s="518" t="str">
        <f>IF(AND(_AC1="A-321N",'2023'!$F$4="CA",'2023'!$F$2=S81),'2023DATA'!$D$25,"")</f>
        <v/>
      </c>
      <c r="T104" s="518" t="str">
        <f>IF(AND(_AC1="A-321N",'2023'!$F$4="CA",'2023'!$F$2=T81),'2023DATA'!$E$25,"")</f>
        <v/>
      </c>
      <c r="U104" s="518" t="str">
        <f>IF(AND(_AC1="A-321N",'2023'!$F$4="CA",'2023'!$F$2=U81),'2023DATA'!$F$25,"")</f>
        <v/>
      </c>
      <c r="V104" s="518" t="str">
        <f>IF(AND(_AC1="A-321N",'2023'!$F$4="CA",'2023'!$F$2=V81),'2023DATA'!$G$25,"")</f>
        <v/>
      </c>
      <c r="W104" s="518" t="str">
        <f>IF(AND(_AC1="A-321N",'2023'!$F$4="CA",'2023'!$F$2=W81),'2023DATA'!$H$25,"")</f>
        <v/>
      </c>
      <c r="X104" s="518" t="str">
        <f>IF(AND(_AC1="A-321N",'2023'!$F$4="CA",'2023'!$F$2=X81),'2023DATA'!$I$25,"")</f>
        <v/>
      </c>
      <c r="Y104" s="518" t="str">
        <f>IF(AND(_AC1="A-321N",'2023'!$F$4="CA",'2023'!$F$2=Y81),'2023DATA'!$J$25,"")</f>
        <v/>
      </c>
      <c r="Z104" s="518" t="str">
        <f>IF(AND(_AC1="A-321N",'2023'!$F$4="CA",'2023'!$F$2=Z81),'2023DATA'!$K$25,"")</f>
        <v/>
      </c>
      <c r="AA104" s="518" t="str">
        <f>IF(AND(_AC1="A-321N",'2023'!$F$4="CA",'2023'!$F$2=AA81),'2023DATA'!$L$25,"")</f>
        <v/>
      </c>
      <c r="AB104" s="518" t="str">
        <f>IF(AND(_AC1="A-321N",'2023'!$F$4="CA",'2023'!$F$2=AB81),'2023DATA'!$M$25,"")</f>
        <v/>
      </c>
      <c r="AC104" s="520" t="str">
        <f>IF(AND(_AC1="A-321N",'2023'!$F$4="CA",'2023'!$F$2=AC81),'2023DATA'!$N$25,"")</f>
        <v/>
      </c>
      <c r="AD104" s="940" t="s">
        <v>46</v>
      </c>
      <c r="AE104" s="13" t="s">
        <v>61</v>
      </c>
      <c r="AF104" s="518" t="str">
        <f>IF(AND(_AC2="A-321N",'2023'!$F$4="CA",'2023'!$F$2=AF81),'2023DATA'!$C$25,"")</f>
        <v/>
      </c>
      <c r="AG104" s="518" t="str">
        <f>IF(AND(_AC2="A-321N",'2023'!$F$4="CA",'2023'!$F$2=AG81),'2023DATA'!$D$25,"")</f>
        <v/>
      </c>
      <c r="AH104" s="518" t="str">
        <f>IF(AND(_AC2="A-321N",'2023'!$F$4="CA",'2023'!$F$2=AH81),'2023DATA'!$E$25,"")</f>
        <v/>
      </c>
      <c r="AI104" s="518" t="str">
        <f>IF(AND(_AC2="A-321N",'2023'!$F$4="CA",'2023'!$F$2=AI81),'2023DATA'!$F$25,"")</f>
        <v/>
      </c>
      <c r="AJ104" s="518" t="str">
        <f>IF(AND(_AC2="A-321N",'2023'!$F$4="CA",'2023'!$F$2=AJ81),'2023DATA'!$G$25,"")</f>
        <v/>
      </c>
      <c r="AK104" s="518" t="str">
        <f>IF(AND(_AC2="A-321N",'2023'!$F$4="CA",'2023'!$F$2=AK81),'2023DATA'!$H$25,"")</f>
        <v/>
      </c>
      <c r="AL104" s="518" t="str">
        <f>IF(AND(_AC2="A-321N",'2023'!$F$4="CA",'2023'!$F$2=AL81),'2023DATA'!$I$25,"")</f>
        <v/>
      </c>
      <c r="AM104" s="518" t="str">
        <f>IF(AND(_AC2="A-321N",'2023'!$F$4="CA",'2023'!$F$2=AM81),'2023DATA'!$J$25,"")</f>
        <v/>
      </c>
      <c r="AN104" s="518" t="str">
        <f>IF(AND(_AC2="A-321N",'2023'!$F$4="CA",'2023'!$F$2=AN81),'2023DATA'!$K$25,"")</f>
        <v/>
      </c>
      <c r="AO104" s="518" t="str">
        <f>IF(AND(_AC2="A-321N",'2023'!$F$4="CA",'2023'!$F$2=AO81),'2023DATA'!$L$25,"")</f>
        <v/>
      </c>
      <c r="AP104" s="518" t="str">
        <f>IF(AND(_AC2="A-321N",'2023'!$F$4="CA",'2023'!$F$2=AP81),'2023DATA'!$M$25,"")</f>
        <v/>
      </c>
      <c r="AQ104" s="520" t="str">
        <f>IF(AND(_AC2="A-321N",'2023'!$F$4="CA",'2023'!$F$2=AQ81),'2023DATA'!$N$25,"")</f>
        <v/>
      </c>
      <c r="AR104" s="940" t="s">
        <v>46</v>
      </c>
      <c r="AS104" s="13" t="s">
        <v>61</v>
      </c>
      <c r="AT104" s="518" t="str">
        <f>IF(AND(_AC3="A-321N",'2023'!$F$4="CA",'2023'!$F$2=AT81),'2023DATA'!$C$25,"")</f>
        <v/>
      </c>
      <c r="AU104" s="518" t="str">
        <f>IF(AND(_AC3="A-321N",'2023'!$F$4="CA",'2023'!$F$2=AU81),'2023DATA'!$D$25,"")</f>
        <v/>
      </c>
      <c r="AV104" s="518" t="str">
        <f>IF(AND(_AC3="A-321N",'2023'!$F$4="CA",'2023'!$F$2=AV81),'2023DATA'!$E$25,"")</f>
        <v/>
      </c>
      <c r="AW104" s="518" t="str">
        <f>IF(AND(_AC3="A-321N",'2023'!$F$4="CA",'2023'!$F$2=AW81),'2023DATA'!$F$25,"")</f>
        <v/>
      </c>
      <c r="AX104" s="518" t="str">
        <f>IF(AND(_AC3="A-321N",'2023'!$F$4="CA",'2023'!$F$2=AX81),'2023DATA'!$G$25,"")</f>
        <v/>
      </c>
      <c r="AY104" s="518" t="str">
        <f>IF(AND(_AC3="A-321N",'2023'!$F$4="CA",'2023'!$F$2=AY81),'2023DATA'!$H$25,"")</f>
        <v/>
      </c>
      <c r="AZ104" s="518" t="str">
        <f>IF(AND(_AC3="A-321N",'2023'!$F$4="CA",'2023'!$F$2=AZ81),'2023DATA'!$I$25,"")</f>
        <v/>
      </c>
      <c r="BA104" s="518" t="str">
        <f>IF(AND(_AC3="A-321N",'2023'!$F$4="CA",'2023'!$F$2=BA81),'2023DATA'!$J$25,"")</f>
        <v/>
      </c>
      <c r="BB104" s="518" t="str">
        <f>IF(AND(_AC3="A-321N",'2023'!$F$4="CA",'2023'!$F$2=BB81),'2023DATA'!$K$25,"")</f>
        <v/>
      </c>
      <c r="BC104" s="518" t="str">
        <f>IF(AND(_AC3="A-321N",'2023'!$F$4="CA",'2023'!$F$2=BC81),'2023DATA'!$L$25,"")</f>
        <v/>
      </c>
      <c r="BD104" s="518" t="str">
        <f>IF(AND(_AC3="A-321N",'2023'!$F$4="CA",'2023'!$F$2=BD81),'2023DATA'!$M$25,"")</f>
        <v/>
      </c>
      <c r="BE104" s="520" t="str">
        <f>IF(AND(_AC3="A-321N",'2023'!$F$4="CA",'2023'!$F$2=BE81),'2023DATA'!$N$25,"")</f>
        <v/>
      </c>
      <c r="BF104" s="940" t="s">
        <v>46</v>
      </c>
      <c r="BG104" s="13" t="s">
        <v>61</v>
      </c>
      <c r="BH104" s="518" t="str">
        <f>IF(AND(_AC4="A-321N",'2023'!$F$4="CA",'2023'!$F$2=BH81),'2023DATA'!$C$25,"")</f>
        <v/>
      </c>
      <c r="BI104" s="518" t="str">
        <f>IF(AND(_AC4="A-321N",'2023'!$F$4="CA",'2023'!$F$2=BI81),'2023DATA'!$D$25,"")</f>
        <v/>
      </c>
      <c r="BJ104" s="518" t="str">
        <f>IF(AND(_AC4="A-321N",'2023'!$F$4="CA",'2023'!$F$2=BJ81),'2023DATA'!$E$25,"")</f>
        <v/>
      </c>
      <c r="BK104" s="518" t="str">
        <f>IF(AND(_AC4="A-321N",'2023'!$F$4="CA",'2023'!$F$2=BK81),'2023DATA'!$F$25,"")</f>
        <v/>
      </c>
      <c r="BL104" s="518" t="str">
        <f>IF(AND(_AC4="A-321N",'2023'!$F$4="CA",'2023'!$F$2=BL81),'2023DATA'!$G$25,"")</f>
        <v/>
      </c>
      <c r="BM104" s="518" t="str">
        <f>IF(AND(_AC4="A-321N",'2023'!$F$4="CA",'2023'!$F$2=BM81),'2023DATA'!$H$25,"")</f>
        <v/>
      </c>
      <c r="BN104" s="518" t="str">
        <f>IF(AND(_AC4="A-321N",'2023'!$F$4="CA",'2023'!$F$2=BN81),'2023DATA'!$I$25,"")</f>
        <v/>
      </c>
      <c r="BO104" s="518" t="str">
        <f>IF(AND(_AC4="A-321N",'2023'!$F$4="CA",'2023'!$F$2=BO81),'2023DATA'!$J$25,"")</f>
        <v/>
      </c>
      <c r="BP104" s="518" t="str">
        <f>IF(AND(_AC4="A-321N",'2023'!$F$4="CA",'2023'!$F$2=BP81),'2023DATA'!$K$25,"")</f>
        <v/>
      </c>
      <c r="BQ104" s="518" t="str">
        <f>IF(AND(_AC4="A-321N",'2023'!$F$4="CA",'2023'!$F$2=BQ81),'2023DATA'!$L$25,"")</f>
        <v/>
      </c>
      <c r="BR104" s="518" t="str">
        <f>IF(AND(_AC4="A-321N",'2023'!$F$4="CA",'2023'!$F$2=BR81),'2023DATA'!$M$25,"")</f>
        <v/>
      </c>
      <c r="BS104" s="520" t="str">
        <f>IF(AND(_AC4="A-321N",'2023'!$F$4="CA",'2023'!$F$2=BS81),'2023DATA'!$N$25,"")</f>
        <v/>
      </c>
      <c r="BT104" s="940" t="s">
        <v>46</v>
      </c>
      <c r="BU104" s="13" t="s">
        <v>61</v>
      </c>
      <c r="BV104" s="518" t="str">
        <f>IF(AND(_AC5="A-321N",'2023'!$F$4="CA",'2023'!$F$2=BV81),'2023DATA'!$C$25,"")</f>
        <v/>
      </c>
      <c r="BW104" s="518" t="str">
        <f>IF(AND(_AC5="A-321N",'2023'!$F$4="CA",'2023'!$F$2=BW81),'2023DATA'!$D$25,"")</f>
        <v/>
      </c>
      <c r="BX104" s="518" t="str">
        <f>IF(AND(_AC5="A-321N",'2023'!$F$4="CA",'2023'!$F$2=BX81),'2023DATA'!$E$25,"")</f>
        <v/>
      </c>
      <c r="BY104" s="518" t="str">
        <f>IF(AND(_AC5="A-321N",'2023'!$F$4="CA",'2023'!$F$2=BY81),'2023DATA'!$F$25,"")</f>
        <v/>
      </c>
      <c r="BZ104" s="518" t="str">
        <f>IF(AND(_AC5="A-321N",'2023'!$F$4="CA",'2023'!$F$2=BZ81),'2023DATA'!$G$25,"")</f>
        <v/>
      </c>
      <c r="CA104" s="518" t="str">
        <f>IF(AND(_AC5="A-321N",'2023'!$F$4="CA",'2023'!$F$2=CA81),'2023DATA'!$H$25,"")</f>
        <v/>
      </c>
      <c r="CB104" s="518" t="str">
        <f>IF(AND(_AC5="A-321N",'2023'!$F$4="CA",'2023'!$F$2=CB81),'2023DATA'!$I$25,"")</f>
        <v/>
      </c>
      <c r="CC104" s="518" t="str">
        <f>IF(AND(_AC5="A-321N",'2023'!$F$4="CA",'2023'!$F$2=CC81),'2023DATA'!$J$25,"")</f>
        <v/>
      </c>
      <c r="CD104" s="518" t="str">
        <f>IF(AND(_AC5="A-321N",'2023'!$F$4="CA",'2023'!$F$2=CD81),'2023DATA'!$K$25,"")</f>
        <v/>
      </c>
      <c r="CE104" s="518" t="str">
        <f>IF(AND(_AC5="A-321N",'2023'!$F$4="CA",'2023'!$F$2=CE81),'2023DATA'!$L$25,"")</f>
        <v/>
      </c>
      <c r="CF104" s="518" t="str">
        <f>IF(AND(_AC5="A-321N",'2023'!$F$4="CA",'2023'!$F$2=CF81),'2023DATA'!$M$25,"")</f>
        <v/>
      </c>
      <c r="CG104" s="520" t="str">
        <f>IF(AND(_AC5="A-321N",'2023'!$F$4="CA",'2023'!$F$2=CG81),'2023DATA'!$N$25,"")</f>
        <v/>
      </c>
      <c r="CH104" s="940" t="s">
        <v>46</v>
      </c>
      <c r="CI104" s="13" t="s">
        <v>61</v>
      </c>
      <c r="CJ104" s="518" t="str">
        <f>IF(AND(_AC6="A-321N",'2023'!$F$4="CA",'2023'!$F$2=CJ81),'2023DATA'!$C$25,"")</f>
        <v/>
      </c>
      <c r="CK104" s="518" t="str">
        <f>IF(AND(_AC6="A-321N",'2023'!$F$4="CA",'2023'!$F$2=CK81),'2023DATA'!$D$25,"")</f>
        <v/>
      </c>
      <c r="CL104" s="518" t="str">
        <f>IF(AND(_AC6="A-321N",'2023'!$F$4="CA",'2023'!$F$2=CL81),'2023DATA'!$E$25,"")</f>
        <v/>
      </c>
      <c r="CM104" s="518" t="str">
        <f>IF(AND(_AC6="A-321N",'2023'!$F$4="CA",'2023'!$F$2=CM81),'2023DATA'!$F$25,"")</f>
        <v/>
      </c>
      <c r="CN104" s="518" t="str">
        <f>IF(AND(_AC6="A-321N",'2023'!$F$4="CA",'2023'!$F$2=CN81),'2023DATA'!$G$25,"")</f>
        <v/>
      </c>
      <c r="CO104" s="518" t="str">
        <f>IF(AND(_AC6="A-321N",'2023'!$F$4="CA",'2023'!$F$2=CO81),'2023DATA'!$H$25,"")</f>
        <v/>
      </c>
      <c r="CP104" s="518" t="str">
        <f>IF(AND(_AC6="A-321N",'2023'!$F$4="CA",'2023'!$F$2=CP81),'2023DATA'!$I$25,"")</f>
        <v/>
      </c>
      <c r="CQ104" s="518" t="str">
        <f>IF(AND(_AC6="A-321N",'2023'!$F$4="CA",'2023'!$F$2=CQ81),'2023DATA'!$J$25,"")</f>
        <v/>
      </c>
      <c r="CR104" s="518" t="str">
        <f>IF(AND(_AC6="A-321N",'2023'!$F$4="CA",'2023'!$F$2=CR81),'2023DATA'!$K$25,"")</f>
        <v/>
      </c>
      <c r="CS104" s="518" t="str">
        <f>IF(AND(_AC6="A-321N",'2023'!$F$4="CA",'2023'!$F$2=CS81),'2023DATA'!$L$25,"")</f>
        <v/>
      </c>
      <c r="CT104" s="518" t="str">
        <f>IF(AND(_AC6="A-321N",'2023'!$F$4="CA",'2023'!$F$2=CT81),'2023DATA'!$M$25,"")</f>
        <v/>
      </c>
      <c r="CU104" s="520" t="str">
        <f>IF(AND(_AC6="A-321N",'2023'!$F$4="CA",'2023'!$F$2=CU81),'2023DATA'!$N$25,"")</f>
        <v/>
      </c>
    </row>
    <row r="105" spans="16:99" x14ac:dyDescent="0.25">
      <c r="P105" s="940"/>
      <c r="Q105" s="13" t="s">
        <v>62</v>
      </c>
      <c r="R105" s="518" t="str">
        <f>IF(AND(_AC1="A-321N",'2023'!$F$4="FO",'2023'!$F$2=R81),'2023DATA'!$C$26,"")</f>
        <v/>
      </c>
      <c r="S105" s="518" t="str">
        <f>IF(AND(_AC1="A-321N",'2023'!$F$4="FO",'2023'!$F$2=S81),'2023DATA'!$D$26,"")</f>
        <v/>
      </c>
      <c r="T105" s="518" t="str">
        <f>IF(AND(_AC1="A-321N",'2023'!$F$4="FO",'2023'!$F$2=T81),'2023DATA'!$E$26,"")</f>
        <v/>
      </c>
      <c r="U105" s="518" t="str">
        <f>IF(AND(_AC1="A-321N",'2023'!$F$4="FO",'2023'!$F$2=U81),'2023DATA'!$F$26,"")</f>
        <v/>
      </c>
      <c r="V105" s="518" t="str">
        <f>IF(AND(_AC1="A-321N",'2023'!$F$4="FO",'2023'!$F$2=V81),'2023DATA'!$G$26,"")</f>
        <v/>
      </c>
      <c r="W105" s="518" t="str">
        <f>IF(AND(_AC1="A-321N",'2023'!$F$4="FO",'2023'!$F$2=W81),'2023DATA'!$H$26,"")</f>
        <v/>
      </c>
      <c r="X105" s="518" t="str">
        <f>IF(AND(_AC1="A-321N",'2023'!$F$4="FO",'2023'!$F$2=X81),'2023DATA'!$I$26,"")</f>
        <v/>
      </c>
      <c r="Y105" s="518" t="str">
        <f>IF(AND(_AC1="A-321N",'2023'!$F$4="FO",'2023'!$F$2=Y81),'2023DATA'!$J$26,"")</f>
        <v/>
      </c>
      <c r="Z105" s="518" t="str">
        <f>IF(AND(_AC1="A-321N",'2023'!$F$4="FO",'2023'!$F$2=Z81),'2023DATA'!$K$26,"")</f>
        <v/>
      </c>
      <c r="AA105" s="518" t="str">
        <f>IF(AND(_AC1="A-321N",'2023'!$F$4="FO",'2023'!$F$2=AA81),'2023DATA'!$L$26,"")</f>
        <v/>
      </c>
      <c r="AB105" s="518" t="str">
        <f>IF(AND(_AC1="A-321N",'2023'!$F$4="FO",'2023'!$F$2=AB81),'2023DATA'!$M$26,"")</f>
        <v/>
      </c>
      <c r="AC105" s="520" t="str">
        <f>IF(AND(_AC1="A-321N",'2023'!$F$4="FO",'2023'!$F$2=AC81),'2023DATA'!$N$26,"")</f>
        <v/>
      </c>
      <c r="AD105" s="940"/>
      <c r="AE105" s="13" t="s">
        <v>62</v>
      </c>
      <c r="AF105" s="518" t="str">
        <f>IF(AND(_AC2="A-321N",'2023'!$F$4="FO",'2023'!$F$2=AF81),'2023DATA'!$C$26,"")</f>
        <v/>
      </c>
      <c r="AG105" s="518" t="str">
        <f>IF(AND(_AC2="A-321N",'2023'!$F$4="FO",'2023'!$F$2=AG81),'2023DATA'!$D$26,"")</f>
        <v/>
      </c>
      <c r="AH105" s="518" t="str">
        <f>IF(AND(_AC2="A-321N",'2023'!$F$4="FO",'2023'!$F$2=AH81),'2023DATA'!$E$26,"")</f>
        <v/>
      </c>
      <c r="AI105" s="518" t="str">
        <f>IF(AND(_AC2="A-321N",'2023'!$F$4="FO",'2023'!$F$2=AI81),'2023DATA'!$F$26,"")</f>
        <v/>
      </c>
      <c r="AJ105" s="518" t="str">
        <f>IF(AND(_AC2="A-321N",'2023'!$F$4="FO",'2023'!$F$2=AJ81),'2023DATA'!$G$26,"")</f>
        <v/>
      </c>
      <c r="AK105" s="518" t="str">
        <f>IF(AND(_AC2="A-321N",'2023'!$F$4="FO",'2023'!$F$2=AK81),'2023DATA'!$H$26,"")</f>
        <v/>
      </c>
      <c r="AL105" s="518" t="str">
        <f>IF(AND(_AC2="A-321N",'2023'!$F$4="FO",'2023'!$F$2=AL81),'2023DATA'!$I$26,"")</f>
        <v/>
      </c>
      <c r="AM105" s="518" t="str">
        <f>IF(AND(_AC2="A-321N",'2023'!$F$4="FO",'2023'!$F$2=AM81),'2023DATA'!$J$26,"")</f>
        <v/>
      </c>
      <c r="AN105" s="518" t="str">
        <f>IF(AND(_AC2="A-321N",'2023'!$F$4="FO",'2023'!$F$2=AN81),'2023DATA'!$K$26,"")</f>
        <v/>
      </c>
      <c r="AO105" s="518" t="str">
        <f>IF(AND(_AC2="A-321N",'2023'!$F$4="FO",'2023'!$F$2=AO81),'2023DATA'!$L$26,"")</f>
        <v/>
      </c>
      <c r="AP105" s="518" t="str">
        <f>IF(AND(_AC2="A-321N",'2023'!$F$4="FO",'2023'!$F$2=AP81),'2023DATA'!$M$26,"")</f>
        <v/>
      </c>
      <c r="AQ105" s="520" t="str">
        <f>IF(AND(_AC2="A-321N",'2023'!$F$4="FO",'2023'!$F$2=AQ81),'2023DATA'!$N$26,"")</f>
        <v/>
      </c>
      <c r="AR105" s="940"/>
      <c r="AS105" s="13" t="s">
        <v>62</v>
      </c>
      <c r="AT105" s="518" t="str">
        <f>IF(AND(_AC3="A-321N",'2023'!$F$4="FO",'2023'!$F$2=AT81),'2023DATA'!$C$26,"")</f>
        <v/>
      </c>
      <c r="AU105" s="518" t="str">
        <f>IF(AND(_AC3="A-321N",'2023'!$F$4="FO",'2023'!$F$2=AU81),'2023DATA'!$D$26,"")</f>
        <v/>
      </c>
      <c r="AV105" s="518" t="str">
        <f>IF(AND(_AC3="A-321N",'2023'!$F$4="FO",'2023'!$F$2=AV81),'2023DATA'!$E$26,"")</f>
        <v/>
      </c>
      <c r="AW105" s="518" t="str">
        <f>IF(AND(_AC3="A-321N",'2023'!$F$4="FO",'2023'!$F$2=AW81),'2023DATA'!$F$26,"")</f>
        <v/>
      </c>
      <c r="AX105" s="518" t="str">
        <f>IF(AND(_AC3="A-321N",'2023'!$F$4="FO",'2023'!$F$2=AX81),'2023DATA'!$G$26,"")</f>
        <v/>
      </c>
      <c r="AY105" s="518" t="str">
        <f>IF(AND(_AC3="A-321N",'2023'!$F$4="FO",'2023'!$F$2=AY81),'2023DATA'!$H$26,"")</f>
        <v/>
      </c>
      <c r="AZ105" s="518" t="str">
        <f>IF(AND(_AC3="A-321N",'2023'!$F$4="FO",'2023'!$F$2=AZ81),'2023DATA'!$I$26,"")</f>
        <v/>
      </c>
      <c r="BA105" s="518" t="str">
        <f>IF(AND(_AC3="A-321N",'2023'!$F$4="FO",'2023'!$F$2=BA81),'2023DATA'!$J$26,"")</f>
        <v/>
      </c>
      <c r="BB105" s="518" t="str">
        <f>IF(AND(_AC3="A-321N",'2023'!$F$4="FO",'2023'!$F$2=BB81),'2023DATA'!$K$26,"")</f>
        <v/>
      </c>
      <c r="BC105" s="518" t="str">
        <f>IF(AND(_AC3="A-321N",'2023'!$F$4="FO",'2023'!$F$2=BC81),'2023DATA'!$L$26,"")</f>
        <v/>
      </c>
      <c r="BD105" s="518" t="str">
        <f>IF(AND(_AC3="A-321N",'2023'!$F$4="FO",'2023'!$F$2=BD81),'2023DATA'!$M$26,"")</f>
        <v/>
      </c>
      <c r="BE105" s="520" t="str">
        <f>IF(AND(_AC3="A-321N",'2023'!$F$4="FO",'2023'!$F$2=BE81),'2023DATA'!$N$26,"")</f>
        <v/>
      </c>
      <c r="BF105" s="940"/>
      <c r="BG105" s="13" t="s">
        <v>62</v>
      </c>
      <c r="BH105" s="518" t="str">
        <f>IF(AND(_AC4="A-321N",'2023'!$F$4="FO",'2023'!$F$2=BH81),'2023DATA'!$C$26,"")</f>
        <v/>
      </c>
      <c r="BI105" s="518" t="str">
        <f>IF(AND(_AC4="A-321N",'2023'!$F$4="FO",'2023'!$F$2=BI81),'2023DATA'!$D$26,"")</f>
        <v/>
      </c>
      <c r="BJ105" s="518" t="str">
        <f>IF(AND(_AC4="A-321N",'2023'!$F$4="FO",'2023'!$F$2=BJ81),'2023DATA'!$E$26,"")</f>
        <v/>
      </c>
      <c r="BK105" s="518" t="str">
        <f>IF(AND(_AC4="A-321N",'2023'!$F$4="FO",'2023'!$F$2=BK81),'2023DATA'!$F$26,"")</f>
        <v/>
      </c>
      <c r="BL105" s="518" t="str">
        <f>IF(AND(_AC4="A-321N",'2023'!$F$4="FO",'2023'!$F$2=BL81),'2023DATA'!$G$26,"")</f>
        <v/>
      </c>
      <c r="BM105" s="518" t="str">
        <f>IF(AND(_AC4="A-321N",'2023'!$F$4="FO",'2023'!$F$2=BM81),'2023DATA'!$H$26,"")</f>
        <v/>
      </c>
      <c r="BN105" s="518" t="str">
        <f>IF(AND(_AC4="A-321N",'2023'!$F$4="FO",'2023'!$F$2=BN81),'2023DATA'!$I$26,"")</f>
        <v/>
      </c>
      <c r="BO105" s="518" t="str">
        <f>IF(AND(_AC4="A-321N",'2023'!$F$4="FO",'2023'!$F$2=BO81),'2023DATA'!$J$26,"")</f>
        <v/>
      </c>
      <c r="BP105" s="518" t="str">
        <f>IF(AND(_AC4="A-321N",'2023'!$F$4="FO",'2023'!$F$2=BP81),'2023DATA'!$K$26,"")</f>
        <v/>
      </c>
      <c r="BQ105" s="518" t="str">
        <f>IF(AND(_AC4="A-321N",'2023'!$F$4="FO",'2023'!$F$2=BQ81),'2023DATA'!$L$26,"")</f>
        <v/>
      </c>
      <c r="BR105" s="518" t="str">
        <f>IF(AND(_AC4="A-321N",'2023'!$F$4="FO",'2023'!$F$2=BR81),'2023DATA'!$M$26,"")</f>
        <v/>
      </c>
      <c r="BS105" s="520" t="str">
        <f>IF(AND(_AC4="A-321N",'2023'!$F$4="FO",'2023'!$F$2=BS81),'2023DATA'!$N$26,"")</f>
        <v/>
      </c>
      <c r="BT105" s="940"/>
      <c r="BU105" s="13" t="s">
        <v>62</v>
      </c>
      <c r="BV105" s="518" t="str">
        <f>IF(AND(_AC5="A-321N",'2023'!$F$4="FO",'2023'!$F$2=BV81),'2023DATA'!$C$26,"")</f>
        <v/>
      </c>
      <c r="BW105" s="518" t="str">
        <f>IF(AND(_AC5="A-321N",'2023'!$F$4="FO",'2023'!$F$2=BW81),'2023DATA'!$D$26,"")</f>
        <v/>
      </c>
      <c r="BX105" s="518" t="str">
        <f>IF(AND(_AC5="A-321N",'2023'!$F$4="FO",'2023'!$F$2=BX81),'2023DATA'!$E$26,"")</f>
        <v/>
      </c>
      <c r="BY105" s="518" t="str">
        <f>IF(AND(_AC5="A-321N",'2023'!$F$4="FO",'2023'!$F$2=BY81),'2023DATA'!$F$26,"")</f>
        <v/>
      </c>
      <c r="BZ105" s="518" t="str">
        <f>IF(AND(_AC5="A-321N",'2023'!$F$4="FO",'2023'!$F$2=BZ81),'2023DATA'!$G$26,"")</f>
        <v/>
      </c>
      <c r="CA105" s="518" t="str">
        <f>IF(AND(_AC5="A-321N",'2023'!$F$4="FO",'2023'!$F$2=CA81),'2023DATA'!$H$26,"")</f>
        <v/>
      </c>
      <c r="CB105" s="518" t="str">
        <f>IF(AND(_AC5="A-321N",'2023'!$F$4="FO",'2023'!$F$2=CB81),'2023DATA'!$I$26,"")</f>
        <v/>
      </c>
      <c r="CC105" s="518" t="str">
        <f>IF(AND(_AC5="A-321N",'2023'!$F$4="FO",'2023'!$F$2=CC81),'2023DATA'!$J$26,"")</f>
        <v/>
      </c>
      <c r="CD105" s="518" t="str">
        <f>IF(AND(_AC5="A-321N",'2023'!$F$4="FO",'2023'!$F$2=CD81),'2023DATA'!$K$26,"")</f>
        <v/>
      </c>
      <c r="CE105" s="518" t="str">
        <f>IF(AND(_AC5="A-321N",'2023'!$F$4="FO",'2023'!$F$2=CE81),'2023DATA'!$L$26,"")</f>
        <v/>
      </c>
      <c r="CF105" s="518" t="str">
        <f>IF(AND(_AC5="A-321N",'2023'!$F$4="FO",'2023'!$F$2=CF81),'2023DATA'!$M$26,"")</f>
        <v/>
      </c>
      <c r="CG105" s="520" t="str">
        <f>IF(AND(_AC5="A-321N",'2023'!$F$4="FO",'2023'!$F$2=CG81),'2023DATA'!$N$26,"")</f>
        <v/>
      </c>
      <c r="CH105" s="940"/>
      <c r="CI105" s="13" t="s">
        <v>62</v>
      </c>
      <c r="CJ105" s="518" t="str">
        <f>IF(AND(_AC6="A-321N",'2023'!$F$4="FO",'2023'!$F$2=CJ81),'2023DATA'!$C$26,"")</f>
        <v/>
      </c>
      <c r="CK105" s="518" t="str">
        <f>IF(AND(_AC6="A-321N",'2023'!$F$4="FO",'2023'!$F$2=CK81),'2023DATA'!$D$26,"")</f>
        <v/>
      </c>
      <c r="CL105" s="518" t="str">
        <f>IF(AND(_AC6="A-321N",'2023'!$F$4="FO",'2023'!$F$2=CL81),'2023DATA'!$E$26,"")</f>
        <v/>
      </c>
      <c r="CM105" s="518" t="str">
        <f>IF(AND(_AC6="A-321N",'2023'!$F$4="FO",'2023'!$F$2=CM81),'2023DATA'!$F$26,"")</f>
        <v/>
      </c>
      <c r="CN105" s="518" t="str">
        <f>IF(AND(_AC6="A-321N",'2023'!$F$4="FO",'2023'!$F$2=CN81),'2023DATA'!$G$26,"")</f>
        <v/>
      </c>
      <c r="CO105" s="518" t="str">
        <f>IF(AND(_AC6="A-321N",'2023'!$F$4="FO",'2023'!$F$2=CO81),'2023DATA'!$H$26,"")</f>
        <v/>
      </c>
      <c r="CP105" s="518" t="str">
        <f>IF(AND(_AC6="A-321N",'2023'!$F$4="FO",'2023'!$F$2=CP81),'2023DATA'!$I$26,"")</f>
        <v/>
      </c>
      <c r="CQ105" s="518" t="str">
        <f>IF(AND(_AC6="A-321N",'2023'!$F$4="FO",'2023'!$F$2=CQ81),'2023DATA'!$J$26,"")</f>
        <v/>
      </c>
      <c r="CR105" s="518" t="str">
        <f>IF(AND(_AC6="A-321N",'2023'!$F$4="FO",'2023'!$F$2=CR81),'2023DATA'!$K$26,"")</f>
        <v/>
      </c>
      <c r="CS105" s="518" t="str">
        <f>IF(AND(_AC6="A-321N",'2023'!$F$4="FO",'2023'!$F$2=CS81),'2023DATA'!$L$26,"")</f>
        <v/>
      </c>
      <c r="CT105" s="518" t="str">
        <f>IF(AND(_AC6="A-321N",'2023'!$F$4="FO",'2023'!$F$2=CT81),'2023DATA'!$M$26,"")</f>
        <v/>
      </c>
      <c r="CU105" s="520" t="str">
        <f>IF(AND(_AC6="A-321N",'2023'!$F$4="FO",'2023'!$F$2=CU81),'2023DATA'!$N$26,"")</f>
        <v/>
      </c>
    </row>
    <row r="106" spans="16:99" x14ac:dyDescent="0.25">
      <c r="P106" s="940" t="s">
        <v>48</v>
      </c>
      <c r="Q106" s="13" t="s">
        <v>61</v>
      </c>
      <c r="R106" s="518" t="str">
        <f>IF(AND(_AC1="A-321",'2023'!$F$4="CA",'2023'!$F$2=R81),'2023DATA'!$C$27,"")</f>
        <v/>
      </c>
      <c r="S106" s="518" t="str">
        <f>IF(AND(_AC1="A-321",'2023'!$F$4="CA",'2023'!$F$2=S81),'2023DATA'!$D$27,"")</f>
        <v/>
      </c>
      <c r="T106" s="518" t="str">
        <f>IF(AND(_AC1="A-321",'2023'!$F$4="CA",'2023'!$F$2=T81),'2023DATA'!$E$27,"")</f>
        <v/>
      </c>
      <c r="U106" s="518" t="str">
        <f>IF(AND(_AC1="A-321",'2023'!$F$4="CA",'2023'!$F$2=U81),'2023DATA'!$F$27,"")</f>
        <v/>
      </c>
      <c r="V106" s="518" t="str">
        <f>IF(AND(_AC1="A-321",'2023'!$F$4="CA",'2023'!$F$2=V81),'2023DATA'!$G$27,"")</f>
        <v/>
      </c>
      <c r="W106" s="518" t="str">
        <f>IF(AND(_AC1="A-321",'2023'!$F$4="CA",'2023'!$F$2=W81),'2023DATA'!$H$27,"")</f>
        <v/>
      </c>
      <c r="X106" s="518" t="str">
        <f>IF(AND(_AC1="A-321",'2023'!$F$4="CA",'2023'!$F$2=X81),'2023DATA'!$I$27,"")</f>
        <v/>
      </c>
      <c r="Y106" s="518" t="str">
        <f>IF(AND(_AC1="A-321",'2023'!$F$4="CA",'2023'!$F$2=Y81),'2023DATA'!$J$27,"")</f>
        <v/>
      </c>
      <c r="Z106" s="518" t="str">
        <f>IF(AND(_AC1="A-321",'2023'!$F$4="CA",'2023'!$F$2=Z81),'2023DATA'!$K$27,"")</f>
        <v/>
      </c>
      <c r="AA106" s="518" t="str">
        <f>IF(AND(_AC1="A-321",'2023'!$F$4="CA",'2023'!$F$2=AA81),'2023DATA'!$L$27,"")</f>
        <v/>
      </c>
      <c r="AB106" s="518" t="str">
        <f>IF(AND(_AC1="A-321",'2023'!$F$4="CA",'2023'!$F$2=AB81),'2023DATA'!$M$27,"")</f>
        <v/>
      </c>
      <c r="AC106" s="520" t="str">
        <f>IF(AND(_AC1="A-321",'2023'!$F$4="CA",'2023'!$F$2=AC81),'2023DATA'!$N$27,"")</f>
        <v/>
      </c>
      <c r="AD106" s="940" t="s">
        <v>48</v>
      </c>
      <c r="AE106" s="13" t="s">
        <v>61</v>
      </c>
      <c r="AF106" s="518" t="str">
        <f>IF(AND(_AC2="A-321",'2023'!$F$4="CA",'2023'!$F$2=AF81),'2023DATA'!$C$27,"")</f>
        <v/>
      </c>
      <c r="AG106" s="518" t="str">
        <f>IF(AND(_AC2="A-321",'2023'!$F$4="CA",'2023'!$F$2=AG81),'2023DATA'!$D$27,"")</f>
        <v/>
      </c>
      <c r="AH106" s="518" t="str">
        <f>IF(AND(_AC2="A-321",'2023'!$F$4="CA",'2023'!$F$2=AH81),'2023DATA'!$E$27,"")</f>
        <v/>
      </c>
      <c r="AI106" s="518" t="str">
        <f>IF(AND(_AC2="A-321",'2023'!$F$4="CA",'2023'!$F$2=AI81),'2023DATA'!$F$27,"")</f>
        <v/>
      </c>
      <c r="AJ106" s="518" t="str">
        <f>IF(AND(_AC2="A-321",'2023'!$F$4="CA",'2023'!$F$2=AJ81),'2023DATA'!$G$27,"")</f>
        <v/>
      </c>
      <c r="AK106" s="518" t="str">
        <f>IF(AND(_AC2="A-321",'2023'!$F$4="CA",'2023'!$F$2=AK81),'2023DATA'!$H$27,"")</f>
        <v/>
      </c>
      <c r="AL106" s="518" t="str">
        <f>IF(AND(_AC2="A-321",'2023'!$F$4="CA",'2023'!$F$2=AL81),'2023DATA'!$I$27,"")</f>
        <v/>
      </c>
      <c r="AM106" s="518" t="str">
        <f>IF(AND(_AC2="A-321",'2023'!$F$4="CA",'2023'!$F$2=AM81),'2023DATA'!$J$27,"")</f>
        <v/>
      </c>
      <c r="AN106" s="518" t="str">
        <f>IF(AND(_AC2="A-321",'2023'!$F$4="CA",'2023'!$F$2=AN81),'2023DATA'!$K$27,"")</f>
        <v/>
      </c>
      <c r="AO106" s="518" t="str">
        <f>IF(AND(_AC2="A-321",'2023'!$F$4="CA",'2023'!$F$2=AO81),'2023DATA'!$L$27,"")</f>
        <v/>
      </c>
      <c r="AP106" s="518" t="str">
        <f>IF(AND(_AC2="A-321",'2023'!$F$4="CA",'2023'!$F$2=AP81),'2023DATA'!$M$27,"")</f>
        <v/>
      </c>
      <c r="AQ106" s="520" t="str">
        <f>IF(AND(_AC2="A-321",'2023'!$F$4="CA",'2023'!$F$2=AQ81),'2023DATA'!$N$27,"")</f>
        <v/>
      </c>
      <c r="AR106" s="940" t="s">
        <v>48</v>
      </c>
      <c r="AS106" s="13" t="s">
        <v>61</v>
      </c>
      <c r="AT106" s="518" t="str">
        <f>IF(AND(_AC3="A-321",'2023'!$F$4="CA",'2023'!$F$2=AT81),'2023DATA'!$C$27,"")</f>
        <v/>
      </c>
      <c r="AU106" s="518" t="str">
        <f>IF(AND(_AC3="A-321",'2023'!$F$4="CA",'2023'!$F$2=AU81),'2023DATA'!$D$27,"")</f>
        <v/>
      </c>
      <c r="AV106" s="518" t="str">
        <f>IF(AND(_AC3="A-321",'2023'!$F$4="CA",'2023'!$F$2=AV81),'2023DATA'!$E$27,"")</f>
        <v/>
      </c>
      <c r="AW106" s="518" t="str">
        <f>IF(AND(_AC3="A-321",'2023'!$F$4="CA",'2023'!$F$2=AW81),'2023DATA'!$F$27,"")</f>
        <v/>
      </c>
      <c r="AX106" s="518" t="str">
        <f>IF(AND(_AC3="A-321",'2023'!$F$4="CA",'2023'!$F$2=AX81),'2023DATA'!$G$27,"")</f>
        <v/>
      </c>
      <c r="AY106" s="518" t="str">
        <f>IF(AND(_AC3="A-321",'2023'!$F$4="CA",'2023'!$F$2=AY81),'2023DATA'!$H$27,"")</f>
        <v/>
      </c>
      <c r="AZ106" s="518" t="str">
        <f>IF(AND(_AC3="A-321",'2023'!$F$4="CA",'2023'!$F$2=AZ81),'2023DATA'!$I$27,"")</f>
        <v/>
      </c>
      <c r="BA106" s="518" t="str">
        <f>IF(AND(_AC3="A-321",'2023'!$F$4="CA",'2023'!$F$2=BA81),'2023DATA'!$J$27,"")</f>
        <v/>
      </c>
      <c r="BB106" s="518" t="str">
        <f>IF(AND(_AC3="A-321",'2023'!$F$4="CA",'2023'!$F$2=BB81),'2023DATA'!$K$27,"")</f>
        <v/>
      </c>
      <c r="BC106" s="518" t="str">
        <f>IF(AND(_AC3="A-321",'2023'!$F$4="CA",'2023'!$F$2=BC81),'2023DATA'!$L$27,"")</f>
        <v/>
      </c>
      <c r="BD106" s="518" t="str">
        <f>IF(AND(_AC3="A-321",'2023'!$F$4="CA",'2023'!$F$2=BD81),'2023DATA'!$M$27,"")</f>
        <v/>
      </c>
      <c r="BE106" s="520" t="str">
        <f>IF(AND(_AC3="A-321",'2023'!$F$4="CA",'2023'!$F$2=BE81),'2023DATA'!$N$27,"")</f>
        <v/>
      </c>
      <c r="BF106" s="940" t="s">
        <v>48</v>
      </c>
      <c r="BG106" s="13" t="s">
        <v>61</v>
      </c>
      <c r="BH106" s="518" t="str">
        <f>IF(AND(_AC4="A-321",'2023'!$F$4="CA",'2023'!$F$2=BH81),'2023DATA'!$C$27,"")</f>
        <v/>
      </c>
      <c r="BI106" s="518" t="str">
        <f>IF(AND(_AC4="A-321",'2023'!$F$4="CA",'2023'!$F$2=BI81),'2023DATA'!$D$27,"")</f>
        <v/>
      </c>
      <c r="BJ106" s="518" t="str">
        <f>IF(AND(_AC4="A-321",'2023'!$F$4="CA",'2023'!$F$2=BJ81),'2023DATA'!$E$27,"")</f>
        <v/>
      </c>
      <c r="BK106" s="518" t="str">
        <f>IF(AND(_AC4="A-321",'2023'!$F$4="CA",'2023'!$F$2=BK81),'2023DATA'!$F$27,"")</f>
        <v/>
      </c>
      <c r="BL106" s="518" t="str">
        <f>IF(AND(_AC4="A-321",'2023'!$F$4="CA",'2023'!$F$2=BL81),'2023DATA'!$G$27,"")</f>
        <v/>
      </c>
      <c r="BM106" s="518" t="str">
        <f>IF(AND(_AC4="A-321",'2023'!$F$4="CA",'2023'!$F$2=BM81),'2023DATA'!$H$27,"")</f>
        <v/>
      </c>
      <c r="BN106" s="518" t="str">
        <f>IF(AND(_AC4="A-321",'2023'!$F$4="CA",'2023'!$F$2=BN81),'2023DATA'!$I$27,"")</f>
        <v/>
      </c>
      <c r="BO106" s="518" t="str">
        <f>IF(AND(_AC4="A-321",'2023'!$F$4="CA",'2023'!$F$2=BO81),'2023DATA'!$J$27,"")</f>
        <v/>
      </c>
      <c r="BP106" s="518" t="str">
        <f>IF(AND(_AC4="A-321",'2023'!$F$4="CA",'2023'!$F$2=BP81),'2023DATA'!$K$27,"")</f>
        <v/>
      </c>
      <c r="BQ106" s="518" t="str">
        <f>IF(AND(_AC4="A-321",'2023'!$F$4="CA",'2023'!$F$2=BQ81),'2023DATA'!$L$27,"")</f>
        <v/>
      </c>
      <c r="BR106" s="518" t="str">
        <f>IF(AND(_AC4="A-321",'2023'!$F$4="CA",'2023'!$F$2=BR81),'2023DATA'!$M$27,"")</f>
        <v/>
      </c>
      <c r="BS106" s="520" t="str">
        <f>IF(AND(_AC4="A-321",'2023'!$F$4="CA",'2023'!$F$2=BS81),'2023DATA'!$N$27,"")</f>
        <v/>
      </c>
      <c r="BT106" s="940" t="s">
        <v>48</v>
      </c>
      <c r="BU106" s="13" t="s">
        <v>61</v>
      </c>
      <c r="BV106" s="518" t="str">
        <f>IF(AND(_AC5="A-321",'2023'!$F$4="CA",'2023'!$F$2=BV81),'2023DATA'!$C$27,"")</f>
        <v/>
      </c>
      <c r="BW106" s="518" t="str">
        <f>IF(AND(_AC5="A-321",'2023'!$F$4="CA",'2023'!$F$2=BW81),'2023DATA'!$D$27,"")</f>
        <v/>
      </c>
      <c r="BX106" s="518" t="str">
        <f>IF(AND(_AC5="A-321",'2023'!$F$4="CA",'2023'!$F$2=BX81),'2023DATA'!$E$27,"")</f>
        <v/>
      </c>
      <c r="BY106" s="518" t="str">
        <f>IF(AND(_AC5="A-321",'2023'!$F$4="CA",'2023'!$F$2=BY81),'2023DATA'!$F$27,"")</f>
        <v/>
      </c>
      <c r="BZ106" s="518" t="str">
        <f>IF(AND(_AC5="A-321",'2023'!$F$4="CA",'2023'!$F$2=BZ81),'2023DATA'!$G$27,"")</f>
        <v/>
      </c>
      <c r="CA106" s="518" t="str">
        <f>IF(AND(_AC5="A-321",'2023'!$F$4="CA",'2023'!$F$2=CA81),'2023DATA'!$H$27,"")</f>
        <v/>
      </c>
      <c r="CB106" s="518" t="str">
        <f>IF(AND(_AC5="A-321",'2023'!$F$4="CA",'2023'!$F$2=CB81),'2023DATA'!$I$27,"")</f>
        <v/>
      </c>
      <c r="CC106" s="518" t="str">
        <f>IF(AND(_AC5="A-321",'2023'!$F$4="CA",'2023'!$F$2=CC81),'2023DATA'!$J$27,"")</f>
        <v/>
      </c>
      <c r="CD106" s="518" t="str">
        <f>IF(AND(_AC5="A-321",'2023'!$F$4="CA",'2023'!$F$2=CD81),'2023DATA'!$K$27,"")</f>
        <v/>
      </c>
      <c r="CE106" s="518" t="str">
        <f>IF(AND(_AC5="A-321",'2023'!$F$4="CA",'2023'!$F$2=CE81),'2023DATA'!$L$27,"")</f>
        <v/>
      </c>
      <c r="CF106" s="518" t="str">
        <f>IF(AND(_AC5="A-321",'2023'!$F$4="CA",'2023'!$F$2=CF81),'2023DATA'!$M$27,"")</f>
        <v/>
      </c>
      <c r="CG106" s="520" t="str">
        <f>IF(AND(_AC5="A-321",'2023'!$F$4="CA",'2023'!$F$2=CG81),'2023DATA'!$N$27,"")</f>
        <v/>
      </c>
      <c r="CH106" s="940" t="s">
        <v>48</v>
      </c>
      <c r="CI106" s="13" t="s">
        <v>61</v>
      </c>
      <c r="CJ106" s="518" t="str">
        <f>IF(AND(_AC6="A-321",'2023'!$F$4="CA",'2023'!$F$2=CJ81),'2023DATA'!$C$27,"")</f>
        <v/>
      </c>
      <c r="CK106" s="518" t="str">
        <f>IF(AND(_AC6="A-321",'2023'!$F$4="CA",'2023'!$F$2=CK81),'2023DATA'!$D$27,"")</f>
        <v/>
      </c>
      <c r="CL106" s="518" t="str">
        <f>IF(AND(_AC6="A-321",'2023'!$F$4="CA",'2023'!$F$2=CL81),'2023DATA'!$E$27,"")</f>
        <v/>
      </c>
      <c r="CM106" s="518" t="str">
        <f>IF(AND(_AC6="A-321",'2023'!$F$4="CA",'2023'!$F$2=CM81),'2023DATA'!$F$27,"")</f>
        <v/>
      </c>
      <c r="CN106" s="518" t="str">
        <f>IF(AND(_AC6="A-321",'2023'!$F$4="CA",'2023'!$F$2=CN81),'2023DATA'!$G$27,"")</f>
        <v/>
      </c>
      <c r="CO106" s="518" t="str">
        <f>IF(AND(_AC6="A-321",'2023'!$F$4="CA",'2023'!$F$2=CO81),'2023DATA'!$H$27,"")</f>
        <v/>
      </c>
      <c r="CP106" s="518" t="str">
        <f>IF(AND(_AC6="A-321",'2023'!$F$4="CA",'2023'!$F$2=CP81),'2023DATA'!$I$27,"")</f>
        <v/>
      </c>
      <c r="CQ106" s="518" t="str">
        <f>IF(AND(_AC6="A-321",'2023'!$F$4="CA",'2023'!$F$2=CQ81),'2023DATA'!$J$27,"")</f>
        <v/>
      </c>
      <c r="CR106" s="518" t="str">
        <f>IF(AND(_AC6="A-321",'2023'!$F$4="CA",'2023'!$F$2=CR81),'2023DATA'!$K$27,"")</f>
        <v/>
      </c>
      <c r="CS106" s="518" t="str">
        <f>IF(AND(_AC6="A-321",'2023'!$F$4="CA",'2023'!$F$2=CS81),'2023DATA'!$L$27,"")</f>
        <v/>
      </c>
      <c r="CT106" s="518" t="str">
        <f>IF(AND(_AC6="A-321",'2023'!$F$4="CA",'2023'!$F$2=CT81),'2023DATA'!$M$27,"")</f>
        <v/>
      </c>
      <c r="CU106" s="520" t="str">
        <f>IF(AND(_AC6="A-321",'2023'!$F$4="CA",'2023'!$F$2=CU81),'2023DATA'!$N$27,"")</f>
        <v/>
      </c>
    </row>
    <row r="107" spans="16:99" x14ac:dyDescent="0.25">
      <c r="P107" s="940"/>
      <c r="Q107" s="13" t="s">
        <v>62</v>
      </c>
      <c r="R107" s="518" t="str">
        <f>IF(AND(_AC1="A-321",'2023'!$F$4="FO",'2023'!$F$2=R81),'2023DATA'!$C$28,"")</f>
        <v/>
      </c>
      <c r="S107" s="518" t="str">
        <f>IF(AND(_AC1="A-321",'2023'!$F$4="FO",'2023'!$F$2=S81),'2023DATA'!$D$28,"")</f>
        <v/>
      </c>
      <c r="T107" s="518" t="str">
        <f>IF(AND(_AC1="A-321",'2023'!$F$4="FO",'2023'!$F$2=T81),'2023DATA'!$E$28,"")</f>
        <v/>
      </c>
      <c r="U107" s="518" t="str">
        <f>IF(AND(_AC1="A-321",'2023'!$F$4="FO",'2023'!$F$2=U81),'2023DATA'!$F$28,"")</f>
        <v/>
      </c>
      <c r="V107" s="518" t="str">
        <f>IF(AND(_AC1="A-321",'2023'!$F$4="FO",'2023'!$F$2=V81),'2023DATA'!$G$28,"")</f>
        <v/>
      </c>
      <c r="W107" s="518" t="str">
        <f>IF(AND(_AC1="A-321",'2023'!$F$4="FO",'2023'!$F$2=W81),'2023DATA'!$H$28,"")</f>
        <v/>
      </c>
      <c r="X107" s="518" t="str">
        <f>IF(AND(_AC1="A-321",'2023'!$F$4="FO",'2023'!$F$2=X81),'2023DATA'!$I$28,"")</f>
        <v/>
      </c>
      <c r="Y107" s="518" t="str">
        <f>IF(AND(_AC1="A-321",'2023'!$F$4="FO",'2023'!$F$2=Y81),'2023DATA'!$J$28,"")</f>
        <v/>
      </c>
      <c r="Z107" s="518" t="str">
        <f>IF(AND(_AC1="A-321",'2023'!$F$4="FO",'2023'!$F$2=Z81),'2023DATA'!$K$28,"")</f>
        <v/>
      </c>
      <c r="AA107" s="518" t="str">
        <f>IF(AND(_AC1="A-321",'2023'!$F$4="FO",'2023'!$F$2=AA81),'2023DATA'!$L$28,"")</f>
        <v/>
      </c>
      <c r="AB107" s="518" t="str">
        <f>IF(AND(_AC1="A-321",'2023'!$F$4="FO",'2023'!$F$2=AB81),'2023DATA'!$M$28,"")</f>
        <v/>
      </c>
      <c r="AC107" s="520" t="str">
        <f>IF(AND(_AC1="A-321",'2023'!$F$4="FO",'2023'!$F$2=AC81),'2023DATA'!$N$28,"")</f>
        <v/>
      </c>
      <c r="AD107" s="940"/>
      <c r="AE107" s="13" t="s">
        <v>62</v>
      </c>
      <c r="AF107" s="518" t="str">
        <f>IF(AND(_AC2="A-321",'2023'!$F$4="FO",'2023'!$F$2=AF81),'2023DATA'!$C$28,"")</f>
        <v/>
      </c>
      <c r="AG107" s="518" t="str">
        <f>IF(AND(_AC2="A-321",'2023'!$F$4="FO",'2023'!$F$2=AG81),'2023DATA'!$D$28,"")</f>
        <v/>
      </c>
      <c r="AH107" s="518" t="str">
        <f>IF(AND(_AC2="A-321",'2023'!$F$4="FO",'2023'!$F$2=AH81),'2023DATA'!$E$28,"")</f>
        <v/>
      </c>
      <c r="AI107" s="518" t="str">
        <f>IF(AND(_AC2="A-321",'2023'!$F$4="FO",'2023'!$F$2=AI81),'2023DATA'!$F$28,"")</f>
        <v/>
      </c>
      <c r="AJ107" s="518" t="str">
        <f>IF(AND(_AC2="A-321",'2023'!$F$4="FO",'2023'!$F$2=AJ81),'2023DATA'!$G$28,"")</f>
        <v/>
      </c>
      <c r="AK107" s="518" t="str">
        <f>IF(AND(_AC2="A-321",'2023'!$F$4="FO",'2023'!$F$2=AK81),'2023DATA'!$H$28,"")</f>
        <v/>
      </c>
      <c r="AL107" s="518" t="str">
        <f>IF(AND(_AC2="A-321",'2023'!$F$4="FO",'2023'!$F$2=AL81),'2023DATA'!$I$28,"")</f>
        <v/>
      </c>
      <c r="AM107" s="518" t="str">
        <f>IF(AND(_AC2="A-321",'2023'!$F$4="FO",'2023'!$F$2=AM81),'2023DATA'!$J$28,"")</f>
        <v/>
      </c>
      <c r="AN107" s="518" t="str">
        <f>IF(AND(_AC2="A-321",'2023'!$F$4="FO",'2023'!$F$2=AN81),'2023DATA'!$K$28,"")</f>
        <v/>
      </c>
      <c r="AO107" s="518" t="str">
        <f>IF(AND(_AC2="A-321",'2023'!$F$4="FO",'2023'!$F$2=AO81),'2023DATA'!$L$28,"")</f>
        <v/>
      </c>
      <c r="AP107" s="518" t="str">
        <f>IF(AND(_AC2="A-321",'2023'!$F$4="FO",'2023'!$F$2=AP81),'2023DATA'!$M$28,"")</f>
        <v/>
      </c>
      <c r="AQ107" s="520" t="str">
        <f>IF(AND(_AC2="A-321",'2023'!$F$4="FO",'2023'!$F$2=AQ81),'2023DATA'!$N$28,"")</f>
        <v/>
      </c>
      <c r="AR107" s="940"/>
      <c r="AS107" s="13" t="s">
        <v>62</v>
      </c>
      <c r="AT107" s="518" t="str">
        <f>IF(AND(_AC3="A-321",'2023'!$F$4="FO",'2023'!$F$2=AT81),'2023DATA'!$C$28,"")</f>
        <v/>
      </c>
      <c r="AU107" s="518" t="str">
        <f>IF(AND(_AC3="A-321",'2023'!$F$4="FO",'2023'!$F$2=AU81),'2023DATA'!$D$28,"")</f>
        <v/>
      </c>
      <c r="AV107" s="518" t="str">
        <f>IF(AND(_AC3="A-321",'2023'!$F$4="FO",'2023'!$F$2=AV81),'2023DATA'!$E$28,"")</f>
        <v/>
      </c>
      <c r="AW107" s="518" t="str">
        <f>IF(AND(_AC3="A-321",'2023'!$F$4="FO",'2023'!$F$2=AW81),'2023DATA'!$F$28,"")</f>
        <v/>
      </c>
      <c r="AX107" s="518" t="str">
        <f>IF(AND(_AC3="A-321",'2023'!$F$4="FO",'2023'!$F$2=AX81),'2023DATA'!$G$28,"")</f>
        <v/>
      </c>
      <c r="AY107" s="518" t="str">
        <f>IF(AND(_AC3="A-321",'2023'!$F$4="FO",'2023'!$F$2=AY81),'2023DATA'!$H$28,"")</f>
        <v/>
      </c>
      <c r="AZ107" s="518" t="str">
        <f>IF(AND(_AC3="A-321",'2023'!$F$4="FO",'2023'!$F$2=AZ81),'2023DATA'!$I$28,"")</f>
        <v/>
      </c>
      <c r="BA107" s="518" t="str">
        <f>IF(AND(_AC3="A-321",'2023'!$F$4="FO",'2023'!$F$2=BA81),'2023DATA'!$J$28,"")</f>
        <v/>
      </c>
      <c r="BB107" s="518" t="str">
        <f>IF(AND(_AC3="A-321",'2023'!$F$4="FO",'2023'!$F$2=BB81),'2023DATA'!$K$28,"")</f>
        <v/>
      </c>
      <c r="BC107" s="518" t="str">
        <f>IF(AND(_AC3="A-321",'2023'!$F$4="FO",'2023'!$F$2=BC81),'2023DATA'!$L$28,"")</f>
        <v/>
      </c>
      <c r="BD107" s="518" t="str">
        <f>IF(AND(_AC3="A-321",'2023'!$F$4="FO",'2023'!$F$2=BD81),'2023DATA'!$M$28,"")</f>
        <v/>
      </c>
      <c r="BE107" s="520" t="str">
        <f>IF(AND(_AC3="A-321",'2023'!$F$4="FO",'2023'!$F$2=BE81),'2023DATA'!$N$28,"")</f>
        <v/>
      </c>
      <c r="BF107" s="940"/>
      <c r="BG107" s="13" t="s">
        <v>62</v>
      </c>
      <c r="BH107" s="518" t="str">
        <f>IF(AND(_AC4="A-321",'2023'!$F$4="FO",'2023'!$F$2=BH81),'2023DATA'!$C$28,"")</f>
        <v/>
      </c>
      <c r="BI107" s="518" t="str">
        <f>IF(AND(_AC4="A-321",'2023'!$F$4="FO",'2023'!$F$2=BI81),'2023DATA'!$D$28,"")</f>
        <v/>
      </c>
      <c r="BJ107" s="518" t="str">
        <f>IF(AND(_AC4="A-321",'2023'!$F$4="FO",'2023'!$F$2=BJ81),'2023DATA'!$E$28,"")</f>
        <v/>
      </c>
      <c r="BK107" s="518" t="str">
        <f>IF(AND(_AC4="A-321",'2023'!$F$4="FO",'2023'!$F$2=BK81),'2023DATA'!$F$28,"")</f>
        <v/>
      </c>
      <c r="BL107" s="518" t="str">
        <f>IF(AND(_AC4="A-321",'2023'!$F$4="FO",'2023'!$F$2=BL81),'2023DATA'!$G$28,"")</f>
        <v/>
      </c>
      <c r="BM107" s="518" t="str">
        <f>IF(AND(_AC4="A-321",'2023'!$F$4="FO",'2023'!$F$2=BM81),'2023DATA'!$H$28,"")</f>
        <v/>
      </c>
      <c r="BN107" s="518" t="str">
        <f>IF(AND(_AC4="A-321",'2023'!$F$4="FO",'2023'!$F$2=BN81),'2023DATA'!$I$28,"")</f>
        <v/>
      </c>
      <c r="BO107" s="518" t="str">
        <f>IF(AND(_AC4="A-321",'2023'!$F$4="FO",'2023'!$F$2=BO81),'2023DATA'!$J$28,"")</f>
        <v/>
      </c>
      <c r="BP107" s="518" t="str">
        <f>IF(AND(_AC4="A-321",'2023'!$F$4="FO",'2023'!$F$2=BP81),'2023DATA'!$K$28,"")</f>
        <v/>
      </c>
      <c r="BQ107" s="518" t="str">
        <f>IF(AND(_AC4="A-321",'2023'!$F$4="FO",'2023'!$F$2=BQ81),'2023DATA'!$L$28,"")</f>
        <v/>
      </c>
      <c r="BR107" s="518" t="str">
        <f>IF(AND(_AC4="A-321",'2023'!$F$4="FO",'2023'!$F$2=BR81),'2023DATA'!$M$28,"")</f>
        <v/>
      </c>
      <c r="BS107" s="520" t="str">
        <f>IF(AND(_AC4="A-321",'2023'!$F$4="FO",'2023'!$F$2=BS81),'2023DATA'!$N$28,"")</f>
        <v/>
      </c>
      <c r="BT107" s="940"/>
      <c r="BU107" s="13" t="s">
        <v>62</v>
      </c>
      <c r="BV107" s="518" t="str">
        <f>IF(AND(_AC5="A-321",'2023'!$F$4="FO",'2023'!$F$2=BV81),'2023DATA'!$C$28,"")</f>
        <v/>
      </c>
      <c r="BW107" s="518" t="str">
        <f>IF(AND(_AC5="A-321",'2023'!$F$4="FO",'2023'!$F$2=BW81),'2023DATA'!$D$28,"")</f>
        <v/>
      </c>
      <c r="BX107" s="518" t="str">
        <f>IF(AND(_AC5="A-321",'2023'!$F$4="FO",'2023'!$F$2=BX81),'2023DATA'!$E$28,"")</f>
        <v/>
      </c>
      <c r="BY107" s="518" t="str">
        <f>IF(AND(_AC5="A-321",'2023'!$F$4="FO",'2023'!$F$2=BY81),'2023DATA'!$F$28,"")</f>
        <v/>
      </c>
      <c r="BZ107" s="518" t="str">
        <f>IF(AND(_AC5="A-321",'2023'!$F$4="FO",'2023'!$F$2=BZ81),'2023DATA'!$G$28,"")</f>
        <v/>
      </c>
      <c r="CA107" s="518" t="str">
        <f>IF(AND(_AC5="A-321",'2023'!$F$4="FO",'2023'!$F$2=CA81),'2023DATA'!$H$28,"")</f>
        <v/>
      </c>
      <c r="CB107" s="518" t="str">
        <f>IF(AND(_AC5="A-321",'2023'!$F$4="FO",'2023'!$F$2=CB81),'2023DATA'!$I$28,"")</f>
        <v/>
      </c>
      <c r="CC107" s="518" t="str">
        <f>IF(AND(_AC5="A-321",'2023'!$F$4="FO",'2023'!$F$2=CC81),'2023DATA'!$J$28,"")</f>
        <v/>
      </c>
      <c r="CD107" s="518" t="str">
        <f>IF(AND(_AC5="A-321",'2023'!$F$4="FO",'2023'!$F$2=CD81),'2023DATA'!$K$28,"")</f>
        <v/>
      </c>
      <c r="CE107" s="518" t="str">
        <f>IF(AND(_AC5="A-321",'2023'!$F$4="FO",'2023'!$F$2=CE81),'2023DATA'!$L$28,"")</f>
        <v/>
      </c>
      <c r="CF107" s="518" t="str">
        <f>IF(AND(_AC5="A-321",'2023'!$F$4="FO",'2023'!$F$2=CF81),'2023DATA'!$M$28,"")</f>
        <v/>
      </c>
      <c r="CG107" s="520" t="str">
        <f>IF(AND(_AC5="A-321",'2023'!$F$4="FO",'2023'!$F$2=CG81),'2023DATA'!$N$28,"")</f>
        <v/>
      </c>
      <c r="CH107" s="940"/>
      <c r="CI107" s="13" t="s">
        <v>62</v>
      </c>
      <c r="CJ107" s="518" t="str">
        <f>IF(AND(_AC6="A-321",'2023'!$F$4="FO",'2023'!$F$2=CJ81),'2023DATA'!$C$28,"")</f>
        <v/>
      </c>
      <c r="CK107" s="518" t="str">
        <f>IF(AND(_AC6="A-321",'2023'!$F$4="FO",'2023'!$F$2=CK81),'2023DATA'!$D$28,"")</f>
        <v/>
      </c>
      <c r="CL107" s="518" t="str">
        <f>IF(AND(_AC6="A-321",'2023'!$F$4="FO",'2023'!$F$2=CL81),'2023DATA'!$E$28,"")</f>
        <v/>
      </c>
      <c r="CM107" s="518" t="str">
        <f>IF(AND(_AC6="A-321",'2023'!$F$4="FO",'2023'!$F$2=CM81),'2023DATA'!$F$28,"")</f>
        <v/>
      </c>
      <c r="CN107" s="518" t="str">
        <f>IF(AND(_AC6="A-321",'2023'!$F$4="FO",'2023'!$F$2=CN81),'2023DATA'!$G$28,"")</f>
        <v/>
      </c>
      <c r="CO107" s="518" t="str">
        <f>IF(AND(_AC6="A-321",'2023'!$F$4="FO",'2023'!$F$2=CO81),'2023DATA'!$H$28,"")</f>
        <v/>
      </c>
      <c r="CP107" s="518" t="str">
        <f>IF(AND(_AC6="A-321",'2023'!$F$4="FO",'2023'!$F$2=CP81),'2023DATA'!$I$28,"")</f>
        <v/>
      </c>
      <c r="CQ107" s="518" t="str">
        <f>IF(AND(_AC6="A-321",'2023'!$F$4="FO",'2023'!$F$2=CQ81),'2023DATA'!$J$28,"")</f>
        <v/>
      </c>
      <c r="CR107" s="518" t="str">
        <f>IF(AND(_AC6="A-321",'2023'!$F$4="FO",'2023'!$F$2=CR81),'2023DATA'!$K$28,"")</f>
        <v/>
      </c>
      <c r="CS107" s="518" t="str">
        <f>IF(AND(_AC6="A-321",'2023'!$F$4="FO",'2023'!$F$2=CS81),'2023DATA'!$L$28,"")</f>
        <v/>
      </c>
      <c r="CT107" s="518" t="str">
        <f>IF(AND(_AC6="A-321",'2023'!$F$4="FO",'2023'!$F$2=CT81),'2023DATA'!$M$28,"")</f>
        <v/>
      </c>
      <c r="CU107" s="520" t="str">
        <f>IF(AND(_AC6="A-321",'2023'!$F$4="FO",'2023'!$F$2=CU81),'2023DATA'!$N$28,"")</f>
        <v/>
      </c>
    </row>
    <row r="108" spans="16:99" x14ac:dyDescent="0.25">
      <c r="P108" s="940" t="s">
        <v>70</v>
      </c>
      <c r="Q108" s="13" t="s">
        <v>61</v>
      </c>
      <c r="R108" s="518" t="str">
        <f>IF(AND(_AC1="A-320",'2023'!$F$4="CA",'2023'!$F$2=R81),'2023DATA'!$C$29,"")</f>
        <v/>
      </c>
      <c r="S108" s="518" t="str">
        <f>IF(AND(_AC1="A-320",'2023'!$F$4="CA",'2023'!$F$2=S81),'2023DATA'!$D$29,"")</f>
        <v/>
      </c>
      <c r="T108" s="518" t="str">
        <f>IF(AND(_AC1="A-320",'2023'!$F$4="CA",'2023'!$F$2=T81),'2023DATA'!$E$29,"")</f>
        <v/>
      </c>
      <c r="U108" s="518" t="str">
        <f>IF(AND(_AC1="A-320",'2023'!$F$4="CA",'2023'!$F$2=U81),'2023DATA'!$F$29,"")</f>
        <v/>
      </c>
      <c r="V108" s="518" t="str">
        <f>IF(AND(_AC1="A-320",'2023'!$F$4="CA",'2023'!$F$2=V81),'2023DATA'!$G$29,"")</f>
        <v/>
      </c>
      <c r="W108" s="518" t="str">
        <f>IF(AND(_AC1="A-320",'2023'!$F$4="CA",'2023'!$F$2=W81),'2023DATA'!$H$29,"")</f>
        <v/>
      </c>
      <c r="X108" s="518" t="str">
        <f>IF(AND(_AC1="A-320",'2023'!$F$4="CA",'2023'!$F$2=X81),'2023DATA'!$I$29,"")</f>
        <v/>
      </c>
      <c r="Y108" s="518" t="str">
        <f>IF(AND(_AC1="A-320",'2023'!$F$4="CA",'2023'!$F$2=Y81),'2023DATA'!$J$29,"")</f>
        <v/>
      </c>
      <c r="Z108" s="518" t="str">
        <f>IF(AND(_AC1="A-320",'2023'!$F$4="CA",'2023'!$F$2=Z81),'2023DATA'!$K$29,"")</f>
        <v/>
      </c>
      <c r="AA108" s="518" t="str">
        <f>IF(AND(_AC1="A-320",'2023'!$F$4="CA",'2023'!$F$2=AA81),'2023DATA'!$L$29,"")</f>
        <v/>
      </c>
      <c r="AB108" s="518" t="str">
        <f>IF(AND(_AC1="A-320",'2023'!$F$4="CA",'2023'!$F$2=AB81),'2023DATA'!$M$29,"")</f>
        <v/>
      </c>
      <c r="AC108" s="520" t="str">
        <f>IF(AND(_AC1="A-320",'2023'!$F$4="CA",'2023'!$F$2=AC81),'2023DATA'!$N$29,"")</f>
        <v/>
      </c>
      <c r="AD108" s="940" t="s">
        <v>70</v>
      </c>
      <c r="AE108" s="13" t="s">
        <v>61</v>
      </c>
      <c r="AF108" s="518" t="str">
        <f>IF(AND(_AC2="A-320",'2023'!$F$4="CA",'2023'!$F$2=AF81),'2023DATA'!$C$29,"")</f>
        <v/>
      </c>
      <c r="AG108" s="518" t="str">
        <f>IF(AND(_AC2="A-320",'2023'!$F$4="CA",'2023'!$F$2=AG81),'2023DATA'!$D$29,"")</f>
        <v/>
      </c>
      <c r="AH108" s="518" t="str">
        <f>IF(AND(_AC2="A-320",'2023'!$F$4="CA",'2023'!$F$2=AH81),'2023DATA'!$E$29,"")</f>
        <v/>
      </c>
      <c r="AI108" s="518" t="str">
        <f>IF(AND(_AC2="A-320",'2023'!$F$4="CA",'2023'!$F$2=AI81),'2023DATA'!$F$29,"")</f>
        <v/>
      </c>
      <c r="AJ108" s="518" t="str">
        <f>IF(AND(_AC2="A-320",'2023'!$F$4="CA",'2023'!$F$2=AJ81),'2023DATA'!$G$29,"")</f>
        <v/>
      </c>
      <c r="AK108" s="518" t="str">
        <f>IF(AND(_AC2="A-320",'2023'!$F$4="CA",'2023'!$F$2=AK81),'2023DATA'!$H$29,"")</f>
        <v/>
      </c>
      <c r="AL108" s="518" t="str">
        <f>IF(AND(_AC2="A-320",'2023'!$F$4="CA",'2023'!$F$2=AL81),'2023DATA'!$I$29,"")</f>
        <v/>
      </c>
      <c r="AM108" s="518" t="str">
        <f>IF(AND(_AC2="A-320",'2023'!$F$4="CA",'2023'!$F$2=AM81),'2023DATA'!$J$29,"")</f>
        <v/>
      </c>
      <c r="AN108" s="518" t="str">
        <f>IF(AND(_AC2="A-320",'2023'!$F$4="CA",'2023'!$F$2=AN81),'2023DATA'!$K$29,"")</f>
        <v/>
      </c>
      <c r="AO108" s="518" t="str">
        <f>IF(AND(_AC2="A-320",'2023'!$F$4="CA",'2023'!$F$2=AO81),'2023DATA'!$L$29,"")</f>
        <v/>
      </c>
      <c r="AP108" s="518" t="str">
        <f>IF(AND(_AC2="A-320",'2023'!$F$4="CA",'2023'!$F$2=AP81),'2023DATA'!$M$29,"")</f>
        <v/>
      </c>
      <c r="AQ108" s="520" t="str">
        <f>IF(AND(_AC2="A-320",'2023'!$F$4="CA",'2023'!$F$2=AQ81),'2023DATA'!$N$29,"")</f>
        <v/>
      </c>
      <c r="AR108" s="940" t="s">
        <v>70</v>
      </c>
      <c r="AS108" s="13" t="s">
        <v>61</v>
      </c>
      <c r="AT108" s="518" t="str">
        <f>IF(AND(_AC3="A-320",'2023'!$F$4="CA",'2023'!$F$2=AT81),'2023DATA'!$C$29,"")</f>
        <v/>
      </c>
      <c r="AU108" s="518" t="str">
        <f>IF(AND(_AC3="A-320",'2023'!$F$4="CA",'2023'!$F$2=AU81),'2023DATA'!$D$29,"")</f>
        <v/>
      </c>
      <c r="AV108" s="518" t="str">
        <f>IF(AND(_AC3="A-320",'2023'!$F$4="CA",'2023'!$F$2=AV81),'2023DATA'!$E$29,"")</f>
        <v/>
      </c>
      <c r="AW108" s="518" t="str">
        <f>IF(AND(_AC3="A-320",'2023'!$F$4="CA",'2023'!$F$2=AW81),'2023DATA'!$F$29,"")</f>
        <v/>
      </c>
      <c r="AX108" s="518" t="str">
        <f>IF(AND(_AC3="A-320",'2023'!$F$4="CA",'2023'!$F$2=AX81),'2023DATA'!$G$29,"")</f>
        <v/>
      </c>
      <c r="AY108" s="518" t="str">
        <f>IF(AND(_AC3="A-320",'2023'!$F$4="CA",'2023'!$F$2=AY81),'2023DATA'!$H$29,"")</f>
        <v/>
      </c>
      <c r="AZ108" s="518" t="str">
        <f>IF(AND(_AC3="A-320",'2023'!$F$4="CA",'2023'!$F$2=AZ81),'2023DATA'!$I$29,"")</f>
        <v/>
      </c>
      <c r="BA108" s="518" t="str">
        <f>IF(AND(_AC3="A-320",'2023'!$F$4="CA",'2023'!$F$2=BA81),'2023DATA'!$J$29,"")</f>
        <v/>
      </c>
      <c r="BB108" s="518" t="str">
        <f>IF(AND(_AC3="A-320",'2023'!$F$4="CA",'2023'!$F$2=BB81),'2023DATA'!$K$29,"")</f>
        <v/>
      </c>
      <c r="BC108" s="518" t="str">
        <f>IF(AND(_AC3="A-320",'2023'!$F$4="CA",'2023'!$F$2=BC81),'2023DATA'!$L$29,"")</f>
        <v/>
      </c>
      <c r="BD108" s="518" t="str">
        <f>IF(AND(_AC3="A-320",'2023'!$F$4="CA",'2023'!$F$2=BD81),'2023DATA'!$M$29,"")</f>
        <v/>
      </c>
      <c r="BE108" s="520" t="str">
        <f>IF(AND(_AC3="A-320",'2023'!$F$4="CA",'2023'!$F$2=BE81),'2023DATA'!$N$29,"")</f>
        <v/>
      </c>
      <c r="BF108" s="940" t="s">
        <v>70</v>
      </c>
      <c r="BG108" s="13" t="s">
        <v>61</v>
      </c>
      <c r="BH108" s="518" t="str">
        <f>IF(AND(_AC4="A-320",'2023'!$F$4="CA",'2023'!$F$2=BH81),'2023DATA'!$C$29,"")</f>
        <v/>
      </c>
      <c r="BI108" s="518" t="str">
        <f>IF(AND(_AC4="A-320",'2023'!$F$4="CA",'2023'!$F$2=BI81),'2023DATA'!$D$29,"")</f>
        <v/>
      </c>
      <c r="BJ108" s="518" t="str">
        <f>IF(AND(_AC4="A-320",'2023'!$F$4="CA",'2023'!$F$2=BJ81),'2023DATA'!$E$29,"")</f>
        <v/>
      </c>
      <c r="BK108" s="518" t="str">
        <f>IF(AND(_AC4="A-320",'2023'!$F$4="CA",'2023'!$F$2=BK81),'2023DATA'!$F$29,"")</f>
        <v/>
      </c>
      <c r="BL108" s="518" t="str">
        <f>IF(AND(_AC4="A-320",'2023'!$F$4="CA",'2023'!$F$2=BL81),'2023DATA'!$G$29,"")</f>
        <v/>
      </c>
      <c r="BM108" s="518" t="str">
        <f>IF(AND(_AC4="A-320",'2023'!$F$4="CA",'2023'!$F$2=BM81),'2023DATA'!$H$29,"")</f>
        <v/>
      </c>
      <c r="BN108" s="518" t="str">
        <f>IF(AND(_AC4="A-320",'2023'!$F$4="CA",'2023'!$F$2=BN81),'2023DATA'!$I$29,"")</f>
        <v/>
      </c>
      <c r="BO108" s="518" t="str">
        <f>IF(AND(_AC4="A-320",'2023'!$F$4="CA",'2023'!$F$2=BO81),'2023DATA'!$J$29,"")</f>
        <v/>
      </c>
      <c r="BP108" s="518" t="str">
        <f>IF(AND(_AC4="A-320",'2023'!$F$4="CA",'2023'!$F$2=BP81),'2023DATA'!$K$29,"")</f>
        <v/>
      </c>
      <c r="BQ108" s="518" t="str">
        <f>IF(AND(_AC4="A-320",'2023'!$F$4="CA",'2023'!$F$2=BQ81),'2023DATA'!$L$29,"")</f>
        <v/>
      </c>
      <c r="BR108" s="518" t="str">
        <f>IF(AND(_AC4="A-320",'2023'!$F$4="CA",'2023'!$F$2=BR81),'2023DATA'!$M$29,"")</f>
        <v/>
      </c>
      <c r="BS108" s="520" t="str">
        <f>IF(AND(_AC4="A-320",'2023'!$F$4="CA",'2023'!$F$2=BS81),'2023DATA'!$N$29,"")</f>
        <v/>
      </c>
      <c r="BT108" s="940" t="s">
        <v>70</v>
      </c>
      <c r="BU108" s="13" t="s">
        <v>61</v>
      </c>
      <c r="BV108" s="518" t="str">
        <f>IF(AND(_AC5="A-320",'2023'!$F$4="CA",'2023'!$F$2=BV81),'2023DATA'!$C$29,"")</f>
        <v/>
      </c>
      <c r="BW108" s="518" t="str">
        <f>IF(AND(_AC5="A-320",'2023'!$F$4="CA",'2023'!$F$2=BW81),'2023DATA'!$D$29,"")</f>
        <v/>
      </c>
      <c r="BX108" s="518" t="str">
        <f>IF(AND(_AC5="A-320",'2023'!$F$4="CA",'2023'!$F$2=BX81),'2023DATA'!$E$29,"")</f>
        <v/>
      </c>
      <c r="BY108" s="518" t="str">
        <f>IF(AND(_AC5="A-320",'2023'!$F$4="CA",'2023'!$F$2=BY81),'2023DATA'!$F$29,"")</f>
        <v/>
      </c>
      <c r="BZ108" s="518" t="str">
        <f>IF(AND(_AC5="A-320",'2023'!$F$4="CA",'2023'!$F$2=BZ81),'2023DATA'!$G$29,"")</f>
        <v/>
      </c>
      <c r="CA108" s="518" t="str">
        <f>IF(AND(_AC5="A-320",'2023'!$F$4="CA",'2023'!$F$2=CA81),'2023DATA'!$H$29,"")</f>
        <v/>
      </c>
      <c r="CB108" s="518" t="str">
        <f>IF(AND(_AC5="A-320",'2023'!$F$4="CA",'2023'!$F$2=CB81),'2023DATA'!$I$29,"")</f>
        <v/>
      </c>
      <c r="CC108" s="518" t="str">
        <f>IF(AND(_AC5="A-320",'2023'!$F$4="CA",'2023'!$F$2=CC81),'2023DATA'!$J$29,"")</f>
        <v/>
      </c>
      <c r="CD108" s="518" t="str">
        <f>IF(AND(_AC5="A-320",'2023'!$F$4="CA",'2023'!$F$2=CD81),'2023DATA'!$K$29,"")</f>
        <v/>
      </c>
      <c r="CE108" s="518" t="str">
        <f>IF(AND(_AC5="A-320",'2023'!$F$4="CA",'2023'!$F$2=CE81),'2023DATA'!$L$29,"")</f>
        <v/>
      </c>
      <c r="CF108" s="518" t="str">
        <f>IF(AND(_AC5="A-320",'2023'!$F$4="CA",'2023'!$F$2=CF81),'2023DATA'!$M$29,"")</f>
        <v/>
      </c>
      <c r="CG108" s="520" t="str">
        <f>IF(AND(_AC5="A-320",'2023'!$F$4="CA",'2023'!$F$2=CG81),'2023DATA'!$N$29,"")</f>
        <v/>
      </c>
      <c r="CH108" s="940" t="s">
        <v>70</v>
      </c>
      <c r="CI108" s="13" t="s">
        <v>61</v>
      </c>
      <c r="CJ108" s="518" t="str">
        <f>IF(AND(_AC6="A-320",'2023'!$F$4="CA",'2023'!$F$2=CJ81),'2023DATA'!$C$29,"")</f>
        <v/>
      </c>
      <c r="CK108" s="518" t="str">
        <f>IF(AND(_AC6="A-320",'2023'!$F$4="CA",'2023'!$F$2=CK81),'2023DATA'!$D$29,"")</f>
        <v/>
      </c>
      <c r="CL108" s="518" t="str">
        <f>IF(AND(_AC6="A-320",'2023'!$F$4="CA",'2023'!$F$2=CL81),'2023DATA'!$E$29,"")</f>
        <v/>
      </c>
      <c r="CM108" s="518" t="str">
        <f>IF(AND(_AC6="A-320",'2023'!$F$4="CA",'2023'!$F$2=CM81),'2023DATA'!$F$29,"")</f>
        <v/>
      </c>
      <c r="CN108" s="518" t="str">
        <f>IF(AND(_AC6="A-320",'2023'!$F$4="CA",'2023'!$F$2=CN81),'2023DATA'!$G$29,"")</f>
        <v/>
      </c>
      <c r="CO108" s="518" t="str">
        <f>IF(AND(_AC6="A-320",'2023'!$F$4="CA",'2023'!$F$2=CO81),'2023DATA'!$H$29,"")</f>
        <v/>
      </c>
      <c r="CP108" s="518" t="str">
        <f>IF(AND(_AC6="A-320",'2023'!$F$4="CA",'2023'!$F$2=CP81),'2023DATA'!$I$29,"")</f>
        <v/>
      </c>
      <c r="CQ108" s="518" t="str">
        <f>IF(AND(_AC6="A-320",'2023'!$F$4="CA",'2023'!$F$2=CQ81),'2023DATA'!$J$29,"")</f>
        <v/>
      </c>
      <c r="CR108" s="518" t="str">
        <f>IF(AND(_AC6="A-320",'2023'!$F$4="CA",'2023'!$F$2=CR81),'2023DATA'!$K$29,"")</f>
        <v/>
      </c>
      <c r="CS108" s="518" t="str">
        <f>IF(AND(_AC6="A-320",'2023'!$F$4="CA",'2023'!$F$2=CS81),'2023DATA'!$L$29,"")</f>
        <v/>
      </c>
      <c r="CT108" s="518" t="str">
        <f>IF(AND(_AC6="A-320",'2023'!$F$4="CA",'2023'!$F$2=CT81),'2023DATA'!$M$29,"")</f>
        <v/>
      </c>
      <c r="CU108" s="520" t="str">
        <f>IF(AND(_AC6="A-320",'2023'!$F$4="CA",'2023'!$F$2=CU81),'2023DATA'!$N$29,"")</f>
        <v/>
      </c>
    </row>
    <row r="109" spans="16:99" x14ac:dyDescent="0.25">
      <c r="P109" s="940"/>
      <c r="Q109" s="13" t="s">
        <v>62</v>
      </c>
      <c r="R109" s="518" t="str">
        <f>IF(AND(_AC1="A-320",'2023'!$F$4="FO",'2023'!$F$2=R81),'2023DATA'!$C$30,"")</f>
        <v/>
      </c>
      <c r="S109" s="518" t="str">
        <f>IF(AND(_AC1="A-320",'2023'!$F$4="FO",'2023'!$F$2=S81),'2023DATA'!$D$30,"")</f>
        <v/>
      </c>
      <c r="T109" s="518" t="str">
        <f>IF(AND(_AC1="A-320",'2023'!$F$4="FO",'2023'!$F$2=T81),'2023DATA'!$E$30,"")</f>
        <v/>
      </c>
      <c r="U109" s="518" t="str">
        <f>IF(AND(_AC1="A-320",'2023'!$F$4="FO",'2023'!$F$2=U81),'2023DATA'!$F$30,"")</f>
        <v/>
      </c>
      <c r="V109" s="518" t="str">
        <f>IF(AND(_AC1="A-320",'2023'!$F$4="FO",'2023'!$F$2=V81),'2023DATA'!$G$30,"")</f>
        <v/>
      </c>
      <c r="W109" s="518" t="str">
        <f>IF(AND(_AC1="A-320",'2023'!$F$4="FO",'2023'!$F$2=W81),'2023DATA'!$H$30,"")</f>
        <v/>
      </c>
      <c r="X109" s="518" t="str">
        <f>IF(AND(_AC1="A-320",'2023'!$F$4="FO",'2023'!$F$2=X81),'2023DATA'!$I$30,"")</f>
        <v/>
      </c>
      <c r="Y109" s="518" t="str">
        <f>IF(AND(_AC1="A-320",'2023'!$F$4="FO",'2023'!$F$2=Y81),'2023DATA'!$J$30,"")</f>
        <v/>
      </c>
      <c r="Z109" s="518" t="str">
        <f>IF(AND(_AC1="A-320",'2023'!$F$4="FO",'2023'!$F$2=Z81),'2023DATA'!$K$30,"")</f>
        <v/>
      </c>
      <c r="AA109" s="518" t="str">
        <f>IF(AND(_AC1="A-320",'2023'!$F$4="FO",'2023'!$F$2=AA81),'2023DATA'!$L$30,"")</f>
        <v/>
      </c>
      <c r="AB109" s="518" t="str">
        <f>IF(AND(_AC1="A-320",'2023'!$F$4="FO",'2023'!$F$2=AB81),'2023DATA'!$M$30,"")</f>
        <v/>
      </c>
      <c r="AC109" s="520" t="str">
        <f>IF(AND(_AC1="A-320",'2023'!$F$4="FO",'2023'!$F$2=AC81),'2023DATA'!$N$30,"")</f>
        <v/>
      </c>
      <c r="AD109" s="940"/>
      <c r="AE109" s="13" t="s">
        <v>62</v>
      </c>
      <c r="AF109" s="518" t="str">
        <f>IF(AND(_AC2="A-320",'2023'!$F$4="FO",'2023'!$F$2=AF81),'2023DATA'!$C$30,"")</f>
        <v/>
      </c>
      <c r="AG109" s="518" t="str">
        <f>IF(AND(_AC2="A-320",'2023'!$F$4="FO",'2023'!$F$2=AG81),'2023DATA'!$D$30,"")</f>
        <v/>
      </c>
      <c r="AH109" s="518" t="str">
        <f>IF(AND(_AC2="A-320",'2023'!$F$4="FO",'2023'!$F$2=AH81),'2023DATA'!$E$30,"")</f>
        <v/>
      </c>
      <c r="AI109" s="518" t="str">
        <f>IF(AND(_AC2="A-320",'2023'!$F$4="FO",'2023'!$F$2=AI81),'2023DATA'!$F$30,"")</f>
        <v/>
      </c>
      <c r="AJ109" s="518" t="str">
        <f>IF(AND(_AC2="A-320",'2023'!$F$4="FO",'2023'!$F$2=AJ81),'2023DATA'!$G$30,"")</f>
        <v/>
      </c>
      <c r="AK109" s="518" t="str">
        <f>IF(AND(_AC2="A-320",'2023'!$F$4="FO",'2023'!$F$2=AK81),'2023DATA'!$H$30,"")</f>
        <v/>
      </c>
      <c r="AL109" s="518" t="str">
        <f>IF(AND(_AC2="A-320",'2023'!$F$4="FO",'2023'!$F$2=AL81),'2023DATA'!$I$30,"")</f>
        <v/>
      </c>
      <c r="AM109" s="518" t="str">
        <f>IF(AND(_AC2="A-320",'2023'!$F$4="FO",'2023'!$F$2=AM81),'2023DATA'!$J$30,"")</f>
        <v/>
      </c>
      <c r="AN109" s="518" t="str">
        <f>IF(AND(_AC2="A-320",'2023'!$F$4="FO",'2023'!$F$2=AN81),'2023DATA'!$K$30,"")</f>
        <v/>
      </c>
      <c r="AO109" s="518" t="str">
        <f>IF(AND(_AC2="A-320",'2023'!$F$4="FO",'2023'!$F$2=AO81),'2023DATA'!$L$30,"")</f>
        <v/>
      </c>
      <c r="AP109" s="518" t="str">
        <f>IF(AND(_AC2="A-320",'2023'!$F$4="FO",'2023'!$F$2=AP81),'2023DATA'!$M$30,"")</f>
        <v/>
      </c>
      <c r="AQ109" s="520" t="str">
        <f>IF(AND(_AC2="A-320",'2023'!$F$4="FO",'2023'!$F$2=AQ81),'2023DATA'!$N$30,"")</f>
        <v/>
      </c>
      <c r="AR109" s="940"/>
      <c r="AS109" s="13" t="s">
        <v>62</v>
      </c>
      <c r="AT109" s="518" t="str">
        <f>IF(AND(_AC3="A-320",'2023'!$F$4="FO",'2023'!$F$2=AT81),'2023DATA'!$C$30,"")</f>
        <v/>
      </c>
      <c r="AU109" s="518" t="str">
        <f>IF(AND(_AC3="A-320",'2023'!$F$4="FO",'2023'!$F$2=AU81),'2023DATA'!$D$30,"")</f>
        <v/>
      </c>
      <c r="AV109" s="518" t="str">
        <f>IF(AND(_AC3="A-320",'2023'!$F$4="FO",'2023'!$F$2=AV81),'2023DATA'!$E$30,"")</f>
        <v/>
      </c>
      <c r="AW109" s="518" t="str">
        <f>IF(AND(_AC3="A-320",'2023'!$F$4="FO",'2023'!$F$2=AW81),'2023DATA'!$F$30,"")</f>
        <v/>
      </c>
      <c r="AX109" s="518" t="str">
        <f>IF(AND(_AC3="A-320",'2023'!$F$4="FO",'2023'!$F$2=AX81),'2023DATA'!$G$30,"")</f>
        <v/>
      </c>
      <c r="AY109" s="518" t="str">
        <f>IF(AND(_AC3="A-320",'2023'!$F$4="FO",'2023'!$F$2=AY81),'2023DATA'!$H$30,"")</f>
        <v/>
      </c>
      <c r="AZ109" s="518" t="str">
        <f>IF(AND(_AC3="A-320",'2023'!$F$4="FO",'2023'!$F$2=AZ81),'2023DATA'!$I$30,"")</f>
        <v/>
      </c>
      <c r="BA109" s="518" t="str">
        <f>IF(AND(_AC3="A-320",'2023'!$F$4="FO",'2023'!$F$2=BA81),'2023DATA'!$J$30,"")</f>
        <v/>
      </c>
      <c r="BB109" s="518" t="str">
        <f>IF(AND(_AC3="A-320",'2023'!$F$4="FO",'2023'!$F$2=BB81),'2023DATA'!$K$30,"")</f>
        <v/>
      </c>
      <c r="BC109" s="518" t="str">
        <f>IF(AND(_AC3="A-320",'2023'!$F$4="FO",'2023'!$F$2=BC81),'2023DATA'!$L$30,"")</f>
        <v/>
      </c>
      <c r="BD109" s="518" t="str">
        <f>IF(AND(_AC3="A-320",'2023'!$F$4="FO",'2023'!$F$2=BD81),'2023DATA'!$M$30,"")</f>
        <v/>
      </c>
      <c r="BE109" s="520" t="str">
        <f>IF(AND(_AC3="A-320",'2023'!$F$4="FO",'2023'!$F$2=BE81),'2023DATA'!$N$30,"")</f>
        <v/>
      </c>
      <c r="BF109" s="940"/>
      <c r="BG109" s="13" t="s">
        <v>62</v>
      </c>
      <c r="BH109" s="518" t="str">
        <f>IF(AND(_AC4="A-320",'2023'!$F$4="FO",'2023'!$F$2=BH81),'2023DATA'!$C$30,"")</f>
        <v/>
      </c>
      <c r="BI109" s="518" t="str">
        <f>IF(AND(_AC4="A-320",'2023'!$F$4="FO",'2023'!$F$2=BI81),'2023DATA'!$D$30,"")</f>
        <v/>
      </c>
      <c r="BJ109" s="518" t="str">
        <f>IF(AND(_AC4="A-320",'2023'!$F$4="FO",'2023'!$F$2=BJ81),'2023DATA'!$E$30,"")</f>
        <v/>
      </c>
      <c r="BK109" s="518" t="str">
        <f>IF(AND(_AC4="A-320",'2023'!$F$4="FO",'2023'!$F$2=BK81),'2023DATA'!$F$30,"")</f>
        <v/>
      </c>
      <c r="BL109" s="518" t="str">
        <f>IF(AND(_AC4="A-320",'2023'!$F$4="FO",'2023'!$F$2=BL81),'2023DATA'!$G$30,"")</f>
        <v/>
      </c>
      <c r="BM109" s="518" t="str">
        <f>IF(AND(_AC4="A-320",'2023'!$F$4="FO",'2023'!$F$2=BM81),'2023DATA'!$H$30,"")</f>
        <v/>
      </c>
      <c r="BN109" s="518" t="str">
        <f>IF(AND(_AC4="A-320",'2023'!$F$4="FO",'2023'!$F$2=BN81),'2023DATA'!$I$30,"")</f>
        <v/>
      </c>
      <c r="BO109" s="518" t="str">
        <f>IF(AND(_AC4="A-320",'2023'!$F$4="FO",'2023'!$F$2=BO81),'2023DATA'!$J$30,"")</f>
        <v/>
      </c>
      <c r="BP109" s="518" t="str">
        <f>IF(AND(_AC4="A-320",'2023'!$F$4="FO",'2023'!$F$2=BP81),'2023DATA'!$K$30,"")</f>
        <v/>
      </c>
      <c r="BQ109" s="518" t="str">
        <f>IF(AND(_AC4="A-320",'2023'!$F$4="FO",'2023'!$F$2=BQ81),'2023DATA'!$L$30,"")</f>
        <v/>
      </c>
      <c r="BR109" s="518" t="str">
        <f>IF(AND(_AC4="A-320",'2023'!$F$4="FO",'2023'!$F$2=BR81),'2023DATA'!$M$30,"")</f>
        <v/>
      </c>
      <c r="BS109" s="520" t="str">
        <f>IF(AND(_AC4="A-320",'2023'!$F$4="FO",'2023'!$F$2=BS81),'2023DATA'!$N$30,"")</f>
        <v/>
      </c>
      <c r="BT109" s="940"/>
      <c r="BU109" s="13" t="s">
        <v>62</v>
      </c>
      <c r="BV109" s="518" t="str">
        <f>IF(AND(_AC5="A-320",'2023'!$F$4="FO",'2023'!$F$2=BV81),'2023DATA'!$C$30,"")</f>
        <v/>
      </c>
      <c r="BW109" s="518" t="str">
        <f>IF(AND(_AC5="A-320",'2023'!$F$4="FO",'2023'!$F$2=BW81),'2023DATA'!$D$30,"")</f>
        <v/>
      </c>
      <c r="BX109" s="518" t="str">
        <f>IF(AND(_AC5="A-320",'2023'!$F$4="FO",'2023'!$F$2=BX81),'2023DATA'!$E$30,"")</f>
        <v/>
      </c>
      <c r="BY109" s="518" t="str">
        <f>IF(AND(_AC5="A-320",'2023'!$F$4="FO",'2023'!$F$2=BY81),'2023DATA'!$F$30,"")</f>
        <v/>
      </c>
      <c r="BZ109" s="518" t="str">
        <f>IF(AND(_AC5="A-320",'2023'!$F$4="FO",'2023'!$F$2=BZ81),'2023DATA'!$G$30,"")</f>
        <v/>
      </c>
      <c r="CA109" s="518" t="str">
        <f>IF(AND(_AC5="A-320",'2023'!$F$4="FO",'2023'!$F$2=CA81),'2023DATA'!$H$30,"")</f>
        <v/>
      </c>
      <c r="CB109" s="518" t="str">
        <f>IF(AND(_AC5="A-320",'2023'!$F$4="FO",'2023'!$F$2=CB81),'2023DATA'!$I$30,"")</f>
        <v/>
      </c>
      <c r="CC109" s="518" t="str">
        <f>IF(AND(_AC5="A-320",'2023'!$F$4="FO",'2023'!$F$2=CC81),'2023DATA'!$J$30,"")</f>
        <v/>
      </c>
      <c r="CD109" s="518" t="str">
        <f>IF(AND(_AC5="A-320",'2023'!$F$4="FO",'2023'!$F$2=CD81),'2023DATA'!$K$30,"")</f>
        <v/>
      </c>
      <c r="CE109" s="518" t="str">
        <f>IF(AND(_AC5="A-320",'2023'!$F$4="FO",'2023'!$F$2=CE81),'2023DATA'!$L$30,"")</f>
        <v/>
      </c>
      <c r="CF109" s="518" t="str">
        <f>IF(AND(_AC5="A-320",'2023'!$F$4="FO",'2023'!$F$2=CF81),'2023DATA'!$M$30,"")</f>
        <v/>
      </c>
      <c r="CG109" s="520" t="str">
        <f>IF(AND(_AC5="A-320",'2023'!$F$4="FO",'2023'!$F$2=CG81),'2023DATA'!$N$30,"")</f>
        <v/>
      </c>
      <c r="CH109" s="940"/>
      <c r="CI109" s="13" t="s">
        <v>62</v>
      </c>
      <c r="CJ109" s="518" t="str">
        <f>IF(AND(_AC6="A-320",'2023'!$F$4="FO",'2023'!$F$2=CJ81),'2023DATA'!$C$30,"")</f>
        <v/>
      </c>
      <c r="CK109" s="518" t="str">
        <f>IF(AND(_AC6="A-320",'2023'!$F$4="FO",'2023'!$F$2=CK81),'2023DATA'!$D$30,"")</f>
        <v/>
      </c>
      <c r="CL109" s="518" t="str">
        <f>IF(AND(_AC6="A-320",'2023'!$F$4="FO",'2023'!$F$2=CL81),'2023DATA'!$E$30,"")</f>
        <v/>
      </c>
      <c r="CM109" s="518" t="str">
        <f>IF(AND(_AC6="A-320",'2023'!$F$4="FO",'2023'!$F$2=CM81),'2023DATA'!$F$30,"")</f>
        <v/>
      </c>
      <c r="CN109" s="518" t="str">
        <f>IF(AND(_AC6="A-320",'2023'!$F$4="FO",'2023'!$F$2=CN81),'2023DATA'!$G$30,"")</f>
        <v/>
      </c>
      <c r="CO109" s="518" t="str">
        <f>IF(AND(_AC6="A-320",'2023'!$F$4="FO",'2023'!$F$2=CO81),'2023DATA'!$H$30,"")</f>
        <v/>
      </c>
      <c r="CP109" s="518" t="str">
        <f>IF(AND(_AC6="A-320",'2023'!$F$4="FO",'2023'!$F$2=CP81),'2023DATA'!$I$30,"")</f>
        <v/>
      </c>
      <c r="CQ109" s="518" t="str">
        <f>IF(AND(_AC6="A-320",'2023'!$F$4="FO",'2023'!$F$2=CQ81),'2023DATA'!$J$30,"")</f>
        <v/>
      </c>
      <c r="CR109" s="518" t="str">
        <f>IF(AND(_AC6="A-320",'2023'!$F$4="FO",'2023'!$F$2=CR81),'2023DATA'!$K$30,"")</f>
        <v/>
      </c>
      <c r="CS109" s="518" t="str">
        <f>IF(AND(_AC6="A-320",'2023'!$F$4="FO",'2023'!$F$2=CS81),'2023DATA'!$L$30,"")</f>
        <v/>
      </c>
      <c r="CT109" s="518" t="str">
        <f>IF(AND(_AC6="A-320",'2023'!$F$4="FO",'2023'!$F$2=CT81),'2023DATA'!$M$30,"")</f>
        <v/>
      </c>
      <c r="CU109" s="520" t="str">
        <f>IF(AND(_AC6="A-320",'2023'!$F$4="FO",'2023'!$F$2=CU81),'2023DATA'!$N$30,"")</f>
        <v/>
      </c>
    </row>
    <row r="110" spans="16:99" x14ac:dyDescent="0.25">
      <c r="P110" s="940" t="s">
        <v>71</v>
      </c>
      <c r="Q110" s="13" t="s">
        <v>61</v>
      </c>
      <c r="R110" s="518" t="str">
        <f>IF(AND(_AC1="A-319",'2023'!$F$4="CA",'2023'!$F$2=R81),'2023DATA'!$C$31,"")</f>
        <v/>
      </c>
      <c r="S110" s="518" t="str">
        <f>IF(AND(_AC1="A-319",'2023'!$F$4="CA",'2023'!$F$2=S81),'2023DATA'!$D$31,"")</f>
        <v/>
      </c>
      <c r="T110" s="518" t="str">
        <f>IF(AND(_AC1="A-319",'2023'!$F$4="CA",'2023'!$F$2=T81),'2023DATA'!$E$31,"")</f>
        <v/>
      </c>
      <c r="U110" s="518" t="str">
        <f>IF(AND(_AC1="A-319",'2023'!$F$4="CA",'2023'!$F$2=U81),'2023DATA'!$F$31,"")</f>
        <v/>
      </c>
      <c r="V110" s="518" t="str">
        <f>IF(AND(_AC1="A-319",'2023'!$F$4="CA",'2023'!$F$2=V81),'2023DATA'!$G$31,"")</f>
        <v/>
      </c>
      <c r="W110" s="518" t="str">
        <f>IF(AND(_AC1="A-319",'2023'!$F$4="CA",'2023'!$F$2=W81),'2023DATA'!$H$31,"")</f>
        <v/>
      </c>
      <c r="X110" s="518" t="str">
        <f>IF(AND(_AC1="A-319",'2023'!$F$4="CA",'2023'!$F$2=X81),'2023DATA'!$I$31,"")</f>
        <v/>
      </c>
      <c r="Y110" s="518" t="str">
        <f>IF(AND(_AC1="A-319",'2023'!$F$4="CA",'2023'!$F$2=Y81),'2023DATA'!$J$31,"")</f>
        <v/>
      </c>
      <c r="Z110" s="518" t="str">
        <f>IF(AND(_AC1="A-319",'2023'!$F$4="CA",'2023'!$F$2=Z81),'2023DATA'!$K$31,"")</f>
        <v/>
      </c>
      <c r="AA110" s="518" t="str">
        <f>IF(AND(_AC1="A-319",'2023'!$F$4="CA",'2023'!$F$2=AA81),'2023DATA'!$L$31,"")</f>
        <v/>
      </c>
      <c r="AB110" s="518" t="str">
        <f>IF(AND(_AC1="A-319",'2023'!$F$4="CA",'2023'!$F$2=AB81),'2023DATA'!$M$31,"")</f>
        <v/>
      </c>
      <c r="AC110" s="520" t="str">
        <f>IF(AND(_AC1="A-319",'2023'!$F$4="CA",'2023'!$F$2=AC81),'2023DATA'!$N$31,"")</f>
        <v/>
      </c>
      <c r="AD110" s="940" t="s">
        <v>71</v>
      </c>
      <c r="AE110" s="13" t="s">
        <v>61</v>
      </c>
      <c r="AF110" s="518" t="str">
        <f>IF(AND(_AC2="A-319",'2023'!$F$4="CA",'2023'!$F$2=AF81),'2023DATA'!$C$31,"")</f>
        <v/>
      </c>
      <c r="AG110" s="518" t="str">
        <f>IF(AND(_AC2="A-319",'2023'!$F$4="CA",'2023'!$F$2=AG81),'2023DATA'!$D$31,"")</f>
        <v/>
      </c>
      <c r="AH110" s="518" t="str">
        <f>IF(AND(_AC2="A-319",'2023'!$F$4="CA",'2023'!$F$2=AH81),'2023DATA'!$E$31,"")</f>
        <v/>
      </c>
      <c r="AI110" s="518" t="str">
        <f>IF(AND(_AC2="A-319",'2023'!$F$4="CA",'2023'!$F$2=AI81),'2023DATA'!$F$31,"")</f>
        <v/>
      </c>
      <c r="AJ110" s="518" t="str">
        <f>IF(AND(_AC2="A-319",'2023'!$F$4="CA",'2023'!$F$2=AJ81),'2023DATA'!$G$31,"")</f>
        <v/>
      </c>
      <c r="AK110" s="518" t="str">
        <f>IF(AND(_AC2="A-319",'2023'!$F$4="CA",'2023'!$F$2=AK81),'2023DATA'!$H$31,"")</f>
        <v/>
      </c>
      <c r="AL110" s="518" t="str">
        <f>IF(AND(_AC2="A-319",'2023'!$F$4="CA",'2023'!$F$2=AL81),'2023DATA'!$I$31,"")</f>
        <v/>
      </c>
      <c r="AM110" s="518" t="str">
        <f>IF(AND(_AC2="A-319",'2023'!$F$4="CA",'2023'!$F$2=AM81),'2023DATA'!$J$31,"")</f>
        <v/>
      </c>
      <c r="AN110" s="518" t="str">
        <f>IF(AND(_AC2="A-319",'2023'!$F$4="CA",'2023'!$F$2=AN81),'2023DATA'!$K$31,"")</f>
        <v/>
      </c>
      <c r="AO110" s="518" t="str">
        <f>IF(AND(_AC2="A-319",'2023'!$F$4="CA",'2023'!$F$2=AO81),'2023DATA'!$L$31,"")</f>
        <v/>
      </c>
      <c r="AP110" s="518" t="str">
        <f>IF(AND(_AC2="A-319",'2023'!$F$4="CA",'2023'!$F$2=AP81),'2023DATA'!$M$31,"")</f>
        <v/>
      </c>
      <c r="AQ110" s="520" t="str">
        <f>IF(AND(_AC2="A-319",'2023'!$F$4="CA",'2023'!$F$2=AQ81),'2023DATA'!$N$31,"")</f>
        <v/>
      </c>
      <c r="AR110" s="940" t="s">
        <v>71</v>
      </c>
      <c r="AS110" s="13" t="s">
        <v>61</v>
      </c>
      <c r="AT110" s="518" t="str">
        <f>IF(AND(_AC3="A-319",'2023'!$F$4="CA",'2023'!$F$2=AT81),'2023DATA'!$C$31,"")</f>
        <v/>
      </c>
      <c r="AU110" s="518" t="str">
        <f>IF(AND(_AC3="A-319",'2023'!$F$4="CA",'2023'!$F$2=AU81),'2023DATA'!$D$31,"")</f>
        <v/>
      </c>
      <c r="AV110" s="518" t="str">
        <f>IF(AND(_AC3="A-319",'2023'!$F$4="CA",'2023'!$F$2=AV81),'2023DATA'!$E$31,"")</f>
        <v/>
      </c>
      <c r="AW110" s="518" t="str">
        <f>IF(AND(_AC3="A-319",'2023'!$F$4="CA",'2023'!$F$2=AW81),'2023DATA'!$F$31,"")</f>
        <v/>
      </c>
      <c r="AX110" s="518" t="str">
        <f>IF(AND(_AC3="A-319",'2023'!$F$4="CA",'2023'!$F$2=AX81),'2023DATA'!$G$31,"")</f>
        <v/>
      </c>
      <c r="AY110" s="518" t="str">
        <f>IF(AND(_AC3="A-319",'2023'!$F$4="CA",'2023'!$F$2=AY81),'2023DATA'!$H$31,"")</f>
        <v/>
      </c>
      <c r="AZ110" s="518" t="str">
        <f>IF(AND(_AC3="A-319",'2023'!$F$4="CA",'2023'!$F$2=AZ81),'2023DATA'!$I$31,"")</f>
        <v/>
      </c>
      <c r="BA110" s="518" t="str">
        <f>IF(AND(_AC3="A-319",'2023'!$F$4="CA",'2023'!$F$2=BA81),'2023DATA'!$J$31,"")</f>
        <v/>
      </c>
      <c r="BB110" s="518" t="str">
        <f>IF(AND(_AC3="A-319",'2023'!$F$4="CA",'2023'!$F$2=BB81),'2023DATA'!$K$31,"")</f>
        <v/>
      </c>
      <c r="BC110" s="518" t="str">
        <f>IF(AND(_AC3="A-319",'2023'!$F$4="CA",'2023'!$F$2=BC81),'2023DATA'!$L$31,"")</f>
        <v/>
      </c>
      <c r="BD110" s="518" t="str">
        <f>IF(AND(_AC3="A-319",'2023'!$F$4="CA",'2023'!$F$2=BD81),'2023DATA'!$M$31,"")</f>
        <v/>
      </c>
      <c r="BE110" s="520" t="str">
        <f>IF(AND(_AC3="A-319",'2023'!$F$4="CA",'2023'!$F$2=BE81),'2023DATA'!$N$31,"")</f>
        <v/>
      </c>
      <c r="BF110" s="940" t="s">
        <v>71</v>
      </c>
      <c r="BG110" s="13" t="s">
        <v>61</v>
      </c>
      <c r="BH110" s="518" t="str">
        <f>IF(AND(_AC4="A-319",'2023'!$F$4="CA",'2023'!$F$2=BH81),'2023DATA'!$C$31,"")</f>
        <v/>
      </c>
      <c r="BI110" s="518" t="str">
        <f>IF(AND(_AC4="A-319",'2023'!$F$4="CA",'2023'!$F$2=BI81),'2023DATA'!$D$31,"")</f>
        <v/>
      </c>
      <c r="BJ110" s="518" t="str">
        <f>IF(AND(_AC4="A-319",'2023'!$F$4="CA",'2023'!$F$2=BJ81),'2023DATA'!$E$31,"")</f>
        <v/>
      </c>
      <c r="BK110" s="518" t="str">
        <f>IF(AND(_AC4="A-319",'2023'!$F$4="CA",'2023'!$F$2=BK81),'2023DATA'!$F$31,"")</f>
        <v/>
      </c>
      <c r="BL110" s="518" t="str">
        <f>IF(AND(_AC4="A-319",'2023'!$F$4="CA",'2023'!$F$2=BL81),'2023DATA'!$G$31,"")</f>
        <v/>
      </c>
      <c r="BM110" s="518" t="str">
        <f>IF(AND(_AC4="A-319",'2023'!$F$4="CA",'2023'!$F$2=BM81),'2023DATA'!$H$31,"")</f>
        <v/>
      </c>
      <c r="BN110" s="518" t="str">
        <f>IF(AND(_AC4="A-319",'2023'!$F$4="CA",'2023'!$F$2=BN81),'2023DATA'!$I$31,"")</f>
        <v/>
      </c>
      <c r="BO110" s="518" t="str">
        <f>IF(AND(_AC4="A-319",'2023'!$F$4="CA",'2023'!$F$2=BO81),'2023DATA'!$J$31,"")</f>
        <v/>
      </c>
      <c r="BP110" s="518" t="str">
        <f>IF(AND(_AC4="A-319",'2023'!$F$4="CA",'2023'!$F$2=BP81),'2023DATA'!$K$31,"")</f>
        <v/>
      </c>
      <c r="BQ110" s="518" t="str">
        <f>IF(AND(_AC4="A-319",'2023'!$F$4="CA",'2023'!$F$2=BQ81),'2023DATA'!$L$31,"")</f>
        <v/>
      </c>
      <c r="BR110" s="518" t="str">
        <f>IF(AND(_AC4="A-319",'2023'!$F$4="CA",'2023'!$F$2=BR81),'2023DATA'!$M$31,"")</f>
        <v/>
      </c>
      <c r="BS110" s="520" t="str">
        <f>IF(AND(_AC4="A-319",'2023'!$F$4="CA",'2023'!$F$2=BS81),'2023DATA'!$N$31,"")</f>
        <v/>
      </c>
      <c r="BT110" s="940" t="s">
        <v>71</v>
      </c>
      <c r="BU110" s="13" t="s">
        <v>61</v>
      </c>
      <c r="BV110" s="518" t="str">
        <f>IF(AND(_AC5="A-319",'2023'!$F$4="CA",'2023'!$F$2=BV81),'2023DATA'!$C$31,"")</f>
        <v/>
      </c>
      <c r="BW110" s="518" t="str">
        <f>IF(AND(_AC5="A-319",'2023'!$F$4="CA",'2023'!$F$2=BW81),'2023DATA'!$D$31,"")</f>
        <v/>
      </c>
      <c r="BX110" s="518" t="str">
        <f>IF(AND(_AC5="A-319",'2023'!$F$4="CA",'2023'!$F$2=BX81),'2023DATA'!$E$31,"")</f>
        <v/>
      </c>
      <c r="BY110" s="518" t="str">
        <f>IF(AND(_AC5="A-319",'2023'!$F$4="CA",'2023'!$F$2=BY81),'2023DATA'!$F$31,"")</f>
        <v/>
      </c>
      <c r="BZ110" s="518" t="str">
        <f>IF(AND(_AC5="A-319",'2023'!$F$4="CA",'2023'!$F$2=BZ81),'2023DATA'!$G$31,"")</f>
        <v/>
      </c>
      <c r="CA110" s="518" t="str">
        <f>IF(AND(_AC5="A-319",'2023'!$F$4="CA",'2023'!$F$2=CA81),'2023DATA'!$H$31,"")</f>
        <v/>
      </c>
      <c r="CB110" s="518" t="str">
        <f>IF(AND(_AC5="A-319",'2023'!$F$4="CA",'2023'!$F$2=CB81),'2023DATA'!$I$31,"")</f>
        <v/>
      </c>
      <c r="CC110" s="518" t="str">
        <f>IF(AND(_AC5="A-319",'2023'!$F$4="CA",'2023'!$F$2=CC81),'2023DATA'!$J$31,"")</f>
        <v/>
      </c>
      <c r="CD110" s="518" t="str">
        <f>IF(AND(_AC5="A-319",'2023'!$F$4="CA",'2023'!$F$2=CD81),'2023DATA'!$K$31,"")</f>
        <v/>
      </c>
      <c r="CE110" s="518" t="str">
        <f>IF(AND(_AC5="A-319",'2023'!$F$4="CA",'2023'!$F$2=CE81),'2023DATA'!$L$31,"")</f>
        <v/>
      </c>
      <c r="CF110" s="518" t="str">
        <f>IF(AND(_AC5="A-319",'2023'!$F$4="CA",'2023'!$F$2=CF81),'2023DATA'!$M$31,"")</f>
        <v/>
      </c>
      <c r="CG110" s="520" t="str">
        <f>IF(AND(_AC5="A-319",'2023'!$F$4="CA",'2023'!$F$2=CG81),'2023DATA'!$N$31,"")</f>
        <v/>
      </c>
      <c r="CH110" s="940" t="s">
        <v>71</v>
      </c>
      <c r="CI110" s="13" t="s">
        <v>61</v>
      </c>
      <c r="CJ110" s="518" t="str">
        <f>IF(AND(_AC6="A-319",'2023'!$F$4="CA",'2023'!$F$2=CJ81),'2023DATA'!$C$31,"")</f>
        <v/>
      </c>
      <c r="CK110" s="518" t="str">
        <f>IF(AND(_AC6="A-319",'2023'!$F$4="CA",'2023'!$F$2=CK81),'2023DATA'!$D$31,"")</f>
        <v/>
      </c>
      <c r="CL110" s="518" t="str">
        <f>IF(AND(_AC6="A-319",'2023'!$F$4="CA",'2023'!$F$2=CL81),'2023DATA'!$E$31,"")</f>
        <v/>
      </c>
      <c r="CM110" s="518" t="str">
        <f>IF(AND(_AC6="A-319",'2023'!$F$4="CA",'2023'!$F$2=CM81),'2023DATA'!$F$31,"")</f>
        <v/>
      </c>
      <c r="CN110" s="518" t="str">
        <f>IF(AND(_AC6="A-319",'2023'!$F$4="CA",'2023'!$F$2=CN81),'2023DATA'!$G$31,"")</f>
        <v/>
      </c>
      <c r="CO110" s="518" t="str">
        <f>IF(AND(_AC6="A-319",'2023'!$F$4="CA",'2023'!$F$2=CO81),'2023DATA'!$H$31,"")</f>
        <v/>
      </c>
      <c r="CP110" s="518" t="str">
        <f>IF(AND(_AC6="A-319",'2023'!$F$4="CA",'2023'!$F$2=CP81),'2023DATA'!$I$31,"")</f>
        <v/>
      </c>
      <c r="CQ110" s="518" t="str">
        <f>IF(AND(_AC6="A-319",'2023'!$F$4="CA",'2023'!$F$2=CQ81),'2023DATA'!$J$31,"")</f>
        <v/>
      </c>
      <c r="CR110" s="518" t="str">
        <f>IF(AND(_AC6="A-319",'2023'!$F$4="CA",'2023'!$F$2=CR81),'2023DATA'!$K$31,"")</f>
        <v/>
      </c>
      <c r="CS110" s="518" t="str">
        <f>IF(AND(_AC6="A-319",'2023'!$F$4="CA",'2023'!$F$2=CS81),'2023DATA'!$L$31,"")</f>
        <v/>
      </c>
      <c r="CT110" s="518" t="str">
        <f>IF(AND(_AC6="A-319",'2023'!$F$4="CA",'2023'!$F$2=CT81),'2023DATA'!$M$31,"")</f>
        <v/>
      </c>
      <c r="CU110" s="520" t="str">
        <f>IF(AND(_AC6="A-319",'2023'!$F$4="CA",'2023'!$F$2=CU81),'2023DATA'!$N$31,"")</f>
        <v/>
      </c>
    </row>
    <row r="111" spans="16:99" x14ac:dyDescent="0.25">
      <c r="P111" s="940"/>
      <c r="Q111" s="13" t="s">
        <v>62</v>
      </c>
      <c r="R111" s="518" t="str">
        <f>IF(AND(_AC1="A-319",'2023'!$F$4="FO",'2023'!$F$2=R81),'2023DATA'!$C$32,"")</f>
        <v/>
      </c>
      <c r="S111" s="518" t="str">
        <f>IF(AND(_AC1="A-319",'2023'!$F$4="FO",'2023'!$F$2=S81),'2023DATA'!$D$32,"")</f>
        <v/>
      </c>
      <c r="T111" s="518" t="str">
        <f>IF(AND(_AC1="A-319",'2023'!$F$4="FO",'2023'!$F$2=T81),'2023DATA'!$E$32,"")</f>
        <v/>
      </c>
      <c r="U111" s="518" t="str">
        <f>IF(AND(_AC1="A-319",'2023'!$F$4="FO",'2023'!$F$2=U81),'2023DATA'!$F$32,"")</f>
        <v/>
      </c>
      <c r="V111" s="518" t="str">
        <f>IF(AND(_AC1="A-319",'2023'!$F$4="FO",'2023'!$F$2=V81),'2023DATA'!$G$32,"")</f>
        <v/>
      </c>
      <c r="W111" s="518" t="str">
        <f>IF(AND(_AC1="A-319",'2023'!$F$4="FO",'2023'!$F$2=W81),'2023DATA'!$H$32,"")</f>
        <v/>
      </c>
      <c r="X111" s="518" t="str">
        <f>IF(AND(_AC1="A-319",'2023'!$F$4="FO",'2023'!$F$2=X81),'2023DATA'!$I$32,"")</f>
        <v/>
      </c>
      <c r="Y111" s="518" t="str">
        <f>IF(AND(_AC1="A-319",'2023'!$F$4="FO",'2023'!$F$2=Y81),'2023DATA'!$J$32,"")</f>
        <v/>
      </c>
      <c r="Z111" s="518" t="str">
        <f>IF(AND(_AC1="A-319",'2023'!$F$4="FO",'2023'!$F$2=Z81),'2023DATA'!$K$32,"")</f>
        <v/>
      </c>
      <c r="AA111" s="518" t="str">
        <f>IF(AND(_AC1="A-319",'2023'!$F$4="FO",'2023'!$F$2=AA81),'2023DATA'!$L$32,"")</f>
        <v/>
      </c>
      <c r="AB111" s="518" t="str">
        <f>IF(AND(_AC1="A-319",'2023'!$F$4="FO",'2023'!$F$2=AB81),'2023DATA'!$M$32,"")</f>
        <v/>
      </c>
      <c r="AC111" s="520" t="str">
        <f>IF(AND(_AC1="A-319",'2023'!$F$4="FO",'2023'!$F$2=AC81),'2023DATA'!$N$32,"")</f>
        <v/>
      </c>
      <c r="AD111" s="940"/>
      <c r="AE111" s="13" t="s">
        <v>62</v>
      </c>
      <c r="AF111" s="518" t="str">
        <f>IF(AND(_AC2="A-319",'2023'!$F$4="FO",'2023'!$F$2=AF81),'2023DATA'!$C$32,"")</f>
        <v/>
      </c>
      <c r="AG111" s="518" t="str">
        <f>IF(AND(_AC2="A-319",'2023'!$F$4="FO",'2023'!$F$2=AG81),'2023DATA'!$D$32,"")</f>
        <v/>
      </c>
      <c r="AH111" s="518" t="str">
        <f>IF(AND(_AC2="A-319",'2023'!$F$4="FO",'2023'!$F$2=AH81),'2023DATA'!$E$32,"")</f>
        <v/>
      </c>
      <c r="AI111" s="518" t="str">
        <f>IF(AND(_AC2="A-319",'2023'!$F$4="FO",'2023'!$F$2=AI81),'2023DATA'!$F$32,"")</f>
        <v/>
      </c>
      <c r="AJ111" s="518" t="str">
        <f>IF(AND(_AC2="A-319",'2023'!$F$4="FO",'2023'!$F$2=AJ81),'2023DATA'!$G$32,"")</f>
        <v/>
      </c>
      <c r="AK111" s="518" t="str">
        <f>IF(AND(_AC2="A-319",'2023'!$F$4="FO",'2023'!$F$2=AK81),'2023DATA'!$H$32,"")</f>
        <v/>
      </c>
      <c r="AL111" s="518" t="str">
        <f>IF(AND(_AC2="A-319",'2023'!$F$4="FO",'2023'!$F$2=AL81),'2023DATA'!$I$32,"")</f>
        <v/>
      </c>
      <c r="AM111" s="518" t="str">
        <f>IF(AND(_AC2="A-319",'2023'!$F$4="FO",'2023'!$F$2=AM81),'2023DATA'!$J$32,"")</f>
        <v/>
      </c>
      <c r="AN111" s="518" t="str">
        <f>IF(AND(_AC2="A-319",'2023'!$F$4="FO",'2023'!$F$2=AN81),'2023DATA'!$K$32,"")</f>
        <v/>
      </c>
      <c r="AO111" s="518" t="str">
        <f>IF(AND(_AC2="A-319",'2023'!$F$4="FO",'2023'!$F$2=AO81),'2023DATA'!$L$32,"")</f>
        <v/>
      </c>
      <c r="AP111" s="518" t="str">
        <f>IF(AND(_AC2="A-319",'2023'!$F$4="FO",'2023'!$F$2=AP81),'2023DATA'!$M$32,"")</f>
        <v/>
      </c>
      <c r="AQ111" s="520" t="str">
        <f>IF(AND(_AC2="A-319",'2023'!$F$4="FO",'2023'!$F$2=AQ81),'2023DATA'!$N$32,"")</f>
        <v/>
      </c>
      <c r="AR111" s="940"/>
      <c r="AS111" s="13" t="s">
        <v>62</v>
      </c>
      <c r="AT111" s="518" t="str">
        <f>IF(AND(_AC3="A-319",'2023'!$F$4="FO",'2023'!$F$2=AT81),'2023DATA'!$C$32,"")</f>
        <v/>
      </c>
      <c r="AU111" s="518" t="str">
        <f>IF(AND(_AC3="A-319",'2023'!$F$4="FO",'2023'!$F$2=AU81),'2023DATA'!$D$32,"")</f>
        <v/>
      </c>
      <c r="AV111" s="518" t="str">
        <f>IF(AND(_AC3="A-319",'2023'!$F$4="FO",'2023'!$F$2=AV81),'2023DATA'!$E$32,"")</f>
        <v/>
      </c>
      <c r="AW111" s="518" t="str">
        <f>IF(AND(_AC3="A-319",'2023'!$F$4="FO",'2023'!$F$2=AW81),'2023DATA'!$F$32,"")</f>
        <v/>
      </c>
      <c r="AX111" s="518" t="str">
        <f>IF(AND(_AC3="A-319",'2023'!$F$4="FO",'2023'!$F$2=AX81),'2023DATA'!$G$32,"")</f>
        <v/>
      </c>
      <c r="AY111" s="518" t="str">
        <f>IF(AND(_AC3="A-319",'2023'!$F$4="FO",'2023'!$F$2=AY81),'2023DATA'!$H$32,"")</f>
        <v/>
      </c>
      <c r="AZ111" s="518" t="str">
        <f>IF(AND(_AC3="A-319",'2023'!$F$4="FO",'2023'!$F$2=AZ81),'2023DATA'!$I$32,"")</f>
        <v/>
      </c>
      <c r="BA111" s="518" t="str">
        <f>IF(AND(_AC3="A-319",'2023'!$F$4="FO",'2023'!$F$2=BA81),'2023DATA'!$J$32,"")</f>
        <v/>
      </c>
      <c r="BB111" s="518" t="str">
        <f>IF(AND(_AC3="A-319",'2023'!$F$4="FO",'2023'!$F$2=BB81),'2023DATA'!$K$32,"")</f>
        <v/>
      </c>
      <c r="BC111" s="518" t="str">
        <f>IF(AND(_AC3="A-319",'2023'!$F$4="FO",'2023'!$F$2=BC81),'2023DATA'!$L$32,"")</f>
        <v/>
      </c>
      <c r="BD111" s="518" t="str">
        <f>IF(AND(_AC3="A-319",'2023'!$F$4="FO",'2023'!$F$2=BD81),'2023DATA'!$M$32,"")</f>
        <v/>
      </c>
      <c r="BE111" s="520" t="str">
        <f>IF(AND(_AC3="A-319",'2023'!$F$4="FO",'2023'!$F$2=BE81),'2023DATA'!$N$32,"")</f>
        <v/>
      </c>
      <c r="BF111" s="940"/>
      <c r="BG111" s="13" t="s">
        <v>62</v>
      </c>
      <c r="BH111" s="518" t="str">
        <f>IF(AND(_AC4="A-319",'2023'!$F$4="FO",'2023'!$F$2=BH81),'2023DATA'!$C$32,"")</f>
        <v/>
      </c>
      <c r="BI111" s="518" t="str">
        <f>IF(AND(_AC4="A-319",'2023'!$F$4="FO",'2023'!$F$2=BI81),'2023DATA'!$D$32,"")</f>
        <v/>
      </c>
      <c r="BJ111" s="518" t="str">
        <f>IF(AND(_AC4="A-319",'2023'!$F$4="FO",'2023'!$F$2=BJ81),'2023DATA'!$E$32,"")</f>
        <v/>
      </c>
      <c r="BK111" s="518" t="str">
        <f>IF(AND(_AC4="A-319",'2023'!$F$4="FO",'2023'!$F$2=BK81),'2023DATA'!$F$32,"")</f>
        <v/>
      </c>
      <c r="BL111" s="518" t="str">
        <f>IF(AND(_AC4="A-319",'2023'!$F$4="FO",'2023'!$F$2=BL81),'2023DATA'!$G$32,"")</f>
        <v/>
      </c>
      <c r="BM111" s="518" t="str">
        <f>IF(AND(_AC4="A-319",'2023'!$F$4="FO",'2023'!$F$2=BM81),'2023DATA'!$H$32,"")</f>
        <v/>
      </c>
      <c r="BN111" s="518" t="str">
        <f>IF(AND(_AC4="A-319",'2023'!$F$4="FO",'2023'!$F$2=BN81),'2023DATA'!$I$32,"")</f>
        <v/>
      </c>
      <c r="BO111" s="518" t="str">
        <f>IF(AND(_AC4="A-319",'2023'!$F$4="FO",'2023'!$F$2=BO81),'2023DATA'!$J$32,"")</f>
        <v/>
      </c>
      <c r="BP111" s="518" t="str">
        <f>IF(AND(_AC4="A-319",'2023'!$F$4="FO",'2023'!$F$2=BP81),'2023DATA'!$K$32,"")</f>
        <v/>
      </c>
      <c r="BQ111" s="518" t="str">
        <f>IF(AND(_AC4="A-319",'2023'!$F$4="FO",'2023'!$F$2=BQ81),'2023DATA'!$L$32,"")</f>
        <v/>
      </c>
      <c r="BR111" s="518" t="str">
        <f>IF(AND(_AC4="A-319",'2023'!$F$4="FO",'2023'!$F$2=BR81),'2023DATA'!$M$32,"")</f>
        <v/>
      </c>
      <c r="BS111" s="520" t="str">
        <f>IF(AND(_AC4="A-319",'2023'!$F$4="FO",'2023'!$F$2=BS81),'2023DATA'!$N$32,"")</f>
        <v/>
      </c>
      <c r="BT111" s="940"/>
      <c r="BU111" s="13" t="s">
        <v>62</v>
      </c>
      <c r="BV111" s="518" t="str">
        <f>IF(AND(_AC5="A-319",'2023'!$F$4="FO",'2023'!$F$2=BV81),'2023DATA'!$C$32,"")</f>
        <v/>
      </c>
      <c r="BW111" s="518" t="str">
        <f>IF(AND(_AC5="A-319",'2023'!$F$4="FO",'2023'!$F$2=BW81),'2023DATA'!$D$32,"")</f>
        <v/>
      </c>
      <c r="BX111" s="518" t="str">
        <f>IF(AND(_AC5="A-319",'2023'!$F$4="FO",'2023'!$F$2=BX81),'2023DATA'!$E$32,"")</f>
        <v/>
      </c>
      <c r="BY111" s="518" t="str">
        <f>IF(AND(_AC5="A-319",'2023'!$F$4="FO",'2023'!$F$2=BY81),'2023DATA'!$F$32,"")</f>
        <v/>
      </c>
      <c r="BZ111" s="518" t="str">
        <f>IF(AND(_AC5="A-319",'2023'!$F$4="FO",'2023'!$F$2=BZ81),'2023DATA'!$G$32,"")</f>
        <v/>
      </c>
      <c r="CA111" s="518" t="str">
        <f>IF(AND(_AC5="A-319",'2023'!$F$4="FO",'2023'!$F$2=CA81),'2023DATA'!$H$32,"")</f>
        <v/>
      </c>
      <c r="CB111" s="518" t="str">
        <f>IF(AND(_AC5="A-319",'2023'!$F$4="FO",'2023'!$F$2=CB81),'2023DATA'!$I$32,"")</f>
        <v/>
      </c>
      <c r="CC111" s="518" t="str">
        <f>IF(AND(_AC5="A-319",'2023'!$F$4="FO",'2023'!$F$2=CC81),'2023DATA'!$J$32,"")</f>
        <v/>
      </c>
      <c r="CD111" s="518" t="str">
        <f>IF(AND(_AC5="A-319",'2023'!$F$4="FO",'2023'!$F$2=CD81),'2023DATA'!$K$32,"")</f>
        <v/>
      </c>
      <c r="CE111" s="518" t="str">
        <f>IF(AND(_AC5="A-319",'2023'!$F$4="FO",'2023'!$F$2=CE81),'2023DATA'!$L$32,"")</f>
        <v/>
      </c>
      <c r="CF111" s="518" t="str">
        <f>IF(AND(_AC5="A-319",'2023'!$F$4="FO",'2023'!$F$2=CF81),'2023DATA'!$M$32,"")</f>
        <v/>
      </c>
      <c r="CG111" s="520" t="str">
        <f>IF(AND(_AC5="A-319",'2023'!$F$4="FO",'2023'!$F$2=CG81),'2023DATA'!$N$32,"")</f>
        <v/>
      </c>
      <c r="CH111" s="940"/>
      <c r="CI111" s="13" t="s">
        <v>62</v>
      </c>
      <c r="CJ111" s="518" t="str">
        <f>IF(AND(_AC6="A-319",'2023'!$F$4="FO",'2023'!$F$2=CJ81),'2023DATA'!$C$32,"")</f>
        <v/>
      </c>
      <c r="CK111" s="518" t="str">
        <f>IF(AND(_AC6="A-319",'2023'!$F$4="FO",'2023'!$F$2=CK81),'2023DATA'!$D$32,"")</f>
        <v/>
      </c>
      <c r="CL111" s="518" t="str">
        <f>IF(AND(_AC6="A-319",'2023'!$F$4="FO",'2023'!$F$2=CL81),'2023DATA'!$E$32,"")</f>
        <v/>
      </c>
      <c r="CM111" s="518" t="str">
        <f>IF(AND(_AC6="A-319",'2023'!$F$4="FO",'2023'!$F$2=CM81),'2023DATA'!$F$32,"")</f>
        <v/>
      </c>
      <c r="CN111" s="518" t="str">
        <f>IF(AND(_AC6="A-319",'2023'!$F$4="FO",'2023'!$F$2=CN81),'2023DATA'!$G$32,"")</f>
        <v/>
      </c>
      <c r="CO111" s="518" t="str">
        <f>IF(AND(_AC6="A-319",'2023'!$F$4="FO",'2023'!$F$2=CO81),'2023DATA'!$H$32,"")</f>
        <v/>
      </c>
      <c r="CP111" s="518" t="str">
        <f>IF(AND(_AC6="A-319",'2023'!$F$4="FO",'2023'!$F$2=CP81),'2023DATA'!$I$32,"")</f>
        <v/>
      </c>
      <c r="CQ111" s="518" t="str">
        <f>IF(AND(_AC6="A-319",'2023'!$F$4="FO",'2023'!$F$2=CQ81),'2023DATA'!$J$32,"")</f>
        <v/>
      </c>
      <c r="CR111" s="518" t="str">
        <f>IF(AND(_AC6="A-319",'2023'!$F$4="FO",'2023'!$F$2=CR81),'2023DATA'!$K$32,"")</f>
        <v/>
      </c>
      <c r="CS111" s="518" t="str">
        <f>IF(AND(_AC6="A-319",'2023'!$F$4="FO",'2023'!$F$2=CS81),'2023DATA'!$L$32,"")</f>
        <v/>
      </c>
      <c r="CT111" s="518" t="str">
        <f>IF(AND(_AC6="A-319",'2023'!$F$4="FO",'2023'!$F$2=CT81),'2023DATA'!$M$32,"")</f>
        <v/>
      </c>
      <c r="CU111" s="520" t="str">
        <f>IF(AND(_AC6="A-319",'2023'!$F$4="FO",'2023'!$F$2=CU81),'2023DATA'!$N$32,"")</f>
        <v/>
      </c>
    </row>
    <row r="112" spans="16:99" x14ac:dyDescent="0.25">
      <c r="P112" s="940" t="s">
        <v>51</v>
      </c>
      <c r="Q112" s="13" t="s">
        <v>61</v>
      </c>
      <c r="R112" s="518" t="str">
        <f>IF(AND(_AC1="A-220-300",'2023'!$F$4="CA",'2023'!$F$2=R81),'2023DATA'!$C$33,"")</f>
        <v/>
      </c>
      <c r="S112" s="518" t="str">
        <f>IF(AND(_AC1="A-220-300",'2023'!$F$4="CA",'2023'!$F$2=S81),'2023DATA'!$D$33,"")</f>
        <v/>
      </c>
      <c r="T112" s="518" t="str">
        <f>IF(AND(_AC1="A-220-300",'2023'!$F$4="CA",'2023'!$F$2=T81),'2023DATA'!$E$33,"")</f>
        <v/>
      </c>
      <c r="U112" s="518" t="str">
        <f>IF(AND(_AC1="A-220-300",'2023'!$F$4="CA",'2023'!$F$2=U81),'2023DATA'!$F$33,"")</f>
        <v/>
      </c>
      <c r="V112" s="518" t="str">
        <f>IF(AND(_AC1="A-220-300",'2023'!$F$4="CA",'2023'!$F$2=V81),'2023DATA'!$G$33,"")</f>
        <v/>
      </c>
      <c r="W112" s="518" t="str">
        <f>IF(AND(_AC1="A-220-300",'2023'!$F$4="CA",'2023'!$F$2=W81),'2023DATA'!$H$33,"")</f>
        <v/>
      </c>
      <c r="X112" s="518" t="str">
        <f>IF(AND(_AC1="A-220-300",'2023'!$F$4="CA",'2023'!$F$2=X81),'2023DATA'!$I$33,"")</f>
        <v/>
      </c>
      <c r="Y112" s="518" t="str">
        <f>IF(AND(_AC1="A-220-300",'2023'!$F$4="CA",'2023'!$F$2=Y81),'2023DATA'!$J$33,"")</f>
        <v/>
      </c>
      <c r="Z112" s="518" t="str">
        <f>IF(AND(_AC1="A-220-300",'2023'!$F$4="CA",'2023'!$F$2=Z81),'2023DATA'!$K$33,"")</f>
        <v/>
      </c>
      <c r="AA112" s="518" t="str">
        <f>IF(AND(_AC1="A-220-300",'2023'!$F$4="CA",'2023'!$F$2=AA81),'2023DATA'!$L$33,"")</f>
        <v/>
      </c>
      <c r="AB112" s="518" t="str">
        <f>IF(AND(_AC1="A-220-300",'2023'!$F$4="CA",'2023'!$F$2=AB81),'2023DATA'!$M$33,"")</f>
        <v/>
      </c>
      <c r="AC112" s="520" t="str">
        <f>IF(AND(_AC1="A-220-300",'2023'!$F$4="CA",'2023'!$F$2=AC81),'2023DATA'!$N$33,"")</f>
        <v/>
      </c>
      <c r="AD112" s="940" t="s">
        <v>51</v>
      </c>
      <c r="AE112" s="13" t="s">
        <v>61</v>
      </c>
      <c r="AF112" s="518" t="str">
        <f>IF(AND(_AC2="A-220-300",'2023'!$F$4="CA",'2023'!$F$2=AF81),'2023DATA'!$C$33,"")</f>
        <v/>
      </c>
      <c r="AG112" s="518" t="str">
        <f>IF(AND(_AC2="A-220-300",'2023'!$F$4="CA",'2023'!$F$2=AG81),'2023DATA'!$D$33,"")</f>
        <v/>
      </c>
      <c r="AH112" s="518" t="str">
        <f>IF(AND(_AC2="A-220-300",'2023'!$F$4="CA",'2023'!$F$2=AH81),'2023DATA'!$E$33,"")</f>
        <v/>
      </c>
      <c r="AI112" s="518" t="str">
        <f>IF(AND(_AC2="A-220-300",'2023'!$F$4="CA",'2023'!$F$2=AI81),'2023DATA'!$F$33,"")</f>
        <v/>
      </c>
      <c r="AJ112" s="518" t="str">
        <f>IF(AND(_AC2="A-220-300",'2023'!$F$4="CA",'2023'!$F$2=AJ81),'2023DATA'!$G$33,"")</f>
        <v/>
      </c>
      <c r="AK112" s="518" t="str">
        <f>IF(AND(_AC2="A-220-300",'2023'!$F$4="CA",'2023'!$F$2=AK81),'2023DATA'!$H$33,"")</f>
        <v/>
      </c>
      <c r="AL112" s="518" t="str">
        <f>IF(AND(_AC2="A-220-300",'2023'!$F$4="CA",'2023'!$F$2=AL81),'2023DATA'!$I$33,"")</f>
        <v/>
      </c>
      <c r="AM112" s="518" t="str">
        <f>IF(AND(_AC2="A-220-300",'2023'!$F$4="CA",'2023'!$F$2=AM81),'2023DATA'!$J$33,"")</f>
        <v/>
      </c>
      <c r="AN112" s="518" t="str">
        <f>IF(AND(_AC2="A-220-300",'2023'!$F$4="CA",'2023'!$F$2=AN81),'2023DATA'!$K$33,"")</f>
        <v/>
      </c>
      <c r="AO112" s="518" t="str">
        <f>IF(AND(_AC2="A-220-300",'2023'!$F$4="CA",'2023'!$F$2=AO81),'2023DATA'!$L$33,"")</f>
        <v/>
      </c>
      <c r="AP112" s="518" t="str">
        <f>IF(AND(_AC2="A-220-300",'2023'!$F$4="CA",'2023'!$F$2=AP81),'2023DATA'!$M$33,"")</f>
        <v/>
      </c>
      <c r="AQ112" s="520" t="str">
        <f>IF(AND(_AC2="A-220-300",'2023'!$F$4="CA",'2023'!$F$2=AQ81),'2023DATA'!$N$33,"")</f>
        <v/>
      </c>
      <c r="AR112" s="940" t="s">
        <v>51</v>
      </c>
      <c r="AS112" s="13" t="s">
        <v>61</v>
      </c>
      <c r="AT112" s="518" t="str">
        <f>IF(AND(_AC3="A-220-300",'2023'!$F$4="CA",'2023'!$F$2=AT81),'2023DATA'!$C$33,"")</f>
        <v/>
      </c>
      <c r="AU112" s="518" t="str">
        <f>IF(AND(_AC3="A-220-300",'2023'!$F$4="CA",'2023'!$F$2=AU81),'2023DATA'!$D$33,"")</f>
        <v/>
      </c>
      <c r="AV112" s="518" t="str">
        <f>IF(AND(_AC3="A-220-300",'2023'!$F$4="CA",'2023'!$F$2=AV81),'2023DATA'!$E$33,"")</f>
        <v/>
      </c>
      <c r="AW112" s="518" t="str">
        <f>IF(AND(_AC3="A-220-300",'2023'!$F$4="CA",'2023'!$F$2=AW81),'2023DATA'!$F$33,"")</f>
        <v/>
      </c>
      <c r="AX112" s="518" t="str">
        <f>IF(AND(_AC3="A-220-300",'2023'!$F$4="CA",'2023'!$F$2=AX81),'2023DATA'!$G$33,"")</f>
        <v/>
      </c>
      <c r="AY112" s="518" t="str">
        <f>IF(AND(_AC3="A-220-300",'2023'!$F$4="CA",'2023'!$F$2=AY81),'2023DATA'!$H$33,"")</f>
        <v/>
      </c>
      <c r="AZ112" s="518" t="str">
        <f>IF(AND(_AC3="A-220-300",'2023'!$F$4="CA",'2023'!$F$2=AZ81),'2023DATA'!$I$33,"")</f>
        <v/>
      </c>
      <c r="BA112" s="518" t="str">
        <f>IF(AND(_AC3="A-220-300",'2023'!$F$4="CA",'2023'!$F$2=BA81),'2023DATA'!$J$33,"")</f>
        <v/>
      </c>
      <c r="BB112" s="518" t="str">
        <f>IF(AND(_AC3="A-220-300",'2023'!$F$4="CA",'2023'!$F$2=BB81),'2023DATA'!$K$33,"")</f>
        <v/>
      </c>
      <c r="BC112" s="518" t="str">
        <f>IF(AND(_AC3="A-220-300",'2023'!$F$4="CA",'2023'!$F$2=BC81),'2023DATA'!$L$33,"")</f>
        <v/>
      </c>
      <c r="BD112" s="518" t="str">
        <f>IF(AND(_AC3="A-220-300",'2023'!$F$4="CA",'2023'!$F$2=BD81),'2023DATA'!$M$33,"")</f>
        <v/>
      </c>
      <c r="BE112" s="520" t="str">
        <f>IF(AND(_AC3="A-220-300",'2023'!$F$4="CA",'2023'!$F$2=BE81),'2023DATA'!$N$33,"")</f>
        <v/>
      </c>
      <c r="BF112" s="940" t="s">
        <v>51</v>
      </c>
      <c r="BG112" s="13" t="s">
        <v>61</v>
      </c>
      <c r="BH112" s="518" t="str">
        <f>IF(AND(_AC4="A-220-300",'2023'!$F$4="CA",'2023'!$F$2=BH81),'2023DATA'!$C$33,"")</f>
        <v/>
      </c>
      <c r="BI112" s="518" t="str">
        <f>IF(AND(_AC4="A-220-300",'2023'!$F$4="CA",'2023'!$F$2=BI81),'2023DATA'!$D$33,"")</f>
        <v/>
      </c>
      <c r="BJ112" s="518" t="str">
        <f>IF(AND(_AC4="A-220-300",'2023'!$F$4="CA",'2023'!$F$2=BJ81),'2023DATA'!$E$33,"")</f>
        <v/>
      </c>
      <c r="BK112" s="518" t="str">
        <f>IF(AND(_AC4="A-220-300",'2023'!$F$4="CA",'2023'!$F$2=BK81),'2023DATA'!$F$33,"")</f>
        <v/>
      </c>
      <c r="BL112" s="518" t="str">
        <f>IF(AND(_AC4="A-220-300",'2023'!$F$4="CA",'2023'!$F$2=BL81),'2023DATA'!$G$33,"")</f>
        <v/>
      </c>
      <c r="BM112" s="518" t="str">
        <f>IF(AND(_AC4="A-220-300",'2023'!$F$4="CA",'2023'!$F$2=BM81),'2023DATA'!$H$33,"")</f>
        <v/>
      </c>
      <c r="BN112" s="518" t="str">
        <f>IF(AND(_AC4="A-220-300",'2023'!$F$4="CA",'2023'!$F$2=BN81),'2023DATA'!$I$33,"")</f>
        <v/>
      </c>
      <c r="BO112" s="518" t="str">
        <f>IF(AND(_AC4="A-220-300",'2023'!$F$4="CA",'2023'!$F$2=BO81),'2023DATA'!$J$33,"")</f>
        <v/>
      </c>
      <c r="BP112" s="518" t="str">
        <f>IF(AND(_AC4="A-220-300",'2023'!$F$4="CA",'2023'!$F$2=BP81),'2023DATA'!$K$33,"")</f>
        <v/>
      </c>
      <c r="BQ112" s="518" t="str">
        <f>IF(AND(_AC4="A-220-300",'2023'!$F$4="CA",'2023'!$F$2=BQ81),'2023DATA'!$L$33,"")</f>
        <v/>
      </c>
      <c r="BR112" s="518" t="str">
        <f>IF(AND(_AC4="A-220-300",'2023'!$F$4="CA",'2023'!$F$2=BR81),'2023DATA'!$M$33,"")</f>
        <v/>
      </c>
      <c r="BS112" s="520" t="str">
        <f>IF(AND(_AC4="A-220-300",'2023'!$F$4="CA",'2023'!$F$2=BS81),'2023DATA'!$N$33,"")</f>
        <v/>
      </c>
      <c r="BT112" s="940" t="s">
        <v>51</v>
      </c>
      <c r="BU112" s="13" t="s">
        <v>61</v>
      </c>
      <c r="BV112" s="518" t="str">
        <f>IF(AND(_AC5="A-220-300",'2023'!$F$4="CA",'2023'!$F$2=BV81),'2023DATA'!$C$33,"")</f>
        <v/>
      </c>
      <c r="BW112" s="518" t="str">
        <f>IF(AND(_AC5="A-220-300",'2023'!$F$4="CA",'2023'!$F$2=BW81),'2023DATA'!$D$33,"")</f>
        <v/>
      </c>
      <c r="BX112" s="518" t="str">
        <f>IF(AND(_AC5="A-220-300",'2023'!$F$4="CA",'2023'!$F$2=BX81),'2023DATA'!$E$33,"")</f>
        <v/>
      </c>
      <c r="BY112" s="518" t="str">
        <f>IF(AND(_AC5="A-220-300",'2023'!$F$4="CA",'2023'!$F$2=BY81),'2023DATA'!$F$33,"")</f>
        <v/>
      </c>
      <c r="BZ112" s="518" t="str">
        <f>IF(AND(_AC5="A-220-300",'2023'!$F$4="CA",'2023'!$F$2=BZ81),'2023DATA'!$G$33,"")</f>
        <v/>
      </c>
      <c r="CA112" s="518" t="str">
        <f>IF(AND(_AC5="A-220-300",'2023'!$F$4="CA",'2023'!$F$2=CA81),'2023DATA'!$H$33,"")</f>
        <v/>
      </c>
      <c r="CB112" s="518" t="str">
        <f>IF(AND(_AC5="A-220-300",'2023'!$F$4="CA",'2023'!$F$2=CB81),'2023DATA'!$I$33,"")</f>
        <v/>
      </c>
      <c r="CC112" s="518" t="str">
        <f>IF(AND(_AC5="A-220-300",'2023'!$F$4="CA",'2023'!$F$2=CC81),'2023DATA'!$J$33,"")</f>
        <v/>
      </c>
      <c r="CD112" s="518" t="str">
        <f>IF(AND(_AC5="A-220-300",'2023'!$F$4="CA",'2023'!$F$2=CD81),'2023DATA'!$K$33,"")</f>
        <v/>
      </c>
      <c r="CE112" s="518" t="str">
        <f>IF(AND(_AC5="A-220-300",'2023'!$F$4="CA",'2023'!$F$2=CE81),'2023DATA'!$L$33,"")</f>
        <v/>
      </c>
      <c r="CF112" s="518" t="str">
        <f>IF(AND(_AC5="A-220-300",'2023'!$F$4="CA",'2023'!$F$2=CF81),'2023DATA'!$M$33,"")</f>
        <v/>
      </c>
      <c r="CG112" s="520" t="str">
        <f>IF(AND(_AC5="A-220-300",'2023'!$F$4="CA",'2023'!$F$2=CG81),'2023DATA'!$N$33,"")</f>
        <v/>
      </c>
      <c r="CH112" s="940" t="s">
        <v>51</v>
      </c>
      <c r="CI112" s="13" t="s">
        <v>61</v>
      </c>
      <c r="CJ112" s="518" t="str">
        <f>IF(AND(_AC6="A-220-300",'2023'!$F$4="CA",'2023'!$F$2=CJ81),'2023DATA'!$C$33,"")</f>
        <v/>
      </c>
      <c r="CK112" s="518" t="str">
        <f>IF(AND(_AC6="A-220-300",'2023'!$F$4="CA",'2023'!$F$2=CK81),'2023DATA'!$D$33,"")</f>
        <v/>
      </c>
      <c r="CL112" s="518" t="str">
        <f>IF(AND(_AC6="A-220-300",'2023'!$F$4="CA",'2023'!$F$2=CL81),'2023DATA'!$E$33,"")</f>
        <v/>
      </c>
      <c r="CM112" s="518" t="str">
        <f>IF(AND(_AC6="A-220-300",'2023'!$F$4="CA",'2023'!$F$2=CM81),'2023DATA'!$F$33,"")</f>
        <v/>
      </c>
      <c r="CN112" s="518" t="str">
        <f>IF(AND(_AC6="A-220-300",'2023'!$F$4="CA",'2023'!$F$2=CN81),'2023DATA'!$G$33,"")</f>
        <v/>
      </c>
      <c r="CO112" s="518" t="str">
        <f>IF(AND(_AC6="A-220-300",'2023'!$F$4="CA",'2023'!$F$2=CO81),'2023DATA'!$H$33,"")</f>
        <v/>
      </c>
      <c r="CP112" s="518" t="str">
        <f>IF(AND(_AC6="A-220-300",'2023'!$F$4="CA",'2023'!$F$2=CP81),'2023DATA'!$I$33,"")</f>
        <v/>
      </c>
      <c r="CQ112" s="518" t="str">
        <f>IF(AND(_AC6="A-220-300",'2023'!$F$4="CA",'2023'!$F$2=CQ81),'2023DATA'!$J$33,"")</f>
        <v/>
      </c>
      <c r="CR112" s="518" t="str">
        <f>IF(AND(_AC6="A-220-300",'2023'!$F$4="CA",'2023'!$F$2=CR81),'2023DATA'!$K$33,"")</f>
        <v/>
      </c>
      <c r="CS112" s="518" t="str">
        <f>IF(AND(_AC6="A-220-300",'2023'!$F$4="CA",'2023'!$F$2=CS81),'2023DATA'!$L$33,"")</f>
        <v/>
      </c>
      <c r="CT112" s="518" t="str">
        <f>IF(AND(_AC6="A-220-300",'2023'!$F$4="CA",'2023'!$F$2=CT81),'2023DATA'!$M$33,"")</f>
        <v/>
      </c>
      <c r="CU112" s="520" t="str">
        <f>IF(AND(_AC6="A-220-300",'2023'!$F$4="CA",'2023'!$F$2=CU81),'2023DATA'!$N$33,"")</f>
        <v/>
      </c>
    </row>
    <row r="113" spans="16:99" x14ac:dyDescent="0.25">
      <c r="P113" s="940"/>
      <c r="Q113" s="13" t="s">
        <v>62</v>
      </c>
      <c r="R113" s="518" t="str">
        <f>IF(AND(_AC1="A-220-300",'2023'!$F$4="FO",'2023'!$F$2=R81),'2023DATA'!$C$34,"")</f>
        <v/>
      </c>
      <c r="S113" s="518" t="str">
        <f>IF(AND(_AC1="A-220-300",'2023'!$F$4="FO",'2023'!$F$2=S81),'2023DATA'!$D$34,"")</f>
        <v/>
      </c>
      <c r="T113" s="518" t="str">
        <f>IF(AND(_AC1="A-220-300",'2023'!$F$4="FO",'2023'!$F$2=T81),'2023DATA'!$E$34,"")</f>
        <v/>
      </c>
      <c r="U113" s="518" t="str">
        <f>IF(AND(_AC1="A-220-300",'2023'!$F$4="FO",'2023'!$F$2=U81),'2023DATA'!$F$34,"")</f>
        <v/>
      </c>
      <c r="V113" s="518" t="str">
        <f>IF(AND(_AC1="A-220-300",'2023'!$F$4="FO",'2023'!$F$2=V81),'2023DATA'!$G$34,"")</f>
        <v/>
      </c>
      <c r="W113" s="518" t="str">
        <f>IF(AND(_AC1="A-220-300",'2023'!$F$4="FO",'2023'!$F$2=W81),'2023DATA'!$H$34,"")</f>
        <v/>
      </c>
      <c r="X113" s="518" t="str">
        <f>IF(AND(_AC1="A-220-300",'2023'!$F$4="FO",'2023'!$F$2=X81),'2023DATA'!$I$34,"")</f>
        <v/>
      </c>
      <c r="Y113" s="518" t="str">
        <f>IF(AND(_AC1="A-220-300",'2023'!$F$4="FO",'2023'!$F$2=Y81),'2023DATA'!$J$34,"")</f>
        <v/>
      </c>
      <c r="Z113" s="518" t="str">
        <f>IF(AND(_AC1="A-220-300",'2023'!$F$4="FO",'2023'!$F$2=Z81),'2023DATA'!$K$34,"")</f>
        <v/>
      </c>
      <c r="AA113" s="518" t="str">
        <f>IF(AND(_AC1="A-220-300",'2023'!$F$4="FO",'2023'!$F$2=AA81),'2023DATA'!$L$34,"")</f>
        <v/>
      </c>
      <c r="AB113" s="518" t="str">
        <f>IF(AND(_AC1="A-220-300",'2023'!$F$4="FO",'2023'!$F$2=AB81),'2023DATA'!$M$34,"")</f>
        <v/>
      </c>
      <c r="AC113" s="520" t="str">
        <f>IF(AND(_AC1="A-220-300",'2023'!$F$4="FO",'2023'!$F$2=AC81),'2023DATA'!$N$34,"")</f>
        <v/>
      </c>
      <c r="AD113" s="940"/>
      <c r="AE113" s="13" t="s">
        <v>62</v>
      </c>
      <c r="AF113" s="518" t="str">
        <f>IF(AND(_AC2="A-220-300",'2023'!$F$4="FO",'2023'!$F$2=AF81),'2023DATA'!$C$34,"")</f>
        <v/>
      </c>
      <c r="AG113" s="518" t="str">
        <f>IF(AND(_AC2="A-220-300",'2023'!$F$4="FO",'2023'!$F$2=AG81),'2023DATA'!$D$34,"")</f>
        <v/>
      </c>
      <c r="AH113" s="518" t="str">
        <f>IF(AND(_AC2="A-220-300",'2023'!$F$4="FO",'2023'!$F$2=AH81),'2023DATA'!$E$34,"")</f>
        <v/>
      </c>
      <c r="AI113" s="518" t="str">
        <f>IF(AND(_AC2="A-220-300",'2023'!$F$4="FO",'2023'!$F$2=AI81),'2023DATA'!$F$34,"")</f>
        <v/>
      </c>
      <c r="AJ113" s="518" t="str">
        <f>IF(AND(_AC2="A-220-300",'2023'!$F$4="FO",'2023'!$F$2=AJ81),'2023DATA'!$G$34,"")</f>
        <v/>
      </c>
      <c r="AK113" s="518" t="str">
        <f>IF(AND(_AC2="A-220-300",'2023'!$F$4="FO",'2023'!$F$2=AK81),'2023DATA'!$H$34,"")</f>
        <v/>
      </c>
      <c r="AL113" s="518" t="str">
        <f>IF(AND(_AC2="A-220-300",'2023'!$F$4="FO",'2023'!$F$2=AL81),'2023DATA'!$I$34,"")</f>
        <v/>
      </c>
      <c r="AM113" s="518" t="str">
        <f>IF(AND(_AC2="A-220-300",'2023'!$F$4="FO",'2023'!$F$2=AM81),'2023DATA'!$J$34,"")</f>
        <v/>
      </c>
      <c r="AN113" s="518" t="str">
        <f>IF(AND(_AC2="A-220-300",'2023'!$F$4="FO",'2023'!$F$2=AN81),'2023DATA'!$K$34,"")</f>
        <v/>
      </c>
      <c r="AO113" s="518" t="str">
        <f>IF(AND(_AC2="A-220-300",'2023'!$F$4="FO",'2023'!$F$2=AO81),'2023DATA'!$L$34,"")</f>
        <v/>
      </c>
      <c r="AP113" s="518" t="str">
        <f>IF(AND(_AC2="A-220-300",'2023'!$F$4="FO",'2023'!$F$2=AP81),'2023DATA'!$M$34,"")</f>
        <v/>
      </c>
      <c r="AQ113" s="520" t="str">
        <f>IF(AND(_AC2="A-220-300",'2023'!$F$4="FO",'2023'!$F$2=AQ81),'2023DATA'!$N$34,"")</f>
        <v/>
      </c>
      <c r="AR113" s="940"/>
      <c r="AS113" s="13" t="s">
        <v>62</v>
      </c>
      <c r="AT113" s="518" t="str">
        <f>IF(AND(_AC3="A-220-300",'2023'!$F$4="FO",'2023'!$F$2=AT81),'2023DATA'!$C$34,"")</f>
        <v/>
      </c>
      <c r="AU113" s="518" t="str">
        <f>IF(AND(_AC3="A-220-300",'2023'!$F$4="FO",'2023'!$F$2=AU81),'2023DATA'!$D$34,"")</f>
        <v/>
      </c>
      <c r="AV113" s="518" t="str">
        <f>IF(AND(_AC3="A-220-300",'2023'!$F$4="FO",'2023'!$F$2=AV81),'2023DATA'!$E$34,"")</f>
        <v/>
      </c>
      <c r="AW113" s="518" t="str">
        <f>IF(AND(_AC3="A-220-300",'2023'!$F$4="FO",'2023'!$F$2=AW81),'2023DATA'!$F$34,"")</f>
        <v/>
      </c>
      <c r="AX113" s="518" t="str">
        <f>IF(AND(_AC3="A-220-300",'2023'!$F$4="FO",'2023'!$F$2=AX81),'2023DATA'!$G$34,"")</f>
        <v/>
      </c>
      <c r="AY113" s="518" t="str">
        <f>IF(AND(_AC3="A-220-300",'2023'!$F$4="FO",'2023'!$F$2=AY81),'2023DATA'!$H$34,"")</f>
        <v/>
      </c>
      <c r="AZ113" s="518" t="str">
        <f>IF(AND(_AC3="A-220-300",'2023'!$F$4="FO",'2023'!$F$2=AZ81),'2023DATA'!$I$34,"")</f>
        <v/>
      </c>
      <c r="BA113" s="518" t="str">
        <f>IF(AND(_AC3="A-220-300",'2023'!$F$4="FO",'2023'!$F$2=BA81),'2023DATA'!$J$34,"")</f>
        <v/>
      </c>
      <c r="BB113" s="518" t="str">
        <f>IF(AND(_AC3="A-220-300",'2023'!$F$4="FO",'2023'!$F$2=BB81),'2023DATA'!$K$34,"")</f>
        <v/>
      </c>
      <c r="BC113" s="518" t="str">
        <f>IF(AND(_AC3="A-220-300",'2023'!$F$4="FO",'2023'!$F$2=BC81),'2023DATA'!$L$34,"")</f>
        <v/>
      </c>
      <c r="BD113" s="518" t="str">
        <f>IF(AND(_AC3="A-220-300",'2023'!$F$4="FO",'2023'!$F$2=BD81),'2023DATA'!$M$34,"")</f>
        <v/>
      </c>
      <c r="BE113" s="520" t="str">
        <f>IF(AND(_AC3="A-220-300",'2023'!$F$4="FO",'2023'!$F$2=BE81),'2023DATA'!$N$34,"")</f>
        <v/>
      </c>
      <c r="BF113" s="940"/>
      <c r="BG113" s="13" t="s">
        <v>62</v>
      </c>
      <c r="BH113" s="518" t="str">
        <f>IF(AND(_AC4="A-220-300",'2023'!$F$4="FO",'2023'!$F$2=BH81),'2023DATA'!$C$34,"")</f>
        <v/>
      </c>
      <c r="BI113" s="518" t="str">
        <f>IF(AND(_AC4="A-220-300",'2023'!$F$4="FO",'2023'!$F$2=BI81),'2023DATA'!$D$34,"")</f>
        <v/>
      </c>
      <c r="BJ113" s="518" t="str">
        <f>IF(AND(_AC4="A-220-300",'2023'!$F$4="FO",'2023'!$F$2=BJ81),'2023DATA'!$E$34,"")</f>
        <v/>
      </c>
      <c r="BK113" s="518" t="str">
        <f>IF(AND(_AC4="A-220-300",'2023'!$F$4="FO",'2023'!$F$2=BK81),'2023DATA'!$F$34,"")</f>
        <v/>
      </c>
      <c r="BL113" s="518" t="str">
        <f>IF(AND(_AC4="A-220-300",'2023'!$F$4="FO",'2023'!$F$2=BL81),'2023DATA'!$G$34,"")</f>
        <v/>
      </c>
      <c r="BM113" s="518" t="str">
        <f>IF(AND(_AC4="A-220-300",'2023'!$F$4="FO",'2023'!$F$2=BM81),'2023DATA'!$H$34,"")</f>
        <v/>
      </c>
      <c r="BN113" s="518" t="str">
        <f>IF(AND(_AC4="A-220-300",'2023'!$F$4="FO",'2023'!$F$2=BN81),'2023DATA'!$I$34,"")</f>
        <v/>
      </c>
      <c r="BO113" s="518" t="str">
        <f>IF(AND(_AC4="A-220-300",'2023'!$F$4="FO",'2023'!$F$2=BO81),'2023DATA'!$J$34,"")</f>
        <v/>
      </c>
      <c r="BP113" s="518" t="str">
        <f>IF(AND(_AC4="A-220-300",'2023'!$F$4="FO",'2023'!$F$2=BP81),'2023DATA'!$K$34,"")</f>
        <v/>
      </c>
      <c r="BQ113" s="518" t="str">
        <f>IF(AND(_AC4="A-220-300",'2023'!$F$4="FO",'2023'!$F$2=BQ81),'2023DATA'!$L$34,"")</f>
        <v/>
      </c>
      <c r="BR113" s="518" t="str">
        <f>IF(AND(_AC4="A-220-300",'2023'!$F$4="FO",'2023'!$F$2=BR81),'2023DATA'!$M$34,"")</f>
        <v/>
      </c>
      <c r="BS113" s="520" t="str">
        <f>IF(AND(_AC4="A-220-300",'2023'!$F$4="FO",'2023'!$F$2=BS81),'2023DATA'!$N$34,"")</f>
        <v/>
      </c>
      <c r="BT113" s="940"/>
      <c r="BU113" s="13" t="s">
        <v>62</v>
      </c>
      <c r="BV113" s="518" t="str">
        <f>IF(AND(_AC5="A-220-300",'2023'!$F$4="FO",'2023'!$F$2=BV81),'2023DATA'!$C$34,"")</f>
        <v/>
      </c>
      <c r="BW113" s="518" t="str">
        <f>IF(AND(_AC5="A-220-300",'2023'!$F$4="FO",'2023'!$F$2=BW81),'2023DATA'!$D$34,"")</f>
        <v/>
      </c>
      <c r="BX113" s="518" t="str">
        <f>IF(AND(_AC5="A-220-300",'2023'!$F$4="FO",'2023'!$F$2=BX81),'2023DATA'!$E$34,"")</f>
        <v/>
      </c>
      <c r="BY113" s="518" t="str">
        <f>IF(AND(_AC5="A-220-300",'2023'!$F$4="FO",'2023'!$F$2=BY81),'2023DATA'!$F$34,"")</f>
        <v/>
      </c>
      <c r="BZ113" s="518" t="str">
        <f>IF(AND(_AC5="A-220-300",'2023'!$F$4="FO",'2023'!$F$2=BZ81),'2023DATA'!$G$34,"")</f>
        <v/>
      </c>
      <c r="CA113" s="518" t="str">
        <f>IF(AND(_AC5="A-220-300",'2023'!$F$4="FO",'2023'!$F$2=CA81),'2023DATA'!$H$34,"")</f>
        <v/>
      </c>
      <c r="CB113" s="518" t="str">
        <f>IF(AND(_AC5="A-220-300",'2023'!$F$4="FO",'2023'!$F$2=CB81),'2023DATA'!$I$34,"")</f>
        <v/>
      </c>
      <c r="CC113" s="518" t="str">
        <f>IF(AND(_AC5="A-220-300",'2023'!$F$4="FO",'2023'!$F$2=CC81),'2023DATA'!$J$34,"")</f>
        <v/>
      </c>
      <c r="CD113" s="518" t="str">
        <f>IF(AND(_AC5="A-220-300",'2023'!$F$4="FO",'2023'!$F$2=CD81),'2023DATA'!$K$34,"")</f>
        <v/>
      </c>
      <c r="CE113" s="518" t="str">
        <f>IF(AND(_AC5="A-220-300",'2023'!$F$4="FO",'2023'!$F$2=CE81),'2023DATA'!$L$34,"")</f>
        <v/>
      </c>
      <c r="CF113" s="518" t="str">
        <f>IF(AND(_AC5="A-220-300",'2023'!$F$4="FO",'2023'!$F$2=CF81),'2023DATA'!$M$34,"")</f>
        <v/>
      </c>
      <c r="CG113" s="520" t="str">
        <f>IF(AND(_AC5="A-220-300",'2023'!$F$4="FO",'2023'!$F$2=CG81),'2023DATA'!$N$34,"")</f>
        <v/>
      </c>
      <c r="CH113" s="940"/>
      <c r="CI113" s="13" t="s">
        <v>62</v>
      </c>
      <c r="CJ113" s="518" t="str">
        <f>IF(AND(_AC6="A-220-300",'2023'!$F$4="FO",'2023'!$F$2=CJ81),'2023DATA'!$C$34,"")</f>
        <v/>
      </c>
      <c r="CK113" s="518" t="str">
        <f>IF(AND(_AC6="A-220-300",'2023'!$F$4="FO",'2023'!$F$2=CK81),'2023DATA'!$D$34,"")</f>
        <v/>
      </c>
      <c r="CL113" s="518" t="str">
        <f>IF(AND(_AC6="A-220-300",'2023'!$F$4="FO",'2023'!$F$2=CL81),'2023DATA'!$E$34,"")</f>
        <v/>
      </c>
      <c r="CM113" s="518" t="str">
        <f>IF(AND(_AC6="A-220-300",'2023'!$F$4="FO",'2023'!$F$2=CM81),'2023DATA'!$F$34,"")</f>
        <v/>
      </c>
      <c r="CN113" s="518" t="str">
        <f>IF(AND(_AC6="A-220-300",'2023'!$F$4="FO",'2023'!$F$2=CN81),'2023DATA'!$G$34,"")</f>
        <v/>
      </c>
      <c r="CO113" s="518" t="str">
        <f>IF(AND(_AC6="A-220-300",'2023'!$F$4="FO",'2023'!$F$2=CO81),'2023DATA'!$H$34,"")</f>
        <v/>
      </c>
      <c r="CP113" s="518" t="str">
        <f>IF(AND(_AC6="A-220-300",'2023'!$F$4="FO",'2023'!$F$2=CP81),'2023DATA'!$I$34,"")</f>
        <v/>
      </c>
      <c r="CQ113" s="518" t="str">
        <f>IF(AND(_AC6="A-220-300",'2023'!$F$4="FO",'2023'!$F$2=CQ81),'2023DATA'!$J$34,"")</f>
        <v/>
      </c>
      <c r="CR113" s="518" t="str">
        <f>IF(AND(_AC6="A-220-300",'2023'!$F$4="FO",'2023'!$F$2=CR81),'2023DATA'!$K$34,"")</f>
        <v/>
      </c>
      <c r="CS113" s="518" t="str">
        <f>IF(AND(_AC6="A-220-300",'2023'!$F$4="FO",'2023'!$F$2=CS81),'2023DATA'!$L$34,"")</f>
        <v/>
      </c>
      <c r="CT113" s="518" t="str">
        <f>IF(AND(_AC6="A-220-300",'2023'!$F$4="FO",'2023'!$F$2=CT81),'2023DATA'!$M$34,"")</f>
        <v/>
      </c>
      <c r="CU113" s="520" t="str">
        <f>IF(AND(_AC6="A-220-300",'2023'!$F$4="FO",'2023'!$F$2=CU81),'2023DATA'!$N$34,"")</f>
        <v/>
      </c>
    </row>
    <row r="114" spans="16:99" x14ac:dyDescent="0.25">
      <c r="P114" s="940" t="s">
        <v>52</v>
      </c>
      <c r="Q114" s="13" t="s">
        <v>61</v>
      </c>
      <c r="R114" s="518" t="str">
        <f>IF(AND(_AC1="A-220-100",'2023'!$F$4="CA",'2023'!$F$2=R81),'2023DATA'!$C$35,"")</f>
        <v/>
      </c>
      <c r="S114" s="518" t="str">
        <f>IF(AND(_AC1="A-220-100",'2023'!$F$4="CA",'2023'!$F$2=S81),'2023DATA'!$D$35,"")</f>
        <v/>
      </c>
      <c r="T114" s="518" t="str">
        <f>IF(AND(_AC1="A-220-100",'2023'!$F$4="CA",'2023'!$F$2=T81),'2023DATA'!$E$35,"")</f>
        <v/>
      </c>
      <c r="U114" s="518" t="str">
        <f>IF(AND(_AC1="A-220-100",'2023'!$F$4="CA",'2023'!$F$2=U81),'2023DATA'!$F$35,"")</f>
        <v/>
      </c>
      <c r="V114" s="518" t="str">
        <f>IF(AND(_AC1="A-220-100",'2023'!$F$4="CA",'2023'!$F$2=V81),'2023DATA'!$G$35,"")</f>
        <v/>
      </c>
      <c r="W114" s="518" t="str">
        <f>IF(AND(_AC1="A-220-100",'2023'!$F$4="CA",'2023'!$F$2=W81),'2023DATA'!$H$35,"")</f>
        <v/>
      </c>
      <c r="X114" s="518" t="str">
        <f>IF(AND(_AC1="A-220-100",'2023'!$F$4="CA",'2023'!$F$2=X81),'2023DATA'!$I$35,"")</f>
        <v/>
      </c>
      <c r="Y114" s="518" t="str">
        <f>IF(AND(_AC1="A-220-100",'2023'!$F$4="CA",'2023'!$F$2=Y81),'2023DATA'!$J$35,"")</f>
        <v/>
      </c>
      <c r="Z114" s="518" t="str">
        <f>IF(AND(_AC1="A-220-100",'2023'!$F$4="CA",'2023'!$F$2=Z81),'2023DATA'!$K$35,"")</f>
        <v/>
      </c>
      <c r="AA114" s="518" t="str">
        <f>IF(AND(_AC1="A-220-100",'2023'!$F$4="CA",'2023'!$F$2=AA81),'2023DATA'!$L$35,"")</f>
        <v/>
      </c>
      <c r="AB114" s="518" t="str">
        <f>IF(AND(_AC1="A-220-100",'2023'!$F$4="CA",'2023'!$F$2=AB81),'2023DATA'!$M$35,"")</f>
        <v/>
      </c>
      <c r="AC114" s="520" t="str">
        <f>IF(AND(_AC1="A-220-100",'2023'!$F$4="CA",'2023'!$F$2=AC81),'2023DATA'!$N$35,"")</f>
        <v/>
      </c>
      <c r="AD114" s="940" t="s">
        <v>52</v>
      </c>
      <c r="AE114" s="13" t="s">
        <v>61</v>
      </c>
      <c r="AF114" s="518" t="str">
        <f>IF(AND(_AC2="A-220-100",'2023'!$F$4="CA",'2023'!$F$2=AF81),'2023DATA'!$C$35,"")</f>
        <v/>
      </c>
      <c r="AG114" s="518" t="str">
        <f>IF(AND(_AC2="A-220-100",'2023'!$F$4="CA",'2023'!$F$2=AG81),'2023DATA'!$D$35,"")</f>
        <v/>
      </c>
      <c r="AH114" s="518" t="str">
        <f>IF(AND(_AC2="A-220-100",'2023'!$F$4="CA",'2023'!$F$2=AH81),'2023DATA'!$E$35,"")</f>
        <v/>
      </c>
      <c r="AI114" s="518" t="str">
        <f>IF(AND(_AC2="A-220-100",'2023'!$F$4="CA",'2023'!$F$2=AI81),'2023DATA'!$F$35,"")</f>
        <v/>
      </c>
      <c r="AJ114" s="518" t="str">
        <f>IF(AND(_AC2="A-220-100",'2023'!$F$4="CA",'2023'!$F$2=AJ81),'2023DATA'!$G$35,"")</f>
        <v/>
      </c>
      <c r="AK114" s="518" t="str">
        <f>IF(AND(_AC2="A-220-100",'2023'!$F$4="CA",'2023'!$F$2=AK81),'2023DATA'!$H$35,"")</f>
        <v/>
      </c>
      <c r="AL114" s="518" t="str">
        <f>IF(AND(_AC2="A-220-100",'2023'!$F$4="CA",'2023'!$F$2=AL81),'2023DATA'!$I$35,"")</f>
        <v/>
      </c>
      <c r="AM114" s="518" t="str">
        <f>IF(AND(_AC2="A-220-100",'2023'!$F$4="CA",'2023'!$F$2=AM81),'2023DATA'!$J$35,"")</f>
        <v/>
      </c>
      <c r="AN114" s="518" t="str">
        <f>IF(AND(_AC2="A-220-100",'2023'!$F$4="CA",'2023'!$F$2=AN81),'2023DATA'!$K$35,"")</f>
        <v/>
      </c>
      <c r="AO114" s="518" t="str">
        <f>IF(AND(_AC2="A-220-100",'2023'!$F$4="CA",'2023'!$F$2=AO81),'2023DATA'!$L$35,"")</f>
        <v/>
      </c>
      <c r="AP114" s="518" t="str">
        <f>IF(AND(_AC2="A-220-100",'2023'!$F$4="CA",'2023'!$F$2=AP81),'2023DATA'!$M$35,"")</f>
        <v/>
      </c>
      <c r="AQ114" s="520" t="str">
        <f>IF(AND(_AC2="A-220-100",'2023'!$F$4="CA",'2023'!$F$2=AQ81),'2023DATA'!$N$35,"")</f>
        <v/>
      </c>
      <c r="AR114" s="940" t="s">
        <v>52</v>
      </c>
      <c r="AS114" s="13" t="s">
        <v>61</v>
      </c>
      <c r="AT114" s="518" t="str">
        <f>IF(AND(_AC3="A-220-100",'2023'!$F$4="CA",'2023'!$F$2=AT81),'2023DATA'!$C$35,"")</f>
        <v/>
      </c>
      <c r="AU114" s="518" t="str">
        <f>IF(AND(_AC3="A-220-100",'2023'!$F$4="CA",'2023'!$F$2=AU81),'2023DATA'!$D$35,"")</f>
        <v/>
      </c>
      <c r="AV114" s="518" t="str">
        <f>IF(AND(_AC3="A-220-100",'2023'!$F$4="CA",'2023'!$F$2=AV81),'2023DATA'!$E$35,"")</f>
        <v/>
      </c>
      <c r="AW114" s="518" t="str">
        <f>IF(AND(_AC3="A-220-100",'2023'!$F$4="CA",'2023'!$F$2=AW81),'2023DATA'!$F$35,"")</f>
        <v/>
      </c>
      <c r="AX114" s="518" t="str">
        <f>IF(AND(_AC3="A-220-100",'2023'!$F$4="CA",'2023'!$F$2=AX81),'2023DATA'!$G$35,"")</f>
        <v/>
      </c>
      <c r="AY114" s="518" t="str">
        <f>IF(AND(_AC3="A-220-100",'2023'!$F$4="CA",'2023'!$F$2=AY81),'2023DATA'!$H$35,"")</f>
        <v/>
      </c>
      <c r="AZ114" s="518" t="str">
        <f>IF(AND(_AC3="A-220-100",'2023'!$F$4="CA",'2023'!$F$2=AZ81),'2023DATA'!$I$35,"")</f>
        <v/>
      </c>
      <c r="BA114" s="518" t="str">
        <f>IF(AND(_AC3="A-220-100",'2023'!$F$4="CA",'2023'!$F$2=BA81),'2023DATA'!$J$35,"")</f>
        <v/>
      </c>
      <c r="BB114" s="518" t="str">
        <f>IF(AND(_AC3="A-220-100",'2023'!$F$4="CA",'2023'!$F$2=BB81),'2023DATA'!$K$35,"")</f>
        <v/>
      </c>
      <c r="BC114" s="518" t="str">
        <f>IF(AND(_AC3="A-220-100",'2023'!$F$4="CA",'2023'!$F$2=BC81),'2023DATA'!$L$35,"")</f>
        <v/>
      </c>
      <c r="BD114" s="518" t="str">
        <f>IF(AND(_AC3="A-220-100",'2023'!$F$4="CA",'2023'!$F$2=BD81),'2023DATA'!$M$35,"")</f>
        <v/>
      </c>
      <c r="BE114" s="520" t="str">
        <f>IF(AND(_AC3="A-220-100",'2023'!$F$4="CA",'2023'!$F$2=BE81),'2023DATA'!$N$35,"")</f>
        <v/>
      </c>
      <c r="BF114" s="940" t="s">
        <v>52</v>
      </c>
      <c r="BG114" s="13" t="s">
        <v>61</v>
      </c>
      <c r="BH114" s="518" t="str">
        <f>IF(AND(_AC4="A-220-100",'2023'!$F$4="CA",'2023'!$F$2=BH81),'2023DATA'!$C$35,"")</f>
        <v/>
      </c>
      <c r="BI114" s="518" t="str">
        <f>IF(AND(_AC4="A-220-100",'2023'!$F$4="CA",'2023'!$F$2=BI81),'2023DATA'!$D$35,"")</f>
        <v/>
      </c>
      <c r="BJ114" s="518" t="str">
        <f>IF(AND(_AC4="A-220-100",'2023'!$F$4="CA",'2023'!$F$2=BJ81),'2023DATA'!$E$35,"")</f>
        <v/>
      </c>
      <c r="BK114" s="518" t="str">
        <f>IF(AND(_AC4="A-220-100",'2023'!$F$4="CA",'2023'!$F$2=BK81),'2023DATA'!$F$35,"")</f>
        <v/>
      </c>
      <c r="BL114" s="518" t="str">
        <f>IF(AND(_AC4="A-220-100",'2023'!$F$4="CA",'2023'!$F$2=BL81),'2023DATA'!$G$35,"")</f>
        <v/>
      </c>
      <c r="BM114" s="518" t="str">
        <f>IF(AND(_AC4="A-220-100",'2023'!$F$4="CA",'2023'!$F$2=BM81),'2023DATA'!$H$35,"")</f>
        <v/>
      </c>
      <c r="BN114" s="518" t="str">
        <f>IF(AND(_AC4="A-220-100",'2023'!$F$4="CA",'2023'!$F$2=BN81),'2023DATA'!$I$35,"")</f>
        <v/>
      </c>
      <c r="BO114" s="518" t="str">
        <f>IF(AND(_AC4="A-220-100",'2023'!$F$4="CA",'2023'!$F$2=BO81),'2023DATA'!$J$35,"")</f>
        <v/>
      </c>
      <c r="BP114" s="518" t="str">
        <f>IF(AND(_AC4="A-220-100",'2023'!$F$4="CA",'2023'!$F$2=BP81),'2023DATA'!$K$35,"")</f>
        <v/>
      </c>
      <c r="BQ114" s="518" t="str">
        <f>IF(AND(_AC4="A-220-100",'2023'!$F$4="CA",'2023'!$F$2=BQ81),'2023DATA'!$L$35,"")</f>
        <v/>
      </c>
      <c r="BR114" s="518" t="str">
        <f>IF(AND(_AC4="A-220-100",'2023'!$F$4="CA",'2023'!$F$2=BR81),'2023DATA'!$M$35,"")</f>
        <v/>
      </c>
      <c r="BS114" s="520" t="str">
        <f>IF(AND(_AC4="A-220-100",'2023'!$F$4="CA",'2023'!$F$2=BS81),'2023DATA'!$N$35,"")</f>
        <v/>
      </c>
      <c r="BT114" s="940" t="s">
        <v>52</v>
      </c>
      <c r="BU114" s="13" t="s">
        <v>61</v>
      </c>
      <c r="BV114" s="518" t="str">
        <f>IF(AND(_AC5="A-220-100",'2023'!$F$4="CA",'2023'!$F$2=BV81),'2023DATA'!$C$35,"")</f>
        <v/>
      </c>
      <c r="BW114" s="518" t="str">
        <f>IF(AND(_AC5="A-220-100",'2023'!$F$4="CA",'2023'!$F$2=BW81),'2023DATA'!$D$35,"")</f>
        <v/>
      </c>
      <c r="BX114" s="518" t="str">
        <f>IF(AND(_AC5="A-220-100",'2023'!$F$4="CA",'2023'!$F$2=BX81),'2023DATA'!$E$35,"")</f>
        <v/>
      </c>
      <c r="BY114" s="518" t="str">
        <f>IF(AND(_AC5="A-220-100",'2023'!$F$4="CA",'2023'!$F$2=BY81),'2023DATA'!$F$35,"")</f>
        <v/>
      </c>
      <c r="BZ114" s="518" t="str">
        <f>IF(AND(_AC5="A-220-100",'2023'!$F$4="CA",'2023'!$F$2=BZ81),'2023DATA'!$G$35,"")</f>
        <v/>
      </c>
      <c r="CA114" s="518" t="str">
        <f>IF(AND(_AC5="A-220-100",'2023'!$F$4="CA",'2023'!$F$2=CA81),'2023DATA'!$H$35,"")</f>
        <v/>
      </c>
      <c r="CB114" s="518" t="str">
        <f>IF(AND(_AC5="A-220-100",'2023'!$F$4="CA",'2023'!$F$2=CB81),'2023DATA'!$I$35,"")</f>
        <v/>
      </c>
      <c r="CC114" s="518" t="str">
        <f>IF(AND(_AC5="A-220-100",'2023'!$F$4="CA",'2023'!$F$2=CC81),'2023DATA'!$J$35,"")</f>
        <v/>
      </c>
      <c r="CD114" s="518" t="str">
        <f>IF(AND(_AC5="A-220-100",'2023'!$F$4="CA",'2023'!$F$2=CD81),'2023DATA'!$K$35,"")</f>
        <v/>
      </c>
      <c r="CE114" s="518" t="str">
        <f>IF(AND(_AC5="A-220-100",'2023'!$F$4="CA",'2023'!$F$2=CE81),'2023DATA'!$L$35,"")</f>
        <v/>
      </c>
      <c r="CF114" s="518" t="str">
        <f>IF(AND(_AC5="A-220-100",'2023'!$F$4="CA",'2023'!$F$2=CF81),'2023DATA'!$M$35,"")</f>
        <v/>
      </c>
      <c r="CG114" s="520" t="str">
        <f>IF(AND(_AC5="A-220-100",'2023'!$F$4="CA",'2023'!$F$2=CG81),'2023DATA'!$N$35,"")</f>
        <v/>
      </c>
      <c r="CH114" s="940" t="s">
        <v>52</v>
      </c>
      <c r="CI114" s="13" t="s">
        <v>61</v>
      </c>
      <c r="CJ114" s="518" t="str">
        <f>IF(AND(_AC6="A-220-100",'2023'!$F$4="CA",'2023'!$F$2=CJ81),'2023DATA'!$C$35,"")</f>
        <v/>
      </c>
      <c r="CK114" s="518" t="str">
        <f>IF(AND(_AC6="A-220-100",'2023'!$F$4="CA",'2023'!$F$2=CK81),'2023DATA'!$D$35,"")</f>
        <v/>
      </c>
      <c r="CL114" s="518" t="str">
        <f>IF(AND(_AC6="A-220-100",'2023'!$F$4="CA",'2023'!$F$2=CL81),'2023DATA'!$E$35,"")</f>
        <v/>
      </c>
      <c r="CM114" s="518" t="str">
        <f>IF(AND(_AC6="A-220-100",'2023'!$F$4="CA",'2023'!$F$2=CM81),'2023DATA'!$F$35,"")</f>
        <v/>
      </c>
      <c r="CN114" s="518" t="str">
        <f>IF(AND(_AC6="A-220-100",'2023'!$F$4="CA",'2023'!$F$2=CN81),'2023DATA'!$G$35,"")</f>
        <v/>
      </c>
      <c r="CO114" s="518" t="str">
        <f>IF(AND(_AC6="A-220-100",'2023'!$F$4="CA",'2023'!$F$2=CO81),'2023DATA'!$H$35,"")</f>
        <v/>
      </c>
      <c r="CP114" s="518" t="str">
        <f>IF(AND(_AC6="A-220-100",'2023'!$F$4="CA",'2023'!$F$2=CP81),'2023DATA'!$I$35,"")</f>
        <v/>
      </c>
      <c r="CQ114" s="518" t="str">
        <f>IF(AND(_AC6="A-220-100",'2023'!$F$4="CA",'2023'!$F$2=CQ81),'2023DATA'!$J$35,"")</f>
        <v/>
      </c>
      <c r="CR114" s="518" t="str">
        <f>IF(AND(_AC6="A-220-100",'2023'!$F$4="CA",'2023'!$F$2=CR81),'2023DATA'!$K$35,"")</f>
        <v/>
      </c>
      <c r="CS114" s="518" t="str">
        <f>IF(AND(_AC6="A-220-100",'2023'!$F$4="CA",'2023'!$F$2=CS81),'2023DATA'!$L$35,"")</f>
        <v/>
      </c>
      <c r="CT114" s="518" t="str">
        <f>IF(AND(_AC6="A-220-100",'2023'!$F$4="CA",'2023'!$F$2=CT81),'2023DATA'!$M$35,"")</f>
        <v/>
      </c>
      <c r="CU114" s="520" t="str">
        <f>IF(AND(_AC6="A-220-100",'2023'!$F$4="CA",'2023'!$F$2=CU81),'2023DATA'!$N$35,"")</f>
        <v/>
      </c>
    </row>
    <row r="115" spans="16:99" x14ac:dyDescent="0.25">
      <c r="P115" s="940"/>
      <c r="Q115" s="13" t="s">
        <v>62</v>
      </c>
      <c r="R115" s="518" t="str">
        <f>IF(AND(_AC1="A-220-100",'2023'!$F$4="FO",'2023'!$F$2=R81),'2023DATA'!$C$36,"")</f>
        <v/>
      </c>
      <c r="S115" s="518" t="str">
        <f>IF(AND(_AC1="A-220-100",'2023'!$F$4="FO",'2023'!$F$2=S81),'2023DATA'!$D$36,"")</f>
        <v/>
      </c>
      <c r="T115" s="518" t="str">
        <f>IF(AND(_AC1="A-220-100",'2023'!$F$4="FO",'2023'!$F$2=T81),'2023DATA'!$E$36,"")</f>
        <v/>
      </c>
      <c r="U115" s="518" t="str">
        <f>IF(AND(_AC1="A-220-100",'2023'!$F$4="FO",'2023'!$F$2=U81),'2023DATA'!$F$36,"")</f>
        <v/>
      </c>
      <c r="V115" s="518" t="str">
        <f>IF(AND(_AC1="A-220-100",'2023'!$F$4="FO",'2023'!$F$2=V81),'2023DATA'!$G$36,"")</f>
        <v/>
      </c>
      <c r="W115" s="518" t="str">
        <f>IF(AND(_AC1="A-220-100",'2023'!$F$4="FO",'2023'!$F$2=W81),'2023DATA'!$H$36,"")</f>
        <v/>
      </c>
      <c r="X115" s="518" t="str">
        <f>IF(AND(_AC1="A-220-100",'2023'!$F$4="FO",'2023'!$F$2=X81),'2023DATA'!$I$36,"")</f>
        <v/>
      </c>
      <c r="Y115" s="518" t="str">
        <f>IF(AND(_AC1="A-220-100",'2023'!$F$4="FO",'2023'!$F$2=Y81),'2023DATA'!$J$36,"")</f>
        <v/>
      </c>
      <c r="Z115" s="518" t="str">
        <f>IF(AND(_AC1="A-220-100",'2023'!$F$4="FO",'2023'!$F$2=Z81),'2023DATA'!$K$36,"")</f>
        <v/>
      </c>
      <c r="AA115" s="518" t="str">
        <f>IF(AND(_AC1="A-220-100",'2023'!$F$4="FO",'2023'!$F$2=AA81),'2023DATA'!$L$36,"")</f>
        <v/>
      </c>
      <c r="AB115" s="518" t="str">
        <f>IF(AND(_AC1="A-220-100",'2023'!$F$4="FO",'2023'!$F$2=AB81),'2023DATA'!$M$36,"")</f>
        <v/>
      </c>
      <c r="AC115" s="520" t="str">
        <f>IF(AND(_AC1="A-220-100",'2023'!$F$4="FO",'2023'!$F$2=AC81),'2023DATA'!$N$36,"")</f>
        <v/>
      </c>
      <c r="AD115" s="940"/>
      <c r="AE115" s="13" t="s">
        <v>62</v>
      </c>
      <c r="AF115" s="518" t="str">
        <f>IF(AND(_AC2="A-220-100",'2023'!$F$4="FO",'2023'!$F$2=AF81),'2023DATA'!$C$36,"")</f>
        <v/>
      </c>
      <c r="AG115" s="518" t="str">
        <f>IF(AND(_AC2="A-220-100",'2023'!$F$4="FO",'2023'!$F$2=AG81),'2023DATA'!$D$36,"")</f>
        <v/>
      </c>
      <c r="AH115" s="518" t="str">
        <f>IF(AND(_AC2="A-220-100",'2023'!$F$4="FO",'2023'!$F$2=AH81),'2023DATA'!$E$36,"")</f>
        <v/>
      </c>
      <c r="AI115" s="518" t="str">
        <f>IF(AND(_AC2="A-220-100",'2023'!$F$4="FO",'2023'!$F$2=AI81),'2023DATA'!$F$36,"")</f>
        <v/>
      </c>
      <c r="AJ115" s="518" t="str">
        <f>IF(AND(_AC2="A-220-100",'2023'!$F$4="FO",'2023'!$F$2=AJ81),'2023DATA'!$G$36,"")</f>
        <v/>
      </c>
      <c r="AK115" s="518" t="str">
        <f>IF(AND(_AC2="A-220-100",'2023'!$F$4="FO",'2023'!$F$2=AK81),'2023DATA'!$H$36,"")</f>
        <v/>
      </c>
      <c r="AL115" s="518" t="str">
        <f>IF(AND(_AC2="A-220-100",'2023'!$F$4="FO",'2023'!$F$2=AL81),'2023DATA'!$I$36,"")</f>
        <v/>
      </c>
      <c r="AM115" s="518" t="str">
        <f>IF(AND(_AC2="A-220-100",'2023'!$F$4="FO",'2023'!$F$2=AM81),'2023DATA'!$J$36,"")</f>
        <v/>
      </c>
      <c r="AN115" s="518" t="str">
        <f>IF(AND(_AC2="A-220-100",'2023'!$F$4="FO",'2023'!$F$2=AN81),'2023DATA'!$K$36,"")</f>
        <v/>
      </c>
      <c r="AO115" s="518" t="str">
        <f>IF(AND(_AC2="A-220-100",'2023'!$F$4="FO",'2023'!$F$2=AO81),'2023DATA'!$L$36,"")</f>
        <v/>
      </c>
      <c r="AP115" s="518" t="str">
        <f>IF(AND(_AC2="A-220-100",'2023'!$F$4="FO",'2023'!$F$2=AP81),'2023DATA'!$M$36,"")</f>
        <v/>
      </c>
      <c r="AQ115" s="520" t="str">
        <f>IF(AND(_AC2="A-220-100",'2023'!$F$4="FO",'2023'!$F$2=AQ81),'2023DATA'!$N$36,"")</f>
        <v/>
      </c>
      <c r="AR115" s="940"/>
      <c r="AS115" s="13" t="s">
        <v>62</v>
      </c>
      <c r="AT115" s="518" t="str">
        <f>IF(AND(_AC3="A-220-100",'2023'!$F$4="FO",'2023'!$F$2=AT81),'2023DATA'!$C$36,"")</f>
        <v/>
      </c>
      <c r="AU115" s="518" t="str">
        <f>IF(AND(_AC3="A-220-100",'2023'!$F$4="FO",'2023'!$F$2=AU81),'2023DATA'!$D$36,"")</f>
        <v/>
      </c>
      <c r="AV115" s="518" t="str">
        <f>IF(AND(_AC3="A-220-100",'2023'!$F$4="FO",'2023'!$F$2=AV81),'2023DATA'!$E$36,"")</f>
        <v/>
      </c>
      <c r="AW115" s="518" t="str">
        <f>IF(AND(_AC3="A-220-100",'2023'!$F$4="FO",'2023'!$F$2=AW81),'2023DATA'!$F$36,"")</f>
        <v/>
      </c>
      <c r="AX115" s="518" t="str">
        <f>IF(AND(_AC3="A-220-100",'2023'!$F$4="FO",'2023'!$F$2=AX81),'2023DATA'!$G$36,"")</f>
        <v/>
      </c>
      <c r="AY115" s="518" t="str">
        <f>IF(AND(_AC3="A-220-100",'2023'!$F$4="FO",'2023'!$F$2=AY81),'2023DATA'!$H$36,"")</f>
        <v/>
      </c>
      <c r="AZ115" s="518" t="str">
        <f>IF(AND(_AC3="A-220-100",'2023'!$F$4="FO",'2023'!$F$2=AZ81),'2023DATA'!$I$36,"")</f>
        <v/>
      </c>
      <c r="BA115" s="518" t="str">
        <f>IF(AND(_AC3="A-220-100",'2023'!$F$4="FO",'2023'!$F$2=BA81),'2023DATA'!$J$36,"")</f>
        <v/>
      </c>
      <c r="BB115" s="518" t="str">
        <f>IF(AND(_AC3="A-220-100",'2023'!$F$4="FO",'2023'!$F$2=BB81),'2023DATA'!$K$36,"")</f>
        <v/>
      </c>
      <c r="BC115" s="518" t="str">
        <f>IF(AND(_AC3="A-220-100",'2023'!$F$4="FO",'2023'!$F$2=BC81),'2023DATA'!$L$36,"")</f>
        <v/>
      </c>
      <c r="BD115" s="518" t="str">
        <f>IF(AND(_AC3="A-220-100",'2023'!$F$4="FO",'2023'!$F$2=BD81),'2023DATA'!$M$36,"")</f>
        <v/>
      </c>
      <c r="BE115" s="520" t="str">
        <f>IF(AND(_AC3="A-220-100",'2023'!$F$4="FO",'2023'!$F$2=BE81),'2023DATA'!$N$36,"")</f>
        <v/>
      </c>
      <c r="BF115" s="940"/>
      <c r="BG115" s="13" t="s">
        <v>62</v>
      </c>
      <c r="BH115" s="518" t="str">
        <f>IF(AND(_AC4="A-220-100",'2023'!$F$4="FO",'2023'!$F$2=BH81),'2023DATA'!$C$36,"")</f>
        <v/>
      </c>
      <c r="BI115" s="518" t="str">
        <f>IF(AND(_AC4="A-220-100",'2023'!$F$4="FO",'2023'!$F$2=BI81),'2023DATA'!$D$36,"")</f>
        <v/>
      </c>
      <c r="BJ115" s="518" t="str">
        <f>IF(AND(_AC4="A-220-100",'2023'!$F$4="FO",'2023'!$F$2=BJ81),'2023DATA'!$E$36,"")</f>
        <v/>
      </c>
      <c r="BK115" s="518" t="str">
        <f>IF(AND(_AC4="A-220-100",'2023'!$F$4="FO",'2023'!$F$2=BK81),'2023DATA'!$F$36,"")</f>
        <v/>
      </c>
      <c r="BL115" s="518" t="str">
        <f>IF(AND(_AC4="A-220-100",'2023'!$F$4="FO",'2023'!$F$2=BL81),'2023DATA'!$G$36,"")</f>
        <v/>
      </c>
      <c r="BM115" s="518" t="str">
        <f>IF(AND(_AC4="A-220-100",'2023'!$F$4="FO",'2023'!$F$2=BM81),'2023DATA'!$H$36,"")</f>
        <v/>
      </c>
      <c r="BN115" s="518" t="str">
        <f>IF(AND(_AC4="A-220-100",'2023'!$F$4="FO",'2023'!$F$2=BN81),'2023DATA'!$I$36,"")</f>
        <v/>
      </c>
      <c r="BO115" s="518" t="str">
        <f>IF(AND(_AC4="A-220-100",'2023'!$F$4="FO",'2023'!$F$2=BO81),'2023DATA'!$J$36,"")</f>
        <v/>
      </c>
      <c r="BP115" s="518" t="str">
        <f>IF(AND(_AC4="A-220-100",'2023'!$F$4="FO",'2023'!$F$2=BP81),'2023DATA'!$K$36,"")</f>
        <v/>
      </c>
      <c r="BQ115" s="518" t="str">
        <f>IF(AND(_AC4="A-220-100",'2023'!$F$4="FO",'2023'!$F$2=BQ81),'2023DATA'!$L$36,"")</f>
        <v/>
      </c>
      <c r="BR115" s="518" t="str">
        <f>IF(AND(_AC4="A-220-100",'2023'!$F$4="FO",'2023'!$F$2=BR81),'2023DATA'!$M$36,"")</f>
        <v/>
      </c>
      <c r="BS115" s="520" t="str">
        <f>IF(AND(_AC4="A-220-100",'2023'!$F$4="FO",'2023'!$F$2=BS81),'2023DATA'!$N$36,"")</f>
        <v/>
      </c>
      <c r="BT115" s="940"/>
      <c r="BU115" s="13" t="s">
        <v>62</v>
      </c>
      <c r="BV115" s="518" t="str">
        <f>IF(AND(_AC5="A-220-100",'2023'!$F$4="FO",'2023'!$F$2=BV81),'2023DATA'!$C$36,"")</f>
        <v/>
      </c>
      <c r="BW115" s="518" t="str">
        <f>IF(AND(_AC5="A-220-100",'2023'!$F$4="FO",'2023'!$F$2=BW81),'2023DATA'!$D$36,"")</f>
        <v/>
      </c>
      <c r="BX115" s="518" t="str">
        <f>IF(AND(_AC5="A-220-100",'2023'!$F$4="FO",'2023'!$F$2=BX81),'2023DATA'!$E$36,"")</f>
        <v/>
      </c>
      <c r="BY115" s="518" t="str">
        <f>IF(AND(_AC5="A-220-100",'2023'!$F$4="FO",'2023'!$F$2=BY81),'2023DATA'!$F$36,"")</f>
        <v/>
      </c>
      <c r="BZ115" s="518" t="str">
        <f>IF(AND(_AC5="A-220-100",'2023'!$F$4="FO",'2023'!$F$2=BZ81),'2023DATA'!$G$36,"")</f>
        <v/>
      </c>
      <c r="CA115" s="518" t="str">
        <f>IF(AND(_AC5="A-220-100",'2023'!$F$4="FO",'2023'!$F$2=CA81),'2023DATA'!$H$36,"")</f>
        <v/>
      </c>
      <c r="CB115" s="518" t="str">
        <f>IF(AND(_AC5="A-220-100",'2023'!$F$4="FO",'2023'!$F$2=CB81),'2023DATA'!$I$36,"")</f>
        <v/>
      </c>
      <c r="CC115" s="518" t="str">
        <f>IF(AND(_AC5="A-220-100",'2023'!$F$4="FO",'2023'!$F$2=CC81),'2023DATA'!$J$36,"")</f>
        <v/>
      </c>
      <c r="CD115" s="518" t="str">
        <f>IF(AND(_AC5="A-220-100",'2023'!$F$4="FO",'2023'!$F$2=CD81),'2023DATA'!$K$36,"")</f>
        <v/>
      </c>
      <c r="CE115" s="518" t="str">
        <f>IF(AND(_AC5="A-220-100",'2023'!$F$4="FO",'2023'!$F$2=CE81),'2023DATA'!$L$36,"")</f>
        <v/>
      </c>
      <c r="CF115" s="518" t="str">
        <f>IF(AND(_AC5="A-220-100",'2023'!$F$4="FO",'2023'!$F$2=CF81),'2023DATA'!$M$36,"")</f>
        <v/>
      </c>
      <c r="CG115" s="520" t="str">
        <f>IF(AND(_AC5="A-220-100",'2023'!$F$4="FO",'2023'!$F$2=CG81),'2023DATA'!$N$36,"")</f>
        <v/>
      </c>
      <c r="CH115" s="940"/>
      <c r="CI115" s="13" t="s">
        <v>62</v>
      </c>
      <c r="CJ115" s="518" t="str">
        <f>IF(AND(_AC6="A-220-100",'2023'!$F$4="FO",'2023'!$F$2=CJ81),'2023DATA'!$C$36,"")</f>
        <v/>
      </c>
      <c r="CK115" s="518" t="str">
        <f>IF(AND(_AC6="A-220-100",'2023'!$F$4="FO",'2023'!$F$2=CK81),'2023DATA'!$D$36,"")</f>
        <v/>
      </c>
      <c r="CL115" s="518" t="str">
        <f>IF(AND(_AC6="A-220-100",'2023'!$F$4="FO",'2023'!$F$2=CL81),'2023DATA'!$E$36,"")</f>
        <v/>
      </c>
      <c r="CM115" s="518" t="str">
        <f>IF(AND(_AC6="A-220-100",'2023'!$F$4="FO",'2023'!$F$2=CM81),'2023DATA'!$F$36,"")</f>
        <v/>
      </c>
      <c r="CN115" s="518" t="str">
        <f>IF(AND(_AC6="A-220-100",'2023'!$F$4="FO",'2023'!$F$2=CN81),'2023DATA'!$G$36,"")</f>
        <v/>
      </c>
      <c r="CO115" s="518" t="str">
        <f>IF(AND(_AC6="A-220-100",'2023'!$F$4="FO",'2023'!$F$2=CO81),'2023DATA'!$H$36,"")</f>
        <v/>
      </c>
      <c r="CP115" s="518" t="str">
        <f>IF(AND(_AC6="A-220-100",'2023'!$F$4="FO",'2023'!$F$2=CP81),'2023DATA'!$I$36,"")</f>
        <v/>
      </c>
      <c r="CQ115" s="518" t="str">
        <f>IF(AND(_AC6="A-220-100",'2023'!$F$4="FO",'2023'!$F$2=CQ81),'2023DATA'!$J$36,"")</f>
        <v/>
      </c>
      <c r="CR115" s="518" t="str">
        <f>IF(AND(_AC6="A-220-100",'2023'!$F$4="FO",'2023'!$F$2=CR81),'2023DATA'!$K$36,"")</f>
        <v/>
      </c>
      <c r="CS115" s="518" t="str">
        <f>IF(AND(_AC6="A-220-100",'2023'!$F$4="FO",'2023'!$F$2=CS81),'2023DATA'!$L$36,"")</f>
        <v/>
      </c>
      <c r="CT115" s="518" t="str">
        <f>IF(AND(_AC6="A-220-100",'2023'!$F$4="FO",'2023'!$F$2=CT81),'2023DATA'!$M$36,"")</f>
        <v/>
      </c>
      <c r="CU115" s="520" t="str">
        <f>IF(AND(_AC6="A-220-100",'2023'!$F$4="FO",'2023'!$F$2=CU81),'2023DATA'!$N$36,"")</f>
        <v/>
      </c>
    </row>
    <row r="116" spans="16:99" x14ac:dyDescent="0.25">
      <c r="P116" s="940" t="s">
        <v>53</v>
      </c>
      <c r="Q116" s="13" t="s">
        <v>61</v>
      </c>
      <c r="R116" s="518" t="str">
        <f>IF(AND(_AC1="B-717",'2023'!$F$4="CA",'2023'!$F$2=R81),'2023DATA'!$C$37,"")</f>
        <v/>
      </c>
      <c r="S116" s="518" t="str">
        <f>IF(AND(_AC1="B-717",'2023'!$F$4="CA",'2023'!$F$2=S81),'2023DATA'!$D$37,"")</f>
        <v/>
      </c>
      <c r="T116" s="518" t="str">
        <f>IF(AND(_AC1="B-717",'2023'!$F$4="CA",'2023'!$F$2=T81),'2023DATA'!$E$37,"")</f>
        <v/>
      </c>
      <c r="U116" s="518" t="str">
        <f>IF(AND(_AC1="B-717",'2023'!$F$4="CA",'2023'!$F$2=U81),'2023DATA'!$F$37,"")</f>
        <v/>
      </c>
      <c r="V116" s="518" t="str">
        <f>IF(AND(_AC1="B-717",'2023'!$F$4="CA",'2023'!$F$2=V81),'2023DATA'!$G$37,"")</f>
        <v/>
      </c>
      <c r="W116" s="518" t="str">
        <f>IF(AND(_AC1="B-717",'2023'!$F$4="CA",'2023'!$F$2=W81),'2023DATA'!$H$37,"")</f>
        <v/>
      </c>
      <c r="X116" s="518" t="str">
        <f>IF(AND(_AC1="B-717",'2023'!$F$4="CA",'2023'!$F$2=X81),'2023DATA'!$I$37,"")</f>
        <v/>
      </c>
      <c r="Y116" s="518" t="str">
        <f>IF(AND(_AC1="B-717",'2023'!$F$4="CA",'2023'!$F$2=Y81),'2023DATA'!$J$37,"")</f>
        <v/>
      </c>
      <c r="Z116" s="518" t="str">
        <f>IF(AND(_AC1="B-717",'2023'!$F$4="CA",'2023'!$F$2=Z81),'2023DATA'!$K$37,"")</f>
        <v/>
      </c>
      <c r="AA116" s="518" t="str">
        <f>IF(AND(_AC1="B-717",'2023'!$F$4="CA",'2023'!$F$2=AA81),'2023DATA'!$L$37,"")</f>
        <v/>
      </c>
      <c r="AB116" s="518" t="str">
        <f>IF(AND(_AC1="B-717",'2023'!$F$4="CA",'2023'!$F$2=AB81),'2023DATA'!$M$37,"")</f>
        <v/>
      </c>
      <c r="AC116" s="520" t="str">
        <f>IF(AND(_AC1="B-717",'2023'!$F$4="CA",'2023'!$F$2=AC81),'2023DATA'!$N$37,"")</f>
        <v/>
      </c>
      <c r="AD116" s="940" t="s">
        <v>53</v>
      </c>
      <c r="AE116" s="13" t="s">
        <v>61</v>
      </c>
      <c r="AF116" s="518" t="str">
        <f>IF(AND(_AC2="B-717",'2023'!$F$4="CA",'2023'!$F$2=AF81),'2023DATA'!$C$37,"")</f>
        <v/>
      </c>
      <c r="AG116" s="518" t="str">
        <f>IF(AND(_AC2="B-717",'2023'!$F$4="CA",'2023'!$F$2=AG81),'2023DATA'!$D$37,"")</f>
        <v/>
      </c>
      <c r="AH116" s="518" t="str">
        <f>IF(AND(_AC2="B-717",'2023'!$F$4="CA",'2023'!$F$2=AH81),'2023DATA'!$E$37,"")</f>
        <v/>
      </c>
      <c r="AI116" s="518" t="str">
        <f>IF(AND(_AC2="B-717",'2023'!$F$4="CA",'2023'!$F$2=AI81),'2023DATA'!$F$37,"")</f>
        <v/>
      </c>
      <c r="AJ116" s="518" t="str">
        <f>IF(AND(_AC2="B-717",'2023'!$F$4="CA",'2023'!$F$2=AJ81),'2023DATA'!$G$37,"")</f>
        <v/>
      </c>
      <c r="AK116" s="518" t="str">
        <f>IF(AND(_AC2="B-717",'2023'!$F$4="CA",'2023'!$F$2=AK81),'2023DATA'!$H$37,"")</f>
        <v/>
      </c>
      <c r="AL116" s="518" t="str">
        <f>IF(AND(_AC2="B-717",'2023'!$F$4="CA",'2023'!$F$2=AL81),'2023DATA'!$I$37,"")</f>
        <v/>
      </c>
      <c r="AM116" s="518" t="str">
        <f>IF(AND(_AC2="B-717",'2023'!$F$4="CA",'2023'!$F$2=AM81),'2023DATA'!$J$37,"")</f>
        <v/>
      </c>
      <c r="AN116" s="518" t="str">
        <f>IF(AND(_AC2="B-717",'2023'!$F$4="CA",'2023'!$F$2=AN81),'2023DATA'!$K$37,"")</f>
        <v/>
      </c>
      <c r="AO116" s="518" t="str">
        <f>IF(AND(_AC2="B-717",'2023'!$F$4="CA",'2023'!$F$2=AO81),'2023DATA'!$L$37,"")</f>
        <v/>
      </c>
      <c r="AP116" s="518" t="str">
        <f>IF(AND(_AC2="B-717",'2023'!$F$4="CA",'2023'!$F$2=AP81),'2023DATA'!$M$37,"")</f>
        <v/>
      </c>
      <c r="AQ116" s="520" t="str">
        <f>IF(AND(_AC2="B-717",'2023'!$F$4="CA",'2023'!$F$2=AQ81),'2023DATA'!$N$37,"")</f>
        <v/>
      </c>
      <c r="AR116" s="940" t="s">
        <v>53</v>
      </c>
      <c r="AS116" s="13" t="s">
        <v>61</v>
      </c>
      <c r="AT116" s="518" t="str">
        <f>IF(AND(_AC3="B-717",'2023'!$F$4="CA",'2023'!$F$2=AT81),'2023DATA'!$C$37,"")</f>
        <v/>
      </c>
      <c r="AU116" s="518" t="str">
        <f>IF(AND(_AC3="B-717",'2023'!$F$4="CA",'2023'!$F$2=AU81),'2023DATA'!$D$37,"")</f>
        <v/>
      </c>
      <c r="AV116" s="518" t="str">
        <f>IF(AND(_AC3="B-717",'2023'!$F$4="CA",'2023'!$F$2=AV81),'2023DATA'!$E$37,"")</f>
        <v/>
      </c>
      <c r="AW116" s="518" t="str">
        <f>IF(AND(_AC3="B-717",'2023'!$F$4="CA",'2023'!$F$2=AW81),'2023DATA'!$F$37,"")</f>
        <v/>
      </c>
      <c r="AX116" s="518" t="str">
        <f>IF(AND(_AC3="B-717",'2023'!$F$4="CA",'2023'!$F$2=AX81),'2023DATA'!$G$37,"")</f>
        <v/>
      </c>
      <c r="AY116" s="518" t="str">
        <f>IF(AND(_AC3="B-717",'2023'!$F$4="CA",'2023'!$F$2=AY81),'2023DATA'!$H$37,"")</f>
        <v/>
      </c>
      <c r="AZ116" s="518" t="str">
        <f>IF(AND(_AC3="B-717",'2023'!$F$4="CA",'2023'!$F$2=AZ81),'2023DATA'!$I$37,"")</f>
        <v/>
      </c>
      <c r="BA116" s="518" t="str">
        <f>IF(AND(_AC3="B-717",'2023'!$F$4="CA",'2023'!$F$2=BA81),'2023DATA'!$J$37,"")</f>
        <v/>
      </c>
      <c r="BB116" s="518" t="str">
        <f>IF(AND(_AC3="B-717",'2023'!$F$4="CA",'2023'!$F$2=BB81),'2023DATA'!$K$37,"")</f>
        <v/>
      </c>
      <c r="BC116" s="518" t="str">
        <f>IF(AND(_AC3="B-717",'2023'!$F$4="CA",'2023'!$F$2=BC81),'2023DATA'!$L$37,"")</f>
        <v/>
      </c>
      <c r="BD116" s="518" t="str">
        <f>IF(AND(_AC3="B-717",'2023'!$F$4="CA",'2023'!$F$2=BD81),'2023DATA'!$M$37,"")</f>
        <v/>
      </c>
      <c r="BE116" s="520" t="str">
        <f>IF(AND(_AC3="B-717",'2023'!$F$4="CA",'2023'!$F$2=BE81),'2023DATA'!$N$37,"")</f>
        <v/>
      </c>
      <c r="BF116" s="940" t="s">
        <v>53</v>
      </c>
      <c r="BG116" s="13" t="s">
        <v>61</v>
      </c>
      <c r="BH116" s="518" t="str">
        <f>IF(AND(_AC4="B-717",'2023'!$F$4="CA",'2023'!$F$2=BH81),'2023DATA'!$C$37,"")</f>
        <v/>
      </c>
      <c r="BI116" s="518" t="str">
        <f>IF(AND(_AC4="B-717",'2023'!$F$4="CA",'2023'!$F$2=BI81),'2023DATA'!$D$37,"")</f>
        <v/>
      </c>
      <c r="BJ116" s="518" t="str">
        <f>IF(AND(_AC4="B-717",'2023'!$F$4="CA",'2023'!$F$2=BJ81),'2023DATA'!$E$37,"")</f>
        <v/>
      </c>
      <c r="BK116" s="518" t="str">
        <f>IF(AND(_AC4="B-717",'2023'!$F$4="CA",'2023'!$F$2=BK81),'2023DATA'!$F$37,"")</f>
        <v/>
      </c>
      <c r="BL116" s="518" t="str">
        <f>IF(AND(_AC4="B-717",'2023'!$F$4="CA",'2023'!$F$2=BL81),'2023DATA'!$G$37,"")</f>
        <v/>
      </c>
      <c r="BM116" s="518" t="str">
        <f>IF(AND(_AC4="B-717",'2023'!$F$4="CA",'2023'!$F$2=BM81),'2023DATA'!$H$37,"")</f>
        <v/>
      </c>
      <c r="BN116" s="518" t="str">
        <f>IF(AND(_AC4="B-717",'2023'!$F$4="CA",'2023'!$F$2=BN81),'2023DATA'!$I$37,"")</f>
        <v/>
      </c>
      <c r="BO116" s="518" t="str">
        <f>IF(AND(_AC4="B-717",'2023'!$F$4="CA",'2023'!$F$2=BO81),'2023DATA'!$J$37,"")</f>
        <v/>
      </c>
      <c r="BP116" s="518" t="str">
        <f>IF(AND(_AC4="B-717",'2023'!$F$4="CA",'2023'!$F$2=BP81),'2023DATA'!$K$37,"")</f>
        <v/>
      </c>
      <c r="BQ116" s="518" t="str">
        <f>IF(AND(_AC4="B-717",'2023'!$F$4="CA",'2023'!$F$2=BQ81),'2023DATA'!$L$37,"")</f>
        <v/>
      </c>
      <c r="BR116" s="518" t="str">
        <f>IF(AND(_AC4="B-717",'2023'!$F$4="CA",'2023'!$F$2=BR81),'2023DATA'!$M$37,"")</f>
        <v/>
      </c>
      <c r="BS116" s="520" t="str">
        <f>IF(AND(_AC4="B-717",'2023'!$F$4="CA",'2023'!$F$2=BS81),'2023DATA'!$N$37,"")</f>
        <v/>
      </c>
      <c r="BT116" s="940" t="s">
        <v>53</v>
      </c>
      <c r="BU116" s="13" t="s">
        <v>61</v>
      </c>
      <c r="BV116" s="518" t="str">
        <f>IF(AND(_AC5="B-717",'2023'!$F$4="CA",'2023'!$F$2=BV81),'2023DATA'!$C$37,"")</f>
        <v/>
      </c>
      <c r="BW116" s="518" t="str">
        <f>IF(AND(_AC5="B-717",'2023'!$F$4="CA",'2023'!$F$2=BW81),'2023DATA'!$D$37,"")</f>
        <v/>
      </c>
      <c r="BX116" s="518" t="str">
        <f>IF(AND(_AC5="B-717",'2023'!$F$4="CA",'2023'!$F$2=BX81),'2023DATA'!$E$37,"")</f>
        <v/>
      </c>
      <c r="BY116" s="518" t="str">
        <f>IF(AND(_AC5="B-717",'2023'!$F$4="CA",'2023'!$F$2=BY81),'2023DATA'!$F$37,"")</f>
        <v/>
      </c>
      <c r="BZ116" s="518" t="str">
        <f>IF(AND(_AC5="B-717",'2023'!$F$4="CA",'2023'!$F$2=BZ81),'2023DATA'!$G$37,"")</f>
        <v/>
      </c>
      <c r="CA116" s="518" t="str">
        <f>IF(AND(_AC5="B-717",'2023'!$F$4="CA",'2023'!$F$2=CA81),'2023DATA'!$H$37,"")</f>
        <v/>
      </c>
      <c r="CB116" s="518" t="str">
        <f>IF(AND(_AC5="B-717",'2023'!$F$4="CA",'2023'!$F$2=CB81),'2023DATA'!$I$37,"")</f>
        <v/>
      </c>
      <c r="CC116" s="518" t="str">
        <f>IF(AND(_AC5="B-717",'2023'!$F$4="CA",'2023'!$F$2=CC81),'2023DATA'!$J$37,"")</f>
        <v/>
      </c>
      <c r="CD116" s="518" t="str">
        <f>IF(AND(_AC5="B-717",'2023'!$F$4="CA",'2023'!$F$2=CD81),'2023DATA'!$K$37,"")</f>
        <v/>
      </c>
      <c r="CE116" s="518" t="str">
        <f>IF(AND(_AC5="B-717",'2023'!$F$4="CA",'2023'!$F$2=CE81),'2023DATA'!$L$37,"")</f>
        <v/>
      </c>
      <c r="CF116" s="518" t="str">
        <f>IF(AND(_AC5="B-717",'2023'!$F$4="CA",'2023'!$F$2=CF81),'2023DATA'!$M$37,"")</f>
        <v/>
      </c>
      <c r="CG116" s="520" t="str">
        <f>IF(AND(_AC5="B-717",'2023'!$F$4="CA",'2023'!$F$2=CG81),'2023DATA'!$N$37,"")</f>
        <v/>
      </c>
      <c r="CH116" s="940" t="s">
        <v>53</v>
      </c>
      <c r="CI116" s="13" t="s">
        <v>61</v>
      </c>
      <c r="CJ116" s="518" t="str">
        <f>IF(AND(_AC6="B-717",'2023'!$F$4="CA",'2023'!$F$2=CJ81),'2023DATA'!$C$37,"")</f>
        <v/>
      </c>
      <c r="CK116" s="518" t="str">
        <f>IF(AND(_AC6="B-717",'2023'!$F$4="CA",'2023'!$F$2=CK81),'2023DATA'!$D$37,"")</f>
        <v/>
      </c>
      <c r="CL116" s="518" t="str">
        <f>IF(AND(_AC6="B-717",'2023'!$F$4="CA",'2023'!$F$2=CL81),'2023DATA'!$E$37,"")</f>
        <v/>
      </c>
      <c r="CM116" s="518" t="str">
        <f>IF(AND(_AC6="B-717",'2023'!$F$4="CA",'2023'!$F$2=CM81),'2023DATA'!$F$37,"")</f>
        <v/>
      </c>
      <c r="CN116" s="518" t="str">
        <f>IF(AND(_AC6="B-717",'2023'!$F$4="CA",'2023'!$F$2=CN81),'2023DATA'!$G$37,"")</f>
        <v/>
      </c>
      <c r="CO116" s="518" t="str">
        <f>IF(AND(_AC6="B-717",'2023'!$F$4="CA",'2023'!$F$2=CO81),'2023DATA'!$H$37,"")</f>
        <v/>
      </c>
      <c r="CP116" s="518" t="str">
        <f>IF(AND(_AC6="B-717",'2023'!$F$4="CA",'2023'!$F$2=CP81),'2023DATA'!$I$37,"")</f>
        <v/>
      </c>
      <c r="CQ116" s="518" t="str">
        <f>IF(AND(_AC6="B-717",'2023'!$F$4="CA",'2023'!$F$2=CQ81),'2023DATA'!$J$37,"")</f>
        <v/>
      </c>
      <c r="CR116" s="518" t="str">
        <f>IF(AND(_AC6="B-717",'2023'!$F$4="CA",'2023'!$F$2=CR81),'2023DATA'!$K$37,"")</f>
        <v/>
      </c>
      <c r="CS116" s="518" t="str">
        <f>IF(AND(_AC6="B-717",'2023'!$F$4="CA",'2023'!$F$2=CS81),'2023DATA'!$L$37,"")</f>
        <v/>
      </c>
      <c r="CT116" s="518" t="str">
        <f>IF(AND(_AC6="B-717",'2023'!$F$4="CA",'2023'!$F$2=CT81),'2023DATA'!$M$37,"")</f>
        <v/>
      </c>
      <c r="CU116" s="520" t="str">
        <f>IF(AND(_AC6="B-717",'2023'!$F$4="CA",'2023'!$F$2=CU81),'2023DATA'!$N$37,"")</f>
        <v/>
      </c>
    </row>
    <row r="117" spans="16:99" ht="15.75" thickBot="1" x14ac:dyDescent="0.3">
      <c r="P117" s="941"/>
      <c r="Q117" s="521" t="s">
        <v>62</v>
      </c>
      <c r="R117" s="522" t="str">
        <f>IF(AND(_AC1="B-717",'2023'!$F$4="FO",'2023'!$F$2=R81),'2023DATA'!$C$38,"")</f>
        <v/>
      </c>
      <c r="S117" s="522" t="str">
        <f>IF(AND(_AC1="B-717",'2023'!$F$4="FO",'2023'!$F$2=S81),'2023DATA'!$D$38,"")</f>
        <v/>
      </c>
      <c r="T117" s="522" t="str">
        <f>IF(AND(_AC1="B-717",'2023'!$F$4="FO",'2023'!$F$2=T81),'2023DATA'!$E$38,"")</f>
        <v/>
      </c>
      <c r="U117" s="522" t="str">
        <f>IF(AND(_AC1="B-717",'2023'!$F$4="FO",'2023'!$F$2=U81),'2023DATA'!$F$38,"")</f>
        <v/>
      </c>
      <c r="V117" s="522" t="str">
        <f>IF(AND(_AC1="B-717",'2023'!$F$4="FO",'2023'!$F$2=V81),'2023DATA'!$G$38,"")</f>
        <v/>
      </c>
      <c r="W117" s="522" t="str">
        <f>IF(AND(_AC1="B-717",'2023'!$F$4="FO",'2023'!$F$2=W81),'2023DATA'!$H$38,"")</f>
        <v/>
      </c>
      <c r="X117" s="522" t="str">
        <f>IF(AND(_AC1="B-717",'2023'!$F$4="FO",'2023'!$F$2=X81),'2023DATA'!$I$38,"")</f>
        <v/>
      </c>
      <c r="Y117" s="522" t="str">
        <f>IF(AND(_AC1="B-717",'2023'!$F$4="FO",'2023'!$F$2=Y81),'2023DATA'!$J$38,"")</f>
        <v/>
      </c>
      <c r="Z117" s="522" t="str">
        <f>IF(AND(_AC1="B-717",'2023'!$F$4="FO",'2023'!$F$2=Z81),'2023DATA'!$K$38,"")</f>
        <v/>
      </c>
      <c r="AA117" s="522" t="str">
        <f>IF(AND(_AC1="B-717",'2023'!$F$4="FO",'2023'!$F$2=AA81),'2023DATA'!$L$38,"")</f>
        <v/>
      </c>
      <c r="AB117" s="522" t="str">
        <f>IF(AND(_AC1="B-717",'2023'!$F$4="FO",'2023'!$F$2=AB81),'2023DATA'!$M$38,"")</f>
        <v/>
      </c>
      <c r="AC117" s="523" t="str">
        <f>IF(AND(_AC1="B-717",'2023'!$F$4="FO",'2023'!$F$2=AC81),'2023DATA'!$N$38,"")</f>
        <v/>
      </c>
      <c r="AD117" s="941"/>
      <c r="AE117" s="521" t="s">
        <v>62</v>
      </c>
      <c r="AF117" s="518" t="str">
        <f>IF(AND(_AC2="B-717",'2023'!$F$4="FO",'2023'!$F$2=AF81),'2023DATA'!$C$38,"")</f>
        <v/>
      </c>
      <c r="AG117" s="518" t="str">
        <f>IF(AND(_AC2="B-717",'2023'!$F$4="FO",'2023'!$F$2=AG81),'2023DATA'!$D$38,"")</f>
        <v/>
      </c>
      <c r="AH117" s="518" t="str">
        <f>IF(AND(_AC2="B-717",'2023'!$F$4="FO",'2023'!$F$2=AH81),'2023DATA'!$E$38,"")</f>
        <v/>
      </c>
      <c r="AI117" s="518" t="str">
        <f>IF(AND(_AC2="B-717",'2023'!$F$4="FO",'2023'!$F$2=AI81),'2023DATA'!$F$38,"")</f>
        <v/>
      </c>
      <c r="AJ117" s="518" t="str">
        <f>IF(AND(_AC2="B-717",'2023'!$F$4="FO",'2023'!$F$2=AJ81),'2023DATA'!$G$38,"")</f>
        <v/>
      </c>
      <c r="AK117" s="518" t="str">
        <f>IF(AND(_AC2="B-717",'2023'!$F$4="FO",'2023'!$F$2=AK81),'2023DATA'!$H$38,"")</f>
        <v/>
      </c>
      <c r="AL117" s="518" t="str">
        <f>IF(AND(_AC2="B-717",'2023'!$F$4="FO",'2023'!$F$2=AL81),'2023DATA'!$I$38,"")</f>
        <v/>
      </c>
      <c r="AM117" s="518" t="str">
        <f>IF(AND(_AC2="B-717",'2023'!$F$4="FO",'2023'!$F$2=AM81),'2023DATA'!$J$38,"")</f>
        <v/>
      </c>
      <c r="AN117" s="518" t="str">
        <f>IF(AND(_AC2="B-717",'2023'!$F$4="FO",'2023'!$F$2=AN81),'2023DATA'!$K$38,"")</f>
        <v/>
      </c>
      <c r="AO117" s="518" t="str">
        <f>IF(AND(_AC2="B-717",'2023'!$F$4="FO",'2023'!$F$2=AO81),'2023DATA'!$L$38,"")</f>
        <v/>
      </c>
      <c r="AP117" s="518" t="str">
        <f>IF(AND(_AC2="B-717",'2023'!$F$4="FO",'2023'!$F$2=AP81),'2023DATA'!$M$38,"")</f>
        <v/>
      </c>
      <c r="AQ117" s="520" t="str">
        <f>IF(AND(_AC2="B-717",'2023'!$F$4="FO",'2023'!$F$2=AQ81),'2023DATA'!$N$38,"")</f>
        <v/>
      </c>
      <c r="AR117" s="941"/>
      <c r="AS117" s="521" t="s">
        <v>62</v>
      </c>
      <c r="AT117" s="518" t="str">
        <f>IF(AND(_AC3="B-717",'2023'!$F$4="FO",'2023'!$F$2=AT81),'2023DATA'!$C$38,"")</f>
        <v/>
      </c>
      <c r="AU117" s="518" t="str">
        <f>IF(AND(_AC3="B-717",'2023'!$F$4="FO",'2023'!$F$2=AU81),'2023DATA'!$D$38,"")</f>
        <v/>
      </c>
      <c r="AV117" s="518" t="str">
        <f>IF(AND(_AC3="B-717",'2023'!$F$4="FO",'2023'!$F$2=AV81),'2023DATA'!$E$38,"")</f>
        <v/>
      </c>
      <c r="AW117" s="518" t="str">
        <f>IF(AND(_AC3="B-717",'2023'!$F$4="FO",'2023'!$F$2=AW81),'2023DATA'!$F$38,"")</f>
        <v/>
      </c>
      <c r="AX117" s="518" t="str">
        <f>IF(AND(_AC3="B-717",'2023'!$F$4="FO",'2023'!$F$2=AX81),'2023DATA'!$G$38,"")</f>
        <v/>
      </c>
      <c r="AY117" s="518" t="str">
        <f>IF(AND(_AC3="B-717",'2023'!$F$4="FO",'2023'!$F$2=AY81),'2023DATA'!$H$38,"")</f>
        <v/>
      </c>
      <c r="AZ117" s="518" t="str">
        <f>IF(AND(_AC3="B-717",'2023'!$F$4="FO",'2023'!$F$2=AZ81),'2023DATA'!$I$38,"")</f>
        <v/>
      </c>
      <c r="BA117" s="518" t="str">
        <f>IF(AND(_AC3="B-717",'2023'!$F$4="FO",'2023'!$F$2=BA81),'2023DATA'!$J$38,"")</f>
        <v/>
      </c>
      <c r="BB117" s="518" t="str">
        <f>IF(AND(_AC3="B-717",'2023'!$F$4="FO",'2023'!$F$2=BB81),'2023DATA'!$K$38,"")</f>
        <v/>
      </c>
      <c r="BC117" s="518" t="str">
        <f>IF(AND(_AC3="B-717",'2023'!$F$4="FO",'2023'!$F$2=BC81),'2023DATA'!$L$38,"")</f>
        <v/>
      </c>
      <c r="BD117" s="518" t="str">
        <f>IF(AND(_AC3="B-717",'2023'!$F$4="FO",'2023'!$F$2=BD81),'2023DATA'!$M$38,"")</f>
        <v/>
      </c>
      <c r="BE117" s="520" t="str">
        <f>IF(AND(_AC3="B-717",'2023'!$F$4="FO",'2023'!$F$2=BE81),'2023DATA'!$N$38,"")</f>
        <v/>
      </c>
      <c r="BF117" s="941"/>
      <c r="BG117" s="521" t="s">
        <v>62</v>
      </c>
      <c r="BH117" s="518" t="str">
        <f>IF(AND(_AC4="B-717",'2023'!$F$4="FO",'2023'!$F$2=BH81),'2023DATA'!$C$38,"")</f>
        <v/>
      </c>
      <c r="BI117" s="518" t="str">
        <f>IF(AND(_AC4="B-717",'2023'!$F$4="FO",'2023'!$F$2=BI81),'2023DATA'!$D$38,"")</f>
        <v/>
      </c>
      <c r="BJ117" s="518" t="str">
        <f>IF(AND(_AC4="B-717",'2023'!$F$4="FO",'2023'!$F$2=BJ81),'2023DATA'!$E$38,"")</f>
        <v/>
      </c>
      <c r="BK117" s="518" t="str">
        <f>IF(AND(_AC4="B-717",'2023'!$F$4="FO",'2023'!$F$2=BK81),'2023DATA'!$F$38,"")</f>
        <v/>
      </c>
      <c r="BL117" s="518" t="str">
        <f>IF(AND(_AC4="B-717",'2023'!$F$4="FO",'2023'!$F$2=BL81),'2023DATA'!$G$38,"")</f>
        <v/>
      </c>
      <c r="BM117" s="518" t="str">
        <f>IF(AND(_AC4="B-717",'2023'!$F$4="FO",'2023'!$F$2=BM81),'2023DATA'!$H$38,"")</f>
        <v/>
      </c>
      <c r="BN117" s="518" t="str">
        <f>IF(AND(_AC4="B-717",'2023'!$F$4="FO",'2023'!$F$2=BN81),'2023DATA'!$I$38,"")</f>
        <v/>
      </c>
      <c r="BO117" s="518" t="str">
        <f>IF(AND(_AC4="B-717",'2023'!$F$4="FO",'2023'!$F$2=BO81),'2023DATA'!$J$38,"")</f>
        <v/>
      </c>
      <c r="BP117" s="518" t="str">
        <f>IF(AND(_AC4="B-717",'2023'!$F$4="FO",'2023'!$F$2=BP81),'2023DATA'!$K$38,"")</f>
        <v/>
      </c>
      <c r="BQ117" s="518" t="str">
        <f>IF(AND(_AC4="B-717",'2023'!$F$4="FO",'2023'!$F$2=BQ81),'2023DATA'!$L$38,"")</f>
        <v/>
      </c>
      <c r="BR117" s="518" t="str">
        <f>IF(AND(_AC4="B-717",'2023'!$F$4="FO",'2023'!$F$2=BR81),'2023DATA'!$M$38,"")</f>
        <v/>
      </c>
      <c r="BS117" s="520" t="str">
        <f>IF(AND(_AC4="B-717",'2023'!$F$4="FO",'2023'!$F$2=BS81),'2023DATA'!$N$38,"")</f>
        <v/>
      </c>
      <c r="BT117" s="941"/>
      <c r="BU117" s="521" t="s">
        <v>62</v>
      </c>
      <c r="BV117" s="518" t="str">
        <f>IF(AND(_AC5="B-717",'2023'!$F$4="FO",'2023'!$F$2=BV81),'2023DATA'!$C$38,"")</f>
        <v/>
      </c>
      <c r="BW117" s="518" t="str">
        <f>IF(AND(_AC5="B-717",'2023'!$F$4="FO",'2023'!$F$2=BW81),'2023DATA'!$D$38,"")</f>
        <v/>
      </c>
      <c r="BX117" s="518" t="str">
        <f>IF(AND(_AC5="B-717",'2023'!$F$4="FO",'2023'!$F$2=BX81),'2023DATA'!$E$38,"")</f>
        <v/>
      </c>
      <c r="BY117" s="518" t="str">
        <f>IF(AND(_AC5="B-717",'2023'!$F$4="FO",'2023'!$F$2=BY81),'2023DATA'!$F$38,"")</f>
        <v/>
      </c>
      <c r="BZ117" s="518" t="str">
        <f>IF(AND(_AC5="B-717",'2023'!$F$4="FO",'2023'!$F$2=BZ81),'2023DATA'!$G$38,"")</f>
        <v/>
      </c>
      <c r="CA117" s="518" t="str">
        <f>IF(AND(_AC5="B-717",'2023'!$F$4="FO",'2023'!$F$2=CA81),'2023DATA'!$H$38,"")</f>
        <v/>
      </c>
      <c r="CB117" s="518" t="str">
        <f>IF(AND(_AC5="B-717",'2023'!$F$4="FO",'2023'!$F$2=CB81),'2023DATA'!$I$38,"")</f>
        <v/>
      </c>
      <c r="CC117" s="518" t="str">
        <f>IF(AND(_AC5="B-717",'2023'!$F$4="FO",'2023'!$F$2=CC81),'2023DATA'!$J$38,"")</f>
        <v/>
      </c>
      <c r="CD117" s="518" t="str">
        <f>IF(AND(_AC5="B-717",'2023'!$F$4="FO",'2023'!$F$2=CD81),'2023DATA'!$K$38,"")</f>
        <v/>
      </c>
      <c r="CE117" s="518" t="str">
        <f>IF(AND(_AC5="B-717",'2023'!$F$4="FO",'2023'!$F$2=CE81),'2023DATA'!$L$38,"")</f>
        <v/>
      </c>
      <c r="CF117" s="518" t="str">
        <f>IF(AND(_AC5="B-717",'2023'!$F$4="FO",'2023'!$F$2=CF81),'2023DATA'!$M$38,"")</f>
        <v/>
      </c>
      <c r="CG117" s="520" t="str">
        <f>IF(AND(_AC5="B-717",'2023'!$F$4="FO",'2023'!$F$2=CG81),'2023DATA'!$N$38,"")</f>
        <v/>
      </c>
      <c r="CH117" s="941"/>
      <c r="CI117" s="521" t="s">
        <v>62</v>
      </c>
      <c r="CJ117" s="518" t="str">
        <f>IF(AND(_AC6="B-717",'2023'!$F$4="FO",'2023'!$F$2=CJ81),'2023DATA'!$C$38,"")</f>
        <v/>
      </c>
      <c r="CK117" s="518" t="str">
        <f>IF(AND(_AC6="B-717",'2023'!$F$4="FO",'2023'!$F$2=CK81),'2023DATA'!$D$38,"")</f>
        <v/>
      </c>
      <c r="CL117" s="518" t="str">
        <f>IF(AND(_AC6="B-717",'2023'!$F$4="FO",'2023'!$F$2=CL81),'2023DATA'!$E$38,"")</f>
        <v/>
      </c>
      <c r="CM117" s="518" t="str">
        <f>IF(AND(_AC6="B-717",'2023'!$F$4="FO",'2023'!$F$2=CM81),'2023DATA'!$F$38,"")</f>
        <v/>
      </c>
      <c r="CN117" s="518" t="str">
        <f>IF(AND(_AC6="B-717",'2023'!$F$4="FO",'2023'!$F$2=CN81),'2023DATA'!$G$38,"")</f>
        <v/>
      </c>
      <c r="CO117" s="518" t="str">
        <f>IF(AND(_AC6="B-717",'2023'!$F$4="FO",'2023'!$F$2=CO81),'2023DATA'!$H$38,"")</f>
        <v/>
      </c>
      <c r="CP117" s="518" t="str">
        <f>IF(AND(_AC6="B-717",'2023'!$F$4="FO",'2023'!$F$2=CP81),'2023DATA'!$I$38,"")</f>
        <v/>
      </c>
      <c r="CQ117" s="518" t="str">
        <f>IF(AND(_AC6="B-717",'2023'!$F$4="FO",'2023'!$F$2=CQ81),'2023DATA'!$J$38,"")</f>
        <v/>
      </c>
      <c r="CR117" s="518" t="str">
        <f>IF(AND(_AC6="B-717",'2023'!$F$4="FO",'2023'!$F$2=CR81),'2023DATA'!$K$38,"")</f>
        <v/>
      </c>
      <c r="CS117" s="518" t="str">
        <f>IF(AND(_AC6="B-717",'2023'!$F$4="FO",'2023'!$F$2=CS81),'2023DATA'!$L$38,"")</f>
        <v/>
      </c>
      <c r="CT117" s="518" t="str">
        <f>IF(AND(_AC6="B-717",'2023'!$F$4="FO",'2023'!$F$2=CT81),'2023DATA'!$M$38,"")</f>
        <v/>
      </c>
      <c r="CU117" s="520" t="str">
        <f>IF(AND(_AC6="B-717",'2023'!$F$4="FO",'2023'!$F$2=CU81),'2023DATA'!$N$38,"")</f>
        <v/>
      </c>
    </row>
    <row r="118" spans="16:99" x14ac:dyDescent="0.25">
      <c r="P118" s="943" t="s">
        <v>140</v>
      </c>
      <c r="Q118" s="944"/>
      <c r="R118" s="944"/>
      <c r="S118" s="944"/>
      <c r="T118" s="944"/>
      <c r="U118" s="944"/>
      <c r="V118" s="944"/>
      <c r="W118" s="944"/>
      <c r="X118" s="944"/>
      <c r="Y118" s="944"/>
      <c r="Z118" s="944"/>
      <c r="AA118" s="944"/>
      <c r="AB118" s="944"/>
      <c r="AC118" s="945"/>
      <c r="AD118" s="943" t="s">
        <v>141</v>
      </c>
      <c r="AE118" s="944"/>
      <c r="AF118" s="944"/>
      <c r="AG118" s="944"/>
      <c r="AH118" s="944"/>
      <c r="AI118" s="944"/>
      <c r="AJ118" s="944"/>
      <c r="AK118" s="944"/>
      <c r="AL118" s="944"/>
      <c r="AM118" s="944"/>
      <c r="AN118" s="944"/>
      <c r="AO118" s="944"/>
      <c r="AP118" s="944"/>
      <c r="AQ118" s="945"/>
      <c r="AR118" s="943" t="s">
        <v>142</v>
      </c>
      <c r="AS118" s="944"/>
      <c r="AT118" s="944"/>
      <c r="AU118" s="944"/>
      <c r="AV118" s="944"/>
      <c r="AW118" s="944"/>
      <c r="AX118" s="944"/>
      <c r="AY118" s="944"/>
      <c r="AZ118" s="944"/>
      <c r="BA118" s="944"/>
      <c r="BB118" s="944"/>
      <c r="BC118" s="944"/>
      <c r="BD118" s="944"/>
      <c r="BE118" s="945"/>
      <c r="BF118" s="943" t="s">
        <v>143</v>
      </c>
      <c r="BG118" s="944"/>
      <c r="BH118" s="944"/>
      <c r="BI118" s="944"/>
      <c r="BJ118" s="944"/>
      <c r="BK118" s="944"/>
      <c r="BL118" s="944"/>
      <c r="BM118" s="944"/>
      <c r="BN118" s="944"/>
      <c r="BO118" s="944"/>
      <c r="BP118" s="944"/>
      <c r="BQ118" s="944"/>
      <c r="BR118" s="944"/>
      <c r="BS118" s="945"/>
      <c r="BT118" s="943" t="s">
        <v>144</v>
      </c>
      <c r="BU118" s="944"/>
      <c r="BV118" s="944"/>
      <c r="BW118" s="944"/>
      <c r="BX118" s="944"/>
      <c r="BY118" s="944"/>
      <c r="BZ118" s="944"/>
      <c r="CA118" s="944"/>
      <c r="CB118" s="944"/>
      <c r="CC118" s="944"/>
      <c r="CD118" s="944"/>
      <c r="CE118" s="944"/>
      <c r="CF118" s="944"/>
      <c r="CG118" s="945"/>
      <c r="CH118" s="943" t="s">
        <v>145</v>
      </c>
      <c r="CI118" s="944"/>
      <c r="CJ118" s="944"/>
      <c r="CK118" s="944"/>
      <c r="CL118" s="944"/>
      <c r="CM118" s="944"/>
      <c r="CN118" s="944"/>
      <c r="CO118" s="944"/>
      <c r="CP118" s="944"/>
      <c r="CQ118" s="944"/>
      <c r="CR118" s="944"/>
      <c r="CS118" s="944"/>
      <c r="CT118" s="944"/>
      <c r="CU118" s="945"/>
    </row>
    <row r="119" spans="16:99" x14ac:dyDescent="0.25">
      <c r="P119" s="596">
        <v>4</v>
      </c>
      <c r="Q119" s="561">
        <f>SUM(R120:AC155)</f>
        <v>0</v>
      </c>
      <c r="R119" s="3">
        <v>12</v>
      </c>
      <c r="S119" s="3">
        <v>11</v>
      </c>
      <c r="T119" s="3">
        <v>10</v>
      </c>
      <c r="U119" s="3">
        <v>9</v>
      </c>
      <c r="V119" s="3">
        <v>8</v>
      </c>
      <c r="W119" s="3">
        <v>7</v>
      </c>
      <c r="X119" s="3">
        <v>6</v>
      </c>
      <c r="Y119" s="3">
        <v>5</v>
      </c>
      <c r="Z119" s="3">
        <v>4</v>
      </c>
      <c r="AA119" s="3">
        <v>3</v>
      </c>
      <c r="AB119" s="3">
        <v>2</v>
      </c>
      <c r="AC119" s="519">
        <v>1</v>
      </c>
      <c r="AD119" s="561">
        <v>4</v>
      </c>
      <c r="AE119" s="561">
        <f>SUM(AF120:AQ155)</f>
        <v>0</v>
      </c>
      <c r="AF119" s="3">
        <v>12</v>
      </c>
      <c r="AG119" s="3">
        <v>11</v>
      </c>
      <c r="AH119" s="3">
        <v>10</v>
      </c>
      <c r="AI119" s="3">
        <v>9</v>
      </c>
      <c r="AJ119" s="3">
        <v>8</v>
      </c>
      <c r="AK119" s="3">
        <v>7</v>
      </c>
      <c r="AL119" s="3">
        <v>6</v>
      </c>
      <c r="AM119" s="3">
        <v>5</v>
      </c>
      <c r="AN119" s="3">
        <v>4</v>
      </c>
      <c r="AO119" s="3">
        <v>3</v>
      </c>
      <c r="AP119" s="3">
        <v>2</v>
      </c>
      <c r="AQ119" s="519">
        <v>1</v>
      </c>
      <c r="AR119" s="561">
        <v>4</v>
      </c>
      <c r="AS119" s="561">
        <f>SUM(AT120:BE155)</f>
        <v>0</v>
      </c>
      <c r="AT119" s="3">
        <v>12</v>
      </c>
      <c r="AU119" s="3">
        <v>11</v>
      </c>
      <c r="AV119" s="3">
        <v>10</v>
      </c>
      <c r="AW119" s="3">
        <v>9</v>
      </c>
      <c r="AX119" s="3">
        <v>8</v>
      </c>
      <c r="AY119" s="3">
        <v>7</v>
      </c>
      <c r="AZ119" s="3">
        <v>6</v>
      </c>
      <c r="BA119" s="3">
        <v>5</v>
      </c>
      <c r="BB119" s="3">
        <v>4</v>
      </c>
      <c r="BC119" s="3">
        <v>3</v>
      </c>
      <c r="BD119" s="3">
        <v>2</v>
      </c>
      <c r="BE119" s="519">
        <v>1</v>
      </c>
      <c r="BF119" s="561">
        <v>4</v>
      </c>
      <c r="BG119" s="561">
        <f>SUM(BH120:BS155)</f>
        <v>0</v>
      </c>
      <c r="BH119" s="3">
        <v>12</v>
      </c>
      <c r="BI119" s="3">
        <v>11</v>
      </c>
      <c r="BJ119" s="3">
        <v>10</v>
      </c>
      <c r="BK119" s="3">
        <v>9</v>
      </c>
      <c r="BL119" s="3">
        <v>8</v>
      </c>
      <c r="BM119" s="3">
        <v>7</v>
      </c>
      <c r="BN119" s="3">
        <v>6</v>
      </c>
      <c r="BO119" s="3">
        <v>5</v>
      </c>
      <c r="BP119" s="3">
        <v>4</v>
      </c>
      <c r="BQ119" s="3">
        <v>3</v>
      </c>
      <c r="BR119" s="3">
        <v>2</v>
      </c>
      <c r="BS119" s="519">
        <v>1</v>
      </c>
      <c r="BT119" s="561">
        <v>4</v>
      </c>
      <c r="BU119" s="561">
        <f>SUM(BV120:CG155)</f>
        <v>0</v>
      </c>
      <c r="BV119" s="3">
        <v>12</v>
      </c>
      <c r="BW119" s="3">
        <v>11</v>
      </c>
      <c r="BX119" s="3">
        <v>10</v>
      </c>
      <c r="BY119" s="3">
        <v>9</v>
      </c>
      <c r="BZ119" s="3">
        <v>8</v>
      </c>
      <c r="CA119" s="3">
        <v>7</v>
      </c>
      <c r="CB119" s="3">
        <v>6</v>
      </c>
      <c r="CC119" s="3">
        <v>5</v>
      </c>
      <c r="CD119" s="3">
        <v>4</v>
      </c>
      <c r="CE119" s="3">
        <v>3</v>
      </c>
      <c r="CF119" s="3">
        <v>2</v>
      </c>
      <c r="CG119" s="519">
        <v>1</v>
      </c>
      <c r="CH119" s="561">
        <v>4</v>
      </c>
      <c r="CI119" s="561">
        <f>SUM(CJ120:CU155)</f>
        <v>0</v>
      </c>
      <c r="CJ119" s="3">
        <v>12</v>
      </c>
      <c r="CK119" s="3">
        <v>11</v>
      </c>
      <c r="CL119" s="3">
        <v>10</v>
      </c>
      <c r="CM119" s="3">
        <v>9</v>
      </c>
      <c r="CN119" s="3">
        <v>8</v>
      </c>
      <c r="CO119" s="3">
        <v>7</v>
      </c>
      <c r="CP119" s="3">
        <v>6</v>
      </c>
      <c r="CQ119" s="3">
        <v>5</v>
      </c>
      <c r="CR119" s="3">
        <v>4</v>
      </c>
      <c r="CS119" s="3">
        <v>3</v>
      </c>
      <c r="CT119" s="3">
        <v>2</v>
      </c>
      <c r="CU119" s="519">
        <v>1</v>
      </c>
    </row>
    <row r="120" spans="16:99" x14ac:dyDescent="0.25">
      <c r="P120" s="940" t="s">
        <v>39</v>
      </c>
      <c r="Q120" s="13" t="s">
        <v>61</v>
      </c>
      <c r="R120" s="518" t="str">
        <f>IF(AND(_AC1="A-350",'2023'!$G$4="CA",'2023'!$G$2=R119),'2023DATA'!$C$3,"")</f>
        <v/>
      </c>
      <c r="S120" s="518" t="str">
        <f>IF(AND(_AC1="A-350",'2023'!$G$4="CA",'2023'!$G$2=S119),'2023DATA'!$D$3,"")</f>
        <v/>
      </c>
      <c r="T120" s="518" t="str">
        <f>IF(AND(_AC1="A-350",'2023'!$G$4="CA",'2023'!$G$2=T119),'2023DATA'!$E$3,"")</f>
        <v/>
      </c>
      <c r="U120" s="518" t="str">
        <f>IF(AND(_AC1="A-350",'2023'!$G$4="CA",'2023'!$G$2=U119),'2023DATA'!$F$3,"")</f>
        <v/>
      </c>
      <c r="V120" s="518" t="str">
        <f>IF(AND(_AC1="A-350",'2023'!$G$4="CA",'2023'!$G$2=V119),'2023DATA'!$G$3,"")</f>
        <v/>
      </c>
      <c r="W120" s="518" t="str">
        <f>IF(AND(_AC1="A-350",'2023'!$G$4="CA",'2023'!$G$2=W119),'2023DATA'!$H$3,"")</f>
        <v/>
      </c>
      <c r="X120" s="518" t="str">
        <f>IF(AND(_AC1="A-350",'2023'!$G$4="CA",'2023'!$G$2=X119),'2023DATA'!$I$3,"")</f>
        <v/>
      </c>
      <c r="Y120" s="518" t="str">
        <f>IF(AND(_AC1="A-350",'2023'!$G$4="CA",'2023'!$G$2=Y119),'2023DATA'!$J$3,"")</f>
        <v/>
      </c>
      <c r="Z120" s="518" t="str">
        <f>IF(AND(_AC1="A-350",'2023'!$G$4="CA",'2023'!$G$2=Z119),'2023DATA'!$K$3,"")</f>
        <v/>
      </c>
      <c r="AA120" s="518" t="str">
        <f>IF(AND(_AC1="A-350",'2023'!$G$4="CA",'2023'!$G$2=AA119),'2023DATA'!$L$3,"")</f>
        <v/>
      </c>
      <c r="AB120" s="518" t="str">
        <f>IF(AND(_AC1="A-350",'2023'!$G$4="CA",'2023'!$G$2=AB119),'2023DATA'!$M$3,"")</f>
        <v/>
      </c>
      <c r="AC120" s="520" t="str">
        <f>IF(AND(_AC1="A-350",'2023'!$G$4="CA",'2023'!$G$2=AC119),'2023DATA'!$N$3,"")</f>
        <v/>
      </c>
      <c r="AD120" s="940" t="s">
        <v>39</v>
      </c>
      <c r="AE120" s="13" t="s">
        <v>61</v>
      </c>
      <c r="AF120" s="518" t="str">
        <f>IF(AND(_AC2="A-350",'2023'!$G$4="CA",'2023'!$G$2=AF119),'2023DATA'!$C$3,"")</f>
        <v/>
      </c>
      <c r="AG120" s="518" t="str">
        <f>IF(AND(_AC2="A-350",'2023'!$G$4="CA",'2023'!$G$2=AG119),'2023DATA'!$D$3,"")</f>
        <v/>
      </c>
      <c r="AH120" s="518" t="str">
        <f>IF(AND(_AC2="A-350",'2023'!$G$4="CA",'2023'!$G$2=AH119),'2023DATA'!$E$3,"")</f>
        <v/>
      </c>
      <c r="AI120" s="518" t="str">
        <f>IF(AND(_AC2="A-350",'2023'!$G$4="CA",'2023'!$G$2=AI119),'2023DATA'!$F$3,"")</f>
        <v/>
      </c>
      <c r="AJ120" s="518" t="str">
        <f>IF(AND(_AC2="A-350",'2023'!$G$4="CA",'2023'!$G$2=AJ119),'2023DATA'!$G$3,"")</f>
        <v/>
      </c>
      <c r="AK120" s="518" t="str">
        <f>IF(AND(_AC2="A-350",'2023'!$G$4="CA",'2023'!$G$2=AK119),'2023DATA'!$H$3,"")</f>
        <v/>
      </c>
      <c r="AL120" s="518" t="str">
        <f>IF(AND(_AC2="A-350",'2023'!$G$4="CA",'2023'!$G$2=AL119),'2023DATA'!$I$3,"")</f>
        <v/>
      </c>
      <c r="AM120" s="518" t="str">
        <f>IF(AND(_AC2="A-350",'2023'!$G$4="CA",'2023'!$G$2=AM119),'2023DATA'!$J$3,"")</f>
        <v/>
      </c>
      <c r="AN120" s="518" t="str">
        <f>IF(AND(_AC2="A-350",'2023'!$G$4="CA",'2023'!$G$2=AN119),'2023DATA'!$K$3,"")</f>
        <v/>
      </c>
      <c r="AO120" s="518" t="str">
        <f>IF(AND(_AC2="A-350",'2023'!$G$4="CA",'2023'!$G$2=AO119),'2023DATA'!$L$3,"")</f>
        <v/>
      </c>
      <c r="AP120" s="518" t="str">
        <f>IF(AND(_AC2="A-350",'2023'!$G$4="CA",'2023'!$G$2=AP119),'2023DATA'!$M$3,"")</f>
        <v/>
      </c>
      <c r="AQ120" s="520" t="str">
        <f>IF(AND(_AC2="A-350",'2023'!$G$4="CA",'2023'!$G$2=AQ119),'2023DATA'!$N$3,"")</f>
        <v/>
      </c>
      <c r="AR120" s="940" t="s">
        <v>39</v>
      </c>
      <c r="AS120" s="13" t="s">
        <v>61</v>
      </c>
      <c r="AT120" s="518" t="str">
        <f>IF(AND(_AC3="A-350",'2023'!$G$4="CA",'2023'!$G$2=AT119),'2023DATA'!$C$3,"")</f>
        <v/>
      </c>
      <c r="AU120" s="518" t="str">
        <f>IF(AND(_AC3="A-350",'2023'!$G$4="CA",'2023'!$G$2=AU119),'2023DATA'!$D$3,"")</f>
        <v/>
      </c>
      <c r="AV120" s="518" t="str">
        <f>IF(AND(_AC3="A-350",'2023'!$G$4="CA",'2023'!$G$2=AV119),'2023DATA'!$E$3,"")</f>
        <v/>
      </c>
      <c r="AW120" s="518" t="str">
        <f>IF(AND(_AC3="A-350",'2023'!$G$4="CA",'2023'!$G$2=AW119),'2023DATA'!$F$3,"")</f>
        <v/>
      </c>
      <c r="AX120" s="518" t="str">
        <f>IF(AND(_AC3="A-350",'2023'!$G$4="CA",'2023'!$G$2=AX119),'2023DATA'!$G$3,"")</f>
        <v/>
      </c>
      <c r="AY120" s="518" t="str">
        <f>IF(AND(_AC3="A-350",'2023'!$G$4="CA",'2023'!$G$2=AY119),'2023DATA'!$H$3,"")</f>
        <v/>
      </c>
      <c r="AZ120" s="518" t="str">
        <f>IF(AND(_AC3="A-350",'2023'!$G$4="CA",'2023'!$G$2=AZ119),'2023DATA'!$I$3,"")</f>
        <v/>
      </c>
      <c r="BA120" s="518" t="str">
        <f>IF(AND(_AC3="A-350",'2023'!$G$4="CA",'2023'!$G$2=BA119),'2023DATA'!$J$3,"")</f>
        <v/>
      </c>
      <c r="BB120" s="518" t="str">
        <f>IF(AND(_AC3="A-350",'2023'!$G$4="CA",'2023'!$G$2=BB119),'2023DATA'!$K$3,"")</f>
        <v/>
      </c>
      <c r="BC120" s="518" t="str">
        <f>IF(AND(_AC3="A-350",'2023'!$G$4="CA",'2023'!$G$2=BC119),'2023DATA'!$L$3,"")</f>
        <v/>
      </c>
      <c r="BD120" s="518" t="str">
        <f>IF(AND(_AC3="A-350",'2023'!$G$4="CA",'2023'!$G$2=BD119),'2023DATA'!$M$3,"")</f>
        <v/>
      </c>
      <c r="BE120" s="520" t="str">
        <f>IF(AND(_AC3="A-350",'2023'!$G$4="CA",'2023'!$G$2=BE119),'2023DATA'!$N$3,"")</f>
        <v/>
      </c>
      <c r="BF120" s="940" t="s">
        <v>39</v>
      </c>
      <c r="BG120" s="13" t="s">
        <v>61</v>
      </c>
      <c r="BH120" s="518" t="str">
        <f>IF(AND(_AC4="A-350",'2023'!$G$4="CA",'2023'!$G$2=BH119),'2023DATA'!$C$3,"")</f>
        <v/>
      </c>
      <c r="BI120" s="518" t="str">
        <f>IF(AND(_AC4="A-350",'2023'!$G$4="CA",'2023'!$G$2=BI119),'2023DATA'!$D$3,"")</f>
        <v/>
      </c>
      <c r="BJ120" s="518" t="str">
        <f>IF(AND(_AC4="A-350",'2023'!$G$4="CA",'2023'!$G$2=BJ119),'2023DATA'!$E$3,"")</f>
        <v/>
      </c>
      <c r="BK120" s="518" t="str">
        <f>IF(AND(_AC4="A-350",'2023'!$G$4="CA",'2023'!$G$2=BK119),'2023DATA'!$F$3,"")</f>
        <v/>
      </c>
      <c r="BL120" s="518" t="str">
        <f>IF(AND(_AC4="A-350",'2023'!$G$4="CA",'2023'!$G$2=BL119),'2023DATA'!$G$3,"")</f>
        <v/>
      </c>
      <c r="BM120" s="518" t="str">
        <f>IF(AND(_AC4="A-350",'2023'!$G$4="CA",'2023'!$G$2=BM119),'2023DATA'!$H$3,"")</f>
        <v/>
      </c>
      <c r="BN120" s="518" t="str">
        <f>IF(AND(_AC4="A-350",'2023'!$G$4="CA",'2023'!$G$2=BN119),'2023DATA'!$I$3,"")</f>
        <v/>
      </c>
      <c r="BO120" s="518" t="str">
        <f>IF(AND(_AC4="A-350",'2023'!$G$4="CA",'2023'!$G$2=BO119),'2023DATA'!$J$3,"")</f>
        <v/>
      </c>
      <c r="BP120" s="518" t="str">
        <f>IF(AND(_AC4="A-350",'2023'!$G$4="CA",'2023'!$G$2=BP119),'2023DATA'!$K$3,"")</f>
        <v/>
      </c>
      <c r="BQ120" s="518" t="str">
        <f>IF(AND(_AC4="A-350",'2023'!$G$4="CA",'2023'!$G$2=BQ119),'2023DATA'!$L$3,"")</f>
        <v/>
      </c>
      <c r="BR120" s="518" t="str">
        <f>IF(AND(_AC4="A-350",'2023'!$G$4="CA",'2023'!$G$2=BR119),'2023DATA'!$M$3,"")</f>
        <v/>
      </c>
      <c r="BS120" s="520" t="str">
        <f>IF(AND(_AC4="A-350",'2023'!$G$4="CA",'2023'!$G$2=BS119),'2023DATA'!$N$3,"")</f>
        <v/>
      </c>
      <c r="BT120" s="940" t="s">
        <v>39</v>
      </c>
      <c r="BU120" s="13" t="s">
        <v>61</v>
      </c>
      <c r="BV120" s="518" t="str">
        <f>IF(AND(_AC5="A-350",'2023'!$G$4="CA",'2023'!$G$2=BV119),'2023DATA'!$C$3,"")</f>
        <v/>
      </c>
      <c r="BW120" s="518" t="str">
        <f>IF(AND(_AC5="A-350",'2023'!$G$4="CA",'2023'!$G$2=BW119),'2023DATA'!$D$3,"")</f>
        <v/>
      </c>
      <c r="BX120" s="518" t="str">
        <f>IF(AND(_AC5="A-350",'2023'!$G$4="CA",'2023'!$G$2=BX119),'2023DATA'!$E$3,"")</f>
        <v/>
      </c>
      <c r="BY120" s="518" t="str">
        <f>IF(AND(_AC5="A-350",'2023'!$G$4="CA",'2023'!$G$2=BY119),'2023DATA'!$F$3,"")</f>
        <v/>
      </c>
      <c r="BZ120" s="518" t="str">
        <f>IF(AND(_AC5="A-350",'2023'!$G$4="CA",'2023'!$G$2=BZ119),'2023DATA'!$G$3,"")</f>
        <v/>
      </c>
      <c r="CA120" s="518" t="str">
        <f>IF(AND(_AC5="A-350",'2023'!$G$4="CA",'2023'!$G$2=CA119),'2023DATA'!$H$3,"")</f>
        <v/>
      </c>
      <c r="CB120" s="518" t="str">
        <f>IF(AND(_AC5="A-350",'2023'!$G$4="CA",'2023'!$G$2=CB119),'2023DATA'!$I$3,"")</f>
        <v/>
      </c>
      <c r="CC120" s="518" t="str">
        <f>IF(AND(_AC5="A-350",'2023'!$G$4="CA",'2023'!$G$2=CC119),'2023DATA'!$J$3,"")</f>
        <v/>
      </c>
      <c r="CD120" s="518" t="str">
        <f>IF(AND(_AC5="A-350",'2023'!$G$4="CA",'2023'!$G$2=CD119),'2023DATA'!$K$3,"")</f>
        <v/>
      </c>
      <c r="CE120" s="518" t="str">
        <f>IF(AND(_AC5="A-350",'2023'!$G$4="CA",'2023'!$G$2=CE119),'2023DATA'!$L$3,"")</f>
        <v/>
      </c>
      <c r="CF120" s="518" t="str">
        <f>IF(AND(_AC5="A-350",'2023'!$G$4="CA",'2023'!$G$2=CF119),'2023DATA'!$M$3,"")</f>
        <v/>
      </c>
      <c r="CG120" s="520" t="str">
        <f>IF(AND(_AC5="A-350",'2023'!$G$4="CA",'2023'!$G$2=CG119),'2023DATA'!$N$3,"")</f>
        <v/>
      </c>
      <c r="CH120" s="940" t="s">
        <v>39</v>
      </c>
      <c r="CI120" s="13" t="s">
        <v>61</v>
      </c>
      <c r="CJ120" s="518" t="str">
        <f>IF(AND(_AC6="A-350",'2023'!$G$4="CA",'2023'!$G$2=CJ119),'2023DATA'!$C$3,"")</f>
        <v/>
      </c>
      <c r="CK120" s="518" t="str">
        <f>IF(AND(_AC6="A-350",'2023'!$G$4="CA",'2023'!$G$2=CK119),'2023DATA'!$D$3,"")</f>
        <v/>
      </c>
      <c r="CL120" s="518" t="str">
        <f>IF(AND(_AC6="A-350",'2023'!$G$4="CA",'2023'!$G$2=CL119),'2023DATA'!$E$3,"")</f>
        <v/>
      </c>
      <c r="CM120" s="518" t="str">
        <f>IF(AND(_AC6="A-350",'2023'!$G$4="CA",'2023'!$G$2=CM119),'2023DATA'!$F$3,"")</f>
        <v/>
      </c>
      <c r="CN120" s="518" t="str">
        <f>IF(AND(_AC6="A-350",'2023'!$G$4="CA",'2023'!$G$2=CN119),'2023DATA'!$G$3,"")</f>
        <v/>
      </c>
      <c r="CO120" s="518" t="str">
        <f>IF(AND(_AC6="A-350",'2023'!$G$4="CA",'2023'!$G$2=CO119),'2023DATA'!$H$3,"")</f>
        <v/>
      </c>
      <c r="CP120" s="518" t="str">
        <f>IF(AND(_AC6="A-350",'2023'!$G$4="CA",'2023'!$G$2=CP119),'2023DATA'!$I$3,"")</f>
        <v/>
      </c>
      <c r="CQ120" s="518" t="str">
        <f>IF(AND(_AC6="A-350",'2023'!$G$4="CA",'2023'!$G$2=CQ119),'2023DATA'!$J$3,"")</f>
        <v/>
      </c>
      <c r="CR120" s="518" t="str">
        <f>IF(AND(_AC6="A-350",'2023'!$G$4="CA",'2023'!$G$2=CR119),'2023DATA'!$K$3,"")</f>
        <v/>
      </c>
      <c r="CS120" s="518" t="str">
        <f>IF(AND(_AC6="A-350",'2023'!$G$4="CA",'2023'!$G$2=CS119),'2023DATA'!$L$3,"")</f>
        <v/>
      </c>
      <c r="CT120" s="518" t="str">
        <f>IF(AND(_AC6="A-350",'2023'!$G$4="CA",'2023'!$G$2=CT119),'2023DATA'!$M$3,"")</f>
        <v/>
      </c>
      <c r="CU120" s="520" t="str">
        <f>IF(AND(_AC6="A-350",'2023'!$G$4="CA",'2023'!$G$2=CU119),'2023DATA'!$N$3,"")</f>
        <v/>
      </c>
    </row>
    <row r="121" spans="16:99" x14ac:dyDescent="0.25">
      <c r="P121" s="940"/>
      <c r="Q121" s="13" t="s">
        <v>62</v>
      </c>
      <c r="R121" s="518" t="str">
        <f>IF(AND(_AC1="A-350",'2023'!$G$4="FO",'2023'!$G$2=R119),'2023DATA'!$C$4,"")</f>
        <v/>
      </c>
      <c r="S121" s="518" t="str">
        <f>IF(AND(_AC1="A-350",'2023'!$G$4="FO",'2023'!$G$2=S119),'2023DATA'!$D$4,"")</f>
        <v/>
      </c>
      <c r="T121" s="518" t="str">
        <f>IF(AND(_AC1="A-350",'2023'!$G$4="FO",'2023'!$G$2=T119),'2023DATA'!$E$4,"")</f>
        <v/>
      </c>
      <c r="U121" s="518" t="str">
        <f>IF(AND(_AC1="A-350",'2023'!$G$4="FO",'2023'!$G$2=U119),'2023DATA'!$F$4,"")</f>
        <v/>
      </c>
      <c r="V121" s="518" t="str">
        <f>IF(AND(_AC1="A-350",'2023'!$G$4="FO",'2023'!$G$2=V119),'2023DATA'!$G$4,"")</f>
        <v/>
      </c>
      <c r="W121" s="518" t="str">
        <f>IF(AND(_AC1="A-350",'2023'!$G$4="FO",'2023'!$G$2=W119),'2023DATA'!$H$4,"")</f>
        <v/>
      </c>
      <c r="X121" s="518" t="str">
        <f>IF(AND(_AC1="A-350",'2023'!$G$4="FO",'2023'!$G$2=X119),'2023DATA'!$I$4,"")</f>
        <v/>
      </c>
      <c r="Y121" s="518" t="str">
        <f>IF(AND(_AC1="A-350",'2023'!$G$4="FO",'2023'!$G$2=Y119),'2023DATA'!$J$4,"")</f>
        <v/>
      </c>
      <c r="Z121" s="518" t="str">
        <f>IF(AND(_AC1="A-350",'2023'!$G$4="FO",'2023'!$G$2=Z119),'2023DATA'!$K$4,"")</f>
        <v/>
      </c>
      <c r="AA121" s="518" t="str">
        <f>IF(AND(_AC1="A-350",'2023'!$G$4="FO",'2023'!$G$2=AA119),'2023DATA'!$L$4,"")</f>
        <v/>
      </c>
      <c r="AB121" s="518" t="str">
        <f>IF(AND(_AC1="A-350",'2023'!$G$4="FO",'2023'!$G$2=AB119),'2023DATA'!$M$4,"")</f>
        <v/>
      </c>
      <c r="AC121" s="520" t="str">
        <f>IF(AND(_AC1="A-350",'2023'!$G$4="FO",'2023'!$G$2=AC119),'2023DATA'!$N$4,"")</f>
        <v/>
      </c>
      <c r="AD121" s="940"/>
      <c r="AE121" s="13" t="s">
        <v>62</v>
      </c>
      <c r="AF121" s="518" t="str">
        <f>IF(AND(_AC2="A-350",'2023'!$G$4="FO",'2023'!$G$2=AF119),'2023DATA'!$C$4,"")</f>
        <v/>
      </c>
      <c r="AG121" s="518" t="str">
        <f>IF(AND(_AC2="A-350",'2023'!$G$4="FO",'2023'!$G$2=AG119),'2023DATA'!$D$4,"")</f>
        <v/>
      </c>
      <c r="AH121" s="518" t="str">
        <f>IF(AND(_AC2="A-350",'2023'!$G$4="FO",'2023'!$G$2=AH119),'2023DATA'!$E$4,"")</f>
        <v/>
      </c>
      <c r="AI121" s="518" t="str">
        <f>IF(AND(_AC2="A-350",'2023'!$G$4="FO",'2023'!$G$2=AI119),'2023DATA'!$F$4,"")</f>
        <v/>
      </c>
      <c r="AJ121" s="518" t="str">
        <f>IF(AND(_AC2="A-350",'2023'!$G$4="FO",'2023'!$G$2=AJ119),'2023DATA'!$G$4,"")</f>
        <v/>
      </c>
      <c r="AK121" s="518" t="str">
        <f>IF(AND(_AC2="A-350",'2023'!$G$4="FO",'2023'!$G$2=AK119),'2023DATA'!$H$4,"")</f>
        <v/>
      </c>
      <c r="AL121" s="518" t="str">
        <f>IF(AND(_AC2="A-350",'2023'!$G$4="FO",'2023'!$G$2=AL119),'2023DATA'!$I$4,"")</f>
        <v/>
      </c>
      <c r="AM121" s="518" t="str">
        <f>IF(AND(_AC2="A-350",'2023'!$G$4="FO",'2023'!$G$2=AM119),'2023DATA'!$J$4,"")</f>
        <v/>
      </c>
      <c r="AN121" s="518" t="str">
        <f>IF(AND(_AC2="A-350",'2023'!$G$4="FO",'2023'!$G$2=AN119),'2023DATA'!$K$4,"")</f>
        <v/>
      </c>
      <c r="AO121" s="518" t="str">
        <f>IF(AND(_AC2="A-350",'2023'!$G$4="FO",'2023'!$G$2=AO119),'2023DATA'!$L$4,"")</f>
        <v/>
      </c>
      <c r="AP121" s="518" t="str">
        <f>IF(AND(_AC2="A-350",'2023'!$G$4="FO",'2023'!$G$2=AP119),'2023DATA'!$M$4,"")</f>
        <v/>
      </c>
      <c r="AQ121" s="520" t="str">
        <f>IF(AND(_AC2="A-350",'2023'!$G$4="FO",'2023'!$G$2=AQ119),'2023DATA'!$N$4,"")</f>
        <v/>
      </c>
      <c r="AR121" s="940"/>
      <c r="AS121" s="13" t="s">
        <v>62</v>
      </c>
      <c r="AT121" s="518" t="str">
        <f>IF(AND(_AC3="A-350",'2023'!$G$4="FO",'2023'!$G$2=AT119),'2023DATA'!$C$4,"")</f>
        <v/>
      </c>
      <c r="AU121" s="518" t="str">
        <f>IF(AND(_AC3="A-350",'2023'!$G$4="FO",'2023'!$G$2=AU119),'2023DATA'!$D$4,"")</f>
        <v/>
      </c>
      <c r="AV121" s="518" t="str">
        <f>IF(AND(_AC3="A-350",'2023'!$G$4="FO",'2023'!$G$2=AV119),'2023DATA'!$E$4,"")</f>
        <v/>
      </c>
      <c r="AW121" s="518" t="str">
        <f>IF(AND(_AC3="A-350",'2023'!$G$4="FO",'2023'!$G$2=AW119),'2023DATA'!$F$4,"")</f>
        <v/>
      </c>
      <c r="AX121" s="518" t="str">
        <f>IF(AND(_AC3="A-350",'2023'!$G$4="FO",'2023'!$G$2=AX119),'2023DATA'!$G$4,"")</f>
        <v/>
      </c>
      <c r="AY121" s="518" t="str">
        <f>IF(AND(_AC3="A-350",'2023'!$G$4="FO",'2023'!$G$2=AY119),'2023DATA'!$H$4,"")</f>
        <v/>
      </c>
      <c r="AZ121" s="518" t="str">
        <f>IF(AND(_AC3="A-350",'2023'!$G$4="FO",'2023'!$G$2=AZ119),'2023DATA'!$I$4,"")</f>
        <v/>
      </c>
      <c r="BA121" s="518" t="str">
        <f>IF(AND(_AC3="A-350",'2023'!$G$4="FO",'2023'!$G$2=BA119),'2023DATA'!$J$4,"")</f>
        <v/>
      </c>
      <c r="BB121" s="518" t="str">
        <f>IF(AND(_AC3="A-350",'2023'!$G$4="FO",'2023'!$G$2=BB119),'2023DATA'!$K$4,"")</f>
        <v/>
      </c>
      <c r="BC121" s="518" t="str">
        <f>IF(AND(_AC3="A-350",'2023'!$G$4="FO",'2023'!$G$2=BC119),'2023DATA'!$L$4,"")</f>
        <v/>
      </c>
      <c r="BD121" s="518" t="str">
        <f>IF(AND(_AC3="A-350",'2023'!$G$4="FO",'2023'!$G$2=BD119),'2023DATA'!$M$4,"")</f>
        <v/>
      </c>
      <c r="BE121" s="520" t="str">
        <f>IF(AND(_AC3="A-350",'2023'!$G$4="FO",'2023'!$G$2=BE119),'2023DATA'!$N$4,"")</f>
        <v/>
      </c>
      <c r="BF121" s="940"/>
      <c r="BG121" s="13" t="s">
        <v>62</v>
      </c>
      <c r="BH121" s="518" t="str">
        <f>IF(AND(_AC4="A-350",'2023'!$G$4="FO",'2023'!$G$2=BH119),'2023DATA'!$C$4,"")</f>
        <v/>
      </c>
      <c r="BI121" s="518" t="str">
        <f>IF(AND(_AC4="A-350",'2023'!$G$4="FO",'2023'!$G$2=BI119),'2023DATA'!$D$4,"")</f>
        <v/>
      </c>
      <c r="BJ121" s="518" t="str">
        <f>IF(AND(_AC4="A-350",'2023'!$G$4="FO",'2023'!$G$2=BJ119),'2023DATA'!$E$4,"")</f>
        <v/>
      </c>
      <c r="BK121" s="518" t="str">
        <f>IF(AND(_AC4="A-350",'2023'!$G$4="FO",'2023'!$G$2=BK119),'2023DATA'!$F$4,"")</f>
        <v/>
      </c>
      <c r="BL121" s="518" t="str">
        <f>IF(AND(_AC4="A-350",'2023'!$G$4="FO",'2023'!$G$2=BL119),'2023DATA'!$G$4,"")</f>
        <v/>
      </c>
      <c r="BM121" s="518" t="str">
        <f>IF(AND(_AC4="A-350",'2023'!$G$4="FO",'2023'!$G$2=BM119),'2023DATA'!$H$4,"")</f>
        <v/>
      </c>
      <c r="BN121" s="518" t="str">
        <f>IF(AND(_AC4="A-350",'2023'!$G$4="FO",'2023'!$G$2=BN119),'2023DATA'!$I$4,"")</f>
        <v/>
      </c>
      <c r="BO121" s="518" t="str">
        <f>IF(AND(_AC4="A-350",'2023'!$G$4="FO",'2023'!$G$2=BO119),'2023DATA'!$J$4,"")</f>
        <v/>
      </c>
      <c r="BP121" s="518" t="str">
        <f>IF(AND(_AC4="A-350",'2023'!$G$4="FO",'2023'!$G$2=BP119),'2023DATA'!$K$4,"")</f>
        <v/>
      </c>
      <c r="BQ121" s="518" t="str">
        <f>IF(AND(_AC4="A-350",'2023'!$G$4="FO",'2023'!$G$2=BQ119),'2023DATA'!$L$4,"")</f>
        <v/>
      </c>
      <c r="BR121" s="518" t="str">
        <f>IF(AND(_AC4="A-350",'2023'!$G$4="FO",'2023'!$G$2=BR119),'2023DATA'!$M$4,"")</f>
        <v/>
      </c>
      <c r="BS121" s="520" t="str">
        <f>IF(AND(_AC4="A-350",'2023'!$G$4="FO",'2023'!$G$2=BS119),'2023DATA'!$N$4,"")</f>
        <v/>
      </c>
      <c r="BT121" s="940"/>
      <c r="BU121" s="13" t="s">
        <v>62</v>
      </c>
      <c r="BV121" s="518" t="str">
        <f>IF(AND(_AC5="A-350",'2023'!$G$4="FO",'2023'!$G$2=BV119),'2023DATA'!$C$4,"")</f>
        <v/>
      </c>
      <c r="BW121" s="518" t="str">
        <f>IF(AND(_AC5="A-350",'2023'!$G$4="FO",'2023'!$G$2=BW119),'2023DATA'!$D$4,"")</f>
        <v/>
      </c>
      <c r="BX121" s="518" t="str">
        <f>IF(AND(_AC5="A-350",'2023'!$G$4="FO",'2023'!$G$2=BX119),'2023DATA'!$E$4,"")</f>
        <v/>
      </c>
      <c r="BY121" s="518" t="str">
        <f>IF(AND(_AC5="A-350",'2023'!$G$4="FO",'2023'!$G$2=BY119),'2023DATA'!$F$4,"")</f>
        <v/>
      </c>
      <c r="BZ121" s="518" t="str">
        <f>IF(AND(_AC5="A-350",'2023'!$G$4="FO",'2023'!$G$2=BZ119),'2023DATA'!$G$4,"")</f>
        <v/>
      </c>
      <c r="CA121" s="518" t="str">
        <f>IF(AND(_AC5="A-350",'2023'!$G$4="FO",'2023'!$G$2=CA119),'2023DATA'!$H$4,"")</f>
        <v/>
      </c>
      <c r="CB121" s="518" t="str">
        <f>IF(AND(_AC5="A-350",'2023'!$G$4="FO",'2023'!$G$2=CB119),'2023DATA'!$I$4,"")</f>
        <v/>
      </c>
      <c r="CC121" s="518" t="str">
        <f>IF(AND(_AC5="A-350",'2023'!$G$4="FO",'2023'!$G$2=CC119),'2023DATA'!$J$4,"")</f>
        <v/>
      </c>
      <c r="CD121" s="518" t="str">
        <f>IF(AND(_AC5="A-350",'2023'!$G$4="FO",'2023'!$G$2=CD119),'2023DATA'!$K$4,"")</f>
        <v/>
      </c>
      <c r="CE121" s="518" t="str">
        <f>IF(AND(_AC5="A-350",'2023'!$G$4="FO",'2023'!$G$2=CE119),'2023DATA'!$L$4,"")</f>
        <v/>
      </c>
      <c r="CF121" s="518" t="str">
        <f>IF(AND(_AC5="A-350",'2023'!$G$4="FO",'2023'!$G$2=CF119),'2023DATA'!$M$4,"")</f>
        <v/>
      </c>
      <c r="CG121" s="520" t="str">
        <f>IF(AND(_AC5="A-350",'2023'!$G$4="FO",'2023'!$G$2=CG119),'2023DATA'!$N$4,"")</f>
        <v/>
      </c>
      <c r="CH121" s="940"/>
      <c r="CI121" s="13" t="s">
        <v>62</v>
      </c>
      <c r="CJ121" s="518" t="str">
        <f>IF(AND(_AC6="A-350",'2023'!$G$4="FO",'2023'!$G$2=CJ119),'2023DATA'!$C$4,"")</f>
        <v/>
      </c>
      <c r="CK121" s="518" t="str">
        <f>IF(AND(_AC6="A-350",'2023'!$G$4="FO",'2023'!$G$2=CK119),'2023DATA'!$D$4,"")</f>
        <v/>
      </c>
      <c r="CL121" s="518" t="str">
        <f>IF(AND(_AC6="A-350",'2023'!$G$4="FO",'2023'!$G$2=CL119),'2023DATA'!$E$4,"")</f>
        <v/>
      </c>
      <c r="CM121" s="518" t="str">
        <f>IF(AND(_AC6="A-350",'2023'!$G$4="FO",'2023'!$G$2=CM119),'2023DATA'!$F$4,"")</f>
        <v/>
      </c>
      <c r="CN121" s="518" t="str">
        <f>IF(AND(_AC6="A-350",'2023'!$G$4="FO",'2023'!$G$2=CN119),'2023DATA'!$G$4,"")</f>
        <v/>
      </c>
      <c r="CO121" s="518" t="str">
        <f>IF(AND(_AC6="A-350",'2023'!$G$4="FO",'2023'!$G$2=CO119),'2023DATA'!$H$4,"")</f>
        <v/>
      </c>
      <c r="CP121" s="518" t="str">
        <f>IF(AND(_AC6="A-350",'2023'!$G$4="FO",'2023'!$G$2=CP119),'2023DATA'!$I$4,"")</f>
        <v/>
      </c>
      <c r="CQ121" s="518" t="str">
        <f>IF(AND(_AC6="A-350",'2023'!$G$4="FO",'2023'!$G$2=CQ119),'2023DATA'!$J$4,"")</f>
        <v/>
      </c>
      <c r="CR121" s="518" t="str">
        <f>IF(AND(_AC6="A-350",'2023'!$G$4="FO",'2023'!$G$2=CR119),'2023DATA'!$K$4,"")</f>
        <v/>
      </c>
      <c r="CS121" s="518" t="str">
        <f>IF(AND(_AC6="A-350",'2023'!$G$4="FO",'2023'!$G$2=CS119),'2023DATA'!$L$4,"")</f>
        <v/>
      </c>
      <c r="CT121" s="518" t="str">
        <f>IF(AND(_AC6="A-350",'2023'!$G$4="FO",'2023'!$G$2=CT119),'2023DATA'!$M$4,"")</f>
        <v/>
      </c>
      <c r="CU121" s="520" t="str">
        <f>IF(AND(_AC6="A-350",'2023'!$G$4="FO",'2023'!$G$2=CU119),'2023DATA'!$N$4,"")</f>
        <v/>
      </c>
    </row>
    <row r="122" spans="16:99" x14ac:dyDescent="0.25">
      <c r="P122" s="940" t="s">
        <v>65</v>
      </c>
      <c r="Q122" s="13" t="s">
        <v>61</v>
      </c>
      <c r="R122" s="518" t="str">
        <f>IF(AND(_AC1="A-330-900",'2023'!$G$4="CA",'2023'!$G$2=R119),'2023DATA'!$C$5,"")</f>
        <v/>
      </c>
      <c r="S122" s="518" t="str">
        <f>IF(AND(_AC1="A-330-900",'2023'!$G$4="CA",'2023'!$G$2=S119),'2023DATA'!$D$5,"")</f>
        <v/>
      </c>
      <c r="T122" s="518" t="str">
        <f>IF(AND(_AC1="A-330-900",'2023'!$G$4="CA",'2023'!$G$2=T119),'2023DATA'!$E$5,"")</f>
        <v/>
      </c>
      <c r="U122" s="518" t="str">
        <f>IF(AND(_AC1="A-330-900",'2023'!$G$4="CA",'2023'!$G$2=U119),'2023DATA'!$F$5,"")</f>
        <v/>
      </c>
      <c r="V122" s="518" t="str">
        <f>IF(AND(_AC1="A-330-900",'2023'!$G$4="CA",'2023'!$G$2=V119),'2023DATA'!$G$5,"")</f>
        <v/>
      </c>
      <c r="W122" s="518" t="str">
        <f>IF(AND(_AC1="A-330-900",'2023'!$G$4="CA",'2023'!$G$2=W119),'2023DATA'!$H$5,"")</f>
        <v/>
      </c>
      <c r="X122" s="518" t="str">
        <f>IF(AND(_AC1="A-330-900",'2023'!$G$4="CA",'2023'!$G$2=X119),'2023DATA'!$I$5,"")</f>
        <v/>
      </c>
      <c r="Y122" s="518" t="str">
        <f>IF(AND(_AC1="A-330-900",'2023'!$G$4="CA",'2023'!$G$2=Y119),'2023DATA'!$J$5,"")</f>
        <v/>
      </c>
      <c r="Z122" s="518" t="str">
        <f>IF(AND(_AC1="A-330-900",'2023'!$G$4="CA",'2023'!$G$2=Z119),'2023DATA'!$K$5,"")</f>
        <v/>
      </c>
      <c r="AA122" s="518" t="str">
        <f>IF(AND(_AC1="A-330-900",'2023'!$G$4="CA",'2023'!$G$2=AA119),'2023DATA'!$L$5,"")</f>
        <v/>
      </c>
      <c r="AB122" s="518" t="str">
        <f>IF(AND(_AC1="A-330-900",'2023'!$G$4="CA",'2023'!$G$2=AB119),'2023DATA'!$M$5,"")</f>
        <v/>
      </c>
      <c r="AC122" s="520" t="str">
        <f>IF(AND(_AC1="A-330-900",'2023'!$G$4="CA",'2023'!$G$2=AC119),'2023DATA'!$N$5,"")</f>
        <v/>
      </c>
      <c r="AD122" s="940" t="s">
        <v>65</v>
      </c>
      <c r="AE122" s="13" t="s">
        <v>61</v>
      </c>
      <c r="AF122" s="518" t="str">
        <f>IF(AND(_AC2="A-330-900",'2023'!$G$4="CA",'2023'!$G$2=AF119),'2023DATA'!$C$5,"")</f>
        <v/>
      </c>
      <c r="AG122" s="518" t="str">
        <f>IF(AND(_AC2="A-330-900",'2023'!$G$4="CA",'2023'!$G$2=AG119),'2023DATA'!$D$5,"")</f>
        <v/>
      </c>
      <c r="AH122" s="518" t="str">
        <f>IF(AND(_AC2="A-330-900",'2023'!$G$4="CA",'2023'!$G$2=AH119),'2023DATA'!$E$5,"")</f>
        <v/>
      </c>
      <c r="AI122" s="518" t="str">
        <f>IF(AND(_AC2="A-330-900",'2023'!$G$4="CA",'2023'!$G$2=AI119),'2023DATA'!$F$5,"")</f>
        <v/>
      </c>
      <c r="AJ122" s="518" t="str">
        <f>IF(AND(_AC2="A-330-900",'2023'!$G$4="CA",'2023'!$G$2=AJ119),'2023DATA'!$G$5,"")</f>
        <v/>
      </c>
      <c r="AK122" s="518" t="str">
        <f>IF(AND(_AC2="A-330-900",'2023'!$G$4="CA",'2023'!$G$2=AK119),'2023DATA'!$H$5,"")</f>
        <v/>
      </c>
      <c r="AL122" s="518" t="str">
        <f>IF(AND(_AC2="A-330-900",'2023'!$G$4="CA",'2023'!$G$2=AL119),'2023DATA'!$I$5,"")</f>
        <v/>
      </c>
      <c r="AM122" s="518" t="str">
        <f>IF(AND(_AC2="A-330-900",'2023'!$G$4="CA",'2023'!$G$2=AM119),'2023DATA'!$J$5,"")</f>
        <v/>
      </c>
      <c r="AN122" s="518" t="str">
        <f>IF(AND(_AC2="A-330-900",'2023'!$G$4="CA",'2023'!$G$2=AN119),'2023DATA'!$K$5,"")</f>
        <v/>
      </c>
      <c r="AO122" s="518" t="str">
        <f>IF(AND(_AC2="A-330-900",'2023'!$G$4="CA",'2023'!$G$2=AO119),'2023DATA'!$L$5,"")</f>
        <v/>
      </c>
      <c r="AP122" s="518" t="str">
        <f>IF(AND(_AC2="A-330-900",'2023'!$G$4="CA",'2023'!$G$2=AP119),'2023DATA'!$M$5,"")</f>
        <v/>
      </c>
      <c r="AQ122" s="520" t="str">
        <f>IF(AND(_AC2="A-330-900",'2023'!$G$4="CA",'2023'!$G$2=AQ119),'2023DATA'!$N$5,"")</f>
        <v/>
      </c>
      <c r="AR122" s="940" t="s">
        <v>65</v>
      </c>
      <c r="AS122" s="13" t="s">
        <v>61</v>
      </c>
      <c r="AT122" s="518" t="str">
        <f>IF(AND(_AC3="A-330-900",'2023'!$G$4="CA",'2023'!$G$2=AT119),'2023DATA'!$C$5,"")</f>
        <v/>
      </c>
      <c r="AU122" s="518" t="str">
        <f>IF(AND(_AC3="A-330-900",'2023'!$G$4="CA",'2023'!$G$2=AU119),'2023DATA'!$D$5,"")</f>
        <v/>
      </c>
      <c r="AV122" s="518" t="str">
        <f>IF(AND(_AC3="A-330-900",'2023'!$G$4="CA",'2023'!$G$2=AV119),'2023DATA'!$E$5,"")</f>
        <v/>
      </c>
      <c r="AW122" s="518" t="str">
        <f>IF(AND(_AC3="A-330-900",'2023'!$G$4="CA",'2023'!$G$2=AW119),'2023DATA'!$F$5,"")</f>
        <v/>
      </c>
      <c r="AX122" s="518" t="str">
        <f>IF(AND(_AC3="A-330-900",'2023'!$G$4="CA",'2023'!$G$2=AX119),'2023DATA'!$G$5,"")</f>
        <v/>
      </c>
      <c r="AY122" s="518" t="str">
        <f>IF(AND(_AC3="A-330-900",'2023'!$G$4="CA",'2023'!$G$2=AY119),'2023DATA'!$H$5,"")</f>
        <v/>
      </c>
      <c r="AZ122" s="518" t="str">
        <f>IF(AND(_AC3="A-330-900",'2023'!$G$4="CA",'2023'!$G$2=AZ119),'2023DATA'!$I$5,"")</f>
        <v/>
      </c>
      <c r="BA122" s="518" t="str">
        <f>IF(AND(_AC3="A-330-900",'2023'!$G$4="CA",'2023'!$G$2=BA119),'2023DATA'!$J$5,"")</f>
        <v/>
      </c>
      <c r="BB122" s="518" t="str">
        <f>IF(AND(_AC3="A-330-900",'2023'!$G$4="CA",'2023'!$G$2=BB119),'2023DATA'!$K$5,"")</f>
        <v/>
      </c>
      <c r="BC122" s="518" t="str">
        <f>IF(AND(_AC3="A-330-900",'2023'!$G$4="CA",'2023'!$G$2=BC119),'2023DATA'!$L$5,"")</f>
        <v/>
      </c>
      <c r="BD122" s="518" t="str">
        <f>IF(AND(_AC3="A-330-900",'2023'!$G$4="CA",'2023'!$G$2=BD119),'2023DATA'!$M$5,"")</f>
        <v/>
      </c>
      <c r="BE122" s="520" t="str">
        <f>IF(AND(_AC3="A-330-900",'2023'!$G$4="CA",'2023'!$G$2=BE119),'2023DATA'!$N$5,"")</f>
        <v/>
      </c>
      <c r="BF122" s="940" t="s">
        <v>65</v>
      </c>
      <c r="BG122" s="13" t="s">
        <v>61</v>
      </c>
      <c r="BH122" s="518" t="str">
        <f>IF(AND(_AC4="A-330-900",'2023'!$G$4="CA",'2023'!$G$2=BH119),'2023DATA'!$C$5,"")</f>
        <v/>
      </c>
      <c r="BI122" s="518" t="str">
        <f>IF(AND(_AC4="A-330-900",'2023'!$G$4="CA",'2023'!$G$2=BI119),'2023DATA'!$D$5,"")</f>
        <v/>
      </c>
      <c r="BJ122" s="518" t="str">
        <f>IF(AND(_AC4="A-330-900",'2023'!$G$4="CA",'2023'!$G$2=BJ119),'2023DATA'!$E$5,"")</f>
        <v/>
      </c>
      <c r="BK122" s="518" t="str">
        <f>IF(AND(_AC4="A-330-900",'2023'!$G$4="CA",'2023'!$G$2=BK119),'2023DATA'!$F$5,"")</f>
        <v/>
      </c>
      <c r="BL122" s="518" t="str">
        <f>IF(AND(_AC4="A-330-900",'2023'!$G$4="CA",'2023'!$G$2=BL119),'2023DATA'!$G$5,"")</f>
        <v/>
      </c>
      <c r="BM122" s="518" t="str">
        <f>IF(AND(_AC4="A-330-900",'2023'!$G$4="CA",'2023'!$G$2=BM119),'2023DATA'!$H$5,"")</f>
        <v/>
      </c>
      <c r="BN122" s="518" t="str">
        <f>IF(AND(_AC4="A-330-900",'2023'!$G$4="CA",'2023'!$G$2=BN119),'2023DATA'!$I$5,"")</f>
        <v/>
      </c>
      <c r="BO122" s="518" t="str">
        <f>IF(AND(_AC4="A-330-900",'2023'!$G$4="CA",'2023'!$G$2=BO119),'2023DATA'!$J$5,"")</f>
        <v/>
      </c>
      <c r="BP122" s="518" t="str">
        <f>IF(AND(_AC4="A-330-900",'2023'!$G$4="CA",'2023'!$G$2=BP119),'2023DATA'!$K$5,"")</f>
        <v/>
      </c>
      <c r="BQ122" s="518" t="str">
        <f>IF(AND(_AC4="A-330-900",'2023'!$G$4="CA",'2023'!$G$2=BQ119),'2023DATA'!$L$5,"")</f>
        <v/>
      </c>
      <c r="BR122" s="518" t="str">
        <f>IF(AND(_AC4="A-330-900",'2023'!$G$4="CA",'2023'!$G$2=BR119),'2023DATA'!$M$5,"")</f>
        <v/>
      </c>
      <c r="BS122" s="520" t="str">
        <f>IF(AND(_AC4="A-330-900",'2023'!$G$4="CA",'2023'!$G$2=BS119),'2023DATA'!$N$5,"")</f>
        <v/>
      </c>
      <c r="BT122" s="940" t="s">
        <v>65</v>
      </c>
      <c r="BU122" s="13" t="s">
        <v>61</v>
      </c>
      <c r="BV122" s="518" t="str">
        <f>IF(AND(_AC5="A-330-900",'2023'!$G$4="CA",'2023'!$G$2=BV119),'2023DATA'!$C$5,"")</f>
        <v/>
      </c>
      <c r="BW122" s="518" t="str">
        <f>IF(AND(_AC5="A-330-900",'2023'!$G$4="CA",'2023'!$G$2=BW119),'2023DATA'!$D$5,"")</f>
        <v/>
      </c>
      <c r="BX122" s="518" t="str">
        <f>IF(AND(_AC5="A-330-900",'2023'!$G$4="CA",'2023'!$G$2=BX119),'2023DATA'!$E$5,"")</f>
        <v/>
      </c>
      <c r="BY122" s="518" t="str">
        <f>IF(AND(_AC5="A-330-900",'2023'!$G$4="CA",'2023'!$G$2=BY119),'2023DATA'!$F$5,"")</f>
        <v/>
      </c>
      <c r="BZ122" s="518" t="str">
        <f>IF(AND(_AC5="A-330-900",'2023'!$G$4="CA",'2023'!$G$2=BZ119),'2023DATA'!$G$5,"")</f>
        <v/>
      </c>
      <c r="CA122" s="518" t="str">
        <f>IF(AND(_AC5="A-330-900",'2023'!$G$4="CA",'2023'!$G$2=CA119),'2023DATA'!$H$5,"")</f>
        <v/>
      </c>
      <c r="CB122" s="518" t="str">
        <f>IF(AND(_AC5="A-330-900",'2023'!$G$4="CA",'2023'!$G$2=CB119),'2023DATA'!$I$5,"")</f>
        <v/>
      </c>
      <c r="CC122" s="518" t="str">
        <f>IF(AND(_AC5="A-330-900",'2023'!$G$4="CA",'2023'!$G$2=CC119),'2023DATA'!$J$5,"")</f>
        <v/>
      </c>
      <c r="CD122" s="518" t="str">
        <f>IF(AND(_AC5="A-330-900",'2023'!$G$4="CA",'2023'!$G$2=CD119),'2023DATA'!$K$5,"")</f>
        <v/>
      </c>
      <c r="CE122" s="518" t="str">
        <f>IF(AND(_AC5="A-330-900",'2023'!$G$4="CA",'2023'!$G$2=CE119),'2023DATA'!$L$5,"")</f>
        <v/>
      </c>
      <c r="CF122" s="518" t="str">
        <f>IF(AND(_AC5="A-330-900",'2023'!$G$4="CA",'2023'!$G$2=CF119),'2023DATA'!$M$5,"")</f>
        <v/>
      </c>
      <c r="CG122" s="520" t="str">
        <f>IF(AND(_AC5="A-330-900",'2023'!$G$4="CA",'2023'!$G$2=CG119),'2023DATA'!$N$5,"")</f>
        <v/>
      </c>
      <c r="CH122" s="940" t="s">
        <v>65</v>
      </c>
      <c r="CI122" s="13" t="s">
        <v>61</v>
      </c>
      <c r="CJ122" s="518" t="str">
        <f>IF(AND(_AC6="A-330-900",'2023'!$G$4="CA",'2023'!$G$2=CJ119),'2023DATA'!$C$5,"")</f>
        <v/>
      </c>
      <c r="CK122" s="518" t="str">
        <f>IF(AND(_AC6="A-330-900",'2023'!$G$4="CA",'2023'!$G$2=CK119),'2023DATA'!$D$5,"")</f>
        <v/>
      </c>
      <c r="CL122" s="518" t="str">
        <f>IF(AND(_AC6="A-330-900",'2023'!$G$4="CA",'2023'!$G$2=CL119),'2023DATA'!$E$5,"")</f>
        <v/>
      </c>
      <c r="CM122" s="518" t="str">
        <f>IF(AND(_AC6="A-330-900",'2023'!$G$4="CA",'2023'!$G$2=CM119),'2023DATA'!$F$5,"")</f>
        <v/>
      </c>
      <c r="CN122" s="518" t="str">
        <f>IF(AND(_AC6="A-330-900",'2023'!$G$4="CA",'2023'!$G$2=CN119),'2023DATA'!$G$5,"")</f>
        <v/>
      </c>
      <c r="CO122" s="518" t="str">
        <f>IF(AND(_AC6="A-330-900",'2023'!$G$4="CA",'2023'!$G$2=CO119),'2023DATA'!$H$5,"")</f>
        <v/>
      </c>
      <c r="CP122" s="518" t="str">
        <f>IF(AND(_AC6="A-330-900",'2023'!$G$4="CA",'2023'!$G$2=CP119),'2023DATA'!$I$5,"")</f>
        <v/>
      </c>
      <c r="CQ122" s="518" t="str">
        <f>IF(AND(_AC6="A-330-900",'2023'!$G$4="CA",'2023'!$G$2=CQ119),'2023DATA'!$J$5,"")</f>
        <v/>
      </c>
      <c r="CR122" s="518" t="str">
        <f>IF(AND(_AC6="A-330-900",'2023'!$G$4="CA",'2023'!$G$2=CR119),'2023DATA'!$K$5,"")</f>
        <v/>
      </c>
      <c r="CS122" s="518" t="str">
        <f>IF(AND(_AC6="A-330-900",'2023'!$G$4="CA",'2023'!$G$2=CS119),'2023DATA'!$L$5,"")</f>
        <v/>
      </c>
      <c r="CT122" s="518" t="str">
        <f>IF(AND(_AC6="A-330-900",'2023'!$G$4="CA",'2023'!$G$2=CT119),'2023DATA'!$M$5,"")</f>
        <v/>
      </c>
      <c r="CU122" s="520" t="str">
        <f>IF(AND(_AC6="A-330-900",'2023'!$G$4="CA",'2023'!$G$2=CU119),'2023DATA'!$N$5,"")</f>
        <v/>
      </c>
    </row>
    <row r="123" spans="16:99" x14ac:dyDescent="0.25">
      <c r="P123" s="940"/>
      <c r="Q123" s="13" t="s">
        <v>62</v>
      </c>
      <c r="R123" s="518" t="str">
        <f>IF(AND(_AC1="A-330-900",'2023'!$G$4="FO",'2023'!$G$2=R119),'2023DATA'!$C$6,"")</f>
        <v/>
      </c>
      <c r="S123" s="518" t="str">
        <f>IF(AND(_AC1="A-330-900",'2023'!$G$4="FO",'2023'!$G$2=S119),'2023DATA'!$D$6,"")</f>
        <v/>
      </c>
      <c r="T123" s="518" t="str">
        <f>IF(AND(_AC1="A-330-900",'2023'!$G$4="FO",'2023'!$G$2=T119),'2023DATA'!$E$6,"")</f>
        <v/>
      </c>
      <c r="U123" s="518" t="str">
        <f>IF(AND(_AC1="A-330-900",'2023'!$G$4="FO",'2023'!$G$2=U119),'2023DATA'!$F$6,"")</f>
        <v/>
      </c>
      <c r="V123" s="518" t="str">
        <f>IF(AND(_AC1="A-330-900",'2023'!$G$4="FO",'2023'!$G$2=V119),'2023DATA'!$G$6,"")</f>
        <v/>
      </c>
      <c r="W123" s="518" t="str">
        <f>IF(AND(_AC1="A-330-900",'2023'!$G$4="FO",'2023'!$G$2=W119),'2023DATA'!$H$6,"")</f>
        <v/>
      </c>
      <c r="X123" s="518" t="str">
        <f>IF(AND(_AC1="A-330-900",'2023'!$G$4="FO",'2023'!$G$2=X119),'2023DATA'!$I$6,"")</f>
        <v/>
      </c>
      <c r="Y123" s="518" t="str">
        <f>IF(AND(_AC1="A-330-900",'2023'!$G$4="FO",'2023'!$G$2=Y119),'2023DATA'!$J$6,"")</f>
        <v/>
      </c>
      <c r="Z123" s="518" t="str">
        <f>IF(AND(_AC1="A-330-900",'2023'!$G$4="FO",'2023'!$G$2=Z119),'2023DATA'!$K$6,"")</f>
        <v/>
      </c>
      <c r="AA123" s="518" t="str">
        <f>IF(AND(_AC1="A-330-900",'2023'!$G$4="FO",'2023'!$G$2=AA119),'2023DATA'!$L$6,"")</f>
        <v/>
      </c>
      <c r="AB123" s="518" t="str">
        <f>IF(AND(_AC1="A-330-900",'2023'!$G$4="FO",'2023'!$G$2=AB119),'2023DATA'!$M$6,"")</f>
        <v/>
      </c>
      <c r="AC123" s="520" t="str">
        <f>IF(AND(_AC1="A-330-900",'2023'!$G$4="FO",'2023'!$G$2=AC119),'2023DATA'!$N$6,"")</f>
        <v/>
      </c>
      <c r="AD123" s="940"/>
      <c r="AE123" s="13" t="s">
        <v>62</v>
      </c>
      <c r="AF123" s="518" t="str">
        <f>IF(AND(_AC2="A-330-900",'2023'!$G$4="FO",'2023'!$G$2=AF119),'2023DATA'!$C$6,"")</f>
        <v/>
      </c>
      <c r="AG123" s="518" t="str">
        <f>IF(AND(_AC2="A-330-900",'2023'!$G$4="FO",'2023'!$G$2=AG119),'2023DATA'!$D$6,"")</f>
        <v/>
      </c>
      <c r="AH123" s="518" t="str">
        <f>IF(AND(_AC2="A-330-900",'2023'!$G$4="FO",'2023'!$G$2=AH119),'2023DATA'!$E$6,"")</f>
        <v/>
      </c>
      <c r="AI123" s="518" t="str">
        <f>IF(AND(_AC2="A-330-900",'2023'!$G$4="FO",'2023'!$G$2=AI119),'2023DATA'!$F$6,"")</f>
        <v/>
      </c>
      <c r="AJ123" s="518" t="str">
        <f>IF(AND(_AC2="A-330-900",'2023'!$G$4="FO",'2023'!$G$2=AJ119),'2023DATA'!$G$6,"")</f>
        <v/>
      </c>
      <c r="AK123" s="518" t="str">
        <f>IF(AND(_AC2="A-330-900",'2023'!$G$4="FO",'2023'!$G$2=AK119),'2023DATA'!$H$6,"")</f>
        <v/>
      </c>
      <c r="AL123" s="518" t="str">
        <f>IF(AND(_AC2="A-330-900",'2023'!$G$4="FO",'2023'!$G$2=AL119),'2023DATA'!$I$6,"")</f>
        <v/>
      </c>
      <c r="AM123" s="518" t="str">
        <f>IF(AND(_AC2="A-330-900",'2023'!$G$4="FO",'2023'!$G$2=AM119),'2023DATA'!$J$6,"")</f>
        <v/>
      </c>
      <c r="AN123" s="518" t="str">
        <f>IF(AND(_AC2="A-330-900",'2023'!$G$4="FO",'2023'!$G$2=AN119),'2023DATA'!$K$6,"")</f>
        <v/>
      </c>
      <c r="AO123" s="518" t="str">
        <f>IF(AND(_AC2="A-330-900",'2023'!$G$4="FO",'2023'!$G$2=AO119),'2023DATA'!$L$6,"")</f>
        <v/>
      </c>
      <c r="AP123" s="518" t="str">
        <f>IF(AND(_AC2="A-330-900",'2023'!$G$4="FO",'2023'!$G$2=AP119),'2023DATA'!$M$6,"")</f>
        <v/>
      </c>
      <c r="AQ123" s="520" t="str">
        <f>IF(AND(_AC2="A-330-900",'2023'!$G$4="FO",'2023'!$G$2=AQ119),'2023DATA'!$N$6,"")</f>
        <v/>
      </c>
      <c r="AR123" s="940"/>
      <c r="AS123" s="13" t="s">
        <v>62</v>
      </c>
      <c r="AT123" s="518" t="str">
        <f>IF(AND(_AC3="A-330-900",'2023'!$G$4="FO",'2023'!$G$2=AT119),'2023DATA'!$C$6,"")</f>
        <v/>
      </c>
      <c r="AU123" s="518" t="str">
        <f>IF(AND(_AC3="A-330-900",'2023'!$G$4="FO",'2023'!$G$2=AU119),'2023DATA'!$D$6,"")</f>
        <v/>
      </c>
      <c r="AV123" s="518" t="str">
        <f>IF(AND(_AC3="A-330-900",'2023'!$G$4="FO",'2023'!$G$2=AV119),'2023DATA'!$E$6,"")</f>
        <v/>
      </c>
      <c r="AW123" s="518" t="str">
        <f>IF(AND(_AC3="A-330-900",'2023'!$G$4="FO",'2023'!$G$2=AW119),'2023DATA'!$F$6,"")</f>
        <v/>
      </c>
      <c r="AX123" s="518" t="str">
        <f>IF(AND(_AC3="A-330-900",'2023'!$G$4="FO",'2023'!$G$2=AX119),'2023DATA'!$G$6,"")</f>
        <v/>
      </c>
      <c r="AY123" s="518" t="str">
        <f>IF(AND(_AC3="A-330-900",'2023'!$G$4="FO",'2023'!$G$2=AY119),'2023DATA'!$H$6,"")</f>
        <v/>
      </c>
      <c r="AZ123" s="518" t="str">
        <f>IF(AND(_AC3="A-330-900",'2023'!$G$4="FO",'2023'!$G$2=AZ119),'2023DATA'!$I$6,"")</f>
        <v/>
      </c>
      <c r="BA123" s="518" t="str">
        <f>IF(AND(_AC3="A-330-900",'2023'!$G$4="FO",'2023'!$G$2=BA119),'2023DATA'!$J$6,"")</f>
        <v/>
      </c>
      <c r="BB123" s="518" t="str">
        <f>IF(AND(_AC3="A-330-900",'2023'!$G$4="FO",'2023'!$G$2=BB119),'2023DATA'!$K$6,"")</f>
        <v/>
      </c>
      <c r="BC123" s="518" t="str">
        <f>IF(AND(_AC3="A-330-900",'2023'!$G$4="FO",'2023'!$G$2=BC119),'2023DATA'!$L$6,"")</f>
        <v/>
      </c>
      <c r="BD123" s="518" t="str">
        <f>IF(AND(_AC3="A-330-900",'2023'!$G$4="FO",'2023'!$G$2=BD119),'2023DATA'!$M$6,"")</f>
        <v/>
      </c>
      <c r="BE123" s="520" t="str">
        <f>IF(AND(_AC3="A-330-900",'2023'!$G$4="FO",'2023'!$G$2=BE119),'2023DATA'!$N$6,"")</f>
        <v/>
      </c>
      <c r="BF123" s="940"/>
      <c r="BG123" s="13" t="s">
        <v>62</v>
      </c>
      <c r="BH123" s="518" t="str">
        <f>IF(AND(_AC4="A-330-900",'2023'!$G$4="FO",'2023'!$G$2=BH119),'2023DATA'!$C$6,"")</f>
        <v/>
      </c>
      <c r="BI123" s="518" t="str">
        <f>IF(AND(_AC4="A-330-900",'2023'!$G$4="FO",'2023'!$G$2=BI119),'2023DATA'!$D$6,"")</f>
        <v/>
      </c>
      <c r="BJ123" s="518" t="str">
        <f>IF(AND(_AC4="A-330-900",'2023'!$G$4="FO",'2023'!$G$2=BJ119),'2023DATA'!$E$6,"")</f>
        <v/>
      </c>
      <c r="BK123" s="518" t="str">
        <f>IF(AND(_AC4="A-330-900",'2023'!$G$4="FO",'2023'!$G$2=BK119),'2023DATA'!$F$6,"")</f>
        <v/>
      </c>
      <c r="BL123" s="518" t="str">
        <f>IF(AND(_AC4="A-330-900",'2023'!$G$4="FO",'2023'!$G$2=BL119),'2023DATA'!$G$6,"")</f>
        <v/>
      </c>
      <c r="BM123" s="518" t="str">
        <f>IF(AND(_AC4="A-330-900",'2023'!$G$4="FO",'2023'!$G$2=BM119),'2023DATA'!$H$6,"")</f>
        <v/>
      </c>
      <c r="BN123" s="518" t="str">
        <f>IF(AND(_AC4="A-330-900",'2023'!$G$4="FO",'2023'!$G$2=BN119),'2023DATA'!$I$6,"")</f>
        <v/>
      </c>
      <c r="BO123" s="518" t="str">
        <f>IF(AND(_AC4="A-330-900",'2023'!$G$4="FO",'2023'!$G$2=BO119),'2023DATA'!$J$6,"")</f>
        <v/>
      </c>
      <c r="BP123" s="518" t="str">
        <f>IF(AND(_AC4="A-330-900",'2023'!$G$4="FO",'2023'!$G$2=BP119),'2023DATA'!$K$6,"")</f>
        <v/>
      </c>
      <c r="BQ123" s="518" t="str">
        <f>IF(AND(_AC4="A-330-900",'2023'!$G$4="FO",'2023'!$G$2=BQ119),'2023DATA'!$L$6,"")</f>
        <v/>
      </c>
      <c r="BR123" s="518" t="str">
        <f>IF(AND(_AC4="A-330-900",'2023'!$G$4="FO",'2023'!$G$2=BR119),'2023DATA'!$M$6,"")</f>
        <v/>
      </c>
      <c r="BS123" s="520" t="str">
        <f>IF(AND(_AC4="A-330-900",'2023'!$G$4="FO",'2023'!$G$2=BS119),'2023DATA'!$N$6,"")</f>
        <v/>
      </c>
      <c r="BT123" s="940"/>
      <c r="BU123" s="13" t="s">
        <v>62</v>
      </c>
      <c r="BV123" s="518" t="str">
        <f>IF(AND(_AC5="A-330-900",'2023'!$G$4="FO",'2023'!$G$2=BV119),'2023DATA'!$C$6,"")</f>
        <v/>
      </c>
      <c r="BW123" s="518" t="str">
        <f>IF(AND(_AC5="A-330-900",'2023'!$G$4="FO",'2023'!$G$2=BW119),'2023DATA'!$D$6,"")</f>
        <v/>
      </c>
      <c r="BX123" s="518" t="str">
        <f>IF(AND(_AC5="A-330-900",'2023'!$G$4="FO",'2023'!$G$2=BX119),'2023DATA'!$E$6,"")</f>
        <v/>
      </c>
      <c r="BY123" s="518" t="str">
        <f>IF(AND(_AC5="A-330-900",'2023'!$G$4="FO",'2023'!$G$2=BY119),'2023DATA'!$F$6,"")</f>
        <v/>
      </c>
      <c r="BZ123" s="518" t="str">
        <f>IF(AND(_AC5="A-330-900",'2023'!$G$4="FO",'2023'!$G$2=BZ119),'2023DATA'!$G$6,"")</f>
        <v/>
      </c>
      <c r="CA123" s="518" t="str">
        <f>IF(AND(_AC5="A-330-900",'2023'!$G$4="FO",'2023'!$G$2=CA119),'2023DATA'!$H$6,"")</f>
        <v/>
      </c>
      <c r="CB123" s="518" t="str">
        <f>IF(AND(_AC5="A-330-900",'2023'!$G$4="FO",'2023'!$G$2=CB119),'2023DATA'!$I$6,"")</f>
        <v/>
      </c>
      <c r="CC123" s="518" t="str">
        <f>IF(AND(_AC5="A-330-900",'2023'!$G$4="FO",'2023'!$G$2=CC119),'2023DATA'!$J$6,"")</f>
        <v/>
      </c>
      <c r="CD123" s="518" t="str">
        <f>IF(AND(_AC5="A-330-900",'2023'!$G$4="FO",'2023'!$G$2=CD119),'2023DATA'!$K$6,"")</f>
        <v/>
      </c>
      <c r="CE123" s="518" t="str">
        <f>IF(AND(_AC5="A-330-900",'2023'!$G$4="FO",'2023'!$G$2=CE119),'2023DATA'!$L$6,"")</f>
        <v/>
      </c>
      <c r="CF123" s="518" t="str">
        <f>IF(AND(_AC5="A-330-900",'2023'!$G$4="FO",'2023'!$G$2=CF119),'2023DATA'!$M$6,"")</f>
        <v/>
      </c>
      <c r="CG123" s="520" t="str">
        <f>IF(AND(_AC5="A-330-900",'2023'!$G$4="FO",'2023'!$G$2=CG119),'2023DATA'!$N$6,"")</f>
        <v/>
      </c>
      <c r="CH123" s="940"/>
      <c r="CI123" s="13" t="s">
        <v>62</v>
      </c>
      <c r="CJ123" s="518" t="str">
        <f>IF(AND(_AC6="A-330-900",'2023'!$G$4="FO",'2023'!$G$2=CJ119),'2023DATA'!$C$6,"")</f>
        <v/>
      </c>
      <c r="CK123" s="518" t="str">
        <f>IF(AND(_AC6="A-330-900",'2023'!$G$4="FO",'2023'!$G$2=CK119),'2023DATA'!$D$6,"")</f>
        <v/>
      </c>
      <c r="CL123" s="518" t="str">
        <f>IF(AND(_AC6="A-330-900",'2023'!$G$4="FO",'2023'!$G$2=CL119),'2023DATA'!$E$6,"")</f>
        <v/>
      </c>
      <c r="CM123" s="518" t="str">
        <f>IF(AND(_AC6="A-330-900",'2023'!$G$4="FO",'2023'!$G$2=CM119),'2023DATA'!$F$6,"")</f>
        <v/>
      </c>
      <c r="CN123" s="518" t="str">
        <f>IF(AND(_AC6="A-330-900",'2023'!$G$4="FO",'2023'!$G$2=CN119),'2023DATA'!$G$6,"")</f>
        <v/>
      </c>
      <c r="CO123" s="518" t="str">
        <f>IF(AND(_AC6="A-330-900",'2023'!$G$4="FO",'2023'!$G$2=CO119),'2023DATA'!$H$6,"")</f>
        <v/>
      </c>
      <c r="CP123" s="518" t="str">
        <f>IF(AND(_AC6="A-330-900",'2023'!$G$4="FO",'2023'!$G$2=CP119),'2023DATA'!$I$6,"")</f>
        <v/>
      </c>
      <c r="CQ123" s="518" t="str">
        <f>IF(AND(_AC6="A-330-900",'2023'!$G$4="FO",'2023'!$G$2=CQ119),'2023DATA'!$J$6,"")</f>
        <v/>
      </c>
      <c r="CR123" s="518" t="str">
        <f>IF(AND(_AC6="A-330-900",'2023'!$G$4="FO",'2023'!$G$2=CR119),'2023DATA'!$K$6,"")</f>
        <v/>
      </c>
      <c r="CS123" s="518" t="str">
        <f>IF(AND(_AC6="A-330-900",'2023'!$G$4="FO",'2023'!$G$2=CS119),'2023DATA'!$L$6,"")</f>
        <v/>
      </c>
      <c r="CT123" s="518" t="str">
        <f>IF(AND(_AC6="A-330-900",'2023'!$G$4="FO",'2023'!$G$2=CT119),'2023DATA'!$M$6,"")</f>
        <v/>
      </c>
      <c r="CU123" s="520" t="str">
        <f>IF(AND(_AC6="A-330-900",'2023'!$G$4="FO",'2023'!$G$2=CU119),'2023DATA'!$N$6,"")</f>
        <v/>
      </c>
    </row>
    <row r="124" spans="16:99" x14ac:dyDescent="0.25">
      <c r="P124" s="940" t="s">
        <v>64</v>
      </c>
      <c r="Q124" s="13" t="s">
        <v>61</v>
      </c>
      <c r="R124" s="518" t="str">
        <f>IF(AND(_AC1="A-330-300",'2023'!$G$4="CA",'2023'!$G$2=R119),'2023DATA'!$C$7,"")</f>
        <v/>
      </c>
      <c r="S124" s="518" t="str">
        <f>IF(AND(_AC1="A-330-300",'2023'!$G$4="CA",'2023'!$G$2=S119),'2023DATA'!$D$7,"")</f>
        <v/>
      </c>
      <c r="T124" s="518" t="str">
        <f>IF(AND(_AC1="A-330-300",'2023'!$G$4="CA",'2023'!$G$2=T119),'2023DATA'!$E$7,"")</f>
        <v/>
      </c>
      <c r="U124" s="518" t="str">
        <f>IF(AND(_AC1="A-330-300",'2023'!$G$4="CA",'2023'!$G$2=U119),'2023DATA'!$F$7,"")</f>
        <v/>
      </c>
      <c r="V124" s="518" t="str">
        <f>IF(AND(_AC1="A-330-300",'2023'!$G$4="CA",'2023'!$G$2=V119),'2023DATA'!$G$7,"")</f>
        <v/>
      </c>
      <c r="W124" s="518" t="str">
        <f>IF(AND(_AC1="A-330-300",'2023'!$G$4="CA",'2023'!$G$2=W119),'2023DATA'!$H$7,"")</f>
        <v/>
      </c>
      <c r="X124" s="518" t="str">
        <f>IF(AND(_AC1="A-330-300",'2023'!$G$4="CA",'2023'!$G$2=X119),'2023DATA'!$I$7,"")</f>
        <v/>
      </c>
      <c r="Y124" s="518" t="str">
        <f>IF(AND(_AC1="A-330-300",'2023'!$G$4="CA",'2023'!$G$2=Y119),'2023DATA'!$J$7,"")</f>
        <v/>
      </c>
      <c r="Z124" s="518" t="str">
        <f>IF(AND(_AC1="A-330-300",'2023'!$G$4="CA",'2023'!$G$2=Z119),'2023DATA'!$K$7,"")</f>
        <v/>
      </c>
      <c r="AA124" s="518" t="str">
        <f>IF(AND(_AC1="A-330-300",'2023'!$G$4="CA",'2023'!$G$2=AA119),'2023DATA'!$L$7,"")</f>
        <v/>
      </c>
      <c r="AB124" s="518" t="str">
        <f>IF(AND(_AC1="A-330-300",'2023'!$G$4="CA",'2023'!$G$2=AB119),'2023DATA'!$M$7,"")</f>
        <v/>
      </c>
      <c r="AC124" s="520" t="str">
        <f>IF(AND(_AC1="A-330-300",'2023'!$G$4="CA",'2023'!$G$2=AC119),'2023DATA'!$N$7,"")</f>
        <v/>
      </c>
      <c r="AD124" s="940" t="s">
        <v>64</v>
      </c>
      <c r="AE124" s="13" t="s">
        <v>61</v>
      </c>
      <c r="AF124" s="518" t="str">
        <f>IF(AND(_AC2="A-330-300",'2023'!$G$4="CA",'2023'!$G$2=AF119),'2023DATA'!$C$7,"")</f>
        <v/>
      </c>
      <c r="AG124" s="518" t="str">
        <f>IF(AND(_AC2="A-330-300",'2023'!$G$4="CA",'2023'!$G$2=AG119),'2023DATA'!$D$7,"")</f>
        <v/>
      </c>
      <c r="AH124" s="518" t="str">
        <f>IF(AND(_AC2="A-330-300",'2023'!$G$4="CA",'2023'!$G$2=AH119),'2023DATA'!$E$7,"")</f>
        <v/>
      </c>
      <c r="AI124" s="518" t="str">
        <f>IF(AND(_AC2="A-330-300",'2023'!$G$4="CA",'2023'!$G$2=AI119),'2023DATA'!$F$7,"")</f>
        <v/>
      </c>
      <c r="AJ124" s="518" t="str">
        <f>IF(AND(_AC2="A-330-300",'2023'!$G$4="CA",'2023'!$G$2=AJ119),'2023DATA'!$G$7,"")</f>
        <v/>
      </c>
      <c r="AK124" s="518" t="str">
        <f>IF(AND(_AC2="A-330-300",'2023'!$G$4="CA",'2023'!$G$2=AK119),'2023DATA'!$H$7,"")</f>
        <v/>
      </c>
      <c r="AL124" s="518" t="str">
        <f>IF(AND(_AC2="A-330-300",'2023'!$G$4="CA",'2023'!$G$2=AL119),'2023DATA'!$I$7,"")</f>
        <v/>
      </c>
      <c r="AM124" s="518" t="str">
        <f>IF(AND(_AC2="A-330-300",'2023'!$G$4="CA",'2023'!$G$2=AM119),'2023DATA'!$J$7,"")</f>
        <v/>
      </c>
      <c r="AN124" s="518" t="str">
        <f>IF(AND(_AC2="A-330-300",'2023'!$G$4="CA",'2023'!$G$2=AN119),'2023DATA'!$K$7,"")</f>
        <v/>
      </c>
      <c r="AO124" s="518" t="str">
        <f>IF(AND(_AC2="A-330-300",'2023'!$G$4="CA",'2023'!$G$2=AO119),'2023DATA'!$L$7,"")</f>
        <v/>
      </c>
      <c r="AP124" s="518" t="str">
        <f>IF(AND(_AC2="A-330-300",'2023'!$G$4="CA",'2023'!$G$2=AP119),'2023DATA'!$M$7,"")</f>
        <v/>
      </c>
      <c r="AQ124" s="520" t="str">
        <f>IF(AND(_AC2="A-330-300",'2023'!$G$4="CA",'2023'!$G$2=AQ119),'2023DATA'!$N$7,"")</f>
        <v/>
      </c>
      <c r="AR124" s="940" t="s">
        <v>64</v>
      </c>
      <c r="AS124" s="13" t="s">
        <v>61</v>
      </c>
      <c r="AT124" s="518" t="str">
        <f>IF(AND(_AC3="A-330-300",'2023'!$G$4="CA",'2023'!$G$2=AT119),'2023DATA'!$C$7,"")</f>
        <v/>
      </c>
      <c r="AU124" s="518" t="str">
        <f>IF(AND(_AC3="A-330-300",'2023'!$G$4="CA",'2023'!$G$2=AU119),'2023DATA'!$D$7,"")</f>
        <v/>
      </c>
      <c r="AV124" s="518" t="str">
        <f>IF(AND(_AC3="A-330-300",'2023'!$G$4="CA",'2023'!$G$2=AV119),'2023DATA'!$E$7,"")</f>
        <v/>
      </c>
      <c r="AW124" s="518" t="str">
        <f>IF(AND(_AC3="A-330-300",'2023'!$G$4="CA",'2023'!$G$2=AW119),'2023DATA'!$F$7,"")</f>
        <v/>
      </c>
      <c r="AX124" s="518" t="str">
        <f>IF(AND(_AC3="A-330-300",'2023'!$G$4="CA",'2023'!$G$2=AX119),'2023DATA'!$G$7,"")</f>
        <v/>
      </c>
      <c r="AY124" s="518" t="str">
        <f>IF(AND(_AC3="A-330-300",'2023'!$G$4="CA",'2023'!$G$2=AY119),'2023DATA'!$H$7,"")</f>
        <v/>
      </c>
      <c r="AZ124" s="518" t="str">
        <f>IF(AND(_AC3="A-330-300",'2023'!$G$4="CA",'2023'!$G$2=AZ119),'2023DATA'!$I$7,"")</f>
        <v/>
      </c>
      <c r="BA124" s="518" t="str">
        <f>IF(AND(_AC3="A-330-300",'2023'!$G$4="CA",'2023'!$G$2=BA119),'2023DATA'!$J$7,"")</f>
        <v/>
      </c>
      <c r="BB124" s="518" t="str">
        <f>IF(AND(_AC3="A-330-300",'2023'!$G$4="CA",'2023'!$G$2=BB119),'2023DATA'!$K$7,"")</f>
        <v/>
      </c>
      <c r="BC124" s="518" t="str">
        <f>IF(AND(_AC3="A-330-300",'2023'!$G$4="CA",'2023'!$G$2=BC119),'2023DATA'!$L$7,"")</f>
        <v/>
      </c>
      <c r="BD124" s="518" t="str">
        <f>IF(AND(_AC3="A-330-300",'2023'!$G$4="CA",'2023'!$G$2=BD119),'2023DATA'!$M$7,"")</f>
        <v/>
      </c>
      <c r="BE124" s="520" t="str">
        <f>IF(AND(_AC3="A-330-300",'2023'!$G$4="CA",'2023'!$G$2=BE119),'2023DATA'!$N$7,"")</f>
        <v/>
      </c>
      <c r="BF124" s="940" t="s">
        <v>64</v>
      </c>
      <c r="BG124" s="13" t="s">
        <v>61</v>
      </c>
      <c r="BH124" s="518" t="str">
        <f>IF(AND(_AC4="A-330-300",'2023'!$G$4="CA",'2023'!$G$2=BH119),'2023DATA'!$C$7,"")</f>
        <v/>
      </c>
      <c r="BI124" s="518" t="str">
        <f>IF(AND(_AC4="A-330-300",'2023'!$G$4="CA",'2023'!$G$2=BI119),'2023DATA'!$D$7,"")</f>
        <v/>
      </c>
      <c r="BJ124" s="518" t="str">
        <f>IF(AND(_AC4="A-330-300",'2023'!$G$4="CA",'2023'!$G$2=BJ119),'2023DATA'!$E$7,"")</f>
        <v/>
      </c>
      <c r="BK124" s="518" t="str">
        <f>IF(AND(_AC4="A-330-300",'2023'!$G$4="CA",'2023'!$G$2=BK119),'2023DATA'!$F$7,"")</f>
        <v/>
      </c>
      <c r="BL124" s="518" t="str">
        <f>IF(AND(_AC4="A-330-300",'2023'!$G$4="CA",'2023'!$G$2=BL119),'2023DATA'!$G$7,"")</f>
        <v/>
      </c>
      <c r="BM124" s="518" t="str">
        <f>IF(AND(_AC4="A-330-300",'2023'!$G$4="CA",'2023'!$G$2=BM119),'2023DATA'!$H$7,"")</f>
        <v/>
      </c>
      <c r="BN124" s="518" t="str">
        <f>IF(AND(_AC4="A-330-300",'2023'!$G$4="CA",'2023'!$G$2=BN119),'2023DATA'!$I$7,"")</f>
        <v/>
      </c>
      <c r="BO124" s="518" t="str">
        <f>IF(AND(_AC4="A-330-300",'2023'!$G$4="CA",'2023'!$G$2=BO119),'2023DATA'!$J$7,"")</f>
        <v/>
      </c>
      <c r="BP124" s="518" t="str">
        <f>IF(AND(_AC4="A-330-300",'2023'!$G$4="CA",'2023'!$G$2=BP119),'2023DATA'!$K$7,"")</f>
        <v/>
      </c>
      <c r="BQ124" s="518" t="str">
        <f>IF(AND(_AC4="A-330-300",'2023'!$G$4="CA",'2023'!$G$2=BQ119),'2023DATA'!$L$7,"")</f>
        <v/>
      </c>
      <c r="BR124" s="518" t="str">
        <f>IF(AND(_AC4="A-330-300",'2023'!$G$4="CA",'2023'!$G$2=BR119),'2023DATA'!$M$7,"")</f>
        <v/>
      </c>
      <c r="BS124" s="520" t="str">
        <f>IF(AND(_AC4="A-330-300",'2023'!$G$4="CA",'2023'!$G$2=BS119),'2023DATA'!$N$7,"")</f>
        <v/>
      </c>
      <c r="BT124" s="940" t="s">
        <v>64</v>
      </c>
      <c r="BU124" s="13" t="s">
        <v>61</v>
      </c>
      <c r="BV124" s="518" t="str">
        <f>IF(AND(_AC5="A-330-300",'2023'!$G$4="CA",'2023'!$G$2=BV119),'2023DATA'!$C$7,"")</f>
        <v/>
      </c>
      <c r="BW124" s="518" t="str">
        <f>IF(AND(_AC5="A-330-300",'2023'!$G$4="CA",'2023'!$G$2=BW119),'2023DATA'!$D$7,"")</f>
        <v/>
      </c>
      <c r="BX124" s="518" t="str">
        <f>IF(AND(_AC5="A-330-300",'2023'!$G$4="CA",'2023'!$G$2=BX119),'2023DATA'!$E$7,"")</f>
        <v/>
      </c>
      <c r="BY124" s="518" t="str">
        <f>IF(AND(_AC5="A-330-300",'2023'!$G$4="CA",'2023'!$G$2=BY119),'2023DATA'!$F$7,"")</f>
        <v/>
      </c>
      <c r="BZ124" s="518" t="str">
        <f>IF(AND(_AC5="A-330-300",'2023'!$G$4="CA",'2023'!$G$2=BZ119),'2023DATA'!$G$7,"")</f>
        <v/>
      </c>
      <c r="CA124" s="518" t="str">
        <f>IF(AND(_AC5="A-330-300",'2023'!$G$4="CA",'2023'!$G$2=CA119),'2023DATA'!$H$7,"")</f>
        <v/>
      </c>
      <c r="CB124" s="518" t="str">
        <f>IF(AND(_AC5="A-330-300",'2023'!$G$4="CA",'2023'!$G$2=CB119),'2023DATA'!$I$7,"")</f>
        <v/>
      </c>
      <c r="CC124" s="518" t="str">
        <f>IF(AND(_AC5="A-330-300",'2023'!$G$4="CA",'2023'!$G$2=CC119),'2023DATA'!$J$7,"")</f>
        <v/>
      </c>
      <c r="CD124" s="518" t="str">
        <f>IF(AND(_AC5="A-330-300",'2023'!$G$4="CA",'2023'!$G$2=CD119),'2023DATA'!$K$7,"")</f>
        <v/>
      </c>
      <c r="CE124" s="518" t="str">
        <f>IF(AND(_AC5="A-330-300",'2023'!$G$4="CA",'2023'!$G$2=CE119),'2023DATA'!$L$7,"")</f>
        <v/>
      </c>
      <c r="CF124" s="518" t="str">
        <f>IF(AND(_AC5="A-330-300",'2023'!$G$4="CA",'2023'!$G$2=CF119),'2023DATA'!$M$7,"")</f>
        <v/>
      </c>
      <c r="CG124" s="520" t="str">
        <f>IF(AND(_AC5="A-330-300",'2023'!$G$4="CA",'2023'!$G$2=CG119),'2023DATA'!$N$7,"")</f>
        <v/>
      </c>
      <c r="CH124" s="940" t="s">
        <v>64</v>
      </c>
      <c r="CI124" s="13" t="s">
        <v>61</v>
      </c>
      <c r="CJ124" s="518" t="str">
        <f>IF(AND(_AC6="A-330-300",'2023'!$G$4="CA",'2023'!$G$2=CJ119),'2023DATA'!$C$7,"")</f>
        <v/>
      </c>
      <c r="CK124" s="518" t="str">
        <f>IF(AND(_AC6="A-330-300",'2023'!$G$4="CA",'2023'!$G$2=CK119),'2023DATA'!$D$7,"")</f>
        <v/>
      </c>
      <c r="CL124" s="518" t="str">
        <f>IF(AND(_AC6="A-330-300",'2023'!$G$4="CA",'2023'!$G$2=CL119),'2023DATA'!$E$7,"")</f>
        <v/>
      </c>
      <c r="CM124" s="518" t="str">
        <f>IF(AND(_AC6="A-330-300",'2023'!$G$4="CA",'2023'!$G$2=CM119),'2023DATA'!$F$7,"")</f>
        <v/>
      </c>
      <c r="CN124" s="518" t="str">
        <f>IF(AND(_AC6="A-330-300",'2023'!$G$4="CA",'2023'!$G$2=CN119),'2023DATA'!$G$7,"")</f>
        <v/>
      </c>
      <c r="CO124" s="518" t="str">
        <f>IF(AND(_AC6="A-330-300",'2023'!$G$4="CA",'2023'!$G$2=CO119),'2023DATA'!$H$7,"")</f>
        <v/>
      </c>
      <c r="CP124" s="518" t="str">
        <f>IF(AND(_AC6="A-330-300",'2023'!$G$4="CA",'2023'!$G$2=CP119),'2023DATA'!$I$7,"")</f>
        <v/>
      </c>
      <c r="CQ124" s="518" t="str">
        <f>IF(AND(_AC6="A-330-300",'2023'!$G$4="CA",'2023'!$G$2=CQ119),'2023DATA'!$J$7,"")</f>
        <v/>
      </c>
      <c r="CR124" s="518" t="str">
        <f>IF(AND(_AC6="A-330-300",'2023'!$G$4="CA",'2023'!$G$2=CR119),'2023DATA'!$K$7,"")</f>
        <v/>
      </c>
      <c r="CS124" s="518" t="str">
        <f>IF(AND(_AC6="A-330-300",'2023'!$G$4="CA",'2023'!$G$2=CS119),'2023DATA'!$L$7,"")</f>
        <v/>
      </c>
      <c r="CT124" s="518" t="str">
        <f>IF(AND(_AC6="A-330-300",'2023'!$G$4="CA",'2023'!$G$2=CT119),'2023DATA'!$M$7,"")</f>
        <v/>
      </c>
      <c r="CU124" s="520" t="str">
        <f>IF(AND(_AC6="A-330-300",'2023'!$G$4="CA",'2023'!$G$2=CU119),'2023DATA'!$N$7,"")</f>
        <v/>
      </c>
    </row>
    <row r="125" spans="16:99" x14ac:dyDescent="0.25">
      <c r="P125" s="940"/>
      <c r="Q125" s="13" t="s">
        <v>62</v>
      </c>
      <c r="R125" s="518" t="str">
        <f>IF(AND(_AC1="A-330-300",'2023'!$G$4="FO",'2023'!$G$2=R119),'2023DATA'!$C$8,"")</f>
        <v/>
      </c>
      <c r="S125" s="518" t="str">
        <f>IF(AND(_AC1="A-330-300",'2023'!$G$4="FO",'2023'!$G$2=S119),'2023DATA'!$D$8,"")</f>
        <v/>
      </c>
      <c r="T125" s="518" t="str">
        <f>IF(AND(_AC1="A-330-300",'2023'!$G$4="FO",'2023'!$G$2=T119),'2023DATA'!$E$8,"")</f>
        <v/>
      </c>
      <c r="U125" s="518" t="str">
        <f>IF(AND(_AC1="A-330-300",'2023'!$G$4="FO",'2023'!$G$2=U119),'2023DATA'!$F$8,"")</f>
        <v/>
      </c>
      <c r="V125" s="518" t="str">
        <f>IF(AND(_AC1="A-330-300",'2023'!$G$4="FO",'2023'!$G$2=V119),'2023DATA'!$G$8,"")</f>
        <v/>
      </c>
      <c r="W125" s="518" t="str">
        <f>IF(AND(_AC1="A-330-300",'2023'!$G$4="FO",'2023'!$G$2=W119),'2023DATA'!$H$8,"")</f>
        <v/>
      </c>
      <c r="X125" s="518" t="str">
        <f>IF(AND(_AC1="A-330-300",'2023'!$G$4="FO",'2023'!$G$2=X119),'2023DATA'!$I$8,"")</f>
        <v/>
      </c>
      <c r="Y125" s="518" t="str">
        <f>IF(AND(_AC1="A-330-300",'2023'!$G$4="FO",'2023'!$G$2=Y119),'2023DATA'!$J$8,"")</f>
        <v/>
      </c>
      <c r="Z125" s="518" t="str">
        <f>IF(AND(_AC1="A-330-300",'2023'!$G$4="FO",'2023'!$G$2=Z119),'2023DATA'!$K$8,"")</f>
        <v/>
      </c>
      <c r="AA125" s="518" t="str">
        <f>IF(AND(_AC1="A-330-300",'2023'!$G$4="FO",'2023'!$G$2=AA119),'2023DATA'!$L$8,"")</f>
        <v/>
      </c>
      <c r="AB125" s="518" t="str">
        <f>IF(AND(_AC1="A-330-300",'2023'!$G$4="FO",'2023'!$G$2=AB119),'2023DATA'!$M$8,"")</f>
        <v/>
      </c>
      <c r="AC125" s="520" t="str">
        <f>IF(AND(_AC1="A-330-300",'2023'!$G$4="FO",'2023'!$G$2=AC119),'2023DATA'!$N$8,"")</f>
        <v/>
      </c>
      <c r="AD125" s="940"/>
      <c r="AE125" s="13" t="s">
        <v>62</v>
      </c>
      <c r="AF125" s="518" t="str">
        <f>IF(AND(_AC2="A-330-300",'2023'!$G$4="FO",'2023'!$G$2=AF119),'2023DATA'!$C$8,"")</f>
        <v/>
      </c>
      <c r="AG125" s="518" t="str">
        <f>IF(AND(_AC2="A-330-300",'2023'!$G$4="FO",'2023'!$G$2=AG119),'2023DATA'!$D$8,"")</f>
        <v/>
      </c>
      <c r="AH125" s="518" t="str">
        <f>IF(AND(_AC2="A-330-300",'2023'!$G$4="FO",'2023'!$G$2=AH119),'2023DATA'!$E$8,"")</f>
        <v/>
      </c>
      <c r="AI125" s="518" t="str">
        <f>IF(AND(_AC2="A-330-300",'2023'!$G$4="FO",'2023'!$G$2=AI119),'2023DATA'!$F$8,"")</f>
        <v/>
      </c>
      <c r="AJ125" s="518" t="str">
        <f>IF(AND(_AC2="A-330-300",'2023'!$G$4="FO",'2023'!$G$2=AJ119),'2023DATA'!$G$8,"")</f>
        <v/>
      </c>
      <c r="AK125" s="518" t="str">
        <f>IF(AND(_AC2="A-330-300",'2023'!$G$4="FO",'2023'!$G$2=AK119),'2023DATA'!$H$8,"")</f>
        <v/>
      </c>
      <c r="AL125" s="518" t="str">
        <f>IF(AND(_AC2="A-330-300",'2023'!$G$4="FO",'2023'!$G$2=AL119),'2023DATA'!$I$8,"")</f>
        <v/>
      </c>
      <c r="AM125" s="518" t="str">
        <f>IF(AND(_AC2="A-330-300",'2023'!$G$4="FO",'2023'!$G$2=AM119),'2023DATA'!$J$8,"")</f>
        <v/>
      </c>
      <c r="AN125" s="518" t="str">
        <f>IF(AND(_AC2="A-330-300",'2023'!$G$4="FO",'2023'!$G$2=AN119),'2023DATA'!$K$8,"")</f>
        <v/>
      </c>
      <c r="AO125" s="518" t="str">
        <f>IF(AND(_AC2="A-330-300",'2023'!$G$4="FO",'2023'!$G$2=AO119),'2023DATA'!$L$8,"")</f>
        <v/>
      </c>
      <c r="AP125" s="518" t="str">
        <f>IF(AND(_AC2="A-330-300",'2023'!$G$4="FO",'2023'!$G$2=AP119),'2023DATA'!$M$8,"")</f>
        <v/>
      </c>
      <c r="AQ125" s="520" t="str">
        <f>IF(AND(_AC2="A-330-300",'2023'!$G$4="FO",'2023'!$G$2=AQ119),'2023DATA'!$N$8,"")</f>
        <v/>
      </c>
      <c r="AR125" s="940"/>
      <c r="AS125" s="13" t="s">
        <v>62</v>
      </c>
      <c r="AT125" s="518" t="str">
        <f>IF(AND(_AC3="A-330-300",'2023'!$G$4="FO",'2023'!$G$2=AT119),'2023DATA'!$C$8,"")</f>
        <v/>
      </c>
      <c r="AU125" s="518" t="str">
        <f>IF(AND(_AC3="A-330-300",'2023'!$G$4="FO",'2023'!$G$2=AU119),'2023DATA'!$D$8,"")</f>
        <v/>
      </c>
      <c r="AV125" s="518" t="str">
        <f>IF(AND(_AC3="A-330-300",'2023'!$G$4="FO",'2023'!$G$2=AV119),'2023DATA'!$E$8,"")</f>
        <v/>
      </c>
      <c r="AW125" s="518" t="str">
        <f>IF(AND(_AC3="A-330-300",'2023'!$G$4="FO",'2023'!$G$2=AW119),'2023DATA'!$F$8,"")</f>
        <v/>
      </c>
      <c r="AX125" s="518" t="str">
        <f>IF(AND(_AC3="A-330-300",'2023'!$G$4="FO",'2023'!$G$2=AX119),'2023DATA'!$G$8,"")</f>
        <v/>
      </c>
      <c r="AY125" s="518" t="str">
        <f>IF(AND(_AC3="A-330-300",'2023'!$G$4="FO",'2023'!$G$2=AY119),'2023DATA'!$H$8,"")</f>
        <v/>
      </c>
      <c r="AZ125" s="518" t="str">
        <f>IF(AND(_AC3="A-330-300",'2023'!$G$4="FO",'2023'!$G$2=AZ119),'2023DATA'!$I$8,"")</f>
        <v/>
      </c>
      <c r="BA125" s="518" t="str">
        <f>IF(AND(_AC3="A-330-300",'2023'!$G$4="FO",'2023'!$G$2=BA119),'2023DATA'!$J$8,"")</f>
        <v/>
      </c>
      <c r="BB125" s="518" t="str">
        <f>IF(AND(_AC3="A-330-300",'2023'!$G$4="FO",'2023'!$G$2=BB119),'2023DATA'!$K$8,"")</f>
        <v/>
      </c>
      <c r="BC125" s="518" t="str">
        <f>IF(AND(_AC3="A-330-300",'2023'!$G$4="FO",'2023'!$G$2=BC119),'2023DATA'!$L$8,"")</f>
        <v/>
      </c>
      <c r="BD125" s="518" t="str">
        <f>IF(AND(_AC3="A-330-300",'2023'!$G$4="FO",'2023'!$G$2=BD119),'2023DATA'!$M$8,"")</f>
        <v/>
      </c>
      <c r="BE125" s="520" t="str">
        <f>IF(AND(_AC3="A-330-300",'2023'!$G$4="FO",'2023'!$G$2=BE119),'2023DATA'!$N$8,"")</f>
        <v/>
      </c>
      <c r="BF125" s="940"/>
      <c r="BG125" s="13" t="s">
        <v>62</v>
      </c>
      <c r="BH125" s="518" t="str">
        <f>IF(AND(_AC4="A-330-300",'2023'!$G$4="FO",'2023'!$G$2=BH119),'2023DATA'!$C$8,"")</f>
        <v/>
      </c>
      <c r="BI125" s="518" t="str">
        <f>IF(AND(_AC4="A-330-300",'2023'!$G$4="FO",'2023'!$G$2=BI119),'2023DATA'!$D$8,"")</f>
        <v/>
      </c>
      <c r="BJ125" s="518" t="str">
        <f>IF(AND(_AC4="A-330-300",'2023'!$G$4="FO",'2023'!$G$2=BJ119),'2023DATA'!$E$8,"")</f>
        <v/>
      </c>
      <c r="BK125" s="518" t="str">
        <f>IF(AND(_AC4="A-330-300",'2023'!$G$4="FO",'2023'!$G$2=BK119),'2023DATA'!$F$8,"")</f>
        <v/>
      </c>
      <c r="BL125" s="518" t="str">
        <f>IF(AND(_AC4="A-330-300",'2023'!$G$4="FO",'2023'!$G$2=BL119),'2023DATA'!$G$8,"")</f>
        <v/>
      </c>
      <c r="BM125" s="518" t="str">
        <f>IF(AND(_AC4="A-330-300",'2023'!$G$4="FO",'2023'!$G$2=BM119),'2023DATA'!$H$8,"")</f>
        <v/>
      </c>
      <c r="BN125" s="518" t="str">
        <f>IF(AND(_AC4="A-330-300",'2023'!$G$4="FO",'2023'!$G$2=BN119),'2023DATA'!$I$8,"")</f>
        <v/>
      </c>
      <c r="BO125" s="518" t="str">
        <f>IF(AND(_AC4="A-330-300",'2023'!$G$4="FO",'2023'!$G$2=BO119),'2023DATA'!$J$8,"")</f>
        <v/>
      </c>
      <c r="BP125" s="518" t="str">
        <f>IF(AND(_AC4="A-330-300",'2023'!$G$4="FO",'2023'!$G$2=BP119),'2023DATA'!$K$8,"")</f>
        <v/>
      </c>
      <c r="BQ125" s="518" t="str">
        <f>IF(AND(_AC4="A-330-300",'2023'!$G$4="FO",'2023'!$G$2=BQ119),'2023DATA'!$L$8,"")</f>
        <v/>
      </c>
      <c r="BR125" s="518" t="str">
        <f>IF(AND(_AC4="A-330-300",'2023'!$G$4="FO",'2023'!$G$2=BR119),'2023DATA'!$M$8,"")</f>
        <v/>
      </c>
      <c r="BS125" s="520" t="str">
        <f>IF(AND(_AC4="A-330-300",'2023'!$G$4="FO",'2023'!$G$2=BS119),'2023DATA'!$N$8,"")</f>
        <v/>
      </c>
      <c r="BT125" s="940"/>
      <c r="BU125" s="13" t="s">
        <v>62</v>
      </c>
      <c r="BV125" s="518" t="str">
        <f>IF(AND(_AC5="A-330-300",'2023'!$G$4="FO",'2023'!$G$2=BV119),'2023DATA'!$C$8,"")</f>
        <v/>
      </c>
      <c r="BW125" s="518" t="str">
        <f>IF(AND(_AC5="A-330-300",'2023'!$G$4="FO",'2023'!$G$2=BW119),'2023DATA'!$D$8,"")</f>
        <v/>
      </c>
      <c r="BX125" s="518" t="str">
        <f>IF(AND(_AC5="A-330-300",'2023'!$G$4="FO",'2023'!$G$2=BX119),'2023DATA'!$E$8,"")</f>
        <v/>
      </c>
      <c r="BY125" s="518" t="str">
        <f>IF(AND(_AC5="A-330-300",'2023'!$G$4="FO",'2023'!$G$2=BY119),'2023DATA'!$F$8,"")</f>
        <v/>
      </c>
      <c r="BZ125" s="518" t="str">
        <f>IF(AND(_AC5="A-330-300",'2023'!$G$4="FO",'2023'!$G$2=BZ119),'2023DATA'!$G$8,"")</f>
        <v/>
      </c>
      <c r="CA125" s="518" t="str">
        <f>IF(AND(_AC5="A-330-300",'2023'!$G$4="FO",'2023'!$G$2=CA119),'2023DATA'!$H$8,"")</f>
        <v/>
      </c>
      <c r="CB125" s="518" t="str">
        <f>IF(AND(_AC5="A-330-300",'2023'!$G$4="FO",'2023'!$G$2=CB119),'2023DATA'!$I$8,"")</f>
        <v/>
      </c>
      <c r="CC125" s="518" t="str">
        <f>IF(AND(_AC5="A-330-300",'2023'!$G$4="FO",'2023'!$G$2=CC119),'2023DATA'!$J$8,"")</f>
        <v/>
      </c>
      <c r="CD125" s="518" t="str">
        <f>IF(AND(_AC5="A-330-300",'2023'!$G$4="FO",'2023'!$G$2=CD119),'2023DATA'!$K$8,"")</f>
        <v/>
      </c>
      <c r="CE125" s="518" t="str">
        <f>IF(AND(_AC5="A-330-300",'2023'!$G$4="FO",'2023'!$G$2=CE119),'2023DATA'!$L$8,"")</f>
        <v/>
      </c>
      <c r="CF125" s="518" t="str">
        <f>IF(AND(_AC5="A-330-300",'2023'!$G$4="FO",'2023'!$G$2=CF119),'2023DATA'!$M$8,"")</f>
        <v/>
      </c>
      <c r="CG125" s="520" t="str">
        <f>IF(AND(_AC5="A-330-300",'2023'!$G$4="FO",'2023'!$G$2=CG119),'2023DATA'!$N$8,"")</f>
        <v/>
      </c>
      <c r="CH125" s="940"/>
      <c r="CI125" s="13" t="s">
        <v>62</v>
      </c>
      <c r="CJ125" s="518" t="str">
        <f>IF(AND(_AC6="A-330-300",'2023'!$G$4="FO",'2023'!$G$2=CJ119),'2023DATA'!$C$8,"")</f>
        <v/>
      </c>
      <c r="CK125" s="518" t="str">
        <f>IF(AND(_AC6="A-330-300",'2023'!$G$4="FO",'2023'!$G$2=CK119),'2023DATA'!$D$8,"")</f>
        <v/>
      </c>
      <c r="CL125" s="518" t="str">
        <f>IF(AND(_AC6="A-330-300",'2023'!$G$4="FO",'2023'!$G$2=CL119),'2023DATA'!$E$8,"")</f>
        <v/>
      </c>
      <c r="CM125" s="518" t="str">
        <f>IF(AND(_AC6="A-330-300",'2023'!$G$4="FO",'2023'!$G$2=CM119),'2023DATA'!$F$8,"")</f>
        <v/>
      </c>
      <c r="CN125" s="518" t="str">
        <f>IF(AND(_AC6="A-330-300",'2023'!$G$4="FO",'2023'!$G$2=CN119),'2023DATA'!$G$8,"")</f>
        <v/>
      </c>
      <c r="CO125" s="518" t="str">
        <f>IF(AND(_AC6="A-330-300",'2023'!$G$4="FO",'2023'!$G$2=CO119),'2023DATA'!$H$8,"")</f>
        <v/>
      </c>
      <c r="CP125" s="518" t="str">
        <f>IF(AND(_AC6="A-330-300",'2023'!$G$4="FO",'2023'!$G$2=CP119),'2023DATA'!$I$8,"")</f>
        <v/>
      </c>
      <c r="CQ125" s="518" t="str">
        <f>IF(AND(_AC6="A-330-300",'2023'!$G$4="FO",'2023'!$G$2=CQ119),'2023DATA'!$J$8,"")</f>
        <v/>
      </c>
      <c r="CR125" s="518" t="str">
        <f>IF(AND(_AC6="A-330-300",'2023'!$G$4="FO",'2023'!$G$2=CR119),'2023DATA'!$K$8,"")</f>
        <v/>
      </c>
      <c r="CS125" s="518" t="str">
        <f>IF(AND(_AC6="A-330-300",'2023'!$G$4="FO",'2023'!$G$2=CS119),'2023DATA'!$L$8,"")</f>
        <v/>
      </c>
      <c r="CT125" s="518" t="str">
        <f>IF(AND(_AC6="A-330-300",'2023'!$G$4="FO",'2023'!$G$2=CT119),'2023DATA'!$M$8,"")</f>
        <v/>
      </c>
      <c r="CU125" s="520" t="str">
        <f>IF(AND(_AC6="A-330-300",'2023'!$G$4="FO",'2023'!$G$2=CU119),'2023DATA'!$N$8,"")</f>
        <v/>
      </c>
    </row>
    <row r="126" spans="16:99" x14ac:dyDescent="0.25">
      <c r="P126" s="940" t="s">
        <v>66</v>
      </c>
      <c r="Q126" s="13" t="s">
        <v>61</v>
      </c>
      <c r="R126" s="518" t="str">
        <f>IF(AND(_AC1="A-330-200",'2023'!$G$4="CA",'2023'!$G$2=R119),'2023DATA'!$C$9,"")</f>
        <v/>
      </c>
      <c r="S126" s="518" t="str">
        <f>IF(AND(_AC1="A-330-200",'2023'!$G$4="CA",'2023'!$G$2=S119),'2023DATA'!$D$9,"")</f>
        <v/>
      </c>
      <c r="T126" s="518" t="str">
        <f>IF(AND(_AC1="A-330-200",'2023'!$G$4="CA",'2023'!$G$2=T119),'2023DATA'!$E$9,"")</f>
        <v/>
      </c>
      <c r="U126" s="518" t="str">
        <f>IF(AND(_AC1="A-330-200",'2023'!$G$4="CA",'2023'!$G$2=U119),'2023DATA'!$F$9,"")</f>
        <v/>
      </c>
      <c r="V126" s="518" t="str">
        <f>IF(AND(_AC1="A-330-200",'2023'!$G$4="CA",'2023'!$G$2=V119),'2023DATA'!$G$9,"")</f>
        <v/>
      </c>
      <c r="W126" s="518" t="str">
        <f>IF(AND(_AC1="A-330-200",'2023'!$G$4="CA",'2023'!$G$2=W119),'2023DATA'!$H$9,"")</f>
        <v/>
      </c>
      <c r="X126" s="518" t="str">
        <f>IF(AND(_AC1="A-330-200",'2023'!$G$4="CA",'2023'!$G$2=X119),'2023DATA'!$I$9,"")</f>
        <v/>
      </c>
      <c r="Y126" s="518" t="str">
        <f>IF(AND(_AC1="A-330-200",'2023'!$G$4="CA",'2023'!$G$2=Y119),'2023DATA'!$J$9,"")</f>
        <v/>
      </c>
      <c r="Z126" s="518" t="str">
        <f>IF(AND(_AC1="A-330-200",'2023'!$G$4="CA",'2023'!$G$2=Z119),'2023DATA'!$K$9,"")</f>
        <v/>
      </c>
      <c r="AA126" s="518" t="str">
        <f>IF(AND(_AC1="A-330-200",'2023'!$G$4="CA",'2023'!$G$2=AA119),'2023DATA'!$L$9,"")</f>
        <v/>
      </c>
      <c r="AB126" s="518" t="str">
        <f>IF(AND(_AC1="A-330-200",'2023'!$G$4="CA",'2023'!$G$2=AB119),'2023DATA'!$M$9,"")</f>
        <v/>
      </c>
      <c r="AC126" s="520" t="str">
        <f>IF(AND(_AC1="A-330-200",'2023'!$G$4="CA",'2023'!$G$2=AC119),'2023DATA'!$N$9,"")</f>
        <v/>
      </c>
      <c r="AD126" s="940" t="s">
        <v>66</v>
      </c>
      <c r="AE126" s="13" t="s">
        <v>61</v>
      </c>
      <c r="AF126" s="518" t="str">
        <f>IF(AND(_AC2="A-330-200",'2023'!$G$4="CA",'2023'!$G$2=AF119),'2023DATA'!$C$9,"")</f>
        <v/>
      </c>
      <c r="AG126" s="518" t="str">
        <f>IF(AND(_AC2="A-330-200",'2023'!$G$4="CA",'2023'!$G$2=AG119),'2023DATA'!$D$9,"")</f>
        <v/>
      </c>
      <c r="AH126" s="518" t="str">
        <f>IF(AND(_AC2="A-330-200",'2023'!$G$4="CA",'2023'!$G$2=AH119),'2023DATA'!$E$9,"")</f>
        <v/>
      </c>
      <c r="AI126" s="518" t="str">
        <f>IF(AND(_AC2="A-330-200",'2023'!$G$4="CA",'2023'!$G$2=AI119),'2023DATA'!$F$9,"")</f>
        <v/>
      </c>
      <c r="AJ126" s="518" t="str">
        <f>IF(AND(_AC2="A-330-200",'2023'!$G$4="CA",'2023'!$G$2=AJ119),'2023DATA'!$G$9,"")</f>
        <v/>
      </c>
      <c r="AK126" s="518" t="str">
        <f>IF(AND(_AC2="A-330-200",'2023'!$G$4="CA",'2023'!$G$2=AK119),'2023DATA'!$H$9,"")</f>
        <v/>
      </c>
      <c r="AL126" s="518" t="str">
        <f>IF(AND(_AC2="A-330-200",'2023'!$G$4="CA",'2023'!$G$2=AL119),'2023DATA'!$I$9,"")</f>
        <v/>
      </c>
      <c r="AM126" s="518" t="str">
        <f>IF(AND(_AC2="A-330-200",'2023'!$G$4="CA",'2023'!$G$2=AM119),'2023DATA'!$J$9,"")</f>
        <v/>
      </c>
      <c r="AN126" s="518" t="str">
        <f>IF(AND(_AC2="A-330-200",'2023'!$G$4="CA",'2023'!$G$2=AN119),'2023DATA'!$K$9,"")</f>
        <v/>
      </c>
      <c r="AO126" s="518" t="str">
        <f>IF(AND(_AC2="A-330-200",'2023'!$G$4="CA",'2023'!$G$2=AO119),'2023DATA'!$L$9,"")</f>
        <v/>
      </c>
      <c r="AP126" s="518" t="str">
        <f>IF(AND(_AC2="A-330-200",'2023'!$G$4="CA",'2023'!$G$2=AP119),'2023DATA'!$M$9,"")</f>
        <v/>
      </c>
      <c r="AQ126" s="520" t="str">
        <f>IF(AND(_AC2="A-330-200",'2023'!$G$4="CA",'2023'!$G$2=AQ119),'2023DATA'!$N$9,"")</f>
        <v/>
      </c>
      <c r="AR126" s="940" t="s">
        <v>66</v>
      </c>
      <c r="AS126" s="13" t="s">
        <v>61</v>
      </c>
      <c r="AT126" s="518" t="str">
        <f>IF(AND(_AC3="A-330-200",'2023'!$G$4="CA",'2023'!$G$2=AT119),'2023DATA'!$C$9,"")</f>
        <v/>
      </c>
      <c r="AU126" s="518" t="str">
        <f>IF(AND(_AC3="A-330-200",'2023'!$G$4="CA",'2023'!$G$2=AU119),'2023DATA'!$D$9,"")</f>
        <v/>
      </c>
      <c r="AV126" s="518" t="str">
        <f>IF(AND(_AC3="A-330-200",'2023'!$G$4="CA",'2023'!$G$2=AV119),'2023DATA'!$E$9,"")</f>
        <v/>
      </c>
      <c r="AW126" s="518" t="str">
        <f>IF(AND(_AC3="A-330-200",'2023'!$G$4="CA",'2023'!$G$2=AW119),'2023DATA'!$F$9,"")</f>
        <v/>
      </c>
      <c r="AX126" s="518" t="str">
        <f>IF(AND(_AC3="A-330-200",'2023'!$G$4="CA",'2023'!$G$2=AX119),'2023DATA'!$G$9,"")</f>
        <v/>
      </c>
      <c r="AY126" s="518" t="str">
        <f>IF(AND(_AC3="A-330-200",'2023'!$G$4="CA",'2023'!$G$2=AY119),'2023DATA'!$H$9,"")</f>
        <v/>
      </c>
      <c r="AZ126" s="518" t="str">
        <f>IF(AND(_AC3="A-330-200",'2023'!$G$4="CA",'2023'!$G$2=AZ119),'2023DATA'!$I$9,"")</f>
        <v/>
      </c>
      <c r="BA126" s="518" t="str">
        <f>IF(AND(_AC3="A-330-200",'2023'!$G$4="CA",'2023'!$G$2=BA119),'2023DATA'!$J$9,"")</f>
        <v/>
      </c>
      <c r="BB126" s="518" t="str">
        <f>IF(AND(_AC3="A-330-200",'2023'!$G$4="CA",'2023'!$G$2=BB119),'2023DATA'!$K$9,"")</f>
        <v/>
      </c>
      <c r="BC126" s="518" t="str">
        <f>IF(AND(_AC3="A-330-200",'2023'!$G$4="CA",'2023'!$G$2=BC119),'2023DATA'!$L$9,"")</f>
        <v/>
      </c>
      <c r="BD126" s="518" t="str">
        <f>IF(AND(_AC3="A-330-200",'2023'!$G$4="CA",'2023'!$G$2=BD119),'2023DATA'!$M$9,"")</f>
        <v/>
      </c>
      <c r="BE126" s="520" t="str">
        <f>IF(AND(_AC3="A-330-200",'2023'!$G$4="CA",'2023'!$G$2=BE119),'2023DATA'!$N$9,"")</f>
        <v/>
      </c>
      <c r="BF126" s="940" t="s">
        <v>66</v>
      </c>
      <c r="BG126" s="13" t="s">
        <v>61</v>
      </c>
      <c r="BH126" s="518" t="str">
        <f>IF(AND(_AC4="A-330-200",'2023'!$G$4="CA",'2023'!$G$2=BH119),'2023DATA'!$C$9,"")</f>
        <v/>
      </c>
      <c r="BI126" s="518" t="str">
        <f>IF(AND(_AC4="A-330-200",'2023'!$G$4="CA",'2023'!$G$2=BI119),'2023DATA'!$D$9,"")</f>
        <v/>
      </c>
      <c r="BJ126" s="518" t="str">
        <f>IF(AND(_AC4="A-330-200",'2023'!$G$4="CA",'2023'!$G$2=BJ119),'2023DATA'!$E$9,"")</f>
        <v/>
      </c>
      <c r="BK126" s="518" t="str">
        <f>IF(AND(_AC4="A-330-200",'2023'!$G$4="CA",'2023'!$G$2=BK119),'2023DATA'!$F$9,"")</f>
        <v/>
      </c>
      <c r="BL126" s="518" t="str">
        <f>IF(AND(_AC4="A-330-200",'2023'!$G$4="CA",'2023'!$G$2=BL119),'2023DATA'!$G$9,"")</f>
        <v/>
      </c>
      <c r="BM126" s="518" t="str">
        <f>IF(AND(_AC4="A-330-200",'2023'!$G$4="CA",'2023'!$G$2=BM119),'2023DATA'!$H$9,"")</f>
        <v/>
      </c>
      <c r="BN126" s="518" t="str">
        <f>IF(AND(_AC4="A-330-200",'2023'!$G$4="CA",'2023'!$G$2=BN119),'2023DATA'!$I$9,"")</f>
        <v/>
      </c>
      <c r="BO126" s="518" t="str">
        <f>IF(AND(_AC4="A-330-200",'2023'!$G$4="CA",'2023'!$G$2=BO119),'2023DATA'!$J$9,"")</f>
        <v/>
      </c>
      <c r="BP126" s="518" t="str">
        <f>IF(AND(_AC4="A-330-200",'2023'!$G$4="CA",'2023'!$G$2=BP119),'2023DATA'!$K$9,"")</f>
        <v/>
      </c>
      <c r="BQ126" s="518" t="str">
        <f>IF(AND(_AC4="A-330-200",'2023'!$G$4="CA",'2023'!$G$2=BQ119),'2023DATA'!$L$9,"")</f>
        <v/>
      </c>
      <c r="BR126" s="518" t="str">
        <f>IF(AND(_AC4="A-330-200",'2023'!$G$4="CA",'2023'!$G$2=BR119),'2023DATA'!$M$9,"")</f>
        <v/>
      </c>
      <c r="BS126" s="520" t="str">
        <f>IF(AND(_AC4="A-330-200",'2023'!$G$4="CA",'2023'!$G$2=BS119),'2023DATA'!$N$9,"")</f>
        <v/>
      </c>
      <c r="BT126" s="940" t="s">
        <v>66</v>
      </c>
      <c r="BU126" s="13" t="s">
        <v>61</v>
      </c>
      <c r="BV126" s="518" t="str">
        <f>IF(AND(_AC5="A-330-200",'2023'!$G$4="CA",'2023'!$G$2=BV119),'2023DATA'!$C$9,"")</f>
        <v/>
      </c>
      <c r="BW126" s="518" t="str">
        <f>IF(AND(_AC5="A-330-200",'2023'!$G$4="CA",'2023'!$G$2=BW119),'2023DATA'!$D$9,"")</f>
        <v/>
      </c>
      <c r="BX126" s="518" t="str">
        <f>IF(AND(_AC5="A-330-200",'2023'!$G$4="CA",'2023'!$G$2=BX119),'2023DATA'!$E$9,"")</f>
        <v/>
      </c>
      <c r="BY126" s="518" t="str">
        <f>IF(AND(_AC5="A-330-200",'2023'!$G$4="CA",'2023'!$G$2=BY119),'2023DATA'!$F$9,"")</f>
        <v/>
      </c>
      <c r="BZ126" s="518" t="str">
        <f>IF(AND(_AC5="A-330-200",'2023'!$G$4="CA",'2023'!$G$2=BZ119),'2023DATA'!$G$9,"")</f>
        <v/>
      </c>
      <c r="CA126" s="518" t="str">
        <f>IF(AND(_AC5="A-330-200",'2023'!$G$4="CA",'2023'!$G$2=CA119),'2023DATA'!$H$9,"")</f>
        <v/>
      </c>
      <c r="CB126" s="518" t="str">
        <f>IF(AND(_AC5="A-330-200",'2023'!$G$4="CA",'2023'!$G$2=CB119),'2023DATA'!$I$9,"")</f>
        <v/>
      </c>
      <c r="CC126" s="518" t="str">
        <f>IF(AND(_AC5="A-330-200",'2023'!$G$4="CA",'2023'!$G$2=CC119),'2023DATA'!$J$9,"")</f>
        <v/>
      </c>
      <c r="CD126" s="518" t="str">
        <f>IF(AND(_AC5="A-330-200",'2023'!$G$4="CA",'2023'!$G$2=CD119),'2023DATA'!$K$9,"")</f>
        <v/>
      </c>
      <c r="CE126" s="518" t="str">
        <f>IF(AND(_AC5="A-330-200",'2023'!$G$4="CA",'2023'!$G$2=CE119),'2023DATA'!$L$9,"")</f>
        <v/>
      </c>
      <c r="CF126" s="518" t="str">
        <f>IF(AND(_AC5="A-330-200",'2023'!$G$4="CA",'2023'!$G$2=CF119),'2023DATA'!$M$9,"")</f>
        <v/>
      </c>
      <c r="CG126" s="520" t="str">
        <f>IF(AND(_AC5="A-330-200",'2023'!$G$4="CA",'2023'!$G$2=CG119),'2023DATA'!$N$9,"")</f>
        <v/>
      </c>
      <c r="CH126" s="940" t="s">
        <v>66</v>
      </c>
      <c r="CI126" s="13" t="s">
        <v>61</v>
      </c>
      <c r="CJ126" s="518" t="str">
        <f>IF(AND(_AC6="A-330-200",'2023'!$G$4="CA",'2023'!$G$2=CJ119),'2023DATA'!$C$9,"")</f>
        <v/>
      </c>
      <c r="CK126" s="518" t="str">
        <f>IF(AND(_AC6="A-330-200",'2023'!$G$4="CA",'2023'!$G$2=CK119),'2023DATA'!$D$9,"")</f>
        <v/>
      </c>
      <c r="CL126" s="518" t="str">
        <f>IF(AND(_AC6="A-330-200",'2023'!$G$4="CA",'2023'!$G$2=CL119),'2023DATA'!$E$9,"")</f>
        <v/>
      </c>
      <c r="CM126" s="518" t="str">
        <f>IF(AND(_AC6="A-330-200",'2023'!$G$4="CA",'2023'!$G$2=CM119),'2023DATA'!$F$9,"")</f>
        <v/>
      </c>
      <c r="CN126" s="518" t="str">
        <f>IF(AND(_AC6="A-330-200",'2023'!$G$4="CA",'2023'!$G$2=CN119),'2023DATA'!$G$9,"")</f>
        <v/>
      </c>
      <c r="CO126" s="518" t="str">
        <f>IF(AND(_AC6="A-330-200",'2023'!$G$4="CA",'2023'!$G$2=CO119),'2023DATA'!$H$9,"")</f>
        <v/>
      </c>
      <c r="CP126" s="518" t="str">
        <f>IF(AND(_AC6="A-330-200",'2023'!$G$4="CA",'2023'!$G$2=CP119),'2023DATA'!$I$9,"")</f>
        <v/>
      </c>
      <c r="CQ126" s="518" t="str">
        <f>IF(AND(_AC6="A-330-200",'2023'!$G$4="CA",'2023'!$G$2=CQ119),'2023DATA'!$J$9,"")</f>
        <v/>
      </c>
      <c r="CR126" s="518" t="str">
        <f>IF(AND(_AC6="A-330-200",'2023'!$G$4="CA",'2023'!$G$2=CR119),'2023DATA'!$K$9,"")</f>
        <v/>
      </c>
      <c r="CS126" s="518" t="str">
        <f>IF(AND(_AC6="A-330-200",'2023'!$G$4="CA",'2023'!$G$2=CS119),'2023DATA'!$L$9,"")</f>
        <v/>
      </c>
      <c r="CT126" s="518" t="str">
        <f>IF(AND(_AC6="A-330-200",'2023'!$G$4="CA",'2023'!$G$2=CT119),'2023DATA'!$M$9,"")</f>
        <v/>
      </c>
      <c r="CU126" s="520" t="str">
        <f>IF(AND(_AC6="A-330-200",'2023'!$G$4="CA",'2023'!$G$2=CU119),'2023DATA'!$N$9,"")</f>
        <v/>
      </c>
    </row>
    <row r="127" spans="16:99" x14ac:dyDescent="0.25">
      <c r="P127" s="940"/>
      <c r="Q127" s="13" t="s">
        <v>62</v>
      </c>
      <c r="R127" s="518" t="str">
        <f>IF(AND(_AC1="A-330-200",'2023'!$G$4="FO",'2023'!$G$2=R119),'2023DATA'!$C$10,"")</f>
        <v/>
      </c>
      <c r="S127" s="518" t="str">
        <f>IF(AND(_AC1="A-330-200",'2023'!$G$4="FO",'2023'!$G$2=S119),'2023DATA'!$D$10,"")</f>
        <v/>
      </c>
      <c r="T127" s="518" t="str">
        <f>IF(AND(_AC1="A-330-200",'2023'!$G$4="FO",'2023'!$G$2=T119),'2023DATA'!$E$10,"")</f>
        <v/>
      </c>
      <c r="U127" s="518" t="str">
        <f>IF(AND(_AC1="A-330-200",'2023'!$G$4="FO",'2023'!$G$2=U119),'2023DATA'!$F$10,"")</f>
        <v/>
      </c>
      <c r="V127" s="518" t="str">
        <f>IF(AND(_AC1="A-330-200",'2023'!$G$4="FO",'2023'!$G$2=V119),'2023DATA'!$G$10,"")</f>
        <v/>
      </c>
      <c r="W127" s="518" t="str">
        <f>IF(AND(_AC1="A-330-200",'2023'!$G$4="FO",'2023'!$G$2=W119),'2023DATA'!$H$10,"")</f>
        <v/>
      </c>
      <c r="X127" s="518" t="str">
        <f>IF(AND(_AC1="A-330-200",'2023'!$G$4="FO",'2023'!$G$2=X119),'2023DATA'!$I$10,"")</f>
        <v/>
      </c>
      <c r="Y127" s="518" t="str">
        <f>IF(AND(_AC1="A-330-200",'2023'!$G$4="FO",'2023'!$G$2=Y119),'2023DATA'!$J$10,"")</f>
        <v/>
      </c>
      <c r="Z127" s="518" t="str">
        <f>IF(AND(_AC1="A-330-200",'2023'!$G$4="FO",'2023'!$G$2=Z119),'2023DATA'!$K$10,"")</f>
        <v/>
      </c>
      <c r="AA127" s="518" t="str">
        <f>IF(AND(_AC1="A-330-200",'2023'!$G$4="FO",'2023'!$G$2=AA119),'2023DATA'!$L$10,"")</f>
        <v/>
      </c>
      <c r="AB127" s="518" t="str">
        <f>IF(AND(_AC1="A-330-200",'2023'!$G$4="FO",'2023'!$G$2=AB119),'2023DATA'!$M$10,"")</f>
        <v/>
      </c>
      <c r="AC127" s="520" t="str">
        <f>IF(AND(_AC1="A-330-200",'2023'!$G$4="FO",'2023'!$G$2=AC119),'2023DATA'!$N$10,"")</f>
        <v/>
      </c>
      <c r="AD127" s="940"/>
      <c r="AE127" s="13" t="s">
        <v>62</v>
      </c>
      <c r="AF127" s="518" t="str">
        <f>IF(AND(_AC2="A-330-200",'2023'!$G$4="FO",'2023'!$G$2=AF119),'2023DATA'!$C$10,"")</f>
        <v/>
      </c>
      <c r="AG127" s="518" t="str">
        <f>IF(AND(_AC2="A-330-200",'2023'!$G$4="FO",'2023'!$G$2=AG119),'2023DATA'!$D$10,"")</f>
        <v/>
      </c>
      <c r="AH127" s="518" t="str">
        <f>IF(AND(_AC2="A-330-200",'2023'!$G$4="FO",'2023'!$G$2=AH119),'2023DATA'!$E$10,"")</f>
        <v/>
      </c>
      <c r="AI127" s="518" t="str">
        <f>IF(AND(_AC2="A-330-200",'2023'!$G$4="FO",'2023'!$G$2=AI119),'2023DATA'!$F$10,"")</f>
        <v/>
      </c>
      <c r="AJ127" s="518" t="str">
        <f>IF(AND(_AC2="A-330-200",'2023'!$G$4="FO",'2023'!$G$2=AJ119),'2023DATA'!$G$10,"")</f>
        <v/>
      </c>
      <c r="AK127" s="518" t="str">
        <f>IF(AND(_AC2="A-330-200",'2023'!$G$4="FO",'2023'!$G$2=AK119),'2023DATA'!$H$10,"")</f>
        <v/>
      </c>
      <c r="AL127" s="518" t="str">
        <f>IF(AND(_AC2="A-330-200",'2023'!$G$4="FO",'2023'!$G$2=AL119),'2023DATA'!$I$10,"")</f>
        <v/>
      </c>
      <c r="AM127" s="518" t="str">
        <f>IF(AND(_AC2="A-330-200",'2023'!$G$4="FO",'2023'!$G$2=AM119),'2023DATA'!$J$10,"")</f>
        <v/>
      </c>
      <c r="AN127" s="518" t="str">
        <f>IF(AND(_AC2="A-330-200",'2023'!$G$4="FO",'2023'!$G$2=AN119),'2023DATA'!$K$10,"")</f>
        <v/>
      </c>
      <c r="AO127" s="518" t="str">
        <f>IF(AND(_AC2="A-330-200",'2023'!$G$4="FO",'2023'!$G$2=AO119),'2023DATA'!$L$10,"")</f>
        <v/>
      </c>
      <c r="AP127" s="518" t="str">
        <f>IF(AND(_AC2="A-330-200",'2023'!$G$4="FO",'2023'!$G$2=AP119),'2023DATA'!$M$10,"")</f>
        <v/>
      </c>
      <c r="AQ127" s="520" t="str">
        <f>IF(AND(_AC2="A-330-200",'2023'!$G$4="FO",'2023'!$G$2=AQ119),'2023DATA'!$N$10,"")</f>
        <v/>
      </c>
      <c r="AR127" s="940"/>
      <c r="AS127" s="13" t="s">
        <v>62</v>
      </c>
      <c r="AT127" s="518" t="str">
        <f>IF(AND(_AC3="A-330-200",'2023'!$G$4="FO",'2023'!$G$2=AT119),'2023DATA'!$C$10,"")</f>
        <v/>
      </c>
      <c r="AU127" s="518" t="str">
        <f>IF(AND(_AC3="A-330-200",'2023'!$G$4="FO",'2023'!$G$2=AU119),'2023DATA'!$D$10,"")</f>
        <v/>
      </c>
      <c r="AV127" s="518" t="str">
        <f>IF(AND(_AC3="A-330-200",'2023'!$G$4="FO",'2023'!$G$2=AV119),'2023DATA'!$E$10,"")</f>
        <v/>
      </c>
      <c r="AW127" s="518" t="str">
        <f>IF(AND(_AC3="A-330-200",'2023'!$G$4="FO",'2023'!$G$2=AW119),'2023DATA'!$F$10,"")</f>
        <v/>
      </c>
      <c r="AX127" s="518" t="str">
        <f>IF(AND(_AC3="A-330-200",'2023'!$G$4="FO",'2023'!$G$2=AX119),'2023DATA'!$G$10,"")</f>
        <v/>
      </c>
      <c r="AY127" s="518" t="str">
        <f>IF(AND(_AC3="A-330-200",'2023'!$G$4="FO",'2023'!$G$2=AY119),'2023DATA'!$H$10,"")</f>
        <v/>
      </c>
      <c r="AZ127" s="518" t="str">
        <f>IF(AND(_AC3="A-330-200",'2023'!$G$4="FO",'2023'!$G$2=AZ119),'2023DATA'!$I$10,"")</f>
        <v/>
      </c>
      <c r="BA127" s="518" t="str">
        <f>IF(AND(_AC3="A-330-200",'2023'!$G$4="FO",'2023'!$G$2=BA119),'2023DATA'!$J$10,"")</f>
        <v/>
      </c>
      <c r="BB127" s="518" t="str">
        <f>IF(AND(_AC3="A-330-200",'2023'!$G$4="FO",'2023'!$G$2=BB119),'2023DATA'!$K$10,"")</f>
        <v/>
      </c>
      <c r="BC127" s="518" t="str">
        <f>IF(AND(_AC3="A-330-200",'2023'!$G$4="FO",'2023'!$G$2=BC119),'2023DATA'!$L$10,"")</f>
        <v/>
      </c>
      <c r="BD127" s="518" t="str">
        <f>IF(AND(_AC3="A-330-200",'2023'!$G$4="FO",'2023'!$G$2=BD119),'2023DATA'!$M$10,"")</f>
        <v/>
      </c>
      <c r="BE127" s="520" t="str">
        <f>IF(AND(_AC3="A-330-200",'2023'!$G$4="FO",'2023'!$G$2=BE119),'2023DATA'!$N$10,"")</f>
        <v/>
      </c>
      <c r="BF127" s="940"/>
      <c r="BG127" s="13" t="s">
        <v>62</v>
      </c>
      <c r="BH127" s="518" t="str">
        <f>IF(AND(_AC4="A-330-200",'2023'!$G$4="FO",'2023'!$G$2=BH119),'2023DATA'!$C$10,"")</f>
        <v/>
      </c>
      <c r="BI127" s="518" t="str">
        <f>IF(AND(_AC4="A-330-200",'2023'!$G$4="FO",'2023'!$G$2=BI119),'2023DATA'!$D$10,"")</f>
        <v/>
      </c>
      <c r="BJ127" s="518" t="str">
        <f>IF(AND(_AC4="A-330-200",'2023'!$G$4="FO",'2023'!$G$2=BJ119),'2023DATA'!$E$10,"")</f>
        <v/>
      </c>
      <c r="BK127" s="518" t="str">
        <f>IF(AND(_AC4="A-330-200",'2023'!$G$4="FO",'2023'!$G$2=BK119),'2023DATA'!$F$10,"")</f>
        <v/>
      </c>
      <c r="BL127" s="518" t="str">
        <f>IF(AND(_AC4="A-330-200",'2023'!$G$4="FO",'2023'!$G$2=BL119),'2023DATA'!$G$10,"")</f>
        <v/>
      </c>
      <c r="BM127" s="518" t="str">
        <f>IF(AND(_AC4="A-330-200",'2023'!$G$4="FO",'2023'!$G$2=BM119),'2023DATA'!$H$10,"")</f>
        <v/>
      </c>
      <c r="BN127" s="518" t="str">
        <f>IF(AND(_AC4="A-330-200",'2023'!$G$4="FO",'2023'!$G$2=BN119),'2023DATA'!$I$10,"")</f>
        <v/>
      </c>
      <c r="BO127" s="518" t="str">
        <f>IF(AND(_AC4="A-330-200",'2023'!$G$4="FO",'2023'!$G$2=BO119),'2023DATA'!$J$10,"")</f>
        <v/>
      </c>
      <c r="BP127" s="518" t="str">
        <f>IF(AND(_AC4="A-330-200",'2023'!$G$4="FO",'2023'!$G$2=BP119),'2023DATA'!$K$10,"")</f>
        <v/>
      </c>
      <c r="BQ127" s="518" t="str">
        <f>IF(AND(_AC4="A-330-200",'2023'!$G$4="FO",'2023'!$G$2=BQ119),'2023DATA'!$L$10,"")</f>
        <v/>
      </c>
      <c r="BR127" s="518" t="str">
        <f>IF(AND(_AC4="A-330-200",'2023'!$G$4="FO",'2023'!$G$2=BR119),'2023DATA'!$M$10,"")</f>
        <v/>
      </c>
      <c r="BS127" s="520" t="str">
        <f>IF(AND(_AC4="A-330-200",'2023'!$G$4="FO",'2023'!$G$2=BS119),'2023DATA'!$N$10,"")</f>
        <v/>
      </c>
      <c r="BT127" s="940"/>
      <c r="BU127" s="13" t="s">
        <v>62</v>
      </c>
      <c r="BV127" s="518" t="str">
        <f>IF(AND(_AC5="A-330-200",'2023'!$G$4="FO",'2023'!$G$2=BV119),'2023DATA'!$C$10,"")</f>
        <v/>
      </c>
      <c r="BW127" s="518" t="str">
        <f>IF(AND(_AC5="A-330-200",'2023'!$G$4="FO",'2023'!$G$2=BW119),'2023DATA'!$D$10,"")</f>
        <v/>
      </c>
      <c r="BX127" s="518" t="str">
        <f>IF(AND(_AC5="A-330-200",'2023'!$G$4="FO",'2023'!$G$2=BX119),'2023DATA'!$E$10,"")</f>
        <v/>
      </c>
      <c r="BY127" s="518" t="str">
        <f>IF(AND(_AC5="A-330-200",'2023'!$G$4="FO",'2023'!$G$2=BY119),'2023DATA'!$F$10,"")</f>
        <v/>
      </c>
      <c r="BZ127" s="518" t="str">
        <f>IF(AND(_AC5="A-330-200",'2023'!$G$4="FO",'2023'!$G$2=BZ119),'2023DATA'!$G$10,"")</f>
        <v/>
      </c>
      <c r="CA127" s="518" t="str">
        <f>IF(AND(_AC5="A-330-200",'2023'!$G$4="FO",'2023'!$G$2=CA119),'2023DATA'!$H$10,"")</f>
        <v/>
      </c>
      <c r="CB127" s="518" t="str">
        <f>IF(AND(_AC5="A-330-200",'2023'!$G$4="FO",'2023'!$G$2=CB119),'2023DATA'!$I$10,"")</f>
        <v/>
      </c>
      <c r="CC127" s="518" t="str">
        <f>IF(AND(_AC5="A-330-200",'2023'!$G$4="FO",'2023'!$G$2=CC119),'2023DATA'!$J$10,"")</f>
        <v/>
      </c>
      <c r="CD127" s="518" t="str">
        <f>IF(AND(_AC5="A-330-200",'2023'!$G$4="FO",'2023'!$G$2=CD119),'2023DATA'!$K$10,"")</f>
        <v/>
      </c>
      <c r="CE127" s="518" t="str">
        <f>IF(AND(_AC5="A-330-200",'2023'!$G$4="FO",'2023'!$G$2=CE119),'2023DATA'!$L$10,"")</f>
        <v/>
      </c>
      <c r="CF127" s="518" t="str">
        <f>IF(AND(_AC5="A-330-200",'2023'!$G$4="FO",'2023'!$G$2=CF119),'2023DATA'!$M$10,"")</f>
        <v/>
      </c>
      <c r="CG127" s="520" t="str">
        <f>IF(AND(_AC5="A-330-200",'2023'!$G$4="FO",'2023'!$G$2=CG119),'2023DATA'!$N$10,"")</f>
        <v/>
      </c>
      <c r="CH127" s="940"/>
      <c r="CI127" s="13" t="s">
        <v>62</v>
      </c>
      <c r="CJ127" s="518" t="str">
        <f>IF(AND(_AC6="A-330-200",'2023'!$G$4="FO",'2023'!$G$2=CJ119),'2023DATA'!$C$10,"")</f>
        <v/>
      </c>
      <c r="CK127" s="518" t="str">
        <f>IF(AND(_AC6="A-330-200",'2023'!$G$4="FO",'2023'!$G$2=CK119),'2023DATA'!$D$10,"")</f>
        <v/>
      </c>
      <c r="CL127" s="518" t="str">
        <f>IF(AND(_AC6="A-330-200",'2023'!$G$4="FO",'2023'!$G$2=CL119),'2023DATA'!$E$10,"")</f>
        <v/>
      </c>
      <c r="CM127" s="518" t="str">
        <f>IF(AND(_AC6="A-330-200",'2023'!$G$4="FO",'2023'!$G$2=CM119),'2023DATA'!$F$10,"")</f>
        <v/>
      </c>
      <c r="CN127" s="518" t="str">
        <f>IF(AND(_AC6="A-330-200",'2023'!$G$4="FO",'2023'!$G$2=CN119),'2023DATA'!$G$10,"")</f>
        <v/>
      </c>
      <c r="CO127" s="518" t="str">
        <f>IF(AND(_AC6="A-330-200",'2023'!$G$4="FO",'2023'!$G$2=CO119),'2023DATA'!$H$10,"")</f>
        <v/>
      </c>
      <c r="CP127" s="518" t="str">
        <f>IF(AND(_AC6="A-330-200",'2023'!$G$4="FO",'2023'!$G$2=CP119),'2023DATA'!$I$10,"")</f>
        <v/>
      </c>
      <c r="CQ127" s="518" t="str">
        <f>IF(AND(_AC6="A-330-200",'2023'!$G$4="FO",'2023'!$G$2=CQ119),'2023DATA'!$J$10,"")</f>
        <v/>
      </c>
      <c r="CR127" s="518" t="str">
        <f>IF(AND(_AC6="A-330-200",'2023'!$G$4="FO",'2023'!$G$2=CR119),'2023DATA'!$K$10,"")</f>
        <v/>
      </c>
      <c r="CS127" s="518" t="str">
        <f>IF(AND(_AC6="A-330-200",'2023'!$G$4="FO",'2023'!$G$2=CS119),'2023DATA'!$L$10,"")</f>
        <v/>
      </c>
      <c r="CT127" s="518" t="str">
        <f>IF(AND(_AC6="A-330-200",'2023'!$G$4="FO",'2023'!$G$2=CT119),'2023DATA'!$M$10,"")</f>
        <v/>
      </c>
      <c r="CU127" s="520" t="str">
        <f>IF(AND(_AC6="A-330-200",'2023'!$G$4="FO",'2023'!$G$2=CU119),'2023DATA'!$N$10,"")</f>
        <v/>
      </c>
    </row>
    <row r="128" spans="16:99" x14ac:dyDescent="0.25">
      <c r="P128" s="940" t="s">
        <v>42</v>
      </c>
      <c r="Q128" s="13" t="s">
        <v>61</v>
      </c>
      <c r="R128" s="518" t="str">
        <f>IF(AND(_AC1="B-767-400ER",'2023'!$G$4="CA",'2023'!$G$2=R119),'2023DATA'!$C$11,"")</f>
        <v/>
      </c>
      <c r="S128" s="518" t="str">
        <f>IF(AND(_AC1="B-767-400ER",'2023'!$G$4="CA",'2023'!$G$2=S119),'2023DATA'!$D$11,"")</f>
        <v/>
      </c>
      <c r="T128" s="518" t="str">
        <f>IF(AND(_AC1="B-767-400ER",'2023'!$G$4="CA",'2023'!$G$2=T119),'2023DATA'!$E$11,"")</f>
        <v/>
      </c>
      <c r="U128" s="518" t="str">
        <f>IF(AND(_AC1="B-767-400ER",'2023'!$G$4="CA",'2023'!$G$2=U119),'2023DATA'!$F$11,"")</f>
        <v/>
      </c>
      <c r="V128" s="518" t="str">
        <f>IF(AND(_AC1="B-767-400ER",'2023'!$G$4="CA",'2023'!$G$2=V119),'2023DATA'!$G$11,"")</f>
        <v/>
      </c>
      <c r="W128" s="518" t="str">
        <f>IF(AND(_AC1="B-767-400ER",'2023'!$G$4="CA",'2023'!$G$2=W119),'2023DATA'!$H$11,"")</f>
        <v/>
      </c>
      <c r="X128" s="518" t="str">
        <f>IF(AND(_AC1="B-767-400ER",'2023'!$G$4="CA",'2023'!$G$2=X119),'2023DATA'!$I$11,"")</f>
        <v/>
      </c>
      <c r="Y128" s="518" t="str">
        <f>IF(AND(_AC1="B-767-400ER",'2023'!$G$4="CA",'2023'!$G$2=Y119),'2023DATA'!$J$11,"")</f>
        <v/>
      </c>
      <c r="Z128" s="518" t="str">
        <f>IF(AND(_AC1="B-767-400ER",'2023'!$G$4="CA",'2023'!$G$2=Z119),'2023DATA'!$K$11,"")</f>
        <v/>
      </c>
      <c r="AA128" s="518" t="str">
        <f>IF(AND(_AC1="B-767-400ER",'2023'!$G$4="CA",'2023'!$G$2=AA119),'2023DATA'!$L$11,"")</f>
        <v/>
      </c>
      <c r="AB128" s="518" t="str">
        <f>IF(AND(_AC1="B-767-400ER",'2023'!$G$4="CA",'2023'!$G$2=AB119),'2023DATA'!$M$11,"")</f>
        <v/>
      </c>
      <c r="AC128" s="520" t="str">
        <f>IF(AND(_AC1="B-767-400ER",'2023'!$G$4="CA",'2023'!$G$2=AC119),'2023DATA'!$N$11,"")</f>
        <v/>
      </c>
      <c r="AD128" s="940" t="s">
        <v>42</v>
      </c>
      <c r="AE128" s="13" t="s">
        <v>61</v>
      </c>
      <c r="AF128" s="518" t="str">
        <f>IF(AND(_AC2="B-767-400ER",'2023'!$G$4="CA",'2023'!$G$2=AF119),'2023DATA'!$C$11,"")</f>
        <v/>
      </c>
      <c r="AG128" s="518" t="str">
        <f>IF(AND(_AC2="B-767-400ER",'2023'!$G$4="CA",'2023'!$G$2=AG119),'2023DATA'!$D$11,"")</f>
        <v/>
      </c>
      <c r="AH128" s="518" t="str">
        <f>IF(AND(_AC2="B-767-400ER",'2023'!$G$4="CA",'2023'!$G$2=AH119),'2023DATA'!$E$11,"")</f>
        <v/>
      </c>
      <c r="AI128" s="518" t="str">
        <f>IF(AND(_AC2="B-767-400ER",'2023'!$G$4="CA",'2023'!$G$2=AI119),'2023DATA'!$F$11,"")</f>
        <v/>
      </c>
      <c r="AJ128" s="518" t="str">
        <f>IF(AND(_AC2="B-767-400ER",'2023'!$G$4="CA",'2023'!$G$2=AJ119),'2023DATA'!$G$11,"")</f>
        <v/>
      </c>
      <c r="AK128" s="518" t="str">
        <f>IF(AND(_AC2="B-767-400ER",'2023'!$G$4="CA",'2023'!$G$2=AK119),'2023DATA'!$H$11,"")</f>
        <v/>
      </c>
      <c r="AL128" s="518" t="str">
        <f>IF(AND(_AC2="B-767-400ER",'2023'!$G$4="CA",'2023'!$G$2=AL119),'2023DATA'!$I$11,"")</f>
        <v/>
      </c>
      <c r="AM128" s="518" t="str">
        <f>IF(AND(_AC2="B-767-400ER",'2023'!$G$4="CA",'2023'!$G$2=AM119),'2023DATA'!$J$11,"")</f>
        <v/>
      </c>
      <c r="AN128" s="518" t="str">
        <f>IF(AND(_AC2="B-767-400ER",'2023'!$G$4="CA",'2023'!$G$2=AN119),'2023DATA'!$K$11,"")</f>
        <v/>
      </c>
      <c r="AO128" s="518" t="str">
        <f>IF(AND(_AC2="B-767-400ER",'2023'!$G$4="CA",'2023'!$G$2=AO119),'2023DATA'!$L$11,"")</f>
        <v/>
      </c>
      <c r="AP128" s="518" t="str">
        <f>IF(AND(_AC2="B-767-400ER",'2023'!$G$4="CA",'2023'!$G$2=AP119),'2023DATA'!$M$11,"")</f>
        <v/>
      </c>
      <c r="AQ128" s="520" t="str">
        <f>IF(AND(_AC2="B-767-400ER",'2023'!$G$4="CA",'2023'!$G$2=AQ119),'2023DATA'!$N$11,"")</f>
        <v/>
      </c>
      <c r="AR128" s="940" t="s">
        <v>42</v>
      </c>
      <c r="AS128" s="13" t="s">
        <v>61</v>
      </c>
      <c r="AT128" s="518" t="str">
        <f>IF(AND(_AC3="B-767-400ER",'2023'!$G$4="CA",'2023'!$G$2=AT119),'2023DATA'!$C$11,"")</f>
        <v/>
      </c>
      <c r="AU128" s="518" t="str">
        <f>IF(AND(_AC3="B-767-400ER",'2023'!$G$4="CA",'2023'!$G$2=AU119),'2023DATA'!$D$11,"")</f>
        <v/>
      </c>
      <c r="AV128" s="518" t="str">
        <f>IF(AND(_AC3="B-767-400ER",'2023'!$G$4="CA",'2023'!$G$2=AV119),'2023DATA'!$E$11,"")</f>
        <v/>
      </c>
      <c r="AW128" s="518" t="str">
        <f>IF(AND(_AC3="B-767-400ER",'2023'!$G$4="CA",'2023'!$G$2=AW119),'2023DATA'!$F$11,"")</f>
        <v/>
      </c>
      <c r="AX128" s="518" t="str">
        <f>IF(AND(_AC3="B-767-400ER",'2023'!$G$4="CA",'2023'!$G$2=AX119),'2023DATA'!$G$11,"")</f>
        <v/>
      </c>
      <c r="AY128" s="518" t="str">
        <f>IF(AND(_AC3="B-767-400ER",'2023'!$G$4="CA",'2023'!$G$2=AY119),'2023DATA'!$H$11,"")</f>
        <v/>
      </c>
      <c r="AZ128" s="518" t="str">
        <f>IF(AND(_AC3="B-767-400ER",'2023'!$G$4="CA",'2023'!$G$2=AZ119),'2023DATA'!$I$11,"")</f>
        <v/>
      </c>
      <c r="BA128" s="518" t="str">
        <f>IF(AND(_AC3="B-767-400ER",'2023'!$G$4="CA",'2023'!$G$2=BA119),'2023DATA'!$J$11,"")</f>
        <v/>
      </c>
      <c r="BB128" s="518" t="str">
        <f>IF(AND(_AC3="B-767-400ER",'2023'!$G$4="CA",'2023'!$G$2=BB119),'2023DATA'!$K$11,"")</f>
        <v/>
      </c>
      <c r="BC128" s="518" t="str">
        <f>IF(AND(_AC3="B-767-400ER",'2023'!$G$4="CA",'2023'!$G$2=BC119),'2023DATA'!$L$11,"")</f>
        <v/>
      </c>
      <c r="BD128" s="518" t="str">
        <f>IF(AND(_AC3="B-767-400ER",'2023'!$G$4="CA",'2023'!$G$2=BD119),'2023DATA'!$M$11,"")</f>
        <v/>
      </c>
      <c r="BE128" s="520" t="str">
        <f>IF(AND(_AC3="B-767-400ER",'2023'!$G$4="CA",'2023'!$G$2=BE119),'2023DATA'!$N$11,"")</f>
        <v/>
      </c>
      <c r="BF128" s="940" t="s">
        <v>42</v>
      </c>
      <c r="BG128" s="13" t="s">
        <v>61</v>
      </c>
      <c r="BH128" s="518" t="str">
        <f>IF(AND(_AC4="B-767-400ER",'2023'!$G$4="CA",'2023'!$G$2=BH119),'2023DATA'!$C$11,"")</f>
        <v/>
      </c>
      <c r="BI128" s="518" t="str">
        <f>IF(AND(_AC4="B-767-400ER",'2023'!$G$4="CA",'2023'!$G$2=BI119),'2023DATA'!$D$11,"")</f>
        <v/>
      </c>
      <c r="BJ128" s="518" t="str">
        <f>IF(AND(_AC4="B-767-400ER",'2023'!$G$4="CA",'2023'!$G$2=BJ119),'2023DATA'!$E$11,"")</f>
        <v/>
      </c>
      <c r="BK128" s="518" t="str">
        <f>IF(AND(_AC4="B-767-400ER",'2023'!$G$4="CA",'2023'!$G$2=BK119),'2023DATA'!$F$11,"")</f>
        <v/>
      </c>
      <c r="BL128" s="518" t="str">
        <f>IF(AND(_AC4="B-767-400ER",'2023'!$G$4="CA",'2023'!$G$2=BL119),'2023DATA'!$G$11,"")</f>
        <v/>
      </c>
      <c r="BM128" s="518" t="str">
        <f>IF(AND(_AC4="B-767-400ER",'2023'!$G$4="CA",'2023'!$G$2=BM119),'2023DATA'!$H$11,"")</f>
        <v/>
      </c>
      <c r="BN128" s="518" t="str">
        <f>IF(AND(_AC4="B-767-400ER",'2023'!$G$4="CA",'2023'!$G$2=BN119),'2023DATA'!$I$11,"")</f>
        <v/>
      </c>
      <c r="BO128" s="518" t="str">
        <f>IF(AND(_AC4="B-767-400ER",'2023'!$G$4="CA",'2023'!$G$2=BO119),'2023DATA'!$J$11,"")</f>
        <v/>
      </c>
      <c r="BP128" s="518" t="str">
        <f>IF(AND(_AC4="B-767-400ER",'2023'!$G$4="CA",'2023'!$G$2=BP119),'2023DATA'!$K$11,"")</f>
        <v/>
      </c>
      <c r="BQ128" s="518" t="str">
        <f>IF(AND(_AC4="B-767-400ER",'2023'!$G$4="CA",'2023'!$G$2=BQ119),'2023DATA'!$L$11,"")</f>
        <v/>
      </c>
      <c r="BR128" s="518" t="str">
        <f>IF(AND(_AC4="B-767-400ER",'2023'!$G$4="CA",'2023'!$G$2=BR119),'2023DATA'!$M$11,"")</f>
        <v/>
      </c>
      <c r="BS128" s="520" t="str">
        <f>IF(AND(_AC4="B-767-400ER",'2023'!$G$4="CA",'2023'!$G$2=BS119),'2023DATA'!$N$11,"")</f>
        <v/>
      </c>
      <c r="BT128" s="940" t="s">
        <v>42</v>
      </c>
      <c r="BU128" s="13" t="s">
        <v>61</v>
      </c>
      <c r="BV128" s="518" t="str">
        <f>IF(AND(_AC5="B-767-400ER",'2023'!$G$4="CA",'2023'!$G$2=BV119),'2023DATA'!$C$11,"")</f>
        <v/>
      </c>
      <c r="BW128" s="518" t="str">
        <f>IF(AND(_AC5="B-767-400ER",'2023'!$G$4="CA",'2023'!$G$2=BW119),'2023DATA'!$D$11,"")</f>
        <v/>
      </c>
      <c r="BX128" s="518" t="str">
        <f>IF(AND(_AC5="B-767-400ER",'2023'!$G$4="CA",'2023'!$G$2=BX119),'2023DATA'!$E$11,"")</f>
        <v/>
      </c>
      <c r="BY128" s="518" t="str">
        <f>IF(AND(_AC5="B-767-400ER",'2023'!$G$4="CA",'2023'!$G$2=BY119),'2023DATA'!$F$11,"")</f>
        <v/>
      </c>
      <c r="BZ128" s="518" t="str">
        <f>IF(AND(_AC5="B-767-400ER",'2023'!$G$4="CA",'2023'!$G$2=BZ119),'2023DATA'!$G$11,"")</f>
        <v/>
      </c>
      <c r="CA128" s="518" t="str">
        <f>IF(AND(_AC5="B-767-400ER",'2023'!$G$4="CA",'2023'!$G$2=CA119),'2023DATA'!$H$11,"")</f>
        <v/>
      </c>
      <c r="CB128" s="518" t="str">
        <f>IF(AND(_AC5="B-767-400ER",'2023'!$G$4="CA",'2023'!$G$2=CB119),'2023DATA'!$I$11,"")</f>
        <v/>
      </c>
      <c r="CC128" s="518" t="str">
        <f>IF(AND(_AC5="B-767-400ER",'2023'!$G$4="CA",'2023'!$G$2=CC119),'2023DATA'!$J$11,"")</f>
        <v/>
      </c>
      <c r="CD128" s="518" t="str">
        <f>IF(AND(_AC5="B-767-400ER",'2023'!$G$4="CA",'2023'!$G$2=CD119),'2023DATA'!$K$11,"")</f>
        <v/>
      </c>
      <c r="CE128" s="518" t="str">
        <f>IF(AND(_AC5="B-767-400ER",'2023'!$G$4="CA",'2023'!$G$2=CE119),'2023DATA'!$L$11,"")</f>
        <v/>
      </c>
      <c r="CF128" s="518" t="str">
        <f>IF(AND(_AC5="B-767-400ER",'2023'!$G$4="CA",'2023'!$G$2=CF119),'2023DATA'!$M$11,"")</f>
        <v/>
      </c>
      <c r="CG128" s="520" t="str">
        <f>IF(AND(_AC5="B-767-400ER",'2023'!$G$4="CA",'2023'!$G$2=CG119),'2023DATA'!$N$11,"")</f>
        <v/>
      </c>
      <c r="CH128" s="940" t="s">
        <v>42</v>
      </c>
      <c r="CI128" s="13" t="s">
        <v>61</v>
      </c>
      <c r="CJ128" s="518" t="str">
        <f>IF(AND(_AC6="B-767-400ER",'2023'!$G$4="CA",'2023'!$G$2=CJ119),'2023DATA'!$C$11,"")</f>
        <v/>
      </c>
      <c r="CK128" s="518" t="str">
        <f>IF(AND(_AC6="B-767-400ER",'2023'!$G$4="CA",'2023'!$G$2=CK119),'2023DATA'!$D$11,"")</f>
        <v/>
      </c>
      <c r="CL128" s="518" t="str">
        <f>IF(AND(_AC6="B-767-400ER",'2023'!$G$4="CA",'2023'!$G$2=CL119),'2023DATA'!$E$11,"")</f>
        <v/>
      </c>
      <c r="CM128" s="518" t="str">
        <f>IF(AND(_AC6="B-767-400ER",'2023'!$G$4="CA",'2023'!$G$2=CM119),'2023DATA'!$F$11,"")</f>
        <v/>
      </c>
      <c r="CN128" s="518" t="str">
        <f>IF(AND(_AC6="B-767-400ER",'2023'!$G$4="CA",'2023'!$G$2=CN119),'2023DATA'!$G$11,"")</f>
        <v/>
      </c>
      <c r="CO128" s="518" t="str">
        <f>IF(AND(_AC6="B-767-400ER",'2023'!$G$4="CA",'2023'!$G$2=CO119),'2023DATA'!$H$11,"")</f>
        <v/>
      </c>
      <c r="CP128" s="518" t="str">
        <f>IF(AND(_AC6="B-767-400ER",'2023'!$G$4="CA",'2023'!$G$2=CP119),'2023DATA'!$I$11,"")</f>
        <v/>
      </c>
      <c r="CQ128" s="518" t="str">
        <f>IF(AND(_AC6="B-767-400ER",'2023'!$G$4="CA",'2023'!$G$2=CQ119),'2023DATA'!$J$11,"")</f>
        <v/>
      </c>
      <c r="CR128" s="518" t="str">
        <f>IF(AND(_AC6="B-767-400ER",'2023'!$G$4="CA",'2023'!$G$2=CR119),'2023DATA'!$K$11,"")</f>
        <v/>
      </c>
      <c r="CS128" s="518" t="str">
        <f>IF(AND(_AC6="B-767-400ER",'2023'!$G$4="CA",'2023'!$G$2=CS119),'2023DATA'!$L$11,"")</f>
        <v/>
      </c>
      <c r="CT128" s="518" t="str">
        <f>IF(AND(_AC6="B-767-400ER",'2023'!$G$4="CA",'2023'!$G$2=CT119),'2023DATA'!$M$11,"")</f>
        <v/>
      </c>
      <c r="CU128" s="520" t="str">
        <f>IF(AND(_AC6="B-767-400ER",'2023'!$G$4="CA",'2023'!$G$2=CU119),'2023DATA'!$N$11,"")</f>
        <v/>
      </c>
    </row>
    <row r="129" spans="16:99" x14ac:dyDescent="0.25">
      <c r="P129" s="940"/>
      <c r="Q129" s="13" t="s">
        <v>62</v>
      </c>
      <c r="R129" s="518" t="str">
        <f>IF(AND(_AC1="B-767-400ER",'2023'!$G$4="FO",'2023'!$G$2=R119),'2023DATA'!$C$12,"")</f>
        <v/>
      </c>
      <c r="S129" s="518" t="str">
        <f>IF(AND(_AC1="B-767-400ER",'2023'!$G$4="FO",'2023'!$G$2=S119),'2023DATA'!$D$12,"")</f>
        <v/>
      </c>
      <c r="T129" s="518" t="str">
        <f>IF(AND(_AC1="B-767-400ER",'2023'!$G$4="FO",'2023'!$G$2=T119),'2023DATA'!$E$12,"")</f>
        <v/>
      </c>
      <c r="U129" s="518" t="str">
        <f>IF(AND(_AC1="B-767-400ER",'2023'!$G$4="FO",'2023'!$G$2=U119),'2023DATA'!$F$12,"")</f>
        <v/>
      </c>
      <c r="V129" s="518" t="str">
        <f>IF(AND(_AC1="B-767-400ER",'2023'!$G$4="FO",'2023'!$G$2=V119),'2023DATA'!$G$12,"")</f>
        <v/>
      </c>
      <c r="W129" s="518" t="str">
        <f>IF(AND(_AC1="B-767-400ER",'2023'!$G$4="FO",'2023'!$G$2=W119),'2023DATA'!$H$12,"")</f>
        <v/>
      </c>
      <c r="X129" s="518" t="str">
        <f>IF(AND(_AC1="B-767-400ER",'2023'!$G$4="FO",'2023'!$G$2=X119),'2023DATA'!$I$12,"")</f>
        <v/>
      </c>
      <c r="Y129" s="518" t="str">
        <f>IF(AND(_AC1="B-767-400ER",'2023'!$G$4="FO",'2023'!$G$2=Y119),'2023DATA'!$J$12,"")</f>
        <v/>
      </c>
      <c r="Z129" s="518" t="str">
        <f>IF(AND(_AC1="B-767-400ER",'2023'!$G$4="FO",'2023'!$G$2=Z119),'2023DATA'!$K$12,"")</f>
        <v/>
      </c>
      <c r="AA129" s="518" t="str">
        <f>IF(AND(_AC1="B-767-400ER",'2023'!$G$4="FO",'2023'!$G$2=AA119),'2023DATA'!$L$12,"")</f>
        <v/>
      </c>
      <c r="AB129" s="518" t="str">
        <f>IF(AND(_AC1="B-767-400ER",'2023'!$G$4="FO",'2023'!$G$2=AB119),'2023DATA'!$M$12,"")</f>
        <v/>
      </c>
      <c r="AC129" s="520" t="str">
        <f>IF(AND(_AC1="B-767-400ER",'2023'!$G$4="FO",'2023'!$G$2=AC119),'2023DATA'!$N$12,"")</f>
        <v/>
      </c>
      <c r="AD129" s="940"/>
      <c r="AE129" s="13" t="s">
        <v>62</v>
      </c>
      <c r="AF129" s="518" t="str">
        <f>IF(AND(_AC2="B-767-400ER",'2023'!$G$4="FO",'2023'!$G$2=AF119),'2023DATA'!$C$12,"")</f>
        <v/>
      </c>
      <c r="AG129" s="518" t="str">
        <f>IF(AND(_AC2="B-767-400ER",'2023'!$G$4="FO",'2023'!$G$2=AG119),'2023DATA'!$D$12,"")</f>
        <v/>
      </c>
      <c r="AH129" s="518" t="str">
        <f>IF(AND(_AC2="B-767-400ER",'2023'!$G$4="FO",'2023'!$G$2=AH119),'2023DATA'!$E$12,"")</f>
        <v/>
      </c>
      <c r="AI129" s="518" t="str">
        <f>IF(AND(_AC2="B-767-400ER",'2023'!$G$4="FO",'2023'!$G$2=AI119),'2023DATA'!$F$12,"")</f>
        <v/>
      </c>
      <c r="AJ129" s="518" t="str">
        <f>IF(AND(_AC2="B-767-400ER",'2023'!$G$4="FO",'2023'!$G$2=AJ119),'2023DATA'!$G$12,"")</f>
        <v/>
      </c>
      <c r="AK129" s="518" t="str">
        <f>IF(AND(_AC2="B-767-400ER",'2023'!$G$4="FO",'2023'!$G$2=AK119),'2023DATA'!$H$12,"")</f>
        <v/>
      </c>
      <c r="AL129" s="518" t="str">
        <f>IF(AND(_AC2="B-767-400ER",'2023'!$G$4="FO",'2023'!$G$2=AL119),'2023DATA'!$I$12,"")</f>
        <v/>
      </c>
      <c r="AM129" s="518" t="str">
        <f>IF(AND(_AC2="B-767-400ER",'2023'!$G$4="FO",'2023'!$G$2=AM119),'2023DATA'!$J$12,"")</f>
        <v/>
      </c>
      <c r="AN129" s="518" t="str">
        <f>IF(AND(_AC2="B-767-400ER",'2023'!$G$4="FO",'2023'!$G$2=AN119),'2023DATA'!$K$12,"")</f>
        <v/>
      </c>
      <c r="AO129" s="518" t="str">
        <f>IF(AND(_AC2="B-767-400ER",'2023'!$G$4="FO",'2023'!$G$2=AO119),'2023DATA'!$L$12,"")</f>
        <v/>
      </c>
      <c r="AP129" s="518" t="str">
        <f>IF(AND(_AC2="B-767-400ER",'2023'!$G$4="FO",'2023'!$G$2=AP119),'2023DATA'!$M$12,"")</f>
        <v/>
      </c>
      <c r="AQ129" s="520" t="str">
        <f>IF(AND(_AC2="B-767-400ER",'2023'!$G$4="FO",'2023'!$G$2=AQ119),'2023DATA'!$N$12,"")</f>
        <v/>
      </c>
      <c r="AR129" s="940"/>
      <c r="AS129" s="13" t="s">
        <v>62</v>
      </c>
      <c r="AT129" s="518" t="str">
        <f>IF(AND(_AC3="B-767-400ER",'2023'!$G$4="FO",'2023'!$G$2=AT119),'2023DATA'!$C$12,"")</f>
        <v/>
      </c>
      <c r="AU129" s="518" t="str">
        <f>IF(AND(_AC3="B-767-400ER",'2023'!$G$4="FO",'2023'!$G$2=AU119),'2023DATA'!$D$12,"")</f>
        <v/>
      </c>
      <c r="AV129" s="518" t="str">
        <f>IF(AND(_AC3="B-767-400ER",'2023'!$G$4="FO",'2023'!$G$2=AV119),'2023DATA'!$E$12,"")</f>
        <v/>
      </c>
      <c r="AW129" s="518" t="str">
        <f>IF(AND(_AC3="B-767-400ER",'2023'!$G$4="FO",'2023'!$G$2=AW119),'2023DATA'!$F$12,"")</f>
        <v/>
      </c>
      <c r="AX129" s="518" t="str">
        <f>IF(AND(_AC3="B-767-400ER",'2023'!$G$4="FO",'2023'!$G$2=AX119),'2023DATA'!$G$12,"")</f>
        <v/>
      </c>
      <c r="AY129" s="518" t="str">
        <f>IF(AND(_AC3="B-767-400ER",'2023'!$G$4="FO",'2023'!$G$2=AY119),'2023DATA'!$H$12,"")</f>
        <v/>
      </c>
      <c r="AZ129" s="518" t="str">
        <f>IF(AND(_AC3="B-767-400ER",'2023'!$G$4="FO",'2023'!$G$2=AZ119),'2023DATA'!$I$12,"")</f>
        <v/>
      </c>
      <c r="BA129" s="518" t="str">
        <f>IF(AND(_AC3="B-767-400ER",'2023'!$G$4="FO",'2023'!$G$2=BA119),'2023DATA'!$J$12,"")</f>
        <v/>
      </c>
      <c r="BB129" s="518" t="str">
        <f>IF(AND(_AC3="B-767-400ER",'2023'!$G$4="FO",'2023'!$G$2=BB119),'2023DATA'!$K$12,"")</f>
        <v/>
      </c>
      <c r="BC129" s="518" t="str">
        <f>IF(AND(_AC3="B-767-400ER",'2023'!$G$4="FO",'2023'!$G$2=BC119),'2023DATA'!$L$12,"")</f>
        <v/>
      </c>
      <c r="BD129" s="518" t="str">
        <f>IF(AND(_AC3="B-767-400ER",'2023'!$G$4="FO",'2023'!$G$2=BD119),'2023DATA'!$M$12,"")</f>
        <v/>
      </c>
      <c r="BE129" s="520" t="str">
        <f>IF(AND(_AC3="B-767-400ER",'2023'!$G$4="FO",'2023'!$G$2=BE119),'2023DATA'!$N$12,"")</f>
        <v/>
      </c>
      <c r="BF129" s="940"/>
      <c r="BG129" s="13" t="s">
        <v>62</v>
      </c>
      <c r="BH129" s="518" t="str">
        <f>IF(AND(_AC4="B-767-400ER",'2023'!$G$4="FO",'2023'!$G$2=BH119),'2023DATA'!$C$12,"")</f>
        <v/>
      </c>
      <c r="BI129" s="518" t="str">
        <f>IF(AND(_AC4="B-767-400ER",'2023'!$G$4="FO",'2023'!$G$2=BI119),'2023DATA'!$D$12,"")</f>
        <v/>
      </c>
      <c r="BJ129" s="518" t="str">
        <f>IF(AND(_AC4="B-767-400ER",'2023'!$G$4="FO",'2023'!$G$2=BJ119),'2023DATA'!$E$12,"")</f>
        <v/>
      </c>
      <c r="BK129" s="518" t="str">
        <f>IF(AND(_AC4="B-767-400ER",'2023'!$G$4="FO",'2023'!$G$2=BK119),'2023DATA'!$F$12,"")</f>
        <v/>
      </c>
      <c r="BL129" s="518" t="str">
        <f>IF(AND(_AC4="B-767-400ER",'2023'!$G$4="FO",'2023'!$G$2=BL119),'2023DATA'!$G$12,"")</f>
        <v/>
      </c>
      <c r="BM129" s="518" t="str">
        <f>IF(AND(_AC4="B-767-400ER",'2023'!$G$4="FO",'2023'!$G$2=BM119),'2023DATA'!$H$12,"")</f>
        <v/>
      </c>
      <c r="BN129" s="518" t="str">
        <f>IF(AND(_AC4="B-767-400ER",'2023'!$G$4="FO",'2023'!$G$2=BN119),'2023DATA'!$I$12,"")</f>
        <v/>
      </c>
      <c r="BO129" s="518" t="str">
        <f>IF(AND(_AC4="B-767-400ER",'2023'!$G$4="FO",'2023'!$G$2=BO119),'2023DATA'!$J$12,"")</f>
        <v/>
      </c>
      <c r="BP129" s="518" t="str">
        <f>IF(AND(_AC4="B-767-400ER",'2023'!$G$4="FO",'2023'!$G$2=BP119),'2023DATA'!$K$12,"")</f>
        <v/>
      </c>
      <c r="BQ129" s="518" t="str">
        <f>IF(AND(_AC4="B-767-400ER",'2023'!$G$4="FO",'2023'!$G$2=BQ119),'2023DATA'!$L$12,"")</f>
        <v/>
      </c>
      <c r="BR129" s="518" t="str">
        <f>IF(AND(_AC4="B-767-400ER",'2023'!$G$4="FO",'2023'!$G$2=BR119),'2023DATA'!$M$12,"")</f>
        <v/>
      </c>
      <c r="BS129" s="520" t="str">
        <f>IF(AND(_AC4="B-767-400ER",'2023'!$G$4="FO",'2023'!$G$2=BS119),'2023DATA'!$N$12,"")</f>
        <v/>
      </c>
      <c r="BT129" s="940"/>
      <c r="BU129" s="13" t="s">
        <v>62</v>
      </c>
      <c r="BV129" s="518" t="str">
        <f>IF(AND(_AC5="B-767-400ER",'2023'!$G$4="FO",'2023'!$G$2=BV119),'2023DATA'!$C$12,"")</f>
        <v/>
      </c>
      <c r="BW129" s="518" t="str">
        <f>IF(AND(_AC5="B-767-400ER",'2023'!$G$4="FO",'2023'!$G$2=BW119),'2023DATA'!$D$12,"")</f>
        <v/>
      </c>
      <c r="BX129" s="518" t="str">
        <f>IF(AND(_AC5="B-767-400ER",'2023'!$G$4="FO",'2023'!$G$2=BX119),'2023DATA'!$E$12,"")</f>
        <v/>
      </c>
      <c r="BY129" s="518" t="str">
        <f>IF(AND(_AC5="B-767-400ER",'2023'!$G$4="FO",'2023'!$G$2=BY119),'2023DATA'!$F$12,"")</f>
        <v/>
      </c>
      <c r="BZ129" s="518" t="str">
        <f>IF(AND(_AC5="B-767-400ER",'2023'!$G$4="FO",'2023'!$G$2=BZ119),'2023DATA'!$G$12,"")</f>
        <v/>
      </c>
      <c r="CA129" s="518" t="str">
        <f>IF(AND(_AC5="B-767-400ER",'2023'!$G$4="FO",'2023'!$G$2=CA119),'2023DATA'!$H$12,"")</f>
        <v/>
      </c>
      <c r="CB129" s="518" t="str">
        <f>IF(AND(_AC5="B-767-400ER",'2023'!$G$4="FO",'2023'!$G$2=CB119),'2023DATA'!$I$12,"")</f>
        <v/>
      </c>
      <c r="CC129" s="518" t="str">
        <f>IF(AND(_AC5="B-767-400ER",'2023'!$G$4="FO",'2023'!$G$2=CC119),'2023DATA'!$J$12,"")</f>
        <v/>
      </c>
      <c r="CD129" s="518" t="str">
        <f>IF(AND(_AC5="B-767-400ER",'2023'!$G$4="FO",'2023'!$G$2=CD119),'2023DATA'!$K$12,"")</f>
        <v/>
      </c>
      <c r="CE129" s="518" t="str">
        <f>IF(AND(_AC5="B-767-400ER",'2023'!$G$4="FO",'2023'!$G$2=CE119),'2023DATA'!$L$12,"")</f>
        <v/>
      </c>
      <c r="CF129" s="518" t="str">
        <f>IF(AND(_AC5="B-767-400ER",'2023'!$G$4="FO",'2023'!$G$2=CF119),'2023DATA'!$M$12,"")</f>
        <v/>
      </c>
      <c r="CG129" s="520" t="str">
        <f>IF(AND(_AC5="B-767-400ER",'2023'!$G$4="FO",'2023'!$G$2=CG119),'2023DATA'!$N$12,"")</f>
        <v/>
      </c>
      <c r="CH129" s="940"/>
      <c r="CI129" s="13" t="s">
        <v>62</v>
      </c>
      <c r="CJ129" s="518" t="str">
        <f>IF(AND(_AC6="B-767-400ER",'2023'!$G$4="FO",'2023'!$G$2=CJ119),'2023DATA'!$C$12,"")</f>
        <v/>
      </c>
      <c r="CK129" s="518" t="str">
        <f>IF(AND(_AC6="B-767-400ER",'2023'!$G$4="FO",'2023'!$G$2=CK119),'2023DATA'!$D$12,"")</f>
        <v/>
      </c>
      <c r="CL129" s="518" t="str">
        <f>IF(AND(_AC6="B-767-400ER",'2023'!$G$4="FO",'2023'!$G$2=CL119),'2023DATA'!$E$12,"")</f>
        <v/>
      </c>
      <c r="CM129" s="518" t="str">
        <f>IF(AND(_AC6="B-767-400ER",'2023'!$G$4="FO",'2023'!$G$2=CM119),'2023DATA'!$F$12,"")</f>
        <v/>
      </c>
      <c r="CN129" s="518" t="str">
        <f>IF(AND(_AC6="B-767-400ER",'2023'!$G$4="FO",'2023'!$G$2=CN119),'2023DATA'!$G$12,"")</f>
        <v/>
      </c>
      <c r="CO129" s="518" t="str">
        <f>IF(AND(_AC6="B-767-400ER",'2023'!$G$4="FO",'2023'!$G$2=CO119),'2023DATA'!$H$12,"")</f>
        <v/>
      </c>
      <c r="CP129" s="518" t="str">
        <f>IF(AND(_AC6="B-767-400ER",'2023'!$G$4="FO",'2023'!$G$2=CP119),'2023DATA'!$I$12,"")</f>
        <v/>
      </c>
      <c r="CQ129" s="518" t="str">
        <f>IF(AND(_AC6="B-767-400ER",'2023'!$G$4="FO",'2023'!$G$2=CQ119),'2023DATA'!$J$12,"")</f>
        <v/>
      </c>
      <c r="CR129" s="518" t="str">
        <f>IF(AND(_AC6="B-767-400ER",'2023'!$G$4="FO",'2023'!$G$2=CR119),'2023DATA'!$K$12,"")</f>
        <v/>
      </c>
      <c r="CS129" s="518" t="str">
        <f>IF(AND(_AC6="B-767-400ER",'2023'!$G$4="FO",'2023'!$G$2=CS119),'2023DATA'!$L$12,"")</f>
        <v/>
      </c>
      <c r="CT129" s="518" t="str">
        <f>IF(AND(_AC6="B-767-400ER",'2023'!$G$4="FO",'2023'!$G$2=CT119),'2023DATA'!$M$12,"")</f>
        <v/>
      </c>
      <c r="CU129" s="520" t="str">
        <f>IF(AND(_AC6="B-767-400ER",'2023'!$G$4="FO",'2023'!$G$2=CU119),'2023DATA'!$N$12,"")</f>
        <v/>
      </c>
    </row>
    <row r="130" spans="16:99" x14ac:dyDescent="0.25">
      <c r="P130" s="940" t="s">
        <v>43</v>
      </c>
      <c r="Q130" s="13" t="s">
        <v>61</v>
      </c>
      <c r="R130" s="518" t="str">
        <f>IF(AND(_AC1="B-767-300ER",'2023'!$G$4="CA",'2023'!$G$2=R119),'2023DATA'!$C$13,"")</f>
        <v/>
      </c>
      <c r="S130" s="518" t="str">
        <f>IF(AND(_AC1="B-767-300ER",'2023'!$G$4="CA",'2023'!$G$2=S119),'2023DATA'!$D$13,"")</f>
        <v/>
      </c>
      <c r="T130" s="518" t="str">
        <f>IF(AND(_AC1="B-767-300ER",'2023'!$G$4="CA",'2023'!$G$2=T119),'2023DATA'!$E$13,"")</f>
        <v/>
      </c>
      <c r="U130" s="518" t="str">
        <f>IF(AND(_AC1="B-767-300ER",'2023'!$G$4="CA",'2023'!$G$2=U119),'2023DATA'!$F$13,"")</f>
        <v/>
      </c>
      <c r="V130" s="518" t="str">
        <f>IF(AND(_AC1="B-767-300ER",'2023'!$G$4="CA",'2023'!$G$2=V119),'2023DATA'!$G$13,"")</f>
        <v/>
      </c>
      <c r="W130" s="518" t="str">
        <f>IF(AND(_AC1="B-767-300ER",'2023'!$G$4="CA",'2023'!$G$2=W119),'2023DATA'!$H$13,"")</f>
        <v/>
      </c>
      <c r="X130" s="518" t="str">
        <f>IF(AND(_AC1="B-767-300ER",'2023'!$G$4="CA",'2023'!$G$2=X119),'2023DATA'!$I$13,"")</f>
        <v/>
      </c>
      <c r="Y130" s="518" t="str">
        <f>IF(AND(_AC1="B-767-300ER",'2023'!$G$4="CA",'2023'!$G$2=Y119),'2023DATA'!$J$13,"")</f>
        <v/>
      </c>
      <c r="Z130" s="518" t="str">
        <f>IF(AND(_AC1="B-767-300ER",'2023'!$G$4="CA",'2023'!$G$2=Z119),'2023DATA'!$K$13,"")</f>
        <v/>
      </c>
      <c r="AA130" s="518" t="str">
        <f>IF(AND(_AC1="B-767-300ER",'2023'!$G$4="CA",'2023'!$G$2=AA119),'2023DATA'!$L$13,"")</f>
        <v/>
      </c>
      <c r="AB130" s="518" t="str">
        <f>IF(AND(_AC1="B-767-300ER",'2023'!$G$4="CA",'2023'!$G$2=AB119),'2023DATA'!$M$13,"")</f>
        <v/>
      </c>
      <c r="AC130" s="520" t="str">
        <f>IF(AND(_AC1="B-767-300ER",'2023'!$G$4="CA",'2023'!$G$2=AC119),'2023DATA'!$N$13,"")</f>
        <v/>
      </c>
      <c r="AD130" s="940" t="s">
        <v>43</v>
      </c>
      <c r="AE130" s="13" t="s">
        <v>61</v>
      </c>
      <c r="AF130" s="518" t="str">
        <f>IF(AND(_AC2="B-767-300ER",'2023'!$G$4="CA",'2023'!$G$2=AF119),'2023DATA'!$C$13,"")</f>
        <v/>
      </c>
      <c r="AG130" s="518" t="str">
        <f>IF(AND(_AC2="B-767-300ER",'2023'!$G$4="CA",'2023'!$G$2=AG119),'2023DATA'!$D$13,"")</f>
        <v/>
      </c>
      <c r="AH130" s="518" t="str">
        <f>IF(AND(_AC2="B-767-300ER",'2023'!$G$4="CA",'2023'!$G$2=AH119),'2023DATA'!$E$13,"")</f>
        <v/>
      </c>
      <c r="AI130" s="518" t="str">
        <f>IF(AND(_AC2="B-767-300ER",'2023'!$G$4="CA",'2023'!$G$2=AI119),'2023DATA'!$F$13,"")</f>
        <v/>
      </c>
      <c r="AJ130" s="518" t="str">
        <f>IF(AND(_AC2="B-767-300ER",'2023'!$G$4="CA",'2023'!$G$2=AJ119),'2023DATA'!$G$13,"")</f>
        <v/>
      </c>
      <c r="AK130" s="518" t="str">
        <f>IF(AND(_AC2="B-767-300ER",'2023'!$G$4="CA",'2023'!$G$2=AK119),'2023DATA'!$H$13,"")</f>
        <v/>
      </c>
      <c r="AL130" s="518" t="str">
        <f>IF(AND(_AC2="B-767-300ER",'2023'!$G$4="CA",'2023'!$G$2=AL119),'2023DATA'!$I$13,"")</f>
        <v/>
      </c>
      <c r="AM130" s="518" t="str">
        <f>IF(AND(_AC2="B-767-300ER",'2023'!$G$4="CA",'2023'!$G$2=AM119),'2023DATA'!$J$13,"")</f>
        <v/>
      </c>
      <c r="AN130" s="518" t="str">
        <f>IF(AND(_AC2="B-767-300ER",'2023'!$G$4="CA",'2023'!$G$2=AN119),'2023DATA'!$K$13,"")</f>
        <v/>
      </c>
      <c r="AO130" s="518" t="str">
        <f>IF(AND(_AC2="B-767-300ER",'2023'!$G$4="CA",'2023'!$G$2=AO119),'2023DATA'!$L$13,"")</f>
        <v/>
      </c>
      <c r="AP130" s="518" t="str">
        <f>IF(AND(_AC2="B-767-300ER",'2023'!$G$4="CA",'2023'!$G$2=AP119),'2023DATA'!$M$13,"")</f>
        <v/>
      </c>
      <c r="AQ130" s="520" t="str">
        <f>IF(AND(_AC2="B-767-300ER",'2023'!$G$4="CA",'2023'!$G$2=AQ119),'2023DATA'!$N$13,"")</f>
        <v/>
      </c>
      <c r="AR130" s="940" t="s">
        <v>43</v>
      </c>
      <c r="AS130" s="13" t="s">
        <v>61</v>
      </c>
      <c r="AT130" s="518" t="str">
        <f>IF(AND(_AC3="B-767-300ER",'2023'!$G$4="CA",'2023'!$G$2=AT119),'2023DATA'!$C$13,"")</f>
        <v/>
      </c>
      <c r="AU130" s="518" t="str">
        <f>IF(AND(_AC3="B-767-300ER",'2023'!$G$4="CA",'2023'!$G$2=AU119),'2023DATA'!$D$13,"")</f>
        <v/>
      </c>
      <c r="AV130" s="518" t="str">
        <f>IF(AND(_AC3="B-767-300ER",'2023'!$G$4="CA",'2023'!$G$2=AV119),'2023DATA'!$E$13,"")</f>
        <v/>
      </c>
      <c r="AW130" s="518" t="str">
        <f>IF(AND(_AC3="B-767-300ER",'2023'!$G$4="CA",'2023'!$G$2=AW119),'2023DATA'!$F$13,"")</f>
        <v/>
      </c>
      <c r="AX130" s="518" t="str">
        <f>IF(AND(_AC3="B-767-300ER",'2023'!$G$4="CA",'2023'!$G$2=AX119),'2023DATA'!$G$13,"")</f>
        <v/>
      </c>
      <c r="AY130" s="518" t="str">
        <f>IF(AND(_AC3="B-767-300ER",'2023'!$G$4="CA",'2023'!$G$2=AY119),'2023DATA'!$H$13,"")</f>
        <v/>
      </c>
      <c r="AZ130" s="518" t="str">
        <f>IF(AND(_AC3="B-767-300ER",'2023'!$G$4="CA",'2023'!$G$2=AZ119),'2023DATA'!$I$13,"")</f>
        <v/>
      </c>
      <c r="BA130" s="518" t="str">
        <f>IF(AND(_AC3="B-767-300ER",'2023'!$G$4="CA",'2023'!$G$2=BA119),'2023DATA'!$J$13,"")</f>
        <v/>
      </c>
      <c r="BB130" s="518" t="str">
        <f>IF(AND(_AC3="B-767-300ER",'2023'!$G$4="CA",'2023'!$G$2=BB119),'2023DATA'!$K$13,"")</f>
        <v/>
      </c>
      <c r="BC130" s="518" t="str">
        <f>IF(AND(_AC3="B-767-300ER",'2023'!$G$4="CA",'2023'!$G$2=BC119),'2023DATA'!$L$13,"")</f>
        <v/>
      </c>
      <c r="BD130" s="518" t="str">
        <f>IF(AND(_AC3="B-767-300ER",'2023'!$G$4="CA",'2023'!$G$2=BD119),'2023DATA'!$M$13,"")</f>
        <v/>
      </c>
      <c r="BE130" s="520" t="str">
        <f>IF(AND(_AC3="B-767-300ER",'2023'!$G$4="CA",'2023'!$G$2=BE119),'2023DATA'!$N$13,"")</f>
        <v/>
      </c>
      <c r="BF130" s="940" t="s">
        <v>43</v>
      </c>
      <c r="BG130" s="13" t="s">
        <v>61</v>
      </c>
      <c r="BH130" s="518" t="str">
        <f>IF(AND(_AC4="B-767-300ER",'2023'!$G$4="CA",'2023'!$G$2=BH119),'2023DATA'!$C$13,"")</f>
        <v/>
      </c>
      <c r="BI130" s="518" t="str">
        <f>IF(AND(_AC4="B-767-300ER",'2023'!$G$4="CA",'2023'!$G$2=BI119),'2023DATA'!$D$13,"")</f>
        <v/>
      </c>
      <c r="BJ130" s="518" t="str">
        <f>IF(AND(_AC4="B-767-300ER",'2023'!$G$4="CA",'2023'!$G$2=BJ119),'2023DATA'!$E$13,"")</f>
        <v/>
      </c>
      <c r="BK130" s="518" t="str">
        <f>IF(AND(_AC4="B-767-300ER",'2023'!$G$4="CA",'2023'!$G$2=BK119),'2023DATA'!$F$13,"")</f>
        <v/>
      </c>
      <c r="BL130" s="518" t="str">
        <f>IF(AND(_AC4="B-767-300ER",'2023'!$G$4="CA",'2023'!$G$2=BL119),'2023DATA'!$G$13,"")</f>
        <v/>
      </c>
      <c r="BM130" s="518" t="str">
        <f>IF(AND(_AC4="B-767-300ER",'2023'!$G$4="CA",'2023'!$G$2=BM119),'2023DATA'!$H$13,"")</f>
        <v/>
      </c>
      <c r="BN130" s="518" t="str">
        <f>IF(AND(_AC4="B-767-300ER",'2023'!$G$4="CA",'2023'!$G$2=BN119),'2023DATA'!$I$13,"")</f>
        <v/>
      </c>
      <c r="BO130" s="518" t="str">
        <f>IF(AND(_AC4="B-767-300ER",'2023'!$G$4="CA",'2023'!$G$2=BO119),'2023DATA'!$J$13,"")</f>
        <v/>
      </c>
      <c r="BP130" s="518" t="str">
        <f>IF(AND(_AC4="B-767-300ER",'2023'!$G$4="CA",'2023'!$G$2=BP119),'2023DATA'!$K$13,"")</f>
        <v/>
      </c>
      <c r="BQ130" s="518" t="str">
        <f>IF(AND(_AC4="B-767-300ER",'2023'!$G$4="CA",'2023'!$G$2=BQ119),'2023DATA'!$L$13,"")</f>
        <v/>
      </c>
      <c r="BR130" s="518" t="str">
        <f>IF(AND(_AC4="B-767-300ER",'2023'!$G$4="CA",'2023'!$G$2=BR119),'2023DATA'!$M$13,"")</f>
        <v/>
      </c>
      <c r="BS130" s="520" t="str">
        <f>IF(AND(_AC4="B-767-300ER",'2023'!$G$4="CA",'2023'!$G$2=BS119),'2023DATA'!$N$13,"")</f>
        <v/>
      </c>
      <c r="BT130" s="940" t="s">
        <v>43</v>
      </c>
      <c r="BU130" s="13" t="s">
        <v>61</v>
      </c>
      <c r="BV130" s="518" t="str">
        <f>IF(AND(_AC5="B-767-300ER",'2023'!$G$4="CA",'2023'!$G$2=BV119),'2023DATA'!$C$13,"")</f>
        <v/>
      </c>
      <c r="BW130" s="518" t="str">
        <f>IF(AND(_AC5="B-767-300ER",'2023'!$G$4="CA",'2023'!$G$2=BW119),'2023DATA'!$D$13,"")</f>
        <v/>
      </c>
      <c r="BX130" s="518" t="str">
        <f>IF(AND(_AC5="B-767-300ER",'2023'!$G$4="CA",'2023'!$G$2=BX119),'2023DATA'!$E$13,"")</f>
        <v/>
      </c>
      <c r="BY130" s="518" t="str">
        <f>IF(AND(_AC5="B-767-300ER",'2023'!$G$4="CA",'2023'!$G$2=BY119),'2023DATA'!$F$13,"")</f>
        <v/>
      </c>
      <c r="BZ130" s="518" t="str">
        <f>IF(AND(_AC5="B-767-300ER",'2023'!$G$4="CA",'2023'!$G$2=BZ119),'2023DATA'!$G$13,"")</f>
        <v/>
      </c>
      <c r="CA130" s="518" t="str">
        <f>IF(AND(_AC5="B-767-300ER",'2023'!$G$4="CA",'2023'!$G$2=CA119),'2023DATA'!$H$13,"")</f>
        <v/>
      </c>
      <c r="CB130" s="518" t="str">
        <f>IF(AND(_AC5="B-767-300ER",'2023'!$G$4="CA",'2023'!$G$2=CB119),'2023DATA'!$I$13,"")</f>
        <v/>
      </c>
      <c r="CC130" s="518" t="str">
        <f>IF(AND(_AC5="B-767-300ER",'2023'!$G$4="CA",'2023'!$G$2=CC119),'2023DATA'!$J$13,"")</f>
        <v/>
      </c>
      <c r="CD130" s="518" t="str">
        <f>IF(AND(_AC5="B-767-300ER",'2023'!$G$4="CA",'2023'!$G$2=CD119),'2023DATA'!$K$13,"")</f>
        <v/>
      </c>
      <c r="CE130" s="518" t="str">
        <f>IF(AND(_AC5="B-767-300ER",'2023'!$G$4="CA",'2023'!$G$2=CE119),'2023DATA'!$L$13,"")</f>
        <v/>
      </c>
      <c r="CF130" s="518" t="str">
        <f>IF(AND(_AC5="B-767-300ER",'2023'!$G$4="CA",'2023'!$G$2=CF119),'2023DATA'!$M$13,"")</f>
        <v/>
      </c>
      <c r="CG130" s="520" t="str">
        <f>IF(AND(_AC5="B-767-300ER",'2023'!$G$4="CA",'2023'!$G$2=CG119),'2023DATA'!$N$13,"")</f>
        <v/>
      </c>
      <c r="CH130" s="940" t="s">
        <v>43</v>
      </c>
      <c r="CI130" s="13" t="s">
        <v>61</v>
      </c>
      <c r="CJ130" s="518" t="str">
        <f>IF(AND(_AC6="B-767-300ER",'2023'!$G$4="CA",'2023'!$G$2=CJ119),'2023DATA'!$C$13,"")</f>
        <v/>
      </c>
      <c r="CK130" s="518" t="str">
        <f>IF(AND(_AC6="B-767-300ER",'2023'!$G$4="CA",'2023'!$G$2=CK119),'2023DATA'!$D$13,"")</f>
        <v/>
      </c>
      <c r="CL130" s="518" t="str">
        <f>IF(AND(_AC6="B-767-300ER",'2023'!$G$4="CA",'2023'!$G$2=CL119),'2023DATA'!$E$13,"")</f>
        <v/>
      </c>
      <c r="CM130" s="518" t="str">
        <f>IF(AND(_AC6="B-767-300ER",'2023'!$G$4="CA",'2023'!$G$2=CM119),'2023DATA'!$F$13,"")</f>
        <v/>
      </c>
      <c r="CN130" s="518" t="str">
        <f>IF(AND(_AC6="B-767-300ER",'2023'!$G$4="CA",'2023'!$G$2=CN119),'2023DATA'!$G$13,"")</f>
        <v/>
      </c>
      <c r="CO130" s="518" t="str">
        <f>IF(AND(_AC6="B-767-300ER",'2023'!$G$4="CA",'2023'!$G$2=CO119),'2023DATA'!$H$13,"")</f>
        <v/>
      </c>
      <c r="CP130" s="518" t="str">
        <f>IF(AND(_AC6="B-767-300ER",'2023'!$G$4="CA",'2023'!$G$2=CP119),'2023DATA'!$I$13,"")</f>
        <v/>
      </c>
      <c r="CQ130" s="518" t="str">
        <f>IF(AND(_AC6="B-767-300ER",'2023'!$G$4="CA",'2023'!$G$2=CQ119),'2023DATA'!$J$13,"")</f>
        <v/>
      </c>
      <c r="CR130" s="518" t="str">
        <f>IF(AND(_AC6="B-767-300ER",'2023'!$G$4="CA",'2023'!$G$2=CR119),'2023DATA'!$K$13,"")</f>
        <v/>
      </c>
      <c r="CS130" s="518" t="str">
        <f>IF(AND(_AC6="B-767-300ER",'2023'!$G$4="CA",'2023'!$G$2=CS119),'2023DATA'!$L$13,"")</f>
        <v/>
      </c>
      <c r="CT130" s="518" t="str">
        <f>IF(AND(_AC6="B-767-300ER",'2023'!$G$4="CA",'2023'!$G$2=CT119),'2023DATA'!$M$13,"")</f>
        <v/>
      </c>
      <c r="CU130" s="520" t="str">
        <f>IF(AND(_AC6="B-767-300ER",'2023'!$G$4="CA",'2023'!$G$2=CU119),'2023DATA'!$N$13,"")</f>
        <v/>
      </c>
    </row>
    <row r="131" spans="16:99" x14ac:dyDescent="0.25">
      <c r="P131" s="940"/>
      <c r="Q131" s="13" t="s">
        <v>62</v>
      </c>
      <c r="R131" s="518" t="str">
        <f>IF(AND(_AC1="B-767-300ER",'2023'!$G$4="FO",'2023'!$G$2=R119),'2023DATA'!$C$14,"")</f>
        <v/>
      </c>
      <c r="S131" s="518" t="str">
        <f>IF(AND(_AC1="B-767-300ER",'2023'!$G$4="FO",'2023'!$G$2=S119),'2023DATA'!$D$14,"")</f>
        <v/>
      </c>
      <c r="T131" s="518" t="str">
        <f>IF(AND(_AC1="B-767-300ER",'2023'!$G$4="FO",'2023'!$G$2=T119),'2023DATA'!$E$14,"")</f>
        <v/>
      </c>
      <c r="U131" s="518" t="str">
        <f>IF(AND(_AC1="B-767-300ER",'2023'!$G$4="FO",'2023'!$G$2=U119),'2023DATA'!$F$14,"")</f>
        <v/>
      </c>
      <c r="V131" s="518" t="str">
        <f>IF(AND(_AC1="B-767-300ER",'2023'!$G$4="FO",'2023'!$G$2=V119),'2023DATA'!$G$14,"")</f>
        <v/>
      </c>
      <c r="W131" s="518" t="str">
        <f>IF(AND(_AC1="B-767-300ER",'2023'!$G$4="FO",'2023'!$G$2=W119),'2023DATA'!$H$14,"")</f>
        <v/>
      </c>
      <c r="X131" s="518" t="str">
        <f>IF(AND(_AC1="B-767-300ER",'2023'!$G$4="FO",'2023'!$G$2=X119),'2023DATA'!$I$14,"")</f>
        <v/>
      </c>
      <c r="Y131" s="518" t="str">
        <f>IF(AND(_AC1="B-767-300ER",'2023'!$G$4="FO",'2023'!$G$2=Y119),'2023DATA'!$J$14,"")</f>
        <v/>
      </c>
      <c r="Z131" s="518" t="str">
        <f>IF(AND(_AC1="B-767-300ER",'2023'!$G$4="FO",'2023'!$G$2=Z119),'2023DATA'!$K$14,"")</f>
        <v/>
      </c>
      <c r="AA131" s="518" t="str">
        <f>IF(AND(_AC1="B-767-300ER",'2023'!$G$4="FO",'2023'!$G$2=AA119),'2023DATA'!$L$14,"")</f>
        <v/>
      </c>
      <c r="AB131" s="518" t="str">
        <f>IF(AND(_AC1="B-767-300ER",'2023'!$G$4="FO",'2023'!$G$2=AB119),'2023DATA'!$M$14,"")</f>
        <v/>
      </c>
      <c r="AC131" s="520" t="str">
        <f>IF(AND(_AC1="B-767-300ER",'2023'!$G$4="FO",'2023'!$G$2=AC119),'2023DATA'!$N$14,"")</f>
        <v/>
      </c>
      <c r="AD131" s="940"/>
      <c r="AE131" s="13" t="s">
        <v>62</v>
      </c>
      <c r="AF131" s="518" t="str">
        <f>IF(AND(_AC2="B-767-300ER",'2023'!$G$4="FO",'2023'!$G$2=AF119),'2023DATA'!$C$14,"")</f>
        <v/>
      </c>
      <c r="AG131" s="518" t="str">
        <f>IF(AND(_AC2="B-767-300ER",'2023'!$G$4="FO",'2023'!$G$2=AG119),'2023DATA'!$D$14,"")</f>
        <v/>
      </c>
      <c r="AH131" s="518" t="str">
        <f>IF(AND(_AC2="B-767-300ER",'2023'!$G$4="FO",'2023'!$G$2=AH119),'2023DATA'!$E$14,"")</f>
        <v/>
      </c>
      <c r="AI131" s="518" t="str">
        <f>IF(AND(_AC2="B-767-300ER",'2023'!$G$4="FO",'2023'!$G$2=AI119),'2023DATA'!$F$14,"")</f>
        <v/>
      </c>
      <c r="AJ131" s="518" t="str">
        <f>IF(AND(_AC2="B-767-300ER",'2023'!$G$4="FO",'2023'!$G$2=AJ119),'2023DATA'!$G$14,"")</f>
        <v/>
      </c>
      <c r="AK131" s="518" t="str">
        <f>IF(AND(_AC2="B-767-300ER",'2023'!$G$4="FO",'2023'!$G$2=AK119),'2023DATA'!$H$14,"")</f>
        <v/>
      </c>
      <c r="AL131" s="518" t="str">
        <f>IF(AND(_AC2="B-767-300ER",'2023'!$G$4="FO",'2023'!$G$2=AL119),'2023DATA'!$I$14,"")</f>
        <v/>
      </c>
      <c r="AM131" s="518" t="str">
        <f>IF(AND(_AC2="B-767-300ER",'2023'!$G$4="FO",'2023'!$G$2=AM119),'2023DATA'!$J$14,"")</f>
        <v/>
      </c>
      <c r="AN131" s="518" t="str">
        <f>IF(AND(_AC2="B-767-300ER",'2023'!$G$4="FO",'2023'!$G$2=AN119),'2023DATA'!$K$14,"")</f>
        <v/>
      </c>
      <c r="AO131" s="518" t="str">
        <f>IF(AND(_AC2="B-767-300ER",'2023'!$G$4="FO",'2023'!$G$2=AO119),'2023DATA'!$L$14,"")</f>
        <v/>
      </c>
      <c r="AP131" s="518" t="str">
        <f>IF(AND(_AC2="B-767-300ER",'2023'!$G$4="FO",'2023'!$G$2=AP119),'2023DATA'!$M$14,"")</f>
        <v/>
      </c>
      <c r="AQ131" s="520" t="str">
        <f>IF(AND(_AC2="B-767-300ER",'2023'!$G$4="FO",'2023'!$G$2=AQ119),'2023DATA'!$N$14,"")</f>
        <v/>
      </c>
      <c r="AR131" s="940"/>
      <c r="AS131" s="13" t="s">
        <v>62</v>
      </c>
      <c r="AT131" s="518" t="str">
        <f>IF(AND(_AC3="B-767-300ER",'2023'!$G$4="FO",'2023'!$G$2=AT119),'2023DATA'!$C$14,"")</f>
        <v/>
      </c>
      <c r="AU131" s="518" t="str">
        <f>IF(AND(_AC3="B-767-300ER",'2023'!$G$4="FO",'2023'!$G$2=AU119),'2023DATA'!$D$14,"")</f>
        <v/>
      </c>
      <c r="AV131" s="518" t="str">
        <f>IF(AND(_AC3="B-767-300ER",'2023'!$G$4="FO",'2023'!$G$2=AV119),'2023DATA'!$E$14,"")</f>
        <v/>
      </c>
      <c r="AW131" s="518" t="str">
        <f>IF(AND(_AC3="B-767-300ER",'2023'!$G$4="FO",'2023'!$G$2=AW119),'2023DATA'!$F$14,"")</f>
        <v/>
      </c>
      <c r="AX131" s="518" t="str">
        <f>IF(AND(_AC3="B-767-300ER",'2023'!$G$4="FO",'2023'!$G$2=AX119),'2023DATA'!$G$14,"")</f>
        <v/>
      </c>
      <c r="AY131" s="518" t="str">
        <f>IF(AND(_AC3="B-767-300ER",'2023'!$G$4="FO",'2023'!$G$2=AY119),'2023DATA'!$H$14,"")</f>
        <v/>
      </c>
      <c r="AZ131" s="518" t="str">
        <f>IF(AND(_AC3="B-767-300ER",'2023'!$G$4="FO",'2023'!$G$2=AZ119),'2023DATA'!$I$14,"")</f>
        <v/>
      </c>
      <c r="BA131" s="518" t="str">
        <f>IF(AND(_AC3="B-767-300ER",'2023'!$G$4="FO",'2023'!$G$2=BA119),'2023DATA'!$J$14,"")</f>
        <v/>
      </c>
      <c r="BB131" s="518" t="str">
        <f>IF(AND(_AC3="B-767-300ER",'2023'!$G$4="FO",'2023'!$G$2=BB119),'2023DATA'!$K$14,"")</f>
        <v/>
      </c>
      <c r="BC131" s="518" t="str">
        <f>IF(AND(_AC3="B-767-300ER",'2023'!$G$4="FO",'2023'!$G$2=BC119),'2023DATA'!$L$14,"")</f>
        <v/>
      </c>
      <c r="BD131" s="518" t="str">
        <f>IF(AND(_AC3="B-767-300ER",'2023'!$G$4="FO",'2023'!$G$2=BD119),'2023DATA'!$M$14,"")</f>
        <v/>
      </c>
      <c r="BE131" s="520" t="str">
        <f>IF(AND(_AC3="B-767-300ER",'2023'!$G$4="FO",'2023'!$G$2=BE119),'2023DATA'!$N$14,"")</f>
        <v/>
      </c>
      <c r="BF131" s="940"/>
      <c r="BG131" s="13" t="s">
        <v>62</v>
      </c>
      <c r="BH131" s="518" t="str">
        <f>IF(AND(_AC4="B-767-300ER",'2023'!$G$4="FO",'2023'!$G$2=BH119),'2023DATA'!$C$14,"")</f>
        <v/>
      </c>
      <c r="BI131" s="518" t="str">
        <f>IF(AND(_AC4="B-767-300ER",'2023'!$G$4="FO",'2023'!$G$2=BI119),'2023DATA'!$D$14,"")</f>
        <v/>
      </c>
      <c r="BJ131" s="518" t="str">
        <f>IF(AND(_AC4="B-767-300ER",'2023'!$G$4="FO",'2023'!$G$2=BJ119),'2023DATA'!$E$14,"")</f>
        <v/>
      </c>
      <c r="BK131" s="518" t="str">
        <f>IF(AND(_AC4="B-767-300ER",'2023'!$G$4="FO",'2023'!$G$2=BK119),'2023DATA'!$F$14,"")</f>
        <v/>
      </c>
      <c r="BL131" s="518" t="str">
        <f>IF(AND(_AC4="B-767-300ER",'2023'!$G$4="FO",'2023'!$G$2=BL119),'2023DATA'!$G$14,"")</f>
        <v/>
      </c>
      <c r="BM131" s="518" t="str">
        <f>IF(AND(_AC4="B-767-300ER",'2023'!$G$4="FO",'2023'!$G$2=BM119),'2023DATA'!$H$14,"")</f>
        <v/>
      </c>
      <c r="BN131" s="518" t="str">
        <f>IF(AND(_AC4="B-767-300ER",'2023'!$G$4="FO",'2023'!$G$2=BN119),'2023DATA'!$I$14,"")</f>
        <v/>
      </c>
      <c r="BO131" s="518" t="str">
        <f>IF(AND(_AC4="B-767-300ER",'2023'!$G$4="FO",'2023'!$G$2=BO119),'2023DATA'!$J$14,"")</f>
        <v/>
      </c>
      <c r="BP131" s="518" t="str">
        <f>IF(AND(_AC4="B-767-300ER",'2023'!$G$4="FO",'2023'!$G$2=BP119),'2023DATA'!$K$14,"")</f>
        <v/>
      </c>
      <c r="BQ131" s="518" t="str">
        <f>IF(AND(_AC4="B-767-300ER",'2023'!$G$4="FO",'2023'!$G$2=BQ119),'2023DATA'!$L$14,"")</f>
        <v/>
      </c>
      <c r="BR131" s="518" t="str">
        <f>IF(AND(_AC4="B-767-300ER",'2023'!$G$4="FO",'2023'!$G$2=BR119),'2023DATA'!$M$14,"")</f>
        <v/>
      </c>
      <c r="BS131" s="520" t="str">
        <f>IF(AND(_AC4="B-767-300ER",'2023'!$G$4="FO",'2023'!$G$2=BS119),'2023DATA'!$N$14,"")</f>
        <v/>
      </c>
      <c r="BT131" s="940"/>
      <c r="BU131" s="13" t="s">
        <v>62</v>
      </c>
      <c r="BV131" s="518" t="str">
        <f>IF(AND(_AC5="B-767-300ER",'2023'!$G$4="FO",'2023'!$G$2=BV119),'2023DATA'!$C$14,"")</f>
        <v/>
      </c>
      <c r="BW131" s="518" t="str">
        <f>IF(AND(_AC5="B-767-300ER",'2023'!$G$4="FO",'2023'!$G$2=BW119),'2023DATA'!$D$14,"")</f>
        <v/>
      </c>
      <c r="BX131" s="518" t="str">
        <f>IF(AND(_AC5="B-767-300ER",'2023'!$G$4="FO",'2023'!$G$2=BX119),'2023DATA'!$E$14,"")</f>
        <v/>
      </c>
      <c r="BY131" s="518" t="str">
        <f>IF(AND(_AC5="B-767-300ER",'2023'!$G$4="FO",'2023'!$G$2=BY119),'2023DATA'!$F$14,"")</f>
        <v/>
      </c>
      <c r="BZ131" s="518" t="str">
        <f>IF(AND(_AC5="B-767-300ER",'2023'!$G$4="FO",'2023'!$G$2=BZ119),'2023DATA'!$G$14,"")</f>
        <v/>
      </c>
      <c r="CA131" s="518" t="str">
        <f>IF(AND(_AC5="B-767-300ER",'2023'!$G$4="FO",'2023'!$G$2=CA119),'2023DATA'!$H$14,"")</f>
        <v/>
      </c>
      <c r="CB131" s="518" t="str">
        <f>IF(AND(_AC5="B-767-300ER",'2023'!$G$4="FO",'2023'!$G$2=CB119),'2023DATA'!$I$14,"")</f>
        <v/>
      </c>
      <c r="CC131" s="518" t="str">
        <f>IF(AND(_AC5="B-767-300ER",'2023'!$G$4="FO",'2023'!$G$2=CC119),'2023DATA'!$J$14,"")</f>
        <v/>
      </c>
      <c r="CD131" s="518" t="str">
        <f>IF(AND(_AC5="B-767-300ER",'2023'!$G$4="FO",'2023'!$G$2=CD119),'2023DATA'!$K$14,"")</f>
        <v/>
      </c>
      <c r="CE131" s="518" t="str">
        <f>IF(AND(_AC5="B-767-300ER",'2023'!$G$4="FO",'2023'!$G$2=CE119),'2023DATA'!$L$14,"")</f>
        <v/>
      </c>
      <c r="CF131" s="518" t="str">
        <f>IF(AND(_AC5="B-767-300ER",'2023'!$G$4="FO",'2023'!$G$2=CF119),'2023DATA'!$M$14,"")</f>
        <v/>
      </c>
      <c r="CG131" s="520" t="str">
        <f>IF(AND(_AC5="B-767-300ER",'2023'!$G$4="FO",'2023'!$G$2=CG119),'2023DATA'!$N$14,"")</f>
        <v/>
      </c>
      <c r="CH131" s="940"/>
      <c r="CI131" s="13" t="s">
        <v>62</v>
      </c>
      <c r="CJ131" s="518" t="str">
        <f>IF(AND(_AC6="B-767-300ER",'2023'!$G$4="FO",'2023'!$G$2=CJ119),'2023DATA'!$C$14,"")</f>
        <v/>
      </c>
      <c r="CK131" s="518" t="str">
        <f>IF(AND(_AC6="B-767-300ER",'2023'!$G$4="FO",'2023'!$G$2=CK119),'2023DATA'!$D$14,"")</f>
        <v/>
      </c>
      <c r="CL131" s="518" t="str">
        <f>IF(AND(_AC6="B-767-300ER",'2023'!$G$4="FO",'2023'!$G$2=CL119),'2023DATA'!$E$14,"")</f>
        <v/>
      </c>
      <c r="CM131" s="518" t="str">
        <f>IF(AND(_AC6="B-767-300ER",'2023'!$G$4="FO",'2023'!$G$2=CM119),'2023DATA'!$F$14,"")</f>
        <v/>
      </c>
      <c r="CN131" s="518" t="str">
        <f>IF(AND(_AC6="B-767-300ER",'2023'!$G$4="FO",'2023'!$G$2=CN119),'2023DATA'!$G$14,"")</f>
        <v/>
      </c>
      <c r="CO131" s="518" t="str">
        <f>IF(AND(_AC6="B-767-300ER",'2023'!$G$4="FO",'2023'!$G$2=CO119),'2023DATA'!$H$14,"")</f>
        <v/>
      </c>
      <c r="CP131" s="518" t="str">
        <f>IF(AND(_AC6="B-767-300ER",'2023'!$G$4="FO",'2023'!$G$2=CP119),'2023DATA'!$I$14,"")</f>
        <v/>
      </c>
      <c r="CQ131" s="518" t="str">
        <f>IF(AND(_AC6="B-767-300ER",'2023'!$G$4="FO",'2023'!$G$2=CQ119),'2023DATA'!$J$14,"")</f>
        <v/>
      </c>
      <c r="CR131" s="518" t="str">
        <f>IF(AND(_AC6="B-767-300ER",'2023'!$G$4="FO",'2023'!$G$2=CR119),'2023DATA'!$K$14,"")</f>
        <v/>
      </c>
      <c r="CS131" s="518" t="str">
        <f>IF(AND(_AC6="B-767-300ER",'2023'!$G$4="FO",'2023'!$G$2=CS119),'2023DATA'!$L$14,"")</f>
        <v/>
      </c>
      <c r="CT131" s="518" t="str">
        <f>IF(AND(_AC6="B-767-300ER",'2023'!$G$4="FO",'2023'!$G$2=CT119),'2023DATA'!$M$14,"")</f>
        <v/>
      </c>
      <c r="CU131" s="520" t="str">
        <f>IF(AND(_AC6="B-767-300ER",'2023'!$G$4="FO",'2023'!$G$2=CU119),'2023DATA'!$N$14,"")</f>
        <v/>
      </c>
    </row>
    <row r="132" spans="16:99" x14ac:dyDescent="0.25">
      <c r="P132" s="940" t="s">
        <v>67</v>
      </c>
      <c r="Q132" s="13" t="s">
        <v>61</v>
      </c>
      <c r="R132" s="518" t="str">
        <f>IF(AND(_AC1="B-767-300",'2023'!$G$4="CA",'2023'!$G$2=R119),'2023DATA'!$C$15,"")</f>
        <v/>
      </c>
      <c r="S132" s="518" t="str">
        <f>IF(AND(_AC1="B-767-300",'2023'!$G$4="CA",'2023'!$G$2=S119),'2023DATA'!$D$15,"")</f>
        <v/>
      </c>
      <c r="T132" s="518" t="str">
        <f>IF(AND(_AC1="B-767-300",'2023'!$G$4="CA",'2023'!$G$2=T119),'2023DATA'!$E$15,"")</f>
        <v/>
      </c>
      <c r="U132" s="518" t="str">
        <f>IF(AND(_AC1="B-767-300",'2023'!$G$4="CA",'2023'!$G$2=U119),'2023DATA'!$F$15,"")</f>
        <v/>
      </c>
      <c r="V132" s="518" t="str">
        <f>IF(AND(_AC1="B-767-300",'2023'!$G$4="CA",'2023'!$G$2=V119),'2023DATA'!$G$15,"")</f>
        <v/>
      </c>
      <c r="W132" s="518" t="str">
        <f>IF(AND(_AC1="B-767-300",'2023'!$G$4="CA",'2023'!$G$2=W119),'2023DATA'!$H$15,"")</f>
        <v/>
      </c>
      <c r="X132" s="518" t="str">
        <f>IF(AND(_AC1="B-767-300",'2023'!$G$4="CA",'2023'!$G$2=X119),'2023DATA'!$I$15,"")</f>
        <v/>
      </c>
      <c r="Y132" s="518" t="str">
        <f>IF(AND(_AC1="B-767-300",'2023'!$G$4="CA",'2023'!$G$2=Y119),'2023DATA'!$J$15,"")</f>
        <v/>
      </c>
      <c r="Z132" s="518" t="str">
        <f>IF(AND(_AC1="B-767-300",'2023'!$G$4="CA",'2023'!$G$2=Z119),'2023DATA'!$K$15,"")</f>
        <v/>
      </c>
      <c r="AA132" s="518" t="str">
        <f>IF(AND(_AC1="B-767-300",'2023'!$G$4="CA",'2023'!$G$2=AA119),'2023DATA'!$L$15,"")</f>
        <v/>
      </c>
      <c r="AB132" s="518" t="str">
        <f>IF(AND(_AC1="B-767-300",'2023'!$G$4="CA",'2023'!$G$2=AB119),'2023DATA'!$M$15,"")</f>
        <v/>
      </c>
      <c r="AC132" s="520" t="str">
        <f>IF(AND(_AC1="B-767-300",'2023'!$G$4="CA",'2023'!$G$2=AC119),'2023DATA'!$N$15,"")</f>
        <v/>
      </c>
      <c r="AD132" s="940" t="s">
        <v>67</v>
      </c>
      <c r="AE132" s="13" t="s">
        <v>61</v>
      </c>
      <c r="AF132" s="518" t="str">
        <f>IF(AND(_AC2="B-767-300",'2023'!$G$4="CA",'2023'!$G$2=AF119),'2023DATA'!$C$15,"")</f>
        <v/>
      </c>
      <c r="AG132" s="518" t="str">
        <f>IF(AND(_AC2="B-767-300",'2023'!$G$4="CA",'2023'!$G$2=AG119),'2023DATA'!$D$15,"")</f>
        <v/>
      </c>
      <c r="AH132" s="518" t="str">
        <f>IF(AND(_AC2="B-767-300",'2023'!$G$4="CA",'2023'!$G$2=AH119),'2023DATA'!$E$15,"")</f>
        <v/>
      </c>
      <c r="AI132" s="518" t="str">
        <f>IF(AND(_AC2="B-767-300",'2023'!$G$4="CA",'2023'!$G$2=AI119),'2023DATA'!$F$15,"")</f>
        <v/>
      </c>
      <c r="AJ132" s="518" t="str">
        <f>IF(AND(_AC2="B-767-300",'2023'!$G$4="CA",'2023'!$G$2=AJ119),'2023DATA'!$G$15,"")</f>
        <v/>
      </c>
      <c r="AK132" s="518" t="str">
        <f>IF(AND(_AC2="B-767-300",'2023'!$G$4="CA",'2023'!$G$2=AK119),'2023DATA'!$H$15,"")</f>
        <v/>
      </c>
      <c r="AL132" s="518" t="str">
        <f>IF(AND(_AC2="B-767-300",'2023'!$G$4="CA",'2023'!$G$2=AL119),'2023DATA'!$I$15,"")</f>
        <v/>
      </c>
      <c r="AM132" s="518" t="str">
        <f>IF(AND(_AC2="B-767-300",'2023'!$G$4="CA",'2023'!$G$2=AM119),'2023DATA'!$J$15,"")</f>
        <v/>
      </c>
      <c r="AN132" s="518" t="str">
        <f>IF(AND(_AC2="B-767-300",'2023'!$G$4="CA",'2023'!$G$2=AN119),'2023DATA'!$K$15,"")</f>
        <v/>
      </c>
      <c r="AO132" s="518" t="str">
        <f>IF(AND(_AC2="B-767-300",'2023'!$G$4="CA",'2023'!$G$2=AO119),'2023DATA'!$L$15,"")</f>
        <v/>
      </c>
      <c r="AP132" s="518" t="str">
        <f>IF(AND(_AC2="B-767-300",'2023'!$G$4="CA",'2023'!$G$2=AP119),'2023DATA'!$M$15,"")</f>
        <v/>
      </c>
      <c r="AQ132" s="520" t="str">
        <f>IF(AND(_AC2="B-767-300",'2023'!$G$4="CA",'2023'!$G$2=AQ119),'2023DATA'!$N$15,"")</f>
        <v/>
      </c>
      <c r="AR132" s="940" t="s">
        <v>67</v>
      </c>
      <c r="AS132" s="13" t="s">
        <v>61</v>
      </c>
      <c r="AT132" s="518" t="str">
        <f>IF(AND(_AC3="B-767-300",'2023'!$G$4="CA",'2023'!$G$2=AT119),'2023DATA'!$C$15,"")</f>
        <v/>
      </c>
      <c r="AU132" s="518" t="str">
        <f>IF(AND(_AC3="B-767-300",'2023'!$G$4="CA",'2023'!$G$2=AU119),'2023DATA'!$D$15,"")</f>
        <v/>
      </c>
      <c r="AV132" s="518" t="str">
        <f>IF(AND(_AC3="B-767-300",'2023'!$G$4="CA",'2023'!$G$2=AV119),'2023DATA'!$E$15,"")</f>
        <v/>
      </c>
      <c r="AW132" s="518" t="str">
        <f>IF(AND(_AC3="B-767-300",'2023'!$G$4="CA",'2023'!$G$2=AW119),'2023DATA'!$F$15,"")</f>
        <v/>
      </c>
      <c r="AX132" s="518" t="str">
        <f>IF(AND(_AC3="B-767-300",'2023'!$G$4="CA",'2023'!$G$2=AX119),'2023DATA'!$G$15,"")</f>
        <v/>
      </c>
      <c r="AY132" s="518" t="str">
        <f>IF(AND(_AC3="B-767-300",'2023'!$G$4="CA",'2023'!$G$2=AY119),'2023DATA'!$H$15,"")</f>
        <v/>
      </c>
      <c r="AZ132" s="518" t="str">
        <f>IF(AND(_AC3="B-767-300",'2023'!$G$4="CA",'2023'!$G$2=AZ119),'2023DATA'!$I$15,"")</f>
        <v/>
      </c>
      <c r="BA132" s="518" t="str">
        <f>IF(AND(_AC3="B-767-300",'2023'!$G$4="CA",'2023'!$G$2=BA119),'2023DATA'!$J$15,"")</f>
        <v/>
      </c>
      <c r="BB132" s="518" t="str">
        <f>IF(AND(_AC3="B-767-300",'2023'!$G$4="CA",'2023'!$G$2=BB119),'2023DATA'!$K$15,"")</f>
        <v/>
      </c>
      <c r="BC132" s="518" t="str">
        <f>IF(AND(_AC3="B-767-300",'2023'!$G$4="CA",'2023'!$G$2=BC119),'2023DATA'!$L$15,"")</f>
        <v/>
      </c>
      <c r="BD132" s="518" t="str">
        <f>IF(AND(_AC3="B-767-300",'2023'!$G$4="CA",'2023'!$G$2=BD119),'2023DATA'!$M$15,"")</f>
        <v/>
      </c>
      <c r="BE132" s="520" t="str">
        <f>IF(AND(_AC3="B-767-300",'2023'!$G$4="CA",'2023'!$G$2=BE119),'2023DATA'!$N$15,"")</f>
        <v/>
      </c>
      <c r="BF132" s="940" t="s">
        <v>67</v>
      </c>
      <c r="BG132" s="13" t="s">
        <v>61</v>
      </c>
      <c r="BH132" s="518" t="str">
        <f>IF(AND(_AC4="B-767-300",'2023'!$G$4="CA",'2023'!$G$2=BH119),'2023DATA'!$C$15,"")</f>
        <v/>
      </c>
      <c r="BI132" s="518" t="str">
        <f>IF(AND(_AC4="B-767-300",'2023'!$G$4="CA",'2023'!$G$2=BI119),'2023DATA'!$D$15,"")</f>
        <v/>
      </c>
      <c r="BJ132" s="518" t="str">
        <f>IF(AND(_AC4="B-767-300",'2023'!$G$4="CA",'2023'!$G$2=BJ119),'2023DATA'!$E$15,"")</f>
        <v/>
      </c>
      <c r="BK132" s="518" t="str">
        <f>IF(AND(_AC4="B-767-300",'2023'!$G$4="CA",'2023'!$G$2=BK119),'2023DATA'!$F$15,"")</f>
        <v/>
      </c>
      <c r="BL132" s="518" t="str">
        <f>IF(AND(_AC4="B-767-300",'2023'!$G$4="CA",'2023'!$G$2=BL119),'2023DATA'!$G$15,"")</f>
        <v/>
      </c>
      <c r="BM132" s="518" t="str">
        <f>IF(AND(_AC4="B-767-300",'2023'!$G$4="CA",'2023'!$G$2=BM119),'2023DATA'!$H$15,"")</f>
        <v/>
      </c>
      <c r="BN132" s="518" t="str">
        <f>IF(AND(_AC4="B-767-300",'2023'!$G$4="CA",'2023'!$G$2=BN119),'2023DATA'!$I$15,"")</f>
        <v/>
      </c>
      <c r="BO132" s="518" t="str">
        <f>IF(AND(_AC4="B-767-300",'2023'!$G$4="CA",'2023'!$G$2=BO119),'2023DATA'!$J$15,"")</f>
        <v/>
      </c>
      <c r="BP132" s="518" t="str">
        <f>IF(AND(_AC4="B-767-300",'2023'!$G$4="CA",'2023'!$G$2=BP119),'2023DATA'!$K$15,"")</f>
        <v/>
      </c>
      <c r="BQ132" s="518" t="str">
        <f>IF(AND(_AC4="B-767-300",'2023'!$G$4="CA",'2023'!$G$2=BQ119),'2023DATA'!$L$15,"")</f>
        <v/>
      </c>
      <c r="BR132" s="518" t="str">
        <f>IF(AND(_AC4="B-767-300",'2023'!$G$4="CA",'2023'!$G$2=BR119),'2023DATA'!$M$15,"")</f>
        <v/>
      </c>
      <c r="BS132" s="520" t="str">
        <f>IF(AND(_AC4="B-767-300",'2023'!$G$4="CA",'2023'!$G$2=BS119),'2023DATA'!$N$15,"")</f>
        <v/>
      </c>
      <c r="BT132" s="940" t="s">
        <v>67</v>
      </c>
      <c r="BU132" s="13" t="s">
        <v>61</v>
      </c>
      <c r="BV132" s="518" t="str">
        <f>IF(AND(_AC5="B-767-300",'2023'!$G$4="CA",'2023'!$G$2=BV119),'2023DATA'!$C$15,"")</f>
        <v/>
      </c>
      <c r="BW132" s="518" t="str">
        <f>IF(AND(_AC5="B-767-300",'2023'!$G$4="CA",'2023'!$G$2=BW119),'2023DATA'!$D$15,"")</f>
        <v/>
      </c>
      <c r="BX132" s="518" t="str">
        <f>IF(AND(_AC5="B-767-300",'2023'!$G$4="CA",'2023'!$G$2=BX119),'2023DATA'!$E$15,"")</f>
        <v/>
      </c>
      <c r="BY132" s="518" t="str">
        <f>IF(AND(_AC5="B-767-300",'2023'!$G$4="CA",'2023'!$G$2=BY119),'2023DATA'!$F$15,"")</f>
        <v/>
      </c>
      <c r="BZ132" s="518" t="str">
        <f>IF(AND(_AC5="B-767-300",'2023'!$G$4="CA",'2023'!$G$2=BZ119),'2023DATA'!$G$15,"")</f>
        <v/>
      </c>
      <c r="CA132" s="518" t="str">
        <f>IF(AND(_AC5="B-767-300",'2023'!$G$4="CA",'2023'!$G$2=CA119),'2023DATA'!$H$15,"")</f>
        <v/>
      </c>
      <c r="CB132" s="518" t="str">
        <f>IF(AND(_AC5="B-767-300",'2023'!$G$4="CA",'2023'!$G$2=CB119),'2023DATA'!$I$15,"")</f>
        <v/>
      </c>
      <c r="CC132" s="518" t="str">
        <f>IF(AND(_AC5="B-767-300",'2023'!$G$4="CA",'2023'!$G$2=CC119),'2023DATA'!$J$15,"")</f>
        <v/>
      </c>
      <c r="CD132" s="518" t="str">
        <f>IF(AND(_AC5="B-767-300",'2023'!$G$4="CA",'2023'!$G$2=CD119),'2023DATA'!$K$15,"")</f>
        <v/>
      </c>
      <c r="CE132" s="518" t="str">
        <f>IF(AND(_AC5="B-767-300",'2023'!$G$4="CA",'2023'!$G$2=CE119),'2023DATA'!$L$15,"")</f>
        <v/>
      </c>
      <c r="CF132" s="518" t="str">
        <f>IF(AND(_AC5="B-767-300",'2023'!$G$4="CA",'2023'!$G$2=CF119),'2023DATA'!$M$15,"")</f>
        <v/>
      </c>
      <c r="CG132" s="520" t="str">
        <f>IF(AND(_AC5="B-767-300",'2023'!$G$4="CA",'2023'!$G$2=CG119),'2023DATA'!$N$15,"")</f>
        <v/>
      </c>
      <c r="CH132" s="940" t="s">
        <v>67</v>
      </c>
      <c r="CI132" s="13" t="s">
        <v>61</v>
      </c>
      <c r="CJ132" s="518" t="str">
        <f>IF(AND(_AC6="B-767-300",'2023'!$G$4="CA",'2023'!$G$2=CJ119),'2023DATA'!$C$15,"")</f>
        <v/>
      </c>
      <c r="CK132" s="518" t="str">
        <f>IF(AND(_AC6="B-767-300",'2023'!$G$4="CA",'2023'!$G$2=CK119),'2023DATA'!$D$15,"")</f>
        <v/>
      </c>
      <c r="CL132" s="518" t="str">
        <f>IF(AND(_AC6="B-767-300",'2023'!$G$4="CA",'2023'!$G$2=CL119),'2023DATA'!$E$15,"")</f>
        <v/>
      </c>
      <c r="CM132" s="518" t="str">
        <f>IF(AND(_AC6="B-767-300",'2023'!$G$4="CA",'2023'!$G$2=CM119),'2023DATA'!$F$15,"")</f>
        <v/>
      </c>
      <c r="CN132" s="518" t="str">
        <f>IF(AND(_AC6="B-767-300",'2023'!$G$4="CA",'2023'!$G$2=CN119),'2023DATA'!$G$15,"")</f>
        <v/>
      </c>
      <c r="CO132" s="518" t="str">
        <f>IF(AND(_AC6="B-767-300",'2023'!$G$4="CA",'2023'!$G$2=CO119),'2023DATA'!$H$15,"")</f>
        <v/>
      </c>
      <c r="CP132" s="518" t="str">
        <f>IF(AND(_AC6="B-767-300",'2023'!$G$4="CA",'2023'!$G$2=CP119),'2023DATA'!$I$15,"")</f>
        <v/>
      </c>
      <c r="CQ132" s="518" t="str">
        <f>IF(AND(_AC6="B-767-300",'2023'!$G$4="CA",'2023'!$G$2=CQ119),'2023DATA'!$J$15,"")</f>
        <v/>
      </c>
      <c r="CR132" s="518" t="str">
        <f>IF(AND(_AC6="B-767-300",'2023'!$G$4="CA",'2023'!$G$2=CR119),'2023DATA'!$K$15,"")</f>
        <v/>
      </c>
      <c r="CS132" s="518" t="str">
        <f>IF(AND(_AC6="B-767-300",'2023'!$G$4="CA",'2023'!$G$2=CS119),'2023DATA'!$L$15,"")</f>
        <v/>
      </c>
      <c r="CT132" s="518" t="str">
        <f>IF(AND(_AC6="B-767-300",'2023'!$G$4="CA",'2023'!$G$2=CT119),'2023DATA'!$M$15,"")</f>
        <v/>
      </c>
      <c r="CU132" s="520" t="str">
        <f>IF(AND(_AC6="B-767-300",'2023'!$G$4="CA",'2023'!$G$2=CU119),'2023DATA'!$N$15,"")</f>
        <v/>
      </c>
    </row>
    <row r="133" spans="16:99" x14ac:dyDescent="0.25">
      <c r="P133" s="940"/>
      <c r="Q133" s="13" t="s">
        <v>62</v>
      </c>
      <c r="R133" s="518" t="str">
        <f>IF(AND(_AC1="B-767-300",'2023'!$G$4="FO",'2023'!$G$2=R119),'2023DATA'!$C$16,"")</f>
        <v/>
      </c>
      <c r="S133" s="518" t="str">
        <f>IF(AND(_AC1="B-767-300",'2023'!$G$4="FO",'2023'!$G$2=S119),'2023DATA'!$D$16,"")</f>
        <v/>
      </c>
      <c r="T133" s="518" t="str">
        <f>IF(AND(_AC1="B-767-300",'2023'!$G$4="FO",'2023'!$G$2=T119),'2023DATA'!$E$16,"")</f>
        <v/>
      </c>
      <c r="U133" s="518" t="str">
        <f>IF(AND(_AC1="B-767-300",'2023'!$G$4="FO",'2023'!$G$2=U119),'2023DATA'!$F$16,"")</f>
        <v/>
      </c>
      <c r="V133" s="518" t="str">
        <f>IF(AND(_AC1="B-767-300",'2023'!$G$4="FO",'2023'!$G$2=V119),'2023DATA'!$G$16,"")</f>
        <v/>
      </c>
      <c r="W133" s="518" t="str">
        <f>IF(AND(_AC1="B-767-300",'2023'!$G$4="FO",'2023'!$G$2=W119),'2023DATA'!$H$16,"")</f>
        <v/>
      </c>
      <c r="X133" s="518" t="str">
        <f>IF(AND(_AC1="B-767-300",'2023'!$G$4="FO",'2023'!$G$2=X119),'2023DATA'!$I$16,"")</f>
        <v/>
      </c>
      <c r="Y133" s="518" t="str">
        <f>IF(AND(_AC1="B-767-300",'2023'!$G$4="FO",'2023'!$G$2=Y119),'2023DATA'!$J$16,"")</f>
        <v/>
      </c>
      <c r="Z133" s="518" t="str">
        <f>IF(AND(_AC1="B-767-300",'2023'!$G$4="FO",'2023'!$G$2=Z119),'2023DATA'!$K$16,"")</f>
        <v/>
      </c>
      <c r="AA133" s="518" t="str">
        <f>IF(AND(_AC1="B-767-300",'2023'!$G$4="FO",'2023'!$G$2=AA119),'2023DATA'!$L$16,"")</f>
        <v/>
      </c>
      <c r="AB133" s="518" t="str">
        <f>IF(AND(_AC1="B-767-300",'2023'!$G$4="FO",'2023'!$G$2=AB119),'2023DATA'!$M$16,"")</f>
        <v/>
      </c>
      <c r="AC133" s="520" t="str">
        <f>IF(AND(_AC1="B-767-300",'2023'!$G$4="FO",'2023'!$G$2=AC119),'2023DATA'!$N$16,"")</f>
        <v/>
      </c>
      <c r="AD133" s="940"/>
      <c r="AE133" s="13" t="s">
        <v>62</v>
      </c>
      <c r="AF133" s="518" t="str">
        <f>IF(AND(_AC2="B-767-300",'2023'!$G$4="FO",'2023'!$G$2=AF119),'2023DATA'!$C$16,"")</f>
        <v/>
      </c>
      <c r="AG133" s="518" t="str">
        <f>IF(AND(_AC2="B-767-300",'2023'!$G$4="FO",'2023'!$G$2=AG119),'2023DATA'!$D$16,"")</f>
        <v/>
      </c>
      <c r="AH133" s="518" t="str">
        <f>IF(AND(_AC2="B-767-300",'2023'!$G$4="FO",'2023'!$G$2=AH119),'2023DATA'!$E$16,"")</f>
        <v/>
      </c>
      <c r="AI133" s="518" t="str">
        <f>IF(AND(_AC2="B-767-300",'2023'!$G$4="FO",'2023'!$G$2=AI119),'2023DATA'!$F$16,"")</f>
        <v/>
      </c>
      <c r="AJ133" s="518" t="str">
        <f>IF(AND(_AC2="B-767-300",'2023'!$G$4="FO",'2023'!$G$2=AJ119),'2023DATA'!$G$16,"")</f>
        <v/>
      </c>
      <c r="AK133" s="518" t="str">
        <f>IF(AND(_AC2="B-767-300",'2023'!$G$4="FO",'2023'!$G$2=AK119),'2023DATA'!$H$16,"")</f>
        <v/>
      </c>
      <c r="AL133" s="518" t="str">
        <f>IF(AND(_AC2="B-767-300",'2023'!$G$4="FO",'2023'!$G$2=AL119),'2023DATA'!$I$16,"")</f>
        <v/>
      </c>
      <c r="AM133" s="518" t="str">
        <f>IF(AND(_AC2="B-767-300",'2023'!$G$4="FO",'2023'!$G$2=AM119),'2023DATA'!$J$16,"")</f>
        <v/>
      </c>
      <c r="AN133" s="518" t="str">
        <f>IF(AND(_AC2="B-767-300",'2023'!$G$4="FO",'2023'!$G$2=AN119),'2023DATA'!$K$16,"")</f>
        <v/>
      </c>
      <c r="AO133" s="518" t="str">
        <f>IF(AND(_AC2="B-767-300",'2023'!$G$4="FO",'2023'!$G$2=AO119),'2023DATA'!$L$16,"")</f>
        <v/>
      </c>
      <c r="AP133" s="518" t="str">
        <f>IF(AND(_AC2="B-767-300",'2023'!$G$4="FO",'2023'!$G$2=AP119),'2023DATA'!$M$16,"")</f>
        <v/>
      </c>
      <c r="AQ133" s="520" t="str">
        <f>IF(AND(_AC2="B-767-300",'2023'!$G$4="FO",'2023'!$G$2=AQ119),'2023DATA'!$N$16,"")</f>
        <v/>
      </c>
      <c r="AR133" s="940"/>
      <c r="AS133" s="13" t="s">
        <v>62</v>
      </c>
      <c r="AT133" s="518" t="str">
        <f>IF(AND(_AC3="B-767-300",'2023'!$G$4="FO",'2023'!$G$2=AT119),'2023DATA'!$C$16,"")</f>
        <v/>
      </c>
      <c r="AU133" s="518" t="str">
        <f>IF(AND(_AC3="B-767-300",'2023'!$G$4="FO",'2023'!$G$2=AU119),'2023DATA'!$D$16,"")</f>
        <v/>
      </c>
      <c r="AV133" s="518" t="str">
        <f>IF(AND(_AC3="B-767-300",'2023'!$G$4="FO",'2023'!$G$2=AV119),'2023DATA'!$E$16,"")</f>
        <v/>
      </c>
      <c r="AW133" s="518" t="str">
        <f>IF(AND(_AC3="B-767-300",'2023'!$G$4="FO",'2023'!$G$2=AW119),'2023DATA'!$F$16,"")</f>
        <v/>
      </c>
      <c r="AX133" s="518" t="str">
        <f>IF(AND(_AC3="B-767-300",'2023'!$G$4="FO",'2023'!$G$2=AX119),'2023DATA'!$G$16,"")</f>
        <v/>
      </c>
      <c r="AY133" s="518" t="str">
        <f>IF(AND(_AC3="B-767-300",'2023'!$G$4="FO",'2023'!$G$2=AY119),'2023DATA'!$H$16,"")</f>
        <v/>
      </c>
      <c r="AZ133" s="518" t="str">
        <f>IF(AND(_AC3="B-767-300",'2023'!$G$4="FO",'2023'!$G$2=AZ119),'2023DATA'!$I$16,"")</f>
        <v/>
      </c>
      <c r="BA133" s="518" t="str">
        <f>IF(AND(_AC3="B-767-300",'2023'!$G$4="FO",'2023'!$G$2=BA119),'2023DATA'!$J$16,"")</f>
        <v/>
      </c>
      <c r="BB133" s="518" t="str">
        <f>IF(AND(_AC3="B-767-300",'2023'!$G$4="FO",'2023'!$G$2=BB119),'2023DATA'!$K$16,"")</f>
        <v/>
      </c>
      <c r="BC133" s="518" t="str">
        <f>IF(AND(_AC3="B-767-300",'2023'!$G$4="FO",'2023'!$G$2=BC119),'2023DATA'!$L$16,"")</f>
        <v/>
      </c>
      <c r="BD133" s="518" t="str">
        <f>IF(AND(_AC3="B-767-300",'2023'!$G$4="FO",'2023'!$G$2=BD119),'2023DATA'!$M$16,"")</f>
        <v/>
      </c>
      <c r="BE133" s="520" t="str">
        <f>IF(AND(_AC3="B-767-300",'2023'!$G$4="FO",'2023'!$G$2=BE119),'2023DATA'!$N$16,"")</f>
        <v/>
      </c>
      <c r="BF133" s="940"/>
      <c r="BG133" s="13" t="s">
        <v>62</v>
      </c>
      <c r="BH133" s="518" t="str">
        <f>IF(AND(_AC4="B-767-300",'2023'!$G$4="FO",'2023'!$G$2=BH119),'2023DATA'!$C$16,"")</f>
        <v/>
      </c>
      <c r="BI133" s="518" t="str">
        <f>IF(AND(_AC4="B-767-300",'2023'!$G$4="FO",'2023'!$G$2=BI119),'2023DATA'!$D$16,"")</f>
        <v/>
      </c>
      <c r="BJ133" s="518" t="str">
        <f>IF(AND(_AC4="B-767-300",'2023'!$G$4="FO",'2023'!$G$2=BJ119),'2023DATA'!$E$16,"")</f>
        <v/>
      </c>
      <c r="BK133" s="518" t="str">
        <f>IF(AND(_AC4="B-767-300",'2023'!$G$4="FO",'2023'!$G$2=BK119),'2023DATA'!$F$16,"")</f>
        <v/>
      </c>
      <c r="BL133" s="518" t="str">
        <f>IF(AND(_AC4="B-767-300",'2023'!$G$4="FO",'2023'!$G$2=BL119),'2023DATA'!$G$16,"")</f>
        <v/>
      </c>
      <c r="BM133" s="518" t="str">
        <f>IF(AND(_AC4="B-767-300",'2023'!$G$4="FO",'2023'!$G$2=BM119),'2023DATA'!$H$16,"")</f>
        <v/>
      </c>
      <c r="BN133" s="518" t="str">
        <f>IF(AND(_AC4="B-767-300",'2023'!$G$4="FO",'2023'!$G$2=BN119),'2023DATA'!$I$16,"")</f>
        <v/>
      </c>
      <c r="BO133" s="518" t="str">
        <f>IF(AND(_AC4="B-767-300",'2023'!$G$4="FO",'2023'!$G$2=BO119),'2023DATA'!$J$16,"")</f>
        <v/>
      </c>
      <c r="BP133" s="518" t="str">
        <f>IF(AND(_AC4="B-767-300",'2023'!$G$4="FO",'2023'!$G$2=BP119),'2023DATA'!$K$16,"")</f>
        <v/>
      </c>
      <c r="BQ133" s="518" t="str">
        <f>IF(AND(_AC4="B-767-300",'2023'!$G$4="FO",'2023'!$G$2=BQ119),'2023DATA'!$L$16,"")</f>
        <v/>
      </c>
      <c r="BR133" s="518" t="str">
        <f>IF(AND(_AC4="B-767-300",'2023'!$G$4="FO",'2023'!$G$2=BR119),'2023DATA'!$M$16,"")</f>
        <v/>
      </c>
      <c r="BS133" s="520" t="str">
        <f>IF(AND(_AC4="B-767-300",'2023'!$G$4="FO",'2023'!$G$2=BS119),'2023DATA'!$N$16,"")</f>
        <v/>
      </c>
      <c r="BT133" s="940"/>
      <c r="BU133" s="13" t="s">
        <v>62</v>
      </c>
      <c r="BV133" s="518" t="str">
        <f>IF(AND(_AC5="B-767-300",'2023'!$G$4="FO",'2023'!$G$2=BV119),'2023DATA'!$C$16,"")</f>
        <v/>
      </c>
      <c r="BW133" s="518" t="str">
        <f>IF(AND(_AC5="B-767-300",'2023'!$G$4="FO",'2023'!$G$2=BW119),'2023DATA'!$D$16,"")</f>
        <v/>
      </c>
      <c r="BX133" s="518" t="str">
        <f>IF(AND(_AC5="B-767-300",'2023'!$G$4="FO",'2023'!$G$2=BX119),'2023DATA'!$E$16,"")</f>
        <v/>
      </c>
      <c r="BY133" s="518" t="str">
        <f>IF(AND(_AC5="B-767-300",'2023'!$G$4="FO",'2023'!$G$2=BY119),'2023DATA'!$F$16,"")</f>
        <v/>
      </c>
      <c r="BZ133" s="518" t="str">
        <f>IF(AND(_AC5="B-767-300",'2023'!$G$4="FO",'2023'!$G$2=BZ119),'2023DATA'!$G$16,"")</f>
        <v/>
      </c>
      <c r="CA133" s="518" t="str">
        <f>IF(AND(_AC5="B-767-300",'2023'!$G$4="FO",'2023'!$G$2=CA119),'2023DATA'!$H$16,"")</f>
        <v/>
      </c>
      <c r="CB133" s="518" t="str">
        <f>IF(AND(_AC5="B-767-300",'2023'!$G$4="FO",'2023'!$G$2=CB119),'2023DATA'!$I$16,"")</f>
        <v/>
      </c>
      <c r="CC133" s="518" t="str">
        <f>IF(AND(_AC5="B-767-300",'2023'!$G$4="FO",'2023'!$G$2=CC119),'2023DATA'!$J$16,"")</f>
        <v/>
      </c>
      <c r="CD133" s="518" t="str">
        <f>IF(AND(_AC5="B-767-300",'2023'!$G$4="FO",'2023'!$G$2=CD119),'2023DATA'!$K$16,"")</f>
        <v/>
      </c>
      <c r="CE133" s="518" t="str">
        <f>IF(AND(_AC5="B-767-300",'2023'!$G$4="FO",'2023'!$G$2=CE119),'2023DATA'!$L$16,"")</f>
        <v/>
      </c>
      <c r="CF133" s="518" t="str">
        <f>IF(AND(_AC5="B-767-300",'2023'!$G$4="FO",'2023'!$G$2=CF119),'2023DATA'!$M$16,"")</f>
        <v/>
      </c>
      <c r="CG133" s="520" t="str">
        <f>IF(AND(_AC5="B-767-300",'2023'!$G$4="FO",'2023'!$G$2=CG119),'2023DATA'!$N$16,"")</f>
        <v/>
      </c>
      <c r="CH133" s="940"/>
      <c r="CI133" s="13" t="s">
        <v>62</v>
      </c>
      <c r="CJ133" s="518" t="str">
        <f>IF(AND(_AC6="B-767-300",'2023'!$G$4="FO",'2023'!$G$2=CJ119),'2023DATA'!$C$16,"")</f>
        <v/>
      </c>
      <c r="CK133" s="518" t="str">
        <f>IF(AND(_AC6="B-767-300",'2023'!$G$4="FO",'2023'!$G$2=CK119),'2023DATA'!$D$16,"")</f>
        <v/>
      </c>
      <c r="CL133" s="518" t="str">
        <f>IF(AND(_AC6="B-767-300",'2023'!$G$4="FO",'2023'!$G$2=CL119),'2023DATA'!$E$16,"")</f>
        <v/>
      </c>
      <c r="CM133" s="518" t="str">
        <f>IF(AND(_AC6="B-767-300",'2023'!$G$4="FO",'2023'!$G$2=CM119),'2023DATA'!$F$16,"")</f>
        <v/>
      </c>
      <c r="CN133" s="518" t="str">
        <f>IF(AND(_AC6="B-767-300",'2023'!$G$4="FO",'2023'!$G$2=CN119),'2023DATA'!$G$16,"")</f>
        <v/>
      </c>
      <c r="CO133" s="518" t="str">
        <f>IF(AND(_AC6="B-767-300",'2023'!$G$4="FO",'2023'!$G$2=CO119),'2023DATA'!$H$16,"")</f>
        <v/>
      </c>
      <c r="CP133" s="518" t="str">
        <f>IF(AND(_AC6="B-767-300",'2023'!$G$4="FO",'2023'!$G$2=CP119),'2023DATA'!$I$16,"")</f>
        <v/>
      </c>
      <c r="CQ133" s="518" t="str">
        <f>IF(AND(_AC6="B-767-300",'2023'!$G$4="FO",'2023'!$G$2=CQ119),'2023DATA'!$J$16,"")</f>
        <v/>
      </c>
      <c r="CR133" s="518" t="str">
        <f>IF(AND(_AC6="B-767-300",'2023'!$G$4="FO",'2023'!$G$2=CR119),'2023DATA'!$K$16,"")</f>
        <v/>
      </c>
      <c r="CS133" s="518" t="str">
        <f>IF(AND(_AC6="B-767-300",'2023'!$G$4="FO",'2023'!$G$2=CS119),'2023DATA'!$L$16,"")</f>
        <v/>
      </c>
      <c r="CT133" s="518" t="str">
        <f>IF(AND(_AC6="B-767-300",'2023'!$G$4="FO",'2023'!$G$2=CT119),'2023DATA'!$M$16,"")</f>
        <v/>
      </c>
      <c r="CU133" s="520" t="str">
        <f>IF(AND(_AC6="B-767-300",'2023'!$G$4="FO",'2023'!$G$2=CU119),'2023DATA'!$N$16,"")</f>
        <v/>
      </c>
    </row>
    <row r="134" spans="16:99" x14ac:dyDescent="0.25">
      <c r="P134" s="940" t="s">
        <v>68</v>
      </c>
      <c r="Q134" s="13" t="s">
        <v>61</v>
      </c>
      <c r="R134" s="518" t="str">
        <f>IF(AND(_AC1="B-767-200",'2023'!$G$4="CA",'2023'!$G$2=R119),'2023DATA'!$C$17,"")</f>
        <v/>
      </c>
      <c r="S134" s="518" t="str">
        <f>IF(AND(_AC1="B-767-200",'2023'!$G$4="CA",'2023'!$G$2=S119),'2023DATA'!$D$17,"")</f>
        <v/>
      </c>
      <c r="T134" s="518" t="str">
        <f>IF(AND(_AC1="B-767-200",'2023'!$G$4="CA",'2023'!$G$2=T119),'2023DATA'!$E$17,"")</f>
        <v/>
      </c>
      <c r="U134" s="518" t="str">
        <f>IF(AND(_AC1="B-767-200",'2023'!$G$4="CA",'2023'!$G$2=U119),'2023DATA'!$F$17,"")</f>
        <v/>
      </c>
      <c r="V134" s="518" t="str">
        <f>IF(AND(_AC1="B-767-200",'2023'!$G$4="CA",'2023'!$G$2=V119),'2023DATA'!$G$17,"")</f>
        <v/>
      </c>
      <c r="W134" s="518" t="str">
        <f>IF(AND(_AC1="B-767-200",'2023'!$G$4="CA",'2023'!$G$2=W119),'2023DATA'!$H$17,"")</f>
        <v/>
      </c>
      <c r="X134" s="518" t="str">
        <f>IF(AND(_AC1="B-767-200",'2023'!$G$4="CA",'2023'!$G$2=X119),'2023DATA'!$I$17,"")</f>
        <v/>
      </c>
      <c r="Y134" s="518" t="str">
        <f>IF(AND(_AC1="B-767-200",'2023'!$G$4="CA",'2023'!$G$2=Y119),'2023DATA'!$J$17,"")</f>
        <v/>
      </c>
      <c r="Z134" s="518" t="str">
        <f>IF(AND(_AC1="B-767-200",'2023'!$G$4="CA",'2023'!$G$2=Z119),'2023DATA'!$K$17,"")</f>
        <v/>
      </c>
      <c r="AA134" s="518" t="str">
        <f>IF(AND(_AC1="B-767-200",'2023'!$G$4="CA",'2023'!$G$2=AA119),'2023DATA'!$L$17,"")</f>
        <v/>
      </c>
      <c r="AB134" s="518" t="str">
        <f>IF(AND(_AC1="B-767-200",'2023'!$G$4="CA",'2023'!$G$2=AB119),'2023DATA'!$M$17,"")</f>
        <v/>
      </c>
      <c r="AC134" s="520" t="str">
        <f>IF(AND(_AC1="B-767-200",'2023'!$G$4="CA",'2023'!$G$2=AC119),'2023DATA'!$N$17,"")</f>
        <v/>
      </c>
      <c r="AD134" s="940" t="s">
        <v>68</v>
      </c>
      <c r="AE134" s="13" t="s">
        <v>61</v>
      </c>
      <c r="AF134" s="518" t="str">
        <f>IF(AND(_AC2="B-767-200",'2023'!$G$4="CA",'2023'!$G$2=AF119),'2023DATA'!$C$17,"")</f>
        <v/>
      </c>
      <c r="AG134" s="518" t="str">
        <f>IF(AND(_AC2="B-767-200",'2023'!$G$4="CA",'2023'!$G$2=AG119),'2023DATA'!$D$17,"")</f>
        <v/>
      </c>
      <c r="AH134" s="518" t="str">
        <f>IF(AND(_AC2="B-767-200",'2023'!$G$4="CA",'2023'!$G$2=AH119),'2023DATA'!$E$17,"")</f>
        <v/>
      </c>
      <c r="AI134" s="518" t="str">
        <f>IF(AND(_AC2="B-767-200",'2023'!$G$4="CA",'2023'!$G$2=AI119),'2023DATA'!$F$17,"")</f>
        <v/>
      </c>
      <c r="AJ134" s="518" t="str">
        <f>IF(AND(_AC2="B-767-200",'2023'!$G$4="CA",'2023'!$G$2=AJ119),'2023DATA'!$G$17,"")</f>
        <v/>
      </c>
      <c r="AK134" s="518" t="str">
        <f>IF(AND(_AC2="B-767-200",'2023'!$G$4="CA",'2023'!$G$2=AK119),'2023DATA'!$H$17,"")</f>
        <v/>
      </c>
      <c r="AL134" s="518" t="str">
        <f>IF(AND(_AC2="B-767-200",'2023'!$G$4="CA",'2023'!$G$2=AL119),'2023DATA'!$I$17,"")</f>
        <v/>
      </c>
      <c r="AM134" s="518" t="str">
        <f>IF(AND(_AC2="B-767-200",'2023'!$G$4="CA",'2023'!$G$2=AM119),'2023DATA'!$J$17,"")</f>
        <v/>
      </c>
      <c r="AN134" s="518" t="str">
        <f>IF(AND(_AC2="B-767-200",'2023'!$G$4="CA",'2023'!$G$2=AN119),'2023DATA'!$K$17,"")</f>
        <v/>
      </c>
      <c r="AO134" s="518" t="str">
        <f>IF(AND(_AC2="B-767-200",'2023'!$G$4="CA",'2023'!$G$2=AO119),'2023DATA'!$L$17,"")</f>
        <v/>
      </c>
      <c r="AP134" s="518" t="str">
        <f>IF(AND(_AC2="B-767-200",'2023'!$G$4="CA",'2023'!$G$2=AP119),'2023DATA'!$M$17,"")</f>
        <v/>
      </c>
      <c r="AQ134" s="520" t="str">
        <f>IF(AND(_AC2="B-767-200",'2023'!$G$4="CA",'2023'!$G$2=AQ119),'2023DATA'!$N$17,"")</f>
        <v/>
      </c>
      <c r="AR134" s="940" t="s">
        <v>68</v>
      </c>
      <c r="AS134" s="13" t="s">
        <v>61</v>
      </c>
      <c r="AT134" s="518" t="str">
        <f>IF(AND(_AC3="B-767-200",'2023'!$G$4="CA",'2023'!$G$2=AT119),'2023DATA'!$C$17,"")</f>
        <v/>
      </c>
      <c r="AU134" s="518" t="str">
        <f>IF(AND(_AC3="B-767-200",'2023'!$G$4="CA",'2023'!$G$2=AU119),'2023DATA'!$D$17,"")</f>
        <v/>
      </c>
      <c r="AV134" s="518" t="str">
        <f>IF(AND(_AC3="B-767-200",'2023'!$G$4="CA",'2023'!$G$2=AV119),'2023DATA'!$E$17,"")</f>
        <v/>
      </c>
      <c r="AW134" s="518" t="str">
        <f>IF(AND(_AC3="B-767-200",'2023'!$G$4="CA",'2023'!$G$2=AW119),'2023DATA'!$F$17,"")</f>
        <v/>
      </c>
      <c r="AX134" s="518" t="str">
        <f>IF(AND(_AC3="B-767-200",'2023'!$G$4="CA",'2023'!$G$2=AX119),'2023DATA'!$G$17,"")</f>
        <v/>
      </c>
      <c r="AY134" s="518" t="str">
        <f>IF(AND(_AC3="B-767-200",'2023'!$G$4="CA",'2023'!$G$2=AY119),'2023DATA'!$H$17,"")</f>
        <v/>
      </c>
      <c r="AZ134" s="518" t="str">
        <f>IF(AND(_AC3="B-767-200",'2023'!$G$4="CA",'2023'!$G$2=AZ119),'2023DATA'!$I$17,"")</f>
        <v/>
      </c>
      <c r="BA134" s="518" t="str">
        <f>IF(AND(_AC3="B-767-200",'2023'!$G$4="CA",'2023'!$G$2=BA119),'2023DATA'!$J$17,"")</f>
        <v/>
      </c>
      <c r="BB134" s="518" t="str">
        <f>IF(AND(_AC3="B-767-200",'2023'!$G$4="CA",'2023'!$G$2=BB119),'2023DATA'!$K$17,"")</f>
        <v/>
      </c>
      <c r="BC134" s="518" t="str">
        <f>IF(AND(_AC3="B-767-200",'2023'!$G$4="CA",'2023'!$G$2=BC119),'2023DATA'!$L$17,"")</f>
        <v/>
      </c>
      <c r="BD134" s="518" t="str">
        <f>IF(AND(_AC3="B-767-200",'2023'!$G$4="CA",'2023'!$G$2=BD119),'2023DATA'!$M$17,"")</f>
        <v/>
      </c>
      <c r="BE134" s="520" t="str">
        <f>IF(AND(_AC3="B-767-200",'2023'!$G$4="CA",'2023'!$G$2=BE119),'2023DATA'!$N$17,"")</f>
        <v/>
      </c>
      <c r="BF134" s="940" t="s">
        <v>68</v>
      </c>
      <c r="BG134" s="13" t="s">
        <v>61</v>
      </c>
      <c r="BH134" s="518" t="str">
        <f>IF(AND(_AC4="B-767-200",'2023'!$G$4="CA",'2023'!$G$2=BH119),'2023DATA'!$C$17,"")</f>
        <v/>
      </c>
      <c r="BI134" s="518" t="str">
        <f>IF(AND(_AC4="B-767-200",'2023'!$G$4="CA",'2023'!$G$2=BI119),'2023DATA'!$D$17,"")</f>
        <v/>
      </c>
      <c r="BJ134" s="518" t="str">
        <f>IF(AND(_AC4="B-767-200",'2023'!$G$4="CA",'2023'!$G$2=BJ119),'2023DATA'!$E$17,"")</f>
        <v/>
      </c>
      <c r="BK134" s="518" t="str">
        <f>IF(AND(_AC4="B-767-200",'2023'!$G$4="CA",'2023'!$G$2=BK119),'2023DATA'!$F$17,"")</f>
        <v/>
      </c>
      <c r="BL134" s="518" t="str">
        <f>IF(AND(_AC4="B-767-200",'2023'!$G$4="CA",'2023'!$G$2=BL119),'2023DATA'!$G$17,"")</f>
        <v/>
      </c>
      <c r="BM134" s="518" t="str">
        <f>IF(AND(_AC4="B-767-200",'2023'!$G$4="CA",'2023'!$G$2=BM119),'2023DATA'!$H$17,"")</f>
        <v/>
      </c>
      <c r="BN134" s="518" t="str">
        <f>IF(AND(_AC4="B-767-200",'2023'!$G$4="CA",'2023'!$G$2=BN119),'2023DATA'!$I$17,"")</f>
        <v/>
      </c>
      <c r="BO134" s="518" t="str">
        <f>IF(AND(_AC4="B-767-200",'2023'!$G$4="CA",'2023'!$G$2=BO119),'2023DATA'!$J$17,"")</f>
        <v/>
      </c>
      <c r="BP134" s="518" t="str">
        <f>IF(AND(_AC4="B-767-200",'2023'!$G$4="CA",'2023'!$G$2=BP119),'2023DATA'!$K$17,"")</f>
        <v/>
      </c>
      <c r="BQ134" s="518" t="str">
        <f>IF(AND(_AC4="B-767-200",'2023'!$G$4="CA",'2023'!$G$2=BQ119),'2023DATA'!$L$17,"")</f>
        <v/>
      </c>
      <c r="BR134" s="518" t="str">
        <f>IF(AND(_AC4="B-767-200",'2023'!$G$4="CA",'2023'!$G$2=BR119),'2023DATA'!$M$17,"")</f>
        <v/>
      </c>
      <c r="BS134" s="520" t="str">
        <f>IF(AND(_AC4="B-767-200",'2023'!$G$4="CA",'2023'!$G$2=BS119),'2023DATA'!$N$17,"")</f>
        <v/>
      </c>
      <c r="BT134" s="940" t="s">
        <v>68</v>
      </c>
      <c r="BU134" s="13" t="s">
        <v>61</v>
      </c>
      <c r="BV134" s="518" t="str">
        <f>IF(AND(_AC5="B-767-200",'2023'!$G$4="CA",'2023'!$G$2=BV119),'2023DATA'!$C$17,"")</f>
        <v/>
      </c>
      <c r="BW134" s="518" t="str">
        <f>IF(AND(_AC5="B-767-200",'2023'!$G$4="CA",'2023'!$G$2=BW119),'2023DATA'!$D$17,"")</f>
        <v/>
      </c>
      <c r="BX134" s="518" t="str">
        <f>IF(AND(_AC5="B-767-200",'2023'!$G$4="CA",'2023'!$G$2=BX119),'2023DATA'!$E$17,"")</f>
        <v/>
      </c>
      <c r="BY134" s="518" t="str">
        <f>IF(AND(_AC5="B-767-200",'2023'!$G$4="CA",'2023'!$G$2=BY119),'2023DATA'!$F$17,"")</f>
        <v/>
      </c>
      <c r="BZ134" s="518" t="str">
        <f>IF(AND(_AC5="B-767-200",'2023'!$G$4="CA",'2023'!$G$2=BZ119),'2023DATA'!$G$17,"")</f>
        <v/>
      </c>
      <c r="CA134" s="518" t="str">
        <f>IF(AND(_AC5="B-767-200",'2023'!$G$4="CA",'2023'!$G$2=CA119),'2023DATA'!$H$17,"")</f>
        <v/>
      </c>
      <c r="CB134" s="518" t="str">
        <f>IF(AND(_AC5="B-767-200",'2023'!$G$4="CA",'2023'!$G$2=CB119),'2023DATA'!$I$17,"")</f>
        <v/>
      </c>
      <c r="CC134" s="518" t="str">
        <f>IF(AND(_AC5="B-767-200",'2023'!$G$4="CA",'2023'!$G$2=CC119),'2023DATA'!$J$17,"")</f>
        <v/>
      </c>
      <c r="CD134" s="518" t="str">
        <f>IF(AND(_AC5="B-767-200",'2023'!$G$4="CA",'2023'!$G$2=CD119),'2023DATA'!$K$17,"")</f>
        <v/>
      </c>
      <c r="CE134" s="518" t="str">
        <f>IF(AND(_AC5="B-767-200",'2023'!$G$4="CA",'2023'!$G$2=CE119),'2023DATA'!$L$17,"")</f>
        <v/>
      </c>
      <c r="CF134" s="518" t="str">
        <f>IF(AND(_AC5="B-767-200",'2023'!$G$4="CA",'2023'!$G$2=CF119),'2023DATA'!$M$17,"")</f>
        <v/>
      </c>
      <c r="CG134" s="520" t="str">
        <f>IF(AND(_AC5="B-767-200",'2023'!$G$4="CA",'2023'!$G$2=CG119),'2023DATA'!$N$17,"")</f>
        <v/>
      </c>
      <c r="CH134" s="940" t="s">
        <v>68</v>
      </c>
      <c r="CI134" s="13" t="s">
        <v>61</v>
      </c>
      <c r="CJ134" s="518" t="str">
        <f>IF(AND(_AC6="B-767-200",'2023'!$G$4="CA",'2023'!$G$2=CJ119),'2023DATA'!$C$17,"")</f>
        <v/>
      </c>
      <c r="CK134" s="518" t="str">
        <f>IF(AND(_AC6="B-767-200",'2023'!$G$4="CA",'2023'!$G$2=CK119),'2023DATA'!$D$17,"")</f>
        <v/>
      </c>
      <c r="CL134" s="518" t="str">
        <f>IF(AND(_AC6="B-767-200",'2023'!$G$4="CA",'2023'!$G$2=CL119),'2023DATA'!$E$17,"")</f>
        <v/>
      </c>
      <c r="CM134" s="518" t="str">
        <f>IF(AND(_AC6="B-767-200",'2023'!$G$4="CA",'2023'!$G$2=CM119),'2023DATA'!$F$17,"")</f>
        <v/>
      </c>
      <c r="CN134" s="518" t="str">
        <f>IF(AND(_AC6="B-767-200",'2023'!$G$4="CA",'2023'!$G$2=CN119),'2023DATA'!$G$17,"")</f>
        <v/>
      </c>
      <c r="CO134" s="518" t="str">
        <f>IF(AND(_AC6="B-767-200",'2023'!$G$4="CA",'2023'!$G$2=CO119),'2023DATA'!$H$17,"")</f>
        <v/>
      </c>
      <c r="CP134" s="518" t="str">
        <f>IF(AND(_AC6="B-767-200",'2023'!$G$4="CA",'2023'!$G$2=CP119),'2023DATA'!$I$17,"")</f>
        <v/>
      </c>
      <c r="CQ134" s="518" t="str">
        <f>IF(AND(_AC6="B-767-200",'2023'!$G$4="CA",'2023'!$G$2=CQ119),'2023DATA'!$J$17,"")</f>
        <v/>
      </c>
      <c r="CR134" s="518" t="str">
        <f>IF(AND(_AC6="B-767-200",'2023'!$G$4="CA",'2023'!$G$2=CR119),'2023DATA'!$K$17,"")</f>
        <v/>
      </c>
      <c r="CS134" s="518" t="str">
        <f>IF(AND(_AC6="B-767-200",'2023'!$G$4="CA",'2023'!$G$2=CS119),'2023DATA'!$L$17,"")</f>
        <v/>
      </c>
      <c r="CT134" s="518" t="str">
        <f>IF(AND(_AC6="B-767-200",'2023'!$G$4="CA",'2023'!$G$2=CT119),'2023DATA'!$M$17,"")</f>
        <v/>
      </c>
      <c r="CU134" s="520" t="str">
        <f>IF(AND(_AC6="B-767-200",'2023'!$G$4="CA",'2023'!$G$2=CU119),'2023DATA'!$N$17,"")</f>
        <v/>
      </c>
    </row>
    <row r="135" spans="16:99" x14ac:dyDescent="0.25">
      <c r="P135" s="940"/>
      <c r="Q135" s="13" t="s">
        <v>62</v>
      </c>
      <c r="R135" s="518" t="str">
        <f>IF(AND(_AC1="B-767-200",'2023'!$G$4="FO",'2023'!$G$2=R119),'2023DATA'!$C$18,"")</f>
        <v/>
      </c>
      <c r="S135" s="518" t="str">
        <f>IF(AND(_AC1="B-767-200",'2023'!$G$4="FO",'2023'!$G$2=S119),'2023DATA'!$D$18,"")</f>
        <v/>
      </c>
      <c r="T135" s="518" t="str">
        <f>IF(AND(_AC1="B-767-200",'2023'!$G$4="FO",'2023'!$G$2=T119),'2023DATA'!$E$18,"")</f>
        <v/>
      </c>
      <c r="U135" s="518" t="str">
        <f>IF(AND(_AC1="B-767-200",'2023'!$G$4="FO",'2023'!$G$2=U119),'2023DATA'!$F$18,"")</f>
        <v/>
      </c>
      <c r="V135" s="518" t="str">
        <f>IF(AND(_AC1="B-767-200",'2023'!$G$4="FO",'2023'!$G$2=V119),'2023DATA'!$G$18,"")</f>
        <v/>
      </c>
      <c r="W135" s="518" t="str">
        <f>IF(AND(_AC1="B-767-200",'2023'!$G$4="FO",'2023'!$G$2=W119),'2023DATA'!$H$18,"")</f>
        <v/>
      </c>
      <c r="X135" s="518" t="str">
        <f>IF(AND(_AC1="B-767-200",'2023'!$G$4="FO",'2023'!$G$2=X119),'2023DATA'!$I$18,"")</f>
        <v/>
      </c>
      <c r="Y135" s="518" t="str">
        <f>IF(AND(_AC1="B-767-200",'2023'!$G$4="FO",'2023'!$G$2=Y119),'2023DATA'!$J$18,"")</f>
        <v/>
      </c>
      <c r="Z135" s="518" t="str">
        <f>IF(AND(_AC1="B-767-200",'2023'!$G$4="FO",'2023'!$G$2=Z119),'2023DATA'!$K$18,"")</f>
        <v/>
      </c>
      <c r="AA135" s="518" t="str">
        <f>IF(AND(_AC1="B-767-200",'2023'!$G$4="FO",'2023'!$G$2=AA119),'2023DATA'!$L$18,"")</f>
        <v/>
      </c>
      <c r="AB135" s="518" t="str">
        <f>IF(AND(_AC1="B-767-200",'2023'!$G$4="FO",'2023'!$G$2=AB119),'2023DATA'!$M$18,"")</f>
        <v/>
      </c>
      <c r="AC135" s="520" t="str">
        <f>IF(AND(_AC1="B-767-200",'2023'!$G$4="FO",'2023'!$G$2=AC119),'2023DATA'!$N$18,"")</f>
        <v/>
      </c>
      <c r="AD135" s="940"/>
      <c r="AE135" s="13" t="s">
        <v>62</v>
      </c>
      <c r="AF135" s="518" t="str">
        <f>IF(AND(_AC2="B-767-200",'2023'!$G$4="FO",'2023'!$G$2=AF119),'2023DATA'!$C$18,"")</f>
        <v/>
      </c>
      <c r="AG135" s="518" t="str">
        <f>IF(AND(_AC2="B-767-200",'2023'!$G$4="FO",'2023'!$G$2=AG119),'2023DATA'!$D$18,"")</f>
        <v/>
      </c>
      <c r="AH135" s="518" t="str">
        <f>IF(AND(_AC2="B-767-200",'2023'!$G$4="FO",'2023'!$G$2=AH119),'2023DATA'!$E$18,"")</f>
        <v/>
      </c>
      <c r="AI135" s="518" t="str">
        <f>IF(AND(_AC2="B-767-200",'2023'!$G$4="FO",'2023'!$G$2=AI119),'2023DATA'!$F$18,"")</f>
        <v/>
      </c>
      <c r="AJ135" s="518" t="str">
        <f>IF(AND(_AC2="B-767-200",'2023'!$G$4="FO",'2023'!$G$2=AJ119),'2023DATA'!$G$18,"")</f>
        <v/>
      </c>
      <c r="AK135" s="518" t="str">
        <f>IF(AND(_AC2="B-767-200",'2023'!$G$4="FO",'2023'!$G$2=AK119),'2023DATA'!$H$18,"")</f>
        <v/>
      </c>
      <c r="AL135" s="518" t="str">
        <f>IF(AND(_AC2="B-767-200",'2023'!$G$4="FO",'2023'!$G$2=AL119),'2023DATA'!$I$18,"")</f>
        <v/>
      </c>
      <c r="AM135" s="518" t="str">
        <f>IF(AND(_AC2="B-767-200",'2023'!$G$4="FO",'2023'!$G$2=AM119),'2023DATA'!$J$18,"")</f>
        <v/>
      </c>
      <c r="AN135" s="518" t="str">
        <f>IF(AND(_AC2="B-767-200",'2023'!$G$4="FO",'2023'!$G$2=AN119),'2023DATA'!$K$18,"")</f>
        <v/>
      </c>
      <c r="AO135" s="518" t="str">
        <f>IF(AND(_AC2="B-767-200",'2023'!$G$4="FO",'2023'!$G$2=AO119),'2023DATA'!$L$18,"")</f>
        <v/>
      </c>
      <c r="AP135" s="518" t="str">
        <f>IF(AND(_AC2="B-767-200",'2023'!$G$4="FO",'2023'!$G$2=AP119),'2023DATA'!$M$18,"")</f>
        <v/>
      </c>
      <c r="AQ135" s="520" t="str">
        <f>IF(AND(_AC2="B-767-200",'2023'!$G$4="FO",'2023'!$G$2=AQ119),'2023DATA'!$N$18,"")</f>
        <v/>
      </c>
      <c r="AR135" s="940"/>
      <c r="AS135" s="13" t="s">
        <v>62</v>
      </c>
      <c r="AT135" s="518" t="str">
        <f>IF(AND(_AC3="B-767-200",'2023'!$G$4="FO",'2023'!$G$2=AT119),'2023DATA'!$C$18,"")</f>
        <v/>
      </c>
      <c r="AU135" s="518" t="str">
        <f>IF(AND(_AC3="B-767-200",'2023'!$G$4="FO",'2023'!$G$2=AU119),'2023DATA'!$D$18,"")</f>
        <v/>
      </c>
      <c r="AV135" s="518" t="str">
        <f>IF(AND(_AC3="B-767-200",'2023'!$G$4="FO",'2023'!$G$2=AV119),'2023DATA'!$E$18,"")</f>
        <v/>
      </c>
      <c r="AW135" s="518" t="str">
        <f>IF(AND(_AC3="B-767-200",'2023'!$G$4="FO",'2023'!$G$2=AW119),'2023DATA'!$F$18,"")</f>
        <v/>
      </c>
      <c r="AX135" s="518" t="str">
        <f>IF(AND(_AC3="B-767-200",'2023'!$G$4="FO",'2023'!$G$2=AX119),'2023DATA'!$G$18,"")</f>
        <v/>
      </c>
      <c r="AY135" s="518" t="str">
        <f>IF(AND(_AC3="B-767-200",'2023'!$G$4="FO",'2023'!$G$2=AY119),'2023DATA'!$H$18,"")</f>
        <v/>
      </c>
      <c r="AZ135" s="518" t="str">
        <f>IF(AND(_AC3="B-767-200",'2023'!$G$4="FO",'2023'!$G$2=AZ119),'2023DATA'!$I$18,"")</f>
        <v/>
      </c>
      <c r="BA135" s="518" t="str">
        <f>IF(AND(_AC3="B-767-200",'2023'!$G$4="FO",'2023'!$G$2=BA119),'2023DATA'!$J$18,"")</f>
        <v/>
      </c>
      <c r="BB135" s="518" t="str">
        <f>IF(AND(_AC3="B-767-200",'2023'!$G$4="FO",'2023'!$G$2=BB119),'2023DATA'!$K$18,"")</f>
        <v/>
      </c>
      <c r="BC135" s="518" t="str">
        <f>IF(AND(_AC3="B-767-200",'2023'!$G$4="FO",'2023'!$G$2=BC119),'2023DATA'!$L$18,"")</f>
        <v/>
      </c>
      <c r="BD135" s="518" t="str">
        <f>IF(AND(_AC3="B-767-200",'2023'!$G$4="FO",'2023'!$G$2=BD119),'2023DATA'!$M$18,"")</f>
        <v/>
      </c>
      <c r="BE135" s="520" t="str">
        <f>IF(AND(_AC3="B-767-200",'2023'!$G$4="FO",'2023'!$G$2=BE119),'2023DATA'!$N$18,"")</f>
        <v/>
      </c>
      <c r="BF135" s="940"/>
      <c r="BG135" s="13" t="s">
        <v>62</v>
      </c>
      <c r="BH135" s="518" t="str">
        <f>IF(AND(_AC4="B-767-200",'2023'!$G$4="FO",'2023'!$G$2=BH119),'2023DATA'!$C$18,"")</f>
        <v/>
      </c>
      <c r="BI135" s="518" t="str">
        <f>IF(AND(_AC4="B-767-200",'2023'!$G$4="FO",'2023'!$G$2=BI119),'2023DATA'!$D$18,"")</f>
        <v/>
      </c>
      <c r="BJ135" s="518" t="str">
        <f>IF(AND(_AC4="B-767-200",'2023'!$G$4="FO",'2023'!$G$2=BJ119),'2023DATA'!$E$18,"")</f>
        <v/>
      </c>
      <c r="BK135" s="518" t="str">
        <f>IF(AND(_AC4="B-767-200",'2023'!$G$4="FO",'2023'!$G$2=BK119),'2023DATA'!$F$18,"")</f>
        <v/>
      </c>
      <c r="BL135" s="518" t="str">
        <f>IF(AND(_AC4="B-767-200",'2023'!$G$4="FO",'2023'!$G$2=BL119),'2023DATA'!$G$18,"")</f>
        <v/>
      </c>
      <c r="BM135" s="518" t="str">
        <f>IF(AND(_AC4="B-767-200",'2023'!$G$4="FO",'2023'!$G$2=BM119),'2023DATA'!$H$18,"")</f>
        <v/>
      </c>
      <c r="BN135" s="518" t="str">
        <f>IF(AND(_AC4="B-767-200",'2023'!$G$4="FO",'2023'!$G$2=BN119),'2023DATA'!$I$18,"")</f>
        <v/>
      </c>
      <c r="BO135" s="518" t="str">
        <f>IF(AND(_AC4="B-767-200",'2023'!$G$4="FO",'2023'!$G$2=BO119),'2023DATA'!$J$18,"")</f>
        <v/>
      </c>
      <c r="BP135" s="518" t="str">
        <f>IF(AND(_AC4="B-767-200",'2023'!$G$4="FO",'2023'!$G$2=BP119),'2023DATA'!$K$18,"")</f>
        <v/>
      </c>
      <c r="BQ135" s="518" t="str">
        <f>IF(AND(_AC4="B-767-200",'2023'!$G$4="FO",'2023'!$G$2=BQ119),'2023DATA'!$L$18,"")</f>
        <v/>
      </c>
      <c r="BR135" s="518" t="str">
        <f>IF(AND(_AC4="B-767-200",'2023'!$G$4="FO",'2023'!$G$2=BR119),'2023DATA'!$M$18,"")</f>
        <v/>
      </c>
      <c r="BS135" s="520" t="str">
        <f>IF(AND(_AC4="B-767-200",'2023'!$G$4="FO",'2023'!$G$2=BS119),'2023DATA'!$N$18,"")</f>
        <v/>
      </c>
      <c r="BT135" s="940"/>
      <c r="BU135" s="13" t="s">
        <v>62</v>
      </c>
      <c r="BV135" s="518" t="str">
        <f>IF(AND(_AC5="B-767-200",'2023'!$G$4="FO",'2023'!$G$2=BV119),'2023DATA'!$C$18,"")</f>
        <v/>
      </c>
      <c r="BW135" s="518" t="str">
        <f>IF(AND(_AC5="B-767-200",'2023'!$G$4="FO",'2023'!$G$2=BW119),'2023DATA'!$D$18,"")</f>
        <v/>
      </c>
      <c r="BX135" s="518" t="str">
        <f>IF(AND(_AC5="B-767-200",'2023'!$G$4="FO",'2023'!$G$2=BX119),'2023DATA'!$E$18,"")</f>
        <v/>
      </c>
      <c r="BY135" s="518" t="str">
        <f>IF(AND(_AC5="B-767-200",'2023'!$G$4="FO",'2023'!$G$2=BY119),'2023DATA'!$F$18,"")</f>
        <v/>
      </c>
      <c r="BZ135" s="518" t="str">
        <f>IF(AND(_AC5="B-767-200",'2023'!$G$4="FO",'2023'!$G$2=BZ119),'2023DATA'!$G$18,"")</f>
        <v/>
      </c>
      <c r="CA135" s="518" t="str">
        <f>IF(AND(_AC5="B-767-200",'2023'!$G$4="FO",'2023'!$G$2=CA119),'2023DATA'!$H$18,"")</f>
        <v/>
      </c>
      <c r="CB135" s="518" t="str">
        <f>IF(AND(_AC5="B-767-200",'2023'!$G$4="FO",'2023'!$G$2=CB119),'2023DATA'!$I$18,"")</f>
        <v/>
      </c>
      <c r="CC135" s="518" t="str">
        <f>IF(AND(_AC5="B-767-200",'2023'!$G$4="FO",'2023'!$G$2=CC119),'2023DATA'!$J$18,"")</f>
        <v/>
      </c>
      <c r="CD135" s="518" t="str">
        <f>IF(AND(_AC5="B-767-200",'2023'!$G$4="FO",'2023'!$G$2=CD119),'2023DATA'!$K$18,"")</f>
        <v/>
      </c>
      <c r="CE135" s="518" t="str">
        <f>IF(AND(_AC5="B-767-200",'2023'!$G$4="FO",'2023'!$G$2=CE119),'2023DATA'!$L$18,"")</f>
        <v/>
      </c>
      <c r="CF135" s="518" t="str">
        <f>IF(AND(_AC5="B-767-200",'2023'!$G$4="FO",'2023'!$G$2=CF119),'2023DATA'!$M$18,"")</f>
        <v/>
      </c>
      <c r="CG135" s="520" t="str">
        <f>IF(AND(_AC5="B-767-200",'2023'!$G$4="FO",'2023'!$G$2=CG119),'2023DATA'!$N$18,"")</f>
        <v/>
      </c>
      <c r="CH135" s="940"/>
      <c r="CI135" s="13" t="s">
        <v>62</v>
      </c>
      <c r="CJ135" s="518" t="str">
        <f>IF(AND(_AC6="B-767-200",'2023'!$G$4="FO",'2023'!$G$2=CJ119),'2023DATA'!$C$18,"")</f>
        <v/>
      </c>
      <c r="CK135" s="518" t="str">
        <f>IF(AND(_AC6="B-767-200",'2023'!$G$4="FO",'2023'!$G$2=CK119),'2023DATA'!$D$18,"")</f>
        <v/>
      </c>
      <c r="CL135" s="518" t="str">
        <f>IF(AND(_AC6="B-767-200",'2023'!$G$4="FO",'2023'!$G$2=CL119),'2023DATA'!$E$18,"")</f>
        <v/>
      </c>
      <c r="CM135" s="518" t="str">
        <f>IF(AND(_AC6="B-767-200",'2023'!$G$4="FO",'2023'!$G$2=CM119),'2023DATA'!$F$18,"")</f>
        <v/>
      </c>
      <c r="CN135" s="518" t="str">
        <f>IF(AND(_AC6="B-767-200",'2023'!$G$4="FO",'2023'!$G$2=CN119),'2023DATA'!$G$18,"")</f>
        <v/>
      </c>
      <c r="CO135" s="518" t="str">
        <f>IF(AND(_AC6="B-767-200",'2023'!$G$4="FO",'2023'!$G$2=CO119),'2023DATA'!$H$18,"")</f>
        <v/>
      </c>
      <c r="CP135" s="518" t="str">
        <f>IF(AND(_AC6="B-767-200",'2023'!$G$4="FO",'2023'!$G$2=CP119),'2023DATA'!$I$18,"")</f>
        <v/>
      </c>
      <c r="CQ135" s="518" t="str">
        <f>IF(AND(_AC6="B-767-200",'2023'!$G$4="FO",'2023'!$G$2=CQ119),'2023DATA'!$J$18,"")</f>
        <v/>
      </c>
      <c r="CR135" s="518" t="str">
        <f>IF(AND(_AC6="B-767-200",'2023'!$G$4="FO",'2023'!$G$2=CR119),'2023DATA'!$K$18,"")</f>
        <v/>
      </c>
      <c r="CS135" s="518" t="str">
        <f>IF(AND(_AC6="B-767-200",'2023'!$G$4="FO",'2023'!$G$2=CS119),'2023DATA'!$L$18,"")</f>
        <v/>
      </c>
      <c r="CT135" s="518" t="str">
        <f>IF(AND(_AC6="B-767-200",'2023'!$G$4="FO",'2023'!$G$2=CT119),'2023DATA'!$M$18,"")</f>
        <v/>
      </c>
      <c r="CU135" s="520" t="str">
        <f>IF(AND(_AC6="B-767-200",'2023'!$G$4="FO",'2023'!$G$2=CU119),'2023DATA'!$N$18,"")</f>
        <v/>
      </c>
    </row>
    <row r="136" spans="16:99" x14ac:dyDescent="0.25">
      <c r="P136" s="940" t="s">
        <v>45</v>
      </c>
      <c r="Q136" s="13" t="s">
        <v>61</v>
      </c>
      <c r="R136" s="518" t="str">
        <f>IF(AND(_AC1="B-757",'2023'!$G$4="CA",'2023'!$G$2=R119),'2023DATA'!$C$19,"")</f>
        <v/>
      </c>
      <c r="S136" s="518" t="str">
        <f>IF(AND(_AC1="B-757",'2023'!$G$4="CA",'2023'!$G$2=S119),'2023DATA'!$D$19,"")</f>
        <v/>
      </c>
      <c r="T136" s="518" t="str">
        <f>IF(AND(_AC1="B-757",'2023'!$G$4="CA",'2023'!$G$2=T119),'2023DATA'!$E$19,"")</f>
        <v/>
      </c>
      <c r="U136" s="518" t="str">
        <f>IF(AND(_AC1="B-757",'2023'!$G$4="CA",'2023'!$G$2=U119),'2023DATA'!$F$19,"")</f>
        <v/>
      </c>
      <c r="V136" s="518" t="str">
        <f>IF(AND(_AC1="B-757",'2023'!$G$4="CA",'2023'!$G$2=V119),'2023DATA'!$G$19,"")</f>
        <v/>
      </c>
      <c r="W136" s="518" t="str">
        <f>IF(AND(_AC1="B-757",'2023'!$G$4="CA",'2023'!$G$2=W119),'2023DATA'!$H$19,"")</f>
        <v/>
      </c>
      <c r="X136" s="518" t="str">
        <f>IF(AND(_AC1="B-757",'2023'!$G$4="CA",'2023'!$G$2=X119),'2023DATA'!$I$19,"")</f>
        <v/>
      </c>
      <c r="Y136" s="518" t="str">
        <f>IF(AND(_AC1="B-757",'2023'!$G$4="CA",'2023'!$G$2=Y119),'2023DATA'!$J$19,"")</f>
        <v/>
      </c>
      <c r="Z136" s="518" t="str">
        <f>IF(AND(_AC1="B-757",'2023'!$G$4="CA",'2023'!$G$2=Z119),'2023DATA'!$K$19,"")</f>
        <v/>
      </c>
      <c r="AA136" s="518" t="str">
        <f>IF(AND(_AC1="B-757",'2023'!$G$4="CA",'2023'!$G$2=AA119),'2023DATA'!$L$19,"")</f>
        <v/>
      </c>
      <c r="AB136" s="518" t="str">
        <f>IF(AND(_AC1="B-757",'2023'!$G$4="CA",'2023'!$G$2=AB119),'2023DATA'!$M$19,"")</f>
        <v/>
      </c>
      <c r="AC136" s="520" t="str">
        <f>IF(AND(_AC1="B-757",'2023'!$G$4="CA",'2023'!$G$2=AC119),'2023DATA'!$N$19,"")</f>
        <v/>
      </c>
      <c r="AD136" s="940" t="s">
        <v>45</v>
      </c>
      <c r="AE136" s="13" t="s">
        <v>61</v>
      </c>
      <c r="AF136" s="518" t="str">
        <f>IF(AND(_AC2="B-757",'2023'!$G$4="CA",'2023'!$G$2=AF119),'2023DATA'!$C$19,"")</f>
        <v/>
      </c>
      <c r="AG136" s="518" t="str">
        <f>IF(AND(_AC2="B-757",'2023'!$G$4="CA",'2023'!$G$2=AG119),'2023DATA'!$D$19,"")</f>
        <v/>
      </c>
      <c r="AH136" s="518" t="str">
        <f>IF(AND(_AC2="B-757",'2023'!$G$4="CA",'2023'!$G$2=AH119),'2023DATA'!$E$19,"")</f>
        <v/>
      </c>
      <c r="AI136" s="518" t="str">
        <f>IF(AND(_AC2="B-757",'2023'!$G$4="CA",'2023'!$G$2=AI119),'2023DATA'!$F$19,"")</f>
        <v/>
      </c>
      <c r="AJ136" s="518" t="str">
        <f>IF(AND(_AC2="B-757",'2023'!$G$4="CA",'2023'!$G$2=AJ119),'2023DATA'!$G$19,"")</f>
        <v/>
      </c>
      <c r="AK136" s="518" t="str">
        <f>IF(AND(_AC2="B-757",'2023'!$G$4="CA",'2023'!$G$2=AK119),'2023DATA'!$H$19,"")</f>
        <v/>
      </c>
      <c r="AL136" s="518" t="str">
        <f>IF(AND(_AC2="B-757",'2023'!$G$4="CA",'2023'!$G$2=AL119),'2023DATA'!$I$19,"")</f>
        <v/>
      </c>
      <c r="AM136" s="518" t="str">
        <f>IF(AND(_AC2="B-757",'2023'!$G$4="CA",'2023'!$G$2=AM119),'2023DATA'!$J$19,"")</f>
        <v/>
      </c>
      <c r="AN136" s="518" t="str">
        <f>IF(AND(_AC2="B-757",'2023'!$G$4="CA",'2023'!$G$2=AN119),'2023DATA'!$K$19,"")</f>
        <v/>
      </c>
      <c r="AO136" s="518" t="str">
        <f>IF(AND(_AC2="B-757",'2023'!$G$4="CA",'2023'!$G$2=AO119),'2023DATA'!$L$19,"")</f>
        <v/>
      </c>
      <c r="AP136" s="518" t="str">
        <f>IF(AND(_AC2="B-757",'2023'!$G$4="CA",'2023'!$G$2=AP119),'2023DATA'!$M$19,"")</f>
        <v/>
      </c>
      <c r="AQ136" s="520" t="str">
        <f>IF(AND(_AC2="B-757",'2023'!$G$4="CA",'2023'!$G$2=AQ119),'2023DATA'!$N$19,"")</f>
        <v/>
      </c>
      <c r="AR136" s="940" t="s">
        <v>45</v>
      </c>
      <c r="AS136" s="13" t="s">
        <v>61</v>
      </c>
      <c r="AT136" s="518" t="str">
        <f>IF(AND(_AC3="B-757",'2023'!$G$4="CA",'2023'!$G$2=AT119),'2023DATA'!$C$19,"")</f>
        <v/>
      </c>
      <c r="AU136" s="518" t="str">
        <f>IF(AND(_AC3="B-757",'2023'!$G$4="CA",'2023'!$G$2=AU119),'2023DATA'!$D$19,"")</f>
        <v/>
      </c>
      <c r="AV136" s="518" t="str">
        <f>IF(AND(_AC3="B-757",'2023'!$G$4="CA",'2023'!$G$2=AV119),'2023DATA'!$E$19,"")</f>
        <v/>
      </c>
      <c r="AW136" s="518" t="str">
        <f>IF(AND(_AC3="B-757",'2023'!$G$4="CA",'2023'!$G$2=AW119),'2023DATA'!$F$19,"")</f>
        <v/>
      </c>
      <c r="AX136" s="518" t="str">
        <f>IF(AND(_AC3="B-757",'2023'!$G$4="CA",'2023'!$G$2=AX119),'2023DATA'!$G$19,"")</f>
        <v/>
      </c>
      <c r="AY136" s="518" t="str">
        <f>IF(AND(_AC3="B-757",'2023'!$G$4="CA",'2023'!$G$2=AY119),'2023DATA'!$H$19,"")</f>
        <v/>
      </c>
      <c r="AZ136" s="518" t="str">
        <f>IF(AND(_AC3="B-757",'2023'!$G$4="CA",'2023'!$G$2=AZ119),'2023DATA'!$I$19,"")</f>
        <v/>
      </c>
      <c r="BA136" s="518" t="str">
        <f>IF(AND(_AC3="B-757",'2023'!$G$4="CA",'2023'!$G$2=BA119),'2023DATA'!$J$19,"")</f>
        <v/>
      </c>
      <c r="BB136" s="518" t="str">
        <f>IF(AND(_AC3="B-757",'2023'!$G$4="CA",'2023'!$G$2=BB119),'2023DATA'!$K$19,"")</f>
        <v/>
      </c>
      <c r="BC136" s="518" t="str">
        <f>IF(AND(_AC3="B-757",'2023'!$G$4="CA",'2023'!$G$2=BC119),'2023DATA'!$L$19,"")</f>
        <v/>
      </c>
      <c r="BD136" s="518" t="str">
        <f>IF(AND(_AC3="B-757",'2023'!$G$4="CA",'2023'!$G$2=BD119),'2023DATA'!$M$19,"")</f>
        <v/>
      </c>
      <c r="BE136" s="520" t="str">
        <f>IF(AND(_AC3="B-757",'2023'!$G$4="CA",'2023'!$G$2=BE119),'2023DATA'!$N$19,"")</f>
        <v/>
      </c>
      <c r="BF136" s="940" t="s">
        <v>45</v>
      </c>
      <c r="BG136" s="13" t="s">
        <v>61</v>
      </c>
      <c r="BH136" s="518" t="str">
        <f>IF(AND(_AC4="B-757",'2023'!$G$4="CA",'2023'!$G$2=BH119),'2023DATA'!$C$19,"")</f>
        <v/>
      </c>
      <c r="BI136" s="518" t="str">
        <f>IF(AND(_AC4="B-757",'2023'!$G$4="CA",'2023'!$G$2=BI119),'2023DATA'!$D$19,"")</f>
        <v/>
      </c>
      <c r="BJ136" s="518" t="str">
        <f>IF(AND(_AC4="B-757",'2023'!$G$4="CA",'2023'!$G$2=BJ119),'2023DATA'!$E$19,"")</f>
        <v/>
      </c>
      <c r="BK136" s="518" t="str">
        <f>IF(AND(_AC4="B-757",'2023'!$G$4="CA",'2023'!$G$2=BK119),'2023DATA'!$F$19,"")</f>
        <v/>
      </c>
      <c r="BL136" s="518" t="str">
        <f>IF(AND(_AC4="B-757",'2023'!$G$4="CA",'2023'!$G$2=BL119),'2023DATA'!$G$19,"")</f>
        <v/>
      </c>
      <c r="BM136" s="518" t="str">
        <f>IF(AND(_AC4="B-757",'2023'!$G$4="CA",'2023'!$G$2=BM119),'2023DATA'!$H$19,"")</f>
        <v/>
      </c>
      <c r="BN136" s="518" t="str">
        <f>IF(AND(_AC4="B-757",'2023'!$G$4="CA",'2023'!$G$2=BN119),'2023DATA'!$I$19,"")</f>
        <v/>
      </c>
      <c r="BO136" s="518" t="str">
        <f>IF(AND(_AC4="B-757",'2023'!$G$4="CA",'2023'!$G$2=BO119),'2023DATA'!$J$19,"")</f>
        <v/>
      </c>
      <c r="BP136" s="518" t="str">
        <f>IF(AND(_AC4="B-757",'2023'!$G$4="CA",'2023'!$G$2=BP119),'2023DATA'!$K$19,"")</f>
        <v/>
      </c>
      <c r="BQ136" s="518" t="str">
        <f>IF(AND(_AC4="B-757",'2023'!$G$4="CA",'2023'!$G$2=BQ119),'2023DATA'!$L$19,"")</f>
        <v/>
      </c>
      <c r="BR136" s="518" t="str">
        <f>IF(AND(_AC4="B-757",'2023'!$G$4="CA",'2023'!$G$2=BR119),'2023DATA'!$M$19,"")</f>
        <v/>
      </c>
      <c r="BS136" s="520" t="str">
        <f>IF(AND(_AC4="B-757",'2023'!$G$4="CA",'2023'!$G$2=BS119),'2023DATA'!$N$19,"")</f>
        <v/>
      </c>
      <c r="BT136" s="940" t="s">
        <v>45</v>
      </c>
      <c r="BU136" s="13" t="s">
        <v>61</v>
      </c>
      <c r="BV136" s="518" t="str">
        <f>IF(AND(_AC5="B-757",'2023'!$G$4="CA",'2023'!$G$2=BV119),'2023DATA'!$C$19,"")</f>
        <v/>
      </c>
      <c r="BW136" s="518" t="str">
        <f>IF(AND(_AC5="B-757",'2023'!$G$4="CA",'2023'!$G$2=BW119),'2023DATA'!$D$19,"")</f>
        <v/>
      </c>
      <c r="BX136" s="518" t="str">
        <f>IF(AND(_AC5="B-757",'2023'!$G$4="CA",'2023'!$G$2=BX119),'2023DATA'!$E$19,"")</f>
        <v/>
      </c>
      <c r="BY136" s="518" t="str">
        <f>IF(AND(_AC5="B-757",'2023'!$G$4="CA",'2023'!$G$2=BY119),'2023DATA'!$F$19,"")</f>
        <v/>
      </c>
      <c r="BZ136" s="518" t="str">
        <f>IF(AND(_AC5="B-757",'2023'!$G$4="CA",'2023'!$G$2=BZ119),'2023DATA'!$G$19,"")</f>
        <v/>
      </c>
      <c r="CA136" s="518" t="str">
        <f>IF(AND(_AC5="B-757",'2023'!$G$4="CA",'2023'!$G$2=CA119),'2023DATA'!$H$19,"")</f>
        <v/>
      </c>
      <c r="CB136" s="518" t="str">
        <f>IF(AND(_AC5="B-757",'2023'!$G$4="CA",'2023'!$G$2=CB119),'2023DATA'!$I$19,"")</f>
        <v/>
      </c>
      <c r="CC136" s="518" t="str">
        <f>IF(AND(_AC5="B-757",'2023'!$G$4="CA",'2023'!$G$2=CC119),'2023DATA'!$J$19,"")</f>
        <v/>
      </c>
      <c r="CD136" s="518" t="str">
        <f>IF(AND(_AC5="B-757",'2023'!$G$4="CA",'2023'!$G$2=CD119),'2023DATA'!$K$19,"")</f>
        <v/>
      </c>
      <c r="CE136" s="518" t="str">
        <f>IF(AND(_AC5="B-757",'2023'!$G$4="CA",'2023'!$G$2=CE119),'2023DATA'!$L$19,"")</f>
        <v/>
      </c>
      <c r="CF136" s="518" t="str">
        <f>IF(AND(_AC5="B-757",'2023'!$G$4="CA",'2023'!$G$2=CF119),'2023DATA'!$M$19,"")</f>
        <v/>
      </c>
      <c r="CG136" s="520" t="str">
        <f>IF(AND(_AC5="B-757",'2023'!$G$4="CA",'2023'!$G$2=CG119),'2023DATA'!$N$19,"")</f>
        <v/>
      </c>
      <c r="CH136" s="940" t="s">
        <v>45</v>
      </c>
      <c r="CI136" s="13" t="s">
        <v>61</v>
      </c>
      <c r="CJ136" s="518" t="str">
        <f>IF(AND(_AC6="B-757",'2023'!$G$4="CA",'2023'!$G$2=CJ119),'2023DATA'!$C$19,"")</f>
        <v/>
      </c>
      <c r="CK136" s="518" t="str">
        <f>IF(AND(_AC6="B-757",'2023'!$G$4="CA",'2023'!$G$2=CK119),'2023DATA'!$D$19,"")</f>
        <v/>
      </c>
      <c r="CL136" s="518" t="str">
        <f>IF(AND(_AC6="B-757",'2023'!$G$4="CA",'2023'!$G$2=CL119),'2023DATA'!$E$19,"")</f>
        <v/>
      </c>
      <c r="CM136" s="518" t="str">
        <f>IF(AND(_AC6="B-757",'2023'!$G$4="CA",'2023'!$G$2=CM119),'2023DATA'!$F$19,"")</f>
        <v/>
      </c>
      <c r="CN136" s="518" t="str">
        <f>IF(AND(_AC6="B-757",'2023'!$G$4="CA",'2023'!$G$2=CN119),'2023DATA'!$G$19,"")</f>
        <v/>
      </c>
      <c r="CO136" s="518" t="str">
        <f>IF(AND(_AC6="B-757",'2023'!$G$4="CA",'2023'!$G$2=CO119),'2023DATA'!$H$19,"")</f>
        <v/>
      </c>
      <c r="CP136" s="518" t="str">
        <f>IF(AND(_AC6="B-757",'2023'!$G$4="CA",'2023'!$G$2=CP119),'2023DATA'!$I$19,"")</f>
        <v/>
      </c>
      <c r="CQ136" s="518" t="str">
        <f>IF(AND(_AC6="B-757",'2023'!$G$4="CA",'2023'!$G$2=CQ119),'2023DATA'!$J$19,"")</f>
        <v/>
      </c>
      <c r="CR136" s="518" t="str">
        <f>IF(AND(_AC6="B-757",'2023'!$G$4="CA",'2023'!$G$2=CR119),'2023DATA'!$K$19,"")</f>
        <v/>
      </c>
      <c r="CS136" s="518" t="str">
        <f>IF(AND(_AC6="B-757",'2023'!$G$4="CA",'2023'!$G$2=CS119),'2023DATA'!$L$19,"")</f>
        <v/>
      </c>
      <c r="CT136" s="518" t="str">
        <f>IF(AND(_AC6="B-757",'2023'!$G$4="CA",'2023'!$G$2=CT119),'2023DATA'!$M$19,"")</f>
        <v/>
      </c>
      <c r="CU136" s="520" t="str">
        <f>IF(AND(_AC6="B-757",'2023'!$G$4="CA",'2023'!$G$2=CU119),'2023DATA'!$N$19,"")</f>
        <v/>
      </c>
    </row>
    <row r="137" spans="16:99" x14ac:dyDescent="0.25">
      <c r="P137" s="940"/>
      <c r="Q137" s="13" t="s">
        <v>62</v>
      </c>
      <c r="R137" s="518" t="str">
        <f>IF(AND(_AC1="B-757",'2023'!$G$4="FO",'2023'!$G$2=R119),'2023DATA'!$C$20,"")</f>
        <v/>
      </c>
      <c r="S137" s="518" t="str">
        <f>IF(AND(_AC1="B-757",'2023'!$G$4="FO",'2023'!$G$2=S119),'2023DATA'!$D$20,"")</f>
        <v/>
      </c>
      <c r="T137" s="518" t="str">
        <f>IF(AND(_AC1="B-757",'2023'!$G$4="FO",'2023'!$G$2=T119),'2023DATA'!$E$20,"")</f>
        <v/>
      </c>
      <c r="U137" s="518" t="str">
        <f>IF(AND(_AC1="B-757",'2023'!$G$4="FO",'2023'!$G$2=U119),'2023DATA'!$F$20,"")</f>
        <v/>
      </c>
      <c r="V137" s="518" t="str">
        <f>IF(AND(_AC1="B-757",'2023'!$G$4="FO",'2023'!$G$2=V119),'2023DATA'!$G$20,"")</f>
        <v/>
      </c>
      <c r="W137" s="518" t="str">
        <f>IF(AND(_AC1="B-757",'2023'!$G$4="FO",'2023'!$G$2=W119),'2023DATA'!$H$20,"")</f>
        <v/>
      </c>
      <c r="X137" s="518" t="str">
        <f>IF(AND(_AC1="B-757",'2023'!$G$4="FO",'2023'!$G$2=X119),'2023DATA'!$I$20,"")</f>
        <v/>
      </c>
      <c r="Y137" s="518" t="str">
        <f>IF(AND(_AC1="B-757",'2023'!$G$4="FO",'2023'!$G$2=Y119),'2023DATA'!$J$20,"")</f>
        <v/>
      </c>
      <c r="Z137" s="518" t="str">
        <f>IF(AND(_AC1="B-757",'2023'!$G$4="FO",'2023'!$G$2=Z119),'2023DATA'!$K$20,"")</f>
        <v/>
      </c>
      <c r="AA137" s="518" t="str">
        <f>IF(AND(_AC1="B-757",'2023'!$G$4="FO",'2023'!$G$2=AA119),'2023DATA'!$L$20,"")</f>
        <v/>
      </c>
      <c r="AB137" s="518" t="str">
        <f>IF(AND(_AC1="B-757",'2023'!$G$4="FO",'2023'!$G$2=AB119),'2023DATA'!$M$20,"")</f>
        <v/>
      </c>
      <c r="AC137" s="520" t="str">
        <f>IF(AND(_AC1="B-757",'2023'!$G$4="FO",'2023'!$G$2=AC119),'2023DATA'!$N$20,"")</f>
        <v/>
      </c>
      <c r="AD137" s="940"/>
      <c r="AE137" s="13" t="s">
        <v>62</v>
      </c>
      <c r="AF137" s="518" t="str">
        <f>IF(AND(_AC2="B-757",'2023'!$G$4="FO",'2023'!$G$2=AF119),'2023DATA'!$C$20,"")</f>
        <v/>
      </c>
      <c r="AG137" s="518" t="str">
        <f>IF(AND(_AC2="B-757",'2023'!$G$4="FO",'2023'!$G$2=AG119),'2023DATA'!$D$20,"")</f>
        <v/>
      </c>
      <c r="AH137" s="518" t="str">
        <f>IF(AND(_AC2="B-757",'2023'!$G$4="FO",'2023'!$G$2=AH119),'2023DATA'!$E$20,"")</f>
        <v/>
      </c>
      <c r="AI137" s="518" t="str">
        <f>IF(AND(_AC2="B-757",'2023'!$G$4="FO",'2023'!$G$2=AI119),'2023DATA'!$F$20,"")</f>
        <v/>
      </c>
      <c r="AJ137" s="518" t="str">
        <f>IF(AND(_AC2="B-757",'2023'!$G$4="FO",'2023'!$G$2=AJ119),'2023DATA'!$G$20,"")</f>
        <v/>
      </c>
      <c r="AK137" s="518" t="str">
        <f>IF(AND(_AC2="B-757",'2023'!$G$4="FO",'2023'!$G$2=AK119),'2023DATA'!$H$20,"")</f>
        <v/>
      </c>
      <c r="AL137" s="518" t="str">
        <f>IF(AND(_AC2="B-757",'2023'!$G$4="FO",'2023'!$G$2=AL119),'2023DATA'!$I$20,"")</f>
        <v/>
      </c>
      <c r="AM137" s="518" t="str">
        <f>IF(AND(_AC2="B-757",'2023'!$G$4="FO",'2023'!$G$2=AM119),'2023DATA'!$J$20,"")</f>
        <v/>
      </c>
      <c r="AN137" s="518" t="str">
        <f>IF(AND(_AC2="B-757",'2023'!$G$4="FO",'2023'!$G$2=AN119),'2023DATA'!$K$20,"")</f>
        <v/>
      </c>
      <c r="AO137" s="518" t="str">
        <f>IF(AND(_AC2="B-757",'2023'!$G$4="FO",'2023'!$G$2=AO119),'2023DATA'!$L$20,"")</f>
        <v/>
      </c>
      <c r="AP137" s="518" t="str">
        <f>IF(AND(_AC2="B-757",'2023'!$G$4="FO",'2023'!$G$2=AP119),'2023DATA'!$M$20,"")</f>
        <v/>
      </c>
      <c r="AQ137" s="520" t="str">
        <f>IF(AND(_AC2="B-757",'2023'!$G$4="FO",'2023'!$G$2=AQ119),'2023DATA'!$N$20,"")</f>
        <v/>
      </c>
      <c r="AR137" s="940"/>
      <c r="AS137" s="13" t="s">
        <v>62</v>
      </c>
      <c r="AT137" s="518" t="str">
        <f>IF(AND(_AC3="B-757",'2023'!$G$4="FO",'2023'!$G$2=AT119),'2023DATA'!$C$20,"")</f>
        <v/>
      </c>
      <c r="AU137" s="518" t="str">
        <f>IF(AND(_AC3="B-757",'2023'!$G$4="FO",'2023'!$G$2=AU119),'2023DATA'!$D$20,"")</f>
        <v/>
      </c>
      <c r="AV137" s="518" t="str">
        <f>IF(AND(_AC3="B-757",'2023'!$G$4="FO",'2023'!$G$2=AV119),'2023DATA'!$E$20,"")</f>
        <v/>
      </c>
      <c r="AW137" s="518" t="str">
        <f>IF(AND(_AC3="B-757",'2023'!$G$4="FO",'2023'!$G$2=AW119),'2023DATA'!$F$20,"")</f>
        <v/>
      </c>
      <c r="AX137" s="518" t="str">
        <f>IF(AND(_AC3="B-757",'2023'!$G$4="FO",'2023'!$G$2=AX119),'2023DATA'!$G$20,"")</f>
        <v/>
      </c>
      <c r="AY137" s="518" t="str">
        <f>IF(AND(_AC3="B-757",'2023'!$G$4="FO",'2023'!$G$2=AY119),'2023DATA'!$H$20,"")</f>
        <v/>
      </c>
      <c r="AZ137" s="518" t="str">
        <f>IF(AND(_AC3="B-757",'2023'!$G$4="FO",'2023'!$G$2=AZ119),'2023DATA'!$I$20,"")</f>
        <v/>
      </c>
      <c r="BA137" s="518" t="str">
        <f>IF(AND(_AC3="B-757",'2023'!$G$4="FO",'2023'!$G$2=BA119),'2023DATA'!$J$20,"")</f>
        <v/>
      </c>
      <c r="BB137" s="518" t="str">
        <f>IF(AND(_AC3="B-757",'2023'!$G$4="FO",'2023'!$G$2=BB119),'2023DATA'!$K$20,"")</f>
        <v/>
      </c>
      <c r="BC137" s="518" t="str">
        <f>IF(AND(_AC3="B-757",'2023'!$G$4="FO",'2023'!$G$2=BC119),'2023DATA'!$L$20,"")</f>
        <v/>
      </c>
      <c r="BD137" s="518" t="str">
        <f>IF(AND(_AC3="B-757",'2023'!$G$4="FO",'2023'!$G$2=BD119),'2023DATA'!$M$20,"")</f>
        <v/>
      </c>
      <c r="BE137" s="520" t="str">
        <f>IF(AND(_AC3="B-757",'2023'!$G$4="FO",'2023'!$G$2=BE119),'2023DATA'!$N$20,"")</f>
        <v/>
      </c>
      <c r="BF137" s="940"/>
      <c r="BG137" s="13" t="s">
        <v>62</v>
      </c>
      <c r="BH137" s="518" t="str">
        <f>IF(AND(_AC4="B-757",'2023'!$G$4="FO",'2023'!$G$2=BH119),'2023DATA'!$C$20,"")</f>
        <v/>
      </c>
      <c r="BI137" s="518" t="str">
        <f>IF(AND(_AC4="B-757",'2023'!$G$4="FO",'2023'!$G$2=BI119),'2023DATA'!$D$20,"")</f>
        <v/>
      </c>
      <c r="BJ137" s="518" t="str">
        <f>IF(AND(_AC4="B-757",'2023'!$G$4="FO",'2023'!$G$2=BJ119),'2023DATA'!$E$20,"")</f>
        <v/>
      </c>
      <c r="BK137" s="518" t="str">
        <f>IF(AND(_AC4="B-757",'2023'!$G$4="FO",'2023'!$G$2=BK119),'2023DATA'!$F$20,"")</f>
        <v/>
      </c>
      <c r="BL137" s="518" t="str">
        <f>IF(AND(_AC4="B-757",'2023'!$G$4="FO",'2023'!$G$2=BL119),'2023DATA'!$G$20,"")</f>
        <v/>
      </c>
      <c r="BM137" s="518" t="str">
        <f>IF(AND(_AC4="B-757",'2023'!$G$4="FO",'2023'!$G$2=BM119),'2023DATA'!$H$20,"")</f>
        <v/>
      </c>
      <c r="BN137" s="518" t="str">
        <f>IF(AND(_AC4="B-757",'2023'!$G$4="FO",'2023'!$G$2=BN119),'2023DATA'!$I$20,"")</f>
        <v/>
      </c>
      <c r="BO137" s="518" t="str">
        <f>IF(AND(_AC4="B-757",'2023'!$G$4="FO",'2023'!$G$2=BO119),'2023DATA'!$J$20,"")</f>
        <v/>
      </c>
      <c r="BP137" s="518" t="str">
        <f>IF(AND(_AC4="B-757",'2023'!$G$4="FO",'2023'!$G$2=BP119),'2023DATA'!$K$20,"")</f>
        <v/>
      </c>
      <c r="BQ137" s="518" t="str">
        <f>IF(AND(_AC4="B-757",'2023'!$G$4="FO",'2023'!$G$2=BQ119),'2023DATA'!$L$20,"")</f>
        <v/>
      </c>
      <c r="BR137" s="518" t="str">
        <f>IF(AND(_AC4="B-757",'2023'!$G$4="FO",'2023'!$G$2=BR119),'2023DATA'!$M$20,"")</f>
        <v/>
      </c>
      <c r="BS137" s="520" t="str">
        <f>IF(AND(_AC4="B-757",'2023'!$G$4="FO",'2023'!$G$2=BS119),'2023DATA'!$N$20,"")</f>
        <v/>
      </c>
      <c r="BT137" s="940"/>
      <c r="BU137" s="13" t="s">
        <v>62</v>
      </c>
      <c r="BV137" s="518" t="str">
        <f>IF(AND(_AC5="B-757",'2023'!$G$4="FO",'2023'!$G$2=BV119),'2023DATA'!$C$20,"")</f>
        <v/>
      </c>
      <c r="BW137" s="518" t="str">
        <f>IF(AND(_AC5="B-757",'2023'!$G$4="FO",'2023'!$G$2=BW119),'2023DATA'!$D$20,"")</f>
        <v/>
      </c>
      <c r="BX137" s="518" t="str">
        <f>IF(AND(_AC5="B-757",'2023'!$G$4="FO",'2023'!$G$2=BX119),'2023DATA'!$E$20,"")</f>
        <v/>
      </c>
      <c r="BY137" s="518" t="str">
        <f>IF(AND(_AC5="B-757",'2023'!$G$4="FO",'2023'!$G$2=BY119),'2023DATA'!$F$20,"")</f>
        <v/>
      </c>
      <c r="BZ137" s="518" t="str">
        <f>IF(AND(_AC5="B-757",'2023'!$G$4="FO",'2023'!$G$2=BZ119),'2023DATA'!$G$20,"")</f>
        <v/>
      </c>
      <c r="CA137" s="518" t="str">
        <f>IF(AND(_AC5="B-757",'2023'!$G$4="FO",'2023'!$G$2=CA119),'2023DATA'!$H$20,"")</f>
        <v/>
      </c>
      <c r="CB137" s="518" t="str">
        <f>IF(AND(_AC5="B-757",'2023'!$G$4="FO",'2023'!$G$2=CB119),'2023DATA'!$I$20,"")</f>
        <v/>
      </c>
      <c r="CC137" s="518" t="str">
        <f>IF(AND(_AC5="B-757",'2023'!$G$4="FO",'2023'!$G$2=CC119),'2023DATA'!$J$20,"")</f>
        <v/>
      </c>
      <c r="CD137" s="518" t="str">
        <f>IF(AND(_AC5="B-757",'2023'!$G$4="FO",'2023'!$G$2=CD119),'2023DATA'!$K$20,"")</f>
        <v/>
      </c>
      <c r="CE137" s="518" t="str">
        <f>IF(AND(_AC5="B-757",'2023'!$G$4="FO",'2023'!$G$2=CE119),'2023DATA'!$L$20,"")</f>
        <v/>
      </c>
      <c r="CF137" s="518" t="str">
        <f>IF(AND(_AC5="B-757",'2023'!$G$4="FO",'2023'!$G$2=CF119),'2023DATA'!$M$20,"")</f>
        <v/>
      </c>
      <c r="CG137" s="520" t="str">
        <f>IF(AND(_AC5="B-757",'2023'!$G$4="FO",'2023'!$G$2=CG119),'2023DATA'!$N$20,"")</f>
        <v/>
      </c>
      <c r="CH137" s="940"/>
      <c r="CI137" s="13" t="s">
        <v>62</v>
      </c>
      <c r="CJ137" s="518" t="str">
        <f>IF(AND(_AC6="B-757",'2023'!$G$4="FO",'2023'!$G$2=CJ119),'2023DATA'!$C$20,"")</f>
        <v/>
      </c>
      <c r="CK137" s="518" t="str">
        <f>IF(AND(_AC6="B-757",'2023'!$G$4="FO",'2023'!$G$2=CK119),'2023DATA'!$D$20,"")</f>
        <v/>
      </c>
      <c r="CL137" s="518" t="str">
        <f>IF(AND(_AC6="B-757",'2023'!$G$4="FO",'2023'!$G$2=CL119),'2023DATA'!$E$20,"")</f>
        <v/>
      </c>
      <c r="CM137" s="518" t="str">
        <f>IF(AND(_AC6="B-757",'2023'!$G$4="FO",'2023'!$G$2=CM119),'2023DATA'!$F$20,"")</f>
        <v/>
      </c>
      <c r="CN137" s="518" t="str">
        <f>IF(AND(_AC6="B-757",'2023'!$G$4="FO",'2023'!$G$2=CN119),'2023DATA'!$G$20,"")</f>
        <v/>
      </c>
      <c r="CO137" s="518" t="str">
        <f>IF(AND(_AC6="B-757",'2023'!$G$4="FO",'2023'!$G$2=CO119),'2023DATA'!$H$20,"")</f>
        <v/>
      </c>
      <c r="CP137" s="518" t="str">
        <f>IF(AND(_AC6="B-757",'2023'!$G$4="FO",'2023'!$G$2=CP119),'2023DATA'!$I$20,"")</f>
        <v/>
      </c>
      <c r="CQ137" s="518" t="str">
        <f>IF(AND(_AC6="B-757",'2023'!$G$4="FO",'2023'!$G$2=CQ119),'2023DATA'!$J$20,"")</f>
        <v/>
      </c>
      <c r="CR137" s="518" t="str">
        <f>IF(AND(_AC6="B-757",'2023'!$G$4="FO",'2023'!$G$2=CR119),'2023DATA'!$K$20,"")</f>
        <v/>
      </c>
      <c r="CS137" s="518" t="str">
        <f>IF(AND(_AC6="B-757",'2023'!$G$4="FO",'2023'!$G$2=CS119),'2023DATA'!$L$20,"")</f>
        <v/>
      </c>
      <c r="CT137" s="518" t="str">
        <f>IF(AND(_AC6="B-757",'2023'!$G$4="FO",'2023'!$G$2=CT119),'2023DATA'!$M$20,"")</f>
        <v/>
      </c>
      <c r="CU137" s="520" t="str">
        <f>IF(AND(_AC6="B-757",'2023'!$G$4="FO",'2023'!$G$2=CU119),'2023DATA'!$N$20,"")</f>
        <v/>
      </c>
    </row>
    <row r="138" spans="16:99" x14ac:dyDescent="0.25">
      <c r="P138" s="940" t="s">
        <v>47</v>
      </c>
      <c r="Q138" s="13" t="s">
        <v>61</v>
      </c>
      <c r="R138" s="518" t="str">
        <f>IF(AND(_AC1="B-737-900",'2023'!$G$4="CA",'2023'!$G$2=R119),'2023DATA'!$C$21,"")</f>
        <v/>
      </c>
      <c r="S138" s="518" t="str">
        <f>IF(AND(_AC1="B-737-900",'2023'!$G$4="CA",'2023'!$G$2=S119),'2023DATA'!$D$21,"")</f>
        <v/>
      </c>
      <c r="T138" s="518" t="str">
        <f>IF(AND(_AC1="B-737-900",'2023'!$G$4="CA",'2023'!$G$2=T119),'2023DATA'!$E$21,"")</f>
        <v/>
      </c>
      <c r="U138" s="518" t="str">
        <f>IF(AND(_AC1="B-737-900",'2023'!$G$4="CA",'2023'!$G$2=U119),'2023DATA'!$F$21,"")</f>
        <v/>
      </c>
      <c r="V138" s="518" t="str">
        <f>IF(AND(_AC1="B-737-900",'2023'!$G$4="CA",'2023'!$G$2=V119),'2023DATA'!$G$21,"")</f>
        <v/>
      </c>
      <c r="W138" s="518" t="str">
        <f>IF(AND(_AC1="B-737-900",'2023'!$G$4="CA",'2023'!$G$2=W119),'2023DATA'!$H$21,"")</f>
        <v/>
      </c>
      <c r="X138" s="518" t="str">
        <f>IF(AND(_AC1="B-737-900",'2023'!$G$4="CA",'2023'!$G$2=X119),'2023DATA'!$I$21,"")</f>
        <v/>
      </c>
      <c r="Y138" s="518" t="str">
        <f>IF(AND(_AC1="B-737-900",'2023'!$G$4="CA",'2023'!$G$2=Y119),'2023DATA'!$J$21,"")</f>
        <v/>
      </c>
      <c r="Z138" s="518" t="str">
        <f>IF(AND(_AC1="B-737-900",'2023'!$G$4="CA",'2023'!$G$2=Z119),'2023DATA'!$K$21,"")</f>
        <v/>
      </c>
      <c r="AA138" s="518" t="str">
        <f>IF(AND(_AC1="B-737-900",'2023'!$G$4="CA",'2023'!$G$2=AA119),'2023DATA'!$L$21,"")</f>
        <v/>
      </c>
      <c r="AB138" s="518" t="str">
        <f>IF(AND(_AC1="B-737-900",'2023'!$G$4="CA",'2023'!$G$2=AB119),'2023DATA'!$M$21,"")</f>
        <v/>
      </c>
      <c r="AC138" s="520" t="str">
        <f>IF(AND(_AC1="B-737-900",'2023'!$G$4="CA",'2023'!$G$2=AC119),'2023DATA'!$N$21,"")</f>
        <v/>
      </c>
      <c r="AD138" s="940" t="s">
        <v>47</v>
      </c>
      <c r="AE138" s="13" t="s">
        <v>61</v>
      </c>
      <c r="AF138" s="518" t="str">
        <f>IF(AND(_AC2="B-737-900",'2023'!$G$4="CA",'2023'!$G$2=AF119),'2023DATA'!$C$21,"")</f>
        <v/>
      </c>
      <c r="AG138" s="518" t="str">
        <f>IF(AND(_AC2="B-737-900",'2023'!$G$4="CA",'2023'!$G$2=AG119),'2023DATA'!$D$21,"")</f>
        <v/>
      </c>
      <c r="AH138" s="518" t="str">
        <f>IF(AND(_AC2="B-737-900",'2023'!$G$4="CA",'2023'!$G$2=AH119),'2023DATA'!$E$21,"")</f>
        <v/>
      </c>
      <c r="AI138" s="518" t="str">
        <f>IF(AND(_AC2="B-737-900",'2023'!$G$4="CA",'2023'!$G$2=AI119),'2023DATA'!$F$21,"")</f>
        <v/>
      </c>
      <c r="AJ138" s="518" t="str">
        <f>IF(AND(_AC2="B-737-900",'2023'!$G$4="CA",'2023'!$G$2=AJ119),'2023DATA'!$G$21,"")</f>
        <v/>
      </c>
      <c r="AK138" s="518" t="str">
        <f>IF(AND(_AC2="B-737-900",'2023'!$G$4="CA",'2023'!$G$2=AK119),'2023DATA'!$H$21,"")</f>
        <v/>
      </c>
      <c r="AL138" s="518" t="str">
        <f>IF(AND(_AC2="B-737-900",'2023'!$G$4="CA",'2023'!$G$2=AL119),'2023DATA'!$I$21,"")</f>
        <v/>
      </c>
      <c r="AM138" s="518" t="str">
        <f>IF(AND(_AC2="B-737-900",'2023'!$G$4="CA",'2023'!$G$2=AM119),'2023DATA'!$J$21,"")</f>
        <v/>
      </c>
      <c r="AN138" s="518" t="str">
        <f>IF(AND(_AC2="B-737-900",'2023'!$G$4="CA",'2023'!$G$2=AN119),'2023DATA'!$K$21,"")</f>
        <v/>
      </c>
      <c r="AO138" s="518" t="str">
        <f>IF(AND(_AC2="B-737-900",'2023'!$G$4="CA",'2023'!$G$2=AO119),'2023DATA'!$L$21,"")</f>
        <v/>
      </c>
      <c r="AP138" s="518" t="str">
        <f>IF(AND(_AC2="B-737-900",'2023'!$G$4="CA",'2023'!$G$2=AP119),'2023DATA'!$M$21,"")</f>
        <v/>
      </c>
      <c r="AQ138" s="520" t="str">
        <f>IF(AND(_AC2="B-737-900",'2023'!$G$4="CA",'2023'!$G$2=AQ119),'2023DATA'!$N$21,"")</f>
        <v/>
      </c>
      <c r="AR138" s="940" t="s">
        <v>47</v>
      </c>
      <c r="AS138" s="13" t="s">
        <v>61</v>
      </c>
      <c r="AT138" s="518" t="str">
        <f>IF(AND(_AC3="B-737-900",'2023'!$G$4="CA",'2023'!$G$2=AT119),'2023DATA'!$C$21,"")</f>
        <v/>
      </c>
      <c r="AU138" s="518" t="str">
        <f>IF(AND(_AC3="B-737-900",'2023'!$G$4="CA",'2023'!$G$2=AU119),'2023DATA'!$D$21,"")</f>
        <v/>
      </c>
      <c r="AV138" s="518" t="str">
        <f>IF(AND(_AC3="B-737-900",'2023'!$G$4="CA",'2023'!$G$2=AV119),'2023DATA'!$E$21,"")</f>
        <v/>
      </c>
      <c r="AW138" s="518" t="str">
        <f>IF(AND(_AC3="B-737-900",'2023'!$G$4="CA",'2023'!$G$2=AW119),'2023DATA'!$F$21,"")</f>
        <v/>
      </c>
      <c r="AX138" s="518" t="str">
        <f>IF(AND(_AC3="B-737-900",'2023'!$G$4="CA",'2023'!$G$2=AX119),'2023DATA'!$G$21,"")</f>
        <v/>
      </c>
      <c r="AY138" s="518" t="str">
        <f>IF(AND(_AC3="B-737-900",'2023'!$G$4="CA",'2023'!$G$2=AY119),'2023DATA'!$H$21,"")</f>
        <v/>
      </c>
      <c r="AZ138" s="518" t="str">
        <f>IF(AND(_AC3="B-737-900",'2023'!$G$4="CA",'2023'!$G$2=AZ119),'2023DATA'!$I$21,"")</f>
        <v/>
      </c>
      <c r="BA138" s="518" t="str">
        <f>IF(AND(_AC3="B-737-900",'2023'!$G$4="CA",'2023'!$G$2=BA119),'2023DATA'!$J$21,"")</f>
        <v/>
      </c>
      <c r="BB138" s="518" t="str">
        <f>IF(AND(_AC3="B-737-900",'2023'!$G$4="CA",'2023'!$G$2=BB119),'2023DATA'!$K$21,"")</f>
        <v/>
      </c>
      <c r="BC138" s="518" t="str">
        <f>IF(AND(_AC3="B-737-900",'2023'!$G$4="CA",'2023'!$G$2=BC119),'2023DATA'!$L$21,"")</f>
        <v/>
      </c>
      <c r="BD138" s="518" t="str">
        <f>IF(AND(_AC3="B-737-900",'2023'!$G$4="CA",'2023'!$G$2=BD119),'2023DATA'!$M$21,"")</f>
        <v/>
      </c>
      <c r="BE138" s="520" t="str">
        <f>IF(AND(_AC3="B-737-900",'2023'!$G$4="CA",'2023'!$G$2=BE119),'2023DATA'!$N$21,"")</f>
        <v/>
      </c>
      <c r="BF138" s="940" t="s">
        <v>47</v>
      </c>
      <c r="BG138" s="13" t="s">
        <v>61</v>
      </c>
      <c r="BH138" s="518" t="str">
        <f>IF(AND(_AC4="B-737-900",'2023'!$G$4="CA",'2023'!$G$2=BH119),'2023DATA'!$C$21,"")</f>
        <v/>
      </c>
      <c r="BI138" s="518" t="str">
        <f>IF(AND(_AC4="B-737-900",'2023'!$G$4="CA",'2023'!$G$2=BI119),'2023DATA'!$D$21,"")</f>
        <v/>
      </c>
      <c r="BJ138" s="518" t="str">
        <f>IF(AND(_AC4="B-737-900",'2023'!$G$4="CA",'2023'!$G$2=BJ119),'2023DATA'!$E$21,"")</f>
        <v/>
      </c>
      <c r="BK138" s="518" t="str">
        <f>IF(AND(_AC4="B-737-900",'2023'!$G$4="CA",'2023'!$G$2=BK119),'2023DATA'!$F$21,"")</f>
        <v/>
      </c>
      <c r="BL138" s="518" t="str">
        <f>IF(AND(_AC4="B-737-900",'2023'!$G$4="CA",'2023'!$G$2=BL119),'2023DATA'!$G$21,"")</f>
        <v/>
      </c>
      <c r="BM138" s="518" t="str">
        <f>IF(AND(_AC4="B-737-900",'2023'!$G$4="CA",'2023'!$G$2=BM119),'2023DATA'!$H$21,"")</f>
        <v/>
      </c>
      <c r="BN138" s="518" t="str">
        <f>IF(AND(_AC4="B-737-900",'2023'!$G$4="CA",'2023'!$G$2=BN119),'2023DATA'!$I$21,"")</f>
        <v/>
      </c>
      <c r="BO138" s="518" t="str">
        <f>IF(AND(_AC4="B-737-900",'2023'!$G$4="CA",'2023'!$G$2=BO119),'2023DATA'!$J$21,"")</f>
        <v/>
      </c>
      <c r="BP138" s="518" t="str">
        <f>IF(AND(_AC4="B-737-900",'2023'!$G$4="CA",'2023'!$G$2=BP119),'2023DATA'!$K$21,"")</f>
        <v/>
      </c>
      <c r="BQ138" s="518" t="str">
        <f>IF(AND(_AC4="B-737-900",'2023'!$G$4="CA",'2023'!$G$2=BQ119),'2023DATA'!$L$21,"")</f>
        <v/>
      </c>
      <c r="BR138" s="518" t="str">
        <f>IF(AND(_AC4="B-737-900",'2023'!$G$4="CA",'2023'!$G$2=BR119),'2023DATA'!$M$21,"")</f>
        <v/>
      </c>
      <c r="BS138" s="520" t="str">
        <f>IF(AND(_AC4="B-737-900",'2023'!$G$4="CA",'2023'!$G$2=BS119),'2023DATA'!$N$21,"")</f>
        <v/>
      </c>
      <c r="BT138" s="940" t="s">
        <v>47</v>
      </c>
      <c r="BU138" s="13" t="s">
        <v>61</v>
      </c>
      <c r="BV138" s="518" t="str">
        <f>IF(AND(_AC5="B-737-900",'2023'!$G$4="CA",'2023'!$G$2=BV119),'2023DATA'!$C$21,"")</f>
        <v/>
      </c>
      <c r="BW138" s="518" t="str">
        <f>IF(AND(_AC5="B-737-900",'2023'!$G$4="CA",'2023'!$G$2=BW119),'2023DATA'!$D$21,"")</f>
        <v/>
      </c>
      <c r="BX138" s="518" t="str">
        <f>IF(AND(_AC5="B-737-900",'2023'!$G$4="CA",'2023'!$G$2=BX119),'2023DATA'!$E$21,"")</f>
        <v/>
      </c>
      <c r="BY138" s="518" t="str">
        <f>IF(AND(_AC5="B-737-900",'2023'!$G$4="CA",'2023'!$G$2=BY119),'2023DATA'!$F$21,"")</f>
        <v/>
      </c>
      <c r="BZ138" s="518" t="str">
        <f>IF(AND(_AC5="B-737-900",'2023'!$G$4="CA",'2023'!$G$2=BZ119),'2023DATA'!$G$21,"")</f>
        <v/>
      </c>
      <c r="CA138" s="518" t="str">
        <f>IF(AND(_AC5="B-737-900",'2023'!$G$4="CA",'2023'!$G$2=CA119),'2023DATA'!$H$21,"")</f>
        <v/>
      </c>
      <c r="CB138" s="518" t="str">
        <f>IF(AND(_AC5="B-737-900",'2023'!$G$4="CA",'2023'!$G$2=CB119),'2023DATA'!$I$21,"")</f>
        <v/>
      </c>
      <c r="CC138" s="518" t="str">
        <f>IF(AND(_AC5="B-737-900",'2023'!$G$4="CA",'2023'!$G$2=CC119),'2023DATA'!$J$21,"")</f>
        <v/>
      </c>
      <c r="CD138" s="518" t="str">
        <f>IF(AND(_AC5="B-737-900",'2023'!$G$4="CA",'2023'!$G$2=CD119),'2023DATA'!$K$21,"")</f>
        <v/>
      </c>
      <c r="CE138" s="518" t="str">
        <f>IF(AND(_AC5="B-737-900",'2023'!$G$4="CA",'2023'!$G$2=CE119),'2023DATA'!$L$21,"")</f>
        <v/>
      </c>
      <c r="CF138" s="518" t="str">
        <f>IF(AND(_AC5="B-737-900",'2023'!$G$4="CA",'2023'!$G$2=CF119),'2023DATA'!$M$21,"")</f>
        <v/>
      </c>
      <c r="CG138" s="520" t="str">
        <f>IF(AND(_AC5="B-737-900",'2023'!$G$4="CA",'2023'!$G$2=CG119),'2023DATA'!$N$21,"")</f>
        <v/>
      </c>
      <c r="CH138" s="940" t="s">
        <v>47</v>
      </c>
      <c r="CI138" s="13" t="s">
        <v>61</v>
      </c>
      <c r="CJ138" s="518" t="str">
        <f>IF(AND(_AC6="B-737-900",'2023'!$G$4="CA",'2023'!$G$2=CJ119),'2023DATA'!$C$21,"")</f>
        <v/>
      </c>
      <c r="CK138" s="518" t="str">
        <f>IF(AND(_AC6="B-737-900",'2023'!$G$4="CA",'2023'!$G$2=CK119),'2023DATA'!$D$21,"")</f>
        <v/>
      </c>
      <c r="CL138" s="518" t="str">
        <f>IF(AND(_AC6="B-737-900",'2023'!$G$4="CA",'2023'!$G$2=CL119),'2023DATA'!$E$21,"")</f>
        <v/>
      </c>
      <c r="CM138" s="518" t="str">
        <f>IF(AND(_AC6="B-737-900",'2023'!$G$4="CA",'2023'!$G$2=CM119),'2023DATA'!$F$21,"")</f>
        <v/>
      </c>
      <c r="CN138" s="518" t="str">
        <f>IF(AND(_AC6="B-737-900",'2023'!$G$4="CA",'2023'!$G$2=CN119),'2023DATA'!$G$21,"")</f>
        <v/>
      </c>
      <c r="CO138" s="518" t="str">
        <f>IF(AND(_AC6="B-737-900",'2023'!$G$4="CA",'2023'!$G$2=CO119),'2023DATA'!$H$21,"")</f>
        <v/>
      </c>
      <c r="CP138" s="518" t="str">
        <f>IF(AND(_AC6="B-737-900",'2023'!$G$4="CA",'2023'!$G$2=CP119),'2023DATA'!$I$21,"")</f>
        <v/>
      </c>
      <c r="CQ138" s="518" t="str">
        <f>IF(AND(_AC6="B-737-900",'2023'!$G$4="CA",'2023'!$G$2=CQ119),'2023DATA'!$J$21,"")</f>
        <v/>
      </c>
      <c r="CR138" s="518" t="str">
        <f>IF(AND(_AC6="B-737-900",'2023'!$G$4="CA",'2023'!$G$2=CR119),'2023DATA'!$K$21,"")</f>
        <v/>
      </c>
      <c r="CS138" s="518" t="str">
        <f>IF(AND(_AC6="B-737-900",'2023'!$G$4="CA",'2023'!$G$2=CS119),'2023DATA'!$L$21,"")</f>
        <v/>
      </c>
      <c r="CT138" s="518" t="str">
        <f>IF(AND(_AC6="B-737-900",'2023'!$G$4="CA",'2023'!$G$2=CT119),'2023DATA'!$M$21,"")</f>
        <v/>
      </c>
      <c r="CU138" s="520" t="str">
        <f>IF(AND(_AC6="B-737-900",'2023'!$G$4="CA",'2023'!$G$2=CU119),'2023DATA'!$N$21,"")</f>
        <v/>
      </c>
    </row>
    <row r="139" spans="16:99" x14ac:dyDescent="0.25">
      <c r="P139" s="940"/>
      <c r="Q139" s="13" t="s">
        <v>62</v>
      </c>
      <c r="R139" s="518" t="str">
        <f>IF(AND(_AC1="B-737-900",'2023'!$G$4="FO",'2023'!$G$2=R119),'2023DATA'!$C$22,"")</f>
        <v/>
      </c>
      <c r="S139" s="518" t="str">
        <f>IF(AND(_AC1="B-737-900",'2023'!$G$4="FO",'2023'!$G$2=S119),'2023DATA'!$D$22,"")</f>
        <v/>
      </c>
      <c r="T139" s="518" t="str">
        <f>IF(AND(_AC1="B-737-900",'2023'!$G$4="FO",'2023'!$G$2=T119),'2023DATA'!$E$22,"")</f>
        <v/>
      </c>
      <c r="U139" s="518" t="str">
        <f>IF(AND(_AC1="B-737-900",'2023'!$G$4="FO",'2023'!$G$2=U119),'2023DATA'!$F$22,"")</f>
        <v/>
      </c>
      <c r="V139" s="518" t="str">
        <f>IF(AND(_AC1="B-737-900",'2023'!$G$4="FO",'2023'!$G$2=V119),'2023DATA'!$G$22,"")</f>
        <v/>
      </c>
      <c r="W139" s="518" t="str">
        <f>IF(AND(_AC1="B-737-900",'2023'!$G$4="FO",'2023'!$G$2=W119),'2023DATA'!$H$22,"")</f>
        <v/>
      </c>
      <c r="X139" s="518" t="str">
        <f>IF(AND(_AC1="B-737-900",'2023'!$G$4="FO",'2023'!$G$2=X119),'2023DATA'!$I$22,"")</f>
        <v/>
      </c>
      <c r="Y139" s="518" t="str">
        <f>IF(AND(_AC1="B-737-900",'2023'!$G$4="FO",'2023'!$G$2=Y119),'2023DATA'!$J$22,"")</f>
        <v/>
      </c>
      <c r="Z139" s="518" t="str">
        <f>IF(AND(_AC1="B-737-900",'2023'!$G$4="FO",'2023'!$G$2=Z119),'2023DATA'!$K$22,"")</f>
        <v/>
      </c>
      <c r="AA139" s="518" t="str">
        <f>IF(AND(_AC1="B-737-900",'2023'!$G$4="FO",'2023'!$G$2=AA119),'2023DATA'!$L$22,"")</f>
        <v/>
      </c>
      <c r="AB139" s="518" t="str">
        <f>IF(AND(_AC1="B-737-900",'2023'!$G$4="FO",'2023'!$G$2=AB119),'2023DATA'!$M$22,"")</f>
        <v/>
      </c>
      <c r="AC139" s="520" t="str">
        <f>IF(AND(_AC1="B-737-900",'2023'!$G$4="FO",'2023'!$G$2=AC119),'2023DATA'!$N$22,"")</f>
        <v/>
      </c>
      <c r="AD139" s="940"/>
      <c r="AE139" s="13" t="s">
        <v>62</v>
      </c>
      <c r="AF139" s="518" t="str">
        <f>IF(AND(_AC2="B-737-900",'2023'!$G$4="FO",'2023'!$G$2=AF119),'2023DATA'!$C$22,"")</f>
        <v/>
      </c>
      <c r="AG139" s="518" t="str">
        <f>IF(AND(_AC2="B-737-900",'2023'!$G$4="FO",'2023'!$G$2=AG119),'2023DATA'!$D$22,"")</f>
        <v/>
      </c>
      <c r="AH139" s="518" t="str">
        <f>IF(AND(_AC2="B-737-900",'2023'!$G$4="FO",'2023'!$G$2=AH119),'2023DATA'!$E$22,"")</f>
        <v/>
      </c>
      <c r="AI139" s="518" t="str">
        <f>IF(AND(_AC2="B-737-900",'2023'!$G$4="FO",'2023'!$G$2=AI119),'2023DATA'!$F$22,"")</f>
        <v/>
      </c>
      <c r="AJ139" s="518" t="str">
        <f>IF(AND(_AC2="B-737-900",'2023'!$G$4="FO",'2023'!$G$2=AJ119),'2023DATA'!$G$22,"")</f>
        <v/>
      </c>
      <c r="AK139" s="518" t="str">
        <f>IF(AND(_AC2="B-737-900",'2023'!$G$4="FO",'2023'!$G$2=AK119),'2023DATA'!$H$22,"")</f>
        <v/>
      </c>
      <c r="AL139" s="518" t="str">
        <f>IF(AND(_AC2="B-737-900",'2023'!$G$4="FO",'2023'!$G$2=AL119),'2023DATA'!$I$22,"")</f>
        <v/>
      </c>
      <c r="AM139" s="518" t="str">
        <f>IF(AND(_AC2="B-737-900",'2023'!$G$4="FO",'2023'!$G$2=AM119),'2023DATA'!$J$22,"")</f>
        <v/>
      </c>
      <c r="AN139" s="518" t="str">
        <f>IF(AND(_AC2="B-737-900",'2023'!$G$4="FO",'2023'!$G$2=AN119),'2023DATA'!$K$22,"")</f>
        <v/>
      </c>
      <c r="AO139" s="518" t="str">
        <f>IF(AND(_AC2="B-737-900",'2023'!$G$4="FO",'2023'!$G$2=AO119),'2023DATA'!$L$22,"")</f>
        <v/>
      </c>
      <c r="AP139" s="518" t="str">
        <f>IF(AND(_AC2="B-737-900",'2023'!$G$4="FO",'2023'!$G$2=AP119),'2023DATA'!$M$22,"")</f>
        <v/>
      </c>
      <c r="AQ139" s="520" t="str">
        <f>IF(AND(_AC2="B-737-900",'2023'!$G$4="FO",'2023'!$G$2=AQ119),'2023DATA'!$N$22,"")</f>
        <v/>
      </c>
      <c r="AR139" s="940"/>
      <c r="AS139" s="13" t="s">
        <v>62</v>
      </c>
      <c r="AT139" s="518" t="str">
        <f>IF(AND(_AC3="B-737-900",'2023'!$G$4="FO",'2023'!$G$2=AT119),'2023DATA'!$C$22,"")</f>
        <v/>
      </c>
      <c r="AU139" s="518" t="str">
        <f>IF(AND(_AC3="B-737-900",'2023'!$G$4="FO",'2023'!$G$2=AU119),'2023DATA'!$D$22,"")</f>
        <v/>
      </c>
      <c r="AV139" s="518" t="str">
        <f>IF(AND(_AC3="B-737-900",'2023'!$G$4="FO",'2023'!$G$2=AV119),'2023DATA'!$E$22,"")</f>
        <v/>
      </c>
      <c r="AW139" s="518" t="str">
        <f>IF(AND(_AC3="B-737-900",'2023'!$G$4="FO",'2023'!$G$2=AW119),'2023DATA'!$F$22,"")</f>
        <v/>
      </c>
      <c r="AX139" s="518" t="str">
        <f>IF(AND(_AC3="B-737-900",'2023'!$G$4="FO",'2023'!$G$2=AX119),'2023DATA'!$G$22,"")</f>
        <v/>
      </c>
      <c r="AY139" s="518" t="str">
        <f>IF(AND(_AC3="B-737-900",'2023'!$G$4="FO",'2023'!$G$2=AY119),'2023DATA'!$H$22,"")</f>
        <v/>
      </c>
      <c r="AZ139" s="518" t="str">
        <f>IF(AND(_AC3="B-737-900",'2023'!$G$4="FO",'2023'!$G$2=AZ119),'2023DATA'!$I$22,"")</f>
        <v/>
      </c>
      <c r="BA139" s="518" t="str">
        <f>IF(AND(_AC3="B-737-900",'2023'!$G$4="FO",'2023'!$G$2=BA119),'2023DATA'!$J$22,"")</f>
        <v/>
      </c>
      <c r="BB139" s="518" t="str">
        <f>IF(AND(_AC3="B-737-900",'2023'!$G$4="FO",'2023'!$G$2=BB119),'2023DATA'!$K$22,"")</f>
        <v/>
      </c>
      <c r="BC139" s="518" t="str">
        <f>IF(AND(_AC3="B-737-900",'2023'!$G$4="FO",'2023'!$G$2=BC119),'2023DATA'!$L$22,"")</f>
        <v/>
      </c>
      <c r="BD139" s="518" t="str">
        <f>IF(AND(_AC3="B-737-900",'2023'!$G$4="FO",'2023'!$G$2=BD119),'2023DATA'!$M$22,"")</f>
        <v/>
      </c>
      <c r="BE139" s="520" t="str">
        <f>IF(AND(_AC3="B-737-900",'2023'!$G$4="FO",'2023'!$G$2=BE119),'2023DATA'!$N$22,"")</f>
        <v/>
      </c>
      <c r="BF139" s="940"/>
      <c r="BG139" s="13" t="s">
        <v>62</v>
      </c>
      <c r="BH139" s="518" t="str">
        <f>IF(AND(_AC4="B-737-900",'2023'!$G$4="FO",'2023'!$G$2=BH119),'2023DATA'!$C$22,"")</f>
        <v/>
      </c>
      <c r="BI139" s="518" t="str">
        <f>IF(AND(_AC4="B-737-900",'2023'!$G$4="FO",'2023'!$G$2=BI119),'2023DATA'!$D$22,"")</f>
        <v/>
      </c>
      <c r="BJ139" s="518" t="str">
        <f>IF(AND(_AC4="B-737-900",'2023'!$G$4="FO",'2023'!$G$2=BJ119),'2023DATA'!$E$22,"")</f>
        <v/>
      </c>
      <c r="BK139" s="518" t="str">
        <f>IF(AND(_AC4="B-737-900",'2023'!$G$4="FO",'2023'!$G$2=BK119),'2023DATA'!$F$22,"")</f>
        <v/>
      </c>
      <c r="BL139" s="518" t="str">
        <f>IF(AND(_AC4="B-737-900",'2023'!$G$4="FO",'2023'!$G$2=BL119),'2023DATA'!$G$22,"")</f>
        <v/>
      </c>
      <c r="BM139" s="518" t="str">
        <f>IF(AND(_AC4="B-737-900",'2023'!$G$4="FO",'2023'!$G$2=BM119),'2023DATA'!$H$22,"")</f>
        <v/>
      </c>
      <c r="BN139" s="518" t="str">
        <f>IF(AND(_AC4="B-737-900",'2023'!$G$4="FO",'2023'!$G$2=BN119),'2023DATA'!$I$22,"")</f>
        <v/>
      </c>
      <c r="BO139" s="518" t="str">
        <f>IF(AND(_AC4="B-737-900",'2023'!$G$4="FO",'2023'!$G$2=BO119),'2023DATA'!$J$22,"")</f>
        <v/>
      </c>
      <c r="BP139" s="518" t="str">
        <f>IF(AND(_AC4="B-737-900",'2023'!$G$4="FO",'2023'!$G$2=BP119),'2023DATA'!$K$22,"")</f>
        <v/>
      </c>
      <c r="BQ139" s="518" t="str">
        <f>IF(AND(_AC4="B-737-900",'2023'!$G$4="FO",'2023'!$G$2=BQ119),'2023DATA'!$L$22,"")</f>
        <v/>
      </c>
      <c r="BR139" s="518" t="str">
        <f>IF(AND(_AC4="B-737-900",'2023'!$G$4="FO",'2023'!$G$2=BR119),'2023DATA'!$M$22,"")</f>
        <v/>
      </c>
      <c r="BS139" s="520" t="str">
        <f>IF(AND(_AC4="B-737-900",'2023'!$G$4="FO",'2023'!$G$2=BS119),'2023DATA'!$N$22,"")</f>
        <v/>
      </c>
      <c r="BT139" s="940"/>
      <c r="BU139" s="13" t="s">
        <v>62</v>
      </c>
      <c r="BV139" s="518" t="str">
        <f>IF(AND(_AC5="B-737-900",'2023'!$G$4="FO",'2023'!$G$2=BV119),'2023DATA'!$C$22,"")</f>
        <v/>
      </c>
      <c r="BW139" s="518" t="str">
        <f>IF(AND(_AC5="B-737-900",'2023'!$G$4="FO",'2023'!$G$2=BW119),'2023DATA'!$D$22,"")</f>
        <v/>
      </c>
      <c r="BX139" s="518" t="str">
        <f>IF(AND(_AC5="B-737-900",'2023'!$G$4="FO",'2023'!$G$2=BX119),'2023DATA'!$E$22,"")</f>
        <v/>
      </c>
      <c r="BY139" s="518" t="str">
        <f>IF(AND(_AC5="B-737-900",'2023'!$G$4="FO",'2023'!$G$2=BY119),'2023DATA'!$F$22,"")</f>
        <v/>
      </c>
      <c r="BZ139" s="518" t="str">
        <f>IF(AND(_AC5="B-737-900",'2023'!$G$4="FO",'2023'!$G$2=BZ119),'2023DATA'!$G$22,"")</f>
        <v/>
      </c>
      <c r="CA139" s="518" t="str">
        <f>IF(AND(_AC5="B-737-900",'2023'!$G$4="FO",'2023'!$G$2=CA119),'2023DATA'!$H$22,"")</f>
        <v/>
      </c>
      <c r="CB139" s="518" t="str">
        <f>IF(AND(_AC5="B-737-900",'2023'!$G$4="FO",'2023'!$G$2=CB119),'2023DATA'!$I$22,"")</f>
        <v/>
      </c>
      <c r="CC139" s="518" t="str">
        <f>IF(AND(_AC5="B-737-900",'2023'!$G$4="FO",'2023'!$G$2=CC119),'2023DATA'!$J$22,"")</f>
        <v/>
      </c>
      <c r="CD139" s="518" t="str">
        <f>IF(AND(_AC5="B-737-900",'2023'!$G$4="FO",'2023'!$G$2=CD119),'2023DATA'!$K$22,"")</f>
        <v/>
      </c>
      <c r="CE139" s="518" t="str">
        <f>IF(AND(_AC5="B-737-900",'2023'!$G$4="FO",'2023'!$G$2=CE119),'2023DATA'!$L$22,"")</f>
        <v/>
      </c>
      <c r="CF139" s="518" t="str">
        <f>IF(AND(_AC5="B-737-900",'2023'!$G$4="FO",'2023'!$G$2=CF119),'2023DATA'!$M$22,"")</f>
        <v/>
      </c>
      <c r="CG139" s="520" t="str">
        <f>IF(AND(_AC5="B-737-900",'2023'!$G$4="FO",'2023'!$G$2=CG119),'2023DATA'!$N$22,"")</f>
        <v/>
      </c>
      <c r="CH139" s="940"/>
      <c r="CI139" s="13" t="s">
        <v>62</v>
      </c>
      <c r="CJ139" s="518" t="str">
        <f>IF(AND(_AC6="B-737-900",'2023'!$G$4="FO",'2023'!$G$2=CJ119),'2023DATA'!$C$22,"")</f>
        <v/>
      </c>
      <c r="CK139" s="518" t="str">
        <f>IF(AND(_AC6="B-737-900",'2023'!$G$4="FO",'2023'!$G$2=CK119),'2023DATA'!$D$22,"")</f>
        <v/>
      </c>
      <c r="CL139" s="518" t="str">
        <f>IF(AND(_AC6="B-737-900",'2023'!$G$4="FO",'2023'!$G$2=CL119),'2023DATA'!$E$22,"")</f>
        <v/>
      </c>
      <c r="CM139" s="518" t="str">
        <f>IF(AND(_AC6="B-737-900",'2023'!$G$4="FO",'2023'!$G$2=CM119),'2023DATA'!$F$22,"")</f>
        <v/>
      </c>
      <c r="CN139" s="518" t="str">
        <f>IF(AND(_AC6="B-737-900",'2023'!$G$4="FO",'2023'!$G$2=CN119),'2023DATA'!$G$22,"")</f>
        <v/>
      </c>
      <c r="CO139" s="518" t="str">
        <f>IF(AND(_AC6="B-737-900",'2023'!$G$4="FO",'2023'!$G$2=CO119),'2023DATA'!$H$22,"")</f>
        <v/>
      </c>
      <c r="CP139" s="518" t="str">
        <f>IF(AND(_AC6="B-737-900",'2023'!$G$4="FO",'2023'!$G$2=CP119),'2023DATA'!$I$22,"")</f>
        <v/>
      </c>
      <c r="CQ139" s="518" t="str">
        <f>IF(AND(_AC6="B-737-900",'2023'!$G$4="FO",'2023'!$G$2=CQ119),'2023DATA'!$J$22,"")</f>
        <v/>
      </c>
      <c r="CR139" s="518" t="str">
        <f>IF(AND(_AC6="B-737-900",'2023'!$G$4="FO",'2023'!$G$2=CR119),'2023DATA'!$K$22,"")</f>
        <v/>
      </c>
      <c r="CS139" s="518" t="str">
        <f>IF(AND(_AC6="B-737-900",'2023'!$G$4="FO",'2023'!$G$2=CS119),'2023DATA'!$L$22,"")</f>
        <v/>
      </c>
      <c r="CT139" s="518" t="str">
        <f>IF(AND(_AC6="B-737-900",'2023'!$G$4="FO",'2023'!$G$2=CT119),'2023DATA'!$M$22,"")</f>
        <v/>
      </c>
      <c r="CU139" s="520" t="str">
        <f>IF(AND(_AC6="B-737-900",'2023'!$G$4="FO",'2023'!$G$2=CU119),'2023DATA'!$N$22,"")</f>
        <v/>
      </c>
    </row>
    <row r="140" spans="16:99" x14ac:dyDescent="0.25">
      <c r="P140" s="940" t="s">
        <v>69</v>
      </c>
      <c r="Q140" s="13" t="s">
        <v>61</v>
      </c>
      <c r="R140" s="518" t="str">
        <f>IF(AND(_AC1="B-737-800",'2023'!$G$4="CA",'2023'!$G$2=R119),'2023DATA'!$C$23,"")</f>
        <v/>
      </c>
      <c r="S140" s="518" t="str">
        <f>IF(AND(_AC1="B-737-800",'2023'!$G$4="CA",'2023'!$G$2=S119),'2023DATA'!$D$23,"")</f>
        <v/>
      </c>
      <c r="T140" s="518" t="str">
        <f>IF(AND(_AC1="B-737-800",'2023'!$G$4="CA",'2023'!$G$2=T119),'2023DATA'!$E$23,"")</f>
        <v/>
      </c>
      <c r="U140" s="518" t="str">
        <f>IF(AND(_AC1="B-737-800",'2023'!$G$4="CA",'2023'!$G$2=U119),'2023DATA'!$F$23,"")</f>
        <v/>
      </c>
      <c r="V140" s="518" t="str">
        <f>IF(AND(_AC1="B-737-800",'2023'!$G$4="CA",'2023'!$G$2=V119),'2023DATA'!$G$23,"")</f>
        <v/>
      </c>
      <c r="W140" s="518" t="str">
        <f>IF(AND(_AC1="B-737-800",'2023'!$G$4="CA",'2023'!$G$2=W119),'2023DATA'!$H$23,"")</f>
        <v/>
      </c>
      <c r="X140" s="518" t="str">
        <f>IF(AND(_AC1="B-737-800",'2023'!$G$4="CA",'2023'!$G$2=X119),'2023DATA'!$I$23,"")</f>
        <v/>
      </c>
      <c r="Y140" s="518" t="str">
        <f>IF(AND(_AC1="B-737-800",'2023'!$G$4="CA",'2023'!$G$2=Y119),'2023DATA'!$J$23,"")</f>
        <v/>
      </c>
      <c r="Z140" s="518" t="str">
        <f>IF(AND(_AC1="B-737-800",'2023'!$G$4="CA",'2023'!$G$2=Z119),'2023DATA'!$K$23,"")</f>
        <v/>
      </c>
      <c r="AA140" s="518" t="str">
        <f>IF(AND(_AC1="B-737-800",'2023'!$G$4="CA",'2023'!$G$2=AA119),'2023DATA'!$L$23,"")</f>
        <v/>
      </c>
      <c r="AB140" s="518" t="str">
        <f>IF(AND(_AC1="B-737-800",'2023'!$G$4="CA",'2023'!$G$2=AB119),'2023DATA'!$M$23,"")</f>
        <v/>
      </c>
      <c r="AC140" s="520" t="str">
        <f>IF(AND(_AC1="B-737-800",'2023'!$G$4="CA",'2023'!$G$2=AC119),'2023DATA'!$N$23,"")</f>
        <v/>
      </c>
      <c r="AD140" s="940" t="s">
        <v>69</v>
      </c>
      <c r="AE140" s="13" t="s">
        <v>61</v>
      </c>
      <c r="AF140" s="518" t="str">
        <f>IF(AND(_AC2="B-737-800",'2023'!$G$4="CA",'2023'!$G$2=AF119),'2023DATA'!$C$23,"")</f>
        <v/>
      </c>
      <c r="AG140" s="518" t="str">
        <f>IF(AND(_AC2="B-737-800",'2023'!$G$4="CA",'2023'!$G$2=AG119),'2023DATA'!$D$23,"")</f>
        <v/>
      </c>
      <c r="AH140" s="518" t="str">
        <f>IF(AND(_AC2="B-737-800",'2023'!$G$4="CA",'2023'!$G$2=AH119),'2023DATA'!$E$23,"")</f>
        <v/>
      </c>
      <c r="AI140" s="518" t="str">
        <f>IF(AND(_AC2="B-737-800",'2023'!$G$4="CA",'2023'!$G$2=AI119),'2023DATA'!$F$23,"")</f>
        <v/>
      </c>
      <c r="AJ140" s="518" t="str">
        <f>IF(AND(_AC2="B-737-800",'2023'!$G$4="CA",'2023'!$G$2=AJ119),'2023DATA'!$G$23,"")</f>
        <v/>
      </c>
      <c r="AK140" s="518" t="str">
        <f>IF(AND(_AC2="B-737-800",'2023'!$G$4="CA",'2023'!$G$2=AK119),'2023DATA'!$H$23,"")</f>
        <v/>
      </c>
      <c r="AL140" s="518" t="str">
        <f>IF(AND(_AC2="B-737-800",'2023'!$G$4="CA",'2023'!$G$2=AL119),'2023DATA'!$I$23,"")</f>
        <v/>
      </c>
      <c r="AM140" s="518" t="str">
        <f>IF(AND(_AC2="B-737-800",'2023'!$G$4="CA",'2023'!$G$2=AM119),'2023DATA'!$J$23,"")</f>
        <v/>
      </c>
      <c r="AN140" s="518" t="str">
        <f>IF(AND(_AC2="B-737-800",'2023'!$G$4="CA",'2023'!$G$2=AN119),'2023DATA'!$K$23,"")</f>
        <v/>
      </c>
      <c r="AO140" s="518" t="str">
        <f>IF(AND(_AC2="B-737-800",'2023'!$G$4="CA",'2023'!$G$2=AO119),'2023DATA'!$L$23,"")</f>
        <v/>
      </c>
      <c r="AP140" s="518" t="str">
        <f>IF(AND(_AC2="B-737-800",'2023'!$G$4="CA",'2023'!$G$2=AP119),'2023DATA'!$M$23,"")</f>
        <v/>
      </c>
      <c r="AQ140" s="520" t="str">
        <f>IF(AND(_AC2="B-737-800",'2023'!$G$4="CA",'2023'!$G$2=AQ119),'2023DATA'!$N$23,"")</f>
        <v/>
      </c>
      <c r="AR140" s="940" t="s">
        <v>69</v>
      </c>
      <c r="AS140" s="13" t="s">
        <v>61</v>
      </c>
      <c r="AT140" s="518" t="str">
        <f>IF(AND(_AC3="B-737-800",'2023'!$G$4="CA",'2023'!$G$2=AT119),'2023DATA'!$C$23,"")</f>
        <v/>
      </c>
      <c r="AU140" s="518" t="str">
        <f>IF(AND(_AC3="B-737-800",'2023'!$G$4="CA",'2023'!$G$2=AU119),'2023DATA'!$D$23,"")</f>
        <v/>
      </c>
      <c r="AV140" s="518" t="str">
        <f>IF(AND(_AC3="B-737-800",'2023'!$G$4="CA",'2023'!$G$2=AV119),'2023DATA'!$E$23,"")</f>
        <v/>
      </c>
      <c r="AW140" s="518" t="str">
        <f>IF(AND(_AC3="B-737-800",'2023'!$G$4="CA",'2023'!$G$2=AW119),'2023DATA'!$F$23,"")</f>
        <v/>
      </c>
      <c r="AX140" s="518" t="str">
        <f>IF(AND(_AC3="B-737-800",'2023'!$G$4="CA",'2023'!$G$2=AX119),'2023DATA'!$G$23,"")</f>
        <v/>
      </c>
      <c r="AY140" s="518" t="str">
        <f>IF(AND(_AC3="B-737-800",'2023'!$G$4="CA",'2023'!$G$2=AY119),'2023DATA'!$H$23,"")</f>
        <v/>
      </c>
      <c r="AZ140" s="518" t="str">
        <f>IF(AND(_AC3="B-737-800",'2023'!$G$4="CA",'2023'!$G$2=AZ119),'2023DATA'!$I$23,"")</f>
        <v/>
      </c>
      <c r="BA140" s="518" t="str">
        <f>IF(AND(_AC3="B-737-800",'2023'!$G$4="CA",'2023'!$G$2=BA119),'2023DATA'!$J$23,"")</f>
        <v/>
      </c>
      <c r="BB140" s="518" t="str">
        <f>IF(AND(_AC3="B-737-800",'2023'!$G$4="CA",'2023'!$G$2=BB119),'2023DATA'!$K$23,"")</f>
        <v/>
      </c>
      <c r="BC140" s="518" t="str">
        <f>IF(AND(_AC3="B-737-800",'2023'!$G$4="CA",'2023'!$G$2=BC119),'2023DATA'!$L$23,"")</f>
        <v/>
      </c>
      <c r="BD140" s="518" t="str">
        <f>IF(AND(_AC3="B-737-800",'2023'!$G$4="CA",'2023'!$G$2=BD119),'2023DATA'!$M$23,"")</f>
        <v/>
      </c>
      <c r="BE140" s="520" t="str">
        <f>IF(AND(_AC3="B-737-800",'2023'!$G$4="CA",'2023'!$G$2=BE119),'2023DATA'!$N$23,"")</f>
        <v/>
      </c>
      <c r="BF140" s="940" t="s">
        <v>69</v>
      </c>
      <c r="BG140" s="13" t="s">
        <v>61</v>
      </c>
      <c r="BH140" s="518" t="str">
        <f>IF(AND(_AC4="B-737-800",'2023'!$G$4="CA",'2023'!$G$2=BH119),'2023DATA'!$C$23,"")</f>
        <v/>
      </c>
      <c r="BI140" s="518" t="str">
        <f>IF(AND(_AC4="B-737-800",'2023'!$G$4="CA",'2023'!$G$2=BI119),'2023DATA'!$D$23,"")</f>
        <v/>
      </c>
      <c r="BJ140" s="518" t="str">
        <f>IF(AND(_AC4="B-737-800",'2023'!$G$4="CA",'2023'!$G$2=BJ119),'2023DATA'!$E$23,"")</f>
        <v/>
      </c>
      <c r="BK140" s="518" t="str">
        <f>IF(AND(_AC4="B-737-800",'2023'!$G$4="CA",'2023'!$G$2=BK119),'2023DATA'!$F$23,"")</f>
        <v/>
      </c>
      <c r="BL140" s="518" t="str">
        <f>IF(AND(_AC4="B-737-800",'2023'!$G$4="CA",'2023'!$G$2=BL119),'2023DATA'!$G$23,"")</f>
        <v/>
      </c>
      <c r="BM140" s="518" t="str">
        <f>IF(AND(_AC4="B-737-800",'2023'!$G$4="CA",'2023'!$G$2=BM119),'2023DATA'!$H$23,"")</f>
        <v/>
      </c>
      <c r="BN140" s="518" t="str">
        <f>IF(AND(_AC4="B-737-800",'2023'!$G$4="CA",'2023'!$G$2=BN119),'2023DATA'!$I$23,"")</f>
        <v/>
      </c>
      <c r="BO140" s="518" t="str">
        <f>IF(AND(_AC4="B-737-800",'2023'!$G$4="CA",'2023'!$G$2=BO119),'2023DATA'!$J$23,"")</f>
        <v/>
      </c>
      <c r="BP140" s="518" t="str">
        <f>IF(AND(_AC4="B-737-800",'2023'!$G$4="CA",'2023'!$G$2=BP119),'2023DATA'!$K$23,"")</f>
        <v/>
      </c>
      <c r="BQ140" s="518" t="str">
        <f>IF(AND(_AC4="B-737-800",'2023'!$G$4="CA",'2023'!$G$2=BQ119),'2023DATA'!$L$23,"")</f>
        <v/>
      </c>
      <c r="BR140" s="518" t="str">
        <f>IF(AND(_AC4="B-737-800",'2023'!$G$4="CA",'2023'!$G$2=BR119),'2023DATA'!$M$23,"")</f>
        <v/>
      </c>
      <c r="BS140" s="520" t="str">
        <f>IF(AND(_AC4="B-737-800",'2023'!$G$4="CA",'2023'!$G$2=BS119),'2023DATA'!$N$23,"")</f>
        <v/>
      </c>
      <c r="BT140" s="940" t="s">
        <v>69</v>
      </c>
      <c r="BU140" s="13" t="s">
        <v>61</v>
      </c>
      <c r="BV140" s="518" t="str">
        <f>IF(AND(_AC5="B-737-800",'2023'!$G$4="CA",'2023'!$G$2=BV119),'2023DATA'!$C$23,"")</f>
        <v/>
      </c>
      <c r="BW140" s="518" t="str">
        <f>IF(AND(_AC5="B-737-800",'2023'!$G$4="CA",'2023'!$G$2=BW119),'2023DATA'!$D$23,"")</f>
        <v/>
      </c>
      <c r="BX140" s="518" t="str">
        <f>IF(AND(_AC5="B-737-800",'2023'!$G$4="CA",'2023'!$G$2=BX119),'2023DATA'!$E$23,"")</f>
        <v/>
      </c>
      <c r="BY140" s="518" t="str">
        <f>IF(AND(_AC5="B-737-800",'2023'!$G$4="CA",'2023'!$G$2=BY119),'2023DATA'!$F$23,"")</f>
        <v/>
      </c>
      <c r="BZ140" s="518" t="str">
        <f>IF(AND(_AC5="B-737-800",'2023'!$G$4="CA",'2023'!$G$2=BZ119),'2023DATA'!$G$23,"")</f>
        <v/>
      </c>
      <c r="CA140" s="518" t="str">
        <f>IF(AND(_AC5="B-737-800",'2023'!$G$4="CA",'2023'!$G$2=CA119),'2023DATA'!$H$23,"")</f>
        <v/>
      </c>
      <c r="CB140" s="518" t="str">
        <f>IF(AND(_AC5="B-737-800",'2023'!$G$4="CA",'2023'!$G$2=CB119),'2023DATA'!$I$23,"")</f>
        <v/>
      </c>
      <c r="CC140" s="518" t="str">
        <f>IF(AND(_AC5="B-737-800",'2023'!$G$4="CA",'2023'!$G$2=CC119),'2023DATA'!$J$23,"")</f>
        <v/>
      </c>
      <c r="CD140" s="518" t="str">
        <f>IF(AND(_AC5="B-737-800",'2023'!$G$4="CA",'2023'!$G$2=CD119),'2023DATA'!$K$23,"")</f>
        <v/>
      </c>
      <c r="CE140" s="518" t="str">
        <f>IF(AND(_AC5="B-737-800",'2023'!$G$4="CA",'2023'!$G$2=CE119),'2023DATA'!$L$23,"")</f>
        <v/>
      </c>
      <c r="CF140" s="518" t="str">
        <f>IF(AND(_AC5="B-737-800",'2023'!$G$4="CA",'2023'!$G$2=CF119),'2023DATA'!$M$23,"")</f>
        <v/>
      </c>
      <c r="CG140" s="520" t="str">
        <f>IF(AND(_AC5="B-737-800",'2023'!$G$4="CA",'2023'!$G$2=CG119),'2023DATA'!$N$23,"")</f>
        <v/>
      </c>
      <c r="CH140" s="940" t="s">
        <v>69</v>
      </c>
      <c r="CI140" s="13" t="s">
        <v>61</v>
      </c>
      <c r="CJ140" s="518" t="str">
        <f>IF(AND(_AC6="B-737-800",'2023'!$G$4="CA",'2023'!$G$2=CJ119),'2023DATA'!$C$23,"")</f>
        <v/>
      </c>
      <c r="CK140" s="518" t="str">
        <f>IF(AND(_AC6="B-737-800",'2023'!$G$4="CA",'2023'!$G$2=CK119),'2023DATA'!$D$23,"")</f>
        <v/>
      </c>
      <c r="CL140" s="518" t="str">
        <f>IF(AND(_AC6="B-737-800",'2023'!$G$4="CA",'2023'!$G$2=CL119),'2023DATA'!$E$23,"")</f>
        <v/>
      </c>
      <c r="CM140" s="518" t="str">
        <f>IF(AND(_AC6="B-737-800",'2023'!$G$4="CA",'2023'!$G$2=CM119),'2023DATA'!$F$23,"")</f>
        <v/>
      </c>
      <c r="CN140" s="518" t="str">
        <f>IF(AND(_AC6="B-737-800",'2023'!$G$4="CA",'2023'!$G$2=CN119),'2023DATA'!$G$23,"")</f>
        <v/>
      </c>
      <c r="CO140" s="518" t="str">
        <f>IF(AND(_AC6="B-737-800",'2023'!$G$4="CA",'2023'!$G$2=CO119),'2023DATA'!$H$23,"")</f>
        <v/>
      </c>
      <c r="CP140" s="518" t="str">
        <f>IF(AND(_AC6="B-737-800",'2023'!$G$4="CA",'2023'!$G$2=CP119),'2023DATA'!$I$23,"")</f>
        <v/>
      </c>
      <c r="CQ140" s="518" t="str">
        <f>IF(AND(_AC6="B-737-800",'2023'!$G$4="CA",'2023'!$G$2=CQ119),'2023DATA'!$J$23,"")</f>
        <v/>
      </c>
      <c r="CR140" s="518" t="str">
        <f>IF(AND(_AC6="B-737-800",'2023'!$G$4="CA",'2023'!$G$2=CR119),'2023DATA'!$K$23,"")</f>
        <v/>
      </c>
      <c r="CS140" s="518" t="str">
        <f>IF(AND(_AC6="B-737-800",'2023'!$G$4="CA",'2023'!$G$2=CS119),'2023DATA'!$L$23,"")</f>
        <v/>
      </c>
      <c r="CT140" s="518" t="str">
        <f>IF(AND(_AC6="B-737-800",'2023'!$G$4="CA",'2023'!$G$2=CT119),'2023DATA'!$M$23,"")</f>
        <v/>
      </c>
      <c r="CU140" s="520" t="str">
        <f>IF(AND(_AC6="B-737-800",'2023'!$G$4="CA",'2023'!$G$2=CU119),'2023DATA'!$N$23,"")</f>
        <v/>
      </c>
    </row>
    <row r="141" spans="16:99" x14ac:dyDescent="0.25">
      <c r="P141" s="940"/>
      <c r="Q141" s="13" t="s">
        <v>62</v>
      </c>
      <c r="R141" s="518" t="str">
        <f>IF(AND(_AC1="B-737-800",'2023'!$G$4="FO",'2023'!$G$2=R119),'2023DATA'!$C$24,"")</f>
        <v/>
      </c>
      <c r="S141" s="518" t="str">
        <f>IF(AND(_AC1="B-737-800",'2023'!$G$4="FO",'2023'!$G$2=S119),'2023DATA'!$D$24,"")</f>
        <v/>
      </c>
      <c r="T141" s="518" t="str">
        <f>IF(AND(_AC1="B-737-800",'2023'!$G$4="FO",'2023'!$G$2=T119),'2023DATA'!$E$24,"")</f>
        <v/>
      </c>
      <c r="U141" s="518" t="str">
        <f>IF(AND(_AC1="B-737-800",'2023'!$G$4="FO",'2023'!$G$2=U119),'2023DATA'!$F$24,"")</f>
        <v/>
      </c>
      <c r="V141" s="518" t="str">
        <f>IF(AND(_AC1="B-737-800",'2023'!$G$4="FO",'2023'!$G$2=V119),'2023DATA'!$G$24,"")</f>
        <v/>
      </c>
      <c r="W141" s="518" t="str">
        <f>IF(AND(_AC1="B-737-800",'2023'!$G$4="FO",'2023'!$G$2=W119),'2023DATA'!$H$24,"")</f>
        <v/>
      </c>
      <c r="X141" s="518" t="str">
        <f>IF(AND(_AC1="B-737-800",'2023'!$G$4="FO",'2023'!$G$2=X119),'2023DATA'!$I$24,"")</f>
        <v/>
      </c>
      <c r="Y141" s="518" t="str">
        <f>IF(AND(_AC1="B-737-800",'2023'!$G$4="FO",'2023'!$G$2=Y119),'2023DATA'!$J$24,"")</f>
        <v/>
      </c>
      <c r="Z141" s="518" t="str">
        <f>IF(AND(_AC1="B-737-800",'2023'!$G$4="FO",'2023'!$G$2=Z119),'2023DATA'!$K$24,"")</f>
        <v/>
      </c>
      <c r="AA141" s="518" t="str">
        <f>IF(AND(_AC1="B-737-800",'2023'!$G$4="FO",'2023'!$G$2=AA119),'2023DATA'!$L$24,"")</f>
        <v/>
      </c>
      <c r="AB141" s="518" t="str">
        <f>IF(AND(_AC1="B-737-800",'2023'!$G$4="FO",'2023'!$G$2=AB119),'2023DATA'!$M$24,"")</f>
        <v/>
      </c>
      <c r="AC141" s="520" t="str">
        <f>IF(AND(_AC1="B-737-800",'2023'!$G$4="FO",'2023'!$G$2=AC119),'2023DATA'!$N$24,"")</f>
        <v/>
      </c>
      <c r="AD141" s="940"/>
      <c r="AE141" s="13" t="s">
        <v>62</v>
      </c>
      <c r="AF141" s="518" t="str">
        <f>IF(AND(_AC2="B-737-800",'2023'!$G$4="FO",'2023'!$G$2=AF119),'2023DATA'!$C$24,"")</f>
        <v/>
      </c>
      <c r="AG141" s="518" t="str">
        <f>IF(AND(_AC2="B-737-800",'2023'!$G$4="FO",'2023'!$G$2=AG119),'2023DATA'!$D$24,"")</f>
        <v/>
      </c>
      <c r="AH141" s="518" t="str">
        <f>IF(AND(_AC2="B-737-800",'2023'!$G$4="FO",'2023'!$G$2=AH119),'2023DATA'!$E$24,"")</f>
        <v/>
      </c>
      <c r="AI141" s="518" t="str">
        <f>IF(AND(_AC2="B-737-800",'2023'!$G$4="FO",'2023'!$G$2=AI119),'2023DATA'!$F$24,"")</f>
        <v/>
      </c>
      <c r="AJ141" s="518" t="str">
        <f>IF(AND(_AC2="B-737-800",'2023'!$G$4="FO",'2023'!$G$2=AJ119),'2023DATA'!$G$24,"")</f>
        <v/>
      </c>
      <c r="AK141" s="518" t="str">
        <f>IF(AND(_AC2="B-737-800",'2023'!$G$4="FO",'2023'!$G$2=AK119),'2023DATA'!$H$24,"")</f>
        <v/>
      </c>
      <c r="AL141" s="518" t="str">
        <f>IF(AND(_AC2="B-737-800",'2023'!$G$4="FO",'2023'!$G$2=AL119),'2023DATA'!$I$24,"")</f>
        <v/>
      </c>
      <c r="AM141" s="518" t="str">
        <f>IF(AND(_AC2="B-737-800",'2023'!$G$4="FO",'2023'!$G$2=AM119),'2023DATA'!$J$24,"")</f>
        <v/>
      </c>
      <c r="AN141" s="518" t="str">
        <f>IF(AND(_AC2="B-737-800",'2023'!$G$4="FO",'2023'!$G$2=AN119),'2023DATA'!$K$24,"")</f>
        <v/>
      </c>
      <c r="AO141" s="518" t="str">
        <f>IF(AND(_AC2="B-737-800",'2023'!$G$4="FO",'2023'!$G$2=AO119),'2023DATA'!$L$24,"")</f>
        <v/>
      </c>
      <c r="AP141" s="518" t="str">
        <f>IF(AND(_AC2="B-737-800",'2023'!$G$4="FO",'2023'!$G$2=AP119),'2023DATA'!$M$24,"")</f>
        <v/>
      </c>
      <c r="AQ141" s="520" t="str">
        <f>IF(AND(_AC2="B-737-800",'2023'!$G$4="FO",'2023'!$G$2=AQ119),'2023DATA'!$N$24,"")</f>
        <v/>
      </c>
      <c r="AR141" s="940"/>
      <c r="AS141" s="13" t="s">
        <v>62</v>
      </c>
      <c r="AT141" s="518" t="str">
        <f>IF(AND(_AC3="B-737-800",'2023'!$G$4="FO",'2023'!$G$2=AT119),'2023DATA'!$C$24,"")</f>
        <v/>
      </c>
      <c r="AU141" s="518" t="str">
        <f>IF(AND(_AC3="B-737-800",'2023'!$G$4="FO",'2023'!$G$2=AU119),'2023DATA'!$D$24,"")</f>
        <v/>
      </c>
      <c r="AV141" s="518" t="str">
        <f>IF(AND(_AC3="B-737-800",'2023'!$G$4="FO",'2023'!$G$2=AV119),'2023DATA'!$E$24,"")</f>
        <v/>
      </c>
      <c r="AW141" s="518" t="str">
        <f>IF(AND(_AC3="B-737-800",'2023'!$G$4="FO",'2023'!$G$2=AW119),'2023DATA'!$F$24,"")</f>
        <v/>
      </c>
      <c r="AX141" s="518" t="str">
        <f>IF(AND(_AC3="B-737-800",'2023'!$G$4="FO",'2023'!$G$2=AX119),'2023DATA'!$G$24,"")</f>
        <v/>
      </c>
      <c r="AY141" s="518" t="str">
        <f>IF(AND(_AC3="B-737-800",'2023'!$G$4="FO",'2023'!$G$2=AY119),'2023DATA'!$H$24,"")</f>
        <v/>
      </c>
      <c r="AZ141" s="518" t="str">
        <f>IF(AND(_AC3="B-737-800",'2023'!$G$4="FO",'2023'!$G$2=AZ119),'2023DATA'!$I$24,"")</f>
        <v/>
      </c>
      <c r="BA141" s="518" t="str">
        <f>IF(AND(_AC3="B-737-800",'2023'!$G$4="FO",'2023'!$G$2=BA119),'2023DATA'!$J$24,"")</f>
        <v/>
      </c>
      <c r="BB141" s="518" t="str">
        <f>IF(AND(_AC3="B-737-800",'2023'!$G$4="FO",'2023'!$G$2=BB119),'2023DATA'!$K$24,"")</f>
        <v/>
      </c>
      <c r="BC141" s="518" t="str">
        <f>IF(AND(_AC3="B-737-800",'2023'!$G$4="FO",'2023'!$G$2=BC119),'2023DATA'!$L$24,"")</f>
        <v/>
      </c>
      <c r="BD141" s="518" t="str">
        <f>IF(AND(_AC3="B-737-800",'2023'!$G$4="FO",'2023'!$G$2=BD119),'2023DATA'!$M$24,"")</f>
        <v/>
      </c>
      <c r="BE141" s="520" t="str">
        <f>IF(AND(_AC3="B-737-800",'2023'!$G$4="FO",'2023'!$G$2=BE119),'2023DATA'!$N$24,"")</f>
        <v/>
      </c>
      <c r="BF141" s="940"/>
      <c r="BG141" s="13" t="s">
        <v>62</v>
      </c>
      <c r="BH141" s="518" t="str">
        <f>IF(AND(_AC4="B-737-800",'2023'!$G$4="FO",'2023'!$G$2=BH119),'2023DATA'!$C$24,"")</f>
        <v/>
      </c>
      <c r="BI141" s="518" t="str">
        <f>IF(AND(_AC4="B-737-800",'2023'!$G$4="FO",'2023'!$G$2=BI119),'2023DATA'!$D$24,"")</f>
        <v/>
      </c>
      <c r="BJ141" s="518" t="str">
        <f>IF(AND(_AC4="B-737-800",'2023'!$G$4="FO",'2023'!$G$2=BJ119),'2023DATA'!$E$24,"")</f>
        <v/>
      </c>
      <c r="BK141" s="518" t="str">
        <f>IF(AND(_AC4="B-737-800",'2023'!$G$4="FO",'2023'!$G$2=BK119),'2023DATA'!$F$24,"")</f>
        <v/>
      </c>
      <c r="BL141" s="518" t="str">
        <f>IF(AND(_AC4="B-737-800",'2023'!$G$4="FO",'2023'!$G$2=BL119),'2023DATA'!$G$24,"")</f>
        <v/>
      </c>
      <c r="BM141" s="518" t="str">
        <f>IF(AND(_AC4="B-737-800",'2023'!$G$4="FO",'2023'!$G$2=BM119),'2023DATA'!$H$24,"")</f>
        <v/>
      </c>
      <c r="BN141" s="518" t="str">
        <f>IF(AND(_AC4="B-737-800",'2023'!$G$4="FO",'2023'!$G$2=BN119),'2023DATA'!$I$24,"")</f>
        <v/>
      </c>
      <c r="BO141" s="518" t="str">
        <f>IF(AND(_AC4="B-737-800",'2023'!$G$4="FO",'2023'!$G$2=BO119),'2023DATA'!$J$24,"")</f>
        <v/>
      </c>
      <c r="BP141" s="518" t="str">
        <f>IF(AND(_AC4="B-737-800",'2023'!$G$4="FO",'2023'!$G$2=BP119),'2023DATA'!$K$24,"")</f>
        <v/>
      </c>
      <c r="BQ141" s="518" t="str">
        <f>IF(AND(_AC4="B-737-800",'2023'!$G$4="FO",'2023'!$G$2=BQ119),'2023DATA'!$L$24,"")</f>
        <v/>
      </c>
      <c r="BR141" s="518" t="str">
        <f>IF(AND(_AC4="B-737-800",'2023'!$G$4="FO",'2023'!$G$2=BR119),'2023DATA'!$M$24,"")</f>
        <v/>
      </c>
      <c r="BS141" s="520" t="str">
        <f>IF(AND(_AC4="B-737-800",'2023'!$G$4="FO",'2023'!$G$2=BS119),'2023DATA'!$N$24,"")</f>
        <v/>
      </c>
      <c r="BT141" s="940"/>
      <c r="BU141" s="13" t="s">
        <v>62</v>
      </c>
      <c r="BV141" s="518" t="str">
        <f>IF(AND(_AC5="B-737-800",'2023'!$G$4="FO",'2023'!$G$2=BV119),'2023DATA'!$C$24,"")</f>
        <v/>
      </c>
      <c r="BW141" s="518" t="str">
        <f>IF(AND(_AC5="B-737-800",'2023'!$G$4="FO",'2023'!$G$2=BW119),'2023DATA'!$D$24,"")</f>
        <v/>
      </c>
      <c r="BX141" s="518" t="str">
        <f>IF(AND(_AC5="B-737-800",'2023'!$G$4="FO",'2023'!$G$2=BX119),'2023DATA'!$E$24,"")</f>
        <v/>
      </c>
      <c r="BY141" s="518" t="str">
        <f>IF(AND(_AC5="B-737-800",'2023'!$G$4="FO",'2023'!$G$2=BY119),'2023DATA'!$F$24,"")</f>
        <v/>
      </c>
      <c r="BZ141" s="518" t="str">
        <f>IF(AND(_AC5="B-737-800",'2023'!$G$4="FO",'2023'!$G$2=BZ119),'2023DATA'!$G$24,"")</f>
        <v/>
      </c>
      <c r="CA141" s="518" t="str">
        <f>IF(AND(_AC5="B-737-800",'2023'!$G$4="FO",'2023'!$G$2=CA119),'2023DATA'!$H$24,"")</f>
        <v/>
      </c>
      <c r="CB141" s="518" t="str">
        <f>IF(AND(_AC5="B-737-800",'2023'!$G$4="FO",'2023'!$G$2=CB119),'2023DATA'!$I$24,"")</f>
        <v/>
      </c>
      <c r="CC141" s="518" t="str">
        <f>IF(AND(_AC5="B-737-800",'2023'!$G$4="FO",'2023'!$G$2=CC119),'2023DATA'!$J$24,"")</f>
        <v/>
      </c>
      <c r="CD141" s="518" t="str">
        <f>IF(AND(_AC5="B-737-800",'2023'!$G$4="FO",'2023'!$G$2=CD119),'2023DATA'!$K$24,"")</f>
        <v/>
      </c>
      <c r="CE141" s="518" t="str">
        <f>IF(AND(_AC5="B-737-800",'2023'!$G$4="FO",'2023'!$G$2=CE119),'2023DATA'!$L$24,"")</f>
        <v/>
      </c>
      <c r="CF141" s="518" t="str">
        <f>IF(AND(_AC5="B-737-800",'2023'!$G$4="FO",'2023'!$G$2=CF119),'2023DATA'!$M$24,"")</f>
        <v/>
      </c>
      <c r="CG141" s="520" t="str">
        <f>IF(AND(_AC5="B-737-800",'2023'!$G$4="FO",'2023'!$G$2=CG119),'2023DATA'!$N$24,"")</f>
        <v/>
      </c>
      <c r="CH141" s="940"/>
      <c r="CI141" s="13" t="s">
        <v>62</v>
      </c>
      <c r="CJ141" s="518" t="str">
        <f>IF(AND(_AC6="B-737-800",'2023'!$G$4="FO",'2023'!$G$2=CJ119),'2023DATA'!$C$24,"")</f>
        <v/>
      </c>
      <c r="CK141" s="518" t="str">
        <f>IF(AND(_AC6="B-737-800",'2023'!$G$4="FO",'2023'!$G$2=CK119),'2023DATA'!$D$24,"")</f>
        <v/>
      </c>
      <c r="CL141" s="518" t="str">
        <f>IF(AND(_AC6="B-737-800",'2023'!$G$4="FO",'2023'!$G$2=CL119),'2023DATA'!$E$24,"")</f>
        <v/>
      </c>
      <c r="CM141" s="518" t="str">
        <f>IF(AND(_AC6="B-737-800",'2023'!$G$4="FO",'2023'!$G$2=CM119),'2023DATA'!$F$24,"")</f>
        <v/>
      </c>
      <c r="CN141" s="518" t="str">
        <f>IF(AND(_AC6="B-737-800",'2023'!$G$4="FO",'2023'!$G$2=CN119),'2023DATA'!$G$24,"")</f>
        <v/>
      </c>
      <c r="CO141" s="518" t="str">
        <f>IF(AND(_AC6="B-737-800",'2023'!$G$4="FO",'2023'!$G$2=CO119),'2023DATA'!$H$24,"")</f>
        <v/>
      </c>
      <c r="CP141" s="518" t="str">
        <f>IF(AND(_AC6="B-737-800",'2023'!$G$4="FO",'2023'!$G$2=CP119),'2023DATA'!$I$24,"")</f>
        <v/>
      </c>
      <c r="CQ141" s="518" t="str">
        <f>IF(AND(_AC6="B-737-800",'2023'!$G$4="FO",'2023'!$G$2=CQ119),'2023DATA'!$J$24,"")</f>
        <v/>
      </c>
      <c r="CR141" s="518" t="str">
        <f>IF(AND(_AC6="B-737-800",'2023'!$G$4="FO",'2023'!$G$2=CR119),'2023DATA'!$K$24,"")</f>
        <v/>
      </c>
      <c r="CS141" s="518" t="str">
        <f>IF(AND(_AC6="B-737-800",'2023'!$G$4="FO",'2023'!$G$2=CS119),'2023DATA'!$L$24,"")</f>
        <v/>
      </c>
      <c r="CT141" s="518" t="str">
        <f>IF(AND(_AC6="B-737-800",'2023'!$G$4="FO",'2023'!$G$2=CT119),'2023DATA'!$M$24,"")</f>
        <v/>
      </c>
      <c r="CU141" s="520" t="str">
        <f>IF(AND(_AC6="B-737-800",'2023'!$G$4="FO",'2023'!$G$2=CU119),'2023DATA'!$N$24,"")</f>
        <v/>
      </c>
    </row>
    <row r="142" spans="16:99" x14ac:dyDescent="0.25">
      <c r="P142" s="940" t="s">
        <v>46</v>
      </c>
      <c r="Q142" s="13" t="s">
        <v>61</v>
      </c>
      <c r="R142" s="518" t="str">
        <f>IF(AND(_AC1="A-321N",'2023'!$G$4="CA",'2023'!$G$2=R119),'2023DATA'!$C$25,"")</f>
        <v/>
      </c>
      <c r="S142" s="518" t="str">
        <f>IF(AND(_AC1="A-321N",'2023'!$G$4="CA",'2023'!$G$2=S119),'2023DATA'!$D$25,"")</f>
        <v/>
      </c>
      <c r="T142" s="518" t="str">
        <f>IF(AND(_AC1="A-321N",'2023'!$G$4="CA",'2023'!$G$2=T119),'2023DATA'!$E$25,"")</f>
        <v/>
      </c>
      <c r="U142" s="518" t="str">
        <f>IF(AND(_AC1="A-321N",'2023'!$G$4="CA",'2023'!$G$2=U119),'2023DATA'!$F$25,"")</f>
        <v/>
      </c>
      <c r="V142" s="518" t="str">
        <f>IF(AND(_AC1="A-321N",'2023'!$G$4="CA",'2023'!$G$2=V119),'2023DATA'!$G$25,"")</f>
        <v/>
      </c>
      <c r="W142" s="518" t="str">
        <f>IF(AND(_AC1="A-321N",'2023'!$G$4="CA",'2023'!$G$2=W119),'2023DATA'!$H$25,"")</f>
        <v/>
      </c>
      <c r="X142" s="518" t="str">
        <f>IF(AND(_AC1="A-321N",'2023'!$G$4="CA",'2023'!$G$2=X119),'2023DATA'!$I$25,"")</f>
        <v/>
      </c>
      <c r="Y142" s="518" t="str">
        <f>IF(AND(_AC1="A-321N",'2023'!$G$4="CA",'2023'!$G$2=Y119),'2023DATA'!$J$25,"")</f>
        <v/>
      </c>
      <c r="Z142" s="518" t="str">
        <f>IF(AND(_AC1="A-321N",'2023'!$G$4="CA",'2023'!$G$2=Z119),'2023DATA'!$K$25,"")</f>
        <v/>
      </c>
      <c r="AA142" s="518" t="str">
        <f>IF(AND(_AC1="A-321N",'2023'!$G$4="CA",'2023'!$G$2=AA119),'2023DATA'!$L$25,"")</f>
        <v/>
      </c>
      <c r="AB142" s="518" t="str">
        <f>IF(AND(_AC1="A-321N",'2023'!$G$4="CA",'2023'!$G$2=AB119),'2023DATA'!$M$25,"")</f>
        <v/>
      </c>
      <c r="AC142" s="520" t="str">
        <f>IF(AND(_AC1="A-321N",'2023'!$G$4="CA",'2023'!$G$2=AC119),'2023DATA'!$N$25,"")</f>
        <v/>
      </c>
      <c r="AD142" s="940" t="s">
        <v>46</v>
      </c>
      <c r="AE142" s="13" t="s">
        <v>61</v>
      </c>
      <c r="AF142" s="518" t="str">
        <f>IF(AND(_AC2="A-321N",'2023'!$G$4="CA",'2023'!$G$2=AF119),'2023DATA'!$C$25,"")</f>
        <v/>
      </c>
      <c r="AG142" s="518" t="str">
        <f>IF(AND(_AC2="A-321N",'2023'!$G$4="CA",'2023'!$G$2=AG119),'2023DATA'!$D$25,"")</f>
        <v/>
      </c>
      <c r="AH142" s="518" t="str">
        <f>IF(AND(_AC2="A-321N",'2023'!$G$4="CA",'2023'!$G$2=AH119),'2023DATA'!$E$25,"")</f>
        <v/>
      </c>
      <c r="AI142" s="518" t="str">
        <f>IF(AND(_AC2="A-321N",'2023'!$G$4="CA",'2023'!$G$2=AI119),'2023DATA'!$F$25,"")</f>
        <v/>
      </c>
      <c r="AJ142" s="518" t="str">
        <f>IF(AND(_AC2="A-321N",'2023'!$G$4="CA",'2023'!$G$2=AJ119),'2023DATA'!$G$25,"")</f>
        <v/>
      </c>
      <c r="AK142" s="518" t="str">
        <f>IF(AND(_AC2="A-321N",'2023'!$G$4="CA",'2023'!$G$2=AK119),'2023DATA'!$H$25,"")</f>
        <v/>
      </c>
      <c r="AL142" s="518" t="str">
        <f>IF(AND(_AC2="A-321N",'2023'!$G$4="CA",'2023'!$G$2=AL119),'2023DATA'!$I$25,"")</f>
        <v/>
      </c>
      <c r="AM142" s="518" t="str">
        <f>IF(AND(_AC2="A-321N",'2023'!$G$4="CA",'2023'!$G$2=AM119),'2023DATA'!$J$25,"")</f>
        <v/>
      </c>
      <c r="AN142" s="518" t="str">
        <f>IF(AND(_AC2="A-321N",'2023'!$G$4="CA",'2023'!$G$2=AN119),'2023DATA'!$K$25,"")</f>
        <v/>
      </c>
      <c r="AO142" s="518" t="str">
        <f>IF(AND(_AC2="A-321N",'2023'!$G$4="CA",'2023'!$G$2=AO119),'2023DATA'!$L$25,"")</f>
        <v/>
      </c>
      <c r="AP142" s="518" t="str">
        <f>IF(AND(_AC2="A-321N",'2023'!$G$4="CA",'2023'!$G$2=AP119),'2023DATA'!$M$25,"")</f>
        <v/>
      </c>
      <c r="AQ142" s="520" t="str">
        <f>IF(AND(_AC2="A-321N",'2023'!$G$4="CA",'2023'!$G$2=AQ119),'2023DATA'!$N$25,"")</f>
        <v/>
      </c>
      <c r="AR142" s="940" t="s">
        <v>46</v>
      </c>
      <c r="AS142" s="13" t="s">
        <v>61</v>
      </c>
      <c r="AT142" s="518" t="str">
        <f>IF(AND(_AC3="A-321N",'2023'!$G$4="CA",'2023'!$G$2=AT119),'2023DATA'!$C$25,"")</f>
        <v/>
      </c>
      <c r="AU142" s="518" t="str">
        <f>IF(AND(_AC3="A-321N",'2023'!$G$4="CA",'2023'!$G$2=AU119),'2023DATA'!$D$25,"")</f>
        <v/>
      </c>
      <c r="AV142" s="518" t="str">
        <f>IF(AND(_AC3="A-321N",'2023'!$G$4="CA",'2023'!$G$2=AV119),'2023DATA'!$E$25,"")</f>
        <v/>
      </c>
      <c r="AW142" s="518" t="str">
        <f>IF(AND(_AC3="A-321N",'2023'!$G$4="CA",'2023'!$G$2=AW119),'2023DATA'!$F$25,"")</f>
        <v/>
      </c>
      <c r="AX142" s="518" t="str">
        <f>IF(AND(_AC3="A-321N",'2023'!$G$4="CA",'2023'!$G$2=AX119),'2023DATA'!$G$25,"")</f>
        <v/>
      </c>
      <c r="AY142" s="518" t="str">
        <f>IF(AND(_AC3="A-321N",'2023'!$G$4="CA",'2023'!$G$2=AY119),'2023DATA'!$H$25,"")</f>
        <v/>
      </c>
      <c r="AZ142" s="518" t="str">
        <f>IF(AND(_AC3="A-321N",'2023'!$G$4="CA",'2023'!$G$2=AZ119),'2023DATA'!$I$25,"")</f>
        <v/>
      </c>
      <c r="BA142" s="518" t="str">
        <f>IF(AND(_AC3="A-321N",'2023'!$G$4="CA",'2023'!$G$2=BA119),'2023DATA'!$J$25,"")</f>
        <v/>
      </c>
      <c r="BB142" s="518" t="str">
        <f>IF(AND(_AC3="A-321N",'2023'!$G$4="CA",'2023'!$G$2=BB119),'2023DATA'!$K$25,"")</f>
        <v/>
      </c>
      <c r="BC142" s="518" t="str">
        <f>IF(AND(_AC3="A-321N",'2023'!$G$4="CA",'2023'!$G$2=BC119),'2023DATA'!$L$25,"")</f>
        <v/>
      </c>
      <c r="BD142" s="518" t="str">
        <f>IF(AND(_AC3="A-321N",'2023'!$G$4="CA",'2023'!$G$2=BD119),'2023DATA'!$M$25,"")</f>
        <v/>
      </c>
      <c r="BE142" s="520" t="str">
        <f>IF(AND(_AC3="A-321N",'2023'!$G$4="CA",'2023'!$G$2=BE119),'2023DATA'!$N$25,"")</f>
        <v/>
      </c>
      <c r="BF142" s="940" t="s">
        <v>46</v>
      </c>
      <c r="BG142" s="13" t="s">
        <v>61</v>
      </c>
      <c r="BH142" s="518" t="str">
        <f>IF(AND(_AC4="A-321N",'2023'!$G$4="CA",'2023'!$G$2=BH119),'2023DATA'!$C$25,"")</f>
        <v/>
      </c>
      <c r="BI142" s="518" t="str">
        <f>IF(AND(_AC4="A-321N",'2023'!$G$4="CA",'2023'!$G$2=BI119),'2023DATA'!$D$25,"")</f>
        <v/>
      </c>
      <c r="BJ142" s="518" t="str">
        <f>IF(AND(_AC4="A-321N",'2023'!$G$4="CA",'2023'!$G$2=BJ119),'2023DATA'!$E$25,"")</f>
        <v/>
      </c>
      <c r="BK142" s="518" t="str">
        <f>IF(AND(_AC4="A-321N",'2023'!$G$4="CA",'2023'!$G$2=BK119),'2023DATA'!$F$25,"")</f>
        <v/>
      </c>
      <c r="BL142" s="518" t="str">
        <f>IF(AND(_AC4="A-321N",'2023'!$G$4="CA",'2023'!$G$2=BL119),'2023DATA'!$G$25,"")</f>
        <v/>
      </c>
      <c r="BM142" s="518" t="str">
        <f>IF(AND(_AC4="A-321N",'2023'!$G$4="CA",'2023'!$G$2=BM119),'2023DATA'!$H$25,"")</f>
        <v/>
      </c>
      <c r="BN142" s="518" t="str">
        <f>IF(AND(_AC4="A-321N",'2023'!$G$4="CA",'2023'!$G$2=BN119),'2023DATA'!$I$25,"")</f>
        <v/>
      </c>
      <c r="BO142" s="518" t="str">
        <f>IF(AND(_AC4="A-321N",'2023'!$G$4="CA",'2023'!$G$2=BO119),'2023DATA'!$J$25,"")</f>
        <v/>
      </c>
      <c r="BP142" s="518" t="str">
        <f>IF(AND(_AC4="A-321N",'2023'!$G$4="CA",'2023'!$G$2=BP119),'2023DATA'!$K$25,"")</f>
        <v/>
      </c>
      <c r="BQ142" s="518" t="str">
        <f>IF(AND(_AC4="A-321N",'2023'!$G$4="CA",'2023'!$G$2=BQ119),'2023DATA'!$L$25,"")</f>
        <v/>
      </c>
      <c r="BR142" s="518" t="str">
        <f>IF(AND(_AC4="A-321N",'2023'!$G$4="CA",'2023'!$G$2=BR119),'2023DATA'!$M$25,"")</f>
        <v/>
      </c>
      <c r="BS142" s="520" t="str">
        <f>IF(AND(_AC4="A-321N",'2023'!$G$4="CA",'2023'!$G$2=BS119),'2023DATA'!$N$25,"")</f>
        <v/>
      </c>
      <c r="BT142" s="940" t="s">
        <v>46</v>
      </c>
      <c r="BU142" s="13" t="s">
        <v>61</v>
      </c>
      <c r="BV142" s="518" t="str">
        <f>IF(AND(_AC5="A-321N",'2023'!$G$4="CA",'2023'!$G$2=BV119),'2023DATA'!$C$25,"")</f>
        <v/>
      </c>
      <c r="BW142" s="518" t="str">
        <f>IF(AND(_AC5="A-321N",'2023'!$G$4="CA",'2023'!$G$2=BW119),'2023DATA'!$D$25,"")</f>
        <v/>
      </c>
      <c r="BX142" s="518" t="str">
        <f>IF(AND(_AC5="A-321N",'2023'!$G$4="CA",'2023'!$G$2=BX119),'2023DATA'!$E$25,"")</f>
        <v/>
      </c>
      <c r="BY142" s="518" t="str">
        <f>IF(AND(_AC5="A-321N",'2023'!$G$4="CA",'2023'!$G$2=BY119),'2023DATA'!$F$25,"")</f>
        <v/>
      </c>
      <c r="BZ142" s="518" t="str">
        <f>IF(AND(_AC5="A-321N",'2023'!$G$4="CA",'2023'!$G$2=BZ119),'2023DATA'!$G$25,"")</f>
        <v/>
      </c>
      <c r="CA142" s="518" t="str">
        <f>IF(AND(_AC5="A-321N",'2023'!$G$4="CA",'2023'!$G$2=CA119),'2023DATA'!$H$25,"")</f>
        <v/>
      </c>
      <c r="CB142" s="518" t="str">
        <f>IF(AND(_AC5="A-321N",'2023'!$G$4="CA",'2023'!$G$2=CB119),'2023DATA'!$I$25,"")</f>
        <v/>
      </c>
      <c r="CC142" s="518" t="str">
        <f>IF(AND(_AC5="A-321N",'2023'!$G$4="CA",'2023'!$G$2=CC119),'2023DATA'!$J$25,"")</f>
        <v/>
      </c>
      <c r="CD142" s="518" t="str">
        <f>IF(AND(_AC5="A-321N",'2023'!$G$4="CA",'2023'!$G$2=CD119),'2023DATA'!$K$25,"")</f>
        <v/>
      </c>
      <c r="CE142" s="518" t="str">
        <f>IF(AND(_AC5="A-321N",'2023'!$G$4="CA",'2023'!$G$2=CE119),'2023DATA'!$L$25,"")</f>
        <v/>
      </c>
      <c r="CF142" s="518" t="str">
        <f>IF(AND(_AC5="A-321N",'2023'!$G$4="CA",'2023'!$G$2=CF119),'2023DATA'!$M$25,"")</f>
        <v/>
      </c>
      <c r="CG142" s="520" t="str">
        <f>IF(AND(_AC5="A-321N",'2023'!$G$4="CA",'2023'!$G$2=CG119),'2023DATA'!$N$25,"")</f>
        <v/>
      </c>
      <c r="CH142" s="940" t="s">
        <v>46</v>
      </c>
      <c r="CI142" s="13" t="s">
        <v>61</v>
      </c>
      <c r="CJ142" s="518" t="str">
        <f>IF(AND(_AC6="A-321N",'2023'!$G$4="CA",'2023'!$G$2=CJ119),'2023DATA'!$C$25,"")</f>
        <v/>
      </c>
      <c r="CK142" s="518" t="str">
        <f>IF(AND(_AC6="A-321N",'2023'!$G$4="CA",'2023'!$G$2=CK119),'2023DATA'!$D$25,"")</f>
        <v/>
      </c>
      <c r="CL142" s="518" t="str">
        <f>IF(AND(_AC6="A-321N",'2023'!$G$4="CA",'2023'!$G$2=CL119),'2023DATA'!$E$25,"")</f>
        <v/>
      </c>
      <c r="CM142" s="518" t="str">
        <f>IF(AND(_AC6="A-321N",'2023'!$G$4="CA",'2023'!$G$2=CM119),'2023DATA'!$F$25,"")</f>
        <v/>
      </c>
      <c r="CN142" s="518" t="str">
        <f>IF(AND(_AC6="A-321N",'2023'!$G$4="CA",'2023'!$G$2=CN119),'2023DATA'!$G$25,"")</f>
        <v/>
      </c>
      <c r="CO142" s="518" t="str">
        <f>IF(AND(_AC6="A-321N",'2023'!$G$4="CA",'2023'!$G$2=CO119),'2023DATA'!$H$25,"")</f>
        <v/>
      </c>
      <c r="CP142" s="518" t="str">
        <f>IF(AND(_AC6="A-321N",'2023'!$G$4="CA",'2023'!$G$2=CP119),'2023DATA'!$I$25,"")</f>
        <v/>
      </c>
      <c r="CQ142" s="518" t="str">
        <f>IF(AND(_AC6="A-321N",'2023'!$G$4="CA",'2023'!$G$2=CQ119),'2023DATA'!$J$25,"")</f>
        <v/>
      </c>
      <c r="CR142" s="518" t="str">
        <f>IF(AND(_AC6="A-321N",'2023'!$G$4="CA",'2023'!$G$2=CR119),'2023DATA'!$K$25,"")</f>
        <v/>
      </c>
      <c r="CS142" s="518" t="str">
        <f>IF(AND(_AC6="A-321N",'2023'!$G$4="CA",'2023'!$G$2=CS119),'2023DATA'!$L$25,"")</f>
        <v/>
      </c>
      <c r="CT142" s="518" t="str">
        <f>IF(AND(_AC6="A-321N",'2023'!$G$4="CA",'2023'!$G$2=CT119),'2023DATA'!$M$25,"")</f>
        <v/>
      </c>
      <c r="CU142" s="520" t="str">
        <f>IF(AND(_AC6="A-321N",'2023'!$G$4="CA",'2023'!$G$2=CU119),'2023DATA'!$N$25,"")</f>
        <v/>
      </c>
    </row>
    <row r="143" spans="16:99" x14ac:dyDescent="0.25">
      <c r="P143" s="940"/>
      <c r="Q143" s="13" t="s">
        <v>62</v>
      </c>
      <c r="R143" s="518" t="str">
        <f>IF(AND(_AC1="A-321N",'2023'!$G$4="FO",'2023'!$G$2=R119),'2023DATA'!$C$26,"")</f>
        <v/>
      </c>
      <c r="S143" s="518" t="str">
        <f>IF(AND(_AC1="A-321N",'2023'!$G$4="FO",'2023'!$G$2=S119),'2023DATA'!$D$26,"")</f>
        <v/>
      </c>
      <c r="T143" s="518" t="str">
        <f>IF(AND(_AC1="A-321N",'2023'!$G$4="FO",'2023'!$G$2=T119),'2023DATA'!$E$26,"")</f>
        <v/>
      </c>
      <c r="U143" s="518" t="str">
        <f>IF(AND(_AC1="A-321N",'2023'!$G$4="FO",'2023'!$G$2=U119),'2023DATA'!$F$26,"")</f>
        <v/>
      </c>
      <c r="V143" s="518" t="str">
        <f>IF(AND(_AC1="A-321N",'2023'!$G$4="FO",'2023'!$G$2=V119),'2023DATA'!$G$26,"")</f>
        <v/>
      </c>
      <c r="W143" s="518" t="str">
        <f>IF(AND(_AC1="A-321N",'2023'!$G$4="FO",'2023'!$G$2=W119),'2023DATA'!$H$26,"")</f>
        <v/>
      </c>
      <c r="X143" s="518" t="str">
        <f>IF(AND(_AC1="A-321N",'2023'!$G$4="FO",'2023'!$G$2=X119),'2023DATA'!$I$26,"")</f>
        <v/>
      </c>
      <c r="Y143" s="518" t="str">
        <f>IF(AND(_AC1="A-321N",'2023'!$G$4="FO",'2023'!$G$2=Y119),'2023DATA'!$J$26,"")</f>
        <v/>
      </c>
      <c r="Z143" s="518" t="str">
        <f>IF(AND(_AC1="A-321N",'2023'!$G$4="FO",'2023'!$G$2=Z119),'2023DATA'!$K$26,"")</f>
        <v/>
      </c>
      <c r="AA143" s="518" t="str">
        <f>IF(AND(_AC1="A-321N",'2023'!$G$4="FO",'2023'!$G$2=AA119),'2023DATA'!$L$26,"")</f>
        <v/>
      </c>
      <c r="AB143" s="518" t="str">
        <f>IF(AND(_AC1="A-321N",'2023'!$G$4="FO",'2023'!$G$2=AB119),'2023DATA'!$M$26,"")</f>
        <v/>
      </c>
      <c r="AC143" s="520" t="str">
        <f>IF(AND(_AC1="A-321N",'2023'!$G$4="FO",'2023'!$G$2=AC119),'2023DATA'!$N$26,"")</f>
        <v/>
      </c>
      <c r="AD143" s="940"/>
      <c r="AE143" s="13" t="s">
        <v>62</v>
      </c>
      <c r="AF143" s="518" t="str">
        <f>IF(AND(_AC2="A-321N",'2023'!$G$4="FO",'2023'!$G$2=AF119),'2023DATA'!$C$26,"")</f>
        <v/>
      </c>
      <c r="AG143" s="518" t="str">
        <f>IF(AND(_AC2="A-321N",'2023'!$G$4="FO",'2023'!$G$2=AG119),'2023DATA'!$D$26,"")</f>
        <v/>
      </c>
      <c r="AH143" s="518" t="str">
        <f>IF(AND(_AC2="A-321N",'2023'!$G$4="FO",'2023'!$G$2=AH119),'2023DATA'!$E$26,"")</f>
        <v/>
      </c>
      <c r="AI143" s="518" t="str">
        <f>IF(AND(_AC2="A-321N",'2023'!$G$4="FO",'2023'!$G$2=AI119),'2023DATA'!$F$26,"")</f>
        <v/>
      </c>
      <c r="AJ143" s="518" t="str">
        <f>IF(AND(_AC2="A-321N",'2023'!$G$4="FO",'2023'!$G$2=AJ119),'2023DATA'!$G$26,"")</f>
        <v/>
      </c>
      <c r="AK143" s="518" t="str">
        <f>IF(AND(_AC2="A-321N",'2023'!$G$4="FO",'2023'!$G$2=AK119),'2023DATA'!$H$26,"")</f>
        <v/>
      </c>
      <c r="AL143" s="518" t="str">
        <f>IF(AND(_AC2="A-321N",'2023'!$G$4="FO",'2023'!$G$2=AL119),'2023DATA'!$I$26,"")</f>
        <v/>
      </c>
      <c r="AM143" s="518" t="str">
        <f>IF(AND(_AC2="A-321N",'2023'!$G$4="FO",'2023'!$G$2=AM119),'2023DATA'!$J$26,"")</f>
        <v/>
      </c>
      <c r="AN143" s="518" t="str">
        <f>IF(AND(_AC2="A-321N",'2023'!$G$4="FO",'2023'!$G$2=AN119),'2023DATA'!$K$26,"")</f>
        <v/>
      </c>
      <c r="AO143" s="518" t="str">
        <f>IF(AND(_AC2="A-321N",'2023'!$G$4="FO",'2023'!$G$2=AO119),'2023DATA'!$L$26,"")</f>
        <v/>
      </c>
      <c r="AP143" s="518" t="str">
        <f>IF(AND(_AC2="A-321N",'2023'!$G$4="FO",'2023'!$G$2=AP119),'2023DATA'!$M$26,"")</f>
        <v/>
      </c>
      <c r="AQ143" s="520" t="str">
        <f>IF(AND(_AC2="A-321N",'2023'!$G$4="FO",'2023'!$G$2=AQ119),'2023DATA'!$N$26,"")</f>
        <v/>
      </c>
      <c r="AR143" s="940"/>
      <c r="AS143" s="13" t="s">
        <v>62</v>
      </c>
      <c r="AT143" s="518" t="str">
        <f>IF(AND(_AC3="A-321N",'2023'!$G$4="FO",'2023'!$G$2=AT119),'2023DATA'!$C$26,"")</f>
        <v/>
      </c>
      <c r="AU143" s="518" t="str">
        <f>IF(AND(_AC3="A-321N",'2023'!$G$4="FO",'2023'!$G$2=AU119),'2023DATA'!$D$26,"")</f>
        <v/>
      </c>
      <c r="AV143" s="518" t="str">
        <f>IF(AND(_AC3="A-321N",'2023'!$G$4="FO",'2023'!$G$2=AV119),'2023DATA'!$E$26,"")</f>
        <v/>
      </c>
      <c r="AW143" s="518" t="str">
        <f>IF(AND(_AC3="A-321N",'2023'!$G$4="FO",'2023'!$G$2=AW119),'2023DATA'!$F$26,"")</f>
        <v/>
      </c>
      <c r="AX143" s="518" t="str">
        <f>IF(AND(_AC3="A-321N",'2023'!$G$4="FO",'2023'!$G$2=AX119),'2023DATA'!$G$26,"")</f>
        <v/>
      </c>
      <c r="AY143" s="518" t="str">
        <f>IF(AND(_AC3="A-321N",'2023'!$G$4="FO",'2023'!$G$2=AY119),'2023DATA'!$H$26,"")</f>
        <v/>
      </c>
      <c r="AZ143" s="518" t="str">
        <f>IF(AND(_AC3="A-321N",'2023'!$G$4="FO",'2023'!$G$2=AZ119),'2023DATA'!$I$26,"")</f>
        <v/>
      </c>
      <c r="BA143" s="518" t="str">
        <f>IF(AND(_AC3="A-321N",'2023'!$G$4="FO",'2023'!$G$2=BA119),'2023DATA'!$J$26,"")</f>
        <v/>
      </c>
      <c r="BB143" s="518" t="str">
        <f>IF(AND(_AC3="A-321N",'2023'!$G$4="FO",'2023'!$G$2=BB119),'2023DATA'!$K$26,"")</f>
        <v/>
      </c>
      <c r="BC143" s="518" t="str">
        <f>IF(AND(_AC3="A-321N",'2023'!$G$4="FO",'2023'!$G$2=BC119),'2023DATA'!$L$26,"")</f>
        <v/>
      </c>
      <c r="BD143" s="518" t="str">
        <f>IF(AND(_AC3="A-321N",'2023'!$G$4="FO",'2023'!$G$2=BD119),'2023DATA'!$M$26,"")</f>
        <v/>
      </c>
      <c r="BE143" s="520" t="str">
        <f>IF(AND(_AC3="A-321N",'2023'!$G$4="FO",'2023'!$G$2=BE119),'2023DATA'!$N$26,"")</f>
        <v/>
      </c>
      <c r="BF143" s="940"/>
      <c r="BG143" s="13" t="s">
        <v>62</v>
      </c>
      <c r="BH143" s="518" t="str">
        <f>IF(AND(_AC4="A-321N",'2023'!$G$4="FO",'2023'!$G$2=BH119),'2023DATA'!$C$26,"")</f>
        <v/>
      </c>
      <c r="BI143" s="518" t="str">
        <f>IF(AND(_AC4="A-321N",'2023'!$G$4="FO",'2023'!$G$2=BI119),'2023DATA'!$D$26,"")</f>
        <v/>
      </c>
      <c r="BJ143" s="518" t="str">
        <f>IF(AND(_AC4="A-321N",'2023'!$G$4="FO",'2023'!$G$2=BJ119),'2023DATA'!$E$26,"")</f>
        <v/>
      </c>
      <c r="BK143" s="518" t="str">
        <f>IF(AND(_AC4="A-321N",'2023'!$G$4="FO",'2023'!$G$2=BK119),'2023DATA'!$F$26,"")</f>
        <v/>
      </c>
      <c r="BL143" s="518" t="str">
        <f>IF(AND(_AC4="A-321N",'2023'!$G$4="FO",'2023'!$G$2=BL119),'2023DATA'!$G$26,"")</f>
        <v/>
      </c>
      <c r="BM143" s="518" t="str">
        <f>IF(AND(_AC4="A-321N",'2023'!$G$4="FO",'2023'!$G$2=BM119),'2023DATA'!$H$26,"")</f>
        <v/>
      </c>
      <c r="BN143" s="518" t="str">
        <f>IF(AND(_AC4="A-321N",'2023'!$G$4="FO",'2023'!$G$2=BN119),'2023DATA'!$I$26,"")</f>
        <v/>
      </c>
      <c r="BO143" s="518" t="str">
        <f>IF(AND(_AC4="A-321N",'2023'!$G$4="FO",'2023'!$G$2=BO119),'2023DATA'!$J$26,"")</f>
        <v/>
      </c>
      <c r="BP143" s="518" t="str">
        <f>IF(AND(_AC4="A-321N",'2023'!$G$4="FO",'2023'!$G$2=BP119),'2023DATA'!$K$26,"")</f>
        <v/>
      </c>
      <c r="BQ143" s="518" t="str">
        <f>IF(AND(_AC4="A-321N",'2023'!$G$4="FO",'2023'!$G$2=BQ119),'2023DATA'!$L$26,"")</f>
        <v/>
      </c>
      <c r="BR143" s="518" t="str">
        <f>IF(AND(_AC4="A-321N",'2023'!$G$4="FO",'2023'!$G$2=BR119),'2023DATA'!$M$26,"")</f>
        <v/>
      </c>
      <c r="BS143" s="520" t="str">
        <f>IF(AND(_AC4="A-321N",'2023'!$G$4="FO",'2023'!$G$2=BS119),'2023DATA'!$N$26,"")</f>
        <v/>
      </c>
      <c r="BT143" s="940"/>
      <c r="BU143" s="13" t="s">
        <v>62</v>
      </c>
      <c r="BV143" s="518" t="str">
        <f>IF(AND(_AC5="A-321N",'2023'!$G$4="FO",'2023'!$G$2=BV119),'2023DATA'!$C$26,"")</f>
        <v/>
      </c>
      <c r="BW143" s="518" t="str">
        <f>IF(AND(_AC5="A-321N",'2023'!$G$4="FO",'2023'!$G$2=BW119),'2023DATA'!$D$26,"")</f>
        <v/>
      </c>
      <c r="BX143" s="518" t="str">
        <f>IF(AND(_AC5="A-321N",'2023'!$G$4="FO",'2023'!$G$2=BX119),'2023DATA'!$E$26,"")</f>
        <v/>
      </c>
      <c r="BY143" s="518" t="str">
        <f>IF(AND(_AC5="A-321N",'2023'!$G$4="FO",'2023'!$G$2=BY119),'2023DATA'!$F$26,"")</f>
        <v/>
      </c>
      <c r="BZ143" s="518" t="str">
        <f>IF(AND(_AC5="A-321N",'2023'!$G$4="FO",'2023'!$G$2=BZ119),'2023DATA'!$G$26,"")</f>
        <v/>
      </c>
      <c r="CA143" s="518" t="str">
        <f>IF(AND(_AC5="A-321N",'2023'!$G$4="FO",'2023'!$G$2=CA119),'2023DATA'!$H$26,"")</f>
        <v/>
      </c>
      <c r="CB143" s="518" t="str">
        <f>IF(AND(_AC5="A-321N",'2023'!$G$4="FO",'2023'!$G$2=CB119),'2023DATA'!$I$26,"")</f>
        <v/>
      </c>
      <c r="CC143" s="518" t="str">
        <f>IF(AND(_AC5="A-321N",'2023'!$G$4="FO",'2023'!$G$2=CC119),'2023DATA'!$J$26,"")</f>
        <v/>
      </c>
      <c r="CD143" s="518" t="str">
        <f>IF(AND(_AC5="A-321N",'2023'!$G$4="FO",'2023'!$G$2=CD119),'2023DATA'!$K$26,"")</f>
        <v/>
      </c>
      <c r="CE143" s="518" t="str">
        <f>IF(AND(_AC5="A-321N",'2023'!$G$4="FO",'2023'!$G$2=CE119),'2023DATA'!$L$26,"")</f>
        <v/>
      </c>
      <c r="CF143" s="518" t="str">
        <f>IF(AND(_AC5="A-321N",'2023'!$G$4="FO",'2023'!$G$2=CF119),'2023DATA'!$M$26,"")</f>
        <v/>
      </c>
      <c r="CG143" s="520" t="str">
        <f>IF(AND(_AC5="A-321N",'2023'!$G$4="FO",'2023'!$G$2=CG119),'2023DATA'!$N$26,"")</f>
        <v/>
      </c>
      <c r="CH143" s="940"/>
      <c r="CI143" s="13" t="s">
        <v>62</v>
      </c>
      <c r="CJ143" s="518" t="str">
        <f>IF(AND(_AC6="A-321N",'2023'!$G$4="FO",'2023'!$G$2=CJ119),'2023DATA'!$C$26,"")</f>
        <v/>
      </c>
      <c r="CK143" s="518" t="str">
        <f>IF(AND(_AC6="A-321N",'2023'!$G$4="FO",'2023'!$G$2=CK119),'2023DATA'!$D$26,"")</f>
        <v/>
      </c>
      <c r="CL143" s="518" t="str">
        <f>IF(AND(_AC6="A-321N",'2023'!$G$4="FO",'2023'!$G$2=CL119),'2023DATA'!$E$26,"")</f>
        <v/>
      </c>
      <c r="CM143" s="518" t="str">
        <f>IF(AND(_AC6="A-321N",'2023'!$G$4="FO",'2023'!$G$2=CM119),'2023DATA'!$F$26,"")</f>
        <v/>
      </c>
      <c r="CN143" s="518" t="str">
        <f>IF(AND(_AC6="A-321N",'2023'!$G$4="FO",'2023'!$G$2=CN119),'2023DATA'!$G$26,"")</f>
        <v/>
      </c>
      <c r="CO143" s="518" t="str">
        <f>IF(AND(_AC6="A-321N",'2023'!$G$4="FO",'2023'!$G$2=CO119),'2023DATA'!$H$26,"")</f>
        <v/>
      </c>
      <c r="CP143" s="518" t="str">
        <f>IF(AND(_AC6="A-321N",'2023'!$G$4="FO",'2023'!$G$2=CP119),'2023DATA'!$I$26,"")</f>
        <v/>
      </c>
      <c r="CQ143" s="518" t="str">
        <f>IF(AND(_AC6="A-321N",'2023'!$G$4="FO",'2023'!$G$2=CQ119),'2023DATA'!$J$26,"")</f>
        <v/>
      </c>
      <c r="CR143" s="518" t="str">
        <f>IF(AND(_AC6="A-321N",'2023'!$G$4="FO",'2023'!$G$2=CR119),'2023DATA'!$K$26,"")</f>
        <v/>
      </c>
      <c r="CS143" s="518" t="str">
        <f>IF(AND(_AC6="A-321N",'2023'!$G$4="FO",'2023'!$G$2=CS119),'2023DATA'!$L$26,"")</f>
        <v/>
      </c>
      <c r="CT143" s="518" t="str">
        <f>IF(AND(_AC6="A-321N",'2023'!$G$4="FO",'2023'!$G$2=CT119),'2023DATA'!$M$26,"")</f>
        <v/>
      </c>
      <c r="CU143" s="520" t="str">
        <f>IF(AND(_AC6="A-321N",'2023'!$G$4="FO",'2023'!$G$2=CU119),'2023DATA'!$N$26,"")</f>
        <v/>
      </c>
    </row>
    <row r="144" spans="16:99" x14ac:dyDescent="0.25">
      <c r="P144" s="940" t="s">
        <v>48</v>
      </c>
      <c r="Q144" s="13" t="s">
        <v>61</v>
      </c>
      <c r="R144" s="518" t="str">
        <f>IF(AND(_AC1="A-321",'2023'!$G$4="CA",'2023'!$G$2=R119),'2023DATA'!$C$27,"")</f>
        <v/>
      </c>
      <c r="S144" s="518" t="str">
        <f>IF(AND(_AC1="A-321",'2023'!$G$4="CA",'2023'!$G$2=S119),'2023DATA'!$D$27,"")</f>
        <v/>
      </c>
      <c r="T144" s="518" t="str">
        <f>IF(AND(_AC1="A-321",'2023'!$G$4="CA",'2023'!$G$2=T119),'2023DATA'!$E$27,"")</f>
        <v/>
      </c>
      <c r="U144" s="518" t="str">
        <f>IF(AND(_AC1="A-321",'2023'!$G$4="CA",'2023'!$G$2=U119),'2023DATA'!$F$27,"")</f>
        <v/>
      </c>
      <c r="V144" s="518" t="str">
        <f>IF(AND(_AC1="A-321",'2023'!$G$4="CA",'2023'!$G$2=V119),'2023DATA'!$G$27,"")</f>
        <v/>
      </c>
      <c r="W144" s="518" t="str">
        <f>IF(AND(_AC1="A-321",'2023'!$G$4="CA",'2023'!$G$2=W119),'2023DATA'!$H$27,"")</f>
        <v/>
      </c>
      <c r="X144" s="518" t="str">
        <f>IF(AND(_AC1="A-321",'2023'!$G$4="CA",'2023'!$G$2=X119),'2023DATA'!$I$27,"")</f>
        <v/>
      </c>
      <c r="Y144" s="518" t="str">
        <f>IF(AND(_AC1="A-321",'2023'!$G$4="CA",'2023'!$G$2=Y119),'2023DATA'!$J$27,"")</f>
        <v/>
      </c>
      <c r="Z144" s="518" t="str">
        <f>IF(AND(_AC1="A-321",'2023'!$G$4="CA",'2023'!$G$2=Z119),'2023DATA'!$K$27,"")</f>
        <v/>
      </c>
      <c r="AA144" s="518" t="str">
        <f>IF(AND(_AC1="A-321",'2023'!$G$4="CA",'2023'!$G$2=AA119),'2023DATA'!$L$27,"")</f>
        <v/>
      </c>
      <c r="AB144" s="518" t="str">
        <f>IF(AND(_AC1="A-321",'2023'!$G$4="CA",'2023'!$G$2=AB119),'2023DATA'!$M$27,"")</f>
        <v/>
      </c>
      <c r="AC144" s="520" t="str">
        <f>IF(AND(_AC1="A-321",'2023'!$G$4="CA",'2023'!$G$2=AC119),'2023DATA'!$N$27,"")</f>
        <v/>
      </c>
      <c r="AD144" s="940" t="s">
        <v>48</v>
      </c>
      <c r="AE144" s="13" t="s">
        <v>61</v>
      </c>
      <c r="AF144" s="518" t="str">
        <f>IF(AND(_AC2="A-321",'2023'!$G$4="CA",'2023'!$G$2=AF119),'2023DATA'!$C$27,"")</f>
        <v/>
      </c>
      <c r="AG144" s="518" t="str">
        <f>IF(AND(_AC2="A-321",'2023'!$G$4="CA",'2023'!$G$2=AG119),'2023DATA'!$D$27,"")</f>
        <v/>
      </c>
      <c r="AH144" s="518" t="str">
        <f>IF(AND(_AC2="A-321",'2023'!$G$4="CA",'2023'!$G$2=AH119),'2023DATA'!$E$27,"")</f>
        <v/>
      </c>
      <c r="AI144" s="518" t="str">
        <f>IF(AND(_AC2="A-321",'2023'!$G$4="CA",'2023'!$G$2=AI119),'2023DATA'!$F$27,"")</f>
        <v/>
      </c>
      <c r="AJ144" s="518" t="str">
        <f>IF(AND(_AC2="A-321",'2023'!$G$4="CA",'2023'!$G$2=AJ119),'2023DATA'!$G$27,"")</f>
        <v/>
      </c>
      <c r="AK144" s="518" t="str">
        <f>IF(AND(_AC2="A-321",'2023'!$G$4="CA",'2023'!$G$2=AK119),'2023DATA'!$H$27,"")</f>
        <v/>
      </c>
      <c r="AL144" s="518" t="str">
        <f>IF(AND(_AC2="A-321",'2023'!$G$4="CA",'2023'!$G$2=AL119),'2023DATA'!$I$27,"")</f>
        <v/>
      </c>
      <c r="AM144" s="518" t="str">
        <f>IF(AND(_AC2="A-321",'2023'!$G$4="CA",'2023'!$G$2=AM119),'2023DATA'!$J$27,"")</f>
        <v/>
      </c>
      <c r="AN144" s="518" t="str">
        <f>IF(AND(_AC2="A-321",'2023'!$G$4="CA",'2023'!$G$2=AN119),'2023DATA'!$K$27,"")</f>
        <v/>
      </c>
      <c r="AO144" s="518" t="str">
        <f>IF(AND(_AC2="A-321",'2023'!$G$4="CA",'2023'!$G$2=AO119),'2023DATA'!$L$27,"")</f>
        <v/>
      </c>
      <c r="AP144" s="518" t="str">
        <f>IF(AND(_AC2="A-321",'2023'!$G$4="CA",'2023'!$G$2=AP119),'2023DATA'!$M$27,"")</f>
        <v/>
      </c>
      <c r="AQ144" s="520" t="str">
        <f>IF(AND(_AC2="A-321",'2023'!$G$4="CA",'2023'!$G$2=AQ119),'2023DATA'!$N$27,"")</f>
        <v/>
      </c>
      <c r="AR144" s="940" t="s">
        <v>48</v>
      </c>
      <c r="AS144" s="13" t="s">
        <v>61</v>
      </c>
      <c r="AT144" s="518" t="str">
        <f>IF(AND(_AC3="A-321",'2023'!$G$4="CA",'2023'!$G$2=AT119),'2023DATA'!$C$27,"")</f>
        <v/>
      </c>
      <c r="AU144" s="518" t="str">
        <f>IF(AND(_AC3="A-321",'2023'!$G$4="CA",'2023'!$G$2=AU119),'2023DATA'!$D$27,"")</f>
        <v/>
      </c>
      <c r="AV144" s="518" t="str">
        <f>IF(AND(_AC3="A-321",'2023'!$G$4="CA",'2023'!$G$2=AV119),'2023DATA'!$E$27,"")</f>
        <v/>
      </c>
      <c r="AW144" s="518" t="str">
        <f>IF(AND(_AC3="A-321",'2023'!$G$4="CA",'2023'!$G$2=AW119),'2023DATA'!$F$27,"")</f>
        <v/>
      </c>
      <c r="AX144" s="518" t="str">
        <f>IF(AND(_AC3="A-321",'2023'!$G$4="CA",'2023'!$G$2=AX119),'2023DATA'!$G$27,"")</f>
        <v/>
      </c>
      <c r="AY144" s="518" t="str">
        <f>IF(AND(_AC3="A-321",'2023'!$G$4="CA",'2023'!$G$2=AY119),'2023DATA'!$H$27,"")</f>
        <v/>
      </c>
      <c r="AZ144" s="518" t="str">
        <f>IF(AND(_AC3="A-321",'2023'!$G$4="CA",'2023'!$G$2=AZ119),'2023DATA'!$I$27,"")</f>
        <v/>
      </c>
      <c r="BA144" s="518" t="str">
        <f>IF(AND(_AC3="A-321",'2023'!$G$4="CA",'2023'!$G$2=BA119),'2023DATA'!$J$27,"")</f>
        <v/>
      </c>
      <c r="BB144" s="518" t="str">
        <f>IF(AND(_AC3="A-321",'2023'!$G$4="CA",'2023'!$G$2=BB119),'2023DATA'!$K$27,"")</f>
        <v/>
      </c>
      <c r="BC144" s="518" t="str">
        <f>IF(AND(_AC3="A-321",'2023'!$G$4="CA",'2023'!$G$2=BC119),'2023DATA'!$L$27,"")</f>
        <v/>
      </c>
      <c r="BD144" s="518" t="str">
        <f>IF(AND(_AC3="A-321",'2023'!$G$4="CA",'2023'!$G$2=BD119),'2023DATA'!$M$27,"")</f>
        <v/>
      </c>
      <c r="BE144" s="520" t="str">
        <f>IF(AND(_AC3="A-321",'2023'!$G$4="CA",'2023'!$G$2=BE119),'2023DATA'!$N$27,"")</f>
        <v/>
      </c>
      <c r="BF144" s="940" t="s">
        <v>48</v>
      </c>
      <c r="BG144" s="13" t="s">
        <v>61</v>
      </c>
      <c r="BH144" s="518" t="str">
        <f>IF(AND(_AC4="A-321",'2023'!$G$4="CA",'2023'!$G$2=BH119),'2023DATA'!$C$27,"")</f>
        <v/>
      </c>
      <c r="BI144" s="518" t="str">
        <f>IF(AND(_AC4="A-321",'2023'!$G$4="CA",'2023'!$G$2=BI119),'2023DATA'!$D$27,"")</f>
        <v/>
      </c>
      <c r="BJ144" s="518" t="str">
        <f>IF(AND(_AC4="A-321",'2023'!$G$4="CA",'2023'!$G$2=BJ119),'2023DATA'!$E$27,"")</f>
        <v/>
      </c>
      <c r="BK144" s="518" t="str">
        <f>IF(AND(_AC4="A-321",'2023'!$G$4="CA",'2023'!$G$2=BK119),'2023DATA'!$F$27,"")</f>
        <v/>
      </c>
      <c r="BL144" s="518" t="str">
        <f>IF(AND(_AC4="A-321",'2023'!$G$4="CA",'2023'!$G$2=BL119),'2023DATA'!$G$27,"")</f>
        <v/>
      </c>
      <c r="BM144" s="518" t="str">
        <f>IF(AND(_AC4="A-321",'2023'!$G$4="CA",'2023'!$G$2=BM119),'2023DATA'!$H$27,"")</f>
        <v/>
      </c>
      <c r="BN144" s="518" t="str">
        <f>IF(AND(_AC4="A-321",'2023'!$G$4="CA",'2023'!$G$2=BN119),'2023DATA'!$I$27,"")</f>
        <v/>
      </c>
      <c r="BO144" s="518" t="str">
        <f>IF(AND(_AC4="A-321",'2023'!$G$4="CA",'2023'!$G$2=BO119),'2023DATA'!$J$27,"")</f>
        <v/>
      </c>
      <c r="BP144" s="518" t="str">
        <f>IF(AND(_AC4="A-321",'2023'!$G$4="CA",'2023'!$G$2=BP119),'2023DATA'!$K$27,"")</f>
        <v/>
      </c>
      <c r="BQ144" s="518" t="str">
        <f>IF(AND(_AC4="A-321",'2023'!$G$4="CA",'2023'!$G$2=BQ119),'2023DATA'!$L$27,"")</f>
        <v/>
      </c>
      <c r="BR144" s="518" t="str">
        <f>IF(AND(_AC4="A-321",'2023'!$G$4="CA",'2023'!$G$2=BR119),'2023DATA'!$M$27,"")</f>
        <v/>
      </c>
      <c r="BS144" s="520" t="str">
        <f>IF(AND(_AC4="A-321",'2023'!$G$4="CA",'2023'!$G$2=BS119),'2023DATA'!$N$27,"")</f>
        <v/>
      </c>
      <c r="BT144" s="940" t="s">
        <v>48</v>
      </c>
      <c r="BU144" s="13" t="s">
        <v>61</v>
      </c>
      <c r="BV144" s="518" t="str">
        <f>IF(AND(_AC5="A-321",'2023'!$G$4="CA",'2023'!$G$2=BV119),'2023DATA'!$C$27,"")</f>
        <v/>
      </c>
      <c r="BW144" s="518" t="str">
        <f>IF(AND(_AC5="A-321",'2023'!$G$4="CA",'2023'!$G$2=BW119),'2023DATA'!$D$27,"")</f>
        <v/>
      </c>
      <c r="BX144" s="518" t="str">
        <f>IF(AND(_AC5="A-321",'2023'!$G$4="CA",'2023'!$G$2=BX119),'2023DATA'!$E$27,"")</f>
        <v/>
      </c>
      <c r="BY144" s="518" t="str">
        <f>IF(AND(_AC5="A-321",'2023'!$G$4="CA",'2023'!$G$2=BY119),'2023DATA'!$F$27,"")</f>
        <v/>
      </c>
      <c r="BZ144" s="518" t="str">
        <f>IF(AND(_AC5="A-321",'2023'!$G$4="CA",'2023'!$G$2=BZ119),'2023DATA'!$G$27,"")</f>
        <v/>
      </c>
      <c r="CA144" s="518" t="str">
        <f>IF(AND(_AC5="A-321",'2023'!$G$4="CA",'2023'!$G$2=CA119),'2023DATA'!$H$27,"")</f>
        <v/>
      </c>
      <c r="CB144" s="518" t="str">
        <f>IF(AND(_AC5="A-321",'2023'!$G$4="CA",'2023'!$G$2=CB119),'2023DATA'!$I$27,"")</f>
        <v/>
      </c>
      <c r="CC144" s="518" t="str">
        <f>IF(AND(_AC5="A-321",'2023'!$G$4="CA",'2023'!$G$2=CC119),'2023DATA'!$J$27,"")</f>
        <v/>
      </c>
      <c r="CD144" s="518" t="str">
        <f>IF(AND(_AC5="A-321",'2023'!$G$4="CA",'2023'!$G$2=CD119),'2023DATA'!$K$27,"")</f>
        <v/>
      </c>
      <c r="CE144" s="518" t="str">
        <f>IF(AND(_AC5="A-321",'2023'!$G$4="CA",'2023'!$G$2=CE119),'2023DATA'!$L$27,"")</f>
        <v/>
      </c>
      <c r="CF144" s="518" t="str">
        <f>IF(AND(_AC5="A-321",'2023'!$G$4="CA",'2023'!$G$2=CF119),'2023DATA'!$M$27,"")</f>
        <v/>
      </c>
      <c r="CG144" s="520" t="str">
        <f>IF(AND(_AC5="A-321",'2023'!$G$4="CA",'2023'!$G$2=CG119),'2023DATA'!$N$27,"")</f>
        <v/>
      </c>
      <c r="CH144" s="940" t="s">
        <v>48</v>
      </c>
      <c r="CI144" s="13" t="s">
        <v>61</v>
      </c>
      <c r="CJ144" s="518" t="str">
        <f>IF(AND(_AC6="A-321",'2023'!$G$4="CA",'2023'!$G$2=CJ119),'2023DATA'!$C$27,"")</f>
        <v/>
      </c>
      <c r="CK144" s="518" t="str">
        <f>IF(AND(_AC6="A-321",'2023'!$G$4="CA",'2023'!$G$2=CK119),'2023DATA'!$D$27,"")</f>
        <v/>
      </c>
      <c r="CL144" s="518" t="str">
        <f>IF(AND(_AC6="A-321",'2023'!$G$4="CA",'2023'!$G$2=CL119),'2023DATA'!$E$27,"")</f>
        <v/>
      </c>
      <c r="CM144" s="518" t="str">
        <f>IF(AND(_AC6="A-321",'2023'!$G$4="CA",'2023'!$G$2=CM119),'2023DATA'!$F$27,"")</f>
        <v/>
      </c>
      <c r="CN144" s="518" t="str">
        <f>IF(AND(_AC6="A-321",'2023'!$G$4="CA",'2023'!$G$2=CN119),'2023DATA'!$G$27,"")</f>
        <v/>
      </c>
      <c r="CO144" s="518" t="str">
        <f>IF(AND(_AC6="A-321",'2023'!$G$4="CA",'2023'!$G$2=CO119),'2023DATA'!$H$27,"")</f>
        <v/>
      </c>
      <c r="CP144" s="518" t="str">
        <f>IF(AND(_AC6="A-321",'2023'!$G$4="CA",'2023'!$G$2=CP119),'2023DATA'!$I$27,"")</f>
        <v/>
      </c>
      <c r="CQ144" s="518" t="str">
        <f>IF(AND(_AC6="A-321",'2023'!$G$4="CA",'2023'!$G$2=CQ119),'2023DATA'!$J$27,"")</f>
        <v/>
      </c>
      <c r="CR144" s="518" t="str">
        <f>IF(AND(_AC6="A-321",'2023'!$G$4="CA",'2023'!$G$2=CR119),'2023DATA'!$K$27,"")</f>
        <v/>
      </c>
      <c r="CS144" s="518" t="str">
        <f>IF(AND(_AC6="A-321",'2023'!$G$4="CA",'2023'!$G$2=CS119),'2023DATA'!$L$27,"")</f>
        <v/>
      </c>
      <c r="CT144" s="518" t="str">
        <f>IF(AND(_AC6="A-321",'2023'!$G$4="CA",'2023'!$G$2=CT119),'2023DATA'!$M$27,"")</f>
        <v/>
      </c>
      <c r="CU144" s="520" t="str">
        <f>IF(AND(_AC6="A-321",'2023'!$G$4="CA",'2023'!$G$2=CU119),'2023DATA'!$N$27,"")</f>
        <v/>
      </c>
    </row>
    <row r="145" spans="16:99" x14ac:dyDescent="0.25">
      <c r="P145" s="940"/>
      <c r="Q145" s="13" t="s">
        <v>62</v>
      </c>
      <c r="R145" s="518" t="str">
        <f>IF(AND(_AC1="A-321",'2023'!$G$4="FO",'2023'!$G$2=R119),'2023DATA'!$C$28,"")</f>
        <v/>
      </c>
      <c r="S145" s="518" t="str">
        <f>IF(AND(_AC1="A-321",'2023'!$G$4="FO",'2023'!$G$2=S119),'2023DATA'!$D$28,"")</f>
        <v/>
      </c>
      <c r="T145" s="518" t="str">
        <f>IF(AND(_AC1="A-321",'2023'!$G$4="FO",'2023'!$G$2=T119),'2023DATA'!$E$28,"")</f>
        <v/>
      </c>
      <c r="U145" s="518" t="str">
        <f>IF(AND(_AC1="A-321",'2023'!$G$4="FO",'2023'!$G$2=U119),'2023DATA'!$F$28,"")</f>
        <v/>
      </c>
      <c r="V145" s="518" t="str">
        <f>IF(AND(_AC1="A-321",'2023'!$G$4="FO",'2023'!$G$2=V119),'2023DATA'!$G$28,"")</f>
        <v/>
      </c>
      <c r="W145" s="518" t="str">
        <f>IF(AND(_AC1="A-321",'2023'!$G$4="FO",'2023'!$G$2=W119),'2023DATA'!$H$28,"")</f>
        <v/>
      </c>
      <c r="X145" s="518" t="str">
        <f>IF(AND(_AC1="A-321",'2023'!$G$4="FO",'2023'!$G$2=X119),'2023DATA'!$I$28,"")</f>
        <v/>
      </c>
      <c r="Y145" s="518" t="str">
        <f>IF(AND(_AC1="A-321",'2023'!$G$4="FO",'2023'!$G$2=Y119),'2023DATA'!$J$28,"")</f>
        <v/>
      </c>
      <c r="Z145" s="518" t="str">
        <f>IF(AND(_AC1="A-321",'2023'!$G$4="FO",'2023'!$G$2=Z119),'2023DATA'!$K$28,"")</f>
        <v/>
      </c>
      <c r="AA145" s="518" t="str">
        <f>IF(AND(_AC1="A-321",'2023'!$G$4="FO",'2023'!$G$2=AA119),'2023DATA'!$L$28,"")</f>
        <v/>
      </c>
      <c r="AB145" s="518" t="str">
        <f>IF(AND(_AC1="A-321",'2023'!$G$4="FO",'2023'!$G$2=AB119),'2023DATA'!$M$28,"")</f>
        <v/>
      </c>
      <c r="AC145" s="520" t="str">
        <f>IF(AND(_AC1="A-321",'2023'!$G$4="FO",'2023'!$G$2=AC119),'2023DATA'!$N$28,"")</f>
        <v/>
      </c>
      <c r="AD145" s="940"/>
      <c r="AE145" s="13" t="s">
        <v>62</v>
      </c>
      <c r="AF145" s="518" t="str">
        <f>IF(AND(_AC2="A-321",'2023'!$G$4="FO",'2023'!$G$2=AF119),'2023DATA'!$C$28,"")</f>
        <v/>
      </c>
      <c r="AG145" s="518" t="str">
        <f>IF(AND(_AC2="A-321",'2023'!$G$4="FO",'2023'!$G$2=AG119),'2023DATA'!$D$28,"")</f>
        <v/>
      </c>
      <c r="AH145" s="518" t="str">
        <f>IF(AND(_AC2="A-321",'2023'!$G$4="FO",'2023'!$G$2=AH119),'2023DATA'!$E$28,"")</f>
        <v/>
      </c>
      <c r="AI145" s="518" t="str">
        <f>IF(AND(_AC2="A-321",'2023'!$G$4="FO",'2023'!$G$2=AI119),'2023DATA'!$F$28,"")</f>
        <v/>
      </c>
      <c r="AJ145" s="518" t="str">
        <f>IF(AND(_AC2="A-321",'2023'!$G$4="FO",'2023'!$G$2=AJ119),'2023DATA'!$G$28,"")</f>
        <v/>
      </c>
      <c r="AK145" s="518" t="str">
        <f>IF(AND(_AC2="A-321",'2023'!$G$4="FO",'2023'!$G$2=AK119),'2023DATA'!$H$28,"")</f>
        <v/>
      </c>
      <c r="AL145" s="518" t="str">
        <f>IF(AND(_AC2="A-321",'2023'!$G$4="FO",'2023'!$G$2=AL119),'2023DATA'!$I$28,"")</f>
        <v/>
      </c>
      <c r="AM145" s="518" t="str">
        <f>IF(AND(_AC2="A-321",'2023'!$G$4="FO",'2023'!$G$2=AM119),'2023DATA'!$J$28,"")</f>
        <v/>
      </c>
      <c r="AN145" s="518" t="str">
        <f>IF(AND(_AC2="A-321",'2023'!$G$4="FO",'2023'!$G$2=AN119),'2023DATA'!$K$28,"")</f>
        <v/>
      </c>
      <c r="AO145" s="518" t="str">
        <f>IF(AND(_AC2="A-321",'2023'!$G$4="FO",'2023'!$G$2=AO119),'2023DATA'!$L$28,"")</f>
        <v/>
      </c>
      <c r="AP145" s="518" t="str">
        <f>IF(AND(_AC2="A-321",'2023'!$G$4="FO",'2023'!$G$2=AP119),'2023DATA'!$M$28,"")</f>
        <v/>
      </c>
      <c r="AQ145" s="520" t="str">
        <f>IF(AND(_AC2="A-321",'2023'!$G$4="FO",'2023'!$G$2=AQ119),'2023DATA'!$N$28,"")</f>
        <v/>
      </c>
      <c r="AR145" s="940"/>
      <c r="AS145" s="13" t="s">
        <v>62</v>
      </c>
      <c r="AT145" s="518" t="str">
        <f>IF(AND(_AC3="A-321",'2023'!$G$4="FO",'2023'!$G$2=AT119),'2023DATA'!$C$28,"")</f>
        <v/>
      </c>
      <c r="AU145" s="518" t="str">
        <f>IF(AND(_AC3="A-321",'2023'!$G$4="FO",'2023'!$G$2=AU119),'2023DATA'!$D$28,"")</f>
        <v/>
      </c>
      <c r="AV145" s="518" t="str">
        <f>IF(AND(_AC3="A-321",'2023'!$G$4="FO",'2023'!$G$2=AV119),'2023DATA'!$E$28,"")</f>
        <v/>
      </c>
      <c r="AW145" s="518" t="str">
        <f>IF(AND(_AC3="A-321",'2023'!$G$4="FO",'2023'!$G$2=AW119),'2023DATA'!$F$28,"")</f>
        <v/>
      </c>
      <c r="AX145" s="518" t="str">
        <f>IF(AND(_AC3="A-321",'2023'!$G$4="FO",'2023'!$G$2=AX119),'2023DATA'!$G$28,"")</f>
        <v/>
      </c>
      <c r="AY145" s="518" t="str">
        <f>IF(AND(_AC3="A-321",'2023'!$G$4="FO",'2023'!$G$2=AY119),'2023DATA'!$H$28,"")</f>
        <v/>
      </c>
      <c r="AZ145" s="518" t="str">
        <f>IF(AND(_AC3="A-321",'2023'!$G$4="FO",'2023'!$G$2=AZ119),'2023DATA'!$I$28,"")</f>
        <v/>
      </c>
      <c r="BA145" s="518" t="str">
        <f>IF(AND(_AC3="A-321",'2023'!$G$4="FO",'2023'!$G$2=BA119),'2023DATA'!$J$28,"")</f>
        <v/>
      </c>
      <c r="BB145" s="518" t="str">
        <f>IF(AND(_AC3="A-321",'2023'!$G$4="FO",'2023'!$G$2=BB119),'2023DATA'!$K$28,"")</f>
        <v/>
      </c>
      <c r="BC145" s="518" t="str">
        <f>IF(AND(_AC3="A-321",'2023'!$G$4="FO",'2023'!$G$2=BC119),'2023DATA'!$L$28,"")</f>
        <v/>
      </c>
      <c r="BD145" s="518" t="str">
        <f>IF(AND(_AC3="A-321",'2023'!$G$4="FO",'2023'!$G$2=BD119),'2023DATA'!$M$28,"")</f>
        <v/>
      </c>
      <c r="BE145" s="520" t="str">
        <f>IF(AND(_AC3="A-321",'2023'!$G$4="FO",'2023'!$G$2=BE119),'2023DATA'!$N$28,"")</f>
        <v/>
      </c>
      <c r="BF145" s="940"/>
      <c r="BG145" s="13" t="s">
        <v>62</v>
      </c>
      <c r="BH145" s="518" t="str">
        <f>IF(AND(_AC4="A-321",'2023'!$G$4="FO",'2023'!$G$2=BH119),'2023DATA'!$C$28,"")</f>
        <v/>
      </c>
      <c r="BI145" s="518" t="str">
        <f>IF(AND(_AC4="A-321",'2023'!$G$4="FO",'2023'!$G$2=BI119),'2023DATA'!$D$28,"")</f>
        <v/>
      </c>
      <c r="BJ145" s="518" t="str">
        <f>IF(AND(_AC4="A-321",'2023'!$G$4="FO",'2023'!$G$2=BJ119),'2023DATA'!$E$28,"")</f>
        <v/>
      </c>
      <c r="BK145" s="518" t="str">
        <f>IF(AND(_AC4="A-321",'2023'!$G$4="FO",'2023'!$G$2=BK119),'2023DATA'!$F$28,"")</f>
        <v/>
      </c>
      <c r="BL145" s="518" t="str">
        <f>IF(AND(_AC4="A-321",'2023'!$G$4="FO",'2023'!$G$2=BL119),'2023DATA'!$G$28,"")</f>
        <v/>
      </c>
      <c r="BM145" s="518" t="str">
        <f>IF(AND(_AC4="A-321",'2023'!$G$4="FO",'2023'!$G$2=BM119),'2023DATA'!$H$28,"")</f>
        <v/>
      </c>
      <c r="BN145" s="518" t="str">
        <f>IF(AND(_AC4="A-321",'2023'!$G$4="FO",'2023'!$G$2=BN119),'2023DATA'!$I$28,"")</f>
        <v/>
      </c>
      <c r="BO145" s="518" t="str">
        <f>IF(AND(_AC4="A-321",'2023'!$G$4="FO",'2023'!$G$2=BO119),'2023DATA'!$J$28,"")</f>
        <v/>
      </c>
      <c r="BP145" s="518" t="str">
        <f>IF(AND(_AC4="A-321",'2023'!$G$4="FO",'2023'!$G$2=BP119),'2023DATA'!$K$28,"")</f>
        <v/>
      </c>
      <c r="BQ145" s="518" t="str">
        <f>IF(AND(_AC4="A-321",'2023'!$G$4="FO",'2023'!$G$2=BQ119),'2023DATA'!$L$28,"")</f>
        <v/>
      </c>
      <c r="BR145" s="518" t="str">
        <f>IF(AND(_AC4="A-321",'2023'!$G$4="FO",'2023'!$G$2=BR119),'2023DATA'!$M$28,"")</f>
        <v/>
      </c>
      <c r="BS145" s="520" t="str">
        <f>IF(AND(_AC4="A-321",'2023'!$G$4="FO",'2023'!$G$2=BS119),'2023DATA'!$N$28,"")</f>
        <v/>
      </c>
      <c r="BT145" s="940"/>
      <c r="BU145" s="13" t="s">
        <v>62</v>
      </c>
      <c r="BV145" s="518" t="str">
        <f>IF(AND(_AC5="A-321",'2023'!$G$4="FO",'2023'!$G$2=BV119),'2023DATA'!$C$28,"")</f>
        <v/>
      </c>
      <c r="BW145" s="518" t="str">
        <f>IF(AND(_AC5="A-321",'2023'!$G$4="FO",'2023'!$G$2=BW119),'2023DATA'!$D$28,"")</f>
        <v/>
      </c>
      <c r="BX145" s="518" t="str">
        <f>IF(AND(_AC5="A-321",'2023'!$G$4="FO",'2023'!$G$2=BX119),'2023DATA'!$E$28,"")</f>
        <v/>
      </c>
      <c r="BY145" s="518" t="str">
        <f>IF(AND(_AC5="A-321",'2023'!$G$4="FO",'2023'!$G$2=BY119),'2023DATA'!$F$28,"")</f>
        <v/>
      </c>
      <c r="BZ145" s="518" t="str">
        <f>IF(AND(_AC5="A-321",'2023'!$G$4="FO",'2023'!$G$2=BZ119),'2023DATA'!$G$28,"")</f>
        <v/>
      </c>
      <c r="CA145" s="518" t="str">
        <f>IF(AND(_AC5="A-321",'2023'!$G$4="FO",'2023'!$G$2=CA119),'2023DATA'!$H$28,"")</f>
        <v/>
      </c>
      <c r="CB145" s="518" t="str">
        <f>IF(AND(_AC5="A-321",'2023'!$G$4="FO",'2023'!$G$2=CB119),'2023DATA'!$I$28,"")</f>
        <v/>
      </c>
      <c r="CC145" s="518" t="str">
        <f>IF(AND(_AC5="A-321",'2023'!$G$4="FO",'2023'!$G$2=CC119),'2023DATA'!$J$28,"")</f>
        <v/>
      </c>
      <c r="CD145" s="518" t="str">
        <f>IF(AND(_AC5="A-321",'2023'!$G$4="FO",'2023'!$G$2=CD119),'2023DATA'!$K$28,"")</f>
        <v/>
      </c>
      <c r="CE145" s="518" t="str">
        <f>IF(AND(_AC5="A-321",'2023'!$G$4="FO",'2023'!$G$2=CE119),'2023DATA'!$L$28,"")</f>
        <v/>
      </c>
      <c r="CF145" s="518" t="str">
        <f>IF(AND(_AC5="A-321",'2023'!$G$4="FO",'2023'!$G$2=CF119),'2023DATA'!$M$28,"")</f>
        <v/>
      </c>
      <c r="CG145" s="520" t="str">
        <f>IF(AND(_AC5="A-321",'2023'!$G$4="FO",'2023'!$G$2=CG119),'2023DATA'!$N$28,"")</f>
        <v/>
      </c>
      <c r="CH145" s="940"/>
      <c r="CI145" s="13" t="s">
        <v>62</v>
      </c>
      <c r="CJ145" s="518" t="str">
        <f>IF(AND(_AC6="A-321",'2023'!$G$4="FO",'2023'!$G$2=CJ119),'2023DATA'!$C$28,"")</f>
        <v/>
      </c>
      <c r="CK145" s="518" t="str">
        <f>IF(AND(_AC6="A-321",'2023'!$G$4="FO",'2023'!$G$2=CK119),'2023DATA'!$D$28,"")</f>
        <v/>
      </c>
      <c r="CL145" s="518" t="str">
        <f>IF(AND(_AC6="A-321",'2023'!$G$4="FO",'2023'!$G$2=CL119),'2023DATA'!$E$28,"")</f>
        <v/>
      </c>
      <c r="CM145" s="518" t="str">
        <f>IF(AND(_AC6="A-321",'2023'!$G$4="FO",'2023'!$G$2=CM119),'2023DATA'!$F$28,"")</f>
        <v/>
      </c>
      <c r="CN145" s="518" t="str">
        <f>IF(AND(_AC6="A-321",'2023'!$G$4="FO",'2023'!$G$2=CN119),'2023DATA'!$G$28,"")</f>
        <v/>
      </c>
      <c r="CO145" s="518" t="str">
        <f>IF(AND(_AC6="A-321",'2023'!$G$4="FO",'2023'!$G$2=CO119),'2023DATA'!$H$28,"")</f>
        <v/>
      </c>
      <c r="CP145" s="518" t="str">
        <f>IF(AND(_AC6="A-321",'2023'!$G$4="FO",'2023'!$G$2=CP119),'2023DATA'!$I$28,"")</f>
        <v/>
      </c>
      <c r="CQ145" s="518" t="str">
        <f>IF(AND(_AC6="A-321",'2023'!$G$4="FO",'2023'!$G$2=CQ119),'2023DATA'!$J$28,"")</f>
        <v/>
      </c>
      <c r="CR145" s="518" t="str">
        <f>IF(AND(_AC6="A-321",'2023'!$G$4="FO",'2023'!$G$2=CR119),'2023DATA'!$K$28,"")</f>
        <v/>
      </c>
      <c r="CS145" s="518" t="str">
        <f>IF(AND(_AC6="A-321",'2023'!$G$4="FO",'2023'!$G$2=CS119),'2023DATA'!$L$28,"")</f>
        <v/>
      </c>
      <c r="CT145" s="518" t="str">
        <f>IF(AND(_AC6="A-321",'2023'!$G$4="FO",'2023'!$G$2=CT119),'2023DATA'!$M$28,"")</f>
        <v/>
      </c>
      <c r="CU145" s="520" t="str">
        <f>IF(AND(_AC6="A-321",'2023'!$G$4="FO",'2023'!$G$2=CU119),'2023DATA'!$N$28,"")</f>
        <v/>
      </c>
    </row>
    <row r="146" spans="16:99" x14ac:dyDescent="0.25">
      <c r="P146" s="940" t="s">
        <v>70</v>
      </c>
      <c r="Q146" s="13" t="s">
        <v>61</v>
      </c>
      <c r="R146" s="518" t="str">
        <f>IF(AND(_AC1="A-320",'2023'!$G$4="CA",'2023'!$G$2=R119),'2023DATA'!$C$29,"")</f>
        <v/>
      </c>
      <c r="S146" s="518" t="str">
        <f>IF(AND(_AC1="A-320",'2023'!$G$4="CA",'2023'!$G$2=S119),'2023DATA'!$D$29,"")</f>
        <v/>
      </c>
      <c r="T146" s="518" t="str">
        <f>IF(AND(_AC1="A-320",'2023'!$G$4="CA",'2023'!$G$2=T119),'2023DATA'!$E$29,"")</f>
        <v/>
      </c>
      <c r="U146" s="518" t="str">
        <f>IF(AND(_AC1="A-320",'2023'!$G$4="CA",'2023'!$G$2=U119),'2023DATA'!$F$29,"")</f>
        <v/>
      </c>
      <c r="V146" s="518" t="str">
        <f>IF(AND(_AC1="A-320",'2023'!$G$4="CA",'2023'!$G$2=V119),'2023DATA'!$G$29,"")</f>
        <v/>
      </c>
      <c r="W146" s="518" t="str">
        <f>IF(AND(_AC1="A-320",'2023'!$G$4="CA",'2023'!$G$2=W119),'2023DATA'!$H$29,"")</f>
        <v/>
      </c>
      <c r="X146" s="518" t="str">
        <f>IF(AND(_AC1="A-320",'2023'!$G$4="CA",'2023'!$G$2=X119),'2023DATA'!$I$29,"")</f>
        <v/>
      </c>
      <c r="Y146" s="518" t="str">
        <f>IF(AND(_AC1="A-320",'2023'!$G$4="CA",'2023'!$G$2=Y119),'2023DATA'!$J$29,"")</f>
        <v/>
      </c>
      <c r="Z146" s="518" t="str">
        <f>IF(AND(_AC1="A-320",'2023'!$G$4="CA",'2023'!$G$2=Z119),'2023DATA'!$K$29,"")</f>
        <v/>
      </c>
      <c r="AA146" s="518" t="str">
        <f>IF(AND(_AC1="A-320",'2023'!$G$4="CA",'2023'!$G$2=AA119),'2023DATA'!$L$29,"")</f>
        <v/>
      </c>
      <c r="AB146" s="518" t="str">
        <f>IF(AND(_AC1="A-320",'2023'!$G$4="CA",'2023'!$G$2=AB119),'2023DATA'!$M$29,"")</f>
        <v/>
      </c>
      <c r="AC146" s="520" t="str">
        <f>IF(AND(_AC1="A-320",'2023'!$G$4="CA",'2023'!$G$2=AC119),'2023DATA'!$N$29,"")</f>
        <v/>
      </c>
      <c r="AD146" s="940" t="s">
        <v>70</v>
      </c>
      <c r="AE146" s="13" t="s">
        <v>61</v>
      </c>
      <c r="AF146" s="518" t="str">
        <f>IF(AND(_AC2="A-320",'2023'!$G$4="CA",'2023'!$G$2=AF119),'2023DATA'!$C$29,"")</f>
        <v/>
      </c>
      <c r="AG146" s="518" t="str">
        <f>IF(AND(_AC2="A-320",'2023'!$G$4="CA",'2023'!$G$2=AG119),'2023DATA'!$D$29,"")</f>
        <v/>
      </c>
      <c r="AH146" s="518" t="str">
        <f>IF(AND(_AC2="A-320",'2023'!$G$4="CA",'2023'!$G$2=AH119),'2023DATA'!$E$29,"")</f>
        <v/>
      </c>
      <c r="AI146" s="518" t="str">
        <f>IF(AND(_AC2="A-320",'2023'!$G$4="CA",'2023'!$G$2=AI119),'2023DATA'!$F$29,"")</f>
        <v/>
      </c>
      <c r="AJ146" s="518" t="str">
        <f>IF(AND(_AC2="A-320",'2023'!$G$4="CA",'2023'!$G$2=AJ119),'2023DATA'!$G$29,"")</f>
        <v/>
      </c>
      <c r="AK146" s="518" t="str">
        <f>IF(AND(_AC2="A-320",'2023'!$G$4="CA",'2023'!$G$2=AK119),'2023DATA'!$H$29,"")</f>
        <v/>
      </c>
      <c r="AL146" s="518" t="str">
        <f>IF(AND(_AC2="A-320",'2023'!$G$4="CA",'2023'!$G$2=AL119),'2023DATA'!$I$29,"")</f>
        <v/>
      </c>
      <c r="AM146" s="518" t="str">
        <f>IF(AND(_AC2="A-320",'2023'!$G$4="CA",'2023'!$G$2=AM119),'2023DATA'!$J$29,"")</f>
        <v/>
      </c>
      <c r="AN146" s="518" t="str">
        <f>IF(AND(_AC2="A-320",'2023'!$G$4="CA",'2023'!$G$2=AN119),'2023DATA'!$K$29,"")</f>
        <v/>
      </c>
      <c r="AO146" s="518" t="str">
        <f>IF(AND(_AC2="A-320",'2023'!$G$4="CA",'2023'!$G$2=AO119),'2023DATA'!$L$29,"")</f>
        <v/>
      </c>
      <c r="AP146" s="518" t="str">
        <f>IF(AND(_AC2="A-320",'2023'!$G$4="CA",'2023'!$G$2=AP119),'2023DATA'!$M$29,"")</f>
        <v/>
      </c>
      <c r="AQ146" s="520" t="str">
        <f>IF(AND(_AC2="A-320",'2023'!$G$4="CA",'2023'!$G$2=AQ119),'2023DATA'!$N$29,"")</f>
        <v/>
      </c>
      <c r="AR146" s="940" t="s">
        <v>70</v>
      </c>
      <c r="AS146" s="13" t="s">
        <v>61</v>
      </c>
      <c r="AT146" s="518" t="str">
        <f>IF(AND(_AC3="A-320",'2023'!$G$4="CA",'2023'!$G$2=AT119),'2023DATA'!$C$29,"")</f>
        <v/>
      </c>
      <c r="AU146" s="518" t="str">
        <f>IF(AND(_AC3="A-320",'2023'!$G$4="CA",'2023'!$G$2=AU119),'2023DATA'!$D$29,"")</f>
        <v/>
      </c>
      <c r="AV146" s="518" t="str">
        <f>IF(AND(_AC3="A-320",'2023'!$G$4="CA",'2023'!$G$2=AV119),'2023DATA'!$E$29,"")</f>
        <v/>
      </c>
      <c r="AW146" s="518" t="str">
        <f>IF(AND(_AC3="A-320",'2023'!$G$4="CA",'2023'!$G$2=AW119),'2023DATA'!$F$29,"")</f>
        <v/>
      </c>
      <c r="AX146" s="518" t="str">
        <f>IF(AND(_AC3="A-320",'2023'!$G$4="CA",'2023'!$G$2=AX119),'2023DATA'!$G$29,"")</f>
        <v/>
      </c>
      <c r="AY146" s="518" t="str">
        <f>IF(AND(_AC3="A-320",'2023'!$G$4="CA",'2023'!$G$2=AY119),'2023DATA'!$H$29,"")</f>
        <v/>
      </c>
      <c r="AZ146" s="518" t="str">
        <f>IF(AND(_AC3="A-320",'2023'!$G$4="CA",'2023'!$G$2=AZ119),'2023DATA'!$I$29,"")</f>
        <v/>
      </c>
      <c r="BA146" s="518" t="str">
        <f>IF(AND(_AC3="A-320",'2023'!$G$4="CA",'2023'!$G$2=BA119),'2023DATA'!$J$29,"")</f>
        <v/>
      </c>
      <c r="BB146" s="518" t="str">
        <f>IF(AND(_AC3="A-320",'2023'!$G$4="CA",'2023'!$G$2=BB119),'2023DATA'!$K$29,"")</f>
        <v/>
      </c>
      <c r="BC146" s="518" t="str">
        <f>IF(AND(_AC3="A-320",'2023'!$G$4="CA",'2023'!$G$2=BC119),'2023DATA'!$L$29,"")</f>
        <v/>
      </c>
      <c r="BD146" s="518" t="str">
        <f>IF(AND(_AC3="A-320",'2023'!$G$4="CA",'2023'!$G$2=BD119),'2023DATA'!$M$29,"")</f>
        <v/>
      </c>
      <c r="BE146" s="520" t="str">
        <f>IF(AND(_AC3="A-320",'2023'!$G$4="CA",'2023'!$G$2=BE119),'2023DATA'!$N$29,"")</f>
        <v/>
      </c>
      <c r="BF146" s="940" t="s">
        <v>70</v>
      </c>
      <c r="BG146" s="13" t="s">
        <v>61</v>
      </c>
      <c r="BH146" s="518" t="str">
        <f>IF(AND(_AC4="A-320",'2023'!$G$4="CA",'2023'!$G$2=BH119),'2023DATA'!$C$29,"")</f>
        <v/>
      </c>
      <c r="BI146" s="518" t="str">
        <f>IF(AND(_AC4="A-320",'2023'!$G$4="CA",'2023'!$G$2=BI119),'2023DATA'!$D$29,"")</f>
        <v/>
      </c>
      <c r="BJ146" s="518" t="str">
        <f>IF(AND(_AC4="A-320",'2023'!$G$4="CA",'2023'!$G$2=BJ119),'2023DATA'!$E$29,"")</f>
        <v/>
      </c>
      <c r="BK146" s="518" t="str">
        <f>IF(AND(_AC4="A-320",'2023'!$G$4="CA",'2023'!$G$2=BK119),'2023DATA'!$F$29,"")</f>
        <v/>
      </c>
      <c r="BL146" s="518" t="str">
        <f>IF(AND(_AC4="A-320",'2023'!$G$4="CA",'2023'!$G$2=BL119),'2023DATA'!$G$29,"")</f>
        <v/>
      </c>
      <c r="BM146" s="518" t="str">
        <f>IF(AND(_AC4="A-320",'2023'!$G$4="CA",'2023'!$G$2=BM119),'2023DATA'!$H$29,"")</f>
        <v/>
      </c>
      <c r="BN146" s="518" t="str">
        <f>IF(AND(_AC4="A-320",'2023'!$G$4="CA",'2023'!$G$2=BN119),'2023DATA'!$I$29,"")</f>
        <v/>
      </c>
      <c r="BO146" s="518" t="str">
        <f>IF(AND(_AC4="A-320",'2023'!$G$4="CA",'2023'!$G$2=BO119),'2023DATA'!$J$29,"")</f>
        <v/>
      </c>
      <c r="BP146" s="518" t="str">
        <f>IF(AND(_AC4="A-320",'2023'!$G$4="CA",'2023'!$G$2=BP119),'2023DATA'!$K$29,"")</f>
        <v/>
      </c>
      <c r="BQ146" s="518" t="str">
        <f>IF(AND(_AC4="A-320",'2023'!$G$4="CA",'2023'!$G$2=BQ119),'2023DATA'!$L$29,"")</f>
        <v/>
      </c>
      <c r="BR146" s="518" t="str">
        <f>IF(AND(_AC4="A-320",'2023'!$G$4="CA",'2023'!$G$2=BR119),'2023DATA'!$M$29,"")</f>
        <v/>
      </c>
      <c r="BS146" s="520" t="str">
        <f>IF(AND(_AC4="A-320",'2023'!$G$4="CA",'2023'!$G$2=BS119),'2023DATA'!$N$29,"")</f>
        <v/>
      </c>
      <c r="BT146" s="940" t="s">
        <v>70</v>
      </c>
      <c r="BU146" s="13" t="s">
        <v>61</v>
      </c>
      <c r="BV146" s="518" t="str">
        <f>IF(AND(_AC5="A-320",'2023'!$G$4="CA",'2023'!$G$2=BV119),'2023DATA'!$C$29,"")</f>
        <v/>
      </c>
      <c r="BW146" s="518" t="str">
        <f>IF(AND(_AC5="A-320",'2023'!$G$4="CA",'2023'!$G$2=BW119),'2023DATA'!$D$29,"")</f>
        <v/>
      </c>
      <c r="BX146" s="518" t="str">
        <f>IF(AND(_AC5="A-320",'2023'!$G$4="CA",'2023'!$G$2=BX119),'2023DATA'!$E$29,"")</f>
        <v/>
      </c>
      <c r="BY146" s="518" t="str">
        <f>IF(AND(_AC5="A-320",'2023'!$G$4="CA",'2023'!$G$2=BY119),'2023DATA'!$F$29,"")</f>
        <v/>
      </c>
      <c r="BZ146" s="518" t="str">
        <f>IF(AND(_AC5="A-320",'2023'!$G$4="CA",'2023'!$G$2=BZ119),'2023DATA'!$G$29,"")</f>
        <v/>
      </c>
      <c r="CA146" s="518" t="str">
        <f>IF(AND(_AC5="A-320",'2023'!$G$4="CA",'2023'!$G$2=CA119),'2023DATA'!$H$29,"")</f>
        <v/>
      </c>
      <c r="CB146" s="518" t="str">
        <f>IF(AND(_AC5="A-320",'2023'!$G$4="CA",'2023'!$G$2=CB119),'2023DATA'!$I$29,"")</f>
        <v/>
      </c>
      <c r="CC146" s="518" t="str">
        <f>IF(AND(_AC5="A-320",'2023'!$G$4="CA",'2023'!$G$2=CC119),'2023DATA'!$J$29,"")</f>
        <v/>
      </c>
      <c r="CD146" s="518" t="str">
        <f>IF(AND(_AC5="A-320",'2023'!$G$4="CA",'2023'!$G$2=CD119),'2023DATA'!$K$29,"")</f>
        <v/>
      </c>
      <c r="CE146" s="518" t="str">
        <f>IF(AND(_AC5="A-320",'2023'!$G$4="CA",'2023'!$G$2=CE119),'2023DATA'!$L$29,"")</f>
        <v/>
      </c>
      <c r="CF146" s="518" t="str">
        <f>IF(AND(_AC5="A-320",'2023'!$G$4="CA",'2023'!$G$2=CF119),'2023DATA'!$M$29,"")</f>
        <v/>
      </c>
      <c r="CG146" s="520" t="str">
        <f>IF(AND(_AC5="A-320",'2023'!$G$4="CA",'2023'!$G$2=CG119),'2023DATA'!$N$29,"")</f>
        <v/>
      </c>
      <c r="CH146" s="940" t="s">
        <v>70</v>
      </c>
      <c r="CI146" s="13" t="s">
        <v>61</v>
      </c>
      <c r="CJ146" s="518" t="str">
        <f>IF(AND(_AC6="A-320",'2023'!$G$4="CA",'2023'!$G$2=CJ119),'2023DATA'!$C$29,"")</f>
        <v/>
      </c>
      <c r="CK146" s="518" t="str">
        <f>IF(AND(_AC6="A-320",'2023'!$G$4="CA",'2023'!$G$2=CK119),'2023DATA'!$D$29,"")</f>
        <v/>
      </c>
      <c r="CL146" s="518" t="str">
        <f>IF(AND(_AC6="A-320",'2023'!$G$4="CA",'2023'!$G$2=CL119),'2023DATA'!$E$29,"")</f>
        <v/>
      </c>
      <c r="CM146" s="518" t="str">
        <f>IF(AND(_AC6="A-320",'2023'!$G$4="CA",'2023'!$G$2=CM119),'2023DATA'!$F$29,"")</f>
        <v/>
      </c>
      <c r="CN146" s="518" t="str">
        <f>IF(AND(_AC6="A-320",'2023'!$G$4="CA",'2023'!$G$2=CN119),'2023DATA'!$G$29,"")</f>
        <v/>
      </c>
      <c r="CO146" s="518" t="str">
        <f>IF(AND(_AC6="A-320",'2023'!$G$4="CA",'2023'!$G$2=CO119),'2023DATA'!$H$29,"")</f>
        <v/>
      </c>
      <c r="CP146" s="518" t="str">
        <f>IF(AND(_AC6="A-320",'2023'!$G$4="CA",'2023'!$G$2=CP119),'2023DATA'!$I$29,"")</f>
        <v/>
      </c>
      <c r="CQ146" s="518" t="str">
        <f>IF(AND(_AC6="A-320",'2023'!$G$4="CA",'2023'!$G$2=CQ119),'2023DATA'!$J$29,"")</f>
        <v/>
      </c>
      <c r="CR146" s="518" t="str">
        <f>IF(AND(_AC6="A-320",'2023'!$G$4="CA",'2023'!$G$2=CR119),'2023DATA'!$K$29,"")</f>
        <v/>
      </c>
      <c r="CS146" s="518" t="str">
        <f>IF(AND(_AC6="A-320",'2023'!$G$4="CA",'2023'!$G$2=CS119),'2023DATA'!$L$29,"")</f>
        <v/>
      </c>
      <c r="CT146" s="518" t="str">
        <f>IF(AND(_AC6="A-320",'2023'!$G$4="CA",'2023'!$G$2=CT119),'2023DATA'!$M$29,"")</f>
        <v/>
      </c>
      <c r="CU146" s="520" t="str">
        <f>IF(AND(_AC6="A-320",'2023'!$G$4="CA",'2023'!$G$2=CU119),'2023DATA'!$N$29,"")</f>
        <v/>
      </c>
    </row>
    <row r="147" spans="16:99" x14ac:dyDescent="0.25">
      <c r="P147" s="940"/>
      <c r="Q147" s="13" t="s">
        <v>62</v>
      </c>
      <c r="R147" s="518" t="str">
        <f>IF(AND(_AC1="A-320",'2023'!$G$4="FO",'2023'!$G$2=R119),'2023DATA'!$C$30,"")</f>
        <v/>
      </c>
      <c r="S147" s="518" t="str">
        <f>IF(AND(_AC1="A-320",'2023'!$G$4="FO",'2023'!$G$2=S119),'2023DATA'!$D$30,"")</f>
        <v/>
      </c>
      <c r="T147" s="518" t="str">
        <f>IF(AND(_AC1="A-320",'2023'!$G$4="FO",'2023'!$G$2=T119),'2023DATA'!$E$30,"")</f>
        <v/>
      </c>
      <c r="U147" s="518" t="str">
        <f>IF(AND(_AC1="A-320",'2023'!$G$4="FO",'2023'!$G$2=U119),'2023DATA'!$F$30,"")</f>
        <v/>
      </c>
      <c r="V147" s="518" t="str">
        <f>IF(AND(_AC1="A-320",'2023'!$G$4="FO",'2023'!$G$2=V119),'2023DATA'!$G$30,"")</f>
        <v/>
      </c>
      <c r="W147" s="518" t="str">
        <f>IF(AND(_AC1="A-320",'2023'!$G$4="FO",'2023'!$G$2=W119),'2023DATA'!$H$30,"")</f>
        <v/>
      </c>
      <c r="X147" s="518" t="str">
        <f>IF(AND(_AC1="A-320",'2023'!$G$4="FO",'2023'!$G$2=X119),'2023DATA'!$I$30,"")</f>
        <v/>
      </c>
      <c r="Y147" s="518" t="str">
        <f>IF(AND(_AC1="A-320",'2023'!$G$4="FO",'2023'!$G$2=Y119),'2023DATA'!$J$30,"")</f>
        <v/>
      </c>
      <c r="Z147" s="518" t="str">
        <f>IF(AND(_AC1="A-320",'2023'!$G$4="FO",'2023'!$G$2=Z119),'2023DATA'!$K$30,"")</f>
        <v/>
      </c>
      <c r="AA147" s="518" t="str">
        <f>IF(AND(_AC1="A-320",'2023'!$G$4="FO",'2023'!$G$2=AA119),'2023DATA'!$L$30,"")</f>
        <v/>
      </c>
      <c r="AB147" s="518" t="str">
        <f>IF(AND(_AC1="A-320",'2023'!$G$4="FO",'2023'!$G$2=AB119),'2023DATA'!$M$30,"")</f>
        <v/>
      </c>
      <c r="AC147" s="520" t="str">
        <f>IF(AND(_AC1="A-320",'2023'!$G$4="FO",'2023'!$G$2=AC119),'2023DATA'!$N$30,"")</f>
        <v/>
      </c>
      <c r="AD147" s="940"/>
      <c r="AE147" s="13" t="s">
        <v>62</v>
      </c>
      <c r="AF147" s="518" t="str">
        <f>IF(AND(_AC2="A-320",'2023'!$G$4="FO",'2023'!$G$2=AF119),'2023DATA'!$C$30,"")</f>
        <v/>
      </c>
      <c r="AG147" s="518" t="str">
        <f>IF(AND(_AC2="A-320",'2023'!$G$4="FO",'2023'!$G$2=AG119),'2023DATA'!$D$30,"")</f>
        <v/>
      </c>
      <c r="AH147" s="518" t="str">
        <f>IF(AND(_AC2="A-320",'2023'!$G$4="FO",'2023'!$G$2=AH119),'2023DATA'!$E$30,"")</f>
        <v/>
      </c>
      <c r="AI147" s="518" t="str">
        <f>IF(AND(_AC2="A-320",'2023'!$G$4="FO",'2023'!$G$2=AI119),'2023DATA'!$F$30,"")</f>
        <v/>
      </c>
      <c r="AJ147" s="518" t="str">
        <f>IF(AND(_AC2="A-320",'2023'!$G$4="FO",'2023'!$G$2=AJ119),'2023DATA'!$G$30,"")</f>
        <v/>
      </c>
      <c r="AK147" s="518" t="str">
        <f>IF(AND(_AC2="A-320",'2023'!$G$4="FO",'2023'!$G$2=AK119),'2023DATA'!$H$30,"")</f>
        <v/>
      </c>
      <c r="AL147" s="518" t="str">
        <f>IF(AND(_AC2="A-320",'2023'!$G$4="FO",'2023'!$G$2=AL119),'2023DATA'!$I$30,"")</f>
        <v/>
      </c>
      <c r="AM147" s="518" t="str">
        <f>IF(AND(_AC2="A-320",'2023'!$G$4="FO",'2023'!$G$2=AM119),'2023DATA'!$J$30,"")</f>
        <v/>
      </c>
      <c r="AN147" s="518" t="str">
        <f>IF(AND(_AC2="A-320",'2023'!$G$4="FO",'2023'!$G$2=AN119),'2023DATA'!$K$30,"")</f>
        <v/>
      </c>
      <c r="AO147" s="518" t="str">
        <f>IF(AND(_AC2="A-320",'2023'!$G$4="FO",'2023'!$G$2=AO119),'2023DATA'!$L$30,"")</f>
        <v/>
      </c>
      <c r="AP147" s="518" t="str">
        <f>IF(AND(_AC2="A-320",'2023'!$G$4="FO",'2023'!$G$2=AP119),'2023DATA'!$M$30,"")</f>
        <v/>
      </c>
      <c r="AQ147" s="520" t="str">
        <f>IF(AND(_AC2="A-320",'2023'!$G$4="FO",'2023'!$G$2=AQ119),'2023DATA'!$N$30,"")</f>
        <v/>
      </c>
      <c r="AR147" s="940"/>
      <c r="AS147" s="13" t="s">
        <v>62</v>
      </c>
      <c r="AT147" s="518" t="str">
        <f>IF(AND(_AC3="A-320",'2023'!$G$4="FO",'2023'!$G$2=AT119),'2023DATA'!$C$30,"")</f>
        <v/>
      </c>
      <c r="AU147" s="518" t="str">
        <f>IF(AND(_AC3="A-320",'2023'!$G$4="FO",'2023'!$G$2=AU119),'2023DATA'!$D$30,"")</f>
        <v/>
      </c>
      <c r="AV147" s="518" t="str">
        <f>IF(AND(_AC3="A-320",'2023'!$G$4="FO",'2023'!$G$2=AV119),'2023DATA'!$E$30,"")</f>
        <v/>
      </c>
      <c r="AW147" s="518" t="str">
        <f>IF(AND(_AC3="A-320",'2023'!$G$4="FO",'2023'!$G$2=AW119),'2023DATA'!$F$30,"")</f>
        <v/>
      </c>
      <c r="AX147" s="518" t="str">
        <f>IF(AND(_AC3="A-320",'2023'!$G$4="FO",'2023'!$G$2=AX119),'2023DATA'!$G$30,"")</f>
        <v/>
      </c>
      <c r="AY147" s="518" t="str">
        <f>IF(AND(_AC3="A-320",'2023'!$G$4="FO",'2023'!$G$2=AY119),'2023DATA'!$H$30,"")</f>
        <v/>
      </c>
      <c r="AZ147" s="518" t="str">
        <f>IF(AND(_AC3="A-320",'2023'!$G$4="FO",'2023'!$G$2=AZ119),'2023DATA'!$I$30,"")</f>
        <v/>
      </c>
      <c r="BA147" s="518" t="str">
        <f>IF(AND(_AC3="A-320",'2023'!$G$4="FO",'2023'!$G$2=BA119),'2023DATA'!$J$30,"")</f>
        <v/>
      </c>
      <c r="BB147" s="518" t="str">
        <f>IF(AND(_AC3="A-320",'2023'!$G$4="FO",'2023'!$G$2=BB119),'2023DATA'!$K$30,"")</f>
        <v/>
      </c>
      <c r="BC147" s="518" t="str">
        <f>IF(AND(_AC3="A-320",'2023'!$G$4="FO",'2023'!$G$2=BC119),'2023DATA'!$L$30,"")</f>
        <v/>
      </c>
      <c r="BD147" s="518" t="str">
        <f>IF(AND(_AC3="A-320",'2023'!$G$4="FO",'2023'!$G$2=BD119),'2023DATA'!$M$30,"")</f>
        <v/>
      </c>
      <c r="BE147" s="520" t="str">
        <f>IF(AND(_AC3="A-320",'2023'!$G$4="FO",'2023'!$G$2=BE119),'2023DATA'!$N$30,"")</f>
        <v/>
      </c>
      <c r="BF147" s="940"/>
      <c r="BG147" s="13" t="s">
        <v>62</v>
      </c>
      <c r="BH147" s="518" t="str">
        <f>IF(AND(_AC4="A-320",'2023'!$G$4="FO",'2023'!$G$2=BH119),'2023DATA'!$C$30,"")</f>
        <v/>
      </c>
      <c r="BI147" s="518" t="str">
        <f>IF(AND(_AC4="A-320",'2023'!$G$4="FO",'2023'!$G$2=BI119),'2023DATA'!$D$30,"")</f>
        <v/>
      </c>
      <c r="BJ147" s="518" t="str">
        <f>IF(AND(_AC4="A-320",'2023'!$G$4="FO",'2023'!$G$2=BJ119),'2023DATA'!$E$30,"")</f>
        <v/>
      </c>
      <c r="BK147" s="518" t="str">
        <f>IF(AND(_AC4="A-320",'2023'!$G$4="FO",'2023'!$G$2=BK119),'2023DATA'!$F$30,"")</f>
        <v/>
      </c>
      <c r="BL147" s="518" t="str">
        <f>IF(AND(_AC4="A-320",'2023'!$G$4="FO",'2023'!$G$2=BL119),'2023DATA'!$G$30,"")</f>
        <v/>
      </c>
      <c r="BM147" s="518" t="str">
        <f>IF(AND(_AC4="A-320",'2023'!$G$4="FO",'2023'!$G$2=BM119),'2023DATA'!$H$30,"")</f>
        <v/>
      </c>
      <c r="BN147" s="518" t="str">
        <f>IF(AND(_AC4="A-320",'2023'!$G$4="FO",'2023'!$G$2=BN119),'2023DATA'!$I$30,"")</f>
        <v/>
      </c>
      <c r="BO147" s="518" t="str">
        <f>IF(AND(_AC4="A-320",'2023'!$G$4="FO",'2023'!$G$2=BO119),'2023DATA'!$J$30,"")</f>
        <v/>
      </c>
      <c r="BP147" s="518" t="str">
        <f>IF(AND(_AC4="A-320",'2023'!$G$4="FO",'2023'!$G$2=BP119),'2023DATA'!$K$30,"")</f>
        <v/>
      </c>
      <c r="BQ147" s="518" t="str">
        <f>IF(AND(_AC4="A-320",'2023'!$G$4="FO",'2023'!$G$2=BQ119),'2023DATA'!$L$30,"")</f>
        <v/>
      </c>
      <c r="BR147" s="518" t="str">
        <f>IF(AND(_AC4="A-320",'2023'!$G$4="FO",'2023'!$G$2=BR119),'2023DATA'!$M$30,"")</f>
        <v/>
      </c>
      <c r="BS147" s="520" t="str">
        <f>IF(AND(_AC4="A-320",'2023'!$G$4="FO",'2023'!$G$2=BS119),'2023DATA'!$N$30,"")</f>
        <v/>
      </c>
      <c r="BT147" s="940"/>
      <c r="BU147" s="13" t="s">
        <v>62</v>
      </c>
      <c r="BV147" s="518" t="str">
        <f>IF(AND(_AC5="A-320",'2023'!$G$4="FO",'2023'!$G$2=BV119),'2023DATA'!$C$30,"")</f>
        <v/>
      </c>
      <c r="BW147" s="518" t="str">
        <f>IF(AND(_AC5="A-320",'2023'!$G$4="FO",'2023'!$G$2=BW119),'2023DATA'!$D$30,"")</f>
        <v/>
      </c>
      <c r="BX147" s="518" t="str">
        <f>IF(AND(_AC5="A-320",'2023'!$G$4="FO",'2023'!$G$2=BX119),'2023DATA'!$E$30,"")</f>
        <v/>
      </c>
      <c r="BY147" s="518" t="str">
        <f>IF(AND(_AC5="A-320",'2023'!$G$4="FO",'2023'!$G$2=BY119),'2023DATA'!$F$30,"")</f>
        <v/>
      </c>
      <c r="BZ147" s="518" t="str">
        <f>IF(AND(_AC5="A-320",'2023'!$G$4="FO",'2023'!$G$2=BZ119),'2023DATA'!$G$30,"")</f>
        <v/>
      </c>
      <c r="CA147" s="518" t="str">
        <f>IF(AND(_AC5="A-320",'2023'!$G$4="FO",'2023'!$G$2=CA119),'2023DATA'!$H$30,"")</f>
        <v/>
      </c>
      <c r="CB147" s="518" t="str">
        <f>IF(AND(_AC5="A-320",'2023'!$G$4="FO",'2023'!$G$2=CB119),'2023DATA'!$I$30,"")</f>
        <v/>
      </c>
      <c r="CC147" s="518" t="str">
        <f>IF(AND(_AC5="A-320",'2023'!$G$4="FO",'2023'!$G$2=CC119),'2023DATA'!$J$30,"")</f>
        <v/>
      </c>
      <c r="CD147" s="518" t="str">
        <f>IF(AND(_AC5="A-320",'2023'!$G$4="FO",'2023'!$G$2=CD119),'2023DATA'!$K$30,"")</f>
        <v/>
      </c>
      <c r="CE147" s="518" t="str">
        <f>IF(AND(_AC5="A-320",'2023'!$G$4="FO",'2023'!$G$2=CE119),'2023DATA'!$L$30,"")</f>
        <v/>
      </c>
      <c r="CF147" s="518" t="str">
        <f>IF(AND(_AC5="A-320",'2023'!$G$4="FO",'2023'!$G$2=CF119),'2023DATA'!$M$30,"")</f>
        <v/>
      </c>
      <c r="CG147" s="520" t="str">
        <f>IF(AND(_AC5="A-320",'2023'!$G$4="FO",'2023'!$G$2=CG119),'2023DATA'!$N$30,"")</f>
        <v/>
      </c>
      <c r="CH147" s="940"/>
      <c r="CI147" s="13" t="s">
        <v>62</v>
      </c>
      <c r="CJ147" s="518" t="str">
        <f>IF(AND(_AC6="A-320",'2023'!$G$4="FO",'2023'!$G$2=CJ119),'2023DATA'!$C$30,"")</f>
        <v/>
      </c>
      <c r="CK147" s="518" t="str">
        <f>IF(AND(_AC6="A-320",'2023'!$G$4="FO",'2023'!$G$2=CK119),'2023DATA'!$D$30,"")</f>
        <v/>
      </c>
      <c r="CL147" s="518" t="str">
        <f>IF(AND(_AC6="A-320",'2023'!$G$4="FO",'2023'!$G$2=CL119),'2023DATA'!$E$30,"")</f>
        <v/>
      </c>
      <c r="CM147" s="518" t="str">
        <f>IF(AND(_AC6="A-320",'2023'!$G$4="FO",'2023'!$G$2=CM119),'2023DATA'!$F$30,"")</f>
        <v/>
      </c>
      <c r="CN147" s="518" t="str">
        <f>IF(AND(_AC6="A-320",'2023'!$G$4="FO",'2023'!$G$2=CN119),'2023DATA'!$G$30,"")</f>
        <v/>
      </c>
      <c r="CO147" s="518" t="str">
        <f>IF(AND(_AC6="A-320",'2023'!$G$4="FO",'2023'!$G$2=CO119),'2023DATA'!$H$30,"")</f>
        <v/>
      </c>
      <c r="CP147" s="518" t="str">
        <f>IF(AND(_AC6="A-320",'2023'!$G$4="FO",'2023'!$G$2=CP119),'2023DATA'!$I$30,"")</f>
        <v/>
      </c>
      <c r="CQ147" s="518" t="str">
        <f>IF(AND(_AC6="A-320",'2023'!$G$4="FO",'2023'!$G$2=CQ119),'2023DATA'!$J$30,"")</f>
        <v/>
      </c>
      <c r="CR147" s="518" t="str">
        <f>IF(AND(_AC6="A-320",'2023'!$G$4="FO",'2023'!$G$2=CR119),'2023DATA'!$K$30,"")</f>
        <v/>
      </c>
      <c r="CS147" s="518" t="str">
        <f>IF(AND(_AC6="A-320",'2023'!$G$4="FO",'2023'!$G$2=CS119),'2023DATA'!$L$30,"")</f>
        <v/>
      </c>
      <c r="CT147" s="518" t="str">
        <f>IF(AND(_AC6="A-320",'2023'!$G$4="FO",'2023'!$G$2=CT119),'2023DATA'!$M$30,"")</f>
        <v/>
      </c>
      <c r="CU147" s="520" t="str">
        <f>IF(AND(_AC6="A-320",'2023'!$G$4="FO",'2023'!$G$2=CU119),'2023DATA'!$N$30,"")</f>
        <v/>
      </c>
    </row>
    <row r="148" spans="16:99" x14ac:dyDescent="0.25">
      <c r="P148" s="940" t="s">
        <v>71</v>
      </c>
      <c r="Q148" s="13" t="s">
        <v>61</v>
      </c>
      <c r="R148" s="518" t="str">
        <f>IF(AND(_AC1="A-319",'2023'!$G$4="CA",'2023'!$G$2=R119),'2023DATA'!$C$31,"")</f>
        <v/>
      </c>
      <c r="S148" s="518" t="str">
        <f>IF(AND(_AC1="A-319",'2023'!$G$4="CA",'2023'!$G$2=S119),'2023DATA'!$D$31,"")</f>
        <v/>
      </c>
      <c r="T148" s="518" t="str">
        <f>IF(AND(_AC1="A-319",'2023'!$G$4="CA",'2023'!$G$2=T119),'2023DATA'!$E$31,"")</f>
        <v/>
      </c>
      <c r="U148" s="518" t="str">
        <f>IF(AND(_AC1="A-319",'2023'!$G$4="CA",'2023'!$G$2=U119),'2023DATA'!$F$31,"")</f>
        <v/>
      </c>
      <c r="V148" s="518" t="str">
        <f>IF(AND(_AC1="A-319",'2023'!$G$4="CA",'2023'!$G$2=V119),'2023DATA'!$G$31,"")</f>
        <v/>
      </c>
      <c r="W148" s="518" t="str">
        <f>IF(AND(_AC1="A-319",'2023'!$G$4="CA",'2023'!$G$2=W119),'2023DATA'!$H$31,"")</f>
        <v/>
      </c>
      <c r="X148" s="518" t="str">
        <f>IF(AND(_AC1="A-319",'2023'!$G$4="CA",'2023'!$G$2=X119),'2023DATA'!$I$31,"")</f>
        <v/>
      </c>
      <c r="Y148" s="518" t="str">
        <f>IF(AND(_AC1="A-319",'2023'!$G$4="CA",'2023'!$G$2=Y119),'2023DATA'!$J$31,"")</f>
        <v/>
      </c>
      <c r="Z148" s="518" t="str">
        <f>IF(AND(_AC1="A-319",'2023'!$G$4="CA",'2023'!$G$2=Z119),'2023DATA'!$K$31,"")</f>
        <v/>
      </c>
      <c r="AA148" s="518" t="str">
        <f>IF(AND(_AC1="A-319",'2023'!$G$4="CA",'2023'!$G$2=AA119),'2023DATA'!$L$31,"")</f>
        <v/>
      </c>
      <c r="AB148" s="518" t="str">
        <f>IF(AND(_AC1="A-319",'2023'!$G$4="CA",'2023'!$G$2=AB119),'2023DATA'!$M$31,"")</f>
        <v/>
      </c>
      <c r="AC148" s="520" t="str">
        <f>IF(AND(_AC1="A-319",'2023'!$G$4="CA",'2023'!$G$2=AC119),'2023DATA'!$N$31,"")</f>
        <v/>
      </c>
      <c r="AD148" s="940" t="s">
        <v>71</v>
      </c>
      <c r="AE148" s="13" t="s">
        <v>61</v>
      </c>
      <c r="AF148" s="518" t="str">
        <f>IF(AND(_AC2="A-319",'2023'!$G$4="CA",'2023'!$G$2=AF119),'2023DATA'!$C$31,"")</f>
        <v/>
      </c>
      <c r="AG148" s="518" t="str">
        <f>IF(AND(_AC2="A-319",'2023'!$G$4="CA",'2023'!$G$2=AG119),'2023DATA'!$D$31,"")</f>
        <v/>
      </c>
      <c r="AH148" s="518" t="str">
        <f>IF(AND(_AC2="A-319",'2023'!$G$4="CA",'2023'!$G$2=AH119),'2023DATA'!$E$31,"")</f>
        <v/>
      </c>
      <c r="AI148" s="518" t="str">
        <f>IF(AND(_AC2="A-319",'2023'!$G$4="CA",'2023'!$G$2=AI119),'2023DATA'!$F$31,"")</f>
        <v/>
      </c>
      <c r="AJ148" s="518" t="str">
        <f>IF(AND(_AC2="A-319",'2023'!$G$4="CA",'2023'!$G$2=AJ119),'2023DATA'!$G$31,"")</f>
        <v/>
      </c>
      <c r="AK148" s="518" t="str">
        <f>IF(AND(_AC2="A-319",'2023'!$G$4="CA",'2023'!$G$2=AK119),'2023DATA'!$H$31,"")</f>
        <v/>
      </c>
      <c r="AL148" s="518" t="str">
        <f>IF(AND(_AC2="A-319",'2023'!$G$4="CA",'2023'!$G$2=AL119),'2023DATA'!$I$31,"")</f>
        <v/>
      </c>
      <c r="AM148" s="518" t="str">
        <f>IF(AND(_AC2="A-319",'2023'!$G$4="CA",'2023'!$G$2=AM119),'2023DATA'!$J$31,"")</f>
        <v/>
      </c>
      <c r="AN148" s="518" t="str">
        <f>IF(AND(_AC2="A-319",'2023'!$G$4="CA",'2023'!$G$2=AN119),'2023DATA'!$K$31,"")</f>
        <v/>
      </c>
      <c r="AO148" s="518" t="str">
        <f>IF(AND(_AC2="A-319",'2023'!$G$4="CA",'2023'!$G$2=AO119),'2023DATA'!$L$31,"")</f>
        <v/>
      </c>
      <c r="AP148" s="518" t="str">
        <f>IF(AND(_AC2="A-319",'2023'!$G$4="CA",'2023'!$G$2=AP119),'2023DATA'!$M$31,"")</f>
        <v/>
      </c>
      <c r="AQ148" s="520" t="str">
        <f>IF(AND(_AC2="A-319",'2023'!$G$4="CA",'2023'!$G$2=AQ119),'2023DATA'!$N$31,"")</f>
        <v/>
      </c>
      <c r="AR148" s="940" t="s">
        <v>71</v>
      </c>
      <c r="AS148" s="13" t="s">
        <v>61</v>
      </c>
      <c r="AT148" s="518" t="str">
        <f>IF(AND(_AC3="A-319",'2023'!$G$4="CA",'2023'!$G$2=AT119),'2023DATA'!$C$31,"")</f>
        <v/>
      </c>
      <c r="AU148" s="518" t="str">
        <f>IF(AND(_AC3="A-319",'2023'!$G$4="CA",'2023'!$G$2=AU119),'2023DATA'!$D$31,"")</f>
        <v/>
      </c>
      <c r="AV148" s="518" t="str">
        <f>IF(AND(_AC3="A-319",'2023'!$G$4="CA",'2023'!$G$2=AV119),'2023DATA'!$E$31,"")</f>
        <v/>
      </c>
      <c r="AW148" s="518" t="str">
        <f>IF(AND(_AC3="A-319",'2023'!$G$4="CA",'2023'!$G$2=AW119),'2023DATA'!$F$31,"")</f>
        <v/>
      </c>
      <c r="AX148" s="518" t="str">
        <f>IF(AND(_AC3="A-319",'2023'!$G$4="CA",'2023'!$G$2=AX119),'2023DATA'!$G$31,"")</f>
        <v/>
      </c>
      <c r="AY148" s="518" t="str">
        <f>IF(AND(_AC3="A-319",'2023'!$G$4="CA",'2023'!$G$2=AY119),'2023DATA'!$H$31,"")</f>
        <v/>
      </c>
      <c r="AZ148" s="518" t="str">
        <f>IF(AND(_AC3="A-319",'2023'!$G$4="CA",'2023'!$G$2=AZ119),'2023DATA'!$I$31,"")</f>
        <v/>
      </c>
      <c r="BA148" s="518" t="str">
        <f>IF(AND(_AC3="A-319",'2023'!$G$4="CA",'2023'!$G$2=BA119),'2023DATA'!$J$31,"")</f>
        <v/>
      </c>
      <c r="BB148" s="518" t="str">
        <f>IF(AND(_AC3="A-319",'2023'!$G$4="CA",'2023'!$G$2=BB119),'2023DATA'!$K$31,"")</f>
        <v/>
      </c>
      <c r="BC148" s="518" t="str">
        <f>IF(AND(_AC3="A-319",'2023'!$G$4="CA",'2023'!$G$2=BC119),'2023DATA'!$L$31,"")</f>
        <v/>
      </c>
      <c r="BD148" s="518" t="str">
        <f>IF(AND(_AC3="A-319",'2023'!$G$4="CA",'2023'!$G$2=BD119),'2023DATA'!$M$31,"")</f>
        <v/>
      </c>
      <c r="BE148" s="520" t="str">
        <f>IF(AND(_AC3="A-319",'2023'!$G$4="CA",'2023'!$G$2=BE119),'2023DATA'!$N$31,"")</f>
        <v/>
      </c>
      <c r="BF148" s="940" t="s">
        <v>71</v>
      </c>
      <c r="BG148" s="13" t="s">
        <v>61</v>
      </c>
      <c r="BH148" s="518" t="str">
        <f>IF(AND(_AC4="A-319",'2023'!$G$4="CA",'2023'!$G$2=BH119),'2023DATA'!$C$31,"")</f>
        <v/>
      </c>
      <c r="BI148" s="518" t="str">
        <f>IF(AND(_AC4="A-319",'2023'!$G$4="CA",'2023'!$G$2=BI119),'2023DATA'!$D$31,"")</f>
        <v/>
      </c>
      <c r="BJ148" s="518" t="str">
        <f>IF(AND(_AC4="A-319",'2023'!$G$4="CA",'2023'!$G$2=BJ119),'2023DATA'!$E$31,"")</f>
        <v/>
      </c>
      <c r="BK148" s="518" t="str">
        <f>IF(AND(_AC4="A-319",'2023'!$G$4="CA",'2023'!$G$2=BK119),'2023DATA'!$F$31,"")</f>
        <v/>
      </c>
      <c r="BL148" s="518" t="str">
        <f>IF(AND(_AC4="A-319",'2023'!$G$4="CA",'2023'!$G$2=BL119),'2023DATA'!$G$31,"")</f>
        <v/>
      </c>
      <c r="BM148" s="518" t="str">
        <f>IF(AND(_AC4="A-319",'2023'!$G$4="CA",'2023'!$G$2=BM119),'2023DATA'!$H$31,"")</f>
        <v/>
      </c>
      <c r="BN148" s="518" t="str">
        <f>IF(AND(_AC4="A-319",'2023'!$G$4="CA",'2023'!$G$2=BN119),'2023DATA'!$I$31,"")</f>
        <v/>
      </c>
      <c r="BO148" s="518" t="str">
        <f>IF(AND(_AC4="A-319",'2023'!$G$4="CA",'2023'!$G$2=BO119),'2023DATA'!$J$31,"")</f>
        <v/>
      </c>
      <c r="BP148" s="518" t="str">
        <f>IF(AND(_AC4="A-319",'2023'!$G$4="CA",'2023'!$G$2=BP119),'2023DATA'!$K$31,"")</f>
        <v/>
      </c>
      <c r="BQ148" s="518" t="str">
        <f>IF(AND(_AC4="A-319",'2023'!$G$4="CA",'2023'!$G$2=BQ119),'2023DATA'!$L$31,"")</f>
        <v/>
      </c>
      <c r="BR148" s="518" t="str">
        <f>IF(AND(_AC4="A-319",'2023'!$G$4="CA",'2023'!$G$2=BR119),'2023DATA'!$M$31,"")</f>
        <v/>
      </c>
      <c r="BS148" s="520" t="str">
        <f>IF(AND(_AC4="A-319",'2023'!$G$4="CA",'2023'!$G$2=BS119),'2023DATA'!$N$31,"")</f>
        <v/>
      </c>
      <c r="BT148" s="940" t="s">
        <v>71</v>
      </c>
      <c r="BU148" s="13" t="s">
        <v>61</v>
      </c>
      <c r="BV148" s="518" t="str">
        <f>IF(AND(_AC5="A-319",'2023'!$G$4="CA",'2023'!$G$2=BV119),'2023DATA'!$C$31,"")</f>
        <v/>
      </c>
      <c r="BW148" s="518" t="str">
        <f>IF(AND(_AC5="A-319",'2023'!$G$4="CA",'2023'!$G$2=BW119),'2023DATA'!$D$31,"")</f>
        <v/>
      </c>
      <c r="BX148" s="518" t="str">
        <f>IF(AND(_AC5="A-319",'2023'!$G$4="CA",'2023'!$G$2=BX119),'2023DATA'!$E$31,"")</f>
        <v/>
      </c>
      <c r="BY148" s="518" t="str">
        <f>IF(AND(_AC5="A-319",'2023'!$G$4="CA",'2023'!$G$2=BY119),'2023DATA'!$F$31,"")</f>
        <v/>
      </c>
      <c r="BZ148" s="518" t="str">
        <f>IF(AND(_AC5="A-319",'2023'!$G$4="CA",'2023'!$G$2=BZ119),'2023DATA'!$G$31,"")</f>
        <v/>
      </c>
      <c r="CA148" s="518" t="str">
        <f>IF(AND(_AC5="A-319",'2023'!$G$4="CA",'2023'!$G$2=CA119),'2023DATA'!$H$31,"")</f>
        <v/>
      </c>
      <c r="CB148" s="518" t="str">
        <f>IF(AND(_AC5="A-319",'2023'!$G$4="CA",'2023'!$G$2=CB119),'2023DATA'!$I$31,"")</f>
        <v/>
      </c>
      <c r="CC148" s="518" t="str">
        <f>IF(AND(_AC5="A-319",'2023'!$G$4="CA",'2023'!$G$2=CC119),'2023DATA'!$J$31,"")</f>
        <v/>
      </c>
      <c r="CD148" s="518" t="str">
        <f>IF(AND(_AC5="A-319",'2023'!$G$4="CA",'2023'!$G$2=CD119),'2023DATA'!$K$31,"")</f>
        <v/>
      </c>
      <c r="CE148" s="518" t="str">
        <f>IF(AND(_AC5="A-319",'2023'!$G$4="CA",'2023'!$G$2=CE119),'2023DATA'!$L$31,"")</f>
        <v/>
      </c>
      <c r="CF148" s="518" t="str">
        <f>IF(AND(_AC5="A-319",'2023'!$G$4="CA",'2023'!$G$2=CF119),'2023DATA'!$M$31,"")</f>
        <v/>
      </c>
      <c r="CG148" s="520" t="str">
        <f>IF(AND(_AC5="A-319",'2023'!$G$4="CA",'2023'!$G$2=CG119),'2023DATA'!$N$31,"")</f>
        <v/>
      </c>
      <c r="CH148" s="940" t="s">
        <v>71</v>
      </c>
      <c r="CI148" s="13" t="s">
        <v>61</v>
      </c>
      <c r="CJ148" s="518" t="str">
        <f>IF(AND(_AC6="A-319",'2023'!$G$4="CA",'2023'!$G$2=CJ119),'2023DATA'!$C$31,"")</f>
        <v/>
      </c>
      <c r="CK148" s="518" t="str">
        <f>IF(AND(_AC6="A-319",'2023'!$G$4="CA",'2023'!$G$2=CK119),'2023DATA'!$D$31,"")</f>
        <v/>
      </c>
      <c r="CL148" s="518" t="str">
        <f>IF(AND(_AC6="A-319",'2023'!$G$4="CA",'2023'!$G$2=CL119),'2023DATA'!$E$31,"")</f>
        <v/>
      </c>
      <c r="CM148" s="518" t="str">
        <f>IF(AND(_AC6="A-319",'2023'!$G$4="CA",'2023'!$G$2=CM119),'2023DATA'!$F$31,"")</f>
        <v/>
      </c>
      <c r="CN148" s="518" t="str">
        <f>IF(AND(_AC6="A-319",'2023'!$G$4="CA",'2023'!$G$2=CN119),'2023DATA'!$G$31,"")</f>
        <v/>
      </c>
      <c r="CO148" s="518" t="str">
        <f>IF(AND(_AC6="A-319",'2023'!$G$4="CA",'2023'!$G$2=CO119),'2023DATA'!$H$31,"")</f>
        <v/>
      </c>
      <c r="CP148" s="518" t="str">
        <f>IF(AND(_AC6="A-319",'2023'!$G$4="CA",'2023'!$G$2=CP119),'2023DATA'!$I$31,"")</f>
        <v/>
      </c>
      <c r="CQ148" s="518" t="str">
        <f>IF(AND(_AC6="A-319",'2023'!$G$4="CA",'2023'!$G$2=CQ119),'2023DATA'!$J$31,"")</f>
        <v/>
      </c>
      <c r="CR148" s="518" t="str">
        <f>IF(AND(_AC6="A-319",'2023'!$G$4="CA",'2023'!$G$2=CR119),'2023DATA'!$K$31,"")</f>
        <v/>
      </c>
      <c r="CS148" s="518" t="str">
        <f>IF(AND(_AC6="A-319",'2023'!$G$4="CA",'2023'!$G$2=CS119),'2023DATA'!$L$31,"")</f>
        <v/>
      </c>
      <c r="CT148" s="518" t="str">
        <f>IF(AND(_AC6="A-319",'2023'!$G$4="CA",'2023'!$G$2=CT119),'2023DATA'!$M$31,"")</f>
        <v/>
      </c>
      <c r="CU148" s="520" t="str">
        <f>IF(AND(_AC6="A-319",'2023'!$G$4="CA",'2023'!$G$2=CU119),'2023DATA'!$N$31,"")</f>
        <v/>
      </c>
    </row>
    <row r="149" spans="16:99" x14ac:dyDescent="0.25">
      <c r="P149" s="940"/>
      <c r="Q149" s="13" t="s">
        <v>62</v>
      </c>
      <c r="R149" s="518" t="str">
        <f>IF(AND(_AC1="A-319",'2023'!$G$4="FO",'2023'!$G$2=R119),'2023DATA'!$C$32,"")</f>
        <v/>
      </c>
      <c r="S149" s="518" t="str">
        <f>IF(AND(_AC1="A-319",'2023'!$G$4="FO",'2023'!$G$2=S119),'2023DATA'!$D$32,"")</f>
        <v/>
      </c>
      <c r="T149" s="518" t="str">
        <f>IF(AND(_AC1="A-319",'2023'!$G$4="FO",'2023'!$G$2=T119),'2023DATA'!$E$32,"")</f>
        <v/>
      </c>
      <c r="U149" s="518" t="str">
        <f>IF(AND(_AC1="A-319",'2023'!$G$4="FO",'2023'!$G$2=U119),'2023DATA'!$F$32,"")</f>
        <v/>
      </c>
      <c r="V149" s="518" t="str">
        <f>IF(AND(_AC1="A-319",'2023'!$G$4="FO",'2023'!$G$2=V119),'2023DATA'!$G$32,"")</f>
        <v/>
      </c>
      <c r="W149" s="518" t="str">
        <f>IF(AND(_AC1="A-319",'2023'!$G$4="FO",'2023'!$G$2=W119),'2023DATA'!$H$32,"")</f>
        <v/>
      </c>
      <c r="X149" s="518" t="str">
        <f>IF(AND(_AC1="A-319",'2023'!$G$4="FO",'2023'!$G$2=X119),'2023DATA'!$I$32,"")</f>
        <v/>
      </c>
      <c r="Y149" s="518" t="str">
        <f>IF(AND(_AC1="A-319",'2023'!$G$4="FO",'2023'!$G$2=Y119),'2023DATA'!$J$32,"")</f>
        <v/>
      </c>
      <c r="Z149" s="518" t="str">
        <f>IF(AND(_AC1="A-319",'2023'!$G$4="FO",'2023'!$G$2=Z119),'2023DATA'!$K$32,"")</f>
        <v/>
      </c>
      <c r="AA149" s="518" t="str">
        <f>IF(AND(_AC1="A-319",'2023'!$G$4="FO",'2023'!$G$2=AA119),'2023DATA'!$L$32,"")</f>
        <v/>
      </c>
      <c r="AB149" s="518" t="str">
        <f>IF(AND(_AC1="A-319",'2023'!$G$4="FO",'2023'!$G$2=AB119),'2023DATA'!$M$32,"")</f>
        <v/>
      </c>
      <c r="AC149" s="520" t="str">
        <f>IF(AND(_AC1="A-319",'2023'!$G$4="FO",'2023'!$G$2=AC119),'2023DATA'!$N$32,"")</f>
        <v/>
      </c>
      <c r="AD149" s="940"/>
      <c r="AE149" s="13" t="s">
        <v>62</v>
      </c>
      <c r="AF149" s="518" t="str">
        <f>IF(AND(_AC2="A-319",'2023'!$G$4="FO",'2023'!$G$2=AF119),'2023DATA'!$C$32,"")</f>
        <v/>
      </c>
      <c r="AG149" s="518" t="str">
        <f>IF(AND(_AC2="A-319",'2023'!$G$4="FO",'2023'!$G$2=AG119),'2023DATA'!$D$32,"")</f>
        <v/>
      </c>
      <c r="AH149" s="518" t="str">
        <f>IF(AND(_AC2="A-319",'2023'!$G$4="FO",'2023'!$G$2=AH119),'2023DATA'!$E$32,"")</f>
        <v/>
      </c>
      <c r="AI149" s="518" t="str">
        <f>IF(AND(_AC2="A-319",'2023'!$G$4="FO",'2023'!$G$2=AI119),'2023DATA'!$F$32,"")</f>
        <v/>
      </c>
      <c r="AJ149" s="518" t="str">
        <f>IF(AND(_AC2="A-319",'2023'!$G$4="FO",'2023'!$G$2=AJ119),'2023DATA'!$G$32,"")</f>
        <v/>
      </c>
      <c r="AK149" s="518" t="str">
        <f>IF(AND(_AC2="A-319",'2023'!$G$4="FO",'2023'!$G$2=AK119),'2023DATA'!$H$32,"")</f>
        <v/>
      </c>
      <c r="AL149" s="518" t="str">
        <f>IF(AND(_AC2="A-319",'2023'!$G$4="FO",'2023'!$G$2=AL119),'2023DATA'!$I$32,"")</f>
        <v/>
      </c>
      <c r="AM149" s="518" t="str">
        <f>IF(AND(_AC2="A-319",'2023'!$G$4="FO",'2023'!$G$2=AM119),'2023DATA'!$J$32,"")</f>
        <v/>
      </c>
      <c r="AN149" s="518" t="str">
        <f>IF(AND(_AC2="A-319",'2023'!$G$4="FO",'2023'!$G$2=AN119),'2023DATA'!$K$32,"")</f>
        <v/>
      </c>
      <c r="AO149" s="518" t="str">
        <f>IF(AND(_AC2="A-319",'2023'!$G$4="FO",'2023'!$G$2=AO119),'2023DATA'!$L$32,"")</f>
        <v/>
      </c>
      <c r="AP149" s="518" t="str">
        <f>IF(AND(_AC2="A-319",'2023'!$G$4="FO",'2023'!$G$2=AP119),'2023DATA'!$M$32,"")</f>
        <v/>
      </c>
      <c r="AQ149" s="520" t="str">
        <f>IF(AND(_AC2="A-319",'2023'!$G$4="FO",'2023'!$G$2=AQ119),'2023DATA'!$N$32,"")</f>
        <v/>
      </c>
      <c r="AR149" s="940"/>
      <c r="AS149" s="13" t="s">
        <v>62</v>
      </c>
      <c r="AT149" s="518" t="str">
        <f>IF(AND(_AC3="A-319",'2023'!$G$4="FO",'2023'!$G$2=AT119),'2023DATA'!$C$32,"")</f>
        <v/>
      </c>
      <c r="AU149" s="518" t="str">
        <f>IF(AND(_AC3="A-319",'2023'!$G$4="FO",'2023'!$G$2=AU119),'2023DATA'!$D$32,"")</f>
        <v/>
      </c>
      <c r="AV149" s="518" t="str">
        <f>IF(AND(_AC3="A-319",'2023'!$G$4="FO",'2023'!$G$2=AV119),'2023DATA'!$E$32,"")</f>
        <v/>
      </c>
      <c r="AW149" s="518" t="str">
        <f>IF(AND(_AC3="A-319",'2023'!$G$4="FO",'2023'!$G$2=AW119),'2023DATA'!$F$32,"")</f>
        <v/>
      </c>
      <c r="AX149" s="518" t="str">
        <f>IF(AND(_AC3="A-319",'2023'!$G$4="FO",'2023'!$G$2=AX119),'2023DATA'!$G$32,"")</f>
        <v/>
      </c>
      <c r="AY149" s="518" t="str">
        <f>IF(AND(_AC3="A-319",'2023'!$G$4="FO",'2023'!$G$2=AY119),'2023DATA'!$H$32,"")</f>
        <v/>
      </c>
      <c r="AZ149" s="518" t="str">
        <f>IF(AND(_AC3="A-319",'2023'!$G$4="FO",'2023'!$G$2=AZ119),'2023DATA'!$I$32,"")</f>
        <v/>
      </c>
      <c r="BA149" s="518" t="str">
        <f>IF(AND(_AC3="A-319",'2023'!$G$4="FO",'2023'!$G$2=BA119),'2023DATA'!$J$32,"")</f>
        <v/>
      </c>
      <c r="BB149" s="518" t="str">
        <f>IF(AND(_AC3="A-319",'2023'!$G$4="FO",'2023'!$G$2=BB119),'2023DATA'!$K$32,"")</f>
        <v/>
      </c>
      <c r="BC149" s="518" t="str">
        <f>IF(AND(_AC3="A-319",'2023'!$G$4="FO",'2023'!$G$2=BC119),'2023DATA'!$L$32,"")</f>
        <v/>
      </c>
      <c r="BD149" s="518" t="str">
        <f>IF(AND(_AC3="A-319",'2023'!$G$4="FO",'2023'!$G$2=BD119),'2023DATA'!$M$32,"")</f>
        <v/>
      </c>
      <c r="BE149" s="520" t="str">
        <f>IF(AND(_AC3="A-319",'2023'!$G$4="FO",'2023'!$G$2=BE119),'2023DATA'!$N$32,"")</f>
        <v/>
      </c>
      <c r="BF149" s="940"/>
      <c r="BG149" s="13" t="s">
        <v>62</v>
      </c>
      <c r="BH149" s="518" t="str">
        <f>IF(AND(_AC4="A-319",'2023'!$G$4="FO",'2023'!$G$2=BH119),'2023DATA'!$C$32,"")</f>
        <v/>
      </c>
      <c r="BI149" s="518" t="str">
        <f>IF(AND(_AC4="A-319",'2023'!$G$4="FO",'2023'!$G$2=BI119),'2023DATA'!$D$32,"")</f>
        <v/>
      </c>
      <c r="BJ149" s="518" t="str">
        <f>IF(AND(_AC4="A-319",'2023'!$G$4="FO",'2023'!$G$2=BJ119),'2023DATA'!$E$32,"")</f>
        <v/>
      </c>
      <c r="BK149" s="518" t="str">
        <f>IF(AND(_AC4="A-319",'2023'!$G$4="FO",'2023'!$G$2=BK119),'2023DATA'!$F$32,"")</f>
        <v/>
      </c>
      <c r="BL149" s="518" t="str">
        <f>IF(AND(_AC4="A-319",'2023'!$G$4="FO",'2023'!$G$2=BL119),'2023DATA'!$G$32,"")</f>
        <v/>
      </c>
      <c r="BM149" s="518" t="str">
        <f>IF(AND(_AC4="A-319",'2023'!$G$4="FO",'2023'!$G$2=BM119),'2023DATA'!$H$32,"")</f>
        <v/>
      </c>
      <c r="BN149" s="518" t="str">
        <f>IF(AND(_AC4="A-319",'2023'!$G$4="FO",'2023'!$G$2=BN119),'2023DATA'!$I$32,"")</f>
        <v/>
      </c>
      <c r="BO149" s="518" t="str">
        <f>IF(AND(_AC4="A-319",'2023'!$G$4="FO",'2023'!$G$2=BO119),'2023DATA'!$J$32,"")</f>
        <v/>
      </c>
      <c r="BP149" s="518" t="str">
        <f>IF(AND(_AC4="A-319",'2023'!$G$4="FO",'2023'!$G$2=BP119),'2023DATA'!$K$32,"")</f>
        <v/>
      </c>
      <c r="BQ149" s="518" t="str">
        <f>IF(AND(_AC4="A-319",'2023'!$G$4="FO",'2023'!$G$2=BQ119),'2023DATA'!$L$32,"")</f>
        <v/>
      </c>
      <c r="BR149" s="518" t="str">
        <f>IF(AND(_AC4="A-319",'2023'!$G$4="FO",'2023'!$G$2=BR119),'2023DATA'!$M$32,"")</f>
        <v/>
      </c>
      <c r="BS149" s="520" t="str">
        <f>IF(AND(_AC4="A-319",'2023'!$G$4="FO",'2023'!$G$2=BS119),'2023DATA'!$N$32,"")</f>
        <v/>
      </c>
      <c r="BT149" s="940"/>
      <c r="BU149" s="13" t="s">
        <v>62</v>
      </c>
      <c r="BV149" s="518" t="str">
        <f>IF(AND(_AC5="A-319",'2023'!$G$4="FO",'2023'!$G$2=BV119),'2023DATA'!$C$32,"")</f>
        <v/>
      </c>
      <c r="BW149" s="518" t="str">
        <f>IF(AND(_AC5="A-319",'2023'!$G$4="FO",'2023'!$G$2=BW119),'2023DATA'!$D$32,"")</f>
        <v/>
      </c>
      <c r="BX149" s="518" t="str">
        <f>IF(AND(_AC5="A-319",'2023'!$G$4="FO",'2023'!$G$2=BX119),'2023DATA'!$E$32,"")</f>
        <v/>
      </c>
      <c r="BY149" s="518" t="str">
        <f>IF(AND(_AC5="A-319",'2023'!$G$4="FO",'2023'!$G$2=BY119),'2023DATA'!$F$32,"")</f>
        <v/>
      </c>
      <c r="BZ149" s="518" t="str">
        <f>IF(AND(_AC5="A-319",'2023'!$G$4="FO",'2023'!$G$2=BZ119),'2023DATA'!$G$32,"")</f>
        <v/>
      </c>
      <c r="CA149" s="518" t="str">
        <f>IF(AND(_AC5="A-319",'2023'!$G$4="FO",'2023'!$G$2=CA119),'2023DATA'!$H$32,"")</f>
        <v/>
      </c>
      <c r="CB149" s="518" t="str">
        <f>IF(AND(_AC5="A-319",'2023'!$G$4="FO",'2023'!$G$2=CB119),'2023DATA'!$I$32,"")</f>
        <v/>
      </c>
      <c r="CC149" s="518" t="str">
        <f>IF(AND(_AC5="A-319",'2023'!$G$4="FO",'2023'!$G$2=CC119),'2023DATA'!$J$32,"")</f>
        <v/>
      </c>
      <c r="CD149" s="518" t="str">
        <f>IF(AND(_AC5="A-319",'2023'!$G$4="FO",'2023'!$G$2=CD119),'2023DATA'!$K$32,"")</f>
        <v/>
      </c>
      <c r="CE149" s="518" t="str">
        <f>IF(AND(_AC5="A-319",'2023'!$G$4="FO",'2023'!$G$2=CE119),'2023DATA'!$L$32,"")</f>
        <v/>
      </c>
      <c r="CF149" s="518" t="str">
        <f>IF(AND(_AC5="A-319",'2023'!$G$4="FO",'2023'!$G$2=CF119),'2023DATA'!$M$32,"")</f>
        <v/>
      </c>
      <c r="CG149" s="520" t="str">
        <f>IF(AND(_AC5="A-319",'2023'!$G$4="FO",'2023'!$G$2=CG119),'2023DATA'!$N$32,"")</f>
        <v/>
      </c>
      <c r="CH149" s="940"/>
      <c r="CI149" s="13" t="s">
        <v>62</v>
      </c>
      <c r="CJ149" s="518" t="str">
        <f>IF(AND(_AC6="A-319",'2023'!$G$4="FO",'2023'!$G$2=CJ119),'2023DATA'!$C$32,"")</f>
        <v/>
      </c>
      <c r="CK149" s="518" t="str">
        <f>IF(AND(_AC6="A-319",'2023'!$G$4="FO",'2023'!$G$2=CK119),'2023DATA'!$D$32,"")</f>
        <v/>
      </c>
      <c r="CL149" s="518" t="str">
        <f>IF(AND(_AC6="A-319",'2023'!$G$4="FO",'2023'!$G$2=CL119),'2023DATA'!$E$32,"")</f>
        <v/>
      </c>
      <c r="CM149" s="518" t="str">
        <f>IF(AND(_AC6="A-319",'2023'!$G$4="FO",'2023'!$G$2=CM119),'2023DATA'!$F$32,"")</f>
        <v/>
      </c>
      <c r="CN149" s="518" t="str">
        <f>IF(AND(_AC6="A-319",'2023'!$G$4="FO",'2023'!$G$2=CN119),'2023DATA'!$G$32,"")</f>
        <v/>
      </c>
      <c r="CO149" s="518" t="str">
        <f>IF(AND(_AC6="A-319",'2023'!$G$4="FO",'2023'!$G$2=CO119),'2023DATA'!$H$32,"")</f>
        <v/>
      </c>
      <c r="CP149" s="518" t="str">
        <f>IF(AND(_AC6="A-319",'2023'!$G$4="FO",'2023'!$G$2=CP119),'2023DATA'!$I$32,"")</f>
        <v/>
      </c>
      <c r="CQ149" s="518" t="str">
        <f>IF(AND(_AC6="A-319",'2023'!$G$4="FO",'2023'!$G$2=CQ119),'2023DATA'!$J$32,"")</f>
        <v/>
      </c>
      <c r="CR149" s="518" t="str">
        <f>IF(AND(_AC6="A-319",'2023'!$G$4="FO",'2023'!$G$2=CR119),'2023DATA'!$K$32,"")</f>
        <v/>
      </c>
      <c r="CS149" s="518" t="str">
        <f>IF(AND(_AC6="A-319",'2023'!$G$4="FO",'2023'!$G$2=CS119),'2023DATA'!$L$32,"")</f>
        <v/>
      </c>
      <c r="CT149" s="518" t="str">
        <f>IF(AND(_AC6="A-319",'2023'!$G$4="FO",'2023'!$G$2=CT119),'2023DATA'!$M$32,"")</f>
        <v/>
      </c>
      <c r="CU149" s="520" t="str">
        <f>IF(AND(_AC6="A-319",'2023'!$G$4="FO",'2023'!$G$2=CU119),'2023DATA'!$N$32,"")</f>
        <v/>
      </c>
    </row>
    <row r="150" spans="16:99" x14ac:dyDescent="0.25">
      <c r="P150" s="940" t="s">
        <v>51</v>
      </c>
      <c r="Q150" s="13" t="s">
        <v>61</v>
      </c>
      <c r="R150" s="518" t="str">
        <f>IF(AND(_AC1="A-220-300",'2023'!$G$4="CA",'2023'!$G$2=R119),'2023DATA'!$C$33,"")</f>
        <v/>
      </c>
      <c r="S150" s="518" t="str">
        <f>IF(AND(_AC1="A-220-300",'2023'!$G$4="CA",'2023'!$G$2=S119),'2023DATA'!$D$33,"")</f>
        <v/>
      </c>
      <c r="T150" s="518" t="str">
        <f>IF(AND(_AC1="A-220-300",'2023'!$G$4="CA",'2023'!$G$2=T119),'2023DATA'!$E$33,"")</f>
        <v/>
      </c>
      <c r="U150" s="518" t="str">
        <f>IF(AND(_AC1="A-220-300",'2023'!$G$4="CA",'2023'!$G$2=U119),'2023DATA'!$F$33,"")</f>
        <v/>
      </c>
      <c r="V150" s="518" t="str">
        <f>IF(AND(_AC1="A-220-300",'2023'!$G$4="CA",'2023'!$G$2=V119),'2023DATA'!$G$33,"")</f>
        <v/>
      </c>
      <c r="W150" s="518" t="str">
        <f>IF(AND(_AC1="A-220-300",'2023'!$G$4="CA",'2023'!$G$2=W119),'2023DATA'!$H$33,"")</f>
        <v/>
      </c>
      <c r="X150" s="518" t="str">
        <f>IF(AND(_AC1="A-220-300",'2023'!$G$4="CA",'2023'!$G$2=X119),'2023DATA'!$I$33,"")</f>
        <v/>
      </c>
      <c r="Y150" s="518" t="str">
        <f>IF(AND(_AC1="A-220-300",'2023'!$G$4="CA",'2023'!$G$2=Y119),'2023DATA'!$J$33,"")</f>
        <v/>
      </c>
      <c r="Z150" s="518" t="str">
        <f>IF(AND(_AC1="A-220-300",'2023'!$G$4="CA",'2023'!$G$2=Z119),'2023DATA'!$K$33,"")</f>
        <v/>
      </c>
      <c r="AA150" s="518" t="str">
        <f>IF(AND(_AC1="A-220-300",'2023'!$G$4="CA",'2023'!$G$2=AA119),'2023DATA'!$L$33,"")</f>
        <v/>
      </c>
      <c r="AB150" s="518" t="str">
        <f>IF(AND(_AC1="A-220-300",'2023'!$G$4="CA",'2023'!$G$2=AB119),'2023DATA'!$M$33,"")</f>
        <v/>
      </c>
      <c r="AC150" s="520" t="str">
        <f>IF(AND(_AC1="A-220-300",'2023'!$G$4="CA",'2023'!$G$2=AC119),'2023DATA'!$N$33,"")</f>
        <v/>
      </c>
      <c r="AD150" s="940" t="s">
        <v>51</v>
      </c>
      <c r="AE150" s="13" t="s">
        <v>61</v>
      </c>
      <c r="AF150" s="518" t="str">
        <f>IF(AND(_AC2="A-220-300",'2023'!$G$4="CA",'2023'!$G$2=AF119),'2023DATA'!$C$33,"")</f>
        <v/>
      </c>
      <c r="AG150" s="518" t="str">
        <f>IF(AND(_AC2="A-220-300",'2023'!$G$4="CA",'2023'!$G$2=AG119),'2023DATA'!$D$33,"")</f>
        <v/>
      </c>
      <c r="AH150" s="518" t="str">
        <f>IF(AND(_AC2="A-220-300",'2023'!$G$4="CA",'2023'!$G$2=AH119),'2023DATA'!$E$33,"")</f>
        <v/>
      </c>
      <c r="AI150" s="518" t="str">
        <f>IF(AND(_AC2="A-220-300",'2023'!$G$4="CA",'2023'!$G$2=AI119),'2023DATA'!$F$33,"")</f>
        <v/>
      </c>
      <c r="AJ150" s="518" t="str">
        <f>IF(AND(_AC2="A-220-300",'2023'!$G$4="CA",'2023'!$G$2=AJ119),'2023DATA'!$G$33,"")</f>
        <v/>
      </c>
      <c r="AK150" s="518" t="str">
        <f>IF(AND(_AC2="A-220-300",'2023'!$G$4="CA",'2023'!$G$2=AK119),'2023DATA'!$H$33,"")</f>
        <v/>
      </c>
      <c r="AL150" s="518" t="str">
        <f>IF(AND(_AC2="A-220-300",'2023'!$G$4="CA",'2023'!$G$2=AL119),'2023DATA'!$I$33,"")</f>
        <v/>
      </c>
      <c r="AM150" s="518" t="str">
        <f>IF(AND(_AC2="A-220-300",'2023'!$G$4="CA",'2023'!$G$2=AM119),'2023DATA'!$J$33,"")</f>
        <v/>
      </c>
      <c r="AN150" s="518" t="str">
        <f>IF(AND(_AC2="A-220-300",'2023'!$G$4="CA",'2023'!$G$2=AN119),'2023DATA'!$K$33,"")</f>
        <v/>
      </c>
      <c r="AO150" s="518" t="str">
        <f>IF(AND(_AC2="A-220-300",'2023'!$G$4="CA",'2023'!$G$2=AO119),'2023DATA'!$L$33,"")</f>
        <v/>
      </c>
      <c r="AP150" s="518" t="str">
        <f>IF(AND(_AC2="A-220-300",'2023'!$G$4="CA",'2023'!$G$2=AP119),'2023DATA'!$M$33,"")</f>
        <v/>
      </c>
      <c r="AQ150" s="520" t="str">
        <f>IF(AND(_AC2="A-220-300",'2023'!$G$4="CA",'2023'!$G$2=AQ119),'2023DATA'!$N$33,"")</f>
        <v/>
      </c>
      <c r="AR150" s="940" t="s">
        <v>51</v>
      </c>
      <c r="AS150" s="13" t="s">
        <v>61</v>
      </c>
      <c r="AT150" s="518" t="str">
        <f>IF(AND(_AC3="A-220-300",'2023'!$G$4="CA",'2023'!$G$2=AT119),'2023DATA'!$C$33,"")</f>
        <v/>
      </c>
      <c r="AU150" s="518" t="str">
        <f>IF(AND(_AC3="A-220-300",'2023'!$G$4="CA",'2023'!$G$2=AU119),'2023DATA'!$D$33,"")</f>
        <v/>
      </c>
      <c r="AV150" s="518" t="str">
        <f>IF(AND(_AC3="A-220-300",'2023'!$G$4="CA",'2023'!$G$2=AV119),'2023DATA'!$E$33,"")</f>
        <v/>
      </c>
      <c r="AW150" s="518" t="str">
        <f>IF(AND(_AC3="A-220-300",'2023'!$G$4="CA",'2023'!$G$2=AW119),'2023DATA'!$F$33,"")</f>
        <v/>
      </c>
      <c r="AX150" s="518" t="str">
        <f>IF(AND(_AC3="A-220-300",'2023'!$G$4="CA",'2023'!$G$2=AX119),'2023DATA'!$G$33,"")</f>
        <v/>
      </c>
      <c r="AY150" s="518" t="str">
        <f>IF(AND(_AC3="A-220-300",'2023'!$G$4="CA",'2023'!$G$2=AY119),'2023DATA'!$H$33,"")</f>
        <v/>
      </c>
      <c r="AZ150" s="518" t="str">
        <f>IF(AND(_AC3="A-220-300",'2023'!$G$4="CA",'2023'!$G$2=AZ119),'2023DATA'!$I$33,"")</f>
        <v/>
      </c>
      <c r="BA150" s="518" t="str">
        <f>IF(AND(_AC3="A-220-300",'2023'!$G$4="CA",'2023'!$G$2=BA119),'2023DATA'!$J$33,"")</f>
        <v/>
      </c>
      <c r="BB150" s="518" t="str">
        <f>IF(AND(_AC3="A-220-300",'2023'!$G$4="CA",'2023'!$G$2=BB119),'2023DATA'!$K$33,"")</f>
        <v/>
      </c>
      <c r="BC150" s="518" t="str">
        <f>IF(AND(_AC3="A-220-300",'2023'!$G$4="CA",'2023'!$G$2=BC119),'2023DATA'!$L$33,"")</f>
        <v/>
      </c>
      <c r="BD150" s="518" t="str">
        <f>IF(AND(_AC3="A-220-300",'2023'!$G$4="CA",'2023'!$G$2=BD119),'2023DATA'!$M$33,"")</f>
        <v/>
      </c>
      <c r="BE150" s="520" t="str">
        <f>IF(AND(_AC3="A-220-300",'2023'!$G$4="CA",'2023'!$G$2=BE119),'2023DATA'!$N$33,"")</f>
        <v/>
      </c>
      <c r="BF150" s="940" t="s">
        <v>51</v>
      </c>
      <c r="BG150" s="13" t="s">
        <v>61</v>
      </c>
      <c r="BH150" s="518" t="str">
        <f>IF(AND(_AC4="A-220-300",'2023'!$G$4="CA",'2023'!$G$2=BH119),'2023DATA'!$C$33,"")</f>
        <v/>
      </c>
      <c r="BI150" s="518" t="str">
        <f>IF(AND(_AC4="A-220-300",'2023'!$G$4="CA",'2023'!$G$2=BI119),'2023DATA'!$D$33,"")</f>
        <v/>
      </c>
      <c r="BJ150" s="518" t="str">
        <f>IF(AND(_AC4="A-220-300",'2023'!$G$4="CA",'2023'!$G$2=BJ119),'2023DATA'!$E$33,"")</f>
        <v/>
      </c>
      <c r="BK150" s="518" t="str">
        <f>IF(AND(_AC4="A-220-300",'2023'!$G$4="CA",'2023'!$G$2=BK119),'2023DATA'!$F$33,"")</f>
        <v/>
      </c>
      <c r="BL150" s="518" t="str">
        <f>IF(AND(_AC4="A-220-300",'2023'!$G$4="CA",'2023'!$G$2=BL119),'2023DATA'!$G$33,"")</f>
        <v/>
      </c>
      <c r="BM150" s="518" t="str">
        <f>IF(AND(_AC4="A-220-300",'2023'!$G$4="CA",'2023'!$G$2=BM119),'2023DATA'!$H$33,"")</f>
        <v/>
      </c>
      <c r="BN150" s="518" t="str">
        <f>IF(AND(_AC4="A-220-300",'2023'!$G$4="CA",'2023'!$G$2=BN119),'2023DATA'!$I$33,"")</f>
        <v/>
      </c>
      <c r="BO150" s="518" t="str">
        <f>IF(AND(_AC4="A-220-300",'2023'!$G$4="CA",'2023'!$G$2=BO119),'2023DATA'!$J$33,"")</f>
        <v/>
      </c>
      <c r="BP150" s="518" t="str">
        <f>IF(AND(_AC4="A-220-300",'2023'!$G$4="CA",'2023'!$G$2=BP119),'2023DATA'!$K$33,"")</f>
        <v/>
      </c>
      <c r="BQ150" s="518" t="str">
        <f>IF(AND(_AC4="A-220-300",'2023'!$G$4="CA",'2023'!$G$2=BQ119),'2023DATA'!$L$33,"")</f>
        <v/>
      </c>
      <c r="BR150" s="518" t="str">
        <f>IF(AND(_AC4="A-220-300",'2023'!$G$4="CA",'2023'!$G$2=BR119),'2023DATA'!$M$33,"")</f>
        <v/>
      </c>
      <c r="BS150" s="520" t="str">
        <f>IF(AND(_AC4="A-220-300",'2023'!$G$4="CA",'2023'!$G$2=BS119),'2023DATA'!$N$33,"")</f>
        <v/>
      </c>
      <c r="BT150" s="940" t="s">
        <v>51</v>
      </c>
      <c r="BU150" s="13" t="s">
        <v>61</v>
      </c>
      <c r="BV150" s="518" t="str">
        <f>IF(AND(_AC5="A-220-300",'2023'!$G$4="CA",'2023'!$G$2=BV119),'2023DATA'!$C$33,"")</f>
        <v/>
      </c>
      <c r="BW150" s="518" t="str">
        <f>IF(AND(_AC5="A-220-300",'2023'!$G$4="CA",'2023'!$G$2=BW119),'2023DATA'!$D$33,"")</f>
        <v/>
      </c>
      <c r="BX150" s="518" t="str">
        <f>IF(AND(_AC5="A-220-300",'2023'!$G$4="CA",'2023'!$G$2=BX119),'2023DATA'!$E$33,"")</f>
        <v/>
      </c>
      <c r="BY150" s="518" t="str">
        <f>IF(AND(_AC5="A-220-300",'2023'!$G$4="CA",'2023'!$G$2=BY119),'2023DATA'!$F$33,"")</f>
        <v/>
      </c>
      <c r="BZ150" s="518" t="str">
        <f>IF(AND(_AC5="A-220-300",'2023'!$G$4="CA",'2023'!$G$2=BZ119),'2023DATA'!$G$33,"")</f>
        <v/>
      </c>
      <c r="CA150" s="518" t="str">
        <f>IF(AND(_AC5="A-220-300",'2023'!$G$4="CA",'2023'!$G$2=CA119),'2023DATA'!$H$33,"")</f>
        <v/>
      </c>
      <c r="CB150" s="518" t="str">
        <f>IF(AND(_AC5="A-220-300",'2023'!$G$4="CA",'2023'!$G$2=CB119),'2023DATA'!$I$33,"")</f>
        <v/>
      </c>
      <c r="CC150" s="518" t="str">
        <f>IF(AND(_AC5="A-220-300",'2023'!$G$4="CA",'2023'!$G$2=CC119),'2023DATA'!$J$33,"")</f>
        <v/>
      </c>
      <c r="CD150" s="518" t="str">
        <f>IF(AND(_AC5="A-220-300",'2023'!$G$4="CA",'2023'!$G$2=CD119),'2023DATA'!$K$33,"")</f>
        <v/>
      </c>
      <c r="CE150" s="518" t="str">
        <f>IF(AND(_AC5="A-220-300",'2023'!$G$4="CA",'2023'!$G$2=CE119),'2023DATA'!$L$33,"")</f>
        <v/>
      </c>
      <c r="CF150" s="518" t="str">
        <f>IF(AND(_AC5="A-220-300",'2023'!$G$4="CA",'2023'!$G$2=CF119),'2023DATA'!$M$33,"")</f>
        <v/>
      </c>
      <c r="CG150" s="520" t="str">
        <f>IF(AND(_AC5="A-220-300",'2023'!$G$4="CA",'2023'!$G$2=CG119),'2023DATA'!$N$33,"")</f>
        <v/>
      </c>
      <c r="CH150" s="940" t="s">
        <v>51</v>
      </c>
      <c r="CI150" s="13" t="s">
        <v>61</v>
      </c>
      <c r="CJ150" s="518" t="str">
        <f>IF(AND(_AC6="A-220-300",'2023'!$G$4="CA",'2023'!$G$2=CJ119),'2023DATA'!$C$33,"")</f>
        <v/>
      </c>
      <c r="CK150" s="518" t="str">
        <f>IF(AND(_AC6="A-220-300",'2023'!$G$4="CA",'2023'!$G$2=CK119),'2023DATA'!$D$33,"")</f>
        <v/>
      </c>
      <c r="CL150" s="518" t="str">
        <f>IF(AND(_AC6="A-220-300",'2023'!$G$4="CA",'2023'!$G$2=CL119),'2023DATA'!$E$33,"")</f>
        <v/>
      </c>
      <c r="CM150" s="518" t="str">
        <f>IF(AND(_AC6="A-220-300",'2023'!$G$4="CA",'2023'!$G$2=CM119),'2023DATA'!$F$33,"")</f>
        <v/>
      </c>
      <c r="CN150" s="518" t="str">
        <f>IF(AND(_AC6="A-220-300",'2023'!$G$4="CA",'2023'!$G$2=CN119),'2023DATA'!$G$33,"")</f>
        <v/>
      </c>
      <c r="CO150" s="518" t="str">
        <f>IF(AND(_AC6="A-220-300",'2023'!$G$4="CA",'2023'!$G$2=CO119),'2023DATA'!$H$33,"")</f>
        <v/>
      </c>
      <c r="CP150" s="518" t="str">
        <f>IF(AND(_AC6="A-220-300",'2023'!$G$4="CA",'2023'!$G$2=CP119),'2023DATA'!$I$33,"")</f>
        <v/>
      </c>
      <c r="CQ150" s="518" t="str">
        <f>IF(AND(_AC6="A-220-300",'2023'!$G$4="CA",'2023'!$G$2=CQ119),'2023DATA'!$J$33,"")</f>
        <v/>
      </c>
      <c r="CR150" s="518" t="str">
        <f>IF(AND(_AC6="A-220-300",'2023'!$G$4="CA",'2023'!$G$2=CR119),'2023DATA'!$K$33,"")</f>
        <v/>
      </c>
      <c r="CS150" s="518" t="str">
        <f>IF(AND(_AC6="A-220-300",'2023'!$G$4="CA",'2023'!$G$2=CS119),'2023DATA'!$L$33,"")</f>
        <v/>
      </c>
      <c r="CT150" s="518" t="str">
        <f>IF(AND(_AC6="A-220-300",'2023'!$G$4="CA",'2023'!$G$2=CT119),'2023DATA'!$M$33,"")</f>
        <v/>
      </c>
      <c r="CU150" s="520" t="str">
        <f>IF(AND(_AC6="A-220-300",'2023'!$G$4="CA",'2023'!$G$2=CU119),'2023DATA'!$N$33,"")</f>
        <v/>
      </c>
    </row>
    <row r="151" spans="16:99" x14ac:dyDescent="0.25">
      <c r="P151" s="940"/>
      <c r="Q151" s="13" t="s">
        <v>62</v>
      </c>
      <c r="R151" s="518" t="str">
        <f>IF(AND(_AC1="A-220-300",'2023'!$G$4="FO",'2023'!$G$2=R119),'2023DATA'!$C$34,"")</f>
        <v/>
      </c>
      <c r="S151" s="518" t="str">
        <f>IF(AND(_AC1="A-220-300",'2023'!$G$4="FO",'2023'!$G$2=S119),'2023DATA'!$D$34,"")</f>
        <v/>
      </c>
      <c r="T151" s="518" t="str">
        <f>IF(AND(_AC1="A-220-300",'2023'!$G$4="FO",'2023'!$G$2=T119),'2023DATA'!$E$34,"")</f>
        <v/>
      </c>
      <c r="U151" s="518" t="str">
        <f>IF(AND(_AC1="A-220-300",'2023'!$G$4="FO",'2023'!$G$2=U119),'2023DATA'!$F$34,"")</f>
        <v/>
      </c>
      <c r="V151" s="518" t="str">
        <f>IF(AND(_AC1="A-220-300",'2023'!$G$4="FO",'2023'!$G$2=V119),'2023DATA'!$G$34,"")</f>
        <v/>
      </c>
      <c r="W151" s="518" t="str">
        <f>IF(AND(_AC1="A-220-300",'2023'!$G$4="FO",'2023'!$G$2=W119),'2023DATA'!$H$34,"")</f>
        <v/>
      </c>
      <c r="X151" s="518" t="str">
        <f>IF(AND(_AC1="A-220-300",'2023'!$G$4="FO",'2023'!$G$2=X119),'2023DATA'!$I$34,"")</f>
        <v/>
      </c>
      <c r="Y151" s="518" t="str">
        <f>IF(AND(_AC1="A-220-300",'2023'!$G$4="FO",'2023'!$G$2=Y119),'2023DATA'!$J$34,"")</f>
        <v/>
      </c>
      <c r="Z151" s="518" t="str">
        <f>IF(AND(_AC1="A-220-300",'2023'!$G$4="FO",'2023'!$G$2=Z119),'2023DATA'!$K$34,"")</f>
        <v/>
      </c>
      <c r="AA151" s="518" t="str">
        <f>IF(AND(_AC1="A-220-300",'2023'!$G$4="FO",'2023'!$G$2=AA119),'2023DATA'!$L$34,"")</f>
        <v/>
      </c>
      <c r="AB151" s="518" t="str">
        <f>IF(AND(_AC1="A-220-300",'2023'!$G$4="FO",'2023'!$G$2=AB119),'2023DATA'!$M$34,"")</f>
        <v/>
      </c>
      <c r="AC151" s="520" t="str">
        <f>IF(AND(_AC1="A-220-300",'2023'!$G$4="FO",'2023'!$G$2=AC119),'2023DATA'!$N$34,"")</f>
        <v/>
      </c>
      <c r="AD151" s="940"/>
      <c r="AE151" s="13" t="s">
        <v>62</v>
      </c>
      <c r="AF151" s="518" t="str">
        <f>IF(AND(_AC2="A-220-300",'2023'!$G$4="FO",'2023'!$G$2=AF119),'2023DATA'!$C$34,"")</f>
        <v/>
      </c>
      <c r="AG151" s="518" t="str">
        <f>IF(AND(_AC2="A-220-300",'2023'!$G$4="FO",'2023'!$G$2=AG119),'2023DATA'!$D$34,"")</f>
        <v/>
      </c>
      <c r="AH151" s="518" t="str">
        <f>IF(AND(_AC2="A-220-300",'2023'!$G$4="FO",'2023'!$G$2=AH119),'2023DATA'!$E$34,"")</f>
        <v/>
      </c>
      <c r="AI151" s="518" t="str">
        <f>IF(AND(_AC2="A-220-300",'2023'!$G$4="FO",'2023'!$G$2=AI119),'2023DATA'!$F$34,"")</f>
        <v/>
      </c>
      <c r="AJ151" s="518" t="str">
        <f>IF(AND(_AC2="A-220-300",'2023'!$G$4="FO",'2023'!$G$2=AJ119),'2023DATA'!$G$34,"")</f>
        <v/>
      </c>
      <c r="AK151" s="518" t="str">
        <f>IF(AND(_AC2="A-220-300",'2023'!$G$4="FO",'2023'!$G$2=AK119),'2023DATA'!$H$34,"")</f>
        <v/>
      </c>
      <c r="AL151" s="518" t="str">
        <f>IF(AND(_AC2="A-220-300",'2023'!$G$4="FO",'2023'!$G$2=AL119),'2023DATA'!$I$34,"")</f>
        <v/>
      </c>
      <c r="AM151" s="518" t="str">
        <f>IF(AND(_AC2="A-220-300",'2023'!$G$4="FO",'2023'!$G$2=AM119),'2023DATA'!$J$34,"")</f>
        <v/>
      </c>
      <c r="AN151" s="518" t="str">
        <f>IF(AND(_AC2="A-220-300",'2023'!$G$4="FO",'2023'!$G$2=AN119),'2023DATA'!$K$34,"")</f>
        <v/>
      </c>
      <c r="AO151" s="518" t="str">
        <f>IF(AND(_AC2="A-220-300",'2023'!$G$4="FO",'2023'!$G$2=AO119),'2023DATA'!$L$34,"")</f>
        <v/>
      </c>
      <c r="AP151" s="518" t="str">
        <f>IF(AND(_AC2="A-220-300",'2023'!$G$4="FO",'2023'!$G$2=AP119),'2023DATA'!$M$34,"")</f>
        <v/>
      </c>
      <c r="AQ151" s="520" t="str">
        <f>IF(AND(_AC2="A-220-300",'2023'!$G$4="FO",'2023'!$G$2=AQ119),'2023DATA'!$N$34,"")</f>
        <v/>
      </c>
      <c r="AR151" s="940"/>
      <c r="AS151" s="13" t="s">
        <v>62</v>
      </c>
      <c r="AT151" s="518" t="str">
        <f>IF(AND(_AC3="A-220-300",'2023'!$G$4="FO",'2023'!$G$2=AT119),'2023DATA'!$C$34,"")</f>
        <v/>
      </c>
      <c r="AU151" s="518" t="str">
        <f>IF(AND(_AC3="A-220-300",'2023'!$G$4="FO",'2023'!$G$2=AU119),'2023DATA'!$D$34,"")</f>
        <v/>
      </c>
      <c r="AV151" s="518" t="str">
        <f>IF(AND(_AC3="A-220-300",'2023'!$G$4="FO",'2023'!$G$2=AV119),'2023DATA'!$E$34,"")</f>
        <v/>
      </c>
      <c r="AW151" s="518" t="str">
        <f>IF(AND(_AC3="A-220-300",'2023'!$G$4="FO",'2023'!$G$2=AW119),'2023DATA'!$F$34,"")</f>
        <v/>
      </c>
      <c r="AX151" s="518" t="str">
        <f>IF(AND(_AC3="A-220-300",'2023'!$G$4="FO",'2023'!$G$2=AX119),'2023DATA'!$G$34,"")</f>
        <v/>
      </c>
      <c r="AY151" s="518" t="str">
        <f>IF(AND(_AC3="A-220-300",'2023'!$G$4="FO",'2023'!$G$2=AY119),'2023DATA'!$H$34,"")</f>
        <v/>
      </c>
      <c r="AZ151" s="518" t="str">
        <f>IF(AND(_AC3="A-220-300",'2023'!$G$4="FO",'2023'!$G$2=AZ119),'2023DATA'!$I$34,"")</f>
        <v/>
      </c>
      <c r="BA151" s="518" t="str">
        <f>IF(AND(_AC3="A-220-300",'2023'!$G$4="FO",'2023'!$G$2=BA119),'2023DATA'!$J$34,"")</f>
        <v/>
      </c>
      <c r="BB151" s="518" t="str">
        <f>IF(AND(_AC3="A-220-300",'2023'!$G$4="FO",'2023'!$G$2=BB119),'2023DATA'!$K$34,"")</f>
        <v/>
      </c>
      <c r="BC151" s="518" t="str">
        <f>IF(AND(_AC3="A-220-300",'2023'!$G$4="FO",'2023'!$G$2=BC119),'2023DATA'!$L$34,"")</f>
        <v/>
      </c>
      <c r="BD151" s="518" t="str">
        <f>IF(AND(_AC3="A-220-300",'2023'!$G$4="FO",'2023'!$G$2=BD119),'2023DATA'!$M$34,"")</f>
        <v/>
      </c>
      <c r="BE151" s="520" t="str">
        <f>IF(AND(_AC3="A-220-300",'2023'!$G$4="FO",'2023'!$G$2=BE119),'2023DATA'!$N$34,"")</f>
        <v/>
      </c>
      <c r="BF151" s="940"/>
      <c r="BG151" s="13" t="s">
        <v>62</v>
      </c>
      <c r="BH151" s="518" t="str">
        <f>IF(AND(_AC4="A-220-300",'2023'!$G$4="FO",'2023'!$G$2=BH119),'2023DATA'!$C$34,"")</f>
        <v/>
      </c>
      <c r="BI151" s="518" t="str">
        <f>IF(AND(_AC4="A-220-300",'2023'!$G$4="FO",'2023'!$G$2=BI119),'2023DATA'!$D$34,"")</f>
        <v/>
      </c>
      <c r="BJ151" s="518" t="str">
        <f>IF(AND(_AC4="A-220-300",'2023'!$G$4="FO",'2023'!$G$2=BJ119),'2023DATA'!$E$34,"")</f>
        <v/>
      </c>
      <c r="BK151" s="518" t="str">
        <f>IF(AND(_AC4="A-220-300",'2023'!$G$4="FO",'2023'!$G$2=BK119),'2023DATA'!$F$34,"")</f>
        <v/>
      </c>
      <c r="BL151" s="518" t="str">
        <f>IF(AND(_AC4="A-220-300",'2023'!$G$4="FO",'2023'!$G$2=BL119),'2023DATA'!$G$34,"")</f>
        <v/>
      </c>
      <c r="BM151" s="518" t="str">
        <f>IF(AND(_AC4="A-220-300",'2023'!$G$4="FO",'2023'!$G$2=BM119),'2023DATA'!$H$34,"")</f>
        <v/>
      </c>
      <c r="BN151" s="518" t="str">
        <f>IF(AND(_AC4="A-220-300",'2023'!$G$4="FO",'2023'!$G$2=BN119),'2023DATA'!$I$34,"")</f>
        <v/>
      </c>
      <c r="BO151" s="518" t="str">
        <f>IF(AND(_AC4="A-220-300",'2023'!$G$4="FO",'2023'!$G$2=BO119),'2023DATA'!$J$34,"")</f>
        <v/>
      </c>
      <c r="BP151" s="518" t="str">
        <f>IF(AND(_AC4="A-220-300",'2023'!$G$4="FO",'2023'!$G$2=BP119),'2023DATA'!$K$34,"")</f>
        <v/>
      </c>
      <c r="BQ151" s="518" t="str">
        <f>IF(AND(_AC4="A-220-300",'2023'!$G$4="FO",'2023'!$G$2=BQ119),'2023DATA'!$L$34,"")</f>
        <v/>
      </c>
      <c r="BR151" s="518" t="str">
        <f>IF(AND(_AC4="A-220-300",'2023'!$G$4="FO",'2023'!$G$2=BR119),'2023DATA'!$M$34,"")</f>
        <v/>
      </c>
      <c r="BS151" s="520" t="str">
        <f>IF(AND(_AC4="A-220-300",'2023'!$G$4="FO",'2023'!$G$2=BS119),'2023DATA'!$N$34,"")</f>
        <v/>
      </c>
      <c r="BT151" s="940"/>
      <c r="BU151" s="13" t="s">
        <v>62</v>
      </c>
      <c r="BV151" s="518" t="str">
        <f>IF(AND(_AC5="A-220-300",'2023'!$G$4="FO",'2023'!$G$2=BV119),'2023DATA'!$C$34,"")</f>
        <v/>
      </c>
      <c r="BW151" s="518" t="str">
        <f>IF(AND(_AC5="A-220-300",'2023'!$G$4="FO",'2023'!$G$2=BW119),'2023DATA'!$D$34,"")</f>
        <v/>
      </c>
      <c r="BX151" s="518" t="str">
        <f>IF(AND(_AC5="A-220-300",'2023'!$G$4="FO",'2023'!$G$2=BX119),'2023DATA'!$E$34,"")</f>
        <v/>
      </c>
      <c r="BY151" s="518" t="str">
        <f>IF(AND(_AC5="A-220-300",'2023'!$G$4="FO",'2023'!$G$2=BY119),'2023DATA'!$F$34,"")</f>
        <v/>
      </c>
      <c r="BZ151" s="518" t="str">
        <f>IF(AND(_AC5="A-220-300",'2023'!$G$4="FO",'2023'!$G$2=BZ119),'2023DATA'!$G$34,"")</f>
        <v/>
      </c>
      <c r="CA151" s="518" t="str">
        <f>IF(AND(_AC5="A-220-300",'2023'!$G$4="FO",'2023'!$G$2=CA119),'2023DATA'!$H$34,"")</f>
        <v/>
      </c>
      <c r="CB151" s="518" t="str">
        <f>IF(AND(_AC5="A-220-300",'2023'!$G$4="FO",'2023'!$G$2=CB119),'2023DATA'!$I$34,"")</f>
        <v/>
      </c>
      <c r="CC151" s="518" t="str">
        <f>IF(AND(_AC5="A-220-300",'2023'!$G$4="FO",'2023'!$G$2=CC119),'2023DATA'!$J$34,"")</f>
        <v/>
      </c>
      <c r="CD151" s="518" t="str">
        <f>IF(AND(_AC5="A-220-300",'2023'!$G$4="FO",'2023'!$G$2=CD119),'2023DATA'!$K$34,"")</f>
        <v/>
      </c>
      <c r="CE151" s="518" t="str">
        <f>IF(AND(_AC5="A-220-300",'2023'!$G$4="FO",'2023'!$G$2=CE119),'2023DATA'!$L$34,"")</f>
        <v/>
      </c>
      <c r="CF151" s="518" t="str">
        <f>IF(AND(_AC5="A-220-300",'2023'!$G$4="FO",'2023'!$G$2=CF119),'2023DATA'!$M$34,"")</f>
        <v/>
      </c>
      <c r="CG151" s="520" t="str">
        <f>IF(AND(_AC5="A-220-300",'2023'!$G$4="FO",'2023'!$G$2=CG119),'2023DATA'!$N$34,"")</f>
        <v/>
      </c>
      <c r="CH151" s="940"/>
      <c r="CI151" s="13" t="s">
        <v>62</v>
      </c>
      <c r="CJ151" s="518" t="str">
        <f>IF(AND(_AC6="A-220-300",'2023'!$G$4="FO",'2023'!$G$2=CJ119),'2023DATA'!$C$34,"")</f>
        <v/>
      </c>
      <c r="CK151" s="518" t="str">
        <f>IF(AND(_AC6="A-220-300",'2023'!$G$4="FO",'2023'!$G$2=CK119),'2023DATA'!$D$34,"")</f>
        <v/>
      </c>
      <c r="CL151" s="518" t="str">
        <f>IF(AND(_AC6="A-220-300",'2023'!$G$4="FO",'2023'!$G$2=CL119),'2023DATA'!$E$34,"")</f>
        <v/>
      </c>
      <c r="CM151" s="518" t="str">
        <f>IF(AND(_AC6="A-220-300",'2023'!$G$4="FO",'2023'!$G$2=CM119),'2023DATA'!$F$34,"")</f>
        <v/>
      </c>
      <c r="CN151" s="518" t="str">
        <f>IF(AND(_AC6="A-220-300",'2023'!$G$4="FO",'2023'!$G$2=CN119),'2023DATA'!$G$34,"")</f>
        <v/>
      </c>
      <c r="CO151" s="518" t="str">
        <f>IF(AND(_AC6="A-220-300",'2023'!$G$4="FO",'2023'!$G$2=CO119),'2023DATA'!$H$34,"")</f>
        <v/>
      </c>
      <c r="CP151" s="518" t="str">
        <f>IF(AND(_AC6="A-220-300",'2023'!$G$4="FO",'2023'!$G$2=CP119),'2023DATA'!$I$34,"")</f>
        <v/>
      </c>
      <c r="CQ151" s="518" t="str">
        <f>IF(AND(_AC6="A-220-300",'2023'!$G$4="FO",'2023'!$G$2=CQ119),'2023DATA'!$J$34,"")</f>
        <v/>
      </c>
      <c r="CR151" s="518" t="str">
        <f>IF(AND(_AC6="A-220-300",'2023'!$G$4="FO",'2023'!$G$2=CR119),'2023DATA'!$K$34,"")</f>
        <v/>
      </c>
      <c r="CS151" s="518" t="str">
        <f>IF(AND(_AC6="A-220-300",'2023'!$G$4="FO",'2023'!$G$2=CS119),'2023DATA'!$L$34,"")</f>
        <v/>
      </c>
      <c r="CT151" s="518" t="str">
        <f>IF(AND(_AC6="A-220-300",'2023'!$G$4="FO",'2023'!$G$2=CT119),'2023DATA'!$M$34,"")</f>
        <v/>
      </c>
      <c r="CU151" s="520" t="str">
        <f>IF(AND(_AC6="A-220-300",'2023'!$G$4="FO",'2023'!$G$2=CU119),'2023DATA'!$N$34,"")</f>
        <v/>
      </c>
    </row>
    <row r="152" spans="16:99" x14ac:dyDescent="0.25">
      <c r="P152" s="940" t="s">
        <v>52</v>
      </c>
      <c r="Q152" s="13" t="s">
        <v>61</v>
      </c>
      <c r="R152" s="518" t="str">
        <f>IF(AND(_AC1="A-220-100",'2023'!$G$4="CA",'2023'!$G$2=R119),'2023DATA'!$C$35,"")</f>
        <v/>
      </c>
      <c r="S152" s="518" t="str">
        <f>IF(AND(_AC1="A-220-100",'2023'!$G$4="CA",'2023'!$G$2=S119),'2023DATA'!$D$35,"")</f>
        <v/>
      </c>
      <c r="T152" s="518" t="str">
        <f>IF(AND(_AC1="A-220-100",'2023'!$G$4="CA",'2023'!$G$2=T119),'2023DATA'!$E$35,"")</f>
        <v/>
      </c>
      <c r="U152" s="518" t="str">
        <f>IF(AND(_AC1="A-220-100",'2023'!$G$4="CA",'2023'!$G$2=U119),'2023DATA'!$F$35,"")</f>
        <v/>
      </c>
      <c r="V152" s="518" t="str">
        <f>IF(AND(_AC1="A-220-100",'2023'!$G$4="CA",'2023'!$G$2=V119),'2023DATA'!$G$35,"")</f>
        <v/>
      </c>
      <c r="W152" s="518" t="str">
        <f>IF(AND(_AC1="A-220-100",'2023'!$G$4="CA",'2023'!$G$2=W119),'2023DATA'!$H$35,"")</f>
        <v/>
      </c>
      <c r="X152" s="518" t="str">
        <f>IF(AND(_AC1="A-220-100",'2023'!$G$4="CA",'2023'!$G$2=X119),'2023DATA'!$I$35,"")</f>
        <v/>
      </c>
      <c r="Y152" s="518" t="str">
        <f>IF(AND(_AC1="A-220-100",'2023'!$G$4="CA",'2023'!$G$2=Y119),'2023DATA'!$J$35,"")</f>
        <v/>
      </c>
      <c r="Z152" s="518" t="str">
        <f>IF(AND(_AC1="A-220-100",'2023'!$G$4="CA",'2023'!$G$2=Z119),'2023DATA'!$K$35,"")</f>
        <v/>
      </c>
      <c r="AA152" s="518" t="str">
        <f>IF(AND(_AC1="A-220-100",'2023'!$G$4="CA",'2023'!$G$2=AA119),'2023DATA'!$L$35,"")</f>
        <v/>
      </c>
      <c r="AB152" s="518" t="str">
        <f>IF(AND(_AC1="A-220-100",'2023'!$G$4="CA",'2023'!$G$2=AB119),'2023DATA'!$M$35,"")</f>
        <v/>
      </c>
      <c r="AC152" s="520" t="str">
        <f>IF(AND(_AC1="A-220-100",'2023'!$G$4="CA",'2023'!$G$2=AC119),'2023DATA'!$N$35,"")</f>
        <v/>
      </c>
      <c r="AD152" s="940" t="s">
        <v>52</v>
      </c>
      <c r="AE152" s="13" t="s">
        <v>61</v>
      </c>
      <c r="AF152" s="518" t="str">
        <f>IF(AND(_AC2="A-220-100",'2023'!$G$4="CA",'2023'!$G$2=AF119),'2023DATA'!$C$35,"")</f>
        <v/>
      </c>
      <c r="AG152" s="518" t="str">
        <f>IF(AND(_AC2="A-220-100",'2023'!$G$4="CA",'2023'!$G$2=AG119),'2023DATA'!$D$35,"")</f>
        <v/>
      </c>
      <c r="AH152" s="518" t="str">
        <f>IF(AND(_AC2="A-220-100",'2023'!$G$4="CA",'2023'!$G$2=AH119),'2023DATA'!$E$35,"")</f>
        <v/>
      </c>
      <c r="AI152" s="518" t="str">
        <f>IF(AND(_AC2="A-220-100",'2023'!$G$4="CA",'2023'!$G$2=AI119),'2023DATA'!$F$35,"")</f>
        <v/>
      </c>
      <c r="AJ152" s="518" t="str">
        <f>IF(AND(_AC2="A-220-100",'2023'!$G$4="CA",'2023'!$G$2=AJ119),'2023DATA'!$G$35,"")</f>
        <v/>
      </c>
      <c r="AK152" s="518" t="str">
        <f>IF(AND(_AC2="A-220-100",'2023'!$G$4="CA",'2023'!$G$2=AK119),'2023DATA'!$H$35,"")</f>
        <v/>
      </c>
      <c r="AL152" s="518" t="str">
        <f>IF(AND(_AC2="A-220-100",'2023'!$G$4="CA",'2023'!$G$2=AL119),'2023DATA'!$I$35,"")</f>
        <v/>
      </c>
      <c r="AM152" s="518" t="str">
        <f>IF(AND(_AC2="A-220-100",'2023'!$G$4="CA",'2023'!$G$2=AM119),'2023DATA'!$J$35,"")</f>
        <v/>
      </c>
      <c r="AN152" s="518" t="str">
        <f>IF(AND(_AC2="A-220-100",'2023'!$G$4="CA",'2023'!$G$2=AN119),'2023DATA'!$K$35,"")</f>
        <v/>
      </c>
      <c r="AO152" s="518" t="str">
        <f>IF(AND(_AC2="A-220-100",'2023'!$G$4="CA",'2023'!$G$2=AO119),'2023DATA'!$L$35,"")</f>
        <v/>
      </c>
      <c r="AP152" s="518" t="str">
        <f>IF(AND(_AC2="A-220-100",'2023'!$G$4="CA",'2023'!$G$2=AP119),'2023DATA'!$M$35,"")</f>
        <v/>
      </c>
      <c r="AQ152" s="520" t="str">
        <f>IF(AND(_AC2="A-220-100",'2023'!$G$4="CA",'2023'!$G$2=AQ119),'2023DATA'!$N$35,"")</f>
        <v/>
      </c>
      <c r="AR152" s="940" t="s">
        <v>52</v>
      </c>
      <c r="AS152" s="13" t="s">
        <v>61</v>
      </c>
      <c r="AT152" s="518" t="str">
        <f>IF(AND(_AC3="A-220-100",'2023'!$G$4="CA",'2023'!$G$2=AT119),'2023DATA'!$C$35,"")</f>
        <v/>
      </c>
      <c r="AU152" s="518" t="str">
        <f>IF(AND(_AC3="A-220-100",'2023'!$G$4="CA",'2023'!$G$2=AU119),'2023DATA'!$D$35,"")</f>
        <v/>
      </c>
      <c r="AV152" s="518" t="str">
        <f>IF(AND(_AC3="A-220-100",'2023'!$G$4="CA",'2023'!$G$2=AV119),'2023DATA'!$E$35,"")</f>
        <v/>
      </c>
      <c r="AW152" s="518" t="str">
        <f>IF(AND(_AC3="A-220-100",'2023'!$G$4="CA",'2023'!$G$2=AW119),'2023DATA'!$F$35,"")</f>
        <v/>
      </c>
      <c r="AX152" s="518" t="str">
        <f>IF(AND(_AC3="A-220-100",'2023'!$G$4="CA",'2023'!$G$2=AX119),'2023DATA'!$G$35,"")</f>
        <v/>
      </c>
      <c r="AY152" s="518" t="str">
        <f>IF(AND(_AC3="A-220-100",'2023'!$G$4="CA",'2023'!$G$2=AY119),'2023DATA'!$H$35,"")</f>
        <v/>
      </c>
      <c r="AZ152" s="518" t="str">
        <f>IF(AND(_AC3="A-220-100",'2023'!$G$4="CA",'2023'!$G$2=AZ119),'2023DATA'!$I$35,"")</f>
        <v/>
      </c>
      <c r="BA152" s="518" t="str">
        <f>IF(AND(_AC3="A-220-100",'2023'!$G$4="CA",'2023'!$G$2=BA119),'2023DATA'!$J$35,"")</f>
        <v/>
      </c>
      <c r="BB152" s="518" t="str">
        <f>IF(AND(_AC3="A-220-100",'2023'!$G$4="CA",'2023'!$G$2=BB119),'2023DATA'!$K$35,"")</f>
        <v/>
      </c>
      <c r="BC152" s="518" t="str">
        <f>IF(AND(_AC3="A-220-100",'2023'!$G$4="CA",'2023'!$G$2=BC119),'2023DATA'!$L$35,"")</f>
        <v/>
      </c>
      <c r="BD152" s="518" t="str">
        <f>IF(AND(_AC3="A-220-100",'2023'!$G$4="CA",'2023'!$G$2=BD119),'2023DATA'!$M$35,"")</f>
        <v/>
      </c>
      <c r="BE152" s="520" t="str">
        <f>IF(AND(_AC3="A-220-100",'2023'!$G$4="CA",'2023'!$G$2=BE119),'2023DATA'!$N$35,"")</f>
        <v/>
      </c>
      <c r="BF152" s="940" t="s">
        <v>52</v>
      </c>
      <c r="BG152" s="13" t="s">
        <v>61</v>
      </c>
      <c r="BH152" s="518" t="str">
        <f>IF(AND(_AC4="A-220-100",'2023'!$G$4="CA",'2023'!$G$2=BH119),'2023DATA'!$C$35,"")</f>
        <v/>
      </c>
      <c r="BI152" s="518" t="str">
        <f>IF(AND(_AC4="A-220-100",'2023'!$G$4="CA",'2023'!$G$2=BI119),'2023DATA'!$D$35,"")</f>
        <v/>
      </c>
      <c r="BJ152" s="518" t="str">
        <f>IF(AND(_AC4="A-220-100",'2023'!$G$4="CA",'2023'!$G$2=BJ119),'2023DATA'!$E$35,"")</f>
        <v/>
      </c>
      <c r="BK152" s="518" t="str">
        <f>IF(AND(_AC4="A-220-100",'2023'!$G$4="CA",'2023'!$G$2=BK119),'2023DATA'!$F$35,"")</f>
        <v/>
      </c>
      <c r="BL152" s="518" t="str">
        <f>IF(AND(_AC4="A-220-100",'2023'!$G$4="CA",'2023'!$G$2=BL119),'2023DATA'!$G$35,"")</f>
        <v/>
      </c>
      <c r="BM152" s="518" t="str">
        <f>IF(AND(_AC4="A-220-100",'2023'!$G$4="CA",'2023'!$G$2=BM119),'2023DATA'!$H$35,"")</f>
        <v/>
      </c>
      <c r="BN152" s="518" t="str">
        <f>IF(AND(_AC4="A-220-100",'2023'!$G$4="CA",'2023'!$G$2=BN119),'2023DATA'!$I$35,"")</f>
        <v/>
      </c>
      <c r="BO152" s="518" t="str">
        <f>IF(AND(_AC4="A-220-100",'2023'!$G$4="CA",'2023'!$G$2=BO119),'2023DATA'!$J$35,"")</f>
        <v/>
      </c>
      <c r="BP152" s="518" t="str">
        <f>IF(AND(_AC4="A-220-100",'2023'!$G$4="CA",'2023'!$G$2=BP119),'2023DATA'!$K$35,"")</f>
        <v/>
      </c>
      <c r="BQ152" s="518" t="str">
        <f>IF(AND(_AC4="A-220-100",'2023'!$G$4="CA",'2023'!$G$2=BQ119),'2023DATA'!$L$35,"")</f>
        <v/>
      </c>
      <c r="BR152" s="518" t="str">
        <f>IF(AND(_AC4="A-220-100",'2023'!$G$4="CA",'2023'!$G$2=BR119),'2023DATA'!$M$35,"")</f>
        <v/>
      </c>
      <c r="BS152" s="520" t="str">
        <f>IF(AND(_AC4="A-220-100",'2023'!$G$4="CA",'2023'!$G$2=BS119),'2023DATA'!$N$35,"")</f>
        <v/>
      </c>
      <c r="BT152" s="940" t="s">
        <v>52</v>
      </c>
      <c r="BU152" s="13" t="s">
        <v>61</v>
      </c>
      <c r="BV152" s="518" t="str">
        <f>IF(AND(_AC5="A-220-100",'2023'!$G$4="CA",'2023'!$G$2=BV119),'2023DATA'!$C$35,"")</f>
        <v/>
      </c>
      <c r="BW152" s="518" t="str">
        <f>IF(AND(_AC5="A-220-100",'2023'!$G$4="CA",'2023'!$G$2=BW119),'2023DATA'!$D$35,"")</f>
        <v/>
      </c>
      <c r="BX152" s="518" t="str">
        <f>IF(AND(_AC5="A-220-100",'2023'!$G$4="CA",'2023'!$G$2=BX119),'2023DATA'!$E$35,"")</f>
        <v/>
      </c>
      <c r="BY152" s="518" t="str">
        <f>IF(AND(_AC5="A-220-100",'2023'!$G$4="CA",'2023'!$G$2=BY119),'2023DATA'!$F$35,"")</f>
        <v/>
      </c>
      <c r="BZ152" s="518" t="str">
        <f>IF(AND(_AC5="A-220-100",'2023'!$G$4="CA",'2023'!$G$2=BZ119),'2023DATA'!$G$35,"")</f>
        <v/>
      </c>
      <c r="CA152" s="518" t="str">
        <f>IF(AND(_AC5="A-220-100",'2023'!$G$4="CA",'2023'!$G$2=CA119),'2023DATA'!$H$35,"")</f>
        <v/>
      </c>
      <c r="CB152" s="518" t="str">
        <f>IF(AND(_AC5="A-220-100",'2023'!$G$4="CA",'2023'!$G$2=CB119),'2023DATA'!$I$35,"")</f>
        <v/>
      </c>
      <c r="CC152" s="518" t="str">
        <f>IF(AND(_AC5="A-220-100",'2023'!$G$4="CA",'2023'!$G$2=CC119),'2023DATA'!$J$35,"")</f>
        <v/>
      </c>
      <c r="CD152" s="518" t="str">
        <f>IF(AND(_AC5="A-220-100",'2023'!$G$4="CA",'2023'!$G$2=CD119),'2023DATA'!$K$35,"")</f>
        <v/>
      </c>
      <c r="CE152" s="518" t="str">
        <f>IF(AND(_AC5="A-220-100",'2023'!$G$4="CA",'2023'!$G$2=CE119),'2023DATA'!$L$35,"")</f>
        <v/>
      </c>
      <c r="CF152" s="518" t="str">
        <f>IF(AND(_AC5="A-220-100",'2023'!$G$4="CA",'2023'!$G$2=CF119),'2023DATA'!$M$35,"")</f>
        <v/>
      </c>
      <c r="CG152" s="520" t="str">
        <f>IF(AND(_AC5="A-220-100",'2023'!$G$4="CA",'2023'!$G$2=CG119),'2023DATA'!$N$35,"")</f>
        <v/>
      </c>
      <c r="CH152" s="940" t="s">
        <v>52</v>
      </c>
      <c r="CI152" s="13" t="s">
        <v>61</v>
      </c>
      <c r="CJ152" s="518" t="str">
        <f>IF(AND(_AC6="A-220-100",'2023'!$G$4="CA",'2023'!$G$2=CJ119),'2023DATA'!$C$35,"")</f>
        <v/>
      </c>
      <c r="CK152" s="518" t="str">
        <f>IF(AND(_AC6="A-220-100",'2023'!$G$4="CA",'2023'!$G$2=CK119),'2023DATA'!$D$35,"")</f>
        <v/>
      </c>
      <c r="CL152" s="518" t="str">
        <f>IF(AND(_AC6="A-220-100",'2023'!$G$4="CA",'2023'!$G$2=CL119),'2023DATA'!$E$35,"")</f>
        <v/>
      </c>
      <c r="CM152" s="518" t="str">
        <f>IF(AND(_AC6="A-220-100",'2023'!$G$4="CA",'2023'!$G$2=CM119),'2023DATA'!$F$35,"")</f>
        <v/>
      </c>
      <c r="CN152" s="518" t="str">
        <f>IF(AND(_AC6="A-220-100",'2023'!$G$4="CA",'2023'!$G$2=CN119),'2023DATA'!$G$35,"")</f>
        <v/>
      </c>
      <c r="CO152" s="518" t="str">
        <f>IF(AND(_AC6="A-220-100",'2023'!$G$4="CA",'2023'!$G$2=CO119),'2023DATA'!$H$35,"")</f>
        <v/>
      </c>
      <c r="CP152" s="518" t="str">
        <f>IF(AND(_AC6="A-220-100",'2023'!$G$4="CA",'2023'!$G$2=CP119),'2023DATA'!$I$35,"")</f>
        <v/>
      </c>
      <c r="CQ152" s="518" t="str">
        <f>IF(AND(_AC6="A-220-100",'2023'!$G$4="CA",'2023'!$G$2=CQ119),'2023DATA'!$J$35,"")</f>
        <v/>
      </c>
      <c r="CR152" s="518" t="str">
        <f>IF(AND(_AC6="A-220-100",'2023'!$G$4="CA",'2023'!$G$2=CR119),'2023DATA'!$K$35,"")</f>
        <v/>
      </c>
      <c r="CS152" s="518" t="str">
        <f>IF(AND(_AC6="A-220-100",'2023'!$G$4="CA",'2023'!$G$2=CS119),'2023DATA'!$L$35,"")</f>
        <v/>
      </c>
      <c r="CT152" s="518" t="str">
        <f>IF(AND(_AC6="A-220-100",'2023'!$G$4="CA",'2023'!$G$2=CT119),'2023DATA'!$M$35,"")</f>
        <v/>
      </c>
      <c r="CU152" s="520" t="str">
        <f>IF(AND(_AC6="A-220-100",'2023'!$G$4="CA",'2023'!$G$2=CU119),'2023DATA'!$N$35,"")</f>
        <v/>
      </c>
    </row>
    <row r="153" spans="16:99" x14ac:dyDescent="0.25">
      <c r="P153" s="940"/>
      <c r="Q153" s="13" t="s">
        <v>62</v>
      </c>
      <c r="R153" s="518" t="str">
        <f>IF(AND(_AC1="A-220-100",'2023'!$G$4="FO",'2023'!$G$2=R119),'2023DATA'!$C$36,"")</f>
        <v/>
      </c>
      <c r="S153" s="518" t="str">
        <f>IF(AND(_AC1="A-220-100",'2023'!$G$4="FO",'2023'!$G$2=S119),'2023DATA'!$D$36,"")</f>
        <v/>
      </c>
      <c r="T153" s="518" t="str">
        <f>IF(AND(_AC1="A-220-100",'2023'!$G$4="FO",'2023'!$G$2=T119),'2023DATA'!$E$36,"")</f>
        <v/>
      </c>
      <c r="U153" s="518" t="str">
        <f>IF(AND(_AC1="A-220-100",'2023'!$G$4="FO",'2023'!$G$2=U119),'2023DATA'!$F$36,"")</f>
        <v/>
      </c>
      <c r="V153" s="518" t="str">
        <f>IF(AND(_AC1="A-220-100",'2023'!$G$4="FO",'2023'!$G$2=V119),'2023DATA'!$G$36,"")</f>
        <v/>
      </c>
      <c r="W153" s="518" t="str">
        <f>IF(AND(_AC1="A-220-100",'2023'!$G$4="FO",'2023'!$G$2=W119),'2023DATA'!$H$36,"")</f>
        <v/>
      </c>
      <c r="X153" s="518" t="str">
        <f>IF(AND(_AC1="A-220-100",'2023'!$G$4="FO",'2023'!$G$2=X119),'2023DATA'!$I$36,"")</f>
        <v/>
      </c>
      <c r="Y153" s="518" t="str">
        <f>IF(AND(_AC1="A-220-100",'2023'!$G$4="FO",'2023'!$G$2=Y119),'2023DATA'!$J$36,"")</f>
        <v/>
      </c>
      <c r="Z153" s="518" t="str">
        <f>IF(AND(_AC1="A-220-100",'2023'!$G$4="FO",'2023'!$G$2=Z119),'2023DATA'!$K$36,"")</f>
        <v/>
      </c>
      <c r="AA153" s="518" t="str">
        <f>IF(AND(_AC1="A-220-100",'2023'!$G$4="FO",'2023'!$G$2=AA119),'2023DATA'!$L$36,"")</f>
        <v/>
      </c>
      <c r="AB153" s="518" t="str">
        <f>IF(AND(_AC1="A-220-100",'2023'!$G$4="FO",'2023'!$G$2=AB119),'2023DATA'!$M$36,"")</f>
        <v/>
      </c>
      <c r="AC153" s="520" t="str">
        <f>IF(AND(_AC1="A-220-100",'2023'!$G$4="FO",'2023'!$G$2=AC119),'2023DATA'!$N$36,"")</f>
        <v/>
      </c>
      <c r="AD153" s="940"/>
      <c r="AE153" s="13" t="s">
        <v>62</v>
      </c>
      <c r="AF153" s="518" t="str">
        <f>IF(AND(_AC2="A-220-100",'2023'!$G$4="FO",'2023'!$G$2=AF119),'2023DATA'!$C$36,"")</f>
        <v/>
      </c>
      <c r="AG153" s="518" t="str">
        <f>IF(AND(_AC2="A-220-100",'2023'!$G$4="FO",'2023'!$G$2=AG119),'2023DATA'!$D$36,"")</f>
        <v/>
      </c>
      <c r="AH153" s="518" t="str">
        <f>IF(AND(_AC2="A-220-100",'2023'!$G$4="FO",'2023'!$G$2=AH119),'2023DATA'!$E$36,"")</f>
        <v/>
      </c>
      <c r="AI153" s="518" t="str">
        <f>IF(AND(_AC2="A-220-100",'2023'!$G$4="FO",'2023'!$G$2=AI119),'2023DATA'!$F$36,"")</f>
        <v/>
      </c>
      <c r="AJ153" s="518" t="str">
        <f>IF(AND(_AC2="A-220-100",'2023'!$G$4="FO",'2023'!$G$2=AJ119),'2023DATA'!$G$36,"")</f>
        <v/>
      </c>
      <c r="AK153" s="518" t="str">
        <f>IF(AND(_AC2="A-220-100",'2023'!$G$4="FO",'2023'!$G$2=AK119),'2023DATA'!$H$36,"")</f>
        <v/>
      </c>
      <c r="AL153" s="518" t="str">
        <f>IF(AND(_AC2="A-220-100",'2023'!$G$4="FO",'2023'!$G$2=AL119),'2023DATA'!$I$36,"")</f>
        <v/>
      </c>
      <c r="AM153" s="518" t="str">
        <f>IF(AND(_AC2="A-220-100",'2023'!$G$4="FO",'2023'!$G$2=AM119),'2023DATA'!$J$36,"")</f>
        <v/>
      </c>
      <c r="AN153" s="518" t="str">
        <f>IF(AND(_AC2="A-220-100",'2023'!$G$4="FO",'2023'!$G$2=AN119),'2023DATA'!$K$36,"")</f>
        <v/>
      </c>
      <c r="AO153" s="518" t="str">
        <f>IF(AND(_AC2="A-220-100",'2023'!$G$4="FO",'2023'!$G$2=AO119),'2023DATA'!$L$36,"")</f>
        <v/>
      </c>
      <c r="AP153" s="518" t="str">
        <f>IF(AND(_AC2="A-220-100",'2023'!$G$4="FO",'2023'!$G$2=AP119),'2023DATA'!$M$36,"")</f>
        <v/>
      </c>
      <c r="AQ153" s="520" t="str">
        <f>IF(AND(_AC2="A-220-100",'2023'!$G$4="FO",'2023'!$G$2=AQ119),'2023DATA'!$N$36,"")</f>
        <v/>
      </c>
      <c r="AR153" s="940"/>
      <c r="AS153" s="13" t="s">
        <v>62</v>
      </c>
      <c r="AT153" s="518" t="str">
        <f>IF(AND(_AC3="A-220-100",'2023'!$G$4="FO",'2023'!$G$2=AT119),'2023DATA'!$C$36,"")</f>
        <v/>
      </c>
      <c r="AU153" s="518" t="str">
        <f>IF(AND(_AC3="A-220-100",'2023'!$G$4="FO",'2023'!$G$2=AU119),'2023DATA'!$D$36,"")</f>
        <v/>
      </c>
      <c r="AV153" s="518" t="str">
        <f>IF(AND(_AC3="A-220-100",'2023'!$G$4="FO",'2023'!$G$2=AV119),'2023DATA'!$E$36,"")</f>
        <v/>
      </c>
      <c r="AW153" s="518" t="str">
        <f>IF(AND(_AC3="A-220-100",'2023'!$G$4="FO",'2023'!$G$2=AW119),'2023DATA'!$F$36,"")</f>
        <v/>
      </c>
      <c r="AX153" s="518" t="str">
        <f>IF(AND(_AC3="A-220-100",'2023'!$G$4="FO",'2023'!$G$2=AX119),'2023DATA'!$G$36,"")</f>
        <v/>
      </c>
      <c r="AY153" s="518" t="str">
        <f>IF(AND(_AC3="A-220-100",'2023'!$G$4="FO",'2023'!$G$2=AY119),'2023DATA'!$H$36,"")</f>
        <v/>
      </c>
      <c r="AZ153" s="518" t="str">
        <f>IF(AND(_AC3="A-220-100",'2023'!$G$4="FO",'2023'!$G$2=AZ119),'2023DATA'!$I$36,"")</f>
        <v/>
      </c>
      <c r="BA153" s="518" t="str">
        <f>IF(AND(_AC3="A-220-100",'2023'!$G$4="FO",'2023'!$G$2=BA119),'2023DATA'!$J$36,"")</f>
        <v/>
      </c>
      <c r="BB153" s="518" t="str">
        <f>IF(AND(_AC3="A-220-100",'2023'!$G$4="FO",'2023'!$G$2=BB119),'2023DATA'!$K$36,"")</f>
        <v/>
      </c>
      <c r="BC153" s="518" t="str">
        <f>IF(AND(_AC3="A-220-100",'2023'!$G$4="FO",'2023'!$G$2=BC119),'2023DATA'!$L$36,"")</f>
        <v/>
      </c>
      <c r="BD153" s="518" t="str">
        <f>IF(AND(_AC3="A-220-100",'2023'!$G$4="FO",'2023'!$G$2=BD119),'2023DATA'!$M$36,"")</f>
        <v/>
      </c>
      <c r="BE153" s="520" t="str">
        <f>IF(AND(_AC3="A-220-100",'2023'!$G$4="FO",'2023'!$G$2=BE119),'2023DATA'!$N$36,"")</f>
        <v/>
      </c>
      <c r="BF153" s="940"/>
      <c r="BG153" s="13" t="s">
        <v>62</v>
      </c>
      <c r="BH153" s="518" t="str">
        <f>IF(AND(_AC4="A-220-100",'2023'!$G$4="FO",'2023'!$G$2=BH119),'2023DATA'!$C$36,"")</f>
        <v/>
      </c>
      <c r="BI153" s="518" t="str">
        <f>IF(AND(_AC4="A-220-100",'2023'!$G$4="FO",'2023'!$G$2=BI119),'2023DATA'!$D$36,"")</f>
        <v/>
      </c>
      <c r="BJ153" s="518" t="str">
        <f>IF(AND(_AC4="A-220-100",'2023'!$G$4="FO",'2023'!$G$2=BJ119),'2023DATA'!$E$36,"")</f>
        <v/>
      </c>
      <c r="BK153" s="518" t="str">
        <f>IF(AND(_AC4="A-220-100",'2023'!$G$4="FO",'2023'!$G$2=BK119),'2023DATA'!$F$36,"")</f>
        <v/>
      </c>
      <c r="BL153" s="518" t="str">
        <f>IF(AND(_AC4="A-220-100",'2023'!$G$4="FO",'2023'!$G$2=BL119),'2023DATA'!$G$36,"")</f>
        <v/>
      </c>
      <c r="BM153" s="518" t="str">
        <f>IF(AND(_AC4="A-220-100",'2023'!$G$4="FO",'2023'!$G$2=BM119),'2023DATA'!$H$36,"")</f>
        <v/>
      </c>
      <c r="BN153" s="518" t="str">
        <f>IF(AND(_AC4="A-220-100",'2023'!$G$4="FO",'2023'!$G$2=BN119),'2023DATA'!$I$36,"")</f>
        <v/>
      </c>
      <c r="BO153" s="518" t="str">
        <f>IF(AND(_AC4="A-220-100",'2023'!$G$4="FO",'2023'!$G$2=BO119),'2023DATA'!$J$36,"")</f>
        <v/>
      </c>
      <c r="BP153" s="518" t="str">
        <f>IF(AND(_AC4="A-220-100",'2023'!$G$4="FO",'2023'!$G$2=BP119),'2023DATA'!$K$36,"")</f>
        <v/>
      </c>
      <c r="BQ153" s="518" t="str">
        <f>IF(AND(_AC4="A-220-100",'2023'!$G$4="FO",'2023'!$G$2=BQ119),'2023DATA'!$L$36,"")</f>
        <v/>
      </c>
      <c r="BR153" s="518" t="str">
        <f>IF(AND(_AC4="A-220-100",'2023'!$G$4="FO",'2023'!$G$2=BR119),'2023DATA'!$M$36,"")</f>
        <v/>
      </c>
      <c r="BS153" s="520" t="str">
        <f>IF(AND(_AC4="A-220-100",'2023'!$G$4="FO",'2023'!$G$2=BS119),'2023DATA'!$N$36,"")</f>
        <v/>
      </c>
      <c r="BT153" s="940"/>
      <c r="BU153" s="13" t="s">
        <v>62</v>
      </c>
      <c r="BV153" s="518" t="str">
        <f>IF(AND(_AC5="A-220-100",'2023'!$G$4="FO",'2023'!$G$2=BV119),'2023DATA'!$C$36,"")</f>
        <v/>
      </c>
      <c r="BW153" s="518" t="str">
        <f>IF(AND(_AC5="A-220-100",'2023'!$G$4="FO",'2023'!$G$2=BW119),'2023DATA'!$D$36,"")</f>
        <v/>
      </c>
      <c r="BX153" s="518" t="str">
        <f>IF(AND(_AC5="A-220-100",'2023'!$G$4="FO",'2023'!$G$2=BX119),'2023DATA'!$E$36,"")</f>
        <v/>
      </c>
      <c r="BY153" s="518" t="str">
        <f>IF(AND(_AC5="A-220-100",'2023'!$G$4="FO",'2023'!$G$2=BY119),'2023DATA'!$F$36,"")</f>
        <v/>
      </c>
      <c r="BZ153" s="518" t="str">
        <f>IF(AND(_AC5="A-220-100",'2023'!$G$4="FO",'2023'!$G$2=BZ119),'2023DATA'!$G$36,"")</f>
        <v/>
      </c>
      <c r="CA153" s="518" t="str">
        <f>IF(AND(_AC5="A-220-100",'2023'!$G$4="FO",'2023'!$G$2=CA119),'2023DATA'!$H$36,"")</f>
        <v/>
      </c>
      <c r="CB153" s="518" t="str">
        <f>IF(AND(_AC5="A-220-100",'2023'!$G$4="FO",'2023'!$G$2=CB119),'2023DATA'!$I$36,"")</f>
        <v/>
      </c>
      <c r="CC153" s="518" t="str">
        <f>IF(AND(_AC5="A-220-100",'2023'!$G$4="FO",'2023'!$G$2=CC119),'2023DATA'!$J$36,"")</f>
        <v/>
      </c>
      <c r="CD153" s="518" t="str">
        <f>IF(AND(_AC5="A-220-100",'2023'!$G$4="FO",'2023'!$G$2=CD119),'2023DATA'!$K$36,"")</f>
        <v/>
      </c>
      <c r="CE153" s="518" t="str">
        <f>IF(AND(_AC5="A-220-100",'2023'!$G$4="FO",'2023'!$G$2=CE119),'2023DATA'!$L$36,"")</f>
        <v/>
      </c>
      <c r="CF153" s="518" t="str">
        <f>IF(AND(_AC5="A-220-100",'2023'!$G$4="FO",'2023'!$G$2=CF119),'2023DATA'!$M$36,"")</f>
        <v/>
      </c>
      <c r="CG153" s="520" t="str">
        <f>IF(AND(_AC5="A-220-100",'2023'!$G$4="FO",'2023'!$G$2=CG119),'2023DATA'!$N$36,"")</f>
        <v/>
      </c>
      <c r="CH153" s="940"/>
      <c r="CI153" s="13" t="s">
        <v>62</v>
      </c>
      <c r="CJ153" s="518" t="str">
        <f>IF(AND(_AC6="A-220-100",'2023'!$G$4="FO",'2023'!$G$2=CJ119),'2023DATA'!$C$36,"")</f>
        <v/>
      </c>
      <c r="CK153" s="518" t="str">
        <f>IF(AND(_AC6="A-220-100",'2023'!$G$4="FO",'2023'!$G$2=CK119),'2023DATA'!$D$36,"")</f>
        <v/>
      </c>
      <c r="CL153" s="518" t="str">
        <f>IF(AND(_AC6="A-220-100",'2023'!$G$4="FO",'2023'!$G$2=CL119),'2023DATA'!$E$36,"")</f>
        <v/>
      </c>
      <c r="CM153" s="518" t="str">
        <f>IF(AND(_AC6="A-220-100",'2023'!$G$4="FO",'2023'!$G$2=CM119),'2023DATA'!$F$36,"")</f>
        <v/>
      </c>
      <c r="CN153" s="518" t="str">
        <f>IF(AND(_AC6="A-220-100",'2023'!$G$4="FO",'2023'!$G$2=CN119),'2023DATA'!$G$36,"")</f>
        <v/>
      </c>
      <c r="CO153" s="518" t="str">
        <f>IF(AND(_AC6="A-220-100",'2023'!$G$4="FO",'2023'!$G$2=CO119),'2023DATA'!$H$36,"")</f>
        <v/>
      </c>
      <c r="CP153" s="518" t="str">
        <f>IF(AND(_AC6="A-220-100",'2023'!$G$4="FO",'2023'!$G$2=CP119),'2023DATA'!$I$36,"")</f>
        <v/>
      </c>
      <c r="CQ153" s="518" t="str">
        <f>IF(AND(_AC6="A-220-100",'2023'!$G$4="FO",'2023'!$G$2=CQ119),'2023DATA'!$J$36,"")</f>
        <v/>
      </c>
      <c r="CR153" s="518" t="str">
        <f>IF(AND(_AC6="A-220-100",'2023'!$G$4="FO",'2023'!$G$2=CR119),'2023DATA'!$K$36,"")</f>
        <v/>
      </c>
      <c r="CS153" s="518" t="str">
        <f>IF(AND(_AC6="A-220-100",'2023'!$G$4="FO",'2023'!$G$2=CS119),'2023DATA'!$L$36,"")</f>
        <v/>
      </c>
      <c r="CT153" s="518" t="str">
        <f>IF(AND(_AC6="A-220-100",'2023'!$G$4="FO",'2023'!$G$2=CT119),'2023DATA'!$M$36,"")</f>
        <v/>
      </c>
      <c r="CU153" s="520" t="str">
        <f>IF(AND(_AC6="A-220-100",'2023'!$G$4="FO",'2023'!$G$2=CU119),'2023DATA'!$N$36,"")</f>
        <v/>
      </c>
    </row>
    <row r="154" spans="16:99" x14ac:dyDescent="0.25">
      <c r="P154" s="940" t="s">
        <v>53</v>
      </c>
      <c r="Q154" s="13" t="s">
        <v>61</v>
      </c>
      <c r="R154" s="518" t="str">
        <f>IF(AND(_AC1="B-717",'2023'!$G$4="CA",'2023'!$G$2=R119),'2023DATA'!$C$37,"")</f>
        <v/>
      </c>
      <c r="S154" s="518" t="str">
        <f>IF(AND(_AC1="B-717",'2023'!$G$4="CA",'2023'!$G$2=S119),'2023DATA'!$D$37,"")</f>
        <v/>
      </c>
      <c r="T154" s="518" t="str">
        <f>IF(AND(_AC1="B-717",'2023'!$G$4="CA",'2023'!$G$2=T119),'2023DATA'!$E$37,"")</f>
        <v/>
      </c>
      <c r="U154" s="518" t="str">
        <f>IF(AND(_AC1="B-717",'2023'!$G$4="CA",'2023'!$G$2=U119),'2023DATA'!$F$37,"")</f>
        <v/>
      </c>
      <c r="V154" s="518" t="str">
        <f>IF(AND(_AC1="B-717",'2023'!$G$4="CA",'2023'!$G$2=V119),'2023DATA'!$G$37,"")</f>
        <v/>
      </c>
      <c r="W154" s="518" t="str">
        <f>IF(AND(_AC1="B-717",'2023'!$G$4="CA",'2023'!$G$2=W119),'2023DATA'!$H$37,"")</f>
        <v/>
      </c>
      <c r="X154" s="518" t="str">
        <f>IF(AND(_AC1="B-717",'2023'!$G$4="CA",'2023'!$G$2=X119),'2023DATA'!$I$37,"")</f>
        <v/>
      </c>
      <c r="Y154" s="518" t="str">
        <f>IF(AND(_AC1="B-717",'2023'!$G$4="CA",'2023'!$G$2=Y119),'2023DATA'!$J$37,"")</f>
        <v/>
      </c>
      <c r="Z154" s="518" t="str">
        <f>IF(AND(_AC1="B-717",'2023'!$G$4="CA",'2023'!$G$2=Z119),'2023DATA'!$K$37,"")</f>
        <v/>
      </c>
      <c r="AA154" s="518" t="str">
        <f>IF(AND(_AC1="B-717",'2023'!$G$4="CA",'2023'!$G$2=AA119),'2023DATA'!$L$37,"")</f>
        <v/>
      </c>
      <c r="AB154" s="518" t="str">
        <f>IF(AND(_AC1="B-717",'2023'!$G$4="CA",'2023'!$G$2=AB119),'2023DATA'!$M$37,"")</f>
        <v/>
      </c>
      <c r="AC154" s="520" t="str">
        <f>IF(AND(_AC1="B-717",'2023'!$G$4="CA",'2023'!$G$2=AC119),'2023DATA'!$N$37,"")</f>
        <v/>
      </c>
      <c r="AD154" s="940" t="s">
        <v>53</v>
      </c>
      <c r="AE154" s="13" t="s">
        <v>61</v>
      </c>
      <c r="AF154" s="518" t="str">
        <f>IF(AND(_AC2="B-717",'2023'!$G$4="CA",'2023'!$G$2=AF119),'2023DATA'!$C$37,"")</f>
        <v/>
      </c>
      <c r="AG154" s="518" t="str">
        <f>IF(AND(_AC2="B-717",'2023'!$G$4="CA",'2023'!$G$2=AG119),'2023DATA'!$D$37,"")</f>
        <v/>
      </c>
      <c r="AH154" s="518" t="str">
        <f>IF(AND(_AC2="B-717",'2023'!$G$4="CA",'2023'!$G$2=AH119),'2023DATA'!$E$37,"")</f>
        <v/>
      </c>
      <c r="AI154" s="518" t="str">
        <f>IF(AND(_AC2="B-717",'2023'!$G$4="CA",'2023'!$G$2=AI119),'2023DATA'!$F$37,"")</f>
        <v/>
      </c>
      <c r="AJ154" s="518" t="str">
        <f>IF(AND(_AC2="B-717",'2023'!$G$4="CA",'2023'!$G$2=AJ119),'2023DATA'!$G$37,"")</f>
        <v/>
      </c>
      <c r="AK154" s="518" t="str">
        <f>IF(AND(_AC2="B-717",'2023'!$G$4="CA",'2023'!$G$2=AK119),'2023DATA'!$H$37,"")</f>
        <v/>
      </c>
      <c r="AL154" s="518" t="str">
        <f>IF(AND(_AC2="B-717",'2023'!$G$4="CA",'2023'!$G$2=AL119),'2023DATA'!$I$37,"")</f>
        <v/>
      </c>
      <c r="AM154" s="518" t="str">
        <f>IF(AND(_AC2="B-717",'2023'!$G$4="CA",'2023'!$G$2=AM119),'2023DATA'!$J$37,"")</f>
        <v/>
      </c>
      <c r="AN154" s="518" t="str">
        <f>IF(AND(_AC2="B-717",'2023'!$G$4="CA",'2023'!$G$2=AN119),'2023DATA'!$K$37,"")</f>
        <v/>
      </c>
      <c r="AO154" s="518" t="str">
        <f>IF(AND(_AC2="B-717",'2023'!$G$4="CA",'2023'!$G$2=AO119),'2023DATA'!$L$37,"")</f>
        <v/>
      </c>
      <c r="AP154" s="518" t="str">
        <f>IF(AND(_AC2="B-717",'2023'!$G$4="CA",'2023'!$G$2=AP119),'2023DATA'!$M$37,"")</f>
        <v/>
      </c>
      <c r="AQ154" s="520" t="str">
        <f>IF(AND(_AC2="B-717",'2023'!$G$4="CA",'2023'!$G$2=AQ119),'2023DATA'!$N$37,"")</f>
        <v/>
      </c>
      <c r="AR154" s="940" t="s">
        <v>53</v>
      </c>
      <c r="AS154" s="13" t="s">
        <v>61</v>
      </c>
      <c r="AT154" s="518" t="str">
        <f>IF(AND(_AC3="B-717",'2023'!$G$4="CA",'2023'!$G$2=AT119),'2023DATA'!$C$37,"")</f>
        <v/>
      </c>
      <c r="AU154" s="518" t="str">
        <f>IF(AND(_AC3="B-717",'2023'!$G$4="CA",'2023'!$G$2=AU119),'2023DATA'!$D$37,"")</f>
        <v/>
      </c>
      <c r="AV154" s="518" t="str">
        <f>IF(AND(_AC3="B-717",'2023'!$G$4="CA",'2023'!$G$2=AV119),'2023DATA'!$E$37,"")</f>
        <v/>
      </c>
      <c r="AW154" s="518" t="str">
        <f>IF(AND(_AC3="B-717",'2023'!$G$4="CA",'2023'!$G$2=AW119),'2023DATA'!$F$37,"")</f>
        <v/>
      </c>
      <c r="AX154" s="518" t="str">
        <f>IF(AND(_AC3="B-717",'2023'!$G$4="CA",'2023'!$G$2=AX119),'2023DATA'!$G$37,"")</f>
        <v/>
      </c>
      <c r="AY154" s="518" t="str">
        <f>IF(AND(_AC3="B-717",'2023'!$G$4="CA",'2023'!$G$2=AY119),'2023DATA'!$H$37,"")</f>
        <v/>
      </c>
      <c r="AZ154" s="518" t="str">
        <f>IF(AND(_AC3="B-717",'2023'!$G$4="CA",'2023'!$G$2=AZ119),'2023DATA'!$I$37,"")</f>
        <v/>
      </c>
      <c r="BA154" s="518" t="str">
        <f>IF(AND(_AC3="B-717",'2023'!$G$4="CA",'2023'!$G$2=BA119),'2023DATA'!$J$37,"")</f>
        <v/>
      </c>
      <c r="BB154" s="518" t="str">
        <f>IF(AND(_AC3="B-717",'2023'!$G$4="CA",'2023'!$G$2=BB119),'2023DATA'!$K$37,"")</f>
        <v/>
      </c>
      <c r="BC154" s="518" t="str">
        <f>IF(AND(_AC3="B-717",'2023'!$G$4="CA",'2023'!$G$2=BC119),'2023DATA'!$L$37,"")</f>
        <v/>
      </c>
      <c r="BD154" s="518" t="str">
        <f>IF(AND(_AC3="B-717",'2023'!$G$4="CA",'2023'!$G$2=BD119),'2023DATA'!$M$37,"")</f>
        <v/>
      </c>
      <c r="BE154" s="520" t="str">
        <f>IF(AND(_AC3="B-717",'2023'!$G$4="CA",'2023'!$G$2=BE119),'2023DATA'!$N$37,"")</f>
        <v/>
      </c>
      <c r="BF154" s="940" t="s">
        <v>53</v>
      </c>
      <c r="BG154" s="13" t="s">
        <v>61</v>
      </c>
      <c r="BH154" s="518" t="str">
        <f>IF(AND(_AC4="B-717",'2023'!$G$4="CA",'2023'!$G$2=BH119),'2023DATA'!$C$37,"")</f>
        <v/>
      </c>
      <c r="BI154" s="518" t="str">
        <f>IF(AND(_AC4="B-717",'2023'!$G$4="CA",'2023'!$G$2=BI119),'2023DATA'!$D$37,"")</f>
        <v/>
      </c>
      <c r="BJ154" s="518" t="str">
        <f>IF(AND(_AC4="B-717",'2023'!$G$4="CA",'2023'!$G$2=BJ119),'2023DATA'!$E$37,"")</f>
        <v/>
      </c>
      <c r="BK154" s="518" t="str">
        <f>IF(AND(_AC4="B-717",'2023'!$G$4="CA",'2023'!$G$2=BK119),'2023DATA'!$F$37,"")</f>
        <v/>
      </c>
      <c r="BL154" s="518" t="str">
        <f>IF(AND(_AC4="B-717",'2023'!$G$4="CA",'2023'!$G$2=BL119),'2023DATA'!$G$37,"")</f>
        <v/>
      </c>
      <c r="BM154" s="518" t="str">
        <f>IF(AND(_AC4="B-717",'2023'!$G$4="CA",'2023'!$G$2=BM119),'2023DATA'!$H$37,"")</f>
        <v/>
      </c>
      <c r="BN154" s="518" t="str">
        <f>IF(AND(_AC4="B-717",'2023'!$G$4="CA",'2023'!$G$2=BN119),'2023DATA'!$I$37,"")</f>
        <v/>
      </c>
      <c r="BO154" s="518" t="str">
        <f>IF(AND(_AC4="B-717",'2023'!$G$4="CA",'2023'!$G$2=BO119),'2023DATA'!$J$37,"")</f>
        <v/>
      </c>
      <c r="BP154" s="518" t="str">
        <f>IF(AND(_AC4="B-717",'2023'!$G$4="CA",'2023'!$G$2=BP119),'2023DATA'!$K$37,"")</f>
        <v/>
      </c>
      <c r="BQ154" s="518" t="str">
        <f>IF(AND(_AC4="B-717",'2023'!$G$4="CA",'2023'!$G$2=BQ119),'2023DATA'!$L$37,"")</f>
        <v/>
      </c>
      <c r="BR154" s="518" t="str">
        <f>IF(AND(_AC4="B-717",'2023'!$G$4="CA",'2023'!$G$2=BR119),'2023DATA'!$M$37,"")</f>
        <v/>
      </c>
      <c r="BS154" s="520" t="str">
        <f>IF(AND(_AC4="B-717",'2023'!$G$4="CA",'2023'!$G$2=BS119),'2023DATA'!$N$37,"")</f>
        <v/>
      </c>
      <c r="BT154" s="940" t="s">
        <v>53</v>
      </c>
      <c r="BU154" s="13" t="s">
        <v>61</v>
      </c>
      <c r="BV154" s="518" t="str">
        <f>IF(AND(_AC5="B-717",'2023'!$G$4="CA",'2023'!$G$2=BV119),'2023DATA'!$C$37,"")</f>
        <v/>
      </c>
      <c r="BW154" s="518" t="str">
        <f>IF(AND(_AC5="B-717",'2023'!$G$4="CA",'2023'!$G$2=BW119),'2023DATA'!$D$37,"")</f>
        <v/>
      </c>
      <c r="BX154" s="518" t="str">
        <f>IF(AND(_AC5="B-717",'2023'!$G$4="CA",'2023'!$G$2=BX119),'2023DATA'!$E$37,"")</f>
        <v/>
      </c>
      <c r="BY154" s="518" t="str">
        <f>IF(AND(_AC5="B-717",'2023'!$G$4="CA",'2023'!$G$2=BY119),'2023DATA'!$F$37,"")</f>
        <v/>
      </c>
      <c r="BZ154" s="518" t="str">
        <f>IF(AND(_AC5="B-717",'2023'!$G$4="CA",'2023'!$G$2=BZ119),'2023DATA'!$G$37,"")</f>
        <v/>
      </c>
      <c r="CA154" s="518" t="str">
        <f>IF(AND(_AC5="B-717",'2023'!$G$4="CA",'2023'!$G$2=CA119),'2023DATA'!$H$37,"")</f>
        <v/>
      </c>
      <c r="CB154" s="518" t="str">
        <f>IF(AND(_AC5="B-717",'2023'!$G$4="CA",'2023'!$G$2=CB119),'2023DATA'!$I$37,"")</f>
        <v/>
      </c>
      <c r="CC154" s="518" t="str">
        <f>IF(AND(_AC5="B-717",'2023'!$G$4="CA",'2023'!$G$2=CC119),'2023DATA'!$J$37,"")</f>
        <v/>
      </c>
      <c r="CD154" s="518" t="str">
        <f>IF(AND(_AC5="B-717",'2023'!$G$4="CA",'2023'!$G$2=CD119),'2023DATA'!$K$37,"")</f>
        <v/>
      </c>
      <c r="CE154" s="518" t="str">
        <f>IF(AND(_AC5="B-717",'2023'!$G$4="CA",'2023'!$G$2=CE119),'2023DATA'!$L$37,"")</f>
        <v/>
      </c>
      <c r="CF154" s="518" t="str">
        <f>IF(AND(_AC5="B-717",'2023'!$G$4="CA",'2023'!$G$2=CF119),'2023DATA'!$M$37,"")</f>
        <v/>
      </c>
      <c r="CG154" s="520" t="str">
        <f>IF(AND(_AC5="B-717",'2023'!$G$4="CA",'2023'!$G$2=CG119),'2023DATA'!$N$37,"")</f>
        <v/>
      </c>
      <c r="CH154" s="940" t="s">
        <v>53</v>
      </c>
      <c r="CI154" s="13" t="s">
        <v>61</v>
      </c>
      <c r="CJ154" s="518" t="str">
        <f>IF(AND(_AC6="B-717",'2023'!$G$4="CA",'2023'!$G$2=CJ119),'2023DATA'!$C$37,"")</f>
        <v/>
      </c>
      <c r="CK154" s="518" t="str">
        <f>IF(AND(_AC6="B-717",'2023'!$G$4="CA",'2023'!$G$2=CK119),'2023DATA'!$D$37,"")</f>
        <v/>
      </c>
      <c r="CL154" s="518" t="str">
        <f>IF(AND(_AC6="B-717",'2023'!$G$4="CA",'2023'!$G$2=CL119),'2023DATA'!$E$37,"")</f>
        <v/>
      </c>
      <c r="CM154" s="518" t="str">
        <f>IF(AND(_AC6="B-717",'2023'!$G$4="CA",'2023'!$G$2=CM119),'2023DATA'!$F$37,"")</f>
        <v/>
      </c>
      <c r="CN154" s="518" t="str">
        <f>IF(AND(_AC6="B-717",'2023'!$G$4="CA",'2023'!$G$2=CN119),'2023DATA'!$G$37,"")</f>
        <v/>
      </c>
      <c r="CO154" s="518" t="str">
        <f>IF(AND(_AC6="B-717",'2023'!$G$4="CA",'2023'!$G$2=CO119),'2023DATA'!$H$37,"")</f>
        <v/>
      </c>
      <c r="CP154" s="518" t="str">
        <f>IF(AND(_AC6="B-717",'2023'!$G$4="CA",'2023'!$G$2=CP119),'2023DATA'!$I$37,"")</f>
        <v/>
      </c>
      <c r="CQ154" s="518" t="str">
        <f>IF(AND(_AC6="B-717",'2023'!$G$4="CA",'2023'!$G$2=CQ119),'2023DATA'!$J$37,"")</f>
        <v/>
      </c>
      <c r="CR154" s="518" t="str">
        <f>IF(AND(_AC6="B-717",'2023'!$G$4="CA",'2023'!$G$2=CR119),'2023DATA'!$K$37,"")</f>
        <v/>
      </c>
      <c r="CS154" s="518" t="str">
        <f>IF(AND(_AC6="B-717",'2023'!$G$4="CA",'2023'!$G$2=CS119),'2023DATA'!$L$37,"")</f>
        <v/>
      </c>
      <c r="CT154" s="518" t="str">
        <f>IF(AND(_AC6="B-717",'2023'!$G$4="CA",'2023'!$G$2=CT119),'2023DATA'!$M$37,"")</f>
        <v/>
      </c>
      <c r="CU154" s="520" t="str">
        <f>IF(AND(_AC6="B-717",'2023'!$G$4="CA",'2023'!$G$2=CU119),'2023DATA'!$N$37,"")</f>
        <v/>
      </c>
    </row>
    <row r="155" spans="16:99" ht="15.75" thickBot="1" x14ac:dyDescent="0.3">
      <c r="P155" s="942"/>
      <c r="Q155" s="2" t="s">
        <v>62</v>
      </c>
      <c r="R155" s="518" t="str">
        <f>IF(AND(_AC1="B-717",'2023'!$G$4="FO",'2023'!$G$2=R119),'2023DATA'!$C$38,"")</f>
        <v/>
      </c>
      <c r="S155" s="518" t="str">
        <f>IF(AND(_AC1="B-717",'2023'!$G$4="FO",'2023'!$G$2=S119),'2023DATA'!$D$38,"")</f>
        <v/>
      </c>
      <c r="T155" s="518" t="str">
        <f>IF(AND(_AC1="B-717",'2023'!$G$4="FO",'2023'!$G$2=T119),'2023DATA'!$E$38,"")</f>
        <v/>
      </c>
      <c r="U155" s="518" t="str">
        <f>IF(AND(_AC1="B-717",'2023'!$G$4="FO",'2023'!$G$2=U119),'2023DATA'!$F$38,"")</f>
        <v/>
      </c>
      <c r="V155" s="518" t="str">
        <f>IF(AND(_AC1="B-717",'2023'!$G$4="FO",'2023'!$G$2=V119),'2023DATA'!$G$38,"")</f>
        <v/>
      </c>
      <c r="W155" s="518" t="str">
        <f>IF(AND(_AC1="B-717",'2023'!$G$4="FO",'2023'!$G$2=W119),'2023DATA'!$H$38,"")</f>
        <v/>
      </c>
      <c r="X155" s="518" t="str">
        <f>IF(AND(_AC1="B-717",'2023'!$G$4="FO",'2023'!$G$2=X119),'2023DATA'!$I$38,"")</f>
        <v/>
      </c>
      <c r="Y155" s="518" t="str">
        <f>IF(AND(_AC1="B-717",'2023'!$G$4="FO",'2023'!$G$2=Y119),'2023DATA'!$J$38,"")</f>
        <v/>
      </c>
      <c r="Z155" s="518" t="str">
        <f>IF(AND(_AC1="B-717",'2023'!$G$4="FO",'2023'!$G$2=Z119),'2023DATA'!$K$38,"")</f>
        <v/>
      </c>
      <c r="AA155" s="518" t="str">
        <f>IF(AND(_AC1="B-717",'2023'!$G$4="FO",'2023'!$G$2=AA119),'2023DATA'!$L$38,"")</f>
        <v/>
      </c>
      <c r="AB155" s="518" t="str">
        <f>IF(AND(_AC1="B-717",'2023'!$G$4="FO",'2023'!$G$2=AB119),'2023DATA'!$M$38,"")</f>
        <v/>
      </c>
      <c r="AC155" s="520" t="str">
        <f>IF(AND(_AC1="B-717",'2023'!$G$4="FO",'2023'!$G$2=AC119),'2023DATA'!$N$38,"")</f>
        <v/>
      </c>
      <c r="AD155" s="942"/>
      <c r="AE155" s="2" t="s">
        <v>62</v>
      </c>
      <c r="AF155" s="518" t="str">
        <f>IF(AND(_AC2="B-717",'2023'!$G$4="FO",'2023'!$G$2=AF119),'2023DATA'!$C$38,"")</f>
        <v/>
      </c>
      <c r="AG155" s="518" t="str">
        <f>IF(AND(_AC2="B-717",'2023'!$G$4="FO",'2023'!$G$2=AG119),'2023DATA'!$D$38,"")</f>
        <v/>
      </c>
      <c r="AH155" s="518" t="str">
        <f>IF(AND(_AC2="B-717",'2023'!$G$4="FO",'2023'!$G$2=AH119),'2023DATA'!$E$38,"")</f>
        <v/>
      </c>
      <c r="AI155" s="518" t="str">
        <f>IF(AND(_AC2="B-717",'2023'!$G$4="FO",'2023'!$G$2=AI119),'2023DATA'!$F$38,"")</f>
        <v/>
      </c>
      <c r="AJ155" s="518" t="str">
        <f>IF(AND(_AC2="B-717",'2023'!$G$4="FO",'2023'!$G$2=AJ119),'2023DATA'!$G$38,"")</f>
        <v/>
      </c>
      <c r="AK155" s="518" t="str">
        <f>IF(AND(_AC2="B-717",'2023'!$G$4="FO",'2023'!$G$2=AK119),'2023DATA'!$H$38,"")</f>
        <v/>
      </c>
      <c r="AL155" s="518" t="str">
        <f>IF(AND(_AC2="B-717",'2023'!$G$4="FO",'2023'!$G$2=AL119),'2023DATA'!$I$38,"")</f>
        <v/>
      </c>
      <c r="AM155" s="518" t="str">
        <f>IF(AND(_AC2="B-717",'2023'!$G$4="FO",'2023'!$G$2=AM119),'2023DATA'!$J$38,"")</f>
        <v/>
      </c>
      <c r="AN155" s="518" t="str">
        <f>IF(AND(_AC2="B-717",'2023'!$G$4="FO",'2023'!$G$2=AN119),'2023DATA'!$K$38,"")</f>
        <v/>
      </c>
      <c r="AO155" s="518" t="str">
        <f>IF(AND(_AC2="B-717",'2023'!$G$4="FO",'2023'!$G$2=AO119),'2023DATA'!$L$38,"")</f>
        <v/>
      </c>
      <c r="AP155" s="518" t="str">
        <f>IF(AND(_AC2="B-717",'2023'!$G$4="FO",'2023'!$G$2=AP119),'2023DATA'!$M$38,"")</f>
        <v/>
      </c>
      <c r="AQ155" s="520" t="str">
        <f>IF(AND(_AC2="B-717",'2023'!$G$4="FO",'2023'!$G$2=AQ119),'2023DATA'!$N$38,"")</f>
        <v/>
      </c>
      <c r="AR155" s="942"/>
      <c r="AS155" s="2" t="s">
        <v>62</v>
      </c>
      <c r="AT155" s="518" t="str">
        <f>IF(AND(_AC3="B-717",'2023'!$G$4="FO",'2023'!$G$2=AT119),'2023DATA'!$C$38,"")</f>
        <v/>
      </c>
      <c r="AU155" s="518" t="str">
        <f>IF(AND(_AC3="B-717",'2023'!$G$4="FO",'2023'!$G$2=AU119),'2023DATA'!$D$38,"")</f>
        <v/>
      </c>
      <c r="AV155" s="518" t="str">
        <f>IF(AND(_AC3="B-717",'2023'!$G$4="FO",'2023'!$G$2=AV119),'2023DATA'!$E$38,"")</f>
        <v/>
      </c>
      <c r="AW155" s="518" t="str">
        <f>IF(AND(_AC3="B-717",'2023'!$G$4="FO",'2023'!$G$2=AW119),'2023DATA'!$F$38,"")</f>
        <v/>
      </c>
      <c r="AX155" s="518" t="str">
        <f>IF(AND(_AC3="B-717",'2023'!$G$4="FO",'2023'!$G$2=AX119),'2023DATA'!$G$38,"")</f>
        <v/>
      </c>
      <c r="AY155" s="518" t="str">
        <f>IF(AND(_AC3="B-717",'2023'!$G$4="FO",'2023'!$G$2=AY119),'2023DATA'!$H$38,"")</f>
        <v/>
      </c>
      <c r="AZ155" s="518" t="str">
        <f>IF(AND(_AC3="B-717",'2023'!$G$4="FO",'2023'!$G$2=AZ119),'2023DATA'!$I$38,"")</f>
        <v/>
      </c>
      <c r="BA155" s="518" t="str">
        <f>IF(AND(_AC3="B-717",'2023'!$G$4="FO",'2023'!$G$2=BA119),'2023DATA'!$J$38,"")</f>
        <v/>
      </c>
      <c r="BB155" s="518" t="str">
        <f>IF(AND(_AC3="B-717",'2023'!$G$4="FO",'2023'!$G$2=BB119),'2023DATA'!$K$38,"")</f>
        <v/>
      </c>
      <c r="BC155" s="518" t="str">
        <f>IF(AND(_AC3="B-717",'2023'!$G$4="FO",'2023'!$G$2=BC119),'2023DATA'!$L$38,"")</f>
        <v/>
      </c>
      <c r="BD155" s="518" t="str">
        <f>IF(AND(_AC3="B-717",'2023'!$G$4="FO",'2023'!$G$2=BD119),'2023DATA'!$M$38,"")</f>
        <v/>
      </c>
      <c r="BE155" s="520" t="str">
        <f>IF(AND(_AC3="B-717",'2023'!$G$4="FO",'2023'!$G$2=BE119),'2023DATA'!$N$38,"")</f>
        <v/>
      </c>
      <c r="BF155" s="942"/>
      <c r="BG155" s="2" t="s">
        <v>62</v>
      </c>
      <c r="BH155" s="518" t="str">
        <f>IF(AND(_AC4="B-717",'2023'!$G$4="FO",'2023'!$G$2=BH119),'2023DATA'!$C$38,"")</f>
        <v/>
      </c>
      <c r="BI155" s="518" t="str">
        <f>IF(AND(_AC4="B-717",'2023'!$G$4="FO",'2023'!$G$2=BI119),'2023DATA'!$D$38,"")</f>
        <v/>
      </c>
      <c r="BJ155" s="518" t="str">
        <f>IF(AND(_AC4="B-717",'2023'!$G$4="FO",'2023'!$G$2=BJ119),'2023DATA'!$E$38,"")</f>
        <v/>
      </c>
      <c r="BK155" s="518" t="str">
        <f>IF(AND(_AC4="B-717",'2023'!$G$4="FO",'2023'!$G$2=BK119),'2023DATA'!$F$38,"")</f>
        <v/>
      </c>
      <c r="BL155" s="518" t="str">
        <f>IF(AND(_AC4="B-717",'2023'!$G$4="FO",'2023'!$G$2=BL119),'2023DATA'!$G$38,"")</f>
        <v/>
      </c>
      <c r="BM155" s="518" t="str">
        <f>IF(AND(_AC4="B-717",'2023'!$G$4="FO",'2023'!$G$2=BM119),'2023DATA'!$H$38,"")</f>
        <v/>
      </c>
      <c r="BN155" s="518" t="str">
        <f>IF(AND(_AC4="B-717",'2023'!$G$4="FO",'2023'!$G$2=BN119),'2023DATA'!$I$38,"")</f>
        <v/>
      </c>
      <c r="BO155" s="518" t="str">
        <f>IF(AND(_AC4="B-717",'2023'!$G$4="FO",'2023'!$G$2=BO119),'2023DATA'!$J$38,"")</f>
        <v/>
      </c>
      <c r="BP155" s="518" t="str">
        <f>IF(AND(_AC4="B-717",'2023'!$G$4="FO",'2023'!$G$2=BP119),'2023DATA'!$K$38,"")</f>
        <v/>
      </c>
      <c r="BQ155" s="518" t="str">
        <f>IF(AND(_AC4="B-717",'2023'!$G$4="FO",'2023'!$G$2=BQ119),'2023DATA'!$L$38,"")</f>
        <v/>
      </c>
      <c r="BR155" s="518" t="str">
        <f>IF(AND(_AC4="B-717",'2023'!$G$4="FO",'2023'!$G$2=BR119),'2023DATA'!$M$38,"")</f>
        <v/>
      </c>
      <c r="BS155" s="520" t="str">
        <f>IF(AND(_AC4="B-717",'2023'!$G$4="FO",'2023'!$G$2=BS119),'2023DATA'!$N$38,"")</f>
        <v/>
      </c>
      <c r="BT155" s="942"/>
      <c r="BU155" s="2" t="s">
        <v>62</v>
      </c>
      <c r="BV155" s="518" t="str">
        <f>IF(AND(_AC5="B-717",'2023'!$G$4="FO",'2023'!$G$2=BV119),'2023DATA'!$C$38,"")</f>
        <v/>
      </c>
      <c r="BW155" s="518" t="str">
        <f>IF(AND(_AC5="B-717",'2023'!$G$4="FO",'2023'!$G$2=BW119),'2023DATA'!$D$38,"")</f>
        <v/>
      </c>
      <c r="BX155" s="518" t="str">
        <f>IF(AND(_AC5="B-717",'2023'!$G$4="FO",'2023'!$G$2=BX119),'2023DATA'!$E$38,"")</f>
        <v/>
      </c>
      <c r="BY155" s="518" t="str">
        <f>IF(AND(_AC5="B-717",'2023'!$G$4="FO",'2023'!$G$2=BY119),'2023DATA'!$F$38,"")</f>
        <v/>
      </c>
      <c r="BZ155" s="518" t="str">
        <f>IF(AND(_AC5="B-717",'2023'!$G$4="FO",'2023'!$G$2=BZ119),'2023DATA'!$G$38,"")</f>
        <v/>
      </c>
      <c r="CA155" s="518" t="str">
        <f>IF(AND(_AC5="B-717",'2023'!$G$4="FO",'2023'!$G$2=CA119),'2023DATA'!$H$38,"")</f>
        <v/>
      </c>
      <c r="CB155" s="518" t="str">
        <f>IF(AND(_AC5="B-717",'2023'!$G$4="FO",'2023'!$G$2=CB119),'2023DATA'!$I$38,"")</f>
        <v/>
      </c>
      <c r="CC155" s="518" t="str">
        <f>IF(AND(_AC5="B-717",'2023'!$G$4="FO",'2023'!$G$2=CC119),'2023DATA'!$J$38,"")</f>
        <v/>
      </c>
      <c r="CD155" s="518" t="str">
        <f>IF(AND(_AC5="B-717",'2023'!$G$4="FO",'2023'!$G$2=CD119),'2023DATA'!$K$38,"")</f>
        <v/>
      </c>
      <c r="CE155" s="518" t="str">
        <f>IF(AND(_AC5="B-717",'2023'!$G$4="FO",'2023'!$G$2=CE119),'2023DATA'!$L$38,"")</f>
        <v/>
      </c>
      <c r="CF155" s="518" t="str">
        <f>IF(AND(_AC5="B-717",'2023'!$G$4="FO",'2023'!$G$2=CF119),'2023DATA'!$M$38,"")</f>
        <v/>
      </c>
      <c r="CG155" s="520" t="str">
        <f>IF(AND(_AC5="B-717",'2023'!$G$4="FO",'2023'!$G$2=CG119),'2023DATA'!$N$38,"")</f>
        <v/>
      </c>
      <c r="CH155" s="942"/>
      <c r="CI155" s="2" t="s">
        <v>62</v>
      </c>
      <c r="CJ155" s="518" t="str">
        <f>IF(AND(_AC6="B-717",'2023'!$G$4="FO",'2023'!$G$2=CJ119),'2023DATA'!$C$38,"")</f>
        <v/>
      </c>
      <c r="CK155" s="518" t="str">
        <f>IF(AND(_AC6="B-717",'2023'!$G$4="FO",'2023'!$G$2=CK119),'2023DATA'!$D$38,"")</f>
        <v/>
      </c>
      <c r="CL155" s="518" t="str">
        <f>IF(AND(_AC6="B-717",'2023'!$G$4="FO",'2023'!$G$2=CL119),'2023DATA'!$E$38,"")</f>
        <v/>
      </c>
      <c r="CM155" s="518" t="str">
        <f>IF(AND(_AC6="B-717",'2023'!$G$4="FO",'2023'!$G$2=CM119),'2023DATA'!$F$38,"")</f>
        <v/>
      </c>
      <c r="CN155" s="518" t="str">
        <f>IF(AND(_AC6="B-717",'2023'!$G$4="FO",'2023'!$G$2=CN119),'2023DATA'!$G$38,"")</f>
        <v/>
      </c>
      <c r="CO155" s="518" t="str">
        <f>IF(AND(_AC6="B-717",'2023'!$G$4="FO",'2023'!$G$2=CO119),'2023DATA'!$H$38,"")</f>
        <v/>
      </c>
      <c r="CP155" s="518" t="str">
        <f>IF(AND(_AC6="B-717",'2023'!$G$4="FO",'2023'!$G$2=CP119),'2023DATA'!$I$38,"")</f>
        <v/>
      </c>
      <c r="CQ155" s="518" t="str">
        <f>IF(AND(_AC6="B-717",'2023'!$G$4="FO",'2023'!$G$2=CQ119),'2023DATA'!$J$38,"")</f>
        <v/>
      </c>
      <c r="CR155" s="518" t="str">
        <f>IF(AND(_AC6="B-717",'2023'!$G$4="FO",'2023'!$G$2=CR119),'2023DATA'!$K$38,"")</f>
        <v/>
      </c>
      <c r="CS155" s="518" t="str">
        <f>IF(AND(_AC6="B-717",'2023'!$G$4="FO",'2023'!$G$2=CS119),'2023DATA'!$L$38,"")</f>
        <v/>
      </c>
      <c r="CT155" s="518" t="str">
        <f>IF(AND(_AC6="B-717",'2023'!$G$4="FO",'2023'!$G$2=CT119),'2023DATA'!$M$38,"")</f>
        <v/>
      </c>
      <c r="CU155" s="520" t="str">
        <f>IF(AND(_AC6="B-717",'2023'!$G$4="FO",'2023'!$G$2=CU119),'2023DATA'!$N$38,"")</f>
        <v/>
      </c>
    </row>
    <row r="156" spans="16:99" x14ac:dyDescent="0.25">
      <c r="P156" s="943" t="s">
        <v>140</v>
      </c>
      <c r="Q156" s="944"/>
      <c r="R156" s="944"/>
      <c r="S156" s="944"/>
      <c r="T156" s="944"/>
      <c r="U156" s="944"/>
      <c r="V156" s="944"/>
      <c r="W156" s="944"/>
      <c r="X156" s="944"/>
      <c r="Y156" s="944"/>
      <c r="Z156" s="944"/>
      <c r="AA156" s="944"/>
      <c r="AB156" s="944"/>
      <c r="AC156" s="945"/>
      <c r="AD156" s="943" t="s">
        <v>141</v>
      </c>
      <c r="AE156" s="944"/>
      <c r="AF156" s="944"/>
      <c r="AG156" s="944"/>
      <c r="AH156" s="944"/>
      <c r="AI156" s="944"/>
      <c r="AJ156" s="944"/>
      <c r="AK156" s="944"/>
      <c r="AL156" s="944"/>
      <c r="AM156" s="944"/>
      <c r="AN156" s="944"/>
      <c r="AO156" s="944"/>
      <c r="AP156" s="944"/>
      <c r="AQ156" s="945"/>
      <c r="AR156" s="943" t="s">
        <v>142</v>
      </c>
      <c r="AS156" s="944"/>
      <c r="AT156" s="944"/>
      <c r="AU156" s="944"/>
      <c r="AV156" s="944"/>
      <c r="AW156" s="944"/>
      <c r="AX156" s="944"/>
      <c r="AY156" s="944"/>
      <c r="AZ156" s="944"/>
      <c r="BA156" s="944"/>
      <c r="BB156" s="944"/>
      <c r="BC156" s="944"/>
      <c r="BD156" s="944"/>
      <c r="BE156" s="945"/>
      <c r="BF156" s="943" t="s">
        <v>143</v>
      </c>
      <c r="BG156" s="944"/>
      <c r="BH156" s="944"/>
      <c r="BI156" s="944"/>
      <c r="BJ156" s="944"/>
      <c r="BK156" s="944"/>
      <c r="BL156" s="944"/>
      <c r="BM156" s="944"/>
      <c r="BN156" s="944"/>
      <c r="BO156" s="944"/>
      <c r="BP156" s="944"/>
      <c r="BQ156" s="944"/>
      <c r="BR156" s="944"/>
      <c r="BS156" s="945"/>
      <c r="BT156" s="943" t="s">
        <v>144</v>
      </c>
      <c r="BU156" s="944"/>
      <c r="BV156" s="944"/>
      <c r="BW156" s="944"/>
      <c r="BX156" s="944"/>
      <c r="BY156" s="944"/>
      <c r="BZ156" s="944"/>
      <c r="CA156" s="944"/>
      <c r="CB156" s="944"/>
      <c r="CC156" s="944"/>
      <c r="CD156" s="944"/>
      <c r="CE156" s="944"/>
      <c r="CF156" s="944"/>
      <c r="CG156" s="945"/>
      <c r="CH156" s="943" t="s">
        <v>145</v>
      </c>
      <c r="CI156" s="944"/>
      <c r="CJ156" s="944"/>
      <c r="CK156" s="944"/>
      <c r="CL156" s="944"/>
      <c r="CM156" s="944"/>
      <c r="CN156" s="944"/>
      <c r="CO156" s="944"/>
      <c r="CP156" s="944"/>
      <c r="CQ156" s="944"/>
      <c r="CR156" s="944"/>
      <c r="CS156" s="944"/>
      <c r="CT156" s="944"/>
      <c r="CU156" s="945"/>
    </row>
    <row r="157" spans="16:99" x14ac:dyDescent="0.25">
      <c r="P157" s="597">
        <v>5</v>
      </c>
      <c r="Q157" s="563">
        <f>SUM(R158:AC193)</f>
        <v>0</v>
      </c>
      <c r="R157" s="3">
        <v>12</v>
      </c>
      <c r="S157" s="3">
        <v>11</v>
      </c>
      <c r="T157" s="3">
        <v>10</v>
      </c>
      <c r="U157" s="3">
        <v>9</v>
      </c>
      <c r="V157" s="3">
        <v>8</v>
      </c>
      <c r="W157" s="3">
        <v>7</v>
      </c>
      <c r="X157" s="3">
        <v>6</v>
      </c>
      <c r="Y157" s="3">
        <v>5</v>
      </c>
      <c r="Z157" s="3">
        <v>4</v>
      </c>
      <c r="AA157" s="3">
        <v>3</v>
      </c>
      <c r="AB157" s="3">
        <v>2</v>
      </c>
      <c r="AC157" s="519">
        <v>1</v>
      </c>
      <c r="AD157" s="563">
        <v>5</v>
      </c>
      <c r="AE157" s="563">
        <f>SUM(AF158:AQ193)</f>
        <v>0</v>
      </c>
      <c r="AF157" s="3">
        <v>12</v>
      </c>
      <c r="AG157" s="3">
        <v>11</v>
      </c>
      <c r="AH157" s="3">
        <v>10</v>
      </c>
      <c r="AI157" s="3">
        <v>9</v>
      </c>
      <c r="AJ157" s="3">
        <v>8</v>
      </c>
      <c r="AK157" s="3">
        <v>7</v>
      </c>
      <c r="AL157" s="3">
        <v>6</v>
      </c>
      <c r="AM157" s="3">
        <v>5</v>
      </c>
      <c r="AN157" s="3">
        <v>4</v>
      </c>
      <c r="AO157" s="3">
        <v>3</v>
      </c>
      <c r="AP157" s="3">
        <v>2</v>
      </c>
      <c r="AQ157" s="519">
        <v>1</v>
      </c>
      <c r="AR157" s="563">
        <v>5</v>
      </c>
      <c r="AS157" s="563">
        <f>SUM(AT158:BE193)</f>
        <v>0</v>
      </c>
      <c r="AT157" s="3">
        <v>12</v>
      </c>
      <c r="AU157" s="3">
        <v>11</v>
      </c>
      <c r="AV157" s="3">
        <v>10</v>
      </c>
      <c r="AW157" s="3">
        <v>9</v>
      </c>
      <c r="AX157" s="3">
        <v>8</v>
      </c>
      <c r="AY157" s="3">
        <v>7</v>
      </c>
      <c r="AZ157" s="3">
        <v>6</v>
      </c>
      <c r="BA157" s="3">
        <v>5</v>
      </c>
      <c r="BB157" s="3">
        <v>4</v>
      </c>
      <c r="BC157" s="3">
        <v>3</v>
      </c>
      <c r="BD157" s="3">
        <v>2</v>
      </c>
      <c r="BE157" s="519">
        <v>1</v>
      </c>
      <c r="BF157" s="563">
        <v>5</v>
      </c>
      <c r="BG157" s="563">
        <f>SUM(BH158:BS193)</f>
        <v>0</v>
      </c>
      <c r="BH157" s="3">
        <v>12</v>
      </c>
      <c r="BI157" s="3">
        <v>11</v>
      </c>
      <c r="BJ157" s="3">
        <v>10</v>
      </c>
      <c r="BK157" s="3">
        <v>9</v>
      </c>
      <c r="BL157" s="3">
        <v>8</v>
      </c>
      <c r="BM157" s="3">
        <v>7</v>
      </c>
      <c r="BN157" s="3">
        <v>6</v>
      </c>
      <c r="BO157" s="3">
        <v>5</v>
      </c>
      <c r="BP157" s="3">
        <v>4</v>
      </c>
      <c r="BQ157" s="3">
        <v>3</v>
      </c>
      <c r="BR157" s="3">
        <v>2</v>
      </c>
      <c r="BS157" s="519">
        <v>1</v>
      </c>
      <c r="BT157" s="563">
        <v>5</v>
      </c>
      <c r="BU157" s="563">
        <f>SUM(BV158:CG193)</f>
        <v>0</v>
      </c>
      <c r="BV157" s="3">
        <v>12</v>
      </c>
      <c r="BW157" s="3">
        <v>11</v>
      </c>
      <c r="BX157" s="3">
        <v>10</v>
      </c>
      <c r="BY157" s="3">
        <v>9</v>
      </c>
      <c r="BZ157" s="3">
        <v>8</v>
      </c>
      <c r="CA157" s="3">
        <v>7</v>
      </c>
      <c r="CB157" s="3">
        <v>6</v>
      </c>
      <c r="CC157" s="3">
        <v>5</v>
      </c>
      <c r="CD157" s="3">
        <v>4</v>
      </c>
      <c r="CE157" s="3">
        <v>3</v>
      </c>
      <c r="CF157" s="3">
        <v>2</v>
      </c>
      <c r="CG157" s="519">
        <v>1</v>
      </c>
      <c r="CH157" s="563">
        <v>5</v>
      </c>
      <c r="CI157" s="563">
        <f>SUM(CJ158:CU193)</f>
        <v>0</v>
      </c>
      <c r="CJ157" s="3">
        <v>12</v>
      </c>
      <c r="CK157" s="3">
        <v>11</v>
      </c>
      <c r="CL157" s="3">
        <v>10</v>
      </c>
      <c r="CM157" s="3">
        <v>9</v>
      </c>
      <c r="CN157" s="3">
        <v>8</v>
      </c>
      <c r="CO157" s="3">
        <v>7</v>
      </c>
      <c r="CP157" s="3">
        <v>6</v>
      </c>
      <c r="CQ157" s="3">
        <v>5</v>
      </c>
      <c r="CR157" s="3">
        <v>4</v>
      </c>
      <c r="CS157" s="3">
        <v>3</v>
      </c>
      <c r="CT157" s="3">
        <v>2</v>
      </c>
      <c r="CU157" s="519">
        <v>1</v>
      </c>
    </row>
    <row r="158" spans="16:99" x14ac:dyDescent="0.25">
      <c r="P158" s="940" t="s">
        <v>39</v>
      </c>
      <c r="Q158" s="13" t="s">
        <v>61</v>
      </c>
      <c r="R158" s="518" t="str">
        <f>IF(AND(_AC1="A-350",'2023'!$H$4="CA",'2023'!$H$2=R157),'2023DATA'!$C$3,"")</f>
        <v/>
      </c>
      <c r="S158" s="518" t="str">
        <f>IF(AND(_AC1="A-350",'2023'!$H$4="CA",'2023'!$H$2=S157),'2023DATA'!$D$3,"")</f>
        <v/>
      </c>
      <c r="T158" s="518" t="str">
        <f>IF(AND(_AC1="A-350",'2023'!$H$4="CA",'2023'!$H$2=T157),'2023DATA'!$E$3,"")</f>
        <v/>
      </c>
      <c r="U158" s="518" t="str">
        <f>IF(AND(_AC1="A-350",'2023'!$H$4="CA",'2023'!$H$2=U157),'2023DATA'!$F$3,"")</f>
        <v/>
      </c>
      <c r="V158" s="518" t="str">
        <f>IF(AND(_AC1="A-350",'2023'!$H$4="CA",'2023'!$H$2=V157),'2023DATA'!$G$3,"")</f>
        <v/>
      </c>
      <c r="W158" s="518" t="str">
        <f>IF(AND(_AC1="A-350",'2023'!$H$4="CA",'2023'!$H$2=W157),'2023DATA'!$H$3,"")</f>
        <v/>
      </c>
      <c r="X158" s="518" t="str">
        <f>IF(AND(_AC1="A-350",'2023'!$H$4="CA",'2023'!$H$2=X157),'2023DATA'!$I$3,"")</f>
        <v/>
      </c>
      <c r="Y158" s="518" t="str">
        <f>IF(AND(_AC1="A-350",'2023'!$H$4="CA",'2023'!$H$2=Y157),'2023DATA'!$J$3,"")</f>
        <v/>
      </c>
      <c r="Z158" s="518" t="str">
        <f>IF(AND(_AC1="A-350",'2023'!$H$4="CA",'2023'!$H$2=Z157),'2023DATA'!$K$3,"")</f>
        <v/>
      </c>
      <c r="AA158" s="518" t="str">
        <f>IF(AND(_AC1="A-350",'2023'!$H$4="CA",'2023'!$H$2=AA157),'2023DATA'!$L$3,"")</f>
        <v/>
      </c>
      <c r="AB158" s="518" t="str">
        <f>IF(AND(_AC1="A-350",'2023'!$H$4="CA",'2023'!$H$2=AB157),'2023DATA'!$M$3,"")</f>
        <v/>
      </c>
      <c r="AC158" s="520" t="str">
        <f>IF(AND(_AC1="A-350",'2023'!$H$4="CA",'2023'!$H$2=AC157),'2023DATA'!$N$3,"")</f>
        <v/>
      </c>
      <c r="AD158" s="940" t="s">
        <v>39</v>
      </c>
      <c r="AE158" s="13" t="s">
        <v>61</v>
      </c>
      <c r="AF158" s="518" t="str">
        <f>IF(AND(_AC2="A-350",'2023'!$H$4="CA",'2023'!$H$2=AF157),'2023DATA'!$C$3,"")</f>
        <v/>
      </c>
      <c r="AG158" s="518" t="str">
        <f>IF(AND(_AC2="A-350",'2023'!$H$4="CA",'2023'!$H$2=AG157),'2023DATA'!$D$3,"")</f>
        <v/>
      </c>
      <c r="AH158" s="518" t="str">
        <f>IF(AND(_AC2="A-350",'2023'!$H$4="CA",'2023'!$H$2=AH157),'2023DATA'!$E$3,"")</f>
        <v/>
      </c>
      <c r="AI158" s="518" t="str">
        <f>IF(AND(_AC2="A-350",'2023'!$H$4="CA",'2023'!$H$2=AI157),'2023DATA'!$F$3,"")</f>
        <v/>
      </c>
      <c r="AJ158" s="518" t="str">
        <f>IF(AND(_AC2="A-350",'2023'!$H$4="CA",'2023'!$H$2=AJ157),'2023DATA'!$G$3,"")</f>
        <v/>
      </c>
      <c r="AK158" s="518" t="str">
        <f>IF(AND(_AC2="A-350",'2023'!$H$4="CA",'2023'!$H$2=AK157),'2023DATA'!$H$3,"")</f>
        <v/>
      </c>
      <c r="AL158" s="518" t="str">
        <f>IF(AND(_AC2="A-350",'2023'!$H$4="CA",'2023'!$H$2=AL157),'2023DATA'!$I$3,"")</f>
        <v/>
      </c>
      <c r="AM158" s="518" t="str">
        <f>IF(AND(_AC2="A-350",'2023'!$H$4="CA",'2023'!$H$2=AM157),'2023DATA'!$J$3,"")</f>
        <v/>
      </c>
      <c r="AN158" s="518" t="str">
        <f>IF(AND(_AC2="A-350",'2023'!$H$4="CA",'2023'!$H$2=AN157),'2023DATA'!$K$3,"")</f>
        <v/>
      </c>
      <c r="AO158" s="518" t="str">
        <f>IF(AND(_AC2="A-350",'2023'!$H$4="CA",'2023'!$H$2=AO157),'2023DATA'!$L$3,"")</f>
        <v/>
      </c>
      <c r="AP158" s="518" t="str">
        <f>IF(AND(_AC2="A-350",'2023'!$H$4="CA",'2023'!$H$2=AP157),'2023DATA'!$M$3,"")</f>
        <v/>
      </c>
      <c r="AQ158" s="520" t="str">
        <f>IF(AND(_AC2="A-350",'2023'!$H$4="CA",'2023'!$H$2=AQ157),'2023DATA'!$N$3,"")</f>
        <v/>
      </c>
      <c r="AR158" s="940" t="s">
        <v>39</v>
      </c>
      <c r="AS158" s="13" t="s">
        <v>61</v>
      </c>
      <c r="AT158" s="518" t="str">
        <f>IF(AND(_AC3="A-350",'2023'!$H$4="CA",'2023'!$H$2=AT157),'2023DATA'!$C$3,"")</f>
        <v/>
      </c>
      <c r="AU158" s="518" t="str">
        <f>IF(AND(_AC3="A-350",'2023'!$H$4="CA",'2023'!$H$2=AU157),'2023DATA'!$D$3,"")</f>
        <v/>
      </c>
      <c r="AV158" s="518" t="str">
        <f>IF(AND(_AC3="A-350",'2023'!$H$4="CA",'2023'!$H$2=AV157),'2023DATA'!$E$3,"")</f>
        <v/>
      </c>
      <c r="AW158" s="518" t="str">
        <f>IF(AND(_AC3="A-350",'2023'!$H$4="CA",'2023'!$H$2=AW157),'2023DATA'!$F$3,"")</f>
        <v/>
      </c>
      <c r="AX158" s="518" t="str">
        <f>IF(AND(_AC3="A-350",'2023'!$H$4="CA",'2023'!$H$2=AX157),'2023DATA'!$G$3,"")</f>
        <v/>
      </c>
      <c r="AY158" s="518" t="str">
        <f>IF(AND(_AC3="A-350",'2023'!$H$4="CA",'2023'!$H$2=AY157),'2023DATA'!$H$3,"")</f>
        <v/>
      </c>
      <c r="AZ158" s="518" t="str">
        <f>IF(AND(_AC3="A-350",'2023'!$H$4="CA",'2023'!$H$2=AZ157),'2023DATA'!$I$3,"")</f>
        <v/>
      </c>
      <c r="BA158" s="518" t="str">
        <f>IF(AND(_AC3="A-350",'2023'!$H$4="CA",'2023'!$H$2=BA157),'2023DATA'!$J$3,"")</f>
        <v/>
      </c>
      <c r="BB158" s="518" t="str">
        <f>IF(AND(_AC3="A-350",'2023'!$H$4="CA",'2023'!$H$2=BB157),'2023DATA'!$K$3,"")</f>
        <v/>
      </c>
      <c r="BC158" s="518" t="str">
        <f>IF(AND(_AC3="A-350",'2023'!$H$4="CA",'2023'!$H$2=BC157),'2023DATA'!$L$3,"")</f>
        <v/>
      </c>
      <c r="BD158" s="518" t="str">
        <f>IF(AND(_AC3="A-350",'2023'!$H$4="CA",'2023'!$H$2=BD157),'2023DATA'!$M$3,"")</f>
        <v/>
      </c>
      <c r="BE158" s="520" t="str">
        <f>IF(AND(_AC3="A-350",'2023'!$H$4="CA",'2023'!$H$2=BE157),'2023DATA'!$N$3,"")</f>
        <v/>
      </c>
      <c r="BF158" s="940" t="s">
        <v>39</v>
      </c>
      <c r="BG158" s="13" t="s">
        <v>61</v>
      </c>
      <c r="BH158" s="518" t="str">
        <f>IF(AND(_AC4="A-350",'2023'!$H$4="CA",'2023'!$H$2=BH157),'2023DATA'!$C$3,"")</f>
        <v/>
      </c>
      <c r="BI158" s="518" t="str">
        <f>IF(AND(_AC4="A-350",'2023'!$H$4="CA",'2023'!$H$2=BI157),'2023DATA'!$D$3,"")</f>
        <v/>
      </c>
      <c r="BJ158" s="518" t="str">
        <f>IF(AND(_AC4="A-350",'2023'!$H$4="CA",'2023'!$H$2=BJ157),'2023DATA'!$E$3,"")</f>
        <v/>
      </c>
      <c r="BK158" s="518" t="str">
        <f>IF(AND(_AC4="A-350",'2023'!$H$4="CA",'2023'!$H$2=BK157),'2023DATA'!$F$3,"")</f>
        <v/>
      </c>
      <c r="BL158" s="518" t="str">
        <f>IF(AND(_AC4="A-350",'2023'!$H$4="CA",'2023'!$H$2=BL157),'2023DATA'!$G$3,"")</f>
        <v/>
      </c>
      <c r="BM158" s="518" t="str">
        <f>IF(AND(_AC4="A-350",'2023'!$H$4="CA",'2023'!$H$2=BM157),'2023DATA'!$H$3,"")</f>
        <v/>
      </c>
      <c r="BN158" s="518" t="str">
        <f>IF(AND(_AC4="A-350",'2023'!$H$4="CA",'2023'!$H$2=BN157),'2023DATA'!$I$3,"")</f>
        <v/>
      </c>
      <c r="BO158" s="518" t="str">
        <f>IF(AND(_AC4="A-350",'2023'!$H$4="CA",'2023'!$H$2=BO157),'2023DATA'!$J$3,"")</f>
        <v/>
      </c>
      <c r="BP158" s="518" t="str">
        <f>IF(AND(_AC4="A-350",'2023'!$H$4="CA",'2023'!$H$2=BP157),'2023DATA'!$K$3,"")</f>
        <v/>
      </c>
      <c r="BQ158" s="518" t="str">
        <f>IF(AND(_AC4="A-350",'2023'!$H$4="CA",'2023'!$H$2=BQ157),'2023DATA'!$L$3,"")</f>
        <v/>
      </c>
      <c r="BR158" s="518" t="str">
        <f>IF(AND(_AC4="A-350",'2023'!$H$4="CA",'2023'!$H$2=BR157),'2023DATA'!$M$3,"")</f>
        <v/>
      </c>
      <c r="BS158" s="520" t="str">
        <f>IF(AND(_AC4="A-350",'2023'!$H$4="CA",'2023'!$H$2=BS157),'2023DATA'!$N$3,"")</f>
        <v/>
      </c>
      <c r="BT158" s="940" t="s">
        <v>39</v>
      </c>
      <c r="BU158" s="13" t="s">
        <v>61</v>
      </c>
      <c r="BV158" s="518" t="str">
        <f>IF(AND(_AC5="A-350",'2023'!$H$4="CA",'2023'!$H$2=BV157),'2023DATA'!$C$3,"")</f>
        <v/>
      </c>
      <c r="BW158" s="518" t="str">
        <f>IF(AND(_AC5="A-350",'2023'!$H$4="CA",'2023'!$H$2=BW157),'2023DATA'!$D$3,"")</f>
        <v/>
      </c>
      <c r="BX158" s="518" t="str">
        <f>IF(AND(_AC5="A-350",'2023'!$H$4="CA",'2023'!$H$2=BX157),'2023DATA'!$E$3,"")</f>
        <v/>
      </c>
      <c r="BY158" s="518" t="str">
        <f>IF(AND(_AC5="A-350",'2023'!$H$4="CA",'2023'!$H$2=BY157),'2023DATA'!$F$3,"")</f>
        <v/>
      </c>
      <c r="BZ158" s="518" t="str">
        <f>IF(AND(_AC5="A-350",'2023'!$H$4="CA",'2023'!$H$2=BZ157),'2023DATA'!$G$3,"")</f>
        <v/>
      </c>
      <c r="CA158" s="518" t="str">
        <f>IF(AND(_AC5="A-350",'2023'!$H$4="CA",'2023'!$H$2=CA157),'2023DATA'!$H$3,"")</f>
        <v/>
      </c>
      <c r="CB158" s="518" t="str">
        <f>IF(AND(_AC5="A-350",'2023'!$H$4="CA",'2023'!$H$2=CB157),'2023DATA'!$I$3,"")</f>
        <v/>
      </c>
      <c r="CC158" s="518" t="str">
        <f>IF(AND(_AC5="A-350",'2023'!$H$4="CA",'2023'!$H$2=CC157),'2023DATA'!$J$3,"")</f>
        <v/>
      </c>
      <c r="CD158" s="518" t="str">
        <f>IF(AND(_AC5="A-350",'2023'!$H$4="CA",'2023'!$H$2=CD157),'2023DATA'!$K$3,"")</f>
        <v/>
      </c>
      <c r="CE158" s="518" t="str">
        <f>IF(AND(_AC5="A-350",'2023'!$H$4="CA",'2023'!$H$2=CE157),'2023DATA'!$L$3,"")</f>
        <v/>
      </c>
      <c r="CF158" s="518" t="str">
        <f>IF(AND(_AC5="A-350",'2023'!$H$4="CA",'2023'!$H$2=CF157),'2023DATA'!$M$3,"")</f>
        <v/>
      </c>
      <c r="CG158" s="520" t="str">
        <f>IF(AND(_AC5="A-350",'2023'!$H$4="CA",'2023'!$H$2=CG157),'2023DATA'!$N$3,"")</f>
        <v/>
      </c>
      <c r="CH158" s="940" t="s">
        <v>39</v>
      </c>
      <c r="CI158" s="13" t="s">
        <v>61</v>
      </c>
      <c r="CJ158" s="518" t="str">
        <f>IF(AND(_AC6="A-350",'2023'!$H$4="CA",'2023'!$H$2=CJ157),'2023DATA'!$C$3,"")</f>
        <v/>
      </c>
      <c r="CK158" s="518" t="str">
        <f>IF(AND(_AC6="A-350",'2023'!$H$4="CA",'2023'!$H$2=CK157),'2023DATA'!$D$3,"")</f>
        <v/>
      </c>
      <c r="CL158" s="518" t="str">
        <f>IF(AND(_AC6="A-350",'2023'!$H$4="CA",'2023'!$H$2=CL157),'2023DATA'!$E$3,"")</f>
        <v/>
      </c>
      <c r="CM158" s="518" t="str">
        <f>IF(AND(_AC6="A-350",'2023'!$H$4="CA",'2023'!$H$2=CM157),'2023DATA'!$F$3,"")</f>
        <v/>
      </c>
      <c r="CN158" s="518" t="str">
        <f>IF(AND(_AC6="A-350",'2023'!$H$4="CA",'2023'!$H$2=CN157),'2023DATA'!$G$3,"")</f>
        <v/>
      </c>
      <c r="CO158" s="518" t="str">
        <f>IF(AND(_AC6="A-350",'2023'!$H$4="CA",'2023'!$H$2=CO157),'2023DATA'!$H$3,"")</f>
        <v/>
      </c>
      <c r="CP158" s="518" t="str">
        <f>IF(AND(_AC6="A-350",'2023'!$H$4="CA",'2023'!$H$2=CP157),'2023DATA'!$I$3,"")</f>
        <v/>
      </c>
      <c r="CQ158" s="518" t="str">
        <f>IF(AND(_AC6="A-350",'2023'!$H$4="CA",'2023'!$H$2=CQ157),'2023DATA'!$J$3,"")</f>
        <v/>
      </c>
      <c r="CR158" s="518" t="str">
        <f>IF(AND(_AC6="A-350",'2023'!$H$4="CA",'2023'!$H$2=CR157),'2023DATA'!$K$3,"")</f>
        <v/>
      </c>
      <c r="CS158" s="518" t="str">
        <f>IF(AND(_AC6="A-350",'2023'!$H$4="CA",'2023'!$H$2=CS157),'2023DATA'!$L$3,"")</f>
        <v/>
      </c>
      <c r="CT158" s="518" t="str">
        <f>IF(AND(_AC6="A-350",'2023'!$H$4="CA",'2023'!$H$2=CT157),'2023DATA'!$M$3,"")</f>
        <v/>
      </c>
      <c r="CU158" s="520" t="str">
        <f>IF(AND(_AC6="A-350",'2023'!$H$4="CA",'2023'!$H$2=CU157),'2023DATA'!$N$3,"")</f>
        <v/>
      </c>
    </row>
    <row r="159" spans="16:99" x14ac:dyDescent="0.25">
      <c r="P159" s="940"/>
      <c r="Q159" s="13" t="s">
        <v>62</v>
      </c>
      <c r="R159" s="518" t="str">
        <f>IF(AND(_AC1="A-350",'2023'!$H$4="FO",'2023'!$H$2=R157),'2023DATA'!$C$4,"")</f>
        <v/>
      </c>
      <c r="S159" s="518" t="str">
        <f>IF(AND(_AC1="A-350",'2023'!$H$4="FO",'2023'!$H$2=S157),'2023DATA'!$D$4,"")</f>
        <v/>
      </c>
      <c r="T159" s="518" t="str">
        <f>IF(AND(_AC1="A-350",'2023'!$H$4="FO",'2023'!$H$2=T157),'2023DATA'!$E$4,"")</f>
        <v/>
      </c>
      <c r="U159" s="518" t="str">
        <f>IF(AND(_AC1="A-350",'2023'!$H$4="FO",'2023'!$H$2=U157),'2023DATA'!$F$4,"")</f>
        <v/>
      </c>
      <c r="V159" s="518" t="str">
        <f>IF(AND(_AC1="A-350",'2023'!$H$4="FO",'2023'!$H$2=V157),'2023DATA'!$G$4,"")</f>
        <v/>
      </c>
      <c r="W159" s="518" t="str">
        <f>IF(AND(_AC1="A-350",'2023'!$H$4="FO",'2023'!$H$2=W157),'2023DATA'!$H$4,"")</f>
        <v/>
      </c>
      <c r="X159" s="518" t="str">
        <f>IF(AND(_AC1="A-350",'2023'!$H$4="FO",'2023'!$H$2=X157),'2023DATA'!$I$4,"")</f>
        <v/>
      </c>
      <c r="Y159" s="518" t="str">
        <f>IF(AND(_AC1="A-350",'2023'!$H$4="FO",'2023'!$H$2=Y157),'2023DATA'!$J$4,"")</f>
        <v/>
      </c>
      <c r="Z159" s="518" t="str">
        <f>IF(AND(_AC1="A-350",'2023'!$H$4="FO",'2023'!$H$2=Z157),'2023DATA'!$K$4,"")</f>
        <v/>
      </c>
      <c r="AA159" s="518" t="str">
        <f>IF(AND(_AC1="A-350",'2023'!$H$4="FO",'2023'!$H$2=AA157),'2023DATA'!$L$4,"")</f>
        <v/>
      </c>
      <c r="AB159" s="518" t="str">
        <f>IF(AND(_AC1="A-350",'2023'!$H$4="FO",'2023'!$H$2=AB157),'2023DATA'!$M$4,"")</f>
        <v/>
      </c>
      <c r="AC159" s="520" t="str">
        <f>IF(AND(_AC1="A-350",'2023'!$H$4="FO",'2023'!$H$2=AC157),'2023DATA'!$N$4,"")</f>
        <v/>
      </c>
      <c r="AD159" s="940"/>
      <c r="AE159" s="13" t="s">
        <v>62</v>
      </c>
      <c r="AF159" s="518" t="str">
        <f>IF(AND(_AC2="A-350",'2023'!$H$4="FO",'2023'!$H$2=AF157),'2023DATA'!$C$4,"")</f>
        <v/>
      </c>
      <c r="AG159" s="518" t="str">
        <f>IF(AND(_AC2="A-350",'2023'!$H$4="FO",'2023'!$H$2=AG157),'2023DATA'!$D$4,"")</f>
        <v/>
      </c>
      <c r="AH159" s="518" t="str">
        <f>IF(AND(_AC2="A-350",'2023'!$H$4="FO",'2023'!$H$2=AH157),'2023DATA'!$E$4,"")</f>
        <v/>
      </c>
      <c r="AI159" s="518" t="str">
        <f>IF(AND(_AC2="A-350",'2023'!$H$4="FO",'2023'!$H$2=AI157),'2023DATA'!$F$4,"")</f>
        <v/>
      </c>
      <c r="AJ159" s="518" t="str">
        <f>IF(AND(_AC2="A-350",'2023'!$H$4="FO",'2023'!$H$2=AJ157),'2023DATA'!$G$4,"")</f>
        <v/>
      </c>
      <c r="AK159" s="518" t="str">
        <f>IF(AND(_AC2="A-350",'2023'!$H$4="FO",'2023'!$H$2=AK157),'2023DATA'!$H$4,"")</f>
        <v/>
      </c>
      <c r="AL159" s="518" t="str">
        <f>IF(AND(_AC2="A-350",'2023'!$H$4="FO",'2023'!$H$2=AL157),'2023DATA'!$I$4,"")</f>
        <v/>
      </c>
      <c r="AM159" s="518" t="str">
        <f>IF(AND(_AC2="A-350",'2023'!$H$4="FO",'2023'!$H$2=AM157),'2023DATA'!$J$4,"")</f>
        <v/>
      </c>
      <c r="AN159" s="518" t="str">
        <f>IF(AND(_AC2="A-350",'2023'!$H$4="FO",'2023'!$H$2=AN157),'2023DATA'!$K$4,"")</f>
        <v/>
      </c>
      <c r="AO159" s="518" t="str">
        <f>IF(AND(_AC2="A-350",'2023'!$H$4="FO",'2023'!$H$2=AO157),'2023DATA'!$L$4,"")</f>
        <v/>
      </c>
      <c r="AP159" s="518" t="str">
        <f>IF(AND(_AC2="A-350",'2023'!$H$4="FO",'2023'!$H$2=AP157),'2023DATA'!$M$4,"")</f>
        <v/>
      </c>
      <c r="AQ159" s="520" t="str">
        <f>IF(AND(_AC2="A-350",'2023'!$H$4="FO",'2023'!$H$2=AQ157),'2023DATA'!$N$4,"")</f>
        <v/>
      </c>
      <c r="AR159" s="940"/>
      <c r="AS159" s="13" t="s">
        <v>62</v>
      </c>
      <c r="AT159" s="518" t="str">
        <f>IF(AND(_AC3="A-350",'2023'!$H$4="FO",'2023'!$H$2=AT157),'2023DATA'!$C$4,"")</f>
        <v/>
      </c>
      <c r="AU159" s="518" t="str">
        <f>IF(AND(_AC3="A-350",'2023'!$H$4="FO",'2023'!$H$2=AU157),'2023DATA'!$D$4,"")</f>
        <v/>
      </c>
      <c r="AV159" s="518" t="str">
        <f>IF(AND(_AC3="A-350",'2023'!$H$4="FO",'2023'!$H$2=AV157),'2023DATA'!$E$4,"")</f>
        <v/>
      </c>
      <c r="AW159" s="518" t="str">
        <f>IF(AND(_AC3="A-350",'2023'!$H$4="FO",'2023'!$H$2=AW157),'2023DATA'!$F$4,"")</f>
        <v/>
      </c>
      <c r="AX159" s="518" t="str">
        <f>IF(AND(_AC3="A-350",'2023'!$H$4="FO",'2023'!$H$2=AX157),'2023DATA'!$G$4,"")</f>
        <v/>
      </c>
      <c r="AY159" s="518" t="str">
        <f>IF(AND(_AC3="A-350",'2023'!$H$4="FO",'2023'!$H$2=AY157),'2023DATA'!$H$4,"")</f>
        <v/>
      </c>
      <c r="AZ159" s="518" t="str">
        <f>IF(AND(_AC3="A-350",'2023'!$H$4="FO",'2023'!$H$2=AZ157),'2023DATA'!$I$4,"")</f>
        <v/>
      </c>
      <c r="BA159" s="518" t="str">
        <f>IF(AND(_AC3="A-350",'2023'!$H$4="FO",'2023'!$H$2=BA157),'2023DATA'!$J$4,"")</f>
        <v/>
      </c>
      <c r="BB159" s="518" t="str">
        <f>IF(AND(_AC3="A-350",'2023'!$H$4="FO",'2023'!$H$2=BB157),'2023DATA'!$K$4,"")</f>
        <v/>
      </c>
      <c r="BC159" s="518" t="str">
        <f>IF(AND(_AC3="A-350",'2023'!$H$4="FO",'2023'!$H$2=BC157),'2023DATA'!$L$4,"")</f>
        <v/>
      </c>
      <c r="BD159" s="518" t="str">
        <f>IF(AND(_AC3="A-350",'2023'!$H$4="FO",'2023'!$H$2=BD157),'2023DATA'!$M$4,"")</f>
        <v/>
      </c>
      <c r="BE159" s="520" t="str">
        <f>IF(AND(_AC3="A-350",'2023'!$H$4="FO",'2023'!$H$2=BE157),'2023DATA'!$N$4,"")</f>
        <v/>
      </c>
      <c r="BF159" s="940"/>
      <c r="BG159" s="13" t="s">
        <v>62</v>
      </c>
      <c r="BH159" s="518" t="str">
        <f>IF(AND(_AC4="A-350",'2023'!$H$4="FO",'2023'!$H$2=BH157),'2023DATA'!$C$4,"")</f>
        <v/>
      </c>
      <c r="BI159" s="518" t="str">
        <f>IF(AND(_AC4="A-350",'2023'!$H$4="FO",'2023'!$H$2=BI157),'2023DATA'!$D$4,"")</f>
        <v/>
      </c>
      <c r="BJ159" s="518" t="str">
        <f>IF(AND(_AC4="A-350",'2023'!$H$4="FO",'2023'!$H$2=BJ157),'2023DATA'!$E$4,"")</f>
        <v/>
      </c>
      <c r="BK159" s="518" t="str">
        <f>IF(AND(_AC4="A-350",'2023'!$H$4="FO",'2023'!$H$2=BK157),'2023DATA'!$F$4,"")</f>
        <v/>
      </c>
      <c r="BL159" s="518" t="str">
        <f>IF(AND(_AC4="A-350",'2023'!$H$4="FO",'2023'!$H$2=BL157),'2023DATA'!$G$4,"")</f>
        <v/>
      </c>
      <c r="BM159" s="518" t="str">
        <f>IF(AND(_AC4="A-350",'2023'!$H$4="FO",'2023'!$H$2=BM157),'2023DATA'!$H$4,"")</f>
        <v/>
      </c>
      <c r="BN159" s="518" t="str">
        <f>IF(AND(_AC4="A-350",'2023'!$H$4="FO",'2023'!$H$2=BN157),'2023DATA'!$I$4,"")</f>
        <v/>
      </c>
      <c r="BO159" s="518" t="str">
        <f>IF(AND(_AC4="A-350",'2023'!$H$4="FO",'2023'!$H$2=BO157),'2023DATA'!$J$4,"")</f>
        <v/>
      </c>
      <c r="BP159" s="518" t="str">
        <f>IF(AND(_AC4="A-350",'2023'!$H$4="FO",'2023'!$H$2=BP157),'2023DATA'!$K$4,"")</f>
        <v/>
      </c>
      <c r="BQ159" s="518" t="str">
        <f>IF(AND(_AC4="A-350",'2023'!$H$4="FO",'2023'!$H$2=BQ157),'2023DATA'!$L$4,"")</f>
        <v/>
      </c>
      <c r="BR159" s="518" t="str">
        <f>IF(AND(_AC4="A-350",'2023'!$H$4="FO",'2023'!$H$2=BR157),'2023DATA'!$M$4,"")</f>
        <v/>
      </c>
      <c r="BS159" s="520" t="str">
        <f>IF(AND(_AC4="A-350",'2023'!$H$4="FO",'2023'!$H$2=BS157),'2023DATA'!$N$4,"")</f>
        <v/>
      </c>
      <c r="BT159" s="940"/>
      <c r="BU159" s="13" t="s">
        <v>62</v>
      </c>
      <c r="BV159" s="518" t="str">
        <f>IF(AND(_AC5="A-350",'2023'!$H$4="FO",'2023'!$H$2=BV157),'2023DATA'!$C$4,"")</f>
        <v/>
      </c>
      <c r="BW159" s="518" t="str">
        <f>IF(AND(_AC5="A-350",'2023'!$H$4="FO",'2023'!$H$2=BW157),'2023DATA'!$D$4,"")</f>
        <v/>
      </c>
      <c r="BX159" s="518" t="str">
        <f>IF(AND(_AC5="A-350",'2023'!$H$4="FO",'2023'!$H$2=BX157),'2023DATA'!$E$4,"")</f>
        <v/>
      </c>
      <c r="BY159" s="518" t="str">
        <f>IF(AND(_AC5="A-350",'2023'!$H$4="FO",'2023'!$H$2=BY157),'2023DATA'!$F$4,"")</f>
        <v/>
      </c>
      <c r="BZ159" s="518" t="str">
        <f>IF(AND(_AC5="A-350",'2023'!$H$4="FO",'2023'!$H$2=BZ157),'2023DATA'!$G$4,"")</f>
        <v/>
      </c>
      <c r="CA159" s="518" t="str">
        <f>IF(AND(_AC5="A-350",'2023'!$H$4="FO",'2023'!$H$2=CA157),'2023DATA'!$H$4,"")</f>
        <v/>
      </c>
      <c r="CB159" s="518" t="str">
        <f>IF(AND(_AC5="A-350",'2023'!$H$4="FO",'2023'!$H$2=CB157),'2023DATA'!$I$4,"")</f>
        <v/>
      </c>
      <c r="CC159" s="518" t="str">
        <f>IF(AND(_AC5="A-350",'2023'!$H$4="FO",'2023'!$H$2=CC157),'2023DATA'!$J$4,"")</f>
        <v/>
      </c>
      <c r="CD159" s="518" t="str">
        <f>IF(AND(_AC5="A-350",'2023'!$H$4="FO",'2023'!$H$2=CD157),'2023DATA'!$K$4,"")</f>
        <v/>
      </c>
      <c r="CE159" s="518" t="str">
        <f>IF(AND(_AC5="A-350",'2023'!$H$4="FO",'2023'!$H$2=CE157),'2023DATA'!$L$4,"")</f>
        <v/>
      </c>
      <c r="CF159" s="518" t="str">
        <f>IF(AND(_AC5="A-350",'2023'!$H$4="FO",'2023'!$H$2=CF157),'2023DATA'!$M$4,"")</f>
        <v/>
      </c>
      <c r="CG159" s="520" t="str">
        <f>IF(AND(_AC5="A-350",'2023'!$H$4="FO",'2023'!$H$2=CG157),'2023DATA'!$N$4,"")</f>
        <v/>
      </c>
      <c r="CH159" s="940"/>
      <c r="CI159" s="13" t="s">
        <v>62</v>
      </c>
      <c r="CJ159" s="518" t="str">
        <f>IF(AND(_AC6="A-350",'2023'!$H$4="FO",'2023'!$H$2=CJ157),'2023DATA'!$C$4,"")</f>
        <v/>
      </c>
      <c r="CK159" s="518" t="str">
        <f>IF(AND(_AC6="A-350",'2023'!$H$4="FO",'2023'!$H$2=CK157),'2023DATA'!$D$4,"")</f>
        <v/>
      </c>
      <c r="CL159" s="518" t="str">
        <f>IF(AND(_AC6="A-350",'2023'!$H$4="FO",'2023'!$H$2=CL157),'2023DATA'!$E$4,"")</f>
        <v/>
      </c>
      <c r="CM159" s="518" t="str">
        <f>IF(AND(_AC6="A-350",'2023'!$H$4="FO",'2023'!$H$2=CM157),'2023DATA'!$F$4,"")</f>
        <v/>
      </c>
      <c r="CN159" s="518" t="str">
        <f>IF(AND(_AC6="A-350",'2023'!$H$4="FO",'2023'!$H$2=CN157),'2023DATA'!$G$4,"")</f>
        <v/>
      </c>
      <c r="CO159" s="518" t="str">
        <f>IF(AND(_AC6="A-350",'2023'!$H$4="FO",'2023'!$H$2=CO157),'2023DATA'!$H$4,"")</f>
        <v/>
      </c>
      <c r="CP159" s="518" t="str">
        <f>IF(AND(_AC6="A-350",'2023'!$H$4="FO",'2023'!$H$2=CP157),'2023DATA'!$I$4,"")</f>
        <v/>
      </c>
      <c r="CQ159" s="518" t="str">
        <f>IF(AND(_AC6="A-350",'2023'!$H$4="FO",'2023'!$H$2=CQ157),'2023DATA'!$J$4,"")</f>
        <v/>
      </c>
      <c r="CR159" s="518" t="str">
        <f>IF(AND(_AC6="A-350",'2023'!$H$4="FO",'2023'!$H$2=CR157),'2023DATA'!$K$4,"")</f>
        <v/>
      </c>
      <c r="CS159" s="518" t="str">
        <f>IF(AND(_AC6="A-350",'2023'!$H$4="FO",'2023'!$H$2=CS157),'2023DATA'!$L$4,"")</f>
        <v/>
      </c>
      <c r="CT159" s="518" t="str">
        <f>IF(AND(_AC6="A-350",'2023'!$H$4="FO",'2023'!$H$2=CT157),'2023DATA'!$M$4,"")</f>
        <v/>
      </c>
      <c r="CU159" s="520" t="str">
        <f>IF(AND(_AC6="A-350",'2023'!$H$4="FO",'2023'!$H$2=CU157),'2023DATA'!$N$4,"")</f>
        <v/>
      </c>
    </row>
    <row r="160" spans="16:99" x14ac:dyDescent="0.25">
      <c r="P160" s="940" t="s">
        <v>65</v>
      </c>
      <c r="Q160" s="13" t="s">
        <v>61</v>
      </c>
      <c r="R160" s="518" t="str">
        <f>IF(AND(_AC1="A-330-900",'2023'!$H$4="CA",'2023'!$H$2=R157),'2023DATA'!$C$5,"")</f>
        <v/>
      </c>
      <c r="S160" s="518" t="str">
        <f>IF(AND(_AC1="A-330-900",'2023'!$H$4="CA",'2023'!$H$2=S157),'2023DATA'!$D$5,"")</f>
        <v/>
      </c>
      <c r="T160" s="518" t="str">
        <f>IF(AND(_AC1="A-330-900",'2023'!$H$4="CA",'2023'!$H$2=T157),'2023DATA'!$E$5,"")</f>
        <v/>
      </c>
      <c r="U160" s="518" t="str">
        <f>IF(AND(_AC1="A-330-900",'2023'!$H$4="CA",'2023'!$H$2=U157),'2023DATA'!$F$5,"")</f>
        <v/>
      </c>
      <c r="V160" s="518" t="str">
        <f>IF(AND(_AC1="A-330-900",'2023'!$H$4="CA",'2023'!$H$2=V157),'2023DATA'!$G$5,"")</f>
        <v/>
      </c>
      <c r="W160" s="518" t="str">
        <f>IF(AND(_AC1="A-330-900",'2023'!$H$4="CA",'2023'!$H$2=W157),'2023DATA'!$H$5,"")</f>
        <v/>
      </c>
      <c r="X160" s="518" t="str">
        <f>IF(AND(_AC1="A-330-900",'2023'!$H$4="CA",'2023'!$H$2=X157),'2023DATA'!$I$5,"")</f>
        <v/>
      </c>
      <c r="Y160" s="518" t="str">
        <f>IF(AND(_AC1="A-330-900",'2023'!$H$4="CA",'2023'!$H$2=Y157),'2023DATA'!$J$5,"")</f>
        <v/>
      </c>
      <c r="Z160" s="518" t="str">
        <f>IF(AND(_AC1="A-330-900",'2023'!$H$4="CA",'2023'!$H$2=Z157),'2023DATA'!$K$5,"")</f>
        <v/>
      </c>
      <c r="AA160" s="518" t="str">
        <f>IF(AND(_AC1="A-330-900",'2023'!$H$4="CA",'2023'!$H$2=AA157),'2023DATA'!$L$5,"")</f>
        <v/>
      </c>
      <c r="AB160" s="518" t="str">
        <f>IF(AND(_AC1="A-330-900",'2023'!$H$4="CA",'2023'!$H$2=AB157),'2023DATA'!$M$5,"")</f>
        <v/>
      </c>
      <c r="AC160" s="520" t="str">
        <f>IF(AND(_AC1="A-330-900",'2023'!$H$4="CA",'2023'!$H$2=AC157),'2023DATA'!$N$5,"")</f>
        <v/>
      </c>
      <c r="AD160" s="940" t="s">
        <v>65</v>
      </c>
      <c r="AE160" s="13" t="s">
        <v>61</v>
      </c>
      <c r="AF160" s="518" t="str">
        <f>IF(AND(_AC2="A-330-900",'2023'!$H$4="CA",'2023'!$H$2=AF157),'2023DATA'!$C$5,"")</f>
        <v/>
      </c>
      <c r="AG160" s="518" t="str">
        <f>IF(AND(_AC2="A-330-900",'2023'!$H$4="CA",'2023'!$H$2=AG157),'2023DATA'!$D$5,"")</f>
        <v/>
      </c>
      <c r="AH160" s="518" t="str">
        <f>IF(AND(_AC2="A-330-900",'2023'!$H$4="CA",'2023'!$H$2=AH157),'2023DATA'!$E$5,"")</f>
        <v/>
      </c>
      <c r="AI160" s="518" t="str">
        <f>IF(AND(_AC2="A-330-900",'2023'!$H$4="CA",'2023'!$H$2=AI157),'2023DATA'!$F$5,"")</f>
        <v/>
      </c>
      <c r="AJ160" s="518" t="str">
        <f>IF(AND(_AC2="A-330-900",'2023'!$H$4="CA",'2023'!$H$2=AJ157),'2023DATA'!$G$5,"")</f>
        <v/>
      </c>
      <c r="AK160" s="518" t="str">
        <f>IF(AND(_AC2="A-330-900",'2023'!$H$4="CA",'2023'!$H$2=AK157),'2023DATA'!$H$5,"")</f>
        <v/>
      </c>
      <c r="AL160" s="518" t="str">
        <f>IF(AND(_AC2="A-330-900",'2023'!$H$4="CA",'2023'!$H$2=AL157),'2023DATA'!$I$5,"")</f>
        <v/>
      </c>
      <c r="AM160" s="518" t="str">
        <f>IF(AND(_AC2="A-330-900",'2023'!$H$4="CA",'2023'!$H$2=AM157),'2023DATA'!$J$5,"")</f>
        <v/>
      </c>
      <c r="AN160" s="518" t="str">
        <f>IF(AND(_AC2="A-330-900",'2023'!$H$4="CA",'2023'!$H$2=AN157),'2023DATA'!$K$5,"")</f>
        <v/>
      </c>
      <c r="AO160" s="518" t="str">
        <f>IF(AND(_AC2="A-330-900",'2023'!$H$4="CA",'2023'!$H$2=AO157),'2023DATA'!$L$5,"")</f>
        <v/>
      </c>
      <c r="AP160" s="518" t="str">
        <f>IF(AND(_AC2="A-330-900",'2023'!$H$4="CA",'2023'!$H$2=AP157),'2023DATA'!$M$5,"")</f>
        <v/>
      </c>
      <c r="AQ160" s="520" t="str">
        <f>IF(AND(_AC2="A-330-900",'2023'!$H$4="CA",'2023'!$H$2=AQ157),'2023DATA'!$N$5,"")</f>
        <v/>
      </c>
      <c r="AR160" s="940" t="s">
        <v>65</v>
      </c>
      <c r="AS160" s="13" t="s">
        <v>61</v>
      </c>
      <c r="AT160" s="518" t="str">
        <f>IF(AND(_AC3="A-330-900",'2023'!$H$4="CA",'2023'!$H$2=AT157),'2023DATA'!$C$5,"")</f>
        <v/>
      </c>
      <c r="AU160" s="518" t="str">
        <f>IF(AND(_AC3="A-330-900",'2023'!$H$4="CA",'2023'!$H$2=AU157),'2023DATA'!$D$5,"")</f>
        <v/>
      </c>
      <c r="AV160" s="518" t="str">
        <f>IF(AND(_AC3="A-330-900",'2023'!$H$4="CA",'2023'!$H$2=AV157),'2023DATA'!$E$5,"")</f>
        <v/>
      </c>
      <c r="AW160" s="518" t="str">
        <f>IF(AND(_AC3="A-330-900",'2023'!$H$4="CA",'2023'!$H$2=AW157),'2023DATA'!$F$5,"")</f>
        <v/>
      </c>
      <c r="AX160" s="518" t="str">
        <f>IF(AND(_AC3="A-330-900",'2023'!$H$4="CA",'2023'!$H$2=AX157),'2023DATA'!$G$5,"")</f>
        <v/>
      </c>
      <c r="AY160" s="518" t="str">
        <f>IF(AND(_AC3="A-330-900",'2023'!$H$4="CA",'2023'!$H$2=AY157),'2023DATA'!$H$5,"")</f>
        <v/>
      </c>
      <c r="AZ160" s="518" t="str">
        <f>IF(AND(_AC3="A-330-900",'2023'!$H$4="CA",'2023'!$H$2=AZ157),'2023DATA'!$I$5,"")</f>
        <v/>
      </c>
      <c r="BA160" s="518" t="str">
        <f>IF(AND(_AC3="A-330-900",'2023'!$H$4="CA",'2023'!$H$2=BA157),'2023DATA'!$J$5,"")</f>
        <v/>
      </c>
      <c r="BB160" s="518" t="str">
        <f>IF(AND(_AC3="A-330-900",'2023'!$H$4="CA",'2023'!$H$2=BB157),'2023DATA'!$K$5,"")</f>
        <v/>
      </c>
      <c r="BC160" s="518" t="str">
        <f>IF(AND(_AC3="A-330-900",'2023'!$H$4="CA",'2023'!$H$2=BC157),'2023DATA'!$L$5,"")</f>
        <v/>
      </c>
      <c r="BD160" s="518" t="str">
        <f>IF(AND(_AC3="A-330-900",'2023'!$H$4="CA",'2023'!$H$2=BD157),'2023DATA'!$M$5,"")</f>
        <v/>
      </c>
      <c r="BE160" s="520" t="str">
        <f>IF(AND(_AC3="A-330-900",'2023'!$H$4="CA",'2023'!$H$2=BE157),'2023DATA'!$N$5,"")</f>
        <v/>
      </c>
      <c r="BF160" s="940" t="s">
        <v>65</v>
      </c>
      <c r="BG160" s="13" t="s">
        <v>61</v>
      </c>
      <c r="BH160" s="518" t="str">
        <f>IF(AND(_AC4="A-330-900",'2023'!$H$4="CA",'2023'!$H$2=BH157),'2023DATA'!$C$5,"")</f>
        <v/>
      </c>
      <c r="BI160" s="518" t="str">
        <f>IF(AND(_AC4="A-330-900",'2023'!$H$4="CA",'2023'!$H$2=BI157),'2023DATA'!$D$5,"")</f>
        <v/>
      </c>
      <c r="BJ160" s="518" t="str">
        <f>IF(AND(_AC4="A-330-900",'2023'!$H$4="CA",'2023'!$H$2=BJ157),'2023DATA'!$E$5,"")</f>
        <v/>
      </c>
      <c r="BK160" s="518" t="str">
        <f>IF(AND(_AC4="A-330-900",'2023'!$H$4="CA",'2023'!$H$2=BK157),'2023DATA'!$F$5,"")</f>
        <v/>
      </c>
      <c r="BL160" s="518" t="str">
        <f>IF(AND(_AC4="A-330-900",'2023'!$H$4="CA",'2023'!$H$2=BL157),'2023DATA'!$G$5,"")</f>
        <v/>
      </c>
      <c r="BM160" s="518" t="str">
        <f>IF(AND(_AC4="A-330-900",'2023'!$H$4="CA",'2023'!$H$2=BM157),'2023DATA'!$H$5,"")</f>
        <v/>
      </c>
      <c r="BN160" s="518" t="str">
        <f>IF(AND(_AC4="A-330-900",'2023'!$H$4="CA",'2023'!$H$2=BN157),'2023DATA'!$I$5,"")</f>
        <v/>
      </c>
      <c r="BO160" s="518" t="str">
        <f>IF(AND(_AC4="A-330-900",'2023'!$H$4="CA",'2023'!$H$2=BO157),'2023DATA'!$J$5,"")</f>
        <v/>
      </c>
      <c r="BP160" s="518" t="str">
        <f>IF(AND(_AC4="A-330-900",'2023'!$H$4="CA",'2023'!$H$2=BP157),'2023DATA'!$K$5,"")</f>
        <v/>
      </c>
      <c r="BQ160" s="518" t="str">
        <f>IF(AND(_AC4="A-330-900",'2023'!$H$4="CA",'2023'!$H$2=BQ157),'2023DATA'!$L$5,"")</f>
        <v/>
      </c>
      <c r="BR160" s="518" t="str">
        <f>IF(AND(_AC4="A-330-900",'2023'!$H$4="CA",'2023'!$H$2=BR157),'2023DATA'!$M$5,"")</f>
        <v/>
      </c>
      <c r="BS160" s="520" t="str">
        <f>IF(AND(_AC4="A-330-900",'2023'!$H$4="CA",'2023'!$H$2=BS157),'2023DATA'!$N$5,"")</f>
        <v/>
      </c>
      <c r="BT160" s="940" t="s">
        <v>65</v>
      </c>
      <c r="BU160" s="13" t="s">
        <v>61</v>
      </c>
      <c r="BV160" s="518" t="str">
        <f>IF(AND(_AC5="A-330-900",'2023'!$H$4="CA",'2023'!$H$2=BV157),'2023DATA'!$C$5,"")</f>
        <v/>
      </c>
      <c r="BW160" s="518" t="str">
        <f>IF(AND(_AC5="A-330-900",'2023'!$H$4="CA",'2023'!$H$2=BW157),'2023DATA'!$D$5,"")</f>
        <v/>
      </c>
      <c r="BX160" s="518" t="str">
        <f>IF(AND(_AC5="A-330-900",'2023'!$H$4="CA",'2023'!$H$2=BX157),'2023DATA'!$E$5,"")</f>
        <v/>
      </c>
      <c r="BY160" s="518" t="str">
        <f>IF(AND(_AC5="A-330-900",'2023'!$H$4="CA",'2023'!$H$2=BY157),'2023DATA'!$F$5,"")</f>
        <v/>
      </c>
      <c r="BZ160" s="518" t="str">
        <f>IF(AND(_AC5="A-330-900",'2023'!$H$4="CA",'2023'!$H$2=BZ157),'2023DATA'!$G$5,"")</f>
        <v/>
      </c>
      <c r="CA160" s="518" t="str">
        <f>IF(AND(_AC5="A-330-900",'2023'!$H$4="CA",'2023'!$H$2=CA157),'2023DATA'!$H$5,"")</f>
        <v/>
      </c>
      <c r="CB160" s="518" t="str">
        <f>IF(AND(_AC5="A-330-900",'2023'!$H$4="CA",'2023'!$H$2=CB157),'2023DATA'!$I$5,"")</f>
        <v/>
      </c>
      <c r="CC160" s="518" t="str">
        <f>IF(AND(_AC5="A-330-900",'2023'!$H$4="CA",'2023'!$H$2=CC157),'2023DATA'!$J$5,"")</f>
        <v/>
      </c>
      <c r="CD160" s="518" t="str">
        <f>IF(AND(_AC5="A-330-900",'2023'!$H$4="CA",'2023'!$H$2=CD157),'2023DATA'!$K$5,"")</f>
        <v/>
      </c>
      <c r="CE160" s="518" t="str">
        <f>IF(AND(_AC5="A-330-900",'2023'!$H$4="CA",'2023'!$H$2=CE157),'2023DATA'!$L$5,"")</f>
        <v/>
      </c>
      <c r="CF160" s="518" t="str">
        <f>IF(AND(_AC5="A-330-900",'2023'!$H$4="CA",'2023'!$H$2=CF157),'2023DATA'!$M$5,"")</f>
        <v/>
      </c>
      <c r="CG160" s="520" t="str">
        <f>IF(AND(_AC5="A-330-900",'2023'!$H$4="CA",'2023'!$H$2=CG157),'2023DATA'!$N$5,"")</f>
        <v/>
      </c>
      <c r="CH160" s="940" t="s">
        <v>65</v>
      </c>
      <c r="CI160" s="13" t="s">
        <v>61</v>
      </c>
      <c r="CJ160" s="518" t="str">
        <f>IF(AND(_AC6="A-330-900",'2023'!$H$4="CA",'2023'!$H$2=CJ157),'2023DATA'!$C$5,"")</f>
        <v/>
      </c>
      <c r="CK160" s="518" t="str">
        <f>IF(AND(_AC6="A-330-900",'2023'!$H$4="CA",'2023'!$H$2=CK157),'2023DATA'!$D$5,"")</f>
        <v/>
      </c>
      <c r="CL160" s="518" t="str">
        <f>IF(AND(_AC6="A-330-900",'2023'!$H$4="CA",'2023'!$H$2=CL157),'2023DATA'!$E$5,"")</f>
        <v/>
      </c>
      <c r="CM160" s="518" t="str">
        <f>IF(AND(_AC6="A-330-900",'2023'!$H$4="CA",'2023'!$H$2=CM157),'2023DATA'!$F$5,"")</f>
        <v/>
      </c>
      <c r="CN160" s="518" t="str">
        <f>IF(AND(_AC6="A-330-900",'2023'!$H$4="CA",'2023'!$H$2=CN157),'2023DATA'!$G$5,"")</f>
        <v/>
      </c>
      <c r="CO160" s="518" t="str">
        <f>IF(AND(_AC6="A-330-900",'2023'!$H$4="CA",'2023'!$H$2=CO157),'2023DATA'!$H$5,"")</f>
        <v/>
      </c>
      <c r="CP160" s="518" t="str">
        <f>IF(AND(_AC6="A-330-900",'2023'!$H$4="CA",'2023'!$H$2=CP157),'2023DATA'!$I$5,"")</f>
        <v/>
      </c>
      <c r="CQ160" s="518" t="str">
        <f>IF(AND(_AC6="A-330-900",'2023'!$H$4="CA",'2023'!$H$2=CQ157),'2023DATA'!$J$5,"")</f>
        <v/>
      </c>
      <c r="CR160" s="518" t="str">
        <f>IF(AND(_AC6="A-330-900",'2023'!$H$4="CA",'2023'!$H$2=CR157),'2023DATA'!$K$5,"")</f>
        <v/>
      </c>
      <c r="CS160" s="518" t="str">
        <f>IF(AND(_AC6="A-330-900",'2023'!$H$4="CA",'2023'!$H$2=CS157),'2023DATA'!$L$5,"")</f>
        <v/>
      </c>
      <c r="CT160" s="518" t="str">
        <f>IF(AND(_AC6="A-330-900",'2023'!$H$4="CA",'2023'!$H$2=CT157),'2023DATA'!$M$5,"")</f>
        <v/>
      </c>
      <c r="CU160" s="520" t="str">
        <f>IF(AND(_AC6="A-330-900",'2023'!$H$4="CA",'2023'!$H$2=CU157),'2023DATA'!$N$5,"")</f>
        <v/>
      </c>
    </row>
    <row r="161" spans="16:99" x14ac:dyDescent="0.25">
      <c r="P161" s="940"/>
      <c r="Q161" s="13" t="s">
        <v>62</v>
      </c>
      <c r="R161" s="518" t="str">
        <f>IF(AND(_AC1="A-330-900",'2023'!$H$4="FO",'2023'!$H$2=R157),'2023DATA'!$C$6,"")</f>
        <v/>
      </c>
      <c r="S161" s="518" t="str">
        <f>IF(AND(_AC1="A-330-900",'2023'!$H$4="FO",'2023'!$H$2=S157),'2023DATA'!$D$6,"")</f>
        <v/>
      </c>
      <c r="T161" s="518" t="str">
        <f>IF(AND(_AC1="A-330-900",'2023'!$H$4="FO",'2023'!$H$2=T157),'2023DATA'!$E$6,"")</f>
        <v/>
      </c>
      <c r="U161" s="518" t="str">
        <f>IF(AND(_AC1="A-330-900",'2023'!$H$4="FO",'2023'!$H$2=U157),'2023DATA'!$F$6,"")</f>
        <v/>
      </c>
      <c r="V161" s="518" t="str">
        <f>IF(AND(_AC1="A-330-900",'2023'!$H$4="FO",'2023'!$H$2=V157),'2023DATA'!$G$6,"")</f>
        <v/>
      </c>
      <c r="W161" s="518" t="str">
        <f>IF(AND(_AC1="A-330-900",'2023'!$H$4="FO",'2023'!$H$2=W157),'2023DATA'!$H$6,"")</f>
        <v/>
      </c>
      <c r="X161" s="518" t="str">
        <f>IF(AND(_AC1="A-330-900",'2023'!$H$4="FO",'2023'!$H$2=X157),'2023DATA'!$I$6,"")</f>
        <v/>
      </c>
      <c r="Y161" s="518" t="str">
        <f>IF(AND(_AC1="A-330-900",'2023'!$H$4="FO",'2023'!$H$2=Y157),'2023DATA'!$J$6,"")</f>
        <v/>
      </c>
      <c r="Z161" s="518" t="str">
        <f>IF(AND(_AC1="A-330-900",'2023'!$H$4="FO",'2023'!$H$2=Z157),'2023DATA'!$K$6,"")</f>
        <v/>
      </c>
      <c r="AA161" s="518" t="str">
        <f>IF(AND(_AC1="A-330-900",'2023'!$H$4="FO",'2023'!$H$2=AA157),'2023DATA'!$L$6,"")</f>
        <v/>
      </c>
      <c r="AB161" s="518" t="str">
        <f>IF(AND(_AC1="A-330-900",'2023'!$H$4="FO",'2023'!$H$2=AB157),'2023DATA'!$M$6,"")</f>
        <v/>
      </c>
      <c r="AC161" s="520" t="str">
        <f>IF(AND(_AC1="A-330-900",'2023'!$H$4="FO",'2023'!$H$2=AC157),'2023DATA'!$N$6,"")</f>
        <v/>
      </c>
      <c r="AD161" s="940"/>
      <c r="AE161" s="13" t="s">
        <v>62</v>
      </c>
      <c r="AF161" s="518" t="str">
        <f>IF(AND(_AC2="A-330-900",'2023'!$H$4="FO",'2023'!$H$2=AF157),'2023DATA'!$C$6,"")</f>
        <v/>
      </c>
      <c r="AG161" s="518" t="str">
        <f>IF(AND(_AC2="A-330-900",'2023'!$H$4="FO",'2023'!$H$2=AG157),'2023DATA'!$D$6,"")</f>
        <v/>
      </c>
      <c r="AH161" s="518" t="str">
        <f>IF(AND(_AC2="A-330-900",'2023'!$H$4="FO",'2023'!$H$2=AH157),'2023DATA'!$E$6,"")</f>
        <v/>
      </c>
      <c r="AI161" s="518" t="str">
        <f>IF(AND(_AC2="A-330-900",'2023'!$H$4="FO",'2023'!$H$2=AI157),'2023DATA'!$F$6,"")</f>
        <v/>
      </c>
      <c r="AJ161" s="518" t="str">
        <f>IF(AND(_AC2="A-330-900",'2023'!$H$4="FO",'2023'!$H$2=AJ157),'2023DATA'!$G$6,"")</f>
        <v/>
      </c>
      <c r="AK161" s="518" t="str">
        <f>IF(AND(_AC2="A-330-900",'2023'!$H$4="FO",'2023'!$H$2=AK157),'2023DATA'!$H$6,"")</f>
        <v/>
      </c>
      <c r="AL161" s="518" t="str">
        <f>IF(AND(_AC2="A-330-900",'2023'!$H$4="FO",'2023'!$H$2=AL157),'2023DATA'!$I$6,"")</f>
        <v/>
      </c>
      <c r="AM161" s="518" t="str">
        <f>IF(AND(_AC2="A-330-900",'2023'!$H$4="FO",'2023'!$H$2=AM157),'2023DATA'!$J$6,"")</f>
        <v/>
      </c>
      <c r="AN161" s="518" t="str">
        <f>IF(AND(_AC2="A-330-900",'2023'!$H$4="FO",'2023'!$H$2=AN157),'2023DATA'!$K$6,"")</f>
        <v/>
      </c>
      <c r="AO161" s="518" t="str">
        <f>IF(AND(_AC2="A-330-900",'2023'!$H$4="FO",'2023'!$H$2=AO157),'2023DATA'!$L$6,"")</f>
        <v/>
      </c>
      <c r="AP161" s="518" t="str">
        <f>IF(AND(_AC2="A-330-900",'2023'!$H$4="FO",'2023'!$H$2=AP157),'2023DATA'!$M$6,"")</f>
        <v/>
      </c>
      <c r="AQ161" s="520" t="str">
        <f>IF(AND(_AC2="A-330-900",'2023'!$H$4="FO",'2023'!$H$2=AQ157),'2023DATA'!$N$6,"")</f>
        <v/>
      </c>
      <c r="AR161" s="940"/>
      <c r="AS161" s="13" t="s">
        <v>62</v>
      </c>
      <c r="AT161" s="518" t="str">
        <f>IF(AND(_AC3="A-330-900",'2023'!$H$4="FO",'2023'!$H$2=AT157),'2023DATA'!$C$6,"")</f>
        <v/>
      </c>
      <c r="AU161" s="518" t="str">
        <f>IF(AND(_AC3="A-330-900",'2023'!$H$4="FO",'2023'!$H$2=AU157),'2023DATA'!$D$6,"")</f>
        <v/>
      </c>
      <c r="AV161" s="518" t="str">
        <f>IF(AND(_AC3="A-330-900",'2023'!$H$4="FO",'2023'!$H$2=AV157),'2023DATA'!$E$6,"")</f>
        <v/>
      </c>
      <c r="AW161" s="518" t="str">
        <f>IF(AND(_AC3="A-330-900",'2023'!$H$4="FO",'2023'!$H$2=AW157),'2023DATA'!$F$6,"")</f>
        <v/>
      </c>
      <c r="AX161" s="518" t="str">
        <f>IF(AND(_AC3="A-330-900",'2023'!$H$4="FO",'2023'!$H$2=AX157),'2023DATA'!$G$6,"")</f>
        <v/>
      </c>
      <c r="AY161" s="518" t="str">
        <f>IF(AND(_AC3="A-330-900",'2023'!$H$4="FO",'2023'!$H$2=AY157),'2023DATA'!$H$6,"")</f>
        <v/>
      </c>
      <c r="AZ161" s="518" t="str">
        <f>IF(AND(_AC3="A-330-900",'2023'!$H$4="FO",'2023'!$H$2=AZ157),'2023DATA'!$I$6,"")</f>
        <v/>
      </c>
      <c r="BA161" s="518" t="str">
        <f>IF(AND(_AC3="A-330-900",'2023'!$H$4="FO",'2023'!$H$2=BA157),'2023DATA'!$J$6,"")</f>
        <v/>
      </c>
      <c r="BB161" s="518" t="str">
        <f>IF(AND(_AC3="A-330-900",'2023'!$H$4="FO",'2023'!$H$2=BB157),'2023DATA'!$K$6,"")</f>
        <v/>
      </c>
      <c r="BC161" s="518" t="str">
        <f>IF(AND(_AC3="A-330-900",'2023'!$H$4="FO",'2023'!$H$2=BC157),'2023DATA'!$L$6,"")</f>
        <v/>
      </c>
      <c r="BD161" s="518" t="str">
        <f>IF(AND(_AC3="A-330-900",'2023'!$H$4="FO",'2023'!$H$2=BD157),'2023DATA'!$M$6,"")</f>
        <v/>
      </c>
      <c r="BE161" s="520" t="str">
        <f>IF(AND(_AC3="A-330-900",'2023'!$H$4="FO",'2023'!$H$2=BE157),'2023DATA'!$N$6,"")</f>
        <v/>
      </c>
      <c r="BF161" s="940"/>
      <c r="BG161" s="13" t="s">
        <v>62</v>
      </c>
      <c r="BH161" s="518" t="str">
        <f>IF(AND(_AC4="A-330-900",'2023'!$H$4="FO",'2023'!$H$2=BH157),'2023DATA'!$C$6,"")</f>
        <v/>
      </c>
      <c r="BI161" s="518" t="str">
        <f>IF(AND(_AC4="A-330-900",'2023'!$H$4="FO",'2023'!$H$2=BI157),'2023DATA'!$D$6,"")</f>
        <v/>
      </c>
      <c r="BJ161" s="518" t="str">
        <f>IF(AND(_AC4="A-330-900",'2023'!$H$4="FO",'2023'!$H$2=BJ157),'2023DATA'!$E$6,"")</f>
        <v/>
      </c>
      <c r="BK161" s="518" t="str">
        <f>IF(AND(_AC4="A-330-900",'2023'!$H$4="FO",'2023'!$H$2=BK157),'2023DATA'!$F$6,"")</f>
        <v/>
      </c>
      <c r="BL161" s="518" t="str">
        <f>IF(AND(_AC4="A-330-900",'2023'!$H$4="FO",'2023'!$H$2=BL157),'2023DATA'!$G$6,"")</f>
        <v/>
      </c>
      <c r="BM161" s="518" t="str">
        <f>IF(AND(_AC4="A-330-900",'2023'!$H$4="FO",'2023'!$H$2=BM157),'2023DATA'!$H$6,"")</f>
        <v/>
      </c>
      <c r="BN161" s="518" t="str">
        <f>IF(AND(_AC4="A-330-900",'2023'!$H$4="FO",'2023'!$H$2=BN157),'2023DATA'!$I$6,"")</f>
        <v/>
      </c>
      <c r="BO161" s="518" t="str">
        <f>IF(AND(_AC4="A-330-900",'2023'!$H$4="FO",'2023'!$H$2=BO157),'2023DATA'!$J$6,"")</f>
        <v/>
      </c>
      <c r="BP161" s="518" t="str">
        <f>IF(AND(_AC4="A-330-900",'2023'!$H$4="FO",'2023'!$H$2=BP157),'2023DATA'!$K$6,"")</f>
        <v/>
      </c>
      <c r="BQ161" s="518" t="str">
        <f>IF(AND(_AC4="A-330-900",'2023'!$H$4="FO",'2023'!$H$2=BQ157),'2023DATA'!$L$6,"")</f>
        <v/>
      </c>
      <c r="BR161" s="518" t="str">
        <f>IF(AND(_AC4="A-330-900",'2023'!$H$4="FO",'2023'!$H$2=BR157),'2023DATA'!$M$6,"")</f>
        <v/>
      </c>
      <c r="BS161" s="520" t="str">
        <f>IF(AND(_AC4="A-330-900",'2023'!$H$4="FO",'2023'!$H$2=BS157),'2023DATA'!$N$6,"")</f>
        <v/>
      </c>
      <c r="BT161" s="940"/>
      <c r="BU161" s="13" t="s">
        <v>62</v>
      </c>
      <c r="BV161" s="518" t="str">
        <f>IF(AND(_AC5="A-330-900",'2023'!$H$4="FO",'2023'!$H$2=BV157),'2023DATA'!$C$6,"")</f>
        <v/>
      </c>
      <c r="BW161" s="518" t="str">
        <f>IF(AND(_AC5="A-330-900",'2023'!$H$4="FO",'2023'!$H$2=BW157),'2023DATA'!$D$6,"")</f>
        <v/>
      </c>
      <c r="BX161" s="518" t="str">
        <f>IF(AND(_AC5="A-330-900",'2023'!$H$4="FO",'2023'!$H$2=BX157),'2023DATA'!$E$6,"")</f>
        <v/>
      </c>
      <c r="BY161" s="518" t="str">
        <f>IF(AND(_AC5="A-330-900",'2023'!$H$4="FO",'2023'!$H$2=BY157),'2023DATA'!$F$6,"")</f>
        <v/>
      </c>
      <c r="BZ161" s="518" t="str">
        <f>IF(AND(_AC5="A-330-900",'2023'!$H$4="FO",'2023'!$H$2=BZ157),'2023DATA'!$G$6,"")</f>
        <v/>
      </c>
      <c r="CA161" s="518" t="str">
        <f>IF(AND(_AC5="A-330-900",'2023'!$H$4="FO",'2023'!$H$2=CA157),'2023DATA'!$H$6,"")</f>
        <v/>
      </c>
      <c r="CB161" s="518" t="str">
        <f>IF(AND(_AC5="A-330-900",'2023'!$H$4="FO",'2023'!$H$2=CB157),'2023DATA'!$I$6,"")</f>
        <v/>
      </c>
      <c r="CC161" s="518" t="str">
        <f>IF(AND(_AC5="A-330-900",'2023'!$H$4="FO",'2023'!$H$2=CC157),'2023DATA'!$J$6,"")</f>
        <v/>
      </c>
      <c r="CD161" s="518" t="str">
        <f>IF(AND(_AC5="A-330-900",'2023'!$H$4="FO",'2023'!$H$2=CD157),'2023DATA'!$K$6,"")</f>
        <v/>
      </c>
      <c r="CE161" s="518" t="str">
        <f>IF(AND(_AC5="A-330-900",'2023'!$H$4="FO",'2023'!$H$2=CE157),'2023DATA'!$L$6,"")</f>
        <v/>
      </c>
      <c r="CF161" s="518" t="str">
        <f>IF(AND(_AC5="A-330-900",'2023'!$H$4="FO",'2023'!$H$2=CF157),'2023DATA'!$M$6,"")</f>
        <v/>
      </c>
      <c r="CG161" s="520" t="str">
        <f>IF(AND(_AC5="A-330-900",'2023'!$H$4="FO",'2023'!$H$2=CG157),'2023DATA'!$N$6,"")</f>
        <v/>
      </c>
      <c r="CH161" s="940"/>
      <c r="CI161" s="13" t="s">
        <v>62</v>
      </c>
      <c r="CJ161" s="518" t="str">
        <f>IF(AND(_AC6="A-330-900",'2023'!$H$4="FO",'2023'!$H$2=CJ157),'2023DATA'!$C$6,"")</f>
        <v/>
      </c>
      <c r="CK161" s="518" t="str">
        <f>IF(AND(_AC6="A-330-900",'2023'!$H$4="FO",'2023'!$H$2=CK157),'2023DATA'!$D$6,"")</f>
        <v/>
      </c>
      <c r="CL161" s="518" t="str">
        <f>IF(AND(_AC6="A-330-900",'2023'!$H$4="FO",'2023'!$H$2=CL157),'2023DATA'!$E$6,"")</f>
        <v/>
      </c>
      <c r="CM161" s="518" t="str">
        <f>IF(AND(_AC6="A-330-900",'2023'!$H$4="FO",'2023'!$H$2=CM157),'2023DATA'!$F$6,"")</f>
        <v/>
      </c>
      <c r="CN161" s="518" t="str">
        <f>IF(AND(_AC6="A-330-900",'2023'!$H$4="FO",'2023'!$H$2=CN157),'2023DATA'!$G$6,"")</f>
        <v/>
      </c>
      <c r="CO161" s="518" t="str">
        <f>IF(AND(_AC6="A-330-900",'2023'!$H$4="FO",'2023'!$H$2=CO157),'2023DATA'!$H$6,"")</f>
        <v/>
      </c>
      <c r="CP161" s="518" t="str">
        <f>IF(AND(_AC6="A-330-900",'2023'!$H$4="FO",'2023'!$H$2=CP157),'2023DATA'!$I$6,"")</f>
        <v/>
      </c>
      <c r="CQ161" s="518" t="str">
        <f>IF(AND(_AC6="A-330-900",'2023'!$H$4="FO",'2023'!$H$2=CQ157),'2023DATA'!$J$6,"")</f>
        <v/>
      </c>
      <c r="CR161" s="518" t="str">
        <f>IF(AND(_AC6="A-330-900",'2023'!$H$4="FO",'2023'!$H$2=CR157),'2023DATA'!$K$6,"")</f>
        <v/>
      </c>
      <c r="CS161" s="518" t="str">
        <f>IF(AND(_AC6="A-330-900",'2023'!$H$4="FO",'2023'!$H$2=CS157),'2023DATA'!$L$6,"")</f>
        <v/>
      </c>
      <c r="CT161" s="518" t="str">
        <f>IF(AND(_AC6="A-330-900",'2023'!$H$4="FO",'2023'!$H$2=CT157),'2023DATA'!$M$6,"")</f>
        <v/>
      </c>
      <c r="CU161" s="520" t="str">
        <f>IF(AND(_AC6="A-330-900",'2023'!$H$4="FO",'2023'!$H$2=CU157),'2023DATA'!$N$6,"")</f>
        <v/>
      </c>
    </row>
    <row r="162" spans="16:99" x14ac:dyDescent="0.25">
      <c r="P162" s="940" t="s">
        <v>64</v>
      </c>
      <c r="Q162" s="13" t="s">
        <v>61</v>
      </c>
      <c r="R162" s="518" t="str">
        <f>IF(AND(_AC1="A-330-300",'2023'!$H$4="CA",'2023'!$H$2=R157),'2023DATA'!$C$7,"")</f>
        <v/>
      </c>
      <c r="S162" s="518" t="str">
        <f>IF(AND(_AC1="A-330-300",'2023'!$H$4="CA",'2023'!$H$2=S157),'2023DATA'!$D$7,"")</f>
        <v/>
      </c>
      <c r="T162" s="518" t="str">
        <f>IF(AND(_AC1="A-330-300",'2023'!$H$4="CA",'2023'!$H$2=T157),'2023DATA'!$E$7,"")</f>
        <v/>
      </c>
      <c r="U162" s="518" t="str">
        <f>IF(AND(_AC1="A-330-300",'2023'!$H$4="CA",'2023'!$H$2=U157),'2023DATA'!$F$7,"")</f>
        <v/>
      </c>
      <c r="V162" s="518" t="str">
        <f>IF(AND(_AC1="A-330-300",'2023'!$H$4="CA",'2023'!$H$2=V157),'2023DATA'!$G$7,"")</f>
        <v/>
      </c>
      <c r="W162" s="518" t="str">
        <f>IF(AND(_AC1="A-330-300",'2023'!$H$4="CA",'2023'!$H$2=W157),'2023DATA'!$H$7,"")</f>
        <v/>
      </c>
      <c r="X162" s="518" t="str">
        <f>IF(AND(_AC1="A-330-300",'2023'!$H$4="CA",'2023'!$H$2=X157),'2023DATA'!$I$7,"")</f>
        <v/>
      </c>
      <c r="Y162" s="518" t="str">
        <f>IF(AND(_AC1="A-330-300",'2023'!$H$4="CA",'2023'!$H$2=Y157),'2023DATA'!$J$7,"")</f>
        <v/>
      </c>
      <c r="Z162" s="518" t="str">
        <f>IF(AND(_AC1="A-330-300",'2023'!$H$4="CA",'2023'!$H$2=Z157),'2023DATA'!$K$7,"")</f>
        <v/>
      </c>
      <c r="AA162" s="518" t="str">
        <f>IF(AND(_AC1="A-330-300",'2023'!$H$4="CA",'2023'!$H$2=AA157),'2023DATA'!$L$7,"")</f>
        <v/>
      </c>
      <c r="AB162" s="518" t="str">
        <f>IF(AND(_AC1="A-330-300",'2023'!$H$4="CA",'2023'!$H$2=AB157),'2023DATA'!$M$7,"")</f>
        <v/>
      </c>
      <c r="AC162" s="520" t="str">
        <f>IF(AND(_AC1="A-330-300",'2023'!$H$4="CA",'2023'!$H$2=AC157),'2023DATA'!$N$7,"")</f>
        <v/>
      </c>
      <c r="AD162" s="940" t="s">
        <v>64</v>
      </c>
      <c r="AE162" s="13" t="s">
        <v>61</v>
      </c>
      <c r="AF162" s="518" t="str">
        <f>IF(AND(_AC2="A-330-300",'2023'!$H$4="CA",'2023'!$H$2=AF157),'2023DATA'!$C$7,"")</f>
        <v/>
      </c>
      <c r="AG162" s="518" t="str">
        <f>IF(AND(_AC2="A-330-300",'2023'!$H$4="CA",'2023'!$H$2=AG157),'2023DATA'!$D$7,"")</f>
        <v/>
      </c>
      <c r="AH162" s="518" t="str">
        <f>IF(AND(_AC2="A-330-300",'2023'!$H$4="CA",'2023'!$H$2=AH157),'2023DATA'!$E$7,"")</f>
        <v/>
      </c>
      <c r="AI162" s="518" t="str">
        <f>IF(AND(_AC2="A-330-300",'2023'!$H$4="CA",'2023'!$H$2=AI157),'2023DATA'!$F$7,"")</f>
        <v/>
      </c>
      <c r="AJ162" s="518" t="str">
        <f>IF(AND(_AC2="A-330-300",'2023'!$H$4="CA",'2023'!$H$2=AJ157),'2023DATA'!$G$7,"")</f>
        <v/>
      </c>
      <c r="AK162" s="518" t="str">
        <f>IF(AND(_AC2="A-330-300",'2023'!$H$4="CA",'2023'!$H$2=AK157),'2023DATA'!$H$7,"")</f>
        <v/>
      </c>
      <c r="AL162" s="518" t="str">
        <f>IF(AND(_AC2="A-330-300",'2023'!$H$4="CA",'2023'!$H$2=AL157),'2023DATA'!$I$7,"")</f>
        <v/>
      </c>
      <c r="AM162" s="518" t="str">
        <f>IF(AND(_AC2="A-330-300",'2023'!$H$4="CA",'2023'!$H$2=AM157),'2023DATA'!$J$7,"")</f>
        <v/>
      </c>
      <c r="AN162" s="518" t="str">
        <f>IF(AND(_AC2="A-330-300",'2023'!$H$4="CA",'2023'!$H$2=AN157),'2023DATA'!$K$7,"")</f>
        <v/>
      </c>
      <c r="AO162" s="518" t="str">
        <f>IF(AND(_AC2="A-330-300",'2023'!$H$4="CA",'2023'!$H$2=AO157),'2023DATA'!$L$7,"")</f>
        <v/>
      </c>
      <c r="AP162" s="518" t="str">
        <f>IF(AND(_AC2="A-330-300",'2023'!$H$4="CA",'2023'!$H$2=AP157),'2023DATA'!$M$7,"")</f>
        <v/>
      </c>
      <c r="AQ162" s="520" t="str">
        <f>IF(AND(_AC2="A-330-300",'2023'!$H$4="CA",'2023'!$H$2=AQ157),'2023DATA'!$N$7,"")</f>
        <v/>
      </c>
      <c r="AR162" s="940" t="s">
        <v>64</v>
      </c>
      <c r="AS162" s="13" t="s">
        <v>61</v>
      </c>
      <c r="AT162" s="518" t="str">
        <f>IF(AND(_AC3="A-330-300",'2023'!$H$4="CA",'2023'!$H$2=AT157),'2023DATA'!$C$7,"")</f>
        <v/>
      </c>
      <c r="AU162" s="518" t="str">
        <f>IF(AND(_AC3="A-330-300",'2023'!$H$4="CA",'2023'!$H$2=AU157),'2023DATA'!$D$7,"")</f>
        <v/>
      </c>
      <c r="AV162" s="518" t="str">
        <f>IF(AND(_AC3="A-330-300",'2023'!$H$4="CA",'2023'!$H$2=AV157),'2023DATA'!$E$7,"")</f>
        <v/>
      </c>
      <c r="AW162" s="518" t="str">
        <f>IF(AND(_AC3="A-330-300",'2023'!$H$4="CA",'2023'!$H$2=AW157),'2023DATA'!$F$7,"")</f>
        <v/>
      </c>
      <c r="AX162" s="518" t="str">
        <f>IF(AND(_AC3="A-330-300",'2023'!$H$4="CA",'2023'!$H$2=AX157),'2023DATA'!$G$7,"")</f>
        <v/>
      </c>
      <c r="AY162" s="518" t="str">
        <f>IF(AND(_AC3="A-330-300",'2023'!$H$4="CA",'2023'!$H$2=AY157),'2023DATA'!$H$7,"")</f>
        <v/>
      </c>
      <c r="AZ162" s="518" t="str">
        <f>IF(AND(_AC3="A-330-300",'2023'!$H$4="CA",'2023'!$H$2=AZ157),'2023DATA'!$I$7,"")</f>
        <v/>
      </c>
      <c r="BA162" s="518" t="str">
        <f>IF(AND(_AC3="A-330-300",'2023'!$H$4="CA",'2023'!$H$2=BA157),'2023DATA'!$J$7,"")</f>
        <v/>
      </c>
      <c r="BB162" s="518" t="str">
        <f>IF(AND(_AC3="A-330-300",'2023'!$H$4="CA",'2023'!$H$2=BB157),'2023DATA'!$K$7,"")</f>
        <v/>
      </c>
      <c r="BC162" s="518" t="str">
        <f>IF(AND(_AC3="A-330-300",'2023'!$H$4="CA",'2023'!$H$2=BC157),'2023DATA'!$L$7,"")</f>
        <v/>
      </c>
      <c r="BD162" s="518" t="str">
        <f>IF(AND(_AC3="A-330-300",'2023'!$H$4="CA",'2023'!$H$2=BD157),'2023DATA'!$M$7,"")</f>
        <v/>
      </c>
      <c r="BE162" s="520" t="str">
        <f>IF(AND(_AC3="A-330-300",'2023'!$H$4="CA",'2023'!$H$2=BE157),'2023DATA'!$N$7,"")</f>
        <v/>
      </c>
      <c r="BF162" s="940" t="s">
        <v>64</v>
      </c>
      <c r="BG162" s="13" t="s">
        <v>61</v>
      </c>
      <c r="BH162" s="518" t="str">
        <f>IF(AND(_AC4="A-330-300",'2023'!$H$4="CA",'2023'!$H$2=BH157),'2023DATA'!$C$7,"")</f>
        <v/>
      </c>
      <c r="BI162" s="518" t="str">
        <f>IF(AND(_AC4="A-330-300",'2023'!$H$4="CA",'2023'!$H$2=BI157),'2023DATA'!$D$7,"")</f>
        <v/>
      </c>
      <c r="BJ162" s="518" t="str">
        <f>IF(AND(_AC4="A-330-300",'2023'!$H$4="CA",'2023'!$H$2=BJ157),'2023DATA'!$E$7,"")</f>
        <v/>
      </c>
      <c r="BK162" s="518" t="str">
        <f>IF(AND(_AC4="A-330-300",'2023'!$H$4="CA",'2023'!$H$2=BK157),'2023DATA'!$F$7,"")</f>
        <v/>
      </c>
      <c r="BL162" s="518" t="str">
        <f>IF(AND(_AC4="A-330-300",'2023'!$H$4="CA",'2023'!$H$2=BL157),'2023DATA'!$G$7,"")</f>
        <v/>
      </c>
      <c r="BM162" s="518" t="str">
        <f>IF(AND(_AC4="A-330-300",'2023'!$H$4="CA",'2023'!$H$2=BM157),'2023DATA'!$H$7,"")</f>
        <v/>
      </c>
      <c r="BN162" s="518" t="str">
        <f>IF(AND(_AC4="A-330-300",'2023'!$H$4="CA",'2023'!$H$2=BN157),'2023DATA'!$I$7,"")</f>
        <v/>
      </c>
      <c r="BO162" s="518" t="str">
        <f>IF(AND(_AC4="A-330-300",'2023'!$H$4="CA",'2023'!$H$2=BO157),'2023DATA'!$J$7,"")</f>
        <v/>
      </c>
      <c r="BP162" s="518" t="str">
        <f>IF(AND(_AC4="A-330-300",'2023'!$H$4="CA",'2023'!$H$2=BP157),'2023DATA'!$K$7,"")</f>
        <v/>
      </c>
      <c r="BQ162" s="518" t="str">
        <f>IF(AND(_AC4="A-330-300",'2023'!$H$4="CA",'2023'!$H$2=BQ157),'2023DATA'!$L$7,"")</f>
        <v/>
      </c>
      <c r="BR162" s="518" t="str">
        <f>IF(AND(_AC4="A-330-300",'2023'!$H$4="CA",'2023'!$H$2=BR157),'2023DATA'!$M$7,"")</f>
        <v/>
      </c>
      <c r="BS162" s="520" t="str">
        <f>IF(AND(_AC4="A-330-300",'2023'!$H$4="CA",'2023'!$H$2=BS157),'2023DATA'!$N$7,"")</f>
        <v/>
      </c>
      <c r="BT162" s="940" t="s">
        <v>64</v>
      </c>
      <c r="BU162" s="13" t="s">
        <v>61</v>
      </c>
      <c r="BV162" s="518" t="str">
        <f>IF(AND(_AC5="A-330-300",'2023'!$H$4="CA",'2023'!$H$2=BV157),'2023DATA'!$C$7,"")</f>
        <v/>
      </c>
      <c r="BW162" s="518" t="str">
        <f>IF(AND(_AC5="A-330-300",'2023'!$H$4="CA",'2023'!$H$2=BW157),'2023DATA'!$D$7,"")</f>
        <v/>
      </c>
      <c r="BX162" s="518" t="str">
        <f>IF(AND(_AC5="A-330-300",'2023'!$H$4="CA",'2023'!$H$2=BX157),'2023DATA'!$E$7,"")</f>
        <v/>
      </c>
      <c r="BY162" s="518" t="str">
        <f>IF(AND(_AC5="A-330-300",'2023'!$H$4="CA",'2023'!$H$2=BY157),'2023DATA'!$F$7,"")</f>
        <v/>
      </c>
      <c r="BZ162" s="518" t="str">
        <f>IF(AND(_AC5="A-330-300",'2023'!$H$4="CA",'2023'!$H$2=BZ157),'2023DATA'!$G$7,"")</f>
        <v/>
      </c>
      <c r="CA162" s="518" t="str">
        <f>IF(AND(_AC5="A-330-300",'2023'!$H$4="CA",'2023'!$H$2=CA157),'2023DATA'!$H$7,"")</f>
        <v/>
      </c>
      <c r="CB162" s="518" t="str">
        <f>IF(AND(_AC5="A-330-300",'2023'!$H$4="CA",'2023'!$H$2=CB157),'2023DATA'!$I$7,"")</f>
        <v/>
      </c>
      <c r="CC162" s="518" t="str">
        <f>IF(AND(_AC5="A-330-300",'2023'!$H$4="CA",'2023'!$H$2=CC157),'2023DATA'!$J$7,"")</f>
        <v/>
      </c>
      <c r="CD162" s="518" t="str">
        <f>IF(AND(_AC5="A-330-300",'2023'!$H$4="CA",'2023'!$H$2=CD157),'2023DATA'!$K$7,"")</f>
        <v/>
      </c>
      <c r="CE162" s="518" t="str">
        <f>IF(AND(_AC5="A-330-300",'2023'!$H$4="CA",'2023'!$H$2=CE157),'2023DATA'!$L$7,"")</f>
        <v/>
      </c>
      <c r="CF162" s="518" t="str">
        <f>IF(AND(_AC5="A-330-300",'2023'!$H$4="CA",'2023'!$H$2=CF157),'2023DATA'!$M$7,"")</f>
        <v/>
      </c>
      <c r="CG162" s="520" t="str">
        <f>IF(AND(_AC5="A-330-300",'2023'!$H$4="CA",'2023'!$H$2=CG157),'2023DATA'!$N$7,"")</f>
        <v/>
      </c>
      <c r="CH162" s="940" t="s">
        <v>64</v>
      </c>
      <c r="CI162" s="13" t="s">
        <v>61</v>
      </c>
      <c r="CJ162" s="518" t="str">
        <f>IF(AND(_AC6="A-330-300",'2023'!$H$4="CA",'2023'!$H$2=CJ157),'2023DATA'!$C$7,"")</f>
        <v/>
      </c>
      <c r="CK162" s="518" t="str">
        <f>IF(AND(_AC6="A-330-300",'2023'!$H$4="CA",'2023'!$H$2=CK157),'2023DATA'!$D$7,"")</f>
        <v/>
      </c>
      <c r="CL162" s="518" t="str">
        <f>IF(AND(_AC6="A-330-300",'2023'!$H$4="CA",'2023'!$H$2=CL157),'2023DATA'!$E$7,"")</f>
        <v/>
      </c>
      <c r="CM162" s="518" t="str">
        <f>IF(AND(_AC6="A-330-300",'2023'!$H$4="CA",'2023'!$H$2=CM157),'2023DATA'!$F$7,"")</f>
        <v/>
      </c>
      <c r="CN162" s="518" t="str">
        <f>IF(AND(_AC6="A-330-300",'2023'!$H$4="CA",'2023'!$H$2=CN157),'2023DATA'!$G$7,"")</f>
        <v/>
      </c>
      <c r="CO162" s="518" t="str">
        <f>IF(AND(_AC6="A-330-300",'2023'!$H$4="CA",'2023'!$H$2=CO157),'2023DATA'!$H$7,"")</f>
        <v/>
      </c>
      <c r="CP162" s="518" t="str">
        <f>IF(AND(_AC6="A-330-300",'2023'!$H$4="CA",'2023'!$H$2=CP157),'2023DATA'!$I$7,"")</f>
        <v/>
      </c>
      <c r="CQ162" s="518" t="str">
        <f>IF(AND(_AC6="A-330-300",'2023'!$H$4="CA",'2023'!$H$2=CQ157),'2023DATA'!$J$7,"")</f>
        <v/>
      </c>
      <c r="CR162" s="518" t="str">
        <f>IF(AND(_AC6="A-330-300",'2023'!$H$4="CA",'2023'!$H$2=CR157),'2023DATA'!$K$7,"")</f>
        <v/>
      </c>
      <c r="CS162" s="518" t="str">
        <f>IF(AND(_AC6="A-330-300",'2023'!$H$4="CA",'2023'!$H$2=CS157),'2023DATA'!$L$7,"")</f>
        <v/>
      </c>
      <c r="CT162" s="518" t="str">
        <f>IF(AND(_AC6="A-330-300",'2023'!$H$4="CA",'2023'!$H$2=CT157),'2023DATA'!$M$7,"")</f>
        <v/>
      </c>
      <c r="CU162" s="520" t="str">
        <f>IF(AND(_AC6="A-330-300",'2023'!$H$4="CA",'2023'!$H$2=CU157),'2023DATA'!$N$7,"")</f>
        <v/>
      </c>
    </row>
    <row r="163" spans="16:99" x14ac:dyDescent="0.25">
      <c r="P163" s="940"/>
      <c r="Q163" s="13" t="s">
        <v>62</v>
      </c>
      <c r="R163" s="518" t="str">
        <f>IF(AND(_AC1="A-330-300",'2023'!$H$4="FO",'2023'!$H$2=R157),'2023DATA'!$C$8,"")</f>
        <v/>
      </c>
      <c r="S163" s="518" t="str">
        <f>IF(AND(_AC1="A-330-300",'2023'!$H$4="FO",'2023'!$H$2=S157),'2023DATA'!$D$8,"")</f>
        <v/>
      </c>
      <c r="T163" s="518" t="str">
        <f>IF(AND(_AC1="A-330-300",'2023'!$H$4="FO",'2023'!$H$2=T157),'2023DATA'!$E$8,"")</f>
        <v/>
      </c>
      <c r="U163" s="518" t="str">
        <f>IF(AND(_AC1="A-330-300",'2023'!$H$4="FO",'2023'!$H$2=U157),'2023DATA'!$F$8,"")</f>
        <v/>
      </c>
      <c r="V163" s="518" t="str">
        <f>IF(AND(_AC1="A-330-300",'2023'!$H$4="FO",'2023'!$H$2=V157),'2023DATA'!$G$8,"")</f>
        <v/>
      </c>
      <c r="W163" s="518" t="str">
        <f>IF(AND(_AC1="A-330-300",'2023'!$H$4="FO",'2023'!$H$2=W157),'2023DATA'!$H$8,"")</f>
        <v/>
      </c>
      <c r="X163" s="518" t="str">
        <f>IF(AND(_AC1="A-330-300",'2023'!$H$4="FO",'2023'!$H$2=X157),'2023DATA'!$I$8,"")</f>
        <v/>
      </c>
      <c r="Y163" s="518" t="str">
        <f>IF(AND(_AC1="A-330-300",'2023'!$H$4="FO",'2023'!$H$2=Y157),'2023DATA'!$J$8,"")</f>
        <v/>
      </c>
      <c r="Z163" s="518" t="str">
        <f>IF(AND(_AC1="A-330-300",'2023'!$H$4="FO",'2023'!$H$2=Z157),'2023DATA'!$K$8,"")</f>
        <v/>
      </c>
      <c r="AA163" s="518" t="str">
        <f>IF(AND(_AC1="A-330-300",'2023'!$H$4="FO",'2023'!$H$2=AA157),'2023DATA'!$L$8,"")</f>
        <v/>
      </c>
      <c r="AB163" s="518" t="str">
        <f>IF(AND(_AC1="A-330-300",'2023'!$H$4="FO",'2023'!$H$2=AB157),'2023DATA'!$M$8,"")</f>
        <v/>
      </c>
      <c r="AC163" s="520" t="str">
        <f>IF(AND(_AC1="A-330-300",'2023'!$H$4="FO",'2023'!$H$2=AC157),'2023DATA'!$N$8,"")</f>
        <v/>
      </c>
      <c r="AD163" s="940"/>
      <c r="AE163" s="13" t="s">
        <v>62</v>
      </c>
      <c r="AF163" s="518" t="str">
        <f>IF(AND(_AC2="A-330-300",'2023'!$H$4="FO",'2023'!$H$2=AF157),'2023DATA'!$C$8,"")</f>
        <v/>
      </c>
      <c r="AG163" s="518" t="str">
        <f>IF(AND(_AC2="A-330-300",'2023'!$H$4="FO",'2023'!$H$2=AG157),'2023DATA'!$D$8,"")</f>
        <v/>
      </c>
      <c r="AH163" s="518" t="str">
        <f>IF(AND(_AC2="A-330-300",'2023'!$H$4="FO",'2023'!$H$2=AH157),'2023DATA'!$E$8,"")</f>
        <v/>
      </c>
      <c r="AI163" s="518" t="str">
        <f>IF(AND(_AC2="A-330-300",'2023'!$H$4="FO",'2023'!$H$2=AI157),'2023DATA'!$F$8,"")</f>
        <v/>
      </c>
      <c r="AJ163" s="518" t="str">
        <f>IF(AND(_AC2="A-330-300",'2023'!$H$4="FO",'2023'!$H$2=AJ157),'2023DATA'!$G$8,"")</f>
        <v/>
      </c>
      <c r="AK163" s="518" t="str">
        <f>IF(AND(_AC2="A-330-300",'2023'!$H$4="FO",'2023'!$H$2=AK157),'2023DATA'!$H$8,"")</f>
        <v/>
      </c>
      <c r="AL163" s="518" t="str">
        <f>IF(AND(_AC2="A-330-300",'2023'!$H$4="FO",'2023'!$H$2=AL157),'2023DATA'!$I$8,"")</f>
        <v/>
      </c>
      <c r="AM163" s="518" t="str">
        <f>IF(AND(_AC2="A-330-300",'2023'!$H$4="FO",'2023'!$H$2=AM157),'2023DATA'!$J$8,"")</f>
        <v/>
      </c>
      <c r="AN163" s="518" t="str">
        <f>IF(AND(_AC2="A-330-300",'2023'!$H$4="FO",'2023'!$H$2=AN157),'2023DATA'!$K$8,"")</f>
        <v/>
      </c>
      <c r="AO163" s="518" t="str">
        <f>IF(AND(_AC2="A-330-300",'2023'!$H$4="FO",'2023'!$H$2=AO157),'2023DATA'!$L$8,"")</f>
        <v/>
      </c>
      <c r="AP163" s="518" t="str">
        <f>IF(AND(_AC2="A-330-300",'2023'!$H$4="FO",'2023'!$H$2=AP157),'2023DATA'!$M$8,"")</f>
        <v/>
      </c>
      <c r="AQ163" s="520" t="str">
        <f>IF(AND(_AC2="A-330-300",'2023'!$H$4="FO",'2023'!$H$2=AQ157),'2023DATA'!$N$8,"")</f>
        <v/>
      </c>
      <c r="AR163" s="940"/>
      <c r="AS163" s="13" t="s">
        <v>62</v>
      </c>
      <c r="AT163" s="518" t="str">
        <f>IF(AND(_AC3="A-330-300",'2023'!$H$4="FO",'2023'!$H$2=AT157),'2023DATA'!$C$8,"")</f>
        <v/>
      </c>
      <c r="AU163" s="518" t="str">
        <f>IF(AND(_AC3="A-330-300",'2023'!$H$4="FO",'2023'!$H$2=AU157),'2023DATA'!$D$8,"")</f>
        <v/>
      </c>
      <c r="AV163" s="518" t="str">
        <f>IF(AND(_AC3="A-330-300",'2023'!$H$4="FO",'2023'!$H$2=AV157),'2023DATA'!$E$8,"")</f>
        <v/>
      </c>
      <c r="AW163" s="518" t="str">
        <f>IF(AND(_AC3="A-330-300",'2023'!$H$4="FO",'2023'!$H$2=AW157),'2023DATA'!$F$8,"")</f>
        <v/>
      </c>
      <c r="AX163" s="518" t="str">
        <f>IF(AND(_AC3="A-330-300",'2023'!$H$4="FO",'2023'!$H$2=AX157),'2023DATA'!$G$8,"")</f>
        <v/>
      </c>
      <c r="AY163" s="518" t="str">
        <f>IF(AND(_AC3="A-330-300",'2023'!$H$4="FO",'2023'!$H$2=AY157),'2023DATA'!$H$8,"")</f>
        <v/>
      </c>
      <c r="AZ163" s="518" t="str">
        <f>IF(AND(_AC3="A-330-300",'2023'!$H$4="FO",'2023'!$H$2=AZ157),'2023DATA'!$I$8,"")</f>
        <v/>
      </c>
      <c r="BA163" s="518" t="str">
        <f>IF(AND(_AC3="A-330-300",'2023'!$H$4="FO",'2023'!$H$2=BA157),'2023DATA'!$J$8,"")</f>
        <v/>
      </c>
      <c r="BB163" s="518" t="str">
        <f>IF(AND(_AC3="A-330-300",'2023'!$H$4="FO",'2023'!$H$2=BB157),'2023DATA'!$K$8,"")</f>
        <v/>
      </c>
      <c r="BC163" s="518" t="str">
        <f>IF(AND(_AC3="A-330-300",'2023'!$H$4="FO",'2023'!$H$2=BC157),'2023DATA'!$L$8,"")</f>
        <v/>
      </c>
      <c r="BD163" s="518" t="str">
        <f>IF(AND(_AC3="A-330-300",'2023'!$H$4="FO",'2023'!$H$2=BD157),'2023DATA'!$M$8,"")</f>
        <v/>
      </c>
      <c r="BE163" s="520" t="str">
        <f>IF(AND(_AC3="A-330-300",'2023'!$H$4="FO",'2023'!$H$2=BE157),'2023DATA'!$N$8,"")</f>
        <v/>
      </c>
      <c r="BF163" s="940"/>
      <c r="BG163" s="13" t="s">
        <v>62</v>
      </c>
      <c r="BH163" s="518" t="str">
        <f>IF(AND(_AC4="A-330-300",'2023'!$H$4="FO",'2023'!$H$2=BH157),'2023DATA'!$C$8,"")</f>
        <v/>
      </c>
      <c r="BI163" s="518" t="str">
        <f>IF(AND(_AC4="A-330-300",'2023'!$H$4="FO",'2023'!$H$2=BI157),'2023DATA'!$D$8,"")</f>
        <v/>
      </c>
      <c r="BJ163" s="518" t="str">
        <f>IF(AND(_AC4="A-330-300",'2023'!$H$4="FO",'2023'!$H$2=BJ157),'2023DATA'!$E$8,"")</f>
        <v/>
      </c>
      <c r="BK163" s="518" t="str">
        <f>IF(AND(_AC4="A-330-300",'2023'!$H$4="FO",'2023'!$H$2=BK157),'2023DATA'!$F$8,"")</f>
        <v/>
      </c>
      <c r="BL163" s="518" t="str">
        <f>IF(AND(_AC4="A-330-300",'2023'!$H$4="FO",'2023'!$H$2=BL157),'2023DATA'!$G$8,"")</f>
        <v/>
      </c>
      <c r="BM163" s="518" t="str">
        <f>IF(AND(_AC4="A-330-300",'2023'!$H$4="FO",'2023'!$H$2=BM157),'2023DATA'!$H$8,"")</f>
        <v/>
      </c>
      <c r="BN163" s="518" t="str">
        <f>IF(AND(_AC4="A-330-300",'2023'!$H$4="FO",'2023'!$H$2=BN157),'2023DATA'!$I$8,"")</f>
        <v/>
      </c>
      <c r="BO163" s="518" t="str">
        <f>IF(AND(_AC4="A-330-300",'2023'!$H$4="FO",'2023'!$H$2=BO157),'2023DATA'!$J$8,"")</f>
        <v/>
      </c>
      <c r="BP163" s="518" t="str">
        <f>IF(AND(_AC4="A-330-300",'2023'!$H$4="FO",'2023'!$H$2=BP157),'2023DATA'!$K$8,"")</f>
        <v/>
      </c>
      <c r="BQ163" s="518" t="str">
        <f>IF(AND(_AC4="A-330-300",'2023'!$H$4="FO",'2023'!$H$2=BQ157),'2023DATA'!$L$8,"")</f>
        <v/>
      </c>
      <c r="BR163" s="518" t="str">
        <f>IF(AND(_AC4="A-330-300",'2023'!$H$4="FO",'2023'!$H$2=BR157),'2023DATA'!$M$8,"")</f>
        <v/>
      </c>
      <c r="BS163" s="520" t="str">
        <f>IF(AND(_AC4="A-330-300",'2023'!$H$4="FO",'2023'!$H$2=BS157),'2023DATA'!$N$8,"")</f>
        <v/>
      </c>
      <c r="BT163" s="940"/>
      <c r="BU163" s="13" t="s">
        <v>62</v>
      </c>
      <c r="BV163" s="518" t="str">
        <f>IF(AND(_AC5="A-330-300",'2023'!$H$4="FO",'2023'!$H$2=BV157),'2023DATA'!$C$8,"")</f>
        <v/>
      </c>
      <c r="BW163" s="518" t="str">
        <f>IF(AND(_AC5="A-330-300",'2023'!$H$4="FO",'2023'!$H$2=BW157),'2023DATA'!$D$8,"")</f>
        <v/>
      </c>
      <c r="BX163" s="518" t="str">
        <f>IF(AND(_AC5="A-330-300",'2023'!$H$4="FO",'2023'!$H$2=BX157),'2023DATA'!$E$8,"")</f>
        <v/>
      </c>
      <c r="BY163" s="518" t="str">
        <f>IF(AND(_AC5="A-330-300",'2023'!$H$4="FO",'2023'!$H$2=BY157),'2023DATA'!$F$8,"")</f>
        <v/>
      </c>
      <c r="BZ163" s="518" t="str">
        <f>IF(AND(_AC5="A-330-300",'2023'!$H$4="FO",'2023'!$H$2=BZ157),'2023DATA'!$G$8,"")</f>
        <v/>
      </c>
      <c r="CA163" s="518" t="str">
        <f>IF(AND(_AC5="A-330-300",'2023'!$H$4="FO",'2023'!$H$2=CA157),'2023DATA'!$H$8,"")</f>
        <v/>
      </c>
      <c r="CB163" s="518" t="str">
        <f>IF(AND(_AC5="A-330-300",'2023'!$H$4="FO",'2023'!$H$2=CB157),'2023DATA'!$I$8,"")</f>
        <v/>
      </c>
      <c r="CC163" s="518" t="str">
        <f>IF(AND(_AC5="A-330-300",'2023'!$H$4="FO",'2023'!$H$2=CC157),'2023DATA'!$J$8,"")</f>
        <v/>
      </c>
      <c r="CD163" s="518" t="str">
        <f>IF(AND(_AC5="A-330-300",'2023'!$H$4="FO",'2023'!$H$2=CD157),'2023DATA'!$K$8,"")</f>
        <v/>
      </c>
      <c r="CE163" s="518" t="str">
        <f>IF(AND(_AC5="A-330-300",'2023'!$H$4="FO",'2023'!$H$2=CE157),'2023DATA'!$L$8,"")</f>
        <v/>
      </c>
      <c r="CF163" s="518" t="str">
        <f>IF(AND(_AC5="A-330-300",'2023'!$H$4="FO",'2023'!$H$2=CF157),'2023DATA'!$M$8,"")</f>
        <v/>
      </c>
      <c r="CG163" s="520" t="str">
        <f>IF(AND(_AC5="A-330-300",'2023'!$H$4="FO",'2023'!$H$2=CG157),'2023DATA'!$N$8,"")</f>
        <v/>
      </c>
      <c r="CH163" s="940"/>
      <c r="CI163" s="13" t="s">
        <v>62</v>
      </c>
      <c r="CJ163" s="518" t="str">
        <f>IF(AND(_AC6="A-330-300",'2023'!$H$4="FO",'2023'!$H$2=CJ157),'2023DATA'!$C$8,"")</f>
        <v/>
      </c>
      <c r="CK163" s="518" t="str">
        <f>IF(AND(_AC6="A-330-300",'2023'!$H$4="FO",'2023'!$H$2=CK157),'2023DATA'!$D$8,"")</f>
        <v/>
      </c>
      <c r="CL163" s="518" t="str">
        <f>IF(AND(_AC6="A-330-300",'2023'!$H$4="FO",'2023'!$H$2=CL157),'2023DATA'!$E$8,"")</f>
        <v/>
      </c>
      <c r="CM163" s="518" t="str">
        <f>IF(AND(_AC6="A-330-300",'2023'!$H$4="FO",'2023'!$H$2=CM157),'2023DATA'!$F$8,"")</f>
        <v/>
      </c>
      <c r="CN163" s="518" t="str">
        <f>IF(AND(_AC6="A-330-300",'2023'!$H$4="FO",'2023'!$H$2=CN157),'2023DATA'!$G$8,"")</f>
        <v/>
      </c>
      <c r="CO163" s="518" t="str">
        <f>IF(AND(_AC6="A-330-300",'2023'!$H$4="FO",'2023'!$H$2=CO157),'2023DATA'!$H$8,"")</f>
        <v/>
      </c>
      <c r="CP163" s="518" t="str">
        <f>IF(AND(_AC6="A-330-300",'2023'!$H$4="FO",'2023'!$H$2=CP157),'2023DATA'!$I$8,"")</f>
        <v/>
      </c>
      <c r="CQ163" s="518" t="str">
        <f>IF(AND(_AC6="A-330-300",'2023'!$H$4="FO",'2023'!$H$2=CQ157),'2023DATA'!$J$8,"")</f>
        <v/>
      </c>
      <c r="CR163" s="518" t="str">
        <f>IF(AND(_AC6="A-330-300",'2023'!$H$4="FO",'2023'!$H$2=CR157),'2023DATA'!$K$8,"")</f>
        <v/>
      </c>
      <c r="CS163" s="518" t="str">
        <f>IF(AND(_AC6="A-330-300",'2023'!$H$4="FO",'2023'!$H$2=CS157),'2023DATA'!$L$8,"")</f>
        <v/>
      </c>
      <c r="CT163" s="518" t="str">
        <f>IF(AND(_AC6="A-330-300",'2023'!$H$4="FO",'2023'!$H$2=CT157),'2023DATA'!$M$8,"")</f>
        <v/>
      </c>
      <c r="CU163" s="520" t="str">
        <f>IF(AND(_AC6="A-330-300",'2023'!$H$4="FO",'2023'!$H$2=CU157),'2023DATA'!$N$8,"")</f>
        <v/>
      </c>
    </row>
    <row r="164" spans="16:99" x14ac:dyDescent="0.25">
      <c r="P164" s="940" t="s">
        <v>66</v>
      </c>
      <c r="Q164" s="13" t="s">
        <v>61</v>
      </c>
      <c r="R164" s="518" t="str">
        <f>IF(AND(_AC1="A-330-200",'2023'!$H$4="CA",'2023'!$H$2=R157),'2023DATA'!$C$9,"")</f>
        <v/>
      </c>
      <c r="S164" s="518" t="str">
        <f>IF(AND(_AC1="A-330-200",'2023'!$H$4="CA",'2023'!$H$2=S157),'2023DATA'!$D$9,"")</f>
        <v/>
      </c>
      <c r="T164" s="518" t="str">
        <f>IF(AND(_AC1="A-330-200",'2023'!$H$4="CA",'2023'!$H$2=T157),'2023DATA'!$E$9,"")</f>
        <v/>
      </c>
      <c r="U164" s="518" t="str">
        <f>IF(AND(_AC1="A-330-200",'2023'!$H$4="CA",'2023'!$H$2=U157),'2023DATA'!$F$9,"")</f>
        <v/>
      </c>
      <c r="V164" s="518" t="str">
        <f>IF(AND(_AC1="A-330-200",'2023'!$H$4="CA",'2023'!$H$2=V157),'2023DATA'!$G$9,"")</f>
        <v/>
      </c>
      <c r="W164" s="518" t="str">
        <f>IF(AND(_AC1="A-330-200",'2023'!$H$4="CA",'2023'!$H$2=W157),'2023DATA'!$H$9,"")</f>
        <v/>
      </c>
      <c r="X164" s="518" t="str">
        <f>IF(AND(_AC1="A-330-200",'2023'!$H$4="CA",'2023'!$H$2=X157),'2023DATA'!$I$9,"")</f>
        <v/>
      </c>
      <c r="Y164" s="518" t="str">
        <f>IF(AND(_AC1="A-330-200",'2023'!$H$4="CA",'2023'!$H$2=Y157),'2023DATA'!$J$9,"")</f>
        <v/>
      </c>
      <c r="Z164" s="518" t="str">
        <f>IF(AND(_AC1="A-330-200",'2023'!$H$4="CA",'2023'!$H$2=Z157),'2023DATA'!$K$9,"")</f>
        <v/>
      </c>
      <c r="AA164" s="518" t="str">
        <f>IF(AND(_AC1="A-330-200",'2023'!$H$4="CA",'2023'!$H$2=AA157),'2023DATA'!$L$9,"")</f>
        <v/>
      </c>
      <c r="AB164" s="518" t="str">
        <f>IF(AND(_AC1="A-330-200",'2023'!$H$4="CA",'2023'!$H$2=AB157),'2023DATA'!$M$9,"")</f>
        <v/>
      </c>
      <c r="AC164" s="520" t="str">
        <f>IF(AND(_AC1="A-330-200",'2023'!$H$4="CA",'2023'!$H$2=AC157),'2023DATA'!$N$9,"")</f>
        <v/>
      </c>
      <c r="AD164" s="940" t="s">
        <v>66</v>
      </c>
      <c r="AE164" s="13" t="s">
        <v>61</v>
      </c>
      <c r="AF164" s="518" t="str">
        <f>IF(AND(_AC2="A-330-200",'2023'!$H$4="CA",'2023'!$H$2=AF157),'2023DATA'!$C$9,"")</f>
        <v/>
      </c>
      <c r="AG164" s="518" t="str">
        <f>IF(AND(_AC2="A-330-200",'2023'!$H$4="CA",'2023'!$H$2=AG157),'2023DATA'!$D$9,"")</f>
        <v/>
      </c>
      <c r="AH164" s="518" t="str">
        <f>IF(AND(_AC2="A-330-200",'2023'!$H$4="CA",'2023'!$H$2=AH157),'2023DATA'!$E$9,"")</f>
        <v/>
      </c>
      <c r="AI164" s="518" t="str">
        <f>IF(AND(_AC2="A-330-200",'2023'!$H$4="CA",'2023'!$H$2=AI157),'2023DATA'!$F$9,"")</f>
        <v/>
      </c>
      <c r="AJ164" s="518" t="str">
        <f>IF(AND(_AC2="A-330-200",'2023'!$H$4="CA",'2023'!$H$2=AJ157),'2023DATA'!$G$9,"")</f>
        <v/>
      </c>
      <c r="AK164" s="518" t="str">
        <f>IF(AND(_AC2="A-330-200",'2023'!$H$4="CA",'2023'!$H$2=AK157),'2023DATA'!$H$9,"")</f>
        <v/>
      </c>
      <c r="AL164" s="518" t="str">
        <f>IF(AND(_AC2="A-330-200",'2023'!$H$4="CA",'2023'!$H$2=AL157),'2023DATA'!$I$9,"")</f>
        <v/>
      </c>
      <c r="AM164" s="518" t="str">
        <f>IF(AND(_AC2="A-330-200",'2023'!$H$4="CA",'2023'!$H$2=AM157),'2023DATA'!$J$9,"")</f>
        <v/>
      </c>
      <c r="AN164" s="518" t="str">
        <f>IF(AND(_AC2="A-330-200",'2023'!$H$4="CA",'2023'!$H$2=AN157),'2023DATA'!$K$9,"")</f>
        <v/>
      </c>
      <c r="AO164" s="518" t="str">
        <f>IF(AND(_AC2="A-330-200",'2023'!$H$4="CA",'2023'!$H$2=AO157),'2023DATA'!$L$9,"")</f>
        <v/>
      </c>
      <c r="AP164" s="518" t="str">
        <f>IF(AND(_AC2="A-330-200",'2023'!$H$4="CA",'2023'!$H$2=AP157),'2023DATA'!$M$9,"")</f>
        <v/>
      </c>
      <c r="AQ164" s="520" t="str">
        <f>IF(AND(_AC2="A-330-200",'2023'!$H$4="CA",'2023'!$H$2=AQ157),'2023DATA'!$N$9,"")</f>
        <v/>
      </c>
      <c r="AR164" s="940" t="s">
        <v>66</v>
      </c>
      <c r="AS164" s="13" t="s">
        <v>61</v>
      </c>
      <c r="AT164" s="518" t="str">
        <f>IF(AND(_AC3="A-330-200",'2023'!$H$4="CA",'2023'!$H$2=AT157),'2023DATA'!$C$9,"")</f>
        <v/>
      </c>
      <c r="AU164" s="518" t="str">
        <f>IF(AND(_AC3="A-330-200",'2023'!$H$4="CA",'2023'!$H$2=AU157),'2023DATA'!$D$9,"")</f>
        <v/>
      </c>
      <c r="AV164" s="518" t="str">
        <f>IF(AND(_AC3="A-330-200",'2023'!$H$4="CA",'2023'!$H$2=AV157),'2023DATA'!$E$9,"")</f>
        <v/>
      </c>
      <c r="AW164" s="518" t="str">
        <f>IF(AND(_AC3="A-330-200",'2023'!$H$4="CA",'2023'!$H$2=AW157),'2023DATA'!$F$9,"")</f>
        <v/>
      </c>
      <c r="AX164" s="518" t="str">
        <f>IF(AND(_AC3="A-330-200",'2023'!$H$4="CA",'2023'!$H$2=AX157),'2023DATA'!$G$9,"")</f>
        <v/>
      </c>
      <c r="AY164" s="518" t="str">
        <f>IF(AND(_AC3="A-330-200",'2023'!$H$4="CA",'2023'!$H$2=AY157),'2023DATA'!$H$9,"")</f>
        <v/>
      </c>
      <c r="AZ164" s="518" t="str">
        <f>IF(AND(_AC3="A-330-200",'2023'!$H$4="CA",'2023'!$H$2=AZ157),'2023DATA'!$I$9,"")</f>
        <v/>
      </c>
      <c r="BA164" s="518" t="str">
        <f>IF(AND(_AC3="A-330-200",'2023'!$H$4="CA",'2023'!$H$2=BA157),'2023DATA'!$J$9,"")</f>
        <v/>
      </c>
      <c r="BB164" s="518" t="str">
        <f>IF(AND(_AC3="A-330-200",'2023'!$H$4="CA",'2023'!$H$2=BB157),'2023DATA'!$K$9,"")</f>
        <v/>
      </c>
      <c r="BC164" s="518" t="str">
        <f>IF(AND(_AC3="A-330-200",'2023'!$H$4="CA",'2023'!$H$2=BC157),'2023DATA'!$L$9,"")</f>
        <v/>
      </c>
      <c r="BD164" s="518" t="str">
        <f>IF(AND(_AC3="A-330-200",'2023'!$H$4="CA",'2023'!$H$2=BD157),'2023DATA'!$M$9,"")</f>
        <v/>
      </c>
      <c r="BE164" s="520" t="str">
        <f>IF(AND(_AC3="A-330-200",'2023'!$H$4="CA",'2023'!$H$2=BE157),'2023DATA'!$N$9,"")</f>
        <v/>
      </c>
      <c r="BF164" s="940" t="s">
        <v>66</v>
      </c>
      <c r="BG164" s="13" t="s">
        <v>61</v>
      </c>
      <c r="BH164" s="518" t="str">
        <f>IF(AND(_AC4="A-330-200",'2023'!$H$4="CA",'2023'!$H$2=BH157),'2023DATA'!$C$9,"")</f>
        <v/>
      </c>
      <c r="BI164" s="518" t="str">
        <f>IF(AND(_AC4="A-330-200",'2023'!$H$4="CA",'2023'!$H$2=BI157),'2023DATA'!$D$9,"")</f>
        <v/>
      </c>
      <c r="BJ164" s="518" t="str">
        <f>IF(AND(_AC4="A-330-200",'2023'!$H$4="CA",'2023'!$H$2=BJ157),'2023DATA'!$E$9,"")</f>
        <v/>
      </c>
      <c r="BK164" s="518" t="str">
        <f>IF(AND(_AC4="A-330-200",'2023'!$H$4="CA",'2023'!$H$2=BK157),'2023DATA'!$F$9,"")</f>
        <v/>
      </c>
      <c r="BL164" s="518" t="str">
        <f>IF(AND(_AC4="A-330-200",'2023'!$H$4="CA",'2023'!$H$2=BL157),'2023DATA'!$G$9,"")</f>
        <v/>
      </c>
      <c r="BM164" s="518" t="str">
        <f>IF(AND(_AC4="A-330-200",'2023'!$H$4="CA",'2023'!$H$2=BM157),'2023DATA'!$H$9,"")</f>
        <v/>
      </c>
      <c r="BN164" s="518" t="str">
        <f>IF(AND(_AC4="A-330-200",'2023'!$H$4="CA",'2023'!$H$2=BN157),'2023DATA'!$I$9,"")</f>
        <v/>
      </c>
      <c r="BO164" s="518" t="str">
        <f>IF(AND(_AC4="A-330-200",'2023'!$H$4="CA",'2023'!$H$2=BO157),'2023DATA'!$J$9,"")</f>
        <v/>
      </c>
      <c r="BP164" s="518" t="str">
        <f>IF(AND(_AC4="A-330-200",'2023'!$H$4="CA",'2023'!$H$2=BP157),'2023DATA'!$K$9,"")</f>
        <v/>
      </c>
      <c r="BQ164" s="518" t="str">
        <f>IF(AND(_AC4="A-330-200",'2023'!$H$4="CA",'2023'!$H$2=BQ157),'2023DATA'!$L$9,"")</f>
        <v/>
      </c>
      <c r="BR164" s="518" t="str">
        <f>IF(AND(_AC4="A-330-200",'2023'!$H$4="CA",'2023'!$H$2=BR157),'2023DATA'!$M$9,"")</f>
        <v/>
      </c>
      <c r="BS164" s="520" t="str">
        <f>IF(AND(_AC4="A-330-200",'2023'!$H$4="CA",'2023'!$H$2=BS157),'2023DATA'!$N$9,"")</f>
        <v/>
      </c>
      <c r="BT164" s="940" t="s">
        <v>66</v>
      </c>
      <c r="BU164" s="13" t="s">
        <v>61</v>
      </c>
      <c r="BV164" s="518" t="str">
        <f>IF(AND(_AC5="A-330-200",'2023'!$H$4="CA",'2023'!$H$2=BV157),'2023DATA'!$C$9,"")</f>
        <v/>
      </c>
      <c r="BW164" s="518" t="str">
        <f>IF(AND(_AC5="A-330-200",'2023'!$H$4="CA",'2023'!$H$2=BW157),'2023DATA'!$D$9,"")</f>
        <v/>
      </c>
      <c r="BX164" s="518" t="str">
        <f>IF(AND(_AC5="A-330-200",'2023'!$H$4="CA",'2023'!$H$2=BX157),'2023DATA'!$E$9,"")</f>
        <v/>
      </c>
      <c r="BY164" s="518" t="str">
        <f>IF(AND(_AC5="A-330-200",'2023'!$H$4="CA",'2023'!$H$2=BY157),'2023DATA'!$F$9,"")</f>
        <v/>
      </c>
      <c r="BZ164" s="518" t="str">
        <f>IF(AND(_AC5="A-330-200",'2023'!$H$4="CA",'2023'!$H$2=BZ157),'2023DATA'!$G$9,"")</f>
        <v/>
      </c>
      <c r="CA164" s="518" t="str">
        <f>IF(AND(_AC5="A-330-200",'2023'!$H$4="CA",'2023'!$H$2=CA157),'2023DATA'!$H$9,"")</f>
        <v/>
      </c>
      <c r="CB164" s="518" t="str">
        <f>IF(AND(_AC5="A-330-200",'2023'!$H$4="CA",'2023'!$H$2=CB157),'2023DATA'!$I$9,"")</f>
        <v/>
      </c>
      <c r="CC164" s="518" t="str">
        <f>IF(AND(_AC5="A-330-200",'2023'!$H$4="CA",'2023'!$H$2=CC157),'2023DATA'!$J$9,"")</f>
        <v/>
      </c>
      <c r="CD164" s="518" t="str">
        <f>IF(AND(_AC5="A-330-200",'2023'!$H$4="CA",'2023'!$H$2=CD157),'2023DATA'!$K$9,"")</f>
        <v/>
      </c>
      <c r="CE164" s="518" t="str">
        <f>IF(AND(_AC5="A-330-200",'2023'!$H$4="CA",'2023'!$H$2=CE157),'2023DATA'!$L$9,"")</f>
        <v/>
      </c>
      <c r="CF164" s="518" t="str">
        <f>IF(AND(_AC5="A-330-200",'2023'!$H$4="CA",'2023'!$H$2=CF157),'2023DATA'!$M$9,"")</f>
        <v/>
      </c>
      <c r="CG164" s="520" t="str">
        <f>IF(AND(_AC5="A-330-200",'2023'!$H$4="CA",'2023'!$H$2=CG157),'2023DATA'!$N$9,"")</f>
        <v/>
      </c>
      <c r="CH164" s="940" t="s">
        <v>66</v>
      </c>
      <c r="CI164" s="13" t="s">
        <v>61</v>
      </c>
      <c r="CJ164" s="518" t="str">
        <f>IF(AND(_AC6="A-330-200",'2023'!$H$4="CA",'2023'!$H$2=CJ157),'2023DATA'!$C$9,"")</f>
        <v/>
      </c>
      <c r="CK164" s="518" t="str">
        <f>IF(AND(_AC6="A-330-200",'2023'!$H$4="CA",'2023'!$H$2=CK157),'2023DATA'!$D$9,"")</f>
        <v/>
      </c>
      <c r="CL164" s="518" t="str">
        <f>IF(AND(_AC6="A-330-200",'2023'!$H$4="CA",'2023'!$H$2=CL157),'2023DATA'!$E$9,"")</f>
        <v/>
      </c>
      <c r="CM164" s="518" t="str">
        <f>IF(AND(_AC6="A-330-200",'2023'!$H$4="CA",'2023'!$H$2=CM157),'2023DATA'!$F$9,"")</f>
        <v/>
      </c>
      <c r="CN164" s="518" t="str">
        <f>IF(AND(_AC6="A-330-200",'2023'!$H$4="CA",'2023'!$H$2=CN157),'2023DATA'!$G$9,"")</f>
        <v/>
      </c>
      <c r="CO164" s="518" t="str">
        <f>IF(AND(_AC6="A-330-200",'2023'!$H$4="CA",'2023'!$H$2=CO157),'2023DATA'!$H$9,"")</f>
        <v/>
      </c>
      <c r="CP164" s="518" t="str">
        <f>IF(AND(_AC6="A-330-200",'2023'!$H$4="CA",'2023'!$H$2=CP157),'2023DATA'!$I$9,"")</f>
        <v/>
      </c>
      <c r="CQ164" s="518" t="str">
        <f>IF(AND(_AC6="A-330-200",'2023'!$H$4="CA",'2023'!$H$2=CQ157),'2023DATA'!$J$9,"")</f>
        <v/>
      </c>
      <c r="CR164" s="518" t="str">
        <f>IF(AND(_AC6="A-330-200",'2023'!$H$4="CA",'2023'!$H$2=CR157),'2023DATA'!$K$9,"")</f>
        <v/>
      </c>
      <c r="CS164" s="518" t="str">
        <f>IF(AND(_AC6="A-330-200",'2023'!$H$4="CA",'2023'!$H$2=CS157),'2023DATA'!$L$9,"")</f>
        <v/>
      </c>
      <c r="CT164" s="518" t="str">
        <f>IF(AND(_AC6="A-330-200",'2023'!$H$4="CA",'2023'!$H$2=CT157),'2023DATA'!$M$9,"")</f>
        <v/>
      </c>
      <c r="CU164" s="520" t="str">
        <f>IF(AND(_AC6="A-330-200",'2023'!$H$4="CA",'2023'!$H$2=CU157),'2023DATA'!$N$9,"")</f>
        <v/>
      </c>
    </row>
    <row r="165" spans="16:99" x14ac:dyDescent="0.25">
      <c r="P165" s="940"/>
      <c r="Q165" s="13" t="s">
        <v>62</v>
      </c>
      <c r="R165" s="518" t="str">
        <f>IF(AND(_AC1="A-330-200",'2023'!$H$4="FO",'2023'!$H$2=R157),'2023DATA'!$C$10,"")</f>
        <v/>
      </c>
      <c r="S165" s="518" t="str">
        <f>IF(AND(_AC1="A-330-200",'2023'!$H$4="FO",'2023'!$H$2=S157),'2023DATA'!$D$10,"")</f>
        <v/>
      </c>
      <c r="T165" s="518" t="str">
        <f>IF(AND(_AC1="A-330-200",'2023'!$H$4="FO",'2023'!$H$2=T157),'2023DATA'!$E$10,"")</f>
        <v/>
      </c>
      <c r="U165" s="518" t="str">
        <f>IF(AND(_AC1="A-330-200",'2023'!$H$4="FO",'2023'!$H$2=U157),'2023DATA'!$F$10,"")</f>
        <v/>
      </c>
      <c r="V165" s="518" t="str">
        <f>IF(AND(_AC1="A-330-200",'2023'!$H$4="FO",'2023'!$H$2=V157),'2023DATA'!$G$10,"")</f>
        <v/>
      </c>
      <c r="W165" s="518" t="str">
        <f>IF(AND(_AC1="A-330-200",'2023'!$H$4="FO",'2023'!$H$2=W157),'2023DATA'!$H$10,"")</f>
        <v/>
      </c>
      <c r="X165" s="518" t="str">
        <f>IF(AND(_AC1="A-330-200",'2023'!$H$4="FO",'2023'!$H$2=X157),'2023DATA'!$I$10,"")</f>
        <v/>
      </c>
      <c r="Y165" s="518" t="str">
        <f>IF(AND(_AC1="A-330-200",'2023'!$H$4="FO",'2023'!$H$2=Y157),'2023DATA'!$J$10,"")</f>
        <v/>
      </c>
      <c r="Z165" s="518" t="str">
        <f>IF(AND(_AC1="A-330-200",'2023'!$H$4="FO",'2023'!$H$2=Z157),'2023DATA'!$K$10,"")</f>
        <v/>
      </c>
      <c r="AA165" s="518" t="str">
        <f>IF(AND(_AC1="A-330-200",'2023'!$H$4="FO",'2023'!$H$2=AA157),'2023DATA'!$L$10,"")</f>
        <v/>
      </c>
      <c r="AB165" s="518" t="str">
        <f>IF(AND(_AC1="A-330-200",'2023'!$H$4="FO",'2023'!$H$2=AB157),'2023DATA'!$M$10,"")</f>
        <v/>
      </c>
      <c r="AC165" s="520" t="str">
        <f>IF(AND(_AC1="A-330-200",'2023'!$H$4="FO",'2023'!$H$2=AC157),'2023DATA'!$N$10,"")</f>
        <v/>
      </c>
      <c r="AD165" s="940"/>
      <c r="AE165" s="13" t="s">
        <v>62</v>
      </c>
      <c r="AF165" s="518" t="str">
        <f>IF(AND(_AC2="A-330-200",'2023'!$H$4="FO",'2023'!$H$2=AF157),'2023DATA'!$C$10,"")</f>
        <v/>
      </c>
      <c r="AG165" s="518" t="str">
        <f>IF(AND(_AC2="A-330-200",'2023'!$H$4="FO",'2023'!$H$2=AG157),'2023DATA'!$D$10,"")</f>
        <v/>
      </c>
      <c r="AH165" s="518" t="str">
        <f>IF(AND(_AC2="A-330-200",'2023'!$H$4="FO",'2023'!$H$2=AH157),'2023DATA'!$E$10,"")</f>
        <v/>
      </c>
      <c r="AI165" s="518" t="str">
        <f>IF(AND(_AC2="A-330-200",'2023'!$H$4="FO",'2023'!$H$2=AI157),'2023DATA'!$F$10,"")</f>
        <v/>
      </c>
      <c r="AJ165" s="518" t="str">
        <f>IF(AND(_AC2="A-330-200",'2023'!$H$4="FO",'2023'!$H$2=AJ157),'2023DATA'!$G$10,"")</f>
        <v/>
      </c>
      <c r="AK165" s="518" t="str">
        <f>IF(AND(_AC2="A-330-200",'2023'!$H$4="FO",'2023'!$H$2=AK157),'2023DATA'!$H$10,"")</f>
        <v/>
      </c>
      <c r="AL165" s="518" t="str">
        <f>IF(AND(_AC2="A-330-200",'2023'!$H$4="FO",'2023'!$H$2=AL157),'2023DATA'!$I$10,"")</f>
        <v/>
      </c>
      <c r="AM165" s="518" t="str">
        <f>IF(AND(_AC2="A-330-200",'2023'!$H$4="FO",'2023'!$H$2=AM157),'2023DATA'!$J$10,"")</f>
        <v/>
      </c>
      <c r="AN165" s="518" t="str">
        <f>IF(AND(_AC2="A-330-200",'2023'!$H$4="FO",'2023'!$H$2=AN157),'2023DATA'!$K$10,"")</f>
        <v/>
      </c>
      <c r="AO165" s="518" t="str">
        <f>IF(AND(_AC2="A-330-200",'2023'!$H$4="FO",'2023'!$H$2=AO157),'2023DATA'!$L$10,"")</f>
        <v/>
      </c>
      <c r="AP165" s="518" t="str">
        <f>IF(AND(_AC2="A-330-200",'2023'!$H$4="FO",'2023'!$H$2=AP157),'2023DATA'!$M$10,"")</f>
        <v/>
      </c>
      <c r="AQ165" s="520" t="str">
        <f>IF(AND(_AC2="A-330-200",'2023'!$H$4="FO",'2023'!$H$2=AQ157),'2023DATA'!$N$10,"")</f>
        <v/>
      </c>
      <c r="AR165" s="940"/>
      <c r="AS165" s="13" t="s">
        <v>62</v>
      </c>
      <c r="AT165" s="518" t="str">
        <f>IF(AND(_AC3="A-330-200",'2023'!$H$4="FO",'2023'!$H$2=AT157),'2023DATA'!$C$10,"")</f>
        <v/>
      </c>
      <c r="AU165" s="518" t="str">
        <f>IF(AND(_AC3="A-330-200",'2023'!$H$4="FO",'2023'!$H$2=AU157),'2023DATA'!$D$10,"")</f>
        <v/>
      </c>
      <c r="AV165" s="518" t="str">
        <f>IF(AND(_AC3="A-330-200",'2023'!$H$4="FO",'2023'!$H$2=AV157),'2023DATA'!$E$10,"")</f>
        <v/>
      </c>
      <c r="AW165" s="518" t="str">
        <f>IF(AND(_AC3="A-330-200",'2023'!$H$4="FO",'2023'!$H$2=AW157),'2023DATA'!$F$10,"")</f>
        <v/>
      </c>
      <c r="AX165" s="518" t="str">
        <f>IF(AND(_AC3="A-330-200",'2023'!$H$4="FO",'2023'!$H$2=AX157),'2023DATA'!$G$10,"")</f>
        <v/>
      </c>
      <c r="AY165" s="518" t="str">
        <f>IF(AND(_AC3="A-330-200",'2023'!$H$4="FO",'2023'!$H$2=AY157),'2023DATA'!$H$10,"")</f>
        <v/>
      </c>
      <c r="AZ165" s="518" t="str">
        <f>IF(AND(_AC3="A-330-200",'2023'!$H$4="FO",'2023'!$H$2=AZ157),'2023DATA'!$I$10,"")</f>
        <v/>
      </c>
      <c r="BA165" s="518" t="str">
        <f>IF(AND(_AC3="A-330-200",'2023'!$H$4="FO",'2023'!$H$2=BA157),'2023DATA'!$J$10,"")</f>
        <v/>
      </c>
      <c r="BB165" s="518" t="str">
        <f>IF(AND(_AC3="A-330-200",'2023'!$H$4="FO",'2023'!$H$2=BB157),'2023DATA'!$K$10,"")</f>
        <v/>
      </c>
      <c r="BC165" s="518" t="str">
        <f>IF(AND(_AC3="A-330-200",'2023'!$H$4="FO",'2023'!$H$2=BC157),'2023DATA'!$L$10,"")</f>
        <v/>
      </c>
      <c r="BD165" s="518" t="str">
        <f>IF(AND(_AC3="A-330-200",'2023'!$H$4="FO",'2023'!$H$2=BD157),'2023DATA'!$M$10,"")</f>
        <v/>
      </c>
      <c r="BE165" s="520" t="str">
        <f>IF(AND(_AC3="A-330-200",'2023'!$H$4="FO",'2023'!$H$2=BE157),'2023DATA'!$N$10,"")</f>
        <v/>
      </c>
      <c r="BF165" s="940"/>
      <c r="BG165" s="13" t="s">
        <v>62</v>
      </c>
      <c r="BH165" s="518" t="str">
        <f>IF(AND(_AC4="A-330-200",'2023'!$H$4="FO",'2023'!$H$2=BH157),'2023DATA'!$C$10,"")</f>
        <v/>
      </c>
      <c r="BI165" s="518" t="str">
        <f>IF(AND(_AC4="A-330-200",'2023'!$H$4="FO",'2023'!$H$2=BI157),'2023DATA'!$D$10,"")</f>
        <v/>
      </c>
      <c r="BJ165" s="518" t="str">
        <f>IF(AND(_AC4="A-330-200",'2023'!$H$4="FO",'2023'!$H$2=BJ157),'2023DATA'!$E$10,"")</f>
        <v/>
      </c>
      <c r="BK165" s="518" t="str">
        <f>IF(AND(_AC4="A-330-200",'2023'!$H$4="FO",'2023'!$H$2=BK157),'2023DATA'!$F$10,"")</f>
        <v/>
      </c>
      <c r="BL165" s="518" t="str">
        <f>IF(AND(_AC4="A-330-200",'2023'!$H$4="FO",'2023'!$H$2=BL157),'2023DATA'!$G$10,"")</f>
        <v/>
      </c>
      <c r="BM165" s="518" t="str">
        <f>IF(AND(_AC4="A-330-200",'2023'!$H$4="FO",'2023'!$H$2=BM157),'2023DATA'!$H$10,"")</f>
        <v/>
      </c>
      <c r="BN165" s="518" t="str">
        <f>IF(AND(_AC4="A-330-200",'2023'!$H$4="FO",'2023'!$H$2=BN157),'2023DATA'!$I$10,"")</f>
        <v/>
      </c>
      <c r="BO165" s="518" t="str">
        <f>IF(AND(_AC4="A-330-200",'2023'!$H$4="FO",'2023'!$H$2=BO157),'2023DATA'!$J$10,"")</f>
        <v/>
      </c>
      <c r="BP165" s="518" t="str">
        <f>IF(AND(_AC4="A-330-200",'2023'!$H$4="FO",'2023'!$H$2=BP157),'2023DATA'!$K$10,"")</f>
        <v/>
      </c>
      <c r="BQ165" s="518" t="str">
        <f>IF(AND(_AC4="A-330-200",'2023'!$H$4="FO",'2023'!$H$2=BQ157),'2023DATA'!$L$10,"")</f>
        <v/>
      </c>
      <c r="BR165" s="518" t="str">
        <f>IF(AND(_AC4="A-330-200",'2023'!$H$4="FO",'2023'!$H$2=BR157),'2023DATA'!$M$10,"")</f>
        <v/>
      </c>
      <c r="BS165" s="520" t="str">
        <f>IF(AND(_AC4="A-330-200",'2023'!$H$4="FO",'2023'!$H$2=BS157),'2023DATA'!$N$10,"")</f>
        <v/>
      </c>
      <c r="BT165" s="940"/>
      <c r="BU165" s="13" t="s">
        <v>62</v>
      </c>
      <c r="BV165" s="518" t="str">
        <f>IF(AND(_AC5="A-330-200",'2023'!$H$4="FO",'2023'!$H$2=BV157),'2023DATA'!$C$10,"")</f>
        <v/>
      </c>
      <c r="BW165" s="518" t="str">
        <f>IF(AND(_AC5="A-330-200",'2023'!$H$4="FO",'2023'!$H$2=BW157),'2023DATA'!$D$10,"")</f>
        <v/>
      </c>
      <c r="BX165" s="518" t="str">
        <f>IF(AND(_AC5="A-330-200",'2023'!$H$4="FO",'2023'!$H$2=BX157),'2023DATA'!$E$10,"")</f>
        <v/>
      </c>
      <c r="BY165" s="518" t="str">
        <f>IF(AND(_AC5="A-330-200",'2023'!$H$4="FO",'2023'!$H$2=BY157),'2023DATA'!$F$10,"")</f>
        <v/>
      </c>
      <c r="BZ165" s="518" t="str">
        <f>IF(AND(_AC5="A-330-200",'2023'!$H$4="FO",'2023'!$H$2=BZ157),'2023DATA'!$G$10,"")</f>
        <v/>
      </c>
      <c r="CA165" s="518" t="str">
        <f>IF(AND(_AC5="A-330-200",'2023'!$H$4="FO",'2023'!$H$2=CA157),'2023DATA'!$H$10,"")</f>
        <v/>
      </c>
      <c r="CB165" s="518" t="str">
        <f>IF(AND(_AC5="A-330-200",'2023'!$H$4="FO",'2023'!$H$2=CB157),'2023DATA'!$I$10,"")</f>
        <v/>
      </c>
      <c r="CC165" s="518" t="str">
        <f>IF(AND(_AC5="A-330-200",'2023'!$H$4="FO",'2023'!$H$2=CC157),'2023DATA'!$J$10,"")</f>
        <v/>
      </c>
      <c r="CD165" s="518" t="str">
        <f>IF(AND(_AC5="A-330-200",'2023'!$H$4="FO",'2023'!$H$2=CD157),'2023DATA'!$K$10,"")</f>
        <v/>
      </c>
      <c r="CE165" s="518" t="str">
        <f>IF(AND(_AC5="A-330-200",'2023'!$H$4="FO",'2023'!$H$2=CE157),'2023DATA'!$L$10,"")</f>
        <v/>
      </c>
      <c r="CF165" s="518" t="str">
        <f>IF(AND(_AC5="A-330-200",'2023'!$H$4="FO",'2023'!$H$2=CF157),'2023DATA'!$M$10,"")</f>
        <v/>
      </c>
      <c r="CG165" s="520" t="str">
        <f>IF(AND(_AC5="A-330-200",'2023'!$H$4="FO",'2023'!$H$2=CG157),'2023DATA'!$N$10,"")</f>
        <v/>
      </c>
      <c r="CH165" s="940"/>
      <c r="CI165" s="13" t="s">
        <v>62</v>
      </c>
      <c r="CJ165" s="518" t="str">
        <f>IF(AND(_AC6="A-330-200",'2023'!$H$4="FO",'2023'!$H$2=CJ157),'2023DATA'!$C$10,"")</f>
        <v/>
      </c>
      <c r="CK165" s="518" t="str">
        <f>IF(AND(_AC6="A-330-200",'2023'!$H$4="FO",'2023'!$H$2=CK157),'2023DATA'!$D$10,"")</f>
        <v/>
      </c>
      <c r="CL165" s="518" t="str">
        <f>IF(AND(_AC6="A-330-200",'2023'!$H$4="FO",'2023'!$H$2=CL157),'2023DATA'!$E$10,"")</f>
        <v/>
      </c>
      <c r="CM165" s="518" t="str">
        <f>IF(AND(_AC6="A-330-200",'2023'!$H$4="FO",'2023'!$H$2=CM157),'2023DATA'!$F$10,"")</f>
        <v/>
      </c>
      <c r="CN165" s="518" t="str">
        <f>IF(AND(_AC6="A-330-200",'2023'!$H$4="FO",'2023'!$H$2=CN157),'2023DATA'!$G$10,"")</f>
        <v/>
      </c>
      <c r="CO165" s="518" t="str">
        <f>IF(AND(_AC6="A-330-200",'2023'!$H$4="FO",'2023'!$H$2=CO157),'2023DATA'!$H$10,"")</f>
        <v/>
      </c>
      <c r="CP165" s="518" t="str">
        <f>IF(AND(_AC6="A-330-200",'2023'!$H$4="FO",'2023'!$H$2=CP157),'2023DATA'!$I$10,"")</f>
        <v/>
      </c>
      <c r="CQ165" s="518" t="str">
        <f>IF(AND(_AC6="A-330-200",'2023'!$H$4="FO",'2023'!$H$2=CQ157),'2023DATA'!$J$10,"")</f>
        <v/>
      </c>
      <c r="CR165" s="518" t="str">
        <f>IF(AND(_AC6="A-330-200",'2023'!$H$4="FO",'2023'!$H$2=CR157),'2023DATA'!$K$10,"")</f>
        <v/>
      </c>
      <c r="CS165" s="518" t="str">
        <f>IF(AND(_AC6="A-330-200",'2023'!$H$4="FO",'2023'!$H$2=CS157),'2023DATA'!$L$10,"")</f>
        <v/>
      </c>
      <c r="CT165" s="518" t="str">
        <f>IF(AND(_AC6="A-330-200",'2023'!$H$4="FO",'2023'!$H$2=CT157),'2023DATA'!$M$10,"")</f>
        <v/>
      </c>
      <c r="CU165" s="520" t="str">
        <f>IF(AND(_AC6="A-330-200",'2023'!$H$4="FO",'2023'!$H$2=CU157),'2023DATA'!$N$10,"")</f>
        <v/>
      </c>
    </row>
    <row r="166" spans="16:99" x14ac:dyDescent="0.25">
      <c r="P166" s="940" t="s">
        <v>42</v>
      </c>
      <c r="Q166" s="13" t="s">
        <v>61</v>
      </c>
      <c r="R166" s="518" t="str">
        <f>IF(AND(_AC1="B-767-400ER",'2023'!$H$4="CA",'2023'!$H$2=R157),'2023DATA'!$C$11,"")</f>
        <v/>
      </c>
      <c r="S166" s="518" t="str">
        <f>IF(AND(_AC1="B-767-400ER",'2023'!$H$4="CA",'2023'!$H$2=S157),'2023DATA'!$D$11,"")</f>
        <v/>
      </c>
      <c r="T166" s="518" t="str">
        <f>IF(AND(_AC1="B-767-400ER",'2023'!$H$4="CA",'2023'!$H$2=T157),'2023DATA'!$E$11,"")</f>
        <v/>
      </c>
      <c r="U166" s="518" t="str">
        <f>IF(AND(_AC1="B-767-400ER",'2023'!$H$4="CA",'2023'!$H$2=U157),'2023DATA'!$F$11,"")</f>
        <v/>
      </c>
      <c r="V166" s="518" t="str">
        <f>IF(AND(_AC1="B-767-400ER",'2023'!$H$4="CA",'2023'!$H$2=V157),'2023DATA'!$G$11,"")</f>
        <v/>
      </c>
      <c r="W166" s="518" t="str">
        <f>IF(AND(_AC1="B-767-400ER",'2023'!$H$4="CA",'2023'!$H$2=W157),'2023DATA'!$H$11,"")</f>
        <v/>
      </c>
      <c r="X166" s="518" t="str">
        <f>IF(AND(_AC1="B-767-400ER",'2023'!$H$4="CA",'2023'!$H$2=X157),'2023DATA'!$I$11,"")</f>
        <v/>
      </c>
      <c r="Y166" s="518" t="str">
        <f>IF(AND(_AC1="B-767-400ER",'2023'!$H$4="CA",'2023'!$H$2=Y157),'2023DATA'!$J$11,"")</f>
        <v/>
      </c>
      <c r="Z166" s="518" t="str">
        <f>IF(AND(_AC1="B-767-400ER",'2023'!$H$4="CA",'2023'!$H$2=Z157),'2023DATA'!$K$11,"")</f>
        <v/>
      </c>
      <c r="AA166" s="518" t="str">
        <f>IF(AND(_AC1="B-767-400ER",'2023'!$H$4="CA",'2023'!$H$2=AA157),'2023DATA'!$L$11,"")</f>
        <v/>
      </c>
      <c r="AB166" s="518" t="str">
        <f>IF(AND(_AC1="B-767-400ER",'2023'!$H$4="CA",'2023'!$H$2=AB157),'2023DATA'!$M$11,"")</f>
        <v/>
      </c>
      <c r="AC166" s="520" t="str">
        <f>IF(AND(_AC1="B-767-400ER",'2023'!$H$4="CA",'2023'!$H$2=AC157),'2023DATA'!$N$11,"")</f>
        <v/>
      </c>
      <c r="AD166" s="940" t="s">
        <v>42</v>
      </c>
      <c r="AE166" s="13" t="s">
        <v>61</v>
      </c>
      <c r="AF166" s="518" t="str">
        <f>IF(AND(_AC2="B-767-400ER",'2023'!$H$4="CA",'2023'!$H$2=AF157),'2023DATA'!$C$11,"")</f>
        <v/>
      </c>
      <c r="AG166" s="518" t="str">
        <f>IF(AND(_AC2="B-767-400ER",'2023'!$H$4="CA",'2023'!$H$2=AG157),'2023DATA'!$D$11,"")</f>
        <v/>
      </c>
      <c r="AH166" s="518" t="str">
        <f>IF(AND(_AC2="B-767-400ER",'2023'!$H$4="CA",'2023'!$H$2=AH157),'2023DATA'!$E$11,"")</f>
        <v/>
      </c>
      <c r="AI166" s="518" t="str">
        <f>IF(AND(_AC2="B-767-400ER",'2023'!$H$4="CA",'2023'!$H$2=AI157),'2023DATA'!$F$11,"")</f>
        <v/>
      </c>
      <c r="AJ166" s="518" t="str">
        <f>IF(AND(_AC2="B-767-400ER",'2023'!$H$4="CA",'2023'!$H$2=AJ157),'2023DATA'!$G$11,"")</f>
        <v/>
      </c>
      <c r="AK166" s="518" t="str">
        <f>IF(AND(_AC2="B-767-400ER",'2023'!$H$4="CA",'2023'!$H$2=AK157),'2023DATA'!$H$11,"")</f>
        <v/>
      </c>
      <c r="AL166" s="518" t="str">
        <f>IF(AND(_AC2="B-767-400ER",'2023'!$H$4="CA",'2023'!$H$2=AL157),'2023DATA'!$I$11,"")</f>
        <v/>
      </c>
      <c r="AM166" s="518" t="str">
        <f>IF(AND(_AC2="B-767-400ER",'2023'!$H$4="CA",'2023'!$H$2=AM157),'2023DATA'!$J$11,"")</f>
        <v/>
      </c>
      <c r="AN166" s="518" t="str">
        <f>IF(AND(_AC2="B-767-400ER",'2023'!$H$4="CA",'2023'!$H$2=AN157),'2023DATA'!$K$11,"")</f>
        <v/>
      </c>
      <c r="AO166" s="518" t="str">
        <f>IF(AND(_AC2="B-767-400ER",'2023'!$H$4="CA",'2023'!$H$2=AO157),'2023DATA'!$L$11,"")</f>
        <v/>
      </c>
      <c r="AP166" s="518" t="str">
        <f>IF(AND(_AC2="B-767-400ER",'2023'!$H$4="CA",'2023'!$H$2=AP157),'2023DATA'!$M$11,"")</f>
        <v/>
      </c>
      <c r="AQ166" s="520" t="str">
        <f>IF(AND(_AC2="B-767-400ER",'2023'!$H$4="CA",'2023'!$H$2=AQ157),'2023DATA'!$N$11,"")</f>
        <v/>
      </c>
      <c r="AR166" s="940" t="s">
        <v>42</v>
      </c>
      <c r="AS166" s="13" t="s">
        <v>61</v>
      </c>
      <c r="AT166" s="518" t="str">
        <f>IF(AND(_AC3="B-767-400ER",'2023'!$H$4="CA",'2023'!$H$2=AT157),'2023DATA'!$C$11,"")</f>
        <v/>
      </c>
      <c r="AU166" s="518" t="str">
        <f>IF(AND(_AC3="B-767-400ER",'2023'!$H$4="CA",'2023'!$H$2=AU157),'2023DATA'!$D$11,"")</f>
        <v/>
      </c>
      <c r="AV166" s="518" t="str">
        <f>IF(AND(_AC3="B-767-400ER",'2023'!$H$4="CA",'2023'!$H$2=AV157),'2023DATA'!$E$11,"")</f>
        <v/>
      </c>
      <c r="AW166" s="518" t="str">
        <f>IF(AND(_AC3="B-767-400ER",'2023'!$H$4="CA",'2023'!$H$2=AW157),'2023DATA'!$F$11,"")</f>
        <v/>
      </c>
      <c r="AX166" s="518" t="str">
        <f>IF(AND(_AC3="B-767-400ER",'2023'!$H$4="CA",'2023'!$H$2=AX157),'2023DATA'!$G$11,"")</f>
        <v/>
      </c>
      <c r="AY166" s="518" t="str">
        <f>IF(AND(_AC3="B-767-400ER",'2023'!$H$4="CA",'2023'!$H$2=AY157),'2023DATA'!$H$11,"")</f>
        <v/>
      </c>
      <c r="AZ166" s="518" t="str">
        <f>IF(AND(_AC3="B-767-400ER",'2023'!$H$4="CA",'2023'!$H$2=AZ157),'2023DATA'!$I$11,"")</f>
        <v/>
      </c>
      <c r="BA166" s="518" t="str">
        <f>IF(AND(_AC3="B-767-400ER",'2023'!$H$4="CA",'2023'!$H$2=BA157),'2023DATA'!$J$11,"")</f>
        <v/>
      </c>
      <c r="BB166" s="518" t="str">
        <f>IF(AND(_AC3="B-767-400ER",'2023'!$H$4="CA",'2023'!$H$2=BB157),'2023DATA'!$K$11,"")</f>
        <v/>
      </c>
      <c r="BC166" s="518" t="str">
        <f>IF(AND(_AC3="B-767-400ER",'2023'!$H$4="CA",'2023'!$H$2=BC157),'2023DATA'!$L$11,"")</f>
        <v/>
      </c>
      <c r="BD166" s="518" t="str">
        <f>IF(AND(_AC3="B-767-400ER",'2023'!$H$4="CA",'2023'!$H$2=BD157),'2023DATA'!$M$11,"")</f>
        <v/>
      </c>
      <c r="BE166" s="520" t="str">
        <f>IF(AND(_AC3="B-767-400ER",'2023'!$H$4="CA",'2023'!$H$2=BE157),'2023DATA'!$N$11,"")</f>
        <v/>
      </c>
      <c r="BF166" s="940" t="s">
        <v>42</v>
      </c>
      <c r="BG166" s="13" t="s">
        <v>61</v>
      </c>
      <c r="BH166" s="518" t="str">
        <f>IF(AND(_AC4="B-767-400ER",'2023'!$H$4="CA",'2023'!$H$2=BH157),'2023DATA'!$C$11,"")</f>
        <v/>
      </c>
      <c r="BI166" s="518" t="str">
        <f>IF(AND(_AC4="B-767-400ER",'2023'!$H$4="CA",'2023'!$H$2=BI157),'2023DATA'!$D$11,"")</f>
        <v/>
      </c>
      <c r="BJ166" s="518" t="str">
        <f>IF(AND(_AC4="B-767-400ER",'2023'!$H$4="CA",'2023'!$H$2=BJ157),'2023DATA'!$E$11,"")</f>
        <v/>
      </c>
      <c r="BK166" s="518" t="str">
        <f>IF(AND(_AC4="B-767-400ER",'2023'!$H$4="CA",'2023'!$H$2=BK157),'2023DATA'!$F$11,"")</f>
        <v/>
      </c>
      <c r="BL166" s="518" t="str">
        <f>IF(AND(_AC4="B-767-400ER",'2023'!$H$4="CA",'2023'!$H$2=BL157),'2023DATA'!$G$11,"")</f>
        <v/>
      </c>
      <c r="BM166" s="518" t="str">
        <f>IF(AND(_AC4="B-767-400ER",'2023'!$H$4="CA",'2023'!$H$2=BM157),'2023DATA'!$H$11,"")</f>
        <v/>
      </c>
      <c r="BN166" s="518" t="str">
        <f>IF(AND(_AC4="B-767-400ER",'2023'!$H$4="CA",'2023'!$H$2=BN157),'2023DATA'!$I$11,"")</f>
        <v/>
      </c>
      <c r="BO166" s="518" t="str">
        <f>IF(AND(_AC4="B-767-400ER",'2023'!$H$4="CA",'2023'!$H$2=BO157),'2023DATA'!$J$11,"")</f>
        <v/>
      </c>
      <c r="BP166" s="518" t="str">
        <f>IF(AND(_AC4="B-767-400ER",'2023'!$H$4="CA",'2023'!$H$2=BP157),'2023DATA'!$K$11,"")</f>
        <v/>
      </c>
      <c r="BQ166" s="518" t="str">
        <f>IF(AND(_AC4="B-767-400ER",'2023'!$H$4="CA",'2023'!$H$2=BQ157),'2023DATA'!$L$11,"")</f>
        <v/>
      </c>
      <c r="BR166" s="518" t="str">
        <f>IF(AND(_AC4="B-767-400ER",'2023'!$H$4="CA",'2023'!$H$2=BR157),'2023DATA'!$M$11,"")</f>
        <v/>
      </c>
      <c r="BS166" s="520" t="str">
        <f>IF(AND(_AC4="B-767-400ER",'2023'!$H$4="CA",'2023'!$H$2=BS157),'2023DATA'!$N$11,"")</f>
        <v/>
      </c>
      <c r="BT166" s="940" t="s">
        <v>42</v>
      </c>
      <c r="BU166" s="13" t="s">
        <v>61</v>
      </c>
      <c r="BV166" s="518" t="str">
        <f>IF(AND(_AC5="B-767-400ER",'2023'!$H$4="CA",'2023'!$H$2=BV157),'2023DATA'!$C$11,"")</f>
        <v/>
      </c>
      <c r="BW166" s="518" t="str">
        <f>IF(AND(_AC5="B-767-400ER",'2023'!$H$4="CA",'2023'!$H$2=BW157),'2023DATA'!$D$11,"")</f>
        <v/>
      </c>
      <c r="BX166" s="518" t="str">
        <f>IF(AND(_AC5="B-767-400ER",'2023'!$H$4="CA",'2023'!$H$2=BX157),'2023DATA'!$E$11,"")</f>
        <v/>
      </c>
      <c r="BY166" s="518" t="str">
        <f>IF(AND(_AC5="B-767-400ER",'2023'!$H$4="CA",'2023'!$H$2=BY157),'2023DATA'!$F$11,"")</f>
        <v/>
      </c>
      <c r="BZ166" s="518" t="str">
        <f>IF(AND(_AC5="B-767-400ER",'2023'!$H$4="CA",'2023'!$H$2=BZ157),'2023DATA'!$G$11,"")</f>
        <v/>
      </c>
      <c r="CA166" s="518" t="str">
        <f>IF(AND(_AC5="B-767-400ER",'2023'!$H$4="CA",'2023'!$H$2=CA157),'2023DATA'!$H$11,"")</f>
        <v/>
      </c>
      <c r="CB166" s="518" t="str">
        <f>IF(AND(_AC5="B-767-400ER",'2023'!$H$4="CA",'2023'!$H$2=CB157),'2023DATA'!$I$11,"")</f>
        <v/>
      </c>
      <c r="CC166" s="518" t="str">
        <f>IF(AND(_AC5="B-767-400ER",'2023'!$H$4="CA",'2023'!$H$2=CC157),'2023DATA'!$J$11,"")</f>
        <v/>
      </c>
      <c r="CD166" s="518" t="str">
        <f>IF(AND(_AC5="B-767-400ER",'2023'!$H$4="CA",'2023'!$H$2=CD157),'2023DATA'!$K$11,"")</f>
        <v/>
      </c>
      <c r="CE166" s="518" t="str">
        <f>IF(AND(_AC5="B-767-400ER",'2023'!$H$4="CA",'2023'!$H$2=CE157),'2023DATA'!$L$11,"")</f>
        <v/>
      </c>
      <c r="CF166" s="518" t="str">
        <f>IF(AND(_AC5="B-767-400ER",'2023'!$H$4="CA",'2023'!$H$2=CF157),'2023DATA'!$M$11,"")</f>
        <v/>
      </c>
      <c r="CG166" s="520" t="str">
        <f>IF(AND(_AC5="B-767-400ER",'2023'!$H$4="CA",'2023'!$H$2=CG157),'2023DATA'!$N$11,"")</f>
        <v/>
      </c>
      <c r="CH166" s="940" t="s">
        <v>42</v>
      </c>
      <c r="CI166" s="13" t="s">
        <v>61</v>
      </c>
      <c r="CJ166" s="518" t="str">
        <f>IF(AND(_AC6="B-767-400ER",'2023'!$H$4="CA",'2023'!$H$2=CJ157),'2023DATA'!$C$11,"")</f>
        <v/>
      </c>
      <c r="CK166" s="518" t="str">
        <f>IF(AND(_AC6="B-767-400ER",'2023'!$H$4="CA",'2023'!$H$2=CK157),'2023DATA'!$D$11,"")</f>
        <v/>
      </c>
      <c r="CL166" s="518" t="str">
        <f>IF(AND(_AC6="B-767-400ER",'2023'!$H$4="CA",'2023'!$H$2=CL157),'2023DATA'!$E$11,"")</f>
        <v/>
      </c>
      <c r="CM166" s="518" t="str">
        <f>IF(AND(_AC6="B-767-400ER",'2023'!$H$4="CA",'2023'!$H$2=CM157),'2023DATA'!$F$11,"")</f>
        <v/>
      </c>
      <c r="CN166" s="518" t="str">
        <f>IF(AND(_AC6="B-767-400ER",'2023'!$H$4="CA",'2023'!$H$2=CN157),'2023DATA'!$G$11,"")</f>
        <v/>
      </c>
      <c r="CO166" s="518" t="str">
        <f>IF(AND(_AC6="B-767-400ER",'2023'!$H$4="CA",'2023'!$H$2=CO157),'2023DATA'!$H$11,"")</f>
        <v/>
      </c>
      <c r="CP166" s="518" t="str">
        <f>IF(AND(_AC6="B-767-400ER",'2023'!$H$4="CA",'2023'!$H$2=CP157),'2023DATA'!$I$11,"")</f>
        <v/>
      </c>
      <c r="CQ166" s="518" t="str">
        <f>IF(AND(_AC6="B-767-400ER",'2023'!$H$4="CA",'2023'!$H$2=CQ157),'2023DATA'!$J$11,"")</f>
        <v/>
      </c>
      <c r="CR166" s="518" t="str">
        <f>IF(AND(_AC6="B-767-400ER",'2023'!$H$4="CA",'2023'!$H$2=CR157),'2023DATA'!$K$11,"")</f>
        <v/>
      </c>
      <c r="CS166" s="518" t="str">
        <f>IF(AND(_AC6="B-767-400ER",'2023'!$H$4="CA",'2023'!$H$2=CS157),'2023DATA'!$L$11,"")</f>
        <v/>
      </c>
      <c r="CT166" s="518" t="str">
        <f>IF(AND(_AC6="B-767-400ER",'2023'!$H$4="CA",'2023'!$H$2=CT157),'2023DATA'!$M$11,"")</f>
        <v/>
      </c>
      <c r="CU166" s="520" t="str">
        <f>IF(AND(_AC6="B-767-400ER",'2023'!$H$4="CA",'2023'!$H$2=CU157),'2023DATA'!$N$11,"")</f>
        <v/>
      </c>
    </row>
    <row r="167" spans="16:99" x14ac:dyDescent="0.25">
      <c r="P167" s="940"/>
      <c r="Q167" s="13" t="s">
        <v>62</v>
      </c>
      <c r="R167" s="518" t="str">
        <f>IF(AND(_AC1="B-767-400ER",'2023'!$H$4="FO",'2023'!$H$2=R157),'2023DATA'!$C$12,"")</f>
        <v/>
      </c>
      <c r="S167" s="518" t="str">
        <f>IF(AND(_AC1="B-767-400ER",'2023'!$H$4="FO",'2023'!$H$2=S157),'2023DATA'!$D$12,"")</f>
        <v/>
      </c>
      <c r="T167" s="518" t="str">
        <f>IF(AND(_AC1="B-767-400ER",'2023'!$H$4="FO",'2023'!$H$2=T157),'2023DATA'!$E$12,"")</f>
        <v/>
      </c>
      <c r="U167" s="518" t="str">
        <f>IF(AND(_AC1="B-767-400ER",'2023'!$H$4="FO",'2023'!$H$2=U157),'2023DATA'!$F$12,"")</f>
        <v/>
      </c>
      <c r="V167" s="518" t="str">
        <f>IF(AND(_AC1="B-767-400ER",'2023'!$H$4="FO",'2023'!$H$2=V157),'2023DATA'!$G$12,"")</f>
        <v/>
      </c>
      <c r="W167" s="518" t="str">
        <f>IF(AND(_AC1="B-767-400ER",'2023'!$H$4="FO",'2023'!$H$2=W157),'2023DATA'!$H$12,"")</f>
        <v/>
      </c>
      <c r="X167" s="518" t="str">
        <f>IF(AND(_AC1="B-767-400ER",'2023'!$H$4="FO",'2023'!$H$2=X157),'2023DATA'!$I$12,"")</f>
        <v/>
      </c>
      <c r="Y167" s="518" t="str">
        <f>IF(AND(_AC1="B-767-400ER",'2023'!$H$4="FO",'2023'!$H$2=Y157),'2023DATA'!$J$12,"")</f>
        <v/>
      </c>
      <c r="Z167" s="518" t="str">
        <f>IF(AND(_AC1="B-767-400ER",'2023'!$H$4="FO",'2023'!$H$2=Z157),'2023DATA'!$K$12,"")</f>
        <v/>
      </c>
      <c r="AA167" s="518" t="str">
        <f>IF(AND(_AC1="B-767-400ER",'2023'!$H$4="FO",'2023'!$H$2=AA157),'2023DATA'!$L$12,"")</f>
        <v/>
      </c>
      <c r="AB167" s="518" t="str">
        <f>IF(AND(_AC1="B-767-400ER",'2023'!$H$4="FO",'2023'!$H$2=AB157),'2023DATA'!$M$12,"")</f>
        <v/>
      </c>
      <c r="AC167" s="520" t="str">
        <f>IF(AND(_AC1="B-767-400ER",'2023'!$H$4="FO",'2023'!$H$2=AC157),'2023DATA'!$N$12,"")</f>
        <v/>
      </c>
      <c r="AD167" s="940"/>
      <c r="AE167" s="13" t="s">
        <v>62</v>
      </c>
      <c r="AF167" s="518" t="str">
        <f>IF(AND(_AC2="B-767-400ER",'2023'!$H$4="FO",'2023'!$H$2=AF157),'2023DATA'!$C$12,"")</f>
        <v/>
      </c>
      <c r="AG167" s="518" t="str">
        <f>IF(AND(_AC2="B-767-400ER",'2023'!$H$4="FO",'2023'!$H$2=AG157),'2023DATA'!$D$12,"")</f>
        <v/>
      </c>
      <c r="AH167" s="518" t="str">
        <f>IF(AND(_AC2="B-767-400ER",'2023'!$H$4="FO",'2023'!$H$2=AH157),'2023DATA'!$E$12,"")</f>
        <v/>
      </c>
      <c r="AI167" s="518" t="str">
        <f>IF(AND(_AC2="B-767-400ER",'2023'!$H$4="FO",'2023'!$H$2=AI157),'2023DATA'!$F$12,"")</f>
        <v/>
      </c>
      <c r="AJ167" s="518" t="str">
        <f>IF(AND(_AC2="B-767-400ER",'2023'!$H$4="FO",'2023'!$H$2=AJ157),'2023DATA'!$G$12,"")</f>
        <v/>
      </c>
      <c r="AK167" s="518" t="str">
        <f>IF(AND(_AC2="B-767-400ER",'2023'!$H$4="FO",'2023'!$H$2=AK157),'2023DATA'!$H$12,"")</f>
        <v/>
      </c>
      <c r="AL167" s="518" t="str">
        <f>IF(AND(_AC2="B-767-400ER",'2023'!$H$4="FO",'2023'!$H$2=AL157),'2023DATA'!$I$12,"")</f>
        <v/>
      </c>
      <c r="AM167" s="518" t="str">
        <f>IF(AND(_AC2="B-767-400ER",'2023'!$H$4="FO",'2023'!$H$2=AM157),'2023DATA'!$J$12,"")</f>
        <v/>
      </c>
      <c r="AN167" s="518" t="str">
        <f>IF(AND(_AC2="B-767-400ER",'2023'!$H$4="FO",'2023'!$H$2=AN157),'2023DATA'!$K$12,"")</f>
        <v/>
      </c>
      <c r="AO167" s="518" t="str">
        <f>IF(AND(_AC2="B-767-400ER",'2023'!$H$4="FO",'2023'!$H$2=AO157),'2023DATA'!$L$12,"")</f>
        <v/>
      </c>
      <c r="AP167" s="518" t="str">
        <f>IF(AND(_AC2="B-767-400ER",'2023'!$H$4="FO",'2023'!$H$2=AP157),'2023DATA'!$M$12,"")</f>
        <v/>
      </c>
      <c r="AQ167" s="520" t="str">
        <f>IF(AND(_AC2="B-767-400ER",'2023'!$H$4="FO",'2023'!$H$2=AQ157),'2023DATA'!$N$12,"")</f>
        <v/>
      </c>
      <c r="AR167" s="940"/>
      <c r="AS167" s="13" t="s">
        <v>62</v>
      </c>
      <c r="AT167" s="518" t="str">
        <f>IF(AND(_AC3="B-767-400ER",'2023'!$H$4="FO",'2023'!$H$2=AT157),'2023DATA'!$C$12,"")</f>
        <v/>
      </c>
      <c r="AU167" s="518" t="str">
        <f>IF(AND(_AC3="B-767-400ER",'2023'!$H$4="FO",'2023'!$H$2=AU157),'2023DATA'!$D$12,"")</f>
        <v/>
      </c>
      <c r="AV167" s="518" t="str">
        <f>IF(AND(_AC3="B-767-400ER",'2023'!$H$4="FO",'2023'!$H$2=AV157),'2023DATA'!$E$12,"")</f>
        <v/>
      </c>
      <c r="AW167" s="518" t="str">
        <f>IF(AND(_AC3="B-767-400ER",'2023'!$H$4="FO",'2023'!$H$2=AW157),'2023DATA'!$F$12,"")</f>
        <v/>
      </c>
      <c r="AX167" s="518" t="str">
        <f>IF(AND(_AC3="B-767-400ER",'2023'!$H$4="FO",'2023'!$H$2=AX157),'2023DATA'!$G$12,"")</f>
        <v/>
      </c>
      <c r="AY167" s="518" t="str">
        <f>IF(AND(_AC3="B-767-400ER",'2023'!$H$4="FO",'2023'!$H$2=AY157),'2023DATA'!$H$12,"")</f>
        <v/>
      </c>
      <c r="AZ167" s="518" t="str">
        <f>IF(AND(_AC3="B-767-400ER",'2023'!$H$4="FO",'2023'!$H$2=AZ157),'2023DATA'!$I$12,"")</f>
        <v/>
      </c>
      <c r="BA167" s="518" t="str">
        <f>IF(AND(_AC3="B-767-400ER",'2023'!$H$4="FO",'2023'!$H$2=BA157),'2023DATA'!$J$12,"")</f>
        <v/>
      </c>
      <c r="BB167" s="518" t="str">
        <f>IF(AND(_AC3="B-767-400ER",'2023'!$H$4="FO",'2023'!$H$2=BB157),'2023DATA'!$K$12,"")</f>
        <v/>
      </c>
      <c r="BC167" s="518" t="str">
        <f>IF(AND(_AC3="B-767-400ER",'2023'!$H$4="FO",'2023'!$H$2=BC157),'2023DATA'!$L$12,"")</f>
        <v/>
      </c>
      <c r="BD167" s="518" t="str">
        <f>IF(AND(_AC3="B-767-400ER",'2023'!$H$4="FO",'2023'!$H$2=BD157),'2023DATA'!$M$12,"")</f>
        <v/>
      </c>
      <c r="BE167" s="520" t="str">
        <f>IF(AND(_AC3="B-767-400ER",'2023'!$H$4="FO",'2023'!$H$2=BE157),'2023DATA'!$N$12,"")</f>
        <v/>
      </c>
      <c r="BF167" s="940"/>
      <c r="BG167" s="13" t="s">
        <v>62</v>
      </c>
      <c r="BH167" s="518" t="str">
        <f>IF(AND(_AC4="B-767-400ER",'2023'!$H$4="FO",'2023'!$H$2=BH157),'2023DATA'!$C$12,"")</f>
        <v/>
      </c>
      <c r="BI167" s="518" t="str">
        <f>IF(AND(_AC4="B-767-400ER",'2023'!$H$4="FO",'2023'!$H$2=BI157),'2023DATA'!$D$12,"")</f>
        <v/>
      </c>
      <c r="BJ167" s="518" t="str">
        <f>IF(AND(_AC4="B-767-400ER",'2023'!$H$4="FO",'2023'!$H$2=BJ157),'2023DATA'!$E$12,"")</f>
        <v/>
      </c>
      <c r="BK167" s="518" t="str">
        <f>IF(AND(_AC4="B-767-400ER",'2023'!$H$4="FO",'2023'!$H$2=BK157),'2023DATA'!$F$12,"")</f>
        <v/>
      </c>
      <c r="BL167" s="518" t="str">
        <f>IF(AND(_AC4="B-767-400ER",'2023'!$H$4="FO",'2023'!$H$2=BL157),'2023DATA'!$G$12,"")</f>
        <v/>
      </c>
      <c r="BM167" s="518" t="str">
        <f>IF(AND(_AC4="B-767-400ER",'2023'!$H$4="FO",'2023'!$H$2=BM157),'2023DATA'!$H$12,"")</f>
        <v/>
      </c>
      <c r="BN167" s="518" t="str">
        <f>IF(AND(_AC4="B-767-400ER",'2023'!$H$4="FO",'2023'!$H$2=BN157),'2023DATA'!$I$12,"")</f>
        <v/>
      </c>
      <c r="BO167" s="518" t="str">
        <f>IF(AND(_AC4="B-767-400ER",'2023'!$H$4="FO",'2023'!$H$2=BO157),'2023DATA'!$J$12,"")</f>
        <v/>
      </c>
      <c r="BP167" s="518" t="str">
        <f>IF(AND(_AC4="B-767-400ER",'2023'!$H$4="FO",'2023'!$H$2=BP157),'2023DATA'!$K$12,"")</f>
        <v/>
      </c>
      <c r="BQ167" s="518" t="str">
        <f>IF(AND(_AC4="B-767-400ER",'2023'!$H$4="FO",'2023'!$H$2=BQ157),'2023DATA'!$L$12,"")</f>
        <v/>
      </c>
      <c r="BR167" s="518" t="str">
        <f>IF(AND(_AC4="B-767-400ER",'2023'!$H$4="FO",'2023'!$H$2=BR157),'2023DATA'!$M$12,"")</f>
        <v/>
      </c>
      <c r="BS167" s="520" t="str">
        <f>IF(AND(_AC4="B-767-400ER",'2023'!$H$4="FO",'2023'!$H$2=BS157),'2023DATA'!$N$12,"")</f>
        <v/>
      </c>
      <c r="BT167" s="940"/>
      <c r="BU167" s="13" t="s">
        <v>62</v>
      </c>
      <c r="BV167" s="518" t="str">
        <f>IF(AND(_AC5="B-767-400ER",'2023'!$H$4="FO",'2023'!$H$2=BV157),'2023DATA'!$C$12,"")</f>
        <v/>
      </c>
      <c r="BW167" s="518" t="str">
        <f>IF(AND(_AC5="B-767-400ER",'2023'!$H$4="FO",'2023'!$H$2=BW157),'2023DATA'!$D$12,"")</f>
        <v/>
      </c>
      <c r="BX167" s="518" t="str">
        <f>IF(AND(_AC5="B-767-400ER",'2023'!$H$4="FO",'2023'!$H$2=BX157),'2023DATA'!$E$12,"")</f>
        <v/>
      </c>
      <c r="BY167" s="518" t="str">
        <f>IF(AND(_AC5="B-767-400ER",'2023'!$H$4="FO",'2023'!$H$2=BY157),'2023DATA'!$F$12,"")</f>
        <v/>
      </c>
      <c r="BZ167" s="518" t="str">
        <f>IF(AND(_AC5="B-767-400ER",'2023'!$H$4="FO",'2023'!$H$2=BZ157),'2023DATA'!$G$12,"")</f>
        <v/>
      </c>
      <c r="CA167" s="518" t="str">
        <f>IF(AND(_AC5="B-767-400ER",'2023'!$H$4="FO",'2023'!$H$2=CA157),'2023DATA'!$H$12,"")</f>
        <v/>
      </c>
      <c r="CB167" s="518" t="str">
        <f>IF(AND(_AC5="B-767-400ER",'2023'!$H$4="FO",'2023'!$H$2=CB157),'2023DATA'!$I$12,"")</f>
        <v/>
      </c>
      <c r="CC167" s="518" t="str">
        <f>IF(AND(_AC5="B-767-400ER",'2023'!$H$4="FO",'2023'!$H$2=CC157),'2023DATA'!$J$12,"")</f>
        <v/>
      </c>
      <c r="CD167" s="518" t="str">
        <f>IF(AND(_AC5="B-767-400ER",'2023'!$H$4="FO",'2023'!$H$2=CD157),'2023DATA'!$K$12,"")</f>
        <v/>
      </c>
      <c r="CE167" s="518" t="str">
        <f>IF(AND(_AC5="B-767-400ER",'2023'!$H$4="FO",'2023'!$H$2=CE157),'2023DATA'!$L$12,"")</f>
        <v/>
      </c>
      <c r="CF167" s="518" t="str">
        <f>IF(AND(_AC5="B-767-400ER",'2023'!$H$4="FO",'2023'!$H$2=CF157),'2023DATA'!$M$12,"")</f>
        <v/>
      </c>
      <c r="CG167" s="520" t="str">
        <f>IF(AND(_AC5="B-767-400ER",'2023'!$H$4="FO",'2023'!$H$2=CG157),'2023DATA'!$N$12,"")</f>
        <v/>
      </c>
      <c r="CH167" s="940"/>
      <c r="CI167" s="13" t="s">
        <v>62</v>
      </c>
      <c r="CJ167" s="518" t="str">
        <f>IF(AND(_AC6="B-767-400ER",'2023'!$H$4="FO",'2023'!$H$2=CJ157),'2023DATA'!$C$12,"")</f>
        <v/>
      </c>
      <c r="CK167" s="518" t="str">
        <f>IF(AND(_AC6="B-767-400ER",'2023'!$H$4="FO",'2023'!$H$2=CK157),'2023DATA'!$D$12,"")</f>
        <v/>
      </c>
      <c r="CL167" s="518" t="str">
        <f>IF(AND(_AC6="B-767-400ER",'2023'!$H$4="FO",'2023'!$H$2=CL157),'2023DATA'!$E$12,"")</f>
        <v/>
      </c>
      <c r="CM167" s="518" t="str">
        <f>IF(AND(_AC6="B-767-400ER",'2023'!$H$4="FO",'2023'!$H$2=CM157),'2023DATA'!$F$12,"")</f>
        <v/>
      </c>
      <c r="CN167" s="518" t="str">
        <f>IF(AND(_AC6="B-767-400ER",'2023'!$H$4="FO",'2023'!$H$2=CN157),'2023DATA'!$G$12,"")</f>
        <v/>
      </c>
      <c r="CO167" s="518" t="str">
        <f>IF(AND(_AC6="B-767-400ER",'2023'!$H$4="FO",'2023'!$H$2=CO157),'2023DATA'!$H$12,"")</f>
        <v/>
      </c>
      <c r="CP167" s="518" t="str">
        <f>IF(AND(_AC6="B-767-400ER",'2023'!$H$4="FO",'2023'!$H$2=CP157),'2023DATA'!$I$12,"")</f>
        <v/>
      </c>
      <c r="CQ167" s="518" t="str">
        <f>IF(AND(_AC6="B-767-400ER",'2023'!$H$4="FO",'2023'!$H$2=CQ157),'2023DATA'!$J$12,"")</f>
        <v/>
      </c>
      <c r="CR167" s="518" t="str">
        <f>IF(AND(_AC6="B-767-400ER",'2023'!$H$4="FO",'2023'!$H$2=CR157),'2023DATA'!$K$12,"")</f>
        <v/>
      </c>
      <c r="CS167" s="518" t="str">
        <f>IF(AND(_AC6="B-767-400ER",'2023'!$H$4="FO",'2023'!$H$2=CS157),'2023DATA'!$L$12,"")</f>
        <v/>
      </c>
      <c r="CT167" s="518" t="str">
        <f>IF(AND(_AC6="B-767-400ER",'2023'!$H$4="FO",'2023'!$H$2=CT157),'2023DATA'!$M$12,"")</f>
        <v/>
      </c>
      <c r="CU167" s="520" t="str">
        <f>IF(AND(_AC6="B-767-400ER",'2023'!$H$4="FO",'2023'!$H$2=CU157),'2023DATA'!$N$12,"")</f>
        <v/>
      </c>
    </row>
    <row r="168" spans="16:99" x14ac:dyDescent="0.25">
      <c r="P168" s="940" t="s">
        <v>43</v>
      </c>
      <c r="Q168" s="13" t="s">
        <v>61</v>
      </c>
      <c r="R168" s="518" t="str">
        <f>IF(AND(_AC1="B-767-300ER",'2023'!$H$4="CA",'2023'!$H$2=R157),'2023DATA'!$C$13,"")</f>
        <v/>
      </c>
      <c r="S168" s="518" t="str">
        <f>IF(AND(_AC1="B-767-300ER",'2023'!$H$4="CA",'2023'!$H$2=S157),'2023DATA'!$D$13,"")</f>
        <v/>
      </c>
      <c r="T168" s="518" t="str">
        <f>IF(AND(_AC1="B-767-300ER",'2023'!$H$4="CA",'2023'!$H$2=T157),'2023DATA'!$E$13,"")</f>
        <v/>
      </c>
      <c r="U168" s="518" t="str">
        <f>IF(AND(_AC1="B-767-300ER",'2023'!$H$4="CA",'2023'!$H$2=U157),'2023DATA'!$F$13,"")</f>
        <v/>
      </c>
      <c r="V168" s="518" t="str">
        <f>IF(AND(_AC1="B-767-300ER",'2023'!$H$4="CA",'2023'!$H$2=V157),'2023DATA'!$G$13,"")</f>
        <v/>
      </c>
      <c r="W168" s="518" t="str">
        <f>IF(AND(_AC1="B-767-300ER",'2023'!$H$4="CA",'2023'!$H$2=W157),'2023DATA'!$H$13,"")</f>
        <v/>
      </c>
      <c r="X168" s="518" t="str">
        <f>IF(AND(_AC1="B-767-300ER",'2023'!$H$4="CA",'2023'!$H$2=X157),'2023DATA'!$I$13,"")</f>
        <v/>
      </c>
      <c r="Y168" s="518" t="str">
        <f>IF(AND(_AC1="B-767-300ER",'2023'!$H$4="CA",'2023'!$H$2=Y157),'2023DATA'!$J$13,"")</f>
        <v/>
      </c>
      <c r="Z168" s="518" t="str">
        <f>IF(AND(_AC1="B-767-300ER",'2023'!$H$4="CA",'2023'!$H$2=Z157),'2023DATA'!$K$13,"")</f>
        <v/>
      </c>
      <c r="AA168" s="518" t="str">
        <f>IF(AND(_AC1="B-767-300ER",'2023'!$H$4="CA",'2023'!$H$2=AA157),'2023DATA'!$L$13,"")</f>
        <v/>
      </c>
      <c r="AB168" s="518" t="str">
        <f>IF(AND(_AC1="B-767-300ER",'2023'!$H$4="CA",'2023'!$H$2=AB157),'2023DATA'!$M$13,"")</f>
        <v/>
      </c>
      <c r="AC168" s="520" t="str">
        <f>IF(AND(_AC1="B-767-300ER",'2023'!$H$4="CA",'2023'!$H$2=AC157),'2023DATA'!$N$13,"")</f>
        <v/>
      </c>
      <c r="AD168" s="940" t="s">
        <v>43</v>
      </c>
      <c r="AE168" s="13" t="s">
        <v>61</v>
      </c>
      <c r="AF168" s="518" t="str">
        <f>IF(AND(_AC2="B-767-300ER",'2023'!$H$4="CA",'2023'!$H$2=AF157),'2023DATA'!$C$13,"")</f>
        <v/>
      </c>
      <c r="AG168" s="518" t="str">
        <f>IF(AND(_AC2="B-767-300ER",'2023'!$H$4="CA",'2023'!$H$2=AG157),'2023DATA'!$D$13,"")</f>
        <v/>
      </c>
      <c r="AH168" s="518" t="str">
        <f>IF(AND(_AC2="B-767-300ER",'2023'!$H$4="CA",'2023'!$H$2=AH157),'2023DATA'!$E$13,"")</f>
        <v/>
      </c>
      <c r="AI168" s="518" t="str">
        <f>IF(AND(_AC2="B-767-300ER",'2023'!$H$4="CA",'2023'!$H$2=AI157),'2023DATA'!$F$13,"")</f>
        <v/>
      </c>
      <c r="AJ168" s="518" t="str">
        <f>IF(AND(_AC2="B-767-300ER",'2023'!$H$4="CA",'2023'!$H$2=AJ157),'2023DATA'!$G$13,"")</f>
        <v/>
      </c>
      <c r="AK168" s="518" t="str">
        <f>IF(AND(_AC2="B-767-300ER",'2023'!$H$4="CA",'2023'!$H$2=AK157),'2023DATA'!$H$13,"")</f>
        <v/>
      </c>
      <c r="AL168" s="518" t="str">
        <f>IF(AND(_AC2="B-767-300ER",'2023'!$H$4="CA",'2023'!$H$2=AL157),'2023DATA'!$I$13,"")</f>
        <v/>
      </c>
      <c r="AM168" s="518" t="str">
        <f>IF(AND(_AC2="B-767-300ER",'2023'!$H$4="CA",'2023'!$H$2=AM157),'2023DATA'!$J$13,"")</f>
        <v/>
      </c>
      <c r="AN168" s="518" t="str">
        <f>IF(AND(_AC2="B-767-300ER",'2023'!$H$4="CA",'2023'!$H$2=AN157),'2023DATA'!$K$13,"")</f>
        <v/>
      </c>
      <c r="AO168" s="518" t="str">
        <f>IF(AND(_AC2="B-767-300ER",'2023'!$H$4="CA",'2023'!$H$2=AO157),'2023DATA'!$L$13,"")</f>
        <v/>
      </c>
      <c r="AP168" s="518" t="str">
        <f>IF(AND(_AC2="B-767-300ER",'2023'!$H$4="CA",'2023'!$H$2=AP157),'2023DATA'!$M$13,"")</f>
        <v/>
      </c>
      <c r="AQ168" s="520" t="str">
        <f>IF(AND(_AC2="B-767-300ER",'2023'!$H$4="CA",'2023'!$H$2=AQ157),'2023DATA'!$N$13,"")</f>
        <v/>
      </c>
      <c r="AR168" s="940" t="s">
        <v>43</v>
      </c>
      <c r="AS168" s="13" t="s">
        <v>61</v>
      </c>
      <c r="AT168" s="518" t="str">
        <f>IF(AND(_AC3="B-767-300ER",'2023'!$H$4="CA",'2023'!$H$2=AT157),'2023DATA'!$C$13,"")</f>
        <v/>
      </c>
      <c r="AU168" s="518" t="str">
        <f>IF(AND(_AC3="B-767-300ER",'2023'!$H$4="CA",'2023'!$H$2=AU157),'2023DATA'!$D$13,"")</f>
        <v/>
      </c>
      <c r="AV168" s="518" t="str">
        <f>IF(AND(_AC3="B-767-300ER",'2023'!$H$4="CA",'2023'!$H$2=AV157),'2023DATA'!$E$13,"")</f>
        <v/>
      </c>
      <c r="AW168" s="518" t="str">
        <f>IF(AND(_AC3="B-767-300ER",'2023'!$H$4="CA",'2023'!$H$2=AW157),'2023DATA'!$F$13,"")</f>
        <v/>
      </c>
      <c r="AX168" s="518" t="str">
        <f>IF(AND(_AC3="B-767-300ER",'2023'!$H$4="CA",'2023'!$H$2=AX157),'2023DATA'!$G$13,"")</f>
        <v/>
      </c>
      <c r="AY168" s="518" t="str">
        <f>IF(AND(_AC3="B-767-300ER",'2023'!$H$4="CA",'2023'!$H$2=AY157),'2023DATA'!$H$13,"")</f>
        <v/>
      </c>
      <c r="AZ168" s="518" t="str">
        <f>IF(AND(_AC3="B-767-300ER",'2023'!$H$4="CA",'2023'!$H$2=AZ157),'2023DATA'!$I$13,"")</f>
        <v/>
      </c>
      <c r="BA168" s="518" t="str">
        <f>IF(AND(_AC3="B-767-300ER",'2023'!$H$4="CA",'2023'!$H$2=BA157),'2023DATA'!$J$13,"")</f>
        <v/>
      </c>
      <c r="BB168" s="518" t="str">
        <f>IF(AND(_AC3="B-767-300ER",'2023'!$H$4="CA",'2023'!$H$2=BB157),'2023DATA'!$K$13,"")</f>
        <v/>
      </c>
      <c r="BC168" s="518" t="str">
        <f>IF(AND(_AC3="B-767-300ER",'2023'!$H$4="CA",'2023'!$H$2=BC157),'2023DATA'!$L$13,"")</f>
        <v/>
      </c>
      <c r="BD168" s="518" t="str">
        <f>IF(AND(_AC3="B-767-300ER",'2023'!$H$4="CA",'2023'!$H$2=BD157),'2023DATA'!$M$13,"")</f>
        <v/>
      </c>
      <c r="BE168" s="520" t="str">
        <f>IF(AND(_AC3="B-767-300ER",'2023'!$H$4="CA",'2023'!$H$2=BE157),'2023DATA'!$N$13,"")</f>
        <v/>
      </c>
      <c r="BF168" s="940" t="s">
        <v>43</v>
      </c>
      <c r="BG168" s="13" t="s">
        <v>61</v>
      </c>
      <c r="BH168" s="518" t="str">
        <f>IF(AND(_AC4="B-767-300ER",'2023'!$H$4="CA",'2023'!$H$2=BH157),'2023DATA'!$C$13,"")</f>
        <v/>
      </c>
      <c r="BI168" s="518" t="str">
        <f>IF(AND(_AC4="B-767-300ER",'2023'!$H$4="CA",'2023'!$H$2=BI157),'2023DATA'!$D$13,"")</f>
        <v/>
      </c>
      <c r="BJ168" s="518" t="str">
        <f>IF(AND(_AC4="B-767-300ER",'2023'!$H$4="CA",'2023'!$H$2=BJ157),'2023DATA'!$E$13,"")</f>
        <v/>
      </c>
      <c r="BK168" s="518" t="str">
        <f>IF(AND(_AC4="B-767-300ER",'2023'!$H$4="CA",'2023'!$H$2=BK157),'2023DATA'!$F$13,"")</f>
        <v/>
      </c>
      <c r="BL168" s="518" t="str">
        <f>IF(AND(_AC4="B-767-300ER",'2023'!$H$4="CA",'2023'!$H$2=BL157),'2023DATA'!$G$13,"")</f>
        <v/>
      </c>
      <c r="BM168" s="518" t="str">
        <f>IF(AND(_AC4="B-767-300ER",'2023'!$H$4="CA",'2023'!$H$2=BM157),'2023DATA'!$H$13,"")</f>
        <v/>
      </c>
      <c r="BN168" s="518" t="str">
        <f>IF(AND(_AC4="B-767-300ER",'2023'!$H$4="CA",'2023'!$H$2=BN157),'2023DATA'!$I$13,"")</f>
        <v/>
      </c>
      <c r="BO168" s="518" t="str">
        <f>IF(AND(_AC4="B-767-300ER",'2023'!$H$4="CA",'2023'!$H$2=BO157),'2023DATA'!$J$13,"")</f>
        <v/>
      </c>
      <c r="BP168" s="518" t="str">
        <f>IF(AND(_AC4="B-767-300ER",'2023'!$H$4="CA",'2023'!$H$2=BP157),'2023DATA'!$K$13,"")</f>
        <v/>
      </c>
      <c r="BQ168" s="518" t="str">
        <f>IF(AND(_AC4="B-767-300ER",'2023'!$H$4="CA",'2023'!$H$2=BQ157),'2023DATA'!$L$13,"")</f>
        <v/>
      </c>
      <c r="BR168" s="518" t="str">
        <f>IF(AND(_AC4="B-767-300ER",'2023'!$H$4="CA",'2023'!$H$2=BR157),'2023DATA'!$M$13,"")</f>
        <v/>
      </c>
      <c r="BS168" s="520" t="str">
        <f>IF(AND(_AC4="B-767-300ER",'2023'!$H$4="CA",'2023'!$H$2=BS157),'2023DATA'!$N$13,"")</f>
        <v/>
      </c>
      <c r="BT168" s="940" t="s">
        <v>43</v>
      </c>
      <c r="BU168" s="13" t="s">
        <v>61</v>
      </c>
      <c r="BV168" s="518" t="str">
        <f>IF(AND(_AC5="B-767-300ER",'2023'!$H$4="CA",'2023'!$H$2=BV157),'2023DATA'!$C$13,"")</f>
        <v/>
      </c>
      <c r="BW168" s="518" t="str">
        <f>IF(AND(_AC5="B-767-300ER",'2023'!$H$4="CA",'2023'!$H$2=BW157),'2023DATA'!$D$13,"")</f>
        <v/>
      </c>
      <c r="BX168" s="518" t="str">
        <f>IF(AND(_AC5="B-767-300ER",'2023'!$H$4="CA",'2023'!$H$2=BX157),'2023DATA'!$E$13,"")</f>
        <v/>
      </c>
      <c r="BY168" s="518" t="str">
        <f>IF(AND(_AC5="B-767-300ER",'2023'!$H$4="CA",'2023'!$H$2=BY157),'2023DATA'!$F$13,"")</f>
        <v/>
      </c>
      <c r="BZ168" s="518" t="str">
        <f>IF(AND(_AC5="B-767-300ER",'2023'!$H$4="CA",'2023'!$H$2=BZ157),'2023DATA'!$G$13,"")</f>
        <v/>
      </c>
      <c r="CA168" s="518" t="str">
        <f>IF(AND(_AC5="B-767-300ER",'2023'!$H$4="CA",'2023'!$H$2=CA157),'2023DATA'!$H$13,"")</f>
        <v/>
      </c>
      <c r="CB168" s="518" t="str">
        <f>IF(AND(_AC5="B-767-300ER",'2023'!$H$4="CA",'2023'!$H$2=CB157),'2023DATA'!$I$13,"")</f>
        <v/>
      </c>
      <c r="CC168" s="518" t="str">
        <f>IF(AND(_AC5="B-767-300ER",'2023'!$H$4="CA",'2023'!$H$2=CC157),'2023DATA'!$J$13,"")</f>
        <v/>
      </c>
      <c r="CD168" s="518" t="str">
        <f>IF(AND(_AC5="B-767-300ER",'2023'!$H$4="CA",'2023'!$H$2=CD157),'2023DATA'!$K$13,"")</f>
        <v/>
      </c>
      <c r="CE168" s="518" t="str">
        <f>IF(AND(_AC5="B-767-300ER",'2023'!$H$4="CA",'2023'!$H$2=CE157),'2023DATA'!$L$13,"")</f>
        <v/>
      </c>
      <c r="CF168" s="518" t="str">
        <f>IF(AND(_AC5="B-767-300ER",'2023'!$H$4="CA",'2023'!$H$2=CF157),'2023DATA'!$M$13,"")</f>
        <v/>
      </c>
      <c r="CG168" s="520" t="str">
        <f>IF(AND(_AC5="B-767-300ER",'2023'!$H$4="CA",'2023'!$H$2=CG157),'2023DATA'!$N$13,"")</f>
        <v/>
      </c>
      <c r="CH168" s="940" t="s">
        <v>43</v>
      </c>
      <c r="CI168" s="13" t="s">
        <v>61</v>
      </c>
      <c r="CJ168" s="518" t="str">
        <f>IF(AND(_AC6="B-767-300ER",'2023'!$H$4="CA",'2023'!$H$2=CJ157),'2023DATA'!$C$13,"")</f>
        <v/>
      </c>
      <c r="CK168" s="518" t="str">
        <f>IF(AND(_AC6="B-767-300ER",'2023'!$H$4="CA",'2023'!$H$2=CK157),'2023DATA'!$D$13,"")</f>
        <v/>
      </c>
      <c r="CL168" s="518" t="str">
        <f>IF(AND(_AC6="B-767-300ER",'2023'!$H$4="CA",'2023'!$H$2=CL157),'2023DATA'!$E$13,"")</f>
        <v/>
      </c>
      <c r="CM168" s="518" t="str">
        <f>IF(AND(_AC6="B-767-300ER",'2023'!$H$4="CA",'2023'!$H$2=CM157),'2023DATA'!$F$13,"")</f>
        <v/>
      </c>
      <c r="CN168" s="518" t="str">
        <f>IF(AND(_AC6="B-767-300ER",'2023'!$H$4="CA",'2023'!$H$2=CN157),'2023DATA'!$G$13,"")</f>
        <v/>
      </c>
      <c r="CO168" s="518" t="str">
        <f>IF(AND(_AC6="B-767-300ER",'2023'!$H$4="CA",'2023'!$H$2=CO157),'2023DATA'!$H$13,"")</f>
        <v/>
      </c>
      <c r="CP168" s="518" t="str">
        <f>IF(AND(_AC6="B-767-300ER",'2023'!$H$4="CA",'2023'!$H$2=CP157),'2023DATA'!$I$13,"")</f>
        <v/>
      </c>
      <c r="CQ168" s="518" t="str">
        <f>IF(AND(_AC6="B-767-300ER",'2023'!$H$4="CA",'2023'!$H$2=CQ157),'2023DATA'!$J$13,"")</f>
        <v/>
      </c>
      <c r="CR168" s="518" t="str">
        <f>IF(AND(_AC6="B-767-300ER",'2023'!$H$4="CA",'2023'!$H$2=CR157),'2023DATA'!$K$13,"")</f>
        <v/>
      </c>
      <c r="CS168" s="518" t="str">
        <f>IF(AND(_AC6="B-767-300ER",'2023'!$H$4="CA",'2023'!$H$2=CS157),'2023DATA'!$L$13,"")</f>
        <v/>
      </c>
      <c r="CT168" s="518" t="str">
        <f>IF(AND(_AC6="B-767-300ER",'2023'!$H$4="CA",'2023'!$H$2=CT157),'2023DATA'!$M$13,"")</f>
        <v/>
      </c>
      <c r="CU168" s="520" t="str">
        <f>IF(AND(_AC6="B-767-300ER",'2023'!$H$4="CA",'2023'!$H$2=CU157),'2023DATA'!$N$13,"")</f>
        <v/>
      </c>
    </row>
    <row r="169" spans="16:99" x14ac:dyDescent="0.25">
      <c r="P169" s="940"/>
      <c r="Q169" s="13" t="s">
        <v>62</v>
      </c>
      <c r="R169" s="518" t="str">
        <f>IF(AND(_AC1="B-767-300ER",'2023'!$H$4="FO",'2023'!$H$2=R157),'2023DATA'!$C$14,"")</f>
        <v/>
      </c>
      <c r="S169" s="518" t="str">
        <f>IF(AND(_AC1="B-767-300ER",'2023'!$H$4="FO",'2023'!$H$2=S157),'2023DATA'!$D$14,"")</f>
        <v/>
      </c>
      <c r="T169" s="518" t="str">
        <f>IF(AND(_AC1="B-767-300ER",'2023'!$H$4="FO",'2023'!$H$2=T157),'2023DATA'!$E$14,"")</f>
        <v/>
      </c>
      <c r="U169" s="518" t="str">
        <f>IF(AND(_AC1="B-767-300ER",'2023'!$H$4="FO",'2023'!$H$2=U157),'2023DATA'!$F$14,"")</f>
        <v/>
      </c>
      <c r="V169" s="518" t="str">
        <f>IF(AND(_AC1="B-767-300ER",'2023'!$H$4="FO",'2023'!$H$2=V157),'2023DATA'!$G$14,"")</f>
        <v/>
      </c>
      <c r="W169" s="518" t="str">
        <f>IF(AND(_AC1="B-767-300ER",'2023'!$H$4="FO",'2023'!$H$2=W157),'2023DATA'!$H$14,"")</f>
        <v/>
      </c>
      <c r="X169" s="518" t="str">
        <f>IF(AND(_AC1="B-767-300ER",'2023'!$H$4="FO",'2023'!$H$2=X157),'2023DATA'!$I$14,"")</f>
        <v/>
      </c>
      <c r="Y169" s="518" t="str">
        <f>IF(AND(_AC1="B-767-300ER",'2023'!$H$4="FO",'2023'!$H$2=Y157),'2023DATA'!$J$14,"")</f>
        <v/>
      </c>
      <c r="Z169" s="518" t="str">
        <f>IF(AND(_AC1="B-767-300ER",'2023'!$H$4="FO",'2023'!$H$2=Z157),'2023DATA'!$K$14,"")</f>
        <v/>
      </c>
      <c r="AA169" s="518" t="str">
        <f>IF(AND(_AC1="B-767-300ER",'2023'!$H$4="FO",'2023'!$H$2=AA157),'2023DATA'!$L$14,"")</f>
        <v/>
      </c>
      <c r="AB169" s="518" t="str">
        <f>IF(AND(_AC1="B-767-300ER",'2023'!$H$4="FO",'2023'!$H$2=AB157),'2023DATA'!$M$14,"")</f>
        <v/>
      </c>
      <c r="AC169" s="520" t="str">
        <f>IF(AND(_AC1="B-767-300ER",'2023'!$H$4="FO",'2023'!$H$2=AC157),'2023DATA'!$N$14,"")</f>
        <v/>
      </c>
      <c r="AD169" s="940"/>
      <c r="AE169" s="13" t="s">
        <v>62</v>
      </c>
      <c r="AF169" s="518" t="str">
        <f>IF(AND(_AC2="B-767-300ER",'2023'!$H$4="FO",'2023'!$H$2=AF157),'2023DATA'!$C$14,"")</f>
        <v/>
      </c>
      <c r="AG169" s="518" t="str">
        <f>IF(AND(_AC2="B-767-300ER",'2023'!$H$4="FO",'2023'!$H$2=AG157),'2023DATA'!$D$14,"")</f>
        <v/>
      </c>
      <c r="AH169" s="518" t="str">
        <f>IF(AND(_AC2="B-767-300ER",'2023'!$H$4="FO",'2023'!$H$2=AH157),'2023DATA'!$E$14,"")</f>
        <v/>
      </c>
      <c r="AI169" s="518" t="str">
        <f>IF(AND(_AC2="B-767-300ER",'2023'!$H$4="FO",'2023'!$H$2=AI157),'2023DATA'!$F$14,"")</f>
        <v/>
      </c>
      <c r="AJ169" s="518" t="str">
        <f>IF(AND(_AC2="B-767-300ER",'2023'!$H$4="FO",'2023'!$H$2=AJ157),'2023DATA'!$G$14,"")</f>
        <v/>
      </c>
      <c r="AK169" s="518" t="str">
        <f>IF(AND(_AC2="B-767-300ER",'2023'!$H$4="FO",'2023'!$H$2=AK157),'2023DATA'!$H$14,"")</f>
        <v/>
      </c>
      <c r="AL169" s="518" t="str">
        <f>IF(AND(_AC2="B-767-300ER",'2023'!$H$4="FO",'2023'!$H$2=AL157),'2023DATA'!$I$14,"")</f>
        <v/>
      </c>
      <c r="AM169" s="518" t="str">
        <f>IF(AND(_AC2="B-767-300ER",'2023'!$H$4="FO",'2023'!$H$2=AM157),'2023DATA'!$J$14,"")</f>
        <v/>
      </c>
      <c r="AN169" s="518" t="str">
        <f>IF(AND(_AC2="B-767-300ER",'2023'!$H$4="FO",'2023'!$H$2=AN157),'2023DATA'!$K$14,"")</f>
        <v/>
      </c>
      <c r="AO169" s="518" t="str">
        <f>IF(AND(_AC2="B-767-300ER",'2023'!$H$4="FO",'2023'!$H$2=AO157),'2023DATA'!$L$14,"")</f>
        <v/>
      </c>
      <c r="AP169" s="518" t="str">
        <f>IF(AND(_AC2="B-767-300ER",'2023'!$H$4="FO",'2023'!$H$2=AP157),'2023DATA'!$M$14,"")</f>
        <v/>
      </c>
      <c r="AQ169" s="520" t="str">
        <f>IF(AND(_AC2="B-767-300ER",'2023'!$H$4="FO",'2023'!$H$2=AQ157),'2023DATA'!$N$14,"")</f>
        <v/>
      </c>
      <c r="AR169" s="940"/>
      <c r="AS169" s="13" t="s">
        <v>62</v>
      </c>
      <c r="AT169" s="518" t="str">
        <f>IF(AND(_AC3="B-767-300ER",'2023'!$H$4="FO",'2023'!$H$2=AT157),'2023DATA'!$C$14,"")</f>
        <v/>
      </c>
      <c r="AU169" s="518" t="str">
        <f>IF(AND(_AC3="B-767-300ER",'2023'!$H$4="FO",'2023'!$H$2=AU157),'2023DATA'!$D$14,"")</f>
        <v/>
      </c>
      <c r="AV169" s="518" t="str">
        <f>IF(AND(_AC3="B-767-300ER",'2023'!$H$4="FO",'2023'!$H$2=AV157),'2023DATA'!$E$14,"")</f>
        <v/>
      </c>
      <c r="AW169" s="518" t="str">
        <f>IF(AND(_AC3="B-767-300ER",'2023'!$H$4="FO",'2023'!$H$2=AW157),'2023DATA'!$F$14,"")</f>
        <v/>
      </c>
      <c r="AX169" s="518" t="str">
        <f>IF(AND(_AC3="B-767-300ER",'2023'!$H$4="FO",'2023'!$H$2=AX157),'2023DATA'!$G$14,"")</f>
        <v/>
      </c>
      <c r="AY169" s="518" t="str">
        <f>IF(AND(_AC3="B-767-300ER",'2023'!$H$4="FO",'2023'!$H$2=AY157),'2023DATA'!$H$14,"")</f>
        <v/>
      </c>
      <c r="AZ169" s="518" t="str">
        <f>IF(AND(_AC3="B-767-300ER",'2023'!$H$4="FO",'2023'!$H$2=AZ157),'2023DATA'!$I$14,"")</f>
        <v/>
      </c>
      <c r="BA169" s="518" t="str">
        <f>IF(AND(_AC3="B-767-300ER",'2023'!$H$4="FO",'2023'!$H$2=BA157),'2023DATA'!$J$14,"")</f>
        <v/>
      </c>
      <c r="BB169" s="518" t="str">
        <f>IF(AND(_AC3="B-767-300ER",'2023'!$H$4="FO",'2023'!$H$2=BB157),'2023DATA'!$K$14,"")</f>
        <v/>
      </c>
      <c r="BC169" s="518" t="str">
        <f>IF(AND(_AC3="B-767-300ER",'2023'!$H$4="FO",'2023'!$H$2=BC157),'2023DATA'!$L$14,"")</f>
        <v/>
      </c>
      <c r="BD169" s="518" t="str">
        <f>IF(AND(_AC3="B-767-300ER",'2023'!$H$4="FO",'2023'!$H$2=BD157),'2023DATA'!$M$14,"")</f>
        <v/>
      </c>
      <c r="BE169" s="520" t="str">
        <f>IF(AND(_AC3="B-767-300ER",'2023'!$H$4="FO",'2023'!$H$2=BE157),'2023DATA'!$N$14,"")</f>
        <v/>
      </c>
      <c r="BF169" s="940"/>
      <c r="BG169" s="13" t="s">
        <v>62</v>
      </c>
      <c r="BH169" s="518" t="str">
        <f>IF(AND(_AC4="B-767-300ER",'2023'!$H$4="FO",'2023'!$H$2=BH157),'2023DATA'!$C$14,"")</f>
        <v/>
      </c>
      <c r="BI169" s="518" t="str">
        <f>IF(AND(_AC4="B-767-300ER",'2023'!$H$4="FO",'2023'!$H$2=BI157),'2023DATA'!$D$14,"")</f>
        <v/>
      </c>
      <c r="BJ169" s="518" t="str">
        <f>IF(AND(_AC4="B-767-300ER",'2023'!$H$4="FO",'2023'!$H$2=BJ157),'2023DATA'!$E$14,"")</f>
        <v/>
      </c>
      <c r="BK169" s="518" t="str">
        <f>IF(AND(_AC4="B-767-300ER",'2023'!$H$4="FO",'2023'!$H$2=BK157),'2023DATA'!$F$14,"")</f>
        <v/>
      </c>
      <c r="BL169" s="518" t="str">
        <f>IF(AND(_AC4="B-767-300ER",'2023'!$H$4="FO",'2023'!$H$2=BL157),'2023DATA'!$G$14,"")</f>
        <v/>
      </c>
      <c r="BM169" s="518" t="str">
        <f>IF(AND(_AC4="B-767-300ER",'2023'!$H$4="FO",'2023'!$H$2=BM157),'2023DATA'!$H$14,"")</f>
        <v/>
      </c>
      <c r="BN169" s="518" t="str">
        <f>IF(AND(_AC4="B-767-300ER",'2023'!$H$4="FO",'2023'!$H$2=BN157),'2023DATA'!$I$14,"")</f>
        <v/>
      </c>
      <c r="BO169" s="518" t="str">
        <f>IF(AND(_AC4="B-767-300ER",'2023'!$H$4="FO",'2023'!$H$2=BO157),'2023DATA'!$J$14,"")</f>
        <v/>
      </c>
      <c r="BP169" s="518" t="str">
        <f>IF(AND(_AC4="B-767-300ER",'2023'!$H$4="FO",'2023'!$H$2=BP157),'2023DATA'!$K$14,"")</f>
        <v/>
      </c>
      <c r="BQ169" s="518" t="str">
        <f>IF(AND(_AC4="B-767-300ER",'2023'!$H$4="FO",'2023'!$H$2=BQ157),'2023DATA'!$L$14,"")</f>
        <v/>
      </c>
      <c r="BR169" s="518" t="str">
        <f>IF(AND(_AC4="B-767-300ER",'2023'!$H$4="FO",'2023'!$H$2=BR157),'2023DATA'!$M$14,"")</f>
        <v/>
      </c>
      <c r="BS169" s="520" t="str">
        <f>IF(AND(_AC4="B-767-300ER",'2023'!$H$4="FO",'2023'!$H$2=BS157),'2023DATA'!$N$14,"")</f>
        <v/>
      </c>
      <c r="BT169" s="940"/>
      <c r="BU169" s="13" t="s">
        <v>62</v>
      </c>
      <c r="BV169" s="518" t="str">
        <f>IF(AND(_AC5="B-767-300ER",'2023'!$H$4="FO",'2023'!$H$2=BV157),'2023DATA'!$C$14,"")</f>
        <v/>
      </c>
      <c r="BW169" s="518" t="str">
        <f>IF(AND(_AC5="B-767-300ER",'2023'!$H$4="FO",'2023'!$H$2=BW157),'2023DATA'!$D$14,"")</f>
        <v/>
      </c>
      <c r="BX169" s="518" t="str">
        <f>IF(AND(_AC5="B-767-300ER",'2023'!$H$4="FO",'2023'!$H$2=BX157),'2023DATA'!$E$14,"")</f>
        <v/>
      </c>
      <c r="BY169" s="518" t="str">
        <f>IF(AND(_AC5="B-767-300ER",'2023'!$H$4="FO",'2023'!$H$2=BY157),'2023DATA'!$F$14,"")</f>
        <v/>
      </c>
      <c r="BZ169" s="518" t="str">
        <f>IF(AND(_AC5="B-767-300ER",'2023'!$H$4="FO",'2023'!$H$2=BZ157),'2023DATA'!$G$14,"")</f>
        <v/>
      </c>
      <c r="CA169" s="518" t="str">
        <f>IF(AND(_AC5="B-767-300ER",'2023'!$H$4="FO",'2023'!$H$2=CA157),'2023DATA'!$H$14,"")</f>
        <v/>
      </c>
      <c r="CB169" s="518" t="str">
        <f>IF(AND(_AC5="B-767-300ER",'2023'!$H$4="FO",'2023'!$H$2=CB157),'2023DATA'!$I$14,"")</f>
        <v/>
      </c>
      <c r="CC169" s="518" t="str">
        <f>IF(AND(_AC5="B-767-300ER",'2023'!$H$4="FO",'2023'!$H$2=CC157),'2023DATA'!$J$14,"")</f>
        <v/>
      </c>
      <c r="CD169" s="518" t="str">
        <f>IF(AND(_AC5="B-767-300ER",'2023'!$H$4="FO",'2023'!$H$2=CD157),'2023DATA'!$K$14,"")</f>
        <v/>
      </c>
      <c r="CE169" s="518" t="str">
        <f>IF(AND(_AC5="B-767-300ER",'2023'!$H$4="FO",'2023'!$H$2=CE157),'2023DATA'!$L$14,"")</f>
        <v/>
      </c>
      <c r="CF169" s="518" t="str">
        <f>IF(AND(_AC5="B-767-300ER",'2023'!$H$4="FO",'2023'!$H$2=CF157),'2023DATA'!$M$14,"")</f>
        <v/>
      </c>
      <c r="CG169" s="520" t="str">
        <f>IF(AND(_AC5="B-767-300ER",'2023'!$H$4="FO",'2023'!$H$2=CG157),'2023DATA'!$N$14,"")</f>
        <v/>
      </c>
      <c r="CH169" s="940"/>
      <c r="CI169" s="13" t="s">
        <v>62</v>
      </c>
      <c r="CJ169" s="518" t="str">
        <f>IF(AND(_AC6="B-767-300ER",'2023'!$H$4="FO",'2023'!$H$2=CJ157),'2023DATA'!$C$14,"")</f>
        <v/>
      </c>
      <c r="CK169" s="518" t="str">
        <f>IF(AND(_AC6="B-767-300ER",'2023'!$H$4="FO",'2023'!$H$2=CK157),'2023DATA'!$D$14,"")</f>
        <v/>
      </c>
      <c r="CL169" s="518" t="str">
        <f>IF(AND(_AC6="B-767-300ER",'2023'!$H$4="FO",'2023'!$H$2=CL157),'2023DATA'!$E$14,"")</f>
        <v/>
      </c>
      <c r="CM169" s="518" t="str">
        <f>IF(AND(_AC6="B-767-300ER",'2023'!$H$4="FO",'2023'!$H$2=CM157),'2023DATA'!$F$14,"")</f>
        <v/>
      </c>
      <c r="CN169" s="518" t="str">
        <f>IF(AND(_AC6="B-767-300ER",'2023'!$H$4="FO",'2023'!$H$2=CN157),'2023DATA'!$G$14,"")</f>
        <v/>
      </c>
      <c r="CO169" s="518" t="str">
        <f>IF(AND(_AC6="B-767-300ER",'2023'!$H$4="FO",'2023'!$H$2=CO157),'2023DATA'!$H$14,"")</f>
        <v/>
      </c>
      <c r="CP169" s="518" t="str">
        <f>IF(AND(_AC6="B-767-300ER",'2023'!$H$4="FO",'2023'!$H$2=CP157),'2023DATA'!$I$14,"")</f>
        <v/>
      </c>
      <c r="CQ169" s="518" t="str">
        <f>IF(AND(_AC6="B-767-300ER",'2023'!$H$4="FO",'2023'!$H$2=CQ157),'2023DATA'!$J$14,"")</f>
        <v/>
      </c>
      <c r="CR169" s="518" t="str">
        <f>IF(AND(_AC6="B-767-300ER",'2023'!$H$4="FO",'2023'!$H$2=CR157),'2023DATA'!$K$14,"")</f>
        <v/>
      </c>
      <c r="CS169" s="518" t="str">
        <f>IF(AND(_AC6="B-767-300ER",'2023'!$H$4="FO",'2023'!$H$2=CS157),'2023DATA'!$L$14,"")</f>
        <v/>
      </c>
      <c r="CT169" s="518" t="str">
        <f>IF(AND(_AC6="B-767-300ER",'2023'!$H$4="FO",'2023'!$H$2=CT157),'2023DATA'!$M$14,"")</f>
        <v/>
      </c>
      <c r="CU169" s="520" t="str">
        <f>IF(AND(_AC6="B-767-300ER",'2023'!$H$4="FO",'2023'!$H$2=CU157),'2023DATA'!$N$14,"")</f>
        <v/>
      </c>
    </row>
    <row r="170" spans="16:99" x14ac:dyDescent="0.25">
      <c r="P170" s="940" t="s">
        <v>67</v>
      </c>
      <c r="Q170" s="13" t="s">
        <v>61</v>
      </c>
      <c r="R170" s="518" t="str">
        <f>IF(AND(_AC1="B-767-300",'2023'!$H$4="CA",'2023'!$H$2=R157),'2023DATA'!$C$15,"")</f>
        <v/>
      </c>
      <c r="S170" s="518" t="str">
        <f>IF(AND(_AC1="B-767-300",'2023'!$H$4="CA",'2023'!$H$2=S157),'2023DATA'!$D$15,"")</f>
        <v/>
      </c>
      <c r="T170" s="518" t="str">
        <f>IF(AND(_AC1="B-767-300",'2023'!$H$4="CA",'2023'!$H$2=T157),'2023DATA'!$E$15,"")</f>
        <v/>
      </c>
      <c r="U170" s="518" t="str">
        <f>IF(AND(_AC1="B-767-300",'2023'!$H$4="CA",'2023'!$H$2=U157),'2023DATA'!$F$15,"")</f>
        <v/>
      </c>
      <c r="V170" s="518" t="str">
        <f>IF(AND(_AC1="B-767-300",'2023'!$H$4="CA",'2023'!$H$2=V157),'2023DATA'!$G$15,"")</f>
        <v/>
      </c>
      <c r="W170" s="518" t="str">
        <f>IF(AND(_AC1="B-767-300",'2023'!$H$4="CA",'2023'!$H$2=W157),'2023DATA'!$H$15,"")</f>
        <v/>
      </c>
      <c r="X170" s="518" t="str">
        <f>IF(AND(_AC1="B-767-300",'2023'!$H$4="CA",'2023'!$H$2=X157),'2023DATA'!$I$15,"")</f>
        <v/>
      </c>
      <c r="Y170" s="518" t="str">
        <f>IF(AND(_AC1="B-767-300",'2023'!$H$4="CA",'2023'!$H$2=Y157),'2023DATA'!$J$15,"")</f>
        <v/>
      </c>
      <c r="Z170" s="518" t="str">
        <f>IF(AND(_AC1="B-767-300",'2023'!$H$4="CA",'2023'!$H$2=Z157),'2023DATA'!$K$15,"")</f>
        <v/>
      </c>
      <c r="AA170" s="518" t="str">
        <f>IF(AND(_AC1="B-767-300",'2023'!$H$4="CA",'2023'!$H$2=AA157),'2023DATA'!$L$15,"")</f>
        <v/>
      </c>
      <c r="AB170" s="518" t="str">
        <f>IF(AND(_AC1="B-767-300",'2023'!$H$4="CA",'2023'!$H$2=AB157),'2023DATA'!$M$15,"")</f>
        <v/>
      </c>
      <c r="AC170" s="520" t="str">
        <f>IF(AND(_AC1="B-767-300",'2023'!$H$4="CA",'2023'!$H$2=AC157),'2023DATA'!$N$15,"")</f>
        <v/>
      </c>
      <c r="AD170" s="940" t="s">
        <v>67</v>
      </c>
      <c r="AE170" s="13" t="s">
        <v>61</v>
      </c>
      <c r="AF170" s="518" t="str">
        <f>IF(AND(_AC2="B-767-300",'2023'!$H$4="CA",'2023'!$H$2=AF157),'2023DATA'!$C$15,"")</f>
        <v/>
      </c>
      <c r="AG170" s="518" t="str">
        <f>IF(AND(_AC2="B-767-300",'2023'!$H$4="CA",'2023'!$H$2=AG157),'2023DATA'!$D$15,"")</f>
        <v/>
      </c>
      <c r="AH170" s="518" t="str">
        <f>IF(AND(_AC2="B-767-300",'2023'!$H$4="CA",'2023'!$H$2=AH157),'2023DATA'!$E$15,"")</f>
        <v/>
      </c>
      <c r="AI170" s="518" t="str">
        <f>IF(AND(_AC2="B-767-300",'2023'!$H$4="CA",'2023'!$H$2=AI157),'2023DATA'!$F$15,"")</f>
        <v/>
      </c>
      <c r="AJ170" s="518" t="str">
        <f>IF(AND(_AC2="B-767-300",'2023'!$H$4="CA",'2023'!$H$2=AJ157),'2023DATA'!$G$15,"")</f>
        <v/>
      </c>
      <c r="AK170" s="518" t="str">
        <f>IF(AND(_AC2="B-767-300",'2023'!$H$4="CA",'2023'!$H$2=AK157),'2023DATA'!$H$15,"")</f>
        <v/>
      </c>
      <c r="AL170" s="518" t="str">
        <f>IF(AND(_AC2="B-767-300",'2023'!$H$4="CA",'2023'!$H$2=AL157),'2023DATA'!$I$15,"")</f>
        <v/>
      </c>
      <c r="AM170" s="518" t="str">
        <f>IF(AND(_AC2="B-767-300",'2023'!$H$4="CA",'2023'!$H$2=AM157),'2023DATA'!$J$15,"")</f>
        <v/>
      </c>
      <c r="AN170" s="518" t="str">
        <f>IF(AND(_AC2="B-767-300",'2023'!$H$4="CA",'2023'!$H$2=AN157),'2023DATA'!$K$15,"")</f>
        <v/>
      </c>
      <c r="AO170" s="518" t="str">
        <f>IF(AND(_AC2="B-767-300",'2023'!$H$4="CA",'2023'!$H$2=AO157),'2023DATA'!$L$15,"")</f>
        <v/>
      </c>
      <c r="AP170" s="518" t="str">
        <f>IF(AND(_AC2="B-767-300",'2023'!$H$4="CA",'2023'!$H$2=AP157),'2023DATA'!$M$15,"")</f>
        <v/>
      </c>
      <c r="AQ170" s="520" t="str">
        <f>IF(AND(_AC2="B-767-300",'2023'!$H$4="CA",'2023'!$H$2=AQ157),'2023DATA'!$N$15,"")</f>
        <v/>
      </c>
      <c r="AR170" s="940" t="s">
        <v>67</v>
      </c>
      <c r="AS170" s="13" t="s">
        <v>61</v>
      </c>
      <c r="AT170" s="518" t="str">
        <f>IF(AND(_AC3="B-767-300",'2023'!$H$4="CA",'2023'!$H$2=AT157),'2023DATA'!$C$15,"")</f>
        <v/>
      </c>
      <c r="AU170" s="518" t="str">
        <f>IF(AND(_AC3="B-767-300",'2023'!$H$4="CA",'2023'!$H$2=AU157),'2023DATA'!$D$15,"")</f>
        <v/>
      </c>
      <c r="AV170" s="518" t="str">
        <f>IF(AND(_AC3="B-767-300",'2023'!$H$4="CA",'2023'!$H$2=AV157),'2023DATA'!$E$15,"")</f>
        <v/>
      </c>
      <c r="AW170" s="518" t="str">
        <f>IF(AND(_AC3="B-767-300",'2023'!$H$4="CA",'2023'!$H$2=AW157),'2023DATA'!$F$15,"")</f>
        <v/>
      </c>
      <c r="AX170" s="518" t="str">
        <f>IF(AND(_AC3="B-767-300",'2023'!$H$4="CA",'2023'!$H$2=AX157),'2023DATA'!$G$15,"")</f>
        <v/>
      </c>
      <c r="AY170" s="518" t="str">
        <f>IF(AND(_AC3="B-767-300",'2023'!$H$4="CA",'2023'!$H$2=AY157),'2023DATA'!$H$15,"")</f>
        <v/>
      </c>
      <c r="AZ170" s="518" t="str">
        <f>IF(AND(_AC3="B-767-300",'2023'!$H$4="CA",'2023'!$H$2=AZ157),'2023DATA'!$I$15,"")</f>
        <v/>
      </c>
      <c r="BA170" s="518" t="str">
        <f>IF(AND(_AC3="B-767-300",'2023'!$H$4="CA",'2023'!$H$2=BA157),'2023DATA'!$J$15,"")</f>
        <v/>
      </c>
      <c r="BB170" s="518" t="str">
        <f>IF(AND(_AC3="B-767-300",'2023'!$H$4="CA",'2023'!$H$2=BB157),'2023DATA'!$K$15,"")</f>
        <v/>
      </c>
      <c r="BC170" s="518" t="str">
        <f>IF(AND(_AC3="B-767-300",'2023'!$H$4="CA",'2023'!$H$2=BC157),'2023DATA'!$L$15,"")</f>
        <v/>
      </c>
      <c r="BD170" s="518" t="str">
        <f>IF(AND(_AC3="B-767-300",'2023'!$H$4="CA",'2023'!$H$2=BD157),'2023DATA'!$M$15,"")</f>
        <v/>
      </c>
      <c r="BE170" s="520" t="str">
        <f>IF(AND(_AC3="B-767-300",'2023'!$H$4="CA",'2023'!$H$2=BE157),'2023DATA'!$N$15,"")</f>
        <v/>
      </c>
      <c r="BF170" s="940" t="s">
        <v>67</v>
      </c>
      <c r="BG170" s="13" t="s">
        <v>61</v>
      </c>
      <c r="BH170" s="518" t="str">
        <f>IF(AND(_AC4="B-767-300",'2023'!$H$4="CA",'2023'!$H$2=BH157),'2023DATA'!$C$15,"")</f>
        <v/>
      </c>
      <c r="BI170" s="518" t="str">
        <f>IF(AND(_AC4="B-767-300",'2023'!$H$4="CA",'2023'!$H$2=BI157),'2023DATA'!$D$15,"")</f>
        <v/>
      </c>
      <c r="BJ170" s="518" t="str">
        <f>IF(AND(_AC4="B-767-300",'2023'!$H$4="CA",'2023'!$H$2=BJ157),'2023DATA'!$E$15,"")</f>
        <v/>
      </c>
      <c r="BK170" s="518" t="str">
        <f>IF(AND(_AC4="B-767-300",'2023'!$H$4="CA",'2023'!$H$2=BK157),'2023DATA'!$F$15,"")</f>
        <v/>
      </c>
      <c r="BL170" s="518" t="str">
        <f>IF(AND(_AC4="B-767-300",'2023'!$H$4="CA",'2023'!$H$2=BL157),'2023DATA'!$G$15,"")</f>
        <v/>
      </c>
      <c r="BM170" s="518" t="str">
        <f>IF(AND(_AC4="B-767-300",'2023'!$H$4="CA",'2023'!$H$2=BM157),'2023DATA'!$H$15,"")</f>
        <v/>
      </c>
      <c r="BN170" s="518" t="str">
        <f>IF(AND(_AC4="B-767-300",'2023'!$H$4="CA",'2023'!$H$2=BN157),'2023DATA'!$I$15,"")</f>
        <v/>
      </c>
      <c r="BO170" s="518" t="str">
        <f>IF(AND(_AC4="B-767-300",'2023'!$H$4="CA",'2023'!$H$2=BO157),'2023DATA'!$J$15,"")</f>
        <v/>
      </c>
      <c r="BP170" s="518" t="str">
        <f>IF(AND(_AC4="B-767-300",'2023'!$H$4="CA",'2023'!$H$2=BP157),'2023DATA'!$K$15,"")</f>
        <v/>
      </c>
      <c r="BQ170" s="518" t="str">
        <f>IF(AND(_AC4="B-767-300",'2023'!$H$4="CA",'2023'!$H$2=BQ157),'2023DATA'!$L$15,"")</f>
        <v/>
      </c>
      <c r="BR170" s="518" t="str">
        <f>IF(AND(_AC4="B-767-300",'2023'!$H$4="CA",'2023'!$H$2=BR157),'2023DATA'!$M$15,"")</f>
        <v/>
      </c>
      <c r="BS170" s="520" t="str">
        <f>IF(AND(_AC4="B-767-300",'2023'!$H$4="CA",'2023'!$H$2=BS157),'2023DATA'!$N$15,"")</f>
        <v/>
      </c>
      <c r="BT170" s="940" t="s">
        <v>67</v>
      </c>
      <c r="BU170" s="13" t="s">
        <v>61</v>
      </c>
      <c r="BV170" s="518" t="str">
        <f>IF(AND(_AC5="B-767-300",'2023'!$H$4="CA",'2023'!$H$2=BV157),'2023DATA'!$C$15,"")</f>
        <v/>
      </c>
      <c r="BW170" s="518" t="str">
        <f>IF(AND(_AC5="B-767-300",'2023'!$H$4="CA",'2023'!$H$2=BW157),'2023DATA'!$D$15,"")</f>
        <v/>
      </c>
      <c r="BX170" s="518" t="str">
        <f>IF(AND(_AC5="B-767-300",'2023'!$H$4="CA",'2023'!$H$2=BX157),'2023DATA'!$E$15,"")</f>
        <v/>
      </c>
      <c r="BY170" s="518" t="str">
        <f>IF(AND(_AC5="B-767-300",'2023'!$H$4="CA",'2023'!$H$2=BY157),'2023DATA'!$F$15,"")</f>
        <v/>
      </c>
      <c r="BZ170" s="518" t="str">
        <f>IF(AND(_AC5="B-767-300",'2023'!$H$4="CA",'2023'!$H$2=BZ157),'2023DATA'!$G$15,"")</f>
        <v/>
      </c>
      <c r="CA170" s="518" t="str">
        <f>IF(AND(_AC5="B-767-300",'2023'!$H$4="CA",'2023'!$H$2=CA157),'2023DATA'!$H$15,"")</f>
        <v/>
      </c>
      <c r="CB170" s="518" t="str">
        <f>IF(AND(_AC5="B-767-300",'2023'!$H$4="CA",'2023'!$H$2=CB157),'2023DATA'!$I$15,"")</f>
        <v/>
      </c>
      <c r="CC170" s="518" t="str">
        <f>IF(AND(_AC5="B-767-300",'2023'!$H$4="CA",'2023'!$H$2=CC157),'2023DATA'!$J$15,"")</f>
        <v/>
      </c>
      <c r="CD170" s="518" t="str">
        <f>IF(AND(_AC5="B-767-300",'2023'!$H$4="CA",'2023'!$H$2=CD157),'2023DATA'!$K$15,"")</f>
        <v/>
      </c>
      <c r="CE170" s="518" t="str">
        <f>IF(AND(_AC5="B-767-300",'2023'!$H$4="CA",'2023'!$H$2=CE157),'2023DATA'!$L$15,"")</f>
        <v/>
      </c>
      <c r="CF170" s="518" t="str">
        <f>IF(AND(_AC5="B-767-300",'2023'!$H$4="CA",'2023'!$H$2=CF157),'2023DATA'!$M$15,"")</f>
        <v/>
      </c>
      <c r="CG170" s="520" t="str">
        <f>IF(AND(_AC5="B-767-300",'2023'!$H$4="CA",'2023'!$H$2=CG157),'2023DATA'!$N$15,"")</f>
        <v/>
      </c>
      <c r="CH170" s="940" t="s">
        <v>67</v>
      </c>
      <c r="CI170" s="13" t="s">
        <v>61</v>
      </c>
      <c r="CJ170" s="518" t="str">
        <f>IF(AND(_AC6="B-767-300",'2023'!$H$4="CA",'2023'!$H$2=CJ157),'2023DATA'!$C$15,"")</f>
        <v/>
      </c>
      <c r="CK170" s="518" t="str">
        <f>IF(AND(_AC6="B-767-300",'2023'!$H$4="CA",'2023'!$H$2=CK157),'2023DATA'!$D$15,"")</f>
        <v/>
      </c>
      <c r="CL170" s="518" t="str">
        <f>IF(AND(_AC6="B-767-300",'2023'!$H$4="CA",'2023'!$H$2=CL157),'2023DATA'!$E$15,"")</f>
        <v/>
      </c>
      <c r="CM170" s="518" t="str">
        <f>IF(AND(_AC6="B-767-300",'2023'!$H$4="CA",'2023'!$H$2=CM157),'2023DATA'!$F$15,"")</f>
        <v/>
      </c>
      <c r="CN170" s="518" t="str">
        <f>IF(AND(_AC6="B-767-300",'2023'!$H$4="CA",'2023'!$H$2=CN157),'2023DATA'!$G$15,"")</f>
        <v/>
      </c>
      <c r="CO170" s="518" t="str">
        <f>IF(AND(_AC6="B-767-300",'2023'!$H$4="CA",'2023'!$H$2=CO157),'2023DATA'!$H$15,"")</f>
        <v/>
      </c>
      <c r="CP170" s="518" t="str">
        <f>IF(AND(_AC6="B-767-300",'2023'!$H$4="CA",'2023'!$H$2=CP157),'2023DATA'!$I$15,"")</f>
        <v/>
      </c>
      <c r="CQ170" s="518" t="str">
        <f>IF(AND(_AC6="B-767-300",'2023'!$H$4="CA",'2023'!$H$2=CQ157),'2023DATA'!$J$15,"")</f>
        <v/>
      </c>
      <c r="CR170" s="518" t="str">
        <f>IF(AND(_AC6="B-767-300",'2023'!$H$4="CA",'2023'!$H$2=CR157),'2023DATA'!$K$15,"")</f>
        <v/>
      </c>
      <c r="CS170" s="518" t="str">
        <f>IF(AND(_AC6="B-767-300",'2023'!$H$4="CA",'2023'!$H$2=CS157),'2023DATA'!$L$15,"")</f>
        <v/>
      </c>
      <c r="CT170" s="518" t="str">
        <f>IF(AND(_AC6="B-767-300",'2023'!$H$4="CA",'2023'!$H$2=CT157),'2023DATA'!$M$15,"")</f>
        <v/>
      </c>
      <c r="CU170" s="520" t="str">
        <f>IF(AND(_AC6="B-767-300",'2023'!$H$4="CA",'2023'!$H$2=CU157),'2023DATA'!$N$15,"")</f>
        <v/>
      </c>
    </row>
    <row r="171" spans="16:99" x14ac:dyDescent="0.25">
      <c r="P171" s="940"/>
      <c r="Q171" s="13" t="s">
        <v>62</v>
      </c>
      <c r="R171" s="518" t="str">
        <f>IF(AND(_AC1="B-767-300",'2023'!$H$4="FO",'2023'!$H$2=R157),'2023DATA'!$C$16,"")</f>
        <v/>
      </c>
      <c r="S171" s="518" t="str">
        <f>IF(AND(_AC1="B-767-300",'2023'!$H$4="FO",'2023'!$H$2=S157),'2023DATA'!$D$16,"")</f>
        <v/>
      </c>
      <c r="T171" s="518" t="str">
        <f>IF(AND(_AC1="B-767-300",'2023'!$H$4="FO",'2023'!$H$2=T157),'2023DATA'!$E$16,"")</f>
        <v/>
      </c>
      <c r="U171" s="518" t="str">
        <f>IF(AND(_AC1="B-767-300",'2023'!$H$4="FO",'2023'!$H$2=U157),'2023DATA'!$F$16,"")</f>
        <v/>
      </c>
      <c r="V171" s="518" t="str">
        <f>IF(AND(_AC1="B-767-300",'2023'!$H$4="FO",'2023'!$H$2=V157),'2023DATA'!$G$16,"")</f>
        <v/>
      </c>
      <c r="W171" s="518" t="str">
        <f>IF(AND(_AC1="B-767-300",'2023'!$H$4="FO",'2023'!$H$2=W157),'2023DATA'!$H$16,"")</f>
        <v/>
      </c>
      <c r="X171" s="518" t="str">
        <f>IF(AND(_AC1="B-767-300",'2023'!$H$4="FO",'2023'!$H$2=X157),'2023DATA'!$I$16,"")</f>
        <v/>
      </c>
      <c r="Y171" s="518" t="str">
        <f>IF(AND(_AC1="B-767-300",'2023'!$H$4="FO",'2023'!$H$2=Y157),'2023DATA'!$J$16,"")</f>
        <v/>
      </c>
      <c r="Z171" s="518" t="str">
        <f>IF(AND(_AC1="B-767-300",'2023'!$H$4="FO",'2023'!$H$2=Z157),'2023DATA'!$K$16,"")</f>
        <v/>
      </c>
      <c r="AA171" s="518" t="str">
        <f>IF(AND(_AC1="B-767-300",'2023'!$H$4="FO",'2023'!$H$2=AA157),'2023DATA'!$L$16,"")</f>
        <v/>
      </c>
      <c r="AB171" s="518" t="str">
        <f>IF(AND(_AC1="B-767-300",'2023'!$H$4="FO",'2023'!$H$2=AB157),'2023DATA'!$M$16,"")</f>
        <v/>
      </c>
      <c r="AC171" s="520" t="str">
        <f>IF(AND(_AC1="B-767-300",'2023'!$H$4="FO",'2023'!$H$2=AC157),'2023DATA'!$N$16,"")</f>
        <v/>
      </c>
      <c r="AD171" s="940"/>
      <c r="AE171" s="13" t="s">
        <v>62</v>
      </c>
      <c r="AF171" s="518" t="str">
        <f>IF(AND(_AC2="B-767-300",'2023'!$H$4="FO",'2023'!$H$2=AF157),'2023DATA'!$C$16,"")</f>
        <v/>
      </c>
      <c r="AG171" s="518" t="str">
        <f>IF(AND(_AC2="B-767-300",'2023'!$H$4="FO",'2023'!$H$2=AG157),'2023DATA'!$D$16,"")</f>
        <v/>
      </c>
      <c r="AH171" s="518" t="str">
        <f>IF(AND(_AC2="B-767-300",'2023'!$H$4="FO",'2023'!$H$2=AH157),'2023DATA'!$E$16,"")</f>
        <v/>
      </c>
      <c r="AI171" s="518" t="str">
        <f>IF(AND(_AC2="B-767-300",'2023'!$H$4="FO",'2023'!$H$2=AI157),'2023DATA'!$F$16,"")</f>
        <v/>
      </c>
      <c r="AJ171" s="518" t="str">
        <f>IF(AND(_AC2="B-767-300",'2023'!$H$4="FO",'2023'!$H$2=AJ157),'2023DATA'!$G$16,"")</f>
        <v/>
      </c>
      <c r="AK171" s="518" t="str">
        <f>IF(AND(_AC2="B-767-300",'2023'!$H$4="FO",'2023'!$H$2=AK157),'2023DATA'!$H$16,"")</f>
        <v/>
      </c>
      <c r="AL171" s="518" t="str">
        <f>IF(AND(_AC2="B-767-300",'2023'!$H$4="FO",'2023'!$H$2=AL157),'2023DATA'!$I$16,"")</f>
        <v/>
      </c>
      <c r="AM171" s="518" t="str">
        <f>IF(AND(_AC2="B-767-300",'2023'!$H$4="FO",'2023'!$H$2=AM157),'2023DATA'!$J$16,"")</f>
        <v/>
      </c>
      <c r="AN171" s="518" t="str">
        <f>IF(AND(_AC2="B-767-300",'2023'!$H$4="FO",'2023'!$H$2=AN157),'2023DATA'!$K$16,"")</f>
        <v/>
      </c>
      <c r="AO171" s="518" t="str">
        <f>IF(AND(_AC2="B-767-300",'2023'!$H$4="FO",'2023'!$H$2=AO157),'2023DATA'!$L$16,"")</f>
        <v/>
      </c>
      <c r="AP171" s="518" t="str">
        <f>IF(AND(_AC2="B-767-300",'2023'!$H$4="FO",'2023'!$H$2=AP157),'2023DATA'!$M$16,"")</f>
        <v/>
      </c>
      <c r="AQ171" s="520" t="str">
        <f>IF(AND(_AC2="B-767-300",'2023'!$H$4="FO",'2023'!$H$2=AQ157),'2023DATA'!$N$16,"")</f>
        <v/>
      </c>
      <c r="AR171" s="940"/>
      <c r="AS171" s="13" t="s">
        <v>62</v>
      </c>
      <c r="AT171" s="518" t="str">
        <f>IF(AND(_AC3="B-767-300",'2023'!$H$4="FO",'2023'!$H$2=AT157),'2023DATA'!$C$16,"")</f>
        <v/>
      </c>
      <c r="AU171" s="518" t="str">
        <f>IF(AND(_AC3="B-767-300",'2023'!$H$4="FO",'2023'!$H$2=AU157),'2023DATA'!$D$16,"")</f>
        <v/>
      </c>
      <c r="AV171" s="518" t="str">
        <f>IF(AND(_AC3="B-767-300",'2023'!$H$4="FO",'2023'!$H$2=AV157),'2023DATA'!$E$16,"")</f>
        <v/>
      </c>
      <c r="AW171" s="518" t="str">
        <f>IF(AND(_AC3="B-767-300",'2023'!$H$4="FO",'2023'!$H$2=AW157),'2023DATA'!$F$16,"")</f>
        <v/>
      </c>
      <c r="AX171" s="518" t="str">
        <f>IF(AND(_AC3="B-767-300",'2023'!$H$4="FO",'2023'!$H$2=AX157),'2023DATA'!$G$16,"")</f>
        <v/>
      </c>
      <c r="AY171" s="518" t="str">
        <f>IF(AND(_AC3="B-767-300",'2023'!$H$4="FO",'2023'!$H$2=AY157),'2023DATA'!$H$16,"")</f>
        <v/>
      </c>
      <c r="AZ171" s="518" t="str">
        <f>IF(AND(_AC3="B-767-300",'2023'!$H$4="FO",'2023'!$H$2=AZ157),'2023DATA'!$I$16,"")</f>
        <v/>
      </c>
      <c r="BA171" s="518" t="str">
        <f>IF(AND(_AC3="B-767-300",'2023'!$H$4="FO",'2023'!$H$2=BA157),'2023DATA'!$J$16,"")</f>
        <v/>
      </c>
      <c r="BB171" s="518" t="str">
        <f>IF(AND(_AC3="B-767-300",'2023'!$H$4="FO",'2023'!$H$2=BB157),'2023DATA'!$K$16,"")</f>
        <v/>
      </c>
      <c r="BC171" s="518" t="str">
        <f>IF(AND(_AC3="B-767-300",'2023'!$H$4="FO",'2023'!$H$2=BC157),'2023DATA'!$L$16,"")</f>
        <v/>
      </c>
      <c r="BD171" s="518" t="str">
        <f>IF(AND(_AC3="B-767-300",'2023'!$H$4="FO",'2023'!$H$2=BD157),'2023DATA'!$M$16,"")</f>
        <v/>
      </c>
      <c r="BE171" s="520" t="str">
        <f>IF(AND(_AC3="B-767-300",'2023'!$H$4="FO",'2023'!$H$2=BE157),'2023DATA'!$N$16,"")</f>
        <v/>
      </c>
      <c r="BF171" s="940"/>
      <c r="BG171" s="13" t="s">
        <v>62</v>
      </c>
      <c r="BH171" s="518" t="str">
        <f>IF(AND(_AC4="B-767-300",'2023'!$H$4="FO",'2023'!$H$2=BH157),'2023DATA'!$C$16,"")</f>
        <v/>
      </c>
      <c r="BI171" s="518" t="str">
        <f>IF(AND(_AC4="B-767-300",'2023'!$H$4="FO",'2023'!$H$2=BI157),'2023DATA'!$D$16,"")</f>
        <v/>
      </c>
      <c r="BJ171" s="518" t="str">
        <f>IF(AND(_AC4="B-767-300",'2023'!$H$4="FO",'2023'!$H$2=BJ157),'2023DATA'!$E$16,"")</f>
        <v/>
      </c>
      <c r="BK171" s="518" t="str">
        <f>IF(AND(_AC4="B-767-300",'2023'!$H$4="FO",'2023'!$H$2=BK157),'2023DATA'!$F$16,"")</f>
        <v/>
      </c>
      <c r="BL171" s="518" t="str">
        <f>IF(AND(_AC4="B-767-300",'2023'!$H$4="FO",'2023'!$H$2=BL157),'2023DATA'!$G$16,"")</f>
        <v/>
      </c>
      <c r="BM171" s="518" t="str">
        <f>IF(AND(_AC4="B-767-300",'2023'!$H$4="FO",'2023'!$H$2=BM157),'2023DATA'!$H$16,"")</f>
        <v/>
      </c>
      <c r="BN171" s="518" t="str">
        <f>IF(AND(_AC4="B-767-300",'2023'!$H$4="FO",'2023'!$H$2=BN157),'2023DATA'!$I$16,"")</f>
        <v/>
      </c>
      <c r="BO171" s="518" t="str">
        <f>IF(AND(_AC4="B-767-300",'2023'!$H$4="FO",'2023'!$H$2=BO157),'2023DATA'!$J$16,"")</f>
        <v/>
      </c>
      <c r="BP171" s="518" t="str">
        <f>IF(AND(_AC4="B-767-300",'2023'!$H$4="FO",'2023'!$H$2=BP157),'2023DATA'!$K$16,"")</f>
        <v/>
      </c>
      <c r="BQ171" s="518" t="str">
        <f>IF(AND(_AC4="B-767-300",'2023'!$H$4="FO",'2023'!$H$2=BQ157),'2023DATA'!$L$16,"")</f>
        <v/>
      </c>
      <c r="BR171" s="518" t="str">
        <f>IF(AND(_AC4="B-767-300",'2023'!$H$4="FO",'2023'!$H$2=BR157),'2023DATA'!$M$16,"")</f>
        <v/>
      </c>
      <c r="BS171" s="520" t="str">
        <f>IF(AND(_AC4="B-767-300",'2023'!$H$4="FO",'2023'!$H$2=BS157),'2023DATA'!$N$16,"")</f>
        <v/>
      </c>
      <c r="BT171" s="940"/>
      <c r="BU171" s="13" t="s">
        <v>62</v>
      </c>
      <c r="BV171" s="518" t="str">
        <f>IF(AND(_AC5="B-767-300",'2023'!$H$4="FO",'2023'!$H$2=BV157),'2023DATA'!$C$16,"")</f>
        <v/>
      </c>
      <c r="BW171" s="518" t="str">
        <f>IF(AND(_AC5="B-767-300",'2023'!$H$4="FO",'2023'!$H$2=BW157),'2023DATA'!$D$16,"")</f>
        <v/>
      </c>
      <c r="BX171" s="518" t="str">
        <f>IF(AND(_AC5="B-767-300",'2023'!$H$4="FO",'2023'!$H$2=BX157),'2023DATA'!$E$16,"")</f>
        <v/>
      </c>
      <c r="BY171" s="518" t="str">
        <f>IF(AND(_AC5="B-767-300",'2023'!$H$4="FO",'2023'!$H$2=BY157),'2023DATA'!$F$16,"")</f>
        <v/>
      </c>
      <c r="BZ171" s="518" t="str">
        <f>IF(AND(_AC5="B-767-300",'2023'!$H$4="FO",'2023'!$H$2=BZ157),'2023DATA'!$G$16,"")</f>
        <v/>
      </c>
      <c r="CA171" s="518" t="str">
        <f>IF(AND(_AC5="B-767-300",'2023'!$H$4="FO",'2023'!$H$2=CA157),'2023DATA'!$H$16,"")</f>
        <v/>
      </c>
      <c r="CB171" s="518" t="str">
        <f>IF(AND(_AC5="B-767-300",'2023'!$H$4="FO",'2023'!$H$2=CB157),'2023DATA'!$I$16,"")</f>
        <v/>
      </c>
      <c r="CC171" s="518" t="str">
        <f>IF(AND(_AC5="B-767-300",'2023'!$H$4="FO",'2023'!$H$2=CC157),'2023DATA'!$J$16,"")</f>
        <v/>
      </c>
      <c r="CD171" s="518" t="str">
        <f>IF(AND(_AC5="B-767-300",'2023'!$H$4="FO",'2023'!$H$2=CD157),'2023DATA'!$K$16,"")</f>
        <v/>
      </c>
      <c r="CE171" s="518" t="str">
        <f>IF(AND(_AC5="B-767-300",'2023'!$H$4="FO",'2023'!$H$2=CE157),'2023DATA'!$L$16,"")</f>
        <v/>
      </c>
      <c r="CF171" s="518" t="str">
        <f>IF(AND(_AC5="B-767-300",'2023'!$H$4="FO",'2023'!$H$2=CF157),'2023DATA'!$M$16,"")</f>
        <v/>
      </c>
      <c r="CG171" s="520" t="str">
        <f>IF(AND(_AC5="B-767-300",'2023'!$H$4="FO",'2023'!$H$2=CG157),'2023DATA'!$N$16,"")</f>
        <v/>
      </c>
      <c r="CH171" s="940"/>
      <c r="CI171" s="13" t="s">
        <v>62</v>
      </c>
      <c r="CJ171" s="518" t="str">
        <f>IF(AND(_AC6="B-767-300",'2023'!$H$4="FO",'2023'!$H$2=CJ157),'2023DATA'!$C$16,"")</f>
        <v/>
      </c>
      <c r="CK171" s="518" t="str">
        <f>IF(AND(_AC6="B-767-300",'2023'!$H$4="FO",'2023'!$H$2=CK157),'2023DATA'!$D$16,"")</f>
        <v/>
      </c>
      <c r="CL171" s="518" t="str">
        <f>IF(AND(_AC6="B-767-300",'2023'!$H$4="FO",'2023'!$H$2=CL157),'2023DATA'!$E$16,"")</f>
        <v/>
      </c>
      <c r="CM171" s="518" t="str">
        <f>IF(AND(_AC6="B-767-300",'2023'!$H$4="FO",'2023'!$H$2=CM157),'2023DATA'!$F$16,"")</f>
        <v/>
      </c>
      <c r="CN171" s="518" t="str">
        <f>IF(AND(_AC6="B-767-300",'2023'!$H$4="FO",'2023'!$H$2=CN157),'2023DATA'!$G$16,"")</f>
        <v/>
      </c>
      <c r="CO171" s="518" t="str">
        <f>IF(AND(_AC6="B-767-300",'2023'!$H$4="FO",'2023'!$H$2=CO157),'2023DATA'!$H$16,"")</f>
        <v/>
      </c>
      <c r="CP171" s="518" t="str">
        <f>IF(AND(_AC6="B-767-300",'2023'!$H$4="FO",'2023'!$H$2=CP157),'2023DATA'!$I$16,"")</f>
        <v/>
      </c>
      <c r="CQ171" s="518" t="str">
        <f>IF(AND(_AC6="B-767-300",'2023'!$H$4="FO",'2023'!$H$2=CQ157),'2023DATA'!$J$16,"")</f>
        <v/>
      </c>
      <c r="CR171" s="518" t="str">
        <f>IF(AND(_AC6="B-767-300",'2023'!$H$4="FO",'2023'!$H$2=CR157),'2023DATA'!$K$16,"")</f>
        <v/>
      </c>
      <c r="CS171" s="518" t="str">
        <f>IF(AND(_AC6="B-767-300",'2023'!$H$4="FO",'2023'!$H$2=CS157),'2023DATA'!$L$16,"")</f>
        <v/>
      </c>
      <c r="CT171" s="518" t="str">
        <f>IF(AND(_AC6="B-767-300",'2023'!$H$4="FO",'2023'!$H$2=CT157),'2023DATA'!$M$16,"")</f>
        <v/>
      </c>
      <c r="CU171" s="520" t="str">
        <f>IF(AND(_AC6="B-767-300",'2023'!$H$4="FO",'2023'!$H$2=CU157),'2023DATA'!$N$16,"")</f>
        <v/>
      </c>
    </row>
    <row r="172" spans="16:99" x14ac:dyDescent="0.25">
      <c r="P172" s="940" t="s">
        <v>68</v>
      </c>
      <c r="Q172" s="13" t="s">
        <v>61</v>
      </c>
      <c r="R172" s="518" t="str">
        <f>IF(AND(_AC1="B-767-200",'2023'!$H$4="CA",'2023'!$H$2=R157),'2023DATA'!$C$17,"")</f>
        <v/>
      </c>
      <c r="S172" s="518" t="str">
        <f>IF(AND(_AC1="B-767-200",'2023'!$H$4="CA",'2023'!$H$2=S157),'2023DATA'!$D$17,"")</f>
        <v/>
      </c>
      <c r="T172" s="518" t="str">
        <f>IF(AND(_AC1="B-767-200",'2023'!$H$4="CA",'2023'!$H$2=T157),'2023DATA'!$E$17,"")</f>
        <v/>
      </c>
      <c r="U172" s="518" t="str">
        <f>IF(AND(_AC1="B-767-200",'2023'!$H$4="CA",'2023'!$H$2=U157),'2023DATA'!$F$17,"")</f>
        <v/>
      </c>
      <c r="V172" s="518" t="str">
        <f>IF(AND(_AC1="B-767-200",'2023'!$H$4="CA",'2023'!$H$2=V157),'2023DATA'!$G$17,"")</f>
        <v/>
      </c>
      <c r="W172" s="518" t="str">
        <f>IF(AND(_AC1="B-767-200",'2023'!$H$4="CA",'2023'!$H$2=W157),'2023DATA'!$H$17,"")</f>
        <v/>
      </c>
      <c r="X172" s="518" t="str">
        <f>IF(AND(_AC1="B-767-200",'2023'!$H$4="CA",'2023'!$H$2=X157),'2023DATA'!$I$17,"")</f>
        <v/>
      </c>
      <c r="Y172" s="518" t="str">
        <f>IF(AND(_AC1="B-767-200",'2023'!$H$4="CA",'2023'!$H$2=Y157),'2023DATA'!$J$17,"")</f>
        <v/>
      </c>
      <c r="Z172" s="518" t="str">
        <f>IF(AND(_AC1="B-767-200",'2023'!$H$4="CA",'2023'!$H$2=Z157),'2023DATA'!$K$17,"")</f>
        <v/>
      </c>
      <c r="AA172" s="518" t="str">
        <f>IF(AND(_AC1="B-767-200",'2023'!$H$4="CA",'2023'!$H$2=AA157),'2023DATA'!$L$17,"")</f>
        <v/>
      </c>
      <c r="AB172" s="518" t="str">
        <f>IF(AND(_AC1="B-767-200",'2023'!$H$4="CA",'2023'!$H$2=AB157),'2023DATA'!$M$17,"")</f>
        <v/>
      </c>
      <c r="AC172" s="520" t="str">
        <f>IF(AND(_AC1="B-767-200",'2023'!$H$4="CA",'2023'!$H$2=AC157),'2023DATA'!$N$17,"")</f>
        <v/>
      </c>
      <c r="AD172" s="940" t="s">
        <v>68</v>
      </c>
      <c r="AE172" s="13" t="s">
        <v>61</v>
      </c>
      <c r="AF172" s="518" t="str">
        <f>IF(AND(_AC2="B-767-200",'2023'!$H$4="CA",'2023'!$H$2=AF157),'2023DATA'!$C$17,"")</f>
        <v/>
      </c>
      <c r="AG172" s="518" t="str">
        <f>IF(AND(_AC2="B-767-200",'2023'!$H$4="CA",'2023'!$H$2=AG157),'2023DATA'!$D$17,"")</f>
        <v/>
      </c>
      <c r="AH172" s="518" t="str">
        <f>IF(AND(_AC2="B-767-200",'2023'!$H$4="CA",'2023'!$H$2=AH157),'2023DATA'!$E$17,"")</f>
        <v/>
      </c>
      <c r="AI172" s="518" t="str">
        <f>IF(AND(_AC2="B-767-200",'2023'!$H$4="CA",'2023'!$H$2=AI157),'2023DATA'!$F$17,"")</f>
        <v/>
      </c>
      <c r="AJ172" s="518" t="str">
        <f>IF(AND(_AC2="B-767-200",'2023'!$H$4="CA",'2023'!$H$2=AJ157),'2023DATA'!$G$17,"")</f>
        <v/>
      </c>
      <c r="AK172" s="518" t="str">
        <f>IF(AND(_AC2="B-767-200",'2023'!$H$4="CA",'2023'!$H$2=AK157),'2023DATA'!$H$17,"")</f>
        <v/>
      </c>
      <c r="AL172" s="518" t="str">
        <f>IF(AND(_AC2="B-767-200",'2023'!$H$4="CA",'2023'!$H$2=AL157),'2023DATA'!$I$17,"")</f>
        <v/>
      </c>
      <c r="AM172" s="518" t="str">
        <f>IF(AND(_AC2="B-767-200",'2023'!$H$4="CA",'2023'!$H$2=AM157),'2023DATA'!$J$17,"")</f>
        <v/>
      </c>
      <c r="AN172" s="518" t="str">
        <f>IF(AND(_AC2="B-767-200",'2023'!$H$4="CA",'2023'!$H$2=AN157),'2023DATA'!$K$17,"")</f>
        <v/>
      </c>
      <c r="AO172" s="518" t="str">
        <f>IF(AND(_AC2="B-767-200",'2023'!$H$4="CA",'2023'!$H$2=AO157),'2023DATA'!$L$17,"")</f>
        <v/>
      </c>
      <c r="AP172" s="518" t="str">
        <f>IF(AND(_AC2="B-767-200",'2023'!$H$4="CA",'2023'!$H$2=AP157),'2023DATA'!$M$17,"")</f>
        <v/>
      </c>
      <c r="AQ172" s="520" t="str">
        <f>IF(AND(_AC2="B-767-200",'2023'!$H$4="CA",'2023'!$H$2=AQ157),'2023DATA'!$N$17,"")</f>
        <v/>
      </c>
      <c r="AR172" s="940" t="s">
        <v>68</v>
      </c>
      <c r="AS172" s="13" t="s">
        <v>61</v>
      </c>
      <c r="AT172" s="518" t="str">
        <f>IF(AND(_AC3="B-767-200",'2023'!$H$4="CA",'2023'!$H$2=AT157),'2023DATA'!$C$17,"")</f>
        <v/>
      </c>
      <c r="AU172" s="518" t="str">
        <f>IF(AND(_AC3="B-767-200",'2023'!$H$4="CA",'2023'!$H$2=AU157),'2023DATA'!$D$17,"")</f>
        <v/>
      </c>
      <c r="AV172" s="518" t="str">
        <f>IF(AND(_AC3="B-767-200",'2023'!$H$4="CA",'2023'!$H$2=AV157),'2023DATA'!$E$17,"")</f>
        <v/>
      </c>
      <c r="AW172" s="518" t="str">
        <f>IF(AND(_AC3="B-767-200",'2023'!$H$4="CA",'2023'!$H$2=AW157),'2023DATA'!$F$17,"")</f>
        <v/>
      </c>
      <c r="AX172" s="518" t="str">
        <f>IF(AND(_AC3="B-767-200",'2023'!$H$4="CA",'2023'!$H$2=AX157),'2023DATA'!$G$17,"")</f>
        <v/>
      </c>
      <c r="AY172" s="518" t="str">
        <f>IF(AND(_AC3="B-767-200",'2023'!$H$4="CA",'2023'!$H$2=AY157),'2023DATA'!$H$17,"")</f>
        <v/>
      </c>
      <c r="AZ172" s="518" t="str">
        <f>IF(AND(_AC3="B-767-200",'2023'!$H$4="CA",'2023'!$H$2=AZ157),'2023DATA'!$I$17,"")</f>
        <v/>
      </c>
      <c r="BA172" s="518" t="str">
        <f>IF(AND(_AC3="B-767-200",'2023'!$H$4="CA",'2023'!$H$2=BA157),'2023DATA'!$J$17,"")</f>
        <v/>
      </c>
      <c r="BB172" s="518" t="str">
        <f>IF(AND(_AC3="B-767-200",'2023'!$H$4="CA",'2023'!$H$2=BB157),'2023DATA'!$K$17,"")</f>
        <v/>
      </c>
      <c r="BC172" s="518" t="str">
        <f>IF(AND(_AC3="B-767-200",'2023'!$H$4="CA",'2023'!$H$2=BC157),'2023DATA'!$L$17,"")</f>
        <v/>
      </c>
      <c r="BD172" s="518" t="str">
        <f>IF(AND(_AC3="B-767-200",'2023'!$H$4="CA",'2023'!$H$2=BD157),'2023DATA'!$M$17,"")</f>
        <v/>
      </c>
      <c r="BE172" s="520" t="str">
        <f>IF(AND(_AC3="B-767-200",'2023'!$H$4="CA",'2023'!$H$2=BE157),'2023DATA'!$N$17,"")</f>
        <v/>
      </c>
      <c r="BF172" s="940" t="s">
        <v>68</v>
      </c>
      <c r="BG172" s="13" t="s">
        <v>61</v>
      </c>
      <c r="BH172" s="518" t="str">
        <f>IF(AND(_AC4="B-767-200",'2023'!$H$4="CA",'2023'!$H$2=BH157),'2023DATA'!$C$17,"")</f>
        <v/>
      </c>
      <c r="BI172" s="518" t="str">
        <f>IF(AND(_AC4="B-767-200",'2023'!$H$4="CA",'2023'!$H$2=BI157),'2023DATA'!$D$17,"")</f>
        <v/>
      </c>
      <c r="BJ172" s="518" t="str">
        <f>IF(AND(_AC4="B-767-200",'2023'!$H$4="CA",'2023'!$H$2=BJ157),'2023DATA'!$E$17,"")</f>
        <v/>
      </c>
      <c r="BK172" s="518" t="str">
        <f>IF(AND(_AC4="B-767-200",'2023'!$H$4="CA",'2023'!$H$2=BK157),'2023DATA'!$F$17,"")</f>
        <v/>
      </c>
      <c r="BL172" s="518" t="str">
        <f>IF(AND(_AC4="B-767-200",'2023'!$H$4="CA",'2023'!$H$2=BL157),'2023DATA'!$G$17,"")</f>
        <v/>
      </c>
      <c r="BM172" s="518" t="str">
        <f>IF(AND(_AC4="B-767-200",'2023'!$H$4="CA",'2023'!$H$2=BM157),'2023DATA'!$H$17,"")</f>
        <v/>
      </c>
      <c r="BN172" s="518" t="str">
        <f>IF(AND(_AC4="B-767-200",'2023'!$H$4="CA",'2023'!$H$2=BN157),'2023DATA'!$I$17,"")</f>
        <v/>
      </c>
      <c r="BO172" s="518" t="str">
        <f>IF(AND(_AC4="B-767-200",'2023'!$H$4="CA",'2023'!$H$2=BO157),'2023DATA'!$J$17,"")</f>
        <v/>
      </c>
      <c r="BP172" s="518" t="str">
        <f>IF(AND(_AC4="B-767-200",'2023'!$H$4="CA",'2023'!$H$2=BP157),'2023DATA'!$K$17,"")</f>
        <v/>
      </c>
      <c r="BQ172" s="518" t="str">
        <f>IF(AND(_AC4="B-767-200",'2023'!$H$4="CA",'2023'!$H$2=BQ157),'2023DATA'!$L$17,"")</f>
        <v/>
      </c>
      <c r="BR172" s="518" t="str">
        <f>IF(AND(_AC4="B-767-200",'2023'!$H$4="CA",'2023'!$H$2=BR157),'2023DATA'!$M$17,"")</f>
        <v/>
      </c>
      <c r="BS172" s="520" t="str">
        <f>IF(AND(_AC4="B-767-200",'2023'!$H$4="CA",'2023'!$H$2=BS157),'2023DATA'!$N$17,"")</f>
        <v/>
      </c>
      <c r="BT172" s="940" t="s">
        <v>68</v>
      </c>
      <c r="BU172" s="13" t="s">
        <v>61</v>
      </c>
      <c r="BV172" s="518" t="str">
        <f>IF(AND(_AC5="B-767-200",'2023'!$H$4="CA",'2023'!$H$2=BV157),'2023DATA'!$C$17,"")</f>
        <v/>
      </c>
      <c r="BW172" s="518" t="str">
        <f>IF(AND(_AC5="B-767-200",'2023'!$H$4="CA",'2023'!$H$2=BW157),'2023DATA'!$D$17,"")</f>
        <v/>
      </c>
      <c r="BX172" s="518" t="str">
        <f>IF(AND(_AC5="B-767-200",'2023'!$H$4="CA",'2023'!$H$2=BX157),'2023DATA'!$E$17,"")</f>
        <v/>
      </c>
      <c r="BY172" s="518" t="str">
        <f>IF(AND(_AC5="B-767-200",'2023'!$H$4="CA",'2023'!$H$2=BY157),'2023DATA'!$F$17,"")</f>
        <v/>
      </c>
      <c r="BZ172" s="518" t="str">
        <f>IF(AND(_AC5="B-767-200",'2023'!$H$4="CA",'2023'!$H$2=BZ157),'2023DATA'!$G$17,"")</f>
        <v/>
      </c>
      <c r="CA172" s="518" t="str">
        <f>IF(AND(_AC5="B-767-200",'2023'!$H$4="CA",'2023'!$H$2=CA157),'2023DATA'!$H$17,"")</f>
        <v/>
      </c>
      <c r="CB172" s="518" t="str">
        <f>IF(AND(_AC5="B-767-200",'2023'!$H$4="CA",'2023'!$H$2=CB157),'2023DATA'!$I$17,"")</f>
        <v/>
      </c>
      <c r="CC172" s="518" t="str">
        <f>IF(AND(_AC5="B-767-200",'2023'!$H$4="CA",'2023'!$H$2=CC157),'2023DATA'!$J$17,"")</f>
        <v/>
      </c>
      <c r="CD172" s="518" t="str">
        <f>IF(AND(_AC5="B-767-200",'2023'!$H$4="CA",'2023'!$H$2=CD157),'2023DATA'!$K$17,"")</f>
        <v/>
      </c>
      <c r="CE172" s="518" t="str">
        <f>IF(AND(_AC5="B-767-200",'2023'!$H$4="CA",'2023'!$H$2=CE157),'2023DATA'!$L$17,"")</f>
        <v/>
      </c>
      <c r="CF172" s="518" t="str">
        <f>IF(AND(_AC5="B-767-200",'2023'!$H$4="CA",'2023'!$H$2=CF157),'2023DATA'!$M$17,"")</f>
        <v/>
      </c>
      <c r="CG172" s="520" t="str">
        <f>IF(AND(_AC5="B-767-200",'2023'!$H$4="CA",'2023'!$H$2=CG157),'2023DATA'!$N$17,"")</f>
        <v/>
      </c>
      <c r="CH172" s="940" t="s">
        <v>68</v>
      </c>
      <c r="CI172" s="13" t="s">
        <v>61</v>
      </c>
      <c r="CJ172" s="518" t="str">
        <f>IF(AND(_AC6="B-767-200",'2023'!$H$4="CA",'2023'!$H$2=CJ157),'2023DATA'!$C$17,"")</f>
        <v/>
      </c>
      <c r="CK172" s="518" t="str">
        <f>IF(AND(_AC6="B-767-200",'2023'!$H$4="CA",'2023'!$H$2=CK157),'2023DATA'!$D$17,"")</f>
        <v/>
      </c>
      <c r="CL172" s="518" t="str">
        <f>IF(AND(_AC6="B-767-200",'2023'!$H$4="CA",'2023'!$H$2=CL157),'2023DATA'!$E$17,"")</f>
        <v/>
      </c>
      <c r="CM172" s="518" t="str">
        <f>IF(AND(_AC6="B-767-200",'2023'!$H$4="CA",'2023'!$H$2=CM157),'2023DATA'!$F$17,"")</f>
        <v/>
      </c>
      <c r="CN172" s="518" t="str">
        <f>IF(AND(_AC6="B-767-200",'2023'!$H$4="CA",'2023'!$H$2=CN157),'2023DATA'!$G$17,"")</f>
        <v/>
      </c>
      <c r="CO172" s="518" t="str">
        <f>IF(AND(_AC6="B-767-200",'2023'!$H$4="CA",'2023'!$H$2=CO157),'2023DATA'!$H$17,"")</f>
        <v/>
      </c>
      <c r="CP172" s="518" t="str">
        <f>IF(AND(_AC6="B-767-200",'2023'!$H$4="CA",'2023'!$H$2=CP157),'2023DATA'!$I$17,"")</f>
        <v/>
      </c>
      <c r="CQ172" s="518" t="str">
        <f>IF(AND(_AC6="B-767-200",'2023'!$H$4="CA",'2023'!$H$2=CQ157),'2023DATA'!$J$17,"")</f>
        <v/>
      </c>
      <c r="CR172" s="518" t="str">
        <f>IF(AND(_AC6="B-767-200",'2023'!$H$4="CA",'2023'!$H$2=CR157),'2023DATA'!$K$17,"")</f>
        <v/>
      </c>
      <c r="CS172" s="518" t="str">
        <f>IF(AND(_AC6="B-767-200",'2023'!$H$4="CA",'2023'!$H$2=CS157),'2023DATA'!$L$17,"")</f>
        <v/>
      </c>
      <c r="CT172" s="518" t="str">
        <f>IF(AND(_AC6="B-767-200",'2023'!$H$4="CA",'2023'!$H$2=CT157),'2023DATA'!$M$17,"")</f>
        <v/>
      </c>
      <c r="CU172" s="520" t="str">
        <f>IF(AND(_AC6="B-767-200",'2023'!$H$4="CA",'2023'!$H$2=CU157),'2023DATA'!$N$17,"")</f>
        <v/>
      </c>
    </row>
    <row r="173" spans="16:99" x14ac:dyDescent="0.25">
      <c r="P173" s="940"/>
      <c r="Q173" s="13" t="s">
        <v>62</v>
      </c>
      <c r="R173" s="518" t="str">
        <f>IF(AND(_AC1="B-767-200",'2023'!$H$4="FO",'2023'!$H$2=R157),'2023DATA'!$C$18,"")</f>
        <v/>
      </c>
      <c r="S173" s="518" t="str">
        <f>IF(AND(_AC1="B-767-200",'2023'!$H$4="FO",'2023'!$H$2=S157),'2023DATA'!$D$18,"")</f>
        <v/>
      </c>
      <c r="T173" s="518" t="str">
        <f>IF(AND(_AC1="B-767-200",'2023'!$H$4="FO",'2023'!$H$2=T157),'2023DATA'!$E$18,"")</f>
        <v/>
      </c>
      <c r="U173" s="518" t="str">
        <f>IF(AND(_AC1="B-767-200",'2023'!$H$4="FO",'2023'!$H$2=U157),'2023DATA'!$F$18,"")</f>
        <v/>
      </c>
      <c r="V173" s="518" t="str">
        <f>IF(AND(_AC1="B-767-200",'2023'!$H$4="FO",'2023'!$H$2=V157),'2023DATA'!$G$18,"")</f>
        <v/>
      </c>
      <c r="W173" s="518" t="str">
        <f>IF(AND(_AC1="B-767-200",'2023'!$H$4="FO",'2023'!$H$2=W157),'2023DATA'!$H$18,"")</f>
        <v/>
      </c>
      <c r="X173" s="518" t="str">
        <f>IF(AND(_AC1="B-767-200",'2023'!$H$4="FO",'2023'!$H$2=X157),'2023DATA'!$I$18,"")</f>
        <v/>
      </c>
      <c r="Y173" s="518" t="str">
        <f>IF(AND(_AC1="B-767-200",'2023'!$H$4="FO",'2023'!$H$2=Y157),'2023DATA'!$J$18,"")</f>
        <v/>
      </c>
      <c r="Z173" s="518" t="str">
        <f>IF(AND(_AC1="B-767-200",'2023'!$H$4="FO",'2023'!$H$2=Z157),'2023DATA'!$K$18,"")</f>
        <v/>
      </c>
      <c r="AA173" s="518" t="str">
        <f>IF(AND(_AC1="B-767-200",'2023'!$H$4="FO",'2023'!$H$2=AA157),'2023DATA'!$L$18,"")</f>
        <v/>
      </c>
      <c r="AB173" s="518" t="str">
        <f>IF(AND(_AC1="B-767-200",'2023'!$H$4="FO",'2023'!$H$2=AB157),'2023DATA'!$M$18,"")</f>
        <v/>
      </c>
      <c r="AC173" s="520" t="str">
        <f>IF(AND(_AC1="B-767-200",'2023'!$H$4="FO",'2023'!$H$2=AC157),'2023DATA'!$N$18,"")</f>
        <v/>
      </c>
      <c r="AD173" s="940"/>
      <c r="AE173" s="13" t="s">
        <v>62</v>
      </c>
      <c r="AF173" s="518" t="str">
        <f>IF(AND(_AC2="B-767-200",'2023'!$H$4="FO",'2023'!$H$2=AF157),'2023DATA'!$C$18,"")</f>
        <v/>
      </c>
      <c r="AG173" s="518" t="str">
        <f>IF(AND(_AC2="B-767-200",'2023'!$H$4="FO",'2023'!$H$2=AG157),'2023DATA'!$D$18,"")</f>
        <v/>
      </c>
      <c r="AH173" s="518" t="str">
        <f>IF(AND(_AC2="B-767-200",'2023'!$H$4="FO",'2023'!$H$2=AH157),'2023DATA'!$E$18,"")</f>
        <v/>
      </c>
      <c r="AI173" s="518" t="str">
        <f>IF(AND(_AC2="B-767-200",'2023'!$H$4="FO",'2023'!$H$2=AI157),'2023DATA'!$F$18,"")</f>
        <v/>
      </c>
      <c r="AJ173" s="518" t="str">
        <f>IF(AND(_AC2="B-767-200",'2023'!$H$4="FO",'2023'!$H$2=AJ157),'2023DATA'!$G$18,"")</f>
        <v/>
      </c>
      <c r="AK173" s="518" t="str">
        <f>IF(AND(_AC2="B-767-200",'2023'!$H$4="FO",'2023'!$H$2=AK157),'2023DATA'!$H$18,"")</f>
        <v/>
      </c>
      <c r="AL173" s="518" t="str">
        <f>IF(AND(_AC2="B-767-200",'2023'!$H$4="FO",'2023'!$H$2=AL157),'2023DATA'!$I$18,"")</f>
        <v/>
      </c>
      <c r="AM173" s="518" t="str">
        <f>IF(AND(_AC2="B-767-200",'2023'!$H$4="FO",'2023'!$H$2=AM157),'2023DATA'!$J$18,"")</f>
        <v/>
      </c>
      <c r="AN173" s="518" t="str">
        <f>IF(AND(_AC2="B-767-200",'2023'!$H$4="FO",'2023'!$H$2=AN157),'2023DATA'!$K$18,"")</f>
        <v/>
      </c>
      <c r="AO173" s="518" t="str">
        <f>IF(AND(_AC2="B-767-200",'2023'!$H$4="FO",'2023'!$H$2=AO157),'2023DATA'!$L$18,"")</f>
        <v/>
      </c>
      <c r="AP173" s="518" t="str">
        <f>IF(AND(_AC2="B-767-200",'2023'!$H$4="FO",'2023'!$H$2=AP157),'2023DATA'!$M$18,"")</f>
        <v/>
      </c>
      <c r="AQ173" s="520" t="str">
        <f>IF(AND(_AC2="B-767-200",'2023'!$H$4="FO",'2023'!$H$2=AQ157),'2023DATA'!$N$18,"")</f>
        <v/>
      </c>
      <c r="AR173" s="940"/>
      <c r="AS173" s="13" t="s">
        <v>62</v>
      </c>
      <c r="AT173" s="518" t="str">
        <f>IF(AND(_AC3="B-767-200",'2023'!$H$4="FO",'2023'!$H$2=AT157),'2023DATA'!$C$18,"")</f>
        <v/>
      </c>
      <c r="AU173" s="518" t="str">
        <f>IF(AND(_AC3="B-767-200",'2023'!$H$4="FO",'2023'!$H$2=AU157),'2023DATA'!$D$18,"")</f>
        <v/>
      </c>
      <c r="AV173" s="518" t="str">
        <f>IF(AND(_AC3="B-767-200",'2023'!$H$4="FO",'2023'!$H$2=AV157),'2023DATA'!$E$18,"")</f>
        <v/>
      </c>
      <c r="AW173" s="518" t="str">
        <f>IF(AND(_AC3="B-767-200",'2023'!$H$4="FO",'2023'!$H$2=AW157),'2023DATA'!$F$18,"")</f>
        <v/>
      </c>
      <c r="AX173" s="518" t="str">
        <f>IF(AND(_AC3="B-767-200",'2023'!$H$4="FO",'2023'!$H$2=AX157),'2023DATA'!$G$18,"")</f>
        <v/>
      </c>
      <c r="AY173" s="518" t="str">
        <f>IF(AND(_AC3="B-767-200",'2023'!$H$4="FO",'2023'!$H$2=AY157),'2023DATA'!$H$18,"")</f>
        <v/>
      </c>
      <c r="AZ173" s="518" t="str">
        <f>IF(AND(_AC3="B-767-200",'2023'!$H$4="FO",'2023'!$H$2=AZ157),'2023DATA'!$I$18,"")</f>
        <v/>
      </c>
      <c r="BA173" s="518" t="str">
        <f>IF(AND(_AC3="B-767-200",'2023'!$H$4="FO",'2023'!$H$2=BA157),'2023DATA'!$J$18,"")</f>
        <v/>
      </c>
      <c r="BB173" s="518" t="str">
        <f>IF(AND(_AC3="B-767-200",'2023'!$H$4="FO",'2023'!$H$2=BB157),'2023DATA'!$K$18,"")</f>
        <v/>
      </c>
      <c r="BC173" s="518" t="str">
        <f>IF(AND(_AC3="B-767-200",'2023'!$H$4="FO",'2023'!$H$2=BC157),'2023DATA'!$L$18,"")</f>
        <v/>
      </c>
      <c r="BD173" s="518" t="str">
        <f>IF(AND(_AC3="B-767-200",'2023'!$H$4="FO",'2023'!$H$2=BD157),'2023DATA'!$M$18,"")</f>
        <v/>
      </c>
      <c r="BE173" s="520" t="str">
        <f>IF(AND(_AC3="B-767-200",'2023'!$H$4="FO",'2023'!$H$2=BE157),'2023DATA'!$N$18,"")</f>
        <v/>
      </c>
      <c r="BF173" s="940"/>
      <c r="BG173" s="13" t="s">
        <v>62</v>
      </c>
      <c r="BH173" s="518" t="str">
        <f>IF(AND(_AC4="B-767-200",'2023'!$H$4="FO",'2023'!$H$2=BH157),'2023DATA'!$C$18,"")</f>
        <v/>
      </c>
      <c r="BI173" s="518" t="str">
        <f>IF(AND(_AC4="B-767-200",'2023'!$H$4="FO",'2023'!$H$2=BI157),'2023DATA'!$D$18,"")</f>
        <v/>
      </c>
      <c r="BJ173" s="518" t="str">
        <f>IF(AND(_AC4="B-767-200",'2023'!$H$4="FO",'2023'!$H$2=BJ157),'2023DATA'!$E$18,"")</f>
        <v/>
      </c>
      <c r="BK173" s="518" t="str">
        <f>IF(AND(_AC4="B-767-200",'2023'!$H$4="FO",'2023'!$H$2=BK157),'2023DATA'!$F$18,"")</f>
        <v/>
      </c>
      <c r="BL173" s="518" t="str">
        <f>IF(AND(_AC4="B-767-200",'2023'!$H$4="FO",'2023'!$H$2=BL157),'2023DATA'!$G$18,"")</f>
        <v/>
      </c>
      <c r="BM173" s="518" t="str">
        <f>IF(AND(_AC4="B-767-200",'2023'!$H$4="FO",'2023'!$H$2=BM157),'2023DATA'!$H$18,"")</f>
        <v/>
      </c>
      <c r="BN173" s="518" t="str">
        <f>IF(AND(_AC4="B-767-200",'2023'!$H$4="FO",'2023'!$H$2=BN157),'2023DATA'!$I$18,"")</f>
        <v/>
      </c>
      <c r="BO173" s="518" t="str">
        <f>IF(AND(_AC4="B-767-200",'2023'!$H$4="FO",'2023'!$H$2=BO157),'2023DATA'!$J$18,"")</f>
        <v/>
      </c>
      <c r="BP173" s="518" t="str">
        <f>IF(AND(_AC4="B-767-200",'2023'!$H$4="FO",'2023'!$H$2=BP157),'2023DATA'!$K$18,"")</f>
        <v/>
      </c>
      <c r="BQ173" s="518" t="str">
        <f>IF(AND(_AC4="B-767-200",'2023'!$H$4="FO",'2023'!$H$2=BQ157),'2023DATA'!$L$18,"")</f>
        <v/>
      </c>
      <c r="BR173" s="518" t="str">
        <f>IF(AND(_AC4="B-767-200",'2023'!$H$4="FO",'2023'!$H$2=BR157),'2023DATA'!$M$18,"")</f>
        <v/>
      </c>
      <c r="BS173" s="520" t="str">
        <f>IF(AND(_AC4="B-767-200",'2023'!$H$4="FO",'2023'!$H$2=BS157),'2023DATA'!$N$18,"")</f>
        <v/>
      </c>
      <c r="BT173" s="940"/>
      <c r="BU173" s="13" t="s">
        <v>62</v>
      </c>
      <c r="BV173" s="518" t="str">
        <f>IF(AND(_AC5="B-767-200",'2023'!$H$4="FO",'2023'!$H$2=BV157),'2023DATA'!$C$18,"")</f>
        <v/>
      </c>
      <c r="BW173" s="518" t="str">
        <f>IF(AND(_AC5="B-767-200",'2023'!$H$4="FO",'2023'!$H$2=BW157),'2023DATA'!$D$18,"")</f>
        <v/>
      </c>
      <c r="BX173" s="518" t="str">
        <f>IF(AND(_AC5="B-767-200",'2023'!$H$4="FO",'2023'!$H$2=BX157),'2023DATA'!$E$18,"")</f>
        <v/>
      </c>
      <c r="BY173" s="518" t="str">
        <f>IF(AND(_AC5="B-767-200",'2023'!$H$4="FO",'2023'!$H$2=BY157),'2023DATA'!$F$18,"")</f>
        <v/>
      </c>
      <c r="BZ173" s="518" t="str">
        <f>IF(AND(_AC5="B-767-200",'2023'!$H$4="FO",'2023'!$H$2=BZ157),'2023DATA'!$G$18,"")</f>
        <v/>
      </c>
      <c r="CA173" s="518" t="str">
        <f>IF(AND(_AC5="B-767-200",'2023'!$H$4="FO",'2023'!$H$2=CA157),'2023DATA'!$H$18,"")</f>
        <v/>
      </c>
      <c r="CB173" s="518" t="str">
        <f>IF(AND(_AC5="B-767-200",'2023'!$H$4="FO",'2023'!$H$2=CB157),'2023DATA'!$I$18,"")</f>
        <v/>
      </c>
      <c r="CC173" s="518" t="str">
        <f>IF(AND(_AC5="B-767-200",'2023'!$H$4="FO",'2023'!$H$2=CC157),'2023DATA'!$J$18,"")</f>
        <v/>
      </c>
      <c r="CD173" s="518" t="str">
        <f>IF(AND(_AC5="B-767-200",'2023'!$H$4="FO",'2023'!$H$2=CD157),'2023DATA'!$K$18,"")</f>
        <v/>
      </c>
      <c r="CE173" s="518" t="str">
        <f>IF(AND(_AC5="B-767-200",'2023'!$H$4="FO",'2023'!$H$2=CE157),'2023DATA'!$L$18,"")</f>
        <v/>
      </c>
      <c r="CF173" s="518" t="str">
        <f>IF(AND(_AC5="B-767-200",'2023'!$H$4="FO",'2023'!$H$2=CF157),'2023DATA'!$M$18,"")</f>
        <v/>
      </c>
      <c r="CG173" s="520" t="str">
        <f>IF(AND(_AC5="B-767-200",'2023'!$H$4="FO",'2023'!$H$2=CG157),'2023DATA'!$N$18,"")</f>
        <v/>
      </c>
      <c r="CH173" s="940"/>
      <c r="CI173" s="13" t="s">
        <v>62</v>
      </c>
      <c r="CJ173" s="518" t="str">
        <f>IF(AND(_AC6="B-767-200",'2023'!$H$4="FO",'2023'!$H$2=CJ157),'2023DATA'!$C$18,"")</f>
        <v/>
      </c>
      <c r="CK173" s="518" t="str">
        <f>IF(AND(_AC6="B-767-200",'2023'!$H$4="FO",'2023'!$H$2=CK157),'2023DATA'!$D$18,"")</f>
        <v/>
      </c>
      <c r="CL173" s="518" t="str">
        <f>IF(AND(_AC6="B-767-200",'2023'!$H$4="FO",'2023'!$H$2=CL157),'2023DATA'!$E$18,"")</f>
        <v/>
      </c>
      <c r="CM173" s="518" t="str">
        <f>IF(AND(_AC6="B-767-200",'2023'!$H$4="FO",'2023'!$H$2=CM157),'2023DATA'!$F$18,"")</f>
        <v/>
      </c>
      <c r="CN173" s="518" t="str">
        <f>IF(AND(_AC6="B-767-200",'2023'!$H$4="FO",'2023'!$H$2=CN157),'2023DATA'!$G$18,"")</f>
        <v/>
      </c>
      <c r="CO173" s="518" t="str">
        <f>IF(AND(_AC6="B-767-200",'2023'!$H$4="FO",'2023'!$H$2=CO157),'2023DATA'!$H$18,"")</f>
        <v/>
      </c>
      <c r="CP173" s="518" t="str">
        <f>IF(AND(_AC6="B-767-200",'2023'!$H$4="FO",'2023'!$H$2=CP157),'2023DATA'!$I$18,"")</f>
        <v/>
      </c>
      <c r="CQ173" s="518" t="str">
        <f>IF(AND(_AC6="B-767-200",'2023'!$H$4="FO",'2023'!$H$2=CQ157),'2023DATA'!$J$18,"")</f>
        <v/>
      </c>
      <c r="CR173" s="518" t="str">
        <f>IF(AND(_AC6="B-767-200",'2023'!$H$4="FO",'2023'!$H$2=CR157),'2023DATA'!$K$18,"")</f>
        <v/>
      </c>
      <c r="CS173" s="518" t="str">
        <f>IF(AND(_AC6="B-767-200",'2023'!$H$4="FO",'2023'!$H$2=CS157),'2023DATA'!$L$18,"")</f>
        <v/>
      </c>
      <c r="CT173" s="518" t="str">
        <f>IF(AND(_AC6="B-767-200",'2023'!$H$4="FO",'2023'!$H$2=CT157),'2023DATA'!$M$18,"")</f>
        <v/>
      </c>
      <c r="CU173" s="520" t="str">
        <f>IF(AND(_AC6="B-767-200",'2023'!$H$4="FO",'2023'!$H$2=CU157),'2023DATA'!$N$18,"")</f>
        <v/>
      </c>
    </row>
    <row r="174" spans="16:99" x14ac:dyDescent="0.25">
      <c r="P174" s="940" t="s">
        <v>45</v>
      </c>
      <c r="Q174" s="13" t="s">
        <v>61</v>
      </c>
      <c r="R174" s="518" t="str">
        <f>IF(AND(_AC1="B-757",'2023'!$H$4="CA",'2023'!$H$2=R157),'2023DATA'!$C$19,"")</f>
        <v/>
      </c>
      <c r="S174" s="518" t="str">
        <f>IF(AND(_AC1="B-757",'2023'!$H$4="CA",'2023'!$H$2=S157),'2023DATA'!$D$19,"")</f>
        <v/>
      </c>
      <c r="T174" s="518" t="str">
        <f>IF(AND(_AC1="B-757",'2023'!$H$4="CA",'2023'!$H$2=T157),'2023DATA'!$E$19,"")</f>
        <v/>
      </c>
      <c r="U174" s="518" t="str">
        <f>IF(AND(_AC1="B-757",'2023'!$H$4="CA",'2023'!$H$2=U157),'2023DATA'!$F$19,"")</f>
        <v/>
      </c>
      <c r="V174" s="518" t="str">
        <f>IF(AND(_AC1="B-757",'2023'!$H$4="CA",'2023'!$H$2=V157),'2023DATA'!$G$19,"")</f>
        <v/>
      </c>
      <c r="W174" s="518" t="str">
        <f>IF(AND(_AC1="B-757",'2023'!$H$4="CA",'2023'!$H$2=W157),'2023DATA'!$H$19,"")</f>
        <v/>
      </c>
      <c r="X174" s="518" t="str">
        <f>IF(AND(_AC1="B-757",'2023'!$H$4="CA",'2023'!$H$2=X157),'2023DATA'!$I$19,"")</f>
        <v/>
      </c>
      <c r="Y174" s="518" t="str">
        <f>IF(AND(_AC1="B-757",'2023'!$H$4="CA",'2023'!$H$2=Y157),'2023DATA'!$J$19,"")</f>
        <v/>
      </c>
      <c r="Z174" s="518" t="str">
        <f>IF(AND(_AC1="B-757",'2023'!$H$4="CA",'2023'!$H$2=Z157),'2023DATA'!$K$19,"")</f>
        <v/>
      </c>
      <c r="AA174" s="518" t="str">
        <f>IF(AND(_AC1="B-757",'2023'!$H$4="CA",'2023'!$H$2=AA157),'2023DATA'!$L$19,"")</f>
        <v/>
      </c>
      <c r="AB174" s="518" t="str">
        <f>IF(AND(_AC1="B-757",'2023'!$H$4="CA",'2023'!$H$2=AB157),'2023DATA'!$M$19,"")</f>
        <v/>
      </c>
      <c r="AC174" s="520" t="str">
        <f>IF(AND(_AC1="B-757",'2023'!$H$4="CA",'2023'!$H$2=AC157),'2023DATA'!$N$19,"")</f>
        <v/>
      </c>
      <c r="AD174" s="940" t="s">
        <v>45</v>
      </c>
      <c r="AE174" s="13" t="s">
        <v>61</v>
      </c>
      <c r="AF174" s="518" t="str">
        <f>IF(AND(_AC2="B-757",'2023'!$H$4="CA",'2023'!$H$2=AF157),'2023DATA'!$C$19,"")</f>
        <v/>
      </c>
      <c r="AG174" s="518" t="str">
        <f>IF(AND(_AC2="B-757",'2023'!$H$4="CA",'2023'!$H$2=AG157),'2023DATA'!$D$19,"")</f>
        <v/>
      </c>
      <c r="AH174" s="518" t="str">
        <f>IF(AND(_AC2="B-757",'2023'!$H$4="CA",'2023'!$H$2=AH157),'2023DATA'!$E$19,"")</f>
        <v/>
      </c>
      <c r="AI174" s="518" t="str">
        <f>IF(AND(_AC2="B-757",'2023'!$H$4="CA",'2023'!$H$2=AI157),'2023DATA'!$F$19,"")</f>
        <v/>
      </c>
      <c r="AJ174" s="518" t="str">
        <f>IF(AND(_AC2="B-757",'2023'!$H$4="CA",'2023'!$H$2=AJ157),'2023DATA'!$G$19,"")</f>
        <v/>
      </c>
      <c r="AK174" s="518" t="str">
        <f>IF(AND(_AC2="B-757",'2023'!$H$4="CA",'2023'!$H$2=AK157),'2023DATA'!$H$19,"")</f>
        <v/>
      </c>
      <c r="AL174" s="518" t="str">
        <f>IF(AND(_AC2="B-757",'2023'!$H$4="CA",'2023'!$H$2=AL157),'2023DATA'!$I$19,"")</f>
        <v/>
      </c>
      <c r="AM174" s="518" t="str">
        <f>IF(AND(_AC2="B-757",'2023'!$H$4="CA",'2023'!$H$2=AM157),'2023DATA'!$J$19,"")</f>
        <v/>
      </c>
      <c r="AN174" s="518" t="str">
        <f>IF(AND(_AC2="B-757",'2023'!$H$4="CA",'2023'!$H$2=AN157),'2023DATA'!$K$19,"")</f>
        <v/>
      </c>
      <c r="AO174" s="518" t="str">
        <f>IF(AND(_AC2="B-757",'2023'!$H$4="CA",'2023'!$H$2=AO157),'2023DATA'!$L$19,"")</f>
        <v/>
      </c>
      <c r="AP174" s="518" t="str">
        <f>IF(AND(_AC2="B-757",'2023'!$H$4="CA",'2023'!$H$2=AP157),'2023DATA'!$M$19,"")</f>
        <v/>
      </c>
      <c r="AQ174" s="520" t="str">
        <f>IF(AND(_AC2="B-757",'2023'!$H$4="CA",'2023'!$H$2=AQ157),'2023DATA'!$N$19,"")</f>
        <v/>
      </c>
      <c r="AR174" s="940" t="s">
        <v>45</v>
      </c>
      <c r="AS174" s="13" t="s">
        <v>61</v>
      </c>
      <c r="AT174" s="518" t="str">
        <f>IF(AND(_AC3="B-757",'2023'!$H$4="CA",'2023'!$H$2=AT157),'2023DATA'!$C$19,"")</f>
        <v/>
      </c>
      <c r="AU174" s="518" t="str">
        <f>IF(AND(_AC3="B-757",'2023'!$H$4="CA",'2023'!$H$2=AU157),'2023DATA'!$D$19,"")</f>
        <v/>
      </c>
      <c r="AV174" s="518" t="str">
        <f>IF(AND(_AC3="B-757",'2023'!$H$4="CA",'2023'!$H$2=AV157),'2023DATA'!$E$19,"")</f>
        <v/>
      </c>
      <c r="AW174" s="518" t="str">
        <f>IF(AND(_AC3="B-757",'2023'!$H$4="CA",'2023'!$H$2=AW157),'2023DATA'!$F$19,"")</f>
        <v/>
      </c>
      <c r="AX174" s="518" t="str">
        <f>IF(AND(_AC3="B-757",'2023'!$H$4="CA",'2023'!$H$2=AX157),'2023DATA'!$G$19,"")</f>
        <v/>
      </c>
      <c r="AY174" s="518" t="str">
        <f>IF(AND(_AC3="B-757",'2023'!$H$4="CA",'2023'!$H$2=AY157),'2023DATA'!$H$19,"")</f>
        <v/>
      </c>
      <c r="AZ174" s="518" t="str">
        <f>IF(AND(_AC3="B-757",'2023'!$H$4="CA",'2023'!$H$2=AZ157),'2023DATA'!$I$19,"")</f>
        <v/>
      </c>
      <c r="BA174" s="518" t="str">
        <f>IF(AND(_AC3="B-757",'2023'!$H$4="CA",'2023'!$H$2=BA157),'2023DATA'!$J$19,"")</f>
        <v/>
      </c>
      <c r="BB174" s="518" t="str">
        <f>IF(AND(_AC3="B-757",'2023'!$H$4="CA",'2023'!$H$2=BB157),'2023DATA'!$K$19,"")</f>
        <v/>
      </c>
      <c r="BC174" s="518" t="str">
        <f>IF(AND(_AC3="B-757",'2023'!$H$4="CA",'2023'!$H$2=BC157),'2023DATA'!$L$19,"")</f>
        <v/>
      </c>
      <c r="BD174" s="518" t="str">
        <f>IF(AND(_AC3="B-757",'2023'!$H$4="CA",'2023'!$H$2=BD157),'2023DATA'!$M$19,"")</f>
        <v/>
      </c>
      <c r="BE174" s="520" t="str">
        <f>IF(AND(_AC3="B-757",'2023'!$H$4="CA",'2023'!$H$2=BE157),'2023DATA'!$N$19,"")</f>
        <v/>
      </c>
      <c r="BF174" s="940" t="s">
        <v>45</v>
      </c>
      <c r="BG174" s="13" t="s">
        <v>61</v>
      </c>
      <c r="BH174" s="518" t="str">
        <f>IF(AND(_AC4="B-757",'2023'!$H$4="CA",'2023'!$H$2=BH157),'2023DATA'!$C$19,"")</f>
        <v/>
      </c>
      <c r="BI174" s="518" t="str">
        <f>IF(AND(_AC4="B-757",'2023'!$H$4="CA",'2023'!$H$2=BI157),'2023DATA'!$D$19,"")</f>
        <v/>
      </c>
      <c r="BJ174" s="518" t="str">
        <f>IF(AND(_AC4="B-757",'2023'!$H$4="CA",'2023'!$H$2=BJ157),'2023DATA'!$E$19,"")</f>
        <v/>
      </c>
      <c r="BK174" s="518" t="str">
        <f>IF(AND(_AC4="B-757",'2023'!$H$4="CA",'2023'!$H$2=BK157),'2023DATA'!$F$19,"")</f>
        <v/>
      </c>
      <c r="BL174" s="518" t="str">
        <f>IF(AND(_AC4="B-757",'2023'!$H$4="CA",'2023'!$H$2=BL157),'2023DATA'!$G$19,"")</f>
        <v/>
      </c>
      <c r="BM174" s="518" t="str">
        <f>IF(AND(_AC4="B-757",'2023'!$H$4="CA",'2023'!$H$2=BM157),'2023DATA'!$H$19,"")</f>
        <v/>
      </c>
      <c r="BN174" s="518" t="str">
        <f>IF(AND(_AC4="B-757",'2023'!$H$4="CA",'2023'!$H$2=BN157),'2023DATA'!$I$19,"")</f>
        <v/>
      </c>
      <c r="BO174" s="518" t="str">
        <f>IF(AND(_AC4="B-757",'2023'!$H$4="CA",'2023'!$H$2=BO157),'2023DATA'!$J$19,"")</f>
        <v/>
      </c>
      <c r="BP174" s="518" t="str">
        <f>IF(AND(_AC4="B-757",'2023'!$H$4="CA",'2023'!$H$2=BP157),'2023DATA'!$K$19,"")</f>
        <v/>
      </c>
      <c r="BQ174" s="518" t="str">
        <f>IF(AND(_AC4="B-757",'2023'!$H$4="CA",'2023'!$H$2=BQ157),'2023DATA'!$L$19,"")</f>
        <v/>
      </c>
      <c r="BR174" s="518" t="str">
        <f>IF(AND(_AC4="B-757",'2023'!$H$4="CA",'2023'!$H$2=BR157),'2023DATA'!$M$19,"")</f>
        <v/>
      </c>
      <c r="BS174" s="520" t="str">
        <f>IF(AND(_AC4="B-757",'2023'!$H$4="CA",'2023'!$H$2=BS157),'2023DATA'!$N$19,"")</f>
        <v/>
      </c>
      <c r="BT174" s="940" t="s">
        <v>45</v>
      </c>
      <c r="BU174" s="13" t="s">
        <v>61</v>
      </c>
      <c r="BV174" s="518" t="str">
        <f>IF(AND(_AC5="B-757",'2023'!$H$4="CA",'2023'!$H$2=BV157),'2023DATA'!$C$19,"")</f>
        <v/>
      </c>
      <c r="BW174" s="518" t="str">
        <f>IF(AND(_AC5="B-757",'2023'!$H$4="CA",'2023'!$H$2=BW157),'2023DATA'!$D$19,"")</f>
        <v/>
      </c>
      <c r="BX174" s="518" t="str">
        <f>IF(AND(_AC5="B-757",'2023'!$H$4="CA",'2023'!$H$2=BX157),'2023DATA'!$E$19,"")</f>
        <v/>
      </c>
      <c r="BY174" s="518" t="str">
        <f>IF(AND(_AC5="B-757",'2023'!$H$4="CA",'2023'!$H$2=BY157),'2023DATA'!$F$19,"")</f>
        <v/>
      </c>
      <c r="BZ174" s="518" t="str">
        <f>IF(AND(_AC5="B-757",'2023'!$H$4="CA",'2023'!$H$2=BZ157),'2023DATA'!$G$19,"")</f>
        <v/>
      </c>
      <c r="CA174" s="518" t="str">
        <f>IF(AND(_AC5="B-757",'2023'!$H$4="CA",'2023'!$H$2=CA157),'2023DATA'!$H$19,"")</f>
        <v/>
      </c>
      <c r="CB174" s="518" t="str">
        <f>IF(AND(_AC5="B-757",'2023'!$H$4="CA",'2023'!$H$2=CB157),'2023DATA'!$I$19,"")</f>
        <v/>
      </c>
      <c r="CC174" s="518" t="str">
        <f>IF(AND(_AC5="B-757",'2023'!$H$4="CA",'2023'!$H$2=CC157),'2023DATA'!$J$19,"")</f>
        <v/>
      </c>
      <c r="CD174" s="518" t="str">
        <f>IF(AND(_AC5="B-757",'2023'!$H$4="CA",'2023'!$H$2=CD157),'2023DATA'!$K$19,"")</f>
        <v/>
      </c>
      <c r="CE174" s="518" t="str">
        <f>IF(AND(_AC5="B-757",'2023'!$H$4="CA",'2023'!$H$2=CE157),'2023DATA'!$L$19,"")</f>
        <v/>
      </c>
      <c r="CF174" s="518" t="str">
        <f>IF(AND(_AC5="B-757",'2023'!$H$4="CA",'2023'!$H$2=CF157),'2023DATA'!$M$19,"")</f>
        <v/>
      </c>
      <c r="CG174" s="520" t="str">
        <f>IF(AND(_AC5="B-757",'2023'!$H$4="CA",'2023'!$H$2=CG157),'2023DATA'!$N$19,"")</f>
        <v/>
      </c>
      <c r="CH174" s="940" t="s">
        <v>45</v>
      </c>
      <c r="CI174" s="13" t="s">
        <v>61</v>
      </c>
      <c r="CJ174" s="518" t="str">
        <f>IF(AND(_AC6="B-757",'2023'!$H$4="CA",'2023'!$H$2=CJ157),'2023DATA'!$C$19,"")</f>
        <v/>
      </c>
      <c r="CK174" s="518" t="str">
        <f>IF(AND(_AC6="B-757",'2023'!$H$4="CA",'2023'!$H$2=CK157),'2023DATA'!$D$19,"")</f>
        <v/>
      </c>
      <c r="CL174" s="518" t="str">
        <f>IF(AND(_AC6="B-757",'2023'!$H$4="CA",'2023'!$H$2=CL157),'2023DATA'!$E$19,"")</f>
        <v/>
      </c>
      <c r="CM174" s="518" t="str">
        <f>IF(AND(_AC6="B-757",'2023'!$H$4="CA",'2023'!$H$2=CM157),'2023DATA'!$F$19,"")</f>
        <v/>
      </c>
      <c r="CN174" s="518" t="str">
        <f>IF(AND(_AC6="B-757",'2023'!$H$4="CA",'2023'!$H$2=CN157),'2023DATA'!$G$19,"")</f>
        <v/>
      </c>
      <c r="CO174" s="518" t="str">
        <f>IF(AND(_AC6="B-757",'2023'!$H$4="CA",'2023'!$H$2=CO157),'2023DATA'!$H$19,"")</f>
        <v/>
      </c>
      <c r="CP174" s="518" t="str">
        <f>IF(AND(_AC6="B-757",'2023'!$H$4="CA",'2023'!$H$2=CP157),'2023DATA'!$I$19,"")</f>
        <v/>
      </c>
      <c r="CQ174" s="518" t="str">
        <f>IF(AND(_AC6="B-757",'2023'!$H$4="CA",'2023'!$H$2=CQ157),'2023DATA'!$J$19,"")</f>
        <v/>
      </c>
      <c r="CR174" s="518" t="str">
        <f>IF(AND(_AC6="B-757",'2023'!$H$4="CA",'2023'!$H$2=CR157),'2023DATA'!$K$19,"")</f>
        <v/>
      </c>
      <c r="CS174" s="518" t="str">
        <f>IF(AND(_AC6="B-757",'2023'!$H$4="CA",'2023'!$H$2=CS157),'2023DATA'!$L$19,"")</f>
        <v/>
      </c>
      <c r="CT174" s="518" t="str">
        <f>IF(AND(_AC6="B-757",'2023'!$H$4="CA",'2023'!$H$2=CT157),'2023DATA'!$M$19,"")</f>
        <v/>
      </c>
      <c r="CU174" s="520" t="str">
        <f>IF(AND(_AC6="B-757",'2023'!$H$4="CA",'2023'!$H$2=CU157),'2023DATA'!$N$19,"")</f>
        <v/>
      </c>
    </row>
    <row r="175" spans="16:99" x14ac:dyDescent="0.25">
      <c r="P175" s="940"/>
      <c r="Q175" s="13" t="s">
        <v>62</v>
      </c>
      <c r="R175" s="518" t="str">
        <f>IF(AND(_AC1="B-757",'2023'!$H$4="FO",'2023'!$H$2=R157),'2023DATA'!$C$20,"")</f>
        <v/>
      </c>
      <c r="S175" s="518" t="str">
        <f>IF(AND(_AC1="B-757",'2023'!$H$4="FO",'2023'!$H$2=S157),'2023DATA'!$D$20,"")</f>
        <v/>
      </c>
      <c r="T175" s="518" t="str">
        <f>IF(AND(_AC1="B-757",'2023'!$H$4="FO",'2023'!$H$2=T157),'2023DATA'!$E$20,"")</f>
        <v/>
      </c>
      <c r="U175" s="518" t="str">
        <f>IF(AND(_AC1="B-757",'2023'!$H$4="FO",'2023'!$H$2=U157),'2023DATA'!$F$20,"")</f>
        <v/>
      </c>
      <c r="V175" s="518" t="str">
        <f>IF(AND(_AC1="B-757",'2023'!$H$4="FO",'2023'!$H$2=V157),'2023DATA'!$G$20,"")</f>
        <v/>
      </c>
      <c r="W175" s="518" t="str">
        <f>IF(AND(_AC1="B-757",'2023'!$H$4="FO",'2023'!$H$2=W157),'2023DATA'!$H$20,"")</f>
        <v/>
      </c>
      <c r="X175" s="518" t="str">
        <f>IF(AND(_AC1="B-757",'2023'!$H$4="FO",'2023'!$H$2=X157),'2023DATA'!$I$20,"")</f>
        <v/>
      </c>
      <c r="Y175" s="518" t="str">
        <f>IF(AND(_AC1="B-757",'2023'!$H$4="FO",'2023'!$H$2=Y157),'2023DATA'!$J$20,"")</f>
        <v/>
      </c>
      <c r="Z175" s="518" t="str">
        <f>IF(AND(_AC1="B-757",'2023'!$H$4="FO",'2023'!$H$2=Z157),'2023DATA'!$K$20,"")</f>
        <v/>
      </c>
      <c r="AA175" s="518" t="str">
        <f>IF(AND(_AC1="B-757",'2023'!$H$4="FO",'2023'!$H$2=AA157),'2023DATA'!$L$20,"")</f>
        <v/>
      </c>
      <c r="AB175" s="518" t="str">
        <f>IF(AND(_AC1="B-757",'2023'!$H$4="FO",'2023'!$H$2=AB157),'2023DATA'!$M$20,"")</f>
        <v/>
      </c>
      <c r="AC175" s="520" t="str">
        <f>IF(AND(_AC1="B-757",'2023'!$H$4="FO",'2023'!$H$2=AC157),'2023DATA'!$N$20,"")</f>
        <v/>
      </c>
      <c r="AD175" s="940"/>
      <c r="AE175" s="13" t="s">
        <v>62</v>
      </c>
      <c r="AF175" s="518" t="str">
        <f>IF(AND(_AC2="B-757",'2023'!$H$4="FO",'2023'!$H$2=AF157),'2023DATA'!$C$20,"")</f>
        <v/>
      </c>
      <c r="AG175" s="518" t="str">
        <f>IF(AND(_AC2="B-757",'2023'!$H$4="FO",'2023'!$H$2=AG157),'2023DATA'!$D$20,"")</f>
        <v/>
      </c>
      <c r="AH175" s="518" t="str">
        <f>IF(AND(_AC2="B-757",'2023'!$H$4="FO",'2023'!$H$2=AH157),'2023DATA'!$E$20,"")</f>
        <v/>
      </c>
      <c r="AI175" s="518" t="str">
        <f>IF(AND(_AC2="B-757",'2023'!$H$4="FO",'2023'!$H$2=AI157),'2023DATA'!$F$20,"")</f>
        <v/>
      </c>
      <c r="AJ175" s="518" t="str">
        <f>IF(AND(_AC2="B-757",'2023'!$H$4="FO",'2023'!$H$2=AJ157),'2023DATA'!$G$20,"")</f>
        <v/>
      </c>
      <c r="AK175" s="518" t="str">
        <f>IF(AND(_AC2="B-757",'2023'!$H$4="FO",'2023'!$H$2=AK157),'2023DATA'!$H$20,"")</f>
        <v/>
      </c>
      <c r="AL175" s="518" t="str">
        <f>IF(AND(_AC2="B-757",'2023'!$H$4="FO",'2023'!$H$2=AL157),'2023DATA'!$I$20,"")</f>
        <v/>
      </c>
      <c r="AM175" s="518" t="str">
        <f>IF(AND(_AC2="B-757",'2023'!$H$4="FO",'2023'!$H$2=AM157),'2023DATA'!$J$20,"")</f>
        <v/>
      </c>
      <c r="AN175" s="518" t="str">
        <f>IF(AND(_AC2="B-757",'2023'!$H$4="FO",'2023'!$H$2=AN157),'2023DATA'!$K$20,"")</f>
        <v/>
      </c>
      <c r="AO175" s="518" t="str">
        <f>IF(AND(_AC2="B-757",'2023'!$H$4="FO",'2023'!$H$2=AO157),'2023DATA'!$L$20,"")</f>
        <v/>
      </c>
      <c r="AP175" s="518" t="str">
        <f>IF(AND(_AC2="B-757",'2023'!$H$4="FO",'2023'!$H$2=AP157),'2023DATA'!$M$20,"")</f>
        <v/>
      </c>
      <c r="AQ175" s="520" t="str">
        <f>IF(AND(_AC2="B-757",'2023'!$H$4="FO",'2023'!$H$2=AQ157),'2023DATA'!$N$20,"")</f>
        <v/>
      </c>
      <c r="AR175" s="940"/>
      <c r="AS175" s="13" t="s">
        <v>62</v>
      </c>
      <c r="AT175" s="518" t="str">
        <f>IF(AND(_AC3="B-757",'2023'!$H$4="FO",'2023'!$H$2=AT157),'2023DATA'!$C$20,"")</f>
        <v/>
      </c>
      <c r="AU175" s="518" t="str">
        <f>IF(AND(_AC3="B-757",'2023'!$H$4="FO",'2023'!$H$2=AU157),'2023DATA'!$D$20,"")</f>
        <v/>
      </c>
      <c r="AV175" s="518" t="str">
        <f>IF(AND(_AC3="B-757",'2023'!$H$4="FO",'2023'!$H$2=AV157),'2023DATA'!$E$20,"")</f>
        <v/>
      </c>
      <c r="AW175" s="518" t="str">
        <f>IF(AND(_AC3="B-757",'2023'!$H$4="FO",'2023'!$H$2=AW157),'2023DATA'!$F$20,"")</f>
        <v/>
      </c>
      <c r="AX175" s="518" t="str">
        <f>IF(AND(_AC3="B-757",'2023'!$H$4="FO",'2023'!$H$2=AX157),'2023DATA'!$G$20,"")</f>
        <v/>
      </c>
      <c r="AY175" s="518" t="str">
        <f>IF(AND(_AC3="B-757",'2023'!$H$4="FO",'2023'!$H$2=AY157),'2023DATA'!$H$20,"")</f>
        <v/>
      </c>
      <c r="AZ175" s="518" t="str">
        <f>IF(AND(_AC3="B-757",'2023'!$H$4="FO",'2023'!$H$2=AZ157),'2023DATA'!$I$20,"")</f>
        <v/>
      </c>
      <c r="BA175" s="518" t="str">
        <f>IF(AND(_AC3="B-757",'2023'!$H$4="FO",'2023'!$H$2=BA157),'2023DATA'!$J$20,"")</f>
        <v/>
      </c>
      <c r="BB175" s="518" t="str">
        <f>IF(AND(_AC3="B-757",'2023'!$H$4="FO",'2023'!$H$2=BB157),'2023DATA'!$K$20,"")</f>
        <v/>
      </c>
      <c r="BC175" s="518" t="str">
        <f>IF(AND(_AC3="B-757",'2023'!$H$4="FO",'2023'!$H$2=BC157),'2023DATA'!$L$20,"")</f>
        <v/>
      </c>
      <c r="BD175" s="518" t="str">
        <f>IF(AND(_AC3="B-757",'2023'!$H$4="FO",'2023'!$H$2=BD157),'2023DATA'!$M$20,"")</f>
        <v/>
      </c>
      <c r="BE175" s="520" t="str">
        <f>IF(AND(_AC3="B-757",'2023'!$H$4="FO",'2023'!$H$2=BE157),'2023DATA'!$N$20,"")</f>
        <v/>
      </c>
      <c r="BF175" s="940"/>
      <c r="BG175" s="13" t="s">
        <v>62</v>
      </c>
      <c r="BH175" s="518" t="str">
        <f>IF(AND(_AC4="B-757",'2023'!$H$4="FO",'2023'!$H$2=BH157),'2023DATA'!$C$20,"")</f>
        <v/>
      </c>
      <c r="BI175" s="518" t="str">
        <f>IF(AND(_AC4="B-757",'2023'!$H$4="FO",'2023'!$H$2=BI157),'2023DATA'!$D$20,"")</f>
        <v/>
      </c>
      <c r="BJ175" s="518" t="str">
        <f>IF(AND(_AC4="B-757",'2023'!$H$4="FO",'2023'!$H$2=BJ157),'2023DATA'!$E$20,"")</f>
        <v/>
      </c>
      <c r="BK175" s="518" t="str">
        <f>IF(AND(_AC4="B-757",'2023'!$H$4="FO",'2023'!$H$2=BK157),'2023DATA'!$F$20,"")</f>
        <v/>
      </c>
      <c r="BL175" s="518" t="str">
        <f>IF(AND(_AC4="B-757",'2023'!$H$4="FO",'2023'!$H$2=BL157),'2023DATA'!$G$20,"")</f>
        <v/>
      </c>
      <c r="BM175" s="518" t="str">
        <f>IF(AND(_AC4="B-757",'2023'!$H$4="FO",'2023'!$H$2=BM157),'2023DATA'!$H$20,"")</f>
        <v/>
      </c>
      <c r="BN175" s="518" t="str">
        <f>IF(AND(_AC4="B-757",'2023'!$H$4="FO",'2023'!$H$2=BN157),'2023DATA'!$I$20,"")</f>
        <v/>
      </c>
      <c r="BO175" s="518" t="str">
        <f>IF(AND(_AC4="B-757",'2023'!$H$4="FO",'2023'!$H$2=BO157),'2023DATA'!$J$20,"")</f>
        <v/>
      </c>
      <c r="BP175" s="518" t="str">
        <f>IF(AND(_AC4="B-757",'2023'!$H$4="FO",'2023'!$H$2=BP157),'2023DATA'!$K$20,"")</f>
        <v/>
      </c>
      <c r="BQ175" s="518" t="str">
        <f>IF(AND(_AC4="B-757",'2023'!$H$4="FO",'2023'!$H$2=BQ157),'2023DATA'!$L$20,"")</f>
        <v/>
      </c>
      <c r="BR175" s="518" t="str">
        <f>IF(AND(_AC4="B-757",'2023'!$H$4="FO",'2023'!$H$2=BR157),'2023DATA'!$M$20,"")</f>
        <v/>
      </c>
      <c r="BS175" s="520" t="str">
        <f>IF(AND(_AC4="B-757",'2023'!$H$4="FO",'2023'!$H$2=BS157),'2023DATA'!$N$20,"")</f>
        <v/>
      </c>
      <c r="BT175" s="940"/>
      <c r="BU175" s="13" t="s">
        <v>62</v>
      </c>
      <c r="BV175" s="518" t="str">
        <f>IF(AND(_AC5="B-757",'2023'!$H$4="FO",'2023'!$H$2=BV157),'2023DATA'!$C$20,"")</f>
        <v/>
      </c>
      <c r="BW175" s="518" t="str">
        <f>IF(AND(_AC5="B-757",'2023'!$H$4="FO",'2023'!$H$2=BW157),'2023DATA'!$D$20,"")</f>
        <v/>
      </c>
      <c r="BX175" s="518" t="str">
        <f>IF(AND(_AC5="B-757",'2023'!$H$4="FO",'2023'!$H$2=BX157),'2023DATA'!$E$20,"")</f>
        <v/>
      </c>
      <c r="BY175" s="518" t="str">
        <f>IF(AND(_AC5="B-757",'2023'!$H$4="FO",'2023'!$H$2=BY157),'2023DATA'!$F$20,"")</f>
        <v/>
      </c>
      <c r="BZ175" s="518" t="str">
        <f>IF(AND(_AC5="B-757",'2023'!$H$4="FO",'2023'!$H$2=BZ157),'2023DATA'!$G$20,"")</f>
        <v/>
      </c>
      <c r="CA175" s="518" t="str">
        <f>IF(AND(_AC5="B-757",'2023'!$H$4="FO",'2023'!$H$2=CA157),'2023DATA'!$H$20,"")</f>
        <v/>
      </c>
      <c r="CB175" s="518" t="str">
        <f>IF(AND(_AC5="B-757",'2023'!$H$4="FO",'2023'!$H$2=CB157),'2023DATA'!$I$20,"")</f>
        <v/>
      </c>
      <c r="CC175" s="518" t="str">
        <f>IF(AND(_AC5="B-757",'2023'!$H$4="FO",'2023'!$H$2=CC157),'2023DATA'!$J$20,"")</f>
        <v/>
      </c>
      <c r="CD175" s="518" t="str">
        <f>IF(AND(_AC5="B-757",'2023'!$H$4="FO",'2023'!$H$2=CD157),'2023DATA'!$K$20,"")</f>
        <v/>
      </c>
      <c r="CE175" s="518" t="str">
        <f>IF(AND(_AC5="B-757",'2023'!$H$4="FO",'2023'!$H$2=CE157),'2023DATA'!$L$20,"")</f>
        <v/>
      </c>
      <c r="CF175" s="518" t="str">
        <f>IF(AND(_AC5="B-757",'2023'!$H$4="FO",'2023'!$H$2=CF157),'2023DATA'!$M$20,"")</f>
        <v/>
      </c>
      <c r="CG175" s="520" t="str">
        <f>IF(AND(_AC5="B-757",'2023'!$H$4="FO",'2023'!$H$2=CG157),'2023DATA'!$N$20,"")</f>
        <v/>
      </c>
      <c r="CH175" s="940"/>
      <c r="CI175" s="13" t="s">
        <v>62</v>
      </c>
      <c r="CJ175" s="518" t="str">
        <f>IF(AND(_AC6="B-757",'2023'!$H$4="FO",'2023'!$H$2=CJ157),'2023DATA'!$C$20,"")</f>
        <v/>
      </c>
      <c r="CK175" s="518" t="str">
        <f>IF(AND(_AC6="B-757",'2023'!$H$4="FO",'2023'!$H$2=CK157),'2023DATA'!$D$20,"")</f>
        <v/>
      </c>
      <c r="CL175" s="518" t="str">
        <f>IF(AND(_AC6="B-757",'2023'!$H$4="FO",'2023'!$H$2=CL157),'2023DATA'!$E$20,"")</f>
        <v/>
      </c>
      <c r="CM175" s="518" t="str">
        <f>IF(AND(_AC6="B-757",'2023'!$H$4="FO",'2023'!$H$2=CM157),'2023DATA'!$F$20,"")</f>
        <v/>
      </c>
      <c r="CN175" s="518" t="str">
        <f>IF(AND(_AC6="B-757",'2023'!$H$4="FO",'2023'!$H$2=CN157),'2023DATA'!$G$20,"")</f>
        <v/>
      </c>
      <c r="CO175" s="518" t="str">
        <f>IF(AND(_AC6="B-757",'2023'!$H$4="FO",'2023'!$H$2=CO157),'2023DATA'!$H$20,"")</f>
        <v/>
      </c>
      <c r="CP175" s="518" t="str">
        <f>IF(AND(_AC6="B-757",'2023'!$H$4="FO",'2023'!$H$2=CP157),'2023DATA'!$I$20,"")</f>
        <v/>
      </c>
      <c r="CQ175" s="518" t="str">
        <f>IF(AND(_AC6="B-757",'2023'!$H$4="FO",'2023'!$H$2=CQ157),'2023DATA'!$J$20,"")</f>
        <v/>
      </c>
      <c r="CR175" s="518" t="str">
        <f>IF(AND(_AC6="B-757",'2023'!$H$4="FO",'2023'!$H$2=CR157),'2023DATA'!$K$20,"")</f>
        <v/>
      </c>
      <c r="CS175" s="518" t="str">
        <f>IF(AND(_AC6="B-757",'2023'!$H$4="FO",'2023'!$H$2=CS157),'2023DATA'!$L$20,"")</f>
        <v/>
      </c>
      <c r="CT175" s="518" t="str">
        <f>IF(AND(_AC6="B-757",'2023'!$H$4="FO",'2023'!$H$2=CT157),'2023DATA'!$M$20,"")</f>
        <v/>
      </c>
      <c r="CU175" s="520" t="str">
        <f>IF(AND(_AC6="B-757",'2023'!$H$4="FO",'2023'!$H$2=CU157),'2023DATA'!$N$20,"")</f>
        <v/>
      </c>
    </row>
    <row r="176" spans="16:99" x14ac:dyDescent="0.25">
      <c r="P176" s="940" t="s">
        <v>47</v>
      </c>
      <c r="Q176" s="13" t="s">
        <v>61</v>
      </c>
      <c r="R176" s="518" t="str">
        <f>IF(AND(_AC1="B-737-900",'2023'!$H$4="CA",'2023'!$H$2=R157),'2023DATA'!$C$21,"")</f>
        <v/>
      </c>
      <c r="S176" s="518" t="str">
        <f>IF(AND(_AC1="B-737-900",'2023'!$H$4="CA",'2023'!$H$2=S157),'2023DATA'!$D$21,"")</f>
        <v/>
      </c>
      <c r="T176" s="518" t="str">
        <f>IF(AND(_AC1="B-737-900",'2023'!$H$4="CA",'2023'!$H$2=T157),'2023DATA'!$E$21,"")</f>
        <v/>
      </c>
      <c r="U176" s="518" t="str">
        <f>IF(AND(_AC1="B-737-900",'2023'!$H$4="CA",'2023'!$H$2=U157),'2023DATA'!$F$21,"")</f>
        <v/>
      </c>
      <c r="V176" s="518" t="str">
        <f>IF(AND(_AC1="B-737-900",'2023'!$H$4="CA",'2023'!$H$2=V157),'2023DATA'!$G$21,"")</f>
        <v/>
      </c>
      <c r="W176" s="518" t="str">
        <f>IF(AND(_AC1="B-737-900",'2023'!$H$4="CA",'2023'!$H$2=W157),'2023DATA'!$H$21,"")</f>
        <v/>
      </c>
      <c r="X176" s="518" t="str">
        <f>IF(AND(_AC1="B-737-900",'2023'!$H$4="CA",'2023'!$H$2=X157),'2023DATA'!$I$21,"")</f>
        <v/>
      </c>
      <c r="Y176" s="518" t="str">
        <f>IF(AND(_AC1="B-737-900",'2023'!$H$4="CA",'2023'!$H$2=Y157),'2023DATA'!$J$21,"")</f>
        <v/>
      </c>
      <c r="Z176" s="518" t="str">
        <f>IF(AND(_AC1="B-737-900",'2023'!$H$4="CA",'2023'!$H$2=Z157),'2023DATA'!$K$21,"")</f>
        <v/>
      </c>
      <c r="AA176" s="518" t="str">
        <f>IF(AND(_AC1="B-737-900",'2023'!$H$4="CA",'2023'!$H$2=AA157),'2023DATA'!$L$21,"")</f>
        <v/>
      </c>
      <c r="AB176" s="518" t="str">
        <f>IF(AND(_AC1="B-737-900",'2023'!$H$4="CA",'2023'!$H$2=AB157),'2023DATA'!$M$21,"")</f>
        <v/>
      </c>
      <c r="AC176" s="520" t="str">
        <f>IF(AND(_AC1="B-737-900",'2023'!$H$4="CA",'2023'!$H$2=AC157),'2023DATA'!$N$21,"")</f>
        <v/>
      </c>
      <c r="AD176" s="940" t="s">
        <v>47</v>
      </c>
      <c r="AE176" s="13" t="s">
        <v>61</v>
      </c>
      <c r="AF176" s="518" t="str">
        <f>IF(AND(_AC2="B-737-900",'2023'!$H$4="CA",'2023'!$H$2=AF157),'2023DATA'!$C$21,"")</f>
        <v/>
      </c>
      <c r="AG176" s="518" t="str">
        <f>IF(AND(_AC2="B-737-900",'2023'!$H$4="CA",'2023'!$H$2=AG157),'2023DATA'!$D$21,"")</f>
        <v/>
      </c>
      <c r="AH176" s="518" t="str">
        <f>IF(AND(_AC2="B-737-900",'2023'!$H$4="CA",'2023'!$H$2=AH157),'2023DATA'!$E$21,"")</f>
        <v/>
      </c>
      <c r="AI176" s="518" t="str">
        <f>IF(AND(_AC2="B-737-900",'2023'!$H$4="CA",'2023'!$H$2=AI157),'2023DATA'!$F$21,"")</f>
        <v/>
      </c>
      <c r="AJ176" s="518" t="str">
        <f>IF(AND(_AC2="B-737-900",'2023'!$H$4="CA",'2023'!$H$2=AJ157),'2023DATA'!$G$21,"")</f>
        <v/>
      </c>
      <c r="AK176" s="518" t="str">
        <f>IF(AND(_AC2="B-737-900",'2023'!$H$4="CA",'2023'!$H$2=AK157),'2023DATA'!$H$21,"")</f>
        <v/>
      </c>
      <c r="AL176" s="518" t="str">
        <f>IF(AND(_AC2="B-737-900",'2023'!$H$4="CA",'2023'!$H$2=AL157),'2023DATA'!$I$21,"")</f>
        <v/>
      </c>
      <c r="AM176" s="518" t="str">
        <f>IF(AND(_AC2="B-737-900",'2023'!$H$4="CA",'2023'!$H$2=AM157),'2023DATA'!$J$21,"")</f>
        <v/>
      </c>
      <c r="AN176" s="518" t="str">
        <f>IF(AND(_AC2="B-737-900",'2023'!$H$4="CA",'2023'!$H$2=AN157),'2023DATA'!$K$21,"")</f>
        <v/>
      </c>
      <c r="AO176" s="518" t="str">
        <f>IF(AND(_AC2="B-737-900",'2023'!$H$4="CA",'2023'!$H$2=AO157),'2023DATA'!$L$21,"")</f>
        <v/>
      </c>
      <c r="AP176" s="518" t="str">
        <f>IF(AND(_AC2="B-737-900",'2023'!$H$4="CA",'2023'!$H$2=AP157),'2023DATA'!$M$21,"")</f>
        <v/>
      </c>
      <c r="AQ176" s="520" t="str">
        <f>IF(AND(_AC2="B-737-900",'2023'!$H$4="CA",'2023'!$H$2=AQ157),'2023DATA'!$N$21,"")</f>
        <v/>
      </c>
      <c r="AR176" s="940" t="s">
        <v>47</v>
      </c>
      <c r="AS176" s="13" t="s">
        <v>61</v>
      </c>
      <c r="AT176" s="518" t="str">
        <f>IF(AND(_AC3="B-737-900",'2023'!$H$4="CA",'2023'!$H$2=AT157),'2023DATA'!$C$21,"")</f>
        <v/>
      </c>
      <c r="AU176" s="518" t="str">
        <f>IF(AND(_AC3="B-737-900",'2023'!$H$4="CA",'2023'!$H$2=AU157),'2023DATA'!$D$21,"")</f>
        <v/>
      </c>
      <c r="AV176" s="518" t="str">
        <f>IF(AND(_AC3="B-737-900",'2023'!$H$4="CA",'2023'!$H$2=AV157),'2023DATA'!$E$21,"")</f>
        <v/>
      </c>
      <c r="AW176" s="518" t="str">
        <f>IF(AND(_AC3="B-737-900",'2023'!$H$4="CA",'2023'!$H$2=AW157),'2023DATA'!$F$21,"")</f>
        <v/>
      </c>
      <c r="AX176" s="518" t="str">
        <f>IF(AND(_AC3="B-737-900",'2023'!$H$4="CA",'2023'!$H$2=AX157),'2023DATA'!$G$21,"")</f>
        <v/>
      </c>
      <c r="AY176" s="518" t="str">
        <f>IF(AND(_AC3="B-737-900",'2023'!$H$4="CA",'2023'!$H$2=AY157),'2023DATA'!$H$21,"")</f>
        <v/>
      </c>
      <c r="AZ176" s="518" t="str">
        <f>IF(AND(_AC3="B-737-900",'2023'!$H$4="CA",'2023'!$H$2=AZ157),'2023DATA'!$I$21,"")</f>
        <v/>
      </c>
      <c r="BA176" s="518" t="str">
        <f>IF(AND(_AC3="B-737-900",'2023'!$H$4="CA",'2023'!$H$2=BA157),'2023DATA'!$J$21,"")</f>
        <v/>
      </c>
      <c r="BB176" s="518" t="str">
        <f>IF(AND(_AC3="B-737-900",'2023'!$H$4="CA",'2023'!$H$2=BB157),'2023DATA'!$K$21,"")</f>
        <v/>
      </c>
      <c r="BC176" s="518" t="str">
        <f>IF(AND(_AC3="B-737-900",'2023'!$H$4="CA",'2023'!$H$2=BC157),'2023DATA'!$L$21,"")</f>
        <v/>
      </c>
      <c r="BD176" s="518" t="str">
        <f>IF(AND(_AC3="B-737-900",'2023'!$H$4="CA",'2023'!$H$2=BD157),'2023DATA'!$M$21,"")</f>
        <v/>
      </c>
      <c r="BE176" s="520" t="str">
        <f>IF(AND(_AC3="B-737-900",'2023'!$H$4="CA",'2023'!$H$2=BE157),'2023DATA'!$N$21,"")</f>
        <v/>
      </c>
      <c r="BF176" s="940" t="s">
        <v>47</v>
      </c>
      <c r="BG176" s="13" t="s">
        <v>61</v>
      </c>
      <c r="BH176" s="518" t="str">
        <f>IF(AND(_AC4="B-737-900",'2023'!$H$4="CA",'2023'!$H$2=BH157),'2023DATA'!$C$21,"")</f>
        <v/>
      </c>
      <c r="BI176" s="518" t="str">
        <f>IF(AND(_AC4="B-737-900",'2023'!$H$4="CA",'2023'!$H$2=BI157),'2023DATA'!$D$21,"")</f>
        <v/>
      </c>
      <c r="BJ176" s="518" t="str">
        <f>IF(AND(_AC4="B-737-900",'2023'!$H$4="CA",'2023'!$H$2=BJ157),'2023DATA'!$E$21,"")</f>
        <v/>
      </c>
      <c r="BK176" s="518" t="str">
        <f>IF(AND(_AC4="B-737-900",'2023'!$H$4="CA",'2023'!$H$2=BK157),'2023DATA'!$F$21,"")</f>
        <v/>
      </c>
      <c r="BL176" s="518" t="str">
        <f>IF(AND(_AC4="B-737-900",'2023'!$H$4="CA",'2023'!$H$2=BL157),'2023DATA'!$G$21,"")</f>
        <v/>
      </c>
      <c r="BM176" s="518" t="str">
        <f>IF(AND(_AC4="B-737-900",'2023'!$H$4="CA",'2023'!$H$2=BM157),'2023DATA'!$H$21,"")</f>
        <v/>
      </c>
      <c r="BN176" s="518" t="str">
        <f>IF(AND(_AC4="B-737-900",'2023'!$H$4="CA",'2023'!$H$2=BN157),'2023DATA'!$I$21,"")</f>
        <v/>
      </c>
      <c r="BO176" s="518" t="str">
        <f>IF(AND(_AC4="B-737-900",'2023'!$H$4="CA",'2023'!$H$2=BO157),'2023DATA'!$J$21,"")</f>
        <v/>
      </c>
      <c r="BP176" s="518" t="str">
        <f>IF(AND(_AC4="B-737-900",'2023'!$H$4="CA",'2023'!$H$2=BP157),'2023DATA'!$K$21,"")</f>
        <v/>
      </c>
      <c r="BQ176" s="518" t="str">
        <f>IF(AND(_AC4="B-737-900",'2023'!$H$4="CA",'2023'!$H$2=BQ157),'2023DATA'!$L$21,"")</f>
        <v/>
      </c>
      <c r="BR176" s="518" t="str">
        <f>IF(AND(_AC4="B-737-900",'2023'!$H$4="CA",'2023'!$H$2=BR157),'2023DATA'!$M$21,"")</f>
        <v/>
      </c>
      <c r="BS176" s="520" t="str">
        <f>IF(AND(_AC4="B-737-900",'2023'!$H$4="CA",'2023'!$H$2=BS157),'2023DATA'!$N$21,"")</f>
        <v/>
      </c>
      <c r="BT176" s="940" t="s">
        <v>47</v>
      </c>
      <c r="BU176" s="13" t="s">
        <v>61</v>
      </c>
      <c r="BV176" s="518" t="str">
        <f>IF(AND(_AC5="B-737-900",'2023'!$H$4="CA",'2023'!$H$2=BV157),'2023DATA'!$C$21,"")</f>
        <v/>
      </c>
      <c r="BW176" s="518" t="str">
        <f>IF(AND(_AC5="B-737-900",'2023'!$H$4="CA",'2023'!$H$2=BW157),'2023DATA'!$D$21,"")</f>
        <v/>
      </c>
      <c r="BX176" s="518" t="str">
        <f>IF(AND(_AC5="B-737-900",'2023'!$H$4="CA",'2023'!$H$2=BX157),'2023DATA'!$E$21,"")</f>
        <v/>
      </c>
      <c r="BY176" s="518" t="str">
        <f>IF(AND(_AC5="B-737-900",'2023'!$H$4="CA",'2023'!$H$2=BY157),'2023DATA'!$F$21,"")</f>
        <v/>
      </c>
      <c r="BZ176" s="518" t="str">
        <f>IF(AND(_AC5="B-737-900",'2023'!$H$4="CA",'2023'!$H$2=BZ157),'2023DATA'!$G$21,"")</f>
        <v/>
      </c>
      <c r="CA176" s="518" t="str">
        <f>IF(AND(_AC5="B-737-900",'2023'!$H$4="CA",'2023'!$H$2=CA157),'2023DATA'!$H$21,"")</f>
        <v/>
      </c>
      <c r="CB176" s="518" t="str">
        <f>IF(AND(_AC5="B-737-900",'2023'!$H$4="CA",'2023'!$H$2=CB157),'2023DATA'!$I$21,"")</f>
        <v/>
      </c>
      <c r="CC176" s="518" t="str">
        <f>IF(AND(_AC5="B-737-900",'2023'!$H$4="CA",'2023'!$H$2=CC157),'2023DATA'!$J$21,"")</f>
        <v/>
      </c>
      <c r="CD176" s="518" t="str">
        <f>IF(AND(_AC5="B-737-900",'2023'!$H$4="CA",'2023'!$H$2=CD157),'2023DATA'!$K$21,"")</f>
        <v/>
      </c>
      <c r="CE176" s="518" t="str">
        <f>IF(AND(_AC5="B-737-900",'2023'!$H$4="CA",'2023'!$H$2=CE157),'2023DATA'!$L$21,"")</f>
        <v/>
      </c>
      <c r="CF176" s="518" t="str">
        <f>IF(AND(_AC5="B-737-900",'2023'!$H$4="CA",'2023'!$H$2=CF157),'2023DATA'!$M$21,"")</f>
        <v/>
      </c>
      <c r="CG176" s="520" t="str">
        <f>IF(AND(_AC5="B-737-900",'2023'!$H$4="CA",'2023'!$H$2=CG157),'2023DATA'!$N$21,"")</f>
        <v/>
      </c>
      <c r="CH176" s="940" t="s">
        <v>47</v>
      </c>
      <c r="CI176" s="13" t="s">
        <v>61</v>
      </c>
      <c r="CJ176" s="518" t="str">
        <f>IF(AND(_AC6="B-737-900",'2023'!$H$4="CA",'2023'!$H$2=CJ157),'2023DATA'!$C$21,"")</f>
        <v/>
      </c>
      <c r="CK176" s="518" t="str">
        <f>IF(AND(_AC6="B-737-900",'2023'!$H$4="CA",'2023'!$H$2=CK157),'2023DATA'!$D$21,"")</f>
        <v/>
      </c>
      <c r="CL176" s="518" t="str">
        <f>IF(AND(_AC6="B-737-900",'2023'!$H$4="CA",'2023'!$H$2=CL157),'2023DATA'!$E$21,"")</f>
        <v/>
      </c>
      <c r="CM176" s="518" t="str">
        <f>IF(AND(_AC6="B-737-900",'2023'!$H$4="CA",'2023'!$H$2=CM157),'2023DATA'!$F$21,"")</f>
        <v/>
      </c>
      <c r="CN176" s="518" t="str">
        <f>IF(AND(_AC6="B-737-900",'2023'!$H$4="CA",'2023'!$H$2=CN157),'2023DATA'!$G$21,"")</f>
        <v/>
      </c>
      <c r="CO176" s="518" t="str">
        <f>IF(AND(_AC6="B-737-900",'2023'!$H$4="CA",'2023'!$H$2=CO157),'2023DATA'!$H$21,"")</f>
        <v/>
      </c>
      <c r="CP176" s="518" t="str">
        <f>IF(AND(_AC6="B-737-900",'2023'!$H$4="CA",'2023'!$H$2=CP157),'2023DATA'!$I$21,"")</f>
        <v/>
      </c>
      <c r="CQ176" s="518" t="str">
        <f>IF(AND(_AC6="B-737-900",'2023'!$H$4="CA",'2023'!$H$2=CQ157),'2023DATA'!$J$21,"")</f>
        <v/>
      </c>
      <c r="CR176" s="518" t="str">
        <f>IF(AND(_AC6="B-737-900",'2023'!$H$4="CA",'2023'!$H$2=CR157),'2023DATA'!$K$21,"")</f>
        <v/>
      </c>
      <c r="CS176" s="518" t="str">
        <f>IF(AND(_AC6="B-737-900",'2023'!$H$4="CA",'2023'!$H$2=CS157),'2023DATA'!$L$21,"")</f>
        <v/>
      </c>
      <c r="CT176" s="518" t="str">
        <f>IF(AND(_AC6="B-737-900",'2023'!$H$4="CA",'2023'!$H$2=CT157),'2023DATA'!$M$21,"")</f>
        <v/>
      </c>
      <c r="CU176" s="520" t="str">
        <f>IF(AND(_AC6="B-737-900",'2023'!$H$4="CA",'2023'!$H$2=CU157),'2023DATA'!$N$21,"")</f>
        <v/>
      </c>
    </row>
    <row r="177" spans="16:99" x14ac:dyDescent="0.25">
      <c r="P177" s="940"/>
      <c r="Q177" s="13" t="s">
        <v>62</v>
      </c>
      <c r="R177" s="518" t="str">
        <f>IF(AND(_AC1="B-737-900",'2023'!$H$4="FO",'2023'!$H$2=R157),'2023DATA'!$C$22,"")</f>
        <v/>
      </c>
      <c r="S177" s="518" t="str">
        <f>IF(AND(_AC1="B-737-900",'2023'!$H$4="FO",'2023'!$H$2=S157),'2023DATA'!$D$22,"")</f>
        <v/>
      </c>
      <c r="T177" s="518" t="str">
        <f>IF(AND(_AC1="B-737-900",'2023'!$H$4="FO",'2023'!$H$2=T157),'2023DATA'!$E$22,"")</f>
        <v/>
      </c>
      <c r="U177" s="518" t="str">
        <f>IF(AND(_AC1="B-737-900",'2023'!$H$4="FO",'2023'!$H$2=U157),'2023DATA'!$F$22,"")</f>
        <v/>
      </c>
      <c r="V177" s="518" t="str">
        <f>IF(AND(_AC1="B-737-900",'2023'!$H$4="FO",'2023'!$H$2=V157),'2023DATA'!$G$22,"")</f>
        <v/>
      </c>
      <c r="W177" s="518" t="str">
        <f>IF(AND(_AC1="B-737-900",'2023'!$H$4="FO",'2023'!$H$2=W157),'2023DATA'!$H$22,"")</f>
        <v/>
      </c>
      <c r="X177" s="518" t="str">
        <f>IF(AND(_AC1="B-737-900",'2023'!$H$4="FO",'2023'!$H$2=X157),'2023DATA'!$I$22,"")</f>
        <v/>
      </c>
      <c r="Y177" s="518" t="str">
        <f>IF(AND(_AC1="B-737-900",'2023'!$H$4="FO",'2023'!$H$2=Y157),'2023DATA'!$J$22,"")</f>
        <v/>
      </c>
      <c r="Z177" s="518" t="str">
        <f>IF(AND(_AC1="B-737-900",'2023'!$H$4="FO",'2023'!$H$2=Z157),'2023DATA'!$K$22,"")</f>
        <v/>
      </c>
      <c r="AA177" s="518" t="str">
        <f>IF(AND(_AC1="B-737-900",'2023'!$H$4="FO",'2023'!$H$2=AA157),'2023DATA'!$L$22,"")</f>
        <v/>
      </c>
      <c r="AB177" s="518" t="str">
        <f>IF(AND(_AC1="B-737-900",'2023'!$H$4="FO",'2023'!$H$2=AB157),'2023DATA'!$M$22,"")</f>
        <v/>
      </c>
      <c r="AC177" s="520" t="str">
        <f>IF(AND(_AC1="B-737-900",'2023'!$H$4="FO",'2023'!$H$2=AC157),'2023DATA'!$N$22,"")</f>
        <v/>
      </c>
      <c r="AD177" s="940"/>
      <c r="AE177" s="13" t="s">
        <v>62</v>
      </c>
      <c r="AF177" s="518" t="str">
        <f>IF(AND(_AC2="B-737-900",'2023'!$H$4="FO",'2023'!$H$2=AF157),'2023DATA'!$C$22,"")</f>
        <v/>
      </c>
      <c r="AG177" s="518" t="str">
        <f>IF(AND(_AC2="B-737-900",'2023'!$H$4="FO",'2023'!$H$2=AG157),'2023DATA'!$D$22,"")</f>
        <v/>
      </c>
      <c r="AH177" s="518" t="str">
        <f>IF(AND(_AC2="B-737-900",'2023'!$H$4="FO",'2023'!$H$2=AH157),'2023DATA'!$E$22,"")</f>
        <v/>
      </c>
      <c r="AI177" s="518" t="str">
        <f>IF(AND(_AC2="B-737-900",'2023'!$H$4="FO",'2023'!$H$2=AI157),'2023DATA'!$F$22,"")</f>
        <v/>
      </c>
      <c r="AJ177" s="518" t="str">
        <f>IF(AND(_AC2="B-737-900",'2023'!$H$4="FO",'2023'!$H$2=AJ157),'2023DATA'!$G$22,"")</f>
        <v/>
      </c>
      <c r="AK177" s="518" t="str">
        <f>IF(AND(_AC2="B-737-900",'2023'!$H$4="FO",'2023'!$H$2=AK157),'2023DATA'!$H$22,"")</f>
        <v/>
      </c>
      <c r="AL177" s="518" t="str">
        <f>IF(AND(_AC2="B-737-900",'2023'!$H$4="FO",'2023'!$H$2=AL157),'2023DATA'!$I$22,"")</f>
        <v/>
      </c>
      <c r="AM177" s="518" t="str">
        <f>IF(AND(_AC2="B-737-900",'2023'!$H$4="FO",'2023'!$H$2=AM157),'2023DATA'!$J$22,"")</f>
        <v/>
      </c>
      <c r="AN177" s="518" t="str">
        <f>IF(AND(_AC2="B-737-900",'2023'!$H$4="FO",'2023'!$H$2=AN157),'2023DATA'!$K$22,"")</f>
        <v/>
      </c>
      <c r="AO177" s="518" t="str">
        <f>IF(AND(_AC2="B-737-900",'2023'!$H$4="FO",'2023'!$H$2=AO157),'2023DATA'!$L$22,"")</f>
        <v/>
      </c>
      <c r="AP177" s="518" t="str">
        <f>IF(AND(_AC2="B-737-900",'2023'!$H$4="FO",'2023'!$H$2=AP157),'2023DATA'!$M$22,"")</f>
        <v/>
      </c>
      <c r="AQ177" s="520" t="str">
        <f>IF(AND(_AC2="B-737-900",'2023'!$H$4="FO",'2023'!$H$2=AQ157),'2023DATA'!$N$22,"")</f>
        <v/>
      </c>
      <c r="AR177" s="940"/>
      <c r="AS177" s="13" t="s">
        <v>62</v>
      </c>
      <c r="AT177" s="518" t="str">
        <f>IF(AND(_AC3="B-737-900",'2023'!$H$4="FO",'2023'!$H$2=AT157),'2023DATA'!$C$22,"")</f>
        <v/>
      </c>
      <c r="AU177" s="518" t="str">
        <f>IF(AND(_AC3="B-737-900",'2023'!$H$4="FO",'2023'!$H$2=AU157),'2023DATA'!$D$22,"")</f>
        <v/>
      </c>
      <c r="AV177" s="518" t="str">
        <f>IF(AND(_AC3="B-737-900",'2023'!$H$4="FO",'2023'!$H$2=AV157),'2023DATA'!$E$22,"")</f>
        <v/>
      </c>
      <c r="AW177" s="518" t="str">
        <f>IF(AND(_AC3="B-737-900",'2023'!$H$4="FO",'2023'!$H$2=AW157),'2023DATA'!$F$22,"")</f>
        <v/>
      </c>
      <c r="AX177" s="518" t="str">
        <f>IF(AND(_AC3="B-737-900",'2023'!$H$4="FO",'2023'!$H$2=AX157),'2023DATA'!$G$22,"")</f>
        <v/>
      </c>
      <c r="AY177" s="518" t="str">
        <f>IF(AND(_AC3="B-737-900",'2023'!$H$4="FO",'2023'!$H$2=AY157),'2023DATA'!$H$22,"")</f>
        <v/>
      </c>
      <c r="AZ177" s="518" t="str">
        <f>IF(AND(_AC3="B-737-900",'2023'!$H$4="FO",'2023'!$H$2=AZ157),'2023DATA'!$I$22,"")</f>
        <v/>
      </c>
      <c r="BA177" s="518" t="str">
        <f>IF(AND(_AC3="B-737-900",'2023'!$H$4="FO",'2023'!$H$2=BA157),'2023DATA'!$J$22,"")</f>
        <v/>
      </c>
      <c r="BB177" s="518" t="str">
        <f>IF(AND(_AC3="B-737-900",'2023'!$H$4="FO",'2023'!$H$2=BB157),'2023DATA'!$K$22,"")</f>
        <v/>
      </c>
      <c r="BC177" s="518" t="str">
        <f>IF(AND(_AC3="B-737-900",'2023'!$H$4="FO",'2023'!$H$2=BC157),'2023DATA'!$L$22,"")</f>
        <v/>
      </c>
      <c r="BD177" s="518" t="str">
        <f>IF(AND(_AC3="B-737-900",'2023'!$H$4="FO",'2023'!$H$2=BD157),'2023DATA'!$M$22,"")</f>
        <v/>
      </c>
      <c r="BE177" s="520" t="str">
        <f>IF(AND(_AC3="B-737-900",'2023'!$H$4="FO",'2023'!$H$2=BE157),'2023DATA'!$N$22,"")</f>
        <v/>
      </c>
      <c r="BF177" s="940"/>
      <c r="BG177" s="13" t="s">
        <v>62</v>
      </c>
      <c r="BH177" s="518" t="str">
        <f>IF(AND(_AC4="B-737-900",'2023'!$H$4="FO",'2023'!$H$2=BH157),'2023DATA'!$C$22,"")</f>
        <v/>
      </c>
      <c r="BI177" s="518" t="str">
        <f>IF(AND(_AC4="B-737-900",'2023'!$H$4="FO",'2023'!$H$2=BI157),'2023DATA'!$D$22,"")</f>
        <v/>
      </c>
      <c r="BJ177" s="518" t="str">
        <f>IF(AND(_AC4="B-737-900",'2023'!$H$4="FO",'2023'!$H$2=BJ157),'2023DATA'!$E$22,"")</f>
        <v/>
      </c>
      <c r="BK177" s="518" t="str">
        <f>IF(AND(_AC4="B-737-900",'2023'!$H$4="FO",'2023'!$H$2=BK157),'2023DATA'!$F$22,"")</f>
        <v/>
      </c>
      <c r="BL177" s="518" t="str">
        <f>IF(AND(_AC4="B-737-900",'2023'!$H$4="FO",'2023'!$H$2=BL157),'2023DATA'!$G$22,"")</f>
        <v/>
      </c>
      <c r="BM177" s="518" t="str">
        <f>IF(AND(_AC4="B-737-900",'2023'!$H$4="FO",'2023'!$H$2=BM157),'2023DATA'!$H$22,"")</f>
        <v/>
      </c>
      <c r="BN177" s="518" t="str">
        <f>IF(AND(_AC4="B-737-900",'2023'!$H$4="FO",'2023'!$H$2=BN157),'2023DATA'!$I$22,"")</f>
        <v/>
      </c>
      <c r="BO177" s="518" t="str">
        <f>IF(AND(_AC4="B-737-900",'2023'!$H$4="FO",'2023'!$H$2=BO157),'2023DATA'!$J$22,"")</f>
        <v/>
      </c>
      <c r="BP177" s="518" t="str">
        <f>IF(AND(_AC4="B-737-900",'2023'!$H$4="FO",'2023'!$H$2=BP157),'2023DATA'!$K$22,"")</f>
        <v/>
      </c>
      <c r="BQ177" s="518" t="str">
        <f>IF(AND(_AC4="B-737-900",'2023'!$H$4="FO",'2023'!$H$2=BQ157),'2023DATA'!$L$22,"")</f>
        <v/>
      </c>
      <c r="BR177" s="518" t="str">
        <f>IF(AND(_AC4="B-737-900",'2023'!$H$4="FO",'2023'!$H$2=BR157),'2023DATA'!$M$22,"")</f>
        <v/>
      </c>
      <c r="BS177" s="520" t="str">
        <f>IF(AND(_AC4="B-737-900",'2023'!$H$4="FO",'2023'!$H$2=BS157),'2023DATA'!$N$22,"")</f>
        <v/>
      </c>
      <c r="BT177" s="940"/>
      <c r="BU177" s="13" t="s">
        <v>62</v>
      </c>
      <c r="BV177" s="518" t="str">
        <f>IF(AND(_AC5="B-737-900",'2023'!$H$4="FO",'2023'!$H$2=BV157),'2023DATA'!$C$22,"")</f>
        <v/>
      </c>
      <c r="BW177" s="518" t="str">
        <f>IF(AND(_AC5="B-737-900",'2023'!$H$4="FO",'2023'!$H$2=BW157),'2023DATA'!$D$22,"")</f>
        <v/>
      </c>
      <c r="BX177" s="518" t="str">
        <f>IF(AND(_AC5="B-737-900",'2023'!$H$4="FO",'2023'!$H$2=BX157),'2023DATA'!$E$22,"")</f>
        <v/>
      </c>
      <c r="BY177" s="518" t="str">
        <f>IF(AND(_AC5="B-737-900",'2023'!$H$4="FO",'2023'!$H$2=BY157),'2023DATA'!$F$22,"")</f>
        <v/>
      </c>
      <c r="BZ177" s="518" t="str">
        <f>IF(AND(_AC5="B-737-900",'2023'!$H$4="FO",'2023'!$H$2=BZ157),'2023DATA'!$G$22,"")</f>
        <v/>
      </c>
      <c r="CA177" s="518" t="str">
        <f>IF(AND(_AC5="B-737-900",'2023'!$H$4="FO",'2023'!$H$2=CA157),'2023DATA'!$H$22,"")</f>
        <v/>
      </c>
      <c r="CB177" s="518" t="str">
        <f>IF(AND(_AC5="B-737-900",'2023'!$H$4="FO",'2023'!$H$2=CB157),'2023DATA'!$I$22,"")</f>
        <v/>
      </c>
      <c r="CC177" s="518" t="str">
        <f>IF(AND(_AC5="B-737-900",'2023'!$H$4="FO",'2023'!$H$2=CC157),'2023DATA'!$J$22,"")</f>
        <v/>
      </c>
      <c r="CD177" s="518" t="str">
        <f>IF(AND(_AC5="B-737-900",'2023'!$H$4="FO",'2023'!$H$2=CD157),'2023DATA'!$K$22,"")</f>
        <v/>
      </c>
      <c r="CE177" s="518" t="str">
        <f>IF(AND(_AC5="B-737-900",'2023'!$H$4="FO",'2023'!$H$2=CE157),'2023DATA'!$L$22,"")</f>
        <v/>
      </c>
      <c r="CF177" s="518" t="str">
        <f>IF(AND(_AC5="B-737-900",'2023'!$H$4="FO",'2023'!$H$2=CF157),'2023DATA'!$M$22,"")</f>
        <v/>
      </c>
      <c r="CG177" s="520" t="str">
        <f>IF(AND(_AC5="B-737-900",'2023'!$H$4="FO",'2023'!$H$2=CG157),'2023DATA'!$N$22,"")</f>
        <v/>
      </c>
      <c r="CH177" s="940"/>
      <c r="CI177" s="13" t="s">
        <v>62</v>
      </c>
      <c r="CJ177" s="518" t="str">
        <f>IF(AND(_AC6="B-737-900",'2023'!$H$4="FO",'2023'!$H$2=CJ157),'2023DATA'!$C$22,"")</f>
        <v/>
      </c>
      <c r="CK177" s="518" t="str">
        <f>IF(AND(_AC6="B-737-900",'2023'!$H$4="FO",'2023'!$H$2=CK157),'2023DATA'!$D$22,"")</f>
        <v/>
      </c>
      <c r="CL177" s="518" t="str">
        <f>IF(AND(_AC6="B-737-900",'2023'!$H$4="FO",'2023'!$H$2=CL157),'2023DATA'!$E$22,"")</f>
        <v/>
      </c>
      <c r="CM177" s="518" t="str">
        <f>IF(AND(_AC6="B-737-900",'2023'!$H$4="FO",'2023'!$H$2=CM157),'2023DATA'!$F$22,"")</f>
        <v/>
      </c>
      <c r="CN177" s="518" t="str">
        <f>IF(AND(_AC6="B-737-900",'2023'!$H$4="FO",'2023'!$H$2=CN157),'2023DATA'!$G$22,"")</f>
        <v/>
      </c>
      <c r="CO177" s="518" t="str">
        <f>IF(AND(_AC6="B-737-900",'2023'!$H$4="FO",'2023'!$H$2=CO157),'2023DATA'!$H$22,"")</f>
        <v/>
      </c>
      <c r="CP177" s="518" t="str">
        <f>IF(AND(_AC6="B-737-900",'2023'!$H$4="FO",'2023'!$H$2=CP157),'2023DATA'!$I$22,"")</f>
        <v/>
      </c>
      <c r="CQ177" s="518" t="str">
        <f>IF(AND(_AC6="B-737-900",'2023'!$H$4="FO",'2023'!$H$2=CQ157),'2023DATA'!$J$22,"")</f>
        <v/>
      </c>
      <c r="CR177" s="518" t="str">
        <f>IF(AND(_AC6="B-737-900",'2023'!$H$4="FO",'2023'!$H$2=CR157),'2023DATA'!$K$22,"")</f>
        <v/>
      </c>
      <c r="CS177" s="518" t="str">
        <f>IF(AND(_AC6="B-737-900",'2023'!$H$4="FO",'2023'!$H$2=CS157),'2023DATA'!$L$22,"")</f>
        <v/>
      </c>
      <c r="CT177" s="518" t="str">
        <f>IF(AND(_AC6="B-737-900",'2023'!$H$4="FO",'2023'!$H$2=CT157),'2023DATA'!$M$22,"")</f>
        <v/>
      </c>
      <c r="CU177" s="520" t="str">
        <f>IF(AND(_AC6="B-737-900",'2023'!$H$4="FO",'2023'!$H$2=CU157),'2023DATA'!$N$22,"")</f>
        <v/>
      </c>
    </row>
    <row r="178" spans="16:99" x14ac:dyDescent="0.25">
      <c r="P178" s="940" t="s">
        <v>69</v>
      </c>
      <c r="Q178" s="13" t="s">
        <v>61</v>
      </c>
      <c r="R178" s="518" t="str">
        <f>IF(AND(_AC1="B-737-800",'2023'!$H$4="CA",'2023'!$H$2=R157),'2023DATA'!$C$23,"")</f>
        <v/>
      </c>
      <c r="S178" s="518" t="str">
        <f>IF(AND(_AC1="B-737-800",'2023'!$H$4="CA",'2023'!$H$2=S157),'2023DATA'!$D$23,"")</f>
        <v/>
      </c>
      <c r="T178" s="518" t="str">
        <f>IF(AND(_AC1="B-737-800",'2023'!$H$4="CA",'2023'!$H$2=T157),'2023DATA'!$E$23,"")</f>
        <v/>
      </c>
      <c r="U178" s="518" t="str">
        <f>IF(AND(_AC1="B-737-800",'2023'!$H$4="CA",'2023'!$H$2=U157),'2023DATA'!$F$23,"")</f>
        <v/>
      </c>
      <c r="V178" s="518" t="str">
        <f>IF(AND(_AC1="B-737-800",'2023'!$H$4="CA",'2023'!$H$2=V157),'2023DATA'!$G$23,"")</f>
        <v/>
      </c>
      <c r="W178" s="518" t="str">
        <f>IF(AND(_AC1="B-737-800",'2023'!$H$4="CA",'2023'!$H$2=W157),'2023DATA'!$H$23,"")</f>
        <v/>
      </c>
      <c r="X178" s="518" t="str">
        <f>IF(AND(_AC1="B-737-800",'2023'!$H$4="CA",'2023'!$H$2=X157),'2023DATA'!$I$23,"")</f>
        <v/>
      </c>
      <c r="Y178" s="518" t="str">
        <f>IF(AND(_AC1="B-737-800",'2023'!$H$4="CA",'2023'!$H$2=Y157),'2023DATA'!$J$23,"")</f>
        <v/>
      </c>
      <c r="Z178" s="518" t="str">
        <f>IF(AND(_AC1="B-737-800",'2023'!$H$4="CA",'2023'!$H$2=Z157),'2023DATA'!$K$23,"")</f>
        <v/>
      </c>
      <c r="AA178" s="518" t="str">
        <f>IF(AND(_AC1="B-737-800",'2023'!$H$4="CA",'2023'!$H$2=AA157),'2023DATA'!$L$23,"")</f>
        <v/>
      </c>
      <c r="AB178" s="518" t="str">
        <f>IF(AND(_AC1="B-737-800",'2023'!$H$4="CA",'2023'!$H$2=AB157),'2023DATA'!$M$23,"")</f>
        <v/>
      </c>
      <c r="AC178" s="520" t="str">
        <f>IF(AND(_AC1="B-737-800",'2023'!$H$4="CA",'2023'!$H$2=AC157),'2023DATA'!$N$23,"")</f>
        <v/>
      </c>
      <c r="AD178" s="940" t="s">
        <v>69</v>
      </c>
      <c r="AE178" s="13" t="s">
        <v>61</v>
      </c>
      <c r="AF178" s="518" t="str">
        <f>IF(AND(_AC2="B-737-800",'2023'!$H$4="CA",'2023'!$H$2=AF157),'2023DATA'!$C$23,"")</f>
        <v/>
      </c>
      <c r="AG178" s="518" t="str">
        <f>IF(AND(_AC2="B-737-800",'2023'!$H$4="CA",'2023'!$H$2=AG157),'2023DATA'!$D$23,"")</f>
        <v/>
      </c>
      <c r="AH178" s="518" t="str">
        <f>IF(AND(_AC2="B-737-800",'2023'!$H$4="CA",'2023'!$H$2=AH157),'2023DATA'!$E$23,"")</f>
        <v/>
      </c>
      <c r="AI178" s="518" t="str">
        <f>IF(AND(_AC2="B-737-800",'2023'!$H$4="CA",'2023'!$H$2=AI157),'2023DATA'!$F$23,"")</f>
        <v/>
      </c>
      <c r="AJ178" s="518" t="str">
        <f>IF(AND(_AC2="B-737-800",'2023'!$H$4="CA",'2023'!$H$2=AJ157),'2023DATA'!$G$23,"")</f>
        <v/>
      </c>
      <c r="AK178" s="518" t="str">
        <f>IF(AND(_AC2="B-737-800",'2023'!$H$4="CA",'2023'!$H$2=AK157),'2023DATA'!$H$23,"")</f>
        <v/>
      </c>
      <c r="AL178" s="518" t="str">
        <f>IF(AND(_AC2="B-737-800",'2023'!$H$4="CA",'2023'!$H$2=AL157),'2023DATA'!$I$23,"")</f>
        <v/>
      </c>
      <c r="AM178" s="518" t="str">
        <f>IF(AND(_AC2="B-737-800",'2023'!$H$4="CA",'2023'!$H$2=AM157),'2023DATA'!$J$23,"")</f>
        <v/>
      </c>
      <c r="AN178" s="518" t="str">
        <f>IF(AND(_AC2="B-737-800",'2023'!$H$4="CA",'2023'!$H$2=AN157),'2023DATA'!$K$23,"")</f>
        <v/>
      </c>
      <c r="AO178" s="518" t="str">
        <f>IF(AND(_AC2="B-737-800",'2023'!$H$4="CA",'2023'!$H$2=AO157),'2023DATA'!$L$23,"")</f>
        <v/>
      </c>
      <c r="AP178" s="518" t="str">
        <f>IF(AND(_AC2="B-737-800",'2023'!$H$4="CA",'2023'!$H$2=AP157),'2023DATA'!$M$23,"")</f>
        <v/>
      </c>
      <c r="AQ178" s="520" t="str">
        <f>IF(AND(_AC2="B-737-800",'2023'!$H$4="CA",'2023'!$H$2=AQ157),'2023DATA'!$N$23,"")</f>
        <v/>
      </c>
      <c r="AR178" s="940" t="s">
        <v>69</v>
      </c>
      <c r="AS178" s="13" t="s">
        <v>61</v>
      </c>
      <c r="AT178" s="518" t="str">
        <f>IF(AND(_AC3="B-737-800",'2023'!$H$4="CA",'2023'!$H$2=AT157),'2023DATA'!$C$23,"")</f>
        <v/>
      </c>
      <c r="AU178" s="518" t="str">
        <f>IF(AND(_AC3="B-737-800",'2023'!$H$4="CA",'2023'!$H$2=AU157),'2023DATA'!$D$23,"")</f>
        <v/>
      </c>
      <c r="AV178" s="518" t="str">
        <f>IF(AND(_AC3="B-737-800",'2023'!$H$4="CA",'2023'!$H$2=AV157),'2023DATA'!$E$23,"")</f>
        <v/>
      </c>
      <c r="AW178" s="518" t="str">
        <f>IF(AND(_AC3="B-737-800",'2023'!$H$4="CA",'2023'!$H$2=AW157),'2023DATA'!$F$23,"")</f>
        <v/>
      </c>
      <c r="AX178" s="518" t="str">
        <f>IF(AND(_AC3="B-737-800",'2023'!$H$4="CA",'2023'!$H$2=AX157),'2023DATA'!$G$23,"")</f>
        <v/>
      </c>
      <c r="AY178" s="518" t="str">
        <f>IF(AND(_AC3="B-737-800",'2023'!$H$4="CA",'2023'!$H$2=AY157),'2023DATA'!$H$23,"")</f>
        <v/>
      </c>
      <c r="AZ178" s="518" t="str">
        <f>IF(AND(_AC3="B-737-800",'2023'!$H$4="CA",'2023'!$H$2=AZ157),'2023DATA'!$I$23,"")</f>
        <v/>
      </c>
      <c r="BA178" s="518" t="str">
        <f>IF(AND(_AC3="B-737-800",'2023'!$H$4="CA",'2023'!$H$2=BA157),'2023DATA'!$J$23,"")</f>
        <v/>
      </c>
      <c r="BB178" s="518" t="str">
        <f>IF(AND(_AC3="B-737-800",'2023'!$H$4="CA",'2023'!$H$2=BB157),'2023DATA'!$K$23,"")</f>
        <v/>
      </c>
      <c r="BC178" s="518" t="str">
        <f>IF(AND(_AC3="B-737-800",'2023'!$H$4="CA",'2023'!$H$2=BC157),'2023DATA'!$L$23,"")</f>
        <v/>
      </c>
      <c r="BD178" s="518" t="str">
        <f>IF(AND(_AC3="B-737-800",'2023'!$H$4="CA",'2023'!$H$2=BD157),'2023DATA'!$M$23,"")</f>
        <v/>
      </c>
      <c r="BE178" s="520" t="str">
        <f>IF(AND(_AC3="B-737-800",'2023'!$H$4="CA",'2023'!$H$2=BE157),'2023DATA'!$N$23,"")</f>
        <v/>
      </c>
      <c r="BF178" s="940" t="s">
        <v>69</v>
      </c>
      <c r="BG178" s="13" t="s">
        <v>61</v>
      </c>
      <c r="BH178" s="518" t="str">
        <f>IF(AND(_AC4="B-737-800",'2023'!$H$4="CA",'2023'!$H$2=BH157),'2023DATA'!$C$23,"")</f>
        <v/>
      </c>
      <c r="BI178" s="518" t="str">
        <f>IF(AND(_AC4="B-737-800",'2023'!$H$4="CA",'2023'!$H$2=BI157),'2023DATA'!$D$23,"")</f>
        <v/>
      </c>
      <c r="BJ178" s="518" t="str">
        <f>IF(AND(_AC4="B-737-800",'2023'!$H$4="CA",'2023'!$H$2=BJ157),'2023DATA'!$E$23,"")</f>
        <v/>
      </c>
      <c r="BK178" s="518" t="str">
        <f>IF(AND(_AC4="B-737-800",'2023'!$H$4="CA",'2023'!$H$2=BK157),'2023DATA'!$F$23,"")</f>
        <v/>
      </c>
      <c r="BL178" s="518" t="str">
        <f>IF(AND(_AC4="B-737-800",'2023'!$H$4="CA",'2023'!$H$2=BL157),'2023DATA'!$G$23,"")</f>
        <v/>
      </c>
      <c r="BM178" s="518" t="str">
        <f>IF(AND(_AC4="B-737-800",'2023'!$H$4="CA",'2023'!$H$2=BM157),'2023DATA'!$H$23,"")</f>
        <v/>
      </c>
      <c r="BN178" s="518" t="str">
        <f>IF(AND(_AC4="B-737-800",'2023'!$H$4="CA",'2023'!$H$2=BN157),'2023DATA'!$I$23,"")</f>
        <v/>
      </c>
      <c r="BO178" s="518" t="str">
        <f>IF(AND(_AC4="B-737-800",'2023'!$H$4="CA",'2023'!$H$2=BO157),'2023DATA'!$J$23,"")</f>
        <v/>
      </c>
      <c r="BP178" s="518" t="str">
        <f>IF(AND(_AC4="B-737-800",'2023'!$H$4="CA",'2023'!$H$2=BP157),'2023DATA'!$K$23,"")</f>
        <v/>
      </c>
      <c r="BQ178" s="518" t="str">
        <f>IF(AND(_AC4="B-737-800",'2023'!$H$4="CA",'2023'!$H$2=BQ157),'2023DATA'!$L$23,"")</f>
        <v/>
      </c>
      <c r="BR178" s="518" t="str">
        <f>IF(AND(_AC4="B-737-800",'2023'!$H$4="CA",'2023'!$H$2=BR157),'2023DATA'!$M$23,"")</f>
        <v/>
      </c>
      <c r="BS178" s="520" t="str">
        <f>IF(AND(_AC4="B-737-800",'2023'!$H$4="CA",'2023'!$H$2=BS157),'2023DATA'!$N$23,"")</f>
        <v/>
      </c>
      <c r="BT178" s="940" t="s">
        <v>69</v>
      </c>
      <c r="BU178" s="13" t="s">
        <v>61</v>
      </c>
      <c r="BV178" s="518" t="str">
        <f>IF(AND(_AC5="B-737-800",'2023'!$H$4="CA",'2023'!$H$2=BV157),'2023DATA'!$C$23,"")</f>
        <v/>
      </c>
      <c r="BW178" s="518" t="str">
        <f>IF(AND(_AC5="B-737-800",'2023'!$H$4="CA",'2023'!$H$2=BW157),'2023DATA'!$D$23,"")</f>
        <v/>
      </c>
      <c r="BX178" s="518" t="str">
        <f>IF(AND(_AC5="B-737-800",'2023'!$H$4="CA",'2023'!$H$2=BX157),'2023DATA'!$E$23,"")</f>
        <v/>
      </c>
      <c r="BY178" s="518" t="str">
        <f>IF(AND(_AC5="B-737-800",'2023'!$H$4="CA",'2023'!$H$2=BY157),'2023DATA'!$F$23,"")</f>
        <v/>
      </c>
      <c r="BZ178" s="518" t="str">
        <f>IF(AND(_AC5="B-737-800",'2023'!$H$4="CA",'2023'!$H$2=BZ157),'2023DATA'!$G$23,"")</f>
        <v/>
      </c>
      <c r="CA178" s="518" t="str">
        <f>IF(AND(_AC5="B-737-800",'2023'!$H$4="CA",'2023'!$H$2=CA157),'2023DATA'!$H$23,"")</f>
        <v/>
      </c>
      <c r="CB178" s="518" t="str">
        <f>IF(AND(_AC5="B-737-800",'2023'!$H$4="CA",'2023'!$H$2=CB157),'2023DATA'!$I$23,"")</f>
        <v/>
      </c>
      <c r="CC178" s="518" t="str">
        <f>IF(AND(_AC5="B-737-800",'2023'!$H$4="CA",'2023'!$H$2=CC157),'2023DATA'!$J$23,"")</f>
        <v/>
      </c>
      <c r="CD178" s="518" t="str">
        <f>IF(AND(_AC5="B-737-800",'2023'!$H$4="CA",'2023'!$H$2=CD157),'2023DATA'!$K$23,"")</f>
        <v/>
      </c>
      <c r="CE178" s="518" t="str">
        <f>IF(AND(_AC5="B-737-800",'2023'!$H$4="CA",'2023'!$H$2=CE157),'2023DATA'!$L$23,"")</f>
        <v/>
      </c>
      <c r="CF178" s="518" t="str">
        <f>IF(AND(_AC5="B-737-800",'2023'!$H$4="CA",'2023'!$H$2=CF157),'2023DATA'!$M$23,"")</f>
        <v/>
      </c>
      <c r="CG178" s="520" t="str">
        <f>IF(AND(_AC5="B-737-800",'2023'!$H$4="CA",'2023'!$H$2=CG157),'2023DATA'!$N$23,"")</f>
        <v/>
      </c>
      <c r="CH178" s="940" t="s">
        <v>69</v>
      </c>
      <c r="CI178" s="13" t="s">
        <v>61</v>
      </c>
      <c r="CJ178" s="518" t="str">
        <f>IF(AND(_AC6="B-737-800",'2023'!$H$4="CA",'2023'!$H$2=CJ157),'2023DATA'!$C$23,"")</f>
        <v/>
      </c>
      <c r="CK178" s="518" t="str">
        <f>IF(AND(_AC6="B-737-800",'2023'!$H$4="CA",'2023'!$H$2=CK157),'2023DATA'!$D$23,"")</f>
        <v/>
      </c>
      <c r="CL178" s="518" t="str">
        <f>IF(AND(_AC6="B-737-800",'2023'!$H$4="CA",'2023'!$H$2=CL157),'2023DATA'!$E$23,"")</f>
        <v/>
      </c>
      <c r="CM178" s="518" t="str">
        <f>IF(AND(_AC6="B-737-800",'2023'!$H$4="CA",'2023'!$H$2=CM157),'2023DATA'!$F$23,"")</f>
        <v/>
      </c>
      <c r="CN178" s="518" t="str">
        <f>IF(AND(_AC6="B-737-800",'2023'!$H$4="CA",'2023'!$H$2=CN157),'2023DATA'!$G$23,"")</f>
        <v/>
      </c>
      <c r="CO178" s="518" t="str">
        <f>IF(AND(_AC6="B-737-800",'2023'!$H$4="CA",'2023'!$H$2=CO157),'2023DATA'!$H$23,"")</f>
        <v/>
      </c>
      <c r="CP178" s="518" t="str">
        <f>IF(AND(_AC6="B-737-800",'2023'!$H$4="CA",'2023'!$H$2=CP157),'2023DATA'!$I$23,"")</f>
        <v/>
      </c>
      <c r="CQ178" s="518" t="str">
        <f>IF(AND(_AC6="B-737-800",'2023'!$H$4="CA",'2023'!$H$2=CQ157),'2023DATA'!$J$23,"")</f>
        <v/>
      </c>
      <c r="CR178" s="518" t="str">
        <f>IF(AND(_AC6="B-737-800",'2023'!$H$4="CA",'2023'!$H$2=CR157),'2023DATA'!$K$23,"")</f>
        <v/>
      </c>
      <c r="CS178" s="518" t="str">
        <f>IF(AND(_AC6="B-737-800",'2023'!$H$4="CA",'2023'!$H$2=CS157),'2023DATA'!$L$23,"")</f>
        <v/>
      </c>
      <c r="CT178" s="518" t="str">
        <f>IF(AND(_AC6="B-737-800",'2023'!$H$4="CA",'2023'!$H$2=CT157),'2023DATA'!$M$23,"")</f>
        <v/>
      </c>
      <c r="CU178" s="520" t="str">
        <f>IF(AND(_AC6="B-737-800",'2023'!$H$4="CA",'2023'!$H$2=CU157),'2023DATA'!$N$23,"")</f>
        <v/>
      </c>
    </row>
    <row r="179" spans="16:99" x14ac:dyDescent="0.25">
      <c r="P179" s="940"/>
      <c r="Q179" s="13" t="s">
        <v>62</v>
      </c>
      <c r="R179" s="518" t="str">
        <f>IF(AND(_AC1="B-737-800",'2023'!$H$4="FO",'2023'!$H$2=R157),'2023DATA'!$C$24,"")</f>
        <v/>
      </c>
      <c r="S179" s="518" t="str">
        <f>IF(AND(_AC1="B-737-800",'2023'!$H$4="FO",'2023'!$H$2=S157),'2023DATA'!$D$24,"")</f>
        <v/>
      </c>
      <c r="T179" s="518" t="str">
        <f>IF(AND(_AC1="B-737-800",'2023'!$H$4="FO",'2023'!$H$2=T157),'2023DATA'!$E$24,"")</f>
        <v/>
      </c>
      <c r="U179" s="518" t="str">
        <f>IF(AND(_AC1="B-737-800",'2023'!$H$4="FO",'2023'!$H$2=U157),'2023DATA'!$F$24,"")</f>
        <v/>
      </c>
      <c r="V179" s="518" t="str">
        <f>IF(AND(_AC1="B-737-800",'2023'!$H$4="FO",'2023'!$H$2=V157),'2023DATA'!$G$24,"")</f>
        <v/>
      </c>
      <c r="W179" s="518" t="str">
        <f>IF(AND(_AC1="B-737-800",'2023'!$H$4="FO",'2023'!$H$2=W157),'2023DATA'!$H$24,"")</f>
        <v/>
      </c>
      <c r="X179" s="518" t="str">
        <f>IF(AND(_AC1="B-737-800",'2023'!$H$4="FO",'2023'!$H$2=X157),'2023DATA'!$I$24,"")</f>
        <v/>
      </c>
      <c r="Y179" s="518" t="str">
        <f>IF(AND(_AC1="B-737-800",'2023'!$H$4="FO",'2023'!$H$2=Y157),'2023DATA'!$J$24,"")</f>
        <v/>
      </c>
      <c r="Z179" s="518" t="str">
        <f>IF(AND(_AC1="B-737-800",'2023'!$H$4="FO",'2023'!$H$2=Z157),'2023DATA'!$K$24,"")</f>
        <v/>
      </c>
      <c r="AA179" s="518" t="str">
        <f>IF(AND(_AC1="B-737-800",'2023'!$H$4="FO",'2023'!$H$2=AA157),'2023DATA'!$L$24,"")</f>
        <v/>
      </c>
      <c r="AB179" s="518" t="str">
        <f>IF(AND(_AC1="B-737-800",'2023'!$H$4="FO",'2023'!$H$2=AB157),'2023DATA'!$M$24,"")</f>
        <v/>
      </c>
      <c r="AC179" s="520" t="str">
        <f>IF(AND(_AC1="B-737-800",'2023'!$H$4="FO",'2023'!$H$2=AC157),'2023DATA'!$N$24,"")</f>
        <v/>
      </c>
      <c r="AD179" s="940"/>
      <c r="AE179" s="13" t="s">
        <v>62</v>
      </c>
      <c r="AF179" s="518" t="str">
        <f>IF(AND(_AC2="B-737-800",'2023'!$H$4="FO",'2023'!$H$2=AF157),'2023DATA'!$C$24,"")</f>
        <v/>
      </c>
      <c r="AG179" s="518" t="str">
        <f>IF(AND(_AC2="B-737-800",'2023'!$H$4="FO",'2023'!$H$2=AG157),'2023DATA'!$D$24,"")</f>
        <v/>
      </c>
      <c r="AH179" s="518" t="str">
        <f>IF(AND(_AC2="B-737-800",'2023'!$H$4="FO",'2023'!$H$2=AH157),'2023DATA'!$E$24,"")</f>
        <v/>
      </c>
      <c r="AI179" s="518" t="str">
        <f>IF(AND(_AC2="B-737-800",'2023'!$H$4="FO",'2023'!$H$2=AI157),'2023DATA'!$F$24,"")</f>
        <v/>
      </c>
      <c r="AJ179" s="518" t="str">
        <f>IF(AND(_AC2="B-737-800",'2023'!$H$4="FO",'2023'!$H$2=AJ157),'2023DATA'!$G$24,"")</f>
        <v/>
      </c>
      <c r="AK179" s="518" t="str">
        <f>IF(AND(_AC2="B-737-800",'2023'!$H$4="FO",'2023'!$H$2=AK157),'2023DATA'!$H$24,"")</f>
        <v/>
      </c>
      <c r="AL179" s="518" t="str">
        <f>IF(AND(_AC2="B-737-800",'2023'!$H$4="FO",'2023'!$H$2=AL157),'2023DATA'!$I$24,"")</f>
        <v/>
      </c>
      <c r="AM179" s="518" t="str">
        <f>IF(AND(_AC2="B-737-800",'2023'!$H$4="FO",'2023'!$H$2=AM157),'2023DATA'!$J$24,"")</f>
        <v/>
      </c>
      <c r="AN179" s="518" t="str">
        <f>IF(AND(_AC2="B-737-800",'2023'!$H$4="FO",'2023'!$H$2=AN157),'2023DATA'!$K$24,"")</f>
        <v/>
      </c>
      <c r="AO179" s="518" t="str">
        <f>IF(AND(_AC2="B-737-800",'2023'!$H$4="FO",'2023'!$H$2=AO157),'2023DATA'!$L$24,"")</f>
        <v/>
      </c>
      <c r="AP179" s="518" t="str">
        <f>IF(AND(_AC2="B-737-800",'2023'!$H$4="FO",'2023'!$H$2=AP157),'2023DATA'!$M$24,"")</f>
        <v/>
      </c>
      <c r="AQ179" s="520" t="str">
        <f>IF(AND(_AC2="B-737-800",'2023'!$H$4="FO",'2023'!$H$2=AQ157),'2023DATA'!$N$24,"")</f>
        <v/>
      </c>
      <c r="AR179" s="940"/>
      <c r="AS179" s="13" t="s">
        <v>62</v>
      </c>
      <c r="AT179" s="518" t="str">
        <f>IF(AND(_AC3="B-737-800",'2023'!$H$4="FO",'2023'!$H$2=AT157),'2023DATA'!$C$24,"")</f>
        <v/>
      </c>
      <c r="AU179" s="518" t="str">
        <f>IF(AND(_AC3="B-737-800",'2023'!$H$4="FO",'2023'!$H$2=AU157),'2023DATA'!$D$24,"")</f>
        <v/>
      </c>
      <c r="AV179" s="518" t="str">
        <f>IF(AND(_AC3="B-737-800",'2023'!$H$4="FO",'2023'!$H$2=AV157),'2023DATA'!$E$24,"")</f>
        <v/>
      </c>
      <c r="AW179" s="518" t="str">
        <f>IF(AND(_AC3="B-737-800",'2023'!$H$4="FO",'2023'!$H$2=AW157),'2023DATA'!$F$24,"")</f>
        <v/>
      </c>
      <c r="AX179" s="518" t="str">
        <f>IF(AND(_AC3="B-737-800",'2023'!$H$4="FO",'2023'!$H$2=AX157),'2023DATA'!$G$24,"")</f>
        <v/>
      </c>
      <c r="AY179" s="518" t="str">
        <f>IF(AND(_AC3="B-737-800",'2023'!$H$4="FO",'2023'!$H$2=AY157),'2023DATA'!$H$24,"")</f>
        <v/>
      </c>
      <c r="AZ179" s="518" t="str">
        <f>IF(AND(_AC3="B-737-800",'2023'!$H$4="FO",'2023'!$H$2=AZ157),'2023DATA'!$I$24,"")</f>
        <v/>
      </c>
      <c r="BA179" s="518" t="str">
        <f>IF(AND(_AC3="B-737-800",'2023'!$H$4="FO",'2023'!$H$2=BA157),'2023DATA'!$J$24,"")</f>
        <v/>
      </c>
      <c r="BB179" s="518" t="str">
        <f>IF(AND(_AC3="B-737-800",'2023'!$H$4="FO",'2023'!$H$2=BB157),'2023DATA'!$K$24,"")</f>
        <v/>
      </c>
      <c r="BC179" s="518" t="str">
        <f>IF(AND(_AC3="B-737-800",'2023'!$H$4="FO",'2023'!$H$2=BC157),'2023DATA'!$L$24,"")</f>
        <v/>
      </c>
      <c r="BD179" s="518" t="str">
        <f>IF(AND(_AC3="B-737-800",'2023'!$H$4="FO",'2023'!$H$2=BD157),'2023DATA'!$M$24,"")</f>
        <v/>
      </c>
      <c r="BE179" s="520" t="str">
        <f>IF(AND(_AC3="B-737-800",'2023'!$H$4="FO",'2023'!$H$2=BE157),'2023DATA'!$N$24,"")</f>
        <v/>
      </c>
      <c r="BF179" s="940"/>
      <c r="BG179" s="13" t="s">
        <v>62</v>
      </c>
      <c r="BH179" s="518" t="str">
        <f>IF(AND(_AC4="B-737-800",'2023'!$H$4="FO",'2023'!$H$2=BH157),'2023DATA'!$C$24,"")</f>
        <v/>
      </c>
      <c r="BI179" s="518" t="str">
        <f>IF(AND(_AC4="B-737-800",'2023'!$H$4="FO",'2023'!$H$2=BI157),'2023DATA'!$D$24,"")</f>
        <v/>
      </c>
      <c r="BJ179" s="518" t="str">
        <f>IF(AND(_AC4="B-737-800",'2023'!$H$4="FO",'2023'!$H$2=BJ157),'2023DATA'!$E$24,"")</f>
        <v/>
      </c>
      <c r="BK179" s="518" t="str">
        <f>IF(AND(_AC4="B-737-800",'2023'!$H$4="FO",'2023'!$H$2=BK157),'2023DATA'!$F$24,"")</f>
        <v/>
      </c>
      <c r="BL179" s="518" t="str">
        <f>IF(AND(_AC4="B-737-800",'2023'!$H$4="FO",'2023'!$H$2=BL157),'2023DATA'!$G$24,"")</f>
        <v/>
      </c>
      <c r="BM179" s="518" t="str">
        <f>IF(AND(_AC4="B-737-800",'2023'!$H$4="FO",'2023'!$H$2=BM157),'2023DATA'!$H$24,"")</f>
        <v/>
      </c>
      <c r="BN179" s="518" t="str">
        <f>IF(AND(_AC4="B-737-800",'2023'!$H$4="FO",'2023'!$H$2=BN157),'2023DATA'!$I$24,"")</f>
        <v/>
      </c>
      <c r="BO179" s="518" t="str">
        <f>IF(AND(_AC4="B-737-800",'2023'!$H$4="FO",'2023'!$H$2=BO157),'2023DATA'!$J$24,"")</f>
        <v/>
      </c>
      <c r="BP179" s="518" t="str">
        <f>IF(AND(_AC4="B-737-800",'2023'!$H$4="FO",'2023'!$H$2=BP157),'2023DATA'!$K$24,"")</f>
        <v/>
      </c>
      <c r="BQ179" s="518" t="str">
        <f>IF(AND(_AC4="B-737-800",'2023'!$H$4="FO",'2023'!$H$2=BQ157),'2023DATA'!$L$24,"")</f>
        <v/>
      </c>
      <c r="BR179" s="518" t="str">
        <f>IF(AND(_AC4="B-737-800",'2023'!$H$4="FO",'2023'!$H$2=BR157),'2023DATA'!$M$24,"")</f>
        <v/>
      </c>
      <c r="BS179" s="520" t="str">
        <f>IF(AND(_AC4="B-737-800",'2023'!$H$4="FO",'2023'!$H$2=BS157),'2023DATA'!$N$24,"")</f>
        <v/>
      </c>
      <c r="BT179" s="940"/>
      <c r="BU179" s="13" t="s">
        <v>62</v>
      </c>
      <c r="BV179" s="518" t="str">
        <f>IF(AND(_AC5="B-737-800",'2023'!$H$4="FO",'2023'!$H$2=BV157),'2023DATA'!$C$24,"")</f>
        <v/>
      </c>
      <c r="BW179" s="518" t="str">
        <f>IF(AND(_AC5="B-737-800",'2023'!$H$4="FO",'2023'!$H$2=BW157),'2023DATA'!$D$24,"")</f>
        <v/>
      </c>
      <c r="BX179" s="518" t="str">
        <f>IF(AND(_AC5="B-737-800",'2023'!$H$4="FO",'2023'!$H$2=BX157),'2023DATA'!$E$24,"")</f>
        <v/>
      </c>
      <c r="BY179" s="518" t="str">
        <f>IF(AND(_AC5="B-737-800",'2023'!$H$4="FO",'2023'!$H$2=BY157),'2023DATA'!$F$24,"")</f>
        <v/>
      </c>
      <c r="BZ179" s="518" t="str">
        <f>IF(AND(_AC5="B-737-800",'2023'!$H$4="FO",'2023'!$H$2=BZ157),'2023DATA'!$G$24,"")</f>
        <v/>
      </c>
      <c r="CA179" s="518" t="str">
        <f>IF(AND(_AC5="B-737-800",'2023'!$H$4="FO",'2023'!$H$2=CA157),'2023DATA'!$H$24,"")</f>
        <v/>
      </c>
      <c r="CB179" s="518" t="str">
        <f>IF(AND(_AC5="B-737-800",'2023'!$H$4="FO",'2023'!$H$2=CB157),'2023DATA'!$I$24,"")</f>
        <v/>
      </c>
      <c r="CC179" s="518" t="str">
        <f>IF(AND(_AC5="B-737-800",'2023'!$H$4="FO",'2023'!$H$2=CC157),'2023DATA'!$J$24,"")</f>
        <v/>
      </c>
      <c r="CD179" s="518" t="str">
        <f>IF(AND(_AC5="B-737-800",'2023'!$H$4="FO",'2023'!$H$2=CD157),'2023DATA'!$K$24,"")</f>
        <v/>
      </c>
      <c r="CE179" s="518" t="str">
        <f>IF(AND(_AC5="B-737-800",'2023'!$H$4="FO",'2023'!$H$2=CE157),'2023DATA'!$L$24,"")</f>
        <v/>
      </c>
      <c r="CF179" s="518" t="str">
        <f>IF(AND(_AC5="B-737-800",'2023'!$H$4="FO",'2023'!$H$2=CF157),'2023DATA'!$M$24,"")</f>
        <v/>
      </c>
      <c r="CG179" s="520" t="str">
        <f>IF(AND(_AC5="B-737-800",'2023'!$H$4="FO",'2023'!$H$2=CG157),'2023DATA'!$N$24,"")</f>
        <v/>
      </c>
      <c r="CH179" s="940"/>
      <c r="CI179" s="13" t="s">
        <v>62</v>
      </c>
      <c r="CJ179" s="518" t="str">
        <f>IF(AND(_AC6="B-737-800",'2023'!$H$4="FO",'2023'!$H$2=CJ157),'2023DATA'!$C$24,"")</f>
        <v/>
      </c>
      <c r="CK179" s="518" t="str">
        <f>IF(AND(_AC6="B-737-800",'2023'!$H$4="FO",'2023'!$H$2=CK157),'2023DATA'!$D$24,"")</f>
        <v/>
      </c>
      <c r="CL179" s="518" t="str">
        <f>IF(AND(_AC6="B-737-800",'2023'!$H$4="FO",'2023'!$H$2=CL157),'2023DATA'!$E$24,"")</f>
        <v/>
      </c>
      <c r="CM179" s="518" t="str">
        <f>IF(AND(_AC6="B-737-800",'2023'!$H$4="FO",'2023'!$H$2=CM157),'2023DATA'!$F$24,"")</f>
        <v/>
      </c>
      <c r="CN179" s="518" t="str">
        <f>IF(AND(_AC6="B-737-800",'2023'!$H$4="FO",'2023'!$H$2=CN157),'2023DATA'!$G$24,"")</f>
        <v/>
      </c>
      <c r="CO179" s="518" t="str">
        <f>IF(AND(_AC6="B-737-800",'2023'!$H$4="FO",'2023'!$H$2=CO157),'2023DATA'!$H$24,"")</f>
        <v/>
      </c>
      <c r="CP179" s="518" t="str">
        <f>IF(AND(_AC6="B-737-800",'2023'!$H$4="FO",'2023'!$H$2=CP157),'2023DATA'!$I$24,"")</f>
        <v/>
      </c>
      <c r="CQ179" s="518" t="str">
        <f>IF(AND(_AC6="B-737-800",'2023'!$H$4="FO",'2023'!$H$2=CQ157),'2023DATA'!$J$24,"")</f>
        <v/>
      </c>
      <c r="CR179" s="518" t="str">
        <f>IF(AND(_AC6="B-737-800",'2023'!$H$4="FO",'2023'!$H$2=CR157),'2023DATA'!$K$24,"")</f>
        <v/>
      </c>
      <c r="CS179" s="518" t="str">
        <f>IF(AND(_AC6="B-737-800",'2023'!$H$4="FO",'2023'!$H$2=CS157),'2023DATA'!$L$24,"")</f>
        <v/>
      </c>
      <c r="CT179" s="518" t="str">
        <f>IF(AND(_AC6="B-737-800",'2023'!$H$4="FO",'2023'!$H$2=CT157),'2023DATA'!$M$24,"")</f>
        <v/>
      </c>
      <c r="CU179" s="520" t="str">
        <f>IF(AND(_AC6="B-737-800",'2023'!$H$4="FO",'2023'!$H$2=CU157),'2023DATA'!$N$24,"")</f>
        <v/>
      </c>
    </row>
    <row r="180" spans="16:99" x14ac:dyDescent="0.25">
      <c r="P180" s="940" t="s">
        <v>46</v>
      </c>
      <c r="Q180" s="13" t="s">
        <v>61</v>
      </c>
      <c r="R180" s="518" t="str">
        <f>IF(AND(_AC1="A-321N",'2023'!$H$4="CA",'2023'!$H$2=R157),'2023DATA'!$C$25,"")</f>
        <v/>
      </c>
      <c r="S180" s="518" t="str">
        <f>IF(AND(_AC1="A-321N",'2023'!$H$4="CA",'2023'!$H$2=S157),'2023DATA'!$D$25,"")</f>
        <v/>
      </c>
      <c r="T180" s="518" t="str">
        <f>IF(AND(_AC1="A-321N",'2023'!$H$4="CA",'2023'!$H$2=T157),'2023DATA'!$E$25,"")</f>
        <v/>
      </c>
      <c r="U180" s="518" t="str">
        <f>IF(AND(_AC1="A-321N",'2023'!$H$4="CA",'2023'!$H$2=U157),'2023DATA'!$F$25,"")</f>
        <v/>
      </c>
      <c r="V180" s="518" t="str">
        <f>IF(AND(_AC1="A-321N",'2023'!$H$4="CA",'2023'!$H$2=V157),'2023DATA'!$G$25,"")</f>
        <v/>
      </c>
      <c r="W180" s="518" t="str">
        <f>IF(AND(_AC1="A-321N",'2023'!$H$4="CA",'2023'!$H$2=W157),'2023DATA'!$H$25,"")</f>
        <v/>
      </c>
      <c r="X180" s="518" t="str">
        <f>IF(AND(_AC1="A-321N",'2023'!$H$4="CA",'2023'!$H$2=X157),'2023DATA'!$I$25,"")</f>
        <v/>
      </c>
      <c r="Y180" s="518" t="str">
        <f>IF(AND(_AC1="A-321N",'2023'!$H$4="CA",'2023'!$H$2=Y157),'2023DATA'!$J$25,"")</f>
        <v/>
      </c>
      <c r="Z180" s="518" t="str">
        <f>IF(AND(_AC1="A-321N",'2023'!$H$4="CA",'2023'!$H$2=Z157),'2023DATA'!$K$25,"")</f>
        <v/>
      </c>
      <c r="AA180" s="518" t="str">
        <f>IF(AND(_AC1="A-321N",'2023'!$H$4="CA",'2023'!$H$2=AA157),'2023DATA'!$L$25,"")</f>
        <v/>
      </c>
      <c r="AB180" s="518" t="str">
        <f>IF(AND(_AC1="A-321N",'2023'!$H$4="CA",'2023'!$H$2=AB157),'2023DATA'!$M$25,"")</f>
        <v/>
      </c>
      <c r="AC180" s="520" t="str">
        <f>IF(AND(_AC1="A-321N",'2023'!$H$4="CA",'2023'!$H$2=AC157),'2023DATA'!$N$25,"")</f>
        <v/>
      </c>
      <c r="AD180" s="940" t="s">
        <v>46</v>
      </c>
      <c r="AE180" s="13" t="s">
        <v>61</v>
      </c>
      <c r="AF180" s="518" t="str">
        <f>IF(AND(_AC2="A-321N",'2023'!$H$4="CA",'2023'!$H$2=AF157),'2023DATA'!$C$25,"")</f>
        <v/>
      </c>
      <c r="AG180" s="518" t="str">
        <f>IF(AND(_AC2="A-321N",'2023'!$H$4="CA",'2023'!$H$2=AG157),'2023DATA'!$D$25,"")</f>
        <v/>
      </c>
      <c r="AH180" s="518" t="str">
        <f>IF(AND(_AC2="A-321N",'2023'!$H$4="CA",'2023'!$H$2=AH157),'2023DATA'!$E$25,"")</f>
        <v/>
      </c>
      <c r="AI180" s="518" t="str">
        <f>IF(AND(_AC2="A-321N",'2023'!$H$4="CA",'2023'!$H$2=AI157),'2023DATA'!$F$25,"")</f>
        <v/>
      </c>
      <c r="AJ180" s="518" t="str">
        <f>IF(AND(_AC2="A-321N",'2023'!$H$4="CA",'2023'!$H$2=AJ157),'2023DATA'!$G$25,"")</f>
        <v/>
      </c>
      <c r="AK180" s="518" t="str">
        <f>IF(AND(_AC2="A-321N",'2023'!$H$4="CA",'2023'!$H$2=AK157),'2023DATA'!$H$25,"")</f>
        <v/>
      </c>
      <c r="AL180" s="518" t="str">
        <f>IF(AND(_AC2="A-321N",'2023'!$H$4="CA",'2023'!$H$2=AL157),'2023DATA'!$I$25,"")</f>
        <v/>
      </c>
      <c r="AM180" s="518" t="str">
        <f>IF(AND(_AC2="A-321N",'2023'!$H$4="CA",'2023'!$H$2=AM157),'2023DATA'!$J$25,"")</f>
        <v/>
      </c>
      <c r="AN180" s="518" t="str">
        <f>IF(AND(_AC2="A-321N",'2023'!$H$4="CA",'2023'!$H$2=AN157),'2023DATA'!$K$25,"")</f>
        <v/>
      </c>
      <c r="AO180" s="518" t="str">
        <f>IF(AND(_AC2="A-321N",'2023'!$H$4="CA",'2023'!$H$2=AO157),'2023DATA'!$L$25,"")</f>
        <v/>
      </c>
      <c r="AP180" s="518" t="str">
        <f>IF(AND(_AC2="A-321N",'2023'!$H$4="CA",'2023'!$H$2=AP157),'2023DATA'!$M$25,"")</f>
        <v/>
      </c>
      <c r="AQ180" s="520" t="str">
        <f>IF(AND(_AC2="A-321N",'2023'!$H$4="CA",'2023'!$H$2=AQ157),'2023DATA'!$N$25,"")</f>
        <v/>
      </c>
      <c r="AR180" s="940" t="s">
        <v>46</v>
      </c>
      <c r="AS180" s="13" t="s">
        <v>61</v>
      </c>
      <c r="AT180" s="518" t="str">
        <f>IF(AND(_AC3="A-321N",'2023'!$H$4="CA",'2023'!$H$2=AT157),'2023DATA'!$C$25,"")</f>
        <v/>
      </c>
      <c r="AU180" s="518" t="str">
        <f>IF(AND(_AC3="A-321N",'2023'!$H$4="CA",'2023'!$H$2=AU157),'2023DATA'!$D$25,"")</f>
        <v/>
      </c>
      <c r="AV180" s="518" t="str">
        <f>IF(AND(_AC3="A-321N",'2023'!$H$4="CA",'2023'!$H$2=AV157),'2023DATA'!$E$25,"")</f>
        <v/>
      </c>
      <c r="AW180" s="518" t="str">
        <f>IF(AND(_AC3="A-321N",'2023'!$H$4="CA",'2023'!$H$2=AW157),'2023DATA'!$F$25,"")</f>
        <v/>
      </c>
      <c r="AX180" s="518" t="str">
        <f>IF(AND(_AC3="A-321N",'2023'!$H$4="CA",'2023'!$H$2=AX157),'2023DATA'!$G$25,"")</f>
        <v/>
      </c>
      <c r="AY180" s="518" t="str">
        <f>IF(AND(_AC3="A-321N",'2023'!$H$4="CA",'2023'!$H$2=AY157),'2023DATA'!$H$25,"")</f>
        <v/>
      </c>
      <c r="AZ180" s="518" t="str">
        <f>IF(AND(_AC3="A-321N",'2023'!$H$4="CA",'2023'!$H$2=AZ157),'2023DATA'!$I$25,"")</f>
        <v/>
      </c>
      <c r="BA180" s="518" t="str">
        <f>IF(AND(_AC3="A-321N",'2023'!$H$4="CA",'2023'!$H$2=BA157),'2023DATA'!$J$25,"")</f>
        <v/>
      </c>
      <c r="BB180" s="518" t="str">
        <f>IF(AND(_AC3="A-321N",'2023'!$H$4="CA",'2023'!$H$2=BB157),'2023DATA'!$K$25,"")</f>
        <v/>
      </c>
      <c r="BC180" s="518" t="str">
        <f>IF(AND(_AC3="A-321N",'2023'!$H$4="CA",'2023'!$H$2=BC157),'2023DATA'!$L$25,"")</f>
        <v/>
      </c>
      <c r="BD180" s="518" t="str">
        <f>IF(AND(_AC3="A-321N",'2023'!$H$4="CA",'2023'!$H$2=BD157),'2023DATA'!$M$25,"")</f>
        <v/>
      </c>
      <c r="BE180" s="520" t="str">
        <f>IF(AND(_AC3="A-321N",'2023'!$H$4="CA",'2023'!$H$2=BE157),'2023DATA'!$N$25,"")</f>
        <v/>
      </c>
      <c r="BF180" s="940" t="s">
        <v>46</v>
      </c>
      <c r="BG180" s="13" t="s">
        <v>61</v>
      </c>
      <c r="BH180" s="518" t="str">
        <f>IF(AND(_AC4="A-321N",'2023'!$H$4="CA",'2023'!$H$2=BH157),'2023DATA'!$C$25,"")</f>
        <v/>
      </c>
      <c r="BI180" s="518" t="str">
        <f>IF(AND(_AC4="A-321N",'2023'!$H$4="CA",'2023'!$H$2=BI157),'2023DATA'!$D$25,"")</f>
        <v/>
      </c>
      <c r="BJ180" s="518" t="str">
        <f>IF(AND(_AC4="A-321N",'2023'!$H$4="CA",'2023'!$H$2=BJ157),'2023DATA'!$E$25,"")</f>
        <v/>
      </c>
      <c r="BK180" s="518" t="str">
        <f>IF(AND(_AC4="A-321N",'2023'!$H$4="CA",'2023'!$H$2=BK157),'2023DATA'!$F$25,"")</f>
        <v/>
      </c>
      <c r="BL180" s="518" t="str">
        <f>IF(AND(_AC4="A-321N",'2023'!$H$4="CA",'2023'!$H$2=BL157),'2023DATA'!$G$25,"")</f>
        <v/>
      </c>
      <c r="BM180" s="518" t="str">
        <f>IF(AND(_AC4="A-321N",'2023'!$H$4="CA",'2023'!$H$2=BM157),'2023DATA'!$H$25,"")</f>
        <v/>
      </c>
      <c r="BN180" s="518" t="str">
        <f>IF(AND(_AC4="A-321N",'2023'!$H$4="CA",'2023'!$H$2=BN157),'2023DATA'!$I$25,"")</f>
        <v/>
      </c>
      <c r="BO180" s="518" t="str">
        <f>IF(AND(_AC4="A-321N",'2023'!$H$4="CA",'2023'!$H$2=BO157),'2023DATA'!$J$25,"")</f>
        <v/>
      </c>
      <c r="BP180" s="518" t="str">
        <f>IF(AND(_AC4="A-321N",'2023'!$H$4="CA",'2023'!$H$2=BP157),'2023DATA'!$K$25,"")</f>
        <v/>
      </c>
      <c r="BQ180" s="518" t="str">
        <f>IF(AND(_AC4="A-321N",'2023'!$H$4="CA",'2023'!$H$2=BQ157),'2023DATA'!$L$25,"")</f>
        <v/>
      </c>
      <c r="BR180" s="518" t="str">
        <f>IF(AND(_AC4="A-321N",'2023'!$H$4="CA",'2023'!$H$2=BR157),'2023DATA'!$M$25,"")</f>
        <v/>
      </c>
      <c r="BS180" s="520" t="str">
        <f>IF(AND(_AC4="A-321N",'2023'!$H$4="CA",'2023'!$H$2=BS157),'2023DATA'!$N$25,"")</f>
        <v/>
      </c>
      <c r="BT180" s="940" t="s">
        <v>46</v>
      </c>
      <c r="BU180" s="13" t="s">
        <v>61</v>
      </c>
      <c r="BV180" s="518" t="str">
        <f>IF(AND(_AC5="A-321N",'2023'!$H$4="CA",'2023'!$H$2=BV157),'2023DATA'!$C$25,"")</f>
        <v/>
      </c>
      <c r="BW180" s="518" t="str">
        <f>IF(AND(_AC5="A-321N",'2023'!$H$4="CA",'2023'!$H$2=BW157),'2023DATA'!$D$25,"")</f>
        <v/>
      </c>
      <c r="BX180" s="518" t="str">
        <f>IF(AND(_AC5="A-321N",'2023'!$H$4="CA",'2023'!$H$2=BX157),'2023DATA'!$E$25,"")</f>
        <v/>
      </c>
      <c r="BY180" s="518" t="str">
        <f>IF(AND(_AC5="A-321N",'2023'!$H$4="CA",'2023'!$H$2=BY157),'2023DATA'!$F$25,"")</f>
        <v/>
      </c>
      <c r="BZ180" s="518" t="str">
        <f>IF(AND(_AC5="A-321N",'2023'!$H$4="CA",'2023'!$H$2=BZ157),'2023DATA'!$G$25,"")</f>
        <v/>
      </c>
      <c r="CA180" s="518" t="str">
        <f>IF(AND(_AC5="A-321N",'2023'!$H$4="CA",'2023'!$H$2=CA157),'2023DATA'!$H$25,"")</f>
        <v/>
      </c>
      <c r="CB180" s="518" t="str">
        <f>IF(AND(_AC5="A-321N",'2023'!$H$4="CA",'2023'!$H$2=CB157),'2023DATA'!$I$25,"")</f>
        <v/>
      </c>
      <c r="CC180" s="518" t="str">
        <f>IF(AND(_AC5="A-321N",'2023'!$H$4="CA",'2023'!$H$2=CC157),'2023DATA'!$J$25,"")</f>
        <v/>
      </c>
      <c r="CD180" s="518" t="str">
        <f>IF(AND(_AC5="A-321N",'2023'!$H$4="CA",'2023'!$H$2=CD157),'2023DATA'!$K$25,"")</f>
        <v/>
      </c>
      <c r="CE180" s="518" t="str">
        <f>IF(AND(_AC5="A-321N",'2023'!$H$4="CA",'2023'!$H$2=CE157),'2023DATA'!$L$25,"")</f>
        <v/>
      </c>
      <c r="CF180" s="518" t="str">
        <f>IF(AND(_AC5="A-321N",'2023'!$H$4="CA",'2023'!$H$2=CF157),'2023DATA'!$M$25,"")</f>
        <v/>
      </c>
      <c r="CG180" s="520" t="str">
        <f>IF(AND(_AC5="A-321N",'2023'!$H$4="CA",'2023'!$H$2=CG157),'2023DATA'!$N$25,"")</f>
        <v/>
      </c>
      <c r="CH180" s="940" t="s">
        <v>46</v>
      </c>
      <c r="CI180" s="13" t="s">
        <v>61</v>
      </c>
      <c r="CJ180" s="518" t="str">
        <f>IF(AND(_AC6="A-321N",'2023'!$H$4="CA",'2023'!$H$2=CJ157),'2023DATA'!$C$25,"")</f>
        <v/>
      </c>
      <c r="CK180" s="518" t="str">
        <f>IF(AND(_AC6="A-321N",'2023'!$H$4="CA",'2023'!$H$2=CK157),'2023DATA'!$D$25,"")</f>
        <v/>
      </c>
      <c r="CL180" s="518" t="str">
        <f>IF(AND(_AC6="A-321N",'2023'!$H$4="CA",'2023'!$H$2=CL157),'2023DATA'!$E$25,"")</f>
        <v/>
      </c>
      <c r="CM180" s="518" t="str">
        <f>IF(AND(_AC6="A-321N",'2023'!$H$4="CA",'2023'!$H$2=CM157),'2023DATA'!$F$25,"")</f>
        <v/>
      </c>
      <c r="CN180" s="518" t="str">
        <f>IF(AND(_AC6="A-321N",'2023'!$H$4="CA",'2023'!$H$2=CN157),'2023DATA'!$G$25,"")</f>
        <v/>
      </c>
      <c r="CO180" s="518" t="str">
        <f>IF(AND(_AC6="A-321N",'2023'!$H$4="CA",'2023'!$H$2=CO157),'2023DATA'!$H$25,"")</f>
        <v/>
      </c>
      <c r="CP180" s="518" t="str">
        <f>IF(AND(_AC6="A-321N",'2023'!$H$4="CA",'2023'!$H$2=CP157),'2023DATA'!$I$25,"")</f>
        <v/>
      </c>
      <c r="CQ180" s="518" t="str">
        <f>IF(AND(_AC6="A-321N",'2023'!$H$4="CA",'2023'!$H$2=CQ157),'2023DATA'!$J$25,"")</f>
        <v/>
      </c>
      <c r="CR180" s="518" t="str">
        <f>IF(AND(_AC6="A-321N",'2023'!$H$4="CA",'2023'!$H$2=CR157),'2023DATA'!$K$25,"")</f>
        <v/>
      </c>
      <c r="CS180" s="518" t="str">
        <f>IF(AND(_AC6="A-321N",'2023'!$H$4="CA",'2023'!$H$2=CS157),'2023DATA'!$L$25,"")</f>
        <v/>
      </c>
      <c r="CT180" s="518" t="str">
        <f>IF(AND(_AC6="A-321N",'2023'!$H$4="CA",'2023'!$H$2=CT157),'2023DATA'!$M$25,"")</f>
        <v/>
      </c>
      <c r="CU180" s="520" t="str">
        <f>IF(AND(_AC6="A-321N",'2023'!$H$4="CA",'2023'!$H$2=CU157),'2023DATA'!$N$25,"")</f>
        <v/>
      </c>
    </row>
    <row r="181" spans="16:99" x14ac:dyDescent="0.25">
      <c r="P181" s="940"/>
      <c r="Q181" s="13" t="s">
        <v>62</v>
      </c>
      <c r="R181" s="518" t="str">
        <f>IF(AND(_AC1="A-321N",'2023'!$H$4="FO",'2023'!$H$2=R157),'2023DATA'!$C$26,"")</f>
        <v/>
      </c>
      <c r="S181" s="518" t="str">
        <f>IF(AND(_AC1="A-321N",'2023'!$H$4="FO",'2023'!$H$2=S157),'2023DATA'!$D$26,"")</f>
        <v/>
      </c>
      <c r="T181" s="518" t="str">
        <f>IF(AND(_AC1="A-321N",'2023'!$H$4="FO",'2023'!$H$2=T157),'2023DATA'!$E$26,"")</f>
        <v/>
      </c>
      <c r="U181" s="518" t="str">
        <f>IF(AND(_AC1="A-321N",'2023'!$H$4="FO",'2023'!$H$2=U157),'2023DATA'!$F$26,"")</f>
        <v/>
      </c>
      <c r="V181" s="518" t="str">
        <f>IF(AND(_AC1="A-321N",'2023'!$H$4="FO",'2023'!$H$2=V157),'2023DATA'!$G$26,"")</f>
        <v/>
      </c>
      <c r="W181" s="518" t="str">
        <f>IF(AND(_AC1="A-321N",'2023'!$H$4="FO",'2023'!$H$2=W157),'2023DATA'!$H$26,"")</f>
        <v/>
      </c>
      <c r="X181" s="518" t="str">
        <f>IF(AND(_AC1="A-321N",'2023'!$H$4="FO",'2023'!$H$2=X157),'2023DATA'!$I$26,"")</f>
        <v/>
      </c>
      <c r="Y181" s="518" t="str">
        <f>IF(AND(_AC1="A-321N",'2023'!$H$4="FO",'2023'!$H$2=Y157),'2023DATA'!$J$26,"")</f>
        <v/>
      </c>
      <c r="Z181" s="518" t="str">
        <f>IF(AND(_AC1="A-321N",'2023'!$H$4="FO",'2023'!$H$2=Z157),'2023DATA'!$K$26,"")</f>
        <v/>
      </c>
      <c r="AA181" s="518" t="str">
        <f>IF(AND(_AC1="A-321N",'2023'!$H$4="FO",'2023'!$H$2=AA157),'2023DATA'!$L$26,"")</f>
        <v/>
      </c>
      <c r="AB181" s="518" t="str">
        <f>IF(AND(_AC1="A-321N",'2023'!$H$4="FO",'2023'!$H$2=AB157),'2023DATA'!$M$26,"")</f>
        <v/>
      </c>
      <c r="AC181" s="520" t="str">
        <f>IF(AND(_AC1="A-321N",'2023'!$H$4="FO",'2023'!$H$2=AC157),'2023DATA'!$N$26,"")</f>
        <v/>
      </c>
      <c r="AD181" s="940"/>
      <c r="AE181" s="13" t="s">
        <v>62</v>
      </c>
      <c r="AF181" s="518" t="str">
        <f>IF(AND(_AC2="A-321N",'2023'!$H$4="FO",'2023'!$H$2=AF157),'2023DATA'!$C$26,"")</f>
        <v/>
      </c>
      <c r="AG181" s="518" t="str">
        <f>IF(AND(_AC2="A-321N",'2023'!$H$4="FO",'2023'!$H$2=AG157),'2023DATA'!$D$26,"")</f>
        <v/>
      </c>
      <c r="AH181" s="518" t="str">
        <f>IF(AND(_AC2="A-321N",'2023'!$H$4="FO",'2023'!$H$2=AH157),'2023DATA'!$E$26,"")</f>
        <v/>
      </c>
      <c r="AI181" s="518" t="str">
        <f>IF(AND(_AC2="A-321N",'2023'!$H$4="FO",'2023'!$H$2=AI157),'2023DATA'!$F$26,"")</f>
        <v/>
      </c>
      <c r="AJ181" s="518" t="str">
        <f>IF(AND(_AC2="A-321N",'2023'!$H$4="FO",'2023'!$H$2=AJ157),'2023DATA'!$G$26,"")</f>
        <v/>
      </c>
      <c r="AK181" s="518" t="str">
        <f>IF(AND(_AC2="A-321N",'2023'!$H$4="FO",'2023'!$H$2=AK157),'2023DATA'!$H$26,"")</f>
        <v/>
      </c>
      <c r="AL181" s="518" t="str">
        <f>IF(AND(_AC2="A-321N",'2023'!$H$4="FO",'2023'!$H$2=AL157),'2023DATA'!$I$26,"")</f>
        <v/>
      </c>
      <c r="AM181" s="518" t="str">
        <f>IF(AND(_AC2="A-321N",'2023'!$H$4="FO",'2023'!$H$2=AM157),'2023DATA'!$J$26,"")</f>
        <v/>
      </c>
      <c r="AN181" s="518" t="str">
        <f>IF(AND(_AC2="A-321N",'2023'!$H$4="FO",'2023'!$H$2=AN157),'2023DATA'!$K$26,"")</f>
        <v/>
      </c>
      <c r="AO181" s="518" t="str">
        <f>IF(AND(_AC2="A-321N",'2023'!$H$4="FO",'2023'!$H$2=AO157),'2023DATA'!$L$26,"")</f>
        <v/>
      </c>
      <c r="AP181" s="518" t="str">
        <f>IF(AND(_AC2="A-321N",'2023'!$H$4="FO",'2023'!$H$2=AP157),'2023DATA'!$M$26,"")</f>
        <v/>
      </c>
      <c r="AQ181" s="520" t="str">
        <f>IF(AND(_AC2="A-321N",'2023'!$H$4="FO",'2023'!$H$2=AQ157),'2023DATA'!$N$26,"")</f>
        <v/>
      </c>
      <c r="AR181" s="940"/>
      <c r="AS181" s="13" t="s">
        <v>62</v>
      </c>
      <c r="AT181" s="518" t="str">
        <f>IF(AND(_AC3="A-321N",'2023'!$H$4="FO",'2023'!$H$2=AT157),'2023DATA'!$C$26,"")</f>
        <v/>
      </c>
      <c r="AU181" s="518" t="str">
        <f>IF(AND(_AC3="A-321N",'2023'!$H$4="FO",'2023'!$H$2=AU157),'2023DATA'!$D$26,"")</f>
        <v/>
      </c>
      <c r="AV181" s="518" t="str">
        <f>IF(AND(_AC3="A-321N",'2023'!$H$4="FO",'2023'!$H$2=AV157),'2023DATA'!$E$26,"")</f>
        <v/>
      </c>
      <c r="AW181" s="518" t="str">
        <f>IF(AND(_AC3="A-321N",'2023'!$H$4="FO",'2023'!$H$2=AW157),'2023DATA'!$F$26,"")</f>
        <v/>
      </c>
      <c r="AX181" s="518" t="str">
        <f>IF(AND(_AC3="A-321N",'2023'!$H$4="FO",'2023'!$H$2=AX157),'2023DATA'!$G$26,"")</f>
        <v/>
      </c>
      <c r="AY181" s="518" t="str">
        <f>IF(AND(_AC3="A-321N",'2023'!$H$4="FO",'2023'!$H$2=AY157),'2023DATA'!$H$26,"")</f>
        <v/>
      </c>
      <c r="AZ181" s="518" t="str">
        <f>IF(AND(_AC3="A-321N",'2023'!$H$4="FO",'2023'!$H$2=AZ157),'2023DATA'!$I$26,"")</f>
        <v/>
      </c>
      <c r="BA181" s="518" t="str">
        <f>IF(AND(_AC3="A-321N",'2023'!$H$4="FO",'2023'!$H$2=BA157),'2023DATA'!$J$26,"")</f>
        <v/>
      </c>
      <c r="BB181" s="518" t="str">
        <f>IF(AND(_AC3="A-321N",'2023'!$H$4="FO",'2023'!$H$2=BB157),'2023DATA'!$K$26,"")</f>
        <v/>
      </c>
      <c r="BC181" s="518" t="str">
        <f>IF(AND(_AC3="A-321N",'2023'!$H$4="FO",'2023'!$H$2=BC157),'2023DATA'!$L$26,"")</f>
        <v/>
      </c>
      <c r="BD181" s="518" t="str">
        <f>IF(AND(_AC3="A-321N",'2023'!$H$4="FO",'2023'!$H$2=BD157),'2023DATA'!$M$26,"")</f>
        <v/>
      </c>
      <c r="BE181" s="520" t="str">
        <f>IF(AND(_AC3="A-321N",'2023'!$H$4="FO",'2023'!$H$2=BE157),'2023DATA'!$N$26,"")</f>
        <v/>
      </c>
      <c r="BF181" s="940"/>
      <c r="BG181" s="13" t="s">
        <v>62</v>
      </c>
      <c r="BH181" s="518" t="str">
        <f>IF(AND(_AC4="A-321N",'2023'!$H$4="FO",'2023'!$H$2=BH157),'2023DATA'!$C$26,"")</f>
        <v/>
      </c>
      <c r="BI181" s="518" t="str">
        <f>IF(AND(_AC4="A-321N",'2023'!$H$4="FO",'2023'!$H$2=BI157),'2023DATA'!$D$26,"")</f>
        <v/>
      </c>
      <c r="BJ181" s="518" t="str">
        <f>IF(AND(_AC4="A-321N",'2023'!$H$4="FO",'2023'!$H$2=BJ157),'2023DATA'!$E$26,"")</f>
        <v/>
      </c>
      <c r="BK181" s="518" t="str">
        <f>IF(AND(_AC4="A-321N",'2023'!$H$4="FO",'2023'!$H$2=BK157),'2023DATA'!$F$26,"")</f>
        <v/>
      </c>
      <c r="BL181" s="518" t="str">
        <f>IF(AND(_AC4="A-321N",'2023'!$H$4="FO",'2023'!$H$2=BL157),'2023DATA'!$G$26,"")</f>
        <v/>
      </c>
      <c r="BM181" s="518" t="str">
        <f>IF(AND(_AC4="A-321N",'2023'!$H$4="FO",'2023'!$H$2=BM157),'2023DATA'!$H$26,"")</f>
        <v/>
      </c>
      <c r="BN181" s="518" t="str">
        <f>IF(AND(_AC4="A-321N",'2023'!$H$4="FO",'2023'!$H$2=BN157),'2023DATA'!$I$26,"")</f>
        <v/>
      </c>
      <c r="BO181" s="518" t="str">
        <f>IF(AND(_AC4="A-321N",'2023'!$H$4="FO",'2023'!$H$2=BO157),'2023DATA'!$J$26,"")</f>
        <v/>
      </c>
      <c r="BP181" s="518" t="str">
        <f>IF(AND(_AC4="A-321N",'2023'!$H$4="FO",'2023'!$H$2=BP157),'2023DATA'!$K$26,"")</f>
        <v/>
      </c>
      <c r="BQ181" s="518" t="str">
        <f>IF(AND(_AC4="A-321N",'2023'!$H$4="FO",'2023'!$H$2=BQ157),'2023DATA'!$L$26,"")</f>
        <v/>
      </c>
      <c r="BR181" s="518" t="str">
        <f>IF(AND(_AC4="A-321N",'2023'!$H$4="FO",'2023'!$H$2=BR157),'2023DATA'!$M$26,"")</f>
        <v/>
      </c>
      <c r="BS181" s="520" t="str">
        <f>IF(AND(_AC4="A-321N",'2023'!$H$4="FO",'2023'!$H$2=BS157),'2023DATA'!$N$26,"")</f>
        <v/>
      </c>
      <c r="BT181" s="940"/>
      <c r="BU181" s="13" t="s">
        <v>62</v>
      </c>
      <c r="BV181" s="518" t="str">
        <f>IF(AND(_AC5="A-321N",'2023'!$H$4="FO",'2023'!$H$2=BV157),'2023DATA'!$C$26,"")</f>
        <v/>
      </c>
      <c r="BW181" s="518" t="str">
        <f>IF(AND(_AC5="A-321N",'2023'!$H$4="FO",'2023'!$H$2=BW157),'2023DATA'!$D$26,"")</f>
        <v/>
      </c>
      <c r="BX181" s="518" t="str">
        <f>IF(AND(_AC5="A-321N",'2023'!$H$4="FO",'2023'!$H$2=BX157),'2023DATA'!$E$26,"")</f>
        <v/>
      </c>
      <c r="BY181" s="518" t="str">
        <f>IF(AND(_AC5="A-321N",'2023'!$H$4="FO",'2023'!$H$2=BY157),'2023DATA'!$F$26,"")</f>
        <v/>
      </c>
      <c r="BZ181" s="518" t="str">
        <f>IF(AND(_AC5="A-321N",'2023'!$H$4="FO",'2023'!$H$2=BZ157),'2023DATA'!$G$26,"")</f>
        <v/>
      </c>
      <c r="CA181" s="518" t="str">
        <f>IF(AND(_AC5="A-321N",'2023'!$H$4="FO",'2023'!$H$2=CA157),'2023DATA'!$H$26,"")</f>
        <v/>
      </c>
      <c r="CB181" s="518" t="str">
        <f>IF(AND(_AC5="A-321N",'2023'!$H$4="FO",'2023'!$H$2=CB157),'2023DATA'!$I$26,"")</f>
        <v/>
      </c>
      <c r="CC181" s="518" t="str">
        <f>IF(AND(_AC5="A-321N",'2023'!$H$4="FO",'2023'!$H$2=CC157),'2023DATA'!$J$26,"")</f>
        <v/>
      </c>
      <c r="CD181" s="518" t="str">
        <f>IF(AND(_AC5="A-321N",'2023'!$H$4="FO",'2023'!$H$2=CD157),'2023DATA'!$K$26,"")</f>
        <v/>
      </c>
      <c r="CE181" s="518" t="str">
        <f>IF(AND(_AC5="A-321N",'2023'!$H$4="FO",'2023'!$H$2=CE157),'2023DATA'!$L$26,"")</f>
        <v/>
      </c>
      <c r="CF181" s="518" t="str">
        <f>IF(AND(_AC5="A-321N",'2023'!$H$4="FO",'2023'!$H$2=CF157),'2023DATA'!$M$26,"")</f>
        <v/>
      </c>
      <c r="CG181" s="520" t="str">
        <f>IF(AND(_AC5="A-321N",'2023'!$H$4="FO",'2023'!$H$2=CG157),'2023DATA'!$N$26,"")</f>
        <v/>
      </c>
      <c r="CH181" s="940"/>
      <c r="CI181" s="13" t="s">
        <v>62</v>
      </c>
      <c r="CJ181" s="518" t="str">
        <f>IF(AND(_AC6="A-321N",'2023'!$H$4="FO",'2023'!$H$2=CJ157),'2023DATA'!$C$26,"")</f>
        <v/>
      </c>
      <c r="CK181" s="518" t="str">
        <f>IF(AND(_AC6="A-321N",'2023'!$H$4="FO",'2023'!$H$2=CK157),'2023DATA'!$D$26,"")</f>
        <v/>
      </c>
      <c r="CL181" s="518" t="str">
        <f>IF(AND(_AC6="A-321N",'2023'!$H$4="FO",'2023'!$H$2=CL157),'2023DATA'!$E$26,"")</f>
        <v/>
      </c>
      <c r="CM181" s="518" t="str">
        <f>IF(AND(_AC6="A-321N",'2023'!$H$4="FO",'2023'!$H$2=CM157),'2023DATA'!$F$26,"")</f>
        <v/>
      </c>
      <c r="CN181" s="518" t="str">
        <f>IF(AND(_AC6="A-321N",'2023'!$H$4="FO",'2023'!$H$2=CN157),'2023DATA'!$G$26,"")</f>
        <v/>
      </c>
      <c r="CO181" s="518" t="str">
        <f>IF(AND(_AC6="A-321N",'2023'!$H$4="FO",'2023'!$H$2=CO157),'2023DATA'!$H$26,"")</f>
        <v/>
      </c>
      <c r="CP181" s="518" t="str">
        <f>IF(AND(_AC6="A-321N",'2023'!$H$4="FO",'2023'!$H$2=CP157),'2023DATA'!$I$26,"")</f>
        <v/>
      </c>
      <c r="CQ181" s="518" t="str">
        <f>IF(AND(_AC6="A-321N",'2023'!$H$4="FO",'2023'!$H$2=CQ157),'2023DATA'!$J$26,"")</f>
        <v/>
      </c>
      <c r="CR181" s="518" t="str">
        <f>IF(AND(_AC6="A-321N",'2023'!$H$4="FO",'2023'!$H$2=CR157),'2023DATA'!$K$26,"")</f>
        <v/>
      </c>
      <c r="CS181" s="518" t="str">
        <f>IF(AND(_AC6="A-321N",'2023'!$H$4="FO",'2023'!$H$2=CS157),'2023DATA'!$L$26,"")</f>
        <v/>
      </c>
      <c r="CT181" s="518" t="str">
        <f>IF(AND(_AC6="A-321N",'2023'!$H$4="FO",'2023'!$H$2=CT157),'2023DATA'!$M$26,"")</f>
        <v/>
      </c>
      <c r="CU181" s="520" t="str">
        <f>IF(AND(_AC6="A-321N",'2023'!$H$4="FO",'2023'!$H$2=CU157),'2023DATA'!$N$26,"")</f>
        <v/>
      </c>
    </row>
    <row r="182" spans="16:99" x14ac:dyDescent="0.25">
      <c r="P182" s="940" t="s">
        <v>48</v>
      </c>
      <c r="Q182" s="13" t="s">
        <v>61</v>
      </c>
      <c r="R182" s="518" t="str">
        <f>IF(AND(_AC1="A-321",'2023'!$H$4="CA",'2023'!$H$2=R157),'2023DATA'!$C$27,"")</f>
        <v/>
      </c>
      <c r="S182" s="518" t="str">
        <f>IF(AND(_AC1="A-321",'2023'!$H$4="CA",'2023'!$H$2=S157),'2023DATA'!$D$27,"")</f>
        <v/>
      </c>
      <c r="T182" s="518" t="str">
        <f>IF(AND(_AC1="A-321",'2023'!$H$4="CA",'2023'!$H$2=T157),'2023DATA'!$E$27,"")</f>
        <v/>
      </c>
      <c r="U182" s="518" t="str">
        <f>IF(AND(_AC1="A-321",'2023'!$H$4="CA",'2023'!$H$2=U157),'2023DATA'!$F$27,"")</f>
        <v/>
      </c>
      <c r="V182" s="518" t="str">
        <f>IF(AND(_AC1="A-321",'2023'!$H$4="CA",'2023'!$H$2=V157),'2023DATA'!$G$27,"")</f>
        <v/>
      </c>
      <c r="W182" s="518" t="str">
        <f>IF(AND(_AC1="A-321",'2023'!$H$4="CA",'2023'!$H$2=W157),'2023DATA'!$H$27,"")</f>
        <v/>
      </c>
      <c r="X182" s="518" t="str">
        <f>IF(AND(_AC1="A-321",'2023'!$H$4="CA",'2023'!$H$2=X157),'2023DATA'!$I$27,"")</f>
        <v/>
      </c>
      <c r="Y182" s="518" t="str">
        <f>IF(AND(_AC1="A-321",'2023'!$H$4="CA",'2023'!$H$2=Y157),'2023DATA'!$J$27,"")</f>
        <v/>
      </c>
      <c r="Z182" s="518" t="str">
        <f>IF(AND(_AC1="A-321",'2023'!$H$4="CA",'2023'!$H$2=Z157),'2023DATA'!$K$27,"")</f>
        <v/>
      </c>
      <c r="AA182" s="518" t="str">
        <f>IF(AND(_AC1="A-321",'2023'!$H$4="CA",'2023'!$H$2=AA157),'2023DATA'!$L$27,"")</f>
        <v/>
      </c>
      <c r="AB182" s="518" t="str">
        <f>IF(AND(_AC1="A-321",'2023'!$H$4="CA",'2023'!$H$2=AB157),'2023DATA'!$M$27,"")</f>
        <v/>
      </c>
      <c r="AC182" s="520" t="str">
        <f>IF(AND(_AC1="A-321",'2023'!$H$4="CA",'2023'!$H$2=AC157),'2023DATA'!$N$27,"")</f>
        <v/>
      </c>
      <c r="AD182" s="940" t="s">
        <v>48</v>
      </c>
      <c r="AE182" s="13" t="s">
        <v>61</v>
      </c>
      <c r="AF182" s="518" t="str">
        <f>IF(AND(_AC2="A-321",'2023'!$H$4="CA",'2023'!$H$2=AF157),'2023DATA'!$C$27,"")</f>
        <v/>
      </c>
      <c r="AG182" s="518" t="str">
        <f>IF(AND(_AC2="A-321",'2023'!$H$4="CA",'2023'!$H$2=AG157),'2023DATA'!$D$27,"")</f>
        <v/>
      </c>
      <c r="AH182" s="518" t="str">
        <f>IF(AND(_AC2="A-321",'2023'!$H$4="CA",'2023'!$H$2=AH157),'2023DATA'!$E$27,"")</f>
        <v/>
      </c>
      <c r="AI182" s="518" t="str">
        <f>IF(AND(_AC2="A-321",'2023'!$H$4="CA",'2023'!$H$2=AI157),'2023DATA'!$F$27,"")</f>
        <v/>
      </c>
      <c r="AJ182" s="518" t="str">
        <f>IF(AND(_AC2="A-321",'2023'!$H$4="CA",'2023'!$H$2=AJ157),'2023DATA'!$G$27,"")</f>
        <v/>
      </c>
      <c r="AK182" s="518" t="str">
        <f>IF(AND(_AC2="A-321",'2023'!$H$4="CA",'2023'!$H$2=AK157),'2023DATA'!$H$27,"")</f>
        <v/>
      </c>
      <c r="AL182" s="518" t="str">
        <f>IF(AND(_AC2="A-321",'2023'!$H$4="CA",'2023'!$H$2=AL157),'2023DATA'!$I$27,"")</f>
        <v/>
      </c>
      <c r="AM182" s="518" t="str">
        <f>IF(AND(_AC2="A-321",'2023'!$H$4="CA",'2023'!$H$2=AM157),'2023DATA'!$J$27,"")</f>
        <v/>
      </c>
      <c r="AN182" s="518" t="str">
        <f>IF(AND(_AC2="A-321",'2023'!$H$4="CA",'2023'!$H$2=AN157),'2023DATA'!$K$27,"")</f>
        <v/>
      </c>
      <c r="AO182" s="518" t="str">
        <f>IF(AND(_AC2="A-321",'2023'!$H$4="CA",'2023'!$H$2=AO157),'2023DATA'!$L$27,"")</f>
        <v/>
      </c>
      <c r="AP182" s="518" t="str">
        <f>IF(AND(_AC2="A-321",'2023'!$H$4="CA",'2023'!$H$2=AP157),'2023DATA'!$M$27,"")</f>
        <v/>
      </c>
      <c r="AQ182" s="520" t="str">
        <f>IF(AND(_AC2="A-321",'2023'!$H$4="CA",'2023'!$H$2=AQ157),'2023DATA'!$N$27,"")</f>
        <v/>
      </c>
      <c r="AR182" s="940" t="s">
        <v>48</v>
      </c>
      <c r="AS182" s="13" t="s">
        <v>61</v>
      </c>
      <c r="AT182" s="518" t="str">
        <f>IF(AND(_AC3="A-321",'2023'!$H$4="CA",'2023'!$H$2=AT157),'2023DATA'!$C$27,"")</f>
        <v/>
      </c>
      <c r="AU182" s="518" t="str">
        <f>IF(AND(_AC3="A-321",'2023'!$H$4="CA",'2023'!$H$2=AU157),'2023DATA'!$D$27,"")</f>
        <v/>
      </c>
      <c r="AV182" s="518" t="str">
        <f>IF(AND(_AC3="A-321",'2023'!$H$4="CA",'2023'!$H$2=AV157),'2023DATA'!$E$27,"")</f>
        <v/>
      </c>
      <c r="AW182" s="518" t="str">
        <f>IF(AND(_AC3="A-321",'2023'!$H$4="CA",'2023'!$H$2=AW157),'2023DATA'!$F$27,"")</f>
        <v/>
      </c>
      <c r="AX182" s="518" t="str">
        <f>IF(AND(_AC3="A-321",'2023'!$H$4="CA",'2023'!$H$2=AX157),'2023DATA'!$G$27,"")</f>
        <v/>
      </c>
      <c r="AY182" s="518" t="str">
        <f>IF(AND(_AC3="A-321",'2023'!$H$4="CA",'2023'!$H$2=AY157),'2023DATA'!$H$27,"")</f>
        <v/>
      </c>
      <c r="AZ182" s="518" t="str">
        <f>IF(AND(_AC3="A-321",'2023'!$H$4="CA",'2023'!$H$2=AZ157),'2023DATA'!$I$27,"")</f>
        <v/>
      </c>
      <c r="BA182" s="518" t="str">
        <f>IF(AND(_AC3="A-321",'2023'!$H$4="CA",'2023'!$H$2=BA157),'2023DATA'!$J$27,"")</f>
        <v/>
      </c>
      <c r="BB182" s="518" t="str">
        <f>IF(AND(_AC3="A-321",'2023'!$H$4="CA",'2023'!$H$2=BB157),'2023DATA'!$K$27,"")</f>
        <v/>
      </c>
      <c r="BC182" s="518" t="str">
        <f>IF(AND(_AC3="A-321",'2023'!$H$4="CA",'2023'!$H$2=BC157),'2023DATA'!$L$27,"")</f>
        <v/>
      </c>
      <c r="BD182" s="518" t="str">
        <f>IF(AND(_AC3="A-321",'2023'!$H$4="CA",'2023'!$H$2=BD157),'2023DATA'!$M$27,"")</f>
        <v/>
      </c>
      <c r="BE182" s="520" t="str">
        <f>IF(AND(_AC3="A-321",'2023'!$H$4="CA",'2023'!$H$2=BE157),'2023DATA'!$N$27,"")</f>
        <v/>
      </c>
      <c r="BF182" s="940" t="s">
        <v>48</v>
      </c>
      <c r="BG182" s="13" t="s">
        <v>61</v>
      </c>
      <c r="BH182" s="518" t="str">
        <f>IF(AND(_AC4="A-321",'2023'!$H$4="CA",'2023'!$H$2=BH157),'2023DATA'!$C$27,"")</f>
        <v/>
      </c>
      <c r="BI182" s="518" t="str">
        <f>IF(AND(_AC4="A-321",'2023'!$H$4="CA",'2023'!$H$2=BI157),'2023DATA'!$D$27,"")</f>
        <v/>
      </c>
      <c r="BJ182" s="518" t="str">
        <f>IF(AND(_AC4="A-321",'2023'!$H$4="CA",'2023'!$H$2=BJ157),'2023DATA'!$E$27,"")</f>
        <v/>
      </c>
      <c r="BK182" s="518" t="str">
        <f>IF(AND(_AC4="A-321",'2023'!$H$4="CA",'2023'!$H$2=BK157),'2023DATA'!$F$27,"")</f>
        <v/>
      </c>
      <c r="BL182" s="518" t="str">
        <f>IF(AND(_AC4="A-321",'2023'!$H$4="CA",'2023'!$H$2=BL157),'2023DATA'!$G$27,"")</f>
        <v/>
      </c>
      <c r="BM182" s="518" t="str">
        <f>IF(AND(_AC4="A-321",'2023'!$H$4="CA",'2023'!$H$2=BM157),'2023DATA'!$H$27,"")</f>
        <v/>
      </c>
      <c r="BN182" s="518" t="str">
        <f>IF(AND(_AC4="A-321",'2023'!$H$4="CA",'2023'!$H$2=BN157),'2023DATA'!$I$27,"")</f>
        <v/>
      </c>
      <c r="BO182" s="518" t="str">
        <f>IF(AND(_AC4="A-321",'2023'!$H$4="CA",'2023'!$H$2=BO157),'2023DATA'!$J$27,"")</f>
        <v/>
      </c>
      <c r="BP182" s="518" t="str">
        <f>IF(AND(_AC4="A-321",'2023'!$H$4="CA",'2023'!$H$2=BP157),'2023DATA'!$K$27,"")</f>
        <v/>
      </c>
      <c r="BQ182" s="518" t="str">
        <f>IF(AND(_AC4="A-321",'2023'!$H$4="CA",'2023'!$H$2=BQ157),'2023DATA'!$L$27,"")</f>
        <v/>
      </c>
      <c r="BR182" s="518" t="str">
        <f>IF(AND(_AC4="A-321",'2023'!$H$4="CA",'2023'!$H$2=BR157),'2023DATA'!$M$27,"")</f>
        <v/>
      </c>
      <c r="BS182" s="520" t="str">
        <f>IF(AND(_AC4="A-321",'2023'!$H$4="CA",'2023'!$H$2=BS157),'2023DATA'!$N$27,"")</f>
        <v/>
      </c>
      <c r="BT182" s="940" t="s">
        <v>48</v>
      </c>
      <c r="BU182" s="13" t="s">
        <v>61</v>
      </c>
      <c r="BV182" s="518" t="str">
        <f>IF(AND(_AC5="A-321",'2023'!$H$4="CA",'2023'!$H$2=BV157),'2023DATA'!$C$27,"")</f>
        <v/>
      </c>
      <c r="BW182" s="518" t="str">
        <f>IF(AND(_AC5="A-321",'2023'!$H$4="CA",'2023'!$H$2=BW157),'2023DATA'!$D$27,"")</f>
        <v/>
      </c>
      <c r="BX182" s="518" t="str">
        <f>IF(AND(_AC5="A-321",'2023'!$H$4="CA",'2023'!$H$2=BX157),'2023DATA'!$E$27,"")</f>
        <v/>
      </c>
      <c r="BY182" s="518" t="str">
        <f>IF(AND(_AC5="A-321",'2023'!$H$4="CA",'2023'!$H$2=BY157),'2023DATA'!$F$27,"")</f>
        <v/>
      </c>
      <c r="BZ182" s="518" t="str">
        <f>IF(AND(_AC5="A-321",'2023'!$H$4="CA",'2023'!$H$2=BZ157),'2023DATA'!$G$27,"")</f>
        <v/>
      </c>
      <c r="CA182" s="518" t="str">
        <f>IF(AND(_AC5="A-321",'2023'!$H$4="CA",'2023'!$H$2=CA157),'2023DATA'!$H$27,"")</f>
        <v/>
      </c>
      <c r="CB182" s="518" t="str">
        <f>IF(AND(_AC5="A-321",'2023'!$H$4="CA",'2023'!$H$2=CB157),'2023DATA'!$I$27,"")</f>
        <v/>
      </c>
      <c r="CC182" s="518" t="str">
        <f>IF(AND(_AC5="A-321",'2023'!$H$4="CA",'2023'!$H$2=CC157),'2023DATA'!$J$27,"")</f>
        <v/>
      </c>
      <c r="CD182" s="518" t="str">
        <f>IF(AND(_AC5="A-321",'2023'!$H$4="CA",'2023'!$H$2=CD157),'2023DATA'!$K$27,"")</f>
        <v/>
      </c>
      <c r="CE182" s="518" t="str">
        <f>IF(AND(_AC5="A-321",'2023'!$H$4="CA",'2023'!$H$2=CE157),'2023DATA'!$L$27,"")</f>
        <v/>
      </c>
      <c r="CF182" s="518" t="str">
        <f>IF(AND(_AC5="A-321",'2023'!$H$4="CA",'2023'!$H$2=CF157),'2023DATA'!$M$27,"")</f>
        <v/>
      </c>
      <c r="CG182" s="520" t="str">
        <f>IF(AND(_AC5="A-321",'2023'!$H$4="CA",'2023'!$H$2=CG157),'2023DATA'!$N$27,"")</f>
        <v/>
      </c>
      <c r="CH182" s="940" t="s">
        <v>48</v>
      </c>
      <c r="CI182" s="13" t="s">
        <v>61</v>
      </c>
      <c r="CJ182" s="518" t="str">
        <f>IF(AND(_AC6="A-321",'2023'!$H$4="CA",'2023'!$H$2=CJ157),'2023DATA'!$C$27,"")</f>
        <v/>
      </c>
      <c r="CK182" s="518" t="str">
        <f>IF(AND(_AC6="A-321",'2023'!$H$4="CA",'2023'!$H$2=CK157),'2023DATA'!$D$27,"")</f>
        <v/>
      </c>
      <c r="CL182" s="518" t="str">
        <f>IF(AND(_AC6="A-321",'2023'!$H$4="CA",'2023'!$H$2=CL157),'2023DATA'!$E$27,"")</f>
        <v/>
      </c>
      <c r="CM182" s="518" t="str">
        <f>IF(AND(_AC6="A-321",'2023'!$H$4="CA",'2023'!$H$2=CM157),'2023DATA'!$F$27,"")</f>
        <v/>
      </c>
      <c r="CN182" s="518" t="str">
        <f>IF(AND(_AC6="A-321",'2023'!$H$4="CA",'2023'!$H$2=CN157),'2023DATA'!$G$27,"")</f>
        <v/>
      </c>
      <c r="CO182" s="518" t="str">
        <f>IF(AND(_AC6="A-321",'2023'!$H$4="CA",'2023'!$H$2=CO157),'2023DATA'!$H$27,"")</f>
        <v/>
      </c>
      <c r="CP182" s="518" t="str">
        <f>IF(AND(_AC6="A-321",'2023'!$H$4="CA",'2023'!$H$2=CP157),'2023DATA'!$I$27,"")</f>
        <v/>
      </c>
      <c r="CQ182" s="518" t="str">
        <f>IF(AND(_AC6="A-321",'2023'!$H$4="CA",'2023'!$H$2=CQ157),'2023DATA'!$J$27,"")</f>
        <v/>
      </c>
      <c r="CR182" s="518" t="str">
        <f>IF(AND(_AC6="A-321",'2023'!$H$4="CA",'2023'!$H$2=CR157),'2023DATA'!$K$27,"")</f>
        <v/>
      </c>
      <c r="CS182" s="518" t="str">
        <f>IF(AND(_AC6="A-321",'2023'!$H$4="CA",'2023'!$H$2=CS157),'2023DATA'!$L$27,"")</f>
        <v/>
      </c>
      <c r="CT182" s="518" t="str">
        <f>IF(AND(_AC6="A-321",'2023'!$H$4="CA",'2023'!$H$2=CT157),'2023DATA'!$M$27,"")</f>
        <v/>
      </c>
      <c r="CU182" s="520" t="str">
        <f>IF(AND(_AC6="A-321",'2023'!$H$4="CA",'2023'!$H$2=CU157),'2023DATA'!$N$27,"")</f>
        <v/>
      </c>
    </row>
    <row r="183" spans="16:99" x14ac:dyDescent="0.25">
      <c r="P183" s="940"/>
      <c r="Q183" s="13" t="s">
        <v>62</v>
      </c>
      <c r="R183" s="518" t="str">
        <f>IF(AND(_AC1="A-321",'2023'!$H$4="FO",'2023'!$H$2=R157),'2023DATA'!$C$28,"")</f>
        <v/>
      </c>
      <c r="S183" s="518" t="str">
        <f>IF(AND(_AC1="A-321",'2023'!$H$4="FO",'2023'!$H$2=S157),'2023DATA'!$D$28,"")</f>
        <v/>
      </c>
      <c r="T183" s="518" t="str">
        <f>IF(AND(_AC1="A-321",'2023'!$H$4="FO",'2023'!$H$2=T157),'2023DATA'!$E$28,"")</f>
        <v/>
      </c>
      <c r="U183" s="518" t="str">
        <f>IF(AND(_AC1="A-321",'2023'!$H$4="FO",'2023'!$H$2=U157),'2023DATA'!$F$28,"")</f>
        <v/>
      </c>
      <c r="V183" s="518" t="str">
        <f>IF(AND(_AC1="A-321",'2023'!$H$4="FO",'2023'!$H$2=V157),'2023DATA'!$G$28,"")</f>
        <v/>
      </c>
      <c r="W183" s="518" t="str">
        <f>IF(AND(_AC1="A-321",'2023'!$H$4="FO",'2023'!$H$2=W157),'2023DATA'!$H$28,"")</f>
        <v/>
      </c>
      <c r="X183" s="518" t="str">
        <f>IF(AND(_AC1="A-321",'2023'!$H$4="FO",'2023'!$H$2=X157),'2023DATA'!$I$28,"")</f>
        <v/>
      </c>
      <c r="Y183" s="518" t="str">
        <f>IF(AND(_AC1="A-321",'2023'!$H$4="FO",'2023'!$H$2=Y157),'2023DATA'!$J$28,"")</f>
        <v/>
      </c>
      <c r="Z183" s="518" t="str">
        <f>IF(AND(_AC1="A-321",'2023'!$H$4="FO",'2023'!$H$2=Z157),'2023DATA'!$K$28,"")</f>
        <v/>
      </c>
      <c r="AA183" s="518" t="str">
        <f>IF(AND(_AC1="A-321",'2023'!$H$4="FO",'2023'!$H$2=AA157),'2023DATA'!$L$28,"")</f>
        <v/>
      </c>
      <c r="AB183" s="518" t="str">
        <f>IF(AND(_AC1="A-321",'2023'!$H$4="FO",'2023'!$H$2=AB157),'2023DATA'!$M$28,"")</f>
        <v/>
      </c>
      <c r="AC183" s="520" t="str">
        <f>IF(AND(_AC1="A-321",'2023'!$H$4="FO",'2023'!$H$2=AC157),'2023DATA'!$N$28,"")</f>
        <v/>
      </c>
      <c r="AD183" s="940"/>
      <c r="AE183" s="13" t="s">
        <v>62</v>
      </c>
      <c r="AF183" s="518" t="str">
        <f>IF(AND(_AC2="A-321",'2023'!$H$4="FO",'2023'!$H$2=AF157),'2023DATA'!$C$28,"")</f>
        <v/>
      </c>
      <c r="AG183" s="518" t="str">
        <f>IF(AND(_AC2="A-321",'2023'!$H$4="FO",'2023'!$H$2=AG157),'2023DATA'!$D$28,"")</f>
        <v/>
      </c>
      <c r="AH183" s="518" t="str">
        <f>IF(AND(_AC2="A-321",'2023'!$H$4="FO",'2023'!$H$2=AH157),'2023DATA'!$E$28,"")</f>
        <v/>
      </c>
      <c r="AI183" s="518" t="str">
        <f>IF(AND(_AC2="A-321",'2023'!$H$4="FO",'2023'!$H$2=AI157),'2023DATA'!$F$28,"")</f>
        <v/>
      </c>
      <c r="AJ183" s="518" t="str">
        <f>IF(AND(_AC2="A-321",'2023'!$H$4="FO",'2023'!$H$2=AJ157),'2023DATA'!$G$28,"")</f>
        <v/>
      </c>
      <c r="AK183" s="518" t="str">
        <f>IF(AND(_AC2="A-321",'2023'!$H$4="FO",'2023'!$H$2=AK157),'2023DATA'!$H$28,"")</f>
        <v/>
      </c>
      <c r="AL183" s="518" t="str">
        <f>IF(AND(_AC2="A-321",'2023'!$H$4="FO",'2023'!$H$2=AL157),'2023DATA'!$I$28,"")</f>
        <v/>
      </c>
      <c r="AM183" s="518" t="str">
        <f>IF(AND(_AC2="A-321",'2023'!$H$4="FO",'2023'!$H$2=AM157),'2023DATA'!$J$28,"")</f>
        <v/>
      </c>
      <c r="AN183" s="518" t="str">
        <f>IF(AND(_AC2="A-321",'2023'!$H$4="FO",'2023'!$H$2=AN157),'2023DATA'!$K$28,"")</f>
        <v/>
      </c>
      <c r="AO183" s="518" t="str">
        <f>IF(AND(_AC2="A-321",'2023'!$H$4="FO",'2023'!$H$2=AO157),'2023DATA'!$L$28,"")</f>
        <v/>
      </c>
      <c r="AP183" s="518" t="str">
        <f>IF(AND(_AC2="A-321",'2023'!$H$4="FO",'2023'!$H$2=AP157),'2023DATA'!$M$28,"")</f>
        <v/>
      </c>
      <c r="AQ183" s="520" t="str">
        <f>IF(AND(_AC2="A-321",'2023'!$H$4="FO",'2023'!$H$2=AQ157),'2023DATA'!$N$28,"")</f>
        <v/>
      </c>
      <c r="AR183" s="940"/>
      <c r="AS183" s="13" t="s">
        <v>62</v>
      </c>
      <c r="AT183" s="518" t="str">
        <f>IF(AND(_AC3="A-321",'2023'!$H$4="FO",'2023'!$H$2=AT157),'2023DATA'!$C$28,"")</f>
        <v/>
      </c>
      <c r="AU183" s="518" t="str">
        <f>IF(AND(_AC3="A-321",'2023'!$H$4="FO",'2023'!$H$2=AU157),'2023DATA'!$D$28,"")</f>
        <v/>
      </c>
      <c r="AV183" s="518" t="str">
        <f>IF(AND(_AC3="A-321",'2023'!$H$4="FO",'2023'!$H$2=AV157),'2023DATA'!$E$28,"")</f>
        <v/>
      </c>
      <c r="AW183" s="518" t="str">
        <f>IF(AND(_AC3="A-321",'2023'!$H$4="FO",'2023'!$H$2=AW157),'2023DATA'!$F$28,"")</f>
        <v/>
      </c>
      <c r="AX183" s="518" t="str">
        <f>IF(AND(_AC3="A-321",'2023'!$H$4="FO",'2023'!$H$2=AX157),'2023DATA'!$G$28,"")</f>
        <v/>
      </c>
      <c r="AY183" s="518" t="str">
        <f>IF(AND(_AC3="A-321",'2023'!$H$4="FO",'2023'!$H$2=AY157),'2023DATA'!$H$28,"")</f>
        <v/>
      </c>
      <c r="AZ183" s="518" t="str">
        <f>IF(AND(_AC3="A-321",'2023'!$H$4="FO",'2023'!$H$2=AZ157),'2023DATA'!$I$28,"")</f>
        <v/>
      </c>
      <c r="BA183" s="518" t="str">
        <f>IF(AND(_AC3="A-321",'2023'!$H$4="FO",'2023'!$H$2=BA157),'2023DATA'!$J$28,"")</f>
        <v/>
      </c>
      <c r="BB183" s="518" t="str">
        <f>IF(AND(_AC3="A-321",'2023'!$H$4="FO",'2023'!$H$2=BB157),'2023DATA'!$K$28,"")</f>
        <v/>
      </c>
      <c r="BC183" s="518" t="str">
        <f>IF(AND(_AC3="A-321",'2023'!$H$4="FO",'2023'!$H$2=BC157),'2023DATA'!$L$28,"")</f>
        <v/>
      </c>
      <c r="BD183" s="518" t="str">
        <f>IF(AND(_AC3="A-321",'2023'!$H$4="FO",'2023'!$H$2=BD157),'2023DATA'!$M$28,"")</f>
        <v/>
      </c>
      <c r="BE183" s="520" t="str">
        <f>IF(AND(_AC3="A-321",'2023'!$H$4="FO",'2023'!$H$2=BE157),'2023DATA'!$N$28,"")</f>
        <v/>
      </c>
      <c r="BF183" s="940"/>
      <c r="BG183" s="13" t="s">
        <v>62</v>
      </c>
      <c r="BH183" s="518" t="str">
        <f>IF(AND(_AC4="A-321",'2023'!$H$4="FO",'2023'!$H$2=BH157),'2023DATA'!$C$28,"")</f>
        <v/>
      </c>
      <c r="BI183" s="518" t="str">
        <f>IF(AND(_AC4="A-321",'2023'!$H$4="FO",'2023'!$H$2=BI157),'2023DATA'!$D$28,"")</f>
        <v/>
      </c>
      <c r="BJ183" s="518" t="str">
        <f>IF(AND(_AC4="A-321",'2023'!$H$4="FO",'2023'!$H$2=BJ157),'2023DATA'!$E$28,"")</f>
        <v/>
      </c>
      <c r="BK183" s="518" t="str">
        <f>IF(AND(_AC4="A-321",'2023'!$H$4="FO",'2023'!$H$2=BK157),'2023DATA'!$F$28,"")</f>
        <v/>
      </c>
      <c r="BL183" s="518" t="str">
        <f>IF(AND(_AC4="A-321",'2023'!$H$4="FO",'2023'!$H$2=BL157),'2023DATA'!$G$28,"")</f>
        <v/>
      </c>
      <c r="BM183" s="518" t="str">
        <f>IF(AND(_AC4="A-321",'2023'!$H$4="FO",'2023'!$H$2=BM157),'2023DATA'!$H$28,"")</f>
        <v/>
      </c>
      <c r="BN183" s="518" t="str">
        <f>IF(AND(_AC4="A-321",'2023'!$H$4="FO",'2023'!$H$2=BN157),'2023DATA'!$I$28,"")</f>
        <v/>
      </c>
      <c r="BO183" s="518" t="str">
        <f>IF(AND(_AC4="A-321",'2023'!$H$4="FO",'2023'!$H$2=BO157),'2023DATA'!$J$28,"")</f>
        <v/>
      </c>
      <c r="BP183" s="518" t="str">
        <f>IF(AND(_AC4="A-321",'2023'!$H$4="FO",'2023'!$H$2=BP157),'2023DATA'!$K$28,"")</f>
        <v/>
      </c>
      <c r="BQ183" s="518" t="str">
        <f>IF(AND(_AC4="A-321",'2023'!$H$4="FO",'2023'!$H$2=BQ157),'2023DATA'!$L$28,"")</f>
        <v/>
      </c>
      <c r="BR183" s="518" t="str">
        <f>IF(AND(_AC4="A-321",'2023'!$H$4="FO",'2023'!$H$2=BR157),'2023DATA'!$M$28,"")</f>
        <v/>
      </c>
      <c r="BS183" s="520" t="str">
        <f>IF(AND(_AC4="A-321",'2023'!$H$4="FO",'2023'!$H$2=BS157),'2023DATA'!$N$28,"")</f>
        <v/>
      </c>
      <c r="BT183" s="940"/>
      <c r="BU183" s="13" t="s">
        <v>62</v>
      </c>
      <c r="BV183" s="518" t="str">
        <f>IF(AND(_AC5="A-321",'2023'!$H$4="FO",'2023'!$H$2=BV157),'2023DATA'!$C$28,"")</f>
        <v/>
      </c>
      <c r="BW183" s="518" t="str">
        <f>IF(AND(_AC5="A-321",'2023'!$H$4="FO",'2023'!$H$2=BW157),'2023DATA'!$D$28,"")</f>
        <v/>
      </c>
      <c r="BX183" s="518" t="str">
        <f>IF(AND(_AC5="A-321",'2023'!$H$4="FO",'2023'!$H$2=BX157),'2023DATA'!$E$28,"")</f>
        <v/>
      </c>
      <c r="BY183" s="518" t="str">
        <f>IF(AND(_AC5="A-321",'2023'!$H$4="FO",'2023'!$H$2=BY157),'2023DATA'!$F$28,"")</f>
        <v/>
      </c>
      <c r="BZ183" s="518" t="str">
        <f>IF(AND(_AC5="A-321",'2023'!$H$4="FO",'2023'!$H$2=BZ157),'2023DATA'!$G$28,"")</f>
        <v/>
      </c>
      <c r="CA183" s="518" t="str">
        <f>IF(AND(_AC5="A-321",'2023'!$H$4="FO",'2023'!$H$2=CA157),'2023DATA'!$H$28,"")</f>
        <v/>
      </c>
      <c r="CB183" s="518" t="str">
        <f>IF(AND(_AC5="A-321",'2023'!$H$4="FO",'2023'!$H$2=CB157),'2023DATA'!$I$28,"")</f>
        <v/>
      </c>
      <c r="CC183" s="518" t="str">
        <f>IF(AND(_AC5="A-321",'2023'!$H$4="FO",'2023'!$H$2=CC157),'2023DATA'!$J$28,"")</f>
        <v/>
      </c>
      <c r="CD183" s="518" t="str">
        <f>IF(AND(_AC5="A-321",'2023'!$H$4="FO",'2023'!$H$2=CD157),'2023DATA'!$K$28,"")</f>
        <v/>
      </c>
      <c r="CE183" s="518" t="str">
        <f>IF(AND(_AC5="A-321",'2023'!$H$4="FO",'2023'!$H$2=CE157),'2023DATA'!$L$28,"")</f>
        <v/>
      </c>
      <c r="CF183" s="518" t="str">
        <f>IF(AND(_AC5="A-321",'2023'!$H$4="FO",'2023'!$H$2=CF157),'2023DATA'!$M$28,"")</f>
        <v/>
      </c>
      <c r="CG183" s="520" t="str">
        <f>IF(AND(_AC5="A-321",'2023'!$H$4="FO",'2023'!$H$2=CG157),'2023DATA'!$N$28,"")</f>
        <v/>
      </c>
      <c r="CH183" s="940"/>
      <c r="CI183" s="13" t="s">
        <v>62</v>
      </c>
      <c r="CJ183" s="518" t="str">
        <f>IF(AND(_AC6="A-321",'2023'!$H$4="FO",'2023'!$H$2=CJ157),'2023DATA'!$C$28,"")</f>
        <v/>
      </c>
      <c r="CK183" s="518" t="str">
        <f>IF(AND(_AC6="A-321",'2023'!$H$4="FO",'2023'!$H$2=CK157),'2023DATA'!$D$28,"")</f>
        <v/>
      </c>
      <c r="CL183" s="518" t="str">
        <f>IF(AND(_AC6="A-321",'2023'!$H$4="FO",'2023'!$H$2=CL157),'2023DATA'!$E$28,"")</f>
        <v/>
      </c>
      <c r="CM183" s="518" t="str">
        <f>IF(AND(_AC6="A-321",'2023'!$H$4="FO",'2023'!$H$2=CM157),'2023DATA'!$F$28,"")</f>
        <v/>
      </c>
      <c r="CN183" s="518" t="str">
        <f>IF(AND(_AC6="A-321",'2023'!$H$4="FO",'2023'!$H$2=CN157),'2023DATA'!$G$28,"")</f>
        <v/>
      </c>
      <c r="CO183" s="518" t="str">
        <f>IF(AND(_AC6="A-321",'2023'!$H$4="FO",'2023'!$H$2=CO157),'2023DATA'!$H$28,"")</f>
        <v/>
      </c>
      <c r="CP183" s="518" t="str">
        <f>IF(AND(_AC6="A-321",'2023'!$H$4="FO",'2023'!$H$2=CP157),'2023DATA'!$I$28,"")</f>
        <v/>
      </c>
      <c r="CQ183" s="518" t="str">
        <f>IF(AND(_AC6="A-321",'2023'!$H$4="FO",'2023'!$H$2=CQ157),'2023DATA'!$J$28,"")</f>
        <v/>
      </c>
      <c r="CR183" s="518" t="str">
        <f>IF(AND(_AC6="A-321",'2023'!$H$4="FO",'2023'!$H$2=CR157),'2023DATA'!$K$28,"")</f>
        <v/>
      </c>
      <c r="CS183" s="518" t="str">
        <f>IF(AND(_AC6="A-321",'2023'!$H$4="FO",'2023'!$H$2=CS157),'2023DATA'!$L$28,"")</f>
        <v/>
      </c>
      <c r="CT183" s="518" t="str">
        <f>IF(AND(_AC6="A-321",'2023'!$H$4="FO",'2023'!$H$2=CT157),'2023DATA'!$M$28,"")</f>
        <v/>
      </c>
      <c r="CU183" s="520" t="str">
        <f>IF(AND(_AC6="A-321",'2023'!$H$4="FO",'2023'!$H$2=CU157),'2023DATA'!$N$28,"")</f>
        <v/>
      </c>
    </row>
    <row r="184" spans="16:99" x14ac:dyDescent="0.25">
      <c r="P184" s="940" t="s">
        <v>70</v>
      </c>
      <c r="Q184" s="13" t="s">
        <v>61</v>
      </c>
      <c r="R184" s="518" t="str">
        <f>IF(AND(_AC1="A-320",'2023'!$H$4="CA",'2023'!$H$2=R157),'2023DATA'!$C$29,"")</f>
        <v/>
      </c>
      <c r="S184" s="518" t="str">
        <f>IF(AND(_AC1="A-320",'2023'!$H$4="CA",'2023'!$H$2=S157),'2023DATA'!$D$29,"")</f>
        <v/>
      </c>
      <c r="T184" s="518" t="str">
        <f>IF(AND(_AC1="A-320",'2023'!$H$4="CA",'2023'!$H$2=T157),'2023DATA'!$E$29,"")</f>
        <v/>
      </c>
      <c r="U184" s="518" t="str">
        <f>IF(AND(_AC1="A-320",'2023'!$H$4="CA",'2023'!$H$2=U157),'2023DATA'!$F$29,"")</f>
        <v/>
      </c>
      <c r="V184" s="518" t="str">
        <f>IF(AND(_AC1="A-320",'2023'!$H$4="CA",'2023'!$H$2=V157),'2023DATA'!$G$29,"")</f>
        <v/>
      </c>
      <c r="W184" s="518" t="str">
        <f>IF(AND(_AC1="A-320",'2023'!$H$4="CA",'2023'!$H$2=W157),'2023DATA'!$H$29,"")</f>
        <v/>
      </c>
      <c r="X184" s="518" t="str">
        <f>IF(AND(_AC1="A-320",'2023'!$H$4="CA",'2023'!$H$2=X157),'2023DATA'!$I$29,"")</f>
        <v/>
      </c>
      <c r="Y184" s="518" t="str">
        <f>IF(AND(_AC1="A-320",'2023'!$H$4="CA",'2023'!$H$2=Y157),'2023DATA'!$J$29,"")</f>
        <v/>
      </c>
      <c r="Z184" s="518" t="str">
        <f>IF(AND(_AC1="A-320",'2023'!$H$4="CA",'2023'!$H$2=Z157),'2023DATA'!$K$29,"")</f>
        <v/>
      </c>
      <c r="AA184" s="518" t="str">
        <f>IF(AND(_AC1="A-320",'2023'!$H$4="CA",'2023'!$H$2=AA157),'2023DATA'!$L$29,"")</f>
        <v/>
      </c>
      <c r="AB184" s="518" t="str">
        <f>IF(AND(_AC1="A-320",'2023'!$H$4="CA",'2023'!$H$2=AB157),'2023DATA'!$M$29,"")</f>
        <v/>
      </c>
      <c r="AC184" s="520" t="str">
        <f>IF(AND(_AC1="A-320",'2023'!$H$4="CA",'2023'!$H$2=AC157),'2023DATA'!$N$29,"")</f>
        <v/>
      </c>
      <c r="AD184" s="940" t="s">
        <v>70</v>
      </c>
      <c r="AE184" s="13" t="s">
        <v>61</v>
      </c>
      <c r="AF184" s="518" t="str">
        <f>IF(AND(_AC2="A-320",'2023'!$H$4="CA",'2023'!$H$2=AF157),'2023DATA'!$C$29,"")</f>
        <v/>
      </c>
      <c r="AG184" s="518" t="str">
        <f>IF(AND(_AC2="A-320",'2023'!$H$4="CA",'2023'!$H$2=AG157),'2023DATA'!$D$29,"")</f>
        <v/>
      </c>
      <c r="AH184" s="518" t="str">
        <f>IF(AND(_AC2="A-320",'2023'!$H$4="CA",'2023'!$H$2=AH157),'2023DATA'!$E$29,"")</f>
        <v/>
      </c>
      <c r="AI184" s="518" t="str">
        <f>IF(AND(_AC2="A-320",'2023'!$H$4="CA",'2023'!$H$2=AI157),'2023DATA'!$F$29,"")</f>
        <v/>
      </c>
      <c r="AJ184" s="518" t="str">
        <f>IF(AND(_AC2="A-320",'2023'!$H$4="CA",'2023'!$H$2=AJ157),'2023DATA'!$G$29,"")</f>
        <v/>
      </c>
      <c r="AK184" s="518" t="str">
        <f>IF(AND(_AC2="A-320",'2023'!$H$4="CA",'2023'!$H$2=AK157),'2023DATA'!$H$29,"")</f>
        <v/>
      </c>
      <c r="AL184" s="518" t="str">
        <f>IF(AND(_AC2="A-320",'2023'!$H$4="CA",'2023'!$H$2=AL157),'2023DATA'!$I$29,"")</f>
        <v/>
      </c>
      <c r="AM184" s="518" t="str">
        <f>IF(AND(_AC2="A-320",'2023'!$H$4="CA",'2023'!$H$2=AM157),'2023DATA'!$J$29,"")</f>
        <v/>
      </c>
      <c r="AN184" s="518" t="str">
        <f>IF(AND(_AC2="A-320",'2023'!$H$4="CA",'2023'!$H$2=AN157),'2023DATA'!$K$29,"")</f>
        <v/>
      </c>
      <c r="AO184" s="518" t="str">
        <f>IF(AND(_AC2="A-320",'2023'!$H$4="CA",'2023'!$H$2=AO157),'2023DATA'!$L$29,"")</f>
        <v/>
      </c>
      <c r="AP184" s="518" t="str">
        <f>IF(AND(_AC2="A-320",'2023'!$H$4="CA",'2023'!$H$2=AP157),'2023DATA'!$M$29,"")</f>
        <v/>
      </c>
      <c r="AQ184" s="520" t="str">
        <f>IF(AND(_AC2="A-320",'2023'!$H$4="CA",'2023'!$H$2=AQ157),'2023DATA'!$N$29,"")</f>
        <v/>
      </c>
      <c r="AR184" s="940" t="s">
        <v>70</v>
      </c>
      <c r="AS184" s="13" t="s">
        <v>61</v>
      </c>
      <c r="AT184" s="518" t="str">
        <f>IF(AND(_AC3="A-320",'2023'!$H$4="CA",'2023'!$H$2=AT157),'2023DATA'!$C$29,"")</f>
        <v/>
      </c>
      <c r="AU184" s="518" t="str">
        <f>IF(AND(_AC3="A-320",'2023'!$H$4="CA",'2023'!$H$2=AU157),'2023DATA'!$D$29,"")</f>
        <v/>
      </c>
      <c r="AV184" s="518" t="str">
        <f>IF(AND(_AC3="A-320",'2023'!$H$4="CA",'2023'!$H$2=AV157),'2023DATA'!$E$29,"")</f>
        <v/>
      </c>
      <c r="AW184" s="518" t="str">
        <f>IF(AND(_AC3="A-320",'2023'!$H$4="CA",'2023'!$H$2=AW157),'2023DATA'!$F$29,"")</f>
        <v/>
      </c>
      <c r="AX184" s="518" t="str">
        <f>IF(AND(_AC3="A-320",'2023'!$H$4="CA",'2023'!$H$2=AX157),'2023DATA'!$G$29,"")</f>
        <v/>
      </c>
      <c r="AY184" s="518" t="str">
        <f>IF(AND(_AC3="A-320",'2023'!$H$4="CA",'2023'!$H$2=AY157),'2023DATA'!$H$29,"")</f>
        <v/>
      </c>
      <c r="AZ184" s="518" t="str">
        <f>IF(AND(_AC3="A-320",'2023'!$H$4="CA",'2023'!$H$2=AZ157),'2023DATA'!$I$29,"")</f>
        <v/>
      </c>
      <c r="BA184" s="518" t="str">
        <f>IF(AND(_AC3="A-320",'2023'!$H$4="CA",'2023'!$H$2=BA157),'2023DATA'!$J$29,"")</f>
        <v/>
      </c>
      <c r="BB184" s="518" t="str">
        <f>IF(AND(_AC3="A-320",'2023'!$H$4="CA",'2023'!$H$2=BB157),'2023DATA'!$K$29,"")</f>
        <v/>
      </c>
      <c r="BC184" s="518" t="str">
        <f>IF(AND(_AC3="A-320",'2023'!$H$4="CA",'2023'!$H$2=BC157),'2023DATA'!$L$29,"")</f>
        <v/>
      </c>
      <c r="BD184" s="518" t="str">
        <f>IF(AND(_AC3="A-320",'2023'!$H$4="CA",'2023'!$H$2=BD157),'2023DATA'!$M$29,"")</f>
        <v/>
      </c>
      <c r="BE184" s="520" t="str">
        <f>IF(AND(_AC3="A-320",'2023'!$H$4="CA",'2023'!$H$2=BE157),'2023DATA'!$N$29,"")</f>
        <v/>
      </c>
      <c r="BF184" s="940" t="s">
        <v>70</v>
      </c>
      <c r="BG184" s="13" t="s">
        <v>61</v>
      </c>
      <c r="BH184" s="518" t="str">
        <f>IF(AND(_AC4="A-320",'2023'!$H$4="CA",'2023'!$H$2=BH157),'2023DATA'!$C$29,"")</f>
        <v/>
      </c>
      <c r="BI184" s="518" t="str">
        <f>IF(AND(_AC4="A-320",'2023'!$H$4="CA",'2023'!$H$2=BI157),'2023DATA'!$D$29,"")</f>
        <v/>
      </c>
      <c r="BJ184" s="518" t="str">
        <f>IF(AND(_AC4="A-320",'2023'!$H$4="CA",'2023'!$H$2=BJ157),'2023DATA'!$E$29,"")</f>
        <v/>
      </c>
      <c r="BK184" s="518" t="str">
        <f>IF(AND(_AC4="A-320",'2023'!$H$4="CA",'2023'!$H$2=BK157),'2023DATA'!$F$29,"")</f>
        <v/>
      </c>
      <c r="BL184" s="518" t="str">
        <f>IF(AND(_AC4="A-320",'2023'!$H$4="CA",'2023'!$H$2=BL157),'2023DATA'!$G$29,"")</f>
        <v/>
      </c>
      <c r="BM184" s="518" t="str">
        <f>IF(AND(_AC4="A-320",'2023'!$H$4="CA",'2023'!$H$2=BM157),'2023DATA'!$H$29,"")</f>
        <v/>
      </c>
      <c r="BN184" s="518" t="str">
        <f>IF(AND(_AC4="A-320",'2023'!$H$4="CA",'2023'!$H$2=BN157),'2023DATA'!$I$29,"")</f>
        <v/>
      </c>
      <c r="BO184" s="518" t="str">
        <f>IF(AND(_AC4="A-320",'2023'!$H$4="CA",'2023'!$H$2=BO157),'2023DATA'!$J$29,"")</f>
        <v/>
      </c>
      <c r="BP184" s="518" t="str">
        <f>IF(AND(_AC4="A-320",'2023'!$H$4="CA",'2023'!$H$2=BP157),'2023DATA'!$K$29,"")</f>
        <v/>
      </c>
      <c r="BQ184" s="518" t="str">
        <f>IF(AND(_AC4="A-320",'2023'!$H$4="CA",'2023'!$H$2=BQ157),'2023DATA'!$L$29,"")</f>
        <v/>
      </c>
      <c r="BR184" s="518" t="str">
        <f>IF(AND(_AC4="A-320",'2023'!$H$4="CA",'2023'!$H$2=BR157),'2023DATA'!$M$29,"")</f>
        <v/>
      </c>
      <c r="BS184" s="520" t="str">
        <f>IF(AND(_AC4="A-320",'2023'!$H$4="CA",'2023'!$H$2=BS157),'2023DATA'!$N$29,"")</f>
        <v/>
      </c>
      <c r="BT184" s="940" t="s">
        <v>70</v>
      </c>
      <c r="BU184" s="13" t="s">
        <v>61</v>
      </c>
      <c r="BV184" s="518" t="str">
        <f>IF(AND(_AC5="A-320",'2023'!$H$4="CA",'2023'!$H$2=BV157),'2023DATA'!$C$29,"")</f>
        <v/>
      </c>
      <c r="BW184" s="518" t="str">
        <f>IF(AND(_AC5="A-320",'2023'!$H$4="CA",'2023'!$H$2=BW157),'2023DATA'!$D$29,"")</f>
        <v/>
      </c>
      <c r="BX184" s="518" t="str">
        <f>IF(AND(_AC5="A-320",'2023'!$H$4="CA",'2023'!$H$2=BX157),'2023DATA'!$E$29,"")</f>
        <v/>
      </c>
      <c r="BY184" s="518" t="str">
        <f>IF(AND(_AC5="A-320",'2023'!$H$4="CA",'2023'!$H$2=BY157),'2023DATA'!$F$29,"")</f>
        <v/>
      </c>
      <c r="BZ184" s="518" t="str">
        <f>IF(AND(_AC5="A-320",'2023'!$H$4="CA",'2023'!$H$2=BZ157),'2023DATA'!$G$29,"")</f>
        <v/>
      </c>
      <c r="CA184" s="518" t="str">
        <f>IF(AND(_AC5="A-320",'2023'!$H$4="CA",'2023'!$H$2=CA157),'2023DATA'!$H$29,"")</f>
        <v/>
      </c>
      <c r="CB184" s="518" t="str">
        <f>IF(AND(_AC5="A-320",'2023'!$H$4="CA",'2023'!$H$2=CB157),'2023DATA'!$I$29,"")</f>
        <v/>
      </c>
      <c r="CC184" s="518" t="str">
        <f>IF(AND(_AC5="A-320",'2023'!$H$4="CA",'2023'!$H$2=CC157),'2023DATA'!$J$29,"")</f>
        <v/>
      </c>
      <c r="CD184" s="518" t="str">
        <f>IF(AND(_AC5="A-320",'2023'!$H$4="CA",'2023'!$H$2=CD157),'2023DATA'!$K$29,"")</f>
        <v/>
      </c>
      <c r="CE184" s="518" t="str">
        <f>IF(AND(_AC5="A-320",'2023'!$H$4="CA",'2023'!$H$2=CE157),'2023DATA'!$L$29,"")</f>
        <v/>
      </c>
      <c r="CF184" s="518" t="str">
        <f>IF(AND(_AC5="A-320",'2023'!$H$4="CA",'2023'!$H$2=CF157),'2023DATA'!$M$29,"")</f>
        <v/>
      </c>
      <c r="CG184" s="520" t="str">
        <f>IF(AND(_AC5="A-320",'2023'!$H$4="CA",'2023'!$H$2=CG157),'2023DATA'!$N$29,"")</f>
        <v/>
      </c>
      <c r="CH184" s="940" t="s">
        <v>70</v>
      </c>
      <c r="CI184" s="13" t="s">
        <v>61</v>
      </c>
      <c r="CJ184" s="518" t="str">
        <f>IF(AND(_AC6="A-320",'2023'!$H$4="CA",'2023'!$H$2=CJ157),'2023DATA'!$C$29,"")</f>
        <v/>
      </c>
      <c r="CK184" s="518" t="str">
        <f>IF(AND(_AC6="A-320",'2023'!$H$4="CA",'2023'!$H$2=CK157),'2023DATA'!$D$29,"")</f>
        <v/>
      </c>
      <c r="CL184" s="518" t="str">
        <f>IF(AND(_AC6="A-320",'2023'!$H$4="CA",'2023'!$H$2=CL157),'2023DATA'!$E$29,"")</f>
        <v/>
      </c>
      <c r="CM184" s="518" t="str">
        <f>IF(AND(_AC6="A-320",'2023'!$H$4="CA",'2023'!$H$2=CM157),'2023DATA'!$F$29,"")</f>
        <v/>
      </c>
      <c r="CN184" s="518" t="str">
        <f>IF(AND(_AC6="A-320",'2023'!$H$4="CA",'2023'!$H$2=CN157),'2023DATA'!$G$29,"")</f>
        <v/>
      </c>
      <c r="CO184" s="518" t="str">
        <f>IF(AND(_AC6="A-320",'2023'!$H$4="CA",'2023'!$H$2=CO157),'2023DATA'!$H$29,"")</f>
        <v/>
      </c>
      <c r="CP184" s="518" t="str">
        <f>IF(AND(_AC6="A-320",'2023'!$H$4="CA",'2023'!$H$2=CP157),'2023DATA'!$I$29,"")</f>
        <v/>
      </c>
      <c r="CQ184" s="518" t="str">
        <f>IF(AND(_AC6="A-320",'2023'!$H$4="CA",'2023'!$H$2=CQ157),'2023DATA'!$J$29,"")</f>
        <v/>
      </c>
      <c r="CR184" s="518" t="str">
        <f>IF(AND(_AC6="A-320",'2023'!$H$4="CA",'2023'!$H$2=CR157),'2023DATA'!$K$29,"")</f>
        <v/>
      </c>
      <c r="CS184" s="518" t="str">
        <f>IF(AND(_AC6="A-320",'2023'!$H$4="CA",'2023'!$H$2=CS157),'2023DATA'!$L$29,"")</f>
        <v/>
      </c>
      <c r="CT184" s="518" t="str">
        <f>IF(AND(_AC6="A-320",'2023'!$H$4="CA",'2023'!$H$2=CT157),'2023DATA'!$M$29,"")</f>
        <v/>
      </c>
      <c r="CU184" s="520" t="str">
        <f>IF(AND(_AC6="A-320",'2023'!$H$4="CA",'2023'!$H$2=CU157),'2023DATA'!$N$29,"")</f>
        <v/>
      </c>
    </row>
    <row r="185" spans="16:99" x14ac:dyDescent="0.25">
      <c r="P185" s="940"/>
      <c r="Q185" s="13" t="s">
        <v>62</v>
      </c>
      <c r="R185" s="518" t="str">
        <f>IF(AND(_AC1="A-320",'2023'!$H$4="FO",'2023'!$H$2=R157),'2023DATA'!$C$30,"")</f>
        <v/>
      </c>
      <c r="S185" s="518" t="str">
        <f>IF(AND(_AC1="A-320",'2023'!$H$4="FO",'2023'!$H$2=S157),'2023DATA'!$D$30,"")</f>
        <v/>
      </c>
      <c r="T185" s="518" t="str">
        <f>IF(AND(_AC1="A-320",'2023'!$H$4="FO",'2023'!$H$2=T157),'2023DATA'!$E$30,"")</f>
        <v/>
      </c>
      <c r="U185" s="518" t="str">
        <f>IF(AND(_AC1="A-320",'2023'!$H$4="FO",'2023'!$H$2=U157),'2023DATA'!$F$30,"")</f>
        <v/>
      </c>
      <c r="V185" s="518" t="str">
        <f>IF(AND(_AC1="A-320",'2023'!$H$4="FO",'2023'!$H$2=V157),'2023DATA'!$G$30,"")</f>
        <v/>
      </c>
      <c r="W185" s="518" t="str">
        <f>IF(AND(_AC1="A-320",'2023'!$H$4="FO",'2023'!$H$2=W157),'2023DATA'!$H$30,"")</f>
        <v/>
      </c>
      <c r="X185" s="518" t="str">
        <f>IF(AND(_AC1="A-320",'2023'!$H$4="FO",'2023'!$H$2=X157),'2023DATA'!$I$30,"")</f>
        <v/>
      </c>
      <c r="Y185" s="518" t="str">
        <f>IF(AND(_AC1="A-320",'2023'!$H$4="FO",'2023'!$H$2=Y157),'2023DATA'!$J$30,"")</f>
        <v/>
      </c>
      <c r="Z185" s="518" t="str">
        <f>IF(AND(_AC1="A-320",'2023'!$H$4="FO",'2023'!$H$2=Z157),'2023DATA'!$K$30,"")</f>
        <v/>
      </c>
      <c r="AA185" s="518" t="str">
        <f>IF(AND(_AC1="A-320",'2023'!$H$4="FO",'2023'!$H$2=AA157),'2023DATA'!$L$30,"")</f>
        <v/>
      </c>
      <c r="AB185" s="518" t="str">
        <f>IF(AND(_AC1="A-320",'2023'!$H$4="FO",'2023'!$H$2=AB157),'2023DATA'!$M$30,"")</f>
        <v/>
      </c>
      <c r="AC185" s="520" t="str">
        <f>IF(AND(_AC1="A-320",'2023'!$H$4="FO",'2023'!$H$2=AC157),'2023DATA'!$N$30,"")</f>
        <v/>
      </c>
      <c r="AD185" s="940"/>
      <c r="AE185" s="13" t="s">
        <v>62</v>
      </c>
      <c r="AF185" s="518" t="str">
        <f>IF(AND(_AC2="A-320",'2023'!$H$4="FO",'2023'!$H$2=AF157),'2023DATA'!$C$30,"")</f>
        <v/>
      </c>
      <c r="AG185" s="518" t="str">
        <f>IF(AND(_AC2="A-320",'2023'!$H$4="FO",'2023'!$H$2=AG157),'2023DATA'!$D$30,"")</f>
        <v/>
      </c>
      <c r="AH185" s="518" t="str">
        <f>IF(AND(_AC2="A-320",'2023'!$H$4="FO",'2023'!$H$2=AH157),'2023DATA'!$E$30,"")</f>
        <v/>
      </c>
      <c r="AI185" s="518" t="str">
        <f>IF(AND(_AC2="A-320",'2023'!$H$4="FO",'2023'!$H$2=AI157),'2023DATA'!$F$30,"")</f>
        <v/>
      </c>
      <c r="AJ185" s="518" t="str">
        <f>IF(AND(_AC2="A-320",'2023'!$H$4="FO",'2023'!$H$2=AJ157),'2023DATA'!$G$30,"")</f>
        <v/>
      </c>
      <c r="AK185" s="518" t="str">
        <f>IF(AND(_AC2="A-320",'2023'!$H$4="FO",'2023'!$H$2=AK157),'2023DATA'!$H$30,"")</f>
        <v/>
      </c>
      <c r="AL185" s="518" t="str">
        <f>IF(AND(_AC2="A-320",'2023'!$H$4="FO",'2023'!$H$2=AL157),'2023DATA'!$I$30,"")</f>
        <v/>
      </c>
      <c r="AM185" s="518" t="str">
        <f>IF(AND(_AC2="A-320",'2023'!$H$4="FO",'2023'!$H$2=AM157),'2023DATA'!$J$30,"")</f>
        <v/>
      </c>
      <c r="AN185" s="518" t="str">
        <f>IF(AND(_AC2="A-320",'2023'!$H$4="FO",'2023'!$H$2=AN157),'2023DATA'!$K$30,"")</f>
        <v/>
      </c>
      <c r="AO185" s="518" t="str">
        <f>IF(AND(_AC2="A-320",'2023'!$H$4="FO",'2023'!$H$2=AO157),'2023DATA'!$L$30,"")</f>
        <v/>
      </c>
      <c r="AP185" s="518" t="str">
        <f>IF(AND(_AC2="A-320",'2023'!$H$4="FO",'2023'!$H$2=AP157),'2023DATA'!$M$30,"")</f>
        <v/>
      </c>
      <c r="AQ185" s="520" t="str">
        <f>IF(AND(_AC2="A-320",'2023'!$H$4="FO",'2023'!$H$2=AQ157),'2023DATA'!$N$30,"")</f>
        <v/>
      </c>
      <c r="AR185" s="940"/>
      <c r="AS185" s="13" t="s">
        <v>62</v>
      </c>
      <c r="AT185" s="518" t="str">
        <f>IF(AND(_AC3="A-320",'2023'!$H$4="FO",'2023'!$H$2=AT157),'2023DATA'!$C$30,"")</f>
        <v/>
      </c>
      <c r="AU185" s="518" t="str">
        <f>IF(AND(_AC3="A-320",'2023'!$H$4="FO",'2023'!$H$2=AU157),'2023DATA'!$D$30,"")</f>
        <v/>
      </c>
      <c r="AV185" s="518" t="str">
        <f>IF(AND(_AC3="A-320",'2023'!$H$4="FO",'2023'!$H$2=AV157),'2023DATA'!$E$30,"")</f>
        <v/>
      </c>
      <c r="AW185" s="518" t="str">
        <f>IF(AND(_AC3="A-320",'2023'!$H$4="FO",'2023'!$H$2=AW157),'2023DATA'!$F$30,"")</f>
        <v/>
      </c>
      <c r="AX185" s="518" t="str">
        <f>IF(AND(_AC3="A-320",'2023'!$H$4="FO",'2023'!$H$2=AX157),'2023DATA'!$G$30,"")</f>
        <v/>
      </c>
      <c r="AY185" s="518" t="str">
        <f>IF(AND(_AC3="A-320",'2023'!$H$4="FO",'2023'!$H$2=AY157),'2023DATA'!$H$30,"")</f>
        <v/>
      </c>
      <c r="AZ185" s="518" t="str">
        <f>IF(AND(_AC3="A-320",'2023'!$H$4="FO",'2023'!$H$2=AZ157),'2023DATA'!$I$30,"")</f>
        <v/>
      </c>
      <c r="BA185" s="518" t="str">
        <f>IF(AND(_AC3="A-320",'2023'!$H$4="FO",'2023'!$H$2=BA157),'2023DATA'!$J$30,"")</f>
        <v/>
      </c>
      <c r="BB185" s="518" t="str">
        <f>IF(AND(_AC3="A-320",'2023'!$H$4="FO",'2023'!$H$2=BB157),'2023DATA'!$K$30,"")</f>
        <v/>
      </c>
      <c r="BC185" s="518" t="str">
        <f>IF(AND(_AC3="A-320",'2023'!$H$4="FO",'2023'!$H$2=BC157),'2023DATA'!$L$30,"")</f>
        <v/>
      </c>
      <c r="BD185" s="518" t="str">
        <f>IF(AND(_AC3="A-320",'2023'!$H$4="FO",'2023'!$H$2=BD157),'2023DATA'!$M$30,"")</f>
        <v/>
      </c>
      <c r="BE185" s="520" t="str">
        <f>IF(AND(_AC3="A-320",'2023'!$H$4="FO",'2023'!$H$2=BE157),'2023DATA'!$N$30,"")</f>
        <v/>
      </c>
      <c r="BF185" s="940"/>
      <c r="BG185" s="13" t="s">
        <v>62</v>
      </c>
      <c r="BH185" s="518" t="str">
        <f>IF(AND(_AC4="A-320",'2023'!$H$4="FO",'2023'!$H$2=BH157),'2023DATA'!$C$30,"")</f>
        <v/>
      </c>
      <c r="BI185" s="518" t="str">
        <f>IF(AND(_AC4="A-320",'2023'!$H$4="FO",'2023'!$H$2=BI157),'2023DATA'!$D$30,"")</f>
        <v/>
      </c>
      <c r="BJ185" s="518" t="str">
        <f>IF(AND(_AC4="A-320",'2023'!$H$4="FO",'2023'!$H$2=BJ157),'2023DATA'!$E$30,"")</f>
        <v/>
      </c>
      <c r="BK185" s="518" t="str">
        <f>IF(AND(_AC4="A-320",'2023'!$H$4="FO",'2023'!$H$2=BK157),'2023DATA'!$F$30,"")</f>
        <v/>
      </c>
      <c r="BL185" s="518" t="str">
        <f>IF(AND(_AC4="A-320",'2023'!$H$4="FO",'2023'!$H$2=BL157),'2023DATA'!$G$30,"")</f>
        <v/>
      </c>
      <c r="BM185" s="518" t="str">
        <f>IF(AND(_AC4="A-320",'2023'!$H$4="FO",'2023'!$H$2=BM157),'2023DATA'!$H$30,"")</f>
        <v/>
      </c>
      <c r="BN185" s="518" t="str">
        <f>IF(AND(_AC4="A-320",'2023'!$H$4="FO",'2023'!$H$2=BN157),'2023DATA'!$I$30,"")</f>
        <v/>
      </c>
      <c r="BO185" s="518" t="str">
        <f>IF(AND(_AC4="A-320",'2023'!$H$4="FO",'2023'!$H$2=BO157),'2023DATA'!$J$30,"")</f>
        <v/>
      </c>
      <c r="BP185" s="518" t="str">
        <f>IF(AND(_AC4="A-320",'2023'!$H$4="FO",'2023'!$H$2=BP157),'2023DATA'!$K$30,"")</f>
        <v/>
      </c>
      <c r="BQ185" s="518" t="str">
        <f>IF(AND(_AC4="A-320",'2023'!$H$4="FO",'2023'!$H$2=BQ157),'2023DATA'!$L$30,"")</f>
        <v/>
      </c>
      <c r="BR185" s="518" t="str">
        <f>IF(AND(_AC4="A-320",'2023'!$H$4="FO",'2023'!$H$2=BR157),'2023DATA'!$M$30,"")</f>
        <v/>
      </c>
      <c r="BS185" s="520" t="str">
        <f>IF(AND(_AC4="A-320",'2023'!$H$4="FO",'2023'!$H$2=BS157),'2023DATA'!$N$30,"")</f>
        <v/>
      </c>
      <c r="BT185" s="940"/>
      <c r="BU185" s="13" t="s">
        <v>62</v>
      </c>
      <c r="BV185" s="518" t="str">
        <f>IF(AND(_AC5="A-320",'2023'!$H$4="FO",'2023'!$H$2=BV157),'2023DATA'!$C$30,"")</f>
        <v/>
      </c>
      <c r="BW185" s="518" t="str">
        <f>IF(AND(_AC5="A-320",'2023'!$H$4="FO",'2023'!$H$2=BW157),'2023DATA'!$D$30,"")</f>
        <v/>
      </c>
      <c r="BX185" s="518" t="str">
        <f>IF(AND(_AC5="A-320",'2023'!$H$4="FO",'2023'!$H$2=BX157),'2023DATA'!$E$30,"")</f>
        <v/>
      </c>
      <c r="BY185" s="518" t="str">
        <f>IF(AND(_AC5="A-320",'2023'!$H$4="FO",'2023'!$H$2=BY157),'2023DATA'!$F$30,"")</f>
        <v/>
      </c>
      <c r="BZ185" s="518" t="str">
        <f>IF(AND(_AC5="A-320",'2023'!$H$4="FO",'2023'!$H$2=BZ157),'2023DATA'!$G$30,"")</f>
        <v/>
      </c>
      <c r="CA185" s="518" t="str">
        <f>IF(AND(_AC5="A-320",'2023'!$H$4="FO",'2023'!$H$2=CA157),'2023DATA'!$H$30,"")</f>
        <v/>
      </c>
      <c r="CB185" s="518" t="str">
        <f>IF(AND(_AC5="A-320",'2023'!$H$4="FO",'2023'!$H$2=CB157),'2023DATA'!$I$30,"")</f>
        <v/>
      </c>
      <c r="CC185" s="518" t="str">
        <f>IF(AND(_AC5="A-320",'2023'!$H$4="FO",'2023'!$H$2=CC157),'2023DATA'!$J$30,"")</f>
        <v/>
      </c>
      <c r="CD185" s="518" t="str">
        <f>IF(AND(_AC5="A-320",'2023'!$H$4="FO",'2023'!$H$2=CD157),'2023DATA'!$K$30,"")</f>
        <v/>
      </c>
      <c r="CE185" s="518" t="str">
        <f>IF(AND(_AC5="A-320",'2023'!$H$4="FO",'2023'!$H$2=CE157),'2023DATA'!$L$30,"")</f>
        <v/>
      </c>
      <c r="CF185" s="518" t="str">
        <f>IF(AND(_AC5="A-320",'2023'!$H$4="FO",'2023'!$H$2=CF157),'2023DATA'!$M$30,"")</f>
        <v/>
      </c>
      <c r="CG185" s="520" t="str">
        <f>IF(AND(_AC5="A-320",'2023'!$H$4="FO",'2023'!$H$2=CG157),'2023DATA'!$N$30,"")</f>
        <v/>
      </c>
      <c r="CH185" s="940"/>
      <c r="CI185" s="13" t="s">
        <v>62</v>
      </c>
      <c r="CJ185" s="518" t="str">
        <f>IF(AND(_AC6="A-320",'2023'!$H$4="FO",'2023'!$H$2=CJ157),'2023DATA'!$C$30,"")</f>
        <v/>
      </c>
      <c r="CK185" s="518" t="str">
        <f>IF(AND(_AC6="A-320",'2023'!$H$4="FO",'2023'!$H$2=CK157),'2023DATA'!$D$30,"")</f>
        <v/>
      </c>
      <c r="CL185" s="518" t="str">
        <f>IF(AND(_AC6="A-320",'2023'!$H$4="FO",'2023'!$H$2=CL157),'2023DATA'!$E$30,"")</f>
        <v/>
      </c>
      <c r="CM185" s="518" t="str">
        <f>IF(AND(_AC6="A-320",'2023'!$H$4="FO",'2023'!$H$2=CM157),'2023DATA'!$F$30,"")</f>
        <v/>
      </c>
      <c r="CN185" s="518" t="str">
        <f>IF(AND(_AC6="A-320",'2023'!$H$4="FO",'2023'!$H$2=CN157),'2023DATA'!$G$30,"")</f>
        <v/>
      </c>
      <c r="CO185" s="518" t="str">
        <f>IF(AND(_AC6="A-320",'2023'!$H$4="FO",'2023'!$H$2=CO157),'2023DATA'!$H$30,"")</f>
        <v/>
      </c>
      <c r="CP185" s="518" t="str">
        <f>IF(AND(_AC6="A-320",'2023'!$H$4="FO",'2023'!$H$2=CP157),'2023DATA'!$I$30,"")</f>
        <v/>
      </c>
      <c r="CQ185" s="518" t="str">
        <f>IF(AND(_AC6="A-320",'2023'!$H$4="FO",'2023'!$H$2=CQ157),'2023DATA'!$J$30,"")</f>
        <v/>
      </c>
      <c r="CR185" s="518" t="str">
        <f>IF(AND(_AC6="A-320",'2023'!$H$4="FO",'2023'!$H$2=CR157),'2023DATA'!$K$30,"")</f>
        <v/>
      </c>
      <c r="CS185" s="518" t="str">
        <f>IF(AND(_AC6="A-320",'2023'!$H$4="FO",'2023'!$H$2=CS157),'2023DATA'!$L$30,"")</f>
        <v/>
      </c>
      <c r="CT185" s="518" t="str">
        <f>IF(AND(_AC6="A-320",'2023'!$H$4="FO",'2023'!$H$2=CT157),'2023DATA'!$M$30,"")</f>
        <v/>
      </c>
      <c r="CU185" s="520" t="str">
        <f>IF(AND(_AC6="A-320",'2023'!$H$4="FO",'2023'!$H$2=CU157),'2023DATA'!$N$30,"")</f>
        <v/>
      </c>
    </row>
    <row r="186" spans="16:99" x14ac:dyDescent="0.25">
      <c r="P186" s="940" t="s">
        <v>71</v>
      </c>
      <c r="Q186" s="13" t="s">
        <v>61</v>
      </c>
      <c r="R186" s="518" t="str">
        <f>IF(AND(_AC1="A-319",'2023'!$H$4="CA",'2023'!$H$2=R157),'2023DATA'!$C$31,"")</f>
        <v/>
      </c>
      <c r="S186" s="518" t="str">
        <f>IF(AND(_AC1="A-319",'2023'!$H$4="CA",'2023'!$H$2=S157),'2023DATA'!$D$31,"")</f>
        <v/>
      </c>
      <c r="T186" s="518" t="str">
        <f>IF(AND(_AC1="A-319",'2023'!$H$4="CA",'2023'!$H$2=T157),'2023DATA'!$E$31,"")</f>
        <v/>
      </c>
      <c r="U186" s="518" t="str">
        <f>IF(AND(_AC1="A-319",'2023'!$H$4="CA",'2023'!$H$2=U157),'2023DATA'!$F$31,"")</f>
        <v/>
      </c>
      <c r="V186" s="518" t="str">
        <f>IF(AND(_AC1="A-319",'2023'!$H$4="CA",'2023'!$H$2=V157),'2023DATA'!$G$31,"")</f>
        <v/>
      </c>
      <c r="W186" s="518" t="str">
        <f>IF(AND(_AC1="A-319",'2023'!$H$4="CA",'2023'!$H$2=W157),'2023DATA'!$H$31,"")</f>
        <v/>
      </c>
      <c r="X186" s="518" t="str">
        <f>IF(AND(_AC1="A-319",'2023'!$H$4="CA",'2023'!$H$2=X157),'2023DATA'!$I$31,"")</f>
        <v/>
      </c>
      <c r="Y186" s="518" t="str">
        <f>IF(AND(_AC1="A-319",'2023'!$H$4="CA",'2023'!$H$2=Y157),'2023DATA'!$J$31,"")</f>
        <v/>
      </c>
      <c r="Z186" s="518" t="str">
        <f>IF(AND(_AC1="A-319",'2023'!$H$4="CA",'2023'!$H$2=Z157),'2023DATA'!$K$31,"")</f>
        <v/>
      </c>
      <c r="AA186" s="518" t="str">
        <f>IF(AND(_AC1="A-319",'2023'!$H$4="CA",'2023'!$H$2=AA157),'2023DATA'!$L$31,"")</f>
        <v/>
      </c>
      <c r="AB186" s="518" t="str">
        <f>IF(AND(_AC1="A-319",'2023'!$H$4="CA",'2023'!$H$2=AB157),'2023DATA'!$M$31,"")</f>
        <v/>
      </c>
      <c r="AC186" s="520" t="str">
        <f>IF(AND(_AC1="A-319",'2023'!$H$4="CA",'2023'!$H$2=AC157),'2023DATA'!$N$31,"")</f>
        <v/>
      </c>
      <c r="AD186" s="940" t="s">
        <v>71</v>
      </c>
      <c r="AE186" s="13" t="s">
        <v>61</v>
      </c>
      <c r="AF186" s="518" t="str">
        <f>IF(AND(_AC2="A-319",'2023'!$H$4="CA",'2023'!$H$2=AF157),'2023DATA'!$C$31,"")</f>
        <v/>
      </c>
      <c r="AG186" s="518" t="str">
        <f>IF(AND(_AC2="A-319",'2023'!$H$4="CA",'2023'!$H$2=AG157),'2023DATA'!$D$31,"")</f>
        <v/>
      </c>
      <c r="AH186" s="518" t="str">
        <f>IF(AND(_AC2="A-319",'2023'!$H$4="CA",'2023'!$H$2=AH157),'2023DATA'!$E$31,"")</f>
        <v/>
      </c>
      <c r="AI186" s="518" t="str">
        <f>IF(AND(_AC2="A-319",'2023'!$H$4="CA",'2023'!$H$2=AI157),'2023DATA'!$F$31,"")</f>
        <v/>
      </c>
      <c r="AJ186" s="518" t="str">
        <f>IF(AND(_AC2="A-319",'2023'!$H$4="CA",'2023'!$H$2=AJ157),'2023DATA'!$G$31,"")</f>
        <v/>
      </c>
      <c r="AK186" s="518" t="str">
        <f>IF(AND(_AC2="A-319",'2023'!$H$4="CA",'2023'!$H$2=AK157),'2023DATA'!$H$31,"")</f>
        <v/>
      </c>
      <c r="AL186" s="518" t="str">
        <f>IF(AND(_AC2="A-319",'2023'!$H$4="CA",'2023'!$H$2=AL157),'2023DATA'!$I$31,"")</f>
        <v/>
      </c>
      <c r="AM186" s="518" t="str">
        <f>IF(AND(_AC2="A-319",'2023'!$H$4="CA",'2023'!$H$2=AM157),'2023DATA'!$J$31,"")</f>
        <v/>
      </c>
      <c r="AN186" s="518" t="str">
        <f>IF(AND(_AC2="A-319",'2023'!$H$4="CA",'2023'!$H$2=AN157),'2023DATA'!$K$31,"")</f>
        <v/>
      </c>
      <c r="AO186" s="518" t="str">
        <f>IF(AND(_AC2="A-319",'2023'!$H$4="CA",'2023'!$H$2=AO157),'2023DATA'!$L$31,"")</f>
        <v/>
      </c>
      <c r="AP186" s="518" t="str">
        <f>IF(AND(_AC2="A-319",'2023'!$H$4="CA",'2023'!$H$2=AP157),'2023DATA'!$M$31,"")</f>
        <v/>
      </c>
      <c r="AQ186" s="520" t="str">
        <f>IF(AND(_AC2="A-319",'2023'!$H$4="CA",'2023'!$H$2=AQ157),'2023DATA'!$N$31,"")</f>
        <v/>
      </c>
      <c r="AR186" s="940" t="s">
        <v>71</v>
      </c>
      <c r="AS186" s="13" t="s">
        <v>61</v>
      </c>
      <c r="AT186" s="518" t="str">
        <f>IF(AND(_AC3="A-319",'2023'!$H$4="CA",'2023'!$H$2=AT157),'2023DATA'!$C$31,"")</f>
        <v/>
      </c>
      <c r="AU186" s="518" t="str">
        <f>IF(AND(_AC3="A-319",'2023'!$H$4="CA",'2023'!$H$2=AU157),'2023DATA'!$D$31,"")</f>
        <v/>
      </c>
      <c r="AV186" s="518" t="str">
        <f>IF(AND(_AC3="A-319",'2023'!$H$4="CA",'2023'!$H$2=AV157),'2023DATA'!$E$31,"")</f>
        <v/>
      </c>
      <c r="AW186" s="518" t="str">
        <f>IF(AND(_AC3="A-319",'2023'!$H$4="CA",'2023'!$H$2=AW157),'2023DATA'!$F$31,"")</f>
        <v/>
      </c>
      <c r="AX186" s="518" t="str">
        <f>IF(AND(_AC3="A-319",'2023'!$H$4="CA",'2023'!$H$2=AX157),'2023DATA'!$G$31,"")</f>
        <v/>
      </c>
      <c r="AY186" s="518" t="str">
        <f>IF(AND(_AC3="A-319",'2023'!$H$4="CA",'2023'!$H$2=AY157),'2023DATA'!$H$31,"")</f>
        <v/>
      </c>
      <c r="AZ186" s="518" t="str">
        <f>IF(AND(_AC3="A-319",'2023'!$H$4="CA",'2023'!$H$2=AZ157),'2023DATA'!$I$31,"")</f>
        <v/>
      </c>
      <c r="BA186" s="518" t="str">
        <f>IF(AND(_AC3="A-319",'2023'!$H$4="CA",'2023'!$H$2=BA157),'2023DATA'!$J$31,"")</f>
        <v/>
      </c>
      <c r="BB186" s="518" t="str">
        <f>IF(AND(_AC3="A-319",'2023'!$H$4="CA",'2023'!$H$2=BB157),'2023DATA'!$K$31,"")</f>
        <v/>
      </c>
      <c r="BC186" s="518" t="str">
        <f>IF(AND(_AC3="A-319",'2023'!$H$4="CA",'2023'!$H$2=BC157),'2023DATA'!$L$31,"")</f>
        <v/>
      </c>
      <c r="BD186" s="518" t="str">
        <f>IF(AND(_AC3="A-319",'2023'!$H$4="CA",'2023'!$H$2=BD157),'2023DATA'!$M$31,"")</f>
        <v/>
      </c>
      <c r="BE186" s="520" t="str">
        <f>IF(AND(_AC3="A-319",'2023'!$H$4="CA",'2023'!$H$2=BE157),'2023DATA'!$N$31,"")</f>
        <v/>
      </c>
      <c r="BF186" s="940" t="s">
        <v>71</v>
      </c>
      <c r="BG186" s="13" t="s">
        <v>61</v>
      </c>
      <c r="BH186" s="518" t="str">
        <f>IF(AND(_AC4="A-319",'2023'!$H$4="CA",'2023'!$H$2=BH157),'2023DATA'!$C$31,"")</f>
        <v/>
      </c>
      <c r="BI186" s="518" t="str">
        <f>IF(AND(_AC4="A-319",'2023'!$H$4="CA",'2023'!$H$2=BI157),'2023DATA'!$D$31,"")</f>
        <v/>
      </c>
      <c r="BJ186" s="518" t="str">
        <f>IF(AND(_AC4="A-319",'2023'!$H$4="CA",'2023'!$H$2=BJ157),'2023DATA'!$E$31,"")</f>
        <v/>
      </c>
      <c r="BK186" s="518" t="str">
        <f>IF(AND(_AC4="A-319",'2023'!$H$4="CA",'2023'!$H$2=BK157),'2023DATA'!$F$31,"")</f>
        <v/>
      </c>
      <c r="BL186" s="518" t="str">
        <f>IF(AND(_AC4="A-319",'2023'!$H$4="CA",'2023'!$H$2=BL157),'2023DATA'!$G$31,"")</f>
        <v/>
      </c>
      <c r="BM186" s="518" t="str">
        <f>IF(AND(_AC4="A-319",'2023'!$H$4="CA",'2023'!$H$2=BM157),'2023DATA'!$H$31,"")</f>
        <v/>
      </c>
      <c r="BN186" s="518" t="str">
        <f>IF(AND(_AC4="A-319",'2023'!$H$4="CA",'2023'!$H$2=BN157),'2023DATA'!$I$31,"")</f>
        <v/>
      </c>
      <c r="BO186" s="518" t="str">
        <f>IF(AND(_AC4="A-319",'2023'!$H$4="CA",'2023'!$H$2=BO157),'2023DATA'!$J$31,"")</f>
        <v/>
      </c>
      <c r="BP186" s="518" t="str">
        <f>IF(AND(_AC4="A-319",'2023'!$H$4="CA",'2023'!$H$2=BP157),'2023DATA'!$K$31,"")</f>
        <v/>
      </c>
      <c r="BQ186" s="518" t="str">
        <f>IF(AND(_AC4="A-319",'2023'!$H$4="CA",'2023'!$H$2=BQ157),'2023DATA'!$L$31,"")</f>
        <v/>
      </c>
      <c r="BR186" s="518" t="str">
        <f>IF(AND(_AC4="A-319",'2023'!$H$4="CA",'2023'!$H$2=BR157),'2023DATA'!$M$31,"")</f>
        <v/>
      </c>
      <c r="BS186" s="520" t="str">
        <f>IF(AND(_AC4="A-319",'2023'!$H$4="CA",'2023'!$H$2=BS157),'2023DATA'!$N$31,"")</f>
        <v/>
      </c>
      <c r="BT186" s="940" t="s">
        <v>71</v>
      </c>
      <c r="BU186" s="13" t="s">
        <v>61</v>
      </c>
      <c r="BV186" s="518" t="str">
        <f>IF(AND(_AC5="A-319",'2023'!$H$4="CA",'2023'!$H$2=BV157),'2023DATA'!$C$31,"")</f>
        <v/>
      </c>
      <c r="BW186" s="518" t="str">
        <f>IF(AND(_AC5="A-319",'2023'!$H$4="CA",'2023'!$H$2=BW157),'2023DATA'!$D$31,"")</f>
        <v/>
      </c>
      <c r="BX186" s="518" t="str">
        <f>IF(AND(_AC5="A-319",'2023'!$H$4="CA",'2023'!$H$2=BX157),'2023DATA'!$E$31,"")</f>
        <v/>
      </c>
      <c r="BY186" s="518" t="str">
        <f>IF(AND(_AC5="A-319",'2023'!$H$4="CA",'2023'!$H$2=BY157),'2023DATA'!$F$31,"")</f>
        <v/>
      </c>
      <c r="BZ186" s="518" t="str">
        <f>IF(AND(_AC5="A-319",'2023'!$H$4="CA",'2023'!$H$2=BZ157),'2023DATA'!$G$31,"")</f>
        <v/>
      </c>
      <c r="CA186" s="518" t="str">
        <f>IF(AND(_AC5="A-319",'2023'!$H$4="CA",'2023'!$H$2=CA157),'2023DATA'!$H$31,"")</f>
        <v/>
      </c>
      <c r="CB186" s="518" t="str">
        <f>IF(AND(_AC5="A-319",'2023'!$H$4="CA",'2023'!$H$2=CB157),'2023DATA'!$I$31,"")</f>
        <v/>
      </c>
      <c r="CC186" s="518" t="str">
        <f>IF(AND(_AC5="A-319",'2023'!$H$4="CA",'2023'!$H$2=CC157),'2023DATA'!$J$31,"")</f>
        <v/>
      </c>
      <c r="CD186" s="518" t="str">
        <f>IF(AND(_AC5="A-319",'2023'!$H$4="CA",'2023'!$H$2=CD157),'2023DATA'!$K$31,"")</f>
        <v/>
      </c>
      <c r="CE186" s="518" t="str">
        <f>IF(AND(_AC5="A-319",'2023'!$H$4="CA",'2023'!$H$2=CE157),'2023DATA'!$L$31,"")</f>
        <v/>
      </c>
      <c r="CF186" s="518" t="str">
        <f>IF(AND(_AC5="A-319",'2023'!$H$4="CA",'2023'!$H$2=CF157),'2023DATA'!$M$31,"")</f>
        <v/>
      </c>
      <c r="CG186" s="520" t="str">
        <f>IF(AND(_AC5="A-319",'2023'!$H$4="CA",'2023'!$H$2=CG157),'2023DATA'!$N$31,"")</f>
        <v/>
      </c>
      <c r="CH186" s="940" t="s">
        <v>71</v>
      </c>
      <c r="CI186" s="13" t="s">
        <v>61</v>
      </c>
      <c r="CJ186" s="518" t="str">
        <f>IF(AND(_AC6="A-319",'2023'!$H$4="CA",'2023'!$H$2=CJ157),'2023DATA'!$C$31,"")</f>
        <v/>
      </c>
      <c r="CK186" s="518" t="str">
        <f>IF(AND(_AC6="A-319",'2023'!$H$4="CA",'2023'!$H$2=CK157),'2023DATA'!$D$31,"")</f>
        <v/>
      </c>
      <c r="CL186" s="518" t="str">
        <f>IF(AND(_AC6="A-319",'2023'!$H$4="CA",'2023'!$H$2=CL157),'2023DATA'!$E$31,"")</f>
        <v/>
      </c>
      <c r="CM186" s="518" t="str">
        <f>IF(AND(_AC6="A-319",'2023'!$H$4="CA",'2023'!$H$2=CM157),'2023DATA'!$F$31,"")</f>
        <v/>
      </c>
      <c r="CN186" s="518" t="str">
        <f>IF(AND(_AC6="A-319",'2023'!$H$4="CA",'2023'!$H$2=CN157),'2023DATA'!$G$31,"")</f>
        <v/>
      </c>
      <c r="CO186" s="518" t="str">
        <f>IF(AND(_AC6="A-319",'2023'!$H$4="CA",'2023'!$H$2=CO157),'2023DATA'!$H$31,"")</f>
        <v/>
      </c>
      <c r="CP186" s="518" t="str">
        <f>IF(AND(_AC6="A-319",'2023'!$H$4="CA",'2023'!$H$2=CP157),'2023DATA'!$I$31,"")</f>
        <v/>
      </c>
      <c r="CQ186" s="518" t="str">
        <f>IF(AND(_AC6="A-319",'2023'!$H$4="CA",'2023'!$H$2=CQ157),'2023DATA'!$J$31,"")</f>
        <v/>
      </c>
      <c r="CR186" s="518" t="str">
        <f>IF(AND(_AC6="A-319",'2023'!$H$4="CA",'2023'!$H$2=CR157),'2023DATA'!$K$31,"")</f>
        <v/>
      </c>
      <c r="CS186" s="518" t="str">
        <f>IF(AND(_AC6="A-319",'2023'!$H$4="CA",'2023'!$H$2=CS157),'2023DATA'!$L$31,"")</f>
        <v/>
      </c>
      <c r="CT186" s="518" t="str">
        <f>IF(AND(_AC6="A-319",'2023'!$H$4="CA",'2023'!$H$2=CT157),'2023DATA'!$M$31,"")</f>
        <v/>
      </c>
      <c r="CU186" s="520" t="str">
        <f>IF(AND(_AC6="A-319",'2023'!$H$4="CA",'2023'!$H$2=CU157),'2023DATA'!$N$31,"")</f>
        <v/>
      </c>
    </row>
    <row r="187" spans="16:99" x14ac:dyDescent="0.25">
      <c r="P187" s="940"/>
      <c r="Q187" s="13" t="s">
        <v>62</v>
      </c>
      <c r="R187" s="518" t="str">
        <f>IF(AND(_AC1="A-319",'2023'!$H$4="FO",'2023'!$H$2=R157),'2023DATA'!$C$32,"")</f>
        <v/>
      </c>
      <c r="S187" s="518" t="str">
        <f>IF(AND(_AC1="A-319",'2023'!$H$4="FO",'2023'!$H$2=S157),'2023DATA'!$D$32,"")</f>
        <v/>
      </c>
      <c r="T187" s="518" t="str">
        <f>IF(AND(_AC1="A-319",'2023'!$H$4="FO",'2023'!$H$2=T157),'2023DATA'!$E$32,"")</f>
        <v/>
      </c>
      <c r="U187" s="518" t="str">
        <f>IF(AND(_AC1="A-319",'2023'!$H$4="FO",'2023'!$H$2=U157),'2023DATA'!$F$32,"")</f>
        <v/>
      </c>
      <c r="V187" s="518" t="str">
        <f>IF(AND(_AC1="A-319",'2023'!$H$4="FO",'2023'!$H$2=V157),'2023DATA'!$G$32,"")</f>
        <v/>
      </c>
      <c r="W187" s="518" t="str">
        <f>IF(AND(_AC1="A-319",'2023'!$H$4="FO",'2023'!$H$2=W157),'2023DATA'!$H$32,"")</f>
        <v/>
      </c>
      <c r="X187" s="518" t="str">
        <f>IF(AND(_AC1="A-319",'2023'!$H$4="FO",'2023'!$H$2=X157),'2023DATA'!$I$32,"")</f>
        <v/>
      </c>
      <c r="Y187" s="518" t="str">
        <f>IF(AND(_AC1="A-319",'2023'!$H$4="FO",'2023'!$H$2=Y157),'2023DATA'!$J$32,"")</f>
        <v/>
      </c>
      <c r="Z187" s="518" t="str">
        <f>IF(AND(_AC1="A-319",'2023'!$H$4="FO",'2023'!$H$2=Z157),'2023DATA'!$K$32,"")</f>
        <v/>
      </c>
      <c r="AA187" s="518" t="str">
        <f>IF(AND(_AC1="A-319",'2023'!$H$4="FO",'2023'!$H$2=AA157),'2023DATA'!$L$32,"")</f>
        <v/>
      </c>
      <c r="AB187" s="518" t="str">
        <f>IF(AND(_AC1="A-319",'2023'!$H$4="FO",'2023'!$H$2=AB157),'2023DATA'!$M$32,"")</f>
        <v/>
      </c>
      <c r="AC187" s="520" t="str">
        <f>IF(AND(_AC1="A-319",'2023'!$H$4="FO",'2023'!$H$2=AC157),'2023DATA'!$N$32,"")</f>
        <v/>
      </c>
      <c r="AD187" s="940"/>
      <c r="AE187" s="13" t="s">
        <v>62</v>
      </c>
      <c r="AF187" s="518" t="str">
        <f>IF(AND(_AC2="A-319",'2023'!$H$4="FO",'2023'!$H$2=AF157),'2023DATA'!$C$32,"")</f>
        <v/>
      </c>
      <c r="AG187" s="518" t="str">
        <f>IF(AND(_AC2="A-319",'2023'!$H$4="FO",'2023'!$H$2=AG157),'2023DATA'!$D$32,"")</f>
        <v/>
      </c>
      <c r="AH187" s="518" t="str">
        <f>IF(AND(_AC2="A-319",'2023'!$H$4="FO",'2023'!$H$2=AH157),'2023DATA'!$E$32,"")</f>
        <v/>
      </c>
      <c r="AI187" s="518" t="str">
        <f>IF(AND(_AC2="A-319",'2023'!$H$4="FO",'2023'!$H$2=AI157),'2023DATA'!$F$32,"")</f>
        <v/>
      </c>
      <c r="AJ187" s="518" t="str">
        <f>IF(AND(_AC2="A-319",'2023'!$H$4="FO",'2023'!$H$2=AJ157),'2023DATA'!$G$32,"")</f>
        <v/>
      </c>
      <c r="AK187" s="518" t="str">
        <f>IF(AND(_AC2="A-319",'2023'!$H$4="FO",'2023'!$H$2=AK157),'2023DATA'!$H$32,"")</f>
        <v/>
      </c>
      <c r="AL187" s="518" t="str">
        <f>IF(AND(_AC2="A-319",'2023'!$H$4="FO",'2023'!$H$2=AL157),'2023DATA'!$I$32,"")</f>
        <v/>
      </c>
      <c r="AM187" s="518" t="str">
        <f>IF(AND(_AC2="A-319",'2023'!$H$4="FO",'2023'!$H$2=AM157),'2023DATA'!$J$32,"")</f>
        <v/>
      </c>
      <c r="AN187" s="518" t="str">
        <f>IF(AND(_AC2="A-319",'2023'!$H$4="FO",'2023'!$H$2=AN157),'2023DATA'!$K$32,"")</f>
        <v/>
      </c>
      <c r="AO187" s="518" t="str">
        <f>IF(AND(_AC2="A-319",'2023'!$H$4="FO",'2023'!$H$2=AO157),'2023DATA'!$L$32,"")</f>
        <v/>
      </c>
      <c r="AP187" s="518" t="str">
        <f>IF(AND(_AC2="A-319",'2023'!$H$4="FO",'2023'!$H$2=AP157),'2023DATA'!$M$32,"")</f>
        <v/>
      </c>
      <c r="AQ187" s="520" t="str">
        <f>IF(AND(_AC2="A-319",'2023'!$H$4="FO",'2023'!$H$2=AQ157),'2023DATA'!$N$32,"")</f>
        <v/>
      </c>
      <c r="AR187" s="940"/>
      <c r="AS187" s="13" t="s">
        <v>62</v>
      </c>
      <c r="AT187" s="518" t="str">
        <f>IF(AND(_AC3="A-319",'2023'!$H$4="FO",'2023'!$H$2=AT157),'2023DATA'!$C$32,"")</f>
        <v/>
      </c>
      <c r="AU187" s="518" t="str">
        <f>IF(AND(_AC3="A-319",'2023'!$H$4="FO",'2023'!$H$2=AU157),'2023DATA'!$D$32,"")</f>
        <v/>
      </c>
      <c r="AV187" s="518" t="str">
        <f>IF(AND(_AC3="A-319",'2023'!$H$4="FO",'2023'!$H$2=AV157),'2023DATA'!$E$32,"")</f>
        <v/>
      </c>
      <c r="AW187" s="518" t="str">
        <f>IF(AND(_AC3="A-319",'2023'!$H$4="FO",'2023'!$H$2=AW157),'2023DATA'!$F$32,"")</f>
        <v/>
      </c>
      <c r="AX187" s="518" t="str">
        <f>IF(AND(_AC3="A-319",'2023'!$H$4="FO",'2023'!$H$2=AX157),'2023DATA'!$G$32,"")</f>
        <v/>
      </c>
      <c r="AY187" s="518" t="str">
        <f>IF(AND(_AC3="A-319",'2023'!$H$4="FO",'2023'!$H$2=AY157),'2023DATA'!$H$32,"")</f>
        <v/>
      </c>
      <c r="AZ187" s="518" t="str">
        <f>IF(AND(_AC3="A-319",'2023'!$H$4="FO",'2023'!$H$2=AZ157),'2023DATA'!$I$32,"")</f>
        <v/>
      </c>
      <c r="BA187" s="518" t="str">
        <f>IF(AND(_AC3="A-319",'2023'!$H$4="FO",'2023'!$H$2=BA157),'2023DATA'!$J$32,"")</f>
        <v/>
      </c>
      <c r="BB187" s="518" t="str">
        <f>IF(AND(_AC3="A-319",'2023'!$H$4="FO",'2023'!$H$2=BB157),'2023DATA'!$K$32,"")</f>
        <v/>
      </c>
      <c r="BC187" s="518" t="str">
        <f>IF(AND(_AC3="A-319",'2023'!$H$4="FO",'2023'!$H$2=BC157),'2023DATA'!$L$32,"")</f>
        <v/>
      </c>
      <c r="BD187" s="518" t="str">
        <f>IF(AND(_AC3="A-319",'2023'!$H$4="FO",'2023'!$H$2=BD157),'2023DATA'!$M$32,"")</f>
        <v/>
      </c>
      <c r="BE187" s="520" t="str">
        <f>IF(AND(_AC3="A-319",'2023'!$H$4="FO",'2023'!$H$2=BE157),'2023DATA'!$N$32,"")</f>
        <v/>
      </c>
      <c r="BF187" s="940"/>
      <c r="BG187" s="13" t="s">
        <v>62</v>
      </c>
      <c r="BH187" s="518" t="str">
        <f>IF(AND(_AC4="A-319",'2023'!$H$4="FO",'2023'!$H$2=BH157),'2023DATA'!$C$32,"")</f>
        <v/>
      </c>
      <c r="BI187" s="518" t="str">
        <f>IF(AND(_AC4="A-319",'2023'!$H$4="FO",'2023'!$H$2=BI157),'2023DATA'!$D$32,"")</f>
        <v/>
      </c>
      <c r="BJ187" s="518" t="str">
        <f>IF(AND(_AC4="A-319",'2023'!$H$4="FO",'2023'!$H$2=BJ157),'2023DATA'!$E$32,"")</f>
        <v/>
      </c>
      <c r="BK187" s="518" t="str">
        <f>IF(AND(_AC4="A-319",'2023'!$H$4="FO",'2023'!$H$2=BK157),'2023DATA'!$F$32,"")</f>
        <v/>
      </c>
      <c r="BL187" s="518" t="str">
        <f>IF(AND(_AC4="A-319",'2023'!$H$4="FO",'2023'!$H$2=BL157),'2023DATA'!$G$32,"")</f>
        <v/>
      </c>
      <c r="BM187" s="518" t="str">
        <f>IF(AND(_AC4="A-319",'2023'!$H$4="FO",'2023'!$H$2=BM157),'2023DATA'!$H$32,"")</f>
        <v/>
      </c>
      <c r="BN187" s="518" t="str">
        <f>IF(AND(_AC4="A-319",'2023'!$H$4="FO",'2023'!$H$2=BN157),'2023DATA'!$I$32,"")</f>
        <v/>
      </c>
      <c r="BO187" s="518" t="str">
        <f>IF(AND(_AC4="A-319",'2023'!$H$4="FO",'2023'!$H$2=BO157),'2023DATA'!$J$32,"")</f>
        <v/>
      </c>
      <c r="BP187" s="518" t="str">
        <f>IF(AND(_AC4="A-319",'2023'!$H$4="FO",'2023'!$H$2=BP157),'2023DATA'!$K$32,"")</f>
        <v/>
      </c>
      <c r="BQ187" s="518" t="str">
        <f>IF(AND(_AC4="A-319",'2023'!$H$4="FO",'2023'!$H$2=BQ157),'2023DATA'!$L$32,"")</f>
        <v/>
      </c>
      <c r="BR187" s="518" t="str">
        <f>IF(AND(_AC4="A-319",'2023'!$H$4="FO",'2023'!$H$2=BR157),'2023DATA'!$M$32,"")</f>
        <v/>
      </c>
      <c r="BS187" s="520" t="str">
        <f>IF(AND(_AC4="A-319",'2023'!$H$4="FO",'2023'!$H$2=BS157),'2023DATA'!$N$32,"")</f>
        <v/>
      </c>
      <c r="BT187" s="940"/>
      <c r="BU187" s="13" t="s">
        <v>62</v>
      </c>
      <c r="BV187" s="518" t="str">
        <f>IF(AND(_AC5="A-319",'2023'!$H$4="FO",'2023'!$H$2=BV157),'2023DATA'!$C$32,"")</f>
        <v/>
      </c>
      <c r="BW187" s="518" t="str">
        <f>IF(AND(_AC5="A-319",'2023'!$H$4="FO",'2023'!$H$2=BW157),'2023DATA'!$D$32,"")</f>
        <v/>
      </c>
      <c r="BX187" s="518" t="str">
        <f>IF(AND(_AC5="A-319",'2023'!$H$4="FO",'2023'!$H$2=BX157),'2023DATA'!$E$32,"")</f>
        <v/>
      </c>
      <c r="BY187" s="518" t="str">
        <f>IF(AND(_AC5="A-319",'2023'!$H$4="FO",'2023'!$H$2=BY157),'2023DATA'!$F$32,"")</f>
        <v/>
      </c>
      <c r="BZ187" s="518" t="str">
        <f>IF(AND(_AC5="A-319",'2023'!$H$4="FO",'2023'!$H$2=BZ157),'2023DATA'!$G$32,"")</f>
        <v/>
      </c>
      <c r="CA187" s="518" t="str">
        <f>IF(AND(_AC5="A-319",'2023'!$H$4="FO",'2023'!$H$2=CA157),'2023DATA'!$H$32,"")</f>
        <v/>
      </c>
      <c r="CB187" s="518" t="str">
        <f>IF(AND(_AC5="A-319",'2023'!$H$4="FO",'2023'!$H$2=CB157),'2023DATA'!$I$32,"")</f>
        <v/>
      </c>
      <c r="CC187" s="518" t="str">
        <f>IF(AND(_AC5="A-319",'2023'!$H$4="FO",'2023'!$H$2=CC157),'2023DATA'!$J$32,"")</f>
        <v/>
      </c>
      <c r="CD187" s="518" t="str">
        <f>IF(AND(_AC5="A-319",'2023'!$H$4="FO",'2023'!$H$2=CD157),'2023DATA'!$K$32,"")</f>
        <v/>
      </c>
      <c r="CE187" s="518" t="str">
        <f>IF(AND(_AC5="A-319",'2023'!$H$4="FO",'2023'!$H$2=CE157),'2023DATA'!$L$32,"")</f>
        <v/>
      </c>
      <c r="CF187" s="518" t="str">
        <f>IF(AND(_AC5="A-319",'2023'!$H$4="FO",'2023'!$H$2=CF157),'2023DATA'!$M$32,"")</f>
        <v/>
      </c>
      <c r="CG187" s="520" t="str">
        <f>IF(AND(_AC5="A-319",'2023'!$H$4="FO",'2023'!$H$2=CG157),'2023DATA'!$N$32,"")</f>
        <v/>
      </c>
      <c r="CH187" s="940"/>
      <c r="CI187" s="13" t="s">
        <v>62</v>
      </c>
      <c r="CJ187" s="518" t="str">
        <f>IF(AND(_AC6="A-319",'2023'!$H$4="FO",'2023'!$H$2=CJ157),'2023DATA'!$C$32,"")</f>
        <v/>
      </c>
      <c r="CK187" s="518" t="str">
        <f>IF(AND(_AC6="A-319",'2023'!$H$4="FO",'2023'!$H$2=CK157),'2023DATA'!$D$32,"")</f>
        <v/>
      </c>
      <c r="CL187" s="518" t="str">
        <f>IF(AND(_AC6="A-319",'2023'!$H$4="FO",'2023'!$H$2=CL157),'2023DATA'!$E$32,"")</f>
        <v/>
      </c>
      <c r="CM187" s="518" t="str">
        <f>IF(AND(_AC6="A-319",'2023'!$H$4="FO",'2023'!$H$2=CM157),'2023DATA'!$F$32,"")</f>
        <v/>
      </c>
      <c r="CN187" s="518" t="str">
        <f>IF(AND(_AC6="A-319",'2023'!$H$4="FO",'2023'!$H$2=CN157),'2023DATA'!$G$32,"")</f>
        <v/>
      </c>
      <c r="CO187" s="518" t="str">
        <f>IF(AND(_AC6="A-319",'2023'!$H$4="FO",'2023'!$H$2=CO157),'2023DATA'!$H$32,"")</f>
        <v/>
      </c>
      <c r="CP187" s="518" t="str">
        <f>IF(AND(_AC6="A-319",'2023'!$H$4="FO",'2023'!$H$2=CP157),'2023DATA'!$I$32,"")</f>
        <v/>
      </c>
      <c r="CQ187" s="518" t="str">
        <f>IF(AND(_AC6="A-319",'2023'!$H$4="FO",'2023'!$H$2=CQ157),'2023DATA'!$J$32,"")</f>
        <v/>
      </c>
      <c r="CR187" s="518" t="str">
        <f>IF(AND(_AC6="A-319",'2023'!$H$4="FO",'2023'!$H$2=CR157),'2023DATA'!$K$32,"")</f>
        <v/>
      </c>
      <c r="CS187" s="518" t="str">
        <f>IF(AND(_AC6="A-319",'2023'!$H$4="FO",'2023'!$H$2=CS157),'2023DATA'!$L$32,"")</f>
        <v/>
      </c>
      <c r="CT187" s="518" t="str">
        <f>IF(AND(_AC6="A-319",'2023'!$H$4="FO",'2023'!$H$2=CT157),'2023DATA'!$M$32,"")</f>
        <v/>
      </c>
      <c r="CU187" s="520" t="str">
        <f>IF(AND(_AC6="A-319",'2023'!$H$4="FO",'2023'!$H$2=CU157),'2023DATA'!$N$32,"")</f>
        <v/>
      </c>
    </row>
    <row r="188" spans="16:99" x14ac:dyDescent="0.25">
      <c r="P188" s="940" t="s">
        <v>51</v>
      </c>
      <c r="Q188" s="13" t="s">
        <v>61</v>
      </c>
      <c r="R188" s="518" t="str">
        <f>IF(AND(_AC1="A-220-300",'2023'!$H$4="CA",'2023'!$H$2=R157),'2023DATA'!$C$33,"")</f>
        <v/>
      </c>
      <c r="S188" s="518" t="str">
        <f>IF(AND(_AC1="A-220-300",'2023'!$H$4="CA",'2023'!$H$2=S157),'2023DATA'!$D$33,"")</f>
        <v/>
      </c>
      <c r="T188" s="518" t="str">
        <f>IF(AND(_AC1="A-220-300",'2023'!$H$4="CA",'2023'!$H$2=T157),'2023DATA'!$E$33,"")</f>
        <v/>
      </c>
      <c r="U188" s="518" t="str">
        <f>IF(AND(_AC1="A-220-300",'2023'!$H$4="CA",'2023'!$H$2=U157),'2023DATA'!$F$33,"")</f>
        <v/>
      </c>
      <c r="V188" s="518" t="str">
        <f>IF(AND(_AC1="A-220-300",'2023'!$H$4="CA",'2023'!$H$2=V157),'2023DATA'!$G$33,"")</f>
        <v/>
      </c>
      <c r="W188" s="518" t="str">
        <f>IF(AND(_AC1="A-220-300",'2023'!$H$4="CA",'2023'!$H$2=W157),'2023DATA'!$H$33,"")</f>
        <v/>
      </c>
      <c r="X188" s="518" t="str">
        <f>IF(AND(_AC1="A-220-300",'2023'!$H$4="CA",'2023'!$H$2=X157),'2023DATA'!$I$33,"")</f>
        <v/>
      </c>
      <c r="Y188" s="518" t="str">
        <f>IF(AND(_AC1="A-220-300",'2023'!$H$4="CA",'2023'!$H$2=Y157),'2023DATA'!$J$33,"")</f>
        <v/>
      </c>
      <c r="Z188" s="518" t="str">
        <f>IF(AND(_AC1="A-220-300",'2023'!$H$4="CA",'2023'!$H$2=Z157),'2023DATA'!$K$33,"")</f>
        <v/>
      </c>
      <c r="AA188" s="518" t="str">
        <f>IF(AND(_AC1="A-220-300",'2023'!$H$4="CA",'2023'!$H$2=AA157),'2023DATA'!$L$33,"")</f>
        <v/>
      </c>
      <c r="AB188" s="518" t="str">
        <f>IF(AND(_AC1="A-220-300",'2023'!$H$4="CA",'2023'!$H$2=AB157),'2023DATA'!$M$33,"")</f>
        <v/>
      </c>
      <c r="AC188" s="520" t="str">
        <f>IF(AND(_AC1="A-220-300",'2023'!$H$4="CA",'2023'!$H$2=AC157),'2023DATA'!$N$33,"")</f>
        <v/>
      </c>
      <c r="AD188" s="940" t="s">
        <v>51</v>
      </c>
      <c r="AE188" s="13" t="s">
        <v>61</v>
      </c>
      <c r="AF188" s="518" t="str">
        <f>IF(AND(_AC2="A-220-300",'2023'!$H$4="CA",'2023'!$H$2=AF157),'2023DATA'!$C$33,"")</f>
        <v/>
      </c>
      <c r="AG188" s="518" t="str">
        <f>IF(AND(_AC2="A-220-300",'2023'!$H$4="CA",'2023'!$H$2=AG157),'2023DATA'!$D$33,"")</f>
        <v/>
      </c>
      <c r="AH188" s="518" t="str">
        <f>IF(AND(_AC2="A-220-300",'2023'!$H$4="CA",'2023'!$H$2=AH157),'2023DATA'!$E$33,"")</f>
        <v/>
      </c>
      <c r="AI188" s="518" t="str">
        <f>IF(AND(_AC2="A-220-300",'2023'!$H$4="CA",'2023'!$H$2=AI157),'2023DATA'!$F$33,"")</f>
        <v/>
      </c>
      <c r="AJ188" s="518" t="str">
        <f>IF(AND(_AC2="A-220-300",'2023'!$H$4="CA",'2023'!$H$2=AJ157),'2023DATA'!$G$33,"")</f>
        <v/>
      </c>
      <c r="AK188" s="518" t="str">
        <f>IF(AND(_AC2="A-220-300",'2023'!$H$4="CA",'2023'!$H$2=AK157),'2023DATA'!$H$33,"")</f>
        <v/>
      </c>
      <c r="AL188" s="518" t="str">
        <f>IF(AND(_AC2="A-220-300",'2023'!$H$4="CA",'2023'!$H$2=AL157),'2023DATA'!$I$33,"")</f>
        <v/>
      </c>
      <c r="AM188" s="518" t="str">
        <f>IF(AND(_AC2="A-220-300",'2023'!$H$4="CA",'2023'!$H$2=AM157),'2023DATA'!$J$33,"")</f>
        <v/>
      </c>
      <c r="AN188" s="518" t="str">
        <f>IF(AND(_AC2="A-220-300",'2023'!$H$4="CA",'2023'!$H$2=AN157),'2023DATA'!$K$33,"")</f>
        <v/>
      </c>
      <c r="AO188" s="518" t="str">
        <f>IF(AND(_AC2="A-220-300",'2023'!$H$4="CA",'2023'!$H$2=AO157),'2023DATA'!$L$33,"")</f>
        <v/>
      </c>
      <c r="AP188" s="518" t="str">
        <f>IF(AND(_AC2="A-220-300",'2023'!$H$4="CA",'2023'!$H$2=AP157),'2023DATA'!$M$33,"")</f>
        <v/>
      </c>
      <c r="AQ188" s="520" t="str">
        <f>IF(AND(_AC2="A-220-300",'2023'!$H$4="CA",'2023'!$H$2=AQ157),'2023DATA'!$N$33,"")</f>
        <v/>
      </c>
      <c r="AR188" s="940" t="s">
        <v>51</v>
      </c>
      <c r="AS188" s="13" t="s">
        <v>61</v>
      </c>
      <c r="AT188" s="518" t="str">
        <f>IF(AND(_AC3="A-220-300",'2023'!$H$4="CA",'2023'!$H$2=AT157),'2023DATA'!$C$33,"")</f>
        <v/>
      </c>
      <c r="AU188" s="518" t="str">
        <f>IF(AND(_AC3="A-220-300",'2023'!$H$4="CA",'2023'!$H$2=AU157),'2023DATA'!$D$33,"")</f>
        <v/>
      </c>
      <c r="AV188" s="518" t="str">
        <f>IF(AND(_AC3="A-220-300",'2023'!$H$4="CA",'2023'!$H$2=AV157),'2023DATA'!$E$33,"")</f>
        <v/>
      </c>
      <c r="AW188" s="518" t="str">
        <f>IF(AND(_AC3="A-220-300",'2023'!$H$4="CA",'2023'!$H$2=AW157),'2023DATA'!$F$33,"")</f>
        <v/>
      </c>
      <c r="AX188" s="518" t="str">
        <f>IF(AND(_AC3="A-220-300",'2023'!$H$4="CA",'2023'!$H$2=AX157),'2023DATA'!$G$33,"")</f>
        <v/>
      </c>
      <c r="AY188" s="518" t="str">
        <f>IF(AND(_AC3="A-220-300",'2023'!$H$4="CA",'2023'!$H$2=AY157),'2023DATA'!$H$33,"")</f>
        <v/>
      </c>
      <c r="AZ188" s="518" t="str">
        <f>IF(AND(_AC3="A-220-300",'2023'!$H$4="CA",'2023'!$H$2=AZ157),'2023DATA'!$I$33,"")</f>
        <v/>
      </c>
      <c r="BA188" s="518" t="str">
        <f>IF(AND(_AC3="A-220-300",'2023'!$H$4="CA",'2023'!$H$2=BA157),'2023DATA'!$J$33,"")</f>
        <v/>
      </c>
      <c r="BB188" s="518" t="str">
        <f>IF(AND(_AC3="A-220-300",'2023'!$H$4="CA",'2023'!$H$2=BB157),'2023DATA'!$K$33,"")</f>
        <v/>
      </c>
      <c r="BC188" s="518" t="str">
        <f>IF(AND(_AC3="A-220-300",'2023'!$H$4="CA",'2023'!$H$2=BC157),'2023DATA'!$L$33,"")</f>
        <v/>
      </c>
      <c r="BD188" s="518" t="str">
        <f>IF(AND(_AC3="A-220-300",'2023'!$H$4="CA",'2023'!$H$2=BD157),'2023DATA'!$M$33,"")</f>
        <v/>
      </c>
      <c r="BE188" s="520" t="str">
        <f>IF(AND(_AC3="A-220-300",'2023'!$H$4="CA",'2023'!$H$2=BE157),'2023DATA'!$N$33,"")</f>
        <v/>
      </c>
      <c r="BF188" s="940" t="s">
        <v>51</v>
      </c>
      <c r="BG188" s="13" t="s">
        <v>61</v>
      </c>
      <c r="BH188" s="518" t="str">
        <f>IF(AND(_AC4="A-220-300",'2023'!$H$4="CA",'2023'!$H$2=BH157),'2023DATA'!$C$33,"")</f>
        <v/>
      </c>
      <c r="BI188" s="518" t="str">
        <f>IF(AND(_AC4="A-220-300",'2023'!$H$4="CA",'2023'!$H$2=BI157),'2023DATA'!$D$33,"")</f>
        <v/>
      </c>
      <c r="BJ188" s="518" t="str">
        <f>IF(AND(_AC4="A-220-300",'2023'!$H$4="CA",'2023'!$H$2=BJ157),'2023DATA'!$E$33,"")</f>
        <v/>
      </c>
      <c r="BK188" s="518" t="str">
        <f>IF(AND(_AC4="A-220-300",'2023'!$H$4="CA",'2023'!$H$2=BK157),'2023DATA'!$F$33,"")</f>
        <v/>
      </c>
      <c r="BL188" s="518" t="str">
        <f>IF(AND(_AC4="A-220-300",'2023'!$H$4="CA",'2023'!$H$2=BL157),'2023DATA'!$G$33,"")</f>
        <v/>
      </c>
      <c r="BM188" s="518" t="str">
        <f>IF(AND(_AC4="A-220-300",'2023'!$H$4="CA",'2023'!$H$2=BM157),'2023DATA'!$H$33,"")</f>
        <v/>
      </c>
      <c r="BN188" s="518" t="str">
        <f>IF(AND(_AC4="A-220-300",'2023'!$H$4="CA",'2023'!$H$2=BN157),'2023DATA'!$I$33,"")</f>
        <v/>
      </c>
      <c r="BO188" s="518" t="str">
        <f>IF(AND(_AC4="A-220-300",'2023'!$H$4="CA",'2023'!$H$2=BO157),'2023DATA'!$J$33,"")</f>
        <v/>
      </c>
      <c r="BP188" s="518" t="str">
        <f>IF(AND(_AC4="A-220-300",'2023'!$H$4="CA",'2023'!$H$2=BP157),'2023DATA'!$K$33,"")</f>
        <v/>
      </c>
      <c r="BQ188" s="518" t="str">
        <f>IF(AND(_AC4="A-220-300",'2023'!$H$4="CA",'2023'!$H$2=BQ157),'2023DATA'!$L$33,"")</f>
        <v/>
      </c>
      <c r="BR188" s="518" t="str">
        <f>IF(AND(_AC4="A-220-300",'2023'!$H$4="CA",'2023'!$H$2=BR157),'2023DATA'!$M$33,"")</f>
        <v/>
      </c>
      <c r="BS188" s="520" t="str">
        <f>IF(AND(_AC4="A-220-300",'2023'!$H$4="CA",'2023'!$H$2=BS157),'2023DATA'!$N$33,"")</f>
        <v/>
      </c>
      <c r="BT188" s="940" t="s">
        <v>51</v>
      </c>
      <c r="BU188" s="13" t="s">
        <v>61</v>
      </c>
      <c r="BV188" s="518" t="str">
        <f>IF(AND(_AC5="A-220-300",'2023'!$H$4="CA",'2023'!$H$2=BV157),'2023DATA'!$C$33,"")</f>
        <v/>
      </c>
      <c r="BW188" s="518" t="str">
        <f>IF(AND(_AC5="A-220-300",'2023'!$H$4="CA",'2023'!$H$2=BW157),'2023DATA'!$D$33,"")</f>
        <v/>
      </c>
      <c r="BX188" s="518" t="str">
        <f>IF(AND(_AC5="A-220-300",'2023'!$H$4="CA",'2023'!$H$2=BX157),'2023DATA'!$E$33,"")</f>
        <v/>
      </c>
      <c r="BY188" s="518" t="str">
        <f>IF(AND(_AC5="A-220-300",'2023'!$H$4="CA",'2023'!$H$2=BY157),'2023DATA'!$F$33,"")</f>
        <v/>
      </c>
      <c r="BZ188" s="518" t="str">
        <f>IF(AND(_AC5="A-220-300",'2023'!$H$4="CA",'2023'!$H$2=BZ157),'2023DATA'!$G$33,"")</f>
        <v/>
      </c>
      <c r="CA188" s="518" t="str">
        <f>IF(AND(_AC5="A-220-300",'2023'!$H$4="CA",'2023'!$H$2=CA157),'2023DATA'!$H$33,"")</f>
        <v/>
      </c>
      <c r="CB188" s="518" t="str">
        <f>IF(AND(_AC5="A-220-300",'2023'!$H$4="CA",'2023'!$H$2=CB157),'2023DATA'!$I$33,"")</f>
        <v/>
      </c>
      <c r="CC188" s="518" t="str">
        <f>IF(AND(_AC5="A-220-300",'2023'!$H$4="CA",'2023'!$H$2=CC157),'2023DATA'!$J$33,"")</f>
        <v/>
      </c>
      <c r="CD188" s="518" t="str">
        <f>IF(AND(_AC5="A-220-300",'2023'!$H$4="CA",'2023'!$H$2=CD157),'2023DATA'!$K$33,"")</f>
        <v/>
      </c>
      <c r="CE188" s="518" t="str">
        <f>IF(AND(_AC5="A-220-300",'2023'!$H$4="CA",'2023'!$H$2=CE157),'2023DATA'!$L$33,"")</f>
        <v/>
      </c>
      <c r="CF188" s="518" t="str">
        <f>IF(AND(_AC5="A-220-300",'2023'!$H$4="CA",'2023'!$H$2=CF157),'2023DATA'!$M$33,"")</f>
        <v/>
      </c>
      <c r="CG188" s="520" t="str">
        <f>IF(AND(_AC5="A-220-300",'2023'!$H$4="CA",'2023'!$H$2=CG157),'2023DATA'!$N$33,"")</f>
        <v/>
      </c>
      <c r="CH188" s="940" t="s">
        <v>51</v>
      </c>
      <c r="CI188" s="13" t="s">
        <v>61</v>
      </c>
      <c r="CJ188" s="518" t="str">
        <f>IF(AND(_AC6="A-220-300",'2023'!$H$4="CA",'2023'!$H$2=CJ157),'2023DATA'!$C$33,"")</f>
        <v/>
      </c>
      <c r="CK188" s="518" t="str">
        <f>IF(AND(_AC6="A-220-300",'2023'!$H$4="CA",'2023'!$H$2=CK157),'2023DATA'!$D$33,"")</f>
        <v/>
      </c>
      <c r="CL188" s="518" t="str">
        <f>IF(AND(_AC6="A-220-300",'2023'!$H$4="CA",'2023'!$H$2=CL157),'2023DATA'!$E$33,"")</f>
        <v/>
      </c>
      <c r="CM188" s="518" t="str">
        <f>IF(AND(_AC6="A-220-300",'2023'!$H$4="CA",'2023'!$H$2=CM157),'2023DATA'!$F$33,"")</f>
        <v/>
      </c>
      <c r="CN188" s="518" t="str">
        <f>IF(AND(_AC6="A-220-300",'2023'!$H$4="CA",'2023'!$H$2=CN157),'2023DATA'!$G$33,"")</f>
        <v/>
      </c>
      <c r="CO188" s="518" t="str">
        <f>IF(AND(_AC6="A-220-300",'2023'!$H$4="CA",'2023'!$H$2=CO157),'2023DATA'!$H$33,"")</f>
        <v/>
      </c>
      <c r="CP188" s="518" t="str">
        <f>IF(AND(_AC6="A-220-300",'2023'!$H$4="CA",'2023'!$H$2=CP157),'2023DATA'!$I$33,"")</f>
        <v/>
      </c>
      <c r="CQ188" s="518" t="str">
        <f>IF(AND(_AC6="A-220-300",'2023'!$H$4="CA",'2023'!$H$2=CQ157),'2023DATA'!$J$33,"")</f>
        <v/>
      </c>
      <c r="CR188" s="518" t="str">
        <f>IF(AND(_AC6="A-220-300",'2023'!$H$4="CA",'2023'!$H$2=CR157),'2023DATA'!$K$33,"")</f>
        <v/>
      </c>
      <c r="CS188" s="518" t="str">
        <f>IF(AND(_AC6="A-220-300",'2023'!$H$4="CA",'2023'!$H$2=CS157),'2023DATA'!$L$33,"")</f>
        <v/>
      </c>
      <c r="CT188" s="518" t="str">
        <f>IF(AND(_AC6="A-220-300",'2023'!$H$4="CA",'2023'!$H$2=CT157),'2023DATA'!$M$33,"")</f>
        <v/>
      </c>
      <c r="CU188" s="520" t="str">
        <f>IF(AND(_AC6="A-220-300",'2023'!$H$4="CA",'2023'!$H$2=CU157),'2023DATA'!$N$33,"")</f>
        <v/>
      </c>
    </row>
    <row r="189" spans="16:99" x14ac:dyDescent="0.25">
      <c r="P189" s="940"/>
      <c r="Q189" s="13" t="s">
        <v>62</v>
      </c>
      <c r="R189" s="518" t="str">
        <f>IF(AND(_AC1="A-220-300",'2023'!$H$4="FO",'2023'!$H$2=R157),'2023DATA'!$C$34,"")</f>
        <v/>
      </c>
      <c r="S189" s="518" t="str">
        <f>IF(AND(_AC1="A-220-300",'2023'!$H$4="FO",'2023'!$H$2=S157),'2023DATA'!$D$34,"")</f>
        <v/>
      </c>
      <c r="T189" s="518" t="str">
        <f>IF(AND(_AC1="A-220-300",'2023'!$H$4="FO",'2023'!$H$2=T157),'2023DATA'!$E$34,"")</f>
        <v/>
      </c>
      <c r="U189" s="518" t="str">
        <f>IF(AND(_AC1="A-220-300",'2023'!$H$4="FO",'2023'!$H$2=U157),'2023DATA'!$F$34,"")</f>
        <v/>
      </c>
      <c r="V189" s="518" t="str">
        <f>IF(AND(_AC1="A-220-300",'2023'!$H$4="FO",'2023'!$H$2=V157),'2023DATA'!$G$34,"")</f>
        <v/>
      </c>
      <c r="W189" s="518" t="str">
        <f>IF(AND(_AC1="A-220-300",'2023'!$H$4="FO",'2023'!$H$2=W157),'2023DATA'!$H$34,"")</f>
        <v/>
      </c>
      <c r="X189" s="518" t="str">
        <f>IF(AND(_AC1="A-220-300",'2023'!$H$4="FO",'2023'!$H$2=X157),'2023DATA'!$I$34,"")</f>
        <v/>
      </c>
      <c r="Y189" s="518" t="str">
        <f>IF(AND(_AC1="A-220-300",'2023'!$H$4="FO",'2023'!$H$2=Y157),'2023DATA'!$J$34,"")</f>
        <v/>
      </c>
      <c r="Z189" s="518" t="str">
        <f>IF(AND(_AC1="A-220-300",'2023'!$H$4="FO",'2023'!$H$2=Z157),'2023DATA'!$K$34,"")</f>
        <v/>
      </c>
      <c r="AA189" s="518" t="str">
        <f>IF(AND(_AC1="A-220-300",'2023'!$H$4="FO",'2023'!$H$2=AA157),'2023DATA'!$L$34,"")</f>
        <v/>
      </c>
      <c r="AB189" s="518" t="str">
        <f>IF(AND(_AC1="A-220-300",'2023'!$H$4="FO",'2023'!$H$2=AB157),'2023DATA'!$M$34,"")</f>
        <v/>
      </c>
      <c r="AC189" s="520" t="str">
        <f>IF(AND(_AC1="A-220-300",'2023'!$H$4="FO",'2023'!$H$2=AC157),'2023DATA'!$N$34,"")</f>
        <v/>
      </c>
      <c r="AD189" s="940"/>
      <c r="AE189" s="13" t="s">
        <v>62</v>
      </c>
      <c r="AF189" s="518" t="str">
        <f>IF(AND(_AC2="A-220-300",'2023'!$H$4="FO",'2023'!$H$2=AF157),'2023DATA'!$C$34,"")</f>
        <v/>
      </c>
      <c r="AG189" s="518" t="str">
        <f>IF(AND(_AC2="A-220-300",'2023'!$H$4="FO",'2023'!$H$2=AG157),'2023DATA'!$D$34,"")</f>
        <v/>
      </c>
      <c r="AH189" s="518" t="str">
        <f>IF(AND(_AC2="A-220-300",'2023'!$H$4="FO",'2023'!$H$2=AH157),'2023DATA'!$E$34,"")</f>
        <v/>
      </c>
      <c r="AI189" s="518" t="str">
        <f>IF(AND(_AC2="A-220-300",'2023'!$H$4="FO",'2023'!$H$2=AI157),'2023DATA'!$F$34,"")</f>
        <v/>
      </c>
      <c r="AJ189" s="518" t="str">
        <f>IF(AND(_AC2="A-220-300",'2023'!$H$4="FO",'2023'!$H$2=AJ157),'2023DATA'!$G$34,"")</f>
        <v/>
      </c>
      <c r="AK189" s="518" t="str">
        <f>IF(AND(_AC2="A-220-300",'2023'!$H$4="FO",'2023'!$H$2=AK157),'2023DATA'!$H$34,"")</f>
        <v/>
      </c>
      <c r="AL189" s="518" t="str">
        <f>IF(AND(_AC2="A-220-300",'2023'!$H$4="FO",'2023'!$H$2=AL157),'2023DATA'!$I$34,"")</f>
        <v/>
      </c>
      <c r="AM189" s="518" t="str">
        <f>IF(AND(_AC2="A-220-300",'2023'!$H$4="FO",'2023'!$H$2=AM157),'2023DATA'!$J$34,"")</f>
        <v/>
      </c>
      <c r="AN189" s="518" t="str">
        <f>IF(AND(_AC2="A-220-300",'2023'!$H$4="FO",'2023'!$H$2=AN157),'2023DATA'!$K$34,"")</f>
        <v/>
      </c>
      <c r="AO189" s="518" t="str">
        <f>IF(AND(_AC2="A-220-300",'2023'!$H$4="FO",'2023'!$H$2=AO157),'2023DATA'!$L$34,"")</f>
        <v/>
      </c>
      <c r="AP189" s="518" t="str">
        <f>IF(AND(_AC2="A-220-300",'2023'!$H$4="FO",'2023'!$H$2=AP157),'2023DATA'!$M$34,"")</f>
        <v/>
      </c>
      <c r="AQ189" s="520" t="str">
        <f>IF(AND(_AC2="A-220-300",'2023'!$H$4="FO",'2023'!$H$2=AQ157),'2023DATA'!$N$34,"")</f>
        <v/>
      </c>
      <c r="AR189" s="940"/>
      <c r="AS189" s="13" t="s">
        <v>62</v>
      </c>
      <c r="AT189" s="518" t="str">
        <f>IF(AND(_AC3="A-220-300",'2023'!$H$4="FO",'2023'!$H$2=AT157),'2023DATA'!$C$34,"")</f>
        <v/>
      </c>
      <c r="AU189" s="518" t="str">
        <f>IF(AND(_AC3="A-220-300",'2023'!$H$4="FO",'2023'!$H$2=AU157),'2023DATA'!$D$34,"")</f>
        <v/>
      </c>
      <c r="AV189" s="518" t="str">
        <f>IF(AND(_AC3="A-220-300",'2023'!$H$4="FO",'2023'!$H$2=AV157),'2023DATA'!$E$34,"")</f>
        <v/>
      </c>
      <c r="AW189" s="518" t="str">
        <f>IF(AND(_AC3="A-220-300",'2023'!$H$4="FO",'2023'!$H$2=AW157),'2023DATA'!$F$34,"")</f>
        <v/>
      </c>
      <c r="AX189" s="518" t="str">
        <f>IF(AND(_AC3="A-220-300",'2023'!$H$4="FO",'2023'!$H$2=AX157),'2023DATA'!$G$34,"")</f>
        <v/>
      </c>
      <c r="AY189" s="518" t="str">
        <f>IF(AND(_AC3="A-220-300",'2023'!$H$4="FO",'2023'!$H$2=AY157),'2023DATA'!$H$34,"")</f>
        <v/>
      </c>
      <c r="AZ189" s="518" t="str">
        <f>IF(AND(_AC3="A-220-300",'2023'!$H$4="FO",'2023'!$H$2=AZ157),'2023DATA'!$I$34,"")</f>
        <v/>
      </c>
      <c r="BA189" s="518" t="str">
        <f>IF(AND(_AC3="A-220-300",'2023'!$H$4="FO",'2023'!$H$2=BA157),'2023DATA'!$J$34,"")</f>
        <v/>
      </c>
      <c r="BB189" s="518" t="str">
        <f>IF(AND(_AC3="A-220-300",'2023'!$H$4="FO",'2023'!$H$2=BB157),'2023DATA'!$K$34,"")</f>
        <v/>
      </c>
      <c r="BC189" s="518" t="str">
        <f>IF(AND(_AC3="A-220-300",'2023'!$H$4="FO",'2023'!$H$2=BC157),'2023DATA'!$L$34,"")</f>
        <v/>
      </c>
      <c r="BD189" s="518" t="str">
        <f>IF(AND(_AC3="A-220-300",'2023'!$H$4="FO",'2023'!$H$2=BD157),'2023DATA'!$M$34,"")</f>
        <v/>
      </c>
      <c r="BE189" s="520" t="str">
        <f>IF(AND(_AC3="A-220-300",'2023'!$H$4="FO",'2023'!$H$2=BE157),'2023DATA'!$N$34,"")</f>
        <v/>
      </c>
      <c r="BF189" s="940"/>
      <c r="BG189" s="13" t="s">
        <v>62</v>
      </c>
      <c r="BH189" s="518" t="str">
        <f>IF(AND(_AC4="A-220-300",'2023'!$H$4="FO",'2023'!$H$2=BH157),'2023DATA'!$C$34,"")</f>
        <v/>
      </c>
      <c r="BI189" s="518" t="str">
        <f>IF(AND(_AC4="A-220-300",'2023'!$H$4="FO",'2023'!$H$2=BI157),'2023DATA'!$D$34,"")</f>
        <v/>
      </c>
      <c r="BJ189" s="518" t="str">
        <f>IF(AND(_AC4="A-220-300",'2023'!$H$4="FO",'2023'!$H$2=BJ157),'2023DATA'!$E$34,"")</f>
        <v/>
      </c>
      <c r="BK189" s="518" t="str">
        <f>IF(AND(_AC4="A-220-300",'2023'!$H$4="FO",'2023'!$H$2=BK157),'2023DATA'!$F$34,"")</f>
        <v/>
      </c>
      <c r="BL189" s="518" t="str">
        <f>IF(AND(_AC4="A-220-300",'2023'!$H$4="FO",'2023'!$H$2=BL157),'2023DATA'!$G$34,"")</f>
        <v/>
      </c>
      <c r="BM189" s="518" t="str">
        <f>IF(AND(_AC4="A-220-300",'2023'!$H$4="FO",'2023'!$H$2=BM157),'2023DATA'!$H$34,"")</f>
        <v/>
      </c>
      <c r="BN189" s="518" t="str">
        <f>IF(AND(_AC4="A-220-300",'2023'!$H$4="FO",'2023'!$H$2=BN157),'2023DATA'!$I$34,"")</f>
        <v/>
      </c>
      <c r="BO189" s="518" t="str">
        <f>IF(AND(_AC4="A-220-300",'2023'!$H$4="FO",'2023'!$H$2=BO157),'2023DATA'!$J$34,"")</f>
        <v/>
      </c>
      <c r="BP189" s="518" t="str">
        <f>IF(AND(_AC4="A-220-300",'2023'!$H$4="FO",'2023'!$H$2=BP157),'2023DATA'!$K$34,"")</f>
        <v/>
      </c>
      <c r="BQ189" s="518" t="str">
        <f>IF(AND(_AC4="A-220-300",'2023'!$H$4="FO",'2023'!$H$2=BQ157),'2023DATA'!$L$34,"")</f>
        <v/>
      </c>
      <c r="BR189" s="518" t="str">
        <f>IF(AND(_AC4="A-220-300",'2023'!$H$4="FO",'2023'!$H$2=BR157),'2023DATA'!$M$34,"")</f>
        <v/>
      </c>
      <c r="BS189" s="520" t="str">
        <f>IF(AND(_AC4="A-220-300",'2023'!$H$4="FO",'2023'!$H$2=BS157),'2023DATA'!$N$34,"")</f>
        <v/>
      </c>
      <c r="BT189" s="940"/>
      <c r="BU189" s="13" t="s">
        <v>62</v>
      </c>
      <c r="BV189" s="518" t="str">
        <f>IF(AND(_AC5="A-220-300",'2023'!$H$4="FO",'2023'!$H$2=BV157),'2023DATA'!$C$34,"")</f>
        <v/>
      </c>
      <c r="BW189" s="518" t="str">
        <f>IF(AND(_AC5="A-220-300",'2023'!$H$4="FO",'2023'!$H$2=BW157),'2023DATA'!$D$34,"")</f>
        <v/>
      </c>
      <c r="BX189" s="518" t="str">
        <f>IF(AND(_AC5="A-220-300",'2023'!$H$4="FO",'2023'!$H$2=BX157),'2023DATA'!$E$34,"")</f>
        <v/>
      </c>
      <c r="BY189" s="518" t="str">
        <f>IF(AND(_AC5="A-220-300",'2023'!$H$4="FO",'2023'!$H$2=BY157),'2023DATA'!$F$34,"")</f>
        <v/>
      </c>
      <c r="BZ189" s="518" t="str">
        <f>IF(AND(_AC5="A-220-300",'2023'!$H$4="FO",'2023'!$H$2=BZ157),'2023DATA'!$G$34,"")</f>
        <v/>
      </c>
      <c r="CA189" s="518" t="str">
        <f>IF(AND(_AC5="A-220-300",'2023'!$H$4="FO",'2023'!$H$2=CA157),'2023DATA'!$H$34,"")</f>
        <v/>
      </c>
      <c r="CB189" s="518" t="str">
        <f>IF(AND(_AC5="A-220-300",'2023'!$H$4="FO",'2023'!$H$2=CB157),'2023DATA'!$I$34,"")</f>
        <v/>
      </c>
      <c r="CC189" s="518" t="str">
        <f>IF(AND(_AC5="A-220-300",'2023'!$H$4="FO",'2023'!$H$2=CC157),'2023DATA'!$J$34,"")</f>
        <v/>
      </c>
      <c r="CD189" s="518" t="str">
        <f>IF(AND(_AC5="A-220-300",'2023'!$H$4="FO",'2023'!$H$2=CD157),'2023DATA'!$K$34,"")</f>
        <v/>
      </c>
      <c r="CE189" s="518" t="str">
        <f>IF(AND(_AC5="A-220-300",'2023'!$H$4="FO",'2023'!$H$2=CE157),'2023DATA'!$L$34,"")</f>
        <v/>
      </c>
      <c r="CF189" s="518" t="str">
        <f>IF(AND(_AC5="A-220-300",'2023'!$H$4="FO",'2023'!$H$2=CF157),'2023DATA'!$M$34,"")</f>
        <v/>
      </c>
      <c r="CG189" s="520" t="str">
        <f>IF(AND(_AC5="A-220-300",'2023'!$H$4="FO",'2023'!$H$2=CG157),'2023DATA'!$N$34,"")</f>
        <v/>
      </c>
      <c r="CH189" s="940"/>
      <c r="CI189" s="13" t="s">
        <v>62</v>
      </c>
      <c r="CJ189" s="518" t="str">
        <f>IF(AND(_AC6="A-220-300",'2023'!$H$4="FO",'2023'!$H$2=CJ157),'2023DATA'!$C$34,"")</f>
        <v/>
      </c>
      <c r="CK189" s="518" t="str">
        <f>IF(AND(_AC6="A-220-300",'2023'!$H$4="FO",'2023'!$H$2=CK157),'2023DATA'!$D$34,"")</f>
        <v/>
      </c>
      <c r="CL189" s="518" t="str">
        <f>IF(AND(_AC6="A-220-300",'2023'!$H$4="FO",'2023'!$H$2=CL157),'2023DATA'!$E$34,"")</f>
        <v/>
      </c>
      <c r="CM189" s="518" t="str">
        <f>IF(AND(_AC6="A-220-300",'2023'!$H$4="FO",'2023'!$H$2=CM157),'2023DATA'!$F$34,"")</f>
        <v/>
      </c>
      <c r="CN189" s="518" t="str">
        <f>IF(AND(_AC6="A-220-300",'2023'!$H$4="FO",'2023'!$H$2=CN157),'2023DATA'!$G$34,"")</f>
        <v/>
      </c>
      <c r="CO189" s="518" t="str">
        <f>IF(AND(_AC6="A-220-300",'2023'!$H$4="FO",'2023'!$H$2=CO157),'2023DATA'!$H$34,"")</f>
        <v/>
      </c>
      <c r="CP189" s="518" t="str">
        <f>IF(AND(_AC6="A-220-300",'2023'!$H$4="FO",'2023'!$H$2=CP157),'2023DATA'!$I$34,"")</f>
        <v/>
      </c>
      <c r="CQ189" s="518" t="str">
        <f>IF(AND(_AC6="A-220-300",'2023'!$H$4="FO",'2023'!$H$2=CQ157),'2023DATA'!$J$34,"")</f>
        <v/>
      </c>
      <c r="CR189" s="518" t="str">
        <f>IF(AND(_AC6="A-220-300",'2023'!$H$4="FO",'2023'!$H$2=CR157),'2023DATA'!$K$34,"")</f>
        <v/>
      </c>
      <c r="CS189" s="518" t="str">
        <f>IF(AND(_AC6="A-220-300",'2023'!$H$4="FO",'2023'!$H$2=CS157),'2023DATA'!$L$34,"")</f>
        <v/>
      </c>
      <c r="CT189" s="518" t="str">
        <f>IF(AND(_AC6="A-220-300",'2023'!$H$4="FO",'2023'!$H$2=CT157),'2023DATA'!$M$34,"")</f>
        <v/>
      </c>
      <c r="CU189" s="520" t="str">
        <f>IF(AND(_AC6="A-220-300",'2023'!$H$4="FO",'2023'!$H$2=CU157),'2023DATA'!$N$34,"")</f>
        <v/>
      </c>
    </row>
    <row r="190" spans="16:99" x14ac:dyDescent="0.25">
      <c r="P190" s="940" t="s">
        <v>52</v>
      </c>
      <c r="Q190" s="13" t="s">
        <v>61</v>
      </c>
      <c r="R190" s="518" t="str">
        <f>IF(AND(_AC1="A-220-100",'2023'!$H$4="CA",'2023'!$H$2=R157),'2023DATA'!$C$35,"")</f>
        <v/>
      </c>
      <c r="S190" s="518" t="str">
        <f>IF(AND(_AC1="A-220-100",'2023'!$H$4="CA",'2023'!$H$2=S157),'2023DATA'!$D$35,"")</f>
        <v/>
      </c>
      <c r="T190" s="518" t="str">
        <f>IF(AND(_AC1="A-220-100",'2023'!$H$4="CA",'2023'!$H$2=T157),'2023DATA'!$E$35,"")</f>
        <v/>
      </c>
      <c r="U190" s="518" t="str">
        <f>IF(AND(_AC1="A-220-100",'2023'!$H$4="CA",'2023'!$H$2=U157),'2023DATA'!$F$35,"")</f>
        <v/>
      </c>
      <c r="V190" s="518" t="str">
        <f>IF(AND(_AC1="A-220-100",'2023'!$H$4="CA",'2023'!$H$2=V157),'2023DATA'!$G$35,"")</f>
        <v/>
      </c>
      <c r="W190" s="518" t="str">
        <f>IF(AND(_AC1="A-220-100",'2023'!$H$4="CA",'2023'!$H$2=W157),'2023DATA'!$H$35,"")</f>
        <v/>
      </c>
      <c r="X190" s="518" t="str">
        <f>IF(AND(_AC1="A-220-100",'2023'!$H$4="CA",'2023'!$H$2=X157),'2023DATA'!$I$35,"")</f>
        <v/>
      </c>
      <c r="Y190" s="518" t="str">
        <f>IF(AND(_AC1="A-220-100",'2023'!$H$4="CA",'2023'!$H$2=Y157),'2023DATA'!$J$35,"")</f>
        <v/>
      </c>
      <c r="Z190" s="518" t="str">
        <f>IF(AND(_AC1="A-220-100",'2023'!$H$4="CA",'2023'!$H$2=Z157),'2023DATA'!$K$35,"")</f>
        <v/>
      </c>
      <c r="AA190" s="518" t="str">
        <f>IF(AND(_AC1="A-220-100",'2023'!$H$4="CA",'2023'!$H$2=AA157),'2023DATA'!$L$35,"")</f>
        <v/>
      </c>
      <c r="AB190" s="518" t="str">
        <f>IF(AND(_AC1="A-220-100",'2023'!$H$4="CA",'2023'!$H$2=AB157),'2023DATA'!$M$35,"")</f>
        <v/>
      </c>
      <c r="AC190" s="520" t="str">
        <f>IF(AND(_AC1="A-220-100",'2023'!$H$4="CA",'2023'!$H$2=AC157),'2023DATA'!$N$35,"")</f>
        <v/>
      </c>
      <c r="AD190" s="940" t="s">
        <v>52</v>
      </c>
      <c r="AE190" s="13" t="s">
        <v>61</v>
      </c>
      <c r="AF190" s="518" t="str">
        <f>IF(AND(_AC2="A-220-100",'2023'!$H$4="CA",'2023'!$H$2=AF157),'2023DATA'!$C$35,"")</f>
        <v/>
      </c>
      <c r="AG190" s="518" t="str">
        <f>IF(AND(_AC2="A-220-100",'2023'!$H$4="CA",'2023'!$H$2=AG157),'2023DATA'!$D$35,"")</f>
        <v/>
      </c>
      <c r="AH190" s="518" t="str">
        <f>IF(AND(_AC2="A-220-100",'2023'!$H$4="CA",'2023'!$H$2=AH157),'2023DATA'!$E$35,"")</f>
        <v/>
      </c>
      <c r="AI190" s="518" t="str">
        <f>IF(AND(_AC2="A-220-100",'2023'!$H$4="CA",'2023'!$H$2=AI157),'2023DATA'!$F$35,"")</f>
        <v/>
      </c>
      <c r="AJ190" s="518" t="str">
        <f>IF(AND(_AC2="A-220-100",'2023'!$H$4="CA",'2023'!$H$2=AJ157),'2023DATA'!$G$35,"")</f>
        <v/>
      </c>
      <c r="AK190" s="518" t="str">
        <f>IF(AND(_AC2="A-220-100",'2023'!$H$4="CA",'2023'!$H$2=AK157),'2023DATA'!$H$35,"")</f>
        <v/>
      </c>
      <c r="AL190" s="518" t="str">
        <f>IF(AND(_AC2="A-220-100",'2023'!$H$4="CA",'2023'!$H$2=AL157),'2023DATA'!$I$35,"")</f>
        <v/>
      </c>
      <c r="AM190" s="518" t="str">
        <f>IF(AND(_AC2="A-220-100",'2023'!$H$4="CA",'2023'!$H$2=AM157),'2023DATA'!$J$35,"")</f>
        <v/>
      </c>
      <c r="AN190" s="518" t="str">
        <f>IF(AND(_AC2="A-220-100",'2023'!$H$4="CA",'2023'!$H$2=AN157),'2023DATA'!$K$35,"")</f>
        <v/>
      </c>
      <c r="AO190" s="518" t="str">
        <f>IF(AND(_AC2="A-220-100",'2023'!$H$4="CA",'2023'!$H$2=AO157),'2023DATA'!$L$35,"")</f>
        <v/>
      </c>
      <c r="AP190" s="518" t="str">
        <f>IF(AND(_AC2="A-220-100",'2023'!$H$4="CA",'2023'!$H$2=AP157),'2023DATA'!$M$35,"")</f>
        <v/>
      </c>
      <c r="AQ190" s="520" t="str">
        <f>IF(AND(_AC2="A-220-100",'2023'!$H$4="CA",'2023'!$H$2=AQ157),'2023DATA'!$N$35,"")</f>
        <v/>
      </c>
      <c r="AR190" s="940" t="s">
        <v>52</v>
      </c>
      <c r="AS190" s="13" t="s">
        <v>61</v>
      </c>
      <c r="AT190" s="518" t="str">
        <f>IF(AND(_AC3="A-220-100",'2023'!$H$4="CA",'2023'!$H$2=AT157),'2023DATA'!$C$35,"")</f>
        <v/>
      </c>
      <c r="AU190" s="518" t="str">
        <f>IF(AND(_AC3="A-220-100",'2023'!$H$4="CA",'2023'!$H$2=AU157),'2023DATA'!$D$35,"")</f>
        <v/>
      </c>
      <c r="AV190" s="518" t="str">
        <f>IF(AND(_AC3="A-220-100",'2023'!$H$4="CA",'2023'!$H$2=AV157),'2023DATA'!$E$35,"")</f>
        <v/>
      </c>
      <c r="AW190" s="518" t="str">
        <f>IF(AND(_AC3="A-220-100",'2023'!$H$4="CA",'2023'!$H$2=AW157),'2023DATA'!$F$35,"")</f>
        <v/>
      </c>
      <c r="AX190" s="518" t="str">
        <f>IF(AND(_AC3="A-220-100",'2023'!$H$4="CA",'2023'!$H$2=AX157),'2023DATA'!$G$35,"")</f>
        <v/>
      </c>
      <c r="AY190" s="518" t="str">
        <f>IF(AND(_AC3="A-220-100",'2023'!$H$4="CA",'2023'!$H$2=AY157),'2023DATA'!$H$35,"")</f>
        <v/>
      </c>
      <c r="AZ190" s="518" t="str">
        <f>IF(AND(_AC3="A-220-100",'2023'!$H$4="CA",'2023'!$H$2=AZ157),'2023DATA'!$I$35,"")</f>
        <v/>
      </c>
      <c r="BA190" s="518" t="str">
        <f>IF(AND(_AC3="A-220-100",'2023'!$H$4="CA",'2023'!$H$2=BA157),'2023DATA'!$J$35,"")</f>
        <v/>
      </c>
      <c r="BB190" s="518" t="str">
        <f>IF(AND(_AC3="A-220-100",'2023'!$H$4="CA",'2023'!$H$2=BB157),'2023DATA'!$K$35,"")</f>
        <v/>
      </c>
      <c r="BC190" s="518" t="str">
        <f>IF(AND(_AC3="A-220-100",'2023'!$H$4="CA",'2023'!$H$2=BC157),'2023DATA'!$L$35,"")</f>
        <v/>
      </c>
      <c r="BD190" s="518" t="str">
        <f>IF(AND(_AC3="A-220-100",'2023'!$H$4="CA",'2023'!$H$2=BD157),'2023DATA'!$M$35,"")</f>
        <v/>
      </c>
      <c r="BE190" s="520" t="str">
        <f>IF(AND(_AC3="A-220-100",'2023'!$H$4="CA",'2023'!$H$2=BE157),'2023DATA'!$N$35,"")</f>
        <v/>
      </c>
      <c r="BF190" s="940" t="s">
        <v>52</v>
      </c>
      <c r="BG190" s="13" t="s">
        <v>61</v>
      </c>
      <c r="BH190" s="518" t="str">
        <f>IF(AND(_AC4="A-220-100",'2023'!$H$4="CA",'2023'!$H$2=BH157),'2023DATA'!$C$35,"")</f>
        <v/>
      </c>
      <c r="BI190" s="518" t="str">
        <f>IF(AND(_AC4="A-220-100",'2023'!$H$4="CA",'2023'!$H$2=BI157),'2023DATA'!$D$35,"")</f>
        <v/>
      </c>
      <c r="BJ190" s="518" t="str">
        <f>IF(AND(_AC4="A-220-100",'2023'!$H$4="CA",'2023'!$H$2=BJ157),'2023DATA'!$E$35,"")</f>
        <v/>
      </c>
      <c r="BK190" s="518" t="str">
        <f>IF(AND(_AC4="A-220-100",'2023'!$H$4="CA",'2023'!$H$2=BK157),'2023DATA'!$F$35,"")</f>
        <v/>
      </c>
      <c r="BL190" s="518" t="str">
        <f>IF(AND(_AC4="A-220-100",'2023'!$H$4="CA",'2023'!$H$2=BL157),'2023DATA'!$G$35,"")</f>
        <v/>
      </c>
      <c r="BM190" s="518" t="str">
        <f>IF(AND(_AC4="A-220-100",'2023'!$H$4="CA",'2023'!$H$2=BM157),'2023DATA'!$H$35,"")</f>
        <v/>
      </c>
      <c r="BN190" s="518" t="str">
        <f>IF(AND(_AC4="A-220-100",'2023'!$H$4="CA",'2023'!$H$2=BN157),'2023DATA'!$I$35,"")</f>
        <v/>
      </c>
      <c r="BO190" s="518" t="str">
        <f>IF(AND(_AC4="A-220-100",'2023'!$H$4="CA",'2023'!$H$2=BO157),'2023DATA'!$J$35,"")</f>
        <v/>
      </c>
      <c r="BP190" s="518" t="str">
        <f>IF(AND(_AC4="A-220-100",'2023'!$H$4="CA",'2023'!$H$2=BP157),'2023DATA'!$K$35,"")</f>
        <v/>
      </c>
      <c r="BQ190" s="518" t="str">
        <f>IF(AND(_AC4="A-220-100",'2023'!$H$4="CA",'2023'!$H$2=BQ157),'2023DATA'!$L$35,"")</f>
        <v/>
      </c>
      <c r="BR190" s="518" t="str">
        <f>IF(AND(_AC4="A-220-100",'2023'!$H$4="CA",'2023'!$H$2=BR157),'2023DATA'!$M$35,"")</f>
        <v/>
      </c>
      <c r="BS190" s="520" t="str">
        <f>IF(AND(_AC4="A-220-100",'2023'!$H$4="CA",'2023'!$H$2=BS157),'2023DATA'!$N$35,"")</f>
        <v/>
      </c>
      <c r="BT190" s="940" t="s">
        <v>52</v>
      </c>
      <c r="BU190" s="13" t="s">
        <v>61</v>
      </c>
      <c r="BV190" s="518" t="str">
        <f>IF(AND(_AC5="A-220-100",'2023'!$H$4="CA",'2023'!$H$2=BV157),'2023DATA'!$C$35,"")</f>
        <v/>
      </c>
      <c r="BW190" s="518" t="str">
        <f>IF(AND(_AC5="A-220-100",'2023'!$H$4="CA",'2023'!$H$2=BW157),'2023DATA'!$D$35,"")</f>
        <v/>
      </c>
      <c r="BX190" s="518" t="str">
        <f>IF(AND(_AC5="A-220-100",'2023'!$H$4="CA",'2023'!$H$2=BX157),'2023DATA'!$E$35,"")</f>
        <v/>
      </c>
      <c r="BY190" s="518" t="str">
        <f>IF(AND(_AC5="A-220-100",'2023'!$H$4="CA",'2023'!$H$2=BY157),'2023DATA'!$F$35,"")</f>
        <v/>
      </c>
      <c r="BZ190" s="518" t="str">
        <f>IF(AND(_AC5="A-220-100",'2023'!$H$4="CA",'2023'!$H$2=BZ157),'2023DATA'!$G$35,"")</f>
        <v/>
      </c>
      <c r="CA190" s="518" t="str">
        <f>IF(AND(_AC5="A-220-100",'2023'!$H$4="CA",'2023'!$H$2=CA157),'2023DATA'!$H$35,"")</f>
        <v/>
      </c>
      <c r="CB190" s="518" t="str">
        <f>IF(AND(_AC5="A-220-100",'2023'!$H$4="CA",'2023'!$H$2=CB157),'2023DATA'!$I$35,"")</f>
        <v/>
      </c>
      <c r="CC190" s="518" t="str">
        <f>IF(AND(_AC5="A-220-100",'2023'!$H$4="CA",'2023'!$H$2=CC157),'2023DATA'!$J$35,"")</f>
        <v/>
      </c>
      <c r="CD190" s="518" t="str">
        <f>IF(AND(_AC5="A-220-100",'2023'!$H$4="CA",'2023'!$H$2=CD157),'2023DATA'!$K$35,"")</f>
        <v/>
      </c>
      <c r="CE190" s="518" t="str">
        <f>IF(AND(_AC5="A-220-100",'2023'!$H$4="CA",'2023'!$H$2=CE157),'2023DATA'!$L$35,"")</f>
        <v/>
      </c>
      <c r="CF190" s="518" t="str">
        <f>IF(AND(_AC5="A-220-100",'2023'!$H$4="CA",'2023'!$H$2=CF157),'2023DATA'!$M$35,"")</f>
        <v/>
      </c>
      <c r="CG190" s="520" t="str">
        <f>IF(AND(_AC5="A-220-100",'2023'!$H$4="CA",'2023'!$H$2=CG157),'2023DATA'!$N$35,"")</f>
        <v/>
      </c>
      <c r="CH190" s="940" t="s">
        <v>52</v>
      </c>
      <c r="CI190" s="13" t="s">
        <v>61</v>
      </c>
      <c r="CJ190" s="518" t="str">
        <f>IF(AND(_AC6="A-220-100",'2023'!$H$4="CA",'2023'!$H$2=CJ157),'2023DATA'!$C$35,"")</f>
        <v/>
      </c>
      <c r="CK190" s="518" t="str">
        <f>IF(AND(_AC6="A-220-100",'2023'!$H$4="CA",'2023'!$H$2=CK157),'2023DATA'!$D$35,"")</f>
        <v/>
      </c>
      <c r="CL190" s="518" t="str">
        <f>IF(AND(_AC6="A-220-100",'2023'!$H$4="CA",'2023'!$H$2=CL157),'2023DATA'!$E$35,"")</f>
        <v/>
      </c>
      <c r="CM190" s="518" t="str">
        <f>IF(AND(_AC6="A-220-100",'2023'!$H$4="CA",'2023'!$H$2=CM157),'2023DATA'!$F$35,"")</f>
        <v/>
      </c>
      <c r="CN190" s="518" t="str">
        <f>IF(AND(_AC6="A-220-100",'2023'!$H$4="CA",'2023'!$H$2=CN157),'2023DATA'!$G$35,"")</f>
        <v/>
      </c>
      <c r="CO190" s="518" t="str">
        <f>IF(AND(_AC6="A-220-100",'2023'!$H$4="CA",'2023'!$H$2=CO157),'2023DATA'!$H$35,"")</f>
        <v/>
      </c>
      <c r="CP190" s="518" t="str">
        <f>IF(AND(_AC6="A-220-100",'2023'!$H$4="CA",'2023'!$H$2=CP157),'2023DATA'!$I$35,"")</f>
        <v/>
      </c>
      <c r="CQ190" s="518" t="str">
        <f>IF(AND(_AC6="A-220-100",'2023'!$H$4="CA",'2023'!$H$2=CQ157),'2023DATA'!$J$35,"")</f>
        <v/>
      </c>
      <c r="CR190" s="518" t="str">
        <f>IF(AND(_AC6="A-220-100",'2023'!$H$4="CA",'2023'!$H$2=CR157),'2023DATA'!$K$35,"")</f>
        <v/>
      </c>
      <c r="CS190" s="518" t="str">
        <f>IF(AND(_AC6="A-220-100",'2023'!$H$4="CA",'2023'!$H$2=CS157),'2023DATA'!$L$35,"")</f>
        <v/>
      </c>
      <c r="CT190" s="518" t="str">
        <f>IF(AND(_AC6="A-220-100",'2023'!$H$4="CA",'2023'!$H$2=CT157),'2023DATA'!$M$35,"")</f>
        <v/>
      </c>
      <c r="CU190" s="520" t="str">
        <f>IF(AND(_AC6="A-220-100",'2023'!$H$4="CA",'2023'!$H$2=CU157),'2023DATA'!$N$35,"")</f>
        <v/>
      </c>
    </row>
    <row r="191" spans="16:99" x14ac:dyDescent="0.25">
      <c r="P191" s="940"/>
      <c r="Q191" s="13" t="s">
        <v>62</v>
      </c>
      <c r="R191" s="518" t="str">
        <f>IF(AND(_AC1="A-220-100",'2023'!$H$4="FO",'2023'!$H$2=R157),'2023DATA'!$C$36,"")</f>
        <v/>
      </c>
      <c r="S191" s="518" t="str">
        <f>IF(AND(_AC1="A-220-100",'2023'!$H$4="FO",'2023'!$H$2=S157),'2023DATA'!$D$36,"")</f>
        <v/>
      </c>
      <c r="T191" s="518" t="str">
        <f>IF(AND(_AC1="A-220-100",'2023'!$H$4="FO",'2023'!$H$2=T157),'2023DATA'!$E$36,"")</f>
        <v/>
      </c>
      <c r="U191" s="518" t="str">
        <f>IF(AND(_AC1="A-220-100",'2023'!$H$4="FO",'2023'!$H$2=U157),'2023DATA'!$F$36,"")</f>
        <v/>
      </c>
      <c r="V191" s="518" t="str">
        <f>IF(AND(_AC1="A-220-100",'2023'!$H$4="FO",'2023'!$H$2=V157),'2023DATA'!$G$36,"")</f>
        <v/>
      </c>
      <c r="W191" s="518" t="str">
        <f>IF(AND(_AC1="A-220-100",'2023'!$H$4="FO",'2023'!$H$2=W157),'2023DATA'!$H$36,"")</f>
        <v/>
      </c>
      <c r="X191" s="518" t="str">
        <f>IF(AND(_AC1="A-220-100",'2023'!$H$4="FO",'2023'!$H$2=X157),'2023DATA'!$I$36,"")</f>
        <v/>
      </c>
      <c r="Y191" s="518" t="str">
        <f>IF(AND(_AC1="A-220-100",'2023'!$H$4="FO",'2023'!$H$2=Y157),'2023DATA'!$J$36,"")</f>
        <v/>
      </c>
      <c r="Z191" s="518" t="str">
        <f>IF(AND(_AC1="A-220-100",'2023'!$H$4="FO",'2023'!$H$2=Z157),'2023DATA'!$K$36,"")</f>
        <v/>
      </c>
      <c r="AA191" s="518" t="str">
        <f>IF(AND(_AC1="A-220-100",'2023'!$H$4="FO",'2023'!$H$2=AA157),'2023DATA'!$L$36,"")</f>
        <v/>
      </c>
      <c r="AB191" s="518" t="str">
        <f>IF(AND(_AC1="A-220-100",'2023'!$H$4="FO",'2023'!$H$2=AB157),'2023DATA'!$M$36,"")</f>
        <v/>
      </c>
      <c r="AC191" s="520" t="str">
        <f>IF(AND(_AC1="A-220-100",'2023'!$H$4="FO",'2023'!$H$2=AC157),'2023DATA'!$N$36,"")</f>
        <v/>
      </c>
      <c r="AD191" s="940"/>
      <c r="AE191" s="13" t="s">
        <v>62</v>
      </c>
      <c r="AF191" s="518" t="str">
        <f>IF(AND(_AC2="A-220-100",'2023'!$H$4="FO",'2023'!$H$2=AF157),'2023DATA'!$C$36,"")</f>
        <v/>
      </c>
      <c r="AG191" s="518" t="str">
        <f>IF(AND(_AC2="A-220-100",'2023'!$H$4="FO",'2023'!$H$2=AG157),'2023DATA'!$D$36,"")</f>
        <v/>
      </c>
      <c r="AH191" s="518" t="str">
        <f>IF(AND(_AC2="A-220-100",'2023'!$H$4="FO",'2023'!$H$2=AH157),'2023DATA'!$E$36,"")</f>
        <v/>
      </c>
      <c r="AI191" s="518" t="str">
        <f>IF(AND(_AC2="A-220-100",'2023'!$H$4="FO",'2023'!$H$2=AI157),'2023DATA'!$F$36,"")</f>
        <v/>
      </c>
      <c r="AJ191" s="518" t="str">
        <f>IF(AND(_AC2="A-220-100",'2023'!$H$4="FO",'2023'!$H$2=AJ157),'2023DATA'!$G$36,"")</f>
        <v/>
      </c>
      <c r="AK191" s="518" t="str">
        <f>IF(AND(_AC2="A-220-100",'2023'!$H$4="FO",'2023'!$H$2=AK157),'2023DATA'!$H$36,"")</f>
        <v/>
      </c>
      <c r="AL191" s="518" t="str">
        <f>IF(AND(_AC2="A-220-100",'2023'!$H$4="FO",'2023'!$H$2=AL157),'2023DATA'!$I$36,"")</f>
        <v/>
      </c>
      <c r="AM191" s="518" t="str">
        <f>IF(AND(_AC2="A-220-100",'2023'!$H$4="FO",'2023'!$H$2=AM157),'2023DATA'!$J$36,"")</f>
        <v/>
      </c>
      <c r="AN191" s="518" t="str">
        <f>IF(AND(_AC2="A-220-100",'2023'!$H$4="FO",'2023'!$H$2=AN157),'2023DATA'!$K$36,"")</f>
        <v/>
      </c>
      <c r="AO191" s="518" t="str">
        <f>IF(AND(_AC2="A-220-100",'2023'!$H$4="FO",'2023'!$H$2=AO157),'2023DATA'!$L$36,"")</f>
        <v/>
      </c>
      <c r="AP191" s="518" t="str">
        <f>IF(AND(_AC2="A-220-100",'2023'!$H$4="FO",'2023'!$H$2=AP157),'2023DATA'!$M$36,"")</f>
        <v/>
      </c>
      <c r="AQ191" s="520" t="str">
        <f>IF(AND(_AC2="A-220-100",'2023'!$H$4="FO",'2023'!$H$2=AQ157),'2023DATA'!$N$36,"")</f>
        <v/>
      </c>
      <c r="AR191" s="940"/>
      <c r="AS191" s="13" t="s">
        <v>62</v>
      </c>
      <c r="AT191" s="518" t="str">
        <f>IF(AND(_AC3="A-220-100",'2023'!$H$4="FO",'2023'!$H$2=AT157),'2023DATA'!$C$36,"")</f>
        <v/>
      </c>
      <c r="AU191" s="518" t="str">
        <f>IF(AND(_AC3="A-220-100",'2023'!$H$4="FO",'2023'!$H$2=AU157),'2023DATA'!$D$36,"")</f>
        <v/>
      </c>
      <c r="AV191" s="518" t="str">
        <f>IF(AND(_AC3="A-220-100",'2023'!$H$4="FO",'2023'!$H$2=AV157),'2023DATA'!$E$36,"")</f>
        <v/>
      </c>
      <c r="AW191" s="518" t="str">
        <f>IF(AND(_AC3="A-220-100",'2023'!$H$4="FO",'2023'!$H$2=AW157),'2023DATA'!$F$36,"")</f>
        <v/>
      </c>
      <c r="AX191" s="518" t="str">
        <f>IF(AND(_AC3="A-220-100",'2023'!$H$4="FO",'2023'!$H$2=AX157),'2023DATA'!$G$36,"")</f>
        <v/>
      </c>
      <c r="AY191" s="518" t="str">
        <f>IF(AND(_AC3="A-220-100",'2023'!$H$4="FO",'2023'!$H$2=AY157),'2023DATA'!$H$36,"")</f>
        <v/>
      </c>
      <c r="AZ191" s="518" t="str">
        <f>IF(AND(_AC3="A-220-100",'2023'!$H$4="FO",'2023'!$H$2=AZ157),'2023DATA'!$I$36,"")</f>
        <v/>
      </c>
      <c r="BA191" s="518" t="str">
        <f>IF(AND(_AC3="A-220-100",'2023'!$H$4="FO",'2023'!$H$2=BA157),'2023DATA'!$J$36,"")</f>
        <v/>
      </c>
      <c r="BB191" s="518" t="str">
        <f>IF(AND(_AC3="A-220-100",'2023'!$H$4="FO",'2023'!$H$2=BB157),'2023DATA'!$K$36,"")</f>
        <v/>
      </c>
      <c r="BC191" s="518" t="str">
        <f>IF(AND(_AC3="A-220-100",'2023'!$H$4="FO",'2023'!$H$2=BC157),'2023DATA'!$L$36,"")</f>
        <v/>
      </c>
      <c r="BD191" s="518" t="str">
        <f>IF(AND(_AC3="A-220-100",'2023'!$H$4="FO",'2023'!$H$2=BD157),'2023DATA'!$M$36,"")</f>
        <v/>
      </c>
      <c r="BE191" s="520" t="str">
        <f>IF(AND(_AC3="A-220-100",'2023'!$H$4="FO",'2023'!$H$2=BE157),'2023DATA'!$N$36,"")</f>
        <v/>
      </c>
      <c r="BF191" s="940"/>
      <c r="BG191" s="13" t="s">
        <v>62</v>
      </c>
      <c r="BH191" s="518" t="str">
        <f>IF(AND(_AC4="A-220-100",'2023'!$H$4="FO",'2023'!$H$2=BH157),'2023DATA'!$C$36,"")</f>
        <v/>
      </c>
      <c r="BI191" s="518" t="str">
        <f>IF(AND(_AC4="A-220-100",'2023'!$H$4="FO",'2023'!$H$2=BI157),'2023DATA'!$D$36,"")</f>
        <v/>
      </c>
      <c r="BJ191" s="518" t="str">
        <f>IF(AND(_AC4="A-220-100",'2023'!$H$4="FO",'2023'!$H$2=BJ157),'2023DATA'!$E$36,"")</f>
        <v/>
      </c>
      <c r="BK191" s="518" t="str">
        <f>IF(AND(_AC4="A-220-100",'2023'!$H$4="FO",'2023'!$H$2=BK157),'2023DATA'!$F$36,"")</f>
        <v/>
      </c>
      <c r="BL191" s="518" t="str">
        <f>IF(AND(_AC4="A-220-100",'2023'!$H$4="FO",'2023'!$H$2=BL157),'2023DATA'!$G$36,"")</f>
        <v/>
      </c>
      <c r="BM191" s="518" t="str">
        <f>IF(AND(_AC4="A-220-100",'2023'!$H$4="FO",'2023'!$H$2=BM157),'2023DATA'!$H$36,"")</f>
        <v/>
      </c>
      <c r="BN191" s="518" t="str">
        <f>IF(AND(_AC4="A-220-100",'2023'!$H$4="FO",'2023'!$H$2=BN157),'2023DATA'!$I$36,"")</f>
        <v/>
      </c>
      <c r="BO191" s="518" t="str">
        <f>IF(AND(_AC4="A-220-100",'2023'!$H$4="FO",'2023'!$H$2=BO157),'2023DATA'!$J$36,"")</f>
        <v/>
      </c>
      <c r="BP191" s="518" t="str">
        <f>IF(AND(_AC4="A-220-100",'2023'!$H$4="FO",'2023'!$H$2=BP157),'2023DATA'!$K$36,"")</f>
        <v/>
      </c>
      <c r="BQ191" s="518" t="str">
        <f>IF(AND(_AC4="A-220-100",'2023'!$H$4="FO",'2023'!$H$2=BQ157),'2023DATA'!$L$36,"")</f>
        <v/>
      </c>
      <c r="BR191" s="518" t="str">
        <f>IF(AND(_AC4="A-220-100",'2023'!$H$4="FO",'2023'!$H$2=BR157),'2023DATA'!$M$36,"")</f>
        <v/>
      </c>
      <c r="BS191" s="520" t="str">
        <f>IF(AND(_AC4="A-220-100",'2023'!$H$4="FO",'2023'!$H$2=BS157),'2023DATA'!$N$36,"")</f>
        <v/>
      </c>
      <c r="BT191" s="940"/>
      <c r="BU191" s="13" t="s">
        <v>62</v>
      </c>
      <c r="BV191" s="518" t="str">
        <f>IF(AND(_AC5="A-220-100",'2023'!$H$4="FO",'2023'!$H$2=BV157),'2023DATA'!$C$36,"")</f>
        <v/>
      </c>
      <c r="BW191" s="518" t="str">
        <f>IF(AND(_AC5="A-220-100",'2023'!$H$4="FO",'2023'!$H$2=BW157),'2023DATA'!$D$36,"")</f>
        <v/>
      </c>
      <c r="BX191" s="518" t="str">
        <f>IF(AND(_AC5="A-220-100",'2023'!$H$4="FO",'2023'!$H$2=BX157),'2023DATA'!$E$36,"")</f>
        <v/>
      </c>
      <c r="BY191" s="518" t="str">
        <f>IF(AND(_AC5="A-220-100",'2023'!$H$4="FO",'2023'!$H$2=BY157),'2023DATA'!$F$36,"")</f>
        <v/>
      </c>
      <c r="BZ191" s="518" t="str">
        <f>IF(AND(_AC5="A-220-100",'2023'!$H$4="FO",'2023'!$H$2=BZ157),'2023DATA'!$G$36,"")</f>
        <v/>
      </c>
      <c r="CA191" s="518" t="str">
        <f>IF(AND(_AC5="A-220-100",'2023'!$H$4="FO",'2023'!$H$2=CA157),'2023DATA'!$H$36,"")</f>
        <v/>
      </c>
      <c r="CB191" s="518" t="str">
        <f>IF(AND(_AC5="A-220-100",'2023'!$H$4="FO",'2023'!$H$2=CB157),'2023DATA'!$I$36,"")</f>
        <v/>
      </c>
      <c r="CC191" s="518" t="str">
        <f>IF(AND(_AC5="A-220-100",'2023'!$H$4="FO",'2023'!$H$2=CC157),'2023DATA'!$J$36,"")</f>
        <v/>
      </c>
      <c r="CD191" s="518" t="str">
        <f>IF(AND(_AC5="A-220-100",'2023'!$H$4="FO",'2023'!$H$2=CD157),'2023DATA'!$K$36,"")</f>
        <v/>
      </c>
      <c r="CE191" s="518" t="str">
        <f>IF(AND(_AC5="A-220-100",'2023'!$H$4="FO",'2023'!$H$2=CE157),'2023DATA'!$L$36,"")</f>
        <v/>
      </c>
      <c r="CF191" s="518" t="str">
        <f>IF(AND(_AC5="A-220-100",'2023'!$H$4="FO",'2023'!$H$2=CF157),'2023DATA'!$M$36,"")</f>
        <v/>
      </c>
      <c r="CG191" s="520" t="str">
        <f>IF(AND(_AC5="A-220-100",'2023'!$H$4="FO",'2023'!$H$2=CG157),'2023DATA'!$N$36,"")</f>
        <v/>
      </c>
      <c r="CH191" s="940"/>
      <c r="CI191" s="13" t="s">
        <v>62</v>
      </c>
      <c r="CJ191" s="518" t="str">
        <f>IF(AND(_AC6="A-220-100",'2023'!$H$4="FO",'2023'!$H$2=CJ157),'2023DATA'!$C$36,"")</f>
        <v/>
      </c>
      <c r="CK191" s="518" t="str">
        <f>IF(AND(_AC6="A-220-100",'2023'!$H$4="FO",'2023'!$H$2=CK157),'2023DATA'!$D$36,"")</f>
        <v/>
      </c>
      <c r="CL191" s="518" t="str">
        <f>IF(AND(_AC6="A-220-100",'2023'!$H$4="FO",'2023'!$H$2=CL157),'2023DATA'!$E$36,"")</f>
        <v/>
      </c>
      <c r="CM191" s="518" t="str">
        <f>IF(AND(_AC6="A-220-100",'2023'!$H$4="FO",'2023'!$H$2=CM157),'2023DATA'!$F$36,"")</f>
        <v/>
      </c>
      <c r="CN191" s="518" t="str">
        <f>IF(AND(_AC6="A-220-100",'2023'!$H$4="FO",'2023'!$H$2=CN157),'2023DATA'!$G$36,"")</f>
        <v/>
      </c>
      <c r="CO191" s="518" t="str">
        <f>IF(AND(_AC6="A-220-100",'2023'!$H$4="FO",'2023'!$H$2=CO157),'2023DATA'!$H$36,"")</f>
        <v/>
      </c>
      <c r="CP191" s="518" t="str">
        <f>IF(AND(_AC6="A-220-100",'2023'!$H$4="FO",'2023'!$H$2=CP157),'2023DATA'!$I$36,"")</f>
        <v/>
      </c>
      <c r="CQ191" s="518" t="str">
        <f>IF(AND(_AC6="A-220-100",'2023'!$H$4="FO",'2023'!$H$2=CQ157),'2023DATA'!$J$36,"")</f>
        <v/>
      </c>
      <c r="CR191" s="518" t="str">
        <f>IF(AND(_AC6="A-220-100",'2023'!$H$4="FO",'2023'!$H$2=CR157),'2023DATA'!$K$36,"")</f>
        <v/>
      </c>
      <c r="CS191" s="518" t="str">
        <f>IF(AND(_AC6="A-220-100",'2023'!$H$4="FO",'2023'!$H$2=CS157),'2023DATA'!$L$36,"")</f>
        <v/>
      </c>
      <c r="CT191" s="518" t="str">
        <f>IF(AND(_AC6="A-220-100",'2023'!$H$4="FO",'2023'!$H$2=CT157),'2023DATA'!$M$36,"")</f>
        <v/>
      </c>
      <c r="CU191" s="520" t="str">
        <f>IF(AND(_AC6="A-220-100",'2023'!$H$4="FO",'2023'!$H$2=CU157),'2023DATA'!$N$36,"")</f>
        <v/>
      </c>
    </row>
    <row r="192" spans="16:99" x14ac:dyDescent="0.25">
      <c r="P192" s="940" t="s">
        <v>53</v>
      </c>
      <c r="Q192" s="13" t="s">
        <v>61</v>
      </c>
      <c r="R192" s="518" t="str">
        <f>IF(AND(_AC1="B-717",'2023'!$H$4="CA",'2023'!$H$2=R157),'2023DATA'!$C$37,"")</f>
        <v/>
      </c>
      <c r="S192" s="518" t="str">
        <f>IF(AND(_AC1="B-717",'2023'!$H$4="CA",'2023'!$H$2=S157),'2023DATA'!$D$37,"")</f>
        <v/>
      </c>
      <c r="T192" s="518" t="str">
        <f>IF(AND(_AC1="B-717",'2023'!$H$4="CA",'2023'!$H$2=T157),'2023DATA'!$E$37,"")</f>
        <v/>
      </c>
      <c r="U192" s="518" t="str">
        <f>IF(AND(_AC1="B-717",'2023'!$H$4="CA",'2023'!$H$2=U157),'2023DATA'!$F$37,"")</f>
        <v/>
      </c>
      <c r="V192" s="518" t="str">
        <f>IF(AND(_AC1="B-717",'2023'!$H$4="CA",'2023'!$H$2=V157),'2023DATA'!$G$37,"")</f>
        <v/>
      </c>
      <c r="W192" s="518" t="str">
        <f>IF(AND(_AC1="B-717",'2023'!$H$4="CA",'2023'!$H$2=W157),'2023DATA'!$H$37,"")</f>
        <v/>
      </c>
      <c r="X192" s="518" t="str">
        <f>IF(AND(_AC1="B-717",'2023'!$H$4="CA",'2023'!$H$2=X157),'2023DATA'!$I$37,"")</f>
        <v/>
      </c>
      <c r="Y192" s="518" t="str">
        <f>IF(AND(_AC1="B-717",'2023'!$H$4="CA",'2023'!$H$2=Y157),'2023DATA'!$J$37,"")</f>
        <v/>
      </c>
      <c r="Z192" s="518" t="str">
        <f>IF(AND(_AC1="B-717",'2023'!$H$4="CA",'2023'!$H$2=Z157),'2023DATA'!$K$37,"")</f>
        <v/>
      </c>
      <c r="AA192" s="518" t="str">
        <f>IF(AND(_AC1="B-717",'2023'!$H$4="CA",'2023'!$H$2=AA157),'2023DATA'!$L$37,"")</f>
        <v/>
      </c>
      <c r="AB192" s="518" t="str">
        <f>IF(AND(_AC1="B-717",'2023'!$H$4="CA",'2023'!$H$2=AB157),'2023DATA'!$M$37,"")</f>
        <v/>
      </c>
      <c r="AC192" s="520" t="str">
        <f>IF(AND(_AC1="B-717",'2023'!$H$4="CA",'2023'!$H$2=AC157),'2023DATA'!$N$37,"")</f>
        <v/>
      </c>
      <c r="AD192" s="940" t="s">
        <v>53</v>
      </c>
      <c r="AE192" s="13" t="s">
        <v>61</v>
      </c>
      <c r="AF192" s="518" t="str">
        <f>IF(AND(_AC2="B-717",'2023'!$H$4="CA",'2023'!$H$2=AF157),'2023DATA'!$C$37,"")</f>
        <v/>
      </c>
      <c r="AG192" s="518" t="str">
        <f>IF(AND(_AC2="B-717",'2023'!$H$4="CA",'2023'!$H$2=AG157),'2023DATA'!$D$37,"")</f>
        <v/>
      </c>
      <c r="AH192" s="518" t="str">
        <f>IF(AND(_AC2="B-717",'2023'!$H$4="CA",'2023'!$H$2=AH157),'2023DATA'!$E$37,"")</f>
        <v/>
      </c>
      <c r="AI192" s="518" t="str">
        <f>IF(AND(_AC2="B-717",'2023'!$H$4="CA",'2023'!$H$2=AI157),'2023DATA'!$F$37,"")</f>
        <v/>
      </c>
      <c r="AJ192" s="518" t="str">
        <f>IF(AND(_AC2="B-717",'2023'!$H$4="CA",'2023'!$H$2=AJ157),'2023DATA'!$G$37,"")</f>
        <v/>
      </c>
      <c r="AK192" s="518" t="str">
        <f>IF(AND(_AC2="B-717",'2023'!$H$4="CA",'2023'!$H$2=AK157),'2023DATA'!$H$37,"")</f>
        <v/>
      </c>
      <c r="AL192" s="518" t="str">
        <f>IF(AND(_AC2="B-717",'2023'!$H$4="CA",'2023'!$H$2=AL157),'2023DATA'!$I$37,"")</f>
        <v/>
      </c>
      <c r="AM192" s="518" t="str">
        <f>IF(AND(_AC2="B-717",'2023'!$H$4="CA",'2023'!$H$2=AM157),'2023DATA'!$J$37,"")</f>
        <v/>
      </c>
      <c r="AN192" s="518" t="str">
        <f>IF(AND(_AC2="B-717",'2023'!$H$4="CA",'2023'!$H$2=AN157),'2023DATA'!$K$37,"")</f>
        <v/>
      </c>
      <c r="AO192" s="518" t="str">
        <f>IF(AND(_AC2="B-717",'2023'!$H$4="CA",'2023'!$H$2=AO157),'2023DATA'!$L$37,"")</f>
        <v/>
      </c>
      <c r="AP192" s="518" t="str">
        <f>IF(AND(_AC2="B-717",'2023'!$H$4="CA",'2023'!$H$2=AP157),'2023DATA'!$M$37,"")</f>
        <v/>
      </c>
      <c r="AQ192" s="520" t="str">
        <f>IF(AND(_AC2="B-717",'2023'!$H$4="CA",'2023'!$H$2=AQ157),'2023DATA'!$N$37,"")</f>
        <v/>
      </c>
      <c r="AR192" s="940" t="s">
        <v>53</v>
      </c>
      <c r="AS192" s="13" t="s">
        <v>61</v>
      </c>
      <c r="AT192" s="518" t="str">
        <f>IF(AND(_AC3="B-717",'2023'!$H$4="CA",'2023'!$H$2=AT157),'2023DATA'!$C$37,"")</f>
        <v/>
      </c>
      <c r="AU192" s="518" t="str">
        <f>IF(AND(_AC3="B-717",'2023'!$H$4="CA",'2023'!$H$2=AU157),'2023DATA'!$D$37,"")</f>
        <v/>
      </c>
      <c r="AV192" s="518" t="str">
        <f>IF(AND(_AC3="B-717",'2023'!$H$4="CA",'2023'!$H$2=AV157),'2023DATA'!$E$37,"")</f>
        <v/>
      </c>
      <c r="AW192" s="518" t="str">
        <f>IF(AND(_AC3="B-717",'2023'!$H$4="CA",'2023'!$H$2=AW157),'2023DATA'!$F$37,"")</f>
        <v/>
      </c>
      <c r="AX192" s="518" t="str">
        <f>IF(AND(_AC3="B-717",'2023'!$H$4="CA",'2023'!$H$2=AX157),'2023DATA'!$G$37,"")</f>
        <v/>
      </c>
      <c r="AY192" s="518" t="str">
        <f>IF(AND(_AC3="B-717",'2023'!$H$4="CA",'2023'!$H$2=AY157),'2023DATA'!$H$37,"")</f>
        <v/>
      </c>
      <c r="AZ192" s="518" t="str">
        <f>IF(AND(_AC3="B-717",'2023'!$H$4="CA",'2023'!$H$2=AZ157),'2023DATA'!$I$37,"")</f>
        <v/>
      </c>
      <c r="BA192" s="518" t="str">
        <f>IF(AND(_AC3="B-717",'2023'!$H$4="CA",'2023'!$H$2=BA157),'2023DATA'!$J$37,"")</f>
        <v/>
      </c>
      <c r="BB192" s="518" t="str">
        <f>IF(AND(_AC3="B-717",'2023'!$H$4="CA",'2023'!$H$2=BB157),'2023DATA'!$K$37,"")</f>
        <v/>
      </c>
      <c r="BC192" s="518" t="str">
        <f>IF(AND(_AC3="B-717",'2023'!$H$4="CA",'2023'!$H$2=BC157),'2023DATA'!$L$37,"")</f>
        <v/>
      </c>
      <c r="BD192" s="518" t="str">
        <f>IF(AND(_AC3="B-717",'2023'!$H$4="CA",'2023'!$H$2=BD157),'2023DATA'!$M$37,"")</f>
        <v/>
      </c>
      <c r="BE192" s="520" t="str">
        <f>IF(AND(_AC3="B-717",'2023'!$H$4="CA",'2023'!$H$2=BE157),'2023DATA'!$N$37,"")</f>
        <v/>
      </c>
      <c r="BF192" s="940" t="s">
        <v>53</v>
      </c>
      <c r="BG192" s="13" t="s">
        <v>61</v>
      </c>
      <c r="BH192" s="518" t="str">
        <f>IF(AND(_AC4="B-717",'2023'!$H$4="CA",'2023'!$H$2=BH157),'2023DATA'!$C$37,"")</f>
        <v/>
      </c>
      <c r="BI192" s="518" t="str">
        <f>IF(AND(_AC4="B-717",'2023'!$H$4="CA",'2023'!$H$2=BI157),'2023DATA'!$D$37,"")</f>
        <v/>
      </c>
      <c r="BJ192" s="518" t="str">
        <f>IF(AND(_AC4="B-717",'2023'!$H$4="CA",'2023'!$H$2=BJ157),'2023DATA'!$E$37,"")</f>
        <v/>
      </c>
      <c r="BK192" s="518" t="str">
        <f>IF(AND(_AC4="B-717",'2023'!$H$4="CA",'2023'!$H$2=BK157),'2023DATA'!$F$37,"")</f>
        <v/>
      </c>
      <c r="BL192" s="518" t="str">
        <f>IF(AND(_AC4="B-717",'2023'!$H$4="CA",'2023'!$H$2=BL157),'2023DATA'!$G$37,"")</f>
        <v/>
      </c>
      <c r="BM192" s="518" t="str">
        <f>IF(AND(_AC4="B-717",'2023'!$H$4="CA",'2023'!$H$2=BM157),'2023DATA'!$H$37,"")</f>
        <v/>
      </c>
      <c r="BN192" s="518" t="str">
        <f>IF(AND(_AC4="B-717",'2023'!$H$4="CA",'2023'!$H$2=BN157),'2023DATA'!$I$37,"")</f>
        <v/>
      </c>
      <c r="BO192" s="518" t="str">
        <f>IF(AND(_AC4="B-717",'2023'!$H$4="CA",'2023'!$H$2=BO157),'2023DATA'!$J$37,"")</f>
        <v/>
      </c>
      <c r="BP192" s="518" t="str">
        <f>IF(AND(_AC4="B-717",'2023'!$H$4="CA",'2023'!$H$2=BP157),'2023DATA'!$K$37,"")</f>
        <v/>
      </c>
      <c r="BQ192" s="518" t="str">
        <f>IF(AND(_AC4="B-717",'2023'!$H$4="CA",'2023'!$H$2=BQ157),'2023DATA'!$L$37,"")</f>
        <v/>
      </c>
      <c r="BR192" s="518" t="str">
        <f>IF(AND(_AC4="B-717",'2023'!$H$4="CA",'2023'!$H$2=BR157),'2023DATA'!$M$37,"")</f>
        <v/>
      </c>
      <c r="BS192" s="520" t="str">
        <f>IF(AND(_AC4="B-717",'2023'!$H$4="CA",'2023'!$H$2=BS157),'2023DATA'!$N$37,"")</f>
        <v/>
      </c>
      <c r="BT192" s="940" t="s">
        <v>53</v>
      </c>
      <c r="BU192" s="13" t="s">
        <v>61</v>
      </c>
      <c r="BV192" s="518" t="str">
        <f>IF(AND(_AC5="B-717",'2023'!$H$4="CA",'2023'!$H$2=BV157),'2023DATA'!$C$37,"")</f>
        <v/>
      </c>
      <c r="BW192" s="518" t="str">
        <f>IF(AND(_AC5="B-717",'2023'!$H$4="CA",'2023'!$H$2=BW157),'2023DATA'!$D$37,"")</f>
        <v/>
      </c>
      <c r="BX192" s="518" t="str">
        <f>IF(AND(_AC5="B-717",'2023'!$H$4="CA",'2023'!$H$2=BX157),'2023DATA'!$E$37,"")</f>
        <v/>
      </c>
      <c r="BY192" s="518" t="str">
        <f>IF(AND(_AC5="B-717",'2023'!$H$4="CA",'2023'!$H$2=BY157),'2023DATA'!$F$37,"")</f>
        <v/>
      </c>
      <c r="BZ192" s="518" t="str">
        <f>IF(AND(_AC5="B-717",'2023'!$H$4="CA",'2023'!$H$2=BZ157),'2023DATA'!$G$37,"")</f>
        <v/>
      </c>
      <c r="CA192" s="518" t="str">
        <f>IF(AND(_AC5="B-717",'2023'!$H$4="CA",'2023'!$H$2=CA157),'2023DATA'!$H$37,"")</f>
        <v/>
      </c>
      <c r="CB192" s="518" t="str">
        <f>IF(AND(_AC5="B-717",'2023'!$H$4="CA",'2023'!$H$2=CB157),'2023DATA'!$I$37,"")</f>
        <v/>
      </c>
      <c r="CC192" s="518" t="str">
        <f>IF(AND(_AC5="B-717",'2023'!$H$4="CA",'2023'!$H$2=CC157),'2023DATA'!$J$37,"")</f>
        <v/>
      </c>
      <c r="CD192" s="518" t="str">
        <f>IF(AND(_AC5="B-717",'2023'!$H$4="CA",'2023'!$H$2=CD157),'2023DATA'!$K$37,"")</f>
        <v/>
      </c>
      <c r="CE192" s="518" t="str">
        <f>IF(AND(_AC5="B-717",'2023'!$H$4="CA",'2023'!$H$2=CE157),'2023DATA'!$L$37,"")</f>
        <v/>
      </c>
      <c r="CF192" s="518" t="str">
        <f>IF(AND(_AC5="B-717",'2023'!$H$4="CA",'2023'!$H$2=CF157),'2023DATA'!$M$37,"")</f>
        <v/>
      </c>
      <c r="CG192" s="520" t="str">
        <f>IF(AND(_AC5="B-717",'2023'!$H$4="CA",'2023'!$H$2=CG157),'2023DATA'!$N$37,"")</f>
        <v/>
      </c>
      <c r="CH192" s="940" t="s">
        <v>53</v>
      </c>
      <c r="CI192" s="13" t="s">
        <v>61</v>
      </c>
      <c r="CJ192" s="518" t="str">
        <f>IF(AND(_AC6="B-717",'2023'!$H$4="CA",'2023'!$H$2=CJ157),'2023DATA'!$C$37,"")</f>
        <v/>
      </c>
      <c r="CK192" s="518" t="str">
        <f>IF(AND(_AC6="B-717",'2023'!$H$4="CA",'2023'!$H$2=CK157),'2023DATA'!$D$37,"")</f>
        <v/>
      </c>
      <c r="CL192" s="518" t="str">
        <f>IF(AND(_AC6="B-717",'2023'!$H$4="CA",'2023'!$H$2=CL157),'2023DATA'!$E$37,"")</f>
        <v/>
      </c>
      <c r="CM192" s="518" t="str">
        <f>IF(AND(_AC6="B-717",'2023'!$H$4="CA",'2023'!$H$2=CM157),'2023DATA'!$F$37,"")</f>
        <v/>
      </c>
      <c r="CN192" s="518" t="str">
        <f>IF(AND(_AC6="B-717",'2023'!$H$4="CA",'2023'!$H$2=CN157),'2023DATA'!$G$37,"")</f>
        <v/>
      </c>
      <c r="CO192" s="518" t="str">
        <f>IF(AND(_AC6="B-717",'2023'!$H$4="CA",'2023'!$H$2=CO157),'2023DATA'!$H$37,"")</f>
        <v/>
      </c>
      <c r="CP192" s="518" t="str">
        <f>IF(AND(_AC6="B-717",'2023'!$H$4="CA",'2023'!$H$2=CP157),'2023DATA'!$I$37,"")</f>
        <v/>
      </c>
      <c r="CQ192" s="518" t="str">
        <f>IF(AND(_AC6="B-717",'2023'!$H$4="CA",'2023'!$H$2=CQ157),'2023DATA'!$J$37,"")</f>
        <v/>
      </c>
      <c r="CR192" s="518" t="str">
        <f>IF(AND(_AC6="B-717",'2023'!$H$4="CA",'2023'!$H$2=CR157),'2023DATA'!$K$37,"")</f>
        <v/>
      </c>
      <c r="CS192" s="518" t="str">
        <f>IF(AND(_AC6="B-717",'2023'!$H$4="CA",'2023'!$H$2=CS157),'2023DATA'!$L$37,"")</f>
        <v/>
      </c>
      <c r="CT192" s="518" t="str">
        <f>IF(AND(_AC6="B-717",'2023'!$H$4="CA",'2023'!$H$2=CT157),'2023DATA'!$M$37,"")</f>
        <v/>
      </c>
      <c r="CU192" s="520" t="str">
        <f>IF(AND(_AC6="B-717",'2023'!$H$4="CA",'2023'!$H$2=CU157),'2023DATA'!$N$37,"")</f>
        <v/>
      </c>
    </row>
    <row r="193" spans="16:99" ht="15.75" thickBot="1" x14ac:dyDescent="0.3">
      <c r="P193" s="941"/>
      <c r="Q193" s="521" t="s">
        <v>62</v>
      </c>
      <c r="R193" s="518" t="str">
        <f>IF(AND(_AC1="B-717",'2023'!$H$4="FO",'2023'!$H$2=R157),'2023DATA'!$C$38,"")</f>
        <v/>
      </c>
      <c r="S193" s="518" t="str">
        <f>IF(AND(_AC1="B-717",'2023'!$H$4="FO",'2023'!$H$2=S157),'2023DATA'!$D$38,"")</f>
        <v/>
      </c>
      <c r="T193" s="518" t="str">
        <f>IF(AND(_AC1="B-717",'2023'!$H$4="FO",'2023'!$H$2=T157),'2023DATA'!$E$38,"")</f>
        <v/>
      </c>
      <c r="U193" s="518" t="str">
        <f>IF(AND(_AC1="B-717",'2023'!$H$4="FO",'2023'!$H$2=U157),'2023DATA'!$F$38,"")</f>
        <v/>
      </c>
      <c r="V193" s="518" t="str">
        <f>IF(AND(_AC1="B-717",'2023'!$H$4="FO",'2023'!$H$2=V157),'2023DATA'!$G$38,"")</f>
        <v/>
      </c>
      <c r="W193" s="518" t="str">
        <f>IF(AND(_AC1="B-717",'2023'!$H$4="FO",'2023'!$H$2=W157),'2023DATA'!$H$38,"")</f>
        <v/>
      </c>
      <c r="X193" s="518" t="str">
        <f>IF(AND(_AC1="B-717",'2023'!$H$4="FO",'2023'!$H$2=X157),'2023DATA'!$I$38,"")</f>
        <v/>
      </c>
      <c r="Y193" s="518" t="str">
        <f>IF(AND(_AC1="B-717",'2023'!$H$4="FO",'2023'!$H$2=Y157),'2023DATA'!$J$38,"")</f>
        <v/>
      </c>
      <c r="Z193" s="518" t="str">
        <f>IF(AND(_AC1="B-717",'2023'!$H$4="FO",'2023'!$H$2=Z157),'2023DATA'!$K$38,"")</f>
        <v/>
      </c>
      <c r="AA193" s="518" t="str">
        <f>IF(AND(_AC1="B-717",'2023'!$H$4="FO",'2023'!$H$2=AA157),'2023DATA'!$L$38,"")</f>
        <v/>
      </c>
      <c r="AB193" s="518" t="str">
        <f>IF(AND(_AC1="B-717",'2023'!$H$4="FO",'2023'!$H$2=AB157),'2023DATA'!$M$38,"")</f>
        <v/>
      </c>
      <c r="AC193" s="520" t="str">
        <f>IF(AND(_AC1="B-717",'2023'!$H$4="FO",'2023'!$H$2=AC157),'2023DATA'!$N$38,"")</f>
        <v/>
      </c>
      <c r="AD193" s="941"/>
      <c r="AE193" s="521" t="s">
        <v>62</v>
      </c>
      <c r="AF193" s="518" t="str">
        <f>IF(AND(_AC2="B-717",'2023'!$H$4="FO",'2023'!$H$2=AF157),'2023DATA'!$C$38,"")</f>
        <v/>
      </c>
      <c r="AG193" s="518" t="str">
        <f>IF(AND(_AC2="B-717",'2023'!$H$4="FO",'2023'!$H$2=AG157),'2023DATA'!$D$38,"")</f>
        <v/>
      </c>
      <c r="AH193" s="518" t="str">
        <f>IF(AND(_AC2="B-717",'2023'!$H$4="FO",'2023'!$H$2=AH157),'2023DATA'!$E$38,"")</f>
        <v/>
      </c>
      <c r="AI193" s="518" t="str">
        <f>IF(AND(_AC2="B-717",'2023'!$H$4="FO",'2023'!$H$2=AI157),'2023DATA'!$F$38,"")</f>
        <v/>
      </c>
      <c r="AJ193" s="518" t="str">
        <f>IF(AND(_AC2="B-717",'2023'!$H$4="FO",'2023'!$H$2=AJ157),'2023DATA'!$G$38,"")</f>
        <v/>
      </c>
      <c r="AK193" s="518" t="str">
        <f>IF(AND(_AC2="B-717",'2023'!$H$4="FO",'2023'!$H$2=AK157),'2023DATA'!$H$38,"")</f>
        <v/>
      </c>
      <c r="AL193" s="518" t="str">
        <f>IF(AND(_AC2="B-717",'2023'!$H$4="FO",'2023'!$H$2=AL157),'2023DATA'!$I$38,"")</f>
        <v/>
      </c>
      <c r="AM193" s="518" t="str">
        <f>IF(AND(_AC2="B-717",'2023'!$H$4="FO",'2023'!$H$2=AM157),'2023DATA'!$J$38,"")</f>
        <v/>
      </c>
      <c r="AN193" s="518" t="str">
        <f>IF(AND(_AC2="B-717",'2023'!$H$4="FO",'2023'!$H$2=AN157),'2023DATA'!$K$38,"")</f>
        <v/>
      </c>
      <c r="AO193" s="518" t="str">
        <f>IF(AND(_AC2="B-717",'2023'!$H$4="FO",'2023'!$H$2=AO157),'2023DATA'!$L$38,"")</f>
        <v/>
      </c>
      <c r="AP193" s="518" t="str">
        <f>IF(AND(_AC2="B-717",'2023'!$H$4="FO",'2023'!$H$2=AP157),'2023DATA'!$M$38,"")</f>
        <v/>
      </c>
      <c r="AQ193" s="520" t="str">
        <f>IF(AND(_AC2="B-717",'2023'!$H$4="FO",'2023'!$H$2=AQ157),'2023DATA'!$N$38,"")</f>
        <v/>
      </c>
      <c r="AR193" s="941"/>
      <c r="AS193" s="521" t="s">
        <v>62</v>
      </c>
      <c r="AT193" s="518" t="str">
        <f>IF(AND(_AC3="B-717",'2023'!$H$4="FO",'2023'!$H$2=AT157),'2023DATA'!$C$38,"")</f>
        <v/>
      </c>
      <c r="AU193" s="518" t="str">
        <f>IF(AND(_AC3="B-717",'2023'!$H$4="FO",'2023'!$H$2=AU157),'2023DATA'!$D$38,"")</f>
        <v/>
      </c>
      <c r="AV193" s="518" t="str">
        <f>IF(AND(_AC3="B-717",'2023'!$H$4="FO",'2023'!$H$2=AV157),'2023DATA'!$E$38,"")</f>
        <v/>
      </c>
      <c r="AW193" s="518" t="str">
        <f>IF(AND(_AC3="B-717",'2023'!$H$4="FO",'2023'!$H$2=AW157),'2023DATA'!$F$38,"")</f>
        <v/>
      </c>
      <c r="AX193" s="518" t="str">
        <f>IF(AND(_AC3="B-717",'2023'!$H$4="FO",'2023'!$H$2=AX157),'2023DATA'!$G$38,"")</f>
        <v/>
      </c>
      <c r="AY193" s="518" t="str">
        <f>IF(AND(_AC3="B-717",'2023'!$H$4="FO",'2023'!$H$2=AY157),'2023DATA'!$H$38,"")</f>
        <v/>
      </c>
      <c r="AZ193" s="518" t="str">
        <f>IF(AND(_AC3="B-717",'2023'!$H$4="FO",'2023'!$H$2=AZ157),'2023DATA'!$I$38,"")</f>
        <v/>
      </c>
      <c r="BA193" s="518" t="str">
        <f>IF(AND(_AC3="B-717",'2023'!$H$4="FO",'2023'!$H$2=BA157),'2023DATA'!$J$38,"")</f>
        <v/>
      </c>
      <c r="BB193" s="518" t="str">
        <f>IF(AND(_AC3="B-717",'2023'!$H$4="FO",'2023'!$H$2=BB157),'2023DATA'!$K$38,"")</f>
        <v/>
      </c>
      <c r="BC193" s="518" t="str">
        <f>IF(AND(_AC3="B-717",'2023'!$H$4="FO",'2023'!$H$2=BC157),'2023DATA'!$L$38,"")</f>
        <v/>
      </c>
      <c r="BD193" s="518" t="str">
        <f>IF(AND(_AC3="B-717",'2023'!$H$4="FO",'2023'!$H$2=BD157),'2023DATA'!$M$38,"")</f>
        <v/>
      </c>
      <c r="BE193" s="520" t="str">
        <f>IF(AND(_AC3="B-717",'2023'!$H$4="FO",'2023'!$H$2=BE157),'2023DATA'!$N$38,"")</f>
        <v/>
      </c>
      <c r="BF193" s="941"/>
      <c r="BG193" s="521" t="s">
        <v>62</v>
      </c>
      <c r="BH193" s="518" t="str">
        <f>IF(AND(_AC4="B-717",'2023'!$H$4="FO",'2023'!$H$2=BH157),'2023DATA'!$C$38,"")</f>
        <v/>
      </c>
      <c r="BI193" s="518" t="str">
        <f>IF(AND(_AC4="B-717",'2023'!$H$4="FO",'2023'!$H$2=BI157),'2023DATA'!$D$38,"")</f>
        <v/>
      </c>
      <c r="BJ193" s="518" t="str">
        <f>IF(AND(_AC4="B-717",'2023'!$H$4="FO",'2023'!$H$2=BJ157),'2023DATA'!$E$38,"")</f>
        <v/>
      </c>
      <c r="BK193" s="518" t="str">
        <f>IF(AND(_AC4="B-717",'2023'!$H$4="FO",'2023'!$H$2=BK157),'2023DATA'!$F$38,"")</f>
        <v/>
      </c>
      <c r="BL193" s="518" t="str">
        <f>IF(AND(_AC4="B-717",'2023'!$H$4="FO",'2023'!$H$2=BL157),'2023DATA'!$G$38,"")</f>
        <v/>
      </c>
      <c r="BM193" s="518" t="str">
        <f>IF(AND(_AC4="B-717",'2023'!$H$4="FO",'2023'!$H$2=BM157),'2023DATA'!$H$38,"")</f>
        <v/>
      </c>
      <c r="BN193" s="518" t="str">
        <f>IF(AND(_AC4="B-717",'2023'!$H$4="FO",'2023'!$H$2=BN157),'2023DATA'!$I$38,"")</f>
        <v/>
      </c>
      <c r="BO193" s="518" t="str">
        <f>IF(AND(_AC4="B-717",'2023'!$H$4="FO",'2023'!$H$2=BO157),'2023DATA'!$J$38,"")</f>
        <v/>
      </c>
      <c r="BP193" s="518" t="str">
        <f>IF(AND(_AC4="B-717",'2023'!$H$4="FO",'2023'!$H$2=BP157),'2023DATA'!$K$38,"")</f>
        <v/>
      </c>
      <c r="BQ193" s="518" t="str">
        <f>IF(AND(_AC4="B-717",'2023'!$H$4="FO",'2023'!$H$2=BQ157),'2023DATA'!$L$38,"")</f>
        <v/>
      </c>
      <c r="BR193" s="518" t="str">
        <f>IF(AND(_AC4="B-717",'2023'!$H$4="FO",'2023'!$H$2=BR157),'2023DATA'!$M$38,"")</f>
        <v/>
      </c>
      <c r="BS193" s="520" t="str">
        <f>IF(AND(_AC4="B-717",'2023'!$H$4="FO",'2023'!$H$2=BS157),'2023DATA'!$N$38,"")</f>
        <v/>
      </c>
      <c r="BT193" s="941"/>
      <c r="BU193" s="521" t="s">
        <v>62</v>
      </c>
      <c r="BV193" s="518" t="str">
        <f>IF(AND(_AC5="B-717",'2023'!$H$4="FO",'2023'!$H$2=BV157),'2023DATA'!$C$38,"")</f>
        <v/>
      </c>
      <c r="BW193" s="518" t="str">
        <f>IF(AND(_AC5="B-717",'2023'!$H$4="FO",'2023'!$H$2=BW157),'2023DATA'!$D$38,"")</f>
        <v/>
      </c>
      <c r="BX193" s="518" t="str">
        <f>IF(AND(_AC5="B-717",'2023'!$H$4="FO",'2023'!$H$2=BX157),'2023DATA'!$E$38,"")</f>
        <v/>
      </c>
      <c r="BY193" s="518" t="str">
        <f>IF(AND(_AC5="B-717",'2023'!$H$4="FO",'2023'!$H$2=BY157),'2023DATA'!$F$38,"")</f>
        <v/>
      </c>
      <c r="BZ193" s="518" t="str">
        <f>IF(AND(_AC5="B-717",'2023'!$H$4="FO",'2023'!$H$2=BZ157),'2023DATA'!$G$38,"")</f>
        <v/>
      </c>
      <c r="CA193" s="518" t="str">
        <f>IF(AND(_AC5="B-717",'2023'!$H$4="FO",'2023'!$H$2=CA157),'2023DATA'!$H$38,"")</f>
        <v/>
      </c>
      <c r="CB193" s="518" t="str">
        <f>IF(AND(_AC5="B-717",'2023'!$H$4="FO",'2023'!$H$2=CB157),'2023DATA'!$I$38,"")</f>
        <v/>
      </c>
      <c r="CC193" s="518" t="str">
        <f>IF(AND(_AC5="B-717",'2023'!$H$4="FO",'2023'!$H$2=CC157),'2023DATA'!$J$38,"")</f>
        <v/>
      </c>
      <c r="CD193" s="518" t="str">
        <f>IF(AND(_AC5="B-717",'2023'!$H$4="FO",'2023'!$H$2=CD157),'2023DATA'!$K$38,"")</f>
        <v/>
      </c>
      <c r="CE193" s="518" t="str">
        <f>IF(AND(_AC5="B-717",'2023'!$H$4="FO",'2023'!$H$2=CE157),'2023DATA'!$L$38,"")</f>
        <v/>
      </c>
      <c r="CF193" s="518" t="str">
        <f>IF(AND(_AC5="B-717",'2023'!$H$4="FO",'2023'!$H$2=CF157),'2023DATA'!$M$38,"")</f>
        <v/>
      </c>
      <c r="CG193" s="520" t="str">
        <f>IF(AND(_AC5="B-717",'2023'!$H$4="FO",'2023'!$H$2=CG157),'2023DATA'!$N$38,"")</f>
        <v/>
      </c>
      <c r="CH193" s="941"/>
      <c r="CI193" s="521" t="s">
        <v>62</v>
      </c>
      <c r="CJ193" s="518" t="str">
        <f>IF(AND(_AC6="B-717",'2023'!$H$4="FO",'2023'!$H$2=CJ157),'2023DATA'!$C$38,"")</f>
        <v/>
      </c>
      <c r="CK193" s="518" t="str">
        <f>IF(AND(_AC6="B-717",'2023'!$H$4="FO",'2023'!$H$2=CK157),'2023DATA'!$D$38,"")</f>
        <v/>
      </c>
      <c r="CL193" s="518" t="str">
        <f>IF(AND(_AC6="B-717",'2023'!$H$4="FO",'2023'!$H$2=CL157),'2023DATA'!$E$38,"")</f>
        <v/>
      </c>
      <c r="CM193" s="518" t="str">
        <f>IF(AND(_AC6="B-717",'2023'!$H$4="FO",'2023'!$H$2=CM157),'2023DATA'!$F$38,"")</f>
        <v/>
      </c>
      <c r="CN193" s="518" t="str">
        <f>IF(AND(_AC6="B-717",'2023'!$H$4="FO",'2023'!$H$2=CN157),'2023DATA'!$G$38,"")</f>
        <v/>
      </c>
      <c r="CO193" s="518" t="str">
        <f>IF(AND(_AC6="B-717",'2023'!$H$4="FO",'2023'!$H$2=CO157),'2023DATA'!$H$38,"")</f>
        <v/>
      </c>
      <c r="CP193" s="518" t="str">
        <f>IF(AND(_AC6="B-717",'2023'!$H$4="FO",'2023'!$H$2=CP157),'2023DATA'!$I$38,"")</f>
        <v/>
      </c>
      <c r="CQ193" s="518" t="str">
        <f>IF(AND(_AC6="B-717",'2023'!$H$4="FO",'2023'!$H$2=CQ157),'2023DATA'!$J$38,"")</f>
        <v/>
      </c>
      <c r="CR193" s="518" t="str">
        <f>IF(AND(_AC6="B-717",'2023'!$H$4="FO",'2023'!$H$2=CR157),'2023DATA'!$K$38,"")</f>
        <v/>
      </c>
      <c r="CS193" s="518" t="str">
        <f>IF(AND(_AC6="B-717",'2023'!$H$4="FO",'2023'!$H$2=CS157),'2023DATA'!$L$38,"")</f>
        <v/>
      </c>
      <c r="CT193" s="518" t="str">
        <f>IF(AND(_AC6="B-717",'2023'!$H$4="FO",'2023'!$H$2=CT157),'2023DATA'!$M$38,"")</f>
        <v/>
      </c>
      <c r="CU193" s="520" t="str">
        <f>IF(AND(_AC6="B-717",'2023'!$H$4="FO",'2023'!$H$2=CU157),'2023DATA'!$N$38,"")</f>
        <v/>
      </c>
    </row>
    <row r="194" spans="16:99" x14ac:dyDescent="0.25">
      <c r="P194" s="943" t="s">
        <v>140</v>
      </c>
      <c r="Q194" s="944"/>
      <c r="R194" s="944"/>
      <c r="S194" s="944"/>
      <c r="T194" s="944"/>
      <c r="U194" s="944"/>
      <c r="V194" s="944"/>
      <c r="W194" s="944"/>
      <c r="X194" s="944"/>
      <c r="Y194" s="944"/>
      <c r="Z194" s="944"/>
      <c r="AA194" s="944"/>
      <c r="AB194" s="944"/>
      <c r="AC194" s="945"/>
      <c r="AD194" s="943" t="s">
        <v>141</v>
      </c>
      <c r="AE194" s="944"/>
      <c r="AF194" s="944"/>
      <c r="AG194" s="944"/>
      <c r="AH194" s="944"/>
      <c r="AI194" s="944"/>
      <c r="AJ194" s="944"/>
      <c r="AK194" s="944"/>
      <c r="AL194" s="944"/>
      <c r="AM194" s="944"/>
      <c r="AN194" s="944"/>
      <c r="AO194" s="944"/>
      <c r="AP194" s="944"/>
      <c r="AQ194" s="945"/>
      <c r="AR194" s="943" t="s">
        <v>142</v>
      </c>
      <c r="AS194" s="944"/>
      <c r="AT194" s="944"/>
      <c r="AU194" s="944"/>
      <c r="AV194" s="944"/>
      <c r="AW194" s="944"/>
      <c r="AX194" s="944"/>
      <c r="AY194" s="944"/>
      <c r="AZ194" s="944"/>
      <c r="BA194" s="944"/>
      <c r="BB194" s="944"/>
      <c r="BC194" s="944"/>
      <c r="BD194" s="944"/>
      <c r="BE194" s="945"/>
      <c r="BF194" s="943" t="s">
        <v>143</v>
      </c>
      <c r="BG194" s="944"/>
      <c r="BH194" s="944"/>
      <c r="BI194" s="944"/>
      <c r="BJ194" s="944"/>
      <c r="BK194" s="944"/>
      <c r="BL194" s="944"/>
      <c r="BM194" s="944"/>
      <c r="BN194" s="944"/>
      <c r="BO194" s="944"/>
      <c r="BP194" s="944"/>
      <c r="BQ194" s="944"/>
      <c r="BR194" s="944"/>
      <c r="BS194" s="945"/>
      <c r="BT194" s="943" t="s">
        <v>144</v>
      </c>
      <c r="BU194" s="944"/>
      <c r="BV194" s="944"/>
      <c r="BW194" s="944"/>
      <c r="BX194" s="944"/>
      <c r="BY194" s="944"/>
      <c r="BZ194" s="944"/>
      <c r="CA194" s="944"/>
      <c r="CB194" s="944"/>
      <c r="CC194" s="944"/>
      <c r="CD194" s="944"/>
      <c r="CE194" s="944"/>
      <c r="CF194" s="944"/>
      <c r="CG194" s="945"/>
      <c r="CH194" s="943" t="s">
        <v>145</v>
      </c>
      <c r="CI194" s="944"/>
      <c r="CJ194" s="944"/>
      <c r="CK194" s="944"/>
      <c r="CL194" s="944"/>
      <c r="CM194" s="944"/>
      <c r="CN194" s="944"/>
      <c r="CO194" s="944"/>
      <c r="CP194" s="944"/>
      <c r="CQ194" s="944"/>
      <c r="CR194" s="944"/>
      <c r="CS194" s="944"/>
      <c r="CT194" s="944"/>
      <c r="CU194" s="945"/>
    </row>
    <row r="195" spans="16:99" x14ac:dyDescent="0.25">
      <c r="P195" s="598">
        <v>6</v>
      </c>
      <c r="Q195" s="579">
        <f>SUM(R196:AC231)</f>
        <v>0</v>
      </c>
      <c r="R195" s="3">
        <v>12</v>
      </c>
      <c r="S195" s="3">
        <v>11</v>
      </c>
      <c r="T195" s="3">
        <v>10</v>
      </c>
      <c r="U195" s="3">
        <v>9</v>
      </c>
      <c r="V195" s="3">
        <v>8</v>
      </c>
      <c r="W195" s="3">
        <v>7</v>
      </c>
      <c r="X195" s="3">
        <v>6</v>
      </c>
      <c r="Y195" s="3">
        <v>5</v>
      </c>
      <c r="Z195" s="3">
        <v>4</v>
      </c>
      <c r="AA195" s="3">
        <v>3</v>
      </c>
      <c r="AB195" s="3">
        <v>2</v>
      </c>
      <c r="AC195" s="519">
        <v>1</v>
      </c>
      <c r="AD195" s="579">
        <v>6</v>
      </c>
      <c r="AE195" s="579">
        <f>SUM(AF196:AQ231)</f>
        <v>0</v>
      </c>
      <c r="AF195" s="3">
        <v>12</v>
      </c>
      <c r="AG195" s="3">
        <v>11</v>
      </c>
      <c r="AH195" s="3">
        <v>10</v>
      </c>
      <c r="AI195" s="3">
        <v>9</v>
      </c>
      <c r="AJ195" s="3">
        <v>8</v>
      </c>
      <c r="AK195" s="3">
        <v>7</v>
      </c>
      <c r="AL195" s="3">
        <v>6</v>
      </c>
      <c r="AM195" s="3">
        <v>5</v>
      </c>
      <c r="AN195" s="3">
        <v>4</v>
      </c>
      <c r="AO195" s="3">
        <v>3</v>
      </c>
      <c r="AP195" s="3">
        <v>2</v>
      </c>
      <c r="AQ195" s="519">
        <v>1</v>
      </c>
      <c r="AR195" s="579">
        <v>6</v>
      </c>
      <c r="AS195" s="579">
        <f>SUM(AT196:BE231)</f>
        <v>0</v>
      </c>
      <c r="AT195" s="3">
        <v>12</v>
      </c>
      <c r="AU195" s="3">
        <v>11</v>
      </c>
      <c r="AV195" s="3">
        <v>10</v>
      </c>
      <c r="AW195" s="3">
        <v>9</v>
      </c>
      <c r="AX195" s="3">
        <v>8</v>
      </c>
      <c r="AY195" s="3">
        <v>7</v>
      </c>
      <c r="AZ195" s="3">
        <v>6</v>
      </c>
      <c r="BA195" s="3">
        <v>5</v>
      </c>
      <c r="BB195" s="3">
        <v>4</v>
      </c>
      <c r="BC195" s="3">
        <v>3</v>
      </c>
      <c r="BD195" s="3">
        <v>2</v>
      </c>
      <c r="BE195" s="519">
        <v>1</v>
      </c>
      <c r="BF195" s="579">
        <v>6</v>
      </c>
      <c r="BG195" s="579">
        <f>SUM(BH196:BS231)</f>
        <v>0</v>
      </c>
      <c r="BH195" s="3">
        <v>12</v>
      </c>
      <c r="BI195" s="3">
        <v>11</v>
      </c>
      <c r="BJ195" s="3">
        <v>10</v>
      </c>
      <c r="BK195" s="3">
        <v>9</v>
      </c>
      <c r="BL195" s="3">
        <v>8</v>
      </c>
      <c r="BM195" s="3">
        <v>7</v>
      </c>
      <c r="BN195" s="3">
        <v>6</v>
      </c>
      <c r="BO195" s="3">
        <v>5</v>
      </c>
      <c r="BP195" s="3">
        <v>4</v>
      </c>
      <c r="BQ195" s="3">
        <v>3</v>
      </c>
      <c r="BR195" s="3">
        <v>2</v>
      </c>
      <c r="BS195" s="519">
        <v>1</v>
      </c>
      <c r="BT195" s="579">
        <v>6</v>
      </c>
      <c r="BU195" s="579">
        <f>SUM(BV196:CG231)</f>
        <v>0</v>
      </c>
      <c r="BV195" s="3">
        <v>12</v>
      </c>
      <c r="BW195" s="3">
        <v>11</v>
      </c>
      <c r="BX195" s="3">
        <v>10</v>
      </c>
      <c r="BY195" s="3">
        <v>9</v>
      </c>
      <c r="BZ195" s="3">
        <v>8</v>
      </c>
      <c r="CA195" s="3">
        <v>7</v>
      </c>
      <c r="CB195" s="3">
        <v>6</v>
      </c>
      <c r="CC195" s="3">
        <v>5</v>
      </c>
      <c r="CD195" s="3">
        <v>4</v>
      </c>
      <c r="CE195" s="3">
        <v>3</v>
      </c>
      <c r="CF195" s="3">
        <v>2</v>
      </c>
      <c r="CG195" s="519">
        <v>1</v>
      </c>
      <c r="CH195" s="579">
        <v>6</v>
      </c>
      <c r="CI195" s="579">
        <f>SUM(CJ196:CU231)</f>
        <v>0</v>
      </c>
      <c r="CJ195" s="3">
        <v>12</v>
      </c>
      <c r="CK195" s="3">
        <v>11</v>
      </c>
      <c r="CL195" s="3">
        <v>10</v>
      </c>
      <c r="CM195" s="3">
        <v>9</v>
      </c>
      <c r="CN195" s="3">
        <v>8</v>
      </c>
      <c r="CO195" s="3">
        <v>7</v>
      </c>
      <c r="CP195" s="3">
        <v>6</v>
      </c>
      <c r="CQ195" s="3">
        <v>5</v>
      </c>
      <c r="CR195" s="3">
        <v>4</v>
      </c>
      <c r="CS195" s="3">
        <v>3</v>
      </c>
      <c r="CT195" s="3">
        <v>2</v>
      </c>
      <c r="CU195" s="519">
        <v>1</v>
      </c>
    </row>
    <row r="196" spans="16:99" x14ac:dyDescent="0.25">
      <c r="P196" s="940" t="s">
        <v>39</v>
      </c>
      <c r="Q196" s="13" t="s">
        <v>61</v>
      </c>
      <c r="R196" s="518" t="str">
        <f>IF(AND(_AC1="A-350",'2023'!$I$4="CA",'2023'!$I$2=R195),'2023DATA'!$C$3,"")</f>
        <v/>
      </c>
      <c r="S196" s="518" t="str">
        <f>IF(AND(_AC1="A-350",'2023'!$I$4="CA",'2023'!$I$2=S195),'2023DATA'!$D$3,"")</f>
        <v/>
      </c>
      <c r="T196" s="518" t="str">
        <f>IF(AND(_AC1="A-350",'2023'!$I$4="CA",'2023'!$I$2=T195),'2023DATA'!$E$3,"")</f>
        <v/>
      </c>
      <c r="U196" s="518" t="str">
        <f>IF(AND(_AC1="A-350",'2023'!$I$4="CA",'2023'!$I$2=U195),'2023DATA'!$F$3,"")</f>
        <v/>
      </c>
      <c r="V196" s="518" t="str">
        <f>IF(AND(_AC1="A-350",'2023'!$I$4="CA",'2023'!$I$2=V195),'2023DATA'!$G$3,"")</f>
        <v/>
      </c>
      <c r="W196" s="518" t="str">
        <f>IF(AND(_AC1="A-350",'2023'!$I$4="CA",'2023'!$I$2=W195),'2023DATA'!$H$3,"")</f>
        <v/>
      </c>
      <c r="X196" s="518" t="str">
        <f>IF(AND(_AC1="A-350",'2023'!$I$4="CA",'2023'!$I$2=X195),'2023DATA'!$I$3,"")</f>
        <v/>
      </c>
      <c r="Y196" s="518" t="str">
        <f>IF(AND(_AC1="A-350",'2023'!$I$4="CA",'2023'!$I$2=Y195),'2023DATA'!$J$3,"")</f>
        <v/>
      </c>
      <c r="Z196" s="518" t="str">
        <f>IF(AND(_AC1="A-350",'2023'!$I$4="CA",'2023'!$I$2=Z195),'2023DATA'!$K$3,"")</f>
        <v/>
      </c>
      <c r="AA196" s="518" t="str">
        <f>IF(AND(_AC1="A-350",'2023'!$I$4="CA",'2023'!$I$2=AA195),'2023DATA'!$L$3,"")</f>
        <v/>
      </c>
      <c r="AB196" s="518" t="str">
        <f>IF(AND(_AC1="A-350",'2023'!$I$4="CA",'2023'!$I$2=AB195),'2023DATA'!$M$3,"")</f>
        <v/>
      </c>
      <c r="AC196" s="520" t="str">
        <f>IF(AND(_AC1="A-350",'2023'!$I$4="CA",'2023'!$I$2=AC195),'2023DATA'!$N$3,"")</f>
        <v/>
      </c>
      <c r="AD196" s="940" t="s">
        <v>39</v>
      </c>
      <c r="AE196" s="13" t="s">
        <v>61</v>
      </c>
      <c r="AF196" s="518" t="str">
        <f>IF(AND(_AC2="A-350",'2023'!$I$4="CA",'2023'!$I$2=AF195),'2023DATA'!$C$3,"")</f>
        <v/>
      </c>
      <c r="AG196" s="518" t="str">
        <f>IF(AND(_AC2="A-350",'2023'!$I$4="CA",'2023'!$I$2=AG195),'2023DATA'!$D$3,"")</f>
        <v/>
      </c>
      <c r="AH196" s="518" t="str">
        <f>IF(AND(_AC2="A-350",'2023'!$I$4="CA",'2023'!$I$2=AH195),'2023DATA'!$E$3,"")</f>
        <v/>
      </c>
      <c r="AI196" s="518" t="str">
        <f>IF(AND(_AC2="A-350",'2023'!$I$4="CA",'2023'!$I$2=AI195),'2023DATA'!$F$3,"")</f>
        <v/>
      </c>
      <c r="AJ196" s="518" t="str">
        <f>IF(AND(_AC2="A-350",'2023'!$I$4="CA",'2023'!$I$2=AJ195),'2023DATA'!$G$3,"")</f>
        <v/>
      </c>
      <c r="AK196" s="518" t="str">
        <f>IF(AND(_AC2="A-350",'2023'!$I$4="CA",'2023'!$I$2=AK195),'2023DATA'!$H$3,"")</f>
        <v/>
      </c>
      <c r="AL196" s="518" t="str">
        <f>IF(AND(_AC2="A-350",'2023'!$I$4="CA",'2023'!$I$2=AL195),'2023DATA'!$I$3,"")</f>
        <v/>
      </c>
      <c r="AM196" s="518" t="str">
        <f>IF(AND(_AC2="A-350",'2023'!$I$4="CA",'2023'!$I$2=AM195),'2023DATA'!$J$3,"")</f>
        <v/>
      </c>
      <c r="AN196" s="518" t="str">
        <f>IF(AND(_AC2="A-350",'2023'!$I$4="CA",'2023'!$I$2=AN195),'2023DATA'!$K$3,"")</f>
        <v/>
      </c>
      <c r="AO196" s="518" t="str">
        <f>IF(AND(_AC2="A-350",'2023'!$I$4="CA",'2023'!$I$2=AO195),'2023DATA'!$L$3,"")</f>
        <v/>
      </c>
      <c r="AP196" s="518" t="str">
        <f>IF(AND(_AC2="A-350",'2023'!$I$4="CA",'2023'!$I$2=AP195),'2023DATA'!$M$3,"")</f>
        <v/>
      </c>
      <c r="AQ196" s="520" t="str">
        <f>IF(AND(_AC2="A-350",'2023'!$I$4="CA",'2023'!$I$2=AQ195),'2023DATA'!$N$3,"")</f>
        <v/>
      </c>
      <c r="AR196" s="940" t="s">
        <v>39</v>
      </c>
      <c r="AS196" s="13" t="s">
        <v>61</v>
      </c>
      <c r="AT196" s="518" t="str">
        <f>IF(AND(_AC3="A-350",'2023'!$I$4="CA",'2023'!$I$2=AT195),'2023DATA'!$C$3,"")</f>
        <v/>
      </c>
      <c r="AU196" s="518" t="str">
        <f>IF(AND(_AC3="A-350",'2023'!$I$4="CA",'2023'!$I$2=AU195),'2023DATA'!$D$3,"")</f>
        <v/>
      </c>
      <c r="AV196" s="518" t="str">
        <f>IF(AND(_AC3="A-350",'2023'!$I$4="CA",'2023'!$I$2=AV195),'2023DATA'!$E$3,"")</f>
        <v/>
      </c>
      <c r="AW196" s="518" t="str">
        <f>IF(AND(_AC3="A-350",'2023'!$I$4="CA",'2023'!$I$2=AW195),'2023DATA'!$F$3,"")</f>
        <v/>
      </c>
      <c r="AX196" s="518" t="str">
        <f>IF(AND(_AC3="A-350",'2023'!$I$4="CA",'2023'!$I$2=AX195),'2023DATA'!$G$3,"")</f>
        <v/>
      </c>
      <c r="AY196" s="518" t="str">
        <f>IF(AND(_AC3="A-350",'2023'!$I$4="CA",'2023'!$I$2=AY195),'2023DATA'!$H$3,"")</f>
        <v/>
      </c>
      <c r="AZ196" s="518" t="str">
        <f>IF(AND(_AC3="A-350",'2023'!$I$4="CA",'2023'!$I$2=AZ195),'2023DATA'!$I$3,"")</f>
        <v/>
      </c>
      <c r="BA196" s="518" t="str">
        <f>IF(AND(_AC3="A-350",'2023'!$I$4="CA",'2023'!$I$2=BA195),'2023DATA'!$J$3,"")</f>
        <v/>
      </c>
      <c r="BB196" s="518" t="str">
        <f>IF(AND(_AC3="A-350",'2023'!$I$4="CA",'2023'!$I$2=BB195),'2023DATA'!$K$3,"")</f>
        <v/>
      </c>
      <c r="BC196" s="518" t="str">
        <f>IF(AND(_AC3="A-350",'2023'!$I$4="CA",'2023'!$I$2=BC195),'2023DATA'!$L$3,"")</f>
        <v/>
      </c>
      <c r="BD196" s="518" t="str">
        <f>IF(AND(_AC3="A-350",'2023'!$I$4="CA",'2023'!$I$2=BD195),'2023DATA'!$M$3,"")</f>
        <v/>
      </c>
      <c r="BE196" s="520" t="str">
        <f>IF(AND(_AC3="A-350",'2023'!$I$4="CA",'2023'!$I$2=BE195),'2023DATA'!$N$3,"")</f>
        <v/>
      </c>
      <c r="BF196" s="940" t="s">
        <v>39</v>
      </c>
      <c r="BG196" s="13" t="s">
        <v>61</v>
      </c>
      <c r="BH196" s="518" t="str">
        <f>IF(AND(_AC4="A-350",'2023'!$I$4="CA",'2023'!$I$2=BH195),'2023DATA'!$C$3,"")</f>
        <v/>
      </c>
      <c r="BI196" s="518" t="str">
        <f>IF(AND(_AC4="A-350",'2023'!$I$4="CA",'2023'!$I$2=BI195),'2023DATA'!$D$3,"")</f>
        <v/>
      </c>
      <c r="BJ196" s="518" t="str">
        <f>IF(AND(_AC4="A-350",'2023'!$I$4="CA",'2023'!$I$2=BJ195),'2023DATA'!$E$3,"")</f>
        <v/>
      </c>
      <c r="BK196" s="518" t="str">
        <f>IF(AND(_AC4="A-350",'2023'!$I$4="CA",'2023'!$I$2=BK195),'2023DATA'!$F$3,"")</f>
        <v/>
      </c>
      <c r="BL196" s="518" t="str">
        <f>IF(AND(_AC4="A-350",'2023'!$I$4="CA",'2023'!$I$2=BL195),'2023DATA'!$G$3,"")</f>
        <v/>
      </c>
      <c r="BM196" s="518" t="str">
        <f>IF(AND(_AC4="A-350",'2023'!$I$4="CA",'2023'!$I$2=BM195),'2023DATA'!$H$3,"")</f>
        <v/>
      </c>
      <c r="BN196" s="518" t="str">
        <f>IF(AND(_AC4="A-350",'2023'!$I$4="CA",'2023'!$I$2=BN195),'2023DATA'!$I$3,"")</f>
        <v/>
      </c>
      <c r="BO196" s="518" t="str">
        <f>IF(AND(_AC4="A-350",'2023'!$I$4="CA",'2023'!$I$2=BO195),'2023DATA'!$J$3,"")</f>
        <v/>
      </c>
      <c r="BP196" s="518" t="str">
        <f>IF(AND(_AC4="A-350",'2023'!$I$4="CA",'2023'!$I$2=BP195),'2023DATA'!$K$3,"")</f>
        <v/>
      </c>
      <c r="BQ196" s="518" t="str">
        <f>IF(AND(_AC4="A-350",'2023'!$I$4="CA",'2023'!$I$2=BQ195),'2023DATA'!$L$3,"")</f>
        <v/>
      </c>
      <c r="BR196" s="518" t="str">
        <f>IF(AND(_AC4="A-350",'2023'!$I$4="CA",'2023'!$I$2=BR195),'2023DATA'!$M$3,"")</f>
        <v/>
      </c>
      <c r="BS196" s="520" t="str">
        <f>IF(AND(_AC4="A-350",'2023'!$I$4="CA",'2023'!$I$2=BS195),'2023DATA'!$N$3,"")</f>
        <v/>
      </c>
      <c r="BT196" s="940" t="s">
        <v>39</v>
      </c>
      <c r="BU196" s="13" t="s">
        <v>61</v>
      </c>
      <c r="BV196" s="518" t="str">
        <f>IF(AND(_AC5="A-350",'2023'!$I$4="CA",'2023'!$I$2=BV195),'2023DATA'!$C$3,"")</f>
        <v/>
      </c>
      <c r="BW196" s="518" t="str">
        <f>IF(AND(_AC5="A-350",'2023'!$I$4="CA",'2023'!$I$2=BW195),'2023DATA'!$D$3,"")</f>
        <v/>
      </c>
      <c r="BX196" s="518" t="str">
        <f>IF(AND(_AC5="A-350",'2023'!$I$4="CA",'2023'!$I$2=BX195),'2023DATA'!$E$3,"")</f>
        <v/>
      </c>
      <c r="BY196" s="518" t="str">
        <f>IF(AND(_AC5="A-350",'2023'!$I$4="CA",'2023'!$I$2=BY195),'2023DATA'!$F$3,"")</f>
        <v/>
      </c>
      <c r="BZ196" s="518" t="str">
        <f>IF(AND(_AC5="A-350",'2023'!$I$4="CA",'2023'!$I$2=BZ195),'2023DATA'!$G$3,"")</f>
        <v/>
      </c>
      <c r="CA196" s="518" t="str">
        <f>IF(AND(_AC5="A-350",'2023'!$I$4="CA",'2023'!$I$2=CA195),'2023DATA'!$H$3,"")</f>
        <v/>
      </c>
      <c r="CB196" s="518" t="str">
        <f>IF(AND(_AC5="A-350",'2023'!$I$4="CA",'2023'!$I$2=CB195),'2023DATA'!$I$3,"")</f>
        <v/>
      </c>
      <c r="CC196" s="518" t="str">
        <f>IF(AND(_AC5="A-350",'2023'!$I$4="CA",'2023'!$I$2=CC195),'2023DATA'!$J$3,"")</f>
        <v/>
      </c>
      <c r="CD196" s="518" t="str">
        <f>IF(AND(_AC5="A-350",'2023'!$I$4="CA",'2023'!$I$2=CD195),'2023DATA'!$K$3,"")</f>
        <v/>
      </c>
      <c r="CE196" s="518" t="str">
        <f>IF(AND(_AC5="A-350",'2023'!$I$4="CA",'2023'!$I$2=CE195),'2023DATA'!$L$3,"")</f>
        <v/>
      </c>
      <c r="CF196" s="518" t="str">
        <f>IF(AND(_AC5="A-350",'2023'!$I$4="CA",'2023'!$I$2=CF195),'2023DATA'!$M$3,"")</f>
        <v/>
      </c>
      <c r="CG196" s="520" t="str">
        <f>IF(AND(_AC5="A-350",'2023'!$I$4="CA",'2023'!$I$2=CG195),'2023DATA'!$N$3,"")</f>
        <v/>
      </c>
      <c r="CH196" s="940" t="s">
        <v>39</v>
      </c>
      <c r="CI196" s="13" t="s">
        <v>61</v>
      </c>
      <c r="CJ196" s="518" t="str">
        <f>IF(AND(_AC6="A-350",'2023'!$I$4="CA",'2023'!$I$2=CJ195),'2023DATA'!$C$3,"")</f>
        <v/>
      </c>
      <c r="CK196" s="518" t="str">
        <f>IF(AND(_AC6="A-350",'2023'!$I$4="CA",'2023'!$I$2=CK195),'2023DATA'!$D$3,"")</f>
        <v/>
      </c>
      <c r="CL196" s="518" t="str">
        <f>IF(AND(_AC6="A-350",'2023'!$I$4="CA",'2023'!$I$2=CL195),'2023DATA'!$E$3,"")</f>
        <v/>
      </c>
      <c r="CM196" s="518" t="str">
        <f>IF(AND(_AC6="A-350",'2023'!$I$4="CA",'2023'!$I$2=CM195),'2023DATA'!$F$3,"")</f>
        <v/>
      </c>
      <c r="CN196" s="518" t="str">
        <f>IF(AND(_AC6="A-350",'2023'!$I$4="CA",'2023'!$I$2=CN195),'2023DATA'!$G$3,"")</f>
        <v/>
      </c>
      <c r="CO196" s="518" t="str">
        <f>IF(AND(_AC6="A-350",'2023'!$I$4="CA",'2023'!$I$2=CO195),'2023DATA'!$H$3,"")</f>
        <v/>
      </c>
      <c r="CP196" s="518" t="str">
        <f>IF(AND(_AC6="A-350",'2023'!$I$4="CA",'2023'!$I$2=CP195),'2023DATA'!$I$3,"")</f>
        <v/>
      </c>
      <c r="CQ196" s="518" t="str">
        <f>IF(AND(_AC6="A-350",'2023'!$I$4="CA",'2023'!$I$2=CQ195),'2023DATA'!$J$3,"")</f>
        <v/>
      </c>
      <c r="CR196" s="518" t="str">
        <f>IF(AND(_AC6="A-350",'2023'!$I$4="CA",'2023'!$I$2=CR195),'2023DATA'!$K$3,"")</f>
        <v/>
      </c>
      <c r="CS196" s="518" t="str">
        <f>IF(AND(_AC6="A-350",'2023'!$I$4="CA",'2023'!$I$2=CS195),'2023DATA'!$L$3,"")</f>
        <v/>
      </c>
      <c r="CT196" s="518" t="str">
        <f>IF(AND(_AC6="A-350",'2023'!$I$4="CA",'2023'!$I$2=CT195),'2023DATA'!$M$3,"")</f>
        <v/>
      </c>
      <c r="CU196" s="520" t="str">
        <f>IF(AND(_AC6="A-350",'2023'!$I$4="CA",'2023'!$I$2=CU195),'2023DATA'!$N$3,"")</f>
        <v/>
      </c>
    </row>
    <row r="197" spans="16:99" x14ac:dyDescent="0.25">
      <c r="P197" s="940"/>
      <c r="Q197" s="13" t="s">
        <v>62</v>
      </c>
      <c r="R197" s="518" t="str">
        <f>IF(AND(_AC1="A-350",'2023'!$I$4="FO",'2023'!$I$2=R195),'2023DATA'!$C$4,"")</f>
        <v/>
      </c>
      <c r="S197" s="518" t="str">
        <f>IF(AND(_AC1="A-350",'2023'!$I$4="FO",'2023'!$I$2=S195),'2023DATA'!$D$4,"")</f>
        <v/>
      </c>
      <c r="T197" s="518" t="str">
        <f>IF(AND(_AC1="A-350",'2023'!$I$4="FO",'2023'!$I$2=T195),'2023DATA'!$E$4,"")</f>
        <v/>
      </c>
      <c r="U197" s="518" t="str">
        <f>IF(AND(_AC1="A-350",'2023'!$I$4="FO",'2023'!$I$2=U195),'2023DATA'!$F$4,"")</f>
        <v/>
      </c>
      <c r="V197" s="518" t="str">
        <f>IF(AND(_AC1="A-350",'2023'!$I$4="FO",'2023'!$I$2=V195),'2023DATA'!$G$4,"")</f>
        <v/>
      </c>
      <c r="W197" s="518" t="str">
        <f>IF(AND(_AC1="A-350",'2023'!$I$4="FO",'2023'!$I$2=W195),'2023DATA'!$H$4,"")</f>
        <v/>
      </c>
      <c r="X197" s="518" t="str">
        <f>IF(AND(_AC1="A-350",'2023'!$I$4="FO",'2023'!$I$2=X195),'2023DATA'!$I$4,"")</f>
        <v/>
      </c>
      <c r="Y197" s="518" t="str">
        <f>IF(AND(_AC1="A-350",'2023'!$I$4="FO",'2023'!$I$2=Y195),'2023DATA'!$J$4,"")</f>
        <v/>
      </c>
      <c r="Z197" s="518" t="str">
        <f>IF(AND(_AC1="A-350",'2023'!$I$4="FO",'2023'!$I$2=Z195),'2023DATA'!$K$4,"")</f>
        <v/>
      </c>
      <c r="AA197" s="518" t="str">
        <f>IF(AND(_AC1="A-350",'2023'!$I$4="FO",'2023'!$I$2=AA195),'2023DATA'!$L$4,"")</f>
        <v/>
      </c>
      <c r="AB197" s="518" t="str">
        <f>IF(AND(_AC1="A-350",'2023'!$I$4="FO",'2023'!$I$2=AB195),'2023DATA'!$M$4,"")</f>
        <v/>
      </c>
      <c r="AC197" s="520" t="str">
        <f>IF(AND(_AC1="A-350",'2023'!$I$4="FO",'2023'!$I$2=AC195),'2023DATA'!$N$4,"")</f>
        <v/>
      </c>
      <c r="AD197" s="940"/>
      <c r="AE197" s="13" t="s">
        <v>62</v>
      </c>
      <c r="AF197" s="518" t="str">
        <f>IF(AND(_AC2="A-350",'2023'!$I$4="FO",'2023'!$I$2=AF195),'2023DATA'!$C$4,"")</f>
        <v/>
      </c>
      <c r="AG197" s="518" t="str">
        <f>IF(AND(_AC2="A-350",'2023'!$I$4="FO",'2023'!$I$2=AG195),'2023DATA'!$D$4,"")</f>
        <v/>
      </c>
      <c r="AH197" s="518" t="str">
        <f>IF(AND(_AC2="A-350",'2023'!$I$4="FO",'2023'!$I$2=AH195),'2023DATA'!$E$4,"")</f>
        <v/>
      </c>
      <c r="AI197" s="518" t="str">
        <f>IF(AND(_AC2="A-350",'2023'!$I$4="FO",'2023'!$I$2=AI195),'2023DATA'!$F$4,"")</f>
        <v/>
      </c>
      <c r="AJ197" s="518" t="str">
        <f>IF(AND(_AC2="A-350",'2023'!$I$4="FO",'2023'!$I$2=AJ195),'2023DATA'!$G$4,"")</f>
        <v/>
      </c>
      <c r="AK197" s="518" t="str">
        <f>IF(AND(_AC2="A-350",'2023'!$I$4="FO",'2023'!$I$2=AK195),'2023DATA'!$H$4,"")</f>
        <v/>
      </c>
      <c r="AL197" s="518" t="str">
        <f>IF(AND(_AC2="A-350",'2023'!$I$4="FO",'2023'!$I$2=AL195),'2023DATA'!$I$4,"")</f>
        <v/>
      </c>
      <c r="AM197" s="518" t="str">
        <f>IF(AND(_AC2="A-350",'2023'!$I$4="FO",'2023'!$I$2=AM195),'2023DATA'!$J$4,"")</f>
        <v/>
      </c>
      <c r="AN197" s="518" t="str">
        <f>IF(AND(_AC2="A-350",'2023'!$I$4="FO",'2023'!$I$2=AN195),'2023DATA'!$K$4,"")</f>
        <v/>
      </c>
      <c r="AO197" s="518" t="str">
        <f>IF(AND(_AC2="A-350",'2023'!$I$4="FO",'2023'!$I$2=AO195),'2023DATA'!$L$4,"")</f>
        <v/>
      </c>
      <c r="AP197" s="518" t="str">
        <f>IF(AND(_AC2="A-350",'2023'!$I$4="FO",'2023'!$I$2=AP195),'2023DATA'!$M$4,"")</f>
        <v/>
      </c>
      <c r="AQ197" s="520" t="str">
        <f>IF(AND(_AC2="A-350",'2023'!$I$4="FO",'2023'!$I$2=AQ195),'2023DATA'!$N$4,"")</f>
        <v/>
      </c>
      <c r="AR197" s="940"/>
      <c r="AS197" s="13" t="s">
        <v>62</v>
      </c>
      <c r="AT197" s="518" t="str">
        <f>IF(AND(_AC3="A-350",'2023'!$I$4="FO",'2023'!$I$2=AT195),'2023DATA'!$C$4,"")</f>
        <v/>
      </c>
      <c r="AU197" s="518" t="str">
        <f>IF(AND(_AC3="A-350",'2023'!$I$4="FO",'2023'!$I$2=AU195),'2023DATA'!$D$4,"")</f>
        <v/>
      </c>
      <c r="AV197" s="518" t="str">
        <f>IF(AND(_AC3="A-350",'2023'!$I$4="FO",'2023'!$I$2=AV195),'2023DATA'!$E$4,"")</f>
        <v/>
      </c>
      <c r="AW197" s="518" t="str">
        <f>IF(AND(_AC3="A-350",'2023'!$I$4="FO",'2023'!$I$2=AW195),'2023DATA'!$F$4,"")</f>
        <v/>
      </c>
      <c r="AX197" s="518" t="str">
        <f>IF(AND(_AC3="A-350",'2023'!$I$4="FO",'2023'!$I$2=AX195),'2023DATA'!$G$4,"")</f>
        <v/>
      </c>
      <c r="AY197" s="518" t="str">
        <f>IF(AND(_AC3="A-350",'2023'!$I$4="FO",'2023'!$I$2=AY195),'2023DATA'!$H$4,"")</f>
        <v/>
      </c>
      <c r="AZ197" s="518" t="str">
        <f>IF(AND(_AC3="A-350",'2023'!$I$4="FO",'2023'!$I$2=AZ195),'2023DATA'!$I$4,"")</f>
        <v/>
      </c>
      <c r="BA197" s="518" t="str">
        <f>IF(AND(_AC3="A-350",'2023'!$I$4="FO",'2023'!$I$2=BA195),'2023DATA'!$J$4,"")</f>
        <v/>
      </c>
      <c r="BB197" s="518" t="str">
        <f>IF(AND(_AC3="A-350",'2023'!$I$4="FO",'2023'!$I$2=BB195),'2023DATA'!$K$4,"")</f>
        <v/>
      </c>
      <c r="BC197" s="518" t="str">
        <f>IF(AND(_AC3="A-350",'2023'!$I$4="FO",'2023'!$I$2=BC195),'2023DATA'!$L$4,"")</f>
        <v/>
      </c>
      <c r="BD197" s="518" t="str">
        <f>IF(AND(_AC3="A-350",'2023'!$I$4="FO",'2023'!$I$2=BD195),'2023DATA'!$M$4,"")</f>
        <v/>
      </c>
      <c r="BE197" s="520" t="str">
        <f>IF(AND(_AC3="A-350",'2023'!$I$4="FO",'2023'!$I$2=BE195),'2023DATA'!$N$4,"")</f>
        <v/>
      </c>
      <c r="BF197" s="940"/>
      <c r="BG197" s="13" t="s">
        <v>62</v>
      </c>
      <c r="BH197" s="518" t="str">
        <f>IF(AND(_AC4="A-350",'2023'!$I$4="FO",'2023'!$I$2=BH195),'2023DATA'!$C$4,"")</f>
        <v/>
      </c>
      <c r="BI197" s="518" t="str">
        <f>IF(AND(_AC4="A-350",'2023'!$I$4="FO",'2023'!$I$2=BI195),'2023DATA'!$D$4,"")</f>
        <v/>
      </c>
      <c r="BJ197" s="518" t="str">
        <f>IF(AND(_AC4="A-350",'2023'!$I$4="FO",'2023'!$I$2=BJ195),'2023DATA'!$E$4,"")</f>
        <v/>
      </c>
      <c r="BK197" s="518" t="str">
        <f>IF(AND(_AC4="A-350",'2023'!$I$4="FO",'2023'!$I$2=BK195),'2023DATA'!$F$4,"")</f>
        <v/>
      </c>
      <c r="BL197" s="518" t="str">
        <f>IF(AND(_AC4="A-350",'2023'!$I$4="FO",'2023'!$I$2=BL195),'2023DATA'!$G$4,"")</f>
        <v/>
      </c>
      <c r="BM197" s="518" t="str">
        <f>IF(AND(_AC4="A-350",'2023'!$I$4="FO",'2023'!$I$2=BM195),'2023DATA'!$H$4,"")</f>
        <v/>
      </c>
      <c r="BN197" s="518" t="str">
        <f>IF(AND(_AC4="A-350",'2023'!$I$4="FO",'2023'!$I$2=BN195),'2023DATA'!$I$4,"")</f>
        <v/>
      </c>
      <c r="BO197" s="518" t="str">
        <f>IF(AND(_AC4="A-350",'2023'!$I$4="FO",'2023'!$I$2=BO195),'2023DATA'!$J$4,"")</f>
        <v/>
      </c>
      <c r="BP197" s="518" t="str">
        <f>IF(AND(_AC4="A-350",'2023'!$I$4="FO",'2023'!$I$2=BP195),'2023DATA'!$K$4,"")</f>
        <v/>
      </c>
      <c r="BQ197" s="518" t="str">
        <f>IF(AND(_AC4="A-350",'2023'!$I$4="FO",'2023'!$I$2=BQ195),'2023DATA'!$L$4,"")</f>
        <v/>
      </c>
      <c r="BR197" s="518" t="str">
        <f>IF(AND(_AC4="A-350",'2023'!$I$4="FO",'2023'!$I$2=BR195),'2023DATA'!$M$4,"")</f>
        <v/>
      </c>
      <c r="BS197" s="520" t="str">
        <f>IF(AND(_AC4="A-350",'2023'!$I$4="FO",'2023'!$I$2=BS195),'2023DATA'!$N$4,"")</f>
        <v/>
      </c>
      <c r="BT197" s="940"/>
      <c r="BU197" s="13" t="s">
        <v>62</v>
      </c>
      <c r="BV197" s="518" t="str">
        <f>IF(AND(_AC5="A-350",'2023'!$I$4="FO",'2023'!$I$2=BV195),'2023DATA'!$C$4,"")</f>
        <v/>
      </c>
      <c r="BW197" s="518" t="str">
        <f>IF(AND(_AC5="A-350",'2023'!$I$4="FO",'2023'!$I$2=BW195),'2023DATA'!$D$4,"")</f>
        <v/>
      </c>
      <c r="BX197" s="518" t="str">
        <f>IF(AND(_AC5="A-350",'2023'!$I$4="FO",'2023'!$I$2=BX195),'2023DATA'!$E$4,"")</f>
        <v/>
      </c>
      <c r="BY197" s="518" t="str">
        <f>IF(AND(_AC5="A-350",'2023'!$I$4="FO",'2023'!$I$2=BY195),'2023DATA'!$F$4,"")</f>
        <v/>
      </c>
      <c r="BZ197" s="518" t="str">
        <f>IF(AND(_AC5="A-350",'2023'!$I$4="FO",'2023'!$I$2=BZ195),'2023DATA'!$G$4,"")</f>
        <v/>
      </c>
      <c r="CA197" s="518" t="str">
        <f>IF(AND(_AC5="A-350",'2023'!$I$4="FO",'2023'!$I$2=CA195),'2023DATA'!$H$4,"")</f>
        <v/>
      </c>
      <c r="CB197" s="518" t="str">
        <f>IF(AND(_AC5="A-350",'2023'!$I$4="FO",'2023'!$I$2=CB195),'2023DATA'!$I$4,"")</f>
        <v/>
      </c>
      <c r="CC197" s="518" t="str">
        <f>IF(AND(_AC5="A-350",'2023'!$I$4="FO",'2023'!$I$2=CC195),'2023DATA'!$J$4,"")</f>
        <v/>
      </c>
      <c r="CD197" s="518" t="str">
        <f>IF(AND(_AC5="A-350",'2023'!$I$4="FO",'2023'!$I$2=CD195),'2023DATA'!$K$4,"")</f>
        <v/>
      </c>
      <c r="CE197" s="518" t="str">
        <f>IF(AND(_AC5="A-350",'2023'!$I$4="FO",'2023'!$I$2=CE195),'2023DATA'!$L$4,"")</f>
        <v/>
      </c>
      <c r="CF197" s="518" t="str">
        <f>IF(AND(_AC5="A-350",'2023'!$I$4="FO",'2023'!$I$2=CF195),'2023DATA'!$M$4,"")</f>
        <v/>
      </c>
      <c r="CG197" s="520" t="str">
        <f>IF(AND(_AC5="A-350",'2023'!$I$4="FO",'2023'!$I$2=CG195),'2023DATA'!$N$4,"")</f>
        <v/>
      </c>
      <c r="CH197" s="940"/>
      <c r="CI197" s="13" t="s">
        <v>62</v>
      </c>
      <c r="CJ197" s="518" t="str">
        <f>IF(AND(_AC6="A-350",'2023'!$I$4="FO",'2023'!$I$2=CJ195),'2023DATA'!$C$4,"")</f>
        <v/>
      </c>
      <c r="CK197" s="518" t="str">
        <f>IF(AND(_AC6="A-350",'2023'!$I$4="FO",'2023'!$I$2=CK195),'2023DATA'!$D$4,"")</f>
        <v/>
      </c>
      <c r="CL197" s="518" t="str">
        <f>IF(AND(_AC6="A-350",'2023'!$I$4="FO",'2023'!$I$2=CL195),'2023DATA'!$E$4,"")</f>
        <v/>
      </c>
      <c r="CM197" s="518" t="str">
        <f>IF(AND(_AC6="A-350",'2023'!$I$4="FO",'2023'!$I$2=CM195),'2023DATA'!$F$4,"")</f>
        <v/>
      </c>
      <c r="CN197" s="518" t="str">
        <f>IF(AND(_AC6="A-350",'2023'!$I$4="FO",'2023'!$I$2=CN195),'2023DATA'!$G$4,"")</f>
        <v/>
      </c>
      <c r="CO197" s="518" t="str">
        <f>IF(AND(_AC6="A-350",'2023'!$I$4="FO",'2023'!$I$2=CO195),'2023DATA'!$H$4,"")</f>
        <v/>
      </c>
      <c r="CP197" s="518" t="str">
        <f>IF(AND(_AC6="A-350",'2023'!$I$4="FO",'2023'!$I$2=CP195),'2023DATA'!$I$4,"")</f>
        <v/>
      </c>
      <c r="CQ197" s="518" t="str">
        <f>IF(AND(_AC6="A-350",'2023'!$I$4="FO",'2023'!$I$2=CQ195),'2023DATA'!$J$4,"")</f>
        <v/>
      </c>
      <c r="CR197" s="518" t="str">
        <f>IF(AND(_AC6="A-350",'2023'!$I$4="FO",'2023'!$I$2=CR195),'2023DATA'!$K$4,"")</f>
        <v/>
      </c>
      <c r="CS197" s="518" t="str">
        <f>IF(AND(_AC6="A-350",'2023'!$I$4="FO",'2023'!$I$2=CS195),'2023DATA'!$L$4,"")</f>
        <v/>
      </c>
      <c r="CT197" s="518" t="str">
        <f>IF(AND(_AC6="A-350",'2023'!$I$4="FO",'2023'!$I$2=CT195),'2023DATA'!$M$4,"")</f>
        <v/>
      </c>
      <c r="CU197" s="520" t="str">
        <f>IF(AND(_AC6="A-350",'2023'!$I$4="FO",'2023'!$I$2=CU195),'2023DATA'!$N$4,"")</f>
        <v/>
      </c>
    </row>
    <row r="198" spans="16:99" x14ac:dyDescent="0.25">
      <c r="P198" s="940" t="s">
        <v>65</v>
      </c>
      <c r="Q198" s="13" t="s">
        <v>61</v>
      </c>
      <c r="R198" s="518" t="str">
        <f>IF(AND(_AC1="A-330-900",'2023'!$I$4="CA",'2023'!$I$2=R195),'2023DATA'!$C$5,"")</f>
        <v/>
      </c>
      <c r="S198" s="518" t="str">
        <f>IF(AND(_AC1="A-330-900",'2023'!$I$4="CA",'2023'!$I$2=S195),'2023DATA'!$D$5,"")</f>
        <v/>
      </c>
      <c r="T198" s="518" t="str">
        <f>IF(AND(_AC1="A-330-900",'2023'!$I$4="CA",'2023'!$I$2=T195),'2023DATA'!$E$5,"")</f>
        <v/>
      </c>
      <c r="U198" s="518" t="str">
        <f>IF(AND(_AC1="A-330-900",'2023'!$I$4="CA",'2023'!$I$2=U195),'2023DATA'!$F$5,"")</f>
        <v/>
      </c>
      <c r="V198" s="518" t="str">
        <f>IF(AND(_AC1="A-330-900",'2023'!$I$4="CA",'2023'!$I$2=V195),'2023DATA'!$G$5,"")</f>
        <v/>
      </c>
      <c r="W198" s="518" t="str">
        <f>IF(AND(_AC1="A-330-900",'2023'!$I$4="CA",'2023'!$I$2=W195),'2023DATA'!$H$5,"")</f>
        <v/>
      </c>
      <c r="X198" s="518" t="str">
        <f>IF(AND(_AC1="A-330-900",'2023'!$I$4="CA",'2023'!$I$2=X195),'2023DATA'!$I$5,"")</f>
        <v/>
      </c>
      <c r="Y198" s="518" t="str">
        <f>IF(AND(_AC1="A-330-900",'2023'!$I$4="CA",'2023'!$I$2=Y195),'2023DATA'!$J$5,"")</f>
        <v/>
      </c>
      <c r="Z198" s="518" t="str">
        <f>IF(AND(_AC1="A-330-900",'2023'!$I$4="CA",'2023'!$I$2=Z195),'2023DATA'!$K$5,"")</f>
        <v/>
      </c>
      <c r="AA198" s="518" t="str">
        <f>IF(AND(_AC1="A-330-900",'2023'!$I$4="CA",'2023'!$I$2=AA195),'2023DATA'!$L$5,"")</f>
        <v/>
      </c>
      <c r="AB198" s="518" t="str">
        <f>IF(AND(_AC1="A-330-900",'2023'!$I$4="CA",'2023'!$I$2=AB195),'2023DATA'!$M$5,"")</f>
        <v/>
      </c>
      <c r="AC198" s="520" t="str">
        <f>IF(AND(_AC1="A-330-900",'2023'!$I$4="CA",'2023'!$I$2=AC195),'2023DATA'!$N$5,"")</f>
        <v/>
      </c>
      <c r="AD198" s="940" t="s">
        <v>65</v>
      </c>
      <c r="AE198" s="13" t="s">
        <v>61</v>
      </c>
      <c r="AF198" s="518" t="str">
        <f>IF(AND(_AC2="A-330-900",'2023'!$I$4="CA",'2023'!$I$2=AF195),'2023DATA'!$C$5,"")</f>
        <v/>
      </c>
      <c r="AG198" s="518" t="str">
        <f>IF(AND(_AC2="A-330-900",'2023'!$I$4="CA",'2023'!$I$2=AG195),'2023DATA'!$D$5,"")</f>
        <v/>
      </c>
      <c r="AH198" s="518" t="str">
        <f>IF(AND(_AC2="A-330-900",'2023'!$I$4="CA",'2023'!$I$2=AH195),'2023DATA'!$E$5,"")</f>
        <v/>
      </c>
      <c r="AI198" s="518" t="str">
        <f>IF(AND(_AC2="A-330-900",'2023'!$I$4="CA",'2023'!$I$2=AI195),'2023DATA'!$F$5,"")</f>
        <v/>
      </c>
      <c r="AJ198" s="518" t="str">
        <f>IF(AND(_AC2="A-330-900",'2023'!$I$4="CA",'2023'!$I$2=AJ195),'2023DATA'!$G$5,"")</f>
        <v/>
      </c>
      <c r="AK198" s="518" t="str">
        <f>IF(AND(_AC2="A-330-900",'2023'!$I$4="CA",'2023'!$I$2=AK195),'2023DATA'!$H$5,"")</f>
        <v/>
      </c>
      <c r="AL198" s="518" t="str">
        <f>IF(AND(_AC2="A-330-900",'2023'!$I$4="CA",'2023'!$I$2=AL195),'2023DATA'!$I$5,"")</f>
        <v/>
      </c>
      <c r="AM198" s="518" t="str">
        <f>IF(AND(_AC2="A-330-900",'2023'!$I$4="CA",'2023'!$I$2=AM195),'2023DATA'!$J$5,"")</f>
        <v/>
      </c>
      <c r="AN198" s="518" t="str">
        <f>IF(AND(_AC2="A-330-900",'2023'!$I$4="CA",'2023'!$I$2=AN195),'2023DATA'!$K$5,"")</f>
        <v/>
      </c>
      <c r="AO198" s="518" t="str">
        <f>IF(AND(_AC2="A-330-900",'2023'!$I$4="CA",'2023'!$I$2=AO195),'2023DATA'!$L$5,"")</f>
        <v/>
      </c>
      <c r="AP198" s="518" t="str">
        <f>IF(AND(_AC2="A-330-900",'2023'!$I$4="CA",'2023'!$I$2=AP195),'2023DATA'!$M$5,"")</f>
        <v/>
      </c>
      <c r="AQ198" s="520" t="str">
        <f>IF(AND(_AC2="A-330-900",'2023'!$I$4="CA",'2023'!$I$2=AQ195),'2023DATA'!$N$5,"")</f>
        <v/>
      </c>
      <c r="AR198" s="940" t="s">
        <v>65</v>
      </c>
      <c r="AS198" s="13" t="s">
        <v>61</v>
      </c>
      <c r="AT198" s="518" t="str">
        <f>IF(AND(_AC3="A-330-900",'2023'!$I$4="CA",'2023'!$I$2=AT195),'2023DATA'!$C$5,"")</f>
        <v/>
      </c>
      <c r="AU198" s="518" t="str">
        <f>IF(AND(_AC3="A-330-900",'2023'!$I$4="CA",'2023'!$I$2=AU195),'2023DATA'!$D$5,"")</f>
        <v/>
      </c>
      <c r="AV198" s="518" t="str">
        <f>IF(AND(_AC3="A-330-900",'2023'!$I$4="CA",'2023'!$I$2=AV195),'2023DATA'!$E$5,"")</f>
        <v/>
      </c>
      <c r="AW198" s="518" t="str">
        <f>IF(AND(_AC3="A-330-900",'2023'!$I$4="CA",'2023'!$I$2=AW195),'2023DATA'!$F$5,"")</f>
        <v/>
      </c>
      <c r="AX198" s="518" t="str">
        <f>IF(AND(_AC3="A-330-900",'2023'!$I$4="CA",'2023'!$I$2=AX195),'2023DATA'!$G$5,"")</f>
        <v/>
      </c>
      <c r="AY198" s="518" t="str">
        <f>IF(AND(_AC3="A-330-900",'2023'!$I$4="CA",'2023'!$I$2=AY195),'2023DATA'!$H$5,"")</f>
        <v/>
      </c>
      <c r="AZ198" s="518" t="str">
        <f>IF(AND(_AC3="A-330-900",'2023'!$I$4="CA",'2023'!$I$2=AZ195),'2023DATA'!$I$5,"")</f>
        <v/>
      </c>
      <c r="BA198" s="518" t="str">
        <f>IF(AND(_AC3="A-330-900",'2023'!$I$4="CA",'2023'!$I$2=BA195),'2023DATA'!$J$5,"")</f>
        <v/>
      </c>
      <c r="BB198" s="518" t="str">
        <f>IF(AND(_AC3="A-330-900",'2023'!$I$4="CA",'2023'!$I$2=BB195),'2023DATA'!$K$5,"")</f>
        <v/>
      </c>
      <c r="BC198" s="518" t="str">
        <f>IF(AND(_AC3="A-330-900",'2023'!$I$4="CA",'2023'!$I$2=BC195),'2023DATA'!$L$5,"")</f>
        <v/>
      </c>
      <c r="BD198" s="518" t="str">
        <f>IF(AND(_AC3="A-330-900",'2023'!$I$4="CA",'2023'!$I$2=BD195),'2023DATA'!$M$5,"")</f>
        <v/>
      </c>
      <c r="BE198" s="520" t="str">
        <f>IF(AND(_AC3="A-330-900",'2023'!$I$4="CA",'2023'!$I$2=BE195),'2023DATA'!$N$5,"")</f>
        <v/>
      </c>
      <c r="BF198" s="940" t="s">
        <v>65</v>
      </c>
      <c r="BG198" s="13" t="s">
        <v>61</v>
      </c>
      <c r="BH198" s="518" t="str">
        <f>IF(AND(_AC4="A-330-900",'2023'!$I$4="CA",'2023'!$I$2=BH195),'2023DATA'!$C$5,"")</f>
        <v/>
      </c>
      <c r="BI198" s="518" t="str">
        <f>IF(AND(_AC4="A-330-900",'2023'!$I$4="CA",'2023'!$I$2=BI195),'2023DATA'!$D$5,"")</f>
        <v/>
      </c>
      <c r="BJ198" s="518" t="str">
        <f>IF(AND(_AC4="A-330-900",'2023'!$I$4="CA",'2023'!$I$2=BJ195),'2023DATA'!$E$5,"")</f>
        <v/>
      </c>
      <c r="BK198" s="518" t="str">
        <f>IF(AND(_AC4="A-330-900",'2023'!$I$4="CA",'2023'!$I$2=BK195),'2023DATA'!$F$5,"")</f>
        <v/>
      </c>
      <c r="BL198" s="518" t="str">
        <f>IF(AND(_AC4="A-330-900",'2023'!$I$4="CA",'2023'!$I$2=BL195),'2023DATA'!$G$5,"")</f>
        <v/>
      </c>
      <c r="BM198" s="518" t="str">
        <f>IF(AND(_AC4="A-330-900",'2023'!$I$4="CA",'2023'!$I$2=BM195),'2023DATA'!$H$5,"")</f>
        <v/>
      </c>
      <c r="BN198" s="518" t="str">
        <f>IF(AND(_AC4="A-330-900",'2023'!$I$4="CA",'2023'!$I$2=BN195),'2023DATA'!$I$5,"")</f>
        <v/>
      </c>
      <c r="BO198" s="518" t="str">
        <f>IF(AND(_AC4="A-330-900",'2023'!$I$4="CA",'2023'!$I$2=BO195),'2023DATA'!$J$5,"")</f>
        <v/>
      </c>
      <c r="BP198" s="518" t="str">
        <f>IF(AND(_AC4="A-330-900",'2023'!$I$4="CA",'2023'!$I$2=BP195),'2023DATA'!$K$5,"")</f>
        <v/>
      </c>
      <c r="BQ198" s="518" t="str">
        <f>IF(AND(_AC4="A-330-900",'2023'!$I$4="CA",'2023'!$I$2=BQ195),'2023DATA'!$L$5,"")</f>
        <v/>
      </c>
      <c r="BR198" s="518" t="str">
        <f>IF(AND(_AC4="A-330-900",'2023'!$I$4="CA",'2023'!$I$2=BR195),'2023DATA'!$M$5,"")</f>
        <v/>
      </c>
      <c r="BS198" s="520" t="str">
        <f>IF(AND(_AC4="A-330-900",'2023'!$I$4="CA",'2023'!$I$2=BS195),'2023DATA'!$N$5,"")</f>
        <v/>
      </c>
      <c r="BT198" s="940" t="s">
        <v>65</v>
      </c>
      <c r="BU198" s="13" t="s">
        <v>61</v>
      </c>
      <c r="BV198" s="518" t="str">
        <f>IF(AND(_AC5="A-330-900",'2023'!$I$4="CA",'2023'!$I$2=BV195),'2023DATA'!$C$5,"")</f>
        <v/>
      </c>
      <c r="BW198" s="518" t="str">
        <f>IF(AND(_AC5="A-330-900",'2023'!$I$4="CA",'2023'!$I$2=BW195),'2023DATA'!$D$5,"")</f>
        <v/>
      </c>
      <c r="BX198" s="518" t="str">
        <f>IF(AND(_AC5="A-330-900",'2023'!$I$4="CA",'2023'!$I$2=BX195),'2023DATA'!$E$5,"")</f>
        <v/>
      </c>
      <c r="BY198" s="518" t="str">
        <f>IF(AND(_AC5="A-330-900",'2023'!$I$4="CA",'2023'!$I$2=BY195),'2023DATA'!$F$5,"")</f>
        <v/>
      </c>
      <c r="BZ198" s="518" t="str">
        <f>IF(AND(_AC5="A-330-900",'2023'!$I$4="CA",'2023'!$I$2=BZ195),'2023DATA'!$G$5,"")</f>
        <v/>
      </c>
      <c r="CA198" s="518" t="str">
        <f>IF(AND(_AC5="A-330-900",'2023'!$I$4="CA",'2023'!$I$2=CA195),'2023DATA'!$H$5,"")</f>
        <v/>
      </c>
      <c r="CB198" s="518" t="str">
        <f>IF(AND(_AC5="A-330-900",'2023'!$I$4="CA",'2023'!$I$2=CB195),'2023DATA'!$I$5,"")</f>
        <v/>
      </c>
      <c r="CC198" s="518" t="str">
        <f>IF(AND(_AC5="A-330-900",'2023'!$I$4="CA",'2023'!$I$2=CC195),'2023DATA'!$J$5,"")</f>
        <v/>
      </c>
      <c r="CD198" s="518" t="str">
        <f>IF(AND(_AC5="A-330-900",'2023'!$I$4="CA",'2023'!$I$2=CD195),'2023DATA'!$K$5,"")</f>
        <v/>
      </c>
      <c r="CE198" s="518" t="str">
        <f>IF(AND(_AC5="A-330-900",'2023'!$I$4="CA",'2023'!$I$2=CE195),'2023DATA'!$L$5,"")</f>
        <v/>
      </c>
      <c r="CF198" s="518" t="str">
        <f>IF(AND(_AC5="A-330-900",'2023'!$I$4="CA",'2023'!$I$2=CF195),'2023DATA'!$M$5,"")</f>
        <v/>
      </c>
      <c r="CG198" s="520" t="str">
        <f>IF(AND(_AC5="A-330-900",'2023'!$I$4="CA",'2023'!$I$2=CG195),'2023DATA'!$N$5,"")</f>
        <v/>
      </c>
      <c r="CH198" s="940" t="s">
        <v>65</v>
      </c>
      <c r="CI198" s="13" t="s">
        <v>61</v>
      </c>
      <c r="CJ198" s="518" t="str">
        <f>IF(AND(_AC6="A-330-900",'2023'!$I$4="CA",'2023'!$I$2=CJ195),'2023DATA'!$C$5,"")</f>
        <v/>
      </c>
      <c r="CK198" s="518" t="str">
        <f>IF(AND(_AC6="A-330-900",'2023'!$I$4="CA",'2023'!$I$2=CK195),'2023DATA'!$D$5,"")</f>
        <v/>
      </c>
      <c r="CL198" s="518" t="str">
        <f>IF(AND(_AC6="A-330-900",'2023'!$I$4="CA",'2023'!$I$2=CL195),'2023DATA'!$E$5,"")</f>
        <v/>
      </c>
      <c r="CM198" s="518" t="str">
        <f>IF(AND(_AC6="A-330-900",'2023'!$I$4="CA",'2023'!$I$2=CM195),'2023DATA'!$F$5,"")</f>
        <v/>
      </c>
      <c r="CN198" s="518" t="str">
        <f>IF(AND(_AC6="A-330-900",'2023'!$I$4="CA",'2023'!$I$2=CN195),'2023DATA'!$G$5,"")</f>
        <v/>
      </c>
      <c r="CO198" s="518" t="str">
        <f>IF(AND(_AC6="A-330-900",'2023'!$I$4="CA",'2023'!$I$2=CO195),'2023DATA'!$H$5,"")</f>
        <v/>
      </c>
      <c r="CP198" s="518" t="str">
        <f>IF(AND(_AC6="A-330-900",'2023'!$I$4="CA",'2023'!$I$2=CP195),'2023DATA'!$I$5,"")</f>
        <v/>
      </c>
      <c r="CQ198" s="518" t="str">
        <f>IF(AND(_AC6="A-330-900",'2023'!$I$4="CA",'2023'!$I$2=CQ195),'2023DATA'!$J$5,"")</f>
        <v/>
      </c>
      <c r="CR198" s="518" t="str">
        <f>IF(AND(_AC6="A-330-900",'2023'!$I$4="CA",'2023'!$I$2=CR195),'2023DATA'!$K$5,"")</f>
        <v/>
      </c>
      <c r="CS198" s="518" t="str">
        <f>IF(AND(_AC6="A-330-900",'2023'!$I$4="CA",'2023'!$I$2=CS195),'2023DATA'!$L$5,"")</f>
        <v/>
      </c>
      <c r="CT198" s="518" t="str">
        <f>IF(AND(_AC6="A-330-900",'2023'!$I$4="CA",'2023'!$I$2=CT195),'2023DATA'!$M$5,"")</f>
        <v/>
      </c>
      <c r="CU198" s="520" t="str">
        <f>IF(AND(_AC6="A-330-900",'2023'!$I$4="CA",'2023'!$I$2=CU195),'2023DATA'!$N$5,"")</f>
        <v/>
      </c>
    </row>
    <row r="199" spans="16:99" x14ac:dyDescent="0.25">
      <c r="P199" s="940"/>
      <c r="Q199" s="13" t="s">
        <v>62</v>
      </c>
      <c r="R199" s="518" t="str">
        <f>IF(AND(_AC1="A-330-900",'2023'!$I$4="FO",'2023'!$I$2=R195),'2023DATA'!$C$6,"")</f>
        <v/>
      </c>
      <c r="S199" s="518" t="str">
        <f>IF(AND(_AC1="A-330-900",'2023'!$I$4="FO",'2023'!$I$2=S195),'2023DATA'!$D$6,"")</f>
        <v/>
      </c>
      <c r="T199" s="518" t="str">
        <f>IF(AND(_AC1="A-330-900",'2023'!$I$4="FO",'2023'!$I$2=T195),'2023DATA'!$E$6,"")</f>
        <v/>
      </c>
      <c r="U199" s="518" t="str">
        <f>IF(AND(_AC1="A-330-900",'2023'!$I$4="FO",'2023'!$I$2=U195),'2023DATA'!$F$6,"")</f>
        <v/>
      </c>
      <c r="V199" s="518" t="str">
        <f>IF(AND(_AC1="A-330-900",'2023'!$I$4="FO",'2023'!$I$2=V195),'2023DATA'!$G$6,"")</f>
        <v/>
      </c>
      <c r="W199" s="518" t="str">
        <f>IF(AND(_AC1="A-330-900",'2023'!$I$4="FO",'2023'!$I$2=W195),'2023DATA'!$H$6,"")</f>
        <v/>
      </c>
      <c r="X199" s="518" t="str">
        <f>IF(AND(_AC1="A-330-900",'2023'!$I$4="FO",'2023'!$I$2=X195),'2023DATA'!$I$6,"")</f>
        <v/>
      </c>
      <c r="Y199" s="518" t="str">
        <f>IF(AND(_AC1="A-330-900",'2023'!$I$4="FO",'2023'!$I$2=Y195),'2023DATA'!$J$6,"")</f>
        <v/>
      </c>
      <c r="Z199" s="518" t="str">
        <f>IF(AND(_AC1="A-330-900",'2023'!$I$4="FO",'2023'!$I$2=Z195),'2023DATA'!$K$6,"")</f>
        <v/>
      </c>
      <c r="AA199" s="518" t="str">
        <f>IF(AND(_AC1="A-330-900",'2023'!$I$4="FO",'2023'!$I$2=AA195),'2023DATA'!$L$6,"")</f>
        <v/>
      </c>
      <c r="AB199" s="518" t="str">
        <f>IF(AND(_AC1="A-330-900",'2023'!$I$4="FO",'2023'!$I$2=AB195),'2023DATA'!$M$6,"")</f>
        <v/>
      </c>
      <c r="AC199" s="520" t="str">
        <f>IF(AND(_AC1="A-330-900",'2023'!$I$4="FO",'2023'!$I$2=AC195),'2023DATA'!$N$6,"")</f>
        <v/>
      </c>
      <c r="AD199" s="940"/>
      <c r="AE199" s="13" t="s">
        <v>62</v>
      </c>
      <c r="AF199" s="518" t="str">
        <f>IF(AND(_AC2="A-330-900",'2023'!$I$4="FO",'2023'!$I$2=AF195),'2023DATA'!$C$6,"")</f>
        <v/>
      </c>
      <c r="AG199" s="518" t="str">
        <f>IF(AND(_AC2="A-330-900",'2023'!$I$4="FO",'2023'!$I$2=AG195),'2023DATA'!$D$6,"")</f>
        <v/>
      </c>
      <c r="AH199" s="518" t="str">
        <f>IF(AND(_AC2="A-330-900",'2023'!$I$4="FO",'2023'!$I$2=AH195),'2023DATA'!$E$6,"")</f>
        <v/>
      </c>
      <c r="AI199" s="518" t="str">
        <f>IF(AND(_AC2="A-330-900",'2023'!$I$4="FO",'2023'!$I$2=AI195),'2023DATA'!$F$6,"")</f>
        <v/>
      </c>
      <c r="AJ199" s="518" t="str">
        <f>IF(AND(_AC2="A-330-900",'2023'!$I$4="FO",'2023'!$I$2=AJ195),'2023DATA'!$G$6,"")</f>
        <v/>
      </c>
      <c r="AK199" s="518" t="str">
        <f>IF(AND(_AC2="A-330-900",'2023'!$I$4="FO",'2023'!$I$2=AK195),'2023DATA'!$H$6,"")</f>
        <v/>
      </c>
      <c r="AL199" s="518" t="str">
        <f>IF(AND(_AC2="A-330-900",'2023'!$I$4="FO",'2023'!$I$2=AL195),'2023DATA'!$I$6,"")</f>
        <v/>
      </c>
      <c r="AM199" s="518" t="str">
        <f>IF(AND(_AC2="A-330-900",'2023'!$I$4="FO",'2023'!$I$2=AM195),'2023DATA'!$J$6,"")</f>
        <v/>
      </c>
      <c r="AN199" s="518" t="str">
        <f>IF(AND(_AC2="A-330-900",'2023'!$I$4="FO",'2023'!$I$2=AN195),'2023DATA'!$K$6,"")</f>
        <v/>
      </c>
      <c r="AO199" s="518" t="str">
        <f>IF(AND(_AC2="A-330-900",'2023'!$I$4="FO",'2023'!$I$2=AO195),'2023DATA'!$L$6,"")</f>
        <v/>
      </c>
      <c r="AP199" s="518" t="str">
        <f>IF(AND(_AC2="A-330-900",'2023'!$I$4="FO",'2023'!$I$2=AP195),'2023DATA'!$M$6,"")</f>
        <v/>
      </c>
      <c r="AQ199" s="520" t="str">
        <f>IF(AND(_AC2="A-330-900",'2023'!$I$4="FO",'2023'!$I$2=AQ195),'2023DATA'!$N$6,"")</f>
        <v/>
      </c>
      <c r="AR199" s="940"/>
      <c r="AS199" s="13" t="s">
        <v>62</v>
      </c>
      <c r="AT199" s="518" t="str">
        <f>IF(AND(_AC3="A-330-900",'2023'!$I$4="FO",'2023'!$I$2=AT195),'2023DATA'!$C$6,"")</f>
        <v/>
      </c>
      <c r="AU199" s="518" t="str">
        <f>IF(AND(_AC3="A-330-900",'2023'!$I$4="FO",'2023'!$I$2=AU195),'2023DATA'!$D$6,"")</f>
        <v/>
      </c>
      <c r="AV199" s="518" t="str">
        <f>IF(AND(_AC3="A-330-900",'2023'!$I$4="FO",'2023'!$I$2=AV195),'2023DATA'!$E$6,"")</f>
        <v/>
      </c>
      <c r="AW199" s="518" t="str">
        <f>IF(AND(_AC3="A-330-900",'2023'!$I$4="FO",'2023'!$I$2=AW195),'2023DATA'!$F$6,"")</f>
        <v/>
      </c>
      <c r="AX199" s="518" t="str">
        <f>IF(AND(_AC3="A-330-900",'2023'!$I$4="FO",'2023'!$I$2=AX195),'2023DATA'!$G$6,"")</f>
        <v/>
      </c>
      <c r="AY199" s="518" t="str">
        <f>IF(AND(_AC3="A-330-900",'2023'!$I$4="FO",'2023'!$I$2=AY195),'2023DATA'!$H$6,"")</f>
        <v/>
      </c>
      <c r="AZ199" s="518" t="str">
        <f>IF(AND(_AC3="A-330-900",'2023'!$I$4="FO",'2023'!$I$2=AZ195),'2023DATA'!$I$6,"")</f>
        <v/>
      </c>
      <c r="BA199" s="518" t="str">
        <f>IF(AND(_AC3="A-330-900",'2023'!$I$4="FO",'2023'!$I$2=BA195),'2023DATA'!$J$6,"")</f>
        <v/>
      </c>
      <c r="BB199" s="518" t="str">
        <f>IF(AND(_AC3="A-330-900",'2023'!$I$4="FO",'2023'!$I$2=BB195),'2023DATA'!$K$6,"")</f>
        <v/>
      </c>
      <c r="BC199" s="518" t="str">
        <f>IF(AND(_AC3="A-330-900",'2023'!$I$4="FO",'2023'!$I$2=BC195),'2023DATA'!$L$6,"")</f>
        <v/>
      </c>
      <c r="BD199" s="518" t="str">
        <f>IF(AND(_AC3="A-330-900",'2023'!$I$4="FO",'2023'!$I$2=BD195),'2023DATA'!$M$6,"")</f>
        <v/>
      </c>
      <c r="BE199" s="520" t="str">
        <f>IF(AND(_AC3="A-330-900",'2023'!$I$4="FO",'2023'!$I$2=BE195),'2023DATA'!$N$6,"")</f>
        <v/>
      </c>
      <c r="BF199" s="940"/>
      <c r="BG199" s="13" t="s">
        <v>62</v>
      </c>
      <c r="BH199" s="518" t="str">
        <f>IF(AND(_AC4="A-330-900",'2023'!$I$4="FO",'2023'!$I$2=BH195),'2023DATA'!$C$6,"")</f>
        <v/>
      </c>
      <c r="BI199" s="518" t="str">
        <f>IF(AND(_AC4="A-330-900",'2023'!$I$4="FO",'2023'!$I$2=BI195),'2023DATA'!$D$6,"")</f>
        <v/>
      </c>
      <c r="BJ199" s="518" t="str">
        <f>IF(AND(_AC4="A-330-900",'2023'!$I$4="FO",'2023'!$I$2=BJ195),'2023DATA'!$E$6,"")</f>
        <v/>
      </c>
      <c r="BK199" s="518" t="str">
        <f>IF(AND(_AC4="A-330-900",'2023'!$I$4="FO",'2023'!$I$2=BK195),'2023DATA'!$F$6,"")</f>
        <v/>
      </c>
      <c r="BL199" s="518" t="str">
        <f>IF(AND(_AC4="A-330-900",'2023'!$I$4="FO",'2023'!$I$2=BL195),'2023DATA'!$G$6,"")</f>
        <v/>
      </c>
      <c r="BM199" s="518" t="str">
        <f>IF(AND(_AC4="A-330-900",'2023'!$I$4="FO",'2023'!$I$2=BM195),'2023DATA'!$H$6,"")</f>
        <v/>
      </c>
      <c r="BN199" s="518" t="str">
        <f>IF(AND(_AC4="A-330-900",'2023'!$I$4="FO",'2023'!$I$2=BN195),'2023DATA'!$I$6,"")</f>
        <v/>
      </c>
      <c r="BO199" s="518" t="str">
        <f>IF(AND(_AC4="A-330-900",'2023'!$I$4="FO",'2023'!$I$2=BO195),'2023DATA'!$J$6,"")</f>
        <v/>
      </c>
      <c r="BP199" s="518" t="str">
        <f>IF(AND(_AC4="A-330-900",'2023'!$I$4="FO",'2023'!$I$2=BP195),'2023DATA'!$K$6,"")</f>
        <v/>
      </c>
      <c r="BQ199" s="518" t="str">
        <f>IF(AND(_AC4="A-330-900",'2023'!$I$4="FO",'2023'!$I$2=BQ195),'2023DATA'!$L$6,"")</f>
        <v/>
      </c>
      <c r="BR199" s="518" t="str">
        <f>IF(AND(_AC4="A-330-900",'2023'!$I$4="FO",'2023'!$I$2=BR195),'2023DATA'!$M$6,"")</f>
        <v/>
      </c>
      <c r="BS199" s="520" t="str">
        <f>IF(AND(_AC4="A-330-900",'2023'!$I$4="FO",'2023'!$I$2=BS195),'2023DATA'!$N$6,"")</f>
        <v/>
      </c>
      <c r="BT199" s="940"/>
      <c r="BU199" s="13" t="s">
        <v>62</v>
      </c>
      <c r="BV199" s="518" t="str">
        <f>IF(AND(_AC5="A-330-900",'2023'!$I$4="FO",'2023'!$I$2=BV195),'2023DATA'!$C$6,"")</f>
        <v/>
      </c>
      <c r="BW199" s="518" t="str">
        <f>IF(AND(_AC5="A-330-900",'2023'!$I$4="FO",'2023'!$I$2=BW195),'2023DATA'!$D$6,"")</f>
        <v/>
      </c>
      <c r="BX199" s="518" t="str">
        <f>IF(AND(_AC5="A-330-900",'2023'!$I$4="FO",'2023'!$I$2=BX195),'2023DATA'!$E$6,"")</f>
        <v/>
      </c>
      <c r="BY199" s="518" t="str">
        <f>IF(AND(_AC5="A-330-900",'2023'!$I$4="FO",'2023'!$I$2=BY195),'2023DATA'!$F$6,"")</f>
        <v/>
      </c>
      <c r="BZ199" s="518" t="str">
        <f>IF(AND(_AC5="A-330-900",'2023'!$I$4="FO",'2023'!$I$2=BZ195),'2023DATA'!$G$6,"")</f>
        <v/>
      </c>
      <c r="CA199" s="518" t="str">
        <f>IF(AND(_AC5="A-330-900",'2023'!$I$4="FO",'2023'!$I$2=CA195),'2023DATA'!$H$6,"")</f>
        <v/>
      </c>
      <c r="CB199" s="518" t="str">
        <f>IF(AND(_AC5="A-330-900",'2023'!$I$4="FO",'2023'!$I$2=CB195),'2023DATA'!$I$6,"")</f>
        <v/>
      </c>
      <c r="CC199" s="518" t="str">
        <f>IF(AND(_AC5="A-330-900",'2023'!$I$4="FO",'2023'!$I$2=CC195),'2023DATA'!$J$6,"")</f>
        <v/>
      </c>
      <c r="CD199" s="518" t="str">
        <f>IF(AND(_AC5="A-330-900",'2023'!$I$4="FO",'2023'!$I$2=CD195),'2023DATA'!$K$6,"")</f>
        <v/>
      </c>
      <c r="CE199" s="518" t="str">
        <f>IF(AND(_AC5="A-330-900",'2023'!$I$4="FO",'2023'!$I$2=CE195),'2023DATA'!$L$6,"")</f>
        <v/>
      </c>
      <c r="CF199" s="518" t="str">
        <f>IF(AND(_AC5="A-330-900",'2023'!$I$4="FO",'2023'!$I$2=CF195),'2023DATA'!$M$6,"")</f>
        <v/>
      </c>
      <c r="CG199" s="520" t="str">
        <f>IF(AND(_AC5="A-330-900",'2023'!$I$4="FO",'2023'!$I$2=CG195),'2023DATA'!$N$6,"")</f>
        <v/>
      </c>
      <c r="CH199" s="940"/>
      <c r="CI199" s="13" t="s">
        <v>62</v>
      </c>
      <c r="CJ199" s="518" t="str">
        <f>IF(AND(_AC6="A-330-900",'2023'!$I$4="FO",'2023'!$I$2=CJ195),'2023DATA'!$C$6,"")</f>
        <v/>
      </c>
      <c r="CK199" s="518" t="str">
        <f>IF(AND(_AC6="A-330-900",'2023'!$I$4="FO",'2023'!$I$2=CK195),'2023DATA'!$D$6,"")</f>
        <v/>
      </c>
      <c r="CL199" s="518" t="str">
        <f>IF(AND(_AC6="A-330-900",'2023'!$I$4="FO",'2023'!$I$2=CL195),'2023DATA'!$E$6,"")</f>
        <v/>
      </c>
      <c r="CM199" s="518" t="str">
        <f>IF(AND(_AC6="A-330-900",'2023'!$I$4="FO",'2023'!$I$2=CM195),'2023DATA'!$F$6,"")</f>
        <v/>
      </c>
      <c r="CN199" s="518" t="str">
        <f>IF(AND(_AC6="A-330-900",'2023'!$I$4="FO",'2023'!$I$2=CN195),'2023DATA'!$G$6,"")</f>
        <v/>
      </c>
      <c r="CO199" s="518" t="str">
        <f>IF(AND(_AC6="A-330-900",'2023'!$I$4="FO",'2023'!$I$2=CO195),'2023DATA'!$H$6,"")</f>
        <v/>
      </c>
      <c r="CP199" s="518" t="str">
        <f>IF(AND(_AC6="A-330-900",'2023'!$I$4="FO",'2023'!$I$2=CP195),'2023DATA'!$I$6,"")</f>
        <v/>
      </c>
      <c r="CQ199" s="518" t="str">
        <f>IF(AND(_AC6="A-330-900",'2023'!$I$4="FO",'2023'!$I$2=CQ195),'2023DATA'!$J$6,"")</f>
        <v/>
      </c>
      <c r="CR199" s="518" t="str">
        <f>IF(AND(_AC6="A-330-900",'2023'!$I$4="FO",'2023'!$I$2=CR195),'2023DATA'!$K$6,"")</f>
        <v/>
      </c>
      <c r="CS199" s="518" t="str">
        <f>IF(AND(_AC6="A-330-900",'2023'!$I$4="FO",'2023'!$I$2=CS195),'2023DATA'!$L$6,"")</f>
        <v/>
      </c>
      <c r="CT199" s="518" t="str">
        <f>IF(AND(_AC6="A-330-900",'2023'!$I$4="FO",'2023'!$I$2=CT195),'2023DATA'!$M$6,"")</f>
        <v/>
      </c>
      <c r="CU199" s="520" t="str">
        <f>IF(AND(_AC6="A-330-900",'2023'!$I$4="FO",'2023'!$I$2=CU195),'2023DATA'!$N$6,"")</f>
        <v/>
      </c>
    </row>
    <row r="200" spans="16:99" x14ac:dyDescent="0.25">
      <c r="P200" s="940" t="s">
        <v>64</v>
      </c>
      <c r="Q200" s="13" t="s">
        <v>61</v>
      </c>
      <c r="R200" s="518" t="str">
        <f>IF(AND(_AC1="A-330-300",'2023'!$I$4="CA",'2023'!$I$2=R195),'2023DATA'!$C$7,"")</f>
        <v/>
      </c>
      <c r="S200" s="518" t="str">
        <f>IF(AND(_AC1="A-330-300",'2023'!$I$4="CA",'2023'!$I$2=S195),'2023DATA'!$D$7,"")</f>
        <v/>
      </c>
      <c r="T200" s="518" t="str">
        <f>IF(AND(_AC1="A-330-300",'2023'!$I$4="CA",'2023'!$I$2=T195),'2023DATA'!$E$7,"")</f>
        <v/>
      </c>
      <c r="U200" s="518" t="str">
        <f>IF(AND(_AC1="A-330-300",'2023'!$I$4="CA",'2023'!$I$2=U195),'2023DATA'!$F$7,"")</f>
        <v/>
      </c>
      <c r="V200" s="518" t="str">
        <f>IF(AND(_AC1="A-330-300",'2023'!$I$4="CA",'2023'!$I$2=V195),'2023DATA'!$G$7,"")</f>
        <v/>
      </c>
      <c r="W200" s="518" t="str">
        <f>IF(AND(_AC1="A-330-300",'2023'!$I$4="CA",'2023'!$I$2=W195),'2023DATA'!$H$7,"")</f>
        <v/>
      </c>
      <c r="X200" s="518" t="str">
        <f>IF(AND(_AC1="A-330-300",'2023'!$I$4="CA",'2023'!$I$2=X195),'2023DATA'!$I$7,"")</f>
        <v/>
      </c>
      <c r="Y200" s="518" t="str">
        <f>IF(AND(_AC1="A-330-300",'2023'!$I$4="CA",'2023'!$I$2=Y195),'2023DATA'!$J$7,"")</f>
        <v/>
      </c>
      <c r="Z200" s="518" t="str">
        <f>IF(AND(_AC1="A-330-300",'2023'!$I$4="CA",'2023'!$I$2=Z195),'2023DATA'!$K$7,"")</f>
        <v/>
      </c>
      <c r="AA200" s="518" t="str">
        <f>IF(AND(_AC1="A-330-300",'2023'!$I$4="CA",'2023'!$I$2=AA195),'2023DATA'!$L$7,"")</f>
        <v/>
      </c>
      <c r="AB200" s="518" t="str">
        <f>IF(AND(_AC1="A-330-300",'2023'!$I$4="CA",'2023'!$I$2=AB195),'2023DATA'!$M$7,"")</f>
        <v/>
      </c>
      <c r="AC200" s="520" t="str">
        <f>IF(AND(_AC1="A-330-300",'2023'!$I$4="CA",'2023'!$I$2=AC195),'2023DATA'!$N$7,"")</f>
        <v/>
      </c>
      <c r="AD200" s="940" t="s">
        <v>64</v>
      </c>
      <c r="AE200" s="13" t="s">
        <v>61</v>
      </c>
      <c r="AF200" s="518" t="str">
        <f>IF(AND(_AC2="A-330-300",'2023'!$I$4="CA",'2023'!$I$2=AF195),'2023DATA'!$C$7,"")</f>
        <v/>
      </c>
      <c r="AG200" s="518" t="str">
        <f>IF(AND(_AC2="A-330-300",'2023'!$I$4="CA",'2023'!$I$2=AG195),'2023DATA'!$D$7,"")</f>
        <v/>
      </c>
      <c r="AH200" s="518" t="str">
        <f>IF(AND(_AC2="A-330-300",'2023'!$I$4="CA",'2023'!$I$2=AH195),'2023DATA'!$E$7,"")</f>
        <v/>
      </c>
      <c r="AI200" s="518" t="str">
        <f>IF(AND(_AC2="A-330-300",'2023'!$I$4="CA",'2023'!$I$2=AI195),'2023DATA'!$F$7,"")</f>
        <v/>
      </c>
      <c r="AJ200" s="518" t="str">
        <f>IF(AND(_AC2="A-330-300",'2023'!$I$4="CA",'2023'!$I$2=AJ195),'2023DATA'!$G$7,"")</f>
        <v/>
      </c>
      <c r="AK200" s="518" t="str">
        <f>IF(AND(_AC2="A-330-300",'2023'!$I$4="CA",'2023'!$I$2=AK195),'2023DATA'!$H$7,"")</f>
        <v/>
      </c>
      <c r="AL200" s="518" t="str">
        <f>IF(AND(_AC2="A-330-300",'2023'!$I$4="CA",'2023'!$I$2=AL195),'2023DATA'!$I$7,"")</f>
        <v/>
      </c>
      <c r="AM200" s="518" t="str">
        <f>IF(AND(_AC2="A-330-300",'2023'!$I$4="CA",'2023'!$I$2=AM195),'2023DATA'!$J$7,"")</f>
        <v/>
      </c>
      <c r="AN200" s="518" t="str">
        <f>IF(AND(_AC2="A-330-300",'2023'!$I$4="CA",'2023'!$I$2=AN195),'2023DATA'!$K$7,"")</f>
        <v/>
      </c>
      <c r="AO200" s="518" t="str">
        <f>IF(AND(_AC2="A-330-300",'2023'!$I$4="CA",'2023'!$I$2=AO195),'2023DATA'!$L$7,"")</f>
        <v/>
      </c>
      <c r="AP200" s="518" t="str">
        <f>IF(AND(_AC2="A-330-300",'2023'!$I$4="CA",'2023'!$I$2=AP195),'2023DATA'!$M$7,"")</f>
        <v/>
      </c>
      <c r="AQ200" s="520" t="str">
        <f>IF(AND(_AC2="A-330-300",'2023'!$I$4="CA",'2023'!$I$2=AQ195),'2023DATA'!$N$7,"")</f>
        <v/>
      </c>
      <c r="AR200" s="940" t="s">
        <v>64</v>
      </c>
      <c r="AS200" s="13" t="s">
        <v>61</v>
      </c>
      <c r="AT200" s="518" t="str">
        <f>IF(AND(_AC3="A-330-300",'2023'!$I$4="CA",'2023'!$I$2=AT195),'2023DATA'!$C$7,"")</f>
        <v/>
      </c>
      <c r="AU200" s="518" t="str">
        <f>IF(AND(_AC3="A-330-300",'2023'!$I$4="CA",'2023'!$I$2=AU195),'2023DATA'!$D$7,"")</f>
        <v/>
      </c>
      <c r="AV200" s="518" t="str">
        <f>IF(AND(_AC3="A-330-300",'2023'!$I$4="CA",'2023'!$I$2=AV195),'2023DATA'!$E$7,"")</f>
        <v/>
      </c>
      <c r="AW200" s="518" t="str">
        <f>IF(AND(_AC3="A-330-300",'2023'!$I$4="CA",'2023'!$I$2=AW195),'2023DATA'!$F$7,"")</f>
        <v/>
      </c>
      <c r="AX200" s="518" t="str">
        <f>IF(AND(_AC3="A-330-300",'2023'!$I$4="CA",'2023'!$I$2=AX195),'2023DATA'!$G$7,"")</f>
        <v/>
      </c>
      <c r="AY200" s="518" t="str">
        <f>IF(AND(_AC3="A-330-300",'2023'!$I$4="CA",'2023'!$I$2=AY195),'2023DATA'!$H$7,"")</f>
        <v/>
      </c>
      <c r="AZ200" s="518" t="str">
        <f>IF(AND(_AC3="A-330-300",'2023'!$I$4="CA",'2023'!$I$2=AZ195),'2023DATA'!$I$7,"")</f>
        <v/>
      </c>
      <c r="BA200" s="518" t="str">
        <f>IF(AND(_AC3="A-330-300",'2023'!$I$4="CA",'2023'!$I$2=BA195),'2023DATA'!$J$7,"")</f>
        <v/>
      </c>
      <c r="BB200" s="518" t="str">
        <f>IF(AND(_AC3="A-330-300",'2023'!$I$4="CA",'2023'!$I$2=BB195),'2023DATA'!$K$7,"")</f>
        <v/>
      </c>
      <c r="BC200" s="518" t="str">
        <f>IF(AND(_AC3="A-330-300",'2023'!$I$4="CA",'2023'!$I$2=BC195),'2023DATA'!$L$7,"")</f>
        <v/>
      </c>
      <c r="BD200" s="518" t="str">
        <f>IF(AND(_AC3="A-330-300",'2023'!$I$4="CA",'2023'!$I$2=BD195),'2023DATA'!$M$7,"")</f>
        <v/>
      </c>
      <c r="BE200" s="520" t="str">
        <f>IF(AND(_AC3="A-330-300",'2023'!$I$4="CA",'2023'!$I$2=BE195),'2023DATA'!$N$7,"")</f>
        <v/>
      </c>
      <c r="BF200" s="940" t="s">
        <v>64</v>
      </c>
      <c r="BG200" s="13" t="s">
        <v>61</v>
      </c>
      <c r="BH200" s="518" t="str">
        <f>IF(AND(_AC4="A-330-300",'2023'!$I$4="CA",'2023'!$I$2=BH195),'2023DATA'!$C$7,"")</f>
        <v/>
      </c>
      <c r="BI200" s="518" t="str">
        <f>IF(AND(_AC4="A-330-300",'2023'!$I$4="CA",'2023'!$I$2=BI195),'2023DATA'!$D$7,"")</f>
        <v/>
      </c>
      <c r="BJ200" s="518" t="str">
        <f>IF(AND(_AC4="A-330-300",'2023'!$I$4="CA",'2023'!$I$2=BJ195),'2023DATA'!$E$7,"")</f>
        <v/>
      </c>
      <c r="BK200" s="518" t="str">
        <f>IF(AND(_AC4="A-330-300",'2023'!$I$4="CA",'2023'!$I$2=BK195),'2023DATA'!$F$7,"")</f>
        <v/>
      </c>
      <c r="BL200" s="518" t="str">
        <f>IF(AND(_AC4="A-330-300",'2023'!$I$4="CA",'2023'!$I$2=BL195),'2023DATA'!$G$7,"")</f>
        <v/>
      </c>
      <c r="BM200" s="518" t="str">
        <f>IF(AND(_AC4="A-330-300",'2023'!$I$4="CA",'2023'!$I$2=BM195),'2023DATA'!$H$7,"")</f>
        <v/>
      </c>
      <c r="BN200" s="518" t="str">
        <f>IF(AND(_AC4="A-330-300",'2023'!$I$4="CA",'2023'!$I$2=BN195),'2023DATA'!$I$7,"")</f>
        <v/>
      </c>
      <c r="BO200" s="518" t="str">
        <f>IF(AND(_AC4="A-330-300",'2023'!$I$4="CA",'2023'!$I$2=BO195),'2023DATA'!$J$7,"")</f>
        <v/>
      </c>
      <c r="BP200" s="518" t="str">
        <f>IF(AND(_AC4="A-330-300",'2023'!$I$4="CA",'2023'!$I$2=BP195),'2023DATA'!$K$7,"")</f>
        <v/>
      </c>
      <c r="BQ200" s="518" t="str">
        <f>IF(AND(_AC4="A-330-300",'2023'!$I$4="CA",'2023'!$I$2=BQ195),'2023DATA'!$L$7,"")</f>
        <v/>
      </c>
      <c r="BR200" s="518" t="str">
        <f>IF(AND(_AC4="A-330-300",'2023'!$I$4="CA",'2023'!$I$2=BR195),'2023DATA'!$M$7,"")</f>
        <v/>
      </c>
      <c r="BS200" s="520" t="str">
        <f>IF(AND(_AC4="A-330-300",'2023'!$I$4="CA",'2023'!$I$2=BS195),'2023DATA'!$N$7,"")</f>
        <v/>
      </c>
      <c r="BT200" s="940" t="s">
        <v>64</v>
      </c>
      <c r="BU200" s="13" t="s">
        <v>61</v>
      </c>
      <c r="BV200" s="518" t="str">
        <f>IF(AND(_AC5="A-330-300",'2023'!$I$4="CA",'2023'!$I$2=BV195),'2023DATA'!$C$7,"")</f>
        <v/>
      </c>
      <c r="BW200" s="518" t="str">
        <f>IF(AND(_AC5="A-330-300",'2023'!$I$4="CA",'2023'!$I$2=BW195),'2023DATA'!$D$7,"")</f>
        <v/>
      </c>
      <c r="BX200" s="518" t="str">
        <f>IF(AND(_AC5="A-330-300",'2023'!$I$4="CA",'2023'!$I$2=BX195),'2023DATA'!$E$7,"")</f>
        <v/>
      </c>
      <c r="BY200" s="518" t="str">
        <f>IF(AND(_AC5="A-330-300",'2023'!$I$4="CA",'2023'!$I$2=BY195),'2023DATA'!$F$7,"")</f>
        <v/>
      </c>
      <c r="BZ200" s="518" t="str">
        <f>IF(AND(_AC5="A-330-300",'2023'!$I$4="CA",'2023'!$I$2=BZ195),'2023DATA'!$G$7,"")</f>
        <v/>
      </c>
      <c r="CA200" s="518" t="str">
        <f>IF(AND(_AC5="A-330-300",'2023'!$I$4="CA",'2023'!$I$2=CA195),'2023DATA'!$H$7,"")</f>
        <v/>
      </c>
      <c r="CB200" s="518" t="str">
        <f>IF(AND(_AC5="A-330-300",'2023'!$I$4="CA",'2023'!$I$2=CB195),'2023DATA'!$I$7,"")</f>
        <v/>
      </c>
      <c r="CC200" s="518" t="str">
        <f>IF(AND(_AC5="A-330-300",'2023'!$I$4="CA",'2023'!$I$2=CC195),'2023DATA'!$J$7,"")</f>
        <v/>
      </c>
      <c r="CD200" s="518" t="str">
        <f>IF(AND(_AC5="A-330-300",'2023'!$I$4="CA",'2023'!$I$2=CD195),'2023DATA'!$K$7,"")</f>
        <v/>
      </c>
      <c r="CE200" s="518" t="str">
        <f>IF(AND(_AC5="A-330-300",'2023'!$I$4="CA",'2023'!$I$2=CE195),'2023DATA'!$L$7,"")</f>
        <v/>
      </c>
      <c r="CF200" s="518" t="str">
        <f>IF(AND(_AC5="A-330-300",'2023'!$I$4="CA",'2023'!$I$2=CF195),'2023DATA'!$M$7,"")</f>
        <v/>
      </c>
      <c r="CG200" s="520" t="str">
        <f>IF(AND(_AC5="A-330-300",'2023'!$I$4="CA",'2023'!$I$2=CG195),'2023DATA'!$N$7,"")</f>
        <v/>
      </c>
      <c r="CH200" s="940" t="s">
        <v>64</v>
      </c>
      <c r="CI200" s="13" t="s">
        <v>61</v>
      </c>
      <c r="CJ200" s="518" t="str">
        <f>IF(AND(_AC6="A-330-300",'2023'!$I$4="CA",'2023'!$I$2=CJ195),'2023DATA'!$C$7,"")</f>
        <v/>
      </c>
      <c r="CK200" s="518" t="str">
        <f>IF(AND(_AC6="A-330-300",'2023'!$I$4="CA",'2023'!$I$2=CK195),'2023DATA'!$D$7,"")</f>
        <v/>
      </c>
      <c r="CL200" s="518" t="str">
        <f>IF(AND(_AC6="A-330-300",'2023'!$I$4="CA",'2023'!$I$2=CL195),'2023DATA'!$E$7,"")</f>
        <v/>
      </c>
      <c r="CM200" s="518" t="str">
        <f>IF(AND(_AC6="A-330-300",'2023'!$I$4="CA",'2023'!$I$2=CM195),'2023DATA'!$F$7,"")</f>
        <v/>
      </c>
      <c r="CN200" s="518" t="str">
        <f>IF(AND(_AC6="A-330-300",'2023'!$I$4="CA",'2023'!$I$2=CN195),'2023DATA'!$G$7,"")</f>
        <v/>
      </c>
      <c r="CO200" s="518" t="str">
        <f>IF(AND(_AC6="A-330-300",'2023'!$I$4="CA",'2023'!$I$2=CO195),'2023DATA'!$H$7,"")</f>
        <v/>
      </c>
      <c r="CP200" s="518" t="str">
        <f>IF(AND(_AC6="A-330-300",'2023'!$I$4="CA",'2023'!$I$2=CP195),'2023DATA'!$I$7,"")</f>
        <v/>
      </c>
      <c r="CQ200" s="518" t="str">
        <f>IF(AND(_AC6="A-330-300",'2023'!$I$4="CA",'2023'!$I$2=CQ195),'2023DATA'!$J$7,"")</f>
        <v/>
      </c>
      <c r="CR200" s="518" t="str">
        <f>IF(AND(_AC6="A-330-300",'2023'!$I$4="CA",'2023'!$I$2=CR195),'2023DATA'!$K$7,"")</f>
        <v/>
      </c>
      <c r="CS200" s="518" t="str">
        <f>IF(AND(_AC6="A-330-300",'2023'!$I$4="CA",'2023'!$I$2=CS195),'2023DATA'!$L$7,"")</f>
        <v/>
      </c>
      <c r="CT200" s="518" t="str">
        <f>IF(AND(_AC6="A-330-300",'2023'!$I$4="CA",'2023'!$I$2=CT195),'2023DATA'!$M$7,"")</f>
        <v/>
      </c>
      <c r="CU200" s="520" t="str">
        <f>IF(AND(_AC6="A-330-300",'2023'!$I$4="CA",'2023'!$I$2=CU195),'2023DATA'!$N$7,"")</f>
        <v/>
      </c>
    </row>
    <row r="201" spans="16:99" x14ac:dyDescent="0.25">
      <c r="P201" s="940"/>
      <c r="Q201" s="13" t="s">
        <v>62</v>
      </c>
      <c r="R201" s="518" t="str">
        <f>IF(AND(_AC1="A-330-300",'2023'!$I$4="FO",'2023'!$I$2=R195),'2023DATA'!$C$8,"")</f>
        <v/>
      </c>
      <c r="S201" s="518" t="str">
        <f>IF(AND(_AC1="A-330-300",'2023'!$I$4="FO",'2023'!$I$2=S195),'2023DATA'!$D$8,"")</f>
        <v/>
      </c>
      <c r="T201" s="518" t="str">
        <f>IF(AND(_AC1="A-330-300",'2023'!$I$4="FO",'2023'!$I$2=T195),'2023DATA'!$E$8,"")</f>
        <v/>
      </c>
      <c r="U201" s="518" t="str">
        <f>IF(AND(_AC1="A-330-300",'2023'!$I$4="FO",'2023'!$I$2=U195),'2023DATA'!$F$8,"")</f>
        <v/>
      </c>
      <c r="V201" s="518" t="str">
        <f>IF(AND(_AC1="A-330-300",'2023'!$I$4="FO",'2023'!$I$2=V195),'2023DATA'!$G$8,"")</f>
        <v/>
      </c>
      <c r="W201" s="518" t="str">
        <f>IF(AND(_AC1="A-330-300",'2023'!$I$4="FO",'2023'!$I$2=W195),'2023DATA'!$H$8,"")</f>
        <v/>
      </c>
      <c r="X201" s="518" t="str">
        <f>IF(AND(_AC1="A-330-300",'2023'!$I$4="FO",'2023'!$I$2=X195),'2023DATA'!$I$8,"")</f>
        <v/>
      </c>
      <c r="Y201" s="518" t="str">
        <f>IF(AND(_AC1="A-330-300",'2023'!$I$4="FO",'2023'!$I$2=Y195),'2023DATA'!$J$8,"")</f>
        <v/>
      </c>
      <c r="Z201" s="518" t="str">
        <f>IF(AND(_AC1="A-330-300",'2023'!$I$4="FO",'2023'!$I$2=Z195),'2023DATA'!$K$8,"")</f>
        <v/>
      </c>
      <c r="AA201" s="518" t="str">
        <f>IF(AND(_AC1="A-330-300",'2023'!$I$4="FO",'2023'!$I$2=AA195),'2023DATA'!$L$8,"")</f>
        <v/>
      </c>
      <c r="AB201" s="518" t="str">
        <f>IF(AND(_AC1="A-330-300",'2023'!$I$4="FO",'2023'!$I$2=AB195),'2023DATA'!$M$8,"")</f>
        <v/>
      </c>
      <c r="AC201" s="520" t="str">
        <f>IF(AND(_AC1="A-330-300",'2023'!$I$4="FO",'2023'!$I$2=AC195),'2023DATA'!$N$8,"")</f>
        <v/>
      </c>
      <c r="AD201" s="940"/>
      <c r="AE201" s="13" t="s">
        <v>62</v>
      </c>
      <c r="AF201" s="518" t="str">
        <f>IF(AND(_AC2="A-330-300",'2023'!$I$4="FO",'2023'!$I$2=AF195),'2023DATA'!$C$8,"")</f>
        <v/>
      </c>
      <c r="AG201" s="518" t="str">
        <f>IF(AND(_AC2="A-330-300",'2023'!$I$4="FO",'2023'!$I$2=AG195),'2023DATA'!$D$8,"")</f>
        <v/>
      </c>
      <c r="AH201" s="518" t="str">
        <f>IF(AND(_AC2="A-330-300",'2023'!$I$4="FO",'2023'!$I$2=AH195),'2023DATA'!$E$8,"")</f>
        <v/>
      </c>
      <c r="AI201" s="518" t="str">
        <f>IF(AND(_AC2="A-330-300",'2023'!$I$4="FO",'2023'!$I$2=AI195),'2023DATA'!$F$8,"")</f>
        <v/>
      </c>
      <c r="AJ201" s="518" t="str">
        <f>IF(AND(_AC2="A-330-300",'2023'!$I$4="FO",'2023'!$I$2=AJ195),'2023DATA'!$G$8,"")</f>
        <v/>
      </c>
      <c r="AK201" s="518" t="str">
        <f>IF(AND(_AC2="A-330-300",'2023'!$I$4="FO",'2023'!$I$2=AK195),'2023DATA'!$H$8,"")</f>
        <v/>
      </c>
      <c r="AL201" s="518" t="str">
        <f>IF(AND(_AC2="A-330-300",'2023'!$I$4="FO",'2023'!$I$2=AL195),'2023DATA'!$I$8,"")</f>
        <v/>
      </c>
      <c r="AM201" s="518" t="str">
        <f>IF(AND(_AC2="A-330-300",'2023'!$I$4="FO",'2023'!$I$2=AM195),'2023DATA'!$J$8,"")</f>
        <v/>
      </c>
      <c r="AN201" s="518" t="str">
        <f>IF(AND(_AC2="A-330-300",'2023'!$I$4="FO",'2023'!$I$2=AN195),'2023DATA'!$K$8,"")</f>
        <v/>
      </c>
      <c r="AO201" s="518" t="str">
        <f>IF(AND(_AC2="A-330-300",'2023'!$I$4="FO",'2023'!$I$2=AO195),'2023DATA'!$L$8,"")</f>
        <v/>
      </c>
      <c r="AP201" s="518" t="str">
        <f>IF(AND(_AC2="A-330-300",'2023'!$I$4="FO",'2023'!$I$2=AP195),'2023DATA'!$M$8,"")</f>
        <v/>
      </c>
      <c r="AQ201" s="520" t="str">
        <f>IF(AND(_AC2="A-330-300",'2023'!$I$4="FO",'2023'!$I$2=AQ195),'2023DATA'!$N$8,"")</f>
        <v/>
      </c>
      <c r="AR201" s="940"/>
      <c r="AS201" s="13" t="s">
        <v>62</v>
      </c>
      <c r="AT201" s="518" t="str">
        <f>IF(AND(_AC3="A-330-300",'2023'!$I$4="FO",'2023'!$I$2=AT195),'2023DATA'!$C$8,"")</f>
        <v/>
      </c>
      <c r="AU201" s="518" t="str">
        <f>IF(AND(_AC3="A-330-300",'2023'!$I$4="FO",'2023'!$I$2=AU195),'2023DATA'!$D$8,"")</f>
        <v/>
      </c>
      <c r="AV201" s="518" t="str">
        <f>IF(AND(_AC3="A-330-300",'2023'!$I$4="FO",'2023'!$I$2=AV195),'2023DATA'!$E$8,"")</f>
        <v/>
      </c>
      <c r="AW201" s="518" t="str">
        <f>IF(AND(_AC3="A-330-300",'2023'!$I$4="FO",'2023'!$I$2=AW195),'2023DATA'!$F$8,"")</f>
        <v/>
      </c>
      <c r="AX201" s="518" t="str">
        <f>IF(AND(_AC3="A-330-300",'2023'!$I$4="FO",'2023'!$I$2=AX195),'2023DATA'!$G$8,"")</f>
        <v/>
      </c>
      <c r="AY201" s="518" t="str">
        <f>IF(AND(_AC3="A-330-300",'2023'!$I$4="FO",'2023'!$I$2=AY195),'2023DATA'!$H$8,"")</f>
        <v/>
      </c>
      <c r="AZ201" s="518" t="str">
        <f>IF(AND(_AC3="A-330-300",'2023'!$I$4="FO",'2023'!$I$2=AZ195),'2023DATA'!$I$8,"")</f>
        <v/>
      </c>
      <c r="BA201" s="518" t="str">
        <f>IF(AND(_AC3="A-330-300",'2023'!$I$4="FO",'2023'!$I$2=BA195),'2023DATA'!$J$8,"")</f>
        <v/>
      </c>
      <c r="BB201" s="518" t="str">
        <f>IF(AND(_AC3="A-330-300",'2023'!$I$4="FO",'2023'!$I$2=BB195),'2023DATA'!$K$8,"")</f>
        <v/>
      </c>
      <c r="BC201" s="518" t="str">
        <f>IF(AND(_AC3="A-330-300",'2023'!$I$4="FO",'2023'!$I$2=BC195),'2023DATA'!$L$8,"")</f>
        <v/>
      </c>
      <c r="BD201" s="518" t="str">
        <f>IF(AND(_AC3="A-330-300",'2023'!$I$4="FO",'2023'!$I$2=BD195),'2023DATA'!$M$8,"")</f>
        <v/>
      </c>
      <c r="BE201" s="520" t="str">
        <f>IF(AND(_AC3="A-330-300",'2023'!$I$4="FO",'2023'!$I$2=BE195),'2023DATA'!$N$8,"")</f>
        <v/>
      </c>
      <c r="BF201" s="940"/>
      <c r="BG201" s="13" t="s">
        <v>62</v>
      </c>
      <c r="BH201" s="518" t="str">
        <f>IF(AND(_AC4="A-330-300",'2023'!$I$4="FO",'2023'!$I$2=BH195),'2023DATA'!$C$8,"")</f>
        <v/>
      </c>
      <c r="BI201" s="518" t="str">
        <f>IF(AND(_AC4="A-330-300",'2023'!$I$4="FO",'2023'!$I$2=BI195),'2023DATA'!$D$8,"")</f>
        <v/>
      </c>
      <c r="BJ201" s="518" t="str">
        <f>IF(AND(_AC4="A-330-300",'2023'!$I$4="FO",'2023'!$I$2=BJ195),'2023DATA'!$E$8,"")</f>
        <v/>
      </c>
      <c r="BK201" s="518" t="str">
        <f>IF(AND(_AC4="A-330-300",'2023'!$I$4="FO",'2023'!$I$2=BK195),'2023DATA'!$F$8,"")</f>
        <v/>
      </c>
      <c r="BL201" s="518" t="str">
        <f>IF(AND(_AC4="A-330-300",'2023'!$I$4="FO",'2023'!$I$2=BL195),'2023DATA'!$G$8,"")</f>
        <v/>
      </c>
      <c r="BM201" s="518" t="str">
        <f>IF(AND(_AC4="A-330-300",'2023'!$I$4="FO",'2023'!$I$2=BM195),'2023DATA'!$H$8,"")</f>
        <v/>
      </c>
      <c r="BN201" s="518" t="str">
        <f>IF(AND(_AC4="A-330-300",'2023'!$I$4="FO",'2023'!$I$2=BN195),'2023DATA'!$I$8,"")</f>
        <v/>
      </c>
      <c r="BO201" s="518" t="str">
        <f>IF(AND(_AC4="A-330-300",'2023'!$I$4="FO",'2023'!$I$2=BO195),'2023DATA'!$J$8,"")</f>
        <v/>
      </c>
      <c r="BP201" s="518" t="str">
        <f>IF(AND(_AC4="A-330-300",'2023'!$I$4="FO",'2023'!$I$2=BP195),'2023DATA'!$K$8,"")</f>
        <v/>
      </c>
      <c r="BQ201" s="518" t="str">
        <f>IF(AND(_AC4="A-330-300",'2023'!$I$4="FO",'2023'!$I$2=BQ195),'2023DATA'!$L$8,"")</f>
        <v/>
      </c>
      <c r="BR201" s="518" t="str">
        <f>IF(AND(_AC4="A-330-300",'2023'!$I$4="FO",'2023'!$I$2=BR195),'2023DATA'!$M$8,"")</f>
        <v/>
      </c>
      <c r="BS201" s="520" t="str">
        <f>IF(AND(_AC4="A-330-300",'2023'!$I$4="FO",'2023'!$I$2=BS195),'2023DATA'!$N$8,"")</f>
        <v/>
      </c>
      <c r="BT201" s="940"/>
      <c r="BU201" s="13" t="s">
        <v>62</v>
      </c>
      <c r="BV201" s="518" t="str">
        <f>IF(AND(_AC5="A-330-300",'2023'!$I$4="FO",'2023'!$I$2=BV195),'2023DATA'!$C$8,"")</f>
        <v/>
      </c>
      <c r="BW201" s="518" t="str">
        <f>IF(AND(_AC5="A-330-300",'2023'!$I$4="FO",'2023'!$I$2=BW195),'2023DATA'!$D$8,"")</f>
        <v/>
      </c>
      <c r="BX201" s="518" t="str">
        <f>IF(AND(_AC5="A-330-300",'2023'!$I$4="FO",'2023'!$I$2=BX195),'2023DATA'!$E$8,"")</f>
        <v/>
      </c>
      <c r="BY201" s="518" t="str">
        <f>IF(AND(_AC5="A-330-300",'2023'!$I$4="FO",'2023'!$I$2=BY195),'2023DATA'!$F$8,"")</f>
        <v/>
      </c>
      <c r="BZ201" s="518" t="str">
        <f>IF(AND(_AC5="A-330-300",'2023'!$I$4="FO",'2023'!$I$2=BZ195),'2023DATA'!$G$8,"")</f>
        <v/>
      </c>
      <c r="CA201" s="518" t="str">
        <f>IF(AND(_AC5="A-330-300",'2023'!$I$4="FO",'2023'!$I$2=CA195),'2023DATA'!$H$8,"")</f>
        <v/>
      </c>
      <c r="CB201" s="518" t="str">
        <f>IF(AND(_AC5="A-330-300",'2023'!$I$4="FO",'2023'!$I$2=CB195),'2023DATA'!$I$8,"")</f>
        <v/>
      </c>
      <c r="CC201" s="518" t="str">
        <f>IF(AND(_AC5="A-330-300",'2023'!$I$4="FO",'2023'!$I$2=CC195),'2023DATA'!$J$8,"")</f>
        <v/>
      </c>
      <c r="CD201" s="518" t="str">
        <f>IF(AND(_AC5="A-330-300",'2023'!$I$4="FO",'2023'!$I$2=CD195),'2023DATA'!$K$8,"")</f>
        <v/>
      </c>
      <c r="CE201" s="518" t="str">
        <f>IF(AND(_AC5="A-330-300",'2023'!$I$4="FO",'2023'!$I$2=CE195),'2023DATA'!$L$8,"")</f>
        <v/>
      </c>
      <c r="CF201" s="518" t="str">
        <f>IF(AND(_AC5="A-330-300",'2023'!$I$4="FO",'2023'!$I$2=CF195),'2023DATA'!$M$8,"")</f>
        <v/>
      </c>
      <c r="CG201" s="520" t="str">
        <f>IF(AND(_AC5="A-330-300",'2023'!$I$4="FO",'2023'!$I$2=CG195),'2023DATA'!$N$8,"")</f>
        <v/>
      </c>
      <c r="CH201" s="940"/>
      <c r="CI201" s="13" t="s">
        <v>62</v>
      </c>
      <c r="CJ201" s="518" t="str">
        <f>IF(AND(_AC6="A-330-300",'2023'!$I$4="FO",'2023'!$I$2=CJ195),'2023DATA'!$C$8,"")</f>
        <v/>
      </c>
      <c r="CK201" s="518" t="str">
        <f>IF(AND(_AC6="A-330-300",'2023'!$I$4="FO",'2023'!$I$2=CK195),'2023DATA'!$D$8,"")</f>
        <v/>
      </c>
      <c r="CL201" s="518" t="str">
        <f>IF(AND(_AC6="A-330-300",'2023'!$I$4="FO",'2023'!$I$2=CL195),'2023DATA'!$E$8,"")</f>
        <v/>
      </c>
      <c r="CM201" s="518" t="str">
        <f>IF(AND(_AC6="A-330-300",'2023'!$I$4="FO",'2023'!$I$2=CM195),'2023DATA'!$F$8,"")</f>
        <v/>
      </c>
      <c r="CN201" s="518" t="str">
        <f>IF(AND(_AC6="A-330-300",'2023'!$I$4="FO",'2023'!$I$2=CN195),'2023DATA'!$G$8,"")</f>
        <v/>
      </c>
      <c r="CO201" s="518" t="str">
        <f>IF(AND(_AC6="A-330-300",'2023'!$I$4="FO",'2023'!$I$2=CO195),'2023DATA'!$H$8,"")</f>
        <v/>
      </c>
      <c r="CP201" s="518" t="str">
        <f>IF(AND(_AC6="A-330-300",'2023'!$I$4="FO",'2023'!$I$2=CP195),'2023DATA'!$I$8,"")</f>
        <v/>
      </c>
      <c r="CQ201" s="518" t="str">
        <f>IF(AND(_AC6="A-330-300",'2023'!$I$4="FO",'2023'!$I$2=CQ195),'2023DATA'!$J$8,"")</f>
        <v/>
      </c>
      <c r="CR201" s="518" t="str">
        <f>IF(AND(_AC6="A-330-300",'2023'!$I$4="FO",'2023'!$I$2=CR195),'2023DATA'!$K$8,"")</f>
        <v/>
      </c>
      <c r="CS201" s="518" t="str">
        <f>IF(AND(_AC6="A-330-300",'2023'!$I$4="FO",'2023'!$I$2=CS195),'2023DATA'!$L$8,"")</f>
        <v/>
      </c>
      <c r="CT201" s="518" t="str">
        <f>IF(AND(_AC6="A-330-300",'2023'!$I$4="FO",'2023'!$I$2=CT195),'2023DATA'!$M$8,"")</f>
        <v/>
      </c>
      <c r="CU201" s="520" t="str">
        <f>IF(AND(_AC6="A-330-300",'2023'!$I$4="FO",'2023'!$I$2=CU195),'2023DATA'!$N$8,"")</f>
        <v/>
      </c>
    </row>
    <row r="202" spans="16:99" x14ac:dyDescent="0.25">
      <c r="P202" s="940" t="s">
        <v>66</v>
      </c>
      <c r="Q202" s="13" t="s">
        <v>61</v>
      </c>
      <c r="R202" s="518" t="str">
        <f>IF(AND(_AC1="A-330-200",'2023'!$I$4="CA",'2023'!$I$2=R195),'2023DATA'!$C$9,"")</f>
        <v/>
      </c>
      <c r="S202" s="518" t="str">
        <f>IF(AND(_AC1="A-330-200",'2023'!$I$4="CA",'2023'!$I$2=S195),'2023DATA'!$D$9,"")</f>
        <v/>
      </c>
      <c r="T202" s="518" t="str">
        <f>IF(AND(_AC1="A-330-200",'2023'!$I$4="CA",'2023'!$I$2=T195),'2023DATA'!$E$9,"")</f>
        <v/>
      </c>
      <c r="U202" s="518" t="str">
        <f>IF(AND(_AC1="A-330-200",'2023'!$I$4="CA",'2023'!$I$2=U195),'2023DATA'!$F$9,"")</f>
        <v/>
      </c>
      <c r="V202" s="518" t="str">
        <f>IF(AND(_AC1="A-330-200",'2023'!$I$4="CA",'2023'!$I$2=V195),'2023DATA'!$G$9,"")</f>
        <v/>
      </c>
      <c r="W202" s="518" t="str">
        <f>IF(AND(_AC1="A-330-200",'2023'!$I$4="CA",'2023'!$I$2=W195),'2023DATA'!$H$9,"")</f>
        <v/>
      </c>
      <c r="X202" s="518" t="str">
        <f>IF(AND(_AC1="A-330-200",'2023'!$I$4="CA",'2023'!$I$2=X195),'2023DATA'!$I$9,"")</f>
        <v/>
      </c>
      <c r="Y202" s="518" t="str">
        <f>IF(AND(_AC1="A-330-200",'2023'!$I$4="CA",'2023'!$I$2=Y195),'2023DATA'!$J$9,"")</f>
        <v/>
      </c>
      <c r="Z202" s="518" t="str">
        <f>IF(AND(_AC1="A-330-200",'2023'!$I$4="CA",'2023'!$I$2=Z195),'2023DATA'!$K$9,"")</f>
        <v/>
      </c>
      <c r="AA202" s="518" t="str">
        <f>IF(AND(_AC1="A-330-200",'2023'!$I$4="CA",'2023'!$I$2=AA195),'2023DATA'!$L$9,"")</f>
        <v/>
      </c>
      <c r="AB202" s="518" t="str">
        <f>IF(AND(_AC1="A-330-200",'2023'!$I$4="CA",'2023'!$I$2=AB195),'2023DATA'!$M$9,"")</f>
        <v/>
      </c>
      <c r="AC202" s="520" t="str">
        <f>IF(AND(_AC1="A-330-200",'2023'!$I$4="CA",'2023'!$I$2=AC195),'2023DATA'!$N$9,"")</f>
        <v/>
      </c>
      <c r="AD202" s="940" t="s">
        <v>66</v>
      </c>
      <c r="AE202" s="13" t="s">
        <v>61</v>
      </c>
      <c r="AF202" s="518" t="str">
        <f>IF(AND(_AC2="A-330-200",'2023'!$I$4="CA",'2023'!$I$2=AF195),'2023DATA'!$C$9,"")</f>
        <v/>
      </c>
      <c r="AG202" s="518" t="str">
        <f>IF(AND(_AC2="A-330-200",'2023'!$I$4="CA",'2023'!$I$2=AG195),'2023DATA'!$D$9,"")</f>
        <v/>
      </c>
      <c r="AH202" s="518" t="str">
        <f>IF(AND(_AC2="A-330-200",'2023'!$I$4="CA",'2023'!$I$2=AH195),'2023DATA'!$E$9,"")</f>
        <v/>
      </c>
      <c r="AI202" s="518" t="str">
        <f>IF(AND(_AC2="A-330-200",'2023'!$I$4="CA",'2023'!$I$2=AI195),'2023DATA'!$F$9,"")</f>
        <v/>
      </c>
      <c r="AJ202" s="518" t="str">
        <f>IF(AND(_AC2="A-330-200",'2023'!$I$4="CA",'2023'!$I$2=AJ195),'2023DATA'!$G$9,"")</f>
        <v/>
      </c>
      <c r="AK202" s="518" t="str">
        <f>IF(AND(_AC2="A-330-200",'2023'!$I$4="CA",'2023'!$I$2=AK195),'2023DATA'!$H$9,"")</f>
        <v/>
      </c>
      <c r="AL202" s="518" t="str">
        <f>IF(AND(_AC2="A-330-200",'2023'!$I$4="CA",'2023'!$I$2=AL195),'2023DATA'!$I$9,"")</f>
        <v/>
      </c>
      <c r="AM202" s="518" t="str">
        <f>IF(AND(_AC2="A-330-200",'2023'!$I$4="CA",'2023'!$I$2=AM195),'2023DATA'!$J$9,"")</f>
        <v/>
      </c>
      <c r="AN202" s="518" t="str">
        <f>IF(AND(_AC2="A-330-200",'2023'!$I$4="CA",'2023'!$I$2=AN195),'2023DATA'!$K$9,"")</f>
        <v/>
      </c>
      <c r="AO202" s="518" t="str">
        <f>IF(AND(_AC2="A-330-200",'2023'!$I$4="CA",'2023'!$I$2=AO195),'2023DATA'!$L$9,"")</f>
        <v/>
      </c>
      <c r="AP202" s="518" t="str">
        <f>IF(AND(_AC2="A-330-200",'2023'!$I$4="CA",'2023'!$I$2=AP195),'2023DATA'!$M$9,"")</f>
        <v/>
      </c>
      <c r="AQ202" s="520" t="str">
        <f>IF(AND(_AC2="A-330-200",'2023'!$I$4="CA",'2023'!$I$2=AQ195),'2023DATA'!$N$9,"")</f>
        <v/>
      </c>
      <c r="AR202" s="940" t="s">
        <v>66</v>
      </c>
      <c r="AS202" s="13" t="s">
        <v>61</v>
      </c>
      <c r="AT202" s="518" t="str">
        <f>IF(AND(_AC3="A-330-200",'2023'!$I$4="CA",'2023'!$I$2=AT195),'2023DATA'!$C$9,"")</f>
        <v/>
      </c>
      <c r="AU202" s="518" t="str">
        <f>IF(AND(_AC3="A-330-200",'2023'!$I$4="CA",'2023'!$I$2=AU195),'2023DATA'!$D$9,"")</f>
        <v/>
      </c>
      <c r="AV202" s="518" t="str">
        <f>IF(AND(_AC3="A-330-200",'2023'!$I$4="CA",'2023'!$I$2=AV195),'2023DATA'!$E$9,"")</f>
        <v/>
      </c>
      <c r="AW202" s="518" t="str">
        <f>IF(AND(_AC3="A-330-200",'2023'!$I$4="CA",'2023'!$I$2=AW195),'2023DATA'!$F$9,"")</f>
        <v/>
      </c>
      <c r="AX202" s="518" t="str">
        <f>IF(AND(_AC3="A-330-200",'2023'!$I$4="CA",'2023'!$I$2=AX195),'2023DATA'!$G$9,"")</f>
        <v/>
      </c>
      <c r="AY202" s="518" t="str">
        <f>IF(AND(_AC3="A-330-200",'2023'!$I$4="CA",'2023'!$I$2=AY195),'2023DATA'!$H$9,"")</f>
        <v/>
      </c>
      <c r="AZ202" s="518" t="str">
        <f>IF(AND(_AC3="A-330-200",'2023'!$I$4="CA",'2023'!$I$2=AZ195),'2023DATA'!$I$9,"")</f>
        <v/>
      </c>
      <c r="BA202" s="518" t="str">
        <f>IF(AND(_AC3="A-330-200",'2023'!$I$4="CA",'2023'!$I$2=BA195),'2023DATA'!$J$9,"")</f>
        <v/>
      </c>
      <c r="BB202" s="518" t="str">
        <f>IF(AND(_AC3="A-330-200",'2023'!$I$4="CA",'2023'!$I$2=BB195),'2023DATA'!$K$9,"")</f>
        <v/>
      </c>
      <c r="BC202" s="518" t="str">
        <f>IF(AND(_AC3="A-330-200",'2023'!$I$4="CA",'2023'!$I$2=BC195),'2023DATA'!$L$9,"")</f>
        <v/>
      </c>
      <c r="BD202" s="518" t="str">
        <f>IF(AND(_AC3="A-330-200",'2023'!$I$4="CA",'2023'!$I$2=BD195),'2023DATA'!$M$9,"")</f>
        <v/>
      </c>
      <c r="BE202" s="520" t="str">
        <f>IF(AND(_AC3="A-330-200",'2023'!$I$4="CA",'2023'!$I$2=BE195),'2023DATA'!$N$9,"")</f>
        <v/>
      </c>
      <c r="BF202" s="940" t="s">
        <v>66</v>
      </c>
      <c r="BG202" s="13" t="s">
        <v>61</v>
      </c>
      <c r="BH202" s="518" t="str">
        <f>IF(AND(_AC4="A-330-200",'2023'!$I$4="CA",'2023'!$I$2=BH195),'2023DATA'!$C$9,"")</f>
        <v/>
      </c>
      <c r="BI202" s="518" t="str">
        <f>IF(AND(_AC4="A-330-200",'2023'!$I$4="CA",'2023'!$I$2=BI195),'2023DATA'!$D$9,"")</f>
        <v/>
      </c>
      <c r="BJ202" s="518" t="str">
        <f>IF(AND(_AC4="A-330-200",'2023'!$I$4="CA",'2023'!$I$2=BJ195),'2023DATA'!$E$9,"")</f>
        <v/>
      </c>
      <c r="BK202" s="518" t="str">
        <f>IF(AND(_AC4="A-330-200",'2023'!$I$4="CA",'2023'!$I$2=BK195),'2023DATA'!$F$9,"")</f>
        <v/>
      </c>
      <c r="BL202" s="518" t="str">
        <f>IF(AND(_AC4="A-330-200",'2023'!$I$4="CA",'2023'!$I$2=BL195),'2023DATA'!$G$9,"")</f>
        <v/>
      </c>
      <c r="BM202" s="518" t="str">
        <f>IF(AND(_AC4="A-330-200",'2023'!$I$4="CA",'2023'!$I$2=BM195),'2023DATA'!$H$9,"")</f>
        <v/>
      </c>
      <c r="BN202" s="518" t="str">
        <f>IF(AND(_AC4="A-330-200",'2023'!$I$4="CA",'2023'!$I$2=BN195),'2023DATA'!$I$9,"")</f>
        <v/>
      </c>
      <c r="BO202" s="518" t="str">
        <f>IF(AND(_AC4="A-330-200",'2023'!$I$4="CA",'2023'!$I$2=BO195),'2023DATA'!$J$9,"")</f>
        <v/>
      </c>
      <c r="BP202" s="518" t="str">
        <f>IF(AND(_AC4="A-330-200",'2023'!$I$4="CA",'2023'!$I$2=BP195),'2023DATA'!$K$9,"")</f>
        <v/>
      </c>
      <c r="BQ202" s="518" t="str">
        <f>IF(AND(_AC4="A-330-200",'2023'!$I$4="CA",'2023'!$I$2=BQ195),'2023DATA'!$L$9,"")</f>
        <v/>
      </c>
      <c r="BR202" s="518" t="str">
        <f>IF(AND(_AC4="A-330-200",'2023'!$I$4="CA",'2023'!$I$2=BR195),'2023DATA'!$M$9,"")</f>
        <v/>
      </c>
      <c r="BS202" s="520" t="str">
        <f>IF(AND(_AC4="A-330-200",'2023'!$I$4="CA",'2023'!$I$2=BS195),'2023DATA'!$N$9,"")</f>
        <v/>
      </c>
      <c r="BT202" s="940" t="s">
        <v>66</v>
      </c>
      <c r="BU202" s="13" t="s">
        <v>61</v>
      </c>
      <c r="BV202" s="518" t="str">
        <f>IF(AND(_AC5="A-330-200",'2023'!$I$4="CA",'2023'!$I$2=BV195),'2023DATA'!$C$9,"")</f>
        <v/>
      </c>
      <c r="BW202" s="518" t="str">
        <f>IF(AND(_AC5="A-330-200",'2023'!$I$4="CA",'2023'!$I$2=BW195),'2023DATA'!$D$9,"")</f>
        <v/>
      </c>
      <c r="BX202" s="518" t="str">
        <f>IF(AND(_AC5="A-330-200",'2023'!$I$4="CA",'2023'!$I$2=BX195),'2023DATA'!$E$9,"")</f>
        <v/>
      </c>
      <c r="BY202" s="518" t="str">
        <f>IF(AND(_AC5="A-330-200",'2023'!$I$4="CA",'2023'!$I$2=BY195),'2023DATA'!$F$9,"")</f>
        <v/>
      </c>
      <c r="BZ202" s="518" t="str">
        <f>IF(AND(_AC5="A-330-200",'2023'!$I$4="CA",'2023'!$I$2=BZ195),'2023DATA'!$G$9,"")</f>
        <v/>
      </c>
      <c r="CA202" s="518" t="str">
        <f>IF(AND(_AC5="A-330-200",'2023'!$I$4="CA",'2023'!$I$2=CA195),'2023DATA'!$H$9,"")</f>
        <v/>
      </c>
      <c r="CB202" s="518" t="str">
        <f>IF(AND(_AC5="A-330-200",'2023'!$I$4="CA",'2023'!$I$2=CB195),'2023DATA'!$I$9,"")</f>
        <v/>
      </c>
      <c r="CC202" s="518" t="str">
        <f>IF(AND(_AC5="A-330-200",'2023'!$I$4="CA",'2023'!$I$2=CC195),'2023DATA'!$J$9,"")</f>
        <v/>
      </c>
      <c r="CD202" s="518" t="str">
        <f>IF(AND(_AC5="A-330-200",'2023'!$I$4="CA",'2023'!$I$2=CD195),'2023DATA'!$K$9,"")</f>
        <v/>
      </c>
      <c r="CE202" s="518" t="str">
        <f>IF(AND(_AC5="A-330-200",'2023'!$I$4="CA",'2023'!$I$2=CE195),'2023DATA'!$L$9,"")</f>
        <v/>
      </c>
      <c r="CF202" s="518" t="str">
        <f>IF(AND(_AC5="A-330-200",'2023'!$I$4="CA",'2023'!$I$2=CF195),'2023DATA'!$M$9,"")</f>
        <v/>
      </c>
      <c r="CG202" s="520" t="str">
        <f>IF(AND(_AC5="A-330-200",'2023'!$I$4="CA",'2023'!$I$2=CG195),'2023DATA'!$N$9,"")</f>
        <v/>
      </c>
      <c r="CH202" s="940" t="s">
        <v>66</v>
      </c>
      <c r="CI202" s="13" t="s">
        <v>61</v>
      </c>
      <c r="CJ202" s="518" t="str">
        <f>IF(AND(_AC6="A-330-200",'2023'!$I$4="CA",'2023'!$I$2=CJ195),'2023DATA'!$C$9,"")</f>
        <v/>
      </c>
      <c r="CK202" s="518" t="str">
        <f>IF(AND(_AC6="A-330-200",'2023'!$I$4="CA",'2023'!$I$2=CK195),'2023DATA'!$D$9,"")</f>
        <v/>
      </c>
      <c r="CL202" s="518" t="str">
        <f>IF(AND(_AC6="A-330-200",'2023'!$I$4="CA",'2023'!$I$2=CL195),'2023DATA'!$E$9,"")</f>
        <v/>
      </c>
      <c r="CM202" s="518" t="str">
        <f>IF(AND(_AC6="A-330-200",'2023'!$I$4="CA",'2023'!$I$2=CM195),'2023DATA'!$F$9,"")</f>
        <v/>
      </c>
      <c r="CN202" s="518" t="str">
        <f>IF(AND(_AC6="A-330-200",'2023'!$I$4="CA",'2023'!$I$2=CN195),'2023DATA'!$G$9,"")</f>
        <v/>
      </c>
      <c r="CO202" s="518" t="str">
        <f>IF(AND(_AC6="A-330-200",'2023'!$I$4="CA",'2023'!$I$2=CO195),'2023DATA'!$H$9,"")</f>
        <v/>
      </c>
      <c r="CP202" s="518" t="str">
        <f>IF(AND(_AC6="A-330-200",'2023'!$I$4="CA",'2023'!$I$2=CP195),'2023DATA'!$I$9,"")</f>
        <v/>
      </c>
      <c r="CQ202" s="518" t="str">
        <f>IF(AND(_AC6="A-330-200",'2023'!$I$4="CA",'2023'!$I$2=CQ195),'2023DATA'!$J$9,"")</f>
        <v/>
      </c>
      <c r="CR202" s="518" t="str">
        <f>IF(AND(_AC6="A-330-200",'2023'!$I$4="CA",'2023'!$I$2=CR195),'2023DATA'!$K$9,"")</f>
        <v/>
      </c>
      <c r="CS202" s="518" t="str">
        <f>IF(AND(_AC6="A-330-200",'2023'!$I$4="CA",'2023'!$I$2=CS195),'2023DATA'!$L$9,"")</f>
        <v/>
      </c>
      <c r="CT202" s="518" t="str">
        <f>IF(AND(_AC6="A-330-200",'2023'!$I$4="CA",'2023'!$I$2=CT195),'2023DATA'!$M$9,"")</f>
        <v/>
      </c>
      <c r="CU202" s="520" t="str">
        <f>IF(AND(_AC6="A-330-200",'2023'!$I$4="CA",'2023'!$I$2=CU195),'2023DATA'!$N$9,"")</f>
        <v/>
      </c>
    </row>
    <row r="203" spans="16:99" x14ac:dyDescent="0.25">
      <c r="P203" s="940"/>
      <c r="Q203" s="13" t="s">
        <v>62</v>
      </c>
      <c r="R203" s="518" t="str">
        <f>IF(AND(_AC1="A-330-200",'2023'!$I$4="FO",'2023'!$I$2=R195),'2023DATA'!$C$10,"")</f>
        <v/>
      </c>
      <c r="S203" s="518" t="str">
        <f>IF(AND(_AC1="A-330-200",'2023'!$I$4="FO",'2023'!$I$2=S195),'2023DATA'!$D$10,"")</f>
        <v/>
      </c>
      <c r="T203" s="518" t="str">
        <f>IF(AND(_AC1="A-330-200",'2023'!$I$4="FO",'2023'!$I$2=T195),'2023DATA'!$E$10,"")</f>
        <v/>
      </c>
      <c r="U203" s="518" t="str">
        <f>IF(AND(_AC1="A-330-200",'2023'!$I$4="FO",'2023'!$I$2=U195),'2023DATA'!$F$10,"")</f>
        <v/>
      </c>
      <c r="V203" s="518" t="str">
        <f>IF(AND(_AC1="A-330-200",'2023'!$I$4="FO",'2023'!$I$2=V195),'2023DATA'!$G$10,"")</f>
        <v/>
      </c>
      <c r="W203" s="518" t="str">
        <f>IF(AND(_AC1="A-330-200",'2023'!$I$4="FO",'2023'!$I$2=W195),'2023DATA'!$H$10,"")</f>
        <v/>
      </c>
      <c r="X203" s="518" t="str">
        <f>IF(AND(_AC1="A-330-200",'2023'!$I$4="FO",'2023'!$I$2=X195),'2023DATA'!$I$10,"")</f>
        <v/>
      </c>
      <c r="Y203" s="518" t="str">
        <f>IF(AND(_AC1="A-330-200",'2023'!$I$4="FO",'2023'!$I$2=Y195),'2023DATA'!$J$10,"")</f>
        <v/>
      </c>
      <c r="Z203" s="518" t="str">
        <f>IF(AND(_AC1="A-330-200",'2023'!$I$4="FO",'2023'!$I$2=Z195),'2023DATA'!$K$10,"")</f>
        <v/>
      </c>
      <c r="AA203" s="518" t="str">
        <f>IF(AND(_AC1="A-330-200",'2023'!$I$4="FO",'2023'!$I$2=AA195),'2023DATA'!$L$10,"")</f>
        <v/>
      </c>
      <c r="AB203" s="518" t="str">
        <f>IF(AND(_AC1="A-330-200",'2023'!$I$4="FO",'2023'!$I$2=AB195),'2023DATA'!$M$10,"")</f>
        <v/>
      </c>
      <c r="AC203" s="520" t="str">
        <f>IF(AND(_AC1="A-330-200",'2023'!$I$4="FO",'2023'!$I$2=AC195),'2023DATA'!$N$10,"")</f>
        <v/>
      </c>
      <c r="AD203" s="940"/>
      <c r="AE203" s="13" t="s">
        <v>62</v>
      </c>
      <c r="AF203" s="518" t="str">
        <f>IF(AND(_AC2="A-330-200",'2023'!$I$4="FO",'2023'!$I$2=AF195),'2023DATA'!$C$10,"")</f>
        <v/>
      </c>
      <c r="AG203" s="518" t="str">
        <f>IF(AND(_AC2="A-330-200",'2023'!$I$4="FO",'2023'!$I$2=AG195),'2023DATA'!$D$10,"")</f>
        <v/>
      </c>
      <c r="AH203" s="518" t="str">
        <f>IF(AND(_AC2="A-330-200",'2023'!$I$4="FO",'2023'!$I$2=AH195),'2023DATA'!$E$10,"")</f>
        <v/>
      </c>
      <c r="AI203" s="518" t="str">
        <f>IF(AND(_AC2="A-330-200",'2023'!$I$4="FO",'2023'!$I$2=AI195),'2023DATA'!$F$10,"")</f>
        <v/>
      </c>
      <c r="AJ203" s="518" t="str">
        <f>IF(AND(_AC2="A-330-200",'2023'!$I$4="FO",'2023'!$I$2=AJ195),'2023DATA'!$G$10,"")</f>
        <v/>
      </c>
      <c r="AK203" s="518" t="str">
        <f>IF(AND(_AC2="A-330-200",'2023'!$I$4="FO",'2023'!$I$2=AK195),'2023DATA'!$H$10,"")</f>
        <v/>
      </c>
      <c r="AL203" s="518" t="str">
        <f>IF(AND(_AC2="A-330-200",'2023'!$I$4="FO",'2023'!$I$2=AL195),'2023DATA'!$I$10,"")</f>
        <v/>
      </c>
      <c r="AM203" s="518" t="str">
        <f>IF(AND(_AC2="A-330-200",'2023'!$I$4="FO",'2023'!$I$2=AM195),'2023DATA'!$J$10,"")</f>
        <v/>
      </c>
      <c r="AN203" s="518" t="str">
        <f>IF(AND(_AC2="A-330-200",'2023'!$I$4="FO",'2023'!$I$2=AN195),'2023DATA'!$K$10,"")</f>
        <v/>
      </c>
      <c r="AO203" s="518" t="str">
        <f>IF(AND(_AC2="A-330-200",'2023'!$I$4="FO",'2023'!$I$2=AO195),'2023DATA'!$L$10,"")</f>
        <v/>
      </c>
      <c r="AP203" s="518" t="str">
        <f>IF(AND(_AC2="A-330-200",'2023'!$I$4="FO",'2023'!$I$2=AP195),'2023DATA'!$M$10,"")</f>
        <v/>
      </c>
      <c r="AQ203" s="520" t="str">
        <f>IF(AND(_AC2="A-330-200",'2023'!$I$4="FO",'2023'!$I$2=AQ195),'2023DATA'!$N$10,"")</f>
        <v/>
      </c>
      <c r="AR203" s="940"/>
      <c r="AS203" s="13" t="s">
        <v>62</v>
      </c>
      <c r="AT203" s="518" t="str">
        <f>IF(AND(_AC3="A-330-200",'2023'!$I$4="FO",'2023'!$I$2=AT195),'2023DATA'!$C$10,"")</f>
        <v/>
      </c>
      <c r="AU203" s="518" t="str">
        <f>IF(AND(_AC3="A-330-200",'2023'!$I$4="FO",'2023'!$I$2=AU195),'2023DATA'!$D$10,"")</f>
        <v/>
      </c>
      <c r="AV203" s="518" t="str">
        <f>IF(AND(_AC3="A-330-200",'2023'!$I$4="FO",'2023'!$I$2=AV195),'2023DATA'!$E$10,"")</f>
        <v/>
      </c>
      <c r="AW203" s="518" t="str">
        <f>IF(AND(_AC3="A-330-200",'2023'!$I$4="FO",'2023'!$I$2=AW195),'2023DATA'!$F$10,"")</f>
        <v/>
      </c>
      <c r="AX203" s="518" t="str">
        <f>IF(AND(_AC3="A-330-200",'2023'!$I$4="FO",'2023'!$I$2=AX195),'2023DATA'!$G$10,"")</f>
        <v/>
      </c>
      <c r="AY203" s="518" t="str">
        <f>IF(AND(_AC3="A-330-200",'2023'!$I$4="FO",'2023'!$I$2=AY195),'2023DATA'!$H$10,"")</f>
        <v/>
      </c>
      <c r="AZ203" s="518" t="str">
        <f>IF(AND(_AC3="A-330-200",'2023'!$I$4="FO",'2023'!$I$2=AZ195),'2023DATA'!$I$10,"")</f>
        <v/>
      </c>
      <c r="BA203" s="518" t="str">
        <f>IF(AND(_AC3="A-330-200",'2023'!$I$4="FO",'2023'!$I$2=BA195),'2023DATA'!$J$10,"")</f>
        <v/>
      </c>
      <c r="BB203" s="518" t="str">
        <f>IF(AND(_AC3="A-330-200",'2023'!$I$4="FO",'2023'!$I$2=BB195),'2023DATA'!$K$10,"")</f>
        <v/>
      </c>
      <c r="BC203" s="518" t="str">
        <f>IF(AND(_AC3="A-330-200",'2023'!$I$4="FO",'2023'!$I$2=BC195),'2023DATA'!$L$10,"")</f>
        <v/>
      </c>
      <c r="BD203" s="518" t="str">
        <f>IF(AND(_AC3="A-330-200",'2023'!$I$4="FO",'2023'!$I$2=BD195),'2023DATA'!$M$10,"")</f>
        <v/>
      </c>
      <c r="BE203" s="520" t="str">
        <f>IF(AND(_AC3="A-330-200",'2023'!$I$4="FO",'2023'!$I$2=BE195),'2023DATA'!$N$10,"")</f>
        <v/>
      </c>
      <c r="BF203" s="940"/>
      <c r="BG203" s="13" t="s">
        <v>62</v>
      </c>
      <c r="BH203" s="518" t="str">
        <f>IF(AND(_AC4="A-330-200",'2023'!$I$4="FO",'2023'!$I$2=BH195),'2023DATA'!$C$10,"")</f>
        <v/>
      </c>
      <c r="BI203" s="518" t="str">
        <f>IF(AND(_AC4="A-330-200",'2023'!$I$4="FO",'2023'!$I$2=BI195),'2023DATA'!$D$10,"")</f>
        <v/>
      </c>
      <c r="BJ203" s="518" t="str">
        <f>IF(AND(_AC4="A-330-200",'2023'!$I$4="FO",'2023'!$I$2=BJ195),'2023DATA'!$E$10,"")</f>
        <v/>
      </c>
      <c r="BK203" s="518" t="str">
        <f>IF(AND(_AC4="A-330-200",'2023'!$I$4="FO",'2023'!$I$2=BK195),'2023DATA'!$F$10,"")</f>
        <v/>
      </c>
      <c r="BL203" s="518" t="str">
        <f>IF(AND(_AC4="A-330-200",'2023'!$I$4="FO",'2023'!$I$2=BL195),'2023DATA'!$G$10,"")</f>
        <v/>
      </c>
      <c r="BM203" s="518" t="str">
        <f>IF(AND(_AC4="A-330-200",'2023'!$I$4="FO",'2023'!$I$2=BM195),'2023DATA'!$H$10,"")</f>
        <v/>
      </c>
      <c r="BN203" s="518" t="str">
        <f>IF(AND(_AC4="A-330-200",'2023'!$I$4="FO",'2023'!$I$2=BN195),'2023DATA'!$I$10,"")</f>
        <v/>
      </c>
      <c r="BO203" s="518" t="str">
        <f>IF(AND(_AC4="A-330-200",'2023'!$I$4="FO",'2023'!$I$2=BO195),'2023DATA'!$J$10,"")</f>
        <v/>
      </c>
      <c r="BP203" s="518" t="str">
        <f>IF(AND(_AC4="A-330-200",'2023'!$I$4="FO",'2023'!$I$2=BP195),'2023DATA'!$K$10,"")</f>
        <v/>
      </c>
      <c r="BQ203" s="518" t="str">
        <f>IF(AND(_AC4="A-330-200",'2023'!$I$4="FO",'2023'!$I$2=BQ195),'2023DATA'!$L$10,"")</f>
        <v/>
      </c>
      <c r="BR203" s="518" t="str">
        <f>IF(AND(_AC4="A-330-200",'2023'!$I$4="FO",'2023'!$I$2=BR195),'2023DATA'!$M$10,"")</f>
        <v/>
      </c>
      <c r="BS203" s="520" t="str">
        <f>IF(AND(_AC4="A-330-200",'2023'!$I$4="FO",'2023'!$I$2=BS195),'2023DATA'!$N$10,"")</f>
        <v/>
      </c>
      <c r="BT203" s="940"/>
      <c r="BU203" s="13" t="s">
        <v>62</v>
      </c>
      <c r="BV203" s="518" t="str">
        <f>IF(AND(_AC5="A-330-200",'2023'!$I$4="FO",'2023'!$I$2=BV195),'2023DATA'!$C$10,"")</f>
        <v/>
      </c>
      <c r="BW203" s="518" t="str">
        <f>IF(AND(_AC5="A-330-200",'2023'!$I$4="FO",'2023'!$I$2=BW195),'2023DATA'!$D$10,"")</f>
        <v/>
      </c>
      <c r="BX203" s="518" t="str">
        <f>IF(AND(_AC5="A-330-200",'2023'!$I$4="FO",'2023'!$I$2=BX195),'2023DATA'!$E$10,"")</f>
        <v/>
      </c>
      <c r="BY203" s="518" t="str">
        <f>IF(AND(_AC5="A-330-200",'2023'!$I$4="FO",'2023'!$I$2=BY195),'2023DATA'!$F$10,"")</f>
        <v/>
      </c>
      <c r="BZ203" s="518" t="str">
        <f>IF(AND(_AC5="A-330-200",'2023'!$I$4="FO",'2023'!$I$2=BZ195),'2023DATA'!$G$10,"")</f>
        <v/>
      </c>
      <c r="CA203" s="518" t="str">
        <f>IF(AND(_AC5="A-330-200",'2023'!$I$4="FO",'2023'!$I$2=CA195),'2023DATA'!$H$10,"")</f>
        <v/>
      </c>
      <c r="CB203" s="518" t="str">
        <f>IF(AND(_AC5="A-330-200",'2023'!$I$4="FO",'2023'!$I$2=CB195),'2023DATA'!$I$10,"")</f>
        <v/>
      </c>
      <c r="CC203" s="518" t="str">
        <f>IF(AND(_AC5="A-330-200",'2023'!$I$4="FO",'2023'!$I$2=CC195),'2023DATA'!$J$10,"")</f>
        <v/>
      </c>
      <c r="CD203" s="518" t="str">
        <f>IF(AND(_AC5="A-330-200",'2023'!$I$4="FO",'2023'!$I$2=CD195),'2023DATA'!$K$10,"")</f>
        <v/>
      </c>
      <c r="CE203" s="518" t="str">
        <f>IF(AND(_AC5="A-330-200",'2023'!$I$4="FO",'2023'!$I$2=CE195),'2023DATA'!$L$10,"")</f>
        <v/>
      </c>
      <c r="CF203" s="518" t="str">
        <f>IF(AND(_AC5="A-330-200",'2023'!$I$4="FO",'2023'!$I$2=CF195),'2023DATA'!$M$10,"")</f>
        <v/>
      </c>
      <c r="CG203" s="520" t="str">
        <f>IF(AND(_AC5="A-330-200",'2023'!$I$4="FO",'2023'!$I$2=CG195),'2023DATA'!$N$10,"")</f>
        <v/>
      </c>
      <c r="CH203" s="940"/>
      <c r="CI203" s="13" t="s">
        <v>62</v>
      </c>
      <c r="CJ203" s="518" t="str">
        <f>IF(AND(_AC6="A-330-200",'2023'!$I$4="FO",'2023'!$I$2=CJ195),'2023DATA'!$C$10,"")</f>
        <v/>
      </c>
      <c r="CK203" s="518" t="str">
        <f>IF(AND(_AC6="A-330-200",'2023'!$I$4="FO",'2023'!$I$2=CK195),'2023DATA'!$D$10,"")</f>
        <v/>
      </c>
      <c r="CL203" s="518" t="str">
        <f>IF(AND(_AC6="A-330-200",'2023'!$I$4="FO",'2023'!$I$2=CL195),'2023DATA'!$E$10,"")</f>
        <v/>
      </c>
      <c r="CM203" s="518" t="str">
        <f>IF(AND(_AC6="A-330-200",'2023'!$I$4="FO",'2023'!$I$2=CM195),'2023DATA'!$F$10,"")</f>
        <v/>
      </c>
      <c r="CN203" s="518" t="str">
        <f>IF(AND(_AC6="A-330-200",'2023'!$I$4="FO",'2023'!$I$2=CN195),'2023DATA'!$G$10,"")</f>
        <v/>
      </c>
      <c r="CO203" s="518" t="str">
        <f>IF(AND(_AC6="A-330-200",'2023'!$I$4="FO",'2023'!$I$2=CO195),'2023DATA'!$H$10,"")</f>
        <v/>
      </c>
      <c r="CP203" s="518" t="str">
        <f>IF(AND(_AC6="A-330-200",'2023'!$I$4="FO",'2023'!$I$2=CP195),'2023DATA'!$I$10,"")</f>
        <v/>
      </c>
      <c r="CQ203" s="518" t="str">
        <f>IF(AND(_AC6="A-330-200",'2023'!$I$4="FO",'2023'!$I$2=CQ195),'2023DATA'!$J$10,"")</f>
        <v/>
      </c>
      <c r="CR203" s="518" t="str">
        <f>IF(AND(_AC6="A-330-200",'2023'!$I$4="FO",'2023'!$I$2=CR195),'2023DATA'!$K$10,"")</f>
        <v/>
      </c>
      <c r="CS203" s="518" t="str">
        <f>IF(AND(_AC6="A-330-200",'2023'!$I$4="FO",'2023'!$I$2=CS195),'2023DATA'!$L$10,"")</f>
        <v/>
      </c>
      <c r="CT203" s="518" t="str">
        <f>IF(AND(_AC6="A-330-200",'2023'!$I$4="FO",'2023'!$I$2=CT195),'2023DATA'!$M$10,"")</f>
        <v/>
      </c>
      <c r="CU203" s="520" t="str">
        <f>IF(AND(_AC6="A-330-200",'2023'!$I$4="FO",'2023'!$I$2=CU195),'2023DATA'!$N$10,"")</f>
        <v/>
      </c>
    </row>
    <row r="204" spans="16:99" x14ac:dyDescent="0.25">
      <c r="P204" s="940" t="s">
        <v>42</v>
      </c>
      <c r="Q204" s="13" t="s">
        <v>61</v>
      </c>
      <c r="R204" s="518" t="str">
        <f>IF(AND(_AC1="B-767-400ER",'2023'!$I$4="CA",'2023'!$I$2=R195),'2023DATA'!$C$11,"")</f>
        <v/>
      </c>
      <c r="S204" s="518" t="str">
        <f>IF(AND(_AC1="B-767-400ER",'2023'!$I$4="CA",'2023'!$I$2=S195),'2023DATA'!$D$11,"")</f>
        <v/>
      </c>
      <c r="T204" s="518" t="str">
        <f>IF(AND(_AC1="B-767-400ER",'2023'!$I$4="CA",'2023'!$I$2=T195),'2023DATA'!$E$11,"")</f>
        <v/>
      </c>
      <c r="U204" s="518" t="str">
        <f>IF(AND(_AC1="B-767-400ER",'2023'!$I$4="CA",'2023'!$I$2=U195),'2023DATA'!$F$11,"")</f>
        <v/>
      </c>
      <c r="V204" s="518" t="str">
        <f>IF(AND(_AC1="B-767-400ER",'2023'!$I$4="CA",'2023'!$I$2=V195),'2023DATA'!$G$11,"")</f>
        <v/>
      </c>
      <c r="W204" s="518" t="str">
        <f>IF(AND(_AC1="B-767-400ER",'2023'!$I$4="CA",'2023'!$I$2=W195),'2023DATA'!$H$11,"")</f>
        <v/>
      </c>
      <c r="X204" s="518" t="str">
        <f>IF(AND(_AC1="B-767-400ER",'2023'!$I$4="CA",'2023'!$I$2=X195),'2023DATA'!$I$11,"")</f>
        <v/>
      </c>
      <c r="Y204" s="518" t="str">
        <f>IF(AND(_AC1="B-767-400ER",'2023'!$I$4="CA",'2023'!$I$2=Y195),'2023DATA'!$J$11,"")</f>
        <v/>
      </c>
      <c r="Z204" s="518" t="str">
        <f>IF(AND(_AC1="B-767-400ER",'2023'!$I$4="CA",'2023'!$I$2=Z195),'2023DATA'!$K$11,"")</f>
        <v/>
      </c>
      <c r="AA204" s="518" t="str">
        <f>IF(AND(_AC1="B-767-400ER",'2023'!$I$4="CA",'2023'!$I$2=AA195),'2023DATA'!$L$11,"")</f>
        <v/>
      </c>
      <c r="AB204" s="518" t="str">
        <f>IF(AND(_AC1="B-767-400ER",'2023'!$I$4="CA",'2023'!$I$2=AB195),'2023DATA'!$M$11,"")</f>
        <v/>
      </c>
      <c r="AC204" s="520" t="str">
        <f>IF(AND(_AC1="B-767-400ER",'2023'!$I$4="CA",'2023'!$I$2=AC195),'2023DATA'!$N$11,"")</f>
        <v/>
      </c>
      <c r="AD204" s="940" t="s">
        <v>42</v>
      </c>
      <c r="AE204" s="13" t="s">
        <v>61</v>
      </c>
      <c r="AF204" s="518" t="str">
        <f>IF(AND(_AC2="B-767-400ER",'2023'!$I$4="CA",'2023'!$I$2=AF195),'2023DATA'!$C$11,"")</f>
        <v/>
      </c>
      <c r="AG204" s="518" t="str">
        <f>IF(AND(_AC2="B-767-400ER",'2023'!$I$4="CA",'2023'!$I$2=AG195),'2023DATA'!$D$11,"")</f>
        <v/>
      </c>
      <c r="AH204" s="518" t="str">
        <f>IF(AND(_AC2="B-767-400ER",'2023'!$I$4="CA",'2023'!$I$2=AH195),'2023DATA'!$E$11,"")</f>
        <v/>
      </c>
      <c r="AI204" s="518" t="str">
        <f>IF(AND(_AC2="B-767-400ER",'2023'!$I$4="CA",'2023'!$I$2=AI195),'2023DATA'!$F$11,"")</f>
        <v/>
      </c>
      <c r="AJ204" s="518" t="str">
        <f>IF(AND(_AC2="B-767-400ER",'2023'!$I$4="CA",'2023'!$I$2=AJ195),'2023DATA'!$G$11,"")</f>
        <v/>
      </c>
      <c r="AK204" s="518" t="str">
        <f>IF(AND(_AC2="B-767-400ER",'2023'!$I$4="CA",'2023'!$I$2=AK195),'2023DATA'!$H$11,"")</f>
        <v/>
      </c>
      <c r="AL204" s="518" t="str">
        <f>IF(AND(_AC2="B-767-400ER",'2023'!$I$4="CA",'2023'!$I$2=AL195),'2023DATA'!$I$11,"")</f>
        <v/>
      </c>
      <c r="AM204" s="518" t="str">
        <f>IF(AND(_AC2="B-767-400ER",'2023'!$I$4="CA",'2023'!$I$2=AM195),'2023DATA'!$J$11,"")</f>
        <v/>
      </c>
      <c r="AN204" s="518" t="str">
        <f>IF(AND(_AC2="B-767-400ER",'2023'!$I$4="CA",'2023'!$I$2=AN195),'2023DATA'!$K$11,"")</f>
        <v/>
      </c>
      <c r="AO204" s="518" t="str">
        <f>IF(AND(_AC2="B-767-400ER",'2023'!$I$4="CA",'2023'!$I$2=AO195),'2023DATA'!$L$11,"")</f>
        <v/>
      </c>
      <c r="AP204" s="518" t="str">
        <f>IF(AND(_AC2="B-767-400ER",'2023'!$I$4="CA",'2023'!$I$2=AP195),'2023DATA'!$M$11,"")</f>
        <v/>
      </c>
      <c r="AQ204" s="520" t="str">
        <f>IF(AND(_AC2="B-767-400ER",'2023'!$I$4="CA",'2023'!$I$2=AQ195),'2023DATA'!$N$11,"")</f>
        <v/>
      </c>
      <c r="AR204" s="940" t="s">
        <v>42</v>
      </c>
      <c r="AS204" s="13" t="s">
        <v>61</v>
      </c>
      <c r="AT204" s="518" t="str">
        <f>IF(AND(_AC3="B-767-400ER",'2023'!$I$4="CA",'2023'!$I$2=AT195),'2023DATA'!$C$11,"")</f>
        <v/>
      </c>
      <c r="AU204" s="518" t="str">
        <f>IF(AND(_AC3="B-767-400ER",'2023'!$I$4="CA",'2023'!$I$2=AU195),'2023DATA'!$D$11,"")</f>
        <v/>
      </c>
      <c r="AV204" s="518" t="str">
        <f>IF(AND(_AC3="B-767-400ER",'2023'!$I$4="CA",'2023'!$I$2=AV195),'2023DATA'!$E$11,"")</f>
        <v/>
      </c>
      <c r="AW204" s="518" t="str">
        <f>IF(AND(_AC3="B-767-400ER",'2023'!$I$4="CA",'2023'!$I$2=AW195),'2023DATA'!$F$11,"")</f>
        <v/>
      </c>
      <c r="AX204" s="518" t="str">
        <f>IF(AND(_AC3="B-767-400ER",'2023'!$I$4="CA",'2023'!$I$2=AX195),'2023DATA'!$G$11,"")</f>
        <v/>
      </c>
      <c r="AY204" s="518" t="str">
        <f>IF(AND(_AC3="B-767-400ER",'2023'!$I$4="CA",'2023'!$I$2=AY195),'2023DATA'!$H$11,"")</f>
        <v/>
      </c>
      <c r="AZ204" s="518" t="str">
        <f>IF(AND(_AC3="B-767-400ER",'2023'!$I$4="CA",'2023'!$I$2=AZ195),'2023DATA'!$I$11,"")</f>
        <v/>
      </c>
      <c r="BA204" s="518" t="str">
        <f>IF(AND(_AC3="B-767-400ER",'2023'!$I$4="CA",'2023'!$I$2=BA195),'2023DATA'!$J$11,"")</f>
        <v/>
      </c>
      <c r="BB204" s="518" t="str">
        <f>IF(AND(_AC3="B-767-400ER",'2023'!$I$4="CA",'2023'!$I$2=BB195),'2023DATA'!$K$11,"")</f>
        <v/>
      </c>
      <c r="BC204" s="518" t="str">
        <f>IF(AND(_AC3="B-767-400ER",'2023'!$I$4="CA",'2023'!$I$2=BC195),'2023DATA'!$L$11,"")</f>
        <v/>
      </c>
      <c r="BD204" s="518" t="str">
        <f>IF(AND(_AC3="B-767-400ER",'2023'!$I$4="CA",'2023'!$I$2=BD195),'2023DATA'!$M$11,"")</f>
        <v/>
      </c>
      <c r="BE204" s="520" t="str">
        <f>IF(AND(_AC3="B-767-400ER",'2023'!$I$4="CA",'2023'!$I$2=BE195),'2023DATA'!$N$11,"")</f>
        <v/>
      </c>
      <c r="BF204" s="940" t="s">
        <v>42</v>
      </c>
      <c r="BG204" s="13" t="s">
        <v>61</v>
      </c>
      <c r="BH204" s="518" t="str">
        <f>IF(AND(_AC4="B-767-400ER",'2023'!$I$4="CA",'2023'!$I$2=BH195),'2023DATA'!$C$11,"")</f>
        <v/>
      </c>
      <c r="BI204" s="518" t="str">
        <f>IF(AND(_AC4="B-767-400ER",'2023'!$I$4="CA",'2023'!$I$2=BI195),'2023DATA'!$D$11,"")</f>
        <v/>
      </c>
      <c r="BJ204" s="518" t="str">
        <f>IF(AND(_AC4="B-767-400ER",'2023'!$I$4="CA",'2023'!$I$2=BJ195),'2023DATA'!$E$11,"")</f>
        <v/>
      </c>
      <c r="BK204" s="518" t="str">
        <f>IF(AND(_AC4="B-767-400ER",'2023'!$I$4="CA",'2023'!$I$2=BK195),'2023DATA'!$F$11,"")</f>
        <v/>
      </c>
      <c r="BL204" s="518" t="str">
        <f>IF(AND(_AC4="B-767-400ER",'2023'!$I$4="CA",'2023'!$I$2=BL195),'2023DATA'!$G$11,"")</f>
        <v/>
      </c>
      <c r="BM204" s="518" t="str">
        <f>IF(AND(_AC4="B-767-400ER",'2023'!$I$4="CA",'2023'!$I$2=BM195),'2023DATA'!$H$11,"")</f>
        <v/>
      </c>
      <c r="BN204" s="518" t="str">
        <f>IF(AND(_AC4="B-767-400ER",'2023'!$I$4="CA",'2023'!$I$2=BN195),'2023DATA'!$I$11,"")</f>
        <v/>
      </c>
      <c r="BO204" s="518" t="str">
        <f>IF(AND(_AC4="B-767-400ER",'2023'!$I$4="CA",'2023'!$I$2=BO195),'2023DATA'!$J$11,"")</f>
        <v/>
      </c>
      <c r="BP204" s="518" t="str">
        <f>IF(AND(_AC4="B-767-400ER",'2023'!$I$4="CA",'2023'!$I$2=BP195),'2023DATA'!$K$11,"")</f>
        <v/>
      </c>
      <c r="BQ204" s="518" t="str">
        <f>IF(AND(_AC4="B-767-400ER",'2023'!$I$4="CA",'2023'!$I$2=BQ195),'2023DATA'!$L$11,"")</f>
        <v/>
      </c>
      <c r="BR204" s="518" t="str">
        <f>IF(AND(_AC4="B-767-400ER",'2023'!$I$4="CA",'2023'!$I$2=BR195),'2023DATA'!$M$11,"")</f>
        <v/>
      </c>
      <c r="BS204" s="520" t="str">
        <f>IF(AND(_AC4="B-767-400ER",'2023'!$I$4="CA",'2023'!$I$2=BS195),'2023DATA'!$N$11,"")</f>
        <v/>
      </c>
      <c r="BT204" s="940" t="s">
        <v>42</v>
      </c>
      <c r="BU204" s="13" t="s">
        <v>61</v>
      </c>
      <c r="BV204" s="518" t="str">
        <f>IF(AND(_AC5="B-767-400ER",'2023'!$I$4="CA",'2023'!$I$2=BV195),'2023DATA'!$C$11,"")</f>
        <v/>
      </c>
      <c r="BW204" s="518" t="str">
        <f>IF(AND(_AC5="B-767-400ER",'2023'!$I$4="CA",'2023'!$I$2=BW195),'2023DATA'!$D$11,"")</f>
        <v/>
      </c>
      <c r="BX204" s="518" t="str">
        <f>IF(AND(_AC5="B-767-400ER",'2023'!$I$4="CA",'2023'!$I$2=BX195),'2023DATA'!$E$11,"")</f>
        <v/>
      </c>
      <c r="BY204" s="518" t="str">
        <f>IF(AND(_AC5="B-767-400ER",'2023'!$I$4="CA",'2023'!$I$2=BY195),'2023DATA'!$F$11,"")</f>
        <v/>
      </c>
      <c r="BZ204" s="518" t="str">
        <f>IF(AND(_AC5="B-767-400ER",'2023'!$I$4="CA",'2023'!$I$2=BZ195),'2023DATA'!$G$11,"")</f>
        <v/>
      </c>
      <c r="CA204" s="518" t="str">
        <f>IF(AND(_AC5="B-767-400ER",'2023'!$I$4="CA",'2023'!$I$2=CA195),'2023DATA'!$H$11,"")</f>
        <v/>
      </c>
      <c r="CB204" s="518" t="str">
        <f>IF(AND(_AC5="B-767-400ER",'2023'!$I$4="CA",'2023'!$I$2=CB195),'2023DATA'!$I$11,"")</f>
        <v/>
      </c>
      <c r="CC204" s="518" t="str">
        <f>IF(AND(_AC5="B-767-400ER",'2023'!$I$4="CA",'2023'!$I$2=CC195),'2023DATA'!$J$11,"")</f>
        <v/>
      </c>
      <c r="CD204" s="518" t="str">
        <f>IF(AND(_AC5="B-767-400ER",'2023'!$I$4="CA",'2023'!$I$2=CD195),'2023DATA'!$K$11,"")</f>
        <v/>
      </c>
      <c r="CE204" s="518" t="str">
        <f>IF(AND(_AC5="B-767-400ER",'2023'!$I$4="CA",'2023'!$I$2=CE195),'2023DATA'!$L$11,"")</f>
        <v/>
      </c>
      <c r="CF204" s="518" t="str">
        <f>IF(AND(_AC5="B-767-400ER",'2023'!$I$4="CA",'2023'!$I$2=CF195),'2023DATA'!$M$11,"")</f>
        <v/>
      </c>
      <c r="CG204" s="520" t="str">
        <f>IF(AND(_AC5="B-767-400ER",'2023'!$I$4="CA",'2023'!$I$2=CG195),'2023DATA'!$N$11,"")</f>
        <v/>
      </c>
      <c r="CH204" s="940" t="s">
        <v>42</v>
      </c>
      <c r="CI204" s="13" t="s">
        <v>61</v>
      </c>
      <c r="CJ204" s="518" t="str">
        <f>IF(AND(_AC6="B-767-400ER",'2023'!$I$4="CA",'2023'!$I$2=CJ195),'2023DATA'!$C$11,"")</f>
        <v/>
      </c>
      <c r="CK204" s="518" t="str">
        <f>IF(AND(_AC6="B-767-400ER",'2023'!$I$4="CA",'2023'!$I$2=CK195),'2023DATA'!$D$11,"")</f>
        <v/>
      </c>
      <c r="CL204" s="518" t="str">
        <f>IF(AND(_AC6="B-767-400ER",'2023'!$I$4="CA",'2023'!$I$2=CL195),'2023DATA'!$E$11,"")</f>
        <v/>
      </c>
      <c r="CM204" s="518" t="str">
        <f>IF(AND(_AC6="B-767-400ER",'2023'!$I$4="CA",'2023'!$I$2=CM195),'2023DATA'!$F$11,"")</f>
        <v/>
      </c>
      <c r="CN204" s="518" t="str">
        <f>IF(AND(_AC6="B-767-400ER",'2023'!$I$4="CA",'2023'!$I$2=CN195),'2023DATA'!$G$11,"")</f>
        <v/>
      </c>
      <c r="CO204" s="518" t="str">
        <f>IF(AND(_AC6="B-767-400ER",'2023'!$I$4="CA",'2023'!$I$2=CO195),'2023DATA'!$H$11,"")</f>
        <v/>
      </c>
      <c r="CP204" s="518" t="str">
        <f>IF(AND(_AC6="B-767-400ER",'2023'!$I$4="CA",'2023'!$I$2=CP195),'2023DATA'!$I$11,"")</f>
        <v/>
      </c>
      <c r="CQ204" s="518" t="str">
        <f>IF(AND(_AC6="B-767-400ER",'2023'!$I$4="CA",'2023'!$I$2=CQ195),'2023DATA'!$J$11,"")</f>
        <v/>
      </c>
      <c r="CR204" s="518" t="str">
        <f>IF(AND(_AC6="B-767-400ER",'2023'!$I$4="CA",'2023'!$I$2=CR195),'2023DATA'!$K$11,"")</f>
        <v/>
      </c>
      <c r="CS204" s="518" t="str">
        <f>IF(AND(_AC6="B-767-400ER",'2023'!$I$4="CA",'2023'!$I$2=CS195),'2023DATA'!$L$11,"")</f>
        <v/>
      </c>
      <c r="CT204" s="518" t="str">
        <f>IF(AND(_AC6="B-767-400ER",'2023'!$I$4="CA",'2023'!$I$2=CT195),'2023DATA'!$M$11,"")</f>
        <v/>
      </c>
      <c r="CU204" s="520" t="str">
        <f>IF(AND(_AC6="B-767-400ER",'2023'!$I$4="CA",'2023'!$I$2=CU195),'2023DATA'!$N$11,"")</f>
        <v/>
      </c>
    </row>
    <row r="205" spans="16:99" x14ac:dyDescent="0.25">
      <c r="P205" s="940"/>
      <c r="Q205" s="13" t="s">
        <v>62</v>
      </c>
      <c r="R205" s="518" t="str">
        <f>IF(AND(_AC1="B-767-400ER",'2023'!$I$4="FO",'2023'!$I$2=R195),'2023DATA'!$C$12,"")</f>
        <v/>
      </c>
      <c r="S205" s="518" t="str">
        <f>IF(AND(_AC1="B-767-400ER",'2023'!$I$4="FO",'2023'!$I$2=S195),'2023DATA'!$D$12,"")</f>
        <v/>
      </c>
      <c r="T205" s="518" t="str">
        <f>IF(AND(_AC1="B-767-400ER",'2023'!$I$4="FO",'2023'!$I$2=T195),'2023DATA'!$E$12,"")</f>
        <v/>
      </c>
      <c r="U205" s="518" t="str">
        <f>IF(AND(_AC1="B-767-400ER",'2023'!$I$4="FO",'2023'!$I$2=U195),'2023DATA'!$F$12,"")</f>
        <v/>
      </c>
      <c r="V205" s="518" t="str">
        <f>IF(AND(_AC1="B-767-400ER",'2023'!$I$4="FO",'2023'!$I$2=V195),'2023DATA'!$G$12,"")</f>
        <v/>
      </c>
      <c r="W205" s="518" t="str">
        <f>IF(AND(_AC1="B-767-400ER",'2023'!$I$4="FO",'2023'!$I$2=W195),'2023DATA'!$H$12,"")</f>
        <v/>
      </c>
      <c r="X205" s="518" t="str">
        <f>IF(AND(_AC1="B-767-400ER",'2023'!$I$4="FO",'2023'!$I$2=X195),'2023DATA'!$I$12,"")</f>
        <v/>
      </c>
      <c r="Y205" s="518" t="str">
        <f>IF(AND(_AC1="B-767-400ER",'2023'!$I$4="FO",'2023'!$I$2=Y195),'2023DATA'!$J$12,"")</f>
        <v/>
      </c>
      <c r="Z205" s="518" t="str">
        <f>IF(AND(_AC1="B-767-400ER",'2023'!$I$4="FO",'2023'!$I$2=Z195),'2023DATA'!$K$12,"")</f>
        <v/>
      </c>
      <c r="AA205" s="518" t="str">
        <f>IF(AND(_AC1="B-767-400ER",'2023'!$I$4="FO",'2023'!$I$2=AA195),'2023DATA'!$L$12,"")</f>
        <v/>
      </c>
      <c r="AB205" s="518" t="str">
        <f>IF(AND(_AC1="B-767-400ER",'2023'!$I$4="FO",'2023'!$I$2=AB195),'2023DATA'!$M$12,"")</f>
        <v/>
      </c>
      <c r="AC205" s="520" t="str">
        <f>IF(AND(_AC1="B-767-400ER",'2023'!$I$4="FO",'2023'!$I$2=AC195),'2023DATA'!$N$12,"")</f>
        <v/>
      </c>
      <c r="AD205" s="940"/>
      <c r="AE205" s="13" t="s">
        <v>62</v>
      </c>
      <c r="AF205" s="518" t="str">
        <f>IF(AND(_AC2="B-767-400ER",'2023'!$I$4="FO",'2023'!$I$2=AF195),'2023DATA'!$C$12,"")</f>
        <v/>
      </c>
      <c r="AG205" s="518" t="str">
        <f>IF(AND(_AC2="B-767-400ER",'2023'!$I$4="FO",'2023'!$I$2=AG195),'2023DATA'!$D$12,"")</f>
        <v/>
      </c>
      <c r="AH205" s="518" t="str">
        <f>IF(AND(_AC2="B-767-400ER",'2023'!$I$4="FO",'2023'!$I$2=AH195),'2023DATA'!$E$12,"")</f>
        <v/>
      </c>
      <c r="AI205" s="518" t="str">
        <f>IF(AND(_AC2="B-767-400ER",'2023'!$I$4="FO",'2023'!$I$2=AI195),'2023DATA'!$F$12,"")</f>
        <v/>
      </c>
      <c r="AJ205" s="518" t="str">
        <f>IF(AND(_AC2="B-767-400ER",'2023'!$I$4="FO",'2023'!$I$2=AJ195),'2023DATA'!$G$12,"")</f>
        <v/>
      </c>
      <c r="AK205" s="518" t="str">
        <f>IF(AND(_AC2="B-767-400ER",'2023'!$I$4="FO",'2023'!$I$2=AK195),'2023DATA'!$H$12,"")</f>
        <v/>
      </c>
      <c r="AL205" s="518" t="str">
        <f>IF(AND(_AC2="B-767-400ER",'2023'!$I$4="FO",'2023'!$I$2=AL195),'2023DATA'!$I$12,"")</f>
        <v/>
      </c>
      <c r="AM205" s="518" t="str">
        <f>IF(AND(_AC2="B-767-400ER",'2023'!$I$4="FO",'2023'!$I$2=AM195),'2023DATA'!$J$12,"")</f>
        <v/>
      </c>
      <c r="AN205" s="518" t="str">
        <f>IF(AND(_AC2="B-767-400ER",'2023'!$I$4="FO",'2023'!$I$2=AN195),'2023DATA'!$K$12,"")</f>
        <v/>
      </c>
      <c r="AO205" s="518" t="str">
        <f>IF(AND(_AC2="B-767-400ER",'2023'!$I$4="FO",'2023'!$I$2=AO195),'2023DATA'!$L$12,"")</f>
        <v/>
      </c>
      <c r="AP205" s="518" t="str">
        <f>IF(AND(_AC2="B-767-400ER",'2023'!$I$4="FO",'2023'!$I$2=AP195),'2023DATA'!$M$12,"")</f>
        <v/>
      </c>
      <c r="AQ205" s="520" t="str">
        <f>IF(AND(_AC2="B-767-400ER",'2023'!$I$4="FO",'2023'!$I$2=AQ195),'2023DATA'!$N$12,"")</f>
        <v/>
      </c>
      <c r="AR205" s="940"/>
      <c r="AS205" s="13" t="s">
        <v>62</v>
      </c>
      <c r="AT205" s="518" t="str">
        <f>IF(AND(_AC3="B-767-400ER",'2023'!$I$4="FO",'2023'!$I$2=AT195),'2023DATA'!$C$12,"")</f>
        <v/>
      </c>
      <c r="AU205" s="518" t="str">
        <f>IF(AND(_AC3="B-767-400ER",'2023'!$I$4="FO",'2023'!$I$2=AU195),'2023DATA'!$D$12,"")</f>
        <v/>
      </c>
      <c r="AV205" s="518" t="str">
        <f>IF(AND(_AC3="B-767-400ER",'2023'!$I$4="FO",'2023'!$I$2=AV195),'2023DATA'!$E$12,"")</f>
        <v/>
      </c>
      <c r="AW205" s="518" t="str">
        <f>IF(AND(_AC3="B-767-400ER",'2023'!$I$4="FO",'2023'!$I$2=AW195),'2023DATA'!$F$12,"")</f>
        <v/>
      </c>
      <c r="AX205" s="518" t="str">
        <f>IF(AND(_AC3="B-767-400ER",'2023'!$I$4="FO",'2023'!$I$2=AX195),'2023DATA'!$G$12,"")</f>
        <v/>
      </c>
      <c r="AY205" s="518" t="str">
        <f>IF(AND(_AC3="B-767-400ER",'2023'!$I$4="FO",'2023'!$I$2=AY195),'2023DATA'!$H$12,"")</f>
        <v/>
      </c>
      <c r="AZ205" s="518" t="str">
        <f>IF(AND(_AC3="B-767-400ER",'2023'!$I$4="FO",'2023'!$I$2=AZ195),'2023DATA'!$I$12,"")</f>
        <v/>
      </c>
      <c r="BA205" s="518" t="str">
        <f>IF(AND(_AC3="B-767-400ER",'2023'!$I$4="FO",'2023'!$I$2=BA195),'2023DATA'!$J$12,"")</f>
        <v/>
      </c>
      <c r="BB205" s="518" t="str">
        <f>IF(AND(_AC3="B-767-400ER",'2023'!$I$4="FO",'2023'!$I$2=BB195),'2023DATA'!$K$12,"")</f>
        <v/>
      </c>
      <c r="BC205" s="518" t="str">
        <f>IF(AND(_AC3="B-767-400ER",'2023'!$I$4="FO",'2023'!$I$2=BC195),'2023DATA'!$L$12,"")</f>
        <v/>
      </c>
      <c r="BD205" s="518" t="str">
        <f>IF(AND(_AC3="B-767-400ER",'2023'!$I$4="FO",'2023'!$I$2=BD195),'2023DATA'!$M$12,"")</f>
        <v/>
      </c>
      <c r="BE205" s="520" t="str">
        <f>IF(AND(_AC3="B-767-400ER",'2023'!$I$4="FO",'2023'!$I$2=BE195),'2023DATA'!$N$12,"")</f>
        <v/>
      </c>
      <c r="BF205" s="940"/>
      <c r="BG205" s="13" t="s">
        <v>62</v>
      </c>
      <c r="BH205" s="518" t="str">
        <f>IF(AND(_AC4="B-767-400ER",'2023'!$I$4="FO",'2023'!$I$2=BH195),'2023DATA'!$C$12,"")</f>
        <v/>
      </c>
      <c r="BI205" s="518" t="str">
        <f>IF(AND(_AC4="B-767-400ER",'2023'!$I$4="FO",'2023'!$I$2=BI195),'2023DATA'!$D$12,"")</f>
        <v/>
      </c>
      <c r="BJ205" s="518" t="str">
        <f>IF(AND(_AC4="B-767-400ER",'2023'!$I$4="FO",'2023'!$I$2=BJ195),'2023DATA'!$E$12,"")</f>
        <v/>
      </c>
      <c r="BK205" s="518" t="str">
        <f>IF(AND(_AC4="B-767-400ER",'2023'!$I$4="FO",'2023'!$I$2=BK195),'2023DATA'!$F$12,"")</f>
        <v/>
      </c>
      <c r="BL205" s="518" t="str">
        <f>IF(AND(_AC4="B-767-400ER",'2023'!$I$4="FO",'2023'!$I$2=BL195),'2023DATA'!$G$12,"")</f>
        <v/>
      </c>
      <c r="BM205" s="518" t="str">
        <f>IF(AND(_AC4="B-767-400ER",'2023'!$I$4="FO",'2023'!$I$2=BM195),'2023DATA'!$H$12,"")</f>
        <v/>
      </c>
      <c r="BN205" s="518" t="str">
        <f>IF(AND(_AC4="B-767-400ER",'2023'!$I$4="FO",'2023'!$I$2=BN195),'2023DATA'!$I$12,"")</f>
        <v/>
      </c>
      <c r="BO205" s="518" t="str">
        <f>IF(AND(_AC4="B-767-400ER",'2023'!$I$4="FO",'2023'!$I$2=BO195),'2023DATA'!$J$12,"")</f>
        <v/>
      </c>
      <c r="BP205" s="518" t="str">
        <f>IF(AND(_AC4="B-767-400ER",'2023'!$I$4="FO",'2023'!$I$2=BP195),'2023DATA'!$K$12,"")</f>
        <v/>
      </c>
      <c r="BQ205" s="518" t="str">
        <f>IF(AND(_AC4="B-767-400ER",'2023'!$I$4="FO",'2023'!$I$2=BQ195),'2023DATA'!$L$12,"")</f>
        <v/>
      </c>
      <c r="BR205" s="518" t="str">
        <f>IF(AND(_AC4="B-767-400ER",'2023'!$I$4="FO",'2023'!$I$2=BR195),'2023DATA'!$M$12,"")</f>
        <v/>
      </c>
      <c r="BS205" s="520" t="str">
        <f>IF(AND(_AC4="B-767-400ER",'2023'!$I$4="FO",'2023'!$I$2=BS195),'2023DATA'!$N$12,"")</f>
        <v/>
      </c>
      <c r="BT205" s="940"/>
      <c r="BU205" s="13" t="s">
        <v>62</v>
      </c>
      <c r="BV205" s="518" t="str">
        <f>IF(AND(_AC5="B-767-400ER",'2023'!$I$4="FO",'2023'!$I$2=BV195),'2023DATA'!$C$12,"")</f>
        <v/>
      </c>
      <c r="BW205" s="518" t="str">
        <f>IF(AND(_AC5="B-767-400ER",'2023'!$I$4="FO",'2023'!$I$2=BW195),'2023DATA'!$D$12,"")</f>
        <v/>
      </c>
      <c r="BX205" s="518" t="str">
        <f>IF(AND(_AC5="B-767-400ER",'2023'!$I$4="FO",'2023'!$I$2=BX195),'2023DATA'!$E$12,"")</f>
        <v/>
      </c>
      <c r="BY205" s="518" t="str">
        <f>IF(AND(_AC5="B-767-400ER",'2023'!$I$4="FO",'2023'!$I$2=BY195),'2023DATA'!$F$12,"")</f>
        <v/>
      </c>
      <c r="BZ205" s="518" t="str">
        <f>IF(AND(_AC5="B-767-400ER",'2023'!$I$4="FO",'2023'!$I$2=BZ195),'2023DATA'!$G$12,"")</f>
        <v/>
      </c>
      <c r="CA205" s="518" t="str">
        <f>IF(AND(_AC5="B-767-400ER",'2023'!$I$4="FO",'2023'!$I$2=CA195),'2023DATA'!$H$12,"")</f>
        <v/>
      </c>
      <c r="CB205" s="518" t="str">
        <f>IF(AND(_AC5="B-767-400ER",'2023'!$I$4="FO",'2023'!$I$2=CB195),'2023DATA'!$I$12,"")</f>
        <v/>
      </c>
      <c r="CC205" s="518" t="str">
        <f>IF(AND(_AC5="B-767-400ER",'2023'!$I$4="FO",'2023'!$I$2=CC195),'2023DATA'!$J$12,"")</f>
        <v/>
      </c>
      <c r="CD205" s="518" t="str">
        <f>IF(AND(_AC5="B-767-400ER",'2023'!$I$4="FO",'2023'!$I$2=CD195),'2023DATA'!$K$12,"")</f>
        <v/>
      </c>
      <c r="CE205" s="518" t="str">
        <f>IF(AND(_AC5="B-767-400ER",'2023'!$I$4="FO",'2023'!$I$2=CE195),'2023DATA'!$L$12,"")</f>
        <v/>
      </c>
      <c r="CF205" s="518" t="str">
        <f>IF(AND(_AC5="B-767-400ER",'2023'!$I$4="FO",'2023'!$I$2=CF195),'2023DATA'!$M$12,"")</f>
        <v/>
      </c>
      <c r="CG205" s="520" t="str">
        <f>IF(AND(_AC5="B-767-400ER",'2023'!$I$4="FO",'2023'!$I$2=CG195),'2023DATA'!$N$12,"")</f>
        <v/>
      </c>
      <c r="CH205" s="940"/>
      <c r="CI205" s="13" t="s">
        <v>62</v>
      </c>
      <c r="CJ205" s="518" t="str">
        <f>IF(AND(_AC6="B-767-400ER",'2023'!$I$4="FO",'2023'!$I$2=CJ195),'2023DATA'!$C$12,"")</f>
        <v/>
      </c>
      <c r="CK205" s="518" t="str">
        <f>IF(AND(_AC6="B-767-400ER",'2023'!$I$4="FO",'2023'!$I$2=CK195),'2023DATA'!$D$12,"")</f>
        <v/>
      </c>
      <c r="CL205" s="518" t="str">
        <f>IF(AND(_AC6="B-767-400ER",'2023'!$I$4="FO",'2023'!$I$2=CL195),'2023DATA'!$E$12,"")</f>
        <v/>
      </c>
      <c r="CM205" s="518" t="str">
        <f>IF(AND(_AC6="B-767-400ER",'2023'!$I$4="FO",'2023'!$I$2=CM195),'2023DATA'!$F$12,"")</f>
        <v/>
      </c>
      <c r="CN205" s="518" t="str">
        <f>IF(AND(_AC6="B-767-400ER",'2023'!$I$4="FO",'2023'!$I$2=CN195),'2023DATA'!$G$12,"")</f>
        <v/>
      </c>
      <c r="CO205" s="518" t="str">
        <f>IF(AND(_AC6="B-767-400ER",'2023'!$I$4="FO",'2023'!$I$2=CO195),'2023DATA'!$H$12,"")</f>
        <v/>
      </c>
      <c r="CP205" s="518" t="str">
        <f>IF(AND(_AC6="B-767-400ER",'2023'!$I$4="FO",'2023'!$I$2=CP195),'2023DATA'!$I$12,"")</f>
        <v/>
      </c>
      <c r="CQ205" s="518" t="str">
        <f>IF(AND(_AC6="B-767-400ER",'2023'!$I$4="FO",'2023'!$I$2=CQ195),'2023DATA'!$J$12,"")</f>
        <v/>
      </c>
      <c r="CR205" s="518" t="str">
        <f>IF(AND(_AC6="B-767-400ER",'2023'!$I$4="FO",'2023'!$I$2=CR195),'2023DATA'!$K$12,"")</f>
        <v/>
      </c>
      <c r="CS205" s="518" t="str">
        <f>IF(AND(_AC6="B-767-400ER",'2023'!$I$4="FO",'2023'!$I$2=CS195),'2023DATA'!$L$12,"")</f>
        <v/>
      </c>
      <c r="CT205" s="518" t="str">
        <f>IF(AND(_AC6="B-767-400ER",'2023'!$I$4="FO",'2023'!$I$2=CT195),'2023DATA'!$M$12,"")</f>
        <v/>
      </c>
      <c r="CU205" s="520" t="str">
        <f>IF(AND(_AC6="B-767-400ER",'2023'!$I$4="FO",'2023'!$I$2=CU195),'2023DATA'!$N$12,"")</f>
        <v/>
      </c>
    </row>
    <row r="206" spans="16:99" x14ac:dyDescent="0.25">
      <c r="P206" s="940" t="s">
        <v>43</v>
      </c>
      <c r="Q206" s="13" t="s">
        <v>61</v>
      </c>
      <c r="R206" s="518" t="str">
        <f>IF(AND(_AC1="B-767-300ER",'2023'!$I$4="CA",'2023'!$I$2=R195),'2023DATA'!$C$13,"")</f>
        <v/>
      </c>
      <c r="S206" s="518" t="str">
        <f>IF(AND(_AC1="B-767-300ER",'2023'!$I$4="CA",'2023'!$I$2=S195),'2023DATA'!$D$13,"")</f>
        <v/>
      </c>
      <c r="T206" s="518" t="str">
        <f>IF(AND(_AC1="B-767-300ER",'2023'!$I$4="CA",'2023'!$I$2=T195),'2023DATA'!$E$13,"")</f>
        <v/>
      </c>
      <c r="U206" s="518" t="str">
        <f>IF(AND(_AC1="B-767-300ER",'2023'!$I$4="CA",'2023'!$I$2=U195),'2023DATA'!$F$13,"")</f>
        <v/>
      </c>
      <c r="V206" s="518" t="str">
        <f>IF(AND(_AC1="B-767-300ER",'2023'!$I$4="CA",'2023'!$I$2=V195),'2023DATA'!$G$13,"")</f>
        <v/>
      </c>
      <c r="W206" s="518" t="str">
        <f>IF(AND(_AC1="B-767-300ER",'2023'!$I$4="CA",'2023'!$I$2=W195),'2023DATA'!$H$13,"")</f>
        <v/>
      </c>
      <c r="X206" s="518" t="str">
        <f>IF(AND(_AC1="B-767-300ER",'2023'!$I$4="CA",'2023'!$I$2=X195),'2023DATA'!$I$13,"")</f>
        <v/>
      </c>
      <c r="Y206" s="518" t="str">
        <f>IF(AND(_AC1="B-767-300ER",'2023'!$I$4="CA",'2023'!$I$2=Y195),'2023DATA'!$J$13,"")</f>
        <v/>
      </c>
      <c r="Z206" s="518" t="str">
        <f>IF(AND(_AC1="B-767-300ER",'2023'!$I$4="CA",'2023'!$I$2=Z195),'2023DATA'!$K$13,"")</f>
        <v/>
      </c>
      <c r="AA206" s="518" t="str">
        <f>IF(AND(_AC1="B-767-300ER",'2023'!$I$4="CA",'2023'!$I$2=AA195),'2023DATA'!$L$13,"")</f>
        <v/>
      </c>
      <c r="AB206" s="518" t="str">
        <f>IF(AND(_AC1="B-767-300ER",'2023'!$I$4="CA",'2023'!$I$2=AB195),'2023DATA'!$M$13,"")</f>
        <v/>
      </c>
      <c r="AC206" s="520" t="str">
        <f>IF(AND(_AC1="B-767-300ER",'2023'!$I$4="CA",'2023'!$I$2=AC195),'2023DATA'!$N$13,"")</f>
        <v/>
      </c>
      <c r="AD206" s="940" t="s">
        <v>43</v>
      </c>
      <c r="AE206" s="13" t="s">
        <v>61</v>
      </c>
      <c r="AF206" s="518" t="str">
        <f>IF(AND(_AC2="B-767-300ER",'2023'!$I$4="CA",'2023'!$I$2=AF195),'2023DATA'!$C$13,"")</f>
        <v/>
      </c>
      <c r="AG206" s="518" t="str">
        <f>IF(AND(_AC2="B-767-300ER",'2023'!$I$4="CA",'2023'!$I$2=AG195),'2023DATA'!$D$13,"")</f>
        <v/>
      </c>
      <c r="AH206" s="518" t="str">
        <f>IF(AND(_AC2="B-767-300ER",'2023'!$I$4="CA",'2023'!$I$2=AH195),'2023DATA'!$E$13,"")</f>
        <v/>
      </c>
      <c r="AI206" s="518" t="str">
        <f>IF(AND(_AC2="B-767-300ER",'2023'!$I$4="CA",'2023'!$I$2=AI195),'2023DATA'!$F$13,"")</f>
        <v/>
      </c>
      <c r="AJ206" s="518" t="str">
        <f>IF(AND(_AC2="B-767-300ER",'2023'!$I$4="CA",'2023'!$I$2=AJ195),'2023DATA'!$G$13,"")</f>
        <v/>
      </c>
      <c r="AK206" s="518" t="str">
        <f>IF(AND(_AC2="B-767-300ER",'2023'!$I$4="CA",'2023'!$I$2=AK195),'2023DATA'!$H$13,"")</f>
        <v/>
      </c>
      <c r="AL206" s="518" t="str">
        <f>IF(AND(_AC2="B-767-300ER",'2023'!$I$4="CA",'2023'!$I$2=AL195),'2023DATA'!$I$13,"")</f>
        <v/>
      </c>
      <c r="AM206" s="518" t="str">
        <f>IF(AND(_AC2="B-767-300ER",'2023'!$I$4="CA",'2023'!$I$2=AM195),'2023DATA'!$J$13,"")</f>
        <v/>
      </c>
      <c r="AN206" s="518" t="str">
        <f>IF(AND(_AC2="B-767-300ER",'2023'!$I$4="CA",'2023'!$I$2=AN195),'2023DATA'!$K$13,"")</f>
        <v/>
      </c>
      <c r="AO206" s="518" t="str">
        <f>IF(AND(_AC2="B-767-300ER",'2023'!$I$4="CA",'2023'!$I$2=AO195),'2023DATA'!$L$13,"")</f>
        <v/>
      </c>
      <c r="AP206" s="518" t="str">
        <f>IF(AND(_AC2="B-767-300ER",'2023'!$I$4="CA",'2023'!$I$2=AP195),'2023DATA'!$M$13,"")</f>
        <v/>
      </c>
      <c r="AQ206" s="520" t="str">
        <f>IF(AND(_AC2="B-767-300ER",'2023'!$I$4="CA",'2023'!$I$2=AQ195),'2023DATA'!$N$13,"")</f>
        <v/>
      </c>
      <c r="AR206" s="940" t="s">
        <v>43</v>
      </c>
      <c r="AS206" s="13" t="s">
        <v>61</v>
      </c>
      <c r="AT206" s="518" t="str">
        <f>IF(AND(_AC3="B-767-300ER",'2023'!$I$4="CA",'2023'!$I$2=AT195),'2023DATA'!$C$13,"")</f>
        <v/>
      </c>
      <c r="AU206" s="518" t="str">
        <f>IF(AND(_AC3="B-767-300ER",'2023'!$I$4="CA",'2023'!$I$2=AU195),'2023DATA'!$D$13,"")</f>
        <v/>
      </c>
      <c r="AV206" s="518" t="str">
        <f>IF(AND(_AC3="B-767-300ER",'2023'!$I$4="CA",'2023'!$I$2=AV195),'2023DATA'!$E$13,"")</f>
        <v/>
      </c>
      <c r="AW206" s="518" t="str">
        <f>IF(AND(_AC3="B-767-300ER",'2023'!$I$4="CA",'2023'!$I$2=AW195),'2023DATA'!$F$13,"")</f>
        <v/>
      </c>
      <c r="AX206" s="518" t="str">
        <f>IF(AND(_AC3="B-767-300ER",'2023'!$I$4="CA",'2023'!$I$2=AX195),'2023DATA'!$G$13,"")</f>
        <v/>
      </c>
      <c r="AY206" s="518" t="str">
        <f>IF(AND(_AC3="B-767-300ER",'2023'!$I$4="CA",'2023'!$I$2=AY195),'2023DATA'!$H$13,"")</f>
        <v/>
      </c>
      <c r="AZ206" s="518" t="str">
        <f>IF(AND(_AC3="B-767-300ER",'2023'!$I$4="CA",'2023'!$I$2=AZ195),'2023DATA'!$I$13,"")</f>
        <v/>
      </c>
      <c r="BA206" s="518" t="str">
        <f>IF(AND(_AC3="B-767-300ER",'2023'!$I$4="CA",'2023'!$I$2=BA195),'2023DATA'!$J$13,"")</f>
        <v/>
      </c>
      <c r="BB206" s="518" t="str">
        <f>IF(AND(_AC3="B-767-300ER",'2023'!$I$4="CA",'2023'!$I$2=BB195),'2023DATA'!$K$13,"")</f>
        <v/>
      </c>
      <c r="BC206" s="518" t="str">
        <f>IF(AND(_AC3="B-767-300ER",'2023'!$I$4="CA",'2023'!$I$2=BC195),'2023DATA'!$L$13,"")</f>
        <v/>
      </c>
      <c r="BD206" s="518" t="str">
        <f>IF(AND(_AC3="B-767-300ER",'2023'!$I$4="CA",'2023'!$I$2=BD195),'2023DATA'!$M$13,"")</f>
        <v/>
      </c>
      <c r="BE206" s="520" t="str">
        <f>IF(AND(_AC3="B-767-300ER",'2023'!$I$4="CA",'2023'!$I$2=BE195),'2023DATA'!$N$13,"")</f>
        <v/>
      </c>
      <c r="BF206" s="940" t="s">
        <v>43</v>
      </c>
      <c r="BG206" s="13" t="s">
        <v>61</v>
      </c>
      <c r="BH206" s="518" t="str">
        <f>IF(AND(_AC4="B-767-300ER",'2023'!$I$4="CA",'2023'!$I$2=BH195),'2023DATA'!$C$13,"")</f>
        <v/>
      </c>
      <c r="BI206" s="518" t="str">
        <f>IF(AND(_AC4="B-767-300ER",'2023'!$I$4="CA",'2023'!$I$2=BI195),'2023DATA'!$D$13,"")</f>
        <v/>
      </c>
      <c r="BJ206" s="518" t="str">
        <f>IF(AND(_AC4="B-767-300ER",'2023'!$I$4="CA",'2023'!$I$2=BJ195),'2023DATA'!$E$13,"")</f>
        <v/>
      </c>
      <c r="BK206" s="518" t="str">
        <f>IF(AND(_AC4="B-767-300ER",'2023'!$I$4="CA",'2023'!$I$2=BK195),'2023DATA'!$F$13,"")</f>
        <v/>
      </c>
      <c r="BL206" s="518" t="str">
        <f>IF(AND(_AC4="B-767-300ER",'2023'!$I$4="CA",'2023'!$I$2=BL195),'2023DATA'!$G$13,"")</f>
        <v/>
      </c>
      <c r="BM206" s="518" t="str">
        <f>IF(AND(_AC4="B-767-300ER",'2023'!$I$4="CA",'2023'!$I$2=BM195),'2023DATA'!$H$13,"")</f>
        <v/>
      </c>
      <c r="BN206" s="518" t="str">
        <f>IF(AND(_AC4="B-767-300ER",'2023'!$I$4="CA",'2023'!$I$2=BN195),'2023DATA'!$I$13,"")</f>
        <v/>
      </c>
      <c r="BO206" s="518" t="str">
        <f>IF(AND(_AC4="B-767-300ER",'2023'!$I$4="CA",'2023'!$I$2=BO195),'2023DATA'!$J$13,"")</f>
        <v/>
      </c>
      <c r="BP206" s="518" t="str">
        <f>IF(AND(_AC4="B-767-300ER",'2023'!$I$4="CA",'2023'!$I$2=BP195),'2023DATA'!$K$13,"")</f>
        <v/>
      </c>
      <c r="BQ206" s="518" t="str">
        <f>IF(AND(_AC4="B-767-300ER",'2023'!$I$4="CA",'2023'!$I$2=BQ195),'2023DATA'!$L$13,"")</f>
        <v/>
      </c>
      <c r="BR206" s="518" t="str">
        <f>IF(AND(_AC4="B-767-300ER",'2023'!$I$4="CA",'2023'!$I$2=BR195),'2023DATA'!$M$13,"")</f>
        <v/>
      </c>
      <c r="BS206" s="520" t="str">
        <f>IF(AND(_AC4="B-767-300ER",'2023'!$I$4="CA",'2023'!$I$2=BS195),'2023DATA'!$N$13,"")</f>
        <v/>
      </c>
      <c r="BT206" s="940" t="s">
        <v>43</v>
      </c>
      <c r="BU206" s="13" t="s">
        <v>61</v>
      </c>
      <c r="BV206" s="518" t="str">
        <f>IF(AND(_AC5="B-767-300ER",'2023'!$I$4="CA",'2023'!$I$2=BV195),'2023DATA'!$C$13,"")</f>
        <v/>
      </c>
      <c r="BW206" s="518" t="str">
        <f>IF(AND(_AC5="B-767-300ER",'2023'!$I$4="CA",'2023'!$I$2=BW195),'2023DATA'!$D$13,"")</f>
        <v/>
      </c>
      <c r="BX206" s="518" t="str">
        <f>IF(AND(_AC5="B-767-300ER",'2023'!$I$4="CA",'2023'!$I$2=BX195),'2023DATA'!$E$13,"")</f>
        <v/>
      </c>
      <c r="BY206" s="518" t="str">
        <f>IF(AND(_AC5="B-767-300ER",'2023'!$I$4="CA",'2023'!$I$2=BY195),'2023DATA'!$F$13,"")</f>
        <v/>
      </c>
      <c r="BZ206" s="518" t="str">
        <f>IF(AND(_AC5="B-767-300ER",'2023'!$I$4="CA",'2023'!$I$2=BZ195),'2023DATA'!$G$13,"")</f>
        <v/>
      </c>
      <c r="CA206" s="518" t="str">
        <f>IF(AND(_AC5="B-767-300ER",'2023'!$I$4="CA",'2023'!$I$2=CA195),'2023DATA'!$H$13,"")</f>
        <v/>
      </c>
      <c r="CB206" s="518" t="str">
        <f>IF(AND(_AC5="B-767-300ER",'2023'!$I$4="CA",'2023'!$I$2=CB195),'2023DATA'!$I$13,"")</f>
        <v/>
      </c>
      <c r="CC206" s="518" t="str">
        <f>IF(AND(_AC5="B-767-300ER",'2023'!$I$4="CA",'2023'!$I$2=CC195),'2023DATA'!$J$13,"")</f>
        <v/>
      </c>
      <c r="CD206" s="518" t="str">
        <f>IF(AND(_AC5="B-767-300ER",'2023'!$I$4="CA",'2023'!$I$2=CD195),'2023DATA'!$K$13,"")</f>
        <v/>
      </c>
      <c r="CE206" s="518" t="str">
        <f>IF(AND(_AC5="B-767-300ER",'2023'!$I$4="CA",'2023'!$I$2=CE195),'2023DATA'!$L$13,"")</f>
        <v/>
      </c>
      <c r="CF206" s="518" t="str">
        <f>IF(AND(_AC5="B-767-300ER",'2023'!$I$4="CA",'2023'!$I$2=CF195),'2023DATA'!$M$13,"")</f>
        <v/>
      </c>
      <c r="CG206" s="520" t="str">
        <f>IF(AND(_AC5="B-767-300ER",'2023'!$I$4="CA",'2023'!$I$2=CG195),'2023DATA'!$N$13,"")</f>
        <v/>
      </c>
      <c r="CH206" s="940" t="s">
        <v>43</v>
      </c>
      <c r="CI206" s="13" t="s">
        <v>61</v>
      </c>
      <c r="CJ206" s="518" t="str">
        <f>IF(AND(_AC6="B-767-300ER",'2023'!$I$4="CA",'2023'!$I$2=CJ195),'2023DATA'!$C$13,"")</f>
        <v/>
      </c>
      <c r="CK206" s="518" t="str">
        <f>IF(AND(_AC6="B-767-300ER",'2023'!$I$4="CA",'2023'!$I$2=CK195),'2023DATA'!$D$13,"")</f>
        <v/>
      </c>
      <c r="CL206" s="518" t="str">
        <f>IF(AND(_AC6="B-767-300ER",'2023'!$I$4="CA",'2023'!$I$2=CL195),'2023DATA'!$E$13,"")</f>
        <v/>
      </c>
      <c r="CM206" s="518" t="str">
        <f>IF(AND(_AC6="B-767-300ER",'2023'!$I$4="CA",'2023'!$I$2=CM195),'2023DATA'!$F$13,"")</f>
        <v/>
      </c>
      <c r="CN206" s="518" t="str">
        <f>IF(AND(_AC6="B-767-300ER",'2023'!$I$4="CA",'2023'!$I$2=CN195),'2023DATA'!$G$13,"")</f>
        <v/>
      </c>
      <c r="CO206" s="518" t="str">
        <f>IF(AND(_AC6="B-767-300ER",'2023'!$I$4="CA",'2023'!$I$2=CO195),'2023DATA'!$H$13,"")</f>
        <v/>
      </c>
      <c r="CP206" s="518" t="str">
        <f>IF(AND(_AC6="B-767-300ER",'2023'!$I$4="CA",'2023'!$I$2=CP195),'2023DATA'!$I$13,"")</f>
        <v/>
      </c>
      <c r="CQ206" s="518" t="str">
        <f>IF(AND(_AC6="B-767-300ER",'2023'!$I$4="CA",'2023'!$I$2=CQ195),'2023DATA'!$J$13,"")</f>
        <v/>
      </c>
      <c r="CR206" s="518" t="str">
        <f>IF(AND(_AC6="B-767-300ER",'2023'!$I$4="CA",'2023'!$I$2=CR195),'2023DATA'!$K$13,"")</f>
        <v/>
      </c>
      <c r="CS206" s="518" t="str">
        <f>IF(AND(_AC6="B-767-300ER",'2023'!$I$4="CA",'2023'!$I$2=CS195),'2023DATA'!$L$13,"")</f>
        <v/>
      </c>
      <c r="CT206" s="518" t="str">
        <f>IF(AND(_AC6="B-767-300ER",'2023'!$I$4="CA",'2023'!$I$2=CT195),'2023DATA'!$M$13,"")</f>
        <v/>
      </c>
      <c r="CU206" s="520" t="str">
        <f>IF(AND(_AC6="B-767-300ER",'2023'!$I$4="CA",'2023'!$I$2=CU195),'2023DATA'!$N$13,"")</f>
        <v/>
      </c>
    </row>
    <row r="207" spans="16:99" x14ac:dyDescent="0.25">
      <c r="P207" s="940"/>
      <c r="Q207" s="13" t="s">
        <v>62</v>
      </c>
      <c r="R207" s="518" t="str">
        <f>IF(AND(_AC1="B-767-300ER",'2023'!$I$4="FO",'2023'!$I$2=R195),'2023DATA'!$C$14,"")</f>
        <v/>
      </c>
      <c r="S207" s="518" t="str">
        <f>IF(AND(_AC1="B-767-300ER",'2023'!$I$4="FO",'2023'!$I$2=S195),'2023DATA'!$D$14,"")</f>
        <v/>
      </c>
      <c r="T207" s="518" t="str">
        <f>IF(AND(_AC1="B-767-300ER",'2023'!$I$4="FO",'2023'!$I$2=T195),'2023DATA'!$E$14,"")</f>
        <v/>
      </c>
      <c r="U207" s="518" t="str">
        <f>IF(AND(_AC1="B-767-300ER",'2023'!$I$4="FO",'2023'!$I$2=U195),'2023DATA'!$F$14,"")</f>
        <v/>
      </c>
      <c r="V207" s="518" t="str">
        <f>IF(AND(_AC1="B-767-300ER",'2023'!$I$4="FO",'2023'!$I$2=V195),'2023DATA'!$G$14,"")</f>
        <v/>
      </c>
      <c r="W207" s="518" t="str">
        <f>IF(AND(_AC1="B-767-300ER",'2023'!$I$4="FO",'2023'!$I$2=W195),'2023DATA'!$H$14,"")</f>
        <v/>
      </c>
      <c r="X207" s="518" t="str">
        <f>IF(AND(_AC1="B-767-300ER",'2023'!$I$4="FO",'2023'!$I$2=X195),'2023DATA'!$I$14,"")</f>
        <v/>
      </c>
      <c r="Y207" s="518" t="str">
        <f>IF(AND(_AC1="B-767-300ER",'2023'!$I$4="FO",'2023'!$I$2=Y195),'2023DATA'!$J$14,"")</f>
        <v/>
      </c>
      <c r="Z207" s="518" t="str">
        <f>IF(AND(_AC1="B-767-300ER",'2023'!$I$4="FO",'2023'!$I$2=Z195),'2023DATA'!$K$14,"")</f>
        <v/>
      </c>
      <c r="AA207" s="518" t="str">
        <f>IF(AND(_AC1="B-767-300ER",'2023'!$I$4="FO",'2023'!$I$2=AA195),'2023DATA'!$L$14,"")</f>
        <v/>
      </c>
      <c r="AB207" s="518" t="str">
        <f>IF(AND(_AC1="B-767-300ER",'2023'!$I$4="FO",'2023'!$I$2=AB195),'2023DATA'!$M$14,"")</f>
        <v/>
      </c>
      <c r="AC207" s="520" t="str">
        <f>IF(AND(_AC1="B-767-300ER",'2023'!$I$4="FO",'2023'!$I$2=AC195),'2023DATA'!$N$14,"")</f>
        <v/>
      </c>
      <c r="AD207" s="940"/>
      <c r="AE207" s="13" t="s">
        <v>62</v>
      </c>
      <c r="AF207" s="518" t="str">
        <f>IF(AND(_AC2="B-767-300ER",'2023'!$I$4="FO",'2023'!$I$2=AF195),'2023DATA'!$C$14,"")</f>
        <v/>
      </c>
      <c r="AG207" s="518" t="str">
        <f>IF(AND(_AC2="B-767-300ER",'2023'!$I$4="FO",'2023'!$I$2=AG195),'2023DATA'!$D$14,"")</f>
        <v/>
      </c>
      <c r="AH207" s="518" t="str">
        <f>IF(AND(_AC2="B-767-300ER",'2023'!$I$4="FO",'2023'!$I$2=AH195),'2023DATA'!$E$14,"")</f>
        <v/>
      </c>
      <c r="AI207" s="518" t="str">
        <f>IF(AND(_AC2="B-767-300ER",'2023'!$I$4="FO",'2023'!$I$2=AI195),'2023DATA'!$F$14,"")</f>
        <v/>
      </c>
      <c r="AJ207" s="518" t="str">
        <f>IF(AND(_AC2="B-767-300ER",'2023'!$I$4="FO",'2023'!$I$2=AJ195),'2023DATA'!$G$14,"")</f>
        <v/>
      </c>
      <c r="AK207" s="518" t="str">
        <f>IF(AND(_AC2="B-767-300ER",'2023'!$I$4="FO",'2023'!$I$2=AK195),'2023DATA'!$H$14,"")</f>
        <v/>
      </c>
      <c r="AL207" s="518" t="str">
        <f>IF(AND(_AC2="B-767-300ER",'2023'!$I$4="FO",'2023'!$I$2=AL195),'2023DATA'!$I$14,"")</f>
        <v/>
      </c>
      <c r="AM207" s="518" t="str">
        <f>IF(AND(_AC2="B-767-300ER",'2023'!$I$4="FO",'2023'!$I$2=AM195),'2023DATA'!$J$14,"")</f>
        <v/>
      </c>
      <c r="AN207" s="518" t="str">
        <f>IF(AND(_AC2="B-767-300ER",'2023'!$I$4="FO",'2023'!$I$2=AN195),'2023DATA'!$K$14,"")</f>
        <v/>
      </c>
      <c r="AO207" s="518" t="str">
        <f>IF(AND(_AC2="B-767-300ER",'2023'!$I$4="FO",'2023'!$I$2=AO195),'2023DATA'!$L$14,"")</f>
        <v/>
      </c>
      <c r="AP207" s="518" t="str">
        <f>IF(AND(_AC2="B-767-300ER",'2023'!$I$4="FO",'2023'!$I$2=AP195),'2023DATA'!$M$14,"")</f>
        <v/>
      </c>
      <c r="AQ207" s="520" t="str">
        <f>IF(AND(_AC2="B-767-300ER",'2023'!$I$4="FO",'2023'!$I$2=AQ195),'2023DATA'!$N$14,"")</f>
        <v/>
      </c>
      <c r="AR207" s="940"/>
      <c r="AS207" s="13" t="s">
        <v>62</v>
      </c>
      <c r="AT207" s="518" t="str">
        <f>IF(AND(_AC3="B-767-300ER",'2023'!$I$4="FO",'2023'!$I$2=AT195),'2023DATA'!$C$14,"")</f>
        <v/>
      </c>
      <c r="AU207" s="518" t="str">
        <f>IF(AND(_AC3="B-767-300ER",'2023'!$I$4="FO",'2023'!$I$2=AU195),'2023DATA'!$D$14,"")</f>
        <v/>
      </c>
      <c r="AV207" s="518" t="str">
        <f>IF(AND(_AC3="B-767-300ER",'2023'!$I$4="FO",'2023'!$I$2=AV195),'2023DATA'!$E$14,"")</f>
        <v/>
      </c>
      <c r="AW207" s="518" t="str">
        <f>IF(AND(_AC3="B-767-300ER",'2023'!$I$4="FO",'2023'!$I$2=AW195),'2023DATA'!$F$14,"")</f>
        <v/>
      </c>
      <c r="AX207" s="518" t="str">
        <f>IF(AND(_AC3="B-767-300ER",'2023'!$I$4="FO",'2023'!$I$2=AX195),'2023DATA'!$G$14,"")</f>
        <v/>
      </c>
      <c r="AY207" s="518" t="str">
        <f>IF(AND(_AC3="B-767-300ER",'2023'!$I$4="FO",'2023'!$I$2=AY195),'2023DATA'!$H$14,"")</f>
        <v/>
      </c>
      <c r="AZ207" s="518" t="str">
        <f>IF(AND(_AC3="B-767-300ER",'2023'!$I$4="FO",'2023'!$I$2=AZ195),'2023DATA'!$I$14,"")</f>
        <v/>
      </c>
      <c r="BA207" s="518" t="str">
        <f>IF(AND(_AC3="B-767-300ER",'2023'!$I$4="FO",'2023'!$I$2=BA195),'2023DATA'!$J$14,"")</f>
        <v/>
      </c>
      <c r="BB207" s="518" t="str">
        <f>IF(AND(_AC3="B-767-300ER",'2023'!$I$4="FO",'2023'!$I$2=BB195),'2023DATA'!$K$14,"")</f>
        <v/>
      </c>
      <c r="BC207" s="518" t="str">
        <f>IF(AND(_AC3="B-767-300ER",'2023'!$I$4="FO",'2023'!$I$2=BC195),'2023DATA'!$L$14,"")</f>
        <v/>
      </c>
      <c r="BD207" s="518" t="str">
        <f>IF(AND(_AC3="B-767-300ER",'2023'!$I$4="FO",'2023'!$I$2=BD195),'2023DATA'!$M$14,"")</f>
        <v/>
      </c>
      <c r="BE207" s="520" t="str">
        <f>IF(AND(_AC3="B-767-300ER",'2023'!$I$4="FO",'2023'!$I$2=BE195),'2023DATA'!$N$14,"")</f>
        <v/>
      </c>
      <c r="BF207" s="940"/>
      <c r="BG207" s="13" t="s">
        <v>62</v>
      </c>
      <c r="BH207" s="518" t="str">
        <f>IF(AND(_AC4="B-767-300ER",'2023'!$I$4="FO",'2023'!$I$2=BH195),'2023DATA'!$C$14,"")</f>
        <v/>
      </c>
      <c r="BI207" s="518" t="str">
        <f>IF(AND(_AC4="B-767-300ER",'2023'!$I$4="FO",'2023'!$I$2=BI195),'2023DATA'!$D$14,"")</f>
        <v/>
      </c>
      <c r="BJ207" s="518" t="str">
        <f>IF(AND(_AC4="B-767-300ER",'2023'!$I$4="FO",'2023'!$I$2=BJ195),'2023DATA'!$E$14,"")</f>
        <v/>
      </c>
      <c r="BK207" s="518" t="str">
        <f>IF(AND(_AC4="B-767-300ER",'2023'!$I$4="FO",'2023'!$I$2=BK195),'2023DATA'!$F$14,"")</f>
        <v/>
      </c>
      <c r="BL207" s="518" t="str">
        <f>IF(AND(_AC4="B-767-300ER",'2023'!$I$4="FO",'2023'!$I$2=BL195),'2023DATA'!$G$14,"")</f>
        <v/>
      </c>
      <c r="BM207" s="518" t="str">
        <f>IF(AND(_AC4="B-767-300ER",'2023'!$I$4="FO",'2023'!$I$2=BM195),'2023DATA'!$H$14,"")</f>
        <v/>
      </c>
      <c r="BN207" s="518" t="str">
        <f>IF(AND(_AC4="B-767-300ER",'2023'!$I$4="FO",'2023'!$I$2=BN195),'2023DATA'!$I$14,"")</f>
        <v/>
      </c>
      <c r="BO207" s="518" t="str">
        <f>IF(AND(_AC4="B-767-300ER",'2023'!$I$4="FO",'2023'!$I$2=BO195),'2023DATA'!$J$14,"")</f>
        <v/>
      </c>
      <c r="BP207" s="518" t="str">
        <f>IF(AND(_AC4="B-767-300ER",'2023'!$I$4="FO",'2023'!$I$2=BP195),'2023DATA'!$K$14,"")</f>
        <v/>
      </c>
      <c r="BQ207" s="518" t="str">
        <f>IF(AND(_AC4="B-767-300ER",'2023'!$I$4="FO",'2023'!$I$2=BQ195),'2023DATA'!$L$14,"")</f>
        <v/>
      </c>
      <c r="BR207" s="518" t="str">
        <f>IF(AND(_AC4="B-767-300ER",'2023'!$I$4="FO",'2023'!$I$2=BR195),'2023DATA'!$M$14,"")</f>
        <v/>
      </c>
      <c r="BS207" s="520" t="str">
        <f>IF(AND(_AC4="B-767-300ER",'2023'!$I$4="FO",'2023'!$I$2=BS195),'2023DATA'!$N$14,"")</f>
        <v/>
      </c>
      <c r="BT207" s="940"/>
      <c r="BU207" s="13" t="s">
        <v>62</v>
      </c>
      <c r="BV207" s="518" t="str">
        <f>IF(AND(_AC5="B-767-300ER",'2023'!$I$4="FO",'2023'!$I$2=BV195),'2023DATA'!$C$14,"")</f>
        <v/>
      </c>
      <c r="BW207" s="518" t="str">
        <f>IF(AND(_AC5="B-767-300ER",'2023'!$I$4="FO",'2023'!$I$2=BW195),'2023DATA'!$D$14,"")</f>
        <v/>
      </c>
      <c r="BX207" s="518" t="str">
        <f>IF(AND(_AC5="B-767-300ER",'2023'!$I$4="FO",'2023'!$I$2=BX195),'2023DATA'!$E$14,"")</f>
        <v/>
      </c>
      <c r="BY207" s="518" t="str">
        <f>IF(AND(_AC5="B-767-300ER",'2023'!$I$4="FO",'2023'!$I$2=BY195),'2023DATA'!$F$14,"")</f>
        <v/>
      </c>
      <c r="BZ207" s="518" t="str">
        <f>IF(AND(_AC5="B-767-300ER",'2023'!$I$4="FO",'2023'!$I$2=BZ195),'2023DATA'!$G$14,"")</f>
        <v/>
      </c>
      <c r="CA207" s="518" t="str">
        <f>IF(AND(_AC5="B-767-300ER",'2023'!$I$4="FO",'2023'!$I$2=CA195),'2023DATA'!$H$14,"")</f>
        <v/>
      </c>
      <c r="CB207" s="518" t="str">
        <f>IF(AND(_AC5="B-767-300ER",'2023'!$I$4="FO",'2023'!$I$2=CB195),'2023DATA'!$I$14,"")</f>
        <v/>
      </c>
      <c r="CC207" s="518" t="str">
        <f>IF(AND(_AC5="B-767-300ER",'2023'!$I$4="FO",'2023'!$I$2=CC195),'2023DATA'!$J$14,"")</f>
        <v/>
      </c>
      <c r="CD207" s="518" t="str">
        <f>IF(AND(_AC5="B-767-300ER",'2023'!$I$4="FO",'2023'!$I$2=CD195),'2023DATA'!$K$14,"")</f>
        <v/>
      </c>
      <c r="CE207" s="518" t="str">
        <f>IF(AND(_AC5="B-767-300ER",'2023'!$I$4="FO",'2023'!$I$2=CE195),'2023DATA'!$L$14,"")</f>
        <v/>
      </c>
      <c r="CF207" s="518" t="str">
        <f>IF(AND(_AC5="B-767-300ER",'2023'!$I$4="FO",'2023'!$I$2=CF195),'2023DATA'!$M$14,"")</f>
        <v/>
      </c>
      <c r="CG207" s="520" t="str">
        <f>IF(AND(_AC5="B-767-300ER",'2023'!$I$4="FO",'2023'!$I$2=CG195),'2023DATA'!$N$14,"")</f>
        <v/>
      </c>
      <c r="CH207" s="940"/>
      <c r="CI207" s="13" t="s">
        <v>62</v>
      </c>
      <c r="CJ207" s="518" t="str">
        <f>IF(AND(_AC6="B-767-300ER",'2023'!$I$4="FO",'2023'!$I$2=CJ195),'2023DATA'!$C$14,"")</f>
        <v/>
      </c>
      <c r="CK207" s="518" t="str">
        <f>IF(AND(_AC6="B-767-300ER",'2023'!$I$4="FO",'2023'!$I$2=CK195),'2023DATA'!$D$14,"")</f>
        <v/>
      </c>
      <c r="CL207" s="518" t="str">
        <f>IF(AND(_AC6="B-767-300ER",'2023'!$I$4="FO",'2023'!$I$2=CL195),'2023DATA'!$E$14,"")</f>
        <v/>
      </c>
      <c r="CM207" s="518" t="str">
        <f>IF(AND(_AC6="B-767-300ER",'2023'!$I$4="FO",'2023'!$I$2=CM195),'2023DATA'!$F$14,"")</f>
        <v/>
      </c>
      <c r="CN207" s="518" t="str">
        <f>IF(AND(_AC6="B-767-300ER",'2023'!$I$4="FO",'2023'!$I$2=CN195),'2023DATA'!$G$14,"")</f>
        <v/>
      </c>
      <c r="CO207" s="518" t="str">
        <f>IF(AND(_AC6="B-767-300ER",'2023'!$I$4="FO",'2023'!$I$2=CO195),'2023DATA'!$H$14,"")</f>
        <v/>
      </c>
      <c r="CP207" s="518" t="str">
        <f>IF(AND(_AC6="B-767-300ER",'2023'!$I$4="FO",'2023'!$I$2=CP195),'2023DATA'!$I$14,"")</f>
        <v/>
      </c>
      <c r="CQ207" s="518" t="str">
        <f>IF(AND(_AC6="B-767-300ER",'2023'!$I$4="FO",'2023'!$I$2=CQ195),'2023DATA'!$J$14,"")</f>
        <v/>
      </c>
      <c r="CR207" s="518" t="str">
        <f>IF(AND(_AC6="B-767-300ER",'2023'!$I$4="FO",'2023'!$I$2=CR195),'2023DATA'!$K$14,"")</f>
        <v/>
      </c>
      <c r="CS207" s="518" t="str">
        <f>IF(AND(_AC6="B-767-300ER",'2023'!$I$4="FO",'2023'!$I$2=CS195),'2023DATA'!$L$14,"")</f>
        <v/>
      </c>
      <c r="CT207" s="518" t="str">
        <f>IF(AND(_AC6="B-767-300ER",'2023'!$I$4="FO",'2023'!$I$2=CT195),'2023DATA'!$M$14,"")</f>
        <v/>
      </c>
      <c r="CU207" s="520" t="str">
        <f>IF(AND(_AC6="B-767-300ER",'2023'!$I$4="FO",'2023'!$I$2=CU195),'2023DATA'!$N$14,"")</f>
        <v/>
      </c>
    </row>
    <row r="208" spans="16:99" x14ac:dyDescent="0.25">
      <c r="P208" s="940" t="s">
        <v>67</v>
      </c>
      <c r="Q208" s="13" t="s">
        <v>61</v>
      </c>
      <c r="R208" s="518" t="str">
        <f>IF(AND(_AC1="B-767-300",'2023'!$I$4="CA",'2023'!$I$2=R195),'2023DATA'!$C$15,"")</f>
        <v/>
      </c>
      <c r="S208" s="518" t="str">
        <f>IF(AND(_AC1="B-767-300",'2023'!$I$4="CA",'2023'!$I$2=S195),'2023DATA'!$D$15,"")</f>
        <v/>
      </c>
      <c r="T208" s="518" t="str">
        <f>IF(AND(_AC1="B-767-300",'2023'!$I$4="CA",'2023'!$I$2=T195),'2023DATA'!$E$15,"")</f>
        <v/>
      </c>
      <c r="U208" s="518" t="str">
        <f>IF(AND(_AC1="B-767-300",'2023'!$I$4="CA",'2023'!$I$2=U195),'2023DATA'!$F$15,"")</f>
        <v/>
      </c>
      <c r="V208" s="518" t="str">
        <f>IF(AND(_AC1="B-767-300",'2023'!$I$4="CA",'2023'!$I$2=V195),'2023DATA'!$G$15,"")</f>
        <v/>
      </c>
      <c r="W208" s="518" t="str">
        <f>IF(AND(_AC1="B-767-300",'2023'!$I$4="CA",'2023'!$I$2=W195),'2023DATA'!$H$15,"")</f>
        <v/>
      </c>
      <c r="X208" s="518" t="str">
        <f>IF(AND(_AC1="B-767-300",'2023'!$I$4="CA",'2023'!$I$2=X195),'2023DATA'!$I$15,"")</f>
        <v/>
      </c>
      <c r="Y208" s="518" t="str">
        <f>IF(AND(_AC1="B-767-300",'2023'!$I$4="CA",'2023'!$I$2=Y195),'2023DATA'!$J$15,"")</f>
        <v/>
      </c>
      <c r="Z208" s="518" t="str">
        <f>IF(AND(_AC1="B-767-300",'2023'!$I$4="CA",'2023'!$I$2=Z195),'2023DATA'!$K$15,"")</f>
        <v/>
      </c>
      <c r="AA208" s="518" t="str">
        <f>IF(AND(_AC1="B-767-300",'2023'!$I$4="CA",'2023'!$I$2=AA195),'2023DATA'!$L$15,"")</f>
        <v/>
      </c>
      <c r="AB208" s="518" t="str">
        <f>IF(AND(_AC1="B-767-300",'2023'!$I$4="CA",'2023'!$I$2=AB195),'2023DATA'!$M$15,"")</f>
        <v/>
      </c>
      <c r="AC208" s="520" t="str">
        <f>IF(AND(_AC1="B-767-300",'2023'!$I$4="CA",'2023'!$I$2=AC195),'2023DATA'!$N$15,"")</f>
        <v/>
      </c>
      <c r="AD208" s="940" t="s">
        <v>67</v>
      </c>
      <c r="AE208" s="13" t="s">
        <v>61</v>
      </c>
      <c r="AF208" s="518" t="str">
        <f>IF(AND(_AC2="B-767-300",'2023'!$I$4="CA",'2023'!$I$2=AF195),'2023DATA'!$C$15,"")</f>
        <v/>
      </c>
      <c r="AG208" s="518" t="str">
        <f>IF(AND(_AC2="B-767-300",'2023'!$I$4="CA",'2023'!$I$2=AG195),'2023DATA'!$D$15,"")</f>
        <v/>
      </c>
      <c r="AH208" s="518" t="str">
        <f>IF(AND(_AC2="B-767-300",'2023'!$I$4="CA",'2023'!$I$2=AH195),'2023DATA'!$E$15,"")</f>
        <v/>
      </c>
      <c r="AI208" s="518" t="str">
        <f>IF(AND(_AC2="B-767-300",'2023'!$I$4="CA",'2023'!$I$2=AI195),'2023DATA'!$F$15,"")</f>
        <v/>
      </c>
      <c r="AJ208" s="518" t="str">
        <f>IF(AND(_AC2="B-767-300",'2023'!$I$4="CA",'2023'!$I$2=AJ195),'2023DATA'!$G$15,"")</f>
        <v/>
      </c>
      <c r="AK208" s="518" t="str">
        <f>IF(AND(_AC2="B-767-300",'2023'!$I$4="CA",'2023'!$I$2=AK195),'2023DATA'!$H$15,"")</f>
        <v/>
      </c>
      <c r="AL208" s="518" t="str">
        <f>IF(AND(_AC2="B-767-300",'2023'!$I$4="CA",'2023'!$I$2=AL195),'2023DATA'!$I$15,"")</f>
        <v/>
      </c>
      <c r="AM208" s="518" t="str">
        <f>IF(AND(_AC2="B-767-300",'2023'!$I$4="CA",'2023'!$I$2=AM195),'2023DATA'!$J$15,"")</f>
        <v/>
      </c>
      <c r="AN208" s="518" t="str">
        <f>IF(AND(_AC2="B-767-300",'2023'!$I$4="CA",'2023'!$I$2=AN195),'2023DATA'!$K$15,"")</f>
        <v/>
      </c>
      <c r="AO208" s="518" t="str">
        <f>IF(AND(_AC2="B-767-300",'2023'!$I$4="CA",'2023'!$I$2=AO195),'2023DATA'!$L$15,"")</f>
        <v/>
      </c>
      <c r="AP208" s="518" t="str">
        <f>IF(AND(_AC2="B-767-300",'2023'!$I$4="CA",'2023'!$I$2=AP195),'2023DATA'!$M$15,"")</f>
        <v/>
      </c>
      <c r="AQ208" s="520" t="str">
        <f>IF(AND(_AC2="B-767-300",'2023'!$I$4="CA",'2023'!$I$2=AQ195),'2023DATA'!$N$15,"")</f>
        <v/>
      </c>
      <c r="AR208" s="940" t="s">
        <v>67</v>
      </c>
      <c r="AS208" s="13" t="s">
        <v>61</v>
      </c>
      <c r="AT208" s="518" t="str">
        <f>IF(AND(_AC3="B-767-300",'2023'!$I$4="CA",'2023'!$I$2=AT195),'2023DATA'!$C$15,"")</f>
        <v/>
      </c>
      <c r="AU208" s="518" t="str">
        <f>IF(AND(_AC3="B-767-300",'2023'!$I$4="CA",'2023'!$I$2=AU195),'2023DATA'!$D$15,"")</f>
        <v/>
      </c>
      <c r="AV208" s="518" t="str">
        <f>IF(AND(_AC3="B-767-300",'2023'!$I$4="CA",'2023'!$I$2=AV195),'2023DATA'!$E$15,"")</f>
        <v/>
      </c>
      <c r="AW208" s="518" t="str">
        <f>IF(AND(_AC3="B-767-300",'2023'!$I$4="CA",'2023'!$I$2=AW195),'2023DATA'!$F$15,"")</f>
        <v/>
      </c>
      <c r="AX208" s="518" t="str">
        <f>IF(AND(_AC3="B-767-300",'2023'!$I$4="CA",'2023'!$I$2=AX195),'2023DATA'!$G$15,"")</f>
        <v/>
      </c>
      <c r="AY208" s="518" t="str">
        <f>IF(AND(_AC3="B-767-300",'2023'!$I$4="CA",'2023'!$I$2=AY195),'2023DATA'!$H$15,"")</f>
        <v/>
      </c>
      <c r="AZ208" s="518" t="str">
        <f>IF(AND(_AC3="B-767-300",'2023'!$I$4="CA",'2023'!$I$2=AZ195),'2023DATA'!$I$15,"")</f>
        <v/>
      </c>
      <c r="BA208" s="518" t="str">
        <f>IF(AND(_AC3="B-767-300",'2023'!$I$4="CA",'2023'!$I$2=BA195),'2023DATA'!$J$15,"")</f>
        <v/>
      </c>
      <c r="BB208" s="518" t="str">
        <f>IF(AND(_AC3="B-767-300",'2023'!$I$4="CA",'2023'!$I$2=BB195),'2023DATA'!$K$15,"")</f>
        <v/>
      </c>
      <c r="BC208" s="518" t="str">
        <f>IF(AND(_AC3="B-767-300",'2023'!$I$4="CA",'2023'!$I$2=BC195),'2023DATA'!$L$15,"")</f>
        <v/>
      </c>
      <c r="BD208" s="518" t="str">
        <f>IF(AND(_AC3="B-767-300",'2023'!$I$4="CA",'2023'!$I$2=BD195),'2023DATA'!$M$15,"")</f>
        <v/>
      </c>
      <c r="BE208" s="520" t="str">
        <f>IF(AND(_AC3="B-767-300",'2023'!$I$4="CA",'2023'!$I$2=BE195),'2023DATA'!$N$15,"")</f>
        <v/>
      </c>
      <c r="BF208" s="940" t="s">
        <v>67</v>
      </c>
      <c r="BG208" s="13" t="s">
        <v>61</v>
      </c>
      <c r="BH208" s="518" t="str">
        <f>IF(AND(_AC4="B-767-300",'2023'!$I$4="CA",'2023'!$I$2=BH195),'2023DATA'!$C$15,"")</f>
        <v/>
      </c>
      <c r="BI208" s="518" t="str">
        <f>IF(AND(_AC4="B-767-300",'2023'!$I$4="CA",'2023'!$I$2=BI195),'2023DATA'!$D$15,"")</f>
        <v/>
      </c>
      <c r="BJ208" s="518" t="str">
        <f>IF(AND(_AC4="B-767-300",'2023'!$I$4="CA",'2023'!$I$2=BJ195),'2023DATA'!$E$15,"")</f>
        <v/>
      </c>
      <c r="BK208" s="518" t="str">
        <f>IF(AND(_AC4="B-767-300",'2023'!$I$4="CA",'2023'!$I$2=BK195),'2023DATA'!$F$15,"")</f>
        <v/>
      </c>
      <c r="BL208" s="518" t="str">
        <f>IF(AND(_AC4="B-767-300",'2023'!$I$4="CA",'2023'!$I$2=BL195),'2023DATA'!$G$15,"")</f>
        <v/>
      </c>
      <c r="BM208" s="518" t="str">
        <f>IF(AND(_AC4="B-767-300",'2023'!$I$4="CA",'2023'!$I$2=BM195),'2023DATA'!$H$15,"")</f>
        <v/>
      </c>
      <c r="BN208" s="518" t="str">
        <f>IF(AND(_AC4="B-767-300",'2023'!$I$4="CA",'2023'!$I$2=BN195),'2023DATA'!$I$15,"")</f>
        <v/>
      </c>
      <c r="BO208" s="518" t="str">
        <f>IF(AND(_AC4="B-767-300",'2023'!$I$4="CA",'2023'!$I$2=BO195),'2023DATA'!$J$15,"")</f>
        <v/>
      </c>
      <c r="BP208" s="518" t="str">
        <f>IF(AND(_AC4="B-767-300",'2023'!$I$4="CA",'2023'!$I$2=BP195),'2023DATA'!$K$15,"")</f>
        <v/>
      </c>
      <c r="BQ208" s="518" t="str">
        <f>IF(AND(_AC4="B-767-300",'2023'!$I$4="CA",'2023'!$I$2=BQ195),'2023DATA'!$L$15,"")</f>
        <v/>
      </c>
      <c r="BR208" s="518" t="str">
        <f>IF(AND(_AC4="B-767-300",'2023'!$I$4="CA",'2023'!$I$2=BR195),'2023DATA'!$M$15,"")</f>
        <v/>
      </c>
      <c r="BS208" s="520" t="str">
        <f>IF(AND(_AC4="B-767-300",'2023'!$I$4="CA",'2023'!$I$2=BS195),'2023DATA'!$N$15,"")</f>
        <v/>
      </c>
      <c r="BT208" s="940" t="s">
        <v>67</v>
      </c>
      <c r="BU208" s="13" t="s">
        <v>61</v>
      </c>
      <c r="BV208" s="518" t="str">
        <f>IF(AND(_AC5="B-767-300",'2023'!$I$4="CA",'2023'!$I$2=BV195),'2023DATA'!$C$15,"")</f>
        <v/>
      </c>
      <c r="BW208" s="518" t="str">
        <f>IF(AND(_AC5="B-767-300",'2023'!$I$4="CA",'2023'!$I$2=BW195),'2023DATA'!$D$15,"")</f>
        <v/>
      </c>
      <c r="BX208" s="518" t="str">
        <f>IF(AND(_AC5="B-767-300",'2023'!$I$4="CA",'2023'!$I$2=BX195),'2023DATA'!$E$15,"")</f>
        <v/>
      </c>
      <c r="BY208" s="518" t="str">
        <f>IF(AND(_AC5="B-767-300",'2023'!$I$4="CA",'2023'!$I$2=BY195),'2023DATA'!$F$15,"")</f>
        <v/>
      </c>
      <c r="BZ208" s="518" t="str">
        <f>IF(AND(_AC5="B-767-300",'2023'!$I$4="CA",'2023'!$I$2=BZ195),'2023DATA'!$G$15,"")</f>
        <v/>
      </c>
      <c r="CA208" s="518" t="str">
        <f>IF(AND(_AC5="B-767-300",'2023'!$I$4="CA",'2023'!$I$2=CA195),'2023DATA'!$H$15,"")</f>
        <v/>
      </c>
      <c r="CB208" s="518" t="str">
        <f>IF(AND(_AC5="B-767-300",'2023'!$I$4="CA",'2023'!$I$2=CB195),'2023DATA'!$I$15,"")</f>
        <v/>
      </c>
      <c r="CC208" s="518" t="str">
        <f>IF(AND(_AC5="B-767-300",'2023'!$I$4="CA",'2023'!$I$2=CC195),'2023DATA'!$J$15,"")</f>
        <v/>
      </c>
      <c r="CD208" s="518" t="str">
        <f>IF(AND(_AC5="B-767-300",'2023'!$I$4="CA",'2023'!$I$2=CD195),'2023DATA'!$K$15,"")</f>
        <v/>
      </c>
      <c r="CE208" s="518" t="str">
        <f>IF(AND(_AC5="B-767-300",'2023'!$I$4="CA",'2023'!$I$2=CE195),'2023DATA'!$L$15,"")</f>
        <v/>
      </c>
      <c r="CF208" s="518" t="str">
        <f>IF(AND(_AC5="B-767-300",'2023'!$I$4="CA",'2023'!$I$2=CF195),'2023DATA'!$M$15,"")</f>
        <v/>
      </c>
      <c r="CG208" s="520" t="str">
        <f>IF(AND(_AC5="B-767-300",'2023'!$I$4="CA",'2023'!$I$2=CG195),'2023DATA'!$N$15,"")</f>
        <v/>
      </c>
      <c r="CH208" s="940" t="s">
        <v>67</v>
      </c>
      <c r="CI208" s="13" t="s">
        <v>61</v>
      </c>
      <c r="CJ208" s="518" t="str">
        <f>IF(AND(_AC6="B-767-300",'2023'!$I$4="CA",'2023'!$I$2=CJ195),'2023DATA'!$C$15,"")</f>
        <v/>
      </c>
      <c r="CK208" s="518" t="str">
        <f>IF(AND(_AC6="B-767-300",'2023'!$I$4="CA",'2023'!$I$2=CK195),'2023DATA'!$D$15,"")</f>
        <v/>
      </c>
      <c r="CL208" s="518" t="str">
        <f>IF(AND(_AC6="B-767-300",'2023'!$I$4="CA",'2023'!$I$2=CL195),'2023DATA'!$E$15,"")</f>
        <v/>
      </c>
      <c r="CM208" s="518" t="str">
        <f>IF(AND(_AC6="B-767-300",'2023'!$I$4="CA",'2023'!$I$2=CM195),'2023DATA'!$F$15,"")</f>
        <v/>
      </c>
      <c r="CN208" s="518" t="str">
        <f>IF(AND(_AC6="B-767-300",'2023'!$I$4="CA",'2023'!$I$2=CN195),'2023DATA'!$G$15,"")</f>
        <v/>
      </c>
      <c r="CO208" s="518" t="str">
        <f>IF(AND(_AC6="B-767-300",'2023'!$I$4="CA",'2023'!$I$2=CO195),'2023DATA'!$H$15,"")</f>
        <v/>
      </c>
      <c r="CP208" s="518" t="str">
        <f>IF(AND(_AC6="B-767-300",'2023'!$I$4="CA",'2023'!$I$2=CP195),'2023DATA'!$I$15,"")</f>
        <v/>
      </c>
      <c r="CQ208" s="518" t="str">
        <f>IF(AND(_AC6="B-767-300",'2023'!$I$4="CA",'2023'!$I$2=CQ195),'2023DATA'!$J$15,"")</f>
        <v/>
      </c>
      <c r="CR208" s="518" t="str">
        <f>IF(AND(_AC6="B-767-300",'2023'!$I$4="CA",'2023'!$I$2=CR195),'2023DATA'!$K$15,"")</f>
        <v/>
      </c>
      <c r="CS208" s="518" t="str">
        <f>IF(AND(_AC6="B-767-300",'2023'!$I$4="CA",'2023'!$I$2=CS195),'2023DATA'!$L$15,"")</f>
        <v/>
      </c>
      <c r="CT208" s="518" t="str">
        <f>IF(AND(_AC6="B-767-300",'2023'!$I$4="CA",'2023'!$I$2=CT195),'2023DATA'!$M$15,"")</f>
        <v/>
      </c>
      <c r="CU208" s="520" t="str">
        <f>IF(AND(_AC6="B-767-300",'2023'!$I$4="CA",'2023'!$I$2=CU195),'2023DATA'!$N$15,"")</f>
        <v/>
      </c>
    </row>
    <row r="209" spans="16:99" x14ac:dyDescent="0.25">
      <c r="P209" s="940"/>
      <c r="Q209" s="13" t="s">
        <v>62</v>
      </c>
      <c r="R209" s="518" t="str">
        <f>IF(AND(_AC1="B-767-300",'2023'!$I$4="FO",'2023'!$I$2=R195),'2023DATA'!$C$16,"")</f>
        <v/>
      </c>
      <c r="S209" s="518" t="str">
        <f>IF(AND(_AC1="B-767-300",'2023'!$I$4="FO",'2023'!$I$2=S195),'2023DATA'!$D$16,"")</f>
        <v/>
      </c>
      <c r="T209" s="518" t="str">
        <f>IF(AND(_AC1="B-767-300",'2023'!$I$4="FO",'2023'!$I$2=T195),'2023DATA'!$E$16,"")</f>
        <v/>
      </c>
      <c r="U209" s="518" t="str">
        <f>IF(AND(_AC1="B-767-300",'2023'!$I$4="FO",'2023'!$I$2=U195),'2023DATA'!$F$16,"")</f>
        <v/>
      </c>
      <c r="V209" s="518" t="str">
        <f>IF(AND(_AC1="B-767-300",'2023'!$I$4="FO",'2023'!$I$2=V195),'2023DATA'!$G$16,"")</f>
        <v/>
      </c>
      <c r="W209" s="518" t="str">
        <f>IF(AND(_AC1="B-767-300",'2023'!$I$4="FO",'2023'!$I$2=W195),'2023DATA'!$H$16,"")</f>
        <v/>
      </c>
      <c r="X209" s="518" t="str">
        <f>IF(AND(_AC1="B-767-300",'2023'!$I$4="FO",'2023'!$I$2=X195),'2023DATA'!$I$16,"")</f>
        <v/>
      </c>
      <c r="Y209" s="518" t="str">
        <f>IF(AND(_AC1="B-767-300",'2023'!$I$4="FO",'2023'!$I$2=Y195),'2023DATA'!$J$16,"")</f>
        <v/>
      </c>
      <c r="Z209" s="518" t="str">
        <f>IF(AND(_AC1="B-767-300",'2023'!$I$4="FO",'2023'!$I$2=Z195),'2023DATA'!$K$16,"")</f>
        <v/>
      </c>
      <c r="AA209" s="518" t="str">
        <f>IF(AND(_AC1="B-767-300",'2023'!$I$4="FO",'2023'!$I$2=AA195),'2023DATA'!$L$16,"")</f>
        <v/>
      </c>
      <c r="AB209" s="518" t="str">
        <f>IF(AND(_AC1="B-767-300",'2023'!$I$4="FO",'2023'!$I$2=AB195),'2023DATA'!$M$16,"")</f>
        <v/>
      </c>
      <c r="AC209" s="520" t="str">
        <f>IF(AND(_AC1="B-767-300",'2023'!$I$4="FO",'2023'!$I$2=AC195),'2023DATA'!$N$16,"")</f>
        <v/>
      </c>
      <c r="AD209" s="940"/>
      <c r="AE209" s="13" t="s">
        <v>62</v>
      </c>
      <c r="AF209" s="518" t="str">
        <f>IF(AND(_AC2="B-767-300",'2023'!$I$4="FO",'2023'!$I$2=AF195),'2023DATA'!$C$16,"")</f>
        <v/>
      </c>
      <c r="AG209" s="518" t="str">
        <f>IF(AND(_AC2="B-767-300",'2023'!$I$4="FO",'2023'!$I$2=AG195),'2023DATA'!$D$16,"")</f>
        <v/>
      </c>
      <c r="AH209" s="518" t="str">
        <f>IF(AND(_AC2="B-767-300",'2023'!$I$4="FO",'2023'!$I$2=AH195),'2023DATA'!$E$16,"")</f>
        <v/>
      </c>
      <c r="AI209" s="518" t="str">
        <f>IF(AND(_AC2="B-767-300",'2023'!$I$4="FO",'2023'!$I$2=AI195),'2023DATA'!$F$16,"")</f>
        <v/>
      </c>
      <c r="AJ209" s="518" t="str">
        <f>IF(AND(_AC2="B-767-300",'2023'!$I$4="FO",'2023'!$I$2=AJ195),'2023DATA'!$G$16,"")</f>
        <v/>
      </c>
      <c r="AK209" s="518" t="str">
        <f>IF(AND(_AC2="B-767-300",'2023'!$I$4="FO",'2023'!$I$2=AK195),'2023DATA'!$H$16,"")</f>
        <v/>
      </c>
      <c r="AL209" s="518" t="str">
        <f>IF(AND(_AC2="B-767-300",'2023'!$I$4="FO",'2023'!$I$2=AL195),'2023DATA'!$I$16,"")</f>
        <v/>
      </c>
      <c r="AM209" s="518" t="str">
        <f>IF(AND(_AC2="B-767-300",'2023'!$I$4="FO",'2023'!$I$2=AM195),'2023DATA'!$J$16,"")</f>
        <v/>
      </c>
      <c r="AN209" s="518" t="str">
        <f>IF(AND(_AC2="B-767-300",'2023'!$I$4="FO",'2023'!$I$2=AN195),'2023DATA'!$K$16,"")</f>
        <v/>
      </c>
      <c r="AO209" s="518" t="str">
        <f>IF(AND(_AC2="B-767-300",'2023'!$I$4="FO",'2023'!$I$2=AO195),'2023DATA'!$L$16,"")</f>
        <v/>
      </c>
      <c r="AP209" s="518" t="str">
        <f>IF(AND(_AC2="B-767-300",'2023'!$I$4="FO",'2023'!$I$2=AP195),'2023DATA'!$M$16,"")</f>
        <v/>
      </c>
      <c r="AQ209" s="520" t="str">
        <f>IF(AND(_AC2="B-767-300",'2023'!$I$4="FO",'2023'!$I$2=AQ195),'2023DATA'!$N$16,"")</f>
        <v/>
      </c>
      <c r="AR209" s="940"/>
      <c r="AS209" s="13" t="s">
        <v>62</v>
      </c>
      <c r="AT209" s="518" t="str">
        <f>IF(AND(_AC3="B-767-300",'2023'!$I$4="FO",'2023'!$I$2=AT195),'2023DATA'!$C$16,"")</f>
        <v/>
      </c>
      <c r="AU209" s="518" t="str">
        <f>IF(AND(_AC3="B-767-300",'2023'!$I$4="FO",'2023'!$I$2=AU195),'2023DATA'!$D$16,"")</f>
        <v/>
      </c>
      <c r="AV209" s="518" t="str">
        <f>IF(AND(_AC3="B-767-300",'2023'!$I$4="FO",'2023'!$I$2=AV195),'2023DATA'!$E$16,"")</f>
        <v/>
      </c>
      <c r="AW209" s="518" t="str">
        <f>IF(AND(_AC3="B-767-300",'2023'!$I$4="FO",'2023'!$I$2=AW195),'2023DATA'!$F$16,"")</f>
        <v/>
      </c>
      <c r="AX209" s="518" t="str">
        <f>IF(AND(_AC3="B-767-300",'2023'!$I$4="FO",'2023'!$I$2=AX195),'2023DATA'!$G$16,"")</f>
        <v/>
      </c>
      <c r="AY209" s="518" t="str">
        <f>IF(AND(_AC3="B-767-300",'2023'!$I$4="FO",'2023'!$I$2=AY195),'2023DATA'!$H$16,"")</f>
        <v/>
      </c>
      <c r="AZ209" s="518" t="str">
        <f>IF(AND(_AC3="B-767-300",'2023'!$I$4="FO",'2023'!$I$2=AZ195),'2023DATA'!$I$16,"")</f>
        <v/>
      </c>
      <c r="BA209" s="518" t="str">
        <f>IF(AND(_AC3="B-767-300",'2023'!$I$4="FO",'2023'!$I$2=BA195),'2023DATA'!$J$16,"")</f>
        <v/>
      </c>
      <c r="BB209" s="518" t="str">
        <f>IF(AND(_AC3="B-767-300",'2023'!$I$4="FO",'2023'!$I$2=BB195),'2023DATA'!$K$16,"")</f>
        <v/>
      </c>
      <c r="BC209" s="518" t="str">
        <f>IF(AND(_AC3="B-767-300",'2023'!$I$4="FO",'2023'!$I$2=BC195),'2023DATA'!$L$16,"")</f>
        <v/>
      </c>
      <c r="BD209" s="518" t="str">
        <f>IF(AND(_AC3="B-767-300",'2023'!$I$4="FO",'2023'!$I$2=BD195),'2023DATA'!$M$16,"")</f>
        <v/>
      </c>
      <c r="BE209" s="520" t="str">
        <f>IF(AND(_AC3="B-767-300",'2023'!$I$4="FO",'2023'!$I$2=BE195),'2023DATA'!$N$16,"")</f>
        <v/>
      </c>
      <c r="BF209" s="940"/>
      <c r="BG209" s="13" t="s">
        <v>62</v>
      </c>
      <c r="BH209" s="518" t="str">
        <f>IF(AND(_AC4="B-767-300",'2023'!$I$4="FO",'2023'!$I$2=BH195),'2023DATA'!$C$16,"")</f>
        <v/>
      </c>
      <c r="BI209" s="518" t="str">
        <f>IF(AND(_AC4="B-767-300",'2023'!$I$4="FO",'2023'!$I$2=BI195),'2023DATA'!$D$16,"")</f>
        <v/>
      </c>
      <c r="BJ209" s="518" t="str">
        <f>IF(AND(_AC4="B-767-300",'2023'!$I$4="FO",'2023'!$I$2=BJ195),'2023DATA'!$E$16,"")</f>
        <v/>
      </c>
      <c r="BK209" s="518" t="str">
        <f>IF(AND(_AC4="B-767-300",'2023'!$I$4="FO",'2023'!$I$2=BK195),'2023DATA'!$F$16,"")</f>
        <v/>
      </c>
      <c r="BL209" s="518" t="str">
        <f>IF(AND(_AC4="B-767-300",'2023'!$I$4="FO",'2023'!$I$2=BL195),'2023DATA'!$G$16,"")</f>
        <v/>
      </c>
      <c r="BM209" s="518" t="str">
        <f>IF(AND(_AC4="B-767-300",'2023'!$I$4="FO",'2023'!$I$2=BM195),'2023DATA'!$H$16,"")</f>
        <v/>
      </c>
      <c r="BN209" s="518" t="str">
        <f>IF(AND(_AC4="B-767-300",'2023'!$I$4="FO",'2023'!$I$2=BN195),'2023DATA'!$I$16,"")</f>
        <v/>
      </c>
      <c r="BO209" s="518" t="str">
        <f>IF(AND(_AC4="B-767-300",'2023'!$I$4="FO",'2023'!$I$2=BO195),'2023DATA'!$J$16,"")</f>
        <v/>
      </c>
      <c r="BP209" s="518" t="str">
        <f>IF(AND(_AC4="B-767-300",'2023'!$I$4="FO",'2023'!$I$2=BP195),'2023DATA'!$K$16,"")</f>
        <v/>
      </c>
      <c r="BQ209" s="518" t="str">
        <f>IF(AND(_AC4="B-767-300",'2023'!$I$4="FO",'2023'!$I$2=BQ195),'2023DATA'!$L$16,"")</f>
        <v/>
      </c>
      <c r="BR209" s="518" t="str">
        <f>IF(AND(_AC4="B-767-300",'2023'!$I$4="FO",'2023'!$I$2=BR195),'2023DATA'!$M$16,"")</f>
        <v/>
      </c>
      <c r="BS209" s="520" t="str">
        <f>IF(AND(_AC4="B-767-300",'2023'!$I$4="FO",'2023'!$I$2=BS195),'2023DATA'!$N$16,"")</f>
        <v/>
      </c>
      <c r="BT209" s="940"/>
      <c r="BU209" s="13" t="s">
        <v>62</v>
      </c>
      <c r="BV209" s="518" t="str">
        <f>IF(AND(_AC5="B-767-300",'2023'!$I$4="FO",'2023'!$I$2=BV195),'2023DATA'!$C$16,"")</f>
        <v/>
      </c>
      <c r="BW209" s="518" t="str">
        <f>IF(AND(_AC5="B-767-300",'2023'!$I$4="FO",'2023'!$I$2=BW195),'2023DATA'!$D$16,"")</f>
        <v/>
      </c>
      <c r="BX209" s="518" t="str">
        <f>IF(AND(_AC5="B-767-300",'2023'!$I$4="FO",'2023'!$I$2=BX195),'2023DATA'!$E$16,"")</f>
        <v/>
      </c>
      <c r="BY209" s="518" t="str">
        <f>IF(AND(_AC5="B-767-300",'2023'!$I$4="FO",'2023'!$I$2=BY195),'2023DATA'!$F$16,"")</f>
        <v/>
      </c>
      <c r="BZ209" s="518" t="str">
        <f>IF(AND(_AC5="B-767-300",'2023'!$I$4="FO",'2023'!$I$2=BZ195),'2023DATA'!$G$16,"")</f>
        <v/>
      </c>
      <c r="CA209" s="518" t="str">
        <f>IF(AND(_AC5="B-767-300",'2023'!$I$4="FO",'2023'!$I$2=CA195),'2023DATA'!$H$16,"")</f>
        <v/>
      </c>
      <c r="CB209" s="518" t="str">
        <f>IF(AND(_AC5="B-767-300",'2023'!$I$4="FO",'2023'!$I$2=CB195),'2023DATA'!$I$16,"")</f>
        <v/>
      </c>
      <c r="CC209" s="518" t="str">
        <f>IF(AND(_AC5="B-767-300",'2023'!$I$4="FO",'2023'!$I$2=CC195),'2023DATA'!$J$16,"")</f>
        <v/>
      </c>
      <c r="CD209" s="518" t="str">
        <f>IF(AND(_AC5="B-767-300",'2023'!$I$4="FO",'2023'!$I$2=CD195),'2023DATA'!$K$16,"")</f>
        <v/>
      </c>
      <c r="CE209" s="518" t="str">
        <f>IF(AND(_AC5="B-767-300",'2023'!$I$4="FO",'2023'!$I$2=CE195),'2023DATA'!$L$16,"")</f>
        <v/>
      </c>
      <c r="CF209" s="518" t="str">
        <f>IF(AND(_AC5="B-767-300",'2023'!$I$4="FO",'2023'!$I$2=CF195),'2023DATA'!$M$16,"")</f>
        <v/>
      </c>
      <c r="CG209" s="520" t="str">
        <f>IF(AND(_AC5="B-767-300",'2023'!$I$4="FO",'2023'!$I$2=CG195),'2023DATA'!$N$16,"")</f>
        <v/>
      </c>
      <c r="CH209" s="940"/>
      <c r="CI209" s="13" t="s">
        <v>62</v>
      </c>
      <c r="CJ209" s="518" t="str">
        <f>IF(AND(_AC6="B-767-300",'2023'!$I$4="FO",'2023'!$I$2=CJ195),'2023DATA'!$C$16,"")</f>
        <v/>
      </c>
      <c r="CK209" s="518" t="str">
        <f>IF(AND(_AC6="B-767-300",'2023'!$I$4="FO",'2023'!$I$2=CK195),'2023DATA'!$D$16,"")</f>
        <v/>
      </c>
      <c r="CL209" s="518" t="str">
        <f>IF(AND(_AC6="B-767-300",'2023'!$I$4="FO",'2023'!$I$2=CL195),'2023DATA'!$E$16,"")</f>
        <v/>
      </c>
      <c r="CM209" s="518" t="str">
        <f>IF(AND(_AC6="B-767-300",'2023'!$I$4="FO",'2023'!$I$2=CM195),'2023DATA'!$F$16,"")</f>
        <v/>
      </c>
      <c r="CN209" s="518" t="str">
        <f>IF(AND(_AC6="B-767-300",'2023'!$I$4="FO",'2023'!$I$2=CN195),'2023DATA'!$G$16,"")</f>
        <v/>
      </c>
      <c r="CO209" s="518" t="str">
        <f>IF(AND(_AC6="B-767-300",'2023'!$I$4="FO",'2023'!$I$2=CO195),'2023DATA'!$H$16,"")</f>
        <v/>
      </c>
      <c r="CP209" s="518" t="str">
        <f>IF(AND(_AC6="B-767-300",'2023'!$I$4="FO",'2023'!$I$2=CP195),'2023DATA'!$I$16,"")</f>
        <v/>
      </c>
      <c r="CQ209" s="518" t="str">
        <f>IF(AND(_AC6="B-767-300",'2023'!$I$4="FO",'2023'!$I$2=CQ195),'2023DATA'!$J$16,"")</f>
        <v/>
      </c>
      <c r="CR209" s="518" t="str">
        <f>IF(AND(_AC6="B-767-300",'2023'!$I$4="FO",'2023'!$I$2=CR195),'2023DATA'!$K$16,"")</f>
        <v/>
      </c>
      <c r="CS209" s="518" t="str">
        <f>IF(AND(_AC6="B-767-300",'2023'!$I$4="FO",'2023'!$I$2=CS195),'2023DATA'!$L$16,"")</f>
        <v/>
      </c>
      <c r="CT209" s="518" t="str">
        <f>IF(AND(_AC6="B-767-300",'2023'!$I$4="FO",'2023'!$I$2=CT195),'2023DATA'!$M$16,"")</f>
        <v/>
      </c>
      <c r="CU209" s="520" t="str">
        <f>IF(AND(_AC6="B-767-300",'2023'!$I$4="FO",'2023'!$I$2=CU195),'2023DATA'!$N$16,"")</f>
        <v/>
      </c>
    </row>
    <row r="210" spans="16:99" x14ac:dyDescent="0.25">
      <c r="P210" s="940" t="s">
        <v>68</v>
      </c>
      <c r="Q210" s="13" t="s">
        <v>61</v>
      </c>
      <c r="R210" s="518" t="str">
        <f>IF(AND(_AC1="B-767-200",'2023'!$I$4="CA",'2023'!$I$2=R195),'2023DATA'!$C$17,"")</f>
        <v/>
      </c>
      <c r="S210" s="518" t="str">
        <f>IF(AND(_AC1="B-767-200",'2023'!$I$4="CA",'2023'!$I$2=S195),'2023DATA'!$D$17,"")</f>
        <v/>
      </c>
      <c r="T210" s="518" t="str">
        <f>IF(AND(_AC1="B-767-200",'2023'!$I$4="CA",'2023'!$I$2=T195),'2023DATA'!$E$17,"")</f>
        <v/>
      </c>
      <c r="U210" s="518" t="str">
        <f>IF(AND(_AC1="B-767-200",'2023'!$I$4="CA",'2023'!$I$2=U195),'2023DATA'!$F$17,"")</f>
        <v/>
      </c>
      <c r="V210" s="518" t="str">
        <f>IF(AND(_AC1="B-767-200",'2023'!$I$4="CA",'2023'!$I$2=V195),'2023DATA'!$G$17,"")</f>
        <v/>
      </c>
      <c r="W210" s="518" t="str">
        <f>IF(AND(_AC1="B-767-200",'2023'!$I$4="CA",'2023'!$I$2=W195),'2023DATA'!$H$17,"")</f>
        <v/>
      </c>
      <c r="X210" s="518" t="str">
        <f>IF(AND(_AC1="B-767-200",'2023'!$I$4="CA",'2023'!$I$2=X195),'2023DATA'!$I$17,"")</f>
        <v/>
      </c>
      <c r="Y210" s="518" t="str">
        <f>IF(AND(_AC1="B-767-200",'2023'!$I$4="CA",'2023'!$I$2=Y195),'2023DATA'!$J$17,"")</f>
        <v/>
      </c>
      <c r="Z210" s="518" t="str">
        <f>IF(AND(_AC1="B-767-200",'2023'!$I$4="CA",'2023'!$I$2=Z195),'2023DATA'!$K$17,"")</f>
        <v/>
      </c>
      <c r="AA210" s="518" t="str">
        <f>IF(AND(_AC1="B-767-200",'2023'!$I$4="CA",'2023'!$I$2=AA195),'2023DATA'!$L$17,"")</f>
        <v/>
      </c>
      <c r="AB210" s="518" t="str">
        <f>IF(AND(_AC1="B-767-200",'2023'!$I$4="CA",'2023'!$I$2=AB195),'2023DATA'!$M$17,"")</f>
        <v/>
      </c>
      <c r="AC210" s="520" t="str">
        <f>IF(AND(_AC1="B-767-200",'2023'!$I$4="CA",'2023'!$I$2=AC195),'2023DATA'!$N$17,"")</f>
        <v/>
      </c>
      <c r="AD210" s="940" t="s">
        <v>68</v>
      </c>
      <c r="AE210" s="13" t="s">
        <v>61</v>
      </c>
      <c r="AF210" s="518" t="str">
        <f>IF(AND(_AC2="B-767-200",'2023'!$I$4="CA",'2023'!$I$2=AF195),'2023DATA'!$C$17,"")</f>
        <v/>
      </c>
      <c r="AG210" s="518" t="str">
        <f>IF(AND(_AC2="B-767-200",'2023'!$I$4="CA",'2023'!$I$2=AG195),'2023DATA'!$D$17,"")</f>
        <v/>
      </c>
      <c r="AH210" s="518" t="str">
        <f>IF(AND(_AC2="B-767-200",'2023'!$I$4="CA",'2023'!$I$2=AH195),'2023DATA'!$E$17,"")</f>
        <v/>
      </c>
      <c r="AI210" s="518" t="str">
        <f>IF(AND(_AC2="B-767-200",'2023'!$I$4="CA",'2023'!$I$2=AI195),'2023DATA'!$F$17,"")</f>
        <v/>
      </c>
      <c r="AJ210" s="518" t="str">
        <f>IF(AND(_AC2="B-767-200",'2023'!$I$4="CA",'2023'!$I$2=AJ195),'2023DATA'!$G$17,"")</f>
        <v/>
      </c>
      <c r="AK210" s="518" t="str">
        <f>IF(AND(_AC2="B-767-200",'2023'!$I$4="CA",'2023'!$I$2=AK195),'2023DATA'!$H$17,"")</f>
        <v/>
      </c>
      <c r="AL210" s="518" t="str">
        <f>IF(AND(_AC2="B-767-200",'2023'!$I$4="CA",'2023'!$I$2=AL195),'2023DATA'!$I$17,"")</f>
        <v/>
      </c>
      <c r="AM210" s="518" t="str">
        <f>IF(AND(_AC2="B-767-200",'2023'!$I$4="CA",'2023'!$I$2=AM195),'2023DATA'!$J$17,"")</f>
        <v/>
      </c>
      <c r="AN210" s="518" t="str">
        <f>IF(AND(_AC2="B-767-200",'2023'!$I$4="CA",'2023'!$I$2=AN195),'2023DATA'!$K$17,"")</f>
        <v/>
      </c>
      <c r="AO210" s="518" t="str">
        <f>IF(AND(_AC2="B-767-200",'2023'!$I$4="CA",'2023'!$I$2=AO195),'2023DATA'!$L$17,"")</f>
        <v/>
      </c>
      <c r="AP210" s="518" t="str">
        <f>IF(AND(_AC2="B-767-200",'2023'!$I$4="CA",'2023'!$I$2=AP195),'2023DATA'!$M$17,"")</f>
        <v/>
      </c>
      <c r="AQ210" s="520" t="str">
        <f>IF(AND(_AC2="B-767-200",'2023'!$I$4="CA",'2023'!$I$2=AQ195),'2023DATA'!$N$17,"")</f>
        <v/>
      </c>
      <c r="AR210" s="940" t="s">
        <v>68</v>
      </c>
      <c r="AS210" s="13" t="s">
        <v>61</v>
      </c>
      <c r="AT210" s="518" t="str">
        <f>IF(AND(_AC3="B-767-200",'2023'!$I$4="CA",'2023'!$I$2=AT195),'2023DATA'!$C$17,"")</f>
        <v/>
      </c>
      <c r="AU210" s="518" t="str">
        <f>IF(AND(_AC3="B-767-200",'2023'!$I$4="CA",'2023'!$I$2=AU195),'2023DATA'!$D$17,"")</f>
        <v/>
      </c>
      <c r="AV210" s="518" t="str">
        <f>IF(AND(_AC3="B-767-200",'2023'!$I$4="CA",'2023'!$I$2=AV195),'2023DATA'!$E$17,"")</f>
        <v/>
      </c>
      <c r="AW210" s="518" t="str">
        <f>IF(AND(_AC3="B-767-200",'2023'!$I$4="CA",'2023'!$I$2=AW195),'2023DATA'!$F$17,"")</f>
        <v/>
      </c>
      <c r="AX210" s="518" t="str">
        <f>IF(AND(_AC3="B-767-200",'2023'!$I$4="CA",'2023'!$I$2=AX195),'2023DATA'!$G$17,"")</f>
        <v/>
      </c>
      <c r="AY210" s="518" t="str">
        <f>IF(AND(_AC3="B-767-200",'2023'!$I$4="CA",'2023'!$I$2=AY195),'2023DATA'!$H$17,"")</f>
        <v/>
      </c>
      <c r="AZ210" s="518" t="str">
        <f>IF(AND(_AC3="B-767-200",'2023'!$I$4="CA",'2023'!$I$2=AZ195),'2023DATA'!$I$17,"")</f>
        <v/>
      </c>
      <c r="BA210" s="518" t="str">
        <f>IF(AND(_AC3="B-767-200",'2023'!$I$4="CA",'2023'!$I$2=BA195),'2023DATA'!$J$17,"")</f>
        <v/>
      </c>
      <c r="BB210" s="518" t="str">
        <f>IF(AND(_AC3="B-767-200",'2023'!$I$4="CA",'2023'!$I$2=BB195),'2023DATA'!$K$17,"")</f>
        <v/>
      </c>
      <c r="BC210" s="518" t="str">
        <f>IF(AND(_AC3="B-767-200",'2023'!$I$4="CA",'2023'!$I$2=BC195),'2023DATA'!$L$17,"")</f>
        <v/>
      </c>
      <c r="BD210" s="518" t="str">
        <f>IF(AND(_AC3="B-767-200",'2023'!$I$4="CA",'2023'!$I$2=BD195),'2023DATA'!$M$17,"")</f>
        <v/>
      </c>
      <c r="BE210" s="520" t="str">
        <f>IF(AND(_AC3="B-767-200",'2023'!$I$4="CA",'2023'!$I$2=BE195),'2023DATA'!$N$17,"")</f>
        <v/>
      </c>
      <c r="BF210" s="940" t="s">
        <v>68</v>
      </c>
      <c r="BG210" s="13" t="s">
        <v>61</v>
      </c>
      <c r="BH210" s="518" t="str">
        <f>IF(AND(_AC4="B-767-200",'2023'!$I$4="CA",'2023'!$I$2=BH195),'2023DATA'!$C$17,"")</f>
        <v/>
      </c>
      <c r="BI210" s="518" t="str">
        <f>IF(AND(_AC4="B-767-200",'2023'!$I$4="CA",'2023'!$I$2=BI195),'2023DATA'!$D$17,"")</f>
        <v/>
      </c>
      <c r="BJ210" s="518" t="str">
        <f>IF(AND(_AC4="B-767-200",'2023'!$I$4="CA",'2023'!$I$2=BJ195),'2023DATA'!$E$17,"")</f>
        <v/>
      </c>
      <c r="BK210" s="518" t="str">
        <f>IF(AND(_AC4="B-767-200",'2023'!$I$4="CA",'2023'!$I$2=BK195),'2023DATA'!$F$17,"")</f>
        <v/>
      </c>
      <c r="BL210" s="518" t="str">
        <f>IF(AND(_AC4="B-767-200",'2023'!$I$4="CA",'2023'!$I$2=BL195),'2023DATA'!$G$17,"")</f>
        <v/>
      </c>
      <c r="BM210" s="518" t="str">
        <f>IF(AND(_AC4="B-767-200",'2023'!$I$4="CA",'2023'!$I$2=BM195),'2023DATA'!$H$17,"")</f>
        <v/>
      </c>
      <c r="BN210" s="518" t="str">
        <f>IF(AND(_AC4="B-767-200",'2023'!$I$4="CA",'2023'!$I$2=BN195),'2023DATA'!$I$17,"")</f>
        <v/>
      </c>
      <c r="BO210" s="518" t="str">
        <f>IF(AND(_AC4="B-767-200",'2023'!$I$4="CA",'2023'!$I$2=BO195),'2023DATA'!$J$17,"")</f>
        <v/>
      </c>
      <c r="BP210" s="518" t="str">
        <f>IF(AND(_AC4="B-767-200",'2023'!$I$4="CA",'2023'!$I$2=BP195),'2023DATA'!$K$17,"")</f>
        <v/>
      </c>
      <c r="BQ210" s="518" t="str">
        <f>IF(AND(_AC4="B-767-200",'2023'!$I$4="CA",'2023'!$I$2=BQ195),'2023DATA'!$L$17,"")</f>
        <v/>
      </c>
      <c r="BR210" s="518" t="str">
        <f>IF(AND(_AC4="B-767-200",'2023'!$I$4="CA",'2023'!$I$2=BR195),'2023DATA'!$M$17,"")</f>
        <v/>
      </c>
      <c r="BS210" s="520" t="str">
        <f>IF(AND(_AC4="B-767-200",'2023'!$I$4="CA",'2023'!$I$2=BS195),'2023DATA'!$N$17,"")</f>
        <v/>
      </c>
      <c r="BT210" s="940" t="s">
        <v>68</v>
      </c>
      <c r="BU210" s="13" t="s">
        <v>61</v>
      </c>
      <c r="BV210" s="518" t="str">
        <f>IF(AND(_AC5="B-767-200",'2023'!$I$4="CA",'2023'!$I$2=BV195),'2023DATA'!$C$17,"")</f>
        <v/>
      </c>
      <c r="BW210" s="518" t="str">
        <f>IF(AND(_AC5="B-767-200",'2023'!$I$4="CA",'2023'!$I$2=BW195),'2023DATA'!$D$17,"")</f>
        <v/>
      </c>
      <c r="BX210" s="518" t="str">
        <f>IF(AND(_AC5="B-767-200",'2023'!$I$4="CA",'2023'!$I$2=BX195),'2023DATA'!$E$17,"")</f>
        <v/>
      </c>
      <c r="BY210" s="518" t="str">
        <f>IF(AND(_AC5="B-767-200",'2023'!$I$4="CA",'2023'!$I$2=BY195),'2023DATA'!$F$17,"")</f>
        <v/>
      </c>
      <c r="BZ210" s="518" t="str">
        <f>IF(AND(_AC5="B-767-200",'2023'!$I$4="CA",'2023'!$I$2=BZ195),'2023DATA'!$G$17,"")</f>
        <v/>
      </c>
      <c r="CA210" s="518" t="str">
        <f>IF(AND(_AC5="B-767-200",'2023'!$I$4="CA",'2023'!$I$2=CA195),'2023DATA'!$H$17,"")</f>
        <v/>
      </c>
      <c r="CB210" s="518" t="str">
        <f>IF(AND(_AC5="B-767-200",'2023'!$I$4="CA",'2023'!$I$2=CB195),'2023DATA'!$I$17,"")</f>
        <v/>
      </c>
      <c r="CC210" s="518" t="str">
        <f>IF(AND(_AC5="B-767-200",'2023'!$I$4="CA",'2023'!$I$2=CC195),'2023DATA'!$J$17,"")</f>
        <v/>
      </c>
      <c r="CD210" s="518" t="str">
        <f>IF(AND(_AC5="B-767-200",'2023'!$I$4="CA",'2023'!$I$2=CD195),'2023DATA'!$K$17,"")</f>
        <v/>
      </c>
      <c r="CE210" s="518" t="str">
        <f>IF(AND(_AC5="B-767-200",'2023'!$I$4="CA",'2023'!$I$2=CE195),'2023DATA'!$L$17,"")</f>
        <v/>
      </c>
      <c r="CF210" s="518" t="str">
        <f>IF(AND(_AC5="B-767-200",'2023'!$I$4="CA",'2023'!$I$2=CF195),'2023DATA'!$M$17,"")</f>
        <v/>
      </c>
      <c r="CG210" s="520" t="str">
        <f>IF(AND(_AC5="B-767-200",'2023'!$I$4="CA",'2023'!$I$2=CG195),'2023DATA'!$N$17,"")</f>
        <v/>
      </c>
      <c r="CH210" s="940" t="s">
        <v>68</v>
      </c>
      <c r="CI210" s="13" t="s">
        <v>61</v>
      </c>
      <c r="CJ210" s="518" t="str">
        <f>IF(AND(_AC6="B-767-200",'2023'!$I$4="CA",'2023'!$I$2=CJ195),'2023DATA'!$C$17,"")</f>
        <v/>
      </c>
      <c r="CK210" s="518" t="str">
        <f>IF(AND(_AC6="B-767-200",'2023'!$I$4="CA",'2023'!$I$2=CK195),'2023DATA'!$D$17,"")</f>
        <v/>
      </c>
      <c r="CL210" s="518" t="str">
        <f>IF(AND(_AC6="B-767-200",'2023'!$I$4="CA",'2023'!$I$2=CL195),'2023DATA'!$E$17,"")</f>
        <v/>
      </c>
      <c r="CM210" s="518" t="str">
        <f>IF(AND(_AC6="B-767-200",'2023'!$I$4="CA",'2023'!$I$2=CM195),'2023DATA'!$F$17,"")</f>
        <v/>
      </c>
      <c r="CN210" s="518" t="str">
        <f>IF(AND(_AC6="B-767-200",'2023'!$I$4="CA",'2023'!$I$2=CN195),'2023DATA'!$G$17,"")</f>
        <v/>
      </c>
      <c r="CO210" s="518" t="str">
        <f>IF(AND(_AC6="B-767-200",'2023'!$I$4="CA",'2023'!$I$2=CO195),'2023DATA'!$H$17,"")</f>
        <v/>
      </c>
      <c r="CP210" s="518" t="str">
        <f>IF(AND(_AC6="B-767-200",'2023'!$I$4="CA",'2023'!$I$2=CP195),'2023DATA'!$I$17,"")</f>
        <v/>
      </c>
      <c r="CQ210" s="518" t="str">
        <f>IF(AND(_AC6="B-767-200",'2023'!$I$4="CA",'2023'!$I$2=CQ195),'2023DATA'!$J$17,"")</f>
        <v/>
      </c>
      <c r="CR210" s="518" t="str">
        <f>IF(AND(_AC6="B-767-200",'2023'!$I$4="CA",'2023'!$I$2=CR195),'2023DATA'!$K$17,"")</f>
        <v/>
      </c>
      <c r="CS210" s="518" t="str">
        <f>IF(AND(_AC6="B-767-200",'2023'!$I$4="CA",'2023'!$I$2=CS195),'2023DATA'!$L$17,"")</f>
        <v/>
      </c>
      <c r="CT210" s="518" t="str">
        <f>IF(AND(_AC6="B-767-200",'2023'!$I$4="CA",'2023'!$I$2=CT195),'2023DATA'!$M$17,"")</f>
        <v/>
      </c>
      <c r="CU210" s="520" t="str">
        <f>IF(AND(_AC6="B-767-200",'2023'!$I$4="CA",'2023'!$I$2=CU195),'2023DATA'!$N$17,"")</f>
        <v/>
      </c>
    </row>
    <row r="211" spans="16:99" x14ac:dyDescent="0.25">
      <c r="P211" s="940"/>
      <c r="Q211" s="13" t="s">
        <v>62</v>
      </c>
      <c r="R211" s="518" t="str">
        <f>IF(AND(_AC1="B-767-200",'2023'!$I$4="FO",'2023'!$I$2=R195),'2023DATA'!$C$18,"")</f>
        <v/>
      </c>
      <c r="S211" s="518" t="str">
        <f>IF(AND(_AC1="B-767-200",'2023'!$I$4="FO",'2023'!$I$2=S195),'2023DATA'!$D$18,"")</f>
        <v/>
      </c>
      <c r="T211" s="518" t="str">
        <f>IF(AND(_AC1="B-767-200",'2023'!$I$4="FO",'2023'!$I$2=T195),'2023DATA'!$E$18,"")</f>
        <v/>
      </c>
      <c r="U211" s="518" t="str">
        <f>IF(AND(_AC1="B-767-200",'2023'!$I$4="FO",'2023'!$I$2=U195),'2023DATA'!$F$18,"")</f>
        <v/>
      </c>
      <c r="V211" s="518" t="str">
        <f>IF(AND(_AC1="B-767-200",'2023'!$I$4="FO",'2023'!$I$2=V195),'2023DATA'!$G$18,"")</f>
        <v/>
      </c>
      <c r="W211" s="518" t="str">
        <f>IF(AND(_AC1="B-767-200",'2023'!$I$4="FO",'2023'!$I$2=W195),'2023DATA'!$H$18,"")</f>
        <v/>
      </c>
      <c r="X211" s="518" t="str">
        <f>IF(AND(_AC1="B-767-200",'2023'!$I$4="FO",'2023'!$I$2=X195),'2023DATA'!$I$18,"")</f>
        <v/>
      </c>
      <c r="Y211" s="518" t="str">
        <f>IF(AND(_AC1="B-767-200",'2023'!$I$4="FO",'2023'!$I$2=Y195),'2023DATA'!$J$18,"")</f>
        <v/>
      </c>
      <c r="Z211" s="518" t="str">
        <f>IF(AND(_AC1="B-767-200",'2023'!$I$4="FO",'2023'!$I$2=Z195),'2023DATA'!$K$18,"")</f>
        <v/>
      </c>
      <c r="AA211" s="518" t="str">
        <f>IF(AND(_AC1="B-767-200",'2023'!$I$4="FO",'2023'!$I$2=AA195),'2023DATA'!$L$18,"")</f>
        <v/>
      </c>
      <c r="AB211" s="518" t="str">
        <f>IF(AND(_AC1="B-767-200",'2023'!$I$4="FO",'2023'!$I$2=AB195),'2023DATA'!$M$18,"")</f>
        <v/>
      </c>
      <c r="AC211" s="520" t="str">
        <f>IF(AND(_AC1="B-767-200",'2023'!$I$4="FO",'2023'!$I$2=AC195),'2023DATA'!$N$18,"")</f>
        <v/>
      </c>
      <c r="AD211" s="940"/>
      <c r="AE211" s="13" t="s">
        <v>62</v>
      </c>
      <c r="AF211" s="518" t="str">
        <f>IF(AND(_AC2="B-767-200",'2023'!$I$4="FO",'2023'!$I$2=AF195),'2023DATA'!$C$18,"")</f>
        <v/>
      </c>
      <c r="AG211" s="518" t="str">
        <f>IF(AND(_AC2="B-767-200",'2023'!$I$4="FO",'2023'!$I$2=AG195),'2023DATA'!$D$18,"")</f>
        <v/>
      </c>
      <c r="AH211" s="518" t="str">
        <f>IF(AND(_AC2="B-767-200",'2023'!$I$4="FO",'2023'!$I$2=AH195),'2023DATA'!$E$18,"")</f>
        <v/>
      </c>
      <c r="AI211" s="518" t="str">
        <f>IF(AND(_AC2="B-767-200",'2023'!$I$4="FO",'2023'!$I$2=AI195),'2023DATA'!$F$18,"")</f>
        <v/>
      </c>
      <c r="AJ211" s="518" t="str">
        <f>IF(AND(_AC2="B-767-200",'2023'!$I$4="FO",'2023'!$I$2=AJ195),'2023DATA'!$G$18,"")</f>
        <v/>
      </c>
      <c r="AK211" s="518" t="str">
        <f>IF(AND(_AC2="B-767-200",'2023'!$I$4="FO",'2023'!$I$2=AK195),'2023DATA'!$H$18,"")</f>
        <v/>
      </c>
      <c r="AL211" s="518" t="str">
        <f>IF(AND(_AC2="B-767-200",'2023'!$I$4="FO",'2023'!$I$2=AL195),'2023DATA'!$I$18,"")</f>
        <v/>
      </c>
      <c r="AM211" s="518" t="str">
        <f>IF(AND(_AC2="B-767-200",'2023'!$I$4="FO",'2023'!$I$2=AM195),'2023DATA'!$J$18,"")</f>
        <v/>
      </c>
      <c r="AN211" s="518" t="str">
        <f>IF(AND(_AC2="B-767-200",'2023'!$I$4="FO",'2023'!$I$2=AN195),'2023DATA'!$K$18,"")</f>
        <v/>
      </c>
      <c r="AO211" s="518" t="str">
        <f>IF(AND(_AC2="B-767-200",'2023'!$I$4="FO",'2023'!$I$2=AO195),'2023DATA'!$L$18,"")</f>
        <v/>
      </c>
      <c r="AP211" s="518" t="str">
        <f>IF(AND(_AC2="B-767-200",'2023'!$I$4="FO",'2023'!$I$2=AP195),'2023DATA'!$M$18,"")</f>
        <v/>
      </c>
      <c r="AQ211" s="520" t="str">
        <f>IF(AND(_AC2="B-767-200",'2023'!$I$4="FO",'2023'!$I$2=AQ195),'2023DATA'!$N$18,"")</f>
        <v/>
      </c>
      <c r="AR211" s="940"/>
      <c r="AS211" s="13" t="s">
        <v>62</v>
      </c>
      <c r="AT211" s="518" t="str">
        <f>IF(AND(_AC3="B-767-200",'2023'!$I$4="FO",'2023'!$I$2=AT195),'2023DATA'!$C$18,"")</f>
        <v/>
      </c>
      <c r="AU211" s="518" t="str">
        <f>IF(AND(_AC3="B-767-200",'2023'!$I$4="FO",'2023'!$I$2=AU195),'2023DATA'!$D$18,"")</f>
        <v/>
      </c>
      <c r="AV211" s="518" t="str">
        <f>IF(AND(_AC3="B-767-200",'2023'!$I$4="FO",'2023'!$I$2=AV195),'2023DATA'!$E$18,"")</f>
        <v/>
      </c>
      <c r="AW211" s="518" t="str">
        <f>IF(AND(_AC3="B-767-200",'2023'!$I$4="FO",'2023'!$I$2=AW195),'2023DATA'!$F$18,"")</f>
        <v/>
      </c>
      <c r="AX211" s="518" t="str">
        <f>IF(AND(_AC3="B-767-200",'2023'!$I$4="FO",'2023'!$I$2=AX195),'2023DATA'!$G$18,"")</f>
        <v/>
      </c>
      <c r="AY211" s="518" t="str">
        <f>IF(AND(_AC3="B-767-200",'2023'!$I$4="FO",'2023'!$I$2=AY195),'2023DATA'!$H$18,"")</f>
        <v/>
      </c>
      <c r="AZ211" s="518" t="str">
        <f>IF(AND(_AC3="B-767-200",'2023'!$I$4="FO",'2023'!$I$2=AZ195),'2023DATA'!$I$18,"")</f>
        <v/>
      </c>
      <c r="BA211" s="518" t="str">
        <f>IF(AND(_AC3="B-767-200",'2023'!$I$4="FO",'2023'!$I$2=BA195),'2023DATA'!$J$18,"")</f>
        <v/>
      </c>
      <c r="BB211" s="518" t="str">
        <f>IF(AND(_AC3="B-767-200",'2023'!$I$4="FO",'2023'!$I$2=BB195),'2023DATA'!$K$18,"")</f>
        <v/>
      </c>
      <c r="BC211" s="518" t="str">
        <f>IF(AND(_AC3="B-767-200",'2023'!$I$4="FO",'2023'!$I$2=BC195),'2023DATA'!$L$18,"")</f>
        <v/>
      </c>
      <c r="BD211" s="518" t="str">
        <f>IF(AND(_AC3="B-767-200",'2023'!$I$4="FO",'2023'!$I$2=BD195),'2023DATA'!$M$18,"")</f>
        <v/>
      </c>
      <c r="BE211" s="520" t="str">
        <f>IF(AND(_AC3="B-767-200",'2023'!$I$4="FO",'2023'!$I$2=BE195),'2023DATA'!$N$18,"")</f>
        <v/>
      </c>
      <c r="BF211" s="940"/>
      <c r="BG211" s="13" t="s">
        <v>62</v>
      </c>
      <c r="BH211" s="518" t="str">
        <f>IF(AND(_AC4="B-767-200",'2023'!$I$4="FO",'2023'!$I$2=BH195),'2023DATA'!$C$18,"")</f>
        <v/>
      </c>
      <c r="BI211" s="518" t="str">
        <f>IF(AND(_AC4="B-767-200",'2023'!$I$4="FO",'2023'!$I$2=BI195),'2023DATA'!$D$18,"")</f>
        <v/>
      </c>
      <c r="BJ211" s="518" t="str">
        <f>IF(AND(_AC4="B-767-200",'2023'!$I$4="FO",'2023'!$I$2=BJ195),'2023DATA'!$E$18,"")</f>
        <v/>
      </c>
      <c r="BK211" s="518" t="str">
        <f>IF(AND(_AC4="B-767-200",'2023'!$I$4="FO",'2023'!$I$2=BK195),'2023DATA'!$F$18,"")</f>
        <v/>
      </c>
      <c r="BL211" s="518" t="str">
        <f>IF(AND(_AC4="B-767-200",'2023'!$I$4="FO",'2023'!$I$2=BL195),'2023DATA'!$G$18,"")</f>
        <v/>
      </c>
      <c r="BM211" s="518" t="str">
        <f>IF(AND(_AC4="B-767-200",'2023'!$I$4="FO",'2023'!$I$2=BM195),'2023DATA'!$H$18,"")</f>
        <v/>
      </c>
      <c r="BN211" s="518" t="str">
        <f>IF(AND(_AC4="B-767-200",'2023'!$I$4="FO",'2023'!$I$2=BN195),'2023DATA'!$I$18,"")</f>
        <v/>
      </c>
      <c r="BO211" s="518" t="str">
        <f>IF(AND(_AC4="B-767-200",'2023'!$I$4="FO",'2023'!$I$2=BO195),'2023DATA'!$J$18,"")</f>
        <v/>
      </c>
      <c r="BP211" s="518" t="str">
        <f>IF(AND(_AC4="B-767-200",'2023'!$I$4="FO",'2023'!$I$2=BP195),'2023DATA'!$K$18,"")</f>
        <v/>
      </c>
      <c r="BQ211" s="518" t="str">
        <f>IF(AND(_AC4="B-767-200",'2023'!$I$4="FO",'2023'!$I$2=BQ195),'2023DATA'!$L$18,"")</f>
        <v/>
      </c>
      <c r="BR211" s="518" t="str">
        <f>IF(AND(_AC4="B-767-200",'2023'!$I$4="FO",'2023'!$I$2=BR195),'2023DATA'!$M$18,"")</f>
        <v/>
      </c>
      <c r="BS211" s="520" t="str">
        <f>IF(AND(_AC4="B-767-200",'2023'!$I$4="FO",'2023'!$I$2=BS195),'2023DATA'!$N$18,"")</f>
        <v/>
      </c>
      <c r="BT211" s="940"/>
      <c r="BU211" s="13" t="s">
        <v>62</v>
      </c>
      <c r="BV211" s="518" t="str">
        <f>IF(AND(_AC5="B-767-200",'2023'!$I$4="FO",'2023'!$I$2=BV195),'2023DATA'!$C$18,"")</f>
        <v/>
      </c>
      <c r="BW211" s="518" t="str">
        <f>IF(AND(_AC5="B-767-200",'2023'!$I$4="FO",'2023'!$I$2=BW195),'2023DATA'!$D$18,"")</f>
        <v/>
      </c>
      <c r="BX211" s="518" t="str">
        <f>IF(AND(_AC5="B-767-200",'2023'!$I$4="FO",'2023'!$I$2=BX195),'2023DATA'!$E$18,"")</f>
        <v/>
      </c>
      <c r="BY211" s="518" t="str">
        <f>IF(AND(_AC5="B-767-200",'2023'!$I$4="FO",'2023'!$I$2=BY195),'2023DATA'!$F$18,"")</f>
        <v/>
      </c>
      <c r="BZ211" s="518" t="str">
        <f>IF(AND(_AC5="B-767-200",'2023'!$I$4="FO",'2023'!$I$2=BZ195),'2023DATA'!$G$18,"")</f>
        <v/>
      </c>
      <c r="CA211" s="518" t="str">
        <f>IF(AND(_AC5="B-767-200",'2023'!$I$4="FO",'2023'!$I$2=CA195),'2023DATA'!$H$18,"")</f>
        <v/>
      </c>
      <c r="CB211" s="518" t="str">
        <f>IF(AND(_AC5="B-767-200",'2023'!$I$4="FO",'2023'!$I$2=CB195),'2023DATA'!$I$18,"")</f>
        <v/>
      </c>
      <c r="CC211" s="518" t="str">
        <f>IF(AND(_AC5="B-767-200",'2023'!$I$4="FO",'2023'!$I$2=CC195),'2023DATA'!$J$18,"")</f>
        <v/>
      </c>
      <c r="CD211" s="518" t="str">
        <f>IF(AND(_AC5="B-767-200",'2023'!$I$4="FO",'2023'!$I$2=CD195),'2023DATA'!$K$18,"")</f>
        <v/>
      </c>
      <c r="CE211" s="518" t="str">
        <f>IF(AND(_AC5="B-767-200",'2023'!$I$4="FO",'2023'!$I$2=CE195),'2023DATA'!$L$18,"")</f>
        <v/>
      </c>
      <c r="CF211" s="518" t="str">
        <f>IF(AND(_AC5="B-767-200",'2023'!$I$4="FO",'2023'!$I$2=CF195),'2023DATA'!$M$18,"")</f>
        <v/>
      </c>
      <c r="CG211" s="520" t="str">
        <f>IF(AND(_AC5="B-767-200",'2023'!$I$4="FO",'2023'!$I$2=CG195),'2023DATA'!$N$18,"")</f>
        <v/>
      </c>
      <c r="CH211" s="940"/>
      <c r="CI211" s="13" t="s">
        <v>62</v>
      </c>
      <c r="CJ211" s="518" t="str">
        <f>IF(AND(_AC6="B-767-200",'2023'!$I$4="FO",'2023'!$I$2=CJ195),'2023DATA'!$C$18,"")</f>
        <v/>
      </c>
      <c r="CK211" s="518" t="str">
        <f>IF(AND(_AC6="B-767-200",'2023'!$I$4="FO",'2023'!$I$2=CK195),'2023DATA'!$D$18,"")</f>
        <v/>
      </c>
      <c r="CL211" s="518" t="str">
        <f>IF(AND(_AC6="B-767-200",'2023'!$I$4="FO",'2023'!$I$2=CL195),'2023DATA'!$E$18,"")</f>
        <v/>
      </c>
      <c r="CM211" s="518" t="str">
        <f>IF(AND(_AC6="B-767-200",'2023'!$I$4="FO",'2023'!$I$2=CM195),'2023DATA'!$F$18,"")</f>
        <v/>
      </c>
      <c r="CN211" s="518" t="str">
        <f>IF(AND(_AC6="B-767-200",'2023'!$I$4="FO",'2023'!$I$2=CN195),'2023DATA'!$G$18,"")</f>
        <v/>
      </c>
      <c r="CO211" s="518" t="str">
        <f>IF(AND(_AC6="B-767-200",'2023'!$I$4="FO",'2023'!$I$2=CO195),'2023DATA'!$H$18,"")</f>
        <v/>
      </c>
      <c r="CP211" s="518" t="str">
        <f>IF(AND(_AC6="B-767-200",'2023'!$I$4="FO",'2023'!$I$2=CP195),'2023DATA'!$I$18,"")</f>
        <v/>
      </c>
      <c r="CQ211" s="518" t="str">
        <f>IF(AND(_AC6="B-767-200",'2023'!$I$4="FO",'2023'!$I$2=CQ195),'2023DATA'!$J$18,"")</f>
        <v/>
      </c>
      <c r="CR211" s="518" t="str">
        <f>IF(AND(_AC6="B-767-200",'2023'!$I$4="FO",'2023'!$I$2=CR195),'2023DATA'!$K$18,"")</f>
        <v/>
      </c>
      <c r="CS211" s="518" t="str">
        <f>IF(AND(_AC6="B-767-200",'2023'!$I$4="FO",'2023'!$I$2=CS195),'2023DATA'!$L$18,"")</f>
        <v/>
      </c>
      <c r="CT211" s="518" t="str">
        <f>IF(AND(_AC6="B-767-200",'2023'!$I$4="FO",'2023'!$I$2=CT195),'2023DATA'!$M$18,"")</f>
        <v/>
      </c>
      <c r="CU211" s="520" t="str">
        <f>IF(AND(_AC6="B-767-200",'2023'!$I$4="FO",'2023'!$I$2=CU195),'2023DATA'!$N$18,"")</f>
        <v/>
      </c>
    </row>
    <row r="212" spans="16:99" x14ac:dyDescent="0.25">
      <c r="P212" s="940" t="s">
        <v>45</v>
      </c>
      <c r="Q212" s="13" t="s">
        <v>61</v>
      </c>
      <c r="R212" s="518" t="str">
        <f>IF(AND(_AC1="B-757",'2023'!$I$4="CA",'2023'!$I$2=R195),'2023DATA'!$C$19,"")</f>
        <v/>
      </c>
      <c r="S212" s="518" t="str">
        <f>IF(AND(_AC1="B-757",'2023'!$I$4="CA",'2023'!$I$2=S195),'2023DATA'!$D$19,"")</f>
        <v/>
      </c>
      <c r="T212" s="518" t="str">
        <f>IF(AND(_AC1="B-757",'2023'!$I$4="CA",'2023'!$I$2=T195),'2023DATA'!$E$19,"")</f>
        <v/>
      </c>
      <c r="U212" s="518" t="str">
        <f>IF(AND(_AC1="B-757",'2023'!$I$4="CA",'2023'!$I$2=U195),'2023DATA'!$F$19,"")</f>
        <v/>
      </c>
      <c r="V212" s="518" t="str">
        <f>IF(AND(_AC1="B-757",'2023'!$I$4="CA",'2023'!$I$2=V195),'2023DATA'!$G$19,"")</f>
        <v/>
      </c>
      <c r="W212" s="518" t="str">
        <f>IF(AND(_AC1="B-757",'2023'!$I$4="CA",'2023'!$I$2=W195),'2023DATA'!$H$19,"")</f>
        <v/>
      </c>
      <c r="X212" s="518" t="str">
        <f>IF(AND(_AC1="B-757",'2023'!$I$4="CA",'2023'!$I$2=X195),'2023DATA'!$I$19,"")</f>
        <v/>
      </c>
      <c r="Y212" s="518" t="str">
        <f>IF(AND(_AC1="B-757",'2023'!$I$4="CA",'2023'!$I$2=Y195),'2023DATA'!$J$19,"")</f>
        <v/>
      </c>
      <c r="Z212" s="518" t="str">
        <f>IF(AND(_AC1="B-757",'2023'!$I$4="CA",'2023'!$I$2=Z195),'2023DATA'!$K$19,"")</f>
        <v/>
      </c>
      <c r="AA212" s="518" t="str">
        <f>IF(AND(_AC1="B-757",'2023'!$I$4="CA",'2023'!$I$2=AA195),'2023DATA'!$L$19,"")</f>
        <v/>
      </c>
      <c r="AB212" s="518" t="str">
        <f>IF(AND(_AC1="B-757",'2023'!$I$4="CA",'2023'!$I$2=AB195),'2023DATA'!$M$19,"")</f>
        <v/>
      </c>
      <c r="AC212" s="520" t="str">
        <f>IF(AND(_AC1="B-757",'2023'!$I$4="CA",'2023'!$I$2=AC195),'2023DATA'!$N$19,"")</f>
        <v/>
      </c>
      <c r="AD212" s="940" t="s">
        <v>45</v>
      </c>
      <c r="AE212" s="13" t="s">
        <v>61</v>
      </c>
      <c r="AF212" s="518" t="str">
        <f>IF(AND(_AC2="B-757",'2023'!$I$4="CA",'2023'!$I$2=AF195),'2023DATA'!$C$19,"")</f>
        <v/>
      </c>
      <c r="AG212" s="518" t="str">
        <f>IF(AND(_AC2="B-757",'2023'!$I$4="CA",'2023'!$I$2=AG195),'2023DATA'!$D$19,"")</f>
        <v/>
      </c>
      <c r="AH212" s="518" t="str">
        <f>IF(AND(_AC2="B-757",'2023'!$I$4="CA",'2023'!$I$2=AH195),'2023DATA'!$E$19,"")</f>
        <v/>
      </c>
      <c r="AI212" s="518" t="str">
        <f>IF(AND(_AC2="B-757",'2023'!$I$4="CA",'2023'!$I$2=AI195),'2023DATA'!$F$19,"")</f>
        <v/>
      </c>
      <c r="AJ212" s="518" t="str">
        <f>IF(AND(_AC2="B-757",'2023'!$I$4="CA",'2023'!$I$2=AJ195),'2023DATA'!$G$19,"")</f>
        <v/>
      </c>
      <c r="AK212" s="518" t="str">
        <f>IF(AND(_AC2="B-757",'2023'!$I$4="CA",'2023'!$I$2=AK195),'2023DATA'!$H$19,"")</f>
        <v/>
      </c>
      <c r="AL212" s="518" t="str">
        <f>IF(AND(_AC2="B-757",'2023'!$I$4="CA",'2023'!$I$2=AL195),'2023DATA'!$I$19,"")</f>
        <v/>
      </c>
      <c r="AM212" s="518" t="str">
        <f>IF(AND(_AC2="B-757",'2023'!$I$4="CA",'2023'!$I$2=AM195),'2023DATA'!$J$19,"")</f>
        <v/>
      </c>
      <c r="AN212" s="518" t="str">
        <f>IF(AND(_AC2="B-757",'2023'!$I$4="CA",'2023'!$I$2=AN195),'2023DATA'!$K$19,"")</f>
        <v/>
      </c>
      <c r="AO212" s="518" t="str">
        <f>IF(AND(_AC2="B-757",'2023'!$I$4="CA",'2023'!$I$2=AO195),'2023DATA'!$L$19,"")</f>
        <v/>
      </c>
      <c r="AP212" s="518" t="str">
        <f>IF(AND(_AC2="B-757",'2023'!$I$4="CA",'2023'!$I$2=AP195),'2023DATA'!$M$19,"")</f>
        <v/>
      </c>
      <c r="AQ212" s="520" t="str">
        <f>IF(AND(_AC2="B-757",'2023'!$I$4="CA",'2023'!$I$2=AQ195),'2023DATA'!$N$19,"")</f>
        <v/>
      </c>
      <c r="AR212" s="940" t="s">
        <v>45</v>
      </c>
      <c r="AS212" s="13" t="s">
        <v>61</v>
      </c>
      <c r="AT212" s="518" t="str">
        <f>IF(AND(_AC3="B-757",'2023'!$I$4="CA",'2023'!$I$2=AT195),'2023DATA'!$C$19,"")</f>
        <v/>
      </c>
      <c r="AU212" s="518" t="str">
        <f>IF(AND(_AC3="B-757",'2023'!$I$4="CA",'2023'!$I$2=AU195),'2023DATA'!$D$19,"")</f>
        <v/>
      </c>
      <c r="AV212" s="518" t="str">
        <f>IF(AND(_AC3="B-757",'2023'!$I$4="CA",'2023'!$I$2=AV195),'2023DATA'!$E$19,"")</f>
        <v/>
      </c>
      <c r="AW212" s="518" t="str">
        <f>IF(AND(_AC3="B-757",'2023'!$I$4="CA",'2023'!$I$2=AW195),'2023DATA'!$F$19,"")</f>
        <v/>
      </c>
      <c r="AX212" s="518" t="str">
        <f>IF(AND(_AC3="B-757",'2023'!$I$4="CA",'2023'!$I$2=AX195),'2023DATA'!$G$19,"")</f>
        <v/>
      </c>
      <c r="AY212" s="518" t="str">
        <f>IF(AND(_AC3="B-757",'2023'!$I$4="CA",'2023'!$I$2=AY195),'2023DATA'!$H$19,"")</f>
        <v/>
      </c>
      <c r="AZ212" s="518" t="str">
        <f>IF(AND(_AC3="B-757",'2023'!$I$4="CA",'2023'!$I$2=AZ195),'2023DATA'!$I$19,"")</f>
        <v/>
      </c>
      <c r="BA212" s="518" t="str">
        <f>IF(AND(_AC3="B-757",'2023'!$I$4="CA",'2023'!$I$2=BA195),'2023DATA'!$J$19,"")</f>
        <v/>
      </c>
      <c r="BB212" s="518" t="str">
        <f>IF(AND(_AC3="B-757",'2023'!$I$4="CA",'2023'!$I$2=BB195),'2023DATA'!$K$19,"")</f>
        <v/>
      </c>
      <c r="BC212" s="518" t="str">
        <f>IF(AND(_AC3="B-757",'2023'!$I$4="CA",'2023'!$I$2=BC195),'2023DATA'!$L$19,"")</f>
        <v/>
      </c>
      <c r="BD212" s="518" t="str">
        <f>IF(AND(_AC3="B-757",'2023'!$I$4="CA",'2023'!$I$2=BD195),'2023DATA'!$M$19,"")</f>
        <v/>
      </c>
      <c r="BE212" s="520" t="str">
        <f>IF(AND(_AC3="B-757",'2023'!$I$4="CA",'2023'!$I$2=BE195),'2023DATA'!$N$19,"")</f>
        <v/>
      </c>
      <c r="BF212" s="940" t="s">
        <v>45</v>
      </c>
      <c r="BG212" s="13" t="s">
        <v>61</v>
      </c>
      <c r="BH212" s="518" t="str">
        <f>IF(AND(_AC4="B-757",'2023'!$I$4="CA",'2023'!$I$2=BH195),'2023DATA'!$C$19,"")</f>
        <v/>
      </c>
      <c r="BI212" s="518" t="str">
        <f>IF(AND(_AC4="B-757",'2023'!$I$4="CA",'2023'!$I$2=BI195),'2023DATA'!$D$19,"")</f>
        <v/>
      </c>
      <c r="BJ212" s="518" t="str">
        <f>IF(AND(_AC4="B-757",'2023'!$I$4="CA",'2023'!$I$2=BJ195),'2023DATA'!$E$19,"")</f>
        <v/>
      </c>
      <c r="BK212" s="518" t="str">
        <f>IF(AND(_AC4="B-757",'2023'!$I$4="CA",'2023'!$I$2=BK195),'2023DATA'!$F$19,"")</f>
        <v/>
      </c>
      <c r="BL212" s="518" t="str">
        <f>IF(AND(_AC4="B-757",'2023'!$I$4="CA",'2023'!$I$2=BL195),'2023DATA'!$G$19,"")</f>
        <v/>
      </c>
      <c r="BM212" s="518" t="str">
        <f>IF(AND(_AC4="B-757",'2023'!$I$4="CA",'2023'!$I$2=BM195),'2023DATA'!$H$19,"")</f>
        <v/>
      </c>
      <c r="BN212" s="518" t="str">
        <f>IF(AND(_AC4="B-757",'2023'!$I$4="CA",'2023'!$I$2=BN195),'2023DATA'!$I$19,"")</f>
        <v/>
      </c>
      <c r="BO212" s="518" t="str">
        <f>IF(AND(_AC4="B-757",'2023'!$I$4="CA",'2023'!$I$2=BO195),'2023DATA'!$J$19,"")</f>
        <v/>
      </c>
      <c r="BP212" s="518" t="str">
        <f>IF(AND(_AC4="B-757",'2023'!$I$4="CA",'2023'!$I$2=BP195),'2023DATA'!$K$19,"")</f>
        <v/>
      </c>
      <c r="BQ212" s="518" t="str">
        <f>IF(AND(_AC4="B-757",'2023'!$I$4="CA",'2023'!$I$2=BQ195),'2023DATA'!$L$19,"")</f>
        <v/>
      </c>
      <c r="BR212" s="518" t="str">
        <f>IF(AND(_AC4="B-757",'2023'!$I$4="CA",'2023'!$I$2=BR195),'2023DATA'!$M$19,"")</f>
        <v/>
      </c>
      <c r="BS212" s="520" t="str">
        <f>IF(AND(_AC4="B-757",'2023'!$I$4="CA",'2023'!$I$2=BS195),'2023DATA'!$N$19,"")</f>
        <v/>
      </c>
      <c r="BT212" s="940" t="s">
        <v>45</v>
      </c>
      <c r="BU212" s="13" t="s">
        <v>61</v>
      </c>
      <c r="BV212" s="518" t="str">
        <f>IF(AND(_AC5="B-757",'2023'!$I$4="CA",'2023'!$I$2=BV195),'2023DATA'!$C$19,"")</f>
        <v/>
      </c>
      <c r="BW212" s="518" t="str">
        <f>IF(AND(_AC5="B-757",'2023'!$I$4="CA",'2023'!$I$2=BW195),'2023DATA'!$D$19,"")</f>
        <v/>
      </c>
      <c r="BX212" s="518" t="str">
        <f>IF(AND(_AC5="B-757",'2023'!$I$4="CA",'2023'!$I$2=BX195),'2023DATA'!$E$19,"")</f>
        <v/>
      </c>
      <c r="BY212" s="518" t="str">
        <f>IF(AND(_AC5="B-757",'2023'!$I$4="CA",'2023'!$I$2=BY195),'2023DATA'!$F$19,"")</f>
        <v/>
      </c>
      <c r="BZ212" s="518" t="str">
        <f>IF(AND(_AC5="B-757",'2023'!$I$4="CA",'2023'!$I$2=BZ195),'2023DATA'!$G$19,"")</f>
        <v/>
      </c>
      <c r="CA212" s="518" t="str">
        <f>IF(AND(_AC5="B-757",'2023'!$I$4="CA",'2023'!$I$2=CA195),'2023DATA'!$H$19,"")</f>
        <v/>
      </c>
      <c r="CB212" s="518" t="str">
        <f>IF(AND(_AC5="B-757",'2023'!$I$4="CA",'2023'!$I$2=CB195),'2023DATA'!$I$19,"")</f>
        <v/>
      </c>
      <c r="CC212" s="518" t="str">
        <f>IF(AND(_AC5="B-757",'2023'!$I$4="CA",'2023'!$I$2=CC195),'2023DATA'!$J$19,"")</f>
        <v/>
      </c>
      <c r="CD212" s="518" t="str">
        <f>IF(AND(_AC5="B-757",'2023'!$I$4="CA",'2023'!$I$2=CD195),'2023DATA'!$K$19,"")</f>
        <v/>
      </c>
      <c r="CE212" s="518" t="str">
        <f>IF(AND(_AC5="B-757",'2023'!$I$4="CA",'2023'!$I$2=CE195),'2023DATA'!$L$19,"")</f>
        <v/>
      </c>
      <c r="CF212" s="518" t="str">
        <f>IF(AND(_AC5="B-757",'2023'!$I$4="CA",'2023'!$I$2=CF195),'2023DATA'!$M$19,"")</f>
        <v/>
      </c>
      <c r="CG212" s="520" t="str">
        <f>IF(AND(_AC5="B-757",'2023'!$I$4="CA",'2023'!$I$2=CG195),'2023DATA'!$N$19,"")</f>
        <v/>
      </c>
      <c r="CH212" s="940" t="s">
        <v>45</v>
      </c>
      <c r="CI212" s="13" t="s">
        <v>61</v>
      </c>
      <c r="CJ212" s="518" t="str">
        <f>IF(AND(_AC6="B-757",'2023'!$I$4="CA",'2023'!$I$2=CJ195),'2023DATA'!$C$19,"")</f>
        <v/>
      </c>
      <c r="CK212" s="518" t="str">
        <f>IF(AND(_AC6="B-757",'2023'!$I$4="CA",'2023'!$I$2=CK195),'2023DATA'!$D$19,"")</f>
        <v/>
      </c>
      <c r="CL212" s="518" t="str">
        <f>IF(AND(_AC6="B-757",'2023'!$I$4="CA",'2023'!$I$2=CL195),'2023DATA'!$E$19,"")</f>
        <v/>
      </c>
      <c r="CM212" s="518" t="str">
        <f>IF(AND(_AC6="B-757",'2023'!$I$4="CA",'2023'!$I$2=CM195),'2023DATA'!$F$19,"")</f>
        <v/>
      </c>
      <c r="CN212" s="518" t="str">
        <f>IF(AND(_AC6="B-757",'2023'!$I$4="CA",'2023'!$I$2=CN195),'2023DATA'!$G$19,"")</f>
        <v/>
      </c>
      <c r="CO212" s="518" t="str">
        <f>IF(AND(_AC6="B-757",'2023'!$I$4="CA",'2023'!$I$2=CO195),'2023DATA'!$H$19,"")</f>
        <v/>
      </c>
      <c r="CP212" s="518" t="str">
        <f>IF(AND(_AC6="B-757",'2023'!$I$4="CA",'2023'!$I$2=CP195),'2023DATA'!$I$19,"")</f>
        <v/>
      </c>
      <c r="CQ212" s="518" t="str">
        <f>IF(AND(_AC6="B-757",'2023'!$I$4="CA",'2023'!$I$2=CQ195),'2023DATA'!$J$19,"")</f>
        <v/>
      </c>
      <c r="CR212" s="518" t="str">
        <f>IF(AND(_AC6="B-757",'2023'!$I$4="CA",'2023'!$I$2=CR195),'2023DATA'!$K$19,"")</f>
        <v/>
      </c>
      <c r="CS212" s="518" t="str">
        <f>IF(AND(_AC6="B-757",'2023'!$I$4="CA",'2023'!$I$2=CS195),'2023DATA'!$L$19,"")</f>
        <v/>
      </c>
      <c r="CT212" s="518" t="str">
        <f>IF(AND(_AC6="B-757",'2023'!$I$4="CA",'2023'!$I$2=CT195),'2023DATA'!$M$19,"")</f>
        <v/>
      </c>
      <c r="CU212" s="520" t="str">
        <f>IF(AND(_AC6="B-757",'2023'!$I$4="CA",'2023'!$I$2=CU195),'2023DATA'!$N$19,"")</f>
        <v/>
      </c>
    </row>
    <row r="213" spans="16:99" x14ac:dyDescent="0.25">
      <c r="P213" s="940"/>
      <c r="Q213" s="13" t="s">
        <v>62</v>
      </c>
      <c r="R213" s="518" t="str">
        <f>IF(AND(_AC1="B-757",'2023'!$I$4="FO",'2023'!$I$2=R195),'2023DATA'!$C$20,"")</f>
        <v/>
      </c>
      <c r="S213" s="518" t="str">
        <f>IF(AND(_AC1="B-757",'2023'!$I$4="FO",'2023'!$I$2=S195),'2023DATA'!$D$20,"")</f>
        <v/>
      </c>
      <c r="T213" s="518" t="str">
        <f>IF(AND(_AC1="B-757",'2023'!$I$4="FO",'2023'!$I$2=T195),'2023DATA'!$E$20,"")</f>
        <v/>
      </c>
      <c r="U213" s="518" t="str">
        <f>IF(AND(_AC1="B-757",'2023'!$I$4="FO",'2023'!$I$2=U195),'2023DATA'!$F$20,"")</f>
        <v/>
      </c>
      <c r="V213" s="518" t="str">
        <f>IF(AND(_AC1="B-757",'2023'!$I$4="FO",'2023'!$I$2=V195),'2023DATA'!$G$20,"")</f>
        <v/>
      </c>
      <c r="W213" s="518" t="str">
        <f>IF(AND(_AC1="B-757",'2023'!$I$4="FO",'2023'!$I$2=W195),'2023DATA'!$H$20,"")</f>
        <v/>
      </c>
      <c r="X213" s="518" t="str">
        <f>IF(AND(_AC1="B-757",'2023'!$I$4="FO",'2023'!$I$2=X195),'2023DATA'!$I$20,"")</f>
        <v/>
      </c>
      <c r="Y213" s="518" t="str">
        <f>IF(AND(_AC1="B-757",'2023'!$I$4="FO",'2023'!$I$2=Y195),'2023DATA'!$J$20,"")</f>
        <v/>
      </c>
      <c r="Z213" s="518" t="str">
        <f>IF(AND(_AC1="B-757",'2023'!$I$4="FO",'2023'!$I$2=Z195),'2023DATA'!$K$20,"")</f>
        <v/>
      </c>
      <c r="AA213" s="518" t="str">
        <f>IF(AND(_AC1="B-757",'2023'!$I$4="FO",'2023'!$I$2=AA195),'2023DATA'!$L$20,"")</f>
        <v/>
      </c>
      <c r="AB213" s="518" t="str">
        <f>IF(AND(_AC1="B-757",'2023'!$I$4="FO",'2023'!$I$2=AB195),'2023DATA'!$M$20,"")</f>
        <v/>
      </c>
      <c r="AC213" s="520" t="str">
        <f>IF(AND(_AC1="B-757",'2023'!$I$4="FO",'2023'!$I$2=AC195),'2023DATA'!$N$20,"")</f>
        <v/>
      </c>
      <c r="AD213" s="940"/>
      <c r="AE213" s="13" t="s">
        <v>62</v>
      </c>
      <c r="AF213" s="518" t="str">
        <f>IF(AND(_AC2="B-757",'2023'!$I$4="FO",'2023'!$I$2=AF195),'2023DATA'!$C$20,"")</f>
        <v/>
      </c>
      <c r="AG213" s="518" t="str">
        <f>IF(AND(_AC2="B-757",'2023'!$I$4="FO",'2023'!$I$2=AG195),'2023DATA'!$D$20,"")</f>
        <v/>
      </c>
      <c r="AH213" s="518" t="str">
        <f>IF(AND(_AC2="B-757",'2023'!$I$4="FO",'2023'!$I$2=AH195),'2023DATA'!$E$20,"")</f>
        <v/>
      </c>
      <c r="AI213" s="518" t="str">
        <f>IF(AND(_AC2="B-757",'2023'!$I$4="FO",'2023'!$I$2=AI195),'2023DATA'!$F$20,"")</f>
        <v/>
      </c>
      <c r="AJ213" s="518" t="str">
        <f>IF(AND(_AC2="B-757",'2023'!$I$4="FO",'2023'!$I$2=AJ195),'2023DATA'!$G$20,"")</f>
        <v/>
      </c>
      <c r="AK213" s="518" t="str">
        <f>IF(AND(_AC2="B-757",'2023'!$I$4="FO",'2023'!$I$2=AK195),'2023DATA'!$H$20,"")</f>
        <v/>
      </c>
      <c r="AL213" s="518" t="str">
        <f>IF(AND(_AC2="B-757",'2023'!$I$4="FO",'2023'!$I$2=AL195),'2023DATA'!$I$20,"")</f>
        <v/>
      </c>
      <c r="AM213" s="518" t="str">
        <f>IF(AND(_AC2="B-757",'2023'!$I$4="FO",'2023'!$I$2=AM195),'2023DATA'!$J$20,"")</f>
        <v/>
      </c>
      <c r="AN213" s="518" t="str">
        <f>IF(AND(_AC2="B-757",'2023'!$I$4="FO",'2023'!$I$2=AN195),'2023DATA'!$K$20,"")</f>
        <v/>
      </c>
      <c r="AO213" s="518" t="str">
        <f>IF(AND(_AC2="B-757",'2023'!$I$4="FO",'2023'!$I$2=AO195),'2023DATA'!$L$20,"")</f>
        <v/>
      </c>
      <c r="AP213" s="518" t="str">
        <f>IF(AND(_AC2="B-757",'2023'!$I$4="FO",'2023'!$I$2=AP195),'2023DATA'!$M$20,"")</f>
        <v/>
      </c>
      <c r="AQ213" s="520" t="str">
        <f>IF(AND(_AC2="B-757",'2023'!$I$4="FO",'2023'!$I$2=AQ195),'2023DATA'!$N$20,"")</f>
        <v/>
      </c>
      <c r="AR213" s="940"/>
      <c r="AS213" s="13" t="s">
        <v>62</v>
      </c>
      <c r="AT213" s="518" t="str">
        <f>IF(AND(_AC3="B-757",'2023'!$I$4="FO",'2023'!$I$2=AT195),'2023DATA'!$C$20,"")</f>
        <v/>
      </c>
      <c r="AU213" s="518" t="str">
        <f>IF(AND(_AC3="B-757",'2023'!$I$4="FO",'2023'!$I$2=AU195),'2023DATA'!$D$20,"")</f>
        <v/>
      </c>
      <c r="AV213" s="518" t="str">
        <f>IF(AND(_AC3="B-757",'2023'!$I$4="FO",'2023'!$I$2=AV195),'2023DATA'!$E$20,"")</f>
        <v/>
      </c>
      <c r="AW213" s="518" t="str">
        <f>IF(AND(_AC3="B-757",'2023'!$I$4="FO",'2023'!$I$2=AW195),'2023DATA'!$F$20,"")</f>
        <v/>
      </c>
      <c r="AX213" s="518" t="str">
        <f>IF(AND(_AC3="B-757",'2023'!$I$4="FO",'2023'!$I$2=AX195),'2023DATA'!$G$20,"")</f>
        <v/>
      </c>
      <c r="AY213" s="518" t="str">
        <f>IF(AND(_AC3="B-757",'2023'!$I$4="FO",'2023'!$I$2=AY195),'2023DATA'!$H$20,"")</f>
        <v/>
      </c>
      <c r="AZ213" s="518" t="str">
        <f>IF(AND(_AC3="B-757",'2023'!$I$4="FO",'2023'!$I$2=AZ195),'2023DATA'!$I$20,"")</f>
        <v/>
      </c>
      <c r="BA213" s="518" t="str">
        <f>IF(AND(_AC3="B-757",'2023'!$I$4="FO",'2023'!$I$2=BA195),'2023DATA'!$J$20,"")</f>
        <v/>
      </c>
      <c r="BB213" s="518" t="str">
        <f>IF(AND(_AC3="B-757",'2023'!$I$4="FO",'2023'!$I$2=BB195),'2023DATA'!$K$20,"")</f>
        <v/>
      </c>
      <c r="BC213" s="518" t="str">
        <f>IF(AND(_AC3="B-757",'2023'!$I$4="FO",'2023'!$I$2=BC195),'2023DATA'!$L$20,"")</f>
        <v/>
      </c>
      <c r="BD213" s="518" t="str">
        <f>IF(AND(_AC3="B-757",'2023'!$I$4="FO",'2023'!$I$2=BD195),'2023DATA'!$M$20,"")</f>
        <v/>
      </c>
      <c r="BE213" s="520" t="str">
        <f>IF(AND(_AC3="B-757",'2023'!$I$4="FO",'2023'!$I$2=BE195),'2023DATA'!$N$20,"")</f>
        <v/>
      </c>
      <c r="BF213" s="940"/>
      <c r="BG213" s="13" t="s">
        <v>62</v>
      </c>
      <c r="BH213" s="518" t="str">
        <f>IF(AND(_AC4="B-757",'2023'!$I$4="FO",'2023'!$I$2=BH195),'2023DATA'!$C$20,"")</f>
        <v/>
      </c>
      <c r="BI213" s="518" t="str">
        <f>IF(AND(_AC4="B-757",'2023'!$I$4="FO",'2023'!$I$2=BI195),'2023DATA'!$D$20,"")</f>
        <v/>
      </c>
      <c r="BJ213" s="518" t="str">
        <f>IF(AND(_AC4="B-757",'2023'!$I$4="FO",'2023'!$I$2=BJ195),'2023DATA'!$E$20,"")</f>
        <v/>
      </c>
      <c r="BK213" s="518" t="str">
        <f>IF(AND(_AC4="B-757",'2023'!$I$4="FO",'2023'!$I$2=BK195),'2023DATA'!$F$20,"")</f>
        <v/>
      </c>
      <c r="BL213" s="518" t="str">
        <f>IF(AND(_AC4="B-757",'2023'!$I$4="FO",'2023'!$I$2=BL195),'2023DATA'!$G$20,"")</f>
        <v/>
      </c>
      <c r="BM213" s="518" t="str">
        <f>IF(AND(_AC4="B-757",'2023'!$I$4="FO",'2023'!$I$2=BM195),'2023DATA'!$H$20,"")</f>
        <v/>
      </c>
      <c r="BN213" s="518" t="str">
        <f>IF(AND(_AC4="B-757",'2023'!$I$4="FO",'2023'!$I$2=BN195),'2023DATA'!$I$20,"")</f>
        <v/>
      </c>
      <c r="BO213" s="518" t="str">
        <f>IF(AND(_AC4="B-757",'2023'!$I$4="FO",'2023'!$I$2=BO195),'2023DATA'!$J$20,"")</f>
        <v/>
      </c>
      <c r="BP213" s="518" t="str">
        <f>IF(AND(_AC4="B-757",'2023'!$I$4="FO",'2023'!$I$2=BP195),'2023DATA'!$K$20,"")</f>
        <v/>
      </c>
      <c r="BQ213" s="518" t="str">
        <f>IF(AND(_AC4="B-757",'2023'!$I$4="FO",'2023'!$I$2=BQ195),'2023DATA'!$L$20,"")</f>
        <v/>
      </c>
      <c r="BR213" s="518" t="str">
        <f>IF(AND(_AC4="B-757",'2023'!$I$4="FO",'2023'!$I$2=BR195),'2023DATA'!$M$20,"")</f>
        <v/>
      </c>
      <c r="BS213" s="520" t="str">
        <f>IF(AND(_AC4="B-757",'2023'!$I$4="FO",'2023'!$I$2=BS195),'2023DATA'!$N$20,"")</f>
        <v/>
      </c>
      <c r="BT213" s="940"/>
      <c r="BU213" s="13" t="s">
        <v>62</v>
      </c>
      <c r="BV213" s="518" t="str">
        <f>IF(AND(_AC5="B-757",'2023'!$I$4="FO",'2023'!$I$2=BV195),'2023DATA'!$C$20,"")</f>
        <v/>
      </c>
      <c r="BW213" s="518" t="str">
        <f>IF(AND(_AC5="B-757",'2023'!$I$4="FO",'2023'!$I$2=BW195),'2023DATA'!$D$20,"")</f>
        <v/>
      </c>
      <c r="BX213" s="518" t="str">
        <f>IF(AND(_AC5="B-757",'2023'!$I$4="FO",'2023'!$I$2=BX195),'2023DATA'!$E$20,"")</f>
        <v/>
      </c>
      <c r="BY213" s="518" t="str">
        <f>IF(AND(_AC5="B-757",'2023'!$I$4="FO",'2023'!$I$2=BY195),'2023DATA'!$F$20,"")</f>
        <v/>
      </c>
      <c r="BZ213" s="518" t="str">
        <f>IF(AND(_AC5="B-757",'2023'!$I$4="FO",'2023'!$I$2=BZ195),'2023DATA'!$G$20,"")</f>
        <v/>
      </c>
      <c r="CA213" s="518" t="str">
        <f>IF(AND(_AC5="B-757",'2023'!$I$4="FO",'2023'!$I$2=CA195),'2023DATA'!$H$20,"")</f>
        <v/>
      </c>
      <c r="CB213" s="518" t="str">
        <f>IF(AND(_AC5="B-757",'2023'!$I$4="FO",'2023'!$I$2=CB195),'2023DATA'!$I$20,"")</f>
        <v/>
      </c>
      <c r="CC213" s="518" t="str">
        <f>IF(AND(_AC5="B-757",'2023'!$I$4="FO",'2023'!$I$2=CC195),'2023DATA'!$J$20,"")</f>
        <v/>
      </c>
      <c r="CD213" s="518" t="str">
        <f>IF(AND(_AC5="B-757",'2023'!$I$4="FO",'2023'!$I$2=CD195),'2023DATA'!$K$20,"")</f>
        <v/>
      </c>
      <c r="CE213" s="518" t="str">
        <f>IF(AND(_AC5="B-757",'2023'!$I$4="FO",'2023'!$I$2=CE195),'2023DATA'!$L$20,"")</f>
        <v/>
      </c>
      <c r="CF213" s="518" t="str">
        <f>IF(AND(_AC5="B-757",'2023'!$I$4="FO",'2023'!$I$2=CF195),'2023DATA'!$M$20,"")</f>
        <v/>
      </c>
      <c r="CG213" s="520" t="str">
        <f>IF(AND(_AC5="B-757",'2023'!$I$4="FO",'2023'!$I$2=CG195),'2023DATA'!$N$20,"")</f>
        <v/>
      </c>
      <c r="CH213" s="940"/>
      <c r="CI213" s="13" t="s">
        <v>62</v>
      </c>
      <c r="CJ213" s="518" t="str">
        <f>IF(AND(_AC6="B-757",'2023'!$I$4="FO",'2023'!$I$2=CJ195),'2023DATA'!$C$20,"")</f>
        <v/>
      </c>
      <c r="CK213" s="518" t="str">
        <f>IF(AND(_AC6="B-757",'2023'!$I$4="FO",'2023'!$I$2=CK195),'2023DATA'!$D$20,"")</f>
        <v/>
      </c>
      <c r="CL213" s="518" t="str">
        <f>IF(AND(_AC6="B-757",'2023'!$I$4="FO",'2023'!$I$2=CL195),'2023DATA'!$E$20,"")</f>
        <v/>
      </c>
      <c r="CM213" s="518" t="str">
        <f>IF(AND(_AC6="B-757",'2023'!$I$4="FO",'2023'!$I$2=CM195),'2023DATA'!$F$20,"")</f>
        <v/>
      </c>
      <c r="CN213" s="518" t="str">
        <f>IF(AND(_AC6="B-757",'2023'!$I$4="FO",'2023'!$I$2=CN195),'2023DATA'!$G$20,"")</f>
        <v/>
      </c>
      <c r="CO213" s="518" t="str">
        <f>IF(AND(_AC6="B-757",'2023'!$I$4="FO",'2023'!$I$2=CO195),'2023DATA'!$H$20,"")</f>
        <v/>
      </c>
      <c r="CP213" s="518" t="str">
        <f>IF(AND(_AC6="B-757",'2023'!$I$4="FO",'2023'!$I$2=CP195),'2023DATA'!$I$20,"")</f>
        <v/>
      </c>
      <c r="CQ213" s="518" t="str">
        <f>IF(AND(_AC6="B-757",'2023'!$I$4="FO",'2023'!$I$2=CQ195),'2023DATA'!$J$20,"")</f>
        <v/>
      </c>
      <c r="CR213" s="518" t="str">
        <f>IF(AND(_AC6="B-757",'2023'!$I$4="FO",'2023'!$I$2=CR195),'2023DATA'!$K$20,"")</f>
        <v/>
      </c>
      <c r="CS213" s="518" t="str">
        <f>IF(AND(_AC6="B-757",'2023'!$I$4="FO",'2023'!$I$2=CS195),'2023DATA'!$L$20,"")</f>
        <v/>
      </c>
      <c r="CT213" s="518" t="str">
        <f>IF(AND(_AC6="B-757",'2023'!$I$4="FO",'2023'!$I$2=CT195),'2023DATA'!$M$20,"")</f>
        <v/>
      </c>
      <c r="CU213" s="520" t="str">
        <f>IF(AND(_AC6="B-757",'2023'!$I$4="FO",'2023'!$I$2=CU195),'2023DATA'!$N$20,"")</f>
        <v/>
      </c>
    </row>
    <row r="214" spans="16:99" x14ac:dyDescent="0.25">
      <c r="P214" s="940" t="s">
        <v>47</v>
      </c>
      <c r="Q214" s="13" t="s">
        <v>61</v>
      </c>
      <c r="R214" s="518" t="str">
        <f>IF(AND(_AC1="B-737-900",'2023'!$I$4="CA",'2023'!$I$2=R195),'2023DATA'!$C$21,"")</f>
        <v/>
      </c>
      <c r="S214" s="518" t="str">
        <f>IF(AND(_AC1="B-737-900",'2023'!$I$4="CA",'2023'!$I$2=S195),'2023DATA'!$D$21,"")</f>
        <v/>
      </c>
      <c r="T214" s="518" t="str">
        <f>IF(AND(_AC1="B-737-900",'2023'!$I$4="CA",'2023'!$I$2=T195),'2023DATA'!$E$21,"")</f>
        <v/>
      </c>
      <c r="U214" s="518" t="str">
        <f>IF(AND(_AC1="B-737-900",'2023'!$I$4="CA",'2023'!$I$2=U195),'2023DATA'!$F$21,"")</f>
        <v/>
      </c>
      <c r="V214" s="518" t="str">
        <f>IF(AND(_AC1="B-737-900",'2023'!$I$4="CA",'2023'!$I$2=V195),'2023DATA'!$G$21,"")</f>
        <v/>
      </c>
      <c r="W214" s="518" t="str">
        <f>IF(AND(_AC1="B-737-900",'2023'!$I$4="CA",'2023'!$I$2=W195),'2023DATA'!$H$21,"")</f>
        <v/>
      </c>
      <c r="X214" s="518" t="str">
        <f>IF(AND(_AC1="B-737-900",'2023'!$I$4="CA",'2023'!$I$2=X195),'2023DATA'!$I$21,"")</f>
        <v/>
      </c>
      <c r="Y214" s="518" t="str">
        <f>IF(AND(_AC1="B-737-900",'2023'!$I$4="CA",'2023'!$I$2=Y195),'2023DATA'!$J$21,"")</f>
        <v/>
      </c>
      <c r="Z214" s="518" t="str">
        <f>IF(AND(_AC1="B-737-900",'2023'!$I$4="CA",'2023'!$I$2=Z195),'2023DATA'!$K$21,"")</f>
        <v/>
      </c>
      <c r="AA214" s="518" t="str">
        <f>IF(AND(_AC1="B-737-900",'2023'!$I$4="CA",'2023'!$I$2=AA195),'2023DATA'!$L$21,"")</f>
        <v/>
      </c>
      <c r="AB214" s="518" t="str">
        <f>IF(AND(_AC1="B-737-900",'2023'!$I$4="CA",'2023'!$I$2=AB195),'2023DATA'!$M$21,"")</f>
        <v/>
      </c>
      <c r="AC214" s="520" t="str">
        <f>IF(AND(_AC1="B-737-900",'2023'!$I$4="CA",'2023'!$I$2=AC195),'2023DATA'!$N$21,"")</f>
        <v/>
      </c>
      <c r="AD214" s="940" t="s">
        <v>47</v>
      </c>
      <c r="AE214" s="13" t="s">
        <v>61</v>
      </c>
      <c r="AF214" s="518" t="str">
        <f>IF(AND(_AC2="B-737-900",'2023'!$I$4="CA",'2023'!$I$2=AF195),'2023DATA'!$C$21,"")</f>
        <v/>
      </c>
      <c r="AG214" s="518" t="str">
        <f>IF(AND(_AC2="B-737-900",'2023'!$I$4="CA",'2023'!$I$2=AG195),'2023DATA'!$D$21,"")</f>
        <v/>
      </c>
      <c r="AH214" s="518" t="str">
        <f>IF(AND(_AC2="B-737-900",'2023'!$I$4="CA",'2023'!$I$2=AH195),'2023DATA'!$E$21,"")</f>
        <v/>
      </c>
      <c r="AI214" s="518" t="str">
        <f>IF(AND(_AC2="B-737-900",'2023'!$I$4="CA",'2023'!$I$2=AI195),'2023DATA'!$F$21,"")</f>
        <v/>
      </c>
      <c r="AJ214" s="518" t="str">
        <f>IF(AND(_AC2="B-737-900",'2023'!$I$4="CA",'2023'!$I$2=AJ195),'2023DATA'!$G$21,"")</f>
        <v/>
      </c>
      <c r="AK214" s="518" t="str">
        <f>IF(AND(_AC2="B-737-900",'2023'!$I$4="CA",'2023'!$I$2=AK195),'2023DATA'!$H$21,"")</f>
        <v/>
      </c>
      <c r="AL214" s="518" t="str">
        <f>IF(AND(_AC2="B-737-900",'2023'!$I$4="CA",'2023'!$I$2=AL195),'2023DATA'!$I$21,"")</f>
        <v/>
      </c>
      <c r="AM214" s="518" t="str">
        <f>IF(AND(_AC2="B-737-900",'2023'!$I$4="CA",'2023'!$I$2=AM195),'2023DATA'!$J$21,"")</f>
        <v/>
      </c>
      <c r="AN214" s="518" t="str">
        <f>IF(AND(_AC2="B-737-900",'2023'!$I$4="CA",'2023'!$I$2=AN195),'2023DATA'!$K$21,"")</f>
        <v/>
      </c>
      <c r="AO214" s="518" t="str">
        <f>IF(AND(_AC2="B-737-900",'2023'!$I$4="CA",'2023'!$I$2=AO195),'2023DATA'!$L$21,"")</f>
        <v/>
      </c>
      <c r="AP214" s="518" t="str">
        <f>IF(AND(_AC2="B-737-900",'2023'!$I$4="CA",'2023'!$I$2=AP195),'2023DATA'!$M$21,"")</f>
        <v/>
      </c>
      <c r="AQ214" s="520" t="str">
        <f>IF(AND(_AC2="B-737-900",'2023'!$I$4="CA",'2023'!$I$2=AQ195),'2023DATA'!$N$21,"")</f>
        <v/>
      </c>
      <c r="AR214" s="940" t="s">
        <v>47</v>
      </c>
      <c r="AS214" s="13" t="s">
        <v>61</v>
      </c>
      <c r="AT214" s="518" t="str">
        <f>IF(AND(_AC3="B-737-900",'2023'!$I$4="CA",'2023'!$I$2=AT195),'2023DATA'!$C$21,"")</f>
        <v/>
      </c>
      <c r="AU214" s="518" t="str">
        <f>IF(AND(_AC3="B-737-900",'2023'!$I$4="CA",'2023'!$I$2=AU195),'2023DATA'!$D$21,"")</f>
        <v/>
      </c>
      <c r="AV214" s="518" t="str">
        <f>IF(AND(_AC3="B-737-900",'2023'!$I$4="CA",'2023'!$I$2=AV195),'2023DATA'!$E$21,"")</f>
        <v/>
      </c>
      <c r="AW214" s="518" t="str">
        <f>IF(AND(_AC3="B-737-900",'2023'!$I$4="CA",'2023'!$I$2=AW195),'2023DATA'!$F$21,"")</f>
        <v/>
      </c>
      <c r="AX214" s="518" t="str">
        <f>IF(AND(_AC3="B-737-900",'2023'!$I$4="CA",'2023'!$I$2=AX195),'2023DATA'!$G$21,"")</f>
        <v/>
      </c>
      <c r="AY214" s="518" t="str">
        <f>IF(AND(_AC3="B-737-900",'2023'!$I$4="CA",'2023'!$I$2=AY195),'2023DATA'!$H$21,"")</f>
        <v/>
      </c>
      <c r="AZ214" s="518" t="str">
        <f>IF(AND(_AC3="B-737-900",'2023'!$I$4="CA",'2023'!$I$2=AZ195),'2023DATA'!$I$21,"")</f>
        <v/>
      </c>
      <c r="BA214" s="518" t="str">
        <f>IF(AND(_AC3="B-737-900",'2023'!$I$4="CA",'2023'!$I$2=BA195),'2023DATA'!$J$21,"")</f>
        <v/>
      </c>
      <c r="BB214" s="518" t="str">
        <f>IF(AND(_AC3="B-737-900",'2023'!$I$4="CA",'2023'!$I$2=BB195),'2023DATA'!$K$21,"")</f>
        <v/>
      </c>
      <c r="BC214" s="518" t="str">
        <f>IF(AND(_AC3="B-737-900",'2023'!$I$4="CA",'2023'!$I$2=BC195),'2023DATA'!$L$21,"")</f>
        <v/>
      </c>
      <c r="BD214" s="518" t="str">
        <f>IF(AND(_AC3="B-737-900",'2023'!$I$4="CA",'2023'!$I$2=BD195),'2023DATA'!$M$21,"")</f>
        <v/>
      </c>
      <c r="BE214" s="520" t="str">
        <f>IF(AND(_AC3="B-737-900",'2023'!$I$4="CA",'2023'!$I$2=BE195),'2023DATA'!$N$21,"")</f>
        <v/>
      </c>
      <c r="BF214" s="940" t="s">
        <v>47</v>
      </c>
      <c r="BG214" s="13" t="s">
        <v>61</v>
      </c>
      <c r="BH214" s="518" t="str">
        <f>IF(AND(_AC4="B-737-900",'2023'!$I$4="CA",'2023'!$I$2=BH195),'2023DATA'!$C$21,"")</f>
        <v/>
      </c>
      <c r="BI214" s="518" t="str">
        <f>IF(AND(_AC4="B-737-900",'2023'!$I$4="CA",'2023'!$I$2=BI195),'2023DATA'!$D$21,"")</f>
        <v/>
      </c>
      <c r="BJ214" s="518" t="str">
        <f>IF(AND(_AC4="B-737-900",'2023'!$I$4="CA",'2023'!$I$2=BJ195),'2023DATA'!$E$21,"")</f>
        <v/>
      </c>
      <c r="BK214" s="518" t="str">
        <f>IF(AND(_AC4="B-737-900",'2023'!$I$4="CA",'2023'!$I$2=BK195),'2023DATA'!$F$21,"")</f>
        <v/>
      </c>
      <c r="BL214" s="518" t="str">
        <f>IF(AND(_AC4="B-737-900",'2023'!$I$4="CA",'2023'!$I$2=BL195),'2023DATA'!$G$21,"")</f>
        <v/>
      </c>
      <c r="BM214" s="518" t="str">
        <f>IF(AND(_AC4="B-737-900",'2023'!$I$4="CA",'2023'!$I$2=BM195),'2023DATA'!$H$21,"")</f>
        <v/>
      </c>
      <c r="BN214" s="518" t="str">
        <f>IF(AND(_AC4="B-737-900",'2023'!$I$4="CA",'2023'!$I$2=BN195),'2023DATA'!$I$21,"")</f>
        <v/>
      </c>
      <c r="BO214" s="518" t="str">
        <f>IF(AND(_AC4="B-737-900",'2023'!$I$4="CA",'2023'!$I$2=BO195),'2023DATA'!$J$21,"")</f>
        <v/>
      </c>
      <c r="BP214" s="518" t="str">
        <f>IF(AND(_AC4="B-737-900",'2023'!$I$4="CA",'2023'!$I$2=BP195),'2023DATA'!$K$21,"")</f>
        <v/>
      </c>
      <c r="BQ214" s="518" t="str">
        <f>IF(AND(_AC4="B-737-900",'2023'!$I$4="CA",'2023'!$I$2=BQ195),'2023DATA'!$L$21,"")</f>
        <v/>
      </c>
      <c r="BR214" s="518" t="str">
        <f>IF(AND(_AC4="B-737-900",'2023'!$I$4="CA",'2023'!$I$2=BR195),'2023DATA'!$M$21,"")</f>
        <v/>
      </c>
      <c r="BS214" s="520" t="str">
        <f>IF(AND(_AC4="B-737-900",'2023'!$I$4="CA",'2023'!$I$2=BS195),'2023DATA'!$N$21,"")</f>
        <v/>
      </c>
      <c r="BT214" s="940" t="s">
        <v>47</v>
      </c>
      <c r="BU214" s="13" t="s">
        <v>61</v>
      </c>
      <c r="BV214" s="518" t="str">
        <f>IF(AND(_AC5="B-737-900",'2023'!$I$4="CA",'2023'!$I$2=BV195),'2023DATA'!$C$21,"")</f>
        <v/>
      </c>
      <c r="BW214" s="518" t="str">
        <f>IF(AND(_AC5="B-737-900",'2023'!$I$4="CA",'2023'!$I$2=BW195),'2023DATA'!$D$21,"")</f>
        <v/>
      </c>
      <c r="BX214" s="518" t="str">
        <f>IF(AND(_AC5="B-737-900",'2023'!$I$4="CA",'2023'!$I$2=BX195),'2023DATA'!$E$21,"")</f>
        <v/>
      </c>
      <c r="BY214" s="518" t="str">
        <f>IF(AND(_AC5="B-737-900",'2023'!$I$4="CA",'2023'!$I$2=BY195),'2023DATA'!$F$21,"")</f>
        <v/>
      </c>
      <c r="BZ214" s="518" t="str">
        <f>IF(AND(_AC5="B-737-900",'2023'!$I$4="CA",'2023'!$I$2=BZ195),'2023DATA'!$G$21,"")</f>
        <v/>
      </c>
      <c r="CA214" s="518" t="str">
        <f>IF(AND(_AC5="B-737-900",'2023'!$I$4="CA",'2023'!$I$2=CA195),'2023DATA'!$H$21,"")</f>
        <v/>
      </c>
      <c r="CB214" s="518" t="str">
        <f>IF(AND(_AC5="B-737-900",'2023'!$I$4="CA",'2023'!$I$2=CB195),'2023DATA'!$I$21,"")</f>
        <v/>
      </c>
      <c r="CC214" s="518" t="str">
        <f>IF(AND(_AC5="B-737-900",'2023'!$I$4="CA",'2023'!$I$2=CC195),'2023DATA'!$J$21,"")</f>
        <v/>
      </c>
      <c r="CD214" s="518" t="str">
        <f>IF(AND(_AC5="B-737-900",'2023'!$I$4="CA",'2023'!$I$2=CD195),'2023DATA'!$K$21,"")</f>
        <v/>
      </c>
      <c r="CE214" s="518" t="str">
        <f>IF(AND(_AC5="B-737-900",'2023'!$I$4="CA",'2023'!$I$2=CE195),'2023DATA'!$L$21,"")</f>
        <v/>
      </c>
      <c r="CF214" s="518" t="str">
        <f>IF(AND(_AC5="B-737-900",'2023'!$I$4="CA",'2023'!$I$2=CF195),'2023DATA'!$M$21,"")</f>
        <v/>
      </c>
      <c r="CG214" s="520" t="str">
        <f>IF(AND(_AC5="B-737-900",'2023'!$I$4="CA",'2023'!$I$2=CG195),'2023DATA'!$N$21,"")</f>
        <v/>
      </c>
      <c r="CH214" s="940" t="s">
        <v>47</v>
      </c>
      <c r="CI214" s="13" t="s">
        <v>61</v>
      </c>
      <c r="CJ214" s="518" t="str">
        <f>IF(AND(_AC6="B-737-900",'2023'!$I$4="CA",'2023'!$I$2=CJ195),'2023DATA'!$C$21,"")</f>
        <v/>
      </c>
      <c r="CK214" s="518" t="str">
        <f>IF(AND(_AC6="B-737-900",'2023'!$I$4="CA",'2023'!$I$2=CK195),'2023DATA'!$D$21,"")</f>
        <v/>
      </c>
      <c r="CL214" s="518" t="str">
        <f>IF(AND(_AC6="B-737-900",'2023'!$I$4="CA",'2023'!$I$2=CL195),'2023DATA'!$E$21,"")</f>
        <v/>
      </c>
      <c r="CM214" s="518" t="str">
        <f>IF(AND(_AC6="B-737-900",'2023'!$I$4="CA",'2023'!$I$2=CM195),'2023DATA'!$F$21,"")</f>
        <v/>
      </c>
      <c r="CN214" s="518" t="str">
        <f>IF(AND(_AC6="B-737-900",'2023'!$I$4="CA",'2023'!$I$2=CN195),'2023DATA'!$G$21,"")</f>
        <v/>
      </c>
      <c r="CO214" s="518" t="str">
        <f>IF(AND(_AC6="B-737-900",'2023'!$I$4="CA",'2023'!$I$2=CO195),'2023DATA'!$H$21,"")</f>
        <v/>
      </c>
      <c r="CP214" s="518" t="str">
        <f>IF(AND(_AC6="B-737-900",'2023'!$I$4="CA",'2023'!$I$2=CP195),'2023DATA'!$I$21,"")</f>
        <v/>
      </c>
      <c r="CQ214" s="518" t="str">
        <f>IF(AND(_AC6="B-737-900",'2023'!$I$4="CA",'2023'!$I$2=CQ195),'2023DATA'!$J$21,"")</f>
        <v/>
      </c>
      <c r="CR214" s="518" t="str">
        <f>IF(AND(_AC6="B-737-900",'2023'!$I$4="CA",'2023'!$I$2=CR195),'2023DATA'!$K$21,"")</f>
        <v/>
      </c>
      <c r="CS214" s="518" t="str">
        <f>IF(AND(_AC6="B-737-900",'2023'!$I$4="CA",'2023'!$I$2=CS195),'2023DATA'!$L$21,"")</f>
        <v/>
      </c>
      <c r="CT214" s="518" t="str">
        <f>IF(AND(_AC6="B-737-900",'2023'!$I$4="CA",'2023'!$I$2=CT195),'2023DATA'!$M$21,"")</f>
        <v/>
      </c>
      <c r="CU214" s="520" t="str">
        <f>IF(AND(_AC6="B-737-900",'2023'!$I$4="CA",'2023'!$I$2=CU195),'2023DATA'!$N$21,"")</f>
        <v/>
      </c>
    </row>
    <row r="215" spans="16:99" x14ac:dyDescent="0.25">
      <c r="P215" s="940"/>
      <c r="Q215" s="13" t="s">
        <v>62</v>
      </c>
      <c r="R215" s="518" t="str">
        <f>IF(AND(_AC1="B-737-900",'2023'!$I$4="FO",'2023'!$I$2=R195),'2023DATA'!$C$22,"")</f>
        <v/>
      </c>
      <c r="S215" s="518" t="str">
        <f>IF(AND(_AC1="B-737-900",'2023'!$I$4="FO",'2023'!$I$2=S195),'2023DATA'!$D$22,"")</f>
        <v/>
      </c>
      <c r="T215" s="518" t="str">
        <f>IF(AND(_AC1="B-737-900",'2023'!$I$4="FO",'2023'!$I$2=T195),'2023DATA'!$E$22,"")</f>
        <v/>
      </c>
      <c r="U215" s="518" t="str">
        <f>IF(AND(_AC1="B-737-900",'2023'!$I$4="FO",'2023'!$I$2=U195),'2023DATA'!$F$22,"")</f>
        <v/>
      </c>
      <c r="V215" s="518" t="str">
        <f>IF(AND(_AC1="B-737-900",'2023'!$I$4="FO",'2023'!$I$2=V195),'2023DATA'!$G$22,"")</f>
        <v/>
      </c>
      <c r="W215" s="518" t="str">
        <f>IF(AND(_AC1="B-737-900",'2023'!$I$4="FO",'2023'!$I$2=W195),'2023DATA'!$H$22,"")</f>
        <v/>
      </c>
      <c r="X215" s="518" t="str">
        <f>IF(AND(_AC1="B-737-900",'2023'!$I$4="FO",'2023'!$I$2=X195),'2023DATA'!$I$22,"")</f>
        <v/>
      </c>
      <c r="Y215" s="518" t="str">
        <f>IF(AND(_AC1="B-737-900",'2023'!$I$4="FO",'2023'!$I$2=Y195),'2023DATA'!$J$22,"")</f>
        <v/>
      </c>
      <c r="Z215" s="518" t="str">
        <f>IF(AND(_AC1="B-737-900",'2023'!$I$4="FO",'2023'!$I$2=Z195),'2023DATA'!$K$22,"")</f>
        <v/>
      </c>
      <c r="AA215" s="518" t="str">
        <f>IF(AND(_AC1="B-737-900",'2023'!$I$4="FO",'2023'!$I$2=AA195),'2023DATA'!$L$22,"")</f>
        <v/>
      </c>
      <c r="AB215" s="518" t="str">
        <f>IF(AND(_AC1="B-737-900",'2023'!$I$4="FO",'2023'!$I$2=AB195),'2023DATA'!$M$22,"")</f>
        <v/>
      </c>
      <c r="AC215" s="520" t="str">
        <f>IF(AND(_AC1="B-737-900",'2023'!$I$4="FO",'2023'!$I$2=AC195),'2023DATA'!$N$22,"")</f>
        <v/>
      </c>
      <c r="AD215" s="940"/>
      <c r="AE215" s="13" t="s">
        <v>62</v>
      </c>
      <c r="AF215" s="518" t="str">
        <f>IF(AND(_AC2="B-737-900",'2023'!$I$4="FO",'2023'!$I$2=AF195),'2023DATA'!$C$22,"")</f>
        <v/>
      </c>
      <c r="AG215" s="518" t="str">
        <f>IF(AND(_AC2="B-737-900",'2023'!$I$4="FO",'2023'!$I$2=AG195),'2023DATA'!$D$22,"")</f>
        <v/>
      </c>
      <c r="AH215" s="518" t="str">
        <f>IF(AND(_AC2="B-737-900",'2023'!$I$4="FO",'2023'!$I$2=AH195),'2023DATA'!$E$22,"")</f>
        <v/>
      </c>
      <c r="AI215" s="518" t="str">
        <f>IF(AND(_AC2="B-737-900",'2023'!$I$4="FO",'2023'!$I$2=AI195),'2023DATA'!$F$22,"")</f>
        <v/>
      </c>
      <c r="AJ215" s="518" t="str">
        <f>IF(AND(_AC2="B-737-900",'2023'!$I$4="FO",'2023'!$I$2=AJ195),'2023DATA'!$G$22,"")</f>
        <v/>
      </c>
      <c r="AK215" s="518" t="str">
        <f>IF(AND(_AC2="B-737-900",'2023'!$I$4="FO",'2023'!$I$2=AK195),'2023DATA'!$H$22,"")</f>
        <v/>
      </c>
      <c r="AL215" s="518" t="str">
        <f>IF(AND(_AC2="B-737-900",'2023'!$I$4="FO",'2023'!$I$2=AL195),'2023DATA'!$I$22,"")</f>
        <v/>
      </c>
      <c r="AM215" s="518" t="str">
        <f>IF(AND(_AC2="B-737-900",'2023'!$I$4="FO",'2023'!$I$2=AM195),'2023DATA'!$J$22,"")</f>
        <v/>
      </c>
      <c r="AN215" s="518" t="str">
        <f>IF(AND(_AC2="B-737-900",'2023'!$I$4="FO",'2023'!$I$2=AN195),'2023DATA'!$K$22,"")</f>
        <v/>
      </c>
      <c r="AO215" s="518" t="str">
        <f>IF(AND(_AC2="B-737-900",'2023'!$I$4="FO",'2023'!$I$2=AO195),'2023DATA'!$L$22,"")</f>
        <v/>
      </c>
      <c r="AP215" s="518" t="str">
        <f>IF(AND(_AC2="B-737-900",'2023'!$I$4="FO",'2023'!$I$2=AP195),'2023DATA'!$M$22,"")</f>
        <v/>
      </c>
      <c r="AQ215" s="520" t="str">
        <f>IF(AND(_AC2="B-737-900",'2023'!$I$4="FO",'2023'!$I$2=AQ195),'2023DATA'!$N$22,"")</f>
        <v/>
      </c>
      <c r="AR215" s="940"/>
      <c r="AS215" s="13" t="s">
        <v>62</v>
      </c>
      <c r="AT215" s="518" t="str">
        <f>IF(AND(_AC3="B-737-900",'2023'!$I$4="FO",'2023'!$I$2=AT195),'2023DATA'!$C$22,"")</f>
        <v/>
      </c>
      <c r="AU215" s="518" t="str">
        <f>IF(AND(_AC3="B-737-900",'2023'!$I$4="FO",'2023'!$I$2=AU195),'2023DATA'!$D$22,"")</f>
        <v/>
      </c>
      <c r="AV215" s="518" t="str">
        <f>IF(AND(_AC3="B-737-900",'2023'!$I$4="FO",'2023'!$I$2=AV195),'2023DATA'!$E$22,"")</f>
        <v/>
      </c>
      <c r="AW215" s="518" t="str">
        <f>IF(AND(_AC3="B-737-900",'2023'!$I$4="FO",'2023'!$I$2=AW195),'2023DATA'!$F$22,"")</f>
        <v/>
      </c>
      <c r="AX215" s="518" t="str">
        <f>IF(AND(_AC3="B-737-900",'2023'!$I$4="FO",'2023'!$I$2=AX195),'2023DATA'!$G$22,"")</f>
        <v/>
      </c>
      <c r="AY215" s="518" t="str">
        <f>IF(AND(_AC3="B-737-900",'2023'!$I$4="FO",'2023'!$I$2=AY195),'2023DATA'!$H$22,"")</f>
        <v/>
      </c>
      <c r="AZ215" s="518" t="str">
        <f>IF(AND(_AC3="B-737-900",'2023'!$I$4="FO",'2023'!$I$2=AZ195),'2023DATA'!$I$22,"")</f>
        <v/>
      </c>
      <c r="BA215" s="518" t="str">
        <f>IF(AND(_AC3="B-737-900",'2023'!$I$4="FO",'2023'!$I$2=BA195),'2023DATA'!$J$22,"")</f>
        <v/>
      </c>
      <c r="BB215" s="518" t="str">
        <f>IF(AND(_AC3="B-737-900",'2023'!$I$4="FO",'2023'!$I$2=BB195),'2023DATA'!$K$22,"")</f>
        <v/>
      </c>
      <c r="BC215" s="518" t="str">
        <f>IF(AND(_AC3="B-737-900",'2023'!$I$4="FO",'2023'!$I$2=BC195),'2023DATA'!$L$22,"")</f>
        <v/>
      </c>
      <c r="BD215" s="518" t="str">
        <f>IF(AND(_AC3="B-737-900",'2023'!$I$4="FO",'2023'!$I$2=BD195),'2023DATA'!$M$22,"")</f>
        <v/>
      </c>
      <c r="BE215" s="520" t="str">
        <f>IF(AND(_AC3="B-737-900",'2023'!$I$4="FO",'2023'!$I$2=BE195),'2023DATA'!$N$22,"")</f>
        <v/>
      </c>
      <c r="BF215" s="940"/>
      <c r="BG215" s="13" t="s">
        <v>62</v>
      </c>
      <c r="BH215" s="518" t="str">
        <f>IF(AND(_AC4="B-737-900",'2023'!$I$4="FO",'2023'!$I$2=BH195),'2023DATA'!$C$22,"")</f>
        <v/>
      </c>
      <c r="BI215" s="518" t="str">
        <f>IF(AND(_AC4="B-737-900",'2023'!$I$4="FO",'2023'!$I$2=BI195),'2023DATA'!$D$22,"")</f>
        <v/>
      </c>
      <c r="BJ215" s="518" t="str">
        <f>IF(AND(_AC4="B-737-900",'2023'!$I$4="FO",'2023'!$I$2=BJ195),'2023DATA'!$E$22,"")</f>
        <v/>
      </c>
      <c r="BK215" s="518" t="str">
        <f>IF(AND(_AC4="B-737-900",'2023'!$I$4="FO",'2023'!$I$2=BK195),'2023DATA'!$F$22,"")</f>
        <v/>
      </c>
      <c r="BL215" s="518" t="str">
        <f>IF(AND(_AC4="B-737-900",'2023'!$I$4="FO",'2023'!$I$2=BL195),'2023DATA'!$G$22,"")</f>
        <v/>
      </c>
      <c r="BM215" s="518" t="str">
        <f>IF(AND(_AC4="B-737-900",'2023'!$I$4="FO",'2023'!$I$2=BM195),'2023DATA'!$H$22,"")</f>
        <v/>
      </c>
      <c r="BN215" s="518" t="str">
        <f>IF(AND(_AC4="B-737-900",'2023'!$I$4="FO",'2023'!$I$2=BN195),'2023DATA'!$I$22,"")</f>
        <v/>
      </c>
      <c r="BO215" s="518" t="str">
        <f>IF(AND(_AC4="B-737-900",'2023'!$I$4="FO",'2023'!$I$2=BO195),'2023DATA'!$J$22,"")</f>
        <v/>
      </c>
      <c r="BP215" s="518" t="str">
        <f>IF(AND(_AC4="B-737-900",'2023'!$I$4="FO",'2023'!$I$2=BP195),'2023DATA'!$K$22,"")</f>
        <v/>
      </c>
      <c r="BQ215" s="518" t="str">
        <f>IF(AND(_AC4="B-737-900",'2023'!$I$4="FO",'2023'!$I$2=BQ195),'2023DATA'!$L$22,"")</f>
        <v/>
      </c>
      <c r="BR215" s="518" t="str">
        <f>IF(AND(_AC4="B-737-900",'2023'!$I$4="FO",'2023'!$I$2=BR195),'2023DATA'!$M$22,"")</f>
        <v/>
      </c>
      <c r="BS215" s="520" t="str">
        <f>IF(AND(_AC4="B-737-900",'2023'!$I$4="FO",'2023'!$I$2=BS195),'2023DATA'!$N$22,"")</f>
        <v/>
      </c>
      <c r="BT215" s="940"/>
      <c r="BU215" s="13" t="s">
        <v>62</v>
      </c>
      <c r="BV215" s="518" t="str">
        <f>IF(AND(_AC5="B-737-900",'2023'!$I$4="FO",'2023'!$I$2=BV195),'2023DATA'!$C$22,"")</f>
        <v/>
      </c>
      <c r="BW215" s="518" t="str">
        <f>IF(AND(_AC5="B-737-900",'2023'!$I$4="FO",'2023'!$I$2=BW195),'2023DATA'!$D$22,"")</f>
        <v/>
      </c>
      <c r="BX215" s="518" t="str">
        <f>IF(AND(_AC5="B-737-900",'2023'!$I$4="FO",'2023'!$I$2=BX195),'2023DATA'!$E$22,"")</f>
        <v/>
      </c>
      <c r="BY215" s="518" t="str">
        <f>IF(AND(_AC5="B-737-900",'2023'!$I$4="FO",'2023'!$I$2=BY195),'2023DATA'!$F$22,"")</f>
        <v/>
      </c>
      <c r="BZ215" s="518" t="str">
        <f>IF(AND(_AC5="B-737-900",'2023'!$I$4="FO",'2023'!$I$2=BZ195),'2023DATA'!$G$22,"")</f>
        <v/>
      </c>
      <c r="CA215" s="518" t="str">
        <f>IF(AND(_AC5="B-737-900",'2023'!$I$4="FO",'2023'!$I$2=CA195),'2023DATA'!$H$22,"")</f>
        <v/>
      </c>
      <c r="CB215" s="518" t="str">
        <f>IF(AND(_AC5="B-737-900",'2023'!$I$4="FO",'2023'!$I$2=CB195),'2023DATA'!$I$22,"")</f>
        <v/>
      </c>
      <c r="CC215" s="518" t="str">
        <f>IF(AND(_AC5="B-737-900",'2023'!$I$4="FO",'2023'!$I$2=CC195),'2023DATA'!$J$22,"")</f>
        <v/>
      </c>
      <c r="CD215" s="518" t="str">
        <f>IF(AND(_AC5="B-737-900",'2023'!$I$4="FO",'2023'!$I$2=CD195),'2023DATA'!$K$22,"")</f>
        <v/>
      </c>
      <c r="CE215" s="518" t="str">
        <f>IF(AND(_AC5="B-737-900",'2023'!$I$4="FO",'2023'!$I$2=CE195),'2023DATA'!$L$22,"")</f>
        <v/>
      </c>
      <c r="CF215" s="518" t="str">
        <f>IF(AND(_AC5="B-737-900",'2023'!$I$4="FO",'2023'!$I$2=CF195),'2023DATA'!$M$22,"")</f>
        <v/>
      </c>
      <c r="CG215" s="520" t="str">
        <f>IF(AND(_AC5="B-737-900",'2023'!$I$4="FO",'2023'!$I$2=CG195),'2023DATA'!$N$22,"")</f>
        <v/>
      </c>
      <c r="CH215" s="940"/>
      <c r="CI215" s="13" t="s">
        <v>62</v>
      </c>
      <c r="CJ215" s="518" t="str">
        <f>IF(AND(_AC6="B-737-900",'2023'!$I$4="FO",'2023'!$I$2=CJ195),'2023DATA'!$C$22,"")</f>
        <v/>
      </c>
      <c r="CK215" s="518" t="str">
        <f>IF(AND(_AC6="B-737-900",'2023'!$I$4="FO",'2023'!$I$2=CK195),'2023DATA'!$D$22,"")</f>
        <v/>
      </c>
      <c r="CL215" s="518" t="str">
        <f>IF(AND(_AC6="B-737-900",'2023'!$I$4="FO",'2023'!$I$2=CL195),'2023DATA'!$E$22,"")</f>
        <v/>
      </c>
      <c r="CM215" s="518" t="str">
        <f>IF(AND(_AC6="B-737-900",'2023'!$I$4="FO",'2023'!$I$2=CM195),'2023DATA'!$F$22,"")</f>
        <v/>
      </c>
      <c r="CN215" s="518" t="str">
        <f>IF(AND(_AC6="B-737-900",'2023'!$I$4="FO",'2023'!$I$2=CN195),'2023DATA'!$G$22,"")</f>
        <v/>
      </c>
      <c r="CO215" s="518" t="str">
        <f>IF(AND(_AC6="B-737-900",'2023'!$I$4="FO",'2023'!$I$2=CO195),'2023DATA'!$H$22,"")</f>
        <v/>
      </c>
      <c r="CP215" s="518" t="str">
        <f>IF(AND(_AC6="B-737-900",'2023'!$I$4="FO",'2023'!$I$2=CP195),'2023DATA'!$I$22,"")</f>
        <v/>
      </c>
      <c r="CQ215" s="518" t="str">
        <f>IF(AND(_AC6="B-737-900",'2023'!$I$4="FO",'2023'!$I$2=CQ195),'2023DATA'!$J$22,"")</f>
        <v/>
      </c>
      <c r="CR215" s="518" t="str">
        <f>IF(AND(_AC6="B-737-900",'2023'!$I$4="FO",'2023'!$I$2=CR195),'2023DATA'!$K$22,"")</f>
        <v/>
      </c>
      <c r="CS215" s="518" t="str">
        <f>IF(AND(_AC6="B-737-900",'2023'!$I$4="FO",'2023'!$I$2=CS195),'2023DATA'!$L$22,"")</f>
        <v/>
      </c>
      <c r="CT215" s="518" t="str">
        <f>IF(AND(_AC6="B-737-900",'2023'!$I$4="FO",'2023'!$I$2=CT195),'2023DATA'!$M$22,"")</f>
        <v/>
      </c>
      <c r="CU215" s="520" t="str">
        <f>IF(AND(_AC6="B-737-900",'2023'!$I$4="FO",'2023'!$I$2=CU195),'2023DATA'!$N$22,"")</f>
        <v/>
      </c>
    </row>
    <row r="216" spans="16:99" x14ac:dyDescent="0.25">
      <c r="P216" s="940" t="s">
        <v>69</v>
      </c>
      <c r="Q216" s="13" t="s">
        <v>61</v>
      </c>
      <c r="R216" s="518" t="str">
        <f>IF(AND(_AC1="B-737-800",'2023'!$I$4="CA",'2023'!$I$2=R195),'2023DATA'!$C$23,"")</f>
        <v/>
      </c>
      <c r="S216" s="518" t="str">
        <f>IF(AND(_AC1="B-737-800",'2023'!$I$4="CA",'2023'!$I$2=S195),'2023DATA'!$D$23,"")</f>
        <v/>
      </c>
      <c r="T216" s="518" t="str">
        <f>IF(AND(_AC1="B-737-800",'2023'!$I$4="CA",'2023'!$I$2=T195),'2023DATA'!$E$23,"")</f>
        <v/>
      </c>
      <c r="U216" s="518" t="str">
        <f>IF(AND(_AC1="B-737-800",'2023'!$I$4="CA",'2023'!$I$2=U195),'2023DATA'!$F$23,"")</f>
        <v/>
      </c>
      <c r="V216" s="518" t="str">
        <f>IF(AND(_AC1="B-737-800",'2023'!$I$4="CA",'2023'!$I$2=V195),'2023DATA'!$G$23,"")</f>
        <v/>
      </c>
      <c r="W216" s="518" t="str">
        <f>IF(AND(_AC1="B-737-800",'2023'!$I$4="CA",'2023'!$I$2=W195),'2023DATA'!$H$23,"")</f>
        <v/>
      </c>
      <c r="X216" s="518" t="str">
        <f>IF(AND(_AC1="B-737-800",'2023'!$I$4="CA",'2023'!$I$2=X195),'2023DATA'!$I$23,"")</f>
        <v/>
      </c>
      <c r="Y216" s="518" t="str">
        <f>IF(AND(_AC1="B-737-800",'2023'!$I$4="CA",'2023'!$I$2=Y195),'2023DATA'!$J$23,"")</f>
        <v/>
      </c>
      <c r="Z216" s="518" t="str">
        <f>IF(AND(_AC1="B-737-800",'2023'!$I$4="CA",'2023'!$I$2=Z195),'2023DATA'!$K$23,"")</f>
        <v/>
      </c>
      <c r="AA216" s="518" t="str">
        <f>IF(AND(_AC1="B-737-800",'2023'!$I$4="CA",'2023'!$I$2=AA195),'2023DATA'!$L$23,"")</f>
        <v/>
      </c>
      <c r="AB216" s="518" t="str">
        <f>IF(AND(_AC1="B-737-800",'2023'!$I$4="CA",'2023'!$I$2=AB195),'2023DATA'!$M$23,"")</f>
        <v/>
      </c>
      <c r="AC216" s="520" t="str">
        <f>IF(AND(_AC1="B-737-800",'2023'!$I$4="CA",'2023'!$I$2=AC195),'2023DATA'!$N$23,"")</f>
        <v/>
      </c>
      <c r="AD216" s="940" t="s">
        <v>69</v>
      </c>
      <c r="AE216" s="13" t="s">
        <v>61</v>
      </c>
      <c r="AF216" s="518" t="str">
        <f>IF(AND(_AC2="B-737-800",'2023'!$I$4="CA",'2023'!$I$2=AF195),'2023DATA'!$C$23,"")</f>
        <v/>
      </c>
      <c r="AG216" s="518" t="str">
        <f>IF(AND(_AC2="B-737-800",'2023'!$I$4="CA",'2023'!$I$2=AG195),'2023DATA'!$D$23,"")</f>
        <v/>
      </c>
      <c r="AH216" s="518" t="str">
        <f>IF(AND(_AC2="B-737-800",'2023'!$I$4="CA",'2023'!$I$2=AH195),'2023DATA'!$E$23,"")</f>
        <v/>
      </c>
      <c r="AI216" s="518" t="str">
        <f>IF(AND(_AC2="B-737-800",'2023'!$I$4="CA",'2023'!$I$2=AI195),'2023DATA'!$F$23,"")</f>
        <v/>
      </c>
      <c r="AJ216" s="518" t="str">
        <f>IF(AND(_AC2="B-737-800",'2023'!$I$4="CA",'2023'!$I$2=AJ195),'2023DATA'!$G$23,"")</f>
        <v/>
      </c>
      <c r="AK216" s="518" t="str">
        <f>IF(AND(_AC2="B-737-800",'2023'!$I$4="CA",'2023'!$I$2=AK195),'2023DATA'!$H$23,"")</f>
        <v/>
      </c>
      <c r="AL216" s="518" t="str">
        <f>IF(AND(_AC2="B-737-800",'2023'!$I$4="CA",'2023'!$I$2=AL195),'2023DATA'!$I$23,"")</f>
        <v/>
      </c>
      <c r="AM216" s="518" t="str">
        <f>IF(AND(_AC2="B-737-800",'2023'!$I$4="CA",'2023'!$I$2=AM195),'2023DATA'!$J$23,"")</f>
        <v/>
      </c>
      <c r="AN216" s="518" t="str">
        <f>IF(AND(_AC2="B-737-800",'2023'!$I$4="CA",'2023'!$I$2=AN195),'2023DATA'!$K$23,"")</f>
        <v/>
      </c>
      <c r="AO216" s="518" t="str">
        <f>IF(AND(_AC2="B-737-800",'2023'!$I$4="CA",'2023'!$I$2=AO195),'2023DATA'!$L$23,"")</f>
        <v/>
      </c>
      <c r="AP216" s="518" t="str">
        <f>IF(AND(_AC2="B-737-800",'2023'!$I$4="CA",'2023'!$I$2=AP195),'2023DATA'!$M$23,"")</f>
        <v/>
      </c>
      <c r="AQ216" s="520" t="str">
        <f>IF(AND(_AC2="B-737-800",'2023'!$I$4="CA",'2023'!$I$2=AQ195),'2023DATA'!$N$23,"")</f>
        <v/>
      </c>
      <c r="AR216" s="940" t="s">
        <v>69</v>
      </c>
      <c r="AS216" s="13" t="s">
        <v>61</v>
      </c>
      <c r="AT216" s="518" t="str">
        <f>IF(AND(_AC3="B-737-800",'2023'!$I$4="CA",'2023'!$I$2=AT195),'2023DATA'!$C$23,"")</f>
        <v/>
      </c>
      <c r="AU216" s="518" t="str">
        <f>IF(AND(_AC3="B-737-800",'2023'!$I$4="CA",'2023'!$I$2=AU195),'2023DATA'!$D$23,"")</f>
        <v/>
      </c>
      <c r="AV216" s="518" t="str">
        <f>IF(AND(_AC3="B-737-800",'2023'!$I$4="CA",'2023'!$I$2=AV195),'2023DATA'!$E$23,"")</f>
        <v/>
      </c>
      <c r="AW216" s="518" t="str">
        <f>IF(AND(_AC3="B-737-800",'2023'!$I$4="CA",'2023'!$I$2=AW195),'2023DATA'!$F$23,"")</f>
        <v/>
      </c>
      <c r="AX216" s="518" t="str">
        <f>IF(AND(_AC3="B-737-800",'2023'!$I$4="CA",'2023'!$I$2=AX195),'2023DATA'!$G$23,"")</f>
        <v/>
      </c>
      <c r="AY216" s="518" t="str">
        <f>IF(AND(_AC3="B-737-800",'2023'!$I$4="CA",'2023'!$I$2=AY195),'2023DATA'!$H$23,"")</f>
        <v/>
      </c>
      <c r="AZ216" s="518" t="str">
        <f>IF(AND(_AC3="B-737-800",'2023'!$I$4="CA",'2023'!$I$2=AZ195),'2023DATA'!$I$23,"")</f>
        <v/>
      </c>
      <c r="BA216" s="518" t="str">
        <f>IF(AND(_AC3="B-737-800",'2023'!$I$4="CA",'2023'!$I$2=BA195),'2023DATA'!$J$23,"")</f>
        <v/>
      </c>
      <c r="BB216" s="518" t="str">
        <f>IF(AND(_AC3="B-737-800",'2023'!$I$4="CA",'2023'!$I$2=BB195),'2023DATA'!$K$23,"")</f>
        <v/>
      </c>
      <c r="BC216" s="518" t="str">
        <f>IF(AND(_AC3="B-737-800",'2023'!$I$4="CA",'2023'!$I$2=BC195),'2023DATA'!$L$23,"")</f>
        <v/>
      </c>
      <c r="BD216" s="518" t="str">
        <f>IF(AND(_AC3="B-737-800",'2023'!$I$4="CA",'2023'!$I$2=BD195),'2023DATA'!$M$23,"")</f>
        <v/>
      </c>
      <c r="BE216" s="520" t="str">
        <f>IF(AND(_AC3="B-737-800",'2023'!$I$4="CA",'2023'!$I$2=BE195),'2023DATA'!$N$23,"")</f>
        <v/>
      </c>
      <c r="BF216" s="940" t="s">
        <v>69</v>
      </c>
      <c r="BG216" s="13" t="s">
        <v>61</v>
      </c>
      <c r="BH216" s="518" t="str">
        <f>IF(AND(_AC4="B-737-800",'2023'!$I$4="CA",'2023'!$I$2=BH195),'2023DATA'!$C$23,"")</f>
        <v/>
      </c>
      <c r="BI216" s="518" t="str">
        <f>IF(AND(_AC4="B-737-800",'2023'!$I$4="CA",'2023'!$I$2=BI195),'2023DATA'!$D$23,"")</f>
        <v/>
      </c>
      <c r="BJ216" s="518" t="str">
        <f>IF(AND(_AC4="B-737-800",'2023'!$I$4="CA",'2023'!$I$2=BJ195),'2023DATA'!$E$23,"")</f>
        <v/>
      </c>
      <c r="BK216" s="518" t="str">
        <f>IF(AND(_AC4="B-737-800",'2023'!$I$4="CA",'2023'!$I$2=BK195),'2023DATA'!$F$23,"")</f>
        <v/>
      </c>
      <c r="BL216" s="518" t="str">
        <f>IF(AND(_AC4="B-737-800",'2023'!$I$4="CA",'2023'!$I$2=BL195),'2023DATA'!$G$23,"")</f>
        <v/>
      </c>
      <c r="BM216" s="518" t="str">
        <f>IF(AND(_AC4="B-737-800",'2023'!$I$4="CA",'2023'!$I$2=BM195),'2023DATA'!$H$23,"")</f>
        <v/>
      </c>
      <c r="BN216" s="518" t="str">
        <f>IF(AND(_AC4="B-737-800",'2023'!$I$4="CA",'2023'!$I$2=BN195),'2023DATA'!$I$23,"")</f>
        <v/>
      </c>
      <c r="BO216" s="518" t="str">
        <f>IF(AND(_AC4="B-737-800",'2023'!$I$4="CA",'2023'!$I$2=BO195),'2023DATA'!$J$23,"")</f>
        <v/>
      </c>
      <c r="BP216" s="518" t="str">
        <f>IF(AND(_AC4="B-737-800",'2023'!$I$4="CA",'2023'!$I$2=BP195),'2023DATA'!$K$23,"")</f>
        <v/>
      </c>
      <c r="BQ216" s="518" t="str">
        <f>IF(AND(_AC4="B-737-800",'2023'!$I$4="CA",'2023'!$I$2=BQ195),'2023DATA'!$L$23,"")</f>
        <v/>
      </c>
      <c r="BR216" s="518" t="str">
        <f>IF(AND(_AC4="B-737-800",'2023'!$I$4="CA",'2023'!$I$2=BR195),'2023DATA'!$M$23,"")</f>
        <v/>
      </c>
      <c r="BS216" s="520" t="str">
        <f>IF(AND(_AC4="B-737-800",'2023'!$I$4="CA",'2023'!$I$2=BS195),'2023DATA'!$N$23,"")</f>
        <v/>
      </c>
      <c r="BT216" s="940" t="s">
        <v>69</v>
      </c>
      <c r="BU216" s="13" t="s">
        <v>61</v>
      </c>
      <c r="BV216" s="518" t="str">
        <f>IF(AND(_AC5="B-737-800",'2023'!$I$4="CA",'2023'!$I$2=BV195),'2023DATA'!$C$23,"")</f>
        <v/>
      </c>
      <c r="BW216" s="518" t="str">
        <f>IF(AND(_AC5="B-737-800",'2023'!$I$4="CA",'2023'!$I$2=BW195),'2023DATA'!$D$23,"")</f>
        <v/>
      </c>
      <c r="BX216" s="518" t="str">
        <f>IF(AND(_AC5="B-737-800",'2023'!$I$4="CA",'2023'!$I$2=BX195),'2023DATA'!$E$23,"")</f>
        <v/>
      </c>
      <c r="BY216" s="518" t="str">
        <f>IF(AND(_AC5="B-737-800",'2023'!$I$4="CA",'2023'!$I$2=BY195),'2023DATA'!$F$23,"")</f>
        <v/>
      </c>
      <c r="BZ216" s="518" t="str">
        <f>IF(AND(_AC5="B-737-800",'2023'!$I$4="CA",'2023'!$I$2=BZ195),'2023DATA'!$G$23,"")</f>
        <v/>
      </c>
      <c r="CA216" s="518" t="str">
        <f>IF(AND(_AC5="B-737-800",'2023'!$I$4="CA",'2023'!$I$2=CA195),'2023DATA'!$H$23,"")</f>
        <v/>
      </c>
      <c r="CB216" s="518" t="str">
        <f>IF(AND(_AC5="B-737-800",'2023'!$I$4="CA",'2023'!$I$2=CB195),'2023DATA'!$I$23,"")</f>
        <v/>
      </c>
      <c r="CC216" s="518" t="str">
        <f>IF(AND(_AC5="B-737-800",'2023'!$I$4="CA",'2023'!$I$2=CC195),'2023DATA'!$J$23,"")</f>
        <v/>
      </c>
      <c r="CD216" s="518" t="str">
        <f>IF(AND(_AC5="B-737-800",'2023'!$I$4="CA",'2023'!$I$2=CD195),'2023DATA'!$K$23,"")</f>
        <v/>
      </c>
      <c r="CE216" s="518" t="str">
        <f>IF(AND(_AC5="B-737-800",'2023'!$I$4="CA",'2023'!$I$2=CE195),'2023DATA'!$L$23,"")</f>
        <v/>
      </c>
      <c r="CF216" s="518" t="str">
        <f>IF(AND(_AC5="B-737-800",'2023'!$I$4="CA",'2023'!$I$2=CF195),'2023DATA'!$M$23,"")</f>
        <v/>
      </c>
      <c r="CG216" s="520" t="str">
        <f>IF(AND(_AC5="B-737-800",'2023'!$I$4="CA",'2023'!$I$2=CG195),'2023DATA'!$N$23,"")</f>
        <v/>
      </c>
      <c r="CH216" s="940" t="s">
        <v>69</v>
      </c>
      <c r="CI216" s="13" t="s">
        <v>61</v>
      </c>
      <c r="CJ216" s="518" t="str">
        <f>IF(AND(_AC6="B-737-800",'2023'!$I$4="CA",'2023'!$I$2=CJ195),'2023DATA'!$C$23,"")</f>
        <v/>
      </c>
      <c r="CK216" s="518" t="str">
        <f>IF(AND(_AC6="B-737-800",'2023'!$I$4="CA",'2023'!$I$2=CK195),'2023DATA'!$D$23,"")</f>
        <v/>
      </c>
      <c r="CL216" s="518" t="str">
        <f>IF(AND(_AC6="B-737-800",'2023'!$I$4="CA",'2023'!$I$2=CL195),'2023DATA'!$E$23,"")</f>
        <v/>
      </c>
      <c r="CM216" s="518" t="str">
        <f>IF(AND(_AC6="B-737-800",'2023'!$I$4="CA",'2023'!$I$2=CM195),'2023DATA'!$F$23,"")</f>
        <v/>
      </c>
      <c r="CN216" s="518" t="str">
        <f>IF(AND(_AC6="B-737-800",'2023'!$I$4="CA",'2023'!$I$2=CN195),'2023DATA'!$G$23,"")</f>
        <v/>
      </c>
      <c r="CO216" s="518" t="str">
        <f>IF(AND(_AC6="B-737-800",'2023'!$I$4="CA",'2023'!$I$2=CO195),'2023DATA'!$H$23,"")</f>
        <v/>
      </c>
      <c r="CP216" s="518" t="str">
        <f>IF(AND(_AC6="B-737-800",'2023'!$I$4="CA",'2023'!$I$2=CP195),'2023DATA'!$I$23,"")</f>
        <v/>
      </c>
      <c r="CQ216" s="518" t="str">
        <f>IF(AND(_AC6="B-737-800",'2023'!$I$4="CA",'2023'!$I$2=CQ195),'2023DATA'!$J$23,"")</f>
        <v/>
      </c>
      <c r="CR216" s="518" t="str">
        <f>IF(AND(_AC6="B-737-800",'2023'!$I$4="CA",'2023'!$I$2=CR195),'2023DATA'!$K$23,"")</f>
        <v/>
      </c>
      <c r="CS216" s="518" t="str">
        <f>IF(AND(_AC6="B-737-800",'2023'!$I$4="CA",'2023'!$I$2=CS195),'2023DATA'!$L$23,"")</f>
        <v/>
      </c>
      <c r="CT216" s="518" t="str">
        <f>IF(AND(_AC6="B-737-800",'2023'!$I$4="CA",'2023'!$I$2=CT195),'2023DATA'!$M$23,"")</f>
        <v/>
      </c>
      <c r="CU216" s="520" t="str">
        <f>IF(AND(_AC6="B-737-800",'2023'!$I$4="CA",'2023'!$I$2=CU195),'2023DATA'!$N$23,"")</f>
        <v/>
      </c>
    </row>
    <row r="217" spans="16:99" x14ac:dyDescent="0.25">
      <c r="P217" s="940"/>
      <c r="Q217" s="13" t="s">
        <v>62</v>
      </c>
      <c r="R217" s="518" t="str">
        <f>IF(AND(_AC1="B-737-800",'2023'!$I$4="FO",'2023'!$I$2=R195),'2023DATA'!$C$24,"")</f>
        <v/>
      </c>
      <c r="S217" s="518" t="str">
        <f>IF(AND(_AC1="B-737-800",'2023'!$I$4="FO",'2023'!$I$2=S195),'2023DATA'!$D$24,"")</f>
        <v/>
      </c>
      <c r="T217" s="518" t="str">
        <f>IF(AND(_AC1="B-737-800",'2023'!$I$4="FO",'2023'!$I$2=T195),'2023DATA'!$E$24,"")</f>
        <v/>
      </c>
      <c r="U217" s="518" t="str">
        <f>IF(AND(_AC1="B-737-800",'2023'!$I$4="FO",'2023'!$I$2=U195),'2023DATA'!$F$24,"")</f>
        <v/>
      </c>
      <c r="V217" s="518" t="str">
        <f>IF(AND(_AC1="B-737-800",'2023'!$I$4="FO",'2023'!$I$2=V195),'2023DATA'!$G$24,"")</f>
        <v/>
      </c>
      <c r="W217" s="518" t="str">
        <f>IF(AND(_AC1="B-737-800",'2023'!$I$4="FO",'2023'!$I$2=W195),'2023DATA'!$H$24,"")</f>
        <v/>
      </c>
      <c r="X217" s="518" t="str">
        <f>IF(AND(_AC1="B-737-800",'2023'!$I$4="FO",'2023'!$I$2=X195),'2023DATA'!$I$24,"")</f>
        <v/>
      </c>
      <c r="Y217" s="518" t="str">
        <f>IF(AND(_AC1="B-737-800",'2023'!$I$4="FO",'2023'!$I$2=Y195),'2023DATA'!$J$24,"")</f>
        <v/>
      </c>
      <c r="Z217" s="518" t="str">
        <f>IF(AND(_AC1="B-737-800",'2023'!$I$4="FO",'2023'!$I$2=Z195),'2023DATA'!$K$24,"")</f>
        <v/>
      </c>
      <c r="AA217" s="518" t="str">
        <f>IF(AND(_AC1="B-737-800",'2023'!$I$4="FO",'2023'!$I$2=AA195),'2023DATA'!$L$24,"")</f>
        <v/>
      </c>
      <c r="AB217" s="518" t="str">
        <f>IF(AND(_AC1="B-737-800",'2023'!$I$4="FO",'2023'!$I$2=AB195),'2023DATA'!$M$24,"")</f>
        <v/>
      </c>
      <c r="AC217" s="520" t="str">
        <f>IF(AND(_AC1="B-737-800",'2023'!$I$4="FO",'2023'!$I$2=AC195),'2023DATA'!$N$24,"")</f>
        <v/>
      </c>
      <c r="AD217" s="940"/>
      <c r="AE217" s="13" t="s">
        <v>62</v>
      </c>
      <c r="AF217" s="518" t="str">
        <f>IF(AND(_AC2="B-737-800",'2023'!$I$4="FO",'2023'!$I$2=AF195),'2023DATA'!$C$24,"")</f>
        <v/>
      </c>
      <c r="AG217" s="518" t="str">
        <f>IF(AND(_AC2="B-737-800",'2023'!$I$4="FO",'2023'!$I$2=AG195),'2023DATA'!$D$24,"")</f>
        <v/>
      </c>
      <c r="AH217" s="518" t="str">
        <f>IF(AND(_AC2="B-737-800",'2023'!$I$4="FO",'2023'!$I$2=AH195),'2023DATA'!$E$24,"")</f>
        <v/>
      </c>
      <c r="AI217" s="518" t="str">
        <f>IF(AND(_AC2="B-737-800",'2023'!$I$4="FO",'2023'!$I$2=AI195),'2023DATA'!$F$24,"")</f>
        <v/>
      </c>
      <c r="AJ217" s="518" t="str">
        <f>IF(AND(_AC2="B-737-800",'2023'!$I$4="FO",'2023'!$I$2=AJ195),'2023DATA'!$G$24,"")</f>
        <v/>
      </c>
      <c r="AK217" s="518" t="str">
        <f>IF(AND(_AC2="B-737-800",'2023'!$I$4="FO",'2023'!$I$2=AK195),'2023DATA'!$H$24,"")</f>
        <v/>
      </c>
      <c r="AL217" s="518" t="str">
        <f>IF(AND(_AC2="B-737-800",'2023'!$I$4="FO",'2023'!$I$2=AL195),'2023DATA'!$I$24,"")</f>
        <v/>
      </c>
      <c r="AM217" s="518" t="str">
        <f>IF(AND(_AC2="B-737-800",'2023'!$I$4="FO",'2023'!$I$2=AM195),'2023DATA'!$J$24,"")</f>
        <v/>
      </c>
      <c r="AN217" s="518" t="str">
        <f>IF(AND(_AC2="B-737-800",'2023'!$I$4="FO",'2023'!$I$2=AN195),'2023DATA'!$K$24,"")</f>
        <v/>
      </c>
      <c r="AO217" s="518" t="str">
        <f>IF(AND(_AC2="B-737-800",'2023'!$I$4="FO",'2023'!$I$2=AO195),'2023DATA'!$L$24,"")</f>
        <v/>
      </c>
      <c r="AP217" s="518" t="str">
        <f>IF(AND(_AC2="B-737-800",'2023'!$I$4="FO",'2023'!$I$2=AP195),'2023DATA'!$M$24,"")</f>
        <v/>
      </c>
      <c r="AQ217" s="520" t="str">
        <f>IF(AND(_AC2="B-737-800",'2023'!$I$4="FO",'2023'!$I$2=AQ195),'2023DATA'!$N$24,"")</f>
        <v/>
      </c>
      <c r="AR217" s="940"/>
      <c r="AS217" s="13" t="s">
        <v>62</v>
      </c>
      <c r="AT217" s="518" t="str">
        <f>IF(AND(_AC3="B-737-800",'2023'!$I$4="FO",'2023'!$I$2=AT195),'2023DATA'!$C$24,"")</f>
        <v/>
      </c>
      <c r="AU217" s="518" t="str">
        <f>IF(AND(_AC3="B-737-800",'2023'!$I$4="FO",'2023'!$I$2=AU195),'2023DATA'!$D$24,"")</f>
        <v/>
      </c>
      <c r="AV217" s="518" t="str">
        <f>IF(AND(_AC3="B-737-800",'2023'!$I$4="FO",'2023'!$I$2=AV195),'2023DATA'!$E$24,"")</f>
        <v/>
      </c>
      <c r="AW217" s="518" t="str">
        <f>IF(AND(_AC3="B-737-800",'2023'!$I$4="FO",'2023'!$I$2=AW195),'2023DATA'!$F$24,"")</f>
        <v/>
      </c>
      <c r="AX217" s="518" t="str">
        <f>IF(AND(_AC3="B-737-800",'2023'!$I$4="FO",'2023'!$I$2=AX195),'2023DATA'!$G$24,"")</f>
        <v/>
      </c>
      <c r="AY217" s="518" t="str">
        <f>IF(AND(_AC3="B-737-800",'2023'!$I$4="FO",'2023'!$I$2=AY195),'2023DATA'!$H$24,"")</f>
        <v/>
      </c>
      <c r="AZ217" s="518" t="str">
        <f>IF(AND(_AC3="B-737-800",'2023'!$I$4="FO",'2023'!$I$2=AZ195),'2023DATA'!$I$24,"")</f>
        <v/>
      </c>
      <c r="BA217" s="518" t="str">
        <f>IF(AND(_AC3="B-737-800",'2023'!$I$4="FO",'2023'!$I$2=BA195),'2023DATA'!$J$24,"")</f>
        <v/>
      </c>
      <c r="BB217" s="518" t="str">
        <f>IF(AND(_AC3="B-737-800",'2023'!$I$4="FO",'2023'!$I$2=BB195),'2023DATA'!$K$24,"")</f>
        <v/>
      </c>
      <c r="BC217" s="518" t="str">
        <f>IF(AND(_AC3="B-737-800",'2023'!$I$4="FO",'2023'!$I$2=BC195),'2023DATA'!$L$24,"")</f>
        <v/>
      </c>
      <c r="BD217" s="518" t="str">
        <f>IF(AND(_AC3="B-737-800",'2023'!$I$4="FO",'2023'!$I$2=BD195),'2023DATA'!$M$24,"")</f>
        <v/>
      </c>
      <c r="BE217" s="520" t="str">
        <f>IF(AND(_AC3="B-737-800",'2023'!$I$4="FO",'2023'!$I$2=BE195),'2023DATA'!$N$24,"")</f>
        <v/>
      </c>
      <c r="BF217" s="940"/>
      <c r="BG217" s="13" t="s">
        <v>62</v>
      </c>
      <c r="BH217" s="518" t="str">
        <f>IF(AND(_AC4="B-737-800",'2023'!$I$4="FO",'2023'!$I$2=BH195),'2023DATA'!$C$24,"")</f>
        <v/>
      </c>
      <c r="BI217" s="518" t="str">
        <f>IF(AND(_AC4="B-737-800",'2023'!$I$4="FO",'2023'!$I$2=BI195),'2023DATA'!$D$24,"")</f>
        <v/>
      </c>
      <c r="BJ217" s="518" t="str">
        <f>IF(AND(_AC4="B-737-800",'2023'!$I$4="FO",'2023'!$I$2=BJ195),'2023DATA'!$E$24,"")</f>
        <v/>
      </c>
      <c r="BK217" s="518" t="str">
        <f>IF(AND(_AC4="B-737-800",'2023'!$I$4="FO",'2023'!$I$2=BK195),'2023DATA'!$F$24,"")</f>
        <v/>
      </c>
      <c r="BL217" s="518" t="str">
        <f>IF(AND(_AC4="B-737-800",'2023'!$I$4="FO",'2023'!$I$2=BL195),'2023DATA'!$G$24,"")</f>
        <v/>
      </c>
      <c r="BM217" s="518" t="str">
        <f>IF(AND(_AC4="B-737-800",'2023'!$I$4="FO",'2023'!$I$2=BM195),'2023DATA'!$H$24,"")</f>
        <v/>
      </c>
      <c r="BN217" s="518" t="str">
        <f>IF(AND(_AC4="B-737-800",'2023'!$I$4="FO",'2023'!$I$2=BN195),'2023DATA'!$I$24,"")</f>
        <v/>
      </c>
      <c r="BO217" s="518" t="str">
        <f>IF(AND(_AC4="B-737-800",'2023'!$I$4="FO",'2023'!$I$2=BO195),'2023DATA'!$J$24,"")</f>
        <v/>
      </c>
      <c r="BP217" s="518" t="str">
        <f>IF(AND(_AC4="B-737-800",'2023'!$I$4="FO",'2023'!$I$2=BP195),'2023DATA'!$K$24,"")</f>
        <v/>
      </c>
      <c r="BQ217" s="518" t="str">
        <f>IF(AND(_AC4="B-737-800",'2023'!$I$4="FO",'2023'!$I$2=BQ195),'2023DATA'!$L$24,"")</f>
        <v/>
      </c>
      <c r="BR217" s="518" t="str">
        <f>IF(AND(_AC4="B-737-800",'2023'!$I$4="FO",'2023'!$I$2=BR195),'2023DATA'!$M$24,"")</f>
        <v/>
      </c>
      <c r="BS217" s="520" t="str">
        <f>IF(AND(_AC4="B-737-800",'2023'!$I$4="FO",'2023'!$I$2=BS195),'2023DATA'!$N$24,"")</f>
        <v/>
      </c>
      <c r="BT217" s="940"/>
      <c r="BU217" s="13" t="s">
        <v>62</v>
      </c>
      <c r="BV217" s="518" t="str">
        <f>IF(AND(_AC5="B-737-800",'2023'!$I$4="FO",'2023'!$I$2=BV195),'2023DATA'!$C$24,"")</f>
        <v/>
      </c>
      <c r="BW217" s="518" t="str">
        <f>IF(AND(_AC5="B-737-800",'2023'!$I$4="FO",'2023'!$I$2=BW195),'2023DATA'!$D$24,"")</f>
        <v/>
      </c>
      <c r="BX217" s="518" t="str">
        <f>IF(AND(_AC5="B-737-800",'2023'!$I$4="FO",'2023'!$I$2=BX195),'2023DATA'!$E$24,"")</f>
        <v/>
      </c>
      <c r="BY217" s="518" t="str">
        <f>IF(AND(_AC5="B-737-800",'2023'!$I$4="FO",'2023'!$I$2=BY195),'2023DATA'!$F$24,"")</f>
        <v/>
      </c>
      <c r="BZ217" s="518" t="str">
        <f>IF(AND(_AC5="B-737-800",'2023'!$I$4="FO",'2023'!$I$2=BZ195),'2023DATA'!$G$24,"")</f>
        <v/>
      </c>
      <c r="CA217" s="518" t="str">
        <f>IF(AND(_AC5="B-737-800",'2023'!$I$4="FO",'2023'!$I$2=CA195),'2023DATA'!$H$24,"")</f>
        <v/>
      </c>
      <c r="CB217" s="518" t="str">
        <f>IF(AND(_AC5="B-737-800",'2023'!$I$4="FO",'2023'!$I$2=CB195),'2023DATA'!$I$24,"")</f>
        <v/>
      </c>
      <c r="CC217" s="518" t="str">
        <f>IF(AND(_AC5="B-737-800",'2023'!$I$4="FO",'2023'!$I$2=CC195),'2023DATA'!$J$24,"")</f>
        <v/>
      </c>
      <c r="CD217" s="518" t="str">
        <f>IF(AND(_AC5="B-737-800",'2023'!$I$4="FO",'2023'!$I$2=CD195),'2023DATA'!$K$24,"")</f>
        <v/>
      </c>
      <c r="CE217" s="518" t="str">
        <f>IF(AND(_AC5="B-737-800",'2023'!$I$4="FO",'2023'!$I$2=CE195),'2023DATA'!$L$24,"")</f>
        <v/>
      </c>
      <c r="CF217" s="518" t="str">
        <f>IF(AND(_AC5="B-737-800",'2023'!$I$4="FO",'2023'!$I$2=CF195),'2023DATA'!$M$24,"")</f>
        <v/>
      </c>
      <c r="CG217" s="520" t="str">
        <f>IF(AND(_AC5="B-737-800",'2023'!$I$4="FO",'2023'!$I$2=CG195),'2023DATA'!$N$24,"")</f>
        <v/>
      </c>
      <c r="CH217" s="940"/>
      <c r="CI217" s="13" t="s">
        <v>62</v>
      </c>
      <c r="CJ217" s="518" t="str">
        <f>IF(AND(_AC6="B-737-800",'2023'!$I$4="FO",'2023'!$I$2=CJ195),'2023DATA'!$C$24,"")</f>
        <v/>
      </c>
      <c r="CK217" s="518" t="str">
        <f>IF(AND(_AC6="B-737-800",'2023'!$I$4="FO",'2023'!$I$2=CK195),'2023DATA'!$D$24,"")</f>
        <v/>
      </c>
      <c r="CL217" s="518" t="str">
        <f>IF(AND(_AC6="B-737-800",'2023'!$I$4="FO",'2023'!$I$2=CL195),'2023DATA'!$E$24,"")</f>
        <v/>
      </c>
      <c r="CM217" s="518" t="str">
        <f>IF(AND(_AC6="B-737-800",'2023'!$I$4="FO",'2023'!$I$2=CM195),'2023DATA'!$F$24,"")</f>
        <v/>
      </c>
      <c r="CN217" s="518" t="str">
        <f>IF(AND(_AC6="B-737-800",'2023'!$I$4="FO",'2023'!$I$2=CN195),'2023DATA'!$G$24,"")</f>
        <v/>
      </c>
      <c r="CO217" s="518" t="str">
        <f>IF(AND(_AC6="B-737-800",'2023'!$I$4="FO",'2023'!$I$2=CO195),'2023DATA'!$H$24,"")</f>
        <v/>
      </c>
      <c r="CP217" s="518" t="str">
        <f>IF(AND(_AC6="B-737-800",'2023'!$I$4="FO",'2023'!$I$2=CP195),'2023DATA'!$I$24,"")</f>
        <v/>
      </c>
      <c r="CQ217" s="518" t="str">
        <f>IF(AND(_AC6="B-737-800",'2023'!$I$4="FO",'2023'!$I$2=CQ195),'2023DATA'!$J$24,"")</f>
        <v/>
      </c>
      <c r="CR217" s="518" t="str">
        <f>IF(AND(_AC6="B-737-800",'2023'!$I$4="FO",'2023'!$I$2=CR195),'2023DATA'!$K$24,"")</f>
        <v/>
      </c>
      <c r="CS217" s="518" t="str">
        <f>IF(AND(_AC6="B-737-800",'2023'!$I$4="FO",'2023'!$I$2=CS195),'2023DATA'!$L$24,"")</f>
        <v/>
      </c>
      <c r="CT217" s="518" t="str">
        <f>IF(AND(_AC6="B-737-800",'2023'!$I$4="FO",'2023'!$I$2=CT195),'2023DATA'!$M$24,"")</f>
        <v/>
      </c>
      <c r="CU217" s="520" t="str">
        <f>IF(AND(_AC6="B-737-800",'2023'!$I$4="FO",'2023'!$I$2=CU195),'2023DATA'!$N$24,"")</f>
        <v/>
      </c>
    </row>
    <row r="218" spans="16:99" x14ac:dyDescent="0.25">
      <c r="P218" s="940" t="s">
        <v>46</v>
      </c>
      <c r="Q218" s="13" t="s">
        <v>61</v>
      </c>
      <c r="R218" s="518" t="str">
        <f>IF(AND(_AC1="A-321N",'2023'!$I$4="CA",'2023'!$I$2=R195),'2023DATA'!$C$25,"")</f>
        <v/>
      </c>
      <c r="S218" s="518" t="str">
        <f>IF(AND(_AC1="A-321N",'2023'!$I$4="CA",'2023'!$I$2=S195),'2023DATA'!$D$25,"")</f>
        <v/>
      </c>
      <c r="T218" s="518" t="str">
        <f>IF(AND(_AC1="A-321N",'2023'!$I$4="CA",'2023'!$I$2=T195),'2023DATA'!$E$25,"")</f>
        <v/>
      </c>
      <c r="U218" s="518" t="str">
        <f>IF(AND(_AC1="A-321N",'2023'!$I$4="CA",'2023'!$I$2=U195),'2023DATA'!$F$25,"")</f>
        <v/>
      </c>
      <c r="V218" s="518" t="str">
        <f>IF(AND(_AC1="A-321N",'2023'!$I$4="CA",'2023'!$I$2=V195),'2023DATA'!$G$25,"")</f>
        <v/>
      </c>
      <c r="W218" s="518" t="str">
        <f>IF(AND(_AC1="A-321N",'2023'!$I$4="CA",'2023'!$I$2=W195),'2023DATA'!$H$25,"")</f>
        <v/>
      </c>
      <c r="X218" s="518" t="str">
        <f>IF(AND(_AC1="A-321N",'2023'!$I$4="CA",'2023'!$I$2=X195),'2023DATA'!$I$25,"")</f>
        <v/>
      </c>
      <c r="Y218" s="518" t="str">
        <f>IF(AND(_AC1="A-321N",'2023'!$I$4="CA",'2023'!$I$2=Y195),'2023DATA'!$J$25,"")</f>
        <v/>
      </c>
      <c r="Z218" s="518" t="str">
        <f>IF(AND(_AC1="A-321N",'2023'!$I$4="CA",'2023'!$I$2=Z195),'2023DATA'!$K$25,"")</f>
        <v/>
      </c>
      <c r="AA218" s="518" t="str">
        <f>IF(AND(_AC1="A-321N",'2023'!$I$4="CA",'2023'!$I$2=AA195),'2023DATA'!$L$25,"")</f>
        <v/>
      </c>
      <c r="AB218" s="518" t="str">
        <f>IF(AND(_AC1="A-321N",'2023'!$I$4="CA",'2023'!$I$2=AB195),'2023DATA'!$M$25,"")</f>
        <v/>
      </c>
      <c r="AC218" s="520" t="str">
        <f>IF(AND(_AC1="A-321N",'2023'!$I$4="CA",'2023'!$I$2=AC195),'2023DATA'!$N$25,"")</f>
        <v/>
      </c>
      <c r="AD218" s="940" t="s">
        <v>46</v>
      </c>
      <c r="AE218" s="13" t="s">
        <v>61</v>
      </c>
      <c r="AF218" s="518" t="str">
        <f>IF(AND(_AC2="A-321N",'2023'!$I$4="CA",'2023'!$I$2=AF195),'2023DATA'!$C$25,"")</f>
        <v/>
      </c>
      <c r="AG218" s="518" t="str">
        <f>IF(AND(_AC2="A-321N",'2023'!$I$4="CA",'2023'!$I$2=AG195),'2023DATA'!$D$25,"")</f>
        <v/>
      </c>
      <c r="AH218" s="518" t="str">
        <f>IF(AND(_AC2="A-321N",'2023'!$I$4="CA",'2023'!$I$2=AH195),'2023DATA'!$E$25,"")</f>
        <v/>
      </c>
      <c r="AI218" s="518" t="str">
        <f>IF(AND(_AC2="A-321N",'2023'!$I$4="CA",'2023'!$I$2=AI195),'2023DATA'!$F$25,"")</f>
        <v/>
      </c>
      <c r="AJ218" s="518" t="str">
        <f>IF(AND(_AC2="A-321N",'2023'!$I$4="CA",'2023'!$I$2=AJ195),'2023DATA'!$G$25,"")</f>
        <v/>
      </c>
      <c r="AK218" s="518" t="str">
        <f>IF(AND(_AC2="A-321N",'2023'!$I$4="CA",'2023'!$I$2=AK195),'2023DATA'!$H$25,"")</f>
        <v/>
      </c>
      <c r="AL218" s="518" t="str">
        <f>IF(AND(_AC2="A-321N",'2023'!$I$4="CA",'2023'!$I$2=AL195),'2023DATA'!$I$25,"")</f>
        <v/>
      </c>
      <c r="AM218" s="518" t="str">
        <f>IF(AND(_AC2="A-321N",'2023'!$I$4="CA",'2023'!$I$2=AM195),'2023DATA'!$J$25,"")</f>
        <v/>
      </c>
      <c r="AN218" s="518" t="str">
        <f>IF(AND(_AC2="A-321N",'2023'!$I$4="CA",'2023'!$I$2=AN195),'2023DATA'!$K$25,"")</f>
        <v/>
      </c>
      <c r="AO218" s="518" t="str">
        <f>IF(AND(_AC2="A-321N",'2023'!$I$4="CA",'2023'!$I$2=AO195),'2023DATA'!$L$25,"")</f>
        <v/>
      </c>
      <c r="AP218" s="518" t="str">
        <f>IF(AND(_AC2="A-321N",'2023'!$I$4="CA",'2023'!$I$2=AP195),'2023DATA'!$M$25,"")</f>
        <v/>
      </c>
      <c r="AQ218" s="520" t="str">
        <f>IF(AND(_AC2="A-321N",'2023'!$I$4="CA",'2023'!$I$2=AQ195),'2023DATA'!$N$25,"")</f>
        <v/>
      </c>
      <c r="AR218" s="940" t="s">
        <v>46</v>
      </c>
      <c r="AS218" s="13" t="s">
        <v>61</v>
      </c>
      <c r="AT218" s="518" t="str">
        <f>IF(AND(_AC3="A-321N",'2023'!$I$4="CA",'2023'!$I$2=AT195),'2023DATA'!$C$25,"")</f>
        <v/>
      </c>
      <c r="AU218" s="518" t="str">
        <f>IF(AND(_AC3="A-321N",'2023'!$I$4="CA",'2023'!$I$2=AU195),'2023DATA'!$D$25,"")</f>
        <v/>
      </c>
      <c r="AV218" s="518" t="str">
        <f>IF(AND(_AC3="A-321N",'2023'!$I$4="CA",'2023'!$I$2=AV195),'2023DATA'!$E$25,"")</f>
        <v/>
      </c>
      <c r="AW218" s="518" t="str">
        <f>IF(AND(_AC3="A-321N",'2023'!$I$4="CA",'2023'!$I$2=AW195),'2023DATA'!$F$25,"")</f>
        <v/>
      </c>
      <c r="AX218" s="518" t="str">
        <f>IF(AND(_AC3="A-321N",'2023'!$I$4="CA",'2023'!$I$2=AX195),'2023DATA'!$G$25,"")</f>
        <v/>
      </c>
      <c r="AY218" s="518" t="str">
        <f>IF(AND(_AC3="A-321N",'2023'!$I$4="CA",'2023'!$I$2=AY195),'2023DATA'!$H$25,"")</f>
        <v/>
      </c>
      <c r="AZ218" s="518" t="str">
        <f>IF(AND(_AC3="A-321N",'2023'!$I$4="CA",'2023'!$I$2=AZ195),'2023DATA'!$I$25,"")</f>
        <v/>
      </c>
      <c r="BA218" s="518" t="str">
        <f>IF(AND(_AC3="A-321N",'2023'!$I$4="CA",'2023'!$I$2=BA195),'2023DATA'!$J$25,"")</f>
        <v/>
      </c>
      <c r="BB218" s="518" t="str">
        <f>IF(AND(_AC3="A-321N",'2023'!$I$4="CA",'2023'!$I$2=BB195),'2023DATA'!$K$25,"")</f>
        <v/>
      </c>
      <c r="BC218" s="518" t="str">
        <f>IF(AND(_AC3="A-321N",'2023'!$I$4="CA",'2023'!$I$2=BC195),'2023DATA'!$L$25,"")</f>
        <v/>
      </c>
      <c r="BD218" s="518" t="str">
        <f>IF(AND(_AC3="A-321N",'2023'!$I$4="CA",'2023'!$I$2=BD195),'2023DATA'!$M$25,"")</f>
        <v/>
      </c>
      <c r="BE218" s="520" t="str">
        <f>IF(AND(_AC3="A-321N",'2023'!$I$4="CA",'2023'!$I$2=BE195),'2023DATA'!$N$25,"")</f>
        <v/>
      </c>
      <c r="BF218" s="940" t="s">
        <v>46</v>
      </c>
      <c r="BG218" s="13" t="s">
        <v>61</v>
      </c>
      <c r="BH218" s="518" t="str">
        <f>IF(AND(_AC4="A-321N",'2023'!$I$4="CA",'2023'!$I$2=BH195),'2023DATA'!$C$25,"")</f>
        <v/>
      </c>
      <c r="BI218" s="518" t="str">
        <f>IF(AND(_AC4="A-321N",'2023'!$I$4="CA",'2023'!$I$2=BI195),'2023DATA'!$D$25,"")</f>
        <v/>
      </c>
      <c r="BJ218" s="518" t="str">
        <f>IF(AND(_AC4="A-321N",'2023'!$I$4="CA",'2023'!$I$2=BJ195),'2023DATA'!$E$25,"")</f>
        <v/>
      </c>
      <c r="BK218" s="518" t="str">
        <f>IF(AND(_AC4="A-321N",'2023'!$I$4="CA",'2023'!$I$2=BK195),'2023DATA'!$F$25,"")</f>
        <v/>
      </c>
      <c r="BL218" s="518" t="str">
        <f>IF(AND(_AC4="A-321N",'2023'!$I$4="CA",'2023'!$I$2=BL195),'2023DATA'!$G$25,"")</f>
        <v/>
      </c>
      <c r="BM218" s="518" t="str">
        <f>IF(AND(_AC4="A-321N",'2023'!$I$4="CA",'2023'!$I$2=BM195),'2023DATA'!$H$25,"")</f>
        <v/>
      </c>
      <c r="BN218" s="518" t="str">
        <f>IF(AND(_AC4="A-321N",'2023'!$I$4="CA",'2023'!$I$2=BN195),'2023DATA'!$I$25,"")</f>
        <v/>
      </c>
      <c r="BO218" s="518" t="str">
        <f>IF(AND(_AC4="A-321N",'2023'!$I$4="CA",'2023'!$I$2=BO195),'2023DATA'!$J$25,"")</f>
        <v/>
      </c>
      <c r="BP218" s="518" t="str">
        <f>IF(AND(_AC4="A-321N",'2023'!$I$4="CA",'2023'!$I$2=BP195),'2023DATA'!$K$25,"")</f>
        <v/>
      </c>
      <c r="BQ218" s="518" t="str">
        <f>IF(AND(_AC4="A-321N",'2023'!$I$4="CA",'2023'!$I$2=BQ195),'2023DATA'!$L$25,"")</f>
        <v/>
      </c>
      <c r="BR218" s="518" t="str">
        <f>IF(AND(_AC4="A-321N",'2023'!$I$4="CA",'2023'!$I$2=BR195),'2023DATA'!$M$25,"")</f>
        <v/>
      </c>
      <c r="BS218" s="520" t="str">
        <f>IF(AND(_AC4="A-321N",'2023'!$I$4="CA",'2023'!$I$2=BS195),'2023DATA'!$N$25,"")</f>
        <v/>
      </c>
      <c r="BT218" s="940" t="s">
        <v>46</v>
      </c>
      <c r="BU218" s="13" t="s">
        <v>61</v>
      </c>
      <c r="BV218" s="518" t="str">
        <f>IF(AND(_AC5="A-321N",'2023'!$I$4="CA",'2023'!$I$2=BV195),'2023DATA'!$C$25,"")</f>
        <v/>
      </c>
      <c r="BW218" s="518" t="str">
        <f>IF(AND(_AC5="A-321N",'2023'!$I$4="CA",'2023'!$I$2=BW195),'2023DATA'!$D$25,"")</f>
        <v/>
      </c>
      <c r="BX218" s="518" t="str">
        <f>IF(AND(_AC5="A-321N",'2023'!$I$4="CA",'2023'!$I$2=BX195),'2023DATA'!$E$25,"")</f>
        <v/>
      </c>
      <c r="BY218" s="518" t="str">
        <f>IF(AND(_AC5="A-321N",'2023'!$I$4="CA",'2023'!$I$2=BY195),'2023DATA'!$F$25,"")</f>
        <v/>
      </c>
      <c r="BZ218" s="518" t="str">
        <f>IF(AND(_AC5="A-321N",'2023'!$I$4="CA",'2023'!$I$2=BZ195),'2023DATA'!$G$25,"")</f>
        <v/>
      </c>
      <c r="CA218" s="518" t="str">
        <f>IF(AND(_AC5="A-321N",'2023'!$I$4="CA",'2023'!$I$2=CA195),'2023DATA'!$H$25,"")</f>
        <v/>
      </c>
      <c r="CB218" s="518" t="str">
        <f>IF(AND(_AC5="A-321N",'2023'!$I$4="CA",'2023'!$I$2=CB195),'2023DATA'!$I$25,"")</f>
        <v/>
      </c>
      <c r="CC218" s="518" t="str">
        <f>IF(AND(_AC5="A-321N",'2023'!$I$4="CA",'2023'!$I$2=CC195),'2023DATA'!$J$25,"")</f>
        <v/>
      </c>
      <c r="CD218" s="518" t="str">
        <f>IF(AND(_AC5="A-321N",'2023'!$I$4="CA",'2023'!$I$2=CD195),'2023DATA'!$K$25,"")</f>
        <v/>
      </c>
      <c r="CE218" s="518" t="str">
        <f>IF(AND(_AC5="A-321N",'2023'!$I$4="CA",'2023'!$I$2=CE195),'2023DATA'!$L$25,"")</f>
        <v/>
      </c>
      <c r="CF218" s="518" t="str">
        <f>IF(AND(_AC5="A-321N",'2023'!$I$4="CA",'2023'!$I$2=CF195),'2023DATA'!$M$25,"")</f>
        <v/>
      </c>
      <c r="CG218" s="520" t="str">
        <f>IF(AND(_AC5="A-321N",'2023'!$I$4="CA",'2023'!$I$2=CG195),'2023DATA'!$N$25,"")</f>
        <v/>
      </c>
      <c r="CH218" s="940" t="s">
        <v>46</v>
      </c>
      <c r="CI218" s="13" t="s">
        <v>61</v>
      </c>
      <c r="CJ218" s="518" t="str">
        <f>IF(AND(_AC6="A-321N",'2023'!$I$4="CA",'2023'!$I$2=CJ195),'2023DATA'!$C$25,"")</f>
        <v/>
      </c>
      <c r="CK218" s="518" t="str">
        <f>IF(AND(_AC6="A-321N",'2023'!$I$4="CA",'2023'!$I$2=CK195),'2023DATA'!$D$25,"")</f>
        <v/>
      </c>
      <c r="CL218" s="518" t="str">
        <f>IF(AND(_AC6="A-321N",'2023'!$I$4="CA",'2023'!$I$2=CL195),'2023DATA'!$E$25,"")</f>
        <v/>
      </c>
      <c r="CM218" s="518" t="str">
        <f>IF(AND(_AC6="A-321N",'2023'!$I$4="CA",'2023'!$I$2=CM195),'2023DATA'!$F$25,"")</f>
        <v/>
      </c>
      <c r="CN218" s="518" t="str">
        <f>IF(AND(_AC6="A-321N",'2023'!$I$4="CA",'2023'!$I$2=CN195),'2023DATA'!$G$25,"")</f>
        <v/>
      </c>
      <c r="CO218" s="518" t="str">
        <f>IF(AND(_AC6="A-321N",'2023'!$I$4="CA",'2023'!$I$2=CO195),'2023DATA'!$H$25,"")</f>
        <v/>
      </c>
      <c r="CP218" s="518" t="str">
        <f>IF(AND(_AC6="A-321N",'2023'!$I$4="CA",'2023'!$I$2=CP195),'2023DATA'!$I$25,"")</f>
        <v/>
      </c>
      <c r="CQ218" s="518" t="str">
        <f>IF(AND(_AC6="A-321N",'2023'!$I$4="CA",'2023'!$I$2=CQ195),'2023DATA'!$J$25,"")</f>
        <v/>
      </c>
      <c r="CR218" s="518" t="str">
        <f>IF(AND(_AC6="A-321N",'2023'!$I$4="CA",'2023'!$I$2=CR195),'2023DATA'!$K$25,"")</f>
        <v/>
      </c>
      <c r="CS218" s="518" t="str">
        <f>IF(AND(_AC6="A-321N",'2023'!$I$4="CA",'2023'!$I$2=CS195),'2023DATA'!$L$25,"")</f>
        <v/>
      </c>
      <c r="CT218" s="518" t="str">
        <f>IF(AND(_AC6="A-321N",'2023'!$I$4="CA",'2023'!$I$2=CT195),'2023DATA'!$M$25,"")</f>
        <v/>
      </c>
      <c r="CU218" s="520" t="str">
        <f>IF(AND(_AC6="A-321N",'2023'!$I$4="CA",'2023'!$I$2=CU195),'2023DATA'!$N$25,"")</f>
        <v/>
      </c>
    </row>
    <row r="219" spans="16:99" x14ac:dyDescent="0.25">
      <c r="P219" s="940"/>
      <c r="Q219" s="13" t="s">
        <v>62</v>
      </c>
      <c r="R219" s="518" t="str">
        <f>IF(AND(_AC1="A-321N",'2023'!$I$4="FO",'2023'!$I$2=R195),'2023DATA'!$C$26,"")</f>
        <v/>
      </c>
      <c r="S219" s="518" t="str">
        <f>IF(AND(_AC1="A-321N",'2023'!$I$4="FO",'2023'!$I$2=S195),'2023DATA'!$D$26,"")</f>
        <v/>
      </c>
      <c r="T219" s="518" t="str">
        <f>IF(AND(_AC1="A-321N",'2023'!$I$4="FO",'2023'!$I$2=T195),'2023DATA'!$E$26,"")</f>
        <v/>
      </c>
      <c r="U219" s="518" t="str">
        <f>IF(AND(_AC1="A-321N",'2023'!$I$4="FO",'2023'!$I$2=U195),'2023DATA'!$F$26,"")</f>
        <v/>
      </c>
      <c r="V219" s="518" t="str">
        <f>IF(AND(_AC1="A-321N",'2023'!$I$4="FO",'2023'!$I$2=V195),'2023DATA'!$G$26,"")</f>
        <v/>
      </c>
      <c r="W219" s="518" t="str">
        <f>IF(AND(_AC1="A-321N",'2023'!$I$4="FO",'2023'!$I$2=W195),'2023DATA'!$H$26,"")</f>
        <v/>
      </c>
      <c r="X219" s="518" t="str">
        <f>IF(AND(_AC1="A-321N",'2023'!$I$4="FO",'2023'!$I$2=X195),'2023DATA'!$I$26,"")</f>
        <v/>
      </c>
      <c r="Y219" s="518" t="str">
        <f>IF(AND(_AC1="A-321N",'2023'!$I$4="FO",'2023'!$I$2=Y195),'2023DATA'!$J$26,"")</f>
        <v/>
      </c>
      <c r="Z219" s="518" t="str">
        <f>IF(AND(_AC1="A-321N",'2023'!$I$4="FO",'2023'!$I$2=Z195),'2023DATA'!$K$26,"")</f>
        <v/>
      </c>
      <c r="AA219" s="518" t="str">
        <f>IF(AND(_AC1="A-321N",'2023'!$I$4="FO",'2023'!$I$2=AA195),'2023DATA'!$L$26,"")</f>
        <v/>
      </c>
      <c r="AB219" s="518" t="str">
        <f>IF(AND(_AC1="A-321N",'2023'!$I$4="FO",'2023'!$I$2=AB195),'2023DATA'!$M$26,"")</f>
        <v/>
      </c>
      <c r="AC219" s="520" t="str">
        <f>IF(AND(_AC1="A-321N",'2023'!$I$4="FO",'2023'!$I$2=AC195),'2023DATA'!$N$26,"")</f>
        <v/>
      </c>
      <c r="AD219" s="940"/>
      <c r="AE219" s="13" t="s">
        <v>62</v>
      </c>
      <c r="AF219" s="518" t="str">
        <f>IF(AND(_AC2="A-321N",'2023'!$I$4="FO",'2023'!$I$2=AF195),'2023DATA'!$C$26,"")</f>
        <v/>
      </c>
      <c r="AG219" s="518" t="str">
        <f>IF(AND(_AC2="A-321N",'2023'!$I$4="FO",'2023'!$I$2=AG195),'2023DATA'!$D$26,"")</f>
        <v/>
      </c>
      <c r="AH219" s="518" t="str">
        <f>IF(AND(_AC2="A-321N",'2023'!$I$4="FO",'2023'!$I$2=AH195),'2023DATA'!$E$26,"")</f>
        <v/>
      </c>
      <c r="AI219" s="518" t="str">
        <f>IF(AND(_AC2="A-321N",'2023'!$I$4="FO",'2023'!$I$2=AI195),'2023DATA'!$F$26,"")</f>
        <v/>
      </c>
      <c r="AJ219" s="518" t="str">
        <f>IF(AND(_AC2="A-321N",'2023'!$I$4="FO",'2023'!$I$2=AJ195),'2023DATA'!$G$26,"")</f>
        <v/>
      </c>
      <c r="AK219" s="518" t="str">
        <f>IF(AND(_AC2="A-321N",'2023'!$I$4="FO",'2023'!$I$2=AK195),'2023DATA'!$H$26,"")</f>
        <v/>
      </c>
      <c r="AL219" s="518" t="str">
        <f>IF(AND(_AC2="A-321N",'2023'!$I$4="FO",'2023'!$I$2=AL195),'2023DATA'!$I$26,"")</f>
        <v/>
      </c>
      <c r="AM219" s="518" t="str">
        <f>IF(AND(_AC2="A-321N",'2023'!$I$4="FO",'2023'!$I$2=AM195),'2023DATA'!$J$26,"")</f>
        <v/>
      </c>
      <c r="AN219" s="518" t="str">
        <f>IF(AND(_AC2="A-321N",'2023'!$I$4="FO",'2023'!$I$2=AN195),'2023DATA'!$K$26,"")</f>
        <v/>
      </c>
      <c r="AO219" s="518" t="str">
        <f>IF(AND(_AC2="A-321N",'2023'!$I$4="FO",'2023'!$I$2=AO195),'2023DATA'!$L$26,"")</f>
        <v/>
      </c>
      <c r="AP219" s="518" t="str">
        <f>IF(AND(_AC2="A-321N",'2023'!$I$4="FO",'2023'!$I$2=AP195),'2023DATA'!$M$26,"")</f>
        <v/>
      </c>
      <c r="AQ219" s="520" t="str">
        <f>IF(AND(_AC2="A-321N",'2023'!$I$4="FO",'2023'!$I$2=AQ195),'2023DATA'!$N$26,"")</f>
        <v/>
      </c>
      <c r="AR219" s="940"/>
      <c r="AS219" s="13" t="s">
        <v>62</v>
      </c>
      <c r="AT219" s="518" t="str">
        <f>IF(AND(_AC3="A-321N",'2023'!$I$4="FO",'2023'!$I$2=AT195),'2023DATA'!$C$26,"")</f>
        <v/>
      </c>
      <c r="AU219" s="518" t="str">
        <f>IF(AND(_AC3="A-321N",'2023'!$I$4="FO",'2023'!$I$2=AU195),'2023DATA'!$D$26,"")</f>
        <v/>
      </c>
      <c r="AV219" s="518" t="str">
        <f>IF(AND(_AC3="A-321N",'2023'!$I$4="FO",'2023'!$I$2=AV195),'2023DATA'!$E$26,"")</f>
        <v/>
      </c>
      <c r="AW219" s="518" t="str">
        <f>IF(AND(_AC3="A-321N",'2023'!$I$4="FO",'2023'!$I$2=AW195),'2023DATA'!$F$26,"")</f>
        <v/>
      </c>
      <c r="AX219" s="518" t="str">
        <f>IF(AND(_AC3="A-321N",'2023'!$I$4="FO",'2023'!$I$2=AX195),'2023DATA'!$G$26,"")</f>
        <v/>
      </c>
      <c r="AY219" s="518" t="str">
        <f>IF(AND(_AC3="A-321N",'2023'!$I$4="FO",'2023'!$I$2=AY195),'2023DATA'!$H$26,"")</f>
        <v/>
      </c>
      <c r="AZ219" s="518" t="str">
        <f>IF(AND(_AC3="A-321N",'2023'!$I$4="FO",'2023'!$I$2=AZ195),'2023DATA'!$I$26,"")</f>
        <v/>
      </c>
      <c r="BA219" s="518" t="str">
        <f>IF(AND(_AC3="A-321N",'2023'!$I$4="FO",'2023'!$I$2=BA195),'2023DATA'!$J$26,"")</f>
        <v/>
      </c>
      <c r="BB219" s="518" t="str">
        <f>IF(AND(_AC3="A-321N",'2023'!$I$4="FO",'2023'!$I$2=BB195),'2023DATA'!$K$26,"")</f>
        <v/>
      </c>
      <c r="BC219" s="518" t="str">
        <f>IF(AND(_AC3="A-321N",'2023'!$I$4="FO",'2023'!$I$2=BC195),'2023DATA'!$L$26,"")</f>
        <v/>
      </c>
      <c r="BD219" s="518" t="str">
        <f>IF(AND(_AC3="A-321N",'2023'!$I$4="FO",'2023'!$I$2=BD195),'2023DATA'!$M$26,"")</f>
        <v/>
      </c>
      <c r="BE219" s="520" t="str">
        <f>IF(AND(_AC3="A-321N",'2023'!$I$4="FO",'2023'!$I$2=BE195),'2023DATA'!$N$26,"")</f>
        <v/>
      </c>
      <c r="BF219" s="940"/>
      <c r="BG219" s="13" t="s">
        <v>62</v>
      </c>
      <c r="BH219" s="518" t="str">
        <f>IF(AND(_AC4="A-321N",'2023'!$I$4="FO",'2023'!$I$2=BH195),'2023DATA'!$C$26,"")</f>
        <v/>
      </c>
      <c r="BI219" s="518" t="str">
        <f>IF(AND(_AC4="A-321N",'2023'!$I$4="FO",'2023'!$I$2=BI195),'2023DATA'!$D$26,"")</f>
        <v/>
      </c>
      <c r="BJ219" s="518" t="str">
        <f>IF(AND(_AC4="A-321N",'2023'!$I$4="FO",'2023'!$I$2=BJ195),'2023DATA'!$E$26,"")</f>
        <v/>
      </c>
      <c r="BK219" s="518" t="str">
        <f>IF(AND(_AC4="A-321N",'2023'!$I$4="FO",'2023'!$I$2=BK195),'2023DATA'!$F$26,"")</f>
        <v/>
      </c>
      <c r="BL219" s="518" t="str">
        <f>IF(AND(_AC4="A-321N",'2023'!$I$4="FO",'2023'!$I$2=BL195),'2023DATA'!$G$26,"")</f>
        <v/>
      </c>
      <c r="BM219" s="518" t="str">
        <f>IF(AND(_AC4="A-321N",'2023'!$I$4="FO",'2023'!$I$2=BM195),'2023DATA'!$H$26,"")</f>
        <v/>
      </c>
      <c r="BN219" s="518" t="str">
        <f>IF(AND(_AC4="A-321N",'2023'!$I$4="FO",'2023'!$I$2=BN195),'2023DATA'!$I$26,"")</f>
        <v/>
      </c>
      <c r="BO219" s="518" t="str">
        <f>IF(AND(_AC4="A-321N",'2023'!$I$4="FO",'2023'!$I$2=BO195),'2023DATA'!$J$26,"")</f>
        <v/>
      </c>
      <c r="BP219" s="518" t="str">
        <f>IF(AND(_AC4="A-321N",'2023'!$I$4="FO",'2023'!$I$2=BP195),'2023DATA'!$K$26,"")</f>
        <v/>
      </c>
      <c r="BQ219" s="518" t="str">
        <f>IF(AND(_AC4="A-321N",'2023'!$I$4="FO",'2023'!$I$2=BQ195),'2023DATA'!$L$26,"")</f>
        <v/>
      </c>
      <c r="BR219" s="518" t="str">
        <f>IF(AND(_AC4="A-321N",'2023'!$I$4="FO",'2023'!$I$2=BR195),'2023DATA'!$M$26,"")</f>
        <v/>
      </c>
      <c r="BS219" s="520" t="str">
        <f>IF(AND(_AC4="A-321N",'2023'!$I$4="FO",'2023'!$I$2=BS195),'2023DATA'!$N$26,"")</f>
        <v/>
      </c>
      <c r="BT219" s="940"/>
      <c r="BU219" s="13" t="s">
        <v>62</v>
      </c>
      <c r="BV219" s="518" t="str">
        <f>IF(AND(_AC5="A-321N",'2023'!$I$4="FO",'2023'!$I$2=BV195),'2023DATA'!$C$26,"")</f>
        <v/>
      </c>
      <c r="BW219" s="518" t="str">
        <f>IF(AND(_AC5="A-321N",'2023'!$I$4="FO",'2023'!$I$2=BW195),'2023DATA'!$D$26,"")</f>
        <v/>
      </c>
      <c r="BX219" s="518" t="str">
        <f>IF(AND(_AC5="A-321N",'2023'!$I$4="FO",'2023'!$I$2=BX195),'2023DATA'!$E$26,"")</f>
        <v/>
      </c>
      <c r="BY219" s="518" t="str">
        <f>IF(AND(_AC5="A-321N",'2023'!$I$4="FO",'2023'!$I$2=BY195),'2023DATA'!$F$26,"")</f>
        <v/>
      </c>
      <c r="BZ219" s="518" t="str">
        <f>IF(AND(_AC5="A-321N",'2023'!$I$4="FO",'2023'!$I$2=BZ195),'2023DATA'!$G$26,"")</f>
        <v/>
      </c>
      <c r="CA219" s="518" t="str">
        <f>IF(AND(_AC5="A-321N",'2023'!$I$4="FO",'2023'!$I$2=CA195),'2023DATA'!$H$26,"")</f>
        <v/>
      </c>
      <c r="CB219" s="518" t="str">
        <f>IF(AND(_AC5="A-321N",'2023'!$I$4="FO",'2023'!$I$2=CB195),'2023DATA'!$I$26,"")</f>
        <v/>
      </c>
      <c r="CC219" s="518" t="str">
        <f>IF(AND(_AC5="A-321N",'2023'!$I$4="FO",'2023'!$I$2=CC195),'2023DATA'!$J$26,"")</f>
        <v/>
      </c>
      <c r="CD219" s="518" t="str">
        <f>IF(AND(_AC5="A-321N",'2023'!$I$4="FO",'2023'!$I$2=CD195),'2023DATA'!$K$26,"")</f>
        <v/>
      </c>
      <c r="CE219" s="518" t="str">
        <f>IF(AND(_AC5="A-321N",'2023'!$I$4="FO",'2023'!$I$2=CE195),'2023DATA'!$L$26,"")</f>
        <v/>
      </c>
      <c r="CF219" s="518" t="str">
        <f>IF(AND(_AC5="A-321N",'2023'!$I$4="FO",'2023'!$I$2=CF195),'2023DATA'!$M$26,"")</f>
        <v/>
      </c>
      <c r="CG219" s="520" t="str">
        <f>IF(AND(_AC5="A-321N",'2023'!$I$4="FO",'2023'!$I$2=CG195),'2023DATA'!$N$26,"")</f>
        <v/>
      </c>
      <c r="CH219" s="940"/>
      <c r="CI219" s="13" t="s">
        <v>62</v>
      </c>
      <c r="CJ219" s="518" t="str">
        <f>IF(AND(_AC6="A-321N",'2023'!$I$4="FO",'2023'!$I$2=CJ195),'2023DATA'!$C$26,"")</f>
        <v/>
      </c>
      <c r="CK219" s="518" t="str">
        <f>IF(AND(_AC6="A-321N",'2023'!$I$4="FO",'2023'!$I$2=CK195),'2023DATA'!$D$26,"")</f>
        <v/>
      </c>
      <c r="CL219" s="518" t="str">
        <f>IF(AND(_AC6="A-321N",'2023'!$I$4="FO",'2023'!$I$2=CL195),'2023DATA'!$E$26,"")</f>
        <v/>
      </c>
      <c r="CM219" s="518" t="str">
        <f>IF(AND(_AC6="A-321N",'2023'!$I$4="FO",'2023'!$I$2=CM195),'2023DATA'!$F$26,"")</f>
        <v/>
      </c>
      <c r="CN219" s="518" t="str">
        <f>IF(AND(_AC6="A-321N",'2023'!$I$4="FO",'2023'!$I$2=CN195),'2023DATA'!$G$26,"")</f>
        <v/>
      </c>
      <c r="CO219" s="518" t="str">
        <f>IF(AND(_AC6="A-321N",'2023'!$I$4="FO",'2023'!$I$2=CO195),'2023DATA'!$H$26,"")</f>
        <v/>
      </c>
      <c r="CP219" s="518" t="str">
        <f>IF(AND(_AC6="A-321N",'2023'!$I$4="FO",'2023'!$I$2=CP195),'2023DATA'!$I$26,"")</f>
        <v/>
      </c>
      <c r="CQ219" s="518" t="str">
        <f>IF(AND(_AC6="A-321N",'2023'!$I$4="FO",'2023'!$I$2=CQ195),'2023DATA'!$J$26,"")</f>
        <v/>
      </c>
      <c r="CR219" s="518" t="str">
        <f>IF(AND(_AC6="A-321N",'2023'!$I$4="FO",'2023'!$I$2=CR195),'2023DATA'!$K$26,"")</f>
        <v/>
      </c>
      <c r="CS219" s="518" t="str">
        <f>IF(AND(_AC6="A-321N",'2023'!$I$4="FO",'2023'!$I$2=CS195),'2023DATA'!$L$26,"")</f>
        <v/>
      </c>
      <c r="CT219" s="518" t="str">
        <f>IF(AND(_AC6="A-321N",'2023'!$I$4="FO",'2023'!$I$2=CT195),'2023DATA'!$M$26,"")</f>
        <v/>
      </c>
      <c r="CU219" s="520" t="str">
        <f>IF(AND(_AC6="A-321N",'2023'!$I$4="FO",'2023'!$I$2=CU195),'2023DATA'!$N$26,"")</f>
        <v/>
      </c>
    </row>
    <row r="220" spans="16:99" x14ac:dyDescent="0.25">
      <c r="P220" s="940" t="s">
        <v>48</v>
      </c>
      <c r="Q220" s="13" t="s">
        <v>61</v>
      </c>
      <c r="R220" s="518" t="str">
        <f>IF(AND(_AC1="A-321",'2023'!$I$4="CA",'2023'!$I$2=R195),'2023DATA'!$C$27,"")</f>
        <v/>
      </c>
      <c r="S220" s="518" t="str">
        <f>IF(AND(_AC1="A-321",'2023'!$I$4="CA",'2023'!$I$2=S195),'2023DATA'!$D$27,"")</f>
        <v/>
      </c>
      <c r="T220" s="518" t="str">
        <f>IF(AND(_AC1="A-321",'2023'!$I$4="CA",'2023'!$I$2=T195),'2023DATA'!$E$27,"")</f>
        <v/>
      </c>
      <c r="U220" s="518" t="str">
        <f>IF(AND(_AC1="A-321",'2023'!$I$4="CA",'2023'!$I$2=U195),'2023DATA'!$F$27,"")</f>
        <v/>
      </c>
      <c r="V220" s="518" t="str">
        <f>IF(AND(_AC1="A-321",'2023'!$I$4="CA",'2023'!$I$2=V195),'2023DATA'!$G$27,"")</f>
        <v/>
      </c>
      <c r="W220" s="518" t="str">
        <f>IF(AND(_AC1="A-321",'2023'!$I$4="CA",'2023'!$I$2=W195),'2023DATA'!$H$27,"")</f>
        <v/>
      </c>
      <c r="X220" s="518" t="str">
        <f>IF(AND(_AC1="A-321",'2023'!$I$4="CA",'2023'!$I$2=X195),'2023DATA'!$I$27,"")</f>
        <v/>
      </c>
      <c r="Y220" s="518" t="str">
        <f>IF(AND(_AC1="A-321",'2023'!$I$4="CA",'2023'!$I$2=Y195),'2023DATA'!$J$27,"")</f>
        <v/>
      </c>
      <c r="Z220" s="518" t="str">
        <f>IF(AND(_AC1="A-321",'2023'!$I$4="CA",'2023'!$I$2=Z195),'2023DATA'!$K$27,"")</f>
        <v/>
      </c>
      <c r="AA220" s="518" t="str">
        <f>IF(AND(_AC1="A-321",'2023'!$I$4="CA",'2023'!$I$2=AA195),'2023DATA'!$L$27,"")</f>
        <v/>
      </c>
      <c r="AB220" s="518" t="str">
        <f>IF(AND(_AC1="A-321",'2023'!$I$4="CA",'2023'!$I$2=AB195),'2023DATA'!$M$27,"")</f>
        <v/>
      </c>
      <c r="AC220" s="520" t="str">
        <f>IF(AND(_AC1="A-321",'2023'!$I$4="CA",'2023'!$I$2=AC195),'2023DATA'!$N$27,"")</f>
        <v/>
      </c>
      <c r="AD220" s="940" t="s">
        <v>48</v>
      </c>
      <c r="AE220" s="13" t="s">
        <v>61</v>
      </c>
      <c r="AF220" s="518" t="str">
        <f>IF(AND(_AC2="A-321",'2023'!$I$4="CA",'2023'!$I$2=AF195),'2023DATA'!$C$27,"")</f>
        <v/>
      </c>
      <c r="AG220" s="518" t="str">
        <f>IF(AND(_AC2="A-321",'2023'!$I$4="CA",'2023'!$I$2=AG195),'2023DATA'!$D$27,"")</f>
        <v/>
      </c>
      <c r="AH220" s="518" t="str">
        <f>IF(AND(_AC2="A-321",'2023'!$I$4="CA",'2023'!$I$2=AH195),'2023DATA'!$E$27,"")</f>
        <v/>
      </c>
      <c r="AI220" s="518" t="str">
        <f>IF(AND(_AC2="A-321",'2023'!$I$4="CA",'2023'!$I$2=AI195),'2023DATA'!$F$27,"")</f>
        <v/>
      </c>
      <c r="AJ220" s="518" t="str">
        <f>IF(AND(_AC2="A-321",'2023'!$I$4="CA",'2023'!$I$2=AJ195),'2023DATA'!$G$27,"")</f>
        <v/>
      </c>
      <c r="AK220" s="518" t="str">
        <f>IF(AND(_AC2="A-321",'2023'!$I$4="CA",'2023'!$I$2=AK195),'2023DATA'!$H$27,"")</f>
        <v/>
      </c>
      <c r="AL220" s="518" t="str">
        <f>IF(AND(_AC2="A-321",'2023'!$I$4="CA",'2023'!$I$2=AL195),'2023DATA'!$I$27,"")</f>
        <v/>
      </c>
      <c r="AM220" s="518" t="str">
        <f>IF(AND(_AC2="A-321",'2023'!$I$4="CA",'2023'!$I$2=AM195),'2023DATA'!$J$27,"")</f>
        <v/>
      </c>
      <c r="AN220" s="518" t="str">
        <f>IF(AND(_AC2="A-321",'2023'!$I$4="CA",'2023'!$I$2=AN195),'2023DATA'!$K$27,"")</f>
        <v/>
      </c>
      <c r="AO220" s="518" t="str">
        <f>IF(AND(_AC2="A-321",'2023'!$I$4="CA",'2023'!$I$2=AO195),'2023DATA'!$L$27,"")</f>
        <v/>
      </c>
      <c r="AP220" s="518" t="str">
        <f>IF(AND(_AC2="A-321",'2023'!$I$4="CA",'2023'!$I$2=AP195),'2023DATA'!$M$27,"")</f>
        <v/>
      </c>
      <c r="AQ220" s="520" t="str">
        <f>IF(AND(_AC2="A-321",'2023'!$I$4="CA",'2023'!$I$2=AQ195),'2023DATA'!$N$27,"")</f>
        <v/>
      </c>
      <c r="AR220" s="940" t="s">
        <v>48</v>
      </c>
      <c r="AS220" s="13" t="s">
        <v>61</v>
      </c>
      <c r="AT220" s="518" t="str">
        <f>IF(AND(_AC3="A-321",'2023'!$I$4="CA",'2023'!$I$2=AT195),'2023DATA'!$C$27,"")</f>
        <v/>
      </c>
      <c r="AU220" s="518" t="str">
        <f>IF(AND(_AC3="A-321",'2023'!$I$4="CA",'2023'!$I$2=AU195),'2023DATA'!$D$27,"")</f>
        <v/>
      </c>
      <c r="AV220" s="518" t="str">
        <f>IF(AND(_AC3="A-321",'2023'!$I$4="CA",'2023'!$I$2=AV195),'2023DATA'!$E$27,"")</f>
        <v/>
      </c>
      <c r="AW220" s="518" t="str">
        <f>IF(AND(_AC3="A-321",'2023'!$I$4="CA",'2023'!$I$2=AW195),'2023DATA'!$F$27,"")</f>
        <v/>
      </c>
      <c r="AX220" s="518" t="str">
        <f>IF(AND(_AC3="A-321",'2023'!$I$4="CA",'2023'!$I$2=AX195),'2023DATA'!$G$27,"")</f>
        <v/>
      </c>
      <c r="AY220" s="518" t="str">
        <f>IF(AND(_AC3="A-321",'2023'!$I$4="CA",'2023'!$I$2=AY195),'2023DATA'!$H$27,"")</f>
        <v/>
      </c>
      <c r="AZ220" s="518" t="str">
        <f>IF(AND(_AC3="A-321",'2023'!$I$4="CA",'2023'!$I$2=AZ195),'2023DATA'!$I$27,"")</f>
        <v/>
      </c>
      <c r="BA220" s="518" t="str">
        <f>IF(AND(_AC3="A-321",'2023'!$I$4="CA",'2023'!$I$2=BA195),'2023DATA'!$J$27,"")</f>
        <v/>
      </c>
      <c r="BB220" s="518" t="str">
        <f>IF(AND(_AC3="A-321",'2023'!$I$4="CA",'2023'!$I$2=BB195),'2023DATA'!$K$27,"")</f>
        <v/>
      </c>
      <c r="BC220" s="518" t="str">
        <f>IF(AND(_AC3="A-321",'2023'!$I$4="CA",'2023'!$I$2=BC195),'2023DATA'!$L$27,"")</f>
        <v/>
      </c>
      <c r="BD220" s="518" t="str">
        <f>IF(AND(_AC3="A-321",'2023'!$I$4="CA",'2023'!$I$2=BD195),'2023DATA'!$M$27,"")</f>
        <v/>
      </c>
      <c r="BE220" s="520" t="str">
        <f>IF(AND(_AC3="A-321",'2023'!$I$4="CA",'2023'!$I$2=BE195),'2023DATA'!$N$27,"")</f>
        <v/>
      </c>
      <c r="BF220" s="940" t="s">
        <v>48</v>
      </c>
      <c r="BG220" s="13" t="s">
        <v>61</v>
      </c>
      <c r="BH220" s="518" t="str">
        <f>IF(AND(_AC4="A-321",'2023'!$I$4="CA",'2023'!$I$2=BH195),'2023DATA'!$C$27,"")</f>
        <v/>
      </c>
      <c r="BI220" s="518" t="str">
        <f>IF(AND(_AC4="A-321",'2023'!$I$4="CA",'2023'!$I$2=BI195),'2023DATA'!$D$27,"")</f>
        <v/>
      </c>
      <c r="BJ220" s="518" t="str">
        <f>IF(AND(_AC4="A-321",'2023'!$I$4="CA",'2023'!$I$2=BJ195),'2023DATA'!$E$27,"")</f>
        <v/>
      </c>
      <c r="BK220" s="518" t="str">
        <f>IF(AND(_AC4="A-321",'2023'!$I$4="CA",'2023'!$I$2=BK195),'2023DATA'!$F$27,"")</f>
        <v/>
      </c>
      <c r="BL220" s="518" t="str">
        <f>IF(AND(_AC4="A-321",'2023'!$I$4="CA",'2023'!$I$2=BL195),'2023DATA'!$G$27,"")</f>
        <v/>
      </c>
      <c r="BM220" s="518" t="str">
        <f>IF(AND(_AC4="A-321",'2023'!$I$4="CA",'2023'!$I$2=BM195),'2023DATA'!$H$27,"")</f>
        <v/>
      </c>
      <c r="BN220" s="518" t="str">
        <f>IF(AND(_AC4="A-321",'2023'!$I$4="CA",'2023'!$I$2=BN195),'2023DATA'!$I$27,"")</f>
        <v/>
      </c>
      <c r="BO220" s="518" t="str">
        <f>IF(AND(_AC4="A-321",'2023'!$I$4="CA",'2023'!$I$2=BO195),'2023DATA'!$J$27,"")</f>
        <v/>
      </c>
      <c r="BP220" s="518" t="str">
        <f>IF(AND(_AC4="A-321",'2023'!$I$4="CA",'2023'!$I$2=BP195),'2023DATA'!$K$27,"")</f>
        <v/>
      </c>
      <c r="BQ220" s="518" t="str">
        <f>IF(AND(_AC4="A-321",'2023'!$I$4="CA",'2023'!$I$2=BQ195),'2023DATA'!$L$27,"")</f>
        <v/>
      </c>
      <c r="BR220" s="518" t="str">
        <f>IF(AND(_AC4="A-321",'2023'!$I$4="CA",'2023'!$I$2=BR195),'2023DATA'!$M$27,"")</f>
        <v/>
      </c>
      <c r="BS220" s="520" t="str">
        <f>IF(AND(_AC4="A-321",'2023'!$I$4="CA",'2023'!$I$2=BS195),'2023DATA'!$N$27,"")</f>
        <v/>
      </c>
      <c r="BT220" s="940" t="s">
        <v>48</v>
      </c>
      <c r="BU220" s="13" t="s">
        <v>61</v>
      </c>
      <c r="BV220" s="518" t="str">
        <f>IF(AND(_AC5="A-321",'2023'!$I$4="CA",'2023'!$I$2=BV195),'2023DATA'!$C$27,"")</f>
        <v/>
      </c>
      <c r="BW220" s="518" t="str">
        <f>IF(AND(_AC5="A-321",'2023'!$I$4="CA",'2023'!$I$2=BW195),'2023DATA'!$D$27,"")</f>
        <v/>
      </c>
      <c r="BX220" s="518" t="str">
        <f>IF(AND(_AC5="A-321",'2023'!$I$4="CA",'2023'!$I$2=BX195),'2023DATA'!$E$27,"")</f>
        <v/>
      </c>
      <c r="BY220" s="518" t="str">
        <f>IF(AND(_AC5="A-321",'2023'!$I$4="CA",'2023'!$I$2=BY195),'2023DATA'!$F$27,"")</f>
        <v/>
      </c>
      <c r="BZ220" s="518" t="str">
        <f>IF(AND(_AC5="A-321",'2023'!$I$4="CA",'2023'!$I$2=BZ195),'2023DATA'!$G$27,"")</f>
        <v/>
      </c>
      <c r="CA220" s="518" t="str">
        <f>IF(AND(_AC5="A-321",'2023'!$I$4="CA",'2023'!$I$2=CA195),'2023DATA'!$H$27,"")</f>
        <v/>
      </c>
      <c r="CB220" s="518" t="str">
        <f>IF(AND(_AC5="A-321",'2023'!$I$4="CA",'2023'!$I$2=CB195),'2023DATA'!$I$27,"")</f>
        <v/>
      </c>
      <c r="CC220" s="518" t="str">
        <f>IF(AND(_AC5="A-321",'2023'!$I$4="CA",'2023'!$I$2=CC195),'2023DATA'!$J$27,"")</f>
        <v/>
      </c>
      <c r="CD220" s="518" t="str">
        <f>IF(AND(_AC5="A-321",'2023'!$I$4="CA",'2023'!$I$2=CD195),'2023DATA'!$K$27,"")</f>
        <v/>
      </c>
      <c r="CE220" s="518" t="str">
        <f>IF(AND(_AC5="A-321",'2023'!$I$4="CA",'2023'!$I$2=CE195),'2023DATA'!$L$27,"")</f>
        <v/>
      </c>
      <c r="CF220" s="518" t="str">
        <f>IF(AND(_AC5="A-321",'2023'!$I$4="CA",'2023'!$I$2=CF195),'2023DATA'!$M$27,"")</f>
        <v/>
      </c>
      <c r="CG220" s="520" t="str">
        <f>IF(AND(_AC5="A-321",'2023'!$I$4="CA",'2023'!$I$2=CG195),'2023DATA'!$N$27,"")</f>
        <v/>
      </c>
      <c r="CH220" s="940" t="s">
        <v>48</v>
      </c>
      <c r="CI220" s="13" t="s">
        <v>61</v>
      </c>
      <c r="CJ220" s="518" t="str">
        <f>IF(AND(_AC6="A-321",'2023'!$I$4="CA",'2023'!$I$2=CJ195),'2023DATA'!$C$27,"")</f>
        <v/>
      </c>
      <c r="CK220" s="518" t="str">
        <f>IF(AND(_AC6="A-321",'2023'!$I$4="CA",'2023'!$I$2=CK195),'2023DATA'!$D$27,"")</f>
        <v/>
      </c>
      <c r="CL220" s="518" t="str">
        <f>IF(AND(_AC6="A-321",'2023'!$I$4="CA",'2023'!$I$2=CL195),'2023DATA'!$E$27,"")</f>
        <v/>
      </c>
      <c r="CM220" s="518" t="str">
        <f>IF(AND(_AC6="A-321",'2023'!$I$4="CA",'2023'!$I$2=CM195),'2023DATA'!$F$27,"")</f>
        <v/>
      </c>
      <c r="CN220" s="518" t="str">
        <f>IF(AND(_AC6="A-321",'2023'!$I$4="CA",'2023'!$I$2=CN195),'2023DATA'!$G$27,"")</f>
        <v/>
      </c>
      <c r="CO220" s="518" t="str">
        <f>IF(AND(_AC6="A-321",'2023'!$I$4="CA",'2023'!$I$2=CO195),'2023DATA'!$H$27,"")</f>
        <v/>
      </c>
      <c r="CP220" s="518" t="str">
        <f>IF(AND(_AC6="A-321",'2023'!$I$4="CA",'2023'!$I$2=CP195),'2023DATA'!$I$27,"")</f>
        <v/>
      </c>
      <c r="CQ220" s="518" t="str">
        <f>IF(AND(_AC6="A-321",'2023'!$I$4="CA",'2023'!$I$2=CQ195),'2023DATA'!$J$27,"")</f>
        <v/>
      </c>
      <c r="CR220" s="518" t="str">
        <f>IF(AND(_AC6="A-321",'2023'!$I$4="CA",'2023'!$I$2=CR195),'2023DATA'!$K$27,"")</f>
        <v/>
      </c>
      <c r="CS220" s="518" t="str">
        <f>IF(AND(_AC6="A-321",'2023'!$I$4="CA",'2023'!$I$2=CS195),'2023DATA'!$L$27,"")</f>
        <v/>
      </c>
      <c r="CT220" s="518" t="str">
        <f>IF(AND(_AC6="A-321",'2023'!$I$4="CA",'2023'!$I$2=CT195),'2023DATA'!$M$27,"")</f>
        <v/>
      </c>
      <c r="CU220" s="520" t="str">
        <f>IF(AND(_AC6="A-321",'2023'!$I$4="CA",'2023'!$I$2=CU195),'2023DATA'!$N$27,"")</f>
        <v/>
      </c>
    </row>
    <row r="221" spans="16:99" x14ac:dyDescent="0.25">
      <c r="P221" s="940"/>
      <c r="Q221" s="13" t="s">
        <v>62</v>
      </c>
      <c r="R221" s="518" t="str">
        <f>IF(AND(_AC1="A-321",'2023'!$I$4="FO",'2023'!$I$2=R195),'2023DATA'!$C$28,"")</f>
        <v/>
      </c>
      <c r="S221" s="518" t="str">
        <f>IF(AND(_AC1="A-321",'2023'!$I$4="FO",'2023'!$I$2=S195),'2023DATA'!$D$28,"")</f>
        <v/>
      </c>
      <c r="T221" s="518" t="str">
        <f>IF(AND(_AC1="A-321",'2023'!$I$4="FO",'2023'!$I$2=T195),'2023DATA'!$E$28,"")</f>
        <v/>
      </c>
      <c r="U221" s="518" t="str">
        <f>IF(AND(_AC1="A-321",'2023'!$I$4="FO",'2023'!$I$2=U195),'2023DATA'!$F$28,"")</f>
        <v/>
      </c>
      <c r="V221" s="518" t="str">
        <f>IF(AND(_AC1="A-321",'2023'!$I$4="FO",'2023'!$I$2=V195),'2023DATA'!$G$28,"")</f>
        <v/>
      </c>
      <c r="W221" s="518" t="str">
        <f>IF(AND(_AC1="A-321",'2023'!$I$4="FO",'2023'!$I$2=W195),'2023DATA'!$H$28,"")</f>
        <v/>
      </c>
      <c r="X221" s="518" t="str">
        <f>IF(AND(_AC1="A-321",'2023'!$I$4="FO",'2023'!$I$2=X195),'2023DATA'!$I$28,"")</f>
        <v/>
      </c>
      <c r="Y221" s="518" t="str">
        <f>IF(AND(_AC1="A-321",'2023'!$I$4="FO",'2023'!$I$2=Y195),'2023DATA'!$J$28,"")</f>
        <v/>
      </c>
      <c r="Z221" s="518" t="str">
        <f>IF(AND(_AC1="A-321",'2023'!$I$4="FO",'2023'!$I$2=Z195),'2023DATA'!$K$28,"")</f>
        <v/>
      </c>
      <c r="AA221" s="518" t="str">
        <f>IF(AND(_AC1="A-321",'2023'!$I$4="FO",'2023'!$I$2=AA195),'2023DATA'!$L$28,"")</f>
        <v/>
      </c>
      <c r="AB221" s="518" t="str">
        <f>IF(AND(_AC1="A-321",'2023'!$I$4="FO",'2023'!$I$2=AB195),'2023DATA'!$M$28,"")</f>
        <v/>
      </c>
      <c r="AC221" s="520" t="str">
        <f>IF(AND(_AC1="A-321",'2023'!$I$4="FO",'2023'!$I$2=AC195),'2023DATA'!$N$28,"")</f>
        <v/>
      </c>
      <c r="AD221" s="940"/>
      <c r="AE221" s="13" t="s">
        <v>62</v>
      </c>
      <c r="AF221" s="518" t="str">
        <f>IF(AND(_AC2="A-321",'2023'!$I$4="FO",'2023'!$I$2=AF195),'2023DATA'!$C$28,"")</f>
        <v/>
      </c>
      <c r="AG221" s="518" t="str">
        <f>IF(AND(_AC2="A-321",'2023'!$I$4="FO",'2023'!$I$2=AG195),'2023DATA'!$D$28,"")</f>
        <v/>
      </c>
      <c r="AH221" s="518" t="str">
        <f>IF(AND(_AC2="A-321",'2023'!$I$4="FO",'2023'!$I$2=AH195),'2023DATA'!$E$28,"")</f>
        <v/>
      </c>
      <c r="AI221" s="518" t="str">
        <f>IF(AND(_AC2="A-321",'2023'!$I$4="FO",'2023'!$I$2=AI195),'2023DATA'!$F$28,"")</f>
        <v/>
      </c>
      <c r="AJ221" s="518" t="str">
        <f>IF(AND(_AC2="A-321",'2023'!$I$4="FO",'2023'!$I$2=AJ195),'2023DATA'!$G$28,"")</f>
        <v/>
      </c>
      <c r="AK221" s="518" t="str">
        <f>IF(AND(_AC2="A-321",'2023'!$I$4="FO",'2023'!$I$2=AK195),'2023DATA'!$H$28,"")</f>
        <v/>
      </c>
      <c r="AL221" s="518" t="str">
        <f>IF(AND(_AC2="A-321",'2023'!$I$4="FO",'2023'!$I$2=AL195),'2023DATA'!$I$28,"")</f>
        <v/>
      </c>
      <c r="AM221" s="518" t="str">
        <f>IF(AND(_AC2="A-321",'2023'!$I$4="FO",'2023'!$I$2=AM195),'2023DATA'!$J$28,"")</f>
        <v/>
      </c>
      <c r="AN221" s="518" t="str">
        <f>IF(AND(_AC2="A-321",'2023'!$I$4="FO",'2023'!$I$2=AN195),'2023DATA'!$K$28,"")</f>
        <v/>
      </c>
      <c r="AO221" s="518" t="str">
        <f>IF(AND(_AC2="A-321",'2023'!$I$4="FO",'2023'!$I$2=AO195),'2023DATA'!$L$28,"")</f>
        <v/>
      </c>
      <c r="AP221" s="518" t="str">
        <f>IF(AND(_AC2="A-321",'2023'!$I$4="FO",'2023'!$I$2=AP195),'2023DATA'!$M$28,"")</f>
        <v/>
      </c>
      <c r="AQ221" s="520" t="str">
        <f>IF(AND(_AC2="A-321",'2023'!$I$4="FO",'2023'!$I$2=AQ195),'2023DATA'!$N$28,"")</f>
        <v/>
      </c>
      <c r="AR221" s="940"/>
      <c r="AS221" s="13" t="s">
        <v>62</v>
      </c>
      <c r="AT221" s="518" t="str">
        <f>IF(AND(_AC3="A-321",'2023'!$I$4="FO",'2023'!$I$2=AT195),'2023DATA'!$C$28,"")</f>
        <v/>
      </c>
      <c r="AU221" s="518" t="str">
        <f>IF(AND(_AC3="A-321",'2023'!$I$4="FO",'2023'!$I$2=AU195),'2023DATA'!$D$28,"")</f>
        <v/>
      </c>
      <c r="AV221" s="518" t="str">
        <f>IF(AND(_AC3="A-321",'2023'!$I$4="FO",'2023'!$I$2=AV195),'2023DATA'!$E$28,"")</f>
        <v/>
      </c>
      <c r="AW221" s="518" t="str">
        <f>IF(AND(_AC3="A-321",'2023'!$I$4="FO",'2023'!$I$2=AW195),'2023DATA'!$F$28,"")</f>
        <v/>
      </c>
      <c r="AX221" s="518" t="str">
        <f>IF(AND(_AC3="A-321",'2023'!$I$4="FO",'2023'!$I$2=AX195),'2023DATA'!$G$28,"")</f>
        <v/>
      </c>
      <c r="AY221" s="518" t="str">
        <f>IF(AND(_AC3="A-321",'2023'!$I$4="FO",'2023'!$I$2=AY195),'2023DATA'!$H$28,"")</f>
        <v/>
      </c>
      <c r="AZ221" s="518" t="str">
        <f>IF(AND(_AC3="A-321",'2023'!$I$4="FO",'2023'!$I$2=AZ195),'2023DATA'!$I$28,"")</f>
        <v/>
      </c>
      <c r="BA221" s="518" t="str">
        <f>IF(AND(_AC3="A-321",'2023'!$I$4="FO",'2023'!$I$2=BA195),'2023DATA'!$J$28,"")</f>
        <v/>
      </c>
      <c r="BB221" s="518" t="str">
        <f>IF(AND(_AC3="A-321",'2023'!$I$4="FO",'2023'!$I$2=BB195),'2023DATA'!$K$28,"")</f>
        <v/>
      </c>
      <c r="BC221" s="518" t="str">
        <f>IF(AND(_AC3="A-321",'2023'!$I$4="FO",'2023'!$I$2=BC195),'2023DATA'!$L$28,"")</f>
        <v/>
      </c>
      <c r="BD221" s="518" t="str">
        <f>IF(AND(_AC3="A-321",'2023'!$I$4="FO",'2023'!$I$2=BD195),'2023DATA'!$M$28,"")</f>
        <v/>
      </c>
      <c r="BE221" s="520" t="str">
        <f>IF(AND(_AC3="A-321",'2023'!$I$4="FO",'2023'!$I$2=BE195),'2023DATA'!$N$28,"")</f>
        <v/>
      </c>
      <c r="BF221" s="940"/>
      <c r="BG221" s="13" t="s">
        <v>62</v>
      </c>
      <c r="BH221" s="518" t="str">
        <f>IF(AND(_AC4="A-321",'2023'!$I$4="FO",'2023'!$I$2=BH195),'2023DATA'!$C$28,"")</f>
        <v/>
      </c>
      <c r="BI221" s="518" t="str">
        <f>IF(AND(_AC4="A-321",'2023'!$I$4="FO",'2023'!$I$2=BI195),'2023DATA'!$D$28,"")</f>
        <v/>
      </c>
      <c r="BJ221" s="518" t="str">
        <f>IF(AND(_AC4="A-321",'2023'!$I$4="FO",'2023'!$I$2=BJ195),'2023DATA'!$E$28,"")</f>
        <v/>
      </c>
      <c r="BK221" s="518" t="str">
        <f>IF(AND(_AC4="A-321",'2023'!$I$4="FO",'2023'!$I$2=BK195),'2023DATA'!$F$28,"")</f>
        <v/>
      </c>
      <c r="BL221" s="518" t="str">
        <f>IF(AND(_AC4="A-321",'2023'!$I$4="FO",'2023'!$I$2=BL195),'2023DATA'!$G$28,"")</f>
        <v/>
      </c>
      <c r="BM221" s="518" t="str">
        <f>IF(AND(_AC4="A-321",'2023'!$I$4="FO",'2023'!$I$2=BM195),'2023DATA'!$H$28,"")</f>
        <v/>
      </c>
      <c r="BN221" s="518" t="str">
        <f>IF(AND(_AC4="A-321",'2023'!$I$4="FO",'2023'!$I$2=BN195),'2023DATA'!$I$28,"")</f>
        <v/>
      </c>
      <c r="BO221" s="518" t="str">
        <f>IF(AND(_AC4="A-321",'2023'!$I$4="FO",'2023'!$I$2=BO195),'2023DATA'!$J$28,"")</f>
        <v/>
      </c>
      <c r="BP221" s="518" t="str">
        <f>IF(AND(_AC4="A-321",'2023'!$I$4="FO",'2023'!$I$2=BP195),'2023DATA'!$K$28,"")</f>
        <v/>
      </c>
      <c r="BQ221" s="518" t="str">
        <f>IF(AND(_AC4="A-321",'2023'!$I$4="FO",'2023'!$I$2=BQ195),'2023DATA'!$L$28,"")</f>
        <v/>
      </c>
      <c r="BR221" s="518" t="str">
        <f>IF(AND(_AC4="A-321",'2023'!$I$4="FO",'2023'!$I$2=BR195),'2023DATA'!$M$28,"")</f>
        <v/>
      </c>
      <c r="BS221" s="520" t="str">
        <f>IF(AND(_AC4="A-321",'2023'!$I$4="FO",'2023'!$I$2=BS195),'2023DATA'!$N$28,"")</f>
        <v/>
      </c>
      <c r="BT221" s="940"/>
      <c r="BU221" s="13" t="s">
        <v>62</v>
      </c>
      <c r="BV221" s="518" t="str">
        <f>IF(AND(_AC5="A-321",'2023'!$I$4="FO",'2023'!$I$2=BV195),'2023DATA'!$C$28,"")</f>
        <v/>
      </c>
      <c r="BW221" s="518" t="str">
        <f>IF(AND(_AC5="A-321",'2023'!$I$4="FO",'2023'!$I$2=BW195),'2023DATA'!$D$28,"")</f>
        <v/>
      </c>
      <c r="BX221" s="518" t="str">
        <f>IF(AND(_AC5="A-321",'2023'!$I$4="FO",'2023'!$I$2=BX195),'2023DATA'!$E$28,"")</f>
        <v/>
      </c>
      <c r="BY221" s="518" t="str">
        <f>IF(AND(_AC5="A-321",'2023'!$I$4="FO",'2023'!$I$2=BY195),'2023DATA'!$F$28,"")</f>
        <v/>
      </c>
      <c r="BZ221" s="518" t="str">
        <f>IF(AND(_AC5="A-321",'2023'!$I$4="FO",'2023'!$I$2=BZ195),'2023DATA'!$G$28,"")</f>
        <v/>
      </c>
      <c r="CA221" s="518" t="str">
        <f>IF(AND(_AC5="A-321",'2023'!$I$4="FO",'2023'!$I$2=CA195),'2023DATA'!$H$28,"")</f>
        <v/>
      </c>
      <c r="CB221" s="518" t="str">
        <f>IF(AND(_AC5="A-321",'2023'!$I$4="FO",'2023'!$I$2=CB195),'2023DATA'!$I$28,"")</f>
        <v/>
      </c>
      <c r="CC221" s="518" t="str">
        <f>IF(AND(_AC5="A-321",'2023'!$I$4="FO",'2023'!$I$2=CC195),'2023DATA'!$J$28,"")</f>
        <v/>
      </c>
      <c r="CD221" s="518" t="str">
        <f>IF(AND(_AC5="A-321",'2023'!$I$4="FO",'2023'!$I$2=CD195),'2023DATA'!$K$28,"")</f>
        <v/>
      </c>
      <c r="CE221" s="518" t="str">
        <f>IF(AND(_AC5="A-321",'2023'!$I$4="FO",'2023'!$I$2=CE195),'2023DATA'!$L$28,"")</f>
        <v/>
      </c>
      <c r="CF221" s="518" t="str">
        <f>IF(AND(_AC5="A-321",'2023'!$I$4="FO",'2023'!$I$2=CF195),'2023DATA'!$M$28,"")</f>
        <v/>
      </c>
      <c r="CG221" s="520" t="str">
        <f>IF(AND(_AC5="A-321",'2023'!$I$4="FO",'2023'!$I$2=CG195),'2023DATA'!$N$28,"")</f>
        <v/>
      </c>
      <c r="CH221" s="940"/>
      <c r="CI221" s="13" t="s">
        <v>62</v>
      </c>
      <c r="CJ221" s="518" t="str">
        <f>IF(AND(_AC6="A-321",'2023'!$I$4="FO",'2023'!$I$2=CJ195),'2023DATA'!$C$28,"")</f>
        <v/>
      </c>
      <c r="CK221" s="518" t="str">
        <f>IF(AND(_AC6="A-321",'2023'!$I$4="FO",'2023'!$I$2=CK195),'2023DATA'!$D$28,"")</f>
        <v/>
      </c>
      <c r="CL221" s="518" t="str">
        <f>IF(AND(_AC6="A-321",'2023'!$I$4="FO",'2023'!$I$2=CL195),'2023DATA'!$E$28,"")</f>
        <v/>
      </c>
      <c r="CM221" s="518" t="str">
        <f>IF(AND(_AC6="A-321",'2023'!$I$4="FO",'2023'!$I$2=CM195),'2023DATA'!$F$28,"")</f>
        <v/>
      </c>
      <c r="CN221" s="518" t="str">
        <f>IF(AND(_AC6="A-321",'2023'!$I$4="FO",'2023'!$I$2=CN195),'2023DATA'!$G$28,"")</f>
        <v/>
      </c>
      <c r="CO221" s="518" t="str">
        <f>IF(AND(_AC6="A-321",'2023'!$I$4="FO",'2023'!$I$2=CO195),'2023DATA'!$H$28,"")</f>
        <v/>
      </c>
      <c r="CP221" s="518" t="str">
        <f>IF(AND(_AC6="A-321",'2023'!$I$4="FO",'2023'!$I$2=CP195),'2023DATA'!$I$28,"")</f>
        <v/>
      </c>
      <c r="CQ221" s="518" t="str">
        <f>IF(AND(_AC6="A-321",'2023'!$I$4="FO",'2023'!$I$2=CQ195),'2023DATA'!$J$28,"")</f>
        <v/>
      </c>
      <c r="CR221" s="518" t="str">
        <f>IF(AND(_AC6="A-321",'2023'!$I$4="FO",'2023'!$I$2=CR195),'2023DATA'!$K$28,"")</f>
        <v/>
      </c>
      <c r="CS221" s="518" t="str">
        <f>IF(AND(_AC6="A-321",'2023'!$I$4="FO",'2023'!$I$2=CS195),'2023DATA'!$L$28,"")</f>
        <v/>
      </c>
      <c r="CT221" s="518" t="str">
        <f>IF(AND(_AC6="A-321",'2023'!$I$4="FO",'2023'!$I$2=CT195),'2023DATA'!$M$28,"")</f>
        <v/>
      </c>
      <c r="CU221" s="520" t="str">
        <f>IF(AND(_AC6="A-321",'2023'!$I$4="FO",'2023'!$I$2=CU195),'2023DATA'!$N$28,"")</f>
        <v/>
      </c>
    </row>
    <row r="222" spans="16:99" x14ac:dyDescent="0.25">
      <c r="P222" s="940" t="s">
        <v>70</v>
      </c>
      <c r="Q222" s="13" t="s">
        <v>61</v>
      </c>
      <c r="R222" s="518" t="str">
        <f>IF(AND(_AC1="A-320",'2023'!$I$4="CA",'2023'!$I$2=R195),'2023DATA'!$C$29,"")</f>
        <v/>
      </c>
      <c r="S222" s="518" t="str">
        <f>IF(AND(_AC1="A-320",'2023'!$I$4="CA",'2023'!$I$2=S195),'2023DATA'!$D$29,"")</f>
        <v/>
      </c>
      <c r="T222" s="518" t="str">
        <f>IF(AND(_AC1="A-320",'2023'!$I$4="CA",'2023'!$I$2=T195),'2023DATA'!$E$29,"")</f>
        <v/>
      </c>
      <c r="U222" s="518" t="str">
        <f>IF(AND(_AC1="A-320",'2023'!$I$4="CA",'2023'!$I$2=U195),'2023DATA'!$F$29,"")</f>
        <v/>
      </c>
      <c r="V222" s="518" t="str">
        <f>IF(AND(_AC1="A-320",'2023'!$I$4="CA",'2023'!$I$2=V195),'2023DATA'!$G$29,"")</f>
        <v/>
      </c>
      <c r="W222" s="518" t="str">
        <f>IF(AND(_AC1="A-320",'2023'!$I$4="CA",'2023'!$I$2=W195),'2023DATA'!$H$29,"")</f>
        <v/>
      </c>
      <c r="X222" s="518" t="str">
        <f>IF(AND(_AC1="A-320",'2023'!$I$4="CA",'2023'!$I$2=X195),'2023DATA'!$I$29,"")</f>
        <v/>
      </c>
      <c r="Y222" s="518" t="str">
        <f>IF(AND(_AC1="A-320",'2023'!$I$4="CA",'2023'!$I$2=Y195),'2023DATA'!$J$29,"")</f>
        <v/>
      </c>
      <c r="Z222" s="518" t="str">
        <f>IF(AND(_AC1="A-320",'2023'!$I$4="CA",'2023'!$I$2=Z195),'2023DATA'!$K$29,"")</f>
        <v/>
      </c>
      <c r="AA222" s="518" t="str">
        <f>IF(AND(_AC1="A-320",'2023'!$I$4="CA",'2023'!$I$2=AA195),'2023DATA'!$L$29,"")</f>
        <v/>
      </c>
      <c r="AB222" s="518" t="str">
        <f>IF(AND(_AC1="A-320",'2023'!$I$4="CA",'2023'!$I$2=AB195),'2023DATA'!$M$29,"")</f>
        <v/>
      </c>
      <c r="AC222" s="520" t="str">
        <f>IF(AND(_AC1="A-320",'2023'!$I$4="CA",'2023'!$I$2=AC195),'2023DATA'!$N$29,"")</f>
        <v/>
      </c>
      <c r="AD222" s="940" t="s">
        <v>70</v>
      </c>
      <c r="AE222" s="13" t="s">
        <v>61</v>
      </c>
      <c r="AF222" s="518" t="str">
        <f>IF(AND(_AC2="A-320",'2023'!$I$4="CA",'2023'!$I$2=AF195),'2023DATA'!$C$29,"")</f>
        <v/>
      </c>
      <c r="AG222" s="518" t="str">
        <f>IF(AND(_AC2="A-320",'2023'!$I$4="CA",'2023'!$I$2=AG195),'2023DATA'!$D$29,"")</f>
        <v/>
      </c>
      <c r="AH222" s="518" t="str">
        <f>IF(AND(_AC2="A-320",'2023'!$I$4="CA",'2023'!$I$2=AH195),'2023DATA'!$E$29,"")</f>
        <v/>
      </c>
      <c r="AI222" s="518" t="str">
        <f>IF(AND(_AC2="A-320",'2023'!$I$4="CA",'2023'!$I$2=AI195),'2023DATA'!$F$29,"")</f>
        <v/>
      </c>
      <c r="AJ222" s="518" t="str">
        <f>IF(AND(_AC2="A-320",'2023'!$I$4="CA",'2023'!$I$2=AJ195),'2023DATA'!$G$29,"")</f>
        <v/>
      </c>
      <c r="AK222" s="518" t="str">
        <f>IF(AND(_AC2="A-320",'2023'!$I$4="CA",'2023'!$I$2=AK195),'2023DATA'!$H$29,"")</f>
        <v/>
      </c>
      <c r="AL222" s="518" t="str">
        <f>IF(AND(_AC2="A-320",'2023'!$I$4="CA",'2023'!$I$2=AL195),'2023DATA'!$I$29,"")</f>
        <v/>
      </c>
      <c r="AM222" s="518" t="str">
        <f>IF(AND(_AC2="A-320",'2023'!$I$4="CA",'2023'!$I$2=AM195),'2023DATA'!$J$29,"")</f>
        <v/>
      </c>
      <c r="AN222" s="518" t="str">
        <f>IF(AND(_AC2="A-320",'2023'!$I$4="CA",'2023'!$I$2=AN195),'2023DATA'!$K$29,"")</f>
        <v/>
      </c>
      <c r="AO222" s="518" t="str">
        <f>IF(AND(_AC2="A-320",'2023'!$I$4="CA",'2023'!$I$2=AO195),'2023DATA'!$L$29,"")</f>
        <v/>
      </c>
      <c r="AP222" s="518" t="str">
        <f>IF(AND(_AC2="A-320",'2023'!$I$4="CA",'2023'!$I$2=AP195),'2023DATA'!$M$29,"")</f>
        <v/>
      </c>
      <c r="AQ222" s="520" t="str">
        <f>IF(AND(_AC2="A-320",'2023'!$I$4="CA",'2023'!$I$2=AQ195),'2023DATA'!$N$29,"")</f>
        <v/>
      </c>
      <c r="AR222" s="940" t="s">
        <v>70</v>
      </c>
      <c r="AS222" s="13" t="s">
        <v>61</v>
      </c>
      <c r="AT222" s="518" t="str">
        <f>IF(AND(_AC3="A-320",'2023'!$I$4="CA",'2023'!$I$2=AT195),'2023DATA'!$C$29,"")</f>
        <v/>
      </c>
      <c r="AU222" s="518" t="str">
        <f>IF(AND(_AC3="A-320",'2023'!$I$4="CA",'2023'!$I$2=AU195),'2023DATA'!$D$29,"")</f>
        <v/>
      </c>
      <c r="AV222" s="518" t="str">
        <f>IF(AND(_AC3="A-320",'2023'!$I$4="CA",'2023'!$I$2=AV195),'2023DATA'!$E$29,"")</f>
        <v/>
      </c>
      <c r="AW222" s="518" t="str">
        <f>IF(AND(_AC3="A-320",'2023'!$I$4="CA",'2023'!$I$2=AW195),'2023DATA'!$F$29,"")</f>
        <v/>
      </c>
      <c r="AX222" s="518" t="str">
        <f>IF(AND(_AC3="A-320",'2023'!$I$4="CA",'2023'!$I$2=AX195),'2023DATA'!$G$29,"")</f>
        <v/>
      </c>
      <c r="AY222" s="518" t="str">
        <f>IF(AND(_AC3="A-320",'2023'!$I$4="CA",'2023'!$I$2=AY195),'2023DATA'!$H$29,"")</f>
        <v/>
      </c>
      <c r="AZ222" s="518" t="str">
        <f>IF(AND(_AC3="A-320",'2023'!$I$4="CA",'2023'!$I$2=AZ195),'2023DATA'!$I$29,"")</f>
        <v/>
      </c>
      <c r="BA222" s="518" t="str">
        <f>IF(AND(_AC3="A-320",'2023'!$I$4="CA",'2023'!$I$2=BA195),'2023DATA'!$J$29,"")</f>
        <v/>
      </c>
      <c r="BB222" s="518" t="str">
        <f>IF(AND(_AC3="A-320",'2023'!$I$4="CA",'2023'!$I$2=BB195),'2023DATA'!$K$29,"")</f>
        <v/>
      </c>
      <c r="BC222" s="518" t="str">
        <f>IF(AND(_AC3="A-320",'2023'!$I$4="CA",'2023'!$I$2=BC195),'2023DATA'!$L$29,"")</f>
        <v/>
      </c>
      <c r="BD222" s="518" t="str">
        <f>IF(AND(_AC3="A-320",'2023'!$I$4="CA",'2023'!$I$2=BD195),'2023DATA'!$M$29,"")</f>
        <v/>
      </c>
      <c r="BE222" s="520" t="str">
        <f>IF(AND(_AC3="A-320",'2023'!$I$4="CA",'2023'!$I$2=BE195),'2023DATA'!$N$29,"")</f>
        <v/>
      </c>
      <c r="BF222" s="940" t="s">
        <v>70</v>
      </c>
      <c r="BG222" s="13" t="s">
        <v>61</v>
      </c>
      <c r="BH222" s="518" t="str">
        <f>IF(AND(_AC4="A-320",'2023'!$I$4="CA",'2023'!$I$2=BH195),'2023DATA'!$C$29,"")</f>
        <v/>
      </c>
      <c r="BI222" s="518" t="str">
        <f>IF(AND(_AC4="A-320",'2023'!$I$4="CA",'2023'!$I$2=BI195),'2023DATA'!$D$29,"")</f>
        <v/>
      </c>
      <c r="BJ222" s="518" t="str">
        <f>IF(AND(_AC4="A-320",'2023'!$I$4="CA",'2023'!$I$2=BJ195),'2023DATA'!$E$29,"")</f>
        <v/>
      </c>
      <c r="BK222" s="518" t="str">
        <f>IF(AND(_AC4="A-320",'2023'!$I$4="CA",'2023'!$I$2=BK195),'2023DATA'!$F$29,"")</f>
        <v/>
      </c>
      <c r="BL222" s="518" t="str">
        <f>IF(AND(_AC4="A-320",'2023'!$I$4="CA",'2023'!$I$2=BL195),'2023DATA'!$G$29,"")</f>
        <v/>
      </c>
      <c r="BM222" s="518" t="str">
        <f>IF(AND(_AC4="A-320",'2023'!$I$4="CA",'2023'!$I$2=BM195),'2023DATA'!$H$29,"")</f>
        <v/>
      </c>
      <c r="BN222" s="518" t="str">
        <f>IF(AND(_AC4="A-320",'2023'!$I$4="CA",'2023'!$I$2=BN195),'2023DATA'!$I$29,"")</f>
        <v/>
      </c>
      <c r="BO222" s="518" t="str">
        <f>IF(AND(_AC4="A-320",'2023'!$I$4="CA",'2023'!$I$2=BO195),'2023DATA'!$J$29,"")</f>
        <v/>
      </c>
      <c r="BP222" s="518" t="str">
        <f>IF(AND(_AC4="A-320",'2023'!$I$4="CA",'2023'!$I$2=BP195),'2023DATA'!$K$29,"")</f>
        <v/>
      </c>
      <c r="BQ222" s="518" t="str">
        <f>IF(AND(_AC4="A-320",'2023'!$I$4="CA",'2023'!$I$2=BQ195),'2023DATA'!$L$29,"")</f>
        <v/>
      </c>
      <c r="BR222" s="518" t="str">
        <f>IF(AND(_AC4="A-320",'2023'!$I$4="CA",'2023'!$I$2=BR195),'2023DATA'!$M$29,"")</f>
        <v/>
      </c>
      <c r="BS222" s="520" t="str">
        <f>IF(AND(_AC4="A-320",'2023'!$I$4="CA",'2023'!$I$2=BS195),'2023DATA'!$N$29,"")</f>
        <v/>
      </c>
      <c r="BT222" s="940" t="s">
        <v>70</v>
      </c>
      <c r="BU222" s="13" t="s">
        <v>61</v>
      </c>
      <c r="BV222" s="518" t="str">
        <f>IF(AND(_AC5="A-320",'2023'!$I$4="CA",'2023'!$I$2=BV195),'2023DATA'!$C$29,"")</f>
        <v/>
      </c>
      <c r="BW222" s="518" t="str">
        <f>IF(AND(_AC5="A-320",'2023'!$I$4="CA",'2023'!$I$2=BW195),'2023DATA'!$D$29,"")</f>
        <v/>
      </c>
      <c r="BX222" s="518" t="str">
        <f>IF(AND(_AC5="A-320",'2023'!$I$4="CA",'2023'!$I$2=BX195),'2023DATA'!$E$29,"")</f>
        <v/>
      </c>
      <c r="BY222" s="518" t="str">
        <f>IF(AND(_AC5="A-320",'2023'!$I$4="CA",'2023'!$I$2=BY195),'2023DATA'!$F$29,"")</f>
        <v/>
      </c>
      <c r="BZ222" s="518" t="str">
        <f>IF(AND(_AC5="A-320",'2023'!$I$4="CA",'2023'!$I$2=BZ195),'2023DATA'!$G$29,"")</f>
        <v/>
      </c>
      <c r="CA222" s="518" t="str">
        <f>IF(AND(_AC5="A-320",'2023'!$I$4="CA",'2023'!$I$2=CA195),'2023DATA'!$H$29,"")</f>
        <v/>
      </c>
      <c r="CB222" s="518" t="str">
        <f>IF(AND(_AC5="A-320",'2023'!$I$4="CA",'2023'!$I$2=CB195),'2023DATA'!$I$29,"")</f>
        <v/>
      </c>
      <c r="CC222" s="518" t="str">
        <f>IF(AND(_AC5="A-320",'2023'!$I$4="CA",'2023'!$I$2=CC195),'2023DATA'!$J$29,"")</f>
        <v/>
      </c>
      <c r="CD222" s="518" t="str">
        <f>IF(AND(_AC5="A-320",'2023'!$I$4="CA",'2023'!$I$2=CD195),'2023DATA'!$K$29,"")</f>
        <v/>
      </c>
      <c r="CE222" s="518" t="str">
        <f>IF(AND(_AC5="A-320",'2023'!$I$4="CA",'2023'!$I$2=CE195),'2023DATA'!$L$29,"")</f>
        <v/>
      </c>
      <c r="CF222" s="518" t="str">
        <f>IF(AND(_AC5="A-320",'2023'!$I$4="CA",'2023'!$I$2=CF195),'2023DATA'!$M$29,"")</f>
        <v/>
      </c>
      <c r="CG222" s="520" t="str">
        <f>IF(AND(_AC5="A-320",'2023'!$I$4="CA",'2023'!$I$2=CG195),'2023DATA'!$N$29,"")</f>
        <v/>
      </c>
      <c r="CH222" s="940" t="s">
        <v>70</v>
      </c>
      <c r="CI222" s="13" t="s">
        <v>61</v>
      </c>
      <c r="CJ222" s="518" t="str">
        <f>IF(AND(_AC6="A-320",'2023'!$I$4="CA",'2023'!$I$2=CJ195),'2023DATA'!$C$29,"")</f>
        <v/>
      </c>
      <c r="CK222" s="518" t="str">
        <f>IF(AND(_AC6="A-320",'2023'!$I$4="CA",'2023'!$I$2=CK195),'2023DATA'!$D$29,"")</f>
        <v/>
      </c>
      <c r="CL222" s="518" t="str">
        <f>IF(AND(_AC6="A-320",'2023'!$I$4="CA",'2023'!$I$2=CL195),'2023DATA'!$E$29,"")</f>
        <v/>
      </c>
      <c r="CM222" s="518" t="str">
        <f>IF(AND(_AC6="A-320",'2023'!$I$4="CA",'2023'!$I$2=CM195),'2023DATA'!$F$29,"")</f>
        <v/>
      </c>
      <c r="CN222" s="518" t="str">
        <f>IF(AND(_AC6="A-320",'2023'!$I$4="CA",'2023'!$I$2=CN195),'2023DATA'!$G$29,"")</f>
        <v/>
      </c>
      <c r="CO222" s="518" t="str">
        <f>IF(AND(_AC6="A-320",'2023'!$I$4="CA",'2023'!$I$2=CO195),'2023DATA'!$H$29,"")</f>
        <v/>
      </c>
      <c r="CP222" s="518" t="str">
        <f>IF(AND(_AC6="A-320",'2023'!$I$4="CA",'2023'!$I$2=CP195),'2023DATA'!$I$29,"")</f>
        <v/>
      </c>
      <c r="CQ222" s="518" t="str">
        <f>IF(AND(_AC6="A-320",'2023'!$I$4="CA",'2023'!$I$2=CQ195),'2023DATA'!$J$29,"")</f>
        <v/>
      </c>
      <c r="CR222" s="518" t="str">
        <f>IF(AND(_AC6="A-320",'2023'!$I$4="CA",'2023'!$I$2=CR195),'2023DATA'!$K$29,"")</f>
        <v/>
      </c>
      <c r="CS222" s="518" t="str">
        <f>IF(AND(_AC6="A-320",'2023'!$I$4="CA",'2023'!$I$2=CS195),'2023DATA'!$L$29,"")</f>
        <v/>
      </c>
      <c r="CT222" s="518" t="str">
        <f>IF(AND(_AC6="A-320",'2023'!$I$4="CA",'2023'!$I$2=CT195),'2023DATA'!$M$29,"")</f>
        <v/>
      </c>
      <c r="CU222" s="520" t="str">
        <f>IF(AND(_AC6="A-320",'2023'!$I$4="CA",'2023'!$I$2=CU195),'2023DATA'!$N$29,"")</f>
        <v/>
      </c>
    </row>
    <row r="223" spans="16:99" x14ac:dyDescent="0.25">
      <c r="P223" s="940"/>
      <c r="Q223" s="13" t="s">
        <v>62</v>
      </c>
      <c r="R223" s="518" t="str">
        <f>IF(AND(_AC1="A-320",'2023'!$I$4="FO",'2023'!$I$2=R195),'2023DATA'!$C$30,"")</f>
        <v/>
      </c>
      <c r="S223" s="518" t="str">
        <f>IF(AND(_AC1="A-320",'2023'!$I$4="FO",'2023'!$I$2=S195),'2023DATA'!$D$30,"")</f>
        <v/>
      </c>
      <c r="T223" s="518" t="str">
        <f>IF(AND(_AC1="A-320",'2023'!$I$4="FO",'2023'!$I$2=T195),'2023DATA'!$E$30,"")</f>
        <v/>
      </c>
      <c r="U223" s="518" t="str">
        <f>IF(AND(_AC1="A-320",'2023'!$I$4="FO",'2023'!$I$2=U195),'2023DATA'!$F$30,"")</f>
        <v/>
      </c>
      <c r="V223" s="518" t="str">
        <f>IF(AND(_AC1="A-320",'2023'!$I$4="FO",'2023'!$I$2=V195),'2023DATA'!$G$30,"")</f>
        <v/>
      </c>
      <c r="W223" s="518" t="str">
        <f>IF(AND(_AC1="A-320",'2023'!$I$4="FO",'2023'!$I$2=W195),'2023DATA'!$H$30,"")</f>
        <v/>
      </c>
      <c r="X223" s="518" t="str">
        <f>IF(AND(_AC1="A-320",'2023'!$I$4="FO",'2023'!$I$2=X195),'2023DATA'!$I$30,"")</f>
        <v/>
      </c>
      <c r="Y223" s="518" t="str">
        <f>IF(AND(_AC1="A-320",'2023'!$I$4="FO",'2023'!$I$2=Y195),'2023DATA'!$J$30,"")</f>
        <v/>
      </c>
      <c r="Z223" s="518" t="str">
        <f>IF(AND(_AC1="A-320",'2023'!$I$4="FO",'2023'!$I$2=Z195),'2023DATA'!$K$30,"")</f>
        <v/>
      </c>
      <c r="AA223" s="518" t="str">
        <f>IF(AND(_AC1="A-320",'2023'!$I$4="FO",'2023'!$I$2=AA195),'2023DATA'!$L$30,"")</f>
        <v/>
      </c>
      <c r="AB223" s="518" t="str">
        <f>IF(AND(_AC1="A-320",'2023'!$I$4="FO",'2023'!$I$2=AB195),'2023DATA'!$M$30,"")</f>
        <v/>
      </c>
      <c r="AC223" s="520" t="str">
        <f>IF(AND(_AC1="A-320",'2023'!$I$4="FO",'2023'!$I$2=AC195),'2023DATA'!$N$30,"")</f>
        <v/>
      </c>
      <c r="AD223" s="940"/>
      <c r="AE223" s="13" t="s">
        <v>62</v>
      </c>
      <c r="AF223" s="518" t="str">
        <f>IF(AND(_AC2="A-320",'2023'!$I$4="FO",'2023'!$I$2=AF195),'2023DATA'!$C$30,"")</f>
        <v/>
      </c>
      <c r="AG223" s="518" t="str">
        <f>IF(AND(_AC2="A-320",'2023'!$I$4="FO",'2023'!$I$2=AG195),'2023DATA'!$D$30,"")</f>
        <v/>
      </c>
      <c r="AH223" s="518" t="str">
        <f>IF(AND(_AC2="A-320",'2023'!$I$4="FO",'2023'!$I$2=AH195),'2023DATA'!$E$30,"")</f>
        <v/>
      </c>
      <c r="AI223" s="518" t="str">
        <f>IF(AND(_AC2="A-320",'2023'!$I$4="FO",'2023'!$I$2=AI195),'2023DATA'!$F$30,"")</f>
        <v/>
      </c>
      <c r="AJ223" s="518" t="str">
        <f>IF(AND(_AC2="A-320",'2023'!$I$4="FO",'2023'!$I$2=AJ195),'2023DATA'!$G$30,"")</f>
        <v/>
      </c>
      <c r="AK223" s="518" t="str">
        <f>IF(AND(_AC2="A-320",'2023'!$I$4="FO",'2023'!$I$2=AK195),'2023DATA'!$H$30,"")</f>
        <v/>
      </c>
      <c r="AL223" s="518" t="str">
        <f>IF(AND(_AC2="A-320",'2023'!$I$4="FO",'2023'!$I$2=AL195),'2023DATA'!$I$30,"")</f>
        <v/>
      </c>
      <c r="AM223" s="518" t="str">
        <f>IF(AND(_AC2="A-320",'2023'!$I$4="FO",'2023'!$I$2=AM195),'2023DATA'!$J$30,"")</f>
        <v/>
      </c>
      <c r="AN223" s="518" t="str">
        <f>IF(AND(_AC2="A-320",'2023'!$I$4="FO",'2023'!$I$2=AN195),'2023DATA'!$K$30,"")</f>
        <v/>
      </c>
      <c r="AO223" s="518" t="str">
        <f>IF(AND(_AC2="A-320",'2023'!$I$4="FO",'2023'!$I$2=AO195),'2023DATA'!$L$30,"")</f>
        <v/>
      </c>
      <c r="AP223" s="518" t="str">
        <f>IF(AND(_AC2="A-320",'2023'!$I$4="FO",'2023'!$I$2=AP195),'2023DATA'!$M$30,"")</f>
        <v/>
      </c>
      <c r="AQ223" s="520" t="str">
        <f>IF(AND(_AC2="A-320",'2023'!$I$4="FO",'2023'!$I$2=AQ195),'2023DATA'!$N$30,"")</f>
        <v/>
      </c>
      <c r="AR223" s="940"/>
      <c r="AS223" s="13" t="s">
        <v>62</v>
      </c>
      <c r="AT223" s="518" t="str">
        <f>IF(AND(_AC3="A-320",'2023'!$I$4="FO",'2023'!$I$2=AT195),'2023DATA'!$C$30,"")</f>
        <v/>
      </c>
      <c r="AU223" s="518" t="str">
        <f>IF(AND(_AC3="A-320",'2023'!$I$4="FO",'2023'!$I$2=AU195),'2023DATA'!$D$30,"")</f>
        <v/>
      </c>
      <c r="AV223" s="518" t="str">
        <f>IF(AND(_AC3="A-320",'2023'!$I$4="FO",'2023'!$I$2=AV195),'2023DATA'!$E$30,"")</f>
        <v/>
      </c>
      <c r="AW223" s="518" t="str">
        <f>IF(AND(_AC3="A-320",'2023'!$I$4="FO",'2023'!$I$2=AW195),'2023DATA'!$F$30,"")</f>
        <v/>
      </c>
      <c r="AX223" s="518" t="str">
        <f>IF(AND(_AC3="A-320",'2023'!$I$4="FO",'2023'!$I$2=AX195),'2023DATA'!$G$30,"")</f>
        <v/>
      </c>
      <c r="AY223" s="518" t="str">
        <f>IF(AND(_AC3="A-320",'2023'!$I$4="FO",'2023'!$I$2=AY195),'2023DATA'!$H$30,"")</f>
        <v/>
      </c>
      <c r="AZ223" s="518" t="str">
        <f>IF(AND(_AC3="A-320",'2023'!$I$4="FO",'2023'!$I$2=AZ195),'2023DATA'!$I$30,"")</f>
        <v/>
      </c>
      <c r="BA223" s="518" t="str">
        <f>IF(AND(_AC3="A-320",'2023'!$I$4="FO",'2023'!$I$2=BA195),'2023DATA'!$J$30,"")</f>
        <v/>
      </c>
      <c r="BB223" s="518" t="str">
        <f>IF(AND(_AC3="A-320",'2023'!$I$4="FO",'2023'!$I$2=BB195),'2023DATA'!$K$30,"")</f>
        <v/>
      </c>
      <c r="BC223" s="518" t="str">
        <f>IF(AND(_AC3="A-320",'2023'!$I$4="FO",'2023'!$I$2=BC195),'2023DATA'!$L$30,"")</f>
        <v/>
      </c>
      <c r="BD223" s="518" t="str">
        <f>IF(AND(_AC3="A-320",'2023'!$I$4="FO",'2023'!$I$2=BD195),'2023DATA'!$M$30,"")</f>
        <v/>
      </c>
      <c r="BE223" s="520" t="str">
        <f>IF(AND(_AC3="A-320",'2023'!$I$4="FO",'2023'!$I$2=BE195),'2023DATA'!$N$30,"")</f>
        <v/>
      </c>
      <c r="BF223" s="940"/>
      <c r="BG223" s="13" t="s">
        <v>62</v>
      </c>
      <c r="BH223" s="518" t="str">
        <f>IF(AND(_AC4="A-320",'2023'!$I$4="FO",'2023'!$I$2=BH195),'2023DATA'!$C$30,"")</f>
        <v/>
      </c>
      <c r="BI223" s="518" t="str">
        <f>IF(AND(_AC4="A-320",'2023'!$I$4="FO",'2023'!$I$2=BI195),'2023DATA'!$D$30,"")</f>
        <v/>
      </c>
      <c r="BJ223" s="518" t="str">
        <f>IF(AND(_AC4="A-320",'2023'!$I$4="FO",'2023'!$I$2=BJ195),'2023DATA'!$E$30,"")</f>
        <v/>
      </c>
      <c r="BK223" s="518" t="str">
        <f>IF(AND(_AC4="A-320",'2023'!$I$4="FO",'2023'!$I$2=BK195),'2023DATA'!$F$30,"")</f>
        <v/>
      </c>
      <c r="BL223" s="518" t="str">
        <f>IF(AND(_AC4="A-320",'2023'!$I$4="FO",'2023'!$I$2=BL195),'2023DATA'!$G$30,"")</f>
        <v/>
      </c>
      <c r="BM223" s="518" t="str">
        <f>IF(AND(_AC4="A-320",'2023'!$I$4="FO",'2023'!$I$2=BM195),'2023DATA'!$H$30,"")</f>
        <v/>
      </c>
      <c r="BN223" s="518" t="str">
        <f>IF(AND(_AC4="A-320",'2023'!$I$4="FO",'2023'!$I$2=BN195),'2023DATA'!$I$30,"")</f>
        <v/>
      </c>
      <c r="BO223" s="518" t="str">
        <f>IF(AND(_AC4="A-320",'2023'!$I$4="FO",'2023'!$I$2=BO195),'2023DATA'!$J$30,"")</f>
        <v/>
      </c>
      <c r="BP223" s="518" t="str">
        <f>IF(AND(_AC4="A-320",'2023'!$I$4="FO",'2023'!$I$2=BP195),'2023DATA'!$K$30,"")</f>
        <v/>
      </c>
      <c r="BQ223" s="518" t="str">
        <f>IF(AND(_AC4="A-320",'2023'!$I$4="FO",'2023'!$I$2=BQ195),'2023DATA'!$L$30,"")</f>
        <v/>
      </c>
      <c r="BR223" s="518" t="str">
        <f>IF(AND(_AC4="A-320",'2023'!$I$4="FO",'2023'!$I$2=BR195),'2023DATA'!$M$30,"")</f>
        <v/>
      </c>
      <c r="BS223" s="520" t="str">
        <f>IF(AND(_AC4="A-320",'2023'!$I$4="FO",'2023'!$I$2=BS195),'2023DATA'!$N$30,"")</f>
        <v/>
      </c>
      <c r="BT223" s="940"/>
      <c r="BU223" s="13" t="s">
        <v>62</v>
      </c>
      <c r="BV223" s="518" t="str">
        <f>IF(AND(_AC5="A-320",'2023'!$I$4="FO",'2023'!$I$2=BV195),'2023DATA'!$C$30,"")</f>
        <v/>
      </c>
      <c r="BW223" s="518" t="str">
        <f>IF(AND(_AC5="A-320",'2023'!$I$4="FO",'2023'!$I$2=BW195),'2023DATA'!$D$30,"")</f>
        <v/>
      </c>
      <c r="BX223" s="518" t="str">
        <f>IF(AND(_AC5="A-320",'2023'!$I$4="FO",'2023'!$I$2=BX195),'2023DATA'!$E$30,"")</f>
        <v/>
      </c>
      <c r="BY223" s="518" t="str">
        <f>IF(AND(_AC5="A-320",'2023'!$I$4="FO",'2023'!$I$2=BY195),'2023DATA'!$F$30,"")</f>
        <v/>
      </c>
      <c r="BZ223" s="518" t="str">
        <f>IF(AND(_AC5="A-320",'2023'!$I$4="FO",'2023'!$I$2=BZ195),'2023DATA'!$G$30,"")</f>
        <v/>
      </c>
      <c r="CA223" s="518" t="str">
        <f>IF(AND(_AC5="A-320",'2023'!$I$4="FO",'2023'!$I$2=CA195),'2023DATA'!$H$30,"")</f>
        <v/>
      </c>
      <c r="CB223" s="518" t="str">
        <f>IF(AND(_AC5="A-320",'2023'!$I$4="FO",'2023'!$I$2=CB195),'2023DATA'!$I$30,"")</f>
        <v/>
      </c>
      <c r="CC223" s="518" t="str">
        <f>IF(AND(_AC5="A-320",'2023'!$I$4="FO",'2023'!$I$2=CC195),'2023DATA'!$J$30,"")</f>
        <v/>
      </c>
      <c r="CD223" s="518" t="str">
        <f>IF(AND(_AC5="A-320",'2023'!$I$4="FO",'2023'!$I$2=CD195),'2023DATA'!$K$30,"")</f>
        <v/>
      </c>
      <c r="CE223" s="518" t="str">
        <f>IF(AND(_AC5="A-320",'2023'!$I$4="FO",'2023'!$I$2=CE195),'2023DATA'!$L$30,"")</f>
        <v/>
      </c>
      <c r="CF223" s="518" t="str">
        <f>IF(AND(_AC5="A-320",'2023'!$I$4="FO",'2023'!$I$2=CF195),'2023DATA'!$M$30,"")</f>
        <v/>
      </c>
      <c r="CG223" s="520" t="str">
        <f>IF(AND(_AC5="A-320",'2023'!$I$4="FO",'2023'!$I$2=CG195),'2023DATA'!$N$30,"")</f>
        <v/>
      </c>
      <c r="CH223" s="940"/>
      <c r="CI223" s="13" t="s">
        <v>62</v>
      </c>
      <c r="CJ223" s="518" t="str">
        <f>IF(AND(_AC6="A-320",'2023'!$I$4="FO",'2023'!$I$2=CJ195),'2023DATA'!$C$30,"")</f>
        <v/>
      </c>
      <c r="CK223" s="518" t="str">
        <f>IF(AND(_AC6="A-320",'2023'!$I$4="FO",'2023'!$I$2=CK195),'2023DATA'!$D$30,"")</f>
        <v/>
      </c>
      <c r="CL223" s="518" t="str">
        <f>IF(AND(_AC6="A-320",'2023'!$I$4="FO",'2023'!$I$2=CL195),'2023DATA'!$E$30,"")</f>
        <v/>
      </c>
      <c r="CM223" s="518" t="str">
        <f>IF(AND(_AC6="A-320",'2023'!$I$4="FO",'2023'!$I$2=CM195),'2023DATA'!$F$30,"")</f>
        <v/>
      </c>
      <c r="CN223" s="518" t="str">
        <f>IF(AND(_AC6="A-320",'2023'!$I$4="FO",'2023'!$I$2=CN195),'2023DATA'!$G$30,"")</f>
        <v/>
      </c>
      <c r="CO223" s="518" t="str">
        <f>IF(AND(_AC6="A-320",'2023'!$I$4="FO",'2023'!$I$2=CO195),'2023DATA'!$H$30,"")</f>
        <v/>
      </c>
      <c r="CP223" s="518" t="str">
        <f>IF(AND(_AC6="A-320",'2023'!$I$4="FO",'2023'!$I$2=CP195),'2023DATA'!$I$30,"")</f>
        <v/>
      </c>
      <c r="CQ223" s="518" t="str">
        <f>IF(AND(_AC6="A-320",'2023'!$I$4="FO",'2023'!$I$2=CQ195),'2023DATA'!$J$30,"")</f>
        <v/>
      </c>
      <c r="CR223" s="518" t="str">
        <f>IF(AND(_AC6="A-320",'2023'!$I$4="FO",'2023'!$I$2=CR195),'2023DATA'!$K$30,"")</f>
        <v/>
      </c>
      <c r="CS223" s="518" t="str">
        <f>IF(AND(_AC6="A-320",'2023'!$I$4="FO",'2023'!$I$2=CS195),'2023DATA'!$L$30,"")</f>
        <v/>
      </c>
      <c r="CT223" s="518" t="str">
        <f>IF(AND(_AC6="A-320",'2023'!$I$4="FO",'2023'!$I$2=CT195),'2023DATA'!$M$30,"")</f>
        <v/>
      </c>
      <c r="CU223" s="520" t="str">
        <f>IF(AND(_AC6="A-320",'2023'!$I$4="FO",'2023'!$I$2=CU195),'2023DATA'!$N$30,"")</f>
        <v/>
      </c>
    </row>
    <row r="224" spans="16:99" x14ac:dyDescent="0.25">
      <c r="P224" s="940" t="s">
        <v>71</v>
      </c>
      <c r="Q224" s="13" t="s">
        <v>61</v>
      </c>
      <c r="R224" s="518" t="str">
        <f>IF(AND(_AC1="A-319",'2023'!$I$4="CA",'2023'!$I$2=R195),'2023DATA'!$C$31,"")</f>
        <v/>
      </c>
      <c r="S224" s="518" t="str">
        <f>IF(AND(_AC1="A-319",'2023'!$I$4="CA",'2023'!$I$2=S195),'2023DATA'!$D$31,"")</f>
        <v/>
      </c>
      <c r="T224" s="518" t="str">
        <f>IF(AND(_AC1="A-319",'2023'!$I$4="CA",'2023'!$I$2=T195),'2023DATA'!$E$31,"")</f>
        <v/>
      </c>
      <c r="U224" s="518" t="str">
        <f>IF(AND(_AC1="A-319",'2023'!$I$4="CA",'2023'!$I$2=U195),'2023DATA'!$F$31,"")</f>
        <v/>
      </c>
      <c r="V224" s="518" t="str">
        <f>IF(AND(_AC1="A-319",'2023'!$I$4="CA",'2023'!$I$2=V195),'2023DATA'!$G$31,"")</f>
        <v/>
      </c>
      <c r="W224" s="518" t="str">
        <f>IF(AND(_AC1="A-319",'2023'!$I$4="CA",'2023'!$I$2=W195),'2023DATA'!$H$31,"")</f>
        <v/>
      </c>
      <c r="X224" s="518" t="str">
        <f>IF(AND(_AC1="A-319",'2023'!$I$4="CA",'2023'!$I$2=X195),'2023DATA'!$I$31,"")</f>
        <v/>
      </c>
      <c r="Y224" s="518" t="str">
        <f>IF(AND(_AC1="A-319",'2023'!$I$4="CA",'2023'!$I$2=Y195),'2023DATA'!$J$31,"")</f>
        <v/>
      </c>
      <c r="Z224" s="518" t="str">
        <f>IF(AND(_AC1="A-319",'2023'!$I$4="CA",'2023'!$I$2=Z195),'2023DATA'!$K$31,"")</f>
        <v/>
      </c>
      <c r="AA224" s="518" t="str">
        <f>IF(AND(_AC1="A-319",'2023'!$I$4="CA",'2023'!$I$2=AA195),'2023DATA'!$L$31,"")</f>
        <v/>
      </c>
      <c r="AB224" s="518" t="str">
        <f>IF(AND(_AC1="A-319",'2023'!$I$4="CA",'2023'!$I$2=AB195),'2023DATA'!$M$31,"")</f>
        <v/>
      </c>
      <c r="AC224" s="520" t="str">
        <f>IF(AND(_AC1="A-319",'2023'!$I$4="CA",'2023'!$I$2=AC195),'2023DATA'!$N$31,"")</f>
        <v/>
      </c>
      <c r="AD224" s="940" t="s">
        <v>71</v>
      </c>
      <c r="AE224" s="13" t="s">
        <v>61</v>
      </c>
      <c r="AF224" s="518" t="str">
        <f>IF(AND(_AC2="A-319",'2023'!$I$4="CA",'2023'!$I$2=AF195),'2023DATA'!$C$31,"")</f>
        <v/>
      </c>
      <c r="AG224" s="518" t="str">
        <f>IF(AND(_AC2="A-319",'2023'!$I$4="CA",'2023'!$I$2=AG195),'2023DATA'!$D$31,"")</f>
        <v/>
      </c>
      <c r="AH224" s="518" t="str">
        <f>IF(AND(_AC2="A-319",'2023'!$I$4="CA",'2023'!$I$2=AH195),'2023DATA'!$E$31,"")</f>
        <v/>
      </c>
      <c r="AI224" s="518" t="str">
        <f>IF(AND(_AC2="A-319",'2023'!$I$4="CA",'2023'!$I$2=AI195),'2023DATA'!$F$31,"")</f>
        <v/>
      </c>
      <c r="AJ224" s="518" t="str">
        <f>IF(AND(_AC2="A-319",'2023'!$I$4="CA",'2023'!$I$2=AJ195),'2023DATA'!$G$31,"")</f>
        <v/>
      </c>
      <c r="AK224" s="518" t="str">
        <f>IF(AND(_AC2="A-319",'2023'!$I$4="CA",'2023'!$I$2=AK195),'2023DATA'!$H$31,"")</f>
        <v/>
      </c>
      <c r="AL224" s="518" t="str">
        <f>IF(AND(_AC2="A-319",'2023'!$I$4="CA",'2023'!$I$2=AL195),'2023DATA'!$I$31,"")</f>
        <v/>
      </c>
      <c r="AM224" s="518" t="str">
        <f>IF(AND(_AC2="A-319",'2023'!$I$4="CA",'2023'!$I$2=AM195),'2023DATA'!$J$31,"")</f>
        <v/>
      </c>
      <c r="AN224" s="518" t="str">
        <f>IF(AND(_AC2="A-319",'2023'!$I$4="CA",'2023'!$I$2=AN195),'2023DATA'!$K$31,"")</f>
        <v/>
      </c>
      <c r="AO224" s="518" t="str">
        <f>IF(AND(_AC2="A-319",'2023'!$I$4="CA",'2023'!$I$2=AO195),'2023DATA'!$L$31,"")</f>
        <v/>
      </c>
      <c r="AP224" s="518" t="str">
        <f>IF(AND(_AC2="A-319",'2023'!$I$4="CA",'2023'!$I$2=AP195),'2023DATA'!$M$31,"")</f>
        <v/>
      </c>
      <c r="AQ224" s="520" t="str">
        <f>IF(AND(_AC2="A-319",'2023'!$I$4="CA",'2023'!$I$2=AQ195),'2023DATA'!$N$31,"")</f>
        <v/>
      </c>
      <c r="AR224" s="940" t="s">
        <v>71</v>
      </c>
      <c r="AS224" s="13" t="s">
        <v>61</v>
      </c>
      <c r="AT224" s="518" t="str">
        <f>IF(AND(_AC3="A-319",'2023'!$I$4="CA",'2023'!$I$2=AT195),'2023DATA'!$C$31,"")</f>
        <v/>
      </c>
      <c r="AU224" s="518" t="str">
        <f>IF(AND(_AC3="A-319",'2023'!$I$4="CA",'2023'!$I$2=AU195),'2023DATA'!$D$31,"")</f>
        <v/>
      </c>
      <c r="AV224" s="518" t="str">
        <f>IF(AND(_AC3="A-319",'2023'!$I$4="CA",'2023'!$I$2=AV195),'2023DATA'!$E$31,"")</f>
        <v/>
      </c>
      <c r="AW224" s="518" t="str">
        <f>IF(AND(_AC3="A-319",'2023'!$I$4="CA",'2023'!$I$2=AW195),'2023DATA'!$F$31,"")</f>
        <v/>
      </c>
      <c r="AX224" s="518" t="str">
        <f>IF(AND(_AC3="A-319",'2023'!$I$4="CA",'2023'!$I$2=AX195),'2023DATA'!$G$31,"")</f>
        <v/>
      </c>
      <c r="AY224" s="518" t="str">
        <f>IF(AND(_AC3="A-319",'2023'!$I$4="CA",'2023'!$I$2=AY195),'2023DATA'!$H$31,"")</f>
        <v/>
      </c>
      <c r="AZ224" s="518" t="str">
        <f>IF(AND(_AC3="A-319",'2023'!$I$4="CA",'2023'!$I$2=AZ195),'2023DATA'!$I$31,"")</f>
        <v/>
      </c>
      <c r="BA224" s="518" t="str">
        <f>IF(AND(_AC3="A-319",'2023'!$I$4="CA",'2023'!$I$2=BA195),'2023DATA'!$J$31,"")</f>
        <v/>
      </c>
      <c r="BB224" s="518" t="str">
        <f>IF(AND(_AC3="A-319",'2023'!$I$4="CA",'2023'!$I$2=BB195),'2023DATA'!$K$31,"")</f>
        <v/>
      </c>
      <c r="BC224" s="518" t="str">
        <f>IF(AND(_AC3="A-319",'2023'!$I$4="CA",'2023'!$I$2=BC195),'2023DATA'!$L$31,"")</f>
        <v/>
      </c>
      <c r="BD224" s="518" t="str">
        <f>IF(AND(_AC3="A-319",'2023'!$I$4="CA",'2023'!$I$2=BD195),'2023DATA'!$M$31,"")</f>
        <v/>
      </c>
      <c r="BE224" s="520" t="str">
        <f>IF(AND(_AC3="A-319",'2023'!$I$4="CA",'2023'!$I$2=BE195),'2023DATA'!$N$31,"")</f>
        <v/>
      </c>
      <c r="BF224" s="940" t="s">
        <v>71</v>
      </c>
      <c r="BG224" s="13" t="s">
        <v>61</v>
      </c>
      <c r="BH224" s="518" t="str">
        <f>IF(AND(_AC4="A-319",'2023'!$I$4="CA",'2023'!$I$2=BH195),'2023DATA'!$C$31,"")</f>
        <v/>
      </c>
      <c r="BI224" s="518" t="str">
        <f>IF(AND(_AC4="A-319",'2023'!$I$4="CA",'2023'!$I$2=BI195),'2023DATA'!$D$31,"")</f>
        <v/>
      </c>
      <c r="BJ224" s="518" t="str">
        <f>IF(AND(_AC4="A-319",'2023'!$I$4="CA",'2023'!$I$2=BJ195),'2023DATA'!$E$31,"")</f>
        <v/>
      </c>
      <c r="BK224" s="518" t="str">
        <f>IF(AND(_AC4="A-319",'2023'!$I$4="CA",'2023'!$I$2=BK195),'2023DATA'!$F$31,"")</f>
        <v/>
      </c>
      <c r="BL224" s="518" t="str">
        <f>IF(AND(_AC4="A-319",'2023'!$I$4="CA",'2023'!$I$2=BL195),'2023DATA'!$G$31,"")</f>
        <v/>
      </c>
      <c r="BM224" s="518" t="str">
        <f>IF(AND(_AC4="A-319",'2023'!$I$4="CA",'2023'!$I$2=BM195),'2023DATA'!$H$31,"")</f>
        <v/>
      </c>
      <c r="BN224" s="518" t="str">
        <f>IF(AND(_AC4="A-319",'2023'!$I$4="CA",'2023'!$I$2=BN195),'2023DATA'!$I$31,"")</f>
        <v/>
      </c>
      <c r="BO224" s="518" t="str">
        <f>IF(AND(_AC4="A-319",'2023'!$I$4="CA",'2023'!$I$2=BO195),'2023DATA'!$J$31,"")</f>
        <v/>
      </c>
      <c r="BP224" s="518" t="str">
        <f>IF(AND(_AC4="A-319",'2023'!$I$4="CA",'2023'!$I$2=BP195),'2023DATA'!$K$31,"")</f>
        <v/>
      </c>
      <c r="BQ224" s="518" t="str">
        <f>IF(AND(_AC4="A-319",'2023'!$I$4="CA",'2023'!$I$2=BQ195),'2023DATA'!$L$31,"")</f>
        <v/>
      </c>
      <c r="BR224" s="518" t="str">
        <f>IF(AND(_AC4="A-319",'2023'!$I$4="CA",'2023'!$I$2=BR195),'2023DATA'!$M$31,"")</f>
        <v/>
      </c>
      <c r="BS224" s="520" t="str">
        <f>IF(AND(_AC4="A-319",'2023'!$I$4="CA",'2023'!$I$2=BS195),'2023DATA'!$N$31,"")</f>
        <v/>
      </c>
      <c r="BT224" s="940" t="s">
        <v>71</v>
      </c>
      <c r="BU224" s="13" t="s">
        <v>61</v>
      </c>
      <c r="BV224" s="518" t="str">
        <f>IF(AND(_AC5="A-319",'2023'!$I$4="CA",'2023'!$I$2=BV195),'2023DATA'!$C$31,"")</f>
        <v/>
      </c>
      <c r="BW224" s="518" t="str">
        <f>IF(AND(_AC5="A-319",'2023'!$I$4="CA",'2023'!$I$2=BW195),'2023DATA'!$D$31,"")</f>
        <v/>
      </c>
      <c r="BX224" s="518" t="str">
        <f>IF(AND(_AC5="A-319",'2023'!$I$4="CA",'2023'!$I$2=BX195),'2023DATA'!$E$31,"")</f>
        <v/>
      </c>
      <c r="BY224" s="518" t="str">
        <f>IF(AND(_AC5="A-319",'2023'!$I$4="CA",'2023'!$I$2=BY195),'2023DATA'!$F$31,"")</f>
        <v/>
      </c>
      <c r="BZ224" s="518" t="str">
        <f>IF(AND(_AC5="A-319",'2023'!$I$4="CA",'2023'!$I$2=BZ195),'2023DATA'!$G$31,"")</f>
        <v/>
      </c>
      <c r="CA224" s="518" t="str">
        <f>IF(AND(_AC5="A-319",'2023'!$I$4="CA",'2023'!$I$2=CA195),'2023DATA'!$H$31,"")</f>
        <v/>
      </c>
      <c r="CB224" s="518" t="str">
        <f>IF(AND(_AC5="A-319",'2023'!$I$4="CA",'2023'!$I$2=CB195),'2023DATA'!$I$31,"")</f>
        <v/>
      </c>
      <c r="CC224" s="518" t="str">
        <f>IF(AND(_AC5="A-319",'2023'!$I$4="CA",'2023'!$I$2=CC195),'2023DATA'!$J$31,"")</f>
        <v/>
      </c>
      <c r="CD224" s="518" t="str">
        <f>IF(AND(_AC5="A-319",'2023'!$I$4="CA",'2023'!$I$2=CD195),'2023DATA'!$K$31,"")</f>
        <v/>
      </c>
      <c r="CE224" s="518" t="str">
        <f>IF(AND(_AC5="A-319",'2023'!$I$4="CA",'2023'!$I$2=CE195),'2023DATA'!$L$31,"")</f>
        <v/>
      </c>
      <c r="CF224" s="518" t="str">
        <f>IF(AND(_AC5="A-319",'2023'!$I$4="CA",'2023'!$I$2=CF195),'2023DATA'!$M$31,"")</f>
        <v/>
      </c>
      <c r="CG224" s="520" t="str">
        <f>IF(AND(_AC5="A-319",'2023'!$I$4="CA",'2023'!$I$2=CG195),'2023DATA'!$N$31,"")</f>
        <v/>
      </c>
      <c r="CH224" s="940" t="s">
        <v>71</v>
      </c>
      <c r="CI224" s="13" t="s">
        <v>61</v>
      </c>
      <c r="CJ224" s="518" t="str">
        <f>IF(AND(_AC6="A-319",'2023'!$I$4="CA",'2023'!$I$2=CJ195),'2023DATA'!$C$31,"")</f>
        <v/>
      </c>
      <c r="CK224" s="518" t="str">
        <f>IF(AND(_AC6="A-319",'2023'!$I$4="CA",'2023'!$I$2=CK195),'2023DATA'!$D$31,"")</f>
        <v/>
      </c>
      <c r="CL224" s="518" t="str">
        <f>IF(AND(_AC6="A-319",'2023'!$I$4="CA",'2023'!$I$2=CL195),'2023DATA'!$E$31,"")</f>
        <v/>
      </c>
      <c r="CM224" s="518" t="str">
        <f>IF(AND(_AC6="A-319",'2023'!$I$4="CA",'2023'!$I$2=CM195),'2023DATA'!$F$31,"")</f>
        <v/>
      </c>
      <c r="CN224" s="518" t="str">
        <f>IF(AND(_AC6="A-319",'2023'!$I$4="CA",'2023'!$I$2=CN195),'2023DATA'!$G$31,"")</f>
        <v/>
      </c>
      <c r="CO224" s="518" t="str">
        <f>IF(AND(_AC6="A-319",'2023'!$I$4="CA",'2023'!$I$2=CO195),'2023DATA'!$H$31,"")</f>
        <v/>
      </c>
      <c r="CP224" s="518" t="str">
        <f>IF(AND(_AC6="A-319",'2023'!$I$4="CA",'2023'!$I$2=CP195),'2023DATA'!$I$31,"")</f>
        <v/>
      </c>
      <c r="CQ224" s="518" t="str">
        <f>IF(AND(_AC6="A-319",'2023'!$I$4="CA",'2023'!$I$2=CQ195),'2023DATA'!$J$31,"")</f>
        <v/>
      </c>
      <c r="CR224" s="518" t="str">
        <f>IF(AND(_AC6="A-319",'2023'!$I$4="CA",'2023'!$I$2=CR195),'2023DATA'!$K$31,"")</f>
        <v/>
      </c>
      <c r="CS224" s="518" t="str">
        <f>IF(AND(_AC6="A-319",'2023'!$I$4="CA",'2023'!$I$2=CS195),'2023DATA'!$L$31,"")</f>
        <v/>
      </c>
      <c r="CT224" s="518" t="str">
        <f>IF(AND(_AC6="A-319",'2023'!$I$4="CA",'2023'!$I$2=CT195),'2023DATA'!$M$31,"")</f>
        <v/>
      </c>
      <c r="CU224" s="520" t="str">
        <f>IF(AND(_AC6="A-319",'2023'!$I$4="CA",'2023'!$I$2=CU195),'2023DATA'!$N$31,"")</f>
        <v/>
      </c>
    </row>
    <row r="225" spans="16:99" x14ac:dyDescent="0.25">
      <c r="P225" s="940"/>
      <c r="Q225" s="13" t="s">
        <v>62</v>
      </c>
      <c r="R225" s="518" t="str">
        <f>IF(AND(_AC1="A-319",'2023'!$I$4="FO",'2023'!$I$2=R195),'2023DATA'!$C$32,"")</f>
        <v/>
      </c>
      <c r="S225" s="518" t="str">
        <f>IF(AND(_AC1="A-319",'2023'!$I$4="FO",'2023'!$I$2=S195),'2023DATA'!$D$32,"")</f>
        <v/>
      </c>
      <c r="T225" s="518" t="str">
        <f>IF(AND(_AC1="A-319",'2023'!$I$4="FO",'2023'!$I$2=T195),'2023DATA'!$E$32,"")</f>
        <v/>
      </c>
      <c r="U225" s="518" t="str">
        <f>IF(AND(_AC1="A-319",'2023'!$I$4="FO",'2023'!$I$2=U195),'2023DATA'!$F$32,"")</f>
        <v/>
      </c>
      <c r="V225" s="518" t="str">
        <f>IF(AND(_AC1="A-319",'2023'!$I$4="FO",'2023'!$I$2=V195),'2023DATA'!$G$32,"")</f>
        <v/>
      </c>
      <c r="W225" s="518" t="str">
        <f>IF(AND(_AC1="A-319",'2023'!$I$4="FO",'2023'!$I$2=W195),'2023DATA'!$H$32,"")</f>
        <v/>
      </c>
      <c r="X225" s="518" t="str">
        <f>IF(AND(_AC1="A-319",'2023'!$I$4="FO",'2023'!$I$2=X195),'2023DATA'!$I$32,"")</f>
        <v/>
      </c>
      <c r="Y225" s="518" t="str">
        <f>IF(AND(_AC1="A-319",'2023'!$I$4="FO",'2023'!$I$2=Y195),'2023DATA'!$J$32,"")</f>
        <v/>
      </c>
      <c r="Z225" s="518" t="str">
        <f>IF(AND(_AC1="A-319",'2023'!$I$4="FO",'2023'!$I$2=Z195),'2023DATA'!$K$32,"")</f>
        <v/>
      </c>
      <c r="AA225" s="518" t="str">
        <f>IF(AND(_AC1="A-319",'2023'!$I$4="FO",'2023'!$I$2=AA195),'2023DATA'!$L$32,"")</f>
        <v/>
      </c>
      <c r="AB225" s="518" t="str">
        <f>IF(AND(_AC1="A-319",'2023'!$I$4="FO",'2023'!$I$2=AB195),'2023DATA'!$M$32,"")</f>
        <v/>
      </c>
      <c r="AC225" s="520" t="str">
        <f>IF(AND(_AC1="A-319",'2023'!$I$4="FO",'2023'!$I$2=AC195),'2023DATA'!$N$32,"")</f>
        <v/>
      </c>
      <c r="AD225" s="940"/>
      <c r="AE225" s="13" t="s">
        <v>62</v>
      </c>
      <c r="AF225" s="518" t="str">
        <f>IF(AND(_AC2="A-319",'2023'!$I$4="FO",'2023'!$I$2=AF195),'2023DATA'!$C$32,"")</f>
        <v/>
      </c>
      <c r="AG225" s="518" t="str">
        <f>IF(AND(_AC2="A-319",'2023'!$I$4="FO",'2023'!$I$2=AG195),'2023DATA'!$D$32,"")</f>
        <v/>
      </c>
      <c r="AH225" s="518" t="str">
        <f>IF(AND(_AC2="A-319",'2023'!$I$4="FO",'2023'!$I$2=AH195),'2023DATA'!$E$32,"")</f>
        <v/>
      </c>
      <c r="AI225" s="518" t="str">
        <f>IF(AND(_AC2="A-319",'2023'!$I$4="FO",'2023'!$I$2=AI195),'2023DATA'!$F$32,"")</f>
        <v/>
      </c>
      <c r="AJ225" s="518" t="str">
        <f>IF(AND(_AC2="A-319",'2023'!$I$4="FO",'2023'!$I$2=AJ195),'2023DATA'!$G$32,"")</f>
        <v/>
      </c>
      <c r="AK225" s="518" t="str">
        <f>IF(AND(_AC2="A-319",'2023'!$I$4="FO",'2023'!$I$2=AK195),'2023DATA'!$H$32,"")</f>
        <v/>
      </c>
      <c r="AL225" s="518" t="str">
        <f>IF(AND(_AC2="A-319",'2023'!$I$4="FO",'2023'!$I$2=AL195),'2023DATA'!$I$32,"")</f>
        <v/>
      </c>
      <c r="AM225" s="518" t="str">
        <f>IF(AND(_AC2="A-319",'2023'!$I$4="FO",'2023'!$I$2=AM195),'2023DATA'!$J$32,"")</f>
        <v/>
      </c>
      <c r="AN225" s="518" t="str">
        <f>IF(AND(_AC2="A-319",'2023'!$I$4="FO",'2023'!$I$2=AN195),'2023DATA'!$K$32,"")</f>
        <v/>
      </c>
      <c r="AO225" s="518" t="str">
        <f>IF(AND(_AC2="A-319",'2023'!$I$4="FO",'2023'!$I$2=AO195),'2023DATA'!$L$32,"")</f>
        <v/>
      </c>
      <c r="AP225" s="518" t="str">
        <f>IF(AND(_AC2="A-319",'2023'!$I$4="FO",'2023'!$I$2=AP195),'2023DATA'!$M$32,"")</f>
        <v/>
      </c>
      <c r="AQ225" s="520" t="str">
        <f>IF(AND(_AC2="A-319",'2023'!$I$4="FO",'2023'!$I$2=AQ195),'2023DATA'!$N$32,"")</f>
        <v/>
      </c>
      <c r="AR225" s="940"/>
      <c r="AS225" s="13" t="s">
        <v>62</v>
      </c>
      <c r="AT225" s="518" t="str">
        <f>IF(AND(_AC3="A-319",'2023'!$I$4="FO",'2023'!$I$2=AT195),'2023DATA'!$C$32,"")</f>
        <v/>
      </c>
      <c r="AU225" s="518" t="str">
        <f>IF(AND(_AC3="A-319",'2023'!$I$4="FO",'2023'!$I$2=AU195),'2023DATA'!$D$32,"")</f>
        <v/>
      </c>
      <c r="AV225" s="518" t="str">
        <f>IF(AND(_AC3="A-319",'2023'!$I$4="FO",'2023'!$I$2=AV195),'2023DATA'!$E$32,"")</f>
        <v/>
      </c>
      <c r="AW225" s="518" t="str">
        <f>IF(AND(_AC3="A-319",'2023'!$I$4="FO",'2023'!$I$2=AW195),'2023DATA'!$F$32,"")</f>
        <v/>
      </c>
      <c r="AX225" s="518" t="str">
        <f>IF(AND(_AC3="A-319",'2023'!$I$4="FO",'2023'!$I$2=AX195),'2023DATA'!$G$32,"")</f>
        <v/>
      </c>
      <c r="AY225" s="518" t="str">
        <f>IF(AND(_AC3="A-319",'2023'!$I$4="FO",'2023'!$I$2=AY195),'2023DATA'!$H$32,"")</f>
        <v/>
      </c>
      <c r="AZ225" s="518" t="str">
        <f>IF(AND(_AC3="A-319",'2023'!$I$4="FO",'2023'!$I$2=AZ195),'2023DATA'!$I$32,"")</f>
        <v/>
      </c>
      <c r="BA225" s="518" t="str">
        <f>IF(AND(_AC3="A-319",'2023'!$I$4="FO",'2023'!$I$2=BA195),'2023DATA'!$J$32,"")</f>
        <v/>
      </c>
      <c r="BB225" s="518" t="str">
        <f>IF(AND(_AC3="A-319",'2023'!$I$4="FO",'2023'!$I$2=BB195),'2023DATA'!$K$32,"")</f>
        <v/>
      </c>
      <c r="BC225" s="518" t="str">
        <f>IF(AND(_AC3="A-319",'2023'!$I$4="FO",'2023'!$I$2=BC195),'2023DATA'!$L$32,"")</f>
        <v/>
      </c>
      <c r="BD225" s="518" t="str">
        <f>IF(AND(_AC3="A-319",'2023'!$I$4="FO",'2023'!$I$2=BD195),'2023DATA'!$M$32,"")</f>
        <v/>
      </c>
      <c r="BE225" s="520" t="str">
        <f>IF(AND(_AC3="A-319",'2023'!$I$4="FO",'2023'!$I$2=BE195),'2023DATA'!$N$32,"")</f>
        <v/>
      </c>
      <c r="BF225" s="940"/>
      <c r="BG225" s="13" t="s">
        <v>62</v>
      </c>
      <c r="BH225" s="518" t="str">
        <f>IF(AND(_AC4="A-319",'2023'!$I$4="FO",'2023'!$I$2=BH195),'2023DATA'!$C$32,"")</f>
        <v/>
      </c>
      <c r="BI225" s="518" t="str">
        <f>IF(AND(_AC4="A-319",'2023'!$I$4="FO",'2023'!$I$2=BI195),'2023DATA'!$D$32,"")</f>
        <v/>
      </c>
      <c r="BJ225" s="518" t="str">
        <f>IF(AND(_AC4="A-319",'2023'!$I$4="FO",'2023'!$I$2=BJ195),'2023DATA'!$E$32,"")</f>
        <v/>
      </c>
      <c r="BK225" s="518" t="str">
        <f>IF(AND(_AC4="A-319",'2023'!$I$4="FO",'2023'!$I$2=BK195),'2023DATA'!$F$32,"")</f>
        <v/>
      </c>
      <c r="BL225" s="518" t="str">
        <f>IF(AND(_AC4="A-319",'2023'!$I$4="FO",'2023'!$I$2=BL195),'2023DATA'!$G$32,"")</f>
        <v/>
      </c>
      <c r="BM225" s="518" t="str">
        <f>IF(AND(_AC4="A-319",'2023'!$I$4="FO",'2023'!$I$2=BM195),'2023DATA'!$H$32,"")</f>
        <v/>
      </c>
      <c r="BN225" s="518" t="str">
        <f>IF(AND(_AC4="A-319",'2023'!$I$4="FO",'2023'!$I$2=BN195),'2023DATA'!$I$32,"")</f>
        <v/>
      </c>
      <c r="BO225" s="518" t="str">
        <f>IF(AND(_AC4="A-319",'2023'!$I$4="FO",'2023'!$I$2=BO195),'2023DATA'!$J$32,"")</f>
        <v/>
      </c>
      <c r="BP225" s="518" t="str">
        <f>IF(AND(_AC4="A-319",'2023'!$I$4="FO",'2023'!$I$2=BP195),'2023DATA'!$K$32,"")</f>
        <v/>
      </c>
      <c r="BQ225" s="518" t="str">
        <f>IF(AND(_AC4="A-319",'2023'!$I$4="FO",'2023'!$I$2=BQ195),'2023DATA'!$L$32,"")</f>
        <v/>
      </c>
      <c r="BR225" s="518" t="str">
        <f>IF(AND(_AC4="A-319",'2023'!$I$4="FO",'2023'!$I$2=BR195),'2023DATA'!$M$32,"")</f>
        <v/>
      </c>
      <c r="BS225" s="520" t="str">
        <f>IF(AND(_AC4="A-319",'2023'!$I$4="FO",'2023'!$I$2=BS195),'2023DATA'!$N$32,"")</f>
        <v/>
      </c>
      <c r="BT225" s="940"/>
      <c r="BU225" s="13" t="s">
        <v>62</v>
      </c>
      <c r="BV225" s="518" t="str">
        <f>IF(AND(_AC5="A-319",'2023'!$I$4="FO",'2023'!$I$2=BV195),'2023DATA'!$C$32,"")</f>
        <v/>
      </c>
      <c r="BW225" s="518" t="str">
        <f>IF(AND(_AC5="A-319",'2023'!$I$4="FO",'2023'!$I$2=BW195),'2023DATA'!$D$32,"")</f>
        <v/>
      </c>
      <c r="BX225" s="518" t="str">
        <f>IF(AND(_AC5="A-319",'2023'!$I$4="FO",'2023'!$I$2=BX195),'2023DATA'!$E$32,"")</f>
        <v/>
      </c>
      <c r="BY225" s="518" t="str">
        <f>IF(AND(_AC5="A-319",'2023'!$I$4="FO",'2023'!$I$2=BY195),'2023DATA'!$F$32,"")</f>
        <v/>
      </c>
      <c r="BZ225" s="518" t="str">
        <f>IF(AND(_AC5="A-319",'2023'!$I$4="FO",'2023'!$I$2=BZ195),'2023DATA'!$G$32,"")</f>
        <v/>
      </c>
      <c r="CA225" s="518" t="str">
        <f>IF(AND(_AC5="A-319",'2023'!$I$4="FO",'2023'!$I$2=CA195),'2023DATA'!$H$32,"")</f>
        <v/>
      </c>
      <c r="CB225" s="518" t="str">
        <f>IF(AND(_AC5="A-319",'2023'!$I$4="FO",'2023'!$I$2=CB195),'2023DATA'!$I$32,"")</f>
        <v/>
      </c>
      <c r="CC225" s="518" t="str">
        <f>IF(AND(_AC5="A-319",'2023'!$I$4="FO",'2023'!$I$2=CC195),'2023DATA'!$J$32,"")</f>
        <v/>
      </c>
      <c r="CD225" s="518" t="str">
        <f>IF(AND(_AC5="A-319",'2023'!$I$4="FO",'2023'!$I$2=CD195),'2023DATA'!$K$32,"")</f>
        <v/>
      </c>
      <c r="CE225" s="518" t="str">
        <f>IF(AND(_AC5="A-319",'2023'!$I$4="FO",'2023'!$I$2=CE195),'2023DATA'!$L$32,"")</f>
        <v/>
      </c>
      <c r="CF225" s="518" t="str">
        <f>IF(AND(_AC5="A-319",'2023'!$I$4="FO",'2023'!$I$2=CF195),'2023DATA'!$M$32,"")</f>
        <v/>
      </c>
      <c r="CG225" s="520" t="str">
        <f>IF(AND(_AC5="A-319",'2023'!$I$4="FO",'2023'!$I$2=CG195),'2023DATA'!$N$32,"")</f>
        <v/>
      </c>
      <c r="CH225" s="940"/>
      <c r="CI225" s="13" t="s">
        <v>62</v>
      </c>
      <c r="CJ225" s="518" t="str">
        <f>IF(AND(_AC6="A-319",'2023'!$I$4="FO",'2023'!$I$2=CJ195),'2023DATA'!$C$32,"")</f>
        <v/>
      </c>
      <c r="CK225" s="518" t="str">
        <f>IF(AND(_AC6="A-319",'2023'!$I$4="FO",'2023'!$I$2=CK195),'2023DATA'!$D$32,"")</f>
        <v/>
      </c>
      <c r="CL225" s="518" t="str">
        <f>IF(AND(_AC6="A-319",'2023'!$I$4="FO",'2023'!$I$2=CL195),'2023DATA'!$E$32,"")</f>
        <v/>
      </c>
      <c r="CM225" s="518" t="str">
        <f>IF(AND(_AC6="A-319",'2023'!$I$4="FO",'2023'!$I$2=CM195),'2023DATA'!$F$32,"")</f>
        <v/>
      </c>
      <c r="CN225" s="518" t="str">
        <f>IF(AND(_AC6="A-319",'2023'!$I$4="FO",'2023'!$I$2=CN195),'2023DATA'!$G$32,"")</f>
        <v/>
      </c>
      <c r="CO225" s="518" t="str">
        <f>IF(AND(_AC6="A-319",'2023'!$I$4="FO",'2023'!$I$2=CO195),'2023DATA'!$H$32,"")</f>
        <v/>
      </c>
      <c r="CP225" s="518" t="str">
        <f>IF(AND(_AC6="A-319",'2023'!$I$4="FO",'2023'!$I$2=CP195),'2023DATA'!$I$32,"")</f>
        <v/>
      </c>
      <c r="CQ225" s="518" t="str">
        <f>IF(AND(_AC6="A-319",'2023'!$I$4="FO",'2023'!$I$2=CQ195),'2023DATA'!$J$32,"")</f>
        <v/>
      </c>
      <c r="CR225" s="518" t="str">
        <f>IF(AND(_AC6="A-319",'2023'!$I$4="FO",'2023'!$I$2=CR195),'2023DATA'!$K$32,"")</f>
        <v/>
      </c>
      <c r="CS225" s="518" t="str">
        <f>IF(AND(_AC6="A-319",'2023'!$I$4="FO",'2023'!$I$2=CS195),'2023DATA'!$L$32,"")</f>
        <v/>
      </c>
      <c r="CT225" s="518" t="str">
        <f>IF(AND(_AC6="A-319",'2023'!$I$4="FO",'2023'!$I$2=CT195),'2023DATA'!$M$32,"")</f>
        <v/>
      </c>
      <c r="CU225" s="520" t="str">
        <f>IF(AND(_AC6="A-319",'2023'!$I$4="FO",'2023'!$I$2=CU195),'2023DATA'!$N$32,"")</f>
        <v/>
      </c>
    </row>
    <row r="226" spans="16:99" x14ac:dyDescent="0.25">
      <c r="P226" s="940" t="s">
        <v>51</v>
      </c>
      <c r="Q226" s="13" t="s">
        <v>61</v>
      </c>
      <c r="R226" s="518" t="str">
        <f>IF(AND(_AC1="A-220-300",'2023'!$I$4="CA",'2023'!$I$2=R195),'2023DATA'!$C$33,"")</f>
        <v/>
      </c>
      <c r="S226" s="518" t="str">
        <f>IF(AND(_AC1="A-220-300",'2023'!$I$4="CA",'2023'!$I$2=S195),'2023DATA'!$D$33,"")</f>
        <v/>
      </c>
      <c r="T226" s="518" t="str">
        <f>IF(AND(_AC1="A-220-300",'2023'!$I$4="CA",'2023'!$I$2=T195),'2023DATA'!$E$33,"")</f>
        <v/>
      </c>
      <c r="U226" s="518" t="str">
        <f>IF(AND(_AC1="A-220-300",'2023'!$I$4="CA",'2023'!$I$2=U195),'2023DATA'!$F$33,"")</f>
        <v/>
      </c>
      <c r="V226" s="518" t="str">
        <f>IF(AND(_AC1="A-220-300",'2023'!$I$4="CA",'2023'!$I$2=V195),'2023DATA'!$G$33,"")</f>
        <v/>
      </c>
      <c r="W226" s="518" t="str">
        <f>IF(AND(_AC1="A-220-300",'2023'!$I$4="CA",'2023'!$I$2=W195),'2023DATA'!$H$33,"")</f>
        <v/>
      </c>
      <c r="X226" s="518" t="str">
        <f>IF(AND(_AC1="A-220-300",'2023'!$I$4="CA",'2023'!$I$2=X195),'2023DATA'!$I$33,"")</f>
        <v/>
      </c>
      <c r="Y226" s="518" t="str">
        <f>IF(AND(_AC1="A-220-300",'2023'!$I$4="CA",'2023'!$I$2=Y195),'2023DATA'!$J$33,"")</f>
        <v/>
      </c>
      <c r="Z226" s="518" t="str">
        <f>IF(AND(_AC1="A-220-300",'2023'!$I$4="CA",'2023'!$I$2=Z195),'2023DATA'!$K$33,"")</f>
        <v/>
      </c>
      <c r="AA226" s="518" t="str">
        <f>IF(AND(_AC1="A-220-300",'2023'!$I$4="CA",'2023'!$I$2=AA195),'2023DATA'!$L$33,"")</f>
        <v/>
      </c>
      <c r="AB226" s="518" t="str">
        <f>IF(AND(_AC1="A-220-300",'2023'!$I$4="CA",'2023'!$I$2=AB195),'2023DATA'!$M$33,"")</f>
        <v/>
      </c>
      <c r="AC226" s="520" t="str">
        <f>IF(AND(_AC1="A-220-300",'2023'!$I$4="CA",'2023'!$I$2=AC195),'2023DATA'!$N$33,"")</f>
        <v/>
      </c>
      <c r="AD226" s="940" t="s">
        <v>51</v>
      </c>
      <c r="AE226" s="13" t="s">
        <v>61</v>
      </c>
      <c r="AF226" s="518" t="str">
        <f>IF(AND(_AC2="A-220-300",'2023'!$I$4="CA",'2023'!$I$2=AF195),'2023DATA'!$C$33,"")</f>
        <v/>
      </c>
      <c r="AG226" s="518" t="str">
        <f>IF(AND(_AC2="A-220-300",'2023'!$I$4="CA",'2023'!$I$2=AG195),'2023DATA'!$D$33,"")</f>
        <v/>
      </c>
      <c r="AH226" s="518" t="str">
        <f>IF(AND(_AC2="A-220-300",'2023'!$I$4="CA",'2023'!$I$2=AH195),'2023DATA'!$E$33,"")</f>
        <v/>
      </c>
      <c r="AI226" s="518" t="str">
        <f>IF(AND(_AC2="A-220-300",'2023'!$I$4="CA",'2023'!$I$2=AI195),'2023DATA'!$F$33,"")</f>
        <v/>
      </c>
      <c r="AJ226" s="518" t="str">
        <f>IF(AND(_AC2="A-220-300",'2023'!$I$4="CA",'2023'!$I$2=AJ195),'2023DATA'!$G$33,"")</f>
        <v/>
      </c>
      <c r="AK226" s="518" t="str">
        <f>IF(AND(_AC2="A-220-300",'2023'!$I$4="CA",'2023'!$I$2=AK195),'2023DATA'!$H$33,"")</f>
        <v/>
      </c>
      <c r="AL226" s="518" t="str">
        <f>IF(AND(_AC2="A-220-300",'2023'!$I$4="CA",'2023'!$I$2=AL195),'2023DATA'!$I$33,"")</f>
        <v/>
      </c>
      <c r="AM226" s="518" t="str">
        <f>IF(AND(_AC2="A-220-300",'2023'!$I$4="CA",'2023'!$I$2=AM195),'2023DATA'!$J$33,"")</f>
        <v/>
      </c>
      <c r="AN226" s="518" t="str">
        <f>IF(AND(_AC2="A-220-300",'2023'!$I$4="CA",'2023'!$I$2=AN195),'2023DATA'!$K$33,"")</f>
        <v/>
      </c>
      <c r="AO226" s="518" t="str">
        <f>IF(AND(_AC2="A-220-300",'2023'!$I$4="CA",'2023'!$I$2=AO195),'2023DATA'!$L$33,"")</f>
        <v/>
      </c>
      <c r="AP226" s="518" t="str">
        <f>IF(AND(_AC2="A-220-300",'2023'!$I$4="CA",'2023'!$I$2=AP195),'2023DATA'!$M$33,"")</f>
        <v/>
      </c>
      <c r="AQ226" s="520" t="str">
        <f>IF(AND(_AC2="A-220-300",'2023'!$I$4="CA",'2023'!$I$2=AQ195),'2023DATA'!$N$33,"")</f>
        <v/>
      </c>
      <c r="AR226" s="940" t="s">
        <v>51</v>
      </c>
      <c r="AS226" s="13" t="s">
        <v>61</v>
      </c>
      <c r="AT226" s="518" t="str">
        <f>IF(AND(_AC3="A-220-300",'2023'!$I$4="CA",'2023'!$I$2=AT195),'2023DATA'!$C$33,"")</f>
        <v/>
      </c>
      <c r="AU226" s="518" t="str">
        <f>IF(AND(_AC3="A-220-300",'2023'!$I$4="CA",'2023'!$I$2=AU195),'2023DATA'!$D$33,"")</f>
        <v/>
      </c>
      <c r="AV226" s="518" t="str">
        <f>IF(AND(_AC3="A-220-300",'2023'!$I$4="CA",'2023'!$I$2=AV195),'2023DATA'!$E$33,"")</f>
        <v/>
      </c>
      <c r="AW226" s="518" t="str">
        <f>IF(AND(_AC3="A-220-300",'2023'!$I$4="CA",'2023'!$I$2=AW195),'2023DATA'!$F$33,"")</f>
        <v/>
      </c>
      <c r="AX226" s="518" t="str">
        <f>IF(AND(_AC3="A-220-300",'2023'!$I$4="CA",'2023'!$I$2=AX195),'2023DATA'!$G$33,"")</f>
        <v/>
      </c>
      <c r="AY226" s="518" t="str">
        <f>IF(AND(_AC3="A-220-300",'2023'!$I$4="CA",'2023'!$I$2=AY195),'2023DATA'!$H$33,"")</f>
        <v/>
      </c>
      <c r="AZ226" s="518" t="str">
        <f>IF(AND(_AC3="A-220-300",'2023'!$I$4="CA",'2023'!$I$2=AZ195),'2023DATA'!$I$33,"")</f>
        <v/>
      </c>
      <c r="BA226" s="518" t="str">
        <f>IF(AND(_AC3="A-220-300",'2023'!$I$4="CA",'2023'!$I$2=BA195),'2023DATA'!$J$33,"")</f>
        <v/>
      </c>
      <c r="BB226" s="518" t="str">
        <f>IF(AND(_AC3="A-220-300",'2023'!$I$4="CA",'2023'!$I$2=BB195),'2023DATA'!$K$33,"")</f>
        <v/>
      </c>
      <c r="BC226" s="518" t="str">
        <f>IF(AND(_AC3="A-220-300",'2023'!$I$4="CA",'2023'!$I$2=BC195),'2023DATA'!$L$33,"")</f>
        <v/>
      </c>
      <c r="BD226" s="518" t="str">
        <f>IF(AND(_AC3="A-220-300",'2023'!$I$4="CA",'2023'!$I$2=BD195),'2023DATA'!$M$33,"")</f>
        <v/>
      </c>
      <c r="BE226" s="520" t="str">
        <f>IF(AND(_AC3="A-220-300",'2023'!$I$4="CA",'2023'!$I$2=BE195),'2023DATA'!$N$33,"")</f>
        <v/>
      </c>
      <c r="BF226" s="940" t="s">
        <v>51</v>
      </c>
      <c r="BG226" s="13" t="s">
        <v>61</v>
      </c>
      <c r="BH226" s="518" t="str">
        <f>IF(AND(_AC4="A-220-300",'2023'!$I$4="CA",'2023'!$I$2=BH195),'2023DATA'!$C$33,"")</f>
        <v/>
      </c>
      <c r="BI226" s="518" t="str">
        <f>IF(AND(_AC4="A-220-300",'2023'!$I$4="CA",'2023'!$I$2=BI195),'2023DATA'!$D$33,"")</f>
        <v/>
      </c>
      <c r="BJ226" s="518" t="str">
        <f>IF(AND(_AC4="A-220-300",'2023'!$I$4="CA",'2023'!$I$2=BJ195),'2023DATA'!$E$33,"")</f>
        <v/>
      </c>
      <c r="BK226" s="518" t="str">
        <f>IF(AND(_AC4="A-220-300",'2023'!$I$4="CA",'2023'!$I$2=BK195),'2023DATA'!$F$33,"")</f>
        <v/>
      </c>
      <c r="BL226" s="518" t="str">
        <f>IF(AND(_AC4="A-220-300",'2023'!$I$4="CA",'2023'!$I$2=BL195),'2023DATA'!$G$33,"")</f>
        <v/>
      </c>
      <c r="BM226" s="518" t="str">
        <f>IF(AND(_AC4="A-220-300",'2023'!$I$4="CA",'2023'!$I$2=BM195),'2023DATA'!$H$33,"")</f>
        <v/>
      </c>
      <c r="BN226" s="518" t="str">
        <f>IF(AND(_AC4="A-220-300",'2023'!$I$4="CA",'2023'!$I$2=BN195),'2023DATA'!$I$33,"")</f>
        <v/>
      </c>
      <c r="BO226" s="518" t="str">
        <f>IF(AND(_AC4="A-220-300",'2023'!$I$4="CA",'2023'!$I$2=BO195),'2023DATA'!$J$33,"")</f>
        <v/>
      </c>
      <c r="BP226" s="518" t="str">
        <f>IF(AND(_AC4="A-220-300",'2023'!$I$4="CA",'2023'!$I$2=BP195),'2023DATA'!$K$33,"")</f>
        <v/>
      </c>
      <c r="BQ226" s="518" t="str">
        <f>IF(AND(_AC4="A-220-300",'2023'!$I$4="CA",'2023'!$I$2=BQ195),'2023DATA'!$L$33,"")</f>
        <v/>
      </c>
      <c r="BR226" s="518" t="str">
        <f>IF(AND(_AC4="A-220-300",'2023'!$I$4="CA",'2023'!$I$2=BR195),'2023DATA'!$M$33,"")</f>
        <v/>
      </c>
      <c r="BS226" s="520" t="str">
        <f>IF(AND(_AC4="A-220-300",'2023'!$I$4="CA",'2023'!$I$2=BS195),'2023DATA'!$N$33,"")</f>
        <v/>
      </c>
      <c r="BT226" s="940" t="s">
        <v>51</v>
      </c>
      <c r="BU226" s="13" t="s">
        <v>61</v>
      </c>
      <c r="BV226" s="518" t="str">
        <f>IF(AND(_AC5="A-220-300",'2023'!$I$4="CA",'2023'!$I$2=BV195),'2023DATA'!$C$33,"")</f>
        <v/>
      </c>
      <c r="BW226" s="518" t="str">
        <f>IF(AND(_AC5="A-220-300",'2023'!$I$4="CA",'2023'!$I$2=BW195),'2023DATA'!$D$33,"")</f>
        <v/>
      </c>
      <c r="BX226" s="518" t="str">
        <f>IF(AND(_AC5="A-220-300",'2023'!$I$4="CA",'2023'!$I$2=BX195),'2023DATA'!$E$33,"")</f>
        <v/>
      </c>
      <c r="BY226" s="518" t="str">
        <f>IF(AND(_AC5="A-220-300",'2023'!$I$4="CA",'2023'!$I$2=BY195),'2023DATA'!$F$33,"")</f>
        <v/>
      </c>
      <c r="BZ226" s="518" t="str">
        <f>IF(AND(_AC5="A-220-300",'2023'!$I$4="CA",'2023'!$I$2=BZ195),'2023DATA'!$G$33,"")</f>
        <v/>
      </c>
      <c r="CA226" s="518" t="str">
        <f>IF(AND(_AC5="A-220-300",'2023'!$I$4="CA",'2023'!$I$2=CA195),'2023DATA'!$H$33,"")</f>
        <v/>
      </c>
      <c r="CB226" s="518" t="str">
        <f>IF(AND(_AC5="A-220-300",'2023'!$I$4="CA",'2023'!$I$2=CB195),'2023DATA'!$I$33,"")</f>
        <v/>
      </c>
      <c r="CC226" s="518" t="str">
        <f>IF(AND(_AC5="A-220-300",'2023'!$I$4="CA",'2023'!$I$2=CC195),'2023DATA'!$J$33,"")</f>
        <v/>
      </c>
      <c r="CD226" s="518" t="str">
        <f>IF(AND(_AC5="A-220-300",'2023'!$I$4="CA",'2023'!$I$2=CD195),'2023DATA'!$K$33,"")</f>
        <v/>
      </c>
      <c r="CE226" s="518" t="str">
        <f>IF(AND(_AC5="A-220-300",'2023'!$I$4="CA",'2023'!$I$2=CE195),'2023DATA'!$L$33,"")</f>
        <v/>
      </c>
      <c r="CF226" s="518" t="str">
        <f>IF(AND(_AC5="A-220-300",'2023'!$I$4="CA",'2023'!$I$2=CF195),'2023DATA'!$M$33,"")</f>
        <v/>
      </c>
      <c r="CG226" s="520" t="str">
        <f>IF(AND(_AC5="A-220-300",'2023'!$I$4="CA",'2023'!$I$2=CG195),'2023DATA'!$N$33,"")</f>
        <v/>
      </c>
      <c r="CH226" s="940" t="s">
        <v>51</v>
      </c>
      <c r="CI226" s="13" t="s">
        <v>61</v>
      </c>
      <c r="CJ226" s="518" t="str">
        <f>IF(AND(_AC6="A-220-300",'2023'!$I$4="CA",'2023'!$I$2=CJ195),'2023DATA'!$C$33,"")</f>
        <v/>
      </c>
      <c r="CK226" s="518" t="str">
        <f>IF(AND(_AC6="A-220-300",'2023'!$I$4="CA",'2023'!$I$2=CK195),'2023DATA'!$D$33,"")</f>
        <v/>
      </c>
      <c r="CL226" s="518" t="str">
        <f>IF(AND(_AC6="A-220-300",'2023'!$I$4="CA",'2023'!$I$2=CL195),'2023DATA'!$E$33,"")</f>
        <v/>
      </c>
      <c r="CM226" s="518" t="str">
        <f>IF(AND(_AC6="A-220-300",'2023'!$I$4="CA",'2023'!$I$2=CM195),'2023DATA'!$F$33,"")</f>
        <v/>
      </c>
      <c r="CN226" s="518" t="str">
        <f>IF(AND(_AC6="A-220-300",'2023'!$I$4="CA",'2023'!$I$2=CN195),'2023DATA'!$G$33,"")</f>
        <v/>
      </c>
      <c r="CO226" s="518" t="str">
        <f>IF(AND(_AC6="A-220-300",'2023'!$I$4="CA",'2023'!$I$2=CO195),'2023DATA'!$H$33,"")</f>
        <v/>
      </c>
      <c r="CP226" s="518" t="str">
        <f>IF(AND(_AC6="A-220-300",'2023'!$I$4="CA",'2023'!$I$2=CP195),'2023DATA'!$I$33,"")</f>
        <v/>
      </c>
      <c r="CQ226" s="518" t="str">
        <f>IF(AND(_AC6="A-220-300",'2023'!$I$4="CA",'2023'!$I$2=CQ195),'2023DATA'!$J$33,"")</f>
        <v/>
      </c>
      <c r="CR226" s="518" t="str">
        <f>IF(AND(_AC6="A-220-300",'2023'!$I$4="CA",'2023'!$I$2=CR195),'2023DATA'!$K$33,"")</f>
        <v/>
      </c>
      <c r="CS226" s="518" t="str">
        <f>IF(AND(_AC6="A-220-300",'2023'!$I$4="CA",'2023'!$I$2=CS195),'2023DATA'!$L$33,"")</f>
        <v/>
      </c>
      <c r="CT226" s="518" t="str">
        <f>IF(AND(_AC6="A-220-300",'2023'!$I$4="CA",'2023'!$I$2=CT195),'2023DATA'!$M$33,"")</f>
        <v/>
      </c>
      <c r="CU226" s="520" t="str">
        <f>IF(AND(_AC6="A-220-300",'2023'!$I$4="CA",'2023'!$I$2=CU195),'2023DATA'!$N$33,"")</f>
        <v/>
      </c>
    </row>
    <row r="227" spans="16:99" x14ac:dyDescent="0.25">
      <c r="P227" s="940"/>
      <c r="Q227" s="13" t="s">
        <v>62</v>
      </c>
      <c r="R227" s="518" t="str">
        <f>IF(AND(_AC1="A-220-300",'2023'!$I$4="FO",'2023'!$I$2=R195),'2023DATA'!$C$34,"")</f>
        <v/>
      </c>
      <c r="S227" s="518" t="str">
        <f>IF(AND(_AC1="A-220-300",'2023'!$I$4="FO",'2023'!$I$2=S195),'2023DATA'!$D$34,"")</f>
        <v/>
      </c>
      <c r="T227" s="518" t="str">
        <f>IF(AND(_AC1="A-220-300",'2023'!$I$4="FO",'2023'!$I$2=T195),'2023DATA'!$E$34,"")</f>
        <v/>
      </c>
      <c r="U227" s="518" t="str">
        <f>IF(AND(_AC1="A-220-300",'2023'!$I$4="FO",'2023'!$I$2=U195),'2023DATA'!$F$34,"")</f>
        <v/>
      </c>
      <c r="V227" s="518" t="str">
        <f>IF(AND(_AC1="A-220-300",'2023'!$I$4="FO",'2023'!$I$2=V195),'2023DATA'!$G$34,"")</f>
        <v/>
      </c>
      <c r="W227" s="518" t="str">
        <f>IF(AND(_AC1="A-220-300",'2023'!$I$4="FO",'2023'!$I$2=W195),'2023DATA'!$H$34,"")</f>
        <v/>
      </c>
      <c r="X227" s="518" t="str">
        <f>IF(AND(_AC1="A-220-300",'2023'!$I$4="FO",'2023'!$I$2=X195),'2023DATA'!$I$34,"")</f>
        <v/>
      </c>
      <c r="Y227" s="518" t="str">
        <f>IF(AND(_AC1="A-220-300",'2023'!$I$4="FO",'2023'!$I$2=Y195),'2023DATA'!$J$34,"")</f>
        <v/>
      </c>
      <c r="Z227" s="518" t="str">
        <f>IF(AND(_AC1="A-220-300",'2023'!$I$4="FO",'2023'!$I$2=Z195),'2023DATA'!$K$34,"")</f>
        <v/>
      </c>
      <c r="AA227" s="518" t="str">
        <f>IF(AND(_AC1="A-220-300",'2023'!$I$4="FO",'2023'!$I$2=AA195),'2023DATA'!$L$34,"")</f>
        <v/>
      </c>
      <c r="AB227" s="518" t="str">
        <f>IF(AND(_AC1="A-220-300",'2023'!$I$4="FO",'2023'!$I$2=AB195),'2023DATA'!$M$34,"")</f>
        <v/>
      </c>
      <c r="AC227" s="520" t="str">
        <f>IF(AND(_AC1="A-220-300",'2023'!$I$4="FO",'2023'!$I$2=AC195),'2023DATA'!$N$34,"")</f>
        <v/>
      </c>
      <c r="AD227" s="940"/>
      <c r="AE227" s="13" t="s">
        <v>62</v>
      </c>
      <c r="AF227" s="518" t="str">
        <f>IF(AND(_AC2="A-220-300",'2023'!$I$4="FO",'2023'!$I$2=AF195),'2023DATA'!$C$34,"")</f>
        <v/>
      </c>
      <c r="AG227" s="518" t="str">
        <f>IF(AND(_AC2="A-220-300",'2023'!$I$4="FO",'2023'!$I$2=AG195),'2023DATA'!$D$34,"")</f>
        <v/>
      </c>
      <c r="AH227" s="518" t="str">
        <f>IF(AND(_AC2="A-220-300",'2023'!$I$4="FO",'2023'!$I$2=AH195),'2023DATA'!$E$34,"")</f>
        <v/>
      </c>
      <c r="AI227" s="518" t="str">
        <f>IF(AND(_AC2="A-220-300",'2023'!$I$4="FO",'2023'!$I$2=AI195),'2023DATA'!$F$34,"")</f>
        <v/>
      </c>
      <c r="AJ227" s="518" t="str">
        <f>IF(AND(_AC2="A-220-300",'2023'!$I$4="FO",'2023'!$I$2=AJ195),'2023DATA'!$G$34,"")</f>
        <v/>
      </c>
      <c r="AK227" s="518" t="str">
        <f>IF(AND(_AC2="A-220-300",'2023'!$I$4="FO",'2023'!$I$2=AK195),'2023DATA'!$H$34,"")</f>
        <v/>
      </c>
      <c r="AL227" s="518" t="str">
        <f>IF(AND(_AC2="A-220-300",'2023'!$I$4="FO",'2023'!$I$2=AL195),'2023DATA'!$I$34,"")</f>
        <v/>
      </c>
      <c r="AM227" s="518" t="str">
        <f>IF(AND(_AC2="A-220-300",'2023'!$I$4="FO",'2023'!$I$2=AM195),'2023DATA'!$J$34,"")</f>
        <v/>
      </c>
      <c r="AN227" s="518" t="str">
        <f>IF(AND(_AC2="A-220-300",'2023'!$I$4="FO",'2023'!$I$2=AN195),'2023DATA'!$K$34,"")</f>
        <v/>
      </c>
      <c r="AO227" s="518" t="str">
        <f>IF(AND(_AC2="A-220-300",'2023'!$I$4="FO",'2023'!$I$2=AO195),'2023DATA'!$L$34,"")</f>
        <v/>
      </c>
      <c r="AP227" s="518" t="str">
        <f>IF(AND(_AC2="A-220-300",'2023'!$I$4="FO",'2023'!$I$2=AP195),'2023DATA'!$M$34,"")</f>
        <v/>
      </c>
      <c r="AQ227" s="520" t="str">
        <f>IF(AND(_AC2="A-220-300",'2023'!$I$4="FO",'2023'!$I$2=AQ195),'2023DATA'!$N$34,"")</f>
        <v/>
      </c>
      <c r="AR227" s="940"/>
      <c r="AS227" s="13" t="s">
        <v>62</v>
      </c>
      <c r="AT227" s="518" t="str">
        <f>IF(AND(_AC3="A-220-300",'2023'!$I$4="FO",'2023'!$I$2=AT195),'2023DATA'!$C$34,"")</f>
        <v/>
      </c>
      <c r="AU227" s="518" t="str">
        <f>IF(AND(_AC3="A-220-300",'2023'!$I$4="FO",'2023'!$I$2=AU195),'2023DATA'!$D$34,"")</f>
        <v/>
      </c>
      <c r="AV227" s="518" t="str">
        <f>IF(AND(_AC3="A-220-300",'2023'!$I$4="FO",'2023'!$I$2=AV195),'2023DATA'!$E$34,"")</f>
        <v/>
      </c>
      <c r="AW227" s="518" t="str">
        <f>IF(AND(_AC3="A-220-300",'2023'!$I$4="FO",'2023'!$I$2=AW195),'2023DATA'!$F$34,"")</f>
        <v/>
      </c>
      <c r="AX227" s="518" t="str">
        <f>IF(AND(_AC3="A-220-300",'2023'!$I$4="FO",'2023'!$I$2=AX195),'2023DATA'!$G$34,"")</f>
        <v/>
      </c>
      <c r="AY227" s="518" t="str">
        <f>IF(AND(_AC3="A-220-300",'2023'!$I$4="FO",'2023'!$I$2=AY195),'2023DATA'!$H$34,"")</f>
        <v/>
      </c>
      <c r="AZ227" s="518" t="str">
        <f>IF(AND(_AC3="A-220-300",'2023'!$I$4="FO",'2023'!$I$2=AZ195),'2023DATA'!$I$34,"")</f>
        <v/>
      </c>
      <c r="BA227" s="518" t="str">
        <f>IF(AND(_AC3="A-220-300",'2023'!$I$4="FO",'2023'!$I$2=BA195),'2023DATA'!$J$34,"")</f>
        <v/>
      </c>
      <c r="BB227" s="518" t="str">
        <f>IF(AND(_AC3="A-220-300",'2023'!$I$4="FO",'2023'!$I$2=BB195),'2023DATA'!$K$34,"")</f>
        <v/>
      </c>
      <c r="BC227" s="518" t="str">
        <f>IF(AND(_AC3="A-220-300",'2023'!$I$4="FO",'2023'!$I$2=BC195),'2023DATA'!$L$34,"")</f>
        <v/>
      </c>
      <c r="BD227" s="518" t="str">
        <f>IF(AND(_AC3="A-220-300",'2023'!$I$4="FO",'2023'!$I$2=BD195),'2023DATA'!$M$34,"")</f>
        <v/>
      </c>
      <c r="BE227" s="520" t="str">
        <f>IF(AND(_AC3="A-220-300",'2023'!$I$4="FO",'2023'!$I$2=BE195),'2023DATA'!$N$34,"")</f>
        <v/>
      </c>
      <c r="BF227" s="940"/>
      <c r="BG227" s="13" t="s">
        <v>62</v>
      </c>
      <c r="BH227" s="518" t="str">
        <f>IF(AND(_AC4="A-220-300",'2023'!$I$4="FO",'2023'!$I$2=BH195),'2023DATA'!$C$34,"")</f>
        <v/>
      </c>
      <c r="BI227" s="518" t="str">
        <f>IF(AND(_AC4="A-220-300",'2023'!$I$4="FO",'2023'!$I$2=BI195),'2023DATA'!$D$34,"")</f>
        <v/>
      </c>
      <c r="BJ227" s="518" t="str">
        <f>IF(AND(_AC4="A-220-300",'2023'!$I$4="FO",'2023'!$I$2=BJ195),'2023DATA'!$E$34,"")</f>
        <v/>
      </c>
      <c r="BK227" s="518" t="str">
        <f>IF(AND(_AC4="A-220-300",'2023'!$I$4="FO",'2023'!$I$2=BK195),'2023DATA'!$F$34,"")</f>
        <v/>
      </c>
      <c r="BL227" s="518" t="str">
        <f>IF(AND(_AC4="A-220-300",'2023'!$I$4="FO",'2023'!$I$2=BL195),'2023DATA'!$G$34,"")</f>
        <v/>
      </c>
      <c r="BM227" s="518" t="str">
        <f>IF(AND(_AC4="A-220-300",'2023'!$I$4="FO",'2023'!$I$2=BM195),'2023DATA'!$H$34,"")</f>
        <v/>
      </c>
      <c r="BN227" s="518" t="str">
        <f>IF(AND(_AC4="A-220-300",'2023'!$I$4="FO",'2023'!$I$2=BN195),'2023DATA'!$I$34,"")</f>
        <v/>
      </c>
      <c r="BO227" s="518" t="str">
        <f>IF(AND(_AC4="A-220-300",'2023'!$I$4="FO",'2023'!$I$2=BO195),'2023DATA'!$J$34,"")</f>
        <v/>
      </c>
      <c r="BP227" s="518" t="str">
        <f>IF(AND(_AC4="A-220-300",'2023'!$I$4="FO",'2023'!$I$2=BP195),'2023DATA'!$K$34,"")</f>
        <v/>
      </c>
      <c r="BQ227" s="518" t="str">
        <f>IF(AND(_AC4="A-220-300",'2023'!$I$4="FO",'2023'!$I$2=BQ195),'2023DATA'!$L$34,"")</f>
        <v/>
      </c>
      <c r="BR227" s="518" t="str">
        <f>IF(AND(_AC4="A-220-300",'2023'!$I$4="FO",'2023'!$I$2=BR195),'2023DATA'!$M$34,"")</f>
        <v/>
      </c>
      <c r="BS227" s="520" t="str">
        <f>IF(AND(_AC4="A-220-300",'2023'!$I$4="FO",'2023'!$I$2=BS195),'2023DATA'!$N$34,"")</f>
        <v/>
      </c>
      <c r="BT227" s="940"/>
      <c r="BU227" s="13" t="s">
        <v>62</v>
      </c>
      <c r="BV227" s="518" t="str">
        <f>IF(AND(_AC5="A-220-300",'2023'!$I$4="FO",'2023'!$I$2=BV195),'2023DATA'!$C$34,"")</f>
        <v/>
      </c>
      <c r="BW227" s="518" t="str">
        <f>IF(AND(_AC5="A-220-300",'2023'!$I$4="FO",'2023'!$I$2=BW195),'2023DATA'!$D$34,"")</f>
        <v/>
      </c>
      <c r="BX227" s="518" t="str">
        <f>IF(AND(_AC5="A-220-300",'2023'!$I$4="FO",'2023'!$I$2=BX195),'2023DATA'!$E$34,"")</f>
        <v/>
      </c>
      <c r="BY227" s="518" t="str">
        <f>IF(AND(_AC5="A-220-300",'2023'!$I$4="FO",'2023'!$I$2=BY195),'2023DATA'!$F$34,"")</f>
        <v/>
      </c>
      <c r="BZ227" s="518" t="str">
        <f>IF(AND(_AC5="A-220-300",'2023'!$I$4="FO",'2023'!$I$2=BZ195),'2023DATA'!$G$34,"")</f>
        <v/>
      </c>
      <c r="CA227" s="518" t="str">
        <f>IF(AND(_AC5="A-220-300",'2023'!$I$4="FO",'2023'!$I$2=CA195),'2023DATA'!$H$34,"")</f>
        <v/>
      </c>
      <c r="CB227" s="518" t="str">
        <f>IF(AND(_AC5="A-220-300",'2023'!$I$4="FO",'2023'!$I$2=CB195),'2023DATA'!$I$34,"")</f>
        <v/>
      </c>
      <c r="CC227" s="518" t="str">
        <f>IF(AND(_AC5="A-220-300",'2023'!$I$4="FO",'2023'!$I$2=CC195),'2023DATA'!$J$34,"")</f>
        <v/>
      </c>
      <c r="CD227" s="518" t="str">
        <f>IF(AND(_AC5="A-220-300",'2023'!$I$4="FO",'2023'!$I$2=CD195),'2023DATA'!$K$34,"")</f>
        <v/>
      </c>
      <c r="CE227" s="518" t="str">
        <f>IF(AND(_AC5="A-220-300",'2023'!$I$4="FO",'2023'!$I$2=CE195),'2023DATA'!$L$34,"")</f>
        <v/>
      </c>
      <c r="CF227" s="518" t="str">
        <f>IF(AND(_AC5="A-220-300",'2023'!$I$4="FO",'2023'!$I$2=CF195),'2023DATA'!$M$34,"")</f>
        <v/>
      </c>
      <c r="CG227" s="520" t="str">
        <f>IF(AND(_AC5="A-220-300",'2023'!$I$4="FO",'2023'!$I$2=CG195),'2023DATA'!$N$34,"")</f>
        <v/>
      </c>
      <c r="CH227" s="940"/>
      <c r="CI227" s="13" t="s">
        <v>62</v>
      </c>
      <c r="CJ227" s="518" t="str">
        <f>IF(AND(_AC6="A-220-300",'2023'!$I$4="FO",'2023'!$I$2=CJ195),'2023DATA'!$C$34,"")</f>
        <v/>
      </c>
      <c r="CK227" s="518" t="str">
        <f>IF(AND(_AC6="A-220-300",'2023'!$I$4="FO",'2023'!$I$2=CK195),'2023DATA'!$D$34,"")</f>
        <v/>
      </c>
      <c r="CL227" s="518" t="str">
        <f>IF(AND(_AC6="A-220-300",'2023'!$I$4="FO",'2023'!$I$2=CL195),'2023DATA'!$E$34,"")</f>
        <v/>
      </c>
      <c r="CM227" s="518" t="str">
        <f>IF(AND(_AC6="A-220-300",'2023'!$I$4="FO",'2023'!$I$2=CM195),'2023DATA'!$F$34,"")</f>
        <v/>
      </c>
      <c r="CN227" s="518" t="str">
        <f>IF(AND(_AC6="A-220-300",'2023'!$I$4="FO",'2023'!$I$2=CN195),'2023DATA'!$G$34,"")</f>
        <v/>
      </c>
      <c r="CO227" s="518" t="str">
        <f>IF(AND(_AC6="A-220-300",'2023'!$I$4="FO",'2023'!$I$2=CO195),'2023DATA'!$H$34,"")</f>
        <v/>
      </c>
      <c r="CP227" s="518" t="str">
        <f>IF(AND(_AC6="A-220-300",'2023'!$I$4="FO",'2023'!$I$2=CP195),'2023DATA'!$I$34,"")</f>
        <v/>
      </c>
      <c r="CQ227" s="518" t="str">
        <f>IF(AND(_AC6="A-220-300",'2023'!$I$4="FO",'2023'!$I$2=CQ195),'2023DATA'!$J$34,"")</f>
        <v/>
      </c>
      <c r="CR227" s="518" t="str">
        <f>IF(AND(_AC6="A-220-300",'2023'!$I$4="FO",'2023'!$I$2=CR195),'2023DATA'!$K$34,"")</f>
        <v/>
      </c>
      <c r="CS227" s="518" t="str">
        <f>IF(AND(_AC6="A-220-300",'2023'!$I$4="FO",'2023'!$I$2=CS195),'2023DATA'!$L$34,"")</f>
        <v/>
      </c>
      <c r="CT227" s="518" t="str">
        <f>IF(AND(_AC6="A-220-300",'2023'!$I$4="FO",'2023'!$I$2=CT195),'2023DATA'!$M$34,"")</f>
        <v/>
      </c>
      <c r="CU227" s="520" t="str">
        <f>IF(AND(_AC6="A-220-300",'2023'!$I$4="FO",'2023'!$I$2=CU195),'2023DATA'!$N$34,"")</f>
        <v/>
      </c>
    </row>
    <row r="228" spans="16:99" x14ac:dyDescent="0.25">
      <c r="P228" s="940" t="s">
        <v>52</v>
      </c>
      <c r="Q228" s="13" t="s">
        <v>61</v>
      </c>
      <c r="R228" s="518" t="str">
        <f>IF(AND(_AC1="A-220-100",'2023'!$I$4="CA",'2023'!$I$2=R195),'2023DATA'!$C$35,"")</f>
        <v/>
      </c>
      <c r="S228" s="518" t="str">
        <f>IF(AND(_AC1="A-220-100",'2023'!$I$4="CA",'2023'!$I$2=S195),'2023DATA'!$D$35,"")</f>
        <v/>
      </c>
      <c r="T228" s="518" t="str">
        <f>IF(AND(_AC1="A-220-100",'2023'!$I$4="CA",'2023'!$I$2=T195),'2023DATA'!$E$35,"")</f>
        <v/>
      </c>
      <c r="U228" s="518" t="str">
        <f>IF(AND(_AC1="A-220-100",'2023'!$I$4="CA",'2023'!$I$2=U195),'2023DATA'!$F$35,"")</f>
        <v/>
      </c>
      <c r="V228" s="518" t="str">
        <f>IF(AND(_AC1="A-220-100",'2023'!$I$4="CA",'2023'!$I$2=V195),'2023DATA'!$G$35,"")</f>
        <v/>
      </c>
      <c r="W228" s="518" t="str">
        <f>IF(AND(_AC1="A-220-100",'2023'!$I$4="CA",'2023'!$I$2=W195),'2023DATA'!$H$35,"")</f>
        <v/>
      </c>
      <c r="X228" s="518" t="str">
        <f>IF(AND(_AC1="A-220-100",'2023'!$I$4="CA",'2023'!$I$2=X195),'2023DATA'!$I$35,"")</f>
        <v/>
      </c>
      <c r="Y228" s="518" t="str">
        <f>IF(AND(_AC1="A-220-100",'2023'!$I$4="CA",'2023'!$I$2=Y195),'2023DATA'!$J$35,"")</f>
        <v/>
      </c>
      <c r="Z228" s="518" t="str">
        <f>IF(AND(_AC1="A-220-100",'2023'!$I$4="CA",'2023'!$I$2=Z195),'2023DATA'!$K$35,"")</f>
        <v/>
      </c>
      <c r="AA228" s="518" t="str">
        <f>IF(AND(_AC1="A-220-100",'2023'!$I$4="CA",'2023'!$I$2=AA195),'2023DATA'!$L$35,"")</f>
        <v/>
      </c>
      <c r="AB228" s="518" t="str">
        <f>IF(AND(_AC1="A-220-100",'2023'!$I$4="CA",'2023'!$I$2=AB195),'2023DATA'!$M$35,"")</f>
        <v/>
      </c>
      <c r="AC228" s="520" t="str">
        <f>IF(AND(_AC1="A-220-100",'2023'!$I$4="CA",'2023'!$I$2=AC195),'2023DATA'!$N$35,"")</f>
        <v/>
      </c>
      <c r="AD228" s="940" t="s">
        <v>52</v>
      </c>
      <c r="AE228" s="13" t="s">
        <v>61</v>
      </c>
      <c r="AF228" s="518" t="str">
        <f>IF(AND(_AC2="A-220-100",'2023'!$I$4="CA",'2023'!$I$2=AF195),'2023DATA'!$C$35,"")</f>
        <v/>
      </c>
      <c r="AG228" s="518" t="str">
        <f>IF(AND(_AC2="A-220-100",'2023'!$I$4="CA",'2023'!$I$2=AG195),'2023DATA'!$D$35,"")</f>
        <v/>
      </c>
      <c r="AH228" s="518" t="str">
        <f>IF(AND(_AC2="A-220-100",'2023'!$I$4="CA",'2023'!$I$2=AH195),'2023DATA'!$E$35,"")</f>
        <v/>
      </c>
      <c r="AI228" s="518" t="str">
        <f>IF(AND(_AC2="A-220-100",'2023'!$I$4="CA",'2023'!$I$2=AI195),'2023DATA'!$F$35,"")</f>
        <v/>
      </c>
      <c r="AJ228" s="518" t="str">
        <f>IF(AND(_AC2="A-220-100",'2023'!$I$4="CA",'2023'!$I$2=AJ195),'2023DATA'!$G$35,"")</f>
        <v/>
      </c>
      <c r="AK228" s="518" t="str">
        <f>IF(AND(_AC2="A-220-100",'2023'!$I$4="CA",'2023'!$I$2=AK195),'2023DATA'!$H$35,"")</f>
        <v/>
      </c>
      <c r="AL228" s="518" t="str">
        <f>IF(AND(_AC2="A-220-100",'2023'!$I$4="CA",'2023'!$I$2=AL195),'2023DATA'!$I$35,"")</f>
        <v/>
      </c>
      <c r="AM228" s="518" t="str">
        <f>IF(AND(_AC2="A-220-100",'2023'!$I$4="CA",'2023'!$I$2=AM195),'2023DATA'!$J$35,"")</f>
        <v/>
      </c>
      <c r="AN228" s="518" t="str">
        <f>IF(AND(_AC2="A-220-100",'2023'!$I$4="CA",'2023'!$I$2=AN195),'2023DATA'!$K$35,"")</f>
        <v/>
      </c>
      <c r="AO228" s="518" t="str">
        <f>IF(AND(_AC2="A-220-100",'2023'!$I$4="CA",'2023'!$I$2=AO195),'2023DATA'!$L$35,"")</f>
        <v/>
      </c>
      <c r="AP228" s="518" t="str">
        <f>IF(AND(_AC2="A-220-100",'2023'!$I$4="CA",'2023'!$I$2=AP195),'2023DATA'!$M$35,"")</f>
        <v/>
      </c>
      <c r="AQ228" s="520" t="str">
        <f>IF(AND(_AC2="A-220-100",'2023'!$I$4="CA",'2023'!$I$2=AQ195),'2023DATA'!$N$35,"")</f>
        <v/>
      </c>
      <c r="AR228" s="940" t="s">
        <v>52</v>
      </c>
      <c r="AS228" s="13" t="s">
        <v>61</v>
      </c>
      <c r="AT228" s="518" t="str">
        <f>IF(AND(_AC3="A-220-100",'2023'!$I$4="CA",'2023'!$I$2=AT195),'2023DATA'!$C$35,"")</f>
        <v/>
      </c>
      <c r="AU228" s="518" t="str">
        <f>IF(AND(_AC3="A-220-100",'2023'!$I$4="CA",'2023'!$I$2=AU195),'2023DATA'!$D$35,"")</f>
        <v/>
      </c>
      <c r="AV228" s="518" t="str">
        <f>IF(AND(_AC3="A-220-100",'2023'!$I$4="CA",'2023'!$I$2=AV195),'2023DATA'!$E$35,"")</f>
        <v/>
      </c>
      <c r="AW228" s="518" t="str">
        <f>IF(AND(_AC3="A-220-100",'2023'!$I$4="CA",'2023'!$I$2=AW195),'2023DATA'!$F$35,"")</f>
        <v/>
      </c>
      <c r="AX228" s="518" t="str">
        <f>IF(AND(_AC3="A-220-100",'2023'!$I$4="CA",'2023'!$I$2=AX195),'2023DATA'!$G$35,"")</f>
        <v/>
      </c>
      <c r="AY228" s="518" t="str">
        <f>IF(AND(_AC3="A-220-100",'2023'!$I$4="CA",'2023'!$I$2=AY195),'2023DATA'!$H$35,"")</f>
        <v/>
      </c>
      <c r="AZ228" s="518" t="str">
        <f>IF(AND(_AC3="A-220-100",'2023'!$I$4="CA",'2023'!$I$2=AZ195),'2023DATA'!$I$35,"")</f>
        <v/>
      </c>
      <c r="BA228" s="518" t="str">
        <f>IF(AND(_AC3="A-220-100",'2023'!$I$4="CA",'2023'!$I$2=BA195),'2023DATA'!$J$35,"")</f>
        <v/>
      </c>
      <c r="BB228" s="518" t="str">
        <f>IF(AND(_AC3="A-220-100",'2023'!$I$4="CA",'2023'!$I$2=BB195),'2023DATA'!$K$35,"")</f>
        <v/>
      </c>
      <c r="BC228" s="518" t="str">
        <f>IF(AND(_AC3="A-220-100",'2023'!$I$4="CA",'2023'!$I$2=BC195),'2023DATA'!$L$35,"")</f>
        <v/>
      </c>
      <c r="BD228" s="518" t="str">
        <f>IF(AND(_AC3="A-220-100",'2023'!$I$4="CA",'2023'!$I$2=BD195),'2023DATA'!$M$35,"")</f>
        <v/>
      </c>
      <c r="BE228" s="520" t="str">
        <f>IF(AND(_AC3="A-220-100",'2023'!$I$4="CA",'2023'!$I$2=BE195),'2023DATA'!$N$35,"")</f>
        <v/>
      </c>
      <c r="BF228" s="940" t="s">
        <v>52</v>
      </c>
      <c r="BG228" s="13" t="s">
        <v>61</v>
      </c>
      <c r="BH228" s="518" t="str">
        <f>IF(AND(_AC4="A-220-100",'2023'!$I$4="CA",'2023'!$I$2=BH195),'2023DATA'!$C$35,"")</f>
        <v/>
      </c>
      <c r="BI228" s="518" t="str">
        <f>IF(AND(_AC4="A-220-100",'2023'!$I$4="CA",'2023'!$I$2=BI195),'2023DATA'!$D$35,"")</f>
        <v/>
      </c>
      <c r="BJ228" s="518" t="str">
        <f>IF(AND(_AC4="A-220-100",'2023'!$I$4="CA",'2023'!$I$2=BJ195),'2023DATA'!$E$35,"")</f>
        <v/>
      </c>
      <c r="BK228" s="518" t="str">
        <f>IF(AND(_AC4="A-220-100",'2023'!$I$4="CA",'2023'!$I$2=BK195),'2023DATA'!$F$35,"")</f>
        <v/>
      </c>
      <c r="BL228" s="518" t="str">
        <f>IF(AND(_AC4="A-220-100",'2023'!$I$4="CA",'2023'!$I$2=BL195),'2023DATA'!$G$35,"")</f>
        <v/>
      </c>
      <c r="BM228" s="518" t="str">
        <f>IF(AND(_AC4="A-220-100",'2023'!$I$4="CA",'2023'!$I$2=BM195),'2023DATA'!$H$35,"")</f>
        <v/>
      </c>
      <c r="BN228" s="518" t="str">
        <f>IF(AND(_AC4="A-220-100",'2023'!$I$4="CA",'2023'!$I$2=BN195),'2023DATA'!$I$35,"")</f>
        <v/>
      </c>
      <c r="BO228" s="518" t="str">
        <f>IF(AND(_AC4="A-220-100",'2023'!$I$4="CA",'2023'!$I$2=BO195),'2023DATA'!$J$35,"")</f>
        <v/>
      </c>
      <c r="BP228" s="518" t="str">
        <f>IF(AND(_AC4="A-220-100",'2023'!$I$4="CA",'2023'!$I$2=BP195),'2023DATA'!$K$35,"")</f>
        <v/>
      </c>
      <c r="BQ228" s="518" t="str">
        <f>IF(AND(_AC4="A-220-100",'2023'!$I$4="CA",'2023'!$I$2=BQ195),'2023DATA'!$L$35,"")</f>
        <v/>
      </c>
      <c r="BR228" s="518" t="str">
        <f>IF(AND(_AC4="A-220-100",'2023'!$I$4="CA",'2023'!$I$2=BR195),'2023DATA'!$M$35,"")</f>
        <v/>
      </c>
      <c r="BS228" s="520" t="str">
        <f>IF(AND(_AC4="A-220-100",'2023'!$I$4="CA",'2023'!$I$2=BS195),'2023DATA'!$N$35,"")</f>
        <v/>
      </c>
      <c r="BT228" s="940" t="s">
        <v>52</v>
      </c>
      <c r="BU228" s="13" t="s">
        <v>61</v>
      </c>
      <c r="BV228" s="518" t="str">
        <f>IF(AND(_AC5="A-220-100",'2023'!$I$4="CA",'2023'!$I$2=BV195),'2023DATA'!$C$35,"")</f>
        <v/>
      </c>
      <c r="BW228" s="518" t="str">
        <f>IF(AND(_AC5="A-220-100",'2023'!$I$4="CA",'2023'!$I$2=BW195),'2023DATA'!$D$35,"")</f>
        <v/>
      </c>
      <c r="BX228" s="518" t="str">
        <f>IF(AND(_AC5="A-220-100",'2023'!$I$4="CA",'2023'!$I$2=BX195),'2023DATA'!$E$35,"")</f>
        <v/>
      </c>
      <c r="BY228" s="518" t="str">
        <f>IF(AND(_AC5="A-220-100",'2023'!$I$4="CA",'2023'!$I$2=BY195),'2023DATA'!$F$35,"")</f>
        <v/>
      </c>
      <c r="BZ228" s="518" t="str">
        <f>IF(AND(_AC5="A-220-100",'2023'!$I$4="CA",'2023'!$I$2=BZ195),'2023DATA'!$G$35,"")</f>
        <v/>
      </c>
      <c r="CA228" s="518" t="str">
        <f>IF(AND(_AC5="A-220-100",'2023'!$I$4="CA",'2023'!$I$2=CA195),'2023DATA'!$H$35,"")</f>
        <v/>
      </c>
      <c r="CB228" s="518" t="str">
        <f>IF(AND(_AC5="A-220-100",'2023'!$I$4="CA",'2023'!$I$2=CB195),'2023DATA'!$I$35,"")</f>
        <v/>
      </c>
      <c r="CC228" s="518" t="str">
        <f>IF(AND(_AC5="A-220-100",'2023'!$I$4="CA",'2023'!$I$2=CC195),'2023DATA'!$J$35,"")</f>
        <v/>
      </c>
      <c r="CD228" s="518" t="str">
        <f>IF(AND(_AC5="A-220-100",'2023'!$I$4="CA",'2023'!$I$2=CD195),'2023DATA'!$K$35,"")</f>
        <v/>
      </c>
      <c r="CE228" s="518" t="str">
        <f>IF(AND(_AC5="A-220-100",'2023'!$I$4="CA",'2023'!$I$2=CE195),'2023DATA'!$L$35,"")</f>
        <v/>
      </c>
      <c r="CF228" s="518" t="str">
        <f>IF(AND(_AC5="A-220-100",'2023'!$I$4="CA",'2023'!$I$2=CF195),'2023DATA'!$M$35,"")</f>
        <v/>
      </c>
      <c r="CG228" s="520" t="str">
        <f>IF(AND(_AC5="A-220-100",'2023'!$I$4="CA",'2023'!$I$2=CG195),'2023DATA'!$N$35,"")</f>
        <v/>
      </c>
      <c r="CH228" s="940" t="s">
        <v>52</v>
      </c>
      <c r="CI228" s="13" t="s">
        <v>61</v>
      </c>
      <c r="CJ228" s="518" t="str">
        <f>IF(AND(_AC6="A-220-100",'2023'!$I$4="CA",'2023'!$I$2=CJ195),'2023DATA'!$C$35,"")</f>
        <v/>
      </c>
      <c r="CK228" s="518" t="str">
        <f>IF(AND(_AC6="A-220-100",'2023'!$I$4="CA",'2023'!$I$2=CK195),'2023DATA'!$D$35,"")</f>
        <v/>
      </c>
      <c r="CL228" s="518" t="str">
        <f>IF(AND(_AC6="A-220-100",'2023'!$I$4="CA",'2023'!$I$2=CL195),'2023DATA'!$E$35,"")</f>
        <v/>
      </c>
      <c r="CM228" s="518" t="str">
        <f>IF(AND(_AC6="A-220-100",'2023'!$I$4="CA",'2023'!$I$2=CM195),'2023DATA'!$F$35,"")</f>
        <v/>
      </c>
      <c r="CN228" s="518" t="str">
        <f>IF(AND(_AC6="A-220-100",'2023'!$I$4="CA",'2023'!$I$2=CN195),'2023DATA'!$G$35,"")</f>
        <v/>
      </c>
      <c r="CO228" s="518" t="str">
        <f>IF(AND(_AC6="A-220-100",'2023'!$I$4="CA",'2023'!$I$2=CO195),'2023DATA'!$H$35,"")</f>
        <v/>
      </c>
      <c r="CP228" s="518" t="str">
        <f>IF(AND(_AC6="A-220-100",'2023'!$I$4="CA",'2023'!$I$2=CP195),'2023DATA'!$I$35,"")</f>
        <v/>
      </c>
      <c r="CQ228" s="518" t="str">
        <f>IF(AND(_AC6="A-220-100",'2023'!$I$4="CA",'2023'!$I$2=CQ195),'2023DATA'!$J$35,"")</f>
        <v/>
      </c>
      <c r="CR228" s="518" t="str">
        <f>IF(AND(_AC6="A-220-100",'2023'!$I$4="CA",'2023'!$I$2=CR195),'2023DATA'!$K$35,"")</f>
        <v/>
      </c>
      <c r="CS228" s="518" t="str">
        <f>IF(AND(_AC6="A-220-100",'2023'!$I$4="CA",'2023'!$I$2=CS195),'2023DATA'!$L$35,"")</f>
        <v/>
      </c>
      <c r="CT228" s="518" t="str">
        <f>IF(AND(_AC6="A-220-100",'2023'!$I$4="CA",'2023'!$I$2=CT195),'2023DATA'!$M$35,"")</f>
        <v/>
      </c>
      <c r="CU228" s="520" t="str">
        <f>IF(AND(_AC6="A-220-100",'2023'!$I$4="CA",'2023'!$I$2=CU195),'2023DATA'!$N$35,"")</f>
        <v/>
      </c>
    </row>
    <row r="229" spans="16:99" x14ac:dyDescent="0.25">
      <c r="P229" s="940"/>
      <c r="Q229" s="13" t="s">
        <v>62</v>
      </c>
      <c r="R229" s="518" t="str">
        <f>IF(AND(_AC1="A-220-100",'2023'!$I$4="FO",'2023'!$I$2=R195),'2023DATA'!$C$36,"")</f>
        <v/>
      </c>
      <c r="S229" s="518" t="str">
        <f>IF(AND(_AC1="A-220-100",'2023'!$I$4="FO",'2023'!$I$2=S195),'2023DATA'!$D$36,"")</f>
        <v/>
      </c>
      <c r="T229" s="518" t="str">
        <f>IF(AND(_AC1="A-220-100",'2023'!$I$4="FO",'2023'!$I$2=T195),'2023DATA'!$E$36,"")</f>
        <v/>
      </c>
      <c r="U229" s="518" t="str">
        <f>IF(AND(_AC1="A-220-100",'2023'!$I$4="FO",'2023'!$I$2=U195),'2023DATA'!$F$36,"")</f>
        <v/>
      </c>
      <c r="V229" s="518" t="str">
        <f>IF(AND(_AC1="A-220-100",'2023'!$I$4="FO",'2023'!$I$2=V195),'2023DATA'!$G$36,"")</f>
        <v/>
      </c>
      <c r="W229" s="518" t="str">
        <f>IF(AND(_AC1="A-220-100",'2023'!$I$4="FO",'2023'!$I$2=W195),'2023DATA'!$H$36,"")</f>
        <v/>
      </c>
      <c r="X229" s="518" t="str">
        <f>IF(AND(_AC1="A-220-100",'2023'!$I$4="FO",'2023'!$I$2=X195),'2023DATA'!$I$36,"")</f>
        <v/>
      </c>
      <c r="Y229" s="518" t="str">
        <f>IF(AND(_AC1="A-220-100",'2023'!$I$4="FO",'2023'!$I$2=Y195),'2023DATA'!$J$36,"")</f>
        <v/>
      </c>
      <c r="Z229" s="518" t="str">
        <f>IF(AND(_AC1="A-220-100",'2023'!$I$4="FO",'2023'!$I$2=Z195),'2023DATA'!$K$36,"")</f>
        <v/>
      </c>
      <c r="AA229" s="518" t="str">
        <f>IF(AND(_AC1="A-220-100",'2023'!$I$4="FO",'2023'!$I$2=AA195),'2023DATA'!$L$36,"")</f>
        <v/>
      </c>
      <c r="AB229" s="518" t="str">
        <f>IF(AND(_AC1="A-220-100",'2023'!$I$4="FO",'2023'!$I$2=AB195),'2023DATA'!$M$36,"")</f>
        <v/>
      </c>
      <c r="AC229" s="520" t="str">
        <f>IF(AND(_AC1="A-220-100",'2023'!$I$4="FO",'2023'!$I$2=AC195),'2023DATA'!$N$36,"")</f>
        <v/>
      </c>
      <c r="AD229" s="940"/>
      <c r="AE229" s="13" t="s">
        <v>62</v>
      </c>
      <c r="AF229" s="518" t="str">
        <f>IF(AND(_AC2="A-220-100",'2023'!$I$4="FO",'2023'!$I$2=AF195),'2023DATA'!$C$36,"")</f>
        <v/>
      </c>
      <c r="AG229" s="518" t="str">
        <f>IF(AND(_AC2="A-220-100",'2023'!$I$4="FO",'2023'!$I$2=AG195),'2023DATA'!$D$36,"")</f>
        <v/>
      </c>
      <c r="AH229" s="518" t="str">
        <f>IF(AND(_AC2="A-220-100",'2023'!$I$4="FO",'2023'!$I$2=AH195),'2023DATA'!$E$36,"")</f>
        <v/>
      </c>
      <c r="AI229" s="518" t="str">
        <f>IF(AND(_AC2="A-220-100",'2023'!$I$4="FO",'2023'!$I$2=AI195),'2023DATA'!$F$36,"")</f>
        <v/>
      </c>
      <c r="AJ229" s="518" t="str">
        <f>IF(AND(_AC2="A-220-100",'2023'!$I$4="FO",'2023'!$I$2=AJ195),'2023DATA'!$G$36,"")</f>
        <v/>
      </c>
      <c r="AK229" s="518" t="str">
        <f>IF(AND(_AC2="A-220-100",'2023'!$I$4="FO",'2023'!$I$2=AK195),'2023DATA'!$H$36,"")</f>
        <v/>
      </c>
      <c r="AL229" s="518" t="str">
        <f>IF(AND(_AC2="A-220-100",'2023'!$I$4="FO",'2023'!$I$2=AL195),'2023DATA'!$I$36,"")</f>
        <v/>
      </c>
      <c r="AM229" s="518" t="str">
        <f>IF(AND(_AC2="A-220-100",'2023'!$I$4="FO",'2023'!$I$2=AM195),'2023DATA'!$J$36,"")</f>
        <v/>
      </c>
      <c r="AN229" s="518" t="str">
        <f>IF(AND(_AC2="A-220-100",'2023'!$I$4="FO",'2023'!$I$2=AN195),'2023DATA'!$K$36,"")</f>
        <v/>
      </c>
      <c r="AO229" s="518" t="str">
        <f>IF(AND(_AC2="A-220-100",'2023'!$I$4="FO",'2023'!$I$2=AO195),'2023DATA'!$L$36,"")</f>
        <v/>
      </c>
      <c r="AP229" s="518" t="str">
        <f>IF(AND(_AC2="A-220-100",'2023'!$I$4="FO",'2023'!$I$2=AP195),'2023DATA'!$M$36,"")</f>
        <v/>
      </c>
      <c r="AQ229" s="520" t="str">
        <f>IF(AND(_AC2="A-220-100",'2023'!$I$4="FO",'2023'!$I$2=AQ195),'2023DATA'!$N$36,"")</f>
        <v/>
      </c>
      <c r="AR229" s="940"/>
      <c r="AS229" s="13" t="s">
        <v>62</v>
      </c>
      <c r="AT229" s="518" t="str">
        <f>IF(AND(_AC3="A-220-100",'2023'!$I$4="FO",'2023'!$I$2=AT195),'2023DATA'!$C$36,"")</f>
        <v/>
      </c>
      <c r="AU229" s="518" t="str">
        <f>IF(AND(_AC3="A-220-100",'2023'!$I$4="FO",'2023'!$I$2=AU195),'2023DATA'!$D$36,"")</f>
        <v/>
      </c>
      <c r="AV229" s="518" t="str">
        <f>IF(AND(_AC3="A-220-100",'2023'!$I$4="FO",'2023'!$I$2=AV195),'2023DATA'!$E$36,"")</f>
        <v/>
      </c>
      <c r="AW229" s="518" t="str">
        <f>IF(AND(_AC3="A-220-100",'2023'!$I$4="FO",'2023'!$I$2=AW195),'2023DATA'!$F$36,"")</f>
        <v/>
      </c>
      <c r="AX229" s="518" t="str">
        <f>IF(AND(_AC3="A-220-100",'2023'!$I$4="FO",'2023'!$I$2=AX195),'2023DATA'!$G$36,"")</f>
        <v/>
      </c>
      <c r="AY229" s="518" t="str">
        <f>IF(AND(_AC3="A-220-100",'2023'!$I$4="FO",'2023'!$I$2=AY195),'2023DATA'!$H$36,"")</f>
        <v/>
      </c>
      <c r="AZ229" s="518" t="str">
        <f>IF(AND(_AC3="A-220-100",'2023'!$I$4="FO",'2023'!$I$2=AZ195),'2023DATA'!$I$36,"")</f>
        <v/>
      </c>
      <c r="BA229" s="518" t="str">
        <f>IF(AND(_AC3="A-220-100",'2023'!$I$4="FO",'2023'!$I$2=BA195),'2023DATA'!$J$36,"")</f>
        <v/>
      </c>
      <c r="BB229" s="518" t="str">
        <f>IF(AND(_AC3="A-220-100",'2023'!$I$4="FO",'2023'!$I$2=BB195),'2023DATA'!$K$36,"")</f>
        <v/>
      </c>
      <c r="BC229" s="518" t="str">
        <f>IF(AND(_AC3="A-220-100",'2023'!$I$4="FO",'2023'!$I$2=BC195),'2023DATA'!$L$36,"")</f>
        <v/>
      </c>
      <c r="BD229" s="518" t="str">
        <f>IF(AND(_AC3="A-220-100",'2023'!$I$4="FO",'2023'!$I$2=BD195),'2023DATA'!$M$36,"")</f>
        <v/>
      </c>
      <c r="BE229" s="520" t="str">
        <f>IF(AND(_AC3="A-220-100",'2023'!$I$4="FO",'2023'!$I$2=BE195),'2023DATA'!$N$36,"")</f>
        <v/>
      </c>
      <c r="BF229" s="940"/>
      <c r="BG229" s="13" t="s">
        <v>62</v>
      </c>
      <c r="BH229" s="518" t="str">
        <f>IF(AND(_AC4="A-220-100",'2023'!$I$4="FO",'2023'!$I$2=BH195),'2023DATA'!$C$36,"")</f>
        <v/>
      </c>
      <c r="BI229" s="518" t="str">
        <f>IF(AND(_AC4="A-220-100",'2023'!$I$4="FO",'2023'!$I$2=BI195),'2023DATA'!$D$36,"")</f>
        <v/>
      </c>
      <c r="BJ229" s="518" t="str">
        <f>IF(AND(_AC4="A-220-100",'2023'!$I$4="FO",'2023'!$I$2=BJ195),'2023DATA'!$E$36,"")</f>
        <v/>
      </c>
      <c r="BK229" s="518" t="str">
        <f>IF(AND(_AC4="A-220-100",'2023'!$I$4="FO",'2023'!$I$2=BK195),'2023DATA'!$F$36,"")</f>
        <v/>
      </c>
      <c r="BL229" s="518" t="str">
        <f>IF(AND(_AC4="A-220-100",'2023'!$I$4="FO",'2023'!$I$2=BL195),'2023DATA'!$G$36,"")</f>
        <v/>
      </c>
      <c r="BM229" s="518" t="str">
        <f>IF(AND(_AC4="A-220-100",'2023'!$I$4="FO",'2023'!$I$2=BM195),'2023DATA'!$H$36,"")</f>
        <v/>
      </c>
      <c r="BN229" s="518" t="str">
        <f>IF(AND(_AC4="A-220-100",'2023'!$I$4="FO",'2023'!$I$2=BN195),'2023DATA'!$I$36,"")</f>
        <v/>
      </c>
      <c r="BO229" s="518" t="str">
        <f>IF(AND(_AC4="A-220-100",'2023'!$I$4="FO",'2023'!$I$2=BO195),'2023DATA'!$J$36,"")</f>
        <v/>
      </c>
      <c r="BP229" s="518" t="str">
        <f>IF(AND(_AC4="A-220-100",'2023'!$I$4="FO",'2023'!$I$2=BP195),'2023DATA'!$K$36,"")</f>
        <v/>
      </c>
      <c r="BQ229" s="518" t="str">
        <f>IF(AND(_AC4="A-220-100",'2023'!$I$4="FO",'2023'!$I$2=BQ195),'2023DATA'!$L$36,"")</f>
        <v/>
      </c>
      <c r="BR229" s="518" t="str">
        <f>IF(AND(_AC4="A-220-100",'2023'!$I$4="FO",'2023'!$I$2=BR195),'2023DATA'!$M$36,"")</f>
        <v/>
      </c>
      <c r="BS229" s="520" t="str">
        <f>IF(AND(_AC4="A-220-100",'2023'!$I$4="FO",'2023'!$I$2=BS195),'2023DATA'!$N$36,"")</f>
        <v/>
      </c>
      <c r="BT229" s="940"/>
      <c r="BU229" s="13" t="s">
        <v>62</v>
      </c>
      <c r="BV229" s="518" t="str">
        <f>IF(AND(_AC5="A-220-100",'2023'!$I$4="FO",'2023'!$I$2=BV195),'2023DATA'!$C$36,"")</f>
        <v/>
      </c>
      <c r="BW229" s="518" t="str">
        <f>IF(AND(_AC5="A-220-100",'2023'!$I$4="FO",'2023'!$I$2=BW195),'2023DATA'!$D$36,"")</f>
        <v/>
      </c>
      <c r="BX229" s="518" t="str">
        <f>IF(AND(_AC5="A-220-100",'2023'!$I$4="FO",'2023'!$I$2=BX195),'2023DATA'!$E$36,"")</f>
        <v/>
      </c>
      <c r="BY229" s="518" t="str">
        <f>IF(AND(_AC5="A-220-100",'2023'!$I$4="FO",'2023'!$I$2=BY195),'2023DATA'!$F$36,"")</f>
        <v/>
      </c>
      <c r="BZ229" s="518" t="str">
        <f>IF(AND(_AC5="A-220-100",'2023'!$I$4="FO",'2023'!$I$2=BZ195),'2023DATA'!$G$36,"")</f>
        <v/>
      </c>
      <c r="CA229" s="518" t="str">
        <f>IF(AND(_AC5="A-220-100",'2023'!$I$4="FO",'2023'!$I$2=CA195),'2023DATA'!$H$36,"")</f>
        <v/>
      </c>
      <c r="CB229" s="518" t="str">
        <f>IF(AND(_AC5="A-220-100",'2023'!$I$4="FO",'2023'!$I$2=CB195),'2023DATA'!$I$36,"")</f>
        <v/>
      </c>
      <c r="CC229" s="518" t="str">
        <f>IF(AND(_AC5="A-220-100",'2023'!$I$4="FO",'2023'!$I$2=CC195),'2023DATA'!$J$36,"")</f>
        <v/>
      </c>
      <c r="CD229" s="518" t="str">
        <f>IF(AND(_AC5="A-220-100",'2023'!$I$4="FO",'2023'!$I$2=CD195),'2023DATA'!$K$36,"")</f>
        <v/>
      </c>
      <c r="CE229" s="518" t="str">
        <f>IF(AND(_AC5="A-220-100",'2023'!$I$4="FO",'2023'!$I$2=CE195),'2023DATA'!$L$36,"")</f>
        <v/>
      </c>
      <c r="CF229" s="518" t="str">
        <f>IF(AND(_AC5="A-220-100",'2023'!$I$4="FO",'2023'!$I$2=CF195),'2023DATA'!$M$36,"")</f>
        <v/>
      </c>
      <c r="CG229" s="520" t="str">
        <f>IF(AND(_AC5="A-220-100",'2023'!$I$4="FO",'2023'!$I$2=CG195),'2023DATA'!$N$36,"")</f>
        <v/>
      </c>
      <c r="CH229" s="940"/>
      <c r="CI229" s="13" t="s">
        <v>62</v>
      </c>
      <c r="CJ229" s="518" t="str">
        <f>IF(AND(_AC6="A-220-100",'2023'!$I$4="FO",'2023'!$I$2=CJ195),'2023DATA'!$C$36,"")</f>
        <v/>
      </c>
      <c r="CK229" s="518" t="str">
        <f>IF(AND(_AC6="A-220-100",'2023'!$I$4="FO",'2023'!$I$2=CK195),'2023DATA'!$D$36,"")</f>
        <v/>
      </c>
      <c r="CL229" s="518" t="str">
        <f>IF(AND(_AC6="A-220-100",'2023'!$I$4="FO",'2023'!$I$2=CL195),'2023DATA'!$E$36,"")</f>
        <v/>
      </c>
      <c r="CM229" s="518" t="str">
        <f>IF(AND(_AC6="A-220-100",'2023'!$I$4="FO",'2023'!$I$2=CM195),'2023DATA'!$F$36,"")</f>
        <v/>
      </c>
      <c r="CN229" s="518" t="str">
        <f>IF(AND(_AC6="A-220-100",'2023'!$I$4="FO",'2023'!$I$2=CN195),'2023DATA'!$G$36,"")</f>
        <v/>
      </c>
      <c r="CO229" s="518" t="str">
        <f>IF(AND(_AC6="A-220-100",'2023'!$I$4="FO",'2023'!$I$2=CO195),'2023DATA'!$H$36,"")</f>
        <v/>
      </c>
      <c r="CP229" s="518" t="str">
        <f>IF(AND(_AC6="A-220-100",'2023'!$I$4="FO",'2023'!$I$2=CP195),'2023DATA'!$I$36,"")</f>
        <v/>
      </c>
      <c r="CQ229" s="518" t="str">
        <f>IF(AND(_AC6="A-220-100",'2023'!$I$4="FO",'2023'!$I$2=CQ195),'2023DATA'!$J$36,"")</f>
        <v/>
      </c>
      <c r="CR229" s="518" t="str">
        <f>IF(AND(_AC6="A-220-100",'2023'!$I$4="FO",'2023'!$I$2=CR195),'2023DATA'!$K$36,"")</f>
        <v/>
      </c>
      <c r="CS229" s="518" t="str">
        <f>IF(AND(_AC6="A-220-100",'2023'!$I$4="FO",'2023'!$I$2=CS195),'2023DATA'!$L$36,"")</f>
        <v/>
      </c>
      <c r="CT229" s="518" t="str">
        <f>IF(AND(_AC6="A-220-100",'2023'!$I$4="FO",'2023'!$I$2=CT195),'2023DATA'!$M$36,"")</f>
        <v/>
      </c>
      <c r="CU229" s="520" t="str">
        <f>IF(AND(_AC6="A-220-100",'2023'!$I$4="FO",'2023'!$I$2=CU195),'2023DATA'!$N$36,"")</f>
        <v/>
      </c>
    </row>
    <row r="230" spans="16:99" x14ac:dyDescent="0.25">
      <c r="P230" s="940" t="s">
        <v>53</v>
      </c>
      <c r="Q230" s="13" t="s">
        <v>61</v>
      </c>
      <c r="R230" s="518" t="str">
        <f>IF(AND(_AC1="B-717",'2023'!$I$4="CA",'2023'!$I$2=R195),'2023DATA'!$C$37,"")</f>
        <v/>
      </c>
      <c r="S230" s="518" t="str">
        <f>IF(AND(_AC1="B-717",'2023'!$I$4="CA",'2023'!$I$2=S195),'2023DATA'!$D$37,"")</f>
        <v/>
      </c>
      <c r="T230" s="518" t="str">
        <f>IF(AND(_AC1="B-717",'2023'!$I$4="CA",'2023'!$I$2=T195),'2023DATA'!$E$37,"")</f>
        <v/>
      </c>
      <c r="U230" s="518" t="str">
        <f>IF(AND(_AC1="B-717",'2023'!$I$4="CA",'2023'!$I$2=U195),'2023DATA'!$F$37,"")</f>
        <v/>
      </c>
      <c r="V230" s="518" t="str">
        <f>IF(AND(_AC1="B-717",'2023'!$I$4="CA",'2023'!$I$2=V195),'2023DATA'!$G$37,"")</f>
        <v/>
      </c>
      <c r="W230" s="518" t="str">
        <f>IF(AND(_AC1="B-717",'2023'!$I$4="CA",'2023'!$I$2=W195),'2023DATA'!$H$37,"")</f>
        <v/>
      </c>
      <c r="X230" s="518" t="str">
        <f>IF(AND(_AC1="B-717",'2023'!$I$4="CA",'2023'!$I$2=X195),'2023DATA'!$I$37,"")</f>
        <v/>
      </c>
      <c r="Y230" s="518" t="str">
        <f>IF(AND(_AC1="B-717",'2023'!$I$4="CA",'2023'!$I$2=Y195),'2023DATA'!$J$37,"")</f>
        <v/>
      </c>
      <c r="Z230" s="518" t="str">
        <f>IF(AND(_AC1="B-717",'2023'!$I$4="CA",'2023'!$I$2=Z195),'2023DATA'!$K$37,"")</f>
        <v/>
      </c>
      <c r="AA230" s="518" t="str">
        <f>IF(AND(_AC1="B-717",'2023'!$I$4="CA",'2023'!$I$2=AA195),'2023DATA'!$L$37,"")</f>
        <v/>
      </c>
      <c r="AB230" s="518" t="str">
        <f>IF(AND(_AC1="B-717",'2023'!$I$4="CA",'2023'!$I$2=AB195),'2023DATA'!$M$37,"")</f>
        <v/>
      </c>
      <c r="AC230" s="520" t="str">
        <f>IF(AND(_AC1="B-717",'2023'!$I$4="CA",'2023'!$I$2=AC195),'2023DATA'!$N$37,"")</f>
        <v/>
      </c>
      <c r="AD230" s="940" t="s">
        <v>53</v>
      </c>
      <c r="AE230" s="13" t="s">
        <v>61</v>
      </c>
      <c r="AF230" s="518" t="str">
        <f>IF(AND(_AC2="B-717",'2023'!$I$4="CA",'2023'!$I$2=AF195),'2023DATA'!$C$37,"")</f>
        <v/>
      </c>
      <c r="AG230" s="518" t="str">
        <f>IF(AND(_AC2="B-717",'2023'!$I$4="CA",'2023'!$I$2=AG195),'2023DATA'!$D$37,"")</f>
        <v/>
      </c>
      <c r="AH230" s="518" t="str">
        <f>IF(AND(_AC2="B-717",'2023'!$I$4="CA",'2023'!$I$2=AH195),'2023DATA'!$E$37,"")</f>
        <v/>
      </c>
      <c r="AI230" s="518" t="str">
        <f>IF(AND(_AC2="B-717",'2023'!$I$4="CA",'2023'!$I$2=AI195),'2023DATA'!$F$37,"")</f>
        <v/>
      </c>
      <c r="AJ230" s="518" t="str">
        <f>IF(AND(_AC2="B-717",'2023'!$I$4="CA",'2023'!$I$2=AJ195),'2023DATA'!$G$37,"")</f>
        <v/>
      </c>
      <c r="AK230" s="518" t="str">
        <f>IF(AND(_AC2="B-717",'2023'!$I$4="CA",'2023'!$I$2=AK195),'2023DATA'!$H$37,"")</f>
        <v/>
      </c>
      <c r="AL230" s="518" t="str">
        <f>IF(AND(_AC2="B-717",'2023'!$I$4="CA",'2023'!$I$2=AL195),'2023DATA'!$I$37,"")</f>
        <v/>
      </c>
      <c r="AM230" s="518" t="str">
        <f>IF(AND(_AC2="B-717",'2023'!$I$4="CA",'2023'!$I$2=AM195),'2023DATA'!$J$37,"")</f>
        <v/>
      </c>
      <c r="AN230" s="518" t="str">
        <f>IF(AND(_AC2="B-717",'2023'!$I$4="CA",'2023'!$I$2=AN195),'2023DATA'!$K$37,"")</f>
        <v/>
      </c>
      <c r="AO230" s="518" t="str">
        <f>IF(AND(_AC2="B-717",'2023'!$I$4="CA",'2023'!$I$2=AO195),'2023DATA'!$L$37,"")</f>
        <v/>
      </c>
      <c r="AP230" s="518" t="str">
        <f>IF(AND(_AC2="B-717",'2023'!$I$4="CA",'2023'!$I$2=AP195),'2023DATA'!$M$37,"")</f>
        <v/>
      </c>
      <c r="AQ230" s="520" t="str">
        <f>IF(AND(_AC2="B-717",'2023'!$I$4="CA",'2023'!$I$2=AQ195),'2023DATA'!$N$37,"")</f>
        <v/>
      </c>
      <c r="AR230" s="940" t="s">
        <v>53</v>
      </c>
      <c r="AS230" s="13" t="s">
        <v>61</v>
      </c>
      <c r="AT230" s="518" t="str">
        <f>IF(AND(_AC3="B-717",'2023'!$I$4="CA",'2023'!$I$2=AT195),'2023DATA'!$C$37,"")</f>
        <v/>
      </c>
      <c r="AU230" s="518" t="str">
        <f>IF(AND(_AC3="B-717",'2023'!$I$4="CA",'2023'!$I$2=AU195),'2023DATA'!$D$37,"")</f>
        <v/>
      </c>
      <c r="AV230" s="518" t="str">
        <f>IF(AND(_AC3="B-717",'2023'!$I$4="CA",'2023'!$I$2=AV195),'2023DATA'!$E$37,"")</f>
        <v/>
      </c>
      <c r="AW230" s="518" t="str">
        <f>IF(AND(_AC3="B-717",'2023'!$I$4="CA",'2023'!$I$2=AW195),'2023DATA'!$F$37,"")</f>
        <v/>
      </c>
      <c r="AX230" s="518" t="str">
        <f>IF(AND(_AC3="B-717",'2023'!$I$4="CA",'2023'!$I$2=AX195),'2023DATA'!$G$37,"")</f>
        <v/>
      </c>
      <c r="AY230" s="518" t="str">
        <f>IF(AND(_AC3="B-717",'2023'!$I$4="CA",'2023'!$I$2=AY195),'2023DATA'!$H$37,"")</f>
        <v/>
      </c>
      <c r="AZ230" s="518" t="str">
        <f>IF(AND(_AC3="B-717",'2023'!$I$4="CA",'2023'!$I$2=AZ195),'2023DATA'!$I$37,"")</f>
        <v/>
      </c>
      <c r="BA230" s="518" t="str">
        <f>IF(AND(_AC3="B-717",'2023'!$I$4="CA",'2023'!$I$2=BA195),'2023DATA'!$J$37,"")</f>
        <v/>
      </c>
      <c r="BB230" s="518" t="str">
        <f>IF(AND(_AC3="B-717",'2023'!$I$4="CA",'2023'!$I$2=BB195),'2023DATA'!$K$37,"")</f>
        <v/>
      </c>
      <c r="BC230" s="518" t="str">
        <f>IF(AND(_AC3="B-717",'2023'!$I$4="CA",'2023'!$I$2=BC195),'2023DATA'!$L$37,"")</f>
        <v/>
      </c>
      <c r="BD230" s="518" t="str">
        <f>IF(AND(_AC3="B-717",'2023'!$I$4="CA",'2023'!$I$2=BD195),'2023DATA'!$M$37,"")</f>
        <v/>
      </c>
      <c r="BE230" s="520" t="str">
        <f>IF(AND(_AC3="B-717",'2023'!$I$4="CA",'2023'!$I$2=BE195),'2023DATA'!$N$37,"")</f>
        <v/>
      </c>
      <c r="BF230" s="940" t="s">
        <v>53</v>
      </c>
      <c r="BG230" s="13" t="s">
        <v>61</v>
      </c>
      <c r="BH230" s="518" t="str">
        <f>IF(AND(_AC4="B-717",'2023'!$I$4="CA",'2023'!$I$2=BH195),'2023DATA'!$C$37,"")</f>
        <v/>
      </c>
      <c r="BI230" s="518" t="str">
        <f>IF(AND(_AC4="B-717",'2023'!$I$4="CA",'2023'!$I$2=BI195),'2023DATA'!$D$37,"")</f>
        <v/>
      </c>
      <c r="BJ230" s="518" t="str">
        <f>IF(AND(_AC4="B-717",'2023'!$I$4="CA",'2023'!$I$2=BJ195),'2023DATA'!$E$37,"")</f>
        <v/>
      </c>
      <c r="BK230" s="518" t="str">
        <f>IF(AND(_AC4="B-717",'2023'!$I$4="CA",'2023'!$I$2=BK195),'2023DATA'!$F$37,"")</f>
        <v/>
      </c>
      <c r="BL230" s="518" t="str">
        <f>IF(AND(_AC4="B-717",'2023'!$I$4="CA",'2023'!$I$2=BL195),'2023DATA'!$G$37,"")</f>
        <v/>
      </c>
      <c r="BM230" s="518" t="str">
        <f>IF(AND(_AC4="B-717",'2023'!$I$4="CA",'2023'!$I$2=BM195),'2023DATA'!$H$37,"")</f>
        <v/>
      </c>
      <c r="BN230" s="518" t="str">
        <f>IF(AND(_AC4="B-717",'2023'!$I$4="CA",'2023'!$I$2=BN195),'2023DATA'!$I$37,"")</f>
        <v/>
      </c>
      <c r="BO230" s="518" t="str">
        <f>IF(AND(_AC4="B-717",'2023'!$I$4="CA",'2023'!$I$2=BO195),'2023DATA'!$J$37,"")</f>
        <v/>
      </c>
      <c r="BP230" s="518" t="str">
        <f>IF(AND(_AC4="B-717",'2023'!$I$4="CA",'2023'!$I$2=BP195),'2023DATA'!$K$37,"")</f>
        <v/>
      </c>
      <c r="BQ230" s="518" t="str">
        <f>IF(AND(_AC4="B-717",'2023'!$I$4="CA",'2023'!$I$2=BQ195),'2023DATA'!$L$37,"")</f>
        <v/>
      </c>
      <c r="BR230" s="518" t="str">
        <f>IF(AND(_AC4="B-717",'2023'!$I$4="CA",'2023'!$I$2=BR195),'2023DATA'!$M$37,"")</f>
        <v/>
      </c>
      <c r="BS230" s="520" t="str">
        <f>IF(AND(_AC4="B-717",'2023'!$I$4="CA",'2023'!$I$2=BS195),'2023DATA'!$N$37,"")</f>
        <v/>
      </c>
      <c r="BT230" s="940" t="s">
        <v>53</v>
      </c>
      <c r="BU230" s="13" t="s">
        <v>61</v>
      </c>
      <c r="BV230" s="518" t="str">
        <f>IF(AND(_AC5="B-717",'2023'!$I$4="CA",'2023'!$I$2=BV195),'2023DATA'!$C$37,"")</f>
        <v/>
      </c>
      <c r="BW230" s="518" t="str">
        <f>IF(AND(_AC5="B-717",'2023'!$I$4="CA",'2023'!$I$2=BW195),'2023DATA'!$D$37,"")</f>
        <v/>
      </c>
      <c r="BX230" s="518" t="str">
        <f>IF(AND(_AC5="B-717",'2023'!$I$4="CA",'2023'!$I$2=BX195),'2023DATA'!$E$37,"")</f>
        <v/>
      </c>
      <c r="BY230" s="518" t="str">
        <f>IF(AND(_AC5="B-717",'2023'!$I$4="CA",'2023'!$I$2=BY195),'2023DATA'!$F$37,"")</f>
        <v/>
      </c>
      <c r="BZ230" s="518" t="str">
        <f>IF(AND(_AC5="B-717",'2023'!$I$4="CA",'2023'!$I$2=BZ195),'2023DATA'!$G$37,"")</f>
        <v/>
      </c>
      <c r="CA230" s="518" t="str">
        <f>IF(AND(_AC5="B-717",'2023'!$I$4="CA",'2023'!$I$2=CA195),'2023DATA'!$H$37,"")</f>
        <v/>
      </c>
      <c r="CB230" s="518" t="str">
        <f>IF(AND(_AC5="B-717",'2023'!$I$4="CA",'2023'!$I$2=CB195),'2023DATA'!$I$37,"")</f>
        <v/>
      </c>
      <c r="CC230" s="518" t="str">
        <f>IF(AND(_AC5="B-717",'2023'!$I$4="CA",'2023'!$I$2=CC195),'2023DATA'!$J$37,"")</f>
        <v/>
      </c>
      <c r="CD230" s="518" t="str">
        <f>IF(AND(_AC5="B-717",'2023'!$I$4="CA",'2023'!$I$2=CD195),'2023DATA'!$K$37,"")</f>
        <v/>
      </c>
      <c r="CE230" s="518" t="str">
        <f>IF(AND(_AC5="B-717",'2023'!$I$4="CA",'2023'!$I$2=CE195),'2023DATA'!$L$37,"")</f>
        <v/>
      </c>
      <c r="CF230" s="518" t="str">
        <f>IF(AND(_AC5="B-717",'2023'!$I$4="CA",'2023'!$I$2=CF195),'2023DATA'!$M$37,"")</f>
        <v/>
      </c>
      <c r="CG230" s="520" t="str">
        <f>IF(AND(_AC5="B-717",'2023'!$I$4="CA",'2023'!$I$2=CG195),'2023DATA'!$N$37,"")</f>
        <v/>
      </c>
      <c r="CH230" s="940" t="s">
        <v>53</v>
      </c>
      <c r="CI230" s="13" t="s">
        <v>61</v>
      </c>
      <c r="CJ230" s="518" t="str">
        <f>IF(AND(_AC6="B-717",'2023'!$I$4="CA",'2023'!$I$2=CJ195),'2023DATA'!$C$37,"")</f>
        <v/>
      </c>
      <c r="CK230" s="518" t="str">
        <f>IF(AND(_AC6="B-717",'2023'!$I$4="CA",'2023'!$I$2=CK195),'2023DATA'!$D$37,"")</f>
        <v/>
      </c>
      <c r="CL230" s="518" t="str">
        <f>IF(AND(_AC6="B-717",'2023'!$I$4="CA",'2023'!$I$2=CL195),'2023DATA'!$E$37,"")</f>
        <v/>
      </c>
      <c r="CM230" s="518" t="str">
        <f>IF(AND(_AC6="B-717",'2023'!$I$4="CA",'2023'!$I$2=CM195),'2023DATA'!$F$37,"")</f>
        <v/>
      </c>
      <c r="CN230" s="518" t="str">
        <f>IF(AND(_AC6="B-717",'2023'!$I$4="CA",'2023'!$I$2=CN195),'2023DATA'!$G$37,"")</f>
        <v/>
      </c>
      <c r="CO230" s="518" t="str">
        <f>IF(AND(_AC6="B-717",'2023'!$I$4="CA",'2023'!$I$2=CO195),'2023DATA'!$H$37,"")</f>
        <v/>
      </c>
      <c r="CP230" s="518" t="str">
        <f>IF(AND(_AC6="B-717",'2023'!$I$4="CA",'2023'!$I$2=CP195),'2023DATA'!$I$37,"")</f>
        <v/>
      </c>
      <c r="CQ230" s="518" t="str">
        <f>IF(AND(_AC6="B-717",'2023'!$I$4="CA",'2023'!$I$2=CQ195),'2023DATA'!$J$37,"")</f>
        <v/>
      </c>
      <c r="CR230" s="518" t="str">
        <f>IF(AND(_AC6="B-717",'2023'!$I$4="CA",'2023'!$I$2=CR195),'2023DATA'!$K$37,"")</f>
        <v/>
      </c>
      <c r="CS230" s="518" t="str">
        <f>IF(AND(_AC6="B-717",'2023'!$I$4="CA",'2023'!$I$2=CS195),'2023DATA'!$L$37,"")</f>
        <v/>
      </c>
      <c r="CT230" s="518" t="str">
        <f>IF(AND(_AC6="B-717",'2023'!$I$4="CA",'2023'!$I$2=CT195),'2023DATA'!$M$37,"")</f>
        <v/>
      </c>
      <c r="CU230" s="520" t="str">
        <f>IF(AND(_AC6="B-717",'2023'!$I$4="CA",'2023'!$I$2=CU195),'2023DATA'!$N$37,"")</f>
        <v/>
      </c>
    </row>
    <row r="231" spans="16:99" ht="15.75" thickBot="1" x14ac:dyDescent="0.3">
      <c r="P231" s="942"/>
      <c r="Q231" s="2" t="s">
        <v>62</v>
      </c>
      <c r="R231" s="518" t="str">
        <f>IF(AND(_AC1="B-717",'2023'!$I$4="FO",'2023'!$I$2=R195),'2023DATA'!$C$38,"")</f>
        <v/>
      </c>
      <c r="S231" s="518" t="str">
        <f>IF(AND(_AC1="B-717",'2023'!$I$4="FO",'2023'!$I$2=S195),'2023DATA'!$D$38,"")</f>
        <v/>
      </c>
      <c r="T231" s="518" t="str">
        <f>IF(AND(_AC1="B-717",'2023'!$I$4="FO",'2023'!$I$2=T195),'2023DATA'!$E$38,"")</f>
        <v/>
      </c>
      <c r="U231" s="518" t="str">
        <f>IF(AND(_AC1="B-717",'2023'!$I$4="FO",'2023'!$I$2=U195),'2023DATA'!$F$38,"")</f>
        <v/>
      </c>
      <c r="V231" s="518" t="str">
        <f>IF(AND(_AC1="B-717",'2023'!$I$4="FO",'2023'!$I$2=V195),'2023DATA'!$G$38,"")</f>
        <v/>
      </c>
      <c r="W231" s="518" t="str">
        <f>IF(AND(_AC1="B-717",'2023'!$I$4="FO",'2023'!$I$2=W195),'2023DATA'!$H$38,"")</f>
        <v/>
      </c>
      <c r="X231" s="518" t="str">
        <f>IF(AND(_AC1="B-717",'2023'!$I$4="FO",'2023'!$I$2=X195),'2023DATA'!$I$38,"")</f>
        <v/>
      </c>
      <c r="Y231" s="518" t="str">
        <f>IF(AND(_AC1="B-717",'2023'!$I$4="FO",'2023'!$I$2=Y195),'2023DATA'!$J$38,"")</f>
        <v/>
      </c>
      <c r="Z231" s="518" t="str">
        <f>IF(AND(_AC1="B-717",'2023'!$I$4="FO",'2023'!$I$2=Z195),'2023DATA'!$K$38,"")</f>
        <v/>
      </c>
      <c r="AA231" s="518" t="str">
        <f>IF(AND(_AC1="B-717",'2023'!$I$4="FO",'2023'!$I$2=AA195),'2023DATA'!$L$38,"")</f>
        <v/>
      </c>
      <c r="AB231" s="518" t="str">
        <f>IF(AND(_AC1="B-717",'2023'!$I$4="FO",'2023'!$I$2=AB195),'2023DATA'!$M$38,"")</f>
        <v/>
      </c>
      <c r="AC231" s="520" t="str">
        <f>IF(AND(_AC1="B-717",'2023'!$I$4="FO",'2023'!$I$2=AC195),'2023DATA'!$N$38,"")</f>
        <v/>
      </c>
      <c r="AD231" s="942"/>
      <c r="AE231" s="2" t="s">
        <v>62</v>
      </c>
      <c r="AF231" s="518" t="str">
        <f>IF(AND(_AC2="B-717",'2023'!$I$4="FO",'2023'!$I$2=AF195),'2023DATA'!$C$38,"")</f>
        <v/>
      </c>
      <c r="AG231" s="518" t="str">
        <f>IF(AND(_AC2="B-717",'2023'!$I$4="FO",'2023'!$I$2=AG195),'2023DATA'!$D$38,"")</f>
        <v/>
      </c>
      <c r="AH231" s="518" t="str">
        <f>IF(AND(_AC2="B-717",'2023'!$I$4="FO",'2023'!$I$2=AH195),'2023DATA'!$E$38,"")</f>
        <v/>
      </c>
      <c r="AI231" s="518" t="str">
        <f>IF(AND(_AC2="B-717",'2023'!$I$4="FO",'2023'!$I$2=AI195),'2023DATA'!$F$38,"")</f>
        <v/>
      </c>
      <c r="AJ231" s="518" t="str">
        <f>IF(AND(_AC2="B-717",'2023'!$I$4="FO",'2023'!$I$2=AJ195),'2023DATA'!$G$38,"")</f>
        <v/>
      </c>
      <c r="AK231" s="518" t="str">
        <f>IF(AND(_AC2="B-717",'2023'!$I$4="FO",'2023'!$I$2=AK195),'2023DATA'!$H$38,"")</f>
        <v/>
      </c>
      <c r="AL231" s="518" t="str">
        <f>IF(AND(_AC2="B-717",'2023'!$I$4="FO",'2023'!$I$2=AL195),'2023DATA'!$I$38,"")</f>
        <v/>
      </c>
      <c r="AM231" s="518" t="str">
        <f>IF(AND(_AC2="B-717",'2023'!$I$4="FO",'2023'!$I$2=AM195),'2023DATA'!$J$38,"")</f>
        <v/>
      </c>
      <c r="AN231" s="518" t="str">
        <f>IF(AND(_AC2="B-717",'2023'!$I$4="FO",'2023'!$I$2=AN195),'2023DATA'!$K$38,"")</f>
        <v/>
      </c>
      <c r="AO231" s="518" t="str">
        <f>IF(AND(_AC2="B-717",'2023'!$I$4="FO",'2023'!$I$2=AO195),'2023DATA'!$L$38,"")</f>
        <v/>
      </c>
      <c r="AP231" s="518" t="str">
        <f>IF(AND(_AC2="B-717",'2023'!$I$4="FO",'2023'!$I$2=AP195),'2023DATA'!$M$38,"")</f>
        <v/>
      </c>
      <c r="AQ231" s="520" t="str">
        <f>IF(AND(_AC2="B-717",'2023'!$I$4="FO",'2023'!$I$2=AQ195),'2023DATA'!$N$38,"")</f>
        <v/>
      </c>
      <c r="AR231" s="942"/>
      <c r="AS231" s="2" t="s">
        <v>62</v>
      </c>
      <c r="AT231" s="518" t="str">
        <f>IF(AND(_AC3="B-717",'2023'!$I$4="FO",'2023'!$I$2=AT195),'2023DATA'!$C$38,"")</f>
        <v/>
      </c>
      <c r="AU231" s="518" t="str">
        <f>IF(AND(_AC3="B-717",'2023'!$I$4="FO",'2023'!$I$2=AU195),'2023DATA'!$D$38,"")</f>
        <v/>
      </c>
      <c r="AV231" s="518" t="str">
        <f>IF(AND(_AC3="B-717",'2023'!$I$4="FO",'2023'!$I$2=AV195),'2023DATA'!$E$38,"")</f>
        <v/>
      </c>
      <c r="AW231" s="518" t="str">
        <f>IF(AND(_AC3="B-717",'2023'!$I$4="FO",'2023'!$I$2=AW195),'2023DATA'!$F$38,"")</f>
        <v/>
      </c>
      <c r="AX231" s="518" t="str">
        <f>IF(AND(_AC3="B-717",'2023'!$I$4="FO",'2023'!$I$2=AX195),'2023DATA'!$G$38,"")</f>
        <v/>
      </c>
      <c r="AY231" s="518" t="str">
        <f>IF(AND(_AC3="B-717",'2023'!$I$4="FO",'2023'!$I$2=AY195),'2023DATA'!$H$38,"")</f>
        <v/>
      </c>
      <c r="AZ231" s="518" t="str">
        <f>IF(AND(_AC3="B-717",'2023'!$I$4="FO",'2023'!$I$2=AZ195),'2023DATA'!$I$38,"")</f>
        <v/>
      </c>
      <c r="BA231" s="518" t="str">
        <f>IF(AND(_AC3="B-717",'2023'!$I$4="FO",'2023'!$I$2=BA195),'2023DATA'!$J$38,"")</f>
        <v/>
      </c>
      <c r="BB231" s="518" t="str">
        <f>IF(AND(_AC3="B-717",'2023'!$I$4="FO",'2023'!$I$2=BB195),'2023DATA'!$K$38,"")</f>
        <v/>
      </c>
      <c r="BC231" s="518" t="str">
        <f>IF(AND(_AC3="B-717",'2023'!$I$4="FO",'2023'!$I$2=BC195),'2023DATA'!$L$38,"")</f>
        <v/>
      </c>
      <c r="BD231" s="518" t="str">
        <f>IF(AND(_AC3="B-717",'2023'!$I$4="FO",'2023'!$I$2=BD195),'2023DATA'!$M$38,"")</f>
        <v/>
      </c>
      <c r="BE231" s="520" t="str">
        <f>IF(AND(_AC3="B-717",'2023'!$I$4="FO",'2023'!$I$2=BE195),'2023DATA'!$N$38,"")</f>
        <v/>
      </c>
      <c r="BF231" s="942"/>
      <c r="BG231" s="2" t="s">
        <v>62</v>
      </c>
      <c r="BH231" s="518" t="str">
        <f>IF(AND(_AC4="B-717",'2023'!$I$4="FO",'2023'!$I$2=BH195),'2023DATA'!$C$38,"")</f>
        <v/>
      </c>
      <c r="BI231" s="518" t="str">
        <f>IF(AND(_AC4="B-717",'2023'!$I$4="FO",'2023'!$I$2=BI195),'2023DATA'!$D$38,"")</f>
        <v/>
      </c>
      <c r="BJ231" s="518" t="str">
        <f>IF(AND(_AC4="B-717",'2023'!$I$4="FO",'2023'!$I$2=BJ195),'2023DATA'!$E$38,"")</f>
        <v/>
      </c>
      <c r="BK231" s="518" t="str">
        <f>IF(AND(_AC4="B-717",'2023'!$I$4="FO",'2023'!$I$2=BK195),'2023DATA'!$F$38,"")</f>
        <v/>
      </c>
      <c r="BL231" s="518" t="str">
        <f>IF(AND(_AC4="B-717",'2023'!$I$4="FO",'2023'!$I$2=BL195),'2023DATA'!$G$38,"")</f>
        <v/>
      </c>
      <c r="BM231" s="518" t="str">
        <f>IF(AND(_AC4="B-717",'2023'!$I$4="FO",'2023'!$I$2=BM195),'2023DATA'!$H$38,"")</f>
        <v/>
      </c>
      <c r="BN231" s="518" t="str">
        <f>IF(AND(_AC4="B-717",'2023'!$I$4="FO",'2023'!$I$2=BN195),'2023DATA'!$I$38,"")</f>
        <v/>
      </c>
      <c r="BO231" s="518" t="str">
        <f>IF(AND(_AC4="B-717",'2023'!$I$4="FO",'2023'!$I$2=BO195),'2023DATA'!$J$38,"")</f>
        <v/>
      </c>
      <c r="BP231" s="518" t="str">
        <f>IF(AND(_AC4="B-717",'2023'!$I$4="FO",'2023'!$I$2=BP195),'2023DATA'!$K$38,"")</f>
        <v/>
      </c>
      <c r="BQ231" s="518" t="str">
        <f>IF(AND(_AC4="B-717",'2023'!$I$4="FO",'2023'!$I$2=BQ195),'2023DATA'!$L$38,"")</f>
        <v/>
      </c>
      <c r="BR231" s="518" t="str">
        <f>IF(AND(_AC4="B-717",'2023'!$I$4="FO",'2023'!$I$2=BR195),'2023DATA'!$M$38,"")</f>
        <v/>
      </c>
      <c r="BS231" s="520" t="str">
        <f>IF(AND(_AC4="B-717",'2023'!$I$4="FO",'2023'!$I$2=BS195),'2023DATA'!$N$38,"")</f>
        <v/>
      </c>
      <c r="BT231" s="942"/>
      <c r="BU231" s="2" t="s">
        <v>62</v>
      </c>
      <c r="BV231" s="518" t="str">
        <f>IF(AND(_AC5="B-717",'2023'!$I$4="FO",'2023'!$I$2=BV195),'2023DATA'!$C$38,"")</f>
        <v/>
      </c>
      <c r="BW231" s="518" t="str">
        <f>IF(AND(_AC5="B-717",'2023'!$I$4="FO",'2023'!$I$2=BW195),'2023DATA'!$D$38,"")</f>
        <v/>
      </c>
      <c r="BX231" s="518" t="str">
        <f>IF(AND(_AC5="B-717",'2023'!$I$4="FO",'2023'!$I$2=BX195),'2023DATA'!$E$38,"")</f>
        <v/>
      </c>
      <c r="BY231" s="518" t="str">
        <f>IF(AND(_AC5="B-717",'2023'!$I$4="FO",'2023'!$I$2=BY195),'2023DATA'!$F$38,"")</f>
        <v/>
      </c>
      <c r="BZ231" s="518" t="str">
        <f>IF(AND(_AC5="B-717",'2023'!$I$4="FO",'2023'!$I$2=BZ195),'2023DATA'!$G$38,"")</f>
        <v/>
      </c>
      <c r="CA231" s="518" t="str">
        <f>IF(AND(_AC5="B-717",'2023'!$I$4="FO",'2023'!$I$2=CA195),'2023DATA'!$H$38,"")</f>
        <v/>
      </c>
      <c r="CB231" s="518" t="str">
        <f>IF(AND(_AC5="B-717",'2023'!$I$4="FO",'2023'!$I$2=CB195),'2023DATA'!$I$38,"")</f>
        <v/>
      </c>
      <c r="CC231" s="518" t="str">
        <f>IF(AND(_AC5="B-717",'2023'!$I$4="FO",'2023'!$I$2=CC195),'2023DATA'!$J$38,"")</f>
        <v/>
      </c>
      <c r="CD231" s="518" t="str">
        <f>IF(AND(_AC5="B-717",'2023'!$I$4="FO",'2023'!$I$2=CD195),'2023DATA'!$K$38,"")</f>
        <v/>
      </c>
      <c r="CE231" s="518" t="str">
        <f>IF(AND(_AC5="B-717",'2023'!$I$4="FO",'2023'!$I$2=CE195),'2023DATA'!$L$38,"")</f>
        <v/>
      </c>
      <c r="CF231" s="518" t="str">
        <f>IF(AND(_AC5="B-717",'2023'!$I$4="FO",'2023'!$I$2=CF195),'2023DATA'!$M$38,"")</f>
        <v/>
      </c>
      <c r="CG231" s="520" t="str">
        <f>IF(AND(_AC5="B-717",'2023'!$I$4="FO",'2023'!$I$2=CG195),'2023DATA'!$N$38,"")</f>
        <v/>
      </c>
      <c r="CH231" s="942"/>
      <c r="CI231" s="2" t="s">
        <v>62</v>
      </c>
      <c r="CJ231" s="518" t="str">
        <f>IF(AND(_AC6="B-717",'2023'!$I$4="FO",'2023'!$I$2=CJ195),'2023DATA'!$C$38,"")</f>
        <v/>
      </c>
      <c r="CK231" s="518" t="str">
        <f>IF(AND(_AC6="B-717",'2023'!$I$4="FO",'2023'!$I$2=CK195),'2023DATA'!$D$38,"")</f>
        <v/>
      </c>
      <c r="CL231" s="518" t="str">
        <f>IF(AND(_AC6="B-717",'2023'!$I$4="FO",'2023'!$I$2=CL195),'2023DATA'!$E$38,"")</f>
        <v/>
      </c>
      <c r="CM231" s="518" t="str">
        <f>IF(AND(_AC6="B-717",'2023'!$I$4="FO",'2023'!$I$2=CM195),'2023DATA'!$F$38,"")</f>
        <v/>
      </c>
      <c r="CN231" s="518" t="str">
        <f>IF(AND(_AC6="B-717",'2023'!$I$4="FO",'2023'!$I$2=CN195),'2023DATA'!$G$38,"")</f>
        <v/>
      </c>
      <c r="CO231" s="518" t="str">
        <f>IF(AND(_AC6="B-717",'2023'!$I$4="FO",'2023'!$I$2=CO195),'2023DATA'!$H$38,"")</f>
        <v/>
      </c>
      <c r="CP231" s="518" t="str">
        <f>IF(AND(_AC6="B-717",'2023'!$I$4="FO",'2023'!$I$2=CP195),'2023DATA'!$I$38,"")</f>
        <v/>
      </c>
      <c r="CQ231" s="518" t="str">
        <f>IF(AND(_AC6="B-717",'2023'!$I$4="FO",'2023'!$I$2=CQ195),'2023DATA'!$J$38,"")</f>
        <v/>
      </c>
      <c r="CR231" s="518" t="str">
        <f>IF(AND(_AC6="B-717",'2023'!$I$4="FO",'2023'!$I$2=CR195),'2023DATA'!$K$38,"")</f>
        <v/>
      </c>
      <c r="CS231" s="518" t="str">
        <f>IF(AND(_AC6="B-717",'2023'!$I$4="FO",'2023'!$I$2=CS195),'2023DATA'!$L$38,"")</f>
        <v/>
      </c>
      <c r="CT231" s="518" t="str">
        <f>IF(AND(_AC6="B-717",'2023'!$I$4="FO",'2023'!$I$2=CT195),'2023DATA'!$M$38,"")</f>
        <v/>
      </c>
      <c r="CU231" s="520" t="str">
        <f>IF(AND(_AC6="B-717",'2023'!$I$4="FO",'2023'!$I$2=CU195),'2023DATA'!$N$38,"")</f>
        <v/>
      </c>
    </row>
    <row r="232" spans="16:99" x14ac:dyDescent="0.25">
      <c r="P232" s="943" t="s">
        <v>140</v>
      </c>
      <c r="Q232" s="944"/>
      <c r="R232" s="944"/>
      <c r="S232" s="944"/>
      <c r="T232" s="944"/>
      <c r="U232" s="944"/>
      <c r="V232" s="944"/>
      <c r="W232" s="944"/>
      <c r="X232" s="944"/>
      <c r="Y232" s="944"/>
      <c r="Z232" s="944"/>
      <c r="AA232" s="944"/>
      <c r="AB232" s="944"/>
      <c r="AC232" s="945"/>
      <c r="AD232" s="943" t="s">
        <v>141</v>
      </c>
      <c r="AE232" s="944"/>
      <c r="AF232" s="944"/>
      <c r="AG232" s="944"/>
      <c r="AH232" s="944"/>
      <c r="AI232" s="944"/>
      <c r="AJ232" s="944"/>
      <c r="AK232" s="944"/>
      <c r="AL232" s="944"/>
      <c r="AM232" s="944"/>
      <c r="AN232" s="944"/>
      <c r="AO232" s="944"/>
      <c r="AP232" s="944"/>
      <c r="AQ232" s="945"/>
      <c r="AR232" s="943" t="s">
        <v>142</v>
      </c>
      <c r="AS232" s="944"/>
      <c r="AT232" s="944"/>
      <c r="AU232" s="944"/>
      <c r="AV232" s="944"/>
      <c r="AW232" s="944"/>
      <c r="AX232" s="944"/>
      <c r="AY232" s="944"/>
      <c r="AZ232" s="944"/>
      <c r="BA232" s="944"/>
      <c r="BB232" s="944"/>
      <c r="BC232" s="944"/>
      <c r="BD232" s="944"/>
      <c r="BE232" s="945"/>
      <c r="BF232" s="943" t="s">
        <v>143</v>
      </c>
      <c r="BG232" s="944"/>
      <c r="BH232" s="944"/>
      <c r="BI232" s="944"/>
      <c r="BJ232" s="944"/>
      <c r="BK232" s="944"/>
      <c r="BL232" s="944"/>
      <c r="BM232" s="944"/>
      <c r="BN232" s="944"/>
      <c r="BO232" s="944"/>
      <c r="BP232" s="944"/>
      <c r="BQ232" s="944"/>
      <c r="BR232" s="944"/>
      <c r="BS232" s="945"/>
      <c r="BT232" s="943" t="s">
        <v>144</v>
      </c>
      <c r="BU232" s="944"/>
      <c r="BV232" s="944"/>
      <c r="BW232" s="944"/>
      <c r="BX232" s="944"/>
      <c r="BY232" s="944"/>
      <c r="BZ232" s="944"/>
      <c r="CA232" s="944"/>
      <c r="CB232" s="944"/>
      <c r="CC232" s="944"/>
      <c r="CD232" s="944"/>
      <c r="CE232" s="944"/>
      <c r="CF232" s="944"/>
      <c r="CG232" s="945"/>
      <c r="CH232" s="943" t="s">
        <v>145</v>
      </c>
      <c r="CI232" s="944"/>
      <c r="CJ232" s="944"/>
      <c r="CK232" s="944"/>
      <c r="CL232" s="944"/>
      <c r="CM232" s="944"/>
      <c r="CN232" s="944"/>
      <c r="CO232" s="944"/>
      <c r="CP232" s="944"/>
      <c r="CQ232" s="944"/>
      <c r="CR232" s="944"/>
      <c r="CS232" s="944"/>
      <c r="CT232" s="944"/>
      <c r="CU232" s="945"/>
    </row>
    <row r="233" spans="16:99" x14ac:dyDescent="0.25">
      <c r="P233" s="599">
        <v>7</v>
      </c>
      <c r="Q233" s="565">
        <f>SUM(R234:AC269)</f>
        <v>0</v>
      </c>
      <c r="R233" s="3">
        <v>12</v>
      </c>
      <c r="S233" s="3">
        <v>11</v>
      </c>
      <c r="T233" s="3">
        <v>10</v>
      </c>
      <c r="U233" s="3">
        <v>9</v>
      </c>
      <c r="V233" s="3">
        <v>8</v>
      </c>
      <c r="W233" s="3">
        <v>7</v>
      </c>
      <c r="X233" s="3">
        <v>6</v>
      </c>
      <c r="Y233" s="3">
        <v>5</v>
      </c>
      <c r="Z233" s="3">
        <v>4</v>
      </c>
      <c r="AA233" s="3">
        <v>3</v>
      </c>
      <c r="AB233" s="3">
        <v>2</v>
      </c>
      <c r="AC233" s="519">
        <v>1</v>
      </c>
      <c r="AD233" s="565">
        <v>7</v>
      </c>
      <c r="AE233" s="565">
        <f>SUM(AF234:AQ269)</f>
        <v>0</v>
      </c>
      <c r="AF233" s="3">
        <v>12</v>
      </c>
      <c r="AG233" s="3">
        <v>11</v>
      </c>
      <c r="AH233" s="3">
        <v>10</v>
      </c>
      <c r="AI233" s="3">
        <v>9</v>
      </c>
      <c r="AJ233" s="3">
        <v>8</v>
      </c>
      <c r="AK233" s="3">
        <v>7</v>
      </c>
      <c r="AL233" s="3">
        <v>6</v>
      </c>
      <c r="AM233" s="3">
        <v>5</v>
      </c>
      <c r="AN233" s="3">
        <v>4</v>
      </c>
      <c r="AO233" s="3">
        <v>3</v>
      </c>
      <c r="AP233" s="3">
        <v>2</v>
      </c>
      <c r="AQ233" s="519">
        <v>1</v>
      </c>
      <c r="AR233" s="565">
        <v>7</v>
      </c>
      <c r="AS233" s="565">
        <f>SUM(AT234:BE269)</f>
        <v>0</v>
      </c>
      <c r="AT233" s="3">
        <v>12</v>
      </c>
      <c r="AU233" s="3">
        <v>11</v>
      </c>
      <c r="AV233" s="3">
        <v>10</v>
      </c>
      <c r="AW233" s="3">
        <v>9</v>
      </c>
      <c r="AX233" s="3">
        <v>8</v>
      </c>
      <c r="AY233" s="3">
        <v>7</v>
      </c>
      <c r="AZ233" s="3">
        <v>6</v>
      </c>
      <c r="BA233" s="3">
        <v>5</v>
      </c>
      <c r="BB233" s="3">
        <v>4</v>
      </c>
      <c r="BC233" s="3">
        <v>3</v>
      </c>
      <c r="BD233" s="3">
        <v>2</v>
      </c>
      <c r="BE233" s="519">
        <v>1</v>
      </c>
      <c r="BF233" s="565">
        <v>7</v>
      </c>
      <c r="BG233" s="565">
        <f>SUM(BH234:BS269)</f>
        <v>0</v>
      </c>
      <c r="BH233" s="3">
        <v>12</v>
      </c>
      <c r="BI233" s="3">
        <v>11</v>
      </c>
      <c r="BJ233" s="3">
        <v>10</v>
      </c>
      <c r="BK233" s="3">
        <v>9</v>
      </c>
      <c r="BL233" s="3">
        <v>8</v>
      </c>
      <c r="BM233" s="3">
        <v>7</v>
      </c>
      <c r="BN233" s="3">
        <v>6</v>
      </c>
      <c r="BO233" s="3">
        <v>5</v>
      </c>
      <c r="BP233" s="3">
        <v>4</v>
      </c>
      <c r="BQ233" s="3">
        <v>3</v>
      </c>
      <c r="BR233" s="3">
        <v>2</v>
      </c>
      <c r="BS233" s="519">
        <v>1</v>
      </c>
      <c r="BT233" s="565">
        <v>7</v>
      </c>
      <c r="BU233" s="565">
        <f>SUM(BV234:CG269)</f>
        <v>0</v>
      </c>
      <c r="BV233" s="3">
        <v>12</v>
      </c>
      <c r="BW233" s="3">
        <v>11</v>
      </c>
      <c r="BX233" s="3">
        <v>10</v>
      </c>
      <c r="BY233" s="3">
        <v>9</v>
      </c>
      <c r="BZ233" s="3">
        <v>8</v>
      </c>
      <c r="CA233" s="3">
        <v>7</v>
      </c>
      <c r="CB233" s="3">
        <v>6</v>
      </c>
      <c r="CC233" s="3">
        <v>5</v>
      </c>
      <c r="CD233" s="3">
        <v>4</v>
      </c>
      <c r="CE233" s="3">
        <v>3</v>
      </c>
      <c r="CF233" s="3">
        <v>2</v>
      </c>
      <c r="CG233" s="519">
        <v>1</v>
      </c>
      <c r="CH233" s="565">
        <v>7</v>
      </c>
      <c r="CI233" s="565">
        <f>SUM(CJ234:CU269)</f>
        <v>0</v>
      </c>
      <c r="CJ233" s="3">
        <v>12</v>
      </c>
      <c r="CK233" s="3">
        <v>11</v>
      </c>
      <c r="CL233" s="3">
        <v>10</v>
      </c>
      <c r="CM233" s="3">
        <v>9</v>
      </c>
      <c r="CN233" s="3">
        <v>8</v>
      </c>
      <c r="CO233" s="3">
        <v>7</v>
      </c>
      <c r="CP233" s="3">
        <v>6</v>
      </c>
      <c r="CQ233" s="3">
        <v>5</v>
      </c>
      <c r="CR233" s="3">
        <v>4</v>
      </c>
      <c r="CS233" s="3">
        <v>3</v>
      </c>
      <c r="CT233" s="3">
        <v>2</v>
      </c>
      <c r="CU233" s="519">
        <v>1</v>
      </c>
    </row>
    <row r="234" spans="16:99" x14ac:dyDescent="0.25">
      <c r="P234" s="940" t="s">
        <v>39</v>
      </c>
      <c r="Q234" s="13" t="s">
        <v>61</v>
      </c>
      <c r="R234" s="518" t="str">
        <f>IF(AND(_AC1="A-350",'2023'!$J$4="CA",'2023'!$J$2=R233),'2023DATA'!$C$3,"")</f>
        <v/>
      </c>
      <c r="S234" s="518" t="str">
        <f>IF(AND(_AC1="A-350",'2023'!$J$4="CA",'2023'!$J$2=S233),'2023DATA'!$D$3,"")</f>
        <v/>
      </c>
      <c r="T234" s="518" t="str">
        <f>IF(AND(_AC1="A-350",'2023'!$J$4="CA",'2023'!$J$2=T233),'2023DATA'!$E$3,"")</f>
        <v/>
      </c>
      <c r="U234" s="518" t="str">
        <f>IF(AND(_AC1="A-350",'2023'!$J$4="CA",'2023'!$J$2=U233),'2023DATA'!$F$3,"")</f>
        <v/>
      </c>
      <c r="V234" s="518" t="str">
        <f>IF(AND(_AC1="A-350",'2023'!$J$4="CA",'2023'!$J$2=V233),'2023DATA'!$G$3,"")</f>
        <v/>
      </c>
      <c r="W234" s="518" t="str">
        <f>IF(AND(_AC1="A-350",'2023'!$J$4="CA",'2023'!$J$2=W233),'2023DATA'!$H$3,"")</f>
        <v/>
      </c>
      <c r="X234" s="518" t="str">
        <f>IF(AND(_AC1="A-350",'2023'!$J$4="CA",'2023'!$J$2=X233),'2023DATA'!$I$3,"")</f>
        <v/>
      </c>
      <c r="Y234" s="518" t="str">
        <f>IF(AND(_AC1="A-350",'2023'!$J$4="CA",'2023'!$J$2=Y233),'2023DATA'!$J$3,"")</f>
        <v/>
      </c>
      <c r="Z234" s="518" t="str">
        <f>IF(AND(_AC1="A-350",'2023'!$J$4="CA",'2023'!$J$2=Z233),'2023DATA'!$K$3,"")</f>
        <v/>
      </c>
      <c r="AA234" s="518" t="str">
        <f>IF(AND(_AC1="A-350",'2023'!$J$4="CA",'2023'!$J$2=AA233),'2023DATA'!$L$3,"")</f>
        <v/>
      </c>
      <c r="AB234" s="518" t="str">
        <f>IF(AND(_AC1="A-350",'2023'!$J$4="CA",'2023'!$J$2=AB233),'2023DATA'!$M$3,"")</f>
        <v/>
      </c>
      <c r="AC234" s="520" t="str">
        <f>IF(AND(_AC1="A-350",'2023'!$J$4="CA",'2023'!$J$2=AC233),'2023DATA'!$N$3,"")</f>
        <v/>
      </c>
      <c r="AD234" s="940" t="s">
        <v>39</v>
      </c>
      <c r="AE234" s="13" t="s">
        <v>61</v>
      </c>
      <c r="AF234" s="518" t="str">
        <f>IF(AND(_AC2="A-350",'2023'!$J$4="CA",'2023'!$J$2=AF233),'2023DATA'!$C$3,"")</f>
        <v/>
      </c>
      <c r="AG234" s="518" t="str">
        <f>IF(AND(_AC2="A-350",'2023'!$J$4="CA",'2023'!$J$2=AG233),'2023DATA'!$D$3,"")</f>
        <v/>
      </c>
      <c r="AH234" s="518" t="str">
        <f>IF(AND(_AC2="A-350",'2023'!$J$4="CA",'2023'!$J$2=AH233),'2023DATA'!$E$3,"")</f>
        <v/>
      </c>
      <c r="AI234" s="518" t="str">
        <f>IF(AND(_AC2="A-350",'2023'!$J$4="CA",'2023'!$J$2=AI233),'2023DATA'!$F$3,"")</f>
        <v/>
      </c>
      <c r="AJ234" s="518" t="str">
        <f>IF(AND(_AC2="A-350",'2023'!$J$4="CA",'2023'!$J$2=AJ233),'2023DATA'!$G$3,"")</f>
        <v/>
      </c>
      <c r="AK234" s="518" t="str">
        <f>IF(AND(_AC2="A-350",'2023'!$J$4="CA",'2023'!$J$2=AK233),'2023DATA'!$H$3,"")</f>
        <v/>
      </c>
      <c r="AL234" s="518" t="str">
        <f>IF(AND(_AC2="A-350",'2023'!$J$4="CA",'2023'!$J$2=AL233),'2023DATA'!$I$3,"")</f>
        <v/>
      </c>
      <c r="AM234" s="518" t="str">
        <f>IF(AND(_AC2="A-350",'2023'!$J$4="CA",'2023'!$J$2=AM233),'2023DATA'!$J$3,"")</f>
        <v/>
      </c>
      <c r="AN234" s="518" t="str">
        <f>IF(AND(_AC2="A-350",'2023'!$J$4="CA",'2023'!$J$2=AN233),'2023DATA'!$K$3,"")</f>
        <v/>
      </c>
      <c r="AO234" s="518" t="str">
        <f>IF(AND(_AC2="A-350",'2023'!$J$4="CA",'2023'!$J$2=AO233),'2023DATA'!$L$3,"")</f>
        <v/>
      </c>
      <c r="AP234" s="518" t="str">
        <f>IF(AND(_AC2="A-350",'2023'!$J$4="CA",'2023'!$J$2=AP233),'2023DATA'!$M$3,"")</f>
        <v/>
      </c>
      <c r="AQ234" s="520" t="str">
        <f>IF(AND(_AC2="A-350",'2023'!$J$4="CA",'2023'!$J$2=AQ233),'2023DATA'!$N$3,"")</f>
        <v/>
      </c>
      <c r="AR234" s="940" t="s">
        <v>39</v>
      </c>
      <c r="AS234" s="13" t="s">
        <v>61</v>
      </c>
      <c r="AT234" s="518" t="str">
        <f>IF(AND(_AC3="A-350",'2023'!$J$4="CA",'2023'!$J$2=AT233),'2023DATA'!$C$3,"")</f>
        <v/>
      </c>
      <c r="AU234" s="518" t="str">
        <f>IF(AND(_AC3="A-350",'2023'!$J$4="CA",'2023'!$J$2=AU233),'2023DATA'!$D$3,"")</f>
        <v/>
      </c>
      <c r="AV234" s="518" t="str">
        <f>IF(AND(_AC3="A-350",'2023'!$J$4="CA",'2023'!$J$2=AV233),'2023DATA'!$E$3,"")</f>
        <v/>
      </c>
      <c r="AW234" s="518" t="str">
        <f>IF(AND(_AC3="A-350",'2023'!$J$4="CA",'2023'!$J$2=AW233),'2023DATA'!$F$3,"")</f>
        <v/>
      </c>
      <c r="AX234" s="518" t="str">
        <f>IF(AND(_AC3="A-350",'2023'!$J$4="CA",'2023'!$J$2=AX233),'2023DATA'!$G$3,"")</f>
        <v/>
      </c>
      <c r="AY234" s="518" t="str">
        <f>IF(AND(_AC3="A-350",'2023'!$J$4="CA",'2023'!$J$2=AY233),'2023DATA'!$H$3,"")</f>
        <v/>
      </c>
      <c r="AZ234" s="518" t="str">
        <f>IF(AND(_AC3="A-350",'2023'!$J$4="CA",'2023'!$J$2=AZ233),'2023DATA'!$I$3,"")</f>
        <v/>
      </c>
      <c r="BA234" s="518" t="str">
        <f>IF(AND(_AC3="A-350",'2023'!$J$4="CA",'2023'!$J$2=BA233),'2023DATA'!$J$3,"")</f>
        <v/>
      </c>
      <c r="BB234" s="518" t="str">
        <f>IF(AND(_AC3="A-350",'2023'!$J$4="CA",'2023'!$J$2=BB233),'2023DATA'!$K$3,"")</f>
        <v/>
      </c>
      <c r="BC234" s="518" t="str">
        <f>IF(AND(_AC3="A-350",'2023'!$J$4="CA",'2023'!$J$2=BC233),'2023DATA'!$L$3,"")</f>
        <v/>
      </c>
      <c r="BD234" s="518" t="str">
        <f>IF(AND(_AC3="A-350",'2023'!$J$4="CA",'2023'!$J$2=BD233),'2023DATA'!$M$3,"")</f>
        <v/>
      </c>
      <c r="BE234" s="520" t="str">
        <f>IF(AND(_AC3="A-350",'2023'!$J$4="CA",'2023'!$J$2=BE233),'2023DATA'!$N$3,"")</f>
        <v/>
      </c>
      <c r="BF234" s="940" t="s">
        <v>39</v>
      </c>
      <c r="BG234" s="13" t="s">
        <v>61</v>
      </c>
      <c r="BH234" s="518" t="str">
        <f>IF(AND(_AC4="A-350",'2023'!$J$4="CA",'2023'!$J$2=BH233),'2023DATA'!$C$3,"")</f>
        <v/>
      </c>
      <c r="BI234" s="518" t="str">
        <f>IF(AND(_AC4="A-350",'2023'!$J$4="CA",'2023'!$J$2=BI233),'2023DATA'!$D$3,"")</f>
        <v/>
      </c>
      <c r="BJ234" s="518" t="str">
        <f>IF(AND(_AC4="A-350",'2023'!$J$4="CA",'2023'!$J$2=BJ233),'2023DATA'!$E$3,"")</f>
        <v/>
      </c>
      <c r="BK234" s="518" t="str">
        <f>IF(AND(_AC4="A-350",'2023'!$J$4="CA",'2023'!$J$2=BK233),'2023DATA'!$F$3,"")</f>
        <v/>
      </c>
      <c r="BL234" s="518" t="str">
        <f>IF(AND(_AC4="A-350",'2023'!$J$4="CA",'2023'!$J$2=BL233),'2023DATA'!$G$3,"")</f>
        <v/>
      </c>
      <c r="BM234" s="518" t="str">
        <f>IF(AND(_AC4="A-350",'2023'!$J$4="CA",'2023'!$J$2=BM233),'2023DATA'!$H$3,"")</f>
        <v/>
      </c>
      <c r="BN234" s="518" t="str">
        <f>IF(AND(_AC4="A-350",'2023'!$J$4="CA",'2023'!$J$2=BN233),'2023DATA'!$I$3,"")</f>
        <v/>
      </c>
      <c r="BO234" s="518" t="str">
        <f>IF(AND(_AC4="A-350",'2023'!$J$4="CA",'2023'!$J$2=BO233),'2023DATA'!$J$3,"")</f>
        <v/>
      </c>
      <c r="BP234" s="518" t="str">
        <f>IF(AND(_AC4="A-350",'2023'!$J$4="CA",'2023'!$J$2=BP233),'2023DATA'!$K$3,"")</f>
        <v/>
      </c>
      <c r="BQ234" s="518" t="str">
        <f>IF(AND(_AC4="A-350",'2023'!$J$4="CA",'2023'!$J$2=BQ233),'2023DATA'!$L$3,"")</f>
        <v/>
      </c>
      <c r="BR234" s="518" t="str">
        <f>IF(AND(_AC4="A-350",'2023'!$J$4="CA",'2023'!$J$2=BR233),'2023DATA'!$M$3,"")</f>
        <v/>
      </c>
      <c r="BS234" s="520" t="str">
        <f>IF(AND(_AC4="A-350",'2023'!$J$4="CA",'2023'!$J$2=BS233),'2023DATA'!$N$3,"")</f>
        <v/>
      </c>
      <c r="BT234" s="940" t="s">
        <v>39</v>
      </c>
      <c r="BU234" s="13" t="s">
        <v>61</v>
      </c>
      <c r="BV234" s="518" t="str">
        <f>IF(AND(_AC5="A-350",'2023'!$J$4="CA",'2023'!$J$2=BV233),'2023DATA'!$C$3,"")</f>
        <v/>
      </c>
      <c r="BW234" s="518" t="str">
        <f>IF(AND(_AC5="A-350",'2023'!$J$4="CA",'2023'!$J$2=BW233),'2023DATA'!$D$3,"")</f>
        <v/>
      </c>
      <c r="BX234" s="518" t="str">
        <f>IF(AND(_AC5="A-350",'2023'!$J$4="CA",'2023'!$J$2=BX233),'2023DATA'!$E$3,"")</f>
        <v/>
      </c>
      <c r="BY234" s="518" t="str">
        <f>IF(AND(_AC5="A-350",'2023'!$J$4="CA",'2023'!$J$2=BY233),'2023DATA'!$F$3,"")</f>
        <v/>
      </c>
      <c r="BZ234" s="518" t="str">
        <f>IF(AND(_AC5="A-350",'2023'!$J$4="CA",'2023'!$J$2=BZ233),'2023DATA'!$G$3,"")</f>
        <v/>
      </c>
      <c r="CA234" s="518" t="str">
        <f>IF(AND(_AC5="A-350",'2023'!$J$4="CA",'2023'!$J$2=CA233),'2023DATA'!$H$3,"")</f>
        <v/>
      </c>
      <c r="CB234" s="518" t="str">
        <f>IF(AND(_AC5="A-350",'2023'!$J$4="CA",'2023'!$J$2=CB233),'2023DATA'!$I$3,"")</f>
        <v/>
      </c>
      <c r="CC234" s="518" t="str">
        <f>IF(AND(_AC5="A-350",'2023'!$J$4="CA",'2023'!$J$2=CC233),'2023DATA'!$J$3,"")</f>
        <v/>
      </c>
      <c r="CD234" s="518" t="str">
        <f>IF(AND(_AC5="A-350",'2023'!$J$4="CA",'2023'!$J$2=CD233),'2023DATA'!$K$3,"")</f>
        <v/>
      </c>
      <c r="CE234" s="518" t="str">
        <f>IF(AND(_AC5="A-350",'2023'!$J$4="CA",'2023'!$J$2=CE233),'2023DATA'!$L$3,"")</f>
        <v/>
      </c>
      <c r="CF234" s="518" t="str">
        <f>IF(AND(_AC5="A-350",'2023'!$J$4="CA",'2023'!$J$2=CF233),'2023DATA'!$M$3,"")</f>
        <v/>
      </c>
      <c r="CG234" s="520" t="str">
        <f>IF(AND(_AC5="A-350",'2023'!$J$4="CA",'2023'!$J$2=CG233),'2023DATA'!$N$3,"")</f>
        <v/>
      </c>
      <c r="CH234" s="940" t="s">
        <v>39</v>
      </c>
      <c r="CI234" s="13" t="s">
        <v>61</v>
      </c>
      <c r="CJ234" s="518" t="str">
        <f>IF(AND(_AC6="A-350",'2023'!$J$4="CA",'2023'!$J$2=CJ233),'2023DATA'!$C$3,"")</f>
        <v/>
      </c>
      <c r="CK234" s="518" t="str">
        <f>IF(AND(_AC6="A-350",'2023'!$J$4="CA",'2023'!$J$2=CK233),'2023DATA'!$D$3,"")</f>
        <v/>
      </c>
      <c r="CL234" s="518" t="str">
        <f>IF(AND(_AC6="A-350",'2023'!$J$4="CA",'2023'!$J$2=CL233),'2023DATA'!$E$3,"")</f>
        <v/>
      </c>
      <c r="CM234" s="518" t="str">
        <f>IF(AND(_AC6="A-350",'2023'!$J$4="CA",'2023'!$J$2=CM233),'2023DATA'!$F$3,"")</f>
        <v/>
      </c>
      <c r="CN234" s="518" t="str">
        <f>IF(AND(_AC6="A-350",'2023'!$J$4="CA",'2023'!$J$2=CN233),'2023DATA'!$G$3,"")</f>
        <v/>
      </c>
      <c r="CO234" s="518" t="str">
        <f>IF(AND(_AC6="A-350",'2023'!$J$4="CA",'2023'!$J$2=CO233),'2023DATA'!$H$3,"")</f>
        <v/>
      </c>
      <c r="CP234" s="518" t="str">
        <f>IF(AND(_AC6="A-350",'2023'!$J$4="CA",'2023'!$J$2=CP233),'2023DATA'!$I$3,"")</f>
        <v/>
      </c>
      <c r="CQ234" s="518" t="str">
        <f>IF(AND(_AC6="A-350",'2023'!$J$4="CA",'2023'!$J$2=CQ233),'2023DATA'!$J$3,"")</f>
        <v/>
      </c>
      <c r="CR234" s="518" t="str">
        <f>IF(AND(_AC6="A-350",'2023'!$J$4="CA",'2023'!$J$2=CR233),'2023DATA'!$K$3,"")</f>
        <v/>
      </c>
      <c r="CS234" s="518" t="str">
        <f>IF(AND(_AC6="A-350",'2023'!$J$4="CA",'2023'!$J$2=CS233),'2023DATA'!$L$3,"")</f>
        <v/>
      </c>
      <c r="CT234" s="518" t="str">
        <f>IF(AND(_AC6="A-350",'2023'!$J$4="CA",'2023'!$J$2=CT233),'2023DATA'!$M$3,"")</f>
        <v/>
      </c>
      <c r="CU234" s="520" t="str">
        <f>IF(AND(_AC6="A-350",'2023'!$J$4="CA",'2023'!$J$2=CU233),'2023DATA'!$N$3,"")</f>
        <v/>
      </c>
    </row>
    <row r="235" spans="16:99" x14ac:dyDescent="0.25">
      <c r="P235" s="940"/>
      <c r="Q235" s="13" t="s">
        <v>62</v>
      </c>
      <c r="R235" s="518" t="str">
        <f>IF(AND(_AC1="A-350",'2023'!$J$4="FO",'2023'!$J$2=R233),'2023DATA'!$C$4,"")</f>
        <v/>
      </c>
      <c r="S235" s="518" t="str">
        <f>IF(AND(_AC1="A-350",'2023'!$J$4="FO",'2023'!$J$2=S233),'2023DATA'!$D$4,"")</f>
        <v/>
      </c>
      <c r="T235" s="518" t="str">
        <f>IF(AND(_AC1="A-350",'2023'!$J$4="FO",'2023'!$J$2=T233),'2023DATA'!$E$4,"")</f>
        <v/>
      </c>
      <c r="U235" s="518" t="str">
        <f>IF(AND(_AC1="A-350",'2023'!$J$4="FO",'2023'!$J$2=U233),'2023DATA'!$F$4,"")</f>
        <v/>
      </c>
      <c r="V235" s="518" t="str">
        <f>IF(AND(_AC1="A-350",'2023'!$J$4="FO",'2023'!$J$2=V233),'2023DATA'!$G$4,"")</f>
        <v/>
      </c>
      <c r="W235" s="518" t="str">
        <f>IF(AND(_AC1="A-350",'2023'!$J$4="FO",'2023'!$J$2=W233),'2023DATA'!$H$4,"")</f>
        <v/>
      </c>
      <c r="X235" s="518" t="str">
        <f>IF(AND(_AC1="A-350",'2023'!$J$4="FO",'2023'!$J$2=X233),'2023DATA'!$I$4,"")</f>
        <v/>
      </c>
      <c r="Y235" s="518" t="str">
        <f>IF(AND(_AC1="A-350",'2023'!$J$4="FO",'2023'!$J$2=Y233),'2023DATA'!$J$4,"")</f>
        <v/>
      </c>
      <c r="Z235" s="518" t="str">
        <f>IF(AND(_AC1="A-350",'2023'!$J$4="FO",'2023'!$J$2=Z233),'2023DATA'!$K$4,"")</f>
        <v/>
      </c>
      <c r="AA235" s="518" t="str">
        <f>IF(AND(_AC1="A-350",'2023'!$J$4="FO",'2023'!$J$2=AA233),'2023DATA'!$L$4,"")</f>
        <v/>
      </c>
      <c r="AB235" s="518" t="str">
        <f>IF(AND(_AC1="A-350",'2023'!$J$4="FO",'2023'!$J$2=AB233),'2023DATA'!$M$4,"")</f>
        <v/>
      </c>
      <c r="AC235" s="520" t="str">
        <f>IF(AND(_AC1="A-350",'2023'!$J$4="FO",'2023'!$J$2=AC233),'2023DATA'!$N$4,"")</f>
        <v/>
      </c>
      <c r="AD235" s="940"/>
      <c r="AE235" s="13" t="s">
        <v>62</v>
      </c>
      <c r="AF235" s="518" t="str">
        <f>IF(AND(_AC2="A-350",'2023'!$J$4="FO",'2023'!$J$2=AF233),'2023DATA'!$C$4,"")</f>
        <v/>
      </c>
      <c r="AG235" s="518" t="str">
        <f>IF(AND(_AC2="A-350",'2023'!$J$4="FO",'2023'!$J$2=AG233),'2023DATA'!$D$4,"")</f>
        <v/>
      </c>
      <c r="AH235" s="518" t="str">
        <f>IF(AND(_AC2="A-350",'2023'!$J$4="FO",'2023'!$J$2=AH233),'2023DATA'!$E$4,"")</f>
        <v/>
      </c>
      <c r="AI235" s="518" t="str">
        <f>IF(AND(_AC2="A-350",'2023'!$J$4="FO",'2023'!$J$2=AI233),'2023DATA'!$F$4,"")</f>
        <v/>
      </c>
      <c r="AJ235" s="518" t="str">
        <f>IF(AND(_AC2="A-350",'2023'!$J$4="FO",'2023'!$J$2=AJ233),'2023DATA'!$G$4,"")</f>
        <v/>
      </c>
      <c r="AK235" s="518" t="str">
        <f>IF(AND(_AC2="A-350",'2023'!$J$4="FO",'2023'!$J$2=AK233),'2023DATA'!$H$4,"")</f>
        <v/>
      </c>
      <c r="AL235" s="518" t="str">
        <f>IF(AND(_AC2="A-350",'2023'!$J$4="FO",'2023'!$J$2=AL233),'2023DATA'!$I$4,"")</f>
        <v/>
      </c>
      <c r="AM235" s="518" t="str">
        <f>IF(AND(_AC2="A-350",'2023'!$J$4="FO",'2023'!$J$2=AM233),'2023DATA'!$J$4,"")</f>
        <v/>
      </c>
      <c r="AN235" s="518" t="str">
        <f>IF(AND(_AC2="A-350",'2023'!$J$4="FO",'2023'!$J$2=AN233),'2023DATA'!$K$4,"")</f>
        <v/>
      </c>
      <c r="AO235" s="518" t="str">
        <f>IF(AND(_AC2="A-350",'2023'!$J$4="FO",'2023'!$J$2=AO233),'2023DATA'!$L$4,"")</f>
        <v/>
      </c>
      <c r="AP235" s="518" t="str">
        <f>IF(AND(_AC2="A-350",'2023'!$J$4="FO",'2023'!$J$2=AP233),'2023DATA'!$M$4,"")</f>
        <v/>
      </c>
      <c r="AQ235" s="520" t="str">
        <f>IF(AND(_AC2="A-350",'2023'!$J$4="FO",'2023'!$J$2=AQ233),'2023DATA'!$N$4,"")</f>
        <v/>
      </c>
      <c r="AR235" s="940"/>
      <c r="AS235" s="13" t="s">
        <v>62</v>
      </c>
      <c r="AT235" s="518" t="str">
        <f>IF(AND(_AC3="A-350",'2023'!$J$4="FO",'2023'!$J$2=AT233),'2023DATA'!$C$4,"")</f>
        <v/>
      </c>
      <c r="AU235" s="518" t="str">
        <f>IF(AND(_AC3="A-350",'2023'!$J$4="FO",'2023'!$J$2=AU233),'2023DATA'!$D$4,"")</f>
        <v/>
      </c>
      <c r="AV235" s="518" t="str">
        <f>IF(AND(_AC3="A-350",'2023'!$J$4="FO",'2023'!$J$2=AV233),'2023DATA'!$E$4,"")</f>
        <v/>
      </c>
      <c r="AW235" s="518" t="str">
        <f>IF(AND(_AC3="A-350",'2023'!$J$4="FO",'2023'!$J$2=AW233),'2023DATA'!$F$4,"")</f>
        <v/>
      </c>
      <c r="AX235" s="518" t="str">
        <f>IF(AND(_AC3="A-350",'2023'!$J$4="FO",'2023'!$J$2=AX233),'2023DATA'!$G$4,"")</f>
        <v/>
      </c>
      <c r="AY235" s="518" t="str">
        <f>IF(AND(_AC3="A-350",'2023'!$J$4="FO",'2023'!$J$2=AY233),'2023DATA'!$H$4,"")</f>
        <v/>
      </c>
      <c r="AZ235" s="518" t="str">
        <f>IF(AND(_AC3="A-350",'2023'!$J$4="FO",'2023'!$J$2=AZ233),'2023DATA'!$I$4,"")</f>
        <v/>
      </c>
      <c r="BA235" s="518" t="str">
        <f>IF(AND(_AC3="A-350",'2023'!$J$4="FO",'2023'!$J$2=BA233),'2023DATA'!$J$4,"")</f>
        <v/>
      </c>
      <c r="BB235" s="518" t="str">
        <f>IF(AND(_AC3="A-350",'2023'!$J$4="FO",'2023'!$J$2=BB233),'2023DATA'!$K$4,"")</f>
        <v/>
      </c>
      <c r="BC235" s="518" t="str">
        <f>IF(AND(_AC3="A-350",'2023'!$J$4="FO",'2023'!$J$2=BC233),'2023DATA'!$L$4,"")</f>
        <v/>
      </c>
      <c r="BD235" s="518" t="str">
        <f>IF(AND(_AC3="A-350",'2023'!$J$4="FO",'2023'!$J$2=BD233),'2023DATA'!$M$4,"")</f>
        <v/>
      </c>
      <c r="BE235" s="520" t="str">
        <f>IF(AND(_AC3="A-350",'2023'!$J$4="FO",'2023'!$J$2=BE233),'2023DATA'!$N$4,"")</f>
        <v/>
      </c>
      <c r="BF235" s="940"/>
      <c r="BG235" s="13" t="s">
        <v>62</v>
      </c>
      <c r="BH235" s="518" t="str">
        <f>IF(AND(_AC4="A-350",'2023'!$J$4="FO",'2023'!$J$2=BH233),'2023DATA'!$C$4,"")</f>
        <v/>
      </c>
      <c r="BI235" s="518" t="str">
        <f>IF(AND(_AC4="A-350",'2023'!$J$4="FO",'2023'!$J$2=BI233),'2023DATA'!$D$4,"")</f>
        <v/>
      </c>
      <c r="BJ235" s="518" t="str">
        <f>IF(AND(_AC4="A-350",'2023'!$J$4="FO",'2023'!$J$2=BJ233),'2023DATA'!$E$4,"")</f>
        <v/>
      </c>
      <c r="BK235" s="518" t="str">
        <f>IF(AND(_AC4="A-350",'2023'!$J$4="FO",'2023'!$J$2=BK233),'2023DATA'!$F$4,"")</f>
        <v/>
      </c>
      <c r="BL235" s="518" t="str">
        <f>IF(AND(_AC4="A-350",'2023'!$J$4="FO",'2023'!$J$2=BL233),'2023DATA'!$G$4,"")</f>
        <v/>
      </c>
      <c r="BM235" s="518" t="str">
        <f>IF(AND(_AC4="A-350",'2023'!$J$4="FO",'2023'!$J$2=BM233),'2023DATA'!$H$4,"")</f>
        <v/>
      </c>
      <c r="BN235" s="518" t="str">
        <f>IF(AND(_AC4="A-350",'2023'!$J$4="FO",'2023'!$J$2=BN233),'2023DATA'!$I$4,"")</f>
        <v/>
      </c>
      <c r="BO235" s="518" t="str">
        <f>IF(AND(_AC4="A-350",'2023'!$J$4="FO",'2023'!$J$2=BO233),'2023DATA'!$J$4,"")</f>
        <v/>
      </c>
      <c r="BP235" s="518" t="str">
        <f>IF(AND(_AC4="A-350",'2023'!$J$4="FO",'2023'!$J$2=BP233),'2023DATA'!$K$4,"")</f>
        <v/>
      </c>
      <c r="BQ235" s="518" t="str">
        <f>IF(AND(_AC4="A-350",'2023'!$J$4="FO",'2023'!$J$2=BQ233),'2023DATA'!$L$4,"")</f>
        <v/>
      </c>
      <c r="BR235" s="518" t="str">
        <f>IF(AND(_AC4="A-350",'2023'!$J$4="FO",'2023'!$J$2=BR233),'2023DATA'!$M$4,"")</f>
        <v/>
      </c>
      <c r="BS235" s="520" t="str">
        <f>IF(AND(_AC4="A-350",'2023'!$J$4="FO",'2023'!$J$2=BS233),'2023DATA'!$N$4,"")</f>
        <v/>
      </c>
      <c r="BT235" s="940"/>
      <c r="BU235" s="13" t="s">
        <v>62</v>
      </c>
      <c r="BV235" s="518" t="str">
        <f>IF(AND(_AC5="A-350",'2023'!$J$4="FO",'2023'!$J$2=BV233),'2023DATA'!$C$4,"")</f>
        <v/>
      </c>
      <c r="BW235" s="518" t="str">
        <f>IF(AND(_AC5="A-350",'2023'!$J$4="FO",'2023'!$J$2=BW233),'2023DATA'!$D$4,"")</f>
        <v/>
      </c>
      <c r="BX235" s="518" t="str">
        <f>IF(AND(_AC5="A-350",'2023'!$J$4="FO",'2023'!$J$2=BX233),'2023DATA'!$E$4,"")</f>
        <v/>
      </c>
      <c r="BY235" s="518" t="str">
        <f>IF(AND(_AC5="A-350",'2023'!$J$4="FO",'2023'!$J$2=BY233),'2023DATA'!$F$4,"")</f>
        <v/>
      </c>
      <c r="BZ235" s="518" t="str">
        <f>IF(AND(_AC5="A-350",'2023'!$J$4="FO",'2023'!$J$2=BZ233),'2023DATA'!$G$4,"")</f>
        <v/>
      </c>
      <c r="CA235" s="518" t="str">
        <f>IF(AND(_AC5="A-350",'2023'!$J$4="FO",'2023'!$J$2=CA233),'2023DATA'!$H$4,"")</f>
        <v/>
      </c>
      <c r="CB235" s="518" t="str">
        <f>IF(AND(_AC5="A-350",'2023'!$J$4="FO",'2023'!$J$2=CB233),'2023DATA'!$I$4,"")</f>
        <v/>
      </c>
      <c r="CC235" s="518" t="str">
        <f>IF(AND(_AC5="A-350",'2023'!$J$4="FO",'2023'!$J$2=CC233),'2023DATA'!$J$4,"")</f>
        <v/>
      </c>
      <c r="CD235" s="518" t="str">
        <f>IF(AND(_AC5="A-350",'2023'!$J$4="FO",'2023'!$J$2=CD233),'2023DATA'!$K$4,"")</f>
        <v/>
      </c>
      <c r="CE235" s="518" t="str">
        <f>IF(AND(_AC5="A-350",'2023'!$J$4="FO",'2023'!$J$2=CE233),'2023DATA'!$L$4,"")</f>
        <v/>
      </c>
      <c r="CF235" s="518" t="str">
        <f>IF(AND(_AC5="A-350",'2023'!$J$4="FO",'2023'!$J$2=CF233),'2023DATA'!$M$4,"")</f>
        <v/>
      </c>
      <c r="CG235" s="520" t="str">
        <f>IF(AND(_AC5="A-350",'2023'!$J$4="FO",'2023'!$J$2=CG233),'2023DATA'!$N$4,"")</f>
        <v/>
      </c>
      <c r="CH235" s="940"/>
      <c r="CI235" s="13" t="s">
        <v>62</v>
      </c>
      <c r="CJ235" s="518" t="str">
        <f>IF(AND(_AC6="A-350",'2023'!$J$4="FO",'2023'!$J$2=CJ233),'2023DATA'!$C$4,"")</f>
        <v/>
      </c>
      <c r="CK235" s="518" t="str">
        <f>IF(AND(_AC6="A-350",'2023'!$J$4="FO",'2023'!$J$2=CK233),'2023DATA'!$D$4,"")</f>
        <v/>
      </c>
      <c r="CL235" s="518" t="str">
        <f>IF(AND(_AC6="A-350",'2023'!$J$4="FO",'2023'!$J$2=CL233),'2023DATA'!$E$4,"")</f>
        <v/>
      </c>
      <c r="CM235" s="518" t="str">
        <f>IF(AND(_AC6="A-350",'2023'!$J$4="FO",'2023'!$J$2=CM233),'2023DATA'!$F$4,"")</f>
        <v/>
      </c>
      <c r="CN235" s="518" t="str">
        <f>IF(AND(_AC6="A-350",'2023'!$J$4="FO",'2023'!$J$2=CN233),'2023DATA'!$G$4,"")</f>
        <v/>
      </c>
      <c r="CO235" s="518" t="str">
        <f>IF(AND(_AC6="A-350",'2023'!$J$4="FO",'2023'!$J$2=CO233),'2023DATA'!$H$4,"")</f>
        <v/>
      </c>
      <c r="CP235" s="518" t="str">
        <f>IF(AND(_AC6="A-350",'2023'!$J$4="FO",'2023'!$J$2=CP233),'2023DATA'!$I$4,"")</f>
        <v/>
      </c>
      <c r="CQ235" s="518" t="str">
        <f>IF(AND(_AC6="A-350",'2023'!$J$4="FO",'2023'!$J$2=CQ233),'2023DATA'!$J$4,"")</f>
        <v/>
      </c>
      <c r="CR235" s="518" t="str">
        <f>IF(AND(_AC6="A-350",'2023'!$J$4="FO",'2023'!$J$2=CR233),'2023DATA'!$K$4,"")</f>
        <v/>
      </c>
      <c r="CS235" s="518" t="str">
        <f>IF(AND(_AC6="A-350",'2023'!$J$4="FO",'2023'!$J$2=CS233),'2023DATA'!$L$4,"")</f>
        <v/>
      </c>
      <c r="CT235" s="518" t="str">
        <f>IF(AND(_AC6="A-350",'2023'!$J$4="FO",'2023'!$J$2=CT233),'2023DATA'!$M$4,"")</f>
        <v/>
      </c>
      <c r="CU235" s="520" t="str">
        <f>IF(AND(_AC6="A-350",'2023'!$J$4="FO",'2023'!$J$2=CU233),'2023DATA'!$N$4,"")</f>
        <v/>
      </c>
    </row>
    <row r="236" spans="16:99" x14ac:dyDescent="0.25">
      <c r="P236" s="940" t="s">
        <v>65</v>
      </c>
      <c r="Q236" s="13" t="s">
        <v>61</v>
      </c>
      <c r="R236" s="518" t="str">
        <f>IF(AND(_AC1="A-330-900",'2023'!$J$4="CA",'2023'!$J$2=R233),'2023DATA'!$C$5,"")</f>
        <v/>
      </c>
      <c r="S236" s="518" t="str">
        <f>IF(AND(_AC1="A-330-900",'2023'!$J$4="CA",'2023'!$J$2=S233),'2023DATA'!$D$5,"")</f>
        <v/>
      </c>
      <c r="T236" s="518" t="str">
        <f>IF(AND(_AC1="A-330-900",'2023'!$J$4="CA",'2023'!$J$2=T233),'2023DATA'!$E$5,"")</f>
        <v/>
      </c>
      <c r="U236" s="518" t="str">
        <f>IF(AND(_AC1="A-330-900",'2023'!$J$4="CA",'2023'!$J$2=U233),'2023DATA'!$F$5,"")</f>
        <v/>
      </c>
      <c r="V236" s="518" t="str">
        <f>IF(AND(_AC1="A-330-900",'2023'!$J$4="CA",'2023'!$J$2=V233),'2023DATA'!$G$5,"")</f>
        <v/>
      </c>
      <c r="W236" s="518" t="str">
        <f>IF(AND(_AC1="A-330-900",'2023'!$J$4="CA",'2023'!$J$2=W233),'2023DATA'!$H$5,"")</f>
        <v/>
      </c>
      <c r="X236" s="518" t="str">
        <f>IF(AND(_AC1="A-330-900",'2023'!$J$4="CA",'2023'!$J$2=X233),'2023DATA'!$I$5,"")</f>
        <v/>
      </c>
      <c r="Y236" s="518" t="str">
        <f>IF(AND(_AC1="A-330-900",'2023'!$J$4="CA",'2023'!$J$2=Y233),'2023DATA'!$J$5,"")</f>
        <v/>
      </c>
      <c r="Z236" s="518" t="str">
        <f>IF(AND(_AC1="A-330-900",'2023'!$J$4="CA",'2023'!$J$2=Z233),'2023DATA'!$K$5,"")</f>
        <v/>
      </c>
      <c r="AA236" s="518" t="str">
        <f>IF(AND(_AC1="A-330-900",'2023'!$J$4="CA",'2023'!$J$2=AA233),'2023DATA'!$L$5,"")</f>
        <v/>
      </c>
      <c r="AB236" s="518" t="str">
        <f>IF(AND(_AC1="A-330-900",'2023'!$J$4="CA",'2023'!$J$2=AB233),'2023DATA'!$M$5,"")</f>
        <v/>
      </c>
      <c r="AC236" s="520" t="str">
        <f>IF(AND(_AC1="A-330-900",'2023'!$J$4="CA",'2023'!$J$2=AC233),'2023DATA'!$N$5,"")</f>
        <v/>
      </c>
      <c r="AD236" s="940" t="s">
        <v>65</v>
      </c>
      <c r="AE236" s="13" t="s">
        <v>61</v>
      </c>
      <c r="AF236" s="518" t="str">
        <f>IF(AND(_AC2="A-330-900",'2023'!$J$4="CA",'2023'!$J$2=AF233),'2023DATA'!$C$5,"")</f>
        <v/>
      </c>
      <c r="AG236" s="518" t="str">
        <f>IF(AND(_AC2="A-330-900",'2023'!$J$4="CA",'2023'!$J$2=AG233),'2023DATA'!$D$5,"")</f>
        <v/>
      </c>
      <c r="AH236" s="518" t="str">
        <f>IF(AND(_AC2="A-330-900",'2023'!$J$4="CA",'2023'!$J$2=AH233),'2023DATA'!$E$5,"")</f>
        <v/>
      </c>
      <c r="AI236" s="518" t="str">
        <f>IF(AND(_AC2="A-330-900",'2023'!$J$4="CA",'2023'!$J$2=AI233),'2023DATA'!$F$5,"")</f>
        <v/>
      </c>
      <c r="AJ236" s="518" t="str">
        <f>IF(AND(_AC2="A-330-900",'2023'!$J$4="CA",'2023'!$J$2=AJ233),'2023DATA'!$G$5,"")</f>
        <v/>
      </c>
      <c r="AK236" s="518" t="str">
        <f>IF(AND(_AC2="A-330-900",'2023'!$J$4="CA",'2023'!$J$2=AK233),'2023DATA'!$H$5,"")</f>
        <v/>
      </c>
      <c r="AL236" s="518" t="str">
        <f>IF(AND(_AC2="A-330-900",'2023'!$J$4="CA",'2023'!$J$2=AL233),'2023DATA'!$I$5,"")</f>
        <v/>
      </c>
      <c r="AM236" s="518" t="str">
        <f>IF(AND(_AC2="A-330-900",'2023'!$J$4="CA",'2023'!$J$2=AM233),'2023DATA'!$J$5,"")</f>
        <v/>
      </c>
      <c r="AN236" s="518" t="str">
        <f>IF(AND(_AC2="A-330-900",'2023'!$J$4="CA",'2023'!$J$2=AN233),'2023DATA'!$K$5,"")</f>
        <v/>
      </c>
      <c r="AO236" s="518" t="str">
        <f>IF(AND(_AC2="A-330-900",'2023'!$J$4="CA",'2023'!$J$2=AO233),'2023DATA'!$L$5,"")</f>
        <v/>
      </c>
      <c r="AP236" s="518" t="str">
        <f>IF(AND(_AC2="A-330-900",'2023'!$J$4="CA",'2023'!$J$2=AP233),'2023DATA'!$M$5,"")</f>
        <v/>
      </c>
      <c r="AQ236" s="520" t="str">
        <f>IF(AND(_AC2="A-330-900",'2023'!$J$4="CA",'2023'!$J$2=AQ233),'2023DATA'!$N$5,"")</f>
        <v/>
      </c>
      <c r="AR236" s="940" t="s">
        <v>65</v>
      </c>
      <c r="AS236" s="13" t="s">
        <v>61</v>
      </c>
      <c r="AT236" s="518" t="str">
        <f>IF(AND(_AC3="A-330-900",'2023'!$J$4="CA",'2023'!$J$2=AT233),'2023DATA'!$C$5,"")</f>
        <v/>
      </c>
      <c r="AU236" s="518" t="str">
        <f>IF(AND(_AC3="A-330-900",'2023'!$J$4="CA",'2023'!$J$2=AU233),'2023DATA'!$D$5,"")</f>
        <v/>
      </c>
      <c r="AV236" s="518" t="str">
        <f>IF(AND(_AC3="A-330-900",'2023'!$J$4="CA",'2023'!$J$2=AV233),'2023DATA'!$E$5,"")</f>
        <v/>
      </c>
      <c r="AW236" s="518" t="str">
        <f>IF(AND(_AC3="A-330-900",'2023'!$J$4="CA",'2023'!$J$2=AW233),'2023DATA'!$F$5,"")</f>
        <v/>
      </c>
      <c r="AX236" s="518" t="str">
        <f>IF(AND(_AC3="A-330-900",'2023'!$J$4="CA",'2023'!$J$2=AX233),'2023DATA'!$G$5,"")</f>
        <v/>
      </c>
      <c r="AY236" s="518" t="str">
        <f>IF(AND(_AC3="A-330-900",'2023'!$J$4="CA",'2023'!$J$2=AY233),'2023DATA'!$H$5,"")</f>
        <v/>
      </c>
      <c r="AZ236" s="518" t="str">
        <f>IF(AND(_AC3="A-330-900",'2023'!$J$4="CA",'2023'!$J$2=AZ233),'2023DATA'!$I$5,"")</f>
        <v/>
      </c>
      <c r="BA236" s="518" t="str">
        <f>IF(AND(_AC3="A-330-900",'2023'!$J$4="CA",'2023'!$J$2=BA233),'2023DATA'!$J$5,"")</f>
        <v/>
      </c>
      <c r="BB236" s="518" t="str">
        <f>IF(AND(_AC3="A-330-900",'2023'!$J$4="CA",'2023'!$J$2=BB233),'2023DATA'!$K$5,"")</f>
        <v/>
      </c>
      <c r="BC236" s="518" t="str">
        <f>IF(AND(_AC3="A-330-900",'2023'!$J$4="CA",'2023'!$J$2=BC233),'2023DATA'!$L$5,"")</f>
        <v/>
      </c>
      <c r="BD236" s="518" t="str">
        <f>IF(AND(_AC3="A-330-900",'2023'!$J$4="CA",'2023'!$J$2=BD233),'2023DATA'!$M$5,"")</f>
        <v/>
      </c>
      <c r="BE236" s="520" t="str">
        <f>IF(AND(_AC3="A-330-900",'2023'!$J$4="CA",'2023'!$J$2=BE233),'2023DATA'!$N$5,"")</f>
        <v/>
      </c>
      <c r="BF236" s="940" t="s">
        <v>65</v>
      </c>
      <c r="BG236" s="13" t="s">
        <v>61</v>
      </c>
      <c r="BH236" s="518" t="str">
        <f>IF(AND(_AC4="A-330-900",'2023'!$J$4="CA",'2023'!$J$2=BH233),'2023DATA'!$C$5,"")</f>
        <v/>
      </c>
      <c r="BI236" s="518" t="str">
        <f>IF(AND(_AC4="A-330-900",'2023'!$J$4="CA",'2023'!$J$2=BI233),'2023DATA'!$D$5,"")</f>
        <v/>
      </c>
      <c r="BJ236" s="518" t="str">
        <f>IF(AND(_AC4="A-330-900",'2023'!$J$4="CA",'2023'!$J$2=BJ233),'2023DATA'!$E$5,"")</f>
        <v/>
      </c>
      <c r="BK236" s="518" t="str">
        <f>IF(AND(_AC4="A-330-900",'2023'!$J$4="CA",'2023'!$J$2=BK233),'2023DATA'!$F$5,"")</f>
        <v/>
      </c>
      <c r="BL236" s="518" t="str">
        <f>IF(AND(_AC4="A-330-900",'2023'!$J$4="CA",'2023'!$J$2=BL233),'2023DATA'!$G$5,"")</f>
        <v/>
      </c>
      <c r="BM236" s="518" t="str">
        <f>IF(AND(_AC4="A-330-900",'2023'!$J$4="CA",'2023'!$J$2=BM233),'2023DATA'!$H$5,"")</f>
        <v/>
      </c>
      <c r="BN236" s="518" t="str">
        <f>IF(AND(_AC4="A-330-900",'2023'!$J$4="CA",'2023'!$J$2=BN233),'2023DATA'!$I$5,"")</f>
        <v/>
      </c>
      <c r="BO236" s="518" t="str">
        <f>IF(AND(_AC4="A-330-900",'2023'!$J$4="CA",'2023'!$J$2=BO233),'2023DATA'!$J$5,"")</f>
        <v/>
      </c>
      <c r="BP236" s="518" t="str">
        <f>IF(AND(_AC4="A-330-900",'2023'!$J$4="CA",'2023'!$J$2=BP233),'2023DATA'!$K$5,"")</f>
        <v/>
      </c>
      <c r="BQ236" s="518" t="str">
        <f>IF(AND(_AC4="A-330-900",'2023'!$J$4="CA",'2023'!$J$2=BQ233),'2023DATA'!$L$5,"")</f>
        <v/>
      </c>
      <c r="BR236" s="518" t="str">
        <f>IF(AND(_AC4="A-330-900",'2023'!$J$4="CA",'2023'!$J$2=BR233),'2023DATA'!$M$5,"")</f>
        <v/>
      </c>
      <c r="BS236" s="520" t="str">
        <f>IF(AND(_AC4="A-330-900",'2023'!$J$4="CA",'2023'!$J$2=BS233),'2023DATA'!$N$5,"")</f>
        <v/>
      </c>
      <c r="BT236" s="940" t="s">
        <v>65</v>
      </c>
      <c r="BU236" s="13" t="s">
        <v>61</v>
      </c>
      <c r="BV236" s="518" t="str">
        <f>IF(AND(_AC5="A-330-900",'2023'!$J$4="CA",'2023'!$J$2=BV233),'2023DATA'!$C$5,"")</f>
        <v/>
      </c>
      <c r="BW236" s="518" t="str">
        <f>IF(AND(_AC5="A-330-900",'2023'!$J$4="CA",'2023'!$J$2=BW233),'2023DATA'!$D$5,"")</f>
        <v/>
      </c>
      <c r="BX236" s="518" t="str">
        <f>IF(AND(_AC5="A-330-900",'2023'!$J$4="CA",'2023'!$J$2=BX233),'2023DATA'!$E$5,"")</f>
        <v/>
      </c>
      <c r="BY236" s="518" t="str">
        <f>IF(AND(_AC5="A-330-900",'2023'!$J$4="CA",'2023'!$J$2=BY233),'2023DATA'!$F$5,"")</f>
        <v/>
      </c>
      <c r="BZ236" s="518" t="str">
        <f>IF(AND(_AC5="A-330-900",'2023'!$J$4="CA",'2023'!$J$2=BZ233),'2023DATA'!$G$5,"")</f>
        <v/>
      </c>
      <c r="CA236" s="518" t="str">
        <f>IF(AND(_AC5="A-330-900",'2023'!$J$4="CA",'2023'!$J$2=CA233),'2023DATA'!$H$5,"")</f>
        <v/>
      </c>
      <c r="CB236" s="518" t="str">
        <f>IF(AND(_AC5="A-330-900",'2023'!$J$4="CA",'2023'!$J$2=CB233),'2023DATA'!$I$5,"")</f>
        <v/>
      </c>
      <c r="CC236" s="518" t="str">
        <f>IF(AND(_AC5="A-330-900",'2023'!$J$4="CA",'2023'!$J$2=CC233),'2023DATA'!$J$5,"")</f>
        <v/>
      </c>
      <c r="CD236" s="518" t="str">
        <f>IF(AND(_AC5="A-330-900",'2023'!$J$4="CA",'2023'!$J$2=CD233),'2023DATA'!$K$5,"")</f>
        <v/>
      </c>
      <c r="CE236" s="518" t="str">
        <f>IF(AND(_AC5="A-330-900",'2023'!$J$4="CA",'2023'!$J$2=CE233),'2023DATA'!$L$5,"")</f>
        <v/>
      </c>
      <c r="CF236" s="518" t="str">
        <f>IF(AND(_AC5="A-330-900",'2023'!$J$4="CA",'2023'!$J$2=CF233),'2023DATA'!$M$5,"")</f>
        <v/>
      </c>
      <c r="CG236" s="520" t="str">
        <f>IF(AND(_AC5="A-330-900",'2023'!$J$4="CA",'2023'!$J$2=CG233),'2023DATA'!$N$5,"")</f>
        <v/>
      </c>
      <c r="CH236" s="940" t="s">
        <v>65</v>
      </c>
      <c r="CI236" s="13" t="s">
        <v>61</v>
      </c>
      <c r="CJ236" s="518" t="str">
        <f>IF(AND(_AC6="A-330-900",'2023'!$J$4="CA",'2023'!$J$2=CJ233),'2023DATA'!$C$5,"")</f>
        <v/>
      </c>
      <c r="CK236" s="518" t="str">
        <f>IF(AND(_AC6="A-330-900",'2023'!$J$4="CA",'2023'!$J$2=CK233),'2023DATA'!$D$5,"")</f>
        <v/>
      </c>
      <c r="CL236" s="518" t="str">
        <f>IF(AND(_AC6="A-330-900",'2023'!$J$4="CA",'2023'!$J$2=CL233),'2023DATA'!$E$5,"")</f>
        <v/>
      </c>
      <c r="CM236" s="518" t="str">
        <f>IF(AND(_AC6="A-330-900",'2023'!$J$4="CA",'2023'!$J$2=CM233),'2023DATA'!$F$5,"")</f>
        <v/>
      </c>
      <c r="CN236" s="518" t="str">
        <f>IF(AND(_AC6="A-330-900",'2023'!$J$4="CA",'2023'!$J$2=CN233),'2023DATA'!$G$5,"")</f>
        <v/>
      </c>
      <c r="CO236" s="518" t="str">
        <f>IF(AND(_AC6="A-330-900",'2023'!$J$4="CA",'2023'!$J$2=CO233),'2023DATA'!$H$5,"")</f>
        <v/>
      </c>
      <c r="CP236" s="518" t="str">
        <f>IF(AND(_AC6="A-330-900",'2023'!$J$4="CA",'2023'!$J$2=CP233),'2023DATA'!$I$5,"")</f>
        <v/>
      </c>
      <c r="CQ236" s="518" t="str">
        <f>IF(AND(_AC6="A-330-900",'2023'!$J$4="CA",'2023'!$J$2=CQ233),'2023DATA'!$J$5,"")</f>
        <v/>
      </c>
      <c r="CR236" s="518" t="str">
        <f>IF(AND(_AC6="A-330-900",'2023'!$J$4="CA",'2023'!$J$2=CR233),'2023DATA'!$K$5,"")</f>
        <v/>
      </c>
      <c r="CS236" s="518" t="str">
        <f>IF(AND(_AC6="A-330-900",'2023'!$J$4="CA",'2023'!$J$2=CS233),'2023DATA'!$L$5,"")</f>
        <v/>
      </c>
      <c r="CT236" s="518" t="str">
        <f>IF(AND(_AC6="A-330-900",'2023'!$J$4="CA",'2023'!$J$2=CT233),'2023DATA'!$M$5,"")</f>
        <v/>
      </c>
      <c r="CU236" s="520" t="str">
        <f>IF(AND(_AC6="A-330-900",'2023'!$J$4="CA",'2023'!$J$2=CU233),'2023DATA'!$N$5,"")</f>
        <v/>
      </c>
    </row>
    <row r="237" spans="16:99" x14ac:dyDescent="0.25">
      <c r="P237" s="940"/>
      <c r="Q237" s="13" t="s">
        <v>62</v>
      </c>
      <c r="R237" s="518" t="str">
        <f>IF(AND(_AC1="A-330-900",'2023'!$J$4="FO",'2023'!$J$2=R233),'2023DATA'!$C$6,"")</f>
        <v/>
      </c>
      <c r="S237" s="518" t="str">
        <f>IF(AND(_AC1="A-330-900",'2023'!$J$4="FO",'2023'!$J$2=S233),'2023DATA'!$D$6,"")</f>
        <v/>
      </c>
      <c r="T237" s="518" t="str">
        <f>IF(AND(_AC1="A-330-900",'2023'!$J$4="FO",'2023'!$J$2=T233),'2023DATA'!$E$6,"")</f>
        <v/>
      </c>
      <c r="U237" s="518" t="str">
        <f>IF(AND(_AC1="A-330-900",'2023'!$J$4="FO",'2023'!$J$2=U233),'2023DATA'!$F$6,"")</f>
        <v/>
      </c>
      <c r="V237" s="518" t="str">
        <f>IF(AND(_AC1="A-330-900",'2023'!$J$4="FO",'2023'!$J$2=V233),'2023DATA'!$G$6,"")</f>
        <v/>
      </c>
      <c r="W237" s="518" t="str">
        <f>IF(AND(_AC1="A-330-900",'2023'!$J$4="FO",'2023'!$J$2=W233),'2023DATA'!$H$6,"")</f>
        <v/>
      </c>
      <c r="X237" s="518" t="str">
        <f>IF(AND(_AC1="A-330-900",'2023'!$J$4="FO",'2023'!$J$2=X233),'2023DATA'!$I$6,"")</f>
        <v/>
      </c>
      <c r="Y237" s="518" t="str">
        <f>IF(AND(_AC1="A-330-900",'2023'!$J$4="FO",'2023'!$J$2=Y233),'2023DATA'!$J$6,"")</f>
        <v/>
      </c>
      <c r="Z237" s="518" t="str">
        <f>IF(AND(_AC1="A-330-900",'2023'!$J$4="FO",'2023'!$J$2=Z233),'2023DATA'!$K$6,"")</f>
        <v/>
      </c>
      <c r="AA237" s="518" t="str">
        <f>IF(AND(_AC1="A-330-900",'2023'!$J$4="FO",'2023'!$J$2=AA233),'2023DATA'!$L$6,"")</f>
        <v/>
      </c>
      <c r="AB237" s="518" t="str">
        <f>IF(AND(_AC1="A-330-900",'2023'!$J$4="FO",'2023'!$J$2=AB233),'2023DATA'!$M$6,"")</f>
        <v/>
      </c>
      <c r="AC237" s="520" t="str">
        <f>IF(AND(_AC1="A-330-900",'2023'!$J$4="FO",'2023'!$J$2=AC233),'2023DATA'!$N$6,"")</f>
        <v/>
      </c>
      <c r="AD237" s="940"/>
      <c r="AE237" s="13" t="s">
        <v>62</v>
      </c>
      <c r="AF237" s="518" t="str">
        <f>IF(AND(_AC2="A-330-900",'2023'!$J$4="FO",'2023'!$J$2=AF233),'2023DATA'!$C$6,"")</f>
        <v/>
      </c>
      <c r="AG237" s="518" t="str">
        <f>IF(AND(_AC2="A-330-900",'2023'!$J$4="FO",'2023'!$J$2=AG233),'2023DATA'!$D$6,"")</f>
        <v/>
      </c>
      <c r="AH237" s="518" t="str">
        <f>IF(AND(_AC2="A-330-900",'2023'!$J$4="FO",'2023'!$J$2=AH233),'2023DATA'!$E$6,"")</f>
        <v/>
      </c>
      <c r="AI237" s="518" t="str">
        <f>IF(AND(_AC2="A-330-900",'2023'!$J$4="FO",'2023'!$J$2=AI233),'2023DATA'!$F$6,"")</f>
        <v/>
      </c>
      <c r="AJ237" s="518" t="str">
        <f>IF(AND(_AC2="A-330-900",'2023'!$J$4="FO",'2023'!$J$2=AJ233),'2023DATA'!$G$6,"")</f>
        <v/>
      </c>
      <c r="AK237" s="518" t="str">
        <f>IF(AND(_AC2="A-330-900",'2023'!$J$4="FO",'2023'!$J$2=AK233),'2023DATA'!$H$6,"")</f>
        <v/>
      </c>
      <c r="AL237" s="518" t="str">
        <f>IF(AND(_AC2="A-330-900",'2023'!$J$4="FO",'2023'!$J$2=AL233),'2023DATA'!$I$6,"")</f>
        <v/>
      </c>
      <c r="AM237" s="518" t="str">
        <f>IF(AND(_AC2="A-330-900",'2023'!$J$4="FO",'2023'!$J$2=AM233),'2023DATA'!$J$6,"")</f>
        <v/>
      </c>
      <c r="AN237" s="518" t="str">
        <f>IF(AND(_AC2="A-330-900",'2023'!$J$4="FO",'2023'!$J$2=AN233),'2023DATA'!$K$6,"")</f>
        <v/>
      </c>
      <c r="AO237" s="518" t="str">
        <f>IF(AND(_AC2="A-330-900",'2023'!$J$4="FO",'2023'!$J$2=AO233),'2023DATA'!$L$6,"")</f>
        <v/>
      </c>
      <c r="AP237" s="518" t="str">
        <f>IF(AND(_AC2="A-330-900",'2023'!$J$4="FO",'2023'!$J$2=AP233),'2023DATA'!$M$6,"")</f>
        <v/>
      </c>
      <c r="AQ237" s="520" t="str">
        <f>IF(AND(_AC2="A-330-900",'2023'!$J$4="FO",'2023'!$J$2=AQ233),'2023DATA'!$N$6,"")</f>
        <v/>
      </c>
      <c r="AR237" s="940"/>
      <c r="AS237" s="13" t="s">
        <v>62</v>
      </c>
      <c r="AT237" s="518" t="str">
        <f>IF(AND(_AC3="A-330-900",'2023'!$J$4="FO",'2023'!$J$2=AT233),'2023DATA'!$C$6,"")</f>
        <v/>
      </c>
      <c r="AU237" s="518" t="str">
        <f>IF(AND(_AC3="A-330-900",'2023'!$J$4="FO",'2023'!$J$2=AU233),'2023DATA'!$D$6,"")</f>
        <v/>
      </c>
      <c r="AV237" s="518" t="str">
        <f>IF(AND(_AC3="A-330-900",'2023'!$J$4="FO",'2023'!$J$2=AV233),'2023DATA'!$E$6,"")</f>
        <v/>
      </c>
      <c r="AW237" s="518" t="str">
        <f>IF(AND(_AC3="A-330-900",'2023'!$J$4="FO",'2023'!$J$2=AW233),'2023DATA'!$F$6,"")</f>
        <v/>
      </c>
      <c r="AX237" s="518" t="str">
        <f>IF(AND(_AC3="A-330-900",'2023'!$J$4="FO",'2023'!$J$2=AX233),'2023DATA'!$G$6,"")</f>
        <v/>
      </c>
      <c r="AY237" s="518" t="str">
        <f>IF(AND(_AC3="A-330-900",'2023'!$J$4="FO",'2023'!$J$2=AY233),'2023DATA'!$H$6,"")</f>
        <v/>
      </c>
      <c r="AZ237" s="518" t="str">
        <f>IF(AND(_AC3="A-330-900",'2023'!$J$4="FO",'2023'!$J$2=AZ233),'2023DATA'!$I$6,"")</f>
        <v/>
      </c>
      <c r="BA237" s="518" t="str">
        <f>IF(AND(_AC3="A-330-900",'2023'!$J$4="FO",'2023'!$J$2=BA233),'2023DATA'!$J$6,"")</f>
        <v/>
      </c>
      <c r="BB237" s="518" t="str">
        <f>IF(AND(_AC3="A-330-900",'2023'!$J$4="FO",'2023'!$J$2=BB233),'2023DATA'!$K$6,"")</f>
        <v/>
      </c>
      <c r="BC237" s="518" t="str">
        <f>IF(AND(_AC3="A-330-900",'2023'!$J$4="FO",'2023'!$J$2=BC233),'2023DATA'!$L$6,"")</f>
        <v/>
      </c>
      <c r="BD237" s="518" t="str">
        <f>IF(AND(_AC3="A-330-900",'2023'!$J$4="FO",'2023'!$J$2=BD233),'2023DATA'!$M$6,"")</f>
        <v/>
      </c>
      <c r="BE237" s="520" t="str">
        <f>IF(AND(_AC3="A-330-900",'2023'!$J$4="FO",'2023'!$J$2=BE233),'2023DATA'!$N$6,"")</f>
        <v/>
      </c>
      <c r="BF237" s="940"/>
      <c r="BG237" s="13" t="s">
        <v>62</v>
      </c>
      <c r="BH237" s="518" t="str">
        <f>IF(AND(_AC4="A-330-900",'2023'!$J$4="FO",'2023'!$J$2=BH233),'2023DATA'!$C$6,"")</f>
        <v/>
      </c>
      <c r="BI237" s="518" t="str">
        <f>IF(AND(_AC4="A-330-900",'2023'!$J$4="FO",'2023'!$J$2=BI233),'2023DATA'!$D$6,"")</f>
        <v/>
      </c>
      <c r="BJ237" s="518" t="str">
        <f>IF(AND(_AC4="A-330-900",'2023'!$J$4="FO",'2023'!$J$2=BJ233),'2023DATA'!$E$6,"")</f>
        <v/>
      </c>
      <c r="BK237" s="518" t="str">
        <f>IF(AND(_AC4="A-330-900",'2023'!$J$4="FO",'2023'!$J$2=BK233),'2023DATA'!$F$6,"")</f>
        <v/>
      </c>
      <c r="BL237" s="518" t="str">
        <f>IF(AND(_AC4="A-330-900",'2023'!$J$4="FO",'2023'!$J$2=BL233),'2023DATA'!$G$6,"")</f>
        <v/>
      </c>
      <c r="BM237" s="518" t="str">
        <f>IF(AND(_AC4="A-330-900",'2023'!$J$4="FO",'2023'!$J$2=BM233),'2023DATA'!$H$6,"")</f>
        <v/>
      </c>
      <c r="BN237" s="518" t="str">
        <f>IF(AND(_AC4="A-330-900",'2023'!$J$4="FO",'2023'!$J$2=BN233),'2023DATA'!$I$6,"")</f>
        <v/>
      </c>
      <c r="BO237" s="518" t="str">
        <f>IF(AND(_AC4="A-330-900",'2023'!$J$4="FO",'2023'!$J$2=BO233),'2023DATA'!$J$6,"")</f>
        <v/>
      </c>
      <c r="BP237" s="518" t="str">
        <f>IF(AND(_AC4="A-330-900",'2023'!$J$4="FO",'2023'!$J$2=BP233),'2023DATA'!$K$6,"")</f>
        <v/>
      </c>
      <c r="BQ237" s="518" t="str">
        <f>IF(AND(_AC4="A-330-900",'2023'!$J$4="FO",'2023'!$J$2=BQ233),'2023DATA'!$L$6,"")</f>
        <v/>
      </c>
      <c r="BR237" s="518" t="str">
        <f>IF(AND(_AC4="A-330-900",'2023'!$J$4="FO",'2023'!$J$2=BR233),'2023DATA'!$M$6,"")</f>
        <v/>
      </c>
      <c r="BS237" s="520" t="str">
        <f>IF(AND(_AC4="A-330-900",'2023'!$J$4="FO",'2023'!$J$2=BS233),'2023DATA'!$N$6,"")</f>
        <v/>
      </c>
      <c r="BT237" s="940"/>
      <c r="BU237" s="13" t="s">
        <v>62</v>
      </c>
      <c r="BV237" s="518" t="str">
        <f>IF(AND(_AC5="A-330-900",'2023'!$J$4="FO",'2023'!$J$2=BV233),'2023DATA'!$C$6,"")</f>
        <v/>
      </c>
      <c r="BW237" s="518" t="str">
        <f>IF(AND(_AC5="A-330-900",'2023'!$J$4="FO",'2023'!$J$2=BW233),'2023DATA'!$D$6,"")</f>
        <v/>
      </c>
      <c r="BX237" s="518" t="str">
        <f>IF(AND(_AC5="A-330-900",'2023'!$J$4="FO",'2023'!$J$2=BX233),'2023DATA'!$E$6,"")</f>
        <v/>
      </c>
      <c r="BY237" s="518" t="str">
        <f>IF(AND(_AC5="A-330-900",'2023'!$J$4="FO",'2023'!$J$2=BY233),'2023DATA'!$F$6,"")</f>
        <v/>
      </c>
      <c r="BZ237" s="518" t="str">
        <f>IF(AND(_AC5="A-330-900",'2023'!$J$4="FO",'2023'!$J$2=BZ233),'2023DATA'!$G$6,"")</f>
        <v/>
      </c>
      <c r="CA237" s="518" t="str">
        <f>IF(AND(_AC5="A-330-900",'2023'!$J$4="FO",'2023'!$J$2=CA233),'2023DATA'!$H$6,"")</f>
        <v/>
      </c>
      <c r="CB237" s="518" t="str">
        <f>IF(AND(_AC5="A-330-900",'2023'!$J$4="FO",'2023'!$J$2=CB233),'2023DATA'!$I$6,"")</f>
        <v/>
      </c>
      <c r="CC237" s="518" t="str">
        <f>IF(AND(_AC5="A-330-900",'2023'!$J$4="FO",'2023'!$J$2=CC233),'2023DATA'!$J$6,"")</f>
        <v/>
      </c>
      <c r="CD237" s="518" t="str">
        <f>IF(AND(_AC5="A-330-900",'2023'!$J$4="FO",'2023'!$J$2=CD233),'2023DATA'!$K$6,"")</f>
        <v/>
      </c>
      <c r="CE237" s="518" t="str">
        <f>IF(AND(_AC5="A-330-900",'2023'!$J$4="FO",'2023'!$J$2=CE233),'2023DATA'!$L$6,"")</f>
        <v/>
      </c>
      <c r="CF237" s="518" t="str">
        <f>IF(AND(_AC5="A-330-900",'2023'!$J$4="FO",'2023'!$J$2=CF233),'2023DATA'!$M$6,"")</f>
        <v/>
      </c>
      <c r="CG237" s="520" t="str">
        <f>IF(AND(_AC5="A-330-900",'2023'!$J$4="FO",'2023'!$J$2=CG233),'2023DATA'!$N$6,"")</f>
        <v/>
      </c>
      <c r="CH237" s="940"/>
      <c r="CI237" s="13" t="s">
        <v>62</v>
      </c>
      <c r="CJ237" s="518" t="str">
        <f>IF(AND(_AC6="A-330-900",'2023'!$J$4="FO",'2023'!$J$2=CJ233),'2023DATA'!$C$6,"")</f>
        <v/>
      </c>
      <c r="CK237" s="518" t="str">
        <f>IF(AND(_AC6="A-330-900",'2023'!$J$4="FO",'2023'!$J$2=CK233),'2023DATA'!$D$6,"")</f>
        <v/>
      </c>
      <c r="CL237" s="518" t="str">
        <f>IF(AND(_AC6="A-330-900",'2023'!$J$4="FO",'2023'!$J$2=CL233),'2023DATA'!$E$6,"")</f>
        <v/>
      </c>
      <c r="CM237" s="518" t="str">
        <f>IF(AND(_AC6="A-330-900",'2023'!$J$4="FO",'2023'!$J$2=CM233),'2023DATA'!$F$6,"")</f>
        <v/>
      </c>
      <c r="CN237" s="518" t="str">
        <f>IF(AND(_AC6="A-330-900",'2023'!$J$4="FO",'2023'!$J$2=CN233),'2023DATA'!$G$6,"")</f>
        <v/>
      </c>
      <c r="CO237" s="518" t="str">
        <f>IF(AND(_AC6="A-330-900",'2023'!$J$4="FO",'2023'!$J$2=CO233),'2023DATA'!$H$6,"")</f>
        <v/>
      </c>
      <c r="CP237" s="518" t="str">
        <f>IF(AND(_AC6="A-330-900",'2023'!$J$4="FO",'2023'!$J$2=CP233),'2023DATA'!$I$6,"")</f>
        <v/>
      </c>
      <c r="CQ237" s="518" t="str">
        <f>IF(AND(_AC6="A-330-900",'2023'!$J$4="FO",'2023'!$J$2=CQ233),'2023DATA'!$J$6,"")</f>
        <v/>
      </c>
      <c r="CR237" s="518" t="str">
        <f>IF(AND(_AC6="A-330-900",'2023'!$J$4="FO",'2023'!$J$2=CR233),'2023DATA'!$K$6,"")</f>
        <v/>
      </c>
      <c r="CS237" s="518" t="str">
        <f>IF(AND(_AC6="A-330-900",'2023'!$J$4="FO",'2023'!$J$2=CS233),'2023DATA'!$L$6,"")</f>
        <v/>
      </c>
      <c r="CT237" s="518" t="str">
        <f>IF(AND(_AC6="A-330-900",'2023'!$J$4="FO",'2023'!$J$2=CT233),'2023DATA'!$M$6,"")</f>
        <v/>
      </c>
      <c r="CU237" s="520" t="str">
        <f>IF(AND(_AC6="A-330-900",'2023'!$J$4="FO",'2023'!$J$2=CU233),'2023DATA'!$N$6,"")</f>
        <v/>
      </c>
    </row>
    <row r="238" spans="16:99" x14ac:dyDescent="0.25">
      <c r="P238" s="940" t="s">
        <v>64</v>
      </c>
      <c r="Q238" s="13" t="s">
        <v>61</v>
      </c>
      <c r="R238" s="518" t="str">
        <f>IF(AND(_AC1="A-330-300",'2023'!$J$4="CA",'2023'!$J$2=R233),'2023DATA'!$C$7,"")</f>
        <v/>
      </c>
      <c r="S238" s="518" t="str">
        <f>IF(AND(_AC1="A-330-300",'2023'!$J$4="CA",'2023'!$J$2=S233),'2023DATA'!$D$7,"")</f>
        <v/>
      </c>
      <c r="T238" s="518" t="str">
        <f>IF(AND(_AC1="A-330-300",'2023'!$J$4="CA",'2023'!$J$2=T233),'2023DATA'!$E$7,"")</f>
        <v/>
      </c>
      <c r="U238" s="518" t="str">
        <f>IF(AND(_AC1="A-330-300",'2023'!$J$4="CA",'2023'!$J$2=U233),'2023DATA'!$F$7,"")</f>
        <v/>
      </c>
      <c r="V238" s="518" t="str">
        <f>IF(AND(_AC1="A-330-300",'2023'!$J$4="CA",'2023'!$J$2=V233),'2023DATA'!$G$7,"")</f>
        <v/>
      </c>
      <c r="W238" s="518" t="str">
        <f>IF(AND(_AC1="A-330-300",'2023'!$J$4="CA",'2023'!$J$2=W233),'2023DATA'!$H$7,"")</f>
        <v/>
      </c>
      <c r="X238" s="518" t="str">
        <f>IF(AND(_AC1="A-330-300",'2023'!$J$4="CA",'2023'!$J$2=X233),'2023DATA'!$I$7,"")</f>
        <v/>
      </c>
      <c r="Y238" s="518" t="str">
        <f>IF(AND(_AC1="A-330-300",'2023'!$J$4="CA",'2023'!$J$2=Y233),'2023DATA'!$J$7,"")</f>
        <v/>
      </c>
      <c r="Z238" s="518" t="str">
        <f>IF(AND(_AC1="A-330-300",'2023'!$J$4="CA",'2023'!$J$2=Z233),'2023DATA'!$K$7,"")</f>
        <v/>
      </c>
      <c r="AA238" s="518" t="str">
        <f>IF(AND(_AC1="A-330-300",'2023'!$J$4="CA",'2023'!$J$2=AA233),'2023DATA'!$L$7,"")</f>
        <v/>
      </c>
      <c r="AB238" s="518" t="str">
        <f>IF(AND(_AC1="A-330-300",'2023'!$J$4="CA",'2023'!$J$2=AB233),'2023DATA'!$M$7,"")</f>
        <v/>
      </c>
      <c r="AC238" s="520" t="str">
        <f>IF(AND(_AC1="A-330-300",'2023'!$J$4="CA",'2023'!$J$2=AC233),'2023DATA'!$N$7,"")</f>
        <v/>
      </c>
      <c r="AD238" s="940" t="s">
        <v>64</v>
      </c>
      <c r="AE238" s="13" t="s">
        <v>61</v>
      </c>
      <c r="AF238" s="518" t="str">
        <f>IF(AND(_AC2="A-330-300",'2023'!$J$4="CA",'2023'!$J$2=AF233),'2023DATA'!$C$7,"")</f>
        <v/>
      </c>
      <c r="AG238" s="518" t="str">
        <f>IF(AND(_AC2="A-330-300",'2023'!$J$4="CA",'2023'!$J$2=AG233),'2023DATA'!$D$7,"")</f>
        <v/>
      </c>
      <c r="AH238" s="518" t="str">
        <f>IF(AND(_AC2="A-330-300",'2023'!$J$4="CA",'2023'!$J$2=AH233),'2023DATA'!$E$7,"")</f>
        <v/>
      </c>
      <c r="AI238" s="518" t="str">
        <f>IF(AND(_AC2="A-330-300",'2023'!$J$4="CA",'2023'!$J$2=AI233),'2023DATA'!$F$7,"")</f>
        <v/>
      </c>
      <c r="AJ238" s="518" t="str">
        <f>IF(AND(_AC2="A-330-300",'2023'!$J$4="CA",'2023'!$J$2=AJ233),'2023DATA'!$G$7,"")</f>
        <v/>
      </c>
      <c r="AK238" s="518" t="str">
        <f>IF(AND(_AC2="A-330-300",'2023'!$J$4="CA",'2023'!$J$2=AK233),'2023DATA'!$H$7,"")</f>
        <v/>
      </c>
      <c r="AL238" s="518" t="str">
        <f>IF(AND(_AC2="A-330-300",'2023'!$J$4="CA",'2023'!$J$2=AL233),'2023DATA'!$I$7,"")</f>
        <v/>
      </c>
      <c r="AM238" s="518" t="str">
        <f>IF(AND(_AC2="A-330-300",'2023'!$J$4="CA",'2023'!$J$2=AM233),'2023DATA'!$J$7,"")</f>
        <v/>
      </c>
      <c r="AN238" s="518" t="str">
        <f>IF(AND(_AC2="A-330-300",'2023'!$J$4="CA",'2023'!$J$2=AN233),'2023DATA'!$K$7,"")</f>
        <v/>
      </c>
      <c r="AO238" s="518" t="str">
        <f>IF(AND(_AC2="A-330-300",'2023'!$J$4="CA",'2023'!$J$2=AO233),'2023DATA'!$L$7,"")</f>
        <v/>
      </c>
      <c r="AP238" s="518" t="str">
        <f>IF(AND(_AC2="A-330-300",'2023'!$J$4="CA",'2023'!$J$2=AP233),'2023DATA'!$M$7,"")</f>
        <v/>
      </c>
      <c r="AQ238" s="520" t="str">
        <f>IF(AND(_AC2="A-330-300",'2023'!$J$4="CA",'2023'!$J$2=AQ233),'2023DATA'!$N$7,"")</f>
        <v/>
      </c>
      <c r="AR238" s="940" t="s">
        <v>64</v>
      </c>
      <c r="AS238" s="13" t="s">
        <v>61</v>
      </c>
      <c r="AT238" s="518" t="str">
        <f>IF(AND(_AC3="A-330-300",'2023'!$J$4="CA",'2023'!$J$2=AT233),'2023DATA'!$C$7,"")</f>
        <v/>
      </c>
      <c r="AU238" s="518" t="str">
        <f>IF(AND(_AC3="A-330-300",'2023'!$J$4="CA",'2023'!$J$2=AU233),'2023DATA'!$D$7,"")</f>
        <v/>
      </c>
      <c r="AV238" s="518" t="str">
        <f>IF(AND(_AC3="A-330-300",'2023'!$J$4="CA",'2023'!$J$2=AV233),'2023DATA'!$E$7,"")</f>
        <v/>
      </c>
      <c r="AW238" s="518" t="str">
        <f>IF(AND(_AC3="A-330-300",'2023'!$J$4="CA",'2023'!$J$2=AW233),'2023DATA'!$F$7,"")</f>
        <v/>
      </c>
      <c r="AX238" s="518" t="str">
        <f>IF(AND(_AC3="A-330-300",'2023'!$J$4="CA",'2023'!$J$2=AX233),'2023DATA'!$G$7,"")</f>
        <v/>
      </c>
      <c r="AY238" s="518" t="str">
        <f>IF(AND(_AC3="A-330-300",'2023'!$J$4="CA",'2023'!$J$2=AY233),'2023DATA'!$H$7,"")</f>
        <v/>
      </c>
      <c r="AZ238" s="518" t="str">
        <f>IF(AND(_AC3="A-330-300",'2023'!$J$4="CA",'2023'!$J$2=AZ233),'2023DATA'!$I$7,"")</f>
        <v/>
      </c>
      <c r="BA238" s="518" t="str">
        <f>IF(AND(_AC3="A-330-300",'2023'!$J$4="CA",'2023'!$J$2=BA233),'2023DATA'!$J$7,"")</f>
        <v/>
      </c>
      <c r="BB238" s="518" t="str">
        <f>IF(AND(_AC3="A-330-300",'2023'!$J$4="CA",'2023'!$J$2=BB233),'2023DATA'!$K$7,"")</f>
        <v/>
      </c>
      <c r="BC238" s="518" t="str">
        <f>IF(AND(_AC3="A-330-300",'2023'!$J$4="CA",'2023'!$J$2=BC233),'2023DATA'!$L$7,"")</f>
        <v/>
      </c>
      <c r="BD238" s="518" t="str">
        <f>IF(AND(_AC3="A-330-300",'2023'!$J$4="CA",'2023'!$J$2=BD233),'2023DATA'!$M$7,"")</f>
        <v/>
      </c>
      <c r="BE238" s="520" t="str">
        <f>IF(AND(_AC3="A-330-300",'2023'!$J$4="CA",'2023'!$J$2=BE233),'2023DATA'!$N$7,"")</f>
        <v/>
      </c>
      <c r="BF238" s="940" t="s">
        <v>64</v>
      </c>
      <c r="BG238" s="13" t="s">
        <v>61</v>
      </c>
      <c r="BH238" s="518" t="str">
        <f>IF(AND(_AC4="A-330-300",'2023'!$J$4="CA",'2023'!$J$2=BH233),'2023DATA'!$C$7,"")</f>
        <v/>
      </c>
      <c r="BI238" s="518" t="str">
        <f>IF(AND(_AC4="A-330-300",'2023'!$J$4="CA",'2023'!$J$2=BI233),'2023DATA'!$D$7,"")</f>
        <v/>
      </c>
      <c r="BJ238" s="518" t="str">
        <f>IF(AND(_AC4="A-330-300",'2023'!$J$4="CA",'2023'!$J$2=BJ233),'2023DATA'!$E$7,"")</f>
        <v/>
      </c>
      <c r="BK238" s="518" t="str">
        <f>IF(AND(_AC4="A-330-300",'2023'!$J$4="CA",'2023'!$J$2=BK233),'2023DATA'!$F$7,"")</f>
        <v/>
      </c>
      <c r="BL238" s="518" t="str">
        <f>IF(AND(_AC4="A-330-300",'2023'!$J$4="CA",'2023'!$J$2=BL233),'2023DATA'!$G$7,"")</f>
        <v/>
      </c>
      <c r="BM238" s="518" t="str">
        <f>IF(AND(_AC4="A-330-300",'2023'!$J$4="CA",'2023'!$J$2=BM233),'2023DATA'!$H$7,"")</f>
        <v/>
      </c>
      <c r="BN238" s="518" t="str">
        <f>IF(AND(_AC4="A-330-300",'2023'!$J$4="CA",'2023'!$J$2=BN233),'2023DATA'!$I$7,"")</f>
        <v/>
      </c>
      <c r="BO238" s="518" t="str">
        <f>IF(AND(_AC4="A-330-300",'2023'!$J$4="CA",'2023'!$J$2=BO233),'2023DATA'!$J$7,"")</f>
        <v/>
      </c>
      <c r="BP238" s="518" t="str">
        <f>IF(AND(_AC4="A-330-300",'2023'!$J$4="CA",'2023'!$J$2=BP233),'2023DATA'!$K$7,"")</f>
        <v/>
      </c>
      <c r="BQ238" s="518" t="str">
        <f>IF(AND(_AC4="A-330-300",'2023'!$J$4="CA",'2023'!$J$2=BQ233),'2023DATA'!$L$7,"")</f>
        <v/>
      </c>
      <c r="BR238" s="518" t="str">
        <f>IF(AND(_AC4="A-330-300",'2023'!$J$4="CA",'2023'!$J$2=BR233),'2023DATA'!$M$7,"")</f>
        <v/>
      </c>
      <c r="BS238" s="520" t="str">
        <f>IF(AND(_AC4="A-330-300",'2023'!$J$4="CA",'2023'!$J$2=BS233),'2023DATA'!$N$7,"")</f>
        <v/>
      </c>
      <c r="BT238" s="940" t="s">
        <v>64</v>
      </c>
      <c r="BU238" s="13" t="s">
        <v>61</v>
      </c>
      <c r="BV238" s="518" t="str">
        <f>IF(AND(_AC5="A-330-300",'2023'!$J$4="CA",'2023'!$J$2=BV233),'2023DATA'!$C$7,"")</f>
        <v/>
      </c>
      <c r="BW238" s="518" t="str">
        <f>IF(AND(_AC5="A-330-300",'2023'!$J$4="CA",'2023'!$J$2=BW233),'2023DATA'!$D$7,"")</f>
        <v/>
      </c>
      <c r="BX238" s="518" t="str">
        <f>IF(AND(_AC5="A-330-300",'2023'!$J$4="CA",'2023'!$J$2=BX233),'2023DATA'!$E$7,"")</f>
        <v/>
      </c>
      <c r="BY238" s="518" t="str">
        <f>IF(AND(_AC5="A-330-300",'2023'!$J$4="CA",'2023'!$J$2=BY233),'2023DATA'!$F$7,"")</f>
        <v/>
      </c>
      <c r="BZ238" s="518" t="str">
        <f>IF(AND(_AC5="A-330-300",'2023'!$J$4="CA",'2023'!$J$2=BZ233),'2023DATA'!$G$7,"")</f>
        <v/>
      </c>
      <c r="CA238" s="518" t="str">
        <f>IF(AND(_AC5="A-330-300",'2023'!$J$4="CA",'2023'!$J$2=CA233),'2023DATA'!$H$7,"")</f>
        <v/>
      </c>
      <c r="CB238" s="518" t="str">
        <f>IF(AND(_AC5="A-330-300",'2023'!$J$4="CA",'2023'!$J$2=CB233),'2023DATA'!$I$7,"")</f>
        <v/>
      </c>
      <c r="CC238" s="518" t="str">
        <f>IF(AND(_AC5="A-330-300",'2023'!$J$4="CA",'2023'!$J$2=CC233),'2023DATA'!$J$7,"")</f>
        <v/>
      </c>
      <c r="CD238" s="518" t="str">
        <f>IF(AND(_AC5="A-330-300",'2023'!$J$4="CA",'2023'!$J$2=CD233),'2023DATA'!$K$7,"")</f>
        <v/>
      </c>
      <c r="CE238" s="518" t="str">
        <f>IF(AND(_AC5="A-330-300",'2023'!$J$4="CA",'2023'!$J$2=CE233),'2023DATA'!$L$7,"")</f>
        <v/>
      </c>
      <c r="CF238" s="518" t="str">
        <f>IF(AND(_AC5="A-330-300",'2023'!$J$4="CA",'2023'!$J$2=CF233),'2023DATA'!$M$7,"")</f>
        <v/>
      </c>
      <c r="CG238" s="520" t="str">
        <f>IF(AND(_AC5="A-330-300",'2023'!$J$4="CA",'2023'!$J$2=CG233),'2023DATA'!$N$7,"")</f>
        <v/>
      </c>
      <c r="CH238" s="940" t="s">
        <v>64</v>
      </c>
      <c r="CI238" s="13" t="s">
        <v>61</v>
      </c>
      <c r="CJ238" s="518" t="str">
        <f>IF(AND(_AC6="A-330-300",'2023'!$J$4="CA",'2023'!$J$2=CJ233),'2023DATA'!$C$7,"")</f>
        <v/>
      </c>
      <c r="CK238" s="518" t="str">
        <f>IF(AND(_AC6="A-330-300",'2023'!$J$4="CA",'2023'!$J$2=CK233),'2023DATA'!$D$7,"")</f>
        <v/>
      </c>
      <c r="CL238" s="518" t="str">
        <f>IF(AND(_AC6="A-330-300",'2023'!$J$4="CA",'2023'!$J$2=CL233),'2023DATA'!$E$7,"")</f>
        <v/>
      </c>
      <c r="CM238" s="518" t="str">
        <f>IF(AND(_AC6="A-330-300",'2023'!$J$4="CA",'2023'!$J$2=CM233),'2023DATA'!$F$7,"")</f>
        <v/>
      </c>
      <c r="CN238" s="518" t="str">
        <f>IF(AND(_AC6="A-330-300",'2023'!$J$4="CA",'2023'!$J$2=CN233),'2023DATA'!$G$7,"")</f>
        <v/>
      </c>
      <c r="CO238" s="518" t="str">
        <f>IF(AND(_AC6="A-330-300",'2023'!$J$4="CA",'2023'!$J$2=CO233),'2023DATA'!$H$7,"")</f>
        <v/>
      </c>
      <c r="CP238" s="518" t="str">
        <f>IF(AND(_AC6="A-330-300",'2023'!$J$4="CA",'2023'!$J$2=CP233),'2023DATA'!$I$7,"")</f>
        <v/>
      </c>
      <c r="CQ238" s="518" t="str">
        <f>IF(AND(_AC6="A-330-300",'2023'!$J$4="CA",'2023'!$J$2=CQ233),'2023DATA'!$J$7,"")</f>
        <v/>
      </c>
      <c r="CR238" s="518" t="str">
        <f>IF(AND(_AC6="A-330-300",'2023'!$J$4="CA",'2023'!$J$2=CR233),'2023DATA'!$K$7,"")</f>
        <v/>
      </c>
      <c r="CS238" s="518" t="str">
        <f>IF(AND(_AC6="A-330-300",'2023'!$J$4="CA",'2023'!$J$2=CS233),'2023DATA'!$L$7,"")</f>
        <v/>
      </c>
      <c r="CT238" s="518" t="str">
        <f>IF(AND(_AC6="A-330-300",'2023'!$J$4="CA",'2023'!$J$2=CT233),'2023DATA'!$M$7,"")</f>
        <v/>
      </c>
      <c r="CU238" s="520" t="str">
        <f>IF(AND(_AC6="A-330-300",'2023'!$J$4="CA",'2023'!$J$2=CU233),'2023DATA'!$N$7,"")</f>
        <v/>
      </c>
    </row>
    <row r="239" spans="16:99" x14ac:dyDescent="0.25">
      <c r="P239" s="940"/>
      <c r="Q239" s="13" t="s">
        <v>62</v>
      </c>
      <c r="R239" s="518" t="str">
        <f>IF(AND(_AC1="A-330-300",'2023'!$J$4="FO",'2023'!$J$2=R233),'2023DATA'!$C$8,"")</f>
        <v/>
      </c>
      <c r="S239" s="518" t="str">
        <f>IF(AND(_AC1="A-330-300",'2023'!$J$4="FO",'2023'!$J$2=S233),'2023DATA'!$D$8,"")</f>
        <v/>
      </c>
      <c r="T239" s="518" t="str">
        <f>IF(AND(_AC1="A-330-300",'2023'!$J$4="FO",'2023'!$J$2=T233),'2023DATA'!$E$8,"")</f>
        <v/>
      </c>
      <c r="U239" s="518" t="str">
        <f>IF(AND(_AC1="A-330-300",'2023'!$J$4="FO",'2023'!$J$2=U233),'2023DATA'!$F$8,"")</f>
        <v/>
      </c>
      <c r="V239" s="518" t="str">
        <f>IF(AND(_AC1="A-330-300",'2023'!$J$4="FO",'2023'!$J$2=V233),'2023DATA'!$G$8,"")</f>
        <v/>
      </c>
      <c r="W239" s="518" t="str">
        <f>IF(AND(_AC1="A-330-300",'2023'!$J$4="FO",'2023'!$J$2=W233),'2023DATA'!$H$8,"")</f>
        <v/>
      </c>
      <c r="X239" s="518" t="str">
        <f>IF(AND(_AC1="A-330-300",'2023'!$J$4="FO",'2023'!$J$2=X233),'2023DATA'!$I$8,"")</f>
        <v/>
      </c>
      <c r="Y239" s="518" t="str">
        <f>IF(AND(_AC1="A-330-300",'2023'!$J$4="FO",'2023'!$J$2=Y233),'2023DATA'!$J$8,"")</f>
        <v/>
      </c>
      <c r="Z239" s="518" t="str">
        <f>IF(AND(_AC1="A-330-300",'2023'!$J$4="FO",'2023'!$J$2=Z233),'2023DATA'!$K$8,"")</f>
        <v/>
      </c>
      <c r="AA239" s="518" t="str">
        <f>IF(AND(_AC1="A-330-300",'2023'!$J$4="FO",'2023'!$J$2=AA233),'2023DATA'!$L$8,"")</f>
        <v/>
      </c>
      <c r="AB239" s="518" t="str">
        <f>IF(AND(_AC1="A-330-300",'2023'!$J$4="FO",'2023'!$J$2=AB233),'2023DATA'!$M$8,"")</f>
        <v/>
      </c>
      <c r="AC239" s="520" t="str">
        <f>IF(AND(_AC1="A-330-300",'2023'!$J$4="FO",'2023'!$J$2=AC233),'2023DATA'!$N$8,"")</f>
        <v/>
      </c>
      <c r="AD239" s="940"/>
      <c r="AE239" s="13" t="s">
        <v>62</v>
      </c>
      <c r="AF239" s="518" t="str">
        <f>IF(AND(_AC2="A-330-300",'2023'!$J$4="FO",'2023'!$J$2=AF233),'2023DATA'!$C$8,"")</f>
        <v/>
      </c>
      <c r="AG239" s="518" t="str">
        <f>IF(AND(_AC2="A-330-300",'2023'!$J$4="FO",'2023'!$J$2=AG233),'2023DATA'!$D$8,"")</f>
        <v/>
      </c>
      <c r="AH239" s="518" t="str">
        <f>IF(AND(_AC2="A-330-300",'2023'!$J$4="FO",'2023'!$J$2=AH233),'2023DATA'!$E$8,"")</f>
        <v/>
      </c>
      <c r="AI239" s="518" t="str">
        <f>IF(AND(_AC2="A-330-300",'2023'!$J$4="FO",'2023'!$J$2=AI233),'2023DATA'!$F$8,"")</f>
        <v/>
      </c>
      <c r="AJ239" s="518" t="str">
        <f>IF(AND(_AC2="A-330-300",'2023'!$J$4="FO",'2023'!$J$2=AJ233),'2023DATA'!$G$8,"")</f>
        <v/>
      </c>
      <c r="AK239" s="518" t="str">
        <f>IF(AND(_AC2="A-330-300",'2023'!$J$4="FO",'2023'!$J$2=AK233),'2023DATA'!$H$8,"")</f>
        <v/>
      </c>
      <c r="AL239" s="518" t="str">
        <f>IF(AND(_AC2="A-330-300",'2023'!$J$4="FO",'2023'!$J$2=AL233),'2023DATA'!$I$8,"")</f>
        <v/>
      </c>
      <c r="AM239" s="518" t="str">
        <f>IF(AND(_AC2="A-330-300",'2023'!$J$4="FO",'2023'!$J$2=AM233),'2023DATA'!$J$8,"")</f>
        <v/>
      </c>
      <c r="AN239" s="518" t="str">
        <f>IF(AND(_AC2="A-330-300",'2023'!$J$4="FO",'2023'!$J$2=AN233),'2023DATA'!$K$8,"")</f>
        <v/>
      </c>
      <c r="AO239" s="518" t="str">
        <f>IF(AND(_AC2="A-330-300",'2023'!$J$4="FO",'2023'!$J$2=AO233),'2023DATA'!$L$8,"")</f>
        <v/>
      </c>
      <c r="AP239" s="518" t="str">
        <f>IF(AND(_AC2="A-330-300",'2023'!$J$4="FO",'2023'!$J$2=AP233),'2023DATA'!$M$8,"")</f>
        <v/>
      </c>
      <c r="AQ239" s="520" t="str">
        <f>IF(AND(_AC2="A-330-300",'2023'!$J$4="FO",'2023'!$J$2=AQ233),'2023DATA'!$N$8,"")</f>
        <v/>
      </c>
      <c r="AR239" s="940"/>
      <c r="AS239" s="13" t="s">
        <v>62</v>
      </c>
      <c r="AT239" s="518" t="str">
        <f>IF(AND(_AC3="A-330-300",'2023'!$J$4="FO",'2023'!$J$2=AT233),'2023DATA'!$C$8,"")</f>
        <v/>
      </c>
      <c r="AU239" s="518" t="str">
        <f>IF(AND(_AC3="A-330-300",'2023'!$J$4="FO",'2023'!$J$2=AU233),'2023DATA'!$D$8,"")</f>
        <v/>
      </c>
      <c r="AV239" s="518" t="str">
        <f>IF(AND(_AC3="A-330-300",'2023'!$J$4="FO",'2023'!$J$2=AV233),'2023DATA'!$E$8,"")</f>
        <v/>
      </c>
      <c r="AW239" s="518" t="str">
        <f>IF(AND(_AC3="A-330-300",'2023'!$J$4="FO",'2023'!$J$2=AW233),'2023DATA'!$F$8,"")</f>
        <v/>
      </c>
      <c r="AX239" s="518" t="str">
        <f>IF(AND(_AC3="A-330-300",'2023'!$J$4="FO",'2023'!$J$2=AX233),'2023DATA'!$G$8,"")</f>
        <v/>
      </c>
      <c r="AY239" s="518" t="str">
        <f>IF(AND(_AC3="A-330-300",'2023'!$J$4="FO",'2023'!$J$2=AY233),'2023DATA'!$H$8,"")</f>
        <v/>
      </c>
      <c r="AZ239" s="518" t="str">
        <f>IF(AND(_AC3="A-330-300",'2023'!$J$4="FO",'2023'!$J$2=AZ233),'2023DATA'!$I$8,"")</f>
        <v/>
      </c>
      <c r="BA239" s="518" t="str">
        <f>IF(AND(_AC3="A-330-300",'2023'!$J$4="FO",'2023'!$J$2=BA233),'2023DATA'!$J$8,"")</f>
        <v/>
      </c>
      <c r="BB239" s="518" t="str">
        <f>IF(AND(_AC3="A-330-300",'2023'!$J$4="FO",'2023'!$J$2=BB233),'2023DATA'!$K$8,"")</f>
        <v/>
      </c>
      <c r="BC239" s="518" t="str">
        <f>IF(AND(_AC3="A-330-300",'2023'!$J$4="FO",'2023'!$J$2=BC233),'2023DATA'!$L$8,"")</f>
        <v/>
      </c>
      <c r="BD239" s="518" t="str">
        <f>IF(AND(_AC3="A-330-300",'2023'!$J$4="FO",'2023'!$J$2=BD233),'2023DATA'!$M$8,"")</f>
        <v/>
      </c>
      <c r="BE239" s="520" t="str">
        <f>IF(AND(_AC3="A-330-300",'2023'!$J$4="FO",'2023'!$J$2=BE233),'2023DATA'!$N$8,"")</f>
        <v/>
      </c>
      <c r="BF239" s="940"/>
      <c r="BG239" s="13" t="s">
        <v>62</v>
      </c>
      <c r="BH239" s="518" t="str">
        <f>IF(AND(_AC4="A-330-300",'2023'!$J$4="FO",'2023'!$J$2=BH233),'2023DATA'!$C$8,"")</f>
        <v/>
      </c>
      <c r="BI239" s="518" t="str">
        <f>IF(AND(_AC4="A-330-300",'2023'!$J$4="FO",'2023'!$J$2=BI233),'2023DATA'!$D$8,"")</f>
        <v/>
      </c>
      <c r="BJ239" s="518" t="str">
        <f>IF(AND(_AC4="A-330-300",'2023'!$J$4="FO",'2023'!$J$2=BJ233),'2023DATA'!$E$8,"")</f>
        <v/>
      </c>
      <c r="BK239" s="518" t="str">
        <f>IF(AND(_AC4="A-330-300",'2023'!$J$4="FO",'2023'!$J$2=BK233),'2023DATA'!$F$8,"")</f>
        <v/>
      </c>
      <c r="BL239" s="518" t="str">
        <f>IF(AND(_AC4="A-330-300",'2023'!$J$4="FO",'2023'!$J$2=BL233),'2023DATA'!$G$8,"")</f>
        <v/>
      </c>
      <c r="BM239" s="518" t="str">
        <f>IF(AND(_AC4="A-330-300",'2023'!$J$4="FO",'2023'!$J$2=BM233),'2023DATA'!$H$8,"")</f>
        <v/>
      </c>
      <c r="BN239" s="518" t="str">
        <f>IF(AND(_AC4="A-330-300",'2023'!$J$4="FO",'2023'!$J$2=BN233),'2023DATA'!$I$8,"")</f>
        <v/>
      </c>
      <c r="BO239" s="518" t="str">
        <f>IF(AND(_AC4="A-330-300",'2023'!$J$4="FO",'2023'!$J$2=BO233),'2023DATA'!$J$8,"")</f>
        <v/>
      </c>
      <c r="BP239" s="518" t="str">
        <f>IF(AND(_AC4="A-330-300",'2023'!$J$4="FO",'2023'!$J$2=BP233),'2023DATA'!$K$8,"")</f>
        <v/>
      </c>
      <c r="BQ239" s="518" t="str">
        <f>IF(AND(_AC4="A-330-300",'2023'!$J$4="FO",'2023'!$J$2=BQ233),'2023DATA'!$L$8,"")</f>
        <v/>
      </c>
      <c r="BR239" s="518" t="str">
        <f>IF(AND(_AC4="A-330-300",'2023'!$J$4="FO",'2023'!$J$2=BR233),'2023DATA'!$M$8,"")</f>
        <v/>
      </c>
      <c r="BS239" s="520" t="str">
        <f>IF(AND(_AC4="A-330-300",'2023'!$J$4="FO",'2023'!$J$2=BS233),'2023DATA'!$N$8,"")</f>
        <v/>
      </c>
      <c r="BT239" s="940"/>
      <c r="BU239" s="13" t="s">
        <v>62</v>
      </c>
      <c r="BV239" s="518" t="str">
        <f>IF(AND(_AC5="A-330-300",'2023'!$J$4="FO",'2023'!$J$2=BV233),'2023DATA'!$C$8,"")</f>
        <v/>
      </c>
      <c r="BW239" s="518" t="str">
        <f>IF(AND(_AC5="A-330-300",'2023'!$J$4="FO",'2023'!$J$2=BW233),'2023DATA'!$D$8,"")</f>
        <v/>
      </c>
      <c r="BX239" s="518" t="str">
        <f>IF(AND(_AC5="A-330-300",'2023'!$J$4="FO",'2023'!$J$2=BX233),'2023DATA'!$E$8,"")</f>
        <v/>
      </c>
      <c r="BY239" s="518" t="str">
        <f>IF(AND(_AC5="A-330-300",'2023'!$J$4="FO",'2023'!$J$2=BY233),'2023DATA'!$F$8,"")</f>
        <v/>
      </c>
      <c r="BZ239" s="518" t="str">
        <f>IF(AND(_AC5="A-330-300",'2023'!$J$4="FO",'2023'!$J$2=BZ233),'2023DATA'!$G$8,"")</f>
        <v/>
      </c>
      <c r="CA239" s="518" t="str">
        <f>IF(AND(_AC5="A-330-300",'2023'!$J$4="FO",'2023'!$J$2=CA233),'2023DATA'!$H$8,"")</f>
        <v/>
      </c>
      <c r="CB239" s="518" t="str">
        <f>IF(AND(_AC5="A-330-300",'2023'!$J$4="FO",'2023'!$J$2=CB233),'2023DATA'!$I$8,"")</f>
        <v/>
      </c>
      <c r="CC239" s="518" t="str">
        <f>IF(AND(_AC5="A-330-300",'2023'!$J$4="FO",'2023'!$J$2=CC233),'2023DATA'!$J$8,"")</f>
        <v/>
      </c>
      <c r="CD239" s="518" t="str">
        <f>IF(AND(_AC5="A-330-300",'2023'!$J$4="FO",'2023'!$J$2=CD233),'2023DATA'!$K$8,"")</f>
        <v/>
      </c>
      <c r="CE239" s="518" t="str">
        <f>IF(AND(_AC5="A-330-300",'2023'!$J$4="FO",'2023'!$J$2=CE233),'2023DATA'!$L$8,"")</f>
        <v/>
      </c>
      <c r="CF239" s="518" t="str">
        <f>IF(AND(_AC5="A-330-300",'2023'!$J$4="FO",'2023'!$J$2=CF233),'2023DATA'!$M$8,"")</f>
        <v/>
      </c>
      <c r="CG239" s="520" t="str">
        <f>IF(AND(_AC5="A-330-300",'2023'!$J$4="FO",'2023'!$J$2=CG233),'2023DATA'!$N$8,"")</f>
        <v/>
      </c>
      <c r="CH239" s="940"/>
      <c r="CI239" s="13" t="s">
        <v>62</v>
      </c>
      <c r="CJ239" s="518" t="str">
        <f>IF(AND(_AC6="A-330-300",'2023'!$J$4="FO",'2023'!$J$2=CJ233),'2023DATA'!$C$8,"")</f>
        <v/>
      </c>
      <c r="CK239" s="518" t="str">
        <f>IF(AND(_AC6="A-330-300",'2023'!$J$4="FO",'2023'!$J$2=CK233),'2023DATA'!$D$8,"")</f>
        <v/>
      </c>
      <c r="CL239" s="518" t="str">
        <f>IF(AND(_AC6="A-330-300",'2023'!$J$4="FO",'2023'!$J$2=CL233),'2023DATA'!$E$8,"")</f>
        <v/>
      </c>
      <c r="CM239" s="518" t="str">
        <f>IF(AND(_AC6="A-330-300",'2023'!$J$4="FO",'2023'!$J$2=CM233),'2023DATA'!$F$8,"")</f>
        <v/>
      </c>
      <c r="CN239" s="518" t="str">
        <f>IF(AND(_AC6="A-330-300",'2023'!$J$4="FO",'2023'!$J$2=CN233),'2023DATA'!$G$8,"")</f>
        <v/>
      </c>
      <c r="CO239" s="518" t="str">
        <f>IF(AND(_AC6="A-330-300",'2023'!$J$4="FO",'2023'!$J$2=CO233),'2023DATA'!$H$8,"")</f>
        <v/>
      </c>
      <c r="CP239" s="518" t="str">
        <f>IF(AND(_AC6="A-330-300",'2023'!$J$4="FO",'2023'!$J$2=CP233),'2023DATA'!$I$8,"")</f>
        <v/>
      </c>
      <c r="CQ239" s="518" t="str">
        <f>IF(AND(_AC6="A-330-300",'2023'!$J$4="FO",'2023'!$J$2=CQ233),'2023DATA'!$J$8,"")</f>
        <v/>
      </c>
      <c r="CR239" s="518" t="str">
        <f>IF(AND(_AC6="A-330-300",'2023'!$J$4="FO",'2023'!$J$2=CR233),'2023DATA'!$K$8,"")</f>
        <v/>
      </c>
      <c r="CS239" s="518" t="str">
        <f>IF(AND(_AC6="A-330-300",'2023'!$J$4="FO",'2023'!$J$2=CS233),'2023DATA'!$L$8,"")</f>
        <v/>
      </c>
      <c r="CT239" s="518" t="str">
        <f>IF(AND(_AC6="A-330-300",'2023'!$J$4="FO",'2023'!$J$2=CT233),'2023DATA'!$M$8,"")</f>
        <v/>
      </c>
      <c r="CU239" s="520" t="str">
        <f>IF(AND(_AC6="A-330-300",'2023'!$J$4="FO",'2023'!$J$2=CU233),'2023DATA'!$N$8,"")</f>
        <v/>
      </c>
    </row>
    <row r="240" spans="16:99" x14ac:dyDescent="0.25">
      <c r="P240" s="940" t="s">
        <v>66</v>
      </c>
      <c r="Q240" s="13" t="s">
        <v>61</v>
      </c>
      <c r="R240" s="518" t="str">
        <f>IF(AND(_AC1="A-330-200",'2023'!$J$4="CA",'2023'!$J$2=R233),'2023DATA'!$C$9,"")</f>
        <v/>
      </c>
      <c r="S240" s="518" t="str">
        <f>IF(AND(_AC1="A-330-200",'2023'!$J$4="CA",'2023'!$J$2=S233),'2023DATA'!$D$9,"")</f>
        <v/>
      </c>
      <c r="T240" s="518" t="str">
        <f>IF(AND(_AC1="A-330-200",'2023'!$J$4="CA",'2023'!$J$2=T233),'2023DATA'!$E$9,"")</f>
        <v/>
      </c>
      <c r="U240" s="518" t="str">
        <f>IF(AND(_AC1="A-330-200",'2023'!$J$4="CA",'2023'!$J$2=U233),'2023DATA'!$F$9,"")</f>
        <v/>
      </c>
      <c r="V240" s="518" t="str">
        <f>IF(AND(_AC1="A-330-200",'2023'!$J$4="CA",'2023'!$J$2=V233),'2023DATA'!$G$9,"")</f>
        <v/>
      </c>
      <c r="W240" s="518" t="str">
        <f>IF(AND(_AC1="A-330-200",'2023'!$J$4="CA",'2023'!$J$2=W233),'2023DATA'!$H$9,"")</f>
        <v/>
      </c>
      <c r="X240" s="518" t="str">
        <f>IF(AND(_AC1="A-330-200",'2023'!$J$4="CA",'2023'!$J$2=X233),'2023DATA'!$I$9,"")</f>
        <v/>
      </c>
      <c r="Y240" s="518" t="str">
        <f>IF(AND(_AC1="A-330-200",'2023'!$J$4="CA",'2023'!$J$2=Y233),'2023DATA'!$J$9,"")</f>
        <v/>
      </c>
      <c r="Z240" s="518" t="str">
        <f>IF(AND(_AC1="A-330-200",'2023'!$J$4="CA",'2023'!$J$2=Z233),'2023DATA'!$K$9,"")</f>
        <v/>
      </c>
      <c r="AA240" s="518" t="str">
        <f>IF(AND(_AC1="A-330-200",'2023'!$J$4="CA",'2023'!$J$2=AA233),'2023DATA'!$L$9,"")</f>
        <v/>
      </c>
      <c r="AB240" s="518" t="str">
        <f>IF(AND(_AC1="A-330-200",'2023'!$J$4="CA",'2023'!$J$2=AB233),'2023DATA'!$M$9,"")</f>
        <v/>
      </c>
      <c r="AC240" s="520" t="str">
        <f>IF(AND(_AC1="A-330-200",'2023'!$J$4="CA",'2023'!$J$2=AC233),'2023DATA'!$N$9,"")</f>
        <v/>
      </c>
      <c r="AD240" s="940" t="s">
        <v>66</v>
      </c>
      <c r="AE240" s="13" t="s">
        <v>61</v>
      </c>
      <c r="AF240" s="518" t="str">
        <f>IF(AND(_AC2="A-330-200",'2023'!$J$4="CA",'2023'!$J$2=AF233),'2023DATA'!$C$9,"")</f>
        <v/>
      </c>
      <c r="AG240" s="518" t="str">
        <f>IF(AND(_AC2="A-330-200",'2023'!$J$4="CA",'2023'!$J$2=AG233),'2023DATA'!$D$9,"")</f>
        <v/>
      </c>
      <c r="AH240" s="518" t="str">
        <f>IF(AND(_AC2="A-330-200",'2023'!$J$4="CA",'2023'!$J$2=AH233),'2023DATA'!$E$9,"")</f>
        <v/>
      </c>
      <c r="AI240" s="518" t="str">
        <f>IF(AND(_AC2="A-330-200",'2023'!$J$4="CA",'2023'!$J$2=AI233),'2023DATA'!$F$9,"")</f>
        <v/>
      </c>
      <c r="AJ240" s="518" t="str">
        <f>IF(AND(_AC2="A-330-200",'2023'!$J$4="CA",'2023'!$J$2=AJ233),'2023DATA'!$G$9,"")</f>
        <v/>
      </c>
      <c r="AK240" s="518" t="str">
        <f>IF(AND(_AC2="A-330-200",'2023'!$J$4="CA",'2023'!$J$2=AK233),'2023DATA'!$H$9,"")</f>
        <v/>
      </c>
      <c r="AL240" s="518" t="str">
        <f>IF(AND(_AC2="A-330-200",'2023'!$J$4="CA",'2023'!$J$2=AL233),'2023DATA'!$I$9,"")</f>
        <v/>
      </c>
      <c r="AM240" s="518" t="str">
        <f>IF(AND(_AC2="A-330-200",'2023'!$J$4="CA",'2023'!$J$2=AM233),'2023DATA'!$J$9,"")</f>
        <v/>
      </c>
      <c r="AN240" s="518" t="str">
        <f>IF(AND(_AC2="A-330-200",'2023'!$J$4="CA",'2023'!$J$2=AN233),'2023DATA'!$K$9,"")</f>
        <v/>
      </c>
      <c r="AO240" s="518" t="str">
        <f>IF(AND(_AC2="A-330-200",'2023'!$J$4="CA",'2023'!$J$2=AO233),'2023DATA'!$L$9,"")</f>
        <v/>
      </c>
      <c r="AP240" s="518" t="str">
        <f>IF(AND(_AC2="A-330-200",'2023'!$J$4="CA",'2023'!$J$2=AP233),'2023DATA'!$M$9,"")</f>
        <v/>
      </c>
      <c r="AQ240" s="520" t="str">
        <f>IF(AND(_AC2="A-330-200",'2023'!$J$4="CA",'2023'!$J$2=AQ233),'2023DATA'!$N$9,"")</f>
        <v/>
      </c>
      <c r="AR240" s="940" t="s">
        <v>66</v>
      </c>
      <c r="AS240" s="13" t="s">
        <v>61</v>
      </c>
      <c r="AT240" s="518" t="str">
        <f>IF(AND(_AC3="A-330-200",'2023'!$J$4="CA",'2023'!$J$2=AT233),'2023DATA'!$C$9,"")</f>
        <v/>
      </c>
      <c r="AU240" s="518" t="str">
        <f>IF(AND(_AC3="A-330-200",'2023'!$J$4="CA",'2023'!$J$2=AU233),'2023DATA'!$D$9,"")</f>
        <v/>
      </c>
      <c r="AV240" s="518" t="str">
        <f>IF(AND(_AC3="A-330-200",'2023'!$J$4="CA",'2023'!$J$2=AV233),'2023DATA'!$E$9,"")</f>
        <v/>
      </c>
      <c r="AW240" s="518" t="str">
        <f>IF(AND(_AC3="A-330-200",'2023'!$J$4="CA",'2023'!$J$2=AW233),'2023DATA'!$F$9,"")</f>
        <v/>
      </c>
      <c r="AX240" s="518" t="str">
        <f>IF(AND(_AC3="A-330-200",'2023'!$J$4="CA",'2023'!$J$2=AX233),'2023DATA'!$G$9,"")</f>
        <v/>
      </c>
      <c r="AY240" s="518" t="str">
        <f>IF(AND(_AC3="A-330-200",'2023'!$J$4="CA",'2023'!$J$2=AY233),'2023DATA'!$H$9,"")</f>
        <v/>
      </c>
      <c r="AZ240" s="518" t="str">
        <f>IF(AND(_AC3="A-330-200",'2023'!$J$4="CA",'2023'!$J$2=AZ233),'2023DATA'!$I$9,"")</f>
        <v/>
      </c>
      <c r="BA240" s="518" t="str">
        <f>IF(AND(_AC3="A-330-200",'2023'!$J$4="CA",'2023'!$J$2=BA233),'2023DATA'!$J$9,"")</f>
        <v/>
      </c>
      <c r="BB240" s="518" t="str">
        <f>IF(AND(_AC3="A-330-200",'2023'!$J$4="CA",'2023'!$J$2=BB233),'2023DATA'!$K$9,"")</f>
        <v/>
      </c>
      <c r="BC240" s="518" t="str">
        <f>IF(AND(_AC3="A-330-200",'2023'!$J$4="CA",'2023'!$J$2=BC233),'2023DATA'!$L$9,"")</f>
        <v/>
      </c>
      <c r="BD240" s="518" t="str">
        <f>IF(AND(_AC3="A-330-200",'2023'!$J$4="CA",'2023'!$J$2=BD233),'2023DATA'!$M$9,"")</f>
        <v/>
      </c>
      <c r="BE240" s="520" t="str">
        <f>IF(AND(_AC3="A-330-200",'2023'!$J$4="CA",'2023'!$J$2=BE233),'2023DATA'!$N$9,"")</f>
        <v/>
      </c>
      <c r="BF240" s="940" t="s">
        <v>66</v>
      </c>
      <c r="BG240" s="13" t="s">
        <v>61</v>
      </c>
      <c r="BH240" s="518" t="str">
        <f>IF(AND(_AC4="A-330-200",'2023'!$J$4="CA",'2023'!$J$2=BH233),'2023DATA'!$C$9,"")</f>
        <v/>
      </c>
      <c r="BI240" s="518" t="str">
        <f>IF(AND(_AC4="A-330-200",'2023'!$J$4="CA",'2023'!$J$2=BI233),'2023DATA'!$D$9,"")</f>
        <v/>
      </c>
      <c r="BJ240" s="518" t="str">
        <f>IF(AND(_AC4="A-330-200",'2023'!$J$4="CA",'2023'!$J$2=BJ233),'2023DATA'!$E$9,"")</f>
        <v/>
      </c>
      <c r="BK240" s="518" t="str">
        <f>IF(AND(_AC4="A-330-200",'2023'!$J$4="CA",'2023'!$J$2=BK233),'2023DATA'!$F$9,"")</f>
        <v/>
      </c>
      <c r="BL240" s="518" t="str">
        <f>IF(AND(_AC4="A-330-200",'2023'!$J$4="CA",'2023'!$J$2=BL233),'2023DATA'!$G$9,"")</f>
        <v/>
      </c>
      <c r="BM240" s="518" t="str">
        <f>IF(AND(_AC4="A-330-200",'2023'!$J$4="CA",'2023'!$J$2=BM233),'2023DATA'!$H$9,"")</f>
        <v/>
      </c>
      <c r="BN240" s="518" t="str">
        <f>IF(AND(_AC4="A-330-200",'2023'!$J$4="CA",'2023'!$J$2=BN233),'2023DATA'!$I$9,"")</f>
        <v/>
      </c>
      <c r="BO240" s="518" t="str">
        <f>IF(AND(_AC4="A-330-200",'2023'!$J$4="CA",'2023'!$J$2=BO233),'2023DATA'!$J$9,"")</f>
        <v/>
      </c>
      <c r="BP240" s="518" t="str">
        <f>IF(AND(_AC4="A-330-200",'2023'!$J$4="CA",'2023'!$J$2=BP233),'2023DATA'!$K$9,"")</f>
        <v/>
      </c>
      <c r="BQ240" s="518" t="str">
        <f>IF(AND(_AC4="A-330-200",'2023'!$J$4="CA",'2023'!$J$2=BQ233),'2023DATA'!$L$9,"")</f>
        <v/>
      </c>
      <c r="BR240" s="518" t="str">
        <f>IF(AND(_AC4="A-330-200",'2023'!$J$4="CA",'2023'!$J$2=BR233),'2023DATA'!$M$9,"")</f>
        <v/>
      </c>
      <c r="BS240" s="520" t="str">
        <f>IF(AND(_AC4="A-330-200",'2023'!$J$4="CA",'2023'!$J$2=BS233),'2023DATA'!$N$9,"")</f>
        <v/>
      </c>
      <c r="BT240" s="940" t="s">
        <v>66</v>
      </c>
      <c r="BU240" s="13" t="s">
        <v>61</v>
      </c>
      <c r="BV240" s="518" t="str">
        <f>IF(AND(_AC5="A-330-200",'2023'!$J$4="CA",'2023'!$J$2=BV233),'2023DATA'!$C$9,"")</f>
        <v/>
      </c>
      <c r="BW240" s="518" t="str">
        <f>IF(AND(_AC5="A-330-200",'2023'!$J$4="CA",'2023'!$J$2=BW233),'2023DATA'!$D$9,"")</f>
        <v/>
      </c>
      <c r="BX240" s="518" t="str">
        <f>IF(AND(_AC5="A-330-200",'2023'!$J$4="CA",'2023'!$J$2=BX233),'2023DATA'!$E$9,"")</f>
        <v/>
      </c>
      <c r="BY240" s="518" t="str">
        <f>IF(AND(_AC5="A-330-200",'2023'!$J$4="CA",'2023'!$J$2=BY233),'2023DATA'!$F$9,"")</f>
        <v/>
      </c>
      <c r="BZ240" s="518" t="str">
        <f>IF(AND(_AC5="A-330-200",'2023'!$J$4="CA",'2023'!$J$2=BZ233),'2023DATA'!$G$9,"")</f>
        <v/>
      </c>
      <c r="CA240" s="518" t="str">
        <f>IF(AND(_AC5="A-330-200",'2023'!$J$4="CA",'2023'!$J$2=CA233),'2023DATA'!$H$9,"")</f>
        <v/>
      </c>
      <c r="CB240" s="518" t="str">
        <f>IF(AND(_AC5="A-330-200",'2023'!$J$4="CA",'2023'!$J$2=CB233),'2023DATA'!$I$9,"")</f>
        <v/>
      </c>
      <c r="CC240" s="518" t="str">
        <f>IF(AND(_AC5="A-330-200",'2023'!$J$4="CA",'2023'!$J$2=CC233),'2023DATA'!$J$9,"")</f>
        <v/>
      </c>
      <c r="CD240" s="518" t="str">
        <f>IF(AND(_AC5="A-330-200",'2023'!$J$4="CA",'2023'!$J$2=CD233),'2023DATA'!$K$9,"")</f>
        <v/>
      </c>
      <c r="CE240" s="518" t="str">
        <f>IF(AND(_AC5="A-330-200",'2023'!$J$4="CA",'2023'!$J$2=CE233),'2023DATA'!$L$9,"")</f>
        <v/>
      </c>
      <c r="CF240" s="518" t="str">
        <f>IF(AND(_AC5="A-330-200",'2023'!$J$4="CA",'2023'!$J$2=CF233),'2023DATA'!$M$9,"")</f>
        <v/>
      </c>
      <c r="CG240" s="520" t="str">
        <f>IF(AND(_AC5="A-330-200",'2023'!$J$4="CA",'2023'!$J$2=CG233),'2023DATA'!$N$9,"")</f>
        <v/>
      </c>
      <c r="CH240" s="940" t="s">
        <v>66</v>
      </c>
      <c r="CI240" s="13" t="s">
        <v>61</v>
      </c>
      <c r="CJ240" s="518" t="str">
        <f>IF(AND(_AC6="A-330-200",'2023'!$J$4="CA",'2023'!$J$2=CJ233),'2023DATA'!$C$9,"")</f>
        <v/>
      </c>
      <c r="CK240" s="518" t="str">
        <f>IF(AND(_AC6="A-330-200",'2023'!$J$4="CA",'2023'!$J$2=CK233),'2023DATA'!$D$9,"")</f>
        <v/>
      </c>
      <c r="CL240" s="518" t="str">
        <f>IF(AND(_AC6="A-330-200",'2023'!$J$4="CA",'2023'!$J$2=CL233),'2023DATA'!$E$9,"")</f>
        <v/>
      </c>
      <c r="CM240" s="518" t="str">
        <f>IF(AND(_AC6="A-330-200",'2023'!$J$4="CA",'2023'!$J$2=CM233),'2023DATA'!$F$9,"")</f>
        <v/>
      </c>
      <c r="CN240" s="518" t="str">
        <f>IF(AND(_AC6="A-330-200",'2023'!$J$4="CA",'2023'!$J$2=CN233),'2023DATA'!$G$9,"")</f>
        <v/>
      </c>
      <c r="CO240" s="518" t="str">
        <f>IF(AND(_AC6="A-330-200",'2023'!$J$4="CA",'2023'!$J$2=CO233),'2023DATA'!$H$9,"")</f>
        <v/>
      </c>
      <c r="CP240" s="518" t="str">
        <f>IF(AND(_AC6="A-330-200",'2023'!$J$4="CA",'2023'!$J$2=CP233),'2023DATA'!$I$9,"")</f>
        <v/>
      </c>
      <c r="CQ240" s="518" t="str">
        <f>IF(AND(_AC6="A-330-200",'2023'!$J$4="CA",'2023'!$J$2=CQ233),'2023DATA'!$J$9,"")</f>
        <v/>
      </c>
      <c r="CR240" s="518" t="str">
        <f>IF(AND(_AC6="A-330-200",'2023'!$J$4="CA",'2023'!$J$2=CR233),'2023DATA'!$K$9,"")</f>
        <v/>
      </c>
      <c r="CS240" s="518" t="str">
        <f>IF(AND(_AC6="A-330-200",'2023'!$J$4="CA",'2023'!$J$2=CS233),'2023DATA'!$L$9,"")</f>
        <v/>
      </c>
      <c r="CT240" s="518" t="str">
        <f>IF(AND(_AC6="A-330-200",'2023'!$J$4="CA",'2023'!$J$2=CT233),'2023DATA'!$M$9,"")</f>
        <v/>
      </c>
      <c r="CU240" s="520" t="str">
        <f>IF(AND(_AC6="A-330-200",'2023'!$J$4="CA",'2023'!$J$2=CU233),'2023DATA'!$N$9,"")</f>
        <v/>
      </c>
    </row>
    <row r="241" spans="16:99" x14ac:dyDescent="0.25">
      <c r="P241" s="940"/>
      <c r="Q241" s="13" t="s">
        <v>62</v>
      </c>
      <c r="R241" s="518" t="str">
        <f>IF(AND(_AC1="A-330-200",'2023'!$J$4="FO",'2023'!$J$2=R233),'2023DATA'!$C$10,"")</f>
        <v/>
      </c>
      <c r="S241" s="518" t="str">
        <f>IF(AND(_AC1="A-330-200",'2023'!$J$4="FO",'2023'!$J$2=S233),'2023DATA'!$D$10,"")</f>
        <v/>
      </c>
      <c r="T241" s="518" t="str">
        <f>IF(AND(_AC1="A-330-200",'2023'!$J$4="FO",'2023'!$J$2=T233),'2023DATA'!$E$10,"")</f>
        <v/>
      </c>
      <c r="U241" s="518" t="str">
        <f>IF(AND(_AC1="A-330-200",'2023'!$J$4="FO",'2023'!$J$2=U233),'2023DATA'!$F$10,"")</f>
        <v/>
      </c>
      <c r="V241" s="518" t="str">
        <f>IF(AND(_AC1="A-330-200",'2023'!$J$4="FO",'2023'!$J$2=V233),'2023DATA'!$G$10,"")</f>
        <v/>
      </c>
      <c r="W241" s="518" t="str">
        <f>IF(AND(_AC1="A-330-200",'2023'!$J$4="FO",'2023'!$J$2=W233),'2023DATA'!$H$10,"")</f>
        <v/>
      </c>
      <c r="X241" s="518" t="str">
        <f>IF(AND(_AC1="A-330-200",'2023'!$J$4="FO",'2023'!$J$2=X233),'2023DATA'!$I$10,"")</f>
        <v/>
      </c>
      <c r="Y241" s="518" t="str">
        <f>IF(AND(_AC1="A-330-200",'2023'!$J$4="FO",'2023'!$J$2=Y233),'2023DATA'!$J$10,"")</f>
        <v/>
      </c>
      <c r="Z241" s="518" t="str">
        <f>IF(AND(_AC1="A-330-200",'2023'!$J$4="FO",'2023'!$J$2=Z233),'2023DATA'!$K$10,"")</f>
        <v/>
      </c>
      <c r="AA241" s="518" t="str">
        <f>IF(AND(_AC1="A-330-200",'2023'!$J$4="FO",'2023'!$J$2=AA233),'2023DATA'!$L$10,"")</f>
        <v/>
      </c>
      <c r="AB241" s="518" t="str">
        <f>IF(AND(_AC1="A-330-200",'2023'!$J$4="FO",'2023'!$J$2=AB233),'2023DATA'!$M$10,"")</f>
        <v/>
      </c>
      <c r="AC241" s="520" t="str">
        <f>IF(AND(_AC1="A-330-200",'2023'!$J$4="FO",'2023'!$J$2=AC233),'2023DATA'!$N$10,"")</f>
        <v/>
      </c>
      <c r="AD241" s="940"/>
      <c r="AE241" s="13" t="s">
        <v>62</v>
      </c>
      <c r="AF241" s="518" t="str">
        <f>IF(AND(_AC2="A-330-200",'2023'!$J$4="FO",'2023'!$J$2=AF233),'2023DATA'!$C$10,"")</f>
        <v/>
      </c>
      <c r="AG241" s="518" t="str">
        <f>IF(AND(_AC2="A-330-200",'2023'!$J$4="FO",'2023'!$J$2=AG233),'2023DATA'!$D$10,"")</f>
        <v/>
      </c>
      <c r="AH241" s="518" t="str">
        <f>IF(AND(_AC2="A-330-200",'2023'!$J$4="FO",'2023'!$J$2=AH233),'2023DATA'!$E$10,"")</f>
        <v/>
      </c>
      <c r="AI241" s="518" t="str">
        <f>IF(AND(_AC2="A-330-200",'2023'!$J$4="FO",'2023'!$J$2=AI233),'2023DATA'!$F$10,"")</f>
        <v/>
      </c>
      <c r="AJ241" s="518" t="str">
        <f>IF(AND(_AC2="A-330-200",'2023'!$J$4="FO",'2023'!$J$2=AJ233),'2023DATA'!$G$10,"")</f>
        <v/>
      </c>
      <c r="AK241" s="518" t="str">
        <f>IF(AND(_AC2="A-330-200",'2023'!$J$4="FO",'2023'!$J$2=AK233),'2023DATA'!$H$10,"")</f>
        <v/>
      </c>
      <c r="AL241" s="518" t="str">
        <f>IF(AND(_AC2="A-330-200",'2023'!$J$4="FO",'2023'!$J$2=AL233),'2023DATA'!$I$10,"")</f>
        <v/>
      </c>
      <c r="AM241" s="518" t="str">
        <f>IF(AND(_AC2="A-330-200",'2023'!$J$4="FO",'2023'!$J$2=AM233),'2023DATA'!$J$10,"")</f>
        <v/>
      </c>
      <c r="AN241" s="518" t="str">
        <f>IF(AND(_AC2="A-330-200",'2023'!$J$4="FO",'2023'!$J$2=AN233),'2023DATA'!$K$10,"")</f>
        <v/>
      </c>
      <c r="AO241" s="518" t="str">
        <f>IF(AND(_AC2="A-330-200",'2023'!$J$4="FO",'2023'!$J$2=AO233),'2023DATA'!$L$10,"")</f>
        <v/>
      </c>
      <c r="AP241" s="518" t="str">
        <f>IF(AND(_AC2="A-330-200",'2023'!$J$4="FO",'2023'!$J$2=AP233),'2023DATA'!$M$10,"")</f>
        <v/>
      </c>
      <c r="AQ241" s="520" t="str">
        <f>IF(AND(_AC2="A-330-200",'2023'!$J$4="FO",'2023'!$J$2=AQ233),'2023DATA'!$N$10,"")</f>
        <v/>
      </c>
      <c r="AR241" s="940"/>
      <c r="AS241" s="13" t="s">
        <v>62</v>
      </c>
      <c r="AT241" s="518" t="str">
        <f>IF(AND(_AC3="A-330-200",'2023'!$J$4="FO",'2023'!$J$2=AT233),'2023DATA'!$C$10,"")</f>
        <v/>
      </c>
      <c r="AU241" s="518" t="str">
        <f>IF(AND(_AC3="A-330-200",'2023'!$J$4="FO",'2023'!$J$2=AU233),'2023DATA'!$D$10,"")</f>
        <v/>
      </c>
      <c r="AV241" s="518" t="str">
        <f>IF(AND(_AC3="A-330-200",'2023'!$J$4="FO",'2023'!$J$2=AV233),'2023DATA'!$E$10,"")</f>
        <v/>
      </c>
      <c r="AW241" s="518" t="str">
        <f>IF(AND(_AC3="A-330-200",'2023'!$J$4="FO",'2023'!$J$2=AW233),'2023DATA'!$F$10,"")</f>
        <v/>
      </c>
      <c r="AX241" s="518" t="str">
        <f>IF(AND(_AC3="A-330-200",'2023'!$J$4="FO",'2023'!$J$2=AX233),'2023DATA'!$G$10,"")</f>
        <v/>
      </c>
      <c r="AY241" s="518" t="str">
        <f>IF(AND(_AC3="A-330-200",'2023'!$J$4="FO",'2023'!$J$2=AY233),'2023DATA'!$H$10,"")</f>
        <v/>
      </c>
      <c r="AZ241" s="518" t="str">
        <f>IF(AND(_AC3="A-330-200",'2023'!$J$4="FO",'2023'!$J$2=AZ233),'2023DATA'!$I$10,"")</f>
        <v/>
      </c>
      <c r="BA241" s="518" t="str">
        <f>IF(AND(_AC3="A-330-200",'2023'!$J$4="FO",'2023'!$J$2=BA233),'2023DATA'!$J$10,"")</f>
        <v/>
      </c>
      <c r="BB241" s="518" t="str">
        <f>IF(AND(_AC3="A-330-200",'2023'!$J$4="FO",'2023'!$J$2=BB233),'2023DATA'!$K$10,"")</f>
        <v/>
      </c>
      <c r="BC241" s="518" t="str">
        <f>IF(AND(_AC3="A-330-200",'2023'!$J$4="FO",'2023'!$J$2=BC233),'2023DATA'!$L$10,"")</f>
        <v/>
      </c>
      <c r="BD241" s="518" t="str">
        <f>IF(AND(_AC3="A-330-200",'2023'!$J$4="FO",'2023'!$J$2=BD233),'2023DATA'!$M$10,"")</f>
        <v/>
      </c>
      <c r="BE241" s="520" t="str">
        <f>IF(AND(_AC3="A-330-200",'2023'!$J$4="FO",'2023'!$J$2=BE233),'2023DATA'!$N$10,"")</f>
        <v/>
      </c>
      <c r="BF241" s="940"/>
      <c r="BG241" s="13" t="s">
        <v>62</v>
      </c>
      <c r="BH241" s="518" t="str">
        <f>IF(AND(_AC4="A-330-200",'2023'!$J$4="FO",'2023'!$J$2=BH233),'2023DATA'!$C$10,"")</f>
        <v/>
      </c>
      <c r="BI241" s="518" t="str">
        <f>IF(AND(_AC4="A-330-200",'2023'!$J$4="FO",'2023'!$J$2=BI233),'2023DATA'!$D$10,"")</f>
        <v/>
      </c>
      <c r="BJ241" s="518" t="str">
        <f>IF(AND(_AC4="A-330-200",'2023'!$J$4="FO",'2023'!$J$2=BJ233),'2023DATA'!$E$10,"")</f>
        <v/>
      </c>
      <c r="BK241" s="518" t="str">
        <f>IF(AND(_AC4="A-330-200",'2023'!$J$4="FO",'2023'!$J$2=BK233),'2023DATA'!$F$10,"")</f>
        <v/>
      </c>
      <c r="BL241" s="518" t="str">
        <f>IF(AND(_AC4="A-330-200",'2023'!$J$4="FO",'2023'!$J$2=BL233),'2023DATA'!$G$10,"")</f>
        <v/>
      </c>
      <c r="BM241" s="518" t="str">
        <f>IF(AND(_AC4="A-330-200",'2023'!$J$4="FO",'2023'!$J$2=BM233),'2023DATA'!$H$10,"")</f>
        <v/>
      </c>
      <c r="BN241" s="518" t="str">
        <f>IF(AND(_AC4="A-330-200",'2023'!$J$4="FO",'2023'!$J$2=BN233),'2023DATA'!$I$10,"")</f>
        <v/>
      </c>
      <c r="BO241" s="518" t="str">
        <f>IF(AND(_AC4="A-330-200",'2023'!$J$4="FO",'2023'!$J$2=BO233),'2023DATA'!$J$10,"")</f>
        <v/>
      </c>
      <c r="BP241" s="518" t="str">
        <f>IF(AND(_AC4="A-330-200",'2023'!$J$4="FO",'2023'!$J$2=BP233),'2023DATA'!$K$10,"")</f>
        <v/>
      </c>
      <c r="BQ241" s="518" t="str">
        <f>IF(AND(_AC4="A-330-200",'2023'!$J$4="FO",'2023'!$J$2=BQ233),'2023DATA'!$L$10,"")</f>
        <v/>
      </c>
      <c r="BR241" s="518" t="str">
        <f>IF(AND(_AC4="A-330-200",'2023'!$J$4="FO",'2023'!$J$2=BR233),'2023DATA'!$M$10,"")</f>
        <v/>
      </c>
      <c r="BS241" s="520" t="str">
        <f>IF(AND(_AC4="A-330-200",'2023'!$J$4="FO",'2023'!$J$2=BS233),'2023DATA'!$N$10,"")</f>
        <v/>
      </c>
      <c r="BT241" s="940"/>
      <c r="BU241" s="13" t="s">
        <v>62</v>
      </c>
      <c r="BV241" s="518" t="str">
        <f>IF(AND(_AC5="A-330-200",'2023'!$J$4="FO",'2023'!$J$2=BV233),'2023DATA'!$C$10,"")</f>
        <v/>
      </c>
      <c r="BW241" s="518" t="str">
        <f>IF(AND(_AC5="A-330-200",'2023'!$J$4="FO",'2023'!$J$2=BW233),'2023DATA'!$D$10,"")</f>
        <v/>
      </c>
      <c r="BX241" s="518" t="str">
        <f>IF(AND(_AC5="A-330-200",'2023'!$J$4="FO",'2023'!$J$2=BX233),'2023DATA'!$E$10,"")</f>
        <v/>
      </c>
      <c r="BY241" s="518" t="str">
        <f>IF(AND(_AC5="A-330-200",'2023'!$J$4="FO",'2023'!$J$2=BY233),'2023DATA'!$F$10,"")</f>
        <v/>
      </c>
      <c r="BZ241" s="518" t="str">
        <f>IF(AND(_AC5="A-330-200",'2023'!$J$4="FO",'2023'!$J$2=BZ233),'2023DATA'!$G$10,"")</f>
        <v/>
      </c>
      <c r="CA241" s="518" t="str">
        <f>IF(AND(_AC5="A-330-200",'2023'!$J$4="FO",'2023'!$J$2=CA233),'2023DATA'!$H$10,"")</f>
        <v/>
      </c>
      <c r="CB241" s="518" t="str">
        <f>IF(AND(_AC5="A-330-200",'2023'!$J$4="FO",'2023'!$J$2=CB233),'2023DATA'!$I$10,"")</f>
        <v/>
      </c>
      <c r="CC241" s="518" t="str">
        <f>IF(AND(_AC5="A-330-200",'2023'!$J$4="FO",'2023'!$J$2=CC233),'2023DATA'!$J$10,"")</f>
        <v/>
      </c>
      <c r="CD241" s="518" t="str">
        <f>IF(AND(_AC5="A-330-200",'2023'!$J$4="FO",'2023'!$J$2=CD233),'2023DATA'!$K$10,"")</f>
        <v/>
      </c>
      <c r="CE241" s="518" t="str">
        <f>IF(AND(_AC5="A-330-200",'2023'!$J$4="FO",'2023'!$J$2=CE233),'2023DATA'!$L$10,"")</f>
        <v/>
      </c>
      <c r="CF241" s="518" t="str">
        <f>IF(AND(_AC5="A-330-200",'2023'!$J$4="FO",'2023'!$J$2=CF233),'2023DATA'!$M$10,"")</f>
        <v/>
      </c>
      <c r="CG241" s="520" t="str">
        <f>IF(AND(_AC5="A-330-200",'2023'!$J$4="FO",'2023'!$J$2=CG233),'2023DATA'!$N$10,"")</f>
        <v/>
      </c>
      <c r="CH241" s="940"/>
      <c r="CI241" s="13" t="s">
        <v>62</v>
      </c>
      <c r="CJ241" s="518" t="str">
        <f>IF(AND(_AC6="A-330-200",'2023'!$J$4="FO",'2023'!$J$2=CJ233),'2023DATA'!$C$10,"")</f>
        <v/>
      </c>
      <c r="CK241" s="518" t="str">
        <f>IF(AND(_AC6="A-330-200",'2023'!$J$4="FO",'2023'!$J$2=CK233),'2023DATA'!$D$10,"")</f>
        <v/>
      </c>
      <c r="CL241" s="518" t="str">
        <f>IF(AND(_AC6="A-330-200",'2023'!$J$4="FO",'2023'!$J$2=CL233),'2023DATA'!$E$10,"")</f>
        <v/>
      </c>
      <c r="CM241" s="518" t="str">
        <f>IF(AND(_AC6="A-330-200",'2023'!$J$4="FO",'2023'!$J$2=CM233),'2023DATA'!$F$10,"")</f>
        <v/>
      </c>
      <c r="CN241" s="518" t="str">
        <f>IF(AND(_AC6="A-330-200",'2023'!$J$4="FO",'2023'!$J$2=CN233),'2023DATA'!$G$10,"")</f>
        <v/>
      </c>
      <c r="CO241" s="518" t="str">
        <f>IF(AND(_AC6="A-330-200",'2023'!$J$4="FO",'2023'!$J$2=CO233),'2023DATA'!$H$10,"")</f>
        <v/>
      </c>
      <c r="CP241" s="518" t="str">
        <f>IF(AND(_AC6="A-330-200",'2023'!$J$4="FO",'2023'!$J$2=CP233),'2023DATA'!$I$10,"")</f>
        <v/>
      </c>
      <c r="CQ241" s="518" t="str">
        <f>IF(AND(_AC6="A-330-200",'2023'!$J$4="FO",'2023'!$J$2=CQ233),'2023DATA'!$J$10,"")</f>
        <v/>
      </c>
      <c r="CR241" s="518" t="str">
        <f>IF(AND(_AC6="A-330-200",'2023'!$J$4="FO",'2023'!$J$2=CR233),'2023DATA'!$K$10,"")</f>
        <v/>
      </c>
      <c r="CS241" s="518" t="str">
        <f>IF(AND(_AC6="A-330-200",'2023'!$J$4="FO",'2023'!$J$2=CS233),'2023DATA'!$L$10,"")</f>
        <v/>
      </c>
      <c r="CT241" s="518" t="str">
        <f>IF(AND(_AC6="A-330-200",'2023'!$J$4="FO",'2023'!$J$2=CT233),'2023DATA'!$M$10,"")</f>
        <v/>
      </c>
      <c r="CU241" s="520" t="str">
        <f>IF(AND(_AC6="A-330-200",'2023'!$J$4="FO",'2023'!$J$2=CU233),'2023DATA'!$N$10,"")</f>
        <v/>
      </c>
    </row>
    <row r="242" spans="16:99" x14ac:dyDescent="0.25">
      <c r="P242" s="940" t="s">
        <v>42</v>
      </c>
      <c r="Q242" s="13" t="s">
        <v>61</v>
      </c>
      <c r="R242" s="518" t="str">
        <f>IF(AND(_AC1="B-767-400ER",'2023'!$J$4="CA",'2023'!$J$2=R233),'2023DATA'!$C$11,"")</f>
        <v/>
      </c>
      <c r="S242" s="518" t="str">
        <f>IF(AND(_AC1="B-767-400ER",'2023'!$J$4="CA",'2023'!$J$2=S233),'2023DATA'!$D$11,"")</f>
        <v/>
      </c>
      <c r="T242" s="518" t="str">
        <f>IF(AND(_AC1="B-767-400ER",'2023'!$J$4="CA",'2023'!$J$2=T233),'2023DATA'!$E$11,"")</f>
        <v/>
      </c>
      <c r="U242" s="518" t="str">
        <f>IF(AND(_AC1="B-767-400ER",'2023'!$J$4="CA",'2023'!$J$2=U233),'2023DATA'!$F$11,"")</f>
        <v/>
      </c>
      <c r="V242" s="518" t="str">
        <f>IF(AND(_AC1="B-767-400ER",'2023'!$J$4="CA",'2023'!$J$2=V233),'2023DATA'!$G$11,"")</f>
        <v/>
      </c>
      <c r="W242" s="518" t="str">
        <f>IF(AND(_AC1="B-767-400ER",'2023'!$J$4="CA",'2023'!$J$2=W233),'2023DATA'!$H$11,"")</f>
        <v/>
      </c>
      <c r="X242" s="518" t="str">
        <f>IF(AND(_AC1="B-767-400ER",'2023'!$J$4="CA",'2023'!$J$2=X233),'2023DATA'!$I$11,"")</f>
        <v/>
      </c>
      <c r="Y242" s="518" t="str">
        <f>IF(AND(_AC1="B-767-400ER",'2023'!$J$4="CA",'2023'!$J$2=Y233),'2023DATA'!$J$11,"")</f>
        <v/>
      </c>
      <c r="Z242" s="518" t="str">
        <f>IF(AND(_AC1="B-767-400ER",'2023'!$J$4="CA",'2023'!$J$2=Z233),'2023DATA'!$K$11,"")</f>
        <v/>
      </c>
      <c r="AA242" s="518" t="str">
        <f>IF(AND(_AC1="B-767-400ER",'2023'!$J$4="CA",'2023'!$J$2=AA233),'2023DATA'!$L$11,"")</f>
        <v/>
      </c>
      <c r="AB242" s="518" t="str">
        <f>IF(AND(_AC1="B-767-400ER",'2023'!$J$4="CA",'2023'!$J$2=AB233),'2023DATA'!$M$11,"")</f>
        <v/>
      </c>
      <c r="AC242" s="520" t="str">
        <f>IF(AND(_AC1="B-767-400ER",'2023'!$J$4="CA",'2023'!$J$2=AC233),'2023DATA'!$N$11,"")</f>
        <v/>
      </c>
      <c r="AD242" s="940" t="s">
        <v>42</v>
      </c>
      <c r="AE242" s="13" t="s">
        <v>61</v>
      </c>
      <c r="AF242" s="518" t="str">
        <f>IF(AND(_AC2="B-767-400ER",'2023'!$J$4="CA",'2023'!$J$2=AF233),'2023DATA'!$C$11,"")</f>
        <v/>
      </c>
      <c r="AG242" s="518" t="str">
        <f>IF(AND(_AC2="B-767-400ER",'2023'!$J$4="CA",'2023'!$J$2=AG233),'2023DATA'!$D$11,"")</f>
        <v/>
      </c>
      <c r="AH242" s="518" t="str">
        <f>IF(AND(_AC2="B-767-400ER",'2023'!$J$4="CA",'2023'!$J$2=AH233),'2023DATA'!$E$11,"")</f>
        <v/>
      </c>
      <c r="AI242" s="518" t="str">
        <f>IF(AND(_AC2="B-767-400ER",'2023'!$J$4="CA",'2023'!$J$2=AI233),'2023DATA'!$F$11,"")</f>
        <v/>
      </c>
      <c r="AJ242" s="518" t="str">
        <f>IF(AND(_AC2="B-767-400ER",'2023'!$J$4="CA",'2023'!$J$2=AJ233),'2023DATA'!$G$11,"")</f>
        <v/>
      </c>
      <c r="AK242" s="518" t="str">
        <f>IF(AND(_AC2="B-767-400ER",'2023'!$J$4="CA",'2023'!$J$2=AK233),'2023DATA'!$H$11,"")</f>
        <v/>
      </c>
      <c r="AL242" s="518" t="str">
        <f>IF(AND(_AC2="B-767-400ER",'2023'!$J$4="CA",'2023'!$J$2=AL233),'2023DATA'!$I$11,"")</f>
        <v/>
      </c>
      <c r="AM242" s="518" t="str">
        <f>IF(AND(_AC2="B-767-400ER",'2023'!$J$4="CA",'2023'!$J$2=AM233),'2023DATA'!$J$11,"")</f>
        <v/>
      </c>
      <c r="AN242" s="518" t="str">
        <f>IF(AND(_AC2="B-767-400ER",'2023'!$J$4="CA",'2023'!$J$2=AN233),'2023DATA'!$K$11,"")</f>
        <v/>
      </c>
      <c r="AO242" s="518" t="str">
        <f>IF(AND(_AC2="B-767-400ER",'2023'!$J$4="CA",'2023'!$J$2=AO233),'2023DATA'!$L$11,"")</f>
        <v/>
      </c>
      <c r="AP242" s="518" t="str">
        <f>IF(AND(_AC2="B-767-400ER",'2023'!$J$4="CA",'2023'!$J$2=AP233),'2023DATA'!$M$11,"")</f>
        <v/>
      </c>
      <c r="AQ242" s="520" t="str">
        <f>IF(AND(_AC2="B-767-400ER",'2023'!$J$4="CA",'2023'!$J$2=AQ233),'2023DATA'!$N$11,"")</f>
        <v/>
      </c>
      <c r="AR242" s="940" t="s">
        <v>42</v>
      </c>
      <c r="AS242" s="13" t="s">
        <v>61</v>
      </c>
      <c r="AT242" s="518" t="str">
        <f>IF(AND(_AC3="B-767-400ER",'2023'!$J$4="CA",'2023'!$J$2=AT233),'2023DATA'!$C$11,"")</f>
        <v/>
      </c>
      <c r="AU242" s="518" t="str">
        <f>IF(AND(_AC3="B-767-400ER",'2023'!$J$4="CA",'2023'!$J$2=AU233),'2023DATA'!$D$11,"")</f>
        <v/>
      </c>
      <c r="AV242" s="518" t="str">
        <f>IF(AND(_AC3="B-767-400ER",'2023'!$J$4="CA",'2023'!$J$2=AV233),'2023DATA'!$E$11,"")</f>
        <v/>
      </c>
      <c r="AW242" s="518" t="str">
        <f>IF(AND(_AC3="B-767-400ER",'2023'!$J$4="CA",'2023'!$J$2=AW233),'2023DATA'!$F$11,"")</f>
        <v/>
      </c>
      <c r="AX242" s="518" t="str">
        <f>IF(AND(_AC3="B-767-400ER",'2023'!$J$4="CA",'2023'!$J$2=AX233),'2023DATA'!$G$11,"")</f>
        <v/>
      </c>
      <c r="AY242" s="518" t="str">
        <f>IF(AND(_AC3="B-767-400ER",'2023'!$J$4="CA",'2023'!$J$2=AY233),'2023DATA'!$H$11,"")</f>
        <v/>
      </c>
      <c r="AZ242" s="518" t="str">
        <f>IF(AND(_AC3="B-767-400ER",'2023'!$J$4="CA",'2023'!$J$2=AZ233),'2023DATA'!$I$11,"")</f>
        <v/>
      </c>
      <c r="BA242" s="518" t="str">
        <f>IF(AND(_AC3="B-767-400ER",'2023'!$J$4="CA",'2023'!$J$2=BA233),'2023DATA'!$J$11,"")</f>
        <v/>
      </c>
      <c r="BB242" s="518" t="str">
        <f>IF(AND(_AC3="B-767-400ER",'2023'!$J$4="CA",'2023'!$J$2=BB233),'2023DATA'!$K$11,"")</f>
        <v/>
      </c>
      <c r="BC242" s="518" t="str">
        <f>IF(AND(_AC3="B-767-400ER",'2023'!$J$4="CA",'2023'!$J$2=BC233),'2023DATA'!$L$11,"")</f>
        <v/>
      </c>
      <c r="BD242" s="518" t="str">
        <f>IF(AND(_AC3="B-767-400ER",'2023'!$J$4="CA",'2023'!$J$2=BD233),'2023DATA'!$M$11,"")</f>
        <v/>
      </c>
      <c r="BE242" s="520" t="str">
        <f>IF(AND(_AC3="B-767-400ER",'2023'!$J$4="CA",'2023'!$J$2=BE233),'2023DATA'!$N$11,"")</f>
        <v/>
      </c>
      <c r="BF242" s="940" t="s">
        <v>42</v>
      </c>
      <c r="BG242" s="13" t="s">
        <v>61</v>
      </c>
      <c r="BH242" s="518" t="str">
        <f>IF(AND(_AC4="B-767-400ER",'2023'!$J$4="CA",'2023'!$J$2=BH233),'2023DATA'!$C$11,"")</f>
        <v/>
      </c>
      <c r="BI242" s="518" t="str">
        <f>IF(AND(_AC4="B-767-400ER",'2023'!$J$4="CA",'2023'!$J$2=BI233),'2023DATA'!$D$11,"")</f>
        <v/>
      </c>
      <c r="BJ242" s="518" t="str">
        <f>IF(AND(_AC4="B-767-400ER",'2023'!$J$4="CA",'2023'!$J$2=BJ233),'2023DATA'!$E$11,"")</f>
        <v/>
      </c>
      <c r="BK242" s="518" t="str">
        <f>IF(AND(_AC4="B-767-400ER",'2023'!$J$4="CA",'2023'!$J$2=BK233),'2023DATA'!$F$11,"")</f>
        <v/>
      </c>
      <c r="BL242" s="518" t="str">
        <f>IF(AND(_AC4="B-767-400ER",'2023'!$J$4="CA",'2023'!$J$2=BL233),'2023DATA'!$G$11,"")</f>
        <v/>
      </c>
      <c r="BM242" s="518" t="str">
        <f>IF(AND(_AC4="B-767-400ER",'2023'!$J$4="CA",'2023'!$J$2=BM233),'2023DATA'!$H$11,"")</f>
        <v/>
      </c>
      <c r="BN242" s="518" t="str">
        <f>IF(AND(_AC4="B-767-400ER",'2023'!$J$4="CA",'2023'!$J$2=BN233),'2023DATA'!$I$11,"")</f>
        <v/>
      </c>
      <c r="BO242" s="518" t="str">
        <f>IF(AND(_AC4="B-767-400ER",'2023'!$J$4="CA",'2023'!$J$2=BO233),'2023DATA'!$J$11,"")</f>
        <v/>
      </c>
      <c r="BP242" s="518" t="str">
        <f>IF(AND(_AC4="B-767-400ER",'2023'!$J$4="CA",'2023'!$J$2=BP233),'2023DATA'!$K$11,"")</f>
        <v/>
      </c>
      <c r="BQ242" s="518" t="str">
        <f>IF(AND(_AC4="B-767-400ER",'2023'!$J$4="CA",'2023'!$J$2=BQ233),'2023DATA'!$L$11,"")</f>
        <v/>
      </c>
      <c r="BR242" s="518" t="str">
        <f>IF(AND(_AC4="B-767-400ER",'2023'!$J$4="CA",'2023'!$J$2=BR233),'2023DATA'!$M$11,"")</f>
        <v/>
      </c>
      <c r="BS242" s="520" t="str">
        <f>IF(AND(_AC4="B-767-400ER",'2023'!$J$4="CA",'2023'!$J$2=BS233),'2023DATA'!$N$11,"")</f>
        <v/>
      </c>
      <c r="BT242" s="940" t="s">
        <v>42</v>
      </c>
      <c r="BU242" s="13" t="s">
        <v>61</v>
      </c>
      <c r="BV242" s="518" t="str">
        <f>IF(AND(_AC5="B-767-400ER",'2023'!$J$4="CA",'2023'!$J$2=BV233),'2023DATA'!$C$11,"")</f>
        <v/>
      </c>
      <c r="BW242" s="518" t="str">
        <f>IF(AND(_AC5="B-767-400ER",'2023'!$J$4="CA",'2023'!$J$2=BW233),'2023DATA'!$D$11,"")</f>
        <v/>
      </c>
      <c r="BX242" s="518" t="str">
        <f>IF(AND(_AC5="B-767-400ER",'2023'!$J$4="CA",'2023'!$J$2=BX233),'2023DATA'!$E$11,"")</f>
        <v/>
      </c>
      <c r="BY242" s="518" t="str">
        <f>IF(AND(_AC5="B-767-400ER",'2023'!$J$4="CA",'2023'!$J$2=BY233),'2023DATA'!$F$11,"")</f>
        <v/>
      </c>
      <c r="BZ242" s="518" t="str">
        <f>IF(AND(_AC5="B-767-400ER",'2023'!$J$4="CA",'2023'!$J$2=BZ233),'2023DATA'!$G$11,"")</f>
        <v/>
      </c>
      <c r="CA242" s="518" t="str">
        <f>IF(AND(_AC5="B-767-400ER",'2023'!$J$4="CA",'2023'!$J$2=CA233),'2023DATA'!$H$11,"")</f>
        <v/>
      </c>
      <c r="CB242" s="518" t="str">
        <f>IF(AND(_AC5="B-767-400ER",'2023'!$J$4="CA",'2023'!$J$2=CB233),'2023DATA'!$I$11,"")</f>
        <v/>
      </c>
      <c r="CC242" s="518" t="str">
        <f>IF(AND(_AC5="B-767-400ER",'2023'!$J$4="CA",'2023'!$J$2=CC233),'2023DATA'!$J$11,"")</f>
        <v/>
      </c>
      <c r="CD242" s="518" t="str">
        <f>IF(AND(_AC5="B-767-400ER",'2023'!$J$4="CA",'2023'!$J$2=CD233),'2023DATA'!$K$11,"")</f>
        <v/>
      </c>
      <c r="CE242" s="518" t="str">
        <f>IF(AND(_AC5="B-767-400ER",'2023'!$J$4="CA",'2023'!$J$2=CE233),'2023DATA'!$L$11,"")</f>
        <v/>
      </c>
      <c r="CF242" s="518" t="str">
        <f>IF(AND(_AC5="B-767-400ER",'2023'!$J$4="CA",'2023'!$J$2=CF233),'2023DATA'!$M$11,"")</f>
        <v/>
      </c>
      <c r="CG242" s="520" t="str">
        <f>IF(AND(_AC5="B-767-400ER",'2023'!$J$4="CA",'2023'!$J$2=CG233),'2023DATA'!$N$11,"")</f>
        <v/>
      </c>
      <c r="CH242" s="940" t="s">
        <v>42</v>
      </c>
      <c r="CI242" s="13" t="s">
        <v>61</v>
      </c>
      <c r="CJ242" s="518" t="str">
        <f>IF(AND(_AC6="B-767-400ER",'2023'!$J$4="CA",'2023'!$J$2=CJ233),'2023DATA'!$C$11,"")</f>
        <v/>
      </c>
      <c r="CK242" s="518" t="str">
        <f>IF(AND(_AC6="B-767-400ER",'2023'!$J$4="CA",'2023'!$J$2=CK233),'2023DATA'!$D$11,"")</f>
        <v/>
      </c>
      <c r="CL242" s="518" t="str">
        <f>IF(AND(_AC6="B-767-400ER",'2023'!$J$4="CA",'2023'!$J$2=CL233),'2023DATA'!$E$11,"")</f>
        <v/>
      </c>
      <c r="CM242" s="518" t="str">
        <f>IF(AND(_AC6="B-767-400ER",'2023'!$J$4="CA",'2023'!$J$2=CM233),'2023DATA'!$F$11,"")</f>
        <v/>
      </c>
      <c r="CN242" s="518" t="str">
        <f>IF(AND(_AC6="B-767-400ER",'2023'!$J$4="CA",'2023'!$J$2=CN233),'2023DATA'!$G$11,"")</f>
        <v/>
      </c>
      <c r="CO242" s="518" t="str">
        <f>IF(AND(_AC6="B-767-400ER",'2023'!$J$4="CA",'2023'!$J$2=CO233),'2023DATA'!$H$11,"")</f>
        <v/>
      </c>
      <c r="CP242" s="518" t="str">
        <f>IF(AND(_AC6="B-767-400ER",'2023'!$J$4="CA",'2023'!$J$2=CP233),'2023DATA'!$I$11,"")</f>
        <v/>
      </c>
      <c r="CQ242" s="518" t="str">
        <f>IF(AND(_AC6="B-767-400ER",'2023'!$J$4="CA",'2023'!$J$2=CQ233),'2023DATA'!$J$11,"")</f>
        <v/>
      </c>
      <c r="CR242" s="518" t="str">
        <f>IF(AND(_AC6="B-767-400ER",'2023'!$J$4="CA",'2023'!$J$2=CR233),'2023DATA'!$K$11,"")</f>
        <v/>
      </c>
      <c r="CS242" s="518" t="str">
        <f>IF(AND(_AC6="B-767-400ER",'2023'!$J$4="CA",'2023'!$J$2=CS233),'2023DATA'!$L$11,"")</f>
        <v/>
      </c>
      <c r="CT242" s="518" t="str">
        <f>IF(AND(_AC6="B-767-400ER",'2023'!$J$4="CA",'2023'!$J$2=CT233),'2023DATA'!$M$11,"")</f>
        <v/>
      </c>
      <c r="CU242" s="520" t="str">
        <f>IF(AND(_AC6="B-767-400ER",'2023'!$J$4="CA",'2023'!$J$2=CU233),'2023DATA'!$N$11,"")</f>
        <v/>
      </c>
    </row>
    <row r="243" spans="16:99" x14ac:dyDescent="0.25">
      <c r="P243" s="940"/>
      <c r="Q243" s="13" t="s">
        <v>62</v>
      </c>
      <c r="R243" s="518" t="str">
        <f>IF(AND(_AC1="B-767-400ER",'2023'!$J$4="FO",'2023'!$J$2=R233),'2023DATA'!$C$12,"")</f>
        <v/>
      </c>
      <c r="S243" s="518" t="str">
        <f>IF(AND(_AC1="B-767-400ER",'2023'!$J$4="FO",'2023'!$J$2=S233),'2023DATA'!$D$12,"")</f>
        <v/>
      </c>
      <c r="T243" s="518" t="str">
        <f>IF(AND(_AC1="B-767-400ER",'2023'!$J$4="FO",'2023'!$J$2=T233),'2023DATA'!$E$12,"")</f>
        <v/>
      </c>
      <c r="U243" s="518" t="str">
        <f>IF(AND(_AC1="B-767-400ER",'2023'!$J$4="FO",'2023'!$J$2=U233),'2023DATA'!$F$12,"")</f>
        <v/>
      </c>
      <c r="V243" s="518" t="str">
        <f>IF(AND(_AC1="B-767-400ER",'2023'!$J$4="FO",'2023'!$J$2=V233),'2023DATA'!$G$12,"")</f>
        <v/>
      </c>
      <c r="W243" s="518" t="str">
        <f>IF(AND(_AC1="B-767-400ER",'2023'!$J$4="FO",'2023'!$J$2=W233),'2023DATA'!$H$12,"")</f>
        <v/>
      </c>
      <c r="X243" s="518" t="str">
        <f>IF(AND(_AC1="B-767-400ER",'2023'!$J$4="FO",'2023'!$J$2=X233),'2023DATA'!$I$12,"")</f>
        <v/>
      </c>
      <c r="Y243" s="518" t="str">
        <f>IF(AND(_AC1="B-767-400ER",'2023'!$J$4="FO",'2023'!$J$2=Y233),'2023DATA'!$J$12,"")</f>
        <v/>
      </c>
      <c r="Z243" s="518" t="str">
        <f>IF(AND(_AC1="B-767-400ER",'2023'!$J$4="FO",'2023'!$J$2=Z233),'2023DATA'!$K$12,"")</f>
        <v/>
      </c>
      <c r="AA243" s="518" t="str">
        <f>IF(AND(_AC1="B-767-400ER",'2023'!$J$4="FO",'2023'!$J$2=AA233),'2023DATA'!$L$12,"")</f>
        <v/>
      </c>
      <c r="AB243" s="518" t="str">
        <f>IF(AND(_AC1="B-767-400ER",'2023'!$J$4="FO",'2023'!$J$2=AB233),'2023DATA'!$M$12,"")</f>
        <v/>
      </c>
      <c r="AC243" s="520" t="str">
        <f>IF(AND(_AC1="B-767-400ER",'2023'!$J$4="FO",'2023'!$J$2=AC233),'2023DATA'!$N$12,"")</f>
        <v/>
      </c>
      <c r="AD243" s="940"/>
      <c r="AE243" s="13" t="s">
        <v>62</v>
      </c>
      <c r="AF243" s="518" t="str">
        <f>IF(AND(_AC2="B-767-400ER",'2023'!$J$4="FO",'2023'!$J$2=AF233),'2023DATA'!$C$12,"")</f>
        <v/>
      </c>
      <c r="AG243" s="518" t="str">
        <f>IF(AND(_AC2="B-767-400ER",'2023'!$J$4="FO",'2023'!$J$2=AG233),'2023DATA'!$D$12,"")</f>
        <v/>
      </c>
      <c r="AH243" s="518" t="str">
        <f>IF(AND(_AC2="B-767-400ER",'2023'!$J$4="FO",'2023'!$J$2=AH233),'2023DATA'!$E$12,"")</f>
        <v/>
      </c>
      <c r="AI243" s="518" t="str">
        <f>IF(AND(_AC2="B-767-400ER",'2023'!$J$4="FO",'2023'!$J$2=AI233),'2023DATA'!$F$12,"")</f>
        <v/>
      </c>
      <c r="AJ243" s="518" t="str">
        <f>IF(AND(_AC2="B-767-400ER",'2023'!$J$4="FO",'2023'!$J$2=AJ233),'2023DATA'!$G$12,"")</f>
        <v/>
      </c>
      <c r="AK243" s="518" t="str">
        <f>IF(AND(_AC2="B-767-400ER",'2023'!$J$4="FO",'2023'!$J$2=AK233),'2023DATA'!$H$12,"")</f>
        <v/>
      </c>
      <c r="AL243" s="518" t="str">
        <f>IF(AND(_AC2="B-767-400ER",'2023'!$J$4="FO",'2023'!$J$2=AL233),'2023DATA'!$I$12,"")</f>
        <v/>
      </c>
      <c r="AM243" s="518" t="str">
        <f>IF(AND(_AC2="B-767-400ER",'2023'!$J$4="FO",'2023'!$J$2=AM233),'2023DATA'!$J$12,"")</f>
        <v/>
      </c>
      <c r="AN243" s="518" t="str">
        <f>IF(AND(_AC2="B-767-400ER",'2023'!$J$4="FO",'2023'!$J$2=AN233),'2023DATA'!$K$12,"")</f>
        <v/>
      </c>
      <c r="AO243" s="518" t="str">
        <f>IF(AND(_AC2="B-767-400ER",'2023'!$J$4="FO",'2023'!$J$2=AO233),'2023DATA'!$L$12,"")</f>
        <v/>
      </c>
      <c r="AP243" s="518" t="str">
        <f>IF(AND(_AC2="B-767-400ER",'2023'!$J$4="FO",'2023'!$J$2=AP233),'2023DATA'!$M$12,"")</f>
        <v/>
      </c>
      <c r="AQ243" s="520" t="str">
        <f>IF(AND(_AC2="B-767-400ER",'2023'!$J$4="FO",'2023'!$J$2=AQ233),'2023DATA'!$N$12,"")</f>
        <v/>
      </c>
      <c r="AR243" s="940"/>
      <c r="AS243" s="13" t="s">
        <v>62</v>
      </c>
      <c r="AT243" s="518" t="str">
        <f>IF(AND(_AC3="B-767-400ER",'2023'!$J$4="FO",'2023'!$J$2=AT233),'2023DATA'!$C$12,"")</f>
        <v/>
      </c>
      <c r="AU243" s="518" t="str">
        <f>IF(AND(_AC3="B-767-400ER",'2023'!$J$4="FO",'2023'!$J$2=AU233),'2023DATA'!$D$12,"")</f>
        <v/>
      </c>
      <c r="AV243" s="518" t="str">
        <f>IF(AND(_AC3="B-767-400ER",'2023'!$J$4="FO",'2023'!$J$2=AV233),'2023DATA'!$E$12,"")</f>
        <v/>
      </c>
      <c r="AW243" s="518" t="str">
        <f>IF(AND(_AC3="B-767-400ER",'2023'!$J$4="FO",'2023'!$J$2=AW233),'2023DATA'!$F$12,"")</f>
        <v/>
      </c>
      <c r="AX243" s="518" t="str">
        <f>IF(AND(_AC3="B-767-400ER",'2023'!$J$4="FO",'2023'!$J$2=AX233),'2023DATA'!$G$12,"")</f>
        <v/>
      </c>
      <c r="AY243" s="518" t="str">
        <f>IF(AND(_AC3="B-767-400ER",'2023'!$J$4="FO",'2023'!$J$2=AY233),'2023DATA'!$H$12,"")</f>
        <v/>
      </c>
      <c r="AZ243" s="518" t="str">
        <f>IF(AND(_AC3="B-767-400ER",'2023'!$J$4="FO",'2023'!$J$2=AZ233),'2023DATA'!$I$12,"")</f>
        <v/>
      </c>
      <c r="BA243" s="518" t="str">
        <f>IF(AND(_AC3="B-767-400ER",'2023'!$J$4="FO",'2023'!$J$2=BA233),'2023DATA'!$J$12,"")</f>
        <v/>
      </c>
      <c r="BB243" s="518" t="str">
        <f>IF(AND(_AC3="B-767-400ER",'2023'!$J$4="FO",'2023'!$J$2=BB233),'2023DATA'!$K$12,"")</f>
        <v/>
      </c>
      <c r="BC243" s="518" t="str">
        <f>IF(AND(_AC3="B-767-400ER",'2023'!$J$4="FO",'2023'!$J$2=BC233),'2023DATA'!$L$12,"")</f>
        <v/>
      </c>
      <c r="BD243" s="518" t="str">
        <f>IF(AND(_AC3="B-767-400ER",'2023'!$J$4="FO",'2023'!$J$2=BD233),'2023DATA'!$M$12,"")</f>
        <v/>
      </c>
      <c r="BE243" s="520" t="str">
        <f>IF(AND(_AC3="B-767-400ER",'2023'!$J$4="FO",'2023'!$J$2=BE233),'2023DATA'!$N$12,"")</f>
        <v/>
      </c>
      <c r="BF243" s="940"/>
      <c r="BG243" s="13" t="s">
        <v>62</v>
      </c>
      <c r="BH243" s="518" t="str">
        <f>IF(AND(_AC4="B-767-400ER",'2023'!$J$4="FO",'2023'!$J$2=BH233),'2023DATA'!$C$12,"")</f>
        <v/>
      </c>
      <c r="BI243" s="518" t="str">
        <f>IF(AND(_AC4="B-767-400ER",'2023'!$J$4="FO",'2023'!$J$2=BI233),'2023DATA'!$D$12,"")</f>
        <v/>
      </c>
      <c r="BJ243" s="518" t="str">
        <f>IF(AND(_AC4="B-767-400ER",'2023'!$J$4="FO",'2023'!$J$2=BJ233),'2023DATA'!$E$12,"")</f>
        <v/>
      </c>
      <c r="BK243" s="518" t="str">
        <f>IF(AND(_AC4="B-767-400ER",'2023'!$J$4="FO",'2023'!$J$2=BK233),'2023DATA'!$F$12,"")</f>
        <v/>
      </c>
      <c r="BL243" s="518" t="str">
        <f>IF(AND(_AC4="B-767-400ER",'2023'!$J$4="FO",'2023'!$J$2=BL233),'2023DATA'!$G$12,"")</f>
        <v/>
      </c>
      <c r="BM243" s="518" t="str">
        <f>IF(AND(_AC4="B-767-400ER",'2023'!$J$4="FO",'2023'!$J$2=BM233),'2023DATA'!$H$12,"")</f>
        <v/>
      </c>
      <c r="BN243" s="518" t="str">
        <f>IF(AND(_AC4="B-767-400ER",'2023'!$J$4="FO",'2023'!$J$2=BN233),'2023DATA'!$I$12,"")</f>
        <v/>
      </c>
      <c r="BO243" s="518" t="str">
        <f>IF(AND(_AC4="B-767-400ER",'2023'!$J$4="FO",'2023'!$J$2=BO233),'2023DATA'!$J$12,"")</f>
        <v/>
      </c>
      <c r="BP243" s="518" t="str">
        <f>IF(AND(_AC4="B-767-400ER",'2023'!$J$4="FO",'2023'!$J$2=BP233),'2023DATA'!$K$12,"")</f>
        <v/>
      </c>
      <c r="BQ243" s="518" t="str">
        <f>IF(AND(_AC4="B-767-400ER",'2023'!$J$4="FO",'2023'!$J$2=BQ233),'2023DATA'!$L$12,"")</f>
        <v/>
      </c>
      <c r="BR243" s="518" t="str">
        <f>IF(AND(_AC4="B-767-400ER",'2023'!$J$4="FO",'2023'!$J$2=BR233),'2023DATA'!$M$12,"")</f>
        <v/>
      </c>
      <c r="BS243" s="520" t="str">
        <f>IF(AND(_AC4="B-767-400ER",'2023'!$J$4="FO",'2023'!$J$2=BS233),'2023DATA'!$N$12,"")</f>
        <v/>
      </c>
      <c r="BT243" s="940"/>
      <c r="BU243" s="13" t="s">
        <v>62</v>
      </c>
      <c r="BV243" s="518" t="str">
        <f>IF(AND(_AC5="B-767-400ER",'2023'!$J$4="FO",'2023'!$J$2=BV233),'2023DATA'!$C$12,"")</f>
        <v/>
      </c>
      <c r="BW243" s="518" t="str">
        <f>IF(AND(_AC5="B-767-400ER",'2023'!$J$4="FO",'2023'!$J$2=BW233),'2023DATA'!$D$12,"")</f>
        <v/>
      </c>
      <c r="BX243" s="518" t="str">
        <f>IF(AND(_AC5="B-767-400ER",'2023'!$J$4="FO",'2023'!$J$2=BX233),'2023DATA'!$E$12,"")</f>
        <v/>
      </c>
      <c r="BY243" s="518" t="str">
        <f>IF(AND(_AC5="B-767-400ER",'2023'!$J$4="FO",'2023'!$J$2=BY233),'2023DATA'!$F$12,"")</f>
        <v/>
      </c>
      <c r="BZ243" s="518" t="str">
        <f>IF(AND(_AC5="B-767-400ER",'2023'!$J$4="FO",'2023'!$J$2=BZ233),'2023DATA'!$G$12,"")</f>
        <v/>
      </c>
      <c r="CA243" s="518" t="str">
        <f>IF(AND(_AC5="B-767-400ER",'2023'!$J$4="FO",'2023'!$J$2=CA233),'2023DATA'!$H$12,"")</f>
        <v/>
      </c>
      <c r="CB243" s="518" t="str">
        <f>IF(AND(_AC5="B-767-400ER",'2023'!$J$4="FO",'2023'!$J$2=CB233),'2023DATA'!$I$12,"")</f>
        <v/>
      </c>
      <c r="CC243" s="518" t="str">
        <f>IF(AND(_AC5="B-767-400ER",'2023'!$J$4="FO",'2023'!$J$2=CC233),'2023DATA'!$J$12,"")</f>
        <v/>
      </c>
      <c r="CD243" s="518" t="str">
        <f>IF(AND(_AC5="B-767-400ER",'2023'!$J$4="FO",'2023'!$J$2=CD233),'2023DATA'!$K$12,"")</f>
        <v/>
      </c>
      <c r="CE243" s="518" t="str">
        <f>IF(AND(_AC5="B-767-400ER",'2023'!$J$4="FO",'2023'!$J$2=CE233),'2023DATA'!$L$12,"")</f>
        <v/>
      </c>
      <c r="CF243" s="518" t="str">
        <f>IF(AND(_AC5="B-767-400ER",'2023'!$J$4="FO",'2023'!$J$2=CF233),'2023DATA'!$M$12,"")</f>
        <v/>
      </c>
      <c r="CG243" s="520" t="str">
        <f>IF(AND(_AC5="B-767-400ER",'2023'!$J$4="FO",'2023'!$J$2=CG233),'2023DATA'!$N$12,"")</f>
        <v/>
      </c>
      <c r="CH243" s="940"/>
      <c r="CI243" s="13" t="s">
        <v>62</v>
      </c>
      <c r="CJ243" s="518" t="str">
        <f>IF(AND(_AC6="B-767-400ER",'2023'!$J$4="FO",'2023'!$J$2=CJ233),'2023DATA'!$C$12,"")</f>
        <v/>
      </c>
      <c r="CK243" s="518" t="str">
        <f>IF(AND(_AC6="B-767-400ER",'2023'!$J$4="FO",'2023'!$J$2=CK233),'2023DATA'!$D$12,"")</f>
        <v/>
      </c>
      <c r="CL243" s="518" t="str">
        <f>IF(AND(_AC6="B-767-400ER",'2023'!$J$4="FO",'2023'!$J$2=CL233),'2023DATA'!$E$12,"")</f>
        <v/>
      </c>
      <c r="CM243" s="518" t="str">
        <f>IF(AND(_AC6="B-767-400ER",'2023'!$J$4="FO",'2023'!$J$2=CM233),'2023DATA'!$F$12,"")</f>
        <v/>
      </c>
      <c r="CN243" s="518" t="str">
        <f>IF(AND(_AC6="B-767-400ER",'2023'!$J$4="FO",'2023'!$J$2=CN233),'2023DATA'!$G$12,"")</f>
        <v/>
      </c>
      <c r="CO243" s="518" t="str">
        <f>IF(AND(_AC6="B-767-400ER",'2023'!$J$4="FO",'2023'!$J$2=CO233),'2023DATA'!$H$12,"")</f>
        <v/>
      </c>
      <c r="CP243" s="518" t="str">
        <f>IF(AND(_AC6="B-767-400ER",'2023'!$J$4="FO",'2023'!$J$2=CP233),'2023DATA'!$I$12,"")</f>
        <v/>
      </c>
      <c r="CQ243" s="518" t="str">
        <f>IF(AND(_AC6="B-767-400ER",'2023'!$J$4="FO",'2023'!$J$2=CQ233),'2023DATA'!$J$12,"")</f>
        <v/>
      </c>
      <c r="CR243" s="518" t="str">
        <f>IF(AND(_AC6="B-767-400ER",'2023'!$J$4="FO",'2023'!$J$2=CR233),'2023DATA'!$K$12,"")</f>
        <v/>
      </c>
      <c r="CS243" s="518" t="str">
        <f>IF(AND(_AC6="B-767-400ER",'2023'!$J$4="FO",'2023'!$J$2=CS233),'2023DATA'!$L$12,"")</f>
        <v/>
      </c>
      <c r="CT243" s="518" t="str">
        <f>IF(AND(_AC6="B-767-400ER",'2023'!$J$4="FO",'2023'!$J$2=CT233),'2023DATA'!$M$12,"")</f>
        <v/>
      </c>
      <c r="CU243" s="520" t="str">
        <f>IF(AND(_AC6="B-767-400ER",'2023'!$J$4="FO",'2023'!$J$2=CU233),'2023DATA'!$N$12,"")</f>
        <v/>
      </c>
    </row>
    <row r="244" spans="16:99" x14ac:dyDescent="0.25">
      <c r="P244" s="940" t="s">
        <v>43</v>
      </c>
      <c r="Q244" s="13" t="s">
        <v>61</v>
      </c>
      <c r="R244" s="518" t="str">
        <f>IF(AND(_AC1="B-767-300ER",'2023'!$J$4="CA",'2023'!$J$2=R233),'2023DATA'!$C$13,"")</f>
        <v/>
      </c>
      <c r="S244" s="518" t="str">
        <f>IF(AND(_AC1="B-767-300ER",'2023'!$J$4="CA",'2023'!$J$2=S233),'2023DATA'!$D$13,"")</f>
        <v/>
      </c>
      <c r="T244" s="518" t="str">
        <f>IF(AND(_AC1="B-767-300ER",'2023'!$J$4="CA",'2023'!$J$2=T233),'2023DATA'!$E$13,"")</f>
        <v/>
      </c>
      <c r="U244" s="518" t="str">
        <f>IF(AND(_AC1="B-767-300ER",'2023'!$J$4="CA",'2023'!$J$2=U233),'2023DATA'!$F$13,"")</f>
        <v/>
      </c>
      <c r="V244" s="518" t="str">
        <f>IF(AND(_AC1="B-767-300ER",'2023'!$J$4="CA",'2023'!$J$2=V233),'2023DATA'!$G$13,"")</f>
        <v/>
      </c>
      <c r="W244" s="518" t="str">
        <f>IF(AND(_AC1="B-767-300ER",'2023'!$J$4="CA",'2023'!$J$2=W233),'2023DATA'!$H$13,"")</f>
        <v/>
      </c>
      <c r="X244" s="518" t="str">
        <f>IF(AND(_AC1="B-767-300ER",'2023'!$J$4="CA",'2023'!$J$2=X233),'2023DATA'!$I$13,"")</f>
        <v/>
      </c>
      <c r="Y244" s="518" t="str">
        <f>IF(AND(_AC1="B-767-300ER",'2023'!$J$4="CA",'2023'!$J$2=Y233),'2023DATA'!$J$13,"")</f>
        <v/>
      </c>
      <c r="Z244" s="518" t="str">
        <f>IF(AND(_AC1="B-767-300ER",'2023'!$J$4="CA",'2023'!$J$2=Z233),'2023DATA'!$K$13,"")</f>
        <v/>
      </c>
      <c r="AA244" s="518" t="str">
        <f>IF(AND(_AC1="B-767-300ER",'2023'!$J$4="CA",'2023'!$J$2=AA233),'2023DATA'!$L$13,"")</f>
        <v/>
      </c>
      <c r="AB244" s="518" t="str">
        <f>IF(AND(_AC1="B-767-300ER",'2023'!$J$4="CA",'2023'!$J$2=AB233),'2023DATA'!$M$13,"")</f>
        <v/>
      </c>
      <c r="AC244" s="520" t="str">
        <f>IF(AND(_AC1="B-767-300ER",'2023'!$J$4="CA",'2023'!$J$2=AC233),'2023DATA'!$N$13,"")</f>
        <v/>
      </c>
      <c r="AD244" s="940" t="s">
        <v>43</v>
      </c>
      <c r="AE244" s="13" t="s">
        <v>61</v>
      </c>
      <c r="AF244" s="518" t="str">
        <f>IF(AND(_AC2="B-767-300ER",'2023'!$J$4="CA",'2023'!$J$2=AF233),'2023DATA'!$C$13,"")</f>
        <v/>
      </c>
      <c r="AG244" s="518" t="str">
        <f>IF(AND(_AC2="B-767-300ER",'2023'!$J$4="CA",'2023'!$J$2=AG233),'2023DATA'!$D$13,"")</f>
        <v/>
      </c>
      <c r="AH244" s="518" t="str">
        <f>IF(AND(_AC2="B-767-300ER",'2023'!$J$4="CA",'2023'!$J$2=AH233),'2023DATA'!$E$13,"")</f>
        <v/>
      </c>
      <c r="AI244" s="518" t="str">
        <f>IF(AND(_AC2="B-767-300ER",'2023'!$J$4="CA",'2023'!$J$2=AI233),'2023DATA'!$F$13,"")</f>
        <v/>
      </c>
      <c r="AJ244" s="518" t="str">
        <f>IF(AND(_AC2="B-767-300ER",'2023'!$J$4="CA",'2023'!$J$2=AJ233),'2023DATA'!$G$13,"")</f>
        <v/>
      </c>
      <c r="AK244" s="518" t="str">
        <f>IF(AND(_AC2="B-767-300ER",'2023'!$J$4="CA",'2023'!$J$2=AK233),'2023DATA'!$H$13,"")</f>
        <v/>
      </c>
      <c r="AL244" s="518" t="str">
        <f>IF(AND(_AC2="B-767-300ER",'2023'!$J$4="CA",'2023'!$J$2=AL233),'2023DATA'!$I$13,"")</f>
        <v/>
      </c>
      <c r="AM244" s="518" t="str">
        <f>IF(AND(_AC2="B-767-300ER",'2023'!$J$4="CA",'2023'!$J$2=AM233),'2023DATA'!$J$13,"")</f>
        <v/>
      </c>
      <c r="AN244" s="518" t="str">
        <f>IF(AND(_AC2="B-767-300ER",'2023'!$J$4="CA",'2023'!$J$2=AN233),'2023DATA'!$K$13,"")</f>
        <v/>
      </c>
      <c r="AO244" s="518" t="str">
        <f>IF(AND(_AC2="B-767-300ER",'2023'!$J$4="CA",'2023'!$J$2=AO233),'2023DATA'!$L$13,"")</f>
        <v/>
      </c>
      <c r="AP244" s="518" t="str">
        <f>IF(AND(_AC2="B-767-300ER",'2023'!$J$4="CA",'2023'!$J$2=AP233),'2023DATA'!$M$13,"")</f>
        <v/>
      </c>
      <c r="AQ244" s="520" t="str">
        <f>IF(AND(_AC2="B-767-300ER",'2023'!$J$4="CA",'2023'!$J$2=AQ233),'2023DATA'!$N$13,"")</f>
        <v/>
      </c>
      <c r="AR244" s="940" t="s">
        <v>43</v>
      </c>
      <c r="AS244" s="13" t="s">
        <v>61</v>
      </c>
      <c r="AT244" s="518" t="str">
        <f>IF(AND(_AC3="B-767-300ER",'2023'!$J$4="CA",'2023'!$J$2=AT233),'2023DATA'!$C$13,"")</f>
        <v/>
      </c>
      <c r="AU244" s="518" t="str">
        <f>IF(AND(_AC3="B-767-300ER",'2023'!$J$4="CA",'2023'!$J$2=AU233),'2023DATA'!$D$13,"")</f>
        <v/>
      </c>
      <c r="AV244" s="518" t="str">
        <f>IF(AND(_AC3="B-767-300ER",'2023'!$J$4="CA",'2023'!$J$2=AV233),'2023DATA'!$E$13,"")</f>
        <v/>
      </c>
      <c r="AW244" s="518" t="str">
        <f>IF(AND(_AC3="B-767-300ER",'2023'!$J$4="CA",'2023'!$J$2=AW233),'2023DATA'!$F$13,"")</f>
        <v/>
      </c>
      <c r="AX244" s="518" t="str">
        <f>IF(AND(_AC3="B-767-300ER",'2023'!$J$4="CA",'2023'!$J$2=AX233),'2023DATA'!$G$13,"")</f>
        <v/>
      </c>
      <c r="AY244" s="518" t="str">
        <f>IF(AND(_AC3="B-767-300ER",'2023'!$J$4="CA",'2023'!$J$2=AY233),'2023DATA'!$H$13,"")</f>
        <v/>
      </c>
      <c r="AZ244" s="518" t="str">
        <f>IF(AND(_AC3="B-767-300ER",'2023'!$J$4="CA",'2023'!$J$2=AZ233),'2023DATA'!$I$13,"")</f>
        <v/>
      </c>
      <c r="BA244" s="518" t="str">
        <f>IF(AND(_AC3="B-767-300ER",'2023'!$J$4="CA",'2023'!$J$2=BA233),'2023DATA'!$J$13,"")</f>
        <v/>
      </c>
      <c r="BB244" s="518" t="str">
        <f>IF(AND(_AC3="B-767-300ER",'2023'!$J$4="CA",'2023'!$J$2=BB233),'2023DATA'!$K$13,"")</f>
        <v/>
      </c>
      <c r="BC244" s="518" t="str">
        <f>IF(AND(_AC3="B-767-300ER",'2023'!$J$4="CA",'2023'!$J$2=BC233),'2023DATA'!$L$13,"")</f>
        <v/>
      </c>
      <c r="BD244" s="518" t="str">
        <f>IF(AND(_AC3="B-767-300ER",'2023'!$J$4="CA",'2023'!$J$2=BD233),'2023DATA'!$M$13,"")</f>
        <v/>
      </c>
      <c r="BE244" s="520" t="str">
        <f>IF(AND(_AC3="B-767-300ER",'2023'!$J$4="CA",'2023'!$J$2=BE233),'2023DATA'!$N$13,"")</f>
        <v/>
      </c>
      <c r="BF244" s="940" t="s">
        <v>43</v>
      </c>
      <c r="BG244" s="13" t="s">
        <v>61</v>
      </c>
      <c r="BH244" s="518" t="str">
        <f>IF(AND(_AC4="B-767-300ER",'2023'!$J$4="CA",'2023'!$J$2=BH233),'2023DATA'!$C$13,"")</f>
        <v/>
      </c>
      <c r="BI244" s="518" t="str">
        <f>IF(AND(_AC4="B-767-300ER",'2023'!$J$4="CA",'2023'!$J$2=BI233),'2023DATA'!$D$13,"")</f>
        <v/>
      </c>
      <c r="BJ244" s="518" t="str">
        <f>IF(AND(_AC4="B-767-300ER",'2023'!$J$4="CA",'2023'!$J$2=BJ233),'2023DATA'!$E$13,"")</f>
        <v/>
      </c>
      <c r="BK244" s="518" t="str">
        <f>IF(AND(_AC4="B-767-300ER",'2023'!$J$4="CA",'2023'!$J$2=BK233),'2023DATA'!$F$13,"")</f>
        <v/>
      </c>
      <c r="BL244" s="518" t="str">
        <f>IF(AND(_AC4="B-767-300ER",'2023'!$J$4="CA",'2023'!$J$2=BL233),'2023DATA'!$G$13,"")</f>
        <v/>
      </c>
      <c r="BM244" s="518" t="str">
        <f>IF(AND(_AC4="B-767-300ER",'2023'!$J$4="CA",'2023'!$J$2=BM233),'2023DATA'!$H$13,"")</f>
        <v/>
      </c>
      <c r="BN244" s="518" t="str">
        <f>IF(AND(_AC4="B-767-300ER",'2023'!$J$4="CA",'2023'!$J$2=BN233),'2023DATA'!$I$13,"")</f>
        <v/>
      </c>
      <c r="BO244" s="518" t="str">
        <f>IF(AND(_AC4="B-767-300ER",'2023'!$J$4="CA",'2023'!$J$2=BO233),'2023DATA'!$J$13,"")</f>
        <v/>
      </c>
      <c r="BP244" s="518" t="str">
        <f>IF(AND(_AC4="B-767-300ER",'2023'!$J$4="CA",'2023'!$J$2=BP233),'2023DATA'!$K$13,"")</f>
        <v/>
      </c>
      <c r="BQ244" s="518" t="str">
        <f>IF(AND(_AC4="B-767-300ER",'2023'!$J$4="CA",'2023'!$J$2=BQ233),'2023DATA'!$L$13,"")</f>
        <v/>
      </c>
      <c r="BR244" s="518" t="str">
        <f>IF(AND(_AC4="B-767-300ER",'2023'!$J$4="CA",'2023'!$J$2=BR233),'2023DATA'!$M$13,"")</f>
        <v/>
      </c>
      <c r="BS244" s="520" t="str">
        <f>IF(AND(_AC4="B-767-300ER",'2023'!$J$4="CA",'2023'!$J$2=BS233),'2023DATA'!$N$13,"")</f>
        <v/>
      </c>
      <c r="BT244" s="940" t="s">
        <v>43</v>
      </c>
      <c r="BU244" s="13" t="s">
        <v>61</v>
      </c>
      <c r="BV244" s="518" t="str">
        <f>IF(AND(_AC5="B-767-300ER",'2023'!$J$4="CA",'2023'!$J$2=BV233),'2023DATA'!$C$13,"")</f>
        <v/>
      </c>
      <c r="BW244" s="518" t="str">
        <f>IF(AND(_AC5="B-767-300ER",'2023'!$J$4="CA",'2023'!$J$2=BW233),'2023DATA'!$D$13,"")</f>
        <v/>
      </c>
      <c r="BX244" s="518" t="str">
        <f>IF(AND(_AC5="B-767-300ER",'2023'!$J$4="CA",'2023'!$J$2=BX233),'2023DATA'!$E$13,"")</f>
        <v/>
      </c>
      <c r="BY244" s="518" t="str">
        <f>IF(AND(_AC5="B-767-300ER",'2023'!$J$4="CA",'2023'!$J$2=BY233),'2023DATA'!$F$13,"")</f>
        <v/>
      </c>
      <c r="BZ244" s="518" t="str">
        <f>IF(AND(_AC5="B-767-300ER",'2023'!$J$4="CA",'2023'!$J$2=BZ233),'2023DATA'!$G$13,"")</f>
        <v/>
      </c>
      <c r="CA244" s="518" t="str">
        <f>IF(AND(_AC5="B-767-300ER",'2023'!$J$4="CA",'2023'!$J$2=CA233),'2023DATA'!$H$13,"")</f>
        <v/>
      </c>
      <c r="CB244" s="518" t="str">
        <f>IF(AND(_AC5="B-767-300ER",'2023'!$J$4="CA",'2023'!$J$2=CB233),'2023DATA'!$I$13,"")</f>
        <v/>
      </c>
      <c r="CC244" s="518" t="str">
        <f>IF(AND(_AC5="B-767-300ER",'2023'!$J$4="CA",'2023'!$J$2=CC233),'2023DATA'!$J$13,"")</f>
        <v/>
      </c>
      <c r="CD244" s="518" t="str">
        <f>IF(AND(_AC5="B-767-300ER",'2023'!$J$4="CA",'2023'!$J$2=CD233),'2023DATA'!$K$13,"")</f>
        <v/>
      </c>
      <c r="CE244" s="518" t="str">
        <f>IF(AND(_AC5="B-767-300ER",'2023'!$J$4="CA",'2023'!$J$2=CE233),'2023DATA'!$L$13,"")</f>
        <v/>
      </c>
      <c r="CF244" s="518" t="str">
        <f>IF(AND(_AC5="B-767-300ER",'2023'!$J$4="CA",'2023'!$J$2=CF233),'2023DATA'!$M$13,"")</f>
        <v/>
      </c>
      <c r="CG244" s="520" t="str">
        <f>IF(AND(_AC5="B-767-300ER",'2023'!$J$4="CA",'2023'!$J$2=CG233),'2023DATA'!$N$13,"")</f>
        <v/>
      </c>
      <c r="CH244" s="940" t="s">
        <v>43</v>
      </c>
      <c r="CI244" s="13" t="s">
        <v>61</v>
      </c>
      <c r="CJ244" s="518" t="str">
        <f>IF(AND(_AC6="B-767-300ER",'2023'!$J$4="CA",'2023'!$J$2=CJ233),'2023DATA'!$C$13,"")</f>
        <v/>
      </c>
      <c r="CK244" s="518" t="str">
        <f>IF(AND(_AC6="B-767-300ER",'2023'!$J$4="CA",'2023'!$J$2=CK233),'2023DATA'!$D$13,"")</f>
        <v/>
      </c>
      <c r="CL244" s="518" t="str">
        <f>IF(AND(_AC6="B-767-300ER",'2023'!$J$4="CA",'2023'!$J$2=CL233),'2023DATA'!$E$13,"")</f>
        <v/>
      </c>
      <c r="CM244" s="518" t="str">
        <f>IF(AND(_AC6="B-767-300ER",'2023'!$J$4="CA",'2023'!$J$2=CM233),'2023DATA'!$F$13,"")</f>
        <v/>
      </c>
      <c r="CN244" s="518" t="str">
        <f>IF(AND(_AC6="B-767-300ER",'2023'!$J$4="CA",'2023'!$J$2=CN233),'2023DATA'!$G$13,"")</f>
        <v/>
      </c>
      <c r="CO244" s="518" t="str">
        <f>IF(AND(_AC6="B-767-300ER",'2023'!$J$4="CA",'2023'!$J$2=CO233),'2023DATA'!$H$13,"")</f>
        <v/>
      </c>
      <c r="CP244" s="518" t="str">
        <f>IF(AND(_AC6="B-767-300ER",'2023'!$J$4="CA",'2023'!$J$2=CP233),'2023DATA'!$I$13,"")</f>
        <v/>
      </c>
      <c r="CQ244" s="518" t="str">
        <f>IF(AND(_AC6="B-767-300ER",'2023'!$J$4="CA",'2023'!$J$2=CQ233),'2023DATA'!$J$13,"")</f>
        <v/>
      </c>
      <c r="CR244" s="518" t="str">
        <f>IF(AND(_AC6="B-767-300ER",'2023'!$J$4="CA",'2023'!$J$2=CR233),'2023DATA'!$K$13,"")</f>
        <v/>
      </c>
      <c r="CS244" s="518" t="str">
        <f>IF(AND(_AC6="B-767-300ER",'2023'!$J$4="CA",'2023'!$J$2=CS233),'2023DATA'!$L$13,"")</f>
        <v/>
      </c>
      <c r="CT244" s="518" t="str">
        <f>IF(AND(_AC6="B-767-300ER",'2023'!$J$4="CA",'2023'!$J$2=CT233),'2023DATA'!$M$13,"")</f>
        <v/>
      </c>
      <c r="CU244" s="520" t="str">
        <f>IF(AND(_AC6="B-767-300ER",'2023'!$J$4="CA",'2023'!$J$2=CU233),'2023DATA'!$N$13,"")</f>
        <v/>
      </c>
    </row>
    <row r="245" spans="16:99" x14ac:dyDescent="0.25">
      <c r="P245" s="940"/>
      <c r="Q245" s="13" t="s">
        <v>62</v>
      </c>
      <c r="R245" s="518" t="str">
        <f>IF(AND(_AC1="B-767-300ER",'2023'!$J$4="FO",'2023'!$J$2=R233),'2023DATA'!$C$14,"")</f>
        <v/>
      </c>
      <c r="S245" s="518" t="str">
        <f>IF(AND(_AC1="B-767-300ER",'2023'!$J$4="FO",'2023'!$J$2=S233),'2023DATA'!$D$14,"")</f>
        <v/>
      </c>
      <c r="T245" s="518" t="str">
        <f>IF(AND(_AC1="B-767-300ER",'2023'!$J$4="FO",'2023'!$J$2=T233),'2023DATA'!$E$14,"")</f>
        <v/>
      </c>
      <c r="U245" s="518" t="str">
        <f>IF(AND(_AC1="B-767-300ER",'2023'!$J$4="FO",'2023'!$J$2=U233),'2023DATA'!$F$14,"")</f>
        <v/>
      </c>
      <c r="V245" s="518" t="str">
        <f>IF(AND(_AC1="B-767-300ER",'2023'!$J$4="FO",'2023'!$J$2=V233),'2023DATA'!$G$14,"")</f>
        <v/>
      </c>
      <c r="W245" s="518" t="str">
        <f>IF(AND(_AC1="B-767-300ER",'2023'!$J$4="FO",'2023'!$J$2=W233),'2023DATA'!$H$14,"")</f>
        <v/>
      </c>
      <c r="X245" s="518" t="str">
        <f>IF(AND(_AC1="B-767-300ER",'2023'!$J$4="FO",'2023'!$J$2=X233),'2023DATA'!$I$14,"")</f>
        <v/>
      </c>
      <c r="Y245" s="518" t="str">
        <f>IF(AND(_AC1="B-767-300ER",'2023'!$J$4="FO",'2023'!$J$2=Y233),'2023DATA'!$J$14,"")</f>
        <v/>
      </c>
      <c r="Z245" s="518" t="str">
        <f>IF(AND(_AC1="B-767-300ER",'2023'!$J$4="FO",'2023'!$J$2=Z233),'2023DATA'!$K$14,"")</f>
        <v/>
      </c>
      <c r="AA245" s="518" t="str">
        <f>IF(AND(_AC1="B-767-300ER",'2023'!$J$4="FO",'2023'!$J$2=AA233),'2023DATA'!$L$14,"")</f>
        <v/>
      </c>
      <c r="AB245" s="518" t="str">
        <f>IF(AND(_AC1="B-767-300ER",'2023'!$J$4="FO",'2023'!$J$2=AB233),'2023DATA'!$M$14,"")</f>
        <v/>
      </c>
      <c r="AC245" s="520" t="str">
        <f>IF(AND(_AC1="B-767-300ER",'2023'!$J$4="FO",'2023'!$J$2=AC233),'2023DATA'!$N$14,"")</f>
        <v/>
      </c>
      <c r="AD245" s="940"/>
      <c r="AE245" s="13" t="s">
        <v>62</v>
      </c>
      <c r="AF245" s="518" t="str">
        <f>IF(AND(_AC2="B-767-300ER",'2023'!$J$4="FO",'2023'!$J$2=AF233),'2023DATA'!$C$14,"")</f>
        <v/>
      </c>
      <c r="AG245" s="518" t="str">
        <f>IF(AND(_AC2="B-767-300ER",'2023'!$J$4="FO",'2023'!$J$2=AG233),'2023DATA'!$D$14,"")</f>
        <v/>
      </c>
      <c r="AH245" s="518" t="str">
        <f>IF(AND(_AC2="B-767-300ER",'2023'!$J$4="FO",'2023'!$J$2=AH233),'2023DATA'!$E$14,"")</f>
        <v/>
      </c>
      <c r="AI245" s="518" t="str">
        <f>IF(AND(_AC2="B-767-300ER",'2023'!$J$4="FO",'2023'!$J$2=AI233),'2023DATA'!$F$14,"")</f>
        <v/>
      </c>
      <c r="AJ245" s="518" t="str">
        <f>IF(AND(_AC2="B-767-300ER",'2023'!$J$4="FO",'2023'!$J$2=AJ233),'2023DATA'!$G$14,"")</f>
        <v/>
      </c>
      <c r="AK245" s="518" t="str">
        <f>IF(AND(_AC2="B-767-300ER",'2023'!$J$4="FO",'2023'!$J$2=AK233),'2023DATA'!$H$14,"")</f>
        <v/>
      </c>
      <c r="AL245" s="518" t="str">
        <f>IF(AND(_AC2="B-767-300ER",'2023'!$J$4="FO",'2023'!$J$2=AL233),'2023DATA'!$I$14,"")</f>
        <v/>
      </c>
      <c r="AM245" s="518" t="str">
        <f>IF(AND(_AC2="B-767-300ER",'2023'!$J$4="FO",'2023'!$J$2=AM233),'2023DATA'!$J$14,"")</f>
        <v/>
      </c>
      <c r="AN245" s="518" t="str">
        <f>IF(AND(_AC2="B-767-300ER",'2023'!$J$4="FO",'2023'!$J$2=AN233),'2023DATA'!$K$14,"")</f>
        <v/>
      </c>
      <c r="AO245" s="518" t="str">
        <f>IF(AND(_AC2="B-767-300ER",'2023'!$J$4="FO",'2023'!$J$2=AO233),'2023DATA'!$L$14,"")</f>
        <v/>
      </c>
      <c r="AP245" s="518" t="str">
        <f>IF(AND(_AC2="B-767-300ER",'2023'!$J$4="FO",'2023'!$J$2=AP233),'2023DATA'!$M$14,"")</f>
        <v/>
      </c>
      <c r="AQ245" s="520" t="str">
        <f>IF(AND(_AC2="B-767-300ER",'2023'!$J$4="FO",'2023'!$J$2=AQ233),'2023DATA'!$N$14,"")</f>
        <v/>
      </c>
      <c r="AR245" s="940"/>
      <c r="AS245" s="13" t="s">
        <v>62</v>
      </c>
      <c r="AT245" s="518" t="str">
        <f>IF(AND(_AC3="B-767-300ER",'2023'!$J$4="FO",'2023'!$J$2=AT233),'2023DATA'!$C$14,"")</f>
        <v/>
      </c>
      <c r="AU245" s="518" t="str">
        <f>IF(AND(_AC3="B-767-300ER",'2023'!$J$4="FO",'2023'!$J$2=AU233),'2023DATA'!$D$14,"")</f>
        <v/>
      </c>
      <c r="AV245" s="518" t="str">
        <f>IF(AND(_AC3="B-767-300ER",'2023'!$J$4="FO",'2023'!$J$2=AV233),'2023DATA'!$E$14,"")</f>
        <v/>
      </c>
      <c r="AW245" s="518" t="str">
        <f>IF(AND(_AC3="B-767-300ER",'2023'!$J$4="FO",'2023'!$J$2=AW233),'2023DATA'!$F$14,"")</f>
        <v/>
      </c>
      <c r="AX245" s="518" t="str">
        <f>IF(AND(_AC3="B-767-300ER",'2023'!$J$4="FO",'2023'!$J$2=AX233),'2023DATA'!$G$14,"")</f>
        <v/>
      </c>
      <c r="AY245" s="518" t="str">
        <f>IF(AND(_AC3="B-767-300ER",'2023'!$J$4="FO",'2023'!$J$2=AY233),'2023DATA'!$H$14,"")</f>
        <v/>
      </c>
      <c r="AZ245" s="518" t="str">
        <f>IF(AND(_AC3="B-767-300ER",'2023'!$J$4="FO",'2023'!$J$2=AZ233),'2023DATA'!$I$14,"")</f>
        <v/>
      </c>
      <c r="BA245" s="518" t="str">
        <f>IF(AND(_AC3="B-767-300ER",'2023'!$J$4="FO",'2023'!$J$2=BA233),'2023DATA'!$J$14,"")</f>
        <v/>
      </c>
      <c r="BB245" s="518" t="str">
        <f>IF(AND(_AC3="B-767-300ER",'2023'!$J$4="FO",'2023'!$J$2=BB233),'2023DATA'!$K$14,"")</f>
        <v/>
      </c>
      <c r="BC245" s="518" t="str">
        <f>IF(AND(_AC3="B-767-300ER",'2023'!$J$4="FO",'2023'!$J$2=BC233),'2023DATA'!$L$14,"")</f>
        <v/>
      </c>
      <c r="BD245" s="518" t="str">
        <f>IF(AND(_AC3="B-767-300ER",'2023'!$J$4="FO",'2023'!$J$2=BD233),'2023DATA'!$M$14,"")</f>
        <v/>
      </c>
      <c r="BE245" s="520" t="str">
        <f>IF(AND(_AC3="B-767-300ER",'2023'!$J$4="FO",'2023'!$J$2=BE233),'2023DATA'!$N$14,"")</f>
        <v/>
      </c>
      <c r="BF245" s="940"/>
      <c r="BG245" s="13" t="s">
        <v>62</v>
      </c>
      <c r="BH245" s="518" t="str">
        <f>IF(AND(_AC4="B-767-300ER",'2023'!$J$4="FO",'2023'!$J$2=BH233),'2023DATA'!$C$14,"")</f>
        <v/>
      </c>
      <c r="BI245" s="518" t="str">
        <f>IF(AND(_AC4="B-767-300ER",'2023'!$J$4="FO",'2023'!$J$2=BI233),'2023DATA'!$D$14,"")</f>
        <v/>
      </c>
      <c r="BJ245" s="518" t="str">
        <f>IF(AND(_AC4="B-767-300ER",'2023'!$J$4="FO",'2023'!$J$2=BJ233),'2023DATA'!$E$14,"")</f>
        <v/>
      </c>
      <c r="BK245" s="518" t="str">
        <f>IF(AND(_AC4="B-767-300ER",'2023'!$J$4="FO",'2023'!$J$2=BK233),'2023DATA'!$F$14,"")</f>
        <v/>
      </c>
      <c r="BL245" s="518" t="str">
        <f>IF(AND(_AC4="B-767-300ER",'2023'!$J$4="FO",'2023'!$J$2=BL233),'2023DATA'!$G$14,"")</f>
        <v/>
      </c>
      <c r="BM245" s="518" t="str">
        <f>IF(AND(_AC4="B-767-300ER",'2023'!$J$4="FO",'2023'!$J$2=BM233),'2023DATA'!$H$14,"")</f>
        <v/>
      </c>
      <c r="BN245" s="518" t="str">
        <f>IF(AND(_AC4="B-767-300ER",'2023'!$J$4="FO",'2023'!$J$2=BN233),'2023DATA'!$I$14,"")</f>
        <v/>
      </c>
      <c r="BO245" s="518" t="str">
        <f>IF(AND(_AC4="B-767-300ER",'2023'!$J$4="FO",'2023'!$J$2=BO233),'2023DATA'!$J$14,"")</f>
        <v/>
      </c>
      <c r="BP245" s="518" t="str">
        <f>IF(AND(_AC4="B-767-300ER",'2023'!$J$4="FO",'2023'!$J$2=BP233),'2023DATA'!$K$14,"")</f>
        <v/>
      </c>
      <c r="BQ245" s="518" t="str">
        <f>IF(AND(_AC4="B-767-300ER",'2023'!$J$4="FO",'2023'!$J$2=BQ233),'2023DATA'!$L$14,"")</f>
        <v/>
      </c>
      <c r="BR245" s="518" t="str">
        <f>IF(AND(_AC4="B-767-300ER",'2023'!$J$4="FO",'2023'!$J$2=BR233),'2023DATA'!$M$14,"")</f>
        <v/>
      </c>
      <c r="BS245" s="520" t="str">
        <f>IF(AND(_AC4="B-767-300ER",'2023'!$J$4="FO",'2023'!$J$2=BS233),'2023DATA'!$N$14,"")</f>
        <v/>
      </c>
      <c r="BT245" s="940"/>
      <c r="BU245" s="13" t="s">
        <v>62</v>
      </c>
      <c r="BV245" s="518" t="str">
        <f>IF(AND(_AC5="B-767-300ER",'2023'!$J$4="FO",'2023'!$J$2=BV233),'2023DATA'!$C$14,"")</f>
        <v/>
      </c>
      <c r="BW245" s="518" t="str">
        <f>IF(AND(_AC5="B-767-300ER",'2023'!$J$4="FO",'2023'!$J$2=BW233),'2023DATA'!$D$14,"")</f>
        <v/>
      </c>
      <c r="BX245" s="518" t="str">
        <f>IF(AND(_AC5="B-767-300ER",'2023'!$J$4="FO",'2023'!$J$2=BX233),'2023DATA'!$E$14,"")</f>
        <v/>
      </c>
      <c r="BY245" s="518" t="str">
        <f>IF(AND(_AC5="B-767-300ER",'2023'!$J$4="FO",'2023'!$J$2=BY233),'2023DATA'!$F$14,"")</f>
        <v/>
      </c>
      <c r="BZ245" s="518" t="str">
        <f>IF(AND(_AC5="B-767-300ER",'2023'!$J$4="FO",'2023'!$J$2=BZ233),'2023DATA'!$G$14,"")</f>
        <v/>
      </c>
      <c r="CA245" s="518" t="str">
        <f>IF(AND(_AC5="B-767-300ER",'2023'!$J$4="FO",'2023'!$J$2=CA233),'2023DATA'!$H$14,"")</f>
        <v/>
      </c>
      <c r="CB245" s="518" t="str">
        <f>IF(AND(_AC5="B-767-300ER",'2023'!$J$4="FO",'2023'!$J$2=CB233),'2023DATA'!$I$14,"")</f>
        <v/>
      </c>
      <c r="CC245" s="518" t="str">
        <f>IF(AND(_AC5="B-767-300ER",'2023'!$J$4="FO",'2023'!$J$2=CC233),'2023DATA'!$J$14,"")</f>
        <v/>
      </c>
      <c r="CD245" s="518" t="str">
        <f>IF(AND(_AC5="B-767-300ER",'2023'!$J$4="FO",'2023'!$J$2=CD233),'2023DATA'!$K$14,"")</f>
        <v/>
      </c>
      <c r="CE245" s="518" t="str">
        <f>IF(AND(_AC5="B-767-300ER",'2023'!$J$4="FO",'2023'!$J$2=CE233),'2023DATA'!$L$14,"")</f>
        <v/>
      </c>
      <c r="CF245" s="518" t="str">
        <f>IF(AND(_AC5="B-767-300ER",'2023'!$J$4="FO",'2023'!$J$2=CF233),'2023DATA'!$M$14,"")</f>
        <v/>
      </c>
      <c r="CG245" s="520" t="str">
        <f>IF(AND(_AC5="B-767-300ER",'2023'!$J$4="FO",'2023'!$J$2=CG233),'2023DATA'!$N$14,"")</f>
        <v/>
      </c>
      <c r="CH245" s="940"/>
      <c r="CI245" s="13" t="s">
        <v>62</v>
      </c>
      <c r="CJ245" s="518" t="str">
        <f>IF(AND(_AC6="B-767-300ER",'2023'!$J$4="FO",'2023'!$J$2=CJ233),'2023DATA'!$C$14,"")</f>
        <v/>
      </c>
      <c r="CK245" s="518" t="str">
        <f>IF(AND(_AC6="B-767-300ER",'2023'!$J$4="FO",'2023'!$J$2=CK233),'2023DATA'!$D$14,"")</f>
        <v/>
      </c>
      <c r="CL245" s="518" t="str">
        <f>IF(AND(_AC6="B-767-300ER",'2023'!$J$4="FO",'2023'!$J$2=CL233),'2023DATA'!$E$14,"")</f>
        <v/>
      </c>
      <c r="CM245" s="518" t="str">
        <f>IF(AND(_AC6="B-767-300ER",'2023'!$J$4="FO",'2023'!$J$2=CM233),'2023DATA'!$F$14,"")</f>
        <v/>
      </c>
      <c r="CN245" s="518" t="str">
        <f>IF(AND(_AC6="B-767-300ER",'2023'!$J$4="FO",'2023'!$J$2=CN233),'2023DATA'!$G$14,"")</f>
        <v/>
      </c>
      <c r="CO245" s="518" t="str">
        <f>IF(AND(_AC6="B-767-300ER",'2023'!$J$4="FO",'2023'!$J$2=CO233),'2023DATA'!$H$14,"")</f>
        <v/>
      </c>
      <c r="CP245" s="518" t="str">
        <f>IF(AND(_AC6="B-767-300ER",'2023'!$J$4="FO",'2023'!$J$2=CP233),'2023DATA'!$I$14,"")</f>
        <v/>
      </c>
      <c r="CQ245" s="518" t="str">
        <f>IF(AND(_AC6="B-767-300ER",'2023'!$J$4="FO",'2023'!$J$2=CQ233),'2023DATA'!$J$14,"")</f>
        <v/>
      </c>
      <c r="CR245" s="518" t="str">
        <f>IF(AND(_AC6="B-767-300ER",'2023'!$J$4="FO",'2023'!$J$2=CR233),'2023DATA'!$K$14,"")</f>
        <v/>
      </c>
      <c r="CS245" s="518" t="str">
        <f>IF(AND(_AC6="B-767-300ER",'2023'!$J$4="FO",'2023'!$J$2=CS233),'2023DATA'!$L$14,"")</f>
        <v/>
      </c>
      <c r="CT245" s="518" t="str">
        <f>IF(AND(_AC6="B-767-300ER",'2023'!$J$4="FO",'2023'!$J$2=CT233),'2023DATA'!$M$14,"")</f>
        <v/>
      </c>
      <c r="CU245" s="520" t="str">
        <f>IF(AND(_AC6="B-767-300ER",'2023'!$J$4="FO",'2023'!$J$2=CU233),'2023DATA'!$N$14,"")</f>
        <v/>
      </c>
    </row>
    <row r="246" spans="16:99" x14ac:dyDescent="0.25">
      <c r="P246" s="940" t="s">
        <v>67</v>
      </c>
      <c r="Q246" s="13" t="s">
        <v>61</v>
      </c>
      <c r="R246" s="518" t="str">
        <f>IF(AND(_AC1="B-767-300",'2023'!$J$4="CA",'2023'!$J$2=R233),'2023DATA'!$C$15,"")</f>
        <v/>
      </c>
      <c r="S246" s="518" t="str">
        <f>IF(AND(_AC1="B-767-300",'2023'!$J$4="CA",'2023'!$J$2=S233),'2023DATA'!$D$15,"")</f>
        <v/>
      </c>
      <c r="T246" s="518" t="str">
        <f>IF(AND(_AC1="B-767-300",'2023'!$J$4="CA",'2023'!$J$2=T233),'2023DATA'!$E$15,"")</f>
        <v/>
      </c>
      <c r="U246" s="518" t="str">
        <f>IF(AND(_AC1="B-767-300",'2023'!$J$4="CA",'2023'!$J$2=U233),'2023DATA'!$F$15,"")</f>
        <v/>
      </c>
      <c r="V246" s="518" t="str">
        <f>IF(AND(_AC1="B-767-300",'2023'!$J$4="CA",'2023'!$J$2=V233),'2023DATA'!$G$15,"")</f>
        <v/>
      </c>
      <c r="W246" s="518" t="str">
        <f>IF(AND(_AC1="B-767-300",'2023'!$J$4="CA",'2023'!$J$2=W233),'2023DATA'!$H$15,"")</f>
        <v/>
      </c>
      <c r="X246" s="518" t="str">
        <f>IF(AND(_AC1="B-767-300",'2023'!$J$4="CA",'2023'!$J$2=X233),'2023DATA'!$I$15,"")</f>
        <v/>
      </c>
      <c r="Y246" s="518" t="str">
        <f>IF(AND(_AC1="B-767-300",'2023'!$J$4="CA",'2023'!$J$2=Y233),'2023DATA'!$J$15,"")</f>
        <v/>
      </c>
      <c r="Z246" s="518" t="str">
        <f>IF(AND(_AC1="B-767-300",'2023'!$J$4="CA",'2023'!$J$2=Z233),'2023DATA'!$K$15,"")</f>
        <v/>
      </c>
      <c r="AA246" s="518" t="str">
        <f>IF(AND(_AC1="B-767-300",'2023'!$J$4="CA",'2023'!$J$2=AA233),'2023DATA'!$L$15,"")</f>
        <v/>
      </c>
      <c r="AB246" s="518" t="str">
        <f>IF(AND(_AC1="B-767-300",'2023'!$J$4="CA",'2023'!$J$2=AB233),'2023DATA'!$M$15,"")</f>
        <v/>
      </c>
      <c r="AC246" s="520" t="str">
        <f>IF(AND(_AC1="B-767-300",'2023'!$J$4="CA",'2023'!$J$2=AC233),'2023DATA'!$N$15,"")</f>
        <v/>
      </c>
      <c r="AD246" s="940" t="s">
        <v>67</v>
      </c>
      <c r="AE246" s="13" t="s">
        <v>61</v>
      </c>
      <c r="AF246" s="518" t="str">
        <f>IF(AND(_AC2="B-767-300",'2023'!$J$4="CA",'2023'!$J$2=AF233),'2023DATA'!$C$15,"")</f>
        <v/>
      </c>
      <c r="AG246" s="518" t="str">
        <f>IF(AND(_AC2="B-767-300",'2023'!$J$4="CA",'2023'!$J$2=AG233),'2023DATA'!$D$15,"")</f>
        <v/>
      </c>
      <c r="AH246" s="518" t="str">
        <f>IF(AND(_AC2="B-767-300",'2023'!$J$4="CA",'2023'!$J$2=AH233),'2023DATA'!$E$15,"")</f>
        <v/>
      </c>
      <c r="AI246" s="518" t="str">
        <f>IF(AND(_AC2="B-767-300",'2023'!$J$4="CA",'2023'!$J$2=AI233),'2023DATA'!$F$15,"")</f>
        <v/>
      </c>
      <c r="AJ246" s="518" t="str">
        <f>IF(AND(_AC2="B-767-300",'2023'!$J$4="CA",'2023'!$J$2=AJ233),'2023DATA'!$G$15,"")</f>
        <v/>
      </c>
      <c r="AK246" s="518" t="str">
        <f>IF(AND(_AC2="B-767-300",'2023'!$J$4="CA",'2023'!$J$2=AK233),'2023DATA'!$H$15,"")</f>
        <v/>
      </c>
      <c r="AL246" s="518" t="str">
        <f>IF(AND(_AC2="B-767-300",'2023'!$J$4="CA",'2023'!$J$2=AL233),'2023DATA'!$I$15,"")</f>
        <v/>
      </c>
      <c r="AM246" s="518" t="str">
        <f>IF(AND(_AC2="B-767-300",'2023'!$J$4="CA",'2023'!$J$2=AM233),'2023DATA'!$J$15,"")</f>
        <v/>
      </c>
      <c r="AN246" s="518" t="str">
        <f>IF(AND(_AC2="B-767-300",'2023'!$J$4="CA",'2023'!$J$2=AN233),'2023DATA'!$K$15,"")</f>
        <v/>
      </c>
      <c r="AO246" s="518" t="str">
        <f>IF(AND(_AC2="B-767-300",'2023'!$J$4="CA",'2023'!$J$2=AO233),'2023DATA'!$L$15,"")</f>
        <v/>
      </c>
      <c r="AP246" s="518" t="str">
        <f>IF(AND(_AC2="B-767-300",'2023'!$J$4="CA",'2023'!$J$2=AP233),'2023DATA'!$M$15,"")</f>
        <v/>
      </c>
      <c r="AQ246" s="520" t="str">
        <f>IF(AND(_AC2="B-767-300",'2023'!$J$4="CA",'2023'!$J$2=AQ233),'2023DATA'!$N$15,"")</f>
        <v/>
      </c>
      <c r="AR246" s="940" t="s">
        <v>67</v>
      </c>
      <c r="AS246" s="13" t="s">
        <v>61</v>
      </c>
      <c r="AT246" s="518" t="str">
        <f>IF(AND(_AC3="B-767-300",'2023'!$J$4="CA",'2023'!$J$2=AT233),'2023DATA'!$C$15,"")</f>
        <v/>
      </c>
      <c r="AU246" s="518" t="str">
        <f>IF(AND(_AC3="B-767-300",'2023'!$J$4="CA",'2023'!$J$2=AU233),'2023DATA'!$D$15,"")</f>
        <v/>
      </c>
      <c r="AV246" s="518" t="str">
        <f>IF(AND(_AC3="B-767-300",'2023'!$J$4="CA",'2023'!$J$2=AV233),'2023DATA'!$E$15,"")</f>
        <v/>
      </c>
      <c r="AW246" s="518" t="str">
        <f>IF(AND(_AC3="B-767-300",'2023'!$J$4="CA",'2023'!$J$2=AW233),'2023DATA'!$F$15,"")</f>
        <v/>
      </c>
      <c r="AX246" s="518" t="str">
        <f>IF(AND(_AC3="B-767-300",'2023'!$J$4="CA",'2023'!$J$2=AX233),'2023DATA'!$G$15,"")</f>
        <v/>
      </c>
      <c r="AY246" s="518" t="str">
        <f>IF(AND(_AC3="B-767-300",'2023'!$J$4="CA",'2023'!$J$2=AY233),'2023DATA'!$H$15,"")</f>
        <v/>
      </c>
      <c r="AZ246" s="518" t="str">
        <f>IF(AND(_AC3="B-767-300",'2023'!$J$4="CA",'2023'!$J$2=AZ233),'2023DATA'!$I$15,"")</f>
        <v/>
      </c>
      <c r="BA246" s="518" t="str">
        <f>IF(AND(_AC3="B-767-300",'2023'!$J$4="CA",'2023'!$J$2=BA233),'2023DATA'!$J$15,"")</f>
        <v/>
      </c>
      <c r="BB246" s="518" t="str">
        <f>IF(AND(_AC3="B-767-300",'2023'!$J$4="CA",'2023'!$J$2=BB233),'2023DATA'!$K$15,"")</f>
        <v/>
      </c>
      <c r="BC246" s="518" t="str">
        <f>IF(AND(_AC3="B-767-300",'2023'!$J$4="CA",'2023'!$J$2=BC233),'2023DATA'!$L$15,"")</f>
        <v/>
      </c>
      <c r="BD246" s="518" t="str">
        <f>IF(AND(_AC3="B-767-300",'2023'!$J$4="CA",'2023'!$J$2=BD233),'2023DATA'!$M$15,"")</f>
        <v/>
      </c>
      <c r="BE246" s="520" t="str">
        <f>IF(AND(_AC3="B-767-300",'2023'!$J$4="CA",'2023'!$J$2=BE233),'2023DATA'!$N$15,"")</f>
        <v/>
      </c>
      <c r="BF246" s="940" t="s">
        <v>67</v>
      </c>
      <c r="BG246" s="13" t="s">
        <v>61</v>
      </c>
      <c r="BH246" s="518" t="str">
        <f>IF(AND(_AC4="B-767-300",'2023'!$J$4="CA",'2023'!$J$2=BH233),'2023DATA'!$C$15,"")</f>
        <v/>
      </c>
      <c r="BI246" s="518" t="str">
        <f>IF(AND(_AC4="B-767-300",'2023'!$J$4="CA",'2023'!$J$2=BI233),'2023DATA'!$D$15,"")</f>
        <v/>
      </c>
      <c r="BJ246" s="518" t="str">
        <f>IF(AND(_AC4="B-767-300",'2023'!$J$4="CA",'2023'!$J$2=BJ233),'2023DATA'!$E$15,"")</f>
        <v/>
      </c>
      <c r="BK246" s="518" t="str">
        <f>IF(AND(_AC4="B-767-300",'2023'!$J$4="CA",'2023'!$J$2=BK233),'2023DATA'!$F$15,"")</f>
        <v/>
      </c>
      <c r="BL246" s="518" t="str">
        <f>IF(AND(_AC4="B-767-300",'2023'!$J$4="CA",'2023'!$J$2=BL233),'2023DATA'!$G$15,"")</f>
        <v/>
      </c>
      <c r="BM246" s="518" t="str">
        <f>IF(AND(_AC4="B-767-300",'2023'!$J$4="CA",'2023'!$J$2=BM233),'2023DATA'!$H$15,"")</f>
        <v/>
      </c>
      <c r="BN246" s="518" t="str">
        <f>IF(AND(_AC4="B-767-300",'2023'!$J$4="CA",'2023'!$J$2=BN233),'2023DATA'!$I$15,"")</f>
        <v/>
      </c>
      <c r="BO246" s="518" t="str">
        <f>IF(AND(_AC4="B-767-300",'2023'!$J$4="CA",'2023'!$J$2=BO233),'2023DATA'!$J$15,"")</f>
        <v/>
      </c>
      <c r="BP246" s="518" t="str">
        <f>IF(AND(_AC4="B-767-300",'2023'!$J$4="CA",'2023'!$J$2=BP233),'2023DATA'!$K$15,"")</f>
        <v/>
      </c>
      <c r="BQ246" s="518" t="str">
        <f>IF(AND(_AC4="B-767-300",'2023'!$J$4="CA",'2023'!$J$2=BQ233),'2023DATA'!$L$15,"")</f>
        <v/>
      </c>
      <c r="BR246" s="518" t="str">
        <f>IF(AND(_AC4="B-767-300",'2023'!$J$4="CA",'2023'!$J$2=BR233),'2023DATA'!$M$15,"")</f>
        <v/>
      </c>
      <c r="BS246" s="520" t="str">
        <f>IF(AND(_AC4="B-767-300",'2023'!$J$4="CA",'2023'!$J$2=BS233),'2023DATA'!$N$15,"")</f>
        <v/>
      </c>
      <c r="BT246" s="940" t="s">
        <v>67</v>
      </c>
      <c r="BU246" s="13" t="s">
        <v>61</v>
      </c>
      <c r="BV246" s="518" t="str">
        <f>IF(AND(_AC5="B-767-300",'2023'!$J$4="CA",'2023'!$J$2=BV233),'2023DATA'!$C$15,"")</f>
        <v/>
      </c>
      <c r="BW246" s="518" t="str">
        <f>IF(AND(_AC5="B-767-300",'2023'!$J$4="CA",'2023'!$J$2=BW233),'2023DATA'!$D$15,"")</f>
        <v/>
      </c>
      <c r="BX246" s="518" t="str">
        <f>IF(AND(_AC5="B-767-300",'2023'!$J$4="CA",'2023'!$J$2=BX233),'2023DATA'!$E$15,"")</f>
        <v/>
      </c>
      <c r="BY246" s="518" t="str">
        <f>IF(AND(_AC5="B-767-300",'2023'!$J$4="CA",'2023'!$J$2=BY233),'2023DATA'!$F$15,"")</f>
        <v/>
      </c>
      <c r="BZ246" s="518" t="str">
        <f>IF(AND(_AC5="B-767-300",'2023'!$J$4="CA",'2023'!$J$2=BZ233),'2023DATA'!$G$15,"")</f>
        <v/>
      </c>
      <c r="CA246" s="518" t="str">
        <f>IF(AND(_AC5="B-767-300",'2023'!$J$4="CA",'2023'!$J$2=CA233),'2023DATA'!$H$15,"")</f>
        <v/>
      </c>
      <c r="CB246" s="518" t="str">
        <f>IF(AND(_AC5="B-767-300",'2023'!$J$4="CA",'2023'!$J$2=CB233),'2023DATA'!$I$15,"")</f>
        <v/>
      </c>
      <c r="CC246" s="518" t="str">
        <f>IF(AND(_AC5="B-767-300",'2023'!$J$4="CA",'2023'!$J$2=CC233),'2023DATA'!$J$15,"")</f>
        <v/>
      </c>
      <c r="CD246" s="518" t="str">
        <f>IF(AND(_AC5="B-767-300",'2023'!$J$4="CA",'2023'!$J$2=CD233),'2023DATA'!$K$15,"")</f>
        <v/>
      </c>
      <c r="CE246" s="518" t="str">
        <f>IF(AND(_AC5="B-767-300",'2023'!$J$4="CA",'2023'!$J$2=CE233),'2023DATA'!$L$15,"")</f>
        <v/>
      </c>
      <c r="CF246" s="518" t="str">
        <f>IF(AND(_AC5="B-767-300",'2023'!$J$4="CA",'2023'!$J$2=CF233),'2023DATA'!$M$15,"")</f>
        <v/>
      </c>
      <c r="CG246" s="520" t="str">
        <f>IF(AND(_AC5="B-767-300",'2023'!$J$4="CA",'2023'!$J$2=CG233),'2023DATA'!$N$15,"")</f>
        <v/>
      </c>
      <c r="CH246" s="940" t="s">
        <v>67</v>
      </c>
      <c r="CI246" s="13" t="s">
        <v>61</v>
      </c>
      <c r="CJ246" s="518" t="str">
        <f>IF(AND(_AC6="B-767-300",'2023'!$J$4="CA",'2023'!$J$2=CJ233),'2023DATA'!$C$15,"")</f>
        <v/>
      </c>
      <c r="CK246" s="518" t="str">
        <f>IF(AND(_AC6="B-767-300",'2023'!$J$4="CA",'2023'!$J$2=CK233),'2023DATA'!$D$15,"")</f>
        <v/>
      </c>
      <c r="CL246" s="518" t="str">
        <f>IF(AND(_AC6="B-767-300",'2023'!$J$4="CA",'2023'!$J$2=CL233),'2023DATA'!$E$15,"")</f>
        <v/>
      </c>
      <c r="CM246" s="518" t="str">
        <f>IF(AND(_AC6="B-767-300",'2023'!$J$4="CA",'2023'!$J$2=CM233),'2023DATA'!$F$15,"")</f>
        <v/>
      </c>
      <c r="CN246" s="518" t="str">
        <f>IF(AND(_AC6="B-767-300",'2023'!$J$4="CA",'2023'!$J$2=CN233),'2023DATA'!$G$15,"")</f>
        <v/>
      </c>
      <c r="CO246" s="518" t="str">
        <f>IF(AND(_AC6="B-767-300",'2023'!$J$4="CA",'2023'!$J$2=CO233),'2023DATA'!$H$15,"")</f>
        <v/>
      </c>
      <c r="CP246" s="518" t="str">
        <f>IF(AND(_AC6="B-767-300",'2023'!$J$4="CA",'2023'!$J$2=CP233),'2023DATA'!$I$15,"")</f>
        <v/>
      </c>
      <c r="CQ246" s="518" t="str">
        <f>IF(AND(_AC6="B-767-300",'2023'!$J$4="CA",'2023'!$J$2=CQ233),'2023DATA'!$J$15,"")</f>
        <v/>
      </c>
      <c r="CR246" s="518" t="str">
        <f>IF(AND(_AC6="B-767-300",'2023'!$J$4="CA",'2023'!$J$2=CR233),'2023DATA'!$K$15,"")</f>
        <v/>
      </c>
      <c r="CS246" s="518" t="str">
        <f>IF(AND(_AC6="B-767-300",'2023'!$J$4="CA",'2023'!$J$2=CS233),'2023DATA'!$L$15,"")</f>
        <v/>
      </c>
      <c r="CT246" s="518" t="str">
        <f>IF(AND(_AC6="B-767-300",'2023'!$J$4="CA",'2023'!$J$2=CT233),'2023DATA'!$M$15,"")</f>
        <v/>
      </c>
      <c r="CU246" s="520" t="str">
        <f>IF(AND(_AC6="B-767-300",'2023'!$J$4="CA",'2023'!$J$2=CU233),'2023DATA'!$N$15,"")</f>
        <v/>
      </c>
    </row>
    <row r="247" spans="16:99" x14ac:dyDescent="0.25">
      <c r="P247" s="940"/>
      <c r="Q247" s="13" t="s">
        <v>62</v>
      </c>
      <c r="R247" s="518" t="str">
        <f>IF(AND(_AC1="B-767-300",'2023'!$J$4="FO",'2023'!$J$2=R233),'2023DATA'!$C$16,"")</f>
        <v/>
      </c>
      <c r="S247" s="518" t="str">
        <f>IF(AND(_AC1="B-767-300",'2023'!$J$4="FO",'2023'!$J$2=S233),'2023DATA'!$D$16,"")</f>
        <v/>
      </c>
      <c r="T247" s="518" t="str">
        <f>IF(AND(_AC1="B-767-300",'2023'!$J$4="FO",'2023'!$J$2=T233),'2023DATA'!$E$16,"")</f>
        <v/>
      </c>
      <c r="U247" s="518" t="str">
        <f>IF(AND(_AC1="B-767-300",'2023'!$J$4="FO",'2023'!$J$2=U233),'2023DATA'!$F$16,"")</f>
        <v/>
      </c>
      <c r="V247" s="518" t="str">
        <f>IF(AND(_AC1="B-767-300",'2023'!$J$4="FO",'2023'!$J$2=V233),'2023DATA'!$G$16,"")</f>
        <v/>
      </c>
      <c r="W247" s="518" t="str">
        <f>IF(AND(_AC1="B-767-300",'2023'!$J$4="FO",'2023'!$J$2=W233),'2023DATA'!$H$16,"")</f>
        <v/>
      </c>
      <c r="X247" s="518" t="str">
        <f>IF(AND(_AC1="B-767-300",'2023'!$J$4="FO",'2023'!$J$2=X233),'2023DATA'!$I$16,"")</f>
        <v/>
      </c>
      <c r="Y247" s="518" t="str">
        <f>IF(AND(_AC1="B-767-300",'2023'!$J$4="FO",'2023'!$J$2=Y233),'2023DATA'!$J$16,"")</f>
        <v/>
      </c>
      <c r="Z247" s="518" t="str">
        <f>IF(AND(_AC1="B-767-300",'2023'!$J$4="FO",'2023'!$J$2=Z233),'2023DATA'!$K$16,"")</f>
        <v/>
      </c>
      <c r="AA247" s="518" t="str">
        <f>IF(AND(_AC1="B-767-300",'2023'!$J$4="FO",'2023'!$J$2=AA233),'2023DATA'!$L$16,"")</f>
        <v/>
      </c>
      <c r="AB247" s="518" t="str">
        <f>IF(AND(_AC1="B-767-300",'2023'!$J$4="FO",'2023'!$J$2=AB233),'2023DATA'!$M$16,"")</f>
        <v/>
      </c>
      <c r="AC247" s="520" t="str">
        <f>IF(AND(_AC1="B-767-300",'2023'!$J$4="FO",'2023'!$J$2=AC233),'2023DATA'!$N$16,"")</f>
        <v/>
      </c>
      <c r="AD247" s="940"/>
      <c r="AE247" s="13" t="s">
        <v>62</v>
      </c>
      <c r="AF247" s="518" t="str">
        <f>IF(AND(_AC2="B-767-300",'2023'!$J$4="FO",'2023'!$J$2=AF233),'2023DATA'!$C$16,"")</f>
        <v/>
      </c>
      <c r="AG247" s="518" t="str">
        <f>IF(AND(_AC2="B-767-300",'2023'!$J$4="FO",'2023'!$J$2=AG233),'2023DATA'!$D$16,"")</f>
        <v/>
      </c>
      <c r="AH247" s="518" t="str">
        <f>IF(AND(_AC2="B-767-300",'2023'!$J$4="FO",'2023'!$J$2=AH233),'2023DATA'!$E$16,"")</f>
        <v/>
      </c>
      <c r="AI247" s="518" t="str">
        <f>IF(AND(_AC2="B-767-300",'2023'!$J$4="FO",'2023'!$J$2=AI233),'2023DATA'!$F$16,"")</f>
        <v/>
      </c>
      <c r="AJ247" s="518" t="str">
        <f>IF(AND(_AC2="B-767-300",'2023'!$J$4="FO",'2023'!$J$2=AJ233),'2023DATA'!$G$16,"")</f>
        <v/>
      </c>
      <c r="AK247" s="518" t="str">
        <f>IF(AND(_AC2="B-767-300",'2023'!$J$4="FO",'2023'!$J$2=AK233),'2023DATA'!$H$16,"")</f>
        <v/>
      </c>
      <c r="AL247" s="518" t="str">
        <f>IF(AND(_AC2="B-767-300",'2023'!$J$4="FO",'2023'!$J$2=AL233),'2023DATA'!$I$16,"")</f>
        <v/>
      </c>
      <c r="AM247" s="518" t="str">
        <f>IF(AND(_AC2="B-767-300",'2023'!$J$4="FO",'2023'!$J$2=AM233),'2023DATA'!$J$16,"")</f>
        <v/>
      </c>
      <c r="AN247" s="518" t="str">
        <f>IF(AND(_AC2="B-767-300",'2023'!$J$4="FO",'2023'!$J$2=AN233),'2023DATA'!$K$16,"")</f>
        <v/>
      </c>
      <c r="AO247" s="518" t="str">
        <f>IF(AND(_AC2="B-767-300",'2023'!$J$4="FO",'2023'!$J$2=AO233),'2023DATA'!$L$16,"")</f>
        <v/>
      </c>
      <c r="AP247" s="518" t="str">
        <f>IF(AND(_AC2="B-767-300",'2023'!$J$4="FO",'2023'!$J$2=AP233),'2023DATA'!$M$16,"")</f>
        <v/>
      </c>
      <c r="AQ247" s="520" t="str">
        <f>IF(AND(_AC2="B-767-300",'2023'!$J$4="FO",'2023'!$J$2=AQ233),'2023DATA'!$N$16,"")</f>
        <v/>
      </c>
      <c r="AR247" s="940"/>
      <c r="AS247" s="13" t="s">
        <v>62</v>
      </c>
      <c r="AT247" s="518" t="str">
        <f>IF(AND(_AC3="B-767-300",'2023'!$J$4="FO",'2023'!$J$2=AT233),'2023DATA'!$C$16,"")</f>
        <v/>
      </c>
      <c r="AU247" s="518" t="str">
        <f>IF(AND(_AC3="B-767-300",'2023'!$J$4="FO",'2023'!$J$2=AU233),'2023DATA'!$D$16,"")</f>
        <v/>
      </c>
      <c r="AV247" s="518" t="str">
        <f>IF(AND(_AC3="B-767-300",'2023'!$J$4="FO",'2023'!$J$2=AV233),'2023DATA'!$E$16,"")</f>
        <v/>
      </c>
      <c r="AW247" s="518" t="str">
        <f>IF(AND(_AC3="B-767-300",'2023'!$J$4="FO",'2023'!$J$2=AW233),'2023DATA'!$F$16,"")</f>
        <v/>
      </c>
      <c r="AX247" s="518" t="str">
        <f>IF(AND(_AC3="B-767-300",'2023'!$J$4="FO",'2023'!$J$2=AX233),'2023DATA'!$G$16,"")</f>
        <v/>
      </c>
      <c r="AY247" s="518" t="str">
        <f>IF(AND(_AC3="B-767-300",'2023'!$J$4="FO",'2023'!$J$2=AY233),'2023DATA'!$H$16,"")</f>
        <v/>
      </c>
      <c r="AZ247" s="518" t="str">
        <f>IF(AND(_AC3="B-767-300",'2023'!$J$4="FO",'2023'!$J$2=AZ233),'2023DATA'!$I$16,"")</f>
        <v/>
      </c>
      <c r="BA247" s="518" t="str">
        <f>IF(AND(_AC3="B-767-300",'2023'!$J$4="FO",'2023'!$J$2=BA233),'2023DATA'!$J$16,"")</f>
        <v/>
      </c>
      <c r="BB247" s="518" t="str">
        <f>IF(AND(_AC3="B-767-300",'2023'!$J$4="FO",'2023'!$J$2=BB233),'2023DATA'!$K$16,"")</f>
        <v/>
      </c>
      <c r="BC247" s="518" t="str">
        <f>IF(AND(_AC3="B-767-300",'2023'!$J$4="FO",'2023'!$J$2=BC233),'2023DATA'!$L$16,"")</f>
        <v/>
      </c>
      <c r="BD247" s="518" t="str">
        <f>IF(AND(_AC3="B-767-300",'2023'!$J$4="FO",'2023'!$J$2=BD233),'2023DATA'!$M$16,"")</f>
        <v/>
      </c>
      <c r="BE247" s="520" t="str">
        <f>IF(AND(_AC3="B-767-300",'2023'!$J$4="FO",'2023'!$J$2=BE233),'2023DATA'!$N$16,"")</f>
        <v/>
      </c>
      <c r="BF247" s="940"/>
      <c r="BG247" s="13" t="s">
        <v>62</v>
      </c>
      <c r="BH247" s="518" t="str">
        <f>IF(AND(_AC4="B-767-300",'2023'!$J$4="FO",'2023'!$J$2=BH233),'2023DATA'!$C$16,"")</f>
        <v/>
      </c>
      <c r="BI247" s="518" t="str">
        <f>IF(AND(_AC4="B-767-300",'2023'!$J$4="FO",'2023'!$J$2=BI233),'2023DATA'!$D$16,"")</f>
        <v/>
      </c>
      <c r="BJ247" s="518" t="str">
        <f>IF(AND(_AC4="B-767-300",'2023'!$J$4="FO",'2023'!$J$2=BJ233),'2023DATA'!$E$16,"")</f>
        <v/>
      </c>
      <c r="BK247" s="518" t="str">
        <f>IF(AND(_AC4="B-767-300",'2023'!$J$4="FO",'2023'!$J$2=BK233),'2023DATA'!$F$16,"")</f>
        <v/>
      </c>
      <c r="BL247" s="518" t="str">
        <f>IF(AND(_AC4="B-767-300",'2023'!$J$4="FO",'2023'!$J$2=BL233),'2023DATA'!$G$16,"")</f>
        <v/>
      </c>
      <c r="BM247" s="518" t="str">
        <f>IF(AND(_AC4="B-767-300",'2023'!$J$4="FO",'2023'!$J$2=BM233),'2023DATA'!$H$16,"")</f>
        <v/>
      </c>
      <c r="BN247" s="518" t="str">
        <f>IF(AND(_AC4="B-767-300",'2023'!$J$4="FO",'2023'!$J$2=BN233),'2023DATA'!$I$16,"")</f>
        <v/>
      </c>
      <c r="BO247" s="518" t="str">
        <f>IF(AND(_AC4="B-767-300",'2023'!$J$4="FO",'2023'!$J$2=BO233),'2023DATA'!$J$16,"")</f>
        <v/>
      </c>
      <c r="BP247" s="518" t="str">
        <f>IF(AND(_AC4="B-767-300",'2023'!$J$4="FO",'2023'!$J$2=BP233),'2023DATA'!$K$16,"")</f>
        <v/>
      </c>
      <c r="BQ247" s="518" t="str">
        <f>IF(AND(_AC4="B-767-300",'2023'!$J$4="FO",'2023'!$J$2=BQ233),'2023DATA'!$L$16,"")</f>
        <v/>
      </c>
      <c r="BR247" s="518" t="str">
        <f>IF(AND(_AC4="B-767-300",'2023'!$J$4="FO",'2023'!$J$2=BR233),'2023DATA'!$M$16,"")</f>
        <v/>
      </c>
      <c r="BS247" s="520" t="str">
        <f>IF(AND(_AC4="B-767-300",'2023'!$J$4="FO",'2023'!$J$2=BS233),'2023DATA'!$N$16,"")</f>
        <v/>
      </c>
      <c r="BT247" s="940"/>
      <c r="BU247" s="13" t="s">
        <v>62</v>
      </c>
      <c r="BV247" s="518" t="str">
        <f>IF(AND(_AC5="B-767-300",'2023'!$J$4="FO",'2023'!$J$2=BV233),'2023DATA'!$C$16,"")</f>
        <v/>
      </c>
      <c r="BW247" s="518" t="str">
        <f>IF(AND(_AC5="B-767-300",'2023'!$J$4="FO",'2023'!$J$2=BW233),'2023DATA'!$D$16,"")</f>
        <v/>
      </c>
      <c r="BX247" s="518" t="str">
        <f>IF(AND(_AC5="B-767-300",'2023'!$J$4="FO",'2023'!$J$2=BX233),'2023DATA'!$E$16,"")</f>
        <v/>
      </c>
      <c r="BY247" s="518" t="str">
        <f>IF(AND(_AC5="B-767-300",'2023'!$J$4="FO",'2023'!$J$2=BY233),'2023DATA'!$F$16,"")</f>
        <v/>
      </c>
      <c r="BZ247" s="518" t="str">
        <f>IF(AND(_AC5="B-767-300",'2023'!$J$4="FO",'2023'!$J$2=BZ233),'2023DATA'!$G$16,"")</f>
        <v/>
      </c>
      <c r="CA247" s="518" t="str">
        <f>IF(AND(_AC5="B-767-300",'2023'!$J$4="FO",'2023'!$J$2=CA233),'2023DATA'!$H$16,"")</f>
        <v/>
      </c>
      <c r="CB247" s="518" t="str">
        <f>IF(AND(_AC5="B-767-300",'2023'!$J$4="FO",'2023'!$J$2=CB233),'2023DATA'!$I$16,"")</f>
        <v/>
      </c>
      <c r="CC247" s="518" t="str">
        <f>IF(AND(_AC5="B-767-300",'2023'!$J$4="FO",'2023'!$J$2=CC233),'2023DATA'!$J$16,"")</f>
        <v/>
      </c>
      <c r="CD247" s="518" t="str">
        <f>IF(AND(_AC5="B-767-300",'2023'!$J$4="FO",'2023'!$J$2=CD233),'2023DATA'!$K$16,"")</f>
        <v/>
      </c>
      <c r="CE247" s="518" t="str">
        <f>IF(AND(_AC5="B-767-300",'2023'!$J$4="FO",'2023'!$J$2=CE233),'2023DATA'!$L$16,"")</f>
        <v/>
      </c>
      <c r="CF247" s="518" t="str">
        <f>IF(AND(_AC5="B-767-300",'2023'!$J$4="FO",'2023'!$J$2=CF233),'2023DATA'!$M$16,"")</f>
        <v/>
      </c>
      <c r="CG247" s="520" t="str">
        <f>IF(AND(_AC5="B-767-300",'2023'!$J$4="FO",'2023'!$J$2=CG233),'2023DATA'!$N$16,"")</f>
        <v/>
      </c>
      <c r="CH247" s="940"/>
      <c r="CI247" s="13" t="s">
        <v>62</v>
      </c>
      <c r="CJ247" s="518" t="str">
        <f>IF(AND(_AC6="B-767-300",'2023'!$J$4="FO",'2023'!$J$2=CJ233),'2023DATA'!$C$16,"")</f>
        <v/>
      </c>
      <c r="CK247" s="518" t="str">
        <f>IF(AND(_AC6="B-767-300",'2023'!$J$4="FO",'2023'!$J$2=CK233),'2023DATA'!$D$16,"")</f>
        <v/>
      </c>
      <c r="CL247" s="518" t="str">
        <f>IF(AND(_AC6="B-767-300",'2023'!$J$4="FO",'2023'!$J$2=CL233),'2023DATA'!$E$16,"")</f>
        <v/>
      </c>
      <c r="CM247" s="518" t="str">
        <f>IF(AND(_AC6="B-767-300",'2023'!$J$4="FO",'2023'!$J$2=CM233),'2023DATA'!$F$16,"")</f>
        <v/>
      </c>
      <c r="CN247" s="518" t="str">
        <f>IF(AND(_AC6="B-767-300",'2023'!$J$4="FO",'2023'!$J$2=CN233),'2023DATA'!$G$16,"")</f>
        <v/>
      </c>
      <c r="CO247" s="518" t="str">
        <f>IF(AND(_AC6="B-767-300",'2023'!$J$4="FO",'2023'!$J$2=CO233),'2023DATA'!$H$16,"")</f>
        <v/>
      </c>
      <c r="CP247" s="518" t="str">
        <f>IF(AND(_AC6="B-767-300",'2023'!$J$4="FO",'2023'!$J$2=CP233),'2023DATA'!$I$16,"")</f>
        <v/>
      </c>
      <c r="CQ247" s="518" t="str">
        <f>IF(AND(_AC6="B-767-300",'2023'!$J$4="FO",'2023'!$J$2=CQ233),'2023DATA'!$J$16,"")</f>
        <v/>
      </c>
      <c r="CR247" s="518" t="str">
        <f>IF(AND(_AC6="B-767-300",'2023'!$J$4="FO",'2023'!$J$2=CR233),'2023DATA'!$K$16,"")</f>
        <v/>
      </c>
      <c r="CS247" s="518" t="str">
        <f>IF(AND(_AC6="B-767-300",'2023'!$J$4="FO",'2023'!$J$2=CS233),'2023DATA'!$L$16,"")</f>
        <v/>
      </c>
      <c r="CT247" s="518" t="str">
        <f>IF(AND(_AC6="B-767-300",'2023'!$J$4="FO",'2023'!$J$2=CT233),'2023DATA'!$M$16,"")</f>
        <v/>
      </c>
      <c r="CU247" s="520" t="str">
        <f>IF(AND(_AC6="B-767-300",'2023'!$J$4="FO",'2023'!$J$2=CU233),'2023DATA'!$N$16,"")</f>
        <v/>
      </c>
    </row>
    <row r="248" spans="16:99" x14ac:dyDescent="0.25">
      <c r="P248" s="940" t="s">
        <v>68</v>
      </c>
      <c r="Q248" s="13" t="s">
        <v>61</v>
      </c>
      <c r="R248" s="518" t="str">
        <f>IF(AND(_AC1="B-767-200",'2023'!$J$4="CA",'2023'!$J$2=R233),'2023DATA'!$C$17,"")</f>
        <v/>
      </c>
      <c r="S248" s="518" t="str">
        <f>IF(AND(_AC1="B-767-200",'2023'!$J$4="CA",'2023'!$J$2=S233),'2023DATA'!$D$17,"")</f>
        <v/>
      </c>
      <c r="T248" s="518" t="str">
        <f>IF(AND(_AC1="B-767-200",'2023'!$J$4="CA",'2023'!$J$2=T233),'2023DATA'!$E$17,"")</f>
        <v/>
      </c>
      <c r="U248" s="518" t="str">
        <f>IF(AND(_AC1="B-767-200",'2023'!$J$4="CA",'2023'!$J$2=U233),'2023DATA'!$F$17,"")</f>
        <v/>
      </c>
      <c r="V248" s="518" t="str">
        <f>IF(AND(_AC1="B-767-200",'2023'!$J$4="CA",'2023'!$J$2=V233),'2023DATA'!$G$17,"")</f>
        <v/>
      </c>
      <c r="W248" s="518" t="str">
        <f>IF(AND(_AC1="B-767-200",'2023'!$J$4="CA",'2023'!$J$2=W233),'2023DATA'!$H$17,"")</f>
        <v/>
      </c>
      <c r="X248" s="518" t="str">
        <f>IF(AND(_AC1="B-767-200",'2023'!$J$4="CA",'2023'!$J$2=X233),'2023DATA'!$I$17,"")</f>
        <v/>
      </c>
      <c r="Y248" s="518" t="str">
        <f>IF(AND(_AC1="B-767-200",'2023'!$J$4="CA",'2023'!$J$2=Y233),'2023DATA'!$J$17,"")</f>
        <v/>
      </c>
      <c r="Z248" s="518" t="str">
        <f>IF(AND(_AC1="B-767-200",'2023'!$J$4="CA",'2023'!$J$2=Z233),'2023DATA'!$K$17,"")</f>
        <v/>
      </c>
      <c r="AA248" s="518" t="str">
        <f>IF(AND(_AC1="B-767-200",'2023'!$J$4="CA",'2023'!$J$2=AA233),'2023DATA'!$L$17,"")</f>
        <v/>
      </c>
      <c r="AB248" s="518" t="str">
        <f>IF(AND(_AC1="B-767-200",'2023'!$J$4="CA",'2023'!$J$2=AB233),'2023DATA'!$M$17,"")</f>
        <v/>
      </c>
      <c r="AC248" s="520" t="str">
        <f>IF(AND(_AC1="B-767-200",'2023'!$J$4="CA",'2023'!$J$2=AC233),'2023DATA'!$N$17,"")</f>
        <v/>
      </c>
      <c r="AD248" s="940" t="s">
        <v>68</v>
      </c>
      <c r="AE248" s="13" t="s">
        <v>61</v>
      </c>
      <c r="AF248" s="518" t="str">
        <f>IF(AND(_AC2="B-767-200",'2023'!$J$4="CA",'2023'!$J$2=AF233),'2023DATA'!$C$17,"")</f>
        <v/>
      </c>
      <c r="AG248" s="518" t="str">
        <f>IF(AND(_AC2="B-767-200",'2023'!$J$4="CA",'2023'!$J$2=AG233),'2023DATA'!$D$17,"")</f>
        <v/>
      </c>
      <c r="AH248" s="518" t="str">
        <f>IF(AND(_AC2="B-767-200",'2023'!$J$4="CA",'2023'!$J$2=AH233),'2023DATA'!$E$17,"")</f>
        <v/>
      </c>
      <c r="AI248" s="518" t="str">
        <f>IF(AND(_AC2="B-767-200",'2023'!$J$4="CA",'2023'!$J$2=AI233),'2023DATA'!$F$17,"")</f>
        <v/>
      </c>
      <c r="AJ248" s="518" t="str">
        <f>IF(AND(_AC2="B-767-200",'2023'!$J$4="CA",'2023'!$J$2=AJ233),'2023DATA'!$G$17,"")</f>
        <v/>
      </c>
      <c r="AK248" s="518" t="str">
        <f>IF(AND(_AC2="B-767-200",'2023'!$J$4="CA",'2023'!$J$2=AK233),'2023DATA'!$H$17,"")</f>
        <v/>
      </c>
      <c r="AL248" s="518" t="str">
        <f>IF(AND(_AC2="B-767-200",'2023'!$J$4="CA",'2023'!$J$2=AL233),'2023DATA'!$I$17,"")</f>
        <v/>
      </c>
      <c r="AM248" s="518" t="str">
        <f>IF(AND(_AC2="B-767-200",'2023'!$J$4="CA",'2023'!$J$2=AM233),'2023DATA'!$J$17,"")</f>
        <v/>
      </c>
      <c r="AN248" s="518" t="str">
        <f>IF(AND(_AC2="B-767-200",'2023'!$J$4="CA",'2023'!$J$2=AN233),'2023DATA'!$K$17,"")</f>
        <v/>
      </c>
      <c r="AO248" s="518" t="str">
        <f>IF(AND(_AC2="B-767-200",'2023'!$J$4="CA",'2023'!$J$2=AO233),'2023DATA'!$L$17,"")</f>
        <v/>
      </c>
      <c r="AP248" s="518" t="str">
        <f>IF(AND(_AC2="B-767-200",'2023'!$J$4="CA",'2023'!$J$2=AP233),'2023DATA'!$M$17,"")</f>
        <v/>
      </c>
      <c r="AQ248" s="520" t="str">
        <f>IF(AND(_AC2="B-767-200",'2023'!$J$4="CA",'2023'!$J$2=AQ233),'2023DATA'!$N$17,"")</f>
        <v/>
      </c>
      <c r="AR248" s="940" t="s">
        <v>68</v>
      </c>
      <c r="AS248" s="13" t="s">
        <v>61</v>
      </c>
      <c r="AT248" s="518" t="str">
        <f>IF(AND(_AC3="B-767-200",'2023'!$J$4="CA",'2023'!$J$2=AT233),'2023DATA'!$C$17,"")</f>
        <v/>
      </c>
      <c r="AU248" s="518" t="str">
        <f>IF(AND(_AC3="B-767-200",'2023'!$J$4="CA",'2023'!$J$2=AU233),'2023DATA'!$D$17,"")</f>
        <v/>
      </c>
      <c r="AV248" s="518" t="str">
        <f>IF(AND(_AC3="B-767-200",'2023'!$J$4="CA",'2023'!$J$2=AV233),'2023DATA'!$E$17,"")</f>
        <v/>
      </c>
      <c r="AW248" s="518" t="str">
        <f>IF(AND(_AC3="B-767-200",'2023'!$J$4="CA",'2023'!$J$2=AW233),'2023DATA'!$F$17,"")</f>
        <v/>
      </c>
      <c r="AX248" s="518" t="str">
        <f>IF(AND(_AC3="B-767-200",'2023'!$J$4="CA",'2023'!$J$2=AX233),'2023DATA'!$G$17,"")</f>
        <v/>
      </c>
      <c r="AY248" s="518" t="str">
        <f>IF(AND(_AC3="B-767-200",'2023'!$J$4="CA",'2023'!$J$2=AY233),'2023DATA'!$H$17,"")</f>
        <v/>
      </c>
      <c r="AZ248" s="518" t="str">
        <f>IF(AND(_AC3="B-767-200",'2023'!$J$4="CA",'2023'!$J$2=AZ233),'2023DATA'!$I$17,"")</f>
        <v/>
      </c>
      <c r="BA248" s="518" t="str">
        <f>IF(AND(_AC3="B-767-200",'2023'!$J$4="CA",'2023'!$J$2=BA233),'2023DATA'!$J$17,"")</f>
        <v/>
      </c>
      <c r="BB248" s="518" t="str">
        <f>IF(AND(_AC3="B-767-200",'2023'!$J$4="CA",'2023'!$J$2=BB233),'2023DATA'!$K$17,"")</f>
        <v/>
      </c>
      <c r="BC248" s="518" t="str">
        <f>IF(AND(_AC3="B-767-200",'2023'!$J$4="CA",'2023'!$J$2=BC233),'2023DATA'!$L$17,"")</f>
        <v/>
      </c>
      <c r="BD248" s="518" t="str">
        <f>IF(AND(_AC3="B-767-200",'2023'!$J$4="CA",'2023'!$J$2=BD233),'2023DATA'!$M$17,"")</f>
        <v/>
      </c>
      <c r="BE248" s="520" t="str">
        <f>IF(AND(_AC3="B-767-200",'2023'!$J$4="CA",'2023'!$J$2=BE233),'2023DATA'!$N$17,"")</f>
        <v/>
      </c>
      <c r="BF248" s="940" t="s">
        <v>68</v>
      </c>
      <c r="BG248" s="13" t="s">
        <v>61</v>
      </c>
      <c r="BH248" s="518" t="str">
        <f>IF(AND(_AC4="B-767-200",'2023'!$J$4="CA",'2023'!$J$2=BH233),'2023DATA'!$C$17,"")</f>
        <v/>
      </c>
      <c r="BI248" s="518" t="str">
        <f>IF(AND(_AC4="B-767-200",'2023'!$J$4="CA",'2023'!$J$2=BI233),'2023DATA'!$D$17,"")</f>
        <v/>
      </c>
      <c r="BJ248" s="518" t="str">
        <f>IF(AND(_AC4="B-767-200",'2023'!$J$4="CA",'2023'!$J$2=BJ233),'2023DATA'!$E$17,"")</f>
        <v/>
      </c>
      <c r="BK248" s="518" t="str">
        <f>IF(AND(_AC4="B-767-200",'2023'!$J$4="CA",'2023'!$J$2=BK233),'2023DATA'!$F$17,"")</f>
        <v/>
      </c>
      <c r="BL248" s="518" t="str">
        <f>IF(AND(_AC4="B-767-200",'2023'!$J$4="CA",'2023'!$J$2=BL233),'2023DATA'!$G$17,"")</f>
        <v/>
      </c>
      <c r="BM248" s="518" t="str">
        <f>IF(AND(_AC4="B-767-200",'2023'!$J$4="CA",'2023'!$J$2=BM233),'2023DATA'!$H$17,"")</f>
        <v/>
      </c>
      <c r="BN248" s="518" t="str">
        <f>IF(AND(_AC4="B-767-200",'2023'!$J$4="CA",'2023'!$J$2=BN233),'2023DATA'!$I$17,"")</f>
        <v/>
      </c>
      <c r="BO248" s="518" t="str">
        <f>IF(AND(_AC4="B-767-200",'2023'!$J$4="CA",'2023'!$J$2=BO233),'2023DATA'!$J$17,"")</f>
        <v/>
      </c>
      <c r="BP248" s="518" t="str">
        <f>IF(AND(_AC4="B-767-200",'2023'!$J$4="CA",'2023'!$J$2=BP233),'2023DATA'!$K$17,"")</f>
        <v/>
      </c>
      <c r="BQ248" s="518" t="str">
        <f>IF(AND(_AC4="B-767-200",'2023'!$J$4="CA",'2023'!$J$2=BQ233),'2023DATA'!$L$17,"")</f>
        <v/>
      </c>
      <c r="BR248" s="518" t="str">
        <f>IF(AND(_AC4="B-767-200",'2023'!$J$4="CA",'2023'!$J$2=BR233),'2023DATA'!$M$17,"")</f>
        <v/>
      </c>
      <c r="BS248" s="520" t="str">
        <f>IF(AND(_AC4="B-767-200",'2023'!$J$4="CA",'2023'!$J$2=BS233),'2023DATA'!$N$17,"")</f>
        <v/>
      </c>
      <c r="BT248" s="940" t="s">
        <v>68</v>
      </c>
      <c r="BU248" s="13" t="s">
        <v>61</v>
      </c>
      <c r="BV248" s="518" t="str">
        <f>IF(AND(_AC5="B-767-200",'2023'!$J$4="CA",'2023'!$J$2=BV233),'2023DATA'!$C$17,"")</f>
        <v/>
      </c>
      <c r="BW248" s="518" t="str">
        <f>IF(AND(_AC5="B-767-200",'2023'!$J$4="CA",'2023'!$J$2=BW233),'2023DATA'!$D$17,"")</f>
        <v/>
      </c>
      <c r="BX248" s="518" t="str">
        <f>IF(AND(_AC5="B-767-200",'2023'!$J$4="CA",'2023'!$J$2=BX233),'2023DATA'!$E$17,"")</f>
        <v/>
      </c>
      <c r="BY248" s="518" t="str">
        <f>IF(AND(_AC5="B-767-200",'2023'!$J$4="CA",'2023'!$J$2=BY233),'2023DATA'!$F$17,"")</f>
        <v/>
      </c>
      <c r="BZ248" s="518" t="str">
        <f>IF(AND(_AC5="B-767-200",'2023'!$J$4="CA",'2023'!$J$2=BZ233),'2023DATA'!$G$17,"")</f>
        <v/>
      </c>
      <c r="CA248" s="518" t="str">
        <f>IF(AND(_AC5="B-767-200",'2023'!$J$4="CA",'2023'!$J$2=CA233),'2023DATA'!$H$17,"")</f>
        <v/>
      </c>
      <c r="CB248" s="518" t="str">
        <f>IF(AND(_AC5="B-767-200",'2023'!$J$4="CA",'2023'!$J$2=CB233),'2023DATA'!$I$17,"")</f>
        <v/>
      </c>
      <c r="CC248" s="518" t="str">
        <f>IF(AND(_AC5="B-767-200",'2023'!$J$4="CA",'2023'!$J$2=CC233),'2023DATA'!$J$17,"")</f>
        <v/>
      </c>
      <c r="CD248" s="518" t="str">
        <f>IF(AND(_AC5="B-767-200",'2023'!$J$4="CA",'2023'!$J$2=CD233),'2023DATA'!$K$17,"")</f>
        <v/>
      </c>
      <c r="CE248" s="518" t="str">
        <f>IF(AND(_AC5="B-767-200",'2023'!$J$4="CA",'2023'!$J$2=CE233),'2023DATA'!$L$17,"")</f>
        <v/>
      </c>
      <c r="CF248" s="518" t="str">
        <f>IF(AND(_AC5="B-767-200",'2023'!$J$4="CA",'2023'!$J$2=CF233),'2023DATA'!$M$17,"")</f>
        <v/>
      </c>
      <c r="CG248" s="520" t="str">
        <f>IF(AND(_AC5="B-767-200",'2023'!$J$4="CA",'2023'!$J$2=CG233),'2023DATA'!$N$17,"")</f>
        <v/>
      </c>
      <c r="CH248" s="940" t="s">
        <v>68</v>
      </c>
      <c r="CI248" s="13" t="s">
        <v>61</v>
      </c>
      <c r="CJ248" s="518" t="str">
        <f>IF(AND(_AC6="B-767-200",'2023'!$J$4="CA",'2023'!$J$2=CJ233),'2023DATA'!$C$17,"")</f>
        <v/>
      </c>
      <c r="CK248" s="518" t="str">
        <f>IF(AND(_AC6="B-767-200",'2023'!$J$4="CA",'2023'!$J$2=CK233),'2023DATA'!$D$17,"")</f>
        <v/>
      </c>
      <c r="CL248" s="518" t="str">
        <f>IF(AND(_AC6="B-767-200",'2023'!$J$4="CA",'2023'!$J$2=CL233),'2023DATA'!$E$17,"")</f>
        <v/>
      </c>
      <c r="CM248" s="518" t="str">
        <f>IF(AND(_AC6="B-767-200",'2023'!$J$4="CA",'2023'!$J$2=CM233),'2023DATA'!$F$17,"")</f>
        <v/>
      </c>
      <c r="CN248" s="518" t="str">
        <f>IF(AND(_AC6="B-767-200",'2023'!$J$4="CA",'2023'!$J$2=CN233),'2023DATA'!$G$17,"")</f>
        <v/>
      </c>
      <c r="CO248" s="518" t="str">
        <f>IF(AND(_AC6="B-767-200",'2023'!$J$4="CA",'2023'!$J$2=CO233),'2023DATA'!$H$17,"")</f>
        <v/>
      </c>
      <c r="CP248" s="518" t="str">
        <f>IF(AND(_AC6="B-767-200",'2023'!$J$4="CA",'2023'!$J$2=CP233),'2023DATA'!$I$17,"")</f>
        <v/>
      </c>
      <c r="CQ248" s="518" t="str">
        <f>IF(AND(_AC6="B-767-200",'2023'!$J$4="CA",'2023'!$J$2=CQ233),'2023DATA'!$J$17,"")</f>
        <v/>
      </c>
      <c r="CR248" s="518" t="str">
        <f>IF(AND(_AC6="B-767-200",'2023'!$J$4="CA",'2023'!$J$2=CR233),'2023DATA'!$K$17,"")</f>
        <v/>
      </c>
      <c r="CS248" s="518" t="str">
        <f>IF(AND(_AC6="B-767-200",'2023'!$J$4="CA",'2023'!$J$2=CS233),'2023DATA'!$L$17,"")</f>
        <v/>
      </c>
      <c r="CT248" s="518" t="str">
        <f>IF(AND(_AC6="B-767-200",'2023'!$J$4="CA",'2023'!$J$2=CT233),'2023DATA'!$M$17,"")</f>
        <v/>
      </c>
      <c r="CU248" s="520" t="str">
        <f>IF(AND(_AC6="B-767-200",'2023'!$J$4="CA",'2023'!$J$2=CU233),'2023DATA'!$N$17,"")</f>
        <v/>
      </c>
    </row>
    <row r="249" spans="16:99" x14ac:dyDescent="0.25">
      <c r="P249" s="940"/>
      <c r="Q249" s="13" t="s">
        <v>62</v>
      </c>
      <c r="R249" s="518" t="str">
        <f>IF(AND(_AC1="B-767-200",'2023'!$J$4="FO",'2023'!$J$2=R233),'2023DATA'!$C$18,"")</f>
        <v/>
      </c>
      <c r="S249" s="518" t="str">
        <f>IF(AND(_AC1="B-767-200",'2023'!$J$4="FO",'2023'!$J$2=S233),'2023DATA'!$D$18,"")</f>
        <v/>
      </c>
      <c r="T249" s="518" t="str">
        <f>IF(AND(_AC1="B-767-200",'2023'!$J$4="FO",'2023'!$J$2=T233),'2023DATA'!$E$18,"")</f>
        <v/>
      </c>
      <c r="U249" s="518" t="str">
        <f>IF(AND(_AC1="B-767-200",'2023'!$J$4="FO",'2023'!$J$2=U233),'2023DATA'!$F$18,"")</f>
        <v/>
      </c>
      <c r="V249" s="518" t="str">
        <f>IF(AND(_AC1="B-767-200",'2023'!$J$4="FO",'2023'!$J$2=V233),'2023DATA'!$G$18,"")</f>
        <v/>
      </c>
      <c r="W249" s="518" t="str">
        <f>IF(AND(_AC1="B-767-200",'2023'!$J$4="FO",'2023'!$J$2=W233),'2023DATA'!$H$18,"")</f>
        <v/>
      </c>
      <c r="X249" s="518" t="str">
        <f>IF(AND(_AC1="B-767-200",'2023'!$J$4="FO",'2023'!$J$2=X233),'2023DATA'!$I$18,"")</f>
        <v/>
      </c>
      <c r="Y249" s="518" t="str">
        <f>IF(AND(_AC1="B-767-200",'2023'!$J$4="FO",'2023'!$J$2=Y233),'2023DATA'!$J$18,"")</f>
        <v/>
      </c>
      <c r="Z249" s="518" t="str">
        <f>IF(AND(_AC1="B-767-200",'2023'!$J$4="FO",'2023'!$J$2=Z233),'2023DATA'!$K$18,"")</f>
        <v/>
      </c>
      <c r="AA249" s="518" t="str">
        <f>IF(AND(_AC1="B-767-200",'2023'!$J$4="FO",'2023'!$J$2=AA233),'2023DATA'!$L$18,"")</f>
        <v/>
      </c>
      <c r="AB249" s="518" t="str">
        <f>IF(AND(_AC1="B-767-200",'2023'!$J$4="FO",'2023'!$J$2=AB233),'2023DATA'!$M$18,"")</f>
        <v/>
      </c>
      <c r="AC249" s="520" t="str">
        <f>IF(AND(_AC1="B-767-200",'2023'!$J$4="FO",'2023'!$J$2=AC233),'2023DATA'!$N$18,"")</f>
        <v/>
      </c>
      <c r="AD249" s="940"/>
      <c r="AE249" s="13" t="s">
        <v>62</v>
      </c>
      <c r="AF249" s="518" t="str">
        <f>IF(AND(_AC2="B-767-200",'2023'!$J$4="FO",'2023'!$J$2=AF233),'2023DATA'!$C$18,"")</f>
        <v/>
      </c>
      <c r="AG249" s="518" t="str">
        <f>IF(AND(_AC2="B-767-200",'2023'!$J$4="FO",'2023'!$J$2=AG233),'2023DATA'!$D$18,"")</f>
        <v/>
      </c>
      <c r="AH249" s="518" t="str">
        <f>IF(AND(_AC2="B-767-200",'2023'!$J$4="FO",'2023'!$J$2=AH233),'2023DATA'!$E$18,"")</f>
        <v/>
      </c>
      <c r="AI249" s="518" t="str">
        <f>IF(AND(_AC2="B-767-200",'2023'!$J$4="FO",'2023'!$J$2=AI233),'2023DATA'!$F$18,"")</f>
        <v/>
      </c>
      <c r="AJ249" s="518" t="str">
        <f>IF(AND(_AC2="B-767-200",'2023'!$J$4="FO",'2023'!$J$2=AJ233),'2023DATA'!$G$18,"")</f>
        <v/>
      </c>
      <c r="AK249" s="518" t="str">
        <f>IF(AND(_AC2="B-767-200",'2023'!$J$4="FO",'2023'!$J$2=AK233),'2023DATA'!$H$18,"")</f>
        <v/>
      </c>
      <c r="AL249" s="518" t="str">
        <f>IF(AND(_AC2="B-767-200",'2023'!$J$4="FO",'2023'!$J$2=AL233),'2023DATA'!$I$18,"")</f>
        <v/>
      </c>
      <c r="AM249" s="518" t="str">
        <f>IF(AND(_AC2="B-767-200",'2023'!$J$4="FO",'2023'!$J$2=AM233),'2023DATA'!$J$18,"")</f>
        <v/>
      </c>
      <c r="AN249" s="518" t="str">
        <f>IF(AND(_AC2="B-767-200",'2023'!$J$4="FO",'2023'!$J$2=AN233),'2023DATA'!$K$18,"")</f>
        <v/>
      </c>
      <c r="AO249" s="518" t="str">
        <f>IF(AND(_AC2="B-767-200",'2023'!$J$4="FO",'2023'!$J$2=AO233),'2023DATA'!$L$18,"")</f>
        <v/>
      </c>
      <c r="AP249" s="518" t="str">
        <f>IF(AND(_AC2="B-767-200",'2023'!$J$4="FO",'2023'!$J$2=AP233),'2023DATA'!$M$18,"")</f>
        <v/>
      </c>
      <c r="AQ249" s="520" t="str">
        <f>IF(AND(_AC2="B-767-200",'2023'!$J$4="FO",'2023'!$J$2=AQ233),'2023DATA'!$N$18,"")</f>
        <v/>
      </c>
      <c r="AR249" s="940"/>
      <c r="AS249" s="13" t="s">
        <v>62</v>
      </c>
      <c r="AT249" s="518" t="str">
        <f>IF(AND(_AC3="B-767-200",'2023'!$J$4="FO",'2023'!$J$2=AT233),'2023DATA'!$C$18,"")</f>
        <v/>
      </c>
      <c r="AU249" s="518" t="str">
        <f>IF(AND(_AC3="B-767-200",'2023'!$J$4="FO",'2023'!$J$2=AU233),'2023DATA'!$D$18,"")</f>
        <v/>
      </c>
      <c r="AV249" s="518" t="str">
        <f>IF(AND(_AC3="B-767-200",'2023'!$J$4="FO",'2023'!$J$2=AV233),'2023DATA'!$E$18,"")</f>
        <v/>
      </c>
      <c r="AW249" s="518" t="str">
        <f>IF(AND(_AC3="B-767-200",'2023'!$J$4="FO",'2023'!$J$2=AW233),'2023DATA'!$F$18,"")</f>
        <v/>
      </c>
      <c r="AX249" s="518" t="str">
        <f>IF(AND(_AC3="B-767-200",'2023'!$J$4="FO",'2023'!$J$2=AX233),'2023DATA'!$G$18,"")</f>
        <v/>
      </c>
      <c r="AY249" s="518" t="str">
        <f>IF(AND(_AC3="B-767-200",'2023'!$J$4="FO",'2023'!$J$2=AY233),'2023DATA'!$H$18,"")</f>
        <v/>
      </c>
      <c r="AZ249" s="518" t="str">
        <f>IF(AND(_AC3="B-767-200",'2023'!$J$4="FO",'2023'!$J$2=AZ233),'2023DATA'!$I$18,"")</f>
        <v/>
      </c>
      <c r="BA249" s="518" t="str">
        <f>IF(AND(_AC3="B-767-200",'2023'!$J$4="FO",'2023'!$J$2=BA233),'2023DATA'!$J$18,"")</f>
        <v/>
      </c>
      <c r="BB249" s="518" t="str">
        <f>IF(AND(_AC3="B-767-200",'2023'!$J$4="FO",'2023'!$J$2=BB233),'2023DATA'!$K$18,"")</f>
        <v/>
      </c>
      <c r="BC249" s="518" t="str">
        <f>IF(AND(_AC3="B-767-200",'2023'!$J$4="FO",'2023'!$J$2=BC233),'2023DATA'!$L$18,"")</f>
        <v/>
      </c>
      <c r="BD249" s="518" t="str">
        <f>IF(AND(_AC3="B-767-200",'2023'!$J$4="FO",'2023'!$J$2=BD233),'2023DATA'!$M$18,"")</f>
        <v/>
      </c>
      <c r="BE249" s="520" t="str">
        <f>IF(AND(_AC3="B-767-200",'2023'!$J$4="FO",'2023'!$J$2=BE233),'2023DATA'!$N$18,"")</f>
        <v/>
      </c>
      <c r="BF249" s="940"/>
      <c r="BG249" s="13" t="s">
        <v>62</v>
      </c>
      <c r="BH249" s="518" t="str">
        <f>IF(AND(_AC4="B-767-200",'2023'!$J$4="FO",'2023'!$J$2=BH233),'2023DATA'!$C$18,"")</f>
        <v/>
      </c>
      <c r="BI249" s="518" t="str">
        <f>IF(AND(_AC4="B-767-200",'2023'!$J$4="FO",'2023'!$J$2=BI233),'2023DATA'!$D$18,"")</f>
        <v/>
      </c>
      <c r="BJ249" s="518" t="str">
        <f>IF(AND(_AC4="B-767-200",'2023'!$J$4="FO",'2023'!$J$2=BJ233),'2023DATA'!$E$18,"")</f>
        <v/>
      </c>
      <c r="BK249" s="518" t="str">
        <f>IF(AND(_AC4="B-767-200",'2023'!$J$4="FO",'2023'!$J$2=BK233),'2023DATA'!$F$18,"")</f>
        <v/>
      </c>
      <c r="BL249" s="518" t="str">
        <f>IF(AND(_AC4="B-767-200",'2023'!$J$4="FO",'2023'!$J$2=BL233),'2023DATA'!$G$18,"")</f>
        <v/>
      </c>
      <c r="BM249" s="518" t="str">
        <f>IF(AND(_AC4="B-767-200",'2023'!$J$4="FO",'2023'!$J$2=BM233),'2023DATA'!$H$18,"")</f>
        <v/>
      </c>
      <c r="BN249" s="518" t="str">
        <f>IF(AND(_AC4="B-767-200",'2023'!$J$4="FO",'2023'!$J$2=BN233),'2023DATA'!$I$18,"")</f>
        <v/>
      </c>
      <c r="BO249" s="518" t="str">
        <f>IF(AND(_AC4="B-767-200",'2023'!$J$4="FO",'2023'!$J$2=BO233),'2023DATA'!$J$18,"")</f>
        <v/>
      </c>
      <c r="BP249" s="518" t="str">
        <f>IF(AND(_AC4="B-767-200",'2023'!$J$4="FO",'2023'!$J$2=BP233),'2023DATA'!$K$18,"")</f>
        <v/>
      </c>
      <c r="BQ249" s="518" t="str">
        <f>IF(AND(_AC4="B-767-200",'2023'!$J$4="FO",'2023'!$J$2=BQ233),'2023DATA'!$L$18,"")</f>
        <v/>
      </c>
      <c r="BR249" s="518" t="str">
        <f>IF(AND(_AC4="B-767-200",'2023'!$J$4="FO",'2023'!$J$2=BR233),'2023DATA'!$M$18,"")</f>
        <v/>
      </c>
      <c r="BS249" s="520" t="str">
        <f>IF(AND(_AC4="B-767-200",'2023'!$J$4="FO",'2023'!$J$2=BS233),'2023DATA'!$N$18,"")</f>
        <v/>
      </c>
      <c r="BT249" s="940"/>
      <c r="BU249" s="13" t="s">
        <v>62</v>
      </c>
      <c r="BV249" s="518" t="str">
        <f>IF(AND(_AC5="B-767-200",'2023'!$J$4="FO",'2023'!$J$2=BV233),'2023DATA'!$C$18,"")</f>
        <v/>
      </c>
      <c r="BW249" s="518" t="str">
        <f>IF(AND(_AC5="B-767-200",'2023'!$J$4="FO",'2023'!$J$2=BW233),'2023DATA'!$D$18,"")</f>
        <v/>
      </c>
      <c r="BX249" s="518" t="str">
        <f>IF(AND(_AC5="B-767-200",'2023'!$J$4="FO",'2023'!$J$2=BX233),'2023DATA'!$E$18,"")</f>
        <v/>
      </c>
      <c r="BY249" s="518" t="str">
        <f>IF(AND(_AC5="B-767-200",'2023'!$J$4="FO",'2023'!$J$2=BY233),'2023DATA'!$F$18,"")</f>
        <v/>
      </c>
      <c r="BZ249" s="518" t="str">
        <f>IF(AND(_AC5="B-767-200",'2023'!$J$4="FO",'2023'!$J$2=BZ233),'2023DATA'!$G$18,"")</f>
        <v/>
      </c>
      <c r="CA249" s="518" t="str">
        <f>IF(AND(_AC5="B-767-200",'2023'!$J$4="FO",'2023'!$J$2=CA233),'2023DATA'!$H$18,"")</f>
        <v/>
      </c>
      <c r="CB249" s="518" t="str">
        <f>IF(AND(_AC5="B-767-200",'2023'!$J$4="FO",'2023'!$J$2=CB233),'2023DATA'!$I$18,"")</f>
        <v/>
      </c>
      <c r="CC249" s="518" t="str">
        <f>IF(AND(_AC5="B-767-200",'2023'!$J$4="FO",'2023'!$J$2=CC233),'2023DATA'!$J$18,"")</f>
        <v/>
      </c>
      <c r="CD249" s="518" t="str">
        <f>IF(AND(_AC5="B-767-200",'2023'!$J$4="FO",'2023'!$J$2=CD233),'2023DATA'!$K$18,"")</f>
        <v/>
      </c>
      <c r="CE249" s="518" t="str">
        <f>IF(AND(_AC5="B-767-200",'2023'!$J$4="FO",'2023'!$J$2=CE233),'2023DATA'!$L$18,"")</f>
        <v/>
      </c>
      <c r="CF249" s="518" t="str">
        <f>IF(AND(_AC5="B-767-200",'2023'!$J$4="FO",'2023'!$J$2=CF233),'2023DATA'!$M$18,"")</f>
        <v/>
      </c>
      <c r="CG249" s="520" t="str">
        <f>IF(AND(_AC5="B-767-200",'2023'!$J$4="FO",'2023'!$J$2=CG233),'2023DATA'!$N$18,"")</f>
        <v/>
      </c>
      <c r="CH249" s="940"/>
      <c r="CI249" s="13" t="s">
        <v>62</v>
      </c>
      <c r="CJ249" s="518" t="str">
        <f>IF(AND(_AC6="B-767-200",'2023'!$J$4="FO",'2023'!$J$2=CJ233),'2023DATA'!$C$18,"")</f>
        <v/>
      </c>
      <c r="CK249" s="518" t="str">
        <f>IF(AND(_AC6="B-767-200",'2023'!$J$4="FO",'2023'!$J$2=CK233),'2023DATA'!$D$18,"")</f>
        <v/>
      </c>
      <c r="CL249" s="518" t="str">
        <f>IF(AND(_AC6="B-767-200",'2023'!$J$4="FO",'2023'!$J$2=CL233),'2023DATA'!$E$18,"")</f>
        <v/>
      </c>
      <c r="CM249" s="518" t="str">
        <f>IF(AND(_AC6="B-767-200",'2023'!$J$4="FO",'2023'!$J$2=CM233),'2023DATA'!$F$18,"")</f>
        <v/>
      </c>
      <c r="CN249" s="518" t="str">
        <f>IF(AND(_AC6="B-767-200",'2023'!$J$4="FO",'2023'!$J$2=CN233),'2023DATA'!$G$18,"")</f>
        <v/>
      </c>
      <c r="CO249" s="518" t="str">
        <f>IF(AND(_AC6="B-767-200",'2023'!$J$4="FO",'2023'!$J$2=CO233),'2023DATA'!$H$18,"")</f>
        <v/>
      </c>
      <c r="CP249" s="518" t="str">
        <f>IF(AND(_AC6="B-767-200",'2023'!$J$4="FO",'2023'!$J$2=CP233),'2023DATA'!$I$18,"")</f>
        <v/>
      </c>
      <c r="CQ249" s="518" t="str">
        <f>IF(AND(_AC6="B-767-200",'2023'!$J$4="FO",'2023'!$J$2=CQ233),'2023DATA'!$J$18,"")</f>
        <v/>
      </c>
      <c r="CR249" s="518" t="str">
        <f>IF(AND(_AC6="B-767-200",'2023'!$J$4="FO",'2023'!$J$2=CR233),'2023DATA'!$K$18,"")</f>
        <v/>
      </c>
      <c r="CS249" s="518" t="str">
        <f>IF(AND(_AC6="B-767-200",'2023'!$J$4="FO",'2023'!$J$2=CS233),'2023DATA'!$L$18,"")</f>
        <v/>
      </c>
      <c r="CT249" s="518" t="str">
        <f>IF(AND(_AC6="B-767-200",'2023'!$J$4="FO",'2023'!$J$2=CT233),'2023DATA'!$M$18,"")</f>
        <v/>
      </c>
      <c r="CU249" s="520" t="str">
        <f>IF(AND(_AC6="B-767-200",'2023'!$J$4="FO",'2023'!$J$2=CU233),'2023DATA'!$N$18,"")</f>
        <v/>
      </c>
    </row>
    <row r="250" spans="16:99" x14ac:dyDescent="0.25">
      <c r="P250" s="940" t="s">
        <v>45</v>
      </c>
      <c r="Q250" s="13" t="s">
        <v>61</v>
      </c>
      <c r="R250" s="518" t="str">
        <f>IF(AND(_AC1="B-757",'2023'!$J$4="CA",'2023'!$J$2=R233),'2023DATA'!$C$19,"")</f>
        <v/>
      </c>
      <c r="S250" s="518" t="str">
        <f>IF(AND(_AC1="B-757",'2023'!$J$4="CA",'2023'!$J$2=S233),'2023DATA'!$D$19,"")</f>
        <v/>
      </c>
      <c r="T250" s="518" t="str">
        <f>IF(AND(_AC1="B-757",'2023'!$J$4="CA",'2023'!$J$2=T233),'2023DATA'!$E$19,"")</f>
        <v/>
      </c>
      <c r="U250" s="518" t="str">
        <f>IF(AND(_AC1="B-757",'2023'!$J$4="CA",'2023'!$J$2=U233),'2023DATA'!$F$19,"")</f>
        <v/>
      </c>
      <c r="V250" s="518" t="str">
        <f>IF(AND(_AC1="B-757",'2023'!$J$4="CA",'2023'!$J$2=V233),'2023DATA'!$G$19,"")</f>
        <v/>
      </c>
      <c r="W250" s="518" t="str">
        <f>IF(AND(_AC1="B-757",'2023'!$J$4="CA",'2023'!$J$2=W233),'2023DATA'!$H$19,"")</f>
        <v/>
      </c>
      <c r="X250" s="518" t="str">
        <f>IF(AND(_AC1="B-757",'2023'!$J$4="CA",'2023'!$J$2=X233),'2023DATA'!$I$19,"")</f>
        <v/>
      </c>
      <c r="Y250" s="518" t="str">
        <f>IF(AND(_AC1="B-757",'2023'!$J$4="CA",'2023'!$J$2=Y233),'2023DATA'!$J$19,"")</f>
        <v/>
      </c>
      <c r="Z250" s="518" t="str">
        <f>IF(AND(_AC1="B-757",'2023'!$J$4="CA",'2023'!$J$2=Z233),'2023DATA'!$K$19,"")</f>
        <v/>
      </c>
      <c r="AA250" s="518" t="str">
        <f>IF(AND(_AC1="B-757",'2023'!$J$4="CA",'2023'!$J$2=AA233),'2023DATA'!$L$19,"")</f>
        <v/>
      </c>
      <c r="AB250" s="518" t="str">
        <f>IF(AND(_AC1="B-757",'2023'!$J$4="CA",'2023'!$J$2=AB233),'2023DATA'!$M$19,"")</f>
        <v/>
      </c>
      <c r="AC250" s="520" t="str">
        <f>IF(AND(_AC1="B-757",'2023'!$J$4="CA",'2023'!$J$2=AC233),'2023DATA'!$N$19,"")</f>
        <v/>
      </c>
      <c r="AD250" s="940" t="s">
        <v>45</v>
      </c>
      <c r="AE250" s="13" t="s">
        <v>61</v>
      </c>
      <c r="AF250" s="518" t="str">
        <f>IF(AND(_AC2="B-757",'2023'!$J$4="CA",'2023'!$J$2=AF233),'2023DATA'!$C$19,"")</f>
        <v/>
      </c>
      <c r="AG250" s="518" t="str">
        <f>IF(AND(_AC2="B-757",'2023'!$J$4="CA",'2023'!$J$2=AG233),'2023DATA'!$D$19,"")</f>
        <v/>
      </c>
      <c r="AH250" s="518" t="str">
        <f>IF(AND(_AC2="B-757",'2023'!$J$4="CA",'2023'!$J$2=AH233),'2023DATA'!$E$19,"")</f>
        <v/>
      </c>
      <c r="AI250" s="518" t="str">
        <f>IF(AND(_AC2="B-757",'2023'!$J$4="CA",'2023'!$J$2=AI233),'2023DATA'!$F$19,"")</f>
        <v/>
      </c>
      <c r="AJ250" s="518" t="str">
        <f>IF(AND(_AC2="B-757",'2023'!$J$4="CA",'2023'!$J$2=AJ233),'2023DATA'!$G$19,"")</f>
        <v/>
      </c>
      <c r="AK250" s="518" t="str">
        <f>IF(AND(_AC2="B-757",'2023'!$J$4="CA",'2023'!$J$2=AK233),'2023DATA'!$H$19,"")</f>
        <v/>
      </c>
      <c r="AL250" s="518" t="str">
        <f>IF(AND(_AC2="B-757",'2023'!$J$4="CA",'2023'!$J$2=AL233),'2023DATA'!$I$19,"")</f>
        <v/>
      </c>
      <c r="AM250" s="518" t="str">
        <f>IF(AND(_AC2="B-757",'2023'!$J$4="CA",'2023'!$J$2=AM233),'2023DATA'!$J$19,"")</f>
        <v/>
      </c>
      <c r="AN250" s="518" t="str">
        <f>IF(AND(_AC2="B-757",'2023'!$J$4="CA",'2023'!$J$2=AN233),'2023DATA'!$K$19,"")</f>
        <v/>
      </c>
      <c r="AO250" s="518" t="str">
        <f>IF(AND(_AC2="B-757",'2023'!$J$4="CA",'2023'!$J$2=AO233),'2023DATA'!$L$19,"")</f>
        <v/>
      </c>
      <c r="AP250" s="518" t="str">
        <f>IF(AND(_AC2="B-757",'2023'!$J$4="CA",'2023'!$J$2=AP233),'2023DATA'!$M$19,"")</f>
        <v/>
      </c>
      <c r="AQ250" s="520" t="str">
        <f>IF(AND(_AC2="B-757",'2023'!$J$4="CA",'2023'!$J$2=AQ233),'2023DATA'!$N$19,"")</f>
        <v/>
      </c>
      <c r="AR250" s="940" t="s">
        <v>45</v>
      </c>
      <c r="AS250" s="13" t="s">
        <v>61</v>
      </c>
      <c r="AT250" s="518" t="str">
        <f>IF(AND(_AC3="B-757",'2023'!$J$4="CA",'2023'!$J$2=AT233),'2023DATA'!$C$19,"")</f>
        <v/>
      </c>
      <c r="AU250" s="518" t="str">
        <f>IF(AND(_AC3="B-757",'2023'!$J$4="CA",'2023'!$J$2=AU233),'2023DATA'!$D$19,"")</f>
        <v/>
      </c>
      <c r="AV250" s="518" t="str">
        <f>IF(AND(_AC3="B-757",'2023'!$J$4="CA",'2023'!$J$2=AV233),'2023DATA'!$E$19,"")</f>
        <v/>
      </c>
      <c r="AW250" s="518" t="str">
        <f>IF(AND(_AC3="B-757",'2023'!$J$4="CA",'2023'!$J$2=AW233),'2023DATA'!$F$19,"")</f>
        <v/>
      </c>
      <c r="AX250" s="518" t="str">
        <f>IF(AND(_AC3="B-757",'2023'!$J$4="CA",'2023'!$J$2=AX233),'2023DATA'!$G$19,"")</f>
        <v/>
      </c>
      <c r="AY250" s="518" t="str">
        <f>IF(AND(_AC3="B-757",'2023'!$J$4="CA",'2023'!$J$2=AY233),'2023DATA'!$H$19,"")</f>
        <v/>
      </c>
      <c r="AZ250" s="518" t="str">
        <f>IF(AND(_AC3="B-757",'2023'!$J$4="CA",'2023'!$J$2=AZ233),'2023DATA'!$I$19,"")</f>
        <v/>
      </c>
      <c r="BA250" s="518" t="str">
        <f>IF(AND(_AC3="B-757",'2023'!$J$4="CA",'2023'!$J$2=BA233),'2023DATA'!$J$19,"")</f>
        <v/>
      </c>
      <c r="BB250" s="518" t="str">
        <f>IF(AND(_AC3="B-757",'2023'!$J$4="CA",'2023'!$J$2=BB233),'2023DATA'!$K$19,"")</f>
        <v/>
      </c>
      <c r="BC250" s="518" t="str">
        <f>IF(AND(_AC3="B-757",'2023'!$J$4="CA",'2023'!$J$2=BC233),'2023DATA'!$L$19,"")</f>
        <v/>
      </c>
      <c r="BD250" s="518" t="str">
        <f>IF(AND(_AC3="B-757",'2023'!$J$4="CA",'2023'!$J$2=BD233),'2023DATA'!$M$19,"")</f>
        <v/>
      </c>
      <c r="BE250" s="520" t="str">
        <f>IF(AND(_AC3="B-757",'2023'!$J$4="CA",'2023'!$J$2=BE233),'2023DATA'!$N$19,"")</f>
        <v/>
      </c>
      <c r="BF250" s="940" t="s">
        <v>45</v>
      </c>
      <c r="BG250" s="13" t="s">
        <v>61</v>
      </c>
      <c r="BH250" s="518" t="str">
        <f>IF(AND(_AC4="B-757",'2023'!$J$4="CA",'2023'!$J$2=BH233),'2023DATA'!$C$19,"")</f>
        <v/>
      </c>
      <c r="BI250" s="518" t="str">
        <f>IF(AND(_AC4="B-757",'2023'!$J$4="CA",'2023'!$J$2=BI233),'2023DATA'!$D$19,"")</f>
        <v/>
      </c>
      <c r="BJ250" s="518" t="str">
        <f>IF(AND(_AC4="B-757",'2023'!$J$4="CA",'2023'!$J$2=BJ233),'2023DATA'!$E$19,"")</f>
        <v/>
      </c>
      <c r="BK250" s="518" t="str">
        <f>IF(AND(_AC4="B-757",'2023'!$J$4="CA",'2023'!$J$2=BK233),'2023DATA'!$F$19,"")</f>
        <v/>
      </c>
      <c r="BL250" s="518" t="str">
        <f>IF(AND(_AC4="B-757",'2023'!$J$4="CA",'2023'!$J$2=BL233),'2023DATA'!$G$19,"")</f>
        <v/>
      </c>
      <c r="BM250" s="518" t="str">
        <f>IF(AND(_AC4="B-757",'2023'!$J$4="CA",'2023'!$J$2=BM233),'2023DATA'!$H$19,"")</f>
        <v/>
      </c>
      <c r="BN250" s="518" t="str">
        <f>IF(AND(_AC4="B-757",'2023'!$J$4="CA",'2023'!$J$2=BN233),'2023DATA'!$I$19,"")</f>
        <v/>
      </c>
      <c r="BO250" s="518" t="str">
        <f>IF(AND(_AC4="B-757",'2023'!$J$4="CA",'2023'!$J$2=BO233),'2023DATA'!$J$19,"")</f>
        <v/>
      </c>
      <c r="BP250" s="518" t="str">
        <f>IF(AND(_AC4="B-757",'2023'!$J$4="CA",'2023'!$J$2=BP233),'2023DATA'!$K$19,"")</f>
        <v/>
      </c>
      <c r="BQ250" s="518" t="str">
        <f>IF(AND(_AC4="B-757",'2023'!$J$4="CA",'2023'!$J$2=BQ233),'2023DATA'!$L$19,"")</f>
        <v/>
      </c>
      <c r="BR250" s="518" t="str">
        <f>IF(AND(_AC4="B-757",'2023'!$J$4="CA",'2023'!$J$2=BR233),'2023DATA'!$M$19,"")</f>
        <v/>
      </c>
      <c r="BS250" s="520" t="str">
        <f>IF(AND(_AC4="B-757",'2023'!$J$4="CA",'2023'!$J$2=BS233),'2023DATA'!$N$19,"")</f>
        <v/>
      </c>
      <c r="BT250" s="940" t="s">
        <v>45</v>
      </c>
      <c r="BU250" s="13" t="s">
        <v>61</v>
      </c>
      <c r="BV250" s="518" t="str">
        <f>IF(AND(_AC5="B-757",'2023'!$J$4="CA",'2023'!$J$2=BV233),'2023DATA'!$C$19,"")</f>
        <v/>
      </c>
      <c r="BW250" s="518" t="str">
        <f>IF(AND(_AC5="B-757",'2023'!$J$4="CA",'2023'!$J$2=BW233),'2023DATA'!$D$19,"")</f>
        <v/>
      </c>
      <c r="BX250" s="518" t="str">
        <f>IF(AND(_AC5="B-757",'2023'!$J$4="CA",'2023'!$J$2=BX233),'2023DATA'!$E$19,"")</f>
        <v/>
      </c>
      <c r="BY250" s="518" t="str">
        <f>IF(AND(_AC5="B-757",'2023'!$J$4="CA",'2023'!$J$2=BY233),'2023DATA'!$F$19,"")</f>
        <v/>
      </c>
      <c r="BZ250" s="518" t="str">
        <f>IF(AND(_AC5="B-757",'2023'!$J$4="CA",'2023'!$J$2=BZ233),'2023DATA'!$G$19,"")</f>
        <v/>
      </c>
      <c r="CA250" s="518" t="str">
        <f>IF(AND(_AC5="B-757",'2023'!$J$4="CA",'2023'!$J$2=CA233),'2023DATA'!$H$19,"")</f>
        <v/>
      </c>
      <c r="CB250" s="518" t="str">
        <f>IF(AND(_AC5="B-757",'2023'!$J$4="CA",'2023'!$J$2=CB233),'2023DATA'!$I$19,"")</f>
        <v/>
      </c>
      <c r="CC250" s="518" t="str">
        <f>IF(AND(_AC5="B-757",'2023'!$J$4="CA",'2023'!$J$2=CC233),'2023DATA'!$J$19,"")</f>
        <v/>
      </c>
      <c r="CD250" s="518" t="str">
        <f>IF(AND(_AC5="B-757",'2023'!$J$4="CA",'2023'!$J$2=CD233),'2023DATA'!$K$19,"")</f>
        <v/>
      </c>
      <c r="CE250" s="518" t="str">
        <f>IF(AND(_AC5="B-757",'2023'!$J$4="CA",'2023'!$J$2=CE233),'2023DATA'!$L$19,"")</f>
        <v/>
      </c>
      <c r="CF250" s="518" t="str">
        <f>IF(AND(_AC5="B-757",'2023'!$J$4="CA",'2023'!$J$2=CF233),'2023DATA'!$M$19,"")</f>
        <v/>
      </c>
      <c r="CG250" s="520" t="str">
        <f>IF(AND(_AC5="B-757",'2023'!$J$4="CA",'2023'!$J$2=CG233),'2023DATA'!$N$19,"")</f>
        <v/>
      </c>
      <c r="CH250" s="940" t="s">
        <v>45</v>
      </c>
      <c r="CI250" s="13" t="s">
        <v>61</v>
      </c>
      <c r="CJ250" s="518" t="str">
        <f>IF(AND(_AC6="B-757",'2023'!$J$4="CA",'2023'!$J$2=CJ233),'2023DATA'!$C$19,"")</f>
        <v/>
      </c>
      <c r="CK250" s="518" t="str">
        <f>IF(AND(_AC6="B-757",'2023'!$J$4="CA",'2023'!$J$2=CK233),'2023DATA'!$D$19,"")</f>
        <v/>
      </c>
      <c r="CL250" s="518" t="str">
        <f>IF(AND(_AC6="B-757",'2023'!$J$4="CA",'2023'!$J$2=CL233),'2023DATA'!$E$19,"")</f>
        <v/>
      </c>
      <c r="CM250" s="518" t="str">
        <f>IF(AND(_AC6="B-757",'2023'!$J$4="CA",'2023'!$J$2=CM233),'2023DATA'!$F$19,"")</f>
        <v/>
      </c>
      <c r="CN250" s="518" t="str">
        <f>IF(AND(_AC6="B-757",'2023'!$J$4="CA",'2023'!$J$2=CN233),'2023DATA'!$G$19,"")</f>
        <v/>
      </c>
      <c r="CO250" s="518" t="str">
        <f>IF(AND(_AC6="B-757",'2023'!$J$4="CA",'2023'!$J$2=CO233),'2023DATA'!$H$19,"")</f>
        <v/>
      </c>
      <c r="CP250" s="518" t="str">
        <f>IF(AND(_AC6="B-757",'2023'!$J$4="CA",'2023'!$J$2=CP233),'2023DATA'!$I$19,"")</f>
        <v/>
      </c>
      <c r="CQ250" s="518" t="str">
        <f>IF(AND(_AC6="B-757",'2023'!$J$4="CA",'2023'!$J$2=CQ233),'2023DATA'!$J$19,"")</f>
        <v/>
      </c>
      <c r="CR250" s="518" t="str">
        <f>IF(AND(_AC6="B-757",'2023'!$J$4="CA",'2023'!$J$2=CR233),'2023DATA'!$K$19,"")</f>
        <v/>
      </c>
      <c r="CS250" s="518" t="str">
        <f>IF(AND(_AC6="B-757",'2023'!$J$4="CA",'2023'!$J$2=CS233),'2023DATA'!$L$19,"")</f>
        <v/>
      </c>
      <c r="CT250" s="518" t="str">
        <f>IF(AND(_AC6="B-757",'2023'!$J$4="CA",'2023'!$J$2=CT233),'2023DATA'!$M$19,"")</f>
        <v/>
      </c>
      <c r="CU250" s="520" t="str">
        <f>IF(AND(_AC6="B-757",'2023'!$J$4="CA",'2023'!$J$2=CU233),'2023DATA'!$N$19,"")</f>
        <v/>
      </c>
    </row>
    <row r="251" spans="16:99" x14ac:dyDescent="0.25">
      <c r="P251" s="940"/>
      <c r="Q251" s="13" t="s">
        <v>62</v>
      </c>
      <c r="R251" s="518" t="str">
        <f>IF(AND(_AC1="B-757",'2023'!$J$4="FO",'2023'!$J$2=R233),'2023DATA'!$C$20,"")</f>
        <v/>
      </c>
      <c r="S251" s="518" t="str">
        <f>IF(AND(_AC1="B-757",'2023'!$J$4="FO",'2023'!$J$2=S233),'2023DATA'!$D$20,"")</f>
        <v/>
      </c>
      <c r="T251" s="518" t="str">
        <f>IF(AND(_AC1="B-757",'2023'!$J$4="FO",'2023'!$J$2=T233),'2023DATA'!$E$20,"")</f>
        <v/>
      </c>
      <c r="U251" s="518" t="str">
        <f>IF(AND(_AC1="B-757",'2023'!$J$4="FO",'2023'!$J$2=U233),'2023DATA'!$F$20,"")</f>
        <v/>
      </c>
      <c r="V251" s="518" t="str">
        <f>IF(AND(_AC1="B-757",'2023'!$J$4="FO",'2023'!$J$2=V233),'2023DATA'!$G$20,"")</f>
        <v/>
      </c>
      <c r="W251" s="518" t="str">
        <f>IF(AND(_AC1="B-757",'2023'!$J$4="FO",'2023'!$J$2=W233),'2023DATA'!$H$20,"")</f>
        <v/>
      </c>
      <c r="X251" s="518" t="str">
        <f>IF(AND(_AC1="B-757",'2023'!$J$4="FO",'2023'!$J$2=X233),'2023DATA'!$I$20,"")</f>
        <v/>
      </c>
      <c r="Y251" s="518" t="str">
        <f>IF(AND(_AC1="B-757",'2023'!$J$4="FO",'2023'!$J$2=Y233),'2023DATA'!$J$20,"")</f>
        <v/>
      </c>
      <c r="Z251" s="518" t="str">
        <f>IF(AND(_AC1="B-757",'2023'!$J$4="FO",'2023'!$J$2=Z233),'2023DATA'!$K$20,"")</f>
        <v/>
      </c>
      <c r="AA251" s="518" t="str">
        <f>IF(AND(_AC1="B-757",'2023'!$J$4="FO",'2023'!$J$2=AA233),'2023DATA'!$L$20,"")</f>
        <v/>
      </c>
      <c r="AB251" s="518" t="str">
        <f>IF(AND(_AC1="B-757",'2023'!$J$4="FO",'2023'!$J$2=AB233),'2023DATA'!$M$20,"")</f>
        <v/>
      </c>
      <c r="AC251" s="520" t="str">
        <f>IF(AND(_AC1="B-757",'2023'!$J$4="FO",'2023'!$J$2=AC233),'2023DATA'!$N$20,"")</f>
        <v/>
      </c>
      <c r="AD251" s="940"/>
      <c r="AE251" s="13" t="s">
        <v>62</v>
      </c>
      <c r="AF251" s="518" t="str">
        <f>IF(AND(_AC2="B-757",'2023'!$J$4="FO",'2023'!$J$2=AF233),'2023DATA'!$C$20,"")</f>
        <v/>
      </c>
      <c r="AG251" s="518" t="str">
        <f>IF(AND(_AC2="B-757",'2023'!$J$4="FO",'2023'!$J$2=AG233),'2023DATA'!$D$20,"")</f>
        <v/>
      </c>
      <c r="AH251" s="518" t="str">
        <f>IF(AND(_AC2="B-757",'2023'!$J$4="FO",'2023'!$J$2=AH233),'2023DATA'!$E$20,"")</f>
        <v/>
      </c>
      <c r="AI251" s="518" t="str">
        <f>IF(AND(_AC2="B-757",'2023'!$J$4="FO",'2023'!$J$2=AI233),'2023DATA'!$F$20,"")</f>
        <v/>
      </c>
      <c r="AJ251" s="518" t="str">
        <f>IF(AND(_AC2="B-757",'2023'!$J$4="FO",'2023'!$J$2=AJ233),'2023DATA'!$G$20,"")</f>
        <v/>
      </c>
      <c r="AK251" s="518" t="str">
        <f>IF(AND(_AC2="B-757",'2023'!$J$4="FO",'2023'!$J$2=AK233),'2023DATA'!$H$20,"")</f>
        <v/>
      </c>
      <c r="AL251" s="518" t="str">
        <f>IF(AND(_AC2="B-757",'2023'!$J$4="FO",'2023'!$J$2=AL233),'2023DATA'!$I$20,"")</f>
        <v/>
      </c>
      <c r="AM251" s="518" t="str">
        <f>IF(AND(_AC2="B-757",'2023'!$J$4="FO",'2023'!$J$2=AM233),'2023DATA'!$J$20,"")</f>
        <v/>
      </c>
      <c r="AN251" s="518" t="str">
        <f>IF(AND(_AC2="B-757",'2023'!$J$4="FO",'2023'!$J$2=AN233),'2023DATA'!$K$20,"")</f>
        <v/>
      </c>
      <c r="AO251" s="518" t="str">
        <f>IF(AND(_AC2="B-757",'2023'!$J$4="FO",'2023'!$J$2=AO233),'2023DATA'!$L$20,"")</f>
        <v/>
      </c>
      <c r="AP251" s="518" t="str">
        <f>IF(AND(_AC2="B-757",'2023'!$J$4="FO",'2023'!$J$2=AP233),'2023DATA'!$M$20,"")</f>
        <v/>
      </c>
      <c r="AQ251" s="520" t="str">
        <f>IF(AND(_AC2="B-757",'2023'!$J$4="FO",'2023'!$J$2=AQ233),'2023DATA'!$N$20,"")</f>
        <v/>
      </c>
      <c r="AR251" s="940"/>
      <c r="AS251" s="13" t="s">
        <v>62</v>
      </c>
      <c r="AT251" s="518" t="str">
        <f>IF(AND(_AC3="B-757",'2023'!$J$4="FO",'2023'!$J$2=AT233),'2023DATA'!$C$20,"")</f>
        <v/>
      </c>
      <c r="AU251" s="518" t="str">
        <f>IF(AND(_AC3="B-757",'2023'!$J$4="FO",'2023'!$J$2=AU233),'2023DATA'!$D$20,"")</f>
        <v/>
      </c>
      <c r="AV251" s="518" t="str">
        <f>IF(AND(_AC3="B-757",'2023'!$J$4="FO",'2023'!$J$2=AV233),'2023DATA'!$E$20,"")</f>
        <v/>
      </c>
      <c r="AW251" s="518" t="str">
        <f>IF(AND(_AC3="B-757",'2023'!$J$4="FO",'2023'!$J$2=AW233),'2023DATA'!$F$20,"")</f>
        <v/>
      </c>
      <c r="AX251" s="518" t="str">
        <f>IF(AND(_AC3="B-757",'2023'!$J$4="FO",'2023'!$J$2=AX233),'2023DATA'!$G$20,"")</f>
        <v/>
      </c>
      <c r="AY251" s="518" t="str">
        <f>IF(AND(_AC3="B-757",'2023'!$J$4="FO",'2023'!$J$2=AY233),'2023DATA'!$H$20,"")</f>
        <v/>
      </c>
      <c r="AZ251" s="518" t="str">
        <f>IF(AND(_AC3="B-757",'2023'!$J$4="FO",'2023'!$J$2=AZ233),'2023DATA'!$I$20,"")</f>
        <v/>
      </c>
      <c r="BA251" s="518" t="str">
        <f>IF(AND(_AC3="B-757",'2023'!$J$4="FO",'2023'!$J$2=BA233),'2023DATA'!$J$20,"")</f>
        <v/>
      </c>
      <c r="BB251" s="518" t="str">
        <f>IF(AND(_AC3="B-757",'2023'!$J$4="FO",'2023'!$J$2=BB233),'2023DATA'!$K$20,"")</f>
        <v/>
      </c>
      <c r="BC251" s="518" t="str">
        <f>IF(AND(_AC3="B-757",'2023'!$J$4="FO",'2023'!$J$2=BC233),'2023DATA'!$L$20,"")</f>
        <v/>
      </c>
      <c r="BD251" s="518" t="str">
        <f>IF(AND(_AC3="B-757",'2023'!$J$4="FO",'2023'!$J$2=BD233),'2023DATA'!$M$20,"")</f>
        <v/>
      </c>
      <c r="BE251" s="520" t="str">
        <f>IF(AND(_AC3="B-757",'2023'!$J$4="FO",'2023'!$J$2=BE233),'2023DATA'!$N$20,"")</f>
        <v/>
      </c>
      <c r="BF251" s="940"/>
      <c r="BG251" s="13" t="s">
        <v>62</v>
      </c>
      <c r="BH251" s="518" t="str">
        <f>IF(AND(_AC4="B-757",'2023'!$J$4="FO",'2023'!$J$2=BH233),'2023DATA'!$C$20,"")</f>
        <v/>
      </c>
      <c r="BI251" s="518" t="str">
        <f>IF(AND(_AC4="B-757",'2023'!$J$4="FO",'2023'!$J$2=BI233),'2023DATA'!$D$20,"")</f>
        <v/>
      </c>
      <c r="BJ251" s="518" t="str">
        <f>IF(AND(_AC4="B-757",'2023'!$J$4="FO",'2023'!$J$2=BJ233),'2023DATA'!$E$20,"")</f>
        <v/>
      </c>
      <c r="BK251" s="518" t="str">
        <f>IF(AND(_AC4="B-757",'2023'!$J$4="FO",'2023'!$J$2=BK233),'2023DATA'!$F$20,"")</f>
        <v/>
      </c>
      <c r="BL251" s="518" t="str">
        <f>IF(AND(_AC4="B-757",'2023'!$J$4="FO",'2023'!$J$2=BL233),'2023DATA'!$G$20,"")</f>
        <v/>
      </c>
      <c r="BM251" s="518" t="str">
        <f>IF(AND(_AC4="B-757",'2023'!$J$4="FO",'2023'!$J$2=BM233),'2023DATA'!$H$20,"")</f>
        <v/>
      </c>
      <c r="BN251" s="518" t="str">
        <f>IF(AND(_AC4="B-757",'2023'!$J$4="FO",'2023'!$J$2=BN233),'2023DATA'!$I$20,"")</f>
        <v/>
      </c>
      <c r="BO251" s="518" t="str">
        <f>IF(AND(_AC4="B-757",'2023'!$J$4="FO",'2023'!$J$2=BO233),'2023DATA'!$J$20,"")</f>
        <v/>
      </c>
      <c r="BP251" s="518" t="str">
        <f>IF(AND(_AC4="B-757",'2023'!$J$4="FO",'2023'!$J$2=BP233),'2023DATA'!$K$20,"")</f>
        <v/>
      </c>
      <c r="BQ251" s="518" t="str">
        <f>IF(AND(_AC4="B-757",'2023'!$J$4="FO",'2023'!$J$2=BQ233),'2023DATA'!$L$20,"")</f>
        <v/>
      </c>
      <c r="BR251" s="518" t="str">
        <f>IF(AND(_AC4="B-757",'2023'!$J$4="FO",'2023'!$J$2=BR233),'2023DATA'!$M$20,"")</f>
        <v/>
      </c>
      <c r="BS251" s="520" t="str">
        <f>IF(AND(_AC4="B-757",'2023'!$J$4="FO",'2023'!$J$2=BS233),'2023DATA'!$N$20,"")</f>
        <v/>
      </c>
      <c r="BT251" s="940"/>
      <c r="BU251" s="13" t="s">
        <v>62</v>
      </c>
      <c r="BV251" s="518" t="str">
        <f>IF(AND(_AC5="B-757",'2023'!$J$4="FO",'2023'!$J$2=BV233),'2023DATA'!$C$20,"")</f>
        <v/>
      </c>
      <c r="BW251" s="518" t="str">
        <f>IF(AND(_AC5="B-757",'2023'!$J$4="FO",'2023'!$J$2=BW233),'2023DATA'!$D$20,"")</f>
        <v/>
      </c>
      <c r="BX251" s="518" t="str">
        <f>IF(AND(_AC5="B-757",'2023'!$J$4="FO",'2023'!$J$2=BX233),'2023DATA'!$E$20,"")</f>
        <v/>
      </c>
      <c r="BY251" s="518" t="str">
        <f>IF(AND(_AC5="B-757",'2023'!$J$4="FO",'2023'!$J$2=BY233),'2023DATA'!$F$20,"")</f>
        <v/>
      </c>
      <c r="BZ251" s="518" t="str">
        <f>IF(AND(_AC5="B-757",'2023'!$J$4="FO",'2023'!$J$2=BZ233),'2023DATA'!$G$20,"")</f>
        <v/>
      </c>
      <c r="CA251" s="518" t="str">
        <f>IF(AND(_AC5="B-757",'2023'!$J$4="FO",'2023'!$J$2=CA233),'2023DATA'!$H$20,"")</f>
        <v/>
      </c>
      <c r="CB251" s="518" t="str">
        <f>IF(AND(_AC5="B-757",'2023'!$J$4="FO",'2023'!$J$2=CB233),'2023DATA'!$I$20,"")</f>
        <v/>
      </c>
      <c r="CC251" s="518" t="str">
        <f>IF(AND(_AC5="B-757",'2023'!$J$4="FO",'2023'!$J$2=CC233),'2023DATA'!$J$20,"")</f>
        <v/>
      </c>
      <c r="CD251" s="518" t="str">
        <f>IF(AND(_AC5="B-757",'2023'!$J$4="FO",'2023'!$J$2=CD233),'2023DATA'!$K$20,"")</f>
        <v/>
      </c>
      <c r="CE251" s="518" t="str">
        <f>IF(AND(_AC5="B-757",'2023'!$J$4="FO",'2023'!$J$2=CE233),'2023DATA'!$L$20,"")</f>
        <v/>
      </c>
      <c r="CF251" s="518" t="str">
        <f>IF(AND(_AC5="B-757",'2023'!$J$4="FO",'2023'!$J$2=CF233),'2023DATA'!$M$20,"")</f>
        <v/>
      </c>
      <c r="CG251" s="520" t="str">
        <f>IF(AND(_AC5="B-757",'2023'!$J$4="FO",'2023'!$J$2=CG233),'2023DATA'!$N$20,"")</f>
        <v/>
      </c>
      <c r="CH251" s="940"/>
      <c r="CI251" s="13" t="s">
        <v>62</v>
      </c>
      <c r="CJ251" s="518" t="str">
        <f>IF(AND(_AC6="B-757",'2023'!$J$4="FO",'2023'!$J$2=CJ233),'2023DATA'!$C$20,"")</f>
        <v/>
      </c>
      <c r="CK251" s="518" t="str">
        <f>IF(AND(_AC6="B-757",'2023'!$J$4="FO",'2023'!$J$2=CK233),'2023DATA'!$D$20,"")</f>
        <v/>
      </c>
      <c r="CL251" s="518" t="str">
        <f>IF(AND(_AC6="B-757",'2023'!$J$4="FO",'2023'!$J$2=CL233),'2023DATA'!$E$20,"")</f>
        <v/>
      </c>
      <c r="CM251" s="518" t="str">
        <f>IF(AND(_AC6="B-757",'2023'!$J$4="FO",'2023'!$J$2=CM233),'2023DATA'!$F$20,"")</f>
        <v/>
      </c>
      <c r="CN251" s="518" t="str">
        <f>IF(AND(_AC6="B-757",'2023'!$J$4="FO",'2023'!$J$2=CN233),'2023DATA'!$G$20,"")</f>
        <v/>
      </c>
      <c r="CO251" s="518" t="str">
        <f>IF(AND(_AC6="B-757",'2023'!$J$4="FO",'2023'!$J$2=CO233),'2023DATA'!$H$20,"")</f>
        <v/>
      </c>
      <c r="CP251" s="518" t="str">
        <f>IF(AND(_AC6="B-757",'2023'!$J$4="FO",'2023'!$J$2=CP233),'2023DATA'!$I$20,"")</f>
        <v/>
      </c>
      <c r="CQ251" s="518" t="str">
        <f>IF(AND(_AC6="B-757",'2023'!$J$4="FO",'2023'!$J$2=CQ233),'2023DATA'!$J$20,"")</f>
        <v/>
      </c>
      <c r="CR251" s="518" t="str">
        <f>IF(AND(_AC6="B-757",'2023'!$J$4="FO",'2023'!$J$2=CR233),'2023DATA'!$K$20,"")</f>
        <v/>
      </c>
      <c r="CS251" s="518" t="str">
        <f>IF(AND(_AC6="B-757",'2023'!$J$4="FO",'2023'!$J$2=CS233),'2023DATA'!$L$20,"")</f>
        <v/>
      </c>
      <c r="CT251" s="518" t="str">
        <f>IF(AND(_AC6="B-757",'2023'!$J$4="FO",'2023'!$J$2=CT233),'2023DATA'!$M$20,"")</f>
        <v/>
      </c>
      <c r="CU251" s="520" t="str">
        <f>IF(AND(_AC6="B-757",'2023'!$J$4="FO",'2023'!$J$2=CU233),'2023DATA'!$N$20,"")</f>
        <v/>
      </c>
    </row>
    <row r="252" spans="16:99" x14ac:dyDescent="0.25">
      <c r="P252" s="940" t="s">
        <v>47</v>
      </c>
      <c r="Q252" s="13" t="s">
        <v>61</v>
      </c>
      <c r="R252" s="518" t="str">
        <f>IF(AND(_AC1="B-737-900",'2023'!$J$4="CA",'2023'!$J$2=R233),'2023DATA'!$C$21,"")</f>
        <v/>
      </c>
      <c r="S252" s="518" t="str">
        <f>IF(AND(_AC1="B-737-900",'2023'!$J$4="CA",'2023'!$J$2=S233),'2023DATA'!$D$21,"")</f>
        <v/>
      </c>
      <c r="T252" s="518" t="str">
        <f>IF(AND(_AC1="B-737-900",'2023'!$J$4="CA",'2023'!$J$2=T233),'2023DATA'!$E$21,"")</f>
        <v/>
      </c>
      <c r="U252" s="518" t="str">
        <f>IF(AND(_AC1="B-737-900",'2023'!$J$4="CA",'2023'!$J$2=U233),'2023DATA'!$F$21,"")</f>
        <v/>
      </c>
      <c r="V252" s="518" t="str">
        <f>IF(AND(_AC1="B-737-900",'2023'!$J$4="CA",'2023'!$J$2=V233),'2023DATA'!$G$21,"")</f>
        <v/>
      </c>
      <c r="W252" s="518" t="str">
        <f>IF(AND(_AC1="B-737-900",'2023'!$J$4="CA",'2023'!$J$2=W233),'2023DATA'!$H$21,"")</f>
        <v/>
      </c>
      <c r="X252" s="518" t="str">
        <f>IF(AND(_AC1="B-737-900",'2023'!$J$4="CA",'2023'!$J$2=X233),'2023DATA'!$I$21,"")</f>
        <v/>
      </c>
      <c r="Y252" s="518" t="str">
        <f>IF(AND(_AC1="B-737-900",'2023'!$J$4="CA",'2023'!$J$2=Y233),'2023DATA'!$J$21,"")</f>
        <v/>
      </c>
      <c r="Z252" s="518" t="str">
        <f>IF(AND(_AC1="B-737-900",'2023'!$J$4="CA",'2023'!$J$2=Z233),'2023DATA'!$K$21,"")</f>
        <v/>
      </c>
      <c r="AA252" s="518" t="str">
        <f>IF(AND(_AC1="B-737-900",'2023'!$J$4="CA",'2023'!$J$2=AA233),'2023DATA'!$L$21,"")</f>
        <v/>
      </c>
      <c r="AB252" s="518" t="str">
        <f>IF(AND(_AC1="B-737-900",'2023'!$J$4="CA",'2023'!$J$2=AB233),'2023DATA'!$M$21,"")</f>
        <v/>
      </c>
      <c r="AC252" s="520" t="str">
        <f>IF(AND(_AC1="B-737-900",'2023'!$J$4="CA",'2023'!$J$2=AC233),'2023DATA'!$N$21,"")</f>
        <v/>
      </c>
      <c r="AD252" s="940" t="s">
        <v>47</v>
      </c>
      <c r="AE252" s="13" t="s">
        <v>61</v>
      </c>
      <c r="AF252" s="518" t="str">
        <f>IF(AND(_AC2="B-737-900",'2023'!$J$4="CA",'2023'!$J$2=AF233),'2023DATA'!$C$21,"")</f>
        <v/>
      </c>
      <c r="AG252" s="518" t="str">
        <f>IF(AND(_AC2="B-737-900",'2023'!$J$4="CA",'2023'!$J$2=AG233),'2023DATA'!$D$21,"")</f>
        <v/>
      </c>
      <c r="AH252" s="518" t="str">
        <f>IF(AND(_AC2="B-737-900",'2023'!$J$4="CA",'2023'!$J$2=AH233),'2023DATA'!$E$21,"")</f>
        <v/>
      </c>
      <c r="AI252" s="518" t="str">
        <f>IF(AND(_AC2="B-737-900",'2023'!$J$4="CA",'2023'!$J$2=AI233),'2023DATA'!$F$21,"")</f>
        <v/>
      </c>
      <c r="AJ252" s="518" t="str">
        <f>IF(AND(_AC2="B-737-900",'2023'!$J$4="CA",'2023'!$J$2=AJ233),'2023DATA'!$G$21,"")</f>
        <v/>
      </c>
      <c r="AK252" s="518" t="str">
        <f>IF(AND(_AC2="B-737-900",'2023'!$J$4="CA",'2023'!$J$2=AK233),'2023DATA'!$H$21,"")</f>
        <v/>
      </c>
      <c r="AL252" s="518" t="str">
        <f>IF(AND(_AC2="B-737-900",'2023'!$J$4="CA",'2023'!$J$2=AL233),'2023DATA'!$I$21,"")</f>
        <v/>
      </c>
      <c r="AM252" s="518" t="str">
        <f>IF(AND(_AC2="B-737-900",'2023'!$J$4="CA",'2023'!$J$2=AM233),'2023DATA'!$J$21,"")</f>
        <v/>
      </c>
      <c r="AN252" s="518" t="str">
        <f>IF(AND(_AC2="B-737-900",'2023'!$J$4="CA",'2023'!$J$2=AN233),'2023DATA'!$K$21,"")</f>
        <v/>
      </c>
      <c r="AO252" s="518" t="str">
        <f>IF(AND(_AC2="B-737-900",'2023'!$J$4="CA",'2023'!$J$2=AO233),'2023DATA'!$L$21,"")</f>
        <v/>
      </c>
      <c r="AP252" s="518" t="str">
        <f>IF(AND(_AC2="B-737-900",'2023'!$J$4="CA",'2023'!$J$2=AP233),'2023DATA'!$M$21,"")</f>
        <v/>
      </c>
      <c r="AQ252" s="520" t="str">
        <f>IF(AND(_AC2="B-737-900",'2023'!$J$4="CA",'2023'!$J$2=AQ233),'2023DATA'!$N$21,"")</f>
        <v/>
      </c>
      <c r="AR252" s="940" t="s">
        <v>47</v>
      </c>
      <c r="AS252" s="13" t="s">
        <v>61</v>
      </c>
      <c r="AT252" s="518" t="str">
        <f>IF(AND(_AC3="B-737-900",'2023'!$J$4="CA",'2023'!$J$2=AT233),'2023DATA'!$C$21,"")</f>
        <v/>
      </c>
      <c r="AU252" s="518" t="str">
        <f>IF(AND(_AC3="B-737-900",'2023'!$J$4="CA",'2023'!$J$2=AU233),'2023DATA'!$D$21,"")</f>
        <v/>
      </c>
      <c r="AV252" s="518" t="str">
        <f>IF(AND(_AC3="B-737-900",'2023'!$J$4="CA",'2023'!$J$2=AV233),'2023DATA'!$E$21,"")</f>
        <v/>
      </c>
      <c r="AW252" s="518" t="str">
        <f>IF(AND(_AC3="B-737-900",'2023'!$J$4="CA",'2023'!$J$2=AW233),'2023DATA'!$F$21,"")</f>
        <v/>
      </c>
      <c r="AX252" s="518" t="str">
        <f>IF(AND(_AC3="B-737-900",'2023'!$J$4="CA",'2023'!$J$2=AX233),'2023DATA'!$G$21,"")</f>
        <v/>
      </c>
      <c r="AY252" s="518" t="str">
        <f>IF(AND(_AC3="B-737-900",'2023'!$J$4="CA",'2023'!$J$2=AY233),'2023DATA'!$H$21,"")</f>
        <v/>
      </c>
      <c r="AZ252" s="518" t="str">
        <f>IF(AND(_AC3="B-737-900",'2023'!$J$4="CA",'2023'!$J$2=AZ233),'2023DATA'!$I$21,"")</f>
        <v/>
      </c>
      <c r="BA252" s="518" t="str">
        <f>IF(AND(_AC3="B-737-900",'2023'!$J$4="CA",'2023'!$J$2=BA233),'2023DATA'!$J$21,"")</f>
        <v/>
      </c>
      <c r="BB252" s="518" t="str">
        <f>IF(AND(_AC3="B-737-900",'2023'!$J$4="CA",'2023'!$J$2=BB233),'2023DATA'!$K$21,"")</f>
        <v/>
      </c>
      <c r="BC252" s="518" t="str">
        <f>IF(AND(_AC3="B-737-900",'2023'!$J$4="CA",'2023'!$J$2=BC233),'2023DATA'!$L$21,"")</f>
        <v/>
      </c>
      <c r="BD252" s="518" t="str">
        <f>IF(AND(_AC3="B-737-900",'2023'!$J$4="CA",'2023'!$J$2=BD233),'2023DATA'!$M$21,"")</f>
        <v/>
      </c>
      <c r="BE252" s="520" t="str">
        <f>IF(AND(_AC3="B-737-900",'2023'!$J$4="CA",'2023'!$J$2=BE233),'2023DATA'!$N$21,"")</f>
        <v/>
      </c>
      <c r="BF252" s="940" t="s">
        <v>47</v>
      </c>
      <c r="BG252" s="13" t="s">
        <v>61</v>
      </c>
      <c r="BH252" s="518" t="str">
        <f>IF(AND(_AC4="B-737-900",'2023'!$J$4="CA",'2023'!$J$2=BH233),'2023DATA'!$C$21,"")</f>
        <v/>
      </c>
      <c r="BI252" s="518" t="str">
        <f>IF(AND(_AC4="B-737-900",'2023'!$J$4="CA",'2023'!$J$2=BI233),'2023DATA'!$D$21,"")</f>
        <v/>
      </c>
      <c r="BJ252" s="518" t="str">
        <f>IF(AND(_AC4="B-737-900",'2023'!$J$4="CA",'2023'!$J$2=BJ233),'2023DATA'!$E$21,"")</f>
        <v/>
      </c>
      <c r="BK252" s="518" t="str">
        <f>IF(AND(_AC4="B-737-900",'2023'!$J$4="CA",'2023'!$J$2=BK233),'2023DATA'!$F$21,"")</f>
        <v/>
      </c>
      <c r="BL252" s="518" t="str">
        <f>IF(AND(_AC4="B-737-900",'2023'!$J$4="CA",'2023'!$J$2=BL233),'2023DATA'!$G$21,"")</f>
        <v/>
      </c>
      <c r="BM252" s="518" t="str">
        <f>IF(AND(_AC4="B-737-900",'2023'!$J$4="CA",'2023'!$J$2=BM233),'2023DATA'!$H$21,"")</f>
        <v/>
      </c>
      <c r="BN252" s="518" t="str">
        <f>IF(AND(_AC4="B-737-900",'2023'!$J$4="CA",'2023'!$J$2=BN233),'2023DATA'!$I$21,"")</f>
        <v/>
      </c>
      <c r="BO252" s="518" t="str">
        <f>IF(AND(_AC4="B-737-900",'2023'!$J$4="CA",'2023'!$J$2=BO233),'2023DATA'!$J$21,"")</f>
        <v/>
      </c>
      <c r="BP252" s="518" t="str">
        <f>IF(AND(_AC4="B-737-900",'2023'!$J$4="CA",'2023'!$J$2=BP233),'2023DATA'!$K$21,"")</f>
        <v/>
      </c>
      <c r="BQ252" s="518" t="str">
        <f>IF(AND(_AC4="B-737-900",'2023'!$J$4="CA",'2023'!$J$2=BQ233),'2023DATA'!$L$21,"")</f>
        <v/>
      </c>
      <c r="BR252" s="518" t="str">
        <f>IF(AND(_AC4="B-737-900",'2023'!$J$4="CA",'2023'!$J$2=BR233),'2023DATA'!$M$21,"")</f>
        <v/>
      </c>
      <c r="BS252" s="520" t="str">
        <f>IF(AND(_AC4="B-737-900",'2023'!$J$4="CA",'2023'!$J$2=BS233),'2023DATA'!$N$21,"")</f>
        <v/>
      </c>
      <c r="BT252" s="940" t="s">
        <v>47</v>
      </c>
      <c r="BU252" s="13" t="s">
        <v>61</v>
      </c>
      <c r="BV252" s="518" t="str">
        <f>IF(AND(_AC5="B-737-900",'2023'!$J$4="CA",'2023'!$J$2=BV233),'2023DATA'!$C$21,"")</f>
        <v/>
      </c>
      <c r="BW252" s="518" t="str">
        <f>IF(AND(_AC5="B-737-900",'2023'!$J$4="CA",'2023'!$J$2=BW233),'2023DATA'!$D$21,"")</f>
        <v/>
      </c>
      <c r="BX252" s="518" t="str">
        <f>IF(AND(_AC5="B-737-900",'2023'!$J$4="CA",'2023'!$J$2=BX233),'2023DATA'!$E$21,"")</f>
        <v/>
      </c>
      <c r="BY252" s="518" t="str">
        <f>IF(AND(_AC5="B-737-900",'2023'!$J$4="CA",'2023'!$J$2=BY233),'2023DATA'!$F$21,"")</f>
        <v/>
      </c>
      <c r="BZ252" s="518" t="str">
        <f>IF(AND(_AC5="B-737-900",'2023'!$J$4="CA",'2023'!$J$2=BZ233),'2023DATA'!$G$21,"")</f>
        <v/>
      </c>
      <c r="CA252" s="518" t="str">
        <f>IF(AND(_AC5="B-737-900",'2023'!$J$4="CA",'2023'!$J$2=CA233),'2023DATA'!$H$21,"")</f>
        <v/>
      </c>
      <c r="CB252" s="518" t="str">
        <f>IF(AND(_AC5="B-737-900",'2023'!$J$4="CA",'2023'!$J$2=CB233),'2023DATA'!$I$21,"")</f>
        <v/>
      </c>
      <c r="CC252" s="518" t="str">
        <f>IF(AND(_AC5="B-737-900",'2023'!$J$4="CA",'2023'!$J$2=CC233),'2023DATA'!$J$21,"")</f>
        <v/>
      </c>
      <c r="CD252" s="518" t="str">
        <f>IF(AND(_AC5="B-737-900",'2023'!$J$4="CA",'2023'!$J$2=CD233),'2023DATA'!$K$21,"")</f>
        <v/>
      </c>
      <c r="CE252" s="518" t="str">
        <f>IF(AND(_AC5="B-737-900",'2023'!$J$4="CA",'2023'!$J$2=CE233),'2023DATA'!$L$21,"")</f>
        <v/>
      </c>
      <c r="CF252" s="518" t="str">
        <f>IF(AND(_AC5="B-737-900",'2023'!$J$4="CA",'2023'!$J$2=CF233),'2023DATA'!$M$21,"")</f>
        <v/>
      </c>
      <c r="CG252" s="520" t="str">
        <f>IF(AND(_AC5="B-737-900",'2023'!$J$4="CA",'2023'!$J$2=CG233),'2023DATA'!$N$21,"")</f>
        <v/>
      </c>
      <c r="CH252" s="940" t="s">
        <v>47</v>
      </c>
      <c r="CI252" s="13" t="s">
        <v>61</v>
      </c>
      <c r="CJ252" s="518" t="str">
        <f>IF(AND(_AC6="B-737-900",'2023'!$J$4="CA",'2023'!$J$2=CJ233),'2023DATA'!$C$21,"")</f>
        <v/>
      </c>
      <c r="CK252" s="518" t="str">
        <f>IF(AND(_AC6="B-737-900",'2023'!$J$4="CA",'2023'!$J$2=CK233),'2023DATA'!$D$21,"")</f>
        <v/>
      </c>
      <c r="CL252" s="518" t="str">
        <f>IF(AND(_AC6="B-737-900",'2023'!$J$4="CA",'2023'!$J$2=CL233),'2023DATA'!$E$21,"")</f>
        <v/>
      </c>
      <c r="CM252" s="518" t="str">
        <f>IF(AND(_AC6="B-737-900",'2023'!$J$4="CA",'2023'!$J$2=CM233),'2023DATA'!$F$21,"")</f>
        <v/>
      </c>
      <c r="CN252" s="518" t="str">
        <f>IF(AND(_AC6="B-737-900",'2023'!$J$4="CA",'2023'!$J$2=CN233),'2023DATA'!$G$21,"")</f>
        <v/>
      </c>
      <c r="CO252" s="518" t="str">
        <f>IF(AND(_AC6="B-737-900",'2023'!$J$4="CA",'2023'!$J$2=CO233),'2023DATA'!$H$21,"")</f>
        <v/>
      </c>
      <c r="CP252" s="518" t="str">
        <f>IF(AND(_AC6="B-737-900",'2023'!$J$4="CA",'2023'!$J$2=CP233),'2023DATA'!$I$21,"")</f>
        <v/>
      </c>
      <c r="CQ252" s="518" t="str">
        <f>IF(AND(_AC6="B-737-900",'2023'!$J$4="CA",'2023'!$J$2=CQ233),'2023DATA'!$J$21,"")</f>
        <v/>
      </c>
      <c r="CR252" s="518" t="str">
        <f>IF(AND(_AC6="B-737-900",'2023'!$J$4="CA",'2023'!$J$2=CR233),'2023DATA'!$K$21,"")</f>
        <v/>
      </c>
      <c r="CS252" s="518" t="str">
        <f>IF(AND(_AC6="B-737-900",'2023'!$J$4="CA",'2023'!$J$2=CS233),'2023DATA'!$L$21,"")</f>
        <v/>
      </c>
      <c r="CT252" s="518" t="str">
        <f>IF(AND(_AC6="B-737-900",'2023'!$J$4="CA",'2023'!$J$2=CT233),'2023DATA'!$M$21,"")</f>
        <v/>
      </c>
      <c r="CU252" s="520" t="str">
        <f>IF(AND(_AC6="B-737-900",'2023'!$J$4="CA",'2023'!$J$2=CU233),'2023DATA'!$N$21,"")</f>
        <v/>
      </c>
    </row>
    <row r="253" spans="16:99" x14ac:dyDescent="0.25">
      <c r="P253" s="940"/>
      <c r="Q253" s="13" t="s">
        <v>62</v>
      </c>
      <c r="R253" s="518" t="str">
        <f>IF(AND(_AC1="B-737-900",'2023'!$J$4="FO",'2023'!$J$2=R233),'2023DATA'!$C$22,"")</f>
        <v/>
      </c>
      <c r="S253" s="518" t="str">
        <f>IF(AND(_AC1="B-737-900",'2023'!$J$4="FO",'2023'!$J$2=S233),'2023DATA'!$D$22,"")</f>
        <v/>
      </c>
      <c r="T253" s="518" t="str">
        <f>IF(AND(_AC1="B-737-900",'2023'!$J$4="FO",'2023'!$J$2=T233),'2023DATA'!$E$22,"")</f>
        <v/>
      </c>
      <c r="U253" s="518" t="str">
        <f>IF(AND(_AC1="B-737-900",'2023'!$J$4="FO",'2023'!$J$2=U233),'2023DATA'!$F$22,"")</f>
        <v/>
      </c>
      <c r="V253" s="518" t="str">
        <f>IF(AND(_AC1="B-737-900",'2023'!$J$4="FO",'2023'!$J$2=V233),'2023DATA'!$G$22,"")</f>
        <v/>
      </c>
      <c r="W253" s="518" t="str">
        <f>IF(AND(_AC1="B-737-900",'2023'!$J$4="FO",'2023'!$J$2=W233),'2023DATA'!$H$22,"")</f>
        <v/>
      </c>
      <c r="X253" s="518" t="str">
        <f>IF(AND(_AC1="B-737-900",'2023'!$J$4="FO",'2023'!$J$2=X233),'2023DATA'!$I$22,"")</f>
        <v/>
      </c>
      <c r="Y253" s="518" t="str">
        <f>IF(AND(_AC1="B-737-900",'2023'!$J$4="FO",'2023'!$J$2=Y233),'2023DATA'!$J$22,"")</f>
        <v/>
      </c>
      <c r="Z253" s="518" t="str">
        <f>IF(AND(_AC1="B-737-900",'2023'!$J$4="FO",'2023'!$J$2=Z233),'2023DATA'!$K$22,"")</f>
        <v/>
      </c>
      <c r="AA253" s="518" t="str">
        <f>IF(AND(_AC1="B-737-900",'2023'!$J$4="FO",'2023'!$J$2=AA233),'2023DATA'!$L$22,"")</f>
        <v/>
      </c>
      <c r="AB253" s="518" t="str">
        <f>IF(AND(_AC1="B-737-900",'2023'!$J$4="FO",'2023'!$J$2=AB233),'2023DATA'!$M$22,"")</f>
        <v/>
      </c>
      <c r="AC253" s="520" t="str">
        <f>IF(AND(_AC1="B-737-900",'2023'!$J$4="FO",'2023'!$J$2=AC233),'2023DATA'!$N$22,"")</f>
        <v/>
      </c>
      <c r="AD253" s="940"/>
      <c r="AE253" s="13" t="s">
        <v>62</v>
      </c>
      <c r="AF253" s="518" t="str">
        <f>IF(AND(_AC2="B-737-900",'2023'!$J$4="FO",'2023'!$J$2=AF233),'2023DATA'!$C$22,"")</f>
        <v/>
      </c>
      <c r="AG253" s="518" t="str">
        <f>IF(AND(_AC2="B-737-900",'2023'!$J$4="FO",'2023'!$J$2=AG233),'2023DATA'!$D$22,"")</f>
        <v/>
      </c>
      <c r="AH253" s="518" t="str">
        <f>IF(AND(_AC2="B-737-900",'2023'!$J$4="FO",'2023'!$J$2=AH233),'2023DATA'!$E$22,"")</f>
        <v/>
      </c>
      <c r="AI253" s="518" t="str">
        <f>IF(AND(_AC2="B-737-900",'2023'!$J$4="FO",'2023'!$J$2=AI233),'2023DATA'!$F$22,"")</f>
        <v/>
      </c>
      <c r="AJ253" s="518" t="str">
        <f>IF(AND(_AC2="B-737-900",'2023'!$J$4="FO",'2023'!$J$2=AJ233),'2023DATA'!$G$22,"")</f>
        <v/>
      </c>
      <c r="AK253" s="518" t="str">
        <f>IF(AND(_AC2="B-737-900",'2023'!$J$4="FO",'2023'!$J$2=AK233),'2023DATA'!$H$22,"")</f>
        <v/>
      </c>
      <c r="AL253" s="518" t="str">
        <f>IF(AND(_AC2="B-737-900",'2023'!$J$4="FO",'2023'!$J$2=AL233),'2023DATA'!$I$22,"")</f>
        <v/>
      </c>
      <c r="AM253" s="518" t="str">
        <f>IF(AND(_AC2="B-737-900",'2023'!$J$4="FO",'2023'!$J$2=AM233),'2023DATA'!$J$22,"")</f>
        <v/>
      </c>
      <c r="AN253" s="518" t="str">
        <f>IF(AND(_AC2="B-737-900",'2023'!$J$4="FO",'2023'!$J$2=AN233),'2023DATA'!$K$22,"")</f>
        <v/>
      </c>
      <c r="AO253" s="518" t="str">
        <f>IF(AND(_AC2="B-737-900",'2023'!$J$4="FO",'2023'!$J$2=AO233),'2023DATA'!$L$22,"")</f>
        <v/>
      </c>
      <c r="AP253" s="518" t="str">
        <f>IF(AND(_AC2="B-737-900",'2023'!$J$4="FO",'2023'!$J$2=AP233),'2023DATA'!$M$22,"")</f>
        <v/>
      </c>
      <c r="AQ253" s="520" t="str">
        <f>IF(AND(_AC2="B-737-900",'2023'!$J$4="FO",'2023'!$J$2=AQ233),'2023DATA'!$N$22,"")</f>
        <v/>
      </c>
      <c r="AR253" s="940"/>
      <c r="AS253" s="13" t="s">
        <v>62</v>
      </c>
      <c r="AT253" s="518" t="str">
        <f>IF(AND(_AC3="B-737-900",'2023'!$J$4="FO",'2023'!$J$2=AT233),'2023DATA'!$C$22,"")</f>
        <v/>
      </c>
      <c r="AU253" s="518" t="str">
        <f>IF(AND(_AC3="B-737-900",'2023'!$J$4="FO",'2023'!$J$2=AU233),'2023DATA'!$D$22,"")</f>
        <v/>
      </c>
      <c r="AV253" s="518" t="str">
        <f>IF(AND(_AC3="B-737-900",'2023'!$J$4="FO",'2023'!$J$2=AV233),'2023DATA'!$E$22,"")</f>
        <v/>
      </c>
      <c r="AW253" s="518" t="str">
        <f>IF(AND(_AC3="B-737-900",'2023'!$J$4="FO",'2023'!$J$2=AW233),'2023DATA'!$F$22,"")</f>
        <v/>
      </c>
      <c r="AX253" s="518" t="str">
        <f>IF(AND(_AC3="B-737-900",'2023'!$J$4="FO",'2023'!$J$2=AX233),'2023DATA'!$G$22,"")</f>
        <v/>
      </c>
      <c r="AY253" s="518" t="str">
        <f>IF(AND(_AC3="B-737-900",'2023'!$J$4="FO",'2023'!$J$2=AY233),'2023DATA'!$H$22,"")</f>
        <v/>
      </c>
      <c r="AZ253" s="518" t="str">
        <f>IF(AND(_AC3="B-737-900",'2023'!$J$4="FO",'2023'!$J$2=AZ233),'2023DATA'!$I$22,"")</f>
        <v/>
      </c>
      <c r="BA253" s="518" t="str">
        <f>IF(AND(_AC3="B-737-900",'2023'!$J$4="FO",'2023'!$J$2=BA233),'2023DATA'!$J$22,"")</f>
        <v/>
      </c>
      <c r="BB253" s="518" t="str">
        <f>IF(AND(_AC3="B-737-900",'2023'!$J$4="FO",'2023'!$J$2=BB233),'2023DATA'!$K$22,"")</f>
        <v/>
      </c>
      <c r="BC253" s="518" t="str">
        <f>IF(AND(_AC3="B-737-900",'2023'!$J$4="FO",'2023'!$J$2=BC233),'2023DATA'!$L$22,"")</f>
        <v/>
      </c>
      <c r="BD253" s="518" t="str">
        <f>IF(AND(_AC3="B-737-900",'2023'!$J$4="FO",'2023'!$J$2=BD233),'2023DATA'!$M$22,"")</f>
        <v/>
      </c>
      <c r="BE253" s="520" t="str">
        <f>IF(AND(_AC3="B-737-900",'2023'!$J$4="FO",'2023'!$J$2=BE233),'2023DATA'!$N$22,"")</f>
        <v/>
      </c>
      <c r="BF253" s="940"/>
      <c r="BG253" s="13" t="s">
        <v>62</v>
      </c>
      <c r="BH253" s="518" t="str">
        <f>IF(AND(_AC4="B-737-900",'2023'!$J$4="FO",'2023'!$J$2=BH233),'2023DATA'!$C$22,"")</f>
        <v/>
      </c>
      <c r="BI253" s="518" t="str">
        <f>IF(AND(_AC4="B-737-900",'2023'!$J$4="FO",'2023'!$J$2=BI233),'2023DATA'!$D$22,"")</f>
        <v/>
      </c>
      <c r="BJ253" s="518" t="str">
        <f>IF(AND(_AC4="B-737-900",'2023'!$J$4="FO",'2023'!$J$2=BJ233),'2023DATA'!$E$22,"")</f>
        <v/>
      </c>
      <c r="BK253" s="518" t="str">
        <f>IF(AND(_AC4="B-737-900",'2023'!$J$4="FO",'2023'!$J$2=BK233),'2023DATA'!$F$22,"")</f>
        <v/>
      </c>
      <c r="BL253" s="518" t="str">
        <f>IF(AND(_AC4="B-737-900",'2023'!$J$4="FO",'2023'!$J$2=BL233),'2023DATA'!$G$22,"")</f>
        <v/>
      </c>
      <c r="BM253" s="518" t="str">
        <f>IF(AND(_AC4="B-737-900",'2023'!$J$4="FO",'2023'!$J$2=BM233),'2023DATA'!$H$22,"")</f>
        <v/>
      </c>
      <c r="BN253" s="518" t="str">
        <f>IF(AND(_AC4="B-737-900",'2023'!$J$4="FO",'2023'!$J$2=BN233),'2023DATA'!$I$22,"")</f>
        <v/>
      </c>
      <c r="BO253" s="518" t="str">
        <f>IF(AND(_AC4="B-737-900",'2023'!$J$4="FO",'2023'!$J$2=BO233),'2023DATA'!$J$22,"")</f>
        <v/>
      </c>
      <c r="BP253" s="518" t="str">
        <f>IF(AND(_AC4="B-737-900",'2023'!$J$4="FO",'2023'!$J$2=BP233),'2023DATA'!$K$22,"")</f>
        <v/>
      </c>
      <c r="BQ253" s="518" t="str">
        <f>IF(AND(_AC4="B-737-900",'2023'!$J$4="FO",'2023'!$J$2=BQ233),'2023DATA'!$L$22,"")</f>
        <v/>
      </c>
      <c r="BR253" s="518" t="str">
        <f>IF(AND(_AC4="B-737-900",'2023'!$J$4="FO",'2023'!$J$2=BR233),'2023DATA'!$M$22,"")</f>
        <v/>
      </c>
      <c r="BS253" s="520" t="str">
        <f>IF(AND(_AC4="B-737-900",'2023'!$J$4="FO",'2023'!$J$2=BS233),'2023DATA'!$N$22,"")</f>
        <v/>
      </c>
      <c r="BT253" s="940"/>
      <c r="BU253" s="13" t="s">
        <v>62</v>
      </c>
      <c r="BV253" s="518" t="str">
        <f>IF(AND(_AC5="B-737-900",'2023'!$J$4="FO",'2023'!$J$2=BV233),'2023DATA'!$C$22,"")</f>
        <v/>
      </c>
      <c r="BW253" s="518" t="str">
        <f>IF(AND(_AC5="B-737-900",'2023'!$J$4="FO",'2023'!$J$2=BW233),'2023DATA'!$D$22,"")</f>
        <v/>
      </c>
      <c r="BX253" s="518" t="str">
        <f>IF(AND(_AC5="B-737-900",'2023'!$J$4="FO",'2023'!$J$2=BX233),'2023DATA'!$E$22,"")</f>
        <v/>
      </c>
      <c r="BY253" s="518" t="str">
        <f>IF(AND(_AC5="B-737-900",'2023'!$J$4="FO",'2023'!$J$2=BY233),'2023DATA'!$F$22,"")</f>
        <v/>
      </c>
      <c r="BZ253" s="518" t="str">
        <f>IF(AND(_AC5="B-737-900",'2023'!$J$4="FO",'2023'!$J$2=BZ233),'2023DATA'!$G$22,"")</f>
        <v/>
      </c>
      <c r="CA253" s="518" t="str">
        <f>IF(AND(_AC5="B-737-900",'2023'!$J$4="FO",'2023'!$J$2=CA233),'2023DATA'!$H$22,"")</f>
        <v/>
      </c>
      <c r="CB253" s="518" t="str">
        <f>IF(AND(_AC5="B-737-900",'2023'!$J$4="FO",'2023'!$J$2=CB233),'2023DATA'!$I$22,"")</f>
        <v/>
      </c>
      <c r="CC253" s="518" t="str">
        <f>IF(AND(_AC5="B-737-900",'2023'!$J$4="FO",'2023'!$J$2=CC233),'2023DATA'!$J$22,"")</f>
        <v/>
      </c>
      <c r="CD253" s="518" t="str">
        <f>IF(AND(_AC5="B-737-900",'2023'!$J$4="FO",'2023'!$J$2=CD233),'2023DATA'!$K$22,"")</f>
        <v/>
      </c>
      <c r="CE253" s="518" t="str">
        <f>IF(AND(_AC5="B-737-900",'2023'!$J$4="FO",'2023'!$J$2=CE233),'2023DATA'!$L$22,"")</f>
        <v/>
      </c>
      <c r="CF253" s="518" t="str">
        <f>IF(AND(_AC5="B-737-900",'2023'!$J$4="FO",'2023'!$J$2=CF233),'2023DATA'!$M$22,"")</f>
        <v/>
      </c>
      <c r="CG253" s="520" t="str">
        <f>IF(AND(_AC5="B-737-900",'2023'!$J$4="FO",'2023'!$J$2=CG233),'2023DATA'!$N$22,"")</f>
        <v/>
      </c>
      <c r="CH253" s="940"/>
      <c r="CI253" s="13" t="s">
        <v>62</v>
      </c>
      <c r="CJ253" s="518" t="str">
        <f>IF(AND(_AC6="B-737-900",'2023'!$J$4="FO",'2023'!$J$2=CJ233),'2023DATA'!$C$22,"")</f>
        <v/>
      </c>
      <c r="CK253" s="518" t="str">
        <f>IF(AND(_AC6="B-737-900",'2023'!$J$4="FO",'2023'!$J$2=CK233),'2023DATA'!$D$22,"")</f>
        <v/>
      </c>
      <c r="CL253" s="518" t="str">
        <f>IF(AND(_AC6="B-737-900",'2023'!$J$4="FO",'2023'!$J$2=CL233),'2023DATA'!$E$22,"")</f>
        <v/>
      </c>
      <c r="CM253" s="518" t="str">
        <f>IF(AND(_AC6="B-737-900",'2023'!$J$4="FO",'2023'!$J$2=CM233),'2023DATA'!$F$22,"")</f>
        <v/>
      </c>
      <c r="CN253" s="518" t="str">
        <f>IF(AND(_AC6="B-737-900",'2023'!$J$4="FO",'2023'!$J$2=CN233),'2023DATA'!$G$22,"")</f>
        <v/>
      </c>
      <c r="CO253" s="518" t="str">
        <f>IF(AND(_AC6="B-737-900",'2023'!$J$4="FO",'2023'!$J$2=CO233),'2023DATA'!$H$22,"")</f>
        <v/>
      </c>
      <c r="CP253" s="518" t="str">
        <f>IF(AND(_AC6="B-737-900",'2023'!$J$4="FO",'2023'!$J$2=CP233),'2023DATA'!$I$22,"")</f>
        <v/>
      </c>
      <c r="CQ253" s="518" t="str">
        <f>IF(AND(_AC6="B-737-900",'2023'!$J$4="FO",'2023'!$J$2=CQ233),'2023DATA'!$J$22,"")</f>
        <v/>
      </c>
      <c r="CR253" s="518" t="str">
        <f>IF(AND(_AC6="B-737-900",'2023'!$J$4="FO",'2023'!$J$2=CR233),'2023DATA'!$K$22,"")</f>
        <v/>
      </c>
      <c r="CS253" s="518" t="str">
        <f>IF(AND(_AC6="B-737-900",'2023'!$J$4="FO",'2023'!$J$2=CS233),'2023DATA'!$L$22,"")</f>
        <v/>
      </c>
      <c r="CT253" s="518" t="str">
        <f>IF(AND(_AC6="B-737-900",'2023'!$J$4="FO",'2023'!$J$2=CT233),'2023DATA'!$M$22,"")</f>
        <v/>
      </c>
      <c r="CU253" s="520" t="str">
        <f>IF(AND(_AC6="B-737-900",'2023'!$J$4="FO",'2023'!$J$2=CU233),'2023DATA'!$N$22,"")</f>
        <v/>
      </c>
    </row>
    <row r="254" spans="16:99" x14ac:dyDescent="0.25">
      <c r="P254" s="940" t="s">
        <v>69</v>
      </c>
      <c r="Q254" s="13" t="s">
        <v>61</v>
      </c>
      <c r="R254" s="518" t="str">
        <f>IF(AND(_AC1="B-737-800",'2023'!$J$4="CA",'2023'!$J$2=R233),'2023DATA'!$C$23,"")</f>
        <v/>
      </c>
      <c r="S254" s="518" t="str">
        <f>IF(AND(_AC1="B-737-800",'2023'!$J$4="CA",'2023'!$J$2=S233),'2023DATA'!$D$23,"")</f>
        <v/>
      </c>
      <c r="T254" s="518" t="str">
        <f>IF(AND(_AC1="B-737-800",'2023'!$J$4="CA",'2023'!$J$2=T233),'2023DATA'!$E$23,"")</f>
        <v/>
      </c>
      <c r="U254" s="518" t="str">
        <f>IF(AND(_AC1="B-737-800",'2023'!$J$4="CA",'2023'!$J$2=U233),'2023DATA'!$F$23,"")</f>
        <v/>
      </c>
      <c r="V254" s="518" t="str">
        <f>IF(AND(_AC1="B-737-800",'2023'!$J$4="CA",'2023'!$J$2=V233),'2023DATA'!$G$23,"")</f>
        <v/>
      </c>
      <c r="W254" s="518" t="str">
        <f>IF(AND(_AC1="B-737-800",'2023'!$J$4="CA",'2023'!$J$2=W233),'2023DATA'!$H$23,"")</f>
        <v/>
      </c>
      <c r="X254" s="518" t="str">
        <f>IF(AND(_AC1="B-737-800",'2023'!$J$4="CA",'2023'!$J$2=X233),'2023DATA'!$I$23,"")</f>
        <v/>
      </c>
      <c r="Y254" s="518" t="str">
        <f>IF(AND(_AC1="B-737-800",'2023'!$J$4="CA",'2023'!$J$2=Y233),'2023DATA'!$J$23,"")</f>
        <v/>
      </c>
      <c r="Z254" s="518" t="str">
        <f>IF(AND(_AC1="B-737-800",'2023'!$J$4="CA",'2023'!$J$2=Z233),'2023DATA'!$K$23,"")</f>
        <v/>
      </c>
      <c r="AA254" s="518" t="str">
        <f>IF(AND(_AC1="B-737-800",'2023'!$J$4="CA",'2023'!$J$2=AA233),'2023DATA'!$L$23,"")</f>
        <v/>
      </c>
      <c r="AB254" s="518" t="str">
        <f>IF(AND(_AC1="B-737-800",'2023'!$J$4="CA",'2023'!$J$2=AB233),'2023DATA'!$M$23,"")</f>
        <v/>
      </c>
      <c r="AC254" s="520" t="str">
        <f>IF(AND(_AC1="B-737-800",'2023'!$J$4="CA",'2023'!$J$2=AC233),'2023DATA'!$N$23,"")</f>
        <v/>
      </c>
      <c r="AD254" s="940" t="s">
        <v>69</v>
      </c>
      <c r="AE254" s="13" t="s">
        <v>61</v>
      </c>
      <c r="AF254" s="518" t="str">
        <f>IF(AND(_AC2="B-737-800",'2023'!$J$4="CA",'2023'!$J$2=AF233),'2023DATA'!$C$23,"")</f>
        <v/>
      </c>
      <c r="AG254" s="518" t="str">
        <f>IF(AND(_AC2="B-737-800",'2023'!$J$4="CA",'2023'!$J$2=AG233),'2023DATA'!$D$23,"")</f>
        <v/>
      </c>
      <c r="AH254" s="518" t="str">
        <f>IF(AND(_AC2="B-737-800",'2023'!$J$4="CA",'2023'!$J$2=AH233),'2023DATA'!$E$23,"")</f>
        <v/>
      </c>
      <c r="AI254" s="518" t="str">
        <f>IF(AND(_AC2="B-737-800",'2023'!$J$4="CA",'2023'!$J$2=AI233),'2023DATA'!$F$23,"")</f>
        <v/>
      </c>
      <c r="AJ254" s="518" t="str">
        <f>IF(AND(_AC2="B-737-800",'2023'!$J$4="CA",'2023'!$J$2=AJ233),'2023DATA'!$G$23,"")</f>
        <v/>
      </c>
      <c r="AK254" s="518" t="str">
        <f>IF(AND(_AC2="B-737-800",'2023'!$J$4="CA",'2023'!$J$2=AK233),'2023DATA'!$H$23,"")</f>
        <v/>
      </c>
      <c r="AL254" s="518" t="str">
        <f>IF(AND(_AC2="B-737-800",'2023'!$J$4="CA",'2023'!$J$2=AL233),'2023DATA'!$I$23,"")</f>
        <v/>
      </c>
      <c r="AM254" s="518" t="str">
        <f>IF(AND(_AC2="B-737-800",'2023'!$J$4="CA",'2023'!$J$2=AM233),'2023DATA'!$J$23,"")</f>
        <v/>
      </c>
      <c r="AN254" s="518" t="str">
        <f>IF(AND(_AC2="B-737-800",'2023'!$J$4="CA",'2023'!$J$2=AN233),'2023DATA'!$K$23,"")</f>
        <v/>
      </c>
      <c r="AO254" s="518" t="str">
        <f>IF(AND(_AC2="B-737-800",'2023'!$J$4="CA",'2023'!$J$2=AO233),'2023DATA'!$L$23,"")</f>
        <v/>
      </c>
      <c r="AP254" s="518" t="str">
        <f>IF(AND(_AC2="B-737-800",'2023'!$J$4="CA",'2023'!$J$2=AP233),'2023DATA'!$M$23,"")</f>
        <v/>
      </c>
      <c r="AQ254" s="520" t="str">
        <f>IF(AND(_AC2="B-737-800",'2023'!$J$4="CA",'2023'!$J$2=AQ233),'2023DATA'!$N$23,"")</f>
        <v/>
      </c>
      <c r="AR254" s="940" t="s">
        <v>69</v>
      </c>
      <c r="AS254" s="13" t="s">
        <v>61</v>
      </c>
      <c r="AT254" s="518" t="str">
        <f>IF(AND(_AC3="B-737-800",'2023'!$J$4="CA",'2023'!$J$2=AT233),'2023DATA'!$C$23,"")</f>
        <v/>
      </c>
      <c r="AU254" s="518" t="str">
        <f>IF(AND(_AC3="B-737-800",'2023'!$J$4="CA",'2023'!$J$2=AU233),'2023DATA'!$D$23,"")</f>
        <v/>
      </c>
      <c r="AV254" s="518" t="str">
        <f>IF(AND(_AC3="B-737-800",'2023'!$J$4="CA",'2023'!$J$2=AV233),'2023DATA'!$E$23,"")</f>
        <v/>
      </c>
      <c r="AW254" s="518" t="str">
        <f>IF(AND(_AC3="B-737-800",'2023'!$J$4="CA",'2023'!$J$2=AW233),'2023DATA'!$F$23,"")</f>
        <v/>
      </c>
      <c r="AX254" s="518" t="str">
        <f>IF(AND(_AC3="B-737-800",'2023'!$J$4="CA",'2023'!$J$2=AX233),'2023DATA'!$G$23,"")</f>
        <v/>
      </c>
      <c r="AY254" s="518" t="str">
        <f>IF(AND(_AC3="B-737-800",'2023'!$J$4="CA",'2023'!$J$2=AY233),'2023DATA'!$H$23,"")</f>
        <v/>
      </c>
      <c r="AZ254" s="518" t="str">
        <f>IF(AND(_AC3="B-737-800",'2023'!$J$4="CA",'2023'!$J$2=AZ233),'2023DATA'!$I$23,"")</f>
        <v/>
      </c>
      <c r="BA254" s="518" t="str">
        <f>IF(AND(_AC3="B-737-800",'2023'!$J$4="CA",'2023'!$J$2=BA233),'2023DATA'!$J$23,"")</f>
        <v/>
      </c>
      <c r="BB254" s="518" t="str">
        <f>IF(AND(_AC3="B-737-800",'2023'!$J$4="CA",'2023'!$J$2=BB233),'2023DATA'!$K$23,"")</f>
        <v/>
      </c>
      <c r="BC254" s="518" t="str">
        <f>IF(AND(_AC3="B-737-800",'2023'!$J$4="CA",'2023'!$J$2=BC233),'2023DATA'!$L$23,"")</f>
        <v/>
      </c>
      <c r="BD254" s="518" t="str">
        <f>IF(AND(_AC3="B-737-800",'2023'!$J$4="CA",'2023'!$J$2=BD233),'2023DATA'!$M$23,"")</f>
        <v/>
      </c>
      <c r="BE254" s="520" t="str">
        <f>IF(AND(_AC3="B-737-800",'2023'!$J$4="CA",'2023'!$J$2=BE233),'2023DATA'!$N$23,"")</f>
        <v/>
      </c>
      <c r="BF254" s="940" t="s">
        <v>69</v>
      </c>
      <c r="BG254" s="13" t="s">
        <v>61</v>
      </c>
      <c r="BH254" s="518" t="str">
        <f>IF(AND(_AC4="B-737-800",'2023'!$J$4="CA",'2023'!$J$2=BH233),'2023DATA'!$C$23,"")</f>
        <v/>
      </c>
      <c r="BI254" s="518" t="str">
        <f>IF(AND(_AC4="B-737-800",'2023'!$J$4="CA",'2023'!$J$2=BI233),'2023DATA'!$D$23,"")</f>
        <v/>
      </c>
      <c r="BJ254" s="518" t="str">
        <f>IF(AND(_AC4="B-737-800",'2023'!$J$4="CA",'2023'!$J$2=BJ233),'2023DATA'!$E$23,"")</f>
        <v/>
      </c>
      <c r="BK254" s="518" t="str">
        <f>IF(AND(_AC4="B-737-800",'2023'!$J$4="CA",'2023'!$J$2=BK233),'2023DATA'!$F$23,"")</f>
        <v/>
      </c>
      <c r="BL254" s="518" t="str">
        <f>IF(AND(_AC4="B-737-800",'2023'!$J$4="CA",'2023'!$J$2=BL233),'2023DATA'!$G$23,"")</f>
        <v/>
      </c>
      <c r="BM254" s="518" t="str">
        <f>IF(AND(_AC4="B-737-800",'2023'!$J$4="CA",'2023'!$J$2=BM233),'2023DATA'!$H$23,"")</f>
        <v/>
      </c>
      <c r="BN254" s="518" t="str">
        <f>IF(AND(_AC4="B-737-800",'2023'!$J$4="CA",'2023'!$J$2=BN233),'2023DATA'!$I$23,"")</f>
        <v/>
      </c>
      <c r="BO254" s="518" t="str">
        <f>IF(AND(_AC4="B-737-800",'2023'!$J$4="CA",'2023'!$J$2=BO233),'2023DATA'!$J$23,"")</f>
        <v/>
      </c>
      <c r="BP254" s="518" t="str">
        <f>IF(AND(_AC4="B-737-800",'2023'!$J$4="CA",'2023'!$J$2=BP233),'2023DATA'!$K$23,"")</f>
        <v/>
      </c>
      <c r="BQ254" s="518" t="str">
        <f>IF(AND(_AC4="B-737-800",'2023'!$J$4="CA",'2023'!$J$2=BQ233),'2023DATA'!$L$23,"")</f>
        <v/>
      </c>
      <c r="BR254" s="518" t="str">
        <f>IF(AND(_AC4="B-737-800",'2023'!$J$4="CA",'2023'!$J$2=BR233),'2023DATA'!$M$23,"")</f>
        <v/>
      </c>
      <c r="BS254" s="520" t="str">
        <f>IF(AND(_AC4="B-737-800",'2023'!$J$4="CA",'2023'!$J$2=BS233),'2023DATA'!$N$23,"")</f>
        <v/>
      </c>
      <c r="BT254" s="940" t="s">
        <v>69</v>
      </c>
      <c r="BU254" s="13" t="s">
        <v>61</v>
      </c>
      <c r="BV254" s="518" t="str">
        <f>IF(AND(_AC5="B-737-800",'2023'!$J$4="CA",'2023'!$J$2=BV233),'2023DATA'!$C$23,"")</f>
        <v/>
      </c>
      <c r="BW254" s="518" t="str">
        <f>IF(AND(_AC5="B-737-800",'2023'!$J$4="CA",'2023'!$J$2=BW233),'2023DATA'!$D$23,"")</f>
        <v/>
      </c>
      <c r="BX254" s="518" t="str">
        <f>IF(AND(_AC5="B-737-800",'2023'!$J$4="CA",'2023'!$J$2=BX233),'2023DATA'!$E$23,"")</f>
        <v/>
      </c>
      <c r="BY254" s="518" t="str">
        <f>IF(AND(_AC5="B-737-800",'2023'!$J$4="CA",'2023'!$J$2=BY233),'2023DATA'!$F$23,"")</f>
        <v/>
      </c>
      <c r="BZ254" s="518" t="str">
        <f>IF(AND(_AC5="B-737-800",'2023'!$J$4="CA",'2023'!$J$2=BZ233),'2023DATA'!$G$23,"")</f>
        <v/>
      </c>
      <c r="CA254" s="518" t="str">
        <f>IF(AND(_AC5="B-737-800",'2023'!$J$4="CA",'2023'!$J$2=CA233),'2023DATA'!$H$23,"")</f>
        <v/>
      </c>
      <c r="CB254" s="518" t="str">
        <f>IF(AND(_AC5="B-737-800",'2023'!$J$4="CA",'2023'!$J$2=CB233),'2023DATA'!$I$23,"")</f>
        <v/>
      </c>
      <c r="CC254" s="518" t="str">
        <f>IF(AND(_AC5="B-737-800",'2023'!$J$4="CA",'2023'!$J$2=CC233),'2023DATA'!$J$23,"")</f>
        <v/>
      </c>
      <c r="CD254" s="518" t="str">
        <f>IF(AND(_AC5="B-737-800",'2023'!$J$4="CA",'2023'!$J$2=CD233),'2023DATA'!$K$23,"")</f>
        <v/>
      </c>
      <c r="CE254" s="518" t="str">
        <f>IF(AND(_AC5="B-737-800",'2023'!$J$4="CA",'2023'!$J$2=CE233),'2023DATA'!$L$23,"")</f>
        <v/>
      </c>
      <c r="CF254" s="518" t="str">
        <f>IF(AND(_AC5="B-737-800",'2023'!$J$4="CA",'2023'!$J$2=CF233),'2023DATA'!$M$23,"")</f>
        <v/>
      </c>
      <c r="CG254" s="520" t="str">
        <f>IF(AND(_AC5="B-737-800",'2023'!$J$4="CA",'2023'!$J$2=CG233),'2023DATA'!$N$23,"")</f>
        <v/>
      </c>
      <c r="CH254" s="940" t="s">
        <v>69</v>
      </c>
      <c r="CI254" s="13" t="s">
        <v>61</v>
      </c>
      <c r="CJ254" s="518" t="str">
        <f>IF(AND(_AC6="B-737-800",'2023'!$J$4="CA",'2023'!$J$2=CJ233),'2023DATA'!$C$23,"")</f>
        <v/>
      </c>
      <c r="CK254" s="518" t="str">
        <f>IF(AND(_AC6="B-737-800",'2023'!$J$4="CA",'2023'!$J$2=CK233),'2023DATA'!$D$23,"")</f>
        <v/>
      </c>
      <c r="CL254" s="518" t="str">
        <f>IF(AND(_AC6="B-737-800",'2023'!$J$4="CA",'2023'!$J$2=CL233),'2023DATA'!$E$23,"")</f>
        <v/>
      </c>
      <c r="CM254" s="518" t="str">
        <f>IF(AND(_AC6="B-737-800",'2023'!$J$4="CA",'2023'!$J$2=CM233),'2023DATA'!$F$23,"")</f>
        <v/>
      </c>
      <c r="CN254" s="518" t="str">
        <f>IF(AND(_AC6="B-737-800",'2023'!$J$4="CA",'2023'!$J$2=CN233),'2023DATA'!$G$23,"")</f>
        <v/>
      </c>
      <c r="CO254" s="518" t="str">
        <f>IF(AND(_AC6="B-737-800",'2023'!$J$4="CA",'2023'!$J$2=CO233),'2023DATA'!$H$23,"")</f>
        <v/>
      </c>
      <c r="CP254" s="518" t="str">
        <f>IF(AND(_AC6="B-737-800",'2023'!$J$4="CA",'2023'!$J$2=CP233),'2023DATA'!$I$23,"")</f>
        <v/>
      </c>
      <c r="CQ254" s="518" t="str">
        <f>IF(AND(_AC6="B-737-800",'2023'!$J$4="CA",'2023'!$J$2=CQ233),'2023DATA'!$J$23,"")</f>
        <v/>
      </c>
      <c r="CR254" s="518" t="str">
        <f>IF(AND(_AC6="B-737-800",'2023'!$J$4="CA",'2023'!$J$2=CR233),'2023DATA'!$K$23,"")</f>
        <v/>
      </c>
      <c r="CS254" s="518" t="str">
        <f>IF(AND(_AC6="B-737-800",'2023'!$J$4="CA",'2023'!$J$2=CS233),'2023DATA'!$L$23,"")</f>
        <v/>
      </c>
      <c r="CT254" s="518" t="str">
        <f>IF(AND(_AC6="B-737-800",'2023'!$J$4="CA",'2023'!$J$2=CT233),'2023DATA'!$M$23,"")</f>
        <v/>
      </c>
      <c r="CU254" s="520" t="str">
        <f>IF(AND(_AC6="B-737-800",'2023'!$J$4="CA",'2023'!$J$2=CU233),'2023DATA'!$N$23,"")</f>
        <v/>
      </c>
    </row>
    <row r="255" spans="16:99" x14ac:dyDescent="0.25">
      <c r="P255" s="940"/>
      <c r="Q255" s="13" t="s">
        <v>62</v>
      </c>
      <c r="R255" s="518" t="str">
        <f>IF(AND(_AC1="B-737-800",'2023'!$J$4="FO",'2023'!$J$2=R233),'2023DATA'!$C$24,"")</f>
        <v/>
      </c>
      <c r="S255" s="518" t="str">
        <f>IF(AND(_AC1="B-737-800",'2023'!$J$4="FO",'2023'!$J$2=S233),'2023DATA'!$D$24,"")</f>
        <v/>
      </c>
      <c r="T255" s="518" t="str">
        <f>IF(AND(_AC1="B-737-800",'2023'!$J$4="FO",'2023'!$J$2=T233),'2023DATA'!$E$24,"")</f>
        <v/>
      </c>
      <c r="U255" s="518" t="str">
        <f>IF(AND(_AC1="B-737-800",'2023'!$J$4="FO",'2023'!$J$2=U233),'2023DATA'!$F$24,"")</f>
        <v/>
      </c>
      <c r="V255" s="518" t="str">
        <f>IF(AND(_AC1="B-737-800",'2023'!$J$4="FO",'2023'!$J$2=V233),'2023DATA'!$G$24,"")</f>
        <v/>
      </c>
      <c r="W255" s="518" t="str">
        <f>IF(AND(_AC1="B-737-800",'2023'!$J$4="FO",'2023'!$J$2=W233),'2023DATA'!$H$24,"")</f>
        <v/>
      </c>
      <c r="X255" s="518" t="str">
        <f>IF(AND(_AC1="B-737-800",'2023'!$J$4="FO",'2023'!$J$2=X233),'2023DATA'!$I$24,"")</f>
        <v/>
      </c>
      <c r="Y255" s="518" t="str">
        <f>IF(AND(_AC1="B-737-800",'2023'!$J$4="FO",'2023'!$J$2=Y233),'2023DATA'!$J$24,"")</f>
        <v/>
      </c>
      <c r="Z255" s="518" t="str">
        <f>IF(AND(_AC1="B-737-800",'2023'!$J$4="FO",'2023'!$J$2=Z233),'2023DATA'!$K$24,"")</f>
        <v/>
      </c>
      <c r="AA255" s="518" t="str">
        <f>IF(AND(_AC1="B-737-800",'2023'!$J$4="FO",'2023'!$J$2=AA233),'2023DATA'!$L$24,"")</f>
        <v/>
      </c>
      <c r="AB255" s="518" t="str">
        <f>IF(AND(_AC1="B-737-800",'2023'!$J$4="FO",'2023'!$J$2=AB233),'2023DATA'!$M$24,"")</f>
        <v/>
      </c>
      <c r="AC255" s="520" t="str">
        <f>IF(AND(_AC1="B-737-800",'2023'!$J$4="FO",'2023'!$J$2=AC233),'2023DATA'!$N$24,"")</f>
        <v/>
      </c>
      <c r="AD255" s="940"/>
      <c r="AE255" s="13" t="s">
        <v>62</v>
      </c>
      <c r="AF255" s="518" t="str">
        <f>IF(AND(_AC2="B-737-800",'2023'!$J$4="FO",'2023'!$J$2=AF233),'2023DATA'!$C$24,"")</f>
        <v/>
      </c>
      <c r="AG255" s="518" t="str">
        <f>IF(AND(_AC2="B-737-800",'2023'!$J$4="FO",'2023'!$J$2=AG233),'2023DATA'!$D$24,"")</f>
        <v/>
      </c>
      <c r="AH255" s="518" t="str">
        <f>IF(AND(_AC2="B-737-800",'2023'!$J$4="FO",'2023'!$J$2=AH233),'2023DATA'!$E$24,"")</f>
        <v/>
      </c>
      <c r="AI255" s="518" t="str">
        <f>IF(AND(_AC2="B-737-800",'2023'!$J$4="FO",'2023'!$J$2=AI233),'2023DATA'!$F$24,"")</f>
        <v/>
      </c>
      <c r="AJ255" s="518" t="str">
        <f>IF(AND(_AC2="B-737-800",'2023'!$J$4="FO",'2023'!$J$2=AJ233),'2023DATA'!$G$24,"")</f>
        <v/>
      </c>
      <c r="AK255" s="518" t="str">
        <f>IF(AND(_AC2="B-737-800",'2023'!$J$4="FO",'2023'!$J$2=AK233),'2023DATA'!$H$24,"")</f>
        <v/>
      </c>
      <c r="AL255" s="518" t="str">
        <f>IF(AND(_AC2="B-737-800",'2023'!$J$4="FO",'2023'!$J$2=AL233),'2023DATA'!$I$24,"")</f>
        <v/>
      </c>
      <c r="AM255" s="518" t="str">
        <f>IF(AND(_AC2="B-737-800",'2023'!$J$4="FO",'2023'!$J$2=AM233),'2023DATA'!$J$24,"")</f>
        <v/>
      </c>
      <c r="AN255" s="518" t="str">
        <f>IF(AND(_AC2="B-737-800",'2023'!$J$4="FO",'2023'!$J$2=AN233),'2023DATA'!$K$24,"")</f>
        <v/>
      </c>
      <c r="AO255" s="518" t="str">
        <f>IF(AND(_AC2="B-737-800",'2023'!$J$4="FO",'2023'!$J$2=AO233),'2023DATA'!$L$24,"")</f>
        <v/>
      </c>
      <c r="AP255" s="518" t="str">
        <f>IF(AND(_AC2="B-737-800",'2023'!$J$4="FO",'2023'!$J$2=AP233),'2023DATA'!$M$24,"")</f>
        <v/>
      </c>
      <c r="AQ255" s="520" t="str">
        <f>IF(AND(_AC2="B-737-800",'2023'!$J$4="FO",'2023'!$J$2=AQ233),'2023DATA'!$N$24,"")</f>
        <v/>
      </c>
      <c r="AR255" s="940"/>
      <c r="AS255" s="13" t="s">
        <v>62</v>
      </c>
      <c r="AT255" s="518" t="str">
        <f>IF(AND(_AC3="B-737-800",'2023'!$J$4="FO",'2023'!$J$2=AT233),'2023DATA'!$C$24,"")</f>
        <v/>
      </c>
      <c r="AU255" s="518" t="str">
        <f>IF(AND(_AC3="B-737-800",'2023'!$J$4="FO",'2023'!$J$2=AU233),'2023DATA'!$D$24,"")</f>
        <v/>
      </c>
      <c r="AV255" s="518" t="str">
        <f>IF(AND(_AC3="B-737-800",'2023'!$J$4="FO",'2023'!$J$2=AV233),'2023DATA'!$E$24,"")</f>
        <v/>
      </c>
      <c r="AW255" s="518" t="str">
        <f>IF(AND(_AC3="B-737-800",'2023'!$J$4="FO",'2023'!$J$2=AW233),'2023DATA'!$F$24,"")</f>
        <v/>
      </c>
      <c r="AX255" s="518" t="str">
        <f>IF(AND(_AC3="B-737-800",'2023'!$J$4="FO",'2023'!$J$2=AX233),'2023DATA'!$G$24,"")</f>
        <v/>
      </c>
      <c r="AY255" s="518" t="str">
        <f>IF(AND(_AC3="B-737-800",'2023'!$J$4="FO",'2023'!$J$2=AY233),'2023DATA'!$H$24,"")</f>
        <v/>
      </c>
      <c r="AZ255" s="518" t="str">
        <f>IF(AND(_AC3="B-737-800",'2023'!$J$4="FO",'2023'!$J$2=AZ233),'2023DATA'!$I$24,"")</f>
        <v/>
      </c>
      <c r="BA255" s="518" t="str">
        <f>IF(AND(_AC3="B-737-800",'2023'!$J$4="FO",'2023'!$J$2=BA233),'2023DATA'!$J$24,"")</f>
        <v/>
      </c>
      <c r="BB255" s="518" t="str">
        <f>IF(AND(_AC3="B-737-800",'2023'!$J$4="FO",'2023'!$J$2=BB233),'2023DATA'!$K$24,"")</f>
        <v/>
      </c>
      <c r="BC255" s="518" t="str">
        <f>IF(AND(_AC3="B-737-800",'2023'!$J$4="FO",'2023'!$J$2=BC233),'2023DATA'!$L$24,"")</f>
        <v/>
      </c>
      <c r="BD255" s="518" t="str">
        <f>IF(AND(_AC3="B-737-800",'2023'!$J$4="FO",'2023'!$J$2=BD233),'2023DATA'!$M$24,"")</f>
        <v/>
      </c>
      <c r="BE255" s="520" t="str">
        <f>IF(AND(_AC3="B-737-800",'2023'!$J$4="FO",'2023'!$J$2=BE233),'2023DATA'!$N$24,"")</f>
        <v/>
      </c>
      <c r="BF255" s="940"/>
      <c r="BG255" s="13" t="s">
        <v>62</v>
      </c>
      <c r="BH255" s="518" t="str">
        <f>IF(AND(_AC4="B-737-800",'2023'!$J$4="FO",'2023'!$J$2=BH233),'2023DATA'!$C$24,"")</f>
        <v/>
      </c>
      <c r="BI255" s="518" t="str">
        <f>IF(AND(_AC4="B-737-800",'2023'!$J$4="FO",'2023'!$J$2=BI233),'2023DATA'!$D$24,"")</f>
        <v/>
      </c>
      <c r="BJ255" s="518" t="str">
        <f>IF(AND(_AC4="B-737-800",'2023'!$J$4="FO",'2023'!$J$2=BJ233),'2023DATA'!$E$24,"")</f>
        <v/>
      </c>
      <c r="BK255" s="518" t="str">
        <f>IF(AND(_AC4="B-737-800",'2023'!$J$4="FO",'2023'!$J$2=BK233),'2023DATA'!$F$24,"")</f>
        <v/>
      </c>
      <c r="BL255" s="518" t="str">
        <f>IF(AND(_AC4="B-737-800",'2023'!$J$4="FO",'2023'!$J$2=BL233),'2023DATA'!$G$24,"")</f>
        <v/>
      </c>
      <c r="BM255" s="518" t="str">
        <f>IF(AND(_AC4="B-737-800",'2023'!$J$4="FO",'2023'!$J$2=BM233),'2023DATA'!$H$24,"")</f>
        <v/>
      </c>
      <c r="BN255" s="518" t="str">
        <f>IF(AND(_AC4="B-737-800",'2023'!$J$4="FO",'2023'!$J$2=BN233),'2023DATA'!$I$24,"")</f>
        <v/>
      </c>
      <c r="BO255" s="518" t="str">
        <f>IF(AND(_AC4="B-737-800",'2023'!$J$4="FO",'2023'!$J$2=BO233),'2023DATA'!$J$24,"")</f>
        <v/>
      </c>
      <c r="BP255" s="518" t="str">
        <f>IF(AND(_AC4="B-737-800",'2023'!$J$4="FO",'2023'!$J$2=BP233),'2023DATA'!$K$24,"")</f>
        <v/>
      </c>
      <c r="BQ255" s="518" t="str">
        <f>IF(AND(_AC4="B-737-800",'2023'!$J$4="FO",'2023'!$J$2=BQ233),'2023DATA'!$L$24,"")</f>
        <v/>
      </c>
      <c r="BR255" s="518" t="str">
        <f>IF(AND(_AC4="B-737-800",'2023'!$J$4="FO",'2023'!$J$2=BR233),'2023DATA'!$M$24,"")</f>
        <v/>
      </c>
      <c r="BS255" s="520" t="str">
        <f>IF(AND(_AC4="B-737-800",'2023'!$J$4="FO",'2023'!$J$2=BS233),'2023DATA'!$N$24,"")</f>
        <v/>
      </c>
      <c r="BT255" s="940"/>
      <c r="BU255" s="13" t="s">
        <v>62</v>
      </c>
      <c r="BV255" s="518" t="str">
        <f>IF(AND(_AC5="B-737-800",'2023'!$J$4="FO",'2023'!$J$2=BV233),'2023DATA'!$C$24,"")</f>
        <v/>
      </c>
      <c r="BW255" s="518" t="str">
        <f>IF(AND(_AC5="B-737-800",'2023'!$J$4="FO",'2023'!$J$2=BW233),'2023DATA'!$D$24,"")</f>
        <v/>
      </c>
      <c r="BX255" s="518" t="str">
        <f>IF(AND(_AC5="B-737-800",'2023'!$J$4="FO",'2023'!$J$2=BX233),'2023DATA'!$E$24,"")</f>
        <v/>
      </c>
      <c r="BY255" s="518" t="str">
        <f>IF(AND(_AC5="B-737-800",'2023'!$J$4="FO",'2023'!$J$2=BY233),'2023DATA'!$F$24,"")</f>
        <v/>
      </c>
      <c r="BZ255" s="518" t="str">
        <f>IF(AND(_AC5="B-737-800",'2023'!$J$4="FO",'2023'!$J$2=BZ233),'2023DATA'!$G$24,"")</f>
        <v/>
      </c>
      <c r="CA255" s="518" t="str">
        <f>IF(AND(_AC5="B-737-800",'2023'!$J$4="FO",'2023'!$J$2=CA233),'2023DATA'!$H$24,"")</f>
        <v/>
      </c>
      <c r="CB255" s="518" t="str">
        <f>IF(AND(_AC5="B-737-800",'2023'!$J$4="FO",'2023'!$J$2=CB233),'2023DATA'!$I$24,"")</f>
        <v/>
      </c>
      <c r="CC255" s="518" t="str">
        <f>IF(AND(_AC5="B-737-800",'2023'!$J$4="FO",'2023'!$J$2=CC233),'2023DATA'!$J$24,"")</f>
        <v/>
      </c>
      <c r="CD255" s="518" t="str">
        <f>IF(AND(_AC5="B-737-800",'2023'!$J$4="FO",'2023'!$J$2=CD233),'2023DATA'!$K$24,"")</f>
        <v/>
      </c>
      <c r="CE255" s="518" t="str">
        <f>IF(AND(_AC5="B-737-800",'2023'!$J$4="FO",'2023'!$J$2=CE233),'2023DATA'!$L$24,"")</f>
        <v/>
      </c>
      <c r="CF255" s="518" t="str">
        <f>IF(AND(_AC5="B-737-800",'2023'!$J$4="FO",'2023'!$J$2=CF233),'2023DATA'!$M$24,"")</f>
        <v/>
      </c>
      <c r="CG255" s="520" t="str">
        <f>IF(AND(_AC5="B-737-800",'2023'!$J$4="FO",'2023'!$J$2=CG233),'2023DATA'!$N$24,"")</f>
        <v/>
      </c>
      <c r="CH255" s="940"/>
      <c r="CI255" s="13" t="s">
        <v>62</v>
      </c>
      <c r="CJ255" s="518" t="str">
        <f>IF(AND(_AC6="B-737-800",'2023'!$J$4="FO",'2023'!$J$2=CJ233),'2023DATA'!$C$24,"")</f>
        <v/>
      </c>
      <c r="CK255" s="518" t="str">
        <f>IF(AND(_AC6="B-737-800",'2023'!$J$4="FO",'2023'!$J$2=CK233),'2023DATA'!$D$24,"")</f>
        <v/>
      </c>
      <c r="CL255" s="518" t="str">
        <f>IF(AND(_AC6="B-737-800",'2023'!$J$4="FO",'2023'!$J$2=CL233),'2023DATA'!$E$24,"")</f>
        <v/>
      </c>
      <c r="CM255" s="518" t="str">
        <f>IF(AND(_AC6="B-737-800",'2023'!$J$4="FO",'2023'!$J$2=CM233),'2023DATA'!$F$24,"")</f>
        <v/>
      </c>
      <c r="CN255" s="518" t="str">
        <f>IF(AND(_AC6="B-737-800",'2023'!$J$4="FO",'2023'!$J$2=CN233),'2023DATA'!$G$24,"")</f>
        <v/>
      </c>
      <c r="CO255" s="518" t="str">
        <f>IF(AND(_AC6="B-737-800",'2023'!$J$4="FO",'2023'!$J$2=CO233),'2023DATA'!$H$24,"")</f>
        <v/>
      </c>
      <c r="CP255" s="518" t="str">
        <f>IF(AND(_AC6="B-737-800",'2023'!$J$4="FO",'2023'!$J$2=CP233),'2023DATA'!$I$24,"")</f>
        <v/>
      </c>
      <c r="CQ255" s="518" t="str">
        <f>IF(AND(_AC6="B-737-800",'2023'!$J$4="FO",'2023'!$J$2=CQ233),'2023DATA'!$J$24,"")</f>
        <v/>
      </c>
      <c r="CR255" s="518" t="str">
        <f>IF(AND(_AC6="B-737-800",'2023'!$J$4="FO",'2023'!$J$2=CR233),'2023DATA'!$K$24,"")</f>
        <v/>
      </c>
      <c r="CS255" s="518" t="str">
        <f>IF(AND(_AC6="B-737-800",'2023'!$J$4="FO",'2023'!$J$2=CS233),'2023DATA'!$L$24,"")</f>
        <v/>
      </c>
      <c r="CT255" s="518" t="str">
        <f>IF(AND(_AC6="B-737-800",'2023'!$J$4="FO",'2023'!$J$2=CT233),'2023DATA'!$M$24,"")</f>
        <v/>
      </c>
      <c r="CU255" s="520" t="str">
        <f>IF(AND(_AC6="B-737-800",'2023'!$J$4="FO",'2023'!$J$2=CU233),'2023DATA'!$N$24,"")</f>
        <v/>
      </c>
    </row>
    <row r="256" spans="16:99" x14ac:dyDescent="0.25">
      <c r="P256" s="940" t="s">
        <v>46</v>
      </c>
      <c r="Q256" s="13" t="s">
        <v>61</v>
      </c>
      <c r="R256" s="518" t="str">
        <f>IF(AND(_AC1="A-321N",'2023'!$J$4="CA",'2023'!$J$2=R233),'2023DATA'!$C$25,"")</f>
        <v/>
      </c>
      <c r="S256" s="518" t="str">
        <f>IF(AND(_AC1="A-321N",'2023'!$J$4="CA",'2023'!$J$2=S233),'2023DATA'!$D$25,"")</f>
        <v/>
      </c>
      <c r="T256" s="518" t="str">
        <f>IF(AND(_AC1="A-321N",'2023'!$J$4="CA",'2023'!$J$2=T233),'2023DATA'!$E$25,"")</f>
        <v/>
      </c>
      <c r="U256" s="518" t="str">
        <f>IF(AND(_AC1="A-321N",'2023'!$J$4="CA",'2023'!$J$2=U233),'2023DATA'!$F$25,"")</f>
        <v/>
      </c>
      <c r="V256" s="518" t="str">
        <f>IF(AND(_AC1="A-321N",'2023'!$J$4="CA",'2023'!$J$2=V233),'2023DATA'!$G$25,"")</f>
        <v/>
      </c>
      <c r="W256" s="518" t="str">
        <f>IF(AND(_AC1="A-321N",'2023'!$J$4="CA",'2023'!$J$2=W233),'2023DATA'!$H$25,"")</f>
        <v/>
      </c>
      <c r="X256" s="518" t="str">
        <f>IF(AND(_AC1="A-321N",'2023'!$J$4="CA",'2023'!$J$2=X233),'2023DATA'!$I$25,"")</f>
        <v/>
      </c>
      <c r="Y256" s="518" t="str">
        <f>IF(AND(_AC1="A-321N",'2023'!$J$4="CA",'2023'!$J$2=Y233),'2023DATA'!$J$25,"")</f>
        <v/>
      </c>
      <c r="Z256" s="518" t="str">
        <f>IF(AND(_AC1="A-321N",'2023'!$J$4="CA",'2023'!$J$2=Z233),'2023DATA'!$K$25,"")</f>
        <v/>
      </c>
      <c r="AA256" s="518" t="str">
        <f>IF(AND(_AC1="A-321N",'2023'!$J$4="CA",'2023'!$J$2=AA233),'2023DATA'!$L$25,"")</f>
        <v/>
      </c>
      <c r="AB256" s="518" t="str">
        <f>IF(AND(_AC1="A-321N",'2023'!$J$4="CA",'2023'!$J$2=AB233),'2023DATA'!$M$25,"")</f>
        <v/>
      </c>
      <c r="AC256" s="520" t="str">
        <f>IF(AND(_AC1="A-321N",'2023'!$J$4="CA",'2023'!$J$2=AC233),'2023DATA'!$N$25,"")</f>
        <v/>
      </c>
      <c r="AD256" s="940" t="s">
        <v>46</v>
      </c>
      <c r="AE256" s="13" t="s">
        <v>61</v>
      </c>
      <c r="AF256" s="518" t="str">
        <f>IF(AND(_AC2="A-321N",'2023'!$J$4="CA",'2023'!$J$2=AF233),'2023DATA'!$C$25,"")</f>
        <v/>
      </c>
      <c r="AG256" s="518" t="str">
        <f>IF(AND(_AC2="A-321N",'2023'!$J$4="CA",'2023'!$J$2=AG233),'2023DATA'!$D$25,"")</f>
        <v/>
      </c>
      <c r="AH256" s="518" t="str">
        <f>IF(AND(_AC2="A-321N",'2023'!$J$4="CA",'2023'!$J$2=AH233),'2023DATA'!$E$25,"")</f>
        <v/>
      </c>
      <c r="AI256" s="518" t="str">
        <f>IF(AND(_AC2="A-321N",'2023'!$J$4="CA",'2023'!$J$2=AI233),'2023DATA'!$F$25,"")</f>
        <v/>
      </c>
      <c r="AJ256" s="518" t="str">
        <f>IF(AND(_AC2="A-321N",'2023'!$J$4="CA",'2023'!$J$2=AJ233),'2023DATA'!$G$25,"")</f>
        <v/>
      </c>
      <c r="AK256" s="518" t="str">
        <f>IF(AND(_AC2="A-321N",'2023'!$J$4="CA",'2023'!$J$2=AK233),'2023DATA'!$H$25,"")</f>
        <v/>
      </c>
      <c r="AL256" s="518" t="str">
        <f>IF(AND(_AC2="A-321N",'2023'!$J$4="CA",'2023'!$J$2=AL233),'2023DATA'!$I$25,"")</f>
        <v/>
      </c>
      <c r="AM256" s="518" t="str">
        <f>IF(AND(_AC2="A-321N",'2023'!$J$4="CA",'2023'!$J$2=AM233),'2023DATA'!$J$25,"")</f>
        <v/>
      </c>
      <c r="AN256" s="518" t="str">
        <f>IF(AND(_AC2="A-321N",'2023'!$J$4="CA",'2023'!$J$2=AN233),'2023DATA'!$K$25,"")</f>
        <v/>
      </c>
      <c r="AO256" s="518" t="str">
        <f>IF(AND(_AC2="A-321N",'2023'!$J$4="CA",'2023'!$J$2=AO233),'2023DATA'!$L$25,"")</f>
        <v/>
      </c>
      <c r="AP256" s="518" t="str">
        <f>IF(AND(_AC2="A-321N",'2023'!$J$4="CA",'2023'!$J$2=AP233),'2023DATA'!$M$25,"")</f>
        <v/>
      </c>
      <c r="AQ256" s="520" t="str">
        <f>IF(AND(_AC2="A-321N",'2023'!$J$4="CA",'2023'!$J$2=AQ233),'2023DATA'!$N$25,"")</f>
        <v/>
      </c>
      <c r="AR256" s="940" t="s">
        <v>46</v>
      </c>
      <c r="AS256" s="13" t="s">
        <v>61</v>
      </c>
      <c r="AT256" s="518" t="str">
        <f>IF(AND(_AC3="A-321N",'2023'!$J$4="CA",'2023'!$J$2=AT233),'2023DATA'!$C$25,"")</f>
        <v/>
      </c>
      <c r="AU256" s="518" t="str">
        <f>IF(AND(_AC3="A-321N",'2023'!$J$4="CA",'2023'!$J$2=AU233),'2023DATA'!$D$25,"")</f>
        <v/>
      </c>
      <c r="AV256" s="518" t="str">
        <f>IF(AND(_AC3="A-321N",'2023'!$J$4="CA",'2023'!$J$2=AV233),'2023DATA'!$E$25,"")</f>
        <v/>
      </c>
      <c r="AW256" s="518" t="str">
        <f>IF(AND(_AC3="A-321N",'2023'!$J$4="CA",'2023'!$J$2=AW233),'2023DATA'!$F$25,"")</f>
        <v/>
      </c>
      <c r="AX256" s="518" t="str">
        <f>IF(AND(_AC3="A-321N",'2023'!$J$4="CA",'2023'!$J$2=AX233),'2023DATA'!$G$25,"")</f>
        <v/>
      </c>
      <c r="AY256" s="518" t="str">
        <f>IF(AND(_AC3="A-321N",'2023'!$J$4="CA",'2023'!$J$2=AY233),'2023DATA'!$H$25,"")</f>
        <v/>
      </c>
      <c r="AZ256" s="518" t="str">
        <f>IF(AND(_AC3="A-321N",'2023'!$J$4="CA",'2023'!$J$2=AZ233),'2023DATA'!$I$25,"")</f>
        <v/>
      </c>
      <c r="BA256" s="518" t="str">
        <f>IF(AND(_AC3="A-321N",'2023'!$J$4="CA",'2023'!$J$2=BA233),'2023DATA'!$J$25,"")</f>
        <v/>
      </c>
      <c r="BB256" s="518" t="str">
        <f>IF(AND(_AC3="A-321N",'2023'!$J$4="CA",'2023'!$J$2=BB233),'2023DATA'!$K$25,"")</f>
        <v/>
      </c>
      <c r="BC256" s="518" t="str">
        <f>IF(AND(_AC3="A-321N",'2023'!$J$4="CA",'2023'!$J$2=BC233),'2023DATA'!$L$25,"")</f>
        <v/>
      </c>
      <c r="BD256" s="518" t="str">
        <f>IF(AND(_AC3="A-321N",'2023'!$J$4="CA",'2023'!$J$2=BD233),'2023DATA'!$M$25,"")</f>
        <v/>
      </c>
      <c r="BE256" s="520" t="str">
        <f>IF(AND(_AC3="A-321N",'2023'!$J$4="CA",'2023'!$J$2=BE233),'2023DATA'!$N$25,"")</f>
        <v/>
      </c>
      <c r="BF256" s="940" t="s">
        <v>46</v>
      </c>
      <c r="BG256" s="13" t="s">
        <v>61</v>
      </c>
      <c r="BH256" s="518" t="str">
        <f>IF(AND(_AC4="A-321N",'2023'!$J$4="CA",'2023'!$J$2=BH233),'2023DATA'!$C$25,"")</f>
        <v/>
      </c>
      <c r="BI256" s="518" t="str">
        <f>IF(AND(_AC4="A-321N",'2023'!$J$4="CA",'2023'!$J$2=BI233),'2023DATA'!$D$25,"")</f>
        <v/>
      </c>
      <c r="BJ256" s="518" t="str">
        <f>IF(AND(_AC4="A-321N",'2023'!$J$4="CA",'2023'!$J$2=BJ233),'2023DATA'!$E$25,"")</f>
        <v/>
      </c>
      <c r="BK256" s="518" t="str">
        <f>IF(AND(_AC4="A-321N",'2023'!$J$4="CA",'2023'!$J$2=BK233),'2023DATA'!$F$25,"")</f>
        <v/>
      </c>
      <c r="BL256" s="518" t="str">
        <f>IF(AND(_AC4="A-321N",'2023'!$J$4="CA",'2023'!$J$2=BL233),'2023DATA'!$G$25,"")</f>
        <v/>
      </c>
      <c r="BM256" s="518" t="str">
        <f>IF(AND(_AC4="A-321N",'2023'!$J$4="CA",'2023'!$J$2=BM233),'2023DATA'!$H$25,"")</f>
        <v/>
      </c>
      <c r="BN256" s="518" t="str">
        <f>IF(AND(_AC4="A-321N",'2023'!$J$4="CA",'2023'!$J$2=BN233),'2023DATA'!$I$25,"")</f>
        <v/>
      </c>
      <c r="BO256" s="518" t="str">
        <f>IF(AND(_AC4="A-321N",'2023'!$J$4="CA",'2023'!$J$2=BO233),'2023DATA'!$J$25,"")</f>
        <v/>
      </c>
      <c r="BP256" s="518" t="str">
        <f>IF(AND(_AC4="A-321N",'2023'!$J$4="CA",'2023'!$J$2=BP233),'2023DATA'!$K$25,"")</f>
        <v/>
      </c>
      <c r="BQ256" s="518" t="str">
        <f>IF(AND(_AC4="A-321N",'2023'!$J$4="CA",'2023'!$J$2=BQ233),'2023DATA'!$L$25,"")</f>
        <v/>
      </c>
      <c r="BR256" s="518" t="str">
        <f>IF(AND(_AC4="A-321N",'2023'!$J$4="CA",'2023'!$J$2=BR233),'2023DATA'!$M$25,"")</f>
        <v/>
      </c>
      <c r="BS256" s="520" t="str">
        <f>IF(AND(_AC4="A-321N",'2023'!$J$4="CA",'2023'!$J$2=BS233),'2023DATA'!$N$25,"")</f>
        <v/>
      </c>
      <c r="BT256" s="940" t="s">
        <v>46</v>
      </c>
      <c r="BU256" s="13" t="s">
        <v>61</v>
      </c>
      <c r="BV256" s="518" t="str">
        <f>IF(AND(_AC5="A-321N",'2023'!$J$4="CA",'2023'!$J$2=BV233),'2023DATA'!$C$25,"")</f>
        <v/>
      </c>
      <c r="BW256" s="518" t="str">
        <f>IF(AND(_AC5="A-321N",'2023'!$J$4="CA",'2023'!$J$2=BW233),'2023DATA'!$D$25,"")</f>
        <v/>
      </c>
      <c r="BX256" s="518" t="str">
        <f>IF(AND(_AC5="A-321N",'2023'!$J$4="CA",'2023'!$J$2=BX233),'2023DATA'!$E$25,"")</f>
        <v/>
      </c>
      <c r="BY256" s="518" t="str">
        <f>IF(AND(_AC5="A-321N",'2023'!$J$4="CA",'2023'!$J$2=BY233),'2023DATA'!$F$25,"")</f>
        <v/>
      </c>
      <c r="BZ256" s="518" t="str">
        <f>IF(AND(_AC5="A-321N",'2023'!$J$4="CA",'2023'!$J$2=BZ233),'2023DATA'!$G$25,"")</f>
        <v/>
      </c>
      <c r="CA256" s="518" t="str">
        <f>IF(AND(_AC5="A-321N",'2023'!$J$4="CA",'2023'!$J$2=CA233),'2023DATA'!$H$25,"")</f>
        <v/>
      </c>
      <c r="CB256" s="518" t="str">
        <f>IF(AND(_AC5="A-321N",'2023'!$J$4="CA",'2023'!$J$2=CB233),'2023DATA'!$I$25,"")</f>
        <v/>
      </c>
      <c r="CC256" s="518" t="str">
        <f>IF(AND(_AC5="A-321N",'2023'!$J$4="CA",'2023'!$J$2=CC233),'2023DATA'!$J$25,"")</f>
        <v/>
      </c>
      <c r="CD256" s="518" t="str">
        <f>IF(AND(_AC5="A-321N",'2023'!$J$4="CA",'2023'!$J$2=CD233),'2023DATA'!$K$25,"")</f>
        <v/>
      </c>
      <c r="CE256" s="518" t="str">
        <f>IF(AND(_AC5="A-321N",'2023'!$J$4="CA",'2023'!$J$2=CE233),'2023DATA'!$L$25,"")</f>
        <v/>
      </c>
      <c r="CF256" s="518" t="str">
        <f>IF(AND(_AC5="A-321N",'2023'!$J$4="CA",'2023'!$J$2=CF233),'2023DATA'!$M$25,"")</f>
        <v/>
      </c>
      <c r="CG256" s="520" t="str">
        <f>IF(AND(_AC5="A-321N",'2023'!$J$4="CA",'2023'!$J$2=CG233),'2023DATA'!$N$25,"")</f>
        <v/>
      </c>
      <c r="CH256" s="940" t="s">
        <v>46</v>
      </c>
      <c r="CI256" s="13" t="s">
        <v>61</v>
      </c>
      <c r="CJ256" s="518" t="str">
        <f>IF(AND(_AC6="A-321N",'2023'!$J$4="CA",'2023'!$J$2=CJ233),'2023DATA'!$C$25,"")</f>
        <v/>
      </c>
      <c r="CK256" s="518" t="str">
        <f>IF(AND(_AC6="A-321N",'2023'!$J$4="CA",'2023'!$J$2=CK233),'2023DATA'!$D$25,"")</f>
        <v/>
      </c>
      <c r="CL256" s="518" t="str">
        <f>IF(AND(_AC6="A-321N",'2023'!$J$4="CA",'2023'!$J$2=CL233),'2023DATA'!$E$25,"")</f>
        <v/>
      </c>
      <c r="CM256" s="518" t="str">
        <f>IF(AND(_AC6="A-321N",'2023'!$J$4="CA",'2023'!$J$2=CM233),'2023DATA'!$F$25,"")</f>
        <v/>
      </c>
      <c r="CN256" s="518" t="str">
        <f>IF(AND(_AC6="A-321N",'2023'!$J$4="CA",'2023'!$J$2=CN233),'2023DATA'!$G$25,"")</f>
        <v/>
      </c>
      <c r="CO256" s="518" t="str">
        <f>IF(AND(_AC6="A-321N",'2023'!$J$4="CA",'2023'!$J$2=CO233),'2023DATA'!$H$25,"")</f>
        <v/>
      </c>
      <c r="CP256" s="518" t="str">
        <f>IF(AND(_AC6="A-321N",'2023'!$J$4="CA",'2023'!$J$2=CP233),'2023DATA'!$I$25,"")</f>
        <v/>
      </c>
      <c r="CQ256" s="518" t="str">
        <f>IF(AND(_AC6="A-321N",'2023'!$J$4="CA",'2023'!$J$2=CQ233),'2023DATA'!$J$25,"")</f>
        <v/>
      </c>
      <c r="CR256" s="518" t="str">
        <f>IF(AND(_AC6="A-321N",'2023'!$J$4="CA",'2023'!$J$2=CR233),'2023DATA'!$K$25,"")</f>
        <v/>
      </c>
      <c r="CS256" s="518" t="str">
        <f>IF(AND(_AC6="A-321N",'2023'!$J$4="CA",'2023'!$J$2=CS233),'2023DATA'!$L$25,"")</f>
        <v/>
      </c>
      <c r="CT256" s="518" t="str">
        <f>IF(AND(_AC6="A-321N",'2023'!$J$4="CA",'2023'!$J$2=CT233),'2023DATA'!$M$25,"")</f>
        <v/>
      </c>
      <c r="CU256" s="520" t="str">
        <f>IF(AND(_AC6="A-321N",'2023'!$J$4="CA",'2023'!$J$2=CU233),'2023DATA'!$N$25,"")</f>
        <v/>
      </c>
    </row>
    <row r="257" spans="16:99" x14ac:dyDescent="0.25">
      <c r="P257" s="940"/>
      <c r="Q257" s="13" t="s">
        <v>62</v>
      </c>
      <c r="R257" s="518" t="str">
        <f>IF(AND(_AC1="A-321N",'2023'!$J$4="FO",'2023'!$J$2=R233),'2023DATA'!$C$26,"")</f>
        <v/>
      </c>
      <c r="S257" s="518" t="str">
        <f>IF(AND(_AC1="A-321N",'2023'!$J$4="FO",'2023'!$J$2=S233),'2023DATA'!$D$26,"")</f>
        <v/>
      </c>
      <c r="T257" s="518" t="str">
        <f>IF(AND(_AC1="A-321N",'2023'!$J$4="FO",'2023'!$J$2=T233),'2023DATA'!$E$26,"")</f>
        <v/>
      </c>
      <c r="U257" s="518" t="str">
        <f>IF(AND(_AC1="A-321N",'2023'!$J$4="FO",'2023'!$J$2=U233),'2023DATA'!$F$26,"")</f>
        <v/>
      </c>
      <c r="V257" s="518" t="str">
        <f>IF(AND(_AC1="A-321N",'2023'!$J$4="FO",'2023'!$J$2=V233),'2023DATA'!$G$26,"")</f>
        <v/>
      </c>
      <c r="W257" s="518" t="str">
        <f>IF(AND(_AC1="A-321N",'2023'!$J$4="FO",'2023'!$J$2=W233),'2023DATA'!$H$26,"")</f>
        <v/>
      </c>
      <c r="X257" s="518" t="str">
        <f>IF(AND(_AC1="A-321N",'2023'!$J$4="FO",'2023'!$J$2=X233),'2023DATA'!$I$26,"")</f>
        <v/>
      </c>
      <c r="Y257" s="518" t="str">
        <f>IF(AND(_AC1="A-321N",'2023'!$J$4="FO",'2023'!$J$2=Y233),'2023DATA'!$J$26,"")</f>
        <v/>
      </c>
      <c r="Z257" s="518" t="str">
        <f>IF(AND(_AC1="A-321N",'2023'!$J$4="FO",'2023'!$J$2=Z233),'2023DATA'!$K$26,"")</f>
        <v/>
      </c>
      <c r="AA257" s="518" t="str">
        <f>IF(AND(_AC1="A-321N",'2023'!$J$4="FO",'2023'!$J$2=AA233),'2023DATA'!$L$26,"")</f>
        <v/>
      </c>
      <c r="AB257" s="518" t="str">
        <f>IF(AND(_AC1="A-321N",'2023'!$J$4="FO",'2023'!$J$2=AB233),'2023DATA'!$M$26,"")</f>
        <v/>
      </c>
      <c r="AC257" s="520" t="str">
        <f>IF(AND(_AC1="A-321N",'2023'!$J$4="FO",'2023'!$J$2=AC233),'2023DATA'!$N$26,"")</f>
        <v/>
      </c>
      <c r="AD257" s="940"/>
      <c r="AE257" s="13" t="s">
        <v>62</v>
      </c>
      <c r="AF257" s="518" t="str">
        <f>IF(AND(_AC2="A-321N",'2023'!$J$4="FO",'2023'!$J$2=AF233),'2023DATA'!$C$26,"")</f>
        <v/>
      </c>
      <c r="AG257" s="518" t="str">
        <f>IF(AND(_AC2="A-321N",'2023'!$J$4="FO",'2023'!$J$2=AG233),'2023DATA'!$D$26,"")</f>
        <v/>
      </c>
      <c r="AH257" s="518" t="str">
        <f>IF(AND(_AC2="A-321N",'2023'!$J$4="FO",'2023'!$J$2=AH233),'2023DATA'!$E$26,"")</f>
        <v/>
      </c>
      <c r="AI257" s="518" t="str">
        <f>IF(AND(_AC2="A-321N",'2023'!$J$4="FO",'2023'!$J$2=AI233),'2023DATA'!$F$26,"")</f>
        <v/>
      </c>
      <c r="AJ257" s="518" t="str">
        <f>IF(AND(_AC2="A-321N",'2023'!$J$4="FO",'2023'!$J$2=AJ233),'2023DATA'!$G$26,"")</f>
        <v/>
      </c>
      <c r="AK257" s="518" t="str">
        <f>IF(AND(_AC2="A-321N",'2023'!$J$4="FO",'2023'!$J$2=AK233),'2023DATA'!$H$26,"")</f>
        <v/>
      </c>
      <c r="AL257" s="518" t="str">
        <f>IF(AND(_AC2="A-321N",'2023'!$J$4="FO",'2023'!$J$2=AL233),'2023DATA'!$I$26,"")</f>
        <v/>
      </c>
      <c r="AM257" s="518" t="str">
        <f>IF(AND(_AC2="A-321N",'2023'!$J$4="FO",'2023'!$J$2=AM233),'2023DATA'!$J$26,"")</f>
        <v/>
      </c>
      <c r="AN257" s="518" t="str">
        <f>IF(AND(_AC2="A-321N",'2023'!$J$4="FO",'2023'!$J$2=AN233),'2023DATA'!$K$26,"")</f>
        <v/>
      </c>
      <c r="AO257" s="518" t="str">
        <f>IF(AND(_AC2="A-321N",'2023'!$J$4="FO",'2023'!$J$2=AO233),'2023DATA'!$L$26,"")</f>
        <v/>
      </c>
      <c r="AP257" s="518" t="str">
        <f>IF(AND(_AC2="A-321N",'2023'!$J$4="FO",'2023'!$J$2=AP233),'2023DATA'!$M$26,"")</f>
        <v/>
      </c>
      <c r="AQ257" s="520" t="str">
        <f>IF(AND(_AC2="A-321N",'2023'!$J$4="FO",'2023'!$J$2=AQ233),'2023DATA'!$N$26,"")</f>
        <v/>
      </c>
      <c r="AR257" s="940"/>
      <c r="AS257" s="13" t="s">
        <v>62</v>
      </c>
      <c r="AT257" s="518" t="str">
        <f>IF(AND(_AC3="A-321N",'2023'!$J$4="FO",'2023'!$J$2=AT233),'2023DATA'!$C$26,"")</f>
        <v/>
      </c>
      <c r="AU257" s="518" t="str">
        <f>IF(AND(_AC3="A-321N",'2023'!$J$4="FO",'2023'!$J$2=AU233),'2023DATA'!$D$26,"")</f>
        <v/>
      </c>
      <c r="AV257" s="518" t="str">
        <f>IF(AND(_AC3="A-321N",'2023'!$J$4="FO",'2023'!$J$2=AV233),'2023DATA'!$E$26,"")</f>
        <v/>
      </c>
      <c r="AW257" s="518" t="str">
        <f>IF(AND(_AC3="A-321N",'2023'!$J$4="FO",'2023'!$J$2=AW233),'2023DATA'!$F$26,"")</f>
        <v/>
      </c>
      <c r="AX257" s="518" t="str">
        <f>IF(AND(_AC3="A-321N",'2023'!$J$4="FO",'2023'!$J$2=AX233),'2023DATA'!$G$26,"")</f>
        <v/>
      </c>
      <c r="AY257" s="518" t="str">
        <f>IF(AND(_AC3="A-321N",'2023'!$J$4="FO",'2023'!$J$2=AY233),'2023DATA'!$H$26,"")</f>
        <v/>
      </c>
      <c r="AZ257" s="518" t="str">
        <f>IF(AND(_AC3="A-321N",'2023'!$J$4="FO",'2023'!$J$2=AZ233),'2023DATA'!$I$26,"")</f>
        <v/>
      </c>
      <c r="BA257" s="518" t="str">
        <f>IF(AND(_AC3="A-321N",'2023'!$J$4="FO",'2023'!$J$2=BA233),'2023DATA'!$J$26,"")</f>
        <v/>
      </c>
      <c r="BB257" s="518" t="str">
        <f>IF(AND(_AC3="A-321N",'2023'!$J$4="FO",'2023'!$J$2=BB233),'2023DATA'!$K$26,"")</f>
        <v/>
      </c>
      <c r="BC257" s="518" t="str">
        <f>IF(AND(_AC3="A-321N",'2023'!$J$4="FO",'2023'!$J$2=BC233),'2023DATA'!$L$26,"")</f>
        <v/>
      </c>
      <c r="BD257" s="518" t="str">
        <f>IF(AND(_AC3="A-321N",'2023'!$J$4="FO",'2023'!$J$2=BD233),'2023DATA'!$M$26,"")</f>
        <v/>
      </c>
      <c r="BE257" s="520" t="str">
        <f>IF(AND(_AC3="A-321N",'2023'!$J$4="FO",'2023'!$J$2=BE233),'2023DATA'!$N$26,"")</f>
        <v/>
      </c>
      <c r="BF257" s="940"/>
      <c r="BG257" s="13" t="s">
        <v>62</v>
      </c>
      <c r="BH257" s="518" t="str">
        <f>IF(AND(_AC4="A-321N",'2023'!$J$4="FO",'2023'!$J$2=BH233),'2023DATA'!$C$26,"")</f>
        <v/>
      </c>
      <c r="BI257" s="518" t="str">
        <f>IF(AND(_AC4="A-321N",'2023'!$J$4="FO",'2023'!$J$2=BI233),'2023DATA'!$D$26,"")</f>
        <v/>
      </c>
      <c r="BJ257" s="518" t="str">
        <f>IF(AND(_AC4="A-321N",'2023'!$J$4="FO",'2023'!$J$2=BJ233),'2023DATA'!$E$26,"")</f>
        <v/>
      </c>
      <c r="BK257" s="518" t="str">
        <f>IF(AND(_AC4="A-321N",'2023'!$J$4="FO",'2023'!$J$2=BK233),'2023DATA'!$F$26,"")</f>
        <v/>
      </c>
      <c r="BL257" s="518" t="str">
        <f>IF(AND(_AC4="A-321N",'2023'!$J$4="FO",'2023'!$J$2=BL233),'2023DATA'!$G$26,"")</f>
        <v/>
      </c>
      <c r="BM257" s="518" t="str">
        <f>IF(AND(_AC4="A-321N",'2023'!$J$4="FO",'2023'!$J$2=BM233),'2023DATA'!$H$26,"")</f>
        <v/>
      </c>
      <c r="BN257" s="518" t="str">
        <f>IF(AND(_AC4="A-321N",'2023'!$J$4="FO",'2023'!$J$2=BN233),'2023DATA'!$I$26,"")</f>
        <v/>
      </c>
      <c r="BO257" s="518" t="str">
        <f>IF(AND(_AC4="A-321N",'2023'!$J$4="FO",'2023'!$J$2=BO233),'2023DATA'!$J$26,"")</f>
        <v/>
      </c>
      <c r="BP257" s="518" t="str">
        <f>IF(AND(_AC4="A-321N",'2023'!$J$4="FO",'2023'!$J$2=BP233),'2023DATA'!$K$26,"")</f>
        <v/>
      </c>
      <c r="BQ257" s="518" t="str">
        <f>IF(AND(_AC4="A-321N",'2023'!$J$4="FO",'2023'!$J$2=BQ233),'2023DATA'!$L$26,"")</f>
        <v/>
      </c>
      <c r="BR257" s="518" t="str">
        <f>IF(AND(_AC4="A-321N",'2023'!$J$4="FO",'2023'!$J$2=BR233),'2023DATA'!$M$26,"")</f>
        <v/>
      </c>
      <c r="BS257" s="520" t="str">
        <f>IF(AND(_AC4="A-321N",'2023'!$J$4="FO",'2023'!$J$2=BS233),'2023DATA'!$N$26,"")</f>
        <v/>
      </c>
      <c r="BT257" s="940"/>
      <c r="BU257" s="13" t="s">
        <v>62</v>
      </c>
      <c r="BV257" s="518" t="str">
        <f>IF(AND(_AC5="A-321N",'2023'!$J$4="FO",'2023'!$J$2=BV233),'2023DATA'!$C$26,"")</f>
        <v/>
      </c>
      <c r="BW257" s="518" t="str">
        <f>IF(AND(_AC5="A-321N",'2023'!$J$4="FO",'2023'!$J$2=BW233),'2023DATA'!$D$26,"")</f>
        <v/>
      </c>
      <c r="BX257" s="518" t="str">
        <f>IF(AND(_AC5="A-321N",'2023'!$J$4="FO",'2023'!$J$2=BX233),'2023DATA'!$E$26,"")</f>
        <v/>
      </c>
      <c r="BY257" s="518" t="str">
        <f>IF(AND(_AC5="A-321N",'2023'!$J$4="FO",'2023'!$J$2=BY233),'2023DATA'!$F$26,"")</f>
        <v/>
      </c>
      <c r="BZ257" s="518" t="str">
        <f>IF(AND(_AC5="A-321N",'2023'!$J$4="FO",'2023'!$J$2=BZ233),'2023DATA'!$G$26,"")</f>
        <v/>
      </c>
      <c r="CA257" s="518" t="str">
        <f>IF(AND(_AC5="A-321N",'2023'!$J$4="FO",'2023'!$J$2=CA233),'2023DATA'!$H$26,"")</f>
        <v/>
      </c>
      <c r="CB257" s="518" t="str">
        <f>IF(AND(_AC5="A-321N",'2023'!$J$4="FO",'2023'!$J$2=CB233),'2023DATA'!$I$26,"")</f>
        <v/>
      </c>
      <c r="CC257" s="518" t="str">
        <f>IF(AND(_AC5="A-321N",'2023'!$J$4="FO",'2023'!$J$2=CC233),'2023DATA'!$J$26,"")</f>
        <v/>
      </c>
      <c r="CD257" s="518" t="str">
        <f>IF(AND(_AC5="A-321N",'2023'!$J$4="FO",'2023'!$J$2=CD233),'2023DATA'!$K$26,"")</f>
        <v/>
      </c>
      <c r="CE257" s="518" t="str">
        <f>IF(AND(_AC5="A-321N",'2023'!$J$4="FO",'2023'!$J$2=CE233),'2023DATA'!$L$26,"")</f>
        <v/>
      </c>
      <c r="CF257" s="518" t="str">
        <f>IF(AND(_AC5="A-321N",'2023'!$J$4="FO",'2023'!$J$2=CF233),'2023DATA'!$M$26,"")</f>
        <v/>
      </c>
      <c r="CG257" s="520" t="str">
        <f>IF(AND(_AC5="A-321N",'2023'!$J$4="FO",'2023'!$J$2=CG233),'2023DATA'!$N$26,"")</f>
        <v/>
      </c>
      <c r="CH257" s="940"/>
      <c r="CI257" s="13" t="s">
        <v>62</v>
      </c>
      <c r="CJ257" s="518" t="str">
        <f>IF(AND(_AC6="A-321N",'2023'!$J$4="FO",'2023'!$J$2=CJ233),'2023DATA'!$C$26,"")</f>
        <v/>
      </c>
      <c r="CK257" s="518" t="str">
        <f>IF(AND(_AC6="A-321N",'2023'!$J$4="FO",'2023'!$J$2=CK233),'2023DATA'!$D$26,"")</f>
        <v/>
      </c>
      <c r="CL257" s="518" t="str">
        <f>IF(AND(_AC6="A-321N",'2023'!$J$4="FO",'2023'!$J$2=CL233),'2023DATA'!$E$26,"")</f>
        <v/>
      </c>
      <c r="CM257" s="518" t="str">
        <f>IF(AND(_AC6="A-321N",'2023'!$J$4="FO",'2023'!$J$2=CM233),'2023DATA'!$F$26,"")</f>
        <v/>
      </c>
      <c r="CN257" s="518" t="str">
        <f>IF(AND(_AC6="A-321N",'2023'!$J$4="FO",'2023'!$J$2=CN233),'2023DATA'!$G$26,"")</f>
        <v/>
      </c>
      <c r="CO257" s="518" t="str">
        <f>IF(AND(_AC6="A-321N",'2023'!$J$4="FO",'2023'!$J$2=CO233),'2023DATA'!$H$26,"")</f>
        <v/>
      </c>
      <c r="CP257" s="518" t="str">
        <f>IF(AND(_AC6="A-321N",'2023'!$J$4="FO",'2023'!$J$2=CP233),'2023DATA'!$I$26,"")</f>
        <v/>
      </c>
      <c r="CQ257" s="518" t="str">
        <f>IF(AND(_AC6="A-321N",'2023'!$J$4="FO",'2023'!$J$2=CQ233),'2023DATA'!$J$26,"")</f>
        <v/>
      </c>
      <c r="CR257" s="518" t="str">
        <f>IF(AND(_AC6="A-321N",'2023'!$J$4="FO",'2023'!$J$2=CR233),'2023DATA'!$K$26,"")</f>
        <v/>
      </c>
      <c r="CS257" s="518" t="str">
        <f>IF(AND(_AC6="A-321N",'2023'!$J$4="FO",'2023'!$J$2=CS233),'2023DATA'!$L$26,"")</f>
        <v/>
      </c>
      <c r="CT257" s="518" t="str">
        <f>IF(AND(_AC6="A-321N",'2023'!$J$4="FO",'2023'!$J$2=CT233),'2023DATA'!$M$26,"")</f>
        <v/>
      </c>
      <c r="CU257" s="520" t="str">
        <f>IF(AND(_AC6="A-321N",'2023'!$J$4="FO",'2023'!$J$2=CU233),'2023DATA'!$N$26,"")</f>
        <v/>
      </c>
    </row>
    <row r="258" spans="16:99" x14ac:dyDescent="0.25">
      <c r="P258" s="940" t="s">
        <v>48</v>
      </c>
      <c r="Q258" s="13" t="s">
        <v>61</v>
      </c>
      <c r="R258" s="518" t="str">
        <f>IF(AND(_AC1="A-321",'2023'!$J$4="CA",'2023'!$J$2=R233),'2023DATA'!$C$27,"")</f>
        <v/>
      </c>
      <c r="S258" s="518" t="str">
        <f>IF(AND(_AC1="A-321",'2023'!$J$4="CA",'2023'!$J$2=S233),'2023DATA'!$D$27,"")</f>
        <v/>
      </c>
      <c r="T258" s="518" t="str">
        <f>IF(AND(_AC1="A-321",'2023'!$J$4="CA",'2023'!$J$2=T233),'2023DATA'!$E$27,"")</f>
        <v/>
      </c>
      <c r="U258" s="518" t="str">
        <f>IF(AND(_AC1="A-321",'2023'!$J$4="CA",'2023'!$J$2=U233),'2023DATA'!$F$27,"")</f>
        <v/>
      </c>
      <c r="V258" s="518" t="str">
        <f>IF(AND(_AC1="A-321",'2023'!$J$4="CA",'2023'!$J$2=V233),'2023DATA'!$G$27,"")</f>
        <v/>
      </c>
      <c r="W258" s="518" t="str">
        <f>IF(AND(_AC1="A-321",'2023'!$J$4="CA",'2023'!$J$2=W233),'2023DATA'!$H$27,"")</f>
        <v/>
      </c>
      <c r="X258" s="518" t="str">
        <f>IF(AND(_AC1="A-321",'2023'!$J$4="CA",'2023'!$J$2=X233),'2023DATA'!$I$27,"")</f>
        <v/>
      </c>
      <c r="Y258" s="518" t="str">
        <f>IF(AND(_AC1="A-321",'2023'!$J$4="CA",'2023'!$J$2=Y233),'2023DATA'!$J$27,"")</f>
        <v/>
      </c>
      <c r="Z258" s="518" t="str">
        <f>IF(AND(_AC1="A-321",'2023'!$J$4="CA",'2023'!$J$2=Z233),'2023DATA'!$K$27,"")</f>
        <v/>
      </c>
      <c r="AA258" s="518" t="str">
        <f>IF(AND(_AC1="A-321",'2023'!$J$4="CA",'2023'!$J$2=AA233),'2023DATA'!$L$27,"")</f>
        <v/>
      </c>
      <c r="AB258" s="518" t="str">
        <f>IF(AND(_AC1="A-321",'2023'!$J$4="CA",'2023'!$J$2=AB233),'2023DATA'!$M$27,"")</f>
        <v/>
      </c>
      <c r="AC258" s="520" t="str">
        <f>IF(AND(_AC1="A-321",'2023'!$J$4="CA",'2023'!$J$2=AC233),'2023DATA'!$N$27,"")</f>
        <v/>
      </c>
      <c r="AD258" s="940" t="s">
        <v>48</v>
      </c>
      <c r="AE258" s="13" t="s">
        <v>61</v>
      </c>
      <c r="AF258" s="518" t="str">
        <f>IF(AND(_AC2="A-321",'2023'!$J$4="CA",'2023'!$J$2=AF233),'2023DATA'!$C$27,"")</f>
        <v/>
      </c>
      <c r="AG258" s="518" t="str">
        <f>IF(AND(_AC2="A-321",'2023'!$J$4="CA",'2023'!$J$2=AG233),'2023DATA'!$D$27,"")</f>
        <v/>
      </c>
      <c r="AH258" s="518" t="str">
        <f>IF(AND(_AC2="A-321",'2023'!$J$4="CA",'2023'!$J$2=AH233),'2023DATA'!$E$27,"")</f>
        <v/>
      </c>
      <c r="AI258" s="518" t="str">
        <f>IF(AND(_AC2="A-321",'2023'!$J$4="CA",'2023'!$J$2=AI233),'2023DATA'!$F$27,"")</f>
        <v/>
      </c>
      <c r="AJ258" s="518" t="str">
        <f>IF(AND(_AC2="A-321",'2023'!$J$4="CA",'2023'!$J$2=AJ233),'2023DATA'!$G$27,"")</f>
        <v/>
      </c>
      <c r="AK258" s="518" t="str">
        <f>IF(AND(_AC2="A-321",'2023'!$J$4="CA",'2023'!$J$2=AK233),'2023DATA'!$H$27,"")</f>
        <v/>
      </c>
      <c r="AL258" s="518" t="str">
        <f>IF(AND(_AC2="A-321",'2023'!$J$4="CA",'2023'!$J$2=AL233),'2023DATA'!$I$27,"")</f>
        <v/>
      </c>
      <c r="AM258" s="518" t="str">
        <f>IF(AND(_AC2="A-321",'2023'!$J$4="CA",'2023'!$J$2=AM233),'2023DATA'!$J$27,"")</f>
        <v/>
      </c>
      <c r="AN258" s="518" t="str">
        <f>IF(AND(_AC2="A-321",'2023'!$J$4="CA",'2023'!$J$2=AN233),'2023DATA'!$K$27,"")</f>
        <v/>
      </c>
      <c r="AO258" s="518" t="str">
        <f>IF(AND(_AC2="A-321",'2023'!$J$4="CA",'2023'!$J$2=AO233),'2023DATA'!$L$27,"")</f>
        <v/>
      </c>
      <c r="AP258" s="518" t="str">
        <f>IF(AND(_AC2="A-321",'2023'!$J$4="CA",'2023'!$J$2=AP233),'2023DATA'!$M$27,"")</f>
        <v/>
      </c>
      <c r="AQ258" s="520" t="str">
        <f>IF(AND(_AC2="A-321",'2023'!$J$4="CA",'2023'!$J$2=AQ233),'2023DATA'!$N$27,"")</f>
        <v/>
      </c>
      <c r="AR258" s="940" t="s">
        <v>48</v>
      </c>
      <c r="AS258" s="13" t="s">
        <v>61</v>
      </c>
      <c r="AT258" s="518" t="str">
        <f>IF(AND(_AC3="A-321",'2023'!$J$4="CA",'2023'!$J$2=AT233),'2023DATA'!$C$27,"")</f>
        <v/>
      </c>
      <c r="AU258" s="518" t="str">
        <f>IF(AND(_AC3="A-321",'2023'!$J$4="CA",'2023'!$J$2=AU233),'2023DATA'!$D$27,"")</f>
        <v/>
      </c>
      <c r="AV258" s="518" t="str">
        <f>IF(AND(_AC3="A-321",'2023'!$J$4="CA",'2023'!$J$2=AV233),'2023DATA'!$E$27,"")</f>
        <v/>
      </c>
      <c r="AW258" s="518" t="str">
        <f>IF(AND(_AC3="A-321",'2023'!$J$4="CA",'2023'!$J$2=AW233),'2023DATA'!$F$27,"")</f>
        <v/>
      </c>
      <c r="AX258" s="518" t="str">
        <f>IF(AND(_AC3="A-321",'2023'!$J$4="CA",'2023'!$J$2=AX233),'2023DATA'!$G$27,"")</f>
        <v/>
      </c>
      <c r="AY258" s="518" t="str">
        <f>IF(AND(_AC3="A-321",'2023'!$J$4="CA",'2023'!$J$2=AY233),'2023DATA'!$H$27,"")</f>
        <v/>
      </c>
      <c r="AZ258" s="518" t="str">
        <f>IF(AND(_AC3="A-321",'2023'!$J$4="CA",'2023'!$J$2=AZ233),'2023DATA'!$I$27,"")</f>
        <v/>
      </c>
      <c r="BA258" s="518" t="str">
        <f>IF(AND(_AC3="A-321",'2023'!$J$4="CA",'2023'!$J$2=BA233),'2023DATA'!$J$27,"")</f>
        <v/>
      </c>
      <c r="BB258" s="518" t="str">
        <f>IF(AND(_AC3="A-321",'2023'!$J$4="CA",'2023'!$J$2=BB233),'2023DATA'!$K$27,"")</f>
        <v/>
      </c>
      <c r="BC258" s="518" t="str">
        <f>IF(AND(_AC3="A-321",'2023'!$J$4="CA",'2023'!$J$2=BC233),'2023DATA'!$L$27,"")</f>
        <v/>
      </c>
      <c r="BD258" s="518" t="str">
        <f>IF(AND(_AC3="A-321",'2023'!$J$4="CA",'2023'!$J$2=BD233),'2023DATA'!$M$27,"")</f>
        <v/>
      </c>
      <c r="BE258" s="520" t="str">
        <f>IF(AND(_AC3="A-321",'2023'!$J$4="CA",'2023'!$J$2=BE233),'2023DATA'!$N$27,"")</f>
        <v/>
      </c>
      <c r="BF258" s="940" t="s">
        <v>48</v>
      </c>
      <c r="BG258" s="13" t="s">
        <v>61</v>
      </c>
      <c r="BH258" s="518" t="str">
        <f>IF(AND(_AC4="A-321",'2023'!$J$4="CA",'2023'!$J$2=BH233),'2023DATA'!$C$27,"")</f>
        <v/>
      </c>
      <c r="BI258" s="518" t="str">
        <f>IF(AND(_AC4="A-321",'2023'!$J$4="CA",'2023'!$J$2=BI233),'2023DATA'!$D$27,"")</f>
        <v/>
      </c>
      <c r="BJ258" s="518" t="str">
        <f>IF(AND(_AC4="A-321",'2023'!$J$4="CA",'2023'!$J$2=BJ233),'2023DATA'!$E$27,"")</f>
        <v/>
      </c>
      <c r="BK258" s="518" t="str">
        <f>IF(AND(_AC4="A-321",'2023'!$J$4="CA",'2023'!$J$2=BK233),'2023DATA'!$F$27,"")</f>
        <v/>
      </c>
      <c r="BL258" s="518" t="str">
        <f>IF(AND(_AC4="A-321",'2023'!$J$4="CA",'2023'!$J$2=BL233),'2023DATA'!$G$27,"")</f>
        <v/>
      </c>
      <c r="BM258" s="518" t="str">
        <f>IF(AND(_AC4="A-321",'2023'!$J$4="CA",'2023'!$J$2=BM233),'2023DATA'!$H$27,"")</f>
        <v/>
      </c>
      <c r="BN258" s="518" t="str">
        <f>IF(AND(_AC4="A-321",'2023'!$J$4="CA",'2023'!$J$2=BN233),'2023DATA'!$I$27,"")</f>
        <v/>
      </c>
      <c r="BO258" s="518" t="str">
        <f>IF(AND(_AC4="A-321",'2023'!$J$4="CA",'2023'!$J$2=BO233),'2023DATA'!$J$27,"")</f>
        <v/>
      </c>
      <c r="BP258" s="518" t="str">
        <f>IF(AND(_AC4="A-321",'2023'!$J$4="CA",'2023'!$J$2=BP233),'2023DATA'!$K$27,"")</f>
        <v/>
      </c>
      <c r="BQ258" s="518" t="str">
        <f>IF(AND(_AC4="A-321",'2023'!$J$4="CA",'2023'!$J$2=BQ233),'2023DATA'!$L$27,"")</f>
        <v/>
      </c>
      <c r="BR258" s="518" t="str">
        <f>IF(AND(_AC4="A-321",'2023'!$J$4="CA",'2023'!$J$2=BR233),'2023DATA'!$M$27,"")</f>
        <v/>
      </c>
      <c r="BS258" s="520" t="str">
        <f>IF(AND(_AC4="A-321",'2023'!$J$4="CA",'2023'!$J$2=BS233),'2023DATA'!$N$27,"")</f>
        <v/>
      </c>
      <c r="BT258" s="940" t="s">
        <v>48</v>
      </c>
      <c r="BU258" s="13" t="s">
        <v>61</v>
      </c>
      <c r="BV258" s="518" t="str">
        <f>IF(AND(_AC5="A-321",'2023'!$J$4="CA",'2023'!$J$2=BV233),'2023DATA'!$C$27,"")</f>
        <v/>
      </c>
      <c r="BW258" s="518" t="str">
        <f>IF(AND(_AC5="A-321",'2023'!$J$4="CA",'2023'!$J$2=BW233),'2023DATA'!$D$27,"")</f>
        <v/>
      </c>
      <c r="BX258" s="518" t="str">
        <f>IF(AND(_AC5="A-321",'2023'!$J$4="CA",'2023'!$J$2=BX233),'2023DATA'!$E$27,"")</f>
        <v/>
      </c>
      <c r="BY258" s="518" t="str">
        <f>IF(AND(_AC5="A-321",'2023'!$J$4="CA",'2023'!$J$2=BY233),'2023DATA'!$F$27,"")</f>
        <v/>
      </c>
      <c r="BZ258" s="518" t="str">
        <f>IF(AND(_AC5="A-321",'2023'!$J$4="CA",'2023'!$J$2=BZ233),'2023DATA'!$G$27,"")</f>
        <v/>
      </c>
      <c r="CA258" s="518" t="str">
        <f>IF(AND(_AC5="A-321",'2023'!$J$4="CA",'2023'!$J$2=CA233),'2023DATA'!$H$27,"")</f>
        <v/>
      </c>
      <c r="CB258" s="518" t="str">
        <f>IF(AND(_AC5="A-321",'2023'!$J$4="CA",'2023'!$J$2=CB233),'2023DATA'!$I$27,"")</f>
        <v/>
      </c>
      <c r="CC258" s="518" t="str">
        <f>IF(AND(_AC5="A-321",'2023'!$J$4="CA",'2023'!$J$2=CC233),'2023DATA'!$J$27,"")</f>
        <v/>
      </c>
      <c r="CD258" s="518" t="str">
        <f>IF(AND(_AC5="A-321",'2023'!$J$4="CA",'2023'!$J$2=CD233),'2023DATA'!$K$27,"")</f>
        <v/>
      </c>
      <c r="CE258" s="518" t="str">
        <f>IF(AND(_AC5="A-321",'2023'!$J$4="CA",'2023'!$J$2=CE233),'2023DATA'!$L$27,"")</f>
        <v/>
      </c>
      <c r="CF258" s="518" t="str">
        <f>IF(AND(_AC5="A-321",'2023'!$J$4="CA",'2023'!$J$2=CF233),'2023DATA'!$M$27,"")</f>
        <v/>
      </c>
      <c r="CG258" s="520" t="str">
        <f>IF(AND(_AC5="A-321",'2023'!$J$4="CA",'2023'!$J$2=CG233),'2023DATA'!$N$27,"")</f>
        <v/>
      </c>
      <c r="CH258" s="940" t="s">
        <v>48</v>
      </c>
      <c r="CI258" s="13" t="s">
        <v>61</v>
      </c>
      <c r="CJ258" s="518" t="str">
        <f>IF(AND(_AC6="A-321",'2023'!$J$4="CA",'2023'!$J$2=CJ233),'2023DATA'!$C$27,"")</f>
        <v/>
      </c>
      <c r="CK258" s="518" t="str">
        <f>IF(AND(_AC6="A-321",'2023'!$J$4="CA",'2023'!$J$2=CK233),'2023DATA'!$D$27,"")</f>
        <v/>
      </c>
      <c r="CL258" s="518" t="str">
        <f>IF(AND(_AC6="A-321",'2023'!$J$4="CA",'2023'!$J$2=CL233),'2023DATA'!$E$27,"")</f>
        <v/>
      </c>
      <c r="CM258" s="518" t="str">
        <f>IF(AND(_AC6="A-321",'2023'!$J$4="CA",'2023'!$J$2=CM233),'2023DATA'!$F$27,"")</f>
        <v/>
      </c>
      <c r="CN258" s="518" t="str">
        <f>IF(AND(_AC6="A-321",'2023'!$J$4="CA",'2023'!$J$2=CN233),'2023DATA'!$G$27,"")</f>
        <v/>
      </c>
      <c r="CO258" s="518" t="str">
        <f>IF(AND(_AC6="A-321",'2023'!$J$4="CA",'2023'!$J$2=CO233),'2023DATA'!$H$27,"")</f>
        <v/>
      </c>
      <c r="CP258" s="518" t="str">
        <f>IF(AND(_AC6="A-321",'2023'!$J$4="CA",'2023'!$J$2=CP233),'2023DATA'!$I$27,"")</f>
        <v/>
      </c>
      <c r="CQ258" s="518" t="str">
        <f>IF(AND(_AC6="A-321",'2023'!$J$4="CA",'2023'!$J$2=CQ233),'2023DATA'!$J$27,"")</f>
        <v/>
      </c>
      <c r="CR258" s="518" t="str">
        <f>IF(AND(_AC6="A-321",'2023'!$J$4="CA",'2023'!$J$2=CR233),'2023DATA'!$K$27,"")</f>
        <v/>
      </c>
      <c r="CS258" s="518" t="str">
        <f>IF(AND(_AC6="A-321",'2023'!$J$4="CA",'2023'!$J$2=CS233),'2023DATA'!$L$27,"")</f>
        <v/>
      </c>
      <c r="CT258" s="518" t="str">
        <f>IF(AND(_AC6="A-321",'2023'!$J$4="CA",'2023'!$J$2=CT233),'2023DATA'!$M$27,"")</f>
        <v/>
      </c>
      <c r="CU258" s="520" t="str">
        <f>IF(AND(_AC6="A-321",'2023'!$J$4="CA",'2023'!$J$2=CU233),'2023DATA'!$N$27,"")</f>
        <v/>
      </c>
    </row>
    <row r="259" spans="16:99" x14ac:dyDescent="0.25">
      <c r="P259" s="940"/>
      <c r="Q259" s="13" t="s">
        <v>62</v>
      </c>
      <c r="R259" s="518" t="str">
        <f>IF(AND(_AC1="A-321",'2023'!$J$4="FO",'2023'!$J$2=R233),'2023DATA'!$C$28,"")</f>
        <v/>
      </c>
      <c r="S259" s="518" t="str">
        <f>IF(AND(_AC1="A-321",'2023'!$J$4="FO",'2023'!$J$2=S233),'2023DATA'!$D$28,"")</f>
        <v/>
      </c>
      <c r="T259" s="518" t="str">
        <f>IF(AND(_AC1="A-321",'2023'!$J$4="FO",'2023'!$J$2=T233),'2023DATA'!$E$28,"")</f>
        <v/>
      </c>
      <c r="U259" s="518" t="str">
        <f>IF(AND(_AC1="A-321",'2023'!$J$4="FO",'2023'!$J$2=U233),'2023DATA'!$F$28,"")</f>
        <v/>
      </c>
      <c r="V259" s="518" t="str">
        <f>IF(AND(_AC1="A-321",'2023'!$J$4="FO",'2023'!$J$2=V233),'2023DATA'!$G$28,"")</f>
        <v/>
      </c>
      <c r="W259" s="518" t="str">
        <f>IF(AND(_AC1="A-321",'2023'!$J$4="FO",'2023'!$J$2=W233),'2023DATA'!$H$28,"")</f>
        <v/>
      </c>
      <c r="X259" s="518" t="str">
        <f>IF(AND(_AC1="A-321",'2023'!$J$4="FO",'2023'!$J$2=X233),'2023DATA'!$I$28,"")</f>
        <v/>
      </c>
      <c r="Y259" s="518" t="str">
        <f>IF(AND(_AC1="A-321",'2023'!$J$4="FO",'2023'!$J$2=Y233),'2023DATA'!$J$28,"")</f>
        <v/>
      </c>
      <c r="Z259" s="518" t="str">
        <f>IF(AND(_AC1="A-321",'2023'!$J$4="FO",'2023'!$J$2=Z233),'2023DATA'!$K$28,"")</f>
        <v/>
      </c>
      <c r="AA259" s="518" t="str">
        <f>IF(AND(_AC1="A-321",'2023'!$J$4="FO",'2023'!$J$2=AA233),'2023DATA'!$L$28,"")</f>
        <v/>
      </c>
      <c r="AB259" s="518" t="str">
        <f>IF(AND(_AC1="A-321",'2023'!$J$4="FO",'2023'!$J$2=AB233),'2023DATA'!$M$28,"")</f>
        <v/>
      </c>
      <c r="AC259" s="520" t="str">
        <f>IF(AND(_AC1="A-321",'2023'!$J$4="FO",'2023'!$J$2=AC233),'2023DATA'!$N$28,"")</f>
        <v/>
      </c>
      <c r="AD259" s="940"/>
      <c r="AE259" s="13" t="s">
        <v>62</v>
      </c>
      <c r="AF259" s="518" t="str">
        <f>IF(AND(_AC2="A-321",'2023'!$J$4="FO",'2023'!$J$2=AF233),'2023DATA'!$C$28,"")</f>
        <v/>
      </c>
      <c r="AG259" s="518" t="str">
        <f>IF(AND(_AC2="A-321",'2023'!$J$4="FO",'2023'!$J$2=AG233),'2023DATA'!$D$28,"")</f>
        <v/>
      </c>
      <c r="AH259" s="518" t="str">
        <f>IF(AND(_AC2="A-321",'2023'!$J$4="FO",'2023'!$J$2=AH233),'2023DATA'!$E$28,"")</f>
        <v/>
      </c>
      <c r="AI259" s="518" t="str">
        <f>IF(AND(_AC2="A-321",'2023'!$J$4="FO",'2023'!$J$2=AI233),'2023DATA'!$F$28,"")</f>
        <v/>
      </c>
      <c r="AJ259" s="518" t="str">
        <f>IF(AND(_AC2="A-321",'2023'!$J$4="FO",'2023'!$J$2=AJ233),'2023DATA'!$G$28,"")</f>
        <v/>
      </c>
      <c r="AK259" s="518" t="str">
        <f>IF(AND(_AC2="A-321",'2023'!$J$4="FO",'2023'!$J$2=AK233),'2023DATA'!$H$28,"")</f>
        <v/>
      </c>
      <c r="AL259" s="518" t="str">
        <f>IF(AND(_AC2="A-321",'2023'!$J$4="FO",'2023'!$J$2=AL233),'2023DATA'!$I$28,"")</f>
        <v/>
      </c>
      <c r="AM259" s="518" t="str">
        <f>IF(AND(_AC2="A-321",'2023'!$J$4="FO",'2023'!$J$2=AM233),'2023DATA'!$J$28,"")</f>
        <v/>
      </c>
      <c r="AN259" s="518" t="str">
        <f>IF(AND(_AC2="A-321",'2023'!$J$4="FO",'2023'!$J$2=AN233),'2023DATA'!$K$28,"")</f>
        <v/>
      </c>
      <c r="AO259" s="518" t="str">
        <f>IF(AND(_AC2="A-321",'2023'!$J$4="FO",'2023'!$J$2=AO233),'2023DATA'!$L$28,"")</f>
        <v/>
      </c>
      <c r="AP259" s="518" t="str">
        <f>IF(AND(_AC2="A-321",'2023'!$J$4="FO",'2023'!$J$2=AP233),'2023DATA'!$M$28,"")</f>
        <v/>
      </c>
      <c r="AQ259" s="520" t="str">
        <f>IF(AND(_AC2="A-321",'2023'!$J$4="FO",'2023'!$J$2=AQ233),'2023DATA'!$N$28,"")</f>
        <v/>
      </c>
      <c r="AR259" s="940"/>
      <c r="AS259" s="13" t="s">
        <v>62</v>
      </c>
      <c r="AT259" s="518" t="str">
        <f>IF(AND(_AC3="A-321",'2023'!$J$4="FO",'2023'!$J$2=AT233),'2023DATA'!$C$28,"")</f>
        <v/>
      </c>
      <c r="AU259" s="518" t="str">
        <f>IF(AND(_AC3="A-321",'2023'!$J$4="FO",'2023'!$J$2=AU233),'2023DATA'!$D$28,"")</f>
        <v/>
      </c>
      <c r="AV259" s="518" t="str">
        <f>IF(AND(_AC3="A-321",'2023'!$J$4="FO",'2023'!$J$2=AV233),'2023DATA'!$E$28,"")</f>
        <v/>
      </c>
      <c r="AW259" s="518" t="str">
        <f>IF(AND(_AC3="A-321",'2023'!$J$4="FO",'2023'!$J$2=AW233),'2023DATA'!$F$28,"")</f>
        <v/>
      </c>
      <c r="AX259" s="518" t="str">
        <f>IF(AND(_AC3="A-321",'2023'!$J$4="FO",'2023'!$J$2=AX233),'2023DATA'!$G$28,"")</f>
        <v/>
      </c>
      <c r="AY259" s="518" t="str">
        <f>IF(AND(_AC3="A-321",'2023'!$J$4="FO",'2023'!$J$2=AY233),'2023DATA'!$H$28,"")</f>
        <v/>
      </c>
      <c r="AZ259" s="518" t="str">
        <f>IF(AND(_AC3="A-321",'2023'!$J$4="FO",'2023'!$J$2=AZ233),'2023DATA'!$I$28,"")</f>
        <v/>
      </c>
      <c r="BA259" s="518" t="str">
        <f>IF(AND(_AC3="A-321",'2023'!$J$4="FO",'2023'!$J$2=BA233),'2023DATA'!$J$28,"")</f>
        <v/>
      </c>
      <c r="BB259" s="518" t="str">
        <f>IF(AND(_AC3="A-321",'2023'!$J$4="FO",'2023'!$J$2=BB233),'2023DATA'!$K$28,"")</f>
        <v/>
      </c>
      <c r="BC259" s="518" t="str">
        <f>IF(AND(_AC3="A-321",'2023'!$J$4="FO",'2023'!$J$2=BC233),'2023DATA'!$L$28,"")</f>
        <v/>
      </c>
      <c r="BD259" s="518" t="str">
        <f>IF(AND(_AC3="A-321",'2023'!$J$4="FO",'2023'!$J$2=BD233),'2023DATA'!$M$28,"")</f>
        <v/>
      </c>
      <c r="BE259" s="520" t="str">
        <f>IF(AND(_AC3="A-321",'2023'!$J$4="FO",'2023'!$J$2=BE233),'2023DATA'!$N$28,"")</f>
        <v/>
      </c>
      <c r="BF259" s="940"/>
      <c r="BG259" s="13" t="s">
        <v>62</v>
      </c>
      <c r="BH259" s="518" t="str">
        <f>IF(AND(_AC4="A-321",'2023'!$J$4="FO",'2023'!$J$2=BH233),'2023DATA'!$C$28,"")</f>
        <v/>
      </c>
      <c r="BI259" s="518" t="str">
        <f>IF(AND(_AC4="A-321",'2023'!$J$4="FO",'2023'!$J$2=BI233),'2023DATA'!$D$28,"")</f>
        <v/>
      </c>
      <c r="BJ259" s="518" t="str">
        <f>IF(AND(_AC4="A-321",'2023'!$J$4="FO",'2023'!$J$2=BJ233),'2023DATA'!$E$28,"")</f>
        <v/>
      </c>
      <c r="BK259" s="518" t="str">
        <f>IF(AND(_AC4="A-321",'2023'!$J$4="FO",'2023'!$J$2=BK233),'2023DATA'!$F$28,"")</f>
        <v/>
      </c>
      <c r="BL259" s="518" t="str">
        <f>IF(AND(_AC4="A-321",'2023'!$J$4="FO",'2023'!$J$2=BL233),'2023DATA'!$G$28,"")</f>
        <v/>
      </c>
      <c r="BM259" s="518" t="str">
        <f>IF(AND(_AC4="A-321",'2023'!$J$4="FO",'2023'!$J$2=BM233),'2023DATA'!$H$28,"")</f>
        <v/>
      </c>
      <c r="BN259" s="518" t="str">
        <f>IF(AND(_AC4="A-321",'2023'!$J$4="FO",'2023'!$J$2=BN233),'2023DATA'!$I$28,"")</f>
        <v/>
      </c>
      <c r="BO259" s="518" t="str">
        <f>IF(AND(_AC4="A-321",'2023'!$J$4="FO",'2023'!$J$2=BO233),'2023DATA'!$J$28,"")</f>
        <v/>
      </c>
      <c r="BP259" s="518" t="str">
        <f>IF(AND(_AC4="A-321",'2023'!$J$4="FO",'2023'!$J$2=BP233),'2023DATA'!$K$28,"")</f>
        <v/>
      </c>
      <c r="BQ259" s="518" t="str">
        <f>IF(AND(_AC4="A-321",'2023'!$J$4="FO",'2023'!$J$2=BQ233),'2023DATA'!$L$28,"")</f>
        <v/>
      </c>
      <c r="BR259" s="518" t="str">
        <f>IF(AND(_AC4="A-321",'2023'!$J$4="FO",'2023'!$J$2=BR233),'2023DATA'!$M$28,"")</f>
        <v/>
      </c>
      <c r="BS259" s="520" t="str">
        <f>IF(AND(_AC4="A-321",'2023'!$J$4="FO",'2023'!$J$2=BS233),'2023DATA'!$N$28,"")</f>
        <v/>
      </c>
      <c r="BT259" s="940"/>
      <c r="BU259" s="13" t="s">
        <v>62</v>
      </c>
      <c r="BV259" s="518" t="str">
        <f>IF(AND(_AC5="A-321",'2023'!$J$4="FO",'2023'!$J$2=BV233),'2023DATA'!$C$28,"")</f>
        <v/>
      </c>
      <c r="BW259" s="518" t="str">
        <f>IF(AND(_AC5="A-321",'2023'!$J$4="FO",'2023'!$J$2=BW233),'2023DATA'!$D$28,"")</f>
        <v/>
      </c>
      <c r="BX259" s="518" t="str">
        <f>IF(AND(_AC5="A-321",'2023'!$J$4="FO",'2023'!$J$2=BX233),'2023DATA'!$E$28,"")</f>
        <v/>
      </c>
      <c r="BY259" s="518" t="str">
        <f>IF(AND(_AC5="A-321",'2023'!$J$4="FO",'2023'!$J$2=BY233),'2023DATA'!$F$28,"")</f>
        <v/>
      </c>
      <c r="BZ259" s="518" t="str">
        <f>IF(AND(_AC5="A-321",'2023'!$J$4="FO",'2023'!$J$2=BZ233),'2023DATA'!$G$28,"")</f>
        <v/>
      </c>
      <c r="CA259" s="518" t="str">
        <f>IF(AND(_AC5="A-321",'2023'!$J$4="FO",'2023'!$J$2=CA233),'2023DATA'!$H$28,"")</f>
        <v/>
      </c>
      <c r="CB259" s="518" t="str">
        <f>IF(AND(_AC5="A-321",'2023'!$J$4="FO",'2023'!$J$2=CB233),'2023DATA'!$I$28,"")</f>
        <v/>
      </c>
      <c r="CC259" s="518" t="str">
        <f>IF(AND(_AC5="A-321",'2023'!$J$4="FO",'2023'!$J$2=CC233),'2023DATA'!$J$28,"")</f>
        <v/>
      </c>
      <c r="CD259" s="518" t="str">
        <f>IF(AND(_AC5="A-321",'2023'!$J$4="FO",'2023'!$J$2=CD233),'2023DATA'!$K$28,"")</f>
        <v/>
      </c>
      <c r="CE259" s="518" t="str">
        <f>IF(AND(_AC5="A-321",'2023'!$J$4="FO",'2023'!$J$2=CE233),'2023DATA'!$L$28,"")</f>
        <v/>
      </c>
      <c r="CF259" s="518" t="str">
        <f>IF(AND(_AC5="A-321",'2023'!$J$4="FO",'2023'!$J$2=CF233),'2023DATA'!$M$28,"")</f>
        <v/>
      </c>
      <c r="CG259" s="520" t="str">
        <f>IF(AND(_AC5="A-321",'2023'!$J$4="FO",'2023'!$J$2=CG233),'2023DATA'!$N$28,"")</f>
        <v/>
      </c>
      <c r="CH259" s="940"/>
      <c r="CI259" s="13" t="s">
        <v>62</v>
      </c>
      <c r="CJ259" s="518" t="str">
        <f>IF(AND(_AC6="A-321",'2023'!$J$4="FO",'2023'!$J$2=CJ233),'2023DATA'!$C$28,"")</f>
        <v/>
      </c>
      <c r="CK259" s="518" t="str">
        <f>IF(AND(_AC6="A-321",'2023'!$J$4="FO",'2023'!$J$2=CK233),'2023DATA'!$D$28,"")</f>
        <v/>
      </c>
      <c r="CL259" s="518" t="str">
        <f>IF(AND(_AC6="A-321",'2023'!$J$4="FO",'2023'!$J$2=CL233),'2023DATA'!$E$28,"")</f>
        <v/>
      </c>
      <c r="CM259" s="518" t="str">
        <f>IF(AND(_AC6="A-321",'2023'!$J$4="FO",'2023'!$J$2=CM233),'2023DATA'!$F$28,"")</f>
        <v/>
      </c>
      <c r="CN259" s="518" t="str">
        <f>IF(AND(_AC6="A-321",'2023'!$J$4="FO",'2023'!$J$2=CN233),'2023DATA'!$G$28,"")</f>
        <v/>
      </c>
      <c r="CO259" s="518" t="str">
        <f>IF(AND(_AC6="A-321",'2023'!$J$4="FO",'2023'!$J$2=CO233),'2023DATA'!$H$28,"")</f>
        <v/>
      </c>
      <c r="CP259" s="518" t="str">
        <f>IF(AND(_AC6="A-321",'2023'!$J$4="FO",'2023'!$J$2=CP233),'2023DATA'!$I$28,"")</f>
        <v/>
      </c>
      <c r="CQ259" s="518" t="str">
        <f>IF(AND(_AC6="A-321",'2023'!$J$4="FO",'2023'!$J$2=CQ233),'2023DATA'!$J$28,"")</f>
        <v/>
      </c>
      <c r="CR259" s="518" t="str">
        <f>IF(AND(_AC6="A-321",'2023'!$J$4="FO",'2023'!$J$2=CR233),'2023DATA'!$K$28,"")</f>
        <v/>
      </c>
      <c r="CS259" s="518" t="str">
        <f>IF(AND(_AC6="A-321",'2023'!$J$4="FO",'2023'!$J$2=CS233),'2023DATA'!$L$28,"")</f>
        <v/>
      </c>
      <c r="CT259" s="518" t="str">
        <f>IF(AND(_AC6="A-321",'2023'!$J$4="FO",'2023'!$J$2=CT233),'2023DATA'!$M$28,"")</f>
        <v/>
      </c>
      <c r="CU259" s="520" t="str">
        <f>IF(AND(_AC6="A-321",'2023'!$J$4="FO",'2023'!$J$2=CU233),'2023DATA'!$N$28,"")</f>
        <v/>
      </c>
    </row>
    <row r="260" spans="16:99" x14ac:dyDescent="0.25">
      <c r="P260" s="940" t="s">
        <v>70</v>
      </c>
      <c r="Q260" s="13" t="s">
        <v>61</v>
      </c>
      <c r="R260" s="518" t="str">
        <f>IF(AND(_AC1="A-320",'2023'!$J$4="CA",'2023'!$J$2=R233),'2023DATA'!$C$29,"")</f>
        <v/>
      </c>
      <c r="S260" s="518" t="str">
        <f>IF(AND(_AC1="A-320",'2023'!$J$4="CA",'2023'!$J$2=S233),'2023DATA'!$D$29,"")</f>
        <v/>
      </c>
      <c r="T260" s="518" t="str">
        <f>IF(AND(_AC1="A-320",'2023'!$J$4="CA",'2023'!$J$2=T233),'2023DATA'!$E$29,"")</f>
        <v/>
      </c>
      <c r="U260" s="518" t="str">
        <f>IF(AND(_AC1="A-320",'2023'!$J$4="CA",'2023'!$J$2=U233),'2023DATA'!$F$29,"")</f>
        <v/>
      </c>
      <c r="V260" s="518" t="str">
        <f>IF(AND(_AC1="A-320",'2023'!$J$4="CA",'2023'!$J$2=V233),'2023DATA'!$G$29,"")</f>
        <v/>
      </c>
      <c r="W260" s="518" t="str">
        <f>IF(AND(_AC1="A-320",'2023'!$J$4="CA",'2023'!$J$2=W233),'2023DATA'!$H$29,"")</f>
        <v/>
      </c>
      <c r="X260" s="518" t="str">
        <f>IF(AND(_AC1="A-320",'2023'!$J$4="CA",'2023'!$J$2=X233),'2023DATA'!$I$29,"")</f>
        <v/>
      </c>
      <c r="Y260" s="518" t="str">
        <f>IF(AND(_AC1="A-320",'2023'!$J$4="CA",'2023'!$J$2=Y233),'2023DATA'!$J$29,"")</f>
        <v/>
      </c>
      <c r="Z260" s="518" t="str">
        <f>IF(AND(_AC1="A-320",'2023'!$J$4="CA",'2023'!$J$2=Z233),'2023DATA'!$K$29,"")</f>
        <v/>
      </c>
      <c r="AA260" s="518" t="str">
        <f>IF(AND(_AC1="A-320",'2023'!$J$4="CA",'2023'!$J$2=AA233),'2023DATA'!$L$29,"")</f>
        <v/>
      </c>
      <c r="AB260" s="518" t="str">
        <f>IF(AND(_AC1="A-320",'2023'!$J$4="CA",'2023'!$J$2=AB233),'2023DATA'!$M$29,"")</f>
        <v/>
      </c>
      <c r="AC260" s="520" t="str">
        <f>IF(AND(_AC1="A-320",'2023'!$J$4="CA",'2023'!$J$2=AC233),'2023DATA'!$N$29,"")</f>
        <v/>
      </c>
      <c r="AD260" s="940" t="s">
        <v>70</v>
      </c>
      <c r="AE260" s="13" t="s">
        <v>61</v>
      </c>
      <c r="AF260" s="518" t="str">
        <f>IF(AND(_AC2="A-320",'2023'!$J$4="CA",'2023'!$J$2=AF233),'2023DATA'!$C$29,"")</f>
        <v/>
      </c>
      <c r="AG260" s="518" t="str">
        <f>IF(AND(_AC2="A-320",'2023'!$J$4="CA",'2023'!$J$2=AG233),'2023DATA'!$D$29,"")</f>
        <v/>
      </c>
      <c r="AH260" s="518" t="str">
        <f>IF(AND(_AC2="A-320",'2023'!$J$4="CA",'2023'!$J$2=AH233),'2023DATA'!$E$29,"")</f>
        <v/>
      </c>
      <c r="AI260" s="518" t="str">
        <f>IF(AND(_AC2="A-320",'2023'!$J$4="CA",'2023'!$J$2=AI233),'2023DATA'!$F$29,"")</f>
        <v/>
      </c>
      <c r="AJ260" s="518" t="str">
        <f>IF(AND(_AC2="A-320",'2023'!$J$4="CA",'2023'!$J$2=AJ233),'2023DATA'!$G$29,"")</f>
        <v/>
      </c>
      <c r="AK260" s="518" t="str">
        <f>IF(AND(_AC2="A-320",'2023'!$J$4="CA",'2023'!$J$2=AK233),'2023DATA'!$H$29,"")</f>
        <v/>
      </c>
      <c r="AL260" s="518" t="str">
        <f>IF(AND(_AC2="A-320",'2023'!$J$4="CA",'2023'!$J$2=AL233),'2023DATA'!$I$29,"")</f>
        <v/>
      </c>
      <c r="AM260" s="518" t="str">
        <f>IF(AND(_AC2="A-320",'2023'!$J$4="CA",'2023'!$J$2=AM233),'2023DATA'!$J$29,"")</f>
        <v/>
      </c>
      <c r="AN260" s="518" t="str">
        <f>IF(AND(_AC2="A-320",'2023'!$J$4="CA",'2023'!$J$2=AN233),'2023DATA'!$K$29,"")</f>
        <v/>
      </c>
      <c r="AO260" s="518" t="str">
        <f>IF(AND(_AC2="A-320",'2023'!$J$4="CA",'2023'!$J$2=AO233),'2023DATA'!$L$29,"")</f>
        <v/>
      </c>
      <c r="AP260" s="518" t="str">
        <f>IF(AND(_AC2="A-320",'2023'!$J$4="CA",'2023'!$J$2=AP233),'2023DATA'!$M$29,"")</f>
        <v/>
      </c>
      <c r="AQ260" s="520" t="str">
        <f>IF(AND(_AC2="A-320",'2023'!$J$4="CA",'2023'!$J$2=AQ233),'2023DATA'!$N$29,"")</f>
        <v/>
      </c>
      <c r="AR260" s="940" t="s">
        <v>70</v>
      </c>
      <c r="AS260" s="13" t="s">
        <v>61</v>
      </c>
      <c r="AT260" s="518" t="str">
        <f>IF(AND(_AC3="A-320",'2023'!$J$4="CA",'2023'!$J$2=AT233),'2023DATA'!$C$29,"")</f>
        <v/>
      </c>
      <c r="AU260" s="518" t="str">
        <f>IF(AND(_AC3="A-320",'2023'!$J$4="CA",'2023'!$J$2=AU233),'2023DATA'!$D$29,"")</f>
        <v/>
      </c>
      <c r="AV260" s="518" t="str">
        <f>IF(AND(_AC3="A-320",'2023'!$J$4="CA",'2023'!$J$2=AV233),'2023DATA'!$E$29,"")</f>
        <v/>
      </c>
      <c r="AW260" s="518" t="str">
        <f>IF(AND(_AC3="A-320",'2023'!$J$4="CA",'2023'!$J$2=AW233),'2023DATA'!$F$29,"")</f>
        <v/>
      </c>
      <c r="AX260" s="518" t="str">
        <f>IF(AND(_AC3="A-320",'2023'!$J$4="CA",'2023'!$J$2=AX233),'2023DATA'!$G$29,"")</f>
        <v/>
      </c>
      <c r="AY260" s="518" t="str">
        <f>IF(AND(_AC3="A-320",'2023'!$J$4="CA",'2023'!$J$2=AY233),'2023DATA'!$H$29,"")</f>
        <v/>
      </c>
      <c r="AZ260" s="518" t="str">
        <f>IF(AND(_AC3="A-320",'2023'!$J$4="CA",'2023'!$J$2=AZ233),'2023DATA'!$I$29,"")</f>
        <v/>
      </c>
      <c r="BA260" s="518" t="str">
        <f>IF(AND(_AC3="A-320",'2023'!$J$4="CA",'2023'!$J$2=BA233),'2023DATA'!$J$29,"")</f>
        <v/>
      </c>
      <c r="BB260" s="518" t="str">
        <f>IF(AND(_AC3="A-320",'2023'!$J$4="CA",'2023'!$J$2=BB233),'2023DATA'!$K$29,"")</f>
        <v/>
      </c>
      <c r="BC260" s="518" t="str">
        <f>IF(AND(_AC3="A-320",'2023'!$J$4="CA",'2023'!$J$2=BC233),'2023DATA'!$L$29,"")</f>
        <v/>
      </c>
      <c r="BD260" s="518" t="str">
        <f>IF(AND(_AC3="A-320",'2023'!$J$4="CA",'2023'!$J$2=BD233),'2023DATA'!$M$29,"")</f>
        <v/>
      </c>
      <c r="BE260" s="520" t="str">
        <f>IF(AND(_AC3="A-320",'2023'!$J$4="CA",'2023'!$J$2=BE233),'2023DATA'!$N$29,"")</f>
        <v/>
      </c>
      <c r="BF260" s="940" t="s">
        <v>70</v>
      </c>
      <c r="BG260" s="13" t="s">
        <v>61</v>
      </c>
      <c r="BH260" s="518" t="str">
        <f>IF(AND(_AC4="A-320",'2023'!$J$4="CA",'2023'!$J$2=BH233),'2023DATA'!$C$29,"")</f>
        <v/>
      </c>
      <c r="BI260" s="518" t="str">
        <f>IF(AND(_AC4="A-320",'2023'!$J$4="CA",'2023'!$J$2=BI233),'2023DATA'!$D$29,"")</f>
        <v/>
      </c>
      <c r="BJ260" s="518" t="str">
        <f>IF(AND(_AC4="A-320",'2023'!$J$4="CA",'2023'!$J$2=BJ233),'2023DATA'!$E$29,"")</f>
        <v/>
      </c>
      <c r="BK260" s="518" t="str">
        <f>IF(AND(_AC4="A-320",'2023'!$J$4="CA",'2023'!$J$2=BK233),'2023DATA'!$F$29,"")</f>
        <v/>
      </c>
      <c r="BL260" s="518" t="str">
        <f>IF(AND(_AC4="A-320",'2023'!$J$4="CA",'2023'!$J$2=BL233),'2023DATA'!$G$29,"")</f>
        <v/>
      </c>
      <c r="BM260" s="518" t="str">
        <f>IF(AND(_AC4="A-320",'2023'!$J$4="CA",'2023'!$J$2=BM233),'2023DATA'!$H$29,"")</f>
        <v/>
      </c>
      <c r="BN260" s="518" t="str">
        <f>IF(AND(_AC4="A-320",'2023'!$J$4="CA",'2023'!$J$2=BN233),'2023DATA'!$I$29,"")</f>
        <v/>
      </c>
      <c r="BO260" s="518" t="str">
        <f>IF(AND(_AC4="A-320",'2023'!$J$4="CA",'2023'!$J$2=BO233),'2023DATA'!$J$29,"")</f>
        <v/>
      </c>
      <c r="BP260" s="518" t="str">
        <f>IF(AND(_AC4="A-320",'2023'!$J$4="CA",'2023'!$J$2=BP233),'2023DATA'!$K$29,"")</f>
        <v/>
      </c>
      <c r="BQ260" s="518" t="str">
        <f>IF(AND(_AC4="A-320",'2023'!$J$4="CA",'2023'!$J$2=BQ233),'2023DATA'!$L$29,"")</f>
        <v/>
      </c>
      <c r="BR260" s="518" t="str">
        <f>IF(AND(_AC4="A-320",'2023'!$J$4="CA",'2023'!$J$2=BR233),'2023DATA'!$M$29,"")</f>
        <v/>
      </c>
      <c r="BS260" s="520" t="str">
        <f>IF(AND(_AC4="A-320",'2023'!$J$4="CA",'2023'!$J$2=BS233),'2023DATA'!$N$29,"")</f>
        <v/>
      </c>
      <c r="BT260" s="940" t="s">
        <v>70</v>
      </c>
      <c r="BU260" s="13" t="s">
        <v>61</v>
      </c>
      <c r="BV260" s="518" t="str">
        <f>IF(AND(_AC5="A-320",'2023'!$J$4="CA",'2023'!$J$2=BV233),'2023DATA'!$C$29,"")</f>
        <v/>
      </c>
      <c r="BW260" s="518" t="str">
        <f>IF(AND(_AC5="A-320",'2023'!$J$4="CA",'2023'!$J$2=BW233),'2023DATA'!$D$29,"")</f>
        <v/>
      </c>
      <c r="BX260" s="518" t="str">
        <f>IF(AND(_AC5="A-320",'2023'!$J$4="CA",'2023'!$J$2=BX233),'2023DATA'!$E$29,"")</f>
        <v/>
      </c>
      <c r="BY260" s="518" t="str">
        <f>IF(AND(_AC5="A-320",'2023'!$J$4="CA",'2023'!$J$2=BY233),'2023DATA'!$F$29,"")</f>
        <v/>
      </c>
      <c r="BZ260" s="518" t="str">
        <f>IF(AND(_AC5="A-320",'2023'!$J$4="CA",'2023'!$J$2=BZ233),'2023DATA'!$G$29,"")</f>
        <v/>
      </c>
      <c r="CA260" s="518" t="str">
        <f>IF(AND(_AC5="A-320",'2023'!$J$4="CA",'2023'!$J$2=CA233),'2023DATA'!$H$29,"")</f>
        <v/>
      </c>
      <c r="CB260" s="518" t="str">
        <f>IF(AND(_AC5="A-320",'2023'!$J$4="CA",'2023'!$J$2=CB233),'2023DATA'!$I$29,"")</f>
        <v/>
      </c>
      <c r="CC260" s="518" t="str">
        <f>IF(AND(_AC5="A-320",'2023'!$J$4="CA",'2023'!$J$2=CC233),'2023DATA'!$J$29,"")</f>
        <v/>
      </c>
      <c r="CD260" s="518" t="str">
        <f>IF(AND(_AC5="A-320",'2023'!$J$4="CA",'2023'!$J$2=CD233),'2023DATA'!$K$29,"")</f>
        <v/>
      </c>
      <c r="CE260" s="518" t="str">
        <f>IF(AND(_AC5="A-320",'2023'!$J$4="CA",'2023'!$J$2=CE233),'2023DATA'!$L$29,"")</f>
        <v/>
      </c>
      <c r="CF260" s="518" t="str">
        <f>IF(AND(_AC5="A-320",'2023'!$J$4="CA",'2023'!$J$2=CF233),'2023DATA'!$M$29,"")</f>
        <v/>
      </c>
      <c r="CG260" s="520" t="str">
        <f>IF(AND(_AC5="A-320",'2023'!$J$4="CA",'2023'!$J$2=CG233),'2023DATA'!$N$29,"")</f>
        <v/>
      </c>
      <c r="CH260" s="940" t="s">
        <v>70</v>
      </c>
      <c r="CI260" s="13" t="s">
        <v>61</v>
      </c>
      <c r="CJ260" s="518" t="str">
        <f>IF(AND(_AC6="A-320",'2023'!$J$4="CA",'2023'!$J$2=CJ233),'2023DATA'!$C$29,"")</f>
        <v/>
      </c>
      <c r="CK260" s="518" t="str">
        <f>IF(AND(_AC6="A-320",'2023'!$J$4="CA",'2023'!$J$2=CK233),'2023DATA'!$D$29,"")</f>
        <v/>
      </c>
      <c r="CL260" s="518" t="str">
        <f>IF(AND(_AC6="A-320",'2023'!$J$4="CA",'2023'!$J$2=CL233),'2023DATA'!$E$29,"")</f>
        <v/>
      </c>
      <c r="CM260" s="518" t="str">
        <f>IF(AND(_AC6="A-320",'2023'!$J$4="CA",'2023'!$J$2=CM233),'2023DATA'!$F$29,"")</f>
        <v/>
      </c>
      <c r="CN260" s="518" t="str">
        <f>IF(AND(_AC6="A-320",'2023'!$J$4="CA",'2023'!$J$2=CN233),'2023DATA'!$G$29,"")</f>
        <v/>
      </c>
      <c r="CO260" s="518" t="str">
        <f>IF(AND(_AC6="A-320",'2023'!$J$4="CA",'2023'!$J$2=CO233),'2023DATA'!$H$29,"")</f>
        <v/>
      </c>
      <c r="CP260" s="518" t="str">
        <f>IF(AND(_AC6="A-320",'2023'!$J$4="CA",'2023'!$J$2=CP233),'2023DATA'!$I$29,"")</f>
        <v/>
      </c>
      <c r="CQ260" s="518" t="str">
        <f>IF(AND(_AC6="A-320",'2023'!$J$4="CA",'2023'!$J$2=CQ233),'2023DATA'!$J$29,"")</f>
        <v/>
      </c>
      <c r="CR260" s="518" t="str">
        <f>IF(AND(_AC6="A-320",'2023'!$J$4="CA",'2023'!$J$2=CR233),'2023DATA'!$K$29,"")</f>
        <v/>
      </c>
      <c r="CS260" s="518" t="str">
        <f>IF(AND(_AC6="A-320",'2023'!$J$4="CA",'2023'!$J$2=CS233),'2023DATA'!$L$29,"")</f>
        <v/>
      </c>
      <c r="CT260" s="518" t="str">
        <f>IF(AND(_AC6="A-320",'2023'!$J$4="CA",'2023'!$J$2=CT233),'2023DATA'!$M$29,"")</f>
        <v/>
      </c>
      <c r="CU260" s="520" t="str">
        <f>IF(AND(_AC6="A-320",'2023'!$J$4="CA",'2023'!$J$2=CU233),'2023DATA'!$N$29,"")</f>
        <v/>
      </c>
    </row>
    <row r="261" spans="16:99" x14ac:dyDescent="0.25">
      <c r="P261" s="940"/>
      <c r="Q261" s="13" t="s">
        <v>62</v>
      </c>
      <c r="R261" s="518" t="str">
        <f>IF(AND(_AC1="A-320",'2023'!$J$4="FO",'2023'!$J$2=R233),'2023DATA'!$C$30,"")</f>
        <v/>
      </c>
      <c r="S261" s="518" t="str">
        <f>IF(AND(_AC1="A-320",'2023'!$J$4="FO",'2023'!$J$2=S233),'2023DATA'!$D$30,"")</f>
        <v/>
      </c>
      <c r="T261" s="518" t="str">
        <f>IF(AND(_AC1="A-320",'2023'!$J$4="FO",'2023'!$J$2=T233),'2023DATA'!$E$30,"")</f>
        <v/>
      </c>
      <c r="U261" s="518" t="str">
        <f>IF(AND(_AC1="A-320",'2023'!$J$4="FO",'2023'!$J$2=U233),'2023DATA'!$F$30,"")</f>
        <v/>
      </c>
      <c r="V261" s="518" t="str">
        <f>IF(AND(_AC1="A-320",'2023'!$J$4="FO",'2023'!$J$2=V233),'2023DATA'!$G$30,"")</f>
        <v/>
      </c>
      <c r="W261" s="518" t="str">
        <f>IF(AND(_AC1="A-320",'2023'!$J$4="FO",'2023'!$J$2=W233),'2023DATA'!$H$30,"")</f>
        <v/>
      </c>
      <c r="X261" s="518" t="str">
        <f>IF(AND(_AC1="A-320",'2023'!$J$4="FO",'2023'!$J$2=X233),'2023DATA'!$I$30,"")</f>
        <v/>
      </c>
      <c r="Y261" s="518" t="str">
        <f>IF(AND(_AC1="A-320",'2023'!$J$4="FO",'2023'!$J$2=Y233),'2023DATA'!$J$30,"")</f>
        <v/>
      </c>
      <c r="Z261" s="518" t="str">
        <f>IF(AND(_AC1="A-320",'2023'!$J$4="FO",'2023'!$J$2=Z233),'2023DATA'!$K$30,"")</f>
        <v/>
      </c>
      <c r="AA261" s="518" t="str">
        <f>IF(AND(_AC1="A-320",'2023'!$J$4="FO",'2023'!$J$2=AA233),'2023DATA'!$L$30,"")</f>
        <v/>
      </c>
      <c r="AB261" s="518" t="str">
        <f>IF(AND(_AC1="A-320",'2023'!$J$4="FO",'2023'!$J$2=AB233),'2023DATA'!$M$30,"")</f>
        <v/>
      </c>
      <c r="AC261" s="520" t="str">
        <f>IF(AND(_AC1="A-320",'2023'!$J$4="FO",'2023'!$J$2=AC233),'2023DATA'!$N$30,"")</f>
        <v/>
      </c>
      <c r="AD261" s="940"/>
      <c r="AE261" s="13" t="s">
        <v>62</v>
      </c>
      <c r="AF261" s="518" t="str">
        <f>IF(AND(_AC2="A-320",'2023'!$J$4="FO",'2023'!$J$2=AF233),'2023DATA'!$C$30,"")</f>
        <v/>
      </c>
      <c r="AG261" s="518" t="str">
        <f>IF(AND(_AC2="A-320",'2023'!$J$4="FO",'2023'!$J$2=AG233),'2023DATA'!$D$30,"")</f>
        <v/>
      </c>
      <c r="AH261" s="518" t="str">
        <f>IF(AND(_AC2="A-320",'2023'!$J$4="FO",'2023'!$J$2=AH233),'2023DATA'!$E$30,"")</f>
        <v/>
      </c>
      <c r="AI261" s="518" t="str">
        <f>IF(AND(_AC2="A-320",'2023'!$J$4="FO",'2023'!$J$2=AI233),'2023DATA'!$F$30,"")</f>
        <v/>
      </c>
      <c r="AJ261" s="518" t="str">
        <f>IF(AND(_AC2="A-320",'2023'!$J$4="FO",'2023'!$J$2=AJ233),'2023DATA'!$G$30,"")</f>
        <v/>
      </c>
      <c r="AK261" s="518" t="str">
        <f>IF(AND(_AC2="A-320",'2023'!$J$4="FO",'2023'!$J$2=AK233),'2023DATA'!$H$30,"")</f>
        <v/>
      </c>
      <c r="AL261" s="518" t="str">
        <f>IF(AND(_AC2="A-320",'2023'!$J$4="FO",'2023'!$J$2=AL233),'2023DATA'!$I$30,"")</f>
        <v/>
      </c>
      <c r="AM261" s="518" t="str">
        <f>IF(AND(_AC2="A-320",'2023'!$J$4="FO",'2023'!$J$2=AM233),'2023DATA'!$J$30,"")</f>
        <v/>
      </c>
      <c r="AN261" s="518" t="str">
        <f>IF(AND(_AC2="A-320",'2023'!$J$4="FO",'2023'!$J$2=AN233),'2023DATA'!$K$30,"")</f>
        <v/>
      </c>
      <c r="AO261" s="518" t="str">
        <f>IF(AND(_AC2="A-320",'2023'!$J$4="FO",'2023'!$J$2=AO233),'2023DATA'!$L$30,"")</f>
        <v/>
      </c>
      <c r="AP261" s="518" t="str">
        <f>IF(AND(_AC2="A-320",'2023'!$J$4="FO",'2023'!$J$2=AP233),'2023DATA'!$M$30,"")</f>
        <v/>
      </c>
      <c r="AQ261" s="520" t="str">
        <f>IF(AND(_AC2="A-320",'2023'!$J$4="FO",'2023'!$J$2=AQ233),'2023DATA'!$N$30,"")</f>
        <v/>
      </c>
      <c r="AR261" s="940"/>
      <c r="AS261" s="13" t="s">
        <v>62</v>
      </c>
      <c r="AT261" s="518" t="str">
        <f>IF(AND(_AC3="A-320",'2023'!$J$4="FO",'2023'!$J$2=AT233),'2023DATA'!$C$30,"")</f>
        <v/>
      </c>
      <c r="AU261" s="518" t="str">
        <f>IF(AND(_AC3="A-320",'2023'!$J$4="FO",'2023'!$J$2=AU233),'2023DATA'!$D$30,"")</f>
        <v/>
      </c>
      <c r="AV261" s="518" t="str">
        <f>IF(AND(_AC3="A-320",'2023'!$J$4="FO",'2023'!$J$2=AV233),'2023DATA'!$E$30,"")</f>
        <v/>
      </c>
      <c r="AW261" s="518" t="str">
        <f>IF(AND(_AC3="A-320",'2023'!$J$4="FO",'2023'!$J$2=AW233),'2023DATA'!$F$30,"")</f>
        <v/>
      </c>
      <c r="AX261" s="518" t="str">
        <f>IF(AND(_AC3="A-320",'2023'!$J$4="FO",'2023'!$J$2=AX233),'2023DATA'!$G$30,"")</f>
        <v/>
      </c>
      <c r="AY261" s="518" t="str">
        <f>IF(AND(_AC3="A-320",'2023'!$J$4="FO",'2023'!$J$2=AY233),'2023DATA'!$H$30,"")</f>
        <v/>
      </c>
      <c r="AZ261" s="518" t="str">
        <f>IF(AND(_AC3="A-320",'2023'!$J$4="FO",'2023'!$J$2=AZ233),'2023DATA'!$I$30,"")</f>
        <v/>
      </c>
      <c r="BA261" s="518" t="str">
        <f>IF(AND(_AC3="A-320",'2023'!$J$4="FO",'2023'!$J$2=BA233),'2023DATA'!$J$30,"")</f>
        <v/>
      </c>
      <c r="BB261" s="518" t="str">
        <f>IF(AND(_AC3="A-320",'2023'!$J$4="FO",'2023'!$J$2=BB233),'2023DATA'!$K$30,"")</f>
        <v/>
      </c>
      <c r="BC261" s="518" t="str">
        <f>IF(AND(_AC3="A-320",'2023'!$J$4="FO",'2023'!$J$2=BC233),'2023DATA'!$L$30,"")</f>
        <v/>
      </c>
      <c r="BD261" s="518" t="str">
        <f>IF(AND(_AC3="A-320",'2023'!$J$4="FO",'2023'!$J$2=BD233),'2023DATA'!$M$30,"")</f>
        <v/>
      </c>
      <c r="BE261" s="520" t="str">
        <f>IF(AND(_AC3="A-320",'2023'!$J$4="FO",'2023'!$J$2=BE233),'2023DATA'!$N$30,"")</f>
        <v/>
      </c>
      <c r="BF261" s="940"/>
      <c r="BG261" s="13" t="s">
        <v>62</v>
      </c>
      <c r="BH261" s="518" t="str">
        <f>IF(AND(_AC4="A-320",'2023'!$J$4="FO",'2023'!$J$2=BH233),'2023DATA'!$C$30,"")</f>
        <v/>
      </c>
      <c r="BI261" s="518" t="str">
        <f>IF(AND(_AC4="A-320",'2023'!$J$4="FO",'2023'!$J$2=BI233),'2023DATA'!$D$30,"")</f>
        <v/>
      </c>
      <c r="BJ261" s="518" t="str">
        <f>IF(AND(_AC4="A-320",'2023'!$J$4="FO",'2023'!$J$2=BJ233),'2023DATA'!$E$30,"")</f>
        <v/>
      </c>
      <c r="BK261" s="518" t="str">
        <f>IF(AND(_AC4="A-320",'2023'!$J$4="FO",'2023'!$J$2=BK233),'2023DATA'!$F$30,"")</f>
        <v/>
      </c>
      <c r="BL261" s="518" t="str">
        <f>IF(AND(_AC4="A-320",'2023'!$J$4="FO",'2023'!$J$2=BL233),'2023DATA'!$G$30,"")</f>
        <v/>
      </c>
      <c r="BM261" s="518" t="str">
        <f>IF(AND(_AC4="A-320",'2023'!$J$4="FO",'2023'!$J$2=BM233),'2023DATA'!$H$30,"")</f>
        <v/>
      </c>
      <c r="BN261" s="518" t="str">
        <f>IF(AND(_AC4="A-320",'2023'!$J$4="FO",'2023'!$J$2=BN233),'2023DATA'!$I$30,"")</f>
        <v/>
      </c>
      <c r="BO261" s="518" t="str">
        <f>IF(AND(_AC4="A-320",'2023'!$J$4="FO",'2023'!$J$2=BO233),'2023DATA'!$J$30,"")</f>
        <v/>
      </c>
      <c r="BP261" s="518" t="str">
        <f>IF(AND(_AC4="A-320",'2023'!$J$4="FO",'2023'!$J$2=BP233),'2023DATA'!$K$30,"")</f>
        <v/>
      </c>
      <c r="BQ261" s="518" t="str">
        <f>IF(AND(_AC4="A-320",'2023'!$J$4="FO",'2023'!$J$2=BQ233),'2023DATA'!$L$30,"")</f>
        <v/>
      </c>
      <c r="BR261" s="518" t="str">
        <f>IF(AND(_AC4="A-320",'2023'!$J$4="FO",'2023'!$J$2=BR233),'2023DATA'!$M$30,"")</f>
        <v/>
      </c>
      <c r="BS261" s="520" t="str">
        <f>IF(AND(_AC4="A-320",'2023'!$J$4="FO",'2023'!$J$2=BS233),'2023DATA'!$N$30,"")</f>
        <v/>
      </c>
      <c r="BT261" s="940"/>
      <c r="BU261" s="13" t="s">
        <v>62</v>
      </c>
      <c r="BV261" s="518" t="str">
        <f>IF(AND(_AC5="A-320",'2023'!$J$4="FO",'2023'!$J$2=BV233),'2023DATA'!$C$30,"")</f>
        <v/>
      </c>
      <c r="BW261" s="518" t="str">
        <f>IF(AND(_AC5="A-320",'2023'!$J$4="FO",'2023'!$J$2=BW233),'2023DATA'!$D$30,"")</f>
        <v/>
      </c>
      <c r="BX261" s="518" t="str">
        <f>IF(AND(_AC5="A-320",'2023'!$J$4="FO",'2023'!$J$2=BX233),'2023DATA'!$E$30,"")</f>
        <v/>
      </c>
      <c r="BY261" s="518" t="str">
        <f>IF(AND(_AC5="A-320",'2023'!$J$4="FO",'2023'!$J$2=BY233),'2023DATA'!$F$30,"")</f>
        <v/>
      </c>
      <c r="BZ261" s="518" t="str">
        <f>IF(AND(_AC5="A-320",'2023'!$J$4="FO",'2023'!$J$2=BZ233),'2023DATA'!$G$30,"")</f>
        <v/>
      </c>
      <c r="CA261" s="518" t="str">
        <f>IF(AND(_AC5="A-320",'2023'!$J$4="FO",'2023'!$J$2=CA233),'2023DATA'!$H$30,"")</f>
        <v/>
      </c>
      <c r="CB261" s="518" t="str">
        <f>IF(AND(_AC5="A-320",'2023'!$J$4="FO",'2023'!$J$2=CB233),'2023DATA'!$I$30,"")</f>
        <v/>
      </c>
      <c r="CC261" s="518" t="str">
        <f>IF(AND(_AC5="A-320",'2023'!$J$4="FO",'2023'!$J$2=CC233),'2023DATA'!$J$30,"")</f>
        <v/>
      </c>
      <c r="CD261" s="518" t="str">
        <f>IF(AND(_AC5="A-320",'2023'!$J$4="FO",'2023'!$J$2=CD233),'2023DATA'!$K$30,"")</f>
        <v/>
      </c>
      <c r="CE261" s="518" t="str">
        <f>IF(AND(_AC5="A-320",'2023'!$J$4="FO",'2023'!$J$2=CE233),'2023DATA'!$L$30,"")</f>
        <v/>
      </c>
      <c r="CF261" s="518" t="str">
        <f>IF(AND(_AC5="A-320",'2023'!$J$4="FO",'2023'!$J$2=CF233),'2023DATA'!$M$30,"")</f>
        <v/>
      </c>
      <c r="CG261" s="520" t="str">
        <f>IF(AND(_AC5="A-320",'2023'!$J$4="FO",'2023'!$J$2=CG233),'2023DATA'!$N$30,"")</f>
        <v/>
      </c>
      <c r="CH261" s="940"/>
      <c r="CI261" s="13" t="s">
        <v>62</v>
      </c>
      <c r="CJ261" s="518" t="str">
        <f>IF(AND(_AC6="A-320",'2023'!$J$4="FO",'2023'!$J$2=CJ233),'2023DATA'!$C$30,"")</f>
        <v/>
      </c>
      <c r="CK261" s="518" t="str">
        <f>IF(AND(_AC6="A-320",'2023'!$J$4="FO",'2023'!$J$2=CK233),'2023DATA'!$D$30,"")</f>
        <v/>
      </c>
      <c r="CL261" s="518" t="str">
        <f>IF(AND(_AC6="A-320",'2023'!$J$4="FO",'2023'!$J$2=CL233),'2023DATA'!$E$30,"")</f>
        <v/>
      </c>
      <c r="CM261" s="518" t="str">
        <f>IF(AND(_AC6="A-320",'2023'!$J$4="FO",'2023'!$J$2=CM233),'2023DATA'!$F$30,"")</f>
        <v/>
      </c>
      <c r="CN261" s="518" t="str">
        <f>IF(AND(_AC6="A-320",'2023'!$J$4="FO",'2023'!$J$2=CN233),'2023DATA'!$G$30,"")</f>
        <v/>
      </c>
      <c r="CO261" s="518" t="str">
        <f>IF(AND(_AC6="A-320",'2023'!$J$4="FO",'2023'!$J$2=CO233),'2023DATA'!$H$30,"")</f>
        <v/>
      </c>
      <c r="CP261" s="518" t="str">
        <f>IF(AND(_AC6="A-320",'2023'!$J$4="FO",'2023'!$J$2=CP233),'2023DATA'!$I$30,"")</f>
        <v/>
      </c>
      <c r="CQ261" s="518" t="str">
        <f>IF(AND(_AC6="A-320",'2023'!$J$4="FO",'2023'!$J$2=CQ233),'2023DATA'!$J$30,"")</f>
        <v/>
      </c>
      <c r="CR261" s="518" t="str">
        <f>IF(AND(_AC6="A-320",'2023'!$J$4="FO",'2023'!$J$2=CR233),'2023DATA'!$K$30,"")</f>
        <v/>
      </c>
      <c r="CS261" s="518" t="str">
        <f>IF(AND(_AC6="A-320",'2023'!$J$4="FO",'2023'!$J$2=CS233),'2023DATA'!$L$30,"")</f>
        <v/>
      </c>
      <c r="CT261" s="518" t="str">
        <f>IF(AND(_AC6="A-320",'2023'!$J$4="FO",'2023'!$J$2=CT233),'2023DATA'!$M$30,"")</f>
        <v/>
      </c>
      <c r="CU261" s="520" t="str">
        <f>IF(AND(_AC6="A-320",'2023'!$J$4="FO",'2023'!$J$2=CU233),'2023DATA'!$N$30,"")</f>
        <v/>
      </c>
    </row>
    <row r="262" spans="16:99" x14ac:dyDescent="0.25">
      <c r="P262" s="940" t="s">
        <v>71</v>
      </c>
      <c r="Q262" s="13" t="s">
        <v>61</v>
      </c>
      <c r="R262" s="518" t="str">
        <f>IF(AND(_AC1="A-319",'2023'!$J$4="CA",'2023'!$J$2=R233),'2023DATA'!$C$31,"")</f>
        <v/>
      </c>
      <c r="S262" s="518" t="str">
        <f>IF(AND(_AC1="A-319",'2023'!$J$4="CA",'2023'!$J$2=S233),'2023DATA'!$D$31,"")</f>
        <v/>
      </c>
      <c r="T262" s="518" t="str">
        <f>IF(AND(_AC1="A-319",'2023'!$J$4="CA",'2023'!$J$2=T233),'2023DATA'!$E$31,"")</f>
        <v/>
      </c>
      <c r="U262" s="518" t="str">
        <f>IF(AND(_AC1="A-319",'2023'!$J$4="CA",'2023'!$J$2=U233),'2023DATA'!$F$31,"")</f>
        <v/>
      </c>
      <c r="V262" s="518" t="str">
        <f>IF(AND(_AC1="A-319",'2023'!$J$4="CA",'2023'!$J$2=V233),'2023DATA'!$G$31,"")</f>
        <v/>
      </c>
      <c r="W262" s="518" t="str">
        <f>IF(AND(_AC1="A-319",'2023'!$J$4="CA",'2023'!$J$2=W233),'2023DATA'!$H$31,"")</f>
        <v/>
      </c>
      <c r="X262" s="518" t="str">
        <f>IF(AND(_AC1="A-319",'2023'!$J$4="CA",'2023'!$J$2=X233),'2023DATA'!$I$31,"")</f>
        <v/>
      </c>
      <c r="Y262" s="518" t="str">
        <f>IF(AND(_AC1="A-319",'2023'!$J$4="CA",'2023'!$J$2=Y233),'2023DATA'!$J$31,"")</f>
        <v/>
      </c>
      <c r="Z262" s="518" t="str">
        <f>IF(AND(_AC1="A-319",'2023'!$J$4="CA",'2023'!$J$2=Z233),'2023DATA'!$K$31,"")</f>
        <v/>
      </c>
      <c r="AA262" s="518" t="str">
        <f>IF(AND(_AC1="A-319",'2023'!$J$4="CA",'2023'!$J$2=AA233),'2023DATA'!$L$31,"")</f>
        <v/>
      </c>
      <c r="AB262" s="518" t="str">
        <f>IF(AND(_AC1="A-319",'2023'!$J$4="CA",'2023'!$J$2=AB233),'2023DATA'!$M$31,"")</f>
        <v/>
      </c>
      <c r="AC262" s="520" t="str">
        <f>IF(AND(_AC1="A-319",'2023'!$J$4="CA",'2023'!$J$2=AC233),'2023DATA'!$N$31,"")</f>
        <v/>
      </c>
      <c r="AD262" s="940" t="s">
        <v>71</v>
      </c>
      <c r="AE262" s="13" t="s">
        <v>61</v>
      </c>
      <c r="AF262" s="518" t="str">
        <f>IF(AND(_AC2="A-319",'2023'!$J$4="CA",'2023'!$J$2=AF233),'2023DATA'!$C$31,"")</f>
        <v/>
      </c>
      <c r="AG262" s="518" t="str">
        <f>IF(AND(_AC2="A-319",'2023'!$J$4="CA",'2023'!$J$2=AG233),'2023DATA'!$D$31,"")</f>
        <v/>
      </c>
      <c r="AH262" s="518" t="str">
        <f>IF(AND(_AC2="A-319",'2023'!$J$4="CA",'2023'!$J$2=AH233),'2023DATA'!$E$31,"")</f>
        <v/>
      </c>
      <c r="AI262" s="518" t="str">
        <f>IF(AND(_AC2="A-319",'2023'!$J$4="CA",'2023'!$J$2=AI233),'2023DATA'!$F$31,"")</f>
        <v/>
      </c>
      <c r="AJ262" s="518" t="str">
        <f>IF(AND(_AC2="A-319",'2023'!$J$4="CA",'2023'!$J$2=AJ233),'2023DATA'!$G$31,"")</f>
        <v/>
      </c>
      <c r="AK262" s="518" t="str">
        <f>IF(AND(_AC2="A-319",'2023'!$J$4="CA",'2023'!$J$2=AK233),'2023DATA'!$H$31,"")</f>
        <v/>
      </c>
      <c r="AL262" s="518" t="str">
        <f>IF(AND(_AC2="A-319",'2023'!$J$4="CA",'2023'!$J$2=AL233),'2023DATA'!$I$31,"")</f>
        <v/>
      </c>
      <c r="AM262" s="518" t="str">
        <f>IF(AND(_AC2="A-319",'2023'!$J$4="CA",'2023'!$J$2=AM233),'2023DATA'!$J$31,"")</f>
        <v/>
      </c>
      <c r="AN262" s="518" t="str">
        <f>IF(AND(_AC2="A-319",'2023'!$J$4="CA",'2023'!$J$2=AN233),'2023DATA'!$K$31,"")</f>
        <v/>
      </c>
      <c r="AO262" s="518" t="str">
        <f>IF(AND(_AC2="A-319",'2023'!$J$4="CA",'2023'!$J$2=AO233),'2023DATA'!$L$31,"")</f>
        <v/>
      </c>
      <c r="AP262" s="518" t="str">
        <f>IF(AND(_AC2="A-319",'2023'!$J$4="CA",'2023'!$J$2=AP233),'2023DATA'!$M$31,"")</f>
        <v/>
      </c>
      <c r="AQ262" s="520" t="str">
        <f>IF(AND(_AC2="A-319",'2023'!$J$4="CA",'2023'!$J$2=AQ233),'2023DATA'!$N$31,"")</f>
        <v/>
      </c>
      <c r="AR262" s="940" t="s">
        <v>71</v>
      </c>
      <c r="AS262" s="13" t="s">
        <v>61</v>
      </c>
      <c r="AT262" s="518" t="str">
        <f>IF(AND(_AC3="A-319",'2023'!$J$4="CA",'2023'!$J$2=AT233),'2023DATA'!$C$31,"")</f>
        <v/>
      </c>
      <c r="AU262" s="518" t="str">
        <f>IF(AND(_AC3="A-319",'2023'!$J$4="CA",'2023'!$J$2=AU233),'2023DATA'!$D$31,"")</f>
        <v/>
      </c>
      <c r="AV262" s="518" t="str">
        <f>IF(AND(_AC3="A-319",'2023'!$J$4="CA",'2023'!$J$2=AV233),'2023DATA'!$E$31,"")</f>
        <v/>
      </c>
      <c r="AW262" s="518" t="str">
        <f>IF(AND(_AC3="A-319",'2023'!$J$4="CA",'2023'!$J$2=AW233),'2023DATA'!$F$31,"")</f>
        <v/>
      </c>
      <c r="AX262" s="518" t="str">
        <f>IF(AND(_AC3="A-319",'2023'!$J$4="CA",'2023'!$J$2=AX233),'2023DATA'!$G$31,"")</f>
        <v/>
      </c>
      <c r="AY262" s="518" t="str">
        <f>IF(AND(_AC3="A-319",'2023'!$J$4="CA",'2023'!$J$2=AY233),'2023DATA'!$H$31,"")</f>
        <v/>
      </c>
      <c r="AZ262" s="518" t="str">
        <f>IF(AND(_AC3="A-319",'2023'!$J$4="CA",'2023'!$J$2=AZ233),'2023DATA'!$I$31,"")</f>
        <v/>
      </c>
      <c r="BA262" s="518" t="str">
        <f>IF(AND(_AC3="A-319",'2023'!$J$4="CA",'2023'!$J$2=BA233),'2023DATA'!$J$31,"")</f>
        <v/>
      </c>
      <c r="BB262" s="518" t="str">
        <f>IF(AND(_AC3="A-319",'2023'!$J$4="CA",'2023'!$J$2=BB233),'2023DATA'!$K$31,"")</f>
        <v/>
      </c>
      <c r="BC262" s="518" t="str">
        <f>IF(AND(_AC3="A-319",'2023'!$J$4="CA",'2023'!$J$2=BC233),'2023DATA'!$L$31,"")</f>
        <v/>
      </c>
      <c r="BD262" s="518" t="str">
        <f>IF(AND(_AC3="A-319",'2023'!$J$4="CA",'2023'!$J$2=BD233),'2023DATA'!$M$31,"")</f>
        <v/>
      </c>
      <c r="BE262" s="520" t="str">
        <f>IF(AND(_AC3="A-319",'2023'!$J$4="CA",'2023'!$J$2=BE233),'2023DATA'!$N$31,"")</f>
        <v/>
      </c>
      <c r="BF262" s="940" t="s">
        <v>71</v>
      </c>
      <c r="BG262" s="13" t="s">
        <v>61</v>
      </c>
      <c r="BH262" s="518" t="str">
        <f>IF(AND(_AC4="A-319",'2023'!$J$4="CA",'2023'!$J$2=BH233),'2023DATA'!$C$31,"")</f>
        <v/>
      </c>
      <c r="BI262" s="518" t="str">
        <f>IF(AND(_AC4="A-319",'2023'!$J$4="CA",'2023'!$J$2=BI233),'2023DATA'!$D$31,"")</f>
        <v/>
      </c>
      <c r="BJ262" s="518" t="str">
        <f>IF(AND(_AC4="A-319",'2023'!$J$4="CA",'2023'!$J$2=BJ233),'2023DATA'!$E$31,"")</f>
        <v/>
      </c>
      <c r="BK262" s="518" t="str">
        <f>IF(AND(_AC4="A-319",'2023'!$J$4="CA",'2023'!$J$2=BK233),'2023DATA'!$F$31,"")</f>
        <v/>
      </c>
      <c r="BL262" s="518" t="str">
        <f>IF(AND(_AC4="A-319",'2023'!$J$4="CA",'2023'!$J$2=BL233),'2023DATA'!$G$31,"")</f>
        <v/>
      </c>
      <c r="BM262" s="518" t="str">
        <f>IF(AND(_AC4="A-319",'2023'!$J$4="CA",'2023'!$J$2=BM233),'2023DATA'!$H$31,"")</f>
        <v/>
      </c>
      <c r="BN262" s="518" t="str">
        <f>IF(AND(_AC4="A-319",'2023'!$J$4="CA",'2023'!$J$2=BN233),'2023DATA'!$I$31,"")</f>
        <v/>
      </c>
      <c r="BO262" s="518" t="str">
        <f>IF(AND(_AC4="A-319",'2023'!$J$4="CA",'2023'!$J$2=BO233),'2023DATA'!$J$31,"")</f>
        <v/>
      </c>
      <c r="BP262" s="518" t="str">
        <f>IF(AND(_AC4="A-319",'2023'!$J$4="CA",'2023'!$J$2=BP233),'2023DATA'!$K$31,"")</f>
        <v/>
      </c>
      <c r="BQ262" s="518" t="str">
        <f>IF(AND(_AC4="A-319",'2023'!$J$4="CA",'2023'!$J$2=BQ233),'2023DATA'!$L$31,"")</f>
        <v/>
      </c>
      <c r="BR262" s="518" t="str">
        <f>IF(AND(_AC4="A-319",'2023'!$J$4="CA",'2023'!$J$2=BR233),'2023DATA'!$M$31,"")</f>
        <v/>
      </c>
      <c r="BS262" s="520" t="str">
        <f>IF(AND(_AC4="A-319",'2023'!$J$4="CA",'2023'!$J$2=BS233),'2023DATA'!$N$31,"")</f>
        <v/>
      </c>
      <c r="BT262" s="940" t="s">
        <v>71</v>
      </c>
      <c r="BU262" s="13" t="s">
        <v>61</v>
      </c>
      <c r="BV262" s="518" t="str">
        <f>IF(AND(_AC5="A-319",'2023'!$J$4="CA",'2023'!$J$2=BV233),'2023DATA'!$C$31,"")</f>
        <v/>
      </c>
      <c r="BW262" s="518" t="str">
        <f>IF(AND(_AC5="A-319",'2023'!$J$4="CA",'2023'!$J$2=BW233),'2023DATA'!$D$31,"")</f>
        <v/>
      </c>
      <c r="BX262" s="518" t="str">
        <f>IF(AND(_AC5="A-319",'2023'!$J$4="CA",'2023'!$J$2=BX233),'2023DATA'!$E$31,"")</f>
        <v/>
      </c>
      <c r="BY262" s="518" t="str">
        <f>IF(AND(_AC5="A-319",'2023'!$J$4="CA",'2023'!$J$2=BY233),'2023DATA'!$F$31,"")</f>
        <v/>
      </c>
      <c r="BZ262" s="518" t="str">
        <f>IF(AND(_AC5="A-319",'2023'!$J$4="CA",'2023'!$J$2=BZ233),'2023DATA'!$G$31,"")</f>
        <v/>
      </c>
      <c r="CA262" s="518" t="str">
        <f>IF(AND(_AC5="A-319",'2023'!$J$4="CA",'2023'!$J$2=CA233),'2023DATA'!$H$31,"")</f>
        <v/>
      </c>
      <c r="CB262" s="518" t="str">
        <f>IF(AND(_AC5="A-319",'2023'!$J$4="CA",'2023'!$J$2=CB233),'2023DATA'!$I$31,"")</f>
        <v/>
      </c>
      <c r="CC262" s="518" t="str">
        <f>IF(AND(_AC5="A-319",'2023'!$J$4="CA",'2023'!$J$2=CC233),'2023DATA'!$J$31,"")</f>
        <v/>
      </c>
      <c r="CD262" s="518" t="str">
        <f>IF(AND(_AC5="A-319",'2023'!$J$4="CA",'2023'!$J$2=CD233),'2023DATA'!$K$31,"")</f>
        <v/>
      </c>
      <c r="CE262" s="518" t="str">
        <f>IF(AND(_AC5="A-319",'2023'!$J$4="CA",'2023'!$J$2=CE233),'2023DATA'!$L$31,"")</f>
        <v/>
      </c>
      <c r="CF262" s="518" t="str">
        <f>IF(AND(_AC5="A-319",'2023'!$J$4="CA",'2023'!$J$2=CF233),'2023DATA'!$M$31,"")</f>
        <v/>
      </c>
      <c r="CG262" s="520" t="str">
        <f>IF(AND(_AC5="A-319",'2023'!$J$4="CA",'2023'!$J$2=CG233),'2023DATA'!$N$31,"")</f>
        <v/>
      </c>
      <c r="CH262" s="940" t="s">
        <v>71</v>
      </c>
      <c r="CI262" s="13" t="s">
        <v>61</v>
      </c>
      <c r="CJ262" s="518" t="str">
        <f>IF(AND(_AC6="A-319",'2023'!$J$4="CA",'2023'!$J$2=CJ233),'2023DATA'!$C$31,"")</f>
        <v/>
      </c>
      <c r="CK262" s="518" t="str">
        <f>IF(AND(_AC6="A-319",'2023'!$J$4="CA",'2023'!$J$2=CK233),'2023DATA'!$D$31,"")</f>
        <v/>
      </c>
      <c r="CL262" s="518" t="str">
        <f>IF(AND(_AC6="A-319",'2023'!$J$4="CA",'2023'!$J$2=CL233),'2023DATA'!$E$31,"")</f>
        <v/>
      </c>
      <c r="CM262" s="518" t="str">
        <f>IF(AND(_AC6="A-319",'2023'!$J$4="CA",'2023'!$J$2=CM233),'2023DATA'!$F$31,"")</f>
        <v/>
      </c>
      <c r="CN262" s="518" t="str">
        <f>IF(AND(_AC6="A-319",'2023'!$J$4="CA",'2023'!$J$2=CN233),'2023DATA'!$G$31,"")</f>
        <v/>
      </c>
      <c r="CO262" s="518" t="str">
        <f>IF(AND(_AC6="A-319",'2023'!$J$4="CA",'2023'!$J$2=CO233),'2023DATA'!$H$31,"")</f>
        <v/>
      </c>
      <c r="CP262" s="518" t="str">
        <f>IF(AND(_AC6="A-319",'2023'!$J$4="CA",'2023'!$J$2=CP233),'2023DATA'!$I$31,"")</f>
        <v/>
      </c>
      <c r="CQ262" s="518" t="str">
        <f>IF(AND(_AC6="A-319",'2023'!$J$4="CA",'2023'!$J$2=CQ233),'2023DATA'!$J$31,"")</f>
        <v/>
      </c>
      <c r="CR262" s="518" t="str">
        <f>IF(AND(_AC6="A-319",'2023'!$J$4="CA",'2023'!$J$2=CR233),'2023DATA'!$K$31,"")</f>
        <v/>
      </c>
      <c r="CS262" s="518" t="str">
        <f>IF(AND(_AC6="A-319",'2023'!$J$4="CA",'2023'!$J$2=CS233),'2023DATA'!$L$31,"")</f>
        <v/>
      </c>
      <c r="CT262" s="518" t="str">
        <f>IF(AND(_AC6="A-319",'2023'!$J$4="CA",'2023'!$J$2=CT233),'2023DATA'!$M$31,"")</f>
        <v/>
      </c>
      <c r="CU262" s="520" t="str">
        <f>IF(AND(_AC6="A-319",'2023'!$J$4="CA",'2023'!$J$2=CU233),'2023DATA'!$N$31,"")</f>
        <v/>
      </c>
    </row>
    <row r="263" spans="16:99" x14ac:dyDescent="0.25">
      <c r="P263" s="940"/>
      <c r="Q263" s="13" t="s">
        <v>62</v>
      </c>
      <c r="R263" s="518" t="str">
        <f>IF(AND(_AC1="A-319",'2023'!$J$4="FO",'2023'!$J$2=R233),'2023DATA'!$C$32,"")</f>
        <v/>
      </c>
      <c r="S263" s="518" t="str">
        <f>IF(AND(_AC1="A-319",'2023'!$J$4="FO",'2023'!$J$2=S233),'2023DATA'!$D$32,"")</f>
        <v/>
      </c>
      <c r="T263" s="518" t="str">
        <f>IF(AND(_AC1="A-319",'2023'!$J$4="FO",'2023'!$J$2=T233),'2023DATA'!$E$32,"")</f>
        <v/>
      </c>
      <c r="U263" s="518" t="str">
        <f>IF(AND(_AC1="A-319",'2023'!$J$4="FO",'2023'!$J$2=U233),'2023DATA'!$F$32,"")</f>
        <v/>
      </c>
      <c r="V263" s="518" t="str">
        <f>IF(AND(_AC1="A-319",'2023'!$J$4="FO",'2023'!$J$2=V233),'2023DATA'!$G$32,"")</f>
        <v/>
      </c>
      <c r="W263" s="518" t="str">
        <f>IF(AND(_AC1="A-319",'2023'!$J$4="FO",'2023'!$J$2=W233),'2023DATA'!$H$32,"")</f>
        <v/>
      </c>
      <c r="X263" s="518" t="str">
        <f>IF(AND(_AC1="A-319",'2023'!$J$4="FO",'2023'!$J$2=X233),'2023DATA'!$I$32,"")</f>
        <v/>
      </c>
      <c r="Y263" s="518" t="str">
        <f>IF(AND(_AC1="A-319",'2023'!$J$4="FO",'2023'!$J$2=Y233),'2023DATA'!$J$32,"")</f>
        <v/>
      </c>
      <c r="Z263" s="518" t="str">
        <f>IF(AND(_AC1="A-319",'2023'!$J$4="FO",'2023'!$J$2=Z233),'2023DATA'!$K$32,"")</f>
        <v/>
      </c>
      <c r="AA263" s="518" t="str">
        <f>IF(AND(_AC1="A-319",'2023'!$J$4="FO",'2023'!$J$2=AA233),'2023DATA'!$L$32,"")</f>
        <v/>
      </c>
      <c r="AB263" s="518" t="str">
        <f>IF(AND(_AC1="A-319",'2023'!$J$4="FO",'2023'!$J$2=AB233),'2023DATA'!$M$32,"")</f>
        <v/>
      </c>
      <c r="AC263" s="520" t="str">
        <f>IF(AND(_AC1="A-319",'2023'!$J$4="FO",'2023'!$J$2=AC233),'2023DATA'!$N$32,"")</f>
        <v/>
      </c>
      <c r="AD263" s="940"/>
      <c r="AE263" s="13" t="s">
        <v>62</v>
      </c>
      <c r="AF263" s="518" t="str">
        <f>IF(AND(_AC2="A-319",'2023'!$J$4="FO",'2023'!$J$2=AF233),'2023DATA'!$C$32,"")</f>
        <v/>
      </c>
      <c r="AG263" s="518" t="str">
        <f>IF(AND(_AC2="A-319",'2023'!$J$4="FO",'2023'!$J$2=AG233),'2023DATA'!$D$32,"")</f>
        <v/>
      </c>
      <c r="AH263" s="518" t="str">
        <f>IF(AND(_AC2="A-319",'2023'!$J$4="FO",'2023'!$J$2=AH233),'2023DATA'!$E$32,"")</f>
        <v/>
      </c>
      <c r="AI263" s="518" t="str">
        <f>IF(AND(_AC2="A-319",'2023'!$J$4="FO",'2023'!$J$2=AI233),'2023DATA'!$F$32,"")</f>
        <v/>
      </c>
      <c r="AJ263" s="518" t="str">
        <f>IF(AND(_AC2="A-319",'2023'!$J$4="FO",'2023'!$J$2=AJ233),'2023DATA'!$G$32,"")</f>
        <v/>
      </c>
      <c r="AK263" s="518" t="str">
        <f>IF(AND(_AC2="A-319",'2023'!$J$4="FO",'2023'!$J$2=AK233),'2023DATA'!$H$32,"")</f>
        <v/>
      </c>
      <c r="AL263" s="518" t="str">
        <f>IF(AND(_AC2="A-319",'2023'!$J$4="FO",'2023'!$J$2=AL233),'2023DATA'!$I$32,"")</f>
        <v/>
      </c>
      <c r="AM263" s="518" t="str">
        <f>IF(AND(_AC2="A-319",'2023'!$J$4="FO",'2023'!$J$2=AM233),'2023DATA'!$J$32,"")</f>
        <v/>
      </c>
      <c r="AN263" s="518" t="str">
        <f>IF(AND(_AC2="A-319",'2023'!$J$4="FO",'2023'!$J$2=AN233),'2023DATA'!$K$32,"")</f>
        <v/>
      </c>
      <c r="AO263" s="518" t="str">
        <f>IF(AND(_AC2="A-319",'2023'!$J$4="FO",'2023'!$J$2=AO233),'2023DATA'!$L$32,"")</f>
        <v/>
      </c>
      <c r="AP263" s="518" t="str">
        <f>IF(AND(_AC2="A-319",'2023'!$J$4="FO",'2023'!$J$2=AP233),'2023DATA'!$M$32,"")</f>
        <v/>
      </c>
      <c r="AQ263" s="520" t="str">
        <f>IF(AND(_AC2="A-319",'2023'!$J$4="FO",'2023'!$J$2=AQ233),'2023DATA'!$N$32,"")</f>
        <v/>
      </c>
      <c r="AR263" s="940"/>
      <c r="AS263" s="13" t="s">
        <v>62</v>
      </c>
      <c r="AT263" s="518" t="str">
        <f>IF(AND(_AC3="A-319",'2023'!$J$4="FO",'2023'!$J$2=AT233),'2023DATA'!$C$32,"")</f>
        <v/>
      </c>
      <c r="AU263" s="518" t="str">
        <f>IF(AND(_AC3="A-319",'2023'!$J$4="FO",'2023'!$J$2=AU233),'2023DATA'!$D$32,"")</f>
        <v/>
      </c>
      <c r="AV263" s="518" t="str">
        <f>IF(AND(_AC3="A-319",'2023'!$J$4="FO",'2023'!$J$2=AV233),'2023DATA'!$E$32,"")</f>
        <v/>
      </c>
      <c r="AW263" s="518" t="str">
        <f>IF(AND(_AC3="A-319",'2023'!$J$4="FO",'2023'!$J$2=AW233),'2023DATA'!$F$32,"")</f>
        <v/>
      </c>
      <c r="AX263" s="518" t="str">
        <f>IF(AND(_AC3="A-319",'2023'!$J$4="FO",'2023'!$J$2=AX233),'2023DATA'!$G$32,"")</f>
        <v/>
      </c>
      <c r="AY263" s="518" t="str">
        <f>IF(AND(_AC3="A-319",'2023'!$J$4="FO",'2023'!$J$2=AY233),'2023DATA'!$H$32,"")</f>
        <v/>
      </c>
      <c r="AZ263" s="518" t="str">
        <f>IF(AND(_AC3="A-319",'2023'!$J$4="FO",'2023'!$J$2=AZ233),'2023DATA'!$I$32,"")</f>
        <v/>
      </c>
      <c r="BA263" s="518" t="str">
        <f>IF(AND(_AC3="A-319",'2023'!$J$4="FO",'2023'!$J$2=BA233),'2023DATA'!$J$32,"")</f>
        <v/>
      </c>
      <c r="BB263" s="518" t="str">
        <f>IF(AND(_AC3="A-319",'2023'!$J$4="FO",'2023'!$J$2=BB233),'2023DATA'!$K$32,"")</f>
        <v/>
      </c>
      <c r="BC263" s="518" t="str">
        <f>IF(AND(_AC3="A-319",'2023'!$J$4="FO",'2023'!$J$2=BC233),'2023DATA'!$L$32,"")</f>
        <v/>
      </c>
      <c r="BD263" s="518" t="str">
        <f>IF(AND(_AC3="A-319",'2023'!$J$4="FO",'2023'!$J$2=BD233),'2023DATA'!$M$32,"")</f>
        <v/>
      </c>
      <c r="BE263" s="520" t="str">
        <f>IF(AND(_AC3="A-319",'2023'!$J$4="FO",'2023'!$J$2=BE233),'2023DATA'!$N$32,"")</f>
        <v/>
      </c>
      <c r="BF263" s="940"/>
      <c r="BG263" s="13" t="s">
        <v>62</v>
      </c>
      <c r="BH263" s="518" t="str">
        <f>IF(AND(_AC4="A-319",'2023'!$J$4="FO",'2023'!$J$2=BH233),'2023DATA'!$C$32,"")</f>
        <v/>
      </c>
      <c r="BI263" s="518" t="str">
        <f>IF(AND(_AC4="A-319",'2023'!$J$4="FO",'2023'!$J$2=BI233),'2023DATA'!$D$32,"")</f>
        <v/>
      </c>
      <c r="BJ263" s="518" t="str">
        <f>IF(AND(_AC4="A-319",'2023'!$J$4="FO",'2023'!$J$2=BJ233),'2023DATA'!$E$32,"")</f>
        <v/>
      </c>
      <c r="BK263" s="518" t="str">
        <f>IF(AND(_AC4="A-319",'2023'!$J$4="FO",'2023'!$J$2=BK233),'2023DATA'!$F$32,"")</f>
        <v/>
      </c>
      <c r="BL263" s="518" t="str">
        <f>IF(AND(_AC4="A-319",'2023'!$J$4="FO",'2023'!$J$2=BL233),'2023DATA'!$G$32,"")</f>
        <v/>
      </c>
      <c r="BM263" s="518" t="str">
        <f>IF(AND(_AC4="A-319",'2023'!$J$4="FO",'2023'!$J$2=BM233),'2023DATA'!$H$32,"")</f>
        <v/>
      </c>
      <c r="BN263" s="518" t="str">
        <f>IF(AND(_AC4="A-319",'2023'!$J$4="FO",'2023'!$J$2=BN233),'2023DATA'!$I$32,"")</f>
        <v/>
      </c>
      <c r="BO263" s="518" t="str">
        <f>IF(AND(_AC4="A-319",'2023'!$J$4="FO",'2023'!$J$2=BO233),'2023DATA'!$J$32,"")</f>
        <v/>
      </c>
      <c r="BP263" s="518" t="str">
        <f>IF(AND(_AC4="A-319",'2023'!$J$4="FO",'2023'!$J$2=BP233),'2023DATA'!$K$32,"")</f>
        <v/>
      </c>
      <c r="BQ263" s="518" t="str">
        <f>IF(AND(_AC4="A-319",'2023'!$J$4="FO",'2023'!$J$2=BQ233),'2023DATA'!$L$32,"")</f>
        <v/>
      </c>
      <c r="BR263" s="518" t="str">
        <f>IF(AND(_AC4="A-319",'2023'!$J$4="FO",'2023'!$J$2=BR233),'2023DATA'!$M$32,"")</f>
        <v/>
      </c>
      <c r="BS263" s="520" t="str">
        <f>IF(AND(_AC4="A-319",'2023'!$J$4="FO",'2023'!$J$2=BS233),'2023DATA'!$N$32,"")</f>
        <v/>
      </c>
      <c r="BT263" s="940"/>
      <c r="BU263" s="13" t="s">
        <v>62</v>
      </c>
      <c r="BV263" s="518" t="str">
        <f>IF(AND(_AC5="A-319",'2023'!$J$4="FO",'2023'!$J$2=BV233),'2023DATA'!$C$32,"")</f>
        <v/>
      </c>
      <c r="BW263" s="518" t="str">
        <f>IF(AND(_AC5="A-319",'2023'!$J$4="FO",'2023'!$J$2=BW233),'2023DATA'!$D$32,"")</f>
        <v/>
      </c>
      <c r="BX263" s="518" t="str">
        <f>IF(AND(_AC5="A-319",'2023'!$J$4="FO",'2023'!$J$2=BX233),'2023DATA'!$E$32,"")</f>
        <v/>
      </c>
      <c r="BY263" s="518" t="str">
        <f>IF(AND(_AC5="A-319",'2023'!$J$4="FO",'2023'!$J$2=BY233),'2023DATA'!$F$32,"")</f>
        <v/>
      </c>
      <c r="BZ263" s="518" t="str">
        <f>IF(AND(_AC5="A-319",'2023'!$J$4="FO",'2023'!$J$2=BZ233),'2023DATA'!$G$32,"")</f>
        <v/>
      </c>
      <c r="CA263" s="518" t="str">
        <f>IF(AND(_AC5="A-319",'2023'!$J$4="FO",'2023'!$J$2=CA233),'2023DATA'!$H$32,"")</f>
        <v/>
      </c>
      <c r="CB263" s="518" t="str">
        <f>IF(AND(_AC5="A-319",'2023'!$J$4="FO",'2023'!$J$2=CB233),'2023DATA'!$I$32,"")</f>
        <v/>
      </c>
      <c r="CC263" s="518" t="str">
        <f>IF(AND(_AC5="A-319",'2023'!$J$4="FO",'2023'!$J$2=CC233),'2023DATA'!$J$32,"")</f>
        <v/>
      </c>
      <c r="CD263" s="518" t="str">
        <f>IF(AND(_AC5="A-319",'2023'!$J$4="FO",'2023'!$J$2=CD233),'2023DATA'!$K$32,"")</f>
        <v/>
      </c>
      <c r="CE263" s="518" t="str">
        <f>IF(AND(_AC5="A-319",'2023'!$J$4="FO",'2023'!$J$2=CE233),'2023DATA'!$L$32,"")</f>
        <v/>
      </c>
      <c r="CF263" s="518" t="str">
        <f>IF(AND(_AC5="A-319",'2023'!$J$4="FO",'2023'!$J$2=CF233),'2023DATA'!$M$32,"")</f>
        <v/>
      </c>
      <c r="CG263" s="520" t="str">
        <f>IF(AND(_AC5="A-319",'2023'!$J$4="FO",'2023'!$J$2=CG233),'2023DATA'!$N$32,"")</f>
        <v/>
      </c>
      <c r="CH263" s="940"/>
      <c r="CI263" s="13" t="s">
        <v>62</v>
      </c>
      <c r="CJ263" s="518" t="str">
        <f>IF(AND(_AC6="A-319",'2023'!$J$4="FO",'2023'!$J$2=CJ233),'2023DATA'!$C$32,"")</f>
        <v/>
      </c>
      <c r="CK263" s="518" t="str">
        <f>IF(AND(_AC6="A-319",'2023'!$J$4="FO",'2023'!$J$2=CK233),'2023DATA'!$D$32,"")</f>
        <v/>
      </c>
      <c r="CL263" s="518" t="str">
        <f>IF(AND(_AC6="A-319",'2023'!$J$4="FO",'2023'!$J$2=CL233),'2023DATA'!$E$32,"")</f>
        <v/>
      </c>
      <c r="CM263" s="518" t="str">
        <f>IF(AND(_AC6="A-319",'2023'!$J$4="FO",'2023'!$J$2=CM233),'2023DATA'!$F$32,"")</f>
        <v/>
      </c>
      <c r="CN263" s="518" t="str">
        <f>IF(AND(_AC6="A-319",'2023'!$J$4="FO",'2023'!$J$2=CN233),'2023DATA'!$G$32,"")</f>
        <v/>
      </c>
      <c r="CO263" s="518" t="str">
        <f>IF(AND(_AC6="A-319",'2023'!$J$4="FO",'2023'!$J$2=CO233),'2023DATA'!$H$32,"")</f>
        <v/>
      </c>
      <c r="CP263" s="518" t="str">
        <f>IF(AND(_AC6="A-319",'2023'!$J$4="FO",'2023'!$J$2=CP233),'2023DATA'!$I$32,"")</f>
        <v/>
      </c>
      <c r="CQ263" s="518" t="str">
        <f>IF(AND(_AC6="A-319",'2023'!$J$4="FO",'2023'!$J$2=CQ233),'2023DATA'!$J$32,"")</f>
        <v/>
      </c>
      <c r="CR263" s="518" t="str">
        <f>IF(AND(_AC6="A-319",'2023'!$J$4="FO",'2023'!$J$2=CR233),'2023DATA'!$K$32,"")</f>
        <v/>
      </c>
      <c r="CS263" s="518" t="str">
        <f>IF(AND(_AC6="A-319",'2023'!$J$4="FO",'2023'!$J$2=CS233),'2023DATA'!$L$32,"")</f>
        <v/>
      </c>
      <c r="CT263" s="518" t="str">
        <f>IF(AND(_AC6="A-319",'2023'!$J$4="FO",'2023'!$J$2=CT233),'2023DATA'!$M$32,"")</f>
        <v/>
      </c>
      <c r="CU263" s="520" t="str">
        <f>IF(AND(_AC6="A-319",'2023'!$J$4="FO",'2023'!$J$2=CU233),'2023DATA'!$N$32,"")</f>
        <v/>
      </c>
    </row>
    <row r="264" spans="16:99" x14ac:dyDescent="0.25">
      <c r="P264" s="940" t="s">
        <v>51</v>
      </c>
      <c r="Q264" s="13" t="s">
        <v>61</v>
      </c>
      <c r="R264" s="518" t="str">
        <f>IF(AND(_AC1="A-220-300",'2023'!$J$4="CA",'2023'!$J$2=R233),'2023DATA'!$C$33,"")</f>
        <v/>
      </c>
      <c r="S264" s="518" t="str">
        <f>IF(AND(_AC1="A-220-300",'2023'!$J$4="CA",'2023'!$J$2=S233),'2023DATA'!$D$33,"")</f>
        <v/>
      </c>
      <c r="T264" s="518" t="str">
        <f>IF(AND(_AC1="A-220-300",'2023'!$J$4="CA",'2023'!$J$2=T233),'2023DATA'!$E$33,"")</f>
        <v/>
      </c>
      <c r="U264" s="518" t="str">
        <f>IF(AND(_AC1="A-220-300",'2023'!$J$4="CA",'2023'!$J$2=U233),'2023DATA'!$F$33,"")</f>
        <v/>
      </c>
      <c r="V264" s="518" t="str">
        <f>IF(AND(_AC1="A-220-300",'2023'!$J$4="CA",'2023'!$J$2=V233),'2023DATA'!$G$33,"")</f>
        <v/>
      </c>
      <c r="W264" s="518" t="str">
        <f>IF(AND(_AC1="A-220-300",'2023'!$J$4="CA",'2023'!$J$2=W233),'2023DATA'!$H$33,"")</f>
        <v/>
      </c>
      <c r="X264" s="518" t="str">
        <f>IF(AND(_AC1="A-220-300",'2023'!$J$4="CA",'2023'!$J$2=X233),'2023DATA'!$I$33,"")</f>
        <v/>
      </c>
      <c r="Y264" s="518" t="str">
        <f>IF(AND(_AC1="A-220-300",'2023'!$J$4="CA",'2023'!$J$2=Y233),'2023DATA'!$J$33,"")</f>
        <v/>
      </c>
      <c r="Z264" s="518" t="str">
        <f>IF(AND(_AC1="A-220-300",'2023'!$J$4="CA",'2023'!$J$2=Z233),'2023DATA'!$K$33,"")</f>
        <v/>
      </c>
      <c r="AA264" s="518" t="str">
        <f>IF(AND(_AC1="A-220-300",'2023'!$J$4="CA",'2023'!$J$2=AA233),'2023DATA'!$L$33,"")</f>
        <v/>
      </c>
      <c r="AB264" s="518" t="str">
        <f>IF(AND(_AC1="A-220-300",'2023'!$J$4="CA",'2023'!$J$2=AB233),'2023DATA'!$M$33,"")</f>
        <v/>
      </c>
      <c r="AC264" s="520" t="str">
        <f>IF(AND(_AC1="A-220-300",'2023'!$J$4="CA",'2023'!$J$2=AC233),'2023DATA'!$N$33,"")</f>
        <v/>
      </c>
      <c r="AD264" s="940" t="s">
        <v>51</v>
      </c>
      <c r="AE264" s="13" t="s">
        <v>61</v>
      </c>
      <c r="AF264" s="518" t="str">
        <f>IF(AND(_AC2="A-220-300",'2023'!$J$4="CA",'2023'!$J$2=AF233),'2023DATA'!$C$33,"")</f>
        <v/>
      </c>
      <c r="AG264" s="518" t="str">
        <f>IF(AND(_AC2="A-220-300",'2023'!$J$4="CA",'2023'!$J$2=AG233),'2023DATA'!$D$33,"")</f>
        <v/>
      </c>
      <c r="AH264" s="518" t="str">
        <f>IF(AND(_AC2="A-220-300",'2023'!$J$4="CA",'2023'!$J$2=AH233),'2023DATA'!$E$33,"")</f>
        <v/>
      </c>
      <c r="AI264" s="518" t="str">
        <f>IF(AND(_AC2="A-220-300",'2023'!$J$4="CA",'2023'!$J$2=AI233),'2023DATA'!$F$33,"")</f>
        <v/>
      </c>
      <c r="AJ264" s="518" t="str">
        <f>IF(AND(_AC2="A-220-300",'2023'!$J$4="CA",'2023'!$J$2=AJ233),'2023DATA'!$G$33,"")</f>
        <v/>
      </c>
      <c r="AK264" s="518" t="str">
        <f>IF(AND(_AC2="A-220-300",'2023'!$J$4="CA",'2023'!$J$2=AK233),'2023DATA'!$H$33,"")</f>
        <v/>
      </c>
      <c r="AL264" s="518" t="str">
        <f>IF(AND(_AC2="A-220-300",'2023'!$J$4="CA",'2023'!$J$2=AL233),'2023DATA'!$I$33,"")</f>
        <v/>
      </c>
      <c r="AM264" s="518" t="str">
        <f>IF(AND(_AC2="A-220-300",'2023'!$J$4="CA",'2023'!$J$2=AM233),'2023DATA'!$J$33,"")</f>
        <v/>
      </c>
      <c r="AN264" s="518" t="str">
        <f>IF(AND(_AC2="A-220-300",'2023'!$J$4="CA",'2023'!$J$2=AN233),'2023DATA'!$K$33,"")</f>
        <v/>
      </c>
      <c r="AO264" s="518" t="str">
        <f>IF(AND(_AC2="A-220-300",'2023'!$J$4="CA",'2023'!$J$2=AO233),'2023DATA'!$L$33,"")</f>
        <v/>
      </c>
      <c r="AP264" s="518" t="str">
        <f>IF(AND(_AC2="A-220-300",'2023'!$J$4="CA",'2023'!$J$2=AP233),'2023DATA'!$M$33,"")</f>
        <v/>
      </c>
      <c r="AQ264" s="520" t="str">
        <f>IF(AND(_AC2="A-220-300",'2023'!$J$4="CA",'2023'!$J$2=AQ233),'2023DATA'!$N$33,"")</f>
        <v/>
      </c>
      <c r="AR264" s="940" t="s">
        <v>51</v>
      </c>
      <c r="AS264" s="13" t="s">
        <v>61</v>
      </c>
      <c r="AT264" s="518" t="str">
        <f>IF(AND(_AC3="A-220-300",'2023'!$J$4="CA",'2023'!$J$2=AT233),'2023DATA'!$C$33,"")</f>
        <v/>
      </c>
      <c r="AU264" s="518" t="str">
        <f>IF(AND(_AC3="A-220-300",'2023'!$J$4="CA",'2023'!$J$2=AU233),'2023DATA'!$D$33,"")</f>
        <v/>
      </c>
      <c r="AV264" s="518" t="str">
        <f>IF(AND(_AC3="A-220-300",'2023'!$J$4="CA",'2023'!$J$2=AV233),'2023DATA'!$E$33,"")</f>
        <v/>
      </c>
      <c r="AW264" s="518" t="str">
        <f>IF(AND(_AC3="A-220-300",'2023'!$J$4="CA",'2023'!$J$2=AW233),'2023DATA'!$F$33,"")</f>
        <v/>
      </c>
      <c r="AX264" s="518" t="str">
        <f>IF(AND(_AC3="A-220-300",'2023'!$J$4="CA",'2023'!$J$2=AX233),'2023DATA'!$G$33,"")</f>
        <v/>
      </c>
      <c r="AY264" s="518" t="str">
        <f>IF(AND(_AC3="A-220-300",'2023'!$J$4="CA",'2023'!$J$2=AY233),'2023DATA'!$H$33,"")</f>
        <v/>
      </c>
      <c r="AZ264" s="518" t="str">
        <f>IF(AND(_AC3="A-220-300",'2023'!$J$4="CA",'2023'!$J$2=AZ233),'2023DATA'!$I$33,"")</f>
        <v/>
      </c>
      <c r="BA264" s="518" t="str">
        <f>IF(AND(_AC3="A-220-300",'2023'!$J$4="CA",'2023'!$J$2=BA233),'2023DATA'!$J$33,"")</f>
        <v/>
      </c>
      <c r="BB264" s="518" t="str">
        <f>IF(AND(_AC3="A-220-300",'2023'!$J$4="CA",'2023'!$J$2=BB233),'2023DATA'!$K$33,"")</f>
        <v/>
      </c>
      <c r="BC264" s="518" t="str">
        <f>IF(AND(_AC3="A-220-300",'2023'!$J$4="CA",'2023'!$J$2=BC233),'2023DATA'!$L$33,"")</f>
        <v/>
      </c>
      <c r="BD264" s="518" t="str">
        <f>IF(AND(_AC3="A-220-300",'2023'!$J$4="CA",'2023'!$J$2=BD233),'2023DATA'!$M$33,"")</f>
        <v/>
      </c>
      <c r="BE264" s="520" t="str">
        <f>IF(AND(_AC3="A-220-300",'2023'!$J$4="CA",'2023'!$J$2=BE233),'2023DATA'!$N$33,"")</f>
        <v/>
      </c>
      <c r="BF264" s="940" t="s">
        <v>51</v>
      </c>
      <c r="BG264" s="13" t="s">
        <v>61</v>
      </c>
      <c r="BH264" s="518" t="str">
        <f>IF(AND(_AC4="A-220-300",'2023'!$J$4="CA",'2023'!$J$2=BH233),'2023DATA'!$C$33,"")</f>
        <v/>
      </c>
      <c r="BI264" s="518" t="str">
        <f>IF(AND(_AC4="A-220-300",'2023'!$J$4="CA",'2023'!$J$2=BI233),'2023DATA'!$D$33,"")</f>
        <v/>
      </c>
      <c r="BJ264" s="518" t="str">
        <f>IF(AND(_AC4="A-220-300",'2023'!$J$4="CA",'2023'!$J$2=BJ233),'2023DATA'!$E$33,"")</f>
        <v/>
      </c>
      <c r="BK264" s="518" t="str">
        <f>IF(AND(_AC4="A-220-300",'2023'!$J$4="CA",'2023'!$J$2=BK233),'2023DATA'!$F$33,"")</f>
        <v/>
      </c>
      <c r="BL264" s="518" t="str">
        <f>IF(AND(_AC4="A-220-300",'2023'!$J$4="CA",'2023'!$J$2=BL233),'2023DATA'!$G$33,"")</f>
        <v/>
      </c>
      <c r="BM264" s="518" t="str">
        <f>IF(AND(_AC4="A-220-300",'2023'!$J$4="CA",'2023'!$J$2=BM233),'2023DATA'!$H$33,"")</f>
        <v/>
      </c>
      <c r="BN264" s="518" t="str">
        <f>IF(AND(_AC4="A-220-300",'2023'!$J$4="CA",'2023'!$J$2=BN233),'2023DATA'!$I$33,"")</f>
        <v/>
      </c>
      <c r="BO264" s="518" t="str">
        <f>IF(AND(_AC4="A-220-300",'2023'!$J$4="CA",'2023'!$J$2=BO233),'2023DATA'!$J$33,"")</f>
        <v/>
      </c>
      <c r="BP264" s="518" t="str">
        <f>IF(AND(_AC4="A-220-300",'2023'!$J$4="CA",'2023'!$J$2=BP233),'2023DATA'!$K$33,"")</f>
        <v/>
      </c>
      <c r="BQ264" s="518" t="str">
        <f>IF(AND(_AC4="A-220-300",'2023'!$J$4="CA",'2023'!$J$2=BQ233),'2023DATA'!$L$33,"")</f>
        <v/>
      </c>
      <c r="BR264" s="518" t="str">
        <f>IF(AND(_AC4="A-220-300",'2023'!$J$4="CA",'2023'!$J$2=BR233),'2023DATA'!$M$33,"")</f>
        <v/>
      </c>
      <c r="BS264" s="520" t="str">
        <f>IF(AND(_AC4="A-220-300",'2023'!$J$4="CA",'2023'!$J$2=BS233),'2023DATA'!$N$33,"")</f>
        <v/>
      </c>
      <c r="BT264" s="940" t="s">
        <v>51</v>
      </c>
      <c r="BU264" s="13" t="s">
        <v>61</v>
      </c>
      <c r="BV264" s="518" t="str">
        <f>IF(AND(_AC5="A-220-300",'2023'!$J$4="CA",'2023'!$J$2=BV233),'2023DATA'!$C$33,"")</f>
        <v/>
      </c>
      <c r="BW264" s="518" t="str">
        <f>IF(AND(_AC5="A-220-300",'2023'!$J$4="CA",'2023'!$J$2=BW233),'2023DATA'!$D$33,"")</f>
        <v/>
      </c>
      <c r="BX264" s="518" t="str">
        <f>IF(AND(_AC5="A-220-300",'2023'!$J$4="CA",'2023'!$J$2=BX233),'2023DATA'!$E$33,"")</f>
        <v/>
      </c>
      <c r="BY264" s="518" t="str">
        <f>IF(AND(_AC5="A-220-300",'2023'!$J$4="CA",'2023'!$J$2=BY233),'2023DATA'!$F$33,"")</f>
        <v/>
      </c>
      <c r="BZ264" s="518" t="str">
        <f>IF(AND(_AC5="A-220-300",'2023'!$J$4="CA",'2023'!$J$2=BZ233),'2023DATA'!$G$33,"")</f>
        <v/>
      </c>
      <c r="CA264" s="518" t="str">
        <f>IF(AND(_AC5="A-220-300",'2023'!$J$4="CA",'2023'!$J$2=CA233),'2023DATA'!$H$33,"")</f>
        <v/>
      </c>
      <c r="CB264" s="518" t="str">
        <f>IF(AND(_AC5="A-220-300",'2023'!$J$4="CA",'2023'!$J$2=CB233),'2023DATA'!$I$33,"")</f>
        <v/>
      </c>
      <c r="CC264" s="518" t="str">
        <f>IF(AND(_AC5="A-220-300",'2023'!$J$4="CA",'2023'!$J$2=CC233),'2023DATA'!$J$33,"")</f>
        <v/>
      </c>
      <c r="CD264" s="518" t="str">
        <f>IF(AND(_AC5="A-220-300",'2023'!$J$4="CA",'2023'!$J$2=CD233),'2023DATA'!$K$33,"")</f>
        <v/>
      </c>
      <c r="CE264" s="518" t="str">
        <f>IF(AND(_AC5="A-220-300",'2023'!$J$4="CA",'2023'!$J$2=CE233),'2023DATA'!$L$33,"")</f>
        <v/>
      </c>
      <c r="CF264" s="518" t="str">
        <f>IF(AND(_AC5="A-220-300",'2023'!$J$4="CA",'2023'!$J$2=CF233),'2023DATA'!$M$33,"")</f>
        <v/>
      </c>
      <c r="CG264" s="520" t="str">
        <f>IF(AND(_AC5="A-220-300",'2023'!$J$4="CA",'2023'!$J$2=CG233),'2023DATA'!$N$33,"")</f>
        <v/>
      </c>
      <c r="CH264" s="940" t="s">
        <v>51</v>
      </c>
      <c r="CI264" s="13" t="s">
        <v>61</v>
      </c>
      <c r="CJ264" s="518" t="str">
        <f>IF(AND(_AC6="A-220-300",'2023'!$J$4="CA",'2023'!$J$2=CJ233),'2023DATA'!$C$33,"")</f>
        <v/>
      </c>
      <c r="CK264" s="518" t="str">
        <f>IF(AND(_AC6="A-220-300",'2023'!$J$4="CA",'2023'!$J$2=CK233),'2023DATA'!$D$33,"")</f>
        <v/>
      </c>
      <c r="CL264" s="518" t="str">
        <f>IF(AND(_AC6="A-220-300",'2023'!$J$4="CA",'2023'!$J$2=CL233),'2023DATA'!$E$33,"")</f>
        <v/>
      </c>
      <c r="CM264" s="518" t="str">
        <f>IF(AND(_AC6="A-220-300",'2023'!$J$4="CA",'2023'!$J$2=CM233),'2023DATA'!$F$33,"")</f>
        <v/>
      </c>
      <c r="CN264" s="518" t="str">
        <f>IF(AND(_AC6="A-220-300",'2023'!$J$4="CA",'2023'!$J$2=CN233),'2023DATA'!$G$33,"")</f>
        <v/>
      </c>
      <c r="CO264" s="518" t="str">
        <f>IF(AND(_AC6="A-220-300",'2023'!$J$4="CA",'2023'!$J$2=CO233),'2023DATA'!$H$33,"")</f>
        <v/>
      </c>
      <c r="CP264" s="518" t="str">
        <f>IF(AND(_AC6="A-220-300",'2023'!$J$4="CA",'2023'!$J$2=CP233),'2023DATA'!$I$33,"")</f>
        <v/>
      </c>
      <c r="CQ264" s="518" t="str">
        <f>IF(AND(_AC6="A-220-300",'2023'!$J$4="CA",'2023'!$J$2=CQ233),'2023DATA'!$J$33,"")</f>
        <v/>
      </c>
      <c r="CR264" s="518" t="str">
        <f>IF(AND(_AC6="A-220-300",'2023'!$J$4="CA",'2023'!$J$2=CR233),'2023DATA'!$K$33,"")</f>
        <v/>
      </c>
      <c r="CS264" s="518" t="str">
        <f>IF(AND(_AC6="A-220-300",'2023'!$J$4="CA",'2023'!$J$2=CS233),'2023DATA'!$L$33,"")</f>
        <v/>
      </c>
      <c r="CT264" s="518" t="str">
        <f>IF(AND(_AC6="A-220-300",'2023'!$J$4="CA",'2023'!$J$2=CT233),'2023DATA'!$M$33,"")</f>
        <v/>
      </c>
      <c r="CU264" s="520" t="str">
        <f>IF(AND(_AC6="A-220-300",'2023'!$J$4="CA",'2023'!$J$2=CU233),'2023DATA'!$N$33,"")</f>
        <v/>
      </c>
    </row>
    <row r="265" spans="16:99" x14ac:dyDescent="0.25">
      <c r="P265" s="940"/>
      <c r="Q265" s="13" t="s">
        <v>62</v>
      </c>
      <c r="R265" s="518" t="str">
        <f>IF(AND(_AC1="A-220-300",'2023'!$J$4="FO",'2023'!$J$2=R233),'2023DATA'!$C$34,"")</f>
        <v/>
      </c>
      <c r="S265" s="518" t="str">
        <f>IF(AND(_AC1="A-220-300",'2023'!$J$4="FO",'2023'!$J$2=S233),'2023DATA'!$D$34,"")</f>
        <v/>
      </c>
      <c r="T265" s="518" t="str">
        <f>IF(AND(_AC1="A-220-300",'2023'!$J$4="FO",'2023'!$J$2=T233),'2023DATA'!$E$34,"")</f>
        <v/>
      </c>
      <c r="U265" s="518" t="str">
        <f>IF(AND(_AC1="A-220-300",'2023'!$J$4="FO",'2023'!$J$2=U233),'2023DATA'!$F$34,"")</f>
        <v/>
      </c>
      <c r="V265" s="518" t="str">
        <f>IF(AND(_AC1="A-220-300",'2023'!$J$4="FO",'2023'!$J$2=V233),'2023DATA'!$G$34,"")</f>
        <v/>
      </c>
      <c r="W265" s="518" t="str">
        <f>IF(AND(_AC1="A-220-300",'2023'!$J$4="FO",'2023'!$J$2=W233),'2023DATA'!$H$34,"")</f>
        <v/>
      </c>
      <c r="X265" s="518" t="str">
        <f>IF(AND(_AC1="A-220-300",'2023'!$J$4="FO",'2023'!$J$2=X233),'2023DATA'!$I$34,"")</f>
        <v/>
      </c>
      <c r="Y265" s="518" t="str">
        <f>IF(AND(_AC1="A-220-300",'2023'!$J$4="FO",'2023'!$J$2=Y233),'2023DATA'!$J$34,"")</f>
        <v/>
      </c>
      <c r="Z265" s="518" t="str">
        <f>IF(AND(_AC1="A-220-300",'2023'!$J$4="FO",'2023'!$J$2=Z233),'2023DATA'!$K$34,"")</f>
        <v/>
      </c>
      <c r="AA265" s="518" t="str">
        <f>IF(AND(_AC1="A-220-300",'2023'!$J$4="FO",'2023'!$J$2=AA233),'2023DATA'!$L$34,"")</f>
        <v/>
      </c>
      <c r="AB265" s="518" t="str">
        <f>IF(AND(_AC1="A-220-300",'2023'!$J$4="FO",'2023'!$J$2=AB233),'2023DATA'!$M$34,"")</f>
        <v/>
      </c>
      <c r="AC265" s="520" t="str">
        <f>IF(AND(_AC1="A-220-300",'2023'!$J$4="FO",'2023'!$J$2=AC233),'2023DATA'!$N$34,"")</f>
        <v/>
      </c>
      <c r="AD265" s="940"/>
      <c r="AE265" s="13" t="s">
        <v>62</v>
      </c>
      <c r="AF265" s="518" t="str">
        <f>IF(AND(_AC2="A-220-300",'2023'!$J$4="FO",'2023'!$J$2=AF233),'2023DATA'!$C$34,"")</f>
        <v/>
      </c>
      <c r="AG265" s="518" t="str">
        <f>IF(AND(_AC2="A-220-300",'2023'!$J$4="FO",'2023'!$J$2=AG233),'2023DATA'!$D$34,"")</f>
        <v/>
      </c>
      <c r="AH265" s="518" t="str">
        <f>IF(AND(_AC2="A-220-300",'2023'!$J$4="FO",'2023'!$J$2=AH233),'2023DATA'!$E$34,"")</f>
        <v/>
      </c>
      <c r="AI265" s="518" t="str">
        <f>IF(AND(_AC2="A-220-300",'2023'!$J$4="FO",'2023'!$J$2=AI233),'2023DATA'!$F$34,"")</f>
        <v/>
      </c>
      <c r="AJ265" s="518" t="str">
        <f>IF(AND(_AC2="A-220-300",'2023'!$J$4="FO",'2023'!$J$2=AJ233),'2023DATA'!$G$34,"")</f>
        <v/>
      </c>
      <c r="AK265" s="518" t="str">
        <f>IF(AND(_AC2="A-220-300",'2023'!$J$4="FO",'2023'!$J$2=AK233),'2023DATA'!$H$34,"")</f>
        <v/>
      </c>
      <c r="AL265" s="518" t="str">
        <f>IF(AND(_AC2="A-220-300",'2023'!$J$4="FO",'2023'!$J$2=AL233),'2023DATA'!$I$34,"")</f>
        <v/>
      </c>
      <c r="AM265" s="518" t="str">
        <f>IF(AND(_AC2="A-220-300",'2023'!$J$4="FO",'2023'!$J$2=AM233),'2023DATA'!$J$34,"")</f>
        <v/>
      </c>
      <c r="AN265" s="518" t="str">
        <f>IF(AND(_AC2="A-220-300",'2023'!$J$4="FO",'2023'!$J$2=AN233),'2023DATA'!$K$34,"")</f>
        <v/>
      </c>
      <c r="AO265" s="518" t="str">
        <f>IF(AND(_AC2="A-220-300",'2023'!$J$4="FO",'2023'!$J$2=AO233),'2023DATA'!$L$34,"")</f>
        <v/>
      </c>
      <c r="AP265" s="518" t="str">
        <f>IF(AND(_AC2="A-220-300",'2023'!$J$4="FO",'2023'!$J$2=AP233),'2023DATA'!$M$34,"")</f>
        <v/>
      </c>
      <c r="AQ265" s="520" t="str">
        <f>IF(AND(_AC2="A-220-300",'2023'!$J$4="FO",'2023'!$J$2=AQ233),'2023DATA'!$N$34,"")</f>
        <v/>
      </c>
      <c r="AR265" s="940"/>
      <c r="AS265" s="13" t="s">
        <v>62</v>
      </c>
      <c r="AT265" s="518" t="str">
        <f>IF(AND(_AC3="A-220-300",'2023'!$J$4="FO",'2023'!$J$2=AT233),'2023DATA'!$C$34,"")</f>
        <v/>
      </c>
      <c r="AU265" s="518" t="str">
        <f>IF(AND(_AC3="A-220-300",'2023'!$J$4="FO",'2023'!$J$2=AU233),'2023DATA'!$D$34,"")</f>
        <v/>
      </c>
      <c r="AV265" s="518" t="str">
        <f>IF(AND(_AC3="A-220-300",'2023'!$J$4="FO",'2023'!$J$2=AV233),'2023DATA'!$E$34,"")</f>
        <v/>
      </c>
      <c r="AW265" s="518" t="str">
        <f>IF(AND(_AC3="A-220-300",'2023'!$J$4="FO",'2023'!$J$2=AW233),'2023DATA'!$F$34,"")</f>
        <v/>
      </c>
      <c r="AX265" s="518" t="str">
        <f>IF(AND(_AC3="A-220-300",'2023'!$J$4="FO",'2023'!$J$2=AX233),'2023DATA'!$G$34,"")</f>
        <v/>
      </c>
      <c r="AY265" s="518" t="str">
        <f>IF(AND(_AC3="A-220-300",'2023'!$J$4="FO",'2023'!$J$2=AY233),'2023DATA'!$H$34,"")</f>
        <v/>
      </c>
      <c r="AZ265" s="518" t="str">
        <f>IF(AND(_AC3="A-220-300",'2023'!$J$4="FO",'2023'!$J$2=AZ233),'2023DATA'!$I$34,"")</f>
        <v/>
      </c>
      <c r="BA265" s="518" t="str">
        <f>IF(AND(_AC3="A-220-300",'2023'!$J$4="FO",'2023'!$J$2=BA233),'2023DATA'!$J$34,"")</f>
        <v/>
      </c>
      <c r="BB265" s="518" t="str">
        <f>IF(AND(_AC3="A-220-300",'2023'!$J$4="FO",'2023'!$J$2=BB233),'2023DATA'!$K$34,"")</f>
        <v/>
      </c>
      <c r="BC265" s="518" t="str">
        <f>IF(AND(_AC3="A-220-300",'2023'!$J$4="FO",'2023'!$J$2=BC233),'2023DATA'!$L$34,"")</f>
        <v/>
      </c>
      <c r="BD265" s="518" t="str">
        <f>IF(AND(_AC3="A-220-300",'2023'!$J$4="FO",'2023'!$J$2=BD233),'2023DATA'!$M$34,"")</f>
        <v/>
      </c>
      <c r="BE265" s="520" t="str">
        <f>IF(AND(_AC3="A-220-300",'2023'!$J$4="FO",'2023'!$J$2=BE233),'2023DATA'!$N$34,"")</f>
        <v/>
      </c>
      <c r="BF265" s="940"/>
      <c r="BG265" s="13" t="s">
        <v>62</v>
      </c>
      <c r="BH265" s="518" t="str">
        <f>IF(AND(_AC4="A-220-300",'2023'!$J$4="FO",'2023'!$J$2=BH233),'2023DATA'!$C$34,"")</f>
        <v/>
      </c>
      <c r="BI265" s="518" t="str">
        <f>IF(AND(_AC4="A-220-300",'2023'!$J$4="FO",'2023'!$J$2=BI233),'2023DATA'!$D$34,"")</f>
        <v/>
      </c>
      <c r="BJ265" s="518" t="str">
        <f>IF(AND(_AC4="A-220-300",'2023'!$J$4="FO",'2023'!$J$2=BJ233),'2023DATA'!$E$34,"")</f>
        <v/>
      </c>
      <c r="BK265" s="518" t="str">
        <f>IF(AND(_AC4="A-220-300",'2023'!$J$4="FO",'2023'!$J$2=BK233),'2023DATA'!$F$34,"")</f>
        <v/>
      </c>
      <c r="BL265" s="518" t="str">
        <f>IF(AND(_AC4="A-220-300",'2023'!$J$4="FO",'2023'!$J$2=BL233),'2023DATA'!$G$34,"")</f>
        <v/>
      </c>
      <c r="BM265" s="518" t="str">
        <f>IF(AND(_AC4="A-220-300",'2023'!$J$4="FO",'2023'!$J$2=BM233),'2023DATA'!$H$34,"")</f>
        <v/>
      </c>
      <c r="BN265" s="518" t="str">
        <f>IF(AND(_AC4="A-220-300",'2023'!$J$4="FO",'2023'!$J$2=BN233),'2023DATA'!$I$34,"")</f>
        <v/>
      </c>
      <c r="BO265" s="518" t="str">
        <f>IF(AND(_AC4="A-220-300",'2023'!$J$4="FO",'2023'!$J$2=BO233),'2023DATA'!$J$34,"")</f>
        <v/>
      </c>
      <c r="BP265" s="518" t="str">
        <f>IF(AND(_AC4="A-220-300",'2023'!$J$4="FO",'2023'!$J$2=BP233),'2023DATA'!$K$34,"")</f>
        <v/>
      </c>
      <c r="BQ265" s="518" t="str">
        <f>IF(AND(_AC4="A-220-300",'2023'!$J$4="FO",'2023'!$J$2=BQ233),'2023DATA'!$L$34,"")</f>
        <v/>
      </c>
      <c r="BR265" s="518" t="str">
        <f>IF(AND(_AC4="A-220-300",'2023'!$J$4="FO",'2023'!$J$2=BR233),'2023DATA'!$M$34,"")</f>
        <v/>
      </c>
      <c r="BS265" s="520" t="str">
        <f>IF(AND(_AC4="A-220-300",'2023'!$J$4="FO",'2023'!$J$2=BS233),'2023DATA'!$N$34,"")</f>
        <v/>
      </c>
      <c r="BT265" s="940"/>
      <c r="BU265" s="13" t="s">
        <v>62</v>
      </c>
      <c r="BV265" s="518" t="str">
        <f>IF(AND(_AC5="A-220-300",'2023'!$J$4="FO",'2023'!$J$2=BV233),'2023DATA'!$C$34,"")</f>
        <v/>
      </c>
      <c r="BW265" s="518" t="str">
        <f>IF(AND(_AC5="A-220-300",'2023'!$J$4="FO",'2023'!$J$2=BW233),'2023DATA'!$D$34,"")</f>
        <v/>
      </c>
      <c r="BX265" s="518" t="str">
        <f>IF(AND(_AC5="A-220-300",'2023'!$J$4="FO",'2023'!$J$2=BX233),'2023DATA'!$E$34,"")</f>
        <v/>
      </c>
      <c r="BY265" s="518" t="str">
        <f>IF(AND(_AC5="A-220-300",'2023'!$J$4="FO",'2023'!$J$2=BY233),'2023DATA'!$F$34,"")</f>
        <v/>
      </c>
      <c r="BZ265" s="518" t="str">
        <f>IF(AND(_AC5="A-220-300",'2023'!$J$4="FO",'2023'!$J$2=BZ233),'2023DATA'!$G$34,"")</f>
        <v/>
      </c>
      <c r="CA265" s="518" t="str">
        <f>IF(AND(_AC5="A-220-300",'2023'!$J$4="FO",'2023'!$J$2=CA233),'2023DATA'!$H$34,"")</f>
        <v/>
      </c>
      <c r="CB265" s="518" t="str">
        <f>IF(AND(_AC5="A-220-300",'2023'!$J$4="FO",'2023'!$J$2=CB233),'2023DATA'!$I$34,"")</f>
        <v/>
      </c>
      <c r="CC265" s="518" t="str">
        <f>IF(AND(_AC5="A-220-300",'2023'!$J$4="FO",'2023'!$J$2=CC233),'2023DATA'!$J$34,"")</f>
        <v/>
      </c>
      <c r="CD265" s="518" t="str">
        <f>IF(AND(_AC5="A-220-300",'2023'!$J$4="FO",'2023'!$J$2=CD233),'2023DATA'!$K$34,"")</f>
        <v/>
      </c>
      <c r="CE265" s="518" t="str">
        <f>IF(AND(_AC5="A-220-300",'2023'!$J$4="FO",'2023'!$J$2=CE233),'2023DATA'!$L$34,"")</f>
        <v/>
      </c>
      <c r="CF265" s="518" t="str">
        <f>IF(AND(_AC5="A-220-300",'2023'!$J$4="FO",'2023'!$J$2=CF233),'2023DATA'!$M$34,"")</f>
        <v/>
      </c>
      <c r="CG265" s="520" t="str">
        <f>IF(AND(_AC5="A-220-300",'2023'!$J$4="FO",'2023'!$J$2=CG233),'2023DATA'!$N$34,"")</f>
        <v/>
      </c>
      <c r="CH265" s="940"/>
      <c r="CI265" s="13" t="s">
        <v>62</v>
      </c>
      <c r="CJ265" s="518" t="str">
        <f>IF(AND(_AC6="A-220-300",'2023'!$J$4="FO",'2023'!$J$2=CJ233),'2023DATA'!$C$34,"")</f>
        <v/>
      </c>
      <c r="CK265" s="518" t="str">
        <f>IF(AND(_AC6="A-220-300",'2023'!$J$4="FO",'2023'!$J$2=CK233),'2023DATA'!$D$34,"")</f>
        <v/>
      </c>
      <c r="CL265" s="518" t="str">
        <f>IF(AND(_AC6="A-220-300",'2023'!$J$4="FO",'2023'!$J$2=CL233),'2023DATA'!$E$34,"")</f>
        <v/>
      </c>
      <c r="CM265" s="518" t="str">
        <f>IF(AND(_AC6="A-220-300",'2023'!$J$4="FO",'2023'!$J$2=CM233),'2023DATA'!$F$34,"")</f>
        <v/>
      </c>
      <c r="CN265" s="518" t="str">
        <f>IF(AND(_AC6="A-220-300",'2023'!$J$4="FO",'2023'!$J$2=CN233),'2023DATA'!$G$34,"")</f>
        <v/>
      </c>
      <c r="CO265" s="518" t="str">
        <f>IF(AND(_AC6="A-220-300",'2023'!$J$4="FO",'2023'!$J$2=CO233),'2023DATA'!$H$34,"")</f>
        <v/>
      </c>
      <c r="CP265" s="518" t="str">
        <f>IF(AND(_AC6="A-220-300",'2023'!$J$4="FO",'2023'!$J$2=CP233),'2023DATA'!$I$34,"")</f>
        <v/>
      </c>
      <c r="CQ265" s="518" t="str">
        <f>IF(AND(_AC6="A-220-300",'2023'!$J$4="FO",'2023'!$J$2=CQ233),'2023DATA'!$J$34,"")</f>
        <v/>
      </c>
      <c r="CR265" s="518" t="str">
        <f>IF(AND(_AC6="A-220-300",'2023'!$J$4="FO",'2023'!$J$2=CR233),'2023DATA'!$K$34,"")</f>
        <v/>
      </c>
      <c r="CS265" s="518" t="str">
        <f>IF(AND(_AC6="A-220-300",'2023'!$J$4="FO",'2023'!$J$2=CS233),'2023DATA'!$L$34,"")</f>
        <v/>
      </c>
      <c r="CT265" s="518" t="str">
        <f>IF(AND(_AC6="A-220-300",'2023'!$J$4="FO",'2023'!$J$2=CT233),'2023DATA'!$M$34,"")</f>
        <v/>
      </c>
      <c r="CU265" s="520" t="str">
        <f>IF(AND(_AC6="A-220-300",'2023'!$J$4="FO",'2023'!$J$2=CU233),'2023DATA'!$N$34,"")</f>
        <v/>
      </c>
    </row>
    <row r="266" spans="16:99" x14ac:dyDescent="0.25">
      <c r="P266" s="940" t="s">
        <v>52</v>
      </c>
      <c r="Q266" s="13" t="s">
        <v>61</v>
      </c>
      <c r="R266" s="518" t="str">
        <f>IF(AND(_AC1="A-220-100",'2023'!$J$4="CA",'2023'!$J$2=R233),'2023DATA'!$C$35,"")</f>
        <v/>
      </c>
      <c r="S266" s="518" t="str">
        <f>IF(AND(_AC1="A-220-100",'2023'!$J$4="CA",'2023'!$J$2=S233),'2023DATA'!$D$35,"")</f>
        <v/>
      </c>
      <c r="T266" s="518" t="str">
        <f>IF(AND(_AC1="A-220-100",'2023'!$J$4="CA",'2023'!$J$2=T233),'2023DATA'!$E$35,"")</f>
        <v/>
      </c>
      <c r="U266" s="518" t="str">
        <f>IF(AND(_AC1="A-220-100",'2023'!$J$4="CA",'2023'!$J$2=U233),'2023DATA'!$F$35,"")</f>
        <v/>
      </c>
      <c r="V266" s="518" t="str">
        <f>IF(AND(_AC1="A-220-100",'2023'!$J$4="CA",'2023'!$J$2=V233),'2023DATA'!$G$35,"")</f>
        <v/>
      </c>
      <c r="W266" s="518" t="str">
        <f>IF(AND(_AC1="A-220-100",'2023'!$J$4="CA",'2023'!$J$2=W233),'2023DATA'!$H$35,"")</f>
        <v/>
      </c>
      <c r="X266" s="518" t="str">
        <f>IF(AND(_AC1="A-220-100",'2023'!$J$4="CA",'2023'!$J$2=X233),'2023DATA'!$I$35,"")</f>
        <v/>
      </c>
      <c r="Y266" s="518" t="str">
        <f>IF(AND(_AC1="A-220-100",'2023'!$J$4="CA",'2023'!$J$2=Y233),'2023DATA'!$J$35,"")</f>
        <v/>
      </c>
      <c r="Z266" s="518" t="str">
        <f>IF(AND(_AC1="A-220-100",'2023'!$J$4="CA",'2023'!$J$2=Z233),'2023DATA'!$K$35,"")</f>
        <v/>
      </c>
      <c r="AA266" s="518" t="str">
        <f>IF(AND(_AC1="A-220-100",'2023'!$J$4="CA",'2023'!$J$2=AA233),'2023DATA'!$L$35,"")</f>
        <v/>
      </c>
      <c r="AB266" s="518" t="str">
        <f>IF(AND(_AC1="A-220-100",'2023'!$J$4="CA",'2023'!$J$2=AB233),'2023DATA'!$M$35,"")</f>
        <v/>
      </c>
      <c r="AC266" s="520" t="str">
        <f>IF(AND(_AC1="A-220-100",'2023'!$J$4="CA",'2023'!$J$2=AC233),'2023DATA'!$N$35,"")</f>
        <v/>
      </c>
      <c r="AD266" s="940" t="s">
        <v>52</v>
      </c>
      <c r="AE266" s="13" t="s">
        <v>61</v>
      </c>
      <c r="AF266" s="518" t="str">
        <f>IF(AND(_AC2="A-220-100",'2023'!$J$4="CA",'2023'!$J$2=AF233),'2023DATA'!$C$35,"")</f>
        <v/>
      </c>
      <c r="AG266" s="518" t="str">
        <f>IF(AND(_AC2="A-220-100",'2023'!$J$4="CA",'2023'!$J$2=AG233),'2023DATA'!$D$35,"")</f>
        <v/>
      </c>
      <c r="AH266" s="518" t="str">
        <f>IF(AND(_AC2="A-220-100",'2023'!$J$4="CA",'2023'!$J$2=AH233),'2023DATA'!$E$35,"")</f>
        <v/>
      </c>
      <c r="AI266" s="518" t="str">
        <f>IF(AND(_AC2="A-220-100",'2023'!$J$4="CA",'2023'!$J$2=AI233),'2023DATA'!$F$35,"")</f>
        <v/>
      </c>
      <c r="AJ266" s="518" t="str">
        <f>IF(AND(_AC2="A-220-100",'2023'!$J$4="CA",'2023'!$J$2=AJ233),'2023DATA'!$G$35,"")</f>
        <v/>
      </c>
      <c r="AK266" s="518" t="str">
        <f>IF(AND(_AC2="A-220-100",'2023'!$J$4="CA",'2023'!$J$2=AK233),'2023DATA'!$H$35,"")</f>
        <v/>
      </c>
      <c r="AL266" s="518" t="str">
        <f>IF(AND(_AC2="A-220-100",'2023'!$J$4="CA",'2023'!$J$2=AL233),'2023DATA'!$I$35,"")</f>
        <v/>
      </c>
      <c r="AM266" s="518" t="str">
        <f>IF(AND(_AC2="A-220-100",'2023'!$J$4="CA",'2023'!$J$2=AM233),'2023DATA'!$J$35,"")</f>
        <v/>
      </c>
      <c r="AN266" s="518" t="str">
        <f>IF(AND(_AC2="A-220-100",'2023'!$J$4="CA",'2023'!$J$2=AN233),'2023DATA'!$K$35,"")</f>
        <v/>
      </c>
      <c r="AO266" s="518" t="str">
        <f>IF(AND(_AC2="A-220-100",'2023'!$J$4="CA",'2023'!$J$2=AO233),'2023DATA'!$L$35,"")</f>
        <v/>
      </c>
      <c r="AP266" s="518" t="str">
        <f>IF(AND(_AC2="A-220-100",'2023'!$J$4="CA",'2023'!$J$2=AP233),'2023DATA'!$M$35,"")</f>
        <v/>
      </c>
      <c r="AQ266" s="520" t="str">
        <f>IF(AND(_AC2="A-220-100",'2023'!$J$4="CA",'2023'!$J$2=AQ233),'2023DATA'!$N$35,"")</f>
        <v/>
      </c>
      <c r="AR266" s="940" t="s">
        <v>52</v>
      </c>
      <c r="AS266" s="13" t="s">
        <v>61</v>
      </c>
      <c r="AT266" s="518" t="str">
        <f>IF(AND(_AC3="A-220-100",'2023'!$J$4="CA",'2023'!$J$2=AT233),'2023DATA'!$C$35,"")</f>
        <v/>
      </c>
      <c r="AU266" s="518" t="str">
        <f>IF(AND(_AC3="A-220-100",'2023'!$J$4="CA",'2023'!$J$2=AU233),'2023DATA'!$D$35,"")</f>
        <v/>
      </c>
      <c r="AV266" s="518" t="str">
        <f>IF(AND(_AC3="A-220-100",'2023'!$J$4="CA",'2023'!$J$2=AV233),'2023DATA'!$E$35,"")</f>
        <v/>
      </c>
      <c r="AW266" s="518" t="str">
        <f>IF(AND(_AC3="A-220-100",'2023'!$J$4="CA",'2023'!$J$2=AW233),'2023DATA'!$F$35,"")</f>
        <v/>
      </c>
      <c r="AX266" s="518" t="str">
        <f>IF(AND(_AC3="A-220-100",'2023'!$J$4="CA",'2023'!$J$2=AX233),'2023DATA'!$G$35,"")</f>
        <v/>
      </c>
      <c r="AY266" s="518" t="str">
        <f>IF(AND(_AC3="A-220-100",'2023'!$J$4="CA",'2023'!$J$2=AY233),'2023DATA'!$H$35,"")</f>
        <v/>
      </c>
      <c r="AZ266" s="518" t="str">
        <f>IF(AND(_AC3="A-220-100",'2023'!$J$4="CA",'2023'!$J$2=AZ233),'2023DATA'!$I$35,"")</f>
        <v/>
      </c>
      <c r="BA266" s="518" t="str">
        <f>IF(AND(_AC3="A-220-100",'2023'!$J$4="CA",'2023'!$J$2=BA233),'2023DATA'!$J$35,"")</f>
        <v/>
      </c>
      <c r="BB266" s="518" t="str">
        <f>IF(AND(_AC3="A-220-100",'2023'!$J$4="CA",'2023'!$J$2=BB233),'2023DATA'!$K$35,"")</f>
        <v/>
      </c>
      <c r="BC266" s="518" t="str">
        <f>IF(AND(_AC3="A-220-100",'2023'!$J$4="CA",'2023'!$J$2=BC233),'2023DATA'!$L$35,"")</f>
        <v/>
      </c>
      <c r="BD266" s="518" t="str">
        <f>IF(AND(_AC3="A-220-100",'2023'!$J$4="CA",'2023'!$J$2=BD233),'2023DATA'!$M$35,"")</f>
        <v/>
      </c>
      <c r="BE266" s="520" t="str">
        <f>IF(AND(_AC3="A-220-100",'2023'!$J$4="CA",'2023'!$J$2=BE233),'2023DATA'!$N$35,"")</f>
        <v/>
      </c>
      <c r="BF266" s="940" t="s">
        <v>52</v>
      </c>
      <c r="BG266" s="13" t="s">
        <v>61</v>
      </c>
      <c r="BH266" s="518" t="str">
        <f>IF(AND(_AC4="A-220-100",'2023'!$J$4="CA",'2023'!$J$2=BH233),'2023DATA'!$C$35,"")</f>
        <v/>
      </c>
      <c r="BI266" s="518" t="str">
        <f>IF(AND(_AC4="A-220-100",'2023'!$J$4="CA",'2023'!$J$2=BI233),'2023DATA'!$D$35,"")</f>
        <v/>
      </c>
      <c r="BJ266" s="518" t="str">
        <f>IF(AND(_AC4="A-220-100",'2023'!$J$4="CA",'2023'!$J$2=BJ233),'2023DATA'!$E$35,"")</f>
        <v/>
      </c>
      <c r="BK266" s="518" t="str">
        <f>IF(AND(_AC4="A-220-100",'2023'!$J$4="CA",'2023'!$J$2=BK233),'2023DATA'!$F$35,"")</f>
        <v/>
      </c>
      <c r="BL266" s="518" t="str">
        <f>IF(AND(_AC4="A-220-100",'2023'!$J$4="CA",'2023'!$J$2=BL233),'2023DATA'!$G$35,"")</f>
        <v/>
      </c>
      <c r="BM266" s="518" t="str">
        <f>IF(AND(_AC4="A-220-100",'2023'!$J$4="CA",'2023'!$J$2=BM233),'2023DATA'!$H$35,"")</f>
        <v/>
      </c>
      <c r="BN266" s="518" t="str">
        <f>IF(AND(_AC4="A-220-100",'2023'!$J$4="CA",'2023'!$J$2=BN233),'2023DATA'!$I$35,"")</f>
        <v/>
      </c>
      <c r="BO266" s="518" t="str">
        <f>IF(AND(_AC4="A-220-100",'2023'!$J$4="CA",'2023'!$J$2=BO233),'2023DATA'!$J$35,"")</f>
        <v/>
      </c>
      <c r="BP266" s="518" t="str">
        <f>IF(AND(_AC4="A-220-100",'2023'!$J$4="CA",'2023'!$J$2=BP233),'2023DATA'!$K$35,"")</f>
        <v/>
      </c>
      <c r="BQ266" s="518" t="str">
        <f>IF(AND(_AC4="A-220-100",'2023'!$J$4="CA",'2023'!$J$2=BQ233),'2023DATA'!$L$35,"")</f>
        <v/>
      </c>
      <c r="BR266" s="518" t="str">
        <f>IF(AND(_AC4="A-220-100",'2023'!$J$4="CA",'2023'!$J$2=BR233),'2023DATA'!$M$35,"")</f>
        <v/>
      </c>
      <c r="BS266" s="520" t="str">
        <f>IF(AND(_AC4="A-220-100",'2023'!$J$4="CA",'2023'!$J$2=BS233),'2023DATA'!$N$35,"")</f>
        <v/>
      </c>
      <c r="BT266" s="940" t="s">
        <v>52</v>
      </c>
      <c r="BU266" s="13" t="s">
        <v>61</v>
      </c>
      <c r="BV266" s="518" t="str">
        <f>IF(AND(_AC5="A-220-100",'2023'!$J$4="CA",'2023'!$J$2=BV233),'2023DATA'!$C$35,"")</f>
        <v/>
      </c>
      <c r="BW266" s="518" t="str">
        <f>IF(AND(_AC5="A-220-100",'2023'!$J$4="CA",'2023'!$J$2=BW233),'2023DATA'!$D$35,"")</f>
        <v/>
      </c>
      <c r="BX266" s="518" t="str">
        <f>IF(AND(_AC5="A-220-100",'2023'!$J$4="CA",'2023'!$J$2=BX233),'2023DATA'!$E$35,"")</f>
        <v/>
      </c>
      <c r="BY266" s="518" t="str">
        <f>IF(AND(_AC5="A-220-100",'2023'!$J$4="CA",'2023'!$J$2=BY233),'2023DATA'!$F$35,"")</f>
        <v/>
      </c>
      <c r="BZ266" s="518" t="str">
        <f>IF(AND(_AC5="A-220-100",'2023'!$J$4="CA",'2023'!$J$2=BZ233),'2023DATA'!$G$35,"")</f>
        <v/>
      </c>
      <c r="CA266" s="518" t="str">
        <f>IF(AND(_AC5="A-220-100",'2023'!$J$4="CA",'2023'!$J$2=CA233),'2023DATA'!$H$35,"")</f>
        <v/>
      </c>
      <c r="CB266" s="518" t="str">
        <f>IF(AND(_AC5="A-220-100",'2023'!$J$4="CA",'2023'!$J$2=CB233),'2023DATA'!$I$35,"")</f>
        <v/>
      </c>
      <c r="CC266" s="518" t="str">
        <f>IF(AND(_AC5="A-220-100",'2023'!$J$4="CA",'2023'!$J$2=CC233),'2023DATA'!$J$35,"")</f>
        <v/>
      </c>
      <c r="CD266" s="518" t="str">
        <f>IF(AND(_AC5="A-220-100",'2023'!$J$4="CA",'2023'!$J$2=CD233),'2023DATA'!$K$35,"")</f>
        <v/>
      </c>
      <c r="CE266" s="518" t="str">
        <f>IF(AND(_AC5="A-220-100",'2023'!$J$4="CA",'2023'!$J$2=CE233),'2023DATA'!$L$35,"")</f>
        <v/>
      </c>
      <c r="CF266" s="518" t="str">
        <f>IF(AND(_AC5="A-220-100",'2023'!$J$4="CA",'2023'!$J$2=CF233),'2023DATA'!$M$35,"")</f>
        <v/>
      </c>
      <c r="CG266" s="520" t="str">
        <f>IF(AND(_AC5="A-220-100",'2023'!$J$4="CA",'2023'!$J$2=CG233),'2023DATA'!$N$35,"")</f>
        <v/>
      </c>
      <c r="CH266" s="940" t="s">
        <v>52</v>
      </c>
      <c r="CI266" s="13" t="s">
        <v>61</v>
      </c>
      <c r="CJ266" s="518" t="str">
        <f>IF(AND(_AC6="A-220-100",'2023'!$J$4="CA",'2023'!$J$2=CJ233),'2023DATA'!$C$35,"")</f>
        <v/>
      </c>
      <c r="CK266" s="518" t="str">
        <f>IF(AND(_AC6="A-220-100",'2023'!$J$4="CA",'2023'!$J$2=CK233),'2023DATA'!$D$35,"")</f>
        <v/>
      </c>
      <c r="CL266" s="518" t="str">
        <f>IF(AND(_AC6="A-220-100",'2023'!$J$4="CA",'2023'!$J$2=CL233),'2023DATA'!$E$35,"")</f>
        <v/>
      </c>
      <c r="CM266" s="518" t="str">
        <f>IF(AND(_AC6="A-220-100",'2023'!$J$4="CA",'2023'!$J$2=CM233),'2023DATA'!$F$35,"")</f>
        <v/>
      </c>
      <c r="CN266" s="518" t="str">
        <f>IF(AND(_AC6="A-220-100",'2023'!$J$4="CA",'2023'!$J$2=CN233),'2023DATA'!$G$35,"")</f>
        <v/>
      </c>
      <c r="CO266" s="518" t="str">
        <f>IF(AND(_AC6="A-220-100",'2023'!$J$4="CA",'2023'!$J$2=CO233),'2023DATA'!$H$35,"")</f>
        <v/>
      </c>
      <c r="CP266" s="518" t="str">
        <f>IF(AND(_AC6="A-220-100",'2023'!$J$4="CA",'2023'!$J$2=CP233),'2023DATA'!$I$35,"")</f>
        <v/>
      </c>
      <c r="CQ266" s="518" t="str">
        <f>IF(AND(_AC6="A-220-100",'2023'!$J$4="CA",'2023'!$J$2=CQ233),'2023DATA'!$J$35,"")</f>
        <v/>
      </c>
      <c r="CR266" s="518" t="str">
        <f>IF(AND(_AC6="A-220-100",'2023'!$J$4="CA",'2023'!$J$2=CR233),'2023DATA'!$K$35,"")</f>
        <v/>
      </c>
      <c r="CS266" s="518" t="str">
        <f>IF(AND(_AC6="A-220-100",'2023'!$J$4="CA",'2023'!$J$2=CS233),'2023DATA'!$L$35,"")</f>
        <v/>
      </c>
      <c r="CT266" s="518" t="str">
        <f>IF(AND(_AC6="A-220-100",'2023'!$J$4="CA",'2023'!$J$2=CT233),'2023DATA'!$M$35,"")</f>
        <v/>
      </c>
      <c r="CU266" s="520" t="str">
        <f>IF(AND(_AC6="A-220-100",'2023'!$J$4="CA",'2023'!$J$2=CU233),'2023DATA'!$N$35,"")</f>
        <v/>
      </c>
    </row>
    <row r="267" spans="16:99" x14ac:dyDescent="0.25">
      <c r="P267" s="940"/>
      <c r="Q267" s="13" t="s">
        <v>62</v>
      </c>
      <c r="R267" s="518" t="str">
        <f>IF(AND(_AC1="A-220-100",'2023'!$J$4="FO",'2023'!$J$2=R233),'2023DATA'!$C$36,"")</f>
        <v/>
      </c>
      <c r="S267" s="518" t="str">
        <f>IF(AND(_AC1="A-220-100",'2023'!$J$4="FO",'2023'!$J$2=S233),'2023DATA'!$D$36,"")</f>
        <v/>
      </c>
      <c r="T267" s="518" t="str">
        <f>IF(AND(_AC1="A-220-100",'2023'!$J$4="FO",'2023'!$J$2=T233),'2023DATA'!$E$36,"")</f>
        <v/>
      </c>
      <c r="U267" s="518" t="str">
        <f>IF(AND(_AC1="A-220-100",'2023'!$J$4="FO",'2023'!$J$2=U233),'2023DATA'!$F$36,"")</f>
        <v/>
      </c>
      <c r="V267" s="518" t="str">
        <f>IF(AND(_AC1="A-220-100",'2023'!$J$4="FO",'2023'!$J$2=V233),'2023DATA'!$G$36,"")</f>
        <v/>
      </c>
      <c r="W267" s="518" t="str">
        <f>IF(AND(_AC1="A-220-100",'2023'!$J$4="FO",'2023'!$J$2=W233),'2023DATA'!$H$36,"")</f>
        <v/>
      </c>
      <c r="X267" s="518" t="str">
        <f>IF(AND(_AC1="A-220-100",'2023'!$J$4="FO",'2023'!$J$2=X233),'2023DATA'!$I$36,"")</f>
        <v/>
      </c>
      <c r="Y267" s="518" t="str">
        <f>IF(AND(_AC1="A-220-100",'2023'!$J$4="FO",'2023'!$J$2=Y233),'2023DATA'!$J$36,"")</f>
        <v/>
      </c>
      <c r="Z267" s="518" t="str">
        <f>IF(AND(_AC1="A-220-100",'2023'!$J$4="FO",'2023'!$J$2=Z233),'2023DATA'!$K$36,"")</f>
        <v/>
      </c>
      <c r="AA267" s="518" t="str">
        <f>IF(AND(_AC1="A-220-100",'2023'!$J$4="FO",'2023'!$J$2=AA233),'2023DATA'!$L$36,"")</f>
        <v/>
      </c>
      <c r="AB267" s="518" t="str">
        <f>IF(AND(_AC1="A-220-100",'2023'!$J$4="FO",'2023'!$J$2=AB233),'2023DATA'!$M$36,"")</f>
        <v/>
      </c>
      <c r="AC267" s="520" t="str">
        <f>IF(AND(_AC1="A-220-100",'2023'!$J$4="FO",'2023'!$J$2=AC233),'2023DATA'!$N$36,"")</f>
        <v/>
      </c>
      <c r="AD267" s="940"/>
      <c r="AE267" s="13" t="s">
        <v>62</v>
      </c>
      <c r="AF267" s="518" t="str">
        <f>IF(AND(_AC2="A-220-100",'2023'!$J$4="FO",'2023'!$J$2=AF233),'2023DATA'!$C$36,"")</f>
        <v/>
      </c>
      <c r="AG267" s="518" t="str">
        <f>IF(AND(_AC2="A-220-100",'2023'!$J$4="FO",'2023'!$J$2=AG233),'2023DATA'!$D$36,"")</f>
        <v/>
      </c>
      <c r="AH267" s="518" t="str">
        <f>IF(AND(_AC2="A-220-100",'2023'!$J$4="FO",'2023'!$J$2=AH233),'2023DATA'!$E$36,"")</f>
        <v/>
      </c>
      <c r="AI267" s="518" t="str">
        <f>IF(AND(_AC2="A-220-100",'2023'!$J$4="FO",'2023'!$J$2=AI233),'2023DATA'!$F$36,"")</f>
        <v/>
      </c>
      <c r="AJ267" s="518" t="str">
        <f>IF(AND(_AC2="A-220-100",'2023'!$J$4="FO",'2023'!$J$2=AJ233),'2023DATA'!$G$36,"")</f>
        <v/>
      </c>
      <c r="AK267" s="518" t="str">
        <f>IF(AND(_AC2="A-220-100",'2023'!$J$4="FO",'2023'!$J$2=AK233),'2023DATA'!$H$36,"")</f>
        <v/>
      </c>
      <c r="AL267" s="518" t="str">
        <f>IF(AND(_AC2="A-220-100",'2023'!$J$4="FO",'2023'!$J$2=AL233),'2023DATA'!$I$36,"")</f>
        <v/>
      </c>
      <c r="AM267" s="518" t="str">
        <f>IF(AND(_AC2="A-220-100",'2023'!$J$4="FO",'2023'!$J$2=AM233),'2023DATA'!$J$36,"")</f>
        <v/>
      </c>
      <c r="AN267" s="518" t="str">
        <f>IF(AND(_AC2="A-220-100",'2023'!$J$4="FO",'2023'!$J$2=AN233),'2023DATA'!$K$36,"")</f>
        <v/>
      </c>
      <c r="AO267" s="518" t="str">
        <f>IF(AND(_AC2="A-220-100",'2023'!$J$4="FO",'2023'!$J$2=AO233),'2023DATA'!$L$36,"")</f>
        <v/>
      </c>
      <c r="AP267" s="518" t="str">
        <f>IF(AND(_AC2="A-220-100",'2023'!$J$4="FO",'2023'!$J$2=AP233),'2023DATA'!$M$36,"")</f>
        <v/>
      </c>
      <c r="AQ267" s="520" t="str">
        <f>IF(AND(_AC2="A-220-100",'2023'!$J$4="FO",'2023'!$J$2=AQ233),'2023DATA'!$N$36,"")</f>
        <v/>
      </c>
      <c r="AR267" s="940"/>
      <c r="AS267" s="13" t="s">
        <v>62</v>
      </c>
      <c r="AT267" s="518" t="str">
        <f>IF(AND(_AC3="A-220-100",'2023'!$J$4="FO",'2023'!$J$2=AT233),'2023DATA'!$C$36,"")</f>
        <v/>
      </c>
      <c r="AU267" s="518" t="str">
        <f>IF(AND(_AC3="A-220-100",'2023'!$J$4="FO",'2023'!$J$2=AU233),'2023DATA'!$D$36,"")</f>
        <v/>
      </c>
      <c r="AV267" s="518" t="str">
        <f>IF(AND(_AC3="A-220-100",'2023'!$J$4="FO",'2023'!$J$2=AV233),'2023DATA'!$E$36,"")</f>
        <v/>
      </c>
      <c r="AW267" s="518" t="str">
        <f>IF(AND(_AC3="A-220-100",'2023'!$J$4="FO",'2023'!$J$2=AW233),'2023DATA'!$F$36,"")</f>
        <v/>
      </c>
      <c r="AX267" s="518" t="str">
        <f>IF(AND(_AC3="A-220-100",'2023'!$J$4="FO",'2023'!$J$2=AX233),'2023DATA'!$G$36,"")</f>
        <v/>
      </c>
      <c r="AY267" s="518" t="str">
        <f>IF(AND(_AC3="A-220-100",'2023'!$J$4="FO",'2023'!$J$2=AY233),'2023DATA'!$H$36,"")</f>
        <v/>
      </c>
      <c r="AZ267" s="518" t="str">
        <f>IF(AND(_AC3="A-220-100",'2023'!$J$4="FO",'2023'!$J$2=AZ233),'2023DATA'!$I$36,"")</f>
        <v/>
      </c>
      <c r="BA267" s="518" t="str">
        <f>IF(AND(_AC3="A-220-100",'2023'!$J$4="FO",'2023'!$J$2=BA233),'2023DATA'!$J$36,"")</f>
        <v/>
      </c>
      <c r="BB267" s="518" t="str">
        <f>IF(AND(_AC3="A-220-100",'2023'!$J$4="FO",'2023'!$J$2=BB233),'2023DATA'!$K$36,"")</f>
        <v/>
      </c>
      <c r="BC267" s="518" t="str">
        <f>IF(AND(_AC3="A-220-100",'2023'!$J$4="FO",'2023'!$J$2=BC233),'2023DATA'!$L$36,"")</f>
        <v/>
      </c>
      <c r="BD267" s="518" t="str">
        <f>IF(AND(_AC3="A-220-100",'2023'!$J$4="FO",'2023'!$J$2=BD233),'2023DATA'!$M$36,"")</f>
        <v/>
      </c>
      <c r="BE267" s="520" t="str">
        <f>IF(AND(_AC3="A-220-100",'2023'!$J$4="FO",'2023'!$J$2=BE233),'2023DATA'!$N$36,"")</f>
        <v/>
      </c>
      <c r="BF267" s="940"/>
      <c r="BG267" s="13" t="s">
        <v>62</v>
      </c>
      <c r="BH267" s="518" t="str">
        <f>IF(AND(_AC4="A-220-100",'2023'!$J$4="FO",'2023'!$J$2=BH233),'2023DATA'!$C$36,"")</f>
        <v/>
      </c>
      <c r="BI267" s="518" t="str">
        <f>IF(AND(_AC4="A-220-100",'2023'!$J$4="FO",'2023'!$J$2=BI233),'2023DATA'!$D$36,"")</f>
        <v/>
      </c>
      <c r="BJ267" s="518" t="str">
        <f>IF(AND(_AC4="A-220-100",'2023'!$J$4="FO",'2023'!$J$2=BJ233),'2023DATA'!$E$36,"")</f>
        <v/>
      </c>
      <c r="BK267" s="518" t="str">
        <f>IF(AND(_AC4="A-220-100",'2023'!$J$4="FO",'2023'!$J$2=BK233),'2023DATA'!$F$36,"")</f>
        <v/>
      </c>
      <c r="BL267" s="518" t="str">
        <f>IF(AND(_AC4="A-220-100",'2023'!$J$4="FO",'2023'!$J$2=BL233),'2023DATA'!$G$36,"")</f>
        <v/>
      </c>
      <c r="BM267" s="518" t="str">
        <f>IF(AND(_AC4="A-220-100",'2023'!$J$4="FO",'2023'!$J$2=BM233),'2023DATA'!$H$36,"")</f>
        <v/>
      </c>
      <c r="BN267" s="518" t="str">
        <f>IF(AND(_AC4="A-220-100",'2023'!$J$4="FO",'2023'!$J$2=BN233),'2023DATA'!$I$36,"")</f>
        <v/>
      </c>
      <c r="BO267" s="518" t="str">
        <f>IF(AND(_AC4="A-220-100",'2023'!$J$4="FO",'2023'!$J$2=BO233),'2023DATA'!$J$36,"")</f>
        <v/>
      </c>
      <c r="BP267" s="518" t="str">
        <f>IF(AND(_AC4="A-220-100",'2023'!$J$4="FO",'2023'!$J$2=BP233),'2023DATA'!$K$36,"")</f>
        <v/>
      </c>
      <c r="BQ267" s="518" t="str">
        <f>IF(AND(_AC4="A-220-100",'2023'!$J$4="FO",'2023'!$J$2=BQ233),'2023DATA'!$L$36,"")</f>
        <v/>
      </c>
      <c r="BR267" s="518" t="str">
        <f>IF(AND(_AC4="A-220-100",'2023'!$J$4="FO",'2023'!$J$2=BR233),'2023DATA'!$M$36,"")</f>
        <v/>
      </c>
      <c r="BS267" s="520" t="str">
        <f>IF(AND(_AC4="A-220-100",'2023'!$J$4="FO",'2023'!$J$2=BS233),'2023DATA'!$N$36,"")</f>
        <v/>
      </c>
      <c r="BT267" s="940"/>
      <c r="BU267" s="13" t="s">
        <v>62</v>
      </c>
      <c r="BV267" s="518" t="str">
        <f>IF(AND(_AC5="A-220-100",'2023'!$J$4="FO",'2023'!$J$2=BV233),'2023DATA'!$C$36,"")</f>
        <v/>
      </c>
      <c r="BW267" s="518" t="str">
        <f>IF(AND(_AC5="A-220-100",'2023'!$J$4="FO",'2023'!$J$2=BW233),'2023DATA'!$D$36,"")</f>
        <v/>
      </c>
      <c r="BX267" s="518" t="str">
        <f>IF(AND(_AC5="A-220-100",'2023'!$J$4="FO",'2023'!$J$2=BX233),'2023DATA'!$E$36,"")</f>
        <v/>
      </c>
      <c r="BY267" s="518" t="str">
        <f>IF(AND(_AC5="A-220-100",'2023'!$J$4="FO",'2023'!$J$2=BY233),'2023DATA'!$F$36,"")</f>
        <v/>
      </c>
      <c r="BZ267" s="518" t="str">
        <f>IF(AND(_AC5="A-220-100",'2023'!$J$4="FO",'2023'!$J$2=BZ233),'2023DATA'!$G$36,"")</f>
        <v/>
      </c>
      <c r="CA267" s="518" t="str">
        <f>IF(AND(_AC5="A-220-100",'2023'!$J$4="FO",'2023'!$J$2=CA233),'2023DATA'!$H$36,"")</f>
        <v/>
      </c>
      <c r="CB267" s="518" t="str">
        <f>IF(AND(_AC5="A-220-100",'2023'!$J$4="FO",'2023'!$J$2=CB233),'2023DATA'!$I$36,"")</f>
        <v/>
      </c>
      <c r="CC267" s="518" t="str">
        <f>IF(AND(_AC5="A-220-100",'2023'!$J$4="FO",'2023'!$J$2=CC233),'2023DATA'!$J$36,"")</f>
        <v/>
      </c>
      <c r="CD267" s="518" t="str">
        <f>IF(AND(_AC5="A-220-100",'2023'!$J$4="FO",'2023'!$J$2=CD233),'2023DATA'!$K$36,"")</f>
        <v/>
      </c>
      <c r="CE267" s="518" t="str">
        <f>IF(AND(_AC5="A-220-100",'2023'!$J$4="FO",'2023'!$J$2=CE233),'2023DATA'!$L$36,"")</f>
        <v/>
      </c>
      <c r="CF267" s="518" t="str">
        <f>IF(AND(_AC5="A-220-100",'2023'!$J$4="FO",'2023'!$J$2=CF233),'2023DATA'!$M$36,"")</f>
        <v/>
      </c>
      <c r="CG267" s="520" t="str">
        <f>IF(AND(_AC5="A-220-100",'2023'!$J$4="FO",'2023'!$J$2=CG233),'2023DATA'!$N$36,"")</f>
        <v/>
      </c>
      <c r="CH267" s="940"/>
      <c r="CI267" s="13" t="s">
        <v>62</v>
      </c>
      <c r="CJ267" s="518" t="str">
        <f>IF(AND(_AC6="A-220-100",'2023'!$J$4="FO",'2023'!$J$2=CJ233),'2023DATA'!$C$36,"")</f>
        <v/>
      </c>
      <c r="CK267" s="518" t="str">
        <f>IF(AND(_AC6="A-220-100",'2023'!$J$4="FO",'2023'!$J$2=CK233),'2023DATA'!$D$36,"")</f>
        <v/>
      </c>
      <c r="CL267" s="518" t="str">
        <f>IF(AND(_AC6="A-220-100",'2023'!$J$4="FO",'2023'!$J$2=CL233),'2023DATA'!$E$36,"")</f>
        <v/>
      </c>
      <c r="CM267" s="518" t="str">
        <f>IF(AND(_AC6="A-220-100",'2023'!$J$4="FO",'2023'!$J$2=CM233),'2023DATA'!$F$36,"")</f>
        <v/>
      </c>
      <c r="CN267" s="518" t="str">
        <f>IF(AND(_AC6="A-220-100",'2023'!$J$4="FO",'2023'!$J$2=CN233),'2023DATA'!$G$36,"")</f>
        <v/>
      </c>
      <c r="CO267" s="518" t="str">
        <f>IF(AND(_AC6="A-220-100",'2023'!$J$4="FO",'2023'!$J$2=CO233),'2023DATA'!$H$36,"")</f>
        <v/>
      </c>
      <c r="CP267" s="518" t="str">
        <f>IF(AND(_AC6="A-220-100",'2023'!$J$4="FO",'2023'!$J$2=CP233),'2023DATA'!$I$36,"")</f>
        <v/>
      </c>
      <c r="CQ267" s="518" t="str">
        <f>IF(AND(_AC6="A-220-100",'2023'!$J$4="FO",'2023'!$J$2=CQ233),'2023DATA'!$J$36,"")</f>
        <v/>
      </c>
      <c r="CR267" s="518" t="str">
        <f>IF(AND(_AC6="A-220-100",'2023'!$J$4="FO",'2023'!$J$2=CR233),'2023DATA'!$K$36,"")</f>
        <v/>
      </c>
      <c r="CS267" s="518" t="str">
        <f>IF(AND(_AC6="A-220-100",'2023'!$J$4="FO",'2023'!$J$2=CS233),'2023DATA'!$L$36,"")</f>
        <v/>
      </c>
      <c r="CT267" s="518" t="str">
        <f>IF(AND(_AC6="A-220-100",'2023'!$J$4="FO",'2023'!$J$2=CT233),'2023DATA'!$M$36,"")</f>
        <v/>
      </c>
      <c r="CU267" s="520" t="str">
        <f>IF(AND(_AC6="A-220-100",'2023'!$J$4="FO",'2023'!$J$2=CU233),'2023DATA'!$N$36,"")</f>
        <v/>
      </c>
    </row>
    <row r="268" spans="16:99" x14ac:dyDescent="0.25">
      <c r="P268" s="940" t="s">
        <v>53</v>
      </c>
      <c r="Q268" s="13" t="s">
        <v>61</v>
      </c>
      <c r="R268" s="518" t="str">
        <f>IF(AND(_AC1="B-717",'2023'!$J$4="CA",'2023'!$J$2=R233),'2023DATA'!$C$37,"")</f>
        <v/>
      </c>
      <c r="S268" s="518" t="str">
        <f>IF(AND(_AC1="B-717",'2023'!$J$4="CA",'2023'!$J$2=S233),'2023DATA'!$D$37,"")</f>
        <v/>
      </c>
      <c r="T268" s="518" t="str">
        <f>IF(AND(_AC1="B-717",'2023'!$J$4="CA",'2023'!$J$2=T233),'2023DATA'!$E$37,"")</f>
        <v/>
      </c>
      <c r="U268" s="518" t="str">
        <f>IF(AND(_AC1="B-717",'2023'!$J$4="CA",'2023'!$J$2=U233),'2023DATA'!$F$37,"")</f>
        <v/>
      </c>
      <c r="V268" s="518" t="str">
        <f>IF(AND(_AC1="B-717",'2023'!$J$4="CA",'2023'!$J$2=V233),'2023DATA'!$G$37,"")</f>
        <v/>
      </c>
      <c r="W268" s="518" t="str">
        <f>IF(AND(_AC1="B-717",'2023'!$J$4="CA",'2023'!$J$2=W233),'2023DATA'!$H$37,"")</f>
        <v/>
      </c>
      <c r="X268" s="518" t="str">
        <f>IF(AND(_AC1="B-717",'2023'!$J$4="CA",'2023'!$J$2=X233),'2023DATA'!$I$37,"")</f>
        <v/>
      </c>
      <c r="Y268" s="518" t="str">
        <f>IF(AND(_AC1="B-717",'2023'!$J$4="CA",'2023'!$J$2=Y233),'2023DATA'!$J$37,"")</f>
        <v/>
      </c>
      <c r="Z268" s="518" t="str">
        <f>IF(AND(_AC1="B-717",'2023'!$J$4="CA",'2023'!$J$2=Z233),'2023DATA'!$K$37,"")</f>
        <v/>
      </c>
      <c r="AA268" s="518" t="str">
        <f>IF(AND(_AC1="B-717",'2023'!$J$4="CA",'2023'!$J$2=AA233),'2023DATA'!$L$37,"")</f>
        <v/>
      </c>
      <c r="AB268" s="518" t="str">
        <f>IF(AND(_AC1="B-717",'2023'!$J$4="CA",'2023'!$J$2=AB233),'2023DATA'!$M$37,"")</f>
        <v/>
      </c>
      <c r="AC268" s="520" t="str">
        <f>IF(AND(_AC1="B-717",'2023'!$J$4="CA",'2023'!$J$2=AC233),'2023DATA'!$N$37,"")</f>
        <v/>
      </c>
      <c r="AD268" s="940" t="s">
        <v>53</v>
      </c>
      <c r="AE268" s="13" t="s">
        <v>61</v>
      </c>
      <c r="AF268" s="518" t="str">
        <f>IF(AND(_AC2="B-717",'2023'!$J$4="CA",'2023'!$J$2=AF233),'2023DATA'!$C$37,"")</f>
        <v/>
      </c>
      <c r="AG268" s="518" t="str">
        <f>IF(AND(_AC2="B-717",'2023'!$J$4="CA",'2023'!$J$2=AG233),'2023DATA'!$D$37,"")</f>
        <v/>
      </c>
      <c r="AH268" s="518" t="str">
        <f>IF(AND(_AC2="B-717",'2023'!$J$4="CA",'2023'!$J$2=AH233),'2023DATA'!$E$37,"")</f>
        <v/>
      </c>
      <c r="AI268" s="518" t="str">
        <f>IF(AND(_AC2="B-717",'2023'!$J$4="CA",'2023'!$J$2=AI233),'2023DATA'!$F$37,"")</f>
        <v/>
      </c>
      <c r="AJ268" s="518" t="str">
        <f>IF(AND(_AC2="B-717",'2023'!$J$4="CA",'2023'!$J$2=AJ233),'2023DATA'!$G$37,"")</f>
        <v/>
      </c>
      <c r="AK268" s="518" t="str">
        <f>IF(AND(_AC2="B-717",'2023'!$J$4="CA",'2023'!$J$2=AK233),'2023DATA'!$H$37,"")</f>
        <v/>
      </c>
      <c r="AL268" s="518" t="str">
        <f>IF(AND(_AC2="B-717",'2023'!$J$4="CA",'2023'!$J$2=AL233),'2023DATA'!$I$37,"")</f>
        <v/>
      </c>
      <c r="AM268" s="518" t="str">
        <f>IF(AND(_AC2="B-717",'2023'!$J$4="CA",'2023'!$J$2=AM233),'2023DATA'!$J$37,"")</f>
        <v/>
      </c>
      <c r="AN268" s="518" t="str">
        <f>IF(AND(_AC2="B-717",'2023'!$J$4="CA",'2023'!$J$2=AN233),'2023DATA'!$K$37,"")</f>
        <v/>
      </c>
      <c r="AO268" s="518" t="str">
        <f>IF(AND(_AC2="B-717",'2023'!$J$4="CA",'2023'!$J$2=AO233),'2023DATA'!$L$37,"")</f>
        <v/>
      </c>
      <c r="AP268" s="518" t="str">
        <f>IF(AND(_AC2="B-717",'2023'!$J$4="CA",'2023'!$J$2=AP233),'2023DATA'!$M$37,"")</f>
        <v/>
      </c>
      <c r="AQ268" s="520" t="str">
        <f>IF(AND(_AC2="B-717",'2023'!$J$4="CA",'2023'!$J$2=AQ233),'2023DATA'!$N$37,"")</f>
        <v/>
      </c>
      <c r="AR268" s="940" t="s">
        <v>53</v>
      </c>
      <c r="AS268" s="13" t="s">
        <v>61</v>
      </c>
      <c r="AT268" s="518" t="str">
        <f>IF(AND(_AC3="B-717",'2023'!$J$4="CA",'2023'!$J$2=AT233),'2023DATA'!$C$37,"")</f>
        <v/>
      </c>
      <c r="AU268" s="518" t="str">
        <f>IF(AND(_AC3="B-717",'2023'!$J$4="CA",'2023'!$J$2=AU233),'2023DATA'!$D$37,"")</f>
        <v/>
      </c>
      <c r="AV268" s="518" t="str">
        <f>IF(AND(_AC3="B-717",'2023'!$J$4="CA",'2023'!$J$2=AV233),'2023DATA'!$E$37,"")</f>
        <v/>
      </c>
      <c r="AW268" s="518" t="str">
        <f>IF(AND(_AC3="B-717",'2023'!$J$4="CA",'2023'!$J$2=AW233),'2023DATA'!$F$37,"")</f>
        <v/>
      </c>
      <c r="AX268" s="518" t="str">
        <f>IF(AND(_AC3="B-717",'2023'!$J$4="CA",'2023'!$J$2=AX233),'2023DATA'!$G$37,"")</f>
        <v/>
      </c>
      <c r="AY268" s="518" t="str">
        <f>IF(AND(_AC3="B-717",'2023'!$J$4="CA",'2023'!$J$2=AY233),'2023DATA'!$H$37,"")</f>
        <v/>
      </c>
      <c r="AZ268" s="518" t="str">
        <f>IF(AND(_AC3="B-717",'2023'!$J$4="CA",'2023'!$J$2=AZ233),'2023DATA'!$I$37,"")</f>
        <v/>
      </c>
      <c r="BA268" s="518" t="str">
        <f>IF(AND(_AC3="B-717",'2023'!$J$4="CA",'2023'!$J$2=BA233),'2023DATA'!$J$37,"")</f>
        <v/>
      </c>
      <c r="BB268" s="518" t="str">
        <f>IF(AND(_AC3="B-717",'2023'!$J$4="CA",'2023'!$J$2=BB233),'2023DATA'!$K$37,"")</f>
        <v/>
      </c>
      <c r="BC268" s="518" t="str">
        <f>IF(AND(_AC3="B-717",'2023'!$J$4="CA",'2023'!$J$2=BC233),'2023DATA'!$L$37,"")</f>
        <v/>
      </c>
      <c r="BD268" s="518" t="str">
        <f>IF(AND(_AC3="B-717",'2023'!$J$4="CA",'2023'!$J$2=BD233),'2023DATA'!$M$37,"")</f>
        <v/>
      </c>
      <c r="BE268" s="520" t="str">
        <f>IF(AND(_AC3="B-717",'2023'!$J$4="CA",'2023'!$J$2=BE233),'2023DATA'!$N$37,"")</f>
        <v/>
      </c>
      <c r="BF268" s="940" t="s">
        <v>53</v>
      </c>
      <c r="BG268" s="13" t="s">
        <v>61</v>
      </c>
      <c r="BH268" s="518" t="str">
        <f>IF(AND(_AC4="B-717",'2023'!$J$4="CA",'2023'!$J$2=BH233),'2023DATA'!$C$37,"")</f>
        <v/>
      </c>
      <c r="BI268" s="518" t="str">
        <f>IF(AND(_AC4="B-717",'2023'!$J$4="CA",'2023'!$J$2=BI233),'2023DATA'!$D$37,"")</f>
        <v/>
      </c>
      <c r="BJ268" s="518" t="str">
        <f>IF(AND(_AC4="B-717",'2023'!$J$4="CA",'2023'!$J$2=BJ233),'2023DATA'!$E$37,"")</f>
        <v/>
      </c>
      <c r="BK268" s="518" t="str">
        <f>IF(AND(_AC4="B-717",'2023'!$J$4="CA",'2023'!$J$2=BK233),'2023DATA'!$F$37,"")</f>
        <v/>
      </c>
      <c r="BL268" s="518" t="str">
        <f>IF(AND(_AC4="B-717",'2023'!$J$4="CA",'2023'!$J$2=BL233),'2023DATA'!$G$37,"")</f>
        <v/>
      </c>
      <c r="BM268" s="518" t="str">
        <f>IF(AND(_AC4="B-717",'2023'!$J$4="CA",'2023'!$J$2=BM233),'2023DATA'!$H$37,"")</f>
        <v/>
      </c>
      <c r="BN268" s="518" t="str">
        <f>IF(AND(_AC4="B-717",'2023'!$J$4="CA",'2023'!$J$2=BN233),'2023DATA'!$I$37,"")</f>
        <v/>
      </c>
      <c r="BO268" s="518" t="str">
        <f>IF(AND(_AC4="B-717",'2023'!$J$4="CA",'2023'!$J$2=BO233),'2023DATA'!$J$37,"")</f>
        <v/>
      </c>
      <c r="BP268" s="518" t="str">
        <f>IF(AND(_AC4="B-717",'2023'!$J$4="CA",'2023'!$J$2=BP233),'2023DATA'!$K$37,"")</f>
        <v/>
      </c>
      <c r="BQ268" s="518" t="str">
        <f>IF(AND(_AC4="B-717",'2023'!$J$4="CA",'2023'!$J$2=BQ233),'2023DATA'!$L$37,"")</f>
        <v/>
      </c>
      <c r="BR268" s="518" t="str">
        <f>IF(AND(_AC4="B-717",'2023'!$J$4="CA",'2023'!$J$2=BR233),'2023DATA'!$M$37,"")</f>
        <v/>
      </c>
      <c r="BS268" s="520" t="str">
        <f>IF(AND(_AC4="B-717",'2023'!$J$4="CA",'2023'!$J$2=BS233),'2023DATA'!$N$37,"")</f>
        <v/>
      </c>
      <c r="BT268" s="940" t="s">
        <v>53</v>
      </c>
      <c r="BU268" s="13" t="s">
        <v>61</v>
      </c>
      <c r="BV268" s="518" t="str">
        <f>IF(AND(_AC5="B-717",'2023'!$J$4="CA",'2023'!$J$2=BV233),'2023DATA'!$C$37,"")</f>
        <v/>
      </c>
      <c r="BW268" s="518" t="str">
        <f>IF(AND(_AC5="B-717",'2023'!$J$4="CA",'2023'!$J$2=BW233),'2023DATA'!$D$37,"")</f>
        <v/>
      </c>
      <c r="BX268" s="518" t="str">
        <f>IF(AND(_AC5="B-717",'2023'!$J$4="CA",'2023'!$J$2=BX233),'2023DATA'!$E$37,"")</f>
        <v/>
      </c>
      <c r="BY268" s="518" t="str">
        <f>IF(AND(_AC5="B-717",'2023'!$J$4="CA",'2023'!$J$2=BY233),'2023DATA'!$F$37,"")</f>
        <v/>
      </c>
      <c r="BZ268" s="518" t="str">
        <f>IF(AND(_AC5="B-717",'2023'!$J$4="CA",'2023'!$J$2=BZ233),'2023DATA'!$G$37,"")</f>
        <v/>
      </c>
      <c r="CA268" s="518" t="str">
        <f>IF(AND(_AC5="B-717",'2023'!$J$4="CA",'2023'!$J$2=CA233),'2023DATA'!$H$37,"")</f>
        <v/>
      </c>
      <c r="CB268" s="518" t="str">
        <f>IF(AND(_AC5="B-717",'2023'!$J$4="CA",'2023'!$J$2=CB233),'2023DATA'!$I$37,"")</f>
        <v/>
      </c>
      <c r="CC268" s="518" t="str">
        <f>IF(AND(_AC5="B-717",'2023'!$J$4="CA",'2023'!$J$2=CC233),'2023DATA'!$J$37,"")</f>
        <v/>
      </c>
      <c r="CD268" s="518" t="str">
        <f>IF(AND(_AC5="B-717",'2023'!$J$4="CA",'2023'!$J$2=CD233),'2023DATA'!$K$37,"")</f>
        <v/>
      </c>
      <c r="CE268" s="518" t="str">
        <f>IF(AND(_AC5="B-717",'2023'!$J$4="CA",'2023'!$J$2=CE233),'2023DATA'!$L$37,"")</f>
        <v/>
      </c>
      <c r="CF268" s="518" t="str">
        <f>IF(AND(_AC5="B-717",'2023'!$J$4="CA",'2023'!$J$2=CF233),'2023DATA'!$M$37,"")</f>
        <v/>
      </c>
      <c r="CG268" s="520" t="str">
        <f>IF(AND(_AC5="B-717",'2023'!$J$4="CA",'2023'!$J$2=CG233),'2023DATA'!$N$37,"")</f>
        <v/>
      </c>
      <c r="CH268" s="940" t="s">
        <v>53</v>
      </c>
      <c r="CI268" s="13" t="s">
        <v>61</v>
      </c>
      <c r="CJ268" s="518" t="str">
        <f>IF(AND(_AC6="B-717",'2023'!$J$4="CA",'2023'!$J$2=CJ233),'2023DATA'!$C$37,"")</f>
        <v/>
      </c>
      <c r="CK268" s="518" t="str">
        <f>IF(AND(_AC6="B-717",'2023'!$J$4="CA",'2023'!$J$2=CK233),'2023DATA'!$D$37,"")</f>
        <v/>
      </c>
      <c r="CL268" s="518" t="str">
        <f>IF(AND(_AC6="B-717",'2023'!$J$4="CA",'2023'!$J$2=CL233),'2023DATA'!$E$37,"")</f>
        <v/>
      </c>
      <c r="CM268" s="518" t="str">
        <f>IF(AND(_AC6="B-717",'2023'!$J$4="CA",'2023'!$J$2=CM233),'2023DATA'!$F$37,"")</f>
        <v/>
      </c>
      <c r="CN268" s="518" t="str">
        <f>IF(AND(_AC6="B-717",'2023'!$J$4="CA",'2023'!$J$2=CN233),'2023DATA'!$G$37,"")</f>
        <v/>
      </c>
      <c r="CO268" s="518" t="str">
        <f>IF(AND(_AC6="B-717",'2023'!$J$4="CA",'2023'!$J$2=CO233),'2023DATA'!$H$37,"")</f>
        <v/>
      </c>
      <c r="CP268" s="518" t="str">
        <f>IF(AND(_AC6="B-717",'2023'!$J$4="CA",'2023'!$J$2=CP233),'2023DATA'!$I$37,"")</f>
        <v/>
      </c>
      <c r="CQ268" s="518" t="str">
        <f>IF(AND(_AC6="B-717",'2023'!$J$4="CA",'2023'!$J$2=CQ233),'2023DATA'!$J$37,"")</f>
        <v/>
      </c>
      <c r="CR268" s="518" t="str">
        <f>IF(AND(_AC6="B-717",'2023'!$J$4="CA",'2023'!$J$2=CR233),'2023DATA'!$K$37,"")</f>
        <v/>
      </c>
      <c r="CS268" s="518" t="str">
        <f>IF(AND(_AC6="B-717",'2023'!$J$4="CA",'2023'!$J$2=CS233),'2023DATA'!$L$37,"")</f>
        <v/>
      </c>
      <c r="CT268" s="518" t="str">
        <f>IF(AND(_AC6="B-717",'2023'!$J$4="CA",'2023'!$J$2=CT233),'2023DATA'!$M$37,"")</f>
        <v/>
      </c>
      <c r="CU268" s="520" t="str">
        <f>IF(AND(_AC6="B-717",'2023'!$J$4="CA",'2023'!$J$2=CU233),'2023DATA'!$N$37,"")</f>
        <v/>
      </c>
    </row>
    <row r="269" spans="16:99" ht="15.75" thickBot="1" x14ac:dyDescent="0.3">
      <c r="P269" s="941"/>
      <c r="Q269" s="521" t="s">
        <v>62</v>
      </c>
      <c r="R269" s="518" t="str">
        <f>IF(AND(_AC1="B-717",'2023'!$J$4="FO",'2023'!$J$2=R233),'2023DATA'!$C$38,"")</f>
        <v/>
      </c>
      <c r="S269" s="518" t="str">
        <f>IF(AND(_AC1="B-717",'2023'!$J$4="FO",'2023'!$J$2=S233),'2023DATA'!$D$38,"")</f>
        <v/>
      </c>
      <c r="T269" s="518" t="str">
        <f>IF(AND(_AC1="B-717",'2023'!$J$4="FO",'2023'!$J$2=T233),'2023DATA'!$E$38,"")</f>
        <v/>
      </c>
      <c r="U269" s="518" t="str">
        <f>IF(AND(_AC1="B-717",'2023'!$J$4="FO",'2023'!$J$2=U233),'2023DATA'!$F$38,"")</f>
        <v/>
      </c>
      <c r="V269" s="518" t="str">
        <f>IF(AND(_AC1="B-717",'2023'!$J$4="FO",'2023'!$J$2=V233),'2023DATA'!$G$38,"")</f>
        <v/>
      </c>
      <c r="W269" s="518" t="str">
        <f>IF(AND(_AC1="B-717",'2023'!$J$4="FO",'2023'!$J$2=W233),'2023DATA'!$H$38,"")</f>
        <v/>
      </c>
      <c r="X269" s="518" t="str">
        <f>IF(AND(_AC1="B-717",'2023'!$J$4="FO",'2023'!$J$2=X233),'2023DATA'!$I$38,"")</f>
        <v/>
      </c>
      <c r="Y269" s="518" t="str">
        <f>IF(AND(_AC1="B-717",'2023'!$J$4="FO",'2023'!$J$2=Y233),'2023DATA'!$J$38,"")</f>
        <v/>
      </c>
      <c r="Z269" s="518" t="str">
        <f>IF(AND(_AC1="B-717",'2023'!$J$4="FO",'2023'!$J$2=Z233),'2023DATA'!$K$38,"")</f>
        <v/>
      </c>
      <c r="AA269" s="518" t="str">
        <f>IF(AND(_AC1="B-717",'2023'!$J$4="FO",'2023'!$J$2=AA233),'2023DATA'!$L$38,"")</f>
        <v/>
      </c>
      <c r="AB269" s="518" t="str">
        <f>IF(AND(_AC1="B-717",'2023'!$J$4="FO",'2023'!$J$2=AB233),'2023DATA'!$M$38,"")</f>
        <v/>
      </c>
      <c r="AC269" s="520" t="str">
        <f>IF(AND(_AC1="B-717",'2023'!$J$4="FO",'2023'!$J$2=AC233),'2023DATA'!$N$38,"")</f>
        <v/>
      </c>
      <c r="AD269" s="941"/>
      <c r="AE269" s="521" t="s">
        <v>62</v>
      </c>
      <c r="AF269" s="518" t="str">
        <f>IF(AND(_AC2="B-717",'2023'!$J$4="FO",'2023'!$J$2=AF233),'2023DATA'!$C$38,"")</f>
        <v/>
      </c>
      <c r="AG269" s="518" t="str">
        <f>IF(AND(_AC2="B-717",'2023'!$J$4="FO",'2023'!$J$2=AG233),'2023DATA'!$D$38,"")</f>
        <v/>
      </c>
      <c r="AH269" s="518" t="str">
        <f>IF(AND(_AC2="B-717",'2023'!$J$4="FO",'2023'!$J$2=AH233),'2023DATA'!$E$38,"")</f>
        <v/>
      </c>
      <c r="AI269" s="518" t="str">
        <f>IF(AND(_AC2="B-717",'2023'!$J$4="FO",'2023'!$J$2=AI233),'2023DATA'!$F$38,"")</f>
        <v/>
      </c>
      <c r="AJ269" s="518" t="str">
        <f>IF(AND(_AC2="B-717",'2023'!$J$4="FO",'2023'!$J$2=AJ233),'2023DATA'!$G$38,"")</f>
        <v/>
      </c>
      <c r="AK269" s="518" t="str">
        <f>IF(AND(_AC2="B-717",'2023'!$J$4="FO",'2023'!$J$2=AK233),'2023DATA'!$H$38,"")</f>
        <v/>
      </c>
      <c r="AL269" s="518" t="str">
        <f>IF(AND(_AC2="B-717",'2023'!$J$4="FO",'2023'!$J$2=AL233),'2023DATA'!$I$38,"")</f>
        <v/>
      </c>
      <c r="AM269" s="518" t="str">
        <f>IF(AND(_AC2="B-717",'2023'!$J$4="FO",'2023'!$J$2=AM233),'2023DATA'!$J$38,"")</f>
        <v/>
      </c>
      <c r="AN269" s="518" t="str">
        <f>IF(AND(_AC2="B-717",'2023'!$J$4="FO",'2023'!$J$2=AN233),'2023DATA'!$K$38,"")</f>
        <v/>
      </c>
      <c r="AO269" s="518" t="str">
        <f>IF(AND(_AC2="B-717",'2023'!$J$4="FO",'2023'!$J$2=AO233),'2023DATA'!$L$38,"")</f>
        <v/>
      </c>
      <c r="AP269" s="518" t="str">
        <f>IF(AND(_AC2="B-717",'2023'!$J$4="FO",'2023'!$J$2=AP233),'2023DATA'!$M$38,"")</f>
        <v/>
      </c>
      <c r="AQ269" s="520" t="str">
        <f>IF(AND(_AC2="B-717",'2023'!$J$4="FO",'2023'!$J$2=AQ233),'2023DATA'!$N$38,"")</f>
        <v/>
      </c>
      <c r="AR269" s="941"/>
      <c r="AS269" s="521" t="s">
        <v>62</v>
      </c>
      <c r="AT269" s="518" t="str">
        <f>IF(AND(_AC3="B-717",'2023'!$J$4="FO",'2023'!$J$2=AT233),'2023DATA'!$C$38,"")</f>
        <v/>
      </c>
      <c r="AU269" s="518" t="str">
        <f>IF(AND(_AC3="B-717",'2023'!$J$4="FO",'2023'!$J$2=AU233),'2023DATA'!$D$38,"")</f>
        <v/>
      </c>
      <c r="AV269" s="518" t="str">
        <f>IF(AND(_AC3="B-717",'2023'!$J$4="FO",'2023'!$J$2=AV233),'2023DATA'!$E$38,"")</f>
        <v/>
      </c>
      <c r="AW269" s="518" t="str">
        <f>IF(AND(_AC3="B-717",'2023'!$J$4="FO",'2023'!$J$2=AW233),'2023DATA'!$F$38,"")</f>
        <v/>
      </c>
      <c r="AX269" s="518" t="str">
        <f>IF(AND(_AC3="B-717",'2023'!$J$4="FO",'2023'!$J$2=AX233),'2023DATA'!$G$38,"")</f>
        <v/>
      </c>
      <c r="AY269" s="518" t="str">
        <f>IF(AND(_AC3="B-717",'2023'!$J$4="FO",'2023'!$J$2=AY233),'2023DATA'!$H$38,"")</f>
        <v/>
      </c>
      <c r="AZ269" s="518" t="str">
        <f>IF(AND(_AC3="B-717",'2023'!$J$4="FO",'2023'!$J$2=AZ233),'2023DATA'!$I$38,"")</f>
        <v/>
      </c>
      <c r="BA269" s="518" t="str">
        <f>IF(AND(_AC3="B-717",'2023'!$J$4="FO",'2023'!$J$2=BA233),'2023DATA'!$J$38,"")</f>
        <v/>
      </c>
      <c r="BB269" s="518" t="str">
        <f>IF(AND(_AC3="B-717",'2023'!$J$4="FO",'2023'!$J$2=BB233),'2023DATA'!$K$38,"")</f>
        <v/>
      </c>
      <c r="BC269" s="518" t="str">
        <f>IF(AND(_AC3="B-717",'2023'!$J$4="FO",'2023'!$J$2=BC233),'2023DATA'!$L$38,"")</f>
        <v/>
      </c>
      <c r="BD269" s="518" t="str">
        <f>IF(AND(_AC3="B-717",'2023'!$J$4="FO",'2023'!$J$2=BD233),'2023DATA'!$M$38,"")</f>
        <v/>
      </c>
      <c r="BE269" s="520" t="str">
        <f>IF(AND(_AC3="B-717",'2023'!$J$4="FO",'2023'!$J$2=BE233),'2023DATA'!$N$38,"")</f>
        <v/>
      </c>
      <c r="BF269" s="941"/>
      <c r="BG269" s="521" t="s">
        <v>62</v>
      </c>
      <c r="BH269" s="518" t="str">
        <f>IF(AND(_AC4="B-717",'2023'!$J$4="FO",'2023'!$J$2=BH233),'2023DATA'!$C$38,"")</f>
        <v/>
      </c>
      <c r="BI269" s="518" t="str">
        <f>IF(AND(_AC4="B-717",'2023'!$J$4="FO",'2023'!$J$2=BI233),'2023DATA'!$D$38,"")</f>
        <v/>
      </c>
      <c r="BJ269" s="518" t="str">
        <f>IF(AND(_AC4="B-717",'2023'!$J$4="FO",'2023'!$J$2=BJ233),'2023DATA'!$E$38,"")</f>
        <v/>
      </c>
      <c r="BK269" s="518" t="str">
        <f>IF(AND(_AC4="B-717",'2023'!$J$4="FO",'2023'!$J$2=BK233),'2023DATA'!$F$38,"")</f>
        <v/>
      </c>
      <c r="BL269" s="518" t="str">
        <f>IF(AND(_AC4="B-717",'2023'!$J$4="FO",'2023'!$J$2=BL233),'2023DATA'!$G$38,"")</f>
        <v/>
      </c>
      <c r="BM269" s="518" t="str">
        <f>IF(AND(_AC4="B-717",'2023'!$J$4="FO",'2023'!$J$2=BM233),'2023DATA'!$H$38,"")</f>
        <v/>
      </c>
      <c r="BN269" s="518" t="str">
        <f>IF(AND(_AC4="B-717",'2023'!$J$4="FO",'2023'!$J$2=BN233),'2023DATA'!$I$38,"")</f>
        <v/>
      </c>
      <c r="BO269" s="518" t="str">
        <f>IF(AND(_AC4="B-717",'2023'!$J$4="FO",'2023'!$J$2=BO233),'2023DATA'!$J$38,"")</f>
        <v/>
      </c>
      <c r="BP269" s="518" t="str">
        <f>IF(AND(_AC4="B-717",'2023'!$J$4="FO",'2023'!$J$2=BP233),'2023DATA'!$K$38,"")</f>
        <v/>
      </c>
      <c r="BQ269" s="518" t="str">
        <f>IF(AND(_AC4="B-717",'2023'!$J$4="FO",'2023'!$J$2=BQ233),'2023DATA'!$L$38,"")</f>
        <v/>
      </c>
      <c r="BR269" s="518" t="str">
        <f>IF(AND(_AC4="B-717",'2023'!$J$4="FO",'2023'!$J$2=BR233),'2023DATA'!$M$38,"")</f>
        <v/>
      </c>
      <c r="BS269" s="520" t="str">
        <f>IF(AND(_AC4="B-717",'2023'!$J$4="FO",'2023'!$J$2=BS233),'2023DATA'!$N$38,"")</f>
        <v/>
      </c>
      <c r="BT269" s="941"/>
      <c r="BU269" s="521" t="s">
        <v>62</v>
      </c>
      <c r="BV269" s="518" t="str">
        <f>IF(AND(_AC5="B-717",'2023'!$J$4="FO",'2023'!$J$2=BV233),'2023DATA'!$C$38,"")</f>
        <v/>
      </c>
      <c r="BW269" s="518" t="str">
        <f>IF(AND(_AC5="B-717",'2023'!$J$4="FO",'2023'!$J$2=BW233),'2023DATA'!$D$38,"")</f>
        <v/>
      </c>
      <c r="BX269" s="518" t="str">
        <f>IF(AND(_AC5="B-717",'2023'!$J$4="FO",'2023'!$J$2=BX233),'2023DATA'!$E$38,"")</f>
        <v/>
      </c>
      <c r="BY269" s="518" t="str">
        <f>IF(AND(_AC5="B-717",'2023'!$J$4="FO",'2023'!$J$2=BY233),'2023DATA'!$F$38,"")</f>
        <v/>
      </c>
      <c r="BZ269" s="518" t="str">
        <f>IF(AND(_AC5="B-717",'2023'!$J$4="FO",'2023'!$J$2=BZ233),'2023DATA'!$G$38,"")</f>
        <v/>
      </c>
      <c r="CA269" s="518" t="str">
        <f>IF(AND(_AC5="B-717",'2023'!$J$4="FO",'2023'!$J$2=CA233),'2023DATA'!$H$38,"")</f>
        <v/>
      </c>
      <c r="CB269" s="518" t="str">
        <f>IF(AND(_AC5="B-717",'2023'!$J$4="FO",'2023'!$J$2=CB233),'2023DATA'!$I$38,"")</f>
        <v/>
      </c>
      <c r="CC269" s="518" t="str">
        <f>IF(AND(_AC5="B-717",'2023'!$J$4="FO",'2023'!$J$2=CC233),'2023DATA'!$J$38,"")</f>
        <v/>
      </c>
      <c r="CD269" s="518" t="str">
        <f>IF(AND(_AC5="B-717",'2023'!$J$4="FO",'2023'!$J$2=CD233),'2023DATA'!$K$38,"")</f>
        <v/>
      </c>
      <c r="CE269" s="518" t="str">
        <f>IF(AND(_AC5="B-717",'2023'!$J$4="FO",'2023'!$J$2=CE233),'2023DATA'!$L$38,"")</f>
        <v/>
      </c>
      <c r="CF269" s="518" t="str">
        <f>IF(AND(_AC5="B-717",'2023'!$J$4="FO",'2023'!$J$2=CF233),'2023DATA'!$M$38,"")</f>
        <v/>
      </c>
      <c r="CG269" s="520" t="str">
        <f>IF(AND(_AC5="B-717",'2023'!$J$4="FO",'2023'!$J$2=CG233),'2023DATA'!$N$38,"")</f>
        <v/>
      </c>
      <c r="CH269" s="941"/>
      <c r="CI269" s="521" t="s">
        <v>62</v>
      </c>
      <c r="CJ269" s="518" t="str">
        <f>IF(AND(_AC6="B-717",'2023'!$J$4="FO",'2023'!$J$2=CJ233),'2023DATA'!$C$38,"")</f>
        <v/>
      </c>
      <c r="CK269" s="518" t="str">
        <f>IF(AND(_AC6="B-717",'2023'!$J$4="FO",'2023'!$J$2=CK233),'2023DATA'!$D$38,"")</f>
        <v/>
      </c>
      <c r="CL269" s="518" t="str">
        <f>IF(AND(_AC6="B-717",'2023'!$J$4="FO",'2023'!$J$2=CL233),'2023DATA'!$E$38,"")</f>
        <v/>
      </c>
      <c r="CM269" s="518" t="str">
        <f>IF(AND(_AC6="B-717",'2023'!$J$4="FO",'2023'!$J$2=CM233),'2023DATA'!$F$38,"")</f>
        <v/>
      </c>
      <c r="CN269" s="518" t="str">
        <f>IF(AND(_AC6="B-717",'2023'!$J$4="FO",'2023'!$J$2=CN233),'2023DATA'!$G$38,"")</f>
        <v/>
      </c>
      <c r="CO269" s="518" t="str">
        <f>IF(AND(_AC6="B-717",'2023'!$J$4="FO",'2023'!$J$2=CO233),'2023DATA'!$H$38,"")</f>
        <v/>
      </c>
      <c r="CP269" s="518" t="str">
        <f>IF(AND(_AC6="B-717",'2023'!$J$4="FO",'2023'!$J$2=CP233),'2023DATA'!$I$38,"")</f>
        <v/>
      </c>
      <c r="CQ269" s="518" t="str">
        <f>IF(AND(_AC6="B-717",'2023'!$J$4="FO",'2023'!$J$2=CQ233),'2023DATA'!$J$38,"")</f>
        <v/>
      </c>
      <c r="CR269" s="518" t="str">
        <f>IF(AND(_AC6="B-717",'2023'!$J$4="FO",'2023'!$J$2=CR233),'2023DATA'!$K$38,"")</f>
        <v/>
      </c>
      <c r="CS269" s="518" t="str">
        <f>IF(AND(_AC6="B-717",'2023'!$J$4="FO",'2023'!$J$2=CS233),'2023DATA'!$L$38,"")</f>
        <v/>
      </c>
      <c r="CT269" s="518" t="str">
        <f>IF(AND(_AC6="B-717",'2023'!$J$4="FO",'2023'!$J$2=CT233),'2023DATA'!$M$38,"")</f>
        <v/>
      </c>
      <c r="CU269" s="520" t="str">
        <f>IF(AND(_AC6="B-717",'2023'!$J$4="FO",'2023'!$J$2=CU233),'2023DATA'!$N$38,"")</f>
        <v/>
      </c>
    </row>
    <row r="270" spans="16:99" x14ac:dyDescent="0.25">
      <c r="P270" s="943" t="s">
        <v>140</v>
      </c>
      <c r="Q270" s="944"/>
      <c r="R270" s="944"/>
      <c r="S270" s="944"/>
      <c r="T270" s="944"/>
      <c r="U270" s="944"/>
      <c r="V270" s="944"/>
      <c r="W270" s="944"/>
      <c r="X270" s="944"/>
      <c r="Y270" s="944"/>
      <c r="Z270" s="944"/>
      <c r="AA270" s="944"/>
      <c r="AB270" s="944"/>
      <c r="AC270" s="945"/>
      <c r="AD270" s="943" t="s">
        <v>141</v>
      </c>
      <c r="AE270" s="944"/>
      <c r="AF270" s="944"/>
      <c r="AG270" s="944"/>
      <c r="AH270" s="944"/>
      <c r="AI270" s="944"/>
      <c r="AJ270" s="944"/>
      <c r="AK270" s="944"/>
      <c r="AL270" s="944"/>
      <c r="AM270" s="944"/>
      <c r="AN270" s="944"/>
      <c r="AO270" s="944"/>
      <c r="AP270" s="944"/>
      <c r="AQ270" s="945"/>
      <c r="AR270" s="943" t="s">
        <v>142</v>
      </c>
      <c r="AS270" s="944"/>
      <c r="AT270" s="944"/>
      <c r="AU270" s="944"/>
      <c r="AV270" s="944"/>
      <c r="AW270" s="944"/>
      <c r="AX270" s="944"/>
      <c r="AY270" s="944"/>
      <c r="AZ270" s="944"/>
      <c r="BA270" s="944"/>
      <c r="BB270" s="944"/>
      <c r="BC270" s="944"/>
      <c r="BD270" s="944"/>
      <c r="BE270" s="945"/>
      <c r="BF270" s="943" t="s">
        <v>143</v>
      </c>
      <c r="BG270" s="944"/>
      <c r="BH270" s="944"/>
      <c r="BI270" s="944"/>
      <c r="BJ270" s="944"/>
      <c r="BK270" s="944"/>
      <c r="BL270" s="944"/>
      <c r="BM270" s="944"/>
      <c r="BN270" s="944"/>
      <c r="BO270" s="944"/>
      <c r="BP270" s="944"/>
      <c r="BQ270" s="944"/>
      <c r="BR270" s="944"/>
      <c r="BS270" s="945"/>
      <c r="BT270" s="943" t="s">
        <v>144</v>
      </c>
      <c r="BU270" s="944"/>
      <c r="BV270" s="944"/>
      <c r="BW270" s="944"/>
      <c r="BX270" s="944"/>
      <c r="BY270" s="944"/>
      <c r="BZ270" s="944"/>
      <c r="CA270" s="944"/>
      <c r="CB270" s="944"/>
      <c r="CC270" s="944"/>
      <c r="CD270" s="944"/>
      <c r="CE270" s="944"/>
      <c r="CF270" s="944"/>
      <c r="CG270" s="945"/>
      <c r="CH270" s="943" t="s">
        <v>145</v>
      </c>
      <c r="CI270" s="944"/>
      <c r="CJ270" s="944"/>
      <c r="CK270" s="944"/>
      <c r="CL270" s="944"/>
      <c r="CM270" s="944"/>
      <c r="CN270" s="944"/>
      <c r="CO270" s="944"/>
      <c r="CP270" s="944"/>
      <c r="CQ270" s="944"/>
      <c r="CR270" s="944"/>
      <c r="CS270" s="944"/>
      <c r="CT270" s="944"/>
      <c r="CU270" s="945"/>
    </row>
    <row r="271" spans="16:99" x14ac:dyDescent="0.25">
      <c r="P271" s="600">
        <v>8</v>
      </c>
      <c r="Q271" s="577">
        <f>SUM(R272:AC307)</f>
        <v>0</v>
      </c>
      <c r="R271" s="3">
        <v>12</v>
      </c>
      <c r="S271" s="3">
        <v>11</v>
      </c>
      <c r="T271" s="3">
        <v>10</v>
      </c>
      <c r="U271" s="3">
        <v>9</v>
      </c>
      <c r="V271" s="3">
        <v>8</v>
      </c>
      <c r="W271" s="3">
        <v>7</v>
      </c>
      <c r="X271" s="3">
        <v>6</v>
      </c>
      <c r="Y271" s="3">
        <v>5</v>
      </c>
      <c r="Z271" s="3">
        <v>4</v>
      </c>
      <c r="AA271" s="3">
        <v>3</v>
      </c>
      <c r="AB271" s="3">
        <v>2</v>
      </c>
      <c r="AC271" s="519">
        <v>1</v>
      </c>
      <c r="AD271" s="577">
        <v>8</v>
      </c>
      <c r="AE271" s="577">
        <f>SUM(AF272:AQ307)</f>
        <v>0</v>
      </c>
      <c r="AF271" s="3">
        <v>12</v>
      </c>
      <c r="AG271" s="3">
        <v>11</v>
      </c>
      <c r="AH271" s="3">
        <v>10</v>
      </c>
      <c r="AI271" s="3">
        <v>9</v>
      </c>
      <c r="AJ271" s="3">
        <v>8</v>
      </c>
      <c r="AK271" s="3">
        <v>7</v>
      </c>
      <c r="AL271" s="3">
        <v>6</v>
      </c>
      <c r="AM271" s="3">
        <v>5</v>
      </c>
      <c r="AN271" s="3">
        <v>4</v>
      </c>
      <c r="AO271" s="3">
        <v>3</v>
      </c>
      <c r="AP271" s="3">
        <v>2</v>
      </c>
      <c r="AQ271" s="519">
        <v>1</v>
      </c>
      <c r="AR271" s="577">
        <v>8</v>
      </c>
      <c r="AS271" s="577">
        <f>SUM(AT272:BE307)</f>
        <v>0</v>
      </c>
      <c r="AT271" s="3">
        <v>12</v>
      </c>
      <c r="AU271" s="3">
        <v>11</v>
      </c>
      <c r="AV271" s="3">
        <v>10</v>
      </c>
      <c r="AW271" s="3">
        <v>9</v>
      </c>
      <c r="AX271" s="3">
        <v>8</v>
      </c>
      <c r="AY271" s="3">
        <v>7</v>
      </c>
      <c r="AZ271" s="3">
        <v>6</v>
      </c>
      <c r="BA271" s="3">
        <v>5</v>
      </c>
      <c r="BB271" s="3">
        <v>4</v>
      </c>
      <c r="BC271" s="3">
        <v>3</v>
      </c>
      <c r="BD271" s="3">
        <v>2</v>
      </c>
      <c r="BE271" s="519">
        <v>1</v>
      </c>
      <c r="BF271" s="577">
        <v>8</v>
      </c>
      <c r="BG271" s="577">
        <f>SUM(BH272:BS307)</f>
        <v>0</v>
      </c>
      <c r="BH271" s="3">
        <v>12</v>
      </c>
      <c r="BI271" s="3">
        <v>11</v>
      </c>
      <c r="BJ271" s="3">
        <v>10</v>
      </c>
      <c r="BK271" s="3">
        <v>9</v>
      </c>
      <c r="BL271" s="3">
        <v>8</v>
      </c>
      <c r="BM271" s="3">
        <v>7</v>
      </c>
      <c r="BN271" s="3">
        <v>6</v>
      </c>
      <c r="BO271" s="3">
        <v>5</v>
      </c>
      <c r="BP271" s="3">
        <v>4</v>
      </c>
      <c r="BQ271" s="3">
        <v>3</v>
      </c>
      <c r="BR271" s="3">
        <v>2</v>
      </c>
      <c r="BS271" s="519">
        <v>1</v>
      </c>
      <c r="BT271" s="577">
        <v>8</v>
      </c>
      <c r="BU271" s="577">
        <f>SUM(BV272:CG307)</f>
        <v>0</v>
      </c>
      <c r="BV271" s="3">
        <v>12</v>
      </c>
      <c r="BW271" s="3">
        <v>11</v>
      </c>
      <c r="BX271" s="3">
        <v>10</v>
      </c>
      <c r="BY271" s="3">
        <v>9</v>
      </c>
      <c r="BZ271" s="3">
        <v>8</v>
      </c>
      <c r="CA271" s="3">
        <v>7</v>
      </c>
      <c r="CB271" s="3">
        <v>6</v>
      </c>
      <c r="CC271" s="3">
        <v>5</v>
      </c>
      <c r="CD271" s="3">
        <v>4</v>
      </c>
      <c r="CE271" s="3">
        <v>3</v>
      </c>
      <c r="CF271" s="3">
        <v>2</v>
      </c>
      <c r="CG271" s="519">
        <v>1</v>
      </c>
      <c r="CH271" s="577">
        <v>8</v>
      </c>
      <c r="CI271" s="577">
        <f>SUM(CJ272:CU307)</f>
        <v>0</v>
      </c>
      <c r="CJ271" s="3">
        <v>12</v>
      </c>
      <c r="CK271" s="3">
        <v>11</v>
      </c>
      <c r="CL271" s="3">
        <v>10</v>
      </c>
      <c r="CM271" s="3">
        <v>9</v>
      </c>
      <c r="CN271" s="3">
        <v>8</v>
      </c>
      <c r="CO271" s="3">
        <v>7</v>
      </c>
      <c r="CP271" s="3">
        <v>6</v>
      </c>
      <c r="CQ271" s="3">
        <v>5</v>
      </c>
      <c r="CR271" s="3">
        <v>4</v>
      </c>
      <c r="CS271" s="3">
        <v>3</v>
      </c>
      <c r="CT271" s="3">
        <v>2</v>
      </c>
      <c r="CU271" s="519">
        <v>1</v>
      </c>
    </row>
    <row r="272" spans="16:99" x14ac:dyDescent="0.25">
      <c r="P272" s="940" t="s">
        <v>39</v>
      </c>
      <c r="Q272" s="13" t="s">
        <v>61</v>
      </c>
      <c r="R272" s="518" t="str">
        <f>IF(AND(_AC1="A-350",'2023'!$K$4="CA",'2023'!$K$2=R271),'2023DATA'!$C$3,"")</f>
        <v/>
      </c>
      <c r="S272" s="518" t="str">
        <f>IF(AND(_AC1="A-350",'2023'!$K$4="CA",'2023'!$K$2=S271),'2023DATA'!$D$3,"")</f>
        <v/>
      </c>
      <c r="T272" s="518" t="str">
        <f>IF(AND(_AC1="A-350",'2023'!$K$4="CA",'2023'!$K$2=T271),'2023DATA'!$E$3,"")</f>
        <v/>
      </c>
      <c r="U272" s="518" t="str">
        <f>IF(AND(_AC1="A-350",'2023'!$K$4="CA",'2023'!$K$2=U271),'2023DATA'!$F$3,"")</f>
        <v/>
      </c>
      <c r="V272" s="518" t="str">
        <f>IF(AND(_AC1="A-350",'2023'!$K$4="CA",'2023'!$K$2=V271),'2023DATA'!$G$3,"")</f>
        <v/>
      </c>
      <c r="W272" s="518" t="str">
        <f>IF(AND(_AC1="A-350",'2023'!$K$4="CA",'2023'!$K$2=W271),'2023DATA'!$H$3,"")</f>
        <v/>
      </c>
      <c r="X272" s="518" t="str">
        <f>IF(AND(_AC1="A-350",'2023'!$K$4="CA",'2023'!$K$2=X271),'2023DATA'!$I$3,"")</f>
        <v/>
      </c>
      <c r="Y272" s="518" t="str">
        <f>IF(AND(_AC1="A-350",'2023'!$K$4="CA",'2023'!$K$2=Y271),'2023DATA'!$J$3,"")</f>
        <v/>
      </c>
      <c r="Z272" s="518" t="str">
        <f>IF(AND(_AC1="A-350",'2023'!$K$4="CA",'2023'!$K$2=Z271),'2023DATA'!$K$3,"")</f>
        <v/>
      </c>
      <c r="AA272" s="518" t="str">
        <f>IF(AND(_AC1="A-350",'2023'!$K$4="CA",'2023'!$K$2=AA271),'2023DATA'!$L$3,"")</f>
        <v/>
      </c>
      <c r="AB272" s="518" t="str">
        <f>IF(AND(_AC1="A-350",'2023'!$K$4="CA",'2023'!$K$2=AB271),'2023DATA'!$M$3,"")</f>
        <v/>
      </c>
      <c r="AC272" s="520" t="str">
        <f>IF(AND(_AC1="A-350",'2023'!$K$4="CA",'2023'!$K$2=AC271),'2023DATA'!$N$3,"")</f>
        <v/>
      </c>
      <c r="AD272" s="940" t="s">
        <v>39</v>
      </c>
      <c r="AE272" s="13" t="s">
        <v>61</v>
      </c>
      <c r="AF272" s="518" t="str">
        <f>IF(AND(_AC2="A-350",'2023'!$K$4="CA",'2023'!$K$2=AF271),'2023DATA'!$C$3,"")</f>
        <v/>
      </c>
      <c r="AG272" s="518" t="str">
        <f>IF(AND(_AC2="A-350",'2023'!$K$4="CA",'2023'!$K$2=AG271),'2023DATA'!$D$3,"")</f>
        <v/>
      </c>
      <c r="AH272" s="518" t="str">
        <f>IF(AND(_AC2="A-350",'2023'!$K$4="CA",'2023'!$K$2=AH271),'2023DATA'!$E$3,"")</f>
        <v/>
      </c>
      <c r="AI272" s="518" t="str">
        <f>IF(AND(_AC2="A-350",'2023'!$K$4="CA",'2023'!$K$2=AI271),'2023DATA'!$F$3,"")</f>
        <v/>
      </c>
      <c r="AJ272" s="518" t="str">
        <f>IF(AND(_AC2="A-350",'2023'!$K$4="CA",'2023'!$K$2=AJ271),'2023DATA'!$G$3,"")</f>
        <v/>
      </c>
      <c r="AK272" s="518" t="str">
        <f>IF(AND(_AC2="A-350",'2023'!$K$4="CA",'2023'!$K$2=AK271),'2023DATA'!$H$3,"")</f>
        <v/>
      </c>
      <c r="AL272" s="518" t="str">
        <f>IF(AND(_AC2="A-350",'2023'!$K$4="CA",'2023'!$K$2=AL271),'2023DATA'!$I$3,"")</f>
        <v/>
      </c>
      <c r="AM272" s="518" t="str">
        <f>IF(AND(_AC2="A-350",'2023'!$K$4="CA",'2023'!$K$2=AM271),'2023DATA'!$J$3,"")</f>
        <v/>
      </c>
      <c r="AN272" s="518" t="str">
        <f>IF(AND(_AC2="A-350",'2023'!$K$4="CA",'2023'!$K$2=AN271),'2023DATA'!$K$3,"")</f>
        <v/>
      </c>
      <c r="AO272" s="518" t="str">
        <f>IF(AND(_AC2="A-350",'2023'!$K$4="CA",'2023'!$K$2=AO271),'2023DATA'!$L$3,"")</f>
        <v/>
      </c>
      <c r="AP272" s="518" t="str">
        <f>IF(AND(_AC2="A-350",'2023'!$K$4="CA",'2023'!$K$2=AP271),'2023DATA'!$M$3,"")</f>
        <v/>
      </c>
      <c r="AQ272" s="520" t="str">
        <f>IF(AND(_AC2="A-350",'2023'!$K$4="CA",'2023'!$K$2=AQ271),'2023DATA'!$N$3,"")</f>
        <v/>
      </c>
      <c r="AR272" s="940" t="s">
        <v>39</v>
      </c>
      <c r="AS272" s="13" t="s">
        <v>61</v>
      </c>
      <c r="AT272" s="518" t="str">
        <f>IF(AND(_AC3="A-350",'2023'!$K$4="CA",'2023'!$K$2=AT271),'2023DATA'!$C$3,"")</f>
        <v/>
      </c>
      <c r="AU272" s="518" t="str">
        <f>IF(AND(_AC3="A-350",'2023'!$K$4="CA",'2023'!$K$2=AU271),'2023DATA'!$D$3,"")</f>
        <v/>
      </c>
      <c r="AV272" s="518" t="str">
        <f>IF(AND(_AC3="A-350",'2023'!$K$4="CA",'2023'!$K$2=AV271),'2023DATA'!$E$3,"")</f>
        <v/>
      </c>
      <c r="AW272" s="518" t="str">
        <f>IF(AND(_AC3="A-350",'2023'!$K$4="CA",'2023'!$K$2=AW271),'2023DATA'!$F$3,"")</f>
        <v/>
      </c>
      <c r="AX272" s="518" t="str">
        <f>IF(AND(_AC3="A-350",'2023'!$K$4="CA",'2023'!$K$2=AX271),'2023DATA'!$G$3,"")</f>
        <v/>
      </c>
      <c r="AY272" s="518" t="str">
        <f>IF(AND(_AC3="A-350",'2023'!$K$4="CA",'2023'!$K$2=AY271),'2023DATA'!$H$3,"")</f>
        <v/>
      </c>
      <c r="AZ272" s="518" t="str">
        <f>IF(AND(_AC3="A-350",'2023'!$K$4="CA",'2023'!$K$2=AZ271),'2023DATA'!$I$3,"")</f>
        <v/>
      </c>
      <c r="BA272" s="518" t="str">
        <f>IF(AND(_AC3="A-350",'2023'!$K$4="CA",'2023'!$K$2=BA271),'2023DATA'!$J$3,"")</f>
        <v/>
      </c>
      <c r="BB272" s="518" t="str">
        <f>IF(AND(_AC3="A-350",'2023'!$K$4="CA",'2023'!$K$2=BB271),'2023DATA'!$K$3,"")</f>
        <v/>
      </c>
      <c r="BC272" s="518" t="str">
        <f>IF(AND(_AC3="A-350",'2023'!$K$4="CA",'2023'!$K$2=BC271),'2023DATA'!$L$3,"")</f>
        <v/>
      </c>
      <c r="BD272" s="518" t="str">
        <f>IF(AND(_AC3="A-350",'2023'!$K$4="CA",'2023'!$K$2=BD271),'2023DATA'!$M$3,"")</f>
        <v/>
      </c>
      <c r="BE272" s="520" t="str">
        <f>IF(AND(_AC3="A-350",'2023'!$K$4="CA",'2023'!$K$2=BE271),'2023DATA'!$N$3,"")</f>
        <v/>
      </c>
      <c r="BF272" s="940" t="s">
        <v>39</v>
      </c>
      <c r="BG272" s="13" t="s">
        <v>61</v>
      </c>
      <c r="BH272" s="518" t="str">
        <f>IF(AND(_AC4="A-350",'2023'!$K$4="CA",'2023'!$K$2=BH271),'2023DATA'!$C$3,"")</f>
        <v/>
      </c>
      <c r="BI272" s="518" t="str">
        <f>IF(AND(_AC4="A-350",'2023'!$K$4="CA",'2023'!$K$2=BI271),'2023DATA'!$D$3,"")</f>
        <v/>
      </c>
      <c r="BJ272" s="518" t="str">
        <f>IF(AND(_AC4="A-350",'2023'!$K$4="CA",'2023'!$K$2=BJ271),'2023DATA'!$E$3,"")</f>
        <v/>
      </c>
      <c r="BK272" s="518" t="str">
        <f>IF(AND(_AC4="A-350",'2023'!$K$4="CA",'2023'!$K$2=BK271),'2023DATA'!$F$3,"")</f>
        <v/>
      </c>
      <c r="BL272" s="518" t="str">
        <f>IF(AND(_AC4="A-350",'2023'!$K$4="CA",'2023'!$K$2=BL271),'2023DATA'!$G$3,"")</f>
        <v/>
      </c>
      <c r="BM272" s="518" t="str">
        <f>IF(AND(_AC4="A-350",'2023'!$K$4="CA",'2023'!$K$2=BM271),'2023DATA'!$H$3,"")</f>
        <v/>
      </c>
      <c r="BN272" s="518" t="str">
        <f>IF(AND(_AC4="A-350",'2023'!$K$4="CA",'2023'!$K$2=BN271),'2023DATA'!$I$3,"")</f>
        <v/>
      </c>
      <c r="BO272" s="518" t="str">
        <f>IF(AND(_AC4="A-350",'2023'!$K$4="CA",'2023'!$K$2=BO271),'2023DATA'!$J$3,"")</f>
        <v/>
      </c>
      <c r="BP272" s="518" t="str">
        <f>IF(AND(_AC4="A-350",'2023'!$K$4="CA",'2023'!$K$2=BP271),'2023DATA'!$K$3,"")</f>
        <v/>
      </c>
      <c r="BQ272" s="518" t="str">
        <f>IF(AND(_AC4="A-350",'2023'!$K$4="CA",'2023'!$K$2=BQ271),'2023DATA'!$L$3,"")</f>
        <v/>
      </c>
      <c r="BR272" s="518" t="str">
        <f>IF(AND(_AC4="A-350",'2023'!$K$4="CA",'2023'!$K$2=BR271),'2023DATA'!$M$3,"")</f>
        <v/>
      </c>
      <c r="BS272" s="520" t="str">
        <f>IF(AND(_AC4="A-350",'2023'!$K$4="CA",'2023'!$K$2=BS271),'2023DATA'!$N$3,"")</f>
        <v/>
      </c>
      <c r="BT272" s="940" t="s">
        <v>39</v>
      </c>
      <c r="BU272" s="13" t="s">
        <v>61</v>
      </c>
      <c r="BV272" s="518" t="str">
        <f>IF(AND(_AC5="A-350",'2023'!$K$4="CA",'2023'!$K$2=BV271),'2023DATA'!$C$3,"")</f>
        <v/>
      </c>
      <c r="BW272" s="518" t="str">
        <f>IF(AND(_AC5="A-350",'2023'!$K$4="CA",'2023'!$K$2=BW271),'2023DATA'!$D$3,"")</f>
        <v/>
      </c>
      <c r="BX272" s="518" t="str">
        <f>IF(AND(_AC5="A-350",'2023'!$K$4="CA",'2023'!$K$2=BX271),'2023DATA'!$E$3,"")</f>
        <v/>
      </c>
      <c r="BY272" s="518" t="str">
        <f>IF(AND(_AC5="A-350",'2023'!$K$4="CA",'2023'!$K$2=BY271),'2023DATA'!$F$3,"")</f>
        <v/>
      </c>
      <c r="BZ272" s="518" t="str">
        <f>IF(AND(_AC5="A-350",'2023'!$K$4="CA",'2023'!$K$2=BZ271),'2023DATA'!$G$3,"")</f>
        <v/>
      </c>
      <c r="CA272" s="518" t="str">
        <f>IF(AND(_AC5="A-350",'2023'!$K$4="CA",'2023'!$K$2=CA271),'2023DATA'!$H$3,"")</f>
        <v/>
      </c>
      <c r="CB272" s="518" t="str">
        <f>IF(AND(_AC5="A-350",'2023'!$K$4="CA",'2023'!$K$2=CB271),'2023DATA'!$I$3,"")</f>
        <v/>
      </c>
      <c r="CC272" s="518" t="str">
        <f>IF(AND(_AC5="A-350",'2023'!$K$4="CA",'2023'!$K$2=CC271),'2023DATA'!$J$3,"")</f>
        <v/>
      </c>
      <c r="CD272" s="518" t="str">
        <f>IF(AND(_AC5="A-350",'2023'!$K$4="CA",'2023'!$K$2=CD271),'2023DATA'!$K$3,"")</f>
        <v/>
      </c>
      <c r="CE272" s="518" t="str">
        <f>IF(AND(_AC5="A-350",'2023'!$K$4="CA",'2023'!$K$2=CE271),'2023DATA'!$L$3,"")</f>
        <v/>
      </c>
      <c r="CF272" s="518" t="str">
        <f>IF(AND(_AC5="A-350",'2023'!$K$4="CA",'2023'!$K$2=CF271),'2023DATA'!$M$3,"")</f>
        <v/>
      </c>
      <c r="CG272" s="520" t="str">
        <f>IF(AND(_AC5="A-350",'2023'!$K$4="CA",'2023'!$K$2=CG271),'2023DATA'!$N$3,"")</f>
        <v/>
      </c>
      <c r="CH272" s="940" t="s">
        <v>39</v>
      </c>
      <c r="CI272" s="13" t="s">
        <v>61</v>
      </c>
      <c r="CJ272" s="518" t="str">
        <f>IF(AND(_AC6="A-350",'2023'!$K$4="CA",'2023'!$K$2=CJ271),'2023DATA'!$C$3,"")</f>
        <v/>
      </c>
      <c r="CK272" s="518" t="str">
        <f>IF(AND(_AC6="A-350",'2023'!$K$4="CA",'2023'!$K$2=CK271),'2023DATA'!$D$3,"")</f>
        <v/>
      </c>
      <c r="CL272" s="518" t="str">
        <f>IF(AND(_AC6="A-350",'2023'!$K$4="CA",'2023'!$K$2=CL271),'2023DATA'!$E$3,"")</f>
        <v/>
      </c>
      <c r="CM272" s="518" t="str">
        <f>IF(AND(_AC6="A-350",'2023'!$K$4="CA",'2023'!$K$2=CM271),'2023DATA'!$F$3,"")</f>
        <v/>
      </c>
      <c r="CN272" s="518" t="str">
        <f>IF(AND(_AC6="A-350",'2023'!$K$4="CA",'2023'!$K$2=CN271),'2023DATA'!$G$3,"")</f>
        <v/>
      </c>
      <c r="CO272" s="518" t="str">
        <f>IF(AND(_AC6="A-350",'2023'!$K$4="CA",'2023'!$K$2=CO271),'2023DATA'!$H$3,"")</f>
        <v/>
      </c>
      <c r="CP272" s="518" t="str">
        <f>IF(AND(_AC6="A-350",'2023'!$K$4="CA",'2023'!$K$2=CP271),'2023DATA'!$I$3,"")</f>
        <v/>
      </c>
      <c r="CQ272" s="518" t="str">
        <f>IF(AND(_AC6="A-350",'2023'!$K$4="CA",'2023'!$K$2=CQ271),'2023DATA'!$J$3,"")</f>
        <v/>
      </c>
      <c r="CR272" s="518" t="str">
        <f>IF(AND(_AC6="A-350",'2023'!$K$4="CA",'2023'!$K$2=CR271),'2023DATA'!$K$3,"")</f>
        <v/>
      </c>
      <c r="CS272" s="518" t="str">
        <f>IF(AND(_AC6="A-350",'2023'!$K$4="CA",'2023'!$K$2=CS271),'2023DATA'!$L$3,"")</f>
        <v/>
      </c>
      <c r="CT272" s="518" t="str">
        <f>IF(AND(_AC6="A-350",'2023'!$K$4="CA",'2023'!$K$2=CT271),'2023DATA'!$M$3,"")</f>
        <v/>
      </c>
      <c r="CU272" s="520" t="str">
        <f>IF(AND(_AC6="A-350",'2023'!$K$4="CA",'2023'!$K$2=CU271),'2023DATA'!$N$3,"")</f>
        <v/>
      </c>
    </row>
    <row r="273" spans="16:99" x14ac:dyDescent="0.25">
      <c r="P273" s="940"/>
      <c r="Q273" s="13" t="s">
        <v>62</v>
      </c>
      <c r="R273" s="518" t="str">
        <f>IF(AND(_AC1="A-350",'2023'!$K$4="FO",'2023'!$K$2=R271),'2023DATA'!$C$4,"")</f>
        <v/>
      </c>
      <c r="S273" s="518" t="str">
        <f>IF(AND(_AC1="A-350",'2023'!$K$4="FO",'2023'!$K$2=S271),'2023DATA'!$D$4,"")</f>
        <v/>
      </c>
      <c r="T273" s="518" t="str">
        <f>IF(AND(_AC1="A-350",'2023'!$K$4="FO",'2023'!$K$2=T271),'2023DATA'!$E$4,"")</f>
        <v/>
      </c>
      <c r="U273" s="518" t="str">
        <f>IF(AND(_AC1="A-350",'2023'!$K$4="FO",'2023'!$K$2=U271),'2023DATA'!$F$4,"")</f>
        <v/>
      </c>
      <c r="V273" s="518" t="str">
        <f>IF(AND(_AC1="A-350",'2023'!$K$4="FO",'2023'!$K$2=V271),'2023DATA'!$G$4,"")</f>
        <v/>
      </c>
      <c r="W273" s="518" t="str">
        <f>IF(AND(_AC1="A-350",'2023'!$K$4="FO",'2023'!$K$2=W271),'2023DATA'!$H$4,"")</f>
        <v/>
      </c>
      <c r="X273" s="518" t="str">
        <f>IF(AND(_AC1="A-350",'2023'!$K$4="FO",'2023'!$K$2=X271),'2023DATA'!$I$4,"")</f>
        <v/>
      </c>
      <c r="Y273" s="518" t="str">
        <f>IF(AND(_AC1="A-350",'2023'!$K$4="FO",'2023'!$K$2=Y271),'2023DATA'!$J$4,"")</f>
        <v/>
      </c>
      <c r="Z273" s="518" t="str">
        <f>IF(AND(_AC1="A-350",'2023'!$K$4="FO",'2023'!$K$2=Z271),'2023DATA'!$K$4,"")</f>
        <v/>
      </c>
      <c r="AA273" s="518" t="str">
        <f>IF(AND(_AC1="A-350",'2023'!$K$4="FO",'2023'!$K$2=AA271),'2023DATA'!$L$4,"")</f>
        <v/>
      </c>
      <c r="AB273" s="518" t="str">
        <f>IF(AND(_AC1="A-350",'2023'!$K$4="FO",'2023'!$K$2=AB271),'2023DATA'!$M$4,"")</f>
        <v/>
      </c>
      <c r="AC273" s="520" t="str">
        <f>IF(AND(_AC1="A-350",'2023'!$K$4="FO",'2023'!$K$2=AC271),'2023DATA'!$N$4,"")</f>
        <v/>
      </c>
      <c r="AD273" s="940"/>
      <c r="AE273" s="13" t="s">
        <v>62</v>
      </c>
      <c r="AF273" s="518" t="str">
        <f>IF(AND(_AC2="A-350",'2023'!$K$4="FO",'2023'!$K$2=AF271),'2023DATA'!$C$4,"")</f>
        <v/>
      </c>
      <c r="AG273" s="518" t="str">
        <f>IF(AND(_AC2="A-350",'2023'!$K$4="FO",'2023'!$K$2=AG271),'2023DATA'!$D$4,"")</f>
        <v/>
      </c>
      <c r="AH273" s="518" t="str">
        <f>IF(AND(_AC2="A-350",'2023'!$K$4="FO",'2023'!$K$2=AH271),'2023DATA'!$E$4,"")</f>
        <v/>
      </c>
      <c r="AI273" s="518" t="str">
        <f>IF(AND(_AC2="A-350",'2023'!$K$4="FO",'2023'!$K$2=AI271),'2023DATA'!$F$4,"")</f>
        <v/>
      </c>
      <c r="AJ273" s="518" t="str">
        <f>IF(AND(_AC2="A-350",'2023'!$K$4="FO",'2023'!$K$2=AJ271),'2023DATA'!$G$4,"")</f>
        <v/>
      </c>
      <c r="AK273" s="518" t="str">
        <f>IF(AND(_AC2="A-350",'2023'!$K$4="FO",'2023'!$K$2=AK271),'2023DATA'!$H$4,"")</f>
        <v/>
      </c>
      <c r="AL273" s="518" t="str">
        <f>IF(AND(_AC2="A-350",'2023'!$K$4="FO",'2023'!$K$2=AL271),'2023DATA'!$I$4,"")</f>
        <v/>
      </c>
      <c r="AM273" s="518" t="str">
        <f>IF(AND(_AC2="A-350",'2023'!$K$4="FO",'2023'!$K$2=AM271),'2023DATA'!$J$4,"")</f>
        <v/>
      </c>
      <c r="AN273" s="518" t="str">
        <f>IF(AND(_AC2="A-350",'2023'!$K$4="FO",'2023'!$K$2=AN271),'2023DATA'!$K$4,"")</f>
        <v/>
      </c>
      <c r="AO273" s="518" t="str">
        <f>IF(AND(_AC2="A-350",'2023'!$K$4="FO",'2023'!$K$2=AO271),'2023DATA'!$L$4,"")</f>
        <v/>
      </c>
      <c r="AP273" s="518" t="str">
        <f>IF(AND(_AC2="A-350",'2023'!$K$4="FO",'2023'!$K$2=AP271),'2023DATA'!$M$4,"")</f>
        <v/>
      </c>
      <c r="AQ273" s="520" t="str">
        <f>IF(AND(_AC2="A-350",'2023'!$K$4="FO",'2023'!$K$2=AQ271),'2023DATA'!$N$4,"")</f>
        <v/>
      </c>
      <c r="AR273" s="940"/>
      <c r="AS273" s="13" t="s">
        <v>62</v>
      </c>
      <c r="AT273" s="518" t="str">
        <f>IF(AND(_AC3="A-350",'2023'!$K$4="FO",'2023'!$K$2=AT271),'2023DATA'!$C$4,"")</f>
        <v/>
      </c>
      <c r="AU273" s="518" t="str">
        <f>IF(AND(_AC3="A-350",'2023'!$K$4="FO",'2023'!$K$2=AU271),'2023DATA'!$D$4,"")</f>
        <v/>
      </c>
      <c r="AV273" s="518" t="str">
        <f>IF(AND(_AC3="A-350",'2023'!$K$4="FO",'2023'!$K$2=AV271),'2023DATA'!$E$4,"")</f>
        <v/>
      </c>
      <c r="AW273" s="518" t="str">
        <f>IF(AND(_AC3="A-350",'2023'!$K$4="FO",'2023'!$K$2=AW271),'2023DATA'!$F$4,"")</f>
        <v/>
      </c>
      <c r="AX273" s="518" t="str">
        <f>IF(AND(_AC3="A-350",'2023'!$K$4="FO",'2023'!$K$2=AX271),'2023DATA'!$G$4,"")</f>
        <v/>
      </c>
      <c r="AY273" s="518" t="str">
        <f>IF(AND(_AC3="A-350",'2023'!$K$4="FO",'2023'!$K$2=AY271),'2023DATA'!$H$4,"")</f>
        <v/>
      </c>
      <c r="AZ273" s="518" t="str">
        <f>IF(AND(_AC3="A-350",'2023'!$K$4="FO",'2023'!$K$2=AZ271),'2023DATA'!$I$4,"")</f>
        <v/>
      </c>
      <c r="BA273" s="518" t="str">
        <f>IF(AND(_AC3="A-350",'2023'!$K$4="FO",'2023'!$K$2=BA271),'2023DATA'!$J$4,"")</f>
        <v/>
      </c>
      <c r="BB273" s="518" t="str">
        <f>IF(AND(_AC3="A-350",'2023'!$K$4="FO",'2023'!$K$2=BB271),'2023DATA'!$K$4,"")</f>
        <v/>
      </c>
      <c r="BC273" s="518" t="str">
        <f>IF(AND(_AC3="A-350",'2023'!$K$4="FO",'2023'!$K$2=BC271),'2023DATA'!$L$4,"")</f>
        <v/>
      </c>
      <c r="BD273" s="518" t="str">
        <f>IF(AND(_AC3="A-350",'2023'!$K$4="FO",'2023'!$K$2=BD271),'2023DATA'!$M$4,"")</f>
        <v/>
      </c>
      <c r="BE273" s="520" t="str">
        <f>IF(AND(_AC3="A-350",'2023'!$K$4="FO",'2023'!$K$2=BE271),'2023DATA'!$N$4,"")</f>
        <v/>
      </c>
      <c r="BF273" s="940"/>
      <c r="BG273" s="13" t="s">
        <v>62</v>
      </c>
      <c r="BH273" s="518" t="str">
        <f>IF(AND(_AC4="A-350",'2023'!$K$4="FO",'2023'!$K$2=BH271),'2023DATA'!$C$4,"")</f>
        <v/>
      </c>
      <c r="BI273" s="518" t="str">
        <f>IF(AND(_AC4="A-350",'2023'!$K$4="FO",'2023'!$K$2=BI271),'2023DATA'!$D$4,"")</f>
        <v/>
      </c>
      <c r="BJ273" s="518" t="str">
        <f>IF(AND(_AC4="A-350",'2023'!$K$4="FO",'2023'!$K$2=BJ271),'2023DATA'!$E$4,"")</f>
        <v/>
      </c>
      <c r="BK273" s="518" t="str">
        <f>IF(AND(_AC4="A-350",'2023'!$K$4="FO",'2023'!$K$2=BK271),'2023DATA'!$F$4,"")</f>
        <v/>
      </c>
      <c r="BL273" s="518" t="str">
        <f>IF(AND(_AC4="A-350",'2023'!$K$4="FO",'2023'!$K$2=BL271),'2023DATA'!$G$4,"")</f>
        <v/>
      </c>
      <c r="BM273" s="518" t="str">
        <f>IF(AND(_AC4="A-350",'2023'!$K$4="FO",'2023'!$K$2=BM271),'2023DATA'!$H$4,"")</f>
        <v/>
      </c>
      <c r="BN273" s="518" t="str">
        <f>IF(AND(_AC4="A-350",'2023'!$K$4="FO",'2023'!$K$2=BN271),'2023DATA'!$I$4,"")</f>
        <v/>
      </c>
      <c r="BO273" s="518" t="str">
        <f>IF(AND(_AC4="A-350",'2023'!$K$4="FO",'2023'!$K$2=BO271),'2023DATA'!$J$4,"")</f>
        <v/>
      </c>
      <c r="BP273" s="518" t="str">
        <f>IF(AND(_AC4="A-350",'2023'!$K$4="FO",'2023'!$K$2=BP271),'2023DATA'!$K$4,"")</f>
        <v/>
      </c>
      <c r="BQ273" s="518" t="str">
        <f>IF(AND(_AC4="A-350",'2023'!$K$4="FO",'2023'!$K$2=BQ271),'2023DATA'!$L$4,"")</f>
        <v/>
      </c>
      <c r="BR273" s="518" t="str">
        <f>IF(AND(_AC4="A-350",'2023'!$K$4="FO",'2023'!$K$2=BR271),'2023DATA'!$M$4,"")</f>
        <v/>
      </c>
      <c r="BS273" s="520" t="str">
        <f>IF(AND(_AC4="A-350",'2023'!$K$4="FO",'2023'!$K$2=BS271),'2023DATA'!$N$4,"")</f>
        <v/>
      </c>
      <c r="BT273" s="940"/>
      <c r="BU273" s="13" t="s">
        <v>62</v>
      </c>
      <c r="BV273" s="518" t="str">
        <f>IF(AND(_AC5="A-350",'2023'!$K$4="FO",'2023'!$K$2=BV271),'2023DATA'!$C$4,"")</f>
        <v/>
      </c>
      <c r="BW273" s="518" t="str">
        <f>IF(AND(_AC5="A-350",'2023'!$K$4="FO",'2023'!$K$2=BW271),'2023DATA'!$D$4,"")</f>
        <v/>
      </c>
      <c r="BX273" s="518" t="str">
        <f>IF(AND(_AC5="A-350",'2023'!$K$4="FO",'2023'!$K$2=BX271),'2023DATA'!$E$4,"")</f>
        <v/>
      </c>
      <c r="BY273" s="518" t="str">
        <f>IF(AND(_AC5="A-350",'2023'!$K$4="FO",'2023'!$K$2=BY271),'2023DATA'!$F$4,"")</f>
        <v/>
      </c>
      <c r="BZ273" s="518" t="str">
        <f>IF(AND(_AC5="A-350",'2023'!$K$4="FO",'2023'!$K$2=BZ271),'2023DATA'!$G$4,"")</f>
        <v/>
      </c>
      <c r="CA273" s="518" t="str">
        <f>IF(AND(_AC5="A-350",'2023'!$K$4="FO",'2023'!$K$2=CA271),'2023DATA'!$H$4,"")</f>
        <v/>
      </c>
      <c r="CB273" s="518" t="str">
        <f>IF(AND(_AC5="A-350",'2023'!$K$4="FO",'2023'!$K$2=CB271),'2023DATA'!$I$4,"")</f>
        <v/>
      </c>
      <c r="CC273" s="518" t="str">
        <f>IF(AND(_AC5="A-350",'2023'!$K$4="FO",'2023'!$K$2=CC271),'2023DATA'!$J$4,"")</f>
        <v/>
      </c>
      <c r="CD273" s="518" t="str">
        <f>IF(AND(_AC5="A-350",'2023'!$K$4="FO",'2023'!$K$2=CD271),'2023DATA'!$K$4,"")</f>
        <v/>
      </c>
      <c r="CE273" s="518" t="str">
        <f>IF(AND(_AC5="A-350",'2023'!$K$4="FO",'2023'!$K$2=CE271),'2023DATA'!$L$4,"")</f>
        <v/>
      </c>
      <c r="CF273" s="518" t="str">
        <f>IF(AND(_AC5="A-350",'2023'!$K$4="FO",'2023'!$K$2=CF271),'2023DATA'!$M$4,"")</f>
        <v/>
      </c>
      <c r="CG273" s="520" t="str">
        <f>IF(AND(_AC5="A-350",'2023'!$K$4="FO",'2023'!$K$2=CG271),'2023DATA'!$N$4,"")</f>
        <v/>
      </c>
      <c r="CH273" s="940"/>
      <c r="CI273" s="13" t="s">
        <v>62</v>
      </c>
      <c r="CJ273" s="518" t="str">
        <f>IF(AND(_AC6="A-350",'2023'!$K$4="FO",'2023'!$K$2=CJ271),'2023DATA'!$C$4,"")</f>
        <v/>
      </c>
      <c r="CK273" s="518" t="str">
        <f>IF(AND(_AC6="A-350",'2023'!$K$4="FO",'2023'!$K$2=CK271),'2023DATA'!$D$4,"")</f>
        <v/>
      </c>
      <c r="CL273" s="518" t="str">
        <f>IF(AND(_AC6="A-350",'2023'!$K$4="FO",'2023'!$K$2=CL271),'2023DATA'!$E$4,"")</f>
        <v/>
      </c>
      <c r="CM273" s="518" t="str">
        <f>IF(AND(_AC6="A-350",'2023'!$K$4="FO",'2023'!$K$2=CM271),'2023DATA'!$F$4,"")</f>
        <v/>
      </c>
      <c r="CN273" s="518" t="str">
        <f>IF(AND(_AC6="A-350",'2023'!$K$4="FO",'2023'!$K$2=CN271),'2023DATA'!$G$4,"")</f>
        <v/>
      </c>
      <c r="CO273" s="518" t="str">
        <f>IF(AND(_AC6="A-350",'2023'!$K$4="FO",'2023'!$K$2=CO271),'2023DATA'!$H$4,"")</f>
        <v/>
      </c>
      <c r="CP273" s="518" t="str">
        <f>IF(AND(_AC6="A-350",'2023'!$K$4="FO",'2023'!$K$2=CP271),'2023DATA'!$I$4,"")</f>
        <v/>
      </c>
      <c r="CQ273" s="518" t="str">
        <f>IF(AND(_AC6="A-350",'2023'!$K$4="FO",'2023'!$K$2=CQ271),'2023DATA'!$J$4,"")</f>
        <v/>
      </c>
      <c r="CR273" s="518" t="str">
        <f>IF(AND(_AC6="A-350",'2023'!$K$4="FO",'2023'!$K$2=CR271),'2023DATA'!$K$4,"")</f>
        <v/>
      </c>
      <c r="CS273" s="518" t="str">
        <f>IF(AND(_AC6="A-350",'2023'!$K$4="FO",'2023'!$K$2=CS271),'2023DATA'!$L$4,"")</f>
        <v/>
      </c>
      <c r="CT273" s="518" t="str">
        <f>IF(AND(_AC6="A-350",'2023'!$K$4="FO",'2023'!$K$2=CT271),'2023DATA'!$M$4,"")</f>
        <v/>
      </c>
      <c r="CU273" s="520" t="str">
        <f>IF(AND(_AC6="A-350",'2023'!$K$4="FO",'2023'!$K$2=CU271),'2023DATA'!$N$4,"")</f>
        <v/>
      </c>
    </row>
    <row r="274" spans="16:99" x14ac:dyDescent="0.25">
      <c r="P274" s="940" t="s">
        <v>65</v>
      </c>
      <c r="Q274" s="13" t="s">
        <v>61</v>
      </c>
      <c r="R274" s="518" t="str">
        <f>IF(AND(_AC1="A-330-900",'2023'!$K$4="CA",'2023'!$K$2=R271),'2023DATA'!$C$5,"")</f>
        <v/>
      </c>
      <c r="S274" s="518" t="str">
        <f>IF(AND(_AC1="A-330-900",'2023'!$K$4="CA",'2023'!$K$2=S271),'2023DATA'!$D$5,"")</f>
        <v/>
      </c>
      <c r="T274" s="518" t="str">
        <f>IF(AND(_AC1="A-330-900",'2023'!$K$4="CA",'2023'!$K$2=T271),'2023DATA'!$E$5,"")</f>
        <v/>
      </c>
      <c r="U274" s="518" t="str">
        <f>IF(AND(_AC1="A-330-900",'2023'!$K$4="CA",'2023'!$K$2=U271),'2023DATA'!$F$5,"")</f>
        <v/>
      </c>
      <c r="V274" s="518" t="str">
        <f>IF(AND(_AC1="A-330-900",'2023'!$K$4="CA",'2023'!$K$2=V271),'2023DATA'!$G$5,"")</f>
        <v/>
      </c>
      <c r="W274" s="518" t="str">
        <f>IF(AND(_AC1="A-330-900",'2023'!$K$4="CA",'2023'!$K$2=W271),'2023DATA'!$H$5,"")</f>
        <v/>
      </c>
      <c r="X274" s="518" t="str">
        <f>IF(AND(_AC1="A-330-900",'2023'!$K$4="CA",'2023'!$K$2=X271),'2023DATA'!$I$5,"")</f>
        <v/>
      </c>
      <c r="Y274" s="518" t="str">
        <f>IF(AND(_AC1="A-330-900",'2023'!$K$4="CA",'2023'!$K$2=Y271),'2023DATA'!$J$5,"")</f>
        <v/>
      </c>
      <c r="Z274" s="518" t="str">
        <f>IF(AND(_AC1="A-330-900",'2023'!$K$4="CA",'2023'!$K$2=Z271),'2023DATA'!$K$5,"")</f>
        <v/>
      </c>
      <c r="AA274" s="518" t="str">
        <f>IF(AND(_AC1="A-330-900",'2023'!$K$4="CA",'2023'!$K$2=AA271),'2023DATA'!$L$5,"")</f>
        <v/>
      </c>
      <c r="AB274" s="518" t="str">
        <f>IF(AND(_AC1="A-330-900",'2023'!$K$4="CA",'2023'!$K$2=AB271),'2023DATA'!$M$5,"")</f>
        <v/>
      </c>
      <c r="AC274" s="520" t="str">
        <f>IF(AND(_AC1="A-330-900",'2023'!$K$4="CA",'2023'!$K$2=AC271),'2023DATA'!$N$5,"")</f>
        <v/>
      </c>
      <c r="AD274" s="940" t="s">
        <v>65</v>
      </c>
      <c r="AE274" s="13" t="s">
        <v>61</v>
      </c>
      <c r="AF274" s="518" t="str">
        <f>IF(AND(_AC2="A-330-900",'2023'!$K$4="CA",'2023'!$K$2=AF271),'2023DATA'!$C$5,"")</f>
        <v/>
      </c>
      <c r="AG274" s="518" t="str">
        <f>IF(AND(_AC2="A-330-900",'2023'!$K$4="CA",'2023'!$K$2=AG271),'2023DATA'!$D$5,"")</f>
        <v/>
      </c>
      <c r="AH274" s="518" t="str">
        <f>IF(AND(_AC2="A-330-900",'2023'!$K$4="CA",'2023'!$K$2=AH271),'2023DATA'!$E$5,"")</f>
        <v/>
      </c>
      <c r="AI274" s="518" t="str">
        <f>IF(AND(_AC2="A-330-900",'2023'!$K$4="CA",'2023'!$K$2=AI271),'2023DATA'!$F$5,"")</f>
        <v/>
      </c>
      <c r="AJ274" s="518" t="str">
        <f>IF(AND(_AC2="A-330-900",'2023'!$K$4="CA",'2023'!$K$2=AJ271),'2023DATA'!$G$5,"")</f>
        <v/>
      </c>
      <c r="AK274" s="518" t="str">
        <f>IF(AND(_AC2="A-330-900",'2023'!$K$4="CA",'2023'!$K$2=AK271),'2023DATA'!$H$5,"")</f>
        <v/>
      </c>
      <c r="AL274" s="518" t="str">
        <f>IF(AND(_AC2="A-330-900",'2023'!$K$4="CA",'2023'!$K$2=AL271),'2023DATA'!$I$5,"")</f>
        <v/>
      </c>
      <c r="AM274" s="518" t="str">
        <f>IF(AND(_AC2="A-330-900",'2023'!$K$4="CA",'2023'!$K$2=AM271),'2023DATA'!$J$5,"")</f>
        <v/>
      </c>
      <c r="AN274" s="518" t="str">
        <f>IF(AND(_AC2="A-330-900",'2023'!$K$4="CA",'2023'!$K$2=AN271),'2023DATA'!$K$5,"")</f>
        <v/>
      </c>
      <c r="AO274" s="518" t="str">
        <f>IF(AND(_AC2="A-330-900",'2023'!$K$4="CA",'2023'!$K$2=AO271),'2023DATA'!$L$5,"")</f>
        <v/>
      </c>
      <c r="AP274" s="518" t="str">
        <f>IF(AND(_AC2="A-330-900",'2023'!$K$4="CA",'2023'!$K$2=AP271),'2023DATA'!$M$5,"")</f>
        <v/>
      </c>
      <c r="AQ274" s="520" t="str">
        <f>IF(AND(_AC2="A-330-900",'2023'!$K$4="CA",'2023'!$K$2=AQ271),'2023DATA'!$N$5,"")</f>
        <v/>
      </c>
      <c r="AR274" s="940" t="s">
        <v>65</v>
      </c>
      <c r="AS274" s="13" t="s">
        <v>61</v>
      </c>
      <c r="AT274" s="518" t="str">
        <f>IF(AND(_AC3="A-330-900",'2023'!$K$4="CA",'2023'!$K$2=AT271),'2023DATA'!$C$5,"")</f>
        <v/>
      </c>
      <c r="AU274" s="518" t="str">
        <f>IF(AND(_AC3="A-330-900",'2023'!$K$4="CA",'2023'!$K$2=AU271),'2023DATA'!$D$5,"")</f>
        <v/>
      </c>
      <c r="AV274" s="518" t="str">
        <f>IF(AND(_AC3="A-330-900",'2023'!$K$4="CA",'2023'!$K$2=AV271),'2023DATA'!$E$5,"")</f>
        <v/>
      </c>
      <c r="AW274" s="518" t="str">
        <f>IF(AND(_AC3="A-330-900",'2023'!$K$4="CA",'2023'!$K$2=AW271),'2023DATA'!$F$5,"")</f>
        <v/>
      </c>
      <c r="AX274" s="518" t="str">
        <f>IF(AND(_AC3="A-330-900",'2023'!$K$4="CA",'2023'!$K$2=AX271),'2023DATA'!$G$5,"")</f>
        <v/>
      </c>
      <c r="AY274" s="518" t="str">
        <f>IF(AND(_AC3="A-330-900",'2023'!$K$4="CA",'2023'!$K$2=AY271),'2023DATA'!$H$5,"")</f>
        <v/>
      </c>
      <c r="AZ274" s="518" t="str">
        <f>IF(AND(_AC3="A-330-900",'2023'!$K$4="CA",'2023'!$K$2=AZ271),'2023DATA'!$I$5,"")</f>
        <v/>
      </c>
      <c r="BA274" s="518" t="str">
        <f>IF(AND(_AC3="A-330-900",'2023'!$K$4="CA",'2023'!$K$2=BA271),'2023DATA'!$J$5,"")</f>
        <v/>
      </c>
      <c r="BB274" s="518" t="str">
        <f>IF(AND(_AC3="A-330-900",'2023'!$K$4="CA",'2023'!$K$2=BB271),'2023DATA'!$K$5,"")</f>
        <v/>
      </c>
      <c r="BC274" s="518" t="str">
        <f>IF(AND(_AC3="A-330-900",'2023'!$K$4="CA",'2023'!$K$2=BC271),'2023DATA'!$L$5,"")</f>
        <v/>
      </c>
      <c r="BD274" s="518" t="str">
        <f>IF(AND(_AC3="A-330-900",'2023'!$K$4="CA",'2023'!$K$2=BD271),'2023DATA'!$M$5,"")</f>
        <v/>
      </c>
      <c r="BE274" s="520" t="str">
        <f>IF(AND(_AC3="A-330-900",'2023'!$K$4="CA",'2023'!$K$2=BE271),'2023DATA'!$N$5,"")</f>
        <v/>
      </c>
      <c r="BF274" s="940" t="s">
        <v>65</v>
      </c>
      <c r="BG274" s="13" t="s">
        <v>61</v>
      </c>
      <c r="BH274" s="518" t="str">
        <f>IF(AND(_AC4="A-330-900",'2023'!$K$4="CA",'2023'!$K$2=BH271),'2023DATA'!$C$5,"")</f>
        <v/>
      </c>
      <c r="BI274" s="518" t="str">
        <f>IF(AND(_AC4="A-330-900",'2023'!$K$4="CA",'2023'!$K$2=BI271),'2023DATA'!$D$5,"")</f>
        <v/>
      </c>
      <c r="BJ274" s="518" t="str">
        <f>IF(AND(_AC4="A-330-900",'2023'!$K$4="CA",'2023'!$K$2=BJ271),'2023DATA'!$E$5,"")</f>
        <v/>
      </c>
      <c r="BK274" s="518" t="str">
        <f>IF(AND(_AC4="A-330-900",'2023'!$K$4="CA",'2023'!$K$2=BK271),'2023DATA'!$F$5,"")</f>
        <v/>
      </c>
      <c r="BL274" s="518" t="str">
        <f>IF(AND(_AC4="A-330-900",'2023'!$K$4="CA",'2023'!$K$2=BL271),'2023DATA'!$G$5,"")</f>
        <v/>
      </c>
      <c r="BM274" s="518" t="str">
        <f>IF(AND(_AC4="A-330-900",'2023'!$K$4="CA",'2023'!$K$2=BM271),'2023DATA'!$H$5,"")</f>
        <v/>
      </c>
      <c r="BN274" s="518" t="str">
        <f>IF(AND(_AC4="A-330-900",'2023'!$K$4="CA",'2023'!$K$2=BN271),'2023DATA'!$I$5,"")</f>
        <v/>
      </c>
      <c r="BO274" s="518" t="str">
        <f>IF(AND(_AC4="A-330-900",'2023'!$K$4="CA",'2023'!$K$2=BO271),'2023DATA'!$J$5,"")</f>
        <v/>
      </c>
      <c r="BP274" s="518" t="str">
        <f>IF(AND(_AC4="A-330-900",'2023'!$K$4="CA",'2023'!$K$2=BP271),'2023DATA'!$K$5,"")</f>
        <v/>
      </c>
      <c r="BQ274" s="518" t="str">
        <f>IF(AND(_AC4="A-330-900",'2023'!$K$4="CA",'2023'!$K$2=BQ271),'2023DATA'!$L$5,"")</f>
        <v/>
      </c>
      <c r="BR274" s="518" t="str">
        <f>IF(AND(_AC4="A-330-900",'2023'!$K$4="CA",'2023'!$K$2=BR271),'2023DATA'!$M$5,"")</f>
        <v/>
      </c>
      <c r="BS274" s="520" t="str">
        <f>IF(AND(_AC4="A-330-900",'2023'!$K$4="CA",'2023'!$K$2=BS271),'2023DATA'!$N$5,"")</f>
        <v/>
      </c>
      <c r="BT274" s="940" t="s">
        <v>65</v>
      </c>
      <c r="BU274" s="13" t="s">
        <v>61</v>
      </c>
      <c r="BV274" s="518" t="str">
        <f>IF(AND(_AC5="A-330-900",'2023'!$K$4="CA",'2023'!$K$2=BV271),'2023DATA'!$C$5,"")</f>
        <v/>
      </c>
      <c r="BW274" s="518" t="str">
        <f>IF(AND(_AC5="A-330-900",'2023'!$K$4="CA",'2023'!$K$2=BW271),'2023DATA'!$D$5,"")</f>
        <v/>
      </c>
      <c r="BX274" s="518" t="str">
        <f>IF(AND(_AC5="A-330-900",'2023'!$K$4="CA",'2023'!$K$2=BX271),'2023DATA'!$E$5,"")</f>
        <v/>
      </c>
      <c r="BY274" s="518" t="str">
        <f>IF(AND(_AC5="A-330-900",'2023'!$K$4="CA",'2023'!$K$2=BY271),'2023DATA'!$F$5,"")</f>
        <v/>
      </c>
      <c r="BZ274" s="518" t="str">
        <f>IF(AND(_AC5="A-330-900",'2023'!$K$4="CA",'2023'!$K$2=BZ271),'2023DATA'!$G$5,"")</f>
        <v/>
      </c>
      <c r="CA274" s="518" t="str">
        <f>IF(AND(_AC5="A-330-900",'2023'!$K$4="CA",'2023'!$K$2=CA271),'2023DATA'!$H$5,"")</f>
        <v/>
      </c>
      <c r="CB274" s="518" t="str">
        <f>IF(AND(_AC5="A-330-900",'2023'!$K$4="CA",'2023'!$K$2=CB271),'2023DATA'!$I$5,"")</f>
        <v/>
      </c>
      <c r="CC274" s="518" t="str">
        <f>IF(AND(_AC5="A-330-900",'2023'!$K$4="CA",'2023'!$K$2=CC271),'2023DATA'!$J$5,"")</f>
        <v/>
      </c>
      <c r="CD274" s="518" t="str">
        <f>IF(AND(_AC5="A-330-900",'2023'!$K$4="CA",'2023'!$K$2=CD271),'2023DATA'!$K$5,"")</f>
        <v/>
      </c>
      <c r="CE274" s="518" t="str">
        <f>IF(AND(_AC5="A-330-900",'2023'!$K$4="CA",'2023'!$K$2=CE271),'2023DATA'!$L$5,"")</f>
        <v/>
      </c>
      <c r="CF274" s="518" t="str">
        <f>IF(AND(_AC5="A-330-900",'2023'!$K$4="CA",'2023'!$K$2=CF271),'2023DATA'!$M$5,"")</f>
        <v/>
      </c>
      <c r="CG274" s="520" t="str">
        <f>IF(AND(_AC5="A-330-900",'2023'!$K$4="CA",'2023'!$K$2=CG271),'2023DATA'!$N$5,"")</f>
        <v/>
      </c>
      <c r="CH274" s="940" t="s">
        <v>65</v>
      </c>
      <c r="CI274" s="13" t="s">
        <v>61</v>
      </c>
      <c r="CJ274" s="518" t="str">
        <f>IF(AND(_AC6="A-330-900",'2023'!$K$4="CA",'2023'!$K$2=CJ271),'2023DATA'!$C$5,"")</f>
        <v/>
      </c>
      <c r="CK274" s="518" t="str">
        <f>IF(AND(_AC6="A-330-900",'2023'!$K$4="CA",'2023'!$K$2=CK271),'2023DATA'!$D$5,"")</f>
        <v/>
      </c>
      <c r="CL274" s="518" t="str">
        <f>IF(AND(_AC6="A-330-900",'2023'!$K$4="CA",'2023'!$K$2=CL271),'2023DATA'!$E$5,"")</f>
        <v/>
      </c>
      <c r="CM274" s="518" t="str">
        <f>IF(AND(_AC6="A-330-900",'2023'!$K$4="CA",'2023'!$K$2=CM271),'2023DATA'!$F$5,"")</f>
        <v/>
      </c>
      <c r="CN274" s="518" t="str">
        <f>IF(AND(_AC6="A-330-900",'2023'!$K$4="CA",'2023'!$K$2=CN271),'2023DATA'!$G$5,"")</f>
        <v/>
      </c>
      <c r="CO274" s="518" t="str">
        <f>IF(AND(_AC6="A-330-900",'2023'!$K$4="CA",'2023'!$K$2=CO271),'2023DATA'!$H$5,"")</f>
        <v/>
      </c>
      <c r="CP274" s="518" t="str">
        <f>IF(AND(_AC6="A-330-900",'2023'!$K$4="CA",'2023'!$K$2=CP271),'2023DATA'!$I$5,"")</f>
        <v/>
      </c>
      <c r="CQ274" s="518" t="str">
        <f>IF(AND(_AC6="A-330-900",'2023'!$K$4="CA",'2023'!$K$2=CQ271),'2023DATA'!$J$5,"")</f>
        <v/>
      </c>
      <c r="CR274" s="518" t="str">
        <f>IF(AND(_AC6="A-330-900",'2023'!$K$4="CA",'2023'!$K$2=CR271),'2023DATA'!$K$5,"")</f>
        <v/>
      </c>
      <c r="CS274" s="518" t="str">
        <f>IF(AND(_AC6="A-330-900",'2023'!$K$4="CA",'2023'!$K$2=CS271),'2023DATA'!$L$5,"")</f>
        <v/>
      </c>
      <c r="CT274" s="518" t="str">
        <f>IF(AND(_AC6="A-330-900",'2023'!$K$4="CA",'2023'!$K$2=CT271),'2023DATA'!$M$5,"")</f>
        <v/>
      </c>
      <c r="CU274" s="520" t="str">
        <f>IF(AND(_AC6="A-330-900",'2023'!$K$4="CA",'2023'!$K$2=CU271),'2023DATA'!$N$5,"")</f>
        <v/>
      </c>
    </row>
    <row r="275" spans="16:99" x14ac:dyDescent="0.25">
      <c r="P275" s="940"/>
      <c r="Q275" s="13" t="s">
        <v>62</v>
      </c>
      <c r="R275" s="518" t="str">
        <f>IF(AND(_AC1="A-330-900",'2023'!$K$4="FO",'2023'!$K$2=R271),'2023DATA'!$C$6,"")</f>
        <v/>
      </c>
      <c r="S275" s="518" t="str">
        <f>IF(AND(_AC1="A-330-900",'2023'!$K$4="FO",'2023'!$K$2=S271),'2023DATA'!$D$6,"")</f>
        <v/>
      </c>
      <c r="T275" s="518" t="str">
        <f>IF(AND(_AC1="A-330-900",'2023'!$K$4="FO",'2023'!$K$2=T271),'2023DATA'!$E$6,"")</f>
        <v/>
      </c>
      <c r="U275" s="518" t="str">
        <f>IF(AND(_AC1="A-330-900",'2023'!$K$4="FO",'2023'!$K$2=U271),'2023DATA'!$F$6,"")</f>
        <v/>
      </c>
      <c r="V275" s="518" t="str">
        <f>IF(AND(_AC1="A-330-900",'2023'!$K$4="FO",'2023'!$K$2=V271),'2023DATA'!$G$6,"")</f>
        <v/>
      </c>
      <c r="W275" s="518" t="str">
        <f>IF(AND(_AC1="A-330-900",'2023'!$K$4="FO",'2023'!$K$2=W271),'2023DATA'!$H$6,"")</f>
        <v/>
      </c>
      <c r="X275" s="518" t="str">
        <f>IF(AND(_AC1="A-330-900",'2023'!$K$4="FO",'2023'!$K$2=X271),'2023DATA'!$I$6,"")</f>
        <v/>
      </c>
      <c r="Y275" s="518" t="str">
        <f>IF(AND(_AC1="A-330-900",'2023'!$K$4="FO",'2023'!$K$2=Y271),'2023DATA'!$J$6,"")</f>
        <v/>
      </c>
      <c r="Z275" s="518" t="str">
        <f>IF(AND(_AC1="A-330-900",'2023'!$K$4="FO",'2023'!$K$2=Z271),'2023DATA'!$K$6,"")</f>
        <v/>
      </c>
      <c r="AA275" s="518" t="str">
        <f>IF(AND(_AC1="A-330-900",'2023'!$K$4="FO",'2023'!$K$2=AA271),'2023DATA'!$L$6,"")</f>
        <v/>
      </c>
      <c r="AB275" s="518" t="str">
        <f>IF(AND(_AC1="A-330-900",'2023'!$K$4="FO",'2023'!$K$2=AB271),'2023DATA'!$M$6,"")</f>
        <v/>
      </c>
      <c r="AC275" s="520" t="str">
        <f>IF(AND(_AC1="A-330-900",'2023'!$K$4="FO",'2023'!$K$2=AC271),'2023DATA'!$N$6,"")</f>
        <v/>
      </c>
      <c r="AD275" s="940"/>
      <c r="AE275" s="13" t="s">
        <v>62</v>
      </c>
      <c r="AF275" s="518" t="str">
        <f>IF(AND(_AC2="A-330-900",'2023'!$K$4="FO",'2023'!$K$2=AF271),'2023DATA'!$C$6,"")</f>
        <v/>
      </c>
      <c r="AG275" s="518" t="str">
        <f>IF(AND(_AC2="A-330-900",'2023'!$K$4="FO",'2023'!$K$2=AG271),'2023DATA'!$D$6,"")</f>
        <v/>
      </c>
      <c r="AH275" s="518" t="str">
        <f>IF(AND(_AC2="A-330-900",'2023'!$K$4="FO",'2023'!$K$2=AH271),'2023DATA'!$E$6,"")</f>
        <v/>
      </c>
      <c r="AI275" s="518" t="str">
        <f>IF(AND(_AC2="A-330-900",'2023'!$K$4="FO",'2023'!$K$2=AI271),'2023DATA'!$F$6,"")</f>
        <v/>
      </c>
      <c r="AJ275" s="518" t="str">
        <f>IF(AND(_AC2="A-330-900",'2023'!$K$4="FO",'2023'!$K$2=AJ271),'2023DATA'!$G$6,"")</f>
        <v/>
      </c>
      <c r="AK275" s="518" t="str">
        <f>IF(AND(_AC2="A-330-900",'2023'!$K$4="FO",'2023'!$K$2=AK271),'2023DATA'!$H$6,"")</f>
        <v/>
      </c>
      <c r="AL275" s="518" t="str">
        <f>IF(AND(_AC2="A-330-900",'2023'!$K$4="FO",'2023'!$K$2=AL271),'2023DATA'!$I$6,"")</f>
        <v/>
      </c>
      <c r="AM275" s="518" t="str">
        <f>IF(AND(_AC2="A-330-900",'2023'!$K$4="FO",'2023'!$K$2=AM271),'2023DATA'!$J$6,"")</f>
        <v/>
      </c>
      <c r="AN275" s="518" t="str">
        <f>IF(AND(_AC2="A-330-900",'2023'!$K$4="FO",'2023'!$K$2=AN271),'2023DATA'!$K$6,"")</f>
        <v/>
      </c>
      <c r="AO275" s="518" t="str">
        <f>IF(AND(_AC2="A-330-900",'2023'!$K$4="FO",'2023'!$K$2=AO271),'2023DATA'!$L$6,"")</f>
        <v/>
      </c>
      <c r="AP275" s="518" t="str">
        <f>IF(AND(_AC2="A-330-900",'2023'!$K$4="FO",'2023'!$K$2=AP271),'2023DATA'!$M$6,"")</f>
        <v/>
      </c>
      <c r="AQ275" s="520" t="str">
        <f>IF(AND(_AC2="A-330-900",'2023'!$K$4="FO",'2023'!$K$2=AQ271),'2023DATA'!$N$6,"")</f>
        <v/>
      </c>
      <c r="AR275" s="940"/>
      <c r="AS275" s="13" t="s">
        <v>62</v>
      </c>
      <c r="AT275" s="518" t="str">
        <f>IF(AND(_AC3="A-330-900",'2023'!$K$4="FO",'2023'!$K$2=AT271),'2023DATA'!$C$6,"")</f>
        <v/>
      </c>
      <c r="AU275" s="518" t="str">
        <f>IF(AND(_AC3="A-330-900",'2023'!$K$4="FO",'2023'!$K$2=AU271),'2023DATA'!$D$6,"")</f>
        <v/>
      </c>
      <c r="AV275" s="518" t="str">
        <f>IF(AND(_AC3="A-330-900",'2023'!$K$4="FO",'2023'!$K$2=AV271),'2023DATA'!$E$6,"")</f>
        <v/>
      </c>
      <c r="AW275" s="518" t="str">
        <f>IF(AND(_AC3="A-330-900",'2023'!$K$4="FO",'2023'!$K$2=AW271),'2023DATA'!$F$6,"")</f>
        <v/>
      </c>
      <c r="AX275" s="518" t="str">
        <f>IF(AND(_AC3="A-330-900",'2023'!$K$4="FO",'2023'!$K$2=AX271),'2023DATA'!$G$6,"")</f>
        <v/>
      </c>
      <c r="AY275" s="518" t="str">
        <f>IF(AND(_AC3="A-330-900",'2023'!$K$4="FO",'2023'!$K$2=AY271),'2023DATA'!$H$6,"")</f>
        <v/>
      </c>
      <c r="AZ275" s="518" t="str">
        <f>IF(AND(_AC3="A-330-900",'2023'!$K$4="FO",'2023'!$K$2=AZ271),'2023DATA'!$I$6,"")</f>
        <v/>
      </c>
      <c r="BA275" s="518" t="str">
        <f>IF(AND(_AC3="A-330-900",'2023'!$K$4="FO",'2023'!$K$2=BA271),'2023DATA'!$J$6,"")</f>
        <v/>
      </c>
      <c r="BB275" s="518" t="str">
        <f>IF(AND(_AC3="A-330-900",'2023'!$K$4="FO",'2023'!$K$2=BB271),'2023DATA'!$K$6,"")</f>
        <v/>
      </c>
      <c r="BC275" s="518" t="str">
        <f>IF(AND(_AC3="A-330-900",'2023'!$K$4="FO",'2023'!$K$2=BC271),'2023DATA'!$L$6,"")</f>
        <v/>
      </c>
      <c r="BD275" s="518" t="str">
        <f>IF(AND(_AC3="A-330-900",'2023'!$K$4="FO",'2023'!$K$2=BD271),'2023DATA'!$M$6,"")</f>
        <v/>
      </c>
      <c r="BE275" s="520" t="str">
        <f>IF(AND(_AC3="A-330-900",'2023'!$K$4="FO",'2023'!$K$2=BE271),'2023DATA'!$N$6,"")</f>
        <v/>
      </c>
      <c r="BF275" s="940"/>
      <c r="BG275" s="13" t="s">
        <v>62</v>
      </c>
      <c r="BH275" s="518" t="str">
        <f>IF(AND(_AC4="A-330-900",'2023'!$K$4="FO",'2023'!$K$2=BH271),'2023DATA'!$C$6,"")</f>
        <v/>
      </c>
      <c r="BI275" s="518" t="str">
        <f>IF(AND(_AC4="A-330-900",'2023'!$K$4="FO",'2023'!$K$2=BI271),'2023DATA'!$D$6,"")</f>
        <v/>
      </c>
      <c r="BJ275" s="518" t="str">
        <f>IF(AND(_AC4="A-330-900",'2023'!$K$4="FO",'2023'!$K$2=BJ271),'2023DATA'!$E$6,"")</f>
        <v/>
      </c>
      <c r="BK275" s="518" t="str">
        <f>IF(AND(_AC4="A-330-900",'2023'!$K$4="FO",'2023'!$K$2=BK271),'2023DATA'!$F$6,"")</f>
        <v/>
      </c>
      <c r="BL275" s="518" t="str">
        <f>IF(AND(_AC4="A-330-900",'2023'!$K$4="FO",'2023'!$K$2=BL271),'2023DATA'!$G$6,"")</f>
        <v/>
      </c>
      <c r="BM275" s="518" t="str">
        <f>IF(AND(_AC4="A-330-900",'2023'!$K$4="FO",'2023'!$K$2=BM271),'2023DATA'!$H$6,"")</f>
        <v/>
      </c>
      <c r="BN275" s="518" t="str">
        <f>IF(AND(_AC4="A-330-900",'2023'!$K$4="FO",'2023'!$K$2=BN271),'2023DATA'!$I$6,"")</f>
        <v/>
      </c>
      <c r="BO275" s="518" t="str">
        <f>IF(AND(_AC4="A-330-900",'2023'!$K$4="FO",'2023'!$K$2=BO271),'2023DATA'!$J$6,"")</f>
        <v/>
      </c>
      <c r="BP275" s="518" t="str">
        <f>IF(AND(_AC4="A-330-900",'2023'!$K$4="FO",'2023'!$K$2=BP271),'2023DATA'!$K$6,"")</f>
        <v/>
      </c>
      <c r="BQ275" s="518" t="str">
        <f>IF(AND(_AC4="A-330-900",'2023'!$K$4="FO",'2023'!$K$2=BQ271),'2023DATA'!$L$6,"")</f>
        <v/>
      </c>
      <c r="BR275" s="518" t="str">
        <f>IF(AND(_AC4="A-330-900",'2023'!$K$4="FO",'2023'!$K$2=BR271),'2023DATA'!$M$6,"")</f>
        <v/>
      </c>
      <c r="BS275" s="520" t="str">
        <f>IF(AND(_AC4="A-330-900",'2023'!$K$4="FO",'2023'!$K$2=BS271),'2023DATA'!$N$6,"")</f>
        <v/>
      </c>
      <c r="BT275" s="940"/>
      <c r="BU275" s="13" t="s">
        <v>62</v>
      </c>
      <c r="BV275" s="518" t="str">
        <f>IF(AND(_AC5="A-330-900",'2023'!$K$4="FO",'2023'!$K$2=BV271),'2023DATA'!$C$6,"")</f>
        <v/>
      </c>
      <c r="BW275" s="518" t="str">
        <f>IF(AND(_AC5="A-330-900",'2023'!$K$4="FO",'2023'!$K$2=BW271),'2023DATA'!$D$6,"")</f>
        <v/>
      </c>
      <c r="BX275" s="518" t="str">
        <f>IF(AND(_AC5="A-330-900",'2023'!$K$4="FO",'2023'!$K$2=BX271),'2023DATA'!$E$6,"")</f>
        <v/>
      </c>
      <c r="BY275" s="518" t="str">
        <f>IF(AND(_AC5="A-330-900",'2023'!$K$4="FO",'2023'!$K$2=BY271),'2023DATA'!$F$6,"")</f>
        <v/>
      </c>
      <c r="BZ275" s="518" t="str">
        <f>IF(AND(_AC5="A-330-900",'2023'!$K$4="FO",'2023'!$K$2=BZ271),'2023DATA'!$G$6,"")</f>
        <v/>
      </c>
      <c r="CA275" s="518" t="str">
        <f>IF(AND(_AC5="A-330-900",'2023'!$K$4="FO",'2023'!$K$2=CA271),'2023DATA'!$H$6,"")</f>
        <v/>
      </c>
      <c r="CB275" s="518" t="str">
        <f>IF(AND(_AC5="A-330-900",'2023'!$K$4="FO",'2023'!$K$2=CB271),'2023DATA'!$I$6,"")</f>
        <v/>
      </c>
      <c r="CC275" s="518" t="str">
        <f>IF(AND(_AC5="A-330-900",'2023'!$K$4="FO",'2023'!$K$2=CC271),'2023DATA'!$J$6,"")</f>
        <v/>
      </c>
      <c r="CD275" s="518" t="str">
        <f>IF(AND(_AC5="A-330-900",'2023'!$K$4="FO",'2023'!$K$2=CD271),'2023DATA'!$K$6,"")</f>
        <v/>
      </c>
      <c r="CE275" s="518" t="str">
        <f>IF(AND(_AC5="A-330-900",'2023'!$K$4="FO",'2023'!$K$2=CE271),'2023DATA'!$L$6,"")</f>
        <v/>
      </c>
      <c r="CF275" s="518" t="str">
        <f>IF(AND(_AC5="A-330-900",'2023'!$K$4="FO",'2023'!$K$2=CF271),'2023DATA'!$M$6,"")</f>
        <v/>
      </c>
      <c r="CG275" s="520" t="str">
        <f>IF(AND(_AC5="A-330-900",'2023'!$K$4="FO",'2023'!$K$2=CG271),'2023DATA'!$N$6,"")</f>
        <v/>
      </c>
      <c r="CH275" s="940"/>
      <c r="CI275" s="13" t="s">
        <v>62</v>
      </c>
      <c r="CJ275" s="518" t="str">
        <f>IF(AND(_AC6="A-330-900",'2023'!$K$4="FO",'2023'!$K$2=CJ271),'2023DATA'!$C$6,"")</f>
        <v/>
      </c>
      <c r="CK275" s="518" t="str">
        <f>IF(AND(_AC6="A-330-900",'2023'!$K$4="FO",'2023'!$K$2=CK271),'2023DATA'!$D$6,"")</f>
        <v/>
      </c>
      <c r="CL275" s="518" t="str">
        <f>IF(AND(_AC6="A-330-900",'2023'!$K$4="FO",'2023'!$K$2=CL271),'2023DATA'!$E$6,"")</f>
        <v/>
      </c>
      <c r="CM275" s="518" t="str">
        <f>IF(AND(_AC6="A-330-900",'2023'!$K$4="FO",'2023'!$K$2=CM271),'2023DATA'!$F$6,"")</f>
        <v/>
      </c>
      <c r="CN275" s="518" t="str">
        <f>IF(AND(_AC6="A-330-900",'2023'!$K$4="FO",'2023'!$K$2=CN271),'2023DATA'!$G$6,"")</f>
        <v/>
      </c>
      <c r="CO275" s="518" t="str">
        <f>IF(AND(_AC6="A-330-900",'2023'!$K$4="FO",'2023'!$K$2=CO271),'2023DATA'!$H$6,"")</f>
        <v/>
      </c>
      <c r="CP275" s="518" t="str">
        <f>IF(AND(_AC6="A-330-900",'2023'!$K$4="FO",'2023'!$K$2=CP271),'2023DATA'!$I$6,"")</f>
        <v/>
      </c>
      <c r="CQ275" s="518" t="str">
        <f>IF(AND(_AC6="A-330-900",'2023'!$K$4="FO",'2023'!$K$2=CQ271),'2023DATA'!$J$6,"")</f>
        <v/>
      </c>
      <c r="CR275" s="518" t="str">
        <f>IF(AND(_AC6="A-330-900",'2023'!$K$4="FO",'2023'!$K$2=CR271),'2023DATA'!$K$6,"")</f>
        <v/>
      </c>
      <c r="CS275" s="518" t="str">
        <f>IF(AND(_AC6="A-330-900",'2023'!$K$4="FO",'2023'!$K$2=CS271),'2023DATA'!$L$6,"")</f>
        <v/>
      </c>
      <c r="CT275" s="518" t="str">
        <f>IF(AND(_AC6="A-330-900",'2023'!$K$4="FO",'2023'!$K$2=CT271),'2023DATA'!$M$6,"")</f>
        <v/>
      </c>
      <c r="CU275" s="520" t="str">
        <f>IF(AND(_AC6="A-330-900",'2023'!$K$4="FO",'2023'!$K$2=CU271),'2023DATA'!$N$6,"")</f>
        <v/>
      </c>
    </row>
    <row r="276" spans="16:99" x14ac:dyDescent="0.25">
      <c r="P276" s="940" t="s">
        <v>64</v>
      </c>
      <c r="Q276" s="13" t="s">
        <v>61</v>
      </c>
      <c r="R276" s="518" t="str">
        <f>IF(AND(_AC1="A-330-300",'2023'!$K$4="CA",'2023'!$K$2=R271),'2023DATA'!$C$7,"")</f>
        <v/>
      </c>
      <c r="S276" s="518" t="str">
        <f>IF(AND(_AC1="A-330-300",'2023'!$K$4="CA",'2023'!$K$2=S271),'2023DATA'!$D$7,"")</f>
        <v/>
      </c>
      <c r="T276" s="518" t="str">
        <f>IF(AND(_AC1="A-330-300",'2023'!$K$4="CA",'2023'!$K$2=T271),'2023DATA'!$E$7,"")</f>
        <v/>
      </c>
      <c r="U276" s="518" t="str">
        <f>IF(AND(_AC1="A-330-300",'2023'!$K$4="CA",'2023'!$K$2=U271),'2023DATA'!$F$7,"")</f>
        <v/>
      </c>
      <c r="V276" s="518" t="str">
        <f>IF(AND(_AC1="A-330-300",'2023'!$K$4="CA",'2023'!$K$2=V271),'2023DATA'!$G$7,"")</f>
        <v/>
      </c>
      <c r="W276" s="518" t="str">
        <f>IF(AND(_AC1="A-330-300",'2023'!$K$4="CA",'2023'!$K$2=W271),'2023DATA'!$H$7,"")</f>
        <v/>
      </c>
      <c r="X276" s="518" t="str">
        <f>IF(AND(_AC1="A-330-300",'2023'!$K$4="CA",'2023'!$K$2=X271),'2023DATA'!$I$7,"")</f>
        <v/>
      </c>
      <c r="Y276" s="518" t="str">
        <f>IF(AND(_AC1="A-330-300",'2023'!$K$4="CA",'2023'!$K$2=Y271),'2023DATA'!$J$7,"")</f>
        <v/>
      </c>
      <c r="Z276" s="518" t="str">
        <f>IF(AND(_AC1="A-330-300",'2023'!$K$4="CA",'2023'!$K$2=Z271),'2023DATA'!$K$7,"")</f>
        <v/>
      </c>
      <c r="AA276" s="518" t="str">
        <f>IF(AND(_AC1="A-330-300",'2023'!$K$4="CA",'2023'!$K$2=AA271),'2023DATA'!$L$7,"")</f>
        <v/>
      </c>
      <c r="AB276" s="518" t="str">
        <f>IF(AND(_AC1="A-330-300",'2023'!$K$4="CA",'2023'!$K$2=AB271),'2023DATA'!$M$7,"")</f>
        <v/>
      </c>
      <c r="AC276" s="520" t="str">
        <f>IF(AND(_AC1="A-330-300",'2023'!$K$4="CA",'2023'!$K$2=AC271),'2023DATA'!$N$7,"")</f>
        <v/>
      </c>
      <c r="AD276" s="940" t="s">
        <v>64</v>
      </c>
      <c r="AE276" s="13" t="s">
        <v>61</v>
      </c>
      <c r="AF276" s="518" t="str">
        <f>IF(AND(_AC2="A-330-300",'2023'!$K$4="CA",'2023'!$K$2=AF271),'2023DATA'!$C$7,"")</f>
        <v/>
      </c>
      <c r="AG276" s="518" t="str">
        <f>IF(AND(_AC2="A-330-300",'2023'!$K$4="CA",'2023'!$K$2=AG271),'2023DATA'!$D$7,"")</f>
        <v/>
      </c>
      <c r="AH276" s="518" t="str">
        <f>IF(AND(_AC2="A-330-300",'2023'!$K$4="CA",'2023'!$K$2=AH271),'2023DATA'!$E$7,"")</f>
        <v/>
      </c>
      <c r="AI276" s="518" t="str">
        <f>IF(AND(_AC2="A-330-300",'2023'!$K$4="CA",'2023'!$K$2=AI271),'2023DATA'!$F$7,"")</f>
        <v/>
      </c>
      <c r="AJ276" s="518" t="str">
        <f>IF(AND(_AC2="A-330-300",'2023'!$K$4="CA",'2023'!$K$2=AJ271),'2023DATA'!$G$7,"")</f>
        <v/>
      </c>
      <c r="AK276" s="518" t="str">
        <f>IF(AND(_AC2="A-330-300",'2023'!$K$4="CA",'2023'!$K$2=AK271),'2023DATA'!$H$7,"")</f>
        <v/>
      </c>
      <c r="AL276" s="518" t="str">
        <f>IF(AND(_AC2="A-330-300",'2023'!$K$4="CA",'2023'!$K$2=AL271),'2023DATA'!$I$7,"")</f>
        <v/>
      </c>
      <c r="AM276" s="518" t="str">
        <f>IF(AND(_AC2="A-330-300",'2023'!$K$4="CA",'2023'!$K$2=AM271),'2023DATA'!$J$7,"")</f>
        <v/>
      </c>
      <c r="AN276" s="518" t="str">
        <f>IF(AND(_AC2="A-330-300",'2023'!$K$4="CA",'2023'!$K$2=AN271),'2023DATA'!$K$7,"")</f>
        <v/>
      </c>
      <c r="AO276" s="518" t="str">
        <f>IF(AND(_AC2="A-330-300",'2023'!$K$4="CA",'2023'!$K$2=AO271),'2023DATA'!$L$7,"")</f>
        <v/>
      </c>
      <c r="AP276" s="518" t="str">
        <f>IF(AND(_AC2="A-330-300",'2023'!$K$4="CA",'2023'!$K$2=AP271),'2023DATA'!$M$7,"")</f>
        <v/>
      </c>
      <c r="AQ276" s="520" t="str">
        <f>IF(AND(_AC2="A-330-300",'2023'!$K$4="CA",'2023'!$K$2=AQ271),'2023DATA'!$N$7,"")</f>
        <v/>
      </c>
      <c r="AR276" s="940" t="s">
        <v>64</v>
      </c>
      <c r="AS276" s="13" t="s">
        <v>61</v>
      </c>
      <c r="AT276" s="518" t="str">
        <f>IF(AND(_AC3="A-330-300",'2023'!$K$4="CA",'2023'!$K$2=AT271),'2023DATA'!$C$7,"")</f>
        <v/>
      </c>
      <c r="AU276" s="518" t="str">
        <f>IF(AND(_AC3="A-330-300",'2023'!$K$4="CA",'2023'!$K$2=AU271),'2023DATA'!$D$7,"")</f>
        <v/>
      </c>
      <c r="AV276" s="518" t="str">
        <f>IF(AND(_AC3="A-330-300",'2023'!$K$4="CA",'2023'!$K$2=AV271),'2023DATA'!$E$7,"")</f>
        <v/>
      </c>
      <c r="AW276" s="518" t="str">
        <f>IF(AND(_AC3="A-330-300",'2023'!$K$4="CA",'2023'!$K$2=AW271),'2023DATA'!$F$7,"")</f>
        <v/>
      </c>
      <c r="AX276" s="518" t="str">
        <f>IF(AND(_AC3="A-330-300",'2023'!$K$4="CA",'2023'!$K$2=AX271),'2023DATA'!$G$7,"")</f>
        <v/>
      </c>
      <c r="AY276" s="518" t="str">
        <f>IF(AND(_AC3="A-330-300",'2023'!$K$4="CA",'2023'!$K$2=AY271),'2023DATA'!$H$7,"")</f>
        <v/>
      </c>
      <c r="AZ276" s="518" t="str">
        <f>IF(AND(_AC3="A-330-300",'2023'!$K$4="CA",'2023'!$K$2=AZ271),'2023DATA'!$I$7,"")</f>
        <v/>
      </c>
      <c r="BA276" s="518" t="str">
        <f>IF(AND(_AC3="A-330-300",'2023'!$K$4="CA",'2023'!$K$2=BA271),'2023DATA'!$J$7,"")</f>
        <v/>
      </c>
      <c r="BB276" s="518" t="str">
        <f>IF(AND(_AC3="A-330-300",'2023'!$K$4="CA",'2023'!$K$2=BB271),'2023DATA'!$K$7,"")</f>
        <v/>
      </c>
      <c r="BC276" s="518" t="str">
        <f>IF(AND(_AC3="A-330-300",'2023'!$K$4="CA",'2023'!$K$2=BC271),'2023DATA'!$L$7,"")</f>
        <v/>
      </c>
      <c r="BD276" s="518" t="str">
        <f>IF(AND(_AC3="A-330-300",'2023'!$K$4="CA",'2023'!$K$2=BD271),'2023DATA'!$M$7,"")</f>
        <v/>
      </c>
      <c r="BE276" s="520" t="str">
        <f>IF(AND(_AC3="A-330-300",'2023'!$K$4="CA",'2023'!$K$2=BE271),'2023DATA'!$N$7,"")</f>
        <v/>
      </c>
      <c r="BF276" s="940" t="s">
        <v>64</v>
      </c>
      <c r="BG276" s="13" t="s">
        <v>61</v>
      </c>
      <c r="BH276" s="518" t="str">
        <f>IF(AND(_AC4="A-330-300",'2023'!$K$4="CA",'2023'!$K$2=BH271),'2023DATA'!$C$7,"")</f>
        <v/>
      </c>
      <c r="BI276" s="518" t="str">
        <f>IF(AND(_AC4="A-330-300",'2023'!$K$4="CA",'2023'!$K$2=BI271),'2023DATA'!$D$7,"")</f>
        <v/>
      </c>
      <c r="BJ276" s="518" t="str">
        <f>IF(AND(_AC4="A-330-300",'2023'!$K$4="CA",'2023'!$K$2=BJ271),'2023DATA'!$E$7,"")</f>
        <v/>
      </c>
      <c r="BK276" s="518" t="str">
        <f>IF(AND(_AC4="A-330-300",'2023'!$K$4="CA",'2023'!$K$2=BK271),'2023DATA'!$F$7,"")</f>
        <v/>
      </c>
      <c r="BL276" s="518" t="str">
        <f>IF(AND(_AC4="A-330-300",'2023'!$K$4="CA",'2023'!$K$2=BL271),'2023DATA'!$G$7,"")</f>
        <v/>
      </c>
      <c r="BM276" s="518" t="str">
        <f>IF(AND(_AC4="A-330-300",'2023'!$K$4="CA",'2023'!$K$2=BM271),'2023DATA'!$H$7,"")</f>
        <v/>
      </c>
      <c r="BN276" s="518" t="str">
        <f>IF(AND(_AC4="A-330-300",'2023'!$K$4="CA",'2023'!$K$2=BN271),'2023DATA'!$I$7,"")</f>
        <v/>
      </c>
      <c r="BO276" s="518" t="str">
        <f>IF(AND(_AC4="A-330-300",'2023'!$K$4="CA",'2023'!$K$2=BO271),'2023DATA'!$J$7,"")</f>
        <v/>
      </c>
      <c r="BP276" s="518" t="str">
        <f>IF(AND(_AC4="A-330-300",'2023'!$K$4="CA",'2023'!$K$2=BP271),'2023DATA'!$K$7,"")</f>
        <v/>
      </c>
      <c r="BQ276" s="518" t="str">
        <f>IF(AND(_AC4="A-330-300",'2023'!$K$4="CA",'2023'!$K$2=BQ271),'2023DATA'!$L$7,"")</f>
        <v/>
      </c>
      <c r="BR276" s="518" t="str">
        <f>IF(AND(_AC4="A-330-300",'2023'!$K$4="CA",'2023'!$K$2=BR271),'2023DATA'!$M$7,"")</f>
        <v/>
      </c>
      <c r="BS276" s="520" t="str">
        <f>IF(AND(_AC4="A-330-300",'2023'!$K$4="CA",'2023'!$K$2=BS271),'2023DATA'!$N$7,"")</f>
        <v/>
      </c>
      <c r="BT276" s="940" t="s">
        <v>64</v>
      </c>
      <c r="BU276" s="13" t="s">
        <v>61</v>
      </c>
      <c r="BV276" s="518" t="str">
        <f>IF(AND(_AC5="A-330-300",'2023'!$K$4="CA",'2023'!$K$2=BV271),'2023DATA'!$C$7,"")</f>
        <v/>
      </c>
      <c r="BW276" s="518" t="str">
        <f>IF(AND(_AC5="A-330-300",'2023'!$K$4="CA",'2023'!$K$2=BW271),'2023DATA'!$D$7,"")</f>
        <v/>
      </c>
      <c r="BX276" s="518" t="str">
        <f>IF(AND(_AC5="A-330-300",'2023'!$K$4="CA",'2023'!$K$2=BX271),'2023DATA'!$E$7,"")</f>
        <v/>
      </c>
      <c r="BY276" s="518" t="str">
        <f>IF(AND(_AC5="A-330-300",'2023'!$K$4="CA",'2023'!$K$2=BY271),'2023DATA'!$F$7,"")</f>
        <v/>
      </c>
      <c r="BZ276" s="518" t="str">
        <f>IF(AND(_AC5="A-330-300",'2023'!$K$4="CA",'2023'!$K$2=BZ271),'2023DATA'!$G$7,"")</f>
        <v/>
      </c>
      <c r="CA276" s="518" t="str">
        <f>IF(AND(_AC5="A-330-300",'2023'!$K$4="CA",'2023'!$K$2=CA271),'2023DATA'!$H$7,"")</f>
        <v/>
      </c>
      <c r="CB276" s="518" t="str">
        <f>IF(AND(_AC5="A-330-300",'2023'!$K$4="CA",'2023'!$K$2=CB271),'2023DATA'!$I$7,"")</f>
        <v/>
      </c>
      <c r="CC276" s="518" t="str">
        <f>IF(AND(_AC5="A-330-300",'2023'!$K$4="CA",'2023'!$K$2=CC271),'2023DATA'!$J$7,"")</f>
        <v/>
      </c>
      <c r="CD276" s="518" t="str">
        <f>IF(AND(_AC5="A-330-300",'2023'!$K$4="CA",'2023'!$K$2=CD271),'2023DATA'!$K$7,"")</f>
        <v/>
      </c>
      <c r="CE276" s="518" t="str">
        <f>IF(AND(_AC5="A-330-300",'2023'!$K$4="CA",'2023'!$K$2=CE271),'2023DATA'!$L$7,"")</f>
        <v/>
      </c>
      <c r="CF276" s="518" t="str">
        <f>IF(AND(_AC5="A-330-300",'2023'!$K$4="CA",'2023'!$K$2=CF271),'2023DATA'!$M$7,"")</f>
        <v/>
      </c>
      <c r="CG276" s="520" t="str">
        <f>IF(AND(_AC5="A-330-300",'2023'!$K$4="CA",'2023'!$K$2=CG271),'2023DATA'!$N$7,"")</f>
        <v/>
      </c>
      <c r="CH276" s="940" t="s">
        <v>64</v>
      </c>
      <c r="CI276" s="13" t="s">
        <v>61</v>
      </c>
      <c r="CJ276" s="518" t="str">
        <f>IF(AND(_AC6="A-330-300",'2023'!$K$4="CA",'2023'!$K$2=CJ271),'2023DATA'!$C$7,"")</f>
        <v/>
      </c>
      <c r="CK276" s="518" t="str">
        <f>IF(AND(_AC6="A-330-300",'2023'!$K$4="CA",'2023'!$K$2=CK271),'2023DATA'!$D$7,"")</f>
        <v/>
      </c>
      <c r="CL276" s="518" t="str">
        <f>IF(AND(_AC6="A-330-300",'2023'!$K$4="CA",'2023'!$K$2=CL271),'2023DATA'!$E$7,"")</f>
        <v/>
      </c>
      <c r="CM276" s="518" t="str">
        <f>IF(AND(_AC6="A-330-300",'2023'!$K$4="CA",'2023'!$K$2=CM271),'2023DATA'!$F$7,"")</f>
        <v/>
      </c>
      <c r="CN276" s="518" t="str">
        <f>IF(AND(_AC6="A-330-300",'2023'!$K$4="CA",'2023'!$K$2=CN271),'2023DATA'!$G$7,"")</f>
        <v/>
      </c>
      <c r="CO276" s="518" t="str">
        <f>IF(AND(_AC6="A-330-300",'2023'!$K$4="CA",'2023'!$K$2=CO271),'2023DATA'!$H$7,"")</f>
        <v/>
      </c>
      <c r="CP276" s="518" t="str">
        <f>IF(AND(_AC6="A-330-300",'2023'!$K$4="CA",'2023'!$K$2=CP271),'2023DATA'!$I$7,"")</f>
        <v/>
      </c>
      <c r="CQ276" s="518" t="str">
        <f>IF(AND(_AC6="A-330-300",'2023'!$K$4="CA",'2023'!$K$2=CQ271),'2023DATA'!$J$7,"")</f>
        <v/>
      </c>
      <c r="CR276" s="518" t="str">
        <f>IF(AND(_AC6="A-330-300",'2023'!$K$4="CA",'2023'!$K$2=CR271),'2023DATA'!$K$7,"")</f>
        <v/>
      </c>
      <c r="CS276" s="518" t="str">
        <f>IF(AND(_AC6="A-330-300",'2023'!$K$4="CA",'2023'!$K$2=CS271),'2023DATA'!$L$7,"")</f>
        <v/>
      </c>
      <c r="CT276" s="518" t="str">
        <f>IF(AND(_AC6="A-330-300",'2023'!$K$4="CA",'2023'!$K$2=CT271),'2023DATA'!$M$7,"")</f>
        <v/>
      </c>
      <c r="CU276" s="520" t="str">
        <f>IF(AND(_AC6="A-330-300",'2023'!$K$4="CA",'2023'!$K$2=CU271),'2023DATA'!$N$7,"")</f>
        <v/>
      </c>
    </row>
    <row r="277" spans="16:99" x14ac:dyDescent="0.25">
      <c r="P277" s="940"/>
      <c r="Q277" s="13" t="s">
        <v>62</v>
      </c>
      <c r="R277" s="518" t="str">
        <f>IF(AND(_AC1="A-330-300",'2023'!$K$4="FO",'2023'!$K$2=R271),'2023DATA'!$C$8,"")</f>
        <v/>
      </c>
      <c r="S277" s="518" t="str">
        <f>IF(AND(_AC1="A-330-300",'2023'!$K$4="FO",'2023'!$K$2=S271),'2023DATA'!$D$8,"")</f>
        <v/>
      </c>
      <c r="T277" s="518" t="str">
        <f>IF(AND(_AC1="A-330-300",'2023'!$K$4="FO",'2023'!$K$2=T271),'2023DATA'!$E$8,"")</f>
        <v/>
      </c>
      <c r="U277" s="518" t="str">
        <f>IF(AND(_AC1="A-330-300",'2023'!$K$4="FO",'2023'!$K$2=U271),'2023DATA'!$F$8,"")</f>
        <v/>
      </c>
      <c r="V277" s="518" t="str">
        <f>IF(AND(_AC1="A-330-300",'2023'!$K$4="FO",'2023'!$K$2=V271),'2023DATA'!$G$8,"")</f>
        <v/>
      </c>
      <c r="W277" s="518" t="str">
        <f>IF(AND(_AC1="A-330-300",'2023'!$K$4="FO",'2023'!$K$2=W271),'2023DATA'!$H$8,"")</f>
        <v/>
      </c>
      <c r="X277" s="518" t="str">
        <f>IF(AND(_AC1="A-330-300",'2023'!$K$4="FO",'2023'!$K$2=X271),'2023DATA'!$I$8,"")</f>
        <v/>
      </c>
      <c r="Y277" s="518" t="str">
        <f>IF(AND(_AC1="A-330-300",'2023'!$K$4="FO",'2023'!$K$2=Y271),'2023DATA'!$J$8,"")</f>
        <v/>
      </c>
      <c r="Z277" s="518" t="str">
        <f>IF(AND(_AC1="A-330-300",'2023'!$K$4="FO",'2023'!$K$2=Z271),'2023DATA'!$K$8,"")</f>
        <v/>
      </c>
      <c r="AA277" s="518" t="str">
        <f>IF(AND(_AC1="A-330-300",'2023'!$K$4="FO",'2023'!$K$2=AA271),'2023DATA'!$L$8,"")</f>
        <v/>
      </c>
      <c r="AB277" s="518" t="str">
        <f>IF(AND(_AC1="A-330-300",'2023'!$K$4="FO",'2023'!$K$2=AB271),'2023DATA'!$M$8,"")</f>
        <v/>
      </c>
      <c r="AC277" s="520" t="str">
        <f>IF(AND(_AC1="A-330-300",'2023'!$K$4="FO",'2023'!$K$2=AC271),'2023DATA'!$N$8,"")</f>
        <v/>
      </c>
      <c r="AD277" s="940"/>
      <c r="AE277" s="13" t="s">
        <v>62</v>
      </c>
      <c r="AF277" s="518" t="str">
        <f>IF(AND(_AC2="A-330-300",'2023'!$K$4="FO",'2023'!$K$2=AF271),'2023DATA'!$C$8,"")</f>
        <v/>
      </c>
      <c r="AG277" s="518" t="str">
        <f>IF(AND(_AC2="A-330-300",'2023'!$K$4="FO",'2023'!$K$2=AG271),'2023DATA'!$D$8,"")</f>
        <v/>
      </c>
      <c r="AH277" s="518" t="str">
        <f>IF(AND(_AC2="A-330-300",'2023'!$K$4="FO",'2023'!$K$2=AH271),'2023DATA'!$E$8,"")</f>
        <v/>
      </c>
      <c r="AI277" s="518" t="str">
        <f>IF(AND(_AC2="A-330-300",'2023'!$K$4="FO",'2023'!$K$2=AI271),'2023DATA'!$F$8,"")</f>
        <v/>
      </c>
      <c r="AJ277" s="518" t="str">
        <f>IF(AND(_AC2="A-330-300",'2023'!$K$4="FO",'2023'!$K$2=AJ271),'2023DATA'!$G$8,"")</f>
        <v/>
      </c>
      <c r="AK277" s="518" t="str">
        <f>IF(AND(_AC2="A-330-300",'2023'!$K$4="FO",'2023'!$K$2=AK271),'2023DATA'!$H$8,"")</f>
        <v/>
      </c>
      <c r="AL277" s="518" t="str">
        <f>IF(AND(_AC2="A-330-300",'2023'!$K$4="FO",'2023'!$K$2=AL271),'2023DATA'!$I$8,"")</f>
        <v/>
      </c>
      <c r="AM277" s="518" t="str">
        <f>IF(AND(_AC2="A-330-300",'2023'!$K$4="FO",'2023'!$K$2=AM271),'2023DATA'!$J$8,"")</f>
        <v/>
      </c>
      <c r="AN277" s="518" t="str">
        <f>IF(AND(_AC2="A-330-300",'2023'!$K$4="FO",'2023'!$K$2=AN271),'2023DATA'!$K$8,"")</f>
        <v/>
      </c>
      <c r="AO277" s="518" t="str">
        <f>IF(AND(_AC2="A-330-300",'2023'!$K$4="FO",'2023'!$K$2=AO271),'2023DATA'!$L$8,"")</f>
        <v/>
      </c>
      <c r="AP277" s="518" t="str">
        <f>IF(AND(_AC2="A-330-300",'2023'!$K$4="FO",'2023'!$K$2=AP271),'2023DATA'!$M$8,"")</f>
        <v/>
      </c>
      <c r="AQ277" s="520" t="str">
        <f>IF(AND(_AC2="A-330-300",'2023'!$K$4="FO",'2023'!$K$2=AQ271),'2023DATA'!$N$8,"")</f>
        <v/>
      </c>
      <c r="AR277" s="940"/>
      <c r="AS277" s="13" t="s">
        <v>62</v>
      </c>
      <c r="AT277" s="518" t="str">
        <f>IF(AND(_AC3="A-330-300",'2023'!$K$4="FO",'2023'!$K$2=AT271),'2023DATA'!$C$8,"")</f>
        <v/>
      </c>
      <c r="AU277" s="518" t="str">
        <f>IF(AND(_AC3="A-330-300",'2023'!$K$4="FO",'2023'!$K$2=AU271),'2023DATA'!$D$8,"")</f>
        <v/>
      </c>
      <c r="AV277" s="518" t="str">
        <f>IF(AND(_AC3="A-330-300",'2023'!$K$4="FO",'2023'!$K$2=AV271),'2023DATA'!$E$8,"")</f>
        <v/>
      </c>
      <c r="AW277" s="518" t="str">
        <f>IF(AND(_AC3="A-330-300",'2023'!$K$4="FO",'2023'!$K$2=AW271),'2023DATA'!$F$8,"")</f>
        <v/>
      </c>
      <c r="AX277" s="518" t="str">
        <f>IF(AND(_AC3="A-330-300",'2023'!$K$4="FO",'2023'!$K$2=AX271),'2023DATA'!$G$8,"")</f>
        <v/>
      </c>
      <c r="AY277" s="518" t="str">
        <f>IF(AND(_AC3="A-330-300",'2023'!$K$4="FO",'2023'!$K$2=AY271),'2023DATA'!$H$8,"")</f>
        <v/>
      </c>
      <c r="AZ277" s="518" t="str">
        <f>IF(AND(_AC3="A-330-300",'2023'!$K$4="FO",'2023'!$K$2=AZ271),'2023DATA'!$I$8,"")</f>
        <v/>
      </c>
      <c r="BA277" s="518" t="str">
        <f>IF(AND(_AC3="A-330-300",'2023'!$K$4="FO",'2023'!$K$2=BA271),'2023DATA'!$J$8,"")</f>
        <v/>
      </c>
      <c r="BB277" s="518" t="str">
        <f>IF(AND(_AC3="A-330-300",'2023'!$K$4="FO",'2023'!$K$2=BB271),'2023DATA'!$K$8,"")</f>
        <v/>
      </c>
      <c r="BC277" s="518" t="str">
        <f>IF(AND(_AC3="A-330-300",'2023'!$K$4="FO",'2023'!$K$2=BC271),'2023DATA'!$L$8,"")</f>
        <v/>
      </c>
      <c r="BD277" s="518" t="str">
        <f>IF(AND(_AC3="A-330-300",'2023'!$K$4="FO",'2023'!$K$2=BD271),'2023DATA'!$M$8,"")</f>
        <v/>
      </c>
      <c r="BE277" s="520" t="str">
        <f>IF(AND(_AC3="A-330-300",'2023'!$K$4="FO",'2023'!$K$2=BE271),'2023DATA'!$N$8,"")</f>
        <v/>
      </c>
      <c r="BF277" s="940"/>
      <c r="BG277" s="13" t="s">
        <v>62</v>
      </c>
      <c r="BH277" s="518" t="str">
        <f>IF(AND(_AC4="A-330-300",'2023'!$K$4="FO",'2023'!$K$2=BH271),'2023DATA'!$C$8,"")</f>
        <v/>
      </c>
      <c r="BI277" s="518" t="str">
        <f>IF(AND(_AC4="A-330-300",'2023'!$K$4="FO",'2023'!$K$2=BI271),'2023DATA'!$D$8,"")</f>
        <v/>
      </c>
      <c r="BJ277" s="518" t="str">
        <f>IF(AND(_AC4="A-330-300",'2023'!$K$4="FO",'2023'!$K$2=BJ271),'2023DATA'!$E$8,"")</f>
        <v/>
      </c>
      <c r="BK277" s="518" t="str">
        <f>IF(AND(_AC4="A-330-300",'2023'!$K$4="FO",'2023'!$K$2=BK271),'2023DATA'!$F$8,"")</f>
        <v/>
      </c>
      <c r="BL277" s="518" t="str">
        <f>IF(AND(_AC4="A-330-300",'2023'!$K$4="FO",'2023'!$K$2=BL271),'2023DATA'!$G$8,"")</f>
        <v/>
      </c>
      <c r="BM277" s="518" t="str">
        <f>IF(AND(_AC4="A-330-300",'2023'!$K$4="FO",'2023'!$K$2=BM271),'2023DATA'!$H$8,"")</f>
        <v/>
      </c>
      <c r="BN277" s="518" t="str">
        <f>IF(AND(_AC4="A-330-300",'2023'!$K$4="FO",'2023'!$K$2=BN271),'2023DATA'!$I$8,"")</f>
        <v/>
      </c>
      <c r="BO277" s="518" t="str">
        <f>IF(AND(_AC4="A-330-300",'2023'!$K$4="FO",'2023'!$K$2=BO271),'2023DATA'!$J$8,"")</f>
        <v/>
      </c>
      <c r="BP277" s="518" t="str">
        <f>IF(AND(_AC4="A-330-300",'2023'!$K$4="FO",'2023'!$K$2=BP271),'2023DATA'!$K$8,"")</f>
        <v/>
      </c>
      <c r="BQ277" s="518" t="str">
        <f>IF(AND(_AC4="A-330-300",'2023'!$K$4="FO",'2023'!$K$2=BQ271),'2023DATA'!$L$8,"")</f>
        <v/>
      </c>
      <c r="BR277" s="518" t="str">
        <f>IF(AND(_AC4="A-330-300",'2023'!$K$4="FO",'2023'!$K$2=BR271),'2023DATA'!$M$8,"")</f>
        <v/>
      </c>
      <c r="BS277" s="520" t="str">
        <f>IF(AND(_AC4="A-330-300",'2023'!$K$4="FO",'2023'!$K$2=BS271),'2023DATA'!$N$8,"")</f>
        <v/>
      </c>
      <c r="BT277" s="940"/>
      <c r="BU277" s="13" t="s">
        <v>62</v>
      </c>
      <c r="BV277" s="518" t="str">
        <f>IF(AND(_AC5="A-330-300",'2023'!$K$4="FO",'2023'!$K$2=BV271),'2023DATA'!$C$8,"")</f>
        <v/>
      </c>
      <c r="BW277" s="518" t="str">
        <f>IF(AND(_AC5="A-330-300",'2023'!$K$4="FO",'2023'!$K$2=BW271),'2023DATA'!$D$8,"")</f>
        <v/>
      </c>
      <c r="BX277" s="518" t="str">
        <f>IF(AND(_AC5="A-330-300",'2023'!$K$4="FO",'2023'!$K$2=BX271),'2023DATA'!$E$8,"")</f>
        <v/>
      </c>
      <c r="BY277" s="518" t="str">
        <f>IF(AND(_AC5="A-330-300",'2023'!$K$4="FO",'2023'!$K$2=BY271),'2023DATA'!$F$8,"")</f>
        <v/>
      </c>
      <c r="BZ277" s="518" t="str">
        <f>IF(AND(_AC5="A-330-300",'2023'!$K$4="FO",'2023'!$K$2=BZ271),'2023DATA'!$G$8,"")</f>
        <v/>
      </c>
      <c r="CA277" s="518" t="str">
        <f>IF(AND(_AC5="A-330-300",'2023'!$K$4="FO",'2023'!$K$2=CA271),'2023DATA'!$H$8,"")</f>
        <v/>
      </c>
      <c r="CB277" s="518" t="str">
        <f>IF(AND(_AC5="A-330-300",'2023'!$K$4="FO",'2023'!$K$2=CB271),'2023DATA'!$I$8,"")</f>
        <v/>
      </c>
      <c r="CC277" s="518" t="str">
        <f>IF(AND(_AC5="A-330-300",'2023'!$K$4="FO",'2023'!$K$2=CC271),'2023DATA'!$J$8,"")</f>
        <v/>
      </c>
      <c r="CD277" s="518" t="str">
        <f>IF(AND(_AC5="A-330-300",'2023'!$K$4="FO",'2023'!$K$2=CD271),'2023DATA'!$K$8,"")</f>
        <v/>
      </c>
      <c r="CE277" s="518" t="str">
        <f>IF(AND(_AC5="A-330-300",'2023'!$K$4="FO",'2023'!$K$2=CE271),'2023DATA'!$L$8,"")</f>
        <v/>
      </c>
      <c r="CF277" s="518" t="str">
        <f>IF(AND(_AC5="A-330-300",'2023'!$K$4="FO",'2023'!$K$2=CF271),'2023DATA'!$M$8,"")</f>
        <v/>
      </c>
      <c r="CG277" s="520" t="str">
        <f>IF(AND(_AC5="A-330-300",'2023'!$K$4="FO",'2023'!$K$2=CG271),'2023DATA'!$N$8,"")</f>
        <v/>
      </c>
      <c r="CH277" s="940"/>
      <c r="CI277" s="13" t="s">
        <v>62</v>
      </c>
      <c r="CJ277" s="518" t="str">
        <f>IF(AND(_AC6="A-330-300",'2023'!$K$4="FO",'2023'!$K$2=CJ271),'2023DATA'!$C$8,"")</f>
        <v/>
      </c>
      <c r="CK277" s="518" t="str">
        <f>IF(AND(_AC6="A-330-300",'2023'!$K$4="FO",'2023'!$K$2=CK271),'2023DATA'!$D$8,"")</f>
        <v/>
      </c>
      <c r="CL277" s="518" t="str">
        <f>IF(AND(_AC6="A-330-300",'2023'!$K$4="FO",'2023'!$K$2=CL271),'2023DATA'!$E$8,"")</f>
        <v/>
      </c>
      <c r="CM277" s="518" t="str">
        <f>IF(AND(_AC6="A-330-300",'2023'!$K$4="FO",'2023'!$K$2=CM271),'2023DATA'!$F$8,"")</f>
        <v/>
      </c>
      <c r="CN277" s="518" t="str">
        <f>IF(AND(_AC6="A-330-300",'2023'!$K$4="FO",'2023'!$K$2=CN271),'2023DATA'!$G$8,"")</f>
        <v/>
      </c>
      <c r="CO277" s="518" t="str">
        <f>IF(AND(_AC6="A-330-300",'2023'!$K$4="FO",'2023'!$K$2=CO271),'2023DATA'!$H$8,"")</f>
        <v/>
      </c>
      <c r="CP277" s="518" t="str">
        <f>IF(AND(_AC6="A-330-300",'2023'!$K$4="FO",'2023'!$K$2=CP271),'2023DATA'!$I$8,"")</f>
        <v/>
      </c>
      <c r="CQ277" s="518" t="str">
        <f>IF(AND(_AC6="A-330-300",'2023'!$K$4="FO",'2023'!$K$2=CQ271),'2023DATA'!$J$8,"")</f>
        <v/>
      </c>
      <c r="CR277" s="518" t="str">
        <f>IF(AND(_AC6="A-330-300",'2023'!$K$4="FO",'2023'!$K$2=CR271),'2023DATA'!$K$8,"")</f>
        <v/>
      </c>
      <c r="CS277" s="518" t="str">
        <f>IF(AND(_AC6="A-330-300",'2023'!$K$4="FO",'2023'!$K$2=CS271),'2023DATA'!$L$8,"")</f>
        <v/>
      </c>
      <c r="CT277" s="518" t="str">
        <f>IF(AND(_AC6="A-330-300",'2023'!$K$4="FO",'2023'!$K$2=CT271),'2023DATA'!$M$8,"")</f>
        <v/>
      </c>
      <c r="CU277" s="520" t="str">
        <f>IF(AND(_AC6="A-330-300",'2023'!$K$4="FO",'2023'!$K$2=CU271),'2023DATA'!$N$8,"")</f>
        <v/>
      </c>
    </row>
    <row r="278" spans="16:99" x14ac:dyDescent="0.25">
      <c r="P278" s="940" t="s">
        <v>66</v>
      </c>
      <c r="Q278" s="13" t="s">
        <v>61</v>
      </c>
      <c r="R278" s="518" t="str">
        <f>IF(AND(_AC1="A-330-200",'2023'!$K$4="CA",'2023'!$K$2=R271),'2023DATA'!$C$9,"")</f>
        <v/>
      </c>
      <c r="S278" s="518" t="str">
        <f>IF(AND(_AC1="A-330-200",'2023'!$K$4="CA",'2023'!$K$2=S271),'2023DATA'!$D$9,"")</f>
        <v/>
      </c>
      <c r="T278" s="518" t="str">
        <f>IF(AND(_AC1="A-330-200",'2023'!$K$4="CA",'2023'!$K$2=T271),'2023DATA'!$E$9,"")</f>
        <v/>
      </c>
      <c r="U278" s="518" t="str">
        <f>IF(AND(_AC1="A-330-200",'2023'!$K$4="CA",'2023'!$K$2=U271),'2023DATA'!$F$9,"")</f>
        <v/>
      </c>
      <c r="V278" s="518" t="str">
        <f>IF(AND(_AC1="A-330-200",'2023'!$K$4="CA",'2023'!$K$2=V271),'2023DATA'!$G$9,"")</f>
        <v/>
      </c>
      <c r="W278" s="518" t="str">
        <f>IF(AND(_AC1="A-330-200",'2023'!$K$4="CA",'2023'!$K$2=W271),'2023DATA'!$H$9,"")</f>
        <v/>
      </c>
      <c r="X278" s="518" t="str">
        <f>IF(AND(_AC1="A-330-200",'2023'!$K$4="CA",'2023'!$K$2=X271),'2023DATA'!$I$9,"")</f>
        <v/>
      </c>
      <c r="Y278" s="518" t="str">
        <f>IF(AND(_AC1="A-330-200",'2023'!$K$4="CA",'2023'!$K$2=Y271),'2023DATA'!$J$9,"")</f>
        <v/>
      </c>
      <c r="Z278" s="518" t="str">
        <f>IF(AND(_AC1="A-330-200",'2023'!$K$4="CA",'2023'!$K$2=Z271),'2023DATA'!$K$9,"")</f>
        <v/>
      </c>
      <c r="AA278" s="518" t="str">
        <f>IF(AND(_AC1="A-330-200",'2023'!$K$4="CA",'2023'!$K$2=AA271),'2023DATA'!$L$9,"")</f>
        <v/>
      </c>
      <c r="AB278" s="518" t="str">
        <f>IF(AND(_AC1="A-330-200",'2023'!$K$4="CA",'2023'!$K$2=AB271),'2023DATA'!$M$9,"")</f>
        <v/>
      </c>
      <c r="AC278" s="520" t="str">
        <f>IF(AND(_AC1="A-330-200",'2023'!$K$4="CA",'2023'!$K$2=AC271),'2023DATA'!$N$9,"")</f>
        <v/>
      </c>
      <c r="AD278" s="940" t="s">
        <v>66</v>
      </c>
      <c r="AE278" s="13" t="s">
        <v>61</v>
      </c>
      <c r="AF278" s="518" t="str">
        <f>IF(AND(_AC2="A-330-200",'2023'!$K$4="CA",'2023'!$K$2=AF271),'2023DATA'!$C$9,"")</f>
        <v/>
      </c>
      <c r="AG278" s="518" t="str">
        <f>IF(AND(_AC2="A-330-200",'2023'!$K$4="CA",'2023'!$K$2=AG271),'2023DATA'!$D$9,"")</f>
        <v/>
      </c>
      <c r="AH278" s="518" t="str">
        <f>IF(AND(_AC2="A-330-200",'2023'!$K$4="CA",'2023'!$K$2=AH271),'2023DATA'!$E$9,"")</f>
        <v/>
      </c>
      <c r="AI278" s="518" t="str">
        <f>IF(AND(_AC2="A-330-200",'2023'!$K$4="CA",'2023'!$K$2=AI271),'2023DATA'!$F$9,"")</f>
        <v/>
      </c>
      <c r="AJ278" s="518" t="str">
        <f>IF(AND(_AC2="A-330-200",'2023'!$K$4="CA",'2023'!$K$2=AJ271),'2023DATA'!$G$9,"")</f>
        <v/>
      </c>
      <c r="AK278" s="518" t="str">
        <f>IF(AND(_AC2="A-330-200",'2023'!$K$4="CA",'2023'!$K$2=AK271),'2023DATA'!$H$9,"")</f>
        <v/>
      </c>
      <c r="AL278" s="518" t="str">
        <f>IF(AND(_AC2="A-330-200",'2023'!$K$4="CA",'2023'!$K$2=AL271),'2023DATA'!$I$9,"")</f>
        <v/>
      </c>
      <c r="AM278" s="518" t="str">
        <f>IF(AND(_AC2="A-330-200",'2023'!$K$4="CA",'2023'!$K$2=AM271),'2023DATA'!$J$9,"")</f>
        <v/>
      </c>
      <c r="AN278" s="518" t="str">
        <f>IF(AND(_AC2="A-330-200",'2023'!$K$4="CA",'2023'!$K$2=AN271),'2023DATA'!$K$9,"")</f>
        <v/>
      </c>
      <c r="AO278" s="518" t="str">
        <f>IF(AND(_AC2="A-330-200",'2023'!$K$4="CA",'2023'!$K$2=AO271),'2023DATA'!$L$9,"")</f>
        <v/>
      </c>
      <c r="AP278" s="518" t="str">
        <f>IF(AND(_AC2="A-330-200",'2023'!$K$4="CA",'2023'!$K$2=AP271),'2023DATA'!$M$9,"")</f>
        <v/>
      </c>
      <c r="AQ278" s="520" t="str">
        <f>IF(AND(_AC2="A-330-200",'2023'!$K$4="CA",'2023'!$K$2=AQ271),'2023DATA'!$N$9,"")</f>
        <v/>
      </c>
      <c r="AR278" s="940" t="s">
        <v>66</v>
      </c>
      <c r="AS278" s="13" t="s">
        <v>61</v>
      </c>
      <c r="AT278" s="518" t="str">
        <f>IF(AND(_AC3="A-330-200",'2023'!$K$4="CA",'2023'!$K$2=AT271),'2023DATA'!$C$9,"")</f>
        <v/>
      </c>
      <c r="AU278" s="518" t="str">
        <f>IF(AND(_AC3="A-330-200",'2023'!$K$4="CA",'2023'!$K$2=AU271),'2023DATA'!$D$9,"")</f>
        <v/>
      </c>
      <c r="AV278" s="518" t="str">
        <f>IF(AND(_AC3="A-330-200",'2023'!$K$4="CA",'2023'!$K$2=AV271),'2023DATA'!$E$9,"")</f>
        <v/>
      </c>
      <c r="AW278" s="518" t="str">
        <f>IF(AND(_AC3="A-330-200",'2023'!$K$4="CA",'2023'!$K$2=AW271),'2023DATA'!$F$9,"")</f>
        <v/>
      </c>
      <c r="AX278" s="518" t="str">
        <f>IF(AND(_AC3="A-330-200",'2023'!$K$4="CA",'2023'!$K$2=AX271),'2023DATA'!$G$9,"")</f>
        <v/>
      </c>
      <c r="AY278" s="518" t="str">
        <f>IF(AND(_AC3="A-330-200",'2023'!$K$4="CA",'2023'!$K$2=AY271),'2023DATA'!$H$9,"")</f>
        <v/>
      </c>
      <c r="AZ278" s="518" t="str">
        <f>IF(AND(_AC3="A-330-200",'2023'!$K$4="CA",'2023'!$K$2=AZ271),'2023DATA'!$I$9,"")</f>
        <v/>
      </c>
      <c r="BA278" s="518" t="str">
        <f>IF(AND(_AC3="A-330-200",'2023'!$K$4="CA",'2023'!$K$2=BA271),'2023DATA'!$J$9,"")</f>
        <v/>
      </c>
      <c r="BB278" s="518" t="str">
        <f>IF(AND(_AC3="A-330-200",'2023'!$K$4="CA",'2023'!$K$2=BB271),'2023DATA'!$K$9,"")</f>
        <v/>
      </c>
      <c r="BC278" s="518" t="str">
        <f>IF(AND(_AC3="A-330-200",'2023'!$K$4="CA",'2023'!$K$2=BC271),'2023DATA'!$L$9,"")</f>
        <v/>
      </c>
      <c r="BD278" s="518" t="str">
        <f>IF(AND(_AC3="A-330-200",'2023'!$K$4="CA",'2023'!$K$2=BD271),'2023DATA'!$M$9,"")</f>
        <v/>
      </c>
      <c r="BE278" s="520" t="str">
        <f>IF(AND(_AC3="A-330-200",'2023'!$K$4="CA",'2023'!$K$2=BE271),'2023DATA'!$N$9,"")</f>
        <v/>
      </c>
      <c r="BF278" s="940" t="s">
        <v>66</v>
      </c>
      <c r="BG278" s="13" t="s">
        <v>61</v>
      </c>
      <c r="BH278" s="518" t="str">
        <f>IF(AND(_AC4="A-330-200",'2023'!$K$4="CA",'2023'!$K$2=BH271),'2023DATA'!$C$9,"")</f>
        <v/>
      </c>
      <c r="BI278" s="518" t="str">
        <f>IF(AND(_AC4="A-330-200",'2023'!$K$4="CA",'2023'!$K$2=BI271),'2023DATA'!$D$9,"")</f>
        <v/>
      </c>
      <c r="BJ278" s="518" t="str">
        <f>IF(AND(_AC4="A-330-200",'2023'!$K$4="CA",'2023'!$K$2=BJ271),'2023DATA'!$E$9,"")</f>
        <v/>
      </c>
      <c r="BK278" s="518" t="str">
        <f>IF(AND(_AC4="A-330-200",'2023'!$K$4="CA",'2023'!$K$2=BK271),'2023DATA'!$F$9,"")</f>
        <v/>
      </c>
      <c r="BL278" s="518" t="str">
        <f>IF(AND(_AC4="A-330-200",'2023'!$K$4="CA",'2023'!$K$2=BL271),'2023DATA'!$G$9,"")</f>
        <v/>
      </c>
      <c r="BM278" s="518" t="str">
        <f>IF(AND(_AC4="A-330-200",'2023'!$K$4="CA",'2023'!$K$2=BM271),'2023DATA'!$H$9,"")</f>
        <v/>
      </c>
      <c r="BN278" s="518" t="str">
        <f>IF(AND(_AC4="A-330-200",'2023'!$K$4="CA",'2023'!$K$2=BN271),'2023DATA'!$I$9,"")</f>
        <v/>
      </c>
      <c r="BO278" s="518" t="str">
        <f>IF(AND(_AC4="A-330-200",'2023'!$K$4="CA",'2023'!$K$2=BO271),'2023DATA'!$J$9,"")</f>
        <v/>
      </c>
      <c r="BP278" s="518" t="str">
        <f>IF(AND(_AC4="A-330-200",'2023'!$K$4="CA",'2023'!$K$2=BP271),'2023DATA'!$K$9,"")</f>
        <v/>
      </c>
      <c r="BQ278" s="518" t="str">
        <f>IF(AND(_AC4="A-330-200",'2023'!$K$4="CA",'2023'!$K$2=BQ271),'2023DATA'!$L$9,"")</f>
        <v/>
      </c>
      <c r="BR278" s="518" t="str">
        <f>IF(AND(_AC4="A-330-200",'2023'!$K$4="CA",'2023'!$K$2=BR271),'2023DATA'!$M$9,"")</f>
        <v/>
      </c>
      <c r="BS278" s="520" t="str">
        <f>IF(AND(_AC4="A-330-200",'2023'!$K$4="CA",'2023'!$K$2=BS271),'2023DATA'!$N$9,"")</f>
        <v/>
      </c>
      <c r="BT278" s="940" t="s">
        <v>66</v>
      </c>
      <c r="BU278" s="13" t="s">
        <v>61</v>
      </c>
      <c r="BV278" s="518" t="str">
        <f>IF(AND(_AC5="A-330-200",'2023'!$K$4="CA",'2023'!$K$2=BV271),'2023DATA'!$C$9,"")</f>
        <v/>
      </c>
      <c r="BW278" s="518" t="str">
        <f>IF(AND(_AC5="A-330-200",'2023'!$K$4="CA",'2023'!$K$2=BW271),'2023DATA'!$D$9,"")</f>
        <v/>
      </c>
      <c r="BX278" s="518" t="str">
        <f>IF(AND(_AC5="A-330-200",'2023'!$K$4="CA",'2023'!$K$2=BX271),'2023DATA'!$E$9,"")</f>
        <v/>
      </c>
      <c r="BY278" s="518" t="str">
        <f>IF(AND(_AC5="A-330-200",'2023'!$K$4="CA",'2023'!$K$2=BY271),'2023DATA'!$F$9,"")</f>
        <v/>
      </c>
      <c r="BZ278" s="518" t="str">
        <f>IF(AND(_AC5="A-330-200",'2023'!$K$4="CA",'2023'!$K$2=BZ271),'2023DATA'!$G$9,"")</f>
        <v/>
      </c>
      <c r="CA278" s="518" t="str">
        <f>IF(AND(_AC5="A-330-200",'2023'!$K$4="CA",'2023'!$K$2=CA271),'2023DATA'!$H$9,"")</f>
        <v/>
      </c>
      <c r="CB278" s="518" t="str">
        <f>IF(AND(_AC5="A-330-200",'2023'!$K$4="CA",'2023'!$K$2=CB271),'2023DATA'!$I$9,"")</f>
        <v/>
      </c>
      <c r="CC278" s="518" t="str">
        <f>IF(AND(_AC5="A-330-200",'2023'!$K$4="CA",'2023'!$K$2=CC271),'2023DATA'!$J$9,"")</f>
        <v/>
      </c>
      <c r="CD278" s="518" t="str">
        <f>IF(AND(_AC5="A-330-200",'2023'!$K$4="CA",'2023'!$K$2=CD271),'2023DATA'!$K$9,"")</f>
        <v/>
      </c>
      <c r="CE278" s="518" t="str">
        <f>IF(AND(_AC5="A-330-200",'2023'!$K$4="CA",'2023'!$K$2=CE271),'2023DATA'!$L$9,"")</f>
        <v/>
      </c>
      <c r="CF278" s="518" t="str">
        <f>IF(AND(_AC5="A-330-200",'2023'!$K$4="CA",'2023'!$K$2=CF271),'2023DATA'!$M$9,"")</f>
        <v/>
      </c>
      <c r="CG278" s="520" t="str">
        <f>IF(AND(_AC5="A-330-200",'2023'!$K$4="CA",'2023'!$K$2=CG271),'2023DATA'!$N$9,"")</f>
        <v/>
      </c>
      <c r="CH278" s="940" t="s">
        <v>66</v>
      </c>
      <c r="CI278" s="13" t="s">
        <v>61</v>
      </c>
      <c r="CJ278" s="518" t="str">
        <f>IF(AND(_AC6="A-330-200",'2023'!$K$4="CA",'2023'!$K$2=CJ271),'2023DATA'!$C$9,"")</f>
        <v/>
      </c>
      <c r="CK278" s="518" t="str">
        <f>IF(AND(_AC6="A-330-200",'2023'!$K$4="CA",'2023'!$K$2=CK271),'2023DATA'!$D$9,"")</f>
        <v/>
      </c>
      <c r="CL278" s="518" t="str">
        <f>IF(AND(_AC6="A-330-200",'2023'!$K$4="CA",'2023'!$K$2=CL271),'2023DATA'!$E$9,"")</f>
        <v/>
      </c>
      <c r="CM278" s="518" t="str">
        <f>IF(AND(_AC6="A-330-200",'2023'!$K$4="CA",'2023'!$K$2=CM271),'2023DATA'!$F$9,"")</f>
        <v/>
      </c>
      <c r="CN278" s="518" t="str">
        <f>IF(AND(_AC6="A-330-200",'2023'!$K$4="CA",'2023'!$K$2=CN271),'2023DATA'!$G$9,"")</f>
        <v/>
      </c>
      <c r="CO278" s="518" t="str">
        <f>IF(AND(_AC6="A-330-200",'2023'!$K$4="CA",'2023'!$K$2=CO271),'2023DATA'!$H$9,"")</f>
        <v/>
      </c>
      <c r="CP278" s="518" t="str">
        <f>IF(AND(_AC6="A-330-200",'2023'!$K$4="CA",'2023'!$K$2=CP271),'2023DATA'!$I$9,"")</f>
        <v/>
      </c>
      <c r="CQ278" s="518" t="str">
        <f>IF(AND(_AC6="A-330-200",'2023'!$K$4="CA",'2023'!$K$2=CQ271),'2023DATA'!$J$9,"")</f>
        <v/>
      </c>
      <c r="CR278" s="518" t="str">
        <f>IF(AND(_AC6="A-330-200",'2023'!$K$4="CA",'2023'!$K$2=CR271),'2023DATA'!$K$9,"")</f>
        <v/>
      </c>
      <c r="CS278" s="518" t="str">
        <f>IF(AND(_AC6="A-330-200",'2023'!$K$4="CA",'2023'!$K$2=CS271),'2023DATA'!$L$9,"")</f>
        <v/>
      </c>
      <c r="CT278" s="518" t="str">
        <f>IF(AND(_AC6="A-330-200",'2023'!$K$4="CA",'2023'!$K$2=CT271),'2023DATA'!$M$9,"")</f>
        <v/>
      </c>
      <c r="CU278" s="520" t="str">
        <f>IF(AND(_AC6="A-330-200",'2023'!$K$4="CA",'2023'!$K$2=CU271),'2023DATA'!$N$9,"")</f>
        <v/>
      </c>
    </row>
    <row r="279" spans="16:99" x14ac:dyDescent="0.25">
      <c r="P279" s="940"/>
      <c r="Q279" s="13" t="s">
        <v>62</v>
      </c>
      <c r="R279" s="518" t="str">
        <f>IF(AND(_AC1="A-330-200",'2023'!$K$4="FO",'2023'!$K$2=R271),'2023DATA'!$C$10,"")</f>
        <v/>
      </c>
      <c r="S279" s="518" t="str">
        <f>IF(AND(_AC1="A-330-200",'2023'!$K$4="FO",'2023'!$K$2=S271),'2023DATA'!$D$10,"")</f>
        <v/>
      </c>
      <c r="T279" s="518" t="str">
        <f>IF(AND(_AC1="A-330-200",'2023'!$K$4="FO",'2023'!$K$2=T271),'2023DATA'!$E$10,"")</f>
        <v/>
      </c>
      <c r="U279" s="518" t="str">
        <f>IF(AND(_AC1="A-330-200",'2023'!$K$4="FO",'2023'!$K$2=U271),'2023DATA'!$F$10,"")</f>
        <v/>
      </c>
      <c r="V279" s="518" t="str">
        <f>IF(AND(_AC1="A-330-200",'2023'!$K$4="FO",'2023'!$K$2=V271),'2023DATA'!$G$10,"")</f>
        <v/>
      </c>
      <c r="W279" s="518" t="str">
        <f>IF(AND(_AC1="A-330-200",'2023'!$K$4="FO",'2023'!$K$2=W271),'2023DATA'!$H$10,"")</f>
        <v/>
      </c>
      <c r="X279" s="518" t="str">
        <f>IF(AND(_AC1="A-330-200",'2023'!$K$4="FO",'2023'!$K$2=X271),'2023DATA'!$I$10,"")</f>
        <v/>
      </c>
      <c r="Y279" s="518" t="str">
        <f>IF(AND(_AC1="A-330-200",'2023'!$K$4="FO",'2023'!$K$2=Y271),'2023DATA'!$J$10,"")</f>
        <v/>
      </c>
      <c r="Z279" s="518" t="str">
        <f>IF(AND(_AC1="A-330-200",'2023'!$K$4="FO",'2023'!$K$2=Z271),'2023DATA'!$K$10,"")</f>
        <v/>
      </c>
      <c r="AA279" s="518" t="str">
        <f>IF(AND(_AC1="A-330-200",'2023'!$K$4="FO",'2023'!$K$2=AA271),'2023DATA'!$L$10,"")</f>
        <v/>
      </c>
      <c r="AB279" s="518" t="str">
        <f>IF(AND(_AC1="A-330-200",'2023'!$K$4="FO",'2023'!$K$2=AB271),'2023DATA'!$M$10,"")</f>
        <v/>
      </c>
      <c r="AC279" s="520" t="str">
        <f>IF(AND(_AC1="A-330-200",'2023'!$K$4="FO",'2023'!$K$2=AC271),'2023DATA'!$N$10,"")</f>
        <v/>
      </c>
      <c r="AD279" s="940"/>
      <c r="AE279" s="13" t="s">
        <v>62</v>
      </c>
      <c r="AF279" s="518" t="str">
        <f>IF(AND(_AC2="A-330-200",'2023'!$K$4="FO",'2023'!$K$2=AF271),'2023DATA'!$C$10,"")</f>
        <v/>
      </c>
      <c r="AG279" s="518" t="str">
        <f>IF(AND(_AC2="A-330-200",'2023'!$K$4="FO",'2023'!$K$2=AG271),'2023DATA'!$D$10,"")</f>
        <v/>
      </c>
      <c r="AH279" s="518" t="str">
        <f>IF(AND(_AC2="A-330-200",'2023'!$K$4="FO",'2023'!$K$2=AH271),'2023DATA'!$E$10,"")</f>
        <v/>
      </c>
      <c r="AI279" s="518" t="str">
        <f>IF(AND(_AC2="A-330-200",'2023'!$K$4="FO",'2023'!$K$2=AI271),'2023DATA'!$F$10,"")</f>
        <v/>
      </c>
      <c r="AJ279" s="518" t="str">
        <f>IF(AND(_AC2="A-330-200",'2023'!$K$4="FO",'2023'!$K$2=AJ271),'2023DATA'!$G$10,"")</f>
        <v/>
      </c>
      <c r="AK279" s="518" t="str">
        <f>IF(AND(_AC2="A-330-200",'2023'!$K$4="FO",'2023'!$K$2=AK271),'2023DATA'!$H$10,"")</f>
        <v/>
      </c>
      <c r="AL279" s="518" t="str">
        <f>IF(AND(_AC2="A-330-200",'2023'!$K$4="FO",'2023'!$K$2=AL271),'2023DATA'!$I$10,"")</f>
        <v/>
      </c>
      <c r="AM279" s="518" t="str">
        <f>IF(AND(_AC2="A-330-200",'2023'!$K$4="FO",'2023'!$K$2=AM271),'2023DATA'!$J$10,"")</f>
        <v/>
      </c>
      <c r="AN279" s="518" t="str">
        <f>IF(AND(_AC2="A-330-200",'2023'!$K$4="FO",'2023'!$K$2=AN271),'2023DATA'!$K$10,"")</f>
        <v/>
      </c>
      <c r="AO279" s="518" t="str">
        <f>IF(AND(_AC2="A-330-200",'2023'!$K$4="FO",'2023'!$K$2=AO271),'2023DATA'!$L$10,"")</f>
        <v/>
      </c>
      <c r="AP279" s="518" t="str">
        <f>IF(AND(_AC2="A-330-200",'2023'!$K$4="FO",'2023'!$K$2=AP271),'2023DATA'!$M$10,"")</f>
        <v/>
      </c>
      <c r="AQ279" s="520" t="str">
        <f>IF(AND(_AC2="A-330-200",'2023'!$K$4="FO",'2023'!$K$2=AQ271),'2023DATA'!$N$10,"")</f>
        <v/>
      </c>
      <c r="AR279" s="940"/>
      <c r="AS279" s="13" t="s">
        <v>62</v>
      </c>
      <c r="AT279" s="518" t="str">
        <f>IF(AND(_AC3="A-330-200",'2023'!$K$4="FO",'2023'!$K$2=AT271),'2023DATA'!$C$10,"")</f>
        <v/>
      </c>
      <c r="AU279" s="518" t="str">
        <f>IF(AND(_AC3="A-330-200",'2023'!$K$4="FO",'2023'!$K$2=AU271),'2023DATA'!$D$10,"")</f>
        <v/>
      </c>
      <c r="AV279" s="518" t="str">
        <f>IF(AND(_AC3="A-330-200",'2023'!$K$4="FO",'2023'!$K$2=AV271),'2023DATA'!$E$10,"")</f>
        <v/>
      </c>
      <c r="AW279" s="518" t="str">
        <f>IF(AND(_AC3="A-330-200",'2023'!$K$4="FO",'2023'!$K$2=AW271),'2023DATA'!$F$10,"")</f>
        <v/>
      </c>
      <c r="AX279" s="518" t="str">
        <f>IF(AND(_AC3="A-330-200",'2023'!$K$4="FO",'2023'!$K$2=AX271),'2023DATA'!$G$10,"")</f>
        <v/>
      </c>
      <c r="AY279" s="518" t="str">
        <f>IF(AND(_AC3="A-330-200",'2023'!$K$4="FO",'2023'!$K$2=AY271),'2023DATA'!$H$10,"")</f>
        <v/>
      </c>
      <c r="AZ279" s="518" t="str">
        <f>IF(AND(_AC3="A-330-200",'2023'!$K$4="FO",'2023'!$K$2=AZ271),'2023DATA'!$I$10,"")</f>
        <v/>
      </c>
      <c r="BA279" s="518" t="str">
        <f>IF(AND(_AC3="A-330-200",'2023'!$K$4="FO",'2023'!$K$2=BA271),'2023DATA'!$J$10,"")</f>
        <v/>
      </c>
      <c r="BB279" s="518" t="str">
        <f>IF(AND(_AC3="A-330-200",'2023'!$K$4="FO",'2023'!$K$2=BB271),'2023DATA'!$K$10,"")</f>
        <v/>
      </c>
      <c r="BC279" s="518" t="str">
        <f>IF(AND(_AC3="A-330-200",'2023'!$K$4="FO",'2023'!$K$2=BC271),'2023DATA'!$L$10,"")</f>
        <v/>
      </c>
      <c r="BD279" s="518" t="str">
        <f>IF(AND(_AC3="A-330-200",'2023'!$K$4="FO",'2023'!$K$2=BD271),'2023DATA'!$M$10,"")</f>
        <v/>
      </c>
      <c r="BE279" s="520" t="str">
        <f>IF(AND(_AC3="A-330-200",'2023'!$K$4="FO",'2023'!$K$2=BE271),'2023DATA'!$N$10,"")</f>
        <v/>
      </c>
      <c r="BF279" s="940"/>
      <c r="BG279" s="13" t="s">
        <v>62</v>
      </c>
      <c r="BH279" s="518" t="str">
        <f>IF(AND(_AC4="A-330-200",'2023'!$K$4="FO",'2023'!$K$2=BH271),'2023DATA'!$C$10,"")</f>
        <v/>
      </c>
      <c r="BI279" s="518" t="str">
        <f>IF(AND(_AC4="A-330-200",'2023'!$K$4="FO",'2023'!$K$2=BI271),'2023DATA'!$D$10,"")</f>
        <v/>
      </c>
      <c r="BJ279" s="518" t="str">
        <f>IF(AND(_AC4="A-330-200",'2023'!$K$4="FO",'2023'!$K$2=BJ271),'2023DATA'!$E$10,"")</f>
        <v/>
      </c>
      <c r="BK279" s="518" t="str">
        <f>IF(AND(_AC4="A-330-200",'2023'!$K$4="FO",'2023'!$K$2=BK271),'2023DATA'!$F$10,"")</f>
        <v/>
      </c>
      <c r="BL279" s="518" t="str">
        <f>IF(AND(_AC4="A-330-200",'2023'!$K$4="FO",'2023'!$K$2=BL271),'2023DATA'!$G$10,"")</f>
        <v/>
      </c>
      <c r="BM279" s="518" t="str">
        <f>IF(AND(_AC4="A-330-200",'2023'!$K$4="FO",'2023'!$K$2=BM271),'2023DATA'!$H$10,"")</f>
        <v/>
      </c>
      <c r="BN279" s="518" t="str">
        <f>IF(AND(_AC4="A-330-200",'2023'!$K$4="FO",'2023'!$K$2=BN271),'2023DATA'!$I$10,"")</f>
        <v/>
      </c>
      <c r="BO279" s="518" t="str">
        <f>IF(AND(_AC4="A-330-200",'2023'!$K$4="FO",'2023'!$K$2=BO271),'2023DATA'!$J$10,"")</f>
        <v/>
      </c>
      <c r="BP279" s="518" t="str">
        <f>IF(AND(_AC4="A-330-200",'2023'!$K$4="FO",'2023'!$K$2=BP271),'2023DATA'!$K$10,"")</f>
        <v/>
      </c>
      <c r="BQ279" s="518" t="str">
        <f>IF(AND(_AC4="A-330-200",'2023'!$K$4="FO",'2023'!$K$2=BQ271),'2023DATA'!$L$10,"")</f>
        <v/>
      </c>
      <c r="BR279" s="518" t="str">
        <f>IF(AND(_AC4="A-330-200",'2023'!$K$4="FO",'2023'!$K$2=BR271),'2023DATA'!$M$10,"")</f>
        <v/>
      </c>
      <c r="BS279" s="520" t="str">
        <f>IF(AND(_AC4="A-330-200",'2023'!$K$4="FO",'2023'!$K$2=BS271),'2023DATA'!$N$10,"")</f>
        <v/>
      </c>
      <c r="BT279" s="940"/>
      <c r="BU279" s="13" t="s">
        <v>62</v>
      </c>
      <c r="BV279" s="518" t="str">
        <f>IF(AND(_AC5="A-330-200",'2023'!$K$4="FO",'2023'!$K$2=BV271),'2023DATA'!$C$10,"")</f>
        <v/>
      </c>
      <c r="BW279" s="518" t="str">
        <f>IF(AND(_AC5="A-330-200",'2023'!$K$4="FO",'2023'!$K$2=BW271),'2023DATA'!$D$10,"")</f>
        <v/>
      </c>
      <c r="BX279" s="518" t="str">
        <f>IF(AND(_AC5="A-330-200",'2023'!$K$4="FO",'2023'!$K$2=BX271),'2023DATA'!$E$10,"")</f>
        <v/>
      </c>
      <c r="BY279" s="518" t="str">
        <f>IF(AND(_AC5="A-330-200",'2023'!$K$4="FO",'2023'!$K$2=BY271),'2023DATA'!$F$10,"")</f>
        <v/>
      </c>
      <c r="BZ279" s="518" t="str">
        <f>IF(AND(_AC5="A-330-200",'2023'!$K$4="FO",'2023'!$K$2=BZ271),'2023DATA'!$G$10,"")</f>
        <v/>
      </c>
      <c r="CA279" s="518" t="str">
        <f>IF(AND(_AC5="A-330-200",'2023'!$K$4="FO",'2023'!$K$2=CA271),'2023DATA'!$H$10,"")</f>
        <v/>
      </c>
      <c r="CB279" s="518" t="str">
        <f>IF(AND(_AC5="A-330-200",'2023'!$K$4="FO",'2023'!$K$2=CB271),'2023DATA'!$I$10,"")</f>
        <v/>
      </c>
      <c r="CC279" s="518" t="str">
        <f>IF(AND(_AC5="A-330-200",'2023'!$K$4="FO",'2023'!$K$2=CC271),'2023DATA'!$J$10,"")</f>
        <v/>
      </c>
      <c r="CD279" s="518" t="str">
        <f>IF(AND(_AC5="A-330-200",'2023'!$K$4="FO",'2023'!$K$2=CD271),'2023DATA'!$K$10,"")</f>
        <v/>
      </c>
      <c r="CE279" s="518" t="str">
        <f>IF(AND(_AC5="A-330-200",'2023'!$K$4="FO",'2023'!$K$2=CE271),'2023DATA'!$L$10,"")</f>
        <v/>
      </c>
      <c r="CF279" s="518" t="str">
        <f>IF(AND(_AC5="A-330-200",'2023'!$K$4="FO",'2023'!$K$2=CF271),'2023DATA'!$M$10,"")</f>
        <v/>
      </c>
      <c r="CG279" s="520" t="str">
        <f>IF(AND(_AC5="A-330-200",'2023'!$K$4="FO",'2023'!$K$2=CG271),'2023DATA'!$N$10,"")</f>
        <v/>
      </c>
      <c r="CH279" s="940"/>
      <c r="CI279" s="13" t="s">
        <v>62</v>
      </c>
      <c r="CJ279" s="518" t="str">
        <f>IF(AND(_AC6="A-330-200",'2023'!$K$4="FO",'2023'!$K$2=CJ271),'2023DATA'!$C$10,"")</f>
        <v/>
      </c>
      <c r="CK279" s="518" t="str">
        <f>IF(AND(_AC6="A-330-200",'2023'!$K$4="FO",'2023'!$K$2=CK271),'2023DATA'!$D$10,"")</f>
        <v/>
      </c>
      <c r="CL279" s="518" t="str">
        <f>IF(AND(_AC6="A-330-200",'2023'!$K$4="FO",'2023'!$K$2=CL271),'2023DATA'!$E$10,"")</f>
        <v/>
      </c>
      <c r="CM279" s="518" t="str">
        <f>IF(AND(_AC6="A-330-200",'2023'!$K$4="FO",'2023'!$K$2=CM271),'2023DATA'!$F$10,"")</f>
        <v/>
      </c>
      <c r="CN279" s="518" t="str">
        <f>IF(AND(_AC6="A-330-200",'2023'!$K$4="FO",'2023'!$K$2=CN271),'2023DATA'!$G$10,"")</f>
        <v/>
      </c>
      <c r="CO279" s="518" t="str">
        <f>IF(AND(_AC6="A-330-200",'2023'!$K$4="FO",'2023'!$K$2=CO271),'2023DATA'!$H$10,"")</f>
        <v/>
      </c>
      <c r="CP279" s="518" t="str">
        <f>IF(AND(_AC6="A-330-200",'2023'!$K$4="FO",'2023'!$K$2=CP271),'2023DATA'!$I$10,"")</f>
        <v/>
      </c>
      <c r="CQ279" s="518" t="str">
        <f>IF(AND(_AC6="A-330-200",'2023'!$K$4="FO",'2023'!$K$2=CQ271),'2023DATA'!$J$10,"")</f>
        <v/>
      </c>
      <c r="CR279" s="518" t="str">
        <f>IF(AND(_AC6="A-330-200",'2023'!$K$4="FO",'2023'!$K$2=CR271),'2023DATA'!$K$10,"")</f>
        <v/>
      </c>
      <c r="CS279" s="518" t="str">
        <f>IF(AND(_AC6="A-330-200",'2023'!$K$4="FO",'2023'!$K$2=CS271),'2023DATA'!$L$10,"")</f>
        <v/>
      </c>
      <c r="CT279" s="518" t="str">
        <f>IF(AND(_AC6="A-330-200",'2023'!$K$4="FO",'2023'!$K$2=CT271),'2023DATA'!$M$10,"")</f>
        <v/>
      </c>
      <c r="CU279" s="520" t="str">
        <f>IF(AND(_AC6="A-330-200",'2023'!$K$4="FO",'2023'!$K$2=CU271),'2023DATA'!$N$10,"")</f>
        <v/>
      </c>
    </row>
    <row r="280" spans="16:99" x14ac:dyDescent="0.25">
      <c r="P280" s="940" t="s">
        <v>42</v>
      </c>
      <c r="Q280" s="13" t="s">
        <v>61</v>
      </c>
      <c r="R280" s="518" t="str">
        <f>IF(AND(_AC1="B-767-400ER",'2023'!$K$4="CA",'2023'!$K$2=R271),'2023DATA'!$C$11,"")</f>
        <v/>
      </c>
      <c r="S280" s="518" t="str">
        <f>IF(AND(_AC1="B-767-400ER",'2023'!$K$4="CA",'2023'!$K$2=S271),'2023DATA'!$D$11,"")</f>
        <v/>
      </c>
      <c r="T280" s="518" t="str">
        <f>IF(AND(_AC1="B-767-400ER",'2023'!$K$4="CA",'2023'!$K$2=T271),'2023DATA'!$E$11,"")</f>
        <v/>
      </c>
      <c r="U280" s="518" t="str">
        <f>IF(AND(_AC1="B-767-400ER",'2023'!$K$4="CA",'2023'!$K$2=U271),'2023DATA'!$F$11,"")</f>
        <v/>
      </c>
      <c r="V280" s="518" t="str">
        <f>IF(AND(_AC1="B-767-400ER",'2023'!$K$4="CA",'2023'!$K$2=V271),'2023DATA'!$G$11,"")</f>
        <v/>
      </c>
      <c r="W280" s="518" t="str">
        <f>IF(AND(_AC1="B-767-400ER",'2023'!$K$4="CA",'2023'!$K$2=W271),'2023DATA'!$H$11,"")</f>
        <v/>
      </c>
      <c r="X280" s="518" t="str">
        <f>IF(AND(_AC1="B-767-400ER",'2023'!$K$4="CA",'2023'!$K$2=X271),'2023DATA'!$I$11,"")</f>
        <v/>
      </c>
      <c r="Y280" s="518" t="str">
        <f>IF(AND(_AC1="B-767-400ER",'2023'!$K$4="CA",'2023'!$K$2=Y271),'2023DATA'!$J$11,"")</f>
        <v/>
      </c>
      <c r="Z280" s="518" t="str">
        <f>IF(AND(_AC1="B-767-400ER",'2023'!$K$4="CA",'2023'!$K$2=Z271),'2023DATA'!$K$11,"")</f>
        <v/>
      </c>
      <c r="AA280" s="518" t="str">
        <f>IF(AND(_AC1="B-767-400ER",'2023'!$K$4="CA",'2023'!$K$2=AA271),'2023DATA'!$L$11,"")</f>
        <v/>
      </c>
      <c r="AB280" s="518" t="str">
        <f>IF(AND(_AC1="B-767-400ER",'2023'!$K$4="CA",'2023'!$K$2=AB271),'2023DATA'!$M$11,"")</f>
        <v/>
      </c>
      <c r="AC280" s="520" t="str">
        <f>IF(AND(_AC1="B-767-400ER",'2023'!$K$4="CA",'2023'!$K$2=AC271),'2023DATA'!$N$11,"")</f>
        <v/>
      </c>
      <c r="AD280" s="940" t="s">
        <v>42</v>
      </c>
      <c r="AE280" s="13" t="s">
        <v>61</v>
      </c>
      <c r="AF280" s="518" t="str">
        <f>IF(AND(_AC2="B-767-400ER",'2023'!$K$4="CA",'2023'!$K$2=AF271),'2023DATA'!$C$11,"")</f>
        <v/>
      </c>
      <c r="AG280" s="518" t="str">
        <f>IF(AND(_AC2="B-767-400ER",'2023'!$K$4="CA",'2023'!$K$2=AG271),'2023DATA'!$D$11,"")</f>
        <v/>
      </c>
      <c r="AH280" s="518" t="str">
        <f>IF(AND(_AC2="B-767-400ER",'2023'!$K$4="CA",'2023'!$K$2=AH271),'2023DATA'!$E$11,"")</f>
        <v/>
      </c>
      <c r="AI280" s="518" t="str">
        <f>IF(AND(_AC2="B-767-400ER",'2023'!$K$4="CA",'2023'!$K$2=AI271),'2023DATA'!$F$11,"")</f>
        <v/>
      </c>
      <c r="AJ280" s="518" t="str">
        <f>IF(AND(_AC2="B-767-400ER",'2023'!$K$4="CA",'2023'!$K$2=AJ271),'2023DATA'!$G$11,"")</f>
        <v/>
      </c>
      <c r="AK280" s="518" t="str">
        <f>IF(AND(_AC2="B-767-400ER",'2023'!$K$4="CA",'2023'!$K$2=AK271),'2023DATA'!$H$11,"")</f>
        <v/>
      </c>
      <c r="AL280" s="518" t="str">
        <f>IF(AND(_AC2="B-767-400ER",'2023'!$K$4="CA",'2023'!$K$2=AL271),'2023DATA'!$I$11,"")</f>
        <v/>
      </c>
      <c r="AM280" s="518" t="str">
        <f>IF(AND(_AC2="B-767-400ER",'2023'!$K$4="CA",'2023'!$K$2=AM271),'2023DATA'!$J$11,"")</f>
        <v/>
      </c>
      <c r="AN280" s="518" t="str">
        <f>IF(AND(_AC2="B-767-400ER",'2023'!$K$4="CA",'2023'!$K$2=AN271),'2023DATA'!$K$11,"")</f>
        <v/>
      </c>
      <c r="AO280" s="518" t="str">
        <f>IF(AND(_AC2="B-767-400ER",'2023'!$K$4="CA",'2023'!$K$2=AO271),'2023DATA'!$L$11,"")</f>
        <v/>
      </c>
      <c r="AP280" s="518" t="str">
        <f>IF(AND(_AC2="B-767-400ER",'2023'!$K$4="CA",'2023'!$K$2=AP271),'2023DATA'!$M$11,"")</f>
        <v/>
      </c>
      <c r="AQ280" s="520" t="str">
        <f>IF(AND(_AC2="B-767-400ER",'2023'!$K$4="CA",'2023'!$K$2=AQ271),'2023DATA'!$N$11,"")</f>
        <v/>
      </c>
      <c r="AR280" s="940" t="s">
        <v>42</v>
      </c>
      <c r="AS280" s="13" t="s">
        <v>61</v>
      </c>
      <c r="AT280" s="518" t="str">
        <f>IF(AND(_AC3="B-767-400ER",'2023'!$K$4="CA",'2023'!$K$2=AT271),'2023DATA'!$C$11,"")</f>
        <v/>
      </c>
      <c r="AU280" s="518" t="str">
        <f>IF(AND(_AC3="B-767-400ER",'2023'!$K$4="CA",'2023'!$K$2=AU271),'2023DATA'!$D$11,"")</f>
        <v/>
      </c>
      <c r="AV280" s="518" t="str">
        <f>IF(AND(_AC3="B-767-400ER",'2023'!$K$4="CA",'2023'!$K$2=AV271),'2023DATA'!$E$11,"")</f>
        <v/>
      </c>
      <c r="AW280" s="518" t="str">
        <f>IF(AND(_AC3="B-767-400ER",'2023'!$K$4="CA",'2023'!$K$2=AW271),'2023DATA'!$F$11,"")</f>
        <v/>
      </c>
      <c r="AX280" s="518" t="str">
        <f>IF(AND(_AC3="B-767-400ER",'2023'!$K$4="CA",'2023'!$K$2=AX271),'2023DATA'!$G$11,"")</f>
        <v/>
      </c>
      <c r="AY280" s="518" t="str">
        <f>IF(AND(_AC3="B-767-400ER",'2023'!$K$4="CA",'2023'!$K$2=AY271),'2023DATA'!$H$11,"")</f>
        <v/>
      </c>
      <c r="AZ280" s="518" t="str">
        <f>IF(AND(_AC3="B-767-400ER",'2023'!$K$4="CA",'2023'!$K$2=AZ271),'2023DATA'!$I$11,"")</f>
        <v/>
      </c>
      <c r="BA280" s="518" t="str">
        <f>IF(AND(_AC3="B-767-400ER",'2023'!$K$4="CA",'2023'!$K$2=BA271),'2023DATA'!$J$11,"")</f>
        <v/>
      </c>
      <c r="BB280" s="518" t="str">
        <f>IF(AND(_AC3="B-767-400ER",'2023'!$K$4="CA",'2023'!$K$2=BB271),'2023DATA'!$K$11,"")</f>
        <v/>
      </c>
      <c r="BC280" s="518" t="str">
        <f>IF(AND(_AC3="B-767-400ER",'2023'!$K$4="CA",'2023'!$K$2=BC271),'2023DATA'!$L$11,"")</f>
        <v/>
      </c>
      <c r="BD280" s="518" t="str">
        <f>IF(AND(_AC3="B-767-400ER",'2023'!$K$4="CA",'2023'!$K$2=BD271),'2023DATA'!$M$11,"")</f>
        <v/>
      </c>
      <c r="BE280" s="520" t="str">
        <f>IF(AND(_AC3="B-767-400ER",'2023'!$K$4="CA",'2023'!$K$2=BE271),'2023DATA'!$N$11,"")</f>
        <v/>
      </c>
      <c r="BF280" s="940" t="s">
        <v>42</v>
      </c>
      <c r="BG280" s="13" t="s">
        <v>61</v>
      </c>
      <c r="BH280" s="518" t="str">
        <f>IF(AND(_AC4="B-767-400ER",'2023'!$K$4="CA",'2023'!$K$2=BH271),'2023DATA'!$C$11,"")</f>
        <v/>
      </c>
      <c r="BI280" s="518" t="str">
        <f>IF(AND(_AC4="B-767-400ER",'2023'!$K$4="CA",'2023'!$K$2=BI271),'2023DATA'!$D$11,"")</f>
        <v/>
      </c>
      <c r="BJ280" s="518" t="str">
        <f>IF(AND(_AC4="B-767-400ER",'2023'!$K$4="CA",'2023'!$K$2=BJ271),'2023DATA'!$E$11,"")</f>
        <v/>
      </c>
      <c r="BK280" s="518" t="str">
        <f>IF(AND(_AC4="B-767-400ER",'2023'!$K$4="CA",'2023'!$K$2=BK271),'2023DATA'!$F$11,"")</f>
        <v/>
      </c>
      <c r="BL280" s="518" t="str">
        <f>IF(AND(_AC4="B-767-400ER",'2023'!$K$4="CA",'2023'!$K$2=BL271),'2023DATA'!$G$11,"")</f>
        <v/>
      </c>
      <c r="BM280" s="518" t="str">
        <f>IF(AND(_AC4="B-767-400ER",'2023'!$K$4="CA",'2023'!$K$2=BM271),'2023DATA'!$H$11,"")</f>
        <v/>
      </c>
      <c r="BN280" s="518" t="str">
        <f>IF(AND(_AC4="B-767-400ER",'2023'!$K$4="CA",'2023'!$K$2=BN271),'2023DATA'!$I$11,"")</f>
        <v/>
      </c>
      <c r="BO280" s="518" t="str">
        <f>IF(AND(_AC4="B-767-400ER",'2023'!$K$4="CA",'2023'!$K$2=BO271),'2023DATA'!$J$11,"")</f>
        <v/>
      </c>
      <c r="BP280" s="518" t="str">
        <f>IF(AND(_AC4="B-767-400ER",'2023'!$K$4="CA",'2023'!$K$2=BP271),'2023DATA'!$K$11,"")</f>
        <v/>
      </c>
      <c r="BQ280" s="518" t="str">
        <f>IF(AND(_AC4="B-767-400ER",'2023'!$K$4="CA",'2023'!$K$2=BQ271),'2023DATA'!$L$11,"")</f>
        <v/>
      </c>
      <c r="BR280" s="518" t="str">
        <f>IF(AND(_AC4="B-767-400ER",'2023'!$K$4="CA",'2023'!$K$2=BR271),'2023DATA'!$M$11,"")</f>
        <v/>
      </c>
      <c r="BS280" s="520" t="str">
        <f>IF(AND(_AC4="B-767-400ER",'2023'!$K$4="CA",'2023'!$K$2=BS271),'2023DATA'!$N$11,"")</f>
        <v/>
      </c>
      <c r="BT280" s="940" t="s">
        <v>42</v>
      </c>
      <c r="BU280" s="13" t="s">
        <v>61</v>
      </c>
      <c r="BV280" s="518" t="str">
        <f>IF(AND(_AC5="B-767-400ER",'2023'!$K$4="CA",'2023'!$K$2=BV271),'2023DATA'!$C$11,"")</f>
        <v/>
      </c>
      <c r="BW280" s="518" t="str">
        <f>IF(AND(_AC5="B-767-400ER",'2023'!$K$4="CA",'2023'!$K$2=BW271),'2023DATA'!$D$11,"")</f>
        <v/>
      </c>
      <c r="BX280" s="518" t="str">
        <f>IF(AND(_AC5="B-767-400ER",'2023'!$K$4="CA",'2023'!$K$2=BX271),'2023DATA'!$E$11,"")</f>
        <v/>
      </c>
      <c r="BY280" s="518" t="str">
        <f>IF(AND(_AC5="B-767-400ER",'2023'!$K$4="CA",'2023'!$K$2=BY271),'2023DATA'!$F$11,"")</f>
        <v/>
      </c>
      <c r="BZ280" s="518" t="str">
        <f>IF(AND(_AC5="B-767-400ER",'2023'!$K$4="CA",'2023'!$K$2=BZ271),'2023DATA'!$G$11,"")</f>
        <v/>
      </c>
      <c r="CA280" s="518" t="str">
        <f>IF(AND(_AC5="B-767-400ER",'2023'!$K$4="CA",'2023'!$K$2=CA271),'2023DATA'!$H$11,"")</f>
        <v/>
      </c>
      <c r="CB280" s="518" t="str">
        <f>IF(AND(_AC5="B-767-400ER",'2023'!$K$4="CA",'2023'!$K$2=CB271),'2023DATA'!$I$11,"")</f>
        <v/>
      </c>
      <c r="CC280" s="518" t="str">
        <f>IF(AND(_AC5="B-767-400ER",'2023'!$K$4="CA",'2023'!$K$2=CC271),'2023DATA'!$J$11,"")</f>
        <v/>
      </c>
      <c r="CD280" s="518" t="str">
        <f>IF(AND(_AC5="B-767-400ER",'2023'!$K$4="CA",'2023'!$K$2=CD271),'2023DATA'!$K$11,"")</f>
        <v/>
      </c>
      <c r="CE280" s="518" t="str">
        <f>IF(AND(_AC5="B-767-400ER",'2023'!$K$4="CA",'2023'!$K$2=CE271),'2023DATA'!$L$11,"")</f>
        <v/>
      </c>
      <c r="CF280" s="518" t="str">
        <f>IF(AND(_AC5="B-767-400ER",'2023'!$K$4="CA",'2023'!$K$2=CF271),'2023DATA'!$M$11,"")</f>
        <v/>
      </c>
      <c r="CG280" s="520" t="str">
        <f>IF(AND(_AC5="B-767-400ER",'2023'!$K$4="CA",'2023'!$K$2=CG271),'2023DATA'!$N$11,"")</f>
        <v/>
      </c>
      <c r="CH280" s="940" t="s">
        <v>42</v>
      </c>
      <c r="CI280" s="13" t="s">
        <v>61</v>
      </c>
      <c r="CJ280" s="518" t="str">
        <f>IF(AND(_AC6="B-767-400ER",'2023'!$K$4="CA",'2023'!$K$2=CJ271),'2023DATA'!$C$11,"")</f>
        <v/>
      </c>
      <c r="CK280" s="518" t="str">
        <f>IF(AND(_AC6="B-767-400ER",'2023'!$K$4="CA",'2023'!$K$2=CK271),'2023DATA'!$D$11,"")</f>
        <v/>
      </c>
      <c r="CL280" s="518" t="str">
        <f>IF(AND(_AC6="B-767-400ER",'2023'!$K$4="CA",'2023'!$K$2=CL271),'2023DATA'!$E$11,"")</f>
        <v/>
      </c>
      <c r="CM280" s="518" t="str">
        <f>IF(AND(_AC6="B-767-400ER",'2023'!$K$4="CA",'2023'!$K$2=CM271),'2023DATA'!$F$11,"")</f>
        <v/>
      </c>
      <c r="CN280" s="518" t="str">
        <f>IF(AND(_AC6="B-767-400ER",'2023'!$K$4="CA",'2023'!$K$2=CN271),'2023DATA'!$G$11,"")</f>
        <v/>
      </c>
      <c r="CO280" s="518" t="str">
        <f>IF(AND(_AC6="B-767-400ER",'2023'!$K$4="CA",'2023'!$K$2=CO271),'2023DATA'!$H$11,"")</f>
        <v/>
      </c>
      <c r="CP280" s="518" t="str">
        <f>IF(AND(_AC6="B-767-400ER",'2023'!$K$4="CA",'2023'!$K$2=CP271),'2023DATA'!$I$11,"")</f>
        <v/>
      </c>
      <c r="CQ280" s="518" t="str">
        <f>IF(AND(_AC6="B-767-400ER",'2023'!$K$4="CA",'2023'!$K$2=CQ271),'2023DATA'!$J$11,"")</f>
        <v/>
      </c>
      <c r="CR280" s="518" t="str">
        <f>IF(AND(_AC6="B-767-400ER",'2023'!$K$4="CA",'2023'!$K$2=CR271),'2023DATA'!$K$11,"")</f>
        <v/>
      </c>
      <c r="CS280" s="518" t="str">
        <f>IF(AND(_AC6="B-767-400ER",'2023'!$K$4="CA",'2023'!$K$2=CS271),'2023DATA'!$L$11,"")</f>
        <v/>
      </c>
      <c r="CT280" s="518" t="str">
        <f>IF(AND(_AC6="B-767-400ER",'2023'!$K$4="CA",'2023'!$K$2=CT271),'2023DATA'!$M$11,"")</f>
        <v/>
      </c>
      <c r="CU280" s="520" t="str">
        <f>IF(AND(_AC6="B-767-400ER",'2023'!$K$4="CA",'2023'!$K$2=CU271),'2023DATA'!$N$11,"")</f>
        <v/>
      </c>
    </row>
    <row r="281" spans="16:99" x14ac:dyDescent="0.25">
      <c r="P281" s="940"/>
      <c r="Q281" s="13" t="s">
        <v>62</v>
      </c>
      <c r="R281" s="518" t="str">
        <f>IF(AND(_AC1="B-767-400ER",'2023'!$K$4="FO",'2023'!$K$2=R271),'2023DATA'!$C$12,"")</f>
        <v/>
      </c>
      <c r="S281" s="518" t="str">
        <f>IF(AND(_AC1="B-767-400ER",'2023'!$K$4="FO",'2023'!$K$2=S271),'2023DATA'!$D$12,"")</f>
        <v/>
      </c>
      <c r="T281" s="518" t="str">
        <f>IF(AND(_AC1="B-767-400ER",'2023'!$K$4="FO",'2023'!$K$2=T271),'2023DATA'!$E$12,"")</f>
        <v/>
      </c>
      <c r="U281" s="518" t="str">
        <f>IF(AND(_AC1="B-767-400ER",'2023'!$K$4="FO",'2023'!$K$2=U271),'2023DATA'!$F$12,"")</f>
        <v/>
      </c>
      <c r="V281" s="518" t="str">
        <f>IF(AND(_AC1="B-767-400ER",'2023'!$K$4="FO",'2023'!$K$2=V271),'2023DATA'!$G$12,"")</f>
        <v/>
      </c>
      <c r="W281" s="518" t="str">
        <f>IF(AND(_AC1="B-767-400ER",'2023'!$K$4="FO",'2023'!$K$2=W271),'2023DATA'!$H$12,"")</f>
        <v/>
      </c>
      <c r="X281" s="518" t="str">
        <f>IF(AND(_AC1="B-767-400ER",'2023'!$K$4="FO",'2023'!$K$2=X271),'2023DATA'!$I$12,"")</f>
        <v/>
      </c>
      <c r="Y281" s="518" t="str">
        <f>IF(AND(_AC1="B-767-400ER",'2023'!$K$4="FO",'2023'!$K$2=Y271),'2023DATA'!$J$12,"")</f>
        <v/>
      </c>
      <c r="Z281" s="518" t="str">
        <f>IF(AND(_AC1="B-767-400ER",'2023'!$K$4="FO",'2023'!$K$2=Z271),'2023DATA'!$K$12,"")</f>
        <v/>
      </c>
      <c r="AA281" s="518" t="str">
        <f>IF(AND(_AC1="B-767-400ER",'2023'!$K$4="FO",'2023'!$K$2=AA271),'2023DATA'!$L$12,"")</f>
        <v/>
      </c>
      <c r="AB281" s="518" t="str">
        <f>IF(AND(_AC1="B-767-400ER",'2023'!$K$4="FO",'2023'!$K$2=AB271),'2023DATA'!$M$12,"")</f>
        <v/>
      </c>
      <c r="AC281" s="520" t="str">
        <f>IF(AND(_AC1="B-767-400ER",'2023'!$K$4="FO",'2023'!$K$2=AC271),'2023DATA'!$N$12,"")</f>
        <v/>
      </c>
      <c r="AD281" s="940"/>
      <c r="AE281" s="13" t="s">
        <v>62</v>
      </c>
      <c r="AF281" s="518" t="str">
        <f>IF(AND(_AC2="B-767-400ER",'2023'!$K$4="FO",'2023'!$K$2=AF271),'2023DATA'!$C$12,"")</f>
        <v/>
      </c>
      <c r="AG281" s="518" t="str">
        <f>IF(AND(_AC2="B-767-400ER",'2023'!$K$4="FO",'2023'!$K$2=AG271),'2023DATA'!$D$12,"")</f>
        <v/>
      </c>
      <c r="AH281" s="518" t="str">
        <f>IF(AND(_AC2="B-767-400ER",'2023'!$K$4="FO",'2023'!$K$2=AH271),'2023DATA'!$E$12,"")</f>
        <v/>
      </c>
      <c r="AI281" s="518" t="str">
        <f>IF(AND(_AC2="B-767-400ER",'2023'!$K$4="FO",'2023'!$K$2=AI271),'2023DATA'!$F$12,"")</f>
        <v/>
      </c>
      <c r="AJ281" s="518" t="str">
        <f>IF(AND(_AC2="B-767-400ER",'2023'!$K$4="FO",'2023'!$K$2=AJ271),'2023DATA'!$G$12,"")</f>
        <v/>
      </c>
      <c r="AK281" s="518" t="str">
        <f>IF(AND(_AC2="B-767-400ER",'2023'!$K$4="FO",'2023'!$K$2=AK271),'2023DATA'!$H$12,"")</f>
        <v/>
      </c>
      <c r="AL281" s="518" t="str">
        <f>IF(AND(_AC2="B-767-400ER",'2023'!$K$4="FO",'2023'!$K$2=AL271),'2023DATA'!$I$12,"")</f>
        <v/>
      </c>
      <c r="AM281" s="518" t="str">
        <f>IF(AND(_AC2="B-767-400ER",'2023'!$K$4="FO",'2023'!$K$2=AM271),'2023DATA'!$J$12,"")</f>
        <v/>
      </c>
      <c r="AN281" s="518" t="str">
        <f>IF(AND(_AC2="B-767-400ER",'2023'!$K$4="FO",'2023'!$K$2=AN271),'2023DATA'!$K$12,"")</f>
        <v/>
      </c>
      <c r="AO281" s="518" t="str">
        <f>IF(AND(_AC2="B-767-400ER",'2023'!$K$4="FO",'2023'!$K$2=AO271),'2023DATA'!$L$12,"")</f>
        <v/>
      </c>
      <c r="AP281" s="518" t="str">
        <f>IF(AND(_AC2="B-767-400ER",'2023'!$K$4="FO",'2023'!$K$2=AP271),'2023DATA'!$M$12,"")</f>
        <v/>
      </c>
      <c r="AQ281" s="520" t="str">
        <f>IF(AND(_AC2="B-767-400ER",'2023'!$K$4="FO",'2023'!$K$2=AQ271),'2023DATA'!$N$12,"")</f>
        <v/>
      </c>
      <c r="AR281" s="940"/>
      <c r="AS281" s="13" t="s">
        <v>62</v>
      </c>
      <c r="AT281" s="518" t="str">
        <f>IF(AND(_AC3="B-767-400ER",'2023'!$K$4="FO",'2023'!$K$2=AT271),'2023DATA'!$C$12,"")</f>
        <v/>
      </c>
      <c r="AU281" s="518" t="str">
        <f>IF(AND(_AC3="B-767-400ER",'2023'!$K$4="FO",'2023'!$K$2=AU271),'2023DATA'!$D$12,"")</f>
        <v/>
      </c>
      <c r="AV281" s="518" t="str">
        <f>IF(AND(_AC3="B-767-400ER",'2023'!$K$4="FO",'2023'!$K$2=AV271),'2023DATA'!$E$12,"")</f>
        <v/>
      </c>
      <c r="AW281" s="518" t="str">
        <f>IF(AND(_AC3="B-767-400ER",'2023'!$K$4="FO",'2023'!$K$2=AW271),'2023DATA'!$F$12,"")</f>
        <v/>
      </c>
      <c r="AX281" s="518" t="str">
        <f>IF(AND(_AC3="B-767-400ER",'2023'!$K$4="FO",'2023'!$K$2=AX271),'2023DATA'!$G$12,"")</f>
        <v/>
      </c>
      <c r="AY281" s="518" t="str">
        <f>IF(AND(_AC3="B-767-400ER",'2023'!$K$4="FO",'2023'!$K$2=AY271),'2023DATA'!$H$12,"")</f>
        <v/>
      </c>
      <c r="AZ281" s="518" t="str">
        <f>IF(AND(_AC3="B-767-400ER",'2023'!$K$4="FO",'2023'!$K$2=AZ271),'2023DATA'!$I$12,"")</f>
        <v/>
      </c>
      <c r="BA281" s="518" t="str">
        <f>IF(AND(_AC3="B-767-400ER",'2023'!$K$4="FO",'2023'!$K$2=BA271),'2023DATA'!$J$12,"")</f>
        <v/>
      </c>
      <c r="BB281" s="518" t="str">
        <f>IF(AND(_AC3="B-767-400ER",'2023'!$K$4="FO",'2023'!$K$2=BB271),'2023DATA'!$K$12,"")</f>
        <v/>
      </c>
      <c r="BC281" s="518" t="str">
        <f>IF(AND(_AC3="B-767-400ER",'2023'!$K$4="FO",'2023'!$K$2=BC271),'2023DATA'!$L$12,"")</f>
        <v/>
      </c>
      <c r="BD281" s="518" t="str">
        <f>IF(AND(_AC3="B-767-400ER",'2023'!$K$4="FO",'2023'!$K$2=BD271),'2023DATA'!$M$12,"")</f>
        <v/>
      </c>
      <c r="BE281" s="520" t="str">
        <f>IF(AND(_AC3="B-767-400ER",'2023'!$K$4="FO",'2023'!$K$2=BE271),'2023DATA'!$N$12,"")</f>
        <v/>
      </c>
      <c r="BF281" s="940"/>
      <c r="BG281" s="13" t="s">
        <v>62</v>
      </c>
      <c r="BH281" s="518" t="str">
        <f>IF(AND(_AC4="B-767-400ER",'2023'!$K$4="FO",'2023'!$K$2=BH271),'2023DATA'!$C$12,"")</f>
        <v/>
      </c>
      <c r="BI281" s="518" t="str">
        <f>IF(AND(_AC4="B-767-400ER",'2023'!$K$4="FO",'2023'!$K$2=BI271),'2023DATA'!$D$12,"")</f>
        <v/>
      </c>
      <c r="BJ281" s="518" t="str">
        <f>IF(AND(_AC4="B-767-400ER",'2023'!$K$4="FO",'2023'!$K$2=BJ271),'2023DATA'!$E$12,"")</f>
        <v/>
      </c>
      <c r="BK281" s="518" t="str">
        <f>IF(AND(_AC4="B-767-400ER",'2023'!$K$4="FO",'2023'!$K$2=BK271),'2023DATA'!$F$12,"")</f>
        <v/>
      </c>
      <c r="BL281" s="518" t="str">
        <f>IF(AND(_AC4="B-767-400ER",'2023'!$K$4="FO",'2023'!$K$2=BL271),'2023DATA'!$G$12,"")</f>
        <v/>
      </c>
      <c r="BM281" s="518" t="str">
        <f>IF(AND(_AC4="B-767-400ER",'2023'!$K$4="FO",'2023'!$K$2=BM271),'2023DATA'!$H$12,"")</f>
        <v/>
      </c>
      <c r="BN281" s="518" t="str">
        <f>IF(AND(_AC4="B-767-400ER",'2023'!$K$4="FO",'2023'!$K$2=BN271),'2023DATA'!$I$12,"")</f>
        <v/>
      </c>
      <c r="BO281" s="518" t="str">
        <f>IF(AND(_AC4="B-767-400ER",'2023'!$K$4="FO",'2023'!$K$2=BO271),'2023DATA'!$J$12,"")</f>
        <v/>
      </c>
      <c r="BP281" s="518" t="str">
        <f>IF(AND(_AC4="B-767-400ER",'2023'!$K$4="FO",'2023'!$K$2=BP271),'2023DATA'!$K$12,"")</f>
        <v/>
      </c>
      <c r="BQ281" s="518" t="str">
        <f>IF(AND(_AC4="B-767-400ER",'2023'!$K$4="FO",'2023'!$K$2=BQ271),'2023DATA'!$L$12,"")</f>
        <v/>
      </c>
      <c r="BR281" s="518" t="str">
        <f>IF(AND(_AC4="B-767-400ER",'2023'!$K$4="FO",'2023'!$K$2=BR271),'2023DATA'!$M$12,"")</f>
        <v/>
      </c>
      <c r="BS281" s="520" t="str">
        <f>IF(AND(_AC4="B-767-400ER",'2023'!$K$4="FO",'2023'!$K$2=BS271),'2023DATA'!$N$12,"")</f>
        <v/>
      </c>
      <c r="BT281" s="940"/>
      <c r="BU281" s="13" t="s">
        <v>62</v>
      </c>
      <c r="BV281" s="518" t="str">
        <f>IF(AND(_AC5="B-767-400ER",'2023'!$K$4="FO",'2023'!$K$2=BV271),'2023DATA'!$C$12,"")</f>
        <v/>
      </c>
      <c r="BW281" s="518" t="str">
        <f>IF(AND(_AC5="B-767-400ER",'2023'!$K$4="FO",'2023'!$K$2=BW271),'2023DATA'!$D$12,"")</f>
        <v/>
      </c>
      <c r="BX281" s="518" t="str">
        <f>IF(AND(_AC5="B-767-400ER",'2023'!$K$4="FO",'2023'!$K$2=BX271),'2023DATA'!$E$12,"")</f>
        <v/>
      </c>
      <c r="BY281" s="518" t="str">
        <f>IF(AND(_AC5="B-767-400ER",'2023'!$K$4="FO",'2023'!$K$2=BY271),'2023DATA'!$F$12,"")</f>
        <v/>
      </c>
      <c r="BZ281" s="518" t="str">
        <f>IF(AND(_AC5="B-767-400ER",'2023'!$K$4="FO",'2023'!$K$2=BZ271),'2023DATA'!$G$12,"")</f>
        <v/>
      </c>
      <c r="CA281" s="518" t="str">
        <f>IF(AND(_AC5="B-767-400ER",'2023'!$K$4="FO",'2023'!$K$2=CA271),'2023DATA'!$H$12,"")</f>
        <v/>
      </c>
      <c r="CB281" s="518" t="str">
        <f>IF(AND(_AC5="B-767-400ER",'2023'!$K$4="FO",'2023'!$K$2=CB271),'2023DATA'!$I$12,"")</f>
        <v/>
      </c>
      <c r="CC281" s="518" t="str">
        <f>IF(AND(_AC5="B-767-400ER",'2023'!$K$4="FO",'2023'!$K$2=CC271),'2023DATA'!$J$12,"")</f>
        <v/>
      </c>
      <c r="CD281" s="518" t="str">
        <f>IF(AND(_AC5="B-767-400ER",'2023'!$K$4="FO",'2023'!$K$2=CD271),'2023DATA'!$K$12,"")</f>
        <v/>
      </c>
      <c r="CE281" s="518" t="str">
        <f>IF(AND(_AC5="B-767-400ER",'2023'!$K$4="FO",'2023'!$K$2=CE271),'2023DATA'!$L$12,"")</f>
        <v/>
      </c>
      <c r="CF281" s="518" t="str">
        <f>IF(AND(_AC5="B-767-400ER",'2023'!$K$4="FO",'2023'!$K$2=CF271),'2023DATA'!$M$12,"")</f>
        <v/>
      </c>
      <c r="CG281" s="520" t="str">
        <f>IF(AND(_AC5="B-767-400ER",'2023'!$K$4="FO",'2023'!$K$2=CG271),'2023DATA'!$N$12,"")</f>
        <v/>
      </c>
      <c r="CH281" s="940"/>
      <c r="CI281" s="13" t="s">
        <v>62</v>
      </c>
      <c r="CJ281" s="518" t="str">
        <f>IF(AND(_AC6="B-767-400ER",'2023'!$K$4="FO",'2023'!$K$2=CJ271),'2023DATA'!$C$12,"")</f>
        <v/>
      </c>
      <c r="CK281" s="518" t="str">
        <f>IF(AND(_AC6="B-767-400ER",'2023'!$K$4="FO",'2023'!$K$2=CK271),'2023DATA'!$D$12,"")</f>
        <v/>
      </c>
      <c r="CL281" s="518" t="str">
        <f>IF(AND(_AC6="B-767-400ER",'2023'!$K$4="FO",'2023'!$K$2=CL271),'2023DATA'!$E$12,"")</f>
        <v/>
      </c>
      <c r="CM281" s="518" t="str">
        <f>IF(AND(_AC6="B-767-400ER",'2023'!$K$4="FO",'2023'!$K$2=CM271),'2023DATA'!$F$12,"")</f>
        <v/>
      </c>
      <c r="CN281" s="518" t="str">
        <f>IF(AND(_AC6="B-767-400ER",'2023'!$K$4="FO",'2023'!$K$2=CN271),'2023DATA'!$G$12,"")</f>
        <v/>
      </c>
      <c r="CO281" s="518" t="str">
        <f>IF(AND(_AC6="B-767-400ER",'2023'!$K$4="FO",'2023'!$K$2=CO271),'2023DATA'!$H$12,"")</f>
        <v/>
      </c>
      <c r="CP281" s="518" t="str">
        <f>IF(AND(_AC6="B-767-400ER",'2023'!$K$4="FO",'2023'!$K$2=CP271),'2023DATA'!$I$12,"")</f>
        <v/>
      </c>
      <c r="CQ281" s="518" t="str">
        <f>IF(AND(_AC6="B-767-400ER",'2023'!$K$4="FO",'2023'!$K$2=CQ271),'2023DATA'!$J$12,"")</f>
        <v/>
      </c>
      <c r="CR281" s="518" t="str">
        <f>IF(AND(_AC6="B-767-400ER",'2023'!$K$4="FO",'2023'!$K$2=CR271),'2023DATA'!$K$12,"")</f>
        <v/>
      </c>
      <c r="CS281" s="518" t="str">
        <f>IF(AND(_AC6="B-767-400ER",'2023'!$K$4="FO",'2023'!$K$2=CS271),'2023DATA'!$L$12,"")</f>
        <v/>
      </c>
      <c r="CT281" s="518" t="str">
        <f>IF(AND(_AC6="B-767-400ER",'2023'!$K$4="FO",'2023'!$K$2=CT271),'2023DATA'!$M$12,"")</f>
        <v/>
      </c>
      <c r="CU281" s="520" t="str">
        <f>IF(AND(_AC6="B-767-400ER",'2023'!$K$4="FO",'2023'!$K$2=CU271),'2023DATA'!$N$12,"")</f>
        <v/>
      </c>
    </row>
    <row r="282" spans="16:99" x14ac:dyDescent="0.25">
      <c r="P282" s="940" t="s">
        <v>43</v>
      </c>
      <c r="Q282" s="13" t="s">
        <v>61</v>
      </c>
      <c r="R282" s="518" t="str">
        <f>IF(AND(_AC1="B-767-300ER",'2023'!$K$4="CA",'2023'!$K$2=R271),'2023DATA'!$C$13,"")</f>
        <v/>
      </c>
      <c r="S282" s="518" t="str">
        <f>IF(AND(_AC1="B-767-300ER",'2023'!$K$4="CA",'2023'!$K$2=S271),'2023DATA'!$D$13,"")</f>
        <v/>
      </c>
      <c r="T282" s="518" t="str">
        <f>IF(AND(_AC1="B-767-300ER",'2023'!$K$4="CA",'2023'!$K$2=T271),'2023DATA'!$E$13,"")</f>
        <v/>
      </c>
      <c r="U282" s="518" t="str">
        <f>IF(AND(_AC1="B-767-300ER",'2023'!$K$4="CA",'2023'!$K$2=U271),'2023DATA'!$F$13,"")</f>
        <v/>
      </c>
      <c r="V282" s="518" t="str">
        <f>IF(AND(_AC1="B-767-300ER",'2023'!$K$4="CA",'2023'!$K$2=V271),'2023DATA'!$G$13,"")</f>
        <v/>
      </c>
      <c r="W282" s="518" t="str">
        <f>IF(AND(_AC1="B-767-300ER",'2023'!$K$4="CA",'2023'!$K$2=W271),'2023DATA'!$H$13,"")</f>
        <v/>
      </c>
      <c r="X282" s="518" t="str">
        <f>IF(AND(_AC1="B-767-300ER",'2023'!$K$4="CA",'2023'!$K$2=X271),'2023DATA'!$I$13,"")</f>
        <v/>
      </c>
      <c r="Y282" s="518" t="str">
        <f>IF(AND(_AC1="B-767-300ER",'2023'!$K$4="CA",'2023'!$K$2=Y271),'2023DATA'!$J$13,"")</f>
        <v/>
      </c>
      <c r="Z282" s="518" t="str">
        <f>IF(AND(_AC1="B-767-300ER",'2023'!$K$4="CA",'2023'!$K$2=Z271),'2023DATA'!$K$13,"")</f>
        <v/>
      </c>
      <c r="AA282" s="518" t="str">
        <f>IF(AND(_AC1="B-767-300ER",'2023'!$K$4="CA",'2023'!$K$2=AA271),'2023DATA'!$L$13,"")</f>
        <v/>
      </c>
      <c r="AB282" s="518" t="str">
        <f>IF(AND(_AC1="B-767-300ER",'2023'!$K$4="CA",'2023'!$K$2=AB271),'2023DATA'!$M$13,"")</f>
        <v/>
      </c>
      <c r="AC282" s="520" t="str">
        <f>IF(AND(_AC1="B-767-300ER",'2023'!$K$4="CA",'2023'!$K$2=AC271),'2023DATA'!$N$13,"")</f>
        <v/>
      </c>
      <c r="AD282" s="940" t="s">
        <v>43</v>
      </c>
      <c r="AE282" s="13" t="s">
        <v>61</v>
      </c>
      <c r="AF282" s="518" t="str">
        <f>IF(AND(_AC2="B-767-300ER",'2023'!$K$4="CA",'2023'!$K$2=AF271),'2023DATA'!$C$13,"")</f>
        <v/>
      </c>
      <c r="AG282" s="518" t="str">
        <f>IF(AND(_AC2="B-767-300ER",'2023'!$K$4="CA",'2023'!$K$2=AG271),'2023DATA'!$D$13,"")</f>
        <v/>
      </c>
      <c r="AH282" s="518" t="str">
        <f>IF(AND(_AC2="B-767-300ER",'2023'!$K$4="CA",'2023'!$K$2=AH271),'2023DATA'!$E$13,"")</f>
        <v/>
      </c>
      <c r="AI282" s="518" t="str">
        <f>IF(AND(_AC2="B-767-300ER",'2023'!$K$4="CA",'2023'!$K$2=AI271),'2023DATA'!$F$13,"")</f>
        <v/>
      </c>
      <c r="AJ282" s="518" t="str">
        <f>IF(AND(_AC2="B-767-300ER",'2023'!$K$4="CA",'2023'!$K$2=AJ271),'2023DATA'!$G$13,"")</f>
        <v/>
      </c>
      <c r="AK282" s="518" t="str">
        <f>IF(AND(_AC2="B-767-300ER",'2023'!$K$4="CA",'2023'!$K$2=AK271),'2023DATA'!$H$13,"")</f>
        <v/>
      </c>
      <c r="AL282" s="518" t="str">
        <f>IF(AND(_AC2="B-767-300ER",'2023'!$K$4="CA",'2023'!$K$2=AL271),'2023DATA'!$I$13,"")</f>
        <v/>
      </c>
      <c r="AM282" s="518" t="str">
        <f>IF(AND(_AC2="B-767-300ER",'2023'!$K$4="CA",'2023'!$K$2=AM271),'2023DATA'!$J$13,"")</f>
        <v/>
      </c>
      <c r="AN282" s="518" t="str">
        <f>IF(AND(_AC2="B-767-300ER",'2023'!$K$4="CA",'2023'!$K$2=AN271),'2023DATA'!$K$13,"")</f>
        <v/>
      </c>
      <c r="AO282" s="518" t="str">
        <f>IF(AND(_AC2="B-767-300ER",'2023'!$K$4="CA",'2023'!$K$2=AO271),'2023DATA'!$L$13,"")</f>
        <v/>
      </c>
      <c r="AP282" s="518" t="str">
        <f>IF(AND(_AC2="B-767-300ER",'2023'!$K$4="CA",'2023'!$K$2=AP271),'2023DATA'!$M$13,"")</f>
        <v/>
      </c>
      <c r="AQ282" s="520" t="str">
        <f>IF(AND(_AC2="B-767-300ER",'2023'!$K$4="CA",'2023'!$K$2=AQ271),'2023DATA'!$N$13,"")</f>
        <v/>
      </c>
      <c r="AR282" s="940" t="s">
        <v>43</v>
      </c>
      <c r="AS282" s="13" t="s">
        <v>61</v>
      </c>
      <c r="AT282" s="518" t="str">
        <f>IF(AND(_AC3="B-767-300ER",'2023'!$K$4="CA",'2023'!$K$2=AT271),'2023DATA'!$C$13,"")</f>
        <v/>
      </c>
      <c r="AU282" s="518" t="str">
        <f>IF(AND(_AC3="B-767-300ER",'2023'!$K$4="CA",'2023'!$K$2=AU271),'2023DATA'!$D$13,"")</f>
        <v/>
      </c>
      <c r="AV282" s="518" t="str">
        <f>IF(AND(_AC3="B-767-300ER",'2023'!$K$4="CA",'2023'!$K$2=AV271),'2023DATA'!$E$13,"")</f>
        <v/>
      </c>
      <c r="AW282" s="518" t="str">
        <f>IF(AND(_AC3="B-767-300ER",'2023'!$K$4="CA",'2023'!$K$2=AW271),'2023DATA'!$F$13,"")</f>
        <v/>
      </c>
      <c r="AX282" s="518" t="str">
        <f>IF(AND(_AC3="B-767-300ER",'2023'!$K$4="CA",'2023'!$K$2=AX271),'2023DATA'!$G$13,"")</f>
        <v/>
      </c>
      <c r="AY282" s="518" t="str">
        <f>IF(AND(_AC3="B-767-300ER",'2023'!$K$4="CA",'2023'!$K$2=AY271),'2023DATA'!$H$13,"")</f>
        <v/>
      </c>
      <c r="AZ282" s="518" t="str">
        <f>IF(AND(_AC3="B-767-300ER",'2023'!$K$4="CA",'2023'!$K$2=AZ271),'2023DATA'!$I$13,"")</f>
        <v/>
      </c>
      <c r="BA282" s="518" t="str">
        <f>IF(AND(_AC3="B-767-300ER",'2023'!$K$4="CA",'2023'!$K$2=BA271),'2023DATA'!$J$13,"")</f>
        <v/>
      </c>
      <c r="BB282" s="518" t="str">
        <f>IF(AND(_AC3="B-767-300ER",'2023'!$K$4="CA",'2023'!$K$2=BB271),'2023DATA'!$K$13,"")</f>
        <v/>
      </c>
      <c r="BC282" s="518" t="str">
        <f>IF(AND(_AC3="B-767-300ER",'2023'!$K$4="CA",'2023'!$K$2=BC271),'2023DATA'!$L$13,"")</f>
        <v/>
      </c>
      <c r="BD282" s="518" t="str">
        <f>IF(AND(_AC3="B-767-300ER",'2023'!$K$4="CA",'2023'!$K$2=BD271),'2023DATA'!$M$13,"")</f>
        <v/>
      </c>
      <c r="BE282" s="520" t="str">
        <f>IF(AND(_AC3="B-767-300ER",'2023'!$K$4="CA",'2023'!$K$2=BE271),'2023DATA'!$N$13,"")</f>
        <v/>
      </c>
      <c r="BF282" s="940" t="s">
        <v>43</v>
      </c>
      <c r="BG282" s="13" t="s">
        <v>61</v>
      </c>
      <c r="BH282" s="518" t="str">
        <f>IF(AND(_AC4="B-767-300ER",'2023'!$K$4="CA",'2023'!$K$2=BH271),'2023DATA'!$C$13,"")</f>
        <v/>
      </c>
      <c r="BI282" s="518" t="str">
        <f>IF(AND(_AC4="B-767-300ER",'2023'!$K$4="CA",'2023'!$K$2=BI271),'2023DATA'!$D$13,"")</f>
        <v/>
      </c>
      <c r="BJ282" s="518" t="str">
        <f>IF(AND(_AC4="B-767-300ER",'2023'!$K$4="CA",'2023'!$K$2=BJ271),'2023DATA'!$E$13,"")</f>
        <v/>
      </c>
      <c r="BK282" s="518" t="str">
        <f>IF(AND(_AC4="B-767-300ER",'2023'!$K$4="CA",'2023'!$K$2=BK271),'2023DATA'!$F$13,"")</f>
        <v/>
      </c>
      <c r="BL282" s="518" t="str">
        <f>IF(AND(_AC4="B-767-300ER",'2023'!$K$4="CA",'2023'!$K$2=BL271),'2023DATA'!$G$13,"")</f>
        <v/>
      </c>
      <c r="BM282" s="518" t="str">
        <f>IF(AND(_AC4="B-767-300ER",'2023'!$K$4="CA",'2023'!$K$2=BM271),'2023DATA'!$H$13,"")</f>
        <v/>
      </c>
      <c r="BN282" s="518" t="str">
        <f>IF(AND(_AC4="B-767-300ER",'2023'!$K$4="CA",'2023'!$K$2=BN271),'2023DATA'!$I$13,"")</f>
        <v/>
      </c>
      <c r="BO282" s="518" t="str">
        <f>IF(AND(_AC4="B-767-300ER",'2023'!$K$4="CA",'2023'!$K$2=BO271),'2023DATA'!$J$13,"")</f>
        <v/>
      </c>
      <c r="BP282" s="518" t="str">
        <f>IF(AND(_AC4="B-767-300ER",'2023'!$K$4="CA",'2023'!$K$2=BP271),'2023DATA'!$K$13,"")</f>
        <v/>
      </c>
      <c r="BQ282" s="518" t="str">
        <f>IF(AND(_AC4="B-767-300ER",'2023'!$K$4="CA",'2023'!$K$2=BQ271),'2023DATA'!$L$13,"")</f>
        <v/>
      </c>
      <c r="BR282" s="518" t="str">
        <f>IF(AND(_AC4="B-767-300ER",'2023'!$K$4="CA",'2023'!$K$2=BR271),'2023DATA'!$M$13,"")</f>
        <v/>
      </c>
      <c r="BS282" s="520" t="str">
        <f>IF(AND(_AC4="B-767-300ER",'2023'!$K$4="CA",'2023'!$K$2=BS271),'2023DATA'!$N$13,"")</f>
        <v/>
      </c>
      <c r="BT282" s="940" t="s">
        <v>43</v>
      </c>
      <c r="BU282" s="13" t="s">
        <v>61</v>
      </c>
      <c r="BV282" s="518" t="str">
        <f>IF(AND(_AC5="B-767-300ER",'2023'!$K$4="CA",'2023'!$K$2=BV271),'2023DATA'!$C$13,"")</f>
        <v/>
      </c>
      <c r="BW282" s="518" t="str">
        <f>IF(AND(_AC5="B-767-300ER",'2023'!$K$4="CA",'2023'!$K$2=BW271),'2023DATA'!$D$13,"")</f>
        <v/>
      </c>
      <c r="BX282" s="518" t="str">
        <f>IF(AND(_AC5="B-767-300ER",'2023'!$K$4="CA",'2023'!$K$2=BX271),'2023DATA'!$E$13,"")</f>
        <v/>
      </c>
      <c r="BY282" s="518" t="str">
        <f>IF(AND(_AC5="B-767-300ER",'2023'!$K$4="CA",'2023'!$K$2=BY271),'2023DATA'!$F$13,"")</f>
        <v/>
      </c>
      <c r="BZ282" s="518" t="str">
        <f>IF(AND(_AC5="B-767-300ER",'2023'!$K$4="CA",'2023'!$K$2=BZ271),'2023DATA'!$G$13,"")</f>
        <v/>
      </c>
      <c r="CA282" s="518" t="str">
        <f>IF(AND(_AC5="B-767-300ER",'2023'!$K$4="CA",'2023'!$K$2=CA271),'2023DATA'!$H$13,"")</f>
        <v/>
      </c>
      <c r="CB282" s="518" t="str">
        <f>IF(AND(_AC5="B-767-300ER",'2023'!$K$4="CA",'2023'!$K$2=CB271),'2023DATA'!$I$13,"")</f>
        <v/>
      </c>
      <c r="CC282" s="518" t="str">
        <f>IF(AND(_AC5="B-767-300ER",'2023'!$K$4="CA",'2023'!$K$2=CC271),'2023DATA'!$J$13,"")</f>
        <v/>
      </c>
      <c r="CD282" s="518" t="str">
        <f>IF(AND(_AC5="B-767-300ER",'2023'!$K$4="CA",'2023'!$K$2=CD271),'2023DATA'!$K$13,"")</f>
        <v/>
      </c>
      <c r="CE282" s="518" t="str">
        <f>IF(AND(_AC5="B-767-300ER",'2023'!$K$4="CA",'2023'!$K$2=CE271),'2023DATA'!$L$13,"")</f>
        <v/>
      </c>
      <c r="CF282" s="518" t="str">
        <f>IF(AND(_AC5="B-767-300ER",'2023'!$K$4="CA",'2023'!$K$2=CF271),'2023DATA'!$M$13,"")</f>
        <v/>
      </c>
      <c r="CG282" s="520" t="str">
        <f>IF(AND(_AC5="B-767-300ER",'2023'!$K$4="CA",'2023'!$K$2=CG271),'2023DATA'!$N$13,"")</f>
        <v/>
      </c>
      <c r="CH282" s="940" t="s">
        <v>43</v>
      </c>
      <c r="CI282" s="13" t="s">
        <v>61</v>
      </c>
      <c r="CJ282" s="518" t="str">
        <f>IF(AND(_AC6="B-767-300ER",'2023'!$K$4="CA",'2023'!$K$2=CJ271),'2023DATA'!$C$13,"")</f>
        <v/>
      </c>
      <c r="CK282" s="518" t="str">
        <f>IF(AND(_AC6="B-767-300ER",'2023'!$K$4="CA",'2023'!$K$2=CK271),'2023DATA'!$D$13,"")</f>
        <v/>
      </c>
      <c r="CL282" s="518" t="str">
        <f>IF(AND(_AC6="B-767-300ER",'2023'!$K$4="CA",'2023'!$K$2=CL271),'2023DATA'!$E$13,"")</f>
        <v/>
      </c>
      <c r="CM282" s="518" t="str">
        <f>IF(AND(_AC6="B-767-300ER",'2023'!$K$4="CA",'2023'!$K$2=CM271),'2023DATA'!$F$13,"")</f>
        <v/>
      </c>
      <c r="CN282" s="518" t="str">
        <f>IF(AND(_AC6="B-767-300ER",'2023'!$K$4="CA",'2023'!$K$2=CN271),'2023DATA'!$G$13,"")</f>
        <v/>
      </c>
      <c r="CO282" s="518" t="str">
        <f>IF(AND(_AC6="B-767-300ER",'2023'!$K$4="CA",'2023'!$K$2=CO271),'2023DATA'!$H$13,"")</f>
        <v/>
      </c>
      <c r="CP282" s="518" t="str">
        <f>IF(AND(_AC6="B-767-300ER",'2023'!$K$4="CA",'2023'!$K$2=CP271),'2023DATA'!$I$13,"")</f>
        <v/>
      </c>
      <c r="CQ282" s="518" t="str">
        <f>IF(AND(_AC6="B-767-300ER",'2023'!$K$4="CA",'2023'!$K$2=CQ271),'2023DATA'!$J$13,"")</f>
        <v/>
      </c>
      <c r="CR282" s="518" t="str">
        <f>IF(AND(_AC6="B-767-300ER",'2023'!$K$4="CA",'2023'!$K$2=CR271),'2023DATA'!$K$13,"")</f>
        <v/>
      </c>
      <c r="CS282" s="518" t="str">
        <f>IF(AND(_AC6="B-767-300ER",'2023'!$K$4="CA",'2023'!$K$2=CS271),'2023DATA'!$L$13,"")</f>
        <v/>
      </c>
      <c r="CT282" s="518" t="str">
        <f>IF(AND(_AC6="B-767-300ER",'2023'!$K$4="CA",'2023'!$K$2=CT271),'2023DATA'!$M$13,"")</f>
        <v/>
      </c>
      <c r="CU282" s="520" t="str">
        <f>IF(AND(_AC6="B-767-300ER",'2023'!$K$4="CA",'2023'!$K$2=CU271),'2023DATA'!$N$13,"")</f>
        <v/>
      </c>
    </row>
    <row r="283" spans="16:99" x14ac:dyDescent="0.25">
      <c r="P283" s="940"/>
      <c r="Q283" s="13" t="s">
        <v>62</v>
      </c>
      <c r="R283" s="518" t="str">
        <f>IF(AND(_AC1="B-767-300ER",'2023'!$K$4="FO",'2023'!$K$2=R271),'2023DATA'!$C$14,"")</f>
        <v/>
      </c>
      <c r="S283" s="518" t="str">
        <f>IF(AND(_AC1="B-767-300ER",'2023'!$K$4="FO",'2023'!$K$2=S271),'2023DATA'!$D$14,"")</f>
        <v/>
      </c>
      <c r="T283" s="518" t="str">
        <f>IF(AND(_AC1="B-767-300ER",'2023'!$K$4="FO",'2023'!$K$2=T271),'2023DATA'!$E$14,"")</f>
        <v/>
      </c>
      <c r="U283" s="518" t="str">
        <f>IF(AND(_AC1="B-767-300ER",'2023'!$K$4="FO",'2023'!$K$2=U271),'2023DATA'!$F$14,"")</f>
        <v/>
      </c>
      <c r="V283" s="518" t="str">
        <f>IF(AND(_AC1="B-767-300ER",'2023'!$K$4="FO",'2023'!$K$2=V271),'2023DATA'!$G$14,"")</f>
        <v/>
      </c>
      <c r="W283" s="518" t="str">
        <f>IF(AND(_AC1="B-767-300ER",'2023'!$K$4="FO",'2023'!$K$2=W271),'2023DATA'!$H$14,"")</f>
        <v/>
      </c>
      <c r="X283" s="518" t="str">
        <f>IF(AND(_AC1="B-767-300ER",'2023'!$K$4="FO",'2023'!$K$2=X271),'2023DATA'!$I$14,"")</f>
        <v/>
      </c>
      <c r="Y283" s="518" t="str">
        <f>IF(AND(_AC1="B-767-300ER",'2023'!$K$4="FO",'2023'!$K$2=Y271),'2023DATA'!$J$14,"")</f>
        <v/>
      </c>
      <c r="Z283" s="518" t="str">
        <f>IF(AND(_AC1="B-767-300ER",'2023'!$K$4="FO",'2023'!$K$2=Z271),'2023DATA'!$K$14,"")</f>
        <v/>
      </c>
      <c r="AA283" s="518" t="str">
        <f>IF(AND(_AC1="B-767-300ER",'2023'!$K$4="FO",'2023'!$K$2=AA271),'2023DATA'!$L$14,"")</f>
        <v/>
      </c>
      <c r="AB283" s="518" t="str">
        <f>IF(AND(_AC1="B-767-300ER",'2023'!$K$4="FO",'2023'!$K$2=AB271),'2023DATA'!$M$14,"")</f>
        <v/>
      </c>
      <c r="AC283" s="520" t="str">
        <f>IF(AND(_AC1="B-767-300ER",'2023'!$K$4="FO",'2023'!$K$2=AC271),'2023DATA'!$N$14,"")</f>
        <v/>
      </c>
      <c r="AD283" s="940"/>
      <c r="AE283" s="13" t="s">
        <v>62</v>
      </c>
      <c r="AF283" s="518" t="str">
        <f>IF(AND(_AC2="B-767-300ER",'2023'!$K$4="FO",'2023'!$K$2=AF271),'2023DATA'!$C$14,"")</f>
        <v/>
      </c>
      <c r="AG283" s="518" t="str">
        <f>IF(AND(_AC2="B-767-300ER",'2023'!$K$4="FO",'2023'!$K$2=AG271),'2023DATA'!$D$14,"")</f>
        <v/>
      </c>
      <c r="AH283" s="518" t="str">
        <f>IF(AND(_AC2="B-767-300ER",'2023'!$K$4="FO",'2023'!$K$2=AH271),'2023DATA'!$E$14,"")</f>
        <v/>
      </c>
      <c r="AI283" s="518" t="str">
        <f>IF(AND(_AC2="B-767-300ER",'2023'!$K$4="FO",'2023'!$K$2=AI271),'2023DATA'!$F$14,"")</f>
        <v/>
      </c>
      <c r="AJ283" s="518" t="str">
        <f>IF(AND(_AC2="B-767-300ER",'2023'!$K$4="FO",'2023'!$K$2=AJ271),'2023DATA'!$G$14,"")</f>
        <v/>
      </c>
      <c r="AK283" s="518" t="str">
        <f>IF(AND(_AC2="B-767-300ER",'2023'!$K$4="FO",'2023'!$K$2=AK271),'2023DATA'!$H$14,"")</f>
        <v/>
      </c>
      <c r="AL283" s="518" t="str">
        <f>IF(AND(_AC2="B-767-300ER",'2023'!$K$4="FO",'2023'!$K$2=AL271),'2023DATA'!$I$14,"")</f>
        <v/>
      </c>
      <c r="AM283" s="518" t="str">
        <f>IF(AND(_AC2="B-767-300ER",'2023'!$K$4="FO",'2023'!$K$2=AM271),'2023DATA'!$J$14,"")</f>
        <v/>
      </c>
      <c r="AN283" s="518" t="str">
        <f>IF(AND(_AC2="B-767-300ER",'2023'!$K$4="FO",'2023'!$K$2=AN271),'2023DATA'!$K$14,"")</f>
        <v/>
      </c>
      <c r="AO283" s="518" t="str">
        <f>IF(AND(_AC2="B-767-300ER",'2023'!$K$4="FO",'2023'!$K$2=AO271),'2023DATA'!$L$14,"")</f>
        <v/>
      </c>
      <c r="AP283" s="518" t="str">
        <f>IF(AND(_AC2="B-767-300ER",'2023'!$K$4="FO",'2023'!$K$2=AP271),'2023DATA'!$M$14,"")</f>
        <v/>
      </c>
      <c r="AQ283" s="520" t="str">
        <f>IF(AND(_AC2="B-767-300ER",'2023'!$K$4="FO",'2023'!$K$2=AQ271),'2023DATA'!$N$14,"")</f>
        <v/>
      </c>
      <c r="AR283" s="940"/>
      <c r="AS283" s="13" t="s">
        <v>62</v>
      </c>
      <c r="AT283" s="518" t="str">
        <f>IF(AND(_AC3="B-767-300ER",'2023'!$K$4="FO",'2023'!$K$2=AT271),'2023DATA'!$C$14,"")</f>
        <v/>
      </c>
      <c r="AU283" s="518" t="str">
        <f>IF(AND(_AC3="B-767-300ER",'2023'!$K$4="FO",'2023'!$K$2=AU271),'2023DATA'!$D$14,"")</f>
        <v/>
      </c>
      <c r="AV283" s="518" t="str">
        <f>IF(AND(_AC3="B-767-300ER",'2023'!$K$4="FO",'2023'!$K$2=AV271),'2023DATA'!$E$14,"")</f>
        <v/>
      </c>
      <c r="AW283" s="518" t="str">
        <f>IF(AND(_AC3="B-767-300ER",'2023'!$K$4="FO",'2023'!$K$2=AW271),'2023DATA'!$F$14,"")</f>
        <v/>
      </c>
      <c r="AX283" s="518" t="str">
        <f>IF(AND(_AC3="B-767-300ER",'2023'!$K$4="FO",'2023'!$K$2=AX271),'2023DATA'!$G$14,"")</f>
        <v/>
      </c>
      <c r="AY283" s="518" t="str">
        <f>IF(AND(_AC3="B-767-300ER",'2023'!$K$4="FO",'2023'!$K$2=AY271),'2023DATA'!$H$14,"")</f>
        <v/>
      </c>
      <c r="AZ283" s="518" t="str">
        <f>IF(AND(_AC3="B-767-300ER",'2023'!$K$4="FO",'2023'!$K$2=AZ271),'2023DATA'!$I$14,"")</f>
        <v/>
      </c>
      <c r="BA283" s="518" t="str">
        <f>IF(AND(_AC3="B-767-300ER",'2023'!$K$4="FO",'2023'!$K$2=BA271),'2023DATA'!$J$14,"")</f>
        <v/>
      </c>
      <c r="BB283" s="518" t="str">
        <f>IF(AND(_AC3="B-767-300ER",'2023'!$K$4="FO",'2023'!$K$2=BB271),'2023DATA'!$K$14,"")</f>
        <v/>
      </c>
      <c r="BC283" s="518" t="str">
        <f>IF(AND(_AC3="B-767-300ER",'2023'!$K$4="FO",'2023'!$K$2=BC271),'2023DATA'!$L$14,"")</f>
        <v/>
      </c>
      <c r="BD283" s="518" t="str">
        <f>IF(AND(_AC3="B-767-300ER",'2023'!$K$4="FO",'2023'!$K$2=BD271),'2023DATA'!$M$14,"")</f>
        <v/>
      </c>
      <c r="BE283" s="520" t="str">
        <f>IF(AND(_AC3="B-767-300ER",'2023'!$K$4="FO",'2023'!$K$2=BE271),'2023DATA'!$N$14,"")</f>
        <v/>
      </c>
      <c r="BF283" s="940"/>
      <c r="BG283" s="13" t="s">
        <v>62</v>
      </c>
      <c r="BH283" s="518" t="str">
        <f>IF(AND(_AC4="B-767-300ER",'2023'!$K$4="FO",'2023'!$K$2=BH271),'2023DATA'!$C$14,"")</f>
        <v/>
      </c>
      <c r="BI283" s="518" t="str">
        <f>IF(AND(_AC4="B-767-300ER",'2023'!$K$4="FO",'2023'!$K$2=BI271),'2023DATA'!$D$14,"")</f>
        <v/>
      </c>
      <c r="BJ283" s="518" t="str">
        <f>IF(AND(_AC4="B-767-300ER",'2023'!$K$4="FO",'2023'!$K$2=BJ271),'2023DATA'!$E$14,"")</f>
        <v/>
      </c>
      <c r="BK283" s="518" t="str">
        <f>IF(AND(_AC4="B-767-300ER",'2023'!$K$4="FO",'2023'!$K$2=BK271),'2023DATA'!$F$14,"")</f>
        <v/>
      </c>
      <c r="BL283" s="518" t="str">
        <f>IF(AND(_AC4="B-767-300ER",'2023'!$K$4="FO",'2023'!$K$2=BL271),'2023DATA'!$G$14,"")</f>
        <v/>
      </c>
      <c r="BM283" s="518" t="str">
        <f>IF(AND(_AC4="B-767-300ER",'2023'!$K$4="FO",'2023'!$K$2=BM271),'2023DATA'!$H$14,"")</f>
        <v/>
      </c>
      <c r="BN283" s="518" t="str">
        <f>IF(AND(_AC4="B-767-300ER",'2023'!$K$4="FO",'2023'!$K$2=BN271),'2023DATA'!$I$14,"")</f>
        <v/>
      </c>
      <c r="BO283" s="518" t="str">
        <f>IF(AND(_AC4="B-767-300ER",'2023'!$K$4="FO",'2023'!$K$2=BO271),'2023DATA'!$J$14,"")</f>
        <v/>
      </c>
      <c r="BP283" s="518" t="str">
        <f>IF(AND(_AC4="B-767-300ER",'2023'!$K$4="FO",'2023'!$K$2=BP271),'2023DATA'!$K$14,"")</f>
        <v/>
      </c>
      <c r="BQ283" s="518" t="str">
        <f>IF(AND(_AC4="B-767-300ER",'2023'!$K$4="FO",'2023'!$K$2=BQ271),'2023DATA'!$L$14,"")</f>
        <v/>
      </c>
      <c r="BR283" s="518" t="str">
        <f>IF(AND(_AC4="B-767-300ER",'2023'!$K$4="FO",'2023'!$K$2=BR271),'2023DATA'!$M$14,"")</f>
        <v/>
      </c>
      <c r="BS283" s="520" t="str">
        <f>IF(AND(_AC4="B-767-300ER",'2023'!$K$4="FO",'2023'!$K$2=BS271),'2023DATA'!$N$14,"")</f>
        <v/>
      </c>
      <c r="BT283" s="940"/>
      <c r="BU283" s="13" t="s">
        <v>62</v>
      </c>
      <c r="BV283" s="518" t="str">
        <f>IF(AND(_AC5="B-767-300ER",'2023'!$K$4="FO",'2023'!$K$2=BV271),'2023DATA'!$C$14,"")</f>
        <v/>
      </c>
      <c r="BW283" s="518" t="str">
        <f>IF(AND(_AC5="B-767-300ER",'2023'!$K$4="FO",'2023'!$K$2=BW271),'2023DATA'!$D$14,"")</f>
        <v/>
      </c>
      <c r="BX283" s="518" t="str">
        <f>IF(AND(_AC5="B-767-300ER",'2023'!$K$4="FO",'2023'!$K$2=BX271),'2023DATA'!$E$14,"")</f>
        <v/>
      </c>
      <c r="BY283" s="518" t="str">
        <f>IF(AND(_AC5="B-767-300ER",'2023'!$K$4="FO",'2023'!$K$2=BY271),'2023DATA'!$F$14,"")</f>
        <v/>
      </c>
      <c r="BZ283" s="518" t="str">
        <f>IF(AND(_AC5="B-767-300ER",'2023'!$K$4="FO",'2023'!$K$2=BZ271),'2023DATA'!$G$14,"")</f>
        <v/>
      </c>
      <c r="CA283" s="518" t="str">
        <f>IF(AND(_AC5="B-767-300ER",'2023'!$K$4="FO",'2023'!$K$2=CA271),'2023DATA'!$H$14,"")</f>
        <v/>
      </c>
      <c r="CB283" s="518" t="str">
        <f>IF(AND(_AC5="B-767-300ER",'2023'!$K$4="FO",'2023'!$K$2=CB271),'2023DATA'!$I$14,"")</f>
        <v/>
      </c>
      <c r="CC283" s="518" t="str">
        <f>IF(AND(_AC5="B-767-300ER",'2023'!$K$4="FO",'2023'!$K$2=CC271),'2023DATA'!$J$14,"")</f>
        <v/>
      </c>
      <c r="CD283" s="518" t="str">
        <f>IF(AND(_AC5="B-767-300ER",'2023'!$K$4="FO",'2023'!$K$2=CD271),'2023DATA'!$K$14,"")</f>
        <v/>
      </c>
      <c r="CE283" s="518" t="str">
        <f>IF(AND(_AC5="B-767-300ER",'2023'!$K$4="FO",'2023'!$K$2=CE271),'2023DATA'!$L$14,"")</f>
        <v/>
      </c>
      <c r="CF283" s="518" t="str">
        <f>IF(AND(_AC5="B-767-300ER",'2023'!$K$4="FO",'2023'!$K$2=CF271),'2023DATA'!$M$14,"")</f>
        <v/>
      </c>
      <c r="CG283" s="520" t="str">
        <f>IF(AND(_AC5="B-767-300ER",'2023'!$K$4="FO",'2023'!$K$2=CG271),'2023DATA'!$N$14,"")</f>
        <v/>
      </c>
      <c r="CH283" s="940"/>
      <c r="CI283" s="13" t="s">
        <v>62</v>
      </c>
      <c r="CJ283" s="518" t="str">
        <f>IF(AND(_AC6="B-767-300ER",'2023'!$K$4="FO",'2023'!$K$2=CJ271),'2023DATA'!$C$14,"")</f>
        <v/>
      </c>
      <c r="CK283" s="518" t="str">
        <f>IF(AND(_AC6="B-767-300ER",'2023'!$K$4="FO",'2023'!$K$2=CK271),'2023DATA'!$D$14,"")</f>
        <v/>
      </c>
      <c r="CL283" s="518" t="str">
        <f>IF(AND(_AC6="B-767-300ER",'2023'!$K$4="FO",'2023'!$K$2=CL271),'2023DATA'!$E$14,"")</f>
        <v/>
      </c>
      <c r="CM283" s="518" t="str">
        <f>IF(AND(_AC6="B-767-300ER",'2023'!$K$4="FO",'2023'!$K$2=CM271),'2023DATA'!$F$14,"")</f>
        <v/>
      </c>
      <c r="CN283" s="518" t="str">
        <f>IF(AND(_AC6="B-767-300ER",'2023'!$K$4="FO",'2023'!$K$2=CN271),'2023DATA'!$G$14,"")</f>
        <v/>
      </c>
      <c r="CO283" s="518" t="str">
        <f>IF(AND(_AC6="B-767-300ER",'2023'!$K$4="FO",'2023'!$K$2=CO271),'2023DATA'!$H$14,"")</f>
        <v/>
      </c>
      <c r="CP283" s="518" t="str">
        <f>IF(AND(_AC6="B-767-300ER",'2023'!$K$4="FO",'2023'!$K$2=CP271),'2023DATA'!$I$14,"")</f>
        <v/>
      </c>
      <c r="CQ283" s="518" t="str">
        <f>IF(AND(_AC6="B-767-300ER",'2023'!$K$4="FO",'2023'!$K$2=CQ271),'2023DATA'!$J$14,"")</f>
        <v/>
      </c>
      <c r="CR283" s="518" t="str">
        <f>IF(AND(_AC6="B-767-300ER",'2023'!$K$4="FO",'2023'!$K$2=CR271),'2023DATA'!$K$14,"")</f>
        <v/>
      </c>
      <c r="CS283" s="518" t="str">
        <f>IF(AND(_AC6="B-767-300ER",'2023'!$K$4="FO",'2023'!$K$2=CS271),'2023DATA'!$L$14,"")</f>
        <v/>
      </c>
      <c r="CT283" s="518" t="str">
        <f>IF(AND(_AC6="B-767-300ER",'2023'!$K$4="FO",'2023'!$K$2=CT271),'2023DATA'!$M$14,"")</f>
        <v/>
      </c>
      <c r="CU283" s="520" t="str">
        <f>IF(AND(_AC6="B-767-300ER",'2023'!$K$4="FO",'2023'!$K$2=CU271),'2023DATA'!$N$14,"")</f>
        <v/>
      </c>
    </row>
    <row r="284" spans="16:99" x14ac:dyDescent="0.25">
      <c r="P284" s="940" t="s">
        <v>67</v>
      </c>
      <c r="Q284" s="13" t="s">
        <v>61</v>
      </c>
      <c r="R284" s="518" t="str">
        <f>IF(AND(_AC1="B-767-300",'2023'!$K$4="CA",'2023'!$K$2=R271),'2023DATA'!$C$15,"")</f>
        <v/>
      </c>
      <c r="S284" s="518" t="str">
        <f>IF(AND(_AC1="B-767-300",'2023'!$K$4="CA",'2023'!$K$2=S271),'2023DATA'!$D$15,"")</f>
        <v/>
      </c>
      <c r="T284" s="518" t="str">
        <f>IF(AND(_AC1="B-767-300",'2023'!$K$4="CA",'2023'!$K$2=T271),'2023DATA'!$E$15,"")</f>
        <v/>
      </c>
      <c r="U284" s="518" t="str">
        <f>IF(AND(_AC1="B-767-300",'2023'!$K$4="CA",'2023'!$K$2=U271),'2023DATA'!$F$15,"")</f>
        <v/>
      </c>
      <c r="V284" s="518" t="str">
        <f>IF(AND(_AC1="B-767-300",'2023'!$K$4="CA",'2023'!$K$2=V271),'2023DATA'!$G$15,"")</f>
        <v/>
      </c>
      <c r="W284" s="518" t="str">
        <f>IF(AND(_AC1="B-767-300",'2023'!$K$4="CA",'2023'!$K$2=W271),'2023DATA'!$H$15,"")</f>
        <v/>
      </c>
      <c r="X284" s="518" t="str">
        <f>IF(AND(_AC1="B-767-300",'2023'!$K$4="CA",'2023'!$K$2=X271),'2023DATA'!$I$15,"")</f>
        <v/>
      </c>
      <c r="Y284" s="518" t="str">
        <f>IF(AND(_AC1="B-767-300",'2023'!$K$4="CA",'2023'!$K$2=Y271),'2023DATA'!$J$15,"")</f>
        <v/>
      </c>
      <c r="Z284" s="518" t="str">
        <f>IF(AND(_AC1="B-767-300",'2023'!$K$4="CA",'2023'!$K$2=Z271),'2023DATA'!$K$15,"")</f>
        <v/>
      </c>
      <c r="AA284" s="518" t="str">
        <f>IF(AND(_AC1="B-767-300",'2023'!$K$4="CA",'2023'!$K$2=AA271),'2023DATA'!$L$15,"")</f>
        <v/>
      </c>
      <c r="AB284" s="518" t="str">
        <f>IF(AND(_AC1="B-767-300",'2023'!$K$4="CA",'2023'!$K$2=AB271),'2023DATA'!$M$15,"")</f>
        <v/>
      </c>
      <c r="AC284" s="520" t="str">
        <f>IF(AND(_AC1="B-767-300",'2023'!$K$4="CA",'2023'!$K$2=AC271),'2023DATA'!$N$15,"")</f>
        <v/>
      </c>
      <c r="AD284" s="940" t="s">
        <v>67</v>
      </c>
      <c r="AE284" s="13" t="s">
        <v>61</v>
      </c>
      <c r="AF284" s="518" t="str">
        <f>IF(AND(_AC2="B-767-300",'2023'!$K$4="CA",'2023'!$K$2=AF271),'2023DATA'!$C$15,"")</f>
        <v/>
      </c>
      <c r="AG284" s="518" t="str">
        <f>IF(AND(_AC2="B-767-300",'2023'!$K$4="CA",'2023'!$K$2=AG271),'2023DATA'!$D$15,"")</f>
        <v/>
      </c>
      <c r="AH284" s="518" t="str">
        <f>IF(AND(_AC2="B-767-300",'2023'!$K$4="CA",'2023'!$K$2=AH271),'2023DATA'!$E$15,"")</f>
        <v/>
      </c>
      <c r="AI284" s="518" t="str">
        <f>IF(AND(_AC2="B-767-300",'2023'!$K$4="CA",'2023'!$K$2=AI271),'2023DATA'!$F$15,"")</f>
        <v/>
      </c>
      <c r="AJ284" s="518" t="str">
        <f>IF(AND(_AC2="B-767-300",'2023'!$K$4="CA",'2023'!$K$2=AJ271),'2023DATA'!$G$15,"")</f>
        <v/>
      </c>
      <c r="AK284" s="518" t="str">
        <f>IF(AND(_AC2="B-767-300",'2023'!$K$4="CA",'2023'!$K$2=AK271),'2023DATA'!$H$15,"")</f>
        <v/>
      </c>
      <c r="AL284" s="518" t="str">
        <f>IF(AND(_AC2="B-767-300",'2023'!$K$4="CA",'2023'!$K$2=AL271),'2023DATA'!$I$15,"")</f>
        <v/>
      </c>
      <c r="AM284" s="518" t="str">
        <f>IF(AND(_AC2="B-767-300",'2023'!$K$4="CA",'2023'!$K$2=AM271),'2023DATA'!$J$15,"")</f>
        <v/>
      </c>
      <c r="AN284" s="518" t="str">
        <f>IF(AND(_AC2="B-767-300",'2023'!$K$4="CA",'2023'!$K$2=AN271),'2023DATA'!$K$15,"")</f>
        <v/>
      </c>
      <c r="AO284" s="518" t="str">
        <f>IF(AND(_AC2="B-767-300",'2023'!$K$4="CA",'2023'!$K$2=AO271),'2023DATA'!$L$15,"")</f>
        <v/>
      </c>
      <c r="AP284" s="518" t="str">
        <f>IF(AND(_AC2="B-767-300",'2023'!$K$4="CA",'2023'!$K$2=AP271),'2023DATA'!$M$15,"")</f>
        <v/>
      </c>
      <c r="AQ284" s="520" t="str">
        <f>IF(AND(_AC2="B-767-300",'2023'!$K$4="CA",'2023'!$K$2=AQ271),'2023DATA'!$N$15,"")</f>
        <v/>
      </c>
      <c r="AR284" s="940" t="s">
        <v>67</v>
      </c>
      <c r="AS284" s="13" t="s">
        <v>61</v>
      </c>
      <c r="AT284" s="518" t="str">
        <f>IF(AND(_AC3="B-767-300",'2023'!$K$4="CA",'2023'!$K$2=AT271),'2023DATA'!$C$15,"")</f>
        <v/>
      </c>
      <c r="AU284" s="518" t="str">
        <f>IF(AND(_AC3="B-767-300",'2023'!$K$4="CA",'2023'!$K$2=AU271),'2023DATA'!$D$15,"")</f>
        <v/>
      </c>
      <c r="AV284" s="518" t="str">
        <f>IF(AND(_AC3="B-767-300",'2023'!$K$4="CA",'2023'!$K$2=AV271),'2023DATA'!$E$15,"")</f>
        <v/>
      </c>
      <c r="AW284" s="518" t="str">
        <f>IF(AND(_AC3="B-767-300",'2023'!$K$4="CA",'2023'!$K$2=AW271),'2023DATA'!$F$15,"")</f>
        <v/>
      </c>
      <c r="AX284" s="518" t="str">
        <f>IF(AND(_AC3="B-767-300",'2023'!$K$4="CA",'2023'!$K$2=AX271),'2023DATA'!$G$15,"")</f>
        <v/>
      </c>
      <c r="AY284" s="518" t="str">
        <f>IF(AND(_AC3="B-767-300",'2023'!$K$4="CA",'2023'!$K$2=AY271),'2023DATA'!$H$15,"")</f>
        <v/>
      </c>
      <c r="AZ284" s="518" t="str">
        <f>IF(AND(_AC3="B-767-300",'2023'!$K$4="CA",'2023'!$K$2=AZ271),'2023DATA'!$I$15,"")</f>
        <v/>
      </c>
      <c r="BA284" s="518" t="str">
        <f>IF(AND(_AC3="B-767-300",'2023'!$K$4="CA",'2023'!$K$2=BA271),'2023DATA'!$J$15,"")</f>
        <v/>
      </c>
      <c r="BB284" s="518" t="str">
        <f>IF(AND(_AC3="B-767-300",'2023'!$K$4="CA",'2023'!$K$2=BB271),'2023DATA'!$K$15,"")</f>
        <v/>
      </c>
      <c r="BC284" s="518" t="str">
        <f>IF(AND(_AC3="B-767-300",'2023'!$K$4="CA",'2023'!$K$2=BC271),'2023DATA'!$L$15,"")</f>
        <v/>
      </c>
      <c r="BD284" s="518" t="str">
        <f>IF(AND(_AC3="B-767-300",'2023'!$K$4="CA",'2023'!$K$2=BD271),'2023DATA'!$M$15,"")</f>
        <v/>
      </c>
      <c r="BE284" s="520" t="str">
        <f>IF(AND(_AC3="B-767-300",'2023'!$K$4="CA",'2023'!$K$2=BE271),'2023DATA'!$N$15,"")</f>
        <v/>
      </c>
      <c r="BF284" s="940" t="s">
        <v>67</v>
      </c>
      <c r="BG284" s="13" t="s">
        <v>61</v>
      </c>
      <c r="BH284" s="518" t="str">
        <f>IF(AND(_AC4="B-767-300",'2023'!$K$4="CA",'2023'!$K$2=BH271),'2023DATA'!$C$15,"")</f>
        <v/>
      </c>
      <c r="BI284" s="518" t="str">
        <f>IF(AND(_AC4="B-767-300",'2023'!$K$4="CA",'2023'!$K$2=BI271),'2023DATA'!$D$15,"")</f>
        <v/>
      </c>
      <c r="BJ284" s="518" t="str">
        <f>IF(AND(_AC4="B-767-300",'2023'!$K$4="CA",'2023'!$K$2=BJ271),'2023DATA'!$E$15,"")</f>
        <v/>
      </c>
      <c r="BK284" s="518" t="str">
        <f>IF(AND(_AC4="B-767-300",'2023'!$K$4="CA",'2023'!$K$2=BK271),'2023DATA'!$F$15,"")</f>
        <v/>
      </c>
      <c r="BL284" s="518" t="str">
        <f>IF(AND(_AC4="B-767-300",'2023'!$K$4="CA",'2023'!$K$2=BL271),'2023DATA'!$G$15,"")</f>
        <v/>
      </c>
      <c r="BM284" s="518" t="str">
        <f>IF(AND(_AC4="B-767-300",'2023'!$K$4="CA",'2023'!$K$2=BM271),'2023DATA'!$H$15,"")</f>
        <v/>
      </c>
      <c r="BN284" s="518" t="str">
        <f>IF(AND(_AC4="B-767-300",'2023'!$K$4="CA",'2023'!$K$2=BN271),'2023DATA'!$I$15,"")</f>
        <v/>
      </c>
      <c r="BO284" s="518" t="str">
        <f>IF(AND(_AC4="B-767-300",'2023'!$K$4="CA",'2023'!$K$2=BO271),'2023DATA'!$J$15,"")</f>
        <v/>
      </c>
      <c r="BP284" s="518" t="str">
        <f>IF(AND(_AC4="B-767-300",'2023'!$K$4="CA",'2023'!$K$2=BP271),'2023DATA'!$K$15,"")</f>
        <v/>
      </c>
      <c r="BQ284" s="518" t="str">
        <f>IF(AND(_AC4="B-767-300",'2023'!$K$4="CA",'2023'!$K$2=BQ271),'2023DATA'!$L$15,"")</f>
        <v/>
      </c>
      <c r="BR284" s="518" t="str">
        <f>IF(AND(_AC4="B-767-300",'2023'!$K$4="CA",'2023'!$K$2=BR271),'2023DATA'!$M$15,"")</f>
        <v/>
      </c>
      <c r="BS284" s="520" t="str">
        <f>IF(AND(_AC4="B-767-300",'2023'!$K$4="CA",'2023'!$K$2=BS271),'2023DATA'!$N$15,"")</f>
        <v/>
      </c>
      <c r="BT284" s="940" t="s">
        <v>67</v>
      </c>
      <c r="BU284" s="13" t="s">
        <v>61</v>
      </c>
      <c r="BV284" s="518" t="str">
        <f>IF(AND(_AC5="B-767-300",'2023'!$K$4="CA",'2023'!$K$2=BV271),'2023DATA'!$C$15,"")</f>
        <v/>
      </c>
      <c r="BW284" s="518" t="str">
        <f>IF(AND(_AC5="B-767-300",'2023'!$K$4="CA",'2023'!$K$2=BW271),'2023DATA'!$D$15,"")</f>
        <v/>
      </c>
      <c r="BX284" s="518" t="str">
        <f>IF(AND(_AC5="B-767-300",'2023'!$K$4="CA",'2023'!$K$2=BX271),'2023DATA'!$E$15,"")</f>
        <v/>
      </c>
      <c r="BY284" s="518" t="str">
        <f>IF(AND(_AC5="B-767-300",'2023'!$K$4="CA",'2023'!$K$2=BY271),'2023DATA'!$F$15,"")</f>
        <v/>
      </c>
      <c r="BZ284" s="518" t="str">
        <f>IF(AND(_AC5="B-767-300",'2023'!$K$4="CA",'2023'!$K$2=BZ271),'2023DATA'!$G$15,"")</f>
        <v/>
      </c>
      <c r="CA284" s="518" t="str">
        <f>IF(AND(_AC5="B-767-300",'2023'!$K$4="CA",'2023'!$K$2=CA271),'2023DATA'!$H$15,"")</f>
        <v/>
      </c>
      <c r="CB284" s="518" t="str">
        <f>IF(AND(_AC5="B-767-300",'2023'!$K$4="CA",'2023'!$K$2=CB271),'2023DATA'!$I$15,"")</f>
        <v/>
      </c>
      <c r="CC284" s="518" t="str">
        <f>IF(AND(_AC5="B-767-300",'2023'!$K$4="CA",'2023'!$K$2=CC271),'2023DATA'!$J$15,"")</f>
        <v/>
      </c>
      <c r="CD284" s="518" t="str">
        <f>IF(AND(_AC5="B-767-300",'2023'!$K$4="CA",'2023'!$K$2=CD271),'2023DATA'!$K$15,"")</f>
        <v/>
      </c>
      <c r="CE284" s="518" t="str">
        <f>IF(AND(_AC5="B-767-300",'2023'!$K$4="CA",'2023'!$K$2=CE271),'2023DATA'!$L$15,"")</f>
        <v/>
      </c>
      <c r="CF284" s="518" t="str">
        <f>IF(AND(_AC5="B-767-300",'2023'!$K$4="CA",'2023'!$K$2=CF271),'2023DATA'!$M$15,"")</f>
        <v/>
      </c>
      <c r="CG284" s="520" t="str">
        <f>IF(AND(_AC5="B-767-300",'2023'!$K$4="CA",'2023'!$K$2=CG271),'2023DATA'!$N$15,"")</f>
        <v/>
      </c>
      <c r="CH284" s="940" t="s">
        <v>67</v>
      </c>
      <c r="CI284" s="13" t="s">
        <v>61</v>
      </c>
      <c r="CJ284" s="518" t="str">
        <f>IF(AND(_AC6="B-767-300",'2023'!$K$4="CA",'2023'!$K$2=CJ271),'2023DATA'!$C$15,"")</f>
        <v/>
      </c>
      <c r="CK284" s="518" t="str">
        <f>IF(AND(_AC6="B-767-300",'2023'!$K$4="CA",'2023'!$K$2=CK271),'2023DATA'!$D$15,"")</f>
        <v/>
      </c>
      <c r="CL284" s="518" t="str">
        <f>IF(AND(_AC6="B-767-300",'2023'!$K$4="CA",'2023'!$K$2=CL271),'2023DATA'!$E$15,"")</f>
        <v/>
      </c>
      <c r="CM284" s="518" t="str">
        <f>IF(AND(_AC6="B-767-300",'2023'!$K$4="CA",'2023'!$K$2=CM271),'2023DATA'!$F$15,"")</f>
        <v/>
      </c>
      <c r="CN284" s="518" t="str">
        <f>IF(AND(_AC6="B-767-300",'2023'!$K$4="CA",'2023'!$K$2=CN271),'2023DATA'!$G$15,"")</f>
        <v/>
      </c>
      <c r="CO284" s="518" t="str">
        <f>IF(AND(_AC6="B-767-300",'2023'!$K$4="CA",'2023'!$K$2=CO271),'2023DATA'!$H$15,"")</f>
        <v/>
      </c>
      <c r="CP284" s="518" t="str">
        <f>IF(AND(_AC6="B-767-300",'2023'!$K$4="CA",'2023'!$K$2=CP271),'2023DATA'!$I$15,"")</f>
        <v/>
      </c>
      <c r="CQ284" s="518" t="str">
        <f>IF(AND(_AC6="B-767-300",'2023'!$K$4="CA",'2023'!$K$2=CQ271),'2023DATA'!$J$15,"")</f>
        <v/>
      </c>
      <c r="CR284" s="518" t="str">
        <f>IF(AND(_AC6="B-767-300",'2023'!$K$4="CA",'2023'!$K$2=CR271),'2023DATA'!$K$15,"")</f>
        <v/>
      </c>
      <c r="CS284" s="518" t="str">
        <f>IF(AND(_AC6="B-767-300",'2023'!$K$4="CA",'2023'!$K$2=CS271),'2023DATA'!$L$15,"")</f>
        <v/>
      </c>
      <c r="CT284" s="518" t="str">
        <f>IF(AND(_AC6="B-767-300",'2023'!$K$4="CA",'2023'!$K$2=CT271),'2023DATA'!$M$15,"")</f>
        <v/>
      </c>
      <c r="CU284" s="520" t="str">
        <f>IF(AND(_AC6="B-767-300",'2023'!$K$4="CA",'2023'!$K$2=CU271),'2023DATA'!$N$15,"")</f>
        <v/>
      </c>
    </row>
    <row r="285" spans="16:99" x14ac:dyDescent="0.25">
      <c r="P285" s="940"/>
      <c r="Q285" s="13" t="s">
        <v>62</v>
      </c>
      <c r="R285" s="518" t="str">
        <f>IF(AND(_AC1="B-767-300",'2023'!$K$4="FO",'2023'!$K$2=R271),'2023DATA'!$C$16,"")</f>
        <v/>
      </c>
      <c r="S285" s="518" t="str">
        <f>IF(AND(_AC1="B-767-300",'2023'!$K$4="FO",'2023'!$K$2=S271),'2023DATA'!$D$16,"")</f>
        <v/>
      </c>
      <c r="T285" s="518" t="str">
        <f>IF(AND(_AC1="B-767-300",'2023'!$K$4="FO",'2023'!$K$2=T271),'2023DATA'!$E$16,"")</f>
        <v/>
      </c>
      <c r="U285" s="518" t="str">
        <f>IF(AND(_AC1="B-767-300",'2023'!$K$4="FO",'2023'!$K$2=U271),'2023DATA'!$F$16,"")</f>
        <v/>
      </c>
      <c r="V285" s="518" t="str">
        <f>IF(AND(_AC1="B-767-300",'2023'!$K$4="FO",'2023'!$K$2=V271),'2023DATA'!$G$16,"")</f>
        <v/>
      </c>
      <c r="W285" s="518" t="str">
        <f>IF(AND(_AC1="B-767-300",'2023'!$K$4="FO",'2023'!$K$2=W271),'2023DATA'!$H$16,"")</f>
        <v/>
      </c>
      <c r="X285" s="518" t="str">
        <f>IF(AND(_AC1="B-767-300",'2023'!$K$4="FO",'2023'!$K$2=X271),'2023DATA'!$I$16,"")</f>
        <v/>
      </c>
      <c r="Y285" s="518" t="str">
        <f>IF(AND(_AC1="B-767-300",'2023'!$K$4="FO",'2023'!$K$2=Y271),'2023DATA'!$J$16,"")</f>
        <v/>
      </c>
      <c r="Z285" s="518" t="str">
        <f>IF(AND(_AC1="B-767-300",'2023'!$K$4="FO",'2023'!$K$2=Z271),'2023DATA'!$K$16,"")</f>
        <v/>
      </c>
      <c r="AA285" s="518" t="str">
        <f>IF(AND(_AC1="B-767-300",'2023'!$K$4="FO",'2023'!$K$2=AA271),'2023DATA'!$L$16,"")</f>
        <v/>
      </c>
      <c r="AB285" s="518" t="str">
        <f>IF(AND(_AC1="B-767-300",'2023'!$K$4="FO",'2023'!$K$2=AB271),'2023DATA'!$M$16,"")</f>
        <v/>
      </c>
      <c r="AC285" s="520" t="str">
        <f>IF(AND(_AC1="B-767-300",'2023'!$K$4="FO",'2023'!$K$2=AC271),'2023DATA'!$N$16,"")</f>
        <v/>
      </c>
      <c r="AD285" s="940"/>
      <c r="AE285" s="13" t="s">
        <v>62</v>
      </c>
      <c r="AF285" s="518" t="str">
        <f>IF(AND(_AC2="B-767-300",'2023'!$K$4="FO",'2023'!$K$2=AF271),'2023DATA'!$C$16,"")</f>
        <v/>
      </c>
      <c r="AG285" s="518" t="str">
        <f>IF(AND(_AC2="B-767-300",'2023'!$K$4="FO",'2023'!$K$2=AG271),'2023DATA'!$D$16,"")</f>
        <v/>
      </c>
      <c r="AH285" s="518" t="str">
        <f>IF(AND(_AC2="B-767-300",'2023'!$K$4="FO",'2023'!$K$2=AH271),'2023DATA'!$E$16,"")</f>
        <v/>
      </c>
      <c r="AI285" s="518" t="str">
        <f>IF(AND(_AC2="B-767-300",'2023'!$K$4="FO",'2023'!$K$2=AI271),'2023DATA'!$F$16,"")</f>
        <v/>
      </c>
      <c r="AJ285" s="518" t="str">
        <f>IF(AND(_AC2="B-767-300",'2023'!$K$4="FO",'2023'!$K$2=AJ271),'2023DATA'!$G$16,"")</f>
        <v/>
      </c>
      <c r="AK285" s="518" t="str">
        <f>IF(AND(_AC2="B-767-300",'2023'!$K$4="FO",'2023'!$K$2=AK271),'2023DATA'!$H$16,"")</f>
        <v/>
      </c>
      <c r="AL285" s="518" t="str">
        <f>IF(AND(_AC2="B-767-300",'2023'!$K$4="FO",'2023'!$K$2=AL271),'2023DATA'!$I$16,"")</f>
        <v/>
      </c>
      <c r="AM285" s="518" t="str">
        <f>IF(AND(_AC2="B-767-300",'2023'!$K$4="FO",'2023'!$K$2=AM271),'2023DATA'!$J$16,"")</f>
        <v/>
      </c>
      <c r="AN285" s="518" t="str">
        <f>IF(AND(_AC2="B-767-300",'2023'!$K$4="FO",'2023'!$K$2=AN271),'2023DATA'!$K$16,"")</f>
        <v/>
      </c>
      <c r="AO285" s="518" t="str">
        <f>IF(AND(_AC2="B-767-300",'2023'!$K$4="FO",'2023'!$K$2=AO271),'2023DATA'!$L$16,"")</f>
        <v/>
      </c>
      <c r="AP285" s="518" t="str">
        <f>IF(AND(_AC2="B-767-300",'2023'!$K$4="FO",'2023'!$K$2=AP271),'2023DATA'!$M$16,"")</f>
        <v/>
      </c>
      <c r="AQ285" s="520" t="str">
        <f>IF(AND(_AC2="B-767-300",'2023'!$K$4="FO",'2023'!$K$2=AQ271),'2023DATA'!$N$16,"")</f>
        <v/>
      </c>
      <c r="AR285" s="940"/>
      <c r="AS285" s="13" t="s">
        <v>62</v>
      </c>
      <c r="AT285" s="518" t="str">
        <f>IF(AND(_AC3="B-767-300",'2023'!$K$4="FO",'2023'!$K$2=AT271),'2023DATA'!$C$16,"")</f>
        <v/>
      </c>
      <c r="AU285" s="518" t="str">
        <f>IF(AND(_AC3="B-767-300",'2023'!$K$4="FO",'2023'!$K$2=AU271),'2023DATA'!$D$16,"")</f>
        <v/>
      </c>
      <c r="AV285" s="518" t="str">
        <f>IF(AND(_AC3="B-767-300",'2023'!$K$4="FO",'2023'!$K$2=AV271),'2023DATA'!$E$16,"")</f>
        <v/>
      </c>
      <c r="AW285" s="518" t="str">
        <f>IF(AND(_AC3="B-767-300",'2023'!$K$4="FO",'2023'!$K$2=AW271),'2023DATA'!$F$16,"")</f>
        <v/>
      </c>
      <c r="AX285" s="518" t="str">
        <f>IF(AND(_AC3="B-767-300",'2023'!$K$4="FO",'2023'!$K$2=AX271),'2023DATA'!$G$16,"")</f>
        <v/>
      </c>
      <c r="AY285" s="518" t="str">
        <f>IF(AND(_AC3="B-767-300",'2023'!$K$4="FO",'2023'!$K$2=AY271),'2023DATA'!$H$16,"")</f>
        <v/>
      </c>
      <c r="AZ285" s="518" t="str">
        <f>IF(AND(_AC3="B-767-300",'2023'!$K$4="FO",'2023'!$K$2=AZ271),'2023DATA'!$I$16,"")</f>
        <v/>
      </c>
      <c r="BA285" s="518" t="str">
        <f>IF(AND(_AC3="B-767-300",'2023'!$K$4="FO",'2023'!$K$2=BA271),'2023DATA'!$J$16,"")</f>
        <v/>
      </c>
      <c r="BB285" s="518" t="str">
        <f>IF(AND(_AC3="B-767-300",'2023'!$K$4="FO",'2023'!$K$2=BB271),'2023DATA'!$K$16,"")</f>
        <v/>
      </c>
      <c r="BC285" s="518" t="str">
        <f>IF(AND(_AC3="B-767-300",'2023'!$K$4="FO",'2023'!$K$2=BC271),'2023DATA'!$L$16,"")</f>
        <v/>
      </c>
      <c r="BD285" s="518" t="str">
        <f>IF(AND(_AC3="B-767-300",'2023'!$K$4="FO",'2023'!$K$2=BD271),'2023DATA'!$M$16,"")</f>
        <v/>
      </c>
      <c r="BE285" s="520" t="str">
        <f>IF(AND(_AC3="B-767-300",'2023'!$K$4="FO",'2023'!$K$2=BE271),'2023DATA'!$N$16,"")</f>
        <v/>
      </c>
      <c r="BF285" s="940"/>
      <c r="BG285" s="13" t="s">
        <v>62</v>
      </c>
      <c r="BH285" s="518" t="str">
        <f>IF(AND(_AC4="B-767-300",'2023'!$K$4="FO",'2023'!$K$2=BH271),'2023DATA'!$C$16,"")</f>
        <v/>
      </c>
      <c r="BI285" s="518" t="str">
        <f>IF(AND(_AC4="B-767-300",'2023'!$K$4="FO",'2023'!$K$2=BI271),'2023DATA'!$D$16,"")</f>
        <v/>
      </c>
      <c r="BJ285" s="518" t="str">
        <f>IF(AND(_AC4="B-767-300",'2023'!$K$4="FO",'2023'!$K$2=BJ271),'2023DATA'!$E$16,"")</f>
        <v/>
      </c>
      <c r="BK285" s="518" t="str">
        <f>IF(AND(_AC4="B-767-300",'2023'!$K$4="FO",'2023'!$K$2=BK271),'2023DATA'!$F$16,"")</f>
        <v/>
      </c>
      <c r="BL285" s="518" t="str">
        <f>IF(AND(_AC4="B-767-300",'2023'!$K$4="FO",'2023'!$K$2=BL271),'2023DATA'!$G$16,"")</f>
        <v/>
      </c>
      <c r="BM285" s="518" t="str">
        <f>IF(AND(_AC4="B-767-300",'2023'!$K$4="FO",'2023'!$K$2=BM271),'2023DATA'!$H$16,"")</f>
        <v/>
      </c>
      <c r="BN285" s="518" t="str">
        <f>IF(AND(_AC4="B-767-300",'2023'!$K$4="FO",'2023'!$K$2=BN271),'2023DATA'!$I$16,"")</f>
        <v/>
      </c>
      <c r="BO285" s="518" t="str">
        <f>IF(AND(_AC4="B-767-300",'2023'!$K$4="FO",'2023'!$K$2=BO271),'2023DATA'!$J$16,"")</f>
        <v/>
      </c>
      <c r="BP285" s="518" t="str">
        <f>IF(AND(_AC4="B-767-300",'2023'!$K$4="FO",'2023'!$K$2=BP271),'2023DATA'!$K$16,"")</f>
        <v/>
      </c>
      <c r="BQ285" s="518" t="str">
        <f>IF(AND(_AC4="B-767-300",'2023'!$K$4="FO",'2023'!$K$2=BQ271),'2023DATA'!$L$16,"")</f>
        <v/>
      </c>
      <c r="BR285" s="518" t="str">
        <f>IF(AND(_AC4="B-767-300",'2023'!$K$4="FO",'2023'!$K$2=BR271),'2023DATA'!$M$16,"")</f>
        <v/>
      </c>
      <c r="BS285" s="520" t="str">
        <f>IF(AND(_AC4="B-767-300",'2023'!$K$4="FO",'2023'!$K$2=BS271),'2023DATA'!$N$16,"")</f>
        <v/>
      </c>
      <c r="BT285" s="940"/>
      <c r="BU285" s="13" t="s">
        <v>62</v>
      </c>
      <c r="BV285" s="518" t="str">
        <f>IF(AND(_AC5="B-767-300",'2023'!$K$4="FO",'2023'!$K$2=BV271),'2023DATA'!$C$16,"")</f>
        <v/>
      </c>
      <c r="BW285" s="518" t="str">
        <f>IF(AND(_AC5="B-767-300",'2023'!$K$4="FO",'2023'!$K$2=BW271),'2023DATA'!$D$16,"")</f>
        <v/>
      </c>
      <c r="BX285" s="518" t="str">
        <f>IF(AND(_AC5="B-767-300",'2023'!$K$4="FO",'2023'!$K$2=BX271),'2023DATA'!$E$16,"")</f>
        <v/>
      </c>
      <c r="BY285" s="518" t="str">
        <f>IF(AND(_AC5="B-767-300",'2023'!$K$4="FO",'2023'!$K$2=BY271),'2023DATA'!$F$16,"")</f>
        <v/>
      </c>
      <c r="BZ285" s="518" t="str">
        <f>IF(AND(_AC5="B-767-300",'2023'!$K$4="FO",'2023'!$K$2=BZ271),'2023DATA'!$G$16,"")</f>
        <v/>
      </c>
      <c r="CA285" s="518" t="str">
        <f>IF(AND(_AC5="B-767-300",'2023'!$K$4="FO",'2023'!$K$2=CA271),'2023DATA'!$H$16,"")</f>
        <v/>
      </c>
      <c r="CB285" s="518" t="str">
        <f>IF(AND(_AC5="B-767-300",'2023'!$K$4="FO",'2023'!$K$2=CB271),'2023DATA'!$I$16,"")</f>
        <v/>
      </c>
      <c r="CC285" s="518" t="str">
        <f>IF(AND(_AC5="B-767-300",'2023'!$K$4="FO",'2023'!$K$2=CC271),'2023DATA'!$J$16,"")</f>
        <v/>
      </c>
      <c r="CD285" s="518" t="str">
        <f>IF(AND(_AC5="B-767-300",'2023'!$K$4="FO",'2023'!$K$2=CD271),'2023DATA'!$K$16,"")</f>
        <v/>
      </c>
      <c r="CE285" s="518" t="str">
        <f>IF(AND(_AC5="B-767-300",'2023'!$K$4="FO",'2023'!$K$2=CE271),'2023DATA'!$L$16,"")</f>
        <v/>
      </c>
      <c r="CF285" s="518" t="str">
        <f>IF(AND(_AC5="B-767-300",'2023'!$K$4="FO",'2023'!$K$2=CF271),'2023DATA'!$M$16,"")</f>
        <v/>
      </c>
      <c r="CG285" s="520" t="str">
        <f>IF(AND(_AC5="B-767-300",'2023'!$K$4="FO",'2023'!$K$2=CG271),'2023DATA'!$N$16,"")</f>
        <v/>
      </c>
      <c r="CH285" s="940"/>
      <c r="CI285" s="13" t="s">
        <v>62</v>
      </c>
      <c r="CJ285" s="518" t="str">
        <f>IF(AND(_AC6="B-767-300",'2023'!$K$4="FO",'2023'!$K$2=CJ271),'2023DATA'!$C$16,"")</f>
        <v/>
      </c>
      <c r="CK285" s="518" t="str">
        <f>IF(AND(_AC6="B-767-300",'2023'!$K$4="FO",'2023'!$K$2=CK271),'2023DATA'!$D$16,"")</f>
        <v/>
      </c>
      <c r="CL285" s="518" t="str">
        <f>IF(AND(_AC6="B-767-300",'2023'!$K$4="FO",'2023'!$K$2=CL271),'2023DATA'!$E$16,"")</f>
        <v/>
      </c>
      <c r="CM285" s="518" t="str">
        <f>IF(AND(_AC6="B-767-300",'2023'!$K$4="FO",'2023'!$K$2=CM271),'2023DATA'!$F$16,"")</f>
        <v/>
      </c>
      <c r="CN285" s="518" t="str">
        <f>IF(AND(_AC6="B-767-300",'2023'!$K$4="FO",'2023'!$K$2=CN271),'2023DATA'!$G$16,"")</f>
        <v/>
      </c>
      <c r="CO285" s="518" t="str">
        <f>IF(AND(_AC6="B-767-300",'2023'!$K$4="FO",'2023'!$K$2=CO271),'2023DATA'!$H$16,"")</f>
        <v/>
      </c>
      <c r="CP285" s="518" t="str">
        <f>IF(AND(_AC6="B-767-300",'2023'!$K$4="FO",'2023'!$K$2=CP271),'2023DATA'!$I$16,"")</f>
        <v/>
      </c>
      <c r="CQ285" s="518" t="str">
        <f>IF(AND(_AC6="B-767-300",'2023'!$K$4="FO",'2023'!$K$2=CQ271),'2023DATA'!$J$16,"")</f>
        <v/>
      </c>
      <c r="CR285" s="518" t="str">
        <f>IF(AND(_AC6="B-767-300",'2023'!$K$4="FO",'2023'!$K$2=CR271),'2023DATA'!$K$16,"")</f>
        <v/>
      </c>
      <c r="CS285" s="518" t="str">
        <f>IF(AND(_AC6="B-767-300",'2023'!$K$4="FO",'2023'!$K$2=CS271),'2023DATA'!$L$16,"")</f>
        <v/>
      </c>
      <c r="CT285" s="518" t="str">
        <f>IF(AND(_AC6="B-767-300",'2023'!$K$4="FO",'2023'!$K$2=CT271),'2023DATA'!$M$16,"")</f>
        <v/>
      </c>
      <c r="CU285" s="520" t="str">
        <f>IF(AND(_AC6="B-767-300",'2023'!$K$4="FO",'2023'!$K$2=CU271),'2023DATA'!$N$16,"")</f>
        <v/>
      </c>
    </row>
    <row r="286" spans="16:99" x14ac:dyDescent="0.25">
      <c r="P286" s="940" t="s">
        <v>68</v>
      </c>
      <c r="Q286" s="13" t="s">
        <v>61</v>
      </c>
      <c r="R286" s="518" t="str">
        <f>IF(AND(_AC1="B-767-200",'2023'!$K$4="CA",'2023'!$K$2=R271),'2023DATA'!$C$17,"")</f>
        <v/>
      </c>
      <c r="S286" s="518" t="str">
        <f>IF(AND(_AC1="B-767-200",'2023'!$K$4="CA",'2023'!$K$2=S271),'2023DATA'!$D$17,"")</f>
        <v/>
      </c>
      <c r="T286" s="518" t="str">
        <f>IF(AND(_AC1="B-767-200",'2023'!$K$4="CA",'2023'!$K$2=T271),'2023DATA'!$E$17,"")</f>
        <v/>
      </c>
      <c r="U286" s="518" t="str">
        <f>IF(AND(_AC1="B-767-200",'2023'!$K$4="CA",'2023'!$K$2=U271),'2023DATA'!$F$17,"")</f>
        <v/>
      </c>
      <c r="V286" s="518" t="str">
        <f>IF(AND(_AC1="B-767-200",'2023'!$K$4="CA",'2023'!$K$2=V271),'2023DATA'!$G$17,"")</f>
        <v/>
      </c>
      <c r="W286" s="518" t="str">
        <f>IF(AND(_AC1="B-767-200",'2023'!$K$4="CA",'2023'!$K$2=W271),'2023DATA'!$H$17,"")</f>
        <v/>
      </c>
      <c r="X286" s="518" t="str">
        <f>IF(AND(_AC1="B-767-200",'2023'!$K$4="CA",'2023'!$K$2=X271),'2023DATA'!$I$17,"")</f>
        <v/>
      </c>
      <c r="Y286" s="518" t="str">
        <f>IF(AND(_AC1="B-767-200",'2023'!$K$4="CA",'2023'!$K$2=Y271),'2023DATA'!$J$17,"")</f>
        <v/>
      </c>
      <c r="Z286" s="518" t="str">
        <f>IF(AND(_AC1="B-767-200",'2023'!$K$4="CA",'2023'!$K$2=Z271),'2023DATA'!$K$17,"")</f>
        <v/>
      </c>
      <c r="AA286" s="518" t="str">
        <f>IF(AND(_AC1="B-767-200",'2023'!$K$4="CA",'2023'!$K$2=AA271),'2023DATA'!$L$17,"")</f>
        <v/>
      </c>
      <c r="AB286" s="518" t="str">
        <f>IF(AND(_AC1="B-767-200",'2023'!$K$4="CA",'2023'!$K$2=AB271),'2023DATA'!$M$17,"")</f>
        <v/>
      </c>
      <c r="AC286" s="520" t="str">
        <f>IF(AND(_AC1="B-767-200",'2023'!$K$4="CA",'2023'!$K$2=AC271),'2023DATA'!$N$17,"")</f>
        <v/>
      </c>
      <c r="AD286" s="940" t="s">
        <v>68</v>
      </c>
      <c r="AE286" s="13" t="s">
        <v>61</v>
      </c>
      <c r="AF286" s="518" t="str">
        <f>IF(AND(_AC2="B-767-200",'2023'!$K$4="CA",'2023'!$K$2=AF271),'2023DATA'!$C$17,"")</f>
        <v/>
      </c>
      <c r="AG286" s="518" t="str">
        <f>IF(AND(_AC2="B-767-200",'2023'!$K$4="CA",'2023'!$K$2=AG271),'2023DATA'!$D$17,"")</f>
        <v/>
      </c>
      <c r="AH286" s="518" t="str">
        <f>IF(AND(_AC2="B-767-200",'2023'!$K$4="CA",'2023'!$K$2=AH271),'2023DATA'!$E$17,"")</f>
        <v/>
      </c>
      <c r="AI286" s="518" t="str">
        <f>IF(AND(_AC2="B-767-200",'2023'!$K$4="CA",'2023'!$K$2=AI271),'2023DATA'!$F$17,"")</f>
        <v/>
      </c>
      <c r="AJ286" s="518" t="str">
        <f>IF(AND(_AC2="B-767-200",'2023'!$K$4="CA",'2023'!$K$2=AJ271),'2023DATA'!$G$17,"")</f>
        <v/>
      </c>
      <c r="AK286" s="518" t="str">
        <f>IF(AND(_AC2="B-767-200",'2023'!$K$4="CA",'2023'!$K$2=AK271),'2023DATA'!$H$17,"")</f>
        <v/>
      </c>
      <c r="AL286" s="518" t="str">
        <f>IF(AND(_AC2="B-767-200",'2023'!$K$4="CA",'2023'!$K$2=AL271),'2023DATA'!$I$17,"")</f>
        <v/>
      </c>
      <c r="AM286" s="518" t="str">
        <f>IF(AND(_AC2="B-767-200",'2023'!$K$4="CA",'2023'!$K$2=AM271),'2023DATA'!$J$17,"")</f>
        <v/>
      </c>
      <c r="AN286" s="518" t="str">
        <f>IF(AND(_AC2="B-767-200",'2023'!$K$4="CA",'2023'!$K$2=AN271),'2023DATA'!$K$17,"")</f>
        <v/>
      </c>
      <c r="AO286" s="518" t="str">
        <f>IF(AND(_AC2="B-767-200",'2023'!$K$4="CA",'2023'!$K$2=AO271),'2023DATA'!$L$17,"")</f>
        <v/>
      </c>
      <c r="AP286" s="518" t="str">
        <f>IF(AND(_AC2="B-767-200",'2023'!$K$4="CA",'2023'!$K$2=AP271),'2023DATA'!$M$17,"")</f>
        <v/>
      </c>
      <c r="AQ286" s="520" t="str">
        <f>IF(AND(_AC2="B-767-200",'2023'!$K$4="CA",'2023'!$K$2=AQ271),'2023DATA'!$N$17,"")</f>
        <v/>
      </c>
      <c r="AR286" s="940" t="s">
        <v>68</v>
      </c>
      <c r="AS286" s="13" t="s">
        <v>61</v>
      </c>
      <c r="AT286" s="518" t="str">
        <f>IF(AND(_AC3="B-767-200",'2023'!$K$4="CA",'2023'!$K$2=AT271),'2023DATA'!$C$17,"")</f>
        <v/>
      </c>
      <c r="AU286" s="518" t="str">
        <f>IF(AND(_AC3="B-767-200",'2023'!$K$4="CA",'2023'!$K$2=AU271),'2023DATA'!$D$17,"")</f>
        <v/>
      </c>
      <c r="AV286" s="518" t="str">
        <f>IF(AND(_AC3="B-767-200",'2023'!$K$4="CA",'2023'!$K$2=AV271),'2023DATA'!$E$17,"")</f>
        <v/>
      </c>
      <c r="AW286" s="518" t="str">
        <f>IF(AND(_AC3="B-767-200",'2023'!$K$4="CA",'2023'!$K$2=AW271),'2023DATA'!$F$17,"")</f>
        <v/>
      </c>
      <c r="AX286" s="518" t="str">
        <f>IF(AND(_AC3="B-767-200",'2023'!$K$4="CA",'2023'!$K$2=AX271),'2023DATA'!$G$17,"")</f>
        <v/>
      </c>
      <c r="AY286" s="518" t="str">
        <f>IF(AND(_AC3="B-767-200",'2023'!$K$4="CA",'2023'!$K$2=AY271),'2023DATA'!$H$17,"")</f>
        <v/>
      </c>
      <c r="AZ286" s="518" t="str">
        <f>IF(AND(_AC3="B-767-200",'2023'!$K$4="CA",'2023'!$K$2=AZ271),'2023DATA'!$I$17,"")</f>
        <v/>
      </c>
      <c r="BA286" s="518" t="str">
        <f>IF(AND(_AC3="B-767-200",'2023'!$K$4="CA",'2023'!$K$2=BA271),'2023DATA'!$J$17,"")</f>
        <v/>
      </c>
      <c r="BB286" s="518" t="str">
        <f>IF(AND(_AC3="B-767-200",'2023'!$K$4="CA",'2023'!$K$2=BB271),'2023DATA'!$K$17,"")</f>
        <v/>
      </c>
      <c r="BC286" s="518" t="str">
        <f>IF(AND(_AC3="B-767-200",'2023'!$K$4="CA",'2023'!$K$2=BC271),'2023DATA'!$L$17,"")</f>
        <v/>
      </c>
      <c r="BD286" s="518" t="str">
        <f>IF(AND(_AC3="B-767-200",'2023'!$K$4="CA",'2023'!$K$2=BD271),'2023DATA'!$M$17,"")</f>
        <v/>
      </c>
      <c r="BE286" s="520" t="str">
        <f>IF(AND(_AC3="B-767-200",'2023'!$K$4="CA",'2023'!$K$2=BE271),'2023DATA'!$N$17,"")</f>
        <v/>
      </c>
      <c r="BF286" s="940" t="s">
        <v>68</v>
      </c>
      <c r="BG286" s="13" t="s">
        <v>61</v>
      </c>
      <c r="BH286" s="518" t="str">
        <f>IF(AND(_AC4="B-767-200",'2023'!$K$4="CA",'2023'!$K$2=BH271),'2023DATA'!$C$17,"")</f>
        <v/>
      </c>
      <c r="BI286" s="518" t="str">
        <f>IF(AND(_AC4="B-767-200",'2023'!$K$4="CA",'2023'!$K$2=BI271),'2023DATA'!$D$17,"")</f>
        <v/>
      </c>
      <c r="BJ286" s="518" t="str">
        <f>IF(AND(_AC4="B-767-200",'2023'!$K$4="CA",'2023'!$K$2=BJ271),'2023DATA'!$E$17,"")</f>
        <v/>
      </c>
      <c r="BK286" s="518" t="str">
        <f>IF(AND(_AC4="B-767-200",'2023'!$K$4="CA",'2023'!$K$2=BK271),'2023DATA'!$F$17,"")</f>
        <v/>
      </c>
      <c r="BL286" s="518" t="str">
        <f>IF(AND(_AC4="B-767-200",'2023'!$K$4="CA",'2023'!$K$2=BL271),'2023DATA'!$G$17,"")</f>
        <v/>
      </c>
      <c r="BM286" s="518" t="str">
        <f>IF(AND(_AC4="B-767-200",'2023'!$K$4="CA",'2023'!$K$2=BM271),'2023DATA'!$H$17,"")</f>
        <v/>
      </c>
      <c r="BN286" s="518" t="str">
        <f>IF(AND(_AC4="B-767-200",'2023'!$K$4="CA",'2023'!$K$2=BN271),'2023DATA'!$I$17,"")</f>
        <v/>
      </c>
      <c r="BO286" s="518" t="str">
        <f>IF(AND(_AC4="B-767-200",'2023'!$K$4="CA",'2023'!$K$2=BO271),'2023DATA'!$J$17,"")</f>
        <v/>
      </c>
      <c r="BP286" s="518" t="str">
        <f>IF(AND(_AC4="B-767-200",'2023'!$K$4="CA",'2023'!$K$2=BP271),'2023DATA'!$K$17,"")</f>
        <v/>
      </c>
      <c r="BQ286" s="518" t="str">
        <f>IF(AND(_AC4="B-767-200",'2023'!$K$4="CA",'2023'!$K$2=BQ271),'2023DATA'!$L$17,"")</f>
        <v/>
      </c>
      <c r="BR286" s="518" t="str">
        <f>IF(AND(_AC4="B-767-200",'2023'!$K$4="CA",'2023'!$K$2=BR271),'2023DATA'!$M$17,"")</f>
        <v/>
      </c>
      <c r="BS286" s="520" t="str">
        <f>IF(AND(_AC4="B-767-200",'2023'!$K$4="CA",'2023'!$K$2=BS271),'2023DATA'!$N$17,"")</f>
        <v/>
      </c>
      <c r="BT286" s="940" t="s">
        <v>68</v>
      </c>
      <c r="BU286" s="13" t="s">
        <v>61</v>
      </c>
      <c r="BV286" s="518" t="str">
        <f>IF(AND(_AC5="B-767-200",'2023'!$K$4="CA",'2023'!$K$2=BV271),'2023DATA'!$C$17,"")</f>
        <v/>
      </c>
      <c r="BW286" s="518" t="str">
        <f>IF(AND(_AC5="B-767-200",'2023'!$K$4="CA",'2023'!$K$2=BW271),'2023DATA'!$D$17,"")</f>
        <v/>
      </c>
      <c r="BX286" s="518" t="str">
        <f>IF(AND(_AC5="B-767-200",'2023'!$K$4="CA",'2023'!$K$2=BX271),'2023DATA'!$E$17,"")</f>
        <v/>
      </c>
      <c r="BY286" s="518" t="str">
        <f>IF(AND(_AC5="B-767-200",'2023'!$K$4="CA",'2023'!$K$2=BY271),'2023DATA'!$F$17,"")</f>
        <v/>
      </c>
      <c r="BZ286" s="518" t="str">
        <f>IF(AND(_AC5="B-767-200",'2023'!$K$4="CA",'2023'!$K$2=BZ271),'2023DATA'!$G$17,"")</f>
        <v/>
      </c>
      <c r="CA286" s="518" t="str">
        <f>IF(AND(_AC5="B-767-200",'2023'!$K$4="CA",'2023'!$K$2=CA271),'2023DATA'!$H$17,"")</f>
        <v/>
      </c>
      <c r="CB286" s="518" t="str">
        <f>IF(AND(_AC5="B-767-200",'2023'!$K$4="CA",'2023'!$K$2=CB271),'2023DATA'!$I$17,"")</f>
        <v/>
      </c>
      <c r="CC286" s="518" t="str">
        <f>IF(AND(_AC5="B-767-200",'2023'!$K$4="CA",'2023'!$K$2=CC271),'2023DATA'!$J$17,"")</f>
        <v/>
      </c>
      <c r="CD286" s="518" t="str">
        <f>IF(AND(_AC5="B-767-200",'2023'!$K$4="CA",'2023'!$K$2=CD271),'2023DATA'!$K$17,"")</f>
        <v/>
      </c>
      <c r="CE286" s="518" t="str">
        <f>IF(AND(_AC5="B-767-200",'2023'!$K$4="CA",'2023'!$K$2=CE271),'2023DATA'!$L$17,"")</f>
        <v/>
      </c>
      <c r="CF286" s="518" t="str">
        <f>IF(AND(_AC5="B-767-200",'2023'!$K$4="CA",'2023'!$K$2=CF271),'2023DATA'!$M$17,"")</f>
        <v/>
      </c>
      <c r="CG286" s="520" t="str">
        <f>IF(AND(_AC5="B-767-200",'2023'!$K$4="CA",'2023'!$K$2=CG271),'2023DATA'!$N$17,"")</f>
        <v/>
      </c>
      <c r="CH286" s="940" t="s">
        <v>68</v>
      </c>
      <c r="CI286" s="13" t="s">
        <v>61</v>
      </c>
      <c r="CJ286" s="518" t="str">
        <f>IF(AND(_AC6="B-767-200",'2023'!$K$4="CA",'2023'!$K$2=CJ271),'2023DATA'!$C$17,"")</f>
        <v/>
      </c>
      <c r="CK286" s="518" t="str">
        <f>IF(AND(_AC6="B-767-200",'2023'!$K$4="CA",'2023'!$K$2=CK271),'2023DATA'!$D$17,"")</f>
        <v/>
      </c>
      <c r="CL286" s="518" t="str">
        <f>IF(AND(_AC6="B-767-200",'2023'!$K$4="CA",'2023'!$K$2=CL271),'2023DATA'!$E$17,"")</f>
        <v/>
      </c>
      <c r="CM286" s="518" t="str">
        <f>IF(AND(_AC6="B-767-200",'2023'!$K$4="CA",'2023'!$K$2=CM271),'2023DATA'!$F$17,"")</f>
        <v/>
      </c>
      <c r="CN286" s="518" t="str">
        <f>IF(AND(_AC6="B-767-200",'2023'!$K$4="CA",'2023'!$K$2=CN271),'2023DATA'!$G$17,"")</f>
        <v/>
      </c>
      <c r="CO286" s="518" t="str">
        <f>IF(AND(_AC6="B-767-200",'2023'!$K$4="CA",'2023'!$K$2=CO271),'2023DATA'!$H$17,"")</f>
        <v/>
      </c>
      <c r="CP286" s="518" t="str">
        <f>IF(AND(_AC6="B-767-200",'2023'!$K$4="CA",'2023'!$K$2=CP271),'2023DATA'!$I$17,"")</f>
        <v/>
      </c>
      <c r="CQ286" s="518" t="str">
        <f>IF(AND(_AC6="B-767-200",'2023'!$K$4="CA",'2023'!$K$2=CQ271),'2023DATA'!$J$17,"")</f>
        <v/>
      </c>
      <c r="CR286" s="518" t="str">
        <f>IF(AND(_AC6="B-767-200",'2023'!$K$4="CA",'2023'!$K$2=CR271),'2023DATA'!$K$17,"")</f>
        <v/>
      </c>
      <c r="CS286" s="518" t="str">
        <f>IF(AND(_AC6="B-767-200",'2023'!$K$4="CA",'2023'!$K$2=CS271),'2023DATA'!$L$17,"")</f>
        <v/>
      </c>
      <c r="CT286" s="518" t="str">
        <f>IF(AND(_AC6="B-767-200",'2023'!$K$4="CA",'2023'!$K$2=CT271),'2023DATA'!$M$17,"")</f>
        <v/>
      </c>
      <c r="CU286" s="520" t="str">
        <f>IF(AND(_AC6="B-767-200",'2023'!$K$4="CA",'2023'!$K$2=CU271),'2023DATA'!$N$17,"")</f>
        <v/>
      </c>
    </row>
    <row r="287" spans="16:99" x14ac:dyDescent="0.25">
      <c r="P287" s="940"/>
      <c r="Q287" s="13" t="s">
        <v>62</v>
      </c>
      <c r="R287" s="518" t="str">
        <f>IF(AND(_AC1="B-767-200",'2023'!$K$4="FO",'2023'!$K$2=R271),'2023DATA'!$C$18,"")</f>
        <v/>
      </c>
      <c r="S287" s="518" t="str">
        <f>IF(AND(_AC1="B-767-200",'2023'!$K$4="FO",'2023'!$K$2=S271),'2023DATA'!$D$18,"")</f>
        <v/>
      </c>
      <c r="T287" s="518" t="str">
        <f>IF(AND(_AC1="B-767-200",'2023'!$K$4="FO",'2023'!$K$2=T271),'2023DATA'!$E$18,"")</f>
        <v/>
      </c>
      <c r="U287" s="518" t="str">
        <f>IF(AND(_AC1="B-767-200",'2023'!$K$4="FO",'2023'!$K$2=U271),'2023DATA'!$F$18,"")</f>
        <v/>
      </c>
      <c r="V287" s="518" t="str">
        <f>IF(AND(_AC1="B-767-200",'2023'!$K$4="FO",'2023'!$K$2=V271),'2023DATA'!$G$18,"")</f>
        <v/>
      </c>
      <c r="W287" s="518" t="str">
        <f>IF(AND(_AC1="B-767-200",'2023'!$K$4="FO",'2023'!$K$2=W271),'2023DATA'!$H$18,"")</f>
        <v/>
      </c>
      <c r="X287" s="518" t="str">
        <f>IF(AND(_AC1="B-767-200",'2023'!$K$4="FO",'2023'!$K$2=X271),'2023DATA'!$I$18,"")</f>
        <v/>
      </c>
      <c r="Y287" s="518" t="str">
        <f>IF(AND(_AC1="B-767-200",'2023'!$K$4="FO",'2023'!$K$2=Y271),'2023DATA'!$J$18,"")</f>
        <v/>
      </c>
      <c r="Z287" s="518" t="str">
        <f>IF(AND(_AC1="B-767-200",'2023'!$K$4="FO",'2023'!$K$2=Z271),'2023DATA'!$K$18,"")</f>
        <v/>
      </c>
      <c r="AA287" s="518" t="str">
        <f>IF(AND(_AC1="B-767-200",'2023'!$K$4="FO",'2023'!$K$2=AA271),'2023DATA'!$L$18,"")</f>
        <v/>
      </c>
      <c r="AB287" s="518" t="str">
        <f>IF(AND(_AC1="B-767-200",'2023'!$K$4="FO",'2023'!$K$2=AB271),'2023DATA'!$M$18,"")</f>
        <v/>
      </c>
      <c r="AC287" s="520" t="str">
        <f>IF(AND(_AC1="B-767-200",'2023'!$K$4="FO",'2023'!$K$2=AC271),'2023DATA'!$N$18,"")</f>
        <v/>
      </c>
      <c r="AD287" s="940"/>
      <c r="AE287" s="13" t="s">
        <v>62</v>
      </c>
      <c r="AF287" s="518" t="str">
        <f>IF(AND(_AC2="B-767-200",'2023'!$K$4="FO",'2023'!$K$2=AF271),'2023DATA'!$C$18,"")</f>
        <v/>
      </c>
      <c r="AG287" s="518" t="str">
        <f>IF(AND(_AC2="B-767-200",'2023'!$K$4="FO",'2023'!$K$2=AG271),'2023DATA'!$D$18,"")</f>
        <v/>
      </c>
      <c r="AH287" s="518" t="str">
        <f>IF(AND(_AC2="B-767-200",'2023'!$K$4="FO",'2023'!$K$2=AH271),'2023DATA'!$E$18,"")</f>
        <v/>
      </c>
      <c r="AI287" s="518" t="str">
        <f>IF(AND(_AC2="B-767-200",'2023'!$K$4="FO",'2023'!$K$2=AI271),'2023DATA'!$F$18,"")</f>
        <v/>
      </c>
      <c r="AJ287" s="518" t="str">
        <f>IF(AND(_AC2="B-767-200",'2023'!$K$4="FO",'2023'!$K$2=AJ271),'2023DATA'!$G$18,"")</f>
        <v/>
      </c>
      <c r="AK287" s="518" t="str">
        <f>IF(AND(_AC2="B-767-200",'2023'!$K$4="FO",'2023'!$K$2=AK271),'2023DATA'!$H$18,"")</f>
        <v/>
      </c>
      <c r="AL287" s="518" t="str">
        <f>IF(AND(_AC2="B-767-200",'2023'!$K$4="FO",'2023'!$K$2=AL271),'2023DATA'!$I$18,"")</f>
        <v/>
      </c>
      <c r="AM287" s="518" t="str">
        <f>IF(AND(_AC2="B-767-200",'2023'!$K$4="FO",'2023'!$K$2=AM271),'2023DATA'!$J$18,"")</f>
        <v/>
      </c>
      <c r="AN287" s="518" t="str">
        <f>IF(AND(_AC2="B-767-200",'2023'!$K$4="FO",'2023'!$K$2=AN271),'2023DATA'!$K$18,"")</f>
        <v/>
      </c>
      <c r="AO287" s="518" t="str">
        <f>IF(AND(_AC2="B-767-200",'2023'!$K$4="FO",'2023'!$K$2=AO271),'2023DATA'!$L$18,"")</f>
        <v/>
      </c>
      <c r="AP287" s="518" t="str">
        <f>IF(AND(_AC2="B-767-200",'2023'!$K$4="FO",'2023'!$K$2=AP271),'2023DATA'!$M$18,"")</f>
        <v/>
      </c>
      <c r="AQ287" s="520" t="str">
        <f>IF(AND(_AC2="B-767-200",'2023'!$K$4="FO",'2023'!$K$2=AQ271),'2023DATA'!$N$18,"")</f>
        <v/>
      </c>
      <c r="AR287" s="940"/>
      <c r="AS287" s="13" t="s">
        <v>62</v>
      </c>
      <c r="AT287" s="518" t="str">
        <f>IF(AND(_AC3="B-767-200",'2023'!$K$4="FO",'2023'!$K$2=AT271),'2023DATA'!$C$18,"")</f>
        <v/>
      </c>
      <c r="AU287" s="518" t="str">
        <f>IF(AND(_AC3="B-767-200",'2023'!$K$4="FO",'2023'!$K$2=AU271),'2023DATA'!$D$18,"")</f>
        <v/>
      </c>
      <c r="AV287" s="518" t="str">
        <f>IF(AND(_AC3="B-767-200",'2023'!$K$4="FO",'2023'!$K$2=AV271),'2023DATA'!$E$18,"")</f>
        <v/>
      </c>
      <c r="AW287" s="518" t="str">
        <f>IF(AND(_AC3="B-767-200",'2023'!$K$4="FO",'2023'!$K$2=AW271),'2023DATA'!$F$18,"")</f>
        <v/>
      </c>
      <c r="AX287" s="518" t="str">
        <f>IF(AND(_AC3="B-767-200",'2023'!$K$4="FO",'2023'!$K$2=AX271),'2023DATA'!$G$18,"")</f>
        <v/>
      </c>
      <c r="AY287" s="518" t="str">
        <f>IF(AND(_AC3="B-767-200",'2023'!$K$4="FO",'2023'!$K$2=AY271),'2023DATA'!$H$18,"")</f>
        <v/>
      </c>
      <c r="AZ287" s="518" t="str">
        <f>IF(AND(_AC3="B-767-200",'2023'!$K$4="FO",'2023'!$K$2=AZ271),'2023DATA'!$I$18,"")</f>
        <v/>
      </c>
      <c r="BA287" s="518" t="str">
        <f>IF(AND(_AC3="B-767-200",'2023'!$K$4="FO",'2023'!$K$2=BA271),'2023DATA'!$J$18,"")</f>
        <v/>
      </c>
      <c r="BB287" s="518" t="str">
        <f>IF(AND(_AC3="B-767-200",'2023'!$K$4="FO",'2023'!$K$2=BB271),'2023DATA'!$K$18,"")</f>
        <v/>
      </c>
      <c r="BC287" s="518" t="str">
        <f>IF(AND(_AC3="B-767-200",'2023'!$K$4="FO",'2023'!$K$2=BC271),'2023DATA'!$L$18,"")</f>
        <v/>
      </c>
      <c r="BD287" s="518" t="str">
        <f>IF(AND(_AC3="B-767-200",'2023'!$K$4="FO",'2023'!$K$2=BD271),'2023DATA'!$M$18,"")</f>
        <v/>
      </c>
      <c r="BE287" s="520" t="str">
        <f>IF(AND(_AC3="B-767-200",'2023'!$K$4="FO",'2023'!$K$2=BE271),'2023DATA'!$N$18,"")</f>
        <v/>
      </c>
      <c r="BF287" s="940"/>
      <c r="BG287" s="13" t="s">
        <v>62</v>
      </c>
      <c r="BH287" s="518" t="str">
        <f>IF(AND(_AC4="B-767-200",'2023'!$K$4="FO",'2023'!$K$2=BH271),'2023DATA'!$C$18,"")</f>
        <v/>
      </c>
      <c r="BI287" s="518" t="str">
        <f>IF(AND(_AC4="B-767-200",'2023'!$K$4="FO",'2023'!$K$2=BI271),'2023DATA'!$D$18,"")</f>
        <v/>
      </c>
      <c r="BJ287" s="518" t="str">
        <f>IF(AND(_AC4="B-767-200",'2023'!$K$4="FO",'2023'!$K$2=BJ271),'2023DATA'!$E$18,"")</f>
        <v/>
      </c>
      <c r="BK287" s="518" t="str">
        <f>IF(AND(_AC4="B-767-200",'2023'!$K$4="FO",'2023'!$K$2=BK271),'2023DATA'!$F$18,"")</f>
        <v/>
      </c>
      <c r="BL287" s="518" t="str">
        <f>IF(AND(_AC4="B-767-200",'2023'!$K$4="FO",'2023'!$K$2=BL271),'2023DATA'!$G$18,"")</f>
        <v/>
      </c>
      <c r="BM287" s="518" t="str">
        <f>IF(AND(_AC4="B-767-200",'2023'!$K$4="FO",'2023'!$K$2=BM271),'2023DATA'!$H$18,"")</f>
        <v/>
      </c>
      <c r="BN287" s="518" t="str">
        <f>IF(AND(_AC4="B-767-200",'2023'!$K$4="FO",'2023'!$K$2=BN271),'2023DATA'!$I$18,"")</f>
        <v/>
      </c>
      <c r="BO287" s="518" t="str">
        <f>IF(AND(_AC4="B-767-200",'2023'!$K$4="FO",'2023'!$K$2=BO271),'2023DATA'!$J$18,"")</f>
        <v/>
      </c>
      <c r="BP287" s="518" t="str">
        <f>IF(AND(_AC4="B-767-200",'2023'!$K$4="FO",'2023'!$K$2=BP271),'2023DATA'!$K$18,"")</f>
        <v/>
      </c>
      <c r="BQ287" s="518" t="str">
        <f>IF(AND(_AC4="B-767-200",'2023'!$K$4="FO",'2023'!$K$2=BQ271),'2023DATA'!$L$18,"")</f>
        <v/>
      </c>
      <c r="BR287" s="518" t="str">
        <f>IF(AND(_AC4="B-767-200",'2023'!$K$4="FO",'2023'!$K$2=BR271),'2023DATA'!$M$18,"")</f>
        <v/>
      </c>
      <c r="BS287" s="520" t="str">
        <f>IF(AND(_AC4="B-767-200",'2023'!$K$4="FO",'2023'!$K$2=BS271),'2023DATA'!$N$18,"")</f>
        <v/>
      </c>
      <c r="BT287" s="940"/>
      <c r="BU287" s="13" t="s">
        <v>62</v>
      </c>
      <c r="BV287" s="518" t="str">
        <f>IF(AND(_AC5="B-767-200",'2023'!$K$4="FO",'2023'!$K$2=BV271),'2023DATA'!$C$18,"")</f>
        <v/>
      </c>
      <c r="BW287" s="518" t="str">
        <f>IF(AND(_AC5="B-767-200",'2023'!$K$4="FO",'2023'!$K$2=BW271),'2023DATA'!$D$18,"")</f>
        <v/>
      </c>
      <c r="BX287" s="518" t="str">
        <f>IF(AND(_AC5="B-767-200",'2023'!$K$4="FO",'2023'!$K$2=BX271),'2023DATA'!$E$18,"")</f>
        <v/>
      </c>
      <c r="BY287" s="518" t="str">
        <f>IF(AND(_AC5="B-767-200",'2023'!$K$4="FO",'2023'!$K$2=BY271),'2023DATA'!$F$18,"")</f>
        <v/>
      </c>
      <c r="BZ287" s="518" t="str">
        <f>IF(AND(_AC5="B-767-200",'2023'!$K$4="FO",'2023'!$K$2=BZ271),'2023DATA'!$G$18,"")</f>
        <v/>
      </c>
      <c r="CA287" s="518" t="str">
        <f>IF(AND(_AC5="B-767-200",'2023'!$K$4="FO",'2023'!$K$2=CA271),'2023DATA'!$H$18,"")</f>
        <v/>
      </c>
      <c r="CB287" s="518" t="str">
        <f>IF(AND(_AC5="B-767-200",'2023'!$K$4="FO",'2023'!$K$2=CB271),'2023DATA'!$I$18,"")</f>
        <v/>
      </c>
      <c r="CC287" s="518" t="str">
        <f>IF(AND(_AC5="B-767-200",'2023'!$K$4="FO",'2023'!$K$2=CC271),'2023DATA'!$J$18,"")</f>
        <v/>
      </c>
      <c r="CD287" s="518" t="str">
        <f>IF(AND(_AC5="B-767-200",'2023'!$K$4="FO",'2023'!$K$2=CD271),'2023DATA'!$K$18,"")</f>
        <v/>
      </c>
      <c r="CE287" s="518" t="str">
        <f>IF(AND(_AC5="B-767-200",'2023'!$K$4="FO",'2023'!$K$2=CE271),'2023DATA'!$L$18,"")</f>
        <v/>
      </c>
      <c r="CF287" s="518" t="str">
        <f>IF(AND(_AC5="B-767-200",'2023'!$K$4="FO",'2023'!$K$2=CF271),'2023DATA'!$M$18,"")</f>
        <v/>
      </c>
      <c r="CG287" s="520" t="str">
        <f>IF(AND(_AC5="B-767-200",'2023'!$K$4="FO",'2023'!$K$2=CG271),'2023DATA'!$N$18,"")</f>
        <v/>
      </c>
      <c r="CH287" s="940"/>
      <c r="CI287" s="13" t="s">
        <v>62</v>
      </c>
      <c r="CJ287" s="518" t="str">
        <f>IF(AND(_AC6="B-767-200",'2023'!$K$4="FO",'2023'!$K$2=CJ271),'2023DATA'!$C$18,"")</f>
        <v/>
      </c>
      <c r="CK287" s="518" t="str">
        <f>IF(AND(_AC6="B-767-200",'2023'!$K$4="FO",'2023'!$K$2=CK271),'2023DATA'!$D$18,"")</f>
        <v/>
      </c>
      <c r="CL287" s="518" t="str">
        <f>IF(AND(_AC6="B-767-200",'2023'!$K$4="FO",'2023'!$K$2=CL271),'2023DATA'!$E$18,"")</f>
        <v/>
      </c>
      <c r="CM287" s="518" t="str">
        <f>IF(AND(_AC6="B-767-200",'2023'!$K$4="FO",'2023'!$K$2=CM271),'2023DATA'!$F$18,"")</f>
        <v/>
      </c>
      <c r="CN287" s="518" t="str">
        <f>IF(AND(_AC6="B-767-200",'2023'!$K$4="FO",'2023'!$K$2=CN271),'2023DATA'!$G$18,"")</f>
        <v/>
      </c>
      <c r="CO287" s="518" t="str">
        <f>IF(AND(_AC6="B-767-200",'2023'!$K$4="FO",'2023'!$K$2=CO271),'2023DATA'!$H$18,"")</f>
        <v/>
      </c>
      <c r="CP287" s="518" t="str">
        <f>IF(AND(_AC6="B-767-200",'2023'!$K$4="FO",'2023'!$K$2=CP271),'2023DATA'!$I$18,"")</f>
        <v/>
      </c>
      <c r="CQ287" s="518" t="str">
        <f>IF(AND(_AC6="B-767-200",'2023'!$K$4="FO",'2023'!$K$2=CQ271),'2023DATA'!$J$18,"")</f>
        <v/>
      </c>
      <c r="CR287" s="518" t="str">
        <f>IF(AND(_AC6="B-767-200",'2023'!$K$4="FO",'2023'!$K$2=CR271),'2023DATA'!$K$18,"")</f>
        <v/>
      </c>
      <c r="CS287" s="518" t="str">
        <f>IF(AND(_AC6="B-767-200",'2023'!$K$4="FO",'2023'!$K$2=CS271),'2023DATA'!$L$18,"")</f>
        <v/>
      </c>
      <c r="CT287" s="518" t="str">
        <f>IF(AND(_AC6="B-767-200",'2023'!$K$4="FO",'2023'!$K$2=CT271),'2023DATA'!$M$18,"")</f>
        <v/>
      </c>
      <c r="CU287" s="520" t="str">
        <f>IF(AND(_AC6="B-767-200",'2023'!$K$4="FO",'2023'!$K$2=CU271),'2023DATA'!$N$18,"")</f>
        <v/>
      </c>
    </row>
    <row r="288" spans="16:99" x14ac:dyDescent="0.25">
      <c r="P288" s="940" t="s">
        <v>45</v>
      </c>
      <c r="Q288" s="13" t="s">
        <v>61</v>
      </c>
      <c r="R288" s="518" t="str">
        <f>IF(AND(_AC1="B-757",'2023'!$K$4="CA",'2023'!$K$2=R271),'2023DATA'!$C$19,"")</f>
        <v/>
      </c>
      <c r="S288" s="518" t="str">
        <f>IF(AND(_AC1="B-757",'2023'!$K$4="CA",'2023'!$K$2=S271),'2023DATA'!$D$19,"")</f>
        <v/>
      </c>
      <c r="T288" s="518" t="str">
        <f>IF(AND(_AC1="B-757",'2023'!$K$4="CA",'2023'!$K$2=T271),'2023DATA'!$E$19,"")</f>
        <v/>
      </c>
      <c r="U288" s="518" t="str">
        <f>IF(AND(_AC1="B-757",'2023'!$K$4="CA",'2023'!$K$2=U271),'2023DATA'!$F$19,"")</f>
        <v/>
      </c>
      <c r="V288" s="518" t="str">
        <f>IF(AND(_AC1="B-757",'2023'!$K$4="CA",'2023'!$K$2=V271),'2023DATA'!$G$19,"")</f>
        <v/>
      </c>
      <c r="W288" s="518" t="str">
        <f>IF(AND(_AC1="B-757",'2023'!$K$4="CA",'2023'!$K$2=W271),'2023DATA'!$H$19,"")</f>
        <v/>
      </c>
      <c r="X288" s="518" t="str">
        <f>IF(AND(_AC1="B-757",'2023'!$K$4="CA",'2023'!$K$2=X271),'2023DATA'!$I$19,"")</f>
        <v/>
      </c>
      <c r="Y288" s="518" t="str">
        <f>IF(AND(_AC1="B-757",'2023'!$K$4="CA",'2023'!$K$2=Y271),'2023DATA'!$J$19,"")</f>
        <v/>
      </c>
      <c r="Z288" s="518" t="str">
        <f>IF(AND(_AC1="B-757",'2023'!$K$4="CA",'2023'!$K$2=Z271),'2023DATA'!$K$19,"")</f>
        <v/>
      </c>
      <c r="AA288" s="518" t="str">
        <f>IF(AND(_AC1="B-757",'2023'!$K$4="CA",'2023'!$K$2=AA271),'2023DATA'!$L$19,"")</f>
        <v/>
      </c>
      <c r="AB288" s="518" t="str">
        <f>IF(AND(_AC1="B-757",'2023'!$K$4="CA",'2023'!$K$2=AB271),'2023DATA'!$M$19,"")</f>
        <v/>
      </c>
      <c r="AC288" s="520" t="str">
        <f>IF(AND(_AC1="B-757",'2023'!$K$4="CA",'2023'!$K$2=AC271),'2023DATA'!$N$19,"")</f>
        <v/>
      </c>
      <c r="AD288" s="940" t="s">
        <v>45</v>
      </c>
      <c r="AE288" s="13" t="s">
        <v>61</v>
      </c>
      <c r="AF288" s="518" t="str">
        <f>IF(AND(_AC2="B-757",'2023'!$K$4="CA",'2023'!$K$2=AF271),'2023DATA'!$C$19,"")</f>
        <v/>
      </c>
      <c r="AG288" s="518" t="str">
        <f>IF(AND(_AC2="B-757",'2023'!$K$4="CA",'2023'!$K$2=AG271),'2023DATA'!$D$19,"")</f>
        <v/>
      </c>
      <c r="AH288" s="518" t="str">
        <f>IF(AND(_AC2="B-757",'2023'!$K$4="CA",'2023'!$K$2=AH271),'2023DATA'!$E$19,"")</f>
        <v/>
      </c>
      <c r="AI288" s="518" t="str">
        <f>IF(AND(_AC2="B-757",'2023'!$K$4="CA",'2023'!$K$2=AI271),'2023DATA'!$F$19,"")</f>
        <v/>
      </c>
      <c r="AJ288" s="518" t="str">
        <f>IF(AND(_AC2="B-757",'2023'!$K$4="CA",'2023'!$K$2=AJ271),'2023DATA'!$G$19,"")</f>
        <v/>
      </c>
      <c r="AK288" s="518" t="str">
        <f>IF(AND(_AC2="B-757",'2023'!$K$4="CA",'2023'!$K$2=AK271),'2023DATA'!$H$19,"")</f>
        <v/>
      </c>
      <c r="AL288" s="518" t="str">
        <f>IF(AND(_AC2="B-757",'2023'!$K$4="CA",'2023'!$K$2=AL271),'2023DATA'!$I$19,"")</f>
        <v/>
      </c>
      <c r="AM288" s="518" t="str">
        <f>IF(AND(_AC2="B-757",'2023'!$K$4="CA",'2023'!$K$2=AM271),'2023DATA'!$J$19,"")</f>
        <v/>
      </c>
      <c r="AN288" s="518" t="str">
        <f>IF(AND(_AC2="B-757",'2023'!$K$4="CA",'2023'!$K$2=AN271),'2023DATA'!$K$19,"")</f>
        <v/>
      </c>
      <c r="AO288" s="518" t="str">
        <f>IF(AND(_AC2="B-757",'2023'!$K$4="CA",'2023'!$K$2=AO271),'2023DATA'!$L$19,"")</f>
        <v/>
      </c>
      <c r="AP288" s="518" t="str">
        <f>IF(AND(_AC2="B-757",'2023'!$K$4="CA",'2023'!$K$2=AP271),'2023DATA'!$M$19,"")</f>
        <v/>
      </c>
      <c r="AQ288" s="520" t="str">
        <f>IF(AND(_AC2="B-757",'2023'!$K$4="CA",'2023'!$K$2=AQ271),'2023DATA'!$N$19,"")</f>
        <v/>
      </c>
      <c r="AR288" s="940" t="s">
        <v>45</v>
      </c>
      <c r="AS288" s="13" t="s">
        <v>61</v>
      </c>
      <c r="AT288" s="518" t="str">
        <f>IF(AND(_AC3="B-757",'2023'!$K$4="CA",'2023'!$K$2=AT271),'2023DATA'!$C$19,"")</f>
        <v/>
      </c>
      <c r="AU288" s="518" t="str">
        <f>IF(AND(_AC3="B-757",'2023'!$K$4="CA",'2023'!$K$2=AU271),'2023DATA'!$D$19,"")</f>
        <v/>
      </c>
      <c r="AV288" s="518" t="str">
        <f>IF(AND(_AC3="B-757",'2023'!$K$4="CA",'2023'!$K$2=AV271),'2023DATA'!$E$19,"")</f>
        <v/>
      </c>
      <c r="AW288" s="518" t="str">
        <f>IF(AND(_AC3="B-757",'2023'!$K$4="CA",'2023'!$K$2=AW271),'2023DATA'!$F$19,"")</f>
        <v/>
      </c>
      <c r="AX288" s="518" t="str">
        <f>IF(AND(_AC3="B-757",'2023'!$K$4="CA",'2023'!$K$2=AX271),'2023DATA'!$G$19,"")</f>
        <v/>
      </c>
      <c r="AY288" s="518" t="str">
        <f>IF(AND(_AC3="B-757",'2023'!$K$4="CA",'2023'!$K$2=AY271),'2023DATA'!$H$19,"")</f>
        <v/>
      </c>
      <c r="AZ288" s="518" t="str">
        <f>IF(AND(_AC3="B-757",'2023'!$K$4="CA",'2023'!$K$2=AZ271),'2023DATA'!$I$19,"")</f>
        <v/>
      </c>
      <c r="BA288" s="518" t="str">
        <f>IF(AND(_AC3="B-757",'2023'!$K$4="CA",'2023'!$K$2=BA271),'2023DATA'!$J$19,"")</f>
        <v/>
      </c>
      <c r="BB288" s="518" t="str">
        <f>IF(AND(_AC3="B-757",'2023'!$K$4="CA",'2023'!$K$2=BB271),'2023DATA'!$K$19,"")</f>
        <v/>
      </c>
      <c r="BC288" s="518" t="str">
        <f>IF(AND(_AC3="B-757",'2023'!$K$4="CA",'2023'!$K$2=BC271),'2023DATA'!$L$19,"")</f>
        <v/>
      </c>
      <c r="BD288" s="518" t="str">
        <f>IF(AND(_AC3="B-757",'2023'!$K$4="CA",'2023'!$K$2=BD271),'2023DATA'!$M$19,"")</f>
        <v/>
      </c>
      <c r="BE288" s="520" t="str">
        <f>IF(AND(_AC3="B-757",'2023'!$K$4="CA",'2023'!$K$2=BE271),'2023DATA'!$N$19,"")</f>
        <v/>
      </c>
      <c r="BF288" s="940" t="s">
        <v>45</v>
      </c>
      <c r="BG288" s="13" t="s">
        <v>61</v>
      </c>
      <c r="BH288" s="518" t="str">
        <f>IF(AND(_AC4="B-757",'2023'!$K$4="CA",'2023'!$K$2=BH271),'2023DATA'!$C$19,"")</f>
        <v/>
      </c>
      <c r="BI288" s="518" t="str">
        <f>IF(AND(_AC4="B-757",'2023'!$K$4="CA",'2023'!$K$2=BI271),'2023DATA'!$D$19,"")</f>
        <v/>
      </c>
      <c r="BJ288" s="518" t="str">
        <f>IF(AND(_AC4="B-757",'2023'!$K$4="CA",'2023'!$K$2=BJ271),'2023DATA'!$E$19,"")</f>
        <v/>
      </c>
      <c r="BK288" s="518" t="str">
        <f>IF(AND(_AC4="B-757",'2023'!$K$4="CA",'2023'!$K$2=BK271),'2023DATA'!$F$19,"")</f>
        <v/>
      </c>
      <c r="BL288" s="518" t="str">
        <f>IF(AND(_AC4="B-757",'2023'!$K$4="CA",'2023'!$K$2=BL271),'2023DATA'!$G$19,"")</f>
        <v/>
      </c>
      <c r="BM288" s="518" t="str">
        <f>IF(AND(_AC4="B-757",'2023'!$K$4="CA",'2023'!$K$2=BM271),'2023DATA'!$H$19,"")</f>
        <v/>
      </c>
      <c r="BN288" s="518" t="str">
        <f>IF(AND(_AC4="B-757",'2023'!$K$4="CA",'2023'!$K$2=BN271),'2023DATA'!$I$19,"")</f>
        <v/>
      </c>
      <c r="BO288" s="518" t="str">
        <f>IF(AND(_AC4="B-757",'2023'!$K$4="CA",'2023'!$K$2=BO271),'2023DATA'!$J$19,"")</f>
        <v/>
      </c>
      <c r="BP288" s="518" t="str">
        <f>IF(AND(_AC4="B-757",'2023'!$K$4="CA",'2023'!$K$2=BP271),'2023DATA'!$K$19,"")</f>
        <v/>
      </c>
      <c r="BQ288" s="518" t="str">
        <f>IF(AND(_AC4="B-757",'2023'!$K$4="CA",'2023'!$K$2=BQ271),'2023DATA'!$L$19,"")</f>
        <v/>
      </c>
      <c r="BR288" s="518" t="str">
        <f>IF(AND(_AC4="B-757",'2023'!$K$4="CA",'2023'!$K$2=BR271),'2023DATA'!$M$19,"")</f>
        <v/>
      </c>
      <c r="BS288" s="520" t="str">
        <f>IF(AND(_AC4="B-757",'2023'!$K$4="CA",'2023'!$K$2=BS271),'2023DATA'!$N$19,"")</f>
        <v/>
      </c>
      <c r="BT288" s="940" t="s">
        <v>45</v>
      </c>
      <c r="BU288" s="13" t="s">
        <v>61</v>
      </c>
      <c r="BV288" s="518" t="str">
        <f>IF(AND(_AC5="B-757",'2023'!$K$4="CA",'2023'!$K$2=BV271),'2023DATA'!$C$19,"")</f>
        <v/>
      </c>
      <c r="BW288" s="518" t="str">
        <f>IF(AND(_AC5="B-757",'2023'!$K$4="CA",'2023'!$K$2=BW271),'2023DATA'!$D$19,"")</f>
        <v/>
      </c>
      <c r="BX288" s="518" t="str">
        <f>IF(AND(_AC5="B-757",'2023'!$K$4="CA",'2023'!$K$2=BX271),'2023DATA'!$E$19,"")</f>
        <v/>
      </c>
      <c r="BY288" s="518" t="str">
        <f>IF(AND(_AC5="B-757",'2023'!$K$4="CA",'2023'!$K$2=BY271),'2023DATA'!$F$19,"")</f>
        <v/>
      </c>
      <c r="BZ288" s="518" t="str">
        <f>IF(AND(_AC5="B-757",'2023'!$K$4="CA",'2023'!$K$2=BZ271),'2023DATA'!$G$19,"")</f>
        <v/>
      </c>
      <c r="CA288" s="518" t="str">
        <f>IF(AND(_AC5="B-757",'2023'!$K$4="CA",'2023'!$K$2=CA271),'2023DATA'!$H$19,"")</f>
        <v/>
      </c>
      <c r="CB288" s="518" t="str">
        <f>IF(AND(_AC5="B-757",'2023'!$K$4="CA",'2023'!$K$2=CB271),'2023DATA'!$I$19,"")</f>
        <v/>
      </c>
      <c r="CC288" s="518" t="str">
        <f>IF(AND(_AC5="B-757",'2023'!$K$4="CA",'2023'!$K$2=CC271),'2023DATA'!$J$19,"")</f>
        <v/>
      </c>
      <c r="CD288" s="518" t="str">
        <f>IF(AND(_AC5="B-757",'2023'!$K$4="CA",'2023'!$K$2=CD271),'2023DATA'!$K$19,"")</f>
        <v/>
      </c>
      <c r="CE288" s="518" t="str">
        <f>IF(AND(_AC5="B-757",'2023'!$K$4="CA",'2023'!$K$2=CE271),'2023DATA'!$L$19,"")</f>
        <v/>
      </c>
      <c r="CF288" s="518" t="str">
        <f>IF(AND(_AC5="B-757",'2023'!$K$4="CA",'2023'!$K$2=CF271),'2023DATA'!$M$19,"")</f>
        <v/>
      </c>
      <c r="CG288" s="520" t="str">
        <f>IF(AND(_AC5="B-757",'2023'!$K$4="CA",'2023'!$K$2=CG271),'2023DATA'!$N$19,"")</f>
        <v/>
      </c>
      <c r="CH288" s="940" t="s">
        <v>45</v>
      </c>
      <c r="CI288" s="13" t="s">
        <v>61</v>
      </c>
      <c r="CJ288" s="518" t="str">
        <f>IF(AND(_AC6="B-757",'2023'!$K$4="CA",'2023'!$K$2=CJ271),'2023DATA'!$C$19,"")</f>
        <v/>
      </c>
      <c r="CK288" s="518" t="str">
        <f>IF(AND(_AC6="B-757",'2023'!$K$4="CA",'2023'!$K$2=CK271),'2023DATA'!$D$19,"")</f>
        <v/>
      </c>
      <c r="CL288" s="518" t="str">
        <f>IF(AND(_AC6="B-757",'2023'!$K$4="CA",'2023'!$K$2=CL271),'2023DATA'!$E$19,"")</f>
        <v/>
      </c>
      <c r="CM288" s="518" t="str">
        <f>IF(AND(_AC6="B-757",'2023'!$K$4="CA",'2023'!$K$2=CM271),'2023DATA'!$F$19,"")</f>
        <v/>
      </c>
      <c r="CN288" s="518" t="str">
        <f>IF(AND(_AC6="B-757",'2023'!$K$4="CA",'2023'!$K$2=CN271),'2023DATA'!$G$19,"")</f>
        <v/>
      </c>
      <c r="CO288" s="518" t="str">
        <f>IF(AND(_AC6="B-757",'2023'!$K$4="CA",'2023'!$K$2=CO271),'2023DATA'!$H$19,"")</f>
        <v/>
      </c>
      <c r="CP288" s="518" t="str">
        <f>IF(AND(_AC6="B-757",'2023'!$K$4="CA",'2023'!$K$2=CP271),'2023DATA'!$I$19,"")</f>
        <v/>
      </c>
      <c r="CQ288" s="518" t="str">
        <f>IF(AND(_AC6="B-757",'2023'!$K$4="CA",'2023'!$K$2=CQ271),'2023DATA'!$J$19,"")</f>
        <v/>
      </c>
      <c r="CR288" s="518" t="str">
        <f>IF(AND(_AC6="B-757",'2023'!$K$4="CA",'2023'!$K$2=CR271),'2023DATA'!$K$19,"")</f>
        <v/>
      </c>
      <c r="CS288" s="518" t="str">
        <f>IF(AND(_AC6="B-757",'2023'!$K$4="CA",'2023'!$K$2=CS271),'2023DATA'!$L$19,"")</f>
        <v/>
      </c>
      <c r="CT288" s="518" t="str">
        <f>IF(AND(_AC6="B-757",'2023'!$K$4="CA",'2023'!$K$2=CT271),'2023DATA'!$M$19,"")</f>
        <v/>
      </c>
      <c r="CU288" s="520" t="str">
        <f>IF(AND(_AC6="B-757",'2023'!$K$4="CA",'2023'!$K$2=CU271),'2023DATA'!$N$19,"")</f>
        <v/>
      </c>
    </row>
    <row r="289" spans="16:99" x14ac:dyDescent="0.25">
      <c r="P289" s="940"/>
      <c r="Q289" s="13" t="s">
        <v>62</v>
      </c>
      <c r="R289" s="518" t="str">
        <f>IF(AND(_AC1="B-757",'2023'!$K$4="FO",'2023'!$K$2=R271),'2023DATA'!$C$20,"")</f>
        <v/>
      </c>
      <c r="S289" s="518" t="str">
        <f>IF(AND(_AC1="B-757",'2023'!$K$4="FO",'2023'!$K$2=S271),'2023DATA'!$D$20,"")</f>
        <v/>
      </c>
      <c r="T289" s="518" t="str">
        <f>IF(AND(_AC1="B-757",'2023'!$K$4="FO",'2023'!$K$2=T271),'2023DATA'!$E$20,"")</f>
        <v/>
      </c>
      <c r="U289" s="518" t="str">
        <f>IF(AND(_AC1="B-757",'2023'!$K$4="FO",'2023'!$K$2=U271),'2023DATA'!$F$20,"")</f>
        <v/>
      </c>
      <c r="V289" s="518" t="str">
        <f>IF(AND(_AC1="B-757",'2023'!$K$4="FO",'2023'!$K$2=V271),'2023DATA'!$G$20,"")</f>
        <v/>
      </c>
      <c r="W289" s="518" t="str">
        <f>IF(AND(_AC1="B-757",'2023'!$K$4="FO",'2023'!$K$2=W271),'2023DATA'!$H$20,"")</f>
        <v/>
      </c>
      <c r="X289" s="518" t="str">
        <f>IF(AND(_AC1="B-757",'2023'!$K$4="FO",'2023'!$K$2=X271),'2023DATA'!$I$20,"")</f>
        <v/>
      </c>
      <c r="Y289" s="518" t="str">
        <f>IF(AND(_AC1="B-757",'2023'!$K$4="FO",'2023'!$K$2=Y271),'2023DATA'!$J$20,"")</f>
        <v/>
      </c>
      <c r="Z289" s="518" t="str">
        <f>IF(AND(_AC1="B-757",'2023'!$K$4="FO",'2023'!$K$2=Z271),'2023DATA'!$K$20,"")</f>
        <v/>
      </c>
      <c r="AA289" s="518" t="str">
        <f>IF(AND(_AC1="B-757",'2023'!$K$4="FO",'2023'!$K$2=AA271),'2023DATA'!$L$20,"")</f>
        <v/>
      </c>
      <c r="AB289" s="518" t="str">
        <f>IF(AND(_AC1="B-757",'2023'!$K$4="FO",'2023'!$K$2=AB271),'2023DATA'!$M$20,"")</f>
        <v/>
      </c>
      <c r="AC289" s="520" t="str">
        <f>IF(AND(_AC1="B-757",'2023'!$K$4="FO",'2023'!$K$2=AC271),'2023DATA'!$N$20,"")</f>
        <v/>
      </c>
      <c r="AD289" s="940"/>
      <c r="AE289" s="13" t="s">
        <v>62</v>
      </c>
      <c r="AF289" s="518" t="str">
        <f>IF(AND(_AC2="B-757",'2023'!$K$4="FO",'2023'!$K$2=AF271),'2023DATA'!$C$20,"")</f>
        <v/>
      </c>
      <c r="AG289" s="518" t="str">
        <f>IF(AND(_AC2="B-757",'2023'!$K$4="FO",'2023'!$K$2=AG271),'2023DATA'!$D$20,"")</f>
        <v/>
      </c>
      <c r="AH289" s="518" t="str">
        <f>IF(AND(_AC2="B-757",'2023'!$K$4="FO",'2023'!$K$2=AH271),'2023DATA'!$E$20,"")</f>
        <v/>
      </c>
      <c r="AI289" s="518" t="str">
        <f>IF(AND(_AC2="B-757",'2023'!$K$4="FO",'2023'!$K$2=AI271),'2023DATA'!$F$20,"")</f>
        <v/>
      </c>
      <c r="AJ289" s="518" t="str">
        <f>IF(AND(_AC2="B-757",'2023'!$K$4="FO",'2023'!$K$2=AJ271),'2023DATA'!$G$20,"")</f>
        <v/>
      </c>
      <c r="AK289" s="518" t="str">
        <f>IF(AND(_AC2="B-757",'2023'!$K$4="FO",'2023'!$K$2=AK271),'2023DATA'!$H$20,"")</f>
        <v/>
      </c>
      <c r="AL289" s="518" t="str">
        <f>IF(AND(_AC2="B-757",'2023'!$K$4="FO",'2023'!$K$2=AL271),'2023DATA'!$I$20,"")</f>
        <v/>
      </c>
      <c r="AM289" s="518" t="str">
        <f>IF(AND(_AC2="B-757",'2023'!$K$4="FO",'2023'!$K$2=AM271),'2023DATA'!$J$20,"")</f>
        <v/>
      </c>
      <c r="AN289" s="518" t="str">
        <f>IF(AND(_AC2="B-757",'2023'!$K$4="FO",'2023'!$K$2=AN271),'2023DATA'!$K$20,"")</f>
        <v/>
      </c>
      <c r="AO289" s="518" t="str">
        <f>IF(AND(_AC2="B-757",'2023'!$K$4="FO",'2023'!$K$2=AO271),'2023DATA'!$L$20,"")</f>
        <v/>
      </c>
      <c r="AP289" s="518" t="str">
        <f>IF(AND(_AC2="B-757",'2023'!$K$4="FO",'2023'!$K$2=AP271),'2023DATA'!$M$20,"")</f>
        <v/>
      </c>
      <c r="AQ289" s="520" t="str">
        <f>IF(AND(_AC2="B-757",'2023'!$K$4="FO",'2023'!$K$2=AQ271),'2023DATA'!$N$20,"")</f>
        <v/>
      </c>
      <c r="AR289" s="940"/>
      <c r="AS289" s="13" t="s">
        <v>62</v>
      </c>
      <c r="AT289" s="518" t="str">
        <f>IF(AND(_AC3="B-757",'2023'!$K$4="FO",'2023'!$K$2=AT271),'2023DATA'!$C$20,"")</f>
        <v/>
      </c>
      <c r="AU289" s="518" t="str">
        <f>IF(AND(_AC3="B-757",'2023'!$K$4="FO",'2023'!$K$2=AU271),'2023DATA'!$D$20,"")</f>
        <v/>
      </c>
      <c r="AV289" s="518" t="str">
        <f>IF(AND(_AC3="B-757",'2023'!$K$4="FO",'2023'!$K$2=AV271),'2023DATA'!$E$20,"")</f>
        <v/>
      </c>
      <c r="AW289" s="518" t="str">
        <f>IF(AND(_AC3="B-757",'2023'!$K$4="FO",'2023'!$K$2=AW271),'2023DATA'!$F$20,"")</f>
        <v/>
      </c>
      <c r="AX289" s="518" t="str">
        <f>IF(AND(_AC3="B-757",'2023'!$K$4="FO",'2023'!$K$2=AX271),'2023DATA'!$G$20,"")</f>
        <v/>
      </c>
      <c r="AY289" s="518" t="str">
        <f>IF(AND(_AC3="B-757",'2023'!$K$4="FO",'2023'!$K$2=AY271),'2023DATA'!$H$20,"")</f>
        <v/>
      </c>
      <c r="AZ289" s="518" t="str">
        <f>IF(AND(_AC3="B-757",'2023'!$K$4="FO",'2023'!$K$2=AZ271),'2023DATA'!$I$20,"")</f>
        <v/>
      </c>
      <c r="BA289" s="518" t="str">
        <f>IF(AND(_AC3="B-757",'2023'!$K$4="FO",'2023'!$K$2=BA271),'2023DATA'!$J$20,"")</f>
        <v/>
      </c>
      <c r="BB289" s="518" t="str">
        <f>IF(AND(_AC3="B-757",'2023'!$K$4="FO",'2023'!$K$2=BB271),'2023DATA'!$K$20,"")</f>
        <v/>
      </c>
      <c r="BC289" s="518" t="str">
        <f>IF(AND(_AC3="B-757",'2023'!$K$4="FO",'2023'!$K$2=BC271),'2023DATA'!$L$20,"")</f>
        <v/>
      </c>
      <c r="BD289" s="518" t="str">
        <f>IF(AND(_AC3="B-757",'2023'!$K$4="FO",'2023'!$K$2=BD271),'2023DATA'!$M$20,"")</f>
        <v/>
      </c>
      <c r="BE289" s="520" t="str">
        <f>IF(AND(_AC3="B-757",'2023'!$K$4="FO",'2023'!$K$2=BE271),'2023DATA'!$N$20,"")</f>
        <v/>
      </c>
      <c r="BF289" s="940"/>
      <c r="BG289" s="13" t="s">
        <v>62</v>
      </c>
      <c r="BH289" s="518" t="str">
        <f>IF(AND(_AC4="B-757",'2023'!$K$4="FO",'2023'!$K$2=BH271),'2023DATA'!$C$20,"")</f>
        <v/>
      </c>
      <c r="BI289" s="518" t="str">
        <f>IF(AND(_AC4="B-757",'2023'!$K$4="FO",'2023'!$K$2=BI271),'2023DATA'!$D$20,"")</f>
        <v/>
      </c>
      <c r="BJ289" s="518" t="str">
        <f>IF(AND(_AC4="B-757",'2023'!$K$4="FO",'2023'!$K$2=BJ271),'2023DATA'!$E$20,"")</f>
        <v/>
      </c>
      <c r="BK289" s="518" t="str">
        <f>IF(AND(_AC4="B-757",'2023'!$K$4="FO",'2023'!$K$2=BK271),'2023DATA'!$F$20,"")</f>
        <v/>
      </c>
      <c r="BL289" s="518" t="str">
        <f>IF(AND(_AC4="B-757",'2023'!$K$4="FO",'2023'!$K$2=BL271),'2023DATA'!$G$20,"")</f>
        <v/>
      </c>
      <c r="BM289" s="518" t="str">
        <f>IF(AND(_AC4="B-757",'2023'!$K$4="FO",'2023'!$K$2=BM271),'2023DATA'!$H$20,"")</f>
        <v/>
      </c>
      <c r="BN289" s="518" t="str">
        <f>IF(AND(_AC4="B-757",'2023'!$K$4="FO",'2023'!$K$2=BN271),'2023DATA'!$I$20,"")</f>
        <v/>
      </c>
      <c r="BO289" s="518" t="str">
        <f>IF(AND(_AC4="B-757",'2023'!$K$4="FO",'2023'!$K$2=BO271),'2023DATA'!$J$20,"")</f>
        <v/>
      </c>
      <c r="BP289" s="518" t="str">
        <f>IF(AND(_AC4="B-757",'2023'!$K$4="FO",'2023'!$K$2=BP271),'2023DATA'!$K$20,"")</f>
        <v/>
      </c>
      <c r="BQ289" s="518" t="str">
        <f>IF(AND(_AC4="B-757",'2023'!$K$4="FO",'2023'!$K$2=BQ271),'2023DATA'!$L$20,"")</f>
        <v/>
      </c>
      <c r="BR289" s="518" t="str">
        <f>IF(AND(_AC4="B-757",'2023'!$K$4="FO",'2023'!$K$2=BR271),'2023DATA'!$M$20,"")</f>
        <v/>
      </c>
      <c r="BS289" s="520" t="str">
        <f>IF(AND(_AC4="B-757",'2023'!$K$4="FO",'2023'!$K$2=BS271),'2023DATA'!$N$20,"")</f>
        <v/>
      </c>
      <c r="BT289" s="940"/>
      <c r="BU289" s="13" t="s">
        <v>62</v>
      </c>
      <c r="BV289" s="518" t="str">
        <f>IF(AND(_AC5="B-757",'2023'!$K$4="FO",'2023'!$K$2=BV271),'2023DATA'!$C$20,"")</f>
        <v/>
      </c>
      <c r="BW289" s="518" t="str">
        <f>IF(AND(_AC5="B-757",'2023'!$K$4="FO",'2023'!$K$2=BW271),'2023DATA'!$D$20,"")</f>
        <v/>
      </c>
      <c r="BX289" s="518" t="str">
        <f>IF(AND(_AC5="B-757",'2023'!$K$4="FO",'2023'!$K$2=BX271),'2023DATA'!$E$20,"")</f>
        <v/>
      </c>
      <c r="BY289" s="518" t="str">
        <f>IF(AND(_AC5="B-757",'2023'!$K$4="FO",'2023'!$K$2=BY271),'2023DATA'!$F$20,"")</f>
        <v/>
      </c>
      <c r="BZ289" s="518" t="str">
        <f>IF(AND(_AC5="B-757",'2023'!$K$4="FO",'2023'!$K$2=BZ271),'2023DATA'!$G$20,"")</f>
        <v/>
      </c>
      <c r="CA289" s="518" t="str">
        <f>IF(AND(_AC5="B-757",'2023'!$K$4="FO",'2023'!$K$2=CA271),'2023DATA'!$H$20,"")</f>
        <v/>
      </c>
      <c r="CB289" s="518" t="str">
        <f>IF(AND(_AC5="B-757",'2023'!$K$4="FO",'2023'!$K$2=CB271),'2023DATA'!$I$20,"")</f>
        <v/>
      </c>
      <c r="CC289" s="518" t="str">
        <f>IF(AND(_AC5="B-757",'2023'!$K$4="FO",'2023'!$K$2=CC271),'2023DATA'!$J$20,"")</f>
        <v/>
      </c>
      <c r="CD289" s="518" t="str">
        <f>IF(AND(_AC5="B-757",'2023'!$K$4="FO",'2023'!$K$2=CD271),'2023DATA'!$K$20,"")</f>
        <v/>
      </c>
      <c r="CE289" s="518" t="str">
        <f>IF(AND(_AC5="B-757",'2023'!$K$4="FO",'2023'!$K$2=CE271),'2023DATA'!$L$20,"")</f>
        <v/>
      </c>
      <c r="CF289" s="518" t="str">
        <f>IF(AND(_AC5="B-757",'2023'!$K$4="FO",'2023'!$K$2=CF271),'2023DATA'!$M$20,"")</f>
        <v/>
      </c>
      <c r="CG289" s="520" t="str">
        <f>IF(AND(_AC5="B-757",'2023'!$K$4="FO",'2023'!$K$2=CG271),'2023DATA'!$N$20,"")</f>
        <v/>
      </c>
      <c r="CH289" s="940"/>
      <c r="CI289" s="13" t="s">
        <v>62</v>
      </c>
      <c r="CJ289" s="518" t="str">
        <f>IF(AND(_AC6="B-757",'2023'!$K$4="FO",'2023'!$K$2=CJ271),'2023DATA'!$C$20,"")</f>
        <v/>
      </c>
      <c r="CK289" s="518" t="str">
        <f>IF(AND(_AC6="B-757",'2023'!$K$4="FO",'2023'!$K$2=CK271),'2023DATA'!$D$20,"")</f>
        <v/>
      </c>
      <c r="CL289" s="518" t="str">
        <f>IF(AND(_AC6="B-757",'2023'!$K$4="FO",'2023'!$K$2=CL271),'2023DATA'!$E$20,"")</f>
        <v/>
      </c>
      <c r="CM289" s="518" t="str">
        <f>IF(AND(_AC6="B-757",'2023'!$K$4="FO",'2023'!$K$2=CM271),'2023DATA'!$F$20,"")</f>
        <v/>
      </c>
      <c r="CN289" s="518" t="str">
        <f>IF(AND(_AC6="B-757",'2023'!$K$4="FO",'2023'!$K$2=CN271),'2023DATA'!$G$20,"")</f>
        <v/>
      </c>
      <c r="CO289" s="518" t="str">
        <f>IF(AND(_AC6="B-757",'2023'!$K$4="FO",'2023'!$K$2=CO271),'2023DATA'!$H$20,"")</f>
        <v/>
      </c>
      <c r="CP289" s="518" t="str">
        <f>IF(AND(_AC6="B-757",'2023'!$K$4="FO",'2023'!$K$2=CP271),'2023DATA'!$I$20,"")</f>
        <v/>
      </c>
      <c r="CQ289" s="518" t="str">
        <f>IF(AND(_AC6="B-757",'2023'!$K$4="FO",'2023'!$K$2=CQ271),'2023DATA'!$J$20,"")</f>
        <v/>
      </c>
      <c r="CR289" s="518" t="str">
        <f>IF(AND(_AC6="B-757",'2023'!$K$4="FO",'2023'!$K$2=CR271),'2023DATA'!$K$20,"")</f>
        <v/>
      </c>
      <c r="CS289" s="518" t="str">
        <f>IF(AND(_AC6="B-757",'2023'!$K$4="FO",'2023'!$K$2=CS271),'2023DATA'!$L$20,"")</f>
        <v/>
      </c>
      <c r="CT289" s="518" t="str">
        <f>IF(AND(_AC6="B-757",'2023'!$K$4="FO",'2023'!$K$2=CT271),'2023DATA'!$M$20,"")</f>
        <v/>
      </c>
      <c r="CU289" s="520" t="str">
        <f>IF(AND(_AC6="B-757",'2023'!$K$4="FO",'2023'!$K$2=CU271),'2023DATA'!$N$20,"")</f>
        <v/>
      </c>
    </row>
    <row r="290" spans="16:99" x14ac:dyDescent="0.25">
      <c r="P290" s="940" t="s">
        <v>47</v>
      </c>
      <c r="Q290" s="13" t="s">
        <v>61</v>
      </c>
      <c r="R290" s="518" t="str">
        <f>IF(AND(_AC1="B-737-900",'2023'!$K$4="CA",'2023'!$K$2=R271),'2023DATA'!$C$21,"")</f>
        <v/>
      </c>
      <c r="S290" s="518" t="str">
        <f>IF(AND(_AC1="B-737-900",'2023'!$K$4="CA",'2023'!$K$2=S271),'2023DATA'!$D$21,"")</f>
        <v/>
      </c>
      <c r="T290" s="518" t="str">
        <f>IF(AND(_AC1="B-737-900",'2023'!$K$4="CA",'2023'!$K$2=T271),'2023DATA'!$E$21,"")</f>
        <v/>
      </c>
      <c r="U290" s="518" t="str">
        <f>IF(AND(_AC1="B-737-900",'2023'!$K$4="CA",'2023'!$K$2=U271),'2023DATA'!$F$21,"")</f>
        <v/>
      </c>
      <c r="V290" s="518" t="str">
        <f>IF(AND(_AC1="B-737-900",'2023'!$K$4="CA",'2023'!$K$2=V271),'2023DATA'!$G$21,"")</f>
        <v/>
      </c>
      <c r="W290" s="518" t="str">
        <f>IF(AND(_AC1="B-737-900",'2023'!$K$4="CA",'2023'!$K$2=W271),'2023DATA'!$H$21,"")</f>
        <v/>
      </c>
      <c r="X290" s="518" t="str">
        <f>IF(AND(_AC1="B-737-900",'2023'!$K$4="CA",'2023'!$K$2=X271),'2023DATA'!$I$21,"")</f>
        <v/>
      </c>
      <c r="Y290" s="518" t="str">
        <f>IF(AND(_AC1="B-737-900",'2023'!$K$4="CA",'2023'!$K$2=Y271),'2023DATA'!$J$21,"")</f>
        <v/>
      </c>
      <c r="Z290" s="518" t="str">
        <f>IF(AND(_AC1="B-737-900",'2023'!$K$4="CA",'2023'!$K$2=Z271),'2023DATA'!$K$21,"")</f>
        <v/>
      </c>
      <c r="AA290" s="518" t="str">
        <f>IF(AND(_AC1="B-737-900",'2023'!$K$4="CA",'2023'!$K$2=AA271),'2023DATA'!$L$21,"")</f>
        <v/>
      </c>
      <c r="AB290" s="518" t="str">
        <f>IF(AND(_AC1="B-737-900",'2023'!$K$4="CA",'2023'!$K$2=AB271),'2023DATA'!$M$21,"")</f>
        <v/>
      </c>
      <c r="AC290" s="520" t="str">
        <f>IF(AND(_AC1="B-737-900",'2023'!$K$4="CA",'2023'!$K$2=AC271),'2023DATA'!$N$21,"")</f>
        <v/>
      </c>
      <c r="AD290" s="940" t="s">
        <v>47</v>
      </c>
      <c r="AE290" s="13" t="s">
        <v>61</v>
      </c>
      <c r="AF290" s="518" t="str">
        <f>IF(AND(_AC2="B-737-900",'2023'!$K$4="CA",'2023'!$K$2=AF271),'2023DATA'!$C$21,"")</f>
        <v/>
      </c>
      <c r="AG290" s="518" t="str">
        <f>IF(AND(_AC2="B-737-900",'2023'!$K$4="CA",'2023'!$K$2=AG271),'2023DATA'!$D$21,"")</f>
        <v/>
      </c>
      <c r="AH290" s="518" t="str">
        <f>IF(AND(_AC2="B-737-900",'2023'!$K$4="CA",'2023'!$K$2=AH271),'2023DATA'!$E$21,"")</f>
        <v/>
      </c>
      <c r="AI290" s="518" t="str">
        <f>IF(AND(_AC2="B-737-900",'2023'!$K$4="CA",'2023'!$K$2=AI271),'2023DATA'!$F$21,"")</f>
        <v/>
      </c>
      <c r="AJ290" s="518" t="str">
        <f>IF(AND(_AC2="B-737-900",'2023'!$K$4="CA",'2023'!$K$2=AJ271),'2023DATA'!$G$21,"")</f>
        <v/>
      </c>
      <c r="AK290" s="518" t="str">
        <f>IF(AND(_AC2="B-737-900",'2023'!$K$4="CA",'2023'!$K$2=AK271),'2023DATA'!$H$21,"")</f>
        <v/>
      </c>
      <c r="AL290" s="518" t="str">
        <f>IF(AND(_AC2="B-737-900",'2023'!$K$4="CA",'2023'!$K$2=AL271),'2023DATA'!$I$21,"")</f>
        <v/>
      </c>
      <c r="AM290" s="518" t="str">
        <f>IF(AND(_AC2="B-737-900",'2023'!$K$4="CA",'2023'!$K$2=AM271),'2023DATA'!$J$21,"")</f>
        <v/>
      </c>
      <c r="AN290" s="518" t="str">
        <f>IF(AND(_AC2="B-737-900",'2023'!$K$4="CA",'2023'!$K$2=AN271),'2023DATA'!$K$21,"")</f>
        <v/>
      </c>
      <c r="AO290" s="518" t="str">
        <f>IF(AND(_AC2="B-737-900",'2023'!$K$4="CA",'2023'!$K$2=AO271),'2023DATA'!$L$21,"")</f>
        <v/>
      </c>
      <c r="AP290" s="518" t="str">
        <f>IF(AND(_AC2="B-737-900",'2023'!$K$4="CA",'2023'!$K$2=AP271),'2023DATA'!$M$21,"")</f>
        <v/>
      </c>
      <c r="AQ290" s="520" t="str">
        <f>IF(AND(_AC2="B-737-900",'2023'!$K$4="CA",'2023'!$K$2=AQ271),'2023DATA'!$N$21,"")</f>
        <v/>
      </c>
      <c r="AR290" s="940" t="s">
        <v>47</v>
      </c>
      <c r="AS290" s="13" t="s">
        <v>61</v>
      </c>
      <c r="AT290" s="518" t="str">
        <f>IF(AND(_AC3="B-737-900",'2023'!$K$4="CA",'2023'!$K$2=AT271),'2023DATA'!$C$21,"")</f>
        <v/>
      </c>
      <c r="AU290" s="518" t="str">
        <f>IF(AND(_AC3="B-737-900",'2023'!$K$4="CA",'2023'!$K$2=AU271),'2023DATA'!$D$21,"")</f>
        <v/>
      </c>
      <c r="AV290" s="518" t="str">
        <f>IF(AND(_AC3="B-737-900",'2023'!$K$4="CA",'2023'!$K$2=AV271),'2023DATA'!$E$21,"")</f>
        <v/>
      </c>
      <c r="AW290" s="518" t="str">
        <f>IF(AND(_AC3="B-737-900",'2023'!$K$4="CA",'2023'!$K$2=AW271),'2023DATA'!$F$21,"")</f>
        <v/>
      </c>
      <c r="AX290" s="518" t="str">
        <f>IF(AND(_AC3="B-737-900",'2023'!$K$4="CA",'2023'!$K$2=AX271),'2023DATA'!$G$21,"")</f>
        <v/>
      </c>
      <c r="AY290" s="518" t="str">
        <f>IF(AND(_AC3="B-737-900",'2023'!$K$4="CA",'2023'!$K$2=AY271),'2023DATA'!$H$21,"")</f>
        <v/>
      </c>
      <c r="AZ290" s="518" t="str">
        <f>IF(AND(_AC3="B-737-900",'2023'!$K$4="CA",'2023'!$K$2=AZ271),'2023DATA'!$I$21,"")</f>
        <v/>
      </c>
      <c r="BA290" s="518" t="str">
        <f>IF(AND(_AC3="B-737-900",'2023'!$K$4="CA",'2023'!$K$2=BA271),'2023DATA'!$J$21,"")</f>
        <v/>
      </c>
      <c r="BB290" s="518" t="str">
        <f>IF(AND(_AC3="B-737-900",'2023'!$K$4="CA",'2023'!$K$2=BB271),'2023DATA'!$K$21,"")</f>
        <v/>
      </c>
      <c r="BC290" s="518" t="str">
        <f>IF(AND(_AC3="B-737-900",'2023'!$K$4="CA",'2023'!$K$2=BC271),'2023DATA'!$L$21,"")</f>
        <v/>
      </c>
      <c r="BD290" s="518" t="str">
        <f>IF(AND(_AC3="B-737-900",'2023'!$K$4="CA",'2023'!$K$2=BD271),'2023DATA'!$M$21,"")</f>
        <v/>
      </c>
      <c r="BE290" s="520" t="str">
        <f>IF(AND(_AC3="B-737-900",'2023'!$K$4="CA",'2023'!$K$2=BE271),'2023DATA'!$N$21,"")</f>
        <v/>
      </c>
      <c r="BF290" s="940" t="s">
        <v>47</v>
      </c>
      <c r="BG290" s="13" t="s">
        <v>61</v>
      </c>
      <c r="BH290" s="518" t="str">
        <f>IF(AND(_AC4="B-737-900",'2023'!$K$4="CA",'2023'!$K$2=BH271),'2023DATA'!$C$21,"")</f>
        <v/>
      </c>
      <c r="BI290" s="518" t="str">
        <f>IF(AND(_AC4="B-737-900",'2023'!$K$4="CA",'2023'!$K$2=BI271),'2023DATA'!$D$21,"")</f>
        <v/>
      </c>
      <c r="BJ290" s="518" t="str">
        <f>IF(AND(_AC4="B-737-900",'2023'!$K$4="CA",'2023'!$K$2=BJ271),'2023DATA'!$E$21,"")</f>
        <v/>
      </c>
      <c r="BK290" s="518" t="str">
        <f>IF(AND(_AC4="B-737-900",'2023'!$K$4="CA",'2023'!$K$2=BK271),'2023DATA'!$F$21,"")</f>
        <v/>
      </c>
      <c r="BL290" s="518" t="str">
        <f>IF(AND(_AC4="B-737-900",'2023'!$K$4="CA",'2023'!$K$2=BL271),'2023DATA'!$G$21,"")</f>
        <v/>
      </c>
      <c r="BM290" s="518" t="str">
        <f>IF(AND(_AC4="B-737-900",'2023'!$K$4="CA",'2023'!$K$2=BM271),'2023DATA'!$H$21,"")</f>
        <v/>
      </c>
      <c r="BN290" s="518" t="str">
        <f>IF(AND(_AC4="B-737-900",'2023'!$K$4="CA",'2023'!$K$2=BN271),'2023DATA'!$I$21,"")</f>
        <v/>
      </c>
      <c r="BO290" s="518" t="str">
        <f>IF(AND(_AC4="B-737-900",'2023'!$K$4="CA",'2023'!$K$2=BO271),'2023DATA'!$J$21,"")</f>
        <v/>
      </c>
      <c r="BP290" s="518" t="str">
        <f>IF(AND(_AC4="B-737-900",'2023'!$K$4="CA",'2023'!$K$2=BP271),'2023DATA'!$K$21,"")</f>
        <v/>
      </c>
      <c r="BQ290" s="518" t="str">
        <f>IF(AND(_AC4="B-737-900",'2023'!$K$4="CA",'2023'!$K$2=BQ271),'2023DATA'!$L$21,"")</f>
        <v/>
      </c>
      <c r="BR290" s="518" t="str">
        <f>IF(AND(_AC4="B-737-900",'2023'!$K$4="CA",'2023'!$K$2=BR271),'2023DATA'!$M$21,"")</f>
        <v/>
      </c>
      <c r="BS290" s="520" t="str">
        <f>IF(AND(_AC4="B-737-900",'2023'!$K$4="CA",'2023'!$K$2=BS271),'2023DATA'!$N$21,"")</f>
        <v/>
      </c>
      <c r="BT290" s="940" t="s">
        <v>47</v>
      </c>
      <c r="BU290" s="13" t="s">
        <v>61</v>
      </c>
      <c r="BV290" s="518" t="str">
        <f>IF(AND(_AC5="B-737-900",'2023'!$K$4="CA",'2023'!$K$2=BV271),'2023DATA'!$C$21,"")</f>
        <v/>
      </c>
      <c r="BW290" s="518" t="str">
        <f>IF(AND(_AC5="B-737-900",'2023'!$K$4="CA",'2023'!$K$2=BW271),'2023DATA'!$D$21,"")</f>
        <v/>
      </c>
      <c r="BX290" s="518" t="str">
        <f>IF(AND(_AC5="B-737-900",'2023'!$K$4="CA",'2023'!$K$2=BX271),'2023DATA'!$E$21,"")</f>
        <v/>
      </c>
      <c r="BY290" s="518" t="str">
        <f>IF(AND(_AC5="B-737-900",'2023'!$K$4="CA",'2023'!$K$2=BY271),'2023DATA'!$F$21,"")</f>
        <v/>
      </c>
      <c r="BZ290" s="518" t="str">
        <f>IF(AND(_AC5="B-737-900",'2023'!$K$4="CA",'2023'!$K$2=BZ271),'2023DATA'!$G$21,"")</f>
        <v/>
      </c>
      <c r="CA290" s="518" t="str">
        <f>IF(AND(_AC5="B-737-900",'2023'!$K$4="CA",'2023'!$K$2=CA271),'2023DATA'!$H$21,"")</f>
        <v/>
      </c>
      <c r="CB290" s="518" t="str">
        <f>IF(AND(_AC5="B-737-900",'2023'!$K$4="CA",'2023'!$K$2=CB271),'2023DATA'!$I$21,"")</f>
        <v/>
      </c>
      <c r="CC290" s="518" t="str">
        <f>IF(AND(_AC5="B-737-900",'2023'!$K$4="CA",'2023'!$K$2=CC271),'2023DATA'!$J$21,"")</f>
        <v/>
      </c>
      <c r="CD290" s="518" t="str">
        <f>IF(AND(_AC5="B-737-900",'2023'!$K$4="CA",'2023'!$K$2=CD271),'2023DATA'!$K$21,"")</f>
        <v/>
      </c>
      <c r="CE290" s="518" t="str">
        <f>IF(AND(_AC5="B-737-900",'2023'!$K$4="CA",'2023'!$K$2=CE271),'2023DATA'!$L$21,"")</f>
        <v/>
      </c>
      <c r="CF290" s="518" t="str">
        <f>IF(AND(_AC5="B-737-900",'2023'!$K$4="CA",'2023'!$K$2=CF271),'2023DATA'!$M$21,"")</f>
        <v/>
      </c>
      <c r="CG290" s="520" t="str">
        <f>IF(AND(_AC5="B-737-900",'2023'!$K$4="CA",'2023'!$K$2=CG271),'2023DATA'!$N$21,"")</f>
        <v/>
      </c>
      <c r="CH290" s="940" t="s">
        <v>47</v>
      </c>
      <c r="CI290" s="13" t="s">
        <v>61</v>
      </c>
      <c r="CJ290" s="518" t="str">
        <f>IF(AND(_AC6="B-737-900",'2023'!$K$4="CA",'2023'!$K$2=CJ271),'2023DATA'!$C$21,"")</f>
        <v/>
      </c>
      <c r="CK290" s="518" t="str">
        <f>IF(AND(_AC6="B-737-900",'2023'!$K$4="CA",'2023'!$K$2=CK271),'2023DATA'!$D$21,"")</f>
        <v/>
      </c>
      <c r="CL290" s="518" t="str">
        <f>IF(AND(_AC6="B-737-900",'2023'!$K$4="CA",'2023'!$K$2=CL271),'2023DATA'!$E$21,"")</f>
        <v/>
      </c>
      <c r="CM290" s="518" t="str">
        <f>IF(AND(_AC6="B-737-900",'2023'!$K$4="CA",'2023'!$K$2=CM271),'2023DATA'!$F$21,"")</f>
        <v/>
      </c>
      <c r="CN290" s="518" t="str">
        <f>IF(AND(_AC6="B-737-900",'2023'!$K$4="CA",'2023'!$K$2=CN271),'2023DATA'!$G$21,"")</f>
        <v/>
      </c>
      <c r="CO290" s="518" t="str">
        <f>IF(AND(_AC6="B-737-900",'2023'!$K$4="CA",'2023'!$K$2=CO271),'2023DATA'!$H$21,"")</f>
        <v/>
      </c>
      <c r="CP290" s="518" t="str">
        <f>IF(AND(_AC6="B-737-900",'2023'!$K$4="CA",'2023'!$K$2=CP271),'2023DATA'!$I$21,"")</f>
        <v/>
      </c>
      <c r="CQ290" s="518" t="str">
        <f>IF(AND(_AC6="B-737-900",'2023'!$K$4="CA",'2023'!$K$2=CQ271),'2023DATA'!$J$21,"")</f>
        <v/>
      </c>
      <c r="CR290" s="518" t="str">
        <f>IF(AND(_AC6="B-737-900",'2023'!$K$4="CA",'2023'!$K$2=CR271),'2023DATA'!$K$21,"")</f>
        <v/>
      </c>
      <c r="CS290" s="518" t="str">
        <f>IF(AND(_AC6="B-737-900",'2023'!$K$4="CA",'2023'!$K$2=CS271),'2023DATA'!$L$21,"")</f>
        <v/>
      </c>
      <c r="CT290" s="518" t="str">
        <f>IF(AND(_AC6="B-737-900",'2023'!$K$4="CA",'2023'!$K$2=CT271),'2023DATA'!$M$21,"")</f>
        <v/>
      </c>
      <c r="CU290" s="520" t="str">
        <f>IF(AND(_AC6="B-737-900",'2023'!$K$4="CA",'2023'!$K$2=CU271),'2023DATA'!$N$21,"")</f>
        <v/>
      </c>
    </row>
    <row r="291" spans="16:99" x14ac:dyDescent="0.25">
      <c r="P291" s="940"/>
      <c r="Q291" s="13" t="s">
        <v>62</v>
      </c>
      <c r="R291" s="518" t="str">
        <f>IF(AND(_AC1="B-737-900",'2023'!$K$4="FO",'2023'!$K$2=R271),'2023DATA'!$C$22,"")</f>
        <v/>
      </c>
      <c r="S291" s="518" t="str">
        <f>IF(AND(_AC1="B-737-900",'2023'!$K$4="FO",'2023'!$K$2=S271),'2023DATA'!$D$22,"")</f>
        <v/>
      </c>
      <c r="T291" s="518" t="str">
        <f>IF(AND(_AC1="B-737-900",'2023'!$K$4="FO",'2023'!$K$2=T271),'2023DATA'!$E$22,"")</f>
        <v/>
      </c>
      <c r="U291" s="518" t="str">
        <f>IF(AND(_AC1="B-737-900",'2023'!$K$4="FO",'2023'!$K$2=U271),'2023DATA'!$F$22,"")</f>
        <v/>
      </c>
      <c r="V291" s="518" t="str">
        <f>IF(AND(_AC1="B-737-900",'2023'!$K$4="FO",'2023'!$K$2=V271),'2023DATA'!$G$22,"")</f>
        <v/>
      </c>
      <c r="W291" s="518" t="str">
        <f>IF(AND(_AC1="B-737-900",'2023'!$K$4="FO",'2023'!$K$2=W271),'2023DATA'!$H$22,"")</f>
        <v/>
      </c>
      <c r="X291" s="518" t="str">
        <f>IF(AND(_AC1="B-737-900",'2023'!$K$4="FO",'2023'!$K$2=X271),'2023DATA'!$I$22,"")</f>
        <v/>
      </c>
      <c r="Y291" s="518" t="str">
        <f>IF(AND(_AC1="B-737-900",'2023'!$K$4="FO",'2023'!$K$2=Y271),'2023DATA'!$J$22,"")</f>
        <v/>
      </c>
      <c r="Z291" s="518" t="str">
        <f>IF(AND(_AC1="B-737-900",'2023'!$K$4="FO",'2023'!$K$2=Z271),'2023DATA'!$K$22,"")</f>
        <v/>
      </c>
      <c r="AA291" s="518" t="str">
        <f>IF(AND(_AC1="B-737-900",'2023'!$K$4="FO",'2023'!$K$2=AA271),'2023DATA'!$L$22,"")</f>
        <v/>
      </c>
      <c r="AB291" s="518" t="str">
        <f>IF(AND(_AC1="B-737-900",'2023'!$K$4="FO",'2023'!$K$2=AB271),'2023DATA'!$M$22,"")</f>
        <v/>
      </c>
      <c r="AC291" s="520" t="str">
        <f>IF(AND(_AC1="B-737-900",'2023'!$K$4="FO",'2023'!$K$2=AC271),'2023DATA'!$N$22,"")</f>
        <v/>
      </c>
      <c r="AD291" s="940"/>
      <c r="AE291" s="13" t="s">
        <v>62</v>
      </c>
      <c r="AF291" s="518" t="str">
        <f>IF(AND(_AC2="B-737-900",'2023'!$K$4="FO",'2023'!$K$2=AF271),'2023DATA'!$C$22,"")</f>
        <v/>
      </c>
      <c r="AG291" s="518" t="str">
        <f>IF(AND(_AC2="B-737-900",'2023'!$K$4="FO",'2023'!$K$2=AG271),'2023DATA'!$D$22,"")</f>
        <v/>
      </c>
      <c r="AH291" s="518" t="str">
        <f>IF(AND(_AC2="B-737-900",'2023'!$K$4="FO",'2023'!$K$2=AH271),'2023DATA'!$E$22,"")</f>
        <v/>
      </c>
      <c r="AI291" s="518" t="str">
        <f>IF(AND(_AC2="B-737-900",'2023'!$K$4="FO",'2023'!$K$2=AI271),'2023DATA'!$F$22,"")</f>
        <v/>
      </c>
      <c r="AJ291" s="518" t="str">
        <f>IF(AND(_AC2="B-737-900",'2023'!$K$4="FO",'2023'!$K$2=AJ271),'2023DATA'!$G$22,"")</f>
        <v/>
      </c>
      <c r="AK291" s="518" t="str">
        <f>IF(AND(_AC2="B-737-900",'2023'!$K$4="FO",'2023'!$K$2=AK271),'2023DATA'!$H$22,"")</f>
        <v/>
      </c>
      <c r="AL291" s="518" t="str">
        <f>IF(AND(_AC2="B-737-900",'2023'!$K$4="FO",'2023'!$K$2=AL271),'2023DATA'!$I$22,"")</f>
        <v/>
      </c>
      <c r="AM291" s="518" t="str">
        <f>IF(AND(_AC2="B-737-900",'2023'!$K$4="FO",'2023'!$K$2=AM271),'2023DATA'!$J$22,"")</f>
        <v/>
      </c>
      <c r="AN291" s="518" t="str">
        <f>IF(AND(_AC2="B-737-900",'2023'!$K$4="FO",'2023'!$K$2=AN271),'2023DATA'!$K$22,"")</f>
        <v/>
      </c>
      <c r="AO291" s="518" t="str">
        <f>IF(AND(_AC2="B-737-900",'2023'!$K$4="FO",'2023'!$K$2=AO271),'2023DATA'!$L$22,"")</f>
        <v/>
      </c>
      <c r="AP291" s="518" t="str">
        <f>IF(AND(_AC2="B-737-900",'2023'!$K$4="FO",'2023'!$K$2=AP271),'2023DATA'!$M$22,"")</f>
        <v/>
      </c>
      <c r="AQ291" s="520" t="str">
        <f>IF(AND(_AC2="B-737-900",'2023'!$K$4="FO",'2023'!$K$2=AQ271),'2023DATA'!$N$22,"")</f>
        <v/>
      </c>
      <c r="AR291" s="940"/>
      <c r="AS291" s="13" t="s">
        <v>62</v>
      </c>
      <c r="AT291" s="518" t="str">
        <f>IF(AND(_AC3="B-737-900",'2023'!$K$4="FO",'2023'!$K$2=AT271),'2023DATA'!$C$22,"")</f>
        <v/>
      </c>
      <c r="AU291" s="518" t="str">
        <f>IF(AND(_AC3="B-737-900",'2023'!$K$4="FO",'2023'!$K$2=AU271),'2023DATA'!$D$22,"")</f>
        <v/>
      </c>
      <c r="AV291" s="518" t="str">
        <f>IF(AND(_AC3="B-737-900",'2023'!$K$4="FO",'2023'!$K$2=AV271),'2023DATA'!$E$22,"")</f>
        <v/>
      </c>
      <c r="AW291" s="518" t="str">
        <f>IF(AND(_AC3="B-737-900",'2023'!$K$4="FO",'2023'!$K$2=AW271),'2023DATA'!$F$22,"")</f>
        <v/>
      </c>
      <c r="AX291" s="518" t="str">
        <f>IF(AND(_AC3="B-737-900",'2023'!$K$4="FO",'2023'!$K$2=AX271),'2023DATA'!$G$22,"")</f>
        <v/>
      </c>
      <c r="AY291" s="518" t="str">
        <f>IF(AND(_AC3="B-737-900",'2023'!$K$4="FO",'2023'!$K$2=AY271),'2023DATA'!$H$22,"")</f>
        <v/>
      </c>
      <c r="AZ291" s="518" t="str">
        <f>IF(AND(_AC3="B-737-900",'2023'!$K$4="FO",'2023'!$K$2=AZ271),'2023DATA'!$I$22,"")</f>
        <v/>
      </c>
      <c r="BA291" s="518" t="str">
        <f>IF(AND(_AC3="B-737-900",'2023'!$K$4="FO",'2023'!$K$2=BA271),'2023DATA'!$J$22,"")</f>
        <v/>
      </c>
      <c r="BB291" s="518" t="str">
        <f>IF(AND(_AC3="B-737-900",'2023'!$K$4="FO",'2023'!$K$2=BB271),'2023DATA'!$K$22,"")</f>
        <v/>
      </c>
      <c r="BC291" s="518" t="str">
        <f>IF(AND(_AC3="B-737-900",'2023'!$K$4="FO",'2023'!$K$2=BC271),'2023DATA'!$L$22,"")</f>
        <v/>
      </c>
      <c r="BD291" s="518" t="str">
        <f>IF(AND(_AC3="B-737-900",'2023'!$K$4="FO",'2023'!$K$2=BD271),'2023DATA'!$M$22,"")</f>
        <v/>
      </c>
      <c r="BE291" s="520" t="str">
        <f>IF(AND(_AC3="B-737-900",'2023'!$K$4="FO",'2023'!$K$2=BE271),'2023DATA'!$N$22,"")</f>
        <v/>
      </c>
      <c r="BF291" s="940"/>
      <c r="BG291" s="13" t="s">
        <v>62</v>
      </c>
      <c r="BH291" s="518" t="str">
        <f>IF(AND(_AC4="B-737-900",'2023'!$K$4="FO",'2023'!$K$2=BH271),'2023DATA'!$C$22,"")</f>
        <v/>
      </c>
      <c r="BI291" s="518" t="str">
        <f>IF(AND(_AC4="B-737-900",'2023'!$K$4="FO",'2023'!$K$2=BI271),'2023DATA'!$D$22,"")</f>
        <v/>
      </c>
      <c r="BJ291" s="518" t="str">
        <f>IF(AND(_AC4="B-737-900",'2023'!$K$4="FO",'2023'!$K$2=BJ271),'2023DATA'!$E$22,"")</f>
        <v/>
      </c>
      <c r="BK291" s="518" t="str">
        <f>IF(AND(_AC4="B-737-900",'2023'!$K$4="FO",'2023'!$K$2=BK271),'2023DATA'!$F$22,"")</f>
        <v/>
      </c>
      <c r="BL291" s="518" t="str">
        <f>IF(AND(_AC4="B-737-900",'2023'!$K$4="FO",'2023'!$K$2=BL271),'2023DATA'!$G$22,"")</f>
        <v/>
      </c>
      <c r="BM291" s="518" t="str">
        <f>IF(AND(_AC4="B-737-900",'2023'!$K$4="FO",'2023'!$K$2=BM271),'2023DATA'!$H$22,"")</f>
        <v/>
      </c>
      <c r="BN291" s="518" t="str">
        <f>IF(AND(_AC4="B-737-900",'2023'!$K$4="FO",'2023'!$K$2=BN271),'2023DATA'!$I$22,"")</f>
        <v/>
      </c>
      <c r="BO291" s="518" t="str">
        <f>IF(AND(_AC4="B-737-900",'2023'!$K$4="FO",'2023'!$K$2=BO271),'2023DATA'!$J$22,"")</f>
        <v/>
      </c>
      <c r="BP291" s="518" t="str">
        <f>IF(AND(_AC4="B-737-900",'2023'!$K$4="FO",'2023'!$K$2=BP271),'2023DATA'!$K$22,"")</f>
        <v/>
      </c>
      <c r="BQ291" s="518" t="str">
        <f>IF(AND(_AC4="B-737-900",'2023'!$K$4="FO",'2023'!$K$2=BQ271),'2023DATA'!$L$22,"")</f>
        <v/>
      </c>
      <c r="BR291" s="518" t="str">
        <f>IF(AND(_AC4="B-737-900",'2023'!$K$4="FO",'2023'!$K$2=BR271),'2023DATA'!$M$22,"")</f>
        <v/>
      </c>
      <c r="BS291" s="520" t="str">
        <f>IF(AND(_AC4="B-737-900",'2023'!$K$4="FO",'2023'!$K$2=BS271),'2023DATA'!$N$22,"")</f>
        <v/>
      </c>
      <c r="BT291" s="940"/>
      <c r="BU291" s="13" t="s">
        <v>62</v>
      </c>
      <c r="BV291" s="518" t="str">
        <f>IF(AND(_AC5="B-737-900",'2023'!$K$4="FO",'2023'!$K$2=BV271),'2023DATA'!$C$22,"")</f>
        <v/>
      </c>
      <c r="BW291" s="518" t="str">
        <f>IF(AND(_AC5="B-737-900",'2023'!$K$4="FO",'2023'!$K$2=BW271),'2023DATA'!$D$22,"")</f>
        <v/>
      </c>
      <c r="BX291" s="518" t="str">
        <f>IF(AND(_AC5="B-737-900",'2023'!$K$4="FO",'2023'!$K$2=BX271),'2023DATA'!$E$22,"")</f>
        <v/>
      </c>
      <c r="BY291" s="518" t="str">
        <f>IF(AND(_AC5="B-737-900",'2023'!$K$4="FO",'2023'!$K$2=BY271),'2023DATA'!$F$22,"")</f>
        <v/>
      </c>
      <c r="BZ291" s="518" t="str">
        <f>IF(AND(_AC5="B-737-900",'2023'!$K$4="FO",'2023'!$K$2=BZ271),'2023DATA'!$G$22,"")</f>
        <v/>
      </c>
      <c r="CA291" s="518" t="str">
        <f>IF(AND(_AC5="B-737-900",'2023'!$K$4="FO",'2023'!$K$2=CA271),'2023DATA'!$H$22,"")</f>
        <v/>
      </c>
      <c r="CB291" s="518" t="str">
        <f>IF(AND(_AC5="B-737-900",'2023'!$K$4="FO",'2023'!$K$2=CB271),'2023DATA'!$I$22,"")</f>
        <v/>
      </c>
      <c r="CC291" s="518" t="str">
        <f>IF(AND(_AC5="B-737-900",'2023'!$K$4="FO",'2023'!$K$2=CC271),'2023DATA'!$J$22,"")</f>
        <v/>
      </c>
      <c r="CD291" s="518" t="str">
        <f>IF(AND(_AC5="B-737-900",'2023'!$K$4="FO",'2023'!$K$2=CD271),'2023DATA'!$K$22,"")</f>
        <v/>
      </c>
      <c r="CE291" s="518" t="str">
        <f>IF(AND(_AC5="B-737-900",'2023'!$K$4="FO",'2023'!$K$2=CE271),'2023DATA'!$L$22,"")</f>
        <v/>
      </c>
      <c r="CF291" s="518" t="str">
        <f>IF(AND(_AC5="B-737-900",'2023'!$K$4="FO",'2023'!$K$2=CF271),'2023DATA'!$M$22,"")</f>
        <v/>
      </c>
      <c r="CG291" s="520" t="str">
        <f>IF(AND(_AC5="B-737-900",'2023'!$K$4="FO",'2023'!$K$2=CG271),'2023DATA'!$N$22,"")</f>
        <v/>
      </c>
      <c r="CH291" s="940"/>
      <c r="CI291" s="13" t="s">
        <v>62</v>
      </c>
      <c r="CJ291" s="518" t="str">
        <f>IF(AND(_AC6="B-737-900",'2023'!$K$4="FO",'2023'!$K$2=CJ271),'2023DATA'!$C$22,"")</f>
        <v/>
      </c>
      <c r="CK291" s="518" t="str">
        <f>IF(AND(_AC6="B-737-900",'2023'!$K$4="FO",'2023'!$K$2=CK271),'2023DATA'!$D$22,"")</f>
        <v/>
      </c>
      <c r="CL291" s="518" t="str">
        <f>IF(AND(_AC6="B-737-900",'2023'!$K$4="FO",'2023'!$K$2=CL271),'2023DATA'!$E$22,"")</f>
        <v/>
      </c>
      <c r="CM291" s="518" t="str">
        <f>IF(AND(_AC6="B-737-900",'2023'!$K$4="FO",'2023'!$K$2=CM271),'2023DATA'!$F$22,"")</f>
        <v/>
      </c>
      <c r="CN291" s="518" t="str">
        <f>IF(AND(_AC6="B-737-900",'2023'!$K$4="FO",'2023'!$K$2=CN271),'2023DATA'!$G$22,"")</f>
        <v/>
      </c>
      <c r="CO291" s="518" t="str">
        <f>IF(AND(_AC6="B-737-900",'2023'!$K$4="FO",'2023'!$K$2=CO271),'2023DATA'!$H$22,"")</f>
        <v/>
      </c>
      <c r="CP291" s="518" t="str">
        <f>IF(AND(_AC6="B-737-900",'2023'!$K$4="FO",'2023'!$K$2=CP271),'2023DATA'!$I$22,"")</f>
        <v/>
      </c>
      <c r="CQ291" s="518" t="str">
        <f>IF(AND(_AC6="B-737-900",'2023'!$K$4="FO",'2023'!$K$2=CQ271),'2023DATA'!$J$22,"")</f>
        <v/>
      </c>
      <c r="CR291" s="518" t="str">
        <f>IF(AND(_AC6="B-737-900",'2023'!$K$4="FO",'2023'!$K$2=CR271),'2023DATA'!$K$22,"")</f>
        <v/>
      </c>
      <c r="CS291" s="518" t="str">
        <f>IF(AND(_AC6="B-737-900",'2023'!$K$4="FO",'2023'!$K$2=CS271),'2023DATA'!$L$22,"")</f>
        <v/>
      </c>
      <c r="CT291" s="518" t="str">
        <f>IF(AND(_AC6="B-737-900",'2023'!$K$4="FO",'2023'!$K$2=CT271),'2023DATA'!$M$22,"")</f>
        <v/>
      </c>
      <c r="CU291" s="520" t="str">
        <f>IF(AND(_AC6="B-737-900",'2023'!$K$4="FO",'2023'!$K$2=CU271),'2023DATA'!$N$22,"")</f>
        <v/>
      </c>
    </row>
    <row r="292" spans="16:99" x14ac:dyDescent="0.25">
      <c r="P292" s="940" t="s">
        <v>69</v>
      </c>
      <c r="Q292" s="13" t="s">
        <v>61</v>
      </c>
      <c r="R292" s="518" t="str">
        <f>IF(AND(_AC1="B-737-800",'2023'!$K$4="CA",'2023'!$K$2=R271),'2023DATA'!$C$23,"")</f>
        <v/>
      </c>
      <c r="S292" s="518" t="str">
        <f>IF(AND(_AC1="B-737-800",'2023'!$K$4="CA",'2023'!$K$2=S271),'2023DATA'!$D$23,"")</f>
        <v/>
      </c>
      <c r="T292" s="518" t="str">
        <f>IF(AND(_AC1="B-737-800",'2023'!$K$4="CA",'2023'!$K$2=T271),'2023DATA'!$E$23,"")</f>
        <v/>
      </c>
      <c r="U292" s="518" t="str">
        <f>IF(AND(_AC1="B-737-800",'2023'!$K$4="CA",'2023'!$K$2=U271),'2023DATA'!$F$23,"")</f>
        <v/>
      </c>
      <c r="V292" s="518" t="str">
        <f>IF(AND(_AC1="B-737-800",'2023'!$K$4="CA",'2023'!$K$2=V271),'2023DATA'!$G$23,"")</f>
        <v/>
      </c>
      <c r="W292" s="518" t="str">
        <f>IF(AND(_AC1="B-737-800",'2023'!$K$4="CA",'2023'!$K$2=W271),'2023DATA'!$H$23,"")</f>
        <v/>
      </c>
      <c r="X292" s="518" t="str">
        <f>IF(AND(_AC1="B-737-800",'2023'!$K$4="CA",'2023'!$K$2=X271),'2023DATA'!$I$23,"")</f>
        <v/>
      </c>
      <c r="Y292" s="518" t="str">
        <f>IF(AND(_AC1="B-737-800",'2023'!$K$4="CA",'2023'!$K$2=Y271),'2023DATA'!$J$23,"")</f>
        <v/>
      </c>
      <c r="Z292" s="518" t="str">
        <f>IF(AND(_AC1="B-737-800",'2023'!$K$4="CA",'2023'!$K$2=Z271),'2023DATA'!$K$23,"")</f>
        <v/>
      </c>
      <c r="AA292" s="518" t="str">
        <f>IF(AND(_AC1="B-737-800",'2023'!$K$4="CA",'2023'!$K$2=AA271),'2023DATA'!$L$23,"")</f>
        <v/>
      </c>
      <c r="AB292" s="518" t="str">
        <f>IF(AND(_AC1="B-737-800",'2023'!$K$4="CA",'2023'!$K$2=AB271),'2023DATA'!$M$23,"")</f>
        <v/>
      </c>
      <c r="AC292" s="520" t="str">
        <f>IF(AND(_AC1="B-737-800",'2023'!$K$4="CA",'2023'!$K$2=AC271),'2023DATA'!$N$23,"")</f>
        <v/>
      </c>
      <c r="AD292" s="940" t="s">
        <v>69</v>
      </c>
      <c r="AE292" s="13" t="s">
        <v>61</v>
      </c>
      <c r="AF292" s="518" t="str">
        <f>IF(AND(_AC2="B-737-800",'2023'!$K$4="CA",'2023'!$K$2=AF271),'2023DATA'!$C$23,"")</f>
        <v/>
      </c>
      <c r="AG292" s="518" t="str">
        <f>IF(AND(_AC2="B-737-800",'2023'!$K$4="CA",'2023'!$K$2=AG271),'2023DATA'!$D$23,"")</f>
        <v/>
      </c>
      <c r="AH292" s="518" t="str">
        <f>IF(AND(_AC2="B-737-800",'2023'!$K$4="CA",'2023'!$K$2=AH271),'2023DATA'!$E$23,"")</f>
        <v/>
      </c>
      <c r="AI292" s="518" t="str">
        <f>IF(AND(_AC2="B-737-800",'2023'!$K$4="CA",'2023'!$K$2=AI271),'2023DATA'!$F$23,"")</f>
        <v/>
      </c>
      <c r="AJ292" s="518" t="str">
        <f>IF(AND(_AC2="B-737-800",'2023'!$K$4="CA",'2023'!$K$2=AJ271),'2023DATA'!$G$23,"")</f>
        <v/>
      </c>
      <c r="AK292" s="518" t="str">
        <f>IF(AND(_AC2="B-737-800",'2023'!$K$4="CA",'2023'!$K$2=AK271),'2023DATA'!$H$23,"")</f>
        <v/>
      </c>
      <c r="AL292" s="518" t="str">
        <f>IF(AND(_AC2="B-737-800",'2023'!$K$4="CA",'2023'!$K$2=AL271),'2023DATA'!$I$23,"")</f>
        <v/>
      </c>
      <c r="AM292" s="518" t="str">
        <f>IF(AND(_AC2="B-737-800",'2023'!$K$4="CA",'2023'!$K$2=AM271),'2023DATA'!$J$23,"")</f>
        <v/>
      </c>
      <c r="AN292" s="518" t="str">
        <f>IF(AND(_AC2="B-737-800",'2023'!$K$4="CA",'2023'!$K$2=AN271),'2023DATA'!$K$23,"")</f>
        <v/>
      </c>
      <c r="AO292" s="518" t="str">
        <f>IF(AND(_AC2="B-737-800",'2023'!$K$4="CA",'2023'!$K$2=AO271),'2023DATA'!$L$23,"")</f>
        <v/>
      </c>
      <c r="AP292" s="518" t="str">
        <f>IF(AND(_AC2="B-737-800",'2023'!$K$4="CA",'2023'!$K$2=AP271),'2023DATA'!$M$23,"")</f>
        <v/>
      </c>
      <c r="AQ292" s="520" t="str">
        <f>IF(AND(_AC2="B-737-800",'2023'!$K$4="CA",'2023'!$K$2=AQ271),'2023DATA'!$N$23,"")</f>
        <v/>
      </c>
      <c r="AR292" s="940" t="s">
        <v>69</v>
      </c>
      <c r="AS292" s="13" t="s">
        <v>61</v>
      </c>
      <c r="AT292" s="518" t="str">
        <f>IF(AND(_AC3="B-737-800",'2023'!$K$4="CA",'2023'!$K$2=AT271),'2023DATA'!$C$23,"")</f>
        <v/>
      </c>
      <c r="AU292" s="518" t="str">
        <f>IF(AND(_AC3="B-737-800",'2023'!$K$4="CA",'2023'!$K$2=AU271),'2023DATA'!$D$23,"")</f>
        <v/>
      </c>
      <c r="AV292" s="518" t="str">
        <f>IF(AND(_AC3="B-737-800",'2023'!$K$4="CA",'2023'!$K$2=AV271),'2023DATA'!$E$23,"")</f>
        <v/>
      </c>
      <c r="AW292" s="518" t="str">
        <f>IF(AND(_AC3="B-737-800",'2023'!$K$4="CA",'2023'!$K$2=AW271),'2023DATA'!$F$23,"")</f>
        <v/>
      </c>
      <c r="AX292" s="518" t="str">
        <f>IF(AND(_AC3="B-737-800",'2023'!$K$4="CA",'2023'!$K$2=AX271),'2023DATA'!$G$23,"")</f>
        <v/>
      </c>
      <c r="AY292" s="518" t="str">
        <f>IF(AND(_AC3="B-737-800",'2023'!$K$4="CA",'2023'!$K$2=AY271),'2023DATA'!$H$23,"")</f>
        <v/>
      </c>
      <c r="AZ292" s="518" t="str">
        <f>IF(AND(_AC3="B-737-800",'2023'!$K$4="CA",'2023'!$K$2=AZ271),'2023DATA'!$I$23,"")</f>
        <v/>
      </c>
      <c r="BA292" s="518" t="str">
        <f>IF(AND(_AC3="B-737-800",'2023'!$K$4="CA",'2023'!$K$2=BA271),'2023DATA'!$J$23,"")</f>
        <v/>
      </c>
      <c r="BB292" s="518" t="str">
        <f>IF(AND(_AC3="B-737-800",'2023'!$K$4="CA",'2023'!$K$2=BB271),'2023DATA'!$K$23,"")</f>
        <v/>
      </c>
      <c r="BC292" s="518" t="str">
        <f>IF(AND(_AC3="B-737-800",'2023'!$K$4="CA",'2023'!$K$2=BC271),'2023DATA'!$L$23,"")</f>
        <v/>
      </c>
      <c r="BD292" s="518" t="str">
        <f>IF(AND(_AC3="B-737-800",'2023'!$K$4="CA",'2023'!$K$2=BD271),'2023DATA'!$M$23,"")</f>
        <v/>
      </c>
      <c r="BE292" s="520" t="str">
        <f>IF(AND(_AC3="B-737-800",'2023'!$K$4="CA",'2023'!$K$2=BE271),'2023DATA'!$N$23,"")</f>
        <v/>
      </c>
      <c r="BF292" s="940" t="s">
        <v>69</v>
      </c>
      <c r="BG292" s="13" t="s">
        <v>61</v>
      </c>
      <c r="BH292" s="518" t="str">
        <f>IF(AND(_AC4="B-737-800",'2023'!$K$4="CA",'2023'!$K$2=BH271),'2023DATA'!$C$23,"")</f>
        <v/>
      </c>
      <c r="BI292" s="518" t="str">
        <f>IF(AND(_AC4="B-737-800",'2023'!$K$4="CA",'2023'!$K$2=BI271),'2023DATA'!$D$23,"")</f>
        <v/>
      </c>
      <c r="BJ292" s="518" t="str">
        <f>IF(AND(_AC4="B-737-800",'2023'!$K$4="CA",'2023'!$K$2=BJ271),'2023DATA'!$E$23,"")</f>
        <v/>
      </c>
      <c r="BK292" s="518" t="str">
        <f>IF(AND(_AC4="B-737-800",'2023'!$K$4="CA",'2023'!$K$2=BK271),'2023DATA'!$F$23,"")</f>
        <v/>
      </c>
      <c r="BL292" s="518" t="str">
        <f>IF(AND(_AC4="B-737-800",'2023'!$K$4="CA",'2023'!$K$2=BL271),'2023DATA'!$G$23,"")</f>
        <v/>
      </c>
      <c r="BM292" s="518" t="str">
        <f>IF(AND(_AC4="B-737-800",'2023'!$K$4="CA",'2023'!$K$2=BM271),'2023DATA'!$H$23,"")</f>
        <v/>
      </c>
      <c r="BN292" s="518" t="str">
        <f>IF(AND(_AC4="B-737-800",'2023'!$K$4="CA",'2023'!$K$2=BN271),'2023DATA'!$I$23,"")</f>
        <v/>
      </c>
      <c r="BO292" s="518" t="str">
        <f>IF(AND(_AC4="B-737-800",'2023'!$K$4="CA",'2023'!$K$2=BO271),'2023DATA'!$J$23,"")</f>
        <v/>
      </c>
      <c r="BP292" s="518" t="str">
        <f>IF(AND(_AC4="B-737-800",'2023'!$K$4="CA",'2023'!$K$2=BP271),'2023DATA'!$K$23,"")</f>
        <v/>
      </c>
      <c r="BQ292" s="518" t="str">
        <f>IF(AND(_AC4="B-737-800",'2023'!$K$4="CA",'2023'!$K$2=BQ271),'2023DATA'!$L$23,"")</f>
        <v/>
      </c>
      <c r="BR292" s="518" t="str">
        <f>IF(AND(_AC4="B-737-800",'2023'!$K$4="CA",'2023'!$K$2=BR271),'2023DATA'!$M$23,"")</f>
        <v/>
      </c>
      <c r="BS292" s="520" t="str">
        <f>IF(AND(_AC4="B-737-800",'2023'!$K$4="CA",'2023'!$K$2=BS271),'2023DATA'!$N$23,"")</f>
        <v/>
      </c>
      <c r="BT292" s="940" t="s">
        <v>69</v>
      </c>
      <c r="BU292" s="13" t="s">
        <v>61</v>
      </c>
      <c r="BV292" s="518" t="str">
        <f>IF(AND(_AC5="B-737-800",'2023'!$K$4="CA",'2023'!$K$2=BV271),'2023DATA'!$C$23,"")</f>
        <v/>
      </c>
      <c r="BW292" s="518" t="str">
        <f>IF(AND(_AC5="B-737-800",'2023'!$K$4="CA",'2023'!$K$2=BW271),'2023DATA'!$D$23,"")</f>
        <v/>
      </c>
      <c r="BX292" s="518" t="str">
        <f>IF(AND(_AC5="B-737-800",'2023'!$K$4="CA",'2023'!$K$2=BX271),'2023DATA'!$E$23,"")</f>
        <v/>
      </c>
      <c r="BY292" s="518" t="str">
        <f>IF(AND(_AC5="B-737-800",'2023'!$K$4="CA",'2023'!$K$2=BY271),'2023DATA'!$F$23,"")</f>
        <v/>
      </c>
      <c r="BZ292" s="518" t="str">
        <f>IF(AND(_AC5="B-737-800",'2023'!$K$4="CA",'2023'!$K$2=BZ271),'2023DATA'!$G$23,"")</f>
        <v/>
      </c>
      <c r="CA292" s="518" t="str">
        <f>IF(AND(_AC5="B-737-800",'2023'!$K$4="CA",'2023'!$K$2=CA271),'2023DATA'!$H$23,"")</f>
        <v/>
      </c>
      <c r="CB292" s="518" t="str">
        <f>IF(AND(_AC5="B-737-800",'2023'!$K$4="CA",'2023'!$K$2=CB271),'2023DATA'!$I$23,"")</f>
        <v/>
      </c>
      <c r="CC292" s="518" t="str">
        <f>IF(AND(_AC5="B-737-800",'2023'!$K$4="CA",'2023'!$K$2=CC271),'2023DATA'!$J$23,"")</f>
        <v/>
      </c>
      <c r="CD292" s="518" t="str">
        <f>IF(AND(_AC5="B-737-800",'2023'!$K$4="CA",'2023'!$K$2=CD271),'2023DATA'!$K$23,"")</f>
        <v/>
      </c>
      <c r="CE292" s="518" t="str">
        <f>IF(AND(_AC5="B-737-800",'2023'!$K$4="CA",'2023'!$K$2=CE271),'2023DATA'!$L$23,"")</f>
        <v/>
      </c>
      <c r="CF292" s="518" t="str">
        <f>IF(AND(_AC5="B-737-800",'2023'!$K$4="CA",'2023'!$K$2=CF271),'2023DATA'!$M$23,"")</f>
        <v/>
      </c>
      <c r="CG292" s="520" t="str">
        <f>IF(AND(_AC5="B-737-800",'2023'!$K$4="CA",'2023'!$K$2=CG271),'2023DATA'!$N$23,"")</f>
        <v/>
      </c>
      <c r="CH292" s="940" t="s">
        <v>69</v>
      </c>
      <c r="CI292" s="13" t="s">
        <v>61</v>
      </c>
      <c r="CJ292" s="518" t="str">
        <f>IF(AND(_AC6="B-737-800",'2023'!$K$4="CA",'2023'!$K$2=CJ271),'2023DATA'!$C$23,"")</f>
        <v/>
      </c>
      <c r="CK292" s="518" t="str">
        <f>IF(AND(_AC6="B-737-800",'2023'!$K$4="CA",'2023'!$K$2=CK271),'2023DATA'!$D$23,"")</f>
        <v/>
      </c>
      <c r="CL292" s="518" t="str">
        <f>IF(AND(_AC6="B-737-800",'2023'!$K$4="CA",'2023'!$K$2=CL271),'2023DATA'!$E$23,"")</f>
        <v/>
      </c>
      <c r="CM292" s="518" t="str">
        <f>IF(AND(_AC6="B-737-800",'2023'!$K$4="CA",'2023'!$K$2=CM271),'2023DATA'!$F$23,"")</f>
        <v/>
      </c>
      <c r="CN292" s="518" t="str">
        <f>IF(AND(_AC6="B-737-800",'2023'!$K$4="CA",'2023'!$K$2=CN271),'2023DATA'!$G$23,"")</f>
        <v/>
      </c>
      <c r="CO292" s="518" t="str">
        <f>IF(AND(_AC6="B-737-800",'2023'!$K$4="CA",'2023'!$K$2=CO271),'2023DATA'!$H$23,"")</f>
        <v/>
      </c>
      <c r="CP292" s="518" t="str">
        <f>IF(AND(_AC6="B-737-800",'2023'!$K$4="CA",'2023'!$K$2=CP271),'2023DATA'!$I$23,"")</f>
        <v/>
      </c>
      <c r="CQ292" s="518" t="str">
        <f>IF(AND(_AC6="B-737-800",'2023'!$K$4="CA",'2023'!$K$2=CQ271),'2023DATA'!$J$23,"")</f>
        <v/>
      </c>
      <c r="CR292" s="518" t="str">
        <f>IF(AND(_AC6="B-737-800",'2023'!$K$4="CA",'2023'!$K$2=CR271),'2023DATA'!$K$23,"")</f>
        <v/>
      </c>
      <c r="CS292" s="518" t="str">
        <f>IF(AND(_AC6="B-737-800",'2023'!$K$4="CA",'2023'!$K$2=CS271),'2023DATA'!$L$23,"")</f>
        <v/>
      </c>
      <c r="CT292" s="518" t="str">
        <f>IF(AND(_AC6="B-737-800",'2023'!$K$4="CA",'2023'!$K$2=CT271),'2023DATA'!$M$23,"")</f>
        <v/>
      </c>
      <c r="CU292" s="520" t="str">
        <f>IF(AND(_AC6="B-737-800",'2023'!$K$4="CA",'2023'!$K$2=CU271),'2023DATA'!$N$23,"")</f>
        <v/>
      </c>
    </row>
    <row r="293" spans="16:99" x14ac:dyDescent="0.25">
      <c r="P293" s="940"/>
      <c r="Q293" s="13" t="s">
        <v>62</v>
      </c>
      <c r="R293" s="518" t="str">
        <f>IF(AND(_AC1="B-737-800",'2023'!$K$4="FO",'2023'!$K$2=R271),'2023DATA'!$C$24,"")</f>
        <v/>
      </c>
      <c r="S293" s="518" t="str">
        <f>IF(AND(_AC1="B-737-800",'2023'!$K$4="FO",'2023'!$K$2=S271),'2023DATA'!$D$24,"")</f>
        <v/>
      </c>
      <c r="T293" s="518" t="str">
        <f>IF(AND(_AC1="B-737-800",'2023'!$K$4="FO",'2023'!$K$2=T271),'2023DATA'!$E$24,"")</f>
        <v/>
      </c>
      <c r="U293" s="518" t="str">
        <f>IF(AND(_AC1="B-737-800",'2023'!$K$4="FO",'2023'!$K$2=U271),'2023DATA'!$F$24,"")</f>
        <v/>
      </c>
      <c r="V293" s="518" t="str">
        <f>IF(AND(_AC1="B-737-800",'2023'!$K$4="FO",'2023'!$K$2=V271),'2023DATA'!$G$24,"")</f>
        <v/>
      </c>
      <c r="W293" s="518" t="str">
        <f>IF(AND(_AC1="B-737-800",'2023'!$K$4="FO",'2023'!$K$2=W271),'2023DATA'!$H$24,"")</f>
        <v/>
      </c>
      <c r="X293" s="518" t="str">
        <f>IF(AND(_AC1="B-737-800",'2023'!$K$4="FO",'2023'!$K$2=X271),'2023DATA'!$I$24,"")</f>
        <v/>
      </c>
      <c r="Y293" s="518" t="str">
        <f>IF(AND(_AC1="B-737-800",'2023'!$K$4="FO",'2023'!$K$2=Y271),'2023DATA'!$J$24,"")</f>
        <v/>
      </c>
      <c r="Z293" s="518" t="str">
        <f>IF(AND(_AC1="B-737-800",'2023'!$K$4="FO",'2023'!$K$2=Z271),'2023DATA'!$K$24,"")</f>
        <v/>
      </c>
      <c r="AA293" s="518" t="str">
        <f>IF(AND(_AC1="B-737-800",'2023'!$K$4="FO",'2023'!$K$2=AA271),'2023DATA'!$L$24,"")</f>
        <v/>
      </c>
      <c r="AB293" s="518" t="str">
        <f>IF(AND(_AC1="B-737-800",'2023'!$K$4="FO",'2023'!$K$2=AB271),'2023DATA'!$M$24,"")</f>
        <v/>
      </c>
      <c r="AC293" s="520" t="str">
        <f>IF(AND(_AC1="B-737-800",'2023'!$K$4="FO",'2023'!$K$2=AC271),'2023DATA'!$N$24,"")</f>
        <v/>
      </c>
      <c r="AD293" s="940"/>
      <c r="AE293" s="13" t="s">
        <v>62</v>
      </c>
      <c r="AF293" s="518" t="str">
        <f>IF(AND(_AC2="B-737-800",'2023'!$K$4="FO",'2023'!$K$2=AF271),'2023DATA'!$C$24,"")</f>
        <v/>
      </c>
      <c r="AG293" s="518" t="str">
        <f>IF(AND(_AC2="B-737-800",'2023'!$K$4="FO",'2023'!$K$2=AG271),'2023DATA'!$D$24,"")</f>
        <v/>
      </c>
      <c r="AH293" s="518" t="str">
        <f>IF(AND(_AC2="B-737-800",'2023'!$K$4="FO",'2023'!$K$2=AH271),'2023DATA'!$E$24,"")</f>
        <v/>
      </c>
      <c r="AI293" s="518" t="str">
        <f>IF(AND(_AC2="B-737-800",'2023'!$K$4="FO",'2023'!$K$2=AI271),'2023DATA'!$F$24,"")</f>
        <v/>
      </c>
      <c r="AJ293" s="518" t="str">
        <f>IF(AND(_AC2="B-737-800",'2023'!$K$4="FO",'2023'!$K$2=AJ271),'2023DATA'!$G$24,"")</f>
        <v/>
      </c>
      <c r="AK293" s="518" t="str">
        <f>IF(AND(_AC2="B-737-800",'2023'!$K$4="FO",'2023'!$K$2=AK271),'2023DATA'!$H$24,"")</f>
        <v/>
      </c>
      <c r="AL293" s="518" t="str">
        <f>IF(AND(_AC2="B-737-800",'2023'!$K$4="FO",'2023'!$K$2=AL271),'2023DATA'!$I$24,"")</f>
        <v/>
      </c>
      <c r="AM293" s="518" t="str">
        <f>IF(AND(_AC2="B-737-800",'2023'!$K$4="FO",'2023'!$K$2=AM271),'2023DATA'!$J$24,"")</f>
        <v/>
      </c>
      <c r="AN293" s="518" t="str">
        <f>IF(AND(_AC2="B-737-800",'2023'!$K$4="FO",'2023'!$K$2=AN271),'2023DATA'!$K$24,"")</f>
        <v/>
      </c>
      <c r="AO293" s="518" t="str">
        <f>IF(AND(_AC2="B-737-800",'2023'!$K$4="FO",'2023'!$K$2=AO271),'2023DATA'!$L$24,"")</f>
        <v/>
      </c>
      <c r="AP293" s="518" t="str">
        <f>IF(AND(_AC2="B-737-800",'2023'!$K$4="FO",'2023'!$K$2=AP271),'2023DATA'!$M$24,"")</f>
        <v/>
      </c>
      <c r="AQ293" s="520" t="str">
        <f>IF(AND(_AC2="B-737-800",'2023'!$K$4="FO",'2023'!$K$2=AQ271),'2023DATA'!$N$24,"")</f>
        <v/>
      </c>
      <c r="AR293" s="940"/>
      <c r="AS293" s="13" t="s">
        <v>62</v>
      </c>
      <c r="AT293" s="518" t="str">
        <f>IF(AND(_AC3="B-737-800",'2023'!$K$4="FO",'2023'!$K$2=AT271),'2023DATA'!$C$24,"")</f>
        <v/>
      </c>
      <c r="AU293" s="518" t="str">
        <f>IF(AND(_AC3="B-737-800",'2023'!$K$4="FO",'2023'!$K$2=AU271),'2023DATA'!$D$24,"")</f>
        <v/>
      </c>
      <c r="AV293" s="518" t="str">
        <f>IF(AND(_AC3="B-737-800",'2023'!$K$4="FO",'2023'!$K$2=AV271),'2023DATA'!$E$24,"")</f>
        <v/>
      </c>
      <c r="AW293" s="518" t="str">
        <f>IF(AND(_AC3="B-737-800",'2023'!$K$4="FO",'2023'!$K$2=AW271),'2023DATA'!$F$24,"")</f>
        <v/>
      </c>
      <c r="AX293" s="518" t="str">
        <f>IF(AND(_AC3="B-737-800",'2023'!$K$4="FO",'2023'!$K$2=AX271),'2023DATA'!$G$24,"")</f>
        <v/>
      </c>
      <c r="AY293" s="518" t="str">
        <f>IF(AND(_AC3="B-737-800",'2023'!$K$4="FO",'2023'!$K$2=AY271),'2023DATA'!$H$24,"")</f>
        <v/>
      </c>
      <c r="AZ293" s="518" t="str">
        <f>IF(AND(_AC3="B-737-800",'2023'!$K$4="FO",'2023'!$K$2=AZ271),'2023DATA'!$I$24,"")</f>
        <v/>
      </c>
      <c r="BA293" s="518" t="str">
        <f>IF(AND(_AC3="B-737-800",'2023'!$K$4="FO",'2023'!$K$2=BA271),'2023DATA'!$J$24,"")</f>
        <v/>
      </c>
      <c r="BB293" s="518" t="str">
        <f>IF(AND(_AC3="B-737-800",'2023'!$K$4="FO",'2023'!$K$2=BB271),'2023DATA'!$K$24,"")</f>
        <v/>
      </c>
      <c r="BC293" s="518" t="str">
        <f>IF(AND(_AC3="B-737-800",'2023'!$K$4="FO",'2023'!$K$2=BC271),'2023DATA'!$L$24,"")</f>
        <v/>
      </c>
      <c r="BD293" s="518" t="str">
        <f>IF(AND(_AC3="B-737-800",'2023'!$K$4="FO",'2023'!$K$2=BD271),'2023DATA'!$M$24,"")</f>
        <v/>
      </c>
      <c r="BE293" s="520" t="str">
        <f>IF(AND(_AC3="B-737-800",'2023'!$K$4="FO",'2023'!$K$2=BE271),'2023DATA'!$N$24,"")</f>
        <v/>
      </c>
      <c r="BF293" s="940"/>
      <c r="BG293" s="13" t="s">
        <v>62</v>
      </c>
      <c r="BH293" s="518" t="str">
        <f>IF(AND(_AC4="B-737-800",'2023'!$K$4="FO",'2023'!$K$2=BH271),'2023DATA'!$C$24,"")</f>
        <v/>
      </c>
      <c r="BI293" s="518" t="str">
        <f>IF(AND(_AC4="B-737-800",'2023'!$K$4="FO",'2023'!$K$2=BI271),'2023DATA'!$D$24,"")</f>
        <v/>
      </c>
      <c r="BJ293" s="518" t="str">
        <f>IF(AND(_AC4="B-737-800",'2023'!$K$4="FO",'2023'!$K$2=BJ271),'2023DATA'!$E$24,"")</f>
        <v/>
      </c>
      <c r="BK293" s="518" t="str">
        <f>IF(AND(_AC4="B-737-800",'2023'!$K$4="FO",'2023'!$K$2=BK271),'2023DATA'!$F$24,"")</f>
        <v/>
      </c>
      <c r="BL293" s="518" t="str">
        <f>IF(AND(_AC4="B-737-800",'2023'!$K$4="FO",'2023'!$K$2=BL271),'2023DATA'!$G$24,"")</f>
        <v/>
      </c>
      <c r="BM293" s="518" t="str">
        <f>IF(AND(_AC4="B-737-800",'2023'!$K$4="FO",'2023'!$K$2=BM271),'2023DATA'!$H$24,"")</f>
        <v/>
      </c>
      <c r="BN293" s="518" t="str">
        <f>IF(AND(_AC4="B-737-800",'2023'!$K$4="FO",'2023'!$K$2=BN271),'2023DATA'!$I$24,"")</f>
        <v/>
      </c>
      <c r="BO293" s="518" t="str">
        <f>IF(AND(_AC4="B-737-800",'2023'!$K$4="FO",'2023'!$K$2=BO271),'2023DATA'!$J$24,"")</f>
        <v/>
      </c>
      <c r="BP293" s="518" t="str">
        <f>IF(AND(_AC4="B-737-800",'2023'!$K$4="FO",'2023'!$K$2=BP271),'2023DATA'!$K$24,"")</f>
        <v/>
      </c>
      <c r="BQ293" s="518" t="str">
        <f>IF(AND(_AC4="B-737-800",'2023'!$K$4="FO",'2023'!$K$2=BQ271),'2023DATA'!$L$24,"")</f>
        <v/>
      </c>
      <c r="BR293" s="518" t="str">
        <f>IF(AND(_AC4="B-737-800",'2023'!$K$4="FO",'2023'!$K$2=BR271),'2023DATA'!$M$24,"")</f>
        <v/>
      </c>
      <c r="BS293" s="520" t="str">
        <f>IF(AND(_AC4="B-737-800",'2023'!$K$4="FO",'2023'!$K$2=BS271),'2023DATA'!$N$24,"")</f>
        <v/>
      </c>
      <c r="BT293" s="940"/>
      <c r="BU293" s="13" t="s">
        <v>62</v>
      </c>
      <c r="BV293" s="518" t="str">
        <f>IF(AND(_AC5="B-737-800",'2023'!$K$4="FO",'2023'!$K$2=BV271),'2023DATA'!$C$24,"")</f>
        <v/>
      </c>
      <c r="BW293" s="518" t="str">
        <f>IF(AND(_AC5="B-737-800",'2023'!$K$4="FO",'2023'!$K$2=BW271),'2023DATA'!$D$24,"")</f>
        <v/>
      </c>
      <c r="BX293" s="518" t="str">
        <f>IF(AND(_AC5="B-737-800",'2023'!$K$4="FO",'2023'!$K$2=BX271),'2023DATA'!$E$24,"")</f>
        <v/>
      </c>
      <c r="BY293" s="518" t="str">
        <f>IF(AND(_AC5="B-737-800",'2023'!$K$4="FO",'2023'!$K$2=BY271),'2023DATA'!$F$24,"")</f>
        <v/>
      </c>
      <c r="BZ293" s="518" t="str">
        <f>IF(AND(_AC5="B-737-800",'2023'!$K$4="FO",'2023'!$K$2=BZ271),'2023DATA'!$G$24,"")</f>
        <v/>
      </c>
      <c r="CA293" s="518" t="str">
        <f>IF(AND(_AC5="B-737-800",'2023'!$K$4="FO",'2023'!$K$2=CA271),'2023DATA'!$H$24,"")</f>
        <v/>
      </c>
      <c r="CB293" s="518" t="str">
        <f>IF(AND(_AC5="B-737-800",'2023'!$K$4="FO",'2023'!$K$2=CB271),'2023DATA'!$I$24,"")</f>
        <v/>
      </c>
      <c r="CC293" s="518" t="str">
        <f>IF(AND(_AC5="B-737-800",'2023'!$K$4="FO",'2023'!$K$2=CC271),'2023DATA'!$J$24,"")</f>
        <v/>
      </c>
      <c r="CD293" s="518" t="str">
        <f>IF(AND(_AC5="B-737-800",'2023'!$K$4="FO",'2023'!$K$2=CD271),'2023DATA'!$K$24,"")</f>
        <v/>
      </c>
      <c r="CE293" s="518" t="str">
        <f>IF(AND(_AC5="B-737-800",'2023'!$K$4="FO",'2023'!$K$2=CE271),'2023DATA'!$L$24,"")</f>
        <v/>
      </c>
      <c r="CF293" s="518" t="str">
        <f>IF(AND(_AC5="B-737-800",'2023'!$K$4="FO",'2023'!$K$2=CF271),'2023DATA'!$M$24,"")</f>
        <v/>
      </c>
      <c r="CG293" s="520" t="str">
        <f>IF(AND(_AC5="B-737-800",'2023'!$K$4="FO",'2023'!$K$2=CG271),'2023DATA'!$N$24,"")</f>
        <v/>
      </c>
      <c r="CH293" s="940"/>
      <c r="CI293" s="13" t="s">
        <v>62</v>
      </c>
      <c r="CJ293" s="518" t="str">
        <f>IF(AND(_AC6="B-737-800",'2023'!$K$4="FO",'2023'!$K$2=CJ271),'2023DATA'!$C$24,"")</f>
        <v/>
      </c>
      <c r="CK293" s="518" t="str">
        <f>IF(AND(_AC6="B-737-800",'2023'!$K$4="FO",'2023'!$K$2=CK271),'2023DATA'!$D$24,"")</f>
        <v/>
      </c>
      <c r="CL293" s="518" t="str">
        <f>IF(AND(_AC6="B-737-800",'2023'!$K$4="FO",'2023'!$K$2=CL271),'2023DATA'!$E$24,"")</f>
        <v/>
      </c>
      <c r="CM293" s="518" t="str">
        <f>IF(AND(_AC6="B-737-800",'2023'!$K$4="FO",'2023'!$K$2=CM271),'2023DATA'!$F$24,"")</f>
        <v/>
      </c>
      <c r="CN293" s="518" t="str">
        <f>IF(AND(_AC6="B-737-800",'2023'!$K$4="FO",'2023'!$K$2=CN271),'2023DATA'!$G$24,"")</f>
        <v/>
      </c>
      <c r="CO293" s="518" t="str">
        <f>IF(AND(_AC6="B-737-800",'2023'!$K$4="FO",'2023'!$K$2=CO271),'2023DATA'!$H$24,"")</f>
        <v/>
      </c>
      <c r="CP293" s="518" t="str">
        <f>IF(AND(_AC6="B-737-800",'2023'!$K$4="FO",'2023'!$K$2=CP271),'2023DATA'!$I$24,"")</f>
        <v/>
      </c>
      <c r="CQ293" s="518" t="str">
        <f>IF(AND(_AC6="B-737-800",'2023'!$K$4="FO",'2023'!$K$2=CQ271),'2023DATA'!$J$24,"")</f>
        <v/>
      </c>
      <c r="CR293" s="518" t="str">
        <f>IF(AND(_AC6="B-737-800",'2023'!$K$4="FO",'2023'!$K$2=CR271),'2023DATA'!$K$24,"")</f>
        <v/>
      </c>
      <c r="CS293" s="518" t="str">
        <f>IF(AND(_AC6="B-737-800",'2023'!$K$4="FO",'2023'!$K$2=CS271),'2023DATA'!$L$24,"")</f>
        <v/>
      </c>
      <c r="CT293" s="518" t="str">
        <f>IF(AND(_AC6="B-737-800",'2023'!$K$4="FO",'2023'!$K$2=CT271),'2023DATA'!$M$24,"")</f>
        <v/>
      </c>
      <c r="CU293" s="520" t="str">
        <f>IF(AND(_AC6="B-737-800",'2023'!$K$4="FO",'2023'!$K$2=CU271),'2023DATA'!$N$24,"")</f>
        <v/>
      </c>
    </row>
    <row r="294" spans="16:99" x14ac:dyDescent="0.25">
      <c r="P294" s="940" t="s">
        <v>46</v>
      </c>
      <c r="Q294" s="13" t="s">
        <v>61</v>
      </c>
      <c r="R294" s="518" t="str">
        <f>IF(AND(_AC1="A-321N",'2023'!$K$4="CA",'2023'!$K$2=R271),'2023DATA'!$C$25,"")</f>
        <v/>
      </c>
      <c r="S294" s="518" t="str">
        <f>IF(AND(_AC1="A-321N",'2023'!$K$4="CA",'2023'!$K$2=S271),'2023DATA'!$D$25,"")</f>
        <v/>
      </c>
      <c r="T294" s="518" t="str">
        <f>IF(AND(_AC1="A-321N",'2023'!$K$4="CA",'2023'!$K$2=T271),'2023DATA'!$E$25,"")</f>
        <v/>
      </c>
      <c r="U294" s="518" t="str">
        <f>IF(AND(_AC1="A-321N",'2023'!$K$4="CA",'2023'!$K$2=U271),'2023DATA'!$F$25,"")</f>
        <v/>
      </c>
      <c r="V294" s="518" t="str">
        <f>IF(AND(_AC1="A-321N",'2023'!$K$4="CA",'2023'!$K$2=V271),'2023DATA'!$G$25,"")</f>
        <v/>
      </c>
      <c r="W294" s="518" t="str">
        <f>IF(AND(_AC1="A-321N",'2023'!$K$4="CA",'2023'!$K$2=W271),'2023DATA'!$H$25,"")</f>
        <v/>
      </c>
      <c r="X294" s="518" t="str">
        <f>IF(AND(_AC1="A-321N",'2023'!$K$4="CA",'2023'!$K$2=X271),'2023DATA'!$I$25,"")</f>
        <v/>
      </c>
      <c r="Y294" s="518" t="str">
        <f>IF(AND(_AC1="A-321N",'2023'!$K$4="CA",'2023'!$K$2=Y271),'2023DATA'!$J$25,"")</f>
        <v/>
      </c>
      <c r="Z294" s="518" t="str">
        <f>IF(AND(_AC1="A-321N",'2023'!$K$4="CA",'2023'!$K$2=Z271),'2023DATA'!$K$25,"")</f>
        <v/>
      </c>
      <c r="AA294" s="518" t="str">
        <f>IF(AND(_AC1="A-321N",'2023'!$K$4="CA",'2023'!$K$2=AA271),'2023DATA'!$L$25,"")</f>
        <v/>
      </c>
      <c r="AB294" s="518" t="str">
        <f>IF(AND(_AC1="A-321N",'2023'!$K$4="CA",'2023'!$K$2=AB271),'2023DATA'!$M$25,"")</f>
        <v/>
      </c>
      <c r="AC294" s="520" t="str">
        <f>IF(AND(_AC1="A-321N",'2023'!$K$4="CA",'2023'!$K$2=AC271),'2023DATA'!$N$25,"")</f>
        <v/>
      </c>
      <c r="AD294" s="940" t="s">
        <v>46</v>
      </c>
      <c r="AE294" s="13" t="s">
        <v>61</v>
      </c>
      <c r="AF294" s="518" t="str">
        <f>IF(AND(_AC2="A-321N",'2023'!$K$4="CA",'2023'!$K$2=AF271),'2023DATA'!$C$25,"")</f>
        <v/>
      </c>
      <c r="AG294" s="518" t="str">
        <f>IF(AND(_AC2="A-321N",'2023'!$K$4="CA",'2023'!$K$2=AG271),'2023DATA'!$D$25,"")</f>
        <v/>
      </c>
      <c r="AH294" s="518" t="str">
        <f>IF(AND(_AC2="A-321N",'2023'!$K$4="CA",'2023'!$K$2=AH271),'2023DATA'!$E$25,"")</f>
        <v/>
      </c>
      <c r="AI294" s="518" t="str">
        <f>IF(AND(_AC2="A-321N",'2023'!$K$4="CA",'2023'!$K$2=AI271),'2023DATA'!$F$25,"")</f>
        <v/>
      </c>
      <c r="AJ294" s="518" t="str">
        <f>IF(AND(_AC2="A-321N",'2023'!$K$4="CA",'2023'!$K$2=AJ271),'2023DATA'!$G$25,"")</f>
        <v/>
      </c>
      <c r="AK294" s="518" t="str">
        <f>IF(AND(_AC2="A-321N",'2023'!$K$4="CA",'2023'!$K$2=AK271),'2023DATA'!$H$25,"")</f>
        <v/>
      </c>
      <c r="AL294" s="518" t="str">
        <f>IF(AND(_AC2="A-321N",'2023'!$K$4="CA",'2023'!$K$2=AL271),'2023DATA'!$I$25,"")</f>
        <v/>
      </c>
      <c r="AM294" s="518" t="str">
        <f>IF(AND(_AC2="A-321N",'2023'!$K$4="CA",'2023'!$K$2=AM271),'2023DATA'!$J$25,"")</f>
        <v/>
      </c>
      <c r="AN294" s="518" t="str">
        <f>IF(AND(_AC2="A-321N",'2023'!$K$4="CA",'2023'!$K$2=AN271),'2023DATA'!$K$25,"")</f>
        <v/>
      </c>
      <c r="AO294" s="518" t="str">
        <f>IF(AND(_AC2="A-321N",'2023'!$K$4="CA",'2023'!$K$2=AO271),'2023DATA'!$L$25,"")</f>
        <v/>
      </c>
      <c r="AP294" s="518" t="str">
        <f>IF(AND(_AC2="A-321N",'2023'!$K$4="CA",'2023'!$K$2=AP271),'2023DATA'!$M$25,"")</f>
        <v/>
      </c>
      <c r="AQ294" s="520" t="str">
        <f>IF(AND(_AC2="A-321N",'2023'!$K$4="CA",'2023'!$K$2=AQ271),'2023DATA'!$N$25,"")</f>
        <v/>
      </c>
      <c r="AR294" s="940" t="s">
        <v>46</v>
      </c>
      <c r="AS294" s="13" t="s">
        <v>61</v>
      </c>
      <c r="AT294" s="518" t="str">
        <f>IF(AND(_AC3="A-321N",'2023'!$K$4="CA",'2023'!$K$2=AT271),'2023DATA'!$C$25,"")</f>
        <v/>
      </c>
      <c r="AU294" s="518" t="str">
        <f>IF(AND(_AC3="A-321N",'2023'!$K$4="CA",'2023'!$K$2=AU271),'2023DATA'!$D$25,"")</f>
        <v/>
      </c>
      <c r="AV294" s="518" t="str">
        <f>IF(AND(_AC3="A-321N",'2023'!$K$4="CA",'2023'!$K$2=AV271),'2023DATA'!$E$25,"")</f>
        <v/>
      </c>
      <c r="AW294" s="518" t="str">
        <f>IF(AND(_AC3="A-321N",'2023'!$K$4="CA",'2023'!$K$2=AW271),'2023DATA'!$F$25,"")</f>
        <v/>
      </c>
      <c r="AX294" s="518" t="str">
        <f>IF(AND(_AC3="A-321N",'2023'!$K$4="CA",'2023'!$K$2=AX271),'2023DATA'!$G$25,"")</f>
        <v/>
      </c>
      <c r="AY294" s="518" t="str">
        <f>IF(AND(_AC3="A-321N",'2023'!$K$4="CA",'2023'!$K$2=AY271),'2023DATA'!$H$25,"")</f>
        <v/>
      </c>
      <c r="AZ294" s="518" t="str">
        <f>IF(AND(_AC3="A-321N",'2023'!$K$4="CA",'2023'!$K$2=AZ271),'2023DATA'!$I$25,"")</f>
        <v/>
      </c>
      <c r="BA294" s="518" t="str">
        <f>IF(AND(_AC3="A-321N",'2023'!$K$4="CA",'2023'!$K$2=BA271),'2023DATA'!$J$25,"")</f>
        <v/>
      </c>
      <c r="BB294" s="518" t="str">
        <f>IF(AND(_AC3="A-321N",'2023'!$K$4="CA",'2023'!$K$2=BB271),'2023DATA'!$K$25,"")</f>
        <v/>
      </c>
      <c r="BC294" s="518" t="str">
        <f>IF(AND(_AC3="A-321N",'2023'!$K$4="CA",'2023'!$K$2=BC271),'2023DATA'!$L$25,"")</f>
        <v/>
      </c>
      <c r="BD294" s="518" t="str">
        <f>IF(AND(_AC3="A-321N",'2023'!$K$4="CA",'2023'!$K$2=BD271),'2023DATA'!$M$25,"")</f>
        <v/>
      </c>
      <c r="BE294" s="520" t="str">
        <f>IF(AND(_AC3="A-321N",'2023'!$K$4="CA",'2023'!$K$2=BE271),'2023DATA'!$N$25,"")</f>
        <v/>
      </c>
      <c r="BF294" s="940" t="s">
        <v>46</v>
      </c>
      <c r="BG294" s="13" t="s">
        <v>61</v>
      </c>
      <c r="BH294" s="518" t="str">
        <f>IF(AND(_AC4="A-321N",'2023'!$K$4="CA",'2023'!$K$2=BH271),'2023DATA'!$C$25,"")</f>
        <v/>
      </c>
      <c r="BI294" s="518" t="str">
        <f>IF(AND(_AC4="A-321N",'2023'!$K$4="CA",'2023'!$K$2=BI271),'2023DATA'!$D$25,"")</f>
        <v/>
      </c>
      <c r="BJ294" s="518" t="str">
        <f>IF(AND(_AC4="A-321N",'2023'!$K$4="CA",'2023'!$K$2=BJ271),'2023DATA'!$E$25,"")</f>
        <v/>
      </c>
      <c r="BK294" s="518" t="str">
        <f>IF(AND(_AC4="A-321N",'2023'!$K$4="CA",'2023'!$K$2=BK271),'2023DATA'!$F$25,"")</f>
        <v/>
      </c>
      <c r="BL294" s="518" t="str">
        <f>IF(AND(_AC4="A-321N",'2023'!$K$4="CA",'2023'!$K$2=BL271),'2023DATA'!$G$25,"")</f>
        <v/>
      </c>
      <c r="BM294" s="518" t="str">
        <f>IF(AND(_AC4="A-321N",'2023'!$K$4="CA",'2023'!$K$2=BM271),'2023DATA'!$H$25,"")</f>
        <v/>
      </c>
      <c r="BN294" s="518" t="str">
        <f>IF(AND(_AC4="A-321N",'2023'!$K$4="CA",'2023'!$K$2=BN271),'2023DATA'!$I$25,"")</f>
        <v/>
      </c>
      <c r="BO294" s="518" t="str">
        <f>IF(AND(_AC4="A-321N",'2023'!$K$4="CA",'2023'!$K$2=BO271),'2023DATA'!$J$25,"")</f>
        <v/>
      </c>
      <c r="BP294" s="518" t="str">
        <f>IF(AND(_AC4="A-321N",'2023'!$K$4="CA",'2023'!$K$2=BP271),'2023DATA'!$K$25,"")</f>
        <v/>
      </c>
      <c r="BQ294" s="518" t="str">
        <f>IF(AND(_AC4="A-321N",'2023'!$K$4="CA",'2023'!$K$2=BQ271),'2023DATA'!$L$25,"")</f>
        <v/>
      </c>
      <c r="BR294" s="518" t="str">
        <f>IF(AND(_AC4="A-321N",'2023'!$K$4="CA",'2023'!$K$2=BR271),'2023DATA'!$M$25,"")</f>
        <v/>
      </c>
      <c r="BS294" s="520" t="str">
        <f>IF(AND(_AC4="A-321N",'2023'!$K$4="CA",'2023'!$K$2=BS271),'2023DATA'!$N$25,"")</f>
        <v/>
      </c>
      <c r="BT294" s="940" t="s">
        <v>46</v>
      </c>
      <c r="BU294" s="13" t="s">
        <v>61</v>
      </c>
      <c r="BV294" s="518" t="str">
        <f>IF(AND(_AC5="A-321N",'2023'!$K$4="CA",'2023'!$K$2=BV271),'2023DATA'!$C$25,"")</f>
        <v/>
      </c>
      <c r="BW294" s="518" t="str">
        <f>IF(AND(_AC5="A-321N",'2023'!$K$4="CA",'2023'!$K$2=BW271),'2023DATA'!$D$25,"")</f>
        <v/>
      </c>
      <c r="BX294" s="518" t="str">
        <f>IF(AND(_AC5="A-321N",'2023'!$K$4="CA",'2023'!$K$2=BX271),'2023DATA'!$E$25,"")</f>
        <v/>
      </c>
      <c r="BY294" s="518" t="str">
        <f>IF(AND(_AC5="A-321N",'2023'!$K$4="CA",'2023'!$K$2=BY271),'2023DATA'!$F$25,"")</f>
        <v/>
      </c>
      <c r="BZ294" s="518" t="str">
        <f>IF(AND(_AC5="A-321N",'2023'!$K$4="CA",'2023'!$K$2=BZ271),'2023DATA'!$G$25,"")</f>
        <v/>
      </c>
      <c r="CA294" s="518" t="str">
        <f>IF(AND(_AC5="A-321N",'2023'!$K$4="CA",'2023'!$K$2=CA271),'2023DATA'!$H$25,"")</f>
        <v/>
      </c>
      <c r="CB294" s="518" t="str">
        <f>IF(AND(_AC5="A-321N",'2023'!$K$4="CA",'2023'!$K$2=CB271),'2023DATA'!$I$25,"")</f>
        <v/>
      </c>
      <c r="CC294" s="518" t="str">
        <f>IF(AND(_AC5="A-321N",'2023'!$K$4="CA",'2023'!$K$2=CC271),'2023DATA'!$J$25,"")</f>
        <v/>
      </c>
      <c r="CD294" s="518" t="str">
        <f>IF(AND(_AC5="A-321N",'2023'!$K$4="CA",'2023'!$K$2=CD271),'2023DATA'!$K$25,"")</f>
        <v/>
      </c>
      <c r="CE294" s="518" t="str">
        <f>IF(AND(_AC5="A-321N",'2023'!$K$4="CA",'2023'!$K$2=CE271),'2023DATA'!$L$25,"")</f>
        <v/>
      </c>
      <c r="CF294" s="518" t="str">
        <f>IF(AND(_AC5="A-321N",'2023'!$K$4="CA",'2023'!$K$2=CF271),'2023DATA'!$M$25,"")</f>
        <v/>
      </c>
      <c r="CG294" s="520" t="str">
        <f>IF(AND(_AC5="A-321N",'2023'!$K$4="CA",'2023'!$K$2=CG271),'2023DATA'!$N$25,"")</f>
        <v/>
      </c>
      <c r="CH294" s="940" t="s">
        <v>46</v>
      </c>
      <c r="CI294" s="13" t="s">
        <v>61</v>
      </c>
      <c r="CJ294" s="518" t="str">
        <f>IF(AND(_AC6="A-321N",'2023'!$K$4="CA",'2023'!$K$2=CJ271),'2023DATA'!$C$25,"")</f>
        <v/>
      </c>
      <c r="CK294" s="518" t="str">
        <f>IF(AND(_AC6="A-321N",'2023'!$K$4="CA",'2023'!$K$2=CK271),'2023DATA'!$D$25,"")</f>
        <v/>
      </c>
      <c r="CL294" s="518" t="str">
        <f>IF(AND(_AC6="A-321N",'2023'!$K$4="CA",'2023'!$K$2=CL271),'2023DATA'!$E$25,"")</f>
        <v/>
      </c>
      <c r="CM294" s="518" t="str">
        <f>IF(AND(_AC6="A-321N",'2023'!$K$4="CA",'2023'!$K$2=CM271),'2023DATA'!$F$25,"")</f>
        <v/>
      </c>
      <c r="CN294" s="518" t="str">
        <f>IF(AND(_AC6="A-321N",'2023'!$K$4="CA",'2023'!$K$2=CN271),'2023DATA'!$G$25,"")</f>
        <v/>
      </c>
      <c r="CO294" s="518" t="str">
        <f>IF(AND(_AC6="A-321N",'2023'!$K$4="CA",'2023'!$K$2=CO271),'2023DATA'!$H$25,"")</f>
        <v/>
      </c>
      <c r="CP294" s="518" t="str">
        <f>IF(AND(_AC6="A-321N",'2023'!$K$4="CA",'2023'!$K$2=CP271),'2023DATA'!$I$25,"")</f>
        <v/>
      </c>
      <c r="CQ294" s="518" t="str">
        <f>IF(AND(_AC6="A-321N",'2023'!$K$4="CA",'2023'!$K$2=CQ271),'2023DATA'!$J$25,"")</f>
        <v/>
      </c>
      <c r="CR294" s="518" t="str">
        <f>IF(AND(_AC6="A-321N",'2023'!$K$4="CA",'2023'!$K$2=CR271),'2023DATA'!$K$25,"")</f>
        <v/>
      </c>
      <c r="CS294" s="518" t="str">
        <f>IF(AND(_AC6="A-321N",'2023'!$K$4="CA",'2023'!$K$2=CS271),'2023DATA'!$L$25,"")</f>
        <v/>
      </c>
      <c r="CT294" s="518" t="str">
        <f>IF(AND(_AC6="A-321N",'2023'!$K$4="CA",'2023'!$K$2=CT271),'2023DATA'!$M$25,"")</f>
        <v/>
      </c>
      <c r="CU294" s="520" t="str">
        <f>IF(AND(_AC6="A-321N",'2023'!$K$4="CA",'2023'!$K$2=CU271),'2023DATA'!$N$25,"")</f>
        <v/>
      </c>
    </row>
    <row r="295" spans="16:99" x14ac:dyDescent="0.25">
      <c r="P295" s="940"/>
      <c r="Q295" s="13" t="s">
        <v>62</v>
      </c>
      <c r="R295" s="518" t="str">
        <f>IF(AND(_AC1="A-321N",'2023'!$K$4="FO",'2023'!$K$2=R271),'2023DATA'!$C$26,"")</f>
        <v/>
      </c>
      <c r="S295" s="518" t="str">
        <f>IF(AND(_AC1="A-321N",'2023'!$K$4="FO",'2023'!$K$2=S271),'2023DATA'!$D$26,"")</f>
        <v/>
      </c>
      <c r="T295" s="518" t="str">
        <f>IF(AND(_AC1="A-321N",'2023'!$K$4="FO",'2023'!$K$2=T271),'2023DATA'!$E$26,"")</f>
        <v/>
      </c>
      <c r="U295" s="518" t="str">
        <f>IF(AND(_AC1="A-321N",'2023'!$K$4="FO",'2023'!$K$2=U271),'2023DATA'!$F$26,"")</f>
        <v/>
      </c>
      <c r="V295" s="518" t="str">
        <f>IF(AND(_AC1="A-321N",'2023'!$K$4="FO",'2023'!$K$2=V271),'2023DATA'!$G$26,"")</f>
        <v/>
      </c>
      <c r="W295" s="518" t="str">
        <f>IF(AND(_AC1="A-321N",'2023'!$K$4="FO",'2023'!$K$2=W271),'2023DATA'!$H$26,"")</f>
        <v/>
      </c>
      <c r="X295" s="518" t="str">
        <f>IF(AND(_AC1="A-321N",'2023'!$K$4="FO",'2023'!$K$2=X271),'2023DATA'!$I$26,"")</f>
        <v/>
      </c>
      <c r="Y295" s="518" t="str">
        <f>IF(AND(_AC1="A-321N",'2023'!$K$4="FO",'2023'!$K$2=Y271),'2023DATA'!$J$26,"")</f>
        <v/>
      </c>
      <c r="Z295" s="518" t="str">
        <f>IF(AND(_AC1="A-321N",'2023'!$K$4="FO",'2023'!$K$2=Z271),'2023DATA'!$K$26,"")</f>
        <v/>
      </c>
      <c r="AA295" s="518" t="str">
        <f>IF(AND(_AC1="A-321N",'2023'!$K$4="FO",'2023'!$K$2=AA271),'2023DATA'!$L$26,"")</f>
        <v/>
      </c>
      <c r="AB295" s="518" t="str">
        <f>IF(AND(_AC1="A-321N",'2023'!$K$4="FO",'2023'!$K$2=AB271),'2023DATA'!$M$26,"")</f>
        <v/>
      </c>
      <c r="AC295" s="520" t="str">
        <f>IF(AND(_AC1="A-321N",'2023'!$K$4="FO",'2023'!$K$2=AC271),'2023DATA'!$N$26,"")</f>
        <v/>
      </c>
      <c r="AD295" s="940"/>
      <c r="AE295" s="13" t="s">
        <v>62</v>
      </c>
      <c r="AF295" s="518" t="str">
        <f>IF(AND(_AC2="A-321N",'2023'!$K$4="FO",'2023'!$K$2=AF271),'2023DATA'!$C$26,"")</f>
        <v/>
      </c>
      <c r="AG295" s="518" t="str">
        <f>IF(AND(_AC2="A-321N",'2023'!$K$4="FO",'2023'!$K$2=AG271),'2023DATA'!$D$26,"")</f>
        <v/>
      </c>
      <c r="AH295" s="518" t="str">
        <f>IF(AND(_AC2="A-321N",'2023'!$K$4="FO",'2023'!$K$2=AH271),'2023DATA'!$E$26,"")</f>
        <v/>
      </c>
      <c r="AI295" s="518" t="str">
        <f>IF(AND(_AC2="A-321N",'2023'!$K$4="FO",'2023'!$K$2=AI271),'2023DATA'!$F$26,"")</f>
        <v/>
      </c>
      <c r="AJ295" s="518" t="str">
        <f>IF(AND(_AC2="A-321N",'2023'!$K$4="FO",'2023'!$K$2=AJ271),'2023DATA'!$G$26,"")</f>
        <v/>
      </c>
      <c r="AK295" s="518" t="str">
        <f>IF(AND(_AC2="A-321N",'2023'!$K$4="FO",'2023'!$K$2=AK271),'2023DATA'!$H$26,"")</f>
        <v/>
      </c>
      <c r="AL295" s="518" t="str">
        <f>IF(AND(_AC2="A-321N",'2023'!$K$4="FO",'2023'!$K$2=AL271),'2023DATA'!$I$26,"")</f>
        <v/>
      </c>
      <c r="AM295" s="518" t="str">
        <f>IF(AND(_AC2="A-321N",'2023'!$K$4="FO",'2023'!$K$2=AM271),'2023DATA'!$J$26,"")</f>
        <v/>
      </c>
      <c r="AN295" s="518" t="str">
        <f>IF(AND(_AC2="A-321N",'2023'!$K$4="FO",'2023'!$K$2=AN271),'2023DATA'!$K$26,"")</f>
        <v/>
      </c>
      <c r="AO295" s="518" t="str">
        <f>IF(AND(_AC2="A-321N",'2023'!$K$4="FO",'2023'!$K$2=AO271),'2023DATA'!$L$26,"")</f>
        <v/>
      </c>
      <c r="AP295" s="518" t="str">
        <f>IF(AND(_AC2="A-321N",'2023'!$K$4="FO",'2023'!$K$2=AP271),'2023DATA'!$M$26,"")</f>
        <v/>
      </c>
      <c r="AQ295" s="520" t="str">
        <f>IF(AND(_AC2="A-321N",'2023'!$K$4="FO",'2023'!$K$2=AQ271),'2023DATA'!$N$26,"")</f>
        <v/>
      </c>
      <c r="AR295" s="940"/>
      <c r="AS295" s="13" t="s">
        <v>62</v>
      </c>
      <c r="AT295" s="518" t="str">
        <f>IF(AND(_AC3="A-321N",'2023'!$K$4="FO",'2023'!$K$2=AT271),'2023DATA'!$C$26,"")</f>
        <v/>
      </c>
      <c r="AU295" s="518" t="str">
        <f>IF(AND(_AC3="A-321N",'2023'!$K$4="FO",'2023'!$K$2=AU271),'2023DATA'!$D$26,"")</f>
        <v/>
      </c>
      <c r="AV295" s="518" t="str">
        <f>IF(AND(_AC3="A-321N",'2023'!$K$4="FO",'2023'!$K$2=AV271),'2023DATA'!$E$26,"")</f>
        <v/>
      </c>
      <c r="AW295" s="518" t="str">
        <f>IF(AND(_AC3="A-321N",'2023'!$K$4="FO",'2023'!$K$2=AW271),'2023DATA'!$F$26,"")</f>
        <v/>
      </c>
      <c r="AX295" s="518" t="str">
        <f>IF(AND(_AC3="A-321N",'2023'!$K$4="FO",'2023'!$K$2=AX271),'2023DATA'!$G$26,"")</f>
        <v/>
      </c>
      <c r="AY295" s="518" t="str">
        <f>IF(AND(_AC3="A-321N",'2023'!$K$4="FO",'2023'!$K$2=AY271),'2023DATA'!$H$26,"")</f>
        <v/>
      </c>
      <c r="AZ295" s="518" t="str">
        <f>IF(AND(_AC3="A-321N",'2023'!$K$4="FO",'2023'!$K$2=AZ271),'2023DATA'!$I$26,"")</f>
        <v/>
      </c>
      <c r="BA295" s="518" t="str">
        <f>IF(AND(_AC3="A-321N",'2023'!$K$4="FO",'2023'!$K$2=BA271),'2023DATA'!$J$26,"")</f>
        <v/>
      </c>
      <c r="BB295" s="518" t="str">
        <f>IF(AND(_AC3="A-321N",'2023'!$K$4="FO",'2023'!$K$2=BB271),'2023DATA'!$K$26,"")</f>
        <v/>
      </c>
      <c r="BC295" s="518" t="str">
        <f>IF(AND(_AC3="A-321N",'2023'!$K$4="FO",'2023'!$K$2=BC271),'2023DATA'!$L$26,"")</f>
        <v/>
      </c>
      <c r="BD295" s="518" t="str">
        <f>IF(AND(_AC3="A-321N",'2023'!$K$4="FO",'2023'!$K$2=BD271),'2023DATA'!$M$26,"")</f>
        <v/>
      </c>
      <c r="BE295" s="520" t="str">
        <f>IF(AND(_AC3="A-321N",'2023'!$K$4="FO",'2023'!$K$2=BE271),'2023DATA'!$N$26,"")</f>
        <v/>
      </c>
      <c r="BF295" s="940"/>
      <c r="BG295" s="13" t="s">
        <v>62</v>
      </c>
      <c r="BH295" s="518" t="str">
        <f>IF(AND(_AC4="A-321N",'2023'!$K$4="FO",'2023'!$K$2=BH271),'2023DATA'!$C$26,"")</f>
        <v/>
      </c>
      <c r="BI295" s="518" t="str">
        <f>IF(AND(_AC4="A-321N",'2023'!$K$4="FO",'2023'!$K$2=BI271),'2023DATA'!$D$26,"")</f>
        <v/>
      </c>
      <c r="BJ295" s="518" t="str">
        <f>IF(AND(_AC4="A-321N",'2023'!$K$4="FO",'2023'!$K$2=BJ271),'2023DATA'!$E$26,"")</f>
        <v/>
      </c>
      <c r="BK295" s="518" t="str">
        <f>IF(AND(_AC4="A-321N",'2023'!$K$4="FO",'2023'!$K$2=BK271),'2023DATA'!$F$26,"")</f>
        <v/>
      </c>
      <c r="BL295" s="518" t="str">
        <f>IF(AND(_AC4="A-321N",'2023'!$K$4="FO",'2023'!$K$2=BL271),'2023DATA'!$G$26,"")</f>
        <v/>
      </c>
      <c r="BM295" s="518" t="str">
        <f>IF(AND(_AC4="A-321N",'2023'!$K$4="FO",'2023'!$K$2=BM271),'2023DATA'!$H$26,"")</f>
        <v/>
      </c>
      <c r="BN295" s="518" t="str">
        <f>IF(AND(_AC4="A-321N",'2023'!$K$4="FO",'2023'!$K$2=BN271),'2023DATA'!$I$26,"")</f>
        <v/>
      </c>
      <c r="BO295" s="518" t="str">
        <f>IF(AND(_AC4="A-321N",'2023'!$K$4="FO",'2023'!$K$2=BO271),'2023DATA'!$J$26,"")</f>
        <v/>
      </c>
      <c r="BP295" s="518" t="str">
        <f>IF(AND(_AC4="A-321N",'2023'!$K$4="FO",'2023'!$K$2=BP271),'2023DATA'!$K$26,"")</f>
        <v/>
      </c>
      <c r="BQ295" s="518" t="str">
        <f>IF(AND(_AC4="A-321N",'2023'!$K$4="FO",'2023'!$K$2=BQ271),'2023DATA'!$L$26,"")</f>
        <v/>
      </c>
      <c r="BR295" s="518" t="str">
        <f>IF(AND(_AC4="A-321N",'2023'!$K$4="FO",'2023'!$K$2=BR271),'2023DATA'!$M$26,"")</f>
        <v/>
      </c>
      <c r="BS295" s="520" t="str">
        <f>IF(AND(_AC4="A-321N",'2023'!$K$4="FO",'2023'!$K$2=BS271),'2023DATA'!$N$26,"")</f>
        <v/>
      </c>
      <c r="BT295" s="940"/>
      <c r="BU295" s="13" t="s">
        <v>62</v>
      </c>
      <c r="BV295" s="518" t="str">
        <f>IF(AND(_AC5="A-321N",'2023'!$K$4="FO",'2023'!$K$2=BV271),'2023DATA'!$C$26,"")</f>
        <v/>
      </c>
      <c r="BW295" s="518" t="str">
        <f>IF(AND(_AC5="A-321N",'2023'!$K$4="FO",'2023'!$K$2=BW271),'2023DATA'!$D$26,"")</f>
        <v/>
      </c>
      <c r="BX295" s="518" t="str">
        <f>IF(AND(_AC5="A-321N",'2023'!$K$4="FO",'2023'!$K$2=BX271),'2023DATA'!$E$26,"")</f>
        <v/>
      </c>
      <c r="BY295" s="518" t="str">
        <f>IF(AND(_AC5="A-321N",'2023'!$K$4="FO",'2023'!$K$2=BY271),'2023DATA'!$F$26,"")</f>
        <v/>
      </c>
      <c r="BZ295" s="518" t="str">
        <f>IF(AND(_AC5="A-321N",'2023'!$K$4="FO",'2023'!$K$2=BZ271),'2023DATA'!$G$26,"")</f>
        <v/>
      </c>
      <c r="CA295" s="518" t="str">
        <f>IF(AND(_AC5="A-321N",'2023'!$K$4="FO",'2023'!$K$2=CA271),'2023DATA'!$H$26,"")</f>
        <v/>
      </c>
      <c r="CB295" s="518" t="str">
        <f>IF(AND(_AC5="A-321N",'2023'!$K$4="FO",'2023'!$K$2=CB271),'2023DATA'!$I$26,"")</f>
        <v/>
      </c>
      <c r="CC295" s="518" t="str">
        <f>IF(AND(_AC5="A-321N",'2023'!$K$4="FO",'2023'!$K$2=CC271),'2023DATA'!$J$26,"")</f>
        <v/>
      </c>
      <c r="CD295" s="518" t="str">
        <f>IF(AND(_AC5="A-321N",'2023'!$K$4="FO",'2023'!$K$2=CD271),'2023DATA'!$K$26,"")</f>
        <v/>
      </c>
      <c r="CE295" s="518" t="str">
        <f>IF(AND(_AC5="A-321N",'2023'!$K$4="FO",'2023'!$K$2=CE271),'2023DATA'!$L$26,"")</f>
        <v/>
      </c>
      <c r="CF295" s="518" t="str">
        <f>IF(AND(_AC5="A-321N",'2023'!$K$4="FO",'2023'!$K$2=CF271),'2023DATA'!$M$26,"")</f>
        <v/>
      </c>
      <c r="CG295" s="520" t="str">
        <f>IF(AND(_AC5="A-321N",'2023'!$K$4="FO",'2023'!$K$2=CG271),'2023DATA'!$N$26,"")</f>
        <v/>
      </c>
      <c r="CH295" s="940"/>
      <c r="CI295" s="13" t="s">
        <v>62</v>
      </c>
      <c r="CJ295" s="518" t="str">
        <f>IF(AND(_AC6="A-321N",'2023'!$K$4="FO",'2023'!$K$2=CJ271),'2023DATA'!$C$26,"")</f>
        <v/>
      </c>
      <c r="CK295" s="518" t="str">
        <f>IF(AND(_AC6="A-321N",'2023'!$K$4="FO",'2023'!$K$2=CK271),'2023DATA'!$D$26,"")</f>
        <v/>
      </c>
      <c r="CL295" s="518" t="str">
        <f>IF(AND(_AC6="A-321N",'2023'!$K$4="FO",'2023'!$K$2=CL271),'2023DATA'!$E$26,"")</f>
        <v/>
      </c>
      <c r="CM295" s="518" t="str">
        <f>IF(AND(_AC6="A-321N",'2023'!$K$4="FO",'2023'!$K$2=CM271),'2023DATA'!$F$26,"")</f>
        <v/>
      </c>
      <c r="CN295" s="518" t="str">
        <f>IF(AND(_AC6="A-321N",'2023'!$K$4="FO",'2023'!$K$2=CN271),'2023DATA'!$G$26,"")</f>
        <v/>
      </c>
      <c r="CO295" s="518" t="str">
        <f>IF(AND(_AC6="A-321N",'2023'!$K$4="FO",'2023'!$K$2=CO271),'2023DATA'!$H$26,"")</f>
        <v/>
      </c>
      <c r="CP295" s="518" t="str">
        <f>IF(AND(_AC6="A-321N",'2023'!$K$4="FO",'2023'!$K$2=CP271),'2023DATA'!$I$26,"")</f>
        <v/>
      </c>
      <c r="CQ295" s="518" t="str">
        <f>IF(AND(_AC6="A-321N",'2023'!$K$4="FO",'2023'!$K$2=CQ271),'2023DATA'!$J$26,"")</f>
        <v/>
      </c>
      <c r="CR295" s="518" t="str">
        <f>IF(AND(_AC6="A-321N",'2023'!$K$4="FO",'2023'!$K$2=CR271),'2023DATA'!$K$26,"")</f>
        <v/>
      </c>
      <c r="CS295" s="518" t="str">
        <f>IF(AND(_AC6="A-321N",'2023'!$K$4="FO",'2023'!$K$2=CS271),'2023DATA'!$L$26,"")</f>
        <v/>
      </c>
      <c r="CT295" s="518" t="str">
        <f>IF(AND(_AC6="A-321N",'2023'!$K$4="FO",'2023'!$K$2=CT271),'2023DATA'!$M$26,"")</f>
        <v/>
      </c>
      <c r="CU295" s="520" t="str">
        <f>IF(AND(_AC6="A-321N",'2023'!$K$4="FO",'2023'!$K$2=CU271),'2023DATA'!$N$26,"")</f>
        <v/>
      </c>
    </row>
    <row r="296" spans="16:99" x14ac:dyDescent="0.25">
      <c r="P296" s="940" t="s">
        <v>48</v>
      </c>
      <c r="Q296" s="13" t="s">
        <v>61</v>
      </c>
      <c r="R296" s="518" t="str">
        <f>IF(AND(_AC1="A-321",'2023'!$K$4="CA",'2023'!$K$2=R271),'2023DATA'!$C$27,"")</f>
        <v/>
      </c>
      <c r="S296" s="518" t="str">
        <f>IF(AND(_AC1="A-321",'2023'!$K$4="CA",'2023'!$K$2=S271),'2023DATA'!$D$27,"")</f>
        <v/>
      </c>
      <c r="T296" s="518" t="str">
        <f>IF(AND(_AC1="A-321",'2023'!$K$4="CA",'2023'!$K$2=T271),'2023DATA'!$E$27,"")</f>
        <v/>
      </c>
      <c r="U296" s="518" t="str">
        <f>IF(AND(_AC1="A-321",'2023'!$K$4="CA",'2023'!$K$2=U271),'2023DATA'!$F$27,"")</f>
        <v/>
      </c>
      <c r="V296" s="518" t="str">
        <f>IF(AND(_AC1="A-321",'2023'!$K$4="CA",'2023'!$K$2=V271),'2023DATA'!$G$27,"")</f>
        <v/>
      </c>
      <c r="W296" s="518" t="str">
        <f>IF(AND(_AC1="A-321",'2023'!$K$4="CA",'2023'!$K$2=W271),'2023DATA'!$H$27,"")</f>
        <v/>
      </c>
      <c r="X296" s="518" t="str">
        <f>IF(AND(_AC1="A-321",'2023'!$K$4="CA",'2023'!$K$2=X271),'2023DATA'!$I$27,"")</f>
        <v/>
      </c>
      <c r="Y296" s="518" t="str">
        <f>IF(AND(_AC1="A-321",'2023'!$K$4="CA",'2023'!$K$2=Y271),'2023DATA'!$J$27,"")</f>
        <v/>
      </c>
      <c r="Z296" s="518" t="str">
        <f>IF(AND(_AC1="A-321",'2023'!$K$4="CA",'2023'!$K$2=Z271),'2023DATA'!$K$27,"")</f>
        <v/>
      </c>
      <c r="AA296" s="518" t="str">
        <f>IF(AND(_AC1="A-321",'2023'!$K$4="CA",'2023'!$K$2=AA271),'2023DATA'!$L$27,"")</f>
        <v/>
      </c>
      <c r="AB296" s="518" t="str">
        <f>IF(AND(_AC1="A-321",'2023'!$K$4="CA",'2023'!$K$2=AB271),'2023DATA'!$M$27,"")</f>
        <v/>
      </c>
      <c r="AC296" s="520" t="str">
        <f>IF(AND(_AC1="A-321",'2023'!$K$4="CA",'2023'!$K$2=AC271),'2023DATA'!$N$27,"")</f>
        <v/>
      </c>
      <c r="AD296" s="940" t="s">
        <v>48</v>
      </c>
      <c r="AE296" s="13" t="s">
        <v>61</v>
      </c>
      <c r="AF296" s="518" t="str">
        <f>IF(AND(_AC2="A-321",'2023'!$K$4="CA",'2023'!$K$2=AF271),'2023DATA'!$C$27,"")</f>
        <v/>
      </c>
      <c r="AG296" s="518" t="str">
        <f>IF(AND(_AC2="A-321",'2023'!$K$4="CA",'2023'!$K$2=AG271),'2023DATA'!$D$27,"")</f>
        <v/>
      </c>
      <c r="AH296" s="518" t="str">
        <f>IF(AND(_AC2="A-321",'2023'!$K$4="CA",'2023'!$K$2=AH271),'2023DATA'!$E$27,"")</f>
        <v/>
      </c>
      <c r="AI296" s="518" t="str">
        <f>IF(AND(_AC2="A-321",'2023'!$K$4="CA",'2023'!$K$2=AI271),'2023DATA'!$F$27,"")</f>
        <v/>
      </c>
      <c r="AJ296" s="518" t="str">
        <f>IF(AND(_AC2="A-321",'2023'!$K$4="CA",'2023'!$K$2=AJ271),'2023DATA'!$G$27,"")</f>
        <v/>
      </c>
      <c r="AK296" s="518" t="str">
        <f>IF(AND(_AC2="A-321",'2023'!$K$4="CA",'2023'!$K$2=AK271),'2023DATA'!$H$27,"")</f>
        <v/>
      </c>
      <c r="AL296" s="518" t="str">
        <f>IF(AND(_AC2="A-321",'2023'!$K$4="CA",'2023'!$K$2=AL271),'2023DATA'!$I$27,"")</f>
        <v/>
      </c>
      <c r="AM296" s="518" t="str">
        <f>IF(AND(_AC2="A-321",'2023'!$K$4="CA",'2023'!$K$2=AM271),'2023DATA'!$J$27,"")</f>
        <v/>
      </c>
      <c r="AN296" s="518" t="str">
        <f>IF(AND(_AC2="A-321",'2023'!$K$4="CA",'2023'!$K$2=AN271),'2023DATA'!$K$27,"")</f>
        <v/>
      </c>
      <c r="AO296" s="518" t="str">
        <f>IF(AND(_AC2="A-321",'2023'!$K$4="CA",'2023'!$K$2=AO271),'2023DATA'!$L$27,"")</f>
        <v/>
      </c>
      <c r="AP296" s="518" t="str">
        <f>IF(AND(_AC2="A-321",'2023'!$K$4="CA",'2023'!$K$2=AP271),'2023DATA'!$M$27,"")</f>
        <v/>
      </c>
      <c r="AQ296" s="520" t="str">
        <f>IF(AND(_AC2="A-321",'2023'!$K$4="CA",'2023'!$K$2=AQ271),'2023DATA'!$N$27,"")</f>
        <v/>
      </c>
      <c r="AR296" s="940" t="s">
        <v>48</v>
      </c>
      <c r="AS296" s="13" t="s">
        <v>61</v>
      </c>
      <c r="AT296" s="518" t="str">
        <f>IF(AND(_AC3="A-321",'2023'!$K$4="CA",'2023'!$K$2=AT271),'2023DATA'!$C$27,"")</f>
        <v/>
      </c>
      <c r="AU296" s="518" t="str">
        <f>IF(AND(_AC3="A-321",'2023'!$K$4="CA",'2023'!$K$2=AU271),'2023DATA'!$D$27,"")</f>
        <v/>
      </c>
      <c r="AV296" s="518" t="str">
        <f>IF(AND(_AC3="A-321",'2023'!$K$4="CA",'2023'!$K$2=AV271),'2023DATA'!$E$27,"")</f>
        <v/>
      </c>
      <c r="AW296" s="518" t="str">
        <f>IF(AND(_AC3="A-321",'2023'!$K$4="CA",'2023'!$K$2=AW271),'2023DATA'!$F$27,"")</f>
        <v/>
      </c>
      <c r="AX296" s="518" t="str">
        <f>IF(AND(_AC3="A-321",'2023'!$K$4="CA",'2023'!$K$2=AX271),'2023DATA'!$G$27,"")</f>
        <v/>
      </c>
      <c r="AY296" s="518" t="str">
        <f>IF(AND(_AC3="A-321",'2023'!$K$4="CA",'2023'!$K$2=AY271),'2023DATA'!$H$27,"")</f>
        <v/>
      </c>
      <c r="AZ296" s="518" t="str">
        <f>IF(AND(_AC3="A-321",'2023'!$K$4="CA",'2023'!$K$2=AZ271),'2023DATA'!$I$27,"")</f>
        <v/>
      </c>
      <c r="BA296" s="518" t="str">
        <f>IF(AND(_AC3="A-321",'2023'!$K$4="CA",'2023'!$K$2=BA271),'2023DATA'!$J$27,"")</f>
        <v/>
      </c>
      <c r="BB296" s="518" t="str">
        <f>IF(AND(_AC3="A-321",'2023'!$K$4="CA",'2023'!$K$2=BB271),'2023DATA'!$K$27,"")</f>
        <v/>
      </c>
      <c r="BC296" s="518" t="str">
        <f>IF(AND(_AC3="A-321",'2023'!$K$4="CA",'2023'!$K$2=BC271),'2023DATA'!$L$27,"")</f>
        <v/>
      </c>
      <c r="BD296" s="518" t="str">
        <f>IF(AND(_AC3="A-321",'2023'!$K$4="CA",'2023'!$K$2=BD271),'2023DATA'!$M$27,"")</f>
        <v/>
      </c>
      <c r="BE296" s="520" t="str">
        <f>IF(AND(_AC3="A-321",'2023'!$K$4="CA",'2023'!$K$2=BE271),'2023DATA'!$N$27,"")</f>
        <v/>
      </c>
      <c r="BF296" s="940" t="s">
        <v>48</v>
      </c>
      <c r="BG296" s="13" t="s">
        <v>61</v>
      </c>
      <c r="BH296" s="518" t="str">
        <f>IF(AND(_AC4="A-321",'2023'!$K$4="CA",'2023'!$K$2=BH271),'2023DATA'!$C$27,"")</f>
        <v/>
      </c>
      <c r="BI296" s="518" t="str">
        <f>IF(AND(_AC4="A-321",'2023'!$K$4="CA",'2023'!$K$2=BI271),'2023DATA'!$D$27,"")</f>
        <v/>
      </c>
      <c r="BJ296" s="518" t="str">
        <f>IF(AND(_AC4="A-321",'2023'!$K$4="CA",'2023'!$K$2=BJ271),'2023DATA'!$E$27,"")</f>
        <v/>
      </c>
      <c r="BK296" s="518" t="str">
        <f>IF(AND(_AC4="A-321",'2023'!$K$4="CA",'2023'!$K$2=BK271),'2023DATA'!$F$27,"")</f>
        <v/>
      </c>
      <c r="BL296" s="518" t="str">
        <f>IF(AND(_AC4="A-321",'2023'!$K$4="CA",'2023'!$K$2=BL271),'2023DATA'!$G$27,"")</f>
        <v/>
      </c>
      <c r="BM296" s="518" t="str">
        <f>IF(AND(_AC4="A-321",'2023'!$K$4="CA",'2023'!$K$2=BM271),'2023DATA'!$H$27,"")</f>
        <v/>
      </c>
      <c r="BN296" s="518" t="str">
        <f>IF(AND(_AC4="A-321",'2023'!$K$4="CA",'2023'!$K$2=BN271),'2023DATA'!$I$27,"")</f>
        <v/>
      </c>
      <c r="BO296" s="518" t="str">
        <f>IF(AND(_AC4="A-321",'2023'!$K$4="CA",'2023'!$K$2=BO271),'2023DATA'!$J$27,"")</f>
        <v/>
      </c>
      <c r="BP296" s="518" t="str">
        <f>IF(AND(_AC4="A-321",'2023'!$K$4="CA",'2023'!$K$2=BP271),'2023DATA'!$K$27,"")</f>
        <v/>
      </c>
      <c r="BQ296" s="518" t="str">
        <f>IF(AND(_AC4="A-321",'2023'!$K$4="CA",'2023'!$K$2=BQ271),'2023DATA'!$L$27,"")</f>
        <v/>
      </c>
      <c r="BR296" s="518" t="str">
        <f>IF(AND(_AC4="A-321",'2023'!$K$4="CA",'2023'!$K$2=BR271),'2023DATA'!$M$27,"")</f>
        <v/>
      </c>
      <c r="BS296" s="520" t="str">
        <f>IF(AND(_AC4="A-321",'2023'!$K$4="CA",'2023'!$K$2=BS271),'2023DATA'!$N$27,"")</f>
        <v/>
      </c>
      <c r="BT296" s="940" t="s">
        <v>48</v>
      </c>
      <c r="BU296" s="13" t="s">
        <v>61</v>
      </c>
      <c r="BV296" s="518" t="str">
        <f>IF(AND(_AC5="A-321",'2023'!$K$4="CA",'2023'!$K$2=BV271),'2023DATA'!$C$27,"")</f>
        <v/>
      </c>
      <c r="BW296" s="518" t="str">
        <f>IF(AND(_AC5="A-321",'2023'!$K$4="CA",'2023'!$K$2=BW271),'2023DATA'!$D$27,"")</f>
        <v/>
      </c>
      <c r="BX296" s="518" t="str">
        <f>IF(AND(_AC5="A-321",'2023'!$K$4="CA",'2023'!$K$2=BX271),'2023DATA'!$E$27,"")</f>
        <v/>
      </c>
      <c r="BY296" s="518" t="str">
        <f>IF(AND(_AC5="A-321",'2023'!$K$4="CA",'2023'!$K$2=BY271),'2023DATA'!$F$27,"")</f>
        <v/>
      </c>
      <c r="BZ296" s="518" t="str">
        <f>IF(AND(_AC5="A-321",'2023'!$K$4="CA",'2023'!$K$2=BZ271),'2023DATA'!$G$27,"")</f>
        <v/>
      </c>
      <c r="CA296" s="518" t="str">
        <f>IF(AND(_AC5="A-321",'2023'!$K$4="CA",'2023'!$K$2=CA271),'2023DATA'!$H$27,"")</f>
        <v/>
      </c>
      <c r="CB296" s="518" t="str">
        <f>IF(AND(_AC5="A-321",'2023'!$K$4="CA",'2023'!$K$2=CB271),'2023DATA'!$I$27,"")</f>
        <v/>
      </c>
      <c r="CC296" s="518" t="str">
        <f>IF(AND(_AC5="A-321",'2023'!$K$4="CA",'2023'!$K$2=CC271),'2023DATA'!$J$27,"")</f>
        <v/>
      </c>
      <c r="CD296" s="518" t="str">
        <f>IF(AND(_AC5="A-321",'2023'!$K$4="CA",'2023'!$K$2=CD271),'2023DATA'!$K$27,"")</f>
        <v/>
      </c>
      <c r="CE296" s="518" t="str">
        <f>IF(AND(_AC5="A-321",'2023'!$K$4="CA",'2023'!$K$2=CE271),'2023DATA'!$L$27,"")</f>
        <v/>
      </c>
      <c r="CF296" s="518" t="str">
        <f>IF(AND(_AC5="A-321",'2023'!$K$4="CA",'2023'!$K$2=CF271),'2023DATA'!$M$27,"")</f>
        <v/>
      </c>
      <c r="CG296" s="520" t="str">
        <f>IF(AND(_AC5="A-321",'2023'!$K$4="CA",'2023'!$K$2=CG271),'2023DATA'!$N$27,"")</f>
        <v/>
      </c>
      <c r="CH296" s="940" t="s">
        <v>48</v>
      </c>
      <c r="CI296" s="13" t="s">
        <v>61</v>
      </c>
      <c r="CJ296" s="518" t="str">
        <f>IF(AND(_AC6="A-321",'2023'!$K$4="CA",'2023'!$K$2=CJ271),'2023DATA'!$C$27,"")</f>
        <v/>
      </c>
      <c r="CK296" s="518" t="str">
        <f>IF(AND(_AC6="A-321",'2023'!$K$4="CA",'2023'!$K$2=CK271),'2023DATA'!$D$27,"")</f>
        <v/>
      </c>
      <c r="CL296" s="518" t="str">
        <f>IF(AND(_AC6="A-321",'2023'!$K$4="CA",'2023'!$K$2=CL271),'2023DATA'!$E$27,"")</f>
        <v/>
      </c>
      <c r="CM296" s="518" t="str">
        <f>IF(AND(_AC6="A-321",'2023'!$K$4="CA",'2023'!$K$2=CM271),'2023DATA'!$F$27,"")</f>
        <v/>
      </c>
      <c r="CN296" s="518" t="str">
        <f>IF(AND(_AC6="A-321",'2023'!$K$4="CA",'2023'!$K$2=CN271),'2023DATA'!$G$27,"")</f>
        <v/>
      </c>
      <c r="CO296" s="518" t="str">
        <f>IF(AND(_AC6="A-321",'2023'!$K$4="CA",'2023'!$K$2=CO271),'2023DATA'!$H$27,"")</f>
        <v/>
      </c>
      <c r="CP296" s="518" t="str">
        <f>IF(AND(_AC6="A-321",'2023'!$K$4="CA",'2023'!$K$2=CP271),'2023DATA'!$I$27,"")</f>
        <v/>
      </c>
      <c r="CQ296" s="518" t="str">
        <f>IF(AND(_AC6="A-321",'2023'!$K$4="CA",'2023'!$K$2=CQ271),'2023DATA'!$J$27,"")</f>
        <v/>
      </c>
      <c r="CR296" s="518" t="str">
        <f>IF(AND(_AC6="A-321",'2023'!$K$4="CA",'2023'!$K$2=CR271),'2023DATA'!$K$27,"")</f>
        <v/>
      </c>
      <c r="CS296" s="518" t="str">
        <f>IF(AND(_AC6="A-321",'2023'!$K$4="CA",'2023'!$K$2=CS271),'2023DATA'!$L$27,"")</f>
        <v/>
      </c>
      <c r="CT296" s="518" t="str">
        <f>IF(AND(_AC6="A-321",'2023'!$K$4="CA",'2023'!$K$2=CT271),'2023DATA'!$M$27,"")</f>
        <v/>
      </c>
      <c r="CU296" s="520" t="str">
        <f>IF(AND(_AC6="A-321",'2023'!$K$4="CA",'2023'!$K$2=CU271),'2023DATA'!$N$27,"")</f>
        <v/>
      </c>
    </row>
    <row r="297" spans="16:99" x14ac:dyDescent="0.25">
      <c r="P297" s="940"/>
      <c r="Q297" s="13" t="s">
        <v>62</v>
      </c>
      <c r="R297" s="518" t="str">
        <f>IF(AND(_AC1="A-321",'2023'!$K$4="FO",'2023'!$K$2=R271),'2023DATA'!$C$28,"")</f>
        <v/>
      </c>
      <c r="S297" s="518" t="str">
        <f>IF(AND(_AC1="A-321",'2023'!$K$4="FO",'2023'!$K$2=S271),'2023DATA'!$D$28,"")</f>
        <v/>
      </c>
      <c r="T297" s="518" t="str">
        <f>IF(AND(_AC1="A-321",'2023'!$K$4="FO",'2023'!$K$2=T271),'2023DATA'!$E$28,"")</f>
        <v/>
      </c>
      <c r="U297" s="518" t="str">
        <f>IF(AND(_AC1="A-321",'2023'!$K$4="FO",'2023'!$K$2=U271),'2023DATA'!$F$28,"")</f>
        <v/>
      </c>
      <c r="V297" s="518" t="str">
        <f>IF(AND(_AC1="A-321",'2023'!$K$4="FO",'2023'!$K$2=V271),'2023DATA'!$G$28,"")</f>
        <v/>
      </c>
      <c r="W297" s="518" t="str">
        <f>IF(AND(_AC1="A-321",'2023'!$K$4="FO",'2023'!$K$2=W271),'2023DATA'!$H$28,"")</f>
        <v/>
      </c>
      <c r="X297" s="518" t="str">
        <f>IF(AND(_AC1="A-321",'2023'!$K$4="FO",'2023'!$K$2=X271),'2023DATA'!$I$28,"")</f>
        <v/>
      </c>
      <c r="Y297" s="518" t="str">
        <f>IF(AND(_AC1="A-321",'2023'!$K$4="FO",'2023'!$K$2=Y271),'2023DATA'!$J$28,"")</f>
        <v/>
      </c>
      <c r="Z297" s="518" t="str">
        <f>IF(AND(_AC1="A-321",'2023'!$K$4="FO",'2023'!$K$2=Z271),'2023DATA'!$K$28,"")</f>
        <v/>
      </c>
      <c r="AA297" s="518" t="str">
        <f>IF(AND(_AC1="A-321",'2023'!$K$4="FO",'2023'!$K$2=AA271),'2023DATA'!$L$28,"")</f>
        <v/>
      </c>
      <c r="AB297" s="518" t="str">
        <f>IF(AND(_AC1="A-321",'2023'!$K$4="FO",'2023'!$K$2=AB271),'2023DATA'!$M$28,"")</f>
        <v/>
      </c>
      <c r="AC297" s="520" t="str">
        <f>IF(AND(_AC1="A-321",'2023'!$K$4="FO",'2023'!$K$2=AC271),'2023DATA'!$N$28,"")</f>
        <v/>
      </c>
      <c r="AD297" s="940"/>
      <c r="AE297" s="13" t="s">
        <v>62</v>
      </c>
      <c r="AF297" s="518" t="str">
        <f>IF(AND(_AC2="A-321",'2023'!$K$4="FO",'2023'!$K$2=AF271),'2023DATA'!$C$28,"")</f>
        <v/>
      </c>
      <c r="AG297" s="518" t="str">
        <f>IF(AND(_AC2="A-321",'2023'!$K$4="FO",'2023'!$K$2=AG271),'2023DATA'!$D$28,"")</f>
        <v/>
      </c>
      <c r="AH297" s="518" t="str">
        <f>IF(AND(_AC2="A-321",'2023'!$K$4="FO",'2023'!$K$2=AH271),'2023DATA'!$E$28,"")</f>
        <v/>
      </c>
      <c r="AI297" s="518" t="str">
        <f>IF(AND(_AC2="A-321",'2023'!$K$4="FO",'2023'!$K$2=AI271),'2023DATA'!$F$28,"")</f>
        <v/>
      </c>
      <c r="AJ297" s="518" t="str">
        <f>IF(AND(_AC2="A-321",'2023'!$K$4="FO",'2023'!$K$2=AJ271),'2023DATA'!$G$28,"")</f>
        <v/>
      </c>
      <c r="AK297" s="518" t="str">
        <f>IF(AND(_AC2="A-321",'2023'!$K$4="FO",'2023'!$K$2=AK271),'2023DATA'!$H$28,"")</f>
        <v/>
      </c>
      <c r="AL297" s="518" t="str">
        <f>IF(AND(_AC2="A-321",'2023'!$K$4="FO",'2023'!$K$2=AL271),'2023DATA'!$I$28,"")</f>
        <v/>
      </c>
      <c r="AM297" s="518" t="str">
        <f>IF(AND(_AC2="A-321",'2023'!$K$4="FO",'2023'!$K$2=AM271),'2023DATA'!$J$28,"")</f>
        <v/>
      </c>
      <c r="AN297" s="518" t="str">
        <f>IF(AND(_AC2="A-321",'2023'!$K$4="FO",'2023'!$K$2=AN271),'2023DATA'!$K$28,"")</f>
        <v/>
      </c>
      <c r="AO297" s="518" t="str">
        <f>IF(AND(_AC2="A-321",'2023'!$K$4="FO",'2023'!$K$2=AO271),'2023DATA'!$L$28,"")</f>
        <v/>
      </c>
      <c r="AP297" s="518" t="str">
        <f>IF(AND(_AC2="A-321",'2023'!$K$4="FO",'2023'!$K$2=AP271),'2023DATA'!$M$28,"")</f>
        <v/>
      </c>
      <c r="AQ297" s="520" t="str">
        <f>IF(AND(_AC2="A-321",'2023'!$K$4="FO",'2023'!$K$2=AQ271),'2023DATA'!$N$28,"")</f>
        <v/>
      </c>
      <c r="AR297" s="940"/>
      <c r="AS297" s="13" t="s">
        <v>62</v>
      </c>
      <c r="AT297" s="518" t="str">
        <f>IF(AND(_AC3="A-321",'2023'!$K$4="FO",'2023'!$K$2=AT271),'2023DATA'!$C$28,"")</f>
        <v/>
      </c>
      <c r="AU297" s="518" t="str">
        <f>IF(AND(_AC3="A-321",'2023'!$K$4="FO",'2023'!$K$2=AU271),'2023DATA'!$D$28,"")</f>
        <v/>
      </c>
      <c r="AV297" s="518" t="str">
        <f>IF(AND(_AC3="A-321",'2023'!$K$4="FO",'2023'!$K$2=AV271),'2023DATA'!$E$28,"")</f>
        <v/>
      </c>
      <c r="AW297" s="518" t="str">
        <f>IF(AND(_AC3="A-321",'2023'!$K$4="FO",'2023'!$K$2=AW271),'2023DATA'!$F$28,"")</f>
        <v/>
      </c>
      <c r="AX297" s="518" t="str">
        <f>IF(AND(_AC3="A-321",'2023'!$K$4="FO",'2023'!$K$2=AX271),'2023DATA'!$G$28,"")</f>
        <v/>
      </c>
      <c r="AY297" s="518" t="str">
        <f>IF(AND(_AC3="A-321",'2023'!$K$4="FO",'2023'!$K$2=AY271),'2023DATA'!$H$28,"")</f>
        <v/>
      </c>
      <c r="AZ297" s="518" t="str">
        <f>IF(AND(_AC3="A-321",'2023'!$K$4="FO",'2023'!$K$2=AZ271),'2023DATA'!$I$28,"")</f>
        <v/>
      </c>
      <c r="BA297" s="518" t="str">
        <f>IF(AND(_AC3="A-321",'2023'!$K$4="FO",'2023'!$K$2=BA271),'2023DATA'!$J$28,"")</f>
        <v/>
      </c>
      <c r="BB297" s="518" t="str">
        <f>IF(AND(_AC3="A-321",'2023'!$K$4="FO",'2023'!$K$2=BB271),'2023DATA'!$K$28,"")</f>
        <v/>
      </c>
      <c r="BC297" s="518" t="str">
        <f>IF(AND(_AC3="A-321",'2023'!$K$4="FO",'2023'!$K$2=BC271),'2023DATA'!$L$28,"")</f>
        <v/>
      </c>
      <c r="BD297" s="518" t="str">
        <f>IF(AND(_AC3="A-321",'2023'!$K$4="FO",'2023'!$K$2=BD271),'2023DATA'!$M$28,"")</f>
        <v/>
      </c>
      <c r="BE297" s="520" t="str">
        <f>IF(AND(_AC3="A-321",'2023'!$K$4="FO",'2023'!$K$2=BE271),'2023DATA'!$N$28,"")</f>
        <v/>
      </c>
      <c r="BF297" s="940"/>
      <c r="BG297" s="13" t="s">
        <v>62</v>
      </c>
      <c r="BH297" s="518" t="str">
        <f>IF(AND(_AC4="A-321",'2023'!$K$4="FO",'2023'!$K$2=BH271),'2023DATA'!$C$28,"")</f>
        <v/>
      </c>
      <c r="BI297" s="518" t="str">
        <f>IF(AND(_AC4="A-321",'2023'!$K$4="FO",'2023'!$K$2=BI271),'2023DATA'!$D$28,"")</f>
        <v/>
      </c>
      <c r="BJ297" s="518" t="str">
        <f>IF(AND(_AC4="A-321",'2023'!$K$4="FO",'2023'!$K$2=BJ271),'2023DATA'!$E$28,"")</f>
        <v/>
      </c>
      <c r="BK297" s="518" t="str">
        <f>IF(AND(_AC4="A-321",'2023'!$K$4="FO",'2023'!$K$2=BK271),'2023DATA'!$F$28,"")</f>
        <v/>
      </c>
      <c r="BL297" s="518" t="str">
        <f>IF(AND(_AC4="A-321",'2023'!$K$4="FO",'2023'!$K$2=BL271),'2023DATA'!$G$28,"")</f>
        <v/>
      </c>
      <c r="BM297" s="518" t="str">
        <f>IF(AND(_AC4="A-321",'2023'!$K$4="FO",'2023'!$K$2=BM271),'2023DATA'!$H$28,"")</f>
        <v/>
      </c>
      <c r="BN297" s="518" t="str">
        <f>IF(AND(_AC4="A-321",'2023'!$K$4="FO",'2023'!$K$2=BN271),'2023DATA'!$I$28,"")</f>
        <v/>
      </c>
      <c r="BO297" s="518" t="str">
        <f>IF(AND(_AC4="A-321",'2023'!$K$4="FO",'2023'!$K$2=BO271),'2023DATA'!$J$28,"")</f>
        <v/>
      </c>
      <c r="BP297" s="518" t="str">
        <f>IF(AND(_AC4="A-321",'2023'!$K$4="FO",'2023'!$K$2=BP271),'2023DATA'!$K$28,"")</f>
        <v/>
      </c>
      <c r="BQ297" s="518" t="str">
        <f>IF(AND(_AC4="A-321",'2023'!$K$4="FO",'2023'!$K$2=BQ271),'2023DATA'!$L$28,"")</f>
        <v/>
      </c>
      <c r="BR297" s="518" t="str">
        <f>IF(AND(_AC4="A-321",'2023'!$K$4="FO",'2023'!$K$2=BR271),'2023DATA'!$M$28,"")</f>
        <v/>
      </c>
      <c r="BS297" s="520" t="str">
        <f>IF(AND(_AC4="A-321",'2023'!$K$4="FO",'2023'!$K$2=BS271),'2023DATA'!$N$28,"")</f>
        <v/>
      </c>
      <c r="BT297" s="940"/>
      <c r="BU297" s="13" t="s">
        <v>62</v>
      </c>
      <c r="BV297" s="518" t="str">
        <f>IF(AND(_AC5="A-321",'2023'!$K$4="FO",'2023'!$K$2=BV271),'2023DATA'!$C$28,"")</f>
        <v/>
      </c>
      <c r="BW297" s="518" t="str">
        <f>IF(AND(_AC5="A-321",'2023'!$K$4="FO",'2023'!$K$2=BW271),'2023DATA'!$D$28,"")</f>
        <v/>
      </c>
      <c r="BX297" s="518" t="str">
        <f>IF(AND(_AC5="A-321",'2023'!$K$4="FO",'2023'!$K$2=BX271),'2023DATA'!$E$28,"")</f>
        <v/>
      </c>
      <c r="BY297" s="518" t="str">
        <f>IF(AND(_AC5="A-321",'2023'!$K$4="FO",'2023'!$K$2=BY271),'2023DATA'!$F$28,"")</f>
        <v/>
      </c>
      <c r="BZ297" s="518" t="str">
        <f>IF(AND(_AC5="A-321",'2023'!$K$4="FO",'2023'!$K$2=BZ271),'2023DATA'!$G$28,"")</f>
        <v/>
      </c>
      <c r="CA297" s="518" t="str">
        <f>IF(AND(_AC5="A-321",'2023'!$K$4="FO",'2023'!$K$2=CA271),'2023DATA'!$H$28,"")</f>
        <v/>
      </c>
      <c r="CB297" s="518" t="str">
        <f>IF(AND(_AC5="A-321",'2023'!$K$4="FO",'2023'!$K$2=CB271),'2023DATA'!$I$28,"")</f>
        <v/>
      </c>
      <c r="CC297" s="518" t="str">
        <f>IF(AND(_AC5="A-321",'2023'!$K$4="FO",'2023'!$K$2=CC271),'2023DATA'!$J$28,"")</f>
        <v/>
      </c>
      <c r="CD297" s="518" t="str">
        <f>IF(AND(_AC5="A-321",'2023'!$K$4="FO",'2023'!$K$2=CD271),'2023DATA'!$K$28,"")</f>
        <v/>
      </c>
      <c r="CE297" s="518" t="str">
        <f>IF(AND(_AC5="A-321",'2023'!$K$4="FO",'2023'!$K$2=CE271),'2023DATA'!$L$28,"")</f>
        <v/>
      </c>
      <c r="CF297" s="518" t="str">
        <f>IF(AND(_AC5="A-321",'2023'!$K$4="FO",'2023'!$K$2=CF271),'2023DATA'!$M$28,"")</f>
        <v/>
      </c>
      <c r="CG297" s="520" t="str">
        <f>IF(AND(_AC5="A-321",'2023'!$K$4="FO",'2023'!$K$2=CG271),'2023DATA'!$N$28,"")</f>
        <v/>
      </c>
      <c r="CH297" s="940"/>
      <c r="CI297" s="13" t="s">
        <v>62</v>
      </c>
      <c r="CJ297" s="518" t="str">
        <f>IF(AND(_AC6="A-321",'2023'!$K$4="FO",'2023'!$K$2=CJ271),'2023DATA'!$C$28,"")</f>
        <v/>
      </c>
      <c r="CK297" s="518" t="str">
        <f>IF(AND(_AC6="A-321",'2023'!$K$4="FO",'2023'!$K$2=CK271),'2023DATA'!$D$28,"")</f>
        <v/>
      </c>
      <c r="CL297" s="518" t="str">
        <f>IF(AND(_AC6="A-321",'2023'!$K$4="FO",'2023'!$K$2=CL271),'2023DATA'!$E$28,"")</f>
        <v/>
      </c>
      <c r="CM297" s="518" t="str">
        <f>IF(AND(_AC6="A-321",'2023'!$K$4="FO",'2023'!$K$2=CM271),'2023DATA'!$F$28,"")</f>
        <v/>
      </c>
      <c r="CN297" s="518" t="str">
        <f>IF(AND(_AC6="A-321",'2023'!$K$4="FO",'2023'!$K$2=CN271),'2023DATA'!$G$28,"")</f>
        <v/>
      </c>
      <c r="CO297" s="518" t="str">
        <f>IF(AND(_AC6="A-321",'2023'!$K$4="FO",'2023'!$K$2=CO271),'2023DATA'!$H$28,"")</f>
        <v/>
      </c>
      <c r="CP297" s="518" t="str">
        <f>IF(AND(_AC6="A-321",'2023'!$K$4="FO",'2023'!$K$2=CP271),'2023DATA'!$I$28,"")</f>
        <v/>
      </c>
      <c r="CQ297" s="518" t="str">
        <f>IF(AND(_AC6="A-321",'2023'!$K$4="FO",'2023'!$K$2=CQ271),'2023DATA'!$J$28,"")</f>
        <v/>
      </c>
      <c r="CR297" s="518" t="str">
        <f>IF(AND(_AC6="A-321",'2023'!$K$4="FO",'2023'!$K$2=CR271),'2023DATA'!$K$28,"")</f>
        <v/>
      </c>
      <c r="CS297" s="518" t="str">
        <f>IF(AND(_AC6="A-321",'2023'!$K$4="FO",'2023'!$K$2=CS271),'2023DATA'!$L$28,"")</f>
        <v/>
      </c>
      <c r="CT297" s="518" t="str">
        <f>IF(AND(_AC6="A-321",'2023'!$K$4="FO",'2023'!$K$2=CT271),'2023DATA'!$M$28,"")</f>
        <v/>
      </c>
      <c r="CU297" s="520" t="str">
        <f>IF(AND(_AC6="A-321",'2023'!$K$4="FO",'2023'!$K$2=CU271),'2023DATA'!$N$28,"")</f>
        <v/>
      </c>
    </row>
    <row r="298" spans="16:99" x14ac:dyDescent="0.25">
      <c r="P298" s="940" t="s">
        <v>70</v>
      </c>
      <c r="Q298" s="13" t="s">
        <v>61</v>
      </c>
      <c r="R298" s="518" t="str">
        <f>IF(AND(_AC1="A-320",'2023'!$K$4="CA",'2023'!$K$2=R271),'2023DATA'!$C$29,"")</f>
        <v/>
      </c>
      <c r="S298" s="518" t="str">
        <f>IF(AND(_AC1="A-320",'2023'!$K$4="CA",'2023'!$K$2=S271),'2023DATA'!$D$29,"")</f>
        <v/>
      </c>
      <c r="T298" s="518" t="str">
        <f>IF(AND(_AC1="A-320",'2023'!$K$4="CA",'2023'!$K$2=T271),'2023DATA'!$E$29,"")</f>
        <v/>
      </c>
      <c r="U298" s="518" t="str">
        <f>IF(AND(_AC1="A-320",'2023'!$K$4="CA",'2023'!$K$2=U271),'2023DATA'!$F$29,"")</f>
        <v/>
      </c>
      <c r="V298" s="518" t="str">
        <f>IF(AND(_AC1="A-320",'2023'!$K$4="CA",'2023'!$K$2=V271),'2023DATA'!$G$29,"")</f>
        <v/>
      </c>
      <c r="W298" s="518" t="str">
        <f>IF(AND(_AC1="A-320",'2023'!$K$4="CA",'2023'!$K$2=W271),'2023DATA'!$H$29,"")</f>
        <v/>
      </c>
      <c r="X298" s="518" t="str">
        <f>IF(AND(_AC1="A-320",'2023'!$K$4="CA",'2023'!$K$2=X271),'2023DATA'!$I$29,"")</f>
        <v/>
      </c>
      <c r="Y298" s="518" t="str">
        <f>IF(AND(_AC1="A-320",'2023'!$K$4="CA",'2023'!$K$2=Y271),'2023DATA'!$J$29,"")</f>
        <v/>
      </c>
      <c r="Z298" s="518" t="str">
        <f>IF(AND(_AC1="A-320",'2023'!$K$4="CA",'2023'!$K$2=Z271),'2023DATA'!$K$29,"")</f>
        <v/>
      </c>
      <c r="AA298" s="518" t="str">
        <f>IF(AND(_AC1="A-320",'2023'!$K$4="CA",'2023'!$K$2=AA271),'2023DATA'!$L$29,"")</f>
        <v/>
      </c>
      <c r="AB298" s="518" t="str">
        <f>IF(AND(_AC1="A-320",'2023'!$K$4="CA",'2023'!$K$2=AB271),'2023DATA'!$M$29,"")</f>
        <v/>
      </c>
      <c r="AC298" s="520" t="str">
        <f>IF(AND(_AC1="A-320",'2023'!$K$4="CA",'2023'!$K$2=AC271),'2023DATA'!$N$29,"")</f>
        <v/>
      </c>
      <c r="AD298" s="940" t="s">
        <v>70</v>
      </c>
      <c r="AE298" s="13" t="s">
        <v>61</v>
      </c>
      <c r="AF298" s="518" t="str">
        <f>IF(AND(_AC2="A-320",'2023'!$K$4="CA",'2023'!$K$2=AF271),'2023DATA'!$C$29,"")</f>
        <v/>
      </c>
      <c r="AG298" s="518" t="str">
        <f>IF(AND(_AC2="A-320",'2023'!$K$4="CA",'2023'!$K$2=AG271),'2023DATA'!$D$29,"")</f>
        <v/>
      </c>
      <c r="AH298" s="518" t="str">
        <f>IF(AND(_AC2="A-320",'2023'!$K$4="CA",'2023'!$K$2=AH271),'2023DATA'!$E$29,"")</f>
        <v/>
      </c>
      <c r="AI298" s="518" t="str">
        <f>IF(AND(_AC2="A-320",'2023'!$K$4="CA",'2023'!$K$2=AI271),'2023DATA'!$F$29,"")</f>
        <v/>
      </c>
      <c r="AJ298" s="518" t="str">
        <f>IF(AND(_AC2="A-320",'2023'!$K$4="CA",'2023'!$K$2=AJ271),'2023DATA'!$G$29,"")</f>
        <v/>
      </c>
      <c r="AK298" s="518" t="str">
        <f>IF(AND(_AC2="A-320",'2023'!$K$4="CA",'2023'!$K$2=AK271),'2023DATA'!$H$29,"")</f>
        <v/>
      </c>
      <c r="AL298" s="518" t="str">
        <f>IF(AND(_AC2="A-320",'2023'!$K$4="CA",'2023'!$K$2=AL271),'2023DATA'!$I$29,"")</f>
        <v/>
      </c>
      <c r="AM298" s="518" t="str">
        <f>IF(AND(_AC2="A-320",'2023'!$K$4="CA",'2023'!$K$2=AM271),'2023DATA'!$J$29,"")</f>
        <v/>
      </c>
      <c r="AN298" s="518" t="str">
        <f>IF(AND(_AC2="A-320",'2023'!$K$4="CA",'2023'!$K$2=AN271),'2023DATA'!$K$29,"")</f>
        <v/>
      </c>
      <c r="AO298" s="518" t="str">
        <f>IF(AND(_AC2="A-320",'2023'!$K$4="CA",'2023'!$K$2=AO271),'2023DATA'!$L$29,"")</f>
        <v/>
      </c>
      <c r="AP298" s="518" t="str">
        <f>IF(AND(_AC2="A-320",'2023'!$K$4="CA",'2023'!$K$2=AP271),'2023DATA'!$M$29,"")</f>
        <v/>
      </c>
      <c r="AQ298" s="520" t="str">
        <f>IF(AND(_AC2="A-320",'2023'!$K$4="CA",'2023'!$K$2=AQ271),'2023DATA'!$N$29,"")</f>
        <v/>
      </c>
      <c r="AR298" s="940" t="s">
        <v>70</v>
      </c>
      <c r="AS298" s="13" t="s">
        <v>61</v>
      </c>
      <c r="AT298" s="518" t="str">
        <f>IF(AND(_AC3="A-320",'2023'!$K$4="CA",'2023'!$K$2=AT271),'2023DATA'!$C$29,"")</f>
        <v/>
      </c>
      <c r="AU298" s="518" t="str">
        <f>IF(AND(_AC3="A-320",'2023'!$K$4="CA",'2023'!$K$2=AU271),'2023DATA'!$D$29,"")</f>
        <v/>
      </c>
      <c r="AV298" s="518" t="str">
        <f>IF(AND(_AC3="A-320",'2023'!$K$4="CA",'2023'!$K$2=AV271),'2023DATA'!$E$29,"")</f>
        <v/>
      </c>
      <c r="AW298" s="518" t="str">
        <f>IF(AND(_AC3="A-320",'2023'!$K$4="CA",'2023'!$K$2=AW271),'2023DATA'!$F$29,"")</f>
        <v/>
      </c>
      <c r="AX298" s="518" t="str">
        <f>IF(AND(_AC3="A-320",'2023'!$K$4="CA",'2023'!$K$2=AX271),'2023DATA'!$G$29,"")</f>
        <v/>
      </c>
      <c r="AY298" s="518" t="str">
        <f>IF(AND(_AC3="A-320",'2023'!$K$4="CA",'2023'!$K$2=AY271),'2023DATA'!$H$29,"")</f>
        <v/>
      </c>
      <c r="AZ298" s="518" t="str">
        <f>IF(AND(_AC3="A-320",'2023'!$K$4="CA",'2023'!$K$2=AZ271),'2023DATA'!$I$29,"")</f>
        <v/>
      </c>
      <c r="BA298" s="518" t="str">
        <f>IF(AND(_AC3="A-320",'2023'!$K$4="CA",'2023'!$K$2=BA271),'2023DATA'!$J$29,"")</f>
        <v/>
      </c>
      <c r="BB298" s="518" t="str">
        <f>IF(AND(_AC3="A-320",'2023'!$K$4="CA",'2023'!$K$2=BB271),'2023DATA'!$K$29,"")</f>
        <v/>
      </c>
      <c r="BC298" s="518" t="str">
        <f>IF(AND(_AC3="A-320",'2023'!$K$4="CA",'2023'!$K$2=BC271),'2023DATA'!$L$29,"")</f>
        <v/>
      </c>
      <c r="BD298" s="518" t="str">
        <f>IF(AND(_AC3="A-320",'2023'!$K$4="CA",'2023'!$K$2=BD271),'2023DATA'!$M$29,"")</f>
        <v/>
      </c>
      <c r="BE298" s="520" t="str">
        <f>IF(AND(_AC3="A-320",'2023'!$K$4="CA",'2023'!$K$2=BE271),'2023DATA'!$N$29,"")</f>
        <v/>
      </c>
      <c r="BF298" s="940" t="s">
        <v>70</v>
      </c>
      <c r="BG298" s="13" t="s">
        <v>61</v>
      </c>
      <c r="BH298" s="518" t="str">
        <f>IF(AND(_AC4="A-320",'2023'!$K$4="CA",'2023'!$K$2=BH271),'2023DATA'!$C$29,"")</f>
        <v/>
      </c>
      <c r="BI298" s="518" t="str">
        <f>IF(AND(_AC4="A-320",'2023'!$K$4="CA",'2023'!$K$2=BI271),'2023DATA'!$D$29,"")</f>
        <v/>
      </c>
      <c r="BJ298" s="518" t="str">
        <f>IF(AND(_AC4="A-320",'2023'!$K$4="CA",'2023'!$K$2=BJ271),'2023DATA'!$E$29,"")</f>
        <v/>
      </c>
      <c r="BK298" s="518" t="str">
        <f>IF(AND(_AC4="A-320",'2023'!$K$4="CA",'2023'!$K$2=BK271),'2023DATA'!$F$29,"")</f>
        <v/>
      </c>
      <c r="BL298" s="518" t="str">
        <f>IF(AND(_AC4="A-320",'2023'!$K$4="CA",'2023'!$K$2=BL271),'2023DATA'!$G$29,"")</f>
        <v/>
      </c>
      <c r="BM298" s="518" t="str">
        <f>IF(AND(_AC4="A-320",'2023'!$K$4="CA",'2023'!$K$2=BM271),'2023DATA'!$H$29,"")</f>
        <v/>
      </c>
      <c r="BN298" s="518" t="str">
        <f>IF(AND(_AC4="A-320",'2023'!$K$4="CA",'2023'!$K$2=BN271),'2023DATA'!$I$29,"")</f>
        <v/>
      </c>
      <c r="BO298" s="518" t="str">
        <f>IF(AND(_AC4="A-320",'2023'!$K$4="CA",'2023'!$K$2=BO271),'2023DATA'!$J$29,"")</f>
        <v/>
      </c>
      <c r="BP298" s="518" t="str">
        <f>IF(AND(_AC4="A-320",'2023'!$K$4="CA",'2023'!$K$2=BP271),'2023DATA'!$K$29,"")</f>
        <v/>
      </c>
      <c r="BQ298" s="518" t="str">
        <f>IF(AND(_AC4="A-320",'2023'!$K$4="CA",'2023'!$K$2=BQ271),'2023DATA'!$L$29,"")</f>
        <v/>
      </c>
      <c r="BR298" s="518" t="str">
        <f>IF(AND(_AC4="A-320",'2023'!$K$4="CA",'2023'!$K$2=BR271),'2023DATA'!$M$29,"")</f>
        <v/>
      </c>
      <c r="BS298" s="520" t="str">
        <f>IF(AND(_AC4="A-320",'2023'!$K$4="CA",'2023'!$K$2=BS271),'2023DATA'!$N$29,"")</f>
        <v/>
      </c>
      <c r="BT298" s="940" t="s">
        <v>70</v>
      </c>
      <c r="BU298" s="13" t="s">
        <v>61</v>
      </c>
      <c r="BV298" s="518" t="str">
        <f>IF(AND(_AC5="A-320",'2023'!$K$4="CA",'2023'!$K$2=BV271),'2023DATA'!$C$29,"")</f>
        <v/>
      </c>
      <c r="BW298" s="518" t="str">
        <f>IF(AND(_AC5="A-320",'2023'!$K$4="CA",'2023'!$K$2=BW271),'2023DATA'!$D$29,"")</f>
        <v/>
      </c>
      <c r="BX298" s="518" t="str">
        <f>IF(AND(_AC5="A-320",'2023'!$K$4="CA",'2023'!$K$2=BX271),'2023DATA'!$E$29,"")</f>
        <v/>
      </c>
      <c r="BY298" s="518" t="str">
        <f>IF(AND(_AC5="A-320",'2023'!$K$4="CA",'2023'!$K$2=BY271),'2023DATA'!$F$29,"")</f>
        <v/>
      </c>
      <c r="BZ298" s="518" t="str">
        <f>IF(AND(_AC5="A-320",'2023'!$K$4="CA",'2023'!$K$2=BZ271),'2023DATA'!$G$29,"")</f>
        <v/>
      </c>
      <c r="CA298" s="518" t="str">
        <f>IF(AND(_AC5="A-320",'2023'!$K$4="CA",'2023'!$K$2=CA271),'2023DATA'!$H$29,"")</f>
        <v/>
      </c>
      <c r="CB298" s="518" t="str">
        <f>IF(AND(_AC5="A-320",'2023'!$K$4="CA",'2023'!$K$2=CB271),'2023DATA'!$I$29,"")</f>
        <v/>
      </c>
      <c r="CC298" s="518" t="str">
        <f>IF(AND(_AC5="A-320",'2023'!$K$4="CA",'2023'!$K$2=CC271),'2023DATA'!$J$29,"")</f>
        <v/>
      </c>
      <c r="CD298" s="518" t="str">
        <f>IF(AND(_AC5="A-320",'2023'!$K$4="CA",'2023'!$K$2=CD271),'2023DATA'!$K$29,"")</f>
        <v/>
      </c>
      <c r="CE298" s="518" t="str">
        <f>IF(AND(_AC5="A-320",'2023'!$K$4="CA",'2023'!$K$2=CE271),'2023DATA'!$L$29,"")</f>
        <v/>
      </c>
      <c r="CF298" s="518" t="str">
        <f>IF(AND(_AC5="A-320",'2023'!$K$4="CA",'2023'!$K$2=CF271),'2023DATA'!$M$29,"")</f>
        <v/>
      </c>
      <c r="CG298" s="520" t="str">
        <f>IF(AND(_AC5="A-320",'2023'!$K$4="CA",'2023'!$K$2=CG271),'2023DATA'!$N$29,"")</f>
        <v/>
      </c>
      <c r="CH298" s="940" t="s">
        <v>70</v>
      </c>
      <c r="CI298" s="13" t="s">
        <v>61</v>
      </c>
      <c r="CJ298" s="518" t="str">
        <f>IF(AND(_AC6="A-320",'2023'!$K$4="CA",'2023'!$K$2=CJ271),'2023DATA'!$C$29,"")</f>
        <v/>
      </c>
      <c r="CK298" s="518" t="str">
        <f>IF(AND(_AC6="A-320",'2023'!$K$4="CA",'2023'!$K$2=CK271),'2023DATA'!$D$29,"")</f>
        <v/>
      </c>
      <c r="CL298" s="518" t="str">
        <f>IF(AND(_AC6="A-320",'2023'!$K$4="CA",'2023'!$K$2=CL271),'2023DATA'!$E$29,"")</f>
        <v/>
      </c>
      <c r="CM298" s="518" t="str">
        <f>IF(AND(_AC6="A-320",'2023'!$K$4="CA",'2023'!$K$2=CM271),'2023DATA'!$F$29,"")</f>
        <v/>
      </c>
      <c r="CN298" s="518" t="str">
        <f>IF(AND(_AC6="A-320",'2023'!$K$4="CA",'2023'!$K$2=CN271),'2023DATA'!$G$29,"")</f>
        <v/>
      </c>
      <c r="CO298" s="518" t="str">
        <f>IF(AND(_AC6="A-320",'2023'!$K$4="CA",'2023'!$K$2=CO271),'2023DATA'!$H$29,"")</f>
        <v/>
      </c>
      <c r="CP298" s="518" t="str">
        <f>IF(AND(_AC6="A-320",'2023'!$K$4="CA",'2023'!$K$2=CP271),'2023DATA'!$I$29,"")</f>
        <v/>
      </c>
      <c r="CQ298" s="518" t="str">
        <f>IF(AND(_AC6="A-320",'2023'!$K$4="CA",'2023'!$K$2=CQ271),'2023DATA'!$J$29,"")</f>
        <v/>
      </c>
      <c r="CR298" s="518" t="str">
        <f>IF(AND(_AC6="A-320",'2023'!$K$4="CA",'2023'!$K$2=CR271),'2023DATA'!$K$29,"")</f>
        <v/>
      </c>
      <c r="CS298" s="518" t="str">
        <f>IF(AND(_AC6="A-320",'2023'!$K$4="CA",'2023'!$K$2=CS271),'2023DATA'!$L$29,"")</f>
        <v/>
      </c>
      <c r="CT298" s="518" t="str">
        <f>IF(AND(_AC6="A-320",'2023'!$K$4="CA",'2023'!$K$2=CT271),'2023DATA'!$M$29,"")</f>
        <v/>
      </c>
      <c r="CU298" s="520" t="str">
        <f>IF(AND(_AC6="A-320",'2023'!$K$4="CA",'2023'!$K$2=CU271),'2023DATA'!$N$29,"")</f>
        <v/>
      </c>
    </row>
    <row r="299" spans="16:99" x14ac:dyDescent="0.25">
      <c r="P299" s="940"/>
      <c r="Q299" s="13" t="s">
        <v>62</v>
      </c>
      <c r="R299" s="518" t="str">
        <f>IF(AND(_AC1="A-320",'2023'!$K$4="FO",'2023'!$K$2=R271),'2023DATA'!$C$30,"")</f>
        <v/>
      </c>
      <c r="S299" s="518" t="str">
        <f>IF(AND(_AC1="A-320",'2023'!$K$4="FO",'2023'!$K$2=S271),'2023DATA'!$D$30,"")</f>
        <v/>
      </c>
      <c r="T299" s="518" t="str">
        <f>IF(AND(_AC1="A-320",'2023'!$K$4="FO",'2023'!$K$2=T271),'2023DATA'!$E$30,"")</f>
        <v/>
      </c>
      <c r="U299" s="518" t="str">
        <f>IF(AND(_AC1="A-320",'2023'!$K$4="FO",'2023'!$K$2=U271),'2023DATA'!$F$30,"")</f>
        <v/>
      </c>
      <c r="V299" s="518" t="str">
        <f>IF(AND(_AC1="A-320",'2023'!$K$4="FO",'2023'!$K$2=V271),'2023DATA'!$G$30,"")</f>
        <v/>
      </c>
      <c r="W299" s="518" t="str">
        <f>IF(AND(_AC1="A-320",'2023'!$K$4="FO",'2023'!$K$2=W271),'2023DATA'!$H$30,"")</f>
        <v/>
      </c>
      <c r="X299" s="518" t="str">
        <f>IF(AND(_AC1="A-320",'2023'!$K$4="FO",'2023'!$K$2=X271),'2023DATA'!$I$30,"")</f>
        <v/>
      </c>
      <c r="Y299" s="518" t="str">
        <f>IF(AND(_AC1="A-320",'2023'!$K$4="FO",'2023'!$K$2=Y271),'2023DATA'!$J$30,"")</f>
        <v/>
      </c>
      <c r="Z299" s="518" t="str">
        <f>IF(AND(_AC1="A-320",'2023'!$K$4="FO",'2023'!$K$2=Z271),'2023DATA'!$K$30,"")</f>
        <v/>
      </c>
      <c r="AA299" s="518" t="str">
        <f>IF(AND(_AC1="A-320",'2023'!$K$4="FO",'2023'!$K$2=AA271),'2023DATA'!$L$30,"")</f>
        <v/>
      </c>
      <c r="AB299" s="518" t="str">
        <f>IF(AND(_AC1="A-320",'2023'!$K$4="FO",'2023'!$K$2=AB271),'2023DATA'!$M$30,"")</f>
        <v/>
      </c>
      <c r="AC299" s="520" t="str">
        <f>IF(AND(_AC1="A-320",'2023'!$K$4="FO",'2023'!$K$2=AC271),'2023DATA'!$N$30,"")</f>
        <v/>
      </c>
      <c r="AD299" s="940"/>
      <c r="AE299" s="13" t="s">
        <v>62</v>
      </c>
      <c r="AF299" s="518" t="str">
        <f>IF(AND(_AC2="A-320",'2023'!$K$4="FO",'2023'!$K$2=AF271),'2023DATA'!$C$30,"")</f>
        <v/>
      </c>
      <c r="AG299" s="518" t="str">
        <f>IF(AND(_AC2="A-320",'2023'!$K$4="FO",'2023'!$K$2=AG271),'2023DATA'!$D$30,"")</f>
        <v/>
      </c>
      <c r="AH299" s="518" t="str">
        <f>IF(AND(_AC2="A-320",'2023'!$K$4="FO",'2023'!$K$2=AH271),'2023DATA'!$E$30,"")</f>
        <v/>
      </c>
      <c r="AI299" s="518" t="str">
        <f>IF(AND(_AC2="A-320",'2023'!$K$4="FO",'2023'!$K$2=AI271),'2023DATA'!$F$30,"")</f>
        <v/>
      </c>
      <c r="AJ299" s="518" t="str">
        <f>IF(AND(_AC2="A-320",'2023'!$K$4="FO",'2023'!$K$2=AJ271),'2023DATA'!$G$30,"")</f>
        <v/>
      </c>
      <c r="AK299" s="518" t="str">
        <f>IF(AND(_AC2="A-320",'2023'!$K$4="FO",'2023'!$K$2=AK271),'2023DATA'!$H$30,"")</f>
        <v/>
      </c>
      <c r="AL299" s="518" t="str">
        <f>IF(AND(_AC2="A-320",'2023'!$K$4="FO",'2023'!$K$2=AL271),'2023DATA'!$I$30,"")</f>
        <v/>
      </c>
      <c r="AM299" s="518" t="str">
        <f>IF(AND(_AC2="A-320",'2023'!$K$4="FO",'2023'!$K$2=AM271),'2023DATA'!$J$30,"")</f>
        <v/>
      </c>
      <c r="AN299" s="518" t="str">
        <f>IF(AND(_AC2="A-320",'2023'!$K$4="FO",'2023'!$K$2=AN271),'2023DATA'!$K$30,"")</f>
        <v/>
      </c>
      <c r="AO299" s="518" t="str">
        <f>IF(AND(_AC2="A-320",'2023'!$K$4="FO",'2023'!$K$2=AO271),'2023DATA'!$L$30,"")</f>
        <v/>
      </c>
      <c r="AP299" s="518" t="str">
        <f>IF(AND(_AC2="A-320",'2023'!$K$4="FO",'2023'!$K$2=AP271),'2023DATA'!$M$30,"")</f>
        <v/>
      </c>
      <c r="AQ299" s="520" t="str">
        <f>IF(AND(_AC2="A-320",'2023'!$K$4="FO",'2023'!$K$2=AQ271),'2023DATA'!$N$30,"")</f>
        <v/>
      </c>
      <c r="AR299" s="940"/>
      <c r="AS299" s="13" t="s">
        <v>62</v>
      </c>
      <c r="AT299" s="518" t="str">
        <f>IF(AND(_AC3="A-320",'2023'!$K$4="FO",'2023'!$K$2=AT271),'2023DATA'!$C$30,"")</f>
        <v/>
      </c>
      <c r="AU299" s="518" t="str">
        <f>IF(AND(_AC3="A-320",'2023'!$K$4="FO",'2023'!$K$2=AU271),'2023DATA'!$D$30,"")</f>
        <v/>
      </c>
      <c r="AV299" s="518" t="str">
        <f>IF(AND(_AC3="A-320",'2023'!$K$4="FO",'2023'!$K$2=AV271),'2023DATA'!$E$30,"")</f>
        <v/>
      </c>
      <c r="AW299" s="518" t="str">
        <f>IF(AND(_AC3="A-320",'2023'!$K$4="FO",'2023'!$K$2=AW271),'2023DATA'!$F$30,"")</f>
        <v/>
      </c>
      <c r="AX299" s="518" t="str">
        <f>IF(AND(_AC3="A-320",'2023'!$K$4="FO",'2023'!$K$2=AX271),'2023DATA'!$G$30,"")</f>
        <v/>
      </c>
      <c r="AY299" s="518" t="str">
        <f>IF(AND(_AC3="A-320",'2023'!$K$4="FO",'2023'!$K$2=AY271),'2023DATA'!$H$30,"")</f>
        <v/>
      </c>
      <c r="AZ299" s="518" t="str">
        <f>IF(AND(_AC3="A-320",'2023'!$K$4="FO",'2023'!$K$2=AZ271),'2023DATA'!$I$30,"")</f>
        <v/>
      </c>
      <c r="BA299" s="518" t="str">
        <f>IF(AND(_AC3="A-320",'2023'!$K$4="FO",'2023'!$K$2=BA271),'2023DATA'!$J$30,"")</f>
        <v/>
      </c>
      <c r="BB299" s="518" t="str">
        <f>IF(AND(_AC3="A-320",'2023'!$K$4="FO",'2023'!$K$2=BB271),'2023DATA'!$K$30,"")</f>
        <v/>
      </c>
      <c r="BC299" s="518" t="str">
        <f>IF(AND(_AC3="A-320",'2023'!$K$4="FO",'2023'!$K$2=BC271),'2023DATA'!$L$30,"")</f>
        <v/>
      </c>
      <c r="BD299" s="518" t="str">
        <f>IF(AND(_AC3="A-320",'2023'!$K$4="FO",'2023'!$K$2=BD271),'2023DATA'!$M$30,"")</f>
        <v/>
      </c>
      <c r="BE299" s="520" t="str">
        <f>IF(AND(_AC3="A-320",'2023'!$K$4="FO",'2023'!$K$2=BE271),'2023DATA'!$N$30,"")</f>
        <v/>
      </c>
      <c r="BF299" s="940"/>
      <c r="BG299" s="13" t="s">
        <v>62</v>
      </c>
      <c r="BH299" s="518" t="str">
        <f>IF(AND(_AC4="A-320",'2023'!$K$4="FO",'2023'!$K$2=BH271),'2023DATA'!$C$30,"")</f>
        <v/>
      </c>
      <c r="BI299" s="518" t="str">
        <f>IF(AND(_AC4="A-320",'2023'!$K$4="FO",'2023'!$K$2=BI271),'2023DATA'!$D$30,"")</f>
        <v/>
      </c>
      <c r="BJ299" s="518" t="str">
        <f>IF(AND(_AC4="A-320",'2023'!$K$4="FO",'2023'!$K$2=BJ271),'2023DATA'!$E$30,"")</f>
        <v/>
      </c>
      <c r="BK299" s="518" t="str">
        <f>IF(AND(_AC4="A-320",'2023'!$K$4="FO",'2023'!$K$2=BK271),'2023DATA'!$F$30,"")</f>
        <v/>
      </c>
      <c r="BL299" s="518" t="str">
        <f>IF(AND(_AC4="A-320",'2023'!$K$4="FO",'2023'!$K$2=BL271),'2023DATA'!$G$30,"")</f>
        <v/>
      </c>
      <c r="BM299" s="518" t="str">
        <f>IF(AND(_AC4="A-320",'2023'!$K$4="FO",'2023'!$K$2=BM271),'2023DATA'!$H$30,"")</f>
        <v/>
      </c>
      <c r="BN299" s="518" t="str">
        <f>IF(AND(_AC4="A-320",'2023'!$K$4="FO",'2023'!$K$2=BN271),'2023DATA'!$I$30,"")</f>
        <v/>
      </c>
      <c r="BO299" s="518" t="str">
        <f>IF(AND(_AC4="A-320",'2023'!$K$4="FO",'2023'!$K$2=BO271),'2023DATA'!$J$30,"")</f>
        <v/>
      </c>
      <c r="BP299" s="518" t="str">
        <f>IF(AND(_AC4="A-320",'2023'!$K$4="FO",'2023'!$K$2=BP271),'2023DATA'!$K$30,"")</f>
        <v/>
      </c>
      <c r="BQ299" s="518" t="str">
        <f>IF(AND(_AC4="A-320",'2023'!$K$4="FO",'2023'!$K$2=BQ271),'2023DATA'!$L$30,"")</f>
        <v/>
      </c>
      <c r="BR299" s="518" t="str">
        <f>IF(AND(_AC4="A-320",'2023'!$K$4="FO",'2023'!$K$2=BR271),'2023DATA'!$M$30,"")</f>
        <v/>
      </c>
      <c r="BS299" s="520" t="str">
        <f>IF(AND(_AC4="A-320",'2023'!$K$4="FO",'2023'!$K$2=BS271),'2023DATA'!$N$30,"")</f>
        <v/>
      </c>
      <c r="BT299" s="940"/>
      <c r="BU299" s="13" t="s">
        <v>62</v>
      </c>
      <c r="BV299" s="518" t="str">
        <f>IF(AND(_AC5="A-320",'2023'!$K$4="FO",'2023'!$K$2=BV271),'2023DATA'!$C$30,"")</f>
        <v/>
      </c>
      <c r="BW299" s="518" t="str">
        <f>IF(AND(_AC5="A-320",'2023'!$K$4="FO",'2023'!$K$2=BW271),'2023DATA'!$D$30,"")</f>
        <v/>
      </c>
      <c r="BX299" s="518" t="str">
        <f>IF(AND(_AC5="A-320",'2023'!$K$4="FO",'2023'!$K$2=BX271),'2023DATA'!$E$30,"")</f>
        <v/>
      </c>
      <c r="BY299" s="518" t="str">
        <f>IF(AND(_AC5="A-320",'2023'!$K$4="FO",'2023'!$K$2=BY271),'2023DATA'!$F$30,"")</f>
        <v/>
      </c>
      <c r="BZ299" s="518" t="str">
        <f>IF(AND(_AC5="A-320",'2023'!$K$4="FO",'2023'!$K$2=BZ271),'2023DATA'!$G$30,"")</f>
        <v/>
      </c>
      <c r="CA299" s="518" t="str">
        <f>IF(AND(_AC5="A-320",'2023'!$K$4="FO",'2023'!$K$2=CA271),'2023DATA'!$H$30,"")</f>
        <v/>
      </c>
      <c r="CB299" s="518" t="str">
        <f>IF(AND(_AC5="A-320",'2023'!$K$4="FO",'2023'!$K$2=CB271),'2023DATA'!$I$30,"")</f>
        <v/>
      </c>
      <c r="CC299" s="518" t="str">
        <f>IF(AND(_AC5="A-320",'2023'!$K$4="FO",'2023'!$K$2=CC271),'2023DATA'!$J$30,"")</f>
        <v/>
      </c>
      <c r="CD299" s="518" t="str">
        <f>IF(AND(_AC5="A-320",'2023'!$K$4="FO",'2023'!$K$2=CD271),'2023DATA'!$K$30,"")</f>
        <v/>
      </c>
      <c r="CE299" s="518" t="str">
        <f>IF(AND(_AC5="A-320",'2023'!$K$4="FO",'2023'!$K$2=CE271),'2023DATA'!$L$30,"")</f>
        <v/>
      </c>
      <c r="CF299" s="518" t="str">
        <f>IF(AND(_AC5="A-320",'2023'!$K$4="FO",'2023'!$K$2=CF271),'2023DATA'!$M$30,"")</f>
        <v/>
      </c>
      <c r="CG299" s="520" t="str">
        <f>IF(AND(_AC5="A-320",'2023'!$K$4="FO",'2023'!$K$2=CG271),'2023DATA'!$N$30,"")</f>
        <v/>
      </c>
      <c r="CH299" s="940"/>
      <c r="CI299" s="13" t="s">
        <v>62</v>
      </c>
      <c r="CJ299" s="518" t="str">
        <f>IF(AND(_AC6="A-320",'2023'!$K$4="FO",'2023'!$K$2=CJ271),'2023DATA'!$C$30,"")</f>
        <v/>
      </c>
      <c r="CK299" s="518" t="str">
        <f>IF(AND(_AC6="A-320",'2023'!$K$4="FO",'2023'!$K$2=CK271),'2023DATA'!$D$30,"")</f>
        <v/>
      </c>
      <c r="CL299" s="518" t="str">
        <f>IF(AND(_AC6="A-320",'2023'!$K$4="FO",'2023'!$K$2=CL271),'2023DATA'!$E$30,"")</f>
        <v/>
      </c>
      <c r="CM299" s="518" t="str">
        <f>IF(AND(_AC6="A-320",'2023'!$K$4="FO",'2023'!$K$2=CM271),'2023DATA'!$F$30,"")</f>
        <v/>
      </c>
      <c r="CN299" s="518" t="str">
        <f>IF(AND(_AC6="A-320",'2023'!$K$4="FO",'2023'!$K$2=CN271),'2023DATA'!$G$30,"")</f>
        <v/>
      </c>
      <c r="CO299" s="518" t="str">
        <f>IF(AND(_AC6="A-320",'2023'!$K$4="FO",'2023'!$K$2=CO271),'2023DATA'!$H$30,"")</f>
        <v/>
      </c>
      <c r="CP299" s="518" t="str">
        <f>IF(AND(_AC6="A-320",'2023'!$K$4="FO",'2023'!$K$2=CP271),'2023DATA'!$I$30,"")</f>
        <v/>
      </c>
      <c r="CQ299" s="518" t="str">
        <f>IF(AND(_AC6="A-320",'2023'!$K$4="FO",'2023'!$K$2=CQ271),'2023DATA'!$J$30,"")</f>
        <v/>
      </c>
      <c r="CR299" s="518" t="str">
        <f>IF(AND(_AC6="A-320",'2023'!$K$4="FO",'2023'!$K$2=CR271),'2023DATA'!$K$30,"")</f>
        <v/>
      </c>
      <c r="CS299" s="518" t="str">
        <f>IF(AND(_AC6="A-320",'2023'!$K$4="FO",'2023'!$K$2=CS271),'2023DATA'!$L$30,"")</f>
        <v/>
      </c>
      <c r="CT299" s="518" t="str">
        <f>IF(AND(_AC6="A-320",'2023'!$K$4="FO",'2023'!$K$2=CT271),'2023DATA'!$M$30,"")</f>
        <v/>
      </c>
      <c r="CU299" s="520" t="str">
        <f>IF(AND(_AC6="A-320",'2023'!$K$4="FO",'2023'!$K$2=CU271),'2023DATA'!$N$30,"")</f>
        <v/>
      </c>
    </row>
    <row r="300" spans="16:99" x14ac:dyDescent="0.25">
      <c r="P300" s="940" t="s">
        <v>71</v>
      </c>
      <c r="Q300" s="13" t="s">
        <v>61</v>
      </c>
      <c r="R300" s="518" t="str">
        <f>IF(AND(_AC1="A-319",'2023'!$K$4="CA",'2023'!$K$2=R271),'2023DATA'!$C$31,"")</f>
        <v/>
      </c>
      <c r="S300" s="518" t="str">
        <f>IF(AND(_AC1="A-319",'2023'!$K$4="CA",'2023'!$K$2=S271),'2023DATA'!$D$31,"")</f>
        <v/>
      </c>
      <c r="T300" s="518" t="str">
        <f>IF(AND(_AC1="A-319",'2023'!$K$4="CA",'2023'!$K$2=T271),'2023DATA'!$E$31,"")</f>
        <v/>
      </c>
      <c r="U300" s="518" t="str">
        <f>IF(AND(_AC1="A-319",'2023'!$K$4="CA",'2023'!$K$2=U271),'2023DATA'!$F$31,"")</f>
        <v/>
      </c>
      <c r="V300" s="518" t="str">
        <f>IF(AND(_AC1="A-319",'2023'!$K$4="CA",'2023'!$K$2=V271),'2023DATA'!$G$31,"")</f>
        <v/>
      </c>
      <c r="W300" s="518" t="str">
        <f>IF(AND(_AC1="A-319",'2023'!$K$4="CA",'2023'!$K$2=W271),'2023DATA'!$H$31,"")</f>
        <v/>
      </c>
      <c r="X300" s="518" t="str">
        <f>IF(AND(_AC1="A-319",'2023'!$K$4="CA",'2023'!$K$2=X271),'2023DATA'!$I$31,"")</f>
        <v/>
      </c>
      <c r="Y300" s="518" t="str">
        <f>IF(AND(_AC1="A-319",'2023'!$K$4="CA",'2023'!$K$2=Y271),'2023DATA'!$J$31,"")</f>
        <v/>
      </c>
      <c r="Z300" s="518" t="str">
        <f>IF(AND(_AC1="A-319",'2023'!$K$4="CA",'2023'!$K$2=Z271),'2023DATA'!$K$31,"")</f>
        <v/>
      </c>
      <c r="AA300" s="518" t="str">
        <f>IF(AND(_AC1="A-319",'2023'!$K$4="CA",'2023'!$K$2=AA271),'2023DATA'!$L$31,"")</f>
        <v/>
      </c>
      <c r="AB300" s="518" t="str">
        <f>IF(AND(_AC1="A-319",'2023'!$K$4="CA",'2023'!$K$2=AB271),'2023DATA'!$M$31,"")</f>
        <v/>
      </c>
      <c r="AC300" s="520" t="str">
        <f>IF(AND(_AC1="A-319",'2023'!$K$4="CA",'2023'!$K$2=AC271),'2023DATA'!$N$31,"")</f>
        <v/>
      </c>
      <c r="AD300" s="940" t="s">
        <v>71</v>
      </c>
      <c r="AE300" s="13" t="s">
        <v>61</v>
      </c>
      <c r="AF300" s="518" t="str">
        <f>IF(AND(_AC2="A-319",'2023'!$K$4="CA",'2023'!$K$2=AF271),'2023DATA'!$C$31,"")</f>
        <v/>
      </c>
      <c r="AG300" s="518" t="str">
        <f>IF(AND(_AC2="A-319",'2023'!$K$4="CA",'2023'!$K$2=AG271),'2023DATA'!$D$31,"")</f>
        <v/>
      </c>
      <c r="AH300" s="518" t="str">
        <f>IF(AND(_AC2="A-319",'2023'!$K$4="CA",'2023'!$K$2=AH271),'2023DATA'!$E$31,"")</f>
        <v/>
      </c>
      <c r="AI300" s="518" t="str">
        <f>IF(AND(_AC2="A-319",'2023'!$K$4="CA",'2023'!$K$2=AI271),'2023DATA'!$F$31,"")</f>
        <v/>
      </c>
      <c r="AJ300" s="518" t="str">
        <f>IF(AND(_AC2="A-319",'2023'!$K$4="CA",'2023'!$K$2=AJ271),'2023DATA'!$G$31,"")</f>
        <v/>
      </c>
      <c r="AK300" s="518" t="str">
        <f>IF(AND(_AC2="A-319",'2023'!$K$4="CA",'2023'!$K$2=AK271),'2023DATA'!$H$31,"")</f>
        <v/>
      </c>
      <c r="AL300" s="518" t="str">
        <f>IF(AND(_AC2="A-319",'2023'!$K$4="CA",'2023'!$K$2=AL271),'2023DATA'!$I$31,"")</f>
        <v/>
      </c>
      <c r="AM300" s="518" t="str">
        <f>IF(AND(_AC2="A-319",'2023'!$K$4="CA",'2023'!$K$2=AM271),'2023DATA'!$J$31,"")</f>
        <v/>
      </c>
      <c r="AN300" s="518" t="str">
        <f>IF(AND(_AC2="A-319",'2023'!$K$4="CA",'2023'!$K$2=AN271),'2023DATA'!$K$31,"")</f>
        <v/>
      </c>
      <c r="AO300" s="518" t="str">
        <f>IF(AND(_AC2="A-319",'2023'!$K$4="CA",'2023'!$K$2=AO271),'2023DATA'!$L$31,"")</f>
        <v/>
      </c>
      <c r="AP300" s="518" t="str">
        <f>IF(AND(_AC2="A-319",'2023'!$K$4="CA",'2023'!$K$2=AP271),'2023DATA'!$M$31,"")</f>
        <v/>
      </c>
      <c r="AQ300" s="520" t="str">
        <f>IF(AND(_AC2="A-319",'2023'!$K$4="CA",'2023'!$K$2=AQ271),'2023DATA'!$N$31,"")</f>
        <v/>
      </c>
      <c r="AR300" s="940" t="s">
        <v>71</v>
      </c>
      <c r="AS300" s="13" t="s">
        <v>61</v>
      </c>
      <c r="AT300" s="518" t="str">
        <f>IF(AND(_AC3="A-319",'2023'!$K$4="CA",'2023'!$K$2=AT271),'2023DATA'!$C$31,"")</f>
        <v/>
      </c>
      <c r="AU300" s="518" t="str">
        <f>IF(AND(_AC3="A-319",'2023'!$K$4="CA",'2023'!$K$2=AU271),'2023DATA'!$D$31,"")</f>
        <v/>
      </c>
      <c r="AV300" s="518" t="str">
        <f>IF(AND(_AC3="A-319",'2023'!$K$4="CA",'2023'!$K$2=AV271),'2023DATA'!$E$31,"")</f>
        <v/>
      </c>
      <c r="AW300" s="518" t="str">
        <f>IF(AND(_AC3="A-319",'2023'!$K$4="CA",'2023'!$K$2=AW271),'2023DATA'!$F$31,"")</f>
        <v/>
      </c>
      <c r="AX300" s="518" t="str">
        <f>IF(AND(_AC3="A-319",'2023'!$K$4="CA",'2023'!$K$2=AX271),'2023DATA'!$G$31,"")</f>
        <v/>
      </c>
      <c r="AY300" s="518" t="str">
        <f>IF(AND(_AC3="A-319",'2023'!$K$4="CA",'2023'!$K$2=AY271),'2023DATA'!$H$31,"")</f>
        <v/>
      </c>
      <c r="AZ300" s="518" t="str">
        <f>IF(AND(_AC3="A-319",'2023'!$K$4="CA",'2023'!$K$2=AZ271),'2023DATA'!$I$31,"")</f>
        <v/>
      </c>
      <c r="BA300" s="518" t="str">
        <f>IF(AND(_AC3="A-319",'2023'!$K$4="CA",'2023'!$K$2=BA271),'2023DATA'!$J$31,"")</f>
        <v/>
      </c>
      <c r="BB300" s="518" t="str">
        <f>IF(AND(_AC3="A-319",'2023'!$K$4="CA",'2023'!$K$2=BB271),'2023DATA'!$K$31,"")</f>
        <v/>
      </c>
      <c r="BC300" s="518" t="str">
        <f>IF(AND(_AC3="A-319",'2023'!$K$4="CA",'2023'!$K$2=BC271),'2023DATA'!$L$31,"")</f>
        <v/>
      </c>
      <c r="BD300" s="518" t="str">
        <f>IF(AND(_AC3="A-319",'2023'!$K$4="CA",'2023'!$K$2=BD271),'2023DATA'!$M$31,"")</f>
        <v/>
      </c>
      <c r="BE300" s="520" t="str">
        <f>IF(AND(_AC3="A-319",'2023'!$K$4="CA",'2023'!$K$2=BE271),'2023DATA'!$N$31,"")</f>
        <v/>
      </c>
      <c r="BF300" s="940" t="s">
        <v>71</v>
      </c>
      <c r="BG300" s="13" t="s">
        <v>61</v>
      </c>
      <c r="BH300" s="518" t="str">
        <f>IF(AND(_AC4="A-319",'2023'!$K$4="CA",'2023'!$K$2=BH271),'2023DATA'!$C$31,"")</f>
        <v/>
      </c>
      <c r="BI300" s="518" t="str">
        <f>IF(AND(_AC4="A-319",'2023'!$K$4="CA",'2023'!$K$2=BI271),'2023DATA'!$D$31,"")</f>
        <v/>
      </c>
      <c r="BJ300" s="518" t="str">
        <f>IF(AND(_AC4="A-319",'2023'!$K$4="CA",'2023'!$K$2=BJ271),'2023DATA'!$E$31,"")</f>
        <v/>
      </c>
      <c r="BK300" s="518" t="str">
        <f>IF(AND(_AC4="A-319",'2023'!$K$4="CA",'2023'!$K$2=BK271),'2023DATA'!$F$31,"")</f>
        <v/>
      </c>
      <c r="BL300" s="518" t="str">
        <f>IF(AND(_AC4="A-319",'2023'!$K$4="CA",'2023'!$K$2=BL271),'2023DATA'!$G$31,"")</f>
        <v/>
      </c>
      <c r="BM300" s="518" t="str">
        <f>IF(AND(_AC4="A-319",'2023'!$K$4="CA",'2023'!$K$2=BM271),'2023DATA'!$H$31,"")</f>
        <v/>
      </c>
      <c r="BN300" s="518" t="str">
        <f>IF(AND(_AC4="A-319",'2023'!$K$4="CA",'2023'!$K$2=BN271),'2023DATA'!$I$31,"")</f>
        <v/>
      </c>
      <c r="BO300" s="518" t="str">
        <f>IF(AND(_AC4="A-319",'2023'!$K$4="CA",'2023'!$K$2=BO271),'2023DATA'!$J$31,"")</f>
        <v/>
      </c>
      <c r="BP300" s="518" t="str">
        <f>IF(AND(_AC4="A-319",'2023'!$K$4="CA",'2023'!$K$2=BP271),'2023DATA'!$K$31,"")</f>
        <v/>
      </c>
      <c r="BQ300" s="518" t="str">
        <f>IF(AND(_AC4="A-319",'2023'!$K$4="CA",'2023'!$K$2=BQ271),'2023DATA'!$L$31,"")</f>
        <v/>
      </c>
      <c r="BR300" s="518" t="str">
        <f>IF(AND(_AC4="A-319",'2023'!$K$4="CA",'2023'!$K$2=BR271),'2023DATA'!$M$31,"")</f>
        <v/>
      </c>
      <c r="BS300" s="520" t="str">
        <f>IF(AND(_AC4="A-319",'2023'!$K$4="CA",'2023'!$K$2=BS271),'2023DATA'!$N$31,"")</f>
        <v/>
      </c>
      <c r="BT300" s="940" t="s">
        <v>71</v>
      </c>
      <c r="BU300" s="13" t="s">
        <v>61</v>
      </c>
      <c r="BV300" s="518" t="str">
        <f>IF(AND(_AC5="A-319",'2023'!$K$4="CA",'2023'!$K$2=BV271),'2023DATA'!$C$31,"")</f>
        <v/>
      </c>
      <c r="BW300" s="518" t="str">
        <f>IF(AND(_AC5="A-319",'2023'!$K$4="CA",'2023'!$K$2=BW271),'2023DATA'!$D$31,"")</f>
        <v/>
      </c>
      <c r="BX300" s="518" t="str">
        <f>IF(AND(_AC5="A-319",'2023'!$K$4="CA",'2023'!$K$2=BX271),'2023DATA'!$E$31,"")</f>
        <v/>
      </c>
      <c r="BY300" s="518" t="str">
        <f>IF(AND(_AC5="A-319",'2023'!$K$4="CA",'2023'!$K$2=BY271),'2023DATA'!$F$31,"")</f>
        <v/>
      </c>
      <c r="BZ300" s="518" t="str">
        <f>IF(AND(_AC5="A-319",'2023'!$K$4="CA",'2023'!$K$2=BZ271),'2023DATA'!$G$31,"")</f>
        <v/>
      </c>
      <c r="CA300" s="518" t="str">
        <f>IF(AND(_AC5="A-319",'2023'!$K$4="CA",'2023'!$K$2=CA271),'2023DATA'!$H$31,"")</f>
        <v/>
      </c>
      <c r="CB300" s="518" t="str">
        <f>IF(AND(_AC5="A-319",'2023'!$K$4="CA",'2023'!$K$2=CB271),'2023DATA'!$I$31,"")</f>
        <v/>
      </c>
      <c r="CC300" s="518" t="str">
        <f>IF(AND(_AC5="A-319",'2023'!$K$4="CA",'2023'!$K$2=CC271),'2023DATA'!$J$31,"")</f>
        <v/>
      </c>
      <c r="CD300" s="518" t="str">
        <f>IF(AND(_AC5="A-319",'2023'!$K$4="CA",'2023'!$K$2=CD271),'2023DATA'!$K$31,"")</f>
        <v/>
      </c>
      <c r="CE300" s="518" t="str">
        <f>IF(AND(_AC5="A-319",'2023'!$K$4="CA",'2023'!$K$2=CE271),'2023DATA'!$L$31,"")</f>
        <v/>
      </c>
      <c r="CF300" s="518" t="str">
        <f>IF(AND(_AC5="A-319",'2023'!$K$4="CA",'2023'!$K$2=CF271),'2023DATA'!$M$31,"")</f>
        <v/>
      </c>
      <c r="CG300" s="520" t="str">
        <f>IF(AND(_AC5="A-319",'2023'!$K$4="CA",'2023'!$K$2=CG271),'2023DATA'!$N$31,"")</f>
        <v/>
      </c>
      <c r="CH300" s="940" t="s">
        <v>71</v>
      </c>
      <c r="CI300" s="13" t="s">
        <v>61</v>
      </c>
      <c r="CJ300" s="518" t="str">
        <f>IF(AND(_AC6="A-319",'2023'!$K$4="CA",'2023'!$K$2=CJ271),'2023DATA'!$C$31,"")</f>
        <v/>
      </c>
      <c r="CK300" s="518" t="str">
        <f>IF(AND(_AC6="A-319",'2023'!$K$4="CA",'2023'!$K$2=CK271),'2023DATA'!$D$31,"")</f>
        <v/>
      </c>
      <c r="CL300" s="518" t="str">
        <f>IF(AND(_AC6="A-319",'2023'!$K$4="CA",'2023'!$K$2=CL271),'2023DATA'!$E$31,"")</f>
        <v/>
      </c>
      <c r="CM300" s="518" t="str">
        <f>IF(AND(_AC6="A-319",'2023'!$K$4="CA",'2023'!$K$2=CM271),'2023DATA'!$F$31,"")</f>
        <v/>
      </c>
      <c r="CN300" s="518" t="str">
        <f>IF(AND(_AC6="A-319",'2023'!$K$4="CA",'2023'!$K$2=CN271),'2023DATA'!$G$31,"")</f>
        <v/>
      </c>
      <c r="CO300" s="518" t="str">
        <f>IF(AND(_AC6="A-319",'2023'!$K$4="CA",'2023'!$K$2=CO271),'2023DATA'!$H$31,"")</f>
        <v/>
      </c>
      <c r="CP300" s="518" t="str">
        <f>IF(AND(_AC6="A-319",'2023'!$K$4="CA",'2023'!$K$2=CP271),'2023DATA'!$I$31,"")</f>
        <v/>
      </c>
      <c r="CQ300" s="518" t="str">
        <f>IF(AND(_AC6="A-319",'2023'!$K$4="CA",'2023'!$K$2=CQ271),'2023DATA'!$J$31,"")</f>
        <v/>
      </c>
      <c r="CR300" s="518" t="str">
        <f>IF(AND(_AC6="A-319",'2023'!$K$4="CA",'2023'!$K$2=CR271),'2023DATA'!$K$31,"")</f>
        <v/>
      </c>
      <c r="CS300" s="518" t="str">
        <f>IF(AND(_AC6="A-319",'2023'!$K$4="CA",'2023'!$K$2=CS271),'2023DATA'!$L$31,"")</f>
        <v/>
      </c>
      <c r="CT300" s="518" t="str">
        <f>IF(AND(_AC6="A-319",'2023'!$K$4="CA",'2023'!$K$2=CT271),'2023DATA'!$M$31,"")</f>
        <v/>
      </c>
      <c r="CU300" s="520" t="str">
        <f>IF(AND(_AC6="A-319",'2023'!$K$4="CA",'2023'!$K$2=CU271),'2023DATA'!$N$31,"")</f>
        <v/>
      </c>
    </row>
    <row r="301" spans="16:99" x14ac:dyDescent="0.25">
      <c r="P301" s="940"/>
      <c r="Q301" s="13" t="s">
        <v>62</v>
      </c>
      <c r="R301" s="518" t="str">
        <f>IF(AND(_AC1="A-319",'2023'!$K$4="FO",'2023'!$K$2=R271),'2023DATA'!$C$32,"")</f>
        <v/>
      </c>
      <c r="S301" s="518" t="str">
        <f>IF(AND(_AC1="A-319",'2023'!$K$4="FO",'2023'!$K$2=S271),'2023DATA'!$D$32,"")</f>
        <v/>
      </c>
      <c r="T301" s="518" t="str">
        <f>IF(AND(_AC1="A-319",'2023'!$K$4="FO",'2023'!$K$2=T271),'2023DATA'!$E$32,"")</f>
        <v/>
      </c>
      <c r="U301" s="518" t="str">
        <f>IF(AND(_AC1="A-319",'2023'!$K$4="FO",'2023'!$K$2=U271),'2023DATA'!$F$32,"")</f>
        <v/>
      </c>
      <c r="V301" s="518" t="str">
        <f>IF(AND(_AC1="A-319",'2023'!$K$4="FO",'2023'!$K$2=V271),'2023DATA'!$G$32,"")</f>
        <v/>
      </c>
      <c r="W301" s="518" t="str">
        <f>IF(AND(_AC1="A-319",'2023'!$K$4="FO",'2023'!$K$2=W271),'2023DATA'!$H$32,"")</f>
        <v/>
      </c>
      <c r="X301" s="518" t="str">
        <f>IF(AND(_AC1="A-319",'2023'!$K$4="FO",'2023'!$K$2=X271),'2023DATA'!$I$32,"")</f>
        <v/>
      </c>
      <c r="Y301" s="518" t="str">
        <f>IF(AND(_AC1="A-319",'2023'!$K$4="FO",'2023'!$K$2=Y271),'2023DATA'!$J$32,"")</f>
        <v/>
      </c>
      <c r="Z301" s="518" t="str">
        <f>IF(AND(_AC1="A-319",'2023'!$K$4="FO",'2023'!$K$2=Z271),'2023DATA'!$K$32,"")</f>
        <v/>
      </c>
      <c r="AA301" s="518" t="str">
        <f>IF(AND(_AC1="A-319",'2023'!$K$4="FO",'2023'!$K$2=AA271),'2023DATA'!$L$32,"")</f>
        <v/>
      </c>
      <c r="AB301" s="518" t="str">
        <f>IF(AND(_AC1="A-319",'2023'!$K$4="FO",'2023'!$K$2=AB271),'2023DATA'!$M$32,"")</f>
        <v/>
      </c>
      <c r="AC301" s="520" t="str">
        <f>IF(AND(_AC1="A-319",'2023'!$K$4="FO",'2023'!$K$2=AC271),'2023DATA'!$N$32,"")</f>
        <v/>
      </c>
      <c r="AD301" s="940"/>
      <c r="AE301" s="13" t="s">
        <v>62</v>
      </c>
      <c r="AF301" s="518" t="str">
        <f>IF(AND(_AC2="A-319",'2023'!$K$4="FO",'2023'!$K$2=AF271),'2023DATA'!$C$32,"")</f>
        <v/>
      </c>
      <c r="AG301" s="518" t="str">
        <f>IF(AND(_AC2="A-319",'2023'!$K$4="FO",'2023'!$K$2=AG271),'2023DATA'!$D$32,"")</f>
        <v/>
      </c>
      <c r="AH301" s="518" t="str">
        <f>IF(AND(_AC2="A-319",'2023'!$K$4="FO",'2023'!$K$2=AH271),'2023DATA'!$E$32,"")</f>
        <v/>
      </c>
      <c r="AI301" s="518" t="str">
        <f>IF(AND(_AC2="A-319",'2023'!$K$4="FO",'2023'!$K$2=AI271),'2023DATA'!$F$32,"")</f>
        <v/>
      </c>
      <c r="AJ301" s="518" t="str">
        <f>IF(AND(_AC2="A-319",'2023'!$K$4="FO",'2023'!$K$2=AJ271),'2023DATA'!$G$32,"")</f>
        <v/>
      </c>
      <c r="AK301" s="518" t="str">
        <f>IF(AND(_AC2="A-319",'2023'!$K$4="FO",'2023'!$K$2=AK271),'2023DATA'!$H$32,"")</f>
        <v/>
      </c>
      <c r="AL301" s="518" t="str">
        <f>IF(AND(_AC2="A-319",'2023'!$K$4="FO",'2023'!$K$2=AL271),'2023DATA'!$I$32,"")</f>
        <v/>
      </c>
      <c r="AM301" s="518" t="str">
        <f>IF(AND(_AC2="A-319",'2023'!$K$4="FO",'2023'!$K$2=AM271),'2023DATA'!$J$32,"")</f>
        <v/>
      </c>
      <c r="AN301" s="518" t="str">
        <f>IF(AND(_AC2="A-319",'2023'!$K$4="FO",'2023'!$K$2=AN271),'2023DATA'!$K$32,"")</f>
        <v/>
      </c>
      <c r="AO301" s="518" t="str">
        <f>IF(AND(_AC2="A-319",'2023'!$K$4="FO",'2023'!$K$2=AO271),'2023DATA'!$L$32,"")</f>
        <v/>
      </c>
      <c r="AP301" s="518" t="str">
        <f>IF(AND(_AC2="A-319",'2023'!$K$4="FO",'2023'!$K$2=AP271),'2023DATA'!$M$32,"")</f>
        <v/>
      </c>
      <c r="AQ301" s="520" t="str">
        <f>IF(AND(_AC2="A-319",'2023'!$K$4="FO",'2023'!$K$2=AQ271),'2023DATA'!$N$32,"")</f>
        <v/>
      </c>
      <c r="AR301" s="940"/>
      <c r="AS301" s="13" t="s">
        <v>62</v>
      </c>
      <c r="AT301" s="518" t="str">
        <f>IF(AND(_AC3="A-319",'2023'!$K$4="FO",'2023'!$K$2=AT271),'2023DATA'!$C$32,"")</f>
        <v/>
      </c>
      <c r="AU301" s="518" t="str">
        <f>IF(AND(_AC3="A-319",'2023'!$K$4="FO",'2023'!$K$2=AU271),'2023DATA'!$D$32,"")</f>
        <v/>
      </c>
      <c r="AV301" s="518" t="str">
        <f>IF(AND(_AC3="A-319",'2023'!$K$4="FO",'2023'!$K$2=AV271),'2023DATA'!$E$32,"")</f>
        <v/>
      </c>
      <c r="AW301" s="518" t="str">
        <f>IF(AND(_AC3="A-319",'2023'!$K$4="FO",'2023'!$K$2=AW271),'2023DATA'!$F$32,"")</f>
        <v/>
      </c>
      <c r="AX301" s="518" t="str">
        <f>IF(AND(_AC3="A-319",'2023'!$K$4="FO",'2023'!$K$2=AX271),'2023DATA'!$G$32,"")</f>
        <v/>
      </c>
      <c r="AY301" s="518" t="str">
        <f>IF(AND(_AC3="A-319",'2023'!$K$4="FO",'2023'!$K$2=AY271),'2023DATA'!$H$32,"")</f>
        <v/>
      </c>
      <c r="AZ301" s="518" t="str">
        <f>IF(AND(_AC3="A-319",'2023'!$K$4="FO",'2023'!$K$2=AZ271),'2023DATA'!$I$32,"")</f>
        <v/>
      </c>
      <c r="BA301" s="518" t="str">
        <f>IF(AND(_AC3="A-319",'2023'!$K$4="FO",'2023'!$K$2=BA271),'2023DATA'!$J$32,"")</f>
        <v/>
      </c>
      <c r="BB301" s="518" t="str">
        <f>IF(AND(_AC3="A-319",'2023'!$K$4="FO",'2023'!$K$2=BB271),'2023DATA'!$K$32,"")</f>
        <v/>
      </c>
      <c r="BC301" s="518" t="str">
        <f>IF(AND(_AC3="A-319",'2023'!$K$4="FO",'2023'!$K$2=BC271),'2023DATA'!$L$32,"")</f>
        <v/>
      </c>
      <c r="BD301" s="518" t="str">
        <f>IF(AND(_AC3="A-319",'2023'!$K$4="FO",'2023'!$K$2=BD271),'2023DATA'!$M$32,"")</f>
        <v/>
      </c>
      <c r="BE301" s="520" t="str">
        <f>IF(AND(_AC3="A-319",'2023'!$K$4="FO",'2023'!$K$2=BE271),'2023DATA'!$N$32,"")</f>
        <v/>
      </c>
      <c r="BF301" s="940"/>
      <c r="BG301" s="13" t="s">
        <v>62</v>
      </c>
      <c r="BH301" s="518" t="str">
        <f>IF(AND(_AC4="A-319",'2023'!$K$4="FO",'2023'!$K$2=BH271),'2023DATA'!$C$32,"")</f>
        <v/>
      </c>
      <c r="BI301" s="518" t="str">
        <f>IF(AND(_AC4="A-319",'2023'!$K$4="FO",'2023'!$K$2=BI271),'2023DATA'!$D$32,"")</f>
        <v/>
      </c>
      <c r="BJ301" s="518" t="str">
        <f>IF(AND(_AC4="A-319",'2023'!$K$4="FO",'2023'!$K$2=BJ271),'2023DATA'!$E$32,"")</f>
        <v/>
      </c>
      <c r="BK301" s="518" t="str">
        <f>IF(AND(_AC4="A-319",'2023'!$K$4="FO",'2023'!$K$2=BK271),'2023DATA'!$F$32,"")</f>
        <v/>
      </c>
      <c r="BL301" s="518" t="str">
        <f>IF(AND(_AC4="A-319",'2023'!$K$4="FO",'2023'!$K$2=BL271),'2023DATA'!$G$32,"")</f>
        <v/>
      </c>
      <c r="BM301" s="518" t="str">
        <f>IF(AND(_AC4="A-319",'2023'!$K$4="FO",'2023'!$K$2=BM271),'2023DATA'!$H$32,"")</f>
        <v/>
      </c>
      <c r="BN301" s="518" t="str">
        <f>IF(AND(_AC4="A-319",'2023'!$K$4="FO",'2023'!$K$2=BN271),'2023DATA'!$I$32,"")</f>
        <v/>
      </c>
      <c r="BO301" s="518" t="str">
        <f>IF(AND(_AC4="A-319",'2023'!$K$4="FO",'2023'!$K$2=BO271),'2023DATA'!$J$32,"")</f>
        <v/>
      </c>
      <c r="BP301" s="518" t="str">
        <f>IF(AND(_AC4="A-319",'2023'!$K$4="FO",'2023'!$K$2=BP271),'2023DATA'!$K$32,"")</f>
        <v/>
      </c>
      <c r="BQ301" s="518" t="str">
        <f>IF(AND(_AC4="A-319",'2023'!$K$4="FO",'2023'!$K$2=BQ271),'2023DATA'!$L$32,"")</f>
        <v/>
      </c>
      <c r="BR301" s="518" t="str">
        <f>IF(AND(_AC4="A-319",'2023'!$K$4="FO",'2023'!$K$2=BR271),'2023DATA'!$M$32,"")</f>
        <v/>
      </c>
      <c r="BS301" s="520" t="str">
        <f>IF(AND(_AC4="A-319",'2023'!$K$4="FO",'2023'!$K$2=BS271),'2023DATA'!$N$32,"")</f>
        <v/>
      </c>
      <c r="BT301" s="940"/>
      <c r="BU301" s="13" t="s">
        <v>62</v>
      </c>
      <c r="BV301" s="518" t="str">
        <f>IF(AND(_AC5="A-319",'2023'!$K$4="FO",'2023'!$K$2=BV271),'2023DATA'!$C$32,"")</f>
        <v/>
      </c>
      <c r="BW301" s="518" t="str">
        <f>IF(AND(_AC5="A-319",'2023'!$K$4="FO",'2023'!$K$2=BW271),'2023DATA'!$D$32,"")</f>
        <v/>
      </c>
      <c r="BX301" s="518" t="str">
        <f>IF(AND(_AC5="A-319",'2023'!$K$4="FO",'2023'!$K$2=BX271),'2023DATA'!$E$32,"")</f>
        <v/>
      </c>
      <c r="BY301" s="518" t="str">
        <f>IF(AND(_AC5="A-319",'2023'!$K$4="FO",'2023'!$K$2=BY271),'2023DATA'!$F$32,"")</f>
        <v/>
      </c>
      <c r="BZ301" s="518" t="str">
        <f>IF(AND(_AC5="A-319",'2023'!$K$4="FO",'2023'!$K$2=BZ271),'2023DATA'!$G$32,"")</f>
        <v/>
      </c>
      <c r="CA301" s="518" t="str">
        <f>IF(AND(_AC5="A-319",'2023'!$K$4="FO",'2023'!$K$2=CA271),'2023DATA'!$H$32,"")</f>
        <v/>
      </c>
      <c r="CB301" s="518" t="str">
        <f>IF(AND(_AC5="A-319",'2023'!$K$4="FO",'2023'!$K$2=CB271),'2023DATA'!$I$32,"")</f>
        <v/>
      </c>
      <c r="CC301" s="518" t="str">
        <f>IF(AND(_AC5="A-319",'2023'!$K$4="FO",'2023'!$K$2=CC271),'2023DATA'!$J$32,"")</f>
        <v/>
      </c>
      <c r="CD301" s="518" t="str">
        <f>IF(AND(_AC5="A-319",'2023'!$K$4="FO",'2023'!$K$2=CD271),'2023DATA'!$K$32,"")</f>
        <v/>
      </c>
      <c r="CE301" s="518" t="str">
        <f>IF(AND(_AC5="A-319",'2023'!$K$4="FO",'2023'!$K$2=CE271),'2023DATA'!$L$32,"")</f>
        <v/>
      </c>
      <c r="CF301" s="518" t="str">
        <f>IF(AND(_AC5="A-319",'2023'!$K$4="FO",'2023'!$K$2=CF271),'2023DATA'!$M$32,"")</f>
        <v/>
      </c>
      <c r="CG301" s="520" t="str">
        <f>IF(AND(_AC5="A-319",'2023'!$K$4="FO",'2023'!$K$2=CG271),'2023DATA'!$N$32,"")</f>
        <v/>
      </c>
      <c r="CH301" s="940"/>
      <c r="CI301" s="13" t="s">
        <v>62</v>
      </c>
      <c r="CJ301" s="518" t="str">
        <f>IF(AND(_AC6="A-319",'2023'!$K$4="FO",'2023'!$K$2=CJ271),'2023DATA'!$C$32,"")</f>
        <v/>
      </c>
      <c r="CK301" s="518" t="str">
        <f>IF(AND(_AC6="A-319",'2023'!$K$4="FO",'2023'!$K$2=CK271),'2023DATA'!$D$32,"")</f>
        <v/>
      </c>
      <c r="CL301" s="518" t="str">
        <f>IF(AND(_AC6="A-319",'2023'!$K$4="FO",'2023'!$K$2=CL271),'2023DATA'!$E$32,"")</f>
        <v/>
      </c>
      <c r="CM301" s="518" t="str">
        <f>IF(AND(_AC6="A-319",'2023'!$K$4="FO",'2023'!$K$2=CM271),'2023DATA'!$F$32,"")</f>
        <v/>
      </c>
      <c r="CN301" s="518" t="str">
        <f>IF(AND(_AC6="A-319",'2023'!$K$4="FO",'2023'!$K$2=CN271),'2023DATA'!$G$32,"")</f>
        <v/>
      </c>
      <c r="CO301" s="518" t="str">
        <f>IF(AND(_AC6="A-319",'2023'!$K$4="FO",'2023'!$K$2=CO271),'2023DATA'!$H$32,"")</f>
        <v/>
      </c>
      <c r="CP301" s="518" t="str">
        <f>IF(AND(_AC6="A-319",'2023'!$K$4="FO",'2023'!$K$2=CP271),'2023DATA'!$I$32,"")</f>
        <v/>
      </c>
      <c r="CQ301" s="518" t="str">
        <f>IF(AND(_AC6="A-319",'2023'!$K$4="FO",'2023'!$K$2=CQ271),'2023DATA'!$J$32,"")</f>
        <v/>
      </c>
      <c r="CR301" s="518" t="str">
        <f>IF(AND(_AC6="A-319",'2023'!$K$4="FO",'2023'!$K$2=CR271),'2023DATA'!$K$32,"")</f>
        <v/>
      </c>
      <c r="CS301" s="518" t="str">
        <f>IF(AND(_AC6="A-319",'2023'!$K$4="FO",'2023'!$K$2=CS271),'2023DATA'!$L$32,"")</f>
        <v/>
      </c>
      <c r="CT301" s="518" t="str">
        <f>IF(AND(_AC6="A-319",'2023'!$K$4="FO",'2023'!$K$2=CT271),'2023DATA'!$M$32,"")</f>
        <v/>
      </c>
      <c r="CU301" s="520" t="str">
        <f>IF(AND(_AC6="A-319",'2023'!$K$4="FO",'2023'!$K$2=CU271),'2023DATA'!$N$32,"")</f>
        <v/>
      </c>
    </row>
    <row r="302" spans="16:99" x14ac:dyDescent="0.25">
      <c r="P302" s="940" t="s">
        <v>51</v>
      </c>
      <c r="Q302" s="13" t="s">
        <v>61</v>
      </c>
      <c r="R302" s="518" t="str">
        <f>IF(AND(_AC1="A-220-300",'2023'!$K$4="CA",'2023'!$K$2=R271),'2023DATA'!$C$33,"")</f>
        <v/>
      </c>
      <c r="S302" s="518" t="str">
        <f>IF(AND(_AC1="A-220-300",'2023'!$K$4="CA",'2023'!$K$2=S271),'2023DATA'!$D$33,"")</f>
        <v/>
      </c>
      <c r="T302" s="518" t="str">
        <f>IF(AND(_AC1="A-220-300",'2023'!$K$4="CA",'2023'!$K$2=T271),'2023DATA'!$E$33,"")</f>
        <v/>
      </c>
      <c r="U302" s="518" t="str">
        <f>IF(AND(_AC1="A-220-300",'2023'!$K$4="CA",'2023'!$K$2=U271),'2023DATA'!$F$33,"")</f>
        <v/>
      </c>
      <c r="V302" s="518" t="str">
        <f>IF(AND(_AC1="A-220-300",'2023'!$K$4="CA",'2023'!$K$2=V271),'2023DATA'!$G$33,"")</f>
        <v/>
      </c>
      <c r="W302" s="518" t="str">
        <f>IF(AND(_AC1="A-220-300",'2023'!$K$4="CA",'2023'!$K$2=W271),'2023DATA'!$H$33,"")</f>
        <v/>
      </c>
      <c r="X302" s="518" t="str">
        <f>IF(AND(_AC1="A-220-300",'2023'!$K$4="CA",'2023'!$K$2=X271),'2023DATA'!$I$33,"")</f>
        <v/>
      </c>
      <c r="Y302" s="518" t="str">
        <f>IF(AND(_AC1="A-220-300",'2023'!$K$4="CA",'2023'!$K$2=Y271),'2023DATA'!$J$33,"")</f>
        <v/>
      </c>
      <c r="Z302" s="518" t="str">
        <f>IF(AND(_AC1="A-220-300",'2023'!$K$4="CA",'2023'!$K$2=Z271),'2023DATA'!$K$33,"")</f>
        <v/>
      </c>
      <c r="AA302" s="518" t="str">
        <f>IF(AND(_AC1="A-220-300",'2023'!$K$4="CA",'2023'!$K$2=AA271),'2023DATA'!$L$33,"")</f>
        <v/>
      </c>
      <c r="AB302" s="518" t="str">
        <f>IF(AND(_AC1="A-220-300",'2023'!$K$4="CA",'2023'!$K$2=AB271),'2023DATA'!$M$33,"")</f>
        <v/>
      </c>
      <c r="AC302" s="520" t="str">
        <f>IF(AND(_AC1="A-220-300",'2023'!$K$4="CA",'2023'!$K$2=AC271),'2023DATA'!$N$33,"")</f>
        <v/>
      </c>
      <c r="AD302" s="940" t="s">
        <v>51</v>
      </c>
      <c r="AE302" s="13" t="s">
        <v>61</v>
      </c>
      <c r="AF302" s="518" t="str">
        <f>IF(AND(_AC2="A-220-300",'2023'!$K$4="CA",'2023'!$K$2=AF271),'2023DATA'!$C$33,"")</f>
        <v/>
      </c>
      <c r="AG302" s="518" t="str">
        <f>IF(AND(_AC2="A-220-300",'2023'!$K$4="CA",'2023'!$K$2=AG271),'2023DATA'!$D$33,"")</f>
        <v/>
      </c>
      <c r="AH302" s="518" t="str">
        <f>IF(AND(_AC2="A-220-300",'2023'!$K$4="CA",'2023'!$K$2=AH271),'2023DATA'!$E$33,"")</f>
        <v/>
      </c>
      <c r="AI302" s="518" t="str">
        <f>IF(AND(_AC2="A-220-300",'2023'!$K$4="CA",'2023'!$K$2=AI271),'2023DATA'!$F$33,"")</f>
        <v/>
      </c>
      <c r="AJ302" s="518" t="str">
        <f>IF(AND(_AC2="A-220-300",'2023'!$K$4="CA",'2023'!$K$2=AJ271),'2023DATA'!$G$33,"")</f>
        <v/>
      </c>
      <c r="AK302" s="518" t="str">
        <f>IF(AND(_AC2="A-220-300",'2023'!$K$4="CA",'2023'!$K$2=AK271),'2023DATA'!$H$33,"")</f>
        <v/>
      </c>
      <c r="AL302" s="518" t="str">
        <f>IF(AND(_AC2="A-220-300",'2023'!$K$4="CA",'2023'!$K$2=AL271),'2023DATA'!$I$33,"")</f>
        <v/>
      </c>
      <c r="AM302" s="518" t="str">
        <f>IF(AND(_AC2="A-220-300",'2023'!$K$4="CA",'2023'!$K$2=AM271),'2023DATA'!$J$33,"")</f>
        <v/>
      </c>
      <c r="AN302" s="518" t="str">
        <f>IF(AND(_AC2="A-220-300",'2023'!$K$4="CA",'2023'!$K$2=AN271),'2023DATA'!$K$33,"")</f>
        <v/>
      </c>
      <c r="AO302" s="518" t="str">
        <f>IF(AND(_AC2="A-220-300",'2023'!$K$4="CA",'2023'!$K$2=AO271),'2023DATA'!$L$33,"")</f>
        <v/>
      </c>
      <c r="AP302" s="518" t="str">
        <f>IF(AND(_AC2="A-220-300",'2023'!$K$4="CA",'2023'!$K$2=AP271),'2023DATA'!$M$33,"")</f>
        <v/>
      </c>
      <c r="AQ302" s="520" t="str">
        <f>IF(AND(_AC2="A-220-300",'2023'!$K$4="CA",'2023'!$K$2=AQ271),'2023DATA'!$N$33,"")</f>
        <v/>
      </c>
      <c r="AR302" s="940" t="s">
        <v>51</v>
      </c>
      <c r="AS302" s="13" t="s">
        <v>61</v>
      </c>
      <c r="AT302" s="518" t="str">
        <f>IF(AND(_AC3="A-220-300",'2023'!$K$4="CA",'2023'!$K$2=AT271),'2023DATA'!$C$33,"")</f>
        <v/>
      </c>
      <c r="AU302" s="518" t="str">
        <f>IF(AND(_AC3="A-220-300",'2023'!$K$4="CA",'2023'!$K$2=AU271),'2023DATA'!$D$33,"")</f>
        <v/>
      </c>
      <c r="AV302" s="518" t="str">
        <f>IF(AND(_AC3="A-220-300",'2023'!$K$4="CA",'2023'!$K$2=AV271),'2023DATA'!$E$33,"")</f>
        <v/>
      </c>
      <c r="AW302" s="518" t="str">
        <f>IF(AND(_AC3="A-220-300",'2023'!$K$4="CA",'2023'!$K$2=AW271),'2023DATA'!$F$33,"")</f>
        <v/>
      </c>
      <c r="AX302" s="518" t="str">
        <f>IF(AND(_AC3="A-220-300",'2023'!$K$4="CA",'2023'!$K$2=AX271),'2023DATA'!$G$33,"")</f>
        <v/>
      </c>
      <c r="AY302" s="518" t="str">
        <f>IF(AND(_AC3="A-220-300",'2023'!$K$4="CA",'2023'!$K$2=AY271),'2023DATA'!$H$33,"")</f>
        <v/>
      </c>
      <c r="AZ302" s="518" t="str">
        <f>IF(AND(_AC3="A-220-300",'2023'!$K$4="CA",'2023'!$K$2=AZ271),'2023DATA'!$I$33,"")</f>
        <v/>
      </c>
      <c r="BA302" s="518" t="str">
        <f>IF(AND(_AC3="A-220-300",'2023'!$K$4="CA",'2023'!$K$2=BA271),'2023DATA'!$J$33,"")</f>
        <v/>
      </c>
      <c r="BB302" s="518" t="str">
        <f>IF(AND(_AC3="A-220-300",'2023'!$K$4="CA",'2023'!$K$2=BB271),'2023DATA'!$K$33,"")</f>
        <v/>
      </c>
      <c r="BC302" s="518" t="str">
        <f>IF(AND(_AC3="A-220-300",'2023'!$K$4="CA",'2023'!$K$2=BC271),'2023DATA'!$L$33,"")</f>
        <v/>
      </c>
      <c r="BD302" s="518" t="str">
        <f>IF(AND(_AC3="A-220-300",'2023'!$K$4="CA",'2023'!$K$2=BD271),'2023DATA'!$M$33,"")</f>
        <v/>
      </c>
      <c r="BE302" s="520" t="str">
        <f>IF(AND(_AC3="A-220-300",'2023'!$K$4="CA",'2023'!$K$2=BE271),'2023DATA'!$N$33,"")</f>
        <v/>
      </c>
      <c r="BF302" s="940" t="s">
        <v>51</v>
      </c>
      <c r="BG302" s="13" t="s">
        <v>61</v>
      </c>
      <c r="BH302" s="518" t="str">
        <f>IF(AND(_AC4="A-220-300",'2023'!$K$4="CA",'2023'!$K$2=BH271),'2023DATA'!$C$33,"")</f>
        <v/>
      </c>
      <c r="BI302" s="518" t="str">
        <f>IF(AND(_AC4="A-220-300",'2023'!$K$4="CA",'2023'!$K$2=BI271),'2023DATA'!$D$33,"")</f>
        <v/>
      </c>
      <c r="BJ302" s="518" t="str">
        <f>IF(AND(_AC4="A-220-300",'2023'!$K$4="CA",'2023'!$K$2=BJ271),'2023DATA'!$E$33,"")</f>
        <v/>
      </c>
      <c r="BK302" s="518" t="str">
        <f>IF(AND(_AC4="A-220-300",'2023'!$K$4="CA",'2023'!$K$2=BK271),'2023DATA'!$F$33,"")</f>
        <v/>
      </c>
      <c r="BL302" s="518" t="str">
        <f>IF(AND(_AC4="A-220-300",'2023'!$K$4="CA",'2023'!$K$2=BL271),'2023DATA'!$G$33,"")</f>
        <v/>
      </c>
      <c r="BM302" s="518" t="str">
        <f>IF(AND(_AC4="A-220-300",'2023'!$K$4="CA",'2023'!$K$2=BM271),'2023DATA'!$H$33,"")</f>
        <v/>
      </c>
      <c r="BN302" s="518" t="str">
        <f>IF(AND(_AC4="A-220-300",'2023'!$K$4="CA",'2023'!$K$2=BN271),'2023DATA'!$I$33,"")</f>
        <v/>
      </c>
      <c r="BO302" s="518" t="str">
        <f>IF(AND(_AC4="A-220-300",'2023'!$K$4="CA",'2023'!$K$2=BO271),'2023DATA'!$J$33,"")</f>
        <v/>
      </c>
      <c r="BP302" s="518" t="str">
        <f>IF(AND(_AC4="A-220-300",'2023'!$K$4="CA",'2023'!$K$2=BP271),'2023DATA'!$K$33,"")</f>
        <v/>
      </c>
      <c r="BQ302" s="518" t="str">
        <f>IF(AND(_AC4="A-220-300",'2023'!$K$4="CA",'2023'!$K$2=BQ271),'2023DATA'!$L$33,"")</f>
        <v/>
      </c>
      <c r="BR302" s="518" t="str">
        <f>IF(AND(_AC4="A-220-300",'2023'!$K$4="CA",'2023'!$K$2=BR271),'2023DATA'!$M$33,"")</f>
        <v/>
      </c>
      <c r="BS302" s="520" t="str">
        <f>IF(AND(_AC4="A-220-300",'2023'!$K$4="CA",'2023'!$K$2=BS271),'2023DATA'!$N$33,"")</f>
        <v/>
      </c>
      <c r="BT302" s="940" t="s">
        <v>51</v>
      </c>
      <c r="BU302" s="13" t="s">
        <v>61</v>
      </c>
      <c r="BV302" s="518" t="str">
        <f>IF(AND(_AC5="A-220-300",'2023'!$K$4="CA",'2023'!$K$2=BV271),'2023DATA'!$C$33,"")</f>
        <v/>
      </c>
      <c r="BW302" s="518" t="str">
        <f>IF(AND(_AC5="A-220-300",'2023'!$K$4="CA",'2023'!$K$2=BW271),'2023DATA'!$D$33,"")</f>
        <v/>
      </c>
      <c r="BX302" s="518" t="str">
        <f>IF(AND(_AC5="A-220-300",'2023'!$K$4="CA",'2023'!$K$2=BX271),'2023DATA'!$E$33,"")</f>
        <v/>
      </c>
      <c r="BY302" s="518" t="str">
        <f>IF(AND(_AC5="A-220-300",'2023'!$K$4="CA",'2023'!$K$2=BY271),'2023DATA'!$F$33,"")</f>
        <v/>
      </c>
      <c r="BZ302" s="518" t="str">
        <f>IF(AND(_AC5="A-220-300",'2023'!$K$4="CA",'2023'!$K$2=BZ271),'2023DATA'!$G$33,"")</f>
        <v/>
      </c>
      <c r="CA302" s="518" t="str">
        <f>IF(AND(_AC5="A-220-300",'2023'!$K$4="CA",'2023'!$K$2=CA271),'2023DATA'!$H$33,"")</f>
        <v/>
      </c>
      <c r="CB302" s="518" t="str">
        <f>IF(AND(_AC5="A-220-300",'2023'!$K$4="CA",'2023'!$K$2=CB271),'2023DATA'!$I$33,"")</f>
        <v/>
      </c>
      <c r="CC302" s="518" t="str">
        <f>IF(AND(_AC5="A-220-300",'2023'!$K$4="CA",'2023'!$K$2=CC271),'2023DATA'!$J$33,"")</f>
        <v/>
      </c>
      <c r="CD302" s="518" t="str">
        <f>IF(AND(_AC5="A-220-300",'2023'!$K$4="CA",'2023'!$K$2=CD271),'2023DATA'!$K$33,"")</f>
        <v/>
      </c>
      <c r="CE302" s="518" t="str">
        <f>IF(AND(_AC5="A-220-300",'2023'!$K$4="CA",'2023'!$K$2=CE271),'2023DATA'!$L$33,"")</f>
        <v/>
      </c>
      <c r="CF302" s="518" t="str">
        <f>IF(AND(_AC5="A-220-300",'2023'!$K$4="CA",'2023'!$K$2=CF271),'2023DATA'!$M$33,"")</f>
        <v/>
      </c>
      <c r="CG302" s="520" t="str">
        <f>IF(AND(_AC5="A-220-300",'2023'!$K$4="CA",'2023'!$K$2=CG271),'2023DATA'!$N$33,"")</f>
        <v/>
      </c>
      <c r="CH302" s="940" t="s">
        <v>51</v>
      </c>
      <c r="CI302" s="13" t="s">
        <v>61</v>
      </c>
      <c r="CJ302" s="518" t="str">
        <f>IF(AND(_AC6="A-220-300",'2023'!$K$4="CA",'2023'!$K$2=CJ271),'2023DATA'!$C$33,"")</f>
        <v/>
      </c>
      <c r="CK302" s="518" t="str">
        <f>IF(AND(_AC6="A-220-300",'2023'!$K$4="CA",'2023'!$K$2=CK271),'2023DATA'!$D$33,"")</f>
        <v/>
      </c>
      <c r="CL302" s="518" t="str">
        <f>IF(AND(_AC6="A-220-300",'2023'!$K$4="CA",'2023'!$K$2=CL271),'2023DATA'!$E$33,"")</f>
        <v/>
      </c>
      <c r="CM302" s="518" t="str">
        <f>IF(AND(_AC6="A-220-300",'2023'!$K$4="CA",'2023'!$K$2=CM271),'2023DATA'!$F$33,"")</f>
        <v/>
      </c>
      <c r="CN302" s="518" t="str">
        <f>IF(AND(_AC6="A-220-300",'2023'!$K$4="CA",'2023'!$K$2=CN271),'2023DATA'!$G$33,"")</f>
        <v/>
      </c>
      <c r="CO302" s="518" t="str">
        <f>IF(AND(_AC6="A-220-300",'2023'!$K$4="CA",'2023'!$K$2=CO271),'2023DATA'!$H$33,"")</f>
        <v/>
      </c>
      <c r="CP302" s="518" t="str">
        <f>IF(AND(_AC6="A-220-300",'2023'!$K$4="CA",'2023'!$K$2=CP271),'2023DATA'!$I$33,"")</f>
        <v/>
      </c>
      <c r="CQ302" s="518" t="str">
        <f>IF(AND(_AC6="A-220-300",'2023'!$K$4="CA",'2023'!$K$2=CQ271),'2023DATA'!$J$33,"")</f>
        <v/>
      </c>
      <c r="CR302" s="518" t="str">
        <f>IF(AND(_AC6="A-220-300",'2023'!$K$4="CA",'2023'!$K$2=CR271),'2023DATA'!$K$33,"")</f>
        <v/>
      </c>
      <c r="CS302" s="518" t="str">
        <f>IF(AND(_AC6="A-220-300",'2023'!$K$4="CA",'2023'!$K$2=CS271),'2023DATA'!$L$33,"")</f>
        <v/>
      </c>
      <c r="CT302" s="518" t="str">
        <f>IF(AND(_AC6="A-220-300",'2023'!$K$4="CA",'2023'!$K$2=CT271),'2023DATA'!$M$33,"")</f>
        <v/>
      </c>
      <c r="CU302" s="520" t="str">
        <f>IF(AND(_AC6="A-220-300",'2023'!$K$4="CA",'2023'!$K$2=CU271),'2023DATA'!$N$33,"")</f>
        <v/>
      </c>
    </row>
    <row r="303" spans="16:99" x14ac:dyDescent="0.25">
      <c r="P303" s="940"/>
      <c r="Q303" s="13" t="s">
        <v>62</v>
      </c>
      <c r="R303" s="518" t="str">
        <f>IF(AND(_AC1="A-220-300",'2023'!$K$4="FO",'2023'!$K$2=R271),'2023DATA'!$C$34,"")</f>
        <v/>
      </c>
      <c r="S303" s="518" t="str">
        <f>IF(AND(_AC1="A-220-300",'2023'!$K$4="FO",'2023'!$K$2=S271),'2023DATA'!$D$34,"")</f>
        <v/>
      </c>
      <c r="T303" s="518" t="str">
        <f>IF(AND(_AC1="A-220-300",'2023'!$K$4="FO",'2023'!$K$2=T271),'2023DATA'!$E$34,"")</f>
        <v/>
      </c>
      <c r="U303" s="518" t="str">
        <f>IF(AND(_AC1="A-220-300",'2023'!$K$4="FO",'2023'!$K$2=U271),'2023DATA'!$F$34,"")</f>
        <v/>
      </c>
      <c r="V303" s="518" t="str">
        <f>IF(AND(_AC1="A-220-300",'2023'!$K$4="FO",'2023'!$K$2=V271),'2023DATA'!$G$34,"")</f>
        <v/>
      </c>
      <c r="W303" s="518" t="str">
        <f>IF(AND(_AC1="A-220-300",'2023'!$K$4="FO",'2023'!$K$2=W271),'2023DATA'!$H$34,"")</f>
        <v/>
      </c>
      <c r="X303" s="518" t="str">
        <f>IF(AND(_AC1="A-220-300",'2023'!$K$4="FO",'2023'!$K$2=X271),'2023DATA'!$I$34,"")</f>
        <v/>
      </c>
      <c r="Y303" s="518" t="str">
        <f>IF(AND(_AC1="A-220-300",'2023'!$K$4="FO",'2023'!$K$2=Y271),'2023DATA'!$J$34,"")</f>
        <v/>
      </c>
      <c r="Z303" s="518" t="str">
        <f>IF(AND(_AC1="A-220-300",'2023'!$K$4="FO",'2023'!$K$2=Z271),'2023DATA'!$K$34,"")</f>
        <v/>
      </c>
      <c r="AA303" s="518" t="str">
        <f>IF(AND(_AC1="A-220-300",'2023'!$K$4="FO",'2023'!$K$2=AA271),'2023DATA'!$L$34,"")</f>
        <v/>
      </c>
      <c r="AB303" s="518" t="str">
        <f>IF(AND(_AC1="A-220-300",'2023'!$K$4="FO",'2023'!$K$2=AB271),'2023DATA'!$M$34,"")</f>
        <v/>
      </c>
      <c r="AC303" s="520" t="str">
        <f>IF(AND(_AC1="A-220-300",'2023'!$K$4="FO",'2023'!$K$2=AC271),'2023DATA'!$N$34,"")</f>
        <v/>
      </c>
      <c r="AD303" s="940"/>
      <c r="AE303" s="13" t="s">
        <v>62</v>
      </c>
      <c r="AF303" s="518" t="str">
        <f>IF(AND(_AC2="A-220-300",'2023'!$K$4="FO",'2023'!$K$2=AF271),'2023DATA'!$C$34,"")</f>
        <v/>
      </c>
      <c r="AG303" s="518" t="str">
        <f>IF(AND(_AC2="A-220-300",'2023'!$K$4="FO",'2023'!$K$2=AG271),'2023DATA'!$D$34,"")</f>
        <v/>
      </c>
      <c r="AH303" s="518" t="str">
        <f>IF(AND(_AC2="A-220-300",'2023'!$K$4="FO",'2023'!$K$2=AH271),'2023DATA'!$E$34,"")</f>
        <v/>
      </c>
      <c r="AI303" s="518" t="str">
        <f>IF(AND(_AC2="A-220-300",'2023'!$K$4="FO",'2023'!$K$2=AI271),'2023DATA'!$F$34,"")</f>
        <v/>
      </c>
      <c r="AJ303" s="518" t="str">
        <f>IF(AND(_AC2="A-220-300",'2023'!$K$4="FO",'2023'!$K$2=AJ271),'2023DATA'!$G$34,"")</f>
        <v/>
      </c>
      <c r="AK303" s="518" t="str">
        <f>IF(AND(_AC2="A-220-300",'2023'!$K$4="FO",'2023'!$K$2=AK271),'2023DATA'!$H$34,"")</f>
        <v/>
      </c>
      <c r="AL303" s="518" t="str">
        <f>IF(AND(_AC2="A-220-300",'2023'!$K$4="FO",'2023'!$K$2=AL271),'2023DATA'!$I$34,"")</f>
        <v/>
      </c>
      <c r="AM303" s="518" t="str">
        <f>IF(AND(_AC2="A-220-300",'2023'!$K$4="FO",'2023'!$K$2=AM271),'2023DATA'!$J$34,"")</f>
        <v/>
      </c>
      <c r="AN303" s="518" t="str">
        <f>IF(AND(_AC2="A-220-300",'2023'!$K$4="FO",'2023'!$K$2=AN271),'2023DATA'!$K$34,"")</f>
        <v/>
      </c>
      <c r="AO303" s="518" t="str">
        <f>IF(AND(_AC2="A-220-300",'2023'!$K$4="FO",'2023'!$K$2=AO271),'2023DATA'!$L$34,"")</f>
        <v/>
      </c>
      <c r="AP303" s="518" t="str">
        <f>IF(AND(_AC2="A-220-300",'2023'!$K$4="FO",'2023'!$K$2=AP271),'2023DATA'!$M$34,"")</f>
        <v/>
      </c>
      <c r="AQ303" s="520" t="str">
        <f>IF(AND(_AC2="A-220-300",'2023'!$K$4="FO",'2023'!$K$2=AQ271),'2023DATA'!$N$34,"")</f>
        <v/>
      </c>
      <c r="AR303" s="940"/>
      <c r="AS303" s="13" t="s">
        <v>62</v>
      </c>
      <c r="AT303" s="518" t="str">
        <f>IF(AND(_AC3="A-220-300",'2023'!$K$4="FO",'2023'!$K$2=AT271),'2023DATA'!$C$34,"")</f>
        <v/>
      </c>
      <c r="AU303" s="518" t="str">
        <f>IF(AND(_AC3="A-220-300",'2023'!$K$4="FO",'2023'!$K$2=AU271),'2023DATA'!$D$34,"")</f>
        <v/>
      </c>
      <c r="AV303" s="518" t="str">
        <f>IF(AND(_AC3="A-220-300",'2023'!$K$4="FO",'2023'!$K$2=AV271),'2023DATA'!$E$34,"")</f>
        <v/>
      </c>
      <c r="AW303" s="518" t="str">
        <f>IF(AND(_AC3="A-220-300",'2023'!$K$4="FO",'2023'!$K$2=AW271),'2023DATA'!$F$34,"")</f>
        <v/>
      </c>
      <c r="AX303" s="518" t="str">
        <f>IF(AND(_AC3="A-220-300",'2023'!$K$4="FO",'2023'!$K$2=AX271),'2023DATA'!$G$34,"")</f>
        <v/>
      </c>
      <c r="AY303" s="518" t="str">
        <f>IF(AND(_AC3="A-220-300",'2023'!$K$4="FO",'2023'!$K$2=AY271),'2023DATA'!$H$34,"")</f>
        <v/>
      </c>
      <c r="AZ303" s="518" t="str">
        <f>IF(AND(_AC3="A-220-300",'2023'!$K$4="FO",'2023'!$K$2=AZ271),'2023DATA'!$I$34,"")</f>
        <v/>
      </c>
      <c r="BA303" s="518" t="str">
        <f>IF(AND(_AC3="A-220-300",'2023'!$K$4="FO",'2023'!$K$2=BA271),'2023DATA'!$J$34,"")</f>
        <v/>
      </c>
      <c r="BB303" s="518" t="str">
        <f>IF(AND(_AC3="A-220-300",'2023'!$K$4="FO",'2023'!$K$2=BB271),'2023DATA'!$K$34,"")</f>
        <v/>
      </c>
      <c r="BC303" s="518" t="str">
        <f>IF(AND(_AC3="A-220-300",'2023'!$K$4="FO",'2023'!$K$2=BC271),'2023DATA'!$L$34,"")</f>
        <v/>
      </c>
      <c r="BD303" s="518" t="str">
        <f>IF(AND(_AC3="A-220-300",'2023'!$K$4="FO",'2023'!$K$2=BD271),'2023DATA'!$M$34,"")</f>
        <v/>
      </c>
      <c r="BE303" s="520" t="str">
        <f>IF(AND(_AC3="A-220-300",'2023'!$K$4="FO",'2023'!$K$2=BE271),'2023DATA'!$N$34,"")</f>
        <v/>
      </c>
      <c r="BF303" s="940"/>
      <c r="BG303" s="13" t="s">
        <v>62</v>
      </c>
      <c r="BH303" s="518" t="str">
        <f>IF(AND(_AC4="A-220-300",'2023'!$K$4="FO",'2023'!$K$2=BH271),'2023DATA'!$C$34,"")</f>
        <v/>
      </c>
      <c r="BI303" s="518" t="str">
        <f>IF(AND(_AC4="A-220-300",'2023'!$K$4="FO",'2023'!$K$2=BI271),'2023DATA'!$D$34,"")</f>
        <v/>
      </c>
      <c r="BJ303" s="518" t="str">
        <f>IF(AND(_AC4="A-220-300",'2023'!$K$4="FO",'2023'!$K$2=BJ271),'2023DATA'!$E$34,"")</f>
        <v/>
      </c>
      <c r="BK303" s="518" t="str">
        <f>IF(AND(_AC4="A-220-300",'2023'!$K$4="FO",'2023'!$K$2=BK271),'2023DATA'!$F$34,"")</f>
        <v/>
      </c>
      <c r="BL303" s="518" t="str">
        <f>IF(AND(_AC4="A-220-300",'2023'!$K$4="FO",'2023'!$K$2=BL271),'2023DATA'!$G$34,"")</f>
        <v/>
      </c>
      <c r="BM303" s="518" t="str">
        <f>IF(AND(_AC4="A-220-300",'2023'!$K$4="FO",'2023'!$K$2=BM271),'2023DATA'!$H$34,"")</f>
        <v/>
      </c>
      <c r="BN303" s="518" t="str">
        <f>IF(AND(_AC4="A-220-300",'2023'!$K$4="FO",'2023'!$K$2=BN271),'2023DATA'!$I$34,"")</f>
        <v/>
      </c>
      <c r="BO303" s="518" t="str">
        <f>IF(AND(_AC4="A-220-300",'2023'!$K$4="FO",'2023'!$K$2=BO271),'2023DATA'!$J$34,"")</f>
        <v/>
      </c>
      <c r="BP303" s="518" t="str">
        <f>IF(AND(_AC4="A-220-300",'2023'!$K$4="FO",'2023'!$K$2=BP271),'2023DATA'!$K$34,"")</f>
        <v/>
      </c>
      <c r="BQ303" s="518" t="str">
        <f>IF(AND(_AC4="A-220-300",'2023'!$K$4="FO",'2023'!$K$2=BQ271),'2023DATA'!$L$34,"")</f>
        <v/>
      </c>
      <c r="BR303" s="518" t="str">
        <f>IF(AND(_AC4="A-220-300",'2023'!$K$4="FO",'2023'!$K$2=BR271),'2023DATA'!$M$34,"")</f>
        <v/>
      </c>
      <c r="BS303" s="520" t="str">
        <f>IF(AND(_AC4="A-220-300",'2023'!$K$4="FO",'2023'!$K$2=BS271),'2023DATA'!$N$34,"")</f>
        <v/>
      </c>
      <c r="BT303" s="940"/>
      <c r="BU303" s="13" t="s">
        <v>62</v>
      </c>
      <c r="BV303" s="518" t="str">
        <f>IF(AND(_AC5="A-220-300",'2023'!$K$4="FO",'2023'!$K$2=BV271),'2023DATA'!$C$34,"")</f>
        <v/>
      </c>
      <c r="BW303" s="518" t="str">
        <f>IF(AND(_AC5="A-220-300",'2023'!$K$4="FO",'2023'!$K$2=BW271),'2023DATA'!$D$34,"")</f>
        <v/>
      </c>
      <c r="BX303" s="518" t="str">
        <f>IF(AND(_AC5="A-220-300",'2023'!$K$4="FO",'2023'!$K$2=BX271),'2023DATA'!$E$34,"")</f>
        <v/>
      </c>
      <c r="BY303" s="518" t="str">
        <f>IF(AND(_AC5="A-220-300",'2023'!$K$4="FO",'2023'!$K$2=BY271),'2023DATA'!$F$34,"")</f>
        <v/>
      </c>
      <c r="BZ303" s="518" t="str">
        <f>IF(AND(_AC5="A-220-300",'2023'!$K$4="FO",'2023'!$K$2=BZ271),'2023DATA'!$G$34,"")</f>
        <v/>
      </c>
      <c r="CA303" s="518" t="str">
        <f>IF(AND(_AC5="A-220-300",'2023'!$K$4="FO",'2023'!$K$2=CA271),'2023DATA'!$H$34,"")</f>
        <v/>
      </c>
      <c r="CB303" s="518" t="str">
        <f>IF(AND(_AC5="A-220-300",'2023'!$K$4="FO",'2023'!$K$2=CB271),'2023DATA'!$I$34,"")</f>
        <v/>
      </c>
      <c r="CC303" s="518" t="str">
        <f>IF(AND(_AC5="A-220-300",'2023'!$K$4="FO",'2023'!$K$2=CC271),'2023DATA'!$J$34,"")</f>
        <v/>
      </c>
      <c r="CD303" s="518" t="str">
        <f>IF(AND(_AC5="A-220-300",'2023'!$K$4="FO",'2023'!$K$2=CD271),'2023DATA'!$K$34,"")</f>
        <v/>
      </c>
      <c r="CE303" s="518" t="str">
        <f>IF(AND(_AC5="A-220-300",'2023'!$K$4="FO",'2023'!$K$2=CE271),'2023DATA'!$L$34,"")</f>
        <v/>
      </c>
      <c r="CF303" s="518" t="str">
        <f>IF(AND(_AC5="A-220-300",'2023'!$K$4="FO",'2023'!$K$2=CF271),'2023DATA'!$M$34,"")</f>
        <v/>
      </c>
      <c r="CG303" s="520" t="str">
        <f>IF(AND(_AC5="A-220-300",'2023'!$K$4="FO",'2023'!$K$2=CG271),'2023DATA'!$N$34,"")</f>
        <v/>
      </c>
      <c r="CH303" s="940"/>
      <c r="CI303" s="13" t="s">
        <v>62</v>
      </c>
      <c r="CJ303" s="518" t="str">
        <f>IF(AND(_AC6="A-220-300",'2023'!$K$4="FO",'2023'!$K$2=CJ271),'2023DATA'!$C$34,"")</f>
        <v/>
      </c>
      <c r="CK303" s="518" t="str">
        <f>IF(AND(_AC6="A-220-300",'2023'!$K$4="FO",'2023'!$K$2=CK271),'2023DATA'!$D$34,"")</f>
        <v/>
      </c>
      <c r="CL303" s="518" t="str">
        <f>IF(AND(_AC6="A-220-300",'2023'!$K$4="FO",'2023'!$K$2=CL271),'2023DATA'!$E$34,"")</f>
        <v/>
      </c>
      <c r="CM303" s="518" t="str">
        <f>IF(AND(_AC6="A-220-300",'2023'!$K$4="FO",'2023'!$K$2=CM271),'2023DATA'!$F$34,"")</f>
        <v/>
      </c>
      <c r="CN303" s="518" t="str">
        <f>IF(AND(_AC6="A-220-300",'2023'!$K$4="FO",'2023'!$K$2=CN271),'2023DATA'!$G$34,"")</f>
        <v/>
      </c>
      <c r="CO303" s="518" t="str">
        <f>IF(AND(_AC6="A-220-300",'2023'!$K$4="FO",'2023'!$K$2=CO271),'2023DATA'!$H$34,"")</f>
        <v/>
      </c>
      <c r="CP303" s="518" t="str">
        <f>IF(AND(_AC6="A-220-300",'2023'!$K$4="FO",'2023'!$K$2=CP271),'2023DATA'!$I$34,"")</f>
        <v/>
      </c>
      <c r="CQ303" s="518" t="str">
        <f>IF(AND(_AC6="A-220-300",'2023'!$K$4="FO",'2023'!$K$2=CQ271),'2023DATA'!$J$34,"")</f>
        <v/>
      </c>
      <c r="CR303" s="518" t="str">
        <f>IF(AND(_AC6="A-220-300",'2023'!$K$4="FO",'2023'!$K$2=CR271),'2023DATA'!$K$34,"")</f>
        <v/>
      </c>
      <c r="CS303" s="518" t="str">
        <f>IF(AND(_AC6="A-220-300",'2023'!$K$4="FO",'2023'!$K$2=CS271),'2023DATA'!$L$34,"")</f>
        <v/>
      </c>
      <c r="CT303" s="518" t="str">
        <f>IF(AND(_AC6="A-220-300",'2023'!$K$4="FO",'2023'!$K$2=CT271),'2023DATA'!$M$34,"")</f>
        <v/>
      </c>
      <c r="CU303" s="520" t="str">
        <f>IF(AND(_AC6="A-220-300",'2023'!$K$4="FO",'2023'!$K$2=CU271),'2023DATA'!$N$34,"")</f>
        <v/>
      </c>
    </row>
    <row r="304" spans="16:99" x14ac:dyDescent="0.25">
      <c r="P304" s="940" t="s">
        <v>52</v>
      </c>
      <c r="Q304" s="13" t="s">
        <v>61</v>
      </c>
      <c r="R304" s="518" t="str">
        <f>IF(AND(_AC1="A-220-100",'2023'!$K$4="CA",'2023'!$K$2=R271),'2023DATA'!$C$35,"")</f>
        <v/>
      </c>
      <c r="S304" s="518" t="str">
        <f>IF(AND(_AC1="A-220-100",'2023'!$K$4="CA",'2023'!$K$2=S271),'2023DATA'!$D$35,"")</f>
        <v/>
      </c>
      <c r="T304" s="518" t="str">
        <f>IF(AND(_AC1="A-220-100",'2023'!$K$4="CA",'2023'!$K$2=T271),'2023DATA'!$E$35,"")</f>
        <v/>
      </c>
      <c r="U304" s="518" t="str">
        <f>IF(AND(_AC1="A-220-100",'2023'!$K$4="CA",'2023'!$K$2=U271),'2023DATA'!$F$35,"")</f>
        <v/>
      </c>
      <c r="V304" s="518" t="str">
        <f>IF(AND(_AC1="A-220-100",'2023'!$K$4="CA",'2023'!$K$2=V271),'2023DATA'!$G$35,"")</f>
        <v/>
      </c>
      <c r="W304" s="518" t="str">
        <f>IF(AND(_AC1="A-220-100",'2023'!$K$4="CA",'2023'!$K$2=W271),'2023DATA'!$H$35,"")</f>
        <v/>
      </c>
      <c r="X304" s="518" t="str">
        <f>IF(AND(_AC1="A-220-100",'2023'!$K$4="CA",'2023'!$K$2=X271),'2023DATA'!$I$35,"")</f>
        <v/>
      </c>
      <c r="Y304" s="518" t="str">
        <f>IF(AND(_AC1="A-220-100",'2023'!$K$4="CA",'2023'!$K$2=Y271),'2023DATA'!$J$35,"")</f>
        <v/>
      </c>
      <c r="Z304" s="518" t="str">
        <f>IF(AND(_AC1="A-220-100",'2023'!$K$4="CA",'2023'!$K$2=Z271),'2023DATA'!$K$35,"")</f>
        <v/>
      </c>
      <c r="AA304" s="518" t="str">
        <f>IF(AND(_AC1="A-220-100",'2023'!$K$4="CA",'2023'!$K$2=AA271),'2023DATA'!$L$35,"")</f>
        <v/>
      </c>
      <c r="AB304" s="518" t="str">
        <f>IF(AND(_AC1="A-220-100",'2023'!$K$4="CA",'2023'!$K$2=AB271),'2023DATA'!$M$35,"")</f>
        <v/>
      </c>
      <c r="AC304" s="520" t="str">
        <f>IF(AND(_AC1="A-220-100",'2023'!$K$4="CA",'2023'!$K$2=AC271),'2023DATA'!$N$35,"")</f>
        <v/>
      </c>
      <c r="AD304" s="940" t="s">
        <v>52</v>
      </c>
      <c r="AE304" s="13" t="s">
        <v>61</v>
      </c>
      <c r="AF304" s="518" t="str">
        <f>IF(AND(_AC2="A-220-100",'2023'!$K$4="CA",'2023'!$K$2=AF271),'2023DATA'!$C$35,"")</f>
        <v/>
      </c>
      <c r="AG304" s="518" t="str">
        <f>IF(AND(_AC2="A-220-100",'2023'!$K$4="CA",'2023'!$K$2=AG271),'2023DATA'!$D$35,"")</f>
        <v/>
      </c>
      <c r="AH304" s="518" t="str">
        <f>IF(AND(_AC2="A-220-100",'2023'!$K$4="CA",'2023'!$K$2=AH271),'2023DATA'!$E$35,"")</f>
        <v/>
      </c>
      <c r="AI304" s="518" t="str">
        <f>IF(AND(_AC2="A-220-100",'2023'!$K$4="CA",'2023'!$K$2=AI271),'2023DATA'!$F$35,"")</f>
        <v/>
      </c>
      <c r="AJ304" s="518" t="str">
        <f>IF(AND(_AC2="A-220-100",'2023'!$K$4="CA",'2023'!$K$2=AJ271),'2023DATA'!$G$35,"")</f>
        <v/>
      </c>
      <c r="AK304" s="518" t="str">
        <f>IF(AND(_AC2="A-220-100",'2023'!$K$4="CA",'2023'!$K$2=AK271),'2023DATA'!$H$35,"")</f>
        <v/>
      </c>
      <c r="AL304" s="518" t="str">
        <f>IF(AND(_AC2="A-220-100",'2023'!$K$4="CA",'2023'!$K$2=AL271),'2023DATA'!$I$35,"")</f>
        <v/>
      </c>
      <c r="AM304" s="518" t="str">
        <f>IF(AND(_AC2="A-220-100",'2023'!$K$4="CA",'2023'!$K$2=AM271),'2023DATA'!$J$35,"")</f>
        <v/>
      </c>
      <c r="AN304" s="518" t="str">
        <f>IF(AND(_AC2="A-220-100",'2023'!$K$4="CA",'2023'!$K$2=AN271),'2023DATA'!$K$35,"")</f>
        <v/>
      </c>
      <c r="AO304" s="518" t="str">
        <f>IF(AND(_AC2="A-220-100",'2023'!$K$4="CA",'2023'!$K$2=AO271),'2023DATA'!$L$35,"")</f>
        <v/>
      </c>
      <c r="AP304" s="518" t="str">
        <f>IF(AND(_AC2="A-220-100",'2023'!$K$4="CA",'2023'!$K$2=AP271),'2023DATA'!$M$35,"")</f>
        <v/>
      </c>
      <c r="AQ304" s="520" t="str">
        <f>IF(AND(_AC2="A-220-100",'2023'!$K$4="CA",'2023'!$K$2=AQ271),'2023DATA'!$N$35,"")</f>
        <v/>
      </c>
      <c r="AR304" s="940" t="s">
        <v>52</v>
      </c>
      <c r="AS304" s="13" t="s">
        <v>61</v>
      </c>
      <c r="AT304" s="518" t="str">
        <f>IF(AND(_AC3="A-220-100",'2023'!$K$4="CA",'2023'!$K$2=AT271),'2023DATA'!$C$35,"")</f>
        <v/>
      </c>
      <c r="AU304" s="518" t="str">
        <f>IF(AND(_AC3="A-220-100",'2023'!$K$4="CA",'2023'!$K$2=AU271),'2023DATA'!$D$35,"")</f>
        <v/>
      </c>
      <c r="AV304" s="518" t="str">
        <f>IF(AND(_AC3="A-220-100",'2023'!$K$4="CA",'2023'!$K$2=AV271),'2023DATA'!$E$35,"")</f>
        <v/>
      </c>
      <c r="AW304" s="518" t="str">
        <f>IF(AND(_AC3="A-220-100",'2023'!$K$4="CA",'2023'!$K$2=AW271),'2023DATA'!$F$35,"")</f>
        <v/>
      </c>
      <c r="AX304" s="518" t="str">
        <f>IF(AND(_AC3="A-220-100",'2023'!$K$4="CA",'2023'!$K$2=AX271),'2023DATA'!$G$35,"")</f>
        <v/>
      </c>
      <c r="AY304" s="518" t="str">
        <f>IF(AND(_AC3="A-220-100",'2023'!$K$4="CA",'2023'!$K$2=AY271),'2023DATA'!$H$35,"")</f>
        <v/>
      </c>
      <c r="AZ304" s="518" t="str">
        <f>IF(AND(_AC3="A-220-100",'2023'!$K$4="CA",'2023'!$K$2=AZ271),'2023DATA'!$I$35,"")</f>
        <v/>
      </c>
      <c r="BA304" s="518" t="str">
        <f>IF(AND(_AC3="A-220-100",'2023'!$K$4="CA",'2023'!$K$2=BA271),'2023DATA'!$J$35,"")</f>
        <v/>
      </c>
      <c r="BB304" s="518" t="str">
        <f>IF(AND(_AC3="A-220-100",'2023'!$K$4="CA",'2023'!$K$2=BB271),'2023DATA'!$K$35,"")</f>
        <v/>
      </c>
      <c r="BC304" s="518" t="str">
        <f>IF(AND(_AC3="A-220-100",'2023'!$K$4="CA",'2023'!$K$2=BC271),'2023DATA'!$L$35,"")</f>
        <v/>
      </c>
      <c r="BD304" s="518" t="str">
        <f>IF(AND(_AC3="A-220-100",'2023'!$K$4="CA",'2023'!$K$2=BD271),'2023DATA'!$M$35,"")</f>
        <v/>
      </c>
      <c r="BE304" s="520" t="str">
        <f>IF(AND(_AC3="A-220-100",'2023'!$K$4="CA",'2023'!$K$2=BE271),'2023DATA'!$N$35,"")</f>
        <v/>
      </c>
      <c r="BF304" s="940" t="s">
        <v>52</v>
      </c>
      <c r="BG304" s="13" t="s">
        <v>61</v>
      </c>
      <c r="BH304" s="518" t="str">
        <f>IF(AND(_AC4="A-220-100",'2023'!$K$4="CA",'2023'!$K$2=BH271),'2023DATA'!$C$35,"")</f>
        <v/>
      </c>
      <c r="BI304" s="518" t="str">
        <f>IF(AND(_AC4="A-220-100",'2023'!$K$4="CA",'2023'!$K$2=BI271),'2023DATA'!$D$35,"")</f>
        <v/>
      </c>
      <c r="BJ304" s="518" t="str">
        <f>IF(AND(_AC4="A-220-100",'2023'!$K$4="CA",'2023'!$K$2=BJ271),'2023DATA'!$E$35,"")</f>
        <v/>
      </c>
      <c r="BK304" s="518" t="str">
        <f>IF(AND(_AC4="A-220-100",'2023'!$K$4="CA",'2023'!$K$2=BK271),'2023DATA'!$F$35,"")</f>
        <v/>
      </c>
      <c r="BL304" s="518" t="str">
        <f>IF(AND(_AC4="A-220-100",'2023'!$K$4="CA",'2023'!$K$2=BL271),'2023DATA'!$G$35,"")</f>
        <v/>
      </c>
      <c r="BM304" s="518" t="str">
        <f>IF(AND(_AC4="A-220-100",'2023'!$K$4="CA",'2023'!$K$2=BM271),'2023DATA'!$H$35,"")</f>
        <v/>
      </c>
      <c r="BN304" s="518" t="str">
        <f>IF(AND(_AC4="A-220-100",'2023'!$K$4="CA",'2023'!$K$2=BN271),'2023DATA'!$I$35,"")</f>
        <v/>
      </c>
      <c r="BO304" s="518" t="str">
        <f>IF(AND(_AC4="A-220-100",'2023'!$K$4="CA",'2023'!$K$2=BO271),'2023DATA'!$J$35,"")</f>
        <v/>
      </c>
      <c r="BP304" s="518" t="str">
        <f>IF(AND(_AC4="A-220-100",'2023'!$K$4="CA",'2023'!$K$2=BP271),'2023DATA'!$K$35,"")</f>
        <v/>
      </c>
      <c r="BQ304" s="518" t="str">
        <f>IF(AND(_AC4="A-220-100",'2023'!$K$4="CA",'2023'!$K$2=BQ271),'2023DATA'!$L$35,"")</f>
        <v/>
      </c>
      <c r="BR304" s="518" t="str">
        <f>IF(AND(_AC4="A-220-100",'2023'!$K$4="CA",'2023'!$K$2=BR271),'2023DATA'!$M$35,"")</f>
        <v/>
      </c>
      <c r="BS304" s="520" t="str">
        <f>IF(AND(_AC4="A-220-100",'2023'!$K$4="CA",'2023'!$K$2=BS271),'2023DATA'!$N$35,"")</f>
        <v/>
      </c>
      <c r="BT304" s="940" t="s">
        <v>52</v>
      </c>
      <c r="BU304" s="13" t="s">
        <v>61</v>
      </c>
      <c r="BV304" s="518" t="str">
        <f>IF(AND(_AC5="A-220-100",'2023'!$K$4="CA",'2023'!$K$2=BV271),'2023DATA'!$C$35,"")</f>
        <v/>
      </c>
      <c r="BW304" s="518" t="str">
        <f>IF(AND(_AC5="A-220-100",'2023'!$K$4="CA",'2023'!$K$2=BW271),'2023DATA'!$D$35,"")</f>
        <v/>
      </c>
      <c r="BX304" s="518" t="str">
        <f>IF(AND(_AC5="A-220-100",'2023'!$K$4="CA",'2023'!$K$2=BX271),'2023DATA'!$E$35,"")</f>
        <v/>
      </c>
      <c r="BY304" s="518" t="str">
        <f>IF(AND(_AC5="A-220-100",'2023'!$K$4="CA",'2023'!$K$2=BY271),'2023DATA'!$F$35,"")</f>
        <v/>
      </c>
      <c r="BZ304" s="518" t="str">
        <f>IF(AND(_AC5="A-220-100",'2023'!$K$4="CA",'2023'!$K$2=BZ271),'2023DATA'!$G$35,"")</f>
        <v/>
      </c>
      <c r="CA304" s="518" t="str">
        <f>IF(AND(_AC5="A-220-100",'2023'!$K$4="CA",'2023'!$K$2=CA271),'2023DATA'!$H$35,"")</f>
        <v/>
      </c>
      <c r="CB304" s="518" t="str">
        <f>IF(AND(_AC5="A-220-100",'2023'!$K$4="CA",'2023'!$K$2=CB271),'2023DATA'!$I$35,"")</f>
        <v/>
      </c>
      <c r="CC304" s="518" t="str">
        <f>IF(AND(_AC5="A-220-100",'2023'!$K$4="CA",'2023'!$K$2=CC271),'2023DATA'!$J$35,"")</f>
        <v/>
      </c>
      <c r="CD304" s="518" t="str">
        <f>IF(AND(_AC5="A-220-100",'2023'!$K$4="CA",'2023'!$K$2=CD271),'2023DATA'!$K$35,"")</f>
        <v/>
      </c>
      <c r="CE304" s="518" t="str">
        <f>IF(AND(_AC5="A-220-100",'2023'!$K$4="CA",'2023'!$K$2=CE271),'2023DATA'!$L$35,"")</f>
        <v/>
      </c>
      <c r="CF304" s="518" t="str">
        <f>IF(AND(_AC5="A-220-100",'2023'!$K$4="CA",'2023'!$K$2=CF271),'2023DATA'!$M$35,"")</f>
        <v/>
      </c>
      <c r="CG304" s="520" t="str">
        <f>IF(AND(_AC5="A-220-100",'2023'!$K$4="CA",'2023'!$K$2=CG271),'2023DATA'!$N$35,"")</f>
        <v/>
      </c>
      <c r="CH304" s="940" t="s">
        <v>52</v>
      </c>
      <c r="CI304" s="13" t="s">
        <v>61</v>
      </c>
      <c r="CJ304" s="518" t="str">
        <f>IF(AND(_AC6="A-220-100",'2023'!$K$4="CA",'2023'!$K$2=CJ271),'2023DATA'!$C$35,"")</f>
        <v/>
      </c>
      <c r="CK304" s="518" t="str">
        <f>IF(AND(_AC6="A-220-100",'2023'!$K$4="CA",'2023'!$K$2=CK271),'2023DATA'!$D$35,"")</f>
        <v/>
      </c>
      <c r="CL304" s="518" t="str">
        <f>IF(AND(_AC6="A-220-100",'2023'!$K$4="CA",'2023'!$K$2=CL271),'2023DATA'!$E$35,"")</f>
        <v/>
      </c>
      <c r="CM304" s="518" t="str">
        <f>IF(AND(_AC6="A-220-100",'2023'!$K$4="CA",'2023'!$K$2=CM271),'2023DATA'!$F$35,"")</f>
        <v/>
      </c>
      <c r="CN304" s="518" t="str">
        <f>IF(AND(_AC6="A-220-100",'2023'!$K$4="CA",'2023'!$K$2=CN271),'2023DATA'!$G$35,"")</f>
        <v/>
      </c>
      <c r="CO304" s="518" t="str">
        <f>IF(AND(_AC6="A-220-100",'2023'!$K$4="CA",'2023'!$K$2=CO271),'2023DATA'!$H$35,"")</f>
        <v/>
      </c>
      <c r="CP304" s="518" t="str">
        <f>IF(AND(_AC6="A-220-100",'2023'!$K$4="CA",'2023'!$K$2=CP271),'2023DATA'!$I$35,"")</f>
        <v/>
      </c>
      <c r="CQ304" s="518" t="str">
        <f>IF(AND(_AC6="A-220-100",'2023'!$K$4="CA",'2023'!$K$2=CQ271),'2023DATA'!$J$35,"")</f>
        <v/>
      </c>
      <c r="CR304" s="518" t="str">
        <f>IF(AND(_AC6="A-220-100",'2023'!$K$4="CA",'2023'!$K$2=CR271),'2023DATA'!$K$35,"")</f>
        <v/>
      </c>
      <c r="CS304" s="518" t="str">
        <f>IF(AND(_AC6="A-220-100",'2023'!$K$4="CA",'2023'!$K$2=CS271),'2023DATA'!$L$35,"")</f>
        <v/>
      </c>
      <c r="CT304" s="518" t="str">
        <f>IF(AND(_AC6="A-220-100",'2023'!$K$4="CA",'2023'!$K$2=CT271),'2023DATA'!$M$35,"")</f>
        <v/>
      </c>
      <c r="CU304" s="520" t="str">
        <f>IF(AND(_AC6="A-220-100",'2023'!$K$4="CA",'2023'!$K$2=CU271),'2023DATA'!$N$35,"")</f>
        <v/>
      </c>
    </row>
    <row r="305" spans="16:99" x14ac:dyDescent="0.25">
      <c r="P305" s="940"/>
      <c r="Q305" s="13" t="s">
        <v>62</v>
      </c>
      <c r="R305" s="518" t="str">
        <f>IF(AND(_AC1="A-220-100",'2023'!$K$4="FO",'2023'!$K$2=R271),'2023DATA'!$C$36,"")</f>
        <v/>
      </c>
      <c r="S305" s="518" t="str">
        <f>IF(AND(_AC1="A-220-100",'2023'!$K$4="FO",'2023'!$K$2=S271),'2023DATA'!$D$36,"")</f>
        <v/>
      </c>
      <c r="T305" s="518" t="str">
        <f>IF(AND(_AC1="A-220-100",'2023'!$K$4="FO",'2023'!$K$2=T271),'2023DATA'!$E$36,"")</f>
        <v/>
      </c>
      <c r="U305" s="518" t="str">
        <f>IF(AND(_AC1="A-220-100",'2023'!$K$4="FO",'2023'!$K$2=U271),'2023DATA'!$F$36,"")</f>
        <v/>
      </c>
      <c r="V305" s="518" t="str">
        <f>IF(AND(_AC1="A-220-100",'2023'!$K$4="FO",'2023'!$K$2=V271),'2023DATA'!$G$36,"")</f>
        <v/>
      </c>
      <c r="W305" s="518" t="str">
        <f>IF(AND(_AC1="A-220-100",'2023'!$K$4="FO",'2023'!$K$2=W271),'2023DATA'!$H$36,"")</f>
        <v/>
      </c>
      <c r="X305" s="518" t="str">
        <f>IF(AND(_AC1="A-220-100",'2023'!$K$4="FO",'2023'!$K$2=X271),'2023DATA'!$I$36,"")</f>
        <v/>
      </c>
      <c r="Y305" s="518" t="str">
        <f>IF(AND(_AC1="A-220-100",'2023'!$K$4="FO",'2023'!$K$2=Y271),'2023DATA'!$J$36,"")</f>
        <v/>
      </c>
      <c r="Z305" s="518" t="str">
        <f>IF(AND(_AC1="A-220-100",'2023'!$K$4="FO",'2023'!$K$2=Z271),'2023DATA'!$K$36,"")</f>
        <v/>
      </c>
      <c r="AA305" s="518" t="str">
        <f>IF(AND(_AC1="A-220-100",'2023'!$K$4="FO",'2023'!$K$2=AA271),'2023DATA'!$L$36,"")</f>
        <v/>
      </c>
      <c r="AB305" s="518" t="str">
        <f>IF(AND(_AC1="A-220-100",'2023'!$K$4="FO",'2023'!$K$2=AB271),'2023DATA'!$M$36,"")</f>
        <v/>
      </c>
      <c r="AC305" s="520" t="str">
        <f>IF(AND(_AC1="A-220-100",'2023'!$K$4="FO",'2023'!$K$2=AC271),'2023DATA'!$N$36,"")</f>
        <v/>
      </c>
      <c r="AD305" s="940"/>
      <c r="AE305" s="13" t="s">
        <v>62</v>
      </c>
      <c r="AF305" s="518" t="str">
        <f>IF(AND(_AC2="A-220-100",'2023'!$K$4="FO",'2023'!$K$2=AF271),'2023DATA'!$C$36,"")</f>
        <v/>
      </c>
      <c r="AG305" s="518" t="str">
        <f>IF(AND(_AC2="A-220-100",'2023'!$K$4="FO",'2023'!$K$2=AG271),'2023DATA'!$D$36,"")</f>
        <v/>
      </c>
      <c r="AH305" s="518" t="str">
        <f>IF(AND(_AC2="A-220-100",'2023'!$K$4="FO",'2023'!$K$2=AH271),'2023DATA'!$E$36,"")</f>
        <v/>
      </c>
      <c r="AI305" s="518" t="str">
        <f>IF(AND(_AC2="A-220-100",'2023'!$K$4="FO",'2023'!$K$2=AI271),'2023DATA'!$F$36,"")</f>
        <v/>
      </c>
      <c r="AJ305" s="518" t="str">
        <f>IF(AND(_AC2="A-220-100",'2023'!$K$4="FO",'2023'!$K$2=AJ271),'2023DATA'!$G$36,"")</f>
        <v/>
      </c>
      <c r="AK305" s="518" t="str">
        <f>IF(AND(_AC2="A-220-100",'2023'!$K$4="FO",'2023'!$K$2=AK271),'2023DATA'!$H$36,"")</f>
        <v/>
      </c>
      <c r="AL305" s="518" t="str">
        <f>IF(AND(_AC2="A-220-100",'2023'!$K$4="FO",'2023'!$K$2=AL271),'2023DATA'!$I$36,"")</f>
        <v/>
      </c>
      <c r="AM305" s="518" t="str">
        <f>IF(AND(_AC2="A-220-100",'2023'!$K$4="FO",'2023'!$K$2=AM271),'2023DATA'!$J$36,"")</f>
        <v/>
      </c>
      <c r="AN305" s="518" t="str">
        <f>IF(AND(_AC2="A-220-100",'2023'!$K$4="FO",'2023'!$K$2=AN271),'2023DATA'!$K$36,"")</f>
        <v/>
      </c>
      <c r="AO305" s="518" t="str">
        <f>IF(AND(_AC2="A-220-100",'2023'!$K$4="FO",'2023'!$K$2=AO271),'2023DATA'!$L$36,"")</f>
        <v/>
      </c>
      <c r="AP305" s="518" t="str">
        <f>IF(AND(_AC2="A-220-100",'2023'!$K$4="FO",'2023'!$K$2=AP271),'2023DATA'!$M$36,"")</f>
        <v/>
      </c>
      <c r="AQ305" s="520" t="str">
        <f>IF(AND(_AC2="A-220-100",'2023'!$K$4="FO",'2023'!$K$2=AQ271),'2023DATA'!$N$36,"")</f>
        <v/>
      </c>
      <c r="AR305" s="940"/>
      <c r="AS305" s="13" t="s">
        <v>62</v>
      </c>
      <c r="AT305" s="518" t="str">
        <f>IF(AND(_AC3="A-220-100",'2023'!$K$4="FO",'2023'!$K$2=AT271),'2023DATA'!$C$36,"")</f>
        <v/>
      </c>
      <c r="AU305" s="518" t="str">
        <f>IF(AND(_AC3="A-220-100",'2023'!$K$4="FO",'2023'!$K$2=AU271),'2023DATA'!$D$36,"")</f>
        <v/>
      </c>
      <c r="AV305" s="518" t="str">
        <f>IF(AND(_AC3="A-220-100",'2023'!$K$4="FO",'2023'!$K$2=AV271),'2023DATA'!$E$36,"")</f>
        <v/>
      </c>
      <c r="AW305" s="518" t="str">
        <f>IF(AND(_AC3="A-220-100",'2023'!$K$4="FO",'2023'!$K$2=AW271),'2023DATA'!$F$36,"")</f>
        <v/>
      </c>
      <c r="AX305" s="518" t="str">
        <f>IF(AND(_AC3="A-220-100",'2023'!$K$4="FO",'2023'!$K$2=AX271),'2023DATA'!$G$36,"")</f>
        <v/>
      </c>
      <c r="AY305" s="518" t="str">
        <f>IF(AND(_AC3="A-220-100",'2023'!$K$4="FO",'2023'!$K$2=AY271),'2023DATA'!$H$36,"")</f>
        <v/>
      </c>
      <c r="AZ305" s="518" t="str">
        <f>IF(AND(_AC3="A-220-100",'2023'!$K$4="FO",'2023'!$K$2=AZ271),'2023DATA'!$I$36,"")</f>
        <v/>
      </c>
      <c r="BA305" s="518" t="str">
        <f>IF(AND(_AC3="A-220-100",'2023'!$K$4="FO",'2023'!$K$2=BA271),'2023DATA'!$J$36,"")</f>
        <v/>
      </c>
      <c r="BB305" s="518" t="str">
        <f>IF(AND(_AC3="A-220-100",'2023'!$K$4="FO",'2023'!$K$2=BB271),'2023DATA'!$K$36,"")</f>
        <v/>
      </c>
      <c r="BC305" s="518" t="str">
        <f>IF(AND(_AC3="A-220-100",'2023'!$K$4="FO",'2023'!$K$2=BC271),'2023DATA'!$L$36,"")</f>
        <v/>
      </c>
      <c r="BD305" s="518" t="str">
        <f>IF(AND(_AC3="A-220-100",'2023'!$K$4="FO",'2023'!$K$2=BD271),'2023DATA'!$M$36,"")</f>
        <v/>
      </c>
      <c r="BE305" s="520" t="str">
        <f>IF(AND(_AC3="A-220-100",'2023'!$K$4="FO",'2023'!$K$2=BE271),'2023DATA'!$N$36,"")</f>
        <v/>
      </c>
      <c r="BF305" s="940"/>
      <c r="BG305" s="13" t="s">
        <v>62</v>
      </c>
      <c r="BH305" s="518" t="str">
        <f>IF(AND(_AC4="A-220-100",'2023'!$K$4="FO",'2023'!$K$2=BH271),'2023DATA'!$C$36,"")</f>
        <v/>
      </c>
      <c r="BI305" s="518" t="str">
        <f>IF(AND(_AC4="A-220-100",'2023'!$K$4="FO",'2023'!$K$2=BI271),'2023DATA'!$D$36,"")</f>
        <v/>
      </c>
      <c r="BJ305" s="518" t="str">
        <f>IF(AND(_AC4="A-220-100",'2023'!$K$4="FO",'2023'!$K$2=BJ271),'2023DATA'!$E$36,"")</f>
        <v/>
      </c>
      <c r="BK305" s="518" t="str">
        <f>IF(AND(_AC4="A-220-100",'2023'!$K$4="FO",'2023'!$K$2=BK271),'2023DATA'!$F$36,"")</f>
        <v/>
      </c>
      <c r="BL305" s="518" t="str">
        <f>IF(AND(_AC4="A-220-100",'2023'!$K$4="FO",'2023'!$K$2=BL271),'2023DATA'!$G$36,"")</f>
        <v/>
      </c>
      <c r="BM305" s="518" t="str">
        <f>IF(AND(_AC4="A-220-100",'2023'!$K$4="FO",'2023'!$K$2=BM271),'2023DATA'!$H$36,"")</f>
        <v/>
      </c>
      <c r="BN305" s="518" t="str">
        <f>IF(AND(_AC4="A-220-100",'2023'!$K$4="FO",'2023'!$K$2=BN271),'2023DATA'!$I$36,"")</f>
        <v/>
      </c>
      <c r="BO305" s="518" t="str">
        <f>IF(AND(_AC4="A-220-100",'2023'!$K$4="FO",'2023'!$K$2=BO271),'2023DATA'!$J$36,"")</f>
        <v/>
      </c>
      <c r="BP305" s="518" t="str">
        <f>IF(AND(_AC4="A-220-100",'2023'!$K$4="FO",'2023'!$K$2=BP271),'2023DATA'!$K$36,"")</f>
        <v/>
      </c>
      <c r="BQ305" s="518" t="str">
        <f>IF(AND(_AC4="A-220-100",'2023'!$K$4="FO",'2023'!$K$2=BQ271),'2023DATA'!$L$36,"")</f>
        <v/>
      </c>
      <c r="BR305" s="518" t="str">
        <f>IF(AND(_AC4="A-220-100",'2023'!$K$4="FO",'2023'!$K$2=BR271),'2023DATA'!$M$36,"")</f>
        <v/>
      </c>
      <c r="BS305" s="520" t="str">
        <f>IF(AND(_AC4="A-220-100",'2023'!$K$4="FO",'2023'!$K$2=BS271),'2023DATA'!$N$36,"")</f>
        <v/>
      </c>
      <c r="BT305" s="940"/>
      <c r="BU305" s="13" t="s">
        <v>62</v>
      </c>
      <c r="BV305" s="518" t="str">
        <f>IF(AND(_AC5="A-220-100",'2023'!$K$4="FO",'2023'!$K$2=BV271),'2023DATA'!$C$36,"")</f>
        <v/>
      </c>
      <c r="BW305" s="518" t="str">
        <f>IF(AND(_AC5="A-220-100",'2023'!$K$4="FO",'2023'!$K$2=BW271),'2023DATA'!$D$36,"")</f>
        <v/>
      </c>
      <c r="BX305" s="518" t="str">
        <f>IF(AND(_AC5="A-220-100",'2023'!$K$4="FO",'2023'!$K$2=BX271),'2023DATA'!$E$36,"")</f>
        <v/>
      </c>
      <c r="BY305" s="518" t="str">
        <f>IF(AND(_AC5="A-220-100",'2023'!$K$4="FO",'2023'!$K$2=BY271),'2023DATA'!$F$36,"")</f>
        <v/>
      </c>
      <c r="BZ305" s="518" t="str">
        <f>IF(AND(_AC5="A-220-100",'2023'!$K$4="FO",'2023'!$K$2=BZ271),'2023DATA'!$G$36,"")</f>
        <v/>
      </c>
      <c r="CA305" s="518" t="str">
        <f>IF(AND(_AC5="A-220-100",'2023'!$K$4="FO",'2023'!$K$2=CA271),'2023DATA'!$H$36,"")</f>
        <v/>
      </c>
      <c r="CB305" s="518" t="str">
        <f>IF(AND(_AC5="A-220-100",'2023'!$K$4="FO",'2023'!$K$2=CB271),'2023DATA'!$I$36,"")</f>
        <v/>
      </c>
      <c r="CC305" s="518" t="str">
        <f>IF(AND(_AC5="A-220-100",'2023'!$K$4="FO",'2023'!$K$2=CC271),'2023DATA'!$J$36,"")</f>
        <v/>
      </c>
      <c r="CD305" s="518" t="str">
        <f>IF(AND(_AC5="A-220-100",'2023'!$K$4="FO",'2023'!$K$2=CD271),'2023DATA'!$K$36,"")</f>
        <v/>
      </c>
      <c r="CE305" s="518" t="str">
        <f>IF(AND(_AC5="A-220-100",'2023'!$K$4="FO",'2023'!$K$2=CE271),'2023DATA'!$L$36,"")</f>
        <v/>
      </c>
      <c r="CF305" s="518" t="str">
        <f>IF(AND(_AC5="A-220-100",'2023'!$K$4="FO",'2023'!$K$2=CF271),'2023DATA'!$M$36,"")</f>
        <v/>
      </c>
      <c r="CG305" s="520" t="str">
        <f>IF(AND(_AC5="A-220-100",'2023'!$K$4="FO",'2023'!$K$2=CG271),'2023DATA'!$N$36,"")</f>
        <v/>
      </c>
      <c r="CH305" s="940"/>
      <c r="CI305" s="13" t="s">
        <v>62</v>
      </c>
      <c r="CJ305" s="518" t="str">
        <f>IF(AND(_AC6="A-220-100",'2023'!$K$4="FO",'2023'!$K$2=CJ271),'2023DATA'!$C$36,"")</f>
        <v/>
      </c>
      <c r="CK305" s="518" t="str">
        <f>IF(AND(_AC6="A-220-100",'2023'!$K$4="FO",'2023'!$K$2=CK271),'2023DATA'!$D$36,"")</f>
        <v/>
      </c>
      <c r="CL305" s="518" t="str">
        <f>IF(AND(_AC6="A-220-100",'2023'!$K$4="FO",'2023'!$K$2=CL271),'2023DATA'!$E$36,"")</f>
        <v/>
      </c>
      <c r="CM305" s="518" t="str">
        <f>IF(AND(_AC6="A-220-100",'2023'!$K$4="FO",'2023'!$K$2=CM271),'2023DATA'!$F$36,"")</f>
        <v/>
      </c>
      <c r="CN305" s="518" t="str">
        <f>IF(AND(_AC6="A-220-100",'2023'!$K$4="FO",'2023'!$K$2=CN271),'2023DATA'!$G$36,"")</f>
        <v/>
      </c>
      <c r="CO305" s="518" t="str">
        <f>IF(AND(_AC6="A-220-100",'2023'!$K$4="FO",'2023'!$K$2=CO271),'2023DATA'!$H$36,"")</f>
        <v/>
      </c>
      <c r="CP305" s="518" t="str">
        <f>IF(AND(_AC6="A-220-100",'2023'!$K$4="FO",'2023'!$K$2=CP271),'2023DATA'!$I$36,"")</f>
        <v/>
      </c>
      <c r="CQ305" s="518" t="str">
        <f>IF(AND(_AC6="A-220-100",'2023'!$K$4="FO",'2023'!$K$2=CQ271),'2023DATA'!$J$36,"")</f>
        <v/>
      </c>
      <c r="CR305" s="518" t="str">
        <f>IF(AND(_AC6="A-220-100",'2023'!$K$4="FO",'2023'!$K$2=CR271),'2023DATA'!$K$36,"")</f>
        <v/>
      </c>
      <c r="CS305" s="518" t="str">
        <f>IF(AND(_AC6="A-220-100",'2023'!$K$4="FO",'2023'!$K$2=CS271),'2023DATA'!$L$36,"")</f>
        <v/>
      </c>
      <c r="CT305" s="518" t="str">
        <f>IF(AND(_AC6="A-220-100",'2023'!$K$4="FO",'2023'!$K$2=CT271),'2023DATA'!$M$36,"")</f>
        <v/>
      </c>
      <c r="CU305" s="520" t="str">
        <f>IF(AND(_AC6="A-220-100",'2023'!$K$4="FO",'2023'!$K$2=CU271),'2023DATA'!$N$36,"")</f>
        <v/>
      </c>
    </row>
    <row r="306" spans="16:99" x14ac:dyDescent="0.25">
      <c r="P306" s="940" t="s">
        <v>53</v>
      </c>
      <c r="Q306" s="13" t="s">
        <v>61</v>
      </c>
      <c r="R306" s="518" t="str">
        <f>IF(AND(_AC1="B-717",'2023'!$K$4="CA",'2023'!$K$2=R271),'2023DATA'!$C$37,"")</f>
        <v/>
      </c>
      <c r="S306" s="518" t="str">
        <f>IF(AND(_AC1="B-717",'2023'!$K$4="CA",'2023'!$K$2=S271),'2023DATA'!$D$37,"")</f>
        <v/>
      </c>
      <c r="T306" s="518" t="str">
        <f>IF(AND(_AC1="B-717",'2023'!$K$4="CA",'2023'!$K$2=T271),'2023DATA'!$E$37,"")</f>
        <v/>
      </c>
      <c r="U306" s="518" t="str">
        <f>IF(AND(_AC1="B-717",'2023'!$K$4="CA",'2023'!$K$2=U271),'2023DATA'!$F$37,"")</f>
        <v/>
      </c>
      <c r="V306" s="518" t="str">
        <f>IF(AND(_AC1="B-717",'2023'!$K$4="CA",'2023'!$K$2=V271),'2023DATA'!$G$37,"")</f>
        <v/>
      </c>
      <c r="W306" s="518" t="str">
        <f>IF(AND(_AC1="B-717",'2023'!$K$4="CA",'2023'!$K$2=W271),'2023DATA'!$H$37,"")</f>
        <v/>
      </c>
      <c r="X306" s="518" t="str">
        <f>IF(AND(_AC1="B-717",'2023'!$K$4="CA",'2023'!$K$2=X271),'2023DATA'!$I$37,"")</f>
        <v/>
      </c>
      <c r="Y306" s="518" t="str">
        <f>IF(AND(_AC1="B-717",'2023'!$K$4="CA",'2023'!$K$2=Y271),'2023DATA'!$J$37,"")</f>
        <v/>
      </c>
      <c r="Z306" s="518" t="str">
        <f>IF(AND(_AC1="B-717",'2023'!$K$4="CA",'2023'!$K$2=Z271),'2023DATA'!$K$37,"")</f>
        <v/>
      </c>
      <c r="AA306" s="518" t="str">
        <f>IF(AND(_AC1="B-717",'2023'!$K$4="CA",'2023'!$K$2=AA271),'2023DATA'!$L$37,"")</f>
        <v/>
      </c>
      <c r="AB306" s="518" t="str">
        <f>IF(AND(_AC1="B-717",'2023'!$K$4="CA",'2023'!$K$2=AB271),'2023DATA'!$M$37,"")</f>
        <v/>
      </c>
      <c r="AC306" s="520" t="str">
        <f>IF(AND(_AC1="B-717",'2023'!$K$4="CA",'2023'!$K$2=AC271),'2023DATA'!$N$37,"")</f>
        <v/>
      </c>
      <c r="AD306" s="940" t="s">
        <v>53</v>
      </c>
      <c r="AE306" s="13" t="s">
        <v>61</v>
      </c>
      <c r="AF306" s="518" t="str">
        <f>IF(AND(_AC2="B-717",'2023'!$K$4="CA",'2023'!$K$2=AF271),'2023DATA'!$C$37,"")</f>
        <v/>
      </c>
      <c r="AG306" s="518" t="str">
        <f>IF(AND(_AC2="B-717",'2023'!$K$4="CA",'2023'!$K$2=AG271),'2023DATA'!$D$37,"")</f>
        <v/>
      </c>
      <c r="AH306" s="518" t="str">
        <f>IF(AND(_AC2="B-717",'2023'!$K$4="CA",'2023'!$K$2=AH271),'2023DATA'!$E$37,"")</f>
        <v/>
      </c>
      <c r="AI306" s="518" t="str">
        <f>IF(AND(_AC2="B-717",'2023'!$K$4="CA",'2023'!$K$2=AI271),'2023DATA'!$F$37,"")</f>
        <v/>
      </c>
      <c r="AJ306" s="518" t="str">
        <f>IF(AND(_AC2="B-717",'2023'!$K$4="CA",'2023'!$K$2=AJ271),'2023DATA'!$G$37,"")</f>
        <v/>
      </c>
      <c r="AK306" s="518" t="str">
        <f>IF(AND(_AC2="B-717",'2023'!$K$4="CA",'2023'!$K$2=AK271),'2023DATA'!$H$37,"")</f>
        <v/>
      </c>
      <c r="AL306" s="518" t="str">
        <f>IF(AND(_AC2="B-717",'2023'!$K$4="CA",'2023'!$K$2=AL271),'2023DATA'!$I$37,"")</f>
        <v/>
      </c>
      <c r="AM306" s="518" t="str">
        <f>IF(AND(_AC2="B-717",'2023'!$K$4="CA",'2023'!$K$2=AM271),'2023DATA'!$J$37,"")</f>
        <v/>
      </c>
      <c r="AN306" s="518" t="str">
        <f>IF(AND(_AC2="B-717",'2023'!$K$4="CA",'2023'!$K$2=AN271),'2023DATA'!$K$37,"")</f>
        <v/>
      </c>
      <c r="AO306" s="518" t="str">
        <f>IF(AND(_AC2="B-717",'2023'!$K$4="CA",'2023'!$K$2=AO271),'2023DATA'!$L$37,"")</f>
        <v/>
      </c>
      <c r="AP306" s="518" t="str">
        <f>IF(AND(_AC2="B-717",'2023'!$K$4="CA",'2023'!$K$2=AP271),'2023DATA'!$M$37,"")</f>
        <v/>
      </c>
      <c r="AQ306" s="520" t="str">
        <f>IF(AND(_AC2="B-717",'2023'!$K$4="CA",'2023'!$K$2=AQ271),'2023DATA'!$N$37,"")</f>
        <v/>
      </c>
      <c r="AR306" s="940" t="s">
        <v>53</v>
      </c>
      <c r="AS306" s="13" t="s">
        <v>61</v>
      </c>
      <c r="AT306" s="518" t="str">
        <f>IF(AND(_AC3="B-717",'2023'!$K$4="CA",'2023'!$K$2=AT271),'2023DATA'!$C$37,"")</f>
        <v/>
      </c>
      <c r="AU306" s="518" t="str">
        <f>IF(AND(_AC3="B-717",'2023'!$K$4="CA",'2023'!$K$2=AU271),'2023DATA'!$D$37,"")</f>
        <v/>
      </c>
      <c r="AV306" s="518" t="str">
        <f>IF(AND(_AC3="B-717",'2023'!$K$4="CA",'2023'!$K$2=AV271),'2023DATA'!$E$37,"")</f>
        <v/>
      </c>
      <c r="AW306" s="518" t="str">
        <f>IF(AND(_AC3="B-717",'2023'!$K$4="CA",'2023'!$K$2=AW271),'2023DATA'!$F$37,"")</f>
        <v/>
      </c>
      <c r="AX306" s="518" t="str">
        <f>IF(AND(_AC3="B-717",'2023'!$K$4="CA",'2023'!$K$2=AX271),'2023DATA'!$G$37,"")</f>
        <v/>
      </c>
      <c r="AY306" s="518" t="str">
        <f>IF(AND(_AC3="B-717",'2023'!$K$4="CA",'2023'!$K$2=AY271),'2023DATA'!$H$37,"")</f>
        <v/>
      </c>
      <c r="AZ306" s="518" t="str">
        <f>IF(AND(_AC3="B-717",'2023'!$K$4="CA",'2023'!$K$2=AZ271),'2023DATA'!$I$37,"")</f>
        <v/>
      </c>
      <c r="BA306" s="518" t="str">
        <f>IF(AND(_AC3="B-717",'2023'!$K$4="CA",'2023'!$K$2=BA271),'2023DATA'!$J$37,"")</f>
        <v/>
      </c>
      <c r="BB306" s="518" t="str">
        <f>IF(AND(_AC3="B-717",'2023'!$K$4="CA",'2023'!$K$2=BB271),'2023DATA'!$K$37,"")</f>
        <v/>
      </c>
      <c r="BC306" s="518" t="str">
        <f>IF(AND(_AC3="B-717",'2023'!$K$4="CA",'2023'!$K$2=BC271),'2023DATA'!$L$37,"")</f>
        <v/>
      </c>
      <c r="BD306" s="518" t="str">
        <f>IF(AND(_AC3="B-717",'2023'!$K$4="CA",'2023'!$K$2=BD271),'2023DATA'!$M$37,"")</f>
        <v/>
      </c>
      <c r="BE306" s="520" t="str">
        <f>IF(AND(_AC3="B-717",'2023'!$K$4="CA",'2023'!$K$2=BE271),'2023DATA'!$N$37,"")</f>
        <v/>
      </c>
      <c r="BF306" s="940" t="s">
        <v>53</v>
      </c>
      <c r="BG306" s="13" t="s">
        <v>61</v>
      </c>
      <c r="BH306" s="518" t="str">
        <f>IF(AND(_AC4="B-717",'2023'!$K$4="CA",'2023'!$K$2=BH271),'2023DATA'!$C$37,"")</f>
        <v/>
      </c>
      <c r="BI306" s="518" t="str">
        <f>IF(AND(_AC4="B-717",'2023'!$K$4="CA",'2023'!$K$2=BI271),'2023DATA'!$D$37,"")</f>
        <v/>
      </c>
      <c r="BJ306" s="518" t="str">
        <f>IF(AND(_AC4="B-717",'2023'!$K$4="CA",'2023'!$K$2=BJ271),'2023DATA'!$E$37,"")</f>
        <v/>
      </c>
      <c r="BK306" s="518" t="str">
        <f>IF(AND(_AC4="B-717",'2023'!$K$4="CA",'2023'!$K$2=BK271),'2023DATA'!$F$37,"")</f>
        <v/>
      </c>
      <c r="BL306" s="518" t="str">
        <f>IF(AND(_AC4="B-717",'2023'!$K$4="CA",'2023'!$K$2=BL271),'2023DATA'!$G$37,"")</f>
        <v/>
      </c>
      <c r="BM306" s="518" t="str">
        <f>IF(AND(_AC4="B-717",'2023'!$K$4="CA",'2023'!$K$2=BM271),'2023DATA'!$H$37,"")</f>
        <v/>
      </c>
      <c r="BN306" s="518" t="str">
        <f>IF(AND(_AC4="B-717",'2023'!$K$4="CA",'2023'!$K$2=BN271),'2023DATA'!$I$37,"")</f>
        <v/>
      </c>
      <c r="BO306" s="518" t="str">
        <f>IF(AND(_AC4="B-717",'2023'!$K$4="CA",'2023'!$K$2=BO271),'2023DATA'!$J$37,"")</f>
        <v/>
      </c>
      <c r="BP306" s="518" t="str">
        <f>IF(AND(_AC4="B-717",'2023'!$K$4="CA",'2023'!$K$2=BP271),'2023DATA'!$K$37,"")</f>
        <v/>
      </c>
      <c r="BQ306" s="518" t="str">
        <f>IF(AND(_AC4="B-717",'2023'!$K$4="CA",'2023'!$K$2=BQ271),'2023DATA'!$L$37,"")</f>
        <v/>
      </c>
      <c r="BR306" s="518" t="str">
        <f>IF(AND(_AC4="B-717",'2023'!$K$4="CA",'2023'!$K$2=BR271),'2023DATA'!$M$37,"")</f>
        <v/>
      </c>
      <c r="BS306" s="520" t="str">
        <f>IF(AND(_AC4="B-717",'2023'!$K$4="CA",'2023'!$K$2=BS271),'2023DATA'!$N$37,"")</f>
        <v/>
      </c>
      <c r="BT306" s="940" t="s">
        <v>53</v>
      </c>
      <c r="BU306" s="13" t="s">
        <v>61</v>
      </c>
      <c r="BV306" s="518" t="str">
        <f>IF(AND(_AC5="B-717",'2023'!$K$4="CA",'2023'!$K$2=BV271),'2023DATA'!$C$37,"")</f>
        <v/>
      </c>
      <c r="BW306" s="518" t="str">
        <f>IF(AND(_AC5="B-717",'2023'!$K$4="CA",'2023'!$K$2=BW271),'2023DATA'!$D$37,"")</f>
        <v/>
      </c>
      <c r="BX306" s="518" t="str">
        <f>IF(AND(_AC5="B-717",'2023'!$K$4="CA",'2023'!$K$2=BX271),'2023DATA'!$E$37,"")</f>
        <v/>
      </c>
      <c r="BY306" s="518" t="str">
        <f>IF(AND(_AC5="B-717",'2023'!$K$4="CA",'2023'!$K$2=BY271),'2023DATA'!$F$37,"")</f>
        <v/>
      </c>
      <c r="BZ306" s="518" t="str">
        <f>IF(AND(_AC5="B-717",'2023'!$K$4="CA",'2023'!$K$2=BZ271),'2023DATA'!$G$37,"")</f>
        <v/>
      </c>
      <c r="CA306" s="518" t="str">
        <f>IF(AND(_AC5="B-717",'2023'!$K$4="CA",'2023'!$K$2=CA271),'2023DATA'!$H$37,"")</f>
        <v/>
      </c>
      <c r="CB306" s="518" t="str">
        <f>IF(AND(_AC5="B-717",'2023'!$K$4="CA",'2023'!$K$2=CB271),'2023DATA'!$I$37,"")</f>
        <v/>
      </c>
      <c r="CC306" s="518" t="str">
        <f>IF(AND(_AC5="B-717",'2023'!$K$4="CA",'2023'!$K$2=CC271),'2023DATA'!$J$37,"")</f>
        <v/>
      </c>
      <c r="CD306" s="518" t="str">
        <f>IF(AND(_AC5="B-717",'2023'!$K$4="CA",'2023'!$K$2=CD271),'2023DATA'!$K$37,"")</f>
        <v/>
      </c>
      <c r="CE306" s="518" t="str">
        <f>IF(AND(_AC5="B-717",'2023'!$K$4="CA",'2023'!$K$2=CE271),'2023DATA'!$L$37,"")</f>
        <v/>
      </c>
      <c r="CF306" s="518" t="str">
        <f>IF(AND(_AC5="B-717",'2023'!$K$4="CA",'2023'!$K$2=CF271),'2023DATA'!$M$37,"")</f>
        <v/>
      </c>
      <c r="CG306" s="520" t="str">
        <f>IF(AND(_AC5="B-717",'2023'!$K$4="CA",'2023'!$K$2=CG271),'2023DATA'!$N$37,"")</f>
        <v/>
      </c>
      <c r="CH306" s="940" t="s">
        <v>53</v>
      </c>
      <c r="CI306" s="13" t="s">
        <v>61</v>
      </c>
      <c r="CJ306" s="518" t="str">
        <f>IF(AND(_AC6="B-717",'2023'!$K$4="CA",'2023'!$K$2=CJ271),'2023DATA'!$C$37,"")</f>
        <v/>
      </c>
      <c r="CK306" s="518" t="str">
        <f>IF(AND(_AC6="B-717",'2023'!$K$4="CA",'2023'!$K$2=CK271),'2023DATA'!$D$37,"")</f>
        <v/>
      </c>
      <c r="CL306" s="518" t="str">
        <f>IF(AND(_AC6="B-717",'2023'!$K$4="CA",'2023'!$K$2=CL271),'2023DATA'!$E$37,"")</f>
        <v/>
      </c>
      <c r="CM306" s="518" t="str">
        <f>IF(AND(_AC6="B-717",'2023'!$K$4="CA",'2023'!$K$2=CM271),'2023DATA'!$F$37,"")</f>
        <v/>
      </c>
      <c r="CN306" s="518" t="str">
        <f>IF(AND(_AC6="B-717",'2023'!$K$4="CA",'2023'!$K$2=CN271),'2023DATA'!$G$37,"")</f>
        <v/>
      </c>
      <c r="CO306" s="518" t="str">
        <f>IF(AND(_AC6="B-717",'2023'!$K$4="CA",'2023'!$K$2=CO271),'2023DATA'!$H$37,"")</f>
        <v/>
      </c>
      <c r="CP306" s="518" t="str">
        <f>IF(AND(_AC6="B-717",'2023'!$K$4="CA",'2023'!$K$2=CP271),'2023DATA'!$I$37,"")</f>
        <v/>
      </c>
      <c r="CQ306" s="518" t="str">
        <f>IF(AND(_AC6="B-717",'2023'!$K$4="CA",'2023'!$K$2=CQ271),'2023DATA'!$J$37,"")</f>
        <v/>
      </c>
      <c r="CR306" s="518" t="str">
        <f>IF(AND(_AC6="B-717",'2023'!$K$4="CA",'2023'!$K$2=CR271),'2023DATA'!$K$37,"")</f>
        <v/>
      </c>
      <c r="CS306" s="518" t="str">
        <f>IF(AND(_AC6="B-717",'2023'!$K$4="CA",'2023'!$K$2=CS271),'2023DATA'!$L$37,"")</f>
        <v/>
      </c>
      <c r="CT306" s="518" t="str">
        <f>IF(AND(_AC6="B-717",'2023'!$K$4="CA",'2023'!$K$2=CT271),'2023DATA'!$M$37,"")</f>
        <v/>
      </c>
      <c r="CU306" s="520" t="str">
        <f>IF(AND(_AC6="B-717",'2023'!$K$4="CA",'2023'!$K$2=CU271),'2023DATA'!$N$37,"")</f>
        <v/>
      </c>
    </row>
    <row r="307" spans="16:99" ht="15.75" thickBot="1" x14ac:dyDescent="0.3">
      <c r="P307" s="942"/>
      <c r="Q307" s="2" t="s">
        <v>62</v>
      </c>
      <c r="R307" s="518" t="str">
        <f>IF(AND(_AC1="B-717",'2023'!$K$4="FO",'2023'!$K$2=R271),'2023DATA'!$C$38,"")</f>
        <v/>
      </c>
      <c r="S307" s="518" t="str">
        <f>IF(AND(_AC1="B-717",'2023'!$K$4="FO",'2023'!$K$2=S271),'2023DATA'!$D$38,"")</f>
        <v/>
      </c>
      <c r="T307" s="518" t="str">
        <f>IF(AND(_AC1="B-717",'2023'!$K$4="FO",'2023'!$K$2=T271),'2023DATA'!$E$38,"")</f>
        <v/>
      </c>
      <c r="U307" s="518" t="str">
        <f>IF(AND(_AC1="B-717",'2023'!$K$4="FO",'2023'!$K$2=U271),'2023DATA'!$F$38,"")</f>
        <v/>
      </c>
      <c r="V307" s="518" t="str">
        <f>IF(AND(_AC1="B-717",'2023'!$K$4="FO",'2023'!$K$2=V271),'2023DATA'!$G$38,"")</f>
        <v/>
      </c>
      <c r="W307" s="518" t="str">
        <f>IF(AND(_AC1="B-717",'2023'!$K$4="FO",'2023'!$K$2=W271),'2023DATA'!$H$38,"")</f>
        <v/>
      </c>
      <c r="X307" s="518" t="str">
        <f>IF(AND(_AC1="B-717",'2023'!$K$4="FO",'2023'!$K$2=X271),'2023DATA'!$I$38,"")</f>
        <v/>
      </c>
      <c r="Y307" s="518" t="str">
        <f>IF(AND(_AC1="B-717",'2023'!$K$4="FO",'2023'!$K$2=Y271),'2023DATA'!$J$38,"")</f>
        <v/>
      </c>
      <c r="Z307" s="518" t="str">
        <f>IF(AND(_AC1="B-717",'2023'!$K$4="FO",'2023'!$K$2=Z271),'2023DATA'!$K$38,"")</f>
        <v/>
      </c>
      <c r="AA307" s="518" t="str">
        <f>IF(AND(_AC1="B-717",'2023'!$K$4="FO",'2023'!$K$2=AA271),'2023DATA'!$L$38,"")</f>
        <v/>
      </c>
      <c r="AB307" s="518" t="str">
        <f>IF(AND(_AC1="B-717",'2023'!$K$4="FO",'2023'!$K$2=AB271),'2023DATA'!$M$38,"")</f>
        <v/>
      </c>
      <c r="AC307" s="520" t="str">
        <f>IF(AND(_AC1="B-717",'2023'!$K$4="FO",'2023'!$K$2=AC271),'2023DATA'!$N$38,"")</f>
        <v/>
      </c>
      <c r="AD307" s="942"/>
      <c r="AE307" s="2" t="s">
        <v>62</v>
      </c>
      <c r="AF307" s="518" t="str">
        <f>IF(AND(_AC2="B-717",'2023'!$K$4="FO",'2023'!$K$2=AF271),'2023DATA'!$C$38,"")</f>
        <v/>
      </c>
      <c r="AG307" s="518" t="str">
        <f>IF(AND(_AC2="B-717",'2023'!$K$4="FO",'2023'!$K$2=AG271),'2023DATA'!$D$38,"")</f>
        <v/>
      </c>
      <c r="AH307" s="518" t="str">
        <f>IF(AND(_AC2="B-717",'2023'!$K$4="FO",'2023'!$K$2=AH271),'2023DATA'!$E$38,"")</f>
        <v/>
      </c>
      <c r="AI307" s="518" t="str">
        <f>IF(AND(_AC2="B-717",'2023'!$K$4="FO",'2023'!$K$2=AI271),'2023DATA'!$F$38,"")</f>
        <v/>
      </c>
      <c r="AJ307" s="518" t="str">
        <f>IF(AND(_AC2="B-717",'2023'!$K$4="FO",'2023'!$K$2=AJ271),'2023DATA'!$G$38,"")</f>
        <v/>
      </c>
      <c r="AK307" s="518" t="str">
        <f>IF(AND(_AC2="B-717",'2023'!$K$4="FO",'2023'!$K$2=AK271),'2023DATA'!$H$38,"")</f>
        <v/>
      </c>
      <c r="AL307" s="518" t="str">
        <f>IF(AND(_AC2="B-717",'2023'!$K$4="FO",'2023'!$K$2=AL271),'2023DATA'!$I$38,"")</f>
        <v/>
      </c>
      <c r="AM307" s="518" t="str">
        <f>IF(AND(_AC2="B-717",'2023'!$K$4="FO",'2023'!$K$2=AM271),'2023DATA'!$J$38,"")</f>
        <v/>
      </c>
      <c r="AN307" s="518" t="str">
        <f>IF(AND(_AC2="B-717",'2023'!$K$4="FO",'2023'!$K$2=AN271),'2023DATA'!$K$38,"")</f>
        <v/>
      </c>
      <c r="AO307" s="518" t="str">
        <f>IF(AND(_AC2="B-717",'2023'!$K$4="FO",'2023'!$K$2=AO271),'2023DATA'!$L$38,"")</f>
        <v/>
      </c>
      <c r="AP307" s="518" t="str">
        <f>IF(AND(_AC2="B-717",'2023'!$K$4="FO",'2023'!$K$2=AP271),'2023DATA'!$M$38,"")</f>
        <v/>
      </c>
      <c r="AQ307" s="520" t="str">
        <f>IF(AND(_AC2="B-717",'2023'!$K$4="FO",'2023'!$K$2=AQ271),'2023DATA'!$N$38,"")</f>
        <v/>
      </c>
      <c r="AR307" s="942"/>
      <c r="AS307" s="2" t="s">
        <v>62</v>
      </c>
      <c r="AT307" s="518" t="str">
        <f>IF(AND(_AC3="B-717",'2023'!$K$4="FO",'2023'!$K$2=AT271),'2023DATA'!$C$38,"")</f>
        <v/>
      </c>
      <c r="AU307" s="518" t="str">
        <f>IF(AND(_AC3="B-717",'2023'!$K$4="FO",'2023'!$K$2=AU271),'2023DATA'!$D$38,"")</f>
        <v/>
      </c>
      <c r="AV307" s="518" t="str">
        <f>IF(AND(_AC3="B-717",'2023'!$K$4="FO",'2023'!$K$2=AV271),'2023DATA'!$E$38,"")</f>
        <v/>
      </c>
      <c r="AW307" s="518" t="str">
        <f>IF(AND(_AC3="B-717",'2023'!$K$4="FO",'2023'!$K$2=AW271),'2023DATA'!$F$38,"")</f>
        <v/>
      </c>
      <c r="AX307" s="518" t="str">
        <f>IF(AND(_AC3="B-717",'2023'!$K$4="FO",'2023'!$K$2=AX271),'2023DATA'!$G$38,"")</f>
        <v/>
      </c>
      <c r="AY307" s="518" t="str">
        <f>IF(AND(_AC3="B-717",'2023'!$K$4="FO",'2023'!$K$2=AY271),'2023DATA'!$H$38,"")</f>
        <v/>
      </c>
      <c r="AZ307" s="518" t="str">
        <f>IF(AND(_AC3="B-717",'2023'!$K$4="FO",'2023'!$K$2=AZ271),'2023DATA'!$I$38,"")</f>
        <v/>
      </c>
      <c r="BA307" s="518" t="str">
        <f>IF(AND(_AC3="B-717",'2023'!$K$4="FO",'2023'!$K$2=BA271),'2023DATA'!$J$38,"")</f>
        <v/>
      </c>
      <c r="BB307" s="518" t="str">
        <f>IF(AND(_AC3="B-717",'2023'!$K$4="FO",'2023'!$K$2=BB271),'2023DATA'!$K$38,"")</f>
        <v/>
      </c>
      <c r="BC307" s="518" t="str">
        <f>IF(AND(_AC3="B-717",'2023'!$K$4="FO",'2023'!$K$2=BC271),'2023DATA'!$L$38,"")</f>
        <v/>
      </c>
      <c r="BD307" s="518" t="str">
        <f>IF(AND(_AC3="B-717",'2023'!$K$4="FO",'2023'!$K$2=BD271),'2023DATA'!$M$38,"")</f>
        <v/>
      </c>
      <c r="BE307" s="520" t="str">
        <f>IF(AND(_AC3="B-717",'2023'!$K$4="FO",'2023'!$K$2=BE271),'2023DATA'!$N$38,"")</f>
        <v/>
      </c>
      <c r="BF307" s="942"/>
      <c r="BG307" s="2" t="s">
        <v>62</v>
      </c>
      <c r="BH307" s="518" t="str">
        <f>IF(AND(_AC4="B-717",'2023'!$K$4="FO",'2023'!$K$2=BH271),'2023DATA'!$C$38,"")</f>
        <v/>
      </c>
      <c r="BI307" s="518" t="str">
        <f>IF(AND(_AC4="B-717",'2023'!$K$4="FO",'2023'!$K$2=BI271),'2023DATA'!$D$38,"")</f>
        <v/>
      </c>
      <c r="BJ307" s="518" t="str">
        <f>IF(AND(_AC4="B-717",'2023'!$K$4="FO",'2023'!$K$2=BJ271),'2023DATA'!$E$38,"")</f>
        <v/>
      </c>
      <c r="BK307" s="518" t="str">
        <f>IF(AND(_AC4="B-717",'2023'!$K$4="FO",'2023'!$K$2=BK271),'2023DATA'!$F$38,"")</f>
        <v/>
      </c>
      <c r="BL307" s="518" t="str">
        <f>IF(AND(_AC4="B-717",'2023'!$K$4="FO",'2023'!$K$2=BL271),'2023DATA'!$G$38,"")</f>
        <v/>
      </c>
      <c r="BM307" s="518" t="str">
        <f>IF(AND(_AC4="B-717",'2023'!$K$4="FO",'2023'!$K$2=BM271),'2023DATA'!$H$38,"")</f>
        <v/>
      </c>
      <c r="BN307" s="518" t="str">
        <f>IF(AND(_AC4="B-717",'2023'!$K$4="FO",'2023'!$K$2=BN271),'2023DATA'!$I$38,"")</f>
        <v/>
      </c>
      <c r="BO307" s="518" t="str">
        <f>IF(AND(_AC4="B-717",'2023'!$K$4="FO",'2023'!$K$2=BO271),'2023DATA'!$J$38,"")</f>
        <v/>
      </c>
      <c r="BP307" s="518" t="str">
        <f>IF(AND(_AC4="B-717",'2023'!$K$4="FO",'2023'!$K$2=BP271),'2023DATA'!$K$38,"")</f>
        <v/>
      </c>
      <c r="BQ307" s="518" t="str">
        <f>IF(AND(_AC4="B-717",'2023'!$K$4="FO",'2023'!$K$2=BQ271),'2023DATA'!$L$38,"")</f>
        <v/>
      </c>
      <c r="BR307" s="518" t="str">
        <f>IF(AND(_AC4="B-717",'2023'!$K$4="FO",'2023'!$K$2=BR271),'2023DATA'!$M$38,"")</f>
        <v/>
      </c>
      <c r="BS307" s="520" t="str">
        <f>IF(AND(_AC4="B-717",'2023'!$K$4="FO",'2023'!$K$2=BS271),'2023DATA'!$N$38,"")</f>
        <v/>
      </c>
      <c r="BT307" s="942"/>
      <c r="BU307" s="2" t="s">
        <v>62</v>
      </c>
      <c r="BV307" s="518" t="str">
        <f>IF(AND(_AC5="B-717",'2023'!$K$4="FO",'2023'!$K$2=BV271),'2023DATA'!$C$38,"")</f>
        <v/>
      </c>
      <c r="BW307" s="518" t="str">
        <f>IF(AND(_AC5="B-717",'2023'!$K$4="FO",'2023'!$K$2=BW271),'2023DATA'!$D$38,"")</f>
        <v/>
      </c>
      <c r="BX307" s="518" t="str">
        <f>IF(AND(_AC5="B-717",'2023'!$K$4="FO",'2023'!$K$2=BX271),'2023DATA'!$E$38,"")</f>
        <v/>
      </c>
      <c r="BY307" s="518" t="str">
        <f>IF(AND(_AC5="B-717",'2023'!$K$4="FO",'2023'!$K$2=BY271),'2023DATA'!$F$38,"")</f>
        <v/>
      </c>
      <c r="BZ307" s="518" t="str">
        <f>IF(AND(_AC5="B-717",'2023'!$K$4="FO",'2023'!$K$2=BZ271),'2023DATA'!$G$38,"")</f>
        <v/>
      </c>
      <c r="CA307" s="518" t="str">
        <f>IF(AND(_AC5="B-717",'2023'!$K$4="FO",'2023'!$K$2=CA271),'2023DATA'!$H$38,"")</f>
        <v/>
      </c>
      <c r="CB307" s="518" t="str">
        <f>IF(AND(_AC5="B-717",'2023'!$K$4="FO",'2023'!$K$2=CB271),'2023DATA'!$I$38,"")</f>
        <v/>
      </c>
      <c r="CC307" s="518" t="str">
        <f>IF(AND(_AC5="B-717",'2023'!$K$4="FO",'2023'!$K$2=CC271),'2023DATA'!$J$38,"")</f>
        <v/>
      </c>
      <c r="CD307" s="518" t="str">
        <f>IF(AND(_AC5="B-717",'2023'!$K$4="FO",'2023'!$K$2=CD271),'2023DATA'!$K$38,"")</f>
        <v/>
      </c>
      <c r="CE307" s="518" t="str">
        <f>IF(AND(_AC5="B-717",'2023'!$K$4="FO",'2023'!$K$2=CE271),'2023DATA'!$L$38,"")</f>
        <v/>
      </c>
      <c r="CF307" s="518" t="str">
        <f>IF(AND(_AC5="B-717",'2023'!$K$4="FO",'2023'!$K$2=CF271),'2023DATA'!$M$38,"")</f>
        <v/>
      </c>
      <c r="CG307" s="520" t="str">
        <f>IF(AND(_AC5="B-717",'2023'!$K$4="FO",'2023'!$K$2=CG271),'2023DATA'!$N$38,"")</f>
        <v/>
      </c>
      <c r="CH307" s="942"/>
      <c r="CI307" s="2" t="s">
        <v>62</v>
      </c>
      <c r="CJ307" s="518" t="str">
        <f>IF(AND(_AC6="B-717",'2023'!$K$4="FO",'2023'!$K$2=CJ271),'2023DATA'!$C$38,"")</f>
        <v/>
      </c>
      <c r="CK307" s="518" t="str">
        <f>IF(AND(_AC6="B-717",'2023'!$K$4="FO",'2023'!$K$2=CK271),'2023DATA'!$D$38,"")</f>
        <v/>
      </c>
      <c r="CL307" s="518" t="str">
        <f>IF(AND(_AC6="B-717",'2023'!$K$4="FO",'2023'!$K$2=CL271),'2023DATA'!$E$38,"")</f>
        <v/>
      </c>
      <c r="CM307" s="518" t="str">
        <f>IF(AND(_AC6="B-717",'2023'!$K$4="FO",'2023'!$K$2=CM271),'2023DATA'!$F$38,"")</f>
        <v/>
      </c>
      <c r="CN307" s="518" t="str">
        <f>IF(AND(_AC6="B-717",'2023'!$K$4="FO",'2023'!$K$2=CN271),'2023DATA'!$G$38,"")</f>
        <v/>
      </c>
      <c r="CO307" s="518" t="str">
        <f>IF(AND(_AC6="B-717",'2023'!$K$4="FO",'2023'!$K$2=CO271),'2023DATA'!$H$38,"")</f>
        <v/>
      </c>
      <c r="CP307" s="518" t="str">
        <f>IF(AND(_AC6="B-717",'2023'!$K$4="FO",'2023'!$K$2=CP271),'2023DATA'!$I$38,"")</f>
        <v/>
      </c>
      <c r="CQ307" s="518" t="str">
        <f>IF(AND(_AC6="B-717",'2023'!$K$4="FO",'2023'!$K$2=CQ271),'2023DATA'!$J$38,"")</f>
        <v/>
      </c>
      <c r="CR307" s="518" t="str">
        <f>IF(AND(_AC6="B-717",'2023'!$K$4="FO",'2023'!$K$2=CR271),'2023DATA'!$K$38,"")</f>
        <v/>
      </c>
      <c r="CS307" s="518" t="str">
        <f>IF(AND(_AC6="B-717",'2023'!$K$4="FO",'2023'!$K$2=CS271),'2023DATA'!$L$38,"")</f>
        <v/>
      </c>
      <c r="CT307" s="518" t="str">
        <f>IF(AND(_AC6="B-717",'2023'!$K$4="FO",'2023'!$K$2=CT271),'2023DATA'!$M$38,"")</f>
        <v/>
      </c>
      <c r="CU307" s="520" t="str">
        <f>IF(AND(_AC6="B-717",'2023'!$K$4="FO",'2023'!$K$2=CU271),'2023DATA'!$N$38,"")</f>
        <v/>
      </c>
    </row>
    <row r="308" spans="16:99" x14ac:dyDescent="0.25">
      <c r="P308" s="943" t="s">
        <v>140</v>
      </c>
      <c r="Q308" s="944"/>
      <c r="R308" s="944"/>
      <c r="S308" s="944"/>
      <c r="T308" s="944"/>
      <c r="U308" s="944"/>
      <c r="V308" s="944"/>
      <c r="W308" s="944"/>
      <c r="X308" s="944"/>
      <c r="Y308" s="944"/>
      <c r="Z308" s="944"/>
      <c r="AA308" s="944"/>
      <c r="AB308" s="944"/>
      <c r="AC308" s="945"/>
      <c r="AD308" s="943" t="s">
        <v>141</v>
      </c>
      <c r="AE308" s="944"/>
      <c r="AF308" s="944"/>
      <c r="AG308" s="944"/>
      <c r="AH308" s="944"/>
      <c r="AI308" s="944"/>
      <c r="AJ308" s="944"/>
      <c r="AK308" s="944"/>
      <c r="AL308" s="944"/>
      <c r="AM308" s="944"/>
      <c r="AN308" s="944"/>
      <c r="AO308" s="944"/>
      <c r="AP308" s="944"/>
      <c r="AQ308" s="945"/>
      <c r="AR308" s="943" t="s">
        <v>142</v>
      </c>
      <c r="AS308" s="944"/>
      <c r="AT308" s="944"/>
      <c r="AU308" s="944"/>
      <c r="AV308" s="944"/>
      <c r="AW308" s="944"/>
      <c r="AX308" s="944"/>
      <c r="AY308" s="944"/>
      <c r="AZ308" s="944"/>
      <c r="BA308" s="944"/>
      <c r="BB308" s="944"/>
      <c r="BC308" s="944"/>
      <c r="BD308" s="944"/>
      <c r="BE308" s="945"/>
      <c r="BF308" s="943" t="s">
        <v>143</v>
      </c>
      <c r="BG308" s="944"/>
      <c r="BH308" s="944"/>
      <c r="BI308" s="944"/>
      <c r="BJ308" s="944"/>
      <c r="BK308" s="944"/>
      <c r="BL308" s="944"/>
      <c r="BM308" s="944"/>
      <c r="BN308" s="944"/>
      <c r="BO308" s="944"/>
      <c r="BP308" s="944"/>
      <c r="BQ308" s="944"/>
      <c r="BR308" s="944"/>
      <c r="BS308" s="945"/>
      <c r="BT308" s="943" t="s">
        <v>144</v>
      </c>
      <c r="BU308" s="944"/>
      <c r="BV308" s="944"/>
      <c r="BW308" s="944"/>
      <c r="BX308" s="944"/>
      <c r="BY308" s="944"/>
      <c r="BZ308" s="944"/>
      <c r="CA308" s="944"/>
      <c r="CB308" s="944"/>
      <c r="CC308" s="944"/>
      <c r="CD308" s="944"/>
      <c r="CE308" s="944"/>
      <c r="CF308" s="944"/>
      <c r="CG308" s="945"/>
      <c r="CH308" s="943" t="s">
        <v>145</v>
      </c>
      <c r="CI308" s="944"/>
      <c r="CJ308" s="944"/>
      <c r="CK308" s="944"/>
      <c r="CL308" s="944"/>
      <c r="CM308" s="944"/>
      <c r="CN308" s="944"/>
      <c r="CO308" s="944"/>
      <c r="CP308" s="944"/>
      <c r="CQ308" s="944"/>
      <c r="CR308" s="944"/>
      <c r="CS308" s="944"/>
      <c r="CT308" s="944"/>
      <c r="CU308" s="945"/>
    </row>
    <row r="309" spans="16:99" x14ac:dyDescent="0.25">
      <c r="P309" s="601">
        <v>9</v>
      </c>
      <c r="Q309" s="567">
        <f>SUM(R310:AC345)</f>
        <v>0</v>
      </c>
      <c r="R309" s="3">
        <v>12</v>
      </c>
      <c r="S309" s="3">
        <v>11</v>
      </c>
      <c r="T309" s="3">
        <v>10</v>
      </c>
      <c r="U309" s="3">
        <v>9</v>
      </c>
      <c r="V309" s="3">
        <v>8</v>
      </c>
      <c r="W309" s="3">
        <v>7</v>
      </c>
      <c r="X309" s="3">
        <v>6</v>
      </c>
      <c r="Y309" s="3">
        <v>5</v>
      </c>
      <c r="Z309" s="3">
        <v>4</v>
      </c>
      <c r="AA309" s="3">
        <v>3</v>
      </c>
      <c r="AB309" s="3">
        <v>2</v>
      </c>
      <c r="AC309" s="519">
        <v>1</v>
      </c>
      <c r="AD309" s="567">
        <v>9</v>
      </c>
      <c r="AE309" s="567">
        <f>SUM(AF310:AQ345)</f>
        <v>0</v>
      </c>
      <c r="AF309" s="3">
        <v>12</v>
      </c>
      <c r="AG309" s="3">
        <v>11</v>
      </c>
      <c r="AH309" s="3">
        <v>10</v>
      </c>
      <c r="AI309" s="3">
        <v>9</v>
      </c>
      <c r="AJ309" s="3">
        <v>8</v>
      </c>
      <c r="AK309" s="3">
        <v>7</v>
      </c>
      <c r="AL309" s="3">
        <v>6</v>
      </c>
      <c r="AM309" s="3">
        <v>5</v>
      </c>
      <c r="AN309" s="3">
        <v>4</v>
      </c>
      <c r="AO309" s="3">
        <v>3</v>
      </c>
      <c r="AP309" s="3">
        <v>2</v>
      </c>
      <c r="AQ309" s="519">
        <v>1</v>
      </c>
      <c r="AR309" s="567">
        <v>9</v>
      </c>
      <c r="AS309" s="567">
        <f>SUM(AT310:BE345)</f>
        <v>0</v>
      </c>
      <c r="AT309" s="3">
        <v>12</v>
      </c>
      <c r="AU309" s="3">
        <v>11</v>
      </c>
      <c r="AV309" s="3">
        <v>10</v>
      </c>
      <c r="AW309" s="3">
        <v>9</v>
      </c>
      <c r="AX309" s="3">
        <v>8</v>
      </c>
      <c r="AY309" s="3">
        <v>7</v>
      </c>
      <c r="AZ309" s="3">
        <v>6</v>
      </c>
      <c r="BA309" s="3">
        <v>5</v>
      </c>
      <c r="BB309" s="3">
        <v>4</v>
      </c>
      <c r="BC309" s="3">
        <v>3</v>
      </c>
      <c r="BD309" s="3">
        <v>2</v>
      </c>
      <c r="BE309" s="519">
        <v>1</v>
      </c>
      <c r="BF309" s="567">
        <v>9</v>
      </c>
      <c r="BG309" s="567">
        <f>SUM(BH310:BS345)</f>
        <v>0</v>
      </c>
      <c r="BH309" s="3">
        <v>12</v>
      </c>
      <c r="BI309" s="3">
        <v>11</v>
      </c>
      <c r="BJ309" s="3">
        <v>10</v>
      </c>
      <c r="BK309" s="3">
        <v>9</v>
      </c>
      <c r="BL309" s="3">
        <v>8</v>
      </c>
      <c r="BM309" s="3">
        <v>7</v>
      </c>
      <c r="BN309" s="3">
        <v>6</v>
      </c>
      <c r="BO309" s="3">
        <v>5</v>
      </c>
      <c r="BP309" s="3">
        <v>4</v>
      </c>
      <c r="BQ309" s="3">
        <v>3</v>
      </c>
      <c r="BR309" s="3">
        <v>2</v>
      </c>
      <c r="BS309" s="519">
        <v>1</v>
      </c>
      <c r="BT309" s="567">
        <v>9</v>
      </c>
      <c r="BU309" s="567">
        <f>SUM(BV310:CG345)</f>
        <v>0</v>
      </c>
      <c r="BV309" s="3">
        <v>12</v>
      </c>
      <c r="BW309" s="3">
        <v>11</v>
      </c>
      <c r="BX309" s="3">
        <v>10</v>
      </c>
      <c r="BY309" s="3">
        <v>9</v>
      </c>
      <c r="BZ309" s="3">
        <v>8</v>
      </c>
      <c r="CA309" s="3">
        <v>7</v>
      </c>
      <c r="CB309" s="3">
        <v>6</v>
      </c>
      <c r="CC309" s="3">
        <v>5</v>
      </c>
      <c r="CD309" s="3">
        <v>4</v>
      </c>
      <c r="CE309" s="3">
        <v>3</v>
      </c>
      <c r="CF309" s="3">
        <v>2</v>
      </c>
      <c r="CG309" s="519">
        <v>1</v>
      </c>
      <c r="CH309" s="567">
        <v>9</v>
      </c>
      <c r="CI309" s="567">
        <f>SUM(CJ310:CU345)</f>
        <v>0</v>
      </c>
      <c r="CJ309" s="3">
        <v>12</v>
      </c>
      <c r="CK309" s="3">
        <v>11</v>
      </c>
      <c r="CL309" s="3">
        <v>10</v>
      </c>
      <c r="CM309" s="3">
        <v>9</v>
      </c>
      <c r="CN309" s="3">
        <v>8</v>
      </c>
      <c r="CO309" s="3">
        <v>7</v>
      </c>
      <c r="CP309" s="3">
        <v>6</v>
      </c>
      <c r="CQ309" s="3">
        <v>5</v>
      </c>
      <c r="CR309" s="3">
        <v>4</v>
      </c>
      <c r="CS309" s="3">
        <v>3</v>
      </c>
      <c r="CT309" s="3">
        <v>2</v>
      </c>
      <c r="CU309" s="519">
        <v>1</v>
      </c>
    </row>
    <row r="310" spans="16:99" x14ac:dyDescent="0.25">
      <c r="P310" s="940" t="s">
        <v>39</v>
      </c>
      <c r="Q310" s="13" t="s">
        <v>61</v>
      </c>
      <c r="R310" s="518" t="str">
        <f>IF(AND(_AC1="A-350",'2023'!$L$4="CA",'2023'!$L$2=R309),'2023DATA'!$C$3,"")</f>
        <v/>
      </c>
      <c r="S310" s="518" t="str">
        <f>IF(AND(_AC1="A-350",'2023'!$L$4="CA",'2023'!$L$2=S309),'2023DATA'!$D$3,"")</f>
        <v/>
      </c>
      <c r="T310" s="518" t="str">
        <f>IF(AND(_AC1="A-350",'2023'!$L$4="CA",'2023'!$L$2=T309),'2023DATA'!$E$3,"")</f>
        <v/>
      </c>
      <c r="U310" s="518" t="str">
        <f>IF(AND(_AC1="A-350",'2023'!$L$4="CA",'2023'!$L$2=U309),'2023DATA'!$F$3,"")</f>
        <v/>
      </c>
      <c r="V310" s="518" t="str">
        <f>IF(AND(_AC1="A-350",'2023'!$L$4="CA",'2023'!$L$2=V309),'2023DATA'!$G$3,"")</f>
        <v/>
      </c>
      <c r="W310" s="518" t="str">
        <f>IF(AND(_AC1="A-350",'2023'!$L$4="CA",'2023'!$L$2=W309),'2023DATA'!$H$3,"")</f>
        <v/>
      </c>
      <c r="X310" s="518" t="str">
        <f>IF(AND(_AC1="A-350",'2023'!$L$4="CA",'2023'!$L$2=X309),'2023DATA'!$I$3,"")</f>
        <v/>
      </c>
      <c r="Y310" s="518" t="str">
        <f>IF(AND(_AC1="A-350",'2023'!$L$4="CA",'2023'!$L$2=Y309),'2023DATA'!$J$3,"")</f>
        <v/>
      </c>
      <c r="Z310" s="518" t="str">
        <f>IF(AND(_AC1="A-350",'2023'!$L$4="CA",'2023'!$L$2=Z309),'2023DATA'!$K$3,"")</f>
        <v/>
      </c>
      <c r="AA310" s="518" t="str">
        <f>IF(AND(_AC1="A-350",'2023'!$L$4="CA",'2023'!$L$2=AA309),'2023DATA'!$L$3,"")</f>
        <v/>
      </c>
      <c r="AB310" s="518" t="str">
        <f>IF(AND(_AC1="A-350",'2023'!$L$4="CA",'2023'!$L$2=AB309),'2023DATA'!$M$3,"")</f>
        <v/>
      </c>
      <c r="AC310" s="520" t="str">
        <f>IF(AND(_AC1="A-350",'2023'!$L$4="CA",'2023'!$L$2=AC309),'2023DATA'!$N$3,"")</f>
        <v/>
      </c>
      <c r="AD310" s="940" t="s">
        <v>39</v>
      </c>
      <c r="AE310" s="13" t="s">
        <v>61</v>
      </c>
      <c r="AF310" s="518" t="str">
        <f>IF(AND(_AC2="A-350",'2023'!$L$4="CA",'2023'!$L$2=AF309),'2023DATA'!$C$3,"")</f>
        <v/>
      </c>
      <c r="AG310" s="518" t="str">
        <f>IF(AND(_AC2="A-350",'2023'!$L$4="CA",'2023'!$L$2=AG309),'2023DATA'!$D$3,"")</f>
        <v/>
      </c>
      <c r="AH310" s="518" t="str">
        <f>IF(AND(_AC2="A-350",'2023'!$L$4="CA",'2023'!$L$2=AH309),'2023DATA'!$E$3,"")</f>
        <v/>
      </c>
      <c r="AI310" s="518" t="str">
        <f>IF(AND(_AC2="A-350",'2023'!$L$4="CA",'2023'!$L$2=AI309),'2023DATA'!$F$3,"")</f>
        <v/>
      </c>
      <c r="AJ310" s="518" t="str">
        <f>IF(AND(_AC2="A-350",'2023'!$L$4="CA",'2023'!$L$2=AJ309),'2023DATA'!$G$3,"")</f>
        <v/>
      </c>
      <c r="AK310" s="518" t="str">
        <f>IF(AND(_AC2="A-350",'2023'!$L$4="CA",'2023'!$L$2=AK309),'2023DATA'!$H$3,"")</f>
        <v/>
      </c>
      <c r="AL310" s="518" t="str">
        <f>IF(AND(_AC2="A-350",'2023'!$L$4="CA",'2023'!$L$2=AL309),'2023DATA'!$I$3,"")</f>
        <v/>
      </c>
      <c r="AM310" s="518" t="str">
        <f>IF(AND(_AC2="A-350",'2023'!$L$4="CA",'2023'!$L$2=AM309),'2023DATA'!$J$3,"")</f>
        <v/>
      </c>
      <c r="AN310" s="518" t="str">
        <f>IF(AND(_AC2="A-350",'2023'!$L$4="CA",'2023'!$L$2=AN309),'2023DATA'!$K$3,"")</f>
        <v/>
      </c>
      <c r="AO310" s="518" t="str">
        <f>IF(AND(_AC2="A-350",'2023'!$L$4="CA",'2023'!$L$2=AO309),'2023DATA'!$L$3,"")</f>
        <v/>
      </c>
      <c r="AP310" s="518" t="str">
        <f>IF(AND(_AC2="A-350",'2023'!$L$4="CA",'2023'!$L$2=AP309),'2023DATA'!$M$3,"")</f>
        <v/>
      </c>
      <c r="AQ310" s="520" t="str">
        <f>IF(AND(_AC2="A-350",'2023'!$L$4="CA",'2023'!$L$2=AQ309),'2023DATA'!$N$3,"")</f>
        <v/>
      </c>
      <c r="AR310" s="940" t="s">
        <v>39</v>
      </c>
      <c r="AS310" s="13" t="s">
        <v>61</v>
      </c>
      <c r="AT310" s="518" t="str">
        <f>IF(AND(_AC3="A-350",'2023'!$L$4="CA",'2023'!$L$2=AT309),'2023DATA'!$C$3,"")</f>
        <v/>
      </c>
      <c r="AU310" s="518" t="str">
        <f>IF(AND(_AC3="A-350",'2023'!$L$4="CA",'2023'!$L$2=AU309),'2023DATA'!$D$3,"")</f>
        <v/>
      </c>
      <c r="AV310" s="518" t="str">
        <f>IF(AND(_AC3="A-350",'2023'!$L$4="CA",'2023'!$L$2=AV309),'2023DATA'!$E$3,"")</f>
        <v/>
      </c>
      <c r="AW310" s="518" t="str">
        <f>IF(AND(_AC3="A-350",'2023'!$L$4="CA",'2023'!$L$2=AW309),'2023DATA'!$F$3,"")</f>
        <v/>
      </c>
      <c r="AX310" s="518" t="str">
        <f>IF(AND(_AC3="A-350",'2023'!$L$4="CA",'2023'!$L$2=AX309),'2023DATA'!$G$3,"")</f>
        <v/>
      </c>
      <c r="AY310" s="518" t="str">
        <f>IF(AND(_AC3="A-350",'2023'!$L$4="CA",'2023'!$L$2=AY309),'2023DATA'!$H$3,"")</f>
        <v/>
      </c>
      <c r="AZ310" s="518" t="str">
        <f>IF(AND(_AC3="A-350",'2023'!$L$4="CA",'2023'!$L$2=AZ309),'2023DATA'!$I$3,"")</f>
        <v/>
      </c>
      <c r="BA310" s="518" t="str">
        <f>IF(AND(_AC3="A-350",'2023'!$L$4="CA",'2023'!$L$2=BA309),'2023DATA'!$J$3,"")</f>
        <v/>
      </c>
      <c r="BB310" s="518" t="str">
        <f>IF(AND(_AC3="A-350",'2023'!$L$4="CA",'2023'!$L$2=BB309),'2023DATA'!$K$3,"")</f>
        <v/>
      </c>
      <c r="BC310" s="518" t="str">
        <f>IF(AND(_AC3="A-350",'2023'!$L$4="CA",'2023'!$L$2=BC309),'2023DATA'!$L$3,"")</f>
        <v/>
      </c>
      <c r="BD310" s="518" t="str">
        <f>IF(AND(_AC3="A-350",'2023'!$L$4="CA",'2023'!$L$2=BD309),'2023DATA'!$M$3,"")</f>
        <v/>
      </c>
      <c r="BE310" s="520" t="str">
        <f>IF(AND(_AC3="A-350",'2023'!$L$4="CA",'2023'!$L$2=BE309),'2023DATA'!$N$3,"")</f>
        <v/>
      </c>
      <c r="BF310" s="940" t="s">
        <v>39</v>
      </c>
      <c r="BG310" s="13" t="s">
        <v>61</v>
      </c>
      <c r="BH310" s="518" t="str">
        <f>IF(AND(_AC4="A-350",'2023'!$L$4="CA",'2023'!$L$2=BH309),'2023DATA'!$C$3,"")</f>
        <v/>
      </c>
      <c r="BI310" s="518" t="str">
        <f>IF(AND(_AC4="A-350",'2023'!$L$4="CA",'2023'!$L$2=BI309),'2023DATA'!$D$3,"")</f>
        <v/>
      </c>
      <c r="BJ310" s="518" t="str">
        <f>IF(AND(_AC4="A-350",'2023'!$L$4="CA",'2023'!$L$2=BJ309),'2023DATA'!$E$3,"")</f>
        <v/>
      </c>
      <c r="BK310" s="518" t="str">
        <f>IF(AND(_AC4="A-350",'2023'!$L$4="CA",'2023'!$L$2=BK309),'2023DATA'!$F$3,"")</f>
        <v/>
      </c>
      <c r="BL310" s="518" t="str">
        <f>IF(AND(_AC4="A-350",'2023'!$L$4="CA",'2023'!$L$2=BL309),'2023DATA'!$G$3,"")</f>
        <v/>
      </c>
      <c r="BM310" s="518" t="str">
        <f>IF(AND(_AC4="A-350",'2023'!$L$4="CA",'2023'!$L$2=BM309),'2023DATA'!$H$3,"")</f>
        <v/>
      </c>
      <c r="BN310" s="518" t="str">
        <f>IF(AND(_AC4="A-350",'2023'!$L$4="CA",'2023'!$L$2=BN309),'2023DATA'!$I$3,"")</f>
        <v/>
      </c>
      <c r="BO310" s="518" t="str">
        <f>IF(AND(_AC4="A-350",'2023'!$L$4="CA",'2023'!$L$2=BO309),'2023DATA'!$J$3,"")</f>
        <v/>
      </c>
      <c r="BP310" s="518" t="str">
        <f>IF(AND(_AC4="A-350",'2023'!$L$4="CA",'2023'!$L$2=BP309),'2023DATA'!$K$3,"")</f>
        <v/>
      </c>
      <c r="BQ310" s="518" t="str">
        <f>IF(AND(_AC4="A-350",'2023'!$L$4="CA",'2023'!$L$2=BQ309),'2023DATA'!$L$3,"")</f>
        <v/>
      </c>
      <c r="BR310" s="518" t="str">
        <f>IF(AND(_AC4="A-350",'2023'!$L$4="CA",'2023'!$L$2=BR309),'2023DATA'!$M$3,"")</f>
        <v/>
      </c>
      <c r="BS310" s="520" t="str">
        <f>IF(AND(_AC4="A-350",'2023'!$L$4="CA",'2023'!$L$2=BS309),'2023DATA'!$N$3,"")</f>
        <v/>
      </c>
      <c r="BT310" s="940" t="s">
        <v>39</v>
      </c>
      <c r="BU310" s="13" t="s">
        <v>61</v>
      </c>
      <c r="BV310" s="518" t="str">
        <f>IF(AND(_AC5="A-350",'2023'!$L$4="CA",'2023'!$L$2=BV309),'2023DATA'!$C$3,"")</f>
        <v/>
      </c>
      <c r="BW310" s="518" t="str">
        <f>IF(AND(_AC5="A-350",'2023'!$L$4="CA",'2023'!$L$2=BW309),'2023DATA'!$D$3,"")</f>
        <v/>
      </c>
      <c r="BX310" s="518" t="str">
        <f>IF(AND(_AC5="A-350",'2023'!$L$4="CA",'2023'!$L$2=BX309),'2023DATA'!$E$3,"")</f>
        <v/>
      </c>
      <c r="BY310" s="518" t="str">
        <f>IF(AND(_AC5="A-350",'2023'!$L$4="CA",'2023'!$L$2=BY309),'2023DATA'!$F$3,"")</f>
        <v/>
      </c>
      <c r="BZ310" s="518" t="str">
        <f>IF(AND(_AC5="A-350",'2023'!$L$4="CA",'2023'!$L$2=BZ309),'2023DATA'!$G$3,"")</f>
        <v/>
      </c>
      <c r="CA310" s="518" t="str">
        <f>IF(AND(_AC5="A-350",'2023'!$L$4="CA",'2023'!$L$2=CA309),'2023DATA'!$H$3,"")</f>
        <v/>
      </c>
      <c r="CB310" s="518" t="str">
        <f>IF(AND(_AC5="A-350",'2023'!$L$4="CA",'2023'!$L$2=CB309),'2023DATA'!$I$3,"")</f>
        <v/>
      </c>
      <c r="CC310" s="518" t="str">
        <f>IF(AND(_AC5="A-350",'2023'!$L$4="CA",'2023'!$L$2=CC309),'2023DATA'!$J$3,"")</f>
        <v/>
      </c>
      <c r="CD310" s="518" t="str">
        <f>IF(AND(_AC5="A-350",'2023'!$L$4="CA",'2023'!$L$2=CD309),'2023DATA'!$K$3,"")</f>
        <v/>
      </c>
      <c r="CE310" s="518" t="str">
        <f>IF(AND(_AC5="A-350",'2023'!$L$4="CA",'2023'!$L$2=CE309),'2023DATA'!$L$3,"")</f>
        <v/>
      </c>
      <c r="CF310" s="518" t="str">
        <f>IF(AND(_AC5="A-350",'2023'!$L$4="CA",'2023'!$L$2=CF309),'2023DATA'!$M$3,"")</f>
        <v/>
      </c>
      <c r="CG310" s="520" t="str">
        <f>IF(AND(_AC5="A-350",'2023'!$L$4="CA",'2023'!$L$2=CG309),'2023DATA'!$N$3,"")</f>
        <v/>
      </c>
      <c r="CH310" s="940" t="s">
        <v>39</v>
      </c>
      <c r="CI310" s="13" t="s">
        <v>61</v>
      </c>
      <c r="CJ310" s="518" t="str">
        <f>IF(AND(_AC6="A-350",'2023'!$L$4="CA",'2023'!$L$2=CJ309),'2023DATA'!$C$3,"")</f>
        <v/>
      </c>
      <c r="CK310" s="518" t="str">
        <f>IF(AND(_AC6="A-350",'2023'!$L$4="CA",'2023'!$L$2=CK309),'2023DATA'!$D$3,"")</f>
        <v/>
      </c>
      <c r="CL310" s="518" t="str">
        <f>IF(AND(_AC6="A-350",'2023'!$L$4="CA",'2023'!$L$2=CL309),'2023DATA'!$E$3,"")</f>
        <v/>
      </c>
      <c r="CM310" s="518" t="str">
        <f>IF(AND(_AC6="A-350",'2023'!$L$4="CA",'2023'!$L$2=CM309),'2023DATA'!$F$3,"")</f>
        <v/>
      </c>
      <c r="CN310" s="518" t="str">
        <f>IF(AND(_AC6="A-350",'2023'!$L$4="CA",'2023'!$L$2=CN309),'2023DATA'!$G$3,"")</f>
        <v/>
      </c>
      <c r="CO310" s="518" t="str">
        <f>IF(AND(_AC6="A-350",'2023'!$L$4="CA",'2023'!$L$2=CO309),'2023DATA'!$H$3,"")</f>
        <v/>
      </c>
      <c r="CP310" s="518" t="str">
        <f>IF(AND(_AC6="A-350",'2023'!$L$4="CA",'2023'!$L$2=CP309),'2023DATA'!$I$3,"")</f>
        <v/>
      </c>
      <c r="CQ310" s="518" t="str">
        <f>IF(AND(_AC6="A-350",'2023'!$L$4="CA",'2023'!$L$2=CQ309),'2023DATA'!$J$3,"")</f>
        <v/>
      </c>
      <c r="CR310" s="518" t="str">
        <f>IF(AND(_AC6="A-350",'2023'!$L$4="CA",'2023'!$L$2=CR309),'2023DATA'!$K$3,"")</f>
        <v/>
      </c>
      <c r="CS310" s="518" t="str">
        <f>IF(AND(_AC6="A-350",'2023'!$L$4="CA",'2023'!$L$2=CS309),'2023DATA'!$L$3,"")</f>
        <v/>
      </c>
      <c r="CT310" s="518" t="str">
        <f>IF(AND(_AC6="A-350",'2023'!$L$4="CA",'2023'!$L$2=CT309),'2023DATA'!$M$3,"")</f>
        <v/>
      </c>
      <c r="CU310" s="520" t="str">
        <f>IF(AND(_AC6="A-350",'2023'!$L$4="CA",'2023'!$L$2=CU309),'2023DATA'!$N$3,"")</f>
        <v/>
      </c>
    </row>
    <row r="311" spans="16:99" x14ac:dyDescent="0.25">
      <c r="P311" s="940"/>
      <c r="Q311" s="13" t="s">
        <v>62</v>
      </c>
      <c r="R311" s="518" t="str">
        <f>IF(AND(_AC1="A-350",'2023'!$L$4="FO",'2023'!$L$2=R309),'2023DATA'!$C$4,"")</f>
        <v/>
      </c>
      <c r="S311" s="518" t="str">
        <f>IF(AND(_AC1="A-350",'2023'!$L$4="FO",'2023'!$L$2=S309),'2023DATA'!$D$4,"")</f>
        <v/>
      </c>
      <c r="T311" s="518" t="str">
        <f>IF(AND(_AC1="A-350",'2023'!$L$4="FO",'2023'!$L$2=T309),'2023DATA'!$E$4,"")</f>
        <v/>
      </c>
      <c r="U311" s="518" t="str">
        <f>IF(AND(_AC1="A-350",'2023'!$L$4="FO",'2023'!$L$2=U309),'2023DATA'!$F$4,"")</f>
        <v/>
      </c>
      <c r="V311" s="518" t="str">
        <f>IF(AND(_AC1="A-350",'2023'!$L$4="FO",'2023'!$L$2=V309),'2023DATA'!$G$4,"")</f>
        <v/>
      </c>
      <c r="W311" s="518" t="str">
        <f>IF(AND(_AC1="A-350",'2023'!$L$4="FO",'2023'!$L$2=W309),'2023DATA'!$H$4,"")</f>
        <v/>
      </c>
      <c r="X311" s="518" t="str">
        <f>IF(AND(_AC1="A-350",'2023'!$L$4="FO",'2023'!$L$2=X309),'2023DATA'!$I$4,"")</f>
        <v/>
      </c>
      <c r="Y311" s="518" t="str">
        <f>IF(AND(_AC1="A-350",'2023'!$L$4="FO",'2023'!$L$2=Y309),'2023DATA'!$J$4,"")</f>
        <v/>
      </c>
      <c r="Z311" s="518" t="str">
        <f>IF(AND(_AC1="A-350",'2023'!$L$4="FO",'2023'!$L$2=Z309),'2023DATA'!$K$4,"")</f>
        <v/>
      </c>
      <c r="AA311" s="518" t="str">
        <f>IF(AND(_AC1="A-350",'2023'!$L$4="FO",'2023'!$L$2=AA309),'2023DATA'!$L$4,"")</f>
        <v/>
      </c>
      <c r="AB311" s="518" t="str">
        <f>IF(AND(_AC1="A-350",'2023'!$L$4="FO",'2023'!$L$2=AB309),'2023DATA'!$M$4,"")</f>
        <v/>
      </c>
      <c r="AC311" s="520" t="str">
        <f>IF(AND(_AC1="A-350",'2023'!$L$4="FO",'2023'!$L$2=AC309),'2023DATA'!$N$4,"")</f>
        <v/>
      </c>
      <c r="AD311" s="940"/>
      <c r="AE311" s="13" t="s">
        <v>62</v>
      </c>
      <c r="AF311" s="518" t="str">
        <f>IF(AND(_AC2="A-350",'2023'!$L$4="FO",'2023'!$L$2=AF309),'2023DATA'!$C$4,"")</f>
        <v/>
      </c>
      <c r="AG311" s="518" t="str">
        <f>IF(AND(_AC2="A-350",'2023'!$L$4="FO",'2023'!$L$2=AG309),'2023DATA'!$D$4,"")</f>
        <v/>
      </c>
      <c r="AH311" s="518" t="str">
        <f>IF(AND(_AC2="A-350",'2023'!$L$4="FO",'2023'!$L$2=AH309),'2023DATA'!$E$4,"")</f>
        <v/>
      </c>
      <c r="AI311" s="518" t="str">
        <f>IF(AND(_AC2="A-350",'2023'!$L$4="FO",'2023'!$L$2=AI309),'2023DATA'!$F$4,"")</f>
        <v/>
      </c>
      <c r="AJ311" s="518" t="str">
        <f>IF(AND(_AC2="A-350",'2023'!$L$4="FO",'2023'!$L$2=AJ309),'2023DATA'!$G$4,"")</f>
        <v/>
      </c>
      <c r="AK311" s="518" t="str">
        <f>IF(AND(_AC2="A-350",'2023'!$L$4="FO",'2023'!$L$2=AK309),'2023DATA'!$H$4,"")</f>
        <v/>
      </c>
      <c r="AL311" s="518" t="str">
        <f>IF(AND(_AC2="A-350",'2023'!$L$4="FO",'2023'!$L$2=AL309),'2023DATA'!$I$4,"")</f>
        <v/>
      </c>
      <c r="AM311" s="518" t="str">
        <f>IF(AND(_AC2="A-350",'2023'!$L$4="FO",'2023'!$L$2=AM309),'2023DATA'!$J$4,"")</f>
        <v/>
      </c>
      <c r="AN311" s="518" t="str">
        <f>IF(AND(_AC2="A-350",'2023'!$L$4="FO",'2023'!$L$2=AN309),'2023DATA'!$K$4,"")</f>
        <v/>
      </c>
      <c r="AO311" s="518" t="str">
        <f>IF(AND(_AC2="A-350",'2023'!$L$4="FO",'2023'!$L$2=AO309),'2023DATA'!$L$4,"")</f>
        <v/>
      </c>
      <c r="AP311" s="518" t="str">
        <f>IF(AND(_AC2="A-350",'2023'!$L$4="FO",'2023'!$L$2=AP309),'2023DATA'!$M$4,"")</f>
        <v/>
      </c>
      <c r="AQ311" s="520" t="str">
        <f>IF(AND(_AC2="A-350",'2023'!$L$4="FO",'2023'!$L$2=AQ309),'2023DATA'!$N$4,"")</f>
        <v/>
      </c>
      <c r="AR311" s="940"/>
      <c r="AS311" s="13" t="s">
        <v>62</v>
      </c>
      <c r="AT311" s="518" t="str">
        <f>IF(AND(_AC3="A-350",'2023'!$L$4="FO",'2023'!$L$2=AT309),'2023DATA'!$C$4,"")</f>
        <v/>
      </c>
      <c r="AU311" s="518" t="str">
        <f>IF(AND(_AC3="A-350",'2023'!$L$4="FO",'2023'!$L$2=AU309),'2023DATA'!$D$4,"")</f>
        <v/>
      </c>
      <c r="AV311" s="518" t="str">
        <f>IF(AND(_AC3="A-350",'2023'!$L$4="FO",'2023'!$L$2=AV309),'2023DATA'!$E$4,"")</f>
        <v/>
      </c>
      <c r="AW311" s="518" t="str">
        <f>IF(AND(_AC3="A-350",'2023'!$L$4="FO",'2023'!$L$2=AW309),'2023DATA'!$F$4,"")</f>
        <v/>
      </c>
      <c r="AX311" s="518" t="str">
        <f>IF(AND(_AC3="A-350",'2023'!$L$4="FO",'2023'!$L$2=AX309),'2023DATA'!$G$4,"")</f>
        <v/>
      </c>
      <c r="AY311" s="518" t="str">
        <f>IF(AND(_AC3="A-350",'2023'!$L$4="FO",'2023'!$L$2=AY309),'2023DATA'!$H$4,"")</f>
        <v/>
      </c>
      <c r="AZ311" s="518" t="str">
        <f>IF(AND(_AC3="A-350",'2023'!$L$4="FO",'2023'!$L$2=AZ309),'2023DATA'!$I$4,"")</f>
        <v/>
      </c>
      <c r="BA311" s="518" t="str">
        <f>IF(AND(_AC3="A-350",'2023'!$L$4="FO",'2023'!$L$2=BA309),'2023DATA'!$J$4,"")</f>
        <v/>
      </c>
      <c r="BB311" s="518" t="str">
        <f>IF(AND(_AC3="A-350",'2023'!$L$4="FO",'2023'!$L$2=BB309),'2023DATA'!$K$4,"")</f>
        <v/>
      </c>
      <c r="BC311" s="518" t="str">
        <f>IF(AND(_AC3="A-350",'2023'!$L$4="FO",'2023'!$L$2=BC309),'2023DATA'!$L$4,"")</f>
        <v/>
      </c>
      <c r="BD311" s="518" t="str">
        <f>IF(AND(_AC3="A-350",'2023'!$L$4="FO",'2023'!$L$2=BD309),'2023DATA'!$M$4,"")</f>
        <v/>
      </c>
      <c r="BE311" s="520" t="str">
        <f>IF(AND(_AC3="A-350",'2023'!$L$4="FO",'2023'!$L$2=BE309),'2023DATA'!$N$4,"")</f>
        <v/>
      </c>
      <c r="BF311" s="940"/>
      <c r="BG311" s="13" t="s">
        <v>62</v>
      </c>
      <c r="BH311" s="518" t="str">
        <f>IF(AND(_AC4="A-350",'2023'!$L$4="FO",'2023'!$L$2=BH309),'2023DATA'!$C$4,"")</f>
        <v/>
      </c>
      <c r="BI311" s="518" t="str">
        <f>IF(AND(_AC4="A-350",'2023'!$L$4="FO",'2023'!$L$2=BI309),'2023DATA'!$D$4,"")</f>
        <v/>
      </c>
      <c r="BJ311" s="518" t="str">
        <f>IF(AND(_AC4="A-350",'2023'!$L$4="FO",'2023'!$L$2=BJ309),'2023DATA'!$E$4,"")</f>
        <v/>
      </c>
      <c r="BK311" s="518" t="str">
        <f>IF(AND(_AC4="A-350",'2023'!$L$4="FO",'2023'!$L$2=BK309),'2023DATA'!$F$4,"")</f>
        <v/>
      </c>
      <c r="BL311" s="518" t="str">
        <f>IF(AND(_AC4="A-350",'2023'!$L$4="FO",'2023'!$L$2=BL309),'2023DATA'!$G$4,"")</f>
        <v/>
      </c>
      <c r="BM311" s="518" t="str">
        <f>IF(AND(_AC4="A-350",'2023'!$L$4="FO",'2023'!$L$2=BM309),'2023DATA'!$H$4,"")</f>
        <v/>
      </c>
      <c r="BN311" s="518" t="str">
        <f>IF(AND(_AC4="A-350",'2023'!$L$4="FO",'2023'!$L$2=BN309),'2023DATA'!$I$4,"")</f>
        <v/>
      </c>
      <c r="BO311" s="518" t="str">
        <f>IF(AND(_AC4="A-350",'2023'!$L$4="FO",'2023'!$L$2=BO309),'2023DATA'!$J$4,"")</f>
        <v/>
      </c>
      <c r="BP311" s="518" t="str">
        <f>IF(AND(_AC4="A-350",'2023'!$L$4="FO",'2023'!$L$2=BP309),'2023DATA'!$K$4,"")</f>
        <v/>
      </c>
      <c r="BQ311" s="518" t="str">
        <f>IF(AND(_AC4="A-350",'2023'!$L$4="FO",'2023'!$L$2=BQ309),'2023DATA'!$L$4,"")</f>
        <v/>
      </c>
      <c r="BR311" s="518" t="str">
        <f>IF(AND(_AC4="A-350",'2023'!$L$4="FO",'2023'!$L$2=BR309),'2023DATA'!$M$4,"")</f>
        <v/>
      </c>
      <c r="BS311" s="520" t="str">
        <f>IF(AND(_AC4="A-350",'2023'!$L$4="FO",'2023'!$L$2=BS309),'2023DATA'!$N$4,"")</f>
        <v/>
      </c>
      <c r="BT311" s="940"/>
      <c r="BU311" s="13" t="s">
        <v>62</v>
      </c>
      <c r="BV311" s="518" t="str">
        <f>IF(AND(_AC5="A-350",'2023'!$L$4="FO",'2023'!$L$2=BV309),'2023DATA'!$C$4,"")</f>
        <v/>
      </c>
      <c r="BW311" s="518" t="str">
        <f>IF(AND(_AC5="A-350",'2023'!$L$4="FO",'2023'!$L$2=BW309),'2023DATA'!$D$4,"")</f>
        <v/>
      </c>
      <c r="BX311" s="518" t="str">
        <f>IF(AND(_AC5="A-350",'2023'!$L$4="FO",'2023'!$L$2=BX309),'2023DATA'!$E$4,"")</f>
        <v/>
      </c>
      <c r="BY311" s="518" t="str">
        <f>IF(AND(_AC5="A-350",'2023'!$L$4="FO",'2023'!$L$2=BY309),'2023DATA'!$F$4,"")</f>
        <v/>
      </c>
      <c r="BZ311" s="518" t="str">
        <f>IF(AND(_AC5="A-350",'2023'!$L$4="FO",'2023'!$L$2=BZ309),'2023DATA'!$G$4,"")</f>
        <v/>
      </c>
      <c r="CA311" s="518" t="str">
        <f>IF(AND(_AC5="A-350",'2023'!$L$4="FO",'2023'!$L$2=CA309),'2023DATA'!$H$4,"")</f>
        <v/>
      </c>
      <c r="CB311" s="518" t="str">
        <f>IF(AND(_AC5="A-350",'2023'!$L$4="FO",'2023'!$L$2=CB309),'2023DATA'!$I$4,"")</f>
        <v/>
      </c>
      <c r="CC311" s="518" t="str">
        <f>IF(AND(_AC5="A-350",'2023'!$L$4="FO",'2023'!$L$2=CC309),'2023DATA'!$J$4,"")</f>
        <v/>
      </c>
      <c r="CD311" s="518" t="str">
        <f>IF(AND(_AC5="A-350",'2023'!$L$4="FO",'2023'!$L$2=CD309),'2023DATA'!$K$4,"")</f>
        <v/>
      </c>
      <c r="CE311" s="518" t="str">
        <f>IF(AND(_AC5="A-350",'2023'!$L$4="FO",'2023'!$L$2=CE309),'2023DATA'!$L$4,"")</f>
        <v/>
      </c>
      <c r="CF311" s="518" t="str">
        <f>IF(AND(_AC5="A-350",'2023'!$L$4="FO",'2023'!$L$2=CF309),'2023DATA'!$M$4,"")</f>
        <v/>
      </c>
      <c r="CG311" s="520" t="str">
        <f>IF(AND(_AC5="A-350",'2023'!$L$4="FO",'2023'!$L$2=CG309),'2023DATA'!$N$4,"")</f>
        <v/>
      </c>
      <c r="CH311" s="940"/>
      <c r="CI311" s="13" t="s">
        <v>62</v>
      </c>
      <c r="CJ311" s="518" t="str">
        <f>IF(AND(_AC6="A-350",'2023'!$L$4="FO",'2023'!$L$2=CJ309),'2023DATA'!$C$4,"")</f>
        <v/>
      </c>
      <c r="CK311" s="518" t="str">
        <f>IF(AND(_AC6="A-350",'2023'!$L$4="FO",'2023'!$L$2=CK309),'2023DATA'!$D$4,"")</f>
        <v/>
      </c>
      <c r="CL311" s="518" t="str">
        <f>IF(AND(_AC6="A-350",'2023'!$L$4="FO",'2023'!$L$2=CL309),'2023DATA'!$E$4,"")</f>
        <v/>
      </c>
      <c r="CM311" s="518" t="str">
        <f>IF(AND(_AC6="A-350",'2023'!$L$4="FO",'2023'!$L$2=CM309),'2023DATA'!$F$4,"")</f>
        <v/>
      </c>
      <c r="CN311" s="518" t="str">
        <f>IF(AND(_AC6="A-350",'2023'!$L$4="FO",'2023'!$L$2=CN309),'2023DATA'!$G$4,"")</f>
        <v/>
      </c>
      <c r="CO311" s="518" t="str">
        <f>IF(AND(_AC6="A-350",'2023'!$L$4="FO",'2023'!$L$2=CO309),'2023DATA'!$H$4,"")</f>
        <v/>
      </c>
      <c r="CP311" s="518" t="str">
        <f>IF(AND(_AC6="A-350",'2023'!$L$4="FO",'2023'!$L$2=CP309),'2023DATA'!$I$4,"")</f>
        <v/>
      </c>
      <c r="CQ311" s="518" t="str">
        <f>IF(AND(_AC6="A-350",'2023'!$L$4="FO",'2023'!$L$2=CQ309),'2023DATA'!$J$4,"")</f>
        <v/>
      </c>
      <c r="CR311" s="518" t="str">
        <f>IF(AND(_AC6="A-350",'2023'!$L$4="FO",'2023'!$L$2=CR309),'2023DATA'!$K$4,"")</f>
        <v/>
      </c>
      <c r="CS311" s="518" t="str">
        <f>IF(AND(_AC6="A-350",'2023'!$L$4="FO",'2023'!$L$2=CS309),'2023DATA'!$L$4,"")</f>
        <v/>
      </c>
      <c r="CT311" s="518" t="str">
        <f>IF(AND(_AC6="A-350",'2023'!$L$4="FO",'2023'!$L$2=CT309),'2023DATA'!$M$4,"")</f>
        <v/>
      </c>
      <c r="CU311" s="520" t="str">
        <f>IF(AND(_AC6="A-350",'2023'!$L$4="FO",'2023'!$L$2=CU309),'2023DATA'!$N$4,"")</f>
        <v/>
      </c>
    </row>
    <row r="312" spans="16:99" x14ac:dyDescent="0.25">
      <c r="P312" s="940" t="s">
        <v>65</v>
      </c>
      <c r="Q312" s="13" t="s">
        <v>61</v>
      </c>
      <c r="R312" s="518" t="str">
        <f>IF(AND(_AC1="A-330-900",'2023'!$L$4="CA",'2023'!$L$2=R309),'2023DATA'!$C$5,"")</f>
        <v/>
      </c>
      <c r="S312" s="518" t="str">
        <f>IF(AND(_AC1="A-330-900",'2023'!$L$4="CA",'2023'!$L$2=S309),'2023DATA'!$D$5,"")</f>
        <v/>
      </c>
      <c r="T312" s="518" t="str">
        <f>IF(AND(_AC1="A-330-900",'2023'!$L$4="CA",'2023'!$L$2=T309),'2023DATA'!$E$5,"")</f>
        <v/>
      </c>
      <c r="U312" s="518" t="str">
        <f>IF(AND(_AC1="A-330-900",'2023'!$L$4="CA",'2023'!$L$2=U309),'2023DATA'!$F$5,"")</f>
        <v/>
      </c>
      <c r="V312" s="518" t="str">
        <f>IF(AND(_AC1="A-330-900",'2023'!$L$4="CA",'2023'!$L$2=V309),'2023DATA'!$G$5,"")</f>
        <v/>
      </c>
      <c r="W312" s="518" t="str">
        <f>IF(AND(_AC1="A-330-900",'2023'!$L$4="CA",'2023'!$L$2=W309),'2023DATA'!$H$5,"")</f>
        <v/>
      </c>
      <c r="X312" s="518" t="str">
        <f>IF(AND(_AC1="A-330-900",'2023'!$L$4="CA",'2023'!$L$2=X309),'2023DATA'!$I$5,"")</f>
        <v/>
      </c>
      <c r="Y312" s="518" t="str">
        <f>IF(AND(_AC1="A-330-900",'2023'!$L$4="CA",'2023'!$L$2=Y309),'2023DATA'!$J$5,"")</f>
        <v/>
      </c>
      <c r="Z312" s="518" t="str">
        <f>IF(AND(_AC1="A-330-900",'2023'!$L$4="CA",'2023'!$L$2=Z309),'2023DATA'!$K$5,"")</f>
        <v/>
      </c>
      <c r="AA312" s="518" t="str">
        <f>IF(AND(_AC1="A-330-900",'2023'!$L$4="CA",'2023'!$L$2=AA309),'2023DATA'!$L$5,"")</f>
        <v/>
      </c>
      <c r="AB312" s="518" t="str">
        <f>IF(AND(_AC1="A-330-900",'2023'!$L$4="CA",'2023'!$L$2=AB309),'2023DATA'!$M$5,"")</f>
        <v/>
      </c>
      <c r="AC312" s="520" t="str">
        <f>IF(AND(_AC1="A-330-900",'2023'!$L$4="CA",'2023'!$L$2=AC309),'2023DATA'!$N$5,"")</f>
        <v/>
      </c>
      <c r="AD312" s="940" t="s">
        <v>65</v>
      </c>
      <c r="AE312" s="13" t="s">
        <v>61</v>
      </c>
      <c r="AF312" s="518" t="str">
        <f>IF(AND(_AC2="A-330-900",'2023'!$L$4="CA",'2023'!$L$2=AF309),'2023DATA'!$C$5,"")</f>
        <v/>
      </c>
      <c r="AG312" s="518" t="str">
        <f>IF(AND(_AC2="A-330-900",'2023'!$L$4="CA",'2023'!$L$2=AG309),'2023DATA'!$D$5,"")</f>
        <v/>
      </c>
      <c r="AH312" s="518" t="str">
        <f>IF(AND(_AC2="A-330-900",'2023'!$L$4="CA",'2023'!$L$2=AH309),'2023DATA'!$E$5,"")</f>
        <v/>
      </c>
      <c r="AI312" s="518" t="str">
        <f>IF(AND(_AC2="A-330-900",'2023'!$L$4="CA",'2023'!$L$2=AI309),'2023DATA'!$F$5,"")</f>
        <v/>
      </c>
      <c r="AJ312" s="518" t="str">
        <f>IF(AND(_AC2="A-330-900",'2023'!$L$4="CA",'2023'!$L$2=AJ309),'2023DATA'!$G$5,"")</f>
        <v/>
      </c>
      <c r="AK312" s="518" t="str">
        <f>IF(AND(_AC2="A-330-900",'2023'!$L$4="CA",'2023'!$L$2=AK309),'2023DATA'!$H$5,"")</f>
        <v/>
      </c>
      <c r="AL312" s="518" t="str">
        <f>IF(AND(_AC2="A-330-900",'2023'!$L$4="CA",'2023'!$L$2=AL309),'2023DATA'!$I$5,"")</f>
        <v/>
      </c>
      <c r="AM312" s="518" t="str">
        <f>IF(AND(_AC2="A-330-900",'2023'!$L$4="CA",'2023'!$L$2=AM309),'2023DATA'!$J$5,"")</f>
        <v/>
      </c>
      <c r="AN312" s="518" t="str">
        <f>IF(AND(_AC2="A-330-900",'2023'!$L$4="CA",'2023'!$L$2=AN309),'2023DATA'!$K$5,"")</f>
        <v/>
      </c>
      <c r="AO312" s="518" t="str">
        <f>IF(AND(_AC2="A-330-900",'2023'!$L$4="CA",'2023'!$L$2=AO309),'2023DATA'!$L$5,"")</f>
        <v/>
      </c>
      <c r="AP312" s="518" t="str">
        <f>IF(AND(_AC2="A-330-900",'2023'!$L$4="CA",'2023'!$L$2=AP309),'2023DATA'!$M$5,"")</f>
        <v/>
      </c>
      <c r="AQ312" s="520" t="str">
        <f>IF(AND(_AC2="A-330-900",'2023'!$L$4="CA",'2023'!$L$2=AQ309),'2023DATA'!$N$5,"")</f>
        <v/>
      </c>
      <c r="AR312" s="940" t="s">
        <v>65</v>
      </c>
      <c r="AS312" s="13" t="s">
        <v>61</v>
      </c>
      <c r="AT312" s="518" t="str">
        <f>IF(AND(_AC3="A-330-900",'2023'!$L$4="CA",'2023'!$L$2=AT309),'2023DATA'!$C$5,"")</f>
        <v/>
      </c>
      <c r="AU312" s="518" t="str">
        <f>IF(AND(_AC3="A-330-900",'2023'!$L$4="CA",'2023'!$L$2=AU309),'2023DATA'!$D$5,"")</f>
        <v/>
      </c>
      <c r="AV312" s="518" t="str">
        <f>IF(AND(_AC3="A-330-900",'2023'!$L$4="CA",'2023'!$L$2=AV309),'2023DATA'!$E$5,"")</f>
        <v/>
      </c>
      <c r="AW312" s="518" t="str">
        <f>IF(AND(_AC3="A-330-900",'2023'!$L$4="CA",'2023'!$L$2=AW309),'2023DATA'!$F$5,"")</f>
        <v/>
      </c>
      <c r="AX312" s="518" t="str">
        <f>IF(AND(_AC3="A-330-900",'2023'!$L$4="CA",'2023'!$L$2=AX309),'2023DATA'!$G$5,"")</f>
        <v/>
      </c>
      <c r="AY312" s="518" t="str">
        <f>IF(AND(_AC3="A-330-900",'2023'!$L$4="CA",'2023'!$L$2=AY309),'2023DATA'!$H$5,"")</f>
        <v/>
      </c>
      <c r="AZ312" s="518" t="str">
        <f>IF(AND(_AC3="A-330-900",'2023'!$L$4="CA",'2023'!$L$2=AZ309),'2023DATA'!$I$5,"")</f>
        <v/>
      </c>
      <c r="BA312" s="518" t="str">
        <f>IF(AND(_AC3="A-330-900",'2023'!$L$4="CA",'2023'!$L$2=BA309),'2023DATA'!$J$5,"")</f>
        <v/>
      </c>
      <c r="BB312" s="518" t="str">
        <f>IF(AND(_AC3="A-330-900",'2023'!$L$4="CA",'2023'!$L$2=BB309),'2023DATA'!$K$5,"")</f>
        <v/>
      </c>
      <c r="BC312" s="518" t="str">
        <f>IF(AND(_AC3="A-330-900",'2023'!$L$4="CA",'2023'!$L$2=BC309),'2023DATA'!$L$5,"")</f>
        <v/>
      </c>
      <c r="BD312" s="518" t="str">
        <f>IF(AND(_AC3="A-330-900",'2023'!$L$4="CA",'2023'!$L$2=BD309),'2023DATA'!$M$5,"")</f>
        <v/>
      </c>
      <c r="BE312" s="520" t="str">
        <f>IF(AND(_AC3="A-330-900",'2023'!$L$4="CA",'2023'!$L$2=BE309),'2023DATA'!$N$5,"")</f>
        <v/>
      </c>
      <c r="BF312" s="940" t="s">
        <v>65</v>
      </c>
      <c r="BG312" s="13" t="s">
        <v>61</v>
      </c>
      <c r="BH312" s="518" t="str">
        <f>IF(AND(_AC4="A-330-900",'2023'!$L$4="CA",'2023'!$L$2=BH309),'2023DATA'!$C$5,"")</f>
        <v/>
      </c>
      <c r="BI312" s="518" t="str">
        <f>IF(AND(_AC4="A-330-900",'2023'!$L$4="CA",'2023'!$L$2=BI309),'2023DATA'!$D$5,"")</f>
        <v/>
      </c>
      <c r="BJ312" s="518" t="str">
        <f>IF(AND(_AC4="A-330-900",'2023'!$L$4="CA",'2023'!$L$2=BJ309),'2023DATA'!$E$5,"")</f>
        <v/>
      </c>
      <c r="BK312" s="518" t="str">
        <f>IF(AND(_AC4="A-330-900",'2023'!$L$4="CA",'2023'!$L$2=BK309),'2023DATA'!$F$5,"")</f>
        <v/>
      </c>
      <c r="BL312" s="518" t="str">
        <f>IF(AND(_AC4="A-330-900",'2023'!$L$4="CA",'2023'!$L$2=BL309),'2023DATA'!$G$5,"")</f>
        <v/>
      </c>
      <c r="BM312" s="518" t="str">
        <f>IF(AND(_AC4="A-330-900",'2023'!$L$4="CA",'2023'!$L$2=BM309),'2023DATA'!$H$5,"")</f>
        <v/>
      </c>
      <c r="BN312" s="518" t="str">
        <f>IF(AND(_AC4="A-330-900",'2023'!$L$4="CA",'2023'!$L$2=BN309),'2023DATA'!$I$5,"")</f>
        <v/>
      </c>
      <c r="BO312" s="518" t="str">
        <f>IF(AND(_AC4="A-330-900",'2023'!$L$4="CA",'2023'!$L$2=BO309),'2023DATA'!$J$5,"")</f>
        <v/>
      </c>
      <c r="BP312" s="518" t="str">
        <f>IF(AND(_AC4="A-330-900",'2023'!$L$4="CA",'2023'!$L$2=BP309),'2023DATA'!$K$5,"")</f>
        <v/>
      </c>
      <c r="BQ312" s="518" t="str">
        <f>IF(AND(_AC4="A-330-900",'2023'!$L$4="CA",'2023'!$L$2=BQ309),'2023DATA'!$L$5,"")</f>
        <v/>
      </c>
      <c r="BR312" s="518" t="str">
        <f>IF(AND(_AC4="A-330-900",'2023'!$L$4="CA",'2023'!$L$2=BR309),'2023DATA'!$M$5,"")</f>
        <v/>
      </c>
      <c r="BS312" s="520" t="str">
        <f>IF(AND(_AC4="A-330-900",'2023'!$L$4="CA",'2023'!$L$2=BS309),'2023DATA'!$N$5,"")</f>
        <v/>
      </c>
      <c r="BT312" s="940" t="s">
        <v>65</v>
      </c>
      <c r="BU312" s="13" t="s">
        <v>61</v>
      </c>
      <c r="BV312" s="518" t="str">
        <f>IF(AND(_AC5="A-330-900",'2023'!$L$4="CA",'2023'!$L$2=BV309),'2023DATA'!$C$5,"")</f>
        <v/>
      </c>
      <c r="BW312" s="518" t="str">
        <f>IF(AND(_AC5="A-330-900",'2023'!$L$4="CA",'2023'!$L$2=BW309),'2023DATA'!$D$5,"")</f>
        <v/>
      </c>
      <c r="BX312" s="518" t="str">
        <f>IF(AND(_AC5="A-330-900",'2023'!$L$4="CA",'2023'!$L$2=BX309),'2023DATA'!$E$5,"")</f>
        <v/>
      </c>
      <c r="BY312" s="518" t="str">
        <f>IF(AND(_AC5="A-330-900",'2023'!$L$4="CA",'2023'!$L$2=BY309),'2023DATA'!$F$5,"")</f>
        <v/>
      </c>
      <c r="BZ312" s="518" t="str">
        <f>IF(AND(_AC5="A-330-900",'2023'!$L$4="CA",'2023'!$L$2=BZ309),'2023DATA'!$G$5,"")</f>
        <v/>
      </c>
      <c r="CA312" s="518" t="str">
        <f>IF(AND(_AC5="A-330-900",'2023'!$L$4="CA",'2023'!$L$2=CA309),'2023DATA'!$H$5,"")</f>
        <v/>
      </c>
      <c r="CB312" s="518" t="str">
        <f>IF(AND(_AC5="A-330-900",'2023'!$L$4="CA",'2023'!$L$2=CB309),'2023DATA'!$I$5,"")</f>
        <v/>
      </c>
      <c r="CC312" s="518" t="str">
        <f>IF(AND(_AC5="A-330-900",'2023'!$L$4="CA",'2023'!$L$2=CC309),'2023DATA'!$J$5,"")</f>
        <v/>
      </c>
      <c r="CD312" s="518" t="str">
        <f>IF(AND(_AC5="A-330-900",'2023'!$L$4="CA",'2023'!$L$2=CD309),'2023DATA'!$K$5,"")</f>
        <v/>
      </c>
      <c r="CE312" s="518" t="str">
        <f>IF(AND(_AC5="A-330-900",'2023'!$L$4="CA",'2023'!$L$2=CE309),'2023DATA'!$L$5,"")</f>
        <v/>
      </c>
      <c r="CF312" s="518" t="str">
        <f>IF(AND(_AC5="A-330-900",'2023'!$L$4="CA",'2023'!$L$2=CF309),'2023DATA'!$M$5,"")</f>
        <v/>
      </c>
      <c r="CG312" s="520" t="str">
        <f>IF(AND(_AC5="A-330-900",'2023'!$L$4="CA",'2023'!$L$2=CG309),'2023DATA'!$N$5,"")</f>
        <v/>
      </c>
      <c r="CH312" s="940" t="s">
        <v>65</v>
      </c>
      <c r="CI312" s="13" t="s">
        <v>61</v>
      </c>
      <c r="CJ312" s="518" t="str">
        <f>IF(AND(_AC6="A-330-900",'2023'!$L$4="CA",'2023'!$L$2=CJ309),'2023DATA'!$C$5,"")</f>
        <v/>
      </c>
      <c r="CK312" s="518" t="str">
        <f>IF(AND(_AC6="A-330-900",'2023'!$L$4="CA",'2023'!$L$2=CK309),'2023DATA'!$D$5,"")</f>
        <v/>
      </c>
      <c r="CL312" s="518" t="str">
        <f>IF(AND(_AC6="A-330-900",'2023'!$L$4="CA",'2023'!$L$2=CL309),'2023DATA'!$E$5,"")</f>
        <v/>
      </c>
      <c r="CM312" s="518" t="str">
        <f>IF(AND(_AC6="A-330-900",'2023'!$L$4="CA",'2023'!$L$2=CM309),'2023DATA'!$F$5,"")</f>
        <v/>
      </c>
      <c r="CN312" s="518" t="str">
        <f>IF(AND(_AC6="A-330-900",'2023'!$L$4="CA",'2023'!$L$2=CN309),'2023DATA'!$G$5,"")</f>
        <v/>
      </c>
      <c r="CO312" s="518" t="str">
        <f>IF(AND(_AC6="A-330-900",'2023'!$L$4="CA",'2023'!$L$2=CO309),'2023DATA'!$H$5,"")</f>
        <v/>
      </c>
      <c r="CP312" s="518" t="str">
        <f>IF(AND(_AC6="A-330-900",'2023'!$L$4="CA",'2023'!$L$2=CP309),'2023DATA'!$I$5,"")</f>
        <v/>
      </c>
      <c r="CQ312" s="518" t="str">
        <f>IF(AND(_AC6="A-330-900",'2023'!$L$4="CA",'2023'!$L$2=CQ309),'2023DATA'!$J$5,"")</f>
        <v/>
      </c>
      <c r="CR312" s="518" t="str">
        <f>IF(AND(_AC6="A-330-900",'2023'!$L$4="CA",'2023'!$L$2=CR309),'2023DATA'!$K$5,"")</f>
        <v/>
      </c>
      <c r="CS312" s="518" t="str">
        <f>IF(AND(_AC6="A-330-900",'2023'!$L$4="CA",'2023'!$L$2=CS309),'2023DATA'!$L$5,"")</f>
        <v/>
      </c>
      <c r="CT312" s="518" t="str">
        <f>IF(AND(_AC6="A-330-900",'2023'!$L$4="CA",'2023'!$L$2=CT309),'2023DATA'!$M$5,"")</f>
        <v/>
      </c>
      <c r="CU312" s="520" t="str">
        <f>IF(AND(_AC6="A-330-900",'2023'!$L$4="CA",'2023'!$L$2=CU309),'2023DATA'!$N$5,"")</f>
        <v/>
      </c>
    </row>
    <row r="313" spans="16:99" x14ac:dyDescent="0.25">
      <c r="P313" s="940"/>
      <c r="Q313" s="13" t="s">
        <v>62</v>
      </c>
      <c r="R313" s="518" t="str">
        <f>IF(AND(_AC1="A-330-900",'2023'!$L$4="FO",'2023'!$L$2=R309),'2023DATA'!$C$6,"")</f>
        <v/>
      </c>
      <c r="S313" s="518" t="str">
        <f>IF(AND(_AC1="A-330-900",'2023'!$L$4="FO",'2023'!$L$2=S309),'2023DATA'!$D$6,"")</f>
        <v/>
      </c>
      <c r="T313" s="518" t="str">
        <f>IF(AND(_AC1="A-330-900",'2023'!$L$4="FO",'2023'!$L$2=T309),'2023DATA'!$E$6,"")</f>
        <v/>
      </c>
      <c r="U313" s="518" t="str">
        <f>IF(AND(_AC1="A-330-900",'2023'!$L$4="FO",'2023'!$L$2=U309),'2023DATA'!$F$6,"")</f>
        <v/>
      </c>
      <c r="V313" s="518" t="str">
        <f>IF(AND(_AC1="A-330-900",'2023'!$L$4="FO",'2023'!$L$2=V309),'2023DATA'!$G$6,"")</f>
        <v/>
      </c>
      <c r="W313" s="518" t="str">
        <f>IF(AND(_AC1="A-330-900",'2023'!$L$4="FO",'2023'!$L$2=W309),'2023DATA'!$H$6,"")</f>
        <v/>
      </c>
      <c r="X313" s="518" t="str">
        <f>IF(AND(_AC1="A-330-900",'2023'!$L$4="FO",'2023'!$L$2=X309),'2023DATA'!$I$6,"")</f>
        <v/>
      </c>
      <c r="Y313" s="518" t="str">
        <f>IF(AND(_AC1="A-330-900",'2023'!$L$4="FO",'2023'!$L$2=Y309),'2023DATA'!$J$6,"")</f>
        <v/>
      </c>
      <c r="Z313" s="518" t="str">
        <f>IF(AND(_AC1="A-330-900",'2023'!$L$4="FO",'2023'!$L$2=Z309),'2023DATA'!$K$6,"")</f>
        <v/>
      </c>
      <c r="AA313" s="518" t="str">
        <f>IF(AND(_AC1="A-330-900",'2023'!$L$4="FO",'2023'!$L$2=AA309),'2023DATA'!$L$6,"")</f>
        <v/>
      </c>
      <c r="AB313" s="518" t="str">
        <f>IF(AND(_AC1="A-330-900",'2023'!$L$4="FO",'2023'!$L$2=AB309),'2023DATA'!$M$6,"")</f>
        <v/>
      </c>
      <c r="AC313" s="520" t="str">
        <f>IF(AND(_AC1="A-330-900",'2023'!$L$4="FO",'2023'!$L$2=AC309),'2023DATA'!$N$6,"")</f>
        <v/>
      </c>
      <c r="AD313" s="940"/>
      <c r="AE313" s="13" t="s">
        <v>62</v>
      </c>
      <c r="AF313" s="518" t="str">
        <f>IF(AND(_AC2="A-330-900",'2023'!$L$4="FO",'2023'!$L$2=AF309),'2023DATA'!$C$6,"")</f>
        <v/>
      </c>
      <c r="AG313" s="518" t="str">
        <f>IF(AND(_AC2="A-330-900",'2023'!$L$4="FO",'2023'!$L$2=AG309),'2023DATA'!$D$6,"")</f>
        <v/>
      </c>
      <c r="AH313" s="518" t="str">
        <f>IF(AND(_AC2="A-330-900",'2023'!$L$4="FO",'2023'!$L$2=AH309),'2023DATA'!$E$6,"")</f>
        <v/>
      </c>
      <c r="AI313" s="518" t="str">
        <f>IF(AND(_AC2="A-330-900",'2023'!$L$4="FO",'2023'!$L$2=AI309),'2023DATA'!$F$6,"")</f>
        <v/>
      </c>
      <c r="AJ313" s="518" t="str">
        <f>IF(AND(_AC2="A-330-900",'2023'!$L$4="FO",'2023'!$L$2=AJ309),'2023DATA'!$G$6,"")</f>
        <v/>
      </c>
      <c r="AK313" s="518" t="str">
        <f>IF(AND(_AC2="A-330-900",'2023'!$L$4="FO",'2023'!$L$2=AK309),'2023DATA'!$H$6,"")</f>
        <v/>
      </c>
      <c r="AL313" s="518" t="str">
        <f>IF(AND(_AC2="A-330-900",'2023'!$L$4="FO",'2023'!$L$2=AL309),'2023DATA'!$I$6,"")</f>
        <v/>
      </c>
      <c r="AM313" s="518" t="str">
        <f>IF(AND(_AC2="A-330-900",'2023'!$L$4="FO",'2023'!$L$2=AM309),'2023DATA'!$J$6,"")</f>
        <v/>
      </c>
      <c r="AN313" s="518" t="str">
        <f>IF(AND(_AC2="A-330-900",'2023'!$L$4="FO",'2023'!$L$2=AN309),'2023DATA'!$K$6,"")</f>
        <v/>
      </c>
      <c r="AO313" s="518" t="str">
        <f>IF(AND(_AC2="A-330-900",'2023'!$L$4="FO",'2023'!$L$2=AO309),'2023DATA'!$L$6,"")</f>
        <v/>
      </c>
      <c r="AP313" s="518" t="str">
        <f>IF(AND(_AC2="A-330-900",'2023'!$L$4="FO",'2023'!$L$2=AP309),'2023DATA'!$M$6,"")</f>
        <v/>
      </c>
      <c r="AQ313" s="520" t="str">
        <f>IF(AND(_AC2="A-330-900",'2023'!$L$4="FO",'2023'!$L$2=AQ309),'2023DATA'!$N$6,"")</f>
        <v/>
      </c>
      <c r="AR313" s="940"/>
      <c r="AS313" s="13" t="s">
        <v>62</v>
      </c>
      <c r="AT313" s="518" t="str">
        <f>IF(AND(_AC3="A-330-900",'2023'!$L$4="FO",'2023'!$L$2=AT309),'2023DATA'!$C$6,"")</f>
        <v/>
      </c>
      <c r="AU313" s="518" t="str">
        <f>IF(AND(_AC3="A-330-900",'2023'!$L$4="FO",'2023'!$L$2=AU309),'2023DATA'!$D$6,"")</f>
        <v/>
      </c>
      <c r="AV313" s="518" t="str">
        <f>IF(AND(_AC3="A-330-900",'2023'!$L$4="FO",'2023'!$L$2=AV309),'2023DATA'!$E$6,"")</f>
        <v/>
      </c>
      <c r="AW313" s="518" t="str">
        <f>IF(AND(_AC3="A-330-900",'2023'!$L$4="FO",'2023'!$L$2=AW309),'2023DATA'!$F$6,"")</f>
        <v/>
      </c>
      <c r="AX313" s="518" t="str">
        <f>IF(AND(_AC3="A-330-900",'2023'!$L$4="FO",'2023'!$L$2=AX309),'2023DATA'!$G$6,"")</f>
        <v/>
      </c>
      <c r="AY313" s="518" t="str">
        <f>IF(AND(_AC3="A-330-900",'2023'!$L$4="FO",'2023'!$L$2=AY309),'2023DATA'!$H$6,"")</f>
        <v/>
      </c>
      <c r="AZ313" s="518" t="str">
        <f>IF(AND(_AC3="A-330-900",'2023'!$L$4="FO",'2023'!$L$2=AZ309),'2023DATA'!$I$6,"")</f>
        <v/>
      </c>
      <c r="BA313" s="518" t="str">
        <f>IF(AND(_AC3="A-330-900",'2023'!$L$4="FO",'2023'!$L$2=BA309),'2023DATA'!$J$6,"")</f>
        <v/>
      </c>
      <c r="BB313" s="518" t="str">
        <f>IF(AND(_AC3="A-330-900",'2023'!$L$4="FO",'2023'!$L$2=BB309),'2023DATA'!$K$6,"")</f>
        <v/>
      </c>
      <c r="BC313" s="518" t="str">
        <f>IF(AND(_AC3="A-330-900",'2023'!$L$4="FO",'2023'!$L$2=BC309),'2023DATA'!$L$6,"")</f>
        <v/>
      </c>
      <c r="BD313" s="518" t="str">
        <f>IF(AND(_AC3="A-330-900",'2023'!$L$4="FO",'2023'!$L$2=BD309),'2023DATA'!$M$6,"")</f>
        <v/>
      </c>
      <c r="BE313" s="520" t="str">
        <f>IF(AND(_AC3="A-330-900",'2023'!$L$4="FO",'2023'!$L$2=BE309),'2023DATA'!$N$6,"")</f>
        <v/>
      </c>
      <c r="BF313" s="940"/>
      <c r="BG313" s="13" t="s">
        <v>62</v>
      </c>
      <c r="BH313" s="518" t="str">
        <f>IF(AND(_AC4="A-330-900",'2023'!$L$4="FO",'2023'!$L$2=BH309),'2023DATA'!$C$6,"")</f>
        <v/>
      </c>
      <c r="BI313" s="518" t="str">
        <f>IF(AND(_AC4="A-330-900",'2023'!$L$4="FO",'2023'!$L$2=BI309),'2023DATA'!$D$6,"")</f>
        <v/>
      </c>
      <c r="BJ313" s="518" t="str">
        <f>IF(AND(_AC4="A-330-900",'2023'!$L$4="FO",'2023'!$L$2=BJ309),'2023DATA'!$E$6,"")</f>
        <v/>
      </c>
      <c r="BK313" s="518" t="str">
        <f>IF(AND(_AC4="A-330-900",'2023'!$L$4="FO",'2023'!$L$2=BK309),'2023DATA'!$F$6,"")</f>
        <v/>
      </c>
      <c r="BL313" s="518" t="str">
        <f>IF(AND(_AC4="A-330-900",'2023'!$L$4="FO",'2023'!$L$2=BL309),'2023DATA'!$G$6,"")</f>
        <v/>
      </c>
      <c r="BM313" s="518" t="str">
        <f>IF(AND(_AC4="A-330-900",'2023'!$L$4="FO",'2023'!$L$2=BM309),'2023DATA'!$H$6,"")</f>
        <v/>
      </c>
      <c r="BN313" s="518" t="str">
        <f>IF(AND(_AC4="A-330-900",'2023'!$L$4="FO",'2023'!$L$2=BN309),'2023DATA'!$I$6,"")</f>
        <v/>
      </c>
      <c r="BO313" s="518" t="str">
        <f>IF(AND(_AC4="A-330-900",'2023'!$L$4="FO",'2023'!$L$2=BO309),'2023DATA'!$J$6,"")</f>
        <v/>
      </c>
      <c r="BP313" s="518" t="str">
        <f>IF(AND(_AC4="A-330-900",'2023'!$L$4="FO",'2023'!$L$2=BP309),'2023DATA'!$K$6,"")</f>
        <v/>
      </c>
      <c r="BQ313" s="518" t="str">
        <f>IF(AND(_AC4="A-330-900",'2023'!$L$4="FO",'2023'!$L$2=BQ309),'2023DATA'!$L$6,"")</f>
        <v/>
      </c>
      <c r="BR313" s="518" t="str">
        <f>IF(AND(_AC4="A-330-900",'2023'!$L$4="FO",'2023'!$L$2=BR309),'2023DATA'!$M$6,"")</f>
        <v/>
      </c>
      <c r="BS313" s="520" t="str">
        <f>IF(AND(_AC4="A-330-900",'2023'!$L$4="FO",'2023'!$L$2=BS309),'2023DATA'!$N$6,"")</f>
        <v/>
      </c>
      <c r="BT313" s="940"/>
      <c r="BU313" s="13" t="s">
        <v>62</v>
      </c>
      <c r="BV313" s="518" t="str">
        <f>IF(AND(_AC5="A-330-900",'2023'!$L$4="FO",'2023'!$L$2=BV309),'2023DATA'!$C$6,"")</f>
        <v/>
      </c>
      <c r="BW313" s="518" t="str">
        <f>IF(AND(_AC5="A-330-900",'2023'!$L$4="FO",'2023'!$L$2=BW309),'2023DATA'!$D$6,"")</f>
        <v/>
      </c>
      <c r="BX313" s="518" t="str">
        <f>IF(AND(_AC5="A-330-900",'2023'!$L$4="FO",'2023'!$L$2=BX309),'2023DATA'!$E$6,"")</f>
        <v/>
      </c>
      <c r="BY313" s="518" t="str">
        <f>IF(AND(_AC5="A-330-900",'2023'!$L$4="FO",'2023'!$L$2=BY309),'2023DATA'!$F$6,"")</f>
        <v/>
      </c>
      <c r="BZ313" s="518" t="str">
        <f>IF(AND(_AC5="A-330-900",'2023'!$L$4="FO",'2023'!$L$2=BZ309),'2023DATA'!$G$6,"")</f>
        <v/>
      </c>
      <c r="CA313" s="518" t="str">
        <f>IF(AND(_AC5="A-330-900",'2023'!$L$4="FO",'2023'!$L$2=CA309),'2023DATA'!$H$6,"")</f>
        <v/>
      </c>
      <c r="CB313" s="518" t="str">
        <f>IF(AND(_AC5="A-330-900",'2023'!$L$4="FO",'2023'!$L$2=CB309),'2023DATA'!$I$6,"")</f>
        <v/>
      </c>
      <c r="CC313" s="518" t="str">
        <f>IF(AND(_AC5="A-330-900",'2023'!$L$4="FO",'2023'!$L$2=CC309),'2023DATA'!$J$6,"")</f>
        <v/>
      </c>
      <c r="CD313" s="518" t="str">
        <f>IF(AND(_AC5="A-330-900",'2023'!$L$4="FO",'2023'!$L$2=CD309),'2023DATA'!$K$6,"")</f>
        <v/>
      </c>
      <c r="CE313" s="518" t="str">
        <f>IF(AND(_AC5="A-330-900",'2023'!$L$4="FO",'2023'!$L$2=CE309),'2023DATA'!$L$6,"")</f>
        <v/>
      </c>
      <c r="CF313" s="518" t="str">
        <f>IF(AND(_AC5="A-330-900",'2023'!$L$4="FO",'2023'!$L$2=CF309),'2023DATA'!$M$6,"")</f>
        <v/>
      </c>
      <c r="CG313" s="520" t="str">
        <f>IF(AND(_AC5="A-330-900",'2023'!$L$4="FO",'2023'!$L$2=CG309),'2023DATA'!$N$6,"")</f>
        <v/>
      </c>
      <c r="CH313" s="940"/>
      <c r="CI313" s="13" t="s">
        <v>62</v>
      </c>
      <c r="CJ313" s="518" t="str">
        <f>IF(AND(_AC6="A-330-900",'2023'!$L$4="FO",'2023'!$L$2=CJ309),'2023DATA'!$C$6,"")</f>
        <v/>
      </c>
      <c r="CK313" s="518" t="str">
        <f>IF(AND(_AC6="A-330-900",'2023'!$L$4="FO",'2023'!$L$2=CK309),'2023DATA'!$D$6,"")</f>
        <v/>
      </c>
      <c r="CL313" s="518" t="str">
        <f>IF(AND(_AC6="A-330-900",'2023'!$L$4="FO",'2023'!$L$2=CL309),'2023DATA'!$E$6,"")</f>
        <v/>
      </c>
      <c r="CM313" s="518" t="str">
        <f>IF(AND(_AC6="A-330-900",'2023'!$L$4="FO",'2023'!$L$2=CM309),'2023DATA'!$F$6,"")</f>
        <v/>
      </c>
      <c r="CN313" s="518" t="str">
        <f>IF(AND(_AC6="A-330-900",'2023'!$L$4="FO",'2023'!$L$2=CN309),'2023DATA'!$G$6,"")</f>
        <v/>
      </c>
      <c r="CO313" s="518" t="str">
        <f>IF(AND(_AC6="A-330-900",'2023'!$L$4="FO",'2023'!$L$2=CO309),'2023DATA'!$H$6,"")</f>
        <v/>
      </c>
      <c r="CP313" s="518" t="str">
        <f>IF(AND(_AC6="A-330-900",'2023'!$L$4="FO",'2023'!$L$2=CP309),'2023DATA'!$I$6,"")</f>
        <v/>
      </c>
      <c r="CQ313" s="518" t="str">
        <f>IF(AND(_AC6="A-330-900",'2023'!$L$4="FO",'2023'!$L$2=CQ309),'2023DATA'!$J$6,"")</f>
        <v/>
      </c>
      <c r="CR313" s="518" t="str">
        <f>IF(AND(_AC6="A-330-900",'2023'!$L$4="FO",'2023'!$L$2=CR309),'2023DATA'!$K$6,"")</f>
        <v/>
      </c>
      <c r="CS313" s="518" t="str">
        <f>IF(AND(_AC6="A-330-900",'2023'!$L$4="FO",'2023'!$L$2=CS309),'2023DATA'!$L$6,"")</f>
        <v/>
      </c>
      <c r="CT313" s="518" t="str">
        <f>IF(AND(_AC6="A-330-900",'2023'!$L$4="FO",'2023'!$L$2=CT309),'2023DATA'!$M$6,"")</f>
        <v/>
      </c>
      <c r="CU313" s="520" t="str">
        <f>IF(AND(_AC6="A-330-900",'2023'!$L$4="FO",'2023'!$L$2=CU309),'2023DATA'!$N$6,"")</f>
        <v/>
      </c>
    </row>
    <row r="314" spans="16:99" x14ac:dyDescent="0.25">
      <c r="P314" s="940" t="s">
        <v>64</v>
      </c>
      <c r="Q314" s="13" t="s">
        <v>61</v>
      </c>
      <c r="R314" s="518" t="str">
        <f>IF(AND(_AC1="A-330-300",'2023'!$L$4="CA",'2023'!$L$2=R309),'2023DATA'!$C$7,"")</f>
        <v/>
      </c>
      <c r="S314" s="518" t="str">
        <f>IF(AND(_AC1="A-330-300",'2023'!$L$4="CA",'2023'!$L$2=S309),'2023DATA'!$D$7,"")</f>
        <v/>
      </c>
      <c r="T314" s="518" t="str">
        <f>IF(AND(_AC1="A-330-300",'2023'!$L$4="CA",'2023'!$L$2=T309),'2023DATA'!$E$7,"")</f>
        <v/>
      </c>
      <c r="U314" s="518" t="str">
        <f>IF(AND(_AC1="A-330-300",'2023'!$L$4="CA",'2023'!$L$2=U309),'2023DATA'!$F$7,"")</f>
        <v/>
      </c>
      <c r="V314" s="518" t="str">
        <f>IF(AND(_AC1="A-330-300",'2023'!$L$4="CA",'2023'!$L$2=V309),'2023DATA'!$G$7,"")</f>
        <v/>
      </c>
      <c r="W314" s="518" t="str">
        <f>IF(AND(_AC1="A-330-300",'2023'!$L$4="CA",'2023'!$L$2=W309),'2023DATA'!$H$7,"")</f>
        <v/>
      </c>
      <c r="X314" s="518" t="str">
        <f>IF(AND(_AC1="A-330-300",'2023'!$L$4="CA",'2023'!$L$2=X309),'2023DATA'!$I$7,"")</f>
        <v/>
      </c>
      <c r="Y314" s="518" t="str">
        <f>IF(AND(_AC1="A-330-300",'2023'!$L$4="CA",'2023'!$L$2=Y309),'2023DATA'!$J$7,"")</f>
        <v/>
      </c>
      <c r="Z314" s="518" t="str">
        <f>IF(AND(_AC1="A-330-300",'2023'!$L$4="CA",'2023'!$L$2=Z309),'2023DATA'!$K$7,"")</f>
        <v/>
      </c>
      <c r="AA314" s="518" t="str">
        <f>IF(AND(_AC1="A-330-300",'2023'!$L$4="CA",'2023'!$L$2=AA309),'2023DATA'!$L$7,"")</f>
        <v/>
      </c>
      <c r="AB314" s="518" t="str">
        <f>IF(AND(_AC1="A-330-300",'2023'!$L$4="CA",'2023'!$L$2=AB309),'2023DATA'!$M$7,"")</f>
        <v/>
      </c>
      <c r="AC314" s="520" t="str">
        <f>IF(AND(_AC1="A-330-300",'2023'!$L$4="CA",'2023'!$L$2=AC309),'2023DATA'!$N$7,"")</f>
        <v/>
      </c>
      <c r="AD314" s="940" t="s">
        <v>64</v>
      </c>
      <c r="AE314" s="13" t="s">
        <v>61</v>
      </c>
      <c r="AF314" s="518" t="str">
        <f>IF(AND(_AC2="A-330-300",'2023'!$L$4="CA",'2023'!$L$2=AF309),'2023DATA'!$C$7,"")</f>
        <v/>
      </c>
      <c r="AG314" s="518" t="str">
        <f>IF(AND(_AC2="A-330-300",'2023'!$L$4="CA",'2023'!$L$2=AG309),'2023DATA'!$D$7,"")</f>
        <v/>
      </c>
      <c r="AH314" s="518" t="str">
        <f>IF(AND(_AC2="A-330-300",'2023'!$L$4="CA",'2023'!$L$2=AH309),'2023DATA'!$E$7,"")</f>
        <v/>
      </c>
      <c r="AI314" s="518" t="str">
        <f>IF(AND(_AC2="A-330-300",'2023'!$L$4="CA",'2023'!$L$2=AI309),'2023DATA'!$F$7,"")</f>
        <v/>
      </c>
      <c r="AJ314" s="518" t="str">
        <f>IF(AND(_AC2="A-330-300",'2023'!$L$4="CA",'2023'!$L$2=AJ309),'2023DATA'!$G$7,"")</f>
        <v/>
      </c>
      <c r="AK314" s="518" t="str">
        <f>IF(AND(_AC2="A-330-300",'2023'!$L$4="CA",'2023'!$L$2=AK309),'2023DATA'!$H$7,"")</f>
        <v/>
      </c>
      <c r="AL314" s="518" t="str">
        <f>IF(AND(_AC2="A-330-300",'2023'!$L$4="CA",'2023'!$L$2=AL309),'2023DATA'!$I$7,"")</f>
        <v/>
      </c>
      <c r="AM314" s="518" t="str">
        <f>IF(AND(_AC2="A-330-300",'2023'!$L$4="CA",'2023'!$L$2=AM309),'2023DATA'!$J$7,"")</f>
        <v/>
      </c>
      <c r="AN314" s="518" t="str">
        <f>IF(AND(_AC2="A-330-300",'2023'!$L$4="CA",'2023'!$L$2=AN309),'2023DATA'!$K$7,"")</f>
        <v/>
      </c>
      <c r="AO314" s="518" t="str">
        <f>IF(AND(_AC2="A-330-300",'2023'!$L$4="CA",'2023'!$L$2=AO309),'2023DATA'!$L$7,"")</f>
        <v/>
      </c>
      <c r="AP314" s="518" t="str">
        <f>IF(AND(_AC2="A-330-300",'2023'!$L$4="CA",'2023'!$L$2=AP309),'2023DATA'!$M$7,"")</f>
        <v/>
      </c>
      <c r="AQ314" s="520" t="str">
        <f>IF(AND(_AC2="A-330-300",'2023'!$L$4="CA",'2023'!$L$2=AQ309),'2023DATA'!$N$7,"")</f>
        <v/>
      </c>
      <c r="AR314" s="940" t="s">
        <v>64</v>
      </c>
      <c r="AS314" s="13" t="s">
        <v>61</v>
      </c>
      <c r="AT314" s="518" t="str">
        <f>IF(AND(_AC3="A-330-300",'2023'!$L$4="CA",'2023'!$L$2=AT309),'2023DATA'!$C$7,"")</f>
        <v/>
      </c>
      <c r="AU314" s="518" t="str">
        <f>IF(AND(_AC3="A-330-300",'2023'!$L$4="CA",'2023'!$L$2=AU309),'2023DATA'!$D$7,"")</f>
        <v/>
      </c>
      <c r="AV314" s="518" t="str">
        <f>IF(AND(_AC3="A-330-300",'2023'!$L$4="CA",'2023'!$L$2=AV309),'2023DATA'!$E$7,"")</f>
        <v/>
      </c>
      <c r="AW314" s="518" t="str">
        <f>IF(AND(_AC3="A-330-300",'2023'!$L$4="CA",'2023'!$L$2=AW309),'2023DATA'!$F$7,"")</f>
        <v/>
      </c>
      <c r="AX314" s="518" t="str">
        <f>IF(AND(_AC3="A-330-300",'2023'!$L$4="CA",'2023'!$L$2=AX309),'2023DATA'!$G$7,"")</f>
        <v/>
      </c>
      <c r="AY314" s="518" t="str">
        <f>IF(AND(_AC3="A-330-300",'2023'!$L$4="CA",'2023'!$L$2=AY309),'2023DATA'!$H$7,"")</f>
        <v/>
      </c>
      <c r="AZ314" s="518" t="str">
        <f>IF(AND(_AC3="A-330-300",'2023'!$L$4="CA",'2023'!$L$2=AZ309),'2023DATA'!$I$7,"")</f>
        <v/>
      </c>
      <c r="BA314" s="518" t="str">
        <f>IF(AND(_AC3="A-330-300",'2023'!$L$4="CA",'2023'!$L$2=BA309),'2023DATA'!$J$7,"")</f>
        <v/>
      </c>
      <c r="BB314" s="518" t="str">
        <f>IF(AND(_AC3="A-330-300",'2023'!$L$4="CA",'2023'!$L$2=BB309),'2023DATA'!$K$7,"")</f>
        <v/>
      </c>
      <c r="BC314" s="518" t="str">
        <f>IF(AND(_AC3="A-330-300",'2023'!$L$4="CA",'2023'!$L$2=BC309),'2023DATA'!$L$7,"")</f>
        <v/>
      </c>
      <c r="BD314" s="518" t="str">
        <f>IF(AND(_AC3="A-330-300",'2023'!$L$4="CA",'2023'!$L$2=BD309),'2023DATA'!$M$7,"")</f>
        <v/>
      </c>
      <c r="BE314" s="520" t="str">
        <f>IF(AND(_AC3="A-330-300",'2023'!$L$4="CA",'2023'!$L$2=BE309),'2023DATA'!$N$7,"")</f>
        <v/>
      </c>
      <c r="BF314" s="940" t="s">
        <v>64</v>
      </c>
      <c r="BG314" s="13" t="s">
        <v>61</v>
      </c>
      <c r="BH314" s="518" t="str">
        <f>IF(AND(_AC4="A-330-300",'2023'!$L$4="CA",'2023'!$L$2=BH309),'2023DATA'!$C$7,"")</f>
        <v/>
      </c>
      <c r="BI314" s="518" t="str">
        <f>IF(AND(_AC4="A-330-300",'2023'!$L$4="CA",'2023'!$L$2=BI309),'2023DATA'!$D$7,"")</f>
        <v/>
      </c>
      <c r="BJ314" s="518" t="str">
        <f>IF(AND(_AC4="A-330-300",'2023'!$L$4="CA",'2023'!$L$2=BJ309),'2023DATA'!$E$7,"")</f>
        <v/>
      </c>
      <c r="BK314" s="518" t="str">
        <f>IF(AND(_AC4="A-330-300",'2023'!$L$4="CA",'2023'!$L$2=BK309),'2023DATA'!$F$7,"")</f>
        <v/>
      </c>
      <c r="BL314" s="518" t="str">
        <f>IF(AND(_AC4="A-330-300",'2023'!$L$4="CA",'2023'!$L$2=BL309),'2023DATA'!$G$7,"")</f>
        <v/>
      </c>
      <c r="BM314" s="518" t="str">
        <f>IF(AND(_AC4="A-330-300",'2023'!$L$4="CA",'2023'!$L$2=BM309),'2023DATA'!$H$7,"")</f>
        <v/>
      </c>
      <c r="BN314" s="518" t="str">
        <f>IF(AND(_AC4="A-330-300",'2023'!$L$4="CA",'2023'!$L$2=BN309),'2023DATA'!$I$7,"")</f>
        <v/>
      </c>
      <c r="BO314" s="518" t="str">
        <f>IF(AND(_AC4="A-330-300",'2023'!$L$4="CA",'2023'!$L$2=BO309),'2023DATA'!$J$7,"")</f>
        <v/>
      </c>
      <c r="BP314" s="518" t="str">
        <f>IF(AND(_AC4="A-330-300",'2023'!$L$4="CA",'2023'!$L$2=BP309),'2023DATA'!$K$7,"")</f>
        <v/>
      </c>
      <c r="BQ314" s="518" t="str">
        <f>IF(AND(_AC4="A-330-300",'2023'!$L$4="CA",'2023'!$L$2=BQ309),'2023DATA'!$L$7,"")</f>
        <v/>
      </c>
      <c r="BR314" s="518" t="str">
        <f>IF(AND(_AC4="A-330-300",'2023'!$L$4="CA",'2023'!$L$2=BR309),'2023DATA'!$M$7,"")</f>
        <v/>
      </c>
      <c r="BS314" s="520" t="str">
        <f>IF(AND(_AC4="A-330-300",'2023'!$L$4="CA",'2023'!$L$2=BS309),'2023DATA'!$N$7,"")</f>
        <v/>
      </c>
      <c r="BT314" s="940" t="s">
        <v>64</v>
      </c>
      <c r="BU314" s="13" t="s">
        <v>61</v>
      </c>
      <c r="BV314" s="518" t="str">
        <f>IF(AND(_AC5="A-330-300",'2023'!$L$4="CA",'2023'!$L$2=BV309),'2023DATA'!$C$7,"")</f>
        <v/>
      </c>
      <c r="BW314" s="518" t="str">
        <f>IF(AND(_AC5="A-330-300",'2023'!$L$4="CA",'2023'!$L$2=BW309),'2023DATA'!$D$7,"")</f>
        <v/>
      </c>
      <c r="BX314" s="518" t="str">
        <f>IF(AND(_AC5="A-330-300",'2023'!$L$4="CA",'2023'!$L$2=BX309),'2023DATA'!$E$7,"")</f>
        <v/>
      </c>
      <c r="BY314" s="518" t="str">
        <f>IF(AND(_AC5="A-330-300",'2023'!$L$4="CA",'2023'!$L$2=BY309),'2023DATA'!$F$7,"")</f>
        <v/>
      </c>
      <c r="BZ314" s="518" t="str">
        <f>IF(AND(_AC5="A-330-300",'2023'!$L$4="CA",'2023'!$L$2=BZ309),'2023DATA'!$G$7,"")</f>
        <v/>
      </c>
      <c r="CA314" s="518" t="str">
        <f>IF(AND(_AC5="A-330-300",'2023'!$L$4="CA",'2023'!$L$2=CA309),'2023DATA'!$H$7,"")</f>
        <v/>
      </c>
      <c r="CB314" s="518" t="str">
        <f>IF(AND(_AC5="A-330-300",'2023'!$L$4="CA",'2023'!$L$2=CB309),'2023DATA'!$I$7,"")</f>
        <v/>
      </c>
      <c r="CC314" s="518" t="str">
        <f>IF(AND(_AC5="A-330-300",'2023'!$L$4="CA",'2023'!$L$2=CC309),'2023DATA'!$J$7,"")</f>
        <v/>
      </c>
      <c r="CD314" s="518" t="str">
        <f>IF(AND(_AC5="A-330-300",'2023'!$L$4="CA",'2023'!$L$2=CD309),'2023DATA'!$K$7,"")</f>
        <v/>
      </c>
      <c r="CE314" s="518" t="str">
        <f>IF(AND(_AC5="A-330-300",'2023'!$L$4="CA",'2023'!$L$2=CE309),'2023DATA'!$L$7,"")</f>
        <v/>
      </c>
      <c r="CF314" s="518" t="str">
        <f>IF(AND(_AC5="A-330-300",'2023'!$L$4="CA",'2023'!$L$2=CF309),'2023DATA'!$M$7,"")</f>
        <v/>
      </c>
      <c r="CG314" s="520" t="str">
        <f>IF(AND(_AC5="A-330-300",'2023'!$L$4="CA",'2023'!$L$2=CG309),'2023DATA'!$N$7,"")</f>
        <v/>
      </c>
      <c r="CH314" s="940" t="s">
        <v>64</v>
      </c>
      <c r="CI314" s="13" t="s">
        <v>61</v>
      </c>
      <c r="CJ314" s="518" t="str">
        <f>IF(AND(_AC6="A-330-300",'2023'!$L$4="CA",'2023'!$L$2=CJ309),'2023DATA'!$C$7,"")</f>
        <v/>
      </c>
      <c r="CK314" s="518" t="str">
        <f>IF(AND(_AC6="A-330-300",'2023'!$L$4="CA",'2023'!$L$2=CK309),'2023DATA'!$D$7,"")</f>
        <v/>
      </c>
      <c r="CL314" s="518" t="str">
        <f>IF(AND(_AC6="A-330-300",'2023'!$L$4="CA",'2023'!$L$2=CL309),'2023DATA'!$E$7,"")</f>
        <v/>
      </c>
      <c r="CM314" s="518" t="str">
        <f>IF(AND(_AC6="A-330-300",'2023'!$L$4="CA",'2023'!$L$2=CM309),'2023DATA'!$F$7,"")</f>
        <v/>
      </c>
      <c r="CN314" s="518" t="str">
        <f>IF(AND(_AC6="A-330-300",'2023'!$L$4="CA",'2023'!$L$2=CN309),'2023DATA'!$G$7,"")</f>
        <v/>
      </c>
      <c r="CO314" s="518" t="str">
        <f>IF(AND(_AC6="A-330-300",'2023'!$L$4="CA",'2023'!$L$2=CO309),'2023DATA'!$H$7,"")</f>
        <v/>
      </c>
      <c r="CP314" s="518" t="str">
        <f>IF(AND(_AC6="A-330-300",'2023'!$L$4="CA",'2023'!$L$2=CP309),'2023DATA'!$I$7,"")</f>
        <v/>
      </c>
      <c r="CQ314" s="518" t="str">
        <f>IF(AND(_AC6="A-330-300",'2023'!$L$4="CA",'2023'!$L$2=CQ309),'2023DATA'!$J$7,"")</f>
        <v/>
      </c>
      <c r="CR314" s="518" t="str">
        <f>IF(AND(_AC6="A-330-300",'2023'!$L$4="CA",'2023'!$L$2=CR309),'2023DATA'!$K$7,"")</f>
        <v/>
      </c>
      <c r="CS314" s="518" t="str">
        <f>IF(AND(_AC6="A-330-300",'2023'!$L$4="CA",'2023'!$L$2=CS309),'2023DATA'!$L$7,"")</f>
        <v/>
      </c>
      <c r="CT314" s="518" t="str">
        <f>IF(AND(_AC6="A-330-300",'2023'!$L$4="CA",'2023'!$L$2=CT309),'2023DATA'!$M$7,"")</f>
        <v/>
      </c>
      <c r="CU314" s="520" t="str">
        <f>IF(AND(_AC6="A-330-300",'2023'!$L$4="CA",'2023'!$L$2=CU309),'2023DATA'!$N$7,"")</f>
        <v/>
      </c>
    </row>
    <row r="315" spans="16:99" x14ac:dyDescent="0.25">
      <c r="P315" s="940"/>
      <c r="Q315" s="13" t="s">
        <v>62</v>
      </c>
      <c r="R315" s="518" t="str">
        <f>IF(AND(_AC1="A-330-300",'2023'!$L$4="FO",'2023'!$L$2=R309),'2023DATA'!$C$8,"")</f>
        <v/>
      </c>
      <c r="S315" s="518" t="str">
        <f>IF(AND(_AC1="A-330-300",'2023'!$L$4="FO",'2023'!$L$2=S309),'2023DATA'!$D$8,"")</f>
        <v/>
      </c>
      <c r="T315" s="518" t="str">
        <f>IF(AND(_AC1="A-330-300",'2023'!$L$4="FO",'2023'!$L$2=T309),'2023DATA'!$E$8,"")</f>
        <v/>
      </c>
      <c r="U315" s="518" t="str">
        <f>IF(AND(_AC1="A-330-300",'2023'!$L$4="FO",'2023'!$L$2=U309),'2023DATA'!$F$8,"")</f>
        <v/>
      </c>
      <c r="V315" s="518" t="str">
        <f>IF(AND(_AC1="A-330-300",'2023'!$L$4="FO",'2023'!$L$2=V309),'2023DATA'!$G$8,"")</f>
        <v/>
      </c>
      <c r="W315" s="518" t="str">
        <f>IF(AND(_AC1="A-330-300",'2023'!$L$4="FO",'2023'!$L$2=W309),'2023DATA'!$H$8,"")</f>
        <v/>
      </c>
      <c r="X315" s="518" t="str">
        <f>IF(AND(_AC1="A-330-300",'2023'!$L$4="FO",'2023'!$L$2=X309),'2023DATA'!$I$8,"")</f>
        <v/>
      </c>
      <c r="Y315" s="518" t="str">
        <f>IF(AND(_AC1="A-330-300",'2023'!$L$4="FO",'2023'!$L$2=Y309),'2023DATA'!$J$8,"")</f>
        <v/>
      </c>
      <c r="Z315" s="518" t="str">
        <f>IF(AND(_AC1="A-330-300",'2023'!$L$4="FO",'2023'!$L$2=Z309),'2023DATA'!$K$8,"")</f>
        <v/>
      </c>
      <c r="AA315" s="518" t="str">
        <f>IF(AND(_AC1="A-330-300",'2023'!$L$4="FO",'2023'!$L$2=AA309),'2023DATA'!$L$8,"")</f>
        <v/>
      </c>
      <c r="AB315" s="518" t="str">
        <f>IF(AND(_AC1="A-330-300",'2023'!$L$4="FO",'2023'!$L$2=AB309),'2023DATA'!$M$8,"")</f>
        <v/>
      </c>
      <c r="AC315" s="520" t="str">
        <f>IF(AND(_AC1="A-330-300",'2023'!$L$4="FO",'2023'!$L$2=AC309),'2023DATA'!$N$8,"")</f>
        <v/>
      </c>
      <c r="AD315" s="940"/>
      <c r="AE315" s="13" t="s">
        <v>62</v>
      </c>
      <c r="AF315" s="518" t="str">
        <f>IF(AND(_AC2="A-330-300",'2023'!$L$4="FO",'2023'!$L$2=AF309),'2023DATA'!$C$8,"")</f>
        <v/>
      </c>
      <c r="AG315" s="518" t="str">
        <f>IF(AND(_AC2="A-330-300",'2023'!$L$4="FO",'2023'!$L$2=AG309),'2023DATA'!$D$8,"")</f>
        <v/>
      </c>
      <c r="AH315" s="518" t="str">
        <f>IF(AND(_AC2="A-330-300",'2023'!$L$4="FO",'2023'!$L$2=AH309),'2023DATA'!$E$8,"")</f>
        <v/>
      </c>
      <c r="AI315" s="518" t="str">
        <f>IF(AND(_AC2="A-330-300",'2023'!$L$4="FO",'2023'!$L$2=AI309),'2023DATA'!$F$8,"")</f>
        <v/>
      </c>
      <c r="AJ315" s="518" t="str">
        <f>IF(AND(_AC2="A-330-300",'2023'!$L$4="FO",'2023'!$L$2=AJ309),'2023DATA'!$G$8,"")</f>
        <v/>
      </c>
      <c r="AK315" s="518" t="str">
        <f>IF(AND(_AC2="A-330-300",'2023'!$L$4="FO",'2023'!$L$2=AK309),'2023DATA'!$H$8,"")</f>
        <v/>
      </c>
      <c r="AL315" s="518" t="str">
        <f>IF(AND(_AC2="A-330-300",'2023'!$L$4="FO",'2023'!$L$2=AL309),'2023DATA'!$I$8,"")</f>
        <v/>
      </c>
      <c r="AM315" s="518" t="str">
        <f>IF(AND(_AC2="A-330-300",'2023'!$L$4="FO",'2023'!$L$2=AM309),'2023DATA'!$J$8,"")</f>
        <v/>
      </c>
      <c r="AN315" s="518" t="str">
        <f>IF(AND(_AC2="A-330-300",'2023'!$L$4="FO",'2023'!$L$2=AN309),'2023DATA'!$K$8,"")</f>
        <v/>
      </c>
      <c r="AO315" s="518" t="str">
        <f>IF(AND(_AC2="A-330-300",'2023'!$L$4="FO",'2023'!$L$2=AO309),'2023DATA'!$L$8,"")</f>
        <v/>
      </c>
      <c r="AP315" s="518" t="str">
        <f>IF(AND(_AC2="A-330-300",'2023'!$L$4="FO",'2023'!$L$2=AP309),'2023DATA'!$M$8,"")</f>
        <v/>
      </c>
      <c r="AQ315" s="520" t="str">
        <f>IF(AND(_AC2="A-330-300",'2023'!$L$4="FO",'2023'!$L$2=AQ309),'2023DATA'!$N$8,"")</f>
        <v/>
      </c>
      <c r="AR315" s="940"/>
      <c r="AS315" s="13" t="s">
        <v>62</v>
      </c>
      <c r="AT315" s="518" t="str">
        <f>IF(AND(_AC3="A-330-300",'2023'!$L$4="FO",'2023'!$L$2=AT309),'2023DATA'!$C$8,"")</f>
        <v/>
      </c>
      <c r="AU315" s="518" t="str">
        <f>IF(AND(_AC3="A-330-300",'2023'!$L$4="FO",'2023'!$L$2=AU309),'2023DATA'!$D$8,"")</f>
        <v/>
      </c>
      <c r="AV315" s="518" t="str">
        <f>IF(AND(_AC3="A-330-300",'2023'!$L$4="FO",'2023'!$L$2=AV309),'2023DATA'!$E$8,"")</f>
        <v/>
      </c>
      <c r="AW315" s="518" t="str">
        <f>IF(AND(_AC3="A-330-300",'2023'!$L$4="FO",'2023'!$L$2=AW309),'2023DATA'!$F$8,"")</f>
        <v/>
      </c>
      <c r="AX315" s="518" t="str">
        <f>IF(AND(_AC3="A-330-300",'2023'!$L$4="FO",'2023'!$L$2=AX309),'2023DATA'!$G$8,"")</f>
        <v/>
      </c>
      <c r="AY315" s="518" t="str">
        <f>IF(AND(_AC3="A-330-300",'2023'!$L$4="FO",'2023'!$L$2=AY309),'2023DATA'!$H$8,"")</f>
        <v/>
      </c>
      <c r="AZ315" s="518" t="str">
        <f>IF(AND(_AC3="A-330-300",'2023'!$L$4="FO",'2023'!$L$2=AZ309),'2023DATA'!$I$8,"")</f>
        <v/>
      </c>
      <c r="BA315" s="518" t="str">
        <f>IF(AND(_AC3="A-330-300",'2023'!$L$4="FO",'2023'!$L$2=BA309),'2023DATA'!$J$8,"")</f>
        <v/>
      </c>
      <c r="BB315" s="518" t="str">
        <f>IF(AND(_AC3="A-330-300",'2023'!$L$4="FO",'2023'!$L$2=BB309),'2023DATA'!$K$8,"")</f>
        <v/>
      </c>
      <c r="BC315" s="518" t="str">
        <f>IF(AND(_AC3="A-330-300",'2023'!$L$4="FO",'2023'!$L$2=BC309),'2023DATA'!$L$8,"")</f>
        <v/>
      </c>
      <c r="BD315" s="518" t="str">
        <f>IF(AND(_AC3="A-330-300",'2023'!$L$4="FO",'2023'!$L$2=BD309),'2023DATA'!$M$8,"")</f>
        <v/>
      </c>
      <c r="BE315" s="520" t="str">
        <f>IF(AND(_AC3="A-330-300",'2023'!$L$4="FO",'2023'!$L$2=BE309),'2023DATA'!$N$8,"")</f>
        <v/>
      </c>
      <c r="BF315" s="940"/>
      <c r="BG315" s="13" t="s">
        <v>62</v>
      </c>
      <c r="BH315" s="518" t="str">
        <f>IF(AND(_AC4="A-330-300",'2023'!$L$4="FO",'2023'!$L$2=BH309),'2023DATA'!$C$8,"")</f>
        <v/>
      </c>
      <c r="BI315" s="518" t="str">
        <f>IF(AND(_AC4="A-330-300",'2023'!$L$4="FO",'2023'!$L$2=BI309),'2023DATA'!$D$8,"")</f>
        <v/>
      </c>
      <c r="BJ315" s="518" t="str">
        <f>IF(AND(_AC4="A-330-300",'2023'!$L$4="FO",'2023'!$L$2=BJ309),'2023DATA'!$E$8,"")</f>
        <v/>
      </c>
      <c r="BK315" s="518" t="str">
        <f>IF(AND(_AC4="A-330-300",'2023'!$L$4="FO",'2023'!$L$2=BK309),'2023DATA'!$F$8,"")</f>
        <v/>
      </c>
      <c r="BL315" s="518" t="str">
        <f>IF(AND(_AC4="A-330-300",'2023'!$L$4="FO",'2023'!$L$2=BL309),'2023DATA'!$G$8,"")</f>
        <v/>
      </c>
      <c r="BM315" s="518" t="str">
        <f>IF(AND(_AC4="A-330-300",'2023'!$L$4="FO",'2023'!$L$2=BM309),'2023DATA'!$H$8,"")</f>
        <v/>
      </c>
      <c r="BN315" s="518" t="str">
        <f>IF(AND(_AC4="A-330-300",'2023'!$L$4="FO",'2023'!$L$2=BN309),'2023DATA'!$I$8,"")</f>
        <v/>
      </c>
      <c r="BO315" s="518" t="str">
        <f>IF(AND(_AC4="A-330-300",'2023'!$L$4="FO",'2023'!$L$2=BO309),'2023DATA'!$J$8,"")</f>
        <v/>
      </c>
      <c r="BP315" s="518" t="str">
        <f>IF(AND(_AC4="A-330-300",'2023'!$L$4="FO",'2023'!$L$2=BP309),'2023DATA'!$K$8,"")</f>
        <v/>
      </c>
      <c r="BQ315" s="518" t="str">
        <f>IF(AND(_AC4="A-330-300",'2023'!$L$4="FO",'2023'!$L$2=BQ309),'2023DATA'!$L$8,"")</f>
        <v/>
      </c>
      <c r="BR315" s="518" t="str">
        <f>IF(AND(_AC4="A-330-300",'2023'!$L$4="FO",'2023'!$L$2=BR309),'2023DATA'!$M$8,"")</f>
        <v/>
      </c>
      <c r="BS315" s="520" t="str">
        <f>IF(AND(_AC4="A-330-300",'2023'!$L$4="FO",'2023'!$L$2=BS309),'2023DATA'!$N$8,"")</f>
        <v/>
      </c>
      <c r="BT315" s="940"/>
      <c r="BU315" s="13" t="s">
        <v>62</v>
      </c>
      <c r="BV315" s="518" t="str">
        <f>IF(AND(_AC5="A-330-300",'2023'!$L$4="FO",'2023'!$L$2=BV309),'2023DATA'!$C$8,"")</f>
        <v/>
      </c>
      <c r="BW315" s="518" t="str">
        <f>IF(AND(_AC5="A-330-300",'2023'!$L$4="FO",'2023'!$L$2=BW309),'2023DATA'!$D$8,"")</f>
        <v/>
      </c>
      <c r="BX315" s="518" t="str">
        <f>IF(AND(_AC5="A-330-300",'2023'!$L$4="FO",'2023'!$L$2=BX309),'2023DATA'!$E$8,"")</f>
        <v/>
      </c>
      <c r="BY315" s="518" t="str">
        <f>IF(AND(_AC5="A-330-300",'2023'!$L$4="FO",'2023'!$L$2=BY309),'2023DATA'!$F$8,"")</f>
        <v/>
      </c>
      <c r="BZ315" s="518" t="str">
        <f>IF(AND(_AC5="A-330-300",'2023'!$L$4="FO",'2023'!$L$2=BZ309),'2023DATA'!$G$8,"")</f>
        <v/>
      </c>
      <c r="CA315" s="518" t="str">
        <f>IF(AND(_AC5="A-330-300",'2023'!$L$4="FO",'2023'!$L$2=CA309),'2023DATA'!$H$8,"")</f>
        <v/>
      </c>
      <c r="CB315" s="518" t="str">
        <f>IF(AND(_AC5="A-330-300",'2023'!$L$4="FO",'2023'!$L$2=CB309),'2023DATA'!$I$8,"")</f>
        <v/>
      </c>
      <c r="CC315" s="518" t="str">
        <f>IF(AND(_AC5="A-330-300",'2023'!$L$4="FO",'2023'!$L$2=CC309),'2023DATA'!$J$8,"")</f>
        <v/>
      </c>
      <c r="CD315" s="518" t="str">
        <f>IF(AND(_AC5="A-330-300",'2023'!$L$4="FO",'2023'!$L$2=CD309),'2023DATA'!$K$8,"")</f>
        <v/>
      </c>
      <c r="CE315" s="518" t="str">
        <f>IF(AND(_AC5="A-330-300",'2023'!$L$4="FO",'2023'!$L$2=CE309),'2023DATA'!$L$8,"")</f>
        <v/>
      </c>
      <c r="CF315" s="518" t="str">
        <f>IF(AND(_AC5="A-330-300",'2023'!$L$4="FO",'2023'!$L$2=CF309),'2023DATA'!$M$8,"")</f>
        <v/>
      </c>
      <c r="CG315" s="520" t="str">
        <f>IF(AND(_AC5="A-330-300",'2023'!$L$4="FO",'2023'!$L$2=CG309),'2023DATA'!$N$8,"")</f>
        <v/>
      </c>
      <c r="CH315" s="940"/>
      <c r="CI315" s="13" t="s">
        <v>62</v>
      </c>
      <c r="CJ315" s="518" t="str">
        <f>IF(AND(_AC6="A-330-300",'2023'!$L$4="FO",'2023'!$L$2=CJ309),'2023DATA'!$C$8,"")</f>
        <v/>
      </c>
      <c r="CK315" s="518" t="str">
        <f>IF(AND(_AC6="A-330-300",'2023'!$L$4="FO",'2023'!$L$2=CK309),'2023DATA'!$D$8,"")</f>
        <v/>
      </c>
      <c r="CL315" s="518" t="str">
        <f>IF(AND(_AC6="A-330-300",'2023'!$L$4="FO",'2023'!$L$2=CL309),'2023DATA'!$E$8,"")</f>
        <v/>
      </c>
      <c r="CM315" s="518" t="str">
        <f>IF(AND(_AC6="A-330-300",'2023'!$L$4="FO",'2023'!$L$2=CM309),'2023DATA'!$F$8,"")</f>
        <v/>
      </c>
      <c r="CN315" s="518" t="str">
        <f>IF(AND(_AC6="A-330-300",'2023'!$L$4="FO",'2023'!$L$2=CN309),'2023DATA'!$G$8,"")</f>
        <v/>
      </c>
      <c r="CO315" s="518" t="str">
        <f>IF(AND(_AC6="A-330-300",'2023'!$L$4="FO",'2023'!$L$2=CO309),'2023DATA'!$H$8,"")</f>
        <v/>
      </c>
      <c r="CP315" s="518" t="str">
        <f>IF(AND(_AC6="A-330-300",'2023'!$L$4="FO",'2023'!$L$2=CP309),'2023DATA'!$I$8,"")</f>
        <v/>
      </c>
      <c r="CQ315" s="518" t="str">
        <f>IF(AND(_AC6="A-330-300",'2023'!$L$4="FO",'2023'!$L$2=CQ309),'2023DATA'!$J$8,"")</f>
        <v/>
      </c>
      <c r="CR315" s="518" t="str">
        <f>IF(AND(_AC6="A-330-300",'2023'!$L$4="FO",'2023'!$L$2=CR309),'2023DATA'!$K$8,"")</f>
        <v/>
      </c>
      <c r="CS315" s="518" t="str">
        <f>IF(AND(_AC6="A-330-300",'2023'!$L$4="FO",'2023'!$L$2=CS309),'2023DATA'!$L$8,"")</f>
        <v/>
      </c>
      <c r="CT315" s="518" t="str">
        <f>IF(AND(_AC6="A-330-300",'2023'!$L$4="FO",'2023'!$L$2=CT309),'2023DATA'!$M$8,"")</f>
        <v/>
      </c>
      <c r="CU315" s="520" t="str">
        <f>IF(AND(_AC6="A-330-300",'2023'!$L$4="FO",'2023'!$L$2=CU309),'2023DATA'!$N$8,"")</f>
        <v/>
      </c>
    </row>
    <row r="316" spans="16:99" x14ac:dyDescent="0.25">
      <c r="P316" s="940" t="s">
        <v>66</v>
      </c>
      <c r="Q316" s="13" t="s">
        <v>61</v>
      </c>
      <c r="R316" s="518" t="str">
        <f>IF(AND(_AC1="A-330-200",'2023'!$L$4="CA",'2023'!$L$2=R309),'2023DATA'!$C$9,"")</f>
        <v/>
      </c>
      <c r="S316" s="518" t="str">
        <f>IF(AND(_AC1="A-330-200",'2023'!$L$4="CA",'2023'!$L$2=S309),'2023DATA'!$D$9,"")</f>
        <v/>
      </c>
      <c r="T316" s="518" t="str">
        <f>IF(AND(_AC1="A-330-200",'2023'!$L$4="CA",'2023'!$L$2=T309),'2023DATA'!$E$9,"")</f>
        <v/>
      </c>
      <c r="U316" s="518" t="str">
        <f>IF(AND(_AC1="A-330-200",'2023'!$L$4="CA",'2023'!$L$2=U309),'2023DATA'!$F$9,"")</f>
        <v/>
      </c>
      <c r="V316" s="518" t="str">
        <f>IF(AND(_AC1="A-330-200",'2023'!$L$4="CA",'2023'!$L$2=V309),'2023DATA'!$G$9,"")</f>
        <v/>
      </c>
      <c r="W316" s="518" t="str">
        <f>IF(AND(_AC1="A-330-200",'2023'!$L$4="CA",'2023'!$L$2=W309),'2023DATA'!$H$9,"")</f>
        <v/>
      </c>
      <c r="X316" s="518" t="str">
        <f>IF(AND(_AC1="A-330-200",'2023'!$L$4="CA",'2023'!$L$2=X309),'2023DATA'!$I$9,"")</f>
        <v/>
      </c>
      <c r="Y316" s="518" t="str">
        <f>IF(AND(_AC1="A-330-200",'2023'!$L$4="CA",'2023'!$L$2=Y309),'2023DATA'!$J$9,"")</f>
        <v/>
      </c>
      <c r="Z316" s="518" t="str">
        <f>IF(AND(_AC1="A-330-200",'2023'!$L$4="CA",'2023'!$L$2=Z309),'2023DATA'!$K$9,"")</f>
        <v/>
      </c>
      <c r="AA316" s="518" t="str">
        <f>IF(AND(_AC1="A-330-200",'2023'!$L$4="CA",'2023'!$L$2=AA309),'2023DATA'!$L$9,"")</f>
        <v/>
      </c>
      <c r="AB316" s="518" t="str">
        <f>IF(AND(_AC1="A-330-200",'2023'!$L$4="CA",'2023'!$L$2=AB309),'2023DATA'!$M$9,"")</f>
        <v/>
      </c>
      <c r="AC316" s="520" t="str">
        <f>IF(AND(_AC1="A-330-200",'2023'!$L$4="CA",'2023'!$L$2=AC309),'2023DATA'!$N$9,"")</f>
        <v/>
      </c>
      <c r="AD316" s="940" t="s">
        <v>66</v>
      </c>
      <c r="AE316" s="13" t="s">
        <v>61</v>
      </c>
      <c r="AF316" s="518" t="str">
        <f>IF(AND(_AC2="A-330-200",'2023'!$L$4="CA",'2023'!$L$2=AF309),'2023DATA'!$C$9,"")</f>
        <v/>
      </c>
      <c r="AG316" s="518" t="str">
        <f>IF(AND(_AC2="A-330-200",'2023'!$L$4="CA",'2023'!$L$2=AG309),'2023DATA'!$D$9,"")</f>
        <v/>
      </c>
      <c r="AH316" s="518" t="str">
        <f>IF(AND(_AC2="A-330-200",'2023'!$L$4="CA",'2023'!$L$2=AH309),'2023DATA'!$E$9,"")</f>
        <v/>
      </c>
      <c r="AI316" s="518" t="str">
        <f>IF(AND(_AC2="A-330-200",'2023'!$L$4="CA",'2023'!$L$2=AI309),'2023DATA'!$F$9,"")</f>
        <v/>
      </c>
      <c r="AJ316" s="518" t="str">
        <f>IF(AND(_AC2="A-330-200",'2023'!$L$4="CA",'2023'!$L$2=AJ309),'2023DATA'!$G$9,"")</f>
        <v/>
      </c>
      <c r="AK316" s="518" t="str">
        <f>IF(AND(_AC2="A-330-200",'2023'!$L$4="CA",'2023'!$L$2=AK309),'2023DATA'!$H$9,"")</f>
        <v/>
      </c>
      <c r="AL316" s="518" t="str">
        <f>IF(AND(_AC2="A-330-200",'2023'!$L$4="CA",'2023'!$L$2=AL309),'2023DATA'!$I$9,"")</f>
        <v/>
      </c>
      <c r="AM316" s="518" t="str">
        <f>IF(AND(_AC2="A-330-200",'2023'!$L$4="CA",'2023'!$L$2=AM309),'2023DATA'!$J$9,"")</f>
        <v/>
      </c>
      <c r="AN316" s="518" t="str">
        <f>IF(AND(_AC2="A-330-200",'2023'!$L$4="CA",'2023'!$L$2=AN309),'2023DATA'!$K$9,"")</f>
        <v/>
      </c>
      <c r="AO316" s="518" t="str">
        <f>IF(AND(_AC2="A-330-200",'2023'!$L$4="CA",'2023'!$L$2=AO309),'2023DATA'!$L$9,"")</f>
        <v/>
      </c>
      <c r="AP316" s="518" t="str">
        <f>IF(AND(_AC2="A-330-200",'2023'!$L$4="CA",'2023'!$L$2=AP309),'2023DATA'!$M$9,"")</f>
        <v/>
      </c>
      <c r="AQ316" s="520" t="str">
        <f>IF(AND(_AC2="A-330-200",'2023'!$L$4="CA",'2023'!$L$2=AQ309),'2023DATA'!$N$9,"")</f>
        <v/>
      </c>
      <c r="AR316" s="940" t="s">
        <v>66</v>
      </c>
      <c r="AS316" s="13" t="s">
        <v>61</v>
      </c>
      <c r="AT316" s="518" t="str">
        <f>IF(AND(_AC3="A-330-200",'2023'!$L$4="CA",'2023'!$L$2=AT309),'2023DATA'!$C$9,"")</f>
        <v/>
      </c>
      <c r="AU316" s="518" t="str">
        <f>IF(AND(_AC3="A-330-200",'2023'!$L$4="CA",'2023'!$L$2=AU309),'2023DATA'!$D$9,"")</f>
        <v/>
      </c>
      <c r="AV316" s="518" t="str">
        <f>IF(AND(_AC3="A-330-200",'2023'!$L$4="CA",'2023'!$L$2=AV309),'2023DATA'!$E$9,"")</f>
        <v/>
      </c>
      <c r="AW316" s="518" t="str">
        <f>IF(AND(_AC3="A-330-200",'2023'!$L$4="CA",'2023'!$L$2=AW309),'2023DATA'!$F$9,"")</f>
        <v/>
      </c>
      <c r="AX316" s="518" t="str">
        <f>IF(AND(_AC3="A-330-200",'2023'!$L$4="CA",'2023'!$L$2=AX309),'2023DATA'!$G$9,"")</f>
        <v/>
      </c>
      <c r="AY316" s="518" t="str">
        <f>IF(AND(_AC3="A-330-200",'2023'!$L$4="CA",'2023'!$L$2=AY309),'2023DATA'!$H$9,"")</f>
        <v/>
      </c>
      <c r="AZ316" s="518" t="str">
        <f>IF(AND(_AC3="A-330-200",'2023'!$L$4="CA",'2023'!$L$2=AZ309),'2023DATA'!$I$9,"")</f>
        <v/>
      </c>
      <c r="BA316" s="518" t="str">
        <f>IF(AND(_AC3="A-330-200",'2023'!$L$4="CA",'2023'!$L$2=BA309),'2023DATA'!$J$9,"")</f>
        <v/>
      </c>
      <c r="BB316" s="518" t="str">
        <f>IF(AND(_AC3="A-330-200",'2023'!$L$4="CA",'2023'!$L$2=BB309),'2023DATA'!$K$9,"")</f>
        <v/>
      </c>
      <c r="BC316" s="518" t="str">
        <f>IF(AND(_AC3="A-330-200",'2023'!$L$4="CA",'2023'!$L$2=BC309),'2023DATA'!$L$9,"")</f>
        <v/>
      </c>
      <c r="BD316" s="518" t="str">
        <f>IF(AND(_AC3="A-330-200",'2023'!$L$4="CA",'2023'!$L$2=BD309),'2023DATA'!$M$9,"")</f>
        <v/>
      </c>
      <c r="BE316" s="520" t="str">
        <f>IF(AND(_AC3="A-330-200",'2023'!$L$4="CA",'2023'!$L$2=BE309),'2023DATA'!$N$9,"")</f>
        <v/>
      </c>
      <c r="BF316" s="940" t="s">
        <v>66</v>
      </c>
      <c r="BG316" s="13" t="s">
        <v>61</v>
      </c>
      <c r="BH316" s="518" t="str">
        <f>IF(AND(_AC4="A-330-200",'2023'!$L$4="CA",'2023'!$L$2=BH309),'2023DATA'!$C$9,"")</f>
        <v/>
      </c>
      <c r="BI316" s="518" t="str">
        <f>IF(AND(_AC4="A-330-200",'2023'!$L$4="CA",'2023'!$L$2=BI309),'2023DATA'!$D$9,"")</f>
        <v/>
      </c>
      <c r="BJ316" s="518" t="str">
        <f>IF(AND(_AC4="A-330-200",'2023'!$L$4="CA",'2023'!$L$2=BJ309),'2023DATA'!$E$9,"")</f>
        <v/>
      </c>
      <c r="BK316" s="518" t="str">
        <f>IF(AND(_AC4="A-330-200",'2023'!$L$4="CA",'2023'!$L$2=BK309),'2023DATA'!$F$9,"")</f>
        <v/>
      </c>
      <c r="BL316" s="518" t="str">
        <f>IF(AND(_AC4="A-330-200",'2023'!$L$4="CA",'2023'!$L$2=BL309),'2023DATA'!$G$9,"")</f>
        <v/>
      </c>
      <c r="BM316" s="518" t="str">
        <f>IF(AND(_AC4="A-330-200",'2023'!$L$4="CA",'2023'!$L$2=BM309),'2023DATA'!$H$9,"")</f>
        <v/>
      </c>
      <c r="BN316" s="518" t="str">
        <f>IF(AND(_AC4="A-330-200",'2023'!$L$4="CA",'2023'!$L$2=BN309),'2023DATA'!$I$9,"")</f>
        <v/>
      </c>
      <c r="BO316" s="518" t="str">
        <f>IF(AND(_AC4="A-330-200",'2023'!$L$4="CA",'2023'!$L$2=BO309),'2023DATA'!$J$9,"")</f>
        <v/>
      </c>
      <c r="BP316" s="518" t="str">
        <f>IF(AND(_AC4="A-330-200",'2023'!$L$4="CA",'2023'!$L$2=BP309),'2023DATA'!$K$9,"")</f>
        <v/>
      </c>
      <c r="BQ316" s="518" t="str">
        <f>IF(AND(_AC4="A-330-200",'2023'!$L$4="CA",'2023'!$L$2=BQ309),'2023DATA'!$L$9,"")</f>
        <v/>
      </c>
      <c r="BR316" s="518" t="str">
        <f>IF(AND(_AC4="A-330-200",'2023'!$L$4="CA",'2023'!$L$2=BR309),'2023DATA'!$M$9,"")</f>
        <v/>
      </c>
      <c r="BS316" s="520" t="str">
        <f>IF(AND(_AC4="A-330-200",'2023'!$L$4="CA",'2023'!$L$2=BS309),'2023DATA'!$N$9,"")</f>
        <v/>
      </c>
      <c r="BT316" s="940" t="s">
        <v>66</v>
      </c>
      <c r="BU316" s="13" t="s">
        <v>61</v>
      </c>
      <c r="BV316" s="518" t="str">
        <f>IF(AND(_AC5="A-330-200",'2023'!$L$4="CA",'2023'!$L$2=BV309),'2023DATA'!$C$9,"")</f>
        <v/>
      </c>
      <c r="BW316" s="518" t="str">
        <f>IF(AND(_AC5="A-330-200",'2023'!$L$4="CA",'2023'!$L$2=BW309),'2023DATA'!$D$9,"")</f>
        <v/>
      </c>
      <c r="BX316" s="518" t="str">
        <f>IF(AND(_AC5="A-330-200",'2023'!$L$4="CA",'2023'!$L$2=BX309),'2023DATA'!$E$9,"")</f>
        <v/>
      </c>
      <c r="BY316" s="518" t="str">
        <f>IF(AND(_AC5="A-330-200",'2023'!$L$4="CA",'2023'!$L$2=BY309),'2023DATA'!$F$9,"")</f>
        <v/>
      </c>
      <c r="BZ316" s="518" t="str">
        <f>IF(AND(_AC5="A-330-200",'2023'!$L$4="CA",'2023'!$L$2=BZ309),'2023DATA'!$G$9,"")</f>
        <v/>
      </c>
      <c r="CA316" s="518" t="str">
        <f>IF(AND(_AC5="A-330-200",'2023'!$L$4="CA",'2023'!$L$2=CA309),'2023DATA'!$H$9,"")</f>
        <v/>
      </c>
      <c r="CB316" s="518" t="str">
        <f>IF(AND(_AC5="A-330-200",'2023'!$L$4="CA",'2023'!$L$2=CB309),'2023DATA'!$I$9,"")</f>
        <v/>
      </c>
      <c r="CC316" s="518" t="str">
        <f>IF(AND(_AC5="A-330-200",'2023'!$L$4="CA",'2023'!$L$2=CC309),'2023DATA'!$J$9,"")</f>
        <v/>
      </c>
      <c r="CD316" s="518" t="str">
        <f>IF(AND(_AC5="A-330-200",'2023'!$L$4="CA",'2023'!$L$2=CD309),'2023DATA'!$K$9,"")</f>
        <v/>
      </c>
      <c r="CE316" s="518" t="str">
        <f>IF(AND(_AC5="A-330-200",'2023'!$L$4="CA",'2023'!$L$2=CE309),'2023DATA'!$L$9,"")</f>
        <v/>
      </c>
      <c r="CF316" s="518" t="str">
        <f>IF(AND(_AC5="A-330-200",'2023'!$L$4="CA",'2023'!$L$2=CF309),'2023DATA'!$M$9,"")</f>
        <v/>
      </c>
      <c r="CG316" s="520" t="str">
        <f>IF(AND(_AC5="A-330-200",'2023'!$L$4="CA",'2023'!$L$2=CG309),'2023DATA'!$N$9,"")</f>
        <v/>
      </c>
      <c r="CH316" s="940" t="s">
        <v>66</v>
      </c>
      <c r="CI316" s="13" t="s">
        <v>61</v>
      </c>
      <c r="CJ316" s="518" t="str">
        <f>IF(AND(_AC6="A-330-200",'2023'!$L$4="CA",'2023'!$L$2=CJ309),'2023DATA'!$C$9,"")</f>
        <v/>
      </c>
      <c r="CK316" s="518" t="str">
        <f>IF(AND(_AC6="A-330-200",'2023'!$L$4="CA",'2023'!$L$2=CK309),'2023DATA'!$D$9,"")</f>
        <v/>
      </c>
      <c r="CL316" s="518" t="str">
        <f>IF(AND(_AC6="A-330-200",'2023'!$L$4="CA",'2023'!$L$2=CL309),'2023DATA'!$E$9,"")</f>
        <v/>
      </c>
      <c r="CM316" s="518" t="str">
        <f>IF(AND(_AC6="A-330-200",'2023'!$L$4="CA",'2023'!$L$2=CM309),'2023DATA'!$F$9,"")</f>
        <v/>
      </c>
      <c r="CN316" s="518" t="str">
        <f>IF(AND(_AC6="A-330-200",'2023'!$L$4="CA",'2023'!$L$2=CN309),'2023DATA'!$G$9,"")</f>
        <v/>
      </c>
      <c r="CO316" s="518" t="str">
        <f>IF(AND(_AC6="A-330-200",'2023'!$L$4="CA",'2023'!$L$2=CO309),'2023DATA'!$H$9,"")</f>
        <v/>
      </c>
      <c r="CP316" s="518" t="str">
        <f>IF(AND(_AC6="A-330-200",'2023'!$L$4="CA",'2023'!$L$2=CP309),'2023DATA'!$I$9,"")</f>
        <v/>
      </c>
      <c r="CQ316" s="518" t="str">
        <f>IF(AND(_AC6="A-330-200",'2023'!$L$4="CA",'2023'!$L$2=CQ309),'2023DATA'!$J$9,"")</f>
        <v/>
      </c>
      <c r="CR316" s="518" t="str">
        <f>IF(AND(_AC6="A-330-200",'2023'!$L$4="CA",'2023'!$L$2=CR309),'2023DATA'!$K$9,"")</f>
        <v/>
      </c>
      <c r="CS316" s="518" t="str">
        <f>IF(AND(_AC6="A-330-200",'2023'!$L$4="CA",'2023'!$L$2=CS309),'2023DATA'!$L$9,"")</f>
        <v/>
      </c>
      <c r="CT316" s="518" t="str">
        <f>IF(AND(_AC6="A-330-200",'2023'!$L$4="CA",'2023'!$L$2=CT309),'2023DATA'!$M$9,"")</f>
        <v/>
      </c>
      <c r="CU316" s="520" t="str">
        <f>IF(AND(_AC6="A-330-200",'2023'!$L$4="CA",'2023'!$L$2=CU309),'2023DATA'!$N$9,"")</f>
        <v/>
      </c>
    </row>
    <row r="317" spans="16:99" x14ac:dyDescent="0.25">
      <c r="P317" s="940"/>
      <c r="Q317" s="13" t="s">
        <v>62</v>
      </c>
      <c r="R317" s="518" t="str">
        <f>IF(AND(_AC1="A-330-200",'2023'!$L$4="FO",'2023'!$L$2=R309),'2023DATA'!$C$10,"")</f>
        <v/>
      </c>
      <c r="S317" s="518" t="str">
        <f>IF(AND(_AC1="A-330-200",'2023'!$L$4="FO",'2023'!$L$2=S309),'2023DATA'!$D$10,"")</f>
        <v/>
      </c>
      <c r="T317" s="518" t="str">
        <f>IF(AND(_AC1="A-330-200",'2023'!$L$4="FO",'2023'!$L$2=T309),'2023DATA'!$E$10,"")</f>
        <v/>
      </c>
      <c r="U317" s="518" t="str">
        <f>IF(AND(_AC1="A-330-200",'2023'!$L$4="FO",'2023'!$L$2=U309),'2023DATA'!$F$10,"")</f>
        <v/>
      </c>
      <c r="V317" s="518" t="str">
        <f>IF(AND(_AC1="A-330-200",'2023'!$L$4="FO",'2023'!$L$2=V309),'2023DATA'!$G$10,"")</f>
        <v/>
      </c>
      <c r="W317" s="518" t="str">
        <f>IF(AND(_AC1="A-330-200",'2023'!$L$4="FO",'2023'!$L$2=W309),'2023DATA'!$H$10,"")</f>
        <v/>
      </c>
      <c r="X317" s="518" t="str">
        <f>IF(AND(_AC1="A-330-200",'2023'!$L$4="FO",'2023'!$L$2=X309),'2023DATA'!$I$10,"")</f>
        <v/>
      </c>
      <c r="Y317" s="518" t="str">
        <f>IF(AND(_AC1="A-330-200",'2023'!$L$4="FO",'2023'!$L$2=Y309),'2023DATA'!$J$10,"")</f>
        <v/>
      </c>
      <c r="Z317" s="518" t="str">
        <f>IF(AND(_AC1="A-330-200",'2023'!$L$4="FO",'2023'!$L$2=Z309),'2023DATA'!$K$10,"")</f>
        <v/>
      </c>
      <c r="AA317" s="518" t="str">
        <f>IF(AND(_AC1="A-330-200",'2023'!$L$4="FO",'2023'!$L$2=AA309),'2023DATA'!$L$10,"")</f>
        <v/>
      </c>
      <c r="AB317" s="518" t="str">
        <f>IF(AND(_AC1="A-330-200",'2023'!$L$4="FO",'2023'!$L$2=AB309),'2023DATA'!$M$10,"")</f>
        <v/>
      </c>
      <c r="AC317" s="520" t="str">
        <f>IF(AND(_AC1="A-330-200",'2023'!$L$4="FO",'2023'!$L$2=AC309),'2023DATA'!$N$10,"")</f>
        <v/>
      </c>
      <c r="AD317" s="940"/>
      <c r="AE317" s="13" t="s">
        <v>62</v>
      </c>
      <c r="AF317" s="518" t="str">
        <f>IF(AND(_AC2="A-330-200",'2023'!$L$4="FO",'2023'!$L$2=AF309),'2023DATA'!$C$10,"")</f>
        <v/>
      </c>
      <c r="AG317" s="518" t="str">
        <f>IF(AND(_AC2="A-330-200",'2023'!$L$4="FO",'2023'!$L$2=AG309),'2023DATA'!$D$10,"")</f>
        <v/>
      </c>
      <c r="AH317" s="518" t="str">
        <f>IF(AND(_AC2="A-330-200",'2023'!$L$4="FO",'2023'!$L$2=AH309),'2023DATA'!$E$10,"")</f>
        <v/>
      </c>
      <c r="AI317" s="518" t="str">
        <f>IF(AND(_AC2="A-330-200",'2023'!$L$4="FO",'2023'!$L$2=AI309),'2023DATA'!$F$10,"")</f>
        <v/>
      </c>
      <c r="AJ317" s="518" t="str">
        <f>IF(AND(_AC2="A-330-200",'2023'!$L$4="FO",'2023'!$L$2=AJ309),'2023DATA'!$G$10,"")</f>
        <v/>
      </c>
      <c r="AK317" s="518" t="str">
        <f>IF(AND(_AC2="A-330-200",'2023'!$L$4="FO",'2023'!$L$2=AK309),'2023DATA'!$H$10,"")</f>
        <v/>
      </c>
      <c r="AL317" s="518" t="str">
        <f>IF(AND(_AC2="A-330-200",'2023'!$L$4="FO",'2023'!$L$2=AL309),'2023DATA'!$I$10,"")</f>
        <v/>
      </c>
      <c r="AM317" s="518" t="str">
        <f>IF(AND(_AC2="A-330-200",'2023'!$L$4="FO",'2023'!$L$2=AM309),'2023DATA'!$J$10,"")</f>
        <v/>
      </c>
      <c r="AN317" s="518" t="str">
        <f>IF(AND(_AC2="A-330-200",'2023'!$L$4="FO",'2023'!$L$2=AN309),'2023DATA'!$K$10,"")</f>
        <v/>
      </c>
      <c r="AO317" s="518" t="str">
        <f>IF(AND(_AC2="A-330-200",'2023'!$L$4="FO",'2023'!$L$2=AO309),'2023DATA'!$L$10,"")</f>
        <v/>
      </c>
      <c r="AP317" s="518" t="str">
        <f>IF(AND(_AC2="A-330-200",'2023'!$L$4="FO",'2023'!$L$2=AP309),'2023DATA'!$M$10,"")</f>
        <v/>
      </c>
      <c r="AQ317" s="520" t="str">
        <f>IF(AND(_AC2="A-330-200",'2023'!$L$4="FO",'2023'!$L$2=AQ309),'2023DATA'!$N$10,"")</f>
        <v/>
      </c>
      <c r="AR317" s="940"/>
      <c r="AS317" s="13" t="s">
        <v>62</v>
      </c>
      <c r="AT317" s="518" t="str">
        <f>IF(AND(_AC3="A-330-200",'2023'!$L$4="FO",'2023'!$L$2=AT309),'2023DATA'!$C$10,"")</f>
        <v/>
      </c>
      <c r="AU317" s="518" t="str">
        <f>IF(AND(_AC3="A-330-200",'2023'!$L$4="FO",'2023'!$L$2=AU309),'2023DATA'!$D$10,"")</f>
        <v/>
      </c>
      <c r="AV317" s="518" t="str">
        <f>IF(AND(_AC3="A-330-200",'2023'!$L$4="FO",'2023'!$L$2=AV309),'2023DATA'!$E$10,"")</f>
        <v/>
      </c>
      <c r="AW317" s="518" t="str">
        <f>IF(AND(_AC3="A-330-200",'2023'!$L$4="FO",'2023'!$L$2=AW309),'2023DATA'!$F$10,"")</f>
        <v/>
      </c>
      <c r="AX317" s="518" t="str">
        <f>IF(AND(_AC3="A-330-200",'2023'!$L$4="FO",'2023'!$L$2=AX309),'2023DATA'!$G$10,"")</f>
        <v/>
      </c>
      <c r="AY317" s="518" t="str">
        <f>IF(AND(_AC3="A-330-200",'2023'!$L$4="FO",'2023'!$L$2=AY309),'2023DATA'!$H$10,"")</f>
        <v/>
      </c>
      <c r="AZ317" s="518" t="str">
        <f>IF(AND(_AC3="A-330-200",'2023'!$L$4="FO",'2023'!$L$2=AZ309),'2023DATA'!$I$10,"")</f>
        <v/>
      </c>
      <c r="BA317" s="518" t="str">
        <f>IF(AND(_AC3="A-330-200",'2023'!$L$4="FO",'2023'!$L$2=BA309),'2023DATA'!$J$10,"")</f>
        <v/>
      </c>
      <c r="BB317" s="518" t="str">
        <f>IF(AND(_AC3="A-330-200",'2023'!$L$4="FO",'2023'!$L$2=BB309),'2023DATA'!$K$10,"")</f>
        <v/>
      </c>
      <c r="BC317" s="518" t="str">
        <f>IF(AND(_AC3="A-330-200",'2023'!$L$4="FO",'2023'!$L$2=BC309),'2023DATA'!$L$10,"")</f>
        <v/>
      </c>
      <c r="BD317" s="518" t="str">
        <f>IF(AND(_AC3="A-330-200",'2023'!$L$4="FO",'2023'!$L$2=BD309),'2023DATA'!$M$10,"")</f>
        <v/>
      </c>
      <c r="BE317" s="520" t="str">
        <f>IF(AND(_AC3="A-330-200",'2023'!$L$4="FO",'2023'!$L$2=BE309),'2023DATA'!$N$10,"")</f>
        <v/>
      </c>
      <c r="BF317" s="940"/>
      <c r="BG317" s="13" t="s">
        <v>62</v>
      </c>
      <c r="BH317" s="518" t="str">
        <f>IF(AND(_AC4="A-330-200",'2023'!$L$4="FO",'2023'!$L$2=BH309),'2023DATA'!$C$10,"")</f>
        <v/>
      </c>
      <c r="BI317" s="518" t="str">
        <f>IF(AND(_AC4="A-330-200",'2023'!$L$4="FO",'2023'!$L$2=BI309),'2023DATA'!$D$10,"")</f>
        <v/>
      </c>
      <c r="BJ317" s="518" t="str">
        <f>IF(AND(_AC4="A-330-200",'2023'!$L$4="FO",'2023'!$L$2=BJ309),'2023DATA'!$E$10,"")</f>
        <v/>
      </c>
      <c r="BK317" s="518" t="str">
        <f>IF(AND(_AC4="A-330-200",'2023'!$L$4="FO",'2023'!$L$2=BK309),'2023DATA'!$F$10,"")</f>
        <v/>
      </c>
      <c r="BL317" s="518" t="str">
        <f>IF(AND(_AC4="A-330-200",'2023'!$L$4="FO",'2023'!$L$2=BL309),'2023DATA'!$G$10,"")</f>
        <v/>
      </c>
      <c r="BM317" s="518" t="str">
        <f>IF(AND(_AC4="A-330-200",'2023'!$L$4="FO",'2023'!$L$2=BM309),'2023DATA'!$H$10,"")</f>
        <v/>
      </c>
      <c r="BN317" s="518" t="str">
        <f>IF(AND(_AC4="A-330-200",'2023'!$L$4="FO",'2023'!$L$2=BN309),'2023DATA'!$I$10,"")</f>
        <v/>
      </c>
      <c r="BO317" s="518" t="str">
        <f>IF(AND(_AC4="A-330-200",'2023'!$L$4="FO",'2023'!$L$2=BO309),'2023DATA'!$J$10,"")</f>
        <v/>
      </c>
      <c r="BP317" s="518" t="str">
        <f>IF(AND(_AC4="A-330-200",'2023'!$L$4="FO",'2023'!$L$2=BP309),'2023DATA'!$K$10,"")</f>
        <v/>
      </c>
      <c r="BQ317" s="518" t="str">
        <f>IF(AND(_AC4="A-330-200",'2023'!$L$4="FO",'2023'!$L$2=BQ309),'2023DATA'!$L$10,"")</f>
        <v/>
      </c>
      <c r="BR317" s="518" t="str">
        <f>IF(AND(_AC4="A-330-200",'2023'!$L$4="FO",'2023'!$L$2=BR309),'2023DATA'!$M$10,"")</f>
        <v/>
      </c>
      <c r="BS317" s="520" t="str">
        <f>IF(AND(_AC4="A-330-200",'2023'!$L$4="FO",'2023'!$L$2=BS309),'2023DATA'!$N$10,"")</f>
        <v/>
      </c>
      <c r="BT317" s="940"/>
      <c r="BU317" s="13" t="s">
        <v>62</v>
      </c>
      <c r="BV317" s="518" t="str">
        <f>IF(AND(_AC5="A-330-200",'2023'!$L$4="FO",'2023'!$L$2=BV309),'2023DATA'!$C$10,"")</f>
        <v/>
      </c>
      <c r="BW317" s="518" t="str">
        <f>IF(AND(_AC5="A-330-200",'2023'!$L$4="FO",'2023'!$L$2=BW309),'2023DATA'!$D$10,"")</f>
        <v/>
      </c>
      <c r="BX317" s="518" t="str">
        <f>IF(AND(_AC5="A-330-200",'2023'!$L$4="FO",'2023'!$L$2=BX309),'2023DATA'!$E$10,"")</f>
        <v/>
      </c>
      <c r="BY317" s="518" t="str">
        <f>IF(AND(_AC5="A-330-200",'2023'!$L$4="FO",'2023'!$L$2=BY309),'2023DATA'!$F$10,"")</f>
        <v/>
      </c>
      <c r="BZ317" s="518" t="str">
        <f>IF(AND(_AC5="A-330-200",'2023'!$L$4="FO",'2023'!$L$2=BZ309),'2023DATA'!$G$10,"")</f>
        <v/>
      </c>
      <c r="CA317" s="518" t="str">
        <f>IF(AND(_AC5="A-330-200",'2023'!$L$4="FO",'2023'!$L$2=CA309),'2023DATA'!$H$10,"")</f>
        <v/>
      </c>
      <c r="CB317" s="518" t="str">
        <f>IF(AND(_AC5="A-330-200",'2023'!$L$4="FO",'2023'!$L$2=CB309),'2023DATA'!$I$10,"")</f>
        <v/>
      </c>
      <c r="CC317" s="518" t="str">
        <f>IF(AND(_AC5="A-330-200",'2023'!$L$4="FO",'2023'!$L$2=CC309),'2023DATA'!$J$10,"")</f>
        <v/>
      </c>
      <c r="CD317" s="518" t="str">
        <f>IF(AND(_AC5="A-330-200",'2023'!$L$4="FO",'2023'!$L$2=CD309),'2023DATA'!$K$10,"")</f>
        <v/>
      </c>
      <c r="CE317" s="518" t="str">
        <f>IF(AND(_AC5="A-330-200",'2023'!$L$4="FO",'2023'!$L$2=CE309),'2023DATA'!$L$10,"")</f>
        <v/>
      </c>
      <c r="CF317" s="518" t="str">
        <f>IF(AND(_AC5="A-330-200",'2023'!$L$4="FO",'2023'!$L$2=CF309),'2023DATA'!$M$10,"")</f>
        <v/>
      </c>
      <c r="CG317" s="520" t="str">
        <f>IF(AND(_AC5="A-330-200",'2023'!$L$4="FO",'2023'!$L$2=CG309),'2023DATA'!$N$10,"")</f>
        <v/>
      </c>
      <c r="CH317" s="940"/>
      <c r="CI317" s="13" t="s">
        <v>62</v>
      </c>
      <c r="CJ317" s="518" t="str">
        <f>IF(AND(_AC6="A-330-200",'2023'!$L$4="FO",'2023'!$L$2=CJ309),'2023DATA'!$C$10,"")</f>
        <v/>
      </c>
      <c r="CK317" s="518" t="str">
        <f>IF(AND(_AC6="A-330-200",'2023'!$L$4="FO",'2023'!$L$2=CK309),'2023DATA'!$D$10,"")</f>
        <v/>
      </c>
      <c r="CL317" s="518" t="str">
        <f>IF(AND(_AC6="A-330-200",'2023'!$L$4="FO",'2023'!$L$2=CL309),'2023DATA'!$E$10,"")</f>
        <v/>
      </c>
      <c r="CM317" s="518" t="str">
        <f>IF(AND(_AC6="A-330-200",'2023'!$L$4="FO",'2023'!$L$2=CM309),'2023DATA'!$F$10,"")</f>
        <v/>
      </c>
      <c r="CN317" s="518" t="str">
        <f>IF(AND(_AC6="A-330-200",'2023'!$L$4="FO",'2023'!$L$2=CN309),'2023DATA'!$G$10,"")</f>
        <v/>
      </c>
      <c r="CO317" s="518" t="str">
        <f>IF(AND(_AC6="A-330-200",'2023'!$L$4="FO",'2023'!$L$2=CO309),'2023DATA'!$H$10,"")</f>
        <v/>
      </c>
      <c r="CP317" s="518" t="str">
        <f>IF(AND(_AC6="A-330-200",'2023'!$L$4="FO",'2023'!$L$2=CP309),'2023DATA'!$I$10,"")</f>
        <v/>
      </c>
      <c r="CQ317" s="518" t="str">
        <f>IF(AND(_AC6="A-330-200",'2023'!$L$4="FO",'2023'!$L$2=CQ309),'2023DATA'!$J$10,"")</f>
        <v/>
      </c>
      <c r="CR317" s="518" t="str">
        <f>IF(AND(_AC6="A-330-200",'2023'!$L$4="FO",'2023'!$L$2=CR309),'2023DATA'!$K$10,"")</f>
        <v/>
      </c>
      <c r="CS317" s="518" t="str">
        <f>IF(AND(_AC6="A-330-200",'2023'!$L$4="FO",'2023'!$L$2=CS309),'2023DATA'!$L$10,"")</f>
        <v/>
      </c>
      <c r="CT317" s="518" t="str">
        <f>IF(AND(_AC6="A-330-200",'2023'!$L$4="FO",'2023'!$L$2=CT309),'2023DATA'!$M$10,"")</f>
        <v/>
      </c>
      <c r="CU317" s="520" t="str">
        <f>IF(AND(_AC6="A-330-200",'2023'!$L$4="FO",'2023'!$L$2=CU309),'2023DATA'!$N$10,"")</f>
        <v/>
      </c>
    </row>
    <row r="318" spans="16:99" x14ac:dyDescent="0.25">
      <c r="P318" s="940" t="s">
        <v>42</v>
      </c>
      <c r="Q318" s="13" t="s">
        <v>61</v>
      </c>
      <c r="R318" s="518" t="str">
        <f>IF(AND(_AC1="B-767-400ER",'2023'!$L$4="CA",'2023'!$L$2=R309),'2023DATA'!$C$11,"")</f>
        <v/>
      </c>
      <c r="S318" s="518" t="str">
        <f>IF(AND(_AC1="B-767-400ER",'2023'!$L$4="CA",'2023'!$L$2=S309),'2023DATA'!$D$11,"")</f>
        <v/>
      </c>
      <c r="T318" s="518" t="str">
        <f>IF(AND(_AC1="B-767-400ER",'2023'!$L$4="CA",'2023'!$L$2=T309),'2023DATA'!$E$11,"")</f>
        <v/>
      </c>
      <c r="U318" s="518" t="str">
        <f>IF(AND(_AC1="B-767-400ER",'2023'!$L$4="CA",'2023'!$L$2=U309),'2023DATA'!$F$11,"")</f>
        <v/>
      </c>
      <c r="V318" s="518" t="str">
        <f>IF(AND(_AC1="B-767-400ER",'2023'!$L$4="CA",'2023'!$L$2=V309),'2023DATA'!$G$11,"")</f>
        <v/>
      </c>
      <c r="W318" s="518" t="str">
        <f>IF(AND(_AC1="B-767-400ER",'2023'!$L$4="CA",'2023'!$L$2=W309),'2023DATA'!$H$11,"")</f>
        <v/>
      </c>
      <c r="X318" s="518" t="str">
        <f>IF(AND(_AC1="B-767-400ER",'2023'!$L$4="CA",'2023'!$L$2=X309),'2023DATA'!$I$11,"")</f>
        <v/>
      </c>
      <c r="Y318" s="518" t="str">
        <f>IF(AND(_AC1="B-767-400ER",'2023'!$L$4="CA",'2023'!$L$2=Y309),'2023DATA'!$J$11,"")</f>
        <v/>
      </c>
      <c r="Z318" s="518" t="str">
        <f>IF(AND(_AC1="B-767-400ER",'2023'!$L$4="CA",'2023'!$L$2=Z309),'2023DATA'!$K$11,"")</f>
        <v/>
      </c>
      <c r="AA318" s="518" t="str">
        <f>IF(AND(_AC1="B-767-400ER",'2023'!$L$4="CA",'2023'!$L$2=AA309),'2023DATA'!$L$11,"")</f>
        <v/>
      </c>
      <c r="AB318" s="518" t="str">
        <f>IF(AND(_AC1="B-767-400ER",'2023'!$L$4="CA",'2023'!$L$2=AB309),'2023DATA'!$M$11,"")</f>
        <v/>
      </c>
      <c r="AC318" s="520" t="str">
        <f>IF(AND(_AC1="B-767-400ER",'2023'!$L$4="CA",'2023'!$L$2=AC309),'2023DATA'!$N$11,"")</f>
        <v/>
      </c>
      <c r="AD318" s="940" t="s">
        <v>42</v>
      </c>
      <c r="AE318" s="13" t="s">
        <v>61</v>
      </c>
      <c r="AF318" s="518" t="str">
        <f>IF(AND(_AC2="B-767-400ER",'2023'!$L$4="CA",'2023'!$L$2=AF309),'2023DATA'!$C$11,"")</f>
        <v/>
      </c>
      <c r="AG318" s="518" t="str">
        <f>IF(AND(_AC2="B-767-400ER",'2023'!$L$4="CA",'2023'!$L$2=AG309),'2023DATA'!$D$11,"")</f>
        <v/>
      </c>
      <c r="AH318" s="518" t="str">
        <f>IF(AND(_AC2="B-767-400ER",'2023'!$L$4="CA",'2023'!$L$2=AH309),'2023DATA'!$E$11,"")</f>
        <v/>
      </c>
      <c r="AI318" s="518" t="str">
        <f>IF(AND(_AC2="B-767-400ER",'2023'!$L$4="CA",'2023'!$L$2=AI309),'2023DATA'!$F$11,"")</f>
        <v/>
      </c>
      <c r="AJ318" s="518" t="str">
        <f>IF(AND(_AC2="B-767-400ER",'2023'!$L$4="CA",'2023'!$L$2=AJ309),'2023DATA'!$G$11,"")</f>
        <v/>
      </c>
      <c r="AK318" s="518" t="str">
        <f>IF(AND(_AC2="B-767-400ER",'2023'!$L$4="CA",'2023'!$L$2=AK309),'2023DATA'!$H$11,"")</f>
        <v/>
      </c>
      <c r="AL318" s="518" t="str">
        <f>IF(AND(_AC2="B-767-400ER",'2023'!$L$4="CA",'2023'!$L$2=AL309),'2023DATA'!$I$11,"")</f>
        <v/>
      </c>
      <c r="AM318" s="518" t="str">
        <f>IF(AND(_AC2="B-767-400ER",'2023'!$L$4="CA",'2023'!$L$2=AM309),'2023DATA'!$J$11,"")</f>
        <v/>
      </c>
      <c r="AN318" s="518" t="str">
        <f>IF(AND(_AC2="B-767-400ER",'2023'!$L$4="CA",'2023'!$L$2=AN309),'2023DATA'!$K$11,"")</f>
        <v/>
      </c>
      <c r="AO318" s="518" t="str">
        <f>IF(AND(_AC2="B-767-400ER",'2023'!$L$4="CA",'2023'!$L$2=AO309),'2023DATA'!$L$11,"")</f>
        <v/>
      </c>
      <c r="AP318" s="518" t="str">
        <f>IF(AND(_AC2="B-767-400ER",'2023'!$L$4="CA",'2023'!$L$2=AP309),'2023DATA'!$M$11,"")</f>
        <v/>
      </c>
      <c r="AQ318" s="520" t="str">
        <f>IF(AND(_AC2="B-767-400ER",'2023'!$L$4="CA",'2023'!$L$2=AQ309),'2023DATA'!$N$11,"")</f>
        <v/>
      </c>
      <c r="AR318" s="940" t="s">
        <v>42</v>
      </c>
      <c r="AS318" s="13" t="s">
        <v>61</v>
      </c>
      <c r="AT318" s="518" t="str">
        <f>IF(AND(_AC3="B-767-400ER",'2023'!$L$4="CA",'2023'!$L$2=AT309),'2023DATA'!$C$11,"")</f>
        <v/>
      </c>
      <c r="AU318" s="518" t="str">
        <f>IF(AND(_AC3="B-767-400ER",'2023'!$L$4="CA",'2023'!$L$2=AU309),'2023DATA'!$D$11,"")</f>
        <v/>
      </c>
      <c r="AV318" s="518" t="str">
        <f>IF(AND(_AC3="B-767-400ER",'2023'!$L$4="CA",'2023'!$L$2=AV309),'2023DATA'!$E$11,"")</f>
        <v/>
      </c>
      <c r="AW318" s="518" t="str">
        <f>IF(AND(_AC3="B-767-400ER",'2023'!$L$4="CA",'2023'!$L$2=AW309),'2023DATA'!$F$11,"")</f>
        <v/>
      </c>
      <c r="AX318" s="518" t="str">
        <f>IF(AND(_AC3="B-767-400ER",'2023'!$L$4="CA",'2023'!$L$2=AX309),'2023DATA'!$G$11,"")</f>
        <v/>
      </c>
      <c r="AY318" s="518" t="str">
        <f>IF(AND(_AC3="B-767-400ER",'2023'!$L$4="CA",'2023'!$L$2=AY309),'2023DATA'!$H$11,"")</f>
        <v/>
      </c>
      <c r="AZ318" s="518" t="str">
        <f>IF(AND(_AC3="B-767-400ER",'2023'!$L$4="CA",'2023'!$L$2=AZ309),'2023DATA'!$I$11,"")</f>
        <v/>
      </c>
      <c r="BA318" s="518" t="str">
        <f>IF(AND(_AC3="B-767-400ER",'2023'!$L$4="CA",'2023'!$L$2=BA309),'2023DATA'!$J$11,"")</f>
        <v/>
      </c>
      <c r="BB318" s="518" t="str">
        <f>IF(AND(_AC3="B-767-400ER",'2023'!$L$4="CA",'2023'!$L$2=BB309),'2023DATA'!$K$11,"")</f>
        <v/>
      </c>
      <c r="BC318" s="518" t="str">
        <f>IF(AND(_AC3="B-767-400ER",'2023'!$L$4="CA",'2023'!$L$2=BC309),'2023DATA'!$L$11,"")</f>
        <v/>
      </c>
      <c r="BD318" s="518" t="str">
        <f>IF(AND(_AC3="B-767-400ER",'2023'!$L$4="CA",'2023'!$L$2=BD309),'2023DATA'!$M$11,"")</f>
        <v/>
      </c>
      <c r="BE318" s="520" t="str">
        <f>IF(AND(_AC3="B-767-400ER",'2023'!$L$4="CA",'2023'!$L$2=BE309),'2023DATA'!$N$11,"")</f>
        <v/>
      </c>
      <c r="BF318" s="940" t="s">
        <v>42</v>
      </c>
      <c r="BG318" s="13" t="s">
        <v>61</v>
      </c>
      <c r="BH318" s="518" t="str">
        <f>IF(AND(_AC4="B-767-400ER",'2023'!$L$4="CA",'2023'!$L$2=BH309),'2023DATA'!$C$11,"")</f>
        <v/>
      </c>
      <c r="BI318" s="518" t="str">
        <f>IF(AND(_AC4="B-767-400ER",'2023'!$L$4="CA",'2023'!$L$2=BI309),'2023DATA'!$D$11,"")</f>
        <v/>
      </c>
      <c r="BJ318" s="518" t="str">
        <f>IF(AND(_AC4="B-767-400ER",'2023'!$L$4="CA",'2023'!$L$2=BJ309),'2023DATA'!$E$11,"")</f>
        <v/>
      </c>
      <c r="BK318" s="518" t="str">
        <f>IF(AND(_AC4="B-767-400ER",'2023'!$L$4="CA",'2023'!$L$2=BK309),'2023DATA'!$F$11,"")</f>
        <v/>
      </c>
      <c r="BL318" s="518" t="str">
        <f>IF(AND(_AC4="B-767-400ER",'2023'!$L$4="CA",'2023'!$L$2=BL309),'2023DATA'!$G$11,"")</f>
        <v/>
      </c>
      <c r="BM318" s="518" t="str">
        <f>IF(AND(_AC4="B-767-400ER",'2023'!$L$4="CA",'2023'!$L$2=BM309),'2023DATA'!$H$11,"")</f>
        <v/>
      </c>
      <c r="BN318" s="518" t="str">
        <f>IF(AND(_AC4="B-767-400ER",'2023'!$L$4="CA",'2023'!$L$2=BN309),'2023DATA'!$I$11,"")</f>
        <v/>
      </c>
      <c r="BO318" s="518" t="str">
        <f>IF(AND(_AC4="B-767-400ER",'2023'!$L$4="CA",'2023'!$L$2=BO309),'2023DATA'!$J$11,"")</f>
        <v/>
      </c>
      <c r="BP318" s="518" t="str">
        <f>IF(AND(_AC4="B-767-400ER",'2023'!$L$4="CA",'2023'!$L$2=BP309),'2023DATA'!$K$11,"")</f>
        <v/>
      </c>
      <c r="BQ318" s="518" t="str">
        <f>IF(AND(_AC4="B-767-400ER",'2023'!$L$4="CA",'2023'!$L$2=BQ309),'2023DATA'!$L$11,"")</f>
        <v/>
      </c>
      <c r="BR318" s="518" t="str">
        <f>IF(AND(_AC4="B-767-400ER",'2023'!$L$4="CA",'2023'!$L$2=BR309),'2023DATA'!$M$11,"")</f>
        <v/>
      </c>
      <c r="BS318" s="520" t="str">
        <f>IF(AND(_AC4="B-767-400ER",'2023'!$L$4="CA",'2023'!$L$2=BS309),'2023DATA'!$N$11,"")</f>
        <v/>
      </c>
      <c r="BT318" s="940" t="s">
        <v>42</v>
      </c>
      <c r="BU318" s="13" t="s">
        <v>61</v>
      </c>
      <c r="BV318" s="518" t="str">
        <f>IF(AND(_AC5="B-767-400ER",'2023'!$L$4="CA",'2023'!$L$2=BV309),'2023DATA'!$C$11,"")</f>
        <v/>
      </c>
      <c r="BW318" s="518" t="str">
        <f>IF(AND(_AC5="B-767-400ER",'2023'!$L$4="CA",'2023'!$L$2=BW309),'2023DATA'!$D$11,"")</f>
        <v/>
      </c>
      <c r="BX318" s="518" t="str">
        <f>IF(AND(_AC5="B-767-400ER",'2023'!$L$4="CA",'2023'!$L$2=BX309),'2023DATA'!$E$11,"")</f>
        <v/>
      </c>
      <c r="BY318" s="518" t="str">
        <f>IF(AND(_AC5="B-767-400ER",'2023'!$L$4="CA",'2023'!$L$2=BY309),'2023DATA'!$F$11,"")</f>
        <v/>
      </c>
      <c r="BZ318" s="518" t="str">
        <f>IF(AND(_AC5="B-767-400ER",'2023'!$L$4="CA",'2023'!$L$2=BZ309),'2023DATA'!$G$11,"")</f>
        <v/>
      </c>
      <c r="CA318" s="518" t="str">
        <f>IF(AND(_AC5="B-767-400ER",'2023'!$L$4="CA",'2023'!$L$2=CA309),'2023DATA'!$H$11,"")</f>
        <v/>
      </c>
      <c r="CB318" s="518" t="str">
        <f>IF(AND(_AC5="B-767-400ER",'2023'!$L$4="CA",'2023'!$L$2=CB309),'2023DATA'!$I$11,"")</f>
        <v/>
      </c>
      <c r="CC318" s="518" t="str">
        <f>IF(AND(_AC5="B-767-400ER",'2023'!$L$4="CA",'2023'!$L$2=CC309),'2023DATA'!$J$11,"")</f>
        <v/>
      </c>
      <c r="CD318" s="518" t="str">
        <f>IF(AND(_AC5="B-767-400ER",'2023'!$L$4="CA",'2023'!$L$2=CD309),'2023DATA'!$K$11,"")</f>
        <v/>
      </c>
      <c r="CE318" s="518" t="str">
        <f>IF(AND(_AC5="B-767-400ER",'2023'!$L$4="CA",'2023'!$L$2=CE309),'2023DATA'!$L$11,"")</f>
        <v/>
      </c>
      <c r="CF318" s="518" t="str">
        <f>IF(AND(_AC5="B-767-400ER",'2023'!$L$4="CA",'2023'!$L$2=CF309),'2023DATA'!$M$11,"")</f>
        <v/>
      </c>
      <c r="CG318" s="520" t="str">
        <f>IF(AND(_AC5="B-767-400ER",'2023'!$L$4="CA",'2023'!$L$2=CG309),'2023DATA'!$N$11,"")</f>
        <v/>
      </c>
      <c r="CH318" s="940" t="s">
        <v>42</v>
      </c>
      <c r="CI318" s="13" t="s">
        <v>61</v>
      </c>
      <c r="CJ318" s="518" t="str">
        <f>IF(AND(_AC6="B-767-400ER",'2023'!$L$4="CA",'2023'!$L$2=CJ309),'2023DATA'!$C$11,"")</f>
        <v/>
      </c>
      <c r="CK318" s="518" t="str">
        <f>IF(AND(_AC6="B-767-400ER",'2023'!$L$4="CA",'2023'!$L$2=CK309),'2023DATA'!$D$11,"")</f>
        <v/>
      </c>
      <c r="CL318" s="518" t="str">
        <f>IF(AND(_AC6="B-767-400ER",'2023'!$L$4="CA",'2023'!$L$2=CL309),'2023DATA'!$E$11,"")</f>
        <v/>
      </c>
      <c r="CM318" s="518" t="str">
        <f>IF(AND(_AC6="B-767-400ER",'2023'!$L$4="CA",'2023'!$L$2=CM309),'2023DATA'!$F$11,"")</f>
        <v/>
      </c>
      <c r="CN318" s="518" t="str">
        <f>IF(AND(_AC6="B-767-400ER",'2023'!$L$4="CA",'2023'!$L$2=CN309),'2023DATA'!$G$11,"")</f>
        <v/>
      </c>
      <c r="CO318" s="518" t="str">
        <f>IF(AND(_AC6="B-767-400ER",'2023'!$L$4="CA",'2023'!$L$2=CO309),'2023DATA'!$H$11,"")</f>
        <v/>
      </c>
      <c r="CP318" s="518" t="str">
        <f>IF(AND(_AC6="B-767-400ER",'2023'!$L$4="CA",'2023'!$L$2=CP309),'2023DATA'!$I$11,"")</f>
        <v/>
      </c>
      <c r="CQ318" s="518" t="str">
        <f>IF(AND(_AC6="B-767-400ER",'2023'!$L$4="CA",'2023'!$L$2=CQ309),'2023DATA'!$J$11,"")</f>
        <v/>
      </c>
      <c r="CR318" s="518" t="str">
        <f>IF(AND(_AC6="B-767-400ER",'2023'!$L$4="CA",'2023'!$L$2=CR309),'2023DATA'!$K$11,"")</f>
        <v/>
      </c>
      <c r="CS318" s="518" t="str">
        <f>IF(AND(_AC6="B-767-400ER",'2023'!$L$4="CA",'2023'!$L$2=CS309),'2023DATA'!$L$11,"")</f>
        <v/>
      </c>
      <c r="CT318" s="518" t="str">
        <f>IF(AND(_AC6="B-767-400ER",'2023'!$L$4="CA",'2023'!$L$2=CT309),'2023DATA'!$M$11,"")</f>
        <v/>
      </c>
      <c r="CU318" s="520" t="str">
        <f>IF(AND(_AC6="B-767-400ER",'2023'!$L$4="CA",'2023'!$L$2=CU309),'2023DATA'!$N$11,"")</f>
        <v/>
      </c>
    </row>
    <row r="319" spans="16:99" x14ac:dyDescent="0.25">
      <c r="P319" s="940"/>
      <c r="Q319" s="13" t="s">
        <v>62</v>
      </c>
      <c r="R319" s="518" t="str">
        <f>IF(AND(_AC1="B-767-400ER",'2023'!$L$4="FO",'2023'!$L$2=R309),'2023DATA'!$C$12,"")</f>
        <v/>
      </c>
      <c r="S319" s="518" t="str">
        <f>IF(AND(_AC1="B-767-400ER",'2023'!$L$4="FO",'2023'!$L$2=S309),'2023DATA'!$D$12,"")</f>
        <v/>
      </c>
      <c r="T319" s="518" t="str">
        <f>IF(AND(_AC1="B-767-400ER",'2023'!$L$4="FO",'2023'!$L$2=T309),'2023DATA'!$E$12,"")</f>
        <v/>
      </c>
      <c r="U319" s="518" t="str">
        <f>IF(AND(_AC1="B-767-400ER",'2023'!$L$4="FO",'2023'!$L$2=U309),'2023DATA'!$F$12,"")</f>
        <v/>
      </c>
      <c r="V319" s="518" t="str">
        <f>IF(AND(_AC1="B-767-400ER",'2023'!$L$4="FO",'2023'!$L$2=V309),'2023DATA'!$G$12,"")</f>
        <v/>
      </c>
      <c r="W319" s="518" t="str">
        <f>IF(AND(_AC1="B-767-400ER",'2023'!$L$4="FO",'2023'!$L$2=W309),'2023DATA'!$H$12,"")</f>
        <v/>
      </c>
      <c r="X319" s="518" t="str">
        <f>IF(AND(_AC1="B-767-400ER",'2023'!$L$4="FO",'2023'!$L$2=X309),'2023DATA'!$I$12,"")</f>
        <v/>
      </c>
      <c r="Y319" s="518" t="str">
        <f>IF(AND(_AC1="B-767-400ER",'2023'!$L$4="FO",'2023'!$L$2=Y309),'2023DATA'!$J$12,"")</f>
        <v/>
      </c>
      <c r="Z319" s="518" t="str">
        <f>IF(AND(_AC1="B-767-400ER",'2023'!$L$4="FO",'2023'!$L$2=Z309),'2023DATA'!$K$12,"")</f>
        <v/>
      </c>
      <c r="AA319" s="518" t="str">
        <f>IF(AND(_AC1="B-767-400ER",'2023'!$L$4="FO",'2023'!$L$2=AA309),'2023DATA'!$L$12,"")</f>
        <v/>
      </c>
      <c r="AB319" s="518" t="str">
        <f>IF(AND(_AC1="B-767-400ER",'2023'!$L$4="FO",'2023'!$L$2=AB309),'2023DATA'!$M$12,"")</f>
        <v/>
      </c>
      <c r="AC319" s="520" t="str">
        <f>IF(AND(_AC1="B-767-400ER",'2023'!$L$4="FO",'2023'!$L$2=AC309),'2023DATA'!$N$12,"")</f>
        <v/>
      </c>
      <c r="AD319" s="940"/>
      <c r="AE319" s="13" t="s">
        <v>62</v>
      </c>
      <c r="AF319" s="518" t="str">
        <f>IF(AND(_AC2="B-767-400ER",'2023'!$L$4="FO",'2023'!$L$2=AF309),'2023DATA'!$C$12,"")</f>
        <v/>
      </c>
      <c r="AG319" s="518" t="str">
        <f>IF(AND(_AC2="B-767-400ER",'2023'!$L$4="FO",'2023'!$L$2=AG309),'2023DATA'!$D$12,"")</f>
        <v/>
      </c>
      <c r="AH319" s="518" t="str">
        <f>IF(AND(_AC2="B-767-400ER",'2023'!$L$4="FO",'2023'!$L$2=AH309),'2023DATA'!$E$12,"")</f>
        <v/>
      </c>
      <c r="AI319" s="518" t="str">
        <f>IF(AND(_AC2="B-767-400ER",'2023'!$L$4="FO",'2023'!$L$2=AI309),'2023DATA'!$F$12,"")</f>
        <v/>
      </c>
      <c r="AJ319" s="518" t="str">
        <f>IF(AND(_AC2="B-767-400ER",'2023'!$L$4="FO",'2023'!$L$2=AJ309),'2023DATA'!$G$12,"")</f>
        <v/>
      </c>
      <c r="AK319" s="518" t="str">
        <f>IF(AND(_AC2="B-767-400ER",'2023'!$L$4="FO",'2023'!$L$2=AK309),'2023DATA'!$H$12,"")</f>
        <v/>
      </c>
      <c r="AL319" s="518" t="str">
        <f>IF(AND(_AC2="B-767-400ER",'2023'!$L$4="FO",'2023'!$L$2=AL309),'2023DATA'!$I$12,"")</f>
        <v/>
      </c>
      <c r="AM319" s="518" t="str">
        <f>IF(AND(_AC2="B-767-400ER",'2023'!$L$4="FO",'2023'!$L$2=AM309),'2023DATA'!$J$12,"")</f>
        <v/>
      </c>
      <c r="AN319" s="518" t="str">
        <f>IF(AND(_AC2="B-767-400ER",'2023'!$L$4="FO",'2023'!$L$2=AN309),'2023DATA'!$K$12,"")</f>
        <v/>
      </c>
      <c r="AO319" s="518" t="str">
        <f>IF(AND(_AC2="B-767-400ER",'2023'!$L$4="FO",'2023'!$L$2=AO309),'2023DATA'!$L$12,"")</f>
        <v/>
      </c>
      <c r="AP319" s="518" t="str">
        <f>IF(AND(_AC2="B-767-400ER",'2023'!$L$4="FO",'2023'!$L$2=AP309),'2023DATA'!$M$12,"")</f>
        <v/>
      </c>
      <c r="AQ319" s="520" t="str">
        <f>IF(AND(_AC2="B-767-400ER",'2023'!$L$4="FO",'2023'!$L$2=AQ309),'2023DATA'!$N$12,"")</f>
        <v/>
      </c>
      <c r="AR319" s="940"/>
      <c r="AS319" s="13" t="s">
        <v>62</v>
      </c>
      <c r="AT319" s="518" t="str">
        <f>IF(AND(_AC3="B-767-400ER",'2023'!$L$4="FO",'2023'!$L$2=AT309),'2023DATA'!$C$12,"")</f>
        <v/>
      </c>
      <c r="AU319" s="518" t="str">
        <f>IF(AND(_AC3="B-767-400ER",'2023'!$L$4="FO",'2023'!$L$2=AU309),'2023DATA'!$D$12,"")</f>
        <v/>
      </c>
      <c r="AV319" s="518" t="str">
        <f>IF(AND(_AC3="B-767-400ER",'2023'!$L$4="FO",'2023'!$L$2=AV309),'2023DATA'!$E$12,"")</f>
        <v/>
      </c>
      <c r="AW319" s="518" t="str">
        <f>IF(AND(_AC3="B-767-400ER",'2023'!$L$4="FO",'2023'!$L$2=AW309),'2023DATA'!$F$12,"")</f>
        <v/>
      </c>
      <c r="AX319" s="518" t="str">
        <f>IF(AND(_AC3="B-767-400ER",'2023'!$L$4="FO",'2023'!$L$2=AX309),'2023DATA'!$G$12,"")</f>
        <v/>
      </c>
      <c r="AY319" s="518" t="str">
        <f>IF(AND(_AC3="B-767-400ER",'2023'!$L$4="FO",'2023'!$L$2=AY309),'2023DATA'!$H$12,"")</f>
        <v/>
      </c>
      <c r="AZ319" s="518" t="str">
        <f>IF(AND(_AC3="B-767-400ER",'2023'!$L$4="FO",'2023'!$L$2=AZ309),'2023DATA'!$I$12,"")</f>
        <v/>
      </c>
      <c r="BA319" s="518" t="str">
        <f>IF(AND(_AC3="B-767-400ER",'2023'!$L$4="FO",'2023'!$L$2=BA309),'2023DATA'!$J$12,"")</f>
        <v/>
      </c>
      <c r="BB319" s="518" t="str">
        <f>IF(AND(_AC3="B-767-400ER",'2023'!$L$4="FO",'2023'!$L$2=BB309),'2023DATA'!$K$12,"")</f>
        <v/>
      </c>
      <c r="BC319" s="518" t="str">
        <f>IF(AND(_AC3="B-767-400ER",'2023'!$L$4="FO",'2023'!$L$2=BC309),'2023DATA'!$L$12,"")</f>
        <v/>
      </c>
      <c r="BD319" s="518" t="str">
        <f>IF(AND(_AC3="B-767-400ER",'2023'!$L$4="FO",'2023'!$L$2=BD309),'2023DATA'!$M$12,"")</f>
        <v/>
      </c>
      <c r="BE319" s="520" t="str">
        <f>IF(AND(_AC3="B-767-400ER",'2023'!$L$4="FO",'2023'!$L$2=BE309),'2023DATA'!$N$12,"")</f>
        <v/>
      </c>
      <c r="BF319" s="940"/>
      <c r="BG319" s="13" t="s">
        <v>62</v>
      </c>
      <c r="BH319" s="518" t="str">
        <f>IF(AND(_AC4="B-767-400ER",'2023'!$L$4="FO",'2023'!$L$2=BH309),'2023DATA'!$C$12,"")</f>
        <v/>
      </c>
      <c r="BI319" s="518" t="str">
        <f>IF(AND(_AC4="B-767-400ER",'2023'!$L$4="FO",'2023'!$L$2=BI309),'2023DATA'!$D$12,"")</f>
        <v/>
      </c>
      <c r="BJ319" s="518" t="str">
        <f>IF(AND(_AC4="B-767-400ER",'2023'!$L$4="FO",'2023'!$L$2=BJ309),'2023DATA'!$E$12,"")</f>
        <v/>
      </c>
      <c r="BK319" s="518" t="str">
        <f>IF(AND(_AC4="B-767-400ER",'2023'!$L$4="FO",'2023'!$L$2=BK309),'2023DATA'!$F$12,"")</f>
        <v/>
      </c>
      <c r="BL319" s="518" t="str">
        <f>IF(AND(_AC4="B-767-400ER",'2023'!$L$4="FO",'2023'!$L$2=BL309),'2023DATA'!$G$12,"")</f>
        <v/>
      </c>
      <c r="BM319" s="518" t="str">
        <f>IF(AND(_AC4="B-767-400ER",'2023'!$L$4="FO",'2023'!$L$2=BM309),'2023DATA'!$H$12,"")</f>
        <v/>
      </c>
      <c r="BN319" s="518" t="str">
        <f>IF(AND(_AC4="B-767-400ER",'2023'!$L$4="FO",'2023'!$L$2=BN309),'2023DATA'!$I$12,"")</f>
        <v/>
      </c>
      <c r="BO319" s="518" t="str">
        <f>IF(AND(_AC4="B-767-400ER",'2023'!$L$4="FO",'2023'!$L$2=BO309),'2023DATA'!$J$12,"")</f>
        <v/>
      </c>
      <c r="BP319" s="518" t="str">
        <f>IF(AND(_AC4="B-767-400ER",'2023'!$L$4="FO",'2023'!$L$2=BP309),'2023DATA'!$K$12,"")</f>
        <v/>
      </c>
      <c r="BQ319" s="518" t="str">
        <f>IF(AND(_AC4="B-767-400ER",'2023'!$L$4="FO",'2023'!$L$2=BQ309),'2023DATA'!$L$12,"")</f>
        <v/>
      </c>
      <c r="BR319" s="518" t="str">
        <f>IF(AND(_AC4="B-767-400ER",'2023'!$L$4="FO",'2023'!$L$2=BR309),'2023DATA'!$M$12,"")</f>
        <v/>
      </c>
      <c r="BS319" s="520" t="str">
        <f>IF(AND(_AC4="B-767-400ER",'2023'!$L$4="FO",'2023'!$L$2=BS309),'2023DATA'!$N$12,"")</f>
        <v/>
      </c>
      <c r="BT319" s="940"/>
      <c r="BU319" s="13" t="s">
        <v>62</v>
      </c>
      <c r="BV319" s="518" t="str">
        <f>IF(AND(_AC5="B-767-400ER",'2023'!$L$4="FO",'2023'!$L$2=BV309),'2023DATA'!$C$12,"")</f>
        <v/>
      </c>
      <c r="BW319" s="518" t="str">
        <f>IF(AND(_AC5="B-767-400ER",'2023'!$L$4="FO",'2023'!$L$2=BW309),'2023DATA'!$D$12,"")</f>
        <v/>
      </c>
      <c r="BX319" s="518" t="str">
        <f>IF(AND(_AC5="B-767-400ER",'2023'!$L$4="FO",'2023'!$L$2=BX309),'2023DATA'!$E$12,"")</f>
        <v/>
      </c>
      <c r="BY319" s="518" t="str">
        <f>IF(AND(_AC5="B-767-400ER",'2023'!$L$4="FO",'2023'!$L$2=BY309),'2023DATA'!$F$12,"")</f>
        <v/>
      </c>
      <c r="BZ319" s="518" t="str">
        <f>IF(AND(_AC5="B-767-400ER",'2023'!$L$4="FO",'2023'!$L$2=BZ309),'2023DATA'!$G$12,"")</f>
        <v/>
      </c>
      <c r="CA319" s="518" t="str">
        <f>IF(AND(_AC5="B-767-400ER",'2023'!$L$4="FO",'2023'!$L$2=CA309),'2023DATA'!$H$12,"")</f>
        <v/>
      </c>
      <c r="CB319" s="518" t="str">
        <f>IF(AND(_AC5="B-767-400ER",'2023'!$L$4="FO",'2023'!$L$2=CB309),'2023DATA'!$I$12,"")</f>
        <v/>
      </c>
      <c r="CC319" s="518" t="str">
        <f>IF(AND(_AC5="B-767-400ER",'2023'!$L$4="FO",'2023'!$L$2=CC309),'2023DATA'!$J$12,"")</f>
        <v/>
      </c>
      <c r="CD319" s="518" t="str">
        <f>IF(AND(_AC5="B-767-400ER",'2023'!$L$4="FO",'2023'!$L$2=CD309),'2023DATA'!$K$12,"")</f>
        <v/>
      </c>
      <c r="CE319" s="518" t="str">
        <f>IF(AND(_AC5="B-767-400ER",'2023'!$L$4="FO",'2023'!$L$2=CE309),'2023DATA'!$L$12,"")</f>
        <v/>
      </c>
      <c r="CF319" s="518" t="str">
        <f>IF(AND(_AC5="B-767-400ER",'2023'!$L$4="FO",'2023'!$L$2=CF309),'2023DATA'!$M$12,"")</f>
        <v/>
      </c>
      <c r="CG319" s="520" t="str">
        <f>IF(AND(_AC5="B-767-400ER",'2023'!$L$4="FO",'2023'!$L$2=CG309),'2023DATA'!$N$12,"")</f>
        <v/>
      </c>
      <c r="CH319" s="940"/>
      <c r="CI319" s="13" t="s">
        <v>62</v>
      </c>
      <c r="CJ319" s="518" t="str">
        <f>IF(AND(_AC6="B-767-400ER",'2023'!$L$4="FO",'2023'!$L$2=CJ309),'2023DATA'!$C$12,"")</f>
        <v/>
      </c>
      <c r="CK319" s="518" t="str">
        <f>IF(AND(_AC6="B-767-400ER",'2023'!$L$4="FO",'2023'!$L$2=CK309),'2023DATA'!$D$12,"")</f>
        <v/>
      </c>
      <c r="CL319" s="518" t="str">
        <f>IF(AND(_AC6="B-767-400ER",'2023'!$L$4="FO",'2023'!$L$2=CL309),'2023DATA'!$E$12,"")</f>
        <v/>
      </c>
      <c r="CM319" s="518" t="str">
        <f>IF(AND(_AC6="B-767-400ER",'2023'!$L$4="FO",'2023'!$L$2=CM309),'2023DATA'!$F$12,"")</f>
        <v/>
      </c>
      <c r="CN319" s="518" t="str">
        <f>IF(AND(_AC6="B-767-400ER",'2023'!$L$4="FO",'2023'!$L$2=CN309),'2023DATA'!$G$12,"")</f>
        <v/>
      </c>
      <c r="CO319" s="518" t="str">
        <f>IF(AND(_AC6="B-767-400ER",'2023'!$L$4="FO",'2023'!$L$2=CO309),'2023DATA'!$H$12,"")</f>
        <v/>
      </c>
      <c r="CP319" s="518" t="str">
        <f>IF(AND(_AC6="B-767-400ER",'2023'!$L$4="FO",'2023'!$L$2=CP309),'2023DATA'!$I$12,"")</f>
        <v/>
      </c>
      <c r="CQ319" s="518" t="str">
        <f>IF(AND(_AC6="B-767-400ER",'2023'!$L$4="FO",'2023'!$L$2=CQ309),'2023DATA'!$J$12,"")</f>
        <v/>
      </c>
      <c r="CR319" s="518" t="str">
        <f>IF(AND(_AC6="B-767-400ER",'2023'!$L$4="FO",'2023'!$L$2=CR309),'2023DATA'!$K$12,"")</f>
        <v/>
      </c>
      <c r="CS319" s="518" t="str">
        <f>IF(AND(_AC6="B-767-400ER",'2023'!$L$4="FO",'2023'!$L$2=CS309),'2023DATA'!$L$12,"")</f>
        <v/>
      </c>
      <c r="CT319" s="518" t="str">
        <f>IF(AND(_AC6="B-767-400ER",'2023'!$L$4="FO",'2023'!$L$2=CT309),'2023DATA'!$M$12,"")</f>
        <v/>
      </c>
      <c r="CU319" s="520" t="str">
        <f>IF(AND(_AC6="B-767-400ER",'2023'!$L$4="FO",'2023'!$L$2=CU309),'2023DATA'!$N$12,"")</f>
        <v/>
      </c>
    </row>
    <row r="320" spans="16:99" x14ac:dyDescent="0.25">
      <c r="P320" s="940" t="s">
        <v>43</v>
      </c>
      <c r="Q320" s="13" t="s">
        <v>61</v>
      </c>
      <c r="R320" s="518" t="str">
        <f>IF(AND(_AC1="B-767-300ER",'2023'!$L$4="CA",'2023'!$L$2=R309),'2023DATA'!$C$13,"")</f>
        <v/>
      </c>
      <c r="S320" s="518" t="str">
        <f>IF(AND(_AC1="B-767-300ER",'2023'!$L$4="CA",'2023'!$L$2=S309),'2023DATA'!$D$13,"")</f>
        <v/>
      </c>
      <c r="T320" s="518" t="str">
        <f>IF(AND(_AC1="B-767-300ER",'2023'!$L$4="CA",'2023'!$L$2=T309),'2023DATA'!$E$13,"")</f>
        <v/>
      </c>
      <c r="U320" s="518" t="str">
        <f>IF(AND(_AC1="B-767-300ER",'2023'!$L$4="CA",'2023'!$L$2=U309),'2023DATA'!$F$13,"")</f>
        <v/>
      </c>
      <c r="V320" s="518" t="str">
        <f>IF(AND(_AC1="B-767-300ER",'2023'!$L$4="CA",'2023'!$L$2=V309),'2023DATA'!$G$13,"")</f>
        <v/>
      </c>
      <c r="W320" s="518" t="str">
        <f>IF(AND(_AC1="B-767-300ER",'2023'!$L$4="CA",'2023'!$L$2=W309),'2023DATA'!$H$13,"")</f>
        <v/>
      </c>
      <c r="X320" s="518" t="str">
        <f>IF(AND(_AC1="B-767-300ER",'2023'!$L$4="CA",'2023'!$L$2=X309),'2023DATA'!$I$13,"")</f>
        <v/>
      </c>
      <c r="Y320" s="518" t="str">
        <f>IF(AND(_AC1="B-767-300ER",'2023'!$L$4="CA",'2023'!$L$2=Y309),'2023DATA'!$J$13,"")</f>
        <v/>
      </c>
      <c r="Z320" s="518" t="str">
        <f>IF(AND(_AC1="B-767-300ER",'2023'!$L$4="CA",'2023'!$L$2=Z309),'2023DATA'!$K$13,"")</f>
        <v/>
      </c>
      <c r="AA320" s="518" t="str">
        <f>IF(AND(_AC1="B-767-300ER",'2023'!$L$4="CA",'2023'!$L$2=AA309),'2023DATA'!$L$13,"")</f>
        <v/>
      </c>
      <c r="AB320" s="518" t="str">
        <f>IF(AND(_AC1="B-767-300ER",'2023'!$L$4="CA",'2023'!$L$2=AB309),'2023DATA'!$M$13,"")</f>
        <v/>
      </c>
      <c r="AC320" s="520" t="str">
        <f>IF(AND(_AC1="B-767-300ER",'2023'!$L$4="CA",'2023'!$L$2=AC309),'2023DATA'!$N$13,"")</f>
        <v/>
      </c>
      <c r="AD320" s="940" t="s">
        <v>43</v>
      </c>
      <c r="AE320" s="13" t="s">
        <v>61</v>
      </c>
      <c r="AF320" s="518" t="str">
        <f>IF(AND(_AC2="B-767-300ER",'2023'!$L$4="CA",'2023'!$L$2=AF309),'2023DATA'!$C$13,"")</f>
        <v/>
      </c>
      <c r="AG320" s="518" t="str">
        <f>IF(AND(_AC2="B-767-300ER",'2023'!$L$4="CA",'2023'!$L$2=AG309),'2023DATA'!$D$13,"")</f>
        <v/>
      </c>
      <c r="AH320" s="518" t="str">
        <f>IF(AND(_AC2="B-767-300ER",'2023'!$L$4="CA",'2023'!$L$2=AH309),'2023DATA'!$E$13,"")</f>
        <v/>
      </c>
      <c r="AI320" s="518" t="str">
        <f>IF(AND(_AC2="B-767-300ER",'2023'!$L$4="CA",'2023'!$L$2=AI309),'2023DATA'!$F$13,"")</f>
        <v/>
      </c>
      <c r="AJ320" s="518" t="str">
        <f>IF(AND(_AC2="B-767-300ER",'2023'!$L$4="CA",'2023'!$L$2=AJ309),'2023DATA'!$G$13,"")</f>
        <v/>
      </c>
      <c r="AK320" s="518" t="str">
        <f>IF(AND(_AC2="B-767-300ER",'2023'!$L$4="CA",'2023'!$L$2=AK309),'2023DATA'!$H$13,"")</f>
        <v/>
      </c>
      <c r="AL320" s="518" t="str">
        <f>IF(AND(_AC2="B-767-300ER",'2023'!$L$4="CA",'2023'!$L$2=AL309),'2023DATA'!$I$13,"")</f>
        <v/>
      </c>
      <c r="AM320" s="518" t="str">
        <f>IF(AND(_AC2="B-767-300ER",'2023'!$L$4="CA",'2023'!$L$2=AM309),'2023DATA'!$J$13,"")</f>
        <v/>
      </c>
      <c r="AN320" s="518" t="str">
        <f>IF(AND(_AC2="B-767-300ER",'2023'!$L$4="CA",'2023'!$L$2=AN309),'2023DATA'!$K$13,"")</f>
        <v/>
      </c>
      <c r="AO320" s="518" t="str">
        <f>IF(AND(_AC2="B-767-300ER",'2023'!$L$4="CA",'2023'!$L$2=AO309),'2023DATA'!$L$13,"")</f>
        <v/>
      </c>
      <c r="AP320" s="518" t="str">
        <f>IF(AND(_AC2="B-767-300ER",'2023'!$L$4="CA",'2023'!$L$2=AP309),'2023DATA'!$M$13,"")</f>
        <v/>
      </c>
      <c r="AQ320" s="520" t="str">
        <f>IF(AND(_AC2="B-767-300ER",'2023'!$L$4="CA",'2023'!$L$2=AQ309),'2023DATA'!$N$13,"")</f>
        <v/>
      </c>
      <c r="AR320" s="940" t="s">
        <v>43</v>
      </c>
      <c r="AS320" s="13" t="s">
        <v>61</v>
      </c>
      <c r="AT320" s="518" t="str">
        <f>IF(AND(_AC3="B-767-300ER",'2023'!$L$4="CA",'2023'!$L$2=AT309),'2023DATA'!$C$13,"")</f>
        <v/>
      </c>
      <c r="AU320" s="518" t="str">
        <f>IF(AND(_AC3="B-767-300ER",'2023'!$L$4="CA",'2023'!$L$2=AU309),'2023DATA'!$D$13,"")</f>
        <v/>
      </c>
      <c r="AV320" s="518" t="str">
        <f>IF(AND(_AC3="B-767-300ER",'2023'!$L$4="CA",'2023'!$L$2=AV309),'2023DATA'!$E$13,"")</f>
        <v/>
      </c>
      <c r="AW320" s="518" t="str">
        <f>IF(AND(_AC3="B-767-300ER",'2023'!$L$4="CA",'2023'!$L$2=AW309),'2023DATA'!$F$13,"")</f>
        <v/>
      </c>
      <c r="AX320" s="518" t="str">
        <f>IF(AND(_AC3="B-767-300ER",'2023'!$L$4="CA",'2023'!$L$2=AX309),'2023DATA'!$G$13,"")</f>
        <v/>
      </c>
      <c r="AY320" s="518" t="str">
        <f>IF(AND(_AC3="B-767-300ER",'2023'!$L$4="CA",'2023'!$L$2=AY309),'2023DATA'!$H$13,"")</f>
        <v/>
      </c>
      <c r="AZ320" s="518" t="str">
        <f>IF(AND(_AC3="B-767-300ER",'2023'!$L$4="CA",'2023'!$L$2=AZ309),'2023DATA'!$I$13,"")</f>
        <v/>
      </c>
      <c r="BA320" s="518" t="str">
        <f>IF(AND(_AC3="B-767-300ER",'2023'!$L$4="CA",'2023'!$L$2=BA309),'2023DATA'!$J$13,"")</f>
        <v/>
      </c>
      <c r="BB320" s="518" t="str">
        <f>IF(AND(_AC3="B-767-300ER",'2023'!$L$4="CA",'2023'!$L$2=BB309),'2023DATA'!$K$13,"")</f>
        <v/>
      </c>
      <c r="BC320" s="518" t="str">
        <f>IF(AND(_AC3="B-767-300ER",'2023'!$L$4="CA",'2023'!$L$2=BC309),'2023DATA'!$L$13,"")</f>
        <v/>
      </c>
      <c r="BD320" s="518" t="str">
        <f>IF(AND(_AC3="B-767-300ER",'2023'!$L$4="CA",'2023'!$L$2=BD309),'2023DATA'!$M$13,"")</f>
        <v/>
      </c>
      <c r="BE320" s="520" t="str">
        <f>IF(AND(_AC3="B-767-300ER",'2023'!$L$4="CA",'2023'!$L$2=BE309),'2023DATA'!$N$13,"")</f>
        <v/>
      </c>
      <c r="BF320" s="940" t="s">
        <v>43</v>
      </c>
      <c r="BG320" s="13" t="s">
        <v>61</v>
      </c>
      <c r="BH320" s="518" t="str">
        <f>IF(AND(_AC4="B-767-300ER",'2023'!$L$4="CA",'2023'!$L$2=BH309),'2023DATA'!$C$13,"")</f>
        <v/>
      </c>
      <c r="BI320" s="518" t="str">
        <f>IF(AND(_AC4="B-767-300ER",'2023'!$L$4="CA",'2023'!$L$2=BI309),'2023DATA'!$D$13,"")</f>
        <v/>
      </c>
      <c r="BJ320" s="518" t="str">
        <f>IF(AND(_AC4="B-767-300ER",'2023'!$L$4="CA",'2023'!$L$2=BJ309),'2023DATA'!$E$13,"")</f>
        <v/>
      </c>
      <c r="BK320" s="518" t="str">
        <f>IF(AND(_AC4="B-767-300ER",'2023'!$L$4="CA",'2023'!$L$2=BK309),'2023DATA'!$F$13,"")</f>
        <v/>
      </c>
      <c r="BL320" s="518" t="str">
        <f>IF(AND(_AC4="B-767-300ER",'2023'!$L$4="CA",'2023'!$L$2=BL309),'2023DATA'!$G$13,"")</f>
        <v/>
      </c>
      <c r="BM320" s="518" t="str">
        <f>IF(AND(_AC4="B-767-300ER",'2023'!$L$4="CA",'2023'!$L$2=BM309),'2023DATA'!$H$13,"")</f>
        <v/>
      </c>
      <c r="BN320" s="518" t="str">
        <f>IF(AND(_AC4="B-767-300ER",'2023'!$L$4="CA",'2023'!$L$2=BN309),'2023DATA'!$I$13,"")</f>
        <v/>
      </c>
      <c r="BO320" s="518" t="str">
        <f>IF(AND(_AC4="B-767-300ER",'2023'!$L$4="CA",'2023'!$L$2=BO309),'2023DATA'!$J$13,"")</f>
        <v/>
      </c>
      <c r="BP320" s="518" t="str">
        <f>IF(AND(_AC4="B-767-300ER",'2023'!$L$4="CA",'2023'!$L$2=BP309),'2023DATA'!$K$13,"")</f>
        <v/>
      </c>
      <c r="BQ320" s="518" t="str">
        <f>IF(AND(_AC4="B-767-300ER",'2023'!$L$4="CA",'2023'!$L$2=BQ309),'2023DATA'!$L$13,"")</f>
        <v/>
      </c>
      <c r="BR320" s="518" t="str">
        <f>IF(AND(_AC4="B-767-300ER",'2023'!$L$4="CA",'2023'!$L$2=BR309),'2023DATA'!$M$13,"")</f>
        <v/>
      </c>
      <c r="BS320" s="520" t="str">
        <f>IF(AND(_AC4="B-767-300ER",'2023'!$L$4="CA",'2023'!$L$2=BS309),'2023DATA'!$N$13,"")</f>
        <v/>
      </c>
      <c r="BT320" s="940" t="s">
        <v>43</v>
      </c>
      <c r="BU320" s="13" t="s">
        <v>61</v>
      </c>
      <c r="BV320" s="518" t="str">
        <f>IF(AND(_AC5="B-767-300ER",'2023'!$L$4="CA",'2023'!$L$2=BV309),'2023DATA'!$C$13,"")</f>
        <v/>
      </c>
      <c r="BW320" s="518" t="str">
        <f>IF(AND(_AC5="B-767-300ER",'2023'!$L$4="CA",'2023'!$L$2=BW309),'2023DATA'!$D$13,"")</f>
        <v/>
      </c>
      <c r="BX320" s="518" t="str">
        <f>IF(AND(_AC5="B-767-300ER",'2023'!$L$4="CA",'2023'!$L$2=BX309),'2023DATA'!$E$13,"")</f>
        <v/>
      </c>
      <c r="BY320" s="518" t="str">
        <f>IF(AND(_AC5="B-767-300ER",'2023'!$L$4="CA",'2023'!$L$2=BY309),'2023DATA'!$F$13,"")</f>
        <v/>
      </c>
      <c r="BZ320" s="518" t="str">
        <f>IF(AND(_AC5="B-767-300ER",'2023'!$L$4="CA",'2023'!$L$2=BZ309),'2023DATA'!$G$13,"")</f>
        <v/>
      </c>
      <c r="CA320" s="518" t="str">
        <f>IF(AND(_AC5="B-767-300ER",'2023'!$L$4="CA",'2023'!$L$2=CA309),'2023DATA'!$H$13,"")</f>
        <v/>
      </c>
      <c r="CB320" s="518" t="str">
        <f>IF(AND(_AC5="B-767-300ER",'2023'!$L$4="CA",'2023'!$L$2=CB309),'2023DATA'!$I$13,"")</f>
        <v/>
      </c>
      <c r="CC320" s="518" t="str">
        <f>IF(AND(_AC5="B-767-300ER",'2023'!$L$4="CA",'2023'!$L$2=CC309),'2023DATA'!$J$13,"")</f>
        <v/>
      </c>
      <c r="CD320" s="518" t="str">
        <f>IF(AND(_AC5="B-767-300ER",'2023'!$L$4="CA",'2023'!$L$2=CD309),'2023DATA'!$K$13,"")</f>
        <v/>
      </c>
      <c r="CE320" s="518" t="str">
        <f>IF(AND(_AC5="B-767-300ER",'2023'!$L$4="CA",'2023'!$L$2=CE309),'2023DATA'!$L$13,"")</f>
        <v/>
      </c>
      <c r="CF320" s="518" t="str">
        <f>IF(AND(_AC5="B-767-300ER",'2023'!$L$4="CA",'2023'!$L$2=CF309),'2023DATA'!$M$13,"")</f>
        <v/>
      </c>
      <c r="CG320" s="520" t="str">
        <f>IF(AND(_AC5="B-767-300ER",'2023'!$L$4="CA",'2023'!$L$2=CG309),'2023DATA'!$N$13,"")</f>
        <v/>
      </c>
      <c r="CH320" s="940" t="s">
        <v>43</v>
      </c>
      <c r="CI320" s="13" t="s">
        <v>61</v>
      </c>
      <c r="CJ320" s="518" t="str">
        <f>IF(AND(_AC6="B-767-300ER",'2023'!$L$4="CA",'2023'!$L$2=CJ309),'2023DATA'!$C$13,"")</f>
        <v/>
      </c>
      <c r="CK320" s="518" t="str">
        <f>IF(AND(_AC6="B-767-300ER",'2023'!$L$4="CA",'2023'!$L$2=CK309),'2023DATA'!$D$13,"")</f>
        <v/>
      </c>
      <c r="CL320" s="518" t="str">
        <f>IF(AND(_AC6="B-767-300ER",'2023'!$L$4="CA",'2023'!$L$2=CL309),'2023DATA'!$E$13,"")</f>
        <v/>
      </c>
      <c r="CM320" s="518" t="str">
        <f>IF(AND(_AC6="B-767-300ER",'2023'!$L$4="CA",'2023'!$L$2=CM309),'2023DATA'!$F$13,"")</f>
        <v/>
      </c>
      <c r="CN320" s="518" t="str">
        <f>IF(AND(_AC6="B-767-300ER",'2023'!$L$4="CA",'2023'!$L$2=CN309),'2023DATA'!$G$13,"")</f>
        <v/>
      </c>
      <c r="CO320" s="518" t="str">
        <f>IF(AND(_AC6="B-767-300ER",'2023'!$L$4="CA",'2023'!$L$2=CO309),'2023DATA'!$H$13,"")</f>
        <v/>
      </c>
      <c r="CP320" s="518" t="str">
        <f>IF(AND(_AC6="B-767-300ER",'2023'!$L$4="CA",'2023'!$L$2=CP309),'2023DATA'!$I$13,"")</f>
        <v/>
      </c>
      <c r="CQ320" s="518" t="str">
        <f>IF(AND(_AC6="B-767-300ER",'2023'!$L$4="CA",'2023'!$L$2=CQ309),'2023DATA'!$J$13,"")</f>
        <v/>
      </c>
      <c r="CR320" s="518" t="str">
        <f>IF(AND(_AC6="B-767-300ER",'2023'!$L$4="CA",'2023'!$L$2=CR309),'2023DATA'!$K$13,"")</f>
        <v/>
      </c>
      <c r="CS320" s="518" t="str">
        <f>IF(AND(_AC6="B-767-300ER",'2023'!$L$4="CA",'2023'!$L$2=CS309),'2023DATA'!$L$13,"")</f>
        <v/>
      </c>
      <c r="CT320" s="518" t="str">
        <f>IF(AND(_AC6="B-767-300ER",'2023'!$L$4="CA",'2023'!$L$2=CT309),'2023DATA'!$M$13,"")</f>
        <v/>
      </c>
      <c r="CU320" s="520" t="str">
        <f>IF(AND(_AC6="B-767-300ER",'2023'!$L$4="CA",'2023'!$L$2=CU309),'2023DATA'!$N$13,"")</f>
        <v/>
      </c>
    </row>
    <row r="321" spans="16:99" x14ac:dyDescent="0.25">
      <c r="P321" s="940"/>
      <c r="Q321" s="13" t="s">
        <v>62</v>
      </c>
      <c r="R321" s="518" t="str">
        <f>IF(AND(_AC1="B-767-300ER",'2023'!$L$4="FO",'2023'!$L$2=R309),'2023DATA'!$C$14,"")</f>
        <v/>
      </c>
      <c r="S321" s="518" t="str">
        <f>IF(AND(_AC1="B-767-300ER",'2023'!$L$4="FO",'2023'!$L$2=S309),'2023DATA'!$D$14,"")</f>
        <v/>
      </c>
      <c r="T321" s="518" t="str">
        <f>IF(AND(_AC1="B-767-300ER",'2023'!$L$4="FO",'2023'!$L$2=T309),'2023DATA'!$E$14,"")</f>
        <v/>
      </c>
      <c r="U321" s="518" t="str">
        <f>IF(AND(_AC1="B-767-300ER",'2023'!$L$4="FO",'2023'!$L$2=U309),'2023DATA'!$F$14,"")</f>
        <v/>
      </c>
      <c r="V321" s="518" t="str">
        <f>IF(AND(_AC1="B-767-300ER",'2023'!$L$4="FO",'2023'!$L$2=V309),'2023DATA'!$G$14,"")</f>
        <v/>
      </c>
      <c r="W321" s="518" t="str">
        <f>IF(AND(_AC1="B-767-300ER",'2023'!$L$4="FO",'2023'!$L$2=W309),'2023DATA'!$H$14,"")</f>
        <v/>
      </c>
      <c r="X321" s="518" t="str">
        <f>IF(AND(_AC1="B-767-300ER",'2023'!$L$4="FO",'2023'!$L$2=X309),'2023DATA'!$I$14,"")</f>
        <v/>
      </c>
      <c r="Y321" s="518" t="str">
        <f>IF(AND(_AC1="B-767-300ER",'2023'!$L$4="FO",'2023'!$L$2=Y309),'2023DATA'!$J$14,"")</f>
        <v/>
      </c>
      <c r="Z321" s="518" t="str">
        <f>IF(AND(_AC1="B-767-300ER",'2023'!$L$4="FO",'2023'!$L$2=Z309),'2023DATA'!$K$14,"")</f>
        <v/>
      </c>
      <c r="AA321" s="518" t="str">
        <f>IF(AND(_AC1="B-767-300ER",'2023'!$L$4="FO",'2023'!$L$2=AA309),'2023DATA'!$L$14,"")</f>
        <v/>
      </c>
      <c r="AB321" s="518" t="str">
        <f>IF(AND(_AC1="B-767-300ER",'2023'!$L$4="FO",'2023'!$L$2=AB309),'2023DATA'!$M$14,"")</f>
        <v/>
      </c>
      <c r="AC321" s="520" t="str">
        <f>IF(AND(_AC1="B-767-300ER",'2023'!$L$4="FO",'2023'!$L$2=AC309),'2023DATA'!$N$14,"")</f>
        <v/>
      </c>
      <c r="AD321" s="940"/>
      <c r="AE321" s="13" t="s">
        <v>62</v>
      </c>
      <c r="AF321" s="518" t="str">
        <f>IF(AND(_AC2="B-767-300ER",'2023'!$L$4="FO",'2023'!$L$2=AF309),'2023DATA'!$C$14,"")</f>
        <v/>
      </c>
      <c r="AG321" s="518" t="str">
        <f>IF(AND(_AC2="B-767-300ER",'2023'!$L$4="FO",'2023'!$L$2=AG309),'2023DATA'!$D$14,"")</f>
        <v/>
      </c>
      <c r="AH321" s="518" t="str">
        <f>IF(AND(_AC2="B-767-300ER",'2023'!$L$4="FO",'2023'!$L$2=AH309),'2023DATA'!$E$14,"")</f>
        <v/>
      </c>
      <c r="AI321" s="518" t="str">
        <f>IF(AND(_AC2="B-767-300ER",'2023'!$L$4="FO",'2023'!$L$2=AI309),'2023DATA'!$F$14,"")</f>
        <v/>
      </c>
      <c r="AJ321" s="518" t="str">
        <f>IF(AND(_AC2="B-767-300ER",'2023'!$L$4="FO",'2023'!$L$2=AJ309),'2023DATA'!$G$14,"")</f>
        <v/>
      </c>
      <c r="AK321" s="518" t="str">
        <f>IF(AND(_AC2="B-767-300ER",'2023'!$L$4="FO",'2023'!$L$2=AK309),'2023DATA'!$H$14,"")</f>
        <v/>
      </c>
      <c r="AL321" s="518" t="str">
        <f>IF(AND(_AC2="B-767-300ER",'2023'!$L$4="FO",'2023'!$L$2=AL309),'2023DATA'!$I$14,"")</f>
        <v/>
      </c>
      <c r="AM321" s="518" t="str">
        <f>IF(AND(_AC2="B-767-300ER",'2023'!$L$4="FO",'2023'!$L$2=AM309),'2023DATA'!$J$14,"")</f>
        <v/>
      </c>
      <c r="AN321" s="518" t="str">
        <f>IF(AND(_AC2="B-767-300ER",'2023'!$L$4="FO",'2023'!$L$2=AN309),'2023DATA'!$K$14,"")</f>
        <v/>
      </c>
      <c r="AO321" s="518" t="str">
        <f>IF(AND(_AC2="B-767-300ER",'2023'!$L$4="FO",'2023'!$L$2=AO309),'2023DATA'!$L$14,"")</f>
        <v/>
      </c>
      <c r="AP321" s="518" t="str">
        <f>IF(AND(_AC2="B-767-300ER",'2023'!$L$4="FO",'2023'!$L$2=AP309),'2023DATA'!$M$14,"")</f>
        <v/>
      </c>
      <c r="AQ321" s="520" t="str">
        <f>IF(AND(_AC2="B-767-300ER",'2023'!$L$4="FO",'2023'!$L$2=AQ309),'2023DATA'!$N$14,"")</f>
        <v/>
      </c>
      <c r="AR321" s="940"/>
      <c r="AS321" s="13" t="s">
        <v>62</v>
      </c>
      <c r="AT321" s="518" t="str">
        <f>IF(AND(_AC3="B-767-300ER",'2023'!$L$4="FO",'2023'!$L$2=AT309),'2023DATA'!$C$14,"")</f>
        <v/>
      </c>
      <c r="AU321" s="518" t="str">
        <f>IF(AND(_AC3="B-767-300ER",'2023'!$L$4="FO",'2023'!$L$2=AU309),'2023DATA'!$D$14,"")</f>
        <v/>
      </c>
      <c r="AV321" s="518" t="str">
        <f>IF(AND(_AC3="B-767-300ER",'2023'!$L$4="FO",'2023'!$L$2=AV309),'2023DATA'!$E$14,"")</f>
        <v/>
      </c>
      <c r="AW321" s="518" t="str">
        <f>IF(AND(_AC3="B-767-300ER",'2023'!$L$4="FO",'2023'!$L$2=AW309),'2023DATA'!$F$14,"")</f>
        <v/>
      </c>
      <c r="AX321" s="518" t="str">
        <f>IF(AND(_AC3="B-767-300ER",'2023'!$L$4="FO",'2023'!$L$2=AX309),'2023DATA'!$G$14,"")</f>
        <v/>
      </c>
      <c r="AY321" s="518" t="str">
        <f>IF(AND(_AC3="B-767-300ER",'2023'!$L$4="FO",'2023'!$L$2=AY309),'2023DATA'!$H$14,"")</f>
        <v/>
      </c>
      <c r="AZ321" s="518" t="str">
        <f>IF(AND(_AC3="B-767-300ER",'2023'!$L$4="FO",'2023'!$L$2=AZ309),'2023DATA'!$I$14,"")</f>
        <v/>
      </c>
      <c r="BA321" s="518" t="str">
        <f>IF(AND(_AC3="B-767-300ER",'2023'!$L$4="FO",'2023'!$L$2=BA309),'2023DATA'!$J$14,"")</f>
        <v/>
      </c>
      <c r="BB321" s="518" t="str">
        <f>IF(AND(_AC3="B-767-300ER",'2023'!$L$4="FO",'2023'!$L$2=BB309),'2023DATA'!$K$14,"")</f>
        <v/>
      </c>
      <c r="BC321" s="518" t="str">
        <f>IF(AND(_AC3="B-767-300ER",'2023'!$L$4="FO",'2023'!$L$2=BC309),'2023DATA'!$L$14,"")</f>
        <v/>
      </c>
      <c r="BD321" s="518" t="str">
        <f>IF(AND(_AC3="B-767-300ER",'2023'!$L$4="FO",'2023'!$L$2=BD309),'2023DATA'!$M$14,"")</f>
        <v/>
      </c>
      <c r="BE321" s="520" t="str">
        <f>IF(AND(_AC3="B-767-300ER",'2023'!$L$4="FO",'2023'!$L$2=BE309),'2023DATA'!$N$14,"")</f>
        <v/>
      </c>
      <c r="BF321" s="940"/>
      <c r="BG321" s="13" t="s">
        <v>62</v>
      </c>
      <c r="BH321" s="518" t="str">
        <f>IF(AND(_AC4="B-767-300ER",'2023'!$L$4="FO",'2023'!$L$2=BH309),'2023DATA'!$C$14,"")</f>
        <v/>
      </c>
      <c r="BI321" s="518" t="str">
        <f>IF(AND(_AC4="B-767-300ER",'2023'!$L$4="FO",'2023'!$L$2=BI309),'2023DATA'!$D$14,"")</f>
        <v/>
      </c>
      <c r="BJ321" s="518" t="str">
        <f>IF(AND(_AC4="B-767-300ER",'2023'!$L$4="FO",'2023'!$L$2=BJ309),'2023DATA'!$E$14,"")</f>
        <v/>
      </c>
      <c r="BK321" s="518" t="str">
        <f>IF(AND(_AC4="B-767-300ER",'2023'!$L$4="FO",'2023'!$L$2=BK309),'2023DATA'!$F$14,"")</f>
        <v/>
      </c>
      <c r="BL321" s="518" t="str">
        <f>IF(AND(_AC4="B-767-300ER",'2023'!$L$4="FO",'2023'!$L$2=BL309),'2023DATA'!$G$14,"")</f>
        <v/>
      </c>
      <c r="BM321" s="518" t="str">
        <f>IF(AND(_AC4="B-767-300ER",'2023'!$L$4="FO",'2023'!$L$2=BM309),'2023DATA'!$H$14,"")</f>
        <v/>
      </c>
      <c r="BN321" s="518" t="str">
        <f>IF(AND(_AC4="B-767-300ER",'2023'!$L$4="FO",'2023'!$L$2=BN309),'2023DATA'!$I$14,"")</f>
        <v/>
      </c>
      <c r="BO321" s="518" t="str">
        <f>IF(AND(_AC4="B-767-300ER",'2023'!$L$4="FO",'2023'!$L$2=BO309),'2023DATA'!$J$14,"")</f>
        <v/>
      </c>
      <c r="BP321" s="518" t="str">
        <f>IF(AND(_AC4="B-767-300ER",'2023'!$L$4="FO",'2023'!$L$2=BP309),'2023DATA'!$K$14,"")</f>
        <v/>
      </c>
      <c r="BQ321" s="518" t="str">
        <f>IF(AND(_AC4="B-767-300ER",'2023'!$L$4="FO",'2023'!$L$2=BQ309),'2023DATA'!$L$14,"")</f>
        <v/>
      </c>
      <c r="BR321" s="518" t="str">
        <f>IF(AND(_AC4="B-767-300ER",'2023'!$L$4="FO",'2023'!$L$2=BR309),'2023DATA'!$M$14,"")</f>
        <v/>
      </c>
      <c r="BS321" s="520" t="str">
        <f>IF(AND(_AC4="B-767-300ER",'2023'!$L$4="FO",'2023'!$L$2=BS309),'2023DATA'!$N$14,"")</f>
        <v/>
      </c>
      <c r="BT321" s="940"/>
      <c r="BU321" s="13" t="s">
        <v>62</v>
      </c>
      <c r="BV321" s="518" t="str">
        <f>IF(AND(_AC5="B-767-300ER",'2023'!$L$4="FO",'2023'!$L$2=BV309),'2023DATA'!$C$14,"")</f>
        <v/>
      </c>
      <c r="BW321" s="518" t="str">
        <f>IF(AND(_AC5="B-767-300ER",'2023'!$L$4="FO",'2023'!$L$2=BW309),'2023DATA'!$D$14,"")</f>
        <v/>
      </c>
      <c r="BX321" s="518" t="str">
        <f>IF(AND(_AC5="B-767-300ER",'2023'!$L$4="FO",'2023'!$L$2=BX309),'2023DATA'!$E$14,"")</f>
        <v/>
      </c>
      <c r="BY321" s="518" t="str">
        <f>IF(AND(_AC5="B-767-300ER",'2023'!$L$4="FO",'2023'!$L$2=BY309),'2023DATA'!$F$14,"")</f>
        <v/>
      </c>
      <c r="BZ321" s="518" t="str">
        <f>IF(AND(_AC5="B-767-300ER",'2023'!$L$4="FO",'2023'!$L$2=BZ309),'2023DATA'!$G$14,"")</f>
        <v/>
      </c>
      <c r="CA321" s="518" t="str">
        <f>IF(AND(_AC5="B-767-300ER",'2023'!$L$4="FO",'2023'!$L$2=CA309),'2023DATA'!$H$14,"")</f>
        <v/>
      </c>
      <c r="CB321" s="518" t="str">
        <f>IF(AND(_AC5="B-767-300ER",'2023'!$L$4="FO",'2023'!$L$2=CB309),'2023DATA'!$I$14,"")</f>
        <v/>
      </c>
      <c r="CC321" s="518" t="str">
        <f>IF(AND(_AC5="B-767-300ER",'2023'!$L$4="FO",'2023'!$L$2=CC309),'2023DATA'!$J$14,"")</f>
        <v/>
      </c>
      <c r="CD321" s="518" t="str">
        <f>IF(AND(_AC5="B-767-300ER",'2023'!$L$4="FO",'2023'!$L$2=CD309),'2023DATA'!$K$14,"")</f>
        <v/>
      </c>
      <c r="CE321" s="518" t="str">
        <f>IF(AND(_AC5="B-767-300ER",'2023'!$L$4="FO",'2023'!$L$2=CE309),'2023DATA'!$L$14,"")</f>
        <v/>
      </c>
      <c r="CF321" s="518" t="str">
        <f>IF(AND(_AC5="B-767-300ER",'2023'!$L$4="FO",'2023'!$L$2=CF309),'2023DATA'!$M$14,"")</f>
        <v/>
      </c>
      <c r="CG321" s="520" t="str">
        <f>IF(AND(_AC5="B-767-300ER",'2023'!$L$4="FO",'2023'!$L$2=CG309),'2023DATA'!$N$14,"")</f>
        <v/>
      </c>
      <c r="CH321" s="940"/>
      <c r="CI321" s="13" t="s">
        <v>62</v>
      </c>
      <c r="CJ321" s="518" t="str">
        <f>IF(AND(_AC6="B-767-300ER",'2023'!$L$4="FO",'2023'!$L$2=CJ309),'2023DATA'!$C$14,"")</f>
        <v/>
      </c>
      <c r="CK321" s="518" t="str">
        <f>IF(AND(_AC6="B-767-300ER",'2023'!$L$4="FO",'2023'!$L$2=CK309),'2023DATA'!$D$14,"")</f>
        <v/>
      </c>
      <c r="CL321" s="518" t="str">
        <f>IF(AND(_AC6="B-767-300ER",'2023'!$L$4="FO",'2023'!$L$2=CL309),'2023DATA'!$E$14,"")</f>
        <v/>
      </c>
      <c r="CM321" s="518" t="str">
        <f>IF(AND(_AC6="B-767-300ER",'2023'!$L$4="FO",'2023'!$L$2=CM309),'2023DATA'!$F$14,"")</f>
        <v/>
      </c>
      <c r="CN321" s="518" t="str">
        <f>IF(AND(_AC6="B-767-300ER",'2023'!$L$4="FO",'2023'!$L$2=CN309),'2023DATA'!$G$14,"")</f>
        <v/>
      </c>
      <c r="CO321" s="518" t="str">
        <f>IF(AND(_AC6="B-767-300ER",'2023'!$L$4="FO",'2023'!$L$2=CO309),'2023DATA'!$H$14,"")</f>
        <v/>
      </c>
      <c r="CP321" s="518" t="str">
        <f>IF(AND(_AC6="B-767-300ER",'2023'!$L$4="FO",'2023'!$L$2=CP309),'2023DATA'!$I$14,"")</f>
        <v/>
      </c>
      <c r="CQ321" s="518" t="str">
        <f>IF(AND(_AC6="B-767-300ER",'2023'!$L$4="FO",'2023'!$L$2=CQ309),'2023DATA'!$J$14,"")</f>
        <v/>
      </c>
      <c r="CR321" s="518" t="str">
        <f>IF(AND(_AC6="B-767-300ER",'2023'!$L$4="FO",'2023'!$L$2=CR309),'2023DATA'!$K$14,"")</f>
        <v/>
      </c>
      <c r="CS321" s="518" t="str">
        <f>IF(AND(_AC6="B-767-300ER",'2023'!$L$4="FO",'2023'!$L$2=CS309),'2023DATA'!$L$14,"")</f>
        <v/>
      </c>
      <c r="CT321" s="518" t="str">
        <f>IF(AND(_AC6="B-767-300ER",'2023'!$L$4="FO",'2023'!$L$2=CT309),'2023DATA'!$M$14,"")</f>
        <v/>
      </c>
      <c r="CU321" s="520" t="str">
        <f>IF(AND(_AC6="B-767-300ER",'2023'!$L$4="FO",'2023'!$L$2=CU309),'2023DATA'!$N$14,"")</f>
        <v/>
      </c>
    </row>
    <row r="322" spans="16:99" x14ac:dyDescent="0.25">
      <c r="P322" s="940" t="s">
        <v>67</v>
      </c>
      <c r="Q322" s="13" t="s">
        <v>61</v>
      </c>
      <c r="R322" s="518" t="str">
        <f>IF(AND(_AC1="B-767-300",'2023'!$L$4="CA",'2023'!$L$2=R309),'2023DATA'!$C$15,"")</f>
        <v/>
      </c>
      <c r="S322" s="518" t="str">
        <f>IF(AND(_AC1="B-767-300",'2023'!$L$4="CA",'2023'!$L$2=S309),'2023DATA'!$D$15,"")</f>
        <v/>
      </c>
      <c r="T322" s="518" t="str">
        <f>IF(AND(_AC1="B-767-300",'2023'!$L$4="CA",'2023'!$L$2=T309),'2023DATA'!$E$15,"")</f>
        <v/>
      </c>
      <c r="U322" s="518" t="str">
        <f>IF(AND(_AC1="B-767-300",'2023'!$L$4="CA",'2023'!$L$2=U309),'2023DATA'!$F$15,"")</f>
        <v/>
      </c>
      <c r="V322" s="518" t="str">
        <f>IF(AND(_AC1="B-767-300",'2023'!$L$4="CA",'2023'!$L$2=V309),'2023DATA'!$G$15,"")</f>
        <v/>
      </c>
      <c r="W322" s="518" t="str">
        <f>IF(AND(_AC1="B-767-300",'2023'!$L$4="CA",'2023'!$L$2=W309),'2023DATA'!$H$15,"")</f>
        <v/>
      </c>
      <c r="X322" s="518" t="str">
        <f>IF(AND(_AC1="B-767-300",'2023'!$L$4="CA",'2023'!$L$2=X309),'2023DATA'!$I$15,"")</f>
        <v/>
      </c>
      <c r="Y322" s="518" t="str">
        <f>IF(AND(_AC1="B-767-300",'2023'!$L$4="CA",'2023'!$L$2=Y309),'2023DATA'!$J$15,"")</f>
        <v/>
      </c>
      <c r="Z322" s="518" t="str">
        <f>IF(AND(_AC1="B-767-300",'2023'!$L$4="CA",'2023'!$L$2=Z309),'2023DATA'!$K$15,"")</f>
        <v/>
      </c>
      <c r="AA322" s="518" t="str">
        <f>IF(AND(_AC1="B-767-300",'2023'!$L$4="CA",'2023'!$L$2=AA309),'2023DATA'!$L$15,"")</f>
        <v/>
      </c>
      <c r="AB322" s="518" t="str">
        <f>IF(AND(_AC1="B-767-300",'2023'!$L$4="CA",'2023'!$L$2=AB309),'2023DATA'!$M$15,"")</f>
        <v/>
      </c>
      <c r="AC322" s="520" t="str">
        <f>IF(AND(_AC1="B-767-300",'2023'!$L$4="CA",'2023'!$L$2=AC309),'2023DATA'!$N$15,"")</f>
        <v/>
      </c>
      <c r="AD322" s="940" t="s">
        <v>67</v>
      </c>
      <c r="AE322" s="13" t="s">
        <v>61</v>
      </c>
      <c r="AF322" s="518" t="str">
        <f>IF(AND(_AC2="B-767-300",'2023'!$L$4="CA",'2023'!$L$2=AF309),'2023DATA'!$C$15,"")</f>
        <v/>
      </c>
      <c r="AG322" s="518" t="str">
        <f>IF(AND(_AC2="B-767-300",'2023'!$L$4="CA",'2023'!$L$2=AG309),'2023DATA'!$D$15,"")</f>
        <v/>
      </c>
      <c r="AH322" s="518" t="str">
        <f>IF(AND(_AC2="B-767-300",'2023'!$L$4="CA",'2023'!$L$2=AH309),'2023DATA'!$E$15,"")</f>
        <v/>
      </c>
      <c r="AI322" s="518" t="str">
        <f>IF(AND(_AC2="B-767-300",'2023'!$L$4="CA",'2023'!$L$2=AI309),'2023DATA'!$F$15,"")</f>
        <v/>
      </c>
      <c r="AJ322" s="518" t="str">
        <f>IF(AND(_AC2="B-767-300",'2023'!$L$4="CA",'2023'!$L$2=AJ309),'2023DATA'!$G$15,"")</f>
        <v/>
      </c>
      <c r="AK322" s="518" t="str">
        <f>IF(AND(_AC2="B-767-300",'2023'!$L$4="CA",'2023'!$L$2=AK309),'2023DATA'!$H$15,"")</f>
        <v/>
      </c>
      <c r="AL322" s="518" t="str">
        <f>IF(AND(_AC2="B-767-300",'2023'!$L$4="CA",'2023'!$L$2=AL309),'2023DATA'!$I$15,"")</f>
        <v/>
      </c>
      <c r="AM322" s="518" t="str">
        <f>IF(AND(_AC2="B-767-300",'2023'!$L$4="CA",'2023'!$L$2=AM309),'2023DATA'!$J$15,"")</f>
        <v/>
      </c>
      <c r="AN322" s="518" t="str">
        <f>IF(AND(_AC2="B-767-300",'2023'!$L$4="CA",'2023'!$L$2=AN309),'2023DATA'!$K$15,"")</f>
        <v/>
      </c>
      <c r="AO322" s="518" t="str">
        <f>IF(AND(_AC2="B-767-300",'2023'!$L$4="CA",'2023'!$L$2=AO309),'2023DATA'!$L$15,"")</f>
        <v/>
      </c>
      <c r="AP322" s="518" t="str">
        <f>IF(AND(_AC2="B-767-300",'2023'!$L$4="CA",'2023'!$L$2=AP309),'2023DATA'!$M$15,"")</f>
        <v/>
      </c>
      <c r="AQ322" s="520" t="str">
        <f>IF(AND(_AC2="B-767-300",'2023'!$L$4="CA",'2023'!$L$2=AQ309),'2023DATA'!$N$15,"")</f>
        <v/>
      </c>
      <c r="AR322" s="940" t="s">
        <v>67</v>
      </c>
      <c r="AS322" s="13" t="s">
        <v>61</v>
      </c>
      <c r="AT322" s="518" t="str">
        <f>IF(AND(_AC3="B-767-300",'2023'!$L$4="CA",'2023'!$L$2=AT309),'2023DATA'!$C$15,"")</f>
        <v/>
      </c>
      <c r="AU322" s="518" t="str">
        <f>IF(AND(_AC3="B-767-300",'2023'!$L$4="CA",'2023'!$L$2=AU309),'2023DATA'!$D$15,"")</f>
        <v/>
      </c>
      <c r="AV322" s="518" t="str">
        <f>IF(AND(_AC3="B-767-300",'2023'!$L$4="CA",'2023'!$L$2=AV309),'2023DATA'!$E$15,"")</f>
        <v/>
      </c>
      <c r="AW322" s="518" t="str">
        <f>IF(AND(_AC3="B-767-300",'2023'!$L$4="CA",'2023'!$L$2=AW309),'2023DATA'!$F$15,"")</f>
        <v/>
      </c>
      <c r="AX322" s="518" t="str">
        <f>IF(AND(_AC3="B-767-300",'2023'!$L$4="CA",'2023'!$L$2=AX309),'2023DATA'!$G$15,"")</f>
        <v/>
      </c>
      <c r="AY322" s="518" t="str">
        <f>IF(AND(_AC3="B-767-300",'2023'!$L$4="CA",'2023'!$L$2=AY309),'2023DATA'!$H$15,"")</f>
        <v/>
      </c>
      <c r="AZ322" s="518" t="str">
        <f>IF(AND(_AC3="B-767-300",'2023'!$L$4="CA",'2023'!$L$2=AZ309),'2023DATA'!$I$15,"")</f>
        <v/>
      </c>
      <c r="BA322" s="518" t="str">
        <f>IF(AND(_AC3="B-767-300",'2023'!$L$4="CA",'2023'!$L$2=BA309),'2023DATA'!$J$15,"")</f>
        <v/>
      </c>
      <c r="BB322" s="518" t="str">
        <f>IF(AND(_AC3="B-767-300",'2023'!$L$4="CA",'2023'!$L$2=BB309),'2023DATA'!$K$15,"")</f>
        <v/>
      </c>
      <c r="BC322" s="518" t="str">
        <f>IF(AND(_AC3="B-767-300",'2023'!$L$4="CA",'2023'!$L$2=BC309),'2023DATA'!$L$15,"")</f>
        <v/>
      </c>
      <c r="BD322" s="518" t="str">
        <f>IF(AND(_AC3="B-767-300",'2023'!$L$4="CA",'2023'!$L$2=BD309),'2023DATA'!$M$15,"")</f>
        <v/>
      </c>
      <c r="BE322" s="520" t="str">
        <f>IF(AND(_AC3="B-767-300",'2023'!$L$4="CA",'2023'!$L$2=BE309),'2023DATA'!$N$15,"")</f>
        <v/>
      </c>
      <c r="BF322" s="940" t="s">
        <v>67</v>
      </c>
      <c r="BG322" s="13" t="s">
        <v>61</v>
      </c>
      <c r="BH322" s="518" t="str">
        <f>IF(AND(_AC4="B-767-300",'2023'!$L$4="CA",'2023'!$L$2=BH309),'2023DATA'!$C$15,"")</f>
        <v/>
      </c>
      <c r="BI322" s="518" t="str">
        <f>IF(AND(_AC4="B-767-300",'2023'!$L$4="CA",'2023'!$L$2=BI309),'2023DATA'!$D$15,"")</f>
        <v/>
      </c>
      <c r="BJ322" s="518" t="str">
        <f>IF(AND(_AC4="B-767-300",'2023'!$L$4="CA",'2023'!$L$2=BJ309),'2023DATA'!$E$15,"")</f>
        <v/>
      </c>
      <c r="BK322" s="518" t="str">
        <f>IF(AND(_AC4="B-767-300",'2023'!$L$4="CA",'2023'!$L$2=BK309),'2023DATA'!$F$15,"")</f>
        <v/>
      </c>
      <c r="BL322" s="518" t="str">
        <f>IF(AND(_AC4="B-767-300",'2023'!$L$4="CA",'2023'!$L$2=BL309),'2023DATA'!$G$15,"")</f>
        <v/>
      </c>
      <c r="BM322" s="518" t="str">
        <f>IF(AND(_AC4="B-767-300",'2023'!$L$4="CA",'2023'!$L$2=BM309),'2023DATA'!$H$15,"")</f>
        <v/>
      </c>
      <c r="BN322" s="518" t="str">
        <f>IF(AND(_AC4="B-767-300",'2023'!$L$4="CA",'2023'!$L$2=BN309),'2023DATA'!$I$15,"")</f>
        <v/>
      </c>
      <c r="BO322" s="518" t="str">
        <f>IF(AND(_AC4="B-767-300",'2023'!$L$4="CA",'2023'!$L$2=BO309),'2023DATA'!$J$15,"")</f>
        <v/>
      </c>
      <c r="BP322" s="518" t="str">
        <f>IF(AND(_AC4="B-767-300",'2023'!$L$4="CA",'2023'!$L$2=BP309),'2023DATA'!$K$15,"")</f>
        <v/>
      </c>
      <c r="BQ322" s="518" t="str">
        <f>IF(AND(_AC4="B-767-300",'2023'!$L$4="CA",'2023'!$L$2=BQ309),'2023DATA'!$L$15,"")</f>
        <v/>
      </c>
      <c r="BR322" s="518" t="str">
        <f>IF(AND(_AC4="B-767-300",'2023'!$L$4="CA",'2023'!$L$2=BR309),'2023DATA'!$M$15,"")</f>
        <v/>
      </c>
      <c r="BS322" s="520" t="str">
        <f>IF(AND(_AC4="B-767-300",'2023'!$L$4="CA",'2023'!$L$2=BS309),'2023DATA'!$N$15,"")</f>
        <v/>
      </c>
      <c r="BT322" s="940" t="s">
        <v>67</v>
      </c>
      <c r="BU322" s="13" t="s">
        <v>61</v>
      </c>
      <c r="BV322" s="518" t="str">
        <f>IF(AND(_AC5="B-767-300",'2023'!$L$4="CA",'2023'!$L$2=BV309),'2023DATA'!$C$15,"")</f>
        <v/>
      </c>
      <c r="BW322" s="518" t="str">
        <f>IF(AND(_AC5="B-767-300",'2023'!$L$4="CA",'2023'!$L$2=BW309),'2023DATA'!$D$15,"")</f>
        <v/>
      </c>
      <c r="BX322" s="518" t="str">
        <f>IF(AND(_AC5="B-767-300",'2023'!$L$4="CA",'2023'!$L$2=BX309),'2023DATA'!$E$15,"")</f>
        <v/>
      </c>
      <c r="BY322" s="518" t="str">
        <f>IF(AND(_AC5="B-767-300",'2023'!$L$4="CA",'2023'!$L$2=BY309),'2023DATA'!$F$15,"")</f>
        <v/>
      </c>
      <c r="BZ322" s="518" t="str">
        <f>IF(AND(_AC5="B-767-300",'2023'!$L$4="CA",'2023'!$L$2=BZ309),'2023DATA'!$G$15,"")</f>
        <v/>
      </c>
      <c r="CA322" s="518" t="str">
        <f>IF(AND(_AC5="B-767-300",'2023'!$L$4="CA",'2023'!$L$2=CA309),'2023DATA'!$H$15,"")</f>
        <v/>
      </c>
      <c r="CB322" s="518" t="str">
        <f>IF(AND(_AC5="B-767-300",'2023'!$L$4="CA",'2023'!$L$2=CB309),'2023DATA'!$I$15,"")</f>
        <v/>
      </c>
      <c r="CC322" s="518" t="str">
        <f>IF(AND(_AC5="B-767-300",'2023'!$L$4="CA",'2023'!$L$2=CC309),'2023DATA'!$J$15,"")</f>
        <v/>
      </c>
      <c r="CD322" s="518" t="str">
        <f>IF(AND(_AC5="B-767-300",'2023'!$L$4="CA",'2023'!$L$2=CD309),'2023DATA'!$K$15,"")</f>
        <v/>
      </c>
      <c r="CE322" s="518" t="str">
        <f>IF(AND(_AC5="B-767-300",'2023'!$L$4="CA",'2023'!$L$2=CE309),'2023DATA'!$L$15,"")</f>
        <v/>
      </c>
      <c r="CF322" s="518" t="str">
        <f>IF(AND(_AC5="B-767-300",'2023'!$L$4="CA",'2023'!$L$2=CF309),'2023DATA'!$M$15,"")</f>
        <v/>
      </c>
      <c r="CG322" s="520" t="str">
        <f>IF(AND(_AC5="B-767-300",'2023'!$L$4="CA",'2023'!$L$2=CG309),'2023DATA'!$N$15,"")</f>
        <v/>
      </c>
      <c r="CH322" s="940" t="s">
        <v>67</v>
      </c>
      <c r="CI322" s="13" t="s">
        <v>61</v>
      </c>
      <c r="CJ322" s="518" t="str">
        <f>IF(AND(_AC6="B-767-300",'2023'!$L$4="CA",'2023'!$L$2=CJ309),'2023DATA'!$C$15,"")</f>
        <v/>
      </c>
      <c r="CK322" s="518" t="str">
        <f>IF(AND(_AC6="B-767-300",'2023'!$L$4="CA",'2023'!$L$2=CK309),'2023DATA'!$D$15,"")</f>
        <v/>
      </c>
      <c r="CL322" s="518" t="str">
        <f>IF(AND(_AC6="B-767-300",'2023'!$L$4="CA",'2023'!$L$2=CL309),'2023DATA'!$E$15,"")</f>
        <v/>
      </c>
      <c r="CM322" s="518" t="str">
        <f>IF(AND(_AC6="B-767-300",'2023'!$L$4="CA",'2023'!$L$2=CM309),'2023DATA'!$F$15,"")</f>
        <v/>
      </c>
      <c r="CN322" s="518" t="str">
        <f>IF(AND(_AC6="B-767-300",'2023'!$L$4="CA",'2023'!$L$2=CN309),'2023DATA'!$G$15,"")</f>
        <v/>
      </c>
      <c r="CO322" s="518" t="str">
        <f>IF(AND(_AC6="B-767-300",'2023'!$L$4="CA",'2023'!$L$2=CO309),'2023DATA'!$H$15,"")</f>
        <v/>
      </c>
      <c r="CP322" s="518" t="str">
        <f>IF(AND(_AC6="B-767-300",'2023'!$L$4="CA",'2023'!$L$2=CP309),'2023DATA'!$I$15,"")</f>
        <v/>
      </c>
      <c r="CQ322" s="518" t="str">
        <f>IF(AND(_AC6="B-767-300",'2023'!$L$4="CA",'2023'!$L$2=CQ309),'2023DATA'!$J$15,"")</f>
        <v/>
      </c>
      <c r="CR322" s="518" t="str">
        <f>IF(AND(_AC6="B-767-300",'2023'!$L$4="CA",'2023'!$L$2=CR309),'2023DATA'!$K$15,"")</f>
        <v/>
      </c>
      <c r="CS322" s="518" t="str">
        <f>IF(AND(_AC6="B-767-300",'2023'!$L$4="CA",'2023'!$L$2=CS309),'2023DATA'!$L$15,"")</f>
        <v/>
      </c>
      <c r="CT322" s="518" t="str">
        <f>IF(AND(_AC6="B-767-300",'2023'!$L$4="CA",'2023'!$L$2=CT309),'2023DATA'!$M$15,"")</f>
        <v/>
      </c>
      <c r="CU322" s="520" t="str">
        <f>IF(AND(_AC6="B-767-300",'2023'!$L$4="CA",'2023'!$L$2=CU309),'2023DATA'!$N$15,"")</f>
        <v/>
      </c>
    </row>
    <row r="323" spans="16:99" x14ac:dyDescent="0.25">
      <c r="P323" s="940"/>
      <c r="Q323" s="13" t="s">
        <v>62</v>
      </c>
      <c r="R323" s="518" t="str">
        <f>IF(AND(_AC1="B-767-300",'2023'!$L$4="FO",'2023'!$L$2=R309),'2023DATA'!$C$16,"")</f>
        <v/>
      </c>
      <c r="S323" s="518" t="str">
        <f>IF(AND(_AC1="B-767-300",'2023'!$L$4="FO",'2023'!$L$2=S309),'2023DATA'!$D$16,"")</f>
        <v/>
      </c>
      <c r="T323" s="518" t="str">
        <f>IF(AND(_AC1="B-767-300",'2023'!$L$4="FO",'2023'!$L$2=T309),'2023DATA'!$E$16,"")</f>
        <v/>
      </c>
      <c r="U323" s="518" t="str">
        <f>IF(AND(_AC1="B-767-300",'2023'!$L$4="FO",'2023'!$L$2=U309),'2023DATA'!$F$16,"")</f>
        <v/>
      </c>
      <c r="V323" s="518" t="str">
        <f>IF(AND(_AC1="B-767-300",'2023'!$L$4="FO",'2023'!$L$2=V309),'2023DATA'!$G$16,"")</f>
        <v/>
      </c>
      <c r="W323" s="518" t="str">
        <f>IF(AND(_AC1="B-767-300",'2023'!$L$4="FO",'2023'!$L$2=W309),'2023DATA'!$H$16,"")</f>
        <v/>
      </c>
      <c r="X323" s="518" t="str">
        <f>IF(AND(_AC1="B-767-300",'2023'!$L$4="FO",'2023'!$L$2=X309),'2023DATA'!$I$16,"")</f>
        <v/>
      </c>
      <c r="Y323" s="518" t="str">
        <f>IF(AND(_AC1="B-767-300",'2023'!$L$4="FO",'2023'!$L$2=Y309),'2023DATA'!$J$16,"")</f>
        <v/>
      </c>
      <c r="Z323" s="518" t="str">
        <f>IF(AND(_AC1="B-767-300",'2023'!$L$4="FO",'2023'!$L$2=Z309),'2023DATA'!$K$16,"")</f>
        <v/>
      </c>
      <c r="AA323" s="518" t="str">
        <f>IF(AND(_AC1="B-767-300",'2023'!$L$4="FO",'2023'!$L$2=AA309),'2023DATA'!$L$16,"")</f>
        <v/>
      </c>
      <c r="AB323" s="518" t="str">
        <f>IF(AND(_AC1="B-767-300",'2023'!$L$4="FO",'2023'!$L$2=AB309),'2023DATA'!$M$16,"")</f>
        <v/>
      </c>
      <c r="AC323" s="520" t="str">
        <f>IF(AND(_AC1="B-767-300",'2023'!$L$4="FO",'2023'!$L$2=AC309),'2023DATA'!$N$16,"")</f>
        <v/>
      </c>
      <c r="AD323" s="940"/>
      <c r="AE323" s="13" t="s">
        <v>62</v>
      </c>
      <c r="AF323" s="518" t="str">
        <f>IF(AND(_AC2="B-767-300",'2023'!$L$4="FO",'2023'!$L$2=AF309),'2023DATA'!$C$16,"")</f>
        <v/>
      </c>
      <c r="AG323" s="518" t="str">
        <f>IF(AND(_AC2="B-767-300",'2023'!$L$4="FO",'2023'!$L$2=AG309),'2023DATA'!$D$16,"")</f>
        <v/>
      </c>
      <c r="AH323" s="518" t="str">
        <f>IF(AND(_AC2="B-767-300",'2023'!$L$4="FO",'2023'!$L$2=AH309),'2023DATA'!$E$16,"")</f>
        <v/>
      </c>
      <c r="AI323" s="518" t="str">
        <f>IF(AND(_AC2="B-767-300",'2023'!$L$4="FO",'2023'!$L$2=AI309),'2023DATA'!$F$16,"")</f>
        <v/>
      </c>
      <c r="AJ323" s="518" t="str">
        <f>IF(AND(_AC2="B-767-300",'2023'!$L$4="FO",'2023'!$L$2=AJ309),'2023DATA'!$G$16,"")</f>
        <v/>
      </c>
      <c r="AK323" s="518" t="str">
        <f>IF(AND(_AC2="B-767-300",'2023'!$L$4="FO",'2023'!$L$2=AK309),'2023DATA'!$H$16,"")</f>
        <v/>
      </c>
      <c r="AL323" s="518" t="str">
        <f>IF(AND(_AC2="B-767-300",'2023'!$L$4="FO",'2023'!$L$2=AL309),'2023DATA'!$I$16,"")</f>
        <v/>
      </c>
      <c r="AM323" s="518" t="str">
        <f>IF(AND(_AC2="B-767-300",'2023'!$L$4="FO",'2023'!$L$2=AM309),'2023DATA'!$J$16,"")</f>
        <v/>
      </c>
      <c r="AN323" s="518" t="str">
        <f>IF(AND(_AC2="B-767-300",'2023'!$L$4="FO",'2023'!$L$2=AN309),'2023DATA'!$K$16,"")</f>
        <v/>
      </c>
      <c r="AO323" s="518" t="str">
        <f>IF(AND(_AC2="B-767-300",'2023'!$L$4="FO",'2023'!$L$2=AO309),'2023DATA'!$L$16,"")</f>
        <v/>
      </c>
      <c r="AP323" s="518" t="str">
        <f>IF(AND(_AC2="B-767-300",'2023'!$L$4="FO",'2023'!$L$2=AP309),'2023DATA'!$M$16,"")</f>
        <v/>
      </c>
      <c r="AQ323" s="520" t="str">
        <f>IF(AND(_AC2="B-767-300",'2023'!$L$4="FO",'2023'!$L$2=AQ309),'2023DATA'!$N$16,"")</f>
        <v/>
      </c>
      <c r="AR323" s="940"/>
      <c r="AS323" s="13" t="s">
        <v>62</v>
      </c>
      <c r="AT323" s="518" t="str">
        <f>IF(AND(_AC3="B-767-300",'2023'!$L$4="FO",'2023'!$L$2=AT309),'2023DATA'!$C$16,"")</f>
        <v/>
      </c>
      <c r="AU323" s="518" t="str">
        <f>IF(AND(_AC3="B-767-300",'2023'!$L$4="FO",'2023'!$L$2=AU309),'2023DATA'!$D$16,"")</f>
        <v/>
      </c>
      <c r="AV323" s="518" t="str">
        <f>IF(AND(_AC3="B-767-300",'2023'!$L$4="FO",'2023'!$L$2=AV309),'2023DATA'!$E$16,"")</f>
        <v/>
      </c>
      <c r="AW323" s="518" t="str">
        <f>IF(AND(_AC3="B-767-300",'2023'!$L$4="FO",'2023'!$L$2=AW309),'2023DATA'!$F$16,"")</f>
        <v/>
      </c>
      <c r="AX323" s="518" t="str">
        <f>IF(AND(_AC3="B-767-300",'2023'!$L$4="FO",'2023'!$L$2=AX309),'2023DATA'!$G$16,"")</f>
        <v/>
      </c>
      <c r="AY323" s="518" t="str">
        <f>IF(AND(_AC3="B-767-300",'2023'!$L$4="FO",'2023'!$L$2=AY309),'2023DATA'!$H$16,"")</f>
        <v/>
      </c>
      <c r="AZ323" s="518" t="str">
        <f>IF(AND(_AC3="B-767-300",'2023'!$L$4="FO",'2023'!$L$2=AZ309),'2023DATA'!$I$16,"")</f>
        <v/>
      </c>
      <c r="BA323" s="518" t="str">
        <f>IF(AND(_AC3="B-767-300",'2023'!$L$4="FO",'2023'!$L$2=BA309),'2023DATA'!$J$16,"")</f>
        <v/>
      </c>
      <c r="BB323" s="518" t="str">
        <f>IF(AND(_AC3="B-767-300",'2023'!$L$4="FO",'2023'!$L$2=BB309),'2023DATA'!$K$16,"")</f>
        <v/>
      </c>
      <c r="BC323" s="518" t="str">
        <f>IF(AND(_AC3="B-767-300",'2023'!$L$4="FO",'2023'!$L$2=BC309),'2023DATA'!$L$16,"")</f>
        <v/>
      </c>
      <c r="BD323" s="518" t="str">
        <f>IF(AND(_AC3="B-767-300",'2023'!$L$4="FO",'2023'!$L$2=BD309),'2023DATA'!$M$16,"")</f>
        <v/>
      </c>
      <c r="BE323" s="520" t="str">
        <f>IF(AND(_AC3="B-767-300",'2023'!$L$4="FO",'2023'!$L$2=BE309),'2023DATA'!$N$16,"")</f>
        <v/>
      </c>
      <c r="BF323" s="940"/>
      <c r="BG323" s="13" t="s">
        <v>62</v>
      </c>
      <c r="BH323" s="518" t="str">
        <f>IF(AND(_AC4="B-767-300",'2023'!$L$4="FO",'2023'!$L$2=BH309),'2023DATA'!$C$16,"")</f>
        <v/>
      </c>
      <c r="BI323" s="518" t="str">
        <f>IF(AND(_AC4="B-767-300",'2023'!$L$4="FO",'2023'!$L$2=BI309),'2023DATA'!$D$16,"")</f>
        <v/>
      </c>
      <c r="BJ323" s="518" t="str">
        <f>IF(AND(_AC4="B-767-300",'2023'!$L$4="FO",'2023'!$L$2=BJ309),'2023DATA'!$E$16,"")</f>
        <v/>
      </c>
      <c r="BK323" s="518" t="str">
        <f>IF(AND(_AC4="B-767-300",'2023'!$L$4="FO",'2023'!$L$2=BK309),'2023DATA'!$F$16,"")</f>
        <v/>
      </c>
      <c r="BL323" s="518" t="str">
        <f>IF(AND(_AC4="B-767-300",'2023'!$L$4="FO",'2023'!$L$2=BL309),'2023DATA'!$G$16,"")</f>
        <v/>
      </c>
      <c r="BM323" s="518" t="str">
        <f>IF(AND(_AC4="B-767-300",'2023'!$L$4="FO",'2023'!$L$2=BM309),'2023DATA'!$H$16,"")</f>
        <v/>
      </c>
      <c r="BN323" s="518" t="str">
        <f>IF(AND(_AC4="B-767-300",'2023'!$L$4="FO",'2023'!$L$2=BN309),'2023DATA'!$I$16,"")</f>
        <v/>
      </c>
      <c r="BO323" s="518" t="str">
        <f>IF(AND(_AC4="B-767-300",'2023'!$L$4="FO",'2023'!$L$2=BO309),'2023DATA'!$J$16,"")</f>
        <v/>
      </c>
      <c r="BP323" s="518" t="str">
        <f>IF(AND(_AC4="B-767-300",'2023'!$L$4="FO",'2023'!$L$2=BP309),'2023DATA'!$K$16,"")</f>
        <v/>
      </c>
      <c r="BQ323" s="518" t="str">
        <f>IF(AND(_AC4="B-767-300",'2023'!$L$4="FO",'2023'!$L$2=BQ309),'2023DATA'!$L$16,"")</f>
        <v/>
      </c>
      <c r="BR323" s="518" t="str">
        <f>IF(AND(_AC4="B-767-300",'2023'!$L$4="FO",'2023'!$L$2=BR309),'2023DATA'!$M$16,"")</f>
        <v/>
      </c>
      <c r="BS323" s="520" t="str">
        <f>IF(AND(_AC4="B-767-300",'2023'!$L$4="FO",'2023'!$L$2=BS309),'2023DATA'!$N$16,"")</f>
        <v/>
      </c>
      <c r="BT323" s="940"/>
      <c r="BU323" s="13" t="s">
        <v>62</v>
      </c>
      <c r="BV323" s="518" t="str">
        <f>IF(AND(_AC5="B-767-300",'2023'!$L$4="FO",'2023'!$L$2=BV309),'2023DATA'!$C$16,"")</f>
        <v/>
      </c>
      <c r="BW323" s="518" t="str">
        <f>IF(AND(_AC5="B-767-300",'2023'!$L$4="FO",'2023'!$L$2=BW309),'2023DATA'!$D$16,"")</f>
        <v/>
      </c>
      <c r="BX323" s="518" t="str">
        <f>IF(AND(_AC5="B-767-300",'2023'!$L$4="FO",'2023'!$L$2=BX309),'2023DATA'!$E$16,"")</f>
        <v/>
      </c>
      <c r="BY323" s="518" t="str">
        <f>IF(AND(_AC5="B-767-300",'2023'!$L$4="FO",'2023'!$L$2=BY309),'2023DATA'!$F$16,"")</f>
        <v/>
      </c>
      <c r="BZ323" s="518" t="str">
        <f>IF(AND(_AC5="B-767-300",'2023'!$L$4="FO",'2023'!$L$2=BZ309),'2023DATA'!$G$16,"")</f>
        <v/>
      </c>
      <c r="CA323" s="518" t="str">
        <f>IF(AND(_AC5="B-767-300",'2023'!$L$4="FO",'2023'!$L$2=CA309),'2023DATA'!$H$16,"")</f>
        <v/>
      </c>
      <c r="CB323" s="518" t="str">
        <f>IF(AND(_AC5="B-767-300",'2023'!$L$4="FO",'2023'!$L$2=CB309),'2023DATA'!$I$16,"")</f>
        <v/>
      </c>
      <c r="CC323" s="518" t="str">
        <f>IF(AND(_AC5="B-767-300",'2023'!$L$4="FO",'2023'!$L$2=CC309),'2023DATA'!$J$16,"")</f>
        <v/>
      </c>
      <c r="CD323" s="518" t="str">
        <f>IF(AND(_AC5="B-767-300",'2023'!$L$4="FO",'2023'!$L$2=CD309),'2023DATA'!$K$16,"")</f>
        <v/>
      </c>
      <c r="CE323" s="518" t="str">
        <f>IF(AND(_AC5="B-767-300",'2023'!$L$4="FO",'2023'!$L$2=CE309),'2023DATA'!$L$16,"")</f>
        <v/>
      </c>
      <c r="CF323" s="518" t="str">
        <f>IF(AND(_AC5="B-767-300",'2023'!$L$4="FO",'2023'!$L$2=CF309),'2023DATA'!$M$16,"")</f>
        <v/>
      </c>
      <c r="CG323" s="520" t="str">
        <f>IF(AND(_AC5="B-767-300",'2023'!$L$4="FO",'2023'!$L$2=CG309),'2023DATA'!$N$16,"")</f>
        <v/>
      </c>
      <c r="CH323" s="940"/>
      <c r="CI323" s="13" t="s">
        <v>62</v>
      </c>
      <c r="CJ323" s="518" t="str">
        <f>IF(AND(_AC6="B-767-300",'2023'!$L$4="FO",'2023'!$L$2=CJ309),'2023DATA'!$C$16,"")</f>
        <v/>
      </c>
      <c r="CK323" s="518" t="str">
        <f>IF(AND(_AC6="B-767-300",'2023'!$L$4="FO",'2023'!$L$2=CK309),'2023DATA'!$D$16,"")</f>
        <v/>
      </c>
      <c r="CL323" s="518" t="str">
        <f>IF(AND(_AC6="B-767-300",'2023'!$L$4="FO",'2023'!$L$2=CL309),'2023DATA'!$E$16,"")</f>
        <v/>
      </c>
      <c r="CM323" s="518" t="str">
        <f>IF(AND(_AC6="B-767-300",'2023'!$L$4="FO",'2023'!$L$2=CM309),'2023DATA'!$F$16,"")</f>
        <v/>
      </c>
      <c r="CN323" s="518" t="str">
        <f>IF(AND(_AC6="B-767-300",'2023'!$L$4="FO",'2023'!$L$2=CN309),'2023DATA'!$G$16,"")</f>
        <v/>
      </c>
      <c r="CO323" s="518" t="str">
        <f>IF(AND(_AC6="B-767-300",'2023'!$L$4="FO",'2023'!$L$2=CO309),'2023DATA'!$H$16,"")</f>
        <v/>
      </c>
      <c r="CP323" s="518" t="str">
        <f>IF(AND(_AC6="B-767-300",'2023'!$L$4="FO",'2023'!$L$2=CP309),'2023DATA'!$I$16,"")</f>
        <v/>
      </c>
      <c r="CQ323" s="518" t="str">
        <f>IF(AND(_AC6="B-767-300",'2023'!$L$4="FO",'2023'!$L$2=CQ309),'2023DATA'!$J$16,"")</f>
        <v/>
      </c>
      <c r="CR323" s="518" t="str">
        <f>IF(AND(_AC6="B-767-300",'2023'!$L$4="FO",'2023'!$L$2=CR309),'2023DATA'!$K$16,"")</f>
        <v/>
      </c>
      <c r="CS323" s="518" t="str">
        <f>IF(AND(_AC6="B-767-300",'2023'!$L$4="FO",'2023'!$L$2=CS309),'2023DATA'!$L$16,"")</f>
        <v/>
      </c>
      <c r="CT323" s="518" t="str">
        <f>IF(AND(_AC6="B-767-300",'2023'!$L$4="FO",'2023'!$L$2=CT309),'2023DATA'!$M$16,"")</f>
        <v/>
      </c>
      <c r="CU323" s="520" t="str">
        <f>IF(AND(_AC6="B-767-300",'2023'!$L$4="FO",'2023'!$L$2=CU309),'2023DATA'!$N$16,"")</f>
        <v/>
      </c>
    </row>
    <row r="324" spans="16:99" x14ac:dyDescent="0.25">
      <c r="P324" s="940" t="s">
        <v>68</v>
      </c>
      <c r="Q324" s="13" t="s">
        <v>61</v>
      </c>
      <c r="R324" s="518" t="str">
        <f>IF(AND(_AC1="B-767-200",'2023'!$L$4="CA",'2023'!$L$2=R309),'2023DATA'!$C$17,"")</f>
        <v/>
      </c>
      <c r="S324" s="518" t="str">
        <f>IF(AND(_AC1="B-767-200",'2023'!$L$4="CA",'2023'!$L$2=S309),'2023DATA'!$D$17,"")</f>
        <v/>
      </c>
      <c r="T324" s="518" t="str">
        <f>IF(AND(_AC1="B-767-200",'2023'!$L$4="CA",'2023'!$L$2=T309),'2023DATA'!$E$17,"")</f>
        <v/>
      </c>
      <c r="U324" s="518" t="str">
        <f>IF(AND(_AC1="B-767-200",'2023'!$L$4="CA",'2023'!$L$2=U309),'2023DATA'!$F$17,"")</f>
        <v/>
      </c>
      <c r="V324" s="518" t="str">
        <f>IF(AND(_AC1="B-767-200",'2023'!$L$4="CA",'2023'!$L$2=V309),'2023DATA'!$G$17,"")</f>
        <v/>
      </c>
      <c r="W324" s="518" t="str">
        <f>IF(AND(_AC1="B-767-200",'2023'!$L$4="CA",'2023'!$L$2=W309),'2023DATA'!$H$17,"")</f>
        <v/>
      </c>
      <c r="X324" s="518" t="str">
        <f>IF(AND(_AC1="B-767-200",'2023'!$L$4="CA",'2023'!$L$2=X309),'2023DATA'!$I$17,"")</f>
        <v/>
      </c>
      <c r="Y324" s="518" t="str">
        <f>IF(AND(_AC1="B-767-200",'2023'!$L$4="CA",'2023'!$L$2=Y309),'2023DATA'!$J$17,"")</f>
        <v/>
      </c>
      <c r="Z324" s="518" t="str">
        <f>IF(AND(_AC1="B-767-200",'2023'!$L$4="CA",'2023'!$L$2=Z309),'2023DATA'!$K$17,"")</f>
        <v/>
      </c>
      <c r="AA324" s="518" t="str">
        <f>IF(AND(_AC1="B-767-200",'2023'!$L$4="CA",'2023'!$L$2=AA309),'2023DATA'!$L$17,"")</f>
        <v/>
      </c>
      <c r="AB324" s="518" t="str">
        <f>IF(AND(_AC1="B-767-200",'2023'!$L$4="CA",'2023'!$L$2=AB309),'2023DATA'!$M$17,"")</f>
        <v/>
      </c>
      <c r="AC324" s="520" t="str">
        <f>IF(AND(_AC1="B-767-200",'2023'!$L$4="CA",'2023'!$L$2=AC309),'2023DATA'!$N$17,"")</f>
        <v/>
      </c>
      <c r="AD324" s="940" t="s">
        <v>68</v>
      </c>
      <c r="AE324" s="13" t="s">
        <v>61</v>
      </c>
      <c r="AF324" s="518" t="str">
        <f>IF(AND(_AC2="B-767-200",'2023'!$L$4="CA",'2023'!$L$2=AF309),'2023DATA'!$C$17,"")</f>
        <v/>
      </c>
      <c r="AG324" s="518" t="str">
        <f>IF(AND(_AC2="B-767-200",'2023'!$L$4="CA",'2023'!$L$2=AG309),'2023DATA'!$D$17,"")</f>
        <v/>
      </c>
      <c r="AH324" s="518" t="str">
        <f>IF(AND(_AC2="B-767-200",'2023'!$L$4="CA",'2023'!$L$2=AH309),'2023DATA'!$E$17,"")</f>
        <v/>
      </c>
      <c r="AI324" s="518" t="str">
        <f>IF(AND(_AC2="B-767-200",'2023'!$L$4="CA",'2023'!$L$2=AI309),'2023DATA'!$F$17,"")</f>
        <v/>
      </c>
      <c r="AJ324" s="518" t="str">
        <f>IF(AND(_AC2="B-767-200",'2023'!$L$4="CA",'2023'!$L$2=AJ309),'2023DATA'!$G$17,"")</f>
        <v/>
      </c>
      <c r="AK324" s="518" t="str">
        <f>IF(AND(_AC2="B-767-200",'2023'!$L$4="CA",'2023'!$L$2=AK309),'2023DATA'!$H$17,"")</f>
        <v/>
      </c>
      <c r="AL324" s="518" t="str">
        <f>IF(AND(_AC2="B-767-200",'2023'!$L$4="CA",'2023'!$L$2=AL309),'2023DATA'!$I$17,"")</f>
        <v/>
      </c>
      <c r="AM324" s="518" t="str">
        <f>IF(AND(_AC2="B-767-200",'2023'!$L$4="CA",'2023'!$L$2=AM309),'2023DATA'!$J$17,"")</f>
        <v/>
      </c>
      <c r="AN324" s="518" t="str">
        <f>IF(AND(_AC2="B-767-200",'2023'!$L$4="CA",'2023'!$L$2=AN309),'2023DATA'!$K$17,"")</f>
        <v/>
      </c>
      <c r="AO324" s="518" t="str">
        <f>IF(AND(_AC2="B-767-200",'2023'!$L$4="CA",'2023'!$L$2=AO309),'2023DATA'!$L$17,"")</f>
        <v/>
      </c>
      <c r="AP324" s="518" t="str">
        <f>IF(AND(_AC2="B-767-200",'2023'!$L$4="CA",'2023'!$L$2=AP309),'2023DATA'!$M$17,"")</f>
        <v/>
      </c>
      <c r="AQ324" s="520" t="str">
        <f>IF(AND(_AC2="B-767-200",'2023'!$L$4="CA",'2023'!$L$2=AQ309),'2023DATA'!$N$17,"")</f>
        <v/>
      </c>
      <c r="AR324" s="940" t="s">
        <v>68</v>
      </c>
      <c r="AS324" s="13" t="s">
        <v>61</v>
      </c>
      <c r="AT324" s="518" t="str">
        <f>IF(AND(_AC3="B-767-200",'2023'!$L$4="CA",'2023'!$L$2=AT309),'2023DATA'!$C$17,"")</f>
        <v/>
      </c>
      <c r="AU324" s="518" t="str">
        <f>IF(AND(_AC3="B-767-200",'2023'!$L$4="CA",'2023'!$L$2=AU309),'2023DATA'!$D$17,"")</f>
        <v/>
      </c>
      <c r="AV324" s="518" t="str">
        <f>IF(AND(_AC3="B-767-200",'2023'!$L$4="CA",'2023'!$L$2=AV309),'2023DATA'!$E$17,"")</f>
        <v/>
      </c>
      <c r="AW324" s="518" t="str">
        <f>IF(AND(_AC3="B-767-200",'2023'!$L$4="CA",'2023'!$L$2=AW309),'2023DATA'!$F$17,"")</f>
        <v/>
      </c>
      <c r="AX324" s="518" t="str">
        <f>IF(AND(_AC3="B-767-200",'2023'!$L$4="CA",'2023'!$L$2=AX309),'2023DATA'!$G$17,"")</f>
        <v/>
      </c>
      <c r="AY324" s="518" t="str">
        <f>IF(AND(_AC3="B-767-200",'2023'!$L$4="CA",'2023'!$L$2=AY309),'2023DATA'!$H$17,"")</f>
        <v/>
      </c>
      <c r="AZ324" s="518" t="str">
        <f>IF(AND(_AC3="B-767-200",'2023'!$L$4="CA",'2023'!$L$2=AZ309),'2023DATA'!$I$17,"")</f>
        <v/>
      </c>
      <c r="BA324" s="518" t="str">
        <f>IF(AND(_AC3="B-767-200",'2023'!$L$4="CA",'2023'!$L$2=BA309),'2023DATA'!$J$17,"")</f>
        <v/>
      </c>
      <c r="BB324" s="518" t="str">
        <f>IF(AND(_AC3="B-767-200",'2023'!$L$4="CA",'2023'!$L$2=BB309),'2023DATA'!$K$17,"")</f>
        <v/>
      </c>
      <c r="BC324" s="518" t="str">
        <f>IF(AND(_AC3="B-767-200",'2023'!$L$4="CA",'2023'!$L$2=BC309),'2023DATA'!$L$17,"")</f>
        <v/>
      </c>
      <c r="BD324" s="518" t="str">
        <f>IF(AND(_AC3="B-767-200",'2023'!$L$4="CA",'2023'!$L$2=BD309),'2023DATA'!$M$17,"")</f>
        <v/>
      </c>
      <c r="BE324" s="520" t="str">
        <f>IF(AND(_AC3="B-767-200",'2023'!$L$4="CA",'2023'!$L$2=BE309),'2023DATA'!$N$17,"")</f>
        <v/>
      </c>
      <c r="BF324" s="940" t="s">
        <v>68</v>
      </c>
      <c r="BG324" s="13" t="s">
        <v>61</v>
      </c>
      <c r="BH324" s="518" t="str">
        <f>IF(AND(_AC4="B-767-200",'2023'!$L$4="CA",'2023'!$L$2=BH309),'2023DATA'!$C$17,"")</f>
        <v/>
      </c>
      <c r="BI324" s="518" t="str">
        <f>IF(AND(_AC4="B-767-200",'2023'!$L$4="CA",'2023'!$L$2=BI309),'2023DATA'!$D$17,"")</f>
        <v/>
      </c>
      <c r="BJ324" s="518" t="str">
        <f>IF(AND(_AC4="B-767-200",'2023'!$L$4="CA",'2023'!$L$2=BJ309),'2023DATA'!$E$17,"")</f>
        <v/>
      </c>
      <c r="BK324" s="518" t="str">
        <f>IF(AND(_AC4="B-767-200",'2023'!$L$4="CA",'2023'!$L$2=BK309),'2023DATA'!$F$17,"")</f>
        <v/>
      </c>
      <c r="BL324" s="518" t="str">
        <f>IF(AND(_AC4="B-767-200",'2023'!$L$4="CA",'2023'!$L$2=BL309),'2023DATA'!$G$17,"")</f>
        <v/>
      </c>
      <c r="BM324" s="518" t="str">
        <f>IF(AND(_AC4="B-767-200",'2023'!$L$4="CA",'2023'!$L$2=BM309),'2023DATA'!$H$17,"")</f>
        <v/>
      </c>
      <c r="BN324" s="518" t="str">
        <f>IF(AND(_AC4="B-767-200",'2023'!$L$4="CA",'2023'!$L$2=BN309),'2023DATA'!$I$17,"")</f>
        <v/>
      </c>
      <c r="BO324" s="518" t="str">
        <f>IF(AND(_AC4="B-767-200",'2023'!$L$4="CA",'2023'!$L$2=BO309),'2023DATA'!$J$17,"")</f>
        <v/>
      </c>
      <c r="BP324" s="518" t="str">
        <f>IF(AND(_AC4="B-767-200",'2023'!$L$4="CA",'2023'!$L$2=BP309),'2023DATA'!$K$17,"")</f>
        <v/>
      </c>
      <c r="BQ324" s="518" t="str">
        <f>IF(AND(_AC4="B-767-200",'2023'!$L$4="CA",'2023'!$L$2=BQ309),'2023DATA'!$L$17,"")</f>
        <v/>
      </c>
      <c r="BR324" s="518" t="str">
        <f>IF(AND(_AC4="B-767-200",'2023'!$L$4="CA",'2023'!$L$2=BR309),'2023DATA'!$M$17,"")</f>
        <v/>
      </c>
      <c r="BS324" s="520" t="str">
        <f>IF(AND(_AC4="B-767-200",'2023'!$L$4="CA",'2023'!$L$2=BS309),'2023DATA'!$N$17,"")</f>
        <v/>
      </c>
      <c r="BT324" s="940" t="s">
        <v>68</v>
      </c>
      <c r="BU324" s="13" t="s">
        <v>61</v>
      </c>
      <c r="BV324" s="518" t="str">
        <f>IF(AND(_AC5="B-767-200",'2023'!$L$4="CA",'2023'!$L$2=BV309),'2023DATA'!$C$17,"")</f>
        <v/>
      </c>
      <c r="BW324" s="518" t="str">
        <f>IF(AND(_AC5="B-767-200",'2023'!$L$4="CA",'2023'!$L$2=BW309),'2023DATA'!$D$17,"")</f>
        <v/>
      </c>
      <c r="BX324" s="518" t="str">
        <f>IF(AND(_AC5="B-767-200",'2023'!$L$4="CA",'2023'!$L$2=BX309),'2023DATA'!$E$17,"")</f>
        <v/>
      </c>
      <c r="BY324" s="518" t="str">
        <f>IF(AND(_AC5="B-767-200",'2023'!$L$4="CA",'2023'!$L$2=BY309),'2023DATA'!$F$17,"")</f>
        <v/>
      </c>
      <c r="BZ324" s="518" t="str">
        <f>IF(AND(_AC5="B-767-200",'2023'!$L$4="CA",'2023'!$L$2=BZ309),'2023DATA'!$G$17,"")</f>
        <v/>
      </c>
      <c r="CA324" s="518" t="str">
        <f>IF(AND(_AC5="B-767-200",'2023'!$L$4="CA",'2023'!$L$2=CA309),'2023DATA'!$H$17,"")</f>
        <v/>
      </c>
      <c r="CB324" s="518" t="str">
        <f>IF(AND(_AC5="B-767-200",'2023'!$L$4="CA",'2023'!$L$2=CB309),'2023DATA'!$I$17,"")</f>
        <v/>
      </c>
      <c r="CC324" s="518" t="str">
        <f>IF(AND(_AC5="B-767-200",'2023'!$L$4="CA",'2023'!$L$2=CC309),'2023DATA'!$J$17,"")</f>
        <v/>
      </c>
      <c r="CD324" s="518" t="str">
        <f>IF(AND(_AC5="B-767-200",'2023'!$L$4="CA",'2023'!$L$2=CD309),'2023DATA'!$K$17,"")</f>
        <v/>
      </c>
      <c r="CE324" s="518" t="str">
        <f>IF(AND(_AC5="B-767-200",'2023'!$L$4="CA",'2023'!$L$2=CE309),'2023DATA'!$L$17,"")</f>
        <v/>
      </c>
      <c r="CF324" s="518" t="str">
        <f>IF(AND(_AC5="B-767-200",'2023'!$L$4="CA",'2023'!$L$2=CF309),'2023DATA'!$M$17,"")</f>
        <v/>
      </c>
      <c r="CG324" s="520" t="str">
        <f>IF(AND(_AC5="B-767-200",'2023'!$L$4="CA",'2023'!$L$2=CG309),'2023DATA'!$N$17,"")</f>
        <v/>
      </c>
      <c r="CH324" s="940" t="s">
        <v>68</v>
      </c>
      <c r="CI324" s="13" t="s">
        <v>61</v>
      </c>
      <c r="CJ324" s="518" t="str">
        <f>IF(AND(_AC6="B-767-200",'2023'!$L$4="CA",'2023'!$L$2=CJ309),'2023DATA'!$C$17,"")</f>
        <v/>
      </c>
      <c r="CK324" s="518" t="str">
        <f>IF(AND(_AC6="B-767-200",'2023'!$L$4="CA",'2023'!$L$2=CK309),'2023DATA'!$D$17,"")</f>
        <v/>
      </c>
      <c r="CL324" s="518" t="str">
        <f>IF(AND(_AC6="B-767-200",'2023'!$L$4="CA",'2023'!$L$2=CL309),'2023DATA'!$E$17,"")</f>
        <v/>
      </c>
      <c r="CM324" s="518" t="str">
        <f>IF(AND(_AC6="B-767-200",'2023'!$L$4="CA",'2023'!$L$2=CM309),'2023DATA'!$F$17,"")</f>
        <v/>
      </c>
      <c r="CN324" s="518" t="str">
        <f>IF(AND(_AC6="B-767-200",'2023'!$L$4="CA",'2023'!$L$2=CN309),'2023DATA'!$G$17,"")</f>
        <v/>
      </c>
      <c r="CO324" s="518" t="str">
        <f>IF(AND(_AC6="B-767-200",'2023'!$L$4="CA",'2023'!$L$2=CO309),'2023DATA'!$H$17,"")</f>
        <v/>
      </c>
      <c r="CP324" s="518" t="str">
        <f>IF(AND(_AC6="B-767-200",'2023'!$L$4="CA",'2023'!$L$2=CP309),'2023DATA'!$I$17,"")</f>
        <v/>
      </c>
      <c r="CQ324" s="518" t="str">
        <f>IF(AND(_AC6="B-767-200",'2023'!$L$4="CA",'2023'!$L$2=CQ309),'2023DATA'!$J$17,"")</f>
        <v/>
      </c>
      <c r="CR324" s="518" t="str">
        <f>IF(AND(_AC6="B-767-200",'2023'!$L$4="CA",'2023'!$L$2=CR309),'2023DATA'!$K$17,"")</f>
        <v/>
      </c>
      <c r="CS324" s="518" t="str">
        <f>IF(AND(_AC6="B-767-200",'2023'!$L$4="CA",'2023'!$L$2=CS309),'2023DATA'!$L$17,"")</f>
        <v/>
      </c>
      <c r="CT324" s="518" t="str">
        <f>IF(AND(_AC6="B-767-200",'2023'!$L$4="CA",'2023'!$L$2=CT309),'2023DATA'!$M$17,"")</f>
        <v/>
      </c>
      <c r="CU324" s="520" t="str">
        <f>IF(AND(_AC6="B-767-200",'2023'!$L$4="CA",'2023'!$L$2=CU309),'2023DATA'!$N$17,"")</f>
        <v/>
      </c>
    </row>
    <row r="325" spans="16:99" x14ac:dyDescent="0.25">
      <c r="P325" s="940"/>
      <c r="Q325" s="13" t="s">
        <v>62</v>
      </c>
      <c r="R325" s="518" t="str">
        <f>IF(AND(_AC1="B-767-200",'2023'!$L$4="FO",'2023'!$L$2=R309),'2023DATA'!$C$18,"")</f>
        <v/>
      </c>
      <c r="S325" s="518" t="str">
        <f>IF(AND(_AC1="B-767-200",'2023'!$L$4="FO",'2023'!$L$2=S309),'2023DATA'!$D$18,"")</f>
        <v/>
      </c>
      <c r="T325" s="518" t="str">
        <f>IF(AND(_AC1="B-767-200",'2023'!$L$4="FO",'2023'!$L$2=T309),'2023DATA'!$E$18,"")</f>
        <v/>
      </c>
      <c r="U325" s="518" t="str">
        <f>IF(AND(_AC1="B-767-200",'2023'!$L$4="FO",'2023'!$L$2=U309),'2023DATA'!$F$18,"")</f>
        <v/>
      </c>
      <c r="V325" s="518" t="str">
        <f>IF(AND(_AC1="B-767-200",'2023'!$L$4="FO",'2023'!$L$2=V309),'2023DATA'!$G$18,"")</f>
        <v/>
      </c>
      <c r="W325" s="518" t="str">
        <f>IF(AND(_AC1="B-767-200",'2023'!$L$4="FO",'2023'!$L$2=W309),'2023DATA'!$H$18,"")</f>
        <v/>
      </c>
      <c r="X325" s="518" t="str">
        <f>IF(AND(_AC1="B-767-200",'2023'!$L$4="FO",'2023'!$L$2=X309),'2023DATA'!$I$18,"")</f>
        <v/>
      </c>
      <c r="Y325" s="518" t="str">
        <f>IF(AND(_AC1="B-767-200",'2023'!$L$4="FO",'2023'!$L$2=Y309),'2023DATA'!$J$18,"")</f>
        <v/>
      </c>
      <c r="Z325" s="518" t="str">
        <f>IF(AND(_AC1="B-767-200",'2023'!$L$4="FO",'2023'!$L$2=Z309),'2023DATA'!$K$18,"")</f>
        <v/>
      </c>
      <c r="AA325" s="518" t="str">
        <f>IF(AND(_AC1="B-767-200",'2023'!$L$4="FO",'2023'!$L$2=AA309),'2023DATA'!$L$18,"")</f>
        <v/>
      </c>
      <c r="AB325" s="518" t="str">
        <f>IF(AND(_AC1="B-767-200",'2023'!$L$4="FO",'2023'!$L$2=AB309),'2023DATA'!$M$18,"")</f>
        <v/>
      </c>
      <c r="AC325" s="520" t="str">
        <f>IF(AND(_AC1="B-767-200",'2023'!$L$4="FO",'2023'!$L$2=AC309),'2023DATA'!$N$18,"")</f>
        <v/>
      </c>
      <c r="AD325" s="940"/>
      <c r="AE325" s="13" t="s">
        <v>62</v>
      </c>
      <c r="AF325" s="518" t="str">
        <f>IF(AND(_AC2="B-767-200",'2023'!$L$4="FO",'2023'!$L$2=AF309),'2023DATA'!$C$18,"")</f>
        <v/>
      </c>
      <c r="AG325" s="518" t="str">
        <f>IF(AND(_AC2="B-767-200",'2023'!$L$4="FO",'2023'!$L$2=AG309),'2023DATA'!$D$18,"")</f>
        <v/>
      </c>
      <c r="AH325" s="518" t="str">
        <f>IF(AND(_AC2="B-767-200",'2023'!$L$4="FO",'2023'!$L$2=AH309),'2023DATA'!$E$18,"")</f>
        <v/>
      </c>
      <c r="AI325" s="518" t="str">
        <f>IF(AND(_AC2="B-767-200",'2023'!$L$4="FO",'2023'!$L$2=AI309),'2023DATA'!$F$18,"")</f>
        <v/>
      </c>
      <c r="AJ325" s="518" t="str">
        <f>IF(AND(_AC2="B-767-200",'2023'!$L$4="FO",'2023'!$L$2=AJ309),'2023DATA'!$G$18,"")</f>
        <v/>
      </c>
      <c r="AK325" s="518" t="str">
        <f>IF(AND(_AC2="B-767-200",'2023'!$L$4="FO",'2023'!$L$2=AK309),'2023DATA'!$H$18,"")</f>
        <v/>
      </c>
      <c r="AL325" s="518" t="str">
        <f>IF(AND(_AC2="B-767-200",'2023'!$L$4="FO",'2023'!$L$2=AL309),'2023DATA'!$I$18,"")</f>
        <v/>
      </c>
      <c r="AM325" s="518" t="str">
        <f>IF(AND(_AC2="B-767-200",'2023'!$L$4="FO",'2023'!$L$2=AM309),'2023DATA'!$J$18,"")</f>
        <v/>
      </c>
      <c r="AN325" s="518" t="str">
        <f>IF(AND(_AC2="B-767-200",'2023'!$L$4="FO",'2023'!$L$2=AN309),'2023DATA'!$K$18,"")</f>
        <v/>
      </c>
      <c r="AO325" s="518" t="str">
        <f>IF(AND(_AC2="B-767-200",'2023'!$L$4="FO",'2023'!$L$2=AO309),'2023DATA'!$L$18,"")</f>
        <v/>
      </c>
      <c r="AP325" s="518" t="str">
        <f>IF(AND(_AC2="B-767-200",'2023'!$L$4="FO",'2023'!$L$2=AP309),'2023DATA'!$M$18,"")</f>
        <v/>
      </c>
      <c r="AQ325" s="520" t="str">
        <f>IF(AND(_AC2="B-767-200",'2023'!$L$4="FO",'2023'!$L$2=AQ309),'2023DATA'!$N$18,"")</f>
        <v/>
      </c>
      <c r="AR325" s="940"/>
      <c r="AS325" s="13" t="s">
        <v>62</v>
      </c>
      <c r="AT325" s="518" t="str">
        <f>IF(AND(_AC3="B-767-200",'2023'!$L$4="FO",'2023'!$L$2=AT309),'2023DATA'!$C$18,"")</f>
        <v/>
      </c>
      <c r="AU325" s="518" t="str">
        <f>IF(AND(_AC3="B-767-200",'2023'!$L$4="FO",'2023'!$L$2=AU309),'2023DATA'!$D$18,"")</f>
        <v/>
      </c>
      <c r="AV325" s="518" t="str">
        <f>IF(AND(_AC3="B-767-200",'2023'!$L$4="FO",'2023'!$L$2=AV309),'2023DATA'!$E$18,"")</f>
        <v/>
      </c>
      <c r="AW325" s="518" t="str">
        <f>IF(AND(_AC3="B-767-200",'2023'!$L$4="FO",'2023'!$L$2=AW309),'2023DATA'!$F$18,"")</f>
        <v/>
      </c>
      <c r="AX325" s="518" t="str">
        <f>IF(AND(_AC3="B-767-200",'2023'!$L$4="FO",'2023'!$L$2=AX309),'2023DATA'!$G$18,"")</f>
        <v/>
      </c>
      <c r="AY325" s="518" t="str">
        <f>IF(AND(_AC3="B-767-200",'2023'!$L$4="FO",'2023'!$L$2=AY309),'2023DATA'!$H$18,"")</f>
        <v/>
      </c>
      <c r="AZ325" s="518" t="str">
        <f>IF(AND(_AC3="B-767-200",'2023'!$L$4="FO",'2023'!$L$2=AZ309),'2023DATA'!$I$18,"")</f>
        <v/>
      </c>
      <c r="BA325" s="518" t="str">
        <f>IF(AND(_AC3="B-767-200",'2023'!$L$4="FO",'2023'!$L$2=BA309),'2023DATA'!$J$18,"")</f>
        <v/>
      </c>
      <c r="BB325" s="518" t="str">
        <f>IF(AND(_AC3="B-767-200",'2023'!$L$4="FO",'2023'!$L$2=BB309),'2023DATA'!$K$18,"")</f>
        <v/>
      </c>
      <c r="BC325" s="518" t="str">
        <f>IF(AND(_AC3="B-767-200",'2023'!$L$4="FO",'2023'!$L$2=BC309),'2023DATA'!$L$18,"")</f>
        <v/>
      </c>
      <c r="BD325" s="518" t="str">
        <f>IF(AND(_AC3="B-767-200",'2023'!$L$4="FO",'2023'!$L$2=BD309),'2023DATA'!$M$18,"")</f>
        <v/>
      </c>
      <c r="BE325" s="520" t="str">
        <f>IF(AND(_AC3="B-767-200",'2023'!$L$4="FO",'2023'!$L$2=BE309),'2023DATA'!$N$18,"")</f>
        <v/>
      </c>
      <c r="BF325" s="940"/>
      <c r="BG325" s="13" t="s">
        <v>62</v>
      </c>
      <c r="BH325" s="518" t="str">
        <f>IF(AND(_AC4="B-767-200",'2023'!$L$4="FO",'2023'!$L$2=BH309),'2023DATA'!$C$18,"")</f>
        <v/>
      </c>
      <c r="BI325" s="518" t="str">
        <f>IF(AND(_AC4="B-767-200",'2023'!$L$4="FO",'2023'!$L$2=BI309),'2023DATA'!$D$18,"")</f>
        <v/>
      </c>
      <c r="BJ325" s="518" t="str">
        <f>IF(AND(_AC4="B-767-200",'2023'!$L$4="FO",'2023'!$L$2=BJ309),'2023DATA'!$E$18,"")</f>
        <v/>
      </c>
      <c r="BK325" s="518" t="str">
        <f>IF(AND(_AC4="B-767-200",'2023'!$L$4="FO",'2023'!$L$2=BK309),'2023DATA'!$F$18,"")</f>
        <v/>
      </c>
      <c r="BL325" s="518" t="str">
        <f>IF(AND(_AC4="B-767-200",'2023'!$L$4="FO",'2023'!$L$2=BL309),'2023DATA'!$G$18,"")</f>
        <v/>
      </c>
      <c r="BM325" s="518" t="str">
        <f>IF(AND(_AC4="B-767-200",'2023'!$L$4="FO",'2023'!$L$2=BM309),'2023DATA'!$H$18,"")</f>
        <v/>
      </c>
      <c r="BN325" s="518" t="str">
        <f>IF(AND(_AC4="B-767-200",'2023'!$L$4="FO",'2023'!$L$2=BN309),'2023DATA'!$I$18,"")</f>
        <v/>
      </c>
      <c r="BO325" s="518" t="str">
        <f>IF(AND(_AC4="B-767-200",'2023'!$L$4="FO",'2023'!$L$2=BO309),'2023DATA'!$J$18,"")</f>
        <v/>
      </c>
      <c r="BP325" s="518" t="str">
        <f>IF(AND(_AC4="B-767-200",'2023'!$L$4="FO",'2023'!$L$2=BP309),'2023DATA'!$K$18,"")</f>
        <v/>
      </c>
      <c r="BQ325" s="518" t="str">
        <f>IF(AND(_AC4="B-767-200",'2023'!$L$4="FO",'2023'!$L$2=BQ309),'2023DATA'!$L$18,"")</f>
        <v/>
      </c>
      <c r="BR325" s="518" t="str">
        <f>IF(AND(_AC4="B-767-200",'2023'!$L$4="FO",'2023'!$L$2=BR309),'2023DATA'!$M$18,"")</f>
        <v/>
      </c>
      <c r="BS325" s="520" t="str">
        <f>IF(AND(_AC4="B-767-200",'2023'!$L$4="FO",'2023'!$L$2=BS309),'2023DATA'!$N$18,"")</f>
        <v/>
      </c>
      <c r="BT325" s="940"/>
      <c r="BU325" s="13" t="s">
        <v>62</v>
      </c>
      <c r="BV325" s="518" t="str">
        <f>IF(AND(_AC5="B-767-200",'2023'!$L$4="FO",'2023'!$L$2=BV309),'2023DATA'!$C$18,"")</f>
        <v/>
      </c>
      <c r="BW325" s="518" t="str">
        <f>IF(AND(_AC5="B-767-200",'2023'!$L$4="FO",'2023'!$L$2=BW309),'2023DATA'!$D$18,"")</f>
        <v/>
      </c>
      <c r="BX325" s="518" t="str">
        <f>IF(AND(_AC5="B-767-200",'2023'!$L$4="FO",'2023'!$L$2=BX309),'2023DATA'!$E$18,"")</f>
        <v/>
      </c>
      <c r="BY325" s="518" t="str">
        <f>IF(AND(_AC5="B-767-200",'2023'!$L$4="FO",'2023'!$L$2=BY309),'2023DATA'!$F$18,"")</f>
        <v/>
      </c>
      <c r="BZ325" s="518" t="str">
        <f>IF(AND(_AC5="B-767-200",'2023'!$L$4="FO",'2023'!$L$2=BZ309),'2023DATA'!$G$18,"")</f>
        <v/>
      </c>
      <c r="CA325" s="518" t="str">
        <f>IF(AND(_AC5="B-767-200",'2023'!$L$4="FO",'2023'!$L$2=CA309),'2023DATA'!$H$18,"")</f>
        <v/>
      </c>
      <c r="CB325" s="518" t="str">
        <f>IF(AND(_AC5="B-767-200",'2023'!$L$4="FO",'2023'!$L$2=CB309),'2023DATA'!$I$18,"")</f>
        <v/>
      </c>
      <c r="CC325" s="518" t="str">
        <f>IF(AND(_AC5="B-767-200",'2023'!$L$4="FO",'2023'!$L$2=CC309),'2023DATA'!$J$18,"")</f>
        <v/>
      </c>
      <c r="CD325" s="518" t="str">
        <f>IF(AND(_AC5="B-767-200",'2023'!$L$4="FO",'2023'!$L$2=CD309),'2023DATA'!$K$18,"")</f>
        <v/>
      </c>
      <c r="CE325" s="518" t="str">
        <f>IF(AND(_AC5="B-767-200",'2023'!$L$4="FO",'2023'!$L$2=CE309),'2023DATA'!$L$18,"")</f>
        <v/>
      </c>
      <c r="CF325" s="518" t="str">
        <f>IF(AND(_AC5="B-767-200",'2023'!$L$4="FO",'2023'!$L$2=CF309),'2023DATA'!$M$18,"")</f>
        <v/>
      </c>
      <c r="CG325" s="520" t="str">
        <f>IF(AND(_AC5="B-767-200",'2023'!$L$4="FO",'2023'!$L$2=CG309),'2023DATA'!$N$18,"")</f>
        <v/>
      </c>
      <c r="CH325" s="940"/>
      <c r="CI325" s="13" t="s">
        <v>62</v>
      </c>
      <c r="CJ325" s="518" t="str">
        <f>IF(AND(_AC6="B-767-200",'2023'!$L$4="FO",'2023'!$L$2=CJ309),'2023DATA'!$C$18,"")</f>
        <v/>
      </c>
      <c r="CK325" s="518" t="str">
        <f>IF(AND(_AC6="B-767-200",'2023'!$L$4="FO",'2023'!$L$2=CK309),'2023DATA'!$D$18,"")</f>
        <v/>
      </c>
      <c r="CL325" s="518" t="str">
        <f>IF(AND(_AC6="B-767-200",'2023'!$L$4="FO",'2023'!$L$2=CL309),'2023DATA'!$E$18,"")</f>
        <v/>
      </c>
      <c r="CM325" s="518" t="str">
        <f>IF(AND(_AC6="B-767-200",'2023'!$L$4="FO",'2023'!$L$2=CM309),'2023DATA'!$F$18,"")</f>
        <v/>
      </c>
      <c r="CN325" s="518" t="str">
        <f>IF(AND(_AC6="B-767-200",'2023'!$L$4="FO",'2023'!$L$2=CN309),'2023DATA'!$G$18,"")</f>
        <v/>
      </c>
      <c r="CO325" s="518" t="str">
        <f>IF(AND(_AC6="B-767-200",'2023'!$L$4="FO",'2023'!$L$2=CO309),'2023DATA'!$H$18,"")</f>
        <v/>
      </c>
      <c r="CP325" s="518" t="str">
        <f>IF(AND(_AC6="B-767-200",'2023'!$L$4="FO",'2023'!$L$2=CP309),'2023DATA'!$I$18,"")</f>
        <v/>
      </c>
      <c r="CQ325" s="518" t="str">
        <f>IF(AND(_AC6="B-767-200",'2023'!$L$4="FO",'2023'!$L$2=CQ309),'2023DATA'!$J$18,"")</f>
        <v/>
      </c>
      <c r="CR325" s="518" t="str">
        <f>IF(AND(_AC6="B-767-200",'2023'!$L$4="FO",'2023'!$L$2=CR309),'2023DATA'!$K$18,"")</f>
        <v/>
      </c>
      <c r="CS325" s="518" t="str">
        <f>IF(AND(_AC6="B-767-200",'2023'!$L$4="FO",'2023'!$L$2=CS309),'2023DATA'!$L$18,"")</f>
        <v/>
      </c>
      <c r="CT325" s="518" t="str">
        <f>IF(AND(_AC6="B-767-200",'2023'!$L$4="FO",'2023'!$L$2=CT309),'2023DATA'!$M$18,"")</f>
        <v/>
      </c>
      <c r="CU325" s="520" t="str">
        <f>IF(AND(_AC6="B-767-200",'2023'!$L$4="FO",'2023'!$L$2=CU309),'2023DATA'!$N$18,"")</f>
        <v/>
      </c>
    </row>
    <row r="326" spans="16:99" x14ac:dyDescent="0.25">
      <c r="P326" s="940" t="s">
        <v>45</v>
      </c>
      <c r="Q326" s="13" t="s">
        <v>61</v>
      </c>
      <c r="R326" s="518" t="str">
        <f>IF(AND(_AC1="B-757",'2023'!$L$4="CA",'2023'!$L$2=R309),'2023DATA'!$C$19,"")</f>
        <v/>
      </c>
      <c r="S326" s="518" t="str">
        <f>IF(AND(_AC1="B-757",'2023'!$L$4="CA",'2023'!$L$2=S309),'2023DATA'!$D$19,"")</f>
        <v/>
      </c>
      <c r="T326" s="518" t="str">
        <f>IF(AND(_AC1="B-757",'2023'!$L$4="CA",'2023'!$L$2=T309),'2023DATA'!$E$19,"")</f>
        <v/>
      </c>
      <c r="U326" s="518" t="str">
        <f>IF(AND(_AC1="B-757",'2023'!$L$4="CA",'2023'!$L$2=U309),'2023DATA'!$F$19,"")</f>
        <v/>
      </c>
      <c r="V326" s="518" t="str">
        <f>IF(AND(_AC1="B-757",'2023'!$L$4="CA",'2023'!$L$2=V309),'2023DATA'!$G$19,"")</f>
        <v/>
      </c>
      <c r="W326" s="518" t="str">
        <f>IF(AND(_AC1="B-757",'2023'!$L$4="CA",'2023'!$L$2=W309),'2023DATA'!$H$19,"")</f>
        <v/>
      </c>
      <c r="X326" s="518" t="str">
        <f>IF(AND(_AC1="B-757",'2023'!$L$4="CA",'2023'!$L$2=X309),'2023DATA'!$I$19,"")</f>
        <v/>
      </c>
      <c r="Y326" s="518" t="str">
        <f>IF(AND(_AC1="B-757",'2023'!$L$4="CA",'2023'!$L$2=Y309),'2023DATA'!$J$19,"")</f>
        <v/>
      </c>
      <c r="Z326" s="518" t="str">
        <f>IF(AND(_AC1="B-757",'2023'!$L$4="CA",'2023'!$L$2=Z309),'2023DATA'!$K$19,"")</f>
        <v/>
      </c>
      <c r="AA326" s="518" t="str">
        <f>IF(AND(_AC1="B-757",'2023'!$L$4="CA",'2023'!$L$2=AA309),'2023DATA'!$L$19,"")</f>
        <v/>
      </c>
      <c r="AB326" s="518" t="str">
        <f>IF(AND(_AC1="B-757",'2023'!$L$4="CA",'2023'!$L$2=AB309),'2023DATA'!$M$19,"")</f>
        <v/>
      </c>
      <c r="AC326" s="520" t="str">
        <f>IF(AND(_AC1="B-757",'2023'!$L$4="CA",'2023'!$L$2=AC309),'2023DATA'!$N$19,"")</f>
        <v/>
      </c>
      <c r="AD326" s="940" t="s">
        <v>45</v>
      </c>
      <c r="AE326" s="13" t="s">
        <v>61</v>
      </c>
      <c r="AF326" s="518" t="str">
        <f>IF(AND(_AC2="B-757",'2023'!$L$4="CA",'2023'!$L$2=AF309),'2023DATA'!$C$19,"")</f>
        <v/>
      </c>
      <c r="AG326" s="518" t="str">
        <f>IF(AND(_AC2="B-757",'2023'!$L$4="CA",'2023'!$L$2=AG309),'2023DATA'!$D$19,"")</f>
        <v/>
      </c>
      <c r="AH326" s="518" t="str">
        <f>IF(AND(_AC2="B-757",'2023'!$L$4="CA",'2023'!$L$2=AH309),'2023DATA'!$E$19,"")</f>
        <v/>
      </c>
      <c r="AI326" s="518" t="str">
        <f>IF(AND(_AC2="B-757",'2023'!$L$4="CA",'2023'!$L$2=AI309),'2023DATA'!$F$19,"")</f>
        <v/>
      </c>
      <c r="AJ326" s="518" t="str">
        <f>IF(AND(_AC2="B-757",'2023'!$L$4="CA",'2023'!$L$2=AJ309),'2023DATA'!$G$19,"")</f>
        <v/>
      </c>
      <c r="AK326" s="518" t="str">
        <f>IF(AND(_AC2="B-757",'2023'!$L$4="CA",'2023'!$L$2=AK309),'2023DATA'!$H$19,"")</f>
        <v/>
      </c>
      <c r="AL326" s="518" t="str">
        <f>IF(AND(_AC2="B-757",'2023'!$L$4="CA",'2023'!$L$2=AL309),'2023DATA'!$I$19,"")</f>
        <v/>
      </c>
      <c r="AM326" s="518" t="str">
        <f>IF(AND(_AC2="B-757",'2023'!$L$4="CA",'2023'!$L$2=AM309),'2023DATA'!$J$19,"")</f>
        <v/>
      </c>
      <c r="AN326" s="518" t="str">
        <f>IF(AND(_AC2="B-757",'2023'!$L$4="CA",'2023'!$L$2=AN309),'2023DATA'!$K$19,"")</f>
        <v/>
      </c>
      <c r="AO326" s="518" t="str">
        <f>IF(AND(_AC2="B-757",'2023'!$L$4="CA",'2023'!$L$2=AO309),'2023DATA'!$L$19,"")</f>
        <v/>
      </c>
      <c r="AP326" s="518" t="str">
        <f>IF(AND(_AC2="B-757",'2023'!$L$4="CA",'2023'!$L$2=AP309),'2023DATA'!$M$19,"")</f>
        <v/>
      </c>
      <c r="AQ326" s="520" t="str">
        <f>IF(AND(_AC2="B-757",'2023'!$L$4="CA",'2023'!$L$2=AQ309),'2023DATA'!$N$19,"")</f>
        <v/>
      </c>
      <c r="AR326" s="940" t="s">
        <v>45</v>
      </c>
      <c r="AS326" s="13" t="s">
        <v>61</v>
      </c>
      <c r="AT326" s="518" t="str">
        <f>IF(AND(_AC3="B-757",'2023'!$L$4="CA",'2023'!$L$2=AT309),'2023DATA'!$C$19,"")</f>
        <v/>
      </c>
      <c r="AU326" s="518" t="str">
        <f>IF(AND(_AC3="B-757",'2023'!$L$4="CA",'2023'!$L$2=AU309),'2023DATA'!$D$19,"")</f>
        <v/>
      </c>
      <c r="AV326" s="518" t="str">
        <f>IF(AND(_AC3="B-757",'2023'!$L$4="CA",'2023'!$L$2=AV309),'2023DATA'!$E$19,"")</f>
        <v/>
      </c>
      <c r="AW326" s="518" t="str">
        <f>IF(AND(_AC3="B-757",'2023'!$L$4="CA",'2023'!$L$2=AW309),'2023DATA'!$F$19,"")</f>
        <v/>
      </c>
      <c r="AX326" s="518" t="str">
        <f>IF(AND(_AC3="B-757",'2023'!$L$4="CA",'2023'!$L$2=AX309),'2023DATA'!$G$19,"")</f>
        <v/>
      </c>
      <c r="AY326" s="518" t="str">
        <f>IF(AND(_AC3="B-757",'2023'!$L$4="CA",'2023'!$L$2=AY309),'2023DATA'!$H$19,"")</f>
        <v/>
      </c>
      <c r="AZ326" s="518" t="str">
        <f>IF(AND(_AC3="B-757",'2023'!$L$4="CA",'2023'!$L$2=AZ309),'2023DATA'!$I$19,"")</f>
        <v/>
      </c>
      <c r="BA326" s="518" t="str">
        <f>IF(AND(_AC3="B-757",'2023'!$L$4="CA",'2023'!$L$2=BA309),'2023DATA'!$J$19,"")</f>
        <v/>
      </c>
      <c r="BB326" s="518" t="str">
        <f>IF(AND(_AC3="B-757",'2023'!$L$4="CA",'2023'!$L$2=BB309),'2023DATA'!$K$19,"")</f>
        <v/>
      </c>
      <c r="BC326" s="518" t="str">
        <f>IF(AND(_AC3="B-757",'2023'!$L$4="CA",'2023'!$L$2=BC309),'2023DATA'!$L$19,"")</f>
        <v/>
      </c>
      <c r="BD326" s="518" t="str">
        <f>IF(AND(_AC3="B-757",'2023'!$L$4="CA",'2023'!$L$2=BD309),'2023DATA'!$M$19,"")</f>
        <v/>
      </c>
      <c r="BE326" s="520" t="str">
        <f>IF(AND(_AC3="B-757",'2023'!$L$4="CA",'2023'!$L$2=BE309),'2023DATA'!$N$19,"")</f>
        <v/>
      </c>
      <c r="BF326" s="940" t="s">
        <v>45</v>
      </c>
      <c r="BG326" s="13" t="s">
        <v>61</v>
      </c>
      <c r="BH326" s="518" t="str">
        <f>IF(AND(_AC4="B-757",'2023'!$L$4="CA",'2023'!$L$2=BH309),'2023DATA'!$C$19,"")</f>
        <v/>
      </c>
      <c r="BI326" s="518" t="str">
        <f>IF(AND(_AC4="B-757",'2023'!$L$4="CA",'2023'!$L$2=BI309),'2023DATA'!$D$19,"")</f>
        <v/>
      </c>
      <c r="BJ326" s="518" t="str">
        <f>IF(AND(_AC4="B-757",'2023'!$L$4="CA",'2023'!$L$2=BJ309),'2023DATA'!$E$19,"")</f>
        <v/>
      </c>
      <c r="BK326" s="518" t="str">
        <f>IF(AND(_AC4="B-757",'2023'!$L$4="CA",'2023'!$L$2=BK309),'2023DATA'!$F$19,"")</f>
        <v/>
      </c>
      <c r="BL326" s="518" t="str">
        <f>IF(AND(_AC4="B-757",'2023'!$L$4="CA",'2023'!$L$2=BL309),'2023DATA'!$G$19,"")</f>
        <v/>
      </c>
      <c r="BM326" s="518" t="str">
        <f>IF(AND(_AC4="B-757",'2023'!$L$4="CA",'2023'!$L$2=BM309),'2023DATA'!$H$19,"")</f>
        <v/>
      </c>
      <c r="BN326" s="518" t="str">
        <f>IF(AND(_AC4="B-757",'2023'!$L$4="CA",'2023'!$L$2=BN309),'2023DATA'!$I$19,"")</f>
        <v/>
      </c>
      <c r="BO326" s="518" t="str">
        <f>IF(AND(_AC4="B-757",'2023'!$L$4="CA",'2023'!$L$2=BO309),'2023DATA'!$J$19,"")</f>
        <v/>
      </c>
      <c r="BP326" s="518" t="str">
        <f>IF(AND(_AC4="B-757",'2023'!$L$4="CA",'2023'!$L$2=BP309),'2023DATA'!$K$19,"")</f>
        <v/>
      </c>
      <c r="BQ326" s="518" t="str">
        <f>IF(AND(_AC4="B-757",'2023'!$L$4="CA",'2023'!$L$2=BQ309),'2023DATA'!$L$19,"")</f>
        <v/>
      </c>
      <c r="BR326" s="518" t="str">
        <f>IF(AND(_AC4="B-757",'2023'!$L$4="CA",'2023'!$L$2=BR309),'2023DATA'!$M$19,"")</f>
        <v/>
      </c>
      <c r="BS326" s="520" t="str">
        <f>IF(AND(_AC4="B-757",'2023'!$L$4="CA",'2023'!$L$2=BS309),'2023DATA'!$N$19,"")</f>
        <v/>
      </c>
      <c r="BT326" s="940" t="s">
        <v>45</v>
      </c>
      <c r="BU326" s="13" t="s">
        <v>61</v>
      </c>
      <c r="BV326" s="518" t="str">
        <f>IF(AND(_AC5="B-757",'2023'!$L$4="CA",'2023'!$L$2=BV309),'2023DATA'!$C$19,"")</f>
        <v/>
      </c>
      <c r="BW326" s="518" t="str">
        <f>IF(AND(_AC5="B-757",'2023'!$L$4="CA",'2023'!$L$2=BW309),'2023DATA'!$D$19,"")</f>
        <v/>
      </c>
      <c r="BX326" s="518" t="str">
        <f>IF(AND(_AC5="B-757",'2023'!$L$4="CA",'2023'!$L$2=BX309),'2023DATA'!$E$19,"")</f>
        <v/>
      </c>
      <c r="BY326" s="518" t="str">
        <f>IF(AND(_AC5="B-757",'2023'!$L$4="CA",'2023'!$L$2=BY309),'2023DATA'!$F$19,"")</f>
        <v/>
      </c>
      <c r="BZ326" s="518" t="str">
        <f>IF(AND(_AC5="B-757",'2023'!$L$4="CA",'2023'!$L$2=BZ309),'2023DATA'!$G$19,"")</f>
        <v/>
      </c>
      <c r="CA326" s="518" t="str">
        <f>IF(AND(_AC5="B-757",'2023'!$L$4="CA",'2023'!$L$2=CA309),'2023DATA'!$H$19,"")</f>
        <v/>
      </c>
      <c r="CB326" s="518" t="str">
        <f>IF(AND(_AC5="B-757",'2023'!$L$4="CA",'2023'!$L$2=CB309),'2023DATA'!$I$19,"")</f>
        <v/>
      </c>
      <c r="CC326" s="518" t="str">
        <f>IF(AND(_AC5="B-757",'2023'!$L$4="CA",'2023'!$L$2=CC309),'2023DATA'!$J$19,"")</f>
        <v/>
      </c>
      <c r="CD326" s="518" t="str">
        <f>IF(AND(_AC5="B-757",'2023'!$L$4="CA",'2023'!$L$2=CD309),'2023DATA'!$K$19,"")</f>
        <v/>
      </c>
      <c r="CE326" s="518" t="str">
        <f>IF(AND(_AC5="B-757",'2023'!$L$4="CA",'2023'!$L$2=CE309),'2023DATA'!$L$19,"")</f>
        <v/>
      </c>
      <c r="CF326" s="518" t="str">
        <f>IF(AND(_AC5="B-757",'2023'!$L$4="CA",'2023'!$L$2=CF309),'2023DATA'!$M$19,"")</f>
        <v/>
      </c>
      <c r="CG326" s="520" t="str">
        <f>IF(AND(_AC5="B-757",'2023'!$L$4="CA",'2023'!$L$2=CG309),'2023DATA'!$N$19,"")</f>
        <v/>
      </c>
      <c r="CH326" s="940" t="s">
        <v>45</v>
      </c>
      <c r="CI326" s="13" t="s">
        <v>61</v>
      </c>
      <c r="CJ326" s="518" t="str">
        <f>IF(AND(_AC6="B-757",'2023'!$L$4="CA",'2023'!$L$2=CJ309),'2023DATA'!$C$19,"")</f>
        <v/>
      </c>
      <c r="CK326" s="518" t="str">
        <f>IF(AND(_AC6="B-757",'2023'!$L$4="CA",'2023'!$L$2=CK309),'2023DATA'!$D$19,"")</f>
        <v/>
      </c>
      <c r="CL326" s="518" t="str">
        <f>IF(AND(_AC6="B-757",'2023'!$L$4="CA",'2023'!$L$2=CL309),'2023DATA'!$E$19,"")</f>
        <v/>
      </c>
      <c r="CM326" s="518" t="str">
        <f>IF(AND(_AC6="B-757",'2023'!$L$4="CA",'2023'!$L$2=CM309),'2023DATA'!$F$19,"")</f>
        <v/>
      </c>
      <c r="CN326" s="518" t="str">
        <f>IF(AND(_AC6="B-757",'2023'!$L$4="CA",'2023'!$L$2=CN309),'2023DATA'!$G$19,"")</f>
        <v/>
      </c>
      <c r="CO326" s="518" t="str">
        <f>IF(AND(_AC6="B-757",'2023'!$L$4="CA",'2023'!$L$2=CO309),'2023DATA'!$H$19,"")</f>
        <v/>
      </c>
      <c r="CP326" s="518" t="str">
        <f>IF(AND(_AC6="B-757",'2023'!$L$4="CA",'2023'!$L$2=CP309),'2023DATA'!$I$19,"")</f>
        <v/>
      </c>
      <c r="CQ326" s="518" t="str">
        <f>IF(AND(_AC6="B-757",'2023'!$L$4="CA",'2023'!$L$2=CQ309),'2023DATA'!$J$19,"")</f>
        <v/>
      </c>
      <c r="CR326" s="518" t="str">
        <f>IF(AND(_AC6="B-757",'2023'!$L$4="CA",'2023'!$L$2=CR309),'2023DATA'!$K$19,"")</f>
        <v/>
      </c>
      <c r="CS326" s="518" t="str">
        <f>IF(AND(_AC6="B-757",'2023'!$L$4="CA",'2023'!$L$2=CS309),'2023DATA'!$L$19,"")</f>
        <v/>
      </c>
      <c r="CT326" s="518" t="str">
        <f>IF(AND(_AC6="B-757",'2023'!$L$4="CA",'2023'!$L$2=CT309),'2023DATA'!$M$19,"")</f>
        <v/>
      </c>
      <c r="CU326" s="520" t="str">
        <f>IF(AND(_AC6="B-757",'2023'!$L$4="CA",'2023'!$L$2=CU309),'2023DATA'!$N$19,"")</f>
        <v/>
      </c>
    </row>
    <row r="327" spans="16:99" x14ac:dyDescent="0.25">
      <c r="P327" s="940"/>
      <c r="Q327" s="13" t="s">
        <v>62</v>
      </c>
      <c r="R327" s="518" t="str">
        <f>IF(AND(_AC1="B-757",'2023'!$L$4="FO",'2023'!$L$2=R309),'2023DATA'!$C$20,"")</f>
        <v/>
      </c>
      <c r="S327" s="518" t="str">
        <f>IF(AND(_AC1="B-757",'2023'!$L$4="FO",'2023'!$L$2=S309),'2023DATA'!$D$20,"")</f>
        <v/>
      </c>
      <c r="T327" s="518" t="str">
        <f>IF(AND(_AC1="B-757",'2023'!$L$4="FO",'2023'!$L$2=T309),'2023DATA'!$E$20,"")</f>
        <v/>
      </c>
      <c r="U327" s="518" t="str">
        <f>IF(AND(_AC1="B-757",'2023'!$L$4="FO",'2023'!$L$2=U309),'2023DATA'!$F$20,"")</f>
        <v/>
      </c>
      <c r="V327" s="518" t="str">
        <f>IF(AND(_AC1="B-757",'2023'!$L$4="FO",'2023'!$L$2=V309),'2023DATA'!$G$20,"")</f>
        <v/>
      </c>
      <c r="W327" s="518" t="str">
        <f>IF(AND(_AC1="B-757",'2023'!$L$4="FO",'2023'!$L$2=W309),'2023DATA'!$H$20,"")</f>
        <v/>
      </c>
      <c r="X327" s="518" t="str">
        <f>IF(AND(_AC1="B-757",'2023'!$L$4="FO",'2023'!$L$2=X309),'2023DATA'!$I$20,"")</f>
        <v/>
      </c>
      <c r="Y327" s="518" t="str">
        <f>IF(AND(_AC1="B-757",'2023'!$L$4="FO",'2023'!$L$2=Y309),'2023DATA'!$J$20,"")</f>
        <v/>
      </c>
      <c r="Z327" s="518" t="str">
        <f>IF(AND(_AC1="B-757",'2023'!$L$4="FO",'2023'!$L$2=Z309),'2023DATA'!$K$20,"")</f>
        <v/>
      </c>
      <c r="AA327" s="518" t="str">
        <f>IF(AND(_AC1="B-757",'2023'!$L$4="FO",'2023'!$L$2=AA309),'2023DATA'!$L$20,"")</f>
        <v/>
      </c>
      <c r="AB327" s="518" t="str">
        <f>IF(AND(_AC1="B-757",'2023'!$L$4="FO",'2023'!$L$2=AB309),'2023DATA'!$M$20,"")</f>
        <v/>
      </c>
      <c r="AC327" s="520" t="str">
        <f>IF(AND(_AC1="B-757",'2023'!$L$4="FO",'2023'!$L$2=AC309),'2023DATA'!$N$20,"")</f>
        <v/>
      </c>
      <c r="AD327" s="940"/>
      <c r="AE327" s="13" t="s">
        <v>62</v>
      </c>
      <c r="AF327" s="518" t="str">
        <f>IF(AND(_AC2="B-757",'2023'!$L$4="FO",'2023'!$L$2=AF309),'2023DATA'!$C$20,"")</f>
        <v/>
      </c>
      <c r="AG327" s="518" t="str">
        <f>IF(AND(_AC2="B-757",'2023'!$L$4="FO",'2023'!$L$2=AG309),'2023DATA'!$D$20,"")</f>
        <v/>
      </c>
      <c r="AH327" s="518" t="str">
        <f>IF(AND(_AC2="B-757",'2023'!$L$4="FO",'2023'!$L$2=AH309),'2023DATA'!$E$20,"")</f>
        <v/>
      </c>
      <c r="AI327" s="518" t="str">
        <f>IF(AND(_AC2="B-757",'2023'!$L$4="FO",'2023'!$L$2=AI309),'2023DATA'!$F$20,"")</f>
        <v/>
      </c>
      <c r="AJ327" s="518" t="str">
        <f>IF(AND(_AC2="B-757",'2023'!$L$4="FO",'2023'!$L$2=AJ309),'2023DATA'!$G$20,"")</f>
        <v/>
      </c>
      <c r="AK327" s="518" t="str">
        <f>IF(AND(_AC2="B-757",'2023'!$L$4="FO",'2023'!$L$2=AK309),'2023DATA'!$H$20,"")</f>
        <v/>
      </c>
      <c r="AL327" s="518" t="str">
        <f>IF(AND(_AC2="B-757",'2023'!$L$4="FO",'2023'!$L$2=AL309),'2023DATA'!$I$20,"")</f>
        <v/>
      </c>
      <c r="AM327" s="518" t="str">
        <f>IF(AND(_AC2="B-757",'2023'!$L$4="FO",'2023'!$L$2=AM309),'2023DATA'!$J$20,"")</f>
        <v/>
      </c>
      <c r="AN327" s="518" t="str">
        <f>IF(AND(_AC2="B-757",'2023'!$L$4="FO",'2023'!$L$2=AN309),'2023DATA'!$K$20,"")</f>
        <v/>
      </c>
      <c r="AO327" s="518" t="str">
        <f>IF(AND(_AC2="B-757",'2023'!$L$4="FO",'2023'!$L$2=AO309),'2023DATA'!$L$20,"")</f>
        <v/>
      </c>
      <c r="AP327" s="518" t="str">
        <f>IF(AND(_AC2="B-757",'2023'!$L$4="FO",'2023'!$L$2=AP309),'2023DATA'!$M$20,"")</f>
        <v/>
      </c>
      <c r="AQ327" s="520" t="str">
        <f>IF(AND(_AC2="B-757",'2023'!$L$4="FO",'2023'!$L$2=AQ309),'2023DATA'!$N$20,"")</f>
        <v/>
      </c>
      <c r="AR327" s="940"/>
      <c r="AS327" s="13" t="s">
        <v>62</v>
      </c>
      <c r="AT327" s="518" t="str">
        <f>IF(AND(_AC3="B-757",'2023'!$L$4="FO",'2023'!$L$2=AT309),'2023DATA'!$C$20,"")</f>
        <v/>
      </c>
      <c r="AU327" s="518" t="str">
        <f>IF(AND(_AC3="B-757",'2023'!$L$4="FO",'2023'!$L$2=AU309),'2023DATA'!$D$20,"")</f>
        <v/>
      </c>
      <c r="AV327" s="518" t="str">
        <f>IF(AND(_AC3="B-757",'2023'!$L$4="FO",'2023'!$L$2=AV309),'2023DATA'!$E$20,"")</f>
        <v/>
      </c>
      <c r="AW327" s="518" t="str">
        <f>IF(AND(_AC3="B-757",'2023'!$L$4="FO",'2023'!$L$2=AW309),'2023DATA'!$F$20,"")</f>
        <v/>
      </c>
      <c r="AX327" s="518" t="str">
        <f>IF(AND(_AC3="B-757",'2023'!$L$4="FO",'2023'!$L$2=AX309),'2023DATA'!$G$20,"")</f>
        <v/>
      </c>
      <c r="AY327" s="518" t="str">
        <f>IF(AND(_AC3="B-757",'2023'!$L$4="FO",'2023'!$L$2=AY309),'2023DATA'!$H$20,"")</f>
        <v/>
      </c>
      <c r="AZ327" s="518" t="str">
        <f>IF(AND(_AC3="B-757",'2023'!$L$4="FO",'2023'!$L$2=AZ309),'2023DATA'!$I$20,"")</f>
        <v/>
      </c>
      <c r="BA327" s="518" t="str">
        <f>IF(AND(_AC3="B-757",'2023'!$L$4="FO",'2023'!$L$2=BA309),'2023DATA'!$J$20,"")</f>
        <v/>
      </c>
      <c r="BB327" s="518" t="str">
        <f>IF(AND(_AC3="B-757",'2023'!$L$4="FO",'2023'!$L$2=BB309),'2023DATA'!$K$20,"")</f>
        <v/>
      </c>
      <c r="BC327" s="518" t="str">
        <f>IF(AND(_AC3="B-757",'2023'!$L$4="FO",'2023'!$L$2=BC309),'2023DATA'!$L$20,"")</f>
        <v/>
      </c>
      <c r="BD327" s="518" t="str">
        <f>IF(AND(_AC3="B-757",'2023'!$L$4="FO",'2023'!$L$2=BD309),'2023DATA'!$M$20,"")</f>
        <v/>
      </c>
      <c r="BE327" s="520" t="str">
        <f>IF(AND(_AC3="B-757",'2023'!$L$4="FO",'2023'!$L$2=BE309),'2023DATA'!$N$20,"")</f>
        <v/>
      </c>
      <c r="BF327" s="940"/>
      <c r="BG327" s="13" t="s">
        <v>62</v>
      </c>
      <c r="BH327" s="518" t="str">
        <f>IF(AND(_AC4="B-757",'2023'!$L$4="FO",'2023'!$L$2=BH309),'2023DATA'!$C$20,"")</f>
        <v/>
      </c>
      <c r="BI327" s="518" t="str">
        <f>IF(AND(_AC4="B-757",'2023'!$L$4="FO",'2023'!$L$2=BI309),'2023DATA'!$D$20,"")</f>
        <v/>
      </c>
      <c r="BJ327" s="518" t="str">
        <f>IF(AND(_AC4="B-757",'2023'!$L$4="FO",'2023'!$L$2=BJ309),'2023DATA'!$E$20,"")</f>
        <v/>
      </c>
      <c r="BK327" s="518" t="str">
        <f>IF(AND(_AC4="B-757",'2023'!$L$4="FO",'2023'!$L$2=BK309),'2023DATA'!$F$20,"")</f>
        <v/>
      </c>
      <c r="BL327" s="518" t="str">
        <f>IF(AND(_AC4="B-757",'2023'!$L$4="FO",'2023'!$L$2=BL309),'2023DATA'!$G$20,"")</f>
        <v/>
      </c>
      <c r="BM327" s="518" t="str">
        <f>IF(AND(_AC4="B-757",'2023'!$L$4="FO",'2023'!$L$2=BM309),'2023DATA'!$H$20,"")</f>
        <v/>
      </c>
      <c r="BN327" s="518" t="str">
        <f>IF(AND(_AC4="B-757",'2023'!$L$4="FO",'2023'!$L$2=BN309),'2023DATA'!$I$20,"")</f>
        <v/>
      </c>
      <c r="BO327" s="518" t="str">
        <f>IF(AND(_AC4="B-757",'2023'!$L$4="FO",'2023'!$L$2=BO309),'2023DATA'!$J$20,"")</f>
        <v/>
      </c>
      <c r="BP327" s="518" t="str">
        <f>IF(AND(_AC4="B-757",'2023'!$L$4="FO",'2023'!$L$2=BP309),'2023DATA'!$K$20,"")</f>
        <v/>
      </c>
      <c r="BQ327" s="518" t="str">
        <f>IF(AND(_AC4="B-757",'2023'!$L$4="FO",'2023'!$L$2=BQ309),'2023DATA'!$L$20,"")</f>
        <v/>
      </c>
      <c r="BR327" s="518" t="str">
        <f>IF(AND(_AC4="B-757",'2023'!$L$4="FO",'2023'!$L$2=BR309),'2023DATA'!$M$20,"")</f>
        <v/>
      </c>
      <c r="BS327" s="520" t="str">
        <f>IF(AND(_AC4="B-757",'2023'!$L$4="FO",'2023'!$L$2=BS309),'2023DATA'!$N$20,"")</f>
        <v/>
      </c>
      <c r="BT327" s="940"/>
      <c r="BU327" s="13" t="s">
        <v>62</v>
      </c>
      <c r="BV327" s="518" t="str">
        <f>IF(AND(_AC5="B-757",'2023'!$L$4="FO",'2023'!$L$2=BV309),'2023DATA'!$C$20,"")</f>
        <v/>
      </c>
      <c r="BW327" s="518" t="str">
        <f>IF(AND(_AC5="B-757",'2023'!$L$4="FO",'2023'!$L$2=BW309),'2023DATA'!$D$20,"")</f>
        <v/>
      </c>
      <c r="BX327" s="518" t="str">
        <f>IF(AND(_AC5="B-757",'2023'!$L$4="FO",'2023'!$L$2=BX309),'2023DATA'!$E$20,"")</f>
        <v/>
      </c>
      <c r="BY327" s="518" t="str">
        <f>IF(AND(_AC5="B-757",'2023'!$L$4="FO",'2023'!$L$2=BY309),'2023DATA'!$F$20,"")</f>
        <v/>
      </c>
      <c r="BZ327" s="518" t="str">
        <f>IF(AND(_AC5="B-757",'2023'!$L$4="FO",'2023'!$L$2=BZ309),'2023DATA'!$G$20,"")</f>
        <v/>
      </c>
      <c r="CA327" s="518" t="str">
        <f>IF(AND(_AC5="B-757",'2023'!$L$4="FO",'2023'!$L$2=CA309),'2023DATA'!$H$20,"")</f>
        <v/>
      </c>
      <c r="CB327" s="518" t="str">
        <f>IF(AND(_AC5="B-757",'2023'!$L$4="FO",'2023'!$L$2=CB309),'2023DATA'!$I$20,"")</f>
        <v/>
      </c>
      <c r="CC327" s="518" t="str">
        <f>IF(AND(_AC5="B-757",'2023'!$L$4="FO",'2023'!$L$2=CC309),'2023DATA'!$J$20,"")</f>
        <v/>
      </c>
      <c r="CD327" s="518" t="str">
        <f>IF(AND(_AC5="B-757",'2023'!$L$4="FO",'2023'!$L$2=CD309),'2023DATA'!$K$20,"")</f>
        <v/>
      </c>
      <c r="CE327" s="518" t="str">
        <f>IF(AND(_AC5="B-757",'2023'!$L$4="FO",'2023'!$L$2=CE309),'2023DATA'!$L$20,"")</f>
        <v/>
      </c>
      <c r="CF327" s="518" t="str">
        <f>IF(AND(_AC5="B-757",'2023'!$L$4="FO",'2023'!$L$2=CF309),'2023DATA'!$M$20,"")</f>
        <v/>
      </c>
      <c r="CG327" s="520" t="str">
        <f>IF(AND(_AC5="B-757",'2023'!$L$4="FO",'2023'!$L$2=CG309),'2023DATA'!$N$20,"")</f>
        <v/>
      </c>
      <c r="CH327" s="940"/>
      <c r="CI327" s="13" t="s">
        <v>62</v>
      </c>
      <c r="CJ327" s="518" t="str">
        <f>IF(AND(_AC6="B-757",'2023'!$L$4="FO",'2023'!$L$2=CJ309),'2023DATA'!$C$20,"")</f>
        <v/>
      </c>
      <c r="CK327" s="518" t="str">
        <f>IF(AND(_AC6="B-757",'2023'!$L$4="FO",'2023'!$L$2=CK309),'2023DATA'!$D$20,"")</f>
        <v/>
      </c>
      <c r="CL327" s="518" t="str">
        <f>IF(AND(_AC6="B-757",'2023'!$L$4="FO",'2023'!$L$2=CL309),'2023DATA'!$E$20,"")</f>
        <v/>
      </c>
      <c r="CM327" s="518" t="str">
        <f>IF(AND(_AC6="B-757",'2023'!$L$4="FO",'2023'!$L$2=CM309),'2023DATA'!$F$20,"")</f>
        <v/>
      </c>
      <c r="CN327" s="518" t="str">
        <f>IF(AND(_AC6="B-757",'2023'!$L$4="FO",'2023'!$L$2=CN309),'2023DATA'!$G$20,"")</f>
        <v/>
      </c>
      <c r="CO327" s="518" t="str">
        <f>IF(AND(_AC6="B-757",'2023'!$L$4="FO",'2023'!$L$2=CO309),'2023DATA'!$H$20,"")</f>
        <v/>
      </c>
      <c r="CP327" s="518" t="str">
        <f>IF(AND(_AC6="B-757",'2023'!$L$4="FO",'2023'!$L$2=CP309),'2023DATA'!$I$20,"")</f>
        <v/>
      </c>
      <c r="CQ327" s="518" t="str">
        <f>IF(AND(_AC6="B-757",'2023'!$L$4="FO",'2023'!$L$2=CQ309),'2023DATA'!$J$20,"")</f>
        <v/>
      </c>
      <c r="CR327" s="518" t="str">
        <f>IF(AND(_AC6="B-757",'2023'!$L$4="FO",'2023'!$L$2=CR309),'2023DATA'!$K$20,"")</f>
        <v/>
      </c>
      <c r="CS327" s="518" t="str">
        <f>IF(AND(_AC6="B-757",'2023'!$L$4="FO",'2023'!$L$2=CS309),'2023DATA'!$L$20,"")</f>
        <v/>
      </c>
      <c r="CT327" s="518" t="str">
        <f>IF(AND(_AC6="B-757",'2023'!$L$4="FO",'2023'!$L$2=CT309),'2023DATA'!$M$20,"")</f>
        <v/>
      </c>
      <c r="CU327" s="520" t="str">
        <f>IF(AND(_AC6="B-757",'2023'!$L$4="FO",'2023'!$L$2=CU309),'2023DATA'!$N$20,"")</f>
        <v/>
      </c>
    </row>
    <row r="328" spans="16:99" x14ac:dyDescent="0.25">
      <c r="P328" s="940" t="s">
        <v>47</v>
      </c>
      <c r="Q328" s="13" t="s">
        <v>61</v>
      </c>
      <c r="R328" s="518" t="str">
        <f>IF(AND(_AC1="B-737-900",'2023'!$L$4="CA",'2023'!$L$2=R309),'2023DATA'!$C$21,"")</f>
        <v/>
      </c>
      <c r="S328" s="518" t="str">
        <f>IF(AND(_AC1="B-737-900",'2023'!$L$4="CA",'2023'!$L$2=S309),'2023DATA'!$D$21,"")</f>
        <v/>
      </c>
      <c r="T328" s="518" t="str">
        <f>IF(AND(_AC1="B-737-900",'2023'!$L$4="CA",'2023'!$L$2=T309),'2023DATA'!$E$21,"")</f>
        <v/>
      </c>
      <c r="U328" s="518" t="str">
        <f>IF(AND(_AC1="B-737-900",'2023'!$L$4="CA",'2023'!$L$2=U309),'2023DATA'!$F$21,"")</f>
        <v/>
      </c>
      <c r="V328" s="518" t="str">
        <f>IF(AND(_AC1="B-737-900",'2023'!$L$4="CA",'2023'!$L$2=V309),'2023DATA'!$G$21,"")</f>
        <v/>
      </c>
      <c r="W328" s="518" t="str">
        <f>IF(AND(_AC1="B-737-900",'2023'!$L$4="CA",'2023'!$L$2=W309),'2023DATA'!$H$21,"")</f>
        <v/>
      </c>
      <c r="X328" s="518" t="str">
        <f>IF(AND(_AC1="B-737-900",'2023'!$L$4="CA",'2023'!$L$2=X309),'2023DATA'!$I$21,"")</f>
        <v/>
      </c>
      <c r="Y328" s="518" t="str">
        <f>IF(AND(_AC1="B-737-900",'2023'!$L$4="CA",'2023'!$L$2=Y309),'2023DATA'!$J$21,"")</f>
        <v/>
      </c>
      <c r="Z328" s="518" t="str">
        <f>IF(AND(_AC1="B-737-900",'2023'!$L$4="CA",'2023'!$L$2=Z309),'2023DATA'!$K$21,"")</f>
        <v/>
      </c>
      <c r="AA328" s="518" t="str">
        <f>IF(AND(_AC1="B-737-900",'2023'!$L$4="CA",'2023'!$L$2=AA309),'2023DATA'!$L$21,"")</f>
        <v/>
      </c>
      <c r="AB328" s="518" t="str">
        <f>IF(AND(_AC1="B-737-900",'2023'!$L$4="CA",'2023'!$L$2=AB309),'2023DATA'!$M$21,"")</f>
        <v/>
      </c>
      <c r="AC328" s="520" t="str">
        <f>IF(AND(_AC1="B-737-900",'2023'!$L$4="CA",'2023'!$L$2=AC309),'2023DATA'!$N$21,"")</f>
        <v/>
      </c>
      <c r="AD328" s="940" t="s">
        <v>47</v>
      </c>
      <c r="AE328" s="13" t="s">
        <v>61</v>
      </c>
      <c r="AF328" s="518" t="str">
        <f>IF(AND(_AC2="B-737-900",'2023'!$L$4="CA",'2023'!$L$2=AF309),'2023DATA'!$C$21,"")</f>
        <v/>
      </c>
      <c r="AG328" s="518" t="str">
        <f>IF(AND(_AC2="B-737-900",'2023'!$L$4="CA",'2023'!$L$2=AG309),'2023DATA'!$D$21,"")</f>
        <v/>
      </c>
      <c r="AH328" s="518" t="str">
        <f>IF(AND(_AC2="B-737-900",'2023'!$L$4="CA",'2023'!$L$2=AH309),'2023DATA'!$E$21,"")</f>
        <v/>
      </c>
      <c r="AI328" s="518" t="str">
        <f>IF(AND(_AC2="B-737-900",'2023'!$L$4="CA",'2023'!$L$2=AI309),'2023DATA'!$F$21,"")</f>
        <v/>
      </c>
      <c r="AJ328" s="518" t="str">
        <f>IF(AND(_AC2="B-737-900",'2023'!$L$4="CA",'2023'!$L$2=AJ309),'2023DATA'!$G$21,"")</f>
        <v/>
      </c>
      <c r="AK328" s="518" t="str">
        <f>IF(AND(_AC2="B-737-900",'2023'!$L$4="CA",'2023'!$L$2=AK309),'2023DATA'!$H$21,"")</f>
        <v/>
      </c>
      <c r="AL328" s="518" t="str">
        <f>IF(AND(_AC2="B-737-900",'2023'!$L$4="CA",'2023'!$L$2=AL309),'2023DATA'!$I$21,"")</f>
        <v/>
      </c>
      <c r="AM328" s="518" t="str">
        <f>IF(AND(_AC2="B-737-900",'2023'!$L$4="CA",'2023'!$L$2=AM309),'2023DATA'!$J$21,"")</f>
        <v/>
      </c>
      <c r="AN328" s="518" t="str">
        <f>IF(AND(_AC2="B-737-900",'2023'!$L$4="CA",'2023'!$L$2=AN309),'2023DATA'!$K$21,"")</f>
        <v/>
      </c>
      <c r="AO328" s="518" t="str">
        <f>IF(AND(_AC2="B-737-900",'2023'!$L$4="CA",'2023'!$L$2=AO309),'2023DATA'!$L$21,"")</f>
        <v/>
      </c>
      <c r="AP328" s="518" t="str">
        <f>IF(AND(_AC2="B-737-900",'2023'!$L$4="CA",'2023'!$L$2=AP309),'2023DATA'!$M$21,"")</f>
        <v/>
      </c>
      <c r="AQ328" s="520" t="str">
        <f>IF(AND(_AC2="B-737-900",'2023'!$L$4="CA",'2023'!$L$2=AQ309),'2023DATA'!$N$21,"")</f>
        <v/>
      </c>
      <c r="AR328" s="940" t="s">
        <v>47</v>
      </c>
      <c r="AS328" s="13" t="s">
        <v>61</v>
      </c>
      <c r="AT328" s="518" t="str">
        <f>IF(AND(_AC3="B-737-900",'2023'!$L$4="CA",'2023'!$L$2=AT309),'2023DATA'!$C$21,"")</f>
        <v/>
      </c>
      <c r="AU328" s="518" t="str">
        <f>IF(AND(_AC3="B-737-900",'2023'!$L$4="CA",'2023'!$L$2=AU309),'2023DATA'!$D$21,"")</f>
        <v/>
      </c>
      <c r="AV328" s="518" t="str">
        <f>IF(AND(_AC3="B-737-900",'2023'!$L$4="CA",'2023'!$L$2=AV309),'2023DATA'!$E$21,"")</f>
        <v/>
      </c>
      <c r="AW328" s="518" t="str">
        <f>IF(AND(_AC3="B-737-900",'2023'!$L$4="CA",'2023'!$L$2=AW309),'2023DATA'!$F$21,"")</f>
        <v/>
      </c>
      <c r="AX328" s="518" t="str">
        <f>IF(AND(_AC3="B-737-900",'2023'!$L$4="CA",'2023'!$L$2=AX309),'2023DATA'!$G$21,"")</f>
        <v/>
      </c>
      <c r="AY328" s="518" t="str">
        <f>IF(AND(_AC3="B-737-900",'2023'!$L$4="CA",'2023'!$L$2=AY309),'2023DATA'!$H$21,"")</f>
        <v/>
      </c>
      <c r="AZ328" s="518" t="str">
        <f>IF(AND(_AC3="B-737-900",'2023'!$L$4="CA",'2023'!$L$2=AZ309),'2023DATA'!$I$21,"")</f>
        <v/>
      </c>
      <c r="BA328" s="518" t="str">
        <f>IF(AND(_AC3="B-737-900",'2023'!$L$4="CA",'2023'!$L$2=BA309),'2023DATA'!$J$21,"")</f>
        <v/>
      </c>
      <c r="BB328" s="518" t="str">
        <f>IF(AND(_AC3="B-737-900",'2023'!$L$4="CA",'2023'!$L$2=BB309),'2023DATA'!$K$21,"")</f>
        <v/>
      </c>
      <c r="BC328" s="518" t="str">
        <f>IF(AND(_AC3="B-737-900",'2023'!$L$4="CA",'2023'!$L$2=BC309),'2023DATA'!$L$21,"")</f>
        <v/>
      </c>
      <c r="BD328" s="518" t="str">
        <f>IF(AND(_AC3="B-737-900",'2023'!$L$4="CA",'2023'!$L$2=BD309),'2023DATA'!$M$21,"")</f>
        <v/>
      </c>
      <c r="BE328" s="520" t="str">
        <f>IF(AND(_AC3="B-737-900",'2023'!$L$4="CA",'2023'!$L$2=BE309),'2023DATA'!$N$21,"")</f>
        <v/>
      </c>
      <c r="BF328" s="940" t="s">
        <v>47</v>
      </c>
      <c r="BG328" s="13" t="s">
        <v>61</v>
      </c>
      <c r="BH328" s="518" t="str">
        <f>IF(AND(_AC4="B-737-900",'2023'!$L$4="CA",'2023'!$L$2=BH309),'2023DATA'!$C$21,"")</f>
        <v/>
      </c>
      <c r="BI328" s="518" t="str">
        <f>IF(AND(_AC4="B-737-900",'2023'!$L$4="CA",'2023'!$L$2=BI309),'2023DATA'!$D$21,"")</f>
        <v/>
      </c>
      <c r="BJ328" s="518" t="str">
        <f>IF(AND(_AC4="B-737-900",'2023'!$L$4="CA",'2023'!$L$2=BJ309),'2023DATA'!$E$21,"")</f>
        <v/>
      </c>
      <c r="BK328" s="518" t="str">
        <f>IF(AND(_AC4="B-737-900",'2023'!$L$4="CA",'2023'!$L$2=BK309),'2023DATA'!$F$21,"")</f>
        <v/>
      </c>
      <c r="BL328" s="518" t="str">
        <f>IF(AND(_AC4="B-737-900",'2023'!$L$4="CA",'2023'!$L$2=BL309),'2023DATA'!$G$21,"")</f>
        <v/>
      </c>
      <c r="BM328" s="518" t="str">
        <f>IF(AND(_AC4="B-737-900",'2023'!$L$4="CA",'2023'!$L$2=BM309),'2023DATA'!$H$21,"")</f>
        <v/>
      </c>
      <c r="BN328" s="518" t="str">
        <f>IF(AND(_AC4="B-737-900",'2023'!$L$4="CA",'2023'!$L$2=BN309),'2023DATA'!$I$21,"")</f>
        <v/>
      </c>
      <c r="BO328" s="518" t="str">
        <f>IF(AND(_AC4="B-737-900",'2023'!$L$4="CA",'2023'!$L$2=BO309),'2023DATA'!$J$21,"")</f>
        <v/>
      </c>
      <c r="BP328" s="518" t="str">
        <f>IF(AND(_AC4="B-737-900",'2023'!$L$4="CA",'2023'!$L$2=BP309),'2023DATA'!$K$21,"")</f>
        <v/>
      </c>
      <c r="BQ328" s="518" t="str">
        <f>IF(AND(_AC4="B-737-900",'2023'!$L$4="CA",'2023'!$L$2=BQ309),'2023DATA'!$L$21,"")</f>
        <v/>
      </c>
      <c r="BR328" s="518" t="str">
        <f>IF(AND(_AC4="B-737-900",'2023'!$L$4="CA",'2023'!$L$2=BR309),'2023DATA'!$M$21,"")</f>
        <v/>
      </c>
      <c r="BS328" s="520" t="str">
        <f>IF(AND(_AC4="B-737-900",'2023'!$L$4="CA",'2023'!$L$2=BS309),'2023DATA'!$N$21,"")</f>
        <v/>
      </c>
      <c r="BT328" s="940" t="s">
        <v>47</v>
      </c>
      <c r="BU328" s="13" t="s">
        <v>61</v>
      </c>
      <c r="BV328" s="518" t="str">
        <f>IF(AND(_AC5="B-737-900",'2023'!$L$4="CA",'2023'!$L$2=BV309),'2023DATA'!$C$21,"")</f>
        <v/>
      </c>
      <c r="BW328" s="518" t="str">
        <f>IF(AND(_AC5="B-737-900",'2023'!$L$4="CA",'2023'!$L$2=BW309),'2023DATA'!$D$21,"")</f>
        <v/>
      </c>
      <c r="BX328" s="518" t="str">
        <f>IF(AND(_AC5="B-737-900",'2023'!$L$4="CA",'2023'!$L$2=BX309),'2023DATA'!$E$21,"")</f>
        <v/>
      </c>
      <c r="BY328" s="518" t="str">
        <f>IF(AND(_AC5="B-737-900",'2023'!$L$4="CA",'2023'!$L$2=BY309),'2023DATA'!$F$21,"")</f>
        <v/>
      </c>
      <c r="BZ328" s="518" t="str">
        <f>IF(AND(_AC5="B-737-900",'2023'!$L$4="CA",'2023'!$L$2=BZ309),'2023DATA'!$G$21,"")</f>
        <v/>
      </c>
      <c r="CA328" s="518" t="str">
        <f>IF(AND(_AC5="B-737-900",'2023'!$L$4="CA",'2023'!$L$2=CA309),'2023DATA'!$H$21,"")</f>
        <v/>
      </c>
      <c r="CB328" s="518" t="str">
        <f>IF(AND(_AC5="B-737-900",'2023'!$L$4="CA",'2023'!$L$2=CB309),'2023DATA'!$I$21,"")</f>
        <v/>
      </c>
      <c r="CC328" s="518" t="str">
        <f>IF(AND(_AC5="B-737-900",'2023'!$L$4="CA",'2023'!$L$2=CC309),'2023DATA'!$J$21,"")</f>
        <v/>
      </c>
      <c r="CD328" s="518" t="str">
        <f>IF(AND(_AC5="B-737-900",'2023'!$L$4="CA",'2023'!$L$2=CD309),'2023DATA'!$K$21,"")</f>
        <v/>
      </c>
      <c r="CE328" s="518" t="str">
        <f>IF(AND(_AC5="B-737-900",'2023'!$L$4="CA",'2023'!$L$2=CE309),'2023DATA'!$L$21,"")</f>
        <v/>
      </c>
      <c r="CF328" s="518" t="str">
        <f>IF(AND(_AC5="B-737-900",'2023'!$L$4="CA",'2023'!$L$2=CF309),'2023DATA'!$M$21,"")</f>
        <v/>
      </c>
      <c r="CG328" s="520" t="str">
        <f>IF(AND(_AC5="B-737-900",'2023'!$L$4="CA",'2023'!$L$2=CG309),'2023DATA'!$N$21,"")</f>
        <v/>
      </c>
      <c r="CH328" s="940" t="s">
        <v>47</v>
      </c>
      <c r="CI328" s="13" t="s">
        <v>61</v>
      </c>
      <c r="CJ328" s="518" t="str">
        <f>IF(AND(_AC6="B-737-900",'2023'!$L$4="CA",'2023'!$L$2=CJ309),'2023DATA'!$C$21,"")</f>
        <v/>
      </c>
      <c r="CK328" s="518" t="str">
        <f>IF(AND(_AC6="B-737-900",'2023'!$L$4="CA",'2023'!$L$2=CK309),'2023DATA'!$D$21,"")</f>
        <v/>
      </c>
      <c r="CL328" s="518" t="str">
        <f>IF(AND(_AC6="B-737-900",'2023'!$L$4="CA",'2023'!$L$2=CL309),'2023DATA'!$E$21,"")</f>
        <v/>
      </c>
      <c r="CM328" s="518" t="str">
        <f>IF(AND(_AC6="B-737-900",'2023'!$L$4="CA",'2023'!$L$2=CM309),'2023DATA'!$F$21,"")</f>
        <v/>
      </c>
      <c r="CN328" s="518" t="str">
        <f>IF(AND(_AC6="B-737-900",'2023'!$L$4="CA",'2023'!$L$2=CN309),'2023DATA'!$G$21,"")</f>
        <v/>
      </c>
      <c r="CO328" s="518" t="str">
        <f>IF(AND(_AC6="B-737-900",'2023'!$L$4="CA",'2023'!$L$2=CO309),'2023DATA'!$H$21,"")</f>
        <v/>
      </c>
      <c r="CP328" s="518" t="str">
        <f>IF(AND(_AC6="B-737-900",'2023'!$L$4="CA",'2023'!$L$2=CP309),'2023DATA'!$I$21,"")</f>
        <v/>
      </c>
      <c r="CQ328" s="518" t="str">
        <f>IF(AND(_AC6="B-737-900",'2023'!$L$4="CA",'2023'!$L$2=CQ309),'2023DATA'!$J$21,"")</f>
        <v/>
      </c>
      <c r="CR328" s="518" t="str">
        <f>IF(AND(_AC6="B-737-900",'2023'!$L$4="CA",'2023'!$L$2=CR309),'2023DATA'!$K$21,"")</f>
        <v/>
      </c>
      <c r="CS328" s="518" t="str">
        <f>IF(AND(_AC6="B-737-900",'2023'!$L$4="CA",'2023'!$L$2=CS309),'2023DATA'!$L$21,"")</f>
        <v/>
      </c>
      <c r="CT328" s="518" t="str">
        <f>IF(AND(_AC6="B-737-900",'2023'!$L$4="CA",'2023'!$L$2=CT309),'2023DATA'!$M$21,"")</f>
        <v/>
      </c>
      <c r="CU328" s="520" t="str">
        <f>IF(AND(_AC6="B-737-900",'2023'!$L$4="CA",'2023'!$L$2=CU309),'2023DATA'!$N$21,"")</f>
        <v/>
      </c>
    </row>
    <row r="329" spans="16:99" x14ac:dyDescent="0.25">
      <c r="P329" s="940"/>
      <c r="Q329" s="13" t="s">
        <v>62</v>
      </c>
      <c r="R329" s="518" t="str">
        <f>IF(AND(_AC1="B-737-900",'2023'!$L$4="FO",'2023'!$L$2=R309),'2023DATA'!$C$22,"")</f>
        <v/>
      </c>
      <c r="S329" s="518" t="str">
        <f>IF(AND(_AC1="B-737-900",'2023'!$L$4="FO",'2023'!$L$2=S309),'2023DATA'!$D$22,"")</f>
        <v/>
      </c>
      <c r="T329" s="518" t="str">
        <f>IF(AND(_AC1="B-737-900",'2023'!$L$4="FO",'2023'!$L$2=T309),'2023DATA'!$E$22,"")</f>
        <v/>
      </c>
      <c r="U329" s="518" t="str">
        <f>IF(AND(_AC1="B-737-900",'2023'!$L$4="FO",'2023'!$L$2=U309),'2023DATA'!$F$22,"")</f>
        <v/>
      </c>
      <c r="V329" s="518" t="str">
        <f>IF(AND(_AC1="B-737-900",'2023'!$L$4="FO",'2023'!$L$2=V309),'2023DATA'!$G$22,"")</f>
        <v/>
      </c>
      <c r="W329" s="518" t="str">
        <f>IF(AND(_AC1="B-737-900",'2023'!$L$4="FO",'2023'!$L$2=W309),'2023DATA'!$H$22,"")</f>
        <v/>
      </c>
      <c r="X329" s="518" t="str">
        <f>IF(AND(_AC1="B-737-900",'2023'!$L$4="FO",'2023'!$L$2=X309),'2023DATA'!$I$22,"")</f>
        <v/>
      </c>
      <c r="Y329" s="518" t="str">
        <f>IF(AND(_AC1="B-737-900",'2023'!$L$4="FO",'2023'!$L$2=Y309),'2023DATA'!$J$22,"")</f>
        <v/>
      </c>
      <c r="Z329" s="518" t="str">
        <f>IF(AND(_AC1="B-737-900",'2023'!$L$4="FO",'2023'!$L$2=Z309),'2023DATA'!$K$22,"")</f>
        <v/>
      </c>
      <c r="AA329" s="518" t="str">
        <f>IF(AND(_AC1="B-737-900",'2023'!$L$4="FO",'2023'!$L$2=AA309),'2023DATA'!$L$22,"")</f>
        <v/>
      </c>
      <c r="AB329" s="518" t="str">
        <f>IF(AND(_AC1="B-737-900",'2023'!$L$4="FO",'2023'!$L$2=AB309),'2023DATA'!$M$22,"")</f>
        <v/>
      </c>
      <c r="AC329" s="520" t="str">
        <f>IF(AND(_AC1="B-737-900",'2023'!$L$4="FO",'2023'!$L$2=AC309),'2023DATA'!$N$22,"")</f>
        <v/>
      </c>
      <c r="AD329" s="940"/>
      <c r="AE329" s="13" t="s">
        <v>62</v>
      </c>
      <c r="AF329" s="518" t="str">
        <f>IF(AND(_AC2="B-737-900",'2023'!$L$4="FO",'2023'!$L$2=AF309),'2023DATA'!$C$22,"")</f>
        <v/>
      </c>
      <c r="AG329" s="518" t="str">
        <f>IF(AND(_AC2="B-737-900",'2023'!$L$4="FO",'2023'!$L$2=AG309),'2023DATA'!$D$22,"")</f>
        <v/>
      </c>
      <c r="AH329" s="518" t="str">
        <f>IF(AND(_AC2="B-737-900",'2023'!$L$4="FO",'2023'!$L$2=AH309),'2023DATA'!$E$22,"")</f>
        <v/>
      </c>
      <c r="AI329" s="518" t="str">
        <f>IF(AND(_AC2="B-737-900",'2023'!$L$4="FO",'2023'!$L$2=AI309),'2023DATA'!$F$22,"")</f>
        <v/>
      </c>
      <c r="AJ329" s="518" t="str">
        <f>IF(AND(_AC2="B-737-900",'2023'!$L$4="FO",'2023'!$L$2=AJ309),'2023DATA'!$G$22,"")</f>
        <v/>
      </c>
      <c r="AK329" s="518" t="str">
        <f>IF(AND(_AC2="B-737-900",'2023'!$L$4="FO",'2023'!$L$2=AK309),'2023DATA'!$H$22,"")</f>
        <v/>
      </c>
      <c r="AL329" s="518" t="str">
        <f>IF(AND(_AC2="B-737-900",'2023'!$L$4="FO",'2023'!$L$2=AL309),'2023DATA'!$I$22,"")</f>
        <v/>
      </c>
      <c r="AM329" s="518" t="str">
        <f>IF(AND(_AC2="B-737-900",'2023'!$L$4="FO",'2023'!$L$2=AM309),'2023DATA'!$J$22,"")</f>
        <v/>
      </c>
      <c r="AN329" s="518" t="str">
        <f>IF(AND(_AC2="B-737-900",'2023'!$L$4="FO",'2023'!$L$2=AN309),'2023DATA'!$K$22,"")</f>
        <v/>
      </c>
      <c r="AO329" s="518" t="str">
        <f>IF(AND(_AC2="B-737-900",'2023'!$L$4="FO",'2023'!$L$2=AO309),'2023DATA'!$L$22,"")</f>
        <v/>
      </c>
      <c r="AP329" s="518" t="str">
        <f>IF(AND(_AC2="B-737-900",'2023'!$L$4="FO",'2023'!$L$2=AP309),'2023DATA'!$M$22,"")</f>
        <v/>
      </c>
      <c r="AQ329" s="520" t="str">
        <f>IF(AND(_AC2="B-737-900",'2023'!$L$4="FO",'2023'!$L$2=AQ309),'2023DATA'!$N$22,"")</f>
        <v/>
      </c>
      <c r="AR329" s="940"/>
      <c r="AS329" s="13" t="s">
        <v>62</v>
      </c>
      <c r="AT329" s="518" t="str">
        <f>IF(AND(_AC3="B-737-900",'2023'!$L$4="FO",'2023'!$L$2=AT309),'2023DATA'!$C$22,"")</f>
        <v/>
      </c>
      <c r="AU329" s="518" t="str">
        <f>IF(AND(_AC3="B-737-900",'2023'!$L$4="FO",'2023'!$L$2=AU309),'2023DATA'!$D$22,"")</f>
        <v/>
      </c>
      <c r="AV329" s="518" t="str">
        <f>IF(AND(_AC3="B-737-900",'2023'!$L$4="FO",'2023'!$L$2=AV309),'2023DATA'!$E$22,"")</f>
        <v/>
      </c>
      <c r="AW329" s="518" t="str">
        <f>IF(AND(_AC3="B-737-900",'2023'!$L$4="FO",'2023'!$L$2=AW309),'2023DATA'!$F$22,"")</f>
        <v/>
      </c>
      <c r="AX329" s="518" t="str">
        <f>IF(AND(_AC3="B-737-900",'2023'!$L$4="FO",'2023'!$L$2=AX309),'2023DATA'!$G$22,"")</f>
        <v/>
      </c>
      <c r="AY329" s="518" t="str">
        <f>IF(AND(_AC3="B-737-900",'2023'!$L$4="FO",'2023'!$L$2=AY309),'2023DATA'!$H$22,"")</f>
        <v/>
      </c>
      <c r="AZ329" s="518" t="str">
        <f>IF(AND(_AC3="B-737-900",'2023'!$L$4="FO",'2023'!$L$2=AZ309),'2023DATA'!$I$22,"")</f>
        <v/>
      </c>
      <c r="BA329" s="518" t="str">
        <f>IF(AND(_AC3="B-737-900",'2023'!$L$4="FO",'2023'!$L$2=BA309),'2023DATA'!$J$22,"")</f>
        <v/>
      </c>
      <c r="BB329" s="518" t="str">
        <f>IF(AND(_AC3="B-737-900",'2023'!$L$4="FO",'2023'!$L$2=BB309),'2023DATA'!$K$22,"")</f>
        <v/>
      </c>
      <c r="BC329" s="518" t="str">
        <f>IF(AND(_AC3="B-737-900",'2023'!$L$4="FO",'2023'!$L$2=BC309),'2023DATA'!$L$22,"")</f>
        <v/>
      </c>
      <c r="BD329" s="518" t="str">
        <f>IF(AND(_AC3="B-737-900",'2023'!$L$4="FO",'2023'!$L$2=BD309),'2023DATA'!$M$22,"")</f>
        <v/>
      </c>
      <c r="BE329" s="520" t="str">
        <f>IF(AND(_AC3="B-737-900",'2023'!$L$4="FO",'2023'!$L$2=BE309),'2023DATA'!$N$22,"")</f>
        <v/>
      </c>
      <c r="BF329" s="940"/>
      <c r="BG329" s="13" t="s">
        <v>62</v>
      </c>
      <c r="BH329" s="518" t="str">
        <f>IF(AND(_AC4="B-737-900",'2023'!$L$4="FO",'2023'!$L$2=BH309),'2023DATA'!$C$22,"")</f>
        <v/>
      </c>
      <c r="BI329" s="518" t="str">
        <f>IF(AND(_AC4="B-737-900",'2023'!$L$4="FO",'2023'!$L$2=BI309),'2023DATA'!$D$22,"")</f>
        <v/>
      </c>
      <c r="BJ329" s="518" t="str">
        <f>IF(AND(_AC4="B-737-900",'2023'!$L$4="FO",'2023'!$L$2=BJ309),'2023DATA'!$E$22,"")</f>
        <v/>
      </c>
      <c r="BK329" s="518" t="str">
        <f>IF(AND(_AC4="B-737-900",'2023'!$L$4="FO",'2023'!$L$2=BK309),'2023DATA'!$F$22,"")</f>
        <v/>
      </c>
      <c r="BL329" s="518" t="str">
        <f>IF(AND(_AC4="B-737-900",'2023'!$L$4="FO",'2023'!$L$2=BL309),'2023DATA'!$G$22,"")</f>
        <v/>
      </c>
      <c r="BM329" s="518" t="str">
        <f>IF(AND(_AC4="B-737-900",'2023'!$L$4="FO",'2023'!$L$2=BM309),'2023DATA'!$H$22,"")</f>
        <v/>
      </c>
      <c r="BN329" s="518" t="str">
        <f>IF(AND(_AC4="B-737-900",'2023'!$L$4="FO",'2023'!$L$2=BN309),'2023DATA'!$I$22,"")</f>
        <v/>
      </c>
      <c r="BO329" s="518" t="str">
        <f>IF(AND(_AC4="B-737-900",'2023'!$L$4="FO",'2023'!$L$2=BO309),'2023DATA'!$J$22,"")</f>
        <v/>
      </c>
      <c r="BP329" s="518" t="str">
        <f>IF(AND(_AC4="B-737-900",'2023'!$L$4="FO",'2023'!$L$2=BP309),'2023DATA'!$K$22,"")</f>
        <v/>
      </c>
      <c r="BQ329" s="518" t="str">
        <f>IF(AND(_AC4="B-737-900",'2023'!$L$4="FO",'2023'!$L$2=BQ309),'2023DATA'!$L$22,"")</f>
        <v/>
      </c>
      <c r="BR329" s="518" t="str">
        <f>IF(AND(_AC4="B-737-900",'2023'!$L$4="FO",'2023'!$L$2=BR309),'2023DATA'!$M$22,"")</f>
        <v/>
      </c>
      <c r="BS329" s="520" t="str">
        <f>IF(AND(_AC4="B-737-900",'2023'!$L$4="FO",'2023'!$L$2=BS309),'2023DATA'!$N$22,"")</f>
        <v/>
      </c>
      <c r="BT329" s="940"/>
      <c r="BU329" s="13" t="s">
        <v>62</v>
      </c>
      <c r="BV329" s="518" t="str">
        <f>IF(AND(_AC5="B-737-900",'2023'!$L$4="FO",'2023'!$L$2=BV309),'2023DATA'!$C$22,"")</f>
        <v/>
      </c>
      <c r="BW329" s="518" t="str">
        <f>IF(AND(_AC5="B-737-900",'2023'!$L$4="FO",'2023'!$L$2=BW309),'2023DATA'!$D$22,"")</f>
        <v/>
      </c>
      <c r="BX329" s="518" t="str">
        <f>IF(AND(_AC5="B-737-900",'2023'!$L$4="FO",'2023'!$L$2=BX309),'2023DATA'!$E$22,"")</f>
        <v/>
      </c>
      <c r="BY329" s="518" t="str">
        <f>IF(AND(_AC5="B-737-900",'2023'!$L$4="FO",'2023'!$L$2=BY309),'2023DATA'!$F$22,"")</f>
        <v/>
      </c>
      <c r="BZ329" s="518" t="str">
        <f>IF(AND(_AC5="B-737-900",'2023'!$L$4="FO",'2023'!$L$2=BZ309),'2023DATA'!$G$22,"")</f>
        <v/>
      </c>
      <c r="CA329" s="518" t="str">
        <f>IF(AND(_AC5="B-737-900",'2023'!$L$4="FO",'2023'!$L$2=CA309),'2023DATA'!$H$22,"")</f>
        <v/>
      </c>
      <c r="CB329" s="518" t="str">
        <f>IF(AND(_AC5="B-737-900",'2023'!$L$4="FO",'2023'!$L$2=CB309),'2023DATA'!$I$22,"")</f>
        <v/>
      </c>
      <c r="CC329" s="518" t="str">
        <f>IF(AND(_AC5="B-737-900",'2023'!$L$4="FO",'2023'!$L$2=CC309),'2023DATA'!$J$22,"")</f>
        <v/>
      </c>
      <c r="CD329" s="518" t="str">
        <f>IF(AND(_AC5="B-737-900",'2023'!$L$4="FO",'2023'!$L$2=CD309),'2023DATA'!$K$22,"")</f>
        <v/>
      </c>
      <c r="CE329" s="518" t="str">
        <f>IF(AND(_AC5="B-737-900",'2023'!$L$4="FO",'2023'!$L$2=CE309),'2023DATA'!$L$22,"")</f>
        <v/>
      </c>
      <c r="CF329" s="518" t="str">
        <f>IF(AND(_AC5="B-737-900",'2023'!$L$4="FO",'2023'!$L$2=CF309),'2023DATA'!$M$22,"")</f>
        <v/>
      </c>
      <c r="CG329" s="520" t="str">
        <f>IF(AND(_AC5="B-737-900",'2023'!$L$4="FO",'2023'!$L$2=CG309),'2023DATA'!$N$22,"")</f>
        <v/>
      </c>
      <c r="CH329" s="940"/>
      <c r="CI329" s="13" t="s">
        <v>62</v>
      </c>
      <c r="CJ329" s="518" t="str">
        <f>IF(AND(_AC6="B-737-900",'2023'!$L$4="FO",'2023'!$L$2=CJ309),'2023DATA'!$C$22,"")</f>
        <v/>
      </c>
      <c r="CK329" s="518" t="str">
        <f>IF(AND(_AC6="B-737-900",'2023'!$L$4="FO",'2023'!$L$2=CK309),'2023DATA'!$D$22,"")</f>
        <v/>
      </c>
      <c r="CL329" s="518" t="str">
        <f>IF(AND(_AC6="B-737-900",'2023'!$L$4="FO",'2023'!$L$2=CL309),'2023DATA'!$E$22,"")</f>
        <v/>
      </c>
      <c r="CM329" s="518" t="str">
        <f>IF(AND(_AC6="B-737-900",'2023'!$L$4="FO",'2023'!$L$2=CM309),'2023DATA'!$F$22,"")</f>
        <v/>
      </c>
      <c r="CN329" s="518" t="str">
        <f>IF(AND(_AC6="B-737-900",'2023'!$L$4="FO",'2023'!$L$2=CN309),'2023DATA'!$G$22,"")</f>
        <v/>
      </c>
      <c r="CO329" s="518" t="str">
        <f>IF(AND(_AC6="B-737-900",'2023'!$L$4="FO",'2023'!$L$2=CO309),'2023DATA'!$H$22,"")</f>
        <v/>
      </c>
      <c r="CP329" s="518" t="str">
        <f>IF(AND(_AC6="B-737-900",'2023'!$L$4="FO",'2023'!$L$2=CP309),'2023DATA'!$I$22,"")</f>
        <v/>
      </c>
      <c r="CQ329" s="518" t="str">
        <f>IF(AND(_AC6="B-737-900",'2023'!$L$4="FO",'2023'!$L$2=CQ309),'2023DATA'!$J$22,"")</f>
        <v/>
      </c>
      <c r="CR329" s="518" t="str">
        <f>IF(AND(_AC6="B-737-900",'2023'!$L$4="FO",'2023'!$L$2=CR309),'2023DATA'!$K$22,"")</f>
        <v/>
      </c>
      <c r="CS329" s="518" t="str">
        <f>IF(AND(_AC6="B-737-900",'2023'!$L$4="FO",'2023'!$L$2=CS309),'2023DATA'!$L$22,"")</f>
        <v/>
      </c>
      <c r="CT329" s="518" t="str">
        <f>IF(AND(_AC6="B-737-900",'2023'!$L$4="FO",'2023'!$L$2=CT309),'2023DATA'!$M$22,"")</f>
        <v/>
      </c>
      <c r="CU329" s="520" t="str">
        <f>IF(AND(_AC6="B-737-900",'2023'!$L$4="FO",'2023'!$L$2=CU309),'2023DATA'!$N$22,"")</f>
        <v/>
      </c>
    </row>
    <row r="330" spans="16:99" x14ac:dyDescent="0.25">
      <c r="P330" s="940" t="s">
        <v>69</v>
      </c>
      <c r="Q330" s="13" t="s">
        <v>61</v>
      </c>
      <c r="R330" s="518" t="str">
        <f>IF(AND(_AC1="B-737-800",'2023'!$L$4="CA",'2023'!$L$2=R309),'2023DATA'!$C$23,"")</f>
        <v/>
      </c>
      <c r="S330" s="518" t="str">
        <f>IF(AND(_AC1="B-737-800",'2023'!$L$4="CA",'2023'!$L$2=S309),'2023DATA'!$D$23,"")</f>
        <v/>
      </c>
      <c r="T330" s="518" t="str">
        <f>IF(AND(_AC1="B-737-800",'2023'!$L$4="CA",'2023'!$L$2=T309),'2023DATA'!$E$23,"")</f>
        <v/>
      </c>
      <c r="U330" s="518" t="str">
        <f>IF(AND(_AC1="B-737-800",'2023'!$L$4="CA",'2023'!$L$2=U309),'2023DATA'!$F$23,"")</f>
        <v/>
      </c>
      <c r="V330" s="518" t="str">
        <f>IF(AND(_AC1="B-737-800",'2023'!$L$4="CA",'2023'!$L$2=V309),'2023DATA'!$G$23,"")</f>
        <v/>
      </c>
      <c r="W330" s="518" t="str">
        <f>IF(AND(_AC1="B-737-800",'2023'!$L$4="CA",'2023'!$L$2=W309),'2023DATA'!$H$23,"")</f>
        <v/>
      </c>
      <c r="X330" s="518" t="str">
        <f>IF(AND(_AC1="B-737-800",'2023'!$L$4="CA",'2023'!$L$2=X309),'2023DATA'!$I$23,"")</f>
        <v/>
      </c>
      <c r="Y330" s="518" t="str">
        <f>IF(AND(_AC1="B-737-800",'2023'!$L$4="CA",'2023'!$L$2=Y309),'2023DATA'!$J$23,"")</f>
        <v/>
      </c>
      <c r="Z330" s="518" t="str">
        <f>IF(AND(_AC1="B-737-800",'2023'!$L$4="CA",'2023'!$L$2=Z309),'2023DATA'!$K$23,"")</f>
        <v/>
      </c>
      <c r="AA330" s="518" t="str">
        <f>IF(AND(_AC1="B-737-800",'2023'!$L$4="CA",'2023'!$L$2=AA309),'2023DATA'!$L$23,"")</f>
        <v/>
      </c>
      <c r="AB330" s="518" t="str">
        <f>IF(AND(_AC1="B-737-800",'2023'!$L$4="CA",'2023'!$L$2=AB309),'2023DATA'!$M$23,"")</f>
        <v/>
      </c>
      <c r="AC330" s="520" t="str">
        <f>IF(AND(_AC1="B-737-800",'2023'!$L$4="CA",'2023'!$L$2=AC309),'2023DATA'!$N$23,"")</f>
        <v/>
      </c>
      <c r="AD330" s="940" t="s">
        <v>69</v>
      </c>
      <c r="AE330" s="13" t="s">
        <v>61</v>
      </c>
      <c r="AF330" s="518" t="str">
        <f>IF(AND(_AC2="B-737-800",'2023'!$L$4="CA",'2023'!$L$2=AF309),'2023DATA'!$C$23,"")</f>
        <v/>
      </c>
      <c r="AG330" s="518" t="str">
        <f>IF(AND(_AC2="B-737-800",'2023'!$L$4="CA",'2023'!$L$2=AG309),'2023DATA'!$D$23,"")</f>
        <v/>
      </c>
      <c r="AH330" s="518" t="str">
        <f>IF(AND(_AC2="B-737-800",'2023'!$L$4="CA",'2023'!$L$2=AH309),'2023DATA'!$E$23,"")</f>
        <v/>
      </c>
      <c r="AI330" s="518" t="str">
        <f>IF(AND(_AC2="B-737-800",'2023'!$L$4="CA",'2023'!$L$2=AI309),'2023DATA'!$F$23,"")</f>
        <v/>
      </c>
      <c r="AJ330" s="518" t="str">
        <f>IF(AND(_AC2="B-737-800",'2023'!$L$4="CA",'2023'!$L$2=AJ309),'2023DATA'!$G$23,"")</f>
        <v/>
      </c>
      <c r="AK330" s="518" t="str">
        <f>IF(AND(_AC2="B-737-800",'2023'!$L$4="CA",'2023'!$L$2=AK309),'2023DATA'!$H$23,"")</f>
        <v/>
      </c>
      <c r="AL330" s="518" t="str">
        <f>IF(AND(_AC2="B-737-800",'2023'!$L$4="CA",'2023'!$L$2=AL309),'2023DATA'!$I$23,"")</f>
        <v/>
      </c>
      <c r="AM330" s="518" t="str">
        <f>IF(AND(_AC2="B-737-800",'2023'!$L$4="CA",'2023'!$L$2=AM309),'2023DATA'!$J$23,"")</f>
        <v/>
      </c>
      <c r="AN330" s="518" t="str">
        <f>IF(AND(_AC2="B-737-800",'2023'!$L$4="CA",'2023'!$L$2=AN309),'2023DATA'!$K$23,"")</f>
        <v/>
      </c>
      <c r="AO330" s="518" t="str">
        <f>IF(AND(_AC2="B-737-800",'2023'!$L$4="CA",'2023'!$L$2=AO309),'2023DATA'!$L$23,"")</f>
        <v/>
      </c>
      <c r="AP330" s="518" t="str">
        <f>IF(AND(_AC2="B-737-800",'2023'!$L$4="CA",'2023'!$L$2=AP309),'2023DATA'!$M$23,"")</f>
        <v/>
      </c>
      <c r="AQ330" s="520" t="str">
        <f>IF(AND(_AC2="B-737-800",'2023'!$L$4="CA",'2023'!$L$2=AQ309),'2023DATA'!$N$23,"")</f>
        <v/>
      </c>
      <c r="AR330" s="940" t="s">
        <v>69</v>
      </c>
      <c r="AS330" s="13" t="s">
        <v>61</v>
      </c>
      <c r="AT330" s="518" t="str">
        <f>IF(AND(_AC3="B-737-800",'2023'!$L$4="CA",'2023'!$L$2=AT309),'2023DATA'!$C$23,"")</f>
        <v/>
      </c>
      <c r="AU330" s="518" t="str">
        <f>IF(AND(_AC3="B-737-800",'2023'!$L$4="CA",'2023'!$L$2=AU309),'2023DATA'!$D$23,"")</f>
        <v/>
      </c>
      <c r="AV330" s="518" t="str">
        <f>IF(AND(_AC3="B-737-800",'2023'!$L$4="CA",'2023'!$L$2=AV309),'2023DATA'!$E$23,"")</f>
        <v/>
      </c>
      <c r="AW330" s="518" t="str">
        <f>IF(AND(_AC3="B-737-800",'2023'!$L$4="CA",'2023'!$L$2=AW309),'2023DATA'!$F$23,"")</f>
        <v/>
      </c>
      <c r="AX330" s="518" t="str">
        <f>IF(AND(_AC3="B-737-800",'2023'!$L$4="CA",'2023'!$L$2=AX309),'2023DATA'!$G$23,"")</f>
        <v/>
      </c>
      <c r="AY330" s="518" t="str">
        <f>IF(AND(_AC3="B-737-800",'2023'!$L$4="CA",'2023'!$L$2=AY309),'2023DATA'!$H$23,"")</f>
        <v/>
      </c>
      <c r="AZ330" s="518" t="str">
        <f>IF(AND(_AC3="B-737-800",'2023'!$L$4="CA",'2023'!$L$2=AZ309),'2023DATA'!$I$23,"")</f>
        <v/>
      </c>
      <c r="BA330" s="518" t="str">
        <f>IF(AND(_AC3="B-737-800",'2023'!$L$4="CA",'2023'!$L$2=BA309),'2023DATA'!$J$23,"")</f>
        <v/>
      </c>
      <c r="BB330" s="518" t="str">
        <f>IF(AND(_AC3="B-737-800",'2023'!$L$4="CA",'2023'!$L$2=BB309),'2023DATA'!$K$23,"")</f>
        <v/>
      </c>
      <c r="BC330" s="518" t="str">
        <f>IF(AND(_AC3="B-737-800",'2023'!$L$4="CA",'2023'!$L$2=BC309),'2023DATA'!$L$23,"")</f>
        <v/>
      </c>
      <c r="BD330" s="518" t="str">
        <f>IF(AND(_AC3="B-737-800",'2023'!$L$4="CA",'2023'!$L$2=BD309),'2023DATA'!$M$23,"")</f>
        <v/>
      </c>
      <c r="BE330" s="520" t="str">
        <f>IF(AND(_AC3="B-737-800",'2023'!$L$4="CA",'2023'!$L$2=BE309),'2023DATA'!$N$23,"")</f>
        <v/>
      </c>
      <c r="BF330" s="940" t="s">
        <v>69</v>
      </c>
      <c r="BG330" s="13" t="s">
        <v>61</v>
      </c>
      <c r="BH330" s="518" t="str">
        <f>IF(AND(_AC4="B-737-800",'2023'!$L$4="CA",'2023'!$L$2=BH309),'2023DATA'!$C$23,"")</f>
        <v/>
      </c>
      <c r="BI330" s="518" t="str">
        <f>IF(AND(_AC4="B-737-800",'2023'!$L$4="CA",'2023'!$L$2=BI309),'2023DATA'!$D$23,"")</f>
        <v/>
      </c>
      <c r="BJ330" s="518" t="str">
        <f>IF(AND(_AC4="B-737-800",'2023'!$L$4="CA",'2023'!$L$2=BJ309),'2023DATA'!$E$23,"")</f>
        <v/>
      </c>
      <c r="BK330" s="518" t="str">
        <f>IF(AND(_AC4="B-737-800",'2023'!$L$4="CA",'2023'!$L$2=BK309),'2023DATA'!$F$23,"")</f>
        <v/>
      </c>
      <c r="BL330" s="518" t="str">
        <f>IF(AND(_AC4="B-737-800",'2023'!$L$4="CA",'2023'!$L$2=BL309),'2023DATA'!$G$23,"")</f>
        <v/>
      </c>
      <c r="BM330" s="518" t="str">
        <f>IF(AND(_AC4="B-737-800",'2023'!$L$4="CA",'2023'!$L$2=BM309),'2023DATA'!$H$23,"")</f>
        <v/>
      </c>
      <c r="BN330" s="518" t="str">
        <f>IF(AND(_AC4="B-737-800",'2023'!$L$4="CA",'2023'!$L$2=BN309),'2023DATA'!$I$23,"")</f>
        <v/>
      </c>
      <c r="BO330" s="518" t="str">
        <f>IF(AND(_AC4="B-737-800",'2023'!$L$4="CA",'2023'!$L$2=BO309),'2023DATA'!$J$23,"")</f>
        <v/>
      </c>
      <c r="BP330" s="518" t="str">
        <f>IF(AND(_AC4="B-737-800",'2023'!$L$4="CA",'2023'!$L$2=BP309),'2023DATA'!$K$23,"")</f>
        <v/>
      </c>
      <c r="BQ330" s="518" t="str">
        <f>IF(AND(_AC4="B-737-800",'2023'!$L$4="CA",'2023'!$L$2=BQ309),'2023DATA'!$L$23,"")</f>
        <v/>
      </c>
      <c r="BR330" s="518" t="str">
        <f>IF(AND(_AC4="B-737-800",'2023'!$L$4="CA",'2023'!$L$2=BR309),'2023DATA'!$M$23,"")</f>
        <v/>
      </c>
      <c r="BS330" s="520" t="str">
        <f>IF(AND(_AC4="B-737-800",'2023'!$L$4="CA",'2023'!$L$2=BS309),'2023DATA'!$N$23,"")</f>
        <v/>
      </c>
      <c r="BT330" s="940" t="s">
        <v>69</v>
      </c>
      <c r="BU330" s="13" t="s">
        <v>61</v>
      </c>
      <c r="BV330" s="518" t="str">
        <f>IF(AND(_AC5="B-737-800",'2023'!$L$4="CA",'2023'!$L$2=BV309),'2023DATA'!$C$23,"")</f>
        <v/>
      </c>
      <c r="BW330" s="518" t="str">
        <f>IF(AND(_AC5="B-737-800",'2023'!$L$4="CA",'2023'!$L$2=BW309),'2023DATA'!$D$23,"")</f>
        <v/>
      </c>
      <c r="BX330" s="518" t="str">
        <f>IF(AND(_AC5="B-737-800",'2023'!$L$4="CA",'2023'!$L$2=BX309),'2023DATA'!$E$23,"")</f>
        <v/>
      </c>
      <c r="BY330" s="518" t="str">
        <f>IF(AND(_AC5="B-737-800",'2023'!$L$4="CA",'2023'!$L$2=BY309),'2023DATA'!$F$23,"")</f>
        <v/>
      </c>
      <c r="BZ330" s="518" t="str">
        <f>IF(AND(_AC5="B-737-800",'2023'!$L$4="CA",'2023'!$L$2=BZ309),'2023DATA'!$G$23,"")</f>
        <v/>
      </c>
      <c r="CA330" s="518" t="str">
        <f>IF(AND(_AC5="B-737-800",'2023'!$L$4="CA",'2023'!$L$2=CA309),'2023DATA'!$H$23,"")</f>
        <v/>
      </c>
      <c r="CB330" s="518" t="str">
        <f>IF(AND(_AC5="B-737-800",'2023'!$L$4="CA",'2023'!$L$2=CB309),'2023DATA'!$I$23,"")</f>
        <v/>
      </c>
      <c r="CC330" s="518" t="str">
        <f>IF(AND(_AC5="B-737-800",'2023'!$L$4="CA",'2023'!$L$2=CC309),'2023DATA'!$J$23,"")</f>
        <v/>
      </c>
      <c r="CD330" s="518" t="str">
        <f>IF(AND(_AC5="B-737-800",'2023'!$L$4="CA",'2023'!$L$2=CD309),'2023DATA'!$K$23,"")</f>
        <v/>
      </c>
      <c r="CE330" s="518" t="str">
        <f>IF(AND(_AC5="B-737-800",'2023'!$L$4="CA",'2023'!$L$2=CE309),'2023DATA'!$L$23,"")</f>
        <v/>
      </c>
      <c r="CF330" s="518" t="str">
        <f>IF(AND(_AC5="B-737-800",'2023'!$L$4="CA",'2023'!$L$2=CF309),'2023DATA'!$M$23,"")</f>
        <v/>
      </c>
      <c r="CG330" s="520" t="str">
        <f>IF(AND(_AC5="B-737-800",'2023'!$L$4="CA",'2023'!$L$2=CG309),'2023DATA'!$N$23,"")</f>
        <v/>
      </c>
      <c r="CH330" s="940" t="s">
        <v>69</v>
      </c>
      <c r="CI330" s="13" t="s">
        <v>61</v>
      </c>
      <c r="CJ330" s="518" t="str">
        <f>IF(AND(_AC6="B-737-800",'2023'!$L$4="CA",'2023'!$L$2=CJ309),'2023DATA'!$C$23,"")</f>
        <v/>
      </c>
      <c r="CK330" s="518" t="str">
        <f>IF(AND(_AC6="B-737-800",'2023'!$L$4="CA",'2023'!$L$2=CK309),'2023DATA'!$D$23,"")</f>
        <v/>
      </c>
      <c r="CL330" s="518" t="str">
        <f>IF(AND(_AC6="B-737-800",'2023'!$L$4="CA",'2023'!$L$2=CL309),'2023DATA'!$E$23,"")</f>
        <v/>
      </c>
      <c r="CM330" s="518" t="str">
        <f>IF(AND(_AC6="B-737-800",'2023'!$L$4="CA",'2023'!$L$2=CM309),'2023DATA'!$F$23,"")</f>
        <v/>
      </c>
      <c r="CN330" s="518" t="str">
        <f>IF(AND(_AC6="B-737-800",'2023'!$L$4="CA",'2023'!$L$2=CN309),'2023DATA'!$G$23,"")</f>
        <v/>
      </c>
      <c r="CO330" s="518" t="str">
        <f>IF(AND(_AC6="B-737-800",'2023'!$L$4="CA",'2023'!$L$2=CO309),'2023DATA'!$H$23,"")</f>
        <v/>
      </c>
      <c r="CP330" s="518" t="str">
        <f>IF(AND(_AC6="B-737-800",'2023'!$L$4="CA",'2023'!$L$2=CP309),'2023DATA'!$I$23,"")</f>
        <v/>
      </c>
      <c r="CQ330" s="518" t="str">
        <f>IF(AND(_AC6="B-737-800",'2023'!$L$4="CA",'2023'!$L$2=CQ309),'2023DATA'!$J$23,"")</f>
        <v/>
      </c>
      <c r="CR330" s="518" t="str">
        <f>IF(AND(_AC6="B-737-800",'2023'!$L$4="CA",'2023'!$L$2=CR309),'2023DATA'!$K$23,"")</f>
        <v/>
      </c>
      <c r="CS330" s="518" t="str">
        <f>IF(AND(_AC6="B-737-800",'2023'!$L$4="CA",'2023'!$L$2=CS309),'2023DATA'!$L$23,"")</f>
        <v/>
      </c>
      <c r="CT330" s="518" t="str">
        <f>IF(AND(_AC6="B-737-800",'2023'!$L$4="CA",'2023'!$L$2=CT309),'2023DATA'!$M$23,"")</f>
        <v/>
      </c>
      <c r="CU330" s="520" t="str">
        <f>IF(AND(_AC6="B-737-800",'2023'!$L$4="CA",'2023'!$L$2=CU309),'2023DATA'!$N$23,"")</f>
        <v/>
      </c>
    </row>
    <row r="331" spans="16:99" x14ac:dyDescent="0.25">
      <c r="P331" s="940"/>
      <c r="Q331" s="13" t="s">
        <v>62</v>
      </c>
      <c r="R331" s="518" t="str">
        <f>IF(AND(_AC1="B-737-800",'2023'!$L$4="FO",'2023'!$L$2=R309),'2023DATA'!$C$24,"")</f>
        <v/>
      </c>
      <c r="S331" s="518" t="str">
        <f>IF(AND(_AC1="B-737-800",'2023'!$L$4="FO",'2023'!$L$2=S309),'2023DATA'!$D$24,"")</f>
        <v/>
      </c>
      <c r="T331" s="518" t="str">
        <f>IF(AND(_AC1="B-737-800",'2023'!$L$4="FO",'2023'!$L$2=T309),'2023DATA'!$E$24,"")</f>
        <v/>
      </c>
      <c r="U331" s="518" t="str">
        <f>IF(AND(_AC1="B-737-800",'2023'!$L$4="FO",'2023'!$L$2=U309),'2023DATA'!$F$24,"")</f>
        <v/>
      </c>
      <c r="V331" s="518" t="str">
        <f>IF(AND(_AC1="B-737-800",'2023'!$L$4="FO",'2023'!$L$2=V309),'2023DATA'!$G$24,"")</f>
        <v/>
      </c>
      <c r="W331" s="518" t="str">
        <f>IF(AND(_AC1="B-737-800",'2023'!$L$4="FO",'2023'!$L$2=W309),'2023DATA'!$H$24,"")</f>
        <v/>
      </c>
      <c r="X331" s="518" t="str">
        <f>IF(AND(_AC1="B-737-800",'2023'!$L$4="FO",'2023'!$L$2=X309),'2023DATA'!$I$24,"")</f>
        <v/>
      </c>
      <c r="Y331" s="518" t="str">
        <f>IF(AND(_AC1="B-737-800",'2023'!$L$4="FO",'2023'!$L$2=Y309),'2023DATA'!$J$24,"")</f>
        <v/>
      </c>
      <c r="Z331" s="518" t="str">
        <f>IF(AND(_AC1="B-737-800",'2023'!$L$4="FO",'2023'!$L$2=Z309),'2023DATA'!$K$24,"")</f>
        <v/>
      </c>
      <c r="AA331" s="518" t="str">
        <f>IF(AND(_AC1="B-737-800",'2023'!$L$4="FO",'2023'!$L$2=AA309),'2023DATA'!$L$24,"")</f>
        <v/>
      </c>
      <c r="AB331" s="518" t="str">
        <f>IF(AND(_AC1="B-737-800",'2023'!$L$4="FO",'2023'!$L$2=AB309),'2023DATA'!$M$24,"")</f>
        <v/>
      </c>
      <c r="AC331" s="520" t="str">
        <f>IF(AND(_AC1="B-737-800",'2023'!$L$4="FO",'2023'!$L$2=AC309),'2023DATA'!$N$24,"")</f>
        <v/>
      </c>
      <c r="AD331" s="940"/>
      <c r="AE331" s="13" t="s">
        <v>62</v>
      </c>
      <c r="AF331" s="518" t="str">
        <f>IF(AND(_AC2="B-737-800",'2023'!$L$4="FO",'2023'!$L$2=AF309),'2023DATA'!$C$24,"")</f>
        <v/>
      </c>
      <c r="AG331" s="518" t="str">
        <f>IF(AND(_AC2="B-737-800",'2023'!$L$4="FO",'2023'!$L$2=AG309),'2023DATA'!$D$24,"")</f>
        <v/>
      </c>
      <c r="AH331" s="518" t="str">
        <f>IF(AND(_AC2="B-737-800",'2023'!$L$4="FO",'2023'!$L$2=AH309),'2023DATA'!$E$24,"")</f>
        <v/>
      </c>
      <c r="AI331" s="518" t="str">
        <f>IF(AND(_AC2="B-737-800",'2023'!$L$4="FO",'2023'!$L$2=AI309),'2023DATA'!$F$24,"")</f>
        <v/>
      </c>
      <c r="AJ331" s="518" t="str">
        <f>IF(AND(_AC2="B-737-800",'2023'!$L$4="FO",'2023'!$L$2=AJ309),'2023DATA'!$G$24,"")</f>
        <v/>
      </c>
      <c r="AK331" s="518" t="str">
        <f>IF(AND(_AC2="B-737-800",'2023'!$L$4="FO",'2023'!$L$2=AK309),'2023DATA'!$H$24,"")</f>
        <v/>
      </c>
      <c r="AL331" s="518" t="str">
        <f>IF(AND(_AC2="B-737-800",'2023'!$L$4="FO",'2023'!$L$2=AL309),'2023DATA'!$I$24,"")</f>
        <v/>
      </c>
      <c r="AM331" s="518" t="str">
        <f>IF(AND(_AC2="B-737-800",'2023'!$L$4="FO",'2023'!$L$2=AM309),'2023DATA'!$J$24,"")</f>
        <v/>
      </c>
      <c r="AN331" s="518" t="str">
        <f>IF(AND(_AC2="B-737-800",'2023'!$L$4="FO",'2023'!$L$2=AN309),'2023DATA'!$K$24,"")</f>
        <v/>
      </c>
      <c r="AO331" s="518" t="str">
        <f>IF(AND(_AC2="B-737-800",'2023'!$L$4="FO",'2023'!$L$2=AO309),'2023DATA'!$L$24,"")</f>
        <v/>
      </c>
      <c r="AP331" s="518" t="str">
        <f>IF(AND(_AC2="B-737-800",'2023'!$L$4="FO",'2023'!$L$2=AP309),'2023DATA'!$M$24,"")</f>
        <v/>
      </c>
      <c r="AQ331" s="520" t="str">
        <f>IF(AND(_AC2="B-737-800",'2023'!$L$4="FO",'2023'!$L$2=AQ309),'2023DATA'!$N$24,"")</f>
        <v/>
      </c>
      <c r="AR331" s="940"/>
      <c r="AS331" s="13" t="s">
        <v>62</v>
      </c>
      <c r="AT331" s="518" t="str">
        <f>IF(AND(_AC3="B-737-800",'2023'!$L$4="FO",'2023'!$L$2=AT309),'2023DATA'!$C$24,"")</f>
        <v/>
      </c>
      <c r="AU331" s="518" t="str">
        <f>IF(AND(_AC3="B-737-800",'2023'!$L$4="FO",'2023'!$L$2=AU309),'2023DATA'!$D$24,"")</f>
        <v/>
      </c>
      <c r="AV331" s="518" t="str">
        <f>IF(AND(_AC3="B-737-800",'2023'!$L$4="FO",'2023'!$L$2=AV309),'2023DATA'!$E$24,"")</f>
        <v/>
      </c>
      <c r="AW331" s="518" t="str">
        <f>IF(AND(_AC3="B-737-800",'2023'!$L$4="FO",'2023'!$L$2=AW309),'2023DATA'!$F$24,"")</f>
        <v/>
      </c>
      <c r="AX331" s="518" t="str">
        <f>IF(AND(_AC3="B-737-800",'2023'!$L$4="FO",'2023'!$L$2=AX309),'2023DATA'!$G$24,"")</f>
        <v/>
      </c>
      <c r="AY331" s="518" t="str">
        <f>IF(AND(_AC3="B-737-800",'2023'!$L$4="FO",'2023'!$L$2=AY309),'2023DATA'!$H$24,"")</f>
        <v/>
      </c>
      <c r="AZ331" s="518" t="str">
        <f>IF(AND(_AC3="B-737-800",'2023'!$L$4="FO",'2023'!$L$2=AZ309),'2023DATA'!$I$24,"")</f>
        <v/>
      </c>
      <c r="BA331" s="518" t="str">
        <f>IF(AND(_AC3="B-737-800",'2023'!$L$4="FO",'2023'!$L$2=BA309),'2023DATA'!$J$24,"")</f>
        <v/>
      </c>
      <c r="BB331" s="518" t="str">
        <f>IF(AND(_AC3="B-737-800",'2023'!$L$4="FO",'2023'!$L$2=BB309),'2023DATA'!$K$24,"")</f>
        <v/>
      </c>
      <c r="BC331" s="518" t="str">
        <f>IF(AND(_AC3="B-737-800",'2023'!$L$4="FO",'2023'!$L$2=BC309),'2023DATA'!$L$24,"")</f>
        <v/>
      </c>
      <c r="BD331" s="518" t="str">
        <f>IF(AND(_AC3="B-737-800",'2023'!$L$4="FO",'2023'!$L$2=BD309),'2023DATA'!$M$24,"")</f>
        <v/>
      </c>
      <c r="BE331" s="520" t="str">
        <f>IF(AND(_AC3="B-737-800",'2023'!$L$4="FO",'2023'!$L$2=BE309),'2023DATA'!$N$24,"")</f>
        <v/>
      </c>
      <c r="BF331" s="940"/>
      <c r="BG331" s="13" t="s">
        <v>62</v>
      </c>
      <c r="BH331" s="518" t="str">
        <f>IF(AND(_AC4="B-737-800",'2023'!$L$4="FO",'2023'!$L$2=BH309),'2023DATA'!$C$24,"")</f>
        <v/>
      </c>
      <c r="BI331" s="518" t="str">
        <f>IF(AND(_AC4="B-737-800",'2023'!$L$4="FO",'2023'!$L$2=BI309),'2023DATA'!$D$24,"")</f>
        <v/>
      </c>
      <c r="BJ331" s="518" t="str">
        <f>IF(AND(_AC4="B-737-800",'2023'!$L$4="FO",'2023'!$L$2=BJ309),'2023DATA'!$E$24,"")</f>
        <v/>
      </c>
      <c r="BK331" s="518" t="str">
        <f>IF(AND(_AC4="B-737-800",'2023'!$L$4="FO",'2023'!$L$2=BK309),'2023DATA'!$F$24,"")</f>
        <v/>
      </c>
      <c r="BL331" s="518" t="str">
        <f>IF(AND(_AC4="B-737-800",'2023'!$L$4="FO",'2023'!$L$2=BL309),'2023DATA'!$G$24,"")</f>
        <v/>
      </c>
      <c r="BM331" s="518" t="str">
        <f>IF(AND(_AC4="B-737-800",'2023'!$L$4="FO",'2023'!$L$2=BM309),'2023DATA'!$H$24,"")</f>
        <v/>
      </c>
      <c r="BN331" s="518" t="str">
        <f>IF(AND(_AC4="B-737-800",'2023'!$L$4="FO",'2023'!$L$2=BN309),'2023DATA'!$I$24,"")</f>
        <v/>
      </c>
      <c r="BO331" s="518" t="str">
        <f>IF(AND(_AC4="B-737-800",'2023'!$L$4="FO",'2023'!$L$2=BO309),'2023DATA'!$J$24,"")</f>
        <v/>
      </c>
      <c r="BP331" s="518" t="str">
        <f>IF(AND(_AC4="B-737-800",'2023'!$L$4="FO",'2023'!$L$2=BP309),'2023DATA'!$K$24,"")</f>
        <v/>
      </c>
      <c r="BQ331" s="518" t="str">
        <f>IF(AND(_AC4="B-737-800",'2023'!$L$4="FO",'2023'!$L$2=BQ309),'2023DATA'!$L$24,"")</f>
        <v/>
      </c>
      <c r="BR331" s="518" t="str">
        <f>IF(AND(_AC4="B-737-800",'2023'!$L$4="FO",'2023'!$L$2=BR309),'2023DATA'!$M$24,"")</f>
        <v/>
      </c>
      <c r="BS331" s="520" t="str">
        <f>IF(AND(_AC4="B-737-800",'2023'!$L$4="FO",'2023'!$L$2=BS309),'2023DATA'!$N$24,"")</f>
        <v/>
      </c>
      <c r="BT331" s="940"/>
      <c r="BU331" s="13" t="s">
        <v>62</v>
      </c>
      <c r="BV331" s="518" t="str">
        <f>IF(AND(_AC5="B-737-800",'2023'!$L$4="FO",'2023'!$L$2=BV309),'2023DATA'!$C$24,"")</f>
        <v/>
      </c>
      <c r="BW331" s="518" t="str">
        <f>IF(AND(_AC5="B-737-800",'2023'!$L$4="FO",'2023'!$L$2=BW309),'2023DATA'!$D$24,"")</f>
        <v/>
      </c>
      <c r="BX331" s="518" t="str">
        <f>IF(AND(_AC5="B-737-800",'2023'!$L$4="FO",'2023'!$L$2=BX309),'2023DATA'!$E$24,"")</f>
        <v/>
      </c>
      <c r="BY331" s="518" t="str">
        <f>IF(AND(_AC5="B-737-800",'2023'!$L$4="FO",'2023'!$L$2=BY309),'2023DATA'!$F$24,"")</f>
        <v/>
      </c>
      <c r="BZ331" s="518" t="str">
        <f>IF(AND(_AC5="B-737-800",'2023'!$L$4="FO",'2023'!$L$2=BZ309),'2023DATA'!$G$24,"")</f>
        <v/>
      </c>
      <c r="CA331" s="518" t="str">
        <f>IF(AND(_AC5="B-737-800",'2023'!$L$4="FO",'2023'!$L$2=CA309),'2023DATA'!$H$24,"")</f>
        <v/>
      </c>
      <c r="CB331" s="518" t="str">
        <f>IF(AND(_AC5="B-737-800",'2023'!$L$4="FO",'2023'!$L$2=CB309),'2023DATA'!$I$24,"")</f>
        <v/>
      </c>
      <c r="CC331" s="518" t="str">
        <f>IF(AND(_AC5="B-737-800",'2023'!$L$4="FO",'2023'!$L$2=CC309),'2023DATA'!$J$24,"")</f>
        <v/>
      </c>
      <c r="CD331" s="518" t="str">
        <f>IF(AND(_AC5="B-737-800",'2023'!$L$4="FO",'2023'!$L$2=CD309),'2023DATA'!$K$24,"")</f>
        <v/>
      </c>
      <c r="CE331" s="518" t="str">
        <f>IF(AND(_AC5="B-737-800",'2023'!$L$4="FO",'2023'!$L$2=CE309),'2023DATA'!$L$24,"")</f>
        <v/>
      </c>
      <c r="CF331" s="518" t="str">
        <f>IF(AND(_AC5="B-737-800",'2023'!$L$4="FO",'2023'!$L$2=CF309),'2023DATA'!$M$24,"")</f>
        <v/>
      </c>
      <c r="CG331" s="520" t="str">
        <f>IF(AND(_AC5="B-737-800",'2023'!$L$4="FO",'2023'!$L$2=CG309),'2023DATA'!$N$24,"")</f>
        <v/>
      </c>
      <c r="CH331" s="940"/>
      <c r="CI331" s="13" t="s">
        <v>62</v>
      </c>
      <c r="CJ331" s="518" t="str">
        <f>IF(AND(_AC6="B-737-800",'2023'!$L$4="FO",'2023'!$L$2=CJ309),'2023DATA'!$C$24,"")</f>
        <v/>
      </c>
      <c r="CK331" s="518" t="str">
        <f>IF(AND(_AC6="B-737-800",'2023'!$L$4="FO",'2023'!$L$2=CK309),'2023DATA'!$D$24,"")</f>
        <v/>
      </c>
      <c r="CL331" s="518" t="str">
        <f>IF(AND(_AC6="B-737-800",'2023'!$L$4="FO",'2023'!$L$2=CL309),'2023DATA'!$E$24,"")</f>
        <v/>
      </c>
      <c r="CM331" s="518" t="str">
        <f>IF(AND(_AC6="B-737-800",'2023'!$L$4="FO",'2023'!$L$2=CM309),'2023DATA'!$F$24,"")</f>
        <v/>
      </c>
      <c r="CN331" s="518" t="str">
        <f>IF(AND(_AC6="B-737-800",'2023'!$L$4="FO",'2023'!$L$2=CN309),'2023DATA'!$G$24,"")</f>
        <v/>
      </c>
      <c r="CO331" s="518" t="str">
        <f>IF(AND(_AC6="B-737-800",'2023'!$L$4="FO",'2023'!$L$2=CO309),'2023DATA'!$H$24,"")</f>
        <v/>
      </c>
      <c r="CP331" s="518" t="str">
        <f>IF(AND(_AC6="B-737-800",'2023'!$L$4="FO",'2023'!$L$2=CP309),'2023DATA'!$I$24,"")</f>
        <v/>
      </c>
      <c r="CQ331" s="518" t="str">
        <f>IF(AND(_AC6="B-737-800",'2023'!$L$4="FO",'2023'!$L$2=CQ309),'2023DATA'!$J$24,"")</f>
        <v/>
      </c>
      <c r="CR331" s="518" t="str">
        <f>IF(AND(_AC6="B-737-800",'2023'!$L$4="FO",'2023'!$L$2=CR309),'2023DATA'!$K$24,"")</f>
        <v/>
      </c>
      <c r="CS331" s="518" t="str">
        <f>IF(AND(_AC6="B-737-800",'2023'!$L$4="FO",'2023'!$L$2=CS309),'2023DATA'!$L$24,"")</f>
        <v/>
      </c>
      <c r="CT331" s="518" t="str">
        <f>IF(AND(_AC6="B-737-800",'2023'!$L$4="FO",'2023'!$L$2=CT309),'2023DATA'!$M$24,"")</f>
        <v/>
      </c>
      <c r="CU331" s="520" t="str">
        <f>IF(AND(_AC6="B-737-800",'2023'!$L$4="FO",'2023'!$L$2=CU309),'2023DATA'!$N$24,"")</f>
        <v/>
      </c>
    </row>
    <row r="332" spans="16:99" x14ac:dyDescent="0.25">
      <c r="P332" s="940" t="s">
        <v>46</v>
      </c>
      <c r="Q332" s="13" t="s">
        <v>61</v>
      </c>
      <c r="R332" s="518" t="str">
        <f>IF(AND(_AC1="A-321N",'2023'!$L$4="CA",'2023'!$L$2=R309),'2023DATA'!$C$25,"")</f>
        <v/>
      </c>
      <c r="S332" s="518" t="str">
        <f>IF(AND(_AC1="A-321N",'2023'!$L$4="CA",'2023'!$L$2=S309),'2023DATA'!$D$25,"")</f>
        <v/>
      </c>
      <c r="T332" s="518" t="str">
        <f>IF(AND(_AC1="A-321N",'2023'!$L$4="CA",'2023'!$L$2=T309),'2023DATA'!$E$25,"")</f>
        <v/>
      </c>
      <c r="U332" s="518" t="str">
        <f>IF(AND(_AC1="A-321N",'2023'!$L$4="CA",'2023'!$L$2=U309),'2023DATA'!$F$25,"")</f>
        <v/>
      </c>
      <c r="V332" s="518" t="str">
        <f>IF(AND(_AC1="A-321N",'2023'!$L$4="CA",'2023'!$L$2=V309),'2023DATA'!$G$25,"")</f>
        <v/>
      </c>
      <c r="W332" s="518" t="str">
        <f>IF(AND(_AC1="A-321N",'2023'!$L$4="CA",'2023'!$L$2=W309),'2023DATA'!$H$25,"")</f>
        <v/>
      </c>
      <c r="X332" s="518" t="str">
        <f>IF(AND(_AC1="A-321N",'2023'!$L$4="CA",'2023'!$L$2=X309),'2023DATA'!$I$25,"")</f>
        <v/>
      </c>
      <c r="Y332" s="518" t="str">
        <f>IF(AND(_AC1="A-321N",'2023'!$L$4="CA",'2023'!$L$2=Y309),'2023DATA'!$J$25,"")</f>
        <v/>
      </c>
      <c r="Z332" s="518" t="str">
        <f>IF(AND(_AC1="A-321N",'2023'!$L$4="CA",'2023'!$L$2=Z309),'2023DATA'!$K$25,"")</f>
        <v/>
      </c>
      <c r="AA332" s="518" t="str">
        <f>IF(AND(_AC1="A-321N",'2023'!$L$4="CA",'2023'!$L$2=AA309),'2023DATA'!$L$25,"")</f>
        <v/>
      </c>
      <c r="AB332" s="518" t="str">
        <f>IF(AND(_AC1="A-321N",'2023'!$L$4="CA",'2023'!$L$2=AB309),'2023DATA'!$M$25,"")</f>
        <v/>
      </c>
      <c r="AC332" s="520" t="str">
        <f>IF(AND(_AC1="A-321N",'2023'!$L$4="CA",'2023'!$L$2=AC309),'2023DATA'!$N$25,"")</f>
        <v/>
      </c>
      <c r="AD332" s="940" t="s">
        <v>46</v>
      </c>
      <c r="AE332" s="13" t="s">
        <v>61</v>
      </c>
      <c r="AF332" s="518" t="str">
        <f>IF(AND(_AC2="A-321N",'2023'!$L$4="CA",'2023'!$L$2=AF309),'2023DATA'!$C$25,"")</f>
        <v/>
      </c>
      <c r="AG332" s="518" t="str">
        <f>IF(AND(_AC2="A-321N",'2023'!$L$4="CA",'2023'!$L$2=AG309),'2023DATA'!$D$25,"")</f>
        <v/>
      </c>
      <c r="AH332" s="518" t="str">
        <f>IF(AND(_AC2="A-321N",'2023'!$L$4="CA",'2023'!$L$2=AH309),'2023DATA'!$E$25,"")</f>
        <v/>
      </c>
      <c r="AI332" s="518" t="str">
        <f>IF(AND(_AC2="A-321N",'2023'!$L$4="CA",'2023'!$L$2=AI309),'2023DATA'!$F$25,"")</f>
        <v/>
      </c>
      <c r="AJ332" s="518" t="str">
        <f>IF(AND(_AC2="A-321N",'2023'!$L$4="CA",'2023'!$L$2=AJ309),'2023DATA'!$G$25,"")</f>
        <v/>
      </c>
      <c r="AK332" s="518" t="str">
        <f>IF(AND(_AC2="A-321N",'2023'!$L$4="CA",'2023'!$L$2=AK309),'2023DATA'!$H$25,"")</f>
        <v/>
      </c>
      <c r="AL332" s="518" t="str">
        <f>IF(AND(_AC2="A-321N",'2023'!$L$4="CA",'2023'!$L$2=AL309),'2023DATA'!$I$25,"")</f>
        <v/>
      </c>
      <c r="AM332" s="518" t="str">
        <f>IF(AND(_AC2="A-321N",'2023'!$L$4="CA",'2023'!$L$2=AM309),'2023DATA'!$J$25,"")</f>
        <v/>
      </c>
      <c r="AN332" s="518" t="str">
        <f>IF(AND(_AC2="A-321N",'2023'!$L$4="CA",'2023'!$L$2=AN309),'2023DATA'!$K$25,"")</f>
        <v/>
      </c>
      <c r="AO332" s="518" t="str">
        <f>IF(AND(_AC2="A-321N",'2023'!$L$4="CA",'2023'!$L$2=AO309),'2023DATA'!$L$25,"")</f>
        <v/>
      </c>
      <c r="AP332" s="518" t="str">
        <f>IF(AND(_AC2="A-321N",'2023'!$L$4="CA",'2023'!$L$2=AP309),'2023DATA'!$M$25,"")</f>
        <v/>
      </c>
      <c r="AQ332" s="520" t="str">
        <f>IF(AND(_AC2="A-321N",'2023'!$L$4="CA",'2023'!$L$2=AQ309),'2023DATA'!$N$25,"")</f>
        <v/>
      </c>
      <c r="AR332" s="940" t="s">
        <v>46</v>
      </c>
      <c r="AS332" s="13" t="s">
        <v>61</v>
      </c>
      <c r="AT332" s="518" t="str">
        <f>IF(AND(_AC3="A-321N",'2023'!$L$4="CA",'2023'!$L$2=AT309),'2023DATA'!$C$25,"")</f>
        <v/>
      </c>
      <c r="AU332" s="518" t="str">
        <f>IF(AND(_AC3="A-321N",'2023'!$L$4="CA",'2023'!$L$2=AU309),'2023DATA'!$D$25,"")</f>
        <v/>
      </c>
      <c r="AV332" s="518" t="str">
        <f>IF(AND(_AC3="A-321N",'2023'!$L$4="CA",'2023'!$L$2=AV309),'2023DATA'!$E$25,"")</f>
        <v/>
      </c>
      <c r="AW332" s="518" t="str">
        <f>IF(AND(_AC3="A-321N",'2023'!$L$4="CA",'2023'!$L$2=AW309),'2023DATA'!$F$25,"")</f>
        <v/>
      </c>
      <c r="AX332" s="518" t="str">
        <f>IF(AND(_AC3="A-321N",'2023'!$L$4="CA",'2023'!$L$2=AX309),'2023DATA'!$G$25,"")</f>
        <v/>
      </c>
      <c r="AY332" s="518" t="str">
        <f>IF(AND(_AC3="A-321N",'2023'!$L$4="CA",'2023'!$L$2=AY309),'2023DATA'!$H$25,"")</f>
        <v/>
      </c>
      <c r="AZ332" s="518" t="str">
        <f>IF(AND(_AC3="A-321N",'2023'!$L$4="CA",'2023'!$L$2=AZ309),'2023DATA'!$I$25,"")</f>
        <v/>
      </c>
      <c r="BA332" s="518" t="str">
        <f>IF(AND(_AC3="A-321N",'2023'!$L$4="CA",'2023'!$L$2=BA309),'2023DATA'!$J$25,"")</f>
        <v/>
      </c>
      <c r="BB332" s="518" t="str">
        <f>IF(AND(_AC3="A-321N",'2023'!$L$4="CA",'2023'!$L$2=BB309),'2023DATA'!$K$25,"")</f>
        <v/>
      </c>
      <c r="BC332" s="518" t="str">
        <f>IF(AND(_AC3="A-321N",'2023'!$L$4="CA",'2023'!$L$2=BC309),'2023DATA'!$L$25,"")</f>
        <v/>
      </c>
      <c r="BD332" s="518" t="str">
        <f>IF(AND(_AC3="A-321N",'2023'!$L$4="CA",'2023'!$L$2=BD309),'2023DATA'!$M$25,"")</f>
        <v/>
      </c>
      <c r="BE332" s="520" t="str">
        <f>IF(AND(_AC3="A-321N",'2023'!$L$4="CA",'2023'!$L$2=BE309),'2023DATA'!$N$25,"")</f>
        <v/>
      </c>
      <c r="BF332" s="940" t="s">
        <v>46</v>
      </c>
      <c r="BG332" s="13" t="s">
        <v>61</v>
      </c>
      <c r="BH332" s="518" t="str">
        <f>IF(AND(_AC4="A-321N",'2023'!$L$4="CA",'2023'!$L$2=BH309),'2023DATA'!$C$25,"")</f>
        <v/>
      </c>
      <c r="BI332" s="518" t="str">
        <f>IF(AND(_AC4="A-321N",'2023'!$L$4="CA",'2023'!$L$2=BI309),'2023DATA'!$D$25,"")</f>
        <v/>
      </c>
      <c r="BJ332" s="518" t="str">
        <f>IF(AND(_AC4="A-321N",'2023'!$L$4="CA",'2023'!$L$2=BJ309),'2023DATA'!$E$25,"")</f>
        <v/>
      </c>
      <c r="BK332" s="518" t="str">
        <f>IF(AND(_AC4="A-321N",'2023'!$L$4="CA",'2023'!$L$2=BK309),'2023DATA'!$F$25,"")</f>
        <v/>
      </c>
      <c r="BL332" s="518" t="str">
        <f>IF(AND(_AC4="A-321N",'2023'!$L$4="CA",'2023'!$L$2=BL309),'2023DATA'!$G$25,"")</f>
        <v/>
      </c>
      <c r="BM332" s="518" t="str">
        <f>IF(AND(_AC4="A-321N",'2023'!$L$4="CA",'2023'!$L$2=BM309),'2023DATA'!$H$25,"")</f>
        <v/>
      </c>
      <c r="BN332" s="518" t="str">
        <f>IF(AND(_AC4="A-321N",'2023'!$L$4="CA",'2023'!$L$2=BN309),'2023DATA'!$I$25,"")</f>
        <v/>
      </c>
      <c r="BO332" s="518" t="str">
        <f>IF(AND(_AC4="A-321N",'2023'!$L$4="CA",'2023'!$L$2=BO309),'2023DATA'!$J$25,"")</f>
        <v/>
      </c>
      <c r="BP332" s="518" t="str">
        <f>IF(AND(_AC4="A-321N",'2023'!$L$4="CA",'2023'!$L$2=BP309),'2023DATA'!$K$25,"")</f>
        <v/>
      </c>
      <c r="BQ332" s="518" t="str">
        <f>IF(AND(_AC4="A-321N",'2023'!$L$4="CA",'2023'!$L$2=BQ309),'2023DATA'!$L$25,"")</f>
        <v/>
      </c>
      <c r="BR332" s="518" t="str">
        <f>IF(AND(_AC4="A-321N",'2023'!$L$4="CA",'2023'!$L$2=BR309),'2023DATA'!$M$25,"")</f>
        <v/>
      </c>
      <c r="BS332" s="520" t="str">
        <f>IF(AND(_AC4="A-321N",'2023'!$L$4="CA",'2023'!$L$2=BS309),'2023DATA'!$N$25,"")</f>
        <v/>
      </c>
      <c r="BT332" s="940" t="s">
        <v>46</v>
      </c>
      <c r="BU332" s="13" t="s">
        <v>61</v>
      </c>
      <c r="BV332" s="518" t="str">
        <f>IF(AND(_AC5="A-321N",'2023'!$L$4="CA",'2023'!$L$2=BV309),'2023DATA'!$C$25,"")</f>
        <v/>
      </c>
      <c r="BW332" s="518" t="str">
        <f>IF(AND(_AC5="A-321N",'2023'!$L$4="CA",'2023'!$L$2=BW309),'2023DATA'!$D$25,"")</f>
        <v/>
      </c>
      <c r="BX332" s="518" t="str">
        <f>IF(AND(_AC5="A-321N",'2023'!$L$4="CA",'2023'!$L$2=BX309),'2023DATA'!$E$25,"")</f>
        <v/>
      </c>
      <c r="BY332" s="518" t="str">
        <f>IF(AND(_AC5="A-321N",'2023'!$L$4="CA",'2023'!$L$2=BY309),'2023DATA'!$F$25,"")</f>
        <v/>
      </c>
      <c r="BZ332" s="518" t="str">
        <f>IF(AND(_AC5="A-321N",'2023'!$L$4="CA",'2023'!$L$2=BZ309),'2023DATA'!$G$25,"")</f>
        <v/>
      </c>
      <c r="CA332" s="518" t="str">
        <f>IF(AND(_AC5="A-321N",'2023'!$L$4="CA",'2023'!$L$2=CA309),'2023DATA'!$H$25,"")</f>
        <v/>
      </c>
      <c r="CB332" s="518" t="str">
        <f>IF(AND(_AC5="A-321N",'2023'!$L$4="CA",'2023'!$L$2=CB309),'2023DATA'!$I$25,"")</f>
        <v/>
      </c>
      <c r="CC332" s="518" t="str">
        <f>IF(AND(_AC5="A-321N",'2023'!$L$4="CA",'2023'!$L$2=CC309),'2023DATA'!$J$25,"")</f>
        <v/>
      </c>
      <c r="CD332" s="518" t="str">
        <f>IF(AND(_AC5="A-321N",'2023'!$L$4="CA",'2023'!$L$2=CD309),'2023DATA'!$K$25,"")</f>
        <v/>
      </c>
      <c r="CE332" s="518" t="str">
        <f>IF(AND(_AC5="A-321N",'2023'!$L$4="CA",'2023'!$L$2=CE309),'2023DATA'!$L$25,"")</f>
        <v/>
      </c>
      <c r="CF332" s="518" t="str">
        <f>IF(AND(_AC5="A-321N",'2023'!$L$4="CA",'2023'!$L$2=CF309),'2023DATA'!$M$25,"")</f>
        <v/>
      </c>
      <c r="CG332" s="520" t="str">
        <f>IF(AND(_AC5="A-321N",'2023'!$L$4="CA",'2023'!$L$2=CG309),'2023DATA'!$N$25,"")</f>
        <v/>
      </c>
      <c r="CH332" s="940" t="s">
        <v>46</v>
      </c>
      <c r="CI332" s="13" t="s">
        <v>61</v>
      </c>
      <c r="CJ332" s="518" t="str">
        <f>IF(AND(_AC6="A-321N",'2023'!$L$4="CA",'2023'!$L$2=CJ309),'2023DATA'!$C$25,"")</f>
        <v/>
      </c>
      <c r="CK332" s="518" t="str">
        <f>IF(AND(_AC6="A-321N",'2023'!$L$4="CA",'2023'!$L$2=CK309),'2023DATA'!$D$25,"")</f>
        <v/>
      </c>
      <c r="CL332" s="518" t="str">
        <f>IF(AND(_AC6="A-321N",'2023'!$L$4="CA",'2023'!$L$2=CL309),'2023DATA'!$E$25,"")</f>
        <v/>
      </c>
      <c r="CM332" s="518" t="str">
        <f>IF(AND(_AC6="A-321N",'2023'!$L$4="CA",'2023'!$L$2=CM309),'2023DATA'!$F$25,"")</f>
        <v/>
      </c>
      <c r="CN332" s="518" t="str">
        <f>IF(AND(_AC6="A-321N",'2023'!$L$4="CA",'2023'!$L$2=CN309),'2023DATA'!$G$25,"")</f>
        <v/>
      </c>
      <c r="CO332" s="518" t="str">
        <f>IF(AND(_AC6="A-321N",'2023'!$L$4="CA",'2023'!$L$2=CO309),'2023DATA'!$H$25,"")</f>
        <v/>
      </c>
      <c r="CP332" s="518" t="str">
        <f>IF(AND(_AC6="A-321N",'2023'!$L$4="CA",'2023'!$L$2=CP309),'2023DATA'!$I$25,"")</f>
        <v/>
      </c>
      <c r="CQ332" s="518" t="str">
        <f>IF(AND(_AC6="A-321N",'2023'!$L$4="CA",'2023'!$L$2=CQ309),'2023DATA'!$J$25,"")</f>
        <v/>
      </c>
      <c r="CR332" s="518" t="str">
        <f>IF(AND(_AC6="A-321N",'2023'!$L$4="CA",'2023'!$L$2=CR309),'2023DATA'!$K$25,"")</f>
        <v/>
      </c>
      <c r="CS332" s="518" t="str">
        <f>IF(AND(_AC6="A-321N",'2023'!$L$4="CA",'2023'!$L$2=CS309),'2023DATA'!$L$25,"")</f>
        <v/>
      </c>
      <c r="CT332" s="518" t="str">
        <f>IF(AND(_AC6="A-321N",'2023'!$L$4="CA",'2023'!$L$2=CT309),'2023DATA'!$M$25,"")</f>
        <v/>
      </c>
      <c r="CU332" s="520" t="str">
        <f>IF(AND(_AC6="A-321N",'2023'!$L$4="CA",'2023'!$L$2=CU309),'2023DATA'!$N$25,"")</f>
        <v/>
      </c>
    </row>
    <row r="333" spans="16:99" x14ac:dyDescent="0.25">
      <c r="P333" s="940"/>
      <c r="Q333" s="13" t="s">
        <v>62</v>
      </c>
      <c r="R333" s="518" t="str">
        <f>IF(AND(_AC1="A-321N",'2023'!$L$4="FO",'2023'!$L$2=R309),'2023DATA'!$C$26,"")</f>
        <v/>
      </c>
      <c r="S333" s="518" t="str">
        <f>IF(AND(_AC1="A-321N",'2023'!$L$4="FO",'2023'!$L$2=S309),'2023DATA'!$D$26,"")</f>
        <v/>
      </c>
      <c r="T333" s="518" t="str">
        <f>IF(AND(_AC1="A-321N",'2023'!$L$4="FO",'2023'!$L$2=T309),'2023DATA'!$E$26,"")</f>
        <v/>
      </c>
      <c r="U333" s="518" t="str">
        <f>IF(AND(_AC1="A-321N",'2023'!$L$4="FO",'2023'!$L$2=U309),'2023DATA'!$F$26,"")</f>
        <v/>
      </c>
      <c r="V333" s="518" t="str">
        <f>IF(AND(_AC1="A-321N",'2023'!$L$4="FO",'2023'!$L$2=V309),'2023DATA'!$G$26,"")</f>
        <v/>
      </c>
      <c r="W333" s="518" t="str">
        <f>IF(AND(_AC1="A-321N",'2023'!$L$4="FO",'2023'!$L$2=W309),'2023DATA'!$H$26,"")</f>
        <v/>
      </c>
      <c r="X333" s="518" t="str">
        <f>IF(AND(_AC1="A-321N",'2023'!$L$4="FO",'2023'!$L$2=X309),'2023DATA'!$I$26,"")</f>
        <v/>
      </c>
      <c r="Y333" s="518" t="str">
        <f>IF(AND(_AC1="A-321N",'2023'!$L$4="FO",'2023'!$L$2=Y309),'2023DATA'!$J$26,"")</f>
        <v/>
      </c>
      <c r="Z333" s="518" t="str">
        <f>IF(AND(_AC1="A-321N",'2023'!$L$4="FO",'2023'!$L$2=Z309),'2023DATA'!$K$26,"")</f>
        <v/>
      </c>
      <c r="AA333" s="518" t="str">
        <f>IF(AND(_AC1="A-321N",'2023'!$L$4="FO",'2023'!$L$2=AA309),'2023DATA'!$L$26,"")</f>
        <v/>
      </c>
      <c r="AB333" s="518" t="str">
        <f>IF(AND(_AC1="A-321N",'2023'!$L$4="FO",'2023'!$L$2=AB309),'2023DATA'!$M$26,"")</f>
        <v/>
      </c>
      <c r="AC333" s="520" t="str">
        <f>IF(AND(_AC1="A-321N",'2023'!$L$4="FO",'2023'!$L$2=AC309),'2023DATA'!$N$26,"")</f>
        <v/>
      </c>
      <c r="AD333" s="940"/>
      <c r="AE333" s="13" t="s">
        <v>62</v>
      </c>
      <c r="AF333" s="518" t="str">
        <f>IF(AND(_AC2="A-321N",'2023'!$L$4="FO",'2023'!$L$2=AF309),'2023DATA'!$C$26,"")</f>
        <v/>
      </c>
      <c r="AG333" s="518" t="str">
        <f>IF(AND(_AC2="A-321N",'2023'!$L$4="FO",'2023'!$L$2=AG309),'2023DATA'!$D$26,"")</f>
        <v/>
      </c>
      <c r="AH333" s="518" t="str">
        <f>IF(AND(_AC2="A-321N",'2023'!$L$4="FO",'2023'!$L$2=AH309),'2023DATA'!$E$26,"")</f>
        <v/>
      </c>
      <c r="AI333" s="518" t="str">
        <f>IF(AND(_AC2="A-321N",'2023'!$L$4="FO",'2023'!$L$2=AI309),'2023DATA'!$F$26,"")</f>
        <v/>
      </c>
      <c r="AJ333" s="518" t="str">
        <f>IF(AND(_AC2="A-321N",'2023'!$L$4="FO",'2023'!$L$2=AJ309),'2023DATA'!$G$26,"")</f>
        <v/>
      </c>
      <c r="AK333" s="518" t="str">
        <f>IF(AND(_AC2="A-321N",'2023'!$L$4="FO",'2023'!$L$2=AK309),'2023DATA'!$H$26,"")</f>
        <v/>
      </c>
      <c r="AL333" s="518" t="str">
        <f>IF(AND(_AC2="A-321N",'2023'!$L$4="FO",'2023'!$L$2=AL309),'2023DATA'!$I$26,"")</f>
        <v/>
      </c>
      <c r="AM333" s="518" t="str">
        <f>IF(AND(_AC2="A-321N",'2023'!$L$4="FO",'2023'!$L$2=AM309),'2023DATA'!$J$26,"")</f>
        <v/>
      </c>
      <c r="AN333" s="518" t="str">
        <f>IF(AND(_AC2="A-321N",'2023'!$L$4="FO",'2023'!$L$2=AN309),'2023DATA'!$K$26,"")</f>
        <v/>
      </c>
      <c r="AO333" s="518" t="str">
        <f>IF(AND(_AC2="A-321N",'2023'!$L$4="FO",'2023'!$L$2=AO309),'2023DATA'!$L$26,"")</f>
        <v/>
      </c>
      <c r="AP333" s="518" t="str">
        <f>IF(AND(_AC2="A-321N",'2023'!$L$4="FO",'2023'!$L$2=AP309),'2023DATA'!$M$26,"")</f>
        <v/>
      </c>
      <c r="AQ333" s="520" t="str">
        <f>IF(AND(_AC2="A-321N",'2023'!$L$4="FO",'2023'!$L$2=AQ309),'2023DATA'!$N$26,"")</f>
        <v/>
      </c>
      <c r="AR333" s="940"/>
      <c r="AS333" s="13" t="s">
        <v>62</v>
      </c>
      <c r="AT333" s="518" t="str">
        <f>IF(AND(_AC3="A-321N",'2023'!$L$4="FO",'2023'!$L$2=AT309),'2023DATA'!$C$26,"")</f>
        <v/>
      </c>
      <c r="AU333" s="518" t="str">
        <f>IF(AND(_AC3="A-321N",'2023'!$L$4="FO",'2023'!$L$2=AU309),'2023DATA'!$D$26,"")</f>
        <v/>
      </c>
      <c r="AV333" s="518" t="str">
        <f>IF(AND(_AC3="A-321N",'2023'!$L$4="FO",'2023'!$L$2=AV309),'2023DATA'!$E$26,"")</f>
        <v/>
      </c>
      <c r="AW333" s="518" t="str">
        <f>IF(AND(_AC3="A-321N",'2023'!$L$4="FO",'2023'!$L$2=AW309),'2023DATA'!$F$26,"")</f>
        <v/>
      </c>
      <c r="AX333" s="518" t="str">
        <f>IF(AND(_AC3="A-321N",'2023'!$L$4="FO",'2023'!$L$2=AX309),'2023DATA'!$G$26,"")</f>
        <v/>
      </c>
      <c r="AY333" s="518" t="str">
        <f>IF(AND(_AC3="A-321N",'2023'!$L$4="FO",'2023'!$L$2=AY309),'2023DATA'!$H$26,"")</f>
        <v/>
      </c>
      <c r="AZ333" s="518" t="str">
        <f>IF(AND(_AC3="A-321N",'2023'!$L$4="FO",'2023'!$L$2=AZ309),'2023DATA'!$I$26,"")</f>
        <v/>
      </c>
      <c r="BA333" s="518" t="str">
        <f>IF(AND(_AC3="A-321N",'2023'!$L$4="FO",'2023'!$L$2=BA309),'2023DATA'!$J$26,"")</f>
        <v/>
      </c>
      <c r="BB333" s="518" t="str">
        <f>IF(AND(_AC3="A-321N",'2023'!$L$4="FO",'2023'!$L$2=BB309),'2023DATA'!$K$26,"")</f>
        <v/>
      </c>
      <c r="BC333" s="518" t="str">
        <f>IF(AND(_AC3="A-321N",'2023'!$L$4="FO",'2023'!$L$2=BC309),'2023DATA'!$L$26,"")</f>
        <v/>
      </c>
      <c r="BD333" s="518" t="str">
        <f>IF(AND(_AC3="A-321N",'2023'!$L$4="FO",'2023'!$L$2=BD309),'2023DATA'!$M$26,"")</f>
        <v/>
      </c>
      <c r="BE333" s="520" t="str">
        <f>IF(AND(_AC3="A-321N",'2023'!$L$4="FO",'2023'!$L$2=BE309),'2023DATA'!$N$26,"")</f>
        <v/>
      </c>
      <c r="BF333" s="940"/>
      <c r="BG333" s="13" t="s">
        <v>62</v>
      </c>
      <c r="BH333" s="518" t="str">
        <f>IF(AND(_AC4="A-321N",'2023'!$L$4="FO",'2023'!$L$2=BH309),'2023DATA'!$C$26,"")</f>
        <v/>
      </c>
      <c r="BI333" s="518" t="str">
        <f>IF(AND(_AC4="A-321N",'2023'!$L$4="FO",'2023'!$L$2=BI309),'2023DATA'!$D$26,"")</f>
        <v/>
      </c>
      <c r="BJ333" s="518" t="str">
        <f>IF(AND(_AC4="A-321N",'2023'!$L$4="FO",'2023'!$L$2=BJ309),'2023DATA'!$E$26,"")</f>
        <v/>
      </c>
      <c r="BK333" s="518" t="str">
        <f>IF(AND(_AC4="A-321N",'2023'!$L$4="FO",'2023'!$L$2=BK309),'2023DATA'!$F$26,"")</f>
        <v/>
      </c>
      <c r="BL333" s="518" t="str">
        <f>IF(AND(_AC4="A-321N",'2023'!$L$4="FO",'2023'!$L$2=BL309),'2023DATA'!$G$26,"")</f>
        <v/>
      </c>
      <c r="BM333" s="518" t="str">
        <f>IF(AND(_AC4="A-321N",'2023'!$L$4="FO",'2023'!$L$2=BM309),'2023DATA'!$H$26,"")</f>
        <v/>
      </c>
      <c r="BN333" s="518" t="str">
        <f>IF(AND(_AC4="A-321N",'2023'!$L$4="FO",'2023'!$L$2=BN309),'2023DATA'!$I$26,"")</f>
        <v/>
      </c>
      <c r="BO333" s="518" t="str">
        <f>IF(AND(_AC4="A-321N",'2023'!$L$4="FO",'2023'!$L$2=BO309),'2023DATA'!$J$26,"")</f>
        <v/>
      </c>
      <c r="BP333" s="518" t="str">
        <f>IF(AND(_AC4="A-321N",'2023'!$L$4="FO",'2023'!$L$2=BP309),'2023DATA'!$K$26,"")</f>
        <v/>
      </c>
      <c r="BQ333" s="518" t="str">
        <f>IF(AND(_AC4="A-321N",'2023'!$L$4="FO",'2023'!$L$2=BQ309),'2023DATA'!$L$26,"")</f>
        <v/>
      </c>
      <c r="BR333" s="518" t="str">
        <f>IF(AND(_AC4="A-321N",'2023'!$L$4="FO",'2023'!$L$2=BR309),'2023DATA'!$M$26,"")</f>
        <v/>
      </c>
      <c r="BS333" s="520" t="str">
        <f>IF(AND(_AC4="A-321N",'2023'!$L$4="FO",'2023'!$L$2=BS309),'2023DATA'!$N$26,"")</f>
        <v/>
      </c>
      <c r="BT333" s="940"/>
      <c r="BU333" s="13" t="s">
        <v>62</v>
      </c>
      <c r="BV333" s="518" t="str">
        <f>IF(AND(_AC5="A-321N",'2023'!$L$4="FO",'2023'!$L$2=BV309),'2023DATA'!$C$26,"")</f>
        <v/>
      </c>
      <c r="BW333" s="518" t="str">
        <f>IF(AND(_AC5="A-321N",'2023'!$L$4="FO",'2023'!$L$2=BW309),'2023DATA'!$D$26,"")</f>
        <v/>
      </c>
      <c r="BX333" s="518" t="str">
        <f>IF(AND(_AC5="A-321N",'2023'!$L$4="FO",'2023'!$L$2=BX309),'2023DATA'!$E$26,"")</f>
        <v/>
      </c>
      <c r="BY333" s="518" t="str">
        <f>IF(AND(_AC5="A-321N",'2023'!$L$4="FO",'2023'!$L$2=BY309),'2023DATA'!$F$26,"")</f>
        <v/>
      </c>
      <c r="BZ333" s="518" t="str">
        <f>IF(AND(_AC5="A-321N",'2023'!$L$4="FO",'2023'!$L$2=BZ309),'2023DATA'!$G$26,"")</f>
        <v/>
      </c>
      <c r="CA333" s="518" t="str">
        <f>IF(AND(_AC5="A-321N",'2023'!$L$4="FO",'2023'!$L$2=CA309),'2023DATA'!$H$26,"")</f>
        <v/>
      </c>
      <c r="CB333" s="518" t="str">
        <f>IF(AND(_AC5="A-321N",'2023'!$L$4="FO",'2023'!$L$2=CB309),'2023DATA'!$I$26,"")</f>
        <v/>
      </c>
      <c r="CC333" s="518" t="str">
        <f>IF(AND(_AC5="A-321N",'2023'!$L$4="FO",'2023'!$L$2=CC309),'2023DATA'!$J$26,"")</f>
        <v/>
      </c>
      <c r="CD333" s="518" t="str">
        <f>IF(AND(_AC5="A-321N",'2023'!$L$4="FO",'2023'!$L$2=CD309),'2023DATA'!$K$26,"")</f>
        <v/>
      </c>
      <c r="CE333" s="518" t="str">
        <f>IF(AND(_AC5="A-321N",'2023'!$L$4="FO",'2023'!$L$2=CE309),'2023DATA'!$L$26,"")</f>
        <v/>
      </c>
      <c r="CF333" s="518" t="str">
        <f>IF(AND(_AC5="A-321N",'2023'!$L$4="FO",'2023'!$L$2=CF309),'2023DATA'!$M$26,"")</f>
        <v/>
      </c>
      <c r="CG333" s="520" t="str">
        <f>IF(AND(_AC5="A-321N",'2023'!$L$4="FO",'2023'!$L$2=CG309),'2023DATA'!$N$26,"")</f>
        <v/>
      </c>
      <c r="CH333" s="940"/>
      <c r="CI333" s="13" t="s">
        <v>62</v>
      </c>
      <c r="CJ333" s="518" t="str">
        <f>IF(AND(_AC6="A-321N",'2023'!$L$4="FO",'2023'!$L$2=CJ309),'2023DATA'!$C$26,"")</f>
        <v/>
      </c>
      <c r="CK333" s="518" t="str">
        <f>IF(AND(_AC6="A-321N",'2023'!$L$4="FO",'2023'!$L$2=CK309),'2023DATA'!$D$26,"")</f>
        <v/>
      </c>
      <c r="CL333" s="518" t="str">
        <f>IF(AND(_AC6="A-321N",'2023'!$L$4="FO",'2023'!$L$2=CL309),'2023DATA'!$E$26,"")</f>
        <v/>
      </c>
      <c r="CM333" s="518" t="str">
        <f>IF(AND(_AC6="A-321N",'2023'!$L$4="FO",'2023'!$L$2=CM309),'2023DATA'!$F$26,"")</f>
        <v/>
      </c>
      <c r="CN333" s="518" t="str">
        <f>IF(AND(_AC6="A-321N",'2023'!$L$4="FO",'2023'!$L$2=CN309),'2023DATA'!$G$26,"")</f>
        <v/>
      </c>
      <c r="CO333" s="518" t="str">
        <f>IF(AND(_AC6="A-321N",'2023'!$L$4="FO",'2023'!$L$2=CO309),'2023DATA'!$H$26,"")</f>
        <v/>
      </c>
      <c r="CP333" s="518" t="str">
        <f>IF(AND(_AC6="A-321N",'2023'!$L$4="FO",'2023'!$L$2=CP309),'2023DATA'!$I$26,"")</f>
        <v/>
      </c>
      <c r="CQ333" s="518" t="str">
        <f>IF(AND(_AC6="A-321N",'2023'!$L$4="FO",'2023'!$L$2=CQ309),'2023DATA'!$J$26,"")</f>
        <v/>
      </c>
      <c r="CR333" s="518" t="str">
        <f>IF(AND(_AC6="A-321N",'2023'!$L$4="FO",'2023'!$L$2=CR309),'2023DATA'!$K$26,"")</f>
        <v/>
      </c>
      <c r="CS333" s="518" t="str">
        <f>IF(AND(_AC6="A-321N",'2023'!$L$4="FO",'2023'!$L$2=CS309),'2023DATA'!$L$26,"")</f>
        <v/>
      </c>
      <c r="CT333" s="518" t="str">
        <f>IF(AND(_AC6="A-321N",'2023'!$L$4="FO",'2023'!$L$2=CT309),'2023DATA'!$M$26,"")</f>
        <v/>
      </c>
      <c r="CU333" s="520" t="str">
        <f>IF(AND(_AC6="A-321N",'2023'!$L$4="FO",'2023'!$L$2=CU309),'2023DATA'!$N$26,"")</f>
        <v/>
      </c>
    </row>
    <row r="334" spans="16:99" x14ac:dyDescent="0.25">
      <c r="P334" s="940" t="s">
        <v>48</v>
      </c>
      <c r="Q334" s="13" t="s">
        <v>61</v>
      </c>
      <c r="R334" s="518" t="str">
        <f>IF(AND(_AC1="A-321",'2023'!$L$4="CA",'2023'!$L$2=R309),'2023DATA'!$C$27,"")</f>
        <v/>
      </c>
      <c r="S334" s="518" t="str">
        <f>IF(AND(_AC1="A-321",'2023'!$L$4="CA",'2023'!$L$2=S309),'2023DATA'!$D$27,"")</f>
        <v/>
      </c>
      <c r="T334" s="518" t="str">
        <f>IF(AND(_AC1="A-321",'2023'!$L$4="CA",'2023'!$L$2=T309),'2023DATA'!$E$27,"")</f>
        <v/>
      </c>
      <c r="U334" s="518" t="str">
        <f>IF(AND(_AC1="A-321",'2023'!$L$4="CA",'2023'!$L$2=U309),'2023DATA'!$F$27,"")</f>
        <v/>
      </c>
      <c r="V334" s="518" t="str">
        <f>IF(AND(_AC1="A-321",'2023'!$L$4="CA",'2023'!$L$2=V309),'2023DATA'!$G$27,"")</f>
        <v/>
      </c>
      <c r="W334" s="518" t="str">
        <f>IF(AND(_AC1="A-321",'2023'!$L$4="CA",'2023'!$L$2=W309),'2023DATA'!$H$27,"")</f>
        <v/>
      </c>
      <c r="X334" s="518" t="str">
        <f>IF(AND(_AC1="A-321",'2023'!$L$4="CA",'2023'!$L$2=X309),'2023DATA'!$I$27,"")</f>
        <v/>
      </c>
      <c r="Y334" s="518" t="str">
        <f>IF(AND(_AC1="A-321",'2023'!$L$4="CA",'2023'!$L$2=Y309),'2023DATA'!$J$27,"")</f>
        <v/>
      </c>
      <c r="Z334" s="518" t="str">
        <f>IF(AND(_AC1="A-321",'2023'!$L$4="CA",'2023'!$L$2=Z309),'2023DATA'!$K$27,"")</f>
        <v/>
      </c>
      <c r="AA334" s="518" t="str">
        <f>IF(AND(_AC1="A-321",'2023'!$L$4="CA",'2023'!$L$2=AA309),'2023DATA'!$L$27,"")</f>
        <v/>
      </c>
      <c r="AB334" s="518" t="str">
        <f>IF(AND(_AC1="A-321",'2023'!$L$4="CA",'2023'!$L$2=AB309),'2023DATA'!$M$27,"")</f>
        <v/>
      </c>
      <c r="AC334" s="520" t="str">
        <f>IF(AND(_AC1="A-321",'2023'!$L$4="CA",'2023'!$L$2=AC309),'2023DATA'!$N$27,"")</f>
        <v/>
      </c>
      <c r="AD334" s="940" t="s">
        <v>48</v>
      </c>
      <c r="AE334" s="13" t="s">
        <v>61</v>
      </c>
      <c r="AF334" s="518" t="str">
        <f>IF(AND(_AC2="A-321",'2023'!$L$4="CA",'2023'!$L$2=AF309),'2023DATA'!$C$27,"")</f>
        <v/>
      </c>
      <c r="AG334" s="518" t="str">
        <f>IF(AND(_AC2="A-321",'2023'!$L$4="CA",'2023'!$L$2=AG309),'2023DATA'!$D$27,"")</f>
        <v/>
      </c>
      <c r="AH334" s="518" t="str">
        <f>IF(AND(_AC2="A-321",'2023'!$L$4="CA",'2023'!$L$2=AH309),'2023DATA'!$E$27,"")</f>
        <v/>
      </c>
      <c r="AI334" s="518" t="str">
        <f>IF(AND(_AC2="A-321",'2023'!$L$4="CA",'2023'!$L$2=AI309),'2023DATA'!$F$27,"")</f>
        <v/>
      </c>
      <c r="AJ334" s="518" t="str">
        <f>IF(AND(_AC2="A-321",'2023'!$L$4="CA",'2023'!$L$2=AJ309),'2023DATA'!$G$27,"")</f>
        <v/>
      </c>
      <c r="AK334" s="518" t="str">
        <f>IF(AND(_AC2="A-321",'2023'!$L$4="CA",'2023'!$L$2=AK309),'2023DATA'!$H$27,"")</f>
        <v/>
      </c>
      <c r="AL334" s="518" t="str">
        <f>IF(AND(_AC2="A-321",'2023'!$L$4="CA",'2023'!$L$2=AL309),'2023DATA'!$I$27,"")</f>
        <v/>
      </c>
      <c r="AM334" s="518" t="str">
        <f>IF(AND(_AC2="A-321",'2023'!$L$4="CA",'2023'!$L$2=AM309),'2023DATA'!$J$27,"")</f>
        <v/>
      </c>
      <c r="AN334" s="518" t="str">
        <f>IF(AND(_AC2="A-321",'2023'!$L$4="CA",'2023'!$L$2=AN309),'2023DATA'!$K$27,"")</f>
        <v/>
      </c>
      <c r="AO334" s="518" t="str">
        <f>IF(AND(_AC2="A-321",'2023'!$L$4="CA",'2023'!$L$2=AO309),'2023DATA'!$L$27,"")</f>
        <v/>
      </c>
      <c r="AP334" s="518" t="str">
        <f>IF(AND(_AC2="A-321",'2023'!$L$4="CA",'2023'!$L$2=AP309),'2023DATA'!$M$27,"")</f>
        <v/>
      </c>
      <c r="AQ334" s="520" t="str">
        <f>IF(AND(_AC2="A-321",'2023'!$L$4="CA",'2023'!$L$2=AQ309),'2023DATA'!$N$27,"")</f>
        <v/>
      </c>
      <c r="AR334" s="940" t="s">
        <v>48</v>
      </c>
      <c r="AS334" s="13" t="s">
        <v>61</v>
      </c>
      <c r="AT334" s="518" t="str">
        <f>IF(AND(_AC3="A-321",'2023'!$L$4="CA",'2023'!$L$2=AT309),'2023DATA'!$C$27,"")</f>
        <v/>
      </c>
      <c r="AU334" s="518" t="str">
        <f>IF(AND(_AC3="A-321",'2023'!$L$4="CA",'2023'!$L$2=AU309),'2023DATA'!$D$27,"")</f>
        <v/>
      </c>
      <c r="AV334" s="518" t="str">
        <f>IF(AND(_AC3="A-321",'2023'!$L$4="CA",'2023'!$L$2=AV309),'2023DATA'!$E$27,"")</f>
        <v/>
      </c>
      <c r="AW334" s="518" t="str">
        <f>IF(AND(_AC3="A-321",'2023'!$L$4="CA",'2023'!$L$2=AW309),'2023DATA'!$F$27,"")</f>
        <v/>
      </c>
      <c r="AX334" s="518" t="str">
        <f>IF(AND(_AC3="A-321",'2023'!$L$4="CA",'2023'!$L$2=AX309),'2023DATA'!$G$27,"")</f>
        <v/>
      </c>
      <c r="AY334" s="518" t="str">
        <f>IF(AND(_AC3="A-321",'2023'!$L$4="CA",'2023'!$L$2=AY309),'2023DATA'!$H$27,"")</f>
        <v/>
      </c>
      <c r="AZ334" s="518" t="str">
        <f>IF(AND(_AC3="A-321",'2023'!$L$4="CA",'2023'!$L$2=AZ309),'2023DATA'!$I$27,"")</f>
        <v/>
      </c>
      <c r="BA334" s="518" t="str">
        <f>IF(AND(_AC3="A-321",'2023'!$L$4="CA",'2023'!$L$2=BA309),'2023DATA'!$J$27,"")</f>
        <v/>
      </c>
      <c r="BB334" s="518" t="str">
        <f>IF(AND(_AC3="A-321",'2023'!$L$4="CA",'2023'!$L$2=BB309),'2023DATA'!$K$27,"")</f>
        <v/>
      </c>
      <c r="BC334" s="518" t="str">
        <f>IF(AND(_AC3="A-321",'2023'!$L$4="CA",'2023'!$L$2=BC309),'2023DATA'!$L$27,"")</f>
        <v/>
      </c>
      <c r="BD334" s="518" t="str">
        <f>IF(AND(_AC3="A-321",'2023'!$L$4="CA",'2023'!$L$2=BD309),'2023DATA'!$M$27,"")</f>
        <v/>
      </c>
      <c r="BE334" s="520" t="str">
        <f>IF(AND(_AC3="A-321",'2023'!$L$4="CA",'2023'!$L$2=BE309),'2023DATA'!$N$27,"")</f>
        <v/>
      </c>
      <c r="BF334" s="940" t="s">
        <v>48</v>
      </c>
      <c r="BG334" s="13" t="s">
        <v>61</v>
      </c>
      <c r="BH334" s="518" t="str">
        <f>IF(AND(_AC4="A-321",'2023'!$L$4="CA",'2023'!$L$2=BH309),'2023DATA'!$C$27,"")</f>
        <v/>
      </c>
      <c r="BI334" s="518" t="str">
        <f>IF(AND(_AC4="A-321",'2023'!$L$4="CA",'2023'!$L$2=BI309),'2023DATA'!$D$27,"")</f>
        <v/>
      </c>
      <c r="BJ334" s="518" t="str">
        <f>IF(AND(_AC4="A-321",'2023'!$L$4="CA",'2023'!$L$2=BJ309),'2023DATA'!$E$27,"")</f>
        <v/>
      </c>
      <c r="BK334" s="518" t="str">
        <f>IF(AND(_AC4="A-321",'2023'!$L$4="CA",'2023'!$L$2=BK309),'2023DATA'!$F$27,"")</f>
        <v/>
      </c>
      <c r="BL334" s="518" t="str">
        <f>IF(AND(_AC4="A-321",'2023'!$L$4="CA",'2023'!$L$2=BL309),'2023DATA'!$G$27,"")</f>
        <v/>
      </c>
      <c r="BM334" s="518" t="str">
        <f>IF(AND(_AC4="A-321",'2023'!$L$4="CA",'2023'!$L$2=BM309),'2023DATA'!$H$27,"")</f>
        <v/>
      </c>
      <c r="BN334" s="518" t="str">
        <f>IF(AND(_AC4="A-321",'2023'!$L$4="CA",'2023'!$L$2=BN309),'2023DATA'!$I$27,"")</f>
        <v/>
      </c>
      <c r="BO334" s="518" t="str">
        <f>IF(AND(_AC4="A-321",'2023'!$L$4="CA",'2023'!$L$2=BO309),'2023DATA'!$J$27,"")</f>
        <v/>
      </c>
      <c r="BP334" s="518" t="str">
        <f>IF(AND(_AC4="A-321",'2023'!$L$4="CA",'2023'!$L$2=BP309),'2023DATA'!$K$27,"")</f>
        <v/>
      </c>
      <c r="BQ334" s="518" t="str">
        <f>IF(AND(_AC4="A-321",'2023'!$L$4="CA",'2023'!$L$2=BQ309),'2023DATA'!$L$27,"")</f>
        <v/>
      </c>
      <c r="BR334" s="518" t="str">
        <f>IF(AND(_AC4="A-321",'2023'!$L$4="CA",'2023'!$L$2=BR309),'2023DATA'!$M$27,"")</f>
        <v/>
      </c>
      <c r="BS334" s="520" t="str">
        <f>IF(AND(_AC4="A-321",'2023'!$L$4="CA",'2023'!$L$2=BS309),'2023DATA'!$N$27,"")</f>
        <v/>
      </c>
      <c r="BT334" s="940" t="s">
        <v>48</v>
      </c>
      <c r="BU334" s="13" t="s">
        <v>61</v>
      </c>
      <c r="BV334" s="518" t="str">
        <f>IF(AND(_AC5="A-321",'2023'!$L$4="CA",'2023'!$L$2=BV309),'2023DATA'!$C$27,"")</f>
        <v/>
      </c>
      <c r="BW334" s="518" t="str">
        <f>IF(AND(_AC5="A-321",'2023'!$L$4="CA",'2023'!$L$2=BW309),'2023DATA'!$D$27,"")</f>
        <v/>
      </c>
      <c r="BX334" s="518" t="str">
        <f>IF(AND(_AC5="A-321",'2023'!$L$4="CA",'2023'!$L$2=BX309),'2023DATA'!$E$27,"")</f>
        <v/>
      </c>
      <c r="BY334" s="518" t="str">
        <f>IF(AND(_AC5="A-321",'2023'!$L$4="CA",'2023'!$L$2=BY309),'2023DATA'!$F$27,"")</f>
        <v/>
      </c>
      <c r="BZ334" s="518" t="str">
        <f>IF(AND(_AC5="A-321",'2023'!$L$4="CA",'2023'!$L$2=BZ309),'2023DATA'!$G$27,"")</f>
        <v/>
      </c>
      <c r="CA334" s="518" t="str">
        <f>IF(AND(_AC5="A-321",'2023'!$L$4="CA",'2023'!$L$2=CA309),'2023DATA'!$H$27,"")</f>
        <v/>
      </c>
      <c r="CB334" s="518" t="str">
        <f>IF(AND(_AC5="A-321",'2023'!$L$4="CA",'2023'!$L$2=CB309),'2023DATA'!$I$27,"")</f>
        <v/>
      </c>
      <c r="CC334" s="518" t="str">
        <f>IF(AND(_AC5="A-321",'2023'!$L$4="CA",'2023'!$L$2=CC309),'2023DATA'!$J$27,"")</f>
        <v/>
      </c>
      <c r="CD334" s="518" t="str">
        <f>IF(AND(_AC5="A-321",'2023'!$L$4="CA",'2023'!$L$2=CD309),'2023DATA'!$K$27,"")</f>
        <v/>
      </c>
      <c r="CE334" s="518" t="str">
        <f>IF(AND(_AC5="A-321",'2023'!$L$4="CA",'2023'!$L$2=CE309),'2023DATA'!$L$27,"")</f>
        <v/>
      </c>
      <c r="CF334" s="518" t="str">
        <f>IF(AND(_AC5="A-321",'2023'!$L$4="CA",'2023'!$L$2=CF309),'2023DATA'!$M$27,"")</f>
        <v/>
      </c>
      <c r="CG334" s="520" t="str">
        <f>IF(AND(_AC5="A-321",'2023'!$L$4="CA",'2023'!$L$2=CG309),'2023DATA'!$N$27,"")</f>
        <v/>
      </c>
      <c r="CH334" s="940" t="s">
        <v>48</v>
      </c>
      <c r="CI334" s="13" t="s">
        <v>61</v>
      </c>
      <c r="CJ334" s="518" t="str">
        <f>IF(AND(_AC6="A-321",'2023'!$L$4="CA",'2023'!$L$2=CJ309),'2023DATA'!$C$27,"")</f>
        <v/>
      </c>
      <c r="CK334" s="518" t="str">
        <f>IF(AND(_AC6="A-321",'2023'!$L$4="CA",'2023'!$L$2=CK309),'2023DATA'!$D$27,"")</f>
        <v/>
      </c>
      <c r="CL334" s="518" t="str">
        <f>IF(AND(_AC6="A-321",'2023'!$L$4="CA",'2023'!$L$2=CL309),'2023DATA'!$E$27,"")</f>
        <v/>
      </c>
      <c r="CM334" s="518" t="str">
        <f>IF(AND(_AC6="A-321",'2023'!$L$4="CA",'2023'!$L$2=CM309),'2023DATA'!$F$27,"")</f>
        <v/>
      </c>
      <c r="CN334" s="518" t="str">
        <f>IF(AND(_AC6="A-321",'2023'!$L$4="CA",'2023'!$L$2=CN309),'2023DATA'!$G$27,"")</f>
        <v/>
      </c>
      <c r="CO334" s="518" t="str">
        <f>IF(AND(_AC6="A-321",'2023'!$L$4="CA",'2023'!$L$2=CO309),'2023DATA'!$H$27,"")</f>
        <v/>
      </c>
      <c r="CP334" s="518" t="str">
        <f>IF(AND(_AC6="A-321",'2023'!$L$4="CA",'2023'!$L$2=CP309),'2023DATA'!$I$27,"")</f>
        <v/>
      </c>
      <c r="CQ334" s="518" t="str">
        <f>IF(AND(_AC6="A-321",'2023'!$L$4="CA",'2023'!$L$2=CQ309),'2023DATA'!$J$27,"")</f>
        <v/>
      </c>
      <c r="CR334" s="518" t="str">
        <f>IF(AND(_AC6="A-321",'2023'!$L$4="CA",'2023'!$L$2=CR309),'2023DATA'!$K$27,"")</f>
        <v/>
      </c>
      <c r="CS334" s="518" t="str">
        <f>IF(AND(_AC6="A-321",'2023'!$L$4="CA",'2023'!$L$2=CS309),'2023DATA'!$L$27,"")</f>
        <v/>
      </c>
      <c r="CT334" s="518" t="str">
        <f>IF(AND(_AC6="A-321",'2023'!$L$4="CA",'2023'!$L$2=CT309),'2023DATA'!$M$27,"")</f>
        <v/>
      </c>
      <c r="CU334" s="520" t="str">
        <f>IF(AND(_AC6="A-321",'2023'!$L$4="CA",'2023'!$L$2=CU309),'2023DATA'!$N$27,"")</f>
        <v/>
      </c>
    </row>
    <row r="335" spans="16:99" x14ac:dyDescent="0.25">
      <c r="P335" s="940"/>
      <c r="Q335" s="13" t="s">
        <v>62</v>
      </c>
      <c r="R335" s="518" t="str">
        <f>IF(AND(_AC1="A-321",'2023'!$L$4="FO",'2023'!$L$2=R309),'2023DATA'!$C$28,"")</f>
        <v/>
      </c>
      <c r="S335" s="518" t="str">
        <f>IF(AND(_AC1="A-321",'2023'!$L$4="FO",'2023'!$L$2=S309),'2023DATA'!$D$28,"")</f>
        <v/>
      </c>
      <c r="T335" s="518" t="str">
        <f>IF(AND(_AC1="A-321",'2023'!$L$4="FO",'2023'!$L$2=T309),'2023DATA'!$E$28,"")</f>
        <v/>
      </c>
      <c r="U335" s="518" t="str">
        <f>IF(AND(_AC1="A-321",'2023'!$L$4="FO",'2023'!$L$2=U309),'2023DATA'!$F$28,"")</f>
        <v/>
      </c>
      <c r="V335" s="518" t="str">
        <f>IF(AND(_AC1="A-321",'2023'!$L$4="FO",'2023'!$L$2=V309),'2023DATA'!$G$28,"")</f>
        <v/>
      </c>
      <c r="W335" s="518" t="str">
        <f>IF(AND(_AC1="A-321",'2023'!$L$4="FO",'2023'!$L$2=W309),'2023DATA'!$H$28,"")</f>
        <v/>
      </c>
      <c r="X335" s="518" t="str">
        <f>IF(AND(_AC1="A-321",'2023'!$L$4="FO",'2023'!$L$2=X309),'2023DATA'!$I$28,"")</f>
        <v/>
      </c>
      <c r="Y335" s="518" t="str">
        <f>IF(AND(_AC1="A-321",'2023'!$L$4="FO",'2023'!$L$2=Y309),'2023DATA'!$J$28,"")</f>
        <v/>
      </c>
      <c r="Z335" s="518" t="str">
        <f>IF(AND(_AC1="A-321",'2023'!$L$4="FO",'2023'!$L$2=Z309),'2023DATA'!$K$28,"")</f>
        <v/>
      </c>
      <c r="AA335" s="518" t="str">
        <f>IF(AND(_AC1="A-321",'2023'!$L$4="FO",'2023'!$L$2=AA309),'2023DATA'!$L$28,"")</f>
        <v/>
      </c>
      <c r="AB335" s="518" t="str">
        <f>IF(AND(_AC1="A-321",'2023'!$L$4="FO",'2023'!$L$2=AB309),'2023DATA'!$M$28,"")</f>
        <v/>
      </c>
      <c r="AC335" s="520" t="str">
        <f>IF(AND(_AC1="A-321",'2023'!$L$4="FO",'2023'!$L$2=AC309),'2023DATA'!$N$28,"")</f>
        <v/>
      </c>
      <c r="AD335" s="940"/>
      <c r="AE335" s="13" t="s">
        <v>62</v>
      </c>
      <c r="AF335" s="518" t="str">
        <f>IF(AND(_AC2="A-321",'2023'!$L$4="FO",'2023'!$L$2=AF309),'2023DATA'!$C$28,"")</f>
        <v/>
      </c>
      <c r="AG335" s="518" t="str">
        <f>IF(AND(_AC2="A-321",'2023'!$L$4="FO",'2023'!$L$2=AG309),'2023DATA'!$D$28,"")</f>
        <v/>
      </c>
      <c r="AH335" s="518" t="str">
        <f>IF(AND(_AC2="A-321",'2023'!$L$4="FO",'2023'!$L$2=AH309),'2023DATA'!$E$28,"")</f>
        <v/>
      </c>
      <c r="AI335" s="518" t="str">
        <f>IF(AND(_AC2="A-321",'2023'!$L$4="FO",'2023'!$L$2=AI309),'2023DATA'!$F$28,"")</f>
        <v/>
      </c>
      <c r="AJ335" s="518" t="str">
        <f>IF(AND(_AC2="A-321",'2023'!$L$4="FO",'2023'!$L$2=AJ309),'2023DATA'!$G$28,"")</f>
        <v/>
      </c>
      <c r="AK335" s="518" t="str">
        <f>IF(AND(_AC2="A-321",'2023'!$L$4="FO",'2023'!$L$2=AK309),'2023DATA'!$H$28,"")</f>
        <v/>
      </c>
      <c r="AL335" s="518" t="str">
        <f>IF(AND(_AC2="A-321",'2023'!$L$4="FO",'2023'!$L$2=AL309),'2023DATA'!$I$28,"")</f>
        <v/>
      </c>
      <c r="AM335" s="518" t="str">
        <f>IF(AND(_AC2="A-321",'2023'!$L$4="FO",'2023'!$L$2=AM309),'2023DATA'!$J$28,"")</f>
        <v/>
      </c>
      <c r="AN335" s="518" t="str">
        <f>IF(AND(_AC2="A-321",'2023'!$L$4="FO",'2023'!$L$2=AN309),'2023DATA'!$K$28,"")</f>
        <v/>
      </c>
      <c r="AO335" s="518" t="str">
        <f>IF(AND(_AC2="A-321",'2023'!$L$4="FO",'2023'!$L$2=AO309),'2023DATA'!$L$28,"")</f>
        <v/>
      </c>
      <c r="AP335" s="518" t="str">
        <f>IF(AND(_AC2="A-321",'2023'!$L$4="FO",'2023'!$L$2=AP309),'2023DATA'!$M$28,"")</f>
        <v/>
      </c>
      <c r="AQ335" s="520" t="str">
        <f>IF(AND(_AC2="A-321",'2023'!$L$4="FO",'2023'!$L$2=AQ309),'2023DATA'!$N$28,"")</f>
        <v/>
      </c>
      <c r="AR335" s="940"/>
      <c r="AS335" s="13" t="s">
        <v>62</v>
      </c>
      <c r="AT335" s="518" t="str">
        <f>IF(AND(_AC3="A-321",'2023'!$L$4="FO",'2023'!$L$2=AT309),'2023DATA'!$C$28,"")</f>
        <v/>
      </c>
      <c r="AU335" s="518" t="str">
        <f>IF(AND(_AC3="A-321",'2023'!$L$4="FO",'2023'!$L$2=AU309),'2023DATA'!$D$28,"")</f>
        <v/>
      </c>
      <c r="AV335" s="518" t="str">
        <f>IF(AND(_AC3="A-321",'2023'!$L$4="FO",'2023'!$L$2=AV309),'2023DATA'!$E$28,"")</f>
        <v/>
      </c>
      <c r="AW335" s="518" t="str">
        <f>IF(AND(_AC3="A-321",'2023'!$L$4="FO",'2023'!$L$2=AW309),'2023DATA'!$F$28,"")</f>
        <v/>
      </c>
      <c r="AX335" s="518" t="str">
        <f>IF(AND(_AC3="A-321",'2023'!$L$4="FO",'2023'!$L$2=AX309),'2023DATA'!$G$28,"")</f>
        <v/>
      </c>
      <c r="AY335" s="518" t="str">
        <f>IF(AND(_AC3="A-321",'2023'!$L$4="FO",'2023'!$L$2=AY309),'2023DATA'!$H$28,"")</f>
        <v/>
      </c>
      <c r="AZ335" s="518" t="str">
        <f>IF(AND(_AC3="A-321",'2023'!$L$4="FO",'2023'!$L$2=AZ309),'2023DATA'!$I$28,"")</f>
        <v/>
      </c>
      <c r="BA335" s="518" t="str">
        <f>IF(AND(_AC3="A-321",'2023'!$L$4="FO",'2023'!$L$2=BA309),'2023DATA'!$J$28,"")</f>
        <v/>
      </c>
      <c r="BB335" s="518" t="str">
        <f>IF(AND(_AC3="A-321",'2023'!$L$4="FO",'2023'!$L$2=BB309),'2023DATA'!$K$28,"")</f>
        <v/>
      </c>
      <c r="BC335" s="518" t="str">
        <f>IF(AND(_AC3="A-321",'2023'!$L$4="FO",'2023'!$L$2=BC309),'2023DATA'!$L$28,"")</f>
        <v/>
      </c>
      <c r="BD335" s="518" t="str">
        <f>IF(AND(_AC3="A-321",'2023'!$L$4="FO",'2023'!$L$2=BD309),'2023DATA'!$M$28,"")</f>
        <v/>
      </c>
      <c r="BE335" s="520" t="str">
        <f>IF(AND(_AC3="A-321",'2023'!$L$4="FO",'2023'!$L$2=BE309),'2023DATA'!$N$28,"")</f>
        <v/>
      </c>
      <c r="BF335" s="940"/>
      <c r="BG335" s="13" t="s">
        <v>62</v>
      </c>
      <c r="BH335" s="518" t="str">
        <f>IF(AND(_AC4="A-321",'2023'!$L$4="FO",'2023'!$L$2=BH309),'2023DATA'!$C$28,"")</f>
        <v/>
      </c>
      <c r="BI335" s="518" t="str">
        <f>IF(AND(_AC4="A-321",'2023'!$L$4="FO",'2023'!$L$2=BI309),'2023DATA'!$D$28,"")</f>
        <v/>
      </c>
      <c r="BJ335" s="518" t="str">
        <f>IF(AND(_AC4="A-321",'2023'!$L$4="FO",'2023'!$L$2=BJ309),'2023DATA'!$E$28,"")</f>
        <v/>
      </c>
      <c r="BK335" s="518" t="str">
        <f>IF(AND(_AC4="A-321",'2023'!$L$4="FO",'2023'!$L$2=BK309),'2023DATA'!$F$28,"")</f>
        <v/>
      </c>
      <c r="BL335" s="518" t="str">
        <f>IF(AND(_AC4="A-321",'2023'!$L$4="FO",'2023'!$L$2=BL309),'2023DATA'!$G$28,"")</f>
        <v/>
      </c>
      <c r="BM335" s="518" t="str">
        <f>IF(AND(_AC4="A-321",'2023'!$L$4="FO",'2023'!$L$2=BM309),'2023DATA'!$H$28,"")</f>
        <v/>
      </c>
      <c r="BN335" s="518" t="str">
        <f>IF(AND(_AC4="A-321",'2023'!$L$4="FO",'2023'!$L$2=BN309),'2023DATA'!$I$28,"")</f>
        <v/>
      </c>
      <c r="BO335" s="518" t="str">
        <f>IF(AND(_AC4="A-321",'2023'!$L$4="FO",'2023'!$L$2=BO309),'2023DATA'!$J$28,"")</f>
        <v/>
      </c>
      <c r="BP335" s="518" t="str">
        <f>IF(AND(_AC4="A-321",'2023'!$L$4="FO",'2023'!$L$2=BP309),'2023DATA'!$K$28,"")</f>
        <v/>
      </c>
      <c r="BQ335" s="518" t="str">
        <f>IF(AND(_AC4="A-321",'2023'!$L$4="FO",'2023'!$L$2=BQ309),'2023DATA'!$L$28,"")</f>
        <v/>
      </c>
      <c r="BR335" s="518" t="str">
        <f>IF(AND(_AC4="A-321",'2023'!$L$4="FO",'2023'!$L$2=BR309),'2023DATA'!$M$28,"")</f>
        <v/>
      </c>
      <c r="BS335" s="520" t="str">
        <f>IF(AND(_AC4="A-321",'2023'!$L$4="FO",'2023'!$L$2=BS309),'2023DATA'!$N$28,"")</f>
        <v/>
      </c>
      <c r="BT335" s="940"/>
      <c r="BU335" s="13" t="s">
        <v>62</v>
      </c>
      <c r="BV335" s="518" t="str">
        <f>IF(AND(_AC5="A-321",'2023'!$L$4="FO",'2023'!$L$2=BV309),'2023DATA'!$C$28,"")</f>
        <v/>
      </c>
      <c r="BW335" s="518" t="str">
        <f>IF(AND(_AC5="A-321",'2023'!$L$4="FO",'2023'!$L$2=BW309),'2023DATA'!$D$28,"")</f>
        <v/>
      </c>
      <c r="BX335" s="518" t="str">
        <f>IF(AND(_AC5="A-321",'2023'!$L$4="FO",'2023'!$L$2=BX309),'2023DATA'!$E$28,"")</f>
        <v/>
      </c>
      <c r="BY335" s="518" t="str">
        <f>IF(AND(_AC5="A-321",'2023'!$L$4="FO",'2023'!$L$2=BY309),'2023DATA'!$F$28,"")</f>
        <v/>
      </c>
      <c r="BZ335" s="518" t="str">
        <f>IF(AND(_AC5="A-321",'2023'!$L$4="FO",'2023'!$L$2=BZ309),'2023DATA'!$G$28,"")</f>
        <v/>
      </c>
      <c r="CA335" s="518" t="str">
        <f>IF(AND(_AC5="A-321",'2023'!$L$4="FO",'2023'!$L$2=CA309),'2023DATA'!$H$28,"")</f>
        <v/>
      </c>
      <c r="CB335" s="518" t="str">
        <f>IF(AND(_AC5="A-321",'2023'!$L$4="FO",'2023'!$L$2=CB309),'2023DATA'!$I$28,"")</f>
        <v/>
      </c>
      <c r="CC335" s="518" t="str">
        <f>IF(AND(_AC5="A-321",'2023'!$L$4="FO",'2023'!$L$2=CC309),'2023DATA'!$J$28,"")</f>
        <v/>
      </c>
      <c r="CD335" s="518" t="str">
        <f>IF(AND(_AC5="A-321",'2023'!$L$4="FO",'2023'!$L$2=CD309),'2023DATA'!$K$28,"")</f>
        <v/>
      </c>
      <c r="CE335" s="518" t="str">
        <f>IF(AND(_AC5="A-321",'2023'!$L$4="FO",'2023'!$L$2=CE309),'2023DATA'!$L$28,"")</f>
        <v/>
      </c>
      <c r="CF335" s="518" t="str">
        <f>IF(AND(_AC5="A-321",'2023'!$L$4="FO",'2023'!$L$2=CF309),'2023DATA'!$M$28,"")</f>
        <v/>
      </c>
      <c r="CG335" s="520" t="str">
        <f>IF(AND(_AC5="A-321",'2023'!$L$4="FO",'2023'!$L$2=CG309),'2023DATA'!$N$28,"")</f>
        <v/>
      </c>
      <c r="CH335" s="940"/>
      <c r="CI335" s="13" t="s">
        <v>62</v>
      </c>
      <c r="CJ335" s="518" t="str">
        <f>IF(AND(_AC6="A-321",'2023'!$L$4="FO",'2023'!$L$2=CJ309),'2023DATA'!$C$28,"")</f>
        <v/>
      </c>
      <c r="CK335" s="518" t="str">
        <f>IF(AND(_AC6="A-321",'2023'!$L$4="FO",'2023'!$L$2=CK309),'2023DATA'!$D$28,"")</f>
        <v/>
      </c>
      <c r="CL335" s="518" t="str">
        <f>IF(AND(_AC6="A-321",'2023'!$L$4="FO",'2023'!$L$2=CL309),'2023DATA'!$E$28,"")</f>
        <v/>
      </c>
      <c r="CM335" s="518" t="str">
        <f>IF(AND(_AC6="A-321",'2023'!$L$4="FO",'2023'!$L$2=CM309),'2023DATA'!$F$28,"")</f>
        <v/>
      </c>
      <c r="CN335" s="518" t="str">
        <f>IF(AND(_AC6="A-321",'2023'!$L$4="FO",'2023'!$L$2=CN309),'2023DATA'!$G$28,"")</f>
        <v/>
      </c>
      <c r="CO335" s="518" t="str">
        <f>IF(AND(_AC6="A-321",'2023'!$L$4="FO",'2023'!$L$2=CO309),'2023DATA'!$H$28,"")</f>
        <v/>
      </c>
      <c r="CP335" s="518" t="str">
        <f>IF(AND(_AC6="A-321",'2023'!$L$4="FO",'2023'!$L$2=CP309),'2023DATA'!$I$28,"")</f>
        <v/>
      </c>
      <c r="CQ335" s="518" t="str">
        <f>IF(AND(_AC6="A-321",'2023'!$L$4="FO",'2023'!$L$2=CQ309),'2023DATA'!$J$28,"")</f>
        <v/>
      </c>
      <c r="CR335" s="518" t="str">
        <f>IF(AND(_AC6="A-321",'2023'!$L$4="FO",'2023'!$L$2=CR309),'2023DATA'!$K$28,"")</f>
        <v/>
      </c>
      <c r="CS335" s="518" t="str">
        <f>IF(AND(_AC6="A-321",'2023'!$L$4="FO",'2023'!$L$2=CS309),'2023DATA'!$L$28,"")</f>
        <v/>
      </c>
      <c r="CT335" s="518" t="str">
        <f>IF(AND(_AC6="A-321",'2023'!$L$4="FO",'2023'!$L$2=CT309),'2023DATA'!$M$28,"")</f>
        <v/>
      </c>
      <c r="CU335" s="520" t="str">
        <f>IF(AND(_AC6="A-321",'2023'!$L$4="FO",'2023'!$L$2=CU309),'2023DATA'!$N$28,"")</f>
        <v/>
      </c>
    </row>
    <row r="336" spans="16:99" x14ac:dyDescent="0.25">
      <c r="P336" s="940" t="s">
        <v>70</v>
      </c>
      <c r="Q336" s="13" t="s">
        <v>61</v>
      </c>
      <c r="R336" s="518" t="str">
        <f>IF(AND(_AC1="A-320",'2023'!$L$4="CA",'2023'!$L$2=R309),'2023DATA'!$C$29,"")</f>
        <v/>
      </c>
      <c r="S336" s="518" t="str">
        <f>IF(AND(_AC1="A-320",'2023'!$L$4="CA",'2023'!$L$2=S309),'2023DATA'!$D$29,"")</f>
        <v/>
      </c>
      <c r="T336" s="518" t="str">
        <f>IF(AND(_AC1="A-320",'2023'!$L$4="CA",'2023'!$L$2=T309),'2023DATA'!$E$29,"")</f>
        <v/>
      </c>
      <c r="U336" s="518" t="str">
        <f>IF(AND(_AC1="A-320",'2023'!$L$4="CA",'2023'!$L$2=U309),'2023DATA'!$F$29,"")</f>
        <v/>
      </c>
      <c r="V336" s="518" t="str">
        <f>IF(AND(_AC1="A-320",'2023'!$L$4="CA",'2023'!$L$2=V309),'2023DATA'!$G$29,"")</f>
        <v/>
      </c>
      <c r="W336" s="518" t="str">
        <f>IF(AND(_AC1="A-320",'2023'!$L$4="CA",'2023'!$L$2=W309),'2023DATA'!$H$29,"")</f>
        <v/>
      </c>
      <c r="X336" s="518" t="str">
        <f>IF(AND(_AC1="A-320",'2023'!$L$4="CA",'2023'!$L$2=X309),'2023DATA'!$I$29,"")</f>
        <v/>
      </c>
      <c r="Y336" s="518" t="str">
        <f>IF(AND(_AC1="A-320",'2023'!$L$4="CA",'2023'!$L$2=Y309),'2023DATA'!$J$29,"")</f>
        <v/>
      </c>
      <c r="Z336" s="518" t="str">
        <f>IF(AND(_AC1="A-320",'2023'!$L$4="CA",'2023'!$L$2=Z309),'2023DATA'!$K$29,"")</f>
        <v/>
      </c>
      <c r="AA336" s="518" t="str">
        <f>IF(AND(_AC1="A-320",'2023'!$L$4="CA",'2023'!$L$2=AA309),'2023DATA'!$L$29,"")</f>
        <v/>
      </c>
      <c r="AB336" s="518" t="str">
        <f>IF(AND(_AC1="A-320",'2023'!$L$4="CA",'2023'!$L$2=AB309),'2023DATA'!$M$29,"")</f>
        <v/>
      </c>
      <c r="AC336" s="520" t="str">
        <f>IF(AND(_AC1="A-320",'2023'!$L$4="CA",'2023'!$L$2=AC309),'2023DATA'!$N$29,"")</f>
        <v/>
      </c>
      <c r="AD336" s="940" t="s">
        <v>70</v>
      </c>
      <c r="AE336" s="13" t="s">
        <v>61</v>
      </c>
      <c r="AF336" s="518" t="str">
        <f>IF(AND(_AC2="A-320",'2023'!$L$4="CA",'2023'!$L$2=AF309),'2023DATA'!$C$29,"")</f>
        <v/>
      </c>
      <c r="AG336" s="518" t="str">
        <f>IF(AND(_AC2="A-320",'2023'!$L$4="CA",'2023'!$L$2=AG309),'2023DATA'!$D$29,"")</f>
        <v/>
      </c>
      <c r="AH336" s="518" t="str">
        <f>IF(AND(_AC2="A-320",'2023'!$L$4="CA",'2023'!$L$2=AH309),'2023DATA'!$E$29,"")</f>
        <v/>
      </c>
      <c r="AI336" s="518" t="str">
        <f>IF(AND(_AC2="A-320",'2023'!$L$4="CA",'2023'!$L$2=AI309),'2023DATA'!$F$29,"")</f>
        <v/>
      </c>
      <c r="AJ336" s="518" t="str">
        <f>IF(AND(_AC2="A-320",'2023'!$L$4="CA",'2023'!$L$2=AJ309),'2023DATA'!$G$29,"")</f>
        <v/>
      </c>
      <c r="AK336" s="518" t="str">
        <f>IF(AND(_AC2="A-320",'2023'!$L$4="CA",'2023'!$L$2=AK309),'2023DATA'!$H$29,"")</f>
        <v/>
      </c>
      <c r="AL336" s="518" t="str">
        <f>IF(AND(_AC2="A-320",'2023'!$L$4="CA",'2023'!$L$2=AL309),'2023DATA'!$I$29,"")</f>
        <v/>
      </c>
      <c r="AM336" s="518" t="str">
        <f>IF(AND(_AC2="A-320",'2023'!$L$4="CA",'2023'!$L$2=AM309),'2023DATA'!$J$29,"")</f>
        <v/>
      </c>
      <c r="AN336" s="518" t="str">
        <f>IF(AND(_AC2="A-320",'2023'!$L$4="CA",'2023'!$L$2=AN309),'2023DATA'!$K$29,"")</f>
        <v/>
      </c>
      <c r="AO336" s="518" t="str">
        <f>IF(AND(_AC2="A-320",'2023'!$L$4="CA",'2023'!$L$2=AO309),'2023DATA'!$L$29,"")</f>
        <v/>
      </c>
      <c r="AP336" s="518" t="str">
        <f>IF(AND(_AC2="A-320",'2023'!$L$4="CA",'2023'!$L$2=AP309),'2023DATA'!$M$29,"")</f>
        <v/>
      </c>
      <c r="AQ336" s="520" t="str">
        <f>IF(AND(_AC2="A-320",'2023'!$L$4="CA",'2023'!$L$2=AQ309),'2023DATA'!$N$29,"")</f>
        <v/>
      </c>
      <c r="AR336" s="940" t="s">
        <v>70</v>
      </c>
      <c r="AS336" s="13" t="s">
        <v>61</v>
      </c>
      <c r="AT336" s="518" t="str">
        <f>IF(AND(_AC3="A-320",'2023'!$L$4="CA",'2023'!$L$2=AT309),'2023DATA'!$C$29,"")</f>
        <v/>
      </c>
      <c r="AU336" s="518" t="str">
        <f>IF(AND(_AC3="A-320",'2023'!$L$4="CA",'2023'!$L$2=AU309),'2023DATA'!$D$29,"")</f>
        <v/>
      </c>
      <c r="AV336" s="518" t="str">
        <f>IF(AND(_AC3="A-320",'2023'!$L$4="CA",'2023'!$L$2=AV309),'2023DATA'!$E$29,"")</f>
        <v/>
      </c>
      <c r="AW336" s="518" t="str">
        <f>IF(AND(_AC3="A-320",'2023'!$L$4="CA",'2023'!$L$2=AW309),'2023DATA'!$F$29,"")</f>
        <v/>
      </c>
      <c r="AX336" s="518" t="str">
        <f>IF(AND(_AC3="A-320",'2023'!$L$4="CA",'2023'!$L$2=AX309),'2023DATA'!$G$29,"")</f>
        <v/>
      </c>
      <c r="AY336" s="518" t="str">
        <f>IF(AND(_AC3="A-320",'2023'!$L$4="CA",'2023'!$L$2=AY309),'2023DATA'!$H$29,"")</f>
        <v/>
      </c>
      <c r="AZ336" s="518" t="str">
        <f>IF(AND(_AC3="A-320",'2023'!$L$4="CA",'2023'!$L$2=AZ309),'2023DATA'!$I$29,"")</f>
        <v/>
      </c>
      <c r="BA336" s="518" t="str">
        <f>IF(AND(_AC3="A-320",'2023'!$L$4="CA",'2023'!$L$2=BA309),'2023DATA'!$J$29,"")</f>
        <v/>
      </c>
      <c r="BB336" s="518" t="str">
        <f>IF(AND(_AC3="A-320",'2023'!$L$4="CA",'2023'!$L$2=BB309),'2023DATA'!$K$29,"")</f>
        <v/>
      </c>
      <c r="BC336" s="518" t="str">
        <f>IF(AND(_AC3="A-320",'2023'!$L$4="CA",'2023'!$L$2=BC309),'2023DATA'!$L$29,"")</f>
        <v/>
      </c>
      <c r="BD336" s="518" t="str">
        <f>IF(AND(_AC3="A-320",'2023'!$L$4="CA",'2023'!$L$2=BD309),'2023DATA'!$M$29,"")</f>
        <v/>
      </c>
      <c r="BE336" s="520" t="str">
        <f>IF(AND(_AC3="A-320",'2023'!$L$4="CA",'2023'!$L$2=BE309),'2023DATA'!$N$29,"")</f>
        <v/>
      </c>
      <c r="BF336" s="940" t="s">
        <v>70</v>
      </c>
      <c r="BG336" s="13" t="s">
        <v>61</v>
      </c>
      <c r="BH336" s="518" t="str">
        <f>IF(AND(_AC4="A-320",'2023'!$L$4="CA",'2023'!$L$2=BH309),'2023DATA'!$C$29,"")</f>
        <v/>
      </c>
      <c r="BI336" s="518" t="str">
        <f>IF(AND(_AC4="A-320",'2023'!$L$4="CA",'2023'!$L$2=BI309),'2023DATA'!$D$29,"")</f>
        <v/>
      </c>
      <c r="BJ336" s="518" t="str">
        <f>IF(AND(_AC4="A-320",'2023'!$L$4="CA",'2023'!$L$2=BJ309),'2023DATA'!$E$29,"")</f>
        <v/>
      </c>
      <c r="BK336" s="518" t="str">
        <f>IF(AND(_AC4="A-320",'2023'!$L$4="CA",'2023'!$L$2=BK309),'2023DATA'!$F$29,"")</f>
        <v/>
      </c>
      <c r="BL336" s="518" t="str">
        <f>IF(AND(_AC4="A-320",'2023'!$L$4="CA",'2023'!$L$2=BL309),'2023DATA'!$G$29,"")</f>
        <v/>
      </c>
      <c r="BM336" s="518" t="str">
        <f>IF(AND(_AC4="A-320",'2023'!$L$4="CA",'2023'!$L$2=BM309),'2023DATA'!$H$29,"")</f>
        <v/>
      </c>
      <c r="BN336" s="518" t="str">
        <f>IF(AND(_AC4="A-320",'2023'!$L$4="CA",'2023'!$L$2=BN309),'2023DATA'!$I$29,"")</f>
        <v/>
      </c>
      <c r="BO336" s="518" t="str">
        <f>IF(AND(_AC4="A-320",'2023'!$L$4="CA",'2023'!$L$2=BO309),'2023DATA'!$J$29,"")</f>
        <v/>
      </c>
      <c r="BP336" s="518" t="str">
        <f>IF(AND(_AC4="A-320",'2023'!$L$4="CA",'2023'!$L$2=BP309),'2023DATA'!$K$29,"")</f>
        <v/>
      </c>
      <c r="BQ336" s="518" t="str">
        <f>IF(AND(_AC4="A-320",'2023'!$L$4="CA",'2023'!$L$2=BQ309),'2023DATA'!$L$29,"")</f>
        <v/>
      </c>
      <c r="BR336" s="518" t="str">
        <f>IF(AND(_AC4="A-320",'2023'!$L$4="CA",'2023'!$L$2=BR309),'2023DATA'!$M$29,"")</f>
        <v/>
      </c>
      <c r="BS336" s="520" t="str">
        <f>IF(AND(_AC4="A-320",'2023'!$L$4="CA",'2023'!$L$2=BS309),'2023DATA'!$N$29,"")</f>
        <v/>
      </c>
      <c r="BT336" s="940" t="s">
        <v>70</v>
      </c>
      <c r="BU336" s="13" t="s">
        <v>61</v>
      </c>
      <c r="BV336" s="518" t="str">
        <f>IF(AND(_AC5="A-320",'2023'!$L$4="CA",'2023'!$L$2=BV309),'2023DATA'!$C$29,"")</f>
        <v/>
      </c>
      <c r="BW336" s="518" t="str">
        <f>IF(AND(_AC5="A-320",'2023'!$L$4="CA",'2023'!$L$2=BW309),'2023DATA'!$D$29,"")</f>
        <v/>
      </c>
      <c r="BX336" s="518" t="str">
        <f>IF(AND(_AC5="A-320",'2023'!$L$4="CA",'2023'!$L$2=BX309),'2023DATA'!$E$29,"")</f>
        <v/>
      </c>
      <c r="BY336" s="518" t="str">
        <f>IF(AND(_AC5="A-320",'2023'!$L$4="CA",'2023'!$L$2=BY309),'2023DATA'!$F$29,"")</f>
        <v/>
      </c>
      <c r="BZ336" s="518" t="str">
        <f>IF(AND(_AC5="A-320",'2023'!$L$4="CA",'2023'!$L$2=BZ309),'2023DATA'!$G$29,"")</f>
        <v/>
      </c>
      <c r="CA336" s="518" t="str">
        <f>IF(AND(_AC5="A-320",'2023'!$L$4="CA",'2023'!$L$2=CA309),'2023DATA'!$H$29,"")</f>
        <v/>
      </c>
      <c r="CB336" s="518" t="str">
        <f>IF(AND(_AC5="A-320",'2023'!$L$4="CA",'2023'!$L$2=CB309),'2023DATA'!$I$29,"")</f>
        <v/>
      </c>
      <c r="CC336" s="518" t="str">
        <f>IF(AND(_AC5="A-320",'2023'!$L$4="CA",'2023'!$L$2=CC309),'2023DATA'!$J$29,"")</f>
        <v/>
      </c>
      <c r="CD336" s="518" t="str">
        <f>IF(AND(_AC5="A-320",'2023'!$L$4="CA",'2023'!$L$2=CD309),'2023DATA'!$K$29,"")</f>
        <v/>
      </c>
      <c r="CE336" s="518" t="str">
        <f>IF(AND(_AC5="A-320",'2023'!$L$4="CA",'2023'!$L$2=CE309),'2023DATA'!$L$29,"")</f>
        <v/>
      </c>
      <c r="CF336" s="518" t="str">
        <f>IF(AND(_AC5="A-320",'2023'!$L$4="CA",'2023'!$L$2=CF309),'2023DATA'!$M$29,"")</f>
        <v/>
      </c>
      <c r="CG336" s="520" t="str">
        <f>IF(AND(_AC5="A-320",'2023'!$L$4="CA",'2023'!$L$2=CG309),'2023DATA'!$N$29,"")</f>
        <v/>
      </c>
      <c r="CH336" s="940" t="s">
        <v>70</v>
      </c>
      <c r="CI336" s="13" t="s">
        <v>61</v>
      </c>
      <c r="CJ336" s="518" t="str">
        <f>IF(AND(_AC6="A-320",'2023'!$L$4="CA",'2023'!$L$2=CJ309),'2023DATA'!$C$29,"")</f>
        <v/>
      </c>
      <c r="CK336" s="518" t="str">
        <f>IF(AND(_AC6="A-320",'2023'!$L$4="CA",'2023'!$L$2=CK309),'2023DATA'!$D$29,"")</f>
        <v/>
      </c>
      <c r="CL336" s="518" t="str">
        <f>IF(AND(_AC6="A-320",'2023'!$L$4="CA",'2023'!$L$2=CL309),'2023DATA'!$E$29,"")</f>
        <v/>
      </c>
      <c r="CM336" s="518" t="str">
        <f>IF(AND(_AC6="A-320",'2023'!$L$4="CA",'2023'!$L$2=CM309),'2023DATA'!$F$29,"")</f>
        <v/>
      </c>
      <c r="CN336" s="518" t="str">
        <f>IF(AND(_AC6="A-320",'2023'!$L$4="CA",'2023'!$L$2=CN309),'2023DATA'!$G$29,"")</f>
        <v/>
      </c>
      <c r="CO336" s="518" t="str">
        <f>IF(AND(_AC6="A-320",'2023'!$L$4="CA",'2023'!$L$2=CO309),'2023DATA'!$H$29,"")</f>
        <v/>
      </c>
      <c r="CP336" s="518" t="str">
        <f>IF(AND(_AC6="A-320",'2023'!$L$4="CA",'2023'!$L$2=CP309),'2023DATA'!$I$29,"")</f>
        <v/>
      </c>
      <c r="CQ336" s="518" t="str">
        <f>IF(AND(_AC6="A-320",'2023'!$L$4="CA",'2023'!$L$2=CQ309),'2023DATA'!$J$29,"")</f>
        <v/>
      </c>
      <c r="CR336" s="518" t="str">
        <f>IF(AND(_AC6="A-320",'2023'!$L$4="CA",'2023'!$L$2=CR309),'2023DATA'!$K$29,"")</f>
        <v/>
      </c>
      <c r="CS336" s="518" t="str">
        <f>IF(AND(_AC6="A-320",'2023'!$L$4="CA",'2023'!$L$2=CS309),'2023DATA'!$L$29,"")</f>
        <v/>
      </c>
      <c r="CT336" s="518" t="str">
        <f>IF(AND(_AC6="A-320",'2023'!$L$4="CA",'2023'!$L$2=CT309),'2023DATA'!$M$29,"")</f>
        <v/>
      </c>
      <c r="CU336" s="520" t="str">
        <f>IF(AND(_AC6="A-320",'2023'!$L$4="CA",'2023'!$L$2=CU309),'2023DATA'!$N$29,"")</f>
        <v/>
      </c>
    </row>
    <row r="337" spans="16:99" x14ac:dyDescent="0.25">
      <c r="P337" s="940"/>
      <c r="Q337" s="13" t="s">
        <v>62</v>
      </c>
      <c r="R337" s="518" t="str">
        <f>IF(AND(_AC1="A-320",'2023'!$L$4="FO",'2023'!$L$2=R309),'2023DATA'!$C$30,"")</f>
        <v/>
      </c>
      <c r="S337" s="518" t="str">
        <f>IF(AND(_AC1="A-320",'2023'!$L$4="FO",'2023'!$L$2=S309),'2023DATA'!$D$30,"")</f>
        <v/>
      </c>
      <c r="T337" s="518" t="str">
        <f>IF(AND(_AC1="A-320",'2023'!$L$4="FO",'2023'!$L$2=T309),'2023DATA'!$E$30,"")</f>
        <v/>
      </c>
      <c r="U337" s="518" t="str">
        <f>IF(AND(_AC1="A-320",'2023'!$L$4="FO",'2023'!$L$2=U309),'2023DATA'!$F$30,"")</f>
        <v/>
      </c>
      <c r="V337" s="518" t="str">
        <f>IF(AND(_AC1="A-320",'2023'!$L$4="FO",'2023'!$L$2=V309),'2023DATA'!$G$30,"")</f>
        <v/>
      </c>
      <c r="W337" s="518" t="str">
        <f>IF(AND(_AC1="A-320",'2023'!$L$4="FO",'2023'!$L$2=W309),'2023DATA'!$H$30,"")</f>
        <v/>
      </c>
      <c r="X337" s="518" t="str">
        <f>IF(AND(_AC1="A-320",'2023'!$L$4="FO",'2023'!$L$2=X309),'2023DATA'!$I$30,"")</f>
        <v/>
      </c>
      <c r="Y337" s="518" t="str">
        <f>IF(AND(_AC1="A-320",'2023'!$L$4="FO",'2023'!$L$2=Y309),'2023DATA'!$J$30,"")</f>
        <v/>
      </c>
      <c r="Z337" s="518" t="str">
        <f>IF(AND(_AC1="A-320",'2023'!$L$4="FO",'2023'!$L$2=Z309),'2023DATA'!$K$30,"")</f>
        <v/>
      </c>
      <c r="AA337" s="518" t="str">
        <f>IF(AND(_AC1="A-320",'2023'!$L$4="FO",'2023'!$L$2=AA309),'2023DATA'!$L$30,"")</f>
        <v/>
      </c>
      <c r="AB337" s="518" t="str">
        <f>IF(AND(_AC1="A-320",'2023'!$L$4="FO",'2023'!$L$2=AB309),'2023DATA'!$M$30,"")</f>
        <v/>
      </c>
      <c r="AC337" s="520" t="str">
        <f>IF(AND(_AC1="A-320",'2023'!$L$4="FO",'2023'!$L$2=AC309),'2023DATA'!$N$30,"")</f>
        <v/>
      </c>
      <c r="AD337" s="940"/>
      <c r="AE337" s="13" t="s">
        <v>62</v>
      </c>
      <c r="AF337" s="518" t="str">
        <f>IF(AND(_AC2="A-320",'2023'!$L$4="FO",'2023'!$L$2=AF309),'2023DATA'!$C$30,"")</f>
        <v/>
      </c>
      <c r="AG337" s="518" t="str">
        <f>IF(AND(_AC2="A-320",'2023'!$L$4="FO",'2023'!$L$2=AG309),'2023DATA'!$D$30,"")</f>
        <v/>
      </c>
      <c r="AH337" s="518" t="str">
        <f>IF(AND(_AC2="A-320",'2023'!$L$4="FO",'2023'!$L$2=AH309),'2023DATA'!$E$30,"")</f>
        <v/>
      </c>
      <c r="AI337" s="518" t="str">
        <f>IF(AND(_AC2="A-320",'2023'!$L$4="FO",'2023'!$L$2=AI309),'2023DATA'!$F$30,"")</f>
        <v/>
      </c>
      <c r="AJ337" s="518" t="str">
        <f>IF(AND(_AC2="A-320",'2023'!$L$4="FO",'2023'!$L$2=AJ309),'2023DATA'!$G$30,"")</f>
        <v/>
      </c>
      <c r="AK337" s="518" t="str">
        <f>IF(AND(_AC2="A-320",'2023'!$L$4="FO",'2023'!$L$2=AK309),'2023DATA'!$H$30,"")</f>
        <v/>
      </c>
      <c r="AL337" s="518" t="str">
        <f>IF(AND(_AC2="A-320",'2023'!$L$4="FO",'2023'!$L$2=AL309),'2023DATA'!$I$30,"")</f>
        <v/>
      </c>
      <c r="AM337" s="518" t="str">
        <f>IF(AND(_AC2="A-320",'2023'!$L$4="FO",'2023'!$L$2=AM309),'2023DATA'!$J$30,"")</f>
        <v/>
      </c>
      <c r="AN337" s="518" t="str">
        <f>IF(AND(_AC2="A-320",'2023'!$L$4="FO",'2023'!$L$2=AN309),'2023DATA'!$K$30,"")</f>
        <v/>
      </c>
      <c r="AO337" s="518" t="str">
        <f>IF(AND(_AC2="A-320",'2023'!$L$4="FO",'2023'!$L$2=AO309),'2023DATA'!$L$30,"")</f>
        <v/>
      </c>
      <c r="AP337" s="518" t="str">
        <f>IF(AND(_AC2="A-320",'2023'!$L$4="FO",'2023'!$L$2=AP309),'2023DATA'!$M$30,"")</f>
        <v/>
      </c>
      <c r="AQ337" s="520" t="str">
        <f>IF(AND(_AC2="A-320",'2023'!$L$4="FO",'2023'!$L$2=AQ309),'2023DATA'!$N$30,"")</f>
        <v/>
      </c>
      <c r="AR337" s="940"/>
      <c r="AS337" s="13" t="s">
        <v>62</v>
      </c>
      <c r="AT337" s="518" t="str">
        <f>IF(AND(_AC3="A-320",'2023'!$L$4="FO",'2023'!$L$2=AT309),'2023DATA'!$C$30,"")</f>
        <v/>
      </c>
      <c r="AU337" s="518" t="str">
        <f>IF(AND(_AC3="A-320",'2023'!$L$4="FO",'2023'!$L$2=AU309),'2023DATA'!$D$30,"")</f>
        <v/>
      </c>
      <c r="AV337" s="518" t="str">
        <f>IF(AND(_AC3="A-320",'2023'!$L$4="FO",'2023'!$L$2=AV309),'2023DATA'!$E$30,"")</f>
        <v/>
      </c>
      <c r="AW337" s="518" t="str">
        <f>IF(AND(_AC3="A-320",'2023'!$L$4="FO",'2023'!$L$2=AW309),'2023DATA'!$F$30,"")</f>
        <v/>
      </c>
      <c r="AX337" s="518" t="str">
        <f>IF(AND(_AC3="A-320",'2023'!$L$4="FO",'2023'!$L$2=AX309),'2023DATA'!$G$30,"")</f>
        <v/>
      </c>
      <c r="AY337" s="518" t="str">
        <f>IF(AND(_AC3="A-320",'2023'!$L$4="FO",'2023'!$L$2=AY309),'2023DATA'!$H$30,"")</f>
        <v/>
      </c>
      <c r="AZ337" s="518" t="str">
        <f>IF(AND(_AC3="A-320",'2023'!$L$4="FO",'2023'!$L$2=AZ309),'2023DATA'!$I$30,"")</f>
        <v/>
      </c>
      <c r="BA337" s="518" t="str">
        <f>IF(AND(_AC3="A-320",'2023'!$L$4="FO",'2023'!$L$2=BA309),'2023DATA'!$J$30,"")</f>
        <v/>
      </c>
      <c r="BB337" s="518" t="str">
        <f>IF(AND(_AC3="A-320",'2023'!$L$4="FO",'2023'!$L$2=BB309),'2023DATA'!$K$30,"")</f>
        <v/>
      </c>
      <c r="BC337" s="518" t="str">
        <f>IF(AND(_AC3="A-320",'2023'!$L$4="FO",'2023'!$L$2=BC309),'2023DATA'!$L$30,"")</f>
        <v/>
      </c>
      <c r="BD337" s="518" t="str">
        <f>IF(AND(_AC3="A-320",'2023'!$L$4="FO",'2023'!$L$2=BD309),'2023DATA'!$M$30,"")</f>
        <v/>
      </c>
      <c r="BE337" s="520" t="str">
        <f>IF(AND(_AC3="A-320",'2023'!$L$4="FO",'2023'!$L$2=BE309),'2023DATA'!$N$30,"")</f>
        <v/>
      </c>
      <c r="BF337" s="940"/>
      <c r="BG337" s="13" t="s">
        <v>62</v>
      </c>
      <c r="BH337" s="518" t="str">
        <f>IF(AND(_AC4="A-320",'2023'!$L$4="FO",'2023'!$L$2=BH309),'2023DATA'!$C$30,"")</f>
        <v/>
      </c>
      <c r="BI337" s="518" t="str">
        <f>IF(AND(_AC4="A-320",'2023'!$L$4="FO",'2023'!$L$2=BI309),'2023DATA'!$D$30,"")</f>
        <v/>
      </c>
      <c r="BJ337" s="518" t="str">
        <f>IF(AND(_AC4="A-320",'2023'!$L$4="FO",'2023'!$L$2=BJ309),'2023DATA'!$E$30,"")</f>
        <v/>
      </c>
      <c r="BK337" s="518" t="str">
        <f>IF(AND(_AC4="A-320",'2023'!$L$4="FO",'2023'!$L$2=BK309),'2023DATA'!$F$30,"")</f>
        <v/>
      </c>
      <c r="BL337" s="518" t="str">
        <f>IF(AND(_AC4="A-320",'2023'!$L$4="FO",'2023'!$L$2=BL309),'2023DATA'!$G$30,"")</f>
        <v/>
      </c>
      <c r="BM337" s="518" t="str">
        <f>IF(AND(_AC4="A-320",'2023'!$L$4="FO",'2023'!$L$2=BM309),'2023DATA'!$H$30,"")</f>
        <v/>
      </c>
      <c r="BN337" s="518" t="str">
        <f>IF(AND(_AC4="A-320",'2023'!$L$4="FO",'2023'!$L$2=BN309),'2023DATA'!$I$30,"")</f>
        <v/>
      </c>
      <c r="BO337" s="518" t="str">
        <f>IF(AND(_AC4="A-320",'2023'!$L$4="FO",'2023'!$L$2=BO309),'2023DATA'!$J$30,"")</f>
        <v/>
      </c>
      <c r="BP337" s="518" t="str">
        <f>IF(AND(_AC4="A-320",'2023'!$L$4="FO",'2023'!$L$2=BP309),'2023DATA'!$K$30,"")</f>
        <v/>
      </c>
      <c r="BQ337" s="518" t="str">
        <f>IF(AND(_AC4="A-320",'2023'!$L$4="FO",'2023'!$L$2=BQ309),'2023DATA'!$L$30,"")</f>
        <v/>
      </c>
      <c r="BR337" s="518" t="str">
        <f>IF(AND(_AC4="A-320",'2023'!$L$4="FO",'2023'!$L$2=BR309),'2023DATA'!$M$30,"")</f>
        <v/>
      </c>
      <c r="BS337" s="520" t="str">
        <f>IF(AND(_AC4="A-320",'2023'!$L$4="FO",'2023'!$L$2=BS309),'2023DATA'!$N$30,"")</f>
        <v/>
      </c>
      <c r="BT337" s="940"/>
      <c r="BU337" s="13" t="s">
        <v>62</v>
      </c>
      <c r="BV337" s="518" t="str">
        <f>IF(AND(_AC5="A-320",'2023'!$L$4="FO",'2023'!$L$2=BV309),'2023DATA'!$C$30,"")</f>
        <v/>
      </c>
      <c r="BW337" s="518" t="str">
        <f>IF(AND(_AC5="A-320",'2023'!$L$4="FO",'2023'!$L$2=BW309),'2023DATA'!$D$30,"")</f>
        <v/>
      </c>
      <c r="BX337" s="518" t="str">
        <f>IF(AND(_AC5="A-320",'2023'!$L$4="FO",'2023'!$L$2=BX309),'2023DATA'!$E$30,"")</f>
        <v/>
      </c>
      <c r="BY337" s="518" t="str">
        <f>IF(AND(_AC5="A-320",'2023'!$L$4="FO",'2023'!$L$2=BY309),'2023DATA'!$F$30,"")</f>
        <v/>
      </c>
      <c r="BZ337" s="518" t="str">
        <f>IF(AND(_AC5="A-320",'2023'!$L$4="FO",'2023'!$L$2=BZ309),'2023DATA'!$G$30,"")</f>
        <v/>
      </c>
      <c r="CA337" s="518" t="str">
        <f>IF(AND(_AC5="A-320",'2023'!$L$4="FO",'2023'!$L$2=CA309),'2023DATA'!$H$30,"")</f>
        <v/>
      </c>
      <c r="CB337" s="518" t="str">
        <f>IF(AND(_AC5="A-320",'2023'!$L$4="FO",'2023'!$L$2=CB309),'2023DATA'!$I$30,"")</f>
        <v/>
      </c>
      <c r="CC337" s="518" t="str">
        <f>IF(AND(_AC5="A-320",'2023'!$L$4="FO",'2023'!$L$2=CC309),'2023DATA'!$J$30,"")</f>
        <v/>
      </c>
      <c r="CD337" s="518" t="str">
        <f>IF(AND(_AC5="A-320",'2023'!$L$4="FO",'2023'!$L$2=CD309),'2023DATA'!$K$30,"")</f>
        <v/>
      </c>
      <c r="CE337" s="518" t="str">
        <f>IF(AND(_AC5="A-320",'2023'!$L$4="FO",'2023'!$L$2=CE309),'2023DATA'!$L$30,"")</f>
        <v/>
      </c>
      <c r="CF337" s="518" t="str">
        <f>IF(AND(_AC5="A-320",'2023'!$L$4="FO",'2023'!$L$2=CF309),'2023DATA'!$M$30,"")</f>
        <v/>
      </c>
      <c r="CG337" s="520" t="str">
        <f>IF(AND(_AC5="A-320",'2023'!$L$4="FO",'2023'!$L$2=CG309),'2023DATA'!$N$30,"")</f>
        <v/>
      </c>
      <c r="CH337" s="940"/>
      <c r="CI337" s="13" t="s">
        <v>62</v>
      </c>
      <c r="CJ337" s="518" t="str">
        <f>IF(AND(_AC6="A-320",'2023'!$L$4="FO",'2023'!$L$2=CJ309),'2023DATA'!$C$30,"")</f>
        <v/>
      </c>
      <c r="CK337" s="518" t="str">
        <f>IF(AND(_AC6="A-320",'2023'!$L$4="FO",'2023'!$L$2=CK309),'2023DATA'!$D$30,"")</f>
        <v/>
      </c>
      <c r="CL337" s="518" t="str">
        <f>IF(AND(_AC6="A-320",'2023'!$L$4="FO",'2023'!$L$2=CL309),'2023DATA'!$E$30,"")</f>
        <v/>
      </c>
      <c r="CM337" s="518" t="str">
        <f>IF(AND(_AC6="A-320",'2023'!$L$4="FO",'2023'!$L$2=CM309),'2023DATA'!$F$30,"")</f>
        <v/>
      </c>
      <c r="CN337" s="518" t="str">
        <f>IF(AND(_AC6="A-320",'2023'!$L$4="FO",'2023'!$L$2=CN309),'2023DATA'!$G$30,"")</f>
        <v/>
      </c>
      <c r="CO337" s="518" t="str">
        <f>IF(AND(_AC6="A-320",'2023'!$L$4="FO",'2023'!$L$2=CO309),'2023DATA'!$H$30,"")</f>
        <v/>
      </c>
      <c r="CP337" s="518" t="str">
        <f>IF(AND(_AC6="A-320",'2023'!$L$4="FO",'2023'!$L$2=CP309),'2023DATA'!$I$30,"")</f>
        <v/>
      </c>
      <c r="CQ337" s="518" t="str">
        <f>IF(AND(_AC6="A-320",'2023'!$L$4="FO",'2023'!$L$2=CQ309),'2023DATA'!$J$30,"")</f>
        <v/>
      </c>
      <c r="CR337" s="518" t="str">
        <f>IF(AND(_AC6="A-320",'2023'!$L$4="FO",'2023'!$L$2=CR309),'2023DATA'!$K$30,"")</f>
        <v/>
      </c>
      <c r="CS337" s="518" t="str">
        <f>IF(AND(_AC6="A-320",'2023'!$L$4="FO",'2023'!$L$2=CS309),'2023DATA'!$L$30,"")</f>
        <v/>
      </c>
      <c r="CT337" s="518" t="str">
        <f>IF(AND(_AC6="A-320",'2023'!$L$4="FO",'2023'!$L$2=CT309),'2023DATA'!$M$30,"")</f>
        <v/>
      </c>
      <c r="CU337" s="520" t="str">
        <f>IF(AND(_AC6="A-320",'2023'!$L$4="FO",'2023'!$L$2=CU309),'2023DATA'!$N$30,"")</f>
        <v/>
      </c>
    </row>
    <row r="338" spans="16:99" x14ac:dyDescent="0.25">
      <c r="P338" s="940" t="s">
        <v>71</v>
      </c>
      <c r="Q338" s="13" t="s">
        <v>61</v>
      </c>
      <c r="R338" s="518" t="str">
        <f>IF(AND(_AC1="A-319",'2023'!$L$4="CA",'2023'!$L$2=R309),'2023DATA'!$C$31,"")</f>
        <v/>
      </c>
      <c r="S338" s="518" t="str">
        <f>IF(AND(_AC1="A-319",'2023'!$L$4="CA",'2023'!$L$2=S309),'2023DATA'!$D$31,"")</f>
        <v/>
      </c>
      <c r="T338" s="518" t="str">
        <f>IF(AND(_AC1="A-319",'2023'!$L$4="CA",'2023'!$L$2=T309),'2023DATA'!$E$31,"")</f>
        <v/>
      </c>
      <c r="U338" s="518" t="str">
        <f>IF(AND(_AC1="A-319",'2023'!$L$4="CA",'2023'!$L$2=U309),'2023DATA'!$F$31,"")</f>
        <v/>
      </c>
      <c r="V338" s="518" t="str">
        <f>IF(AND(_AC1="A-319",'2023'!$L$4="CA",'2023'!$L$2=V309),'2023DATA'!$G$31,"")</f>
        <v/>
      </c>
      <c r="W338" s="518" t="str">
        <f>IF(AND(_AC1="A-319",'2023'!$L$4="CA",'2023'!$L$2=W309),'2023DATA'!$H$31,"")</f>
        <v/>
      </c>
      <c r="X338" s="518" t="str">
        <f>IF(AND(_AC1="A-319",'2023'!$L$4="CA",'2023'!$L$2=X309),'2023DATA'!$I$31,"")</f>
        <v/>
      </c>
      <c r="Y338" s="518" t="str">
        <f>IF(AND(_AC1="A-319",'2023'!$L$4="CA",'2023'!$L$2=Y309),'2023DATA'!$J$31,"")</f>
        <v/>
      </c>
      <c r="Z338" s="518" t="str">
        <f>IF(AND(_AC1="A-319",'2023'!$L$4="CA",'2023'!$L$2=Z309),'2023DATA'!$K$31,"")</f>
        <v/>
      </c>
      <c r="AA338" s="518" t="str">
        <f>IF(AND(_AC1="A-319",'2023'!$L$4="CA",'2023'!$L$2=AA309),'2023DATA'!$L$31,"")</f>
        <v/>
      </c>
      <c r="AB338" s="518" t="str">
        <f>IF(AND(_AC1="A-319",'2023'!$L$4="CA",'2023'!$L$2=AB309),'2023DATA'!$M$31,"")</f>
        <v/>
      </c>
      <c r="AC338" s="520" t="str">
        <f>IF(AND(_AC1="A-319",'2023'!$L$4="CA",'2023'!$L$2=AC309),'2023DATA'!$N$31,"")</f>
        <v/>
      </c>
      <c r="AD338" s="940" t="s">
        <v>71</v>
      </c>
      <c r="AE338" s="13" t="s">
        <v>61</v>
      </c>
      <c r="AF338" s="518" t="str">
        <f>IF(AND(_AC2="A-319",'2023'!$L$4="CA",'2023'!$L$2=AF309),'2023DATA'!$C$31,"")</f>
        <v/>
      </c>
      <c r="AG338" s="518" t="str">
        <f>IF(AND(_AC2="A-319",'2023'!$L$4="CA",'2023'!$L$2=AG309),'2023DATA'!$D$31,"")</f>
        <v/>
      </c>
      <c r="AH338" s="518" t="str">
        <f>IF(AND(_AC2="A-319",'2023'!$L$4="CA",'2023'!$L$2=AH309),'2023DATA'!$E$31,"")</f>
        <v/>
      </c>
      <c r="AI338" s="518" t="str">
        <f>IF(AND(_AC2="A-319",'2023'!$L$4="CA",'2023'!$L$2=AI309),'2023DATA'!$F$31,"")</f>
        <v/>
      </c>
      <c r="AJ338" s="518" t="str">
        <f>IF(AND(_AC2="A-319",'2023'!$L$4="CA",'2023'!$L$2=AJ309),'2023DATA'!$G$31,"")</f>
        <v/>
      </c>
      <c r="AK338" s="518" t="str">
        <f>IF(AND(_AC2="A-319",'2023'!$L$4="CA",'2023'!$L$2=AK309),'2023DATA'!$H$31,"")</f>
        <v/>
      </c>
      <c r="AL338" s="518" t="str">
        <f>IF(AND(_AC2="A-319",'2023'!$L$4="CA",'2023'!$L$2=AL309),'2023DATA'!$I$31,"")</f>
        <v/>
      </c>
      <c r="AM338" s="518" t="str">
        <f>IF(AND(_AC2="A-319",'2023'!$L$4="CA",'2023'!$L$2=AM309),'2023DATA'!$J$31,"")</f>
        <v/>
      </c>
      <c r="AN338" s="518" t="str">
        <f>IF(AND(_AC2="A-319",'2023'!$L$4="CA",'2023'!$L$2=AN309),'2023DATA'!$K$31,"")</f>
        <v/>
      </c>
      <c r="AO338" s="518" t="str">
        <f>IF(AND(_AC2="A-319",'2023'!$L$4="CA",'2023'!$L$2=AO309),'2023DATA'!$L$31,"")</f>
        <v/>
      </c>
      <c r="AP338" s="518" t="str">
        <f>IF(AND(_AC2="A-319",'2023'!$L$4="CA",'2023'!$L$2=AP309),'2023DATA'!$M$31,"")</f>
        <v/>
      </c>
      <c r="AQ338" s="520" t="str">
        <f>IF(AND(_AC2="A-319",'2023'!$L$4="CA",'2023'!$L$2=AQ309),'2023DATA'!$N$31,"")</f>
        <v/>
      </c>
      <c r="AR338" s="940" t="s">
        <v>71</v>
      </c>
      <c r="AS338" s="13" t="s">
        <v>61</v>
      </c>
      <c r="AT338" s="518" t="str">
        <f>IF(AND(_AC3="A-319",'2023'!$L$4="CA",'2023'!$L$2=AT309),'2023DATA'!$C$31,"")</f>
        <v/>
      </c>
      <c r="AU338" s="518" t="str">
        <f>IF(AND(_AC3="A-319",'2023'!$L$4="CA",'2023'!$L$2=AU309),'2023DATA'!$D$31,"")</f>
        <v/>
      </c>
      <c r="AV338" s="518" t="str">
        <f>IF(AND(_AC3="A-319",'2023'!$L$4="CA",'2023'!$L$2=AV309),'2023DATA'!$E$31,"")</f>
        <v/>
      </c>
      <c r="AW338" s="518" t="str">
        <f>IF(AND(_AC3="A-319",'2023'!$L$4="CA",'2023'!$L$2=AW309),'2023DATA'!$F$31,"")</f>
        <v/>
      </c>
      <c r="AX338" s="518" t="str">
        <f>IF(AND(_AC3="A-319",'2023'!$L$4="CA",'2023'!$L$2=AX309),'2023DATA'!$G$31,"")</f>
        <v/>
      </c>
      <c r="AY338" s="518" t="str">
        <f>IF(AND(_AC3="A-319",'2023'!$L$4="CA",'2023'!$L$2=AY309),'2023DATA'!$H$31,"")</f>
        <v/>
      </c>
      <c r="AZ338" s="518" t="str">
        <f>IF(AND(_AC3="A-319",'2023'!$L$4="CA",'2023'!$L$2=AZ309),'2023DATA'!$I$31,"")</f>
        <v/>
      </c>
      <c r="BA338" s="518" t="str">
        <f>IF(AND(_AC3="A-319",'2023'!$L$4="CA",'2023'!$L$2=BA309),'2023DATA'!$J$31,"")</f>
        <v/>
      </c>
      <c r="BB338" s="518" t="str">
        <f>IF(AND(_AC3="A-319",'2023'!$L$4="CA",'2023'!$L$2=BB309),'2023DATA'!$K$31,"")</f>
        <v/>
      </c>
      <c r="BC338" s="518" t="str">
        <f>IF(AND(_AC3="A-319",'2023'!$L$4="CA",'2023'!$L$2=BC309),'2023DATA'!$L$31,"")</f>
        <v/>
      </c>
      <c r="BD338" s="518" t="str">
        <f>IF(AND(_AC3="A-319",'2023'!$L$4="CA",'2023'!$L$2=BD309),'2023DATA'!$M$31,"")</f>
        <v/>
      </c>
      <c r="BE338" s="520" t="str">
        <f>IF(AND(_AC3="A-319",'2023'!$L$4="CA",'2023'!$L$2=BE309),'2023DATA'!$N$31,"")</f>
        <v/>
      </c>
      <c r="BF338" s="940" t="s">
        <v>71</v>
      </c>
      <c r="BG338" s="13" t="s">
        <v>61</v>
      </c>
      <c r="BH338" s="518" t="str">
        <f>IF(AND(_AC4="A-319",'2023'!$L$4="CA",'2023'!$L$2=BH309),'2023DATA'!$C$31,"")</f>
        <v/>
      </c>
      <c r="BI338" s="518" t="str">
        <f>IF(AND(_AC4="A-319",'2023'!$L$4="CA",'2023'!$L$2=BI309),'2023DATA'!$D$31,"")</f>
        <v/>
      </c>
      <c r="BJ338" s="518" t="str">
        <f>IF(AND(_AC4="A-319",'2023'!$L$4="CA",'2023'!$L$2=BJ309),'2023DATA'!$E$31,"")</f>
        <v/>
      </c>
      <c r="BK338" s="518" t="str">
        <f>IF(AND(_AC4="A-319",'2023'!$L$4="CA",'2023'!$L$2=BK309),'2023DATA'!$F$31,"")</f>
        <v/>
      </c>
      <c r="BL338" s="518" t="str">
        <f>IF(AND(_AC4="A-319",'2023'!$L$4="CA",'2023'!$L$2=BL309),'2023DATA'!$G$31,"")</f>
        <v/>
      </c>
      <c r="BM338" s="518" t="str">
        <f>IF(AND(_AC4="A-319",'2023'!$L$4="CA",'2023'!$L$2=BM309),'2023DATA'!$H$31,"")</f>
        <v/>
      </c>
      <c r="BN338" s="518" t="str">
        <f>IF(AND(_AC4="A-319",'2023'!$L$4="CA",'2023'!$L$2=BN309),'2023DATA'!$I$31,"")</f>
        <v/>
      </c>
      <c r="BO338" s="518" t="str">
        <f>IF(AND(_AC4="A-319",'2023'!$L$4="CA",'2023'!$L$2=BO309),'2023DATA'!$J$31,"")</f>
        <v/>
      </c>
      <c r="BP338" s="518" t="str">
        <f>IF(AND(_AC4="A-319",'2023'!$L$4="CA",'2023'!$L$2=BP309),'2023DATA'!$K$31,"")</f>
        <v/>
      </c>
      <c r="BQ338" s="518" t="str">
        <f>IF(AND(_AC4="A-319",'2023'!$L$4="CA",'2023'!$L$2=BQ309),'2023DATA'!$L$31,"")</f>
        <v/>
      </c>
      <c r="BR338" s="518" t="str">
        <f>IF(AND(_AC4="A-319",'2023'!$L$4="CA",'2023'!$L$2=BR309),'2023DATA'!$M$31,"")</f>
        <v/>
      </c>
      <c r="BS338" s="520" t="str">
        <f>IF(AND(_AC4="A-319",'2023'!$L$4="CA",'2023'!$L$2=BS309),'2023DATA'!$N$31,"")</f>
        <v/>
      </c>
      <c r="BT338" s="940" t="s">
        <v>71</v>
      </c>
      <c r="BU338" s="13" t="s">
        <v>61</v>
      </c>
      <c r="BV338" s="518" t="str">
        <f>IF(AND(_AC5="A-319",'2023'!$L$4="CA",'2023'!$L$2=BV309),'2023DATA'!$C$31,"")</f>
        <v/>
      </c>
      <c r="BW338" s="518" t="str">
        <f>IF(AND(_AC5="A-319",'2023'!$L$4="CA",'2023'!$L$2=BW309),'2023DATA'!$D$31,"")</f>
        <v/>
      </c>
      <c r="BX338" s="518" t="str">
        <f>IF(AND(_AC5="A-319",'2023'!$L$4="CA",'2023'!$L$2=BX309),'2023DATA'!$E$31,"")</f>
        <v/>
      </c>
      <c r="BY338" s="518" t="str">
        <f>IF(AND(_AC5="A-319",'2023'!$L$4="CA",'2023'!$L$2=BY309),'2023DATA'!$F$31,"")</f>
        <v/>
      </c>
      <c r="BZ338" s="518" t="str">
        <f>IF(AND(_AC5="A-319",'2023'!$L$4="CA",'2023'!$L$2=BZ309),'2023DATA'!$G$31,"")</f>
        <v/>
      </c>
      <c r="CA338" s="518" t="str">
        <f>IF(AND(_AC5="A-319",'2023'!$L$4="CA",'2023'!$L$2=CA309),'2023DATA'!$H$31,"")</f>
        <v/>
      </c>
      <c r="CB338" s="518" t="str">
        <f>IF(AND(_AC5="A-319",'2023'!$L$4="CA",'2023'!$L$2=CB309),'2023DATA'!$I$31,"")</f>
        <v/>
      </c>
      <c r="CC338" s="518" t="str">
        <f>IF(AND(_AC5="A-319",'2023'!$L$4="CA",'2023'!$L$2=CC309),'2023DATA'!$J$31,"")</f>
        <v/>
      </c>
      <c r="CD338" s="518" t="str">
        <f>IF(AND(_AC5="A-319",'2023'!$L$4="CA",'2023'!$L$2=CD309),'2023DATA'!$K$31,"")</f>
        <v/>
      </c>
      <c r="CE338" s="518" t="str">
        <f>IF(AND(_AC5="A-319",'2023'!$L$4="CA",'2023'!$L$2=CE309),'2023DATA'!$L$31,"")</f>
        <v/>
      </c>
      <c r="CF338" s="518" t="str">
        <f>IF(AND(_AC5="A-319",'2023'!$L$4="CA",'2023'!$L$2=CF309),'2023DATA'!$M$31,"")</f>
        <v/>
      </c>
      <c r="CG338" s="520" t="str">
        <f>IF(AND(_AC5="A-319",'2023'!$L$4="CA",'2023'!$L$2=CG309),'2023DATA'!$N$31,"")</f>
        <v/>
      </c>
      <c r="CH338" s="940" t="s">
        <v>71</v>
      </c>
      <c r="CI338" s="13" t="s">
        <v>61</v>
      </c>
      <c r="CJ338" s="518" t="str">
        <f>IF(AND(_AC6="A-319",'2023'!$L$4="CA",'2023'!$L$2=CJ309),'2023DATA'!$C$31,"")</f>
        <v/>
      </c>
      <c r="CK338" s="518" t="str">
        <f>IF(AND(_AC6="A-319",'2023'!$L$4="CA",'2023'!$L$2=CK309),'2023DATA'!$D$31,"")</f>
        <v/>
      </c>
      <c r="CL338" s="518" t="str">
        <f>IF(AND(_AC6="A-319",'2023'!$L$4="CA",'2023'!$L$2=CL309),'2023DATA'!$E$31,"")</f>
        <v/>
      </c>
      <c r="CM338" s="518" t="str">
        <f>IF(AND(_AC6="A-319",'2023'!$L$4="CA",'2023'!$L$2=CM309),'2023DATA'!$F$31,"")</f>
        <v/>
      </c>
      <c r="CN338" s="518" t="str">
        <f>IF(AND(_AC6="A-319",'2023'!$L$4="CA",'2023'!$L$2=CN309),'2023DATA'!$G$31,"")</f>
        <v/>
      </c>
      <c r="CO338" s="518" t="str">
        <f>IF(AND(_AC6="A-319",'2023'!$L$4="CA",'2023'!$L$2=CO309),'2023DATA'!$H$31,"")</f>
        <v/>
      </c>
      <c r="CP338" s="518" t="str">
        <f>IF(AND(_AC6="A-319",'2023'!$L$4="CA",'2023'!$L$2=CP309),'2023DATA'!$I$31,"")</f>
        <v/>
      </c>
      <c r="CQ338" s="518" t="str">
        <f>IF(AND(_AC6="A-319",'2023'!$L$4="CA",'2023'!$L$2=CQ309),'2023DATA'!$J$31,"")</f>
        <v/>
      </c>
      <c r="CR338" s="518" t="str">
        <f>IF(AND(_AC6="A-319",'2023'!$L$4="CA",'2023'!$L$2=CR309),'2023DATA'!$K$31,"")</f>
        <v/>
      </c>
      <c r="CS338" s="518" t="str">
        <f>IF(AND(_AC6="A-319",'2023'!$L$4="CA",'2023'!$L$2=CS309),'2023DATA'!$L$31,"")</f>
        <v/>
      </c>
      <c r="CT338" s="518" t="str">
        <f>IF(AND(_AC6="A-319",'2023'!$L$4="CA",'2023'!$L$2=CT309),'2023DATA'!$M$31,"")</f>
        <v/>
      </c>
      <c r="CU338" s="520" t="str">
        <f>IF(AND(_AC6="A-319",'2023'!$L$4="CA",'2023'!$L$2=CU309),'2023DATA'!$N$31,"")</f>
        <v/>
      </c>
    </row>
    <row r="339" spans="16:99" x14ac:dyDescent="0.25">
      <c r="P339" s="940"/>
      <c r="Q339" s="13" t="s">
        <v>62</v>
      </c>
      <c r="R339" s="518" t="str">
        <f>IF(AND(_AC1="A-319",'2023'!$L$4="FO",'2023'!$L$2=R309),'2023DATA'!$C$32,"")</f>
        <v/>
      </c>
      <c r="S339" s="518" t="str">
        <f>IF(AND(_AC1="A-319",'2023'!$L$4="FO",'2023'!$L$2=S309),'2023DATA'!$D$32,"")</f>
        <v/>
      </c>
      <c r="T339" s="518" t="str">
        <f>IF(AND(_AC1="A-319",'2023'!$L$4="FO",'2023'!$L$2=T309),'2023DATA'!$E$32,"")</f>
        <v/>
      </c>
      <c r="U339" s="518" t="str">
        <f>IF(AND(_AC1="A-319",'2023'!$L$4="FO",'2023'!$L$2=U309),'2023DATA'!$F$32,"")</f>
        <v/>
      </c>
      <c r="V339" s="518" t="str">
        <f>IF(AND(_AC1="A-319",'2023'!$L$4="FO",'2023'!$L$2=V309),'2023DATA'!$G$32,"")</f>
        <v/>
      </c>
      <c r="W339" s="518" t="str">
        <f>IF(AND(_AC1="A-319",'2023'!$L$4="FO",'2023'!$L$2=W309),'2023DATA'!$H$32,"")</f>
        <v/>
      </c>
      <c r="X339" s="518" t="str">
        <f>IF(AND(_AC1="A-319",'2023'!$L$4="FO",'2023'!$L$2=X309),'2023DATA'!$I$32,"")</f>
        <v/>
      </c>
      <c r="Y339" s="518" t="str">
        <f>IF(AND(_AC1="A-319",'2023'!$L$4="FO",'2023'!$L$2=Y309),'2023DATA'!$J$32,"")</f>
        <v/>
      </c>
      <c r="Z339" s="518" t="str">
        <f>IF(AND(_AC1="A-319",'2023'!$L$4="FO",'2023'!$L$2=Z309),'2023DATA'!$K$32,"")</f>
        <v/>
      </c>
      <c r="AA339" s="518" t="str">
        <f>IF(AND(_AC1="A-319",'2023'!$L$4="FO",'2023'!$L$2=AA309),'2023DATA'!$L$32,"")</f>
        <v/>
      </c>
      <c r="AB339" s="518" t="str">
        <f>IF(AND(_AC1="A-319",'2023'!$L$4="FO",'2023'!$L$2=AB309),'2023DATA'!$M$32,"")</f>
        <v/>
      </c>
      <c r="AC339" s="520" t="str">
        <f>IF(AND(_AC1="A-319",'2023'!$L$4="FO",'2023'!$L$2=AC309),'2023DATA'!$N$32,"")</f>
        <v/>
      </c>
      <c r="AD339" s="940"/>
      <c r="AE339" s="13" t="s">
        <v>62</v>
      </c>
      <c r="AF339" s="518" t="str">
        <f>IF(AND(_AC2="A-319",'2023'!$L$4="FO",'2023'!$L$2=AF309),'2023DATA'!$C$32,"")</f>
        <v/>
      </c>
      <c r="AG339" s="518" t="str">
        <f>IF(AND(_AC2="A-319",'2023'!$L$4="FO",'2023'!$L$2=AG309),'2023DATA'!$D$32,"")</f>
        <v/>
      </c>
      <c r="AH339" s="518" t="str">
        <f>IF(AND(_AC2="A-319",'2023'!$L$4="FO",'2023'!$L$2=AH309),'2023DATA'!$E$32,"")</f>
        <v/>
      </c>
      <c r="AI339" s="518" t="str">
        <f>IF(AND(_AC2="A-319",'2023'!$L$4="FO",'2023'!$L$2=AI309),'2023DATA'!$F$32,"")</f>
        <v/>
      </c>
      <c r="AJ339" s="518" t="str">
        <f>IF(AND(_AC2="A-319",'2023'!$L$4="FO",'2023'!$L$2=AJ309),'2023DATA'!$G$32,"")</f>
        <v/>
      </c>
      <c r="AK339" s="518" t="str">
        <f>IF(AND(_AC2="A-319",'2023'!$L$4="FO",'2023'!$L$2=AK309),'2023DATA'!$H$32,"")</f>
        <v/>
      </c>
      <c r="AL339" s="518" t="str">
        <f>IF(AND(_AC2="A-319",'2023'!$L$4="FO",'2023'!$L$2=AL309),'2023DATA'!$I$32,"")</f>
        <v/>
      </c>
      <c r="AM339" s="518" t="str">
        <f>IF(AND(_AC2="A-319",'2023'!$L$4="FO",'2023'!$L$2=AM309),'2023DATA'!$J$32,"")</f>
        <v/>
      </c>
      <c r="AN339" s="518" t="str">
        <f>IF(AND(_AC2="A-319",'2023'!$L$4="FO",'2023'!$L$2=AN309),'2023DATA'!$K$32,"")</f>
        <v/>
      </c>
      <c r="AO339" s="518" t="str">
        <f>IF(AND(_AC2="A-319",'2023'!$L$4="FO",'2023'!$L$2=AO309),'2023DATA'!$L$32,"")</f>
        <v/>
      </c>
      <c r="AP339" s="518" t="str">
        <f>IF(AND(_AC2="A-319",'2023'!$L$4="FO",'2023'!$L$2=AP309),'2023DATA'!$M$32,"")</f>
        <v/>
      </c>
      <c r="AQ339" s="520" t="str">
        <f>IF(AND(_AC2="A-319",'2023'!$L$4="FO",'2023'!$L$2=AQ309),'2023DATA'!$N$32,"")</f>
        <v/>
      </c>
      <c r="AR339" s="940"/>
      <c r="AS339" s="13" t="s">
        <v>62</v>
      </c>
      <c r="AT339" s="518" t="str">
        <f>IF(AND(_AC3="A-319",'2023'!$L$4="FO",'2023'!$L$2=AT309),'2023DATA'!$C$32,"")</f>
        <v/>
      </c>
      <c r="AU339" s="518" t="str">
        <f>IF(AND(_AC3="A-319",'2023'!$L$4="FO",'2023'!$L$2=AU309),'2023DATA'!$D$32,"")</f>
        <v/>
      </c>
      <c r="AV339" s="518" t="str">
        <f>IF(AND(_AC3="A-319",'2023'!$L$4="FO",'2023'!$L$2=AV309),'2023DATA'!$E$32,"")</f>
        <v/>
      </c>
      <c r="AW339" s="518" t="str">
        <f>IF(AND(_AC3="A-319",'2023'!$L$4="FO",'2023'!$L$2=AW309),'2023DATA'!$F$32,"")</f>
        <v/>
      </c>
      <c r="AX339" s="518" t="str">
        <f>IF(AND(_AC3="A-319",'2023'!$L$4="FO",'2023'!$L$2=AX309),'2023DATA'!$G$32,"")</f>
        <v/>
      </c>
      <c r="AY339" s="518" t="str">
        <f>IF(AND(_AC3="A-319",'2023'!$L$4="FO",'2023'!$L$2=AY309),'2023DATA'!$H$32,"")</f>
        <v/>
      </c>
      <c r="AZ339" s="518" t="str">
        <f>IF(AND(_AC3="A-319",'2023'!$L$4="FO",'2023'!$L$2=AZ309),'2023DATA'!$I$32,"")</f>
        <v/>
      </c>
      <c r="BA339" s="518" t="str">
        <f>IF(AND(_AC3="A-319",'2023'!$L$4="FO",'2023'!$L$2=BA309),'2023DATA'!$J$32,"")</f>
        <v/>
      </c>
      <c r="BB339" s="518" t="str">
        <f>IF(AND(_AC3="A-319",'2023'!$L$4="FO",'2023'!$L$2=BB309),'2023DATA'!$K$32,"")</f>
        <v/>
      </c>
      <c r="BC339" s="518" t="str">
        <f>IF(AND(_AC3="A-319",'2023'!$L$4="FO",'2023'!$L$2=BC309),'2023DATA'!$L$32,"")</f>
        <v/>
      </c>
      <c r="BD339" s="518" t="str">
        <f>IF(AND(_AC3="A-319",'2023'!$L$4="FO",'2023'!$L$2=BD309),'2023DATA'!$M$32,"")</f>
        <v/>
      </c>
      <c r="BE339" s="520" t="str">
        <f>IF(AND(_AC3="A-319",'2023'!$L$4="FO",'2023'!$L$2=BE309),'2023DATA'!$N$32,"")</f>
        <v/>
      </c>
      <c r="BF339" s="940"/>
      <c r="BG339" s="13" t="s">
        <v>62</v>
      </c>
      <c r="BH339" s="518" t="str">
        <f>IF(AND(_AC4="A-319",'2023'!$L$4="FO",'2023'!$L$2=BH309),'2023DATA'!$C$32,"")</f>
        <v/>
      </c>
      <c r="BI339" s="518" t="str">
        <f>IF(AND(_AC4="A-319",'2023'!$L$4="FO",'2023'!$L$2=BI309),'2023DATA'!$D$32,"")</f>
        <v/>
      </c>
      <c r="BJ339" s="518" t="str">
        <f>IF(AND(_AC4="A-319",'2023'!$L$4="FO",'2023'!$L$2=BJ309),'2023DATA'!$E$32,"")</f>
        <v/>
      </c>
      <c r="BK339" s="518" t="str">
        <f>IF(AND(_AC4="A-319",'2023'!$L$4="FO",'2023'!$L$2=BK309),'2023DATA'!$F$32,"")</f>
        <v/>
      </c>
      <c r="BL339" s="518" t="str">
        <f>IF(AND(_AC4="A-319",'2023'!$L$4="FO",'2023'!$L$2=BL309),'2023DATA'!$G$32,"")</f>
        <v/>
      </c>
      <c r="BM339" s="518" t="str">
        <f>IF(AND(_AC4="A-319",'2023'!$L$4="FO",'2023'!$L$2=BM309),'2023DATA'!$H$32,"")</f>
        <v/>
      </c>
      <c r="BN339" s="518" t="str">
        <f>IF(AND(_AC4="A-319",'2023'!$L$4="FO",'2023'!$L$2=BN309),'2023DATA'!$I$32,"")</f>
        <v/>
      </c>
      <c r="BO339" s="518" t="str">
        <f>IF(AND(_AC4="A-319",'2023'!$L$4="FO",'2023'!$L$2=BO309),'2023DATA'!$J$32,"")</f>
        <v/>
      </c>
      <c r="BP339" s="518" t="str">
        <f>IF(AND(_AC4="A-319",'2023'!$L$4="FO",'2023'!$L$2=BP309),'2023DATA'!$K$32,"")</f>
        <v/>
      </c>
      <c r="BQ339" s="518" t="str">
        <f>IF(AND(_AC4="A-319",'2023'!$L$4="FO",'2023'!$L$2=BQ309),'2023DATA'!$L$32,"")</f>
        <v/>
      </c>
      <c r="BR339" s="518" t="str">
        <f>IF(AND(_AC4="A-319",'2023'!$L$4="FO",'2023'!$L$2=BR309),'2023DATA'!$M$32,"")</f>
        <v/>
      </c>
      <c r="BS339" s="520" t="str">
        <f>IF(AND(_AC4="A-319",'2023'!$L$4="FO",'2023'!$L$2=BS309),'2023DATA'!$N$32,"")</f>
        <v/>
      </c>
      <c r="BT339" s="940"/>
      <c r="BU339" s="13" t="s">
        <v>62</v>
      </c>
      <c r="BV339" s="518" t="str">
        <f>IF(AND(_AC5="A-319",'2023'!$L$4="FO",'2023'!$L$2=BV309),'2023DATA'!$C$32,"")</f>
        <v/>
      </c>
      <c r="BW339" s="518" t="str">
        <f>IF(AND(_AC5="A-319",'2023'!$L$4="FO",'2023'!$L$2=BW309),'2023DATA'!$D$32,"")</f>
        <v/>
      </c>
      <c r="BX339" s="518" t="str">
        <f>IF(AND(_AC5="A-319",'2023'!$L$4="FO",'2023'!$L$2=BX309),'2023DATA'!$E$32,"")</f>
        <v/>
      </c>
      <c r="BY339" s="518" t="str">
        <f>IF(AND(_AC5="A-319",'2023'!$L$4="FO",'2023'!$L$2=BY309),'2023DATA'!$F$32,"")</f>
        <v/>
      </c>
      <c r="BZ339" s="518" t="str">
        <f>IF(AND(_AC5="A-319",'2023'!$L$4="FO",'2023'!$L$2=BZ309),'2023DATA'!$G$32,"")</f>
        <v/>
      </c>
      <c r="CA339" s="518" t="str">
        <f>IF(AND(_AC5="A-319",'2023'!$L$4="FO",'2023'!$L$2=CA309),'2023DATA'!$H$32,"")</f>
        <v/>
      </c>
      <c r="CB339" s="518" t="str">
        <f>IF(AND(_AC5="A-319",'2023'!$L$4="FO",'2023'!$L$2=CB309),'2023DATA'!$I$32,"")</f>
        <v/>
      </c>
      <c r="CC339" s="518" t="str">
        <f>IF(AND(_AC5="A-319",'2023'!$L$4="FO",'2023'!$L$2=CC309),'2023DATA'!$J$32,"")</f>
        <v/>
      </c>
      <c r="CD339" s="518" t="str">
        <f>IF(AND(_AC5="A-319",'2023'!$L$4="FO",'2023'!$L$2=CD309),'2023DATA'!$K$32,"")</f>
        <v/>
      </c>
      <c r="CE339" s="518" t="str">
        <f>IF(AND(_AC5="A-319",'2023'!$L$4="FO",'2023'!$L$2=CE309),'2023DATA'!$L$32,"")</f>
        <v/>
      </c>
      <c r="CF339" s="518" t="str">
        <f>IF(AND(_AC5="A-319",'2023'!$L$4="FO",'2023'!$L$2=CF309),'2023DATA'!$M$32,"")</f>
        <v/>
      </c>
      <c r="CG339" s="520" t="str">
        <f>IF(AND(_AC5="A-319",'2023'!$L$4="FO",'2023'!$L$2=CG309),'2023DATA'!$N$32,"")</f>
        <v/>
      </c>
      <c r="CH339" s="940"/>
      <c r="CI339" s="13" t="s">
        <v>62</v>
      </c>
      <c r="CJ339" s="518" t="str">
        <f>IF(AND(_AC6="A-319",'2023'!$L$4="FO",'2023'!$L$2=CJ309),'2023DATA'!$C$32,"")</f>
        <v/>
      </c>
      <c r="CK339" s="518" t="str">
        <f>IF(AND(_AC6="A-319",'2023'!$L$4="FO",'2023'!$L$2=CK309),'2023DATA'!$D$32,"")</f>
        <v/>
      </c>
      <c r="CL339" s="518" t="str">
        <f>IF(AND(_AC6="A-319",'2023'!$L$4="FO",'2023'!$L$2=CL309),'2023DATA'!$E$32,"")</f>
        <v/>
      </c>
      <c r="CM339" s="518" t="str">
        <f>IF(AND(_AC6="A-319",'2023'!$L$4="FO",'2023'!$L$2=CM309),'2023DATA'!$F$32,"")</f>
        <v/>
      </c>
      <c r="CN339" s="518" t="str">
        <f>IF(AND(_AC6="A-319",'2023'!$L$4="FO",'2023'!$L$2=CN309),'2023DATA'!$G$32,"")</f>
        <v/>
      </c>
      <c r="CO339" s="518" t="str">
        <f>IF(AND(_AC6="A-319",'2023'!$L$4="FO",'2023'!$L$2=CO309),'2023DATA'!$H$32,"")</f>
        <v/>
      </c>
      <c r="CP339" s="518" t="str">
        <f>IF(AND(_AC6="A-319",'2023'!$L$4="FO",'2023'!$L$2=CP309),'2023DATA'!$I$32,"")</f>
        <v/>
      </c>
      <c r="CQ339" s="518" t="str">
        <f>IF(AND(_AC6="A-319",'2023'!$L$4="FO",'2023'!$L$2=CQ309),'2023DATA'!$J$32,"")</f>
        <v/>
      </c>
      <c r="CR339" s="518" t="str">
        <f>IF(AND(_AC6="A-319",'2023'!$L$4="FO",'2023'!$L$2=CR309),'2023DATA'!$K$32,"")</f>
        <v/>
      </c>
      <c r="CS339" s="518" t="str">
        <f>IF(AND(_AC6="A-319",'2023'!$L$4="FO",'2023'!$L$2=CS309),'2023DATA'!$L$32,"")</f>
        <v/>
      </c>
      <c r="CT339" s="518" t="str">
        <f>IF(AND(_AC6="A-319",'2023'!$L$4="FO",'2023'!$L$2=CT309),'2023DATA'!$M$32,"")</f>
        <v/>
      </c>
      <c r="CU339" s="520" t="str">
        <f>IF(AND(_AC6="A-319",'2023'!$L$4="FO",'2023'!$L$2=CU309),'2023DATA'!$N$32,"")</f>
        <v/>
      </c>
    </row>
    <row r="340" spans="16:99" x14ac:dyDescent="0.25">
      <c r="P340" s="940" t="s">
        <v>51</v>
      </c>
      <c r="Q340" s="13" t="s">
        <v>61</v>
      </c>
      <c r="R340" s="518" t="str">
        <f>IF(AND(_AC1="A-220-300",'2023'!$L$4="CA",'2023'!$L$2=R309),'2023DATA'!$C$33,"")</f>
        <v/>
      </c>
      <c r="S340" s="518" t="str">
        <f>IF(AND(_AC1="A-220-300",'2023'!$L$4="CA",'2023'!$L$2=S309),'2023DATA'!$D$33,"")</f>
        <v/>
      </c>
      <c r="T340" s="518" t="str">
        <f>IF(AND(_AC1="A-220-300",'2023'!$L$4="CA",'2023'!$L$2=T309),'2023DATA'!$E$33,"")</f>
        <v/>
      </c>
      <c r="U340" s="518" t="str">
        <f>IF(AND(_AC1="A-220-300",'2023'!$L$4="CA",'2023'!$L$2=U309),'2023DATA'!$F$33,"")</f>
        <v/>
      </c>
      <c r="V340" s="518" t="str">
        <f>IF(AND(_AC1="A-220-300",'2023'!$L$4="CA",'2023'!$L$2=V309),'2023DATA'!$G$33,"")</f>
        <v/>
      </c>
      <c r="W340" s="518" t="str">
        <f>IF(AND(_AC1="A-220-300",'2023'!$L$4="CA",'2023'!$L$2=W309),'2023DATA'!$H$33,"")</f>
        <v/>
      </c>
      <c r="X340" s="518" t="str">
        <f>IF(AND(_AC1="A-220-300",'2023'!$L$4="CA",'2023'!$L$2=X309),'2023DATA'!$I$33,"")</f>
        <v/>
      </c>
      <c r="Y340" s="518" t="str">
        <f>IF(AND(_AC1="A-220-300",'2023'!$L$4="CA",'2023'!$L$2=Y309),'2023DATA'!$J$33,"")</f>
        <v/>
      </c>
      <c r="Z340" s="518" t="str">
        <f>IF(AND(_AC1="A-220-300",'2023'!$L$4="CA",'2023'!$L$2=Z309),'2023DATA'!$K$33,"")</f>
        <v/>
      </c>
      <c r="AA340" s="518" t="str">
        <f>IF(AND(_AC1="A-220-300",'2023'!$L$4="CA",'2023'!$L$2=AA309),'2023DATA'!$L$33,"")</f>
        <v/>
      </c>
      <c r="AB340" s="518" t="str">
        <f>IF(AND(_AC1="A-220-300",'2023'!$L$4="CA",'2023'!$L$2=AB309),'2023DATA'!$M$33,"")</f>
        <v/>
      </c>
      <c r="AC340" s="520" t="str">
        <f>IF(AND(_AC1="A-220-300",'2023'!$L$4="CA",'2023'!$L$2=AC309),'2023DATA'!$N$33,"")</f>
        <v/>
      </c>
      <c r="AD340" s="940" t="s">
        <v>51</v>
      </c>
      <c r="AE340" s="13" t="s">
        <v>61</v>
      </c>
      <c r="AF340" s="518" t="str">
        <f>IF(AND(_AC2="A-220-300",'2023'!$L$4="CA",'2023'!$L$2=AF309),'2023DATA'!$C$33,"")</f>
        <v/>
      </c>
      <c r="AG340" s="518" t="str">
        <f>IF(AND(_AC2="A-220-300",'2023'!$L$4="CA",'2023'!$L$2=AG309),'2023DATA'!$D$33,"")</f>
        <v/>
      </c>
      <c r="AH340" s="518" t="str">
        <f>IF(AND(_AC2="A-220-300",'2023'!$L$4="CA",'2023'!$L$2=AH309),'2023DATA'!$E$33,"")</f>
        <v/>
      </c>
      <c r="AI340" s="518" t="str">
        <f>IF(AND(_AC2="A-220-300",'2023'!$L$4="CA",'2023'!$L$2=AI309),'2023DATA'!$F$33,"")</f>
        <v/>
      </c>
      <c r="AJ340" s="518" t="str">
        <f>IF(AND(_AC2="A-220-300",'2023'!$L$4="CA",'2023'!$L$2=AJ309),'2023DATA'!$G$33,"")</f>
        <v/>
      </c>
      <c r="AK340" s="518" t="str">
        <f>IF(AND(_AC2="A-220-300",'2023'!$L$4="CA",'2023'!$L$2=AK309),'2023DATA'!$H$33,"")</f>
        <v/>
      </c>
      <c r="AL340" s="518" t="str">
        <f>IF(AND(_AC2="A-220-300",'2023'!$L$4="CA",'2023'!$L$2=AL309),'2023DATA'!$I$33,"")</f>
        <v/>
      </c>
      <c r="AM340" s="518" t="str">
        <f>IF(AND(_AC2="A-220-300",'2023'!$L$4="CA",'2023'!$L$2=AM309),'2023DATA'!$J$33,"")</f>
        <v/>
      </c>
      <c r="AN340" s="518" t="str">
        <f>IF(AND(_AC2="A-220-300",'2023'!$L$4="CA",'2023'!$L$2=AN309),'2023DATA'!$K$33,"")</f>
        <v/>
      </c>
      <c r="AO340" s="518" t="str">
        <f>IF(AND(_AC2="A-220-300",'2023'!$L$4="CA",'2023'!$L$2=AO309),'2023DATA'!$L$33,"")</f>
        <v/>
      </c>
      <c r="AP340" s="518" t="str">
        <f>IF(AND(_AC2="A-220-300",'2023'!$L$4="CA",'2023'!$L$2=AP309),'2023DATA'!$M$33,"")</f>
        <v/>
      </c>
      <c r="AQ340" s="520" t="str">
        <f>IF(AND(_AC2="A-220-300",'2023'!$L$4="CA",'2023'!$L$2=AQ309),'2023DATA'!$N$33,"")</f>
        <v/>
      </c>
      <c r="AR340" s="940" t="s">
        <v>51</v>
      </c>
      <c r="AS340" s="13" t="s">
        <v>61</v>
      </c>
      <c r="AT340" s="518" t="str">
        <f>IF(AND(_AC3="A-220-300",'2023'!$L$4="CA",'2023'!$L$2=AT309),'2023DATA'!$C$33,"")</f>
        <v/>
      </c>
      <c r="AU340" s="518" t="str">
        <f>IF(AND(_AC3="A-220-300",'2023'!$L$4="CA",'2023'!$L$2=AU309),'2023DATA'!$D$33,"")</f>
        <v/>
      </c>
      <c r="AV340" s="518" t="str">
        <f>IF(AND(_AC3="A-220-300",'2023'!$L$4="CA",'2023'!$L$2=AV309),'2023DATA'!$E$33,"")</f>
        <v/>
      </c>
      <c r="AW340" s="518" t="str">
        <f>IF(AND(_AC3="A-220-300",'2023'!$L$4="CA",'2023'!$L$2=AW309),'2023DATA'!$F$33,"")</f>
        <v/>
      </c>
      <c r="AX340" s="518" t="str">
        <f>IF(AND(_AC3="A-220-300",'2023'!$L$4="CA",'2023'!$L$2=AX309),'2023DATA'!$G$33,"")</f>
        <v/>
      </c>
      <c r="AY340" s="518" t="str">
        <f>IF(AND(_AC3="A-220-300",'2023'!$L$4="CA",'2023'!$L$2=AY309),'2023DATA'!$H$33,"")</f>
        <v/>
      </c>
      <c r="AZ340" s="518" t="str">
        <f>IF(AND(_AC3="A-220-300",'2023'!$L$4="CA",'2023'!$L$2=AZ309),'2023DATA'!$I$33,"")</f>
        <v/>
      </c>
      <c r="BA340" s="518" t="str">
        <f>IF(AND(_AC3="A-220-300",'2023'!$L$4="CA",'2023'!$L$2=BA309),'2023DATA'!$J$33,"")</f>
        <v/>
      </c>
      <c r="BB340" s="518" t="str">
        <f>IF(AND(_AC3="A-220-300",'2023'!$L$4="CA",'2023'!$L$2=BB309),'2023DATA'!$K$33,"")</f>
        <v/>
      </c>
      <c r="BC340" s="518" t="str">
        <f>IF(AND(_AC3="A-220-300",'2023'!$L$4="CA",'2023'!$L$2=BC309),'2023DATA'!$L$33,"")</f>
        <v/>
      </c>
      <c r="BD340" s="518" t="str">
        <f>IF(AND(_AC3="A-220-300",'2023'!$L$4="CA",'2023'!$L$2=BD309),'2023DATA'!$M$33,"")</f>
        <v/>
      </c>
      <c r="BE340" s="520" t="str">
        <f>IF(AND(_AC3="A-220-300",'2023'!$L$4="CA",'2023'!$L$2=BE309),'2023DATA'!$N$33,"")</f>
        <v/>
      </c>
      <c r="BF340" s="940" t="s">
        <v>51</v>
      </c>
      <c r="BG340" s="13" t="s">
        <v>61</v>
      </c>
      <c r="BH340" s="518" t="str">
        <f>IF(AND(_AC4="A-220-300",'2023'!$L$4="CA",'2023'!$L$2=BH309),'2023DATA'!$C$33,"")</f>
        <v/>
      </c>
      <c r="BI340" s="518" t="str">
        <f>IF(AND(_AC4="A-220-300",'2023'!$L$4="CA",'2023'!$L$2=BI309),'2023DATA'!$D$33,"")</f>
        <v/>
      </c>
      <c r="BJ340" s="518" t="str">
        <f>IF(AND(_AC4="A-220-300",'2023'!$L$4="CA",'2023'!$L$2=BJ309),'2023DATA'!$E$33,"")</f>
        <v/>
      </c>
      <c r="BK340" s="518" t="str">
        <f>IF(AND(_AC4="A-220-300",'2023'!$L$4="CA",'2023'!$L$2=BK309),'2023DATA'!$F$33,"")</f>
        <v/>
      </c>
      <c r="BL340" s="518" t="str">
        <f>IF(AND(_AC4="A-220-300",'2023'!$L$4="CA",'2023'!$L$2=BL309),'2023DATA'!$G$33,"")</f>
        <v/>
      </c>
      <c r="BM340" s="518" t="str">
        <f>IF(AND(_AC4="A-220-300",'2023'!$L$4="CA",'2023'!$L$2=BM309),'2023DATA'!$H$33,"")</f>
        <v/>
      </c>
      <c r="BN340" s="518" t="str">
        <f>IF(AND(_AC4="A-220-300",'2023'!$L$4="CA",'2023'!$L$2=BN309),'2023DATA'!$I$33,"")</f>
        <v/>
      </c>
      <c r="BO340" s="518" t="str">
        <f>IF(AND(_AC4="A-220-300",'2023'!$L$4="CA",'2023'!$L$2=BO309),'2023DATA'!$J$33,"")</f>
        <v/>
      </c>
      <c r="BP340" s="518" t="str">
        <f>IF(AND(_AC4="A-220-300",'2023'!$L$4="CA",'2023'!$L$2=BP309),'2023DATA'!$K$33,"")</f>
        <v/>
      </c>
      <c r="BQ340" s="518" t="str">
        <f>IF(AND(_AC4="A-220-300",'2023'!$L$4="CA",'2023'!$L$2=BQ309),'2023DATA'!$L$33,"")</f>
        <v/>
      </c>
      <c r="BR340" s="518" t="str">
        <f>IF(AND(_AC4="A-220-300",'2023'!$L$4="CA",'2023'!$L$2=BR309),'2023DATA'!$M$33,"")</f>
        <v/>
      </c>
      <c r="BS340" s="520" t="str">
        <f>IF(AND(_AC4="A-220-300",'2023'!$L$4="CA",'2023'!$L$2=BS309),'2023DATA'!$N$33,"")</f>
        <v/>
      </c>
      <c r="BT340" s="940" t="s">
        <v>51</v>
      </c>
      <c r="BU340" s="13" t="s">
        <v>61</v>
      </c>
      <c r="BV340" s="518" t="str">
        <f>IF(AND(_AC5="A-220-300",'2023'!$L$4="CA",'2023'!$L$2=BV309),'2023DATA'!$C$33,"")</f>
        <v/>
      </c>
      <c r="BW340" s="518" t="str">
        <f>IF(AND(_AC5="A-220-300",'2023'!$L$4="CA",'2023'!$L$2=BW309),'2023DATA'!$D$33,"")</f>
        <v/>
      </c>
      <c r="BX340" s="518" t="str">
        <f>IF(AND(_AC5="A-220-300",'2023'!$L$4="CA",'2023'!$L$2=BX309),'2023DATA'!$E$33,"")</f>
        <v/>
      </c>
      <c r="BY340" s="518" t="str">
        <f>IF(AND(_AC5="A-220-300",'2023'!$L$4="CA",'2023'!$L$2=BY309),'2023DATA'!$F$33,"")</f>
        <v/>
      </c>
      <c r="BZ340" s="518" t="str">
        <f>IF(AND(_AC5="A-220-300",'2023'!$L$4="CA",'2023'!$L$2=BZ309),'2023DATA'!$G$33,"")</f>
        <v/>
      </c>
      <c r="CA340" s="518" t="str">
        <f>IF(AND(_AC5="A-220-300",'2023'!$L$4="CA",'2023'!$L$2=CA309),'2023DATA'!$H$33,"")</f>
        <v/>
      </c>
      <c r="CB340" s="518" t="str">
        <f>IF(AND(_AC5="A-220-300",'2023'!$L$4="CA",'2023'!$L$2=CB309),'2023DATA'!$I$33,"")</f>
        <v/>
      </c>
      <c r="CC340" s="518" t="str">
        <f>IF(AND(_AC5="A-220-300",'2023'!$L$4="CA",'2023'!$L$2=CC309),'2023DATA'!$J$33,"")</f>
        <v/>
      </c>
      <c r="CD340" s="518" t="str">
        <f>IF(AND(_AC5="A-220-300",'2023'!$L$4="CA",'2023'!$L$2=CD309),'2023DATA'!$K$33,"")</f>
        <v/>
      </c>
      <c r="CE340" s="518" t="str">
        <f>IF(AND(_AC5="A-220-300",'2023'!$L$4="CA",'2023'!$L$2=CE309),'2023DATA'!$L$33,"")</f>
        <v/>
      </c>
      <c r="CF340" s="518" t="str">
        <f>IF(AND(_AC5="A-220-300",'2023'!$L$4="CA",'2023'!$L$2=CF309),'2023DATA'!$M$33,"")</f>
        <v/>
      </c>
      <c r="CG340" s="520" t="str">
        <f>IF(AND(_AC5="A-220-300",'2023'!$L$4="CA",'2023'!$L$2=CG309),'2023DATA'!$N$33,"")</f>
        <v/>
      </c>
      <c r="CH340" s="940" t="s">
        <v>51</v>
      </c>
      <c r="CI340" s="13" t="s">
        <v>61</v>
      </c>
      <c r="CJ340" s="518" t="str">
        <f>IF(AND(_AC6="A-220-300",'2023'!$L$4="CA",'2023'!$L$2=CJ309),'2023DATA'!$C$33,"")</f>
        <v/>
      </c>
      <c r="CK340" s="518" t="str">
        <f>IF(AND(_AC6="A-220-300",'2023'!$L$4="CA",'2023'!$L$2=CK309),'2023DATA'!$D$33,"")</f>
        <v/>
      </c>
      <c r="CL340" s="518" t="str">
        <f>IF(AND(_AC6="A-220-300",'2023'!$L$4="CA",'2023'!$L$2=CL309),'2023DATA'!$E$33,"")</f>
        <v/>
      </c>
      <c r="CM340" s="518" t="str">
        <f>IF(AND(_AC6="A-220-300",'2023'!$L$4="CA",'2023'!$L$2=CM309),'2023DATA'!$F$33,"")</f>
        <v/>
      </c>
      <c r="CN340" s="518" t="str">
        <f>IF(AND(_AC6="A-220-300",'2023'!$L$4="CA",'2023'!$L$2=CN309),'2023DATA'!$G$33,"")</f>
        <v/>
      </c>
      <c r="CO340" s="518" t="str">
        <f>IF(AND(_AC6="A-220-300",'2023'!$L$4="CA",'2023'!$L$2=CO309),'2023DATA'!$H$33,"")</f>
        <v/>
      </c>
      <c r="CP340" s="518" t="str">
        <f>IF(AND(_AC6="A-220-300",'2023'!$L$4="CA",'2023'!$L$2=CP309),'2023DATA'!$I$33,"")</f>
        <v/>
      </c>
      <c r="CQ340" s="518" t="str">
        <f>IF(AND(_AC6="A-220-300",'2023'!$L$4="CA",'2023'!$L$2=CQ309),'2023DATA'!$J$33,"")</f>
        <v/>
      </c>
      <c r="CR340" s="518" t="str">
        <f>IF(AND(_AC6="A-220-300",'2023'!$L$4="CA",'2023'!$L$2=CR309),'2023DATA'!$K$33,"")</f>
        <v/>
      </c>
      <c r="CS340" s="518" t="str">
        <f>IF(AND(_AC6="A-220-300",'2023'!$L$4="CA",'2023'!$L$2=CS309),'2023DATA'!$L$33,"")</f>
        <v/>
      </c>
      <c r="CT340" s="518" t="str">
        <f>IF(AND(_AC6="A-220-300",'2023'!$L$4="CA",'2023'!$L$2=CT309),'2023DATA'!$M$33,"")</f>
        <v/>
      </c>
      <c r="CU340" s="520" t="str">
        <f>IF(AND(_AC6="A-220-300",'2023'!$L$4="CA",'2023'!$L$2=CU309),'2023DATA'!$N$33,"")</f>
        <v/>
      </c>
    </row>
    <row r="341" spans="16:99" x14ac:dyDescent="0.25">
      <c r="P341" s="940"/>
      <c r="Q341" s="13" t="s">
        <v>62</v>
      </c>
      <c r="R341" s="518" t="str">
        <f>IF(AND(_AC1="A-220-300",'2023'!$L$4="FO",'2023'!$L$2=R309),'2023DATA'!$C$34,"")</f>
        <v/>
      </c>
      <c r="S341" s="518" t="str">
        <f>IF(AND(_AC1="A-220-300",'2023'!$L$4="FO",'2023'!$L$2=S309),'2023DATA'!$D$34,"")</f>
        <v/>
      </c>
      <c r="T341" s="518" t="str">
        <f>IF(AND(_AC1="A-220-300",'2023'!$L$4="FO",'2023'!$L$2=T309),'2023DATA'!$E$34,"")</f>
        <v/>
      </c>
      <c r="U341" s="518" t="str">
        <f>IF(AND(_AC1="A-220-300",'2023'!$L$4="FO",'2023'!$L$2=U309),'2023DATA'!$F$34,"")</f>
        <v/>
      </c>
      <c r="V341" s="518" t="str">
        <f>IF(AND(_AC1="A-220-300",'2023'!$L$4="FO",'2023'!$L$2=V309),'2023DATA'!$G$34,"")</f>
        <v/>
      </c>
      <c r="W341" s="518" t="str">
        <f>IF(AND(_AC1="A-220-300",'2023'!$L$4="FO",'2023'!$L$2=W309),'2023DATA'!$H$34,"")</f>
        <v/>
      </c>
      <c r="X341" s="518" t="str">
        <f>IF(AND(_AC1="A-220-300",'2023'!$L$4="FO",'2023'!$L$2=X309),'2023DATA'!$I$34,"")</f>
        <v/>
      </c>
      <c r="Y341" s="518" t="str">
        <f>IF(AND(_AC1="A-220-300",'2023'!$L$4="FO",'2023'!$L$2=Y309),'2023DATA'!$J$34,"")</f>
        <v/>
      </c>
      <c r="Z341" s="518" t="str">
        <f>IF(AND(_AC1="A-220-300",'2023'!$L$4="FO",'2023'!$L$2=Z309),'2023DATA'!$K$34,"")</f>
        <v/>
      </c>
      <c r="AA341" s="518" t="str">
        <f>IF(AND(_AC1="A-220-300",'2023'!$L$4="FO",'2023'!$L$2=AA309),'2023DATA'!$L$34,"")</f>
        <v/>
      </c>
      <c r="AB341" s="518" t="str">
        <f>IF(AND(_AC1="A-220-300",'2023'!$L$4="FO",'2023'!$L$2=AB309),'2023DATA'!$M$34,"")</f>
        <v/>
      </c>
      <c r="AC341" s="520" t="str">
        <f>IF(AND(_AC1="A-220-300",'2023'!$L$4="FO",'2023'!$L$2=AC309),'2023DATA'!$N$34,"")</f>
        <v/>
      </c>
      <c r="AD341" s="940"/>
      <c r="AE341" s="13" t="s">
        <v>62</v>
      </c>
      <c r="AF341" s="518" t="str">
        <f>IF(AND(_AC2="A-220-300",'2023'!$L$4="FO",'2023'!$L$2=AF309),'2023DATA'!$C$34,"")</f>
        <v/>
      </c>
      <c r="AG341" s="518" t="str">
        <f>IF(AND(_AC2="A-220-300",'2023'!$L$4="FO",'2023'!$L$2=AG309),'2023DATA'!$D$34,"")</f>
        <v/>
      </c>
      <c r="AH341" s="518" t="str">
        <f>IF(AND(_AC2="A-220-300",'2023'!$L$4="FO",'2023'!$L$2=AH309),'2023DATA'!$E$34,"")</f>
        <v/>
      </c>
      <c r="AI341" s="518" t="str">
        <f>IF(AND(_AC2="A-220-300",'2023'!$L$4="FO",'2023'!$L$2=AI309),'2023DATA'!$F$34,"")</f>
        <v/>
      </c>
      <c r="AJ341" s="518" t="str">
        <f>IF(AND(_AC2="A-220-300",'2023'!$L$4="FO",'2023'!$L$2=AJ309),'2023DATA'!$G$34,"")</f>
        <v/>
      </c>
      <c r="AK341" s="518" t="str">
        <f>IF(AND(_AC2="A-220-300",'2023'!$L$4="FO",'2023'!$L$2=AK309),'2023DATA'!$H$34,"")</f>
        <v/>
      </c>
      <c r="AL341" s="518" t="str">
        <f>IF(AND(_AC2="A-220-300",'2023'!$L$4="FO",'2023'!$L$2=AL309),'2023DATA'!$I$34,"")</f>
        <v/>
      </c>
      <c r="AM341" s="518" t="str">
        <f>IF(AND(_AC2="A-220-300",'2023'!$L$4="FO",'2023'!$L$2=AM309),'2023DATA'!$J$34,"")</f>
        <v/>
      </c>
      <c r="AN341" s="518" t="str">
        <f>IF(AND(_AC2="A-220-300",'2023'!$L$4="FO",'2023'!$L$2=AN309),'2023DATA'!$K$34,"")</f>
        <v/>
      </c>
      <c r="AO341" s="518" t="str">
        <f>IF(AND(_AC2="A-220-300",'2023'!$L$4="FO",'2023'!$L$2=AO309),'2023DATA'!$L$34,"")</f>
        <v/>
      </c>
      <c r="AP341" s="518" t="str">
        <f>IF(AND(_AC2="A-220-300",'2023'!$L$4="FO",'2023'!$L$2=AP309),'2023DATA'!$M$34,"")</f>
        <v/>
      </c>
      <c r="AQ341" s="520" t="str">
        <f>IF(AND(_AC2="A-220-300",'2023'!$L$4="FO",'2023'!$L$2=AQ309),'2023DATA'!$N$34,"")</f>
        <v/>
      </c>
      <c r="AR341" s="940"/>
      <c r="AS341" s="13" t="s">
        <v>62</v>
      </c>
      <c r="AT341" s="518" t="str">
        <f>IF(AND(_AC3="A-220-300",'2023'!$L$4="FO",'2023'!$L$2=AT309),'2023DATA'!$C$34,"")</f>
        <v/>
      </c>
      <c r="AU341" s="518" t="str">
        <f>IF(AND(_AC3="A-220-300",'2023'!$L$4="FO",'2023'!$L$2=AU309),'2023DATA'!$D$34,"")</f>
        <v/>
      </c>
      <c r="AV341" s="518" t="str">
        <f>IF(AND(_AC3="A-220-300",'2023'!$L$4="FO",'2023'!$L$2=AV309),'2023DATA'!$E$34,"")</f>
        <v/>
      </c>
      <c r="AW341" s="518" t="str">
        <f>IF(AND(_AC3="A-220-300",'2023'!$L$4="FO",'2023'!$L$2=AW309),'2023DATA'!$F$34,"")</f>
        <v/>
      </c>
      <c r="AX341" s="518" t="str">
        <f>IF(AND(_AC3="A-220-300",'2023'!$L$4="FO",'2023'!$L$2=AX309),'2023DATA'!$G$34,"")</f>
        <v/>
      </c>
      <c r="AY341" s="518" t="str">
        <f>IF(AND(_AC3="A-220-300",'2023'!$L$4="FO",'2023'!$L$2=AY309),'2023DATA'!$H$34,"")</f>
        <v/>
      </c>
      <c r="AZ341" s="518" t="str">
        <f>IF(AND(_AC3="A-220-300",'2023'!$L$4="FO",'2023'!$L$2=AZ309),'2023DATA'!$I$34,"")</f>
        <v/>
      </c>
      <c r="BA341" s="518" t="str">
        <f>IF(AND(_AC3="A-220-300",'2023'!$L$4="FO",'2023'!$L$2=BA309),'2023DATA'!$J$34,"")</f>
        <v/>
      </c>
      <c r="BB341" s="518" t="str">
        <f>IF(AND(_AC3="A-220-300",'2023'!$L$4="FO",'2023'!$L$2=BB309),'2023DATA'!$K$34,"")</f>
        <v/>
      </c>
      <c r="BC341" s="518" t="str">
        <f>IF(AND(_AC3="A-220-300",'2023'!$L$4="FO",'2023'!$L$2=BC309),'2023DATA'!$L$34,"")</f>
        <v/>
      </c>
      <c r="BD341" s="518" t="str">
        <f>IF(AND(_AC3="A-220-300",'2023'!$L$4="FO",'2023'!$L$2=BD309),'2023DATA'!$M$34,"")</f>
        <v/>
      </c>
      <c r="BE341" s="520" t="str">
        <f>IF(AND(_AC3="A-220-300",'2023'!$L$4="FO",'2023'!$L$2=BE309),'2023DATA'!$N$34,"")</f>
        <v/>
      </c>
      <c r="BF341" s="940"/>
      <c r="BG341" s="13" t="s">
        <v>62</v>
      </c>
      <c r="BH341" s="518" t="str">
        <f>IF(AND(_AC4="A-220-300",'2023'!$L$4="FO",'2023'!$L$2=BH309),'2023DATA'!$C$34,"")</f>
        <v/>
      </c>
      <c r="BI341" s="518" t="str">
        <f>IF(AND(_AC4="A-220-300",'2023'!$L$4="FO",'2023'!$L$2=BI309),'2023DATA'!$D$34,"")</f>
        <v/>
      </c>
      <c r="BJ341" s="518" t="str">
        <f>IF(AND(_AC4="A-220-300",'2023'!$L$4="FO",'2023'!$L$2=BJ309),'2023DATA'!$E$34,"")</f>
        <v/>
      </c>
      <c r="BK341" s="518" t="str">
        <f>IF(AND(_AC4="A-220-300",'2023'!$L$4="FO",'2023'!$L$2=BK309),'2023DATA'!$F$34,"")</f>
        <v/>
      </c>
      <c r="BL341" s="518" t="str">
        <f>IF(AND(_AC4="A-220-300",'2023'!$L$4="FO",'2023'!$L$2=BL309),'2023DATA'!$G$34,"")</f>
        <v/>
      </c>
      <c r="BM341" s="518" t="str">
        <f>IF(AND(_AC4="A-220-300",'2023'!$L$4="FO",'2023'!$L$2=BM309),'2023DATA'!$H$34,"")</f>
        <v/>
      </c>
      <c r="BN341" s="518" t="str">
        <f>IF(AND(_AC4="A-220-300",'2023'!$L$4="FO",'2023'!$L$2=BN309),'2023DATA'!$I$34,"")</f>
        <v/>
      </c>
      <c r="BO341" s="518" t="str">
        <f>IF(AND(_AC4="A-220-300",'2023'!$L$4="FO",'2023'!$L$2=BO309),'2023DATA'!$J$34,"")</f>
        <v/>
      </c>
      <c r="BP341" s="518" t="str">
        <f>IF(AND(_AC4="A-220-300",'2023'!$L$4="FO",'2023'!$L$2=BP309),'2023DATA'!$K$34,"")</f>
        <v/>
      </c>
      <c r="BQ341" s="518" t="str">
        <f>IF(AND(_AC4="A-220-300",'2023'!$L$4="FO",'2023'!$L$2=BQ309),'2023DATA'!$L$34,"")</f>
        <v/>
      </c>
      <c r="BR341" s="518" t="str">
        <f>IF(AND(_AC4="A-220-300",'2023'!$L$4="FO",'2023'!$L$2=BR309),'2023DATA'!$M$34,"")</f>
        <v/>
      </c>
      <c r="BS341" s="520" t="str">
        <f>IF(AND(_AC4="A-220-300",'2023'!$L$4="FO",'2023'!$L$2=BS309),'2023DATA'!$N$34,"")</f>
        <v/>
      </c>
      <c r="BT341" s="940"/>
      <c r="BU341" s="13" t="s">
        <v>62</v>
      </c>
      <c r="BV341" s="518" t="str">
        <f>IF(AND(_AC5="A-220-300",'2023'!$L$4="FO",'2023'!$L$2=BV309),'2023DATA'!$C$34,"")</f>
        <v/>
      </c>
      <c r="BW341" s="518" t="str">
        <f>IF(AND(_AC5="A-220-300",'2023'!$L$4="FO",'2023'!$L$2=BW309),'2023DATA'!$D$34,"")</f>
        <v/>
      </c>
      <c r="BX341" s="518" t="str">
        <f>IF(AND(_AC5="A-220-300",'2023'!$L$4="FO",'2023'!$L$2=BX309),'2023DATA'!$E$34,"")</f>
        <v/>
      </c>
      <c r="BY341" s="518" t="str">
        <f>IF(AND(_AC5="A-220-300",'2023'!$L$4="FO",'2023'!$L$2=BY309),'2023DATA'!$F$34,"")</f>
        <v/>
      </c>
      <c r="BZ341" s="518" t="str">
        <f>IF(AND(_AC5="A-220-300",'2023'!$L$4="FO",'2023'!$L$2=BZ309),'2023DATA'!$G$34,"")</f>
        <v/>
      </c>
      <c r="CA341" s="518" t="str">
        <f>IF(AND(_AC5="A-220-300",'2023'!$L$4="FO",'2023'!$L$2=CA309),'2023DATA'!$H$34,"")</f>
        <v/>
      </c>
      <c r="CB341" s="518" t="str">
        <f>IF(AND(_AC5="A-220-300",'2023'!$L$4="FO",'2023'!$L$2=CB309),'2023DATA'!$I$34,"")</f>
        <v/>
      </c>
      <c r="CC341" s="518" t="str">
        <f>IF(AND(_AC5="A-220-300",'2023'!$L$4="FO",'2023'!$L$2=CC309),'2023DATA'!$J$34,"")</f>
        <v/>
      </c>
      <c r="CD341" s="518" t="str">
        <f>IF(AND(_AC5="A-220-300",'2023'!$L$4="FO",'2023'!$L$2=CD309),'2023DATA'!$K$34,"")</f>
        <v/>
      </c>
      <c r="CE341" s="518" t="str">
        <f>IF(AND(_AC5="A-220-300",'2023'!$L$4="FO",'2023'!$L$2=CE309),'2023DATA'!$L$34,"")</f>
        <v/>
      </c>
      <c r="CF341" s="518" t="str">
        <f>IF(AND(_AC5="A-220-300",'2023'!$L$4="FO",'2023'!$L$2=CF309),'2023DATA'!$M$34,"")</f>
        <v/>
      </c>
      <c r="CG341" s="520" t="str">
        <f>IF(AND(_AC5="A-220-300",'2023'!$L$4="FO",'2023'!$L$2=CG309),'2023DATA'!$N$34,"")</f>
        <v/>
      </c>
      <c r="CH341" s="940"/>
      <c r="CI341" s="13" t="s">
        <v>62</v>
      </c>
      <c r="CJ341" s="518" t="str">
        <f>IF(AND(_AC6="A-220-300",'2023'!$L$4="FO",'2023'!$L$2=CJ309),'2023DATA'!$C$34,"")</f>
        <v/>
      </c>
      <c r="CK341" s="518" t="str">
        <f>IF(AND(_AC6="A-220-300",'2023'!$L$4="FO",'2023'!$L$2=CK309),'2023DATA'!$D$34,"")</f>
        <v/>
      </c>
      <c r="CL341" s="518" t="str">
        <f>IF(AND(_AC6="A-220-300",'2023'!$L$4="FO",'2023'!$L$2=CL309),'2023DATA'!$E$34,"")</f>
        <v/>
      </c>
      <c r="CM341" s="518" t="str">
        <f>IF(AND(_AC6="A-220-300",'2023'!$L$4="FO",'2023'!$L$2=CM309),'2023DATA'!$F$34,"")</f>
        <v/>
      </c>
      <c r="CN341" s="518" t="str">
        <f>IF(AND(_AC6="A-220-300",'2023'!$L$4="FO",'2023'!$L$2=CN309),'2023DATA'!$G$34,"")</f>
        <v/>
      </c>
      <c r="CO341" s="518" t="str">
        <f>IF(AND(_AC6="A-220-300",'2023'!$L$4="FO",'2023'!$L$2=CO309),'2023DATA'!$H$34,"")</f>
        <v/>
      </c>
      <c r="CP341" s="518" t="str">
        <f>IF(AND(_AC6="A-220-300",'2023'!$L$4="FO",'2023'!$L$2=CP309),'2023DATA'!$I$34,"")</f>
        <v/>
      </c>
      <c r="CQ341" s="518" t="str">
        <f>IF(AND(_AC6="A-220-300",'2023'!$L$4="FO",'2023'!$L$2=CQ309),'2023DATA'!$J$34,"")</f>
        <v/>
      </c>
      <c r="CR341" s="518" t="str">
        <f>IF(AND(_AC6="A-220-300",'2023'!$L$4="FO",'2023'!$L$2=CR309),'2023DATA'!$K$34,"")</f>
        <v/>
      </c>
      <c r="CS341" s="518" t="str">
        <f>IF(AND(_AC6="A-220-300",'2023'!$L$4="FO",'2023'!$L$2=CS309),'2023DATA'!$L$34,"")</f>
        <v/>
      </c>
      <c r="CT341" s="518" t="str">
        <f>IF(AND(_AC6="A-220-300",'2023'!$L$4="FO",'2023'!$L$2=CT309),'2023DATA'!$M$34,"")</f>
        <v/>
      </c>
      <c r="CU341" s="520" t="str">
        <f>IF(AND(_AC6="A-220-300",'2023'!$L$4="FO",'2023'!$L$2=CU309),'2023DATA'!$N$34,"")</f>
        <v/>
      </c>
    </row>
    <row r="342" spans="16:99" x14ac:dyDescent="0.25">
      <c r="P342" s="940" t="s">
        <v>52</v>
      </c>
      <c r="Q342" s="13" t="s">
        <v>61</v>
      </c>
      <c r="R342" s="518" t="str">
        <f>IF(AND(_AC1="A-220-100",'2023'!$L$4="CA",'2023'!$L$2=R309),'2023DATA'!$C$35,"")</f>
        <v/>
      </c>
      <c r="S342" s="518" t="str">
        <f>IF(AND(_AC1="A-220-100",'2023'!$L$4="CA",'2023'!$L$2=S309),'2023DATA'!$D$35,"")</f>
        <v/>
      </c>
      <c r="T342" s="518" t="str">
        <f>IF(AND(_AC1="A-220-100",'2023'!$L$4="CA",'2023'!$L$2=T309),'2023DATA'!$E$35,"")</f>
        <v/>
      </c>
      <c r="U342" s="518" t="str">
        <f>IF(AND(_AC1="A-220-100",'2023'!$L$4="CA",'2023'!$L$2=U309),'2023DATA'!$F$35,"")</f>
        <v/>
      </c>
      <c r="V342" s="518" t="str">
        <f>IF(AND(_AC1="A-220-100",'2023'!$L$4="CA",'2023'!$L$2=V309),'2023DATA'!$G$35,"")</f>
        <v/>
      </c>
      <c r="W342" s="518" t="str">
        <f>IF(AND(_AC1="A-220-100",'2023'!$L$4="CA",'2023'!$L$2=W309),'2023DATA'!$H$35,"")</f>
        <v/>
      </c>
      <c r="X342" s="518" t="str">
        <f>IF(AND(_AC1="A-220-100",'2023'!$L$4="CA",'2023'!$L$2=X309),'2023DATA'!$I$35,"")</f>
        <v/>
      </c>
      <c r="Y342" s="518" t="str">
        <f>IF(AND(_AC1="A-220-100",'2023'!$L$4="CA",'2023'!$L$2=Y309),'2023DATA'!$J$35,"")</f>
        <v/>
      </c>
      <c r="Z342" s="518" t="str">
        <f>IF(AND(_AC1="A-220-100",'2023'!$L$4="CA",'2023'!$L$2=Z309),'2023DATA'!$K$35,"")</f>
        <v/>
      </c>
      <c r="AA342" s="518" t="str">
        <f>IF(AND(_AC1="A-220-100",'2023'!$L$4="CA",'2023'!$L$2=AA309),'2023DATA'!$L$35,"")</f>
        <v/>
      </c>
      <c r="AB342" s="518" t="str">
        <f>IF(AND(_AC1="A-220-100",'2023'!$L$4="CA",'2023'!$L$2=AB309),'2023DATA'!$M$35,"")</f>
        <v/>
      </c>
      <c r="AC342" s="520" t="str">
        <f>IF(AND(_AC1="A-220-100",'2023'!$L$4="CA",'2023'!$L$2=AC309),'2023DATA'!$N$35,"")</f>
        <v/>
      </c>
      <c r="AD342" s="940" t="s">
        <v>52</v>
      </c>
      <c r="AE342" s="13" t="s">
        <v>61</v>
      </c>
      <c r="AF342" s="518" t="str">
        <f>IF(AND(_AC2="A-220-100",'2023'!$L$4="CA",'2023'!$L$2=AF309),'2023DATA'!$C$35,"")</f>
        <v/>
      </c>
      <c r="AG342" s="518" t="str">
        <f>IF(AND(_AC2="A-220-100",'2023'!$L$4="CA",'2023'!$L$2=AG309),'2023DATA'!$D$35,"")</f>
        <v/>
      </c>
      <c r="AH342" s="518" t="str">
        <f>IF(AND(_AC2="A-220-100",'2023'!$L$4="CA",'2023'!$L$2=AH309),'2023DATA'!$E$35,"")</f>
        <v/>
      </c>
      <c r="AI342" s="518" t="str">
        <f>IF(AND(_AC2="A-220-100",'2023'!$L$4="CA",'2023'!$L$2=AI309),'2023DATA'!$F$35,"")</f>
        <v/>
      </c>
      <c r="AJ342" s="518" t="str">
        <f>IF(AND(_AC2="A-220-100",'2023'!$L$4="CA",'2023'!$L$2=AJ309),'2023DATA'!$G$35,"")</f>
        <v/>
      </c>
      <c r="AK342" s="518" t="str">
        <f>IF(AND(_AC2="A-220-100",'2023'!$L$4="CA",'2023'!$L$2=AK309),'2023DATA'!$H$35,"")</f>
        <v/>
      </c>
      <c r="AL342" s="518" t="str">
        <f>IF(AND(_AC2="A-220-100",'2023'!$L$4="CA",'2023'!$L$2=AL309),'2023DATA'!$I$35,"")</f>
        <v/>
      </c>
      <c r="AM342" s="518" t="str">
        <f>IF(AND(_AC2="A-220-100",'2023'!$L$4="CA",'2023'!$L$2=AM309),'2023DATA'!$J$35,"")</f>
        <v/>
      </c>
      <c r="AN342" s="518" t="str">
        <f>IF(AND(_AC2="A-220-100",'2023'!$L$4="CA",'2023'!$L$2=AN309),'2023DATA'!$K$35,"")</f>
        <v/>
      </c>
      <c r="AO342" s="518" t="str">
        <f>IF(AND(_AC2="A-220-100",'2023'!$L$4="CA",'2023'!$L$2=AO309),'2023DATA'!$L$35,"")</f>
        <v/>
      </c>
      <c r="AP342" s="518" t="str">
        <f>IF(AND(_AC2="A-220-100",'2023'!$L$4="CA",'2023'!$L$2=AP309),'2023DATA'!$M$35,"")</f>
        <v/>
      </c>
      <c r="AQ342" s="520" t="str">
        <f>IF(AND(_AC2="A-220-100",'2023'!$L$4="CA",'2023'!$L$2=AQ309),'2023DATA'!$N$35,"")</f>
        <v/>
      </c>
      <c r="AR342" s="940" t="s">
        <v>52</v>
      </c>
      <c r="AS342" s="13" t="s">
        <v>61</v>
      </c>
      <c r="AT342" s="518" t="str">
        <f>IF(AND(_AC3="A-220-100",'2023'!$L$4="CA",'2023'!$L$2=AT309),'2023DATA'!$C$35,"")</f>
        <v/>
      </c>
      <c r="AU342" s="518" t="str">
        <f>IF(AND(_AC3="A-220-100",'2023'!$L$4="CA",'2023'!$L$2=AU309),'2023DATA'!$D$35,"")</f>
        <v/>
      </c>
      <c r="AV342" s="518" t="str">
        <f>IF(AND(_AC3="A-220-100",'2023'!$L$4="CA",'2023'!$L$2=AV309),'2023DATA'!$E$35,"")</f>
        <v/>
      </c>
      <c r="AW342" s="518" t="str">
        <f>IF(AND(_AC3="A-220-100",'2023'!$L$4="CA",'2023'!$L$2=AW309),'2023DATA'!$F$35,"")</f>
        <v/>
      </c>
      <c r="AX342" s="518" t="str">
        <f>IF(AND(_AC3="A-220-100",'2023'!$L$4="CA",'2023'!$L$2=AX309),'2023DATA'!$G$35,"")</f>
        <v/>
      </c>
      <c r="AY342" s="518" t="str">
        <f>IF(AND(_AC3="A-220-100",'2023'!$L$4="CA",'2023'!$L$2=AY309),'2023DATA'!$H$35,"")</f>
        <v/>
      </c>
      <c r="AZ342" s="518" t="str">
        <f>IF(AND(_AC3="A-220-100",'2023'!$L$4="CA",'2023'!$L$2=AZ309),'2023DATA'!$I$35,"")</f>
        <v/>
      </c>
      <c r="BA342" s="518" t="str">
        <f>IF(AND(_AC3="A-220-100",'2023'!$L$4="CA",'2023'!$L$2=BA309),'2023DATA'!$J$35,"")</f>
        <v/>
      </c>
      <c r="BB342" s="518" t="str">
        <f>IF(AND(_AC3="A-220-100",'2023'!$L$4="CA",'2023'!$L$2=BB309),'2023DATA'!$K$35,"")</f>
        <v/>
      </c>
      <c r="BC342" s="518" t="str">
        <f>IF(AND(_AC3="A-220-100",'2023'!$L$4="CA",'2023'!$L$2=BC309),'2023DATA'!$L$35,"")</f>
        <v/>
      </c>
      <c r="BD342" s="518" t="str">
        <f>IF(AND(_AC3="A-220-100",'2023'!$L$4="CA",'2023'!$L$2=BD309),'2023DATA'!$M$35,"")</f>
        <v/>
      </c>
      <c r="BE342" s="520" t="str">
        <f>IF(AND(_AC3="A-220-100",'2023'!$L$4="CA",'2023'!$L$2=BE309),'2023DATA'!$N$35,"")</f>
        <v/>
      </c>
      <c r="BF342" s="940" t="s">
        <v>52</v>
      </c>
      <c r="BG342" s="13" t="s">
        <v>61</v>
      </c>
      <c r="BH342" s="518" t="str">
        <f>IF(AND(_AC4="A-220-100",'2023'!$L$4="CA",'2023'!$L$2=BH309),'2023DATA'!$C$35,"")</f>
        <v/>
      </c>
      <c r="BI342" s="518" t="str">
        <f>IF(AND(_AC4="A-220-100",'2023'!$L$4="CA",'2023'!$L$2=BI309),'2023DATA'!$D$35,"")</f>
        <v/>
      </c>
      <c r="BJ342" s="518" t="str">
        <f>IF(AND(_AC4="A-220-100",'2023'!$L$4="CA",'2023'!$L$2=BJ309),'2023DATA'!$E$35,"")</f>
        <v/>
      </c>
      <c r="BK342" s="518" t="str">
        <f>IF(AND(_AC4="A-220-100",'2023'!$L$4="CA",'2023'!$L$2=BK309),'2023DATA'!$F$35,"")</f>
        <v/>
      </c>
      <c r="BL342" s="518" t="str">
        <f>IF(AND(_AC4="A-220-100",'2023'!$L$4="CA",'2023'!$L$2=BL309),'2023DATA'!$G$35,"")</f>
        <v/>
      </c>
      <c r="BM342" s="518" t="str">
        <f>IF(AND(_AC4="A-220-100",'2023'!$L$4="CA",'2023'!$L$2=BM309),'2023DATA'!$H$35,"")</f>
        <v/>
      </c>
      <c r="BN342" s="518" t="str">
        <f>IF(AND(_AC4="A-220-100",'2023'!$L$4="CA",'2023'!$L$2=BN309),'2023DATA'!$I$35,"")</f>
        <v/>
      </c>
      <c r="BO342" s="518" t="str">
        <f>IF(AND(_AC4="A-220-100",'2023'!$L$4="CA",'2023'!$L$2=BO309),'2023DATA'!$J$35,"")</f>
        <v/>
      </c>
      <c r="BP342" s="518" t="str">
        <f>IF(AND(_AC4="A-220-100",'2023'!$L$4="CA",'2023'!$L$2=BP309),'2023DATA'!$K$35,"")</f>
        <v/>
      </c>
      <c r="BQ342" s="518" t="str">
        <f>IF(AND(_AC4="A-220-100",'2023'!$L$4="CA",'2023'!$L$2=BQ309),'2023DATA'!$L$35,"")</f>
        <v/>
      </c>
      <c r="BR342" s="518" t="str">
        <f>IF(AND(_AC4="A-220-100",'2023'!$L$4="CA",'2023'!$L$2=BR309),'2023DATA'!$M$35,"")</f>
        <v/>
      </c>
      <c r="BS342" s="520" t="str">
        <f>IF(AND(_AC4="A-220-100",'2023'!$L$4="CA",'2023'!$L$2=BS309),'2023DATA'!$N$35,"")</f>
        <v/>
      </c>
      <c r="BT342" s="940" t="s">
        <v>52</v>
      </c>
      <c r="BU342" s="13" t="s">
        <v>61</v>
      </c>
      <c r="BV342" s="518" t="str">
        <f>IF(AND(_AC5="A-220-100",'2023'!$L$4="CA",'2023'!$L$2=BV309),'2023DATA'!$C$35,"")</f>
        <v/>
      </c>
      <c r="BW342" s="518" t="str">
        <f>IF(AND(_AC5="A-220-100",'2023'!$L$4="CA",'2023'!$L$2=BW309),'2023DATA'!$D$35,"")</f>
        <v/>
      </c>
      <c r="BX342" s="518" t="str">
        <f>IF(AND(_AC5="A-220-100",'2023'!$L$4="CA",'2023'!$L$2=BX309),'2023DATA'!$E$35,"")</f>
        <v/>
      </c>
      <c r="BY342" s="518" t="str">
        <f>IF(AND(_AC5="A-220-100",'2023'!$L$4="CA",'2023'!$L$2=BY309),'2023DATA'!$F$35,"")</f>
        <v/>
      </c>
      <c r="BZ342" s="518" t="str">
        <f>IF(AND(_AC5="A-220-100",'2023'!$L$4="CA",'2023'!$L$2=BZ309),'2023DATA'!$G$35,"")</f>
        <v/>
      </c>
      <c r="CA342" s="518" t="str">
        <f>IF(AND(_AC5="A-220-100",'2023'!$L$4="CA",'2023'!$L$2=CA309),'2023DATA'!$H$35,"")</f>
        <v/>
      </c>
      <c r="CB342" s="518" t="str">
        <f>IF(AND(_AC5="A-220-100",'2023'!$L$4="CA",'2023'!$L$2=CB309),'2023DATA'!$I$35,"")</f>
        <v/>
      </c>
      <c r="CC342" s="518" t="str">
        <f>IF(AND(_AC5="A-220-100",'2023'!$L$4="CA",'2023'!$L$2=CC309),'2023DATA'!$J$35,"")</f>
        <v/>
      </c>
      <c r="CD342" s="518" t="str">
        <f>IF(AND(_AC5="A-220-100",'2023'!$L$4="CA",'2023'!$L$2=CD309),'2023DATA'!$K$35,"")</f>
        <v/>
      </c>
      <c r="CE342" s="518" t="str">
        <f>IF(AND(_AC5="A-220-100",'2023'!$L$4="CA",'2023'!$L$2=CE309),'2023DATA'!$L$35,"")</f>
        <v/>
      </c>
      <c r="CF342" s="518" t="str">
        <f>IF(AND(_AC5="A-220-100",'2023'!$L$4="CA",'2023'!$L$2=CF309),'2023DATA'!$M$35,"")</f>
        <v/>
      </c>
      <c r="CG342" s="520" t="str">
        <f>IF(AND(_AC5="A-220-100",'2023'!$L$4="CA",'2023'!$L$2=CG309),'2023DATA'!$N$35,"")</f>
        <v/>
      </c>
      <c r="CH342" s="940" t="s">
        <v>52</v>
      </c>
      <c r="CI342" s="13" t="s">
        <v>61</v>
      </c>
      <c r="CJ342" s="518" t="str">
        <f>IF(AND(_AC6="A-220-100",'2023'!$L$4="CA",'2023'!$L$2=CJ309),'2023DATA'!$C$35,"")</f>
        <v/>
      </c>
      <c r="CK342" s="518" t="str">
        <f>IF(AND(_AC6="A-220-100",'2023'!$L$4="CA",'2023'!$L$2=CK309),'2023DATA'!$D$35,"")</f>
        <v/>
      </c>
      <c r="CL342" s="518" t="str">
        <f>IF(AND(_AC6="A-220-100",'2023'!$L$4="CA",'2023'!$L$2=CL309),'2023DATA'!$E$35,"")</f>
        <v/>
      </c>
      <c r="CM342" s="518" t="str">
        <f>IF(AND(_AC6="A-220-100",'2023'!$L$4="CA",'2023'!$L$2=CM309),'2023DATA'!$F$35,"")</f>
        <v/>
      </c>
      <c r="CN342" s="518" t="str">
        <f>IF(AND(_AC6="A-220-100",'2023'!$L$4="CA",'2023'!$L$2=CN309),'2023DATA'!$G$35,"")</f>
        <v/>
      </c>
      <c r="CO342" s="518" t="str">
        <f>IF(AND(_AC6="A-220-100",'2023'!$L$4="CA",'2023'!$L$2=CO309),'2023DATA'!$H$35,"")</f>
        <v/>
      </c>
      <c r="CP342" s="518" t="str">
        <f>IF(AND(_AC6="A-220-100",'2023'!$L$4="CA",'2023'!$L$2=CP309),'2023DATA'!$I$35,"")</f>
        <v/>
      </c>
      <c r="CQ342" s="518" t="str">
        <f>IF(AND(_AC6="A-220-100",'2023'!$L$4="CA",'2023'!$L$2=CQ309),'2023DATA'!$J$35,"")</f>
        <v/>
      </c>
      <c r="CR342" s="518" t="str">
        <f>IF(AND(_AC6="A-220-100",'2023'!$L$4="CA",'2023'!$L$2=CR309),'2023DATA'!$K$35,"")</f>
        <v/>
      </c>
      <c r="CS342" s="518" t="str">
        <f>IF(AND(_AC6="A-220-100",'2023'!$L$4="CA",'2023'!$L$2=CS309),'2023DATA'!$L$35,"")</f>
        <v/>
      </c>
      <c r="CT342" s="518" t="str">
        <f>IF(AND(_AC6="A-220-100",'2023'!$L$4="CA",'2023'!$L$2=CT309),'2023DATA'!$M$35,"")</f>
        <v/>
      </c>
      <c r="CU342" s="520" t="str">
        <f>IF(AND(_AC6="A-220-100",'2023'!$L$4="CA",'2023'!$L$2=CU309),'2023DATA'!$N$35,"")</f>
        <v/>
      </c>
    </row>
    <row r="343" spans="16:99" x14ac:dyDescent="0.25">
      <c r="P343" s="940"/>
      <c r="Q343" s="13" t="s">
        <v>62</v>
      </c>
      <c r="R343" s="518" t="str">
        <f>IF(AND(_AC1="A-220-100",'2023'!$L$4="FO",'2023'!$L$2=R309),'2023DATA'!$C$36,"")</f>
        <v/>
      </c>
      <c r="S343" s="518" t="str">
        <f>IF(AND(_AC1="A-220-100",'2023'!$L$4="FO",'2023'!$L$2=S309),'2023DATA'!$D$36,"")</f>
        <v/>
      </c>
      <c r="T343" s="518" t="str">
        <f>IF(AND(_AC1="A-220-100",'2023'!$L$4="FO",'2023'!$L$2=T309),'2023DATA'!$E$36,"")</f>
        <v/>
      </c>
      <c r="U343" s="518" t="str">
        <f>IF(AND(_AC1="A-220-100",'2023'!$L$4="FO",'2023'!$L$2=U309),'2023DATA'!$F$36,"")</f>
        <v/>
      </c>
      <c r="V343" s="518" t="str">
        <f>IF(AND(_AC1="A-220-100",'2023'!$L$4="FO",'2023'!$L$2=V309),'2023DATA'!$G$36,"")</f>
        <v/>
      </c>
      <c r="W343" s="518" t="str">
        <f>IF(AND(_AC1="A-220-100",'2023'!$L$4="FO",'2023'!$L$2=W309),'2023DATA'!$H$36,"")</f>
        <v/>
      </c>
      <c r="X343" s="518" t="str">
        <f>IF(AND(_AC1="A-220-100",'2023'!$L$4="FO",'2023'!$L$2=X309),'2023DATA'!$I$36,"")</f>
        <v/>
      </c>
      <c r="Y343" s="518" t="str">
        <f>IF(AND(_AC1="A-220-100",'2023'!$L$4="FO",'2023'!$L$2=Y309),'2023DATA'!$J$36,"")</f>
        <v/>
      </c>
      <c r="Z343" s="518" t="str">
        <f>IF(AND(_AC1="A-220-100",'2023'!$L$4="FO",'2023'!$L$2=Z309),'2023DATA'!$K$36,"")</f>
        <v/>
      </c>
      <c r="AA343" s="518" t="str">
        <f>IF(AND(_AC1="A-220-100",'2023'!$L$4="FO",'2023'!$L$2=AA309),'2023DATA'!$L$36,"")</f>
        <v/>
      </c>
      <c r="AB343" s="518" t="str">
        <f>IF(AND(_AC1="A-220-100",'2023'!$L$4="FO",'2023'!$L$2=AB309),'2023DATA'!$M$36,"")</f>
        <v/>
      </c>
      <c r="AC343" s="520" t="str">
        <f>IF(AND(_AC1="A-220-100",'2023'!$L$4="FO",'2023'!$L$2=AC309),'2023DATA'!$N$36,"")</f>
        <v/>
      </c>
      <c r="AD343" s="940"/>
      <c r="AE343" s="13" t="s">
        <v>62</v>
      </c>
      <c r="AF343" s="518" t="str">
        <f>IF(AND(_AC2="A-220-100",'2023'!$L$4="FO",'2023'!$L$2=AF309),'2023DATA'!$C$36,"")</f>
        <v/>
      </c>
      <c r="AG343" s="518" t="str">
        <f>IF(AND(_AC2="A-220-100",'2023'!$L$4="FO",'2023'!$L$2=AG309),'2023DATA'!$D$36,"")</f>
        <v/>
      </c>
      <c r="AH343" s="518" t="str">
        <f>IF(AND(_AC2="A-220-100",'2023'!$L$4="FO",'2023'!$L$2=AH309),'2023DATA'!$E$36,"")</f>
        <v/>
      </c>
      <c r="AI343" s="518" t="str">
        <f>IF(AND(_AC2="A-220-100",'2023'!$L$4="FO",'2023'!$L$2=AI309),'2023DATA'!$F$36,"")</f>
        <v/>
      </c>
      <c r="AJ343" s="518" t="str">
        <f>IF(AND(_AC2="A-220-100",'2023'!$L$4="FO",'2023'!$L$2=AJ309),'2023DATA'!$G$36,"")</f>
        <v/>
      </c>
      <c r="AK343" s="518" t="str">
        <f>IF(AND(_AC2="A-220-100",'2023'!$L$4="FO",'2023'!$L$2=AK309),'2023DATA'!$H$36,"")</f>
        <v/>
      </c>
      <c r="AL343" s="518" t="str">
        <f>IF(AND(_AC2="A-220-100",'2023'!$L$4="FO",'2023'!$L$2=AL309),'2023DATA'!$I$36,"")</f>
        <v/>
      </c>
      <c r="AM343" s="518" t="str">
        <f>IF(AND(_AC2="A-220-100",'2023'!$L$4="FO",'2023'!$L$2=AM309),'2023DATA'!$J$36,"")</f>
        <v/>
      </c>
      <c r="AN343" s="518" t="str">
        <f>IF(AND(_AC2="A-220-100",'2023'!$L$4="FO",'2023'!$L$2=AN309),'2023DATA'!$K$36,"")</f>
        <v/>
      </c>
      <c r="AO343" s="518" t="str">
        <f>IF(AND(_AC2="A-220-100",'2023'!$L$4="FO",'2023'!$L$2=AO309),'2023DATA'!$L$36,"")</f>
        <v/>
      </c>
      <c r="AP343" s="518" t="str">
        <f>IF(AND(_AC2="A-220-100",'2023'!$L$4="FO",'2023'!$L$2=AP309),'2023DATA'!$M$36,"")</f>
        <v/>
      </c>
      <c r="AQ343" s="520" t="str">
        <f>IF(AND(_AC2="A-220-100",'2023'!$L$4="FO",'2023'!$L$2=AQ309),'2023DATA'!$N$36,"")</f>
        <v/>
      </c>
      <c r="AR343" s="940"/>
      <c r="AS343" s="13" t="s">
        <v>62</v>
      </c>
      <c r="AT343" s="518" t="str">
        <f>IF(AND(_AC3="A-220-100",'2023'!$L$4="FO",'2023'!$L$2=AT309),'2023DATA'!$C$36,"")</f>
        <v/>
      </c>
      <c r="AU343" s="518" t="str">
        <f>IF(AND(_AC3="A-220-100",'2023'!$L$4="FO",'2023'!$L$2=AU309),'2023DATA'!$D$36,"")</f>
        <v/>
      </c>
      <c r="AV343" s="518" t="str">
        <f>IF(AND(_AC3="A-220-100",'2023'!$L$4="FO",'2023'!$L$2=AV309),'2023DATA'!$E$36,"")</f>
        <v/>
      </c>
      <c r="AW343" s="518" t="str">
        <f>IF(AND(_AC3="A-220-100",'2023'!$L$4="FO",'2023'!$L$2=AW309),'2023DATA'!$F$36,"")</f>
        <v/>
      </c>
      <c r="AX343" s="518" t="str">
        <f>IF(AND(_AC3="A-220-100",'2023'!$L$4="FO",'2023'!$L$2=AX309),'2023DATA'!$G$36,"")</f>
        <v/>
      </c>
      <c r="AY343" s="518" t="str">
        <f>IF(AND(_AC3="A-220-100",'2023'!$L$4="FO",'2023'!$L$2=AY309),'2023DATA'!$H$36,"")</f>
        <v/>
      </c>
      <c r="AZ343" s="518" t="str">
        <f>IF(AND(_AC3="A-220-100",'2023'!$L$4="FO",'2023'!$L$2=AZ309),'2023DATA'!$I$36,"")</f>
        <v/>
      </c>
      <c r="BA343" s="518" t="str">
        <f>IF(AND(_AC3="A-220-100",'2023'!$L$4="FO",'2023'!$L$2=BA309),'2023DATA'!$J$36,"")</f>
        <v/>
      </c>
      <c r="BB343" s="518" t="str">
        <f>IF(AND(_AC3="A-220-100",'2023'!$L$4="FO",'2023'!$L$2=BB309),'2023DATA'!$K$36,"")</f>
        <v/>
      </c>
      <c r="BC343" s="518" t="str">
        <f>IF(AND(_AC3="A-220-100",'2023'!$L$4="FO",'2023'!$L$2=BC309),'2023DATA'!$L$36,"")</f>
        <v/>
      </c>
      <c r="BD343" s="518" t="str">
        <f>IF(AND(_AC3="A-220-100",'2023'!$L$4="FO",'2023'!$L$2=BD309),'2023DATA'!$M$36,"")</f>
        <v/>
      </c>
      <c r="BE343" s="520" t="str">
        <f>IF(AND(_AC3="A-220-100",'2023'!$L$4="FO",'2023'!$L$2=BE309),'2023DATA'!$N$36,"")</f>
        <v/>
      </c>
      <c r="BF343" s="940"/>
      <c r="BG343" s="13" t="s">
        <v>62</v>
      </c>
      <c r="BH343" s="518" t="str">
        <f>IF(AND(_AC4="A-220-100",'2023'!$L$4="FO",'2023'!$L$2=BH309),'2023DATA'!$C$36,"")</f>
        <v/>
      </c>
      <c r="BI343" s="518" t="str">
        <f>IF(AND(_AC4="A-220-100",'2023'!$L$4="FO",'2023'!$L$2=BI309),'2023DATA'!$D$36,"")</f>
        <v/>
      </c>
      <c r="BJ343" s="518" t="str">
        <f>IF(AND(_AC4="A-220-100",'2023'!$L$4="FO",'2023'!$L$2=BJ309),'2023DATA'!$E$36,"")</f>
        <v/>
      </c>
      <c r="BK343" s="518" t="str">
        <f>IF(AND(_AC4="A-220-100",'2023'!$L$4="FO",'2023'!$L$2=BK309),'2023DATA'!$F$36,"")</f>
        <v/>
      </c>
      <c r="BL343" s="518" t="str">
        <f>IF(AND(_AC4="A-220-100",'2023'!$L$4="FO",'2023'!$L$2=BL309),'2023DATA'!$G$36,"")</f>
        <v/>
      </c>
      <c r="BM343" s="518" t="str">
        <f>IF(AND(_AC4="A-220-100",'2023'!$L$4="FO",'2023'!$L$2=BM309),'2023DATA'!$H$36,"")</f>
        <v/>
      </c>
      <c r="BN343" s="518" t="str">
        <f>IF(AND(_AC4="A-220-100",'2023'!$L$4="FO",'2023'!$L$2=BN309),'2023DATA'!$I$36,"")</f>
        <v/>
      </c>
      <c r="BO343" s="518" t="str">
        <f>IF(AND(_AC4="A-220-100",'2023'!$L$4="FO",'2023'!$L$2=BO309),'2023DATA'!$J$36,"")</f>
        <v/>
      </c>
      <c r="BP343" s="518" t="str">
        <f>IF(AND(_AC4="A-220-100",'2023'!$L$4="FO",'2023'!$L$2=BP309),'2023DATA'!$K$36,"")</f>
        <v/>
      </c>
      <c r="BQ343" s="518" t="str">
        <f>IF(AND(_AC4="A-220-100",'2023'!$L$4="FO",'2023'!$L$2=BQ309),'2023DATA'!$L$36,"")</f>
        <v/>
      </c>
      <c r="BR343" s="518" t="str">
        <f>IF(AND(_AC4="A-220-100",'2023'!$L$4="FO",'2023'!$L$2=BR309),'2023DATA'!$M$36,"")</f>
        <v/>
      </c>
      <c r="BS343" s="520" t="str">
        <f>IF(AND(_AC4="A-220-100",'2023'!$L$4="FO",'2023'!$L$2=BS309),'2023DATA'!$N$36,"")</f>
        <v/>
      </c>
      <c r="BT343" s="940"/>
      <c r="BU343" s="13" t="s">
        <v>62</v>
      </c>
      <c r="BV343" s="518" t="str">
        <f>IF(AND(_AC5="A-220-100",'2023'!$L$4="FO",'2023'!$L$2=BV309),'2023DATA'!$C$36,"")</f>
        <v/>
      </c>
      <c r="BW343" s="518" t="str">
        <f>IF(AND(_AC5="A-220-100",'2023'!$L$4="FO",'2023'!$L$2=BW309),'2023DATA'!$D$36,"")</f>
        <v/>
      </c>
      <c r="BX343" s="518" t="str">
        <f>IF(AND(_AC5="A-220-100",'2023'!$L$4="FO",'2023'!$L$2=BX309),'2023DATA'!$E$36,"")</f>
        <v/>
      </c>
      <c r="BY343" s="518" t="str">
        <f>IF(AND(_AC5="A-220-100",'2023'!$L$4="FO",'2023'!$L$2=BY309),'2023DATA'!$F$36,"")</f>
        <v/>
      </c>
      <c r="BZ343" s="518" t="str">
        <f>IF(AND(_AC5="A-220-100",'2023'!$L$4="FO",'2023'!$L$2=BZ309),'2023DATA'!$G$36,"")</f>
        <v/>
      </c>
      <c r="CA343" s="518" t="str">
        <f>IF(AND(_AC5="A-220-100",'2023'!$L$4="FO",'2023'!$L$2=CA309),'2023DATA'!$H$36,"")</f>
        <v/>
      </c>
      <c r="CB343" s="518" t="str">
        <f>IF(AND(_AC5="A-220-100",'2023'!$L$4="FO",'2023'!$L$2=CB309),'2023DATA'!$I$36,"")</f>
        <v/>
      </c>
      <c r="CC343" s="518" t="str">
        <f>IF(AND(_AC5="A-220-100",'2023'!$L$4="FO",'2023'!$L$2=CC309),'2023DATA'!$J$36,"")</f>
        <v/>
      </c>
      <c r="CD343" s="518" t="str">
        <f>IF(AND(_AC5="A-220-100",'2023'!$L$4="FO",'2023'!$L$2=CD309),'2023DATA'!$K$36,"")</f>
        <v/>
      </c>
      <c r="CE343" s="518" t="str">
        <f>IF(AND(_AC5="A-220-100",'2023'!$L$4="FO",'2023'!$L$2=CE309),'2023DATA'!$L$36,"")</f>
        <v/>
      </c>
      <c r="CF343" s="518" t="str">
        <f>IF(AND(_AC5="A-220-100",'2023'!$L$4="FO",'2023'!$L$2=CF309),'2023DATA'!$M$36,"")</f>
        <v/>
      </c>
      <c r="CG343" s="520" t="str">
        <f>IF(AND(_AC5="A-220-100",'2023'!$L$4="FO",'2023'!$L$2=CG309),'2023DATA'!$N$36,"")</f>
        <v/>
      </c>
      <c r="CH343" s="940"/>
      <c r="CI343" s="13" t="s">
        <v>62</v>
      </c>
      <c r="CJ343" s="518" t="str">
        <f>IF(AND(_AC6="A-220-100",'2023'!$L$4="FO",'2023'!$L$2=CJ309),'2023DATA'!$C$36,"")</f>
        <v/>
      </c>
      <c r="CK343" s="518" t="str">
        <f>IF(AND(_AC6="A-220-100",'2023'!$L$4="FO",'2023'!$L$2=CK309),'2023DATA'!$D$36,"")</f>
        <v/>
      </c>
      <c r="CL343" s="518" t="str">
        <f>IF(AND(_AC6="A-220-100",'2023'!$L$4="FO",'2023'!$L$2=CL309),'2023DATA'!$E$36,"")</f>
        <v/>
      </c>
      <c r="CM343" s="518" t="str">
        <f>IF(AND(_AC6="A-220-100",'2023'!$L$4="FO",'2023'!$L$2=CM309),'2023DATA'!$F$36,"")</f>
        <v/>
      </c>
      <c r="CN343" s="518" t="str">
        <f>IF(AND(_AC6="A-220-100",'2023'!$L$4="FO",'2023'!$L$2=CN309),'2023DATA'!$G$36,"")</f>
        <v/>
      </c>
      <c r="CO343" s="518" t="str">
        <f>IF(AND(_AC6="A-220-100",'2023'!$L$4="FO",'2023'!$L$2=CO309),'2023DATA'!$H$36,"")</f>
        <v/>
      </c>
      <c r="CP343" s="518" t="str">
        <f>IF(AND(_AC6="A-220-100",'2023'!$L$4="FO",'2023'!$L$2=CP309),'2023DATA'!$I$36,"")</f>
        <v/>
      </c>
      <c r="CQ343" s="518" t="str">
        <f>IF(AND(_AC6="A-220-100",'2023'!$L$4="FO",'2023'!$L$2=CQ309),'2023DATA'!$J$36,"")</f>
        <v/>
      </c>
      <c r="CR343" s="518" t="str">
        <f>IF(AND(_AC6="A-220-100",'2023'!$L$4="FO",'2023'!$L$2=CR309),'2023DATA'!$K$36,"")</f>
        <v/>
      </c>
      <c r="CS343" s="518" t="str">
        <f>IF(AND(_AC6="A-220-100",'2023'!$L$4="FO",'2023'!$L$2=CS309),'2023DATA'!$L$36,"")</f>
        <v/>
      </c>
      <c r="CT343" s="518" t="str">
        <f>IF(AND(_AC6="A-220-100",'2023'!$L$4="FO",'2023'!$L$2=CT309),'2023DATA'!$M$36,"")</f>
        <v/>
      </c>
      <c r="CU343" s="520" t="str">
        <f>IF(AND(_AC6="A-220-100",'2023'!$L$4="FO",'2023'!$L$2=CU309),'2023DATA'!$N$36,"")</f>
        <v/>
      </c>
    </row>
    <row r="344" spans="16:99" x14ac:dyDescent="0.25">
      <c r="P344" s="940" t="s">
        <v>53</v>
      </c>
      <c r="Q344" s="13" t="s">
        <v>61</v>
      </c>
      <c r="R344" s="518" t="str">
        <f>IF(AND(_AC1="B-717",'2023'!$L$4="CA",'2023'!$L$2=R309),'2023DATA'!$C$37,"")</f>
        <v/>
      </c>
      <c r="S344" s="518" t="str">
        <f>IF(AND(_AC1="B-717",'2023'!$L$4="CA",'2023'!$L$2=S309),'2023DATA'!$D$37,"")</f>
        <v/>
      </c>
      <c r="T344" s="518" t="str">
        <f>IF(AND(_AC1="B-717",'2023'!$L$4="CA",'2023'!$L$2=T309),'2023DATA'!$E$37,"")</f>
        <v/>
      </c>
      <c r="U344" s="518" t="str">
        <f>IF(AND(_AC1="B-717",'2023'!$L$4="CA",'2023'!$L$2=U309),'2023DATA'!$F$37,"")</f>
        <v/>
      </c>
      <c r="V344" s="518" t="str">
        <f>IF(AND(_AC1="B-717",'2023'!$L$4="CA",'2023'!$L$2=V309),'2023DATA'!$G$37,"")</f>
        <v/>
      </c>
      <c r="W344" s="518" t="str">
        <f>IF(AND(_AC1="B-717",'2023'!$L$4="CA",'2023'!$L$2=W309),'2023DATA'!$H$37,"")</f>
        <v/>
      </c>
      <c r="X344" s="518" t="str">
        <f>IF(AND(_AC1="B-717",'2023'!$L$4="CA",'2023'!$L$2=X309),'2023DATA'!$I$37,"")</f>
        <v/>
      </c>
      <c r="Y344" s="518" t="str">
        <f>IF(AND(_AC1="B-717",'2023'!$L$4="CA",'2023'!$L$2=Y309),'2023DATA'!$J$37,"")</f>
        <v/>
      </c>
      <c r="Z344" s="518" t="str">
        <f>IF(AND(_AC1="B-717",'2023'!$L$4="CA",'2023'!$L$2=Z309),'2023DATA'!$K$37,"")</f>
        <v/>
      </c>
      <c r="AA344" s="518" t="str">
        <f>IF(AND(_AC1="B-717",'2023'!$L$4="CA",'2023'!$L$2=AA309),'2023DATA'!$L$37,"")</f>
        <v/>
      </c>
      <c r="AB344" s="518" t="str">
        <f>IF(AND(_AC1="B-717",'2023'!$L$4="CA",'2023'!$L$2=AB309),'2023DATA'!$M$37,"")</f>
        <v/>
      </c>
      <c r="AC344" s="520" t="str">
        <f>IF(AND(_AC1="B-717",'2023'!$L$4="CA",'2023'!$L$2=AC309),'2023DATA'!$N$37,"")</f>
        <v/>
      </c>
      <c r="AD344" s="940" t="s">
        <v>53</v>
      </c>
      <c r="AE344" s="13" t="s">
        <v>61</v>
      </c>
      <c r="AF344" s="518" t="str">
        <f>IF(AND(_AC2="B-717",'2023'!$L$4="CA",'2023'!$L$2=AF309),'2023DATA'!$C$37,"")</f>
        <v/>
      </c>
      <c r="AG344" s="518" t="str">
        <f>IF(AND(_AC2="B-717",'2023'!$L$4="CA",'2023'!$L$2=AG309),'2023DATA'!$D$37,"")</f>
        <v/>
      </c>
      <c r="AH344" s="518" t="str">
        <f>IF(AND(_AC2="B-717",'2023'!$L$4="CA",'2023'!$L$2=AH309),'2023DATA'!$E$37,"")</f>
        <v/>
      </c>
      <c r="AI344" s="518" t="str">
        <f>IF(AND(_AC2="B-717",'2023'!$L$4="CA",'2023'!$L$2=AI309),'2023DATA'!$F$37,"")</f>
        <v/>
      </c>
      <c r="AJ344" s="518" t="str">
        <f>IF(AND(_AC2="B-717",'2023'!$L$4="CA",'2023'!$L$2=AJ309),'2023DATA'!$G$37,"")</f>
        <v/>
      </c>
      <c r="AK344" s="518" t="str">
        <f>IF(AND(_AC2="B-717",'2023'!$L$4="CA",'2023'!$L$2=AK309),'2023DATA'!$H$37,"")</f>
        <v/>
      </c>
      <c r="AL344" s="518" t="str">
        <f>IF(AND(_AC2="B-717",'2023'!$L$4="CA",'2023'!$L$2=AL309),'2023DATA'!$I$37,"")</f>
        <v/>
      </c>
      <c r="AM344" s="518" t="str">
        <f>IF(AND(_AC2="B-717",'2023'!$L$4="CA",'2023'!$L$2=AM309),'2023DATA'!$J$37,"")</f>
        <v/>
      </c>
      <c r="AN344" s="518" t="str">
        <f>IF(AND(_AC2="B-717",'2023'!$L$4="CA",'2023'!$L$2=AN309),'2023DATA'!$K$37,"")</f>
        <v/>
      </c>
      <c r="AO344" s="518" t="str">
        <f>IF(AND(_AC2="B-717",'2023'!$L$4="CA",'2023'!$L$2=AO309),'2023DATA'!$L$37,"")</f>
        <v/>
      </c>
      <c r="AP344" s="518" t="str">
        <f>IF(AND(_AC2="B-717",'2023'!$L$4="CA",'2023'!$L$2=AP309),'2023DATA'!$M$37,"")</f>
        <v/>
      </c>
      <c r="AQ344" s="520" t="str">
        <f>IF(AND(_AC2="B-717",'2023'!$L$4="CA",'2023'!$L$2=AQ309),'2023DATA'!$N$37,"")</f>
        <v/>
      </c>
      <c r="AR344" s="940" t="s">
        <v>53</v>
      </c>
      <c r="AS344" s="13" t="s">
        <v>61</v>
      </c>
      <c r="AT344" s="518" t="str">
        <f>IF(AND(_AC3="B-717",'2023'!$L$4="CA",'2023'!$L$2=AT309),'2023DATA'!$C$37,"")</f>
        <v/>
      </c>
      <c r="AU344" s="518" t="str">
        <f>IF(AND(_AC3="B-717",'2023'!$L$4="CA",'2023'!$L$2=AU309),'2023DATA'!$D$37,"")</f>
        <v/>
      </c>
      <c r="AV344" s="518" t="str">
        <f>IF(AND(_AC3="B-717",'2023'!$L$4="CA",'2023'!$L$2=AV309),'2023DATA'!$E$37,"")</f>
        <v/>
      </c>
      <c r="AW344" s="518" t="str">
        <f>IF(AND(_AC3="B-717",'2023'!$L$4="CA",'2023'!$L$2=AW309),'2023DATA'!$F$37,"")</f>
        <v/>
      </c>
      <c r="AX344" s="518" t="str">
        <f>IF(AND(_AC3="B-717",'2023'!$L$4="CA",'2023'!$L$2=AX309),'2023DATA'!$G$37,"")</f>
        <v/>
      </c>
      <c r="AY344" s="518" t="str">
        <f>IF(AND(_AC3="B-717",'2023'!$L$4="CA",'2023'!$L$2=AY309),'2023DATA'!$H$37,"")</f>
        <v/>
      </c>
      <c r="AZ344" s="518" t="str">
        <f>IF(AND(_AC3="B-717",'2023'!$L$4="CA",'2023'!$L$2=AZ309),'2023DATA'!$I$37,"")</f>
        <v/>
      </c>
      <c r="BA344" s="518" t="str">
        <f>IF(AND(_AC3="B-717",'2023'!$L$4="CA",'2023'!$L$2=BA309),'2023DATA'!$J$37,"")</f>
        <v/>
      </c>
      <c r="BB344" s="518" t="str">
        <f>IF(AND(_AC3="B-717",'2023'!$L$4="CA",'2023'!$L$2=BB309),'2023DATA'!$K$37,"")</f>
        <v/>
      </c>
      <c r="BC344" s="518" t="str">
        <f>IF(AND(_AC3="B-717",'2023'!$L$4="CA",'2023'!$L$2=BC309),'2023DATA'!$L$37,"")</f>
        <v/>
      </c>
      <c r="BD344" s="518" t="str">
        <f>IF(AND(_AC3="B-717",'2023'!$L$4="CA",'2023'!$L$2=BD309),'2023DATA'!$M$37,"")</f>
        <v/>
      </c>
      <c r="BE344" s="520" t="str">
        <f>IF(AND(_AC3="B-717",'2023'!$L$4="CA",'2023'!$L$2=BE309),'2023DATA'!$N$37,"")</f>
        <v/>
      </c>
      <c r="BF344" s="940" t="s">
        <v>53</v>
      </c>
      <c r="BG344" s="13" t="s">
        <v>61</v>
      </c>
      <c r="BH344" s="518" t="str">
        <f>IF(AND(_AC4="B-717",'2023'!$L$4="CA",'2023'!$L$2=BH309),'2023DATA'!$C$37,"")</f>
        <v/>
      </c>
      <c r="BI344" s="518" t="str">
        <f>IF(AND(_AC4="B-717",'2023'!$L$4="CA",'2023'!$L$2=BI309),'2023DATA'!$D$37,"")</f>
        <v/>
      </c>
      <c r="BJ344" s="518" t="str">
        <f>IF(AND(_AC4="B-717",'2023'!$L$4="CA",'2023'!$L$2=BJ309),'2023DATA'!$E$37,"")</f>
        <v/>
      </c>
      <c r="BK344" s="518" t="str">
        <f>IF(AND(_AC4="B-717",'2023'!$L$4="CA",'2023'!$L$2=BK309),'2023DATA'!$F$37,"")</f>
        <v/>
      </c>
      <c r="BL344" s="518" t="str">
        <f>IF(AND(_AC4="B-717",'2023'!$L$4="CA",'2023'!$L$2=BL309),'2023DATA'!$G$37,"")</f>
        <v/>
      </c>
      <c r="BM344" s="518" t="str">
        <f>IF(AND(_AC4="B-717",'2023'!$L$4="CA",'2023'!$L$2=BM309),'2023DATA'!$H$37,"")</f>
        <v/>
      </c>
      <c r="BN344" s="518" t="str">
        <f>IF(AND(_AC4="B-717",'2023'!$L$4="CA",'2023'!$L$2=BN309),'2023DATA'!$I$37,"")</f>
        <v/>
      </c>
      <c r="BO344" s="518" t="str">
        <f>IF(AND(_AC4="B-717",'2023'!$L$4="CA",'2023'!$L$2=BO309),'2023DATA'!$J$37,"")</f>
        <v/>
      </c>
      <c r="BP344" s="518" t="str">
        <f>IF(AND(_AC4="B-717",'2023'!$L$4="CA",'2023'!$L$2=BP309),'2023DATA'!$K$37,"")</f>
        <v/>
      </c>
      <c r="BQ344" s="518" t="str">
        <f>IF(AND(_AC4="B-717",'2023'!$L$4="CA",'2023'!$L$2=BQ309),'2023DATA'!$L$37,"")</f>
        <v/>
      </c>
      <c r="BR344" s="518" t="str">
        <f>IF(AND(_AC4="B-717",'2023'!$L$4="CA",'2023'!$L$2=BR309),'2023DATA'!$M$37,"")</f>
        <v/>
      </c>
      <c r="BS344" s="520" t="str">
        <f>IF(AND(_AC4="B-717",'2023'!$L$4="CA",'2023'!$L$2=BS309),'2023DATA'!$N$37,"")</f>
        <v/>
      </c>
      <c r="BT344" s="940" t="s">
        <v>53</v>
      </c>
      <c r="BU344" s="13" t="s">
        <v>61</v>
      </c>
      <c r="BV344" s="518" t="str">
        <f>IF(AND(_AC5="B-717",'2023'!$L$4="CA",'2023'!$L$2=BV309),'2023DATA'!$C$37,"")</f>
        <v/>
      </c>
      <c r="BW344" s="518" t="str">
        <f>IF(AND(_AC5="B-717",'2023'!$L$4="CA",'2023'!$L$2=BW309),'2023DATA'!$D$37,"")</f>
        <v/>
      </c>
      <c r="BX344" s="518" t="str">
        <f>IF(AND(_AC5="B-717",'2023'!$L$4="CA",'2023'!$L$2=BX309),'2023DATA'!$E$37,"")</f>
        <v/>
      </c>
      <c r="BY344" s="518" t="str">
        <f>IF(AND(_AC5="B-717",'2023'!$L$4="CA",'2023'!$L$2=BY309),'2023DATA'!$F$37,"")</f>
        <v/>
      </c>
      <c r="BZ344" s="518" t="str">
        <f>IF(AND(_AC5="B-717",'2023'!$L$4="CA",'2023'!$L$2=BZ309),'2023DATA'!$G$37,"")</f>
        <v/>
      </c>
      <c r="CA344" s="518" t="str">
        <f>IF(AND(_AC5="B-717",'2023'!$L$4="CA",'2023'!$L$2=CA309),'2023DATA'!$H$37,"")</f>
        <v/>
      </c>
      <c r="CB344" s="518" t="str">
        <f>IF(AND(_AC5="B-717",'2023'!$L$4="CA",'2023'!$L$2=CB309),'2023DATA'!$I$37,"")</f>
        <v/>
      </c>
      <c r="CC344" s="518" t="str">
        <f>IF(AND(_AC5="B-717",'2023'!$L$4="CA",'2023'!$L$2=CC309),'2023DATA'!$J$37,"")</f>
        <v/>
      </c>
      <c r="CD344" s="518" t="str">
        <f>IF(AND(_AC5="B-717",'2023'!$L$4="CA",'2023'!$L$2=CD309),'2023DATA'!$K$37,"")</f>
        <v/>
      </c>
      <c r="CE344" s="518" t="str">
        <f>IF(AND(_AC5="B-717",'2023'!$L$4="CA",'2023'!$L$2=CE309),'2023DATA'!$L$37,"")</f>
        <v/>
      </c>
      <c r="CF344" s="518" t="str">
        <f>IF(AND(_AC5="B-717",'2023'!$L$4="CA",'2023'!$L$2=CF309),'2023DATA'!$M$37,"")</f>
        <v/>
      </c>
      <c r="CG344" s="520" t="str">
        <f>IF(AND(_AC5="B-717",'2023'!$L$4="CA",'2023'!$L$2=CG309),'2023DATA'!$N$37,"")</f>
        <v/>
      </c>
      <c r="CH344" s="940" t="s">
        <v>53</v>
      </c>
      <c r="CI344" s="13" t="s">
        <v>61</v>
      </c>
      <c r="CJ344" s="518" t="str">
        <f>IF(AND(_AC6="B-717",'2023'!$L$4="CA",'2023'!$L$2=CJ309),'2023DATA'!$C$37,"")</f>
        <v/>
      </c>
      <c r="CK344" s="518" t="str">
        <f>IF(AND(_AC6="B-717",'2023'!$L$4="CA",'2023'!$L$2=CK309),'2023DATA'!$D$37,"")</f>
        <v/>
      </c>
      <c r="CL344" s="518" t="str">
        <f>IF(AND(_AC6="B-717",'2023'!$L$4="CA",'2023'!$L$2=CL309),'2023DATA'!$E$37,"")</f>
        <v/>
      </c>
      <c r="CM344" s="518" t="str">
        <f>IF(AND(_AC6="B-717",'2023'!$L$4="CA",'2023'!$L$2=CM309),'2023DATA'!$F$37,"")</f>
        <v/>
      </c>
      <c r="CN344" s="518" t="str">
        <f>IF(AND(_AC6="B-717",'2023'!$L$4="CA",'2023'!$L$2=CN309),'2023DATA'!$G$37,"")</f>
        <v/>
      </c>
      <c r="CO344" s="518" t="str">
        <f>IF(AND(_AC6="B-717",'2023'!$L$4="CA",'2023'!$L$2=CO309),'2023DATA'!$H$37,"")</f>
        <v/>
      </c>
      <c r="CP344" s="518" t="str">
        <f>IF(AND(_AC6="B-717",'2023'!$L$4="CA",'2023'!$L$2=CP309),'2023DATA'!$I$37,"")</f>
        <v/>
      </c>
      <c r="CQ344" s="518" t="str">
        <f>IF(AND(_AC6="B-717",'2023'!$L$4="CA",'2023'!$L$2=CQ309),'2023DATA'!$J$37,"")</f>
        <v/>
      </c>
      <c r="CR344" s="518" t="str">
        <f>IF(AND(_AC6="B-717",'2023'!$L$4="CA",'2023'!$L$2=CR309),'2023DATA'!$K$37,"")</f>
        <v/>
      </c>
      <c r="CS344" s="518" t="str">
        <f>IF(AND(_AC6="B-717",'2023'!$L$4="CA",'2023'!$L$2=CS309),'2023DATA'!$L$37,"")</f>
        <v/>
      </c>
      <c r="CT344" s="518" t="str">
        <f>IF(AND(_AC6="B-717",'2023'!$L$4="CA",'2023'!$L$2=CT309),'2023DATA'!$M$37,"")</f>
        <v/>
      </c>
      <c r="CU344" s="520" t="str">
        <f>IF(AND(_AC6="B-717",'2023'!$L$4="CA",'2023'!$L$2=CU309),'2023DATA'!$N$37,"")</f>
        <v/>
      </c>
    </row>
    <row r="345" spans="16:99" ht="15.75" thickBot="1" x14ac:dyDescent="0.3">
      <c r="P345" s="941"/>
      <c r="Q345" s="521" t="s">
        <v>62</v>
      </c>
      <c r="R345" s="522" t="str">
        <f>IF(AND(_AC1="B-717",'2023'!$L$4="FO",'2023'!$L$2=R309),'2023DATA'!$C$38,"")</f>
        <v/>
      </c>
      <c r="S345" s="522" t="str">
        <f>IF(AND(_AC1="B-717",'2023'!$L$4="FO",'2023'!$L$2=S309),'2023DATA'!$D$38,"")</f>
        <v/>
      </c>
      <c r="T345" s="522" t="str">
        <f>IF(AND(_AC1="B-717",'2023'!$L$4="FO",'2023'!$L$2=T309),'2023DATA'!$E$38,"")</f>
        <v/>
      </c>
      <c r="U345" s="522" t="str">
        <f>IF(AND(_AC1="B-717",'2023'!$L$4="FO",'2023'!$L$2=U309),'2023DATA'!$F$38,"")</f>
        <v/>
      </c>
      <c r="V345" s="522" t="str">
        <f>IF(AND(_AC1="B-717",'2023'!$L$4="FO",'2023'!$L$2=V309),'2023DATA'!$G$38,"")</f>
        <v/>
      </c>
      <c r="W345" s="522" t="str">
        <f>IF(AND(_AC1="B-717",'2023'!$L$4="FO",'2023'!$L$2=W309),'2023DATA'!$H$38,"")</f>
        <v/>
      </c>
      <c r="X345" s="522" t="str">
        <f>IF(AND(_AC1="B-717",'2023'!$L$4="FO",'2023'!$L$2=X309),'2023DATA'!$I$38,"")</f>
        <v/>
      </c>
      <c r="Y345" s="522" t="str">
        <f>IF(AND(_AC1="B-717",'2023'!$L$4="FO",'2023'!$L$2=Y309),'2023DATA'!$J$38,"")</f>
        <v/>
      </c>
      <c r="Z345" s="522" t="str">
        <f>IF(AND(_AC1="B-717",'2023'!$L$4="FO",'2023'!$L$2=Z309),'2023DATA'!$K$38,"")</f>
        <v/>
      </c>
      <c r="AA345" s="522" t="str">
        <f>IF(AND(_AC1="B-717",'2023'!$L$4="FO",'2023'!$L$2=AA309),'2023DATA'!$L$38,"")</f>
        <v/>
      </c>
      <c r="AB345" s="522" t="str">
        <f>IF(AND(_AC1="B-717",'2023'!$L$4="FO",'2023'!$L$2=AB309),'2023DATA'!$M$38,"")</f>
        <v/>
      </c>
      <c r="AC345" s="523" t="str">
        <f>IF(AND(_AC1="B-717",'2023'!$L$4="FO",'2023'!$L$2=AC309),'2023DATA'!$N$38,"")</f>
        <v/>
      </c>
      <c r="AD345" s="941"/>
      <c r="AE345" s="521" t="s">
        <v>62</v>
      </c>
      <c r="AF345" s="518" t="str">
        <f>IF(AND(_AC2="B-717",'2023'!$L$4="FO",'2023'!$L$2=AF309),'2023DATA'!$C$38,"")</f>
        <v/>
      </c>
      <c r="AG345" s="518" t="str">
        <f>IF(AND(_AC2="B-717",'2023'!$L$4="FO",'2023'!$L$2=AG309),'2023DATA'!$D$38,"")</f>
        <v/>
      </c>
      <c r="AH345" s="518" t="str">
        <f>IF(AND(_AC2="B-717",'2023'!$L$4="FO",'2023'!$L$2=AH309),'2023DATA'!$E$38,"")</f>
        <v/>
      </c>
      <c r="AI345" s="518" t="str">
        <f>IF(AND(_AC2="B-717",'2023'!$L$4="FO",'2023'!$L$2=AI309),'2023DATA'!$F$38,"")</f>
        <v/>
      </c>
      <c r="AJ345" s="518" t="str">
        <f>IF(AND(_AC2="B-717",'2023'!$L$4="FO",'2023'!$L$2=AJ309),'2023DATA'!$G$38,"")</f>
        <v/>
      </c>
      <c r="AK345" s="518" t="str">
        <f>IF(AND(_AC2="B-717",'2023'!$L$4="FO",'2023'!$L$2=AK309),'2023DATA'!$H$38,"")</f>
        <v/>
      </c>
      <c r="AL345" s="518" t="str">
        <f>IF(AND(_AC2="B-717",'2023'!$L$4="FO",'2023'!$L$2=AL309),'2023DATA'!$I$38,"")</f>
        <v/>
      </c>
      <c r="AM345" s="518" t="str">
        <f>IF(AND(_AC2="B-717",'2023'!$L$4="FO",'2023'!$L$2=AM309),'2023DATA'!$J$38,"")</f>
        <v/>
      </c>
      <c r="AN345" s="518" t="str">
        <f>IF(AND(_AC2="B-717",'2023'!$L$4="FO",'2023'!$L$2=AN309),'2023DATA'!$K$38,"")</f>
        <v/>
      </c>
      <c r="AO345" s="518" t="str">
        <f>IF(AND(_AC2="B-717",'2023'!$L$4="FO",'2023'!$L$2=AO309),'2023DATA'!$L$38,"")</f>
        <v/>
      </c>
      <c r="AP345" s="518" t="str">
        <f>IF(AND(_AC2="B-717",'2023'!$L$4="FO",'2023'!$L$2=AP309),'2023DATA'!$M$38,"")</f>
        <v/>
      </c>
      <c r="AQ345" s="520" t="str">
        <f>IF(AND(_AC2="B-717",'2023'!$L$4="FO",'2023'!$L$2=AQ309),'2023DATA'!$N$38,"")</f>
        <v/>
      </c>
      <c r="AR345" s="941"/>
      <c r="AS345" s="521" t="s">
        <v>62</v>
      </c>
      <c r="AT345" s="518" t="str">
        <f>IF(AND(_AC3="B-717",'2023'!$L$4="FO",'2023'!$L$2=AT309),'2023DATA'!$C$38,"")</f>
        <v/>
      </c>
      <c r="AU345" s="518" t="str">
        <f>IF(AND(_AC3="B-717",'2023'!$L$4="FO",'2023'!$L$2=AU309),'2023DATA'!$D$38,"")</f>
        <v/>
      </c>
      <c r="AV345" s="518" t="str">
        <f>IF(AND(_AC3="B-717",'2023'!$L$4="FO",'2023'!$L$2=AV309),'2023DATA'!$E$38,"")</f>
        <v/>
      </c>
      <c r="AW345" s="518" t="str">
        <f>IF(AND(_AC3="B-717",'2023'!$L$4="FO",'2023'!$L$2=AW309),'2023DATA'!$F$38,"")</f>
        <v/>
      </c>
      <c r="AX345" s="518" t="str">
        <f>IF(AND(_AC3="B-717",'2023'!$L$4="FO",'2023'!$L$2=AX309),'2023DATA'!$G$38,"")</f>
        <v/>
      </c>
      <c r="AY345" s="518" t="str">
        <f>IF(AND(_AC3="B-717",'2023'!$L$4="FO",'2023'!$L$2=AY309),'2023DATA'!$H$38,"")</f>
        <v/>
      </c>
      <c r="AZ345" s="518" t="str">
        <f>IF(AND(_AC3="B-717",'2023'!$L$4="FO",'2023'!$L$2=AZ309),'2023DATA'!$I$38,"")</f>
        <v/>
      </c>
      <c r="BA345" s="518" t="str">
        <f>IF(AND(_AC3="B-717",'2023'!$L$4="FO",'2023'!$L$2=BA309),'2023DATA'!$J$38,"")</f>
        <v/>
      </c>
      <c r="BB345" s="518" t="str">
        <f>IF(AND(_AC3="B-717",'2023'!$L$4="FO",'2023'!$L$2=BB309),'2023DATA'!$K$38,"")</f>
        <v/>
      </c>
      <c r="BC345" s="518" t="str">
        <f>IF(AND(_AC3="B-717",'2023'!$L$4="FO",'2023'!$L$2=BC309),'2023DATA'!$L$38,"")</f>
        <v/>
      </c>
      <c r="BD345" s="518" t="str">
        <f>IF(AND(_AC3="B-717",'2023'!$L$4="FO",'2023'!$L$2=BD309),'2023DATA'!$M$38,"")</f>
        <v/>
      </c>
      <c r="BE345" s="520" t="str">
        <f>IF(AND(_AC3="B-717",'2023'!$L$4="FO",'2023'!$L$2=BE309),'2023DATA'!$N$38,"")</f>
        <v/>
      </c>
      <c r="BF345" s="941"/>
      <c r="BG345" s="521" t="s">
        <v>62</v>
      </c>
      <c r="BH345" s="518" t="str">
        <f>IF(AND(_AC4="B-717",'2023'!$L$4="FO",'2023'!$L$2=BH309),'2023DATA'!$C$38,"")</f>
        <v/>
      </c>
      <c r="BI345" s="518" t="str">
        <f>IF(AND(_AC4="B-717",'2023'!$L$4="FO",'2023'!$L$2=BI309),'2023DATA'!$D$38,"")</f>
        <v/>
      </c>
      <c r="BJ345" s="518" t="str">
        <f>IF(AND(_AC4="B-717",'2023'!$L$4="FO",'2023'!$L$2=BJ309),'2023DATA'!$E$38,"")</f>
        <v/>
      </c>
      <c r="BK345" s="518" t="str">
        <f>IF(AND(_AC4="B-717",'2023'!$L$4="FO",'2023'!$L$2=BK309),'2023DATA'!$F$38,"")</f>
        <v/>
      </c>
      <c r="BL345" s="518" t="str">
        <f>IF(AND(_AC4="B-717",'2023'!$L$4="FO",'2023'!$L$2=BL309),'2023DATA'!$G$38,"")</f>
        <v/>
      </c>
      <c r="BM345" s="518" t="str">
        <f>IF(AND(_AC4="B-717",'2023'!$L$4="FO",'2023'!$L$2=BM309),'2023DATA'!$H$38,"")</f>
        <v/>
      </c>
      <c r="BN345" s="518" t="str">
        <f>IF(AND(_AC4="B-717",'2023'!$L$4="FO",'2023'!$L$2=BN309),'2023DATA'!$I$38,"")</f>
        <v/>
      </c>
      <c r="BO345" s="518" t="str">
        <f>IF(AND(_AC4="B-717",'2023'!$L$4="FO",'2023'!$L$2=BO309),'2023DATA'!$J$38,"")</f>
        <v/>
      </c>
      <c r="BP345" s="518" t="str">
        <f>IF(AND(_AC4="B-717",'2023'!$L$4="FO",'2023'!$L$2=BP309),'2023DATA'!$K$38,"")</f>
        <v/>
      </c>
      <c r="BQ345" s="518" t="str">
        <f>IF(AND(_AC4="B-717",'2023'!$L$4="FO",'2023'!$L$2=BQ309),'2023DATA'!$L$38,"")</f>
        <v/>
      </c>
      <c r="BR345" s="518" t="str">
        <f>IF(AND(_AC4="B-717",'2023'!$L$4="FO",'2023'!$L$2=BR309),'2023DATA'!$M$38,"")</f>
        <v/>
      </c>
      <c r="BS345" s="520" t="str">
        <f>IF(AND(_AC4="B-717",'2023'!$L$4="FO",'2023'!$L$2=BS309),'2023DATA'!$N$38,"")</f>
        <v/>
      </c>
      <c r="BT345" s="941"/>
      <c r="BU345" s="521" t="s">
        <v>62</v>
      </c>
      <c r="BV345" s="518" t="str">
        <f>IF(AND(_AC5="B-717",'2023'!$L$4="FO",'2023'!$L$2=BV309),'2023DATA'!$C$38,"")</f>
        <v/>
      </c>
      <c r="BW345" s="518" t="str">
        <f>IF(AND(_AC5="B-717",'2023'!$L$4="FO",'2023'!$L$2=BW309),'2023DATA'!$D$38,"")</f>
        <v/>
      </c>
      <c r="BX345" s="518" t="str">
        <f>IF(AND(_AC5="B-717",'2023'!$L$4="FO",'2023'!$L$2=BX309),'2023DATA'!$E$38,"")</f>
        <v/>
      </c>
      <c r="BY345" s="518" t="str">
        <f>IF(AND(_AC5="B-717",'2023'!$L$4="FO",'2023'!$L$2=BY309),'2023DATA'!$F$38,"")</f>
        <v/>
      </c>
      <c r="BZ345" s="518" t="str">
        <f>IF(AND(_AC5="B-717",'2023'!$L$4="FO",'2023'!$L$2=BZ309),'2023DATA'!$G$38,"")</f>
        <v/>
      </c>
      <c r="CA345" s="518" t="str">
        <f>IF(AND(_AC5="B-717",'2023'!$L$4="FO",'2023'!$L$2=CA309),'2023DATA'!$H$38,"")</f>
        <v/>
      </c>
      <c r="CB345" s="518" t="str">
        <f>IF(AND(_AC5="B-717",'2023'!$L$4="FO",'2023'!$L$2=CB309),'2023DATA'!$I$38,"")</f>
        <v/>
      </c>
      <c r="CC345" s="518" t="str">
        <f>IF(AND(_AC5="B-717",'2023'!$L$4="FO",'2023'!$L$2=CC309),'2023DATA'!$J$38,"")</f>
        <v/>
      </c>
      <c r="CD345" s="518" t="str">
        <f>IF(AND(_AC5="B-717",'2023'!$L$4="FO",'2023'!$L$2=CD309),'2023DATA'!$K$38,"")</f>
        <v/>
      </c>
      <c r="CE345" s="518" t="str">
        <f>IF(AND(_AC5="B-717",'2023'!$L$4="FO",'2023'!$L$2=CE309),'2023DATA'!$L$38,"")</f>
        <v/>
      </c>
      <c r="CF345" s="518" t="str">
        <f>IF(AND(_AC5="B-717",'2023'!$L$4="FO",'2023'!$L$2=CF309),'2023DATA'!$M$38,"")</f>
        <v/>
      </c>
      <c r="CG345" s="520" t="str">
        <f>IF(AND(_AC5="B-717",'2023'!$L$4="FO",'2023'!$L$2=CG309),'2023DATA'!$N$38,"")</f>
        <v/>
      </c>
      <c r="CH345" s="941"/>
      <c r="CI345" s="521" t="s">
        <v>62</v>
      </c>
      <c r="CJ345" s="518" t="str">
        <f>IF(AND(_AC6="B-717",'2023'!$L$4="FO",'2023'!$L$2=CJ309),'2023DATA'!$C$38,"")</f>
        <v/>
      </c>
      <c r="CK345" s="518" t="str">
        <f>IF(AND(_AC6="B-717",'2023'!$L$4="FO",'2023'!$L$2=CK309),'2023DATA'!$D$38,"")</f>
        <v/>
      </c>
      <c r="CL345" s="518" t="str">
        <f>IF(AND(_AC6="B-717",'2023'!$L$4="FO",'2023'!$L$2=CL309),'2023DATA'!$E$38,"")</f>
        <v/>
      </c>
      <c r="CM345" s="518" t="str">
        <f>IF(AND(_AC6="B-717",'2023'!$L$4="FO",'2023'!$L$2=CM309),'2023DATA'!$F$38,"")</f>
        <v/>
      </c>
      <c r="CN345" s="518" t="str">
        <f>IF(AND(_AC6="B-717",'2023'!$L$4="FO",'2023'!$L$2=CN309),'2023DATA'!$G$38,"")</f>
        <v/>
      </c>
      <c r="CO345" s="518" t="str">
        <f>IF(AND(_AC6="B-717",'2023'!$L$4="FO",'2023'!$L$2=CO309),'2023DATA'!$H$38,"")</f>
        <v/>
      </c>
      <c r="CP345" s="518" t="str">
        <f>IF(AND(_AC6="B-717",'2023'!$L$4="FO",'2023'!$L$2=CP309),'2023DATA'!$I$38,"")</f>
        <v/>
      </c>
      <c r="CQ345" s="518" t="str">
        <f>IF(AND(_AC6="B-717",'2023'!$L$4="FO",'2023'!$L$2=CQ309),'2023DATA'!$J$38,"")</f>
        <v/>
      </c>
      <c r="CR345" s="518" t="str">
        <f>IF(AND(_AC6="B-717",'2023'!$L$4="FO",'2023'!$L$2=CR309),'2023DATA'!$K$38,"")</f>
        <v/>
      </c>
      <c r="CS345" s="518" t="str">
        <f>IF(AND(_AC6="B-717",'2023'!$L$4="FO",'2023'!$L$2=CS309),'2023DATA'!$L$38,"")</f>
        <v/>
      </c>
      <c r="CT345" s="518" t="str">
        <f>IF(AND(_AC6="B-717",'2023'!$L$4="FO",'2023'!$L$2=CT309),'2023DATA'!$M$38,"")</f>
        <v/>
      </c>
      <c r="CU345" s="520" t="str">
        <f>IF(AND(_AC6="B-717",'2023'!$L$4="FO",'2023'!$L$2=CU309),'2023DATA'!$N$38,"")</f>
        <v/>
      </c>
    </row>
  </sheetData>
  <sheetProtection algorithmName="SHA-512" hashValue="Y7zp9bv3YLF2riv8y+QWXDxI7FgcBKzrik2ZnBQDHWVQgEId0kPRPY3wBNBut/6fpHE74tV/Rlydmdv3RVEAXQ==" saltValue="/u5j0sJ8nX4yzoj7KcIh7g==" spinCount="100000" sheet="1" objects="1" scenarios="1" selectLockedCells="1" selectUnlockedCells="1"/>
  <mergeCells count="1058">
    <mergeCell ref="A7:A8"/>
    <mergeCell ref="A27:A28"/>
    <mergeCell ref="A37:A38"/>
    <mergeCell ref="A9:A10"/>
    <mergeCell ref="A11:A12"/>
    <mergeCell ref="A13:A14"/>
    <mergeCell ref="A15:A16"/>
    <mergeCell ref="A25:A26"/>
    <mergeCell ref="A17:A18"/>
    <mergeCell ref="A19:A20"/>
    <mergeCell ref="A21:A22"/>
    <mergeCell ref="A23:A24"/>
    <mergeCell ref="A29:A30"/>
    <mergeCell ref="A31:A32"/>
    <mergeCell ref="A33:A34"/>
    <mergeCell ref="P10:P11"/>
    <mergeCell ref="P18:P19"/>
    <mergeCell ref="P26:P27"/>
    <mergeCell ref="P34:P35"/>
    <mergeCell ref="P14:P15"/>
    <mergeCell ref="P22:P23"/>
    <mergeCell ref="P30:P31"/>
    <mergeCell ref="P68:P69"/>
    <mergeCell ref="P70:P71"/>
    <mergeCell ref="P72:P73"/>
    <mergeCell ref="P82:P83"/>
    <mergeCell ref="P86:P87"/>
    <mergeCell ref="P62:P63"/>
    <mergeCell ref="P64:P65"/>
    <mergeCell ref="P66:P67"/>
    <mergeCell ref="P50:P51"/>
    <mergeCell ref="P52:P53"/>
    <mergeCell ref="P54:P55"/>
    <mergeCell ref="P56:P57"/>
    <mergeCell ref="P58:P59"/>
    <mergeCell ref="P60:P61"/>
    <mergeCell ref="P46:P47"/>
    <mergeCell ref="P48:P49"/>
    <mergeCell ref="A35:A36"/>
    <mergeCell ref="P42:AC42"/>
    <mergeCell ref="P38:P39"/>
    <mergeCell ref="P144:P145"/>
    <mergeCell ref="P146:P147"/>
    <mergeCell ref="P148:P149"/>
    <mergeCell ref="P138:P139"/>
    <mergeCell ref="P140:P141"/>
    <mergeCell ref="P142:P143"/>
    <mergeCell ref="P132:P133"/>
    <mergeCell ref="P134:P135"/>
    <mergeCell ref="P136:P137"/>
    <mergeCell ref="P126:P127"/>
    <mergeCell ref="P128:P129"/>
    <mergeCell ref="P130:P131"/>
    <mergeCell ref="P124:P125"/>
    <mergeCell ref="P114:P115"/>
    <mergeCell ref="P118:AC118"/>
    <mergeCell ref="P122:P123"/>
    <mergeCell ref="P102:P103"/>
    <mergeCell ref="P106:P107"/>
    <mergeCell ref="P110:P111"/>
    <mergeCell ref="P224:P225"/>
    <mergeCell ref="P226:P227"/>
    <mergeCell ref="P228:P229"/>
    <mergeCell ref="P218:P219"/>
    <mergeCell ref="P220:P221"/>
    <mergeCell ref="P222:P223"/>
    <mergeCell ref="P212:P213"/>
    <mergeCell ref="P214:P215"/>
    <mergeCell ref="P216:P217"/>
    <mergeCell ref="P206:P207"/>
    <mergeCell ref="P208:P209"/>
    <mergeCell ref="P210:P211"/>
    <mergeCell ref="P202:P203"/>
    <mergeCell ref="P204:P205"/>
    <mergeCell ref="P186:P187"/>
    <mergeCell ref="P190:P191"/>
    <mergeCell ref="P194:AC194"/>
    <mergeCell ref="P198:P199"/>
    <mergeCell ref="CH4:CU4"/>
    <mergeCell ref="A2:B2"/>
    <mergeCell ref="P338:P339"/>
    <mergeCell ref="P342:P343"/>
    <mergeCell ref="P322:P323"/>
    <mergeCell ref="P326:P327"/>
    <mergeCell ref="P330:P331"/>
    <mergeCell ref="P310:P311"/>
    <mergeCell ref="P312:P313"/>
    <mergeCell ref="P314:P315"/>
    <mergeCell ref="P318:P319"/>
    <mergeCell ref="P304:P305"/>
    <mergeCell ref="P306:P307"/>
    <mergeCell ref="P298:P299"/>
    <mergeCell ref="P300:P301"/>
    <mergeCell ref="P302:P303"/>
    <mergeCell ref="P292:P293"/>
    <mergeCell ref="P294:P295"/>
    <mergeCell ref="P296:P297"/>
    <mergeCell ref="P286:P287"/>
    <mergeCell ref="P288:P289"/>
    <mergeCell ref="P290:P291"/>
    <mergeCell ref="P280:P281"/>
    <mergeCell ref="P282:P283"/>
    <mergeCell ref="P284:P285"/>
    <mergeCell ref="P274:P275"/>
    <mergeCell ref="P278:P279"/>
    <mergeCell ref="P262:P263"/>
    <mergeCell ref="P266:P267"/>
    <mergeCell ref="P270:AC270"/>
    <mergeCell ref="P250:P251"/>
    <mergeCell ref="P254:P255"/>
    <mergeCell ref="A5:A6"/>
    <mergeCell ref="P6:P7"/>
    <mergeCell ref="AD6:AD7"/>
    <mergeCell ref="AR6:AR7"/>
    <mergeCell ref="BF6:BF7"/>
    <mergeCell ref="BT6:BT7"/>
    <mergeCell ref="CH6:CH7"/>
    <mergeCell ref="P8:P9"/>
    <mergeCell ref="AD8:AD9"/>
    <mergeCell ref="AR8:AR9"/>
    <mergeCell ref="BF8:BF9"/>
    <mergeCell ref="BT8:BT9"/>
    <mergeCell ref="CH8:CH9"/>
    <mergeCell ref="A1:N1"/>
    <mergeCell ref="P1:AC1"/>
    <mergeCell ref="AD1:AQ1"/>
    <mergeCell ref="AR1:BE1"/>
    <mergeCell ref="BF1:BS1"/>
    <mergeCell ref="BT1:CG1"/>
    <mergeCell ref="CH1:CU1"/>
    <mergeCell ref="P2:Q3"/>
    <mergeCell ref="AD2:AE3"/>
    <mergeCell ref="AR2:AS3"/>
    <mergeCell ref="BF2:BG3"/>
    <mergeCell ref="BT2:BU3"/>
    <mergeCell ref="CH2:CI3"/>
    <mergeCell ref="A3:A4"/>
    <mergeCell ref="P4:AC4"/>
    <mergeCell ref="AD4:AQ4"/>
    <mergeCell ref="AR4:BE4"/>
    <mergeCell ref="BF4:BS4"/>
    <mergeCell ref="BT4:CG4"/>
    <mergeCell ref="AD14:AD15"/>
    <mergeCell ref="AR14:AR15"/>
    <mergeCell ref="BF14:BF15"/>
    <mergeCell ref="BT14:BT15"/>
    <mergeCell ref="CH14:CH15"/>
    <mergeCell ref="P16:P17"/>
    <mergeCell ref="AD16:AD17"/>
    <mergeCell ref="AR16:AR17"/>
    <mergeCell ref="BF16:BF17"/>
    <mergeCell ref="BT16:BT17"/>
    <mergeCell ref="CH16:CH17"/>
    <mergeCell ref="AD10:AD11"/>
    <mergeCell ref="AR10:AR11"/>
    <mergeCell ref="BF10:BF11"/>
    <mergeCell ref="BT10:BT11"/>
    <mergeCell ref="CH10:CH11"/>
    <mergeCell ref="P12:P13"/>
    <mergeCell ref="AD12:AD13"/>
    <mergeCell ref="AR12:AR13"/>
    <mergeCell ref="BF12:BF13"/>
    <mergeCell ref="BT12:BT13"/>
    <mergeCell ref="CH12:CH13"/>
    <mergeCell ref="AD22:AD23"/>
    <mergeCell ref="AR22:AR23"/>
    <mergeCell ref="BF22:BF23"/>
    <mergeCell ref="BT22:BT23"/>
    <mergeCell ref="CH22:CH23"/>
    <mergeCell ref="P24:P25"/>
    <mergeCell ref="AD24:AD25"/>
    <mergeCell ref="AR24:AR25"/>
    <mergeCell ref="BF24:BF25"/>
    <mergeCell ref="BT24:BT25"/>
    <mergeCell ref="CH24:CH25"/>
    <mergeCell ref="AD18:AD19"/>
    <mergeCell ref="AR18:AR19"/>
    <mergeCell ref="BF18:BF19"/>
    <mergeCell ref="BT18:BT19"/>
    <mergeCell ref="CH18:CH19"/>
    <mergeCell ref="P20:P21"/>
    <mergeCell ref="AD20:AD21"/>
    <mergeCell ref="AR20:AR21"/>
    <mergeCell ref="BF20:BF21"/>
    <mergeCell ref="BT20:BT21"/>
    <mergeCell ref="CH20:CH21"/>
    <mergeCell ref="AD30:AD31"/>
    <mergeCell ref="AR30:AR31"/>
    <mergeCell ref="BF30:BF31"/>
    <mergeCell ref="BT30:BT31"/>
    <mergeCell ref="CH30:CH31"/>
    <mergeCell ref="P32:P33"/>
    <mergeCell ref="AD32:AD33"/>
    <mergeCell ref="AR32:AR33"/>
    <mergeCell ref="BF32:BF33"/>
    <mergeCell ref="BT32:BT33"/>
    <mergeCell ref="CH32:CH33"/>
    <mergeCell ref="AD26:AD27"/>
    <mergeCell ref="AR26:AR27"/>
    <mergeCell ref="BF26:BF27"/>
    <mergeCell ref="BT26:BT27"/>
    <mergeCell ref="CH26:CH27"/>
    <mergeCell ref="P28:P29"/>
    <mergeCell ref="AD28:AD29"/>
    <mergeCell ref="AR28:AR29"/>
    <mergeCell ref="BF28:BF29"/>
    <mergeCell ref="BT28:BT29"/>
    <mergeCell ref="CH28:CH29"/>
    <mergeCell ref="AD38:AD39"/>
    <mergeCell ref="AR38:AR39"/>
    <mergeCell ref="BF38:BF39"/>
    <mergeCell ref="BT38:BT39"/>
    <mergeCell ref="CH38:CH39"/>
    <mergeCell ref="P40:P41"/>
    <mergeCell ref="AD40:AD41"/>
    <mergeCell ref="AR40:AR41"/>
    <mergeCell ref="BF40:BF41"/>
    <mergeCell ref="BT40:BT41"/>
    <mergeCell ref="CH40:CH41"/>
    <mergeCell ref="AD34:AD35"/>
    <mergeCell ref="AR34:AR35"/>
    <mergeCell ref="BF34:BF35"/>
    <mergeCell ref="BT34:BT35"/>
    <mergeCell ref="CH34:CH35"/>
    <mergeCell ref="P36:P37"/>
    <mergeCell ref="AD36:AD37"/>
    <mergeCell ref="AR36:AR37"/>
    <mergeCell ref="BF36:BF37"/>
    <mergeCell ref="BT36:BT37"/>
    <mergeCell ref="CH36:CH37"/>
    <mergeCell ref="AD46:AD47"/>
    <mergeCell ref="AR46:AR47"/>
    <mergeCell ref="BF46:BF47"/>
    <mergeCell ref="BT46:BT47"/>
    <mergeCell ref="CH46:CH47"/>
    <mergeCell ref="AD48:AD49"/>
    <mergeCell ref="AR48:AR49"/>
    <mergeCell ref="BF48:BF49"/>
    <mergeCell ref="BT48:BT49"/>
    <mergeCell ref="CH48:CH49"/>
    <mergeCell ref="AD42:AQ42"/>
    <mergeCell ref="AR42:BE42"/>
    <mergeCell ref="BF42:BS42"/>
    <mergeCell ref="BT42:CG42"/>
    <mergeCell ref="CH42:CU42"/>
    <mergeCell ref="P44:P45"/>
    <mergeCell ref="AD44:AD45"/>
    <mergeCell ref="AR44:AR45"/>
    <mergeCell ref="BF44:BF45"/>
    <mergeCell ref="BT44:BT45"/>
    <mergeCell ref="CH44:CH45"/>
    <mergeCell ref="AD54:AD55"/>
    <mergeCell ref="AR54:AR55"/>
    <mergeCell ref="BF54:BF55"/>
    <mergeCell ref="BT54:BT55"/>
    <mergeCell ref="CH54:CH55"/>
    <mergeCell ref="AD56:AD57"/>
    <mergeCell ref="AR56:AR57"/>
    <mergeCell ref="BF56:BF57"/>
    <mergeCell ref="BT56:BT57"/>
    <mergeCell ref="CH56:CH57"/>
    <mergeCell ref="AD50:AD51"/>
    <mergeCell ref="AR50:AR51"/>
    <mergeCell ref="BF50:BF51"/>
    <mergeCell ref="BT50:BT51"/>
    <mergeCell ref="CH50:CH51"/>
    <mergeCell ref="AD52:AD53"/>
    <mergeCell ref="AR52:AR53"/>
    <mergeCell ref="BF52:BF53"/>
    <mergeCell ref="BT52:BT53"/>
    <mergeCell ref="CH52:CH53"/>
    <mergeCell ref="AD62:AD63"/>
    <mergeCell ref="AR62:AR63"/>
    <mergeCell ref="BF62:BF63"/>
    <mergeCell ref="BT62:BT63"/>
    <mergeCell ref="CH62:CH63"/>
    <mergeCell ref="AD64:AD65"/>
    <mergeCell ref="AR64:AR65"/>
    <mergeCell ref="BF64:BF65"/>
    <mergeCell ref="BT64:BT65"/>
    <mergeCell ref="CH64:CH65"/>
    <mergeCell ref="AD58:AD59"/>
    <mergeCell ref="AR58:AR59"/>
    <mergeCell ref="BF58:BF59"/>
    <mergeCell ref="BT58:BT59"/>
    <mergeCell ref="CH58:CH59"/>
    <mergeCell ref="AD60:AD61"/>
    <mergeCell ref="AR60:AR61"/>
    <mergeCell ref="BF60:BF61"/>
    <mergeCell ref="BT60:BT61"/>
    <mergeCell ref="CH60:CH61"/>
    <mergeCell ref="AD70:AD71"/>
    <mergeCell ref="AR70:AR71"/>
    <mergeCell ref="BF70:BF71"/>
    <mergeCell ref="BT70:BT71"/>
    <mergeCell ref="CH70:CH71"/>
    <mergeCell ref="AD72:AD73"/>
    <mergeCell ref="AR72:AR73"/>
    <mergeCell ref="BF72:BF73"/>
    <mergeCell ref="BT72:BT73"/>
    <mergeCell ref="CH72:CH73"/>
    <mergeCell ref="AD66:AD67"/>
    <mergeCell ref="AR66:AR67"/>
    <mergeCell ref="BF66:BF67"/>
    <mergeCell ref="BT66:BT67"/>
    <mergeCell ref="CH66:CH67"/>
    <mergeCell ref="AD68:AD69"/>
    <mergeCell ref="AR68:AR69"/>
    <mergeCell ref="BF68:BF69"/>
    <mergeCell ref="BT68:BT69"/>
    <mergeCell ref="CH68:CH69"/>
    <mergeCell ref="AD78:AD79"/>
    <mergeCell ref="AR78:AR79"/>
    <mergeCell ref="BF78:BF79"/>
    <mergeCell ref="BT78:BT79"/>
    <mergeCell ref="CH78:CH79"/>
    <mergeCell ref="P80:AC80"/>
    <mergeCell ref="AD80:AQ80"/>
    <mergeCell ref="AR80:BE80"/>
    <mergeCell ref="BF80:BS80"/>
    <mergeCell ref="BT80:CG80"/>
    <mergeCell ref="CH80:CU80"/>
    <mergeCell ref="AD74:AD75"/>
    <mergeCell ref="AR74:AR75"/>
    <mergeCell ref="BF74:BF75"/>
    <mergeCell ref="BT74:BT75"/>
    <mergeCell ref="CH74:CH75"/>
    <mergeCell ref="AD76:AD77"/>
    <mergeCell ref="AR76:AR77"/>
    <mergeCell ref="BF76:BF77"/>
    <mergeCell ref="BT76:BT77"/>
    <mergeCell ref="CH76:CH77"/>
    <mergeCell ref="P74:P75"/>
    <mergeCell ref="P76:P77"/>
    <mergeCell ref="P78:P79"/>
    <mergeCell ref="AD86:AD87"/>
    <mergeCell ref="AR86:AR87"/>
    <mergeCell ref="BF86:BF87"/>
    <mergeCell ref="BT86:BT87"/>
    <mergeCell ref="CH86:CH87"/>
    <mergeCell ref="P88:P89"/>
    <mergeCell ref="AD88:AD89"/>
    <mergeCell ref="AR88:AR89"/>
    <mergeCell ref="BF88:BF89"/>
    <mergeCell ref="BT88:BT89"/>
    <mergeCell ref="CH88:CH89"/>
    <mergeCell ref="P90:P91"/>
    <mergeCell ref="AD82:AD83"/>
    <mergeCell ref="AR82:AR83"/>
    <mergeCell ref="BF82:BF83"/>
    <mergeCell ref="BT82:BT83"/>
    <mergeCell ref="CH82:CH83"/>
    <mergeCell ref="P84:P85"/>
    <mergeCell ref="AD84:AD85"/>
    <mergeCell ref="AR84:AR85"/>
    <mergeCell ref="BF84:BF85"/>
    <mergeCell ref="BT84:BT85"/>
    <mergeCell ref="CH84:CH85"/>
    <mergeCell ref="AD94:AD95"/>
    <mergeCell ref="AR94:AR95"/>
    <mergeCell ref="BF94:BF95"/>
    <mergeCell ref="BT94:BT95"/>
    <mergeCell ref="CH94:CH95"/>
    <mergeCell ref="P96:P97"/>
    <mergeCell ref="AD96:AD97"/>
    <mergeCell ref="AR96:AR97"/>
    <mergeCell ref="BF96:BF97"/>
    <mergeCell ref="BT96:BT97"/>
    <mergeCell ref="CH96:CH97"/>
    <mergeCell ref="P94:P95"/>
    <mergeCell ref="P98:P99"/>
    <mergeCell ref="AD90:AD91"/>
    <mergeCell ref="AR90:AR91"/>
    <mergeCell ref="BF90:BF91"/>
    <mergeCell ref="BT90:BT91"/>
    <mergeCell ref="CH90:CH91"/>
    <mergeCell ref="P92:P93"/>
    <mergeCell ref="AD92:AD93"/>
    <mergeCell ref="AR92:AR93"/>
    <mergeCell ref="BF92:BF93"/>
    <mergeCell ref="BT92:BT93"/>
    <mergeCell ref="CH92:CH93"/>
    <mergeCell ref="AD102:AD103"/>
    <mergeCell ref="AR102:AR103"/>
    <mergeCell ref="BF102:BF103"/>
    <mergeCell ref="BT102:BT103"/>
    <mergeCell ref="CH102:CH103"/>
    <mergeCell ref="P104:P105"/>
    <mergeCell ref="AD104:AD105"/>
    <mergeCell ref="AR104:AR105"/>
    <mergeCell ref="BF104:BF105"/>
    <mergeCell ref="BT104:BT105"/>
    <mergeCell ref="CH104:CH105"/>
    <mergeCell ref="AD98:AD99"/>
    <mergeCell ref="AR98:AR99"/>
    <mergeCell ref="BF98:BF99"/>
    <mergeCell ref="BT98:BT99"/>
    <mergeCell ref="CH98:CH99"/>
    <mergeCell ref="P100:P101"/>
    <mergeCell ref="AD100:AD101"/>
    <mergeCell ref="AR100:AR101"/>
    <mergeCell ref="BF100:BF101"/>
    <mergeCell ref="BT100:BT101"/>
    <mergeCell ref="CH100:CH101"/>
    <mergeCell ref="AD110:AD111"/>
    <mergeCell ref="AR110:AR111"/>
    <mergeCell ref="BF110:BF111"/>
    <mergeCell ref="BT110:BT111"/>
    <mergeCell ref="CH110:CH111"/>
    <mergeCell ref="P112:P113"/>
    <mergeCell ref="AD112:AD113"/>
    <mergeCell ref="AR112:AR113"/>
    <mergeCell ref="BF112:BF113"/>
    <mergeCell ref="BT112:BT113"/>
    <mergeCell ref="CH112:CH113"/>
    <mergeCell ref="AD106:AD107"/>
    <mergeCell ref="AR106:AR107"/>
    <mergeCell ref="BF106:BF107"/>
    <mergeCell ref="BT106:BT107"/>
    <mergeCell ref="CH106:CH107"/>
    <mergeCell ref="P108:P109"/>
    <mergeCell ref="AD108:AD109"/>
    <mergeCell ref="AR108:AR109"/>
    <mergeCell ref="BF108:BF109"/>
    <mergeCell ref="BT108:BT109"/>
    <mergeCell ref="CH108:CH109"/>
    <mergeCell ref="AD118:AQ118"/>
    <mergeCell ref="AR118:BE118"/>
    <mergeCell ref="BF118:BS118"/>
    <mergeCell ref="BT118:CG118"/>
    <mergeCell ref="CH118:CU118"/>
    <mergeCell ref="P120:P121"/>
    <mergeCell ref="AD120:AD121"/>
    <mergeCell ref="AR120:AR121"/>
    <mergeCell ref="BF120:BF121"/>
    <mergeCell ref="BT120:BT121"/>
    <mergeCell ref="CH120:CH121"/>
    <mergeCell ref="AD114:AD115"/>
    <mergeCell ref="AR114:AR115"/>
    <mergeCell ref="BF114:BF115"/>
    <mergeCell ref="BT114:BT115"/>
    <mergeCell ref="CH114:CH115"/>
    <mergeCell ref="P116:P117"/>
    <mergeCell ref="AD116:AD117"/>
    <mergeCell ref="AR116:AR117"/>
    <mergeCell ref="BF116:BF117"/>
    <mergeCell ref="BT116:BT117"/>
    <mergeCell ref="CH116:CH117"/>
    <mergeCell ref="AD126:AD127"/>
    <mergeCell ref="AR126:AR127"/>
    <mergeCell ref="BF126:BF127"/>
    <mergeCell ref="BT126:BT127"/>
    <mergeCell ref="CH126:CH127"/>
    <mergeCell ref="AD128:AD129"/>
    <mergeCell ref="AR128:AR129"/>
    <mergeCell ref="BF128:BF129"/>
    <mergeCell ref="BT128:BT129"/>
    <mergeCell ref="CH128:CH129"/>
    <mergeCell ref="AD122:AD123"/>
    <mergeCell ref="AR122:AR123"/>
    <mergeCell ref="BF122:BF123"/>
    <mergeCell ref="BT122:BT123"/>
    <mergeCell ref="CH122:CH123"/>
    <mergeCell ref="AD124:AD125"/>
    <mergeCell ref="AR124:AR125"/>
    <mergeCell ref="BF124:BF125"/>
    <mergeCell ref="BT124:BT125"/>
    <mergeCell ref="CH124:CH125"/>
    <mergeCell ref="AD134:AD135"/>
    <mergeCell ref="AR134:AR135"/>
    <mergeCell ref="BF134:BF135"/>
    <mergeCell ref="BT134:BT135"/>
    <mergeCell ref="CH134:CH135"/>
    <mergeCell ref="AD136:AD137"/>
    <mergeCell ref="AR136:AR137"/>
    <mergeCell ref="BF136:BF137"/>
    <mergeCell ref="BT136:BT137"/>
    <mergeCell ref="CH136:CH137"/>
    <mergeCell ref="AD130:AD131"/>
    <mergeCell ref="AR130:AR131"/>
    <mergeCell ref="BF130:BF131"/>
    <mergeCell ref="BT130:BT131"/>
    <mergeCell ref="CH130:CH131"/>
    <mergeCell ref="AD132:AD133"/>
    <mergeCell ref="AR132:AR133"/>
    <mergeCell ref="BF132:BF133"/>
    <mergeCell ref="BT132:BT133"/>
    <mergeCell ref="CH132:CH133"/>
    <mergeCell ref="AD142:AD143"/>
    <mergeCell ref="AR142:AR143"/>
    <mergeCell ref="BF142:BF143"/>
    <mergeCell ref="BT142:BT143"/>
    <mergeCell ref="CH142:CH143"/>
    <mergeCell ref="AD144:AD145"/>
    <mergeCell ref="AR144:AR145"/>
    <mergeCell ref="BF144:BF145"/>
    <mergeCell ref="BT144:BT145"/>
    <mergeCell ref="CH144:CH145"/>
    <mergeCell ref="AD138:AD139"/>
    <mergeCell ref="AR138:AR139"/>
    <mergeCell ref="BF138:BF139"/>
    <mergeCell ref="BT138:BT139"/>
    <mergeCell ref="CH138:CH139"/>
    <mergeCell ref="AD140:AD141"/>
    <mergeCell ref="AR140:AR141"/>
    <mergeCell ref="BF140:BF141"/>
    <mergeCell ref="BT140:BT141"/>
    <mergeCell ref="CH140:CH141"/>
    <mergeCell ref="AD150:AD151"/>
    <mergeCell ref="AR150:AR151"/>
    <mergeCell ref="BF150:BF151"/>
    <mergeCell ref="BT150:BT151"/>
    <mergeCell ref="CH150:CH151"/>
    <mergeCell ref="AD152:AD153"/>
    <mergeCell ref="AR152:AR153"/>
    <mergeCell ref="BF152:BF153"/>
    <mergeCell ref="BT152:BT153"/>
    <mergeCell ref="CH152:CH153"/>
    <mergeCell ref="P150:P151"/>
    <mergeCell ref="P152:P153"/>
    <mergeCell ref="P154:P155"/>
    <mergeCell ref="AD146:AD147"/>
    <mergeCell ref="AR146:AR147"/>
    <mergeCell ref="BF146:BF147"/>
    <mergeCell ref="BT146:BT147"/>
    <mergeCell ref="CH146:CH147"/>
    <mergeCell ref="AD148:AD149"/>
    <mergeCell ref="AR148:AR149"/>
    <mergeCell ref="BF148:BF149"/>
    <mergeCell ref="BT148:BT149"/>
    <mergeCell ref="CH148:CH149"/>
    <mergeCell ref="AD158:AD159"/>
    <mergeCell ref="AR158:AR159"/>
    <mergeCell ref="BF158:BF159"/>
    <mergeCell ref="BT158:BT159"/>
    <mergeCell ref="CH158:CH159"/>
    <mergeCell ref="P160:P161"/>
    <mergeCell ref="AD160:AD161"/>
    <mergeCell ref="AR160:AR161"/>
    <mergeCell ref="BF160:BF161"/>
    <mergeCell ref="BT160:BT161"/>
    <mergeCell ref="CH160:CH161"/>
    <mergeCell ref="P162:P163"/>
    <mergeCell ref="P158:P159"/>
    <mergeCell ref="AD154:AD155"/>
    <mergeCell ref="AR154:AR155"/>
    <mergeCell ref="BF154:BF155"/>
    <mergeCell ref="BT154:BT155"/>
    <mergeCell ref="CH154:CH155"/>
    <mergeCell ref="P156:AC156"/>
    <mergeCell ref="AD156:AQ156"/>
    <mergeCell ref="AR156:BE156"/>
    <mergeCell ref="BF156:BS156"/>
    <mergeCell ref="BT156:CG156"/>
    <mergeCell ref="CH156:CU156"/>
    <mergeCell ref="AD166:AD167"/>
    <mergeCell ref="AR166:AR167"/>
    <mergeCell ref="BF166:BF167"/>
    <mergeCell ref="BT166:BT167"/>
    <mergeCell ref="CH166:CH167"/>
    <mergeCell ref="P168:P169"/>
    <mergeCell ref="AD168:AD169"/>
    <mergeCell ref="AR168:AR169"/>
    <mergeCell ref="BF168:BF169"/>
    <mergeCell ref="BT168:BT169"/>
    <mergeCell ref="CH168:CH169"/>
    <mergeCell ref="P166:P167"/>
    <mergeCell ref="P170:P171"/>
    <mergeCell ref="AD162:AD163"/>
    <mergeCell ref="AR162:AR163"/>
    <mergeCell ref="BF162:BF163"/>
    <mergeCell ref="BT162:BT163"/>
    <mergeCell ref="CH162:CH163"/>
    <mergeCell ref="P164:P165"/>
    <mergeCell ref="AD164:AD165"/>
    <mergeCell ref="AR164:AR165"/>
    <mergeCell ref="BF164:BF165"/>
    <mergeCell ref="BT164:BT165"/>
    <mergeCell ref="CH164:CH165"/>
    <mergeCell ref="AD174:AD175"/>
    <mergeCell ref="AR174:AR175"/>
    <mergeCell ref="BF174:BF175"/>
    <mergeCell ref="BT174:BT175"/>
    <mergeCell ref="CH174:CH175"/>
    <mergeCell ref="P176:P177"/>
    <mergeCell ref="AD176:AD177"/>
    <mergeCell ref="AR176:AR177"/>
    <mergeCell ref="BF176:BF177"/>
    <mergeCell ref="BT176:BT177"/>
    <mergeCell ref="CH176:CH177"/>
    <mergeCell ref="P174:P175"/>
    <mergeCell ref="P178:P179"/>
    <mergeCell ref="AD170:AD171"/>
    <mergeCell ref="AR170:AR171"/>
    <mergeCell ref="BF170:BF171"/>
    <mergeCell ref="BT170:BT171"/>
    <mergeCell ref="CH170:CH171"/>
    <mergeCell ref="P172:P173"/>
    <mergeCell ref="AD172:AD173"/>
    <mergeCell ref="AR172:AR173"/>
    <mergeCell ref="BF172:BF173"/>
    <mergeCell ref="BT172:BT173"/>
    <mergeCell ref="CH172:CH173"/>
    <mergeCell ref="AD182:AD183"/>
    <mergeCell ref="AR182:AR183"/>
    <mergeCell ref="BF182:BF183"/>
    <mergeCell ref="BT182:BT183"/>
    <mergeCell ref="CH182:CH183"/>
    <mergeCell ref="P184:P185"/>
    <mergeCell ref="AD184:AD185"/>
    <mergeCell ref="AR184:AR185"/>
    <mergeCell ref="BF184:BF185"/>
    <mergeCell ref="BT184:BT185"/>
    <mergeCell ref="CH184:CH185"/>
    <mergeCell ref="P182:P183"/>
    <mergeCell ref="AD178:AD179"/>
    <mergeCell ref="AR178:AR179"/>
    <mergeCell ref="BF178:BF179"/>
    <mergeCell ref="BT178:BT179"/>
    <mergeCell ref="CH178:CH179"/>
    <mergeCell ref="P180:P181"/>
    <mergeCell ref="AD180:AD181"/>
    <mergeCell ref="AR180:AR181"/>
    <mergeCell ref="BF180:BF181"/>
    <mergeCell ref="BT180:BT181"/>
    <mergeCell ref="CH180:CH181"/>
    <mergeCell ref="AD190:AD191"/>
    <mergeCell ref="AR190:AR191"/>
    <mergeCell ref="BF190:BF191"/>
    <mergeCell ref="BT190:BT191"/>
    <mergeCell ref="CH190:CH191"/>
    <mergeCell ref="P192:P193"/>
    <mergeCell ref="AD192:AD193"/>
    <mergeCell ref="AR192:AR193"/>
    <mergeCell ref="BF192:BF193"/>
    <mergeCell ref="BT192:BT193"/>
    <mergeCell ref="CH192:CH193"/>
    <mergeCell ref="AD186:AD187"/>
    <mergeCell ref="AR186:AR187"/>
    <mergeCell ref="BF186:BF187"/>
    <mergeCell ref="BT186:BT187"/>
    <mergeCell ref="CH186:CH187"/>
    <mergeCell ref="P188:P189"/>
    <mergeCell ref="AD188:AD189"/>
    <mergeCell ref="AR188:AR189"/>
    <mergeCell ref="BF188:BF189"/>
    <mergeCell ref="BT188:BT189"/>
    <mergeCell ref="CH188:CH189"/>
    <mergeCell ref="AD198:AD199"/>
    <mergeCell ref="AR198:AR199"/>
    <mergeCell ref="BF198:BF199"/>
    <mergeCell ref="BT198:BT199"/>
    <mergeCell ref="CH198:CH199"/>
    <mergeCell ref="P200:P201"/>
    <mergeCell ref="AD200:AD201"/>
    <mergeCell ref="AR200:AR201"/>
    <mergeCell ref="BF200:BF201"/>
    <mergeCell ref="BT200:BT201"/>
    <mergeCell ref="CH200:CH201"/>
    <mergeCell ref="AD194:AQ194"/>
    <mergeCell ref="AR194:BE194"/>
    <mergeCell ref="BF194:BS194"/>
    <mergeCell ref="BT194:CG194"/>
    <mergeCell ref="CH194:CU194"/>
    <mergeCell ref="P196:P197"/>
    <mergeCell ref="AD196:AD197"/>
    <mergeCell ref="AR196:AR197"/>
    <mergeCell ref="BF196:BF197"/>
    <mergeCell ref="BT196:BT197"/>
    <mergeCell ref="CH196:CH197"/>
    <mergeCell ref="AD206:AD207"/>
    <mergeCell ref="AR206:AR207"/>
    <mergeCell ref="BF206:BF207"/>
    <mergeCell ref="BT206:BT207"/>
    <mergeCell ref="CH206:CH207"/>
    <mergeCell ref="AD208:AD209"/>
    <mergeCell ref="AR208:AR209"/>
    <mergeCell ref="BF208:BF209"/>
    <mergeCell ref="BT208:BT209"/>
    <mergeCell ref="CH208:CH209"/>
    <mergeCell ref="AD202:AD203"/>
    <mergeCell ref="AR202:AR203"/>
    <mergeCell ref="BF202:BF203"/>
    <mergeCell ref="BT202:BT203"/>
    <mergeCell ref="CH202:CH203"/>
    <mergeCell ref="AD204:AD205"/>
    <mergeCell ref="AR204:AR205"/>
    <mergeCell ref="BF204:BF205"/>
    <mergeCell ref="BT204:BT205"/>
    <mergeCell ref="CH204:CH205"/>
    <mergeCell ref="AD214:AD215"/>
    <mergeCell ref="AR214:AR215"/>
    <mergeCell ref="BF214:BF215"/>
    <mergeCell ref="BT214:BT215"/>
    <mergeCell ref="CH214:CH215"/>
    <mergeCell ref="AD216:AD217"/>
    <mergeCell ref="AR216:AR217"/>
    <mergeCell ref="BF216:BF217"/>
    <mergeCell ref="BT216:BT217"/>
    <mergeCell ref="CH216:CH217"/>
    <mergeCell ref="AD210:AD211"/>
    <mergeCell ref="AR210:AR211"/>
    <mergeCell ref="BF210:BF211"/>
    <mergeCell ref="BT210:BT211"/>
    <mergeCell ref="CH210:CH211"/>
    <mergeCell ref="AD212:AD213"/>
    <mergeCell ref="AR212:AR213"/>
    <mergeCell ref="BF212:BF213"/>
    <mergeCell ref="BT212:BT213"/>
    <mergeCell ref="CH212:CH213"/>
    <mergeCell ref="AD222:AD223"/>
    <mergeCell ref="AR222:AR223"/>
    <mergeCell ref="BF222:BF223"/>
    <mergeCell ref="BT222:BT223"/>
    <mergeCell ref="CH222:CH223"/>
    <mergeCell ref="AD224:AD225"/>
    <mergeCell ref="AR224:AR225"/>
    <mergeCell ref="BF224:BF225"/>
    <mergeCell ref="BT224:BT225"/>
    <mergeCell ref="CH224:CH225"/>
    <mergeCell ref="AD218:AD219"/>
    <mergeCell ref="AR218:AR219"/>
    <mergeCell ref="BF218:BF219"/>
    <mergeCell ref="BT218:BT219"/>
    <mergeCell ref="CH218:CH219"/>
    <mergeCell ref="AD220:AD221"/>
    <mergeCell ref="AR220:AR221"/>
    <mergeCell ref="BF220:BF221"/>
    <mergeCell ref="BT220:BT221"/>
    <mergeCell ref="CH220:CH221"/>
    <mergeCell ref="AD230:AD231"/>
    <mergeCell ref="AR230:AR231"/>
    <mergeCell ref="BF230:BF231"/>
    <mergeCell ref="BT230:BT231"/>
    <mergeCell ref="CH230:CH231"/>
    <mergeCell ref="P232:AC232"/>
    <mergeCell ref="AD232:AQ232"/>
    <mergeCell ref="AR232:BE232"/>
    <mergeCell ref="BF232:BS232"/>
    <mergeCell ref="BT232:CG232"/>
    <mergeCell ref="CH232:CU232"/>
    <mergeCell ref="P230:P231"/>
    <mergeCell ref="P234:P235"/>
    <mergeCell ref="AD226:AD227"/>
    <mergeCell ref="AR226:AR227"/>
    <mergeCell ref="BF226:BF227"/>
    <mergeCell ref="BT226:BT227"/>
    <mergeCell ref="CH226:CH227"/>
    <mergeCell ref="AD228:AD229"/>
    <mergeCell ref="AR228:AR229"/>
    <mergeCell ref="BF228:BF229"/>
    <mergeCell ref="BT228:BT229"/>
    <mergeCell ref="CH228:CH229"/>
    <mergeCell ref="AD238:AD239"/>
    <mergeCell ref="AR238:AR239"/>
    <mergeCell ref="BF238:BF239"/>
    <mergeCell ref="BT238:BT239"/>
    <mergeCell ref="CH238:CH239"/>
    <mergeCell ref="P240:P241"/>
    <mergeCell ref="AD240:AD241"/>
    <mergeCell ref="AR240:AR241"/>
    <mergeCell ref="BF240:BF241"/>
    <mergeCell ref="BT240:BT241"/>
    <mergeCell ref="CH240:CH241"/>
    <mergeCell ref="AD234:AD235"/>
    <mergeCell ref="AR234:AR235"/>
    <mergeCell ref="BF234:BF235"/>
    <mergeCell ref="BT234:BT235"/>
    <mergeCell ref="CH234:CH235"/>
    <mergeCell ref="AD236:AD237"/>
    <mergeCell ref="AR236:AR237"/>
    <mergeCell ref="BF236:BF237"/>
    <mergeCell ref="BT236:BT237"/>
    <mergeCell ref="CH236:CH237"/>
    <mergeCell ref="P236:P237"/>
    <mergeCell ref="P238:P239"/>
    <mergeCell ref="AD246:AD247"/>
    <mergeCell ref="AR246:AR247"/>
    <mergeCell ref="BF246:BF247"/>
    <mergeCell ref="BT246:BT247"/>
    <mergeCell ref="CH246:CH247"/>
    <mergeCell ref="P248:P249"/>
    <mergeCell ref="AD248:AD249"/>
    <mergeCell ref="AR248:AR249"/>
    <mergeCell ref="BF248:BF249"/>
    <mergeCell ref="BT248:BT249"/>
    <mergeCell ref="CH248:CH249"/>
    <mergeCell ref="AD242:AD243"/>
    <mergeCell ref="AR242:AR243"/>
    <mergeCell ref="BF242:BF243"/>
    <mergeCell ref="BT242:BT243"/>
    <mergeCell ref="CH242:CH243"/>
    <mergeCell ref="P244:P245"/>
    <mergeCell ref="AD244:AD245"/>
    <mergeCell ref="AR244:AR245"/>
    <mergeCell ref="BF244:BF245"/>
    <mergeCell ref="BT244:BT245"/>
    <mergeCell ref="CH244:CH245"/>
    <mergeCell ref="P242:P243"/>
    <mergeCell ref="P246:P247"/>
    <mergeCell ref="AD254:AD255"/>
    <mergeCell ref="AR254:AR255"/>
    <mergeCell ref="BF254:BF255"/>
    <mergeCell ref="BT254:BT255"/>
    <mergeCell ref="CH254:CH255"/>
    <mergeCell ref="P256:P257"/>
    <mergeCell ref="AD256:AD257"/>
    <mergeCell ref="AR256:AR257"/>
    <mergeCell ref="BF256:BF257"/>
    <mergeCell ref="BT256:BT257"/>
    <mergeCell ref="CH256:CH257"/>
    <mergeCell ref="AD250:AD251"/>
    <mergeCell ref="AR250:AR251"/>
    <mergeCell ref="BF250:BF251"/>
    <mergeCell ref="BT250:BT251"/>
    <mergeCell ref="CH250:CH251"/>
    <mergeCell ref="P252:P253"/>
    <mergeCell ref="AD252:AD253"/>
    <mergeCell ref="AR252:AR253"/>
    <mergeCell ref="BF252:BF253"/>
    <mergeCell ref="BT252:BT253"/>
    <mergeCell ref="CH252:CH253"/>
    <mergeCell ref="AD262:AD263"/>
    <mergeCell ref="AR262:AR263"/>
    <mergeCell ref="BF262:BF263"/>
    <mergeCell ref="BT262:BT263"/>
    <mergeCell ref="CH262:CH263"/>
    <mergeCell ref="P264:P265"/>
    <mergeCell ref="AD264:AD265"/>
    <mergeCell ref="AR264:AR265"/>
    <mergeCell ref="BF264:BF265"/>
    <mergeCell ref="BT264:BT265"/>
    <mergeCell ref="CH264:CH265"/>
    <mergeCell ref="AD258:AD259"/>
    <mergeCell ref="AR258:AR259"/>
    <mergeCell ref="BF258:BF259"/>
    <mergeCell ref="BT258:BT259"/>
    <mergeCell ref="CH258:CH259"/>
    <mergeCell ref="P260:P261"/>
    <mergeCell ref="AD260:AD261"/>
    <mergeCell ref="AR260:AR261"/>
    <mergeCell ref="BF260:BF261"/>
    <mergeCell ref="BT260:BT261"/>
    <mergeCell ref="CH260:CH261"/>
    <mergeCell ref="P258:P259"/>
    <mergeCell ref="AD270:AQ270"/>
    <mergeCell ref="AR270:BE270"/>
    <mergeCell ref="BF270:BS270"/>
    <mergeCell ref="BT270:CG270"/>
    <mergeCell ref="CH270:CU270"/>
    <mergeCell ref="P272:P273"/>
    <mergeCell ref="AD272:AD273"/>
    <mergeCell ref="AR272:AR273"/>
    <mergeCell ref="BF272:BF273"/>
    <mergeCell ref="BT272:BT273"/>
    <mergeCell ref="CH272:CH273"/>
    <mergeCell ref="AD266:AD267"/>
    <mergeCell ref="AR266:AR267"/>
    <mergeCell ref="BF266:BF267"/>
    <mergeCell ref="BT266:BT267"/>
    <mergeCell ref="CH266:CH267"/>
    <mergeCell ref="P268:P269"/>
    <mergeCell ref="AD268:AD269"/>
    <mergeCell ref="AR268:AR269"/>
    <mergeCell ref="BF268:BF269"/>
    <mergeCell ref="BT268:BT269"/>
    <mergeCell ref="CH268:CH269"/>
    <mergeCell ref="AD278:AD279"/>
    <mergeCell ref="AR278:AR279"/>
    <mergeCell ref="BF278:BF279"/>
    <mergeCell ref="BT278:BT279"/>
    <mergeCell ref="CH278:CH279"/>
    <mergeCell ref="AD280:AD281"/>
    <mergeCell ref="AR280:AR281"/>
    <mergeCell ref="BF280:BF281"/>
    <mergeCell ref="BT280:BT281"/>
    <mergeCell ref="CH280:CH281"/>
    <mergeCell ref="AD274:AD275"/>
    <mergeCell ref="AR274:AR275"/>
    <mergeCell ref="BF274:BF275"/>
    <mergeCell ref="BT274:BT275"/>
    <mergeCell ref="CH274:CH275"/>
    <mergeCell ref="P276:P277"/>
    <mergeCell ref="AD276:AD277"/>
    <mergeCell ref="AR276:AR277"/>
    <mergeCell ref="BF276:BF277"/>
    <mergeCell ref="BT276:BT277"/>
    <mergeCell ref="CH276:CH277"/>
    <mergeCell ref="AD286:AD287"/>
    <mergeCell ref="AR286:AR287"/>
    <mergeCell ref="BF286:BF287"/>
    <mergeCell ref="BT286:BT287"/>
    <mergeCell ref="CH286:CH287"/>
    <mergeCell ref="AD288:AD289"/>
    <mergeCell ref="AR288:AR289"/>
    <mergeCell ref="BF288:BF289"/>
    <mergeCell ref="BT288:BT289"/>
    <mergeCell ref="CH288:CH289"/>
    <mergeCell ref="AD282:AD283"/>
    <mergeCell ref="AR282:AR283"/>
    <mergeCell ref="BF282:BF283"/>
    <mergeCell ref="BT282:BT283"/>
    <mergeCell ref="CH282:CH283"/>
    <mergeCell ref="AD284:AD285"/>
    <mergeCell ref="AR284:AR285"/>
    <mergeCell ref="BF284:BF285"/>
    <mergeCell ref="BT284:BT285"/>
    <mergeCell ref="CH284:CH285"/>
    <mergeCell ref="AD294:AD295"/>
    <mergeCell ref="AR294:AR295"/>
    <mergeCell ref="BF294:BF295"/>
    <mergeCell ref="BT294:BT295"/>
    <mergeCell ref="CH294:CH295"/>
    <mergeCell ref="AD296:AD297"/>
    <mergeCell ref="AR296:AR297"/>
    <mergeCell ref="BF296:BF297"/>
    <mergeCell ref="BT296:BT297"/>
    <mergeCell ref="CH296:CH297"/>
    <mergeCell ref="AD290:AD291"/>
    <mergeCell ref="AR290:AR291"/>
    <mergeCell ref="BF290:BF291"/>
    <mergeCell ref="BT290:BT291"/>
    <mergeCell ref="CH290:CH291"/>
    <mergeCell ref="AD292:AD293"/>
    <mergeCell ref="AR292:AR293"/>
    <mergeCell ref="BF292:BF293"/>
    <mergeCell ref="BT292:BT293"/>
    <mergeCell ref="CH292:CH293"/>
    <mergeCell ref="AD302:AD303"/>
    <mergeCell ref="AR302:AR303"/>
    <mergeCell ref="BF302:BF303"/>
    <mergeCell ref="BT302:BT303"/>
    <mergeCell ref="CH302:CH303"/>
    <mergeCell ref="AD304:AD305"/>
    <mergeCell ref="AR304:AR305"/>
    <mergeCell ref="BF304:BF305"/>
    <mergeCell ref="BT304:BT305"/>
    <mergeCell ref="CH304:CH305"/>
    <mergeCell ref="AD298:AD299"/>
    <mergeCell ref="AR298:AR299"/>
    <mergeCell ref="BF298:BF299"/>
    <mergeCell ref="BT298:BT299"/>
    <mergeCell ref="CH298:CH299"/>
    <mergeCell ref="AD300:AD301"/>
    <mergeCell ref="AR300:AR301"/>
    <mergeCell ref="BF300:BF301"/>
    <mergeCell ref="BT300:BT301"/>
    <mergeCell ref="CH300:CH301"/>
    <mergeCell ref="AD310:AD311"/>
    <mergeCell ref="AR310:AR311"/>
    <mergeCell ref="BF310:BF311"/>
    <mergeCell ref="BT310:BT311"/>
    <mergeCell ref="CH310:CH311"/>
    <mergeCell ref="AD312:AD313"/>
    <mergeCell ref="AR312:AR313"/>
    <mergeCell ref="BF312:BF313"/>
    <mergeCell ref="BT312:BT313"/>
    <mergeCell ref="CH312:CH313"/>
    <mergeCell ref="AD306:AD307"/>
    <mergeCell ref="AR306:AR307"/>
    <mergeCell ref="BF306:BF307"/>
    <mergeCell ref="BT306:BT307"/>
    <mergeCell ref="CH306:CH307"/>
    <mergeCell ref="P308:AC308"/>
    <mergeCell ref="AD308:AQ308"/>
    <mergeCell ref="AR308:BE308"/>
    <mergeCell ref="BF308:BS308"/>
    <mergeCell ref="BT308:CG308"/>
    <mergeCell ref="CH308:CU308"/>
    <mergeCell ref="BF328:BF329"/>
    <mergeCell ref="BT328:BT329"/>
    <mergeCell ref="AD318:AD319"/>
    <mergeCell ref="AR318:AR319"/>
    <mergeCell ref="BF318:BF319"/>
    <mergeCell ref="BT318:BT319"/>
    <mergeCell ref="CH318:CH319"/>
    <mergeCell ref="P320:P321"/>
    <mergeCell ref="AD320:AD321"/>
    <mergeCell ref="AR320:AR321"/>
    <mergeCell ref="BF320:BF321"/>
    <mergeCell ref="BT320:BT321"/>
    <mergeCell ref="CH320:CH321"/>
    <mergeCell ref="AD314:AD315"/>
    <mergeCell ref="AR314:AR315"/>
    <mergeCell ref="BF314:BF315"/>
    <mergeCell ref="BT314:BT315"/>
    <mergeCell ref="CH314:CH315"/>
    <mergeCell ref="P316:P317"/>
    <mergeCell ref="AD316:AD317"/>
    <mergeCell ref="AR316:AR317"/>
    <mergeCell ref="BF316:BF317"/>
    <mergeCell ref="BT316:BT317"/>
    <mergeCell ref="CH316:CH317"/>
    <mergeCell ref="CH328:CH329"/>
    <mergeCell ref="BT336:BT337"/>
    <mergeCell ref="CH336:CH337"/>
    <mergeCell ref="AD322:AD323"/>
    <mergeCell ref="AR322:AR323"/>
    <mergeCell ref="BF322:BF323"/>
    <mergeCell ref="BT322:BT323"/>
    <mergeCell ref="CH322:CH323"/>
    <mergeCell ref="P324:P325"/>
    <mergeCell ref="AD324:AD325"/>
    <mergeCell ref="AR324:AR325"/>
    <mergeCell ref="BF324:BF325"/>
    <mergeCell ref="BT324:BT325"/>
    <mergeCell ref="CH324:CH325"/>
    <mergeCell ref="AD330:AD331"/>
    <mergeCell ref="AR330:AR331"/>
    <mergeCell ref="BF330:BF331"/>
    <mergeCell ref="BT330:BT331"/>
    <mergeCell ref="CH330:CH331"/>
    <mergeCell ref="P332:P333"/>
    <mergeCell ref="AD332:AD333"/>
    <mergeCell ref="AR332:AR333"/>
    <mergeCell ref="BF332:BF333"/>
    <mergeCell ref="BT332:BT333"/>
    <mergeCell ref="CH332:CH333"/>
    <mergeCell ref="AD326:AD327"/>
    <mergeCell ref="AR326:AR327"/>
    <mergeCell ref="BF326:BF327"/>
    <mergeCell ref="BT326:BT327"/>
    <mergeCell ref="CH326:CH327"/>
    <mergeCell ref="P328:P329"/>
    <mergeCell ref="AD328:AD329"/>
    <mergeCell ref="AR328:AR329"/>
    <mergeCell ref="P334:P335"/>
    <mergeCell ref="AD334:AD335"/>
    <mergeCell ref="AR334:AR335"/>
    <mergeCell ref="BF334:BF335"/>
    <mergeCell ref="BT334:BT335"/>
    <mergeCell ref="CH334:CH335"/>
    <mergeCell ref="P336:P337"/>
    <mergeCell ref="AD336:AD337"/>
    <mergeCell ref="AR336:AR337"/>
    <mergeCell ref="BF336:BF337"/>
    <mergeCell ref="AD342:AD343"/>
    <mergeCell ref="AR342:AR343"/>
    <mergeCell ref="BF342:BF343"/>
    <mergeCell ref="BT342:BT343"/>
    <mergeCell ref="CH342:CH343"/>
    <mergeCell ref="P344:P345"/>
    <mergeCell ref="AD344:AD345"/>
    <mergeCell ref="AR344:AR345"/>
    <mergeCell ref="BF344:BF345"/>
    <mergeCell ref="BT344:BT345"/>
    <mergeCell ref="CH344:CH345"/>
    <mergeCell ref="AD338:AD339"/>
    <mergeCell ref="AR338:AR339"/>
    <mergeCell ref="BF338:BF339"/>
    <mergeCell ref="BT338:BT339"/>
    <mergeCell ref="CH338:CH339"/>
    <mergeCell ref="P340:P341"/>
    <mergeCell ref="AD340:AD341"/>
    <mergeCell ref="AR340:AR341"/>
    <mergeCell ref="BF340:BF341"/>
    <mergeCell ref="BT340:BT341"/>
    <mergeCell ref="CH340:CH341"/>
  </mergeCells>
  <phoneticPr fontId="10"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4B6D9-5793-46BC-82A8-018820A2F703}">
  <dimension ref="A1:CU117"/>
  <sheetViews>
    <sheetView workbookViewId="0">
      <selection sqref="A1:N1"/>
    </sheetView>
  </sheetViews>
  <sheetFormatPr defaultRowHeight="15" x14ac:dyDescent="0.25"/>
  <cols>
    <col min="1" max="1" width="11.7109375" bestFit="1" customWidth="1"/>
    <col min="2" max="2" width="3.42578125" bestFit="1" customWidth="1"/>
    <col min="3" max="14" width="6.5703125" bestFit="1" customWidth="1"/>
    <col min="15" max="15" width="3.7109375" customWidth="1"/>
    <col min="16" max="16" width="11.7109375" bestFit="1" customWidth="1"/>
    <col min="17" max="17" width="7" bestFit="1" customWidth="1"/>
    <col min="18" max="18" width="7.140625" bestFit="1" customWidth="1"/>
    <col min="19" max="29" width="6.5703125" bestFit="1" customWidth="1"/>
    <col min="30" max="30" width="11.7109375" bestFit="1" customWidth="1"/>
    <col min="31" max="31" width="7" bestFit="1" customWidth="1"/>
    <col min="32" max="43" width="6.5703125" bestFit="1" customWidth="1"/>
    <col min="44" max="44" width="11.7109375" bestFit="1" customWidth="1"/>
    <col min="45" max="45" width="7" bestFit="1" customWidth="1"/>
    <col min="46" max="57" width="6.5703125" bestFit="1" customWidth="1"/>
    <col min="58" max="58" width="11.7109375" bestFit="1" customWidth="1"/>
    <col min="59" max="59" width="7" bestFit="1" customWidth="1"/>
    <col min="60" max="71" width="6.5703125" bestFit="1" customWidth="1"/>
    <col min="72" max="72" width="11.7109375" bestFit="1" customWidth="1"/>
    <col min="73" max="73" width="7" bestFit="1" customWidth="1"/>
    <col min="74" max="85" width="6.5703125" bestFit="1" customWidth="1"/>
    <col min="86" max="86" width="11.7109375" bestFit="1" customWidth="1"/>
    <col min="87" max="87" width="7" bestFit="1" customWidth="1"/>
    <col min="88" max="99" width="6.5703125" bestFit="1" customWidth="1"/>
  </cols>
  <sheetData>
    <row r="1" spans="1:99" ht="33.75" customHeight="1" thickBot="1" x14ac:dyDescent="0.3">
      <c r="A1" s="958" t="s">
        <v>96</v>
      </c>
      <c r="B1" s="958"/>
      <c r="C1" s="958"/>
      <c r="D1" s="958"/>
      <c r="E1" s="958"/>
      <c r="F1" s="958"/>
      <c r="G1" s="958"/>
      <c r="H1" s="958"/>
      <c r="I1" s="958"/>
      <c r="J1" s="958"/>
      <c r="K1" s="958"/>
      <c r="L1" s="958"/>
      <c r="M1" s="958"/>
      <c r="N1" s="956"/>
      <c r="P1" s="949" t="s">
        <v>134</v>
      </c>
      <c r="Q1" s="950"/>
      <c r="R1" s="950"/>
      <c r="S1" s="950"/>
      <c r="T1" s="950"/>
      <c r="U1" s="950"/>
      <c r="V1" s="950"/>
      <c r="W1" s="950"/>
      <c r="X1" s="950"/>
      <c r="Y1" s="950"/>
      <c r="Z1" s="950"/>
      <c r="AA1" s="950"/>
      <c r="AB1" s="950"/>
      <c r="AC1" s="951"/>
      <c r="AD1" s="949" t="s">
        <v>135</v>
      </c>
      <c r="AE1" s="950"/>
      <c r="AF1" s="950"/>
      <c r="AG1" s="950"/>
      <c r="AH1" s="950"/>
      <c r="AI1" s="950"/>
      <c r="AJ1" s="950"/>
      <c r="AK1" s="950"/>
      <c r="AL1" s="950"/>
      <c r="AM1" s="950"/>
      <c r="AN1" s="950"/>
      <c r="AO1" s="950"/>
      <c r="AP1" s="950"/>
      <c r="AQ1" s="951"/>
      <c r="AR1" s="949" t="s">
        <v>136</v>
      </c>
      <c r="AS1" s="950"/>
      <c r="AT1" s="950"/>
      <c r="AU1" s="950"/>
      <c r="AV1" s="950"/>
      <c r="AW1" s="950"/>
      <c r="AX1" s="950"/>
      <c r="AY1" s="950"/>
      <c r="AZ1" s="950"/>
      <c r="BA1" s="950"/>
      <c r="BB1" s="950"/>
      <c r="BC1" s="950"/>
      <c r="BD1" s="950"/>
      <c r="BE1" s="951"/>
      <c r="BF1" s="949" t="s">
        <v>137</v>
      </c>
      <c r="BG1" s="950"/>
      <c r="BH1" s="950"/>
      <c r="BI1" s="950"/>
      <c r="BJ1" s="950"/>
      <c r="BK1" s="950"/>
      <c r="BL1" s="950"/>
      <c r="BM1" s="950"/>
      <c r="BN1" s="950"/>
      <c r="BO1" s="950"/>
      <c r="BP1" s="950"/>
      <c r="BQ1" s="950"/>
      <c r="BR1" s="950"/>
      <c r="BS1" s="951"/>
      <c r="BT1" s="949" t="s">
        <v>138</v>
      </c>
      <c r="BU1" s="950"/>
      <c r="BV1" s="950"/>
      <c r="BW1" s="950"/>
      <c r="BX1" s="950"/>
      <c r="BY1" s="950"/>
      <c r="BZ1" s="950"/>
      <c r="CA1" s="950"/>
      <c r="CB1" s="950"/>
      <c r="CC1" s="950"/>
      <c r="CD1" s="950"/>
      <c r="CE1" s="950"/>
      <c r="CF1" s="950"/>
      <c r="CG1" s="951"/>
      <c r="CH1" s="949" t="s">
        <v>139</v>
      </c>
      <c r="CI1" s="950"/>
      <c r="CJ1" s="950"/>
      <c r="CK1" s="950"/>
      <c r="CL1" s="950"/>
      <c r="CM1" s="950"/>
      <c r="CN1" s="950"/>
      <c r="CO1" s="950"/>
      <c r="CP1" s="950"/>
      <c r="CQ1" s="950"/>
      <c r="CR1" s="950"/>
      <c r="CS1" s="950"/>
      <c r="CT1" s="950"/>
      <c r="CU1" s="951"/>
    </row>
    <row r="2" spans="1:99" ht="15.75" thickBot="1" x14ac:dyDescent="0.3">
      <c r="A2" s="955" t="s">
        <v>75</v>
      </c>
      <c r="B2" s="956"/>
      <c r="C2" s="590">
        <v>12</v>
      </c>
      <c r="D2" s="591">
        <v>11</v>
      </c>
      <c r="E2" s="591">
        <v>10</v>
      </c>
      <c r="F2" s="591">
        <v>9</v>
      </c>
      <c r="G2" s="591">
        <v>8</v>
      </c>
      <c r="H2" s="591">
        <v>7</v>
      </c>
      <c r="I2" s="591">
        <v>6</v>
      </c>
      <c r="J2" s="591">
        <v>5</v>
      </c>
      <c r="K2" s="591">
        <v>4</v>
      </c>
      <c r="L2" s="591">
        <v>3</v>
      </c>
      <c r="M2" s="591">
        <v>2</v>
      </c>
      <c r="N2" s="592">
        <v>1</v>
      </c>
      <c r="P2" s="952"/>
      <c r="Q2" s="828"/>
      <c r="R2" s="602"/>
      <c r="S2" s="602"/>
      <c r="T2" s="602"/>
      <c r="U2" s="602"/>
      <c r="V2" s="602"/>
      <c r="W2" s="602"/>
      <c r="X2" s="602"/>
      <c r="Y2" s="602"/>
      <c r="Z2" s="602"/>
      <c r="AA2" s="569">
        <v>10</v>
      </c>
      <c r="AB2" s="575">
        <v>11</v>
      </c>
      <c r="AC2" s="573">
        <v>12</v>
      </c>
      <c r="AD2" s="952"/>
      <c r="AE2" s="828"/>
      <c r="AF2" s="602"/>
      <c r="AG2" s="602"/>
      <c r="AH2" s="602"/>
      <c r="AI2" s="602"/>
      <c r="AJ2" s="602"/>
      <c r="AK2" s="602"/>
      <c r="AL2" s="602"/>
      <c r="AM2" s="602"/>
      <c r="AN2" s="602"/>
      <c r="AO2" s="569">
        <v>10</v>
      </c>
      <c r="AP2" s="575">
        <v>11</v>
      </c>
      <c r="AQ2" s="573">
        <v>12</v>
      </c>
      <c r="AR2" s="952"/>
      <c r="AS2" s="828"/>
      <c r="AT2" s="602"/>
      <c r="AU2" s="602"/>
      <c r="AV2" s="602"/>
      <c r="AW2" s="602"/>
      <c r="AX2" s="602"/>
      <c r="AY2" s="602"/>
      <c r="AZ2" s="602"/>
      <c r="BA2" s="602"/>
      <c r="BB2" s="602"/>
      <c r="BC2" s="569">
        <v>10</v>
      </c>
      <c r="BD2" s="575">
        <v>11</v>
      </c>
      <c r="BE2" s="573">
        <v>12</v>
      </c>
      <c r="BF2" s="952"/>
      <c r="BG2" s="828"/>
      <c r="BH2" s="602"/>
      <c r="BI2" s="602"/>
      <c r="BJ2" s="602"/>
      <c r="BK2" s="602"/>
      <c r="BL2" s="602"/>
      <c r="BM2" s="602"/>
      <c r="BN2" s="602"/>
      <c r="BO2" s="602"/>
      <c r="BP2" s="602"/>
      <c r="BQ2" s="569">
        <v>10</v>
      </c>
      <c r="BR2" s="575">
        <v>11</v>
      </c>
      <c r="BS2" s="573">
        <v>12</v>
      </c>
      <c r="BT2" s="952"/>
      <c r="BU2" s="828"/>
      <c r="BV2" s="602"/>
      <c r="BW2" s="602"/>
      <c r="BX2" s="602"/>
      <c r="BY2" s="602"/>
      <c r="BZ2" s="602"/>
      <c r="CA2" s="602"/>
      <c r="CB2" s="602"/>
      <c r="CC2" s="602"/>
      <c r="CD2" s="602"/>
      <c r="CE2" s="569">
        <v>10</v>
      </c>
      <c r="CF2" s="575">
        <v>11</v>
      </c>
      <c r="CG2" s="573">
        <v>12</v>
      </c>
      <c r="CH2" s="952"/>
      <c r="CI2" s="828"/>
      <c r="CJ2" s="602"/>
      <c r="CK2" s="602"/>
      <c r="CL2" s="602"/>
      <c r="CM2" s="602"/>
      <c r="CN2" s="602"/>
      <c r="CO2" s="602"/>
      <c r="CP2" s="602"/>
      <c r="CQ2" s="602"/>
      <c r="CR2" s="602"/>
      <c r="CS2" s="569">
        <v>10</v>
      </c>
      <c r="CT2" s="575">
        <v>11</v>
      </c>
      <c r="CU2" s="573">
        <v>12</v>
      </c>
    </row>
    <row r="3" spans="1:99" ht="15.75" thickBot="1" x14ac:dyDescent="0.3">
      <c r="A3" s="946" t="s">
        <v>39</v>
      </c>
      <c r="B3" s="78" t="s">
        <v>61</v>
      </c>
      <c r="C3" s="402">
        <v>425.94</v>
      </c>
      <c r="D3" s="403">
        <v>422.74</v>
      </c>
      <c r="E3" s="404">
        <v>419.55</v>
      </c>
      <c r="F3" s="405">
        <v>416.37</v>
      </c>
      <c r="G3" s="406">
        <v>413.17</v>
      </c>
      <c r="H3" s="407">
        <v>410.01</v>
      </c>
      <c r="I3" s="406">
        <v>406.8</v>
      </c>
      <c r="J3" s="407">
        <v>403.64</v>
      </c>
      <c r="K3" s="405">
        <v>400.42</v>
      </c>
      <c r="L3" s="406">
        <v>397.22</v>
      </c>
      <c r="M3" s="407">
        <v>394</v>
      </c>
      <c r="N3" s="408">
        <v>390.83</v>
      </c>
      <c r="P3" s="953"/>
      <c r="Q3" s="954"/>
      <c r="R3" s="604"/>
      <c r="S3" s="604"/>
      <c r="T3" s="604"/>
      <c r="U3" s="604"/>
      <c r="V3" s="604"/>
      <c r="W3" s="604"/>
      <c r="X3" s="604"/>
      <c r="Y3" s="604"/>
      <c r="Z3" s="604"/>
      <c r="AA3" s="570">
        <f>Q5</f>
        <v>0</v>
      </c>
      <c r="AB3" s="576">
        <f>Q43</f>
        <v>0</v>
      </c>
      <c r="AC3" s="574">
        <f>Q81</f>
        <v>0</v>
      </c>
      <c r="AD3" s="953"/>
      <c r="AE3" s="954"/>
      <c r="AF3" s="604"/>
      <c r="AG3" s="604"/>
      <c r="AH3" s="604"/>
      <c r="AI3" s="604"/>
      <c r="AJ3" s="604"/>
      <c r="AK3" s="604"/>
      <c r="AL3" s="604"/>
      <c r="AM3" s="604"/>
      <c r="AN3" s="604"/>
      <c r="AO3" s="570">
        <f>AE5</f>
        <v>0</v>
      </c>
      <c r="AP3" s="576">
        <f>AE43</f>
        <v>0</v>
      </c>
      <c r="AQ3" s="574">
        <f>AE81</f>
        <v>0</v>
      </c>
      <c r="AR3" s="953"/>
      <c r="AS3" s="954"/>
      <c r="AT3" s="604"/>
      <c r="AU3" s="604"/>
      <c r="AV3" s="604"/>
      <c r="AW3" s="604"/>
      <c r="AX3" s="604"/>
      <c r="AY3" s="604"/>
      <c r="AZ3" s="604"/>
      <c r="BA3" s="604"/>
      <c r="BB3" s="604"/>
      <c r="BC3" s="570">
        <f>AS5</f>
        <v>0</v>
      </c>
      <c r="BD3" s="576">
        <f>AS43</f>
        <v>0</v>
      </c>
      <c r="BE3" s="574">
        <f>AS81</f>
        <v>0</v>
      </c>
      <c r="BF3" s="953"/>
      <c r="BG3" s="954"/>
      <c r="BH3" s="604"/>
      <c r="BI3" s="604"/>
      <c r="BJ3" s="604"/>
      <c r="BK3" s="604"/>
      <c r="BL3" s="604"/>
      <c r="BM3" s="604"/>
      <c r="BN3" s="604"/>
      <c r="BO3" s="604"/>
      <c r="BP3" s="604"/>
      <c r="BQ3" s="570">
        <f>BG5</f>
        <v>0</v>
      </c>
      <c r="BR3" s="576">
        <f>BG43</f>
        <v>0</v>
      </c>
      <c r="BS3" s="574">
        <f>BG81</f>
        <v>0</v>
      </c>
      <c r="BT3" s="953"/>
      <c r="BU3" s="954"/>
      <c r="BV3" s="604"/>
      <c r="BW3" s="604"/>
      <c r="BX3" s="604"/>
      <c r="BY3" s="604"/>
      <c r="BZ3" s="604"/>
      <c r="CA3" s="604"/>
      <c r="CB3" s="604"/>
      <c r="CC3" s="604"/>
      <c r="CD3" s="604"/>
      <c r="CE3" s="570">
        <f>BU5</f>
        <v>0</v>
      </c>
      <c r="CF3" s="576">
        <f>BU43</f>
        <v>0</v>
      </c>
      <c r="CG3" s="574">
        <f>BU81</f>
        <v>0</v>
      </c>
      <c r="CH3" s="953"/>
      <c r="CI3" s="954"/>
      <c r="CJ3" s="604"/>
      <c r="CK3" s="604"/>
      <c r="CL3" s="604"/>
      <c r="CM3" s="604"/>
      <c r="CN3" s="604"/>
      <c r="CO3" s="604"/>
      <c r="CP3" s="604"/>
      <c r="CQ3" s="604"/>
      <c r="CR3" s="604"/>
      <c r="CS3" s="570">
        <f>CI5</f>
        <v>0</v>
      </c>
      <c r="CT3" s="576">
        <f>CI43</f>
        <v>0</v>
      </c>
      <c r="CU3" s="574">
        <f>CI81</f>
        <v>0</v>
      </c>
    </row>
    <row r="4" spans="1:99" x14ac:dyDescent="0.25">
      <c r="A4" s="946"/>
      <c r="B4" s="78" t="s">
        <v>62</v>
      </c>
      <c r="C4" s="225">
        <v>290.95999999999998</v>
      </c>
      <c r="D4" s="226">
        <v>288.31</v>
      </c>
      <c r="E4" s="226">
        <v>285.75</v>
      </c>
      <c r="F4" s="227">
        <v>281.92</v>
      </c>
      <c r="G4" s="228">
        <v>278.88</v>
      </c>
      <c r="H4" s="229">
        <v>272.63</v>
      </c>
      <c r="I4" s="230">
        <v>265.25</v>
      </c>
      <c r="J4" s="231">
        <v>258.69</v>
      </c>
      <c r="K4" s="232">
        <v>252.66</v>
      </c>
      <c r="L4" s="226">
        <v>246.68</v>
      </c>
      <c r="M4" s="226">
        <v>210.81</v>
      </c>
      <c r="N4" s="233">
        <v>110.52</v>
      </c>
      <c r="P4" s="943" t="s">
        <v>140</v>
      </c>
      <c r="Q4" s="944"/>
      <c r="R4" s="944"/>
      <c r="S4" s="944"/>
      <c r="T4" s="944"/>
      <c r="U4" s="944"/>
      <c r="V4" s="944"/>
      <c r="W4" s="944"/>
      <c r="X4" s="944"/>
      <c r="Y4" s="944"/>
      <c r="Z4" s="944"/>
      <c r="AA4" s="944"/>
      <c r="AB4" s="944"/>
      <c r="AC4" s="945"/>
      <c r="AD4" s="943" t="s">
        <v>141</v>
      </c>
      <c r="AE4" s="944"/>
      <c r="AF4" s="944"/>
      <c r="AG4" s="944"/>
      <c r="AH4" s="944"/>
      <c r="AI4" s="944"/>
      <c r="AJ4" s="944"/>
      <c r="AK4" s="944"/>
      <c r="AL4" s="944"/>
      <c r="AM4" s="944"/>
      <c r="AN4" s="944"/>
      <c r="AO4" s="944"/>
      <c r="AP4" s="944"/>
      <c r="AQ4" s="945"/>
      <c r="AR4" s="943" t="s">
        <v>142</v>
      </c>
      <c r="AS4" s="944"/>
      <c r="AT4" s="944"/>
      <c r="AU4" s="944"/>
      <c r="AV4" s="944"/>
      <c r="AW4" s="944"/>
      <c r="AX4" s="944"/>
      <c r="AY4" s="944"/>
      <c r="AZ4" s="944"/>
      <c r="BA4" s="944"/>
      <c r="BB4" s="944"/>
      <c r="BC4" s="944"/>
      <c r="BD4" s="944"/>
      <c r="BE4" s="945"/>
      <c r="BF4" s="943" t="s">
        <v>143</v>
      </c>
      <c r="BG4" s="944"/>
      <c r="BH4" s="944"/>
      <c r="BI4" s="944"/>
      <c r="BJ4" s="944"/>
      <c r="BK4" s="944"/>
      <c r="BL4" s="944"/>
      <c r="BM4" s="944"/>
      <c r="BN4" s="944"/>
      <c r="BO4" s="944"/>
      <c r="BP4" s="944"/>
      <c r="BQ4" s="944"/>
      <c r="BR4" s="944"/>
      <c r="BS4" s="945"/>
      <c r="BT4" s="943" t="s">
        <v>144</v>
      </c>
      <c r="BU4" s="944"/>
      <c r="BV4" s="944"/>
      <c r="BW4" s="944"/>
      <c r="BX4" s="944"/>
      <c r="BY4" s="944"/>
      <c r="BZ4" s="944"/>
      <c r="CA4" s="944"/>
      <c r="CB4" s="944"/>
      <c r="CC4" s="944"/>
      <c r="CD4" s="944"/>
      <c r="CE4" s="944"/>
      <c r="CF4" s="944"/>
      <c r="CG4" s="945"/>
      <c r="CH4" s="943" t="s">
        <v>145</v>
      </c>
      <c r="CI4" s="944"/>
      <c r="CJ4" s="944"/>
      <c r="CK4" s="944"/>
      <c r="CL4" s="944"/>
      <c r="CM4" s="944"/>
      <c r="CN4" s="944"/>
      <c r="CO4" s="944"/>
      <c r="CP4" s="944"/>
      <c r="CQ4" s="944"/>
      <c r="CR4" s="944"/>
      <c r="CS4" s="944"/>
      <c r="CT4" s="944"/>
      <c r="CU4" s="945"/>
    </row>
    <row r="5" spans="1:99" x14ac:dyDescent="0.25">
      <c r="A5" s="946" t="s">
        <v>65</v>
      </c>
      <c r="B5" s="78" t="s">
        <v>61</v>
      </c>
      <c r="C5" s="118">
        <v>425.94</v>
      </c>
      <c r="D5" s="119">
        <v>422.74</v>
      </c>
      <c r="E5" s="120">
        <v>419.55</v>
      </c>
      <c r="F5" s="121">
        <v>416.37</v>
      </c>
      <c r="G5" s="122">
        <v>413.17</v>
      </c>
      <c r="H5" s="123">
        <v>410.01</v>
      </c>
      <c r="I5" s="122">
        <v>406.8</v>
      </c>
      <c r="J5" s="123">
        <v>403.64</v>
      </c>
      <c r="K5" s="121">
        <v>400.42</v>
      </c>
      <c r="L5" s="122">
        <v>397.22</v>
      </c>
      <c r="M5" s="123">
        <v>394</v>
      </c>
      <c r="N5" s="124">
        <v>390.83</v>
      </c>
      <c r="P5" s="593">
        <v>10</v>
      </c>
      <c r="Q5" s="569">
        <f>SUM(R6:AC41)</f>
        <v>0</v>
      </c>
      <c r="R5" s="3">
        <v>12</v>
      </c>
      <c r="S5" s="3">
        <v>11</v>
      </c>
      <c r="T5" s="3">
        <v>10</v>
      </c>
      <c r="U5" s="3">
        <v>9</v>
      </c>
      <c r="V5" s="3">
        <v>8</v>
      </c>
      <c r="W5" s="3">
        <v>7</v>
      </c>
      <c r="X5" s="3">
        <v>6</v>
      </c>
      <c r="Y5" s="3">
        <v>5</v>
      </c>
      <c r="Z5" s="3">
        <v>4</v>
      </c>
      <c r="AA5" s="3">
        <v>3</v>
      </c>
      <c r="AB5" s="3">
        <v>2</v>
      </c>
      <c r="AC5" s="519">
        <v>1</v>
      </c>
      <c r="AD5" s="569">
        <v>10</v>
      </c>
      <c r="AE5" s="569">
        <f>SUM(AF6:AQ41)</f>
        <v>0</v>
      </c>
      <c r="AF5" s="3">
        <v>12</v>
      </c>
      <c r="AG5" s="3">
        <v>11</v>
      </c>
      <c r="AH5" s="3">
        <v>10</v>
      </c>
      <c r="AI5" s="3">
        <v>9</v>
      </c>
      <c r="AJ5" s="3">
        <v>8</v>
      </c>
      <c r="AK5" s="3">
        <v>7</v>
      </c>
      <c r="AL5" s="3">
        <v>6</v>
      </c>
      <c r="AM5" s="3">
        <v>5</v>
      </c>
      <c r="AN5" s="3">
        <v>4</v>
      </c>
      <c r="AO5" s="3">
        <v>3</v>
      </c>
      <c r="AP5" s="3">
        <v>2</v>
      </c>
      <c r="AQ5" s="519">
        <v>1</v>
      </c>
      <c r="AR5" s="569">
        <v>10</v>
      </c>
      <c r="AS5" s="569">
        <f>SUM(AT6:BE41)</f>
        <v>0</v>
      </c>
      <c r="AT5" s="3">
        <v>12</v>
      </c>
      <c r="AU5" s="3">
        <v>11</v>
      </c>
      <c r="AV5" s="3">
        <v>10</v>
      </c>
      <c r="AW5" s="3">
        <v>9</v>
      </c>
      <c r="AX5" s="3">
        <v>8</v>
      </c>
      <c r="AY5" s="3">
        <v>7</v>
      </c>
      <c r="AZ5" s="3">
        <v>6</v>
      </c>
      <c r="BA5" s="3">
        <v>5</v>
      </c>
      <c r="BB5" s="3">
        <v>4</v>
      </c>
      <c r="BC5" s="3">
        <v>3</v>
      </c>
      <c r="BD5" s="3">
        <v>2</v>
      </c>
      <c r="BE5" s="519">
        <v>1</v>
      </c>
      <c r="BF5" s="569">
        <v>10</v>
      </c>
      <c r="BG5" s="569">
        <f>SUM(BH6:BS41)</f>
        <v>0</v>
      </c>
      <c r="BH5" s="3">
        <v>12</v>
      </c>
      <c r="BI5" s="3">
        <v>11</v>
      </c>
      <c r="BJ5" s="3">
        <v>10</v>
      </c>
      <c r="BK5" s="3">
        <v>9</v>
      </c>
      <c r="BL5" s="3">
        <v>8</v>
      </c>
      <c r="BM5" s="3">
        <v>7</v>
      </c>
      <c r="BN5" s="3">
        <v>6</v>
      </c>
      <c r="BO5" s="3">
        <v>5</v>
      </c>
      <c r="BP5" s="3">
        <v>4</v>
      </c>
      <c r="BQ5" s="3">
        <v>3</v>
      </c>
      <c r="BR5" s="3">
        <v>2</v>
      </c>
      <c r="BS5" s="519">
        <v>1</v>
      </c>
      <c r="BT5" s="569">
        <v>10</v>
      </c>
      <c r="BU5" s="569">
        <f>SUM(BV6:CG41)</f>
        <v>0</v>
      </c>
      <c r="BV5" s="3">
        <v>12</v>
      </c>
      <c r="BW5" s="3">
        <v>11</v>
      </c>
      <c r="BX5" s="3">
        <v>10</v>
      </c>
      <c r="BY5" s="3">
        <v>9</v>
      </c>
      <c r="BZ5" s="3">
        <v>8</v>
      </c>
      <c r="CA5" s="3">
        <v>7</v>
      </c>
      <c r="CB5" s="3">
        <v>6</v>
      </c>
      <c r="CC5" s="3">
        <v>5</v>
      </c>
      <c r="CD5" s="3">
        <v>4</v>
      </c>
      <c r="CE5" s="3">
        <v>3</v>
      </c>
      <c r="CF5" s="3">
        <v>2</v>
      </c>
      <c r="CG5" s="519">
        <v>1</v>
      </c>
      <c r="CH5" s="569">
        <v>10</v>
      </c>
      <c r="CI5" s="569">
        <f>SUM(CJ6:CU41)</f>
        <v>0</v>
      </c>
      <c r="CJ5" s="3">
        <v>12</v>
      </c>
      <c r="CK5" s="3">
        <v>11</v>
      </c>
      <c r="CL5" s="3">
        <v>10</v>
      </c>
      <c r="CM5" s="3">
        <v>9</v>
      </c>
      <c r="CN5" s="3">
        <v>8</v>
      </c>
      <c r="CO5" s="3">
        <v>7</v>
      </c>
      <c r="CP5" s="3">
        <v>6</v>
      </c>
      <c r="CQ5" s="3">
        <v>5</v>
      </c>
      <c r="CR5" s="3">
        <v>4</v>
      </c>
      <c r="CS5" s="3">
        <v>3</v>
      </c>
      <c r="CT5" s="3">
        <v>2</v>
      </c>
      <c r="CU5" s="519">
        <v>1</v>
      </c>
    </row>
    <row r="6" spans="1:99" x14ac:dyDescent="0.25">
      <c r="A6" s="946"/>
      <c r="B6" s="78" t="s">
        <v>62</v>
      </c>
      <c r="C6" s="316">
        <v>290.95999999999998</v>
      </c>
      <c r="D6" s="317">
        <v>288.31</v>
      </c>
      <c r="E6" s="317">
        <v>285.75</v>
      </c>
      <c r="F6" s="318">
        <v>281.92</v>
      </c>
      <c r="G6" s="319">
        <v>278.88</v>
      </c>
      <c r="H6" s="320">
        <v>272.63</v>
      </c>
      <c r="I6" s="321">
        <v>265.25</v>
      </c>
      <c r="J6" s="322">
        <v>258.69</v>
      </c>
      <c r="K6" s="323">
        <v>252.66</v>
      </c>
      <c r="L6" s="317">
        <v>246.68</v>
      </c>
      <c r="M6" s="317">
        <v>210.81</v>
      </c>
      <c r="N6" s="324">
        <v>110.52</v>
      </c>
      <c r="P6" s="940" t="s">
        <v>39</v>
      </c>
      <c r="Q6" s="13" t="s">
        <v>61</v>
      </c>
      <c r="R6" s="518" t="str">
        <f>IF(AND(_AC1="A-350",'2023'!$M$4="CA",'2023'!$M$2=R5),'2023DATA2'!$C$3,"")</f>
        <v/>
      </c>
      <c r="S6" s="518" t="str">
        <f>IF(AND(_AC1="A-350",'2023'!$M$4="CA",'2023'!$M$2=S5),'2023DATA2'!$D$3,"")</f>
        <v/>
      </c>
      <c r="T6" s="518" t="str">
        <f>IF(AND(_AC1="A-350",'2023'!$M$4="CA",'2023'!$M$2=T5),'2023DATA2'!$E$3,"")</f>
        <v/>
      </c>
      <c r="U6" s="518" t="str">
        <f>IF(AND(_AC1="A-350",'2023'!$M$4="CA",'2023'!$M$2=U5),'2023DATA2'!$F$3,"")</f>
        <v/>
      </c>
      <c r="V6" s="518" t="str">
        <f>IF(AND(_AC1="A-350",'2023'!$M$4="CA",'2023'!$M$2=V5),'2023DATA2'!$G$3,"")</f>
        <v/>
      </c>
      <c r="W6" s="518" t="str">
        <f>IF(AND(_AC1="A-350",'2023'!$M$4="CA",'2023'!$M$2=W5),'2023DATA2'!$H$3,"")</f>
        <v/>
      </c>
      <c r="X6" s="518" t="str">
        <f>IF(AND(_AC1="A-350",'2023'!$M$4="CA",'2023'!$M$2=X5),'2023DATA2'!$I$3,"")</f>
        <v/>
      </c>
      <c r="Y6" s="518" t="str">
        <f>IF(AND(_AC1="A-350",'2023'!$M$4="CA",'2023'!$M$2=Y5),'2023DATA2'!$J$3,"")</f>
        <v/>
      </c>
      <c r="Z6" s="518" t="str">
        <f>IF(AND(_AC1="A-350",'2023'!$M$4="CA",'2023'!$M$2=Z5),'2023DATA2'!$K$3,"")</f>
        <v/>
      </c>
      <c r="AA6" s="518" t="str">
        <f>IF(AND(_AC1="A-350",'2023'!$M$4="CA",'2023'!$M$2=AA5),'2023DATA2'!$L$3,"")</f>
        <v/>
      </c>
      <c r="AB6" s="518" t="str">
        <f>IF(AND(_AC1="A-350",'2023'!$M$4="CA",'2023'!$M$2=AB5),'2023DATA2'!$M$3,"")</f>
        <v/>
      </c>
      <c r="AC6" s="520" t="str">
        <f>IF(AND(_AC1="A-350",'2023'!$M$4="CA",'2023'!$M$2=AC5),'2023DATA2'!$N$3,"")</f>
        <v/>
      </c>
      <c r="AD6" s="940" t="s">
        <v>39</v>
      </c>
      <c r="AE6" s="13" t="s">
        <v>61</v>
      </c>
      <c r="AF6" s="518" t="str">
        <f>IF(AND(_AC2="A-350",'2023'!$M$4="CA",'2023'!$M$2=AF5),'2023DATA2'!$C$3,"")</f>
        <v/>
      </c>
      <c r="AG6" s="518" t="str">
        <f>IF(AND(_AC2="A-350",'2023'!$M$4="CA",'2023'!$M$2=AG5),'2023DATA2'!$D$3,"")</f>
        <v/>
      </c>
      <c r="AH6" s="518" t="str">
        <f>IF(AND(_AC2="A-350",'2023'!$M$4="CA",'2023'!$M$2=AH5),'2023DATA2'!$E$3,"")</f>
        <v/>
      </c>
      <c r="AI6" s="518" t="str">
        <f>IF(AND(_AC2="A-350",'2023'!$M$4="CA",'2023'!$M$2=AI5),'2023DATA2'!$F$3,"")</f>
        <v/>
      </c>
      <c r="AJ6" s="518" t="str">
        <f>IF(AND(_AC2="A-350",'2023'!$M$4="CA",'2023'!$M$2=AJ5),'2023DATA2'!$G$3,"")</f>
        <v/>
      </c>
      <c r="AK6" s="518" t="str">
        <f>IF(AND(_AC2="A-350",'2023'!$M$4="CA",'2023'!$M$2=AK5),'2023DATA2'!$H$3,"")</f>
        <v/>
      </c>
      <c r="AL6" s="518" t="str">
        <f>IF(AND(_AC2="A-350",'2023'!$M$4="CA",'2023'!$M$2=AL5),'2023DATA2'!$I$3,"")</f>
        <v/>
      </c>
      <c r="AM6" s="518" t="str">
        <f>IF(AND(_AC2="A-350",'2023'!$M$4="CA",'2023'!$M$2=AM5),'2023DATA2'!$J$3,"")</f>
        <v/>
      </c>
      <c r="AN6" s="518" t="str">
        <f>IF(AND(_AC2="A-350",'2023'!$M$4="CA",'2023'!$M$2=AN5),'2023DATA2'!$K$3,"")</f>
        <v/>
      </c>
      <c r="AO6" s="518" t="str">
        <f>IF(AND(_AC2="A-350",'2023'!$M$4="CA",'2023'!$M$2=AO5),'2023DATA2'!$L$3,"")</f>
        <v/>
      </c>
      <c r="AP6" s="518" t="str">
        <f>IF(AND(_AC2="A-350",'2023'!$M$4="CA",'2023'!$M$2=AP5),'2023DATA2'!$M$3,"")</f>
        <v/>
      </c>
      <c r="AQ6" s="520" t="str">
        <f>IF(AND(_AC2="A-350",'2023'!$M$4="CA",'2023'!$M$2=AQ5),'2023DATA2'!$N$3,"")</f>
        <v/>
      </c>
      <c r="AR6" s="940" t="s">
        <v>39</v>
      </c>
      <c r="AS6" s="13" t="s">
        <v>61</v>
      </c>
      <c r="AT6" s="518" t="str">
        <f>IF(AND(_AC3="A-350",'2023'!$M$4="CA",'2023'!$M$2=AT5),'2023DATA2'!$C$3,"")</f>
        <v/>
      </c>
      <c r="AU6" s="518" t="str">
        <f>IF(AND(_AC3="A-350",'2023'!$M$4="CA",'2023'!$M$2=AU5),'2023DATA2'!$D$3,"")</f>
        <v/>
      </c>
      <c r="AV6" s="518" t="str">
        <f>IF(AND(_AC3="A-350",'2023'!$M$4="CA",'2023'!$M$2=AV5),'2023DATA2'!$E$3,"")</f>
        <v/>
      </c>
      <c r="AW6" s="518" t="str">
        <f>IF(AND(_AC3="A-350",'2023'!$M$4="CA",'2023'!$M$2=AW5),'2023DATA2'!$F$3,"")</f>
        <v/>
      </c>
      <c r="AX6" s="518" t="str">
        <f>IF(AND(_AC3="A-350",'2023'!$M$4="CA",'2023'!$M$2=AX5),'2023DATA2'!$G$3,"")</f>
        <v/>
      </c>
      <c r="AY6" s="518" t="str">
        <f>IF(AND(_AC3="A-350",'2023'!$M$4="CA",'2023'!$M$2=AY5),'2023DATA2'!$H$3,"")</f>
        <v/>
      </c>
      <c r="AZ6" s="518" t="str">
        <f>IF(AND(_AC3="A-350",'2023'!$M$4="CA",'2023'!$M$2=AZ5),'2023DATA2'!$I$3,"")</f>
        <v/>
      </c>
      <c r="BA6" s="518" t="str">
        <f>IF(AND(_AC3="A-350",'2023'!$M$4="CA",'2023'!$M$2=BA5),'2023DATA2'!$J$3,"")</f>
        <v/>
      </c>
      <c r="BB6" s="518" t="str">
        <f>IF(AND(_AC3="A-350",'2023'!$M$4="CA",'2023'!$M$2=BB5),'2023DATA2'!$K$3,"")</f>
        <v/>
      </c>
      <c r="BC6" s="518" t="str">
        <f>IF(AND(_AC3="A-350",'2023'!$M$4="CA",'2023'!$M$2=BC5),'2023DATA2'!$L$3,"")</f>
        <v/>
      </c>
      <c r="BD6" s="518" t="str">
        <f>IF(AND(_AC3="A-350",'2023'!$M$4="CA",'2023'!$M$2=BD5),'2023DATA2'!$M$3,"")</f>
        <v/>
      </c>
      <c r="BE6" s="520" t="str">
        <f>IF(AND(_AC3="A-350",'2023'!$M$4="CA",'2023'!$M$2=BE5),'2023DATA2'!$N$3,"")</f>
        <v/>
      </c>
      <c r="BF6" s="940" t="s">
        <v>39</v>
      </c>
      <c r="BG6" s="13" t="s">
        <v>61</v>
      </c>
      <c r="BH6" s="518" t="str">
        <f>IF(AND(_AC4="A-350",'2023'!$M$4="CA",'2023'!$M$2=BH5),'2023DATA2'!$C$3,"")</f>
        <v/>
      </c>
      <c r="BI6" s="518" t="str">
        <f>IF(AND(_AC4="A-350",'2023'!$M$4="CA",'2023'!$M$2=BI5),'2023DATA2'!$D$3,"")</f>
        <v/>
      </c>
      <c r="BJ6" s="518" t="str">
        <f>IF(AND(_AC4="A-350",'2023'!$M$4="CA",'2023'!$M$2=BJ5),'2023DATA2'!$E$3,"")</f>
        <v/>
      </c>
      <c r="BK6" s="518" t="str">
        <f>IF(AND(_AC4="A-350",'2023'!$M$4="CA",'2023'!$M$2=BK5),'2023DATA2'!$F$3,"")</f>
        <v/>
      </c>
      <c r="BL6" s="518" t="str">
        <f>IF(AND(_AC4="A-350",'2023'!$M$4="CA",'2023'!$M$2=BL5),'2023DATA2'!$G$3,"")</f>
        <v/>
      </c>
      <c r="BM6" s="518" t="str">
        <f>IF(AND(_AC4="A-350",'2023'!$M$4="CA",'2023'!$M$2=BM5),'2023DATA2'!$H$3,"")</f>
        <v/>
      </c>
      <c r="BN6" s="518" t="str">
        <f>IF(AND(_AC4="A-350",'2023'!$M$4="CA",'2023'!$M$2=BN5),'2023DATA2'!$I$3,"")</f>
        <v/>
      </c>
      <c r="BO6" s="518" t="str">
        <f>IF(AND(_AC4="A-350",'2023'!$M$4="CA",'2023'!$M$2=BO5),'2023DATA2'!$J$3,"")</f>
        <v/>
      </c>
      <c r="BP6" s="518" t="str">
        <f>IF(AND(_AC4="A-350",'2023'!$M$4="CA",'2023'!$M$2=BP5),'2023DATA2'!$K$3,"")</f>
        <v/>
      </c>
      <c r="BQ6" s="518" t="str">
        <f>IF(AND(_AC4="A-350",'2023'!$M$4="CA",'2023'!$M$2=BQ5),'2023DATA2'!$L$3,"")</f>
        <v/>
      </c>
      <c r="BR6" s="518" t="str">
        <f>IF(AND(_AC4="A-350",'2023'!$M$4="CA",'2023'!$M$2=BR5),'2023DATA2'!$M$3,"")</f>
        <v/>
      </c>
      <c r="BS6" s="520" t="str">
        <f>IF(AND(_AC4="A-350",'2023'!$M$4="CA",'2023'!$M$2=BS5),'2023DATA2'!$N$3,"")</f>
        <v/>
      </c>
      <c r="BT6" s="940" t="s">
        <v>39</v>
      </c>
      <c r="BU6" s="13" t="s">
        <v>61</v>
      </c>
      <c r="BV6" s="518" t="str">
        <f>IF(AND(_AC5="A-350",'2023'!$M$4="CA",'2023'!$M$2=BV5),'2023DATA2'!$C$3,"")</f>
        <v/>
      </c>
      <c r="BW6" s="518" t="str">
        <f>IF(AND(_AC5="A-350",'2023'!$M$4="CA",'2023'!$M$2=BW5),'2023DATA2'!$D$3,"")</f>
        <v/>
      </c>
      <c r="BX6" s="518" t="str">
        <f>IF(AND(_AC5="A-350",'2023'!$M$4="CA",'2023'!$M$2=BX5),'2023DATA2'!$E$3,"")</f>
        <v/>
      </c>
      <c r="BY6" s="518" t="str">
        <f>IF(AND(_AC5="A-350",'2023'!$M$4="CA",'2023'!$M$2=BY5),'2023DATA2'!$F$3,"")</f>
        <v/>
      </c>
      <c r="BZ6" s="518" t="str">
        <f>IF(AND(_AC5="A-350",'2023'!$M$4="CA",'2023'!$M$2=BZ5),'2023DATA2'!$G$3,"")</f>
        <v/>
      </c>
      <c r="CA6" s="518" t="str">
        <f>IF(AND(_AC5="A-350",'2023'!$M$4="CA",'2023'!$M$2=CA5),'2023DATA2'!$H$3,"")</f>
        <v/>
      </c>
      <c r="CB6" s="518" t="str">
        <f>IF(AND(_AC5="A-350",'2023'!$M$4="CA",'2023'!$M$2=CB5),'2023DATA2'!$I$3,"")</f>
        <v/>
      </c>
      <c r="CC6" s="518" t="str">
        <f>IF(AND(_AC5="A-350",'2023'!$M$4="CA",'2023'!$M$2=CC5),'2023DATA2'!$J$3,"")</f>
        <v/>
      </c>
      <c r="CD6" s="518" t="str">
        <f>IF(AND(_AC5="A-350",'2023'!$M$4="CA",'2023'!$M$2=CD5),'2023DATA2'!$K$3,"")</f>
        <v/>
      </c>
      <c r="CE6" s="518" t="str">
        <f>IF(AND(_AC5="A-350",'2023'!$M$4="CA",'2023'!$M$2=CE5),'2023DATA2'!$L$3,"")</f>
        <v/>
      </c>
      <c r="CF6" s="518" t="str">
        <f>IF(AND(_AC5="A-350",'2023'!$M$4="CA",'2023'!$M$2=CF5),'2023DATA2'!$M$3,"")</f>
        <v/>
      </c>
      <c r="CG6" s="520" t="str">
        <f>IF(AND(_AC5="A-350",'2023'!$M$4="CA",'2023'!$M$2=CG5),'2023DATA2'!$N$3,"")</f>
        <v/>
      </c>
      <c r="CH6" s="940" t="s">
        <v>39</v>
      </c>
      <c r="CI6" s="13" t="s">
        <v>61</v>
      </c>
      <c r="CJ6" s="518" t="str">
        <f>IF(AND(_AC6="A-350",'2023'!$M$4="CA",'2023'!$M$2=CJ5),'2023DATA2'!$C$3,"")</f>
        <v/>
      </c>
      <c r="CK6" s="518" t="str">
        <f>IF(AND(_AC6="A-350",'2023'!$M$4="CA",'2023'!$M$2=CK5),'2023DATA2'!$D$3,"")</f>
        <v/>
      </c>
      <c r="CL6" s="518" t="str">
        <f>IF(AND(_AC6="A-350",'2023'!$M$4="CA",'2023'!$M$2=CL5),'2023DATA2'!$E$3,"")</f>
        <v/>
      </c>
      <c r="CM6" s="518" t="str">
        <f>IF(AND(_AC6="A-350",'2023'!$M$4="CA",'2023'!$M$2=CM5),'2023DATA2'!$F$3,"")</f>
        <v/>
      </c>
      <c r="CN6" s="518" t="str">
        <f>IF(AND(_AC6="A-350",'2023'!$M$4="CA",'2023'!$M$2=CN5),'2023DATA2'!$G$3,"")</f>
        <v/>
      </c>
      <c r="CO6" s="518" t="str">
        <f>IF(AND(_AC6="A-350",'2023'!$M$4="CA",'2023'!$M$2=CO5),'2023DATA2'!$H$3,"")</f>
        <v/>
      </c>
      <c r="CP6" s="518" t="str">
        <f>IF(AND(_AC6="A-350",'2023'!$M$4="CA",'2023'!$M$2=CP5),'2023DATA2'!$I$3,"")</f>
        <v/>
      </c>
      <c r="CQ6" s="518" t="str">
        <f>IF(AND(_AC6="A-350",'2023'!$M$4="CA",'2023'!$M$2=CQ5),'2023DATA2'!$J$3,"")</f>
        <v/>
      </c>
      <c r="CR6" s="518" t="str">
        <f>IF(AND(_AC6="A-350",'2023'!$M$4="CA",'2023'!$M$2=CR5),'2023DATA2'!$K$3,"")</f>
        <v/>
      </c>
      <c r="CS6" s="518" t="str">
        <f>IF(AND(_AC6="A-350",'2023'!$M$4="CA",'2023'!$M$2=CS5),'2023DATA2'!$L$3,"")</f>
        <v/>
      </c>
      <c r="CT6" s="518" t="str">
        <f>IF(AND(_AC6="A-350",'2023'!$M$4="CA",'2023'!$M$2=CT5),'2023DATA2'!$M$3,"")</f>
        <v/>
      </c>
      <c r="CU6" s="520" t="str">
        <f>IF(AND(_AC6="A-350",'2023'!$M$4="CA",'2023'!$M$2=CU5),'2023DATA2'!$N$3,"")</f>
        <v/>
      </c>
    </row>
    <row r="7" spans="1:99" x14ac:dyDescent="0.25">
      <c r="A7" s="946" t="s">
        <v>64</v>
      </c>
      <c r="B7" s="78" t="s">
        <v>61</v>
      </c>
      <c r="C7" s="118">
        <v>425.94</v>
      </c>
      <c r="D7" s="119">
        <v>422.74</v>
      </c>
      <c r="E7" s="120">
        <v>419.55</v>
      </c>
      <c r="F7" s="121">
        <v>416.37</v>
      </c>
      <c r="G7" s="122">
        <v>413.17</v>
      </c>
      <c r="H7" s="123">
        <v>410.01</v>
      </c>
      <c r="I7" s="122">
        <v>406.8</v>
      </c>
      <c r="J7" s="123">
        <v>403.64</v>
      </c>
      <c r="K7" s="121">
        <v>400.42</v>
      </c>
      <c r="L7" s="122">
        <v>397.22</v>
      </c>
      <c r="M7" s="123">
        <v>394</v>
      </c>
      <c r="N7" s="124">
        <v>390.83</v>
      </c>
      <c r="P7" s="940"/>
      <c r="Q7" s="13" t="s">
        <v>62</v>
      </c>
      <c r="R7" s="518" t="str">
        <f>IF(AND(_AC1="A-350",'2023'!$M$4="FO",'2023'!$M$2=R5),'2023DATA2'!$C$4,"")</f>
        <v/>
      </c>
      <c r="S7" s="518" t="str">
        <f>IF(AND(_AC1="A-350",'2023'!$M$4="FO",'2023'!$M$2=S5),'2023DATA2'!$D$4,"")</f>
        <v/>
      </c>
      <c r="T7" s="518" t="str">
        <f>IF(AND(_AC1="A-350",'2023'!$M$4="FO",'2023'!$M$2=T5),'2023DATA2'!$E$4,"")</f>
        <v/>
      </c>
      <c r="U7" s="518" t="str">
        <f>IF(AND(_AC1="A-350",'2023'!$M$4="FO",'2023'!$M$2=U5),'2023DATA2'!$F$4,"")</f>
        <v/>
      </c>
      <c r="V7" s="518" t="str">
        <f>IF(AND(_AC1="A-350",'2023'!$M$4="FO",'2023'!$M$2=V5),'2023DATA2'!$G$4,"")</f>
        <v/>
      </c>
      <c r="W7" s="518" t="str">
        <f>IF(AND(_AC1="A-350",'2023'!$M$4="FO",'2023'!$M$2=W5),'2023DATA2'!$H$4,"")</f>
        <v/>
      </c>
      <c r="X7" s="518" t="str">
        <f>IF(AND(_AC1="A-350",'2023'!$M$4="FO",'2023'!$M$2=X5),'2023DATA2'!$I$4,"")</f>
        <v/>
      </c>
      <c r="Y7" s="518" t="str">
        <f>IF(AND(_AC1="A-350",'2023'!$M$4="FO",'2023'!$M$2=Y5),'2023DATA2'!$J$4,"")</f>
        <v/>
      </c>
      <c r="Z7" s="518" t="str">
        <f>IF(AND(_AC1="A-350",'2023'!$M$4="FO",'2023'!$M$2=Z5),'2023DATA2'!$K$4,"")</f>
        <v/>
      </c>
      <c r="AA7" s="518" t="str">
        <f>IF(AND(_AC1="A-350",'2023'!$M$4="FO",'2023'!$M$2=AA5),'2023DATA2'!$L$4,"")</f>
        <v/>
      </c>
      <c r="AB7" s="518" t="str">
        <f>IF(AND(_AC1="A-350",'2023'!$M$4="FO",'2023'!$M$2=AB5),'2023DATA2'!$M$4,"")</f>
        <v/>
      </c>
      <c r="AC7" s="520" t="str">
        <f>IF(AND(_AC1="A-350",'2023'!$M$4="FO",'2023'!$M$2=AC5),'2023DATA2'!$N$4,"")</f>
        <v/>
      </c>
      <c r="AD7" s="940"/>
      <c r="AE7" s="13" t="s">
        <v>62</v>
      </c>
      <c r="AF7" s="518" t="str">
        <f>IF(AND(_AC2="A-350",'2023'!$M$4="FO",'2023'!$M$2=AF5),'2023DATA2'!$C$4,"")</f>
        <v/>
      </c>
      <c r="AG7" s="518" t="str">
        <f>IF(AND(_AC2="A-350",'2023'!$M$4="FO",'2023'!$M$2=AG5),'2023DATA2'!$D$4,"")</f>
        <v/>
      </c>
      <c r="AH7" s="518" t="str">
        <f>IF(AND(_AC2="A-350",'2023'!$M$4="FO",'2023'!$M$2=AH5),'2023DATA2'!$E$4,"")</f>
        <v/>
      </c>
      <c r="AI7" s="518" t="str">
        <f>IF(AND(_AC2="A-350",'2023'!$M$4="FO",'2023'!$M$2=AI5),'2023DATA2'!$F$4,"")</f>
        <v/>
      </c>
      <c r="AJ7" s="518" t="str">
        <f>IF(AND(_AC2="A-350",'2023'!$M$4="FO",'2023'!$M$2=AJ5),'2023DATA2'!$G$4,"")</f>
        <v/>
      </c>
      <c r="AK7" s="518" t="str">
        <f>IF(AND(_AC2="A-350",'2023'!$M$4="FO",'2023'!$M$2=AK5),'2023DATA2'!$H$4,"")</f>
        <v/>
      </c>
      <c r="AL7" s="518" t="str">
        <f>IF(AND(_AC2="A-350",'2023'!$M$4="FO",'2023'!$M$2=AL5),'2023DATA2'!$I$4,"")</f>
        <v/>
      </c>
      <c r="AM7" s="518" t="str">
        <f>IF(AND(_AC2="A-350",'2023'!$M$4="FO",'2023'!$M$2=AM5),'2023DATA2'!$J$4,"")</f>
        <v/>
      </c>
      <c r="AN7" s="518" t="str">
        <f>IF(AND(_AC2="A-350",'2023'!$M$4="FO",'2023'!$M$2=AN5),'2023DATA2'!$K$4,"")</f>
        <v/>
      </c>
      <c r="AO7" s="518" t="str">
        <f>IF(AND(_AC2="A-350",'2023'!$M$4="FO",'2023'!$M$2=AO5),'2023DATA2'!$L$4,"")</f>
        <v/>
      </c>
      <c r="AP7" s="518" t="str">
        <f>IF(AND(_AC2="A-350",'2023'!$M$4="FO",'2023'!$M$2=AP5),'2023DATA2'!$M$4,"")</f>
        <v/>
      </c>
      <c r="AQ7" s="520" t="str">
        <f>IF(AND(_AC2="A-350",'2023'!$M$4="FO",'2023'!$M$2=AQ5),'2023DATA2'!$N$4,"")</f>
        <v/>
      </c>
      <c r="AR7" s="940"/>
      <c r="AS7" s="13" t="s">
        <v>62</v>
      </c>
      <c r="AT7" s="518" t="str">
        <f>IF(AND(_AC3="A-350",'2023'!$M$4="FO",'2023'!$M$2=AT5),'2023DATA2'!$C$4,"")</f>
        <v/>
      </c>
      <c r="AU7" s="518" t="str">
        <f>IF(AND(_AC3="A-350",'2023'!$M$4="FO",'2023'!$M$2=AU5),'2023DATA2'!$D$4,"")</f>
        <v/>
      </c>
      <c r="AV7" s="518" t="str">
        <f>IF(AND(_AC3="A-350",'2023'!$M$4="FO",'2023'!$M$2=AV5),'2023DATA2'!$E$4,"")</f>
        <v/>
      </c>
      <c r="AW7" s="518" t="str">
        <f>IF(AND(_AC3="A-350",'2023'!$M$4="FO",'2023'!$M$2=AW5),'2023DATA2'!$F$4,"")</f>
        <v/>
      </c>
      <c r="AX7" s="518" t="str">
        <f>IF(AND(_AC3="A-350",'2023'!$M$4="FO",'2023'!$M$2=AX5),'2023DATA2'!$G$4,"")</f>
        <v/>
      </c>
      <c r="AY7" s="518" t="str">
        <f>IF(AND(_AC3="A-350",'2023'!$M$4="FO",'2023'!$M$2=AY5),'2023DATA2'!$H$4,"")</f>
        <v/>
      </c>
      <c r="AZ7" s="518" t="str">
        <f>IF(AND(_AC3="A-350",'2023'!$M$4="FO",'2023'!$M$2=AZ5),'2023DATA2'!$I$4,"")</f>
        <v/>
      </c>
      <c r="BA7" s="518" t="str">
        <f>IF(AND(_AC3="A-350",'2023'!$M$4="FO",'2023'!$M$2=BA5),'2023DATA2'!$J$4,"")</f>
        <v/>
      </c>
      <c r="BB7" s="518" t="str">
        <f>IF(AND(_AC3="A-350",'2023'!$M$4="FO",'2023'!$M$2=BB5),'2023DATA2'!$K$4,"")</f>
        <v/>
      </c>
      <c r="BC7" s="518" t="str">
        <f>IF(AND(_AC3="A-350",'2023'!$M$4="FO",'2023'!$M$2=BC5),'2023DATA2'!$L$4,"")</f>
        <v/>
      </c>
      <c r="BD7" s="518" t="str">
        <f>IF(AND(_AC3="A-350",'2023'!$M$4="FO",'2023'!$M$2=BD5),'2023DATA2'!$M$4,"")</f>
        <v/>
      </c>
      <c r="BE7" s="520" t="str">
        <f>IF(AND(_AC3="A-350",'2023'!$M$4="FO",'2023'!$M$2=BE5),'2023DATA2'!$N$4,"")</f>
        <v/>
      </c>
      <c r="BF7" s="940"/>
      <c r="BG7" s="13" t="s">
        <v>62</v>
      </c>
      <c r="BH7" s="518" t="str">
        <f>IF(AND(_AC4="A-350",'2023'!$M$4="FO",'2023'!$M$2=BH5),'2023DATA2'!$C$4,"")</f>
        <v/>
      </c>
      <c r="BI7" s="518" t="str">
        <f>IF(AND(_AC4="A-350",'2023'!$M$4="FO",'2023'!$M$2=BI5),'2023DATA2'!$D$4,"")</f>
        <v/>
      </c>
      <c r="BJ7" s="518" t="str">
        <f>IF(AND(_AC4="A-350",'2023'!$M$4="FO",'2023'!$M$2=BJ5),'2023DATA2'!$E$4,"")</f>
        <v/>
      </c>
      <c r="BK7" s="518" t="str">
        <f>IF(AND(_AC4="A-350",'2023'!$M$4="FO",'2023'!$M$2=BK5),'2023DATA2'!$F$4,"")</f>
        <v/>
      </c>
      <c r="BL7" s="518" t="str">
        <f>IF(AND(_AC4="A-350",'2023'!$M$4="FO",'2023'!$M$2=BL5),'2023DATA2'!$G$4,"")</f>
        <v/>
      </c>
      <c r="BM7" s="518" t="str">
        <f>IF(AND(_AC4="A-350",'2023'!$M$4="FO",'2023'!$M$2=BM5),'2023DATA2'!$H$4,"")</f>
        <v/>
      </c>
      <c r="BN7" s="518" t="str">
        <f>IF(AND(_AC4="A-350",'2023'!$M$4="FO",'2023'!$M$2=BN5),'2023DATA2'!$I$4,"")</f>
        <v/>
      </c>
      <c r="BO7" s="518" t="str">
        <f>IF(AND(_AC4="A-350",'2023'!$M$4="FO",'2023'!$M$2=BO5),'2023DATA2'!$J$4,"")</f>
        <v/>
      </c>
      <c r="BP7" s="518" t="str">
        <f>IF(AND(_AC4="A-350",'2023'!$M$4="FO",'2023'!$M$2=BP5),'2023DATA2'!$K$4,"")</f>
        <v/>
      </c>
      <c r="BQ7" s="518" t="str">
        <f>IF(AND(_AC4="A-350",'2023'!$M$4="FO",'2023'!$M$2=BQ5),'2023DATA2'!$L$4,"")</f>
        <v/>
      </c>
      <c r="BR7" s="518" t="str">
        <f>IF(AND(_AC4="A-350",'2023'!$M$4="FO",'2023'!$M$2=BR5),'2023DATA2'!$M$4,"")</f>
        <v/>
      </c>
      <c r="BS7" s="520" t="str">
        <f>IF(AND(_AC4="A-350",'2023'!$M$4="FO",'2023'!$M$2=BS5),'2023DATA2'!$N$4,"")</f>
        <v/>
      </c>
      <c r="BT7" s="940"/>
      <c r="BU7" s="13" t="s">
        <v>62</v>
      </c>
      <c r="BV7" s="518" t="str">
        <f>IF(AND(_AC5="A-350",'2023'!$M$4="FO",'2023'!$M$2=BV5),'2023DATA2'!$C$4,"")</f>
        <v/>
      </c>
      <c r="BW7" s="518" t="str">
        <f>IF(AND(_AC5="A-350",'2023'!$M$4="FO",'2023'!$M$2=BW5),'2023DATA2'!$D$4,"")</f>
        <v/>
      </c>
      <c r="BX7" s="518" t="str">
        <f>IF(AND(_AC5="A-350",'2023'!$M$4="FO",'2023'!$M$2=BX5),'2023DATA2'!$E$4,"")</f>
        <v/>
      </c>
      <c r="BY7" s="518" t="str">
        <f>IF(AND(_AC5="A-350",'2023'!$M$4="FO",'2023'!$M$2=BY5),'2023DATA2'!$F$4,"")</f>
        <v/>
      </c>
      <c r="BZ7" s="518" t="str">
        <f>IF(AND(_AC5="A-350",'2023'!$M$4="FO",'2023'!$M$2=BZ5),'2023DATA2'!$G$4,"")</f>
        <v/>
      </c>
      <c r="CA7" s="518" t="str">
        <f>IF(AND(_AC5="A-350",'2023'!$M$4="FO",'2023'!$M$2=CA5),'2023DATA2'!$H$4,"")</f>
        <v/>
      </c>
      <c r="CB7" s="518" t="str">
        <f>IF(AND(_AC5="A-350",'2023'!$M$4="FO",'2023'!$M$2=CB5),'2023DATA2'!$I$4,"")</f>
        <v/>
      </c>
      <c r="CC7" s="518" t="str">
        <f>IF(AND(_AC5="A-350",'2023'!$M$4="FO",'2023'!$M$2=CC5),'2023DATA2'!$J$4,"")</f>
        <v/>
      </c>
      <c r="CD7" s="518" t="str">
        <f>IF(AND(_AC5="A-350",'2023'!$M$4="FO",'2023'!$M$2=CD5),'2023DATA2'!$K$4,"")</f>
        <v/>
      </c>
      <c r="CE7" s="518" t="str">
        <f>IF(AND(_AC5="A-350",'2023'!$M$4="FO",'2023'!$M$2=CE5),'2023DATA2'!$L$4,"")</f>
        <v/>
      </c>
      <c r="CF7" s="518" t="str">
        <f>IF(AND(_AC5="A-350",'2023'!$M$4="FO",'2023'!$M$2=CF5),'2023DATA2'!$M$4,"")</f>
        <v/>
      </c>
      <c r="CG7" s="520" t="str">
        <f>IF(AND(_AC5="A-350",'2023'!$M$4="FO",'2023'!$M$2=CG5),'2023DATA2'!$N$4,"")</f>
        <v/>
      </c>
      <c r="CH7" s="940"/>
      <c r="CI7" s="13" t="s">
        <v>62</v>
      </c>
      <c r="CJ7" s="518" t="str">
        <f>IF(AND(_AC6="A-350",'2023'!$M$4="FO",'2023'!$M$2=CJ5),'2023DATA2'!$C$4,"")</f>
        <v/>
      </c>
      <c r="CK7" s="518" t="str">
        <f>IF(AND(_AC6="A-350",'2023'!$M$4="FO",'2023'!$M$2=CK5),'2023DATA2'!$D$4,"")</f>
        <v/>
      </c>
      <c r="CL7" s="518" t="str">
        <f>IF(AND(_AC6="A-350",'2023'!$M$4="FO",'2023'!$M$2=CL5),'2023DATA2'!$E$4,"")</f>
        <v/>
      </c>
      <c r="CM7" s="518" t="str">
        <f>IF(AND(_AC6="A-350",'2023'!$M$4="FO",'2023'!$M$2=CM5),'2023DATA2'!$F$4,"")</f>
        <v/>
      </c>
      <c r="CN7" s="518" t="str">
        <f>IF(AND(_AC6="A-350",'2023'!$M$4="FO",'2023'!$M$2=CN5),'2023DATA2'!$G$4,"")</f>
        <v/>
      </c>
      <c r="CO7" s="518" t="str">
        <f>IF(AND(_AC6="A-350",'2023'!$M$4="FO",'2023'!$M$2=CO5),'2023DATA2'!$H$4,"")</f>
        <v/>
      </c>
      <c r="CP7" s="518" t="str">
        <f>IF(AND(_AC6="A-350",'2023'!$M$4="FO",'2023'!$M$2=CP5),'2023DATA2'!$I$4,"")</f>
        <v/>
      </c>
      <c r="CQ7" s="518" t="str">
        <f>IF(AND(_AC6="A-350",'2023'!$M$4="FO",'2023'!$M$2=CQ5),'2023DATA2'!$J$4,"")</f>
        <v/>
      </c>
      <c r="CR7" s="518" t="str">
        <f>IF(AND(_AC6="A-350",'2023'!$M$4="FO",'2023'!$M$2=CR5),'2023DATA2'!$K$4,"")</f>
        <v/>
      </c>
      <c r="CS7" s="518" t="str">
        <f>IF(AND(_AC6="A-350",'2023'!$M$4="FO",'2023'!$M$2=CS5),'2023DATA2'!$L$4,"")</f>
        <v/>
      </c>
      <c r="CT7" s="518" t="str">
        <f>IF(AND(_AC6="A-350",'2023'!$M$4="FO",'2023'!$M$2=CT5),'2023DATA2'!$M$4,"")</f>
        <v/>
      </c>
      <c r="CU7" s="520" t="str">
        <f>IF(AND(_AC6="A-350",'2023'!$M$4="FO",'2023'!$M$2=CU5),'2023DATA2'!$N$4,"")</f>
        <v/>
      </c>
    </row>
    <row r="8" spans="1:99" x14ac:dyDescent="0.25">
      <c r="A8" s="946"/>
      <c r="B8" s="78" t="s">
        <v>62</v>
      </c>
      <c r="C8" s="316">
        <v>290.95999999999998</v>
      </c>
      <c r="D8" s="317">
        <v>288.31</v>
      </c>
      <c r="E8" s="317">
        <v>285.75</v>
      </c>
      <c r="F8" s="318">
        <v>281.92</v>
      </c>
      <c r="G8" s="319">
        <v>278.88</v>
      </c>
      <c r="H8" s="320">
        <v>272.63</v>
      </c>
      <c r="I8" s="321">
        <v>265.25</v>
      </c>
      <c r="J8" s="322">
        <v>258.69</v>
      </c>
      <c r="K8" s="323">
        <v>252.66</v>
      </c>
      <c r="L8" s="317">
        <v>246.68</v>
      </c>
      <c r="M8" s="317">
        <v>210.81</v>
      </c>
      <c r="N8" s="324">
        <v>110.52</v>
      </c>
      <c r="P8" s="940" t="s">
        <v>65</v>
      </c>
      <c r="Q8" s="13" t="s">
        <v>61</v>
      </c>
      <c r="R8" s="518" t="str">
        <f>IF(AND(_AC1="A-330-900",'2023'!$M$4="CA",'2023'!$M$2=R5),'2023DATA2'!$C$5,"")</f>
        <v/>
      </c>
      <c r="S8" s="518" t="str">
        <f>IF(AND(_AC1="A-330-900",'2023'!$M$4="CA",'2023'!$M$2=S5),'2023DATA2'!$D$5,"")</f>
        <v/>
      </c>
      <c r="T8" s="518" t="str">
        <f>IF(AND(_AC1="A-330-900",'2023'!$M$4="CA",'2023'!$M$2=T5),'2023DATA2'!$E$5,"")</f>
        <v/>
      </c>
      <c r="U8" s="518" t="str">
        <f>IF(AND(_AC1="A-330-900",'2023'!$M$4="CA",'2023'!$M$2=U5),'2023DATA2'!$F$5,"")</f>
        <v/>
      </c>
      <c r="V8" s="518" t="str">
        <f>IF(AND(_AC1="A-330-900",'2023'!$M$4="CA",'2023'!$M$2=V5),'2023DATA2'!$G$5,"")</f>
        <v/>
      </c>
      <c r="W8" s="518" t="str">
        <f>IF(AND(_AC1="A-330-900",'2023'!$M$4="CA",'2023'!$M$2=W5),'2023DATA2'!$H$5,"")</f>
        <v/>
      </c>
      <c r="X8" s="518" t="str">
        <f>IF(AND(_AC1="A-330-900",'2023'!$M$4="CA",'2023'!$M$2=X5),'2023DATA2'!$I$5,"")</f>
        <v/>
      </c>
      <c r="Y8" s="518" t="str">
        <f>IF(AND(_AC1="A-330-900",'2023'!$M$4="CA",'2023'!$M$2=Y5),'2023DATA2'!$J$5,"")</f>
        <v/>
      </c>
      <c r="Z8" s="518" t="str">
        <f>IF(AND(_AC1="A-330-900",'2023'!$M$4="CA",'2023'!$M$2=Z5),'2023DATA2'!$K$5,"")</f>
        <v/>
      </c>
      <c r="AA8" s="518" t="str">
        <f>IF(AND(_AC1="A-330-900",'2023'!$M$4="CA",'2023'!$M$2=AA5),'2023DATA2'!$L$5,"")</f>
        <v/>
      </c>
      <c r="AB8" s="518" t="str">
        <f>IF(AND(_AC1="A-330-900",'2023'!$M$4="CA",'2023'!$M$2=AB5),'2023DATA2'!$M$5,"")</f>
        <v/>
      </c>
      <c r="AC8" s="520" t="str">
        <f>IF(AND(_AC1="A-330-900",'2023'!$M$4="CA",'2023'!$M$2=AC5),'2023DATA2'!$N$5,"")</f>
        <v/>
      </c>
      <c r="AD8" s="940" t="s">
        <v>65</v>
      </c>
      <c r="AE8" s="13" t="s">
        <v>61</v>
      </c>
      <c r="AF8" s="518" t="str">
        <f>IF(AND(_AC2="A-330-900",'2023'!$M$4="CA",'2023'!$M$2=AF5),'2023DATA2'!$C$5,"")</f>
        <v/>
      </c>
      <c r="AG8" s="518" t="str">
        <f>IF(AND(_AC2="A-330-900",'2023'!$M$4="CA",'2023'!$M$2=AG5),'2023DATA2'!$D$5,"")</f>
        <v/>
      </c>
      <c r="AH8" s="518" t="str">
        <f>IF(AND(_AC2="A-330-900",'2023'!$M$4="CA",'2023'!$M$2=AH5),'2023DATA2'!$E$5,"")</f>
        <v/>
      </c>
      <c r="AI8" s="518" t="str">
        <f>IF(AND(_AC2="A-330-900",'2023'!$M$4="CA",'2023'!$M$2=AI5),'2023DATA2'!$F$5,"")</f>
        <v/>
      </c>
      <c r="AJ8" s="518" t="str">
        <f>IF(AND(_AC2="A-330-900",'2023'!$M$4="CA",'2023'!$M$2=AJ5),'2023DATA2'!$G$5,"")</f>
        <v/>
      </c>
      <c r="AK8" s="518" t="str">
        <f>IF(AND(_AC2="A-330-900",'2023'!$M$4="CA",'2023'!$M$2=AK5),'2023DATA2'!$H$5,"")</f>
        <v/>
      </c>
      <c r="AL8" s="518" t="str">
        <f>IF(AND(_AC2="A-330-900",'2023'!$M$4="CA",'2023'!$M$2=AL5),'2023DATA2'!$I$5,"")</f>
        <v/>
      </c>
      <c r="AM8" s="518" t="str">
        <f>IF(AND(_AC2="A-330-900",'2023'!$M$4="CA",'2023'!$M$2=AM5),'2023DATA2'!$J$5,"")</f>
        <v/>
      </c>
      <c r="AN8" s="518" t="str">
        <f>IF(AND(_AC2="A-330-900",'2023'!$M$4="CA",'2023'!$M$2=AN5),'2023DATA2'!$K$5,"")</f>
        <v/>
      </c>
      <c r="AO8" s="518" t="str">
        <f>IF(AND(_AC2="A-330-900",'2023'!$M$4="CA",'2023'!$M$2=AO5),'2023DATA2'!$L$5,"")</f>
        <v/>
      </c>
      <c r="AP8" s="518" t="str">
        <f>IF(AND(_AC2="A-330-900",'2023'!$M$4="CA",'2023'!$M$2=AP5),'2023DATA2'!$M$5,"")</f>
        <v/>
      </c>
      <c r="AQ8" s="520" t="str">
        <f>IF(AND(_AC2="A-330-900",'2023'!$M$4="CA",'2023'!$M$2=AQ5),'2023DATA2'!$N$5,"")</f>
        <v/>
      </c>
      <c r="AR8" s="940" t="s">
        <v>65</v>
      </c>
      <c r="AS8" s="13" t="s">
        <v>61</v>
      </c>
      <c r="AT8" s="518" t="str">
        <f>IF(AND(_AC3="A-330-900",'2023'!$M$4="CA",'2023'!$M$2=AT5),'2023DATA2'!$C$5,"")</f>
        <v/>
      </c>
      <c r="AU8" s="518" t="str">
        <f>IF(AND(_AC3="A-330-900",'2023'!$M$4="CA",'2023'!$M$2=AU5),'2023DATA2'!$D$5,"")</f>
        <v/>
      </c>
      <c r="AV8" s="518" t="str">
        <f>IF(AND(_AC3="A-330-900",'2023'!$M$4="CA",'2023'!$M$2=AV5),'2023DATA2'!$E$5,"")</f>
        <v/>
      </c>
      <c r="AW8" s="518" t="str">
        <f>IF(AND(_AC3="A-330-900",'2023'!$M$4="CA",'2023'!$M$2=AW5),'2023DATA2'!$F$5,"")</f>
        <v/>
      </c>
      <c r="AX8" s="518" t="str">
        <f>IF(AND(_AC3="A-330-900",'2023'!$M$4="CA",'2023'!$M$2=AX5),'2023DATA2'!$G$5,"")</f>
        <v/>
      </c>
      <c r="AY8" s="518" t="str">
        <f>IF(AND(_AC3="A-330-900",'2023'!$M$4="CA",'2023'!$M$2=AY5),'2023DATA2'!$H$5,"")</f>
        <v/>
      </c>
      <c r="AZ8" s="518" t="str">
        <f>IF(AND(_AC3="A-330-900",'2023'!$M$4="CA",'2023'!$M$2=AZ5),'2023DATA2'!$I$5,"")</f>
        <v/>
      </c>
      <c r="BA8" s="518" t="str">
        <f>IF(AND(_AC3="A-330-900",'2023'!$M$4="CA",'2023'!$M$2=BA5),'2023DATA2'!$J$5,"")</f>
        <v/>
      </c>
      <c r="BB8" s="518" t="str">
        <f>IF(AND(_AC3="A-330-900",'2023'!$M$4="CA",'2023'!$M$2=BB5),'2023DATA2'!$K$5,"")</f>
        <v/>
      </c>
      <c r="BC8" s="518" t="str">
        <f>IF(AND(_AC3="A-330-900",'2023'!$M$4="CA",'2023'!$M$2=BC5),'2023DATA2'!$L$5,"")</f>
        <v/>
      </c>
      <c r="BD8" s="518" t="str">
        <f>IF(AND(_AC3="A-330-900",'2023'!$M$4="CA",'2023'!$M$2=BD5),'2023DATA2'!$M$5,"")</f>
        <v/>
      </c>
      <c r="BE8" s="520" t="str">
        <f>IF(AND(_AC3="A-330-900",'2023'!$M$4="CA",'2023'!$M$2=BE5),'2023DATA2'!$N$5,"")</f>
        <v/>
      </c>
      <c r="BF8" s="940" t="s">
        <v>65</v>
      </c>
      <c r="BG8" s="13" t="s">
        <v>61</v>
      </c>
      <c r="BH8" s="518" t="str">
        <f>IF(AND(_AC4="A-330-900",'2023'!$M$4="CA",'2023'!$M$2=BH5),'2023DATA2'!$C$5,"")</f>
        <v/>
      </c>
      <c r="BI8" s="518" t="str">
        <f>IF(AND(_AC4="A-330-900",'2023'!$M$4="CA",'2023'!$M$2=BI5),'2023DATA2'!$D$5,"")</f>
        <v/>
      </c>
      <c r="BJ8" s="518" t="str">
        <f>IF(AND(_AC4="A-330-900",'2023'!$M$4="CA",'2023'!$M$2=BJ5),'2023DATA2'!$E$5,"")</f>
        <v/>
      </c>
      <c r="BK8" s="518" t="str">
        <f>IF(AND(_AC4="A-330-900",'2023'!$M$4="CA",'2023'!$M$2=BK5),'2023DATA2'!$F$5,"")</f>
        <v/>
      </c>
      <c r="BL8" s="518" t="str">
        <f>IF(AND(_AC4="A-330-900",'2023'!$M$4="CA",'2023'!$M$2=BL5),'2023DATA2'!$G$5,"")</f>
        <v/>
      </c>
      <c r="BM8" s="518" t="str">
        <f>IF(AND(_AC4="A-330-900",'2023'!$M$4="CA",'2023'!$M$2=BM5),'2023DATA2'!$H$5,"")</f>
        <v/>
      </c>
      <c r="BN8" s="518" t="str">
        <f>IF(AND(_AC4="A-330-900",'2023'!$M$4="CA",'2023'!$M$2=BN5),'2023DATA2'!$I$5,"")</f>
        <v/>
      </c>
      <c r="BO8" s="518" t="str">
        <f>IF(AND(_AC4="A-330-900",'2023'!$M$4="CA",'2023'!$M$2=BO5),'2023DATA2'!$J$5,"")</f>
        <v/>
      </c>
      <c r="BP8" s="518" t="str">
        <f>IF(AND(_AC4="A-330-900",'2023'!$M$4="CA",'2023'!$M$2=BP5),'2023DATA2'!$K$5,"")</f>
        <v/>
      </c>
      <c r="BQ8" s="518" t="str">
        <f>IF(AND(_AC4="A-330-900",'2023'!$M$4="CA",'2023'!$M$2=BQ5),'2023DATA2'!$L$5,"")</f>
        <v/>
      </c>
      <c r="BR8" s="518" t="str">
        <f>IF(AND(_AC4="A-330-900",'2023'!$M$4="CA",'2023'!$M$2=BR5),'2023DATA2'!$M$5,"")</f>
        <v/>
      </c>
      <c r="BS8" s="520" t="str">
        <f>IF(AND(_AC4="A-330-900",'2023'!$M$4="CA",'2023'!$M$2=BS5),'2023DATA2'!$N$5,"")</f>
        <v/>
      </c>
      <c r="BT8" s="940" t="s">
        <v>65</v>
      </c>
      <c r="BU8" s="13" t="s">
        <v>61</v>
      </c>
      <c r="BV8" s="518" t="str">
        <f>IF(AND(_AC5="A-330-900",'2023'!$M$4="CA",'2023'!$M$2=BV5),'2023DATA2'!$C$5,"")</f>
        <v/>
      </c>
      <c r="BW8" s="518" t="str">
        <f>IF(AND(_AC5="A-330-900",'2023'!$M$4="CA",'2023'!$M$2=BW5),'2023DATA2'!$D$5,"")</f>
        <v/>
      </c>
      <c r="BX8" s="518" t="str">
        <f>IF(AND(_AC5="A-330-900",'2023'!$M$4="CA",'2023'!$M$2=BX5),'2023DATA2'!$E$5,"")</f>
        <v/>
      </c>
      <c r="BY8" s="518" t="str">
        <f>IF(AND(_AC5="A-330-900",'2023'!$M$4="CA",'2023'!$M$2=BY5),'2023DATA2'!$F$5,"")</f>
        <v/>
      </c>
      <c r="BZ8" s="518" t="str">
        <f>IF(AND(_AC5="A-330-900",'2023'!$M$4="CA",'2023'!$M$2=BZ5),'2023DATA2'!$G$5,"")</f>
        <v/>
      </c>
      <c r="CA8" s="518" t="str">
        <f>IF(AND(_AC5="A-330-900",'2023'!$M$4="CA",'2023'!$M$2=CA5),'2023DATA2'!$H$5,"")</f>
        <v/>
      </c>
      <c r="CB8" s="518" t="str">
        <f>IF(AND(_AC5="A-330-900",'2023'!$M$4="CA",'2023'!$M$2=CB5),'2023DATA2'!$I$5,"")</f>
        <v/>
      </c>
      <c r="CC8" s="518" t="str">
        <f>IF(AND(_AC5="A-330-900",'2023'!$M$4="CA",'2023'!$M$2=CC5),'2023DATA2'!$J$5,"")</f>
        <v/>
      </c>
      <c r="CD8" s="518" t="str">
        <f>IF(AND(_AC5="A-330-900",'2023'!$M$4="CA",'2023'!$M$2=CD5),'2023DATA2'!$K$5,"")</f>
        <v/>
      </c>
      <c r="CE8" s="518" t="str">
        <f>IF(AND(_AC5="A-330-900",'2023'!$M$4="CA",'2023'!$M$2=CE5),'2023DATA2'!$L$5,"")</f>
        <v/>
      </c>
      <c r="CF8" s="518" t="str">
        <f>IF(AND(_AC5="A-330-900",'2023'!$M$4="CA",'2023'!$M$2=CF5),'2023DATA2'!$M$5,"")</f>
        <v/>
      </c>
      <c r="CG8" s="520" t="str">
        <f>IF(AND(_AC5="A-330-900",'2023'!$M$4="CA",'2023'!$M$2=CG5),'2023DATA2'!$N$5,"")</f>
        <v/>
      </c>
      <c r="CH8" s="940" t="s">
        <v>65</v>
      </c>
      <c r="CI8" s="13" t="s">
        <v>61</v>
      </c>
      <c r="CJ8" s="518" t="str">
        <f>IF(AND(_AC6="A-330-900",'2023'!$M$4="CA",'2023'!$M$2=CJ5),'2023DATA2'!$C$5,"")</f>
        <v/>
      </c>
      <c r="CK8" s="518" t="str">
        <f>IF(AND(_AC6="A-330-900",'2023'!$M$4="CA",'2023'!$M$2=CK5),'2023DATA2'!$D$5,"")</f>
        <v/>
      </c>
      <c r="CL8" s="518" t="str">
        <f>IF(AND(_AC6="A-330-900",'2023'!$M$4="CA",'2023'!$M$2=CL5),'2023DATA2'!$E$5,"")</f>
        <v/>
      </c>
      <c r="CM8" s="518" t="str">
        <f>IF(AND(_AC6="A-330-900",'2023'!$M$4="CA",'2023'!$M$2=CM5),'2023DATA2'!$F$5,"")</f>
        <v/>
      </c>
      <c r="CN8" s="518" t="str">
        <f>IF(AND(_AC6="A-330-900",'2023'!$M$4="CA",'2023'!$M$2=CN5),'2023DATA2'!$G$5,"")</f>
        <v/>
      </c>
      <c r="CO8" s="518" t="str">
        <f>IF(AND(_AC6="A-330-900",'2023'!$M$4="CA",'2023'!$M$2=CO5),'2023DATA2'!$H$5,"")</f>
        <v/>
      </c>
      <c r="CP8" s="518" t="str">
        <f>IF(AND(_AC6="A-330-900",'2023'!$M$4="CA",'2023'!$M$2=CP5),'2023DATA2'!$I$5,"")</f>
        <v/>
      </c>
      <c r="CQ8" s="518" t="str">
        <f>IF(AND(_AC6="A-330-900",'2023'!$M$4="CA",'2023'!$M$2=CQ5),'2023DATA2'!$J$5,"")</f>
        <v/>
      </c>
      <c r="CR8" s="518" t="str">
        <f>IF(AND(_AC6="A-330-900",'2023'!$M$4="CA",'2023'!$M$2=CR5),'2023DATA2'!$K$5,"")</f>
        <v/>
      </c>
      <c r="CS8" s="518" t="str">
        <f>IF(AND(_AC6="A-330-900",'2023'!$M$4="CA",'2023'!$M$2=CS5),'2023DATA2'!$L$5,"")</f>
        <v/>
      </c>
      <c r="CT8" s="518" t="str">
        <f>IF(AND(_AC6="A-330-900",'2023'!$M$4="CA",'2023'!$M$2=CT5),'2023DATA2'!$M$5,"")</f>
        <v/>
      </c>
      <c r="CU8" s="520" t="str">
        <f>IF(AND(_AC6="A-330-900",'2023'!$M$4="CA",'2023'!$M$2=CU5),'2023DATA2'!$N$5,"")</f>
        <v/>
      </c>
    </row>
    <row r="9" spans="1:99" x14ac:dyDescent="0.25">
      <c r="A9" s="946" t="s">
        <v>66</v>
      </c>
      <c r="B9" s="78" t="s">
        <v>61</v>
      </c>
      <c r="C9" s="118">
        <v>425.94</v>
      </c>
      <c r="D9" s="119">
        <v>422.74</v>
      </c>
      <c r="E9" s="120">
        <v>419.55</v>
      </c>
      <c r="F9" s="121">
        <v>416.37</v>
      </c>
      <c r="G9" s="122">
        <v>413.17</v>
      </c>
      <c r="H9" s="123">
        <v>410.01</v>
      </c>
      <c r="I9" s="122">
        <v>406.8</v>
      </c>
      <c r="J9" s="123">
        <v>403.64</v>
      </c>
      <c r="K9" s="121">
        <v>400.42</v>
      </c>
      <c r="L9" s="122">
        <v>397.22</v>
      </c>
      <c r="M9" s="123">
        <v>394</v>
      </c>
      <c r="N9" s="124">
        <v>390.83</v>
      </c>
      <c r="P9" s="940"/>
      <c r="Q9" s="13" t="s">
        <v>62</v>
      </c>
      <c r="R9" s="518" t="str">
        <f>IF(AND(_AC1="A-330-900",'2023'!$M$4="FO",'2023'!$M$2=R5),'2023DATA2'!$C$6,"")</f>
        <v/>
      </c>
      <c r="S9" s="518" t="str">
        <f>IF(AND(_AC1="A-330-900",'2023'!$M$4="FO",'2023'!$M$2=S5),'2023DATA2'!$D$6,"")</f>
        <v/>
      </c>
      <c r="T9" s="518" t="str">
        <f>IF(AND(_AC1="A-330-900",'2023'!$M$4="FO",'2023'!$M$2=T5),'2023DATA2'!$E$6,"")</f>
        <v/>
      </c>
      <c r="U9" s="518" t="str">
        <f>IF(AND(_AC1="A-330-900",'2023'!$M$4="FO",'2023'!$M$2=U5),'2023DATA2'!$F$6,"")</f>
        <v/>
      </c>
      <c r="V9" s="518" t="str">
        <f>IF(AND(_AC1="A-330-900",'2023'!$M$4="FO",'2023'!$M$2=V5),'2023DATA2'!$G$6,"")</f>
        <v/>
      </c>
      <c r="W9" s="518" t="str">
        <f>IF(AND(_AC1="A-330-900",'2023'!$M$4="FO",'2023'!$M$2=W5),'2023DATA2'!$H$6,"")</f>
        <v/>
      </c>
      <c r="X9" s="518" t="str">
        <f>IF(AND(_AC1="A-330-900",'2023'!$M$4="FO",'2023'!$M$2=X5),'2023DATA2'!$I$6,"")</f>
        <v/>
      </c>
      <c r="Y9" s="518" t="str">
        <f>IF(AND(_AC1="A-330-900",'2023'!$M$4="FO",'2023'!$M$2=Y5),'2023DATA2'!$J$6,"")</f>
        <v/>
      </c>
      <c r="Z9" s="518" t="str">
        <f>IF(AND(_AC1="A-330-900",'2023'!$M$4="FO",'2023'!$M$2=Z5),'2023DATA2'!$K$6,"")</f>
        <v/>
      </c>
      <c r="AA9" s="518" t="str">
        <f>IF(AND(_AC1="A-330-900",'2023'!$M$4="FO",'2023'!$M$2=AA5),'2023DATA2'!$L$6,"")</f>
        <v/>
      </c>
      <c r="AB9" s="518" t="str">
        <f>IF(AND(_AC1="A-330-900",'2023'!$M$4="FO",'2023'!$M$2=AB5),'2023DATA2'!$M$6,"")</f>
        <v/>
      </c>
      <c r="AC9" s="520" t="str">
        <f>IF(AND(_AC1="A-330-900",'2023'!$M$4="FO",'2023'!$M$2=AC5),'2023DATA2'!$N$6,"")</f>
        <v/>
      </c>
      <c r="AD9" s="940"/>
      <c r="AE9" s="13" t="s">
        <v>62</v>
      </c>
      <c r="AF9" s="518" t="str">
        <f>IF(AND(_AC2="A-330-900",'2023'!$M$4="FO",'2023'!$M$2=AF5),'2023DATA2'!$C$6,"")</f>
        <v/>
      </c>
      <c r="AG9" s="518" t="str">
        <f>IF(AND(_AC2="A-330-900",'2023'!$M$4="FO",'2023'!$M$2=AG5),'2023DATA2'!$D$6,"")</f>
        <v/>
      </c>
      <c r="AH9" s="518" t="str">
        <f>IF(AND(_AC2="A-330-900",'2023'!$M$4="FO",'2023'!$M$2=AH5),'2023DATA2'!$E$6,"")</f>
        <v/>
      </c>
      <c r="AI9" s="518" t="str">
        <f>IF(AND(_AC2="A-330-900",'2023'!$M$4="FO",'2023'!$M$2=AI5),'2023DATA2'!$F$6,"")</f>
        <v/>
      </c>
      <c r="AJ9" s="518" t="str">
        <f>IF(AND(_AC2="A-330-900",'2023'!$M$4="FO",'2023'!$M$2=AJ5),'2023DATA2'!$G$6,"")</f>
        <v/>
      </c>
      <c r="AK9" s="518" t="str">
        <f>IF(AND(_AC2="A-330-900",'2023'!$M$4="FO",'2023'!$M$2=AK5),'2023DATA2'!$H$6,"")</f>
        <v/>
      </c>
      <c r="AL9" s="518" t="str">
        <f>IF(AND(_AC2="A-330-900",'2023'!$M$4="FO",'2023'!$M$2=AL5),'2023DATA2'!$I$6,"")</f>
        <v/>
      </c>
      <c r="AM9" s="518" t="str">
        <f>IF(AND(_AC2="A-330-900",'2023'!$M$4="FO",'2023'!$M$2=AM5),'2023DATA2'!$J$6,"")</f>
        <v/>
      </c>
      <c r="AN9" s="518" t="str">
        <f>IF(AND(_AC2="A-330-900",'2023'!$M$4="FO",'2023'!$M$2=AN5),'2023DATA2'!$K$6,"")</f>
        <v/>
      </c>
      <c r="AO9" s="518" t="str">
        <f>IF(AND(_AC2="A-330-900",'2023'!$M$4="FO",'2023'!$M$2=AO5),'2023DATA2'!$L$6,"")</f>
        <v/>
      </c>
      <c r="AP9" s="518" t="str">
        <f>IF(AND(_AC2="A-330-900",'2023'!$M$4="FO",'2023'!$M$2=AP5),'2023DATA2'!$M$6,"")</f>
        <v/>
      </c>
      <c r="AQ9" s="520" t="str">
        <f>IF(AND(_AC2="A-330-900",'2023'!$M$4="FO",'2023'!$M$2=AQ5),'2023DATA2'!$N$6,"")</f>
        <v/>
      </c>
      <c r="AR9" s="940"/>
      <c r="AS9" s="13" t="s">
        <v>62</v>
      </c>
      <c r="AT9" s="518" t="str">
        <f>IF(AND(_AC3="A-330-900",'2023'!$M$4="FO",'2023'!$M$2=AT5),'2023DATA2'!$C$6,"")</f>
        <v/>
      </c>
      <c r="AU9" s="518" t="str">
        <f>IF(AND(_AC3="A-330-900",'2023'!$M$4="FO",'2023'!$M$2=AU5),'2023DATA2'!$D$6,"")</f>
        <v/>
      </c>
      <c r="AV9" s="518" t="str">
        <f>IF(AND(_AC3="A-330-900",'2023'!$M$4="FO",'2023'!$M$2=AV5),'2023DATA2'!$E$6,"")</f>
        <v/>
      </c>
      <c r="AW9" s="518" t="str">
        <f>IF(AND(_AC3="A-330-900",'2023'!$M$4="FO",'2023'!$M$2=AW5),'2023DATA2'!$F$6,"")</f>
        <v/>
      </c>
      <c r="AX9" s="518" t="str">
        <f>IF(AND(_AC3="A-330-900",'2023'!$M$4="FO",'2023'!$M$2=AX5),'2023DATA2'!$G$6,"")</f>
        <v/>
      </c>
      <c r="AY9" s="518" t="str">
        <f>IF(AND(_AC3="A-330-900",'2023'!$M$4="FO",'2023'!$M$2=AY5),'2023DATA2'!$H$6,"")</f>
        <v/>
      </c>
      <c r="AZ9" s="518" t="str">
        <f>IF(AND(_AC3="A-330-900",'2023'!$M$4="FO",'2023'!$M$2=AZ5),'2023DATA2'!$I$6,"")</f>
        <v/>
      </c>
      <c r="BA9" s="518" t="str">
        <f>IF(AND(_AC3="A-330-900",'2023'!$M$4="FO",'2023'!$M$2=BA5),'2023DATA2'!$J$6,"")</f>
        <v/>
      </c>
      <c r="BB9" s="518" t="str">
        <f>IF(AND(_AC3="A-330-900",'2023'!$M$4="FO",'2023'!$M$2=BB5),'2023DATA2'!$K$6,"")</f>
        <v/>
      </c>
      <c r="BC9" s="518" t="str">
        <f>IF(AND(_AC3="A-330-900",'2023'!$M$4="FO",'2023'!$M$2=BC5),'2023DATA2'!$L$6,"")</f>
        <v/>
      </c>
      <c r="BD9" s="518" t="str">
        <f>IF(AND(_AC3="A-330-900",'2023'!$M$4="FO",'2023'!$M$2=BD5),'2023DATA2'!$M$6,"")</f>
        <v/>
      </c>
      <c r="BE9" s="520" t="str">
        <f>IF(AND(_AC3="A-330-900",'2023'!$M$4="FO",'2023'!$M$2=BE5),'2023DATA2'!$N$6,"")</f>
        <v/>
      </c>
      <c r="BF9" s="940"/>
      <c r="BG9" s="13" t="s">
        <v>62</v>
      </c>
      <c r="BH9" s="518" t="str">
        <f>IF(AND(_AC4="A-330-900",'2023'!$M$4="FO",'2023'!$M$2=BH5),'2023DATA2'!$C$6,"")</f>
        <v/>
      </c>
      <c r="BI9" s="518" t="str">
        <f>IF(AND(_AC4="A-330-900",'2023'!$M$4="FO",'2023'!$M$2=BI5),'2023DATA2'!$D$6,"")</f>
        <v/>
      </c>
      <c r="BJ9" s="518" t="str">
        <f>IF(AND(_AC4="A-330-900",'2023'!$M$4="FO",'2023'!$M$2=BJ5),'2023DATA2'!$E$6,"")</f>
        <v/>
      </c>
      <c r="BK9" s="518" t="str">
        <f>IF(AND(_AC4="A-330-900",'2023'!$M$4="FO",'2023'!$M$2=BK5),'2023DATA2'!$F$6,"")</f>
        <v/>
      </c>
      <c r="BL9" s="518" t="str">
        <f>IF(AND(_AC4="A-330-900",'2023'!$M$4="FO",'2023'!$M$2=BL5),'2023DATA2'!$G$6,"")</f>
        <v/>
      </c>
      <c r="BM9" s="518" t="str">
        <f>IF(AND(_AC4="A-330-900",'2023'!$M$4="FO",'2023'!$M$2=BM5),'2023DATA2'!$H$6,"")</f>
        <v/>
      </c>
      <c r="BN9" s="518" t="str">
        <f>IF(AND(_AC4="A-330-900",'2023'!$M$4="FO",'2023'!$M$2=BN5),'2023DATA2'!$I$6,"")</f>
        <v/>
      </c>
      <c r="BO9" s="518" t="str">
        <f>IF(AND(_AC4="A-330-900",'2023'!$M$4="FO",'2023'!$M$2=BO5),'2023DATA2'!$J$6,"")</f>
        <v/>
      </c>
      <c r="BP9" s="518" t="str">
        <f>IF(AND(_AC4="A-330-900",'2023'!$M$4="FO",'2023'!$M$2=BP5),'2023DATA2'!$K$6,"")</f>
        <v/>
      </c>
      <c r="BQ9" s="518" t="str">
        <f>IF(AND(_AC4="A-330-900",'2023'!$M$4="FO",'2023'!$M$2=BQ5),'2023DATA2'!$L$6,"")</f>
        <v/>
      </c>
      <c r="BR9" s="518" t="str">
        <f>IF(AND(_AC4="A-330-900",'2023'!$M$4="FO",'2023'!$M$2=BR5),'2023DATA2'!$M$6,"")</f>
        <v/>
      </c>
      <c r="BS9" s="520" t="str">
        <f>IF(AND(_AC4="A-330-900",'2023'!$M$4="FO",'2023'!$M$2=BS5),'2023DATA2'!$N$6,"")</f>
        <v/>
      </c>
      <c r="BT9" s="940"/>
      <c r="BU9" s="13" t="s">
        <v>62</v>
      </c>
      <c r="BV9" s="518" t="str">
        <f>IF(AND(_AC5="A-330-900",'2023'!$M$4="FO",'2023'!$M$2=BV5),'2023DATA2'!$C$6,"")</f>
        <v/>
      </c>
      <c r="BW9" s="518" t="str">
        <f>IF(AND(_AC5="A-330-900",'2023'!$M$4="FO",'2023'!$M$2=BW5),'2023DATA2'!$D$6,"")</f>
        <v/>
      </c>
      <c r="BX9" s="518" t="str">
        <f>IF(AND(_AC5="A-330-900",'2023'!$M$4="FO",'2023'!$M$2=BX5),'2023DATA2'!$E$6,"")</f>
        <v/>
      </c>
      <c r="BY9" s="518" t="str">
        <f>IF(AND(_AC5="A-330-900",'2023'!$M$4="FO",'2023'!$M$2=BY5),'2023DATA2'!$F$6,"")</f>
        <v/>
      </c>
      <c r="BZ9" s="518" t="str">
        <f>IF(AND(_AC5="A-330-900",'2023'!$M$4="FO",'2023'!$M$2=BZ5),'2023DATA2'!$G$6,"")</f>
        <v/>
      </c>
      <c r="CA9" s="518" t="str">
        <f>IF(AND(_AC5="A-330-900",'2023'!$M$4="FO",'2023'!$M$2=CA5),'2023DATA2'!$H$6,"")</f>
        <v/>
      </c>
      <c r="CB9" s="518" t="str">
        <f>IF(AND(_AC5="A-330-900",'2023'!$M$4="FO",'2023'!$M$2=CB5),'2023DATA2'!$I$6,"")</f>
        <v/>
      </c>
      <c r="CC9" s="518" t="str">
        <f>IF(AND(_AC5="A-330-900",'2023'!$M$4="FO",'2023'!$M$2=CC5),'2023DATA2'!$J$6,"")</f>
        <v/>
      </c>
      <c r="CD9" s="518" t="str">
        <f>IF(AND(_AC5="A-330-900",'2023'!$M$4="FO",'2023'!$M$2=CD5),'2023DATA2'!$K$6,"")</f>
        <v/>
      </c>
      <c r="CE9" s="518" t="str">
        <f>IF(AND(_AC5="A-330-900",'2023'!$M$4="FO",'2023'!$M$2=CE5),'2023DATA2'!$L$6,"")</f>
        <v/>
      </c>
      <c r="CF9" s="518" t="str">
        <f>IF(AND(_AC5="A-330-900",'2023'!$M$4="FO",'2023'!$M$2=CF5),'2023DATA2'!$M$6,"")</f>
        <v/>
      </c>
      <c r="CG9" s="520" t="str">
        <f>IF(AND(_AC5="A-330-900",'2023'!$M$4="FO",'2023'!$M$2=CG5),'2023DATA2'!$N$6,"")</f>
        <v/>
      </c>
      <c r="CH9" s="940"/>
      <c r="CI9" s="13" t="s">
        <v>62</v>
      </c>
      <c r="CJ9" s="518" t="str">
        <f>IF(AND(_AC6="A-330-900",'2023'!$M$4="FO",'2023'!$M$2=CJ5),'2023DATA2'!$C$6,"")</f>
        <v/>
      </c>
      <c r="CK9" s="518" t="str">
        <f>IF(AND(_AC6="A-330-900",'2023'!$M$4="FO",'2023'!$M$2=CK5),'2023DATA2'!$D$6,"")</f>
        <v/>
      </c>
      <c r="CL9" s="518" t="str">
        <f>IF(AND(_AC6="A-330-900",'2023'!$M$4="FO",'2023'!$M$2=CL5),'2023DATA2'!$E$6,"")</f>
        <v/>
      </c>
      <c r="CM9" s="518" t="str">
        <f>IF(AND(_AC6="A-330-900",'2023'!$M$4="FO",'2023'!$M$2=CM5),'2023DATA2'!$F$6,"")</f>
        <v/>
      </c>
      <c r="CN9" s="518" t="str">
        <f>IF(AND(_AC6="A-330-900",'2023'!$M$4="FO",'2023'!$M$2=CN5),'2023DATA2'!$G$6,"")</f>
        <v/>
      </c>
      <c r="CO9" s="518" t="str">
        <f>IF(AND(_AC6="A-330-900",'2023'!$M$4="FO",'2023'!$M$2=CO5),'2023DATA2'!$H$6,"")</f>
        <v/>
      </c>
      <c r="CP9" s="518" t="str">
        <f>IF(AND(_AC6="A-330-900",'2023'!$M$4="FO",'2023'!$M$2=CP5),'2023DATA2'!$I$6,"")</f>
        <v/>
      </c>
      <c r="CQ9" s="518" t="str">
        <f>IF(AND(_AC6="A-330-900",'2023'!$M$4="FO",'2023'!$M$2=CQ5),'2023DATA2'!$J$6,"")</f>
        <v/>
      </c>
      <c r="CR9" s="518" t="str">
        <f>IF(AND(_AC6="A-330-900",'2023'!$M$4="FO",'2023'!$M$2=CR5),'2023DATA2'!$K$6,"")</f>
        <v/>
      </c>
      <c r="CS9" s="518" t="str">
        <f>IF(AND(_AC6="A-330-900",'2023'!$M$4="FO",'2023'!$M$2=CS5),'2023DATA2'!$L$6,"")</f>
        <v/>
      </c>
      <c r="CT9" s="518" t="str">
        <f>IF(AND(_AC6="A-330-900",'2023'!$M$4="FO",'2023'!$M$2=CT5),'2023DATA2'!$M$6,"")</f>
        <v/>
      </c>
      <c r="CU9" s="520" t="str">
        <f>IF(AND(_AC6="A-330-900",'2023'!$M$4="FO",'2023'!$M$2=CU5),'2023DATA2'!$N$6,"")</f>
        <v/>
      </c>
    </row>
    <row r="10" spans="1:99" x14ac:dyDescent="0.25">
      <c r="A10" s="946"/>
      <c r="B10" s="78" t="s">
        <v>62</v>
      </c>
      <c r="C10" s="316">
        <v>290.95999999999998</v>
      </c>
      <c r="D10" s="317">
        <v>288.31</v>
      </c>
      <c r="E10" s="317">
        <v>285.75</v>
      </c>
      <c r="F10" s="318">
        <v>281.92</v>
      </c>
      <c r="G10" s="319">
        <v>278.88</v>
      </c>
      <c r="H10" s="320">
        <v>272.63</v>
      </c>
      <c r="I10" s="321">
        <v>265.25</v>
      </c>
      <c r="J10" s="322">
        <v>258.69</v>
      </c>
      <c r="K10" s="323">
        <v>252.66</v>
      </c>
      <c r="L10" s="317">
        <v>246.68</v>
      </c>
      <c r="M10" s="317">
        <v>210.81</v>
      </c>
      <c r="N10" s="324">
        <v>110.52</v>
      </c>
      <c r="P10" s="940" t="s">
        <v>64</v>
      </c>
      <c r="Q10" s="13" t="s">
        <v>61</v>
      </c>
      <c r="R10" s="518" t="str">
        <f>IF(AND(_AC1="A-330-300",'2023'!$M$4="CA",'2023'!$M$2=R5),'2023DATA2'!$C$7,"")</f>
        <v/>
      </c>
      <c r="S10" s="518" t="str">
        <f>IF(AND(_AC1="A-330-300",'2023'!$M$4="CA",'2023'!$M$2=S5),'2023DATA2'!$D$7,"")</f>
        <v/>
      </c>
      <c r="T10" s="518" t="str">
        <f>IF(AND(_AC1="A-330-300",'2023'!$M$4="CA",'2023'!$M$2=T5),'2023DATA2'!$E$7,"")</f>
        <v/>
      </c>
      <c r="U10" s="518" t="str">
        <f>IF(AND(_AC1="A-330-300",'2023'!$M$4="CA",'2023'!$M$2=U5),'2023DATA2'!$F$7,"")</f>
        <v/>
      </c>
      <c r="V10" s="518" t="str">
        <f>IF(AND(_AC1="A-330-300",'2023'!$M$4="CA",'2023'!$M$2=V5),'2023DATA2'!$G$7,"")</f>
        <v/>
      </c>
      <c r="W10" s="518" t="str">
        <f>IF(AND(_AC1="A-330-300",'2023'!$M$4="CA",'2023'!$M$2=W5),'2023DATA2'!$H$7,"")</f>
        <v/>
      </c>
      <c r="X10" s="518" t="str">
        <f>IF(AND(_AC1="A-330-300",'2023'!$M$4="CA",'2023'!$M$2=X5),'2023DATA2'!$I$7,"")</f>
        <v/>
      </c>
      <c r="Y10" s="518" t="str">
        <f>IF(AND(_AC1="A-330-300",'2023'!$M$4="CA",'2023'!$M$2=Y5),'2023DATA2'!$J$7,"")</f>
        <v/>
      </c>
      <c r="Z10" s="518" t="str">
        <f>IF(AND(_AC1="A-330-300",'2023'!$M$4="CA",'2023'!$M$2=Z5),'2023DATA2'!$K$7,"")</f>
        <v/>
      </c>
      <c r="AA10" s="518" t="str">
        <f>IF(AND(_AC1="A-330-300",'2023'!$M$4="CA",'2023'!$M$2=AA5),'2023DATA2'!$L$7,"")</f>
        <v/>
      </c>
      <c r="AB10" s="518" t="str">
        <f>IF(AND(_AC1="A-330-300",'2023'!$M$4="CA",'2023'!$M$2=AB5),'2023DATA2'!$M$7,"")</f>
        <v/>
      </c>
      <c r="AC10" s="520" t="str">
        <f>IF(AND(_AC1="A-330-300",'2023'!$M$4="CA",'2023'!$M$2=AC5),'2023DATA2'!$N$7,"")</f>
        <v/>
      </c>
      <c r="AD10" s="940" t="s">
        <v>64</v>
      </c>
      <c r="AE10" s="13" t="s">
        <v>61</v>
      </c>
      <c r="AF10" s="518" t="str">
        <f>IF(AND(_AC2="A-330-300",'2023'!$M$4="CA",'2023'!$M$2=AF5),'2023DATA2'!$C$7,"")</f>
        <v/>
      </c>
      <c r="AG10" s="518" t="str">
        <f>IF(AND(_AC2="A-330-300",'2023'!$M$4="CA",'2023'!$M$2=AG5),'2023DATA2'!$D$7,"")</f>
        <v/>
      </c>
      <c r="AH10" s="518" t="str">
        <f>IF(AND(_AC2="A-330-300",'2023'!$M$4="CA",'2023'!$M$2=AH5),'2023DATA2'!$E$7,"")</f>
        <v/>
      </c>
      <c r="AI10" s="518" t="str">
        <f>IF(AND(_AC2="A-330-300",'2023'!$M$4="CA",'2023'!$M$2=AI5),'2023DATA2'!$F$7,"")</f>
        <v/>
      </c>
      <c r="AJ10" s="518" t="str">
        <f>IF(AND(_AC2="A-330-300",'2023'!$M$4="CA",'2023'!$M$2=AJ5),'2023DATA2'!$G$7,"")</f>
        <v/>
      </c>
      <c r="AK10" s="518" t="str">
        <f>IF(AND(_AC2="A-330-300",'2023'!$M$4="CA",'2023'!$M$2=AK5),'2023DATA2'!$H$7,"")</f>
        <v/>
      </c>
      <c r="AL10" s="518" t="str">
        <f>IF(AND(_AC2="A-330-300",'2023'!$M$4="CA",'2023'!$M$2=AL5),'2023DATA2'!$I$7,"")</f>
        <v/>
      </c>
      <c r="AM10" s="518" t="str">
        <f>IF(AND(_AC2="A-330-300",'2023'!$M$4="CA",'2023'!$M$2=AM5),'2023DATA2'!$J$7,"")</f>
        <v/>
      </c>
      <c r="AN10" s="518" t="str">
        <f>IF(AND(_AC2="A-330-300",'2023'!$M$4="CA",'2023'!$M$2=AN5),'2023DATA2'!$K$7,"")</f>
        <v/>
      </c>
      <c r="AO10" s="518" t="str">
        <f>IF(AND(_AC2="A-330-300",'2023'!$M$4="CA",'2023'!$M$2=AO5),'2023DATA2'!$L$7,"")</f>
        <v/>
      </c>
      <c r="AP10" s="518" t="str">
        <f>IF(AND(_AC2="A-330-300",'2023'!$M$4="CA",'2023'!$M$2=AP5),'2023DATA2'!$M$7,"")</f>
        <v/>
      </c>
      <c r="AQ10" s="520" t="str">
        <f>IF(AND(_AC2="A-330-300",'2023'!$M$4="CA",'2023'!$M$2=AQ5),'2023DATA2'!$N$7,"")</f>
        <v/>
      </c>
      <c r="AR10" s="940" t="s">
        <v>64</v>
      </c>
      <c r="AS10" s="13" t="s">
        <v>61</v>
      </c>
      <c r="AT10" s="518" t="str">
        <f>IF(AND(_AC3="A-330-300",'2023'!$M$4="CA",'2023'!$M$2=AT5),'2023DATA2'!$C$7,"")</f>
        <v/>
      </c>
      <c r="AU10" s="518" t="str">
        <f>IF(AND(_AC3="A-330-300",'2023'!$M$4="CA",'2023'!$M$2=AU5),'2023DATA2'!$D$7,"")</f>
        <v/>
      </c>
      <c r="AV10" s="518" t="str">
        <f>IF(AND(_AC3="A-330-300",'2023'!$M$4="CA",'2023'!$M$2=AV5),'2023DATA2'!$E$7,"")</f>
        <v/>
      </c>
      <c r="AW10" s="518" t="str">
        <f>IF(AND(_AC3="A-330-300",'2023'!$M$4="CA",'2023'!$M$2=AW5),'2023DATA2'!$F$7,"")</f>
        <v/>
      </c>
      <c r="AX10" s="518" t="str">
        <f>IF(AND(_AC3="A-330-300",'2023'!$M$4="CA",'2023'!$M$2=AX5),'2023DATA2'!$G$7,"")</f>
        <v/>
      </c>
      <c r="AY10" s="518" t="str">
        <f>IF(AND(_AC3="A-330-300",'2023'!$M$4="CA",'2023'!$M$2=AY5),'2023DATA2'!$H$7,"")</f>
        <v/>
      </c>
      <c r="AZ10" s="518" t="str">
        <f>IF(AND(_AC3="A-330-300",'2023'!$M$4="CA",'2023'!$M$2=AZ5),'2023DATA2'!$I$7,"")</f>
        <v/>
      </c>
      <c r="BA10" s="518" t="str">
        <f>IF(AND(_AC3="A-330-300",'2023'!$M$4="CA",'2023'!$M$2=BA5),'2023DATA2'!$J$7,"")</f>
        <v/>
      </c>
      <c r="BB10" s="518" t="str">
        <f>IF(AND(_AC3="A-330-300",'2023'!$M$4="CA",'2023'!$M$2=BB5),'2023DATA2'!$K$7,"")</f>
        <v/>
      </c>
      <c r="BC10" s="518" t="str">
        <f>IF(AND(_AC3="A-330-300",'2023'!$M$4="CA",'2023'!$M$2=BC5),'2023DATA2'!$L$7,"")</f>
        <v/>
      </c>
      <c r="BD10" s="518" t="str">
        <f>IF(AND(_AC3="A-330-300",'2023'!$M$4="CA",'2023'!$M$2=BD5),'2023DATA2'!$M$7,"")</f>
        <v/>
      </c>
      <c r="BE10" s="520" t="str">
        <f>IF(AND(_AC3="A-330-300",'2023'!$M$4="CA",'2023'!$M$2=BE5),'2023DATA2'!$N$7,"")</f>
        <v/>
      </c>
      <c r="BF10" s="940" t="s">
        <v>64</v>
      </c>
      <c r="BG10" s="13" t="s">
        <v>61</v>
      </c>
      <c r="BH10" s="518" t="str">
        <f>IF(AND(_AC4="A-330-300",'2023'!$M$4="CA",'2023'!$M$2=BH5),'2023DATA2'!$C$7,"")</f>
        <v/>
      </c>
      <c r="BI10" s="518" t="str">
        <f>IF(AND(_AC4="A-330-300",'2023'!$M$4="CA",'2023'!$M$2=BI5),'2023DATA2'!$D$7,"")</f>
        <v/>
      </c>
      <c r="BJ10" s="518" t="str">
        <f>IF(AND(_AC4="A-330-300",'2023'!$M$4="CA",'2023'!$M$2=BJ5),'2023DATA2'!$E$7,"")</f>
        <v/>
      </c>
      <c r="BK10" s="518" t="str">
        <f>IF(AND(_AC4="A-330-300",'2023'!$M$4="CA",'2023'!$M$2=BK5),'2023DATA2'!$F$7,"")</f>
        <v/>
      </c>
      <c r="BL10" s="518" t="str">
        <f>IF(AND(_AC4="A-330-300",'2023'!$M$4="CA",'2023'!$M$2=BL5),'2023DATA2'!$G$7,"")</f>
        <v/>
      </c>
      <c r="BM10" s="518" t="str">
        <f>IF(AND(_AC4="A-330-300",'2023'!$M$4="CA",'2023'!$M$2=BM5),'2023DATA2'!$H$7,"")</f>
        <v/>
      </c>
      <c r="BN10" s="518" t="str">
        <f>IF(AND(_AC4="A-330-300",'2023'!$M$4="CA",'2023'!$M$2=BN5),'2023DATA2'!$I$7,"")</f>
        <v/>
      </c>
      <c r="BO10" s="518" t="str">
        <f>IF(AND(_AC4="A-330-300",'2023'!$M$4="CA",'2023'!$M$2=BO5),'2023DATA2'!$J$7,"")</f>
        <v/>
      </c>
      <c r="BP10" s="518" t="str">
        <f>IF(AND(_AC4="A-330-300",'2023'!$M$4="CA",'2023'!$M$2=BP5),'2023DATA2'!$K$7,"")</f>
        <v/>
      </c>
      <c r="BQ10" s="518" t="str">
        <f>IF(AND(_AC4="A-330-300",'2023'!$M$4="CA",'2023'!$M$2=BQ5),'2023DATA2'!$L$7,"")</f>
        <v/>
      </c>
      <c r="BR10" s="518" t="str">
        <f>IF(AND(_AC4="A-330-300",'2023'!$M$4="CA",'2023'!$M$2=BR5),'2023DATA2'!$M$7,"")</f>
        <v/>
      </c>
      <c r="BS10" s="520" t="str">
        <f>IF(AND(_AC4="A-330-300",'2023'!$M$4="CA",'2023'!$M$2=BS5),'2023DATA2'!$N$7,"")</f>
        <v/>
      </c>
      <c r="BT10" s="940" t="s">
        <v>64</v>
      </c>
      <c r="BU10" s="13" t="s">
        <v>61</v>
      </c>
      <c r="BV10" s="518" t="str">
        <f>IF(AND(_AC5="A-330-300",'2023'!$M$4="CA",'2023'!$M$2=BV5),'2023DATA2'!$C$7,"")</f>
        <v/>
      </c>
      <c r="BW10" s="518" t="str">
        <f>IF(AND(_AC5="A-330-300",'2023'!$M$4="CA",'2023'!$M$2=BW5),'2023DATA2'!$D$7,"")</f>
        <v/>
      </c>
      <c r="BX10" s="518" t="str">
        <f>IF(AND(_AC5="A-330-300",'2023'!$M$4="CA",'2023'!$M$2=BX5),'2023DATA2'!$E$7,"")</f>
        <v/>
      </c>
      <c r="BY10" s="518" t="str">
        <f>IF(AND(_AC5="A-330-300",'2023'!$M$4="CA",'2023'!$M$2=BY5),'2023DATA2'!$F$7,"")</f>
        <v/>
      </c>
      <c r="BZ10" s="518" t="str">
        <f>IF(AND(_AC5="A-330-300",'2023'!$M$4="CA",'2023'!$M$2=BZ5),'2023DATA2'!$G$7,"")</f>
        <v/>
      </c>
      <c r="CA10" s="518" t="str">
        <f>IF(AND(_AC5="A-330-300",'2023'!$M$4="CA",'2023'!$M$2=CA5),'2023DATA2'!$H$7,"")</f>
        <v/>
      </c>
      <c r="CB10" s="518" t="str">
        <f>IF(AND(_AC5="A-330-300",'2023'!$M$4="CA",'2023'!$M$2=CB5),'2023DATA2'!$I$7,"")</f>
        <v/>
      </c>
      <c r="CC10" s="518" t="str">
        <f>IF(AND(_AC5="A-330-300",'2023'!$M$4="CA",'2023'!$M$2=CC5),'2023DATA2'!$J$7,"")</f>
        <v/>
      </c>
      <c r="CD10" s="518" t="str">
        <f>IF(AND(_AC5="A-330-300",'2023'!$M$4="CA",'2023'!$M$2=CD5),'2023DATA2'!$K$7,"")</f>
        <v/>
      </c>
      <c r="CE10" s="518" t="str">
        <f>IF(AND(_AC5="A-330-300",'2023'!$M$4="CA",'2023'!$M$2=CE5),'2023DATA2'!$L$7,"")</f>
        <v/>
      </c>
      <c r="CF10" s="518" t="str">
        <f>IF(AND(_AC5="A-330-300",'2023'!$M$4="CA",'2023'!$M$2=CF5),'2023DATA2'!$M$7,"")</f>
        <v/>
      </c>
      <c r="CG10" s="520" t="str">
        <f>IF(AND(_AC5="A-330-300",'2023'!$M$4="CA",'2023'!$M$2=CG5),'2023DATA2'!$N$7,"")</f>
        <v/>
      </c>
      <c r="CH10" s="940" t="s">
        <v>64</v>
      </c>
      <c r="CI10" s="13" t="s">
        <v>61</v>
      </c>
      <c r="CJ10" s="518" t="str">
        <f>IF(AND(_AC6="A-330-300",'2023'!$M$4="CA",'2023'!$M$2=CJ5),'2023DATA2'!$C$7,"")</f>
        <v/>
      </c>
      <c r="CK10" s="518" t="str">
        <f>IF(AND(_AC6="A-330-300",'2023'!$M$4="CA",'2023'!$M$2=CK5),'2023DATA2'!$D$7,"")</f>
        <v/>
      </c>
      <c r="CL10" s="518" t="str">
        <f>IF(AND(_AC6="A-330-300",'2023'!$M$4="CA",'2023'!$M$2=CL5),'2023DATA2'!$E$7,"")</f>
        <v/>
      </c>
      <c r="CM10" s="518" t="str">
        <f>IF(AND(_AC6="A-330-300",'2023'!$M$4="CA",'2023'!$M$2=CM5),'2023DATA2'!$F$7,"")</f>
        <v/>
      </c>
      <c r="CN10" s="518" t="str">
        <f>IF(AND(_AC6="A-330-300",'2023'!$M$4="CA",'2023'!$M$2=CN5),'2023DATA2'!$G$7,"")</f>
        <v/>
      </c>
      <c r="CO10" s="518" t="str">
        <f>IF(AND(_AC6="A-330-300",'2023'!$M$4="CA",'2023'!$M$2=CO5),'2023DATA2'!$H$7,"")</f>
        <v/>
      </c>
      <c r="CP10" s="518" t="str">
        <f>IF(AND(_AC6="A-330-300",'2023'!$M$4="CA",'2023'!$M$2=CP5),'2023DATA2'!$I$7,"")</f>
        <v/>
      </c>
      <c r="CQ10" s="518" t="str">
        <f>IF(AND(_AC6="A-330-300",'2023'!$M$4="CA",'2023'!$M$2=CQ5),'2023DATA2'!$J$7,"")</f>
        <v/>
      </c>
      <c r="CR10" s="518" t="str">
        <f>IF(AND(_AC6="A-330-300",'2023'!$M$4="CA",'2023'!$M$2=CR5),'2023DATA2'!$K$7,"")</f>
        <v/>
      </c>
      <c r="CS10" s="518" t="str">
        <f>IF(AND(_AC6="A-330-300",'2023'!$M$4="CA",'2023'!$M$2=CS5),'2023DATA2'!$L$7,"")</f>
        <v/>
      </c>
      <c r="CT10" s="518" t="str">
        <f>IF(AND(_AC6="A-330-300",'2023'!$M$4="CA",'2023'!$M$2=CT5),'2023DATA2'!$M$7,"")</f>
        <v/>
      </c>
      <c r="CU10" s="520" t="str">
        <f>IF(AND(_AC6="A-330-300",'2023'!$M$4="CA",'2023'!$M$2=CU5),'2023DATA2'!$N$7,"")</f>
        <v/>
      </c>
    </row>
    <row r="11" spans="1:99" x14ac:dyDescent="0.25">
      <c r="A11" s="946" t="s">
        <v>42</v>
      </c>
      <c r="B11" s="78" t="s">
        <v>61</v>
      </c>
      <c r="C11" s="140">
        <v>425.94</v>
      </c>
      <c r="D11" s="141">
        <v>422.74</v>
      </c>
      <c r="E11" s="142">
        <v>419.55</v>
      </c>
      <c r="F11" s="143">
        <v>416.37</v>
      </c>
      <c r="G11" s="144">
        <v>413.17</v>
      </c>
      <c r="H11" s="145">
        <v>410.01</v>
      </c>
      <c r="I11" s="144">
        <v>406.8</v>
      </c>
      <c r="J11" s="145">
        <v>403.64</v>
      </c>
      <c r="K11" s="143">
        <v>400.42</v>
      </c>
      <c r="L11" s="144">
        <v>397.22</v>
      </c>
      <c r="M11" s="145">
        <v>394</v>
      </c>
      <c r="N11" s="146">
        <v>390.83</v>
      </c>
      <c r="P11" s="940"/>
      <c r="Q11" s="13" t="s">
        <v>62</v>
      </c>
      <c r="R11" s="518" t="str">
        <f>IF(AND(_AC1="A-330-300",'2023'!$M$4="FO",'2023'!$M$2=R5),'2023DATA2'!$C$8,"")</f>
        <v/>
      </c>
      <c r="S11" s="518" t="str">
        <f>IF(AND(_AC1="A-330-300",'2023'!$M$4="FO",'2023'!$M$2=S5),'2023DATA2'!$D$8,"")</f>
        <v/>
      </c>
      <c r="T11" s="518" t="str">
        <f>IF(AND(_AC1="A-330-300",'2023'!$M$4="FO",'2023'!$M$2=T5),'2023DATA2'!$E$8,"")</f>
        <v/>
      </c>
      <c r="U11" s="518" t="str">
        <f>IF(AND(_AC1="A-330-300",'2023'!$M$4="FO",'2023'!$M$2=U5),'2023DATA2'!$F$8,"")</f>
        <v/>
      </c>
      <c r="V11" s="518" t="str">
        <f>IF(AND(_AC1="A-330-300",'2023'!$M$4="FO",'2023'!$M$2=V5),'2023DATA2'!$G$8,"")</f>
        <v/>
      </c>
      <c r="W11" s="518" t="str">
        <f>IF(AND(_AC1="A-330-300",'2023'!$M$4="FO",'2023'!$M$2=W5),'2023DATA2'!$H$8,"")</f>
        <v/>
      </c>
      <c r="X11" s="518" t="str">
        <f>IF(AND(_AC1="A-330-300",'2023'!$M$4="FO",'2023'!$M$2=X5),'2023DATA2'!$I$8,"")</f>
        <v/>
      </c>
      <c r="Y11" s="518" t="str">
        <f>IF(AND(_AC1="A-330-300",'2023'!$M$4="FO",'2023'!$M$2=Y5),'2023DATA2'!$J$8,"")</f>
        <v/>
      </c>
      <c r="Z11" s="518" t="str">
        <f>IF(AND(_AC1="A-330-300",'2023'!$M$4="FO",'2023'!$M$2=Z5),'2023DATA2'!$K$8,"")</f>
        <v/>
      </c>
      <c r="AA11" s="518" t="str">
        <f>IF(AND(_AC1="A-330-300",'2023'!$M$4="FO",'2023'!$M$2=AA5),'2023DATA2'!$L$8,"")</f>
        <v/>
      </c>
      <c r="AB11" s="518" t="str">
        <f>IF(AND(_AC1="A-330-300",'2023'!$M$4="FO",'2023'!$M$2=AB5),'2023DATA2'!$M$8,"")</f>
        <v/>
      </c>
      <c r="AC11" s="520" t="str">
        <f>IF(AND(_AC1="A-330-300",'2023'!$M$4="FO",'2023'!$M$2=AC5),'2023DATA2'!$N$8,"")</f>
        <v/>
      </c>
      <c r="AD11" s="940"/>
      <c r="AE11" s="13" t="s">
        <v>62</v>
      </c>
      <c r="AF11" s="518" t="str">
        <f>IF(AND(_AC2="A-330-300",'2023'!$M$4="FO",'2023'!$M$2=AF5),'2023DATA2'!$C$8,"")</f>
        <v/>
      </c>
      <c r="AG11" s="518" t="str">
        <f>IF(AND(_AC2="A-330-300",'2023'!$M$4="FO",'2023'!$M$2=AG5),'2023DATA2'!$D$8,"")</f>
        <v/>
      </c>
      <c r="AH11" s="518" t="str">
        <f>IF(AND(_AC2="A-330-300",'2023'!$M$4="FO",'2023'!$M$2=AH5),'2023DATA2'!$E$8,"")</f>
        <v/>
      </c>
      <c r="AI11" s="518" t="str">
        <f>IF(AND(_AC2="A-330-300",'2023'!$M$4="FO",'2023'!$M$2=AI5),'2023DATA2'!$F$8,"")</f>
        <v/>
      </c>
      <c r="AJ11" s="518" t="str">
        <f>IF(AND(_AC2="A-330-300",'2023'!$M$4="FO",'2023'!$M$2=AJ5),'2023DATA2'!$G$8,"")</f>
        <v/>
      </c>
      <c r="AK11" s="518" t="str">
        <f>IF(AND(_AC2="A-330-300",'2023'!$M$4="FO",'2023'!$M$2=AK5),'2023DATA2'!$H$8,"")</f>
        <v/>
      </c>
      <c r="AL11" s="518" t="str">
        <f>IF(AND(_AC2="A-330-300",'2023'!$M$4="FO",'2023'!$M$2=AL5),'2023DATA2'!$I$8,"")</f>
        <v/>
      </c>
      <c r="AM11" s="518" t="str">
        <f>IF(AND(_AC2="A-330-300",'2023'!$M$4="FO",'2023'!$M$2=AM5),'2023DATA2'!$J$8,"")</f>
        <v/>
      </c>
      <c r="AN11" s="518" t="str">
        <f>IF(AND(_AC2="A-330-300",'2023'!$M$4="FO",'2023'!$M$2=AN5),'2023DATA2'!$K$8,"")</f>
        <v/>
      </c>
      <c r="AO11" s="518" t="str">
        <f>IF(AND(_AC2="A-330-300",'2023'!$M$4="FO",'2023'!$M$2=AO5),'2023DATA2'!$L$8,"")</f>
        <v/>
      </c>
      <c r="AP11" s="518" t="str">
        <f>IF(AND(_AC2="A-330-300",'2023'!$M$4="FO",'2023'!$M$2=AP5),'2023DATA2'!$M$8,"")</f>
        <v/>
      </c>
      <c r="AQ11" s="520" t="str">
        <f>IF(AND(_AC2="A-330-300",'2023'!$M$4="FO",'2023'!$M$2=AQ5),'2023DATA2'!$N$8,"")</f>
        <v/>
      </c>
      <c r="AR11" s="940"/>
      <c r="AS11" s="13" t="s">
        <v>62</v>
      </c>
      <c r="AT11" s="518" t="str">
        <f>IF(AND(_AC3="A-330-300",'2023'!$M$4="FO",'2023'!$M$2=AT5),'2023DATA2'!$C$8,"")</f>
        <v/>
      </c>
      <c r="AU11" s="518" t="str">
        <f>IF(AND(_AC3="A-330-300",'2023'!$M$4="FO",'2023'!$M$2=AU5),'2023DATA2'!$D$8,"")</f>
        <v/>
      </c>
      <c r="AV11" s="518" t="str">
        <f>IF(AND(_AC3="A-330-300",'2023'!$M$4="FO",'2023'!$M$2=AV5),'2023DATA2'!$E$8,"")</f>
        <v/>
      </c>
      <c r="AW11" s="518" t="str">
        <f>IF(AND(_AC3="A-330-300",'2023'!$M$4="FO",'2023'!$M$2=AW5),'2023DATA2'!$F$8,"")</f>
        <v/>
      </c>
      <c r="AX11" s="518" t="str">
        <f>IF(AND(_AC3="A-330-300",'2023'!$M$4="FO",'2023'!$M$2=AX5),'2023DATA2'!$G$8,"")</f>
        <v/>
      </c>
      <c r="AY11" s="518" t="str">
        <f>IF(AND(_AC3="A-330-300",'2023'!$M$4="FO",'2023'!$M$2=AY5),'2023DATA2'!$H$8,"")</f>
        <v/>
      </c>
      <c r="AZ11" s="518" t="str">
        <f>IF(AND(_AC3="A-330-300",'2023'!$M$4="FO",'2023'!$M$2=AZ5),'2023DATA2'!$I$8,"")</f>
        <v/>
      </c>
      <c r="BA11" s="518" t="str">
        <f>IF(AND(_AC3="A-330-300",'2023'!$M$4="FO",'2023'!$M$2=BA5),'2023DATA2'!$J$8,"")</f>
        <v/>
      </c>
      <c r="BB11" s="518" t="str">
        <f>IF(AND(_AC3="A-330-300",'2023'!$M$4="FO",'2023'!$M$2=BB5),'2023DATA2'!$K$8,"")</f>
        <v/>
      </c>
      <c r="BC11" s="518" t="str">
        <f>IF(AND(_AC3="A-330-300",'2023'!$M$4="FO",'2023'!$M$2=BC5),'2023DATA2'!$L$8,"")</f>
        <v/>
      </c>
      <c r="BD11" s="518" t="str">
        <f>IF(AND(_AC3="A-330-300",'2023'!$M$4="FO",'2023'!$M$2=BD5),'2023DATA2'!$M$8,"")</f>
        <v/>
      </c>
      <c r="BE11" s="520" t="str">
        <f>IF(AND(_AC3="A-330-300",'2023'!$M$4="FO",'2023'!$M$2=BE5),'2023DATA2'!$N$8,"")</f>
        <v/>
      </c>
      <c r="BF11" s="940"/>
      <c r="BG11" s="13" t="s">
        <v>62</v>
      </c>
      <c r="BH11" s="518" t="str">
        <f>IF(AND(_AC4="A-330-300",'2023'!$M$4="FO",'2023'!$M$2=BH5),'2023DATA2'!$C$8,"")</f>
        <v/>
      </c>
      <c r="BI11" s="518" t="str">
        <f>IF(AND(_AC4="A-330-300",'2023'!$M$4="FO",'2023'!$M$2=BI5),'2023DATA2'!$D$8,"")</f>
        <v/>
      </c>
      <c r="BJ11" s="518" t="str">
        <f>IF(AND(_AC4="A-330-300",'2023'!$M$4="FO",'2023'!$M$2=BJ5),'2023DATA2'!$E$8,"")</f>
        <v/>
      </c>
      <c r="BK11" s="518" t="str">
        <f>IF(AND(_AC4="A-330-300",'2023'!$M$4="FO",'2023'!$M$2=BK5),'2023DATA2'!$F$8,"")</f>
        <v/>
      </c>
      <c r="BL11" s="518" t="str">
        <f>IF(AND(_AC4="A-330-300",'2023'!$M$4="FO",'2023'!$M$2=BL5),'2023DATA2'!$G$8,"")</f>
        <v/>
      </c>
      <c r="BM11" s="518" t="str">
        <f>IF(AND(_AC4="A-330-300",'2023'!$M$4="FO",'2023'!$M$2=BM5),'2023DATA2'!$H$8,"")</f>
        <v/>
      </c>
      <c r="BN11" s="518" t="str">
        <f>IF(AND(_AC4="A-330-300",'2023'!$M$4="FO",'2023'!$M$2=BN5),'2023DATA2'!$I$8,"")</f>
        <v/>
      </c>
      <c r="BO11" s="518" t="str">
        <f>IF(AND(_AC4="A-330-300",'2023'!$M$4="FO",'2023'!$M$2=BO5),'2023DATA2'!$J$8,"")</f>
        <v/>
      </c>
      <c r="BP11" s="518" t="str">
        <f>IF(AND(_AC4="A-330-300",'2023'!$M$4="FO",'2023'!$M$2=BP5),'2023DATA2'!$K$8,"")</f>
        <v/>
      </c>
      <c r="BQ11" s="518" t="str">
        <f>IF(AND(_AC4="A-330-300",'2023'!$M$4="FO",'2023'!$M$2=BQ5),'2023DATA2'!$L$8,"")</f>
        <v/>
      </c>
      <c r="BR11" s="518" t="str">
        <f>IF(AND(_AC4="A-330-300",'2023'!$M$4="FO",'2023'!$M$2=BR5),'2023DATA2'!$M$8,"")</f>
        <v/>
      </c>
      <c r="BS11" s="520" t="str">
        <f>IF(AND(_AC4="A-330-300",'2023'!$M$4="FO",'2023'!$M$2=BS5),'2023DATA2'!$N$8,"")</f>
        <v/>
      </c>
      <c r="BT11" s="940"/>
      <c r="BU11" s="13" t="s">
        <v>62</v>
      </c>
      <c r="BV11" s="518" t="str">
        <f>IF(AND(_AC5="A-330-300",'2023'!$M$4="FO",'2023'!$M$2=BV5),'2023DATA2'!$C$8,"")</f>
        <v/>
      </c>
      <c r="BW11" s="518" t="str">
        <f>IF(AND(_AC5="A-330-300",'2023'!$M$4="FO",'2023'!$M$2=BW5),'2023DATA2'!$D$8,"")</f>
        <v/>
      </c>
      <c r="BX11" s="518" t="str">
        <f>IF(AND(_AC5="A-330-300",'2023'!$M$4="FO",'2023'!$M$2=BX5),'2023DATA2'!$E$8,"")</f>
        <v/>
      </c>
      <c r="BY11" s="518" t="str">
        <f>IF(AND(_AC5="A-330-300",'2023'!$M$4="FO",'2023'!$M$2=BY5),'2023DATA2'!$F$8,"")</f>
        <v/>
      </c>
      <c r="BZ11" s="518" t="str">
        <f>IF(AND(_AC5="A-330-300",'2023'!$M$4="FO",'2023'!$M$2=BZ5),'2023DATA2'!$G$8,"")</f>
        <v/>
      </c>
      <c r="CA11" s="518" t="str">
        <f>IF(AND(_AC5="A-330-300",'2023'!$M$4="FO",'2023'!$M$2=CA5),'2023DATA2'!$H$8,"")</f>
        <v/>
      </c>
      <c r="CB11" s="518" t="str">
        <f>IF(AND(_AC5="A-330-300",'2023'!$M$4="FO",'2023'!$M$2=CB5),'2023DATA2'!$I$8,"")</f>
        <v/>
      </c>
      <c r="CC11" s="518" t="str">
        <f>IF(AND(_AC5="A-330-300",'2023'!$M$4="FO",'2023'!$M$2=CC5),'2023DATA2'!$J$8,"")</f>
        <v/>
      </c>
      <c r="CD11" s="518" t="str">
        <f>IF(AND(_AC5="A-330-300",'2023'!$M$4="FO",'2023'!$M$2=CD5),'2023DATA2'!$K$8,"")</f>
        <v/>
      </c>
      <c r="CE11" s="518" t="str">
        <f>IF(AND(_AC5="A-330-300",'2023'!$M$4="FO",'2023'!$M$2=CE5),'2023DATA2'!$L$8,"")</f>
        <v/>
      </c>
      <c r="CF11" s="518" t="str">
        <f>IF(AND(_AC5="A-330-300",'2023'!$M$4="FO",'2023'!$M$2=CF5),'2023DATA2'!$M$8,"")</f>
        <v/>
      </c>
      <c r="CG11" s="520" t="str">
        <f>IF(AND(_AC5="A-330-300",'2023'!$M$4="FO",'2023'!$M$2=CG5),'2023DATA2'!$N$8,"")</f>
        <v/>
      </c>
      <c r="CH11" s="940"/>
      <c r="CI11" s="13" t="s">
        <v>62</v>
      </c>
      <c r="CJ11" s="518" t="str">
        <f>IF(AND(_AC6="A-330-300",'2023'!$M$4="FO",'2023'!$M$2=CJ5),'2023DATA2'!$C$8,"")</f>
        <v/>
      </c>
      <c r="CK11" s="518" t="str">
        <f>IF(AND(_AC6="A-330-300",'2023'!$M$4="FO",'2023'!$M$2=CK5),'2023DATA2'!$D$8,"")</f>
        <v/>
      </c>
      <c r="CL11" s="518" t="str">
        <f>IF(AND(_AC6="A-330-300",'2023'!$M$4="FO",'2023'!$M$2=CL5),'2023DATA2'!$E$8,"")</f>
        <v/>
      </c>
      <c r="CM11" s="518" t="str">
        <f>IF(AND(_AC6="A-330-300",'2023'!$M$4="FO",'2023'!$M$2=CM5),'2023DATA2'!$F$8,"")</f>
        <v/>
      </c>
      <c r="CN11" s="518" t="str">
        <f>IF(AND(_AC6="A-330-300",'2023'!$M$4="FO",'2023'!$M$2=CN5),'2023DATA2'!$G$8,"")</f>
        <v/>
      </c>
      <c r="CO11" s="518" t="str">
        <f>IF(AND(_AC6="A-330-300",'2023'!$M$4="FO",'2023'!$M$2=CO5),'2023DATA2'!$H$8,"")</f>
        <v/>
      </c>
      <c r="CP11" s="518" t="str">
        <f>IF(AND(_AC6="A-330-300",'2023'!$M$4="FO",'2023'!$M$2=CP5),'2023DATA2'!$I$8,"")</f>
        <v/>
      </c>
      <c r="CQ11" s="518" t="str">
        <f>IF(AND(_AC6="A-330-300",'2023'!$M$4="FO",'2023'!$M$2=CQ5),'2023DATA2'!$J$8,"")</f>
        <v/>
      </c>
      <c r="CR11" s="518" t="str">
        <f>IF(AND(_AC6="A-330-300",'2023'!$M$4="FO",'2023'!$M$2=CR5),'2023DATA2'!$K$8,"")</f>
        <v/>
      </c>
      <c r="CS11" s="518" t="str">
        <f>IF(AND(_AC6="A-330-300",'2023'!$M$4="FO",'2023'!$M$2=CS5),'2023DATA2'!$L$8,"")</f>
        <v/>
      </c>
      <c r="CT11" s="518" t="str">
        <f>IF(AND(_AC6="A-330-300",'2023'!$M$4="FO",'2023'!$M$2=CT5),'2023DATA2'!$M$8,"")</f>
        <v/>
      </c>
      <c r="CU11" s="520" t="str">
        <f>IF(AND(_AC6="A-330-300",'2023'!$M$4="FO",'2023'!$M$2=CU5),'2023DATA2'!$N$8,"")</f>
        <v/>
      </c>
    </row>
    <row r="12" spans="1:99" x14ac:dyDescent="0.25">
      <c r="A12" s="946"/>
      <c r="B12" s="78" t="s">
        <v>62</v>
      </c>
      <c r="C12" s="258">
        <v>290.95999999999998</v>
      </c>
      <c r="D12" s="259">
        <v>288.31</v>
      </c>
      <c r="E12" s="259">
        <v>285.75</v>
      </c>
      <c r="F12" s="260">
        <v>281.92</v>
      </c>
      <c r="G12" s="261">
        <v>278.88</v>
      </c>
      <c r="H12" s="262">
        <v>272.63</v>
      </c>
      <c r="I12" s="263">
        <v>265.25</v>
      </c>
      <c r="J12" s="264">
        <v>258.69</v>
      </c>
      <c r="K12" s="265">
        <v>252.66</v>
      </c>
      <c r="L12" s="259">
        <v>246.68</v>
      </c>
      <c r="M12" s="259">
        <v>210.81</v>
      </c>
      <c r="N12" s="266">
        <v>110.52</v>
      </c>
      <c r="P12" s="940" t="s">
        <v>66</v>
      </c>
      <c r="Q12" s="13" t="s">
        <v>61</v>
      </c>
      <c r="R12" s="518" t="str">
        <f>IF(AND(_AC1="A-330-200",'2023'!$M$4="CA",'2023'!$M$2=R5),'2023DATA2'!$C$9,"")</f>
        <v/>
      </c>
      <c r="S12" s="518" t="str">
        <f>IF(AND(_AC1="A-330-200",'2023'!$M$4="CA",'2023'!$M$2=S5),'2023DATA2'!$D$9,"")</f>
        <v/>
      </c>
      <c r="T12" s="518" t="str">
        <f>IF(AND(_AC1="A-330-200",'2023'!$M$4="CA",'2023'!$M$2=T5),'2023DATA2'!$E$9,"")</f>
        <v/>
      </c>
      <c r="U12" s="518" t="str">
        <f>IF(AND(_AC1="A-330-200",'2023'!$M$4="CA",'2023'!$M$2=U5),'2023DATA2'!$F$9,"")</f>
        <v/>
      </c>
      <c r="V12" s="518" t="str">
        <f>IF(AND(_AC1="A-330-200",'2023'!$M$4="CA",'2023'!$M$2=V5),'2023DATA2'!$G$9,"")</f>
        <v/>
      </c>
      <c r="W12" s="518" t="str">
        <f>IF(AND(_AC1="A-330-200",'2023'!$M$4="CA",'2023'!$M$2=W5),'2023DATA2'!$H$9,"")</f>
        <v/>
      </c>
      <c r="X12" s="518" t="str">
        <f>IF(AND(_AC1="A-330-200",'2023'!$M$4="CA",'2023'!$M$2=X5),'2023DATA2'!$I$9,"")</f>
        <v/>
      </c>
      <c r="Y12" s="518" t="str">
        <f>IF(AND(_AC1="A-330-200",'2023'!$M$4="CA",'2023'!$M$2=Y5),'2023DATA2'!$J$9,"")</f>
        <v/>
      </c>
      <c r="Z12" s="518" t="str">
        <f>IF(AND(_AC1="A-330-200",'2023'!$M$4="CA",'2023'!$M$2=Z5),'2023DATA2'!$K$9,"")</f>
        <v/>
      </c>
      <c r="AA12" s="518" t="str">
        <f>IF(AND(_AC1="A-330-200",'2023'!$M$4="CA",'2023'!$M$2=AA5),'2023DATA2'!$L$9,"")</f>
        <v/>
      </c>
      <c r="AB12" s="518" t="str">
        <f>IF(AND(_AC1="A-330-200",'2023'!$M$4="CA",'2023'!$M$2=AB5),'2023DATA2'!$M$9,"")</f>
        <v/>
      </c>
      <c r="AC12" s="520" t="str">
        <f>IF(AND(_AC1="A-330-200",'2023'!$M$4="CA",'2023'!$M$2=AC5),'2023DATA2'!$N$9,"")</f>
        <v/>
      </c>
      <c r="AD12" s="940" t="s">
        <v>66</v>
      </c>
      <c r="AE12" s="13" t="s">
        <v>61</v>
      </c>
      <c r="AF12" s="518" t="str">
        <f>IF(AND(_AC2="A-330-200",'2023'!$M$4="CA",'2023'!$M$2=AF5),'2023DATA2'!$C$9,"")</f>
        <v/>
      </c>
      <c r="AG12" s="518" t="str">
        <f>IF(AND(_AC2="A-330-200",'2023'!$M$4="CA",'2023'!$M$2=AG5),'2023DATA2'!$D$9,"")</f>
        <v/>
      </c>
      <c r="AH12" s="518" t="str">
        <f>IF(AND(_AC2="A-330-200",'2023'!$M$4="CA",'2023'!$M$2=AH5),'2023DATA2'!$E$9,"")</f>
        <v/>
      </c>
      <c r="AI12" s="518" t="str">
        <f>IF(AND(_AC2="A-330-200",'2023'!$M$4="CA",'2023'!$M$2=AI5),'2023DATA2'!$F$9,"")</f>
        <v/>
      </c>
      <c r="AJ12" s="518" t="str">
        <f>IF(AND(_AC2="A-330-200",'2023'!$M$4="CA",'2023'!$M$2=AJ5),'2023DATA2'!$G$9,"")</f>
        <v/>
      </c>
      <c r="AK12" s="518" t="str">
        <f>IF(AND(_AC2="A-330-200",'2023'!$M$4="CA",'2023'!$M$2=AK5),'2023DATA2'!$H$9,"")</f>
        <v/>
      </c>
      <c r="AL12" s="518" t="str">
        <f>IF(AND(_AC2="A-330-200",'2023'!$M$4="CA",'2023'!$M$2=AL5),'2023DATA2'!$I$9,"")</f>
        <v/>
      </c>
      <c r="AM12" s="518" t="str">
        <f>IF(AND(_AC2="A-330-200",'2023'!$M$4="CA",'2023'!$M$2=AM5),'2023DATA2'!$J$9,"")</f>
        <v/>
      </c>
      <c r="AN12" s="518" t="str">
        <f>IF(AND(_AC2="A-330-200",'2023'!$M$4="CA",'2023'!$M$2=AN5),'2023DATA2'!$K$9,"")</f>
        <v/>
      </c>
      <c r="AO12" s="518" t="str">
        <f>IF(AND(_AC2="A-330-200",'2023'!$M$4="CA",'2023'!$M$2=AO5),'2023DATA2'!$L$9,"")</f>
        <v/>
      </c>
      <c r="AP12" s="518" t="str">
        <f>IF(AND(_AC2="A-330-200",'2023'!$M$4="CA",'2023'!$M$2=AP5),'2023DATA2'!$M$9,"")</f>
        <v/>
      </c>
      <c r="AQ12" s="520" t="str">
        <f>IF(AND(_AC2="A-330-200",'2023'!$M$4="CA",'2023'!$M$2=AQ5),'2023DATA2'!$N$9,"")</f>
        <v/>
      </c>
      <c r="AR12" s="940" t="s">
        <v>66</v>
      </c>
      <c r="AS12" s="13" t="s">
        <v>61</v>
      </c>
      <c r="AT12" s="518" t="str">
        <f>IF(AND(_AC3="A-330-200",'2023'!$M$4="CA",'2023'!$M$2=AT5),'2023DATA2'!$C$9,"")</f>
        <v/>
      </c>
      <c r="AU12" s="518" t="str">
        <f>IF(AND(_AC3="A-330-200",'2023'!$M$4="CA",'2023'!$M$2=AU5),'2023DATA2'!$D$9,"")</f>
        <v/>
      </c>
      <c r="AV12" s="518" t="str">
        <f>IF(AND(_AC3="A-330-200",'2023'!$M$4="CA",'2023'!$M$2=AV5),'2023DATA2'!$E$9,"")</f>
        <v/>
      </c>
      <c r="AW12" s="518" t="str">
        <f>IF(AND(_AC3="A-330-200",'2023'!$M$4="CA",'2023'!$M$2=AW5),'2023DATA2'!$F$9,"")</f>
        <v/>
      </c>
      <c r="AX12" s="518" t="str">
        <f>IF(AND(_AC3="A-330-200",'2023'!$M$4="CA",'2023'!$M$2=AX5),'2023DATA2'!$G$9,"")</f>
        <v/>
      </c>
      <c r="AY12" s="518" t="str">
        <f>IF(AND(_AC3="A-330-200",'2023'!$M$4="CA",'2023'!$M$2=AY5),'2023DATA2'!$H$9,"")</f>
        <v/>
      </c>
      <c r="AZ12" s="518" t="str">
        <f>IF(AND(_AC3="A-330-200",'2023'!$M$4="CA",'2023'!$M$2=AZ5),'2023DATA2'!$I$9,"")</f>
        <v/>
      </c>
      <c r="BA12" s="518" t="str">
        <f>IF(AND(_AC3="A-330-200",'2023'!$M$4="CA",'2023'!$M$2=BA5),'2023DATA2'!$J$9,"")</f>
        <v/>
      </c>
      <c r="BB12" s="518" t="str">
        <f>IF(AND(_AC3="A-330-200",'2023'!$M$4="CA",'2023'!$M$2=BB5),'2023DATA2'!$K$9,"")</f>
        <v/>
      </c>
      <c r="BC12" s="518" t="str">
        <f>IF(AND(_AC3="A-330-200",'2023'!$M$4="CA",'2023'!$M$2=BC5),'2023DATA2'!$L$9,"")</f>
        <v/>
      </c>
      <c r="BD12" s="518" t="str">
        <f>IF(AND(_AC3="A-330-200",'2023'!$M$4="CA",'2023'!$M$2=BD5),'2023DATA2'!$M$9,"")</f>
        <v/>
      </c>
      <c r="BE12" s="520" t="str">
        <f>IF(AND(_AC3="A-330-200",'2023'!$M$4="CA",'2023'!$M$2=BE5),'2023DATA2'!$N$9,"")</f>
        <v/>
      </c>
      <c r="BF12" s="940" t="s">
        <v>66</v>
      </c>
      <c r="BG12" s="13" t="s">
        <v>61</v>
      </c>
      <c r="BH12" s="518" t="str">
        <f>IF(AND(_AC4="A-330-200",'2023'!$M$4="CA",'2023'!$M$2=BH5),'2023DATA2'!$C$9,"")</f>
        <v/>
      </c>
      <c r="BI12" s="518" t="str">
        <f>IF(AND(_AC4="A-330-200",'2023'!$M$4="CA",'2023'!$M$2=BI5),'2023DATA2'!$D$9,"")</f>
        <v/>
      </c>
      <c r="BJ12" s="518" t="str">
        <f>IF(AND(_AC4="A-330-200",'2023'!$M$4="CA",'2023'!$M$2=BJ5),'2023DATA2'!$E$9,"")</f>
        <v/>
      </c>
      <c r="BK12" s="518" t="str">
        <f>IF(AND(_AC4="A-330-200",'2023'!$M$4="CA",'2023'!$M$2=BK5),'2023DATA2'!$F$9,"")</f>
        <v/>
      </c>
      <c r="BL12" s="518" t="str">
        <f>IF(AND(_AC4="A-330-200",'2023'!$M$4="CA",'2023'!$M$2=BL5),'2023DATA2'!$G$9,"")</f>
        <v/>
      </c>
      <c r="BM12" s="518" t="str">
        <f>IF(AND(_AC4="A-330-200",'2023'!$M$4="CA",'2023'!$M$2=BM5),'2023DATA2'!$H$9,"")</f>
        <v/>
      </c>
      <c r="BN12" s="518" t="str">
        <f>IF(AND(_AC4="A-330-200",'2023'!$M$4="CA",'2023'!$M$2=BN5),'2023DATA2'!$I$9,"")</f>
        <v/>
      </c>
      <c r="BO12" s="518" t="str">
        <f>IF(AND(_AC4="A-330-200",'2023'!$M$4="CA",'2023'!$M$2=BO5),'2023DATA2'!$J$9,"")</f>
        <v/>
      </c>
      <c r="BP12" s="518" t="str">
        <f>IF(AND(_AC4="A-330-200",'2023'!$M$4="CA",'2023'!$M$2=BP5),'2023DATA2'!$K$9,"")</f>
        <v/>
      </c>
      <c r="BQ12" s="518" t="str">
        <f>IF(AND(_AC4="A-330-200",'2023'!$M$4="CA",'2023'!$M$2=BQ5),'2023DATA2'!$L$9,"")</f>
        <v/>
      </c>
      <c r="BR12" s="518" t="str">
        <f>IF(AND(_AC4="A-330-200",'2023'!$M$4="CA",'2023'!$M$2=BR5),'2023DATA2'!$M$9,"")</f>
        <v/>
      </c>
      <c r="BS12" s="520" t="str">
        <f>IF(AND(_AC4="A-330-200",'2023'!$M$4="CA",'2023'!$M$2=BS5),'2023DATA2'!$N$9,"")</f>
        <v/>
      </c>
      <c r="BT12" s="940" t="s">
        <v>66</v>
      </c>
      <c r="BU12" s="13" t="s">
        <v>61</v>
      </c>
      <c r="BV12" s="518" t="str">
        <f>IF(AND(_AC5="A-330-200",'2023'!$M$4="CA",'2023'!$M$2=BV5),'2023DATA2'!$C$9,"")</f>
        <v/>
      </c>
      <c r="BW12" s="518" t="str">
        <f>IF(AND(_AC5="A-330-200",'2023'!$M$4="CA",'2023'!$M$2=BW5),'2023DATA2'!$D$9,"")</f>
        <v/>
      </c>
      <c r="BX12" s="518" t="str">
        <f>IF(AND(_AC5="A-330-200",'2023'!$M$4="CA",'2023'!$M$2=BX5),'2023DATA2'!$E$9,"")</f>
        <v/>
      </c>
      <c r="BY12" s="518" t="str">
        <f>IF(AND(_AC5="A-330-200",'2023'!$M$4="CA",'2023'!$M$2=BY5),'2023DATA2'!$F$9,"")</f>
        <v/>
      </c>
      <c r="BZ12" s="518" t="str">
        <f>IF(AND(_AC5="A-330-200",'2023'!$M$4="CA",'2023'!$M$2=BZ5),'2023DATA2'!$G$9,"")</f>
        <v/>
      </c>
      <c r="CA12" s="518" t="str">
        <f>IF(AND(_AC5="A-330-200",'2023'!$M$4="CA",'2023'!$M$2=CA5),'2023DATA2'!$H$9,"")</f>
        <v/>
      </c>
      <c r="CB12" s="518" t="str">
        <f>IF(AND(_AC5="A-330-200",'2023'!$M$4="CA",'2023'!$M$2=CB5),'2023DATA2'!$I$9,"")</f>
        <v/>
      </c>
      <c r="CC12" s="518" t="str">
        <f>IF(AND(_AC5="A-330-200",'2023'!$M$4="CA",'2023'!$M$2=CC5),'2023DATA2'!$J$9,"")</f>
        <v/>
      </c>
      <c r="CD12" s="518" t="str">
        <f>IF(AND(_AC5="A-330-200",'2023'!$M$4="CA",'2023'!$M$2=CD5),'2023DATA2'!$K$9,"")</f>
        <v/>
      </c>
      <c r="CE12" s="518" t="str">
        <f>IF(AND(_AC5="A-330-200",'2023'!$M$4="CA",'2023'!$M$2=CE5),'2023DATA2'!$L$9,"")</f>
        <v/>
      </c>
      <c r="CF12" s="518" t="str">
        <f>IF(AND(_AC5="A-330-200",'2023'!$M$4="CA",'2023'!$M$2=CF5),'2023DATA2'!$M$9,"")</f>
        <v/>
      </c>
      <c r="CG12" s="520" t="str">
        <f>IF(AND(_AC5="A-330-200",'2023'!$M$4="CA",'2023'!$M$2=CG5),'2023DATA2'!$N$9,"")</f>
        <v/>
      </c>
      <c r="CH12" s="940" t="s">
        <v>66</v>
      </c>
      <c r="CI12" s="13" t="s">
        <v>61</v>
      </c>
      <c r="CJ12" s="518" t="str">
        <f>IF(AND(_AC6="A-330-200",'2023'!$M$4="CA",'2023'!$M$2=CJ5),'2023DATA2'!$C$9,"")</f>
        <v/>
      </c>
      <c r="CK12" s="518" t="str">
        <f>IF(AND(_AC6="A-330-200",'2023'!$M$4="CA",'2023'!$M$2=CK5),'2023DATA2'!$D$9,"")</f>
        <v/>
      </c>
      <c r="CL12" s="518" t="str">
        <f>IF(AND(_AC6="A-330-200",'2023'!$M$4="CA",'2023'!$M$2=CL5),'2023DATA2'!$E$9,"")</f>
        <v/>
      </c>
      <c r="CM12" s="518" t="str">
        <f>IF(AND(_AC6="A-330-200",'2023'!$M$4="CA",'2023'!$M$2=CM5),'2023DATA2'!$F$9,"")</f>
        <v/>
      </c>
      <c r="CN12" s="518" t="str">
        <f>IF(AND(_AC6="A-330-200",'2023'!$M$4="CA",'2023'!$M$2=CN5),'2023DATA2'!$G$9,"")</f>
        <v/>
      </c>
      <c r="CO12" s="518" t="str">
        <f>IF(AND(_AC6="A-330-200",'2023'!$M$4="CA",'2023'!$M$2=CO5),'2023DATA2'!$H$9,"")</f>
        <v/>
      </c>
      <c r="CP12" s="518" t="str">
        <f>IF(AND(_AC6="A-330-200",'2023'!$M$4="CA",'2023'!$M$2=CP5),'2023DATA2'!$I$9,"")</f>
        <v/>
      </c>
      <c r="CQ12" s="518" t="str">
        <f>IF(AND(_AC6="A-330-200",'2023'!$M$4="CA",'2023'!$M$2=CQ5),'2023DATA2'!$J$9,"")</f>
        <v/>
      </c>
      <c r="CR12" s="518" t="str">
        <f>IF(AND(_AC6="A-330-200",'2023'!$M$4="CA",'2023'!$M$2=CR5),'2023DATA2'!$K$9,"")</f>
        <v/>
      </c>
      <c r="CS12" s="518" t="str">
        <f>IF(AND(_AC6="A-330-200",'2023'!$M$4="CA",'2023'!$M$2=CS5),'2023DATA2'!$L$9,"")</f>
        <v/>
      </c>
      <c r="CT12" s="518" t="str">
        <f>IF(AND(_AC6="A-330-200",'2023'!$M$4="CA",'2023'!$M$2=CT5),'2023DATA2'!$M$9,"")</f>
        <v/>
      </c>
      <c r="CU12" s="520" t="str">
        <f>IF(AND(_AC6="A-330-200",'2023'!$M$4="CA",'2023'!$M$2=CU5),'2023DATA2'!$N$9,"")</f>
        <v/>
      </c>
    </row>
    <row r="13" spans="1:99" x14ac:dyDescent="0.25">
      <c r="A13" s="946" t="s">
        <v>43</v>
      </c>
      <c r="B13" s="78" t="s">
        <v>61</v>
      </c>
      <c r="C13" s="118">
        <v>356.53</v>
      </c>
      <c r="D13" s="119">
        <v>352.89</v>
      </c>
      <c r="E13" s="120">
        <v>349.14</v>
      </c>
      <c r="F13" s="121">
        <v>345.42</v>
      </c>
      <c r="G13" s="122">
        <v>342.98</v>
      </c>
      <c r="H13" s="123">
        <v>340.17</v>
      </c>
      <c r="I13" s="122">
        <v>337.67</v>
      </c>
      <c r="J13" s="123">
        <v>335.06</v>
      </c>
      <c r="K13" s="121">
        <v>332.23</v>
      </c>
      <c r="L13" s="122">
        <v>329.56</v>
      </c>
      <c r="M13" s="123">
        <v>326.91000000000003</v>
      </c>
      <c r="N13" s="124">
        <v>324.14999999999998</v>
      </c>
      <c r="P13" s="940"/>
      <c r="Q13" s="13" t="s">
        <v>62</v>
      </c>
      <c r="R13" s="518" t="str">
        <f>IF(AND(_AC1="A-330-200",'2023'!$M$4="FO",'2023'!$M$2=R5),'2023DATA2'!$C$10,"")</f>
        <v/>
      </c>
      <c r="S13" s="518" t="str">
        <f>IF(AND(_AC1="A-330-200",'2023'!$M$4="FO",'2023'!$M$2=S5),'2023DATA2'!$D$10,"")</f>
        <v/>
      </c>
      <c r="T13" s="518" t="str">
        <f>IF(AND(_AC1="A-330-200",'2023'!$M$4="FO",'2023'!$M$2=T5),'2023DATA2'!$E$10,"")</f>
        <v/>
      </c>
      <c r="U13" s="518" t="str">
        <f>IF(AND(_AC1="A-330-200",'2023'!$M$4="FO",'2023'!$M$2=U5),'2023DATA2'!$F$10,"")</f>
        <v/>
      </c>
      <c r="V13" s="518" t="str">
        <f>IF(AND(_AC1="A-330-200",'2023'!$M$4="FO",'2023'!$M$2=V5),'2023DATA2'!$G$10,"")</f>
        <v/>
      </c>
      <c r="W13" s="518" t="str">
        <f>IF(AND(_AC1="A-330-200",'2023'!$M$4="FO",'2023'!$M$2=W5),'2023DATA2'!$H$10,"")</f>
        <v/>
      </c>
      <c r="X13" s="518" t="str">
        <f>IF(AND(_AC1="A-330-200",'2023'!$M$4="FO",'2023'!$M$2=X5),'2023DATA2'!$I$10,"")</f>
        <v/>
      </c>
      <c r="Y13" s="518" t="str">
        <f>IF(AND(_AC1="A-330-200",'2023'!$M$4="FO",'2023'!$M$2=Y5),'2023DATA2'!$J$10,"")</f>
        <v/>
      </c>
      <c r="Z13" s="518" t="str">
        <f>IF(AND(_AC1="A-330-200",'2023'!$M$4="FO",'2023'!$M$2=Z5),'2023DATA2'!$K$10,"")</f>
        <v/>
      </c>
      <c r="AA13" s="518" t="str">
        <f>IF(AND(_AC1="A-330-200",'2023'!$M$4="FO",'2023'!$M$2=AA5),'2023DATA2'!$L$10,"")</f>
        <v/>
      </c>
      <c r="AB13" s="518" t="str">
        <f>IF(AND(_AC1="A-330-200",'2023'!$M$4="FO",'2023'!$M$2=AB5),'2023DATA2'!$M$10,"")</f>
        <v/>
      </c>
      <c r="AC13" s="520" t="str">
        <f>IF(AND(_AC1="A-330-200",'2023'!$M$4="FO",'2023'!$M$2=AC5),'2023DATA2'!$N$10,"")</f>
        <v/>
      </c>
      <c r="AD13" s="940"/>
      <c r="AE13" s="13" t="s">
        <v>62</v>
      </c>
      <c r="AF13" s="518" t="str">
        <f>IF(AND(_AC2="A-330-200",'2023'!$M$4="FO",'2023'!$M$2=AF5),'2023DATA2'!$C$10,"")</f>
        <v/>
      </c>
      <c r="AG13" s="518" t="str">
        <f>IF(AND(_AC2="A-330-200",'2023'!$M$4="FO",'2023'!$M$2=AG5),'2023DATA2'!$D$10,"")</f>
        <v/>
      </c>
      <c r="AH13" s="518" t="str">
        <f>IF(AND(_AC2="A-330-200",'2023'!$M$4="FO",'2023'!$M$2=AH5),'2023DATA2'!$E$10,"")</f>
        <v/>
      </c>
      <c r="AI13" s="518" t="str">
        <f>IF(AND(_AC2="A-330-200",'2023'!$M$4="FO",'2023'!$M$2=AI5),'2023DATA2'!$F$10,"")</f>
        <v/>
      </c>
      <c r="AJ13" s="518" t="str">
        <f>IF(AND(_AC2="A-330-200",'2023'!$M$4="FO",'2023'!$M$2=AJ5),'2023DATA2'!$G$10,"")</f>
        <v/>
      </c>
      <c r="AK13" s="518" t="str">
        <f>IF(AND(_AC2="A-330-200",'2023'!$M$4="FO",'2023'!$M$2=AK5),'2023DATA2'!$H$10,"")</f>
        <v/>
      </c>
      <c r="AL13" s="518" t="str">
        <f>IF(AND(_AC2="A-330-200",'2023'!$M$4="FO",'2023'!$M$2=AL5),'2023DATA2'!$I$10,"")</f>
        <v/>
      </c>
      <c r="AM13" s="518" t="str">
        <f>IF(AND(_AC2="A-330-200",'2023'!$M$4="FO",'2023'!$M$2=AM5),'2023DATA2'!$J$10,"")</f>
        <v/>
      </c>
      <c r="AN13" s="518" t="str">
        <f>IF(AND(_AC2="A-330-200",'2023'!$M$4="FO",'2023'!$M$2=AN5),'2023DATA2'!$K$10,"")</f>
        <v/>
      </c>
      <c r="AO13" s="518" t="str">
        <f>IF(AND(_AC2="A-330-200",'2023'!$M$4="FO",'2023'!$M$2=AO5),'2023DATA2'!$L$10,"")</f>
        <v/>
      </c>
      <c r="AP13" s="518" t="str">
        <f>IF(AND(_AC2="A-330-200",'2023'!$M$4="FO",'2023'!$M$2=AP5),'2023DATA2'!$M$10,"")</f>
        <v/>
      </c>
      <c r="AQ13" s="520" t="str">
        <f>IF(AND(_AC2="A-330-200",'2023'!$M$4="FO",'2023'!$M$2=AQ5),'2023DATA2'!$N$10,"")</f>
        <v/>
      </c>
      <c r="AR13" s="940"/>
      <c r="AS13" s="13" t="s">
        <v>62</v>
      </c>
      <c r="AT13" s="518" t="str">
        <f>IF(AND(_AC3="A-330-200",'2023'!$M$4="FO",'2023'!$M$2=AT5),'2023DATA2'!$C$10,"")</f>
        <v/>
      </c>
      <c r="AU13" s="518" t="str">
        <f>IF(AND(_AC3="A-330-200",'2023'!$M$4="FO",'2023'!$M$2=AU5),'2023DATA2'!$D$10,"")</f>
        <v/>
      </c>
      <c r="AV13" s="518" t="str">
        <f>IF(AND(_AC3="A-330-200",'2023'!$M$4="FO",'2023'!$M$2=AV5),'2023DATA2'!$E$10,"")</f>
        <v/>
      </c>
      <c r="AW13" s="518" t="str">
        <f>IF(AND(_AC3="A-330-200",'2023'!$M$4="FO",'2023'!$M$2=AW5),'2023DATA2'!$F$10,"")</f>
        <v/>
      </c>
      <c r="AX13" s="518" t="str">
        <f>IF(AND(_AC3="A-330-200",'2023'!$M$4="FO",'2023'!$M$2=AX5),'2023DATA2'!$G$10,"")</f>
        <v/>
      </c>
      <c r="AY13" s="518" t="str">
        <f>IF(AND(_AC3="A-330-200",'2023'!$M$4="FO",'2023'!$M$2=AY5),'2023DATA2'!$H$10,"")</f>
        <v/>
      </c>
      <c r="AZ13" s="518" t="str">
        <f>IF(AND(_AC3="A-330-200",'2023'!$M$4="FO",'2023'!$M$2=AZ5),'2023DATA2'!$I$10,"")</f>
        <v/>
      </c>
      <c r="BA13" s="518" t="str">
        <f>IF(AND(_AC3="A-330-200",'2023'!$M$4="FO",'2023'!$M$2=BA5),'2023DATA2'!$J$10,"")</f>
        <v/>
      </c>
      <c r="BB13" s="518" t="str">
        <f>IF(AND(_AC3="A-330-200",'2023'!$M$4="FO",'2023'!$M$2=BB5),'2023DATA2'!$K$10,"")</f>
        <v/>
      </c>
      <c r="BC13" s="518" t="str">
        <f>IF(AND(_AC3="A-330-200",'2023'!$M$4="FO",'2023'!$M$2=BC5),'2023DATA2'!$L$10,"")</f>
        <v/>
      </c>
      <c r="BD13" s="518" t="str">
        <f>IF(AND(_AC3="A-330-200",'2023'!$M$4="FO",'2023'!$M$2=BD5),'2023DATA2'!$M$10,"")</f>
        <v/>
      </c>
      <c r="BE13" s="520" t="str">
        <f>IF(AND(_AC3="A-330-200",'2023'!$M$4="FO",'2023'!$M$2=BE5),'2023DATA2'!$N$10,"")</f>
        <v/>
      </c>
      <c r="BF13" s="940"/>
      <c r="BG13" s="13" t="s">
        <v>62</v>
      </c>
      <c r="BH13" s="518" t="str">
        <f>IF(AND(_AC4="A-330-200",'2023'!$M$4="FO",'2023'!$M$2=BH5),'2023DATA2'!$C$10,"")</f>
        <v/>
      </c>
      <c r="BI13" s="518" t="str">
        <f>IF(AND(_AC4="A-330-200",'2023'!$M$4="FO",'2023'!$M$2=BI5),'2023DATA2'!$D$10,"")</f>
        <v/>
      </c>
      <c r="BJ13" s="518" t="str">
        <f>IF(AND(_AC4="A-330-200",'2023'!$M$4="FO",'2023'!$M$2=BJ5),'2023DATA2'!$E$10,"")</f>
        <v/>
      </c>
      <c r="BK13" s="518" t="str">
        <f>IF(AND(_AC4="A-330-200",'2023'!$M$4="FO",'2023'!$M$2=BK5),'2023DATA2'!$F$10,"")</f>
        <v/>
      </c>
      <c r="BL13" s="518" t="str">
        <f>IF(AND(_AC4="A-330-200",'2023'!$M$4="FO",'2023'!$M$2=BL5),'2023DATA2'!$G$10,"")</f>
        <v/>
      </c>
      <c r="BM13" s="518" t="str">
        <f>IF(AND(_AC4="A-330-200",'2023'!$M$4="FO",'2023'!$M$2=BM5),'2023DATA2'!$H$10,"")</f>
        <v/>
      </c>
      <c r="BN13" s="518" t="str">
        <f>IF(AND(_AC4="A-330-200",'2023'!$M$4="FO",'2023'!$M$2=BN5),'2023DATA2'!$I$10,"")</f>
        <v/>
      </c>
      <c r="BO13" s="518" t="str">
        <f>IF(AND(_AC4="A-330-200",'2023'!$M$4="FO",'2023'!$M$2=BO5),'2023DATA2'!$J$10,"")</f>
        <v/>
      </c>
      <c r="BP13" s="518" t="str">
        <f>IF(AND(_AC4="A-330-200",'2023'!$M$4="FO",'2023'!$M$2=BP5),'2023DATA2'!$K$10,"")</f>
        <v/>
      </c>
      <c r="BQ13" s="518" t="str">
        <f>IF(AND(_AC4="A-330-200",'2023'!$M$4="FO",'2023'!$M$2=BQ5),'2023DATA2'!$L$10,"")</f>
        <v/>
      </c>
      <c r="BR13" s="518" t="str">
        <f>IF(AND(_AC4="A-330-200",'2023'!$M$4="FO",'2023'!$M$2=BR5),'2023DATA2'!$M$10,"")</f>
        <v/>
      </c>
      <c r="BS13" s="520" t="str">
        <f>IF(AND(_AC4="A-330-200",'2023'!$M$4="FO",'2023'!$M$2=BS5),'2023DATA2'!$N$10,"")</f>
        <v/>
      </c>
      <c r="BT13" s="940"/>
      <c r="BU13" s="13" t="s">
        <v>62</v>
      </c>
      <c r="BV13" s="518" t="str">
        <f>IF(AND(_AC5="A-330-200",'2023'!$M$4="FO",'2023'!$M$2=BV5),'2023DATA2'!$C$10,"")</f>
        <v/>
      </c>
      <c r="BW13" s="518" t="str">
        <f>IF(AND(_AC5="A-330-200",'2023'!$M$4="FO",'2023'!$M$2=BW5),'2023DATA2'!$D$10,"")</f>
        <v/>
      </c>
      <c r="BX13" s="518" t="str">
        <f>IF(AND(_AC5="A-330-200",'2023'!$M$4="FO",'2023'!$M$2=BX5),'2023DATA2'!$E$10,"")</f>
        <v/>
      </c>
      <c r="BY13" s="518" t="str">
        <f>IF(AND(_AC5="A-330-200",'2023'!$M$4="FO",'2023'!$M$2=BY5),'2023DATA2'!$F$10,"")</f>
        <v/>
      </c>
      <c r="BZ13" s="518" t="str">
        <f>IF(AND(_AC5="A-330-200",'2023'!$M$4="FO",'2023'!$M$2=BZ5),'2023DATA2'!$G$10,"")</f>
        <v/>
      </c>
      <c r="CA13" s="518" t="str">
        <f>IF(AND(_AC5="A-330-200",'2023'!$M$4="FO",'2023'!$M$2=CA5),'2023DATA2'!$H$10,"")</f>
        <v/>
      </c>
      <c r="CB13" s="518" t="str">
        <f>IF(AND(_AC5="A-330-200",'2023'!$M$4="FO",'2023'!$M$2=CB5),'2023DATA2'!$I$10,"")</f>
        <v/>
      </c>
      <c r="CC13" s="518" t="str">
        <f>IF(AND(_AC5="A-330-200",'2023'!$M$4="FO",'2023'!$M$2=CC5),'2023DATA2'!$J$10,"")</f>
        <v/>
      </c>
      <c r="CD13" s="518" t="str">
        <f>IF(AND(_AC5="A-330-200",'2023'!$M$4="FO",'2023'!$M$2=CD5),'2023DATA2'!$K$10,"")</f>
        <v/>
      </c>
      <c r="CE13" s="518" t="str">
        <f>IF(AND(_AC5="A-330-200",'2023'!$M$4="FO",'2023'!$M$2=CE5),'2023DATA2'!$L$10,"")</f>
        <v/>
      </c>
      <c r="CF13" s="518" t="str">
        <f>IF(AND(_AC5="A-330-200",'2023'!$M$4="FO",'2023'!$M$2=CF5),'2023DATA2'!$M$10,"")</f>
        <v/>
      </c>
      <c r="CG13" s="520" t="str">
        <f>IF(AND(_AC5="A-330-200",'2023'!$M$4="FO",'2023'!$M$2=CG5),'2023DATA2'!$N$10,"")</f>
        <v/>
      </c>
      <c r="CH13" s="940"/>
      <c r="CI13" s="13" t="s">
        <v>62</v>
      </c>
      <c r="CJ13" s="518" t="str">
        <f>IF(AND(_AC6="A-330-200",'2023'!$M$4="FO",'2023'!$M$2=CJ5),'2023DATA2'!$C$10,"")</f>
        <v/>
      </c>
      <c r="CK13" s="518" t="str">
        <f>IF(AND(_AC6="A-330-200",'2023'!$M$4="FO",'2023'!$M$2=CK5),'2023DATA2'!$D$10,"")</f>
        <v/>
      </c>
      <c r="CL13" s="518" t="str">
        <f>IF(AND(_AC6="A-330-200",'2023'!$M$4="FO",'2023'!$M$2=CL5),'2023DATA2'!$E$10,"")</f>
        <v/>
      </c>
      <c r="CM13" s="518" t="str">
        <f>IF(AND(_AC6="A-330-200",'2023'!$M$4="FO",'2023'!$M$2=CM5),'2023DATA2'!$F$10,"")</f>
        <v/>
      </c>
      <c r="CN13" s="518" t="str">
        <f>IF(AND(_AC6="A-330-200",'2023'!$M$4="FO",'2023'!$M$2=CN5),'2023DATA2'!$G$10,"")</f>
        <v/>
      </c>
      <c r="CO13" s="518" t="str">
        <f>IF(AND(_AC6="A-330-200",'2023'!$M$4="FO",'2023'!$M$2=CO5),'2023DATA2'!$H$10,"")</f>
        <v/>
      </c>
      <c r="CP13" s="518" t="str">
        <f>IF(AND(_AC6="A-330-200",'2023'!$M$4="FO",'2023'!$M$2=CP5),'2023DATA2'!$I$10,"")</f>
        <v/>
      </c>
      <c r="CQ13" s="518" t="str">
        <f>IF(AND(_AC6="A-330-200",'2023'!$M$4="FO",'2023'!$M$2=CQ5),'2023DATA2'!$J$10,"")</f>
        <v/>
      </c>
      <c r="CR13" s="518" t="str">
        <f>IF(AND(_AC6="A-330-200",'2023'!$M$4="FO",'2023'!$M$2=CR5),'2023DATA2'!$K$10,"")</f>
        <v/>
      </c>
      <c r="CS13" s="518" t="str">
        <f>IF(AND(_AC6="A-330-200",'2023'!$M$4="FO",'2023'!$M$2=CS5),'2023DATA2'!$L$10,"")</f>
        <v/>
      </c>
      <c r="CT13" s="518" t="str">
        <f>IF(AND(_AC6="A-330-200",'2023'!$M$4="FO",'2023'!$M$2=CT5),'2023DATA2'!$M$10,"")</f>
        <v/>
      </c>
      <c r="CU13" s="520" t="str">
        <f>IF(AND(_AC6="A-330-200",'2023'!$M$4="FO",'2023'!$M$2=CU5),'2023DATA2'!$N$10,"")</f>
        <v/>
      </c>
    </row>
    <row r="14" spans="1:99" x14ac:dyDescent="0.25">
      <c r="A14" s="946"/>
      <c r="B14" s="78" t="s">
        <v>62</v>
      </c>
      <c r="C14" s="258">
        <v>243.51</v>
      </c>
      <c r="D14" s="259">
        <v>240.68</v>
      </c>
      <c r="E14" s="259">
        <v>237.76</v>
      </c>
      <c r="F14" s="260">
        <v>233.87</v>
      </c>
      <c r="G14" s="261">
        <v>231.53</v>
      </c>
      <c r="H14" s="333">
        <v>226.22</v>
      </c>
      <c r="I14" s="334">
        <v>220.15</v>
      </c>
      <c r="J14" s="264">
        <v>214.78</v>
      </c>
      <c r="K14" s="265">
        <v>209.64</v>
      </c>
      <c r="L14" s="259">
        <v>204.66</v>
      </c>
      <c r="M14" s="259">
        <v>174.89</v>
      </c>
      <c r="N14" s="266">
        <v>110.52</v>
      </c>
      <c r="P14" s="940" t="s">
        <v>42</v>
      </c>
      <c r="Q14" s="13" t="s">
        <v>61</v>
      </c>
      <c r="R14" s="518" t="str">
        <f>IF(AND(_AC1="B-767-400ER",'2023'!$M$4="CA",'2023'!$M$2=R5),'2023DATA2'!$C$11,"")</f>
        <v/>
      </c>
      <c r="S14" s="518" t="str">
        <f>IF(AND(_AC1="B-767-400ER",'2023'!$M$4="CA",'2023'!$M$2=S5),'2023DATA2'!$D$11,"")</f>
        <v/>
      </c>
      <c r="T14" s="518" t="str">
        <f>IF(AND(_AC1="B-767-400ER",'2023'!$M$4="CA",'2023'!$M$2=T5),'2023DATA2'!$E$11,"")</f>
        <v/>
      </c>
      <c r="U14" s="518" t="str">
        <f>IF(AND(_AC1="B-767-400ER",'2023'!$M$4="CA",'2023'!$M$2=U5),'2023DATA2'!$F$11,"")</f>
        <v/>
      </c>
      <c r="V14" s="518" t="str">
        <f>IF(AND(_AC1="B-767-400ER",'2023'!$M$4="CA",'2023'!$M$2=V5),'2023DATA2'!$G$11,"")</f>
        <v/>
      </c>
      <c r="W14" s="518" t="str">
        <f>IF(AND(_AC1="B-767-400ER",'2023'!$M$4="CA",'2023'!$M$2=W5),'2023DATA2'!$H$11,"")</f>
        <v/>
      </c>
      <c r="X14" s="518" t="str">
        <f>IF(AND(_AC1="B-767-400ER",'2023'!$M$4="CA",'2023'!$M$2=X5),'2023DATA2'!$I$11,"")</f>
        <v/>
      </c>
      <c r="Y14" s="518" t="str">
        <f>IF(AND(_AC1="B-767-400ER",'2023'!$M$4="CA",'2023'!$M$2=Y5),'2023DATA2'!$J$11,"")</f>
        <v/>
      </c>
      <c r="Z14" s="518" t="str">
        <f>IF(AND(_AC1="B-767-400ER",'2023'!$M$4="CA",'2023'!$M$2=Z5),'2023DATA2'!$K$11,"")</f>
        <v/>
      </c>
      <c r="AA14" s="518" t="str">
        <f>IF(AND(_AC1="B-767-400ER",'2023'!$M$4="CA",'2023'!$M$2=AA5),'2023DATA2'!$L$11,"")</f>
        <v/>
      </c>
      <c r="AB14" s="518" t="str">
        <f>IF(AND(_AC1="B-767-400ER",'2023'!$M$4="CA",'2023'!$M$2=AB5),'2023DATA2'!$M$11,"")</f>
        <v/>
      </c>
      <c r="AC14" s="520" t="str">
        <f>IF(AND(_AC1="B-767-400ER",'2023'!$M$4="CA",'2023'!$M$2=AC5),'2023DATA2'!$N$11,"")</f>
        <v/>
      </c>
      <c r="AD14" s="940" t="s">
        <v>42</v>
      </c>
      <c r="AE14" s="13" t="s">
        <v>61</v>
      </c>
      <c r="AF14" s="518" t="str">
        <f>IF(AND(_AC2="B-767-400ER",'2023'!$M$4="CA",'2023'!$M$2=AF5),'2023DATA2'!$C$11,"")</f>
        <v/>
      </c>
      <c r="AG14" s="518" t="str">
        <f>IF(AND(_AC2="B-767-400ER",'2023'!$M$4="CA",'2023'!$M$2=AG5),'2023DATA2'!$D$11,"")</f>
        <v/>
      </c>
      <c r="AH14" s="518" t="str">
        <f>IF(AND(_AC2="B-767-400ER",'2023'!$M$4="CA",'2023'!$M$2=AH5),'2023DATA2'!$E$11,"")</f>
        <v/>
      </c>
      <c r="AI14" s="518" t="str">
        <f>IF(AND(_AC2="B-767-400ER",'2023'!$M$4="CA",'2023'!$M$2=AI5),'2023DATA2'!$F$11,"")</f>
        <v/>
      </c>
      <c r="AJ14" s="518" t="str">
        <f>IF(AND(_AC2="B-767-400ER",'2023'!$M$4="CA",'2023'!$M$2=AJ5),'2023DATA2'!$G$11,"")</f>
        <v/>
      </c>
      <c r="AK14" s="518" t="str">
        <f>IF(AND(_AC2="B-767-400ER",'2023'!$M$4="CA",'2023'!$M$2=AK5),'2023DATA2'!$H$11,"")</f>
        <v/>
      </c>
      <c r="AL14" s="518" t="str">
        <f>IF(AND(_AC2="B-767-400ER",'2023'!$M$4="CA",'2023'!$M$2=AL5),'2023DATA2'!$I$11,"")</f>
        <v/>
      </c>
      <c r="AM14" s="518" t="str">
        <f>IF(AND(_AC2="B-767-400ER",'2023'!$M$4="CA",'2023'!$M$2=AM5),'2023DATA2'!$J$11,"")</f>
        <v/>
      </c>
      <c r="AN14" s="518" t="str">
        <f>IF(AND(_AC2="B-767-400ER",'2023'!$M$4="CA",'2023'!$M$2=AN5),'2023DATA2'!$K$11,"")</f>
        <v/>
      </c>
      <c r="AO14" s="518" t="str">
        <f>IF(AND(_AC2="B-767-400ER",'2023'!$M$4="CA",'2023'!$M$2=AO5),'2023DATA2'!$L$11,"")</f>
        <v/>
      </c>
      <c r="AP14" s="518" t="str">
        <f>IF(AND(_AC2="B-767-400ER",'2023'!$M$4="CA",'2023'!$M$2=AP5),'2023DATA2'!$M$11,"")</f>
        <v/>
      </c>
      <c r="AQ14" s="520" t="str">
        <f>IF(AND(_AC2="B-767-400ER",'2023'!$M$4="CA",'2023'!$M$2=AQ5),'2023DATA2'!$N$11,"")</f>
        <v/>
      </c>
      <c r="AR14" s="940" t="s">
        <v>42</v>
      </c>
      <c r="AS14" s="13" t="s">
        <v>61</v>
      </c>
      <c r="AT14" s="518" t="str">
        <f>IF(AND(_AC3="B-767-400ER",'2023'!$M$4="CA",'2023'!$M$2=AT5),'2023DATA2'!$C$11,"")</f>
        <v/>
      </c>
      <c r="AU14" s="518" t="str">
        <f>IF(AND(_AC3="B-767-400ER",'2023'!$M$4="CA",'2023'!$M$2=AU5),'2023DATA2'!$D$11,"")</f>
        <v/>
      </c>
      <c r="AV14" s="518" t="str">
        <f>IF(AND(_AC3="B-767-400ER",'2023'!$M$4="CA",'2023'!$M$2=AV5),'2023DATA2'!$E$11,"")</f>
        <v/>
      </c>
      <c r="AW14" s="518" t="str">
        <f>IF(AND(_AC3="B-767-400ER",'2023'!$M$4="CA",'2023'!$M$2=AW5),'2023DATA2'!$F$11,"")</f>
        <v/>
      </c>
      <c r="AX14" s="518" t="str">
        <f>IF(AND(_AC3="B-767-400ER",'2023'!$M$4="CA",'2023'!$M$2=AX5),'2023DATA2'!$G$11,"")</f>
        <v/>
      </c>
      <c r="AY14" s="518" t="str">
        <f>IF(AND(_AC3="B-767-400ER",'2023'!$M$4="CA",'2023'!$M$2=AY5),'2023DATA2'!$H$11,"")</f>
        <v/>
      </c>
      <c r="AZ14" s="518" t="str">
        <f>IF(AND(_AC3="B-767-400ER",'2023'!$M$4="CA",'2023'!$M$2=AZ5),'2023DATA2'!$I$11,"")</f>
        <v/>
      </c>
      <c r="BA14" s="518" t="str">
        <f>IF(AND(_AC3="B-767-400ER",'2023'!$M$4="CA",'2023'!$M$2=BA5),'2023DATA2'!$J$11,"")</f>
        <v/>
      </c>
      <c r="BB14" s="518" t="str">
        <f>IF(AND(_AC3="B-767-400ER",'2023'!$M$4="CA",'2023'!$M$2=BB5),'2023DATA2'!$K$11,"")</f>
        <v/>
      </c>
      <c r="BC14" s="518" t="str">
        <f>IF(AND(_AC3="B-767-400ER",'2023'!$M$4="CA",'2023'!$M$2=BC5),'2023DATA2'!$L$11,"")</f>
        <v/>
      </c>
      <c r="BD14" s="518" t="str">
        <f>IF(AND(_AC3="B-767-400ER",'2023'!$M$4="CA",'2023'!$M$2=BD5),'2023DATA2'!$M$11,"")</f>
        <v/>
      </c>
      <c r="BE14" s="520" t="str">
        <f>IF(AND(_AC3="B-767-400ER",'2023'!$M$4="CA",'2023'!$M$2=BE5),'2023DATA2'!$N$11,"")</f>
        <v/>
      </c>
      <c r="BF14" s="940" t="s">
        <v>42</v>
      </c>
      <c r="BG14" s="13" t="s">
        <v>61</v>
      </c>
      <c r="BH14" s="518" t="str">
        <f>IF(AND(_AC4="B-767-400ER",'2023'!$M$4="CA",'2023'!$M$2=BH5),'2023DATA2'!$C$11,"")</f>
        <v/>
      </c>
      <c r="BI14" s="518" t="str">
        <f>IF(AND(_AC4="B-767-400ER",'2023'!$M$4="CA",'2023'!$M$2=BI5),'2023DATA2'!$D$11,"")</f>
        <v/>
      </c>
      <c r="BJ14" s="518" t="str">
        <f>IF(AND(_AC4="B-767-400ER",'2023'!$M$4="CA",'2023'!$M$2=BJ5),'2023DATA2'!$E$11,"")</f>
        <v/>
      </c>
      <c r="BK14" s="518" t="str">
        <f>IF(AND(_AC4="B-767-400ER",'2023'!$M$4="CA",'2023'!$M$2=BK5),'2023DATA2'!$F$11,"")</f>
        <v/>
      </c>
      <c r="BL14" s="518" t="str">
        <f>IF(AND(_AC4="B-767-400ER",'2023'!$M$4="CA",'2023'!$M$2=BL5),'2023DATA2'!$G$11,"")</f>
        <v/>
      </c>
      <c r="BM14" s="518" t="str">
        <f>IF(AND(_AC4="B-767-400ER",'2023'!$M$4="CA",'2023'!$M$2=BM5),'2023DATA2'!$H$11,"")</f>
        <v/>
      </c>
      <c r="BN14" s="518" t="str">
        <f>IF(AND(_AC4="B-767-400ER",'2023'!$M$4="CA",'2023'!$M$2=BN5),'2023DATA2'!$I$11,"")</f>
        <v/>
      </c>
      <c r="BO14" s="518" t="str">
        <f>IF(AND(_AC4="B-767-400ER",'2023'!$M$4="CA",'2023'!$M$2=BO5),'2023DATA2'!$J$11,"")</f>
        <v/>
      </c>
      <c r="BP14" s="518" t="str">
        <f>IF(AND(_AC4="B-767-400ER",'2023'!$M$4="CA",'2023'!$M$2=BP5),'2023DATA2'!$K$11,"")</f>
        <v/>
      </c>
      <c r="BQ14" s="518" t="str">
        <f>IF(AND(_AC4="B-767-400ER",'2023'!$M$4="CA",'2023'!$M$2=BQ5),'2023DATA2'!$L$11,"")</f>
        <v/>
      </c>
      <c r="BR14" s="518" t="str">
        <f>IF(AND(_AC4="B-767-400ER",'2023'!$M$4="CA",'2023'!$M$2=BR5),'2023DATA2'!$M$11,"")</f>
        <v/>
      </c>
      <c r="BS14" s="520" t="str">
        <f>IF(AND(_AC4="B-767-400ER",'2023'!$M$4="CA",'2023'!$M$2=BS5),'2023DATA2'!$N$11,"")</f>
        <v/>
      </c>
      <c r="BT14" s="940" t="s">
        <v>42</v>
      </c>
      <c r="BU14" s="13" t="s">
        <v>61</v>
      </c>
      <c r="BV14" s="518" t="str">
        <f>IF(AND(_AC5="B-767-400ER",'2023'!$M$4="CA",'2023'!$M$2=BV5),'2023DATA2'!$C$11,"")</f>
        <v/>
      </c>
      <c r="BW14" s="518" t="str">
        <f>IF(AND(_AC5="B-767-400ER",'2023'!$M$4="CA",'2023'!$M$2=BW5),'2023DATA2'!$D$11,"")</f>
        <v/>
      </c>
      <c r="BX14" s="518" t="str">
        <f>IF(AND(_AC5="B-767-400ER",'2023'!$M$4="CA",'2023'!$M$2=BX5),'2023DATA2'!$E$11,"")</f>
        <v/>
      </c>
      <c r="BY14" s="518" t="str">
        <f>IF(AND(_AC5="B-767-400ER",'2023'!$M$4="CA",'2023'!$M$2=BY5),'2023DATA2'!$F$11,"")</f>
        <v/>
      </c>
      <c r="BZ14" s="518" t="str">
        <f>IF(AND(_AC5="B-767-400ER",'2023'!$M$4="CA",'2023'!$M$2=BZ5),'2023DATA2'!$G$11,"")</f>
        <v/>
      </c>
      <c r="CA14" s="518" t="str">
        <f>IF(AND(_AC5="B-767-400ER",'2023'!$M$4="CA",'2023'!$M$2=CA5),'2023DATA2'!$H$11,"")</f>
        <v/>
      </c>
      <c r="CB14" s="518" t="str">
        <f>IF(AND(_AC5="B-767-400ER",'2023'!$M$4="CA",'2023'!$M$2=CB5),'2023DATA2'!$I$11,"")</f>
        <v/>
      </c>
      <c r="CC14" s="518" t="str">
        <f>IF(AND(_AC5="B-767-400ER",'2023'!$M$4="CA",'2023'!$M$2=CC5),'2023DATA2'!$J$11,"")</f>
        <v/>
      </c>
      <c r="CD14" s="518" t="str">
        <f>IF(AND(_AC5="B-767-400ER",'2023'!$M$4="CA",'2023'!$M$2=CD5),'2023DATA2'!$K$11,"")</f>
        <v/>
      </c>
      <c r="CE14" s="518" t="str">
        <f>IF(AND(_AC5="B-767-400ER",'2023'!$M$4="CA",'2023'!$M$2=CE5),'2023DATA2'!$L$11,"")</f>
        <v/>
      </c>
      <c r="CF14" s="518" t="str">
        <f>IF(AND(_AC5="B-767-400ER",'2023'!$M$4="CA",'2023'!$M$2=CF5),'2023DATA2'!$M$11,"")</f>
        <v/>
      </c>
      <c r="CG14" s="520" t="str">
        <f>IF(AND(_AC5="B-767-400ER",'2023'!$M$4="CA",'2023'!$M$2=CG5),'2023DATA2'!$N$11,"")</f>
        <v/>
      </c>
      <c r="CH14" s="940" t="s">
        <v>42</v>
      </c>
      <c r="CI14" s="13" t="s">
        <v>61</v>
      </c>
      <c r="CJ14" s="518" t="str">
        <f>IF(AND(_AC6="B-767-400ER",'2023'!$M$4="CA",'2023'!$M$2=CJ5),'2023DATA2'!$C$11,"")</f>
        <v/>
      </c>
      <c r="CK14" s="518" t="str">
        <f>IF(AND(_AC6="B-767-400ER",'2023'!$M$4="CA",'2023'!$M$2=CK5),'2023DATA2'!$D$11,"")</f>
        <v/>
      </c>
      <c r="CL14" s="518" t="str">
        <f>IF(AND(_AC6="B-767-400ER",'2023'!$M$4="CA",'2023'!$M$2=CL5),'2023DATA2'!$E$11,"")</f>
        <v/>
      </c>
      <c r="CM14" s="518" t="str">
        <f>IF(AND(_AC6="B-767-400ER",'2023'!$M$4="CA",'2023'!$M$2=CM5),'2023DATA2'!$F$11,"")</f>
        <v/>
      </c>
      <c r="CN14" s="518" t="str">
        <f>IF(AND(_AC6="B-767-400ER",'2023'!$M$4="CA",'2023'!$M$2=CN5),'2023DATA2'!$G$11,"")</f>
        <v/>
      </c>
      <c r="CO14" s="518" t="str">
        <f>IF(AND(_AC6="B-767-400ER",'2023'!$M$4="CA",'2023'!$M$2=CO5),'2023DATA2'!$H$11,"")</f>
        <v/>
      </c>
      <c r="CP14" s="518" t="str">
        <f>IF(AND(_AC6="B-767-400ER",'2023'!$M$4="CA",'2023'!$M$2=CP5),'2023DATA2'!$I$11,"")</f>
        <v/>
      </c>
      <c r="CQ14" s="518" t="str">
        <f>IF(AND(_AC6="B-767-400ER",'2023'!$M$4="CA",'2023'!$M$2=CQ5),'2023DATA2'!$J$11,"")</f>
        <v/>
      </c>
      <c r="CR14" s="518" t="str">
        <f>IF(AND(_AC6="B-767-400ER",'2023'!$M$4="CA",'2023'!$M$2=CR5),'2023DATA2'!$K$11,"")</f>
        <v/>
      </c>
      <c r="CS14" s="518" t="str">
        <f>IF(AND(_AC6="B-767-400ER",'2023'!$M$4="CA",'2023'!$M$2=CS5),'2023DATA2'!$L$11,"")</f>
        <v/>
      </c>
      <c r="CT14" s="518" t="str">
        <f>IF(AND(_AC6="B-767-400ER",'2023'!$M$4="CA",'2023'!$M$2=CT5),'2023DATA2'!$M$11,"")</f>
        <v/>
      </c>
      <c r="CU14" s="520" t="str">
        <f>IF(AND(_AC6="B-767-400ER",'2023'!$M$4="CA",'2023'!$M$2=CU5),'2023DATA2'!$N$11,"")</f>
        <v/>
      </c>
    </row>
    <row r="15" spans="1:99" x14ac:dyDescent="0.25">
      <c r="A15" s="946" t="s">
        <v>67</v>
      </c>
      <c r="B15" s="78" t="s">
        <v>61</v>
      </c>
      <c r="C15" s="140">
        <v>356.53</v>
      </c>
      <c r="D15" s="141">
        <v>352.89</v>
      </c>
      <c r="E15" s="142">
        <v>349.14</v>
      </c>
      <c r="F15" s="143">
        <v>345.42</v>
      </c>
      <c r="G15" s="144">
        <v>342.98</v>
      </c>
      <c r="H15" s="145">
        <v>340.17</v>
      </c>
      <c r="I15" s="144">
        <v>337.67</v>
      </c>
      <c r="J15" s="145">
        <v>335.06</v>
      </c>
      <c r="K15" s="143">
        <v>332.23</v>
      </c>
      <c r="L15" s="144">
        <v>329.56</v>
      </c>
      <c r="M15" s="145">
        <v>326.91000000000003</v>
      </c>
      <c r="N15" s="146">
        <v>324.14999999999998</v>
      </c>
      <c r="P15" s="940"/>
      <c r="Q15" s="13" t="s">
        <v>62</v>
      </c>
      <c r="R15" s="518" t="str">
        <f>IF(AND(_AC1="B-767-400ER",'2023'!$M$4="FO",'2023'!$M$2=R5),'2023DATA2'!$C$12,"")</f>
        <v/>
      </c>
      <c r="S15" s="518" t="str">
        <f>IF(AND(_AC1="B-767-400ER",'2023'!$M$4="FO",'2023'!$M$2=S5),'2023DATA2'!$D$12,"")</f>
        <v/>
      </c>
      <c r="T15" s="518" t="str">
        <f>IF(AND(_AC1="B-767-400ER",'2023'!$M$4="FO",'2023'!$M$2=T5),'2023DATA2'!$E$12,"")</f>
        <v/>
      </c>
      <c r="U15" s="518" t="str">
        <f>IF(AND(_AC1="B-767-400ER",'2023'!$M$4="FO",'2023'!$M$2=U5),'2023DATA2'!$F$12,"")</f>
        <v/>
      </c>
      <c r="V15" s="518" t="str">
        <f>IF(AND(_AC1="B-767-400ER",'2023'!$M$4="FO",'2023'!$M$2=V5),'2023DATA2'!$G$12,"")</f>
        <v/>
      </c>
      <c r="W15" s="518" t="str">
        <f>IF(AND(_AC1="B-767-400ER",'2023'!$M$4="FO",'2023'!$M$2=W5),'2023DATA2'!$H$12,"")</f>
        <v/>
      </c>
      <c r="X15" s="518" t="str">
        <f>IF(AND(_AC1="B-767-400ER",'2023'!$M$4="FO",'2023'!$M$2=X5),'2023DATA2'!$I$12,"")</f>
        <v/>
      </c>
      <c r="Y15" s="518" t="str">
        <f>IF(AND(_AC1="B-767-400ER",'2023'!$M$4="FO",'2023'!$M$2=Y5),'2023DATA2'!$J$12,"")</f>
        <v/>
      </c>
      <c r="Z15" s="518" t="str">
        <f>IF(AND(_AC1="B-767-400ER",'2023'!$M$4="FO",'2023'!$M$2=Z5),'2023DATA2'!$K$12,"")</f>
        <v/>
      </c>
      <c r="AA15" s="518" t="str">
        <f>IF(AND(_AC1="B-767-400ER",'2023'!$M$4="FO",'2023'!$M$2=AA5),'2023DATA2'!$L$12,"")</f>
        <v/>
      </c>
      <c r="AB15" s="518" t="str">
        <f>IF(AND(_AC1="B-767-400ER",'2023'!$M$4="FO",'2023'!$M$2=AB5),'2023DATA2'!$M$12,"")</f>
        <v/>
      </c>
      <c r="AC15" s="520" t="str">
        <f>IF(AND(_AC1="B-767-400ER",'2023'!$M$4="FO",'2023'!$M$2=AC5),'2023DATA2'!$N$12,"")</f>
        <v/>
      </c>
      <c r="AD15" s="940"/>
      <c r="AE15" s="13" t="s">
        <v>62</v>
      </c>
      <c r="AF15" s="518" t="str">
        <f>IF(AND(_AC2="B-767-400ER",'2023'!$M$4="FO",'2023'!$M$2=AF5),'2023DATA2'!$C$12,"")</f>
        <v/>
      </c>
      <c r="AG15" s="518" t="str">
        <f>IF(AND(_AC2="B-767-400ER",'2023'!$M$4="FO",'2023'!$M$2=AG5),'2023DATA2'!$D$12,"")</f>
        <v/>
      </c>
      <c r="AH15" s="518" t="str">
        <f>IF(AND(_AC2="B-767-400ER",'2023'!$M$4="FO",'2023'!$M$2=AH5),'2023DATA2'!$E$12,"")</f>
        <v/>
      </c>
      <c r="AI15" s="518" t="str">
        <f>IF(AND(_AC2="B-767-400ER",'2023'!$M$4="FO",'2023'!$M$2=AI5),'2023DATA2'!$F$12,"")</f>
        <v/>
      </c>
      <c r="AJ15" s="518" t="str">
        <f>IF(AND(_AC2="B-767-400ER",'2023'!$M$4="FO",'2023'!$M$2=AJ5),'2023DATA2'!$G$12,"")</f>
        <v/>
      </c>
      <c r="AK15" s="518" t="str">
        <f>IF(AND(_AC2="B-767-400ER",'2023'!$M$4="FO",'2023'!$M$2=AK5),'2023DATA2'!$H$12,"")</f>
        <v/>
      </c>
      <c r="AL15" s="518" t="str">
        <f>IF(AND(_AC2="B-767-400ER",'2023'!$M$4="FO",'2023'!$M$2=AL5),'2023DATA2'!$I$12,"")</f>
        <v/>
      </c>
      <c r="AM15" s="518" t="str">
        <f>IF(AND(_AC2="B-767-400ER",'2023'!$M$4="FO",'2023'!$M$2=AM5),'2023DATA2'!$J$12,"")</f>
        <v/>
      </c>
      <c r="AN15" s="518" t="str">
        <f>IF(AND(_AC2="B-767-400ER",'2023'!$M$4="FO",'2023'!$M$2=AN5),'2023DATA2'!$K$12,"")</f>
        <v/>
      </c>
      <c r="AO15" s="518" t="str">
        <f>IF(AND(_AC2="B-767-400ER",'2023'!$M$4="FO",'2023'!$M$2=AO5),'2023DATA2'!$L$12,"")</f>
        <v/>
      </c>
      <c r="AP15" s="518" t="str">
        <f>IF(AND(_AC2="B-767-400ER",'2023'!$M$4="FO",'2023'!$M$2=AP5),'2023DATA2'!$M$12,"")</f>
        <v/>
      </c>
      <c r="AQ15" s="520" t="str">
        <f>IF(AND(_AC2="B-767-400ER",'2023'!$M$4="FO",'2023'!$M$2=AQ5),'2023DATA2'!$N$12,"")</f>
        <v/>
      </c>
      <c r="AR15" s="940"/>
      <c r="AS15" s="13" t="s">
        <v>62</v>
      </c>
      <c r="AT15" s="518" t="str">
        <f>IF(AND(_AC3="B-767-400ER",'2023'!$M$4="FO",'2023'!$M$2=AT5),'2023DATA2'!$C$12,"")</f>
        <v/>
      </c>
      <c r="AU15" s="518" t="str">
        <f>IF(AND(_AC3="B-767-400ER",'2023'!$M$4="FO",'2023'!$M$2=AU5),'2023DATA2'!$D$12,"")</f>
        <v/>
      </c>
      <c r="AV15" s="518" t="str">
        <f>IF(AND(_AC3="B-767-400ER",'2023'!$M$4="FO",'2023'!$M$2=AV5),'2023DATA2'!$E$12,"")</f>
        <v/>
      </c>
      <c r="AW15" s="518" t="str">
        <f>IF(AND(_AC3="B-767-400ER",'2023'!$M$4="FO",'2023'!$M$2=AW5),'2023DATA2'!$F$12,"")</f>
        <v/>
      </c>
      <c r="AX15" s="518" t="str">
        <f>IF(AND(_AC3="B-767-400ER",'2023'!$M$4="FO",'2023'!$M$2=AX5),'2023DATA2'!$G$12,"")</f>
        <v/>
      </c>
      <c r="AY15" s="518" t="str">
        <f>IF(AND(_AC3="B-767-400ER",'2023'!$M$4="FO",'2023'!$M$2=AY5),'2023DATA2'!$H$12,"")</f>
        <v/>
      </c>
      <c r="AZ15" s="518" t="str">
        <f>IF(AND(_AC3="B-767-400ER",'2023'!$M$4="FO",'2023'!$M$2=AZ5),'2023DATA2'!$I$12,"")</f>
        <v/>
      </c>
      <c r="BA15" s="518" t="str">
        <f>IF(AND(_AC3="B-767-400ER",'2023'!$M$4="FO",'2023'!$M$2=BA5),'2023DATA2'!$J$12,"")</f>
        <v/>
      </c>
      <c r="BB15" s="518" t="str">
        <f>IF(AND(_AC3="B-767-400ER",'2023'!$M$4="FO",'2023'!$M$2=BB5),'2023DATA2'!$K$12,"")</f>
        <v/>
      </c>
      <c r="BC15" s="518" t="str">
        <f>IF(AND(_AC3="B-767-400ER",'2023'!$M$4="FO",'2023'!$M$2=BC5),'2023DATA2'!$L$12,"")</f>
        <v/>
      </c>
      <c r="BD15" s="518" t="str">
        <f>IF(AND(_AC3="B-767-400ER",'2023'!$M$4="FO",'2023'!$M$2=BD5),'2023DATA2'!$M$12,"")</f>
        <v/>
      </c>
      <c r="BE15" s="520" t="str">
        <f>IF(AND(_AC3="B-767-400ER",'2023'!$M$4="FO",'2023'!$M$2=BE5),'2023DATA2'!$N$12,"")</f>
        <v/>
      </c>
      <c r="BF15" s="940"/>
      <c r="BG15" s="13" t="s">
        <v>62</v>
      </c>
      <c r="BH15" s="518" t="str">
        <f>IF(AND(_AC4="B-767-400ER",'2023'!$M$4="FO",'2023'!$M$2=BH5),'2023DATA2'!$C$12,"")</f>
        <v/>
      </c>
      <c r="BI15" s="518" t="str">
        <f>IF(AND(_AC4="B-767-400ER",'2023'!$M$4="FO",'2023'!$M$2=BI5),'2023DATA2'!$D$12,"")</f>
        <v/>
      </c>
      <c r="BJ15" s="518" t="str">
        <f>IF(AND(_AC4="B-767-400ER",'2023'!$M$4="FO",'2023'!$M$2=BJ5),'2023DATA2'!$E$12,"")</f>
        <v/>
      </c>
      <c r="BK15" s="518" t="str">
        <f>IF(AND(_AC4="B-767-400ER",'2023'!$M$4="FO",'2023'!$M$2=BK5),'2023DATA2'!$F$12,"")</f>
        <v/>
      </c>
      <c r="BL15" s="518" t="str">
        <f>IF(AND(_AC4="B-767-400ER",'2023'!$M$4="FO",'2023'!$M$2=BL5),'2023DATA2'!$G$12,"")</f>
        <v/>
      </c>
      <c r="BM15" s="518" t="str">
        <f>IF(AND(_AC4="B-767-400ER",'2023'!$M$4="FO",'2023'!$M$2=BM5),'2023DATA2'!$H$12,"")</f>
        <v/>
      </c>
      <c r="BN15" s="518" t="str">
        <f>IF(AND(_AC4="B-767-400ER",'2023'!$M$4="FO",'2023'!$M$2=BN5),'2023DATA2'!$I$12,"")</f>
        <v/>
      </c>
      <c r="BO15" s="518" t="str">
        <f>IF(AND(_AC4="B-767-400ER",'2023'!$M$4="FO",'2023'!$M$2=BO5),'2023DATA2'!$J$12,"")</f>
        <v/>
      </c>
      <c r="BP15" s="518" t="str">
        <f>IF(AND(_AC4="B-767-400ER",'2023'!$M$4="FO",'2023'!$M$2=BP5),'2023DATA2'!$K$12,"")</f>
        <v/>
      </c>
      <c r="BQ15" s="518" t="str">
        <f>IF(AND(_AC4="B-767-400ER",'2023'!$M$4="FO",'2023'!$M$2=BQ5),'2023DATA2'!$L$12,"")</f>
        <v/>
      </c>
      <c r="BR15" s="518" t="str">
        <f>IF(AND(_AC4="B-767-400ER",'2023'!$M$4="FO",'2023'!$M$2=BR5),'2023DATA2'!$M$12,"")</f>
        <v/>
      </c>
      <c r="BS15" s="520" t="str">
        <f>IF(AND(_AC4="B-767-400ER",'2023'!$M$4="FO",'2023'!$M$2=BS5),'2023DATA2'!$N$12,"")</f>
        <v/>
      </c>
      <c r="BT15" s="940"/>
      <c r="BU15" s="13" t="s">
        <v>62</v>
      </c>
      <c r="BV15" s="518" t="str">
        <f>IF(AND(_AC5="B-767-400ER",'2023'!$M$4="FO",'2023'!$M$2=BV5),'2023DATA2'!$C$12,"")</f>
        <v/>
      </c>
      <c r="BW15" s="518" t="str">
        <f>IF(AND(_AC5="B-767-400ER",'2023'!$M$4="FO",'2023'!$M$2=BW5),'2023DATA2'!$D$12,"")</f>
        <v/>
      </c>
      <c r="BX15" s="518" t="str">
        <f>IF(AND(_AC5="B-767-400ER",'2023'!$M$4="FO",'2023'!$M$2=BX5),'2023DATA2'!$E$12,"")</f>
        <v/>
      </c>
      <c r="BY15" s="518" t="str">
        <f>IF(AND(_AC5="B-767-400ER",'2023'!$M$4="FO",'2023'!$M$2=BY5),'2023DATA2'!$F$12,"")</f>
        <v/>
      </c>
      <c r="BZ15" s="518" t="str">
        <f>IF(AND(_AC5="B-767-400ER",'2023'!$M$4="FO",'2023'!$M$2=BZ5),'2023DATA2'!$G$12,"")</f>
        <v/>
      </c>
      <c r="CA15" s="518" t="str">
        <f>IF(AND(_AC5="B-767-400ER",'2023'!$M$4="FO",'2023'!$M$2=CA5),'2023DATA2'!$H$12,"")</f>
        <v/>
      </c>
      <c r="CB15" s="518" t="str">
        <f>IF(AND(_AC5="B-767-400ER",'2023'!$M$4="FO",'2023'!$M$2=CB5),'2023DATA2'!$I$12,"")</f>
        <v/>
      </c>
      <c r="CC15" s="518" t="str">
        <f>IF(AND(_AC5="B-767-400ER",'2023'!$M$4="FO",'2023'!$M$2=CC5),'2023DATA2'!$J$12,"")</f>
        <v/>
      </c>
      <c r="CD15" s="518" t="str">
        <f>IF(AND(_AC5="B-767-400ER",'2023'!$M$4="FO",'2023'!$M$2=CD5),'2023DATA2'!$K$12,"")</f>
        <v/>
      </c>
      <c r="CE15" s="518" t="str">
        <f>IF(AND(_AC5="B-767-400ER",'2023'!$M$4="FO",'2023'!$M$2=CE5),'2023DATA2'!$L$12,"")</f>
        <v/>
      </c>
      <c r="CF15" s="518" t="str">
        <f>IF(AND(_AC5="B-767-400ER",'2023'!$M$4="FO",'2023'!$M$2=CF5),'2023DATA2'!$M$12,"")</f>
        <v/>
      </c>
      <c r="CG15" s="520" t="str">
        <f>IF(AND(_AC5="B-767-400ER",'2023'!$M$4="FO",'2023'!$M$2=CG5),'2023DATA2'!$N$12,"")</f>
        <v/>
      </c>
      <c r="CH15" s="940"/>
      <c r="CI15" s="13" t="s">
        <v>62</v>
      </c>
      <c r="CJ15" s="518" t="str">
        <f>IF(AND(_AC6="B-767-400ER",'2023'!$M$4="FO",'2023'!$M$2=CJ5),'2023DATA2'!$C$12,"")</f>
        <v/>
      </c>
      <c r="CK15" s="518" t="str">
        <f>IF(AND(_AC6="B-767-400ER",'2023'!$M$4="FO",'2023'!$M$2=CK5),'2023DATA2'!$D$12,"")</f>
        <v/>
      </c>
      <c r="CL15" s="518" t="str">
        <f>IF(AND(_AC6="B-767-400ER",'2023'!$M$4="FO",'2023'!$M$2=CL5),'2023DATA2'!$E$12,"")</f>
        <v/>
      </c>
      <c r="CM15" s="518" t="str">
        <f>IF(AND(_AC6="B-767-400ER",'2023'!$M$4="FO",'2023'!$M$2=CM5),'2023DATA2'!$F$12,"")</f>
        <v/>
      </c>
      <c r="CN15" s="518" t="str">
        <f>IF(AND(_AC6="B-767-400ER",'2023'!$M$4="FO",'2023'!$M$2=CN5),'2023DATA2'!$G$12,"")</f>
        <v/>
      </c>
      <c r="CO15" s="518" t="str">
        <f>IF(AND(_AC6="B-767-400ER",'2023'!$M$4="FO",'2023'!$M$2=CO5),'2023DATA2'!$H$12,"")</f>
        <v/>
      </c>
      <c r="CP15" s="518" t="str">
        <f>IF(AND(_AC6="B-767-400ER",'2023'!$M$4="FO",'2023'!$M$2=CP5),'2023DATA2'!$I$12,"")</f>
        <v/>
      </c>
      <c r="CQ15" s="518" t="str">
        <f>IF(AND(_AC6="B-767-400ER",'2023'!$M$4="FO",'2023'!$M$2=CQ5),'2023DATA2'!$J$12,"")</f>
        <v/>
      </c>
      <c r="CR15" s="518" t="str">
        <f>IF(AND(_AC6="B-767-400ER",'2023'!$M$4="FO",'2023'!$M$2=CR5),'2023DATA2'!$K$12,"")</f>
        <v/>
      </c>
      <c r="CS15" s="518" t="str">
        <f>IF(AND(_AC6="B-767-400ER",'2023'!$M$4="FO",'2023'!$M$2=CS5),'2023DATA2'!$L$12,"")</f>
        <v/>
      </c>
      <c r="CT15" s="518" t="str">
        <f>IF(AND(_AC6="B-767-400ER",'2023'!$M$4="FO",'2023'!$M$2=CT5),'2023DATA2'!$M$12,"")</f>
        <v/>
      </c>
      <c r="CU15" s="520" t="str">
        <f>IF(AND(_AC6="B-767-400ER",'2023'!$M$4="FO",'2023'!$M$2=CU5),'2023DATA2'!$N$12,"")</f>
        <v/>
      </c>
    </row>
    <row r="16" spans="1:99" x14ac:dyDescent="0.25">
      <c r="A16" s="946"/>
      <c r="B16" s="78" t="s">
        <v>62</v>
      </c>
      <c r="C16" s="291">
        <v>243.51</v>
      </c>
      <c r="D16" s="292">
        <v>240.68</v>
      </c>
      <c r="E16" s="292">
        <v>237.76</v>
      </c>
      <c r="F16" s="293">
        <v>233.87</v>
      </c>
      <c r="G16" s="336">
        <v>231.53</v>
      </c>
      <c r="H16" s="337">
        <v>226.22</v>
      </c>
      <c r="I16" s="338">
        <v>220.15</v>
      </c>
      <c r="J16" s="339">
        <v>214.78</v>
      </c>
      <c r="K16" s="340">
        <v>209.64</v>
      </c>
      <c r="L16" s="121">
        <v>204.66</v>
      </c>
      <c r="M16" s="121">
        <v>174.89</v>
      </c>
      <c r="N16" s="124">
        <v>110.52</v>
      </c>
      <c r="P16" s="940" t="s">
        <v>43</v>
      </c>
      <c r="Q16" s="13" t="s">
        <v>61</v>
      </c>
      <c r="R16" s="518" t="str">
        <f>IF(AND(_AC1="B-767-300ER",'2023'!$M$4="CA",'2023'!$M$2=R5),'2023DATA2'!$C$13,"")</f>
        <v/>
      </c>
      <c r="S16" s="518" t="str">
        <f>IF(AND(_AC1="B-767-300ER",'2023'!$M$4="CA",'2023'!$M$2=S5),'2023DATA2'!$D$13,"")</f>
        <v/>
      </c>
      <c r="T16" s="518" t="str">
        <f>IF(AND(_AC1="B-767-300ER",'2023'!$M$4="CA",'2023'!$M$2=T5),'2023DATA2'!$E$13,"")</f>
        <v/>
      </c>
      <c r="U16" s="518" t="str">
        <f>IF(AND(_AC1="B-767-300ER",'2023'!$M$4="CA",'2023'!$M$2=U5),'2023DATA2'!$F$13,"")</f>
        <v/>
      </c>
      <c r="V16" s="518" t="str">
        <f>IF(AND(_AC1="B-767-300ER",'2023'!$M$4="CA",'2023'!$M$2=V5),'2023DATA2'!$G$13,"")</f>
        <v/>
      </c>
      <c r="W16" s="518" t="str">
        <f>IF(AND(_AC1="B-767-300ER",'2023'!$M$4="CA",'2023'!$M$2=W5),'2023DATA2'!$H$13,"")</f>
        <v/>
      </c>
      <c r="X16" s="518" t="str">
        <f>IF(AND(_AC1="B-767-300ER",'2023'!$M$4="CA",'2023'!$M$2=X5),'2023DATA2'!$I$13,"")</f>
        <v/>
      </c>
      <c r="Y16" s="518" t="str">
        <f>IF(AND(_AC1="B-767-300ER",'2023'!$M$4="CA",'2023'!$M$2=Y5),'2023DATA2'!$J$13,"")</f>
        <v/>
      </c>
      <c r="Z16" s="518" t="str">
        <f>IF(AND(_AC1="B-767-300ER",'2023'!$M$4="CA",'2023'!$M$2=Z5),'2023DATA2'!$K$13,"")</f>
        <v/>
      </c>
      <c r="AA16" s="518" t="str">
        <f>IF(AND(_AC1="B-767-300ER",'2023'!$M$4="CA",'2023'!$M$2=AA5),'2023DATA2'!$L$13,"")</f>
        <v/>
      </c>
      <c r="AB16" s="518" t="str">
        <f>IF(AND(_AC1="B-767-300ER",'2023'!$M$4="CA",'2023'!$M$2=AB5),'2023DATA2'!$M$13,"")</f>
        <v/>
      </c>
      <c r="AC16" s="520" t="str">
        <f>IF(AND(_AC1="B-767-300ER",'2023'!$M$4="CA",'2023'!$M$2=AC5),'2023DATA2'!$N$13,"")</f>
        <v/>
      </c>
      <c r="AD16" s="940" t="s">
        <v>43</v>
      </c>
      <c r="AE16" s="13" t="s">
        <v>61</v>
      </c>
      <c r="AF16" s="518" t="str">
        <f>IF(AND(_AC2="B-767-300ER",'2023'!$M$4="CA",'2023'!$M$2=AF5),'2023DATA2'!$C$13,"")</f>
        <v/>
      </c>
      <c r="AG16" s="518" t="str">
        <f>IF(AND(_AC2="B-767-300ER",'2023'!$M$4="CA",'2023'!$M$2=AG5),'2023DATA2'!$D$13,"")</f>
        <v/>
      </c>
      <c r="AH16" s="518" t="str">
        <f>IF(AND(_AC2="B-767-300ER",'2023'!$M$4="CA",'2023'!$M$2=AH5),'2023DATA2'!$E$13,"")</f>
        <v/>
      </c>
      <c r="AI16" s="518" t="str">
        <f>IF(AND(_AC2="B-767-300ER",'2023'!$M$4="CA",'2023'!$M$2=AI5),'2023DATA2'!$F$13,"")</f>
        <v/>
      </c>
      <c r="AJ16" s="518" t="str">
        <f>IF(AND(_AC2="B-767-300ER",'2023'!$M$4="CA",'2023'!$M$2=AJ5),'2023DATA2'!$G$13,"")</f>
        <v/>
      </c>
      <c r="AK16" s="518" t="str">
        <f>IF(AND(_AC2="B-767-300ER",'2023'!$M$4="CA",'2023'!$M$2=AK5),'2023DATA2'!$H$13,"")</f>
        <v/>
      </c>
      <c r="AL16" s="518" t="str">
        <f>IF(AND(_AC2="B-767-300ER",'2023'!$M$4="CA",'2023'!$M$2=AL5),'2023DATA2'!$I$13,"")</f>
        <v/>
      </c>
      <c r="AM16" s="518" t="str">
        <f>IF(AND(_AC2="B-767-300ER",'2023'!$M$4="CA",'2023'!$M$2=AM5),'2023DATA2'!$J$13,"")</f>
        <v/>
      </c>
      <c r="AN16" s="518" t="str">
        <f>IF(AND(_AC2="B-767-300ER",'2023'!$M$4="CA",'2023'!$M$2=AN5),'2023DATA2'!$K$13,"")</f>
        <v/>
      </c>
      <c r="AO16" s="518" t="str">
        <f>IF(AND(_AC2="B-767-300ER",'2023'!$M$4="CA",'2023'!$M$2=AO5),'2023DATA2'!$L$13,"")</f>
        <v/>
      </c>
      <c r="AP16" s="518" t="str">
        <f>IF(AND(_AC2="B-767-300ER",'2023'!$M$4="CA",'2023'!$M$2=AP5),'2023DATA2'!$M$13,"")</f>
        <v/>
      </c>
      <c r="AQ16" s="520" t="str">
        <f>IF(AND(_AC2="B-767-300ER",'2023'!$M$4="CA",'2023'!$M$2=AQ5),'2023DATA2'!$N$13,"")</f>
        <v/>
      </c>
      <c r="AR16" s="940" t="s">
        <v>43</v>
      </c>
      <c r="AS16" s="13" t="s">
        <v>61</v>
      </c>
      <c r="AT16" s="518" t="str">
        <f>IF(AND(_AC3="B-767-300ER",'2023'!$M$4="CA",'2023'!$M$2=AT5),'2023DATA2'!$C$13,"")</f>
        <v/>
      </c>
      <c r="AU16" s="518" t="str">
        <f>IF(AND(_AC3="B-767-300ER",'2023'!$M$4="CA",'2023'!$M$2=AU5),'2023DATA2'!$D$13,"")</f>
        <v/>
      </c>
      <c r="AV16" s="518" t="str">
        <f>IF(AND(_AC3="B-767-300ER",'2023'!$M$4="CA",'2023'!$M$2=AV5),'2023DATA2'!$E$13,"")</f>
        <v/>
      </c>
      <c r="AW16" s="518" t="str">
        <f>IF(AND(_AC3="B-767-300ER",'2023'!$M$4="CA",'2023'!$M$2=AW5),'2023DATA2'!$F$13,"")</f>
        <v/>
      </c>
      <c r="AX16" s="518" t="str">
        <f>IF(AND(_AC3="B-767-300ER",'2023'!$M$4="CA",'2023'!$M$2=AX5),'2023DATA2'!$G$13,"")</f>
        <v/>
      </c>
      <c r="AY16" s="518" t="str">
        <f>IF(AND(_AC3="B-767-300ER",'2023'!$M$4="CA",'2023'!$M$2=AY5),'2023DATA2'!$H$13,"")</f>
        <v/>
      </c>
      <c r="AZ16" s="518" t="str">
        <f>IF(AND(_AC3="B-767-300ER",'2023'!$M$4="CA",'2023'!$M$2=AZ5),'2023DATA2'!$I$13,"")</f>
        <v/>
      </c>
      <c r="BA16" s="518" t="str">
        <f>IF(AND(_AC3="B-767-300ER",'2023'!$M$4="CA",'2023'!$M$2=BA5),'2023DATA2'!$J$13,"")</f>
        <v/>
      </c>
      <c r="BB16" s="518" t="str">
        <f>IF(AND(_AC3="B-767-300ER",'2023'!$M$4="CA",'2023'!$M$2=BB5),'2023DATA2'!$K$13,"")</f>
        <v/>
      </c>
      <c r="BC16" s="518" t="str">
        <f>IF(AND(_AC3="B-767-300ER",'2023'!$M$4="CA",'2023'!$M$2=BC5),'2023DATA2'!$L$13,"")</f>
        <v/>
      </c>
      <c r="BD16" s="518" t="str">
        <f>IF(AND(_AC3="B-767-300ER",'2023'!$M$4="CA",'2023'!$M$2=BD5),'2023DATA2'!$M$13,"")</f>
        <v/>
      </c>
      <c r="BE16" s="520" t="str">
        <f>IF(AND(_AC3="B-767-300ER",'2023'!$M$4="CA",'2023'!$M$2=BE5),'2023DATA2'!$N$13,"")</f>
        <v/>
      </c>
      <c r="BF16" s="940" t="s">
        <v>43</v>
      </c>
      <c r="BG16" s="13" t="s">
        <v>61</v>
      </c>
      <c r="BH16" s="518" t="str">
        <f>IF(AND(_AC4="B-767-300ER",'2023'!$M$4="CA",'2023'!$M$2=BH5),'2023DATA2'!$C$13,"")</f>
        <v/>
      </c>
      <c r="BI16" s="518" t="str">
        <f>IF(AND(_AC4="B-767-300ER",'2023'!$M$4="CA",'2023'!$M$2=BI5),'2023DATA2'!$D$13,"")</f>
        <v/>
      </c>
      <c r="BJ16" s="518" t="str">
        <f>IF(AND(_AC4="B-767-300ER",'2023'!$M$4="CA",'2023'!$M$2=BJ5),'2023DATA2'!$E$13,"")</f>
        <v/>
      </c>
      <c r="BK16" s="518" t="str">
        <f>IF(AND(_AC4="B-767-300ER",'2023'!$M$4="CA",'2023'!$M$2=BK5),'2023DATA2'!$F$13,"")</f>
        <v/>
      </c>
      <c r="BL16" s="518" t="str">
        <f>IF(AND(_AC4="B-767-300ER",'2023'!$M$4="CA",'2023'!$M$2=BL5),'2023DATA2'!$G$13,"")</f>
        <v/>
      </c>
      <c r="BM16" s="518" t="str">
        <f>IF(AND(_AC4="B-767-300ER",'2023'!$M$4="CA",'2023'!$M$2=BM5),'2023DATA2'!$H$13,"")</f>
        <v/>
      </c>
      <c r="BN16" s="518" t="str">
        <f>IF(AND(_AC4="B-767-300ER",'2023'!$M$4="CA",'2023'!$M$2=BN5),'2023DATA2'!$I$13,"")</f>
        <v/>
      </c>
      <c r="BO16" s="518" t="str">
        <f>IF(AND(_AC4="B-767-300ER",'2023'!$M$4="CA",'2023'!$M$2=BO5),'2023DATA2'!$J$13,"")</f>
        <v/>
      </c>
      <c r="BP16" s="518" t="str">
        <f>IF(AND(_AC4="B-767-300ER",'2023'!$M$4="CA",'2023'!$M$2=BP5),'2023DATA2'!$K$13,"")</f>
        <v/>
      </c>
      <c r="BQ16" s="518" t="str">
        <f>IF(AND(_AC4="B-767-300ER",'2023'!$M$4="CA",'2023'!$M$2=BQ5),'2023DATA2'!$L$13,"")</f>
        <v/>
      </c>
      <c r="BR16" s="518" t="str">
        <f>IF(AND(_AC4="B-767-300ER",'2023'!$M$4="CA",'2023'!$M$2=BR5),'2023DATA2'!$M$13,"")</f>
        <v/>
      </c>
      <c r="BS16" s="520" t="str">
        <f>IF(AND(_AC4="B-767-300ER",'2023'!$M$4="CA",'2023'!$M$2=BS5),'2023DATA2'!$N$13,"")</f>
        <v/>
      </c>
      <c r="BT16" s="940" t="s">
        <v>43</v>
      </c>
      <c r="BU16" s="13" t="s">
        <v>61</v>
      </c>
      <c r="BV16" s="518" t="str">
        <f>IF(AND(_AC5="B-767-300ER",'2023'!$M$4="CA",'2023'!$M$2=BV5),'2023DATA2'!$C$13,"")</f>
        <v/>
      </c>
      <c r="BW16" s="518" t="str">
        <f>IF(AND(_AC5="B-767-300ER",'2023'!$M$4="CA",'2023'!$M$2=BW5),'2023DATA2'!$D$13,"")</f>
        <v/>
      </c>
      <c r="BX16" s="518" t="str">
        <f>IF(AND(_AC5="B-767-300ER",'2023'!$M$4="CA",'2023'!$M$2=BX5),'2023DATA2'!$E$13,"")</f>
        <v/>
      </c>
      <c r="BY16" s="518" t="str">
        <f>IF(AND(_AC5="B-767-300ER",'2023'!$M$4="CA",'2023'!$M$2=BY5),'2023DATA2'!$F$13,"")</f>
        <v/>
      </c>
      <c r="BZ16" s="518" t="str">
        <f>IF(AND(_AC5="B-767-300ER",'2023'!$M$4="CA",'2023'!$M$2=BZ5),'2023DATA2'!$G$13,"")</f>
        <v/>
      </c>
      <c r="CA16" s="518" t="str">
        <f>IF(AND(_AC5="B-767-300ER",'2023'!$M$4="CA",'2023'!$M$2=CA5),'2023DATA2'!$H$13,"")</f>
        <v/>
      </c>
      <c r="CB16" s="518" t="str">
        <f>IF(AND(_AC5="B-767-300ER",'2023'!$M$4="CA",'2023'!$M$2=CB5),'2023DATA2'!$I$13,"")</f>
        <v/>
      </c>
      <c r="CC16" s="518" t="str">
        <f>IF(AND(_AC5="B-767-300ER",'2023'!$M$4="CA",'2023'!$M$2=CC5),'2023DATA2'!$J$13,"")</f>
        <v/>
      </c>
      <c r="CD16" s="518" t="str">
        <f>IF(AND(_AC5="B-767-300ER",'2023'!$M$4="CA",'2023'!$M$2=CD5),'2023DATA2'!$K$13,"")</f>
        <v/>
      </c>
      <c r="CE16" s="518" t="str">
        <f>IF(AND(_AC5="B-767-300ER",'2023'!$M$4="CA",'2023'!$M$2=CE5),'2023DATA2'!$L$13,"")</f>
        <v/>
      </c>
      <c r="CF16" s="518" t="str">
        <f>IF(AND(_AC5="B-767-300ER",'2023'!$M$4="CA",'2023'!$M$2=CF5),'2023DATA2'!$M$13,"")</f>
        <v/>
      </c>
      <c r="CG16" s="520" t="str">
        <f>IF(AND(_AC5="B-767-300ER",'2023'!$M$4="CA",'2023'!$M$2=CG5),'2023DATA2'!$N$13,"")</f>
        <v/>
      </c>
      <c r="CH16" s="940" t="s">
        <v>43</v>
      </c>
      <c r="CI16" s="13" t="s">
        <v>61</v>
      </c>
      <c r="CJ16" s="518" t="str">
        <f>IF(AND(_AC6="B-767-300ER",'2023'!$M$4="CA",'2023'!$M$2=CJ5),'2023DATA2'!$C$13,"")</f>
        <v/>
      </c>
      <c r="CK16" s="518" t="str">
        <f>IF(AND(_AC6="B-767-300ER",'2023'!$M$4="CA",'2023'!$M$2=CK5),'2023DATA2'!$D$13,"")</f>
        <v/>
      </c>
      <c r="CL16" s="518" t="str">
        <f>IF(AND(_AC6="B-767-300ER",'2023'!$M$4="CA",'2023'!$M$2=CL5),'2023DATA2'!$E$13,"")</f>
        <v/>
      </c>
      <c r="CM16" s="518" t="str">
        <f>IF(AND(_AC6="B-767-300ER",'2023'!$M$4="CA",'2023'!$M$2=CM5),'2023DATA2'!$F$13,"")</f>
        <v/>
      </c>
      <c r="CN16" s="518" t="str">
        <f>IF(AND(_AC6="B-767-300ER",'2023'!$M$4="CA",'2023'!$M$2=CN5),'2023DATA2'!$G$13,"")</f>
        <v/>
      </c>
      <c r="CO16" s="518" t="str">
        <f>IF(AND(_AC6="B-767-300ER",'2023'!$M$4="CA",'2023'!$M$2=CO5),'2023DATA2'!$H$13,"")</f>
        <v/>
      </c>
      <c r="CP16" s="518" t="str">
        <f>IF(AND(_AC6="B-767-300ER",'2023'!$M$4="CA",'2023'!$M$2=CP5),'2023DATA2'!$I$13,"")</f>
        <v/>
      </c>
      <c r="CQ16" s="518" t="str">
        <f>IF(AND(_AC6="B-767-300ER",'2023'!$M$4="CA",'2023'!$M$2=CQ5),'2023DATA2'!$J$13,"")</f>
        <v/>
      </c>
      <c r="CR16" s="518" t="str">
        <f>IF(AND(_AC6="B-767-300ER",'2023'!$M$4="CA",'2023'!$M$2=CR5),'2023DATA2'!$K$13,"")</f>
        <v/>
      </c>
      <c r="CS16" s="518" t="str">
        <f>IF(AND(_AC6="B-767-300ER",'2023'!$M$4="CA",'2023'!$M$2=CS5),'2023DATA2'!$L$13,"")</f>
        <v/>
      </c>
      <c r="CT16" s="518" t="str">
        <f>IF(AND(_AC6="B-767-300ER",'2023'!$M$4="CA",'2023'!$M$2=CT5),'2023DATA2'!$M$13,"")</f>
        <v/>
      </c>
      <c r="CU16" s="520" t="str">
        <f>IF(AND(_AC6="B-767-300ER",'2023'!$M$4="CA",'2023'!$M$2=CU5),'2023DATA2'!$N$13,"")</f>
        <v/>
      </c>
    </row>
    <row r="17" spans="1:99" x14ac:dyDescent="0.25">
      <c r="A17" s="946" t="s">
        <v>68</v>
      </c>
      <c r="B17" s="78" t="s">
        <v>61</v>
      </c>
      <c r="C17" s="140">
        <v>356.53</v>
      </c>
      <c r="D17" s="141">
        <v>352.89</v>
      </c>
      <c r="E17" s="142">
        <v>349.14</v>
      </c>
      <c r="F17" s="143">
        <v>345.42</v>
      </c>
      <c r="G17" s="144">
        <v>342.98</v>
      </c>
      <c r="H17" s="145">
        <v>340.17</v>
      </c>
      <c r="I17" s="144">
        <v>337.67</v>
      </c>
      <c r="J17" s="145">
        <v>335.06</v>
      </c>
      <c r="K17" s="143">
        <v>332.23</v>
      </c>
      <c r="L17" s="144">
        <v>329.56</v>
      </c>
      <c r="M17" s="145">
        <v>326.91000000000003</v>
      </c>
      <c r="N17" s="146">
        <v>324.14999999999998</v>
      </c>
      <c r="P17" s="940"/>
      <c r="Q17" s="13" t="s">
        <v>62</v>
      </c>
      <c r="R17" s="518" t="str">
        <f>IF(AND(_AC1="B-767-300ER",'2023'!$M$4="FO",'2023'!$M$2=R5),'2023DATA2'!$C$14,"")</f>
        <v/>
      </c>
      <c r="S17" s="518" t="str">
        <f>IF(AND(_AC1="B-767-300ER",'2023'!$M$4="FO",'2023'!$M$2=S5),'2023DATA2'!$D$14,"")</f>
        <v/>
      </c>
      <c r="T17" s="518" t="str">
        <f>IF(AND(_AC1="B-767-300ER",'2023'!$M$4="FO",'2023'!$M$2=T5),'2023DATA2'!$E$14,"")</f>
        <v/>
      </c>
      <c r="U17" s="518" t="str">
        <f>IF(AND(_AC1="B-767-300ER",'2023'!$M$4="FO",'2023'!$M$2=U5),'2023DATA2'!$F$14,"")</f>
        <v/>
      </c>
      <c r="V17" s="518" t="str">
        <f>IF(AND(_AC1="B-767-300ER",'2023'!$M$4="FO",'2023'!$M$2=V5),'2023DATA2'!$G$14,"")</f>
        <v/>
      </c>
      <c r="W17" s="518" t="str">
        <f>IF(AND(_AC1="B-767-300ER",'2023'!$M$4="FO",'2023'!$M$2=W5),'2023DATA2'!$H$14,"")</f>
        <v/>
      </c>
      <c r="X17" s="518" t="str">
        <f>IF(AND(_AC1="B-767-300ER",'2023'!$M$4="FO",'2023'!$M$2=X5),'2023DATA2'!$I$14,"")</f>
        <v/>
      </c>
      <c r="Y17" s="518" t="str">
        <f>IF(AND(_AC1="B-767-300ER",'2023'!$M$4="FO",'2023'!$M$2=Y5),'2023DATA2'!$J$14,"")</f>
        <v/>
      </c>
      <c r="Z17" s="518" t="str">
        <f>IF(AND(_AC1="B-767-300ER",'2023'!$M$4="FO",'2023'!$M$2=Z5),'2023DATA2'!$K$14,"")</f>
        <v/>
      </c>
      <c r="AA17" s="518" t="str">
        <f>IF(AND(_AC1="B-767-300ER",'2023'!$M$4="FO",'2023'!$M$2=AA5),'2023DATA2'!$L$14,"")</f>
        <v/>
      </c>
      <c r="AB17" s="518" t="str">
        <f>IF(AND(_AC1="B-767-300ER",'2023'!$M$4="FO",'2023'!$M$2=AB5),'2023DATA2'!$M$14,"")</f>
        <v/>
      </c>
      <c r="AC17" s="520" t="str">
        <f>IF(AND(_AC1="B-767-300ER",'2023'!$M$4="FO",'2023'!$M$2=AC5),'2023DATA2'!$N$14,"")</f>
        <v/>
      </c>
      <c r="AD17" s="940"/>
      <c r="AE17" s="13" t="s">
        <v>62</v>
      </c>
      <c r="AF17" s="518" t="str">
        <f>IF(AND(_AC2="B-767-300ER",'2023'!$M$4="FO",'2023'!$M$2=AF5),'2023DATA2'!$C$14,"")</f>
        <v/>
      </c>
      <c r="AG17" s="518" t="str">
        <f>IF(AND(_AC2="B-767-300ER",'2023'!$M$4="FO",'2023'!$M$2=AG5),'2023DATA2'!$D$14,"")</f>
        <v/>
      </c>
      <c r="AH17" s="518" t="str">
        <f>IF(AND(_AC2="B-767-300ER",'2023'!$M$4="FO",'2023'!$M$2=AH5),'2023DATA2'!$E$14,"")</f>
        <v/>
      </c>
      <c r="AI17" s="518" t="str">
        <f>IF(AND(_AC2="B-767-300ER",'2023'!$M$4="FO",'2023'!$M$2=AI5),'2023DATA2'!$F$14,"")</f>
        <v/>
      </c>
      <c r="AJ17" s="518" t="str">
        <f>IF(AND(_AC2="B-767-300ER",'2023'!$M$4="FO",'2023'!$M$2=AJ5),'2023DATA2'!$G$14,"")</f>
        <v/>
      </c>
      <c r="AK17" s="518" t="str">
        <f>IF(AND(_AC2="B-767-300ER",'2023'!$M$4="FO",'2023'!$M$2=AK5),'2023DATA2'!$H$14,"")</f>
        <v/>
      </c>
      <c r="AL17" s="518" t="str">
        <f>IF(AND(_AC2="B-767-300ER",'2023'!$M$4="FO",'2023'!$M$2=AL5),'2023DATA2'!$I$14,"")</f>
        <v/>
      </c>
      <c r="AM17" s="518" t="str">
        <f>IF(AND(_AC2="B-767-300ER",'2023'!$M$4="FO",'2023'!$M$2=AM5),'2023DATA2'!$J$14,"")</f>
        <v/>
      </c>
      <c r="AN17" s="518" t="str">
        <f>IF(AND(_AC2="B-767-300ER",'2023'!$M$4="FO",'2023'!$M$2=AN5),'2023DATA2'!$K$14,"")</f>
        <v/>
      </c>
      <c r="AO17" s="518" t="str">
        <f>IF(AND(_AC2="B-767-300ER",'2023'!$M$4="FO",'2023'!$M$2=AO5),'2023DATA2'!$L$14,"")</f>
        <v/>
      </c>
      <c r="AP17" s="518" t="str">
        <f>IF(AND(_AC2="B-767-300ER",'2023'!$M$4="FO",'2023'!$M$2=AP5),'2023DATA2'!$M$14,"")</f>
        <v/>
      </c>
      <c r="AQ17" s="520" t="str">
        <f>IF(AND(_AC2="B-767-300ER",'2023'!$M$4="FO",'2023'!$M$2=AQ5),'2023DATA2'!$N$14,"")</f>
        <v/>
      </c>
      <c r="AR17" s="940"/>
      <c r="AS17" s="13" t="s">
        <v>62</v>
      </c>
      <c r="AT17" s="518" t="str">
        <f>IF(AND(_AC3="B-767-300ER",'2023'!$M$4="FO",'2023'!$M$2=AT5),'2023DATA2'!$C$14,"")</f>
        <v/>
      </c>
      <c r="AU17" s="518" t="str">
        <f>IF(AND(_AC3="B-767-300ER",'2023'!$M$4="FO",'2023'!$M$2=AU5),'2023DATA2'!$D$14,"")</f>
        <v/>
      </c>
      <c r="AV17" s="518" t="str">
        <f>IF(AND(_AC3="B-767-300ER",'2023'!$M$4="FO",'2023'!$M$2=AV5),'2023DATA2'!$E$14,"")</f>
        <v/>
      </c>
      <c r="AW17" s="518" t="str">
        <f>IF(AND(_AC3="B-767-300ER",'2023'!$M$4="FO",'2023'!$M$2=AW5),'2023DATA2'!$F$14,"")</f>
        <v/>
      </c>
      <c r="AX17" s="518" t="str">
        <f>IF(AND(_AC3="B-767-300ER",'2023'!$M$4="FO",'2023'!$M$2=AX5),'2023DATA2'!$G$14,"")</f>
        <v/>
      </c>
      <c r="AY17" s="518" t="str">
        <f>IF(AND(_AC3="B-767-300ER",'2023'!$M$4="FO",'2023'!$M$2=AY5),'2023DATA2'!$H$14,"")</f>
        <v/>
      </c>
      <c r="AZ17" s="518" t="str">
        <f>IF(AND(_AC3="B-767-300ER",'2023'!$M$4="FO",'2023'!$M$2=AZ5),'2023DATA2'!$I$14,"")</f>
        <v/>
      </c>
      <c r="BA17" s="518" t="str">
        <f>IF(AND(_AC3="B-767-300ER",'2023'!$M$4="FO",'2023'!$M$2=BA5),'2023DATA2'!$J$14,"")</f>
        <v/>
      </c>
      <c r="BB17" s="518" t="str">
        <f>IF(AND(_AC3="B-767-300ER",'2023'!$M$4="FO",'2023'!$M$2=BB5),'2023DATA2'!$K$14,"")</f>
        <v/>
      </c>
      <c r="BC17" s="518" t="str">
        <f>IF(AND(_AC3="B-767-300ER",'2023'!$M$4="FO",'2023'!$M$2=BC5),'2023DATA2'!$L$14,"")</f>
        <v/>
      </c>
      <c r="BD17" s="518" t="str">
        <f>IF(AND(_AC3="B-767-300ER",'2023'!$M$4="FO",'2023'!$M$2=BD5),'2023DATA2'!$M$14,"")</f>
        <v/>
      </c>
      <c r="BE17" s="520" t="str">
        <f>IF(AND(_AC3="B-767-300ER",'2023'!$M$4="FO",'2023'!$M$2=BE5),'2023DATA2'!$N$14,"")</f>
        <v/>
      </c>
      <c r="BF17" s="940"/>
      <c r="BG17" s="13" t="s">
        <v>62</v>
      </c>
      <c r="BH17" s="518" t="str">
        <f>IF(AND(_AC4="B-767-300ER",'2023'!$M$4="FO",'2023'!$M$2=BH5),'2023DATA2'!$C$14,"")</f>
        <v/>
      </c>
      <c r="BI17" s="518" t="str">
        <f>IF(AND(_AC4="B-767-300ER",'2023'!$M$4="FO",'2023'!$M$2=BI5),'2023DATA2'!$D$14,"")</f>
        <v/>
      </c>
      <c r="BJ17" s="518" t="str">
        <f>IF(AND(_AC4="B-767-300ER",'2023'!$M$4="FO",'2023'!$M$2=BJ5),'2023DATA2'!$E$14,"")</f>
        <v/>
      </c>
      <c r="BK17" s="518" t="str">
        <f>IF(AND(_AC4="B-767-300ER",'2023'!$M$4="FO",'2023'!$M$2=BK5),'2023DATA2'!$F$14,"")</f>
        <v/>
      </c>
      <c r="BL17" s="518" t="str">
        <f>IF(AND(_AC4="B-767-300ER",'2023'!$M$4="FO",'2023'!$M$2=BL5),'2023DATA2'!$G$14,"")</f>
        <v/>
      </c>
      <c r="BM17" s="518" t="str">
        <f>IF(AND(_AC4="B-767-300ER",'2023'!$M$4="FO",'2023'!$M$2=BM5),'2023DATA2'!$H$14,"")</f>
        <v/>
      </c>
      <c r="BN17" s="518" t="str">
        <f>IF(AND(_AC4="B-767-300ER",'2023'!$M$4="FO",'2023'!$M$2=BN5),'2023DATA2'!$I$14,"")</f>
        <v/>
      </c>
      <c r="BO17" s="518" t="str">
        <f>IF(AND(_AC4="B-767-300ER",'2023'!$M$4="FO",'2023'!$M$2=BO5),'2023DATA2'!$J$14,"")</f>
        <v/>
      </c>
      <c r="BP17" s="518" t="str">
        <f>IF(AND(_AC4="B-767-300ER",'2023'!$M$4="FO",'2023'!$M$2=BP5),'2023DATA2'!$K$14,"")</f>
        <v/>
      </c>
      <c r="BQ17" s="518" t="str">
        <f>IF(AND(_AC4="B-767-300ER",'2023'!$M$4="FO",'2023'!$M$2=BQ5),'2023DATA2'!$L$14,"")</f>
        <v/>
      </c>
      <c r="BR17" s="518" t="str">
        <f>IF(AND(_AC4="B-767-300ER",'2023'!$M$4="FO",'2023'!$M$2=BR5),'2023DATA2'!$M$14,"")</f>
        <v/>
      </c>
      <c r="BS17" s="520" t="str">
        <f>IF(AND(_AC4="B-767-300ER",'2023'!$M$4="FO",'2023'!$M$2=BS5),'2023DATA2'!$N$14,"")</f>
        <v/>
      </c>
      <c r="BT17" s="940"/>
      <c r="BU17" s="13" t="s">
        <v>62</v>
      </c>
      <c r="BV17" s="518" t="str">
        <f>IF(AND(_AC5="B-767-300ER",'2023'!$M$4="FO",'2023'!$M$2=BV5),'2023DATA2'!$C$14,"")</f>
        <v/>
      </c>
      <c r="BW17" s="518" t="str">
        <f>IF(AND(_AC5="B-767-300ER",'2023'!$M$4="FO",'2023'!$M$2=BW5),'2023DATA2'!$D$14,"")</f>
        <v/>
      </c>
      <c r="BX17" s="518" t="str">
        <f>IF(AND(_AC5="B-767-300ER",'2023'!$M$4="FO",'2023'!$M$2=BX5),'2023DATA2'!$E$14,"")</f>
        <v/>
      </c>
      <c r="BY17" s="518" t="str">
        <f>IF(AND(_AC5="B-767-300ER",'2023'!$M$4="FO",'2023'!$M$2=BY5),'2023DATA2'!$F$14,"")</f>
        <v/>
      </c>
      <c r="BZ17" s="518" t="str">
        <f>IF(AND(_AC5="B-767-300ER",'2023'!$M$4="FO",'2023'!$M$2=BZ5),'2023DATA2'!$G$14,"")</f>
        <v/>
      </c>
      <c r="CA17" s="518" t="str">
        <f>IF(AND(_AC5="B-767-300ER",'2023'!$M$4="FO",'2023'!$M$2=CA5),'2023DATA2'!$H$14,"")</f>
        <v/>
      </c>
      <c r="CB17" s="518" t="str">
        <f>IF(AND(_AC5="B-767-300ER",'2023'!$M$4="FO",'2023'!$M$2=CB5),'2023DATA2'!$I$14,"")</f>
        <v/>
      </c>
      <c r="CC17" s="518" t="str">
        <f>IF(AND(_AC5="B-767-300ER",'2023'!$M$4="FO",'2023'!$M$2=CC5),'2023DATA2'!$J$14,"")</f>
        <v/>
      </c>
      <c r="CD17" s="518" t="str">
        <f>IF(AND(_AC5="B-767-300ER",'2023'!$M$4="FO",'2023'!$M$2=CD5),'2023DATA2'!$K$14,"")</f>
        <v/>
      </c>
      <c r="CE17" s="518" t="str">
        <f>IF(AND(_AC5="B-767-300ER",'2023'!$M$4="FO",'2023'!$M$2=CE5),'2023DATA2'!$L$14,"")</f>
        <v/>
      </c>
      <c r="CF17" s="518" t="str">
        <f>IF(AND(_AC5="B-767-300ER",'2023'!$M$4="FO",'2023'!$M$2=CF5),'2023DATA2'!$M$14,"")</f>
        <v/>
      </c>
      <c r="CG17" s="520" t="str">
        <f>IF(AND(_AC5="B-767-300ER",'2023'!$M$4="FO",'2023'!$M$2=CG5),'2023DATA2'!$N$14,"")</f>
        <v/>
      </c>
      <c r="CH17" s="940"/>
      <c r="CI17" s="13" t="s">
        <v>62</v>
      </c>
      <c r="CJ17" s="518" t="str">
        <f>IF(AND(_AC6="B-767-300ER",'2023'!$M$4="FO",'2023'!$M$2=CJ5),'2023DATA2'!$C$14,"")</f>
        <v/>
      </c>
      <c r="CK17" s="518" t="str">
        <f>IF(AND(_AC6="B-767-300ER",'2023'!$M$4="FO",'2023'!$M$2=CK5),'2023DATA2'!$D$14,"")</f>
        <v/>
      </c>
      <c r="CL17" s="518" t="str">
        <f>IF(AND(_AC6="B-767-300ER",'2023'!$M$4="FO",'2023'!$M$2=CL5),'2023DATA2'!$E$14,"")</f>
        <v/>
      </c>
      <c r="CM17" s="518" t="str">
        <f>IF(AND(_AC6="B-767-300ER",'2023'!$M$4="FO",'2023'!$M$2=CM5),'2023DATA2'!$F$14,"")</f>
        <v/>
      </c>
      <c r="CN17" s="518" t="str">
        <f>IF(AND(_AC6="B-767-300ER",'2023'!$M$4="FO",'2023'!$M$2=CN5),'2023DATA2'!$G$14,"")</f>
        <v/>
      </c>
      <c r="CO17" s="518" t="str">
        <f>IF(AND(_AC6="B-767-300ER",'2023'!$M$4="FO",'2023'!$M$2=CO5),'2023DATA2'!$H$14,"")</f>
        <v/>
      </c>
      <c r="CP17" s="518" t="str">
        <f>IF(AND(_AC6="B-767-300ER",'2023'!$M$4="FO",'2023'!$M$2=CP5),'2023DATA2'!$I$14,"")</f>
        <v/>
      </c>
      <c r="CQ17" s="518" t="str">
        <f>IF(AND(_AC6="B-767-300ER",'2023'!$M$4="FO",'2023'!$M$2=CQ5),'2023DATA2'!$J$14,"")</f>
        <v/>
      </c>
      <c r="CR17" s="518" t="str">
        <f>IF(AND(_AC6="B-767-300ER",'2023'!$M$4="FO",'2023'!$M$2=CR5),'2023DATA2'!$K$14,"")</f>
        <v/>
      </c>
      <c r="CS17" s="518" t="str">
        <f>IF(AND(_AC6="B-767-300ER",'2023'!$M$4="FO",'2023'!$M$2=CS5),'2023DATA2'!$L$14,"")</f>
        <v/>
      </c>
      <c r="CT17" s="518" t="str">
        <f>IF(AND(_AC6="B-767-300ER",'2023'!$M$4="FO",'2023'!$M$2=CT5),'2023DATA2'!$M$14,"")</f>
        <v/>
      </c>
      <c r="CU17" s="520" t="str">
        <f>IF(AND(_AC6="B-767-300ER",'2023'!$M$4="FO",'2023'!$M$2=CU5),'2023DATA2'!$N$14,"")</f>
        <v/>
      </c>
    </row>
    <row r="18" spans="1:99" x14ac:dyDescent="0.25">
      <c r="A18" s="946"/>
      <c r="B18" s="78" t="s">
        <v>62</v>
      </c>
      <c r="C18" s="291">
        <v>243.51</v>
      </c>
      <c r="D18" s="292">
        <v>240.68</v>
      </c>
      <c r="E18" s="292">
        <v>237.76</v>
      </c>
      <c r="F18" s="293">
        <v>233.87</v>
      </c>
      <c r="G18" s="336">
        <v>231.53</v>
      </c>
      <c r="H18" s="337">
        <v>226.22</v>
      </c>
      <c r="I18" s="338">
        <v>220.15</v>
      </c>
      <c r="J18" s="339">
        <v>214.78</v>
      </c>
      <c r="K18" s="340">
        <v>209.64</v>
      </c>
      <c r="L18" s="121">
        <v>204.66</v>
      </c>
      <c r="M18" s="121">
        <v>174.89</v>
      </c>
      <c r="N18" s="124">
        <v>110.52</v>
      </c>
      <c r="P18" s="940" t="s">
        <v>67</v>
      </c>
      <c r="Q18" s="13" t="s">
        <v>61</v>
      </c>
      <c r="R18" s="518" t="str">
        <f>IF(AND(_AC1="B-767-300",'2023'!$M$4="CA",'2023'!$M$2=R5),'2023DATA2'!$C$15,"")</f>
        <v/>
      </c>
      <c r="S18" s="518" t="str">
        <f>IF(AND(_AC1="B-767-300",'2023'!$M$4="CA",'2023'!$M$2=S5),'2023DATA2'!$D$15,"")</f>
        <v/>
      </c>
      <c r="T18" s="518" t="str">
        <f>IF(AND(_AC1="B-767-300",'2023'!$M$4="CA",'2023'!$M$2=T5),'2023DATA2'!$E$15,"")</f>
        <v/>
      </c>
      <c r="U18" s="518" t="str">
        <f>IF(AND(_AC1="B-767-300",'2023'!$M$4="CA",'2023'!$M$2=U5),'2023DATA2'!$F$15,"")</f>
        <v/>
      </c>
      <c r="V18" s="518" t="str">
        <f>IF(AND(_AC1="B-767-300",'2023'!$M$4="CA",'2023'!$M$2=V5),'2023DATA2'!$G$15,"")</f>
        <v/>
      </c>
      <c r="W18" s="518" t="str">
        <f>IF(AND(_AC1="B-767-300",'2023'!$M$4="CA",'2023'!$M$2=W5),'2023DATA2'!$H$15,"")</f>
        <v/>
      </c>
      <c r="X18" s="518" t="str">
        <f>IF(AND(_AC1="B-767-300",'2023'!$M$4="CA",'2023'!$M$2=X5),'2023DATA2'!$I$15,"")</f>
        <v/>
      </c>
      <c r="Y18" s="518" t="str">
        <f>IF(AND(_AC1="B-767-300",'2023'!$M$4="CA",'2023'!$M$2=Y5),'2023DATA2'!$J$15,"")</f>
        <v/>
      </c>
      <c r="Z18" s="518" t="str">
        <f>IF(AND(_AC1="B-767-300",'2023'!$M$4="CA",'2023'!$M$2=Z5),'2023DATA2'!$K$15,"")</f>
        <v/>
      </c>
      <c r="AA18" s="518" t="str">
        <f>IF(AND(_AC1="B-767-300",'2023'!$M$4="CA",'2023'!$M$2=AA5),'2023DATA2'!$L$15,"")</f>
        <v/>
      </c>
      <c r="AB18" s="518" t="str">
        <f>IF(AND(_AC1="B-767-300",'2023'!$M$4="CA",'2023'!$M$2=AB5),'2023DATA2'!$M$15,"")</f>
        <v/>
      </c>
      <c r="AC18" s="520" t="str">
        <f>IF(AND(_AC1="B-767-300",'2023'!$M$4="CA",'2023'!$M$2=AC5),'2023DATA2'!$N$15,"")</f>
        <v/>
      </c>
      <c r="AD18" s="940" t="s">
        <v>67</v>
      </c>
      <c r="AE18" s="13" t="s">
        <v>61</v>
      </c>
      <c r="AF18" s="518" t="str">
        <f>IF(AND(_AC2="B-767-300",'2023'!$M$4="CA",'2023'!$M$2=AF5),'2023DATA2'!$C$15,"")</f>
        <v/>
      </c>
      <c r="AG18" s="518" t="str">
        <f>IF(AND(_AC2="B-767-300",'2023'!$M$4="CA",'2023'!$M$2=AG5),'2023DATA2'!$D$15,"")</f>
        <v/>
      </c>
      <c r="AH18" s="518" t="str">
        <f>IF(AND(_AC2="B-767-300",'2023'!$M$4="CA",'2023'!$M$2=AH5),'2023DATA2'!$E$15,"")</f>
        <v/>
      </c>
      <c r="AI18" s="518" t="str">
        <f>IF(AND(_AC2="B-767-300",'2023'!$M$4="CA",'2023'!$M$2=AI5),'2023DATA2'!$F$15,"")</f>
        <v/>
      </c>
      <c r="AJ18" s="518" t="str">
        <f>IF(AND(_AC2="B-767-300",'2023'!$M$4="CA",'2023'!$M$2=AJ5),'2023DATA2'!$G$15,"")</f>
        <v/>
      </c>
      <c r="AK18" s="518" t="str">
        <f>IF(AND(_AC2="B-767-300",'2023'!$M$4="CA",'2023'!$M$2=AK5),'2023DATA2'!$H$15,"")</f>
        <v/>
      </c>
      <c r="AL18" s="518" t="str">
        <f>IF(AND(_AC2="B-767-300",'2023'!$M$4="CA",'2023'!$M$2=AL5),'2023DATA2'!$I$15,"")</f>
        <v/>
      </c>
      <c r="AM18" s="518" t="str">
        <f>IF(AND(_AC2="B-767-300",'2023'!$M$4="CA",'2023'!$M$2=AM5),'2023DATA2'!$J$15,"")</f>
        <v/>
      </c>
      <c r="AN18" s="518" t="str">
        <f>IF(AND(_AC2="B-767-300",'2023'!$M$4="CA",'2023'!$M$2=AN5),'2023DATA2'!$K$15,"")</f>
        <v/>
      </c>
      <c r="AO18" s="518" t="str">
        <f>IF(AND(_AC2="B-767-300",'2023'!$M$4="CA",'2023'!$M$2=AO5),'2023DATA2'!$L$15,"")</f>
        <v/>
      </c>
      <c r="AP18" s="518" t="str">
        <f>IF(AND(_AC2="B-767-300",'2023'!$M$4="CA",'2023'!$M$2=AP5),'2023DATA2'!$M$15,"")</f>
        <v/>
      </c>
      <c r="AQ18" s="520" t="str">
        <f>IF(AND(_AC2="B-767-300",'2023'!$M$4="CA",'2023'!$M$2=AQ5),'2023DATA2'!$N$15,"")</f>
        <v/>
      </c>
      <c r="AR18" s="940" t="s">
        <v>67</v>
      </c>
      <c r="AS18" s="13" t="s">
        <v>61</v>
      </c>
      <c r="AT18" s="518" t="str">
        <f>IF(AND(_AC3="B-767-300",'2023'!$M$4="CA",'2023'!$M$2=AT5),'2023DATA2'!$C$15,"")</f>
        <v/>
      </c>
      <c r="AU18" s="518" t="str">
        <f>IF(AND(_AC3="B-767-300",'2023'!$M$4="CA",'2023'!$M$2=AU5),'2023DATA2'!$D$15,"")</f>
        <v/>
      </c>
      <c r="AV18" s="518" t="str">
        <f>IF(AND(_AC3="B-767-300",'2023'!$M$4="CA",'2023'!$M$2=AV5),'2023DATA2'!$E$15,"")</f>
        <v/>
      </c>
      <c r="AW18" s="518" t="str">
        <f>IF(AND(_AC3="B-767-300",'2023'!$M$4="CA",'2023'!$M$2=AW5),'2023DATA2'!$F$15,"")</f>
        <v/>
      </c>
      <c r="AX18" s="518" t="str">
        <f>IF(AND(_AC3="B-767-300",'2023'!$M$4="CA",'2023'!$M$2=AX5),'2023DATA2'!$G$15,"")</f>
        <v/>
      </c>
      <c r="AY18" s="518" t="str">
        <f>IF(AND(_AC3="B-767-300",'2023'!$M$4="CA",'2023'!$M$2=AY5),'2023DATA2'!$H$15,"")</f>
        <v/>
      </c>
      <c r="AZ18" s="518" t="str">
        <f>IF(AND(_AC3="B-767-300",'2023'!$M$4="CA",'2023'!$M$2=AZ5),'2023DATA2'!$I$15,"")</f>
        <v/>
      </c>
      <c r="BA18" s="518" t="str">
        <f>IF(AND(_AC3="B-767-300",'2023'!$M$4="CA",'2023'!$M$2=BA5),'2023DATA2'!$J$15,"")</f>
        <v/>
      </c>
      <c r="BB18" s="518" t="str">
        <f>IF(AND(_AC3="B-767-300",'2023'!$M$4="CA",'2023'!$M$2=BB5),'2023DATA2'!$K$15,"")</f>
        <v/>
      </c>
      <c r="BC18" s="518" t="str">
        <f>IF(AND(_AC3="B-767-300",'2023'!$M$4="CA",'2023'!$M$2=BC5),'2023DATA2'!$L$15,"")</f>
        <v/>
      </c>
      <c r="BD18" s="518" t="str">
        <f>IF(AND(_AC3="B-767-300",'2023'!$M$4="CA",'2023'!$M$2=BD5),'2023DATA2'!$M$15,"")</f>
        <v/>
      </c>
      <c r="BE18" s="520" t="str">
        <f>IF(AND(_AC3="B-767-300",'2023'!$M$4="CA",'2023'!$M$2=BE5),'2023DATA2'!$N$15,"")</f>
        <v/>
      </c>
      <c r="BF18" s="940" t="s">
        <v>67</v>
      </c>
      <c r="BG18" s="13" t="s">
        <v>61</v>
      </c>
      <c r="BH18" s="518" t="str">
        <f>IF(AND(_AC4="B-767-300",'2023'!$M$4="CA",'2023'!$M$2=BH5),'2023DATA2'!$C$15,"")</f>
        <v/>
      </c>
      <c r="BI18" s="518" t="str">
        <f>IF(AND(_AC4="B-767-300",'2023'!$M$4="CA",'2023'!$M$2=BI5),'2023DATA2'!$D$15,"")</f>
        <v/>
      </c>
      <c r="BJ18" s="518" t="str">
        <f>IF(AND(_AC4="B-767-300",'2023'!$M$4="CA",'2023'!$M$2=BJ5),'2023DATA2'!$E$15,"")</f>
        <v/>
      </c>
      <c r="BK18" s="518" t="str">
        <f>IF(AND(_AC4="B-767-300",'2023'!$M$4="CA",'2023'!$M$2=BK5),'2023DATA2'!$F$15,"")</f>
        <v/>
      </c>
      <c r="BL18" s="518" t="str">
        <f>IF(AND(_AC4="B-767-300",'2023'!$M$4="CA",'2023'!$M$2=BL5),'2023DATA2'!$G$15,"")</f>
        <v/>
      </c>
      <c r="BM18" s="518" t="str">
        <f>IF(AND(_AC4="B-767-300",'2023'!$M$4="CA",'2023'!$M$2=BM5),'2023DATA2'!$H$15,"")</f>
        <v/>
      </c>
      <c r="BN18" s="518" t="str">
        <f>IF(AND(_AC4="B-767-300",'2023'!$M$4="CA",'2023'!$M$2=BN5),'2023DATA2'!$I$15,"")</f>
        <v/>
      </c>
      <c r="BO18" s="518" t="str">
        <f>IF(AND(_AC4="B-767-300",'2023'!$M$4="CA",'2023'!$M$2=BO5),'2023DATA2'!$J$15,"")</f>
        <v/>
      </c>
      <c r="BP18" s="518" t="str">
        <f>IF(AND(_AC4="B-767-300",'2023'!$M$4="CA",'2023'!$M$2=BP5),'2023DATA2'!$K$15,"")</f>
        <v/>
      </c>
      <c r="BQ18" s="518" t="str">
        <f>IF(AND(_AC4="B-767-300",'2023'!$M$4="CA",'2023'!$M$2=BQ5),'2023DATA2'!$L$15,"")</f>
        <v/>
      </c>
      <c r="BR18" s="518" t="str">
        <f>IF(AND(_AC4="B-767-300",'2023'!$M$4="CA",'2023'!$M$2=BR5),'2023DATA2'!$M$15,"")</f>
        <v/>
      </c>
      <c r="BS18" s="520" t="str">
        <f>IF(AND(_AC4="B-767-300",'2023'!$M$4="CA",'2023'!$M$2=BS5),'2023DATA2'!$N$15,"")</f>
        <v/>
      </c>
      <c r="BT18" s="940" t="s">
        <v>67</v>
      </c>
      <c r="BU18" s="13" t="s">
        <v>61</v>
      </c>
      <c r="BV18" s="518" t="str">
        <f>IF(AND(_AC5="B-767-300",'2023'!$M$4="CA",'2023'!$M$2=BV5),'2023DATA2'!$C$15,"")</f>
        <v/>
      </c>
      <c r="BW18" s="518" t="str">
        <f>IF(AND(_AC5="B-767-300",'2023'!$M$4="CA",'2023'!$M$2=BW5),'2023DATA2'!$D$15,"")</f>
        <v/>
      </c>
      <c r="BX18" s="518" t="str">
        <f>IF(AND(_AC5="B-767-300",'2023'!$M$4="CA",'2023'!$M$2=BX5),'2023DATA2'!$E$15,"")</f>
        <v/>
      </c>
      <c r="BY18" s="518" t="str">
        <f>IF(AND(_AC5="B-767-300",'2023'!$M$4="CA",'2023'!$M$2=BY5),'2023DATA2'!$F$15,"")</f>
        <v/>
      </c>
      <c r="BZ18" s="518" t="str">
        <f>IF(AND(_AC5="B-767-300",'2023'!$M$4="CA",'2023'!$M$2=BZ5),'2023DATA2'!$G$15,"")</f>
        <v/>
      </c>
      <c r="CA18" s="518" t="str">
        <f>IF(AND(_AC5="B-767-300",'2023'!$M$4="CA",'2023'!$M$2=CA5),'2023DATA2'!$H$15,"")</f>
        <v/>
      </c>
      <c r="CB18" s="518" t="str">
        <f>IF(AND(_AC5="B-767-300",'2023'!$M$4="CA",'2023'!$M$2=CB5),'2023DATA2'!$I$15,"")</f>
        <v/>
      </c>
      <c r="CC18" s="518" t="str">
        <f>IF(AND(_AC5="B-767-300",'2023'!$M$4="CA",'2023'!$M$2=CC5),'2023DATA2'!$J$15,"")</f>
        <v/>
      </c>
      <c r="CD18" s="518" t="str">
        <f>IF(AND(_AC5="B-767-300",'2023'!$M$4="CA",'2023'!$M$2=CD5),'2023DATA2'!$K$15,"")</f>
        <v/>
      </c>
      <c r="CE18" s="518" t="str">
        <f>IF(AND(_AC5="B-767-300",'2023'!$M$4="CA",'2023'!$M$2=CE5),'2023DATA2'!$L$15,"")</f>
        <v/>
      </c>
      <c r="CF18" s="518" t="str">
        <f>IF(AND(_AC5="B-767-300",'2023'!$M$4="CA",'2023'!$M$2=CF5),'2023DATA2'!$M$15,"")</f>
        <v/>
      </c>
      <c r="CG18" s="520" t="str">
        <f>IF(AND(_AC5="B-767-300",'2023'!$M$4="CA",'2023'!$M$2=CG5),'2023DATA2'!$N$15,"")</f>
        <v/>
      </c>
      <c r="CH18" s="940" t="s">
        <v>67</v>
      </c>
      <c r="CI18" s="13" t="s">
        <v>61</v>
      </c>
      <c r="CJ18" s="518" t="str">
        <f>IF(AND(_AC6="B-767-300",'2023'!$M$4="CA",'2023'!$M$2=CJ5),'2023DATA2'!$C$15,"")</f>
        <v/>
      </c>
      <c r="CK18" s="518" t="str">
        <f>IF(AND(_AC6="B-767-300",'2023'!$M$4="CA",'2023'!$M$2=CK5),'2023DATA2'!$D$15,"")</f>
        <v/>
      </c>
      <c r="CL18" s="518" t="str">
        <f>IF(AND(_AC6="B-767-300",'2023'!$M$4="CA",'2023'!$M$2=CL5),'2023DATA2'!$E$15,"")</f>
        <v/>
      </c>
      <c r="CM18" s="518" t="str">
        <f>IF(AND(_AC6="B-767-300",'2023'!$M$4="CA",'2023'!$M$2=CM5),'2023DATA2'!$F$15,"")</f>
        <v/>
      </c>
      <c r="CN18" s="518" t="str">
        <f>IF(AND(_AC6="B-767-300",'2023'!$M$4="CA",'2023'!$M$2=CN5),'2023DATA2'!$G$15,"")</f>
        <v/>
      </c>
      <c r="CO18" s="518" t="str">
        <f>IF(AND(_AC6="B-767-300",'2023'!$M$4="CA",'2023'!$M$2=CO5),'2023DATA2'!$H$15,"")</f>
        <v/>
      </c>
      <c r="CP18" s="518" t="str">
        <f>IF(AND(_AC6="B-767-300",'2023'!$M$4="CA",'2023'!$M$2=CP5),'2023DATA2'!$I$15,"")</f>
        <v/>
      </c>
      <c r="CQ18" s="518" t="str">
        <f>IF(AND(_AC6="B-767-300",'2023'!$M$4="CA",'2023'!$M$2=CQ5),'2023DATA2'!$J$15,"")</f>
        <v/>
      </c>
      <c r="CR18" s="518" t="str">
        <f>IF(AND(_AC6="B-767-300",'2023'!$M$4="CA",'2023'!$M$2=CR5),'2023DATA2'!$K$15,"")</f>
        <v/>
      </c>
      <c r="CS18" s="518" t="str">
        <f>IF(AND(_AC6="B-767-300",'2023'!$M$4="CA",'2023'!$M$2=CS5),'2023DATA2'!$L$15,"")</f>
        <v/>
      </c>
      <c r="CT18" s="518" t="str">
        <f>IF(AND(_AC6="B-767-300",'2023'!$M$4="CA",'2023'!$M$2=CT5),'2023DATA2'!$M$15,"")</f>
        <v/>
      </c>
      <c r="CU18" s="520" t="str">
        <f>IF(AND(_AC6="B-767-300",'2023'!$M$4="CA",'2023'!$M$2=CU5),'2023DATA2'!$N$15,"")</f>
        <v/>
      </c>
    </row>
    <row r="19" spans="1:99" x14ac:dyDescent="0.25">
      <c r="A19" s="946" t="s">
        <v>45</v>
      </c>
      <c r="B19" s="78" t="s">
        <v>61</v>
      </c>
      <c r="C19" s="118">
        <v>356.53</v>
      </c>
      <c r="D19" s="119">
        <v>352.89</v>
      </c>
      <c r="E19" s="120">
        <v>349.14</v>
      </c>
      <c r="F19" s="121">
        <v>345.42</v>
      </c>
      <c r="G19" s="122">
        <v>342.98</v>
      </c>
      <c r="H19" s="123">
        <v>340.17</v>
      </c>
      <c r="I19" s="122">
        <v>337.67</v>
      </c>
      <c r="J19" s="123">
        <v>335.06</v>
      </c>
      <c r="K19" s="121">
        <v>332.23</v>
      </c>
      <c r="L19" s="122">
        <v>329.56</v>
      </c>
      <c r="M19" s="123">
        <v>326.91000000000003</v>
      </c>
      <c r="N19" s="124">
        <v>324.14999999999998</v>
      </c>
      <c r="P19" s="940"/>
      <c r="Q19" s="13" t="s">
        <v>62</v>
      </c>
      <c r="R19" s="518" t="str">
        <f>IF(AND(_AC1="B-767-300",'2023'!$M$4="FO",'2023'!$M$2=R5),'2023DATA2'!$C$16,"")</f>
        <v/>
      </c>
      <c r="S19" s="518" t="str">
        <f>IF(AND(_AC1="B-767-300",'2023'!$M$4="FO",'2023'!$M$2=S5),'2023DATA2'!$D$16,"")</f>
        <v/>
      </c>
      <c r="T19" s="518" t="str">
        <f>IF(AND(_AC1="B-767-300",'2023'!$M$4="FO",'2023'!$M$2=T5),'2023DATA2'!$E$16,"")</f>
        <v/>
      </c>
      <c r="U19" s="518" t="str">
        <f>IF(AND(_AC1="B-767-300",'2023'!$M$4="FO",'2023'!$M$2=U5),'2023DATA2'!$F$16,"")</f>
        <v/>
      </c>
      <c r="V19" s="518" t="str">
        <f>IF(AND(_AC1="B-767-300",'2023'!$M$4="FO",'2023'!$M$2=V5),'2023DATA2'!$G$16,"")</f>
        <v/>
      </c>
      <c r="W19" s="518" t="str">
        <f>IF(AND(_AC1="B-767-300",'2023'!$M$4="FO",'2023'!$M$2=W5),'2023DATA2'!$H$16,"")</f>
        <v/>
      </c>
      <c r="X19" s="518" t="str">
        <f>IF(AND(_AC1="B-767-300",'2023'!$M$4="FO",'2023'!$M$2=X5),'2023DATA2'!$I$16,"")</f>
        <v/>
      </c>
      <c r="Y19" s="518" t="str">
        <f>IF(AND(_AC1="B-767-300",'2023'!$M$4="FO",'2023'!$M$2=Y5),'2023DATA2'!$J$16,"")</f>
        <v/>
      </c>
      <c r="Z19" s="518" t="str">
        <f>IF(AND(_AC1="B-767-300",'2023'!$M$4="FO",'2023'!$M$2=Z5),'2023DATA2'!$K$16,"")</f>
        <v/>
      </c>
      <c r="AA19" s="518" t="str">
        <f>IF(AND(_AC1="B-767-300",'2023'!$M$4="FO",'2023'!$M$2=AA5),'2023DATA2'!$L$16,"")</f>
        <v/>
      </c>
      <c r="AB19" s="518" t="str">
        <f>IF(AND(_AC1="B-767-300",'2023'!$M$4="FO",'2023'!$M$2=AB5),'2023DATA2'!$M$16,"")</f>
        <v/>
      </c>
      <c r="AC19" s="520" t="str">
        <f>IF(AND(_AC1="B-767-300",'2023'!$M$4="FO",'2023'!$M$2=AC5),'2023DATA2'!$N$16,"")</f>
        <v/>
      </c>
      <c r="AD19" s="940"/>
      <c r="AE19" s="13" t="s">
        <v>62</v>
      </c>
      <c r="AF19" s="518" t="str">
        <f>IF(AND(_AC2="B-767-300",'2023'!$M$4="FO",'2023'!$M$2=AF5),'2023DATA2'!$C$16,"")</f>
        <v/>
      </c>
      <c r="AG19" s="518" t="str">
        <f>IF(AND(_AC2="B-767-300",'2023'!$M$4="FO",'2023'!$M$2=AG5),'2023DATA2'!$D$16,"")</f>
        <v/>
      </c>
      <c r="AH19" s="518" t="str">
        <f>IF(AND(_AC2="B-767-300",'2023'!$M$4="FO",'2023'!$M$2=AH5),'2023DATA2'!$E$16,"")</f>
        <v/>
      </c>
      <c r="AI19" s="518" t="str">
        <f>IF(AND(_AC2="B-767-300",'2023'!$M$4="FO",'2023'!$M$2=AI5),'2023DATA2'!$F$16,"")</f>
        <v/>
      </c>
      <c r="AJ19" s="518" t="str">
        <f>IF(AND(_AC2="B-767-300",'2023'!$M$4="FO",'2023'!$M$2=AJ5),'2023DATA2'!$G$16,"")</f>
        <v/>
      </c>
      <c r="AK19" s="518" t="str">
        <f>IF(AND(_AC2="B-767-300",'2023'!$M$4="FO",'2023'!$M$2=AK5),'2023DATA2'!$H$16,"")</f>
        <v/>
      </c>
      <c r="AL19" s="518" t="str">
        <f>IF(AND(_AC2="B-767-300",'2023'!$M$4="FO",'2023'!$M$2=AL5),'2023DATA2'!$I$16,"")</f>
        <v/>
      </c>
      <c r="AM19" s="518" t="str">
        <f>IF(AND(_AC2="B-767-300",'2023'!$M$4="FO",'2023'!$M$2=AM5),'2023DATA2'!$J$16,"")</f>
        <v/>
      </c>
      <c r="AN19" s="518" t="str">
        <f>IF(AND(_AC2="B-767-300",'2023'!$M$4="FO",'2023'!$M$2=AN5),'2023DATA2'!$K$16,"")</f>
        <v/>
      </c>
      <c r="AO19" s="518" t="str">
        <f>IF(AND(_AC2="B-767-300",'2023'!$M$4="FO",'2023'!$M$2=AO5),'2023DATA2'!$L$16,"")</f>
        <v/>
      </c>
      <c r="AP19" s="518" t="str">
        <f>IF(AND(_AC2="B-767-300",'2023'!$M$4="FO",'2023'!$M$2=AP5),'2023DATA2'!$M$16,"")</f>
        <v/>
      </c>
      <c r="AQ19" s="520" t="str">
        <f>IF(AND(_AC2="B-767-300",'2023'!$M$4="FO",'2023'!$M$2=AQ5),'2023DATA2'!$N$16,"")</f>
        <v/>
      </c>
      <c r="AR19" s="940"/>
      <c r="AS19" s="13" t="s">
        <v>62</v>
      </c>
      <c r="AT19" s="518" t="str">
        <f>IF(AND(_AC3="B-767-300",'2023'!$M$4="FO",'2023'!$M$2=AT5),'2023DATA2'!$C$16,"")</f>
        <v/>
      </c>
      <c r="AU19" s="518" t="str">
        <f>IF(AND(_AC3="B-767-300",'2023'!$M$4="FO",'2023'!$M$2=AU5),'2023DATA2'!$D$16,"")</f>
        <v/>
      </c>
      <c r="AV19" s="518" t="str">
        <f>IF(AND(_AC3="B-767-300",'2023'!$M$4="FO",'2023'!$M$2=AV5),'2023DATA2'!$E$16,"")</f>
        <v/>
      </c>
      <c r="AW19" s="518" t="str">
        <f>IF(AND(_AC3="B-767-300",'2023'!$M$4="FO",'2023'!$M$2=AW5),'2023DATA2'!$F$16,"")</f>
        <v/>
      </c>
      <c r="AX19" s="518" t="str">
        <f>IF(AND(_AC3="B-767-300",'2023'!$M$4="FO",'2023'!$M$2=AX5),'2023DATA2'!$G$16,"")</f>
        <v/>
      </c>
      <c r="AY19" s="518" t="str">
        <f>IF(AND(_AC3="B-767-300",'2023'!$M$4="FO",'2023'!$M$2=AY5),'2023DATA2'!$H$16,"")</f>
        <v/>
      </c>
      <c r="AZ19" s="518" t="str">
        <f>IF(AND(_AC3="B-767-300",'2023'!$M$4="FO",'2023'!$M$2=AZ5),'2023DATA2'!$I$16,"")</f>
        <v/>
      </c>
      <c r="BA19" s="518" t="str">
        <f>IF(AND(_AC3="B-767-300",'2023'!$M$4="FO",'2023'!$M$2=BA5),'2023DATA2'!$J$16,"")</f>
        <v/>
      </c>
      <c r="BB19" s="518" t="str">
        <f>IF(AND(_AC3="B-767-300",'2023'!$M$4="FO",'2023'!$M$2=BB5),'2023DATA2'!$K$16,"")</f>
        <v/>
      </c>
      <c r="BC19" s="518" t="str">
        <f>IF(AND(_AC3="B-767-300",'2023'!$M$4="FO",'2023'!$M$2=BC5),'2023DATA2'!$L$16,"")</f>
        <v/>
      </c>
      <c r="BD19" s="518" t="str">
        <f>IF(AND(_AC3="B-767-300",'2023'!$M$4="FO",'2023'!$M$2=BD5),'2023DATA2'!$M$16,"")</f>
        <v/>
      </c>
      <c r="BE19" s="520" t="str">
        <f>IF(AND(_AC3="B-767-300",'2023'!$M$4="FO",'2023'!$M$2=BE5),'2023DATA2'!$N$16,"")</f>
        <v/>
      </c>
      <c r="BF19" s="940"/>
      <c r="BG19" s="13" t="s">
        <v>62</v>
      </c>
      <c r="BH19" s="518" t="str">
        <f>IF(AND(_AC4="B-767-300",'2023'!$M$4="FO",'2023'!$M$2=BH5),'2023DATA2'!$C$16,"")</f>
        <v/>
      </c>
      <c r="BI19" s="518" t="str">
        <f>IF(AND(_AC4="B-767-300",'2023'!$M$4="FO",'2023'!$M$2=BI5),'2023DATA2'!$D$16,"")</f>
        <v/>
      </c>
      <c r="BJ19" s="518" t="str">
        <f>IF(AND(_AC4="B-767-300",'2023'!$M$4="FO",'2023'!$M$2=BJ5),'2023DATA2'!$E$16,"")</f>
        <v/>
      </c>
      <c r="BK19" s="518" t="str">
        <f>IF(AND(_AC4="B-767-300",'2023'!$M$4="FO",'2023'!$M$2=BK5),'2023DATA2'!$F$16,"")</f>
        <v/>
      </c>
      <c r="BL19" s="518" t="str">
        <f>IF(AND(_AC4="B-767-300",'2023'!$M$4="FO",'2023'!$M$2=BL5),'2023DATA2'!$G$16,"")</f>
        <v/>
      </c>
      <c r="BM19" s="518" t="str">
        <f>IF(AND(_AC4="B-767-300",'2023'!$M$4="FO",'2023'!$M$2=BM5),'2023DATA2'!$H$16,"")</f>
        <v/>
      </c>
      <c r="BN19" s="518" t="str">
        <f>IF(AND(_AC4="B-767-300",'2023'!$M$4="FO",'2023'!$M$2=BN5),'2023DATA2'!$I$16,"")</f>
        <v/>
      </c>
      <c r="BO19" s="518" t="str">
        <f>IF(AND(_AC4="B-767-300",'2023'!$M$4="FO",'2023'!$M$2=BO5),'2023DATA2'!$J$16,"")</f>
        <v/>
      </c>
      <c r="BP19" s="518" t="str">
        <f>IF(AND(_AC4="B-767-300",'2023'!$M$4="FO",'2023'!$M$2=BP5),'2023DATA2'!$K$16,"")</f>
        <v/>
      </c>
      <c r="BQ19" s="518" t="str">
        <f>IF(AND(_AC4="B-767-300",'2023'!$M$4="FO",'2023'!$M$2=BQ5),'2023DATA2'!$L$16,"")</f>
        <v/>
      </c>
      <c r="BR19" s="518" t="str">
        <f>IF(AND(_AC4="B-767-300",'2023'!$M$4="FO",'2023'!$M$2=BR5),'2023DATA2'!$M$16,"")</f>
        <v/>
      </c>
      <c r="BS19" s="520" t="str">
        <f>IF(AND(_AC4="B-767-300",'2023'!$M$4="FO",'2023'!$M$2=BS5),'2023DATA2'!$N$16,"")</f>
        <v/>
      </c>
      <c r="BT19" s="940"/>
      <c r="BU19" s="13" t="s">
        <v>62</v>
      </c>
      <c r="BV19" s="518" t="str">
        <f>IF(AND(_AC5="B-767-300",'2023'!$M$4="FO",'2023'!$M$2=BV5),'2023DATA2'!$C$16,"")</f>
        <v/>
      </c>
      <c r="BW19" s="518" t="str">
        <f>IF(AND(_AC5="B-767-300",'2023'!$M$4="FO",'2023'!$M$2=BW5),'2023DATA2'!$D$16,"")</f>
        <v/>
      </c>
      <c r="BX19" s="518" t="str">
        <f>IF(AND(_AC5="B-767-300",'2023'!$M$4="FO",'2023'!$M$2=BX5),'2023DATA2'!$E$16,"")</f>
        <v/>
      </c>
      <c r="BY19" s="518" t="str">
        <f>IF(AND(_AC5="B-767-300",'2023'!$M$4="FO",'2023'!$M$2=BY5),'2023DATA2'!$F$16,"")</f>
        <v/>
      </c>
      <c r="BZ19" s="518" t="str">
        <f>IF(AND(_AC5="B-767-300",'2023'!$M$4="FO",'2023'!$M$2=BZ5),'2023DATA2'!$G$16,"")</f>
        <v/>
      </c>
      <c r="CA19" s="518" t="str">
        <f>IF(AND(_AC5="B-767-300",'2023'!$M$4="FO",'2023'!$M$2=CA5),'2023DATA2'!$H$16,"")</f>
        <v/>
      </c>
      <c r="CB19" s="518" t="str">
        <f>IF(AND(_AC5="B-767-300",'2023'!$M$4="FO",'2023'!$M$2=CB5),'2023DATA2'!$I$16,"")</f>
        <v/>
      </c>
      <c r="CC19" s="518" t="str">
        <f>IF(AND(_AC5="B-767-300",'2023'!$M$4="FO",'2023'!$M$2=CC5),'2023DATA2'!$J$16,"")</f>
        <v/>
      </c>
      <c r="CD19" s="518" t="str">
        <f>IF(AND(_AC5="B-767-300",'2023'!$M$4="FO",'2023'!$M$2=CD5),'2023DATA2'!$K$16,"")</f>
        <v/>
      </c>
      <c r="CE19" s="518" t="str">
        <f>IF(AND(_AC5="B-767-300",'2023'!$M$4="FO",'2023'!$M$2=CE5),'2023DATA2'!$L$16,"")</f>
        <v/>
      </c>
      <c r="CF19" s="518" t="str">
        <f>IF(AND(_AC5="B-767-300",'2023'!$M$4="FO",'2023'!$M$2=CF5),'2023DATA2'!$M$16,"")</f>
        <v/>
      </c>
      <c r="CG19" s="520" t="str">
        <f>IF(AND(_AC5="B-767-300",'2023'!$M$4="FO",'2023'!$M$2=CG5),'2023DATA2'!$N$16,"")</f>
        <v/>
      </c>
      <c r="CH19" s="940"/>
      <c r="CI19" s="13" t="s">
        <v>62</v>
      </c>
      <c r="CJ19" s="518" t="str">
        <f>IF(AND(_AC6="B-767-300",'2023'!$M$4="FO",'2023'!$M$2=CJ5),'2023DATA2'!$C$16,"")</f>
        <v/>
      </c>
      <c r="CK19" s="518" t="str">
        <f>IF(AND(_AC6="B-767-300",'2023'!$M$4="FO",'2023'!$M$2=CK5),'2023DATA2'!$D$16,"")</f>
        <v/>
      </c>
      <c r="CL19" s="518" t="str">
        <f>IF(AND(_AC6="B-767-300",'2023'!$M$4="FO",'2023'!$M$2=CL5),'2023DATA2'!$E$16,"")</f>
        <v/>
      </c>
      <c r="CM19" s="518" t="str">
        <f>IF(AND(_AC6="B-767-300",'2023'!$M$4="FO",'2023'!$M$2=CM5),'2023DATA2'!$F$16,"")</f>
        <v/>
      </c>
      <c r="CN19" s="518" t="str">
        <f>IF(AND(_AC6="B-767-300",'2023'!$M$4="FO",'2023'!$M$2=CN5),'2023DATA2'!$G$16,"")</f>
        <v/>
      </c>
      <c r="CO19" s="518" t="str">
        <f>IF(AND(_AC6="B-767-300",'2023'!$M$4="FO",'2023'!$M$2=CO5),'2023DATA2'!$H$16,"")</f>
        <v/>
      </c>
      <c r="CP19" s="518" t="str">
        <f>IF(AND(_AC6="B-767-300",'2023'!$M$4="FO",'2023'!$M$2=CP5),'2023DATA2'!$I$16,"")</f>
        <v/>
      </c>
      <c r="CQ19" s="518" t="str">
        <f>IF(AND(_AC6="B-767-300",'2023'!$M$4="FO",'2023'!$M$2=CQ5),'2023DATA2'!$J$16,"")</f>
        <v/>
      </c>
      <c r="CR19" s="518" t="str">
        <f>IF(AND(_AC6="B-767-300",'2023'!$M$4="FO",'2023'!$M$2=CR5),'2023DATA2'!$K$16,"")</f>
        <v/>
      </c>
      <c r="CS19" s="518" t="str">
        <f>IF(AND(_AC6="B-767-300",'2023'!$M$4="FO",'2023'!$M$2=CS5),'2023DATA2'!$L$16,"")</f>
        <v/>
      </c>
      <c r="CT19" s="518" t="str">
        <f>IF(AND(_AC6="B-767-300",'2023'!$M$4="FO",'2023'!$M$2=CT5),'2023DATA2'!$M$16,"")</f>
        <v/>
      </c>
      <c r="CU19" s="520" t="str">
        <f>IF(AND(_AC6="B-767-300",'2023'!$M$4="FO",'2023'!$M$2=CU5),'2023DATA2'!$N$16,"")</f>
        <v/>
      </c>
    </row>
    <row r="20" spans="1:99" x14ac:dyDescent="0.25">
      <c r="A20" s="946"/>
      <c r="B20" s="78" t="s">
        <v>62</v>
      </c>
      <c r="C20" s="316">
        <v>243.51</v>
      </c>
      <c r="D20" s="317">
        <v>240.68</v>
      </c>
      <c r="E20" s="317">
        <v>237.76</v>
      </c>
      <c r="F20" s="318">
        <v>233.87</v>
      </c>
      <c r="G20" s="341">
        <v>231.53</v>
      </c>
      <c r="H20" s="342">
        <v>226.22</v>
      </c>
      <c r="I20" s="343">
        <v>220.15</v>
      </c>
      <c r="J20" s="344">
        <v>214.78</v>
      </c>
      <c r="K20" s="345">
        <v>209.64</v>
      </c>
      <c r="L20" s="143">
        <v>204.66</v>
      </c>
      <c r="M20" s="143">
        <v>174.89</v>
      </c>
      <c r="N20" s="146">
        <v>110.52</v>
      </c>
      <c r="P20" s="940" t="s">
        <v>68</v>
      </c>
      <c r="Q20" s="13" t="s">
        <v>61</v>
      </c>
      <c r="R20" s="518" t="str">
        <f>IF(AND(_AC1="B-767-200",'2023'!$M$4="CA",'2023'!$M$2=R5),'2023DATA2'!$C$17,"")</f>
        <v/>
      </c>
      <c r="S20" s="518" t="str">
        <f>IF(AND(_AC1="B-767-200",'2023'!$M$4="CA",'2023'!$M$2=S5),'2023DATA2'!$D$17,"")</f>
        <v/>
      </c>
      <c r="T20" s="518" t="str">
        <f>IF(AND(_AC1="B-767-200",'2023'!$M$4="CA",'2023'!$M$2=T5),'2023DATA2'!$E$17,"")</f>
        <v/>
      </c>
      <c r="U20" s="518" t="str">
        <f>IF(AND(_AC1="B-767-200",'2023'!$M$4="CA",'2023'!$M$2=U5),'2023DATA2'!$F$17,"")</f>
        <v/>
      </c>
      <c r="V20" s="518" t="str">
        <f>IF(AND(_AC1="B-767-200",'2023'!$M$4="CA",'2023'!$M$2=V5),'2023DATA2'!$G$17,"")</f>
        <v/>
      </c>
      <c r="W20" s="518" t="str">
        <f>IF(AND(_AC1="B-767-200",'2023'!$M$4="CA",'2023'!$M$2=W5),'2023DATA2'!$H$17,"")</f>
        <v/>
      </c>
      <c r="X20" s="518" t="str">
        <f>IF(AND(_AC1="B-767-200",'2023'!$M$4="CA",'2023'!$M$2=X5),'2023DATA2'!$I$17,"")</f>
        <v/>
      </c>
      <c r="Y20" s="518" t="str">
        <f>IF(AND(_AC1="B-767-200",'2023'!$M$4="CA",'2023'!$M$2=Y5),'2023DATA2'!$J$17,"")</f>
        <v/>
      </c>
      <c r="Z20" s="518" t="str">
        <f>IF(AND(_AC1="B-767-200",'2023'!$M$4="CA",'2023'!$M$2=Z5),'2023DATA2'!$K$17,"")</f>
        <v/>
      </c>
      <c r="AA20" s="518" t="str">
        <f>IF(AND(_AC1="B-767-200",'2023'!$M$4="CA",'2023'!$M$2=AA5),'2023DATA2'!$L$17,"")</f>
        <v/>
      </c>
      <c r="AB20" s="518" t="str">
        <f>IF(AND(_AC1="B-767-200",'2023'!$M$4="CA",'2023'!$M$2=AB5),'2023DATA2'!$M$17,"")</f>
        <v/>
      </c>
      <c r="AC20" s="520" t="str">
        <f>IF(AND(_AC1="B-767-200",'2023'!$M$4="CA",'2023'!$M$2=AC5),'2023DATA2'!$N$17,"")</f>
        <v/>
      </c>
      <c r="AD20" s="940" t="s">
        <v>68</v>
      </c>
      <c r="AE20" s="13" t="s">
        <v>61</v>
      </c>
      <c r="AF20" s="518" t="str">
        <f>IF(AND(_AC2="B-767-200",'2023'!$M$4="CA",'2023'!$M$2=AF5),'2023DATA2'!$C$17,"")</f>
        <v/>
      </c>
      <c r="AG20" s="518" t="str">
        <f>IF(AND(_AC2="B-767-200",'2023'!$M$4="CA",'2023'!$M$2=AG5),'2023DATA2'!$D$17,"")</f>
        <v/>
      </c>
      <c r="AH20" s="518" t="str">
        <f>IF(AND(_AC2="B-767-200",'2023'!$M$4="CA",'2023'!$M$2=AH5),'2023DATA2'!$E$17,"")</f>
        <v/>
      </c>
      <c r="AI20" s="518" t="str">
        <f>IF(AND(_AC2="B-767-200",'2023'!$M$4="CA",'2023'!$M$2=AI5),'2023DATA2'!$F$17,"")</f>
        <v/>
      </c>
      <c r="AJ20" s="518" t="str">
        <f>IF(AND(_AC2="B-767-200",'2023'!$M$4="CA",'2023'!$M$2=AJ5),'2023DATA2'!$G$17,"")</f>
        <v/>
      </c>
      <c r="AK20" s="518" t="str">
        <f>IF(AND(_AC2="B-767-200",'2023'!$M$4="CA",'2023'!$M$2=AK5),'2023DATA2'!$H$17,"")</f>
        <v/>
      </c>
      <c r="AL20" s="518" t="str">
        <f>IF(AND(_AC2="B-767-200",'2023'!$M$4="CA",'2023'!$M$2=AL5),'2023DATA2'!$I$17,"")</f>
        <v/>
      </c>
      <c r="AM20" s="518" t="str">
        <f>IF(AND(_AC2="B-767-200",'2023'!$M$4="CA",'2023'!$M$2=AM5),'2023DATA2'!$J$17,"")</f>
        <v/>
      </c>
      <c r="AN20" s="518" t="str">
        <f>IF(AND(_AC2="B-767-200",'2023'!$M$4="CA",'2023'!$M$2=AN5),'2023DATA2'!$K$17,"")</f>
        <v/>
      </c>
      <c r="AO20" s="518" t="str">
        <f>IF(AND(_AC2="B-767-200",'2023'!$M$4="CA",'2023'!$M$2=AO5),'2023DATA2'!$L$17,"")</f>
        <v/>
      </c>
      <c r="AP20" s="518" t="str">
        <f>IF(AND(_AC2="B-767-200",'2023'!$M$4="CA",'2023'!$M$2=AP5),'2023DATA2'!$M$17,"")</f>
        <v/>
      </c>
      <c r="AQ20" s="520" t="str">
        <f>IF(AND(_AC2="B-767-200",'2023'!$M$4="CA",'2023'!$M$2=AQ5),'2023DATA2'!$N$17,"")</f>
        <v/>
      </c>
      <c r="AR20" s="940" t="s">
        <v>68</v>
      </c>
      <c r="AS20" s="13" t="s">
        <v>61</v>
      </c>
      <c r="AT20" s="518" t="str">
        <f>IF(AND(_AC3="B-767-200",'2023'!$M$4="CA",'2023'!$M$2=AT5),'2023DATA2'!$C$17,"")</f>
        <v/>
      </c>
      <c r="AU20" s="518" t="str">
        <f>IF(AND(_AC3="B-767-200",'2023'!$M$4="CA",'2023'!$M$2=AU5),'2023DATA2'!$D$17,"")</f>
        <v/>
      </c>
      <c r="AV20" s="518" t="str">
        <f>IF(AND(_AC3="B-767-200",'2023'!$M$4="CA",'2023'!$M$2=AV5),'2023DATA2'!$E$17,"")</f>
        <v/>
      </c>
      <c r="AW20" s="518" t="str">
        <f>IF(AND(_AC3="B-767-200",'2023'!$M$4="CA",'2023'!$M$2=AW5),'2023DATA2'!$F$17,"")</f>
        <v/>
      </c>
      <c r="AX20" s="518" t="str">
        <f>IF(AND(_AC3="B-767-200",'2023'!$M$4="CA",'2023'!$M$2=AX5),'2023DATA2'!$G$17,"")</f>
        <v/>
      </c>
      <c r="AY20" s="518" t="str">
        <f>IF(AND(_AC3="B-767-200",'2023'!$M$4="CA",'2023'!$M$2=AY5),'2023DATA2'!$H$17,"")</f>
        <v/>
      </c>
      <c r="AZ20" s="518" t="str">
        <f>IF(AND(_AC3="B-767-200",'2023'!$M$4="CA",'2023'!$M$2=AZ5),'2023DATA2'!$I$17,"")</f>
        <v/>
      </c>
      <c r="BA20" s="518" t="str">
        <f>IF(AND(_AC3="B-767-200",'2023'!$M$4="CA",'2023'!$M$2=BA5),'2023DATA2'!$J$17,"")</f>
        <v/>
      </c>
      <c r="BB20" s="518" t="str">
        <f>IF(AND(_AC3="B-767-200",'2023'!$M$4="CA",'2023'!$M$2=BB5),'2023DATA2'!$K$17,"")</f>
        <v/>
      </c>
      <c r="BC20" s="518" t="str">
        <f>IF(AND(_AC3="B-767-200",'2023'!$M$4="CA",'2023'!$M$2=BC5),'2023DATA2'!$L$17,"")</f>
        <v/>
      </c>
      <c r="BD20" s="518" t="str">
        <f>IF(AND(_AC3="B-767-200",'2023'!$M$4="CA",'2023'!$M$2=BD5),'2023DATA2'!$M$17,"")</f>
        <v/>
      </c>
      <c r="BE20" s="520" t="str">
        <f>IF(AND(_AC3="B-767-200",'2023'!$M$4="CA",'2023'!$M$2=BE5),'2023DATA2'!$N$17,"")</f>
        <v/>
      </c>
      <c r="BF20" s="940" t="s">
        <v>68</v>
      </c>
      <c r="BG20" s="13" t="s">
        <v>61</v>
      </c>
      <c r="BH20" s="518" t="str">
        <f>IF(AND(_AC4="B-767-200",'2023'!$M$4="CA",'2023'!$M$2=BH5),'2023DATA2'!$C$17,"")</f>
        <v/>
      </c>
      <c r="BI20" s="518" t="str">
        <f>IF(AND(_AC4="B-767-200",'2023'!$M$4="CA",'2023'!$M$2=BI5),'2023DATA2'!$D$17,"")</f>
        <v/>
      </c>
      <c r="BJ20" s="518" t="str">
        <f>IF(AND(_AC4="B-767-200",'2023'!$M$4="CA",'2023'!$M$2=BJ5),'2023DATA2'!$E$17,"")</f>
        <v/>
      </c>
      <c r="BK20" s="518" t="str">
        <f>IF(AND(_AC4="B-767-200",'2023'!$M$4="CA",'2023'!$M$2=BK5),'2023DATA2'!$F$17,"")</f>
        <v/>
      </c>
      <c r="BL20" s="518" t="str">
        <f>IF(AND(_AC4="B-767-200",'2023'!$M$4="CA",'2023'!$M$2=BL5),'2023DATA2'!$G$17,"")</f>
        <v/>
      </c>
      <c r="BM20" s="518" t="str">
        <f>IF(AND(_AC4="B-767-200",'2023'!$M$4="CA",'2023'!$M$2=BM5),'2023DATA2'!$H$17,"")</f>
        <v/>
      </c>
      <c r="BN20" s="518" t="str">
        <f>IF(AND(_AC4="B-767-200",'2023'!$M$4="CA",'2023'!$M$2=BN5),'2023DATA2'!$I$17,"")</f>
        <v/>
      </c>
      <c r="BO20" s="518" t="str">
        <f>IF(AND(_AC4="B-767-200",'2023'!$M$4="CA",'2023'!$M$2=BO5),'2023DATA2'!$J$17,"")</f>
        <v/>
      </c>
      <c r="BP20" s="518" t="str">
        <f>IF(AND(_AC4="B-767-200",'2023'!$M$4="CA",'2023'!$M$2=BP5),'2023DATA2'!$K$17,"")</f>
        <v/>
      </c>
      <c r="BQ20" s="518" t="str">
        <f>IF(AND(_AC4="B-767-200",'2023'!$M$4="CA",'2023'!$M$2=BQ5),'2023DATA2'!$L$17,"")</f>
        <v/>
      </c>
      <c r="BR20" s="518" t="str">
        <f>IF(AND(_AC4="B-767-200",'2023'!$M$4="CA",'2023'!$M$2=BR5),'2023DATA2'!$M$17,"")</f>
        <v/>
      </c>
      <c r="BS20" s="520" t="str">
        <f>IF(AND(_AC4="B-767-200",'2023'!$M$4="CA",'2023'!$M$2=BS5),'2023DATA2'!$N$17,"")</f>
        <v/>
      </c>
      <c r="BT20" s="940" t="s">
        <v>68</v>
      </c>
      <c r="BU20" s="13" t="s">
        <v>61</v>
      </c>
      <c r="BV20" s="518" t="str">
        <f>IF(AND(_AC5="B-767-200",'2023'!$M$4="CA",'2023'!$M$2=BV5),'2023DATA2'!$C$17,"")</f>
        <v/>
      </c>
      <c r="BW20" s="518" t="str">
        <f>IF(AND(_AC5="B-767-200",'2023'!$M$4="CA",'2023'!$M$2=BW5),'2023DATA2'!$D$17,"")</f>
        <v/>
      </c>
      <c r="BX20" s="518" t="str">
        <f>IF(AND(_AC5="B-767-200",'2023'!$M$4="CA",'2023'!$M$2=BX5),'2023DATA2'!$E$17,"")</f>
        <v/>
      </c>
      <c r="BY20" s="518" t="str">
        <f>IF(AND(_AC5="B-767-200",'2023'!$M$4="CA",'2023'!$M$2=BY5),'2023DATA2'!$F$17,"")</f>
        <v/>
      </c>
      <c r="BZ20" s="518" t="str">
        <f>IF(AND(_AC5="B-767-200",'2023'!$M$4="CA",'2023'!$M$2=BZ5),'2023DATA2'!$G$17,"")</f>
        <v/>
      </c>
      <c r="CA20" s="518" t="str">
        <f>IF(AND(_AC5="B-767-200",'2023'!$M$4="CA",'2023'!$M$2=CA5),'2023DATA2'!$H$17,"")</f>
        <v/>
      </c>
      <c r="CB20" s="518" t="str">
        <f>IF(AND(_AC5="B-767-200",'2023'!$M$4="CA",'2023'!$M$2=CB5),'2023DATA2'!$I$17,"")</f>
        <v/>
      </c>
      <c r="CC20" s="518" t="str">
        <f>IF(AND(_AC5="B-767-200",'2023'!$M$4="CA",'2023'!$M$2=CC5),'2023DATA2'!$J$17,"")</f>
        <v/>
      </c>
      <c r="CD20" s="518" t="str">
        <f>IF(AND(_AC5="B-767-200",'2023'!$M$4="CA",'2023'!$M$2=CD5),'2023DATA2'!$K$17,"")</f>
        <v/>
      </c>
      <c r="CE20" s="518" t="str">
        <f>IF(AND(_AC5="B-767-200",'2023'!$M$4="CA",'2023'!$M$2=CE5),'2023DATA2'!$L$17,"")</f>
        <v/>
      </c>
      <c r="CF20" s="518" t="str">
        <f>IF(AND(_AC5="B-767-200",'2023'!$M$4="CA",'2023'!$M$2=CF5),'2023DATA2'!$M$17,"")</f>
        <v/>
      </c>
      <c r="CG20" s="520" t="str">
        <f>IF(AND(_AC5="B-767-200",'2023'!$M$4="CA",'2023'!$M$2=CG5),'2023DATA2'!$N$17,"")</f>
        <v/>
      </c>
      <c r="CH20" s="940" t="s">
        <v>68</v>
      </c>
      <c r="CI20" s="13" t="s">
        <v>61</v>
      </c>
      <c r="CJ20" s="518" t="str">
        <f>IF(AND(_AC6="B-767-200",'2023'!$M$4="CA",'2023'!$M$2=CJ5),'2023DATA2'!$C$17,"")</f>
        <v/>
      </c>
      <c r="CK20" s="518" t="str">
        <f>IF(AND(_AC6="B-767-200",'2023'!$M$4="CA",'2023'!$M$2=CK5),'2023DATA2'!$D$17,"")</f>
        <v/>
      </c>
      <c r="CL20" s="518" t="str">
        <f>IF(AND(_AC6="B-767-200",'2023'!$M$4="CA",'2023'!$M$2=CL5),'2023DATA2'!$E$17,"")</f>
        <v/>
      </c>
      <c r="CM20" s="518" t="str">
        <f>IF(AND(_AC6="B-767-200",'2023'!$M$4="CA",'2023'!$M$2=CM5),'2023DATA2'!$F$17,"")</f>
        <v/>
      </c>
      <c r="CN20" s="518" t="str">
        <f>IF(AND(_AC6="B-767-200",'2023'!$M$4="CA",'2023'!$M$2=CN5),'2023DATA2'!$G$17,"")</f>
        <v/>
      </c>
      <c r="CO20" s="518" t="str">
        <f>IF(AND(_AC6="B-767-200",'2023'!$M$4="CA",'2023'!$M$2=CO5),'2023DATA2'!$H$17,"")</f>
        <v/>
      </c>
      <c r="CP20" s="518" t="str">
        <f>IF(AND(_AC6="B-767-200",'2023'!$M$4="CA",'2023'!$M$2=CP5),'2023DATA2'!$I$17,"")</f>
        <v/>
      </c>
      <c r="CQ20" s="518" t="str">
        <f>IF(AND(_AC6="B-767-200",'2023'!$M$4="CA",'2023'!$M$2=CQ5),'2023DATA2'!$J$17,"")</f>
        <v/>
      </c>
      <c r="CR20" s="518" t="str">
        <f>IF(AND(_AC6="B-767-200",'2023'!$M$4="CA",'2023'!$M$2=CR5),'2023DATA2'!$K$17,"")</f>
        <v/>
      </c>
      <c r="CS20" s="518" t="str">
        <f>IF(AND(_AC6="B-767-200",'2023'!$M$4="CA",'2023'!$M$2=CS5),'2023DATA2'!$L$17,"")</f>
        <v/>
      </c>
      <c r="CT20" s="518" t="str">
        <f>IF(AND(_AC6="B-767-200",'2023'!$M$4="CA",'2023'!$M$2=CT5),'2023DATA2'!$M$17,"")</f>
        <v/>
      </c>
      <c r="CU20" s="520" t="str">
        <f>IF(AND(_AC6="B-767-200",'2023'!$M$4="CA",'2023'!$M$2=CU5),'2023DATA2'!$N$17,"")</f>
        <v/>
      </c>
    </row>
    <row r="21" spans="1:99" x14ac:dyDescent="0.25">
      <c r="A21" s="946" t="s">
        <v>47</v>
      </c>
      <c r="B21" s="78" t="s">
        <v>61</v>
      </c>
      <c r="C21" s="118">
        <v>343.67</v>
      </c>
      <c r="D21" s="119">
        <v>341.02</v>
      </c>
      <c r="E21" s="120">
        <v>338.36</v>
      </c>
      <c r="F21" s="121">
        <v>335.86</v>
      </c>
      <c r="G21" s="122">
        <v>333.21</v>
      </c>
      <c r="H21" s="123">
        <v>330.62</v>
      </c>
      <c r="I21" s="122">
        <v>328.04</v>
      </c>
      <c r="J21" s="123">
        <v>325.44</v>
      </c>
      <c r="K21" s="121">
        <v>322.82</v>
      </c>
      <c r="L21" s="122">
        <v>320.20999999999998</v>
      </c>
      <c r="M21" s="123">
        <v>317.73</v>
      </c>
      <c r="N21" s="124">
        <v>315.25</v>
      </c>
      <c r="P21" s="940"/>
      <c r="Q21" s="13" t="s">
        <v>62</v>
      </c>
      <c r="R21" s="518" t="str">
        <f>IF(AND(_AC1="B-767-200",'2023'!$M$4="FO",'2023'!$M$2=R5),'2023DATA2'!$C$18,"")</f>
        <v/>
      </c>
      <c r="S21" s="518" t="str">
        <f>IF(AND(_AC1="B-767-200",'2023'!$M$4="FO",'2023'!$M$2=S5),'2023DATA2'!$D$18,"")</f>
        <v/>
      </c>
      <c r="T21" s="518" t="str">
        <f>IF(AND(_AC1="B-767-200",'2023'!$M$4="FO",'2023'!$M$2=T5),'2023DATA2'!$E$18,"")</f>
        <v/>
      </c>
      <c r="U21" s="518" t="str">
        <f>IF(AND(_AC1="B-767-200",'2023'!$M$4="FO",'2023'!$M$2=U5),'2023DATA2'!$F$18,"")</f>
        <v/>
      </c>
      <c r="V21" s="518" t="str">
        <f>IF(AND(_AC1="B-767-200",'2023'!$M$4="FO",'2023'!$M$2=V5),'2023DATA2'!$G$18,"")</f>
        <v/>
      </c>
      <c r="W21" s="518" t="str">
        <f>IF(AND(_AC1="B-767-200",'2023'!$M$4="FO",'2023'!$M$2=W5),'2023DATA2'!$H$18,"")</f>
        <v/>
      </c>
      <c r="X21" s="518" t="str">
        <f>IF(AND(_AC1="B-767-200",'2023'!$M$4="FO",'2023'!$M$2=X5),'2023DATA2'!$I$18,"")</f>
        <v/>
      </c>
      <c r="Y21" s="518" t="str">
        <f>IF(AND(_AC1="B-767-200",'2023'!$M$4="FO",'2023'!$M$2=Y5),'2023DATA2'!$J$18,"")</f>
        <v/>
      </c>
      <c r="Z21" s="518" t="str">
        <f>IF(AND(_AC1="B-767-200",'2023'!$M$4="FO",'2023'!$M$2=Z5),'2023DATA2'!$K$18,"")</f>
        <v/>
      </c>
      <c r="AA21" s="518" t="str">
        <f>IF(AND(_AC1="B-767-200",'2023'!$M$4="FO",'2023'!$M$2=AA5),'2023DATA2'!$L$18,"")</f>
        <v/>
      </c>
      <c r="AB21" s="518" t="str">
        <f>IF(AND(_AC1="B-767-200",'2023'!$M$4="FO",'2023'!$M$2=AB5),'2023DATA2'!$M$18,"")</f>
        <v/>
      </c>
      <c r="AC21" s="520" t="str">
        <f>IF(AND(_AC1="B-767-200",'2023'!$M$4="FO",'2023'!$M$2=AC5),'2023DATA2'!$N$18,"")</f>
        <v/>
      </c>
      <c r="AD21" s="940"/>
      <c r="AE21" s="13" t="s">
        <v>62</v>
      </c>
      <c r="AF21" s="518" t="str">
        <f>IF(AND(_AC2="B-767-200",'2023'!$M$4="FO",'2023'!$M$2=AF5),'2023DATA2'!$C$18,"")</f>
        <v/>
      </c>
      <c r="AG21" s="518" t="str">
        <f>IF(AND(_AC2="B-767-200",'2023'!$M$4="FO",'2023'!$M$2=AG5),'2023DATA2'!$D$18,"")</f>
        <v/>
      </c>
      <c r="AH21" s="518" t="str">
        <f>IF(AND(_AC2="B-767-200",'2023'!$M$4="FO",'2023'!$M$2=AH5),'2023DATA2'!$E$18,"")</f>
        <v/>
      </c>
      <c r="AI21" s="518" t="str">
        <f>IF(AND(_AC2="B-767-200",'2023'!$M$4="FO",'2023'!$M$2=AI5),'2023DATA2'!$F$18,"")</f>
        <v/>
      </c>
      <c r="AJ21" s="518" t="str">
        <f>IF(AND(_AC2="B-767-200",'2023'!$M$4="FO",'2023'!$M$2=AJ5),'2023DATA2'!$G$18,"")</f>
        <v/>
      </c>
      <c r="AK21" s="518" t="str">
        <f>IF(AND(_AC2="B-767-200",'2023'!$M$4="FO",'2023'!$M$2=AK5),'2023DATA2'!$H$18,"")</f>
        <v/>
      </c>
      <c r="AL21" s="518" t="str">
        <f>IF(AND(_AC2="B-767-200",'2023'!$M$4="FO",'2023'!$M$2=AL5),'2023DATA2'!$I$18,"")</f>
        <v/>
      </c>
      <c r="AM21" s="518" t="str">
        <f>IF(AND(_AC2="B-767-200",'2023'!$M$4="FO",'2023'!$M$2=AM5),'2023DATA2'!$J$18,"")</f>
        <v/>
      </c>
      <c r="AN21" s="518" t="str">
        <f>IF(AND(_AC2="B-767-200",'2023'!$M$4="FO",'2023'!$M$2=AN5),'2023DATA2'!$K$18,"")</f>
        <v/>
      </c>
      <c r="AO21" s="518" t="str">
        <f>IF(AND(_AC2="B-767-200",'2023'!$M$4="FO",'2023'!$M$2=AO5),'2023DATA2'!$L$18,"")</f>
        <v/>
      </c>
      <c r="AP21" s="518" t="str">
        <f>IF(AND(_AC2="B-767-200",'2023'!$M$4="FO",'2023'!$M$2=AP5),'2023DATA2'!$M$18,"")</f>
        <v/>
      </c>
      <c r="AQ21" s="520" t="str">
        <f>IF(AND(_AC2="B-767-200",'2023'!$M$4="FO",'2023'!$M$2=AQ5),'2023DATA2'!$N$18,"")</f>
        <v/>
      </c>
      <c r="AR21" s="940"/>
      <c r="AS21" s="13" t="s">
        <v>62</v>
      </c>
      <c r="AT21" s="518" t="str">
        <f>IF(AND(_AC3="B-767-200",'2023'!$M$4="FO",'2023'!$M$2=AT5),'2023DATA2'!$C$18,"")</f>
        <v/>
      </c>
      <c r="AU21" s="518" t="str">
        <f>IF(AND(_AC3="B-767-200",'2023'!$M$4="FO",'2023'!$M$2=AU5),'2023DATA2'!$D$18,"")</f>
        <v/>
      </c>
      <c r="AV21" s="518" t="str">
        <f>IF(AND(_AC3="B-767-200",'2023'!$M$4="FO",'2023'!$M$2=AV5),'2023DATA2'!$E$18,"")</f>
        <v/>
      </c>
      <c r="AW21" s="518" t="str">
        <f>IF(AND(_AC3="B-767-200",'2023'!$M$4="FO",'2023'!$M$2=AW5),'2023DATA2'!$F$18,"")</f>
        <v/>
      </c>
      <c r="AX21" s="518" t="str">
        <f>IF(AND(_AC3="B-767-200",'2023'!$M$4="FO",'2023'!$M$2=AX5),'2023DATA2'!$G$18,"")</f>
        <v/>
      </c>
      <c r="AY21" s="518" t="str">
        <f>IF(AND(_AC3="B-767-200",'2023'!$M$4="FO",'2023'!$M$2=AY5),'2023DATA2'!$H$18,"")</f>
        <v/>
      </c>
      <c r="AZ21" s="518" t="str">
        <f>IF(AND(_AC3="B-767-200",'2023'!$M$4="FO",'2023'!$M$2=AZ5),'2023DATA2'!$I$18,"")</f>
        <v/>
      </c>
      <c r="BA21" s="518" t="str">
        <f>IF(AND(_AC3="B-767-200",'2023'!$M$4="FO",'2023'!$M$2=BA5),'2023DATA2'!$J$18,"")</f>
        <v/>
      </c>
      <c r="BB21" s="518" t="str">
        <f>IF(AND(_AC3="B-767-200",'2023'!$M$4="FO",'2023'!$M$2=BB5),'2023DATA2'!$K$18,"")</f>
        <v/>
      </c>
      <c r="BC21" s="518" t="str">
        <f>IF(AND(_AC3="B-767-200",'2023'!$M$4="FO",'2023'!$M$2=BC5),'2023DATA2'!$L$18,"")</f>
        <v/>
      </c>
      <c r="BD21" s="518" t="str">
        <f>IF(AND(_AC3="B-767-200",'2023'!$M$4="FO",'2023'!$M$2=BD5),'2023DATA2'!$M$18,"")</f>
        <v/>
      </c>
      <c r="BE21" s="520" t="str">
        <f>IF(AND(_AC3="B-767-200",'2023'!$M$4="FO",'2023'!$M$2=BE5),'2023DATA2'!$N$18,"")</f>
        <v/>
      </c>
      <c r="BF21" s="940"/>
      <c r="BG21" s="13" t="s">
        <v>62</v>
      </c>
      <c r="BH21" s="518" t="str">
        <f>IF(AND(_AC4="B-767-200",'2023'!$M$4="FO",'2023'!$M$2=BH5),'2023DATA2'!$C$18,"")</f>
        <v/>
      </c>
      <c r="BI21" s="518" t="str">
        <f>IF(AND(_AC4="B-767-200",'2023'!$M$4="FO",'2023'!$M$2=BI5),'2023DATA2'!$D$18,"")</f>
        <v/>
      </c>
      <c r="BJ21" s="518" t="str">
        <f>IF(AND(_AC4="B-767-200",'2023'!$M$4="FO",'2023'!$M$2=BJ5),'2023DATA2'!$E$18,"")</f>
        <v/>
      </c>
      <c r="BK21" s="518" t="str">
        <f>IF(AND(_AC4="B-767-200",'2023'!$M$4="FO",'2023'!$M$2=BK5),'2023DATA2'!$F$18,"")</f>
        <v/>
      </c>
      <c r="BL21" s="518" t="str">
        <f>IF(AND(_AC4="B-767-200",'2023'!$M$4="FO",'2023'!$M$2=BL5),'2023DATA2'!$G$18,"")</f>
        <v/>
      </c>
      <c r="BM21" s="518" t="str">
        <f>IF(AND(_AC4="B-767-200",'2023'!$M$4="FO",'2023'!$M$2=BM5),'2023DATA2'!$H$18,"")</f>
        <v/>
      </c>
      <c r="BN21" s="518" t="str">
        <f>IF(AND(_AC4="B-767-200",'2023'!$M$4="FO",'2023'!$M$2=BN5),'2023DATA2'!$I$18,"")</f>
        <v/>
      </c>
      <c r="BO21" s="518" t="str">
        <f>IF(AND(_AC4="B-767-200",'2023'!$M$4="FO",'2023'!$M$2=BO5),'2023DATA2'!$J$18,"")</f>
        <v/>
      </c>
      <c r="BP21" s="518" t="str">
        <f>IF(AND(_AC4="B-767-200",'2023'!$M$4="FO",'2023'!$M$2=BP5),'2023DATA2'!$K$18,"")</f>
        <v/>
      </c>
      <c r="BQ21" s="518" t="str">
        <f>IF(AND(_AC4="B-767-200",'2023'!$M$4="FO",'2023'!$M$2=BQ5),'2023DATA2'!$L$18,"")</f>
        <v/>
      </c>
      <c r="BR21" s="518" t="str">
        <f>IF(AND(_AC4="B-767-200",'2023'!$M$4="FO",'2023'!$M$2=BR5),'2023DATA2'!$M$18,"")</f>
        <v/>
      </c>
      <c r="BS21" s="520" t="str">
        <f>IF(AND(_AC4="B-767-200",'2023'!$M$4="FO",'2023'!$M$2=BS5),'2023DATA2'!$N$18,"")</f>
        <v/>
      </c>
      <c r="BT21" s="940"/>
      <c r="BU21" s="13" t="s">
        <v>62</v>
      </c>
      <c r="BV21" s="518" t="str">
        <f>IF(AND(_AC5="B-767-200",'2023'!$M$4="FO",'2023'!$M$2=BV5),'2023DATA2'!$C$18,"")</f>
        <v/>
      </c>
      <c r="BW21" s="518" t="str">
        <f>IF(AND(_AC5="B-767-200",'2023'!$M$4="FO",'2023'!$M$2=BW5),'2023DATA2'!$D$18,"")</f>
        <v/>
      </c>
      <c r="BX21" s="518" t="str">
        <f>IF(AND(_AC5="B-767-200",'2023'!$M$4="FO",'2023'!$M$2=BX5),'2023DATA2'!$E$18,"")</f>
        <v/>
      </c>
      <c r="BY21" s="518" t="str">
        <f>IF(AND(_AC5="B-767-200",'2023'!$M$4="FO",'2023'!$M$2=BY5),'2023DATA2'!$F$18,"")</f>
        <v/>
      </c>
      <c r="BZ21" s="518" t="str">
        <f>IF(AND(_AC5="B-767-200",'2023'!$M$4="FO",'2023'!$M$2=BZ5),'2023DATA2'!$G$18,"")</f>
        <v/>
      </c>
      <c r="CA21" s="518" t="str">
        <f>IF(AND(_AC5="B-767-200",'2023'!$M$4="FO",'2023'!$M$2=CA5),'2023DATA2'!$H$18,"")</f>
        <v/>
      </c>
      <c r="CB21" s="518" t="str">
        <f>IF(AND(_AC5="B-767-200",'2023'!$M$4="FO",'2023'!$M$2=CB5),'2023DATA2'!$I$18,"")</f>
        <v/>
      </c>
      <c r="CC21" s="518" t="str">
        <f>IF(AND(_AC5="B-767-200",'2023'!$M$4="FO",'2023'!$M$2=CC5),'2023DATA2'!$J$18,"")</f>
        <v/>
      </c>
      <c r="CD21" s="518" t="str">
        <f>IF(AND(_AC5="B-767-200",'2023'!$M$4="FO",'2023'!$M$2=CD5),'2023DATA2'!$K$18,"")</f>
        <v/>
      </c>
      <c r="CE21" s="518" t="str">
        <f>IF(AND(_AC5="B-767-200",'2023'!$M$4="FO",'2023'!$M$2=CE5),'2023DATA2'!$L$18,"")</f>
        <v/>
      </c>
      <c r="CF21" s="518" t="str">
        <f>IF(AND(_AC5="B-767-200",'2023'!$M$4="FO",'2023'!$M$2=CF5),'2023DATA2'!$M$18,"")</f>
        <v/>
      </c>
      <c r="CG21" s="520" t="str">
        <f>IF(AND(_AC5="B-767-200",'2023'!$M$4="FO",'2023'!$M$2=CG5),'2023DATA2'!$N$18,"")</f>
        <v/>
      </c>
      <c r="CH21" s="940"/>
      <c r="CI21" s="13" t="s">
        <v>62</v>
      </c>
      <c r="CJ21" s="518" t="str">
        <f>IF(AND(_AC6="B-767-200",'2023'!$M$4="FO",'2023'!$M$2=CJ5),'2023DATA2'!$C$18,"")</f>
        <v/>
      </c>
      <c r="CK21" s="518" t="str">
        <f>IF(AND(_AC6="B-767-200",'2023'!$M$4="FO",'2023'!$M$2=CK5),'2023DATA2'!$D$18,"")</f>
        <v/>
      </c>
      <c r="CL21" s="518" t="str">
        <f>IF(AND(_AC6="B-767-200",'2023'!$M$4="FO",'2023'!$M$2=CL5),'2023DATA2'!$E$18,"")</f>
        <v/>
      </c>
      <c r="CM21" s="518" t="str">
        <f>IF(AND(_AC6="B-767-200",'2023'!$M$4="FO",'2023'!$M$2=CM5),'2023DATA2'!$F$18,"")</f>
        <v/>
      </c>
      <c r="CN21" s="518" t="str">
        <f>IF(AND(_AC6="B-767-200",'2023'!$M$4="FO",'2023'!$M$2=CN5),'2023DATA2'!$G$18,"")</f>
        <v/>
      </c>
      <c r="CO21" s="518" t="str">
        <f>IF(AND(_AC6="B-767-200",'2023'!$M$4="FO",'2023'!$M$2=CO5),'2023DATA2'!$H$18,"")</f>
        <v/>
      </c>
      <c r="CP21" s="518" t="str">
        <f>IF(AND(_AC6="B-767-200",'2023'!$M$4="FO",'2023'!$M$2=CP5),'2023DATA2'!$I$18,"")</f>
        <v/>
      </c>
      <c r="CQ21" s="518" t="str">
        <f>IF(AND(_AC6="B-767-200",'2023'!$M$4="FO",'2023'!$M$2=CQ5),'2023DATA2'!$J$18,"")</f>
        <v/>
      </c>
      <c r="CR21" s="518" t="str">
        <f>IF(AND(_AC6="B-767-200",'2023'!$M$4="FO",'2023'!$M$2=CR5),'2023DATA2'!$K$18,"")</f>
        <v/>
      </c>
      <c r="CS21" s="518" t="str">
        <f>IF(AND(_AC6="B-767-200",'2023'!$M$4="FO",'2023'!$M$2=CS5),'2023DATA2'!$L$18,"")</f>
        <v/>
      </c>
      <c r="CT21" s="518" t="str">
        <f>IF(AND(_AC6="B-767-200",'2023'!$M$4="FO",'2023'!$M$2=CT5),'2023DATA2'!$M$18,"")</f>
        <v/>
      </c>
      <c r="CU21" s="520" t="str">
        <f>IF(AND(_AC6="B-767-200",'2023'!$M$4="FO",'2023'!$M$2=CU5),'2023DATA2'!$N$18,"")</f>
        <v/>
      </c>
    </row>
    <row r="22" spans="1:99" x14ac:dyDescent="0.25">
      <c r="A22" s="946"/>
      <c r="B22" s="78" t="s">
        <v>62</v>
      </c>
      <c r="C22" s="258">
        <v>234.73</v>
      </c>
      <c r="D22" s="259">
        <v>232.57</v>
      </c>
      <c r="E22" s="259">
        <v>230.45</v>
      </c>
      <c r="F22" s="260">
        <v>227.36</v>
      </c>
      <c r="G22" s="261">
        <v>224.95</v>
      </c>
      <c r="H22" s="353">
        <v>219.88</v>
      </c>
      <c r="I22" s="259">
        <v>213.89</v>
      </c>
      <c r="J22" s="264">
        <v>208.58</v>
      </c>
      <c r="K22" s="265">
        <v>203.69</v>
      </c>
      <c r="L22" s="259">
        <v>198.87</v>
      </c>
      <c r="M22" s="259">
        <v>169.95</v>
      </c>
      <c r="N22" s="266">
        <v>110.52</v>
      </c>
      <c r="P22" s="940" t="s">
        <v>45</v>
      </c>
      <c r="Q22" s="13" t="s">
        <v>61</v>
      </c>
      <c r="R22" s="518" t="str">
        <f>IF(AND(_AC1="B-757",'2023'!$M$4="CA",'2023'!$M$2=R5),'2023DATA2'!$C$19,"")</f>
        <v/>
      </c>
      <c r="S22" s="518" t="str">
        <f>IF(AND(_AC1="B-757",'2023'!$M$4="CA",'2023'!$M$2=S5),'2023DATA2'!$D$19,"")</f>
        <v/>
      </c>
      <c r="T22" s="518" t="str">
        <f>IF(AND(_AC1="B-757",'2023'!$M$4="CA",'2023'!$M$2=T5),'2023DATA2'!$E$19,"")</f>
        <v/>
      </c>
      <c r="U22" s="518" t="str">
        <f>IF(AND(_AC1="B-757",'2023'!$M$4="CA",'2023'!$M$2=U5),'2023DATA2'!$F$19,"")</f>
        <v/>
      </c>
      <c r="V22" s="518" t="str">
        <f>IF(AND(_AC1="B-757",'2023'!$M$4="CA",'2023'!$M$2=V5),'2023DATA2'!$G$19,"")</f>
        <v/>
      </c>
      <c r="W22" s="518" t="str">
        <f>IF(AND(_AC1="B-757",'2023'!$M$4="CA",'2023'!$M$2=W5),'2023DATA2'!$H$19,"")</f>
        <v/>
      </c>
      <c r="X22" s="518" t="str">
        <f>IF(AND(_AC1="B-757",'2023'!$M$4="CA",'2023'!$M$2=X5),'2023DATA2'!$I$19,"")</f>
        <v/>
      </c>
      <c r="Y22" s="518" t="str">
        <f>IF(AND(_AC1="B-757",'2023'!$M$4="CA",'2023'!$M$2=Y5),'2023DATA2'!$J$19,"")</f>
        <v/>
      </c>
      <c r="Z22" s="518" t="str">
        <f>IF(AND(_AC1="B-757",'2023'!$M$4="CA",'2023'!$M$2=Z5),'2023DATA2'!$K$19,"")</f>
        <v/>
      </c>
      <c r="AA22" s="518" t="str">
        <f>IF(AND(_AC1="B-757",'2023'!$M$4="CA",'2023'!$M$2=AA5),'2023DATA2'!$L$19,"")</f>
        <v/>
      </c>
      <c r="AB22" s="518" t="str">
        <f>IF(AND(_AC1="B-757",'2023'!$M$4="CA",'2023'!$M$2=AB5),'2023DATA2'!$M$19,"")</f>
        <v/>
      </c>
      <c r="AC22" s="520" t="str">
        <f>IF(AND(_AC1="B-757",'2023'!$M$4="CA",'2023'!$M$2=AC5),'2023DATA2'!$N$19,"")</f>
        <v/>
      </c>
      <c r="AD22" s="940" t="s">
        <v>45</v>
      </c>
      <c r="AE22" s="13" t="s">
        <v>61</v>
      </c>
      <c r="AF22" s="518" t="str">
        <f>IF(AND(_AC2="B-757",'2023'!$M$4="CA",'2023'!$M$2=AF5),'2023DATA2'!$C$19,"")</f>
        <v/>
      </c>
      <c r="AG22" s="518" t="str">
        <f>IF(AND(_AC2="B-757",'2023'!$M$4="CA",'2023'!$M$2=AG5),'2023DATA2'!$D$19,"")</f>
        <v/>
      </c>
      <c r="AH22" s="518" t="str">
        <f>IF(AND(_AC2="B-757",'2023'!$M$4="CA",'2023'!$M$2=AH5),'2023DATA2'!$E$19,"")</f>
        <v/>
      </c>
      <c r="AI22" s="518" t="str">
        <f>IF(AND(_AC2="B-757",'2023'!$M$4="CA",'2023'!$M$2=AI5),'2023DATA2'!$F$19,"")</f>
        <v/>
      </c>
      <c r="AJ22" s="518" t="str">
        <f>IF(AND(_AC2="B-757",'2023'!$M$4="CA",'2023'!$M$2=AJ5),'2023DATA2'!$G$19,"")</f>
        <v/>
      </c>
      <c r="AK22" s="518" t="str">
        <f>IF(AND(_AC2="B-757",'2023'!$M$4="CA",'2023'!$M$2=AK5),'2023DATA2'!$H$19,"")</f>
        <v/>
      </c>
      <c r="AL22" s="518" t="str">
        <f>IF(AND(_AC2="B-757",'2023'!$M$4="CA",'2023'!$M$2=AL5),'2023DATA2'!$I$19,"")</f>
        <v/>
      </c>
      <c r="AM22" s="518" t="str">
        <f>IF(AND(_AC2="B-757",'2023'!$M$4="CA",'2023'!$M$2=AM5),'2023DATA2'!$J$19,"")</f>
        <v/>
      </c>
      <c r="AN22" s="518" t="str">
        <f>IF(AND(_AC2="B-757",'2023'!$M$4="CA",'2023'!$M$2=AN5),'2023DATA2'!$K$19,"")</f>
        <v/>
      </c>
      <c r="AO22" s="518" t="str">
        <f>IF(AND(_AC2="B-757",'2023'!$M$4="CA",'2023'!$M$2=AO5),'2023DATA2'!$L$19,"")</f>
        <v/>
      </c>
      <c r="AP22" s="518" t="str">
        <f>IF(AND(_AC2="B-757",'2023'!$M$4="CA",'2023'!$M$2=AP5),'2023DATA2'!$M$19,"")</f>
        <v/>
      </c>
      <c r="AQ22" s="520" t="str">
        <f>IF(AND(_AC2="B-757",'2023'!$M$4="CA",'2023'!$M$2=AQ5),'2023DATA2'!$N$19,"")</f>
        <v/>
      </c>
      <c r="AR22" s="940" t="s">
        <v>45</v>
      </c>
      <c r="AS22" s="13" t="s">
        <v>61</v>
      </c>
      <c r="AT22" s="518" t="str">
        <f>IF(AND(_AC3="B-757",'2023'!$M$4="CA",'2023'!$M$2=AT5),'2023DATA2'!$C$19,"")</f>
        <v/>
      </c>
      <c r="AU22" s="518" t="str">
        <f>IF(AND(_AC3="B-757",'2023'!$M$4="CA",'2023'!$M$2=AU5),'2023DATA2'!$D$19,"")</f>
        <v/>
      </c>
      <c r="AV22" s="518" t="str">
        <f>IF(AND(_AC3="B-757",'2023'!$M$4="CA",'2023'!$M$2=AV5),'2023DATA2'!$E$19,"")</f>
        <v/>
      </c>
      <c r="AW22" s="518" t="str">
        <f>IF(AND(_AC3="B-757",'2023'!$M$4="CA",'2023'!$M$2=AW5),'2023DATA2'!$F$19,"")</f>
        <v/>
      </c>
      <c r="AX22" s="518" t="str">
        <f>IF(AND(_AC3="B-757",'2023'!$M$4="CA",'2023'!$M$2=AX5),'2023DATA2'!$G$19,"")</f>
        <v/>
      </c>
      <c r="AY22" s="518" t="str">
        <f>IF(AND(_AC3="B-757",'2023'!$M$4="CA",'2023'!$M$2=AY5),'2023DATA2'!$H$19,"")</f>
        <v/>
      </c>
      <c r="AZ22" s="518" t="str">
        <f>IF(AND(_AC3="B-757",'2023'!$M$4="CA",'2023'!$M$2=AZ5),'2023DATA2'!$I$19,"")</f>
        <v/>
      </c>
      <c r="BA22" s="518" t="str">
        <f>IF(AND(_AC3="B-757",'2023'!$M$4="CA",'2023'!$M$2=BA5),'2023DATA2'!$J$19,"")</f>
        <v/>
      </c>
      <c r="BB22" s="518" t="str">
        <f>IF(AND(_AC3="B-757",'2023'!$M$4="CA",'2023'!$M$2=BB5),'2023DATA2'!$K$19,"")</f>
        <v/>
      </c>
      <c r="BC22" s="518" t="str">
        <f>IF(AND(_AC3="B-757",'2023'!$M$4="CA",'2023'!$M$2=BC5),'2023DATA2'!$L$19,"")</f>
        <v/>
      </c>
      <c r="BD22" s="518" t="str">
        <f>IF(AND(_AC3="B-757",'2023'!$M$4="CA",'2023'!$M$2=BD5),'2023DATA2'!$M$19,"")</f>
        <v/>
      </c>
      <c r="BE22" s="520" t="str">
        <f>IF(AND(_AC3="B-757",'2023'!$M$4="CA",'2023'!$M$2=BE5),'2023DATA2'!$N$19,"")</f>
        <v/>
      </c>
      <c r="BF22" s="940" t="s">
        <v>45</v>
      </c>
      <c r="BG22" s="13" t="s">
        <v>61</v>
      </c>
      <c r="BH22" s="518" t="str">
        <f>IF(AND(_AC4="B-757",'2023'!$M$4="CA",'2023'!$M$2=BH5),'2023DATA2'!$C$19,"")</f>
        <v/>
      </c>
      <c r="BI22" s="518" t="str">
        <f>IF(AND(_AC4="B-757",'2023'!$M$4="CA",'2023'!$M$2=BI5),'2023DATA2'!$D$19,"")</f>
        <v/>
      </c>
      <c r="BJ22" s="518" t="str">
        <f>IF(AND(_AC4="B-757",'2023'!$M$4="CA",'2023'!$M$2=BJ5),'2023DATA2'!$E$19,"")</f>
        <v/>
      </c>
      <c r="BK22" s="518" t="str">
        <f>IF(AND(_AC4="B-757",'2023'!$M$4="CA",'2023'!$M$2=BK5),'2023DATA2'!$F$19,"")</f>
        <v/>
      </c>
      <c r="BL22" s="518" t="str">
        <f>IF(AND(_AC4="B-757",'2023'!$M$4="CA",'2023'!$M$2=BL5),'2023DATA2'!$G$19,"")</f>
        <v/>
      </c>
      <c r="BM22" s="518" t="str">
        <f>IF(AND(_AC4="B-757",'2023'!$M$4="CA",'2023'!$M$2=BM5),'2023DATA2'!$H$19,"")</f>
        <v/>
      </c>
      <c r="BN22" s="518" t="str">
        <f>IF(AND(_AC4="B-757",'2023'!$M$4="CA",'2023'!$M$2=BN5),'2023DATA2'!$I$19,"")</f>
        <v/>
      </c>
      <c r="BO22" s="518" t="str">
        <f>IF(AND(_AC4="B-757",'2023'!$M$4="CA",'2023'!$M$2=BO5),'2023DATA2'!$J$19,"")</f>
        <v/>
      </c>
      <c r="BP22" s="518" t="str">
        <f>IF(AND(_AC4="B-757",'2023'!$M$4="CA",'2023'!$M$2=BP5),'2023DATA2'!$K$19,"")</f>
        <v/>
      </c>
      <c r="BQ22" s="518" t="str">
        <f>IF(AND(_AC4="B-757",'2023'!$M$4="CA",'2023'!$M$2=BQ5),'2023DATA2'!$L$19,"")</f>
        <v/>
      </c>
      <c r="BR22" s="518" t="str">
        <f>IF(AND(_AC4="B-757",'2023'!$M$4="CA",'2023'!$M$2=BR5),'2023DATA2'!$M$19,"")</f>
        <v/>
      </c>
      <c r="BS22" s="520" t="str">
        <f>IF(AND(_AC4="B-757",'2023'!$M$4="CA",'2023'!$M$2=BS5),'2023DATA2'!$N$19,"")</f>
        <v/>
      </c>
      <c r="BT22" s="940" t="s">
        <v>45</v>
      </c>
      <c r="BU22" s="13" t="s">
        <v>61</v>
      </c>
      <c r="BV22" s="518" t="str">
        <f>IF(AND(_AC5="B-757",'2023'!$M$4="CA",'2023'!$M$2=BV5),'2023DATA2'!$C$19,"")</f>
        <v/>
      </c>
      <c r="BW22" s="518" t="str">
        <f>IF(AND(_AC5="B-757",'2023'!$M$4="CA",'2023'!$M$2=BW5),'2023DATA2'!$D$19,"")</f>
        <v/>
      </c>
      <c r="BX22" s="518" t="str">
        <f>IF(AND(_AC5="B-757",'2023'!$M$4="CA",'2023'!$M$2=BX5),'2023DATA2'!$E$19,"")</f>
        <v/>
      </c>
      <c r="BY22" s="518" t="str">
        <f>IF(AND(_AC5="B-757",'2023'!$M$4="CA",'2023'!$M$2=BY5),'2023DATA2'!$F$19,"")</f>
        <v/>
      </c>
      <c r="BZ22" s="518" t="str">
        <f>IF(AND(_AC5="B-757",'2023'!$M$4="CA",'2023'!$M$2=BZ5),'2023DATA2'!$G$19,"")</f>
        <v/>
      </c>
      <c r="CA22" s="518" t="str">
        <f>IF(AND(_AC5="B-757",'2023'!$M$4="CA",'2023'!$M$2=CA5),'2023DATA2'!$H$19,"")</f>
        <v/>
      </c>
      <c r="CB22" s="518" t="str">
        <f>IF(AND(_AC5="B-757",'2023'!$M$4="CA",'2023'!$M$2=CB5),'2023DATA2'!$I$19,"")</f>
        <v/>
      </c>
      <c r="CC22" s="518" t="str">
        <f>IF(AND(_AC5="B-757",'2023'!$M$4="CA",'2023'!$M$2=CC5),'2023DATA2'!$J$19,"")</f>
        <v/>
      </c>
      <c r="CD22" s="518" t="str">
        <f>IF(AND(_AC5="B-757",'2023'!$M$4="CA",'2023'!$M$2=CD5),'2023DATA2'!$K$19,"")</f>
        <v/>
      </c>
      <c r="CE22" s="518" t="str">
        <f>IF(AND(_AC5="B-757",'2023'!$M$4="CA",'2023'!$M$2=CE5),'2023DATA2'!$L$19,"")</f>
        <v/>
      </c>
      <c r="CF22" s="518" t="str">
        <f>IF(AND(_AC5="B-757",'2023'!$M$4="CA",'2023'!$M$2=CF5),'2023DATA2'!$M$19,"")</f>
        <v/>
      </c>
      <c r="CG22" s="520" t="str">
        <f>IF(AND(_AC5="B-757",'2023'!$M$4="CA",'2023'!$M$2=CG5),'2023DATA2'!$N$19,"")</f>
        <v/>
      </c>
      <c r="CH22" s="940" t="s">
        <v>45</v>
      </c>
      <c r="CI22" s="13" t="s">
        <v>61</v>
      </c>
      <c r="CJ22" s="518" t="str">
        <f>IF(AND(_AC6="B-757",'2023'!$M$4="CA",'2023'!$M$2=CJ5),'2023DATA2'!$C$19,"")</f>
        <v/>
      </c>
      <c r="CK22" s="518" t="str">
        <f>IF(AND(_AC6="B-757",'2023'!$M$4="CA",'2023'!$M$2=CK5),'2023DATA2'!$D$19,"")</f>
        <v/>
      </c>
      <c r="CL22" s="518" t="str">
        <f>IF(AND(_AC6="B-757",'2023'!$M$4="CA",'2023'!$M$2=CL5),'2023DATA2'!$E$19,"")</f>
        <v/>
      </c>
      <c r="CM22" s="518" t="str">
        <f>IF(AND(_AC6="B-757",'2023'!$M$4="CA",'2023'!$M$2=CM5),'2023DATA2'!$F$19,"")</f>
        <v/>
      </c>
      <c r="CN22" s="518" t="str">
        <f>IF(AND(_AC6="B-757",'2023'!$M$4="CA",'2023'!$M$2=CN5),'2023DATA2'!$G$19,"")</f>
        <v/>
      </c>
      <c r="CO22" s="518" t="str">
        <f>IF(AND(_AC6="B-757",'2023'!$M$4="CA",'2023'!$M$2=CO5),'2023DATA2'!$H$19,"")</f>
        <v/>
      </c>
      <c r="CP22" s="518" t="str">
        <f>IF(AND(_AC6="B-757",'2023'!$M$4="CA",'2023'!$M$2=CP5),'2023DATA2'!$I$19,"")</f>
        <v/>
      </c>
      <c r="CQ22" s="518" t="str">
        <f>IF(AND(_AC6="B-757",'2023'!$M$4="CA",'2023'!$M$2=CQ5),'2023DATA2'!$J$19,"")</f>
        <v/>
      </c>
      <c r="CR22" s="518" t="str">
        <f>IF(AND(_AC6="B-757",'2023'!$M$4="CA",'2023'!$M$2=CR5),'2023DATA2'!$K$19,"")</f>
        <v/>
      </c>
      <c r="CS22" s="518" t="str">
        <f>IF(AND(_AC6="B-757",'2023'!$M$4="CA",'2023'!$M$2=CS5),'2023DATA2'!$L$19,"")</f>
        <v/>
      </c>
      <c r="CT22" s="518" t="str">
        <f>IF(AND(_AC6="B-757",'2023'!$M$4="CA",'2023'!$M$2=CT5),'2023DATA2'!$M$19,"")</f>
        <v/>
      </c>
      <c r="CU22" s="520" t="str">
        <f>IF(AND(_AC6="B-757",'2023'!$M$4="CA",'2023'!$M$2=CU5),'2023DATA2'!$N$19,"")</f>
        <v/>
      </c>
    </row>
    <row r="23" spans="1:99" x14ac:dyDescent="0.25">
      <c r="A23" s="946" t="s">
        <v>69</v>
      </c>
      <c r="B23" s="78" t="s">
        <v>61</v>
      </c>
      <c r="C23" s="118">
        <v>341.87</v>
      </c>
      <c r="D23" s="119">
        <v>339.36</v>
      </c>
      <c r="E23" s="120">
        <v>336.77</v>
      </c>
      <c r="F23" s="121">
        <v>334.24</v>
      </c>
      <c r="G23" s="122">
        <v>331.65</v>
      </c>
      <c r="H23" s="123">
        <v>329.08</v>
      </c>
      <c r="I23" s="122">
        <v>326.54000000000002</v>
      </c>
      <c r="J23" s="123">
        <v>323.99</v>
      </c>
      <c r="K23" s="121">
        <v>321.39999999999998</v>
      </c>
      <c r="L23" s="122">
        <v>318.81</v>
      </c>
      <c r="M23" s="123">
        <v>316.33</v>
      </c>
      <c r="N23" s="124">
        <v>313.88</v>
      </c>
      <c r="P23" s="940"/>
      <c r="Q23" s="13" t="s">
        <v>62</v>
      </c>
      <c r="R23" s="518" t="str">
        <f>IF(AND(_AC1="B-757",'2023'!$M$4="FO",'2023'!$M$2=R5),'2023DATA2'!$C$20,"")</f>
        <v/>
      </c>
      <c r="S23" s="518" t="str">
        <f>IF(AND(_AC1="B-757",'2023'!$M$4="FO",'2023'!$M$2=S5),'2023DATA2'!$D$20,"")</f>
        <v/>
      </c>
      <c r="T23" s="518" t="str">
        <f>IF(AND(_AC1="B-757",'2023'!$M$4="FO",'2023'!$M$2=T5),'2023DATA2'!$E$20,"")</f>
        <v/>
      </c>
      <c r="U23" s="518" t="str">
        <f>IF(AND(_AC1="B-757",'2023'!$M$4="FO",'2023'!$M$2=U5),'2023DATA2'!$F$20,"")</f>
        <v/>
      </c>
      <c r="V23" s="518" t="str">
        <f>IF(AND(_AC1="B-757",'2023'!$M$4="FO",'2023'!$M$2=V5),'2023DATA2'!$G$20,"")</f>
        <v/>
      </c>
      <c r="W23" s="518" t="str">
        <f>IF(AND(_AC1="B-757",'2023'!$M$4="FO",'2023'!$M$2=W5),'2023DATA2'!$H$20,"")</f>
        <v/>
      </c>
      <c r="X23" s="518" t="str">
        <f>IF(AND(_AC1="B-757",'2023'!$M$4="FO",'2023'!$M$2=X5),'2023DATA2'!$I$20,"")</f>
        <v/>
      </c>
      <c r="Y23" s="518" t="str">
        <f>IF(AND(_AC1="B-757",'2023'!$M$4="FO",'2023'!$M$2=Y5),'2023DATA2'!$J$20,"")</f>
        <v/>
      </c>
      <c r="Z23" s="518" t="str">
        <f>IF(AND(_AC1="B-757",'2023'!$M$4="FO",'2023'!$M$2=Z5),'2023DATA2'!$K$20,"")</f>
        <v/>
      </c>
      <c r="AA23" s="518" t="str">
        <f>IF(AND(_AC1="B-757",'2023'!$M$4="FO",'2023'!$M$2=AA5),'2023DATA2'!$L$20,"")</f>
        <v/>
      </c>
      <c r="AB23" s="518" t="str">
        <f>IF(AND(_AC1="B-757",'2023'!$M$4="FO",'2023'!$M$2=AB5),'2023DATA2'!$M$20,"")</f>
        <v/>
      </c>
      <c r="AC23" s="520" t="str">
        <f>IF(AND(_AC1="B-757",'2023'!$M$4="FO",'2023'!$M$2=AC5),'2023DATA2'!$N$20,"")</f>
        <v/>
      </c>
      <c r="AD23" s="940"/>
      <c r="AE23" s="13" t="s">
        <v>62</v>
      </c>
      <c r="AF23" s="518" t="str">
        <f>IF(AND(_AC2="B-757",'2023'!$M$4="FO",'2023'!$M$2=AF5),'2023DATA2'!$C$20,"")</f>
        <v/>
      </c>
      <c r="AG23" s="518" t="str">
        <f>IF(AND(_AC2="B-757",'2023'!$M$4="FO",'2023'!$M$2=AG5),'2023DATA2'!$D$20,"")</f>
        <v/>
      </c>
      <c r="AH23" s="518" t="str">
        <f>IF(AND(_AC2="B-757",'2023'!$M$4="FO",'2023'!$M$2=AH5),'2023DATA2'!$E$20,"")</f>
        <v/>
      </c>
      <c r="AI23" s="518" t="str">
        <f>IF(AND(_AC2="B-757",'2023'!$M$4="FO",'2023'!$M$2=AI5),'2023DATA2'!$F$20,"")</f>
        <v/>
      </c>
      <c r="AJ23" s="518" t="str">
        <f>IF(AND(_AC2="B-757",'2023'!$M$4="FO",'2023'!$M$2=AJ5),'2023DATA2'!$G$20,"")</f>
        <v/>
      </c>
      <c r="AK23" s="518" t="str">
        <f>IF(AND(_AC2="B-757",'2023'!$M$4="FO",'2023'!$M$2=AK5),'2023DATA2'!$H$20,"")</f>
        <v/>
      </c>
      <c r="AL23" s="518" t="str">
        <f>IF(AND(_AC2="B-757",'2023'!$M$4="FO",'2023'!$M$2=AL5),'2023DATA2'!$I$20,"")</f>
        <v/>
      </c>
      <c r="AM23" s="518" t="str">
        <f>IF(AND(_AC2="B-757",'2023'!$M$4="FO",'2023'!$M$2=AM5),'2023DATA2'!$J$20,"")</f>
        <v/>
      </c>
      <c r="AN23" s="518" t="str">
        <f>IF(AND(_AC2="B-757",'2023'!$M$4="FO",'2023'!$M$2=AN5),'2023DATA2'!$K$20,"")</f>
        <v/>
      </c>
      <c r="AO23" s="518" t="str">
        <f>IF(AND(_AC2="B-757",'2023'!$M$4="FO",'2023'!$M$2=AO5),'2023DATA2'!$L$20,"")</f>
        <v/>
      </c>
      <c r="AP23" s="518" t="str">
        <f>IF(AND(_AC2="B-757",'2023'!$M$4="FO",'2023'!$M$2=AP5),'2023DATA2'!$M$20,"")</f>
        <v/>
      </c>
      <c r="AQ23" s="520" t="str">
        <f>IF(AND(_AC2="B-757",'2023'!$M$4="FO",'2023'!$M$2=AQ5),'2023DATA2'!$N$20,"")</f>
        <v/>
      </c>
      <c r="AR23" s="940"/>
      <c r="AS23" s="13" t="s">
        <v>62</v>
      </c>
      <c r="AT23" s="518" t="str">
        <f>IF(AND(_AC3="B-757",'2023'!$M$4="FO",'2023'!$M$2=AT5),'2023DATA2'!$C$20,"")</f>
        <v/>
      </c>
      <c r="AU23" s="518" t="str">
        <f>IF(AND(_AC3="B-757",'2023'!$M$4="FO",'2023'!$M$2=AU5),'2023DATA2'!$D$20,"")</f>
        <v/>
      </c>
      <c r="AV23" s="518" t="str">
        <f>IF(AND(_AC3="B-757",'2023'!$M$4="FO",'2023'!$M$2=AV5),'2023DATA2'!$E$20,"")</f>
        <v/>
      </c>
      <c r="AW23" s="518" t="str">
        <f>IF(AND(_AC3="B-757",'2023'!$M$4="FO",'2023'!$M$2=AW5),'2023DATA2'!$F$20,"")</f>
        <v/>
      </c>
      <c r="AX23" s="518" t="str">
        <f>IF(AND(_AC3="B-757",'2023'!$M$4="FO",'2023'!$M$2=AX5),'2023DATA2'!$G$20,"")</f>
        <v/>
      </c>
      <c r="AY23" s="518" t="str">
        <f>IF(AND(_AC3="B-757",'2023'!$M$4="FO",'2023'!$M$2=AY5),'2023DATA2'!$H$20,"")</f>
        <v/>
      </c>
      <c r="AZ23" s="518" t="str">
        <f>IF(AND(_AC3="B-757",'2023'!$M$4="FO",'2023'!$M$2=AZ5),'2023DATA2'!$I$20,"")</f>
        <v/>
      </c>
      <c r="BA23" s="518" t="str">
        <f>IF(AND(_AC3="B-757",'2023'!$M$4="FO",'2023'!$M$2=BA5),'2023DATA2'!$J$20,"")</f>
        <v/>
      </c>
      <c r="BB23" s="518" t="str">
        <f>IF(AND(_AC3="B-757",'2023'!$M$4="FO",'2023'!$M$2=BB5),'2023DATA2'!$K$20,"")</f>
        <v/>
      </c>
      <c r="BC23" s="518" t="str">
        <f>IF(AND(_AC3="B-757",'2023'!$M$4="FO",'2023'!$M$2=BC5),'2023DATA2'!$L$20,"")</f>
        <v/>
      </c>
      <c r="BD23" s="518" t="str">
        <f>IF(AND(_AC3="B-757",'2023'!$M$4="FO",'2023'!$M$2=BD5),'2023DATA2'!$M$20,"")</f>
        <v/>
      </c>
      <c r="BE23" s="520" t="str">
        <f>IF(AND(_AC3="B-757",'2023'!$M$4="FO",'2023'!$M$2=BE5),'2023DATA2'!$N$20,"")</f>
        <v/>
      </c>
      <c r="BF23" s="940"/>
      <c r="BG23" s="13" t="s">
        <v>62</v>
      </c>
      <c r="BH23" s="518" t="str">
        <f>IF(AND(_AC4="B-757",'2023'!$M$4="FO",'2023'!$M$2=BH5),'2023DATA2'!$C$20,"")</f>
        <v/>
      </c>
      <c r="BI23" s="518" t="str">
        <f>IF(AND(_AC4="B-757",'2023'!$M$4="FO",'2023'!$M$2=BI5),'2023DATA2'!$D$20,"")</f>
        <v/>
      </c>
      <c r="BJ23" s="518" t="str">
        <f>IF(AND(_AC4="B-757",'2023'!$M$4="FO",'2023'!$M$2=BJ5),'2023DATA2'!$E$20,"")</f>
        <v/>
      </c>
      <c r="BK23" s="518" t="str">
        <f>IF(AND(_AC4="B-757",'2023'!$M$4="FO",'2023'!$M$2=BK5),'2023DATA2'!$F$20,"")</f>
        <v/>
      </c>
      <c r="BL23" s="518" t="str">
        <f>IF(AND(_AC4="B-757",'2023'!$M$4="FO",'2023'!$M$2=BL5),'2023DATA2'!$G$20,"")</f>
        <v/>
      </c>
      <c r="BM23" s="518" t="str">
        <f>IF(AND(_AC4="B-757",'2023'!$M$4="FO",'2023'!$M$2=BM5),'2023DATA2'!$H$20,"")</f>
        <v/>
      </c>
      <c r="BN23" s="518" t="str">
        <f>IF(AND(_AC4="B-757",'2023'!$M$4="FO",'2023'!$M$2=BN5),'2023DATA2'!$I$20,"")</f>
        <v/>
      </c>
      <c r="BO23" s="518" t="str">
        <f>IF(AND(_AC4="B-757",'2023'!$M$4="FO",'2023'!$M$2=BO5),'2023DATA2'!$J$20,"")</f>
        <v/>
      </c>
      <c r="BP23" s="518" t="str">
        <f>IF(AND(_AC4="B-757",'2023'!$M$4="FO",'2023'!$M$2=BP5),'2023DATA2'!$K$20,"")</f>
        <v/>
      </c>
      <c r="BQ23" s="518" t="str">
        <f>IF(AND(_AC4="B-757",'2023'!$M$4="FO",'2023'!$M$2=BQ5),'2023DATA2'!$L$20,"")</f>
        <v/>
      </c>
      <c r="BR23" s="518" t="str">
        <f>IF(AND(_AC4="B-757",'2023'!$M$4="FO",'2023'!$M$2=BR5),'2023DATA2'!$M$20,"")</f>
        <v/>
      </c>
      <c r="BS23" s="520" t="str">
        <f>IF(AND(_AC4="B-757",'2023'!$M$4="FO",'2023'!$M$2=BS5),'2023DATA2'!$N$20,"")</f>
        <v/>
      </c>
      <c r="BT23" s="940"/>
      <c r="BU23" s="13" t="s">
        <v>62</v>
      </c>
      <c r="BV23" s="518" t="str">
        <f>IF(AND(_AC5="B-757",'2023'!$M$4="FO",'2023'!$M$2=BV5),'2023DATA2'!$C$20,"")</f>
        <v/>
      </c>
      <c r="BW23" s="518" t="str">
        <f>IF(AND(_AC5="B-757",'2023'!$M$4="FO",'2023'!$M$2=BW5),'2023DATA2'!$D$20,"")</f>
        <v/>
      </c>
      <c r="BX23" s="518" t="str">
        <f>IF(AND(_AC5="B-757",'2023'!$M$4="FO",'2023'!$M$2=BX5),'2023DATA2'!$E$20,"")</f>
        <v/>
      </c>
      <c r="BY23" s="518" t="str">
        <f>IF(AND(_AC5="B-757",'2023'!$M$4="FO",'2023'!$M$2=BY5),'2023DATA2'!$F$20,"")</f>
        <v/>
      </c>
      <c r="BZ23" s="518" t="str">
        <f>IF(AND(_AC5="B-757",'2023'!$M$4="FO",'2023'!$M$2=BZ5),'2023DATA2'!$G$20,"")</f>
        <v/>
      </c>
      <c r="CA23" s="518" t="str">
        <f>IF(AND(_AC5="B-757",'2023'!$M$4="FO",'2023'!$M$2=CA5),'2023DATA2'!$H$20,"")</f>
        <v/>
      </c>
      <c r="CB23" s="518" t="str">
        <f>IF(AND(_AC5="B-757",'2023'!$M$4="FO",'2023'!$M$2=CB5),'2023DATA2'!$I$20,"")</f>
        <v/>
      </c>
      <c r="CC23" s="518" t="str">
        <f>IF(AND(_AC5="B-757",'2023'!$M$4="FO",'2023'!$M$2=CC5),'2023DATA2'!$J$20,"")</f>
        <v/>
      </c>
      <c r="CD23" s="518" t="str">
        <f>IF(AND(_AC5="B-757",'2023'!$M$4="FO",'2023'!$M$2=CD5),'2023DATA2'!$K$20,"")</f>
        <v/>
      </c>
      <c r="CE23" s="518" t="str">
        <f>IF(AND(_AC5="B-757",'2023'!$M$4="FO",'2023'!$M$2=CE5),'2023DATA2'!$L$20,"")</f>
        <v/>
      </c>
      <c r="CF23" s="518" t="str">
        <f>IF(AND(_AC5="B-757",'2023'!$M$4="FO",'2023'!$M$2=CF5),'2023DATA2'!$M$20,"")</f>
        <v/>
      </c>
      <c r="CG23" s="520" t="str">
        <f>IF(AND(_AC5="B-757",'2023'!$M$4="FO",'2023'!$M$2=CG5),'2023DATA2'!$N$20,"")</f>
        <v/>
      </c>
      <c r="CH23" s="940"/>
      <c r="CI23" s="13" t="s">
        <v>62</v>
      </c>
      <c r="CJ23" s="518" t="str">
        <f>IF(AND(_AC6="B-757",'2023'!$M$4="FO",'2023'!$M$2=CJ5),'2023DATA2'!$C$20,"")</f>
        <v/>
      </c>
      <c r="CK23" s="518" t="str">
        <f>IF(AND(_AC6="B-757",'2023'!$M$4="FO",'2023'!$M$2=CK5),'2023DATA2'!$D$20,"")</f>
        <v/>
      </c>
      <c r="CL23" s="518" t="str">
        <f>IF(AND(_AC6="B-757",'2023'!$M$4="FO",'2023'!$M$2=CL5),'2023DATA2'!$E$20,"")</f>
        <v/>
      </c>
      <c r="CM23" s="518" t="str">
        <f>IF(AND(_AC6="B-757",'2023'!$M$4="FO",'2023'!$M$2=CM5),'2023DATA2'!$F$20,"")</f>
        <v/>
      </c>
      <c r="CN23" s="518" t="str">
        <f>IF(AND(_AC6="B-757",'2023'!$M$4="FO",'2023'!$M$2=CN5),'2023DATA2'!$G$20,"")</f>
        <v/>
      </c>
      <c r="CO23" s="518" t="str">
        <f>IF(AND(_AC6="B-757",'2023'!$M$4="FO",'2023'!$M$2=CO5),'2023DATA2'!$H$20,"")</f>
        <v/>
      </c>
      <c r="CP23" s="518" t="str">
        <f>IF(AND(_AC6="B-757",'2023'!$M$4="FO",'2023'!$M$2=CP5),'2023DATA2'!$I$20,"")</f>
        <v/>
      </c>
      <c r="CQ23" s="518" t="str">
        <f>IF(AND(_AC6="B-757",'2023'!$M$4="FO",'2023'!$M$2=CQ5),'2023DATA2'!$J$20,"")</f>
        <v/>
      </c>
      <c r="CR23" s="518" t="str">
        <f>IF(AND(_AC6="B-757",'2023'!$M$4="FO",'2023'!$M$2=CR5),'2023DATA2'!$K$20,"")</f>
        <v/>
      </c>
      <c r="CS23" s="518" t="str">
        <f>IF(AND(_AC6="B-757",'2023'!$M$4="FO",'2023'!$M$2=CS5),'2023DATA2'!$L$20,"")</f>
        <v/>
      </c>
      <c r="CT23" s="518" t="str">
        <f>IF(AND(_AC6="B-757",'2023'!$M$4="FO",'2023'!$M$2=CT5),'2023DATA2'!$M$20,"")</f>
        <v/>
      </c>
      <c r="CU23" s="520" t="str">
        <f>IF(AND(_AC6="B-757",'2023'!$M$4="FO",'2023'!$M$2=CU5),'2023DATA2'!$N$20,"")</f>
        <v/>
      </c>
    </row>
    <row r="24" spans="1:99" x14ac:dyDescent="0.25">
      <c r="A24" s="946"/>
      <c r="B24" s="78" t="s">
        <v>62</v>
      </c>
      <c r="C24" s="316">
        <v>233.5</v>
      </c>
      <c r="D24" s="317">
        <v>231.43</v>
      </c>
      <c r="E24" s="317">
        <v>229.32</v>
      </c>
      <c r="F24" s="318">
        <v>226.26</v>
      </c>
      <c r="G24" s="319">
        <v>223.88</v>
      </c>
      <c r="H24" s="362">
        <v>218.82</v>
      </c>
      <c r="I24" s="317">
        <v>212.88</v>
      </c>
      <c r="J24" s="322">
        <v>207.69</v>
      </c>
      <c r="K24" s="323">
        <v>202.81</v>
      </c>
      <c r="L24" s="317">
        <v>197.99</v>
      </c>
      <c r="M24" s="317">
        <v>169.25</v>
      </c>
      <c r="N24" s="324">
        <v>110.52</v>
      </c>
      <c r="P24" s="940" t="s">
        <v>47</v>
      </c>
      <c r="Q24" s="13" t="s">
        <v>61</v>
      </c>
      <c r="R24" s="518" t="str">
        <f>IF(AND(_AC1="B-737-900",'2023'!$M$4="CA",'2023'!$M$2=R5),'2023DATA2'!$C$21,"")</f>
        <v/>
      </c>
      <c r="S24" s="518" t="str">
        <f>IF(AND(_AC1="B-737-900",'2023'!$M$4="CA",'2023'!$M$2=S5),'2023DATA2'!$D$21,"")</f>
        <v/>
      </c>
      <c r="T24" s="518" t="str">
        <f>IF(AND(_AC1="B-737-900",'2023'!$M$4="CA",'2023'!$M$2=T5),'2023DATA2'!$E$21,"")</f>
        <v/>
      </c>
      <c r="U24" s="518" t="str">
        <f>IF(AND(_AC1="B-737-900",'2023'!$M$4="CA",'2023'!$M$2=U5),'2023DATA2'!$F$21,"")</f>
        <v/>
      </c>
      <c r="V24" s="518" t="str">
        <f>IF(AND(_AC1="B-737-900",'2023'!$M$4="CA",'2023'!$M$2=V5),'2023DATA2'!$G$21,"")</f>
        <v/>
      </c>
      <c r="W24" s="518" t="str">
        <f>IF(AND(_AC1="B-737-900",'2023'!$M$4="CA",'2023'!$M$2=W5),'2023DATA2'!$H$21,"")</f>
        <v/>
      </c>
      <c r="X24" s="518" t="str">
        <f>IF(AND(_AC1="B-737-900",'2023'!$M$4="CA",'2023'!$M$2=X5),'2023DATA2'!$I$21,"")</f>
        <v/>
      </c>
      <c r="Y24" s="518" t="str">
        <f>IF(AND(_AC1="B-737-900",'2023'!$M$4="CA",'2023'!$M$2=Y5),'2023DATA2'!$J$21,"")</f>
        <v/>
      </c>
      <c r="Z24" s="518" t="str">
        <f>IF(AND(_AC1="B-737-900",'2023'!$M$4="CA",'2023'!$M$2=Z5),'2023DATA2'!$K$21,"")</f>
        <v/>
      </c>
      <c r="AA24" s="518" t="str">
        <f>IF(AND(_AC1="B-737-900",'2023'!$M$4="CA",'2023'!$M$2=AA5),'2023DATA2'!$L$21,"")</f>
        <v/>
      </c>
      <c r="AB24" s="518" t="str">
        <f>IF(AND(_AC1="B-737-900",'2023'!$M$4="CA",'2023'!$M$2=AB5),'2023DATA2'!$M$21,"")</f>
        <v/>
      </c>
      <c r="AC24" s="520" t="str">
        <f>IF(AND(_AC1="B-737-900",'2023'!$M$4="CA",'2023'!$M$2=AC5),'2023DATA2'!$N$21,"")</f>
        <v/>
      </c>
      <c r="AD24" s="940" t="s">
        <v>47</v>
      </c>
      <c r="AE24" s="13" t="s">
        <v>61</v>
      </c>
      <c r="AF24" s="518" t="str">
        <f>IF(AND(_AC2="B-737-900",'2023'!$M$4="CA",'2023'!$M$2=AF5),'2023DATA2'!$C$21,"")</f>
        <v/>
      </c>
      <c r="AG24" s="518" t="str">
        <f>IF(AND(_AC2="B-737-900",'2023'!$M$4="CA",'2023'!$M$2=AG5),'2023DATA2'!$D$21,"")</f>
        <v/>
      </c>
      <c r="AH24" s="518" t="str">
        <f>IF(AND(_AC2="B-737-900",'2023'!$M$4="CA",'2023'!$M$2=AH5),'2023DATA2'!$E$21,"")</f>
        <v/>
      </c>
      <c r="AI24" s="518" t="str">
        <f>IF(AND(_AC2="B-737-900",'2023'!$M$4="CA",'2023'!$M$2=AI5),'2023DATA2'!$F$21,"")</f>
        <v/>
      </c>
      <c r="AJ24" s="518" t="str">
        <f>IF(AND(_AC2="B-737-900",'2023'!$M$4="CA",'2023'!$M$2=AJ5),'2023DATA2'!$G$21,"")</f>
        <v/>
      </c>
      <c r="AK24" s="518" t="str">
        <f>IF(AND(_AC2="B-737-900",'2023'!$M$4="CA",'2023'!$M$2=AK5),'2023DATA2'!$H$21,"")</f>
        <v/>
      </c>
      <c r="AL24" s="518" t="str">
        <f>IF(AND(_AC2="B-737-900",'2023'!$M$4="CA",'2023'!$M$2=AL5),'2023DATA2'!$I$21,"")</f>
        <v/>
      </c>
      <c r="AM24" s="518" t="str">
        <f>IF(AND(_AC2="B-737-900",'2023'!$M$4="CA",'2023'!$M$2=AM5),'2023DATA2'!$J$21,"")</f>
        <v/>
      </c>
      <c r="AN24" s="518" t="str">
        <f>IF(AND(_AC2="B-737-900",'2023'!$M$4="CA",'2023'!$M$2=AN5),'2023DATA2'!$K$21,"")</f>
        <v/>
      </c>
      <c r="AO24" s="518" t="str">
        <f>IF(AND(_AC2="B-737-900",'2023'!$M$4="CA",'2023'!$M$2=AO5),'2023DATA2'!$L$21,"")</f>
        <v/>
      </c>
      <c r="AP24" s="518" t="str">
        <f>IF(AND(_AC2="B-737-900",'2023'!$M$4="CA",'2023'!$M$2=AP5),'2023DATA2'!$M$21,"")</f>
        <v/>
      </c>
      <c r="AQ24" s="520" t="str">
        <f>IF(AND(_AC2="B-737-900",'2023'!$M$4="CA",'2023'!$M$2=AQ5),'2023DATA2'!$N$21,"")</f>
        <v/>
      </c>
      <c r="AR24" s="940" t="s">
        <v>47</v>
      </c>
      <c r="AS24" s="13" t="s">
        <v>61</v>
      </c>
      <c r="AT24" s="518" t="str">
        <f>IF(AND(_AC3="B-737-900",'2023'!$M$4="CA",'2023'!$M$2=AT5),'2023DATA2'!$C$21,"")</f>
        <v/>
      </c>
      <c r="AU24" s="518" t="str">
        <f>IF(AND(_AC3="B-737-900",'2023'!$M$4="CA",'2023'!$M$2=AU5),'2023DATA2'!$D$21,"")</f>
        <v/>
      </c>
      <c r="AV24" s="518" t="str">
        <f>IF(AND(_AC3="B-737-900",'2023'!$M$4="CA",'2023'!$M$2=AV5),'2023DATA2'!$E$21,"")</f>
        <v/>
      </c>
      <c r="AW24" s="518" t="str">
        <f>IF(AND(_AC3="B-737-900",'2023'!$M$4="CA",'2023'!$M$2=AW5),'2023DATA2'!$F$21,"")</f>
        <v/>
      </c>
      <c r="AX24" s="518" t="str">
        <f>IF(AND(_AC3="B-737-900",'2023'!$M$4="CA",'2023'!$M$2=AX5),'2023DATA2'!$G$21,"")</f>
        <v/>
      </c>
      <c r="AY24" s="518" t="str">
        <f>IF(AND(_AC3="B-737-900",'2023'!$M$4="CA",'2023'!$M$2=AY5),'2023DATA2'!$H$21,"")</f>
        <v/>
      </c>
      <c r="AZ24" s="518" t="str">
        <f>IF(AND(_AC3="B-737-900",'2023'!$M$4="CA",'2023'!$M$2=AZ5),'2023DATA2'!$I$21,"")</f>
        <v/>
      </c>
      <c r="BA24" s="518" t="str">
        <f>IF(AND(_AC3="B-737-900",'2023'!$M$4="CA",'2023'!$M$2=BA5),'2023DATA2'!$J$21,"")</f>
        <v/>
      </c>
      <c r="BB24" s="518" t="str">
        <f>IF(AND(_AC3="B-737-900",'2023'!$M$4="CA",'2023'!$M$2=BB5),'2023DATA2'!$K$21,"")</f>
        <v/>
      </c>
      <c r="BC24" s="518" t="str">
        <f>IF(AND(_AC3="B-737-900",'2023'!$M$4="CA",'2023'!$M$2=BC5),'2023DATA2'!$L$21,"")</f>
        <v/>
      </c>
      <c r="BD24" s="518" t="str">
        <f>IF(AND(_AC3="B-737-900",'2023'!$M$4="CA",'2023'!$M$2=BD5),'2023DATA2'!$M$21,"")</f>
        <v/>
      </c>
      <c r="BE24" s="520" t="str">
        <f>IF(AND(_AC3="B-737-900",'2023'!$M$4="CA",'2023'!$M$2=BE5),'2023DATA2'!$N$21,"")</f>
        <v/>
      </c>
      <c r="BF24" s="940" t="s">
        <v>47</v>
      </c>
      <c r="BG24" s="13" t="s">
        <v>61</v>
      </c>
      <c r="BH24" s="518" t="str">
        <f>IF(AND(_AC4="B-737-900",'2023'!$M$4="CA",'2023'!$M$2=BH5),'2023DATA2'!$C$21,"")</f>
        <v/>
      </c>
      <c r="BI24" s="518" t="str">
        <f>IF(AND(_AC4="B-737-900",'2023'!$M$4="CA",'2023'!$M$2=BI5),'2023DATA2'!$D$21,"")</f>
        <v/>
      </c>
      <c r="BJ24" s="518" t="str">
        <f>IF(AND(_AC4="B-737-900",'2023'!$M$4="CA",'2023'!$M$2=BJ5),'2023DATA2'!$E$21,"")</f>
        <v/>
      </c>
      <c r="BK24" s="518" t="str">
        <f>IF(AND(_AC4="B-737-900",'2023'!$M$4="CA",'2023'!$M$2=BK5),'2023DATA2'!$F$21,"")</f>
        <v/>
      </c>
      <c r="BL24" s="518" t="str">
        <f>IF(AND(_AC4="B-737-900",'2023'!$M$4="CA",'2023'!$M$2=BL5),'2023DATA2'!$G$21,"")</f>
        <v/>
      </c>
      <c r="BM24" s="518" t="str">
        <f>IF(AND(_AC4="B-737-900",'2023'!$M$4="CA",'2023'!$M$2=BM5),'2023DATA2'!$H$21,"")</f>
        <v/>
      </c>
      <c r="BN24" s="518" t="str">
        <f>IF(AND(_AC4="B-737-900",'2023'!$M$4="CA",'2023'!$M$2=BN5),'2023DATA2'!$I$21,"")</f>
        <v/>
      </c>
      <c r="BO24" s="518" t="str">
        <f>IF(AND(_AC4="B-737-900",'2023'!$M$4="CA",'2023'!$M$2=BO5),'2023DATA2'!$J$21,"")</f>
        <v/>
      </c>
      <c r="BP24" s="518" t="str">
        <f>IF(AND(_AC4="B-737-900",'2023'!$M$4="CA",'2023'!$M$2=BP5),'2023DATA2'!$K$21,"")</f>
        <v/>
      </c>
      <c r="BQ24" s="518" t="str">
        <f>IF(AND(_AC4="B-737-900",'2023'!$M$4="CA",'2023'!$M$2=BQ5),'2023DATA2'!$L$21,"")</f>
        <v/>
      </c>
      <c r="BR24" s="518" t="str">
        <f>IF(AND(_AC4="B-737-900",'2023'!$M$4="CA",'2023'!$M$2=BR5),'2023DATA2'!$M$21,"")</f>
        <v/>
      </c>
      <c r="BS24" s="520" t="str">
        <f>IF(AND(_AC4="B-737-900",'2023'!$M$4="CA",'2023'!$M$2=BS5),'2023DATA2'!$N$21,"")</f>
        <v/>
      </c>
      <c r="BT24" s="940" t="s">
        <v>47</v>
      </c>
      <c r="BU24" s="13" t="s">
        <v>61</v>
      </c>
      <c r="BV24" s="518" t="str">
        <f>IF(AND(_AC5="B-737-900",'2023'!$M$4="CA",'2023'!$M$2=BV5),'2023DATA2'!$C$21,"")</f>
        <v/>
      </c>
      <c r="BW24" s="518" t="str">
        <f>IF(AND(_AC5="B-737-900",'2023'!$M$4="CA",'2023'!$M$2=BW5),'2023DATA2'!$D$21,"")</f>
        <v/>
      </c>
      <c r="BX24" s="518" t="str">
        <f>IF(AND(_AC5="B-737-900",'2023'!$M$4="CA",'2023'!$M$2=BX5),'2023DATA2'!$E$21,"")</f>
        <v/>
      </c>
      <c r="BY24" s="518" t="str">
        <f>IF(AND(_AC5="B-737-900",'2023'!$M$4="CA",'2023'!$M$2=BY5),'2023DATA2'!$F$21,"")</f>
        <v/>
      </c>
      <c r="BZ24" s="518" t="str">
        <f>IF(AND(_AC5="B-737-900",'2023'!$M$4="CA",'2023'!$M$2=BZ5),'2023DATA2'!$G$21,"")</f>
        <v/>
      </c>
      <c r="CA24" s="518" t="str">
        <f>IF(AND(_AC5="B-737-900",'2023'!$M$4="CA",'2023'!$M$2=CA5),'2023DATA2'!$H$21,"")</f>
        <v/>
      </c>
      <c r="CB24" s="518" t="str">
        <f>IF(AND(_AC5="B-737-900",'2023'!$M$4="CA",'2023'!$M$2=CB5),'2023DATA2'!$I$21,"")</f>
        <v/>
      </c>
      <c r="CC24" s="518" t="str">
        <f>IF(AND(_AC5="B-737-900",'2023'!$M$4="CA",'2023'!$M$2=CC5),'2023DATA2'!$J$21,"")</f>
        <v/>
      </c>
      <c r="CD24" s="518" t="str">
        <f>IF(AND(_AC5="B-737-900",'2023'!$M$4="CA",'2023'!$M$2=CD5),'2023DATA2'!$K$21,"")</f>
        <v/>
      </c>
      <c r="CE24" s="518" t="str">
        <f>IF(AND(_AC5="B-737-900",'2023'!$M$4="CA",'2023'!$M$2=CE5),'2023DATA2'!$L$21,"")</f>
        <v/>
      </c>
      <c r="CF24" s="518" t="str">
        <f>IF(AND(_AC5="B-737-900",'2023'!$M$4="CA",'2023'!$M$2=CF5),'2023DATA2'!$M$21,"")</f>
        <v/>
      </c>
      <c r="CG24" s="520" t="str">
        <f>IF(AND(_AC5="B-737-900",'2023'!$M$4="CA",'2023'!$M$2=CG5),'2023DATA2'!$N$21,"")</f>
        <v/>
      </c>
      <c r="CH24" s="940" t="s">
        <v>47</v>
      </c>
      <c r="CI24" s="13" t="s">
        <v>61</v>
      </c>
      <c r="CJ24" s="518" t="str">
        <f>IF(AND(_AC6="B-737-900",'2023'!$M$4="CA",'2023'!$M$2=CJ5),'2023DATA2'!$C$21,"")</f>
        <v/>
      </c>
      <c r="CK24" s="518" t="str">
        <f>IF(AND(_AC6="B-737-900",'2023'!$M$4="CA",'2023'!$M$2=CK5),'2023DATA2'!$D$21,"")</f>
        <v/>
      </c>
      <c r="CL24" s="518" t="str">
        <f>IF(AND(_AC6="B-737-900",'2023'!$M$4="CA",'2023'!$M$2=CL5),'2023DATA2'!$E$21,"")</f>
        <v/>
      </c>
      <c r="CM24" s="518" t="str">
        <f>IF(AND(_AC6="B-737-900",'2023'!$M$4="CA",'2023'!$M$2=CM5),'2023DATA2'!$F$21,"")</f>
        <v/>
      </c>
      <c r="CN24" s="518" t="str">
        <f>IF(AND(_AC6="B-737-900",'2023'!$M$4="CA",'2023'!$M$2=CN5),'2023DATA2'!$G$21,"")</f>
        <v/>
      </c>
      <c r="CO24" s="518" t="str">
        <f>IF(AND(_AC6="B-737-900",'2023'!$M$4="CA",'2023'!$M$2=CO5),'2023DATA2'!$H$21,"")</f>
        <v/>
      </c>
      <c r="CP24" s="518" t="str">
        <f>IF(AND(_AC6="B-737-900",'2023'!$M$4="CA",'2023'!$M$2=CP5),'2023DATA2'!$I$21,"")</f>
        <v/>
      </c>
      <c r="CQ24" s="518" t="str">
        <f>IF(AND(_AC6="B-737-900",'2023'!$M$4="CA",'2023'!$M$2=CQ5),'2023DATA2'!$J$21,"")</f>
        <v/>
      </c>
      <c r="CR24" s="518" t="str">
        <f>IF(AND(_AC6="B-737-900",'2023'!$M$4="CA",'2023'!$M$2=CR5),'2023DATA2'!$K$21,"")</f>
        <v/>
      </c>
      <c r="CS24" s="518" t="str">
        <f>IF(AND(_AC6="B-737-900",'2023'!$M$4="CA",'2023'!$M$2=CS5),'2023DATA2'!$L$21,"")</f>
        <v/>
      </c>
      <c r="CT24" s="518" t="str">
        <f>IF(AND(_AC6="B-737-900",'2023'!$M$4="CA",'2023'!$M$2=CT5),'2023DATA2'!$M$21,"")</f>
        <v/>
      </c>
      <c r="CU24" s="520" t="str">
        <f>IF(AND(_AC6="B-737-900",'2023'!$M$4="CA",'2023'!$M$2=CU5),'2023DATA2'!$N$21,"")</f>
        <v/>
      </c>
    </row>
    <row r="25" spans="1:99" x14ac:dyDescent="0.25">
      <c r="A25" s="946" t="s">
        <v>46</v>
      </c>
      <c r="B25" s="78" t="s">
        <v>61</v>
      </c>
      <c r="C25" s="140">
        <v>356.53</v>
      </c>
      <c r="D25" s="141">
        <v>352.89</v>
      </c>
      <c r="E25" s="142">
        <v>349.14</v>
      </c>
      <c r="F25" s="143">
        <v>345.42</v>
      </c>
      <c r="G25" s="144">
        <v>342.98</v>
      </c>
      <c r="H25" s="145">
        <v>340.17</v>
      </c>
      <c r="I25" s="144">
        <v>337.67</v>
      </c>
      <c r="J25" s="145">
        <v>335.06</v>
      </c>
      <c r="K25" s="143">
        <v>332.23</v>
      </c>
      <c r="L25" s="144">
        <v>329.56</v>
      </c>
      <c r="M25" s="145">
        <v>326.91000000000003</v>
      </c>
      <c r="N25" s="146">
        <v>324.14999999999998</v>
      </c>
      <c r="P25" s="940"/>
      <c r="Q25" s="13" t="s">
        <v>62</v>
      </c>
      <c r="R25" s="518" t="str">
        <f>IF(AND(_AC1="B-737-900",'2023'!$M$4="FO",'2023'!$M$2=R5),'2023DATA2'!$C$22,"")</f>
        <v/>
      </c>
      <c r="S25" s="518" t="str">
        <f>IF(AND(_AC1="B-737-900",'2023'!$M$4="FO",'2023'!$M$2=S5),'2023DATA2'!$D$22,"")</f>
        <v/>
      </c>
      <c r="T25" s="518" t="str">
        <f>IF(AND(_AC1="B-737-900",'2023'!$M$4="FO",'2023'!$M$2=T5),'2023DATA2'!$E$22,"")</f>
        <v/>
      </c>
      <c r="U25" s="518" t="str">
        <f>IF(AND(_AC1="B-737-900",'2023'!$M$4="FO",'2023'!$M$2=U5),'2023DATA2'!$F$22,"")</f>
        <v/>
      </c>
      <c r="V25" s="518" t="str">
        <f>IF(AND(_AC1="B-737-900",'2023'!$M$4="FO",'2023'!$M$2=V5),'2023DATA2'!$G$22,"")</f>
        <v/>
      </c>
      <c r="W25" s="518" t="str">
        <f>IF(AND(_AC1="B-737-900",'2023'!$M$4="FO",'2023'!$M$2=W5),'2023DATA2'!$H$22,"")</f>
        <v/>
      </c>
      <c r="X25" s="518" t="str">
        <f>IF(AND(_AC1="B-737-900",'2023'!$M$4="FO",'2023'!$M$2=X5),'2023DATA2'!$I$22,"")</f>
        <v/>
      </c>
      <c r="Y25" s="518" t="str">
        <f>IF(AND(_AC1="B-737-900",'2023'!$M$4="FO",'2023'!$M$2=Y5),'2023DATA2'!$J$22,"")</f>
        <v/>
      </c>
      <c r="Z25" s="518" t="str">
        <f>IF(AND(_AC1="B-737-900",'2023'!$M$4="FO",'2023'!$M$2=Z5),'2023DATA2'!$K$22,"")</f>
        <v/>
      </c>
      <c r="AA25" s="518" t="str">
        <f>IF(AND(_AC1="B-737-900",'2023'!$M$4="FO",'2023'!$M$2=AA5),'2023DATA2'!$L$22,"")</f>
        <v/>
      </c>
      <c r="AB25" s="518" t="str">
        <f>IF(AND(_AC1="B-737-900",'2023'!$M$4="FO",'2023'!$M$2=AB5),'2023DATA2'!$M$22,"")</f>
        <v/>
      </c>
      <c r="AC25" s="520" t="str">
        <f>IF(AND(_AC1="B-737-900",'2023'!$M$4="FO",'2023'!$M$2=AC5),'2023DATA2'!$N$22,"")</f>
        <v/>
      </c>
      <c r="AD25" s="940"/>
      <c r="AE25" s="13" t="s">
        <v>62</v>
      </c>
      <c r="AF25" s="518" t="str">
        <f>IF(AND(_AC2="B-737-900",'2023'!$M$4="FO",'2023'!$M$2=AF5),'2023DATA2'!$C$22,"")</f>
        <v/>
      </c>
      <c r="AG25" s="518" t="str">
        <f>IF(AND(_AC2="B-737-900",'2023'!$M$4="FO",'2023'!$M$2=AG5),'2023DATA2'!$D$22,"")</f>
        <v/>
      </c>
      <c r="AH25" s="518" t="str">
        <f>IF(AND(_AC2="B-737-900",'2023'!$M$4="FO",'2023'!$M$2=AH5),'2023DATA2'!$E$22,"")</f>
        <v/>
      </c>
      <c r="AI25" s="518" t="str">
        <f>IF(AND(_AC2="B-737-900",'2023'!$M$4="FO",'2023'!$M$2=AI5),'2023DATA2'!$F$22,"")</f>
        <v/>
      </c>
      <c r="AJ25" s="518" t="str">
        <f>IF(AND(_AC2="B-737-900",'2023'!$M$4="FO",'2023'!$M$2=AJ5),'2023DATA2'!$G$22,"")</f>
        <v/>
      </c>
      <c r="AK25" s="518" t="str">
        <f>IF(AND(_AC2="B-737-900",'2023'!$M$4="FO",'2023'!$M$2=AK5),'2023DATA2'!$H$22,"")</f>
        <v/>
      </c>
      <c r="AL25" s="518" t="str">
        <f>IF(AND(_AC2="B-737-900",'2023'!$M$4="FO",'2023'!$M$2=AL5),'2023DATA2'!$I$22,"")</f>
        <v/>
      </c>
      <c r="AM25" s="518" t="str">
        <f>IF(AND(_AC2="B-737-900",'2023'!$M$4="FO",'2023'!$M$2=AM5),'2023DATA2'!$J$22,"")</f>
        <v/>
      </c>
      <c r="AN25" s="518" t="str">
        <f>IF(AND(_AC2="B-737-900",'2023'!$M$4="FO",'2023'!$M$2=AN5),'2023DATA2'!$K$22,"")</f>
        <v/>
      </c>
      <c r="AO25" s="518" t="str">
        <f>IF(AND(_AC2="B-737-900",'2023'!$M$4="FO",'2023'!$M$2=AO5),'2023DATA2'!$L$22,"")</f>
        <v/>
      </c>
      <c r="AP25" s="518" t="str">
        <f>IF(AND(_AC2="B-737-900",'2023'!$M$4="FO",'2023'!$M$2=AP5),'2023DATA2'!$M$22,"")</f>
        <v/>
      </c>
      <c r="AQ25" s="520" t="str">
        <f>IF(AND(_AC2="B-737-900",'2023'!$M$4="FO",'2023'!$M$2=AQ5),'2023DATA2'!$N$22,"")</f>
        <v/>
      </c>
      <c r="AR25" s="940"/>
      <c r="AS25" s="13" t="s">
        <v>62</v>
      </c>
      <c r="AT25" s="518" t="str">
        <f>IF(AND(_AC3="B-737-900",'2023'!$M$4="FO",'2023'!$M$2=AT5),'2023DATA2'!$C$22,"")</f>
        <v/>
      </c>
      <c r="AU25" s="518" t="str">
        <f>IF(AND(_AC3="B-737-900",'2023'!$M$4="FO",'2023'!$M$2=AU5),'2023DATA2'!$D$22,"")</f>
        <v/>
      </c>
      <c r="AV25" s="518" t="str">
        <f>IF(AND(_AC3="B-737-900",'2023'!$M$4="FO",'2023'!$M$2=AV5),'2023DATA2'!$E$22,"")</f>
        <v/>
      </c>
      <c r="AW25" s="518" t="str">
        <f>IF(AND(_AC3="B-737-900",'2023'!$M$4="FO",'2023'!$M$2=AW5),'2023DATA2'!$F$22,"")</f>
        <v/>
      </c>
      <c r="AX25" s="518" t="str">
        <f>IF(AND(_AC3="B-737-900",'2023'!$M$4="FO",'2023'!$M$2=AX5),'2023DATA2'!$G$22,"")</f>
        <v/>
      </c>
      <c r="AY25" s="518" t="str">
        <f>IF(AND(_AC3="B-737-900",'2023'!$M$4="FO",'2023'!$M$2=AY5),'2023DATA2'!$H$22,"")</f>
        <v/>
      </c>
      <c r="AZ25" s="518" t="str">
        <f>IF(AND(_AC3="B-737-900",'2023'!$M$4="FO",'2023'!$M$2=AZ5),'2023DATA2'!$I$22,"")</f>
        <v/>
      </c>
      <c r="BA25" s="518" t="str">
        <f>IF(AND(_AC3="B-737-900",'2023'!$M$4="FO",'2023'!$M$2=BA5),'2023DATA2'!$J$22,"")</f>
        <v/>
      </c>
      <c r="BB25" s="518" t="str">
        <f>IF(AND(_AC3="B-737-900",'2023'!$M$4="FO",'2023'!$M$2=BB5),'2023DATA2'!$K$22,"")</f>
        <v/>
      </c>
      <c r="BC25" s="518" t="str">
        <f>IF(AND(_AC3="B-737-900",'2023'!$M$4="FO",'2023'!$M$2=BC5),'2023DATA2'!$L$22,"")</f>
        <v/>
      </c>
      <c r="BD25" s="518" t="str">
        <f>IF(AND(_AC3="B-737-900",'2023'!$M$4="FO",'2023'!$M$2=BD5),'2023DATA2'!$M$22,"")</f>
        <v/>
      </c>
      <c r="BE25" s="520" t="str">
        <f>IF(AND(_AC3="B-737-900",'2023'!$M$4="FO",'2023'!$M$2=BE5),'2023DATA2'!$N$22,"")</f>
        <v/>
      </c>
      <c r="BF25" s="940"/>
      <c r="BG25" s="13" t="s">
        <v>62</v>
      </c>
      <c r="BH25" s="518" t="str">
        <f>IF(AND(_AC4="B-737-900",'2023'!$M$4="FO",'2023'!$M$2=BH5),'2023DATA2'!$C$22,"")</f>
        <v/>
      </c>
      <c r="BI25" s="518" t="str">
        <f>IF(AND(_AC4="B-737-900",'2023'!$M$4="FO",'2023'!$M$2=BI5),'2023DATA2'!$D$22,"")</f>
        <v/>
      </c>
      <c r="BJ25" s="518" t="str">
        <f>IF(AND(_AC4="B-737-900",'2023'!$M$4="FO",'2023'!$M$2=BJ5),'2023DATA2'!$E$22,"")</f>
        <v/>
      </c>
      <c r="BK25" s="518" t="str">
        <f>IF(AND(_AC4="B-737-900",'2023'!$M$4="FO",'2023'!$M$2=BK5),'2023DATA2'!$F$22,"")</f>
        <v/>
      </c>
      <c r="BL25" s="518" t="str">
        <f>IF(AND(_AC4="B-737-900",'2023'!$M$4="FO",'2023'!$M$2=BL5),'2023DATA2'!$G$22,"")</f>
        <v/>
      </c>
      <c r="BM25" s="518" t="str">
        <f>IF(AND(_AC4="B-737-900",'2023'!$M$4="FO",'2023'!$M$2=BM5),'2023DATA2'!$H$22,"")</f>
        <v/>
      </c>
      <c r="BN25" s="518" t="str">
        <f>IF(AND(_AC4="B-737-900",'2023'!$M$4="FO",'2023'!$M$2=BN5),'2023DATA2'!$I$22,"")</f>
        <v/>
      </c>
      <c r="BO25" s="518" t="str">
        <f>IF(AND(_AC4="B-737-900",'2023'!$M$4="FO",'2023'!$M$2=BO5),'2023DATA2'!$J$22,"")</f>
        <v/>
      </c>
      <c r="BP25" s="518" t="str">
        <f>IF(AND(_AC4="B-737-900",'2023'!$M$4="FO",'2023'!$M$2=BP5),'2023DATA2'!$K$22,"")</f>
        <v/>
      </c>
      <c r="BQ25" s="518" t="str">
        <f>IF(AND(_AC4="B-737-900",'2023'!$M$4="FO",'2023'!$M$2=BQ5),'2023DATA2'!$L$22,"")</f>
        <v/>
      </c>
      <c r="BR25" s="518" t="str">
        <f>IF(AND(_AC4="B-737-900",'2023'!$M$4="FO",'2023'!$M$2=BR5),'2023DATA2'!$M$22,"")</f>
        <v/>
      </c>
      <c r="BS25" s="520" t="str">
        <f>IF(AND(_AC4="B-737-900",'2023'!$M$4="FO",'2023'!$M$2=BS5),'2023DATA2'!$N$22,"")</f>
        <v/>
      </c>
      <c r="BT25" s="940"/>
      <c r="BU25" s="13" t="s">
        <v>62</v>
      </c>
      <c r="BV25" s="518" t="str">
        <f>IF(AND(_AC5="B-737-900",'2023'!$M$4="FO",'2023'!$M$2=BV5),'2023DATA2'!$C$22,"")</f>
        <v/>
      </c>
      <c r="BW25" s="518" t="str">
        <f>IF(AND(_AC5="B-737-900",'2023'!$M$4="FO",'2023'!$M$2=BW5),'2023DATA2'!$D$22,"")</f>
        <v/>
      </c>
      <c r="BX25" s="518" t="str">
        <f>IF(AND(_AC5="B-737-900",'2023'!$M$4="FO",'2023'!$M$2=BX5),'2023DATA2'!$E$22,"")</f>
        <v/>
      </c>
      <c r="BY25" s="518" t="str">
        <f>IF(AND(_AC5="B-737-900",'2023'!$M$4="FO",'2023'!$M$2=BY5),'2023DATA2'!$F$22,"")</f>
        <v/>
      </c>
      <c r="BZ25" s="518" t="str">
        <f>IF(AND(_AC5="B-737-900",'2023'!$M$4="FO",'2023'!$M$2=BZ5),'2023DATA2'!$G$22,"")</f>
        <v/>
      </c>
      <c r="CA25" s="518" t="str">
        <f>IF(AND(_AC5="B-737-900",'2023'!$M$4="FO",'2023'!$M$2=CA5),'2023DATA2'!$H$22,"")</f>
        <v/>
      </c>
      <c r="CB25" s="518" t="str">
        <f>IF(AND(_AC5="B-737-900",'2023'!$M$4="FO",'2023'!$M$2=CB5),'2023DATA2'!$I$22,"")</f>
        <v/>
      </c>
      <c r="CC25" s="518" t="str">
        <f>IF(AND(_AC5="B-737-900",'2023'!$M$4="FO",'2023'!$M$2=CC5),'2023DATA2'!$J$22,"")</f>
        <v/>
      </c>
      <c r="CD25" s="518" t="str">
        <f>IF(AND(_AC5="B-737-900",'2023'!$M$4="FO",'2023'!$M$2=CD5),'2023DATA2'!$K$22,"")</f>
        <v/>
      </c>
      <c r="CE25" s="518" t="str">
        <f>IF(AND(_AC5="B-737-900",'2023'!$M$4="FO",'2023'!$M$2=CE5),'2023DATA2'!$L$22,"")</f>
        <v/>
      </c>
      <c r="CF25" s="518" t="str">
        <f>IF(AND(_AC5="B-737-900",'2023'!$M$4="FO",'2023'!$M$2=CF5),'2023DATA2'!$M$22,"")</f>
        <v/>
      </c>
      <c r="CG25" s="520" t="str">
        <f>IF(AND(_AC5="B-737-900",'2023'!$M$4="FO",'2023'!$M$2=CG5),'2023DATA2'!$N$22,"")</f>
        <v/>
      </c>
      <c r="CH25" s="940"/>
      <c r="CI25" s="13" t="s">
        <v>62</v>
      </c>
      <c r="CJ25" s="518" t="str">
        <f>IF(AND(_AC6="B-737-900",'2023'!$M$4="FO",'2023'!$M$2=CJ5),'2023DATA2'!$C$22,"")</f>
        <v/>
      </c>
      <c r="CK25" s="518" t="str">
        <f>IF(AND(_AC6="B-737-900",'2023'!$M$4="FO",'2023'!$M$2=CK5),'2023DATA2'!$D$22,"")</f>
        <v/>
      </c>
      <c r="CL25" s="518" t="str">
        <f>IF(AND(_AC6="B-737-900",'2023'!$M$4="FO",'2023'!$M$2=CL5),'2023DATA2'!$E$22,"")</f>
        <v/>
      </c>
      <c r="CM25" s="518" t="str">
        <f>IF(AND(_AC6="B-737-900",'2023'!$M$4="FO",'2023'!$M$2=CM5),'2023DATA2'!$F$22,"")</f>
        <v/>
      </c>
      <c r="CN25" s="518" t="str">
        <f>IF(AND(_AC6="B-737-900",'2023'!$M$4="FO",'2023'!$M$2=CN5),'2023DATA2'!$G$22,"")</f>
        <v/>
      </c>
      <c r="CO25" s="518" t="str">
        <f>IF(AND(_AC6="B-737-900",'2023'!$M$4="FO",'2023'!$M$2=CO5),'2023DATA2'!$H$22,"")</f>
        <v/>
      </c>
      <c r="CP25" s="518" t="str">
        <f>IF(AND(_AC6="B-737-900",'2023'!$M$4="FO",'2023'!$M$2=CP5),'2023DATA2'!$I$22,"")</f>
        <v/>
      </c>
      <c r="CQ25" s="518" t="str">
        <f>IF(AND(_AC6="B-737-900",'2023'!$M$4="FO",'2023'!$M$2=CQ5),'2023DATA2'!$J$22,"")</f>
        <v/>
      </c>
      <c r="CR25" s="518" t="str">
        <f>IF(AND(_AC6="B-737-900",'2023'!$M$4="FO",'2023'!$M$2=CR5),'2023DATA2'!$K$22,"")</f>
        <v/>
      </c>
      <c r="CS25" s="518" t="str">
        <f>IF(AND(_AC6="B-737-900",'2023'!$M$4="FO",'2023'!$M$2=CS5),'2023DATA2'!$L$22,"")</f>
        <v/>
      </c>
      <c r="CT25" s="518" t="str">
        <f>IF(AND(_AC6="B-737-900",'2023'!$M$4="FO",'2023'!$M$2=CT5),'2023DATA2'!$M$22,"")</f>
        <v/>
      </c>
      <c r="CU25" s="520" t="str">
        <f>IF(AND(_AC6="B-737-900",'2023'!$M$4="FO",'2023'!$M$2=CU5),'2023DATA2'!$N$22,"")</f>
        <v/>
      </c>
    </row>
    <row r="26" spans="1:99" x14ac:dyDescent="0.25">
      <c r="A26" s="946"/>
      <c r="B26" s="78" t="s">
        <v>62</v>
      </c>
      <c r="C26" s="258">
        <v>243.51</v>
      </c>
      <c r="D26" s="259">
        <v>240.68</v>
      </c>
      <c r="E26" s="259">
        <v>237.76</v>
      </c>
      <c r="F26" s="260">
        <v>233.87</v>
      </c>
      <c r="G26" s="261">
        <v>231.53</v>
      </c>
      <c r="H26" s="353">
        <v>226.22</v>
      </c>
      <c r="I26" s="259">
        <v>220.15</v>
      </c>
      <c r="J26" s="264">
        <v>214.78</v>
      </c>
      <c r="K26" s="265">
        <v>209.64</v>
      </c>
      <c r="L26" s="259">
        <v>204.66</v>
      </c>
      <c r="M26" s="259">
        <v>174.89</v>
      </c>
      <c r="N26" s="266">
        <v>110.52</v>
      </c>
      <c r="P26" s="940" t="s">
        <v>69</v>
      </c>
      <c r="Q26" s="13" t="s">
        <v>61</v>
      </c>
      <c r="R26" s="518" t="str">
        <f>IF(AND(_AC1="B-737-800",'2023'!$M$4="CA",'2023'!$M$2=R5),'2023DATA2'!$C$23,"")</f>
        <v/>
      </c>
      <c r="S26" s="518" t="str">
        <f>IF(AND(_AC1="B-737-800",'2023'!$M$4="CA",'2023'!$M$2=S5),'2023DATA2'!$D$23,"")</f>
        <v/>
      </c>
      <c r="T26" s="518" t="str">
        <f>IF(AND(_AC1="B-737-800",'2023'!$M$4="CA",'2023'!$M$2=T5),'2023DATA2'!$E$23,"")</f>
        <v/>
      </c>
      <c r="U26" s="518" t="str">
        <f>IF(AND(_AC1="B-737-800",'2023'!$M$4="CA",'2023'!$M$2=U5),'2023DATA2'!$F$23,"")</f>
        <v/>
      </c>
      <c r="V26" s="518" t="str">
        <f>IF(AND(_AC1="B-737-800",'2023'!$M$4="CA",'2023'!$M$2=V5),'2023DATA2'!$G$23,"")</f>
        <v/>
      </c>
      <c r="W26" s="518" t="str">
        <f>IF(AND(_AC1="B-737-800",'2023'!$M$4="CA",'2023'!$M$2=W5),'2023DATA2'!$H$23,"")</f>
        <v/>
      </c>
      <c r="X26" s="518" t="str">
        <f>IF(AND(_AC1="B-737-800",'2023'!$M$4="CA",'2023'!$M$2=X5),'2023DATA2'!$I$23,"")</f>
        <v/>
      </c>
      <c r="Y26" s="518" t="str">
        <f>IF(AND(_AC1="B-737-800",'2023'!$M$4="CA",'2023'!$M$2=Y5),'2023DATA2'!$J$23,"")</f>
        <v/>
      </c>
      <c r="Z26" s="518" t="str">
        <f>IF(AND(_AC1="B-737-800",'2023'!$M$4="CA",'2023'!$M$2=Z5),'2023DATA2'!$K$23,"")</f>
        <v/>
      </c>
      <c r="AA26" s="518" t="str">
        <f>IF(AND(_AC1="B-737-800",'2023'!$M$4="CA",'2023'!$M$2=AA5),'2023DATA2'!$L$23,"")</f>
        <v/>
      </c>
      <c r="AB26" s="518" t="str">
        <f>IF(AND(_AC1="B-737-800",'2023'!$M$4="CA",'2023'!$M$2=AB5),'2023DATA2'!$M$23,"")</f>
        <v/>
      </c>
      <c r="AC26" s="520" t="str">
        <f>IF(AND(_AC1="B-737-800",'2023'!$M$4="CA",'2023'!$M$2=AC5),'2023DATA2'!$N$23,"")</f>
        <v/>
      </c>
      <c r="AD26" s="940" t="s">
        <v>69</v>
      </c>
      <c r="AE26" s="13" t="s">
        <v>61</v>
      </c>
      <c r="AF26" s="518" t="str">
        <f>IF(AND(_AC2="B-737-800",'2023'!$M$4="CA",'2023'!$M$2=AF5),'2023DATA2'!$C$23,"")</f>
        <v/>
      </c>
      <c r="AG26" s="518" t="str">
        <f>IF(AND(_AC2="B-737-800",'2023'!$M$4="CA",'2023'!$M$2=AG5),'2023DATA2'!$D$23,"")</f>
        <v/>
      </c>
      <c r="AH26" s="518" t="str">
        <f>IF(AND(_AC2="B-737-800",'2023'!$M$4="CA",'2023'!$M$2=AH5),'2023DATA2'!$E$23,"")</f>
        <v/>
      </c>
      <c r="AI26" s="518" t="str">
        <f>IF(AND(_AC2="B-737-800",'2023'!$M$4="CA",'2023'!$M$2=AI5),'2023DATA2'!$F$23,"")</f>
        <v/>
      </c>
      <c r="AJ26" s="518" t="str">
        <f>IF(AND(_AC2="B-737-800",'2023'!$M$4="CA",'2023'!$M$2=AJ5),'2023DATA2'!$G$23,"")</f>
        <v/>
      </c>
      <c r="AK26" s="518" t="str">
        <f>IF(AND(_AC2="B-737-800",'2023'!$M$4="CA",'2023'!$M$2=AK5),'2023DATA2'!$H$23,"")</f>
        <v/>
      </c>
      <c r="AL26" s="518" t="str">
        <f>IF(AND(_AC2="B-737-800",'2023'!$M$4="CA",'2023'!$M$2=AL5),'2023DATA2'!$I$23,"")</f>
        <v/>
      </c>
      <c r="AM26" s="518" t="str">
        <f>IF(AND(_AC2="B-737-800",'2023'!$M$4="CA",'2023'!$M$2=AM5),'2023DATA2'!$J$23,"")</f>
        <v/>
      </c>
      <c r="AN26" s="518" t="str">
        <f>IF(AND(_AC2="B-737-800",'2023'!$M$4="CA",'2023'!$M$2=AN5),'2023DATA2'!$K$23,"")</f>
        <v/>
      </c>
      <c r="AO26" s="518" t="str">
        <f>IF(AND(_AC2="B-737-800",'2023'!$M$4="CA",'2023'!$M$2=AO5),'2023DATA2'!$L$23,"")</f>
        <v/>
      </c>
      <c r="AP26" s="518" t="str">
        <f>IF(AND(_AC2="B-737-800",'2023'!$M$4="CA",'2023'!$M$2=AP5),'2023DATA2'!$M$23,"")</f>
        <v/>
      </c>
      <c r="AQ26" s="520" t="str">
        <f>IF(AND(_AC2="B-737-800",'2023'!$M$4="CA",'2023'!$M$2=AQ5),'2023DATA2'!$N$23,"")</f>
        <v/>
      </c>
      <c r="AR26" s="940" t="s">
        <v>69</v>
      </c>
      <c r="AS26" s="13" t="s">
        <v>61</v>
      </c>
      <c r="AT26" s="518" t="str">
        <f>IF(AND(_AC3="B-737-800",'2023'!$M$4="CA",'2023'!$M$2=AT5),'2023DATA2'!$C$23,"")</f>
        <v/>
      </c>
      <c r="AU26" s="518" t="str">
        <f>IF(AND(_AC3="B-737-800",'2023'!$M$4="CA",'2023'!$M$2=AU5),'2023DATA2'!$D$23,"")</f>
        <v/>
      </c>
      <c r="AV26" s="518" t="str">
        <f>IF(AND(_AC3="B-737-800",'2023'!$M$4="CA",'2023'!$M$2=AV5),'2023DATA2'!$E$23,"")</f>
        <v/>
      </c>
      <c r="AW26" s="518" t="str">
        <f>IF(AND(_AC3="B-737-800",'2023'!$M$4="CA",'2023'!$M$2=AW5),'2023DATA2'!$F$23,"")</f>
        <v/>
      </c>
      <c r="AX26" s="518" t="str">
        <f>IF(AND(_AC3="B-737-800",'2023'!$M$4="CA",'2023'!$M$2=AX5),'2023DATA2'!$G$23,"")</f>
        <v/>
      </c>
      <c r="AY26" s="518" t="str">
        <f>IF(AND(_AC3="B-737-800",'2023'!$M$4="CA",'2023'!$M$2=AY5),'2023DATA2'!$H$23,"")</f>
        <v/>
      </c>
      <c r="AZ26" s="518" t="str">
        <f>IF(AND(_AC3="B-737-800",'2023'!$M$4="CA",'2023'!$M$2=AZ5),'2023DATA2'!$I$23,"")</f>
        <v/>
      </c>
      <c r="BA26" s="518" t="str">
        <f>IF(AND(_AC3="B-737-800",'2023'!$M$4="CA",'2023'!$M$2=BA5),'2023DATA2'!$J$23,"")</f>
        <v/>
      </c>
      <c r="BB26" s="518" t="str">
        <f>IF(AND(_AC3="B-737-800",'2023'!$M$4="CA",'2023'!$M$2=BB5),'2023DATA2'!$K$23,"")</f>
        <v/>
      </c>
      <c r="BC26" s="518" t="str">
        <f>IF(AND(_AC3="B-737-800",'2023'!$M$4="CA",'2023'!$M$2=BC5),'2023DATA2'!$L$23,"")</f>
        <v/>
      </c>
      <c r="BD26" s="518" t="str">
        <f>IF(AND(_AC3="B-737-800",'2023'!$M$4="CA",'2023'!$M$2=BD5),'2023DATA2'!$M$23,"")</f>
        <v/>
      </c>
      <c r="BE26" s="520" t="str">
        <f>IF(AND(_AC3="B-737-800",'2023'!$M$4="CA",'2023'!$M$2=BE5),'2023DATA2'!$N$23,"")</f>
        <v/>
      </c>
      <c r="BF26" s="940" t="s">
        <v>69</v>
      </c>
      <c r="BG26" s="13" t="s">
        <v>61</v>
      </c>
      <c r="BH26" s="518" t="str">
        <f>IF(AND(_AC4="B-737-800",'2023'!$M$4="CA",'2023'!$M$2=BH5),'2023DATA2'!$C$23,"")</f>
        <v/>
      </c>
      <c r="BI26" s="518" t="str">
        <f>IF(AND(_AC4="B-737-800",'2023'!$M$4="CA",'2023'!$M$2=BI5),'2023DATA2'!$D$23,"")</f>
        <v/>
      </c>
      <c r="BJ26" s="518" t="str">
        <f>IF(AND(_AC4="B-737-800",'2023'!$M$4="CA",'2023'!$M$2=BJ5),'2023DATA2'!$E$23,"")</f>
        <v/>
      </c>
      <c r="BK26" s="518" t="str">
        <f>IF(AND(_AC4="B-737-800",'2023'!$M$4="CA",'2023'!$M$2=BK5),'2023DATA2'!$F$23,"")</f>
        <v/>
      </c>
      <c r="BL26" s="518" t="str">
        <f>IF(AND(_AC4="B-737-800",'2023'!$M$4="CA",'2023'!$M$2=BL5),'2023DATA2'!$G$23,"")</f>
        <v/>
      </c>
      <c r="BM26" s="518" t="str">
        <f>IF(AND(_AC4="B-737-800",'2023'!$M$4="CA",'2023'!$M$2=BM5),'2023DATA2'!$H$23,"")</f>
        <v/>
      </c>
      <c r="BN26" s="518" t="str">
        <f>IF(AND(_AC4="B-737-800",'2023'!$M$4="CA",'2023'!$M$2=BN5),'2023DATA2'!$I$23,"")</f>
        <v/>
      </c>
      <c r="BO26" s="518" t="str">
        <f>IF(AND(_AC4="B-737-800",'2023'!$M$4="CA",'2023'!$M$2=BO5),'2023DATA2'!$J$23,"")</f>
        <v/>
      </c>
      <c r="BP26" s="518" t="str">
        <f>IF(AND(_AC4="B-737-800",'2023'!$M$4="CA",'2023'!$M$2=BP5),'2023DATA2'!$K$23,"")</f>
        <v/>
      </c>
      <c r="BQ26" s="518" t="str">
        <f>IF(AND(_AC4="B-737-800",'2023'!$M$4="CA",'2023'!$M$2=BQ5),'2023DATA2'!$L$23,"")</f>
        <v/>
      </c>
      <c r="BR26" s="518" t="str">
        <f>IF(AND(_AC4="B-737-800",'2023'!$M$4="CA",'2023'!$M$2=BR5),'2023DATA2'!$M$23,"")</f>
        <v/>
      </c>
      <c r="BS26" s="520" t="str">
        <f>IF(AND(_AC4="B-737-800",'2023'!$M$4="CA",'2023'!$M$2=BS5),'2023DATA2'!$N$23,"")</f>
        <v/>
      </c>
      <c r="BT26" s="940" t="s">
        <v>69</v>
      </c>
      <c r="BU26" s="13" t="s">
        <v>61</v>
      </c>
      <c r="BV26" s="518" t="str">
        <f>IF(AND(_AC5="B-737-800",'2023'!$M$4="CA",'2023'!$M$2=BV5),'2023DATA2'!$C$23,"")</f>
        <v/>
      </c>
      <c r="BW26" s="518" t="str">
        <f>IF(AND(_AC5="B-737-800",'2023'!$M$4="CA",'2023'!$M$2=BW5),'2023DATA2'!$D$23,"")</f>
        <v/>
      </c>
      <c r="BX26" s="518" t="str">
        <f>IF(AND(_AC5="B-737-800",'2023'!$M$4="CA",'2023'!$M$2=BX5),'2023DATA2'!$E$23,"")</f>
        <v/>
      </c>
      <c r="BY26" s="518" t="str">
        <f>IF(AND(_AC5="B-737-800",'2023'!$M$4="CA",'2023'!$M$2=BY5),'2023DATA2'!$F$23,"")</f>
        <v/>
      </c>
      <c r="BZ26" s="518" t="str">
        <f>IF(AND(_AC5="B-737-800",'2023'!$M$4="CA",'2023'!$M$2=BZ5),'2023DATA2'!$G$23,"")</f>
        <v/>
      </c>
      <c r="CA26" s="518" t="str">
        <f>IF(AND(_AC5="B-737-800",'2023'!$M$4="CA",'2023'!$M$2=CA5),'2023DATA2'!$H$23,"")</f>
        <v/>
      </c>
      <c r="CB26" s="518" t="str">
        <f>IF(AND(_AC5="B-737-800",'2023'!$M$4="CA",'2023'!$M$2=CB5),'2023DATA2'!$I$23,"")</f>
        <v/>
      </c>
      <c r="CC26" s="518" t="str">
        <f>IF(AND(_AC5="B-737-800",'2023'!$M$4="CA",'2023'!$M$2=CC5),'2023DATA2'!$J$23,"")</f>
        <v/>
      </c>
      <c r="CD26" s="518" t="str">
        <f>IF(AND(_AC5="B-737-800",'2023'!$M$4="CA",'2023'!$M$2=CD5),'2023DATA2'!$K$23,"")</f>
        <v/>
      </c>
      <c r="CE26" s="518" t="str">
        <f>IF(AND(_AC5="B-737-800",'2023'!$M$4="CA",'2023'!$M$2=CE5),'2023DATA2'!$L$23,"")</f>
        <v/>
      </c>
      <c r="CF26" s="518" t="str">
        <f>IF(AND(_AC5="B-737-800",'2023'!$M$4="CA",'2023'!$M$2=CF5),'2023DATA2'!$M$23,"")</f>
        <v/>
      </c>
      <c r="CG26" s="520" t="str">
        <f>IF(AND(_AC5="B-737-800",'2023'!$M$4="CA",'2023'!$M$2=CG5),'2023DATA2'!$N$23,"")</f>
        <v/>
      </c>
      <c r="CH26" s="940" t="s">
        <v>69</v>
      </c>
      <c r="CI26" s="13" t="s">
        <v>61</v>
      </c>
      <c r="CJ26" s="518" t="str">
        <f>IF(AND(_AC6="B-737-800",'2023'!$M$4="CA",'2023'!$M$2=CJ5),'2023DATA2'!$C$23,"")</f>
        <v/>
      </c>
      <c r="CK26" s="518" t="str">
        <f>IF(AND(_AC6="B-737-800",'2023'!$M$4="CA",'2023'!$M$2=CK5),'2023DATA2'!$D$23,"")</f>
        <v/>
      </c>
      <c r="CL26" s="518" t="str">
        <f>IF(AND(_AC6="B-737-800",'2023'!$M$4="CA",'2023'!$M$2=CL5),'2023DATA2'!$E$23,"")</f>
        <v/>
      </c>
      <c r="CM26" s="518" t="str">
        <f>IF(AND(_AC6="B-737-800",'2023'!$M$4="CA",'2023'!$M$2=CM5),'2023DATA2'!$F$23,"")</f>
        <v/>
      </c>
      <c r="CN26" s="518" t="str">
        <f>IF(AND(_AC6="B-737-800",'2023'!$M$4="CA",'2023'!$M$2=CN5),'2023DATA2'!$G$23,"")</f>
        <v/>
      </c>
      <c r="CO26" s="518" t="str">
        <f>IF(AND(_AC6="B-737-800",'2023'!$M$4="CA",'2023'!$M$2=CO5),'2023DATA2'!$H$23,"")</f>
        <v/>
      </c>
      <c r="CP26" s="518" t="str">
        <f>IF(AND(_AC6="B-737-800",'2023'!$M$4="CA",'2023'!$M$2=CP5),'2023DATA2'!$I$23,"")</f>
        <v/>
      </c>
      <c r="CQ26" s="518" t="str">
        <f>IF(AND(_AC6="B-737-800",'2023'!$M$4="CA",'2023'!$M$2=CQ5),'2023DATA2'!$J$23,"")</f>
        <v/>
      </c>
      <c r="CR26" s="518" t="str">
        <f>IF(AND(_AC6="B-737-800",'2023'!$M$4="CA",'2023'!$M$2=CR5),'2023DATA2'!$K$23,"")</f>
        <v/>
      </c>
      <c r="CS26" s="518" t="str">
        <f>IF(AND(_AC6="B-737-800",'2023'!$M$4="CA",'2023'!$M$2=CS5),'2023DATA2'!$L$23,"")</f>
        <v/>
      </c>
      <c r="CT26" s="518" t="str">
        <f>IF(AND(_AC6="B-737-800",'2023'!$M$4="CA",'2023'!$M$2=CT5),'2023DATA2'!$M$23,"")</f>
        <v/>
      </c>
      <c r="CU26" s="520" t="str">
        <f>IF(AND(_AC6="B-737-800",'2023'!$M$4="CA",'2023'!$M$2=CU5),'2023DATA2'!$N$23,"")</f>
        <v/>
      </c>
    </row>
    <row r="27" spans="1:99" x14ac:dyDescent="0.25">
      <c r="A27" s="946" t="s">
        <v>48</v>
      </c>
      <c r="B27" s="78" t="s">
        <v>61</v>
      </c>
      <c r="C27" s="140">
        <v>343.67</v>
      </c>
      <c r="D27" s="141">
        <v>341.02</v>
      </c>
      <c r="E27" s="142">
        <v>338.36</v>
      </c>
      <c r="F27" s="143">
        <v>335.86</v>
      </c>
      <c r="G27" s="144">
        <v>333.21</v>
      </c>
      <c r="H27" s="145">
        <v>330.62</v>
      </c>
      <c r="I27" s="144">
        <v>328.04</v>
      </c>
      <c r="J27" s="145">
        <v>325.44</v>
      </c>
      <c r="K27" s="143">
        <v>322.82</v>
      </c>
      <c r="L27" s="144">
        <v>320.20999999999998</v>
      </c>
      <c r="M27" s="145">
        <v>317.73</v>
      </c>
      <c r="N27" s="146">
        <v>315.25</v>
      </c>
      <c r="P27" s="940"/>
      <c r="Q27" s="13" t="s">
        <v>62</v>
      </c>
      <c r="R27" s="518" t="str">
        <f>IF(AND(_AC1="B-737-800",'2023'!$M$4="FO",'2023'!$M$2=R5),'2023DATA2'!$C$24,"")</f>
        <v/>
      </c>
      <c r="S27" s="518" t="str">
        <f>IF(AND(_AC1="B-737-800",'2023'!$M$4="FO",'2023'!$M$2=S5),'2023DATA2'!$D$24,"")</f>
        <v/>
      </c>
      <c r="T27" s="518" t="str">
        <f>IF(AND(_AC1="B-737-800",'2023'!$M$4="FO",'2023'!$M$2=T5),'2023DATA2'!$E$24,"")</f>
        <v/>
      </c>
      <c r="U27" s="518" t="str">
        <f>IF(AND(_AC1="B-737-800",'2023'!$M$4="FO",'2023'!$M$2=U5),'2023DATA2'!$F$24,"")</f>
        <v/>
      </c>
      <c r="V27" s="518" t="str">
        <f>IF(AND(_AC1="B-737-800",'2023'!$M$4="FO",'2023'!$M$2=V5),'2023DATA2'!$G$24,"")</f>
        <v/>
      </c>
      <c r="W27" s="518" t="str">
        <f>IF(AND(_AC1="B-737-800",'2023'!$M$4="FO",'2023'!$M$2=W5),'2023DATA2'!$H$24,"")</f>
        <v/>
      </c>
      <c r="X27" s="518" t="str">
        <f>IF(AND(_AC1="B-737-800",'2023'!$M$4="FO",'2023'!$M$2=X5),'2023DATA2'!$I$24,"")</f>
        <v/>
      </c>
      <c r="Y27" s="518" t="str">
        <f>IF(AND(_AC1="B-737-800",'2023'!$M$4="FO",'2023'!$M$2=Y5),'2023DATA2'!$J$24,"")</f>
        <v/>
      </c>
      <c r="Z27" s="518" t="str">
        <f>IF(AND(_AC1="B-737-800",'2023'!$M$4="FO",'2023'!$M$2=Z5),'2023DATA2'!$K$24,"")</f>
        <v/>
      </c>
      <c r="AA27" s="518" t="str">
        <f>IF(AND(_AC1="B-737-800",'2023'!$M$4="FO",'2023'!$M$2=AA5),'2023DATA2'!$L$24,"")</f>
        <v/>
      </c>
      <c r="AB27" s="518" t="str">
        <f>IF(AND(_AC1="B-737-800",'2023'!$M$4="FO",'2023'!$M$2=AB5),'2023DATA2'!$M$24,"")</f>
        <v/>
      </c>
      <c r="AC27" s="520" t="str">
        <f>IF(AND(_AC1="B-737-800",'2023'!$M$4="FO",'2023'!$M$2=AC5),'2023DATA2'!$N$24,"")</f>
        <v/>
      </c>
      <c r="AD27" s="940"/>
      <c r="AE27" s="13" t="s">
        <v>62</v>
      </c>
      <c r="AF27" s="518" t="str">
        <f>IF(AND(_AC2="B-737-800",'2023'!$M$4="FO",'2023'!$M$2=AF5),'2023DATA2'!$C$24,"")</f>
        <v/>
      </c>
      <c r="AG27" s="518" t="str">
        <f>IF(AND(_AC2="B-737-800",'2023'!$M$4="FO",'2023'!$M$2=AG5),'2023DATA2'!$D$24,"")</f>
        <v/>
      </c>
      <c r="AH27" s="518" t="str">
        <f>IF(AND(_AC2="B-737-800",'2023'!$M$4="FO",'2023'!$M$2=AH5),'2023DATA2'!$E$24,"")</f>
        <v/>
      </c>
      <c r="AI27" s="518" t="str">
        <f>IF(AND(_AC2="B-737-800",'2023'!$M$4="FO",'2023'!$M$2=AI5),'2023DATA2'!$F$24,"")</f>
        <v/>
      </c>
      <c r="AJ27" s="518" t="str">
        <f>IF(AND(_AC2="B-737-800",'2023'!$M$4="FO",'2023'!$M$2=AJ5),'2023DATA2'!$G$24,"")</f>
        <v/>
      </c>
      <c r="AK27" s="518" t="str">
        <f>IF(AND(_AC2="B-737-800",'2023'!$M$4="FO",'2023'!$M$2=AK5),'2023DATA2'!$H$24,"")</f>
        <v/>
      </c>
      <c r="AL27" s="518" t="str">
        <f>IF(AND(_AC2="B-737-800",'2023'!$M$4="FO",'2023'!$M$2=AL5),'2023DATA2'!$I$24,"")</f>
        <v/>
      </c>
      <c r="AM27" s="518" t="str">
        <f>IF(AND(_AC2="B-737-800",'2023'!$M$4="FO",'2023'!$M$2=AM5),'2023DATA2'!$J$24,"")</f>
        <v/>
      </c>
      <c r="AN27" s="518" t="str">
        <f>IF(AND(_AC2="B-737-800",'2023'!$M$4="FO",'2023'!$M$2=AN5),'2023DATA2'!$K$24,"")</f>
        <v/>
      </c>
      <c r="AO27" s="518" t="str">
        <f>IF(AND(_AC2="B-737-800",'2023'!$M$4="FO",'2023'!$M$2=AO5),'2023DATA2'!$L$24,"")</f>
        <v/>
      </c>
      <c r="AP27" s="518" t="str">
        <f>IF(AND(_AC2="B-737-800",'2023'!$M$4="FO",'2023'!$M$2=AP5),'2023DATA2'!$M$24,"")</f>
        <v/>
      </c>
      <c r="AQ27" s="520" t="str">
        <f>IF(AND(_AC2="B-737-800",'2023'!$M$4="FO",'2023'!$M$2=AQ5),'2023DATA2'!$N$24,"")</f>
        <v/>
      </c>
      <c r="AR27" s="940"/>
      <c r="AS27" s="13" t="s">
        <v>62</v>
      </c>
      <c r="AT27" s="518" t="str">
        <f>IF(AND(_AC3="B-737-800",'2023'!$M$4="FO",'2023'!$M$2=AT5),'2023DATA2'!$C$24,"")</f>
        <v/>
      </c>
      <c r="AU27" s="518" t="str">
        <f>IF(AND(_AC3="B-737-800",'2023'!$M$4="FO",'2023'!$M$2=AU5),'2023DATA2'!$D$24,"")</f>
        <v/>
      </c>
      <c r="AV27" s="518" t="str">
        <f>IF(AND(_AC3="B-737-800",'2023'!$M$4="FO",'2023'!$M$2=AV5),'2023DATA2'!$E$24,"")</f>
        <v/>
      </c>
      <c r="AW27" s="518" t="str">
        <f>IF(AND(_AC3="B-737-800",'2023'!$M$4="FO",'2023'!$M$2=AW5),'2023DATA2'!$F$24,"")</f>
        <v/>
      </c>
      <c r="AX27" s="518" t="str">
        <f>IF(AND(_AC3="B-737-800",'2023'!$M$4="FO",'2023'!$M$2=AX5),'2023DATA2'!$G$24,"")</f>
        <v/>
      </c>
      <c r="AY27" s="518" t="str">
        <f>IF(AND(_AC3="B-737-800",'2023'!$M$4="FO",'2023'!$M$2=AY5),'2023DATA2'!$H$24,"")</f>
        <v/>
      </c>
      <c r="AZ27" s="518" t="str">
        <f>IF(AND(_AC3="B-737-800",'2023'!$M$4="FO",'2023'!$M$2=AZ5),'2023DATA2'!$I$24,"")</f>
        <v/>
      </c>
      <c r="BA27" s="518" t="str">
        <f>IF(AND(_AC3="B-737-800",'2023'!$M$4="FO",'2023'!$M$2=BA5),'2023DATA2'!$J$24,"")</f>
        <v/>
      </c>
      <c r="BB27" s="518" t="str">
        <f>IF(AND(_AC3="B-737-800",'2023'!$M$4="FO",'2023'!$M$2=BB5),'2023DATA2'!$K$24,"")</f>
        <v/>
      </c>
      <c r="BC27" s="518" t="str">
        <f>IF(AND(_AC3="B-737-800",'2023'!$M$4="FO",'2023'!$M$2=BC5),'2023DATA2'!$L$24,"")</f>
        <v/>
      </c>
      <c r="BD27" s="518" t="str">
        <f>IF(AND(_AC3="B-737-800",'2023'!$M$4="FO",'2023'!$M$2=BD5),'2023DATA2'!$M$24,"")</f>
        <v/>
      </c>
      <c r="BE27" s="520" t="str">
        <f>IF(AND(_AC3="B-737-800",'2023'!$M$4="FO",'2023'!$M$2=BE5),'2023DATA2'!$N$24,"")</f>
        <v/>
      </c>
      <c r="BF27" s="940"/>
      <c r="BG27" s="13" t="s">
        <v>62</v>
      </c>
      <c r="BH27" s="518" t="str">
        <f>IF(AND(_AC4="B-737-800",'2023'!$M$4="FO",'2023'!$M$2=BH5),'2023DATA2'!$C$24,"")</f>
        <v/>
      </c>
      <c r="BI27" s="518" t="str">
        <f>IF(AND(_AC4="B-737-800",'2023'!$M$4="FO",'2023'!$M$2=BI5),'2023DATA2'!$D$24,"")</f>
        <v/>
      </c>
      <c r="BJ27" s="518" t="str">
        <f>IF(AND(_AC4="B-737-800",'2023'!$M$4="FO",'2023'!$M$2=BJ5),'2023DATA2'!$E$24,"")</f>
        <v/>
      </c>
      <c r="BK27" s="518" t="str">
        <f>IF(AND(_AC4="B-737-800",'2023'!$M$4="FO",'2023'!$M$2=BK5),'2023DATA2'!$F$24,"")</f>
        <v/>
      </c>
      <c r="BL27" s="518" t="str">
        <f>IF(AND(_AC4="B-737-800",'2023'!$M$4="FO",'2023'!$M$2=BL5),'2023DATA2'!$G$24,"")</f>
        <v/>
      </c>
      <c r="BM27" s="518" t="str">
        <f>IF(AND(_AC4="B-737-800",'2023'!$M$4="FO",'2023'!$M$2=BM5),'2023DATA2'!$H$24,"")</f>
        <v/>
      </c>
      <c r="BN27" s="518" t="str">
        <f>IF(AND(_AC4="B-737-800",'2023'!$M$4="FO",'2023'!$M$2=BN5),'2023DATA2'!$I$24,"")</f>
        <v/>
      </c>
      <c r="BO27" s="518" t="str">
        <f>IF(AND(_AC4="B-737-800",'2023'!$M$4="FO",'2023'!$M$2=BO5),'2023DATA2'!$J$24,"")</f>
        <v/>
      </c>
      <c r="BP27" s="518" t="str">
        <f>IF(AND(_AC4="B-737-800",'2023'!$M$4="FO",'2023'!$M$2=BP5),'2023DATA2'!$K$24,"")</f>
        <v/>
      </c>
      <c r="BQ27" s="518" t="str">
        <f>IF(AND(_AC4="B-737-800",'2023'!$M$4="FO",'2023'!$M$2=BQ5),'2023DATA2'!$L$24,"")</f>
        <v/>
      </c>
      <c r="BR27" s="518" t="str">
        <f>IF(AND(_AC4="B-737-800",'2023'!$M$4="FO",'2023'!$M$2=BR5),'2023DATA2'!$M$24,"")</f>
        <v/>
      </c>
      <c r="BS27" s="520" t="str">
        <f>IF(AND(_AC4="B-737-800",'2023'!$M$4="FO",'2023'!$M$2=BS5),'2023DATA2'!$N$24,"")</f>
        <v/>
      </c>
      <c r="BT27" s="940"/>
      <c r="BU27" s="13" t="s">
        <v>62</v>
      </c>
      <c r="BV27" s="518" t="str">
        <f>IF(AND(_AC5="B-737-800",'2023'!$M$4="FO",'2023'!$M$2=BV5),'2023DATA2'!$C$24,"")</f>
        <v/>
      </c>
      <c r="BW27" s="518" t="str">
        <f>IF(AND(_AC5="B-737-800",'2023'!$M$4="FO",'2023'!$M$2=BW5),'2023DATA2'!$D$24,"")</f>
        <v/>
      </c>
      <c r="BX27" s="518" t="str">
        <f>IF(AND(_AC5="B-737-800",'2023'!$M$4="FO",'2023'!$M$2=BX5),'2023DATA2'!$E$24,"")</f>
        <v/>
      </c>
      <c r="BY27" s="518" t="str">
        <f>IF(AND(_AC5="B-737-800",'2023'!$M$4="FO",'2023'!$M$2=BY5),'2023DATA2'!$F$24,"")</f>
        <v/>
      </c>
      <c r="BZ27" s="518" t="str">
        <f>IF(AND(_AC5="B-737-800",'2023'!$M$4="FO",'2023'!$M$2=BZ5),'2023DATA2'!$G$24,"")</f>
        <v/>
      </c>
      <c r="CA27" s="518" t="str">
        <f>IF(AND(_AC5="B-737-800",'2023'!$M$4="FO",'2023'!$M$2=CA5),'2023DATA2'!$H$24,"")</f>
        <v/>
      </c>
      <c r="CB27" s="518" t="str">
        <f>IF(AND(_AC5="B-737-800",'2023'!$M$4="FO",'2023'!$M$2=CB5),'2023DATA2'!$I$24,"")</f>
        <v/>
      </c>
      <c r="CC27" s="518" t="str">
        <f>IF(AND(_AC5="B-737-800",'2023'!$M$4="FO",'2023'!$M$2=CC5),'2023DATA2'!$J$24,"")</f>
        <v/>
      </c>
      <c r="CD27" s="518" t="str">
        <f>IF(AND(_AC5="B-737-800",'2023'!$M$4="FO",'2023'!$M$2=CD5),'2023DATA2'!$K$24,"")</f>
        <v/>
      </c>
      <c r="CE27" s="518" t="str">
        <f>IF(AND(_AC5="B-737-800",'2023'!$M$4="FO",'2023'!$M$2=CE5),'2023DATA2'!$L$24,"")</f>
        <v/>
      </c>
      <c r="CF27" s="518" t="str">
        <f>IF(AND(_AC5="B-737-800",'2023'!$M$4="FO",'2023'!$M$2=CF5),'2023DATA2'!$M$24,"")</f>
        <v/>
      </c>
      <c r="CG27" s="520" t="str">
        <f>IF(AND(_AC5="B-737-800",'2023'!$M$4="FO",'2023'!$M$2=CG5),'2023DATA2'!$N$24,"")</f>
        <v/>
      </c>
      <c r="CH27" s="940"/>
      <c r="CI27" s="13" t="s">
        <v>62</v>
      </c>
      <c r="CJ27" s="518" t="str">
        <f>IF(AND(_AC6="B-737-800",'2023'!$M$4="FO",'2023'!$M$2=CJ5),'2023DATA2'!$C$24,"")</f>
        <v/>
      </c>
      <c r="CK27" s="518" t="str">
        <f>IF(AND(_AC6="B-737-800",'2023'!$M$4="FO",'2023'!$M$2=CK5),'2023DATA2'!$D$24,"")</f>
        <v/>
      </c>
      <c r="CL27" s="518" t="str">
        <f>IF(AND(_AC6="B-737-800",'2023'!$M$4="FO",'2023'!$M$2=CL5),'2023DATA2'!$E$24,"")</f>
        <v/>
      </c>
      <c r="CM27" s="518" t="str">
        <f>IF(AND(_AC6="B-737-800",'2023'!$M$4="FO",'2023'!$M$2=CM5),'2023DATA2'!$F$24,"")</f>
        <v/>
      </c>
      <c r="CN27" s="518" t="str">
        <f>IF(AND(_AC6="B-737-800",'2023'!$M$4="FO",'2023'!$M$2=CN5),'2023DATA2'!$G$24,"")</f>
        <v/>
      </c>
      <c r="CO27" s="518" t="str">
        <f>IF(AND(_AC6="B-737-800",'2023'!$M$4="FO",'2023'!$M$2=CO5),'2023DATA2'!$H$24,"")</f>
        <v/>
      </c>
      <c r="CP27" s="518" t="str">
        <f>IF(AND(_AC6="B-737-800",'2023'!$M$4="FO",'2023'!$M$2=CP5),'2023DATA2'!$I$24,"")</f>
        <v/>
      </c>
      <c r="CQ27" s="518" t="str">
        <f>IF(AND(_AC6="B-737-800",'2023'!$M$4="FO",'2023'!$M$2=CQ5),'2023DATA2'!$J$24,"")</f>
        <v/>
      </c>
      <c r="CR27" s="518" t="str">
        <f>IF(AND(_AC6="B-737-800",'2023'!$M$4="FO",'2023'!$M$2=CR5),'2023DATA2'!$K$24,"")</f>
        <v/>
      </c>
      <c r="CS27" s="518" t="str">
        <f>IF(AND(_AC6="B-737-800",'2023'!$M$4="FO",'2023'!$M$2=CS5),'2023DATA2'!$L$24,"")</f>
        <v/>
      </c>
      <c r="CT27" s="518" t="str">
        <f>IF(AND(_AC6="B-737-800",'2023'!$M$4="FO",'2023'!$M$2=CT5),'2023DATA2'!$M$24,"")</f>
        <v/>
      </c>
      <c r="CU27" s="520" t="str">
        <f>IF(AND(_AC6="B-737-800",'2023'!$M$4="FO",'2023'!$M$2=CU5),'2023DATA2'!$N$24,"")</f>
        <v/>
      </c>
    </row>
    <row r="28" spans="1:99" x14ac:dyDescent="0.25">
      <c r="A28" s="946"/>
      <c r="B28" s="78" t="s">
        <v>62</v>
      </c>
      <c r="C28" s="291">
        <v>234.73</v>
      </c>
      <c r="D28" s="292">
        <v>232.57</v>
      </c>
      <c r="E28" s="292">
        <v>230.45</v>
      </c>
      <c r="F28" s="293">
        <v>227.36</v>
      </c>
      <c r="G28" s="294">
        <v>224.95</v>
      </c>
      <c r="H28" s="361">
        <v>219.88</v>
      </c>
      <c r="I28" s="292">
        <v>213.89</v>
      </c>
      <c r="J28" s="297">
        <v>208.58</v>
      </c>
      <c r="K28" s="298">
        <v>203.69</v>
      </c>
      <c r="L28" s="292">
        <v>198.87</v>
      </c>
      <c r="M28" s="292">
        <v>169.95</v>
      </c>
      <c r="N28" s="299">
        <v>110.52</v>
      </c>
      <c r="P28" s="940" t="s">
        <v>46</v>
      </c>
      <c r="Q28" s="13" t="s">
        <v>61</v>
      </c>
      <c r="R28" s="518" t="str">
        <f>IF(AND(_AC1="A-321N",'2023'!$M$4="CA",'2023'!$M$2=R5),'2023DATA2'!$C$25,"")</f>
        <v/>
      </c>
      <c r="S28" s="518" t="str">
        <f>IF(AND(_AC1="A-321N",'2023'!$M$4="CA",'2023'!$M$2=S5),'2023DATA2'!$D$25,"")</f>
        <v/>
      </c>
      <c r="T28" s="518" t="str">
        <f>IF(AND(_AC1="A-321N",'2023'!$M$4="CA",'2023'!$M$2=T5),'2023DATA2'!$E$25,"")</f>
        <v/>
      </c>
      <c r="U28" s="518" t="str">
        <f>IF(AND(_AC1="A-321N",'2023'!$M$4="CA",'2023'!$M$2=U5),'2023DATA2'!$F$25,"")</f>
        <v/>
      </c>
      <c r="V28" s="518" t="str">
        <f>IF(AND(_AC1="A-321N",'2023'!$M$4="CA",'2023'!$M$2=V5),'2023DATA2'!$G$25,"")</f>
        <v/>
      </c>
      <c r="W28" s="518" t="str">
        <f>IF(AND(_AC1="A-321N",'2023'!$M$4="CA",'2023'!$M$2=W5),'2023DATA2'!$H$25,"")</f>
        <v/>
      </c>
      <c r="X28" s="518" t="str">
        <f>IF(AND(_AC1="A-321N",'2023'!$M$4="CA",'2023'!$M$2=X5),'2023DATA2'!$I$25,"")</f>
        <v/>
      </c>
      <c r="Y28" s="518" t="str">
        <f>IF(AND(_AC1="A-321N",'2023'!$M$4="CA",'2023'!$M$2=Y5),'2023DATA2'!$J$25,"")</f>
        <v/>
      </c>
      <c r="Z28" s="518" t="str">
        <f>IF(AND(_AC1="A-321N",'2023'!$M$4="CA",'2023'!$M$2=Z5),'2023DATA2'!$K$25,"")</f>
        <v/>
      </c>
      <c r="AA28" s="518" t="str">
        <f>IF(AND(_AC1="A-321N",'2023'!$M$4="CA",'2023'!$M$2=AA5),'2023DATA2'!$L$25,"")</f>
        <v/>
      </c>
      <c r="AB28" s="518" t="str">
        <f>IF(AND(_AC1="A-321N",'2023'!$M$4="CA",'2023'!$M$2=AB5),'2023DATA2'!$M$25,"")</f>
        <v/>
      </c>
      <c r="AC28" s="520" t="str">
        <f>IF(AND(_AC1="A-321N",'2023'!$M$4="CA",'2023'!$M$2=AC5),'2023DATA2'!$N$25,"")</f>
        <v/>
      </c>
      <c r="AD28" s="940" t="s">
        <v>46</v>
      </c>
      <c r="AE28" s="13" t="s">
        <v>61</v>
      </c>
      <c r="AF28" s="518" t="str">
        <f>IF(AND(_AC2="A-321N",'2023'!$M$4="CA",'2023'!$M$2=AF5),'2023DATA2'!$C$25,"")</f>
        <v/>
      </c>
      <c r="AG28" s="518" t="str">
        <f>IF(AND(_AC2="A-321N",'2023'!$M$4="CA",'2023'!$M$2=AG5),'2023DATA2'!$D$25,"")</f>
        <v/>
      </c>
      <c r="AH28" s="518" t="str">
        <f>IF(AND(_AC2="A-321N",'2023'!$M$4="CA",'2023'!$M$2=AH5),'2023DATA2'!$E$25,"")</f>
        <v/>
      </c>
      <c r="AI28" s="518" t="str">
        <f>IF(AND(_AC2="A-321N",'2023'!$M$4="CA",'2023'!$M$2=AI5),'2023DATA2'!$F$25,"")</f>
        <v/>
      </c>
      <c r="AJ28" s="518" t="str">
        <f>IF(AND(_AC2="A-321N",'2023'!$M$4="CA",'2023'!$M$2=AJ5),'2023DATA2'!$G$25,"")</f>
        <v/>
      </c>
      <c r="AK28" s="518" t="str">
        <f>IF(AND(_AC2="A-321N",'2023'!$M$4="CA",'2023'!$M$2=AK5),'2023DATA2'!$H$25,"")</f>
        <v/>
      </c>
      <c r="AL28" s="518" t="str">
        <f>IF(AND(_AC2="A-321N",'2023'!$M$4="CA",'2023'!$M$2=AL5),'2023DATA2'!$I$25,"")</f>
        <v/>
      </c>
      <c r="AM28" s="518" t="str">
        <f>IF(AND(_AC2="A-321N",'2023'!$M$4="CA",'2023'!$M$2=AM5),'2023DATA2'!$J$25,"")</f>
        <v/>
      </c>
      <c r="AN28" s="518" t="str">
        <f>IF(AND(_AC2="A-321N",'2023'!$M$4="CA",'2023'!$M$2=AN5),'2023DATA2'!$K$25,"")</f>
        <v/>
      </c>
      <c r="AO28" s="518" t="str">
        <f>IF(AND(_AC2="A-321N",'2023'!$M$4="CA",'2023'!$M$2=AO5),'2023DATA2'!$L$25,"")</f>
        <v/>
      </c>
      <c r="AP28" s="518" t="str">
        <f>IF(AND(_AC2="A-321N",'2023'!$M$4="CA",'2023'!$M$2=AP5),'2023DATA2'!$M$25,"")</f>
        <v/>
      </c>
      <c r="AQ28" s="520" t="str">
        <f>IF(AND(_AC2="A-321N",'2023'!$M$4="CA",'2023'!$M$2=AQ5),'2023DATA2'!$N$25,"")</f>
        <v/>
      </c>
      <c r="AR28" s="940" t="s">
        <v>46</v>
      </c>
      <c r="AS28" s="13" t="s">
        <v>61</v>
      </c>
      <c r="AT28" s="518" t="str">
        <f>IF(AND(_AC3="A-321N",'2023'!$M$4="CA",'2023'!$M$2=AT5),'2023DATA2'!$C$25,"")</f>
        <v/>
      </c>
      <c r="AU28" s="518" t="str">
        <f>IF(AND(_AC3="A-321N",'2023'!$M$4="CA",'2023'!$M$2=AU5),'2023DATA2'!$D$25,"")</f>
        <v/>
      </c>
      <c r="AV28" s="518" t="str">
        <f>IF(AND(_AC3="A-321N",'2023'!$M$4="CA",'2023'!$M$2=AV5),'2023DATA2'!$E$25,"")</f>
        <v/>
      </c>
      <c r="AW28" s="518" t="str">
        <f>IF(AND(_AC3="A-321N",'2023'!$M$4="CA",'2023'!$M$2=AW5),'2023DATA2'!$F$25,"")</f>
        <v/>
      </c>
      <c r="AX28" s="518" t="str">
        <f>IF(AND(_AC3="A-321N",'2023'!$M$4="CA",'2023'!$M$2=AX5),'2023DATA2'!$G$25,"")</f>
        <v/>
      </c>
      <c r="AY28" s="518" t="str">
        <f>IF(AND(_AC3="A-321N",'2023'!$M$4="CA",'2023'!$M$2=AY5),'2023DATA2'!$H$25,"")</f>
        <v/>
      </c>
      <c r="AZ28" s="518" t="str">
        <f>IF(AND(_AC3="A-321N",'2023'!$M$4="CA",'2023'!$M$2=AZ5),'2023DATA2'!$I$25,"")</f>
        <v/>
      </c>
      <c r="BA28" s="518" t="str">
        <f>IF(AND(_AC3="A-321N",'2023'!$M$4="CA",'2023'!$M$2=BA5),'2023DATA2'!$J$25,"")</f>
        <v/>
      </c>
      <c r="BB28" s="518" t="str">
        <f>IF(AND(_AC3="A-321N",'2023'!$M$4="CA",'2023'!$M$2=BB5),'2023DATA2'!$K$25,"")</f>
        <v/>
      </c>
      <c r="BC28" s="518" t="str">
        <f>IF(AND(_AC3="A-321N",'2023'!$M$4="CA",'2023'!$M$2=BC5),'2023DATA2'!$L$25,"")</f>
        <v/>
      </c>
      <c r="BD28" s="518" t="str">
        <f>IF(AND(_AC3="A-321N",'2023'!$M$4="CA",'2023'!$M$2=BD5),'2023DATA2'!$M$25,"")</f>
        <v/>
      </c>
      <c r="BE28" s="520" t="str">
        <f>IF(AND(_AC3="A-321N",'2023'!$M$4="CA",'2023'!$M$2=BE5),'2023DATA2'!$N$25,"")</f>
        <v/>
      </c>
      <c r="BF28" s="940" t="s">
        <v>46</v>
      </c>
      <c r="BG28" s="13" t="s">
        <v>61</v>
      </c>
      <c r="BH28" s="518" t="str">
        <f>IF(AND(_AC4="A-321N",'2023'!$M$4="CA",'2023'!$M$2=BH5),'2023DATA2'!$C$25,"")</f>
        <v/>
      </c>
      <c r="BI28" s="518" t="str">
        <f>IF(AND(_AC4="A-321N",'2023'!$M$4="CA",'2023'!$M$2=BI5),'2023DATA2'!$D$25,"")</f>
        <v/>
      </c>
      <c r="BJ28" s="518" t="str">
        <f>IF(AND(_AC4="A-321N",'2023'!$M$4="CA",'2023'!$M$2=BJ5),'2023DATA2'!$E$25,"")</f>
        <v/>
      </c>
      <c r="BK28" s="518" t="str">
        <f>IF(AND(_AC4="A-321N",'2023'!$M$4="CA",'2023'!$M$2=BK5),'2023DATA2'!$F$25,"")</f>
        <v/>
      </c>
      <c r="BL28" s="518" t="str">
        <f>IF(AND(_AC4="A-321N",'2023'!$M$4="CA",'2023'!$M$2=BL5),'2023DATA2'!$G$25,"")</f>
        <v/>
      </c>
      <c r="BM28" s="518" t="str">
        <f>IF(AND(_AC4="A-321N",'2023'!$M$4="CA",'2023'!$M$2=BM5),'2023DATA2'!$H$25,"")</f>
        <v/>
      </c>
      <c r="BN28" s="518" t="str">
        <f>IF(AND(_AC4="A-321N",'2023'!$M$4="CA",'2023'!$M$2=BN5),'2023DATA2'!$I$25,"")</f>
        <v/>
      </c>
      <c r="BO28" s="518" t="str">
        <f>IF(AND(_AC4="A-321N",'2023'!$M$4="CA",'2023'!$M$2=BO5),'2023DATA2'!$J$25,"")</f>
        <v/>
      </c>
      <c r="BP28" s="518" t="str">
        <f>IF(AND(_AC4="A-321N",'2023'!$M$4="CA",'2023'!$M$2=BP5),'2023DATA2'!$K$25,"")</f>
        <v/>
      </c>
      <c r="BQ28" s="518" t="str">
        <f>IF(AND(_AC4="A-321N",'2023'!$M$4="CA",'2023'!$M$2=BQ5),'2023DATA2'!$L$25,"")</f>
        <v/>
      </c>
      <c r="BR28" s="518" t="str">
        <f>IF(AND(_AC4="A-321N",'2023'!$M$4="CA",'2023'!$M$2=BR5),'2023DATA2'!$M$25,"")</f>
        <v/>
      </c>
      <c r="BS28" s="520" t="str">
        <f>IF(AND(_AC4="A-321N",'2023'!$M$4="CA",'2023'!$M$2=BS5),'2023DATA2'!$N$25,"")</f>
        <v/>
      </c>
      <c r="BT28" s="940" t="s">
        <v>46</v>
      </c>
      <c r="BU28" s="13" t="s">
        <v>61</v>
      </c>
      <c r="BV28" s="518" t="str">
        <f>IF(AND(_AC5="A-321N",'2023'!$M$4="CA",'2023'!$M$2=BV5),'2023DATA2'!$C$25,"")</f>
        <v/>
      </c>
      <c r="BW28" s="518" t="str">
        <f>IF(AND(_AC5="A-321N",'2023'!$M$4="CA",'2023'!$M$2=BW5),'2023DATA2'!$D$25,"")</f>
        <v/>
      </c>
      <c r="BX28" s="518" t="str">
        <f>IF(AND(_AC5="A-321N",'2023'!$M$4="CA",'2023'!$M$2=BX5),'2023DATA2'!$E$25,"")</f>
        <v/>
      </c>
      <c r="BY28" s="518" t="str">
        <f>IF(AND(_AC5="A-321N",'2023'!$M$4="CA",'2023'!$M$2=BY5),'2023DATA2'!$F$25,"")</f>
        <v/>
      </c>
      <c r="BZ28" s="518" t="str">
        <f>IF(AND(_AC5="A-321N",'2023'!$M$4="CA",'2023'!$M$2=BZ5),'2023DATA2'!$G$25,"")</f>
        <v/>
      </c>
      <c r="CA28" s="518" t="str">
        <f>IF(AND(_AC5="A-321N",'2023'!$M$4="CA",'2023'!$M$2=CA5),'2023DATA2'!$H$25,"")</f>
        <v/>
      </c>
      <c r="CB28" s="518" t="str">
        <f>IF(AND(_AC5="A-321N",'2023'!$M$4="CA",'2023'!$M$2=CB5),'2023DATA2'!$I$25,"")</f>
        <v/>
      </c>
      <c r="CC28" s="518" t="str">
        <f>IF(AND(_AC5="A-321N",'2023'!$M$4="CA",'2023'!$M$2=CC5),'2023DATA2'!$J$25,"")</f>
        <v/>
      </c>
      <c r="CD28" s="518" t="str">
        <f>IF(AND(_AC5="A-321N",'2023'!$M$4="CA",'2023'!$M$2=CD5),'2023DATA2'!$K$25,"")</f>
        <v/>
      </c>
      <c r="CE28" s="518" t="str">
        <f>IF(AND(_AC5="A-321N",'2023'!$M$4="CA",'2023'!$M$2=CE5),'2023DATA2'!$L$25,"")</f>
        <v/>
      </c>
      <c r="CF28" s="518" t="str">
        <f>IF(AND(_AC5="A-321N",'2023'!$M$4="CA",'2023'!$M$2=CF5),'2023DATA2'!$M$25,"")</f>
        <v/>
      </c>
      <c r="CG28" s="520" t="str">
        <f>IF(AND(_AC5="A-321N",'2023'!$M$4="CA",'2023'!$M$2=CG5),'2023DATA2'!$N$25,"")</f>
        <v/>
      </c>
      <c r="CH28" s="940" t="s">
        <v>46</v>
      </c>
      <c r="CI28" s="13" t="s">
        <v>61</v>
      </c>
      <c r="CJ28" s="518" t="str">
        <f>IF(AND(_AC6="A-321N",'2023'!$M$4="CA",'2023'!$M$2=CJ5),'2023DATA2'!$C$25,"")</f>
        <v/>
      </c>
      <c r="CK28" s="518" t="str">
        <f>IF(AND(_AC6="A-321N",'2023'!$M$4="CA",'2023'!$M$2=CK5),'2023DATA2'!$D$25,"")</f>
        <v/>
      </c>
      <c r="CL28" s="518" t="str">
        <f>IF(AND(_AC6="A-321N",'2023'!$M$4="CA",'2023'!$M$2=CL5),'2023DATA2'!$E$25,"")</f>
        <v/>
      </c>
      <c r="CM28" s="518" t="str">
        <f>IF(AND(_AC6="A-321N",'2023'!$M$4="CA",'2023'!$M$2=CM5),'2023DATA2'!$F$25,"")</f>
        <v/>
      </c>
      <c r="CN28" s="518" t="str">
        <f>IF(AND(_AC6="A-321N",'2023'!$M$4="CA",'2023'!$M$2=CN5),'2023DATA2'!$G$25,"")</f>
        <v/>
      </c>
      <c r="CO28" s="518" t="str">
        <f>IF(AND(_AC6="A-321N",'2023'!$M$4="CA",'2023'!$M$2=CO5),'2023DATA2'!$H$25,"")</f>
        <v/>
      </c>
      <c r="CP28" s="518" t="str">
        <f>IF(AND(_AC6="A-321N",'2023'!$M$4="CA",'2023'!$M$2=CP5),'2023DATA2'!$I$25,"")</f>
        <v/>
      </c>
      <c r="CQ28" s="518" t="str">
        <f>IF(AND(_AC6="A-321N",'2023'!$M$4="CA",'2023'!$M$2=CQ5),'2023DATA2'!$J$25,"")</f>
        <v/>
      </c>
      <c r="CR28" s="518" t="str">
        <f>IF(AND(_AC6="A-321N",'2023'!$M$4="CA",'2023'!$M$2=CR5),'2023DATA2'!$K$25,"")</f>
        <v/>
      </c>
      <c r="CS28" s="518" t="str">
        <f>IF(AND(_AC6="A-321N",'2023'!$M$4="CA",'2023'!$M$2=CS5),'2023DATA2'!$L$25,"")</f>
        <v/>
      </c>
      <c r="CT28" s="518" t="str">
        <f>IF(AND(_AC6="A-321N",'2023'!$M$4="CA",'2023'!$M$2=CT5),'2023DATA2'!$M$25,"")</f>
        <v/>
      </c>
      <c r="CU28" s="520" t="str">
        <f>IF(AND(_AC6="A-321N",'2023'!$M$4="CA",'2023'!$M$2=CU5),'2023DATA2'!$N$25,"")</f>
        <v/>
      </c>
    </row>
    <row r="29" spans="1:99" x14ac:dyDescent="0.25">
      <c r="A29" s="946" t="s">
        <v>70</v>
      </c>
      <c r="B29" s="78" t="s">
        <v>61</v>
      </c>
      <c r="C29" s="140">
        <v>341.87</v>
      </c>
      <c r="D29" s="141">
        <v>339.36</v>
      </c>
      <c r="E29" s="142">
        <v>336.77</v>
      </c>
      <c r="F29" s="143">
        <v>334.24</v>
      </c>
      <c r="G29" s="144">
        <v>331.65</v>
      </c>
      <c r="H29" s="145">
        <v>329.08</v>
      </c>
      <c r="I29" s="144">
        <v>326.54000000000002</v>
      </c>
      <c r="J29" s="145">
        <v>323.99</v>
      </c>
      <c r="K29" s="143">
        <v>321.39999999999998</v>
      </c>
      <c r="L29" s="144">
        <v>318.81</v>
      </c>
      <c r="M29" s="145">
        <v>316.33</v>
      </c>
      <c r="N29" s="146">
        <v>313.88</v>
      </c>
      <c r="P29" s="940"/>
      <c r="Q29" s="13" t="s">
        <v>62</v>
      </c>
      <c r="R29" s="518" t="str">
        <f>IF(AND(_AC1="A-321N",'2023'!$M$4="FO",'2023'!$M$2=R5),'2023DATA2'!$C$26,"")</f>
        <v/>
      </c>
      <c r="S29" s="518" t="str">
        <f>IF(AND(_AC1="A-321N",'2023'!$M$4="FO",'2023'!$M$2=S5),'2023DATA2'!$D$26,"")</f>
        <v/>
      </c>
      <c r="T29" s="518" t="str">
        <f>IF(AND(_AC1="A-321N",'2023'!$M$4="FO",'2023'!$M$2=T5),'2023DATA2'!$E$26,"")</f>
        <v/>
      </c>
      <c r="U29" s="518" t="str">
        <f>IF(AND(_AC1="A-321N",'2023'!$M$4="FO",'2023'!$M$2=U5),'2023DATA2'!$F$26,"")</f>
        <v/>
      </c>
      <c r="V29" s="518" t="str">
        <f>IF(AND(_AC1="A-321N",'2023'!$M$4="FO",'2023'!$M$2=V5),'2023DATA2'!$G$26,"")</f>
        <v/>
      </c>
      <c r="W29" s="518" t="str">
        <f>IF(AND(_AC1="A-321N",'2023'!$M$4="FO",'2023'!$M$2=W5),'2023DATA2'!$H$26,"")</f>
        <v/>
      </c>
      <c r="X29" s="518" t="str">
        <f>IF(AND(_AC1="A-321N",'2023'!$M$4="FO",'2023'!$M$2=X5),'2023DATA2'!$I$26,"")</f>
        <v/>
      </c>
      <c r="Y29" s="518" t="str">
        <f>IF(AND(_AC1="A-321N",'2023'!$M$4="FO",'2023'!$M$2=Y5),'2023DATA2'!$J$26,"")</f>
        <v/>
      </c>
      <c r="Z29" s="518" t="str">
        <f>IF(AND(_AC1="A-321N",'2023'!$M$4="FO",'2023'!$M$2=Z5),'2023DATA2'!$K$26,"")</f>
        <v/>
      </c>
      <c r="AA29" s="518" t="str">
        <f>IF(AND(_AC1="A-321N",'2023'!$M$4="FO",'2023'!$M$2=AA5),'2023DATA2'!$L$26,"")</f>
        <v/>
      </c>
      <c r="AB29" s="518" t="str">
        <f>IF(AND(_AC1="A-321N",'2023'!$M$4="FO",'2023'!$M$2=AB5),'2023DATA2'!$M$26,"")</f>
        <v/>
      </c>
      <c r="AC29" s="520" t="str">
        <f>IF(AND(_AC1="A-321N",'2023'!$M$4="FO",'2023'!$M$2=AC5),'2023DATA2'!$N$26,"")</f>
        <v/>
      </c>
      <c r="AD29" s="940"/>
      <c r="AE29" s="13" t="s">
        <v>62</v>
      </c>
      <c r="AF29" s="518" t="str">
        <f>IF(AND(_AC2="A-321N",'2023'!$M$4="FO",'2023'!$M$2=AF5),'2023DATA2'!$C$26,"")</f>
        <v/>
      </c>
      <c r="AG29" s="518" t="str">
        <f>IF(AND(_AC2="A-321N",'2023'!$M$4="FO",'2023'!$M$2=AG5),'2023DATA2'!$D$26,"")</f>
        <v/>
      </c>
      <c r="AH29" s="518" t="str">
        <f>IF(AND(_AC2="A-321N",'2023'!$M$4="FO",'2023'!$M$2=AH5),'2023DATA2'!$E$26,"")</f>
        <v/>
      </c>
      <c r="AI29" s="518" t="str">
        <f>IF(AND(_AC2="A-321N",'2023'!$M$4="FO",'2023'!$M$2=AI5),'2023DATA2'!$F$26,"")</f>
        <v/>
      </c>
      <c r="AJ29" s="518" t="str">
        <f>IF(AND(_AC2="A-321N",'2023'!$M$4="FO",'2023'!$M$2=AJ5),'2023DATA2'!$G$26,"")</f>
        <v/>
      </c>
      <c r="AK29" s="518" t="str">
        <f>IF(AND(_AC2="A-321N",'2023'!$M$4="FO",'2023'!$M$2=AK5),'2023DATA2'!$H$26,"")</f>
        <v/>
      </c>
      <c r="AL29" s="518" t="str">
        <f>IF(AND(_AC2="A-321N",'2023'!$M$4="FO",'2023'!$M$2=AL5),'2023DATA2'!$I$26,"")</f>
        <v/>
      </c>
      <c r="AM29" s="518" t="str">
        <f>IF(AND(_AC2="A-321N",'2023'!$M$4="FO",'2023'!$M$2=AM5),'2023DATA2'!$J$26,"")</f>
        <v/>
      </c>
      <c r="AN29" s="518" t="str">
        <f>IF(AND(_AC2="A-321N",'2023'!$M$4="FO",'2023'!$M$2=AN5),'2023DATA2'!$K$26,"")</f>
        <v/>
      </c>
      <c r="AO29" s="518" t="str">
        <f>IF(AND(_AC2="A-321N",'2023'!$M$4="FO",'2023'!$M$2=AO5),'2023DATA2'!$L$26,"")</f>
        <v/>
      </c>
      <c r="AP29" s="518" t="str">
        <f>IF(AND(_AC2="A-321N",'2023'!$M$4="FO",'2023'!$M$2=AP5),'2023DATA2'!$M$26,"")</f>
        <v/>
      </c>
      <c r="AQ29" s="520" t="str">
        <f>IF(AND(_AC2="A-321N",'2023'!$M$4="FO",'2023'!$M$2=AQ5),'2023DATA2'!$N$26,"")</f>
        <v/>
      </c>
      <c r="AR29" s="940"/>
      <c r="AS29" s="13" t="s">
        <v>62</v>
      </c>
      <c r="AT29" s="518" t="str">
        <f>IF(AND(_AC3="A-321N",'2023'!$M$4="FO",'2023'!$M$2=AT5),'2023DATA2'!$C$26,"")</f>
        <v/>
      </c>
      <c r="AU29" s="518" t="str">
        <f>IF(AND(_AC3="A-321N",'2023'!$M$4="FO",'2023'!$M$2=AU5),'2023DATA2'!$D$26,"")</f>
        <v/>
      </c>
      <c r="AV29" s="518" t="str">
        <f>IF(AND(_AC3="A-321N",'2023'!$M$4="FO",'2023'!$M$2=AV5),'2023DATA2'!$E$26,"")</f>
        <v/>
      </c>
      <c r="AW29" s="518" t="str">
        <f>IF(AND(_AC3="A-321N",'2023'!$M$4="FO",'2023'!$M$2=AW5),'2023DATA2'!$F$26,"")</f>
        <v/>
      </c>
      <c r="AX29" s="518" t="str">
        <f>IF(AND(_AC3="A-321N",'2023'!$M$4="FO",'2023'!$M$2=AX5),'2023DATA2'!$G$26,"")</f>
        <v/>
      </c>
      <c r="AY29" s="518" t="str">
        <f>IF(AND(_AC3="A-321N",'2023'!$M$4="FO",'2023'!$M$2=AY5),'2023DATA2'!$H$26,"")</f>
        <v/>
      </c>
      <c r="AZ29" s="518" t="str">
        <f>IF(AND(_AC3="A-321N",'2023'!$M$4="FO",'2023'!$M$2=AZ5),'2023DATA2'!$I$26,"")</f>
        <v/>
      </c>
      <c r="BA29" s="518" t="str">
        <f>IF(AND(_AC3="A-321N",'2023'!$M$4="FO",'2023'!$M$2=BA5),'2023DATA2'!$J$26,"")</f>
        <v/>
      </c>
      <c r="BB29" s="518" t="str">
        <f>IF(AND(_AC3="A-321N",'2023'!$M$4="FO",'2023'!$M$2=BB5),'2023DATA2'!$K$26,"")</f>
        <v/>
      </c>
      <c r="BC29" s="518" t="str">
        <f>IF(AND(_AC3="A-321N",'2023'!$M$4="FO",'2023'!$M$2=BC5),'2023DATA2'!$L$26,"")</f>
        <v/>
      </c>
      <c r="BD29" s="518" t="str">
        <f>IF(AND(_AC3="A-321N",'2023'!$M$4="FO",'2023'!$M$2=BD5),'2023DATA2'!$M$26,"")</f>
        <v/>
      </c>
      <c r="BE29" s="520" t="str">
        <f>IF(AND(_AC3="A-321N",'2023'!$M$4="FO",'2023'!$M$2=BE5),'2023DATA2'!$N$26,"")</f>
        <v/>
      </c>
      <c r="BF29" s="940"/>
      <c r="BG29" s="13" t="s">
        <v>62</v>
      </c>
      <c r="BH29" s="518" t="str">
        <f>IF(AND(_AC4="A-321N",'2023'!$M$4="FO",'2023'!$M$2=BH5),'2023DATA2'!$C$26,"")</f>
        <v/>
      </c>
      <c r="BI29" s="518" t="str">
        <f>IF(AND(_AC4="A-321N",'2023'!$M$4="FO",'2023'!$M$2=BI5),'2023DATA2'!$D$26,"")</f>
        <v/>
      </c>
      <c r="BJ29" s="518" t="str">
        <f>IF(AND(_AC4="A-321N",'2023'!$M$4="FO",'2023'!$M$2=BJ5),'2023DATA2'!$E$26,"")</f>
        <v/>
      </c>
      <c r="BK29" s="518" t="str">
        <f>IF(AND(_AC4="A-321N",'2023'!$M$4="FO",'2023'!$M$2=BK5),'2023DATA2'!$F$26,"")</f>
        <v/>
      </c>
      <c r="BL29" s="518" t="str">
        <f>IF(AND(_AC4="A-321N",'2023'!$M$4="FO",'2023'!$M$2=BL5),'2023DATA2'!$G$26,"")</f>
        <v/>
      </c>
      <c r="BM29" s="518" t="str">
        <f>IF(AND(_AC4="A-321N",'2023'!$M$4="FO",'2023'!$M$2=BM5),'2023DATA2'!$H$26,"")</f>
        <v/>
      </c>
      <c r="BN29" s="518" t="str">
        <f>IF(AND(_AC4="A-321N",'2023'!$M$4="FO",'2023'!$M$2=BN5),'2023DATA2'!$I$26,"")</f>
        <v/>
      </c>
      <c r="BO29" s="518" t="str">
        <f>IF(AND(_AC4="A-321N",'2023'!$M$4="FO",'2023'!$M$2=BO5),'2023DATA2'!$J$26,"")</f>
        <v/>
      </c>
      <c r="BP29" s="518" t="str">
        <f>IF(AND(_AC4="A-321N",'2023'!$M$4="FO",'2023'!$M$2=BP5),'2023DATA2'!$K$26,"")</f>
        <v/>
      </c>
      <c r="BQ29" s="518" t="str">
        <f>IF(AND(_AC4="A-321N",'2023'!$M$4="FO",'2023'!$M$2=BQ5),'2023DATA2'!$L$26,"")</f>
        <v/>
      </c>
      <c r="BR29" s="518" t="str">
        <f>IF(AND(_AC4="A-321N",'2023'!$M$4="FO",'2023'!$M$2=BR5),'2023DATA2'!$M$26,"")</f>
        <v/>
      </c>
      <c r="BS29" s="520" t="str">
        <f>IF(AND(_AC4="A-321N",'2023'!$M$4="FO",'2023'!$M$2=BS5),'2023DATA2'!$N$26,"")</f>
        <v/>
      </c>
      <c r="BT29" s="940"/>
      <c r="BU29" s="13" t="s">
        <v>62</v>
      </c>
      <c r="BV29" s="518" t="str">
        <f>IF(AND(_AC5="A-321N",'2023'!$M$4="FO",'2023'!$M$2=BV5),'2023DATA2'!$C$26,"")</f>
        <v/>
      </c>
      <c r="BW29" s="518" t="str">
        <f>IF(AND(_AC5="A-321N",'2023'!$M$4="FO",'2023'!$M$2=BW5),'2023DATA2'!$D$26,"")</f>
        <v/>
      </c>
      <c r="BX29" s="518" t="str">
        <f>IF(AND(_AC5="A-321N",'2023'!$M$4="FO",'2023'!$M$2=BX5),'2023DATA2'!$E$26,"")</f>
        <v/>
      </c>
      <c r="BY29" s="518" t="str">
        <f>IF(AND(_AC5="A-321N",'2023'!$M$4="FO",'2023'!$M$2=BY5),'2023DATA2'!$F$26,"")</f>
        <v/>
      </c>
      <c r="BZ29" s="518" t="str">
        <f>IF(AND(_AC5="A-321N",'2023'!$M$4="FO",'2023'!$M$2=BZ5),'2023DATA2'!$G$26,"")</f>
        <v/>
      </c>
      <c r="CA29" s="518" t="str">
        <f>IF(AND(_AC5="A-321N",'2023'!$M$4="FO",'2023'!$M$2=CA5),'2023DATA2'!$H$26,"")</f>
        <v/>
      </c>
      <c r="CB29" s="518" t="str">
        <f>IF(AND(_AC5="A-321N",'2023'!$M$4="FO",'2023'!$M$2=CB5),'2023DATA2'!$I$26,"")</f>
        <v/>
      </c>
      <c r="CC29" s="518" t="str">
        <f>IF(AND(_AC5="A-321N",'2023'!$M$4="FO",'2023'!$M$2=CC5),'2023DATA2'!$J$26,"")</f>
        <v/>
      </c>
      <c r="CD29" s="518" t="str">
        <f>IF(AND(_AC5="A-321N",'2023'!$M$4="FO",'2023'!$M$2=CD5),'2023DATA2'!$K$26,"")</f>
        <v/>
      </c>
      <c r="CE29" s="518" t="str">
        <f>IF(AND(_AC5="A-321N",'2023'!$M$4="FO",'2023'!$M$2=CE5),'2023DATA2'!$L$26,"")</f>
        <v/>
      </c>
      <c r="CF29" s="518" t="str">
        <f>IF(AND(_AC5="A-321N",'2023'!$M$4="FO",'2023'!$M$2=CF5),'2023DATA2'!$M$26,"")</f>
        <v/>
      </c>
      <c r="CG29" s="520" t="str">
        <f>IF(AND(_AC5="A-321N",'2023'!$M$4="FO",'2023'!$M$2=CG5),'2023DATA2'!$N$26,"")</f>
        <v/>
      </c>
      <c r="CH29" s="940"/>
      <c r="CI29" s="13" t="s">
        <v>62</v>
      </c>
      <c r="CJ29" s="518" t="str">
        <f>IF(AND(_AC6="A-321N",'2023'!$M$4="FO",'2023'!$M$2=CJ5),'2023DATA2'!$C$26,"")</f>
        <v/>
      </c>
      <c r="CK29" s="518" t="str">
        <f>IF(AND(_AC6="A-321N",'2023'!$M$4="FO",'2023'!$M$2=CK5),'2023DATA2'!$D$26,"")</f>
        <v/>
      </c>
      <c r="CL29" s="518" t="str">
        <f>IF(AND(_AC6="A-321N",'2023'!$M$4="FO",'2023'!$M$2=CL5),'2023DATA2'!$E$26,"")</f>
        <v/>
      </c>
      <c r="CM29" s="518" t="str">
        <f>IF(AND(_AC6="A-321N",'2023'!$M$4="FO",'2023'!$M$2=CM5),'2023DATA2'!$F$26,"")</f>
        <v/>
      </c>
      <c r="CN29" s="518" t="str">
        <f>IF(AND(_AC6="A-321N",'2023'!$M$4="FO",'2023'!$M$2=CN5),'2023DATA2'!$G$26,"")</f>
        <v/>
      </c>
      <c r="CO29" s="518" t="str">
        <f>IF(AND(_AC6="A-321N",'2023'!$M$4="FO",'2023'!$M$2=CO5),'2023DATA2'!$H$26,"")</f>
        <v/>
      </c>
      <c r="CP29" s="518" t="str">
        <f>IF(AND(_AC6="A-321N",'2023'!$M$4="FO",'2023'!$M$2=CP5),'2023DATA2'!$I$26,"")</f>
        <v/>
      </c>
      <c r="CQ29" s="518" t="str">
        <f>IF(AND(_AC6="A-321N",'2023'!$M$4="FO",'2023'!$M$2=CQ5),'2023DATA2'!$J$26,"")</f>
        <v/>
      </c>
      <c r="CR29" s="518" t="str">
        <f>IF(AND(_AC6="A-321N",'2023'!$M$4="FO",'2023'!$M$2=CR5),'2023DATA2'!$K$26,"")</f>
        <v/>
      </c>
      <c r="CS29" s="518" t="str">
        <f>IF(AND(_AC6="A-321N",'2023'!$M$4="FO",'2023'!$M$2=CS5),'2023DATA2'!$L$26,"")</f>
        <v/>
      </c>
      <c r="CT29" s="518" t="str">
        <f>IF(AND(_AC6="A-321N",'2023'!$M$4="FO",'2023'!$M$2=CT5),'2023DATA2'!$M$26,"")</f>
        <v/>
      </c>
      <c r="CU29" s="520" t="str">
        <f>IF(AND(_AC6="A-321N",'2023'!$M$4="FO",'2023'!$M$2=CU5),'2023DATA2'!$N$26,"")</f>
        <v/>
      </c>
    </row>
    <row r="30" spans="1:99" x14ac:dyDescent="0.25">
      <c r="A30" s="946"/>
      <c r="B30" s="78" t="s">
        <v>62</v>
      </c>
      <c r="C30" s="258">
        <v>233.5</v>
      </c>
      <c r="D30" s="259">
        <v>231.43</v>
      </c>
      <c r="E30" s="259">
        <v>229.32</v>
      </c>
      <c r="F30" s="260">
        <v>226.26</v>
      </c>
      <c r="G30" s="261">
        <v>223.88</v>
      </c>
      <c r="H30" s="353">
        <v>218.82</v>
      </c>
      <c r="I30" s="259">
        <v>212.88</v>
      </c>
      <c r="J30" s="264">
        <v>207.69</v>
      </c>
      <c r="K30" s="265">
        <v>202.81</v>
      </c>
      <c r="L30" s="259">
        <v>197.99</v>
      </c>
      <c r="M30" s="259">
        <v>169.25</v>
      </c>
      <c r="N30" s="266">
        <v>110.52</v>
      </c>
      <c r="P30" s="940" t="s">
        <v>48</v>
      </c>
      <c r="Q30" s="13" t="s">
        <v>61</v>
      </c>
      <c r="R30" s="518" t="str">
        <f>IF(AND(_AC1="A-321",'2023'!$M$4="CA",'2023'!$M$2=R5),'2023DATA2'!$C$27,"")</f>
        <v/>
      </c>
      <c r="S30" s="518" t="str">
        <f>IF(AND(_AC1="A-321",'2023'!$M$4="CA",'2023'!$M$2=S5),'2023DATA2'!$D$27,"")</f>
        <v/>
      </c>
      <c r="T30" s="518" t="str">
        <f>IF(AND(_AC1="A-321",'2023'!$M$4="CA",'2023'!$M$2=T5),'2023DATA2'!$E$27,"")</f>
        <v/>
      </c>
      <c r="U30" s="518" t="str">
        <f>IF(AND(_AC1="A-321",'2023'!$M$4="CA",'2023'!$M$2=U5),'2023DATA2'!$F$27,"")</f>
        <v/>
      </c>
      <c r="V30" s="518" t="str">
        <f>IF(AND(_AC1="A-321",'2023'!$M$4="CA",'2023'!$M$2=V5),'2023DATA2'!$G$27,"")</f>
        <v/>
      </c>
      <c r="W30" s="518" t="str">
        <f>IF(AND(_AC1="A-321",'2023'!$M$4="CA",'2023'!$M$2=W5),'2023DATA2'!$H$27,"")</f>
        <v/>
      </c>
      <c r="X30" s="518" t="str">
        <f>IF(AND(_AC1="A-321",'2023'!$M$4="CA",'2023'!$M$2=X5),'2023DATA2'!$I$27,"")</f>
        <v/>
      </c>
      <c r="Y30" s="518" t="str">
        <f>IF(AND(_AC1="A-321",'2023'!$M$4="CA",'2023'!$M$2=Y5),'2023DATA2'!$J$27,"")</f>
        <v/>
      </c>
      <c r="Z30" s="518" t="str">
        <f>IF(AND(_AC1="A-321",'2023'!$M$4="CA",'2023'!$M$2=Z5),'2023DATA2'!$K$27,"")</f>
        <v/>
      </c>
      <c r="AA30" s="518" t="str">
        <f>IF(AND(_AC1="A-321",'2023'!$M$4="CA",'2023'!$M$2=AA5),'2023DATA2'!$L$27,"")</f>
        <v/>
      </c>
      <c r="AB30" s="518" t="str">
        <f>IF(AND(_AC1="A-321",'2023'!$M$4="CA",'2023'!$M$2=AB5),'2023DATA2'!$M$27,"")</f>
        <v/>
      </c>
      <c r="AC30" s="520" t="str">
        <f>IF(AND(_AC1="A-321",'2023'!$M$4="CA",'2023'!$M$2=AC5),'2023DATA2'!$N$27,"")</f>
        <v/>
      </c>
      <c r="AD30" s="940" t="s">
        <v>48</v>
      </c>
      <c r="AE30" s="13" t="s">
        <v>61</v>
      </c>
      <c r="AF30" s="518" t="str">
        <f>IF(AND(_AC2="A-321",'2023'!$M$4="CA",'2023'!$M$2=AF5),'2023DATA2'!$C$27,"")</f>
        <v/>
      </c>
      <c r="AG30" s="518" t="str">
        <f>IF(AND(_AC2="A-321",'2023'!$M$4="CA",'2023'!$M$2=AG5),'2023DATA2'!$D$27,"")</f>
        <v/>
      </c>
      <c r="AH30" s="518" t="str">
        <f>IF(AND(_AC2="A-321",'2023'!$M$4="CA",'2023'!$M$2=AH5),'2023DATA2'!$E$27,"")</f>
        <v/>
      </c>
      <c r="AI30" s="518" t="str">
        <f>IF(AND(_AC2="A-321",'2023'!$M$4="CA",'2023'!$M$2=AI5),'2023DATA2'!$F$27,"")</f>
        <v/>
      </c>
      <c r="AJ30" s="518" t="str">
        <f>IF(AND(_AC2="A-321",'2023'!$M$4="CA",'2023'!$M$2=AJ5),'2023DATA2'!$G$27,"")</f>
        <v/>
      </c>
      <c r="AK30" s="518" t="str">
        <f>IF(AND(_AC2="A-321",'2023'!$M$4="CA",'2023'!$M$2=AK5),'2023DATA2'!$H$27,"")</f>
        <v/>
      </c>
      <c r="AL30" s="518" t="str">
        <f>IF(AND(_AC2="A-321",'2023'!$M$4="CA",'2023'!$M$2=AL5),'2023DATA2'!$I$27,"")</f>
        <v/>
      </c>
      <c r="AM30" s="518" t="str">
        <f>IF(AND(_AC2="A-321",'2023'!$M$4="CA",'2023'!$M$2=AM5),'2023DATA2'!$J$27,"")</f>
        <v/>
      </c>
      <c r="AN30" s="518" t="str">
        <f>IF(AND(_AC2="A-321",'2023'!$M$4="CA",'2023'!$M$2=AN5),'2023DATA2'!$K$27,"")</f>
        <v/>
      </c>
      <c r="AO30" s="518" t="str">
        <f>IF(AND(_AC2="A-321",'2023'!$M$4="CA",'2023'!$M$2=AO5),'2023DATA2'!$L$27,"")</f>
        <v/>
      </c>
      <c r="AP30" s="518" t="str">
        <f>IF(AND(_AC2="A-321",'2023'!$M$4="CA",'2023'!$M$2=AP5),'2023DATA2'!$M$27,"")</f>
        <v/>
      </c>
      <c r="AQ30" s="520" t="str">
        <f>IF(AND(_AC2="A-321",'2023'!$M$4="CA",'2023'!$M$2=AQ5),'2023DATA2'!$N$27,"")</f>
        <v/>
      </c>
      <c r="AR30" s="940" t="s">
        <v>48</v>
      </c>
      <c r="AS30" s="13" t="s">
        <v>61</v>
      </c>
      <c r="AT30" s="518" t="str">
        <f>IF(AND(_AC3="A-321",'2023'!$M$4="CA",'2023'!$M$2=AT5),'2023DATA2'!$C$27,"")</f>
        <v/>
      </c>
      <c r="AU30" s="518" t="str">
        <f>IF(AND(_AC3="A-321",'2023'!$M$4="CA",'2023'!$M$2=AU5),'2023DATA2'!$D$27,"")</f>
        <v/>
      </c>
      <c r="AV30" s="518" t="str">
        <f>IF(AND(_AC3="A-321",'2023'!$M$4="CA",'2023'!$M$2=AV5),'2023DATA2'!$E$27,"")</f>
        <v/>
      </c>
      <c r="AW30" s="518" t="str">
        <f>IF(AND(_AC3="A-321",'2023'!$M$4="CA",'2023'!$M$2=AW5),'2023DATA2'!$F$27,"")</f>
        <v/>
      </c>
      <c r="AX30" s="518" t="str">
        <f>IF(AND(_AC3="A-321",'2023'!$M$4="CA",'2023'!$M$2=AX5),'2023DATA2'!$G$27,"")</f>
        <v/>
      </c>
      <c r="AY30" s="518" t="str">
        <f>IF(AND(_AC3="A-321",'2023'!$M$4="CA",'2023'!$M$2=AY5),'2023DATA2'!$H$27,"")</f>
        <v/>
      </c>
      <c r="AZ30" s="518" t="str">
        <f>IF(AND(_AC3="A-321",'2023'!$M$4="CA",'2023'!$M$2=AZ5),'2023DATA2'!$I$27,"")</f>
        <v/>
      </c>
      <c r="BA30" s="518" t="str">
        <f>IF(AND(_AC3="A-321",'2023'!$M$4="CA",'2023'!$M$2=BA5),'2023DATA2'!$J$27,"")</f>
        <v/>
      </c>
      <c r="BB30" s="518" t="str">
        <f>IF(AND(_AC3="A-321",'2023'!$M$4="CA",'2023'!$M$2=BB5),'2023DATA2'!$K$27,"")</f>
        <v/>
      </c>
      <c r="BC30" s="518" t="str">
        <f>IF(AND(_AC3="A-321",'2023'!$M$4="CA",'2023'!$M$2=BC5),'2023DATA2'!$L$27,"")</f>
        <v/>
      </c>
      <c r="BD30" s="518" t="str">
        <f>IF(AND(_AC3="A-321",'2023'!$M$4="CA",'2023'!$M$2=BD5),'2023DATA2'!$M$27,"")</f>
        <v/>
      </c>
      <c r="BE30" s="520" t="str">
        <f>IF(AND(_AC3="A-321",'2023'!$M$4="CA",'2023'!$M$2=BE5),'2023DATA2'!$N$27,"")</f>
        <v/>
      </c>
      <c r="BF30" s="940" t="s">
        <v>48</v>
      </c>
      <c r="BG30" s="13" t="s">
        <v>61</v>
      </c>
      <c r="BH30" s="518" t="str">
        <f>IF(AND(_AC4="A-321",'2023'!$M$4="CA",'2023'!$M$2=BH5),'2023DATA2'!$C$27,"")</f>
        <v/>
      </c>
      <c r="BI30" s="518" t="str">
        <f>IF(AND(_AC4="A-321",'2023'!$M$4="CA",'2023'!$M$2=BI5),'2023DATA2'!$D$27,"")</f>
        <v/>
      </c>
      <c r="BJ30" s="518" t="str">
        <f>IF(AND(_AC4="A-321",'2023'!$M$4="CA",'2023'!$M$2=BJ5),'2023DATA2'!$E$27,"")</f>
        <v/>
      </c>
      <c r="BK30" s="518" t="str">
        <f>IF(AND(_AC4="A-321",'2023'!$M$4="CA",'2023'!$M$2=BK5),'2023DATA2'!$F$27,"")</f>
        <v/>
      </c>
      <c r="BL30" s="518" t="str">
        <f>IF(AND(_AC4="A-321",'2023'!$M$4="CA",'2023'!$M$2=BL5),'2023DATA2'!$G$27,"")</f>
        <v/>
      </c>
      <c r="BM30" s="518" t="str">
        <f>IF(AND(_AC4="A-321",'2023'!$M$4="CA",'2023'!$M$2=BM5),'2023DATA2'!$H$27,"")</f>
        <v/>
      </c>
      <c r="BN30" s="518" t="str">
        <f>IF(AND(_AC4="A-321",'2023'!$M$4="CA",'2023'!$M$2=BN5),'2023DATA2'!$I$27,"")</f>
        <v/>
      </c>
      <c r="BO30" s="518" t="str">
        <f>IF(AND(_AC4="A-321",'2023'!$M$4="CA",'2023'!$M$2=BO5),'2023DATA2'!$J$27,"")</f>
        <v/>
      </c>
      <c r="BP30" s="518" t="str">
        <f>IF(AND(_AC4="A-321",'2023'!$M$4="CA",'2023'!$M$2=BP5),'2023DATA2'!$K$27,"")</f>
        <v/>
      </c>
      <c r="BQ30" s="518" t="str">
        <f>IF(AND(_AC4="A-321",'2023'!$M$4="CA",'2023'!$M$2=BQ5),'2023DATA2'!$L$27,"")</f>
        <v/>
      </c>
      <c r="BR30" s="518" t="str">
        <f>IF(AND(_AC4="A-321",'2023'!$M$4="CA",'2023'!$M$2=BR5),'2023DATA2'!$M$27,"")</f>
        <v/>
      </c>
      <c r="BS30" s="520" t="str">
        <f>IF(AND(_AC4="A-321",'2023'!$M$4="CA",'2023'!$M$2=BS5),'2023DATA2'!$N$27,"")</f>
        <v/>
      </c>
      <c r="BT30" s="940" t="s">
        <v>48</v>
      </c>
      <c r="BU30" s="13" t="s">
        <v>61</v>
      </c>
      <c r="BV30" s="518" t="str">
        <f>IF(AND(_AC5="A-321",'2023'!$M$4="CA",'2023'!$M$2=BV5),'2023DATA2'!$C$27,"")</f>
        <v/>
      </c>
      <c r="BW30" s="518" t="str">
        <f>IF(AND(_AC5="A-321",'2023'!$M$4="CA",'2023'!$M$2=BW5),'2023DATA2'!$D$27,"")</f>
        <v/>
      </c>
      <c r="BX30" s="518" t="str">
        <f>IF(AND(_AC5="A-321",'2023'!$M$4="CA",'2023'!$M$2=BX5),'2023DATA2'!$E$27,"")</f>
        <v/>
      </c>
      <c r="BY30" s="518" t="str">
        <f>IF(AND(_AC5="A-321",'2023'!$M$4="CA",'2023'!$M$2=BY5),'2023DATA2'!$F$27,"")</f>
        <v/>
      </c>
      <c r="BZ30" s="518" t="str">
        <f>IF(AND(_AC5="A-321",'2023'!$M$4="CA",'2023'!$M$2=BZ5),'2023DATA2'!$G$27,"")</f>
        <v/>
      </c>
      <c r="CA30" s="518" t="str">
        <f>IF(AND(_AC5="A-321",'2023'!$M$4="CA",'2023'!$M$2=CA5),'2023DATA2'!$H$27,"")</f>
        <v/>
      </c>
      <c r="CB30" s="518" t="str">
        <f>IF(AND(_AC5="A-321",'2023'!$M$4="CA",'2023'!$M$2=CB5),'2023DATA2'!$I$27,"")</f>
        <v/>
      </c>
      <c r="CC30" s="518" t="str">
        <f>IF(AND(_AC5="A-321",'2023'!$M$4="CA",'2023'!$M$2=CC5),'2023DATA2'!$J$27,"")</f>
        <v/>
      </c>
      <c r="CD30" s="518" t="str">
        <f>IF(AND(_AC5="A-321",'2023'!$M$4="CA",'2023'!$M$2=CD5),'2023DATA2'!$K$27,"")</f>
        <v/>
      </c>
      <c r="CE30" s="518" t="str">
        <f>IF(AND(_AC5="A-321",'2023'!$M$4="CA",'2023'!$M$2=CE5),'2023DATA2'!$L$27,"")</f>
        <v/>
      </c>
      <c r="CF30" s="518" t="str">
        <f>IF(AND(_AC5="A-321",'2023'!$M$4="CA",'2023'!$M$2=CF5),'2023DATA2'!$M$27,"")</f>
        <v/>
      </c>
      <c r="CG30" s="520" t="str">
        <f>IF(AND(_AC5="A-321",'2023'!$M$4="CA",'2023'!$M$2=CG5),'2023DATA2'!$N$27,"")</f>
        <v/>
      </c>
      <c r="CH30" s="940" t="s">
        <v>48</v>
      </c>
      <c r="CI30" s="13" t="s">
        <v>61</v>
      </c>
      <c r="CJ30" s="518" t="str">
        <f>IF(AND(_AC6="A-321",'2023'!$M$4="CA",'2023'!$M$2=CJ5),'2023DATA2'!$C$27,"")</f>
        <v/>
      </c>
      <c r="CK30" s="518" t="str">
        <f>IF(AND(_AC6="A-321",'2023'!$M$4="CA",'2023'!$M$2=CK5),'2023DATA2'!$D$27,"")</f>
        <v/>
      </c>
      <c r="CL30" s="518" t="str">
        <f>IF(AND(_AC6="A-321",'2023'!$M$4="CA",'2023'!$M$2=CL5),'2023DATA2'!$E$27,"")</f>
        <v/>
      </c>
      <c r="CM30" s="518" t="str">
        <f>IF(AND(_AC6="A-321",'2023'!$M$4="CA",'2023'!$M$2=CM5),'2023DATA2'!$F$27,"")</f>
        <v/>
      </c>
      <c r="CN30" s="518" t="str">
        <f>IF(AND(_AC6="A-321",'2023'!$M$4="CA",'2023'!$M$2=CN5),'2023DATA2'!$G$27,"")</f>
        <v/>
      </c>
      <c r="CO30" s="518" t="str">
        <f>IF(AND(_AC6="A-321",'2023'!$M$4="CA",'2023'!$M$2=CO5),'2023DATA2'!$H$27,"")</f>
        <v/>
      </c>
      <c r="CP30" s="518" t="str">
        <f>IF(AND(_AC6="A-321",'2023'!$M$4="CA",'2023'!$M$2=CP5),'2023DATA2'!$I$27,"")</f>
        <v/>
      </c>
      <c r="CQ30" s="518" t="str">
        <f>IF(AND(_AC6="A-321",'2023'!$M$4="CA",'2023'!$M$2=CQ5),'2023DATA2'!$J$27,"")</f>
        <v/>
      </c>
      <c r="CR30" s="518" t="str">
        <f>IF(AND(_AC6="A-321",'2023'!$M$4="CA",'2023'!$M$2=CR5),'2023DATA2'!$K$27,"")</f>
        <v/>
      </c>
      <c r="CS30" s="518" t="str">
        <f>IF(AND(_AC6="A-321",'2023'!$M$4="CA",'2023'!$M$2=CS5),'2023DATA2'!$L$27,"")</f>
        <v/>
      </c>
      <c r="CT30" s="518" t="str">
        <f>IF(AND(_AC6="A-321",'2023'!$M$4="CA",'2023'!$M$2=CT5),'2023DATA2'!$M$27,"")</f>
        <v/>
      </c>
      <c r="CU30" s="520" t="str">
        <f>IF(AND(_AC6="A-321",'2023'!$M$4="CA",'2023'!$M$2=CU5),'2023DATA2'!$N$27,"")</f>
        <v/>
      </c>
    </row>
    <row r="31" spans="1:99" x14ac:dyDescent="0.25">
      <c r="A31" s="946" t="s">
        <v>71</v>
      </c>
      <c r="B31" s="78" t="s">
        <v>61</v>
      </c>
      <c r="C31" s="140">
        <v>341.87</v>
      </c>
      <c r="D31" s="141">
        <v>339.36</v>
      </c>
      <c r="E31" s="142">
        <v>336.77</v>
      </c>
      <c r="F31" s="143">
        <v>334.24</v>
      </c>
      <c r="G31" s="144">
        <v>331.65</v>
      </c>
      <c r="H31" s="145">
        <v>329.08</v>
      </c>
      <c r="I31" s="144">
        <v>326.54000000000002</v>
      </c>
      <c r="J31" s="145">
        <v>323.99</v>
      </c>
      <c r="K31" s="143">
        <v>321.39999999999998</v>
      </c>
      <c r="L31" s="144">
        <v>318.81</v>
      </c>
      <c r="M31" s="145">
        <v>316.33</v>
      </c>
      <c r="N31" s="146">
        <v>313.88</v>
      </c>
      <c r="P31" s="940"/>
      <c r="Q31" s="13" t="s">
        <v>62</v>
      </c>
      <c r="R31" s="518" t="str">
        <f>IF(AND(_AC1="A-321",'2023'!$M$4="FO",'2023'!$M$2=R5),'2023DATA2'!$C$28,"")</f>
        <v/>
      </c>
      <c r="S31" s="518" t="str">
        <f>IF(AND(_AC1="A-321",'2023'!$M$4="FO",'2023'!$M$2=S5),'2023DATA2'!$D$28,"")</f>
        <v/>
      </c>
      <c r="T31" s="518" t="str">
        <f>IF(AND(_AC1="A-321",'2023'!$M$4="FO",'2023'!$M$2=T5),'2023DATA2'!$E$28,"")</f>
        <v/>
      </c>
      <c r="U31" s="518" t="str">
        <f>IF(AND(_AC1="A-321",'2023'!$M$4="FO",'2023'!$M$2=U5),'2023DATA2'!$F$28,"")</f>
        <v/>
      </c>
      <c r="V31" s="518" t="str">
        <f>IF(AND(_AC1="A-321",'2023'!$M$4="FO",'2023'!$M$2=V5),'2023DATA2'!$G$28,"")</f>
        <v/>
      </c>
      <c r="W31" s="518" t="str">
        <f>IF(AND(_AC1="A-321",'2023'!$M$4="FO",'2023'!$M$2=W5),'2023DATA2'!$H$28,"")</f>
        <v/>
      </c>
      <c r="X31" s="518" t="str">
        <f>IF(AND(_AC1="A-321",'2023'!$M$4="FO",'2023'!$M$2=X5),'2023DATA2'!$I$28,"")</f>
        <v/>
      </c>
      <c r="Y31" s="518" t="str">
        <f>IF(AND(_AC1="A-321",'2023'!$M$4="FO",'2023'!$M$2=Y5),'2023DATA2'!$J$28,"")</f>
        <v/>
      </c>
      <c r="Z31" s="518" t="str">
        <f>IF(AND(_AC1="A-321",'2023'!$M$4="FO",'2023'!$M$2=Z5),'2023DATA2'!$K$28,"")</f>
        <v/>
      </c>
      <c r="AA31" s="518" t="str">
        <f>IF(AND(_AC1="A-321",'2023'!$M$4="FO",'2023'!$M$2=AA5),'2023DATA2'!$L$28,"")</f>
        <v/>
      </c>
      <c r="AB31" s="518" t="str">
        <f>IF(AND(_AC1="A-321",'2023'!$M$4="FO",'2023'!$M$2=AB5),'2023DATA2'!$M$28,"")</f>
        <v/>
      </c>
      <c r="AC31" s="520" t="str">
        <f>IF(AND(_AC1="A-321",'2023'!$M$4="FO",'2023'!$M$2=AC5),'2023DATA2'!$N$28,"")</f>
        <v/>
      </c>
      <c r="AD31" s="940"/>
      <c r="AE31" s="13" t="s">
        <v>62</v>
      </c>
      <c r="AF31" s="518" t="str">
        <f>IF(AND(_AC2="A-321",'2023'!$M$4="FO",'2023'!$M$2=AF5),'2023DATA2'!$C$28,"")</f>
        <v/>
      </c>
      <c r="AG31" s="518" t="str">
        <f>IF(AND(_AC2="A-321",'2023'!$M$4="FO",'2023'!$M$2=AG5),'2023DATA2'!$D$28,"")</f>
        <v/>
      </c>
      <c r="AH31" s="518" t="str">
        <f>IF(AND(_AC2="A-321",'2023'!$M$4="FO",'2023'!$M$2=AH5),'2023DATA2'!$E$28,"")</f>
        <v/>
      </c>
      <c r="AI31" s="518" t="str">
        <f>IF(AND(_AC2="A-321",'2023'!$M$4="FO",'2023'!$M$2=AI5),'2023DATA2'!$F$28,"")</f>
        <v/>
      </c>
      <c r="AJ31" s="518" t="str">
        <f>IF(AND(_AC2="A-321",'2023'!$M$4="FO",'2023'!$M$2=AJ5),'2023DATA2'!$G$28,"")</f>
        <v/>
      </c>
      <c r="AK31" s="518" t="str">
        <f>IF(AND(_AC2="A-321",'2023'!$M$4="FO",'2023'!$M$2=AK5),'2023DATA2'!$H$28,"")</f>
        <v/>
      </c>
      <c r="AL31" s="518" t="str">
        <f>IF(AND(_AC2="A-321",'2023'!$M$4="FO",'2023'!$M$2=AL5),'2023DATA2'!$I$28,"")</f>
        <v/>
      </c>
      <c r="AM31" s="518" t="str">
        <f>IF(AND(_AC2="A-321",'2023'!$M$4="FO",'2023'!$M$2=AM5),'2023DATA2'!$J$28,"")</f>
        <v/>
      </c>
      <c r="AN31" s="518" t="str">
        <f>IF(AND(_AC2="A-321",'2023'!$M$4="FO",'2023'!$M$2=AN5),'2023DATA2'!$K$28,"")</f>
        <v/>
      </c>
      <c r="AO31" s="518" t="str">
        <f>IF(AND(_AC2="A-321",'2023'!$M$4="FO",'2023'!$M$2=AO5),'2023DATA2'!$L$28,"")</f>
        <v/>
      </c>
      <c r="AP31" s="518" t="str">
        <f>IF(AND(_AC2="A-321",'2023'!$M$4="FO",'2023'!$M$2=AP5),'2023DATA2'!$M$28,"")</f>
        <v/>
      </c>
      <c r="AQ31" s="520" t="str">
        <f>IF(AND(_AC2="A-321",'2023'!$M$4="FO",'2023'!$M$2=AQ5),'2023DATA2'!$N$28,"")</f>
        <v/>
      </c>
      <c r="AR31" s="940"/>
      <c r="AS31" s="13" t="s">
        <v>62</v>
      </c>
      <c r="AT31" s="518" t="str">
        <f>IF(AND(_AC3="A-321",'2023'!$M$4="FO",'2023'!$M$2=AT5),'2023DATA2'!$C$28,"")</f>
        <v/>
      </c>
      <c r="AU31" s="518" t="str">
        <f>IF(AND(_AC3="A-321",'2023'!$M$4="FO",'2023'!$M$2=AU5),'2023DATA2'!$D$28,"")</f>
        <v/>
      </c>
      <c r="AV31" s="518" t="str">
        <f>IF(AND(_AC3="A-321",'2023'!$M$4="FO",'2023'!$M$2=AV5),'2023DATA2'!$E$28,"")</f>
        <v/>
      </c>
      <c r="AW31" s="518" t="str">
        <f>IF(AND(_AC3="A-321",'2023'!$M$4="FO",'2023'!$M$2=AW5),'2023DATA2'!$F$28,"")</f>
        <v/>
      </c>
      <c r="AX31" s="518" t="str">
        <f>IF(AND(_AC3="A-321",'2023'!$M$4="FO",'2023'!$M$2=AX5),'2023DATA2'!$G$28,"")</f>
        <v/>
      </c>
      <c r="AY31" s="518" t="str">
        <f>IF(AND(_AC3="A-321",'2023'!$M$4="FO",'2023'!$M$2=AY5),'2023DATA2'!$H$28,"")</f>
        <v/>
      </c>
      <c r="AZ31" s="518" t="str">
        <f>IF(AND(_AC3="A-321",'2023'!$M$4="FO",'2023'!$M$2=AZ5),'2023DATA2'!$I$28,"")</f>
        <v/>
      </c>
      <c r="BA31" s="518" t="str">
        <f>IF(AND(_AC3="A-321",'2023'!$M$4="FO",'2023'!$M$2=BA5),'2023DATA2'!$J$28,"")</f>
        <v/>
      </c>
      <c r="BB31" s="518" t="str">
        <f>IF(AND(_AC3="A-321",'2023'!$M$4="FO",'2023'!$M$2=BB5),'2023DATA2'!$K$28,"")</f>
        <v/>
      </c>
      <c r="BC31" s="518" t="str">
        <f>IF(AND(_AC3="A-321",'2023'!$M$4="FO",'2023'!$M$2=BC5),'2023DATA2'!$L$28,"")</f>
        <v/>
      </c>
      <c r="BD31" s="518" t="str">
        <f>IF(AND(_AC3="A-321",'2023'!$M$4="FO",'2023'!$M$2=BD5),'2023DATA2'!$M$28,"")</f>
        <v/>
      </c>
      <c r="BE31" s="520" t="str">
        <f>IF(AND(_AC3="A-321",'2023'!$M$4="FO",'2023'!$M$2=BE5),'2023DATA2'!$N$28,"")</f>
        <v/>
      </c>
      <c r="BF31" s="940"/>
      <c r="BG31" s="13" t="s">
        <v>62</v>
      </c>
      <c r="BH31" s="518" t="str">
        <f>IF(AND(_AC4="A-321",'2023'!$M$4="FO",'2023'!$M$2=BH5),'2023DATA2'!$C$28,"")</f>
        <v/>
      </c>
      <c r="BI31" s="518" t="str">
        <f>IF(AND(_AC4="A-321",'2023'!$M$4="FO",'2023'!$M$2=BI5),'2023DATA2'!$D$28,"")</f>
        <v/>
      </c>
      <c r="BJ31" s="518" t="str">
        <f>IF(AND(_AC4="A-321",'2023'!$M$4="FO",'2023'!$M$2=BJ5),'2023DATA2'!$E$28,"")</f>
        <v/>
      </c>
      <c r="BK31" s="518" t="str">
        <f>IF(AND(_AC4="A-321",'2023'!$M$4="FO",'2023'!$M$2=BK5),'2023DATA2'!$F$28,"")</f>
        <v/>
      </c>
      <c r="BL31" s="518" t="str">
        <f>IF(AND(_AC4="A-321",'2023'!$M$4="FO",'2023'!$M$2=BL5),'2023DATA2'!$G$28,"")</f>
        <v/>
      </c>
      <c r="BM31" s="518" t="str">
        <f>IF(AND(_AC4="A-321",'2023'!$M$4="FO",'2023'!$M$2=BM5),'2023DATA2'!$H$28,"")</f>
        <v/>
      </c>
      <c r="BN31" s="518" t="str">
        <f>IF(AND(_AC4="A-321",'2023'!$M$4="FO",'2023'!$M$2=BN5),'2023DATA2'!$I$28,"")</f>
        <v/>
      </c>
      <c r="BO31" s="518" t="str">
        <f>IF(AND(_AC4="A-321",'2023'!$M$4="FO",'2023'!$M$2=BO5),'2023DATA2'!$J$28,"")</f>
        <v/>
      </c>
      <c r="BP31" s="518" t="str">
        <f>IF(AND(_AC4="A-321",'2023'!$M$4="FO",'2023'!$M$2=BP5),'2023DATA2'!$K$28,"")</f>
        <v/>
      </c>
      <c r="BQ31" s="518" t="str">
        <f>IF(AND(_AC4="A-321",'2023'!$M$4="FO",'2023'!$M$2=BQ5),'2023DATA2'!$L$28,"")</f>
        <v/>
      </c>
      <c r="BR31" s="518" t="str">
        <f>IF(AND(_AC4="A-321",'2023'!$M$4="FO",'2023'!$M$2=BR5),'2023DATA2'!$M$28,"")</f>
        <v/>
      </c>
      <c r="BS31" s="520" t="str">
        <f>IF(AND(_AC4="A-321",'2023'!$M$4="FO",'2023'!$M$2=BS5),'2023DATA2'!$N$28,"")</f>
        <v/>
      </c>
      <c r="BT31" s="940"/>
      <c r="BU31" s="13" t="s">
        <v>62</v>
      </c>
      <c r="BV31" s="518" t="str">
        <f>IF(AND(_AC5="A-321",'2023'!$M$4="FO",'2023'!$M$2=BV5),'2023DATA2'!$C$28,"")</f>
        <v/>
      </c>
      <c r="BW31" s="518" t="str">
        <f>IF(AND(_AC5="A-321",'2023'!$M$4="FO",'2023'!$M$2=BW5),'2023DATA2'!$D$28,"")</f>
        <v/>
      </c>
      <c r="BX31" s="518" t="str">
        <f>IF(AND(_AC5="A-321",'2023'!$M$4="FO",'2023'!$M$2=BX5),'2023DATA2'!$E$28,"")</f>
        <v/>
      </c>
      <c r="BY31" s="518" t="str">
        <f>IF(AND(_AC5="A-321",'2023'!$M$4="FO",'2023'!$M$2=BY5),'2023DATA2'!$F$28,"")</f>
        <v/>
      </c>
      <c r="BZ31" s="518" t="str">
        <f>IF(AND(_AC5="A-321",'2023'!$M$4="FO",'2023'!$M$2=BZ5),'2023DATA2'!$G$28,"")</f>
        <v/>
      </c>
      <c r="CA31" s="518" t="str">
        <f>IF(AND(_AC5="A-321",'2023'!$M$4="FO",'2023'!$M$2=CA5),'2023DATA2'!$H$28,"")</f>
        <v/>
      </c>
      <c r="CB31" s="518" t="str">
        <f>IF(AND(_AC5="A-321",'2023'!$M$4="FO",'2023'!$M$2=CB5),'2023DATA2'!$I$28,"")</f>
        <v/>
      </c>
      <c r="CC31" s="518" t="str">
        <f>IF(AND(_AC5="A-321",'2023'!$M$4="FO",'2023'!$M$2=CC5),'2023DATA2'!$J$28,"")</f>
        <v/>
      </c>
      <c r="CD31" s="518" t="str">
        <f>IF(AND(_AC5="A-321",'2023'!$M$4="FO",'2023'!$M$2=CD5),'2023DATA2'!$K$28,"")</f>
        <v/>
      </c>
      <c r="CE31" s="518" t="str">
        <f>IF(AND(_AC5="A-321",'2023'!$M$4="FO",'2023'!$M$2=CE5),'2023DATA2'!$L$28,"")</f>
        <v/>
      </c>
      <c r="CF31" s="518" t="str">
        <f>IF(AND(_AC5="A-321",'2023'!$M$4="FO",'2023'!$M$2=CF5),'2023DATA2'!$M$28,"")</f>
        <v/>
      </c>
      <c r="CG31" s="520" t="str">
        <f>IF(AND(_AC5="A-321",'2023'!$M$4="FO",'2023'!$M$2=CG5),'2023DATA2'!$N$28,"")</f>
        <v/>
      </c>
      <c r="CH31" s="940"/>
      <c r="CI31" s="13" t="s">
        <v>62</v>
      </c>
      <c r="CJ31" s="518" t="str">
        <f>IF(AND(_AC6="A-321",'2023'!$M$4="FO",'2023'!$M$2=CJ5),'2023DATA2'!$C$28,"")</f>
        <v/>
      </c>
      <c r="CK31" s="518" t="str">
        <f>IF(AND(_AC6="A-321",'2023'!$M$4="FO",'2023'!$M$2=CK5),'2023DATA2'!$D$28,"")</f>
        <v/>
      </c>
      <c r="CL31" s="518" t="str">
        <f>IF(AND(_AC6="A-321",'2023'!$M$4="FO",'2023'!$M$2=CL5),'2023DATA2'!$E$28,"")</f>
        <v/>
      </c>
      <c r="CM31" s="518" t="str">
        <f>IF(AND(_AC6="A-321",'2023'!$M$4="FO",'2023'!$M$2=CM5),'2023DATA2'!$F$28,"")</f>
        <v/>
      </c>
      <c r="CN31" s="518" t="str">
        <f>IF(AND(_AC6="A-321",'2023'!$M$4="FO",'2023'!$M$2=CN5),'2023DATA2'!$G$28,"")</f>
        <v/>
      </c>
      <c r="CO31" s="518" t="str">
        <f>IF(AND(_AC6="A-321",'2023'!$M$4="FO",'2023'!$M$2=CO5),'2023DATA2'!$H$28,"")</f>
        <v/>
      </c>
      <c r="CP31" s="518" t="str">
        <f>IF(AND(_AC6="A-321",'2023'!$M$4="FO",'2023'!$M$2=CP5),'2023DATA2'!$I$28,"")</f>
        <v/>
      </c>
      <c r="CQ31" s="518" t="str">
        <f>IF(AND(_AC6="A-321",'2023'!$M$4="FO",'2023'!$M$2=CQ5),'2023DATA2'!$J$28,"")</f>
        <v/>
      </c>
      <c r="CR31" s="518" t="str">
        <f>IF(AND(_AC6="A-321",'2023'!$M$4="FO",'2023'!$M$2=CR5),'2023DATA2'!$K$28,"")</f>
        <v/>
      </c>
      <c r="CS31" s="518" t="str">
        <f>IF(AND(_AC6="A-321",'2023'!$M$4="FO",'2023'!$M$2=CS5),'2023DATA2'!$L$28,"")</f>
        <v/>
      </c>
      <c r="CT31" s="518" t="str">
        <f>IF(AND(_AC6="A-321",'2023'!$M$4="FO",'2023'!$M$2=CT5),'2023DATA2'!$M$28,"")</f>
        <v/>
      </c>
      <c r="CU31" s="520" t="str">
        <f>IF(AND(_AC6="A-321",'2023'!$M$4="FO",'2023'!$M$2=CU5),'2023DATA2'!$N$28,"")</f>
        <v/>
      </c>
    </row>
    <row r="32" spans="1:99" x14ac:dyDescent="0.25">
      <c r="A32" s="946"/>
      <c r="B32" s="78" t="s">
        <v>62</v>
      </c>
      <c r="C32" s="258">
        <v>233.5</v>
      </c>
      <c r="D32" s="259">
        <v>231.43</v>
      </c>
      <c r="E32" s="259">
        <v>229.32</v>
      </c>
      <c r="F32" s="260">
        <v>226.26</v>
      </c>
      <c r="G32" s="261">
        <v>223.88</v>
      </c>
      <c r="H32" s="353">
        <v>218.82</v>
      </c>
      <c r="I32" s="259">
        <v>212.88</v>
      </c>
      <c r="J32" s="264">
        <v>207.69</v>
      </c>
      <c r="K32" s="265">
        <v>202.81</v>
      </c>
      <c r="L32" s="259">
        <v>197.99</v>
      </c>
      <c r="M32" s="259">
        <v>169.25</v>
      </c>
      <c r="N32" s="266">
        <v>110.52</v>
      </c>
      <c r="P32" s="940" t="s">
        <v>70</v>
      </c>
      <c r="Q32" s="13" t="s">
        <v>61</v>
      </c>
      <c r="R32" s="518" t="str">
        <f>IF(AND(_AC1="A-320",'2023'!$M$4="CA",'2023'!$M$2=R5),'2023DATA2'!$C$29,"")</f>
        <v/>
      </c>
      <c r="S32" s="518" t="str">
        <f>IF(AND(_AC1="A-320",'2023'!$M$4="CA",'2023'!$M$2=S5),'2023DATA2'!$D$29,"")</f>
        <v/>
      </c>
      <c r="T32" s="518" t="str">
        <f>IF(AND(_AC1="A-320",'2023'!$M$4="CA",'2023'!$M$2=T5),'2023DATA2'!$E$29,"")</f>
        <v/>
      </c>
      <c r="U32" s="518" t="str">
        <f>IF(AND(_AC1="A-320",'2023'!$M$4="CA",'2023'!$M$2=U5),'2023DATA2'!$F$29,"")</f>
        <v/>
      </c>
      <c r="V32" s="518" t="str">
        <f>IF(AND(_AC1="A-320",'2023'!$M$4="CA",'2023'!$M$2=V5),'2023DATA2'!$G$29,"")</f>
        <v/>
      </c>
      <c r="W32" s="518" t="str">
        <f>IF(AND(_AC1="A-320",'2023'!$M$4="CA",'2023'!$M$2=W5),'2023DATA2'!$H$29,"")</f>
        <v/>
      </c>
      <c r="X32" s="518" t="str">
        <f>IF(AND(_AC1="A-320",'2023'!$M$4="CA",'2023'!$M$2=X5),'2023DATA2'!$I$29,"")</f>
        <v/>
      </c>
      <c r="Y32" s="518" t="str">
        <f>IF(AND(_AC1="A-320",'2023'!$M$4="CA",'2023'!$M$2=Y5),'2023DATA2'!$J$29,"")</f>
        <v/>
      </c>
      <c r="Z32" s="518" t="str">
        <f>IF(AND(_AC1="A-320",'2023'!$M$4="CA",'2023'!$M$2=Z5),'2023DATA2'!$K$29,"")</f>
        <v/>
      </c>
      <c r="AA32" s="518" t="str">
        <f>IF(AND(_AC1="A-320",'2023'!$M$4="CA",'2023'!$M$2=AA5),'2023DATA2'!$L$29,"")</f>
        <v/>
      </c>
      <c r="AB32" s="518" t="str">
        <f>IF(AND(_AC1="A-320",'2023'!$M$4="CA",'2023'!$M$2=AB5),'2023DATA2'!$M$29,"")</f>
        <v/>
      </c>
      <c r="AC32" s="520" t="str">
        <f>IF(AND(_AC1="A-320",'2023'!$M$4="CA",'2023'!$M$2=AC5),'2023DATA2'!$N$29,"")</f>
        <v/>
      </c>
      <c r="AD32" s="940" t="s">
        <v>70</v>
      </c>
      <c r="AE32" s="13" t="s">
        <v>61</v>
      </c>
      <c r="AF32" s="518" t="str">
        <f>IF(AND(_AC2="A-320",'2023'!$M$4="CA",'2023'!$M$2=AF5),'2023DATA2'!$C$29,"")</f>
        <v/>
      </c>
      <c r="AG32" s="518" t="str">
        <f>IF(AND(_AC2="A-320",'2023'!$M$4="CA",'2023'!$M$2=AG5),'2023DATA2'!$D$29,"")</f>
        <v/>
      </c>
      <c r="AH32" s="518" t="str">
        <f>IF(AND(_AC2="A-320",'2023'!$M$4="CA",'2023'!$M$2=AH5),'2023DATA2'!$E$29,"")</f>
        <v/>
      </c>
      <c r="AI32" s="518" t="str">
        <f>IF(AND(_AC2="A-320",'2023'!$M$4="CA",'2023'!$M$2=AI5),'2023DATA2'!$F$29,"")</f>
        <v/>
      </c>
      <c r="AJ32" s="518" t="str">
        <f>IF(AND(_AC2="A-320",'2023'!$M$4="CA",'2023'!$M$2=AJ5),'2023DATA2'!$G$29,"")</f>
        <v/>
      </c>
      <c r="AK32" s="518" t="str">
        <f>IF(AND(_AC2="A-320",'2023'!$M$4="CA",'2023'!$M$2=AK5),'2023DATA2'!$H$29,"")</f>
        <v/>
      </c>
      <c r="AL32" s="518" t="str">
        <f>IF(AND(_AC2="A-320",'2023'!$M$4="CA",'2023'!$M$2=AL5),'2023DATA2'!$I$29,"")</f>
        <v/>
      </c>
      <c r="AM32" s="518" t="str">
        <f>IF(AND(_AC2="A-320",'2023'!$M$4="CA",'2023'!$M$2=AM5),'2023DATA2'!$J$29,"")</f>
        <v/>
      </c>
      <c r="AN32" s="518" t="str">
        <f>IF(AND(_AC2="A-320",'2023'!$M$4="CA",'2023'!$M$2=AN5),'2023DATA2'!$K$29,"")</f>
        <v/>
      </c>
      <c r="AO32" s="518" t="str">
        <f>IF(AND(_AC2="A-320",'2023'!$M$4="CA",'2023'!$M$2=AO5),'2023DATA2'!$L$29,"")</f>
        <v/>
      </c>
      <c r="AP32" s="518" t="str">
        <f>IF(AND(_AC2="A-320",'2023'!$M$4="CA",'2023'!$M$2=AP5),'2023DATA2'!$M$29,"")</f>
        <v/>
      </c>
      <c r="AQ32" s="520" t="str">
        <f>IF(AND(_AC2="A-320",'2023'!$M$4="CA",'2023'!$M$2=AQ5),'2023DATA2'!$N$29,"")</f>
        <v/>
      </c>
      <c r="AR32" s="940" t="s">
        <v>70</v>
      </c>
      <c r="AS32" s="13" t="s">
        <v>61</v>
      </c>
      <c r="AT32" s="518" t="str">
        <f>IF(AND(_AC3="A-320",'2023'!$M$4="CA",'2023'!$M$2=AT5),'2023DATA2'!$C$29,"")</f>
        <v/>
      </c>
      <c r="AU32" s="518" t="str">
        <f>IF(AND(_AC3="A-320",'2023'!$M$4="CA",'2023'!$M$2=AU5),'2023DATA2'!$D$29,"")</f>
        <v/>
      </c>
      <c r="AV32" s="518" t="str">
        <f>IF(AND(_AC3="A-320",'2023'!$M$4="CA",'2023'!$M$2=AV5),'2023DATA2'!$E$29,"")</f>
        <v/>
      </c>
      <c r="AW32" s="518" t="str">
        <f>IF(AND(_AC3="A-320",'2023'!$M$4="CA",'2023'!$M$2=AW5),'2023DATA2'!$F$29,"")</f>
        <v/>
      </c>
      <c r="AX32" s="518" t="str">
        <f>IF(AND(_AC3="A-320",'2023'!$M$4="CA",'2023'!$M$2=AX5),'2023DATA2'!$G$29,"")</f>
        <v/>
      </c>
      <c r="AY32" s="518" t="str">
        <f>IF(AND(_AC3="A-320",'2023'!$M$4="CA",'2023'!$M$2=AY5),'2023DATA2'!$H$29,"")</f>
        <v/>
      </c>
      <c r="AZ32" s="518" t="str">
        <f>IF(AND(_AC3="A-320",'2023'!$M$4="CA",'2023'!$M$2=AZ5),'2023DATA2'!$I$29,"")</f>
        <v/>
      </c>
      <c r="BA32" s="518" t="str">
        <f>IF(AND(_AC3="A-320",'2023'!$M$4="CA",'2023'!$M$2=BA5),'2023DATA2'!$J$29,"")</f>
        <v/>
      </c>
      <c r="BB32" s="518" t="str">
        <f>IF(AND(_AC3="A-320",'2023'!$M$4="CA",'2023'!$M$2=BB5),'2023DATA2'!$K$29,"")</f>
        <v/>
      </c>
      <c r="BC32" s="518" t="str">
        <f>IF(AND(_AC3="A-320",'2023'!$M$4="CA",'2023'!$M$2=BC5),'2023DATA2'!$L$29,"")</f>
        <v/>
      </c>
      <c r="BD32" s="518" t="str">
        <f>IF(AND(_AC3="A-320",'2023'!$M$4="CA",'2023'!$M$2=BD5),'2023DATA2'!$M$29,"")</f>
        <v/>
      </c>
      <c r="BE32" s="520" t="str">
        <f>IF(AND(_AC3="A-320",'2023'!$M$4="CA",'2023'!$M$2=BE5),'2023DATA2'!$N$29,"")</f>
        <v/>
      </c>
      <c r="BF32" s="940" t="s">
        <v>70</v>
      </c>
      <c r="BG32" s="13" t="s">
        <v>61</v>
      </c>
      <c r="BH32" s="518" t="str">
        <f>IF(AND(_AC4="A-320",'2023'!$M$4="CA",'2023'!$M$2=BH5),'2023DATA2'!$C$29,"")</f>
        <v/>
      </c>
      <c r="BI32" s="518" t="str">
        <f>IF(AND(_AC4="A-320",'2023'!$M$4="CA",'2023'!$M$2=BI5),'2023DATA2'!$D$29,"")</f>
        <v/>
      </c>
      <c r="BJ32" s="518" t="str">
        <f>IF(AND(_AC4="A-320",'2023'!$M$4="CA",'2023'!$M$2=BJ5),'2023DATA2'!$E$29,"")</f>
        <v/>
      </c>
      <c r="BK32" s="518" t="str">
        <f>IF(AND(_AC4="A-320",'2023'!$M$4="CA",'2023'!$M$2=BK5),'2023DATA2'!$F$29,"")</f>
        <v/>
      </c>
      <c r="BL32" s="518" t="str">
        <f>IF(AND(_AC4="A-320",'2023'!$M$4="CA",'2023'!$M$2=BL5),'2023DATA2'!$G$29,"")</f>
        <v/>
      </c>
      <c r="BM32" s="518" t="str">
        <f>IF(AND(_AC4="A-320",'2023'!$M$4="CA",'2023'!$M$2=BM5),'2023DATA2'!$H$29,"")</f>
        <v/>
      </c>
      <c r="BN32" s="518" t="str">
        <f>IF(AND(_AC4="A-320",'2023'!$M$4="CA",'2023'!$M$2=BN5),'2023DATA2'!$I$29,"")</f>
        <v/>
      </c>
      <c r="BO32" s="518" t="str">
        <f>IF(AND(_AC4="A-320",'2023'!$M$4="CA",'2023'!$M$2=BO5),'2023DATA2'!$J$29,"")</f>
        <v/>
      </c>
      <c r="BP32" s="518" t="str">
        <f>IF(AND(_AC4="A-320",'2023'!$M$4="CA",'2023'!$M$2=BP5),'2023DATA2'!$K$29,"")</f>
        <v/>
      </c>
      <c r="BQ32" s="518" t="str">
        <f>IF(AND(_AC4="A-320",'2023'!$M$4="CA",'2023'!$M$2=BQ5),'2023DATA2'!$L$29,"")</f>
        <v/>
      </c>
      <c r="BR32" s="518" t="str">
        <f>IF(AND(_AC4="A-320",'2023'!$M$4="CA",'2023'!$M$2=BR5),'2023DATA2'!$M$29,"")</f>
        <v/>
      </c>
      <c r="BS32" s="520" t="str">
        <f>IF(AND(_AC4="A-320",'2023'!$M$4="CA",'2023'!$M$2=BS5),'2023DATA2'!$N$29,"")</f>
        <v/>
      </c>
      <c r="BT32" s="940" t="s">
        <v>70</v>
      </c>
      <c r="BU32" s="13" t="s">
        <v>61</v>
      </c>
      <c r="BV32" s="518" t="str">
        <f>IF(AND(_AC5="A-320",'2023'!$M$4="CA",'2023'!$M$2=BV5),'2023DATA2'!$C$29,"")</f>
        <v/>
      </c>
      <c r="BW32" s="518" t="str">
        <f>IF(AND(_AC5="A-320",'2023'!$M$4="CA",'2023'!$M$2=BW5),'2023DATA2'!$D$29,"")</f>
        <v/>
      </c>
      <c r="BX32" s="518" t="str">
        <f>IF(AND(_AC5="A-320",'2023'!$M$4="CA",'2023'!$M$2=BX5),'2023DATA2'!$E$29,"")</f>
        <v/>
      </c>
      <c r="BY32" s="518" t="str">
        <f>IF(AND(_AC5="A-320",'2023'!$M$4="CA",'2023'!$M$2=BY5),'2023DATA2'!$F$29,"")</f>
        <v/>
      </c>
      <c r="BZ32" s="518" t="str">
        <f>IF(AND(_AC5="A-320",'2023'!$M$4="CA",'2023'!$M$2=BZ5),'2023DATA2'!$G$29,"")</f>
        <v/>
      </c>
      <c r="CA32" s="518" t="str">
        <f>IF(AND(_AC5="A-320",'2023'!$M$4="CA",'2023'!$M$2=CA5),'2023DATA2'!$H$29,"")</f>
        <v/>
      </c>
      <c r="CB32" s="518" t="str">
        <f>IF(AND(_AC5="A-320",'2023'!$M$4="CA",'2023'!$M$2=CB5),'2023DATA2'!$I$29,"")</f>
        <v/>
      </c>
      <c r="CC32" s="518" t="str">
        <f>IF(AND(_AC5="A-320",'2023'!$M$4="CA",'2023'!$M$2=CC5),'2023DATA2'!$J$29,"")</f>
        <v/>
      </c>
      <c r="CD32" s="518" t="str">
        <f>IF(AND(_AC5="A-320",'2023'!$M$4="CA",'2023'!$M$2=CD5),'2023DATA2'!$K$29,"")</f>
        <v/>
      </c>
      <c r="CE32" s="518" t="str">
        <f>IF(AND(_AC5="A-320",'2023'!$M$4="CA",'2023'!$M$2=CE5),'2023DATA2'!$L$29,"")</f>
        <v/>
      </c>
      <c r="CF32" s="518" t="str">
        <f>IF(AND(_AC5="A-320",'2023'!$M$4="CA",'2023'!$M$2=CF5),'2023DATA2'!$M$29,"")</f>
        <v/>
      </c>
      <c r="CG32" s="520" t="str">
        <f>IF(AND(_AC5="A-320",'2023'!$M$4="CA",'2023'!$M$2=CG5),'2023DATA2'!$N$29,"")</f>
        <v/>
      </c>
      <c r="CH32" s="940" t="s">
        <v>70</v>
      </c>
      <c r="CI32" s="13" t="s">
        <v>61</v>
      </c>
      <c r="CJ32" s="518" t="str">
        <f>IF(AND(_AC6="A-320",'2023'!$M$4="CA",'2023'!$M$2=CJ5),'2023DATA2'!$C$29,"")</f>
        <v/>
      </c>
      <c r="CK32" s="518" t="str">
        <f>IF(AND(_AC6="A-320",'2023'!$M$4="CA",'2023'!$M$2=CK5),'2023DATA2'!$D$29,"")</f>
        <v/>
      </c>
      <c r="CL32" s="518" t="str">
        <f>IF(AND(_AC6="A-320",'2023'!$M$4="CA",'2023'!$M$2=CL5),'2023DATA2'!$E$29,"")</f>
        <v/>
      </c>
      <c r="CM32" s="518" t="str">
        <f>IF(AND(_AC6="A-320",'2023'!$M$4="CA",'2023'!$M$2=CM5),'2023DATA2'!$F$29,"")</f>
        <v/>
      </c>
      <c r="CN32" s="518" t="str">
        <f>IF(AND(_AC6="A-320",'2023'!$M$4="CA",'2023'!$M$2=CN5),'2023DATA2'!$G$29,"")</f>
        <v/>
      </c>
      <c r="CO32" s="518" t="str">
        <f>IF(AND(_AC6="A-320",'2023'!$M$4="CA",'2023'!$M$2=CO5),'2023DATA2'!$H$29,"")</f>
        <v/>
      </c>
      <c r="CP32" s="518" t="str">
        <f>IF(AND(_AC6="A-320",'2023'!$M$4="CA",'2023'!$M$2=CP5),'2023DATA2'!$I$29,"")</f>
        <v/>
      </c>
      <c r="CQ32" s="518" t="str">
        <f>IF(AND(_AC6="A-320",'2023'!$M$4="CA",'2023'!$M$2=CQ5),'2023DATA2'!$J$29,"")</f>
        <v/>
      </c>
      <c r="CR32" s="518" t="str">
        <f>IF(AND(_AC6="A-320",'2023'!$M$4="CA",'2023'!$M$2=CR5),'2023DATA2'!$K$29,"")</f>
        <v/>
      </c>
      <c r="CS32" s="518" t="str">
        <f>IF(AND(_AC6="A-320",'2023'!$M$4="CA",'2023'!$M$2=CS5),'2023DATA2'!$L$29,"")</f>
        <v/>
      </c>
      <c r="CT32" s="518" t="str">
        <f>IF(AND(_AC6="A-320",'2023'!$M$4="CA",'2023'!$M$2=CT5),'2023DATA2'!$M$29,"")</f>
        <v/>
      </c>
      <c r="CU32" s="520" t="str">
        <f>IF(AND(_AC6="A-320",'2023'!$M$4="CA",'2023'!$M$2=CU5),'2023DATA2'!$N$29,"")</f>
        <v/>
      </c>
    </row>
    <row r="33" spans="1:99" x14ac:dyDescent="0.25">
      <c r="A33" s="946" t="s">
        <v>51</v>
      </c>
      <c r="B33" s="78" t="s">
        <v>61</v>
      </c>
      <c r="C33" s="118">
        <v>329.9</v>
      </c>
      <c r="D33" s="119">
        <v>327.39999999999998</v>
      </c>
      <c r="E33" s="120">
        <v>324.88</v>
      </c>
      <c r="F33" s="121">
        <v>322.38</v>
      </c>
      <c r="G33" s="122">
        <v>319.91000000000003</v>
      </c>
      <c r="H33" s="123">
        <v>317.43</v>
      </c>
      <c r="I33" s="122">
        <v>314.95</v>
      </c>
      <c r="J33" s="123">
        <v>312.43</v>
      </c>
      <c r="K33" s="121">
        <v>309.92</v>
      </c>
      <c r="L33" s="122">
        <v>307.43</v>
      </c>
      <c r="M33" s="123">
        <v>304.97000000000003</v>
      </c>
      <c r="N33" s="124">
        <v>302.48</v>
      </c>
      <c r="P33" s="940"/>
      <c r="Q33" s="13" t="s">
        <v>62</v>
      </c>
      <c r="R33" s="518" t="str">
        <f>IF(AND(_AC1="A-320",'2023'!$M$4="FO",'2023'!$M$2=R5),'2023DATA2'!$C$30,"")</f>
        <v/>
      </c>
      <c r="S33" s="518" t="str">
        <f>IF(AND(_AC1="A-320",'2023'!$M$4="FO",'2023'!$M$2=S5),'2023DATA2'!$D$30,"")</f>
        <v/>
      </c>
      <c r="T33" s="518" t="str">
        <f>IF(AND(_AC1="A-320",'2023'!$M$4="FO",'2023'!$M$2=T5),'2023DATA2'!$E$30,"")</f>
        <v/>
      </c>
      <c r="U33" s="518" t="str">
        <f>IF(AND(_AC1="A-320",'2023'!$M$4="FO",'2023'!$M$2=U5),'2023DATA2'!$F$30,"")</f>
        <v/>
      </c>
      <c r="V33" s="518" t="str">
        <f>IF(AND(_AC1="A-320",'2023'!$M$4="FO",'2023'!$M$2=V5),'2023DATA2'!$G$30,"")</f>
        <v/>
      </c>
      <c r="W33" s="518" t="str">
        <f>IF(AND(_AC1="A-320",'2023'!$M$4="FO",'2023'!$M$2=W5),'2023DATA2'!$H$30,"")</f>
        <v/>
      </c>
      <c r="X33" s="518" t="str">
        <f>IF(AND(_AC1="A-320",'2023'!$M$4="FO",'2023'!$M$2=X5),'2023DATA2'!$I$30,"")</f>
        <v/>
      </c>
      <c r="Y33" s="518" t="str">
        <f>IF(AND(_AC1="A-320",'2023'!$M$4="FO",'2023'!$M$2=Y5),'2023DATA2'!$J$30,"")</f>
        <v/>
      </c>
      <c r="Z33" s="518" t="str">
        <f>IF(AND(_AC1="A-320",'2023'!$M$4="FO",'2023'!$M$2=Z5),'2023DATA2'!$K$30,"")</f>
        <v/>
      </c>
      <c r="AA33" s="518" t="str">
        <f>IF(AND(_AC1="A-320",'2023'!$M$4="FO",'2023'!$M$2=AA5),'2023DATA2'!$L$30,"")</f>
        <v/>
      </c>
      <c r="AB33" s="518" t="str">
        <f>IF(AND(_AC1="A-320",'2023'!$M$4="FO",'2023'!$M$2=AB5),'2023DATA2'!$M$30,"")</f>
        <v/>
      </c>
      <c r="AC33" s="520" t="str">
        <f>IF(AND(_AC1="A-320",'2023'!$M$4="FO",'2023'!$M$2=AC5),'2023DATA2'!$N$30,"")</f>
        <v/>
      </c>
      <c r="AD33" s="940"/>
      <c r="AE33" s="13" t="s">
        <v>62</v>
      </c>
      <c r="AF33" s="518" t="str">
        <f>IF(AND(_AC2="A-320",'2023'!$M$4="FO",'2023'!$M$2=AF5),'2023DATA2'!$C$30,"")</f>
        <v/>
      </c>
      <c r="AG33" s="518" t="str">
        <f>IF(AND(_AC2="A-320",'2023'!$M$4="FO",'2023'!$M$2=AG5),'2023DATA2'!$D$30,"")</f>
        <v/>
      </c>
      <c r="AH33" s="518" t="str">
        <f>IF(AND(_AC2="A-320",'2023'!$M$4="FO",'2023'!$M$2=AH5),'2023DATA2'!$E$30,"")</f>
        <v/>
      </c>
      <c r="AI33" s="518" t="str">
        <f>IF(AND(_AC2="A-320",'2023'!$M$4="FO",'2023'!$M$2=AI5),'2023DATA2'!$F$30,"")</f>
        <v/>
      </c>
      <c r="AJ33" s="518" t="str">
        <f>IF(AND(_AC2="A-320",'2023'!$M$4="FO",'2023'!$M$2=AJ5),'2023DATA2'!$G$30,"")</f>
        <v/>
      </c>
      <c r="AK33" s="518" t="str">
        <f>IF(AND(_AC2="A-320",'2023'!$M$4="FO",'2023'!$M$2=AK5),'2023DATA2'!$H$30,"")</f>
        <v/>
      </c>
      <c r="AL33" s="518" t="str">
        <f>IF(AND(_AC2="A-320",'2023'!$M$4="FO",'2023'!$M$2=AL5),'2023DATA2'!$I$30,"")</f>
        <v/>
      </c>
      <c r="AM33" s="518" t="str">
        <f>IF(AND(_AC2="A-320",'2023'!$M$4="FO",'2023'!$M$2=AM5),'2023DATA2'!$J$30,"")</f>
        <v/>
      </c>
      <c r="AN33" s="518" t="str">
        <f>IF(AND(_AC2="A-320",'2023'!$M$4="FO",'2023'!$M$2=AN5),'2023DATA2'!$K$30,"")</f>
        <v/>
      </c>
      <c r="AO33" s="518" t="str">
        <f>IF(AND(_AC2="A-320",'2023'!$M$4="FO",'2023'!$M$2=AO5),'2023DATA2'!$L$30,"")</f>
        <v/>
      </c>
      <c r="AP33" s="518" t="str">
        <f>IF(AND(_AC2="A-320",'2023'!$M$4="FO",'2023'!$M$2=AP5),'2023DATA2'!$M$30,"")</f>
        <v/>
      </c>
      <c r="AQ33" s="520" t="str">
        <f>IF(AND(_AC2="A-320",'2023'!$M$4="FO",'2023'!$M$2=AQ5),'2023DATA2'!$N$30,"")</f>
        <v/>
      </c>
      <c r="AR33" s="940"/>
      <c r="AS33" s="13" t="s">
        <v>62</v>
      </c>
      <c r="AT33" s="518" t="str">
        <f>IF(AND(_AC3="A-320",'2023'!$M$4="FO",'2023'!$M$2=AT5),'2023DATA2'!$C$30,"")</f>
        <v/>
      </c>
      <c r="AU33" s="518" t="str">
        <f>IF(AND(_AC3="A-320",'2023'!$M$4="FO",'2023'!$M$2=AU5),'2023DATA2'!$D$30,"")</f>
        <v/>
      </c>
      <c r="AV33" s="518" t="str">
        <f>IF(AND(_AC3="A-320",'2023'!$M$4="FO",'2023'!$M$2=AV5),'2023DATA2'!$E$30,"")</f>
        <v/>
      </c>
      <c r="AW33" s="518" t="str">
        <f>IF(AND(_AC3="A-320",'2023'!$M$4="FO",'2023'!$M$2=AW5),'2023DATA2'!$F$30,"")</f>
        <v/>
      </c>
      <c r="AX33" s="518" t="str">
        <f>IF(AND(_AC3="A-320",'2023'!$M$4="FO",'2023'!$M$2=AX5),'2023DATA2'!$G$30,"")</f>
        <v/>
      </c>
      <c r="AY33" s="518" t="str">
        <f>IF(AND(_AC3="A-320",'2023'!$M$4="FO",'2023'!$M$2=AY5),'2023DATA2'!$H$30,"")</f>
        <v/>
      </c>
      <c r="AZ33" s="518" t="str">
        <f>IF(AND(_AC3="A-320",'2023'!$M$4="FO",'2023'!$M$2=AZ5),'2023DATA2'!$I$30,"")</f>
        <v/>
      </c>
      <c r="BA33" s="518" t="str">
        <f>IF(AND(_AC3="A-320",'2023'!$M$4="FO",'2023'!$M$2=BA5),'2023DATA2'!$J$30,"")</f>
        <v/>
      </c>
      <c r="BB33" s="518" t="str">
        <f>IF(AND(_AC3="A-320",'2023'!$M$4="FO",'2023'!$M$2=BB5),'2023DATA2'!$K$30,"")</f>
        <v/>
      </c>
      <c r="BC33" s="518" t="str">
        <f>IF(AND(_AC3="A-320",'2023'!$M$4="FO",'2023'!$M$2=BC5),'2023DATA2'!$L$30,"")</f>
        <v/>
      </c>
      <c r="BD33" s="518" t="str">
        <f>IF(AND(_AC3="A-320",'2023'!$M$4="FO",'2023'!$M$2=BD5),'2023DATA2'!$M$30,"")</f>
        <v/>
      </c>
      <c r="BE33" s="520" t="str">
        <f>IF(AND(_AC3="A-320",'2023'!$M$4="FO",'2023'!$M$2=BE5),'2023DATA2'!$N$30,"")</f>
        <v/>
      </c>
      <c r="BF33" s="940"/>
      <c r="BG33" s="13" t="s">
        <v>62</v>
      </c>
      <c r="BH33" s="518" t="str">
        <f>IF(AND(_AC4="A-320",'2023'!$M$4="FO",'2023'!$M$2=BH5),'2023DATA2'!$C$30,"")</f>
        <v/>
      </c>
      <c r="BI33" s="518" t="str">
        <f>IF(AND(_AC4="A-320",'2023'!$M$4="FO",'2023'!$M$2=BI5),'2023DATA2'!$D$30,"")</f>
        <v/>
      </c>
      <c r="BJ33" s="518" t="str">
        <f>IF(AND(_AC4="A-320",'2023'!$M$4="FO",'2023'!$M$2=BJ5),'2023DATA2'!$E$30,"")</f>
        <v/>
      </c>
      <c r="BK33" s="518" t="str">
        <f>IF(AND(_AC4="A-320",'2023'!$M$4="FO",'2023'!$M$2=BK5),'2023DATA2'!$F$30,"")</f>
        <v/>
      </c>
      <c r="BL33" s="518" t="str">
        <f>IF(AND(_AC4="A-320",'2023'!$M$4="FO",'2023'!$M$2=BL5),'2023DATA2'!$G$30,"")</f>
        <v/>
      </c>
      <c r="BM33" s="518" t="str">
        <f>IF(AND(_AC4="A-320",'2023'!$M$4="FO",'2023'!$M$2=BM5),'2023DATA2'!$H$30,"")</f>
        <v/>
      </c>
      <c r="BN33" s="518" t="str">
        <f>IF(AND(_AC4="A-320",'2023'!$M$4="FO",'2023'!$M$2=BN5),'2023DATA2'!$I$30,"")</f>
        <v/>
      </c>
      <c r="BO33" s="518" t="str">
        <f>IF(AND(_AC4="A-320",'2023'!$M$4="FO",'2023'!$M$2=BO5),'2023DATA2'!$J$30,"")</f>
        <v/>
      </c>
      <c r="BP33" s="518" t="str">
        <f>IF(AND(_AC4="A-320",'2023'!$M$4="FO",'2023'!$M$2=BP5),'2023DATA2'!$K$30,"")</f>
        <v/>
      </c>
      <c r="BQ33" s="518" t="str">
        <f>IF(AND(_AC4="A-320",'2023'!$M$4="FO",'2023'!$M$2=BQ5),'2023DATA2'!$L$30,"")</f>
        <v/>
      </c>
      <c r="BR33" s="518" t="str">
        <f>IF(AND(_AC4="A-320",'2023'!$M$4="FO",'2023'!$M$2=BR5),'2023DATA2'!$M$30,"")</f>
        <v/>
      </c>
      <c r="BS33" s="520" t="str">
        <f>IF(AND(_AC4="A-320",'2023'!$M$4="FO",'2023'!$M$2=BS5),'2023DATA2'!$N$30,"")</f>
        <v/>
      </c>
      <c r="BT33" s="940"/>
      <c r="BU33" s="13" t="s">
        <v>62</v>
      </c>
      <c r="BV33" s="518" t="str">
        <f>IF(AND(_AC5="A-320",'2023'!$M$4="FO",'2023'!$M$2=BV5),'2023DATA2'!$C$30,"")</f>
        <v/>
      </c>
      <c r="BW33" s="518" t="str">
        <f>IF(AND(_AC5="A-320",'2023'!$M$4="FO",'2023'!$M$2=BW5),'2023DATA2'!$D$30,"")</f>
        <v/>
      </c>
      <c r="BX33" s="518" t="str">
        <f>IF(AND(_AC5="A-320",'2023'!$M$4="FO",'2023'!$M$2=BX5),'2023DATA2'!$E$30,"")</f>
        <v/>
      </c>
      <c r="BY33" s="518" t="str">
        <f>IF(AND(_AC5="A-320",'2023'!$M$4="FO",'2023'!$M$2=BY5),'2023DATA2'!$F$30,"")</f>
        <v/>
      </c>
      <c r="BZ33" s="518" t="str">
        <f>IF(AND(_AC5="A-320",'2023'!$M$4="FO",'2023'!$M$2=BZ5),'2023DATA2'!$G$30,"")</f>
        <v/>
      </c>
      <c r="CA33" s="518" t="str">
        <f>IF(AND(_AC5="A-320",'2023'!$M$4="FO",'2023'!$M$2=CA5),'2023DATA2'!$H$30,"")</f>
        <v/>
      </c>
      <c r="CB33" s="518" t="str">
        <f>IF(AND(_AC5="A-320",'2023'!$M$4="FO",'2023'!$M$2=CB5),'2023DATA2'!$I$30,"")</f>
        <v/>
      </c>
      <c r="CC33" s="518" t="str">
        <f>IF(AND(_AC5="A-320",'2023'!$M$4="FO",'2023'!$M$2=CC5),'2023DATA2'!$J$30,"")</f>
        <v/>
      </c>
      <c r="CD33" s="518" t="str">
        <f>IF(AND(_AC5="A-320",'2023'!$M$4="FO",'2023'!$M$2=CD5),'2023DATA2'!$K$30,"")</f>
        <v/>
      </c>
      <c r="CE33" s="518" t="str">
        <f>IF(AND(_AC5="A-320",'2023'!$M$4="FO",'2023'!$M$2=CE5),'2023DATA2'!$L$30,"")</f>
        <v/>
      </c>
      <c r="CF33" s="518" t="str">
        <f>IF(AND(_AC5="A-320",'2023'!$M$4="FO",'2023'!$M$2=CF5),'2023DATA2'!$M$30,"")</f>
        <v/>
      </c>
      <c r="CG33" s="520" t="str">
        <f>IF(AND(_AC5="A-320",'2023'!$M$4="FO",'2023'!$M$2=CG5),'2023DATA2'!$N$30,"")</f>
        <v/>
      </c>
      <c r="CH33" s="940"/>
      <c r="CI33" s="13" t="s">
        <v>62</v>
      </c>
      <c r="CJ33" s="518" t="str">
        <f>IF(AND(_AC6="A-320",'2023'!$M$4="FO",'2023'!$M$2=CJ5),'2023DATA2'!$C$30,"")</f>
        <v/>
      </c>
      <c r="CK33" s="518" t="str">
        <f>IF(AND(_AC6="A-320",'2023'!$M$4="FO",'2023'!$M$2=CK5),'2023DATA2'!$D$30,"")</f>
        <v/>
      </c>
      <c r="CL33" s="518" t="str">
        <f>IF(AND(_AC6="A-320",'2023'!$M$4="FO",'2023'!$M$2=CL5),'2023DATA2'!$E$30,"")</f>
        <v/>
      </c>
      <c r="CM33" s="518" t="str">
        <f>IF(AND(_AC6="A-320",'2023'!$M$4="FO",'2023'!$M$2=CM5),'2023DATA2'!$F$30,"")</f>
        <v/>
      </c>
      <c r="CN33" s="518" t="str">
        <f>IF(AND(_AC6="A-320",'2023'!$M$4="FO",'2023'!$M$2=CN5),'2023DATA2'!$G$30,"")</f>
        <v/>
      </c>
      <c r="CO33" s="518" t="str">
        <f>IF(AND(_AC6="A-320",'2023'!$M$4="FO",'2023'!$M$2=CO5),'2023DATA2'!$H$30,"")</f>
        <v/>
      </c>
      <c r="CP33" s="518" t="str">
        <f>IF(AND(_AC6="A-320",'2023'!$M$4="FO",'2023'!$M$2=CP5),'2023DATA2'!$I$30,"")</f>
        <v/>
      </c>
      <c r="CQ33" s="518" t="str">
        <f>IF(AND(_AC6="A-320",'2023'!$M$4="FO",'2023'!$M$2=CQ5),'2023DATA2'!$J$30,"")</f>
        <v/>
      </c>
      <c r="CR33" s="518" t="str">
        <f>IF(AND(_AC6="A-320",'2023'!$M$4="FO",'2023'!$M$2=CR5),'2023DATA2'!$K$30,"")</f>
        <v/>
      </c>
      <c r="CS33" s="518" t="str">
        <f>IF(AND(_AC6="A-320",'2023'!$M$4="FO",'2023'!$M$2=CS5),'2023DATA2'!$L$30,"")</f>
        <v/>
      </c>
      <c r="CT33" s="518" t="str">
        <f>IF(AND(_AC6="A-320",'2023'!$M$4="FO",'2023'!$M$2=CT5),'2023DATA2'!$M$30,"")</f>
        <v/>
      </c>
      <c r="CU33" s="520" t="str">
        <f>IF(AND(_AC6="A-320",'2023'!$M$4="FO",'2023'!$M$2=CU5),'2023DATA2'!$N$30,"")</f>
        <v/>
      </c>
    </row>
    <row r="34" spans="1:99" x14ac:dyDescent="0.25">
      <c r="A34" s="946"/>
      <c r="B34" s="78" t="s">
        <v>62</v>
      </c>
      <c r="C34" s="258">
        <v>225.32</v>
      </c>
      <c r="D34" s="259">
        <v>223.29</v>
      </c>
      <c r="E34" s="259">
        <v>221.26</v>
      </c>
      <c r="F34" s="260">
        <v>218.27</v>
      </c>
      <c r="G34" s="261">
        <v>215.94</v>
      </c>
      <c r="H34" s="353">
        <v>211.07</v>
      </c>
      <c r="I34" s="259">
        <v>205.33</v>
      </c>
      <c r="J34" s="264">
        <v>200.27</v>
      </c>
      <c r="K34" s="265">
        <v>195.56</v>
      </c>
      <c r="L34" s="259">
        <v>190.94</v>
      </c>
      <c r="M34" s="259">
        <v>163.16999999999999</v>
      </c>
      <c r="N34" s="266">
        <v>110.52</v>
      </c>
      <c r="P34" s="940" t="s">
        <v>71</v>
      </c>
      <c r="Q34" s="13" t="s">
        <v>61</v>
      </c>
      <c r="R34" s="518" t="str">
        <f>IF(AND(_AC1="A-319",'2023'!$M$4="CA",'2023'!$M$2=R5),'2023DATA2'!$C$31,"")</f>
        <v/>
      </c>
      <c r="S34" s="518" t="str">
        <f>IF(AND(_AC1="A-319",'2023'!$M$4="CA",'2023'!$M$2=S5),'2023DATA2'!$D$31,"")</f>
        <v/>
      </c>
      <c r="T34" s="518" t="str">
        <f>IF(AND(_AC1="A-319",'2023'!$M$4="CA",'2023'!$M$2=T5),'2023DATA2'!$E$31,"")</f>
        <v/>
      </c>
      <c r="U34" s="518" t="str">
        <f>IF(AND(_AC1="A-319",'2023'!$M$4="CA",'2023'!$M$2=U5),'2023DATA2'!$F$31,"")</f>
        <v/>
      </c>
      <c r="V34" s="518" t="str">
        <f>IF(AND(_AC1="A-319",'2023'!$M$4="CA",'2023'!$M$2=V5),'2023DATA2'!$G$31,"")</f>
        <v/>
      </c>
      <c r="W34" s="518" t="str">
        <f>IF(AND(_AC1="A-319",'2023'!$M$4="CA",'2023'!$M$2=W5),'2023DATA2'!$H$31,"")</f>
        <v/>
      </c>
      <c r="X34" s="518" t="str">
        <f>IF(AND(_AC1="A-319",'2023'!$M$4="CA",'2023'!$M$2=X5),'2023DATA2'!$I$31,"")</f>
        <v/>
      </c>
      <c r="Y34" s="518" t="str">
        <f>IF(AND(_AC1="A-319",'2023'!$M$4="CA",'2023'!$M$2=Y5),'2023DATA2'!$J$31,"")</f>
        <v/>
      </c>
      <c r="Z34" s="518" t="str">
        <f>IF(AND(_AC1="A-319",'2023'!$M$4="CA",'2023'!$M$2=Z5),'2023DATA2'!$K$31,"")</f>
        <v/>
      </c>
      <c r="AA34" s="518" t="str">
        <f>IF(AND(_AC1="A-319",'2023'!$M$4="CA",'2023'!$M$2=AA5),'2023DATA2'!$L$31,"")</f>
        <v/>
      </c>
      <c r="AB34" s="518" t="str">
        <f>IF(AND(_AC1="A-319",'2023'!$M$4="CA",'2023'!$M$2=AB5),'2023DATA2'!$M$31,"")</f>
        <v/>
      </c>
      <c r="AC34" s="520" t="str">
        <f>IF(AND(_AC1="A-319",'2023'!$M$4="CA",'2023'!$M$2=AC5),'2023DATA2'!$N$31,"")</f>
        <v/>
      </c>
      <c r="AD34" s="940" t="s">
        <v>71</v>
      </c>
      <c r="AE34" s="13" t="s">
        <v>61</v>
      </c>
      <c r="AF34" s="518" t="str">
        <f>IF(AND(_AC2="A-319",'2023'!$M$4="CA",'2023'!$M$2=AF5),'2023DATA2'!$C$31,"")</f>
        <v/>
      </c>
      <c r="AG34" s="518" t="str">
        <f>IF(AND(_AC2="A-319",'2023'!$M$4="CA",'2023'!$M$2=AG5),'2023DATA2'!$D$31,"")</f>
        <v/>
      </c>
      <c r="AH34" s="518" t="str">
        <f>IF(AND(_AC2="A-319",'2023'!$M$4="CA",'2023'!$M$2=AH5),'2023DATA2'!$E$31,"")</f>
        <v/>
      </c>
      <c r="AI34" s="518" t="str">
        <f>IF(AND(_AC2="A-319",'2023'!$M$4="CA",'2023'!$M$2=AI5),'2023DATA2'!$F$31,"")</f>
        <v/>
      </c>
      <c r="AJ34" s="518" t="str">
        <f>IF(AND(_AC2="A-319",'2023'!$M$4="CA",'2023'!$M$2=AJ5),'2023DATA2'!$G$31,"")</f>
        <v/>
      </c>
      <c r="AK34" s="518" t="str">
        <f>IF(AND(_AC2="A-319",'2023'!$M$4="CA",'2023'!$M$2=AK5),'2023DATA2'!$H$31,"")</f>
        <v/>
      </c>
      <c r="AL34" s="518" t="str">
        <f>IF(AND(_AC2="A-319",'2023'!$M$4="CA",'2023'!$M$2=AL5),'2023DATA2'!$I$31,"")</f>
        <v/>
      </c>
      <c r="AM34" s="518" t="str">
        <f>IF(AND(_AC2="A-319",'2023'!$M$4="CA",'2023'!$M$2=AM5),'2023DATA2'!$J$31,"")</f>
        <v/>
      </c>
      <c r="AN34" s="518" t="str">
        <f>IF(AND(_AC2="A-319",'2023'!$M$4="CA",'2023'!$M$2=AN5),'2023DATA2'!$K$31,"")</f>
        <v/>
      </c>
      <c r="AO34" s="518" t="str">
        <f>IF(AND(_AC2="A-319",'2023'!$M$4="CA",'2023'!$M$2=AO5),'2023DATA2'!$L$31,"")</f>
        <v/>
      </c>
      <c r="AP34" s="518" t="str">
        <f>IF(AND(_AC2="A-319",'2023'!$M$4="CA",'2023'!$M$2=AP5),'2023DATA2'!$M$31,"")</f>
        <v/>
      </c>
      <c r="AQ34" s="520" t="str">
        <f>IF(AND(_AC2="A-319",'2023'!$M$4="CA",'2023'!$M$2=AQ5),'2023DATA2'!$N$31,"")</f>
        <v/>
      </c>
      <c r="AR34" s="940" t="s">
        <v>71</v>
      </c>
      <c r="AS34" s="13" t="s">
        <v>61</v>
      </c>
      <c r="AT34" s="518" t="str">
        <f>IF(AND(_AC3="A-319",'2023'!$M$4="CA",'2023'!$M$2=AT5),'2023DATA2'!$C$31,"")</f>
        <v/>
      </c>
      <c r="AU34" s="518" t="str">
        <f>IF(AND(_AC3="A-319",'2023'!$M$4="CA",'2023'!$M$2=AU5),'2023DATA2'!$D$31,"")</f>
        <v/>
      </c>
      <c r="AV34" s="518" t="str">
        <f>IF(AND(_AC3="A-319",'2023'!$M$4="CA",'2023'!$M$2=AV5),'2023DATA2'!$E$31,"")</f>
        <v/>
      </c>
      <c r="AW34" s="518" t="str">
        <f>IF(AND(_AC3="A-319",'2023'!$M$4="CA",'2023'!$M$2=AW5),'2023DATA2'!$F$31,"")</f>
        <v/>
      </c>
      <c r="AX34" s="518" t="str">
        <f>IF(AND(_AC3="A-319",'2023'!$M$4="CA",'2023'!$M$2=AX5),'2023DATA2'!$G$31,"")</f>
        <v/>
      </c>
      <c r="AY34" s="518" t="str">
        <f>IF(AND(_AC3="A-319",'2023'!$M$4="CA",'2023'!$M$2=AY5),'2023DATA2'!$H$31,"")</f>
        <v/>
      </c>
      <c r="AZ34" s="518" t="str">
        <f>IF(AND(_AC3="A-319",'2023'!$M$4="CA",'2023'!$M$2=AZ5),'2023DATA2'!$I$31,"")</f>
        <v/>
      </c>
      <c r="BA34" s="518" t="str">
        <f>IF(AND(_AC3="A-319",'2023'!$M$4="CA",'2023'!$M$2=BA5),'2023DATA2'!$J$31,"")</f>
        <v/>
      </c>
      <c r="BB34" s="518" t="str">
        <f>IF(AND(_AC3="A-319",'2023'!$M$4="CA",'2023'!$M$2=BB5),'2023DATA2'!$K$31,"")</f>
        <v/>
      </c>
      <c r="BC34" s="518" t="str">
        <f>IF(AND(_AC3="A-319",'2023'!$M$4="CA",'2023'!$M$2=BC5),'2023DATA2'!$L$31,"")</f>
        <v/>
      </c>
      <c r="BD34" s="518" t="str">
        <f>IF(AND(_AC3="A-319",'2023'!$M$4="CA",'2023'!$M$2=BD5),'2023DATA2'!$M$31,"")</f>
        <v/>
      </c>
      <c r="BE34" s="520" t="str">
        <f>IF(AND(_AC3="A-319",'2023'!$M$4="CA",'2023'!$M$2=BE5),'2023DATA2'!$N$31,"")</f>
        <v/>
      </c>
      <c r="BF34" s="940" t="s">
        <v>71</v>
      </c>
      <c r="BG34" s="13" t="s">
        <v>61</v>
      </c>
      <c r="BH34" s="518" t="str">
        <f>IF(AND(_AC4="A-319",'2023'!$M$4="CA",'2023'!$M$2=BH5),'2023DATA2'!$C$31,"")</f>
        <v/>
      </c>
      <c r="BI34" s="518" t="str">
        <f>IF(AND(_AC4="A-319",'2023'!$M$4="CA",'2023'!$M$2=BI5),'2023DATA2'!$D$31,"")</f>
        <v/>
      </c>
      <c r="BJ34" s="518" t="str">
        <f>IF(AND(_AC4="A-319",'2023'!$M$4="CA",'2023'!$M$2=BJ5),'2023DATA2'!$E$31,"")</f>
        <v/>
      </c>
      <c r="BK34" s="518" t="str">
        <f>IF(AND(_AC4="A-319",'2023'!$M$4="CA",'2023'!$M$2=BK5),'2023DATA2'!$F$31,"")</f>
        <v/>
      </c>
      <c r="BL34" s="518" t="str">
        <f>IF(AND(_AC4="A-319",'2023'!$M$4="CA",'2023'!$M$2=BL5),'2023DATA2'!$G$31,"")</f>
        <v/>
      </c>
      <c r="BM34" s="518" t="str">
        <f>IF(AND(_AC4="A-319",'2023'!$M$4="CA",'2023'!$M$2=BM5),'2023DATA2'!$H$31,"")</f>
        <v/>
      </c>
      <c r="BN34" s="518" t="str">
        <f>IF(AND(_AC4="A-319",'2023'!$M$4="CA",'2023'!$M$2=BN5),'2023DATA2'!$I$31,"")</f>
        <v/>
      </c>
      <c r="BO34" s="518" t="str">
        <f>IF(AND(_AC4="A-319",'2023'!$M$4="CA",'2023'!$M$2=BO5),'2023DATA2'!$J$31,"")</f>
        <v/>
      </c>
      <c r="BP34" s="518" t="str">
        <f>IF(AND(_AC4="A-319",'2023'!$M$4="CA",'2023'!$M$2=BP5),'2023DATA2'!$K$31,"")</f>
        <v/>
      </c>
      <c r="BQ34" s="518" t="str">
        <f>IF(AND(_AC4="A-319",'2023'!$M$4="CA",'2023'!$M$2=BQ5),'2023DATA2'!$L$31,"")</f>
        <v/>
      </c>
      <c r="BR34" s="518" t="str">
        <f>IF(AND(_AC4="A-319",'2023'!$M$4="CA",'2023'!$M$2=BR5),'2023DATA2'!$M$31,"")</f>
        <v/>
      </c>
      <c r="BS34" s="520" t="str">
        <f>IF(AND(_AC4="A-319",'2023'!$M$4="CA",'2023'!$M$2=BS5),'2023DATA2'!$N$31,"")</f>
        <v/>
      </c>
      <c r="BT34" s="940" t="s">
        <v>71</v>
      </c>
      <c r="BU34" s="13" t="s">
        <v>61</v>
      </c>
      <c r="BV34" s="518" t="str">
        <f>IF(AND(_AC5="A-319",'2023'!$M$4="CA",'2023'!$M$2=BV5),'2023DATA2'!$C$31,"")</f>
        <v/>
      </c>
      <c r="BW34" s="518" t="str">
        <f>IF(AND(_AC5="A-319",'2023'!$M$4="CA",'2023'!$M$2=BW5),'2023DATA2'!$D$31,"")</f>
        <v/>
      </c>
      <c r="BX34" s="518" t="str">
        <f>IF(AND(_AC5="A-319",'2023'!$M$4="CA",'2023'!$M$2=BX5),'2023DATA2'!$E$31,"")</f>
        <v/>
      </c>
      <c r="BY34" s="518" t="str">
        <f>IF(AND(_AC5="A-319",'2023'!$M$4="CA",'2023'!$M$2=BY5),'2023DATA2'!$F$31,"")</f>
        <v/>
      </c>
      <c r="BZ34" s="518" t="str">
        <f>IF(AND(_AC5="A-319",'2023'!$M$4="CA",'2023'!$M$2=BZ5),'2023DATA2'!$G$31,"")</f>
        <v/>
      </c>
      <c r="CA34" s="518" t="str">
        <f>IF(AND(_AC5="A-319",'2023'!$M$4="CA",'2023'!$M$2=CA5),'2023DATA2'!$H$31,"")</f>
        <v/>
      </c>
      <c r="CB34" s="518" t="str">
        <f>IF(AND(_AC5="A-319",'2023'!$M$4="CA",'2023'!$M$2=CB5),'2023DATA2'!$I$31,"")</f>
        <v/>
      </c>
      <c r="CC34" s="518" t="str">
        <f>IF(AND(_AC5="A-319",'2023'!$M$4="CA",'2023'!$M$2=CC5),'2023DATA2'!$J$31,"")</f>
        <v/>
      </c>
      <c r="CD34" s="518" t="str">
        <f>IF(AND(_AC5="A-319",'2023'!$M$4="CA",'2023'!$M$2=CD5),'2023DATA2'!$K$31,"")</f>
        <v/>
      </c>
      <c r="CE34" s="518" t="str">
        <f>IF(AND(_AC5="A-319",'2023'!$M$4="CA",'2023'!$M$2=CE5),'2023DATA2'!$L$31,"")</f>
        <v/>
      </c>
      <c r="CF34" s="518" t="str">
        <f>IF(AND(_AC5="A-319",'2023'!$M$4="CA",'2023'!$M$2=CF5),'2023DATA2'!$M$31,"")</f>
        <v/>
      </c>
      <c r="CG34" s="520" t="str">
        <f>IF(AND(_AC5="A-319",'2023'!$M$4="CA",'2023'!$M$2=CG5),'2023DATA2'!$N$31,"")</f>
        <v/>
      </c>
      <c r="CH34" s="940" t="s">
        <v>71</v>
      </c>
      <c r="CI34" s="13" t="s">
        <v>61</v>
      </c>
      <c r="CJ34" s="518" t="str">
        <f>IF(AND(_AC6="A-319",'2023'!$M$4="CA",'2023'!$M$2=CJ5),'2023DATA2'!$C$31,"")</f>
        <v/>
      </c>
      <c r="CK34" s="518" t="str">
        <f>IF(AND(_AC6="A-319",'2023'!$M$4="CA",'2023'!$M$2=CK5),'2023DATA2'!$D$31,"")</f>
        <v/>
      </c>
      <c r="CL34" s="518" t="str">
        <f>IF(AND(_AC6="A-319",'2023'!$M$4="CA",'2023'!$M$2=CL5),'2023DATA2'!$E$31,"")</f>
        <v/>
      </c>
      <c r="CM34" s="518" t="str">
        <f>IF(AND(_AC6="A-319",'2023'!$M$4="CA",'2023'!$M$2=CM5),'2023DATA2'!$F$31,"")</f>
        <v/>
      </c>
      <c r="CN34" s="518" t="str">
        <f>IF(AND(_AC6="A-319",'2023'!$M$4="CA",'2023'!$M$2=CN5),'2023DATA2'!$G$31,"")</f>
        <v/>
      </c>
      <c r="CO34" s="518" t="str">
        <f>IF(AND(_AC6="A-319",'2023'!$M$4="CA",'2023'!$M$2=CO5),'2023DATA2'!$H$31,"")</f>
        <v/>
      </c>
      <c r="CP34" s="518" t="str">
        <f>IF(AND(_AC6="A-319",'2023'!$M$4="CA",'2023'!$M$2=CP5),'2023DATA2'!$I$31,"")</f>
        <v/>
      </c>
      <c r="CQ34" s="518" t="str">
        <f>IF(AND(_AC6="A-319",'2023'!$M$4="CA",'2023'!$M$2=CQ5),'2023DATA2'!$J$31,"")</f>
        <v/>
      </c>
      <c r="CR34" s="518" t="str">
        <f>IF(AND(_AC6="A-319",'2023'!$M$4="CA",'2023'!$M$2=CR5),'2023DATA2'!$K$31,"")</f>
        <v/>
      </c>
      <c r="CS34" s="518" t="str">
        <f>IF(AND(_AC6="A-319",'2023'!$M$4="CA",'2023'!$M$2=CS5),'2023DATA2'!$L$31,"")</f>
        <v/>
      </c>
      <c r="CT34" s="518" t="str">
        <f>IF(AND(_AC6="A-319",'2023'!$M$4="CA",'2023'!$M$2=CT5),'2023DATA2'!$M$31,"")</f>
        <v/>
      </c>
      <c r="CU34" s="520" t="str">
        <f>IF(AND(_AC6="A-319",'2023'!$M$4="CA",'2023'!$M$2=CU5),'2023DATA2'!$N$31,"")</f>
        <v/>
      </c>
    </row>
    <row r="35" spans="1:99" x14ac:dyDescent="0.25">
      <c r="A35" s="946" t="s">
        <v>52</v>
      </c>
      <c r="B35" s="78" t="s">
        <v>61</v>
      </c>
      <c r="C35" s="187">
        <v>316.39</v>
      </c>
      <c r="D35" s="188">
        <v>313.99</v>
      </c>
      <c r="E35" s="189">
        <v>311.57</v>
      </c>
      <c r="F35" s="190">
        <v>309.18</v>
      </c>
      <c r="G35" s="191">
        <v>306.81</v>
      </c>
      <c r="H35" s="192">
        <v>304.42</v>
      </c>
      <c r="I35" s="191">
        <v>302.06</v>
      </c>
      <c r="J35" s="192">
        <v>299.64</v>
      </c>
      <c r="K35" s="190">
        <v>297.24</v>
      </c>
      <c r="L35" s="191">
        <v>294.83999999999997</v>
      </c>
      <c r="M35" s="192">
        <v>292.5</v>
      </c>
      <c r="N35" s="193">
        <v>290.08999999999997</v>
      </c>
      <c r="P35" s="940"/>
      <c r="Q35" s="13" t="s">
        <v>62</v>
      </c>
      <c r="R35" s="518" t="str">
        <f>IF(AND(_AC1="A-319",'2023'!$M$4="FO",'2023'!$M$2=R5),'2023DATA2'!$C$32,"")</f>
        <v/>
      </c>
      <c r="S35" s="518" t="str">
        <f>IF(AND(_AC1="A-319",'2023'!$M$4="FO",'2023'!$M$2=S5),'2023DATA2'!$D$32,"")</f>
        <v/>
      </c>
      <c r="T35" s="518" t="str">
        <f>IF(AND(_AC1="A-319",'2023'!$M$4="FO",'2023'!$M$2=T5),'2023DATA2'!$E$32,"")</f>
        <v/>
      </c>
      <c r="U35" s="518" t="str">
        <f>IF(AND(_AC1="A-319",'2023'!$M$4="FO",'2023'!$M$2=U5),'2023DATA2'!$F$32,"")</f>
        <v/>
      </c>
      <c r="V35" s="518" t="str">
        <f>IF(AND(_AC1="A-319",'2023'!$M$4="FO",'2023'!$M$2=V5),'2023DATA2'!$G$32,"")</f>
        <v/>
      </c>
      <c r="W35" s="518" t="str">
        <f>IF(AND(_AC1="A-319",'2023'!$M$4="FO",'2023'!$M$2=W5),'2023DATA2'!$H$32,"")</f>
        <v/>
      </c>
      <c r="X35" s="518" t="str">
        <f>IF(AND(_AC1="A-319",'2023'!$M$4="FO",'2023'!$M$2=X5),'2023DATA2'!$I$32,"")</f>
        <v/>
      </c>
      <c r="Y35" s="518" t="str">
        <f>IF(AND(_AC1="A-319",'2023'!$M$4="FO",'2023'!$M$2=Y5),'2023DATA2'!$J$32,"")</f>
        <v/>
      </c>
      <c r="Z35" s="518" t="str">
        <f>IF(AND(_AC1="A-319",'2023'!$M$4="FO",'2023'!$M$2=Z5),'2023DATA2'!$K$32,"")</f>
        <v/>
      </c>
      <c r="AA35" s="518" t="str">
        <f>IF(AND(_AC1="A-319",'2023'!$M$4="FO",'2023'!$M$2=AA5),'2023DATA2'!$L$32,"")</f>
        <v/>
      </c>
      <c r="AB35" s="518" t="str">
        <f>IF(AND(_AC1="A-319",'2023'!$M$4="FO",'2023'!$M$2=AB5),'2023DATA2'!$M$32,"")</f>
        <v/>
      </c>
      <c r="AC35" s="520" t="str">
        <f>IF(AND(_AC1="A-319",'2023'!$M$4="FO",'2023'!$M$2=AC5),'2023DATA2'!$N$32,"")</f>
        <v/>
      </c>
      <c r="AD35" s="940"/>
      <c r="AE35" s="13" t="s">
        <v>62</v>
      </c>
      <c r="AF35" s="518" t="str">
        <f>IF(AND(_AC2="A-319",'2023'!$M$4="FO",'2023'!$M$2=AF5),'2023DATA2'!$C$32,"")</f>
        <v/>
      </c>
      <c r="AG35" s="518" t="str">
        <f>IF(AND(_AC2="A-319",'2023'!$M$4="FO",'2023'!$M$2=AG5),'2023DATA2'!$D$32,"")</f>
        <v/>
      </c>
      <c r="AH35" s="518" t="str">
        <f>IF(AND(_AC2="A-319",'2023'!$M$4="FO",'2023'!$M$2=AH5),'2023DATA2'!$E$32,"")</f>
        <v/>
      </c>
      <c r="AI35" s="518" t="str">
        <f>IF(AND(_AC2="A-319",'2023'!$M$4="FO",'2023'!$M$2=AI5),'2023DATA2'!$F$32,"")</f>
        <v/>
      </c>
      <c r="AJ35" s="518" t="str">
        <f>IF(AND(_AC2="A-319",'2023'!$M$4="FO",'2023'!$M$2=AJ5),'2023DATA2'!$G$32,"")</f>
        <v/>
      </c>
      <c r="AK35" s="518" t="str">
        <f>IF(AND(_AC2="A-319",'2023'!$M$4="FO",'2023'!$M$2=AK5),'2023DATA2'!$H$32,"")</f>
        <v/>
      </c>
      <c r="AL35" s="518" t="str">
        <f>IF(AND(_AC2="A-319",'2023'!$M$4="FO",'2023'!$M$2=AL5),'2023DATA2'!$I$32,"")</f>
        <v/>
      </c>
      <c r="AM35" s="518" t="str">
        <f>IF(AND(_AC2="A-319",'2023'!$M$4="FO",'2023'!$M$2=AM5),'2023DATA2'!$J$32,"")</f>
        <v/>
      </c>
      <c r="AN35" s="518" t="str">
        <f>IF(AND(_AC2="A-319",'2023'!$M$4="FO",'2023'!$M$2=AN5),'2023DATA2'!$K$32,"")</f>
        <v/>
      </c>
      <c r="AO35" s="518" t="str">
        <f>IF(AND(_AC2="A-319",'2023'!$M$4="FO",'2023'!$M$2=AO5),'2023DATA2'!$L$32,"")</f>
        <v/>
      </c>
      <c r="AP35" s="518" t="str">
        <f>IF(AND(_AC2="A-319",'2023'!$M$4="FO",'2023'!$M$2=AP5),'2023DATA2'!$M$32,"")</f>
        <v/>
      </c>
      <c r="AQ35" s="520" t="str">
        <f>IF(AND(_AC2="A-319",'2023'!$M$4="FO",'2023'!$M$2=AQ5),'2023DATA2'!$N$32,"")</f>
        <v/>
      </c>
      <c r="AR35" s="940"/>
      <c r="AS35" s="13" t="s">
        <v>62</v>
      </c>
      <c r="AT35" s="518" t="str">
        <f>IF(AND(_AC3="A-319",'2023'!$M$4="FO",'2023'!$M$2=AT5),'2023DATA2'!$C$32,"")</f>
        <v/>
      </c>
      <c r="AU35" s="518" t="str">
        <f>IF(AND(_AC3="A-319",'2023'!$M$4="FO",'2023'!$M$2=AU5),'2023DATA2'!$D$32,"")</f>
        <v/>
      </c>
      <c r="AV35" s="518" t="str">
        <f>IF(AND(_AC3="A-319",'2023'!$M$4="FO",'2023'!$M$2=AV5),'2023DATA2'!$E$32,"")</f>
        <v/>
      </c>
      <c r="AW35" s="518" t="str">
        <f>IF(AND(_AC3="A-319",'2023'!$M$4="FO",'2023'!$M$2=AW5),'2023DATA2'!$F$32,"")</f>
        <v/>
      </c>
      <c r="AX35" s="518" t="str">
        <f>IF(AND(_AC3="A-319",'2023'!$M$4="FO",'2023'!$M$2=AX5),'2023DATA2'!$G$32,"")</f>
        <v/>
      </c>
      <c r="AY35" s="518" t="str">
        <f>IF(AND(_AC3="A-319",'2023'!$M$4="FO",'2023'!$M$2=AY5),'2023DATA2'!$H$32,"")</f>
        <v/>
      </c>
      <c r="AZ35" s="518" t="str">
        <f>IF(AND(_AC3="A-319",'2023'!$M$4="FO",'2023'!$M$2=AZ5),'2023DATA2'!$I$32,"")</f>
        <v/>
      </c>
      <c r="BA35" s="518" t="str">
        <f>IF(AND(_AC3="A-319",'2023'!$M$4="FO",'2023'!$M$2=BA5),'2023DATA2'!$J$32,"")</f>
        <v/>
      </c>
      <c r="BB35" s="518" t="str">
        <f>IF(AND(_AC3="A-319",'2023'!$M$4="FO",'2023'!$M$2=BB5),'2023DATA2'!$K$32,"")</f>
        <v/>
      </c>
      <c r="BC35" s="518" t="str">
        <f>IF(AND(_AC3="A-319",'2023'!$M$4="FO",'2023'!$M$2=BC5),'2023DATA2'!$L$32,"")</f>
        <v/>
      </c>
      <c r="BD35" s="518" t="str">
        <f>IF(AND(_AC3="A-319",'2023'!$M$4="FO",'2023'!$M$2=BD5),'2023DATA2'!$M$32,"")</f>
        <v/>
      </c>
      <c r="BE35" s="520" t="str">
        <f>IF(AND(_AC3="A-319",'2023'!$M$4="FO",'2023'!$M$2=BE5),'2023DATA2'!$N$32,"")</f>
        <v/>
      </c>
      <c r="BF35" s="940"/>
      <c r="BG35" s="13" t="s">
        <v>62</v>
      </c>
      <c r="BH35" s="518" t="str">
        <f>IF(AND(_AC4="A-319",'2023'!$M$4="FO",'2023'!$M$2=BH5),'2023DATA2'!$C$32,"")</f>
        <v/>
      </c>
      <c r="BI35" s="518" t="str">
        <f>IF(AND(_AC4="A-319",'2023'!$M$4="FO",'2023'!$M$2=BI5),'2023DATA2'!$D$32,"")</f>
        <v/>
      </c>
      <c r="BJ35" s="518" t="str">
        <f>IF(AND(_AC4="A-319",'2023'!$M$4="FO",'2023'!$M$2=BJ5),'2023DATA2'!$E$32,"")</f>
        <v/>
      </c>
      <c r="BK35" s="518" t="str">
        <f>IF(AND(_AC4="A-319",'2023'!$M$4="FO",'2023'!$M$2=BK5),'2023DATA2'!$F$32,"")</f>
        <v/>
      </c>
      <c r="BL35" s="518" t="str">
        <f>IF(AND(_AC4="A-319",'2023'!$M$4="FO",'2023'!$M$2=BL5),'2023DATA2'!$G$32,"")</f>
        <v/>
      </c>
      <c r="BM35" s="518" t="str">
        <f>IF(AND(_AC4="A-319",'2023'!$M$4="FO",'2023'!$M$2=BM5),'2023DATA2'!$H$32,"")</f>
        <v/>
      </c>
      <c r="BN35" s="518" t="str">
        <f>IF(AND(_AC4="A-319",'2023'!$M$4="FO",'2023'!$M$2=BN5),'2023DATA2'!$I$32,"")</f>
        <v/>
      </c>
      <c r="BO35" s="518" t="str">
        <f>IF(AND(_AC4="A-319",'2023'!$M$4="FO",'2023'!$M$2=BO5),'2023DATA2'!$J$32,"")</f>
        <v/>
      </c>
      <c r="BP35" s="518" t="str">
        <f>IF(AND(_AC4="A-319",'2023'!$M$4="FO",'2023'!$M$2=BP5),'2023DATA2'!$K$32,"")</f>
        <v/>
      </c>
      <c r="BQ35" s="518" t="str">
        <f>IF(AND(_AC4="A-319",'2023'!$M$4="FO",'2023'!$M$2=BQ5),'2023DATA2'!$L$32,"")</f>
        <v/>
      </c>
      <c r="BR35" s="518" t="str">
        <f>IF(AND(_AC4="A-319",'2023'!$M$4="FO",'2023'!$M$2=BR5),'2023DATA2'!$M$32,"")</f>
        <v/>
      </c>
      <c r="BS35" s="520" t="str">
        <f>IF(AND(_AC4="A-319",'2023'!$M$4="FO",'2023'!$M$2=BS5),'2023DATA2'!$N$32,"")</f>
        <v/>
      </c>
      <c r="BT35" s="940"/>
      <c r="BU35" s="13" t="s">
        <v>62</v>
      </c>
      <c r="BV35" s="518" t="str">
        <f>IF(AND(_AC5="A-319",'2023'!$M$4="FO",'2023'!$M$2=BV5),'2023DATA2'!$C$32,"")</f>
        <v/>
      </c>
      <c r="BW35" s="518" t="str">
        <f>IF(AND(_AC5="A-319",'2023'!$M$4="FO",'2023'!$M$2=BW5),'2023DATA2'!$D$32,"")</f>
        <v/>
      </c>
      <c r="BX35" s="518" t="str">
        <f>IF(AND(_AC5="A-319",'2023'!$M$4="FO",'2023'!$M$2=BX5),'2023DATA2'!$E$32,"")</f>
        <v/>
      </c>
      <c r="BY35" s="518" t="str">
        <f>IF(AND(_AC5="A-319",'2023'!$M$4="FO",'2023'!$M$2=BY5),'2023DATA2'!$F$32,"")</f>
        <v/>
      </c>
      <c r="BZ35" s="518" t="str">
        <f>IF(AND(_AC5="A-319",'2023'!$M$4="FO",'2023'!$M$2=BZ5),'2023DATA2'!$G$32,"")</f>
        <v/>
      </c>
      <c r="CA35" s="518" t="str">
        <f>IF(AND(_AC5="A-319",'2023'!$M$4="FO",'2023'!$M$2=CA5),'2023DATA2'!$H$32,"")</f>
        <v/>
      </c>
      <c r="CB35" s="518" t="str">
        <f>IF(AND(_AC5="A-319",'2023'!$M$4="FO",'2023'!$M$2=CB5),'2023DATA2'!$I$32,"")</f>
        <v/>
      </c>
      <c r="CC35" s="518" t="str">
        <f>IF(AND(_AC5="A-319",'2023'!$M$4="FO",'2023'!$M$2=CC5),'2023DATA2'!$J$32,"")</f>
        <v/>
      </c>
      <c r="CD35" s="518" t="str">
        <f>IF(AND(_AC5="A-319",'2023'!$M$4="FO",'2023'!$M$2=CD5),'2023DATA2'!$K$32,"")</f>
        <v/>
      </c>
      <c r="CE35" s="518" t="str">
        <f>IF(AND(_AC5="A-319",'2023'!$M$4="FO",'2023'!$M$2=CE5),'2023DATA2'!$L$32,"")</f>
        <v/>
      </c>
      <c r="CF35" s="518" t="str">
        <f>IF(AND(_AC5="A-319",'2023'!$M$4="FO",'2023'!$M$2=CF5),'2023DATA2'!$M$32,"")</f>
        <v/>
      </c>
      <c r="CG35" s="520" t="str">
        <f>IF(AND(_AC5="A-319",'2023'!$M$4="FO",'2023'!$M$2=CG5),'2023DATA2'!$N$32,"")</f>
        <v/>
      </c>
      <c r="CH35" s="940"/>
      <c r="CI35" s="13" t="s">
        <v>62</v>
      </c>
      <c r="CJ35" s="518" t="str">
        <f>IF(AND(_AC6="A-319",'2023'!$M$4="FO",'2023'!$M$2=CJ5),'2023DATA2'!$C$32,"")</f>
        <v/>
      </c>
      <c r="CK35" s="518" t="str">
        <f>IF(AND(_AC6="A-319",'2023'!$M$4="FO",'2023'!$M$2=CK5),'2023DATA2'!$D$32,"")</f>
        <v/>
      </c>
      <c r="CL35" s="518" t="str">
        <f>IF(AND(_AC6="A-319",'2023'!$M$4="FO",'2023'!$M$2=CL5),'2023DATA2'!$E$32,"")</f>
        <v/>
      </c>
      <c r="CM35" s="518" t="str">
        <f>IF(AND(_AC6="A-319",'2023'!$M$4="FO",'2023'!$M$2=CM5),'2023DATA2'!$F$32,"")</f>
        <v/>
      </c>
      <c r="CN35" s="518" t="str">
        <f>IF(AND(_AC6="A-319",'2023'!$M$4="FO",'2023'!$M$2=CN5),'2023DATA2'!$G$32,"")</f>
        <v/>
      </c>
      <c r="CO35" s="518" t="str">
        <f>IF(AND(_AC6="A-319",'2023'!$M$4="FO",'2023'!$M$2=CO5),'2023DATA2'!$H$32,"")</f>
        <v/>
      </c>
      <c r="CP35" s="518" t="str">
        <f>IF(AND(_AC6="A-319",'2023'!$M$4="FO",'2023'!$M$2=CP5),'2023DATA2'!$I$32,"")</f>
        <v/>
      </c>
      <c r="CQ35" s="518" t="str">
        <f>IF(AND(_AC6="A-319",'2023'!$M$4="FO",'2023'!$M$2=CQ5),'2023DATA2'!$J$32,"")</f>
        <v/>
      </c>
      <c r="CR35" s="518" t="str">
        <f>IF(AND(_AC6="A-319",'2023'!$M$4="FO",'2023'!$M$2=CR5),'2023DATA2'!$K$32,"")</f>
        <v/>
      </c>
      <c r="CS35" s="518" t="str">
        <f>IF(AND(_AC6="A-319",'2023'!$M$4="FO",'2023'!$M$2=CS5),'2023DATA2'!$L$32,"")</f>
        <v/>
      </c>
      <c r="CT35" s="518" t="str">
        <f>IF(AND(_AC6="A-319",'2023'!$M$4="FO",'2023'!$M$2=CT5),'2023DATA2'!$M$32,"")</f>
        <v/>
      </c>
      <c r="CU35" s="520" t="str">
        <f>IF(AND(_AC6="A-319",'2023'!$M$4="FO",'2023'!$M$2=CU5),'2023DATA2'!$N$32,"")</f>
        <v/>
      </c>
    </row>
    <row r="36" spans="1:99" x14ac:dyDescent="0.25">
      <c r="A36" s="946"/>
      <c r="B36" s="78" t="s">
        <v>62</v>
      </c>
      <c r="C36" s="291">
        <v>216.09</v>
      </c>
      <c r="D36" s="292">
        <v>214.14</v>
      </c>
      <c r="E36" s="292">
        <v>212.19</v>
      </c>
      <c r="F36" s="293">
        <v>209.33</v>
      </c>
      <c r="G36" s="294">
        <v>207.09</v>
      </c>
      <c r="H36" s="361">
        <v>202.43</v>
      </c>
      <c r="I36" s="292">
        <v>196.92</v>
      </c>
      <c r="J36" s="297">
        <v>192.06</v>
      </c>
      <c r="K36" s="298">
        <v>187.54</v>
      </c>
      <c r="L36" s="292">
        <v>183.11</v>
      </c>
      <c r="M36" s="292">
        <v>156.49</v>
      </c>
      <c r="N36" s="299">
        <v>110.52</v>
      </c>
      <c r="P36" s="940" t="s">
        <v>51</v>
      </c>
      <c r="Q36" s="13" t="s">
        <v>61</v>
      </c>
      <c r="R36" s="518" t="str">
        <f>IF(AND(_AC1="A-220-300",'2023'!$M$4="CA",'2023'!$M$2=R5),'2023DATA2'!$C$33,"")</f>
        <v/>
      </c>
      <c r="S36" s="518" t="str">
        <f>IF(AND(_AC1="A-220-300",'2023'!$M$4="CA",'2023'!$M$2=S5),'2023DATA2'!$D$33,"")</f>
        <v/>
      </c>
      <c r="T36" s="518" t="str">
        <f>IF(AND(_AC1="A-220-300",'2023'!$M$4="CA",'2023'!$M$2=T5),'2023DATA2'!$E$33,"")</f>
        <v/>
      </c>
      <c r="U36" s="518" t="str">
        <f>IF(AND(_AC1="A-220-300",'2023'!$M$4="CA",'2023'!$M$2=U5),'2023DATA2'!$F$33,"")</f>
        <v/>
      </c>
      <c r="V36" s="518" t="str">
        <f>IF(AND(_AC1="A-220-300",'2023'!$M$4="CA",'2023'!$M$2=V5),'2023DATA2'!$G$33,"")</f>
        <v/>
      </c>
      <c r="W36" s="518" t="str">
        <f>IF(AND(_AC1="A-220-300",'2023'!$M$4="CA",'2023'!$M$2=W5),'2023DATA2'!$H$33,"")</f>
        <v/>
      </c>
      <c r="X36" s="518" t="str">
        <f>IF(AND(_AC1="A-220-300",'2023'!$M$4="CA",'2023'!$M$2=X5),'2023DATA2'!$I$33,"")</f>
        <v/>
      </c>
      <c r="Y36" s="518" t="str">
        <f>IF(AND(_AC1="A-220-300",'2023'!$M$4="CA",'2023'!$M$2=Y5),'2023DATA2'!$J$33,"")</f>
        <v/>
      </c>
      <c r="Z36" s="518" t="str">
        <f>IF(AND(_AC1="A-220-300",'2023'!$M$4="CA",'2023'!$M$2=Z5),'2023DATA2'!$K$33,"")</f>
        <v/>
      </c>
      <c r="AA36" s="518" t="str">
        <f>IF(AND(_AC1="A-220-300",'2023'!$M$4="CA",'2023'!$M$2=AA5),'2023DATA2'!$L$33,"")</f>
        <v/>
      </c>
      <c r="AB36" s="518" t="str">
        <f>IF(AND(_AC1="A-220-300",'2023'!$M$4="CA",'2023'!$M$2=AB5),'2023DATA2'!$M$33,"")</f>
        <v/>
      </c>
      <c r="AC36" s="520" t="str">
        <f>IF(AND(_AC1="A-220-300",'2023'!$M$4="CA",'2023'!$M$2=AC5),'2023DATA2'!$N$33,"")</f>
        <v/>
      </c>
      <c r="AD36" s="940" t="s">
        <v>51</v>
      </c>
      <c r="AE36" s="13" t="s">
        <v>61</v>
      </c>
      <c r="AF36" s="518" t="str">
        <f>IF(AND(_AC2="A-220-300",'2023'!$M$4="CA",'2023'!$M$2=AF5),'2023DATA2'!$C$33,"")</f>
        <v/>
      </c>
      <c r="AG36" s="518" t="str">
        <f>IF(AND(_AC2="A-220-300",'2023'!$M$4="CA",'2023'!$M$2=AG5),'2023DATA2'!$D$33,"")</f>
        <v/>
      </c>
      <c r="AH36" s="518" t="str">
        <f>IF(AND(_AC2="A-220-300",'2023'!$M$4="CA",'2023'!$M$2=AH5),'2023DATA2'!$E$33,"")</f>
        <v/>
      </c>
      <c r="AI36" s="518" t="str">
        <f>IF(AND(_AC2="A-220-300",'2023'!$M$4="CA",'2023'!$M$2=AI5),'2023DATA2'!$F$33,"")</f>
        <v/>
      </c>
      <c r="AJ36" s="518" t="str">
        <f>IF(AND(_AC2="A-220-300",'2023'!$M$4="CA",'2023'!$M$2=AJ5),'2023DATA2'!$G$33,"")</f>
        <v/>
      </c>
      <c r="AK36" s="518" t="str">
        <f>IF(AND(_AC2="A-220-300",'2023'!$M$4="CA",'2023'!$M$2=AK5),'2023DATA2'!$H$33,"")</f>
        <v/>
      </c>
      <c r="AL36" s="518" t="str">
        <f>IF(AND(_AC2="A-220-300",'2023'!$M$4="CA",'2023'!$M$2=AL5),'2023DATA2'!$I$33,"")</f>
        <v/>
      </c>
      <c r="AM36" s="518" t="str">
        <f>IF(AND(_AC2="A-220-300",'2023'!$M$4="CA",'2023'!$M$2=AM5),'2023DATA2'!$J$33,"")</f>
        <v/>
      </c>
      <c r="AN36" s="518" t="str">
        <f>IF(AND(_AC2="A-220-300",'2023'!$M$4="CA",'2023'!$M$2=AN5),'2023DATA2'!$K$33,"")</f>
        <v/>
      </c>
      <c r="AO36" s="518" t="str">
        <f>IF(AND(_AC2="A-220-300",'2023'!$M$4="CA",'2023'!$M$2=AO5),'2023DATA2'!$L$33,"")</f>
        <v/>
      </c>
      <c r="AP36" s="518" t="str">
        <f>IF(AND(_AC2="A-220-300",'2023'!$M$4="CA",'2023'!$M$2=AP5),'2023DATA2'!$M$33,"")</f>
        <v/>
      </c>
      <c r="AQ36" s="520" t="str">
        <f>IF(AND(_AC2="A-220-300",'2023'!$M$4="CA",'2023'!$M$2=AQ5),'2023DATA2'!$N$33,"")</f>
        <v/>
      </c>
      <c r="AR36" s="940" t="s">
        <v>51</v>
      </c>
      <c r="AS36" s="13" t="s">
        <v>61</v>
      </c>
      <c r="AT36" s="518" t="str">
        <f>IF(AND(_AC3="A-220-300",'2023'!$M$4="CA",'2023'!$M$2=AT5),'2023DATA2'!$C$33,"")</f>
        <v/>
      </c>
      <c r="AU36" s="518" t="str">
        <f>IF(AND(_AC3="A-220-300",'2023'!$M$4="CA",'2023'!$M$2=AU5),'2023DATA2'!$D$33,"")</f>
        <v/>
      </c>
      <c r="AV36" s="518" t="str">
        <f>IF(AND(_AC3="A-220-300",'2023'!$M$4="CA",'2023'!$M$2=AV5),'2023DATA2'!$E$33,"")</f>
        <v/>
      </c>
      <c r="AW36" s="518" t="str">
        <f>IF(AND(_AC3="A-220-300",'2023'!$M$4="CA",'2023'!$M$2=AW5),'2023DATA2'!$F$33,"")</f>
        <v/>
      </c>
      <c r="AX36" s="518" t="str">
        <f>IF(AND(_AC3="A-220-300",'2023'!$M$4="CA",'2023'!$M$2=AX5),'2023DATA2'!$G$33,"")</f>
        <v/>
      </c>
      <c r="AY36" s="518" t="str">
        <f>IF(AND(_AC3="A-220-300",'2023'!$M$4="CA",'2023'!$M$2=AY5),'2023DATA2'!$H$33,"")</f>
        <v/>
      </c>
      <c r="AZ36" s="518" t="str">
        <f>IF(AND(_AC3="A-220-300",'2023'!$M$4="CA",'2023'!$M$2=AZ5),'2023DATA2'!$I$33,"")</f>
        <v/>
      </c>
      <c r="BA36" s="518" t="str">
        <f>IF(AND(_AC3="A-220-300",'2023'!$M$4="CA",'2023'!$M$2=BA5),'2023DATA2'!$J$33,"")</f>
        <v/>
      </c>
      <c r="BB36" s="518" t="str">
        <f>IF(AND(_AC3="A-220-300",'2023'!$M$4="CA",'2023'!$M$2=BB5),'2023DATA2'!$K$33,"")</f>
        <v/>
      </c>
      <c r="BC36" s="518" t="str">
        <f>IF(AND(_AC3="A-220-300",'2023'!$M$4="CA",'2023'!$M$2=BC5),'2023DATA2'!$L$33,"")</f>
        <v/>
      </c>
      <c r="BD36" s="518" t="str">
        <f>IF(AND(_AC3="A-220-300",'2023'!$M$4="CA",'2023'!$M$2=BD5),'2023DATA2'!$M$33,"")</f>
        <v/>
      </c>
      <c r="BE36" s="520" t="str">
        <f>IF(AND(_AC3="A-220-300",'2023'!$M$4="CA",'2023'!$M$2=BE5),'2023DATA2'!$N$33,"")</f>
        <v/>
      </c>
      <c r="BF36" s="940" t="s">
        <v>51</v>
      </c>
      <c r="BG36" s="13" t="s">
        <v>61</v>
      </c>
      <c r="BH36" s="518" t="str">
        <f>IF(AND(_AC4="A-220-300",'2023'!$M$4="CA",'2023'!$M$2=BH5),'2023DATA2'!$C$33,"")</f>
        <v/>
      </c>
      <c r="BI36" s="518" t="str">
        <f>IF(AND(_AC4="A-220-300",'2023'!$M$4="CA",'2023'!$M$2=BI5),'2023DATA2'!$D$33,"")</f>
        <v/>
      </c>
      <c r="BJ36" s="518" t="str">
        <f>IF(AND(_AC4="A-220-300",'2023'!$M$4="CA",'2023'!$M$2=BJ5),'2023DATA2'!$E$33,"")</f>
        <v/>
      </c>
      <c r="BK36" s="518" t="str">
        <f>IF(AND(_AC4="A-220-300",'2023'!$M$4="CA",'2023'!$M$2=BK5),'2023DATA2'!$F$33,"")</f>
        <v/>
      </c>
      <c r="BL36" s="518" t="str">
        <f>IF(AND(_AC4="A-220-300",'2023'!$M$4="CA",'2023'!$M$2=BL5),'2023DATA2'!$G$33,"")</f>
        <v/>
      </c>
      <c r="BM36" s="518" t="str">
        <f>IF(AND(_AC4="A-220-300",'2023'!$M$4="CA",'2023'!$M$2=BM5),'2023DATA2'!$H$33,"")</f>
        <v/>
      </c>
      <c r="BN36" s="518" t="str">
        <f>IF(AND(_AC4="A-220-300",'2023'!$M$4="CA",'2023'!$M$2=BN5),'2023DATA2'!$I$33,"")</f>
        <v/>
      </c>
      <c r="BO36" s="518" t="str">
        <f>IF(AND(_AC4="A-220-300",'2023'!$M$4="CA",'2023'!$M$2=BO5),'2023DATA2'!$J$33,"")</f>
        <v/>
      </c>
      <c r="BP36" s="518" t="str">
        <f>IF(AND(_AC4="A-220-300",'2023'!$M$4="CA",'2023'!$M$2=BP5),'2023DATA2'!$K$33,"")</f>
        <v/>
      </c>
      <c r="BQ36" s="518" t="str">
        <f>IF(AND(_AC4="A-220-300",'2023'!$M$4="CA",'2023'!$M$2=BQ5),'2023DATA2'!$L$33,"")</f>
        <v/>
      </c>
      <c r="BR36" s="518" t="str">
        <f>IF(AND(_AC4="A-220-300",'2023'!$M$4="CA",'2023'!$M$2=BR5),'2023DATA2'!$M$33,"")</f>
        <v/>
      </c>
      <c r="BS36" s="520" t="str">
        <f>IF(AND(_AC4="A-220-300",'2023'!$M$4="CA",'2023'!$M$2=BS5),'2023DATA2'!$N$33,"")</f>
        <v/>
      </c>
      <c r="BT36" s="940" t="s">
        <v>51</v>
      </c>
      <c r="BU36" s="13" t="s">
        <v>61</v>
      </c>
      <c r="BV36" s="518" t="str">
        <f>IF(AND(_AC5="A-220-300",'2023'!$M$4="CA",'2023'!$M$2=BV5),'2023DATA2'!$C$33,"")</f>
        <v/>
      </c>
      <c r="BW36" s="518" t="str">
        <f>IF(AND(_AC5="A-220-300",'2023'!$M$4="CA",'2023'!$M$2=BW5),'2023DATA2'!$D$33,"")</f>
        <v/>
      </c>
      <c r="BX36" s="518" t="str">
        <f>IF(AND(_AC5="A-220-300",'2023'!$M$4="CA",'2023'!$M$2=BX5),'2023DATA2'!$E$33,"")</f>
        <v/>
      </c>
      <c r="BY36" s="518" t="str">
        <f>IF(AND(_AC5="A-220-300",'2023'!$M$4="CA",'2023'!$M$2=BY5),'2023DATA2'!$F$33,"")</f>
        <v/>
      </c>
      <c r="BZ36" s="518" t="str">
        <f>IF(AND(_AC5="A-220-300",'2023'!$M$4="CA",'2023'!$M$2=BZ5),'2023DATA2'!$G$33,"")</f>
        <v/>
      </c>
      <c r="CA36" s="518" t="str">
        <f>IF(AND(_AC5="A-220-300",'2023'!$M$4="CA",'2023'!$M$2=CA5),'2023DATA2'!$H$33,"")</f>
        <v/>
      </c>
      <c r="CB36" s="518" t="str">
        <f>IF(AND(_AC5="A-220-300",'2023'!$M$4="CA",'2023'!$M$2=CB5),'2023DATA2'!$I$33,"")</f>
        <v/>
      </c>
      <c r="CC36" s="518" t="str">
        <f>IF(AND(_AC5="A-220-300",'2023'!$M$4="CA",'2023'!$M$2=CC5),'2023DATA2'!$J$33,"")</f>
        <v/>
      </c>
      <c r="CD36" s="518" t="str">
        <f>IF(AND(_AC5="A-220-300",'2023'!$M$4="CA",'2023'!$M$2=CD5),'2023DATA2'!$K$33,"")</f>
        <v/>
      </c>
      <c r="CE36" s="518" t="str">
        <f>IF(AND(_AC5="A-220-300",'2023'!$M$4="CA",'2023'!$M$2=CE5),'2023DATA2'!$L$33,"")</f>
        <v/>
      </c>
      <c r="CF36" s="518" t="str">
        <f>IF(AND(_AC5="A-220-300",'2023'!$M$4="CA",'2023'!$M$2=CF5),'2023DATA2'!$M$33,"")</f>
        <v/>
      </c>
      <c r="CG36" s="520" t="str">
        <f>IF(AND(_AC5="A-220-300",'2023'!$M$4="CA",'2023'!$M$2=CG5),'2023DATA2'!$N$33,"")</f>
        <v/>
      </c>
      <c r="CH36" s="940" t="s">
        <v>51</v>
      </c>
      <c r="CI36" s="13" t="s">
        <v>61</v>
      </c>
      <c r="CJ36" s="518" t="str">
        <f>IF(AND(_AC6="A-220-300",'2023'!$M$4="CA",'2023'!$M$2=CJ5),'2023DATA2'!$C$33,"")</f>
        <v/>
      </c>
      <c r="CK36" s="518" t="str">
        <f>IF(AND(_AC6="A-220-300",'2023'!$M$4="CA",'2023'!$M$2=CK5),'2023DATA2'!$D$33,"")</f>
        <v/>
      </c>
      <c r="CL36" s="518" t="str">
        <f>IF(AND(_AC6="A-220-300",'2023'!$M$4="CA",'2023'!$M$2=CL5),'2023DATA2'!$E$33,"")</f>
        <v/>
      </c>
      <c r="CM36" s="518" t="str">
        <f>IF(AND(_AC6="A-220-300",'2023'!$M$4="CA",'2023'!$M$2=CM5),'2023DATA2'!$F$33,"")</f>
        <v/>
      </c>
      <c r="CN36" s="518" t="str">
        <f>IF(AND(_AC6="A-220-300",'2023'!$M$4="CA",'2023'!$M$2=CN5),'2023DATA2'!$G$33,"")</f>
        <v/>
      </c>
      <c r="CO36" s="518" t="str">
        <f>IF(AND(_AC6="A-220-300",'2023'!$M$4="CA",'2023'!$M$2=CO5),'2023DATA2'!$H$33,"")</f>
        <v/>
      </c>
      <c r="CP36" s="518" t="str">
        <f>IF(AND(_AC6="A-220-300",'2023'!$M$4="CA",'2023'!$M$2=CP5),'2023DATA2'!$I$33,"")</f>
        <v/>
      </c>
      <c r="CQ36" s="518" t="str">
        <f>IF(AND(_AC6="A-220-300",'2023'!$M$4="CA",'2023'!$M$2=CQ5),'2023DATA2'!$J$33,"")</f>
        <v/>
      </c>
      <c r="CR36" s="518" t="str">
        <f>IF(AND(_AC6="A-220-300",'2023'!$M$4="CA",'2023'!$M$2=CR5),'2023DATA2'!$K$33,"")</f>
        <v/>
      </c>
      <c r="CS36" s="518" t="str">
        <f>IF(AND(_AC6="A-220-300",'2023'!$M$4="CA",'2023'!$M$2=CS5),'2023DATA2'!$L$33,"")</f>
        <v/>
      </c>
      <c r="CT36" s="518" t="str">
        <f>IF(AND(_AC6="A-220-300",'2023'!$M$4="CA",'2023'!$M$2=CT5),'2023DATA2'!$M$33,"")</f>
        <v/>
      </c>
      <c r="CU36" s="520" t="str">
        <f>IF(AND(_AC6="A-220-300",'2023'!$M$4="CA",'2023'!$M$2=CU5),'2023DATA2'!$N$33,"")</f>
        <v/>
      </c>
    </row>
    <row r="37" spans="1:99" x14ac:dyDescent="0.25">
      <c r="A37" s="946" t="s">
        <v>53</v>
      </c>
      <c r="B37" s="78" t="s">
        <v>61</v>
      </c>
      <c r="C37" s="423">
        <v>307.64</v>
      </c>
      <c r="D37" s="424">
        <v>305.42</v>
      </c>
      <c r="E37" s="425">
        <v>303.06</v>
      </c>
      <c r="F37" s="426">
        <v>300.70999999999998</v>
      </c>
      <c r="G37" s="427">
        <v>298.39</v>
      </c>
      <c r="H37" s="428">
        <v>296.08</v>
      </c>
      <c r="I37" s="427">
        <v>293.83999999999997</v>
      </c>
      <c r="J37" s="428">
        <v>291.44</v>
      </c>
      <c r="K37" s="426">
        <v>289.20999999999998</v>
      </c>
      <c r="L37" s="427">
        <v>286.89</v>
      </c>
      <c r="M37" s="428">
        <v>284.55</v>
      </c>
      <c r="N37" s="429">
        <v>282.47000000000003</v>
      </c>
      <c r="P37" s="940"/>
      <c r="Q37" s="13" t="s">
        <v>62</v>
      </c>
      <c r="R37" s="518" t="str">
        <f>IF(AND(_AC1="A-220-300",'2023'!$M$4="FO",'2023'!$M$2=R5),'2023DATA2'!$C$34,"")</f>
        <v/>
      </c>
      <c r="S37" s="518" t="str">
        <f>IF(AND(_AC1="A-220-300",'2023'!$M$4="FO",'2023'!$M$2=S5),'2023DATA2'!$D$34,"")</f>
        <v/>
      </c>
      <c r="T37" s="518" t="str">
        <f>IF(AND(_AC1="A-220-300",'2023'!$M$4="FO",'2023'!$M$2=T5),'2023DATA2'!$E$34,"")</f>
        <v/>
      </c>
      <c r="U37" s="518" t="str">
        <f>IF(AND(_AC1="A-220-300",'2023'!$M$4="FO",'2023'!$M$2=U5),'2023DATA2'!$F$34,"")</f>
        <v/>
      </c>
      <c r="V37" s="518" t="str">
        <f>IF(AND(_AC1="A-220-300",'2023'!$M$4="FO",'2023'!$M$2=V5),'2023DATA2'!$G$34,"")</f>
        <v/>
      </c>
      <c r="W37" s="518" t="str">
        <f>IF(AND(_AC1="A-220-300",'2023'!$M$4="FO",'2023'!$M$2=W5),'2023DATA2'!$H$34,"")</f>
        <v/>
      </c>
      <c r="X37" s="518" t="str">
        <f>IF(AND(_AC1="A-220-300",'2023'!$M$4="FO",'2023'!$M$2=X5),'2023DATA2'!$I$34,"")</f>
        <v/>
      </c>
      <c r="Y37" s="518" t="str">
        <f>IF(AND(_AC1="A-220-300",'2023'!$M$4="FO",'2023'!$M$2=Y5),'2023DATA2'!$J$34,"")</f>
        <v/>
      </c>
      <c r="Z37" s="518" t="str">
        <f>IF(AND(_AC1="A-220-300",'2023'!$M$4="FO",'2023'!$M$2=Z5),'2023DATA2'!$K$34,"")</f>
        <v/>
      </c>
      <c r="AA37" s="518" t="str">
        <f>IF(AND(_AC1="A-220-300",'2023'!$M$4="FO",'2023'!$M$2=AA5),'2023DATA2'!$L$34,"")</f>
        <v/>
      </c>
      <c r="AB37" s="518" t="str">
        <f>IF(AND(_AC1="A-220-300",'2023'!$M$4="FO",'2023'!$M$2=AB5),'2023DATA2'!$M$34,"")</f>
        <v/>
      </c>
      <c r="AC37" s="520" t="str">
        <f>IF(AND(_AC1="A-220-300",'2023'!$M$4="FO",'2023'!$M$2=AC5),'2023DATA2'!$N$34,"")</f>
        <v/>
      </c>
      <c r="AD37" s="940"/>
      <c r="AE37" s="13" t="s">
        <v>62</v>
      </c>
      <c r="AF37" s="518" t="str">
        <f>IF(AND(_AC2="A-220-300",'2023'!$M$4="FO",'2023'!$M$2=AF5),'2023DATA2'!$C$34,"")</f>
        <v/>
      </c>
      <c r="AG37" s="518" t="str">
        <f>IF(AND(_AC2="A-220-300",'2023'!$M$4="FO",'2023'!$M$2=AG5),'2023DATA2'!$D$34,"")</f>
        <v/>
      </c>
      <c r="AH37" s="518" t="str">
        <f>IF(AND(_AC2="A-220-300",'2023'!$M$4="FO",'2023'!$M$2=AH5),'2023DATA2'!$E$34,"")</f>
        <v/>
      </c>
      <c r="AI37" s="518" t="str">
        <f>IF(AND(_AC2="A-220-300",'2023'!$M$4="FO",'2023'!$M$2=AI5),'2023DATA2'!$F$34,"")</f>
        <v/>
      </c>
      <c r="AJ37" s="518" t="str">
        <f>IF(AND(_AC2="A-220-300",'2023'!$M$4="FO",'2023'!$M$2=AJ5),'2023DATA2'!$G$34,"")</f>
        <v/>
      </c>
      <c r="AK37" s="518" t="str">
        <f>IF(AND(_AC2="A-220-300",'2023'!$M$4="FO",'2023'!$M$2=AK5),'2023DATA2'!$H$34,"")</f>
        <v/>
      </c>
      <c r="AL37" s="518" t="str">
        <f>IF(AND(_AC2="A-220-300",'2023'!$M$4="FO",'2023'!$M$2=AL5),'2023DATA2'!$I$34,"")</f>
        <v/>
      </c>
      <c r="AM37" s="518" t="str">
        <f>IF(AND(_AC2="A-220-300",'2023'!$M$4="FO",'2023'!$M$2=AM5),'2023DATA2'!$J$34,"")</f>
        <v/>
      </c>
      <c r="AN37" s="518" t="str">
        <f>IF(AND(_AC2="A-220-300",'2023'!$M$4="FO",'2023'!$M$2=AN5),'2023DATA2'!$K$34,"")</f>
        <v/>
      </c>
      <c r="AO37" s="518" t="str">
        <f>IF(AND(_AC2="A-220-300",'2023'!$M$4="FO",'2023'!$M$2=AO5),'2023DATA2'!$L$34,"")</f>
        <v/>
      </c>
      <c r="AP37" s="518" t="str">
        <f>IF(AND(_AC2="A-220-300",'2023'!$M$4="FO",'2023'!$M$2=AP5),'2023DATA2'!$M$34,"")</f>
        <v/>
      </c>
      <c r="AQ37" s="520" t="str">
        <f>IF(AND(_AC2="A-220-300",'2023'!$M$4="FO",'2023'!$M$2=AQ5),'2023DATA2'!$N$34,"")</f>
        <v/>
      </c>
      <c r="AR37" s="940"/>
      <c r="AS37" s="13" t="s">
        <v>62</v>
      </c>
      <c r="AT37" s="518" t="str">
        <f>IF(AND(_AC3="A-220-300",'2023'!$M$4="FO",'2023'!$M$2=AT5),'2023DATA2'!$C$34,"")</f>
        <v/>
      </c>
      <c r="AU37" s="518" t="str">
        <f>IF(AND(_AC3="A-220-300",'2023'!$M$4="FO",'2023'!$M$2=AU5),'2023DATA2'!$D$34,"")</f>
        <v/>
      </c>
      <c r="AV37" s="518" t="str">
        <f>IF(AND(_AC3="A-220-300",'2023'!$M$4="FO",'2023'!$M$2=AV5),'2023DATA2'!$E$34,"")</f>
        <v/>
      </c>
      <c r="AW37" s="518" t="str">
        <f>IF(AND(_AC3="A-220-300",'2023'!$M$4="FO",'2023'!$M$2=AW5),'2023DATA2'!$F$34,"")</f>
        <v/>
      </c>
      <c r="AX37" s="518" t="str">
        <f>IF(AND(_AC3="A-220-300",'2023'!$M$4="FO",'2023'!$M$2=AX5),'2023DATA2'!$G$34,"")</f>
        <v/>
      </c>
      <c r="AY37" s="518" t="str">
        <f>IF(AND(_AC3="A-220-300",'2023'!$M$4="FO",'2023'!$M$2=AY5),'2023DATA2'!$H$34,"")</f>
        <v/>
      </c>
      <c r="AZ37" s="518" t="str">
        <f>IF(AND(_AC3="A-220-300",'2023'!$M$4="FO",'2023'!$M$2=AZ5),'2023DATA2'!$I$34,"")</f>
        <v/>
      </c>
      <c r="BA37" s="518" t="str">
        <f>IF(AND(_AC3="A-220-300",'2023'!$M$4="FO",'2023'!$M$2=BA5),'2023DATA2'!$J$34,"")</f>
        <v/>
      </c>
      <c r="BB37" s="518" t="str">
        <f>IF(AND(_AC3="A-220-300",'2023'!$M$4="FO",'2023'!$M$2=BB5),'2023DATA2'!$K$34,"")</f>
        <v/>
      </c>
      <c r="BC37" s="518" t="str">
        <f>IF(AND(_AC3="A-220-300",'2023'!$M$4="FO",'2023'!$M$2=BC5),'2023DATA2'!$L$34,"")</f>
        <v/>
      </c>
      <c r="BD37" s="518" t="str">
        <f>IF(AND(_AC3="A-220-300",'2023'!$M$4="FO",'2023'!$M$2=BD5),'2023DATA2'!$M$34,"")</f>
        <v/>
      </c>
      <c r="BE37" s="520" t="str">
        <f>IF(AND(_AC3="A-220-300",'2023'!$M$4="FO",'2023'!$M$2=BE5),'2023DATA2'!$N$34,"")</f>
        <v/>
      </c>
      <c r="BF37" s="940"/>
      <c r="BG37" s="13" t="s">
        <v>62</v>
      </c>
      <c r="BH37" s="518" t="str">
        <f>IF(AND(_AC4="A-220-300",'2023'!$M$4="FO",'2023'!$M$2=BH5),'2023DATA2'!$C$34,"")</f>
        <v/>
      </c>
      <c r="BI37" s="518" t="str">
        <f>IF(AND(_AC4="A-220-300",'2023'!$M$4="FO",'2023'!$M$2=BI5),'2023DATA2'!$D$34,"")</f>
        <v/>
      </c>
      <c r="BJ37" s="518" t="str">
        <f>IF(AND(_AC4="A-220-300",'2023'!$M$4="FO",'2023'!$M$2=BJ5),'2023DATA2'!$E$34,"")</f>
        <v/>
      </c>
      <c r="BK37" s="518" t="str">
        <f>IF(AND(_AC4="A-220-300",'2023'!$M$4="FO",'2023'!$M$2=BK5),'2023DATA2'!$F$34,"")</f>
        <v/>
      </c>
      <c r="BL37" s="518" t="str">
        <f>IF(AND(_AC4="A-220-300",'2023'!$M$4="FO",'2023'!$M$2=BL5),'2023DATA2'!$G$34,"")</f>
        <v/>
      </c>
      <c r="BM37" s="518" t="str">
        <f>IF(AND(_AC4="A-220-300",'2023'!$M$4="FO",'2023'!$M$2=BM5),'2023DATA2'!$H$34,"")</f>
        <v/>
      </c>
      <c r="BN37" s="518" t="str">
        <f>IF(AND(_AC4="A-220-300",'2023'!$M$4="FO",'2023'!$M$2=BN5),'2023DATA2'!$I$34,"")</f>
        <v/>
      </c>
      <c r="BO37" s="518" t="str">
        <f>IF(AND(_AC4="A-220-300",'2023'!$M$4="FO",'2023'!$M$2=BO5),'2023DATA2'!$J$34,"")</f>
        <v/>
      </c>
      <c r="BP37" s="518" t="str">
        <f>IF(AND(_AC4="A-220-300",'2023'!$M$4="FO",'2023'!$M$2=BP5),'2023DATA2'!$K$34,"")</f>
        <v/>
      </c>
      <c r="BQ37" s="518" t="str">
        <f>IF(AND(_AC4="A-220-300",'2023'!$M$4="FO",'2023'!$M$2=BQ5),'2023DATA2'!$L$34,"")</f>
        <v/>
      </c>
      <c r="BR37" s="518" t="str">
        <f>IF(AND(_AC4="A-220-300",'2023'!$M$4="FO",'2023'!$M$2=BR5),'2023DATA2'!$M$34,"")</f>
        <v/>
      </c>
      <c r="BS37" s="520" t="str">
        <f>IF(AND(_AC4="A-220-300",'2023'!$M$4="FO",'2023'!$M$2=BS5),'2023DATA2'!$N$34,"")</f>
        <v/>
      </c>
      <c r="BT37" s="940"/>
      <c r="BU37" s="13" t="s">
        <v>62</v>
      </c>
      <c r="BV37" s="518" t="str">
        <f>IF(AND(_AC5="A-220-300",'2023'!$M$4="FO",'2023'!$M$2=BV5),'2023DATA2'!$C$34,"")</f>
        <v/>
      </c>
      <c r="BW37" s="518" t="str">
        <f>IF(AND(_AC5="A-220-300",'2023'!$M$4="FO",'2023'!$M$2=BW5),'2023DATA2'!$D$34,"")</f>
        <v/>
      </c>
      <c r="BX37" s="518" t="str">
        <f>IF(AND(_AC5="A-220-300",'2023'!$M$4="FO",'2023'!$M$2=BX5),'2023DATA2'!$E$34,"")</f>
        <v/>
      </c>
      <c r="BY37" s="518" t="str">
        <f>IF(AND(_AC5="A-220-300",'2023'!$M$4="FO",'2023'!$M$2=BY5),'2023DATA2'!$F$34,"")</f>
        <v/>
      </c>
      <c r="BZ37" s="518" t="str">
        <f>IF(AND(_AC5="A-220-300",'2023'!$M$4="FO",'2023'!$M$2=BZ5),'2023DATA2'!$G$34,"")</f>
        <v/>
      </c>
      <c r="CA37" s="518" t="str">
        <f>IF(AND(_AC5="A-220-300",'2023'!$M$4="FO",'2023'!$M$2=CA5),'2023DATA2'!$H$34,"")</f>
        <v/>
      </c>
      <c r="CB37" s="518" t="str">
        <f>IF(AND(_AC5="A-220-300",'2023'!$M$4="FO",'2023'!$M$2=CB5),'2023DATA2'!$I$34,"")</f>
        <v/>
      </c>
      <c r="CC37" s="518" t="str">
        <f>IF(AND(_AC5="A-220-300",'2023'!$M$4="FO",'2023'!$M$2=CC5),'2023DATA2'!$J$34,"")</f>
        <v/>
      </c>
      <c r="CD37" s="518" t="str">
        <f>IF(AND(_AC5="A-220-300",'2023'!$M$4="FO",'2023'!$M$2=CD5),'2023DATA2'!$K$34,"")</f>
        <v/>
      </c>
      <c r="CE37" s="518" t="str">
        <f>IF(AND(_AC5="A-220-300",'2023'!$M$4="FO",'2023'!$M$2=CE5),'2023DATA2'!$L$34,"")</f>
        <v/>
      </c>
      <c r="CF37" s="518" t="str">
        <f>IF(AND(_AC5="A-220-300",'2023'!$M$4="FO",'2023'!$M$2=CF5),'2023DATA2'!$M$34,"")</f>
        <v/>
      </c>
      <c r="CG37" s="520" t="str">
        <f>IF(AND(_AC5="A-220-300",'2023'!$M$4="FO",'2023'!$M$2=CG5),'2023DATA2'!$N$34,"")</f>
        <v/>
      </c>
      <c r="CH37" s="940"/>
      <c r="CI37" s="13" t="s">
        <v>62</v>
      </c>
      <c r="CJ37" s="518" t="str">
        <f>IF(AND(_AC6="A-220-300",'2023'!$M$4="FO",'2023'!$M$2=CJ5),'2023DATA2'!$C$34,"")</f>
        <v/>
      </c>
      <c r="CK37" s="518" t="str">
        <f>IF(AND(_AC6="A-220-300",'2023'!$M$4="FO",'2023'!$M$2=CK5),'2023DATA2'!$D$34,"")</f>
        <v/>
      </c>
      <c r="CL37" s="518" t="str">
        <f>IF(AND(_AC6="A-220-300",'2023'!$M$4="FO",'2023'!$M$2=CL5),'2023DATA2'!$E$34,"")</f>
        <v/>
      </c>
      <c r="CM37" s="518" t="str">
        <f>IF(AND(_AC6="A-220-300",'2023'!$M$4="FO",'2023'!$M$2=CM5),'2023DATA2'!$F$34,"")</f>
        <v/>
      </c>
      <c r="CN37" s="518" t="str">
        <f>IF(AND(_AC6="A-220-300",'2023'!$M$4="FO",'2023'!$M$2=CN5),'2023DATA2'!$G$34,"")</f>
        <v/>
      </c>
      <c r="CO37" s="518" t="str">
        <f>IF(AND(_AC6="A-220-300",'2023'!$M$4="FO",'2023'!$M$2=CO5),'2023DATA2'!$H$34,"")</f>
        <v/>
      </c>
      <c r="CP37" s="518" t="str">
        <f>IF(AND(_AC6="A-220-300",'2023'!$M$4="FO",'2023'!$M$2=CP5),'2023DATA2'!$I$34,"")</f>
        <v/>
      </c>
      <c r="CQ37" s="518" t="str">
        <f>IF(AND(_AC6="A-220-300",'2023'!$M$4="FO",'2023'!$M$2=CQ5),'2023DATA2'!$J$34,"")</f>
        <v/>
      </c>
      <c r="CR37" s="518" t="str">
        <f>IF(AND(_AC6="A-220-300",'2023'!$M$4="FO",'2023'!$M$2=CR5),'2023DATA2'!$K$34,"")</f>
        <v/>
      </c>
      <c r="CS37" s="518" t="str">
        <f>IF(AND(_AC6="A-220-300",'2023'!$M$4="FO",'2023'!$M$2=CS5),'2023DATA2'!$L$34,"")</f>
        <v/>
      </c>
      <c r="CT37" s="518" t="str">
        <f>IF(AND(_AC6="A-220-300",'2023'!$M$4="FO",'2023'!$M$2=CT5),'2023DATA2'!$M$34,"")</f>
        <v/>
      </c>
      <c r="CU37" s="520" t="str">
        <f>IF(AND(_AC6="A-220-300",'2023'!$M$4="FO",'2023'!$M$2=CU5),'2023DATA2'!$N$34,"")</f>
        <v/>
      </c>
    </row>
    <row r="38" spans="1:99" ht="15.75" thickBot="1" x14ac:dyDescent="0.3">
      <c r="A38" s="957"/>
      <c r="B38" s="79" t="s">
        <v>62</v>
      </c>
      <c r="C38" s="453">
        <v>210.1</v>
      </c>
      <c r="D38" s="454">
        <v>208.34</v>
      </c>
      <c r="E38" s="454">
        <v>206.37</v>
      </c>
      <c r="F38" s="455">
        <v>203.57</v>
      </c>
      <c r="G38" s="456">
        <v>201.44</v>
      </c>
      <c r="H38" s="457">
        <v>196.88</v>
      </c>
      <c r="I38" s="454">
        <v>191.58</v>
      </c>
      <c r="J38" s="458">
        <v>186.79</v>
      </c>
      <c r="K38" s="459">
        <v>182.49</v>
      </c>
      <c r="L38" s="454">
        <v>178.14</v>
      </c>
      <c r="M38" s="454">
        <v>152.21</v>
      </c>
      <c r="N38" s="460">
        <v>110.52</v>
      </c>
      <c r="P38" s="940" t="s">
        <v>52</v>
      </c>
      <c r="Q38" s="13" t="s">
        <v>61</v>
      </c>
      <c r="R38" s="518" t="str">
        <f>IF(AND(_AC1="A-220-100",'2023'!$M$4="CA",'2023'!$M$2=R5),'2023DATA2'!$C$35,"")</f>
        <v/>
      </c>
      <c r="S38" s="518" t="str">
        <f>IF(AND(_AC1="A-220-100",'2023'!$M$4="CA",'2023'!$M$2=S5),'2023DATA2'!$D$35,"")</f>
        <v/>
      </c>
      <c r="T38" s="518" t="str">
        <f>IF(AND(_AC1="A-220-100",'2023'!$M$4="CA",'2023'!$M$2=T5),'2023DATA2'!$E$35,"")</f>
        <v/>
      </c>
      <c r="U38" s="518" t="str">
        <f>IF(AND(_AC1="A-220-100",'2023'!$M$4="CA",'2023'!$M$2=U5),'2023DATA2'!$F$35,"")</f>
        <v/>
      </c>
      <c r="V38" s="518" t="str">
        <f>IF(AND(_AC1="A-220-100",'2023'!$M$4="CA",'2023'!$M$2=V5),'2023DATA2'!$G$35,"")</f>
        <v/>
      </c>
      <c r="W38" s="518" t="str">
        <f>IF(AND(_AC1="A-220-100",'2023'!$M$4="CA",'2023'!$M$2=W5),'2023DATA2'!$H$35,"")</f>
        <v/>
      </c>
      <c r="X38" s="518" t="str">
        <f>IF(AND(_AC1="A-220-100",'2023'!$M$4="CA",'2023'!$M$2=X5),'2023DATA2'!$I$35,"")</f>
        <v/>
      </c>
      <c r="Y38" s="518" t="str">
        <f>IF(AND(_AC1="A-220-100",'2023'!$M$4="CA",'2023'!$M$2=Y5),'2023DATA2'!$J$35,"")</f>
        <v/>
      </c>
      <c r="Z38" s="518" t="str">
        <f>IF(AND(_AC1="A-220-100",'2023'!$M$4="CA",'2023'!$M$2=Z5),'2023DATA2'!$K$35,"")</f>
        <v/>
      </c>
      <c r="AA38" s="518" t="str">
        <f>IF(AND(_AC1="A-220-100",'2023'!$M$4="CA",'2023'!$M$2=AA5),'2023DATA2'!$L$35,"")</f>
        <v/>
      </c>
      <c r="AB38" s="518" t="str">
        <f>IF(AND(_AC1="A-220-100",'2023'!$M$4="CA",'2023'!$M$2=AB5),'2023DATA2'!$M$35,"")</f>
        <v/>
      </c>
      <c r="AC38" s="520" t="str">
        <f>IF(AND(_AC1="A-220-100",'2023'!$M$4="CA",'2023'!$M$2=AC5),'2023DATA2'!$N$35,"")</f>
        <v/>
      </c>
      <c r="AD38" s="940" t="s">
        <v>52</v>
      </c>
      <c r="AE38" s="13" t="s">
        <v>61</v>
      </c>
      <c r="AF38" s="518" t="str">
        <f>IF(AND(_AC2="A-220-100",'2023'!$M$4="CA",'2023'!$M$2=AF5),'2023DATA2'!$C$35,"")</f>
        <v/>
      </c>
      <c r="AG38" s="518" t="str">
        <f>IF(AND(_AC2="A-220-100",'2023'!$M$4="CA",'2023'!$M$2=AG5),'2023DATA2'!$D$35,"")</f>
        <v/>
      </c>
      <c r="AH38" s="518" t="str">
        <f>IF(AND(_AC2="A-220-100",'2023'!$M$4="CA",'2023'!$M$2=AH5),'2023DATA2'!$E$35,"")</f>
        <v/>
      </c>
      <c r="AI38" s="518" t="str">
        <f>IF(AND(_AC2="A-220-100",'2023'!$M$4="CA",'2023'!$M$2=AI5),'2023DATA2'!$F$35,"")</f>
        <v/>
      </c>
      <c r="AJ38" s="518" t="str">
        <f>IF(AND(_AC2="A-220-100",'2023'!$M$4="CA",'2023'!$M$2=AJ5),'2023DATA2'!$G$35,"")</f>
        <v/>
      </c>
      <c r="AK38" s="518" t="str">
        <f>IF(AND(_AC2="A-220-100",'2023'!$M$4="CA",'2023'!$M$2=AK5),'2023DATA2'!$H$35,"")</f>
        <v/>
      </c>
      <c r="AL38" s="518" t="str">
        <f>IF(AND(_AC2="A-220-100",'2023'!$M$4="CA",'2023'!$M$2=AL5),'2023DATA2'!$I$35,"")</f>
        <v/>
      </c>
      <c r="AM38" s="518" t="str">
        <f>IF(AND(_AC2="A-220-100",'2023'!$M$4="CA",'2023'!$M$2=AM5),'2023DATA2'!$J$35,"")</f>
        <v/>
      </c>
      <c r="AN38" s="518" t="str">
        <f>IF(AND(_AC2="A-220-100",'2023'!$M$4="CA",'2023'!$M$2=AN5),'2023DATA2'!$K$35,"")</f>
        <v/>
      </c>
      <c r="AO38" s="518" t="str">
        <f>IF(AND(_AC2="A-220-100",'2023'!$M$4="CA",'2023'!$M$2=AO5),'2023DATA2'!$L$35,"")</f>
        <v/>
      </c>
      <c r="AP38" s="518" t="str">
        <f>IF(AND(_AC2="A-220-100",'2023'!$M$4="CA",'2023'!$M$2=AP5),'2023DATA2'!$M$35,"")</f>
        <v/>
      </c>
      <c r="AQ38" s="520" t="str">
        <f>IF(AND(_AC2="A-220-100",'2023'!$M$4="CA",'2023'!$M$2=AQ5),'2023DATA2'!$N$35,"")</f>
        <v/>
      </c>
      <c r="AR38" s="940" t="s">
        <v>52</v>
      </c>
      <c r="AS38" s="13" t="s">
        <v>61</v>
      </c>
      <c r="AT38" s="518" t="str">
        <f>IF(AND(_AC3="A-220-100",'2023'!$M$4="CA",'2023'!$M$2=AT5),'2023DATA2'!$C$35,"")</f>
        <v/>
      </c>
      <c r="AU38" s="518" t="str">
        <f>IF(AND(_AC3="A-220-100",'2023'!$M$4="CA",'2023'!$M$2=AU5),'2023DATA2'!$D$35,"")</f>
        <v/>
      </c>
      <c r="AV38" s="518" t="str">
        <f>IF(AND(_AC3="A-220-100",'2023'!$M$4="CA",'2023'!$M$2=AV5),'2023DATA2'!$E$35,"")</f>
        <v/>
      </c>
      <c r="AW38" s="518" t="str">
        <f>IF(AND(_AC3="A-220-100",'2023'!$M$4="CA",'2023'!$M$2=AW5),'2023DATA2'!$F$35,"")</f>
        <v/>
      </c>
      <c r="AX38" s="518" t="str">
        <f>IF(AND(_AC3="A-220-100",'2023'!$M$4="CA",'2023'!$M$2=AX5),'2023DATA2'!$G$35,"")</f>
        <v/>
      </c>
      <c r="AY38" s="518" t="str">
        <f>IF(AND(_AC3="A-220-100",'2023'!$M$4="CA",'2023'!$M$2=AY5),'2023DATA2'!$H$35,"")</f>
        <v/>
      </c>
      <c r="AZ38" s="518" t="str">
        <f>IF(AND(_AC3="A-220-100",'2023'!$M$4="CA",'2023'!$M$2=AZ5),'2023DATA2'!$I$35,"")</f>
        <v/>
      </c>
      <c r="BA38" s="518" t="str">
        <f>IF(AND(_AC3="A-220-100",'2023'!$M$4="CA",'2023'!$M$2=BA5),'2023DATA2'!$J$35,"")</f>
        <v/>
      </c>
      <c r="BB38" s="518" t="str">
        <f>IF(AND(_AC3="A-220-100",'2023'!$M$4="CA",'2023'!$M$2=BB5),'2023DATA2'!$K$35,"")</f>
        <v/>
      </c>
      <c r="BC38" s="518" t="str">
        <f>IF(AND(_AC3="A-220-100",'2023'!$M$4="CA",'2023'!$M$2=BC5),'2023DATA2'!$L$35,"")</f>
        <v/>
      </c>
      <c r="BD38" s="518" t="str">
        <f>IF(AND(_AC3="A-220-100",'2023'!$M$4="CA",'2023'!$M$2=BD5),'2023DATA2'!$M$35,"")</f>
        <v/>
      </c>
      <c r="BE38" s="520" t="str">
        <f>IF(AND(_AC3="A-220-100",'2023'!$M$4="CA",'2023'!$M$2=BE5),'2023DATA2'!$N$35,"")</f>
        <v/>
      </c>
      <c r="BF38" s="940" t="s">
        <v>52</v>
      </c>
      <c r="BG38" s="13" t="s">
        <v>61</v>
      </c>
      <c r="BH38" s="518" t="str">
        <f>IF(AND(_AC4="A-220-100",'2023'!$M$4="CA",'2023'!$M$2=BH5),'2023DATA2'!$C$35,"")</f>
        <v/>
      </c>
      <c r="BI38" s="518" t="str">
        <f>IF(AND(_AC4="A-220-100",'2023'!$M$4="CA",'2023'!$M$2=BI5),'2023DATA2'!$D$35,"")</f>
        <v/>
      </c>
      <c r="BJ38" s="518" t="str">
        <f>IF(AND(_AC4="A-220-100",'2023'!$M$4="CA",'2023'!$M$2=BJ5),'2023DATA2'!$E$35,"")</f>
        <v/>
      </c>
      <c r="BK38" s="518" t="str">
        <f>IF(AND(_AC4="A-220-100",'2023'!$M$4="CA",'2023'!$M$2=BK5),'2023DATA2'!$F$35,"")</f>
        <v/>
      </c>
      <c r="BL38" s="518" t="str">
        <f>IF(AND(_AC4="A-220-100",'2023'!$M$4="CA",'2023'!$M$2=BL5),'2023DATA2'!$G$35,"")</f>
        <v/>
      </c>
      <c r="BM38" s="518" t="str">
        <f>IF(AND(_AC4="A-220-100",'2023'!$M$4="CA",'2023'!$M$2=BM5),'2023DATA2'!$H$35,"")</f>
        <v/>
      </c>
      <c r="BN38" s="518" t="str">
        <f>IF(AND(_AC4="A-220-100",'2023'!$M$4="CA",'2023'!$M$2=BN5),'2023DATA2'!$I$35,"")</f>
        <v/>
      </c>
      <c r="BO38" s="518" t="str">
        <f>IF(AND(_AC4="A-220-100",'2023'!$M$4="CA",'2023'!$M$2=BO5),'2023DATA2'!$J$35,"")</f>
        <v/>
      </c>
      <c r="BP38" s="518" t="str">
        <f>IF(AND(_AC4="A-220-100",'2023'!$M$4="CA",'2023'!$M$2=BP5),'2023DATA2'!$K$35,"")</f>
        <v/>
      </c>
      <c r="BQ38" s="518" t="str">
        <f>IF(AND(_AC4="A-220-100",'2023'!$M$4="CA",'2023'!$M$2=BQ5),'2023DATA2'!$L$35,"")</f>
        <v/>
      </c>
      <c r="BR38" s="518" t="str">
        <f>IF(AND(_AC4="A-220-100",'2023'!$M$4="CA",'2023'!$M$2=BR5),'2023DATA2'!$M$35,"")</f>
        <v/>
      </c>
      <c r="BS38" s="520" t="str">
        <f>IF(AND(_AC4="A-220-100",'2023'!$M$4="CA",'2023'!$M$2=BS5),'2023DATA2'!$N$35,"")</f>
        <v/>
      </c>
      <c r="BT38" s="940" t="s">
        <v>52</v>
      </c>
      <c r="BU38" s="13" t="s">
        <v>61</v>
      </c>
      <c r="BV38" s="518" t="str">
        <f>IF(AND(_AC5="A-220-100",'2023'!$M$4="CA",'2023'!$M$2=BV5),'2023DATA2'!$C$35,"")</f>
        <v/>
      </c>
      <c r="BW38" s="518" t="str">
        <f>IF(AND(_AC5="A-220-100",'2023'!$M$4="CA",'2023'!$M$2=BW5),'2023DATA2'!$D$35,"")</f>
        <v/>
      </c>
      <c r="BX38" s="518" t="str">
        <f>IF(AND(_AC5="A-220-100",'2023'!$M$4="CA",'2023'!$M$2=BX5),'2023DATA2'!$E$35,"")</f>
        <v/>
      </c>
      <c r="BY38" s="518" t="str">
        <f>IF(AND(_AC5="A-220-100",'2023'!$M$4="CA",'2023'!$M$2=BY5),'2023DATA2'!$F$35,"")</f>
        <v/>
      </c>
      <c r="BZ38" s="518" t="str">
        <f>IF(AND(_AC5="A-220-100",'2023'!$M$4="CA",'2023'!$M$2=BZ5),'2023DATA2'!$G$35,"")</f>
        <v/>
      </c>
      <c r="CA38" s="518" t="str">
        <f>IF(AND(_AC5="A-220-100",'2023'!$M$4="CA",'2023'!$M$2=CA5),'2023DATA2'!$H$35,"")</f>
        <v/>
      </c>
      <c r="CB38" s="518" t="str">
        <f>IF(AND(_AC5="A-220-100",'2023'!$M$4="CA",'2023'!$M$2=CB5),'2023DATA2'!$I$35,"")</f>
        <v/>
      </c>
      <c r="CC38" s="518" t="str">
        <f>IF(AND(_AC5="A-220-100",'2023'!$M$4="CA",'2023'!$M$2=CC5),'2023DATA2'!$J$35,"")</f>
        <v/>
      </c>
      <c r="CD38" s="518" t="str">
        <f>IF(AND(_AC5="A-220-100",'2023'!$M$4="CA",'2023'!$M$2=CD5),'2023DATA2'!$K$35,"")</f>
        <v/>
      </c>
      <c r="CE38" s="518" t="str">
        <f>IF(AND(_AC5="A-220-100",'2023'!$M$4="CA",'2023'!$M$2=CE5),'2023DATA2'!$L$35,"")</f>
        <v/>
      </c>
      <c r="CF38" s="518" t="str">
        <f>IF(AND(_AC5="A-220-100",'2023'!$M$4="CA",'2023'!$M$2=CF5),'2023DATA2'!$M$35,"")</f>
        <v/>
      </c>
      <c r="CG38" s="520" t="str">
        <f>IF(AND(_AC5="A-220-100",'2023'!$M$4="CA",'2023'!$M$2=CG5),'2023DATA2'!$N$35,"")</f>
        <v/>
      </c>
      <c r="CH38" s="940" t="s">
        <v>52</v>
      </c>
      <c r="CI38" s="13" t="s">
        <v>61</v>
      </c>
      <c r="CJ38" s="518" t="str">
        <f>IF(AND(_AC6="A-220-100",'2023'!$M$4="CA",'2023'!$M$2=CJ5),'2023DATA2'!$C$35,"")</f>
        <v/>
      </c>
      <c r="CK38" s="518" t="str">
        <f>IF(AND(_AC6="A-220-100",'2023'!$M$4="CA",'2023'!$M$2=CK5),'2023DATA2'!$D$35,"")</f>
        <v/>
      </c>
      <c r="CL38" s="518" t="str">
        <f>IF(AND(_AC6="A-220-100",'2023'!$M$4="CA",'2023'!$M$2=CL5),'2023DATA2'!$E$35,"")</f>
        <v/>
      </c>
      <c r="CM38" s="518" t="str">
        <f>IF(AND(_AC6="A-220-100",'2023'!$M$4="CA",'2023'!$M$2=CM5),'2023DATA2'!$F$35,"")</f>
        <v/>
      </c>
      <c r="CN38" s="518" t="str">
        <f>IF(AND(_AC6="A-220-100",'2023'!$M$4="CA",'2023'!$M$2=CN5),'2023DATA2'!$G$35,"")</f>
        <v/>
      </c>
      <c r="CO38" s="518" t="str">
        <f>IF(AND(_AC6="A-220-100",'2023'!$M$4="CA",'2023'!$M$2=CO5),'2023DATA2'!$H$35,"")</f>
        <v/>
      </c>
      <c r="CP38" s="518" t="str">
        <f>IF(AND(_AC6="A-220-100",'2023'!$M$4="CA",'2023'!$M$2=CP5),'2023DATA2'!$I$35,"")</f>
        <v/>
      </c>
      <c r="CQ38" s="518" t="str">
        <f>IF(AND(_AC6="A-220-100",'2023'!$M$4="CA",'2023'!$M$2=CQ5),'2023DATA2'!$J$35,"")</f>
        <v/>
      </c>
      <c r="CR38" s="518" t="str">
        <f>IF(AND(_AC6="A-220-100",'2023'!$M$4="CA",'2023'!$M$2=CR5),'2023DATA2'!$K$35,"")</f>
        <v/>
      </c>
      <c r="CS38" s="518" t="str">
        <f>IF(AND(_AC6="A-220-100",'2023'!$M$4="CA",'2023'!$M$2=CS5),'2023DATA2'!$L$35,"")</f>
        <v/>
      </c>
      <c r="CT38" s="518" t="str">
        <f>IF(AND(_AC6="A-220-100",'2023'!$M$4="CA",'2023'!$M$2=CT5),'2023DATA2'!$M$35,"")</f>
        <v/>
      </c>
      <c r="CU38" s="520" t="str">
        <f>IF(AND(_AC6="A-220-100",'2023'!$M$4="CA",'2023'!$M$2=CU5),'2023DATA2'!$N$35,"")</f>
        <v/>
      </c>
    </row>
    <row r="39" spans="1:99" x14ac:dyDescent="0.25">
      <c r="P39" s="940"/>
      <c r="Q39" s="13" t="s">
        <v>62</v>
      </c>
      <c r="R39" s="518" t="str">
        <f>IF(AND(_AC1="A-220-100",'2023'!$M$4="FO",'2023'!$M$2=R5),'2023DATA2'!$C$36,"")</f>
        <v/>
      </c>
      <c r="S39" s="518" t="str">
        <f>IF(AND(_AC1="A-220-100",'2023'!$M$4="FO",'2023'!$M$2=S5),'2023DATA2'!$D$36,"")</f>
        <v/>
      </c>
      <c r="T39" s="518" t="str">
        <f>IF(AND(_AC1="A-220-100",'2023'!$M$4="FO",'2023'!$M$2=T5),'2023DATA2'!$E$36,"")</f>
        <v/>
      </c>
      <c r="U39" s="518" t="str">
        <f>IF(AND(_AC1="A-220-100",'2023'!$M$4="FO",'2023'!$M$2=U5),'2023DATA2'!$F$36,"")</f>
        <v/>
      </c>
      <c r="V39" s="518" t="str">
        <f>IF(AND(_AC1="A-220-100",'2023'!$M$4="FO",'2023'!$M$2=V5),'2023DATA2'!$G$36,"")</f>
        <v/>
      </c>
      <c r="W39" s="518" t="str">
        <f>IF(AND(_AC1="A-220-100",'2023'!$M$4="FO",'2023'!$M$2=W5),'2023DATA2'!$H$36,"")</f>
        <v/>
      </c>
      <c r="X39" s="518" t="str">
        <f>IF(AND(_AC1="A-220-100",'2023'!$M$4="FO",'2023'!$M$2=X5),'2023DATA2'!$I$36,"")</f>
        <v/>
      </c>
      <c r="Y39" s="518" t="str">
        <f>IF(AND(_AC1="A-220-100",'2023'!$M$4="FO",'2023'!$M$2=Y5),'2023DATA2'!$J$36,"")</f>
        <v/>
      </c>
      <c r="Z39" s="518" t="str">
        <f>IF(AND(_AC1="A-220-100",'2023'!$M$4="FO",'2023'!$M$2=Z5),'2023DATA2'!$K$36,"")</f>
        <v/>
      </c>
      <c r="AA39" s="518" t="str">
        <f>IF(AND(_AC1="A-220-100",'2023'!$M$4="FO",'2023'!$M$2=AA5),'2023DATA2'!$L$36,"")</f>
        <v/>
      </c>
      <c r="AB39" s="518" t="str">
        <f>IF(AND(_AC1="A-220-100",'2023'!$M$4="FO",'2023'!$M$2=AB5),'2023DATA2'!$M$36,"")</f>
        <v/>
      </c>
      <c r="AC39" s="520" t="str">
        <f>IF(AND(_AC1="A-220-100",'2023'!$M$4="FO",'2023'!$M$2=AC5),'2023DATA2'!$N$36,"")</f>
        <v/>
      </c>
      <c r="AD39" s="940"/>
      <c r="AE39" s="13" t="s">
        <v>62</v>
      </c>
      <c r="AF39" s="518" t="str">
        <f>IF(AND(_AC2="A-220-100",'2023'!$M$4="FO",'2023'!$M$2=AF5),'2023DATA2'!$C$36,"")</f>
        <v/>
      </c>
      <c r="AG39" s="518" t="str">
        <f>IF(AND(_AC2="A-220-100",'2023'!$M$4="FO",'2023'!$M$2=AG5),'2023DATA2'!$D$36,"")</f>
        <v/>
      </c>
      <c r="AH39" s="518" t="str">
        <f>IF(AND(_AC2="A-220-100",'2023'!$M$4="FO",'2023'!$M$2=AH5),'2023DATA2'!$E$36,"")</f>
        <v/>
      </c>
      <c r="AI39" s="518" t="str">
        <f>IF(AND(_AC2="A-220-100",'2023'!$M$4="FO",'2023'!$M$2=AI5),'2023DATA2'!$F$36,"")</f>
        <v/>
      </c>
      <c r="AJ39" s="518" t="str">
        <f>IF(AND(_AC2="A-220-100",'2023'!$M$4="FO",'2023'!$M$2=AJ5),'2023DATA2'!$G$36,"")</f>
        <v/>
      </c>
      <c r="AK39" s="518" t="str">
        <f>IF(AND(_AC2="A-220-100",'2023'!$M$4="FO",'2023'!$M$2=AK5),'2023DATA2'!$H$36,"")</f>
        <v/>
      </c>
      <c r="AL39" s="518" t="str">
        <f>IF(AND(_AC2="A-220-100",'2023'!$M$4="FO",'2023'!$M$2=AL5),'2023DATA2'!$I$36,"")</f>
        <v/>
      </c>
      <c r="AM39" s="518" t="str">
        <f>IF(AND(_AC2="A-220-100",'2023'!$M$4="FO",'2023'!$M$2=AM5),'2023DATA2'!$J$36,"")</f>
        <v/>
      </c>
      <c r="AN39" s="518" t="str">
        <f>IF(AND(_AC2="A-220-100",'2023'!$M$4="FO",'2023'!$M$2=AN5),'2023DATA2'!$K$36,"")</f>
        <v/>
      </c>
      <c r="AO39" s="518" t="str">
        <f>IF(AND(_AC2="A-220-100",'2023'!$M$4="FO",'2023'!$M$2=AO5),'2023DATA2'!$L$36,"")</f>
        <v/>
      </c>
      <c r="AP39" s="518" t="str">
        <f>IF(AND(_AC2="A-220-100",'2023'!$M$4="FO",'2023'!$M$2=AP5),'2023DATA2'!$M$36,"")</f>
        <v/>
      </c>
      <c r="AQ39" s="520" t="str">
        <f>IF(AND(_AC2="A-220-100",'2023'!$M$4="FO",'2023'!$M$2=AQ5),'2023DATA2'!$N$36,"")</f>
        <v/>
      </c>
      <c r="AR39" s="940"/>
      <c r="AS39" s="13" t="s">
        <v>62</v>
      </c>
      <c r="AT39" s="518" t="str">
        <f>IF(AND(_AC3="A-220-100",'2023'!$M$4="FO",'2023'!$M$2=AT5),'2023DATA2'!$C$36,"")</f>
        <v/>
      </c>
      <c r="AU39" s="518" t="str">
        <f>IF(AND(_AC3="A-220-100",'2023'!$M$4="FO",'2023'!$M$2=AU5),'2023DATA2'!$D$36,"")</f>
        <v/>
      </c>
      <c r="AV39" s="518" t="str">
        <f>IF(AND(_AC3="A-220-100",'2023'!$M$4="FO",'2023'!$M$2=AV5),'2023DATA2'!$E$36,"")</f>
        <v/>
      </c>
      <c r="AW39" s="518" t="str">
        <f>IF(AND(_AC3="A-220-100",'2023'!$M$4="FO",'2023'!$M$2=AW5),'2023DATA2'!$F$36,"")</f>
        <v/>
      </c>
      <c r="AX39" s="518" t="str">
        <f>IF(AND(_AC3="A-220-100",'2023'!$M$4="FO",'2023'!$M$2=AX5),'2023DATA2'!$G$36,"")</f>
        <v/>
      </c>
      <c r="AY39" s="518" t="str">
        <f>IF(AND(_AC3="A-220-100",'2023'!$M$4="FO",'2023'!$M$2=AY5),'2023DATA2'!$H$36,"")</f>
        <v/>
      </c>
      <c r="AZ39" s="518" t="str">
        <f>IF(AND(_AC3="A-220-100",'2023'!$M$4="FO",'2023'!$M$2=AZ5),'2023DATA2'!$I$36,"")</f>
        <v/>
      </c>
      <c r="BA39" s="518" t="str">
        <f>IF(AND(_AC3="A-220-100",'2023'!$M$4="FO",'2023'!$M$2=BA5),'2023DATA2'!$J$36,"")</f>
        <v/>
      </c>
      <c r="BB39" s="518" t="str">
        <f>IF(AND(_AC3="A-220-100",'2023'!$M$4="FO",'2023'!$M$2=BB5),'2023DATA2'!$K$36,"")</f>
        <v/>
      </c>
      <c r="BC39" s="518" t="str">
        <f>IF(AND(_AC3="A-220-100",'2023'!$M$4="FO",'2023'!$M$2=BC5),'2023DATA2'!$L$36,"")</f>
        <v/>
      </c>
      <c r="BD39" s="518" t="str">
        <f>IF(AND(_AC3="A-220-100",'2023'!$M$4="FO",'2023'!$M$2=BD5),'2023DATA2'!$M$36,"")</f>
        <v/>
      </c>
      <c r="BE39" s="520" t="str">
        <f>IF(AND(_AC3="A-220-100",'2023'!$M$4="FO",'2023'!$M$2=BE5),'2023DATA2'!$N$36,"")</f>
        <v/>
      </c>
      <c r="BF39" s="940"/>
      <c r="BG39" s="13" t="s">
        <v>62</v>
      </c>
      <c r="BH39" s="518" t="str">
        <f>IF(AND(_AC4="A-220-100",'2023'!$M$4="FO",'2023'!$M$2=BH5),'2023DATA2'!$C$36,"")</f>
        <v/>
      </c>
      <c r="BI39" s="518" t="str">
        <f>IF(AND(_AC4="A-220-100",'2023'!$M$4="FO",'2023'!$M$2=BI5),'2023DATA2'!$D$36,"")</f>
        <v/>
      </c>
      <c r="BJ39" s="518" t="str">
        <f>IF(AND(_AC4="A-220-100",'2023'!$M$4="FO",'2023'!$M$2=BJ5),'2023DATA2'!$E$36,"")</f>
        <v/>
      </c>
      <c r="BK39" s="518" t="str">
        <f>IF(AND(_AC4="A-220-100",'2023'!$M$4="FO",'2023'!$M$2=BK5),'2023DATA2'!$F$36,"")</f>
        <v/>
      </c>
      <c r="BL39" s="518" t="str">
        <f>IF(AND(_AC4="A-220-100",'2023'!$M$4="FO",'2023'!$M$2=BL5),'2023DATA2'!$G$36,"")</f>
        <v/>
      </c>
      <c r="BM39" s="518" t="str">
        <f>IF(AND(_AC4="A-220-100",'2023'!$M$4="FO",'2023'!$M$2=BM5),'2023DATA2'!$H$36,"")</f>
        <v/>
      </c>
      <c r="BN39" s="518" t="str">
        <f>IF(AND(_AC4="A-220-100",'2023'!$M$4="FO",'2023'!$M$2=BN5),'2023DATA2'!$I$36,"")</f>
        <v/>
      </c>
      <c r="BO39" s="518" t="str">
        <f>IF(AND(_AC4="A-220-100",'2023'!$M$4="FO",'2023'!$M$2=BO5),'2023DATA2'!$J$36,"")</f>
        <v/>
      </c>
      <c r="BP39" s="518" t="str">
        <f>IF(AND(_AC4="A-220-100",'2023'!$M$4="FO",'2023'!$M$2=BP5),'2023DATA2'!$K$36,"")</f>
        <v/>
      </c>
      <c r="BQ39" s="518" t="str">
        <f>IF(AND(_AC4="A-220-100",'2023'!$M$4="FO",'2023'!$M$2=BQ5),'2023DATA2'!$L$36,"")</f>
        <v/>
      </c>
      <c r="BR39" s="518" t="str">
        <f>IF(AND(_AC4="A-220-100",'2023'!$M$4="FO",'2023'!$M$2=BR5),'2023DATA2'!$M$36,"")</f>
        <v/>
      </c>
      <c r="BS39" s="520" t="str">
        <f>IF(AND(_AC4="A-220-100",'2023'!$M$4="FO",'2023'!$M$2=BS5),'2023DATA2'!$N$36,"")</f>
        <v/>
      </c>
      <c r="BT39" s="940"/>
      <c r="BU39" s="13" t="s">
        <v>62</v>
      </c>
      <c r="BV39" s="518" t="str">
        <f>IF(AND(_AC5="A-220-100",'2023'!$M$4="FO",'2023'!$M$2=BV5),'2023DATA2'!$C$36,"")</f>
        <v/>
      </c>
      <c r="BW39" s="518" t="str">
        <f>IF(AND(_AC5="A-220-100",'2023'!$M$4="FO",'2023'!$M$2=BW5),'2023DATA2'!$D$36,"")</f>
        <v/>
      </c>
      <c r="BX39" s="518" t="str">
        <f>IF(AND(_AC5="A-220-100",'2023'!$M$4="FO",'2023'!$M$2=BX5),'2023DATA2'!$E$36,"")</f>
        <v/>
      </c>
      <c r="BY39" s="518" t="str">
        <f>IF(AND(_AC5="A-220-100",'2023'!$M$4="FO",'2023'!$M$2=BY5),'2023DATA2'!$F$36,"")</f>
        <v/>
      </c>
      <c r="BZ39" s="518" t="str">
        <f>IF(AND(_AC5="A-220-100",'2023'!$M$4="FO",'2023'!$M$2=BZ5),'2023DATA2'!$G$36,"")</f>
        <v/>
      </c>
      <c r="CA39" s="518" t="str">
        <f>IF(AND(_AC5="A-220-100",'2023'!$M$4="FO",'2023'!$M$2=CA5),'2023DATA2'!$H$36,"")</f>
        <v/>
      </c>
      <c r="CB39" s="518" t="str">
        <f>IF(AND(_AC5="A-220-100",'2023'!$M$4="FO",'2023'!$M$2=CB5),'2023DATA2'!$I$36,"")</f>
        <v/>
      </c>
      <c r="CC39" s="518" t="str">
        <f>IF(AND(_AC5="A-220-100",'2023'!$M$4="FO",'2023'!$M$2=CC5),'2023DATA2'!$J$36,"")</f>
        <v/>
      </c>
      <c r="CD39" s="518" t="str">
        <f>IF(AND(_AC5="A-220-100",'2023'!$M$4="FO",'2023'!$M$2=CD5),'2023DATA2'!$K$36,"")</f>
        <v/>
      </c>
      <c r="CE39" s="518" t="str">
        <f>IF(AND(_AC5="A-220-100",'2023'!$M$4="FO",'2023'!$M$2=CE5),'2023DATA2'!$L$36,"")</f>
        <v/>
      </c>
      <c r="CF39" s="518" t="str">
        <f>IF(AND(_AC5="A-220-100",'2023'!$M$4="FO",'2023'!$M$2=CF5),'2023DATA2'!$M$36,"")</f>
        <v/>
      </c>
      <c r="CG39" s="520" t="str">
        <f>IF(AND(_AC5="A-220-100",'2023'!$M$4="FO",'2023'!$M$2=CG5),'2023DATA2'!$N$36,"")</f>
        <v/>
      </c>
      <c r="CH39" s="940"/>
      <c r="CI39" s="13" t="s">
        <v>62</v>
      </c>
      <c r="CJ39" s="518" t="str">
        <f>IF(AND(_AC6="A-220-100",'2023'!$M$4="FO",'2023'!$M$2=CJ5),'2023DATA2'!$C$36,"")</f>
        <v/>
      </c>
      <c r="CK39" s="518" t="str">
        <f>IF(AND(_AC6="A-220-100",'2023'!$M$4="FO",'2023'!$M$2=CK5),'2023DATA2'!$D$36,"")</f>
        <v/>
      </c>
      <c r="CL39" s="518" t="str">
        <f>IF(AND(_AC6="A-220-100",'2023'!$M$4="FO",'2023'!$M$2=CL5),'2023DATA2'!$E$36,"")</f>
        <v/>
      </c>
      <c r="CM39" s="518" t="str">
        <f>IF(AND(_AC6="A-220-100",'2023'!$M$4="FO",'2023'!$M$2=CM5),'2023DATA2'!$F$36,"")</f>
        <v/>
      </c>
      <c r="CN39" s="518" t="str">
        <f>IF(AND(_AC6="A-220-100",'2023'!$M$4="FO",'2023'!$M$2=CN5),'2023DATA2'!$G$36,"")</f>
        <v/>
      </c>
      <c r="CO39" s="518" t="str">
        <f>IF(AND(_AC6="A-220-100",'2023'!$M$4="FO",'2023'!$M$2=CO5),'2023DATA2'!$H$36,"")</f>
        <v/>
      </c>
      <c r="CP39" s="518" t="str">
        <f>IF(AND(_AC6="A-220-100",'2023'!$M$4="FO",'2023'!$M$2=CP5),'2023DATA2'!$I$36,"")</f>
        <v/>
      </c>
      <c r="CQ39" s="518" t="str">
        <f>IF(AND(_AC6="A-220-100",'2023'!$M$4="FO",'2023'!$M$2=CQ5),'2023DATA2'!$J$36,"")</f>
        <v/>
      </c>
      <c r="CR39" s="518" t="str">
        <f>IF(AND(_AC6="A-220-100",'2023'!$M$4="FO",'2023'!$M$2=CR5),'2023DATA2'!$K$36,"")</f>
        <v/>
      </c>
      <c r="CS39" s="518" t="str">
        <f>IF(AND(_AC6="A-220-100",'2023'!$M$4="FO",'2023'!$M$2=CS5),'2023DATA2'!$L$36,"")</f>
        <v/>
      </c>
      <c r="CT39" s="518" t="str">
        <f>IF(AND(_AC6="A-220-100",'2023'!$M$4="FO",'2023'!$M$2=CT5),'2023DATA2'!$M$36,"")</f>
        <v/>
      </c>
      <c r="CU39" s="520" t="str">
        <f>IF(AND(_AC6="A-220-100",'2023'!$M$4="FO",'2023'!$M$2=CU5),'2023DATA2'!$N$36,"")</f>
        <v/>
      </c>
    </row>
    <row r="40" spans="1:99" x14ac:dyDescent="0.25">
      <c r="P40" s="940" t="s">
        <v>53</v>
      </c>
      <c r="Q40" s="13" t="s">
        <v>61</v>
      </c>
      <c r="R40" s="518" t="str">
        <f>IF(AND(_AC1="B-717",'2023'!$M$4="CA",'2023'!$M$2=R5),'2023DATA2'!$C$37,"")</f>
        <v/>
      </c>
      <c r="S40" s="518" t="str">
        <f>IF(AND(_AC1="B-717",'2023'!$M$4="CA",'2023'!$M$2=S5),'2023DATA2'!$D$37,"")</f>
        <v/>
      </c>
      <c r="T40" s="518" t="str">
        <f>IF(AND(_AC1="B-717",'2023'!$M$4="CA",'2023'!$M$2=T5),'2023DATA2'!$E$37,"")</f>
        <v/>
      </c>
      <c r="U40" s="518" t="str">
        <f>IF(AND(_AC1="B-717",'2023'!$M$4="CA",'2023'!$M$2=U5),'2023DATA2'!$F$37,"")</f>
        <v/>
      </c>
      <c r="V40" s="518" t="str">
        <f>IF(AND(_AC1="B-717",'2023'!$M$4="CA",'2023'!$M$2=V5),'2023DATA2'!$G$37,"")</f>
        <v/>
      </c>
      <c r="W40" s="518" t="str">
        <f>IF(AND(_AC1="B-717",'2023'!$M$4="CA",'2023'!$M$2=W5),'2023DATA2'!$H$37,"")</f>
        <v/>
      </c>
      <c r="X40" s="518" t="str">
        <f>IF(AND(_AC1="B-717",'2023'!$M$4="CA",'2023'!$M$2=X5),'2023DATA2'!$I$37,"")</f>
        <v/>
      </c>
      <c r="Y40" s="518" t="str">
        <f>IF(AND(_AC1="B-717",'2023'!$M$4="CA",'2023'!$M$2=Y5),'2023DATA2'!$J$37,"")</f>
        <v/>
      </c>
      <c r="Z40" s="518" t="str">
        <f>IF(AND(_AC1="B-717",'2023'!$M$4="CA",'2023'!$M$2=Z5),'2023DATA2'!$K$37,"")</f>
        <v/>
      </c>
      <c r="AA40" s="518" t="str">
        <f>IF(AND(_AC1="B-717",'2023'!$M$4="CA",'2023'!$M$2=AA5),'2023DATA2'!$L$37,"")</f>
        <v/>
      </c>
      <c r="AB40" s="518" t="str">
        <f>IF(AND(_AC1="B-717",'2023'!$M$4="CA",'2023'!$M$2=AB5),'2023DATA2'!$M$37,"")</f>
        <v/>
      </c>
      <c r="AC40" s="520" t="str">
        <f>IF(AND(_AC1="B-717",'2023'!$M$4="CA",'2023'!$M$2=AC5),'2023DATA2'!$N$37,"")</f>
        <v/>
      </c>
      <c r="AD40" s="940" t="s">
        <v>53</v>
      </c>
      <c r="AE40" s="13" t="s">
        <v>61</v>
      </c>
      <c r="AF40" s="518" t="str">
        <f>IF(AND(_AC2="B-717",'2023'!$M$4="CA",'2023'!$M$2=AF5),'2023DATA2'!$C$37,"")</f>
        <v/>
      </c>
      <c r="AG40" s="518" t="str">
        <f>IF(AND(_AC2="B-717",'2023'!$M$4="CA",'2023'!$M$2=AG5),'2023DATA2'!$D$37,"")</f>
        <v/>
      </c>
      <c r="AH40" s="518" t="str">
        <f>IF(AND(_AC2="B-717",'2023'!$M$4="CA",'2023'!$M$2=AH5),'2023DATA2'!$E$37,"")</f>
        <v/>
      </c>
      <c r="AI40" s="518" t="str">
        <f>IF(AND(_AC2="B-717",'2023'!$M$4="CA",'2023'!$M$2=AI5),'2023DATA2'!$F$37,"")</f>
        <v/>
      </c>
      <c r="AJ40" s="518" t="str">
        <f>IF(AND(_AC2="B-717",'2023'!$M$4="CA",'2023'!$M$2=AJ5),'2023DATA2'!$G$37,"")</f>
        <v/>
      </c>
      <c r="AK40" s="518" t="str">
        <f>IF(AND(_AC2="B-717",'2023'!$M$4="CA",'2023'!$M$2=AK5),'2023DATA2'!$H$37,"")</f>
        <v/>
      </c>
      <c r="AL40" s="518" t="str">
        <f>IF(AND(_AC2="B-717",'2023'!$M$4="CA",'2023'!$M$2=AL5),'2023DATA2'!$I$37,"")</f>
        <v/>
      </c>
      <c r="AM40" s="518" t="str">
        <f>IF(AND(_AC2="B-717",'2023'!$M$4="CA",'2023'!$M$2=AM5),'2023DATA2'!$J$37,"")</f>
        <v/>
      </c>
      <c r="AN40" s="518" t="str">
        <f>IF(AND(_AC2="B-717",'2023'!$M$4="CA",'2023'!$M$2=AN5),'2023DATA2'!$K$37,"")</f>
        <v/>
      </c>
      <c r="AO40" s="518" t="str">
        <f>IF(AND(_AC2="B-717",'2023'!$M$4="CA",'2023'!$M$2=AO5),'2023DATA2'!$L$37,"")</f>
        <v/>
      </c>
      <c r="AP40" s="518" t="str">
        <f>IF(AND(_AC2="B-717",'2023'!$M$4="CA",'2023'!$M$2=AP5),'2023DATA2'!$M$37,"")</f>
        <v/>
      </c>
      <c r="AQ40" s="520" t="str">
        <f>IF(AND(_AC2="B-717",'2023'!$M$4="CA",'2023'!$M$2=AQ5),'2023DATA2'!$N$37,"")</f>
        <v/>
      </c>
      <c r="AR40" s="940" t="s">
        <v>53</v>
      </c>
      <c r="AS40" s="13" t="s">
        <v>61</v>
      </c>
      <c r="AT40" s="518" t="str">
        <f>IF(AND(_AC3="B-717",'2023'!$M$4="CA",'2023'!$M$2=AT5),'2023DATA2'!$C$37,"")</f>
        <v/>
      </c>
      <c r="AU40" s="518" t="str">
        <f>IF(AND(_AC3="B-717",'2023'!$M$4="CA",'2023'!$M$2=AU5),'2023DATA2'!$D$37,"")</f>
        <v/>
      </c>
      <c r="AV40" s="518" t="str">
        <f>IF(AND(_AC3="B-717",'2023'!$M$4="CA",'2023'!$M$2=AV5),'2023DATA2'!$E$37,"")</f>
        <v/>
      </c>
      <c r="AW40" s="518" t="str">
        <f>IF(AND(_AC3="B-717",'2023'!$M$4="CA",'2023'!$M$2=AW5),'2023DATA2'!$F$37,"")</f>
        <v/>
      </c>
      <c r="AX40" s="518" t="str">
        <f>IF(AND(_AC3="B-717",'2023'!$M$4="CA",'2023'!$M$2=AX5),'2023DATA2'!$G$37,"")</f>
        <v/>
      </c>
      <c r="AY40" s="518" t="str">
        <f>IF(AND(_AC3="B-717",'2023'!$M$4="CA",'2023'!$M$2=AY5),'2023DATA2'!$H$37,"")</f>
        <v/>
      </c>
      <c r="AZ40" s="518" t="str">
        <f>IF(AND(_AC3="B-717",'2023'!$M$4="CA",'2023'!$M$2=AZ5),'2023DATA2'!$I$37,"")</f>
        <v/>
      </c>
      <c r="BA40" s="518" t="str">
        <f>IF(AND(_AC3="B-717",'2023'!$M$4="CA",'2023'!$M$2=BA5),'2023DATA2'!$J$37,"")</f>
        <v/>
      </c>
      <c r="BB40" s="518" t="str">
        <f>IF(AND(_AC3="B-717",'2023'!$M$4="CA",'2023'!$M$2=BB5),'2023DATA2'!$K$37,"")</f>
        <v/>
      </c>
      <c r="BC40" s="518" t="str">
        <f>IF(AND(_AC3="B-717",'2023'!$M$4="CA",'2023'!$M$2=BC5),'2023DATA2'!$L$37,"")</f>
        <v/>
      </c>
      <c r="BD40" s="518" t="str">
        <f>IF(AND(_AC3="B-717",'2023'!$M$4="CA",'2023'!$M$2=BD5),'2023DATA2'!$M$37,"")</f>
        <v/>
      </c>
      <c r="BE40" s="520" t="str">
        <f>IF(AND(_AC3="B-717",'2023'!$M$4="CA",'2023'!$M$2=BE5),'2023DATA2'!$N$37,"")</f>
        <v/>
      </c>
      <c r="BF40" s="940" t="s">
        <v>53</v>
      </c>
      <c r="BG40" s="13" t="s">
        <v>61</v>
      </c>
      <c r="BH40" s="518" t="str">
        <f>IF(AND(_AC4="B-717",'2023'!$M$4="CA",'2023'!$M$2=BH5),'2023DATA2'!$C$37,"")</f>
        <v/>
      </c>
      <c r="BI40" s="518" t="str">
        <f>IF(AND(_AC4="B-717",'2023'!$M$4="CA",'2023'!$M$2=BI5),'2023DATA2'!$D$37,"")</f>
        <v/>
      </c>
      <c r="BJ40" s="518" t="str">
        <f>IF(AND(_AC4="B-717",'2023'!$M$4="CA",'2023'!$M$2=BJ5),'2023DATA2'!$E$37,"")</f>
        <v/>
      </c>
      <c r="BK40" s="518" t="str">
        <f>IF(AND(_AC4="B-717",'2023'!$M$4="CA",'2023'!$M$2=BK5),'2023DATA2'!$F$37,"")</f>
        <v/>
      </c>
      <c r="BL40" s="518" t="str">
        <f>IF(AND(_AC4="B-717",'2023'!$M$4="CA",'2023'!$M$2=BL5),'2023DATA2'!$G$37,"")</f>
        <v/>
      </c>
      <c r="BM40" s="518" t="str">
        <f>IF(AND(_AC4="B-717",'2023'!$M$4="CA",'2023'!$M$2=BM5),'2023DATA2'!$H$37,"")</f>
        <v/>
      </c>
      <c r="BN40" s="518" t="str">
        <f>IF(AND(_AC4="B-717",'2023'!$M$4="CA",'2023'!$M$2=BN5),'2023DATA2'!$I$37,"")</f>
        <v/>
      </c>
      <c r="BO40" s="518" t="str">
        <f>IF(AND(_AC4="B-717",'2023'!$M$4="CA",'2023'!$M$2=BO5),'2023DATA2'!$J$37,"")</f>
        <v/>
      </c>
      <c r="BP40" s="518" t="str">
        <f>IF(AND(_AC4="B-717",'2023'!$M$4="CA",'2023'!$M$2=BP5),'2023DATA2'!$K$37,"")</f>
        <v/>
      </c>
      <c r="BQ40" s="518" t="str">
        <f>IF(AND(_AC4="B-717",'2023'!$M$4="CA",'2023'!$M$2=BQ5),'2023DATA2'!$L$37,"")</f>
        <v/>
      </c>
      <c r="BR40" s="518" t="str">
        <f>IF(AND(_AC4="B-717",'2023'!$M$4="CA",'2023'!$M$2=BR5),'2023DATA2'!$M$37,"")</f>
        <v/>
      </c>
      <c r="BS40" s="520" t="str">
        <f>IF(AND(_AC4="B-717",'2023'!$M$4="CA",'2023'!$M$2=BS5),'2023DATA2'!$N$37,"")</f>
        <v/>
      </c>
      <c r="BT40" s="940" t="s">
        <v>53</v>
      </c>
      <c r="BU40" s="13" t="s">
        <v>61</v>
      </c>
      <c r="BV40" s="518" t="str">
        <f>IF(AND(_AC5="B-717",'2023'!$M$4="CA",'2023'!$M$2=BV5),'2023DATA2'!$C$37,"")</f>
        <v/>
      </c>
      <c r="BW40" s="518" t="str">
        <f>IF(AND(_AC5="B-717",'2023'!$M$4="CA",'2023'!$M$2=BW5),'2023DATA2'!$D$37,"")</f>
        <v/>
      </c>
      <c r="BX40" s="518" t="str">
        <f>IF(AND(_AC5="B-717",'2023'!$M$4="CA",'2023'!$M$2=BX5),'2023DATA2'!$E$37,"")</f>
        <v/>
      </c>
      <c r="BY40" s="518" t="str">
        <f>IF(AND(_AC5="B-717",'2023'!$M$4="CA",'2023'!$M$2=BY5),'2023DATA2'!$F$37,"")</f>
        <v/>
      </c>
      <c r="BZ40" s="518" t="str">
        <f>IF(AND(_AC5="B-717",'2023'!$M$4="CA",'2023'!$M$2=BZ5),'2023DATA2'!$G$37,"")</f>
        <v/>
      </c>
      <c r="CA40" s="518" t="str">
        <f>IF(AND(_AC5="B-717",'2023'!$M$4="CA",'2023'!$M$2=CA5),'2023DATA2'!$H$37,"")</f>
        <v/>
      </c>
      <c r="CB40" s="518" t="str">
        <f>IF(AND(_AC5="B-717",'2023'!$M$4="CA",'2023'!$M$2=CB5),'2023DATA2'!$I$37,"")</f>
        <v/>
      </c>
      <c r="CC40" s="518" t="str">
        <f>IF(AND(_AC5="B-717",'2023'!$M$4="CA",'2023'!$M$2=CC5),'2023DATA2'!$J$37,"")</f>
        <v/>
      </c>
      <c r="CD40" s="518" t="str">
        <f>IF(AND(_AC5="B-717",'2023'!$M$4="CA",'2023'!$M$2=CD5),'2023DATA2'!$K$37,"")</f>
        <v/>
      </c>
      <c r="CE40" s="518" t="str">
        <f>IF(AND(_AC5="B-717",'2023'!$M$4="CA",'2023'!$M$2=CE5),'2023DATA2'!$L$37,"")</f>
        <v/>
      </c>
      <c r="CF40" s="518" t="str">
        <f>IF(AND(_AC5="B-717",'2023'!$M$4="CA",'2023'!$M$2=CF5),'2023DATA2'!$M$37,"")</f>
        <v/>
      </c>
      <c r="CG40" s="520" t="str">
        <f>IF(AND(_AC5="B-717",'2023'!$M$4="CA",'2023'!$M$2=CG5),'2023DATA2'!$N$37,"")</f>
        <v/>
      </c>
      <c r="CH40" s="940" t="s">
        <v>53</v>
      </c>
      <c r="CI40" s="13" t="s">
        <v>61</v>
      </c>
      <c r="CJ40" s="518" t="str">
        <f>IF(AND(_AC6="B-717",'2023'!$M$4="CA",'2023'!$M$2=CJ5),'2023DATA2'!$C$37,"")</f>
        <v/>
      </c>
      <c r="CK40" s="518" t="str">
        <f>IF(AND(_AC6="B-717",'2023'!$M$4="CA",'2023'!$M$2=CK5),'2023DATA2'!$D$37,"")</f>
        <v/>
      </c>
      <c r="CL40" s="518" t="str">
        <f>IF(AND(_AC6="B-717",'2023'!$M$4="CA",'2023'!$M$2=CL5),'2023DATA2'!$E$37,"")</f>
        <v/>
      </c>
      <c r="CM40" s="518" t="str">
        <f>IF(AND(_AC6="B-717",'2023'!$M$4="CA",'2023'!$M$2=CM5),'2023DATA2'!$F$37,"")</f>
        <v/>
      </c>
      <c r="CN40" s="518" t="str">
        <f>IF(AND(_AC6="B-717",'2023'!$M$4="CA",'2023'!$M$2=CN5),'2023DATA2'!$G$37,"")</f>
        <v/>
      </c>
      <c r="CO40" s="518" t="str">
        <f>IF(AND(_AC6="B-717",'2023'!$M$4="CA",'2023'!$M$2=CO5),'2023DATA2'!$H$37,"")</f>
        <v/>
      </c>
      <c r="CP40" s="518" t="str">
        <f>IF(AND(_AC6="B-717",'2023'!$M$4="CA",'2023'!$M$2=CP5),'2023DATA2'!$I$37,"")</f>
        <v/>
      </c>
      <c r="CQ40" s="518" t="str">
        <f>IF(AND(_AC6="B-717",'2023'!$M$4="CA",'2023'!$M$2=CQ5),'2023DATA2'!$J$37,"")</f>
        <v/>
      </c>
      <c r="CR40" s="518" t="str">
        <f>IF(AND(_AC6="B-717",'2023'!$M$4="CA",'2023'!$M$2=CR5),'2023DATA2'!$K$37,"")</f>
        <v/>
      </c>
      <c r="CS40" s="518" t="str">
        <f>IF(AND(_AC6="B-717",'2023'!$M$4="CA",'2023'!$M$2=CS5),'2023DATA2'!$L$37,"")</f>
        <v/>
      </c>
      <c r="CT40" s="518" t="str">
        <f>IF(AND(_AC6="B-717",'2023'!$M$4="CA",'2023'!$M$2=CT5),'2023DATA2'!$M$37,"")</f>
        <v/>
      </c>
      <c r="CU40" s="520" t="str">
        <f>IF(AND(_AC6="B-717",'2023'!$M$4="CA",'2023'!$M$2=CU5),'2023DATA2'!$N$37,"")</f>
        <v/>
      </c>
    </row>
    <row r="41" spans="1:99" ht="15.75" thickBot="1" x14ac:dyDescent="0.3">
      <c r="P41" s="942"/>
      <c r="Q41" s="2" t="s">
        <v>62</v>
      </c>
      <c r="R41" s="518" t="str">
        <f>IF(AND(_AC1="B-717",'2023'!$M$4="FO",'2023'!$M$2=R5),'2023DATA2'!$C$38,"")</f>
        <v/>
      </c>
      <c r="S41" s="518" t="str">
        <f>IF(AND(_AC1="B-717",'2023'!$M$4="FO",'2023'!$M$2=S5),'2023DATA2'!$D$38,"")</f>
        <v/>
      </c>
      <c r="T41" s="518" t="str">
        <f>IF(AND(_AC1="B-717",'2023'!$M$4="FO",'2023'!$M$2=T5),'2023DATA2'!$E$38,"")</f>
        <v/>
      </c>
      <c r="U41" s="518" t="str">
        <f>IF(AND(_AC1="B-717",'2023'!$M$4="FO",'2023'!$M$2=U5),'2023DATA2'!$F$38,"")</f>
        <v/>
      </c>
      <c r="V41" s="518" t="str">
        <f>IF(AND(_AC1="B-717",'2023'!$M$4="FO",'2023'!$M$2=V5),'2023DATA2'!$G$38,"")</f>
        <v/>
      </c>
      <c r="W41" s="518" t="str">
        <f>IF(AND(_AC1="B-717",'2023'!$M$4="FO",'2023'!$M$2=W5),'2023DATA2'!$H$38,"")</f>
        <v/>
      </c>
      <c r="X41" s="518" t="str">
        <f>IF(AND(_AC1="B-717",'2023'!$M$4="FO",'2023'!$M$2=X5),'2023DATA2'!$I$38,"")</f>
        <v/>
      </c>
      <c r="Y41" s="518" t="str">
        <f>IF(AND(_AC1="B-717",'2023'!$M$4="FO",'2023'!$M$2=Y5),'2023DATA2'!$J$38,"")</f>
        <v/>
      </c>
      <c r="Z41" s="518" t="str">
        <f>IF(AND(_AC1="B-717",'2023'!$M$4="FO",'2023'!$M$2=Z5),'2023DATA2'!$K$38,"")</f>
        <v/>
      </c>
      <c r="AA41" s="518" t="str">
        <f>IF(AND(_AC1="B-717",'2023'!$M$4="FO",'2023'!$M$2=AA5),'2023DATA2'!$L$38,"")</f>
        <v/>
      </c>
      <c r="AB41" s="518" t="str">
        <f>IF(AND(_AC1="B-717",'2023'!$M$4="FO",'2023'!$M$2=AB5),'2023DATA2'!$M$38,"")</f>
        <v/>
      </c>
      <c r="AC41" s="520" t="str">
        <f>IF(AND(_AC1="B-717",'2023'!$M$4="FO",'2023'!$M$2=AC5),'2023DATA2'!$N$38,"")</f>
        <v/>
      </c>
      <c r="AD41" s="942"/>
      <c r="AE41" s="2" t="s">
        <v>62</v>
      </c>
      <c r="AF41" s="518" t="str">
        <f>IF(AND(_AC2="B-717",'2023'!$M$4="FO",'2023'!$M$2=AF5),'2023DATA2'!$C$38,"")</f>
        <v/>
      </c>
      <c r="AG41" s="518" t="str">
        <f>IF(AND(_AC2="B-717",'2023'!$M$4="FO",'2023'!$M$2=AG5),'2023DATA2'!$D$38,"")</f>
        <v/>
      </c>
      <c r="AH41" s="518" t="str">
        <f>IF(AND(_AC2="B-717",'2023'!$M$4="FO",'2023'!$M$2=AH5),'2023DATA2'!$E$38,"")</f>
        <v/>
      </c>
      <c r="AI41" s="518" t="str">
        <f>IF(AND(_AC2="B-717",'2023'!$M$4="FO",'2023'!$M$2=AI5),'2023DATA2'!$F$38,"")</f>
        <v/>
      </c>
      <c r="AJ41" s="518" t="str">
        <f>IF(AND(_AC2="B-717",'2023'!$M$4="FO",'2023'!$M$2=AJ5),'2023DATA2'!$G$38,"")</f>
        <v/>
      </c>
      <c r="AK41" s="518" t="str">
        <f>IF(AND(_AC2="B-717",'2023'!$M$4="FO",'2023'!$M$2=AK5),'2023DATA2'!$H$38,"")</f>
        <v/>
      </c>
      <c r="AL41" s="518" t="str">
        <f>IF(AND(_AC2="B-717",'2023'!$M$4="FO",'2023'!$M$2=AL5),'2023DATA2'!$I$38,"")</f>
        <v/>
      </c>
      <c r="AM41" s="518" t="str">
        <f>IF(AND(_AC2="B-717",'2023'!$M$4="FO",'2023'!$M$2=AM5),'2023DATA2'!$J$38,"")</f>
        <v/>
      </c>
      <c r="AN41" s="518" t="str">
        <f>IF(AND(_AC2="B-717",'2023'!$M$4="FO",'2023'!$M$2=AN5),'2023DATA2'!$K$38,"")</f>
        <v/>
      </c>
      <c r="AO41" s="518" t="str">
        <f>IF(AND(_AC2="B-717",'2023'!$M$4="FO",'2023'!$M$2=AO5),'2023DATA2'!$L$38,"")</f>
        <v/>
      </c>
      <c r="AP41" s="518" t="str">
        <f>IF(AND(_AC2="B-717",'2023'!$M$4="FO",'2023'!$M$2=AP5),'2023DATA2'!$M$38,"")</f>
        <v/>
      </c>
      <c r="AQ41" s="520" t="str">
        <f>IF(AND(_AC2="B-717",'2023'!$M$4="FO",'2023'!$M$2=AQ5),'2023DATA2'!$N$38,"")</f>
        <v/>
      </c>
      <c r="AR41" s="942"/>
      <c r="AS41" s="2" t="s">
        <v>62</v>
      </c>
      <c r="AT41" s="518" t="str">
        <f>IF(AND(_AC3="B-717",'2023'!$M$4="FO",'2023'!$M$2=AT5),'2023DATA2'!$C$38,"")</f>
        <v/>
      </c>
      <c r="AU41" s="518" t="str">
        <f>IF(AND(_AC3="B-717",'2023'!$M$4="FO",'2023'!$M$2=AU5),'2023DATA2'!$D$38,"")</f>
        <v/>
      </c>
      <c r="AV41" s="518" t="str">
        <f>IF(AND(_AC3="B-717",'2023'!$M$4="FO",'2023'!$M$2=AV5),'2023DATA2'!$E$38,"")</f>
        <v/>
      </c>
      <c r="AW41" s="518" t="str">
        <f>IF(AND(_AC3="B-717",'2023'!$M$4="FO",'2023'!$M$2=AW5),'2023DATA2'!$F$38,"")</f>
        <v/>
      </c>
      <c r="AX41" s="518" t="str">
        <f>IF(AND(_AC3="B-717",'2023'!$M$4="FO",'2023'!$M$2=AX5),'2023DATA2'!$G$38,"")</f>
        <v/>
      </c>
      <c r="AY41" s="518" t="str">
        <f>IF(AND(_AC3="B-717",'2023'!$M$4="FO",'2023'!$M$2=AY5),'2023DATA2'!$H$38,"")</f>
        <v/>
      </c>
      <c r="AZ41" s="518" t="str">
        <f>IF(AND(_AC3="B-717",'2023'!$M$4="FO",'2023'!$M$2=AZ5),'2023DATA2'!$I$38,"")</f>
        <v/>
      </c>
      <c r="BA41" s="518" t="str">
        <f>IF(AND(_AC3="B-717",'2023'!$M$4="FO",'2023'!$M$2=BA5),'2023DATA2'!$J$38,"")</f>
        <v/>
      </c>
      <c r="BB41" s="518" t="str">
        <f>IF(AND(_AC3="B-717",'2023'!$M$4="FO",'2023'!$M$2=BB5),'2023DATA2'!$K$38,"")</f>
        <v/>
      </c>
      <c r="BC41" s="518" t="str">
        <f>IF(AND(_AC3="B-717",'2023'!$M$4="FO",'2023'!$M$2=BC5),'2023DATA2'!$L$38,"")</f>
        <v/>
      </c>
      <c r="BD41" s="518" t="str">
        <f>IF(AND(_AC3="B-717",'2023'!$M$4="FO",'2023'!$M$2=BD5),'2023DATA2'!$M$38,"")</f>
        <v/>
      </c>
      <c r="BE41" s="520" t="str">
        <f>IF(AND(_AC3="B-717",'2023'!$M$4="FO",'2023'!$M$2=BE5),'2023DATA2'!$N$38,"")</f>
        <v/>
      </c>
      <c r="BF41" s="942"/>
      <c r="BG41" s="2" t="s">
        <v>62</v>
      </c>
      <c r="BH41" s="518" t="str">
        <f>IF(AND(_AC4="B-717",'2023'!$M$4="FO",'2023'!$M$2=BH5),'2023DATA2'!$C$38,"")</f>
        <v/>
      </c>
      <c r="BI41" s="518" t="str">
        <f>IF(AND(_AC4="B-717",'2023'!$M$4="FO",'2023'!$M$2=BI5),'2023DATA2'!$D$38,"")</f>
        <v/>
      </c>
      <c r="BJ41" s="518" t="str">
        <f>IF(AND(_AC4="B-717",'2023'!$M$4="FO",'2023'!$M$2=BJ5),'2023DATA2'!$E$38,"")</f>
        <v/>
      </c>
      <c r="BK41" s="518" t="str">
        <f>IF(AND(_AC4="B-717",'2023'!$M$4="FO",'2023'!$M$2=BK5),'2023DATA2'!$F$38,"")</f>
        <v/>
      </c>
      <c r="BL41" s="518" t="str">
        <f>IF(AND(_AC4="B-717",'2023'!$M$4="FO",'2023'!$M$2=BL5),'2023DATA2'!$G$38,"")</f>
        <v/>
      </c>
      <c r="BM41" s="518" t="str">
        <f>IF(AND(_AC4="B-717",'2023'!$M$4="FO",'2023'!$M$2=BM5),'2023DATA2'!$H$38,"")</f>
        <v/>
      </c>
      <c r="BN41" s="518" t="str">
        <f>IF(AND(_AC4="B-717",'2023'!$M$4="FO",'2023'!$M$2=BN5),'2023DATA2'!$I$38,"")</f>
        <v/>
      </c>
      <c r="BO41" s="518" t="str">
        <f>IF(AND(_AC4="B-717",'2023'!$M$4="FO",'2023'!$M$2=BO5),'2023DATA2'!$J$38,"")</f>
        <v/>
      </c>
      <c r="BP41" s="518" t="str">
        <f>IF(AND(_AC4="B-717",'2023'!$M$4="FO",'2023'!$M$2=BP5),'2023DATA2'!$K$38,"")</f>
        <v/>
      </c>
      <c r="BQ41" s="518" t="str">
        <f>IF(AND(_AC4="B-717",'2023'!$M$4="FO",'2023'!$M$2=BQ5),'2023DATA2'!$L$38,"")</f>
        <v/>
      </c>
      <c r="BR41" s="518" t="str">
        <f>IF(AND(_AC4="B-717",'2023'!$M$4="FO",'2023'!$M$2=BR5),'2023DATA2'!$M$38,"")</f>
        <v/>
      </c>
      <c r="BS41" s="520" t="str">
        <f>IF(AND(_AC4="B-717",'2023'!$M$4="FO",'2023'!$M$2=BS5),'2023DATA2'!$N$38,"")</f>
        <v/>
      </c>
      <c r="BT41" s="942"/>
      <c r="BU41" s="2" t="s">
        <v>62</v>
      </c>
      <c r="BV41" s="518" t="str">
        <f>IF(AND(_AC5="B-717",'2023'!$M$4="FO",'2023'!$M$2=BV5),'2023DATA2'!$C$38,"")</f>
        <v/>
      </c>
      <c r="BW41" s="518" t="str">
        <f>IF(AND(_AC5="B-717",'2023'!$M$4="FO",'2023'!$M$2=BW5),'2023DATA2'!$D$38,"")</f>
        <v/>
      </c>
      <c r="BX41" s="518" t="str">
        <f>IF(AND(_AC5="B-717",'2023'!$M$4="FO",'2023'!$M$2=BX5),'2023DATA2'!$E$38,"")</f>
        <v/>
      </c>
      <c r="BY41" s="518" t="str">
        <f>IF(AND(_AC5="B-717",'2023'!$M$4="FO",'2023'!$M$2=BY5),'2023DATA2'!$F$38,"")</f>
        <v/>
      </c>
      <c r="BZ41" s="518" t="str">
        <f>IF(AND(_AC5="B-717",'2023'!$M$4="FO",'2023'!$M$2=BZ5),'2023DATA2'!$G$38,"")</f>
        <v/>
      </c>
      <c r="CA41" s="518" t="str">
        <f>IF(AND(_AC5="B-717",'2023'!$M$4="FO",'2023'!$M$2=CA5),'2023DATA2'!$H$38,"")</f>
        <v/>
      </c>
      <c r="CB41" s="518" t="str">
        <f>IF(AND(_AC5="B-717",'2023'!$M$4="FO",'2023'!$M$2=CB5),'2023DATA2'!$I$38,"")</f>
        <v/>
      </c>
      <c r="CC41" s="518" t="str">
        <f>IF(AND(_AC5="B-717",'2023'!$M$4="FO",'2023'!$M$2=CC5),'2023DATA2'!$J$38,"")</f>
        <v/>
      </c>
      <c r="CD41" s="518" t="str">
        <f>IF(AND(_AC5="B-717",'2023'!$M$4="FO",'2023'!$M$2=CD5),'2023DATA2'!$K$38,"")</f>
        <v/>
      </c>
      <c r="CE41" s="518" t="str">
        <f>IF(AND(_AC5="B-717",'2023'!$M$4="FO",'2023'!$M$2=CE5),'2023DATA2'!$L$38,"")</f>
        <v/>
      </c>
      <c r="CF41" s="518" t="str">
        <f>IF(AND(_AC5="B-717",'2023'!$M$4="FO",'2023'!$M$2=CF5),'2023DATA2'!$M$38,"")</f>
        <v/>
      </c>
      <c r="CG41" s="520" t="str">
        <f>IF(AND(_AC5="B-717",'2023'!$M$4="FO",'2023'!$M$2=CG5),'2023DATA2'!$N$38,"")</f>
        <v/>
      </c>
      <c r="CH41" s="942"/>
      <c r="CI41" s="2" t="s">
        <v>62</v>
      </c>
      <c r="CJ41" s="518" t="str">
        <f>IF(AND(_AC6="B-717",'2023'!$M$4="FO",'2023'!$M$2=CJ5),'2023DATA2'!$C$38,"")</f>
        <v/>
      </c>
      <c r="CK41" s="518" t="str">
        <f>IF(AND(_AC6="B-717",'2023'!$M$4="FO",'2023'!$M$2=CK5),'2023DATA2'!$D$38,"")</f>
        <v/>
      </c>
      <c r="CL41" s="518" t="str">
        <f>IF(AND(_AC6="B-717",'2023'!$M$4="FO",'2023'!$M$2=CL5),'2023DATA2'!$E$38,"")</f>
        <v/>
      </c>
      <c r="CM41" s="518" t="str">
        <f>IF(AND(_AC6="B-717",'2023'!$M$4="FO",'2023'!$M$2=CM5),'2023DATA2'!$F$38,"")</f>
        <v/>
      </c>
      <c r="CN41" s="518" t="str">
        <f>IF(AND(_AC6="B-717",'2023'!$M$4="FO",'2023'!$M$2=CN5),'2023DATA2'!$G$38,"")</f>
        <v/>
      </c>
      <c r="CO41" s="518" t="str">
        <f>IF(AND(_AC6="B-717",'2023'!$M$4="FO",'2023'!$M$2=CO5),'2023DATA2'!$H$38,"")</f>
        <v/>
      </c>
      <c r="CP41" s="518" t="str">
        <f>IF(AND(_AC6="B-717",'2023'!$M$4="FO",'2023'!$M$2=CP5),'2023DATA2'!$I$38,"")</f>
        <v/>
      </c>
      <c r="CQ41" s="518" t="str">
        <f>IF(AND(_AC6="B-717",'2023'!$M$4="FO",'2023'!$M$2=CQ5),'2023DATA2'!$J$38,"")</f>
        <v/>
      </c>
      <c r="CR41" s="518" t="str">
        <f>IF(AND(_AC6="B-717",'2023'!$M$4="FO",'2023'!$M$2=CR5),'2023DATA2'!$K$38,"")</f>
        <v/>
      </c>
      <c r="CS41" s="518" t="str">
        <f>IF(AND(_AC6="B-717",'2023'!$M$4="FO",'2023'!$M$2=CS5),'2023DATA2'!$L$38,"")</f>
        <v/>
      </c>
      <c r="CT41" s="518" t="str">
        <f>IF(AND(_AC6="B-717",'2023'!$M$4="FO",'2023'!$M$2=CT5),'2023DATA2'!$M$38,"")</f>
        <v/>
      </c>
      <c r="CU41" s="520" t="str">
        <f>IF(AND(_AC6="B-717",'2023'!$M$4="FO",'2023'!$M$2=CU5),'2023DATA2'!$N$38,"")</f>
        <v/>
      </c>
    </row>
    <row r="42" spans="1:99" x14ac:dyDescent="0.25">
      <c r="P42" s="943" t="s">
        <v>140</v>
      </c>
      <c r="Q42" s="944"/>
      <c r="R42" s="944"/>
      <c r="S42" s="944"/>
      <c r="T42" s="944"/>
      <c r="U42" s="944"/>
      <c r="V42" s="944"/>
      <c r="W42" s="944"/>
      <c r="X42" s="944"/>
      <c r="Y42" s="944"/>
      <c r="Z42" s="944"/>
      <c r="AA42" s="944"/>
      <c r="AB42" s="944"/>
      <c r="AC42" s="945"/>
      <c r="AD42" s="943" t="s">
        <v>141</v>
      </c>
      <c r="AE42" s="944"/>
      <c r="AF42" s="944"/>
      <c r="AG42" s="944"/>
      <c r="AH42" s="944"/>
      <c r="AI42" s="944"/>
      <c r="AJ42" s="944"/>
      <c r="AK42" s="944"/>
      <c r="AL42" s="944"/>
      <c r="AM42" s="944"/>
      <c r="AN42" s="944"/>
      <c r="AO42" s="944"/>
      <c r="AP42" s="944"/>
      <c r="AQ42" s="945"/>
      <c r="AR42" s="943" t="s">
        <v>142</v>
      </c>
      <c r="AS42" s="944"/>
      <c r="AT42" s="944"/>
      <c r="AU42" s="944"/>
      <c r="AV42" s="944"/>
      <c r="AW42" s="944"/>
      <c r="AX42" s="944"/>
      <c r="AY42" s="944"/>
      <c r="AZ42" s="944"/>
      <c r="BA42" s="944"/>
      <c r="BB42" s="944"/>
      <c r="BC42" s="944"/>
      <c r="BD42" s="944"/>
      <c r="BE42" s="945"/>
      <c r="BF42" s="943" t="s">
        <v>143</v>
      </c>
      <c r="BG42" s="944"/>
      <c r="BH42" s="944"/>
      <c r="BI42" s="944"/>
      <c r="BJ42" s="944"/>
      <c r="BK42" s="944"/>
      <c r="BL42" s="944"/>
      <c r="BM42" s="944"/>
      <c r="BN42" s="944"/>
      <c r="BO42" s="944"/>
      <c r="BP42" s="944"/>
      <c r="BQ42" s="944"/>
      <c r="BR42" s="944"/>
      <c r="BS42" s="945"/>
      <c r="BT42" s="943" t="s">
        <v>144</v>
      </c>
      <c r="BU42" s="944"/>
      <c r="BV42" s="944"/>
      <c r="BW42" s="944"/>
      <c r="BX42" s="944"/>
      <c r="BY42" s="944"/>
      <c r="BZ42" s="944"/>
      <c r="CA42" s="944"/>
      <c r="CB42" s="944"/>
      <c r="CC42" s="944"/>
      <c r="CD42" s="944"/>
      <c r="CE42" s="944"/>
      <c r="CF42" s="944"/>
      <c r="CG42" s="945"/>
      <c r="CH42" s="943" t="s">
        <v>145</v>
      </c>
      <c r="CI42" s="944"/>
      <c r="CJ42" s="944"/>
      <c r="CK42" s="944"/>
      <c r="CL42" s="944"/>
      <c r="CM42" s="944"/>
      <c r="CN42" s="944"/>
      <c r="CO42" s="944"/>
      <c r="CP42" s="944"/>
      <c r="CQ42" s="944"/>
      <c r="CR42" s="944"/>
      <c r="CS42" s="944"/>
      <c r="CT42" s="944"/>
      <c r="CU42" s="945"/>
    </row>
    <row r="43" spans="1:99" x14ac:dyDescent="0.25">
      <c r="P43" s="594">
        <v>11</v>
      </c>
      <c r="Q43" s="575">
        <f>SUM(R44:AC79)</f>
        <v>0</v>
      </c>
      <c r="R43" s="3">
        <v>12</v>
      </c>
      <c r="S43" s="3">
        <v>11</v>
      </c>
      <c r="T43" s="3">
        <v>10</v>
      </c>
      <c r="U43" s="3">
        <v>9</v>
      </c>
      <c r="V43" s="3">
        <v>8</v>
      </c>
      <c r="W43" s="3">
        <v>7</v>
      </c>
      <c r="X43" s="3">
        <v>6</v>
      </c>
      <c r="Y43" s="3">
        <v>5</v>
      </c>
      <c r="Z43" s="3">
        <v>4</v>
      </c>
      <c r="AA43" s="3">
        <v>3</v>
      </c>
      <c r="AB43" s="3">
        <v>2</v>
      </c>
      <c r="AC43" s="519">
        <v>1</v>
      </c>
      <c r="AD43" s="575">
        <v>11</v>
      </c>
      <c r="AE43" s="575">
        <f>SUM(AF44:AQ79)</f>
        <v>0</v>
      </c>
      <c r="AF43" s="3">
        <v>12</v>
      </c>
      <c r="AG43" s="3">
        <v>11</v>
      </c>
      <c r="AH43" s="3">
        <v>10</v>
      </c>
      <c r="AI43" s="3">
        <v>9</v>
      </c>
      <c r="AJ43" s="3">
        <v>8</v>
      </c>
      <c r="AK43" s="3">
        <v>7</v>
      </c>
      <c r="AL43" s="3">
        <v>6</v>
      </c>
      <c r="AM43" s="3">
        <v>5</v>
      </c>
      <c r="AN43" s="3">
        <v>4</v>
      </c>
      <c r="AO43" s="3">
        <v>3</v>
      </c>
      <c r="AP43" s="3">
        <v>2</v>
      </c>
      <c r="AQ43" s="519">
        <v>1</v>
      </c>
      <c r="AR43" s="575">
        <v>11</v>
      </c>
      <c r="AS43" s="575">
        <f>SUM(AT44:BE79)</f>
        <v>0</v>
      </c>
      <c r="AT43" s="3">
        <v>12</v>
      </c>
      <c r="AU43" s="3">
        <v>11</v>
      </c>
      <c r="AV43" s="3">
        <v>10</v>
      </c>
      <c r="AW43" s="3">
        <v>9</v>
      </c>
      <c r="AX43" s="3">
        <v>8</v>
      </c>
      <c r="AY43" s="3">
        <v>7</v>
      </c>
      <c r="AZ43" s="3">
        <v>6</v>
      </c>
      <c r="BA43" s="3">
        <v>5</v>
      </c>
      <c r="BB43" s="3">
        <v>4</v>
      </c>
      <c r="BC43" s="3">
        <v>3</v>
      </c>
      <c r="BD43" s="3">
        <v>2</v>
      </c>
      <c r="BE43" s="519">
        <v>1</v>
      </c>
      <c r="BF43" s="575">
        <v>11</v>
      </c>
      <c r="BG43" s="575">
        <f>SUM(BH44:BS79)</f>
        <v>0</v>
      </c>
      <c r="BH43" s="3">
        <v>12</v>
      </c>
      <c r="BI43" s="3">
        <v>11</v>
      </c>
      <c r="BJ43" s="3">
        <v>10</v>
      </c>
      <c r="BK43" s="3">
        <v>9</v>
      </c>
      <c r="BL43" s="3">
        <v>8</v>
      </c>
      <c r="BM43" s="3">
        <v>7</v>
      </c>
      <c r="BN43" s="3">
        <v>6</v>
      </c>
      <c r="BO43" s="3">
        <v>5</v>
      </c>
      <c r="BP43" s="3">
        <v>4</v>
      </c>
      <c r="BQ43" s="3">
        <v>3</v>
      </c>
      <c r="BR43" s="3">
        <v>2</v>
      </c>
      <c r="BS43" s="519">
        <v>1</v>
      </c>
      <c r="BT43" s="575">
        <v>11</v>
      </c>
      <c r="BU43" s="575">
        <f>SUM(BV44:CG79)</f>
        <v>0</v>
      </c>
      <c r="BV43" s="3">
        <v>12</v>
      </c>
      <c r="BW43" s="3">
        <v>11</v>
      </c>
      <c r="BX43" s="3">
        <v>10</v>
      </c>
      <c r="BY43" s="3">
        <v>9</v>
      </c>
      <c r="BZ43" s="3">
        <v>8</v>
      </c>
      <c r="CA43" s="3">
        <v>7</v>
      </c>
      <c r="CB43" s="3">
        <v>6</v>
      </c>
      <c r="CC43" s="3">
        <v>5</v>
      </c>
      <c r="CD43" s="3">
        <v>4</v>
      </c>
      <c r="CE43" s="3">
        <v>3</v>
      </c>
      <c r="CF43" s="3">
        <v>2</v>
      </c>
      <c r="CG43" s="519">
        <v>1</v>
      </c>
      <c r="CH43" s="575">
        <v>11</v>
      </c>
      <c r="CI43" s="575">
        <f>SUM(CJ44:CU79)</f>
        <v>0</v>
      </c>
      <c r="CJ43" s="3">
        <v>12</v>
      </c>
      <c r="CK43" s="3">
        <v>11</v>
      </c>
      <c r="CL43" s="3">
        <v>10</v>
      </c>
      <c r="CM43" s="3">
        <v>9</v>
      </c>
      <c r="CN43" s="3">
        <v>8</v>
      </c>
      <c r="CO43" s="3">
        <v>7</v>
      </c>
      <c r="CP43" s="3">
        <v>6</v>
      </c>
      <c r="CQ43" s="3">
        <v>5</v>
      </c>
      <c r="CR43" s="3">
        <v>4</v>
      </c>
      <c r="CS43" s="3">
        <v>3</v>
      </c>
      <c r="CT43" s="3">
        <v>2</v>
      </c>
      <c r="CU43" s="519">
        <v>1</v>
      </c>
    </row>
    <row r="44" spans="1:99" x14ac:dyDescent="0.25">
      <c r="P44" s="940" t="s">
        <v>39</v>
      </c>
      <c r="Q44" s="13" t="s">
        <v>61</v>
      </c>
      <c r="R44" s="518" t="str">
        <f>IF(AND(_AC1="A-350",'2023'!$N$4="CA",'2023'!$N$2=R43),'2023DATA2'!$C$3,"")</f>
        <v/>
      </c>
      <c r="S44" s="518" t="str">
        <f>IF(AND(_AC1="A-350",'2023'!$N$4="CA",'2023'!$N$2=S43),'2023DATA2'!$D$3,"")</f>
        <v/>
      </c>
      <c r="T44" s="518" t="str">
        <f>IF(AND(_AC1="A-350",'2023'!$N$4="CA",'2023'!$N$2=T43),'2023DATA2'!$E$3,"")</f>
        <v/>
      </c>
      <c r="U44" s="518" t="str">
        <f>IF(AND(_AC1="A-350",'2023'!$N$4="CA",'2023'!$N$2=U43),'2023DATA2'!$F$3,"")</f>
        <v/>
      </c>
      <c r="V44" s="518" t="str">
        <f>IF(AND(_AC1="A-350",'2023'!$N$4="CA",'2023'!$N$2=V43),'2023DATA2'!$G$3,"")</f>
        <v/>
      </c>
      <c r="W44" s="518" t="str">
        <f>IF(AND(_AC1="A-350",'2023'!$N$4="CA",'2023'!$N$2=W43),'2023DATA2'!$H$3,"")</f>
        <v/>
      </c>
      <c r="X44" s="518" t="str">
        <f>IF(AND(_AC1="A-350",'2023'!$N$4="CA",'2023'!$N$2=X43),'2023DATA2'!$I$3,"")</f>
        <v/>
      </c>
      <c r="Y44" s="518" t="str">
        <f>IF(AND(_AC1="A-350",'2023'!$N$4="CA",'2023'!$N$2=Y43),'2023DATA2'!$J$3,"")</f>
        <v/>
      </c>
      <c r="Z44" s="518" t="str">
        <f>IF(AND(_AC1="A-350",'2023'!$N$4="CA",'2023'!$N$2=Z43),'2023DATA2'!$K$3,"")</f>
        <v/>
      </c>
      <c r="AA44" s="518" t="str">
        <f>IF(AND(_AC1="A-350",'2023'!$N$4="CA",'2023'!$N$2=AA43),'2023DATA2'!$L$3,"")</f>
        <v/>
      </c>
      <c r="AB44" s="518" t="str">
        <f>IF(AND(_AC1="A-350",'2023'!$N$4="CA",'2023'!$N$2=AB43),'2023DATA2'!$M$3,"")</f>
        <v/>
      </c>
      <c r="AC44" s="520" t="str">
        <f>IF(AND(_AC1="A-350",'2023'!$N$4="CA",'2023'!$N$2=AC43),'2023DATA2'!$N$3,"")</f>
        <v/>
      </c>
      <c r="AD44" s="940" t="s">
        <v>39</v>
      </c>
      <c r="AE44" s="13" t="s">
        <v>61</v>
      </c>
      <c r="AF44" s="518" t="str">
        <f>IF(AND(_AC2="A-350",'2023'!$N$4="CA",'2023'!$N$2=AF43),'2023DATA2'!$C$3,"")</f>
        <v/>
      </c>
      <c r="AG44" s="518" t="str">
        <f>IF(AND(_AC2="A-350",'2023'!$N$4="CA",'2023'!$N$2=AG43),'2023DATA2'!$D$3,"")</f>
        <v/>
      </c>
      <c r="AH44" s="518" t="str">
        <f>IF(AND(_AC2="A-350",'2023'!$N$4="CA",'2023'!$N$2=AH43),'2023DATA2'!$E$3,"")</f>
        <v/>
      </c>
      <c r="AI44" s="518" t="str">
        <f>IF(AND(_AC2="A-350",'2023'!$N$4="CA",'2023'!$N$2=AI43),'2023DATA2'!$F$3,"")</f>
        <v/>
      </c>
      <c r="AJ44" s="518" t="str">
        <f>IF(AND(_AC2="A-350",'2023'!$N$4="CA",'2023'!$N$2=AJ43),'2023DATA2'!$G$3,"")</f>
        <v/>
      </c>
      <c r="AK44" s="518" t="str">
        <f>IF(AND(_AC2="A-350",'2023'!$N$4="CA",'2023'!$N$2=AK43),'2023DATA2'!$H$3,"")</f>
        <v/>
      </c>
      <c r="AL44" s="518" t="str">
        <f>IF(AND(_AC2="A-350",'2023'!$N$4="CA",'2023'!$N$2=AL43),'2023DATA2'!$I$3,"")</f>
        <v/>
      </c>
      <c r="AM44" s="518" t="str">
        <f>IF(AND(_AC2="A-350",'2023'!$N$4="CA",'2023'!$N$2=AM43),'2023DATA2'!$J$3,"")</f>
        <v/>
      </c>
      <c r="AN44" s="518" t="str">
        <f>IF(AND(_AC2="A-350",'2023'!$N$4="CA",'2023'!$N$2=AN43),'2023DATA2'!$K$3,"")</f>
        <v/>
      </c>
      <c r="AO44" s="518" t="str">
        <f>IF(AND(_AC2="A-350",'2023'!$N$4="CA",'2023'!$N$2=AO43),'2023DATA2'!$L$3,"")</f>
        <v/>
      </c>
      <c r="AP44" s="518" t="str">
        <f>IF(AND(_AC2="A-350",'2023'!$N$4="CA",'2023'!$N$2=AP43),'2023DATA2'!$M$3,"")</f>
        <v/>
      </c>
      <c r="AQ44" s="520" t="str">
        <f>IF(AND(_AC2="A-350",'2023'!$N$4="CA",'2023'!$N$2=AQ43),'2023DATA2'!$N$3,"")</f>
        <v/>
      </c>
      <c r="AR44" s="940" t="s">
        <v>39</v>
      </c>
      <c r="AS44" s="13" t="s">
        <v>61</v>
      </c>
      <c r="AT44" s="518" t="str">
        <f>IF(AND(_AC3="A-350",'2023'!$N$4="CA",'2023'!$N$2=AT43),'2023DATA2'!$C$3,"")</f>
        <v/>
      </c>
      <c r="AU44" s="518" t="str">
        <f>IF(AND(_AC3="A-350",'2023'!$N$4="CA",'2023'!$N$2=AU43),'2023DATA2'!$D$3,"")</f>
        <v/>
      </c>
      <c r="AV44" s="518" t="str">
        <f>IF(AND(_AC3="A-350",'2023'!$N$4="CA",'2023'!$N$2=AV43),'2023DATA2'!$E$3,"")</f>
        <v/>
      </c>
      <c r="AW44" s="518" t="str">
        <f>IF(AND(_AC3="A-350",'2023'!$N$4="CA",'2023'!$N$2=AW43),'2023DATA2'!$F$3,"")</f>
        <v/>
      </c>
      <c r="AX44" s="518" t="str">
        <f>IF(AND(_AC3="A-350",'2023'!$N$4="CA",'2023'!$N$2=AX43),'2023DATA2'!$G$3,"")</f>
        <v/>
      </c>
      <c r="AY44" s="518" t="str">
        <f>IF(AND(_AC3="A-350",'2023'!$N$4="CA",'2023'!$N$2=AY43),'2023DATA2'!$H$3,"")</f>
        <v/>
      </c>
      <c r="AZ44" s="518" t="str">
        <f>IF(AND(_AC3="A-350",'2023'!$N$4="CA",'2023'!$N$2=AZ43),'2023DATA2'!$I$3,"")</f>
        <v/>
      </c>
      <c r="BA44" s="518" t="str">
        <f>IF(AND(_AC3="A-350",'2023'!$N$4="CA",'2023'!$N$2=BA43),'2023DATA2'!$J$3,"")</f>
        <v/>
      </c>
      <c r="BB44" s="518" t="str">
        <f>IF(AND(_AC3="A-350",'2023'!$N$4="CA",'2023'!$N$2=BB43),'2023DATA2'!$K$3,"")</f>
        <v/>
      </c>
      <c r="BC44" s="518" t="str">
        <f>IF(AND(_AC3="A-350",'2023'!$N$4="CA",'2023'!$N$2=BC43),'2023DATA2'!$L$3,"")</f>
        <v/>
      </c>
      <c r="BD44" s="518" t="str">
        <f>IF(AND(_AC3="A-350",'2023'!$N$4="CA",'2023'!$N$2=BD43),'2023DATA2'!$M$3,"")</f>
        <v/>
      </c>
      <c r="BE44" s="520" t="str">
        <f>IF(AND(_AC3="A-350",'2023'!$N$4="CA",'2023'!$N$2=BE43),'2023DATA2'!$N$3,"")</f>
        <v/>
      </c>
      <c r="BF44" s="940" t="s">
        <v>39</v>
      </c>
      <c r="BG44" s="13" t="s">
        <v>61</v>
      </c>
      <c r="BH44" s="518" t="str">
        <f>IF(AND(_AC4="A-350",'2023'!$N$4="CA",'2023'!$N$2=BH43),'2023DATA2'!$C$3,"")</f>
        <v/>
      </c>
      <c r="BI44" s="518" t="str">
        <f>IF(AND(_AC4="A-350",'2023'!$N$4="CA",'2023'!$N$2=BI43),'2023DATA2'!$D$3,"")</f>
        <v/>
      </c>
      <c r="BJ44" s="518" t="str">
        <f>IF(AND(_AC4="A-350",'2023'!$N$4="CA",'2023'!$N$2=BJ43),'2023DATA2'!$E$3,"")</f>
        <v/>
      </c>
      <c r="BK44" s="518" t="str">
        <f>IF(AND(_AC4="A-350",'2023'!$N$4="CA",'2023'!$N$2=BK43),'2023DATA2'!$F$3,"")</f>
        <v/>
      </c>
      <c r="BL44" s="518" t="str">
        <f>IF(AND(_AC4="A-350",'2023'!$N$4="CA",'2023'!$N$2=BL43),'2023DATA2'!$G$3,"")</f>
        <v/>
      </c>
      <c r="BM44" s="518" t="str">
        <f>IF(AND(_AC4="A-350",'2023'!$N$4="CA",'2023'!$N$2=BM43),'2023DATA2'!$H$3,"")</f>
        <v/>
      </c>
      <c r="BN44" s="518" t="str">
        <f>IF(AND(_AC4="A-350",'2023'!$N$4="CA",'2023'!$N$2=BN43),'2023DATA2'!$I$3,"")</f>
        <v/>
      </c>
      <c r="BO44" s="518" t="str">
        <f>IF(AND(_AC4="A-350",'2023'!$N$4="CA",'2023'!$N$2=BO43),'2023DATA2'!$J$3,"")</f>
        <v/>
      </c>
      <c r="BP44" s="518" t="str">
        <f>IF(AND(_AC4="A-350",'2023'!$N$4="CA",'2023'!$N$2=BP43),'2023DATA2'!$K$3,"")</f>
        <v/>
      </c>
      <c r="BQ44" s="518" t="str">
        <f>IF(AND(_AC4="A-350",'2023'!$N$4="CA",'2023'!$N$2=BQ43),'2023DATA2'!$L$3,"")</f>
        <v/>
      </c>
      <c r="BR44" s="518" t="str">
        <f>IF(AND(_AC4="A-350",'2023'!$N$4="CA",'2023'!$N$2=BR43),'2023DATA2'!$M$3,"")</f>
        <v/>
      </c>
      <c r="BS44" s="520" t="str">
        <f>IF(AND(_AC4="A-350",'2023'!$N$4="CA",'2023'!$N$2=BS43),'2023DATA2'!$N$3,"")</f>
        <v/>
      </c>
      <c r="BT44" s="940" t="s">
        <v>39</v>
      </c>
      <c r="BU44" s="13" t="s">
        <v>61</v>
      </c>
      <c r="BV44" s="518" t="str">
        <f>IF(AND(_AC5="A-350",'2023'!$N$4="CA",'2023'!$N$2=BV43),'2023DATA2'!$C$3,"")</f>
        <v/>
      </c>
      <c r="BW44" s="518" t="str">
        <f>IF(AND(_AC5="A-350",'2023'!$N$4="CA",'2023'!$N$2=BW43),'2023DATA2'!$D$3,"")</f>
        <v/>
      </c>
      <c r="BX44" s="518" t="str">
        <f>IF(AND(_AC5="A-350",'2023'!$N$4="CA",'2023'!$N$2=BX43),'2023DATA2'!$E$3,"")</f>
        <v/>
      </c>
      <c r="BY44" s="518" t="str">
        <f>IF(AND(_AC5="A-350",'2023'!$N$4="CA",'2023'!$N$2=BY43),'2023DATA2'!$F$3,"")</f>
        <v/>
      </c>
      <c r="BZ44" s="518" t="str">
        <f>IF(AND(_AC5="A-350",'2023'!$N$4="CA",'2023'!$N$2=BZ43),'2023DATA2'!$G$3,"")</f>
        <v/>
      </c>
      <c r="CA44" s="518" t="str">
        <f>IF(AND(_AC5="A-350",'2023'!$N$4="CA",'2023'!$N$2=CA43),'2023DATA2'!$H$3,"")</f>
        <v/>
      </c>
      <c r="CB44" s="518" t="str">
        <f>IF(AND(_AC5="A-350",'2023'!$N$4="CA",'2023'!$N$2=CB43),'2023DATA2'!$I$3,"")</f>
        <v/>
      </c>
      <c r="CC44" s="518" t="str">
        <f>IF(AND(_AC5="A-350",'2023'!$N$4="CA",'2023'!$N$2=CC43),'2023DATA2'!$J$3,"")</f>
        <v/>
      </c>
      <c r="CD44" s="518" t="str">
        <f>IF(AND(_AC5="A-350",'2023'!$N$4="CA",'2023'!$N$2=CD43),'2023DATA2'!$K$3,"")</f>
        <v/>
      </c>
      <c r="CE44" s="518" t="str">
        <f>IF(AND(_AC5="A-350",'2023'!$N$4="CA",'2023'!$N$2=CE43),'2023DATA2'!$L$3,"")</f>
        <v/>
      </c>
      <c r="CF44" s="518" t="str">
        <f>IF(AND(_AC5="A-350",'2023'!$N$4="CA",'2023'!$N$2=CF43),'2023DATA2'!$M$3,"")</f>
        <v/>
      </c>
      <c r="CG44" s="520" t="str">
        <f>IF(AND(_AC5="A-350",'2023'!$N$4="CA",'2023'!$N$2=CG43),'2023DATA2'!$N$3,"")</f>
        <v/>
      </c>
      <c r="CH44" s="940" t="s">
        <v>39</v>
      </c>
      <c r="CI44" s="13" t="s">
        <v>61</v>
      </c>
      <c r="CJ44" s="518" t="str">
        <f>IF(AND(_AC6="A-350",'2023'!$N$4="CA",'2023'!$N$2=CJ43),'2023DATA2'!$C$3,"")</f>
        <v/>
      </c>
      <c r="CK44" s="518" t="str">
        <f>IF(AND(_AC6="A-350",'2023'!$N$4="CA",'2023'!$N$2=CK43),'2023DATA2'!$D$3,"")</f>
        <v/>
      </c>
      <c r="CL44" s="518" t="str">
        <f>IF(AND(_AC6="A-350",'2023'!$N$4="CA",'2023'!$N$2=CL43),'2023DATA2'!$E$3,"")</f>
        <v/>
      </c>
      <c r="CM44" s="518" t="str">
        <f>IF(AND(_AC6="A-350",'2023'!$N$4="CA",'2023'!$N$2=CM43),'2023DATA2'!$F$3,"")</f>
        <v/>
      </c>
      <c r="CN44" s="518" t="str">
        <f>IF(AND(_AC6="A-350",'2023'!$N$4="CA",'2023'!$N$2=CN43),'2023DATA2'!$G$3,"")</f>
        <v/>
      </c>
      <c r="CO44" s="518" t="str">
        <f>IF(AND(_AC6="A-350",'2023'!$N$4="CA",'2023'!$N$2=CO43),'2023DATA2'!$H$3,"")</f>
        <v/>
      </c>
      <c r="CP44" s="518" t="str">
        <f>IF(AND(_AC6="A-350",'2023'!$N$4="CA",'2023'!$N$2=CP43),'2023DATA2'!$I$3,"")</f>
        <v/>
      </c>
      <c r="CQ44" s="518" t="str">
        <f>IF(AND(_AC6="A-350",'2023'!$N$4="CA",'2023'!$N$2=CQ43),'2023DATA2'!$J$3,"")</f>
        <v/>
      </c>
      <c r="CR44" s="518" t="str">
        <f>IF(AND(_AC6="A-350",'2023'!$N$4="CA",'2023'!$N$2=CR43),'2023DATA2'!$K$3,"")</f>
        <v/>
      </c>
      <c r="CS44" s="518" t="str">
        <f>IF(AND(_AC6="A-350",'2023'!$N$4="CA",'2023'!$N$2=CS43),'2023DATA2'!$L$3,"")</f>
        <v/>
      </c>
      <c r="CT44" s="518" t="str">
        <f>IF(AND(_AC6="A-350",'2023'!$N$4="CA",'2023'!$N$2=CT43),'2023DATA2'!$M$3,"")</f>
        <v/>
      </c>
      <c r="CU44" s="520" t="str">
        <f>IF(AND(_AC6="A-350",'2023'!$N$4="CA",'2023'!$N$2=CU43),'2023DATA2'!$N$3,"")</f>
        <v/>
      </c>
    </row>
    <row r="45" spans="1:99" x14ac:dyDescent="0.25">
      <c r="P45" s="940"/>
      <c r="Q45" s="13" t="s">
        <v>62</v>
      </c>
      <c r="R45" s="518" t="str">
        <f>IF(AND(_AC1="A-350",'2023'!$N$4="FO",'2023'!$N$2=R43),'2023DATA2'!$C$4,"")</f>
        <v/>
      </c>
      <c r="S45" s="518" t="str">
        <f>IF(AND(_AC1="A-350",'2023'!$N$4="FO",'2023'!$N$2=S43),'2023DATA2'!$D$4,"")</f>
        <v/>
      </c>
      <c r="T45" s="518" t="str">
        <f>IF(AND(_AC1="A-350",'2023'!$N$4="FO",'2023'!$N$2=T43),'2023DATA2'!$E$4,"")</f>
        <v/>
      </c>
      <c r="U45" s="518" t="str">
        <f>IF(AND(_AC1="A-350",'2023'!$N$4="FO",'2023'!$N$2=U43),'2023DATA2'!$F$4,"")</f>
        <v/>
      </c>
      <c r="V45" s="518" t="str">
        <f>IF(AND(_AC1="A-350",'2023'!$N$4="FO",'2023'!$N$2=V43),'2023DATA2'!$G$4,"")</f>
        <v/>
      </c>
      <c r="W45" s="518" t="str">
        <f>IF(AND(_AC1="A-350",'2023'!$N$4="FO",'2023'!$N$2=W43),'2023DATA2'!$H$4,"")</f>
        <v/>
      </c>
      <c r="X45" s="518" t="str">
        <f>IF(AND(_AC1="A-350",'2023'!$N$4="FO",'2023'!$N$2=X43),'2023DATA2'!$I$4,"")</f>
        <v/>
      </c>
      <c r="Y45" s="518" t="str">
        <f>IF(AND(_AC1="A-350",'2023'!$N$4="FO",'2023'!$N$2=Y43),'2023DATA2'!$J$4,"")</f>
        <v/>
      </c>
      <c r="Z45" s="518" t="str">
        <f>IF(AND(_AC1="A-350",'2023'!$N$4="FO",'2023'!$N$2=Z43),'2023DATA2'!$K$4,"")</f>
        <v/>
      </c>
      <c r="AA45" s="518" t="str">
        <f>IF(AND(_AC1="A-350",'2023'!$N$4="FO",'2023'!$N$2=AA43),'2023DATA2'!$L$4,"")</f>
        <v/>
      </c>
      <c r="AB45" s="518" t="str">
        <f>IF(AND(_AC1="A-350",'2023'!$N$4="FO",'2023'!$N$2=AB43),'2023DATA2'!$M$4,"")</f>
        <v/>
      </c>
      <c r="AC45" s="520" t="str">
        <f>IF(AND(_AC1="A-350",'2023'!$N$4="FO",'2023'!$N$2=AC43),'2023DATA2'!$N$4,"")</f>
        <v/>
      </c>
      <c r="AD45" s="940"/>
      <c r="AE45" s="13" t="s">
        <v>62</v>
      </c>
      <c r="AF45" s="518" t="str">
        <f>IF(AND(_AC2="A-350",'2023'!$N$4="FO",'2023'!$N$2=AF43),'2023DATA2'!$C$4,"")</f>
        <v/>
      </c>
      <c r="AG45" s="518" t="str">
        <f>IF(AND(_AC2="A-350",'2023'!$N$4="FO",'2023'!$N$2=AG43),'2023DATA2'!$D$4,"")</f>
        <v/>
      </c>
      <c r="AH45" s="518" t="str">
        <f>IF(AND(_AC2="A-350",'2023'!$N$4="FO",'2023'!$N$2=AH43),'2023DATA2'!$E$4,"")</f>
        <v/>
      </c>
      <c r="AI45" s="518" t="str">
        <f>IF(AND(_AC2="A-350",'2023'!$N$4="FO",'2023'!$N$2=AI43),'2023DATA2'!$F$4,"")</f>
        <v/>
      </c>
      <c r="AJ45" s="518" t="str">
        <f>IF(AND(_AC2="A-350",'2023'!$N$4="FO",'2023'!$N$2=AJ43),'2023DATA2'!$G$4,"")</f>
        <v/>
      </c>
      <c r="AK45" s="518" t="str">
        <f>IF(AND(_AC2="A-350",'2023'!$N$4="FO",'2023'!$N$2=AK43),'2023DATA2'!$H$4,"")</f>
        <v/>
      </c>
      <c r="AL45" s="518" t="str">
        <f>IF(AND(_AC2="A-350",'2023'!$N$4="FO",'2023'!$N$2=AL43),'2023DATA2'!$I$4,"")</f>
        <v/>
      </c>
      <c r="AM45" s="518" t="str">
        <f>IF(AND(_AC2="A-350",'2023'!$N$4="FO",'2023'!$N$2=AM43),'2023DATA2'!$J$4,"")</f>
        <v/>
      </c>
      <c r="AN45" s="518" t="str">
        <f>IF(AND(_AC2="A-350",'2023'!$N$4="FO",'2023'!$N$2=AN43),'2023DATA2'!$K$4,"")</f>
        <v/>
      </c>
      <c r="AO45" s="518" t="str">
        <f>IF(AND(_AC2="A-350",'2023'!$N$4="FO",'2023'!$N$2=AO43),'2023DATA2'!$L$4,"")</f>
        <v/>
      </c>
      <c r="AP45" s="518" t="str">
        <f>IF(AND(_AC2="A-350",'2023'!$N$4="FO",'2023'!$N$2=AP43),'2023DATA2'!$M$4,"")</f>
        <v/>
      </c>
      <c r="AQ45" s="520" t="str">
        <f>IF(AND(_AC2="A-350",'2023'!$N$4="FO",'2023'!$N$2=AQ43),'2023DATA2'!$N$4,"")</f>
        <v/>
      </c>
      <c r="AR45" s="940"/>
      <c r="AS45" s="13" t="s">
        <v>62</v>
      </c>
      <c r="AT45" s="518" t="str">
        <f>IF(AND(_AC3="A-350",'2023'!$N$4="FO",'2023'!$N$2=AT43),'2023DATA2'!$C$4,"")</f>
        <v/>
      </c>
      <c r="AU45" s="518" t="str">
        <f>IF(AND(_AC3="A-350",'2023'!$N$4="FO",'2023'!$N$2=AU43),'2023DATA2'!$D$4,"")</f>
        <v/>
      </c>
      <c r="AV45" s="518" t="str">
        <f>IF(AND(_AC3="A-350",'2023'!$N$4="FO",'2023'!$N$2=AV43),'2023DATA2'!$E$4,"")</f>
        <v/>
      </c>
      <c r="AW45" s="518" t="str">
        <f>IF(AND(_AC3="A-350",'2023'!$N$4="FO",'2023'!$N$2=AW43),'2023DATA2'!$F$4,"")</f>
        <v/>
      </c>
      <c r="AX45" s="518" t="str">
        <f>IF(AND(_AC3="A-350",'2023'!$N$4="FO",'2023'!$N$2=AX43),'2023DATA2'!$G$4,"")</f>
        <v/>
      </c>
      <c r="AY45" s="518" t="str">
        <f>IF(AND(_AC3="A-350",'2023'!$N$4="FO",'2023'!$N$2=AY43),'2023DATA2'!$H$4,"")</f>
        <v/>
      </c>
      <c r="AZ45" s="518" t="str">
        <f>IF(AND(_AC3="A-350",'2023'!$N$4="FO",'2023'!$N$2=AZ43),'2023DATA2'!$I$4,"")</f>
        <v/>
      </c>
      <c r="BA45" s="518" t="str">
        <f>IF(AND(_AC3="A-350",'2023'!$N$4="FO",'2023'!$N$2=BA43),'2023DATA2'!$J$4,"")</f>
        <v/>
      </c>
      <c r="BB45" s="518" t="str">
        <f>IF(AND(_AC3="A-350",'2023'!$N$4="FO",'2023'!$N$2=BB43),'2023DATA2'!$K$4,"")</f>
        <v/>
      </c>
      <c r="BC45" s="518" t="str">
        <f>IF(AND(_AC3="A-350",'2023'!$N$4="FO",'2023'!$N$2=BC43),'2023DATA2'!$L$4,"")</f>
        <v/>
      </c>
      <c r="BD45" s="518" t="str">
        <f>IF(AND(_AC3="A-350",'2023'!$N$4="FO",'2023'!$N$2=BD43),'2023DATA2'!$M$4,"")</f>
        <v/>
      </c>
      <c r="BE45" s="520" t="str">
        <f>IF(AND(_AC3="A-350",'2023'!$N$4="FO",'2023'!$N$2=BE43),'2023DATA2'!$N$4,"")</f>
        <v/>
      </c>
      <c r="BF45" s="940"/>
      <c r="BG45" s="13" t="s">
        <v>62</v>
      </c>
      <c r="BH45" s="518" t="str">
        <f>IF(AND(_AC4="A-350",'2023'!$N$4="FO",'2023'!$N$2=BH43),'2023DATA2'!$C$4,"")</f>
        <v/>
      </c>
      <c r="BI45" s="518" t="str">
        <f>IF(AND(_AC4="A-350",'2023'!$N$4="FO",'2023'!$N$2=BI43),'2023DATA2'!$D$4,"")</f>
        <v/>
      </c>
      <c r="BJ45" s="518" t="str">
        <f>IF(AND(_AC4="A-350",'2023'!$N$4="FO",'2023'!$N$2=BJ43),'2023DATA2'!$E$4,"")</f>
        <v/>
      </c>
      <c r="BK45" s="518" t="str">
        <f>IF(AND(_AC4="A-350",'2023'!$N$4="FO",'2023'!$N$2=BK43),'2023DATA2'!$F$4,"")</f>
        <v/>
      </c>
      <c r="BL45" s="518" t="str">
        <f>IF(AND(_AC4="A-350",'2023'!$N$4="FO",'2023'!$N$2=BL43),'2023DATA2'!$G$4,"")</f>
        <v/>
      </c>
      <c r="BM45" s="518" t="str">
        <f>IF(AND(_AC4="A-350",'2023'!$N$4="FO",'2023'!$N$2=BM43),'2023DATA2'!$H$4,"")</f>
        <v/>
      </c>
      <c r="BN45" s="518" t="str">
        <f>IF(AND(_AC4="A-350",'2023'!$N$4="FO",'2023'!$N$2=BN43),'2023DATA2'!$I$4,"")</f>
        <v/>
      </c>
      <c r="BO45" s="518" t="str">
        <f>IF(AND(_AC4="A-350",'2023'!$N$4="FO",'2023'!$N$2=BO43),'2023DATA2'!$J$4,"")</f>
        <v/>
      </c>
      <c r="BP45" s="518" t="str">
        <f>IF(AND(_AC4="A-350",'2023'!$N$4="FO",'2023'!$N$2=BP43),'2023DATA2'!$K$4,"")</f>
        <v/>
      </c>
      <c r="BQ45" s="518" t="str">
        <f>IF(AND(_AC4="A-350",'2023'!$N$4="FO",'2023'!$N$2=BQ43),'2023DATA2'!$L$4,"")</f>
        <v/>
      </c>
      <c r="BR45" s="518" t="str">
        <f>IF(AND(_AC4="A-350",'2023'!$N$4="FO",'2023'!$N$2=BR43),'2023DATA2'!$M$4,"")</f>
        <v/>
      </c>
      <c r="BS45" s="520" t="str">
        <f>IF(AND(_AC4="A-350",'2023'!$N$4="FO",'2023'!$N$2=BS43),'2023DATA2'!$N$4,"")</f>
        <v/>
      </c>
      <c r="BT45" s="940"/>
      <c r="BU45" s="13" t="s">
        <v>62</v>
      </c>
      <c r="BV45" s="518" t="str">
        <f>IF(AND(_AC5="A-350",'2023'!$N$4="FO",'2023'!$N$2=BV43),'2023DATA2'!$C$4,"")</f>
        <v/>
      </c>
      <c r="BW45" s="518" t="str">
        <f>IF(AND(_AC5="A-350",'2023'!$N$4="FO",'2023'!$N$2=BW43),'2023DATA2'!$D$4,"")</f>
        <v/>
      </c>
      <c r="BX45" s="518" t="str">
        <f>IF(AND(_AC5="A-350",'2023'!$N$4="FO",'2023'!$N$2=BX43),'2023DATA2'!$E$4,"")</f>
        <v/>
      </c>
      <c r="BY45" s="518" t="str">
        <f>IF(AND(_AC5="A-350",'2023'!$N$4="FO",'2023'!$N$2=BY43),'2023DATA2'!$F$4,"")</f>
        <v/>
      </c>
      <c r="BZ45" s="518" t="str">
        <f>IF(AND(_AC5="A-350",'2023'!$N$4="FO",'2023'!$N$2=BZ43),'2023DATA2'!$G$4,"")</f>
        <v/>
      </c>
      <c r="CA45" s="518" t="str">
        <f>IF(AND(_AC5="A-350",'2023'!$N$4="FO",'2023'!$N$2=CA43),'2023DATA2'!$H$4,"")</f>
        <v/>
      </c>
      <c r="CB45" s="518" t="str">
        <f>IF(AND(_AC5="A-350",'2023'!$N$4="FO",'2023'!$N$2=CB43),'2023DATA2'!$I$4,"")</f>
        <v/>
      </c>
      <c r="CC45" s="518" t="str">
        <f>IF(AND(_AC5="A-350",'2023'!$N$4="FO",'2023'!$N$2=CC43),'2023DATA2'!$J$4,"")</f>
        <v/>
      </c>
      <c r="CD45" s="518" t="str">
        <f>IF(AND(_AC5="A-350",'2023'!$N$4="FO",'2023'!$N$2=CD43),'2023DATA2'!$K$4,"")</f>
        <v/>
      </c>
      <c r="CE45" s="518" t="str">
        <f>IF(AND(_AC5="A-350",'2023'!$N$4="FO",'2023'!$N$2=CE43),'2023DATA2'!$L$4,"")</f>
        <v/>
      </c>
      <c r="CF45" s="518" t="str">
        <f>IF(AND(_AC5="A-350",'2023'!$N$4="FO",'2023'!$N$2=CF43),'2023DATA2'!$M$4,"")</f>
        <v/>
      </c>
      <c r="CG45" s="520" t="str">
        <f>IF(AND(_AC5="A-350",'2023'!$N$4="FO",'2023'!$N$2=CG43),'2023DATA2'!$N$4,"")</f>
        <v/>
      </c>
      <c r="CH45" s="940"/>
      <c r="CI45" s="13" t="s">
        <v>62</v>
      </c>
      <c r="CJ45" s="518" t="str">
        <f>IF(AND(_AC6="A-350",'2023'!$N$4="FO",'2023'!$N$2=CJ43),'2023DATA2'!$C$4,"")</f>
        <v/>
      </c>
      <c r="CK45" s="518" t="str">
        <f>IF(AND(_AC6="A-350",'2023'!$N$4="FO",'2023'!$N$2=CK43),'2023DATA2'!$D$4,"")</f>
        <v/>
      </c>
      <c r="CL45" s="518" t="str">
        <f>IF(AND(_AC6="A-350",'2023'!$N$4="FO",'2023'!$N$2=CL43),'2023DATA2'!$E$4,"")</f>
        <v/>
      </c>
      <c r="CM45" s="518" t="str">
        <f>IF(AND(_AC6="A-350",'2023'!$N$4="FO",'2023'!$N$2=CM43),'2023DATA2'!$F$4,"")</f>
        <v/>
      </c>
      <c r="CN45" s="518" t="str">
        <f>IF(AND(_AC6="A-350",'2023'!$N$4="FO",'2023'!$N$2=CN43),'2023DATA2'!$G$4,"")</f>
        <v/>
      </c>
      <c r="CO45" s="518" t="str">
        <f>IF(AND(_AC6="A-350",'2023'!$N$4="FO",'2023'!$N$2=CO43),'2023DATA2'!$H$4,"")</f>
        <v/>
      </c>
      <c r="CP45" s="518" t="str">
        <f>IF(AND(_AC6="A-350",'2023'!$N$4="FO",'2023'!$N$2=CP43),'2023DATA2'!$I$4,"")</f>
        <v/>
      </c>
      <c r="CQ45" s="518" t="str">
        <f>IF(AND(_AC6="A-350",'2023'!$N$4="FO",'2023'!$N$2=CQ43),'2023DATA2'!$J$4,"")</f>
        <v/>
      </c>
      <c r="CR45" s="518" t="str">
        <f>IF(AND(_AC6="A-350",'2023'!$N$4="FO",'2023'!$N$2=CR43),'2023DATA2'!$K$4,"")</f>
        <v/>
      </c>
      <c r="CS45" s="518" t="str">
        <f>IF(AND(_AC6="A-350",'2023'!$N$4="FO",'2023'!$N$2=CS43),'2023DATA2'!$L$4,"")</f>
        <v/>
      </c>
      <c r="CT45" s="518" t="str">
        <f>IF(AND(_AC6="A-350",'2023'!$N$4="FO",'2023'!$N$2=CT43),'2023DATA2'!$M$4,"")</f>
        <v/>
      </c>
      <c r="CU45" s="520" t="str">
        <f>IF(AND(_AC6="A-350",'2023'!$N$4="FO",'2023'!$N$2=CU43),'2023DATA2'!$N$4,"")</f>
        <v/>
      </c>
    </row>
    <row r="46" spans="1:99" x14ac:dyDescent="0.25">
      <c r="P46" s="940" t="s">
        <v>65</v>
      </c>
      <c r="Q46" s="13" t="s">
        <v>61</v>
      </c>
      <c r="R46" s="518" t="str">
        <f>IF(AND(_AC1="A-330-900",'2023'!$N$4="CA",'2023'!$N$2=R43),'2023DATA2'!$C$5,"")</f>
        <v/>
      </c>
      <c r="S46" s="518" t="str">
        <f>IF(AND(_AC1="A-330-900",'2023'!$N$4="CA",'2023'!$N$2=S43),'2023DATA2'!$D$5,"")</f>
        <v/>
      </c>
      <c r="T46" s="518" t="str">
        <f>IF(AND(_AC1="A-330-900",'2023'!$N$4="CA",'2023'!$N$2=T43),'2023DATA2'!$E$5,"")</f>
        <v/>
      </c>
      <c r="U46" s="518" t="str">
        <f>IF(AND(_AC1="A-330-900",'2023'!$N$4="CA",'2023'!$N$2=U43),'2023DATA2'!$F$5,"")</f>
        <v/>
      </c>
      <c r="V46" s="518" t="str">
        <f>IF(AND(_AC1="A-330-900",'2023'!$N$4="CA",'2023'!$N$2=V43),'2023DATA2'!$G$5,"")</f>
        <v/>
      </c>
      <c r="W46" s="518" t="str">
        <f>IF(AND(_AC1="A-330-900",'2023'!$N$4="CA",'2023'!$N$2=W43),'2023DATA2'!$H$5,"")</f>
        <v/>
      </c>
      <c r="X46" s="518" t="str">
        <f>IF(AND(_AC1="A-330-900",'2023'!$N$4="CA",'2023'!$N$2=X43),'2023DATA2'!$I$5,"")</f>
        <v/>
      </c>
      <c r="Y46" s="518" t="str">
        <f>IF(AND(_AC1="A-330-900",'2023'!$N$4="CA",'2023'!$N$2=Y43),'2023DATA2'!$J$5,"")</f>
        <v/>
      </c>
      <c r="Z46" s="518" t="str">
        <f>IF(AND(_AC1="A-330-900",'2023'!$N$4="CA",'2023'!$N$2=Z43),'2023DATA2'!$K$5,"")</f>
        <v/>
      </c>
      <c r="AA46" s="518" t="str">
        <f>IF(AND(_AC1="A-330-900",'2023'!$N$4="CA",'2023'!$N$2=AA43),'2023DATA2'!$L$5,"")</f>
        <v/>
      </c>
      <c r="AB46" s="518" t="str">
        <f>IF(AND(_AC1="A-330-900",'2023'!$N$4="CA",'2023'!$N$2=AB43),'2023DATA2'!$M$5,"")</f>
        <v/>
      </c>
      <c r="AC46" s="520" t="str">
        <f>IF(AND(_AC1="A-330-900",'2023'!$N$4="CA",'2023'!$N$2=AC43),'2023DATA2'!$N$5,"")</f>
        <v/>
      </c>
      <c r="AD46" s="940" t="s">
        <v>65</v>
      </c>
      <c r="AE46" s="13" t="s">
        <v>61</v>
      </c>
      <c r="AF46" s="518" t="str">
        <f>IF(AND(_AC2="A-330-900",'2023'!$N$4="CA",'2023'!$N$2=AF43),'2023DATA2'!$C$5,"")</f>
        <v/>
      </c>
      <c r="AG46" s="518" t="str">
        <f>IF(AND(_AC2="A-330-900",'2023'!$N$4="CA",'2023'!$N$2=AG43),'2023DATA2'!$D$5,"")</f>
        <v/>
      </c>
      <c r="AH46" s="518" t="str">
        <f>IF(AND(_AC2="A-330-900",'2023'!$N$4="CA",'2023'!$N$2=AH43),'2023DATA2'!$E$5,"")</f>
        <v/>
      </c>
      <c r="AI46" s="518" t="str">
        <f>IF(AND(_AC2="A-330-900",'2023'!$N$4="CA",'2023'!$N$2=AI43),'2023DATA2'!$F$5,"")</f>
        <v/>
      </c>
      <c r="AJ46" s="518" t="str">
        <f>IF(AND(_AC2="A-330-900",'2023'!$N$4="CA",'2023'!$N$2=AJ43),'2023DATA2'!$G$5,"")</f>
        <v/>
      </c>
      <c r="AK46" s="518" t="str">
        <f>IF(AND(_AC2="A-330-900",'2023'!$N$4="CA",'2023'!$N$2=AK43),'2023DATA2'!$H$5,"")</f>
        <v/>
      </c>
      <c r="AL46" s="518" t="str">
        <f>IF(AND(_AC2="A-330-900",'2023'!$N$4="CA",'2023'!$N$2=AL43),'2023DATA2'!$I$5,"")</f>
        <v/>
      </c>
      <c r="AM46" s="518" t="str">
        <f>IF(AND(_AC2="A-330-900",'2023'!$N$4="CA",'2023'!$N$2=AM43),'2023DATA2'!$J$5,"")</f>
        <v/>
      </c>
      <c r="AN46" s="518" t="str">
        <f>IF(AND(_AC2="A-330-900",'2023'!$N$4="CA",'2023'!$N$2=AN43),'2023DATA2'!$K$5,"")</f>
        <v/>
      </c>
      <c r="AO46" s="518" t="str">
        <f>IF(AND(_AC2="A-330-900",'2023'!$N$4="CA",'2023'!$N$2=AO43),'2023DATA2'!$L$5,"")</f>
        <v/>
      </c>
      <c r="AP46" s="518" t="str">
        <f>IF(AND(_AC2="A-330-900",'2023'!$N$4="CA",'2023'!$N$2=AP43),'2023DATA2'!$M$5,"")</f>
        <v/>
      </c>
      <c r="AQ46" s="520" t="str">
        <f>IF(AND(_AC2="A-330-900",'2023'!$N$4="CA",'2023'!$N$2=AQ43),'2023DATA2'!$N$5,"")</f>
        <v/>
      </c>
      <c r="AR46" s="940" t="s">
        <v>65</v>
      </c>
      <c r="AS46" s="13" t="s">
        <v>61</v>
      </c>
      <c r="AT46" s="518" t="str">
        <f>IF(AND(_AC3="A-330-900",'2023'!$N$4="CA",'2023'!$N$2=AT43),'2023DATA2'!$C$5,"")</f>
        <v/>
      </c>
      <c r="AU46" s="518" t="str">
        <f>IF(AND(_AC3="A-330-900",'2023'!$N$4="CA",'2023'!$N$2=AU43),'2023DATA2'!$D$5,"")</f>
        <v/>
      </c>
      <c r="AV46" s="518" t="str">
        <f>IF(AND(_AC3="A-330-900",'2023'!$N$4="CA",'2023'!$N$2=AV43),'2023DATA2'!$E$5,"")</f>
        <v/>
      </c>
      <c r="AW46" s="518" t="str">
        <f>IF(AND(_AC3="A-330-900",'2023'!$N$4="CA",'2023'!$N$2=AW43),'2023DATA2'!$F$5,"")</f>
        <v/>
      </c>
      <c r="AX46" s="518" t="str">
        <f>IF(AND(_AC3="A-330-900",'2023'!$N$4="CA",'2023'!$N$2=AX43),'2023DATA2'!$G$5,"")</f>
        <v/>
      </c>
      <c r="AY46" s="518" t="str">
        <f>IF(AND(_AC3="A-330-900",'2023'!$N$4="CA",'2023'!$N$2=AY43),'2023DATA2'!$H$5,"")</f>
        <v/>
      </c>
      <c r="AZ46" s="518" t="str">
        <f>IF(AND(_AC3="A-330-900",'2023'!$N$4="CA",'2023'!$N$2=AZ43),'2023DATA2'!$I$5,"")</f>
        <v/>
      </c>
      <c r="BA46" s="518" t="str">
        <f>IF(AND(_AC3="A-330-900",'2023'!$N$4="CA",'2023'!$N$2=BA43),'2023DATA2'!$J$5,"")</f>
        <v/>
      </c>
      <c r="BB46" s="518" t="str">
        <f>IF(AND(_AC3="A-330-900",'2023'!$N$4="CA",'2023'!$N$2=BB43),'2023DATA2'!$K$5,"")</f>
        <v/>
      </c>
      <c r="BC46" s="518" t="str">
        <f>IF(AND(_AC3="A-330-900",'2023'!$N$4="CA",'2023'!$N$2=BC43),'2023DATA2'!$L$5,"")</f>
        <v/>
      </c>
      <c r="BD46" s="518" t="str">
        <f>IF(AND(_AC3="A-330-900",'2023'!$N$4="CA",'2023'!$N$2=BD43),'2023DATA2'!$M$5,"")</f>
        <v/>
      </c>
      <c r="BE46" s="520" t="str">
        <f>IF(AND(_AC3="A-330-900",'2023'!$N$4="CA",'2023'!$N$2=BE43),'2023DATA2'!$N$5,"")</f>
        <v/>
      </c>
      <c r="BF46" s="940" t="s">
        <v>65</v>
      </c>
      <c r="BG46" s="13" t="s">
        <v>61</v>
      </c>
      <c r="BH46" s="518" t="str">
        <f>IF(AND(_AC4="A-330-900",'2023'!$N$4="CA",'2023'!$N$2=BH43),'2023DATA2'!$C$5,"")</f>
        <v/>
      </c>
      <c r="BI46" s="518" t="str">
        <f>IF(AND(_AC4="A-330-900",'2023'!$N$4="CA",'2023'!$N$2=BI43),'2023DATA2'!$D$5,"")</f>
        <v/>
      </c>
      <c r="BJ46" s="518" t="str">
        <f>IF(AND(_AC4="A-330-900",'2023'!$N$4="CA",'2023'!$N$2=BJ43),'2023DATA2'!$E$5,"")</f>
        <v/>
      </c>
      <c r="BK46" s="518" t="str">
        <f>IF(AND(_AC4="A-330-900",'2023'!$N$4="CA",'2023'!$N$2=BK43),'2023DATA2'!$F$5,"")</f>
        <v/>
      </c>
      <c r="BL46" s="518" t="str">
        <f>IF(AND(_AC4="A-330-900",'2023'!$N$4="CA",'2023'!$N$2=BL43),'2023DATA2'!$G$5,"")</f>
        <v/>
      </c>
      <c r="BM46" s="518" t="str">
        <f>IF(AND(_AC4="A-330-900",'2023'!$N$4="CA",'2023'!$N$2=BM43),'2023DATA2'!$H$5,"")</f>
        <v/>
      </c>
      <c r="BN46" s="518" t="str">
        <f>IF(AND(_AC4="A-330-900",'2023'!$N$4="CA",'2023'!$N$2=BN43),'2023DATA2'!$I$5,"")</f>
        <v/>
      </c>
      <c r="BO46" s="518" t="str">
        <f>IF(AND(_AC4="A-330-900",'2023'!$N$4="CA",'2023'!$N$2=BO43),'2023DATA2'!$J$5,"")</f>
        <v/>
      </c>
      <c r="BP46" s="518" t="str">
        <f>IF(AND(_AC4="A-330-900",'2023'!$N$4="CA",'2023'!$N$2=BP43),'2023DATA2'!$K$5,"")</f>
        <v/>
      </c>
      <c r="BQ46" s="518" t="str">
        <f>IF(AND(_AC4="A-330-900",'2023'!$N$4="CA",'2023'!$N$2=BQ43),'2023DATA2'!$L$5,"")</f>
        <v/>
      </c>
      <c r="BR46" s="518" t="str">
        <f>IF(AND(_AC4="A-330-900",'2023'!$N$4="CA",'2023'!$N$2=BR43),'2023DATA2'!$M$5,"")</f>
        <v/>
      </c>
      <c r="BS46" s="520" t="str">
        <f>IF(AND(_AC4="A-330-900",'2023'!$N$4="CA",'2023'!$N$2=BS43),'2023DATA2'!$N$5,"")</f>
        <v/>
      </c>
      <c r="BT46" s="940" t="s">
        <v>65</v>
      </c>
      <c r="BU46" s="13" t="s">
        <v>61</v>
      </c>
      <c r="BV46" s="518" t="str">
        <f>IF(AND(_AC5="A-330-900",'2023'!$N$4="CA",'2023'!$N$2=BV43),'2023DATA2'!$C$5,"")</f>
        <v/>
      </c>
      <c r="BW46" s="518" t="str">
        <f>IF(AND(_AC5="A-330-900",'2023'!$N$4="CA",'2023'!$N$2=BW43),'2023DATA2'!$D$5,"")</f>
        <v/>
      </c>
      <c r="BX46" s="518" t="str">
        <f>IF(AND(_AC5="A-330-900",'2023'!$N$4="CA",'2023'!$N$2=BX43),'2023DATA2'!$E$5,"")</f>
        <v/>
      </c>
      <c r="BY46" s="518" t="str">
        <f>IF(AND(_AC5="A-330-900",'2023'!$N$4="CA",'2023'!$N$2=BY43),'2023DATA2'!$F$5,"")</f>
        <v/>
      </c>
      <c r="BZ46" s="518" t="str">
        <f>IF(AND(_AC5="A-330-900",'2023'!$N$4="CA",'2023'!$N$2=BZ43),'2023DATA2'!$G$5,"")</f>
        <v/>
      </c>
      <c r="CA46" s="518" t="str">
        <f>IF(AND(_AC5="A-330-900",'2023'!$N$4="CA",'2023'!$N$2=CA43),'2023DATA2'!$H$5,"")</f>
        <v/>
      </c>
      <c r="CB46" s="518" t="str">
        <f>IF(AND(_AC5="A-330-900",'2023'!$N$4="CA",'2023'!$N$2=CB43),'2023DATA2'!$I$5,"")</f>
        <v/>
      </c>
      <c r="CC46" s="518" t="str">
        <f>IF(AND(_AC5="A-330-900",'2023'!$N$4="CA",'2023'!$N$2=CC43),'2023DATA2'!$J$5,"")</f>
        <v/>
      </c>
      <c r="CD46" s="518" t="str">
        <f>IF(AND(_AC5="A-330-900",'2023'!$N$4="CA",'2023'!$N$2=CD43),'2023DATA2'!$K$5,"")</f>
        <v/>
      </c>
      <c r="CE46" s="518" t="str">
        <f>IF(AND(_AC5="A-330-900",'2023'!$N$4="CA",'2023'!$N$2=CE43),'2023DATA2'!$L$5,"")</f>
        <v/>
      </c>
      <c r="CF46" s="518" t="str">
        <f>IF(AND(_AC5="A-330-900",'2023'!$N$4="CA",'2023'!$N$2=CF43),'2023DATA2'!$M$5,"")</f>
        <v/>
      </c>
      <c r="CG46" s="520" t="str">
        <f>IF(AND(_AC5="A-330-900",'2023'!$N$4="CA",'2023'!$N$2=CG43),'2023DATA2'!$N$5,"")</f>
        <v/>
      </c>
      <c r="CH46" s="940" t="s">
        <v>65</v>
      </c>
      <c r="CI46" s="13" t="s">
        <v>61</v>
      </c>
      <c r="CJ46" s="518" t="str">
        <f>IF(AND(_AC6="A-330-900",'2023'!$N$4="CA",'2023'!$N$2=CJ43),'2023DATA2'!$C$5,"")</f>
        <v/>
      </c>
      <c r="CK46" s="518" t="str">
        <f>IF(AND(_AC6="A-330-900",'2023'!$N$4="CA",'2023'!$N$2=CK43),'2023DATA2'!$D$5,"")</f>
        <v/>
      </c>
      <c r="CL46" s="518" t="str">
        <f>IF(AND(_AC6="A-330-900",'2023'!$N$4="CA",'2023'!$N$2=CL43),'2023DATA2'!$E$5,"")</f>
        <v/>
      </c>
      <c r="CM46" s="518" t="str">
        <f>IF(AND(_AC6="A-330-900",'2023'!$N$4="CA",'2023'!$N$2=CM43),'2023DATA2'!$F$5,"")</f>
        <v/>
      </c>
      <c r="CN46" s="518" t="str">
        <f>IF(AND(_AC6="A-330-900",'2023'!$N$4="CA",'2023'!$N$2=CN43),'2023DATA2'!$G$5,"")</f>
        <v/>
      </c>
      <c r="CO46" s="518" t="str">
        <f>IF(AND(_AC6="A-330-900",'2023'!$N$4="CA",'2023'!$N$2=CO43),'2023DATA2'!$H$5,"")</f>
        <v/>
      </c>
      <c r="CP46" s="518" t="str">
        <f>IF(AND(_AC6="A-330-900",'2023'!$N$4="CA",'2023'!$N$2=CP43),'2023DATA2'!$I$5,"")</f>
        <v/>
      </c>
      <c r="CQ46" s="518" t="str">
        <f>IF(AND(_AC6="A-330-900",'2023'!$N$4="CA",'2023'!$N$2=CQ43),'2023DATA2'!$J$5,"")</f>
        <v/>
      </c>
      <c r="CR46" s="518" t="str">
        <f>IF(AND(_AC6="A-330-900",'2023'!$N$4="CA",'2023'!$N$2=CR43),'2023DATA2'!$K$5,"")</f>
        <v/>
      </c>
      <c r="CS46" s="518" t="str">
        <f>IF(AND(_AC6="A-330-900",'2023'!$N$4="CA",'2023'!$N$2=CS43),'2023DATA2'!$L$5,"")</f>
        <v/>
      </c>
      <c r="CT46" s="518" t="str">
        <f>IF(AND(_AC6="A-330-900",'2023'!$N$4="CA",'2023'!$N$2=CT43),'2023DATA2'!$M$5,"")</f>
        <v/>
      </c>
      <c r="CU46" s="520" t="str">
        <f>IF(AND(_AC6="A-330-900",'2023'!$N$4="CA",'2023'!$N$2=CU43),'2023DATA2'!$N$5,"")</f>
        <v/>
      </c>
    </row>
    <row r="47" spans="1:99" x14ac:dyDescent="0.25">
      <c r="P47" s="940"/>
      <c r="Q47" s="13" t="s">
        <v>62</v>
      </c>
      <c r="R47" s="518" t="str">
        <f>IF(AND(_AC1="A-330-900",'2023'!$N$4="FO",'2023'!$N$2=R43),'2023DATA2'!$C$6,"")</f>
        <v/>
      </c>
      <c r="S47" s="518" t="str">
        <f>IF(AND(_AC1="A-330-900",'2023'!$N$4="FO",'2023'!$N$2=S43),'2023DATA2'!$D$6,"")</f>
        <v/>
      </c>
      <c r="T47" s="518" t="str">
        <f>IF(AND(_AC1="A-330-900",'2023'!$N$4="FO",'2023'!$N$2=T43),'2023DATA2'!$E$6,"")</f>
        <v/>
      </c>
      <c r="U47" s="518" t="str">
        <f>IF(AND(_AC1="A-330-900",'2023'!$N$4="FO",'2023'!$N$2=U43),'2023DATA2'!$F$6,"")</f>
        <v/>
      </c>
      <c r="V47" s="518" t="str">
        <f>IF(AND(_AC1="A-330-900",'2023'!$N$4="FO",'2023'!$N$2=V43),'2023DATA2'!$G$6,"")</f>
        <v/>
      </c>
      <c r="W47" s="518" t="str">
        <f>IF(AND(_AC1="A-330-900",'2023'!$N$4="FO",'2023'!$N$2=W43),'2023DATA2'!$H$6,"")</f>
        <v/>
      </c>
      <c r="X47" s="518" t="str">
        <f>IF(AND(_AC1="A-330-900",'2023'!$N$4="FO",'2023'!$N$2=X43),'2023DATA2'!$I$6,"")</f>
        <v/>
      </c>
      <c r="Y47" s="518" t="str">
        <f>IF(AND(_AC1="A-330-900",'2023'!$N$4="FO",'2023'!$N$2=Y43),'2023DATA2'!$J$6,"")</f>
        <v/>
      </c>
      <c r="Z47" s="518" t="str">
        <f>IF(AND(_AC1="A-330-900",'2023'!$N$4="FO",'2023'!$N$2=Z43),'2023DATA2'!$K$6,"")</f>
        <v/>
      </c>
      <c r="AA47" s="518" t="str">
        <f>IF(AND(_AC1="A-330-900",'2023'!$N$4="FO",'2023'!$N$2=AA43),'2023DATA2'!$L$6,"")</f>
        <v/>
      </c>
      <c r="AB47" s="518" t="str">
        <f>IF(AND(_AC1="A-330-900",'2023'!$N$4="FO",'2023'!$N$2=AB43),'2023DATA2'!$M$6,"")</f>
        <v/>
      </c>
      <c r="AC47" s="520" t="str">
        <f>IF(AND(_AC1="A-330-900",'2023'!$N$4="FO",'2023'!$N$2=AC43),'2023DATA2'!$N$6,"")</f>
        <v/>
      </c>
      <c r="AD47" s="940"/>
      <c r="AE47" s="13" t="s">
        <v>62</v>
      </c>
      <c r="AF47" s="518" t="str">
        <f>IF(AND(_AC2="A-330-900",'2023'!$N$4="FO",'2023'!$N$2=AF43),'2023DATA2'!$C$6,"")</f>
        <v/>
      </c>
      <c r="AG47" s="518" t="str">
        <f>IF(AND(_AC2="A-330-900",'2023'!$N$4="FO",'2023'!$N$2=AG43),'2023DATA2'!$D$6,"")</f>
        <v/>
      </c>
      <c r="AH47" s="518" t="str">
        <f>IF(AND(_AC2="A-330-900",'2023'!$N$4="FO",'2023'!$N$2=AH43),'2023DATA2'!$E$6,"")</f>
        <v/>
      </c>
      <c r="AI47" s="518" t="str">
        <f>IF(AND(_AC2="A-330-900",'2023'!$N$4="FO",'2023'!$N$2=AI43),'2023DATA2'!$F$6,"")</f>
        <v/>
      </c>
      <c r="AJ47" s="518" t="str">
        <f>IF(AND(_AC2="A-330-900",'2023'!$N$4="FO",'2023'!$N$2=AJ43),'2023DATA2'!$G$6,"")</f>
        <v/>
      </c>
      <c r="AK47" s="518" t="str">
        <f>IF(AND(_AC2="A-330-900",'2023'!$N$4="FO",'2023'!$N$2=AK43),'2023DATA2'!$H$6,"")</f>
        <v/>
      </c>
      <c r="AL47" s="518" t="str">
        <f>IF(AND(_AC2="A-330-900",'2023'!$N$4="FO",'2023'!$N$2=AL43),'2023DATA2'!$I$6,"")</f>
        <v/>
      </c>
      <c r="AM47" s="518" t="str">
        <f>IF(AND(_AC2="A-330-900",'2023'!$N$4="FO",'2023'!$N$2=AM43),'2023DATA2'!$J$6,"")</f>
        <v/>
      </c>
      <c r="AN47" s="518" t="str">
        <f>IF(AND(_AC2="A-330-900",'2023'!$N$4="FO",'2023'!$N$2=AN43),'2023DATA2'!$K$6,"")</f>
        <v/>
      </c>
      <c r="AO47" s="518" t="str">
        <f>IF(AND(_AC2="A-330-900",'2023'!$N$4="FO",'2023'!$N$2=AO43),'2023DATA2'!$L$6,"")</f>
        <v/>
      </c>
      <c r="AP47" s="518" t="str">
        <f>IF(AND(_AC2="A-330-900",'2023'!$N$4="FO",'2023'!$N$2=AP43),'2023DATA2'!$M$6,"")</f>
        <v/>
      </c>
      <c r="AQ47" s="520" t="str">
        <f>IF(AND(_AC2="A-330-900",'2023'!$N$4="FO",'2023'!$N$2=AQ43),'2023DATA2'!$N$6,"")</f>
        <v/>
      </c>
      <c r="AR47" s="940"/>
      <c r="AS47" s="13" t="s">
        <v>62</v>
      </c>
      <c r="AT47" s="518" t="str">
        <f>IF(AND(_AC3="A-330-900",'2023'!$N$4="FO",'2023'!$N$2=AT43),'2023DATA2'!$C$6,"")</f>
        <v/>
      </c>
      <c r="AU47" s="518" t="str">
        <f>IF(AND(_AC3="A-330-900",'2023'!$N$4="FO",'2023'!$N$2=AU43),'2023DATA2'!$D$6,"")</f>
        <v/>
      </c>
      <c r="AV47" s="518" t="str">
        <f>IF(AND(_AC3="A-330-900",'2023'!$N$4="FO",'2023'!$N$2=AV43),'2023DATA2'!$E$6,"")</f>
        <v/>
      </c>
      <c r="AW47" s="518" t="str">
        <f>IF(AND(_AC3="A-330-900",'2023'!$N$4="FO",'2023'!$N$2=AW43),'2023DATA2'!$F$6,"")</f>
        <v/>
      </c>
      <c r="AX47" s="518" t="str">
        <f>IF(AND(_AC3="A-330-900",'2023'!$N$4="FO",'2023'!$N$2=AX43),'2023DATA2'!$G$6,"")</f>
        <v/>
      </c>
      <c r="AY47" s="518" t="str">
        <f>IF(AND(_AC3="A-330-900",'2023'!$N$4="FO",'2023'!$N$2=AY43),'2023DATA2'!$H$6,"")</f>
        <v/>
      </c>
      <c r="AZ47" s="518" t="str">
        <f>IF(AND(_AC3="A-330-900",'2023'!$N$4="FO",'2023'!$N$2=AZ43),'2023DATA2'!$I$6,"")</f>
        <v/>
      </c>
      <c r="BA47" s="518" t="str">
        <f>IF(AND(_AC3="A-330-900",'2023'!$N$4="FO",'2023'!$N$2=BA43),'2023DATA2'!$J$6,"")</f>
        <v/>
      </c>
      <c r="BB47" s="518" t="str">
        <f>IF(AND(_AC3="A-330-900",'2023'!$N$4="FO",'2023'!$N$2=BB43),'2023DATA2'!$K$6,"")</f>
        <v/>
      </c>
      <c r="BC47" s="518" t="str">
        <f>IF(AND(_AC3="A-330-900",'2023'!$N$4="FO",'2023'!$N$2=BC43),'2023DATA2'!$L$6,"")</f>
        <v/>
      </c>
      <c r="BD47" s="518" t="str">
        <f>IF(AND(_AC3="A-330-900",'2023'!$N$4="FO",'2023'!$N$2=BD43),'2023DATA2'!$M$6,"")</f>
        <v/>
      </c>
      <c r="BE47" s="520" t="str">
        <f>IF(AND(_AC3="A-330-900",'2023'!$N$4="FO",'2023'!$N$2=BE43),'2023DATA2'!$N$6,"")</f>
        <v/>
      </c>
      <c r="BF47" s="940"/>
      <c r="BG47" s="13" t="s">
        <v>62</v>
      </c>
      <c r="BH47" s="518" t="str">
        <f>IF(AND(_AC4="A-330-900",'2023'!$N$4="FO",'2023'!$N$2=BH43),'2023DATA2'!$C$6,"")</f>
        <v/>
      </c>
      <c r="BI47" s="518" t="str">
        <f>IF(AND(_AC4="A-330-900",'2023'!$N$4="FO",'2023'!$N$2=BI43),'2023DATA2'!$D$6,"")</f>
        <v/>
      </c>
      <c r="BJ47" s="518" t="str">
        <f>IF(AND(_AC4="A-330-900",'2023'!$N$4="FO",'2023'!$N$2=BJ43),'2023DATA2'!$E$6,"")</f>
        <v/>
      </c>
      <c r="BK47" s="518" t="str">
        <f>IF(AND(_AC4="A-330-900",'2023'!$N$4="FO",'2023'!$N$2=BK43),'2023DATA2'!$F$6,"")</f>
        <v/>
      </c>
      <c r="BL47" s="518" t="str">
        <f>IF(AND(_AC4="A-330-900",'2023'!$N$4="FO",'2023'!$N$2=BL43),'2023DATA2'!$G$6,"")</f>
        <v/>
      </c>
      <c r="BM47" s="518" t="str">
        <f>IF(AND(_AC4="A-330-900",'2023'!$N$4="FO",'2023'!$N$2=BM43),'2023DATA2'!$H$6,"")</f>
        <v/>
      </c>
      <c r="BN47" s="518" t="str">
        <f>IF(AND(_AC4="A-330-900",'2023'!$N$4="FO",'2023'!$N$2=BN43),'2023DATA2'!$I$6,"")</f>
        <v/>
      </c>
      <c r="BO47" s="518" t="str">
        <f>IF(AND(_AC4="A-330-900",'2023'!$N$4="FO",'2023'!$N$2=BO43),'2023DATA2'!$J$6,"")</f>
        <v/>
      </c>
      <c r="BP47" s="518" t="str">
        <f>IF(AND(_AC4="A-330-900",'2023'!$N$4="FO",'2023'!$N$2=BP43),'2023DATA2'!$K$6,"")</f>
        <v/>
      </c>
      <c r="BQ47" s="518" t="str">
        <f>IF(AND(_AC4="A-330-900",'2023'!$N$4="FO",'2023'!$N$2=BQ43),'2023DATA2'!$L$6,"")</f>
        <v/>
      </c>
      <c r="BR47" s="518" t="str">
        <f>IF(AND(_AC4="A-330-900",'2023'!$N$4="FO",'2023'!$N$2=BR43),'2023DATA2'!$M$6,"")</f>
        <v/>
      </c>
      <c r="BS47" s="520" t="str">
        <f>IF(AND(_AC4="A-330-900",'2023'!$N$4="FO",'2023'!$N$2=BS43),'2023DATA2'!$N$6,"")</f>
        <v/>
      </c>
      <c r="BT47" s="940"/>
      <c r="BU47" s="13" t="s">
        <v>62</v>
      </c>
      <c r="BV47" s="518" t="str">
        <f>IF(AND(_AC5="A-330-900",'2023'!$N$4="FO",'2023'!$N$2=BV43),'2023DATA2'!$C$6,"")</f>
        <v/>
      </c>
      <c r="BW47" s="518" t="str">
        <f>IF(AND(_AC5="A-330-900",'2023'!$N$4="FO",'2023'!$N$2=BW43),'2023DATA2'!$D$6,"")</f>
        <v/>
      </c>
      <c r="BX47" s="518" t="str">
        <f>IF(AND(_AC5="A-330-900",'2023'!$N$4="FO",'2023'!$N$2=BX43),'2023DATA2'!$E$6,"")</f>
        <v/>
      </c>
      <c r="BY47" s="518" t="str">
        <f>IF(AND(_AC5="A-330-900",'2023'!$N$4="FO",'2023'!$N$2=BY43),'2023DATA2'!$F$6,"")</f>
        <v/>
      </c>
      <c r="BZ47" s="518" t="str">
        <f>IF(AND(_AC5="A-330-900",'2023'!$N$4="FO",'2023'!$N$2=BZ43),'2023DATA2'!$G$6,"")</f>
        <v/>
      </c>
      <c r="CA47" s="518" t="str">
        <f>IF(AND(_AC5="A-330-900",'2023'!$N$4="FO",'2023'!$N$2=CA43),'2023DATA2'!$H$6,"")</f>
        <v/>
      </c>
      <c r="CB47" s="518" t="str">
        <f>IF(AND(_AC5="A-330-900",'2023'!$N$4="FO",'2023'!$N$2=CB43),'2023DATA2'!$I$6,"")</f>
        <v/>
      </c>
      <c r="CC47" s="518" t="str">
        <f>IF(AND(_AC5="A-330-900",'2023'!$N$4="FO",'2023'!$N$2=CC43),'2023DATA2'!$J$6,"")</f>
        <v/>
      </c>
      <c r="CD47" s="518" t="str">
        <f>IF(AND(_AC5="A-330-900",'2023'!$N$4="FO",'2023'!$N$2=CD43),'2023DATA2'!$K$6,"")</f>
        <v/>
      </c>
      <c r="CE47" s="518" t="str">
        <f>IF(AND(_AC5="A-330-900",'2023'!$N$4="FO",'2023'!$N$2=CE43),'2023DATA2'!$L$6,"")</f>
        <v/>
      </c>
      <c r="CF47" s="518" t="str">
        <f>IF(AND(_AC5="A-330-900",'2023'!$N$4="FO",'2023'!$N$2=CF43),'2023DATA2'!$M$6,"")</f>
        <v/>
      </c>
      <c r="CG47" s="520" t="str">
        <f>IF(AND(_AC5="A-330-900",'2023'!$N$4="FO",'2023'!$N$2=CG43),'2023DATA2'!$N$6,"")</f>
        <v/>
      </c>
      <c r="CH47" s="940"/>
      <c r="CI47" s="13" t="s">
        <v>62</v>
      </c>
      <c r="CJ47" s="518" t="str">
        <f>IF(AND(_AC6="A-330-900",'2023'!$N$4="FO",'2023'!$N$2=CJ43),'2023DATA2'!$C$6,"")</f>
        <v/>
      </c>
      <c r="CK47" s="518" t="str">
        <f>IF(AND(_AC6="A-330-900",'2023'!$N$4="FO",'2023'!$N$2=CK43),'2023DATA2'!$D$6,"")</f>
        <v/>
      </c>
      <c r="CL47" s="518" t="str">
        <f>IF(AND(_AC6="A-330-900",'2023'!$N$4="FO",'2023'!$N$2=CL43),'2023DATA2'!$E$6,"")</f>
        <v/>
      </c>
      <c r="CM47" s="518" t="str">
        <f>IF(AND(_AC6="A-330-900",'2023'!$N$4="FO",'2023'!$N$2=CM43),'2023DATA2'!$F$6,"")</f>
        <v/>
      </c>
      <c r="CN47" s="518" t="str">
        <f>IF(AND(_AC6="A-330-900",'2023'!$N$4="FO",'2023'!$N$2=CN43),'2023DATA2'!$G$6,"")</f>
        <v/>
      </c>
      <c r="CO47" s="518" t="str">
        <f>IF(AND(_AC6="A-330-900",'2023'!$N$4="FO",'2023'!$N$2=CO43),'2023DATA2'!$H$6,"")</f>
        <v/>
      </c>
      <c r="CP47" s="518" t="str">
        <f>IF(AND(_AC6="A-330-900",'2023'!$N$4="FO",'2023'!$N$2=CP43),'2023DATA2'!$I$6,"")</f>
        <v/>
      </c>
      <c r="CQ47" s="518" t="str">
        <f>IF(AND(_AC6="A-330-900",'2023'!$N$4="FO",'2023'!$N$2=CQ43),'2023DATA2'!$J$6,"")</f>
        <v/>
      </c>
      <c r="CR47" s="518" t="str">
        <f>IF(AND(_AC6="A-330-900",'2023'!$N$4="FO",'2023'!$N$2=CR43),'2023DATA2'!$K$6,"")</f>
        <v/>
      </c>
      <c r="CS47" s="518" t="str">
        <f>IF(AND(_AC6="A-330-900",'2023'!$N$4="FO",'2023'!$N$2=CS43),'2023DATA2'!$L$6,"")</f>
        <v/>
      </c>
      <c r="CT47" s="518" t="str">
        <f>IF(AND(_AC6="A-330-900",'2023'!$N$4="FO",'2023'!$N$2=CT43),'2023DATA2'!$M$6,"")</f>
        <v/>
      </c>
      <c r="CU47" s="520" t="str">
        <f>IF(AND(_AC6="A-330-900",'2023'!$N$4="FO",'2023'!$N$2=CU43),'2023DATA2'!$N$6,"")</f>
        <v/>
      </c>
    </row>
    <row r="48" spans="1:99" x14ac:dyDescent="0.25">
      <c r="P48" s="940" t="s">
        <v>64</v>
      </c>
      <c r="Q48" s="13" t="s">
        <v>61</v>
      </c>
      <c r="R48" s="518" t="str">
        <f>IF(AND(_AC1="A-330-300",'2023'!$N$4="CA",'2023'!$N$2=R43),'2023DATA2'!$C$7,"")</f>
        <v/>
      </c>
      <c r="S48" s="518" t="str">
        <f>IF(AND(_AC1="A-330-300",'2023'!$N$4="CA",'2023'!$N$2=S43),'2023DATA2'!$D$7,"")</f>
        <v/>
      </c>
      <c r="T48" s="518" t="str">
        <f>IF(AND(_AC1="A-330-300",'2023'!$N$4="CA",'2023'!$N$2=T43),'2023DATA2'!$E$7,"")</f>
        <v/>
      </c>
      <c r="U48" s="518" t="str">
        <f>IF(AND(_AC1="A-330-300",'2023'!$N$4="CA",'2023'!$N$2=U43),'2023DATA2'!$F$7,"")</f>
        <v/>
      </c>
      <c r="V48" s="518" t="str">
        <f>IF(AND(_AC1="A-330-300",'2023'!$N$4="CA",'2023'!$N$2=V43),'2023DATA2'!$G$7,"")</f>
        <v/>
      </c>
      <c r="W48" s="518" t="str">
        <f>IF(AND(_AC1="A-330-300",'2023'!$N$4="CA",'2023'!$N$2=W43),'2023DATA2'!$H$7,"")</f>
        <v/>
      </c>
      <c r="X48" s="518" t="str">
        <f>IF(AND(_AC1="A-330-300",'2023'!$N$4="CA",'2023'!$N$2=X43),'2023DATA2'!$I$7,"")</f>
        <v/>
      </c>
      <c r="Y48" s="518" t="str">
        <f>IF(AND(_AC1="A-330-300",'2023'!$N$4="CA",'2023'!$N$2=Y43),'2023DATA2'!$J$7,"")</f>
        <v/>
      </c>
      <c r="Z48" s="518" t="str">
        <f>IF(AND(_AC1="A-330-300",'2023'!$N$4="CA",'2023'!$N$2=Z43),'2023DATA2'!$K$7,"")</f>
        <v/>
      </c>
      <c r="AA48" s="518" t="str">
        <f>IF(AND(_AC1="A-330-300",'2023'!$N$4="CA",'2023'!$N$2=AA43),'2023DATA2'!$L$7,"")</f>
        <v/>
      </c>
      <c r="AB48" s="518" t="str">
        <f>IF(AND(_AC1="A-330-300",'2023'!$N$4="CA",'2023'!$N$2=AB43),'2023DATA2'!$M$7,"")</f>
        <v/>
      </c>
      <c r="AC48" s="520" t="str">
        <f>IF(AND(_AC1="A-330-300",'2023'!$N$4="CA",'2023'!$N$2=AC43),'2023DATA2'!$N$7,"")</f>
        <v/>
      </c>
      <c r="AD48" s="940" t="s">
        <v>64</v>
      </c>
      <c r="AE48" s="13" t="s">
        <v>61</v>
      </c>
      <c r="AF48" s="518" t="str">
        <f>IF(AND(_AC2="A-330-300",'2023'!$N$4="CA",'2023'!$N$2=AF43),'2023DATA2'!$C$7,"")</f>
        <v/>
      </c>
      <c r="AG48" s="518" t="str">
        <f>IF(AND(_AC2="A-330-300",'2023'!$N$4="CA",'2023'!$N$2=AG43),'2023DATA2'!$D$7,"")</f>
        <v/>
      </c>
      <c r="AH48" s="518" t="str">
        <f>IF(AND(_AC2="A-330-300",'2023'!$N$4="CA",'2023'!$N$2=AH43),'2023DATA2'!$E$7,"")</f>
        <v/>
      </c>
      <c r="AI48" s="518" t="str">
        <f>IF(AND(_AC2="A-330-300",'2023'!$N$4="CA",'2023'!$N$2=AI43),'2023DATA2'!$F$7,"")</f>
        <v/>
      </c>
      <c r="AJ48" s="518" t="str">
        <f>IF(AND(_AC2="A-330-300",'2023'!$N$4="CA",'2023'!$N$2=AJ43),'2023DATA2'!$G$7,"")</f>
        <v/>
      </c>
      <c r="AK48" s="518" t="str">
        <f>IF(AND(_AC2="A-330-300",'2023'!$N$4="CA",'2023'!$N$2=AK43),'2023DATA2'!$H$7,"")</f>
        <v/>
      </c>
      <c r="AL48" s="518" t="str">
        <f>IF(AND(_AC2="A-330-300",'2023'!$N$4="CA",'2023'!$N$2=AL43),'2023DATA2'!$I$7,"")</f>
        <v/>
      </c>
      <c r="AM48" s="518" t="str">
        <f>IF(AND(_AC2="A-330-300",'2023'!$N$4="CA",'2023'!$N$2=AM43),'2023DATA2'!$J$7,"")</f>
        <v/>
      </c>
      <c r="AN48" s="518" t="str">
        <f>IF(AND(_AC2="A-330-300",'2023'!$N$4="CA",'2023'!$N$2=AN43),'2023DATA2'!$K$7,"")</f>
        <v/>
      </c>
      <c r="AO48" s="518" t="str">
        <f>IF(AND(_AC2="A-330-300",'2023'!$N$4="CA",'2023'!$N$2=AO43),'2023DATA2'!$L$7,"")</f>
        <v/>
      </c>
      <c r="AP48" s="518" t="str">
        <f>IF(AND(_AC2="A-330-300",'2023'!$N$4="CA",'2023'!$N$2=AP43),'2023DATA2'!$M$7,"")</f>
        <v/>
      </c>
      <c r="AQ48" s="520" t="str">
        <f>IF(AND(_AC2="A-330-300",'2023'!$N$4="CA",'2023'!$N$2=AQ43),'2023DATA2'!$N$7,"")</f>
        <v/>
      </c>
      <c r="AR48" s="940" t="s">
        <v>64</v>
      </c>
      <c r="AS48" s="13" t="s">
        <v>61</v>
      </c>
      <c r="AT48" s="518" t="str">
        <f>IF(AND(_AC3="A-330-300",'2023'!$N$4="CA",'2023'!$N$2=AT43),'2023DATA2'!$C$7,"")</f>
        <v/>
      </c>
      <c r="AU48" s="518" t="str">
        <f>IF(AND(_AC3="A-330-300",'2023'!$N$4="CA",'2023'!$N$2=AU43),'2023DATA2'!$D$7,"")</f>
        <v/>
      </c>
      <c r="AV48" s="518" t="str">
        <f>IF(AND(_AC3="A-330-300",'2023'!$N$4="CA",'2023'!$N$2=AV43),'2023DATA2'!$E$7,"")</f>
        <v/>
      </c>
      <c r="AW48" s="518" t="str">
        <f>IF(AND(_AC3="A-330-300",'2023'!$N$4="CA",'2023'!$N$2=AW43),'2023DATA2'!$F$7,"")</f>
        <v/>
      </c>
      <c r="AX48" s="518" t="str">
        <f>IF(AND(_AC3="A-330-300",'2023'!$N$4="CA",'2023'!$N$2=AX43),'2023DATA2'!$G$7,"")</f>
        <v/>
      </c>
      <c r="AY48" s="518" t="str">
        <f>IF(AND(_AC3="A-330-300",'2023'!$N$4="CA",'2023'!$N$2=AY43),'2023DATA2'!$H$7,"")</f>
        <v/>
      </c>
      <c r="AZ48" s="518" t="str">
        <f>IF(AND(_AC3="A-330-300",'2023'!$N$4="CA",'2023'!$N$2=AZ43),'2023DATA2'!$I$7,"")</f>
        <v/>
      </c>
      <c r="BA48" s="518" t="str">
        <f>IF(AND(_AC3="A-330-300",'2023'!$N$4="CA",'2023'!$N$2=BA43),'2023DATA2'!$J$7,"")</f>
        <v/>
      </c>
      <c r="BB48" s="518" t="str">
        <f>IF(AND(_AC3="A-330-300",'2023'!$N$4="CA",'2023'!$N$2=BB43),'2023DATA2'!$K$7,"")</f>
        <v/>
      </c>
      <c r="BC48" s="518" t="str">
        <f>IF(AND(_AC3="A-330-300",'2023'!$N$4="CA",'2023'!$N$2=BC43),'2023DATA2'!$L$7,"")</f>
        <v/>
      </c>
      <c r="BD48" s="518" t="str">
        <f>IF(AND(_AC3="A-330-300",'2023'!$N$4="CA",'2023'!$N$2=BD43),'2023DATA2'!$M$7,"")</f>
        <v/>
      </c>
      <c r="BE48" s="520" t="str">
        <f>IF(AND(_AC3="A-330-300",'2023'!$N$4="CA",'2023'!$N$2=BE43),'2023DATA2'!$N$7,"")</f>
        <v/>
      </c>
      <c r="BF48" s="940" t="s">
        <v>64</v>
      </c>
      <c r="BG48" s="13" t="s">
        <v>61</v>
      </c>
      <c r="BH48" s="518" t="str">
        <f>IF(AND(_AC4="A-330-300",'2023'!$N$4="CA",'2023'!$N$2=BH43),'2023DATA2'!$C$7,"")</f>
        <v/>
      </c>
      <c r="BI48" s="518" t="str">
        <f>IF(AND(_AC4="A-330-300",'2023'!$N$4="CA",'2023'!$N$2=BI43),'2023DATA2'!$D$7,"")</f>
        <v/>
      </c>
      <c r="BJ48" s="518" t="str">
        <f>IF(AND(_AC4="A-330-300",'2023'!$N$4="CA",'2023'!$N$2=BJ43),'2023DATA2'!$E$7,"")</f>
        <v/>
      </c>
      <c r="BK48" s="518" t="str">
        <f>IF(AND(_AC4="A-330-300",'2023'!$N$4="CA",'2023'!$N$2=BK43),'2023DATA2'!$F$7,"")</f>
        <v/>
      </c>
      <c r="BL48" s="518" t="str">
        <f>IF(AND(_AC4="A-330-300",'2023'!$N$4="CA",'2023'!$N$2=BL43),'2023DATA2'!$G$7,"")</f>
        <v/>
      </c>
      <c r="BM48" s="518" t="str">
        <f>IF(AND(_AC4="A-330-300",'2023'!$N$4="CA",'2023'!$N$2=BM43),'2023DATA2'!$H$7,"")</f>
        <v/>
      </c>
      <c r="BN48" s="518" t="str">
        <f>IF(AND(_AC4="A-330-300",'2023'!$N$4="CA",'2023'!$N$2=BN43),'2023DATA2'!$I$7,"")</f>
        <v/>
      </c>
      <c r="BO48" s="518" t="str">
        <f>IF(AND(_AC4="A-330-300",'2023'!$N$4="CA",'2023'!$N$2=BO43),'2023DATA2'!$J$7,"")</f>
        <v/>
      </c>
      <c r="BP48" s="518" t="str">
        <f>IF(AND(_AC4="A-330-300",'2023'!$N$4="CA",'2023'!$N$2=BP43),'2023DATA2'!$K$7,"")</f>
        <v/>
      </c>
      <c r="BQ48" s="518" t="str">
        <f>IF(AND(_AC4="A-330-300",'2023'!$N$4="CA",'2023'!$N$2=BQ43),'2023DATA2'!$L$7,"")</f>
        <v/>
      </c>
      <c r="BR48" s="518" t="str">
        <f>IF(AND(_AC4="A-330-300",'2023'!$N$4="CA",'2023'!$N$2=BR43),'2023DATA2'!$M$7,"")</f>
        <v/>
      </c>
      <c r="BS48" s="520" t="str">
        <f>IF(AND(_AC4="A-330-300",'2023'!$N$4="CA",'2023'!$N$2=BS43),'2023DATA2'!$N$7,"")</f>
        <v/>
      </c>
      <c r="BT48" s="940" t="s">
        <v>64</v>
      </c>
      <c r="BU48" s="13" t="s">
        <v>61</v>
      </c>
      <c r="BV48" s="518" t="str">
        <f>IF(AND(_AC5="A-330-300",'2023'!$N$4="CA",'2023'!$N$2=BV43),'2023DATA2'!$C$7,"")</f>
        <v/>
      </c>
      <c r="BW48" s="518" t="str">
        <f>IF(AND(_AC5="A-330-300",'2023'!$N$4="CA",'2023'!$N$2=BW43),'2023DATA2'!$D$7,"")</f>
        <v/>
      </c>
      <c r="BX48" s="518" t="str">
        <f>IF(AND(_AC5="A-330-300",'2023'!$N$4="CA",'2023'!$N$2=BX43),'2023DATA2'!$E$7,"")</f>
        <v/>
      </c>
      <c r="BY48" s="518" t="str">
        <f>IF(AND(_AC5="A-330-300",'2023'!$N$4="CA",'2023'!$N$2=BY43),'2023DATA2'!$F$7,"")</f>
        <v/>
      </c>
      <c r="BZ48" s="518" t="str">
        <f>IF(AND(_AC5="A-330-300",'2023'!$N$4="CA",'2023'!$N$2=BZ43),'2023DATA2'!$G$7,"")</f>
        <v/>
      </c>
      <c r="CA48" s="518" t="str">
        <f>IF(AND(_AC5="A-330-300",'2023'!$N$4="CA",'2023'!$N$2=CA43),'2023DATA2'!$H$7,"")</f>
        <v/>
      </c>
      <c r="CB48" s="518" t="str">
        <f>IF(AND(_AC5="A-330-300",'2023'!$N$4="CA",'2023'!$N$2=CB43),'2023DATA2'!$I$7,"")</f>
        <v/>
      </c>
      <c r="CC48" s="518" t="str">
        <f>IF(AND(_AC5="A-330-300",'2023'!$N$4="CA",'2023'!$N$2=CC43),'2023DATA2'!$J$7,"")</f>
        <v/>
      </c>
      <c r="CD48" s="518" t="str">
        <f>IF(AND(_AC5="A-330-300",'2023'!$N$4="CA",'2023'!$N$2=CD43),'2023DATA2'!$K$7,"")</f>
        <v/>
      </c>
      <c r="CE48" s="518" t="str">
        <f>IF(AND(_AC5="A-330-300",'2023'!$N$4="CA",'2023'!$N$2=CE43),'2023DATA2'!$L$7,"")</f>
        <v/>
      </c>
      <c r="CF48" s="518" t="str">
        <f>IF(AND(_AC5="A-330-300",'2023'!$N$4="CA",'2023'!$N$2=CF43),'2023DATA2'!$M$7,"")</f>
        <v/>
      </c>
      <c r="CG48" s="520" t="str">
        <f>IF(AND(_AC5="A-330-300",'2023'!$N$4="CA",'2023'!$N$2=CG43),'2023DATA2'!$N$7,"")</f>
        <v/>
      </c>
      <c r="CH48" s="940" t="s">
        <v>64</v>
      </c>
      <c r="CI48" s="13" t="s">
        <v>61</v>
      </c>
      <c r="CJ48" s="518" t="str">
        <f>IF(AND(_AC6="A-330-300",'2023'!$N$4="CA",'2023'!$N$2=CJ43),'2023DATA2'!$C$7,"")</f>
        <v/>
      </c>
      <c r="CK48" s="518" t="str">
        <f>IF(AND(_AC6="A-330-300",'2023'!$N$4="CA",'2023'!$N$2=CK43),'2023DATA2'!$D$7,"")</f>
        <v/>
      </c>
      <c r="CL48" s="518" t="str">
        <f>IF(AND(_AC6="A-330-300",'2023'!$N$4="CA",'2023'!$N$2=CL43),'2023DATA2'!$E$7,"")</f>
        <v/>
      </c>
      <c r="CM48" s="518" t="str">
        <f>IF(AND(_AC6="A-330-300",'2023'!$N$4="CA",'2023'!$N$2=CM43),'2023DATA2'!$F$7,"")</f>
        <v/>
      </c>
      <c r="CN48" s="518" t="str">
        <f>IF(AND(_AC6="A-330-300",'2023'!$N$4="CA",'2023'!$N$2=CN43),'2023DATA2'!$G$7,"")</f>
        <v/>
      </c>
      <c r="CO48" s="518" t="str">
        <f>IF(AND(_AC6="A-330-300",'2023'!$N$4="CA",'2023'!$N$2=CO43),'2023DATA2'!$H$7,"")</f>
        <v/>
      </c>
      <c r="CP48" s="518" t="str">
        <f>IF(AND(_AC6="A-330-300",'2023'!$N$4="CA",'2023'!$N$2=CP43),'2023DATA2'!$I$7,"")</f>
        <v/>
      </c>
      <c r="CQ48" s="518" t="str">
        <f>IF(AND(_AC6="A-330-300",'2023'!$N$4="CA",'2023'!$N$2=CQ43),'2023DATA2'!$J$7,"")</f>
        <v/>
      </c>
      <c r="CR48" s="518" t="str">
        <f>IF(AND(_AC6="A-330-300",'2023'!$N$4="CA",'2023'!$N$2=CR43),'2023DATA2'!$K$7,"")</f>
        <v/>
      </c>
      <c r="CS48" s="518" t="str">
        <f>IF(AND(_AC6="A-330-300",'2023'!$N$4="CA",'2023'!$N$2=CS43),'2023DATA2'!$L$7,"")</f>
        <v/>
      </c>
      <c r="CT48" s="518" t="str">
        <f>IF(AND(_AC6="A-330-300",'2023'!$N$4="CA",'2023'!$N$2=CT43),'2023DATA2'!$M$7,"")</f>
        <v/>
      </c>
      <c r="CU48" s="520" t="str">
        <f>IF(AND(_AC6="A-330-300",'2023'!$N$4="CA",'2023'!$N$2=CU43),'2023DATA2'!$N$7,"")</f>
        <v/>
      </c>
    </row>
    <row r="49" spans="16:99" x14ac:dyDescent="0.25">
      <c r="P49" s="940"/>
      <c r="Q49" s="13" t="s">
        <v>62</v>
      </c>
      <c r="R49" s="518" t="str">
        <f>IF(AND(_AC1="A-330-300",'2023'!$N$4="FO",'2023'!$N$2=R43),'2023DATA2'!$C$8,"")</f>
        <v/>
      </c>
      <c r="S49" s="518" t="str">
        <f>IF(AND(_AC1="A-330-300",'2023'!$N$4="FO",'2023'!$N$2=S43),'2023DATA2'!$D$8,"")</f>
        <v/>
      </c>
      <c r="T49" s="518" t="str">
        <f>IF(AND(_AC1="A-330-300",'2023'!$N$4="FO",'2023'!$N$2=T43),'2023DATA2'!$E$8,"")</f>
        <v/>
      </c>
      <c r="U49" s="518" t="str">
        <f>IF(AND(_AC1="A-330-300",'2023'!$N$4="FO",'2023'!$N$2=U43),'2023DATA2'!$F$8,"")</f>
        <v/>
      </c>
      <c r="V49" s="518" t="str">
        <f>IF(AND(_AC1="A-330-300",'2023'!$N$4="FO",'2023'!$N$2=V43),'2023DATA2'!$G$8,"")</f>
        <v/>
      </c>
      <c r="W49" s="518" t="str">
        <f>IF(AND(_AC1="A-330-300",'2023'!$N$4="FO",'2023'!$N$2=W43),'2023DATA2'!$H$8,"")</f>
        <v/>
      </c>
      <c r="X49" s="518" t="str">
        <f>IF(AND(_AC1="A-330-300",'2023'!$N$4="FO",'2023'!$N$2=X43),'2023DATA2'!$I$8,"")</f>
        <v/>
      </c>
      <c r="Y49" s="518" t="str">
        <f>IF(AND(_AC1="A-330-300",'2023'!$N$4="FO",'2023'!$N$2=Y43),'2023DATA2'!$J$8,"")</f>
        <v/>
      </c>
      <c r="Z49" s="518" t="str">
        <f>IF(AND(_AC1="A-330-300",'2023'!$N$4="FO",'2023'!$N$2=Z43),'2023DATA2'!$K$8,"")</f>
        <v/>
      </c>
      <c r="AA49" s="518" t="str">
        <f>IF(AND(_AC1="A-330-300",'2023'!$N$4="FO",'2023'!$N$2=AA43),'2023DATA2'!$L$8,"")</f>
        <v/>
      </c>
      <c r="AB49" s="518" t="str">
        <f>IF(AND(_AC1="A-330-300",'2023'!$N$4="FO",'2023'!$N$2=AB43),'2023DATA2'!$M$8,"")</f>
        <v/>
      </c>
      <c r="AC49" s="520" t="str">
        <f>IF(AND(_AC1="A-330-300",'2023'!$N$4="FO",'2023'!$N$2=AC43),'2023DATA2'!$N$8,"")</f>
        <v/>
      </c>
      <c r="AD49" s="940"/>
      <c r="AE49" s="13" t="s">
        <v>62</v>
      </c>
      <c r="AF49" s="518" t="str">
        <f>IF(AND(_AC2="A-330-300",'2023'!$N$4="FO",'2023'!$N$2=AF43),'2023DATA2'!$C$8,"")</f>
        <v/>
      </c>
      <c r="AG49" s="518" t="str">
        <f>IF(AND(_AC2="A-330-300",'2023'!$N$4="FO",'2023'!$N$2=AG43),'2023DATA2'!$D$8,"")</f>
        <v/>
      </c>
      <c r="AH49" s="518" t="str">
        <f>IF(AND(_AC2="A-330-300",'2023'!$N$4="FO",'2023'!$N$2=AH43),'2023DATA2'!$E$8,"")</f>
        <v/>
      </c>
      <c r="AI49" s="518" t="str">
        <f>IF(AND(_AC2="A-330-300",'2023'!$N$4="FO",'2023'!$N$2=AI43),'2023DATA2'!$F$8,"")</f>
        <v/>
      </c>
      <c r="AJ49" s="518" t="str">
        <f>IF(AND(_AC2="A-330-300",'2023'!$N$4="FO",'2023'!$N$2=AJ43),'2023DATA2'!$G$8,"")</f>
        <v/>
      </c>
      <c r="AK49" s="518" t="str">
        <f>IF(AND(_AC2="A-330-300",'2023'!$N$4="FO",'2023'!$N$2=AK43),'2023DATA2'!$H$8,"")</f>
        <v/>
      </c>
      <c r="AL49" s="518" t="str">
        <f>IF(AND(_AC2="A-330-300",'2023'!$N$4="FO",'2023'!$N$2=AL43),'2023DATA2'!$I$8,"")</f>
        <v/>
      </c>
      <c r="AM49" s="518" t="str">
        <f>IF(AND(_AC2="A-330-300",'2023'!$N$4="FO",'2023'!$N$2=AM43),'2023DATA2'!$J$8,"")</f>
        <v/>
      </c>
      <c r="AN49" s="518" t="str">
        <f>IF(AND(_AC2="A-330-300",'2023'!$N$4="FO",'2023'!$N$2=AN43),'2023DATA2'!$K$8,"")</f>
        <v/>
      </c>
      <c r="AO49" s="518" t="str">
        <f>IF(AND(_AC2="A-330-300",'2023'!$N$4="FO",'2023'!$N$2=AO43),'2023DATA2'!$L$8,"")</f>
        <v/>
      </c>
      <c r="AP49" s="518" t="str">
        <f>IF(AND(_AC2="A-330-300",'2023'!$N$4="FO",'2023'!$N$2=AP43),'2023DATA2'!$M$8,"")</f>
        <v/>
      </c>
      <c r="AQ49" s="520" t="str">
        <f>IF(AND(_AC2="A-330-300",'2023'!$N$4="FO",'2023'!$N$2=AQ43),'2023DATA2'!$N$8,"")</f>
        <v/>
      </c>
      <c r="AR49" s="940"/>
      <c r="AS49" s="13" t="s">
        <v>62</v>
      </c>
      <c r="AT49" s="518" t="str">
        <f>IF(AND(_AC3="A-330-300",'2023'!$N$4="FO",'2023'!$N$2=AT43),'2023DATA2'!$C$8,"")</f>
        <v/>
      </c>
      <c r="AU49" s="518" t="str">
        <f>IF(AND(_AC3="A-330-300",'2023'!$N$4="FO",'2023'!$N$2=AU43),'2023DATA2'!$D$8,"")</f>
        <v/>
      </c>
      <c r="AV49" s="518" t="str">
        <f>IF(AND(_AC3="A-330-300",'2023'!$N$4="FO",'2023'!$N$2=AV43),'2023DATA2'!$E$8,"")</f>
        <v/>
      </c>
      <c r="AW49" s="518" t="str">
        <f>IF(AND(_AC3="A-330-300",'2023'!$N$4="FO",'2023'!$N$2=AW43),'2023DATA2'!$F$8,"")</f>
        <v/>
      </c>
      <c r="AX49" s="518" t="str">
        <f>IF(AND(_AC3="A-330-300",'2023'!$N$4="FO",'2023'!$N$2=AX43),'2023DATA2'!$G$8,"")</f>
        <v/>
      </c>
      <c r="AY49" s="518" t="str">
        <f>IF(AND(_AC3="A-330-300",'2023'!$N$4="FO",'2023'!$N$2=AY43),'2023DATA2'!$H$8,"")</f>
        <v/>
      </c>
      <c r="AZ49" s="518" t="str">
        <f>IF(AND(_AC3="A-330-300",'2023'!$N$4="FO",'2023'!$N$2=AZ43),'2023DATA2'!$I$8,"")</f>
        <v/>
      </c>
      <c r="BA49" s="518" t="str">
        <f>IF(AND(_AC3="A-330-300",'2023'!$N$4="FO",'2023'!$N$2=BA43),'2023DATA2'!$J$8,"")</f>
        <v/>
      </c>
      <c r="BB49" s="518" t="str">
        <f>IF(AND(_AC3="A-330-300",'2023'!$N$4="FO",'2023'!$N$2=BB43),'2023DATA2'!$K$8,"")</f>
        <v/>
      </c>
      <c r="BC49" s="518" t="str">
        <f>IF(AND(_AC3="A-330-300",'2023'!$N$4="FO",'2023'!$N$2=BC43),'2023DATA2'!$L$8,"")</f>
        <v/>
      </c>
      <c r="BD49" s="518" t="str">
        <f>IF(AND(_AC3="A-330-300",'2023'!$N$4="FO",'2023'!$N$2=BD43),'2023DATA2'!$M$8,"")</f>
        <v/>
      </c>
      <c r="BE49" s="520" t="str">
        <f>IF(AND(_AC3="A-330-300",'2023'!$N$4="FO",'2023'!$N$2=BE43),'2023DATA2'!$N$8,"")</f>
        <v/>
      </c>
      <c r="BF49" s="940"/>
      <c r="BG49" s="13" t="s">
        <v>62</v>
      </c>
      <c r="BH49" s="518" t="str">
        <f>IF(AND(_AC4="A-330-300",'2023'!$N$4="FO",'2023'!$N$2=BH43),'2023DATA2'!$C$8,"")</f>
        <v/>
      </c>
      <c r="BI49" s="518" t="str">
        <f>IF(AND(_AC4="A-330-300",'2023'!$N$4="FO",'2023'!$N$2=BI43),'2023DATA2'!$D$8,"")</f>
        <v/>
      </c>
      <c r="BJ49" s="518" t="str">
        <f>IF(AND(_AC4="A-330-300",'2023'!$N$4="FO",'2023'!$N$2=BJ43),'2023DATA2'!$E$8,"")</f>
        <v/>
      </c>
      <c r="BK49" s="518" t="str">
        <f>IF(AND(_AC4="A-330-300",'2023'!$N$4="FO",'2023'!$N$2=BK43),'2023DATA2'!$F$8,"")</f>
        <v/>
      </c>
      <c r="BL49" s="518" t="str">
        <f>IF(AND(_AC4="A-330-300",'2023'!$N$4="FO",'2023'!$N$2=BL43),'2023DATA2'!$G$8,"")</f>
        <v/>
      </c>
      <c r="BM49" s="518" t="str">
        <f>IF(AND(_AC4="A-330-300",'2023'!$N$4="FO",'2023'!$N$2=BM43),'2023DATA2'!$H$8,"")</f>
        <v/>
      </c>
      <c r="BN49" s="518" t="str">
        <f>IF(AND(_AC4="A-330-300",'2023'!$N$4="FO",'2023'!$N$2=BN43),'2023DATA2'!$I$8,"")</f>
        <v/>
      </c>
      <c r="BO49" s="518" t="str">
        <f>IF(AND(_AC4="A-330-300",'2023'!$N$4="FO",'2023'!$N$2=BO43),'2023DATA2'!$J$8,"")</f>
        <v/>
      </c>
      <c r="BP49" s="518" t="str">
        <f>IF(AND(_AC4="A-330-300",'2023'!$N$4="FO",'2023'!$N$2=BP43),'2023DATA2'!$K$8,"")</f>
        <v/>
      </c>
      <c r="BQ49" s="518" t="str">
        <f>IF(AND(_AC4="A-330-300",'2023'!$N$4="FO",'2023'!$N$2=BQ43),'2023DATA2'!$L$8,"")</f>
        <v/>
      </c>
      <c r="BR49" s="518" t="str">
        <f>IF(AND(_AC4="A-330-300",'2023'!$N$4="FO",'2023'!$N$2=BR43),'2023DATA2'!$M$8,"")</f>
        <v/>
      </c>
      <c r="BS49" s="520" t="str">
        <f>IF(AND(_AC4="A-330-300",'2023'!$N$4="FO",'2023'!$N$2=BS43),'2023DATA2'!$N$8,"")</f>
        <v/>
      </c>
      <c r="BT49" s="940"/>
      <c r="BU49" s="13" t="s">
        <v>62</v>
      </c>
      <c r="BV49" s="518" t="str">
        <f>IF(AND(_AC5="A-330-300",'2023'!$N$4="FO",'2023'!$N$2=BV43),'2023DATA2'!$C$8,"")</f>
        <v/>
      </c>
      <c r="BW49" s="518" t="str">
        <f>IF(AND(_AC5="A-330-300",'2023'!$N$4="FO",'2023'!$N$2=BW43),'2023DATA2'!$D$8,"")</f>
        <v/>
      </c>
      <c r="BX49" s="518" t="str">
        <f>IF(AND(_AC5="A-330-300",'2023'!$N$4="FO",'2023'!$N$2=BX43),'2023DATA2'!$E$8,"")</f>
        <v/>
      </c>
      <c r="BY49" s="518" t="str">
        <f>IF(AND(_AC5="A-330-300",'2023'!$N$4="FO",'2023'!$N$2=BY43),'2023DATA2'!$F$8,"")</f>
        <v/>
      </c>
      <c r="BZ49" s="518" t="str">
        <f>IF(AND(_AC5="A-330-300",'2023'!$N$4="FO",'2023'!$N$2=BZ43),'2023DATA2'!$G$8,"")</f>
        <v/>
      </c>
      <c r="CA49" s="518" t="str">
        <f>IF(AND(_AC5="A-330-300",'2023'!$N$4="FO",'2023'!$N$2=CA43),'2023DATA2'!$H$8,"")</f>
        <v/>
      </c>
      <c r="CB49" s="518" t="str">
        <f>IF(AND(_AC5="A-330-300",'2023'!$N$4="FO",'2023'!$N$2=CB43),'2023DATA2'!$I$8,"")</f>
        <v/>
      </c>
      <c r="CC49" s="518" t="str">
        <f>IF(AND(_AC5="A-330-300",'2023'!$N$4="FO",'2023'!$N$2=CC43),'2023DATA2'!$J$8,"")</f>
        <v/>
      </c>
      <c r="CD49" s="518" t="str">
        <f>IF(AND(_AC5="A-330-300",'2023'!$N$4="FO",'2023'!$N$2=CD43),'2023DATA2'!$K$8,"")</f>
        <v/>
      </c>
      <c r="CE49" s="518" t="str">
        <f>IF(AND(_AC5="A-330-300",'2023'!$N$4="FO",'2023'!$N$2=CE43),'2023DATA2'!$L$8,"")</f>
        <v/>
      </c>
      <c r="CF49" s="518" t="str">
        <f>IF(AND(_AC5="A-330-300",'2023'!$N$4="FO",'2023'!$N$2=CF43),'2023DATA2'!$M$8,"")</f>
        <v/>
      </c>
      <c r="CG49" s="520" t="str">
        <f>IF(AND(_AC5="A-330-300",'2023'!$N$4="FO",'2023'!$N$2=CG43),'2023DATA2'!$N$8,"")</f>
        <v/>
      </c>
      <c r="CH49" s="940"/>
      <c r="CI49" s="13" t="s">
        <v>62</v>
      </c>
      <c r="CJ49" s="518" t="str">
        <f>IF(AND(_AC6="A-330-300",'2023'!$N$4="FO",'2023'!$N$2=CJ43),'2023DATA2'!$C$8,"")</f>
        <v/>
      </c>
      <c r="CK49" s="518" t="str">
        <f>IF(AND(_AC6="A-330-300",'2023'!$N$4="FO",'2023'!$N$2=CK43),'2023DATA2'!$D$8,"")</f>
        <v/>
      </c>
      <c r="CL49" s="518" t="str">
        <f>IF(AND(_AC6="A-330-300",'2023'!$N$4="FO",'2023'!$N$2=CL43),'2023DATA2'!$E$8,"")</f>
        <v/>
      </c>
      <c r="CM49" s="518" t="str">
        <f>IF(AND(_AC6="A-330-300",'2023'!$N$4="FO",'2023'!$N$2=CM43),'2023DATA2'!$F$8,"")</f>
        <v/>
      </c>
      <c r="CN49" s="518" t="str">
        <f>IF(AND(_AC6="A-330-300",'2023'!$N$4="FO",'2023'!$N$2=CN43),'2023DATA2'!$G$8,"")</f>
        <v/>
      </c>
      <c r="CO49" s="518" t="str">
        <f>IF(AND(_AC6="A-330-300",'2023'!$N$4="FO",'2023'!$N$2=CO43),'2023DATA2'!$H$8,"")</f>
        <v/>
      </c>
      <c r="CP49" s="518" t="str">
        <f>IF(AND(_AC6="A-330-300",'2023'!$N$4="FO",'2023'!$N$2=CP43),'2023DATA2'!$I$8,"")</f>
        <v/>
      </c>
      <c r="CQ49" s="518" t="str">
        <f>IF(AND(_AC6="A-330-300",'2023'!$N$4="FO",'2023'!$N$2=CQ43),'2023DATA2'!$J$8,"")</f>
        <v/>
      </c>
      <c r="CR49" s="518" t="str">
        <f>IF(AND(_AC6="A-330-300",'2023'!$N$4="FO",'2023'!$N$2=CR43),'2023DATA2'!$K$8,"")</f>
        <v/>
      </c>
      <c r="CS49" s="518" t="str">
        <f>IF(AND(_AC6="A-330-300",'2023'!$N$4="FO",'2023'!$N$2=CS43),'2023DATA2'!$L$8,"")</f>
        <v/>
      </c>
      <c r="CT49" s="518" t="str">
        <f>IF(AND(_AC6="A-330-300",'2023'!$N$4="FO",'2023'!$N$2=CT43),'2023DATA2'!$M$8,"")</f>
        <v/>
      </c>
      <c r="CU49" s="520" t="str">
        <f>IF(AND(_AC6="A-330-300",'2023'!$N$4="FO",'2023'!$N$2=CU43),'2023DATA2'!$N$8,"")</f>
        <v/>
      </c>
    </row>
    <row r="50" spans="16:99" x14ac:dyDescent="0.25">
      <c r="P50" s="940" t="s">
        <v>66</v>
      </c>
      <c r="Q50" s="13" t="s">
        <v>61</v>
      </c>
      <c r="R50" s="518" t="str">
        <f>IF(AND(_AC1="A-330-200",'2023'!$N$4="CA",'2023'!$N$2=R43),'2023DATA2'!$C$9,"")</f>
        <v/>
      </c>
      <c r="S50" s="518" t="str">
        <f>IF(AND(_AC1="A-330-200",'2023'!$N$4="CA",'2023'!$N$2=S43),'2023DATA2'!$D$9,"")</f>
        <v/>
      </c>
      <c r="T50" s="518" t="str">
        <f>IF(AND(_AC1="A-330-200",'2023'!$N$4="CA",'2023'!$N$2=T43),'2023DATA2'!$E$9,"")</f>
        <v/>
      </c>
      <c r="U50" s="518" t="str">
        <f>IF(AND(_AC1="A-330-200",'2023'!$N$4="CA",'2023'!$N$2=U43),'2023DATA2'!$F$9,"")</f>
        <v/>
      </c>
      <c r="V50" s="518" t="str">
        <f>IF(AND(_AC1="A-330-200",'2023'!$N$4="CA",'2023'!$N$2=V43),'2023DATA2'!$G$9,"")</f>
        <v/>
      </c>
      <c r="W50" s="518" t="str">
        <f>IF(AND(_AC1="A-330-200",'2023'!$N$4="CA",'2023'!$N$2=W43),'2023DATA2'!$H$9,"")</f>
        <v/>
      </c>
      <c r="X50" s="518" t="str">
        <f>IF(AND(_AC1="A-330-200",'2023'!$N$4="CA",'2023'!$N$2=X43),'2023DATA2'!$I$9,"")</f>
        <v/>
      </c>
      <c r="Y50" s="518" t="str">
        <f>IF(AND(_AC1="A-330-200",'2023'!$N$4="CA",'2023'!$N$2=Y43),'2023DATA2'!$J$9,"")</f>
        <v/>
      </c>
      <c r="Z50" s="518" t="str">
        <f>IF(AND(_AC1="A-330-200",'2023'!$N$4="CA",'2023'!$N$2=Z43),'2023DATA2'!$K$9,"")</f>
        <v/>
      </c>
      <c r="AA50" s="518" t="str">
        <f>IF(AND(_AC1="A-330-200",'2023'!$N$4="CA",'2023'!$N$2=AA43),'2023DATA2'!$L$9,"")</f>
        <v/>
      </c>
      <c r="AB50" s="518" t="str">
        <f>IF(AND(_AC1="A-330-200",'2023'!$N$4="CA",'2023'!$N$2=AB43),'2023DATA2'!$M$9,"")</f>
        <v/>
      </c>
      <c r="AC50" s="520" t="str">
        <f>IF(AND(_AC1="A-330-200",'2023'!$N$4="CA",'2023'!$N$2=AC43),'2023DATA2'!$N$9,"")</f>
        <v/>
      </c>
      <c r="AD50" s="940" t="s">
        <v>66</v>
      </c>
      <c r="AE50" s="13" t="s">
        <v>61</v>
      </c>
      <c r="AF50" s="518" t="str">
        <f>IF(AND(_AC2="A-330-200",'2023'!$N$4="CA",'2023'!$N$2=AF43),'2023DATA2'!$C$9,"")</f>
        <v/>
      </c>
      <c r="AG50" s="518" t="str">
        <f>IF(AND(_AC2="A-330-200",'2023'!$N$4="CA",'2023'!$N$2=AG43),'2023DATA2'!$D$9,"")</f>
        <v/>
      </c>
      <c r="AH50" s="518" t="str">
        <f>IF(AND(_AC2="A-330-200",'2023'!$N$4="CA",'2023'!$N$2=AH43),'2023DATA2'!$E$9,"")</f>
        <v/>
      </c>
      <c r="AI50" s="518" t="str">
        <f>IF(AND(_AC2="A-330-200",'2023'!$N$4="CA",'2023'!$N$2=AI43),'2023DATA2'!$F$9,"")</f>
        <v/>
      </c>
      <c r="AJ50" s="518" t="str">
        <f>IF(AND(_AC2="A-330-200",'2023'!$N$4="CA",'2023'!$N$2=AJ43),'2023DATA2'!$G$9,"")</f>
        <v/>
      </c>
      <c r="AK50" s="518" t="str">
        <f>IF(AND(_AC2="A-330-200",'2023'!$N$4="CA",'2023'!$N$2=AK43),'2023DATA2'!$H$9,"")</f>
        <v/>
      </c>
      <c r="AL50" s="518" t="str">
        <f>IF(AND(_AC2="A-330-200",'2023'!$N$4="CA",'2023'!$N$2=AL43),'2023DATA2'!$I$9,"")</f>
        <v/>
      </c>
      <c r="AM50" s="518" t="str">
        <f>IF(AND(_AC2="A-330-200",'2023'!$N$4="CA",'2023'!$N$2=AM43),'2023DATA2'!$J$9,"")</f>
        <v/>
      </c>
      <c r="AN50" s="518" t="str">
        <f>IF(AND(_AC2="A-330-200",'2023'!$N$4="CA",'2023'!$N$2=AN43),'2023DATA2'!$K$9,"")</f>
        <v/>
      </c>
      <c r="AO50" s="518" t="str">
        <f>IF(AND(_AC2="A-330-200",'2023'!$N$4="CA",'2023'!$N$2=AO43),'2023DATA2'!$L$9,"")</f>
        <v/>
      </c>
      <c r="AP50" s="518" t="str">
        <f>IF(AND(_AC2="A-330-200",'2023'!$N$4="CA",'2023'!$N$2=AP43),'2023DATA2'!$M$9,"")</f>
        <v/>
      </c>
      <c r="AQ50" s="520" t="str">
        <f>IF(AND(_AC2="A-330-200",'2023'!$N$4="CA",'2023'!$N$2=AQ43),'2023DATA2'!$N$9,"")</f>
        <v/>
      </c>
      <c r="AR50" s="940" t="s">
        <v>66</v>
      </c>
      <c r="AS50" s="13" t="s">
        <v>61</v>
      </c>
      <c r="AT50" s="518" t="str">
        <f>IF(AND(_AC3="A-330-200",'2023'!$N$4="CA",'2023'!$N$2=AT43),'2023DATA2'!$C$9,"")</f>
        <v/>
      </c>
      <c r="AU50" s="518" t="str">
        <f>IF(AND(_AC3="A-330-200",'2023'!$N$4="CA",'2023'!$N$2=AU43),'2023DATA2'!$D$9,"")</f>
        <v/>
      </c>
      <c r="AV50" s="518" t="str">
        <f>IF(AND(_AC3="A-330-200",'2023'!$N$4="CA",'2023'!$N$2=AV43),'2023DATA2'!$E$9,"")</f>
        <v/>
      </c>
      <c r="AW50" s="518" t="str">
        <f>IF(AND(_AC3="A-330-200",'2023'!$N$4="CA",'2023'!$N$2=AW43),'2023DATA2'!$F$9,"")</f>
        <v/>
      </c>
      <c r="AX50" s="518" t="str">
        <f>IF(AND(_AC3="A-330-200",'2023'!$N$4="CA",'2023'!$N$2=AX43),'2023DATA2'!$G$9,"")</f>
        <v/>
      </c>
      <c r="AY50" s="518" t="str">
        <f>IF(AND(_AC3="A-330-200",'2023'!$N$4="CA",'2023'!$N$2=AY43),'2023DATA2'!$H$9,"")</f>
        <v/>
      </c>
      <c r="AZ50" s="518" t="str">
        <f>IF(AND(_AC3="A-330-200",'2023'!$N$4="CA",'2023'!$N$2=AZ43),'2023DATA2'!$I$9,"")</f>
        <v/>
      </c>
      <c r="BA50" s="518" t="str">
        <f>IF(AND(_AC3="A-330-200",'2023'!$N$4="CA",'2023'!$N$2=BA43),'2023DATA2'!$J$9,"")</f>
        <v/>
      </c>
      <c r="BB50" s="518" t="str">
        <f>IF(AND(_AC3="A-330-200",'2023'!$N$4="CA",'2023'!$N$2=BB43),'2023DATA2'!$K$9,"")</f>
        <v/>
      </c>
      <c r="BC50" s="518" t="str">
        <f>IF(AND(_AC3="A-330-200",'2023'!$N$4="CA",'2023'!$N$2=BC43),'2023DATA2'!$L$9,"")</f>
        <v/>
      </c>
      <c r="BD50" s="518" t="str">
        <f>IF(AND(_AC3="A-330-200",'2023'!$N$4="CA",'2023'!$N$2=BD43),'2023DATA2'!$M$9,"")</f>
        <v/>
      </c>
      <c r="BE50" s="520" t="str">
        <f>IF(AND(_AC3="A-330-200",'2023'!$N$4="CA",'2023'!$N$2=BE43),'2023DATA2'!$N$9,"")</f>
        <v/>
      </c>
      <c r="BF50" s="940" t="s">
        <v>66</v>
      </c>
      <c r="BG50" s="13" t="s">
        <v>61</v>
      </c>
      <c r="BH50" s="518" t="str">
        <f>IF(AND(_AC4="A-330-200",'2023'!$N$4="CA",'2023'!$N$2=BH43),'2023DATA2'!$C$9,"")</f>
        <v/>
      </c>
      <c r="BI50" s="518" t="str">
        <f>IF(AND(_AC4="A-330-200",'2023'!$N$4="CA",'2023'!$N$2=BI43),'2023DATA2'!$D$9,"")</f>
        <v/>
      </c>
      <c r="BJ50" s="518" t="str">
        <f>IF(AND(_AC4="A-330-200",'2023'!$N$4="CA",'2023'!$N$2=BJ43),'2023DATA2'!$E$9,"")</f>
        <v/>
      </c>
      <c r="BK50" s="518" t="str">
        <f>IF(AND(_AC4="A-330-200",'2023'!$N$4="CA",'2023'!$N$2=BK43),'2023DATA2'!$F$9,"")</f>
        <v/>
      </c>
      <c r="BL50" s="518" t="str">
        <f>IF(AND(_AC4="A-330-200",'2023'!$N$4="CA",'2023'!$N$2=BL43),'2023DATA2'!$G$9,"")</f>
        <v/>
      </c>
      <c r="BM50" s="518" t="str">
        <f>IF(AND(_AC4="A-330-200",'2023'!$N$4="CA",'2023'!$N$2=BM43),'2023DATA2'!$H$9,"")</f>
        <v/>
      </c>
      <c r="BN50" s="518" t="str">
        <f>IF(AND(_AC4="A-330-200",'2023'!$N$4="CA",'2023'!$N$2=BN43),'2023DATA2'!$I$9,"")</f>
        <v/>
      </c>
      <c r="BO50" s="518" t="str">
        <f>IF(AND(_AC4="A-330-200",'2023'!$N$4="CA",'2023'!$N$2=BO43),'2023DATA2'!$J$9,"")</f>
        <v/>
      </c>
      <c r="BP50" s="518" t="str">
        <f>IF(AND(_AC4="A-330-200",'2023'!$N$4="CA",'2023'!$N$2=BP43),'2023DATA2'!$K$9,"")</f>
        <v/>
      </c>
      <c r="BQ50" s="518" t="str">
        <f>IF(AND(_AC4="A-330-200",'2023'!$N$4="CA",'2023'!$N$2=BQ43),'2023DATA2'!$L$9,"")</f>
        <v/>
      </c>
      <c r="BR50" s="518" t="str">
        <f>IF(AND(_AC4="A-330-200",'2023'!$N$4="CA",'2023'!$N$2=BR43),'2023DATA2'!$M$9,"")</f>
        <v/>
      </c>
      <c r="BS50" s="520" t="str">
        <f>IF(AND(_AC4="A-330-200",'2023'!$N$4="CA",'2023'!$N$2=BS43),'2023DATA2'!$N$9,"")</f>
        <v/>
      </c>
      <c r="BT50" s="940" t="s">
        <v>66</v>
      </c>
      <c r="BU50" s="13" t="s">
        <v>61</v>
      </c>
      <c r="BV50" s="518" t="str">
        <f>IF(AND(_AC5="A-330-200",'2023'!$N$4="CA",'2023'!$N$2=BV43),'2023DATA2'!$C$9,"")</f>
        <v/>
      </c>
      <c r="BW50" s="518" t="str">
        <f>IF(AND(_AC5="A-330-200",'2023'!$N$4="CA",'2023'!$N$2=BW43),'2023DATA2'!$D$9,"")</f>
        <v/>
      </c>
      <c r="BX50" s="518" t="str">
        <f>IF(AND(_AC5="A-330-200",'2023'!$N$4="CA",'2023'!$N$2=BX43),'2023DATA2'!$E$9,"")</f>
        <v/>
      </c>
      <c r="BY50" s="518" t="str">
        <f>IF(AND(_AC5="A-330-200",'2023'!$N$4="CA",'2023'!$N$2=BY43),'2023DATA2'!$F$9,"")</f>
        <v/>
      </c>
      <c r="BZ50" s="518" t="str">
        <f>IF(AND(_AC5="A-330-200",'2023'!$N$4="CA",'2023'!$N$2=BZ43),'2023DATA2'!$G$9,"")</f>
        <v/>
      </c>
      <c r="CA50" s="518" t="str">
        <f>IF(AND(_AC5="A-330-200",'2023'!$N$4="CA",'2023'!$N$2=CA43),'2023DATA2'!$H$9,"")</f>
        <v/>
      </c>
      <c r="CB50" s="518" t="str">
        <f>IF(AND(_AC5="A-330-200",'2023'!$N$4="CA",'2023'!$N$2=CB43),'2023DATA2'!$I$9,"")</f>
        <v/>
      </c>
      <c r="CC50" s="518" t="str">
        <f>IF(AND(_AC5="A-330-200",'2023'!$N$4="CA",'2023'!$N$2=CC43),'2023DATA2'!$J$9,"")</f>
        <v/>
      </c>
      <c r="CD50" s="518" t="str">
        <f>IF(AND(_AC5="A-330-200",'2023'!$N$4="CA",'2023'!$N$2=CD43),'2023DATA2'!$K$9,"")</f>
        <v/>
      </c>
      <c r="CE50" s="518" t="str">
        <f>IF(AND(_AC5="A-330-200",'2023'!$N$4="CA",'2023'!$N$2=CE43),'2023DATA2'!$L$9,"")</f>
        <v/>
      </c>
      <c r="CF50" s="518" t="str">
        <f>IF(AND(_AC5="A-330-200",'2023'!$N$4="CA",'2023'!$N$2=CF43),'2023DATA2'!$M$9,"")</f>
        <v/>
      </c>
      <c r="CG50" s="520" t="str">
        <f>IF(AND(_AC5="A-330-200",'2023'!$N$4="CA",'2023'!$N$2=CG43),'2023DATA2'!$N$9,"")</f>
        <v/>
      </c>
      <c r="CH50" s="940" t="s">
        <v>66</v>
      </c>
      <c r="CI50" s="13" t="s">
        <v>61</v>
      </c>
      <c r="CJ50" s="518" t="str">
        <f>IF(AND(_AC6="A-330-200",'2023'!$N$4="CA",'2023'!$N$2=CJ43),'2023DATA2'!$C$9,"")</f>
        <v/>
      </c>
      <c r="CK50" s="518" t="str">
        <f>IF(AND(_AC6="A-330-200",'2023'!$N$4="CA",'2023'!$N$2=CK43),'2023DATA2'!$D$9,"")</f>
        <v/>
      </c>
      <c r="CL50" s="518" t="str">
        <f>IF(AND(_AC6="A-330-200",'2023'!$N$4="CA",'2023'!$N$2=CL43),'2023DATA2'!$E$9,"")</f>
        <v/>
      </c>
      <c r="CM50" s="518" t="str">
        <f>IF(AND(_AC6="A-330-200",'2023'!$N$4="CA",'2023'!$N$2=CM43),'2023DATA2'!$F$9,"")</f>
        <v/>
      </c>
      <c r="CN50" s="518" t="str">
        <f>IF(AND(_AC6="A-330-200",'2023'!$N$4="CA",'2023'!$N$2=CN43),'2023DATA2'!$G$9,"")</f>
        <v/>
      </c>
      <c r="CO50" s="518" t="str">
        <f>IF(AND(_AC6="A-330-200",'2023'!$N$4="CA",'2023'!$N$2=CO43),'2023DATA2'!$H$9,"")</f>
        <v/>
      </c>
      <c r="CP50" s="518" t="str">
        <f>IF(AND(_AC6="A-330-200",'2023'!$N$4="CA",'2023'!$N$2=CP43),'2023DATA2'!$I$9,"")</f>
        <v/>
      </c>
      <c r="CQ50" s="518" t="str">
        <f>IF(AND(_AC6="A-330-200",'2023'!$N$4="CA",'2023'!$N$2=CQ43),'2023DATA2'!$J$9,"")</f>
        <v/>
      </c>
      <c r="CR50" s="518" t="str">
        <f>IF(AND(_AC6="A-330-200",'2023'!$N$4="CA",'2023'!$N$2=CR43),'2023DATA2'!$K$9,"")</f>
        <v/>
      </c>
      <c r="CS50" s="518" t="str">
        <f>IF(AND(_AC6="A-330-200",'2023'!$N$4="CA",'2023'!$N$2=CS43),'2023DATA2'!$L$9,"")</f>
        <v/>
      </c>
      <c r="CT50" s="518" t="str">
        <f>IF(AND(_AC6="A-330-200",'2023'!$N$4="CA",'2023'!$N$2=CT43),'2023DATA2'!$M$9,"")</f>
        <v/>
      </c>
      <c r="CU50" s="520" t="str">
        <f>IF(AND(_AC6="A-330-200",'2023'!$N$4="CA",'2023'!$N$2=CU43),'2023DATA2'!$N$9,"")</f>
        <v/>
      </c>
    </row>
    <row r="51" spans="16:99" x14ac:dyDescent="0.25">
      <c r="P51" s="940"/>
      <c r="Q51" s="13" t="s">
        <v>62</v>
      </c>
      <c r="R51" s="518" t="str">
        <f>IF(AND(_AC1="A-330-200",'2023'!$N$4="FO",'2023'!$N$2=R43),'2023DATA2'!$C$10,"")</f>
        <v/>
      </c>
      <c r="S51" s="518" t="str">
        <f>IF(AND(_AC1="A-330-200",'2023'!$N$4="FO",'2023'!$N$2=S43),'2023DATA2'!$D$10,"")</f>
        <v/>
      </c>
      <c r="T51" s="518" t="str">
        <f>IF(AND(_AC1="A-330-200",'2023'!$N$4="FO",'2023'!$N$2=T43),'2023DATA2'!$E$10,"")</f>
        <v/>
      </c>
      <c r="U51" s="518" t="str">
        <f>IF(AND(_AC1="A-330-200",'2023'!$N$4="FO",'2023'!$N$2=U43),'2023DATA2'!$F$10,"")</f>
        <v/>
      </c>
      <c r="V51" s="518" t="str">
        <f>IF(AND(_AC1="A-330-200",'2023'!$N$4="FO",'2023'!$N$2=V43),'2023DATA2'!$G$10,"")</f>
        <v/>
      </c>
      <c r="W51" s="518" t="str">
        <f>IF(AND(_AC1="A-330-200",'2023'!$N$4="FO",'2023'!$N$2=W43),'2023DATA2'!$H$10,"")</f>
        <v/>
      </c>
      <c r="X51" s="518" t="str">
        <f>IF(AND(_AC1="A-330-200",'2023'!$N$4="FO",'2023'!$N$2=X43),'2023DATA2'!$I$10,"")</f>
        <v/>
      </c>
      <c r="Y51" s="518" t="str">
        <f>IF(AND(_AC1="A-330-200",'2023'!$N$4="FO",'2023'!$N$2=Y43),'2023DATA2'!$J$10,"")</f>
        <v/>
      </c>
      <c r="Z51" s="518" t="str">
        <f>IF(AND(_AC1="A-330-200",'2023'!$N$4="FO",'2023'!$N$2=Z43),'2023DATA2'!$K$10,"")</f>
        <v/>
      </c>
      <c r="AA51" s="518" t="str">
        <f>IF(AND(_AC1="A-330-200",'2023'!$N$4="FO",'2023'!$N$2=AA43),'2023DATA2'!$L$10,"")</f>
        <v/>
      </c>
      <c r="AB51" s="518" t="str">
        <f>IF(AND(_AC1="A-330-200",'2023'!$N$4="FO",'2023'!$N$2=AB43),'2023DATA2'!$M$10,"")</f>
        <v/>
      </c>
      <c r="AC51" s="520" t="str">
        <f>IF(AND(_AC1="A-330-200",'2023'!$N$4="FO",'2023'!$N$2=AC43),'2023DATA2'!$N$10,"")</f>
        <v/>
      </c>
      <c r="AD51" s="940"/>
      <c r="AE51" s="13" t="s">
        <v>62</v>
      </c>
      <c r="AF51" s="518" t="str">
        <f>IF(AND(_AC2="A-330-200",'2023'!$N$4="FO",'2023'!$N$2=AF43),'2023DATA2'!$C$10,"")</f>
        <v/>
      </c>
      <c r="AG51" s="518" t="str">
        <f>IF(AND(_AC2="A-330-200",'2023'!$N$4="FO",'2023'!$N$2=AG43),'2023DATA2'!$D$10,"")</f>
        <v/>
      </c>
      <c r="AH51" s="518" t="str">
        <f>IF(AND(_AC2="A-330-200",'2023'!$N$4="FO",'2023'!$N$2=AH43),'2023DATA2'!$E$10,"")</f>
        <v/>
      </c>
      <c r="AI51" s="518" t="str">
        <f>IF(AND(_AC2="A-330-200",'2023'!$N$4="FO",'2023'!$N$2=AI43),'2023DATA2'!$F$10,"")</f>
        <v/>
      </c>
      <c r="AJ51" s="518" t="str">
        <f>IF(AND(_AC2="A-330-200",'2023'!$N$4="FO",'2023'!$N$2=AJ43),'2023DATA2'!$G$10,"")</f>
        <v/>
      </c>
      <c r="AK51" s="518" t="str">
        <f>IF(AND(_AC2="A-330-200",'2023'!$N$4="FO",'2023'!$N$2=AK43),'2023DATA2'!$H$10,"")</f>
        <v/>
      </c>
      <c r="AL51" s="518" t="str">
        <f>IF(AND(_AC2="A-330-200",'2023'!$N$4="FO",'2023'!$N$2=AL43),'2023DATA2'!$I$10,"")</f>
        <v/>
      </c>
      <c r="AM51" s="518" t="str">
        <f>IF(AND(_AC2="A-330-200",'2023'!$N$4="FO",'2023'!$N$2=AM43),'2023DATA2'!$J$10,"")</f>
        <v/>
      </c>
      <c r="AN51" s="518" t="str">
        <f>IF(AND(_AC2="A-330-200",'2023'!$N$4="FO",'2023'!$N$2=AN43),'2023DATA2'!$K$10,"")</f>
        <v/>
      </c>
      <c r="AO51" s="518" t="str">
        <f>IF(AND(_AC2="A-330-200",'2023'!$N$4="FO",'2023'!$N$2=AO43),'2023DATA2'!$L$10,"")</f>
        <v/>
      </c>
      <c r="AP51" s="518" t="str">
        <f>IF(AND(_AC2="A-330-200",'2023'!$N$4="FO",'2023'!$N$2=AP43),'2023DATA2'!$M$10,"")</f>
        <v/>
      </c>
      <c r="AQ51" s="520" t="str">
        <f>IF(AND(_AC2="A-330-200",'2023'!$N$4="FO",'2023'!$N$2=AQ43),'2023DATA2'!$N$10,"")</f>
        <v/>
      </c>
      <c r="AR51" s="940"/>
      <c r="AS51" s="13" t="s">
        <v>62</v>
      </c>
      <c r="AT51" s="518" t="str">
        <f>IF(AND(_AC3="A-330-200",'2023'!$N$4="FO",'2023'!$N$2=AT43),'2023DATA2'!$C$10,"")</f>
        <v/>
      </c>
      <c r="AU51" s="518" t="str">
        <f>IF(AND(_AC3="A-330-200",'2023'!$N$4="FO",'2023'!$N$2=AU43),'2023DATA2'!$D$10,"")</f>
        <v/>
      </c>
      <c r="AV51" s="518" t="str">
        <f>IF(AND(_AC3="A-330-200",'2023'!$N$4="FO",'2023'!$N$2=AV43),'2023DATA2'!$E$10,"")</f>
        <v/>
      </c>
      <c r="AW51" s="518" t="str">
        <f>IF(AND(_AC3="A-330-200",'2023'!$N$4="FO",'2023'!$N$2=AW43),'2023DATA2'!$F$10,"")</f>
        <v/>
      </c>
      <c r="AX51" s="518" t="str">
        <f>IF(AND(_AC3="A-330-200",'2023'!$N$4="FO",'2023'!$N$2=AX43),'2023DATA2'!$G$10,"")</f>
        <v/>
      </c>
      <c r="AY51" s="518" t="str">
        <f>IF(AND(_AC3="A-330-200",'2023'!$N$4="FO",'2023'!$N$2=AY43),'2023DATA2'!$H$10,"")</f>
        <v/>
      </c>
      <c r="AZ51" s="518" t="str">
        <f>IF(AND(_AC3="A-330-200",'2023'!$N$4="FO",'2023'!$N$2=AZ43),'2023DATA2'!$I$10,"")</f>
        <v/>
      </c>
      <c r="BA51" s="518" t="str">
        <f>IF(AND(_AC3="A-330-200",'2023'!$N$4="FO",'2023'!$N$2=BA43),'2023DATA2'!$J$10,"")</f>
        <v/>
      </c>
      <c r="BB51" s="518" t="str">
        <f>IF(AND(_AC3="A-330-200",'2023'!$N$4="FO",'2023'!$N$2=BB43),'2023DATA2'!$K$10,"")</f>
        <v/>
      </c>
      <c r="BC51" s="518" t="str">
        <f>IF(AND(_AC3="A-330-200",'2023'!$N$4="FO",'2023'!$N$2=BC43),'2023DATA2'!$L$10,"")</f>
        <v/>
      </c>
      <c r="BD51" s="518" t="str">
        <f>IF(AND(_AC3="A-330-200",'2023'!$N$4="FO",'2023'!$N$2=BD43),'2023DATA2'!$M$10,"")</f>
        <v/>
      </c>
      <c r="BE51" s="520" t="str">
        <f>IF(AND(_AC3="A-330-200",'2023'!$N$4="FO",'2023'!$N$2=BE43),'2023DATA2'!$N$10,"")</f>
        <v/>
      </c>
      <c r="BF51" s="940"/>
      <c r="BG51" s="13" t="s">
        <v>62</v>
      </c>
      <c r="BH51" s="518" t="str">
        <f>IF(AND(_AC4="A-330-200",'2023'!$N$4="FO",'2023'!$N$2=BH43),'2023DATA2'!$C$10,"")</f>
        <v/>
      </c>
      <c r="BI51" s="518" t="str">
        <f>IF(AND(_AC4="A-330-200",'2023'!$N$4="FO",'2023'!$N$2=BI43),'2023DATA2'!$D$10,"")</f>
        <v/>
      </c>
      <c r="BJ51" s="518" t="str">
        <f>IF(AND(_AC4="A-330-200",'2023'!$N$4="FO",'2023'!$N$2=BJ43),'2023DATA2'!$E$10,"")</f>
        <v/>
      </c>
      <c r="BK51" s="518" t="str">
        <f>IF(AND(_AC4="A-330-200",'2023'!$N$4="FO",'2023'!$N$2=BK43),'2023DATA2'!$F$10,"")</f>
        <v/>
      </c>
      <c r="BL51" s="518" t="str">
        <f>IF(AND(_AC4="A-330-200",'2023'!$N$4="FO",'2023'!$N$2=BL43),'2023DATA2'!$G$10,"")</f>
        <v/>
      </c>
      <c r="BM51" s="518" t="str">
        <f>IF(AND(_AC4="A-330-200",'2023'!$N$4="FO",'2023'!$N$2=BM43),'2023DATA2'!$H$10,"")</f>
        <v/>
      </c>
      <c r="BN51" s="518" t="str">
        <f>IF(AND(_AC4="A-330-200",'2023'!$N$4="FO",'2023'!$N$2=BN43),'2023DATA2'!$I$10,"")</f>
        <v/>
      </c>
      <c r="BO51" s="518" t="str">
        <f>IF(AND(_AC4="A-330-200",'2023'!$N$4="FO",'2023'!$N$2=BO43),'2023DATA2'!$J$10,"")</f>
        <v/>
      </c>
      <c r="BP51" s="518" t="str">
        <f>IF(AND(_AC4="A-330-200",'2023'!$N$4="FO",'2023'!$N$2=BP43),'2023DATA2'!$K$10,"")</f>
        <v/>
      </c>
      <c r="BQ51" s="518" t="str">
        <f>IF(AND(_AC4="A-330-200",'2023'!$N$4="FO",'2023'!$N$2=BQ43),'2023DATA2'!$L$10,"")</f>
        <v/>
      </c>
      <c r="BR51" s="518" t="str">
        <f>IF(AND(_AC4="A-330-200",'2023'!$N$4="FO",'2023'!$N$2=BR43),'2023DATA2'!$M$10,"")</f>
        <v/>
      </c>
      <c r="BS51" s="520" t="str">
        <f>IF(AND(_AC4="A-330-200",'2023'!$N$4="FO",'2023'!$N$2=BS43),'2023DATA2'!$N$10,"")</f>
        <v/>
      </c>
      <c r="BT51" s="940"/>
      <c r="BU51" s="13" t="s">
        <v>62</v>
      </c>
      <c r="BV51" s="518" t="str">
        <f>IF(AND(_AC5="A-330-200",'2023'!$N$4="FO",'2023'!$N$2=BV43),'2023DATA2'!$C$10,"")</f>
        <v/>
      </c>
      <c r="BW51" s="518" t="str">
        <f>IF(AND(_AC5="A-330-200",'2023'!$N$4="FO",'2023'!$N$2=BW43),'2023DATA2'!$D$10,"")</f>
        <v/>
      </c>
      <c r="BX51" s="518" t="str">
        <f>IF(AND(_AC5="A-330-200",'2023'!$N$4="FO",'2023'!$N$2=BX43),'2023DATA2'!$E$10,"")</f>
        <v/>
      </c>
      <c r="BY51" s="518" t="str">
        <f>IF(AND(_AC5="A-330-200",'2023'!$N$4="FO",'2023'!$N$2=BY43),'2023DATA2'!$F$10,"")</f>
        <v/>
      </c>
      <c r="BZ51" s="518" t="str">
        <f>IF(AND(_AC5="A-330-200",'2023'!$N$4="FO",'2023'!$N$2=BZ43),'2023DATA2'!$G$10,"")</f>
        <v/>
      </c>
      <c r="CA51" s="518" t="str">
        <f>IF(AND(_AC5="A-330-200",'2023'!$N$4="FO",'2023'!$N$2=CA43),'2023DATA2'!$H$10,"")</f>
        <v/>
      </c>
      <c r="CB51" s="518" t="str">
        <f>IF(AND(_AC5="A-330-200",'2023'!$N$4="FO",'2023'!$N$2=CB43),'2023DATA2'!$I$10,"")</f>
        <v/>
      </c>
      <c r="CC51" s="518" t="str">
        <f>IF(AND(_AC5="A-330-200",'2023'!$N$4="FO",'2023'!$N$2=CC43),'2023DATA2'!$J$10,"")</f>
        <v/>
      </c>
      <c r="CD51" s="518" t="str">
        <f>IF(AND(_AC5="A-330-200",'2023'!$N$4="FO",'2023'!$N$2=CD43),'2023DATA2'!$K$10,"")</f>
        <v/>
      </c>
      <c r="CE51" s="518" t="str">
        <f>IF(AND(_AC5="A-330-200",'2023'!$N$4="FO",'2023'!$N$2=CE43),'2023DATA2'!$L$10,"")</f>
        <v/>
      </c>
      <c r="CF51" s="518" t="str">
        <f>IF(AND(_AC5="A-330-200",'2023'!$N$4="FO",'2023'!$N$2=CF43),'2023DATA2'!$M$10,"")</f>
        <v/>
      </c>
      <c r="CG51" s="520" t="str">
        <f>IF(AND(_AC5="A-330-200",'2023'!$N$4="FO",'2023'!$N$2=CG43),'2023DATA2'!$N$10,"")</f>
        <v/>
      </c>
      <c r="CH51" s="940"/>
      <c r="CI51" s="13" t="s">
        <v>62</v>
      </c>
      <c r="CJ51" s="518" t="str">
        <f>IF(AND(_AC6="A-330-200",'2023'!$N$4="FO",'2023'!$N$2=CJ43),'2023DATA2'!$C$10,"")</f>
        <v/>
      </c>
      <c r="CK51" s="518" t="str">
        <f>IF(AND(_AC6="A-330-200",'2023'!$N$4="FO",'2023'!$N$2=CK43),'2023DATA2'!$D$10,"")</f>
        <v/>
      </c>
      <c r="CL51" s="518" t="str">
        <f>IF(AND(_AC6="A-330-200",'2023'!$N$4="FO",'2023'!$N$2=CL43),'2023DATA2'!$E$10,"")</f>
        <v/>
      </c>
      <c r="CM51" s="518" t="str">
        <f>IF(AND(_AC6="A-330-200",'2023'!$N$4="FO",'2023'!$N$2=CM43),'2023DATA2'!$F$10,"")</f>
        <v/>
      </c>
      <c r="CN51" s="518" t="str">
        <f>IF(AND(_AC6="A-330-200",'2023'!$N$4="FO",'2023'!$N$2=CN43),'2023DATA2'!$G$10,"")</f>
        <v/>
      </c>
      <c r="CO51" s="518" t="str">
        <f>IF(AND(_AC6="A-330-200",'2023'!$N$4="FO",'2023'!$N$2=CO43),'2023DATA2'!$H$10,"")</f>
        <v/>
      </c>
      <c r="CP51" s="518" t="str">
        <f>IF(AND(_AC6="A-330-200",'2023'!$N$4="FO",'2023'!$N$2=CP43),'2023DATA2'!$I$10,"")</f>
        <v/>
      </c>
      <c r="CQ51" s="518" t="str">
        <f>IF(AND(_AC6="A-330-200",'2023'!$N$4="FO",'2023'!$N$2=CQ43),'2023DATA2'!$J$10,"")</f>
        <v/>
      </c>
      <c r="CR51" s="518" t="str">
        <f>IF(AND(_AC6="A-330-200",'2023'!$N$4="FO",'2023'!$N$2=CR43),'2023DATA2'!$K$10,"")</f>
        <v/>
      </c>
      <c r="CS51" s="518" t="str">
        <f>IF(AND(_AC6="A-330-200",'2023'!$N$4="FO",'2023'!$N$2=CS43),'2023DATA2'!$L$10,"")</f>
        <v/>
      </c>
      <c r="CT51" s="518" t="str">
        <f>IF(AND(_AC6="A-330-200",'2023'!$N$4="FO",'2023'!$N$2=CT43),'2023DATA2'!$M$10,"")</f>
        <v/>
      </c>
      <c r="CU51" s="520" t="str">
        <f>IF(AND(_AC6="A-330-200",'2023'!$N$4="FO",'2023'!$N$2=CU43),'2023DATA2'!$N$10,"")</f>
        <v/>
      </c>
    </row>
    <row r="52" spans="16:99" x14ac:dyDescent="0.25">
      <c r="P52" s="940" t="s">
        <v>42</v>
      </c>
      <c r="Q52" s="13" t="s">
        <v>61</v>
      </c>
      <c r="R52" s="518" t="str">
        <f>IF(AND(_AC1="B-767-400ER",'2023'!$N$4="CA",'2023'!$N$2=R43),'2023DATA2'!$C$11,"")</f>
        <v/>
      </c>
      <c r="S52" s="518" t="str">
        <f>IF(AND(_AC1="B-767-400ER",'2023'!$N$4="CA",'2023'!$N$2=S43),'2023DATA2'!$D$11,"")</f>
        <v/>
      </c>
      <c r="T52" s="518" t="str">
        <f>IF(AND(_AC1="B-767-400ER",'2023'!$N$4="CA",'2023'!$N$2=T43),'2023DATA2'!$E$11,"")</f>
        <v/>
      </c>
      <c r="U52" s="518" t="str">
        <f>IF(AND(_AC1="B-767-400ER",'2023'!$N$4="CA",'2023'!$N$2=U43),'2023DATA2'!$F$11,"")</f>
        <v/>
      </c>
      <c r="V52" s="518" t="str">
        <f>IF(AND(_AC1="B-767-400ER",'2023'!$N$4="CA",'2023'!$N$2=V43),'2023DATA2'!$G$11,"")</f>
        <v/>
      </c>
      <c r="W52" s="518" t="str">
        <f>IF(AND(_AC1="B-767-400ER",'2023'!$N$4="CA",'2023'!$N$2=W43),'2023DATA2'!$H$11,"")</f>
        <v/>
      </c>
      <c r="X52" s="518" t="str">
        <f>IF(AND(_AC1="B-767-400ER",'2023'!$N$4="CA",'2023'!$N$2=X43),'2023DATA2'!$I$11,"")</f>
        <v/>
      </c>
      <c r="Y52" s="518" t="str">
        <f>IF(AND(_AC1="B-767-400ER",'2023'!$N$4="CA",'2023'!$N$2=Y43),'2023DATA2'!$J$11,"")</f>
        <v/>
      </c>
      <c r="Z52" s="518" t="str">
        <f>IF(AND(_AC1="B-767-400ER",'2023'!$N$4="CA",'2023'!$N$2=Z43),'2023DATA2'!$K$11,"")</f>
        <v/>
      </c>
      <c r="AA52" s="518" t="str">
        <f>IF(AND(_AC1="B-767-400ER",'2023'!$N$4="CA",'2023'!$N$2=AA43),'2023DATA2'!$L$11,"")</f>
        <v/>
      </c>
      <c r="AB52" s="518" t="str">
        <f>IF(AND(_AC1="B-767-400ER",'2023'!$N$4="CA",'2023'!$N$2=AB43),'2023DATA2'!$M$11,"")</f>
        <v/>
      </c>
      <c r="AC52" s="520" t="str">
        <f>IF(AND(_AC1="B-767-400ER",'2023'!$N$4="CA",'2023'!$N$2=AC43),'2023DATA2'!$N$11,"")</f>
        <v/>
      </c>
      <c r="AD52" s="940" t="s">
        <v>42</v>
      </c>
      <c r="AE52" s="13" t="s">
        <v>61</v>
      </c>
      <c r="AF52" s="518" t="str">
        <f>IF(AND(_AC2="B-767-400ER",'2023'!$N$4="CA",'2023'!$N$2=AF43),'2023DATA2'!$C$11,"")</f>
        <v/>
      </c>
      <c r="AG52" s="518" t="str">
        <f>IF(AND(_AC2="B-767-400ER",'2023'!$N$4="CA",'2023'!$N$2=AG43),'2023DATA2'!$D$11,"")</f>
        <v/>
      </c>
      <c r="AH52" s="518" t="str">
        <f>IF(AND(_AC2="B-767-400ER",'2023'!$N$4="CA",'2023'!$N$2=AH43),'2023DATA2'!$E$11,"")</f>
        <v/>
      </c>
      <c r="AI52" s="518" t="str">
        <f>IF(AND(_AC2="B-767-400ER",'2023'!$N$4="CA",'2023'!$N$2=AI43),'2023DATA2'!$F$11,"")</f>
        <v/>
      </c>
      <c r="AJ52" s="518" t="str">
        <f>IF(AND(_AC2="B-767-400ER",'2023'!$N$4="CA",'2023'!$N$2=AJ43),'2023DATA2'!$G$11,"")</f>
        <v/>
      </c>
      <c r="AK52" s="518" t="str">
        <f>IF(AND(_AC2="B-767-400ER",'2023'!$N$4="CA",'2023'!$N$2=AK43),'2023DATA2'!$H$11,"")</f>
        <v/>
      </c>
      <c r="AL52" s="518" t="str">
        <f>IF(AND(_AC2="B-767-400ER",'2023'!$N$4="CA",'2023'!$N$2=AL43),'2023DATA2'!$I$11,"")</f>
        <v/>
      </c>
      <c r="AM52" s="518" t="str">
        <f>IF(AND(_AC2="B-767-400ER",'2023'!$N$4="CA",'2023'!$N$2=AM43),'2023DATA2'!$J$11,"")</f>
        <v/>
      </c>
      <c r="AN52" s="518" t="str">
        <f>IF(AND(_AC2="B-767-400ER",'2023'!$N$4="CA",'2023'!$N$2=AN43),'2023DATA2'!$K$11,"")</f>
        <v/>
      </c>
      <c r="AO52" s="518" t="str">
        <f>IF(AND(_AC2="B-767-400ER",'2023'!$N$4="CA",'2023'!$N$2=AO43),'2023DATA2'!$L$11,"")</f>
        <v/>
      </c>
      <c r="AP52" s="518" t="str">
        <f>IF(AND(_AC2="B-767-400ER",'2023'!$N$4="CA",'2023'!$N$2=AP43),'2023DATA2'!$M$11,"")</f>
        <v/>
      </c>
      <c r="AQ52" s="520" t="str">
        <f>IF(AND(_AC2="B-767-400ER",'2023'!$N$4="CA",'2023'!$N$2=AQ43),'2023DATA2'!$N$11,"")</f>
        <v/>
      </c>
      <c r="AR52" s="940" t="s">
        <v>42</v>
      </c>
      <c r="AS52" s="13" t="s">
        <v>61</v>
      </c>
      <c r="AT52" s="518" t="str">
        <f>IF(AND(_AC3="B-767-400ER",'2023'!$N$4="CA",'2023'!$N$2=AT43),'2023DATA2'!$C$11,"")</f>
        <v/>
      </c>
      <c r="AU52" s="518" t="str">
        <f>IF(AND(_AC3="B-767-400ER",'2023'!$N$4="CA",'2023'!$N$2=AU43),'2023DATA2'!$D$11,"")</f>
        <v/>
      </c>
      <c r="AV52" s="518" t="str">
        <f>IF(AND(_AC3="B-767-400ER",'2023'!$N$4="CA",'2023'!$N$2=AV43),'2023DATA2'!$E$11,"")</f>
        <v/>
      </c>
      <c r="AW52" s="518" t="str">
        <f>IF(AND(_AC3="B-767-400ER",'2023'!$N$4="CA",'2023'!$N$2=AW43),'2023DATA2'!$F$11,"")</f>
        <v/>
      </c>
      <c r="AX52" s="518" t="str">
        <f>IF(AND(_AC3="B-767-400ER",'2023'!$N$4="CA",'2023'!$N$2=AX43),'2023DATA2'!$G$11,"")</f>
        <v/>
      </c>
      <c r="AY52" s="518" t="str">
        <f>IF(AND(_AC3="B-767-400ER",'2023'!$N$4="CA",'2023'!$N$2=AY43),'2023DATA2'!$H$11,"")</f>
        <v/>
      </c>
      <c r="AZ52" s="518" t="str">
        <f>IF(AND(_AC3="B-767-400ER",'2023'!$N$4="CA",'2023'!$N$2=AZ43),'2023DATA2'!$I$11,"")</f>
        <v/>
      </c>
      <c r="BA52" s="518" t="str">
        <f>IF(AND(_AC3="B-767-400ER",'2023'!$N$4="CA",'2023'!$N$2=BA43),'2023DATA2'!$J$11,"")</f>
        <v/>
      </c>
      <c r="BB52" s="518" t="str">
        <f>IF(AND(_AC3="B-767-400ER",'2023'!$N$4="CA",'2023'!$N$2=BB43),'2023DATA2'!$K$11,"")</f>
        <v/>
      </c>
      <c r="BC52" s="518" t="str">
        <f>IF(AND(_AC3="B-767-400ER",'2023'!$N$4="CA",'2023'!$N$2=BC43),'2023DATA2'!$L$11,"")</f>
        <v/>
      </c>
      <c r="BD52" s="518" t="str">
        <f>IF(AND(_AC3="B-767-400ER",'2023'!$N$4="CA",'2023'!$N$2=BD43),'2023DATA2'!$M$11,"")</f>
        <v/>
      </c>
      <c r="BE52" s="520" t="str">
        <f>IF(AND(_AC3="B-767-400ER",'2023'!$N$4="CA",'2023'!$N$2=BE43),'2023DATA2'!$N$11,"")</f>
        <v/>
      </c>
      <c r="BF52" s="940" t="s">
        <v>42</v>
      </c>
      <c r="BG52" s="13" t="s">
        <v>61</v>
      </c>
      <c r="BH52" s="518" t="str">
        <f>IF(AND(_AC4="B-767-400ER",'2023'!$N$4="CA",'2023'!$N$2=BH43),'2023DATA2'!$C$11,"")</f>
        <v/>
      </c>
      <c r="BI52" s="518" t="str">
        <f>IF(AND(_AC4="B-767-400ER",'2023'!$N$4="CA",'2023'!$N$2=BI43),'2023DATA2'!$D$11,"")</f>
        <v/>
      </c>
      <c r="BJ52" s="518" t="str">
        <f>IF(AND(_AC4="B-767-400ER",'2023'!$N$4="CA",'2023'!$N$2=BJ43),'2023DATA2'!$E$11,"")</f>
        <v/>
      </c>
      <c r="BK52" s="518" t="str">
        <f>IF(AND(_AC4="B-767-400ER",'2023'!$N$4="CA",'2023'!$N$2=BK43),'2023DATA2'!$F$11,"")</f>
        <v/>
      </c>
      <c r="BL52" s="518" t="str">
        <f>IF(AND(_AC4="B-767-400ER",'2023'!$N$4="CA",'2023'!$N$2=BL43),'2023DATA2'!$G$11,"")</f>
        <v/>
      </c>
      <c r="BM52" s="518" t="str">
        <f>IF(AND(_AC4="B-767-400ER",'2023'!$N$4="CA",'2023'!$N$2=BM43),'2023DATA2'!$H$11,"")</f>
        <v/>
      </c>
      <c r="BN52" s="518" t="str">
        <f>IF(AND(_AC4="B-767-400ER",'2023'!$N$4="CA",'2023'!$N$2=BN43),'2023DATA2'!$I$11,"")</f>
        <v/>
      </c>
      <c r="BO52" s="518" t="str">
        <f>IF(AND(_AC4="B-767-400ER",'2023'!$N$4="CA",'2023'!$N$2=BO43),'2023DATA2'!$J$11,"")</f>
        <v/>
      </c>
      <c r="BP52" s="518" t="str">
        <f>IF(AND(_AC4="B-767-400ER",'2023'!$N$4="CA",'2023'!$N$2=BP43),'2023DATA2'!$K$11,"")</f>
        <v/>
      </c>
      <c r="BQ52" s="518" t="str">
        <f>IF(AND(_AC4="B-767-400ER",'2023'!$N$4="CA",'2023'!$N$2=BQ43),'2023DATA2'!$L$11,"")</f>
        <v/>
      </c>
      <c r="BR52" s="518" t="str">
        <f>IF(AND(_AC4="B-767-400ER",'2023'!$N$4="CA",'2023'!$N$2=BR43),'2023DATA2'!$M$11,"")</f>
        <v/>
      </c>
      <c r="BS52" s="520" t="str">
        <f>IF(AND(_AC4="B-767-400ER",'2023'!$N$4="CA",'2023'!$N$2=BS43),'2023DATA2'!$N$11,"")</f>
        <v/>
      </c>
      <c r="BT52" s="940" t="s">
        <v>42</v>
      </c>
      <c r="BU52" s="13" t="s">
        <v>61</v>
      </c>
      <c r="BV52" s="518" t="str">
        <f>IF(AND(_AC5="B-767-400ER",'2023'!$N$4="CA",'2023'!$N$2=BV43),'2023DATA2'!$C$11,"")</f>
        <v/>
      </c>
      <c r="BW52" s="518" t="str">
        <f>IF(AND(_AC5="B-767-400ER",'2023'!$N$4="CA",'2023'!$N$2=BW43),'2023DATA2'!$D$11,"")</f>
        <v/>
      </c>
      <c r="BX52" s="518" t="str">
        <f>IF(AND(_AC5="B-767-400ER",'2023'!$N$4="CA",'2023'!$N$2=BX43),'2023DATA2'!$E$11,"")</f>
        <v/>
      </c>
      <c r="BY52" s="518" t="str">
        <f>IF(AND(_AC5="B-767-400ER",'2023'!$N$4="CA",'2023'!$N$2=BY43),'2023DATA2'!$F$11,"")</f>
        <v/>
      </c>
      <c r="BZ52" s="518" t="str">
        <f>IF(AND(_AC5="B-767-400ER",'2023'!$N$4="CA",'2023'!$N$2=BZ43),'2023DATA2'!$G$11,"")</f>
        <v/>
      </c>
      <c r="CA52" s="518" t="str">
        <f>IF(AND(_AC5="B-767-400ER",'2023'!$N$4="CA",'2023'!$N$2=CA43),'2023DATA2'!$H$11,"")</f>
        <v/>
      </c>
      <c r="CB52" s="518" t="str">
        <f>IF(AND(_AC5="B-767-400ER",'2023'!$N$4="CA",'2023'!$N$2=CB43),'2023DATA2'!$I$11,"")</f>
        <v/>
      </c>
      <c r="CC52" s="518" t="str">
        <f>IF(AND(_AC5="B-767-400ER",'2023'!$N$4="CA",'2023'!$N$2=CC43),'2023DATA2'!$J$11,"")</f>
        <v/>
      </c>
      <c r="CD52" s="518" t="str">
        <f>IF(AND(_AC5="B-767-400ER",'2023'!$N$4="CA",'2023'!$N$2=CD43),'2023DATA2'!$K$11,"")</f>
        <v/>
      </c>
      <c r="CE52" s="518" t="str">
        <f>IF(AND(_AC5="B-767-400ER",'2023'!$N$4="CA",'2023'!$N$2=CE43),'2023DATA2'!$L$11,"")</f>
        <v/>
      </c>
      <c r="CF52" s="518" t="str">
        <f>IF(AND(_AC5="B-767-400ER",'2023'!$N$4="CA",'2023'!$N$2=CF43),'2023DATA2'!$M$11,"")</f>
        <v/>
      </c>
      <c r="CG52" s="520" t="str">
        <f>IF(AND(_AC5="B-767-400ER",'2023'!$N$4="CA",'2023'!$N$2=CG43),'2023DATA2'!$N$11,"")</f>
        <v/>
      </c>
      <c r="CH52" s="940" t="s">
        <v>42</v>
      </c>
      <c r="CI52" s="13" t="s">
        <v>61</v>
      </c>
      <c r="CJ52" s="518" t="str">
        <f>IF(AND(_AC6="B-767-400ER",'2023'!$N$4="CA",'2023'!$N$2=CJ43),'2023DATA2'!$C$11,"")</f>
        <v/>
      </c>
      <c r="CK52" s="518" t="str">
        <f>IF(AND(_AC6="B-767-400ER",'2023'!$N$4="CA",'2023'!$N$2=CK43),'2023DATA2'!$D$11,"")</f>
        <v/>
      </c>
      <c r="CL52" s="518" t="str">
        <f>IF(AND(_AC6="B-767-400ER",'2023'!$N$4="CA",'2023'!$N$2=CL43),'2023DATA2'!$E$11,"")</f>
        <v/>
      </c>
      <c r="CM52" s="518" t="str">
        <f>IF(AND(_AC6="B-767-400ER",'2023'!$N$4="CA",'2023'!$N$2=CM43),'2023DATA2'!$F$11,"")</f>
        <v/>
      </c>
      <c r="CN52" s="518" t="str">
        <f>IF(AND(_AC6="B-767-400ER",'2023'!$N$4="CA",'2023'!$N$2=CN43),'2023DATA2'!$G$11,"")</f>
        <v/>
      </c>
      <c r="CO52" s="518" t="str">
        <f>IF(AND(_AC6="B-767-400ER",'2023'!$N$4="CA",'2023'!$N$2=CO43),'2023DATA2'!$H$11,"")</f>
        <v/>
      </c>
      <c r="CP52" s="518" t="str">
        <f>IF(AND(_AC6="B-767-400ER",'2023'!$N$4="CA",'2023'!$N$2=CP43),'2023DATA2'!$I$11,"")</f>
        <v/>
      </c>
      <c r="CQ52" s="518" t="str">
        <f>IF(AND(_AC6="B-767-400ER",'2023'!$N$4="CA",'2023'!$N$2=CQ43),'2023DATA2'!$J$11,"")</f>
        <v/>
      </c>
      <c r="CR52" s="518" t="str">
        <f>IF(AND(_AC6="B-767-400ER",'2023'!$N$4="CA",'2023'!$N$2=CR43),'2023DATA2'!$K$11,"")</f>
        <v/>
      </c>
      <c r="CS52" s="518" t="str">
        <f>IF(AND(_AC6="B-767-400ER",'2023'!$N$4="CA",'2023'!$N$2=CS43),'2023DATA2'!$L$11,"")</f>
        <v/>
      </c>
      <c r="CT52" s="518" t="str">
        <f>IF(AND(_AC6="B-767-400ER",'2023'!$N$4="CA",'2023'!$N$2=CT43),'2023DATA2'!$M$11,"")</f>
        <v/>
      </c>
      <c r="CU52" s="520" t="str">
        <f>IF(AND(_AC6="B-767-400ER",'2023'!$N$4="CA",'2023'!$N$2=CU43),'2023DATA2'!$N$11,"")</f>
        <v/>
      </c>
    </row>
    <row r="53" spans="16:99" x14ac:dyDescent="0.25">
      <c r="P53" s="940"/>
      <c r="Q53" s="13" t="s">
        <v>62</v>
      </c>
      <c r="R53" s="518" t="str">
        <f>IF(AND(_AC1="B-767-400ER",'2023'!$N$4="FO",'2023'!$N$2=R43),'2023DATA2'!$C$12,"")</f>
        <v/>
      </c>
      <c r="S53" s="518" t="str">
        <f>IF(AND(_AC1="B-767-400ER",'2023'!$N$4="FO",'2023'!$N$2=S43),'2023DATA2'!$D$12,"")</f>
        <v/>
      </c>
      <c r="T53" s="518" t="str">
        <f>IF(AND(_AC1="B-767-400ER",'2023'!$N$4="FO",'2023'!$N$2=T43),'2023DATA2'!$E$12,"")</f>
        <v/>
      </c>
      <c r="U53" s="518" t="str">
        <f>IF(AND(_AC1="B-767-400ER",'2023'!$N$4="FO",'2023'!$N$2=U43),'2023DATA2'!$F$12,"")</f>
        <v/>
      </c>
      <c r="V53" s="518" t="str">
        <f>IF(AND(_AC1="B-767-400ER",'2023'!$N$4="FO",'2023'!$N$2=V43),'2023DATA2'!$G$12,"")</f>
        <v/>
      </c>
      <c r="W53" s="518" t="str">
        <f>IF(AND(_AC1="B-767-400ER",'2023'!$N$4="FO",'2023'!$N$2=W43),'2023DATA2'!$H$12,"")</f>
        <v/>
      </c>
      <c r="X53" s="518" t="str">
        <f>IF(AND(_AC1="B-767-400ER",'2023'!$N$4="FO",'2023'!$N$2=X43),'2023DATA2'!$I$12,"")</f>
        <v/>
      </c>
      <c r="Y53" s="518" t="str">
        <f>IF(AND(_AC1="B-767-400ER",'2023'!$N$4="FO",'2023'!$N$2=Y43),'2023DATA2'!$J$12,"")</f>
        <v/>
      </c>
      <c r="Z53" s="518" t="str">
        <f>IF(AND(_AC1="B-767-400ER",'2023'!$N$4="FO",'2023'!$N$2=Z43),'2023DATA2'!$K$12,"")</f>
        <v/>
      </c>
      <c r="AA53" s="518" t="str">
        <f>IF(AND(_AC1="B-767-400ER",'2023'!$N$4="FO",'2023'!$N$2=AA43),'2023DATA2'!$L$12,"")</f>
        <v/>
      </c>
      <c r="AB53" s="518" t="str">
        <f>IF(AND(_AC1="B-767-400ER",'2023'!$N$4="FO",'2023'!$N$2=AB43),'2023DATA2'!$M$12,"")</f>
        <v/>
      </c>
      <c r="AC53" s="520" t="str">
        <f>IF(AND(_AC1="B-767-400ER",'2023'!$N$4="FO",'2023'!$N$2=AC43),'2023DATA2'!$N$12,"")</f>
        <v/>
      </c>
      <c r="AD53" s="940"/>
      <c r="AE53" s="13" t="s">
        <v>62</v>
      </c>
      <c r="AF53" s="518" t="str">
        <f>IF(AND(_AC2="B-767-400ER",'2023'!$N$4="FO",'2023'!$N$2=AF43),'2023DATA2'!$C$12,"")</f>
        <v/>
      </c>
      <c r="AG53" s="518" t="str">
        <f>IF(AND(_AC2="B-767-400ER",'2023'!$N$4="FO",'2023'!$N$2=AG43),'2023DATA2'!$D$12,"")</f>
        <v/>
      </c>
      <c r="AH53" s="518" t="str">
        <f>IF(AND(_AC2="B-767-400ER",'2023'!$N$4="FO",'2023'!$N$2=AH43),'2023DATA2'!$E$12,"")</f>
        <v/>
      </c>
      <c r="AI53" s="518" t="str">
        <f>IF(AND(_AC2="B-767-400ER",'2023'!$N$4="FO",'2023'!$N$2=AI43),'2023DATA2'!$F$12,"")</f>
        <v/>
      </c>
      <c r="AJ53" s="518" t="str">
        <f>IF(AND(_AC2="B-767-400ER",'2023'!$N$4="FO",'2023'!$N$2=AJ43),'2023DATA2'!$G$12,"")</f>
        <v/>
      </c>
      <c r="AK53" s="518" t="str">
        <f>IF(AND(_AC2="B-767-400ER",'2023'!$N$4="FO",'2023'!$N$2=AK43),'2023DATA2'!$H$12,"")</f>
        <v/>
      </c>
      <c r="AL53" s="518" t="str">
        <f>IF(AND(_AC2="B-767-400ER",'2023'!$N$4="FO",'2023'!$N$2=AL43),'2023DATA2'!$I$12,"")</f>
        <v/>
      </c>
      <c r="AM53" s="518" t="str">
        <f>IF(AND(_AC2="B-767-400ER",'2023'!$N$4="FO",'2023'!$N$2=AM43),'2023DATA2'!$J$12,"")</f>
        <v/>
      </c>
      <c r="AN53" s="518" t="str">
        <f>IF(AND(_AC2="B-767-400ER",'2023'!$N$4="FO",'2023'!$N$2=AN43),'2023DATA2'!$K$12,"")</f>
        <v/>
      </c>
      <c r="AO53" s="518" t="str">
        <f>IF(AND(_AC2="B-767-400ER",'2023'!$N$4="FO",'2023'!$N$2=AO43),'2023DATA2'!$L$12,"")</f>
        <v/>
      </c>
      <c r="AP53" s="518" t="str">
        <f>IF(AND(_AC2="B-767-400ER",'2023'!$N$4="FO",'2023'!$N$2=AP43),'2023DATA2'!$M$12,"")</f>
        <v/>
      </c>
      <c r="AQ53" s="520" t="str">
        <f>IF(AND(_AC2="B-767-400ER",'2023'!$N$4="FO",'2023'!$N$2=AQ43),'2023DATA2'!$N$12,"")</f>
        <v/>
      </c>
      <c r="AR53" s="940"/>
      <c r="AS53" s="13" t="s">
        <v>62</v>
      </c>
      <c r="AT53" s="518" t="str">
        <f>IF(AND(_AC3="B-767-400ER",'2023'!$N$4="FO",'2023'!$N$2=AT43),'2023DATA2'!$C$12,"")</f>
        <v/>
      </c>
      <c r="AU53" s="518" t="str">
        <f>IF(AND(_AC3="B-767-400ER",'2023'!$N$4="FO",'2023'!$N$2=AU43),'2023DATA2'!$D$12,"")</f>
        <v/>
      </c>
      <c r="AV53" s="518" t="str">
        <f>IF(AND(_AC3="B-767-400ER",'2023'!$N$4="FO",'2023'!$N$2=AV43),'2023DATA2'!$E$12,"")</f>
        <v/>
      </c>
      <c r="AW53" s="518" t="str">
        <f>IF(AND(_AC3="B-767-400ER",'2023'!$N$4="FO",'2023'!$N$2=AW43),'2023DATA2'!$F$12,"")</f>
        <v/>
      </c>
      <c r="AX53" s="518" t="str">
        <f>IF(AND(_AC3="B-767-400ER",'2023'!$N$4="FO",'2023'!$N$2=AX43),'2023DATA2'!$G$12,"")</f>
        <v/>
      </c>
      <c r="AY53" s="518" t="str">
        <f>IF(AND(_AC3="B-767-400ER",'2023'!$N$4="FO",'2023'!$N$2=AY43),'2023DATA2'!$H$12,"")</f>
        <v/>
      </c>
      <c r="AZ53" s="518" t="str">
        <f>IF(AND(_AC3="B-767-400ER",'2023'!$N$4="FO",'2023'!$N$2=AZ43),'2023DATA2'!$I$12,"")</f>
        <v/>
      </c>
      <c r="BA53" s="518" t="str">
        <f>IF(AND(_AC3="B-767-400ER",'2023'!$N$4="FO",'2023'!$N$2=BA43),'2023DATA2'!$J$12,"")</f>
        <v/>
      </c>
      <c r="BB53" s="518" t="str">
        <f>IF(AND(_AC3="B-767-400ER",'2023'!$N$4="FO",'2023'!$N$2=BB43),'2023DATA2'!$K$12,"")</f>
        <v/>
      </c>
      <c r="BC53" s="518" t="str">
        <f>IF(AND(_AC3="B-767-400ER",'2023'!$N$4="FO",'2023'!$N$2=BC43),'2023DATA2'!$L$12,"")</f>
        <v/>
      </c>
      <c r="BD53" s="518" t="str">
        <f>IF(AND(_AC3="B-767-400ER",'2023'!$N$4="FO",'2023'!$N$2=BD43),'2023DATA2'!$M$12,"")</f>
        <v/>
      </c>
      <c r="BE53" s="520" t="str">
        <f>IF(AND(_AC3="B-767-400ER",'2023'!$N$4="FO",'2023'!$N$2=BE43),'2023DATA2'!$N$12,"")</f>
        <v/>
      </c>
      <c r="BF53" s="940"/>
      <c r="BG53" s="13" t="s">
        <v>62</v>
      </c>
      <c r="BH53" s="518" t="str">
        <f>IF(AND(_AC4="B-767-400ER",'2023'!$N$4="FO",'2023'!$N$2=BH43),'2023DATA2'!$C$12,"")</f>
        <v/>
      </c>
      <c r="BI53" s="518" t="str">
        <f>IF(AND(_AC4="B-767-400ER",'2023'!$N$4="FO",'2023'!$N$2=BI43),'2023DATA2'!$D$12,"")</f>
        <v/>
      </c>
      <c r="BJ53" s="518" t="str">
        <f>IF(AND(_AC4="B-767-400ER",'2023'!$N$4="FO",'2023'!$N$2=BJ43),'2023DATA2'!$E$12,"")</f>
        <v/>
      </c>
      <c r="BK53" s="518" t="str">
        <f>IF(AND(_AC4="B-767-400ER",'2023'!$N$4="FO",'2023'!$N$2=BK43),'2023DATA2'!$F$12,"")</f>
        <v/>
      </c>
      <c r="BL53" s="518" t="str">
        <f>IF(AND(_AC4="B-767-400ER",'2023'!$N$4="FO",'2023'!$N$2=BL43),'2023DATA2'!$G$12,"")</f>
        <v/>
      </c>
      <c r="BM53" s="518" t="str">
        <f>IF(AND(_AC4="B-767-400ER",'2023'!$N$4="FO",'2023'!$N$2=BM43),'2023DATA2'!$H$12,"")</f>
        <v/>
      </c>
      <c r="BN53" s="518" t="str">
        <f>IF(AND(_AC4="B-767-400ER",'2023'!$N$4="FO",'2023'!$N$2=BN43),'2023DATA2'!$I$12,"")</f>
        <v/>
      </c>
      <c r="BO53" s="518" t="str">
        <f>IF(AND(_AC4="B-767-400ER",'2023'!$N$4="FO",'2023'!$N$2=BO43),'2023DATA2'!$J$12,"")</f>
        <v/>
      </c>
      <c r="BP53" s="518" t="str">
        <f>IF(AND(_AC4="B-767-400ER",'2023'!$N$4="FO",'2023'!$N$2=BP43),'2023DATA2'!$K$12,"")</f>
        <v/>
      </c>
      <c r="BQ53" s="518" t="str">
        <f>IF(AND(_AC4="B-767-400ER",'2023'!$N$4="FO",'2023'!$N$2=BQ43),'2023DATA2'!$L$12,"")</f>
        <v/>
      </c>
      <c r="BR53" s="518" t="str">
        <f>IF(AND(_AC4="B-767-400ER",'2023'!$N$4="FO",'2023'!$N$2=BR43),'2023DATA2'!$M$12,"")</f>
        <v/>
      </c>
      <c r="BS53" s="520" t="str">
        <f>IF(AND(_AC4="B-767-400ER",'2023'!$N$4="FO",'2023'!$N$2=BS43),'2023DATA2'!$N$12,"")</f>
        <v/>
      </c>
      <c r="BT53" s="940"/>
      <c r="BU53" s="13" t="s">
        <v>62</v>
      </c>
      <c r="BV53" s="518" t="str">
        <f>IF(AND(_AC5="B-767-400ER",'2023'!$N$4="FO",'2023'!$N$2=BV43),'2023DATA2'!$C$12,"")</f>
        <v/>
      </c>
      <c r="BW53" s="518" t="str">
        <f>IF(AND(_AC5="B-767-400ER",'2023'!$N$4="FO",'2023'!$N$2=BW43),'2023DATA2'!$D$12,"")</f>
        <v/>
      </c>
      <c r="BX53" s="518" t="str">
        <f>IF(AND(_AC5="B-767-400ER",'2023'!$N$4="FO",'2023'!$N$2=BX43),'2023DATA2'!$E$12,"")</f>
        <v/>
      </c>
      <c r="BY53" s="518" t="str">
        <f>IF(AND(_AC5="B-767-400ER",'2023'!$N$4="FO",'2023'!$N$2=BY43),'2023DATA2'!$F$12,"")</f>
        <v/>
      </c>
      <c r="BZ53" s="518" t="str">
        <f>IF(AND(_AC5="B-767-400ER",'2023'!$N$4="FO",'2023'!$N$2=BZ43),'2023DATA2'!$G$12,"")</f>
        <v/>
      </c>
      <c r="CA53" s="518" t="str">
        <f>IF(AND(_AC5="B-767-400ER",'2023'!$N$4="FO",'2023'!$N$2=CA43),'2023DATA2'!$H$12,"")</f>
        <v/>
      </c>
      <c r="CB53" s="518" t="str">
        <f>IF(AND(_AC5="B-767-400ER",'2023'!$N$4="FO",'2023'!$N$2=CB43),'2023DATA2'!$I$12,"")</f>
        <v/>
      </c>
      <c r="CC53" s="518" t="str">
        <f>IF(AND(_AC5="B-767-400ER",'2023'!$N$4="FO",'2023'!$N$2=CC43),'2023DATA2'!$J$12,"")</f>
        <v/>
      </c>
      <c r="CD53" s="518" t="str">
        <f>IF(AND(_AC5="B-767-400ER",'2023'!$N$4="FO",'2023'!$N$2=CD43),'2023DATA2'!$K$12,"")</f>
        <v/>
      </c>
      <c r="CE53" s="518" t="str">
        <f>IF(AND(_AC5="B-767-400ER",'2023'!$N$4="FO",'2023'!$N$2=CE43),'2023DATA2'!$L$12,"")</f>
        <v/>
      </c>
      <c r="CF53" s="518" t="str">
        <f>IF(AND(_AC5="B-767-400ER",'2023'!$N$4="FO",'2023'!$N$2=CF43),'2023DATA2'!$M$12,"")</f>
        <v/>
      </c>
      <c r="CG53" s="520" t="str">
        <f>IF(AND(_AC5="B-767-400ER",'2023'!$N$4="FO",'2023'!$N$2=CG43),'2023DATA2'!$N$12,"")</f>
        <v/>
      </c>
      <c r="CH53" s="940"/>
      <c r="CI53" s="13" t="s">
        <v>62</v>
      </c>
      <c r="CJ53" s="518" t="str">
        <f>IF(AND(_AC6="B-767-400ER",'2023'!$N$4="FO",'2023'!$N$2=CJ43),'2023DATA2'!$C$12,"")</f>
        <v/>
      </c>
      <c r="CK53" s="518" t="str">
        <f>IF(AND(_AC6="B-767-400ER",'2023'!$N$4="FO",'2023'!$N$2=CK43),'2023DATA2'!$D$12,"")</f>
        <v/>
      </c>
      <c r="CL53" s="518" t="str">
        <f>IF(AND(_AC6="B-767-400ER",'2023'!$N$4="FO",'2023'!$N$2=CL43),'2023DATA2'!$E$12,"")</f>
        <v/>
      </c>
      <c r="CM53" s="518" t="str">
        <f>IF(AND(_AC6="B-767-400ER",'2023'!$N$4="FO",'2023'!$N$2=CM43),'2023DATA2'!$F$12,"")</f>
        <v/>
      </c>
      <c r="CN53" s="518" t="str">
        <f>IF(AND(_AC6="B-767-400ER",'2023'!$N$4="FO",'2023'!$N$2=CN43),'2023DATA2'!$G$12,"")</f>
        <v/>
      </c>
      <c r="CO53" s="518" t="str">
        <f>IF(AND(_AC6="B-767-400ER",'2023'!$N$4="FO",'2023'!$N$2=CO43),'2023DATA2'!$H$12,"")</f>
        <v/>
      </c>
      <c r="CP53" s="518" t="str">
        <f>IF(AND(_AC6="B-767-400ER",'2023'!$N$4="FO",'2023'!$N$2=CP43),'2023DATA2'!$I$12,"")</f>
        <v/>
      </c>
      <c r="CQ53" s="518" t="str">
        <f>IF(AND(_AC6="B-767-400ER",'2023'!$N$4="FO",'2023'!$N$2=CQ43),'2023DATA2'!$J$12,"")</f>
        <v/>
      </c>
      <c r="CR53" s="518" t="str">
        <f>IF(AND(_AC6="B-767-400ER",'2023'!$N$4="FO",'2023'!$N$2=CR43),'2023DATA2'!$K$12,"")</f>
        <v/>
      </c>
      <c r="CS53" s="518" t="str">
        <f>IF(AND(_AC6="B-767-400ER",'2023'!$N$4="FO",'2023'!$N$2=CS43),'2023DATA2'!$L$12,"")</f>
        <v/>
      </c>
      <c r="CT53" s="518" t="str">
        <f>IF(AND(_AC6="B-767-400ER",'2023'!$N$4="FO",'2023'!$N$2=CT43),'2023DATA2'!$M$12,"")</f>
        <v/>
      </c>
      <c r="CU53" s="520" t="str">
        <f>IF(AND(_AC6="B-767-400ER",'2023'!$N$4="FO",'2023'!$N$2=CU43),'2023DATA2'!$N$12,"")</f>
        <v/>
      </c>
    </row>
    <row r="54" spans="16:99" x14ac:dyDescent="0.25">
      <c r="P54" s="940" t="s">
        <v>43</v>
      </c>
      <c r="Q54" s="13" t="s">
        <v>61</v>
      </c>
      <c r="R54" s="518" t="str">
        <f>IF(AND(_AC1="B-767-300ER",'2023'!$N$4="CA",'2023'!$N$2=R43),'2023DATA2'!$C$13,"")</f>
        <v/>
      </c>
      <c r="S54" s="518" t="str">
        <f>IF(AND(_AC1="B-767-300ER",'2023'!$N$4="CA",'2023'!$N$2=S43),'2023DATA2'!$D$13,"")</f>
        <v/>
      </c>
      <c r="T54" s="518" t="str">
        <f>IF(AND(_AC1="B-767-300ER",'2023'!$N$4="CA",'2023'!$N$2=T43),'2023DATA2'!$E$13,"")</f>
        <v/>
      </c>
      <c r="U54" s="518" t="str">
        <f>IF(AND(_AC1="B-767-300ER",'2023'!$N$4="CA",'2023'!$N$2=U43),'2023DATA2'!$F$13,"")</f>
        <v/>
      </c>
      <c r="V54" s="518" t="str">
        <f>IF(AND(_AC1="B-767-300ER",'2023'!$N$4="CA",'2023'!$N$2=V43),'2023DATA2'!$G$13,"")</f>
        <v/>
      </c>
      <c r="W54" s="518" t="str">
        <f>IF(AND(_AC1="B-767-300ER",'2023'!$N$4="CA",'2023'!$N$2=W43),'2023DATA2'!$H$13,"")</f>
        <v/>
      </c>
      <c r="X54" s="518" t="str">
        <f>IF(AND(_AC1="B-767-300ER",'2023'!$N$4="CA",'2023'!$N$2=X43),'2023DATA2'!$I$13,"")</f>
        <v/>
      </c>
      <c r="Y54" s="518" t="str">
        <f>IF(AND(_AC1="B-767-300ER",'2023'!$N$4="CA",'2023'!$N$2=Y43),'2023DATA2'!$J$13,"")</f>
        <v/>
      </c>
      <c r="Z54" s="518" t="str">
        <f>IF(AND(_AC1="B-767-300ER",'2023'!$N$4="CA",'2023'!$N$2=Z43),'2023DATA2'!$K$13,"")</f>
        <v/>
      </c>
      <c r="AA54" s="518" t="str">
        <f>IF(AND(_AC1="B-767-300ER",'2023'!$N$4="CA",'2023'!$N$2=AA43),'2023DATA2'!$L$13,"")</f>
        <v/>
      </c>
      <c r="AB54" s="518" t="str">
        <f>IF(AND(_AC1="B-767-300ER",'2023'!$N$4="CA",'2023'!$N$2=AB43),'2023DATA2'!$M$13,"")</f>
        <v/>
      </c>
      <c r="AC54" s="520" t="str">
        <f>IF(AND(_AC1="B-767-300ER",'2023'!$N$4="CA",'2023'!$N$2=AC43),'2023DATA2'!$N$13,"")</f>
        <v/>
      </c>
      <c r="AD54" s="940" t="s">
        <v>43</v>
      </c>
      <c r="AE54" s="13" t="s">
        <v>61</v>
      </c>
      <c r="AF54" s="518" t="str">
        <f>IF(AND(_AC2="B-767-300ER",'2023'!$N$4="CA",'2023'!$N$2=AF43),'2023DATA2'!$C$13,"")</f>
        <v/>
      </c>
      <c r="AG54" s="518" t="str">
        <f>IF(AND(_AC2="B-767-300ER",'2023'!$N$4="CA",'2023'!$N$2=AG43),'2023DATA2'!$D$13,"")</f>
        <v/>
      </c>
      <c r="AH54" s="518" t="str">
        <f>IF(AND(_AC2="B-767-300ER",'2023'!$N$4="CA",'2023'!$N$2=AH43),'2023DATA2'!$E$13,"")</f>
        <v/>
      </c>
      <c r="AI54" s="518" t="str">
        <f>IF(AND(_AC2="B-767-300ER",'2023'!$N$4="CA",'2023'!$N$2=AI43),'2023DATA2'!$F$13,"")</f>
        <v/>
      </c>
      <c r="AJ54" s="518" t="str">
        <f>IF(AND(_AC2="B-767-300ER",'2023'!$N$4="CA",'2023'!$N$2=AJ43),'2023DATA2'!$G$13,"")</f>
        <v/>
      </c>
      <c r="AK54" s="518" t="str">
        <f>IF(AND(_AC2="B-767-300ER",'2023'!$N$4="CA",'2023'!$N$2=AK43),'2023DATA2'!$H$13,"")</f>
        <v/>
      </c>
      <c r="AL54" s="518" t="str">
        <f>IF(AND(_AC2="B-767-300ER",'2023'!$N$4="CA",'2023'!$N$2=AL43),'2023DATA2'!$I$13,"")</f>
        <v/>
      </c>
      <c r="AM54" s="518" t="str">
        <f>IF(AND(_AC2="B-767-300ER",'2023'!$N$4="CA",'2023'!$N$2=AM43),'2023DATA2'!$J$13,"")</f>
        <v/>
      </c>
      <c r="AN54" s="518" t="str">
        <f>IF(AND(_AC2="B-767-300ER",'2023'!$N$4="CA",'2023'!$N$2=AN43),'2023DATA2'!$K$13,"")</f>
        <v/>
      </c>
      <c r="AO54" s="518" t="str">
        <f>IF(AND(_AC2="B-767-300ER",'2023'!$N$4="CA",'2023'!$N$2=AO43),'2023DATA2'!$L$13,"")</f>
        <v/>
      </c>
      <c r="AP54" s="518" t="str">
        <f>IF(AND(_AC2="B-767-300ER",'2023'!$N$4="CA",'2023'!$N$2=AP43),'2023DATA2'!$M$13,"")</f>
        <v/>
      </c>
      <c r="AQ54" s="520" t="str">
        <f>IF(AND(_AC2="B-767-300ER",'2023'!$N$4="CA",'2023'!$N$2=AQ43),'2023DATA2'!$N$13,"")</f>
        <v/>
      </c>
      <c r="AR54" s="940" t="s">
        <v>43</v>
      </c>
      <c r="AS54" s="13" t="s">
        <v>61</v>
      </c>
      <c r="AT54" s="518" t="str">
        <f>IF(AND(_AC3="B-767-300ER",'2023'!$N$4="CA",'2023'!$N$2=AT43),'2023DATA2'!$C$13,"")</f>
        <v/>
      </c>
      <c r="AU54" s="518" t="str">
        <f>IF(AND(_AC3="B-767-300ER",'2023'!$N$4="CA",'2023'!$N$2=AU43),'2023DATA2'!$D$13,"")</f>
        <v/>
      </c>
      <c r="AV54" s="518" t="str">
        <f>IF(AND(_AC3="B-767-300ER",'2023'!$N$4="CA",'2023'!$N$2=AV43),'2023DATA2'!$E$13,"")</f>
        <v/>
      </c>
      <c r="AW54" s="518" t="str">
        <f>IF(AND(_AC3="B-767-300ER",'2023'!$N$4="CA",'2023'!$N$2=AW43),'2023DATA2'!$F$13,"")</f>
        <v/>
      </c>
      <c r="AX54" s="518" t="str">
        <f>IF(AND(_AC3="B-767-300ER",'2023'!$N$4="CA",'2023'!$N$2=AX43),'2023DATA2'!$G$13,"")</f>
        <v/>
      </c>
      <c r="AY54" s="518" t="str">
        <f>IF(AND(_AC3="B-767-300ER",'2023'!$N$4="CA",'2023'!$N$2=AY43),'2023DATA2'!$H$13,"")</f>
        <v/>
      </c>
      <c r="AZ54" s="518" t="str">
        <f>IF(AND(_AC3="B-767-300ER",'2023'!$N$4="CA",'2023'!$N$2=AZ43),'2023DATA2'!$I$13,"")</f>
        <v/>
      </c>
      <c r="BA54" s="518" t="str">
        <f>IF(AND(_AC3="B-767-300ER",'2023'!$N$4="CA",'2023'!$N$2=BA43),'2023DATA2'!$J$13,"")</f>
        <v/>
      </c>
      <c r="BB54" s="518" t="str">
        <f>IF(AND(_AC3="B-767-300ER",'2023'!$N$4="CA",'2023'!$N$2=BB43),'2023DATA2'!$K$13,"")</f>
        <v/>
      </c>
      <c r="BC54" s="518" t="str">
        <f>IF(AND(_AC3="B-767-300ER",'2023'!$N$4="CA",'2023'!$N$2=BC43),'2023DATA2'!$L$13,"")</f>
        <v/>
      </c>
      <c r="BD54" s="518" t="str">
        <f>IF(AND(_AC3="B-767-300ER",'2023'!$N$4="CA",'2023'!$N$2=BD43),'2023DATA2'!$M$13,"")</f>
        <v/>
      </c>
      <c r="BE54" s="520" t="str">
        <f>IF(AND(_AC3="B-767-300ER",'2023'!$N$4="CA",'2023'!$N$2=BE43),'2023DATA2'!$N$13,"")</f>
        <v/>
      </c>
      <c r="BF54" s="940" t="s">
        <v>43</v>
      </c>
      <c r="BG54" s="13" t="s">
        <v>61</v>
      </c>
      <c r="BH54" s="518" t="str">
        <f>IF(AND(_AC4="B-767-300ER",'2023'!$N$4="CA",'2023'!$N$2=BH43),'2023DATA2'!$C$13,"")</f>
        <v/>
      </c>
      <c r="BI54" s="518" t="str">
        <f>IF(AND(_AC4="B-767-300ER",'2023'!$N$4="CA",'2023'!$N$2=BI43),'2023DATA2'!$D$13,"")</f>
        <v/>
      </c>
      <c r="BJ54" s="518" t="str">
        <f>IF(AND(_AC4="B-767-300ER",'2023'!$N$4="CA",'2023'!$N$2=BJ43),'2023DATA2'!$E$13,"")</f>
        <v/>
      </c>
      <c r="BK54" s="518" t="str">
        <f>IF(AND(_AC4="B-767-300ER",'2023'!$N$4="CA",'2023'!$N$2=BK43),'2023DATA2'!$F$13,"")</f>
        <v/>
      </c>
      <c r="BL54" s="518" t="str">
        <f>IF(AND(_AC4="B-767-300ER",'2023'!$N$4="CA",'2023'!$N$2=BL43),'2023DATA2'!$G$13,"")</f>
        <v/>
      </c>
      <c r="BM54" s="518" t="str">
        <f>IF(AND(_AC4="B-767-300ER",'2023'!$N$4="CA",'2023'!$N$2=BM43),'2023DATA2'!$H$13,"")</f>
        <v/>
      </c>
      <c r="BN54" s="518" t="str">
        <f>IF(AND(_AC4="B-767-300ER",'2023'!$N$4="CA",'2023'!$N$2=BN43),'2023DATA2'!$I$13,"")</f>
        <v/>
      </c>
      <c r="BO54" s="518" t="str">
        <f>IF(AND(_AC4="B-767-300ER",'2023'!$N$4="CA",'2023'!$N$2=BO43),'2023DATA2'!$J$13,"")</f>
        <v/>
      </c>
      <c r="BP54" s="518" t="str">
        <f>IF(AND(_AC4="B-767-300ER",'2023'!$N$4="CA",'2023'!$N$2=BP43),'2023DATA2'!$K$13,"")</f>
        <v/>
      </c>
      <c r="BQ54" s="518" t="str">
        <f>IF(AND(_AC4="B-767-300ER",'2023'!$N$4="CA",'2023'!$N$2=BQ43),'2023DATA2'!$L$13,"")</f>
        <v/>
      </c>
      <c r="BR54" s="518" t="str">
        <f>IF(AND(_AC4="B-767-300ER",'2023'!$N$4="CA",'2023'!$N$2=BR43),'2023DATA2'!$M$13,"")</f>
        <v/>
      </c>
      <c r="BS54" s="520" t="str">
        <f>IF(AND(_AC4="B-767-300ER",'2023'!$N$4="CA",'2023'!$N$2=BS43),'2023DATA2'!$N$13,"")</f>
        <v/>
      </c>
      <c r="BT54" s="940" t="s">
        <v>43</v>
      </c>
      <c r="BU54" s="13" t="s">
        <v>61</v>
      </c>
      <c r="BV54" s="518" t="str">
        <f>IF(AND(_AC5="B-767-300ER",'2023'!$N$4="CA",'2023'!$N$2=BV43),'2023DATA2'!$C$13,"")</f>
        <v/>
      </c>
      <c r="BW54" s="518" t="str">
        <f>IF(AND(_AC5="B-767-300ER",'2023'!$N$4="CA",'2023'!$N$2=BW43),'2023DATA2'!$D$13,"")</f>
        <v/>
      </c>
      <c r="BX54" s="518" t="str">
        <f>IF(AND(_AC5="B-767-300ER",'2023'!$N$4="CA",'2023'!$N$2=BX43),'2023DATA2'!$E$13,"")</f>
        <v/>
      </c>
      <c r="BY54" s="518" t="str">
        <f>IF(AND(_AC5="B-767-300ER",'2023'!$N$4="CA",'2023'!$N$2=BY43),'2023DATA2'!$F$13,"")</f>
        <v/>
      </c>
      <c r="BZ54" s="518" t="str">
        <f>IF(AND(_AC5="B-767-300ER",'2023'!$N$4="CA",'2023'!$N$2=BZ43),'2023DATA2'!$G$13,"")</f>
        <v/>
      </c>
      <c r="CA54" s="518" t="str">
        <f>IF(AND(_AC5="B-767-300ER",'2023'!$N$4="CA",'2023'!$N$2=CA43),'2023DATA2'!$H$13,"")</f>
        <v/>
      </c>
      <c r="CB54" s="518" t="str">
        <f>IF(AND(_AC5="B-767-300ER",'2023'!$N$4="CA",'2023'!$N$2=CB43),'2023DATA2'!$I$13,"")</f>
        <v/>
      </c>
      <c r="CC54" s="518" t="str">
        <f>IF(AND(_AC5="B-767-300ER",'2023'!$N$4="CA",'2023'!$N$2=CC43),'2023DATA2'!$J$13,"")</f>
        <v/>
      </c>
      <c r="CD54" s="518" t="str">
        <f>IF(AND(_AC5="B-767-300ER",'2023'!$N$4="CA",'2023'!$N$2=CD43),'2023DATA2'!$K$13,"")</f>
        <v/>
      </c>
      <c r="CE54" s="518" t="str">
        <f>IF(AND(_AC5="B-767-300ER",'2023'!$N$4="CA",'2023'!$N$2=CE43),'2023DATA2'!$L$13,"")</f>
        <v/>
      </c>
      <c r="CF54" s="518" t="str">
        <f>IF(AND(_AC5="B-767-300ER",'2023'!$N$4="CA",'2023'!$N$2=CF43),'2023DATA2'!$M$13,"")</f>
        <v/>
      </c>
      <c r="CG54" s="520" t="str">
        <f>IF(AND(_AC5="B-767-300ER",'2023'!$N$4="CA",'2023'!$N$2=CG43),'2023DATA2'!$N$13,"")</f>
        <v/>
      </c>
      <c r="CH54" s="940" t="s">
        <v>43</v>
      </c>
      <c r="CI54" s="13" t="s">
        <v>61</v>
      </c>
      <c r="CJ54" s="518" t="str">
        <f>IF(AND(_AC6="B-767-300ER",'2023'!$N$4="CA",'2023'!$N$2=CJ43),'2023DATA2'!$C$13,"")</f>
        <v/>
      </c>
      <c r="CK54" s="518" t="str">
        <f>IF(AND(_AC6="B-767-300ER",'2023'!$N$4="CA",'2023'!$N$2=CK43),'2023DATA2'!$D$13,"")</f>
        <v/>
      </c>
      <c r="CL54" s="518" t="str">
        <f>IF(AND(_AC6="B-767-300ER",'2023'!$N$4="CA",'2023'!$N$2=CL43),'2023DATA2'!$E$13,"")</f>
        <v/>
      </c>
      <c r="CM54" s="518" t="str">
        <f>IF(AND(_AC6="B-767-300ER",'2023'!$N$4="CA",'2023'!$N$2=CM43),'2023DATA2'!$F$13,"")</f>
        <v/>
      </c>
      <c r="CN54" s="518" t="str">
        <f>IF(AND(_AC6="B-767-300ER",'2023'!$N$4="CA",'2023'!$N$2=CN43),'2023DATA2'!$G$13,"")</f>
        <v/>
      </c>
      <c r="CO54" s="518" t="str">
        <f>IF(AND(_AC6="B-767-300ER",'2023'!$N$4="CA",'2023'!$N$2=CO43),'2023DATA2'!$H$13,"")</f>
        <v/>
      </c>
      <c r="CP54" s="518" t="str">
        <f>IF(AND(_AC6="B-767-300ER",'2023'!$N$4="CA",'2023'!$N$2=CP43),'2023DATA2'!$I$13,"")</f>
        <v/>
      </c>
      <c r="CQ54" s="518" t="str">
        <f>IF(AND(_AC6="B-767-300ER",'2023'!$N$4="CA",'2023'!$N$2=CQ43),'2023DATA2'!$J$13,"")</f>
        <v/>
      </c>
      <c r="CR54" s="518" t="str">
        <f>IF(AND(_AC6="B-767-300ER",'2023'!$N$4="CA",'2023'!$N$2=CR43),'2023DATA2'!$K$13,"")</f>
        <v/>
      </c>
      <c r="CS54" s="518" t="str">
        <f>IF(AND(_AC6="B-767-300ER",'2023'!$N$4="CA",'2023'!$N$2=CS43),'2023DATA2'!$L$13,"")</f>
        <v/>
      </c>
      <c r="CT54" s="518" t="str">
        <f>IF(AND(_AC6="B-767-300ER",'2023'!$N$4="CA",'2023'!$N$2=CT43),'2023DATA2'!$M$13,"")</f>
        <v/>
      </c>
      <c r="CU54" s="520" t="str">
        <f>IF(AND(_AC6="B-767-300ER",'2023'!$N$4="CA",'2023'!$N$2=CU43),'2023DATA2'!$N$13,"")</f>
        <v/>
      </c>
    </row>
    <row r="55" spans="16:99" x14ac:dyDescent="0.25">
      <c r="P55" s="940"/>
      <c r="Q55" s="13" t="s">
        <v>62</v>
      </c>
      <c r="R55" s="518" t="str">
        <f>IF(AND(_AC1="B-767-300ER",'2023'!$N$4="FO",'2023'!$N$2=R43),'2023DATA2'!$C$14,"")</f>
        <v/>
      </c>
      <c r="S55" s="518" t="str">
        <f>IF(AND(_AC1="B-767-300ER",'2023'!$N$4="FO",'2023'!$N$2=S43),'2023DATA2'!$D$14,"")</f>
        <v/>
      </c>
      <c r="T55" s="518" t="str">
        <f>IF(AND(_AC1="B-767-300ER",'2023'!$N$4="FO",'2023'!$N$2=T43),'2023DATA2'!$E$14,"")</f>
        <v/>
      </c>
      <c r="U55" s="518" t="str">
        <f>IF(AND(_AC1="B-767-300ER",'2023'!$N$4="FO",'2023'!$N$2=U43),'2023DATA2'!$F$14,"")</f>
        <v/>
      </c>
      <c r="V55" s="518" t="str">
        <f>IF(AND(_AC1="B-767-300ER",'2023'!$N$4="FO",'2023'!$N$2=V43),'2023DATA2'!$G$14,"")</f>
        <v/>
      </c>
      <c r="W55" s="518" t="str">
        <f>IF(AND(_AC1="B-767-300ER",'2023'!$N$4="FO",'2023'!$N$2=W43),'2023DATA2'!$H$14,"")</f>
        <v/>
      </c>
      <c r="X55" s="518" t="str">
        <f>IF(AND(_AC1="B-767-300ER",'2023'!$N$4="FO",'2023'!$N$2=X43),'2023DATA2'!$I$14,"")</f>
        <v/>
      </c>
      <c r="Y55" s="518" t="str">
        <f>IF(AND(_AC1="B-767-300ER",'2023'!$N$4="FO",'2023'!$N$2=Y43),'2023DATA2'!$J$14,"")</f>
        <v/>
      </c>
      <c r="Z55" s="518" t="str">
        <f>IF(AND(_AC1="B-767-300ER",'2023'!$N$4="FO",'2023'!$N$2=Z43),'2023DATA2'!$K$14,"")</f>
        <v/>
      </c>
      <c r="AA55" s="518" t="str">
        <f>IF(AND(_AC1="B-767-300ER",'2023'!$N$4="FO",'2023'!$N$2=AA43),'2023DATA2'!$L$14,"")</f>
        <v/>
      </c>
      <c r="AB55" s="518" t="str">
        <f>IF(AND(_AC1="B-767-300ER",'2023'!$N$4="FO",'2023'!$N$2=AB43),'2023DATA2'!$M$14,"")</f>
        <v/>
      </c>
      <c r="AC55" s="520" t="str">
        <f>IF(AND(_AC1="B-767-300ER",'2023'!$N$4="FO",'2023'!$N$2=AC43),'2023DATA2'!$N$14,"")</f>
        <v/>
      </c>
      <c r="AD55" s="940"/>
      <c r="AE55" s="13" t="s">
        <v>62</v>
      </c>
      <c r="AF55" s="518" t="str">
        <f>IF(AND(_AC2="B-767-300ER",'2023'!$N$4="FO",'2023'!$N$2=AF43),'2023DATA2'!$C$14,"")</f>
        <v/>
      </c>
      <c r="AG55" s="518" t="str">
        <f>IF(AND(_AC2="B-767-300ER",'2023'!$N$4="FO",'2023'!$N$2=AG43),'2023DATA2'!$D$14,"")</f>
        <v/>
      </c>
      <c r="AH55" s="518" t="str">
        <f>IF(AND(_AC2="B-767-300ER",'2023'!$N$4="FO",'2023'!$N$2=AH43),'2023DATA2'!$E$14,"")</f>
        <v/>
      </c>
      <c r="AI55" s="518" t="str">
        <f>IF(AND(_AC2="B-767-300ER",'2023'!$N$4="FO",'2023'!$N$2=AI43),'2023DATA2'!$F$14,"")</f>
        <v/>
      </c>
      <c r="AJ55" s="518" t="str">
        <f>IF(AND(_AC2="B-767-300ER",'2023'!$N$4="FO",'2023'!$N$2=AJ43),'2023DATA2'!$G$14,"")</f>
        <v/>
      </c>
      <c r="AK55" s="518" t="str">
        <f>IF(AND(_AC2="B-767-300ER",'2023'!$N$4="FO",'2023'!$N$2=AK43),'2023DATA2'!$H$14,"")</f>
        <v/>
      </c>
      <c r="AL55" s="518" t="str">
        <f>IF(AND(_AC2="B-767-300ER",'2023'!$N$4="FO",'2023'!$N$2=AL43),'2023DATA2'!$I$14,"")</f>
        <v/>
      </c>
      <c r="AM55" s="518" t="str">
        <f>IF(AND(_AC2="B-767-300ER",'2023'!$N$4="FO",'2023'!$N$2=AM43),'2023DATA2'!$J$14,"")</f>
        <v/>
      </c>
      <c r="AN55" s="518" t="str">
        <f>IF(AND(_AC2="B-767-300ER",'2023'!$N$4="FO",'2023'!$N$2=AN43),'2023DATA2'!$K$14,"")</f>
        <v/>
      </c>
      <c r="AO55" s="518" t="str">
        <f>IF(AND(_AC2="B-767-300ER",'2023'!$N$4="FO",'2023'!$N$2=AO43),'2023DATA2'!$L$14,"")</f>
        <v/>
      </c>
      <c r="AP55" s="518" t="str">
        <f>IF(AND(_AC2="B-767-300ER",'2023'!$N$4="FO",'2023'!$N$2=AP43),'2023DATA2'!$M$14,"")</f>
        <v/>
      </c>
      <c r="AQ55" s="520" t="str">
        <f>IF(AND(_AC2="B-767-300ER",'2023'!$N$4="FO",'2023'!$N$2=AQ43),'2023DATA2'!$N$14,"")</f>
        <v/>
      </c>
      <c r="AR55" s="940"/>
      <c r="AS55" s="13" t="s">
        <v>62</v>
      </c>
      <c r="AT55" s="518" t="str">
        <f>IF(AND(_AC3="B-767-300ER",'2023'!$N$4="FO",'2023'!$N$2=AT43),'2023DATA2'!$C$14,"")</f>
        <v/>
      </c>
      <c r="AU55" s="518" t="str">
        <f>IF(AND(_AC3="B-767-300ER",'2023'!$N$4="FO",'2023'!$N$2=AU43),'2023DATA2'!$D$14,"")</f>
        <v/>
      </c>
      <c r="AV55" s="518" t="str">
        <f>IF(AND(_AC3="B-767-300ER",'2023'!$N$4="FO",'2023'!$N$2=AV43),'2023DATA2'!$E$14,"")</f>
        <v/>
      </c>
      <c r="AW55" s="518" t="str">
        <f>IF(AND(_AC3="B-767-300ER",'2023'!$N$4="FO",'2023'!$N$2=AW43),'2023DATA2'!$F$14,"")</f>
        <v/>
      </c>
      <c r="AX55" s="518" t="str">
        <f>IF(AND(_AC3="B-767-300ER",'2023'!$N$4="FO",'2023'!$N$2=AX43),'2023DATA2'!$G$14,"")</f>
        <v/>
      </c>
      <c r="AY55" s="518" t="str">
        <f>IF(AND(_AC3="B-767-300ER",'2023'!$N$4="FO",'2023'!$N$2=AY43),'2023DATA2'!$H$14,"")</f>
        <v/>
      </c>
      <c r="AZ55" s="518" t="str">
        <f>IF(AND(_AC3="B-767-300ER",'2023'!$N$4="FO",'2023'!$N$2=AZ43),'2023DATA2'!$I$14,"")</f>
        <v/>
      </c>
      <c r="BA55" s="518" t="str">
        <f>IF(AND(_AC3="B-767-300ER",'2023'!$N$4="FO",'2023'!$N$2=BA43),'2023DATA2'!$J$14,"")</f>
        <v/>
      </c>
      <c r="BB55" s="518" t="str">
        <f>IF(AND(_AC3="B-767-300ER",'2023'!$N$4="FO",'2023'!$N$2=BB43),'2023DATA2'!$K$14,"")</f>
        <v/>
      </c>
      <c r="BC55" s="518" t="str">
        <f>IF(AND(_AC3="B-767-300ER",'2023'!$N$4="FO",'2023'!$N$2=BC43),'2023DATA2'!$L$14,"")</f>
        <v/>
      </c>
      <c r="BD55" s="518" t="str">
        <f>IF(AND(_AC3="B-767-300ER",'2023'!$N$4="FO",'2023'!$N$2=BD43),'2023DATA2'!$M$14,"")</f>
        <v/>
      </c>
      <c r="BE55" s="520" t="str">
        <f>IF(AND(_AC3="B-767-300ER",'2023'!$N$4="FO",'2023'!$N$2=BE43),'2023DATA2'!$N$14,"")</f>
        <v/>
      </c>
      <c r="BF55" s="940"/>
      <c r="BG55" s="13" t="s">
        <v>62</v>
      </c>
      <c r="BH55" s="518" t="str">
        <f>IF(AND(_AC4="B-767-300ER",'2023'!$N$4="FO",'2023'!$N$2=BH43),'2023DATA2'!$C$14,"")</f>
        <v/>
      </c>
      <c r="BI55" s="518" t="str">
        <f>IF(AND(_AC4="B-767-300ER",'2023'!$N$4="FO",'2023'!$N$2=BI43),'2023DATA2'!$D$14,"")</f>
        <v/>
      </c>
      <c r="BJ55" s="518" t="str">
        <f>IF(AND(_AC4="B-767-300ER",'2023'!$N$4="FO",'2023'!$N$2=BJ43),'2023DATA2'!$E$14,"")</f>
        <v/>
      </c>
      <c r="BK55" s="518" t="str">
        <f>IF(AND(_AC4="B-767-300ER",'2023'!$N$4="FO",'2023'!$N$2=BK43),'2023DATA2'!$F$14,"")</f>
        <v/>
      </c>
      <c r="BL55" s="518" t="str">
        <f>IF(AND(_AC4="B-767-300ER",'2023'!$N$4="FO",'2023'!$N$2=BL43),'2023DATA2'!$G$14,"")</f>
        <v/>
      </c>
      <c r="BM55" s="518" t="str">
        <f>IF(AND(_AC4="B-767-300ER",'2023'!$N$4="FO",'2023'!$N$2=BM43),'2023DATA2'!$H$14,"")</f>
        <v/>
      </c>
      <c r="BN55" s="518" t="str">
        <f>IF(AND(_AC4="B-767-300ER",'2023'!$N$4="FO",'2023'!$N$2=BN43),'2023DATA2'!$I$14,"")</f>
        <v/>
      </c>
      <c r="BO55" s="518" t="str">
        <f>IF(AND(_AC4="B-767-300ER",'2023'!$N$4="FO",'2023'!$N$2=BO43),'2023DATA2'!$J$14,"")</f>
        <v/>
      </c>
      <c r="BP55" s="518" t="str">
        <f>IF(AND(_AC4="B-767-300ER",'2023'!$N$4="FO",'2023'!$N$2=BP43),'2023DATA2'!$K$14,"")</f>
        <v/>
      </c>
      <c r="BQ55" s="518" t="str">
        <f>IF(AND(_AC4="B-767-300ER",'2023'!$N$4="FO",'2023'!$N$2=BQ43),'2023DATA2'!$L$14,"")</f>
        <v/>
      </c>
      <c r="BR55" s="518" t="str">
        <f>IF(AND(_AC4="B-767-300ER",'2023'!$N$4="FO",'2023'!$N$2=BR43),'2023DATA2'!$M$14,"")</f>
        <v/>
      </c>
      <c r="BS55" s="520" t="str">
        <f>IF(AND(_AC4="B-767-300ER",'2023'!$N$4="FO",'2023'!$N$2=BS43),'2023DATA2'!$N$14,"")</f>
        <v/>
      </c>
      <c r="BT55" s="940"/>
      <c r="BU55" s="13" t="s">
        <v>62</v>
      </c>
      <c r="BV55" s="518" t="str">
        <f>IF(AND(_AC5="B-767-300ER",'2023'!$N$4="FO",'2023'!$N$2=BV43),'2023DATA2'!$C$14,"")</f>
        <v/>
      </c>
      <c r="BW55" s="518" t="str">
        <f>IF(AND(_AC5="B-767-300ER",'2023'!$N$4="FO",'2023'!$N$2=BW43),'2023DATA2'!$D$14,"")</f>
        <v/>
      </c>
      <c r="BX55" s="518" t="str">
        <f>IF(AND(_AC5="B-767-300ER",'2023'!$N$4="FO",'2023'!$N$2=BX43),'2023DATA2'!$E$14,"")</f>
        <v/>
      </c>
      <c r="BY55" s="518" t="str">
        <f>IF(AND(_AC5="B-767-300ER",'2023'!$N$4="FO",'2023'!$N$2=BY43),'2023DATA2'!$F$14,"")</f>
        <v/>
      </c>
      <c r="BZ55" s="518" t="str">
        <f>IF(AND(_AC5="B-767-300ER",'2023'!$N$4="FO",'2023'!$N$2=BZ43),'2023DATA2'!$G$14,"")</f>
        <v/>
      </c>
      <c r="CA55" s="518" t="str">
        <f>IF(AND(_AC5="B-767-300ER",'2023'!$N$4="FO",'2023'!$N$2=CA43),'2023DATA2'!$H$14,"")</f>
        <v/>
      </c>
      <c r="CB55" s="518" t="str">
        <f>IF(AND(_AC5="B-767-300ER",'2023'!$N$4="FO",'2023'!$N$2=CB43),'2023DATA2'!$I$14,"")</f>
        <v/>
      </c>
      <c r="CC55" s="518" t="str">
        <f>IF(AND(_AC5="B-767-300ER",'2023'!$N$4="FO",'2023'!$N$2=CC43),'2023DATA2'!$J$14,"")</f>
        <v/>
      </c>
      <c r="CD55" s="518" t="str">
        <f>IF(AND(_AC5="B-767-300ER",'2023'!$N$4="FO",'2023'!$N$2=CD43),'2023DATA2'!$K$14,"")</f>
        <v/>
      </c>
      <c r="CE55" s="518" t="str">
        <f>IF(AND(_AC5="B-767-300ER",'2023'!$N$4="FO",'2023'!$N$2=CE43),'2023DATA2'!$L$14,"")</f>
        <v/>
      </c>
      <c r="CF55" s="518" t="str">
        <f>IF(AND(_AC5="B-767-300ER",'2023'!$N$4="FO",'2023'!$N$2=CF43),'2023DATA2'!$M$14,"")</f>
        <v/>
      </c>
      <c r="CG55" s="520" t="str">
        <f>IF(AND(_AC5="B-767-300ER",'2023'!$N$4="FO",'2023'!$N$2=CG43),'2023DATA2'!$N$14,"")</f>
        <v/>
      </c>
      <c r="CH55" s="940"/>
      <c r="CI55" s="13" t="s">
        <v>62</v>
      </c>
      <c r="CJ55" s="518" t="str">
        <f>IF(AND(_AC6="B-767-300ER",'2023'!$N$4="FO",'2023'!$N$2=CJ43),'2023DATA2'!$C$14,"")</f>
        <v/>
      </c>
      <c r="CK55" s="518" t="str">
        <f>IF(AND(_AC6="B-767-300ER",'2023'!$N$4="FO",'2023'!$N$2=CK43),'2023DATA2'!$D$14,"")</f>
        <v/>
      </c>
      <c r="CL55" s="518" t="str">
        <f>IF(AND(_AC6="B-767-300ER",'2023'!$N$4="FO",'2023'!$N$2=CL43),'2023DATA2'!$E$14,"")</f>
        <v/>
      </c>
      <c r="CM55" s="518" t="str">
        <f>IF(AND(_AC6="B-767-300ER",'2023'!$N$4="FO",'2023'!$N$2=CM43),'2023DATA2'!$F$14,"")</f>
        <v/>
      </c>
      <c r="CN55" s="518" t="str">
        <f>IF(AND(_AC6="B-767-300ER",'2023'!$N$4="FO",'2023'!$N$2=CN43),'2023DATA2'!$G$14,"")</f>
        <v/>
      </c>
      <c r="CO55" s="518" t="str">
        <f>IF(AND(_AC6="B-767-300ER",'2023'!$N$4="FO",'2023'!$N$2=CO43),'2023DATA2'!$H$14,"")</f>
        <v/>
      </c>
      <c r="CP55" s="518" t="str">
        <f>IF(AND(_AC6="B-767-300ER",'2023'!$N$4="FO",'2023'!$N$2=CP43),'2023DATA2'!$I$14,"")</f>
        <v/>
      </c>
      <c r="CQ55" s="518" t="str">
        <f>IF(AND(_AC6="B-767-300ER",'2023'!$N$4="FO",'2023'!$N$2=CQ43),'2023DATA2'!$J$14,"")</f>
        <v/>
      </c>
      <c r="CR55" s="518" t="str">
        <f>IF(AND(_AC6="B-767-300ER",'2023'!$N$4="FO",'2023'!$N$2=CR43),'2023DATA2'!$K$14,"")</f>
        <v/>
      </c>
      <c r="CS55" s="518" t="str">
        <f>IF(AND(_AC6="B-767-300ER",'2023'!$N$4="FO",'2023'!$N$2=CS43),'2023DATA2'!$L$14,"")</f>
        <v/>
      </c>
      <c r="CT55" s="518" t="str">
        <f>IF(AND(_AC6="B-767-300ER",'2023'!$N$4="FO",'2023'!$N$2=CT43),'2023DATA2'!$M$14,"")</f>
        <v/>
      </c>
      <c r="CU55" s="520" t="str">
        <f>IF(AND(_AC6="B-767-300ER",'2023'!$N$4="FO",'2023'!$N$2=CU43),'2023DATA2'!$N$14,"")</f>
        <v/>
      </c>
    </row>
    <row r="56" spans="16:99" x14ac:dyDescent="0.25">
      <c r="P56" s="940" t="s">
        <v>67</v>
      </c>
      <c r="Q56" s="13" t="s">
        <v>61</v>
      </c>
      <c r="R56" s="518" t="str">
        <f>IF(AND(_AC1="B-767-300",'2023'!$N$4="CA",'2023'!$N$2=R43),'2023DATA2'!$C$15,"")</f>
        <v/>
      </c>
      <c r="S56" s="518" t="str">
        <f>IF(AND(_AC1="B-767-300",'2023'!$N$4="CA",'2023'!$N$2=S43),'2023DATA2'!$D$15,"")</f>
        <v/>
      </c>
      <c r="T56" s="518" t="str">
        <f>IF(AND(_AC1="B-767-300",'2023'!$N$4="CA",'2023'!$N$2=T43),'2023DATA2'!$E$15,"")</f>
        <v/>
      </c>
      <c r="U56" s="518" t="str">
        <f>IF(AND(_AC1="B-767-300",'2023'!$N$4="CA",'2023'!$N$2=U43),'2023DATA2'!$F$15,"")</f>
        <v/>
      </c>
      <c r="V56" s="518" t="str">
        <f>IF(AND(_AC1="B-767-300",'2023'!$N$4="CA",'2023'!$N$2=V43),'2023DATA2'!$G$15,"")</f>
        <v/>
      </c>
      <c r="W56" s="518" t="str">
        <f>IF(AND(_AC1="B-767-300",'2023'!$N$4="CA",'2023'!$N$2=W43),'2023DATA2'!$H$15,"")</f>
        <v/>
      </c>
      <c r="X56" s="518" t="str">
        <f>IF(AND(_AC1="B-767-300",'2023'!$N$4="CA",'2023'!$N$2=X43),'2023DATA2'!$I$15,"")</f>
        <v/>
      </c>
      <c r="Y56" s="518" t="str">
        <f>IF(AND(_AC1="B-767-300",'2023'!$N$4="CA",'2023'!$N$2=Y43),'2023DATA2'!$J$15,"")</f>
        <v/>
      </c>
      <c r="Z56" s="518" t="str">
        <f>IF(AND(_AC1="B-767-300",'2023'!$N$4="CA",'2023'!$N$2=Z43),'2023DATA2'!$K$15,"")</f>
        <v/>
      </c>
      <c r="AA56" s="518" t="str">
        <f>IF(AND(_AC1="B-767-300",'2023'!$N$4="CA",'2023'!$N$2=AA43),'2023DATA2'!$L$15,"")</f>
        <v/>
      </c>
      <c r="AB56" s="518" t="str">
        <f>IF(AND(_AC1="B-767-300",'2023'!$N$4="CA",'2023'!$N$2=AB43),'2023DATA2'!$M$15,"")</f>
        <v/>
      </c>
      <c r="AC56" s="520" t="str">
        <f>IF(AND(_AC1="B-767-300",'2023'!$N$4="CA",'2023'!$N$2=AC43),'2023DATA2'!$N$15,"")</f>
        <v/>
      </c>
      <c r="AD56" s="940" t="s">
        <v>67</v>
      </c>
      <c r="AE56" s="13" t="s">
        <v>61</v>
      </c>
      <c r="AF56" s="518" t="str">
        <f>IF(AND(_AC2="B-767-300",'2023'!$N$4="CA",'2023'!$N$2=AF43),'2023DATA2'!$C$15,"")</f>
        <v/>
      </c>
      <c r="AG56" s="518" t="str">
        <f>IF(AND(_AC2="B-767-300",'2023'!$N$4="CA",'2023'!$N$2=AG43),'2023DATA2'!$D$15,"")</f>
        <v/>
      </c>
      <c r="AH56" s="518" t="str">
        <f>IF(AND(_AC2="B-767-300",'2023'!$N$4="CA",'2023'!$N$2=AH43),'2023DATA2'!$E$15,"")</f>
        <v/>
      </c>
      <c r="AI56" s="518" t="str">
        <f>IF(AND(_AC2="B-767-300",'2023'!$N$4="CA",'2023'!$N$2=AI43),'2023DATA2'!$F$15,"")</f>
        <v/>
      </c>
      <c r="AJ56" s="518" t="str">
        <f>IF(AND(_AC2="B-767-300",'2023'!$N$4="CA",'2023'!$N$2=AJ43),'2023DATA2'!$G$15,"")</f>
        <v/>
      </c>
      <c r="AK56" s="518" t="str">
        <f>IF(AND(_AC2="B-767-300",'2023'!$N$4="CA",'2023'!$N$2=AK43),'2023DATA2'!$H$15,"")</f>
        <v/>
      </c>
      <c r="AL56" s="518" t="str">
        <f>IF(AND(_AC2="B-767-300",'2023'!$N$4="CA",'2023'!$N$2=AL43),'2023DATA2'!$I$15,"")</f>
        <v/>
      </c>
      <c r="AM56" s="518" t="str">
        <f>IF(AND(_AC2="B-767-300",'2023'!$N$4="CA",'2023'!$N$2=AM43),'2023DATA2'!$J$15,"")</f>
        <v/>
      </c>
      <c r="AN56" s="518" t="str">
        <f>IF(AND(_AC2="B-767-300",'2023'!$N$4="CA",'2023'!$N$2=AN43),'2023DATA2'!$K$15,"")</f>
        <v/>
      </c>
      <c r="AO56" s="518" t="str">
        <f>IF(AND(_AC2="B-767-300",'2023'!$N$4="CA",'2023'!$N$2=AO43),'2023DATA2'!$L$15,"")</f>
        <v/>
      </c>
      <c r="AP56" s="518" t="str">
        <f>IF(AND(_AC2="B-767-300",'2023'!$N$4="CA",'2023'!$N$2=AP43),'2023DATA2'!$M$15,"")</f>
        <v/>
      </c>
      <c r="AQ56" s="520" t="str">
        <f>IF(AND(_AC2="B-767-300",'2023'!$N$4="CA",'2023'!$N$2=AQ43),'2023DATA2'!$N$15,"")</f>
        <v/>
      </c>
      <c r="AR56" s="940" t="s">
        <v>67</v>
      </c>
      <c r="AS56" s="13" t="s">
        <v>61</v>
      </c>
      <c r="AT56" s="518" t="str">
        <f>IF(AND(_AC3="B-767-300",'2023'!$N$4="CA",'2023'!$N$2=AT43),'2023DATA2'!$C$15,"")</f>
        <v/>
      </c>
      <c r="AU56" s="518" t="str">
        <f>IF(AND(_AC3="B-767-300",'2023'!$N$4="CA",'2023'!$N$2=AU43),'2023DATA2'!$D$15,"")</f>
        <v/>
      </c>
      <c r="AV56" s="518" t="str">
        <f>IF(AND(_AC3="B-767-300",'2023'!$N$4="CA",'2023'!$N$2=AV43),'2023DATA2'!$E$15,"")</f>
        <v/>
      </c>
      <c r="AW56" s="518" t="str">
        <f>IF(AND(_AC3="B-767-300",'2023'!$N$4="CA",'2023'!$N$2=AW43),'2023DATA2'!$F$15,"")</f>
        <v/>
      </c>
      <c r="AX56" s="518" t="str">
        <f>IF(AND(_AC3="B-767-300",'2023'!$N$4="CA",'2023'!$N$2=AX43),'2023DATA2'!$G$15,"")</f>
        <v/>
      </c>
      <c r="AY56" s="518" t="str">
        <f>IF(AND(_AC3="B-767-300",'2023'!$N$4="CA",'2023'!$N$2=AY43),'2023DATA2'!$H$15,"")</f>
        <v/>
      </c>
      <c r="AZ56" s="518" t="str">
        <f>IF(AND(_AC3="B-767-300",'2023'!$N$4="CA",'2023'!$N$2=AZ43),'2023DATA2'!$I$15,"")</f>
        <v/>
      </c>
      <c r="BA56" s="518" t="str">
        <f>IF(AND(_AC3="B-767-300",'2023'!$N$4="CA",'2023'!$N$2=BA43),'2023DATA2'!$J$15,"")</f>
        <v/>
      </c>
      <c r="BB56" s="518" t="str">
        <f>IF(AND(_AC3="B-767-300",'2023'!$N$4="CA",'2023'!$N$2=BB43),'2023DATA2'!$K$15,"")</f>
        <v/>
      </c>
      <c r="BC56" s="518" t="str">
        <f>IF(AND(_AC3="B-767-300",'2023'!$N$4="CA",'2023'!$N$2=BC43),'2023DATA2'!$L$15,"")</f>
        <v/>
      </c>
      <c r="BD56" s="518" t="str">
        <f>IF(AND(_AC3="B-767-300",'2023'!$N$4="CA",'2023'!$N$2=BD43),'2023DATA2'!$M$15,"")</f>
        <v/>
      </c>
      <c r="BE56" s="520" t="str">
        <f>IF(AND(_AC3="B-767-300",'2023'!$N$4="CA",'2023'!$N$2=BE43),'2023DATA2'!$N$15,"")</f>
        <v/>
      </c>
      <c r="BF56" s="940" t="s">
        <v>67</v>
      </c>
      <c r="BG56" s="13" t="s">
        <v>61</v>
      </c>
      <c r="BH56" s="518" t="str">
        <f>IF(AND(_AC4="B-767-300",'2023'!$N$4="CA",'2023'!$N$2=BH43),'2023DATA2'!$C$15,"")</f>
        <v/>
      </c>
      <c r="BI56" s="518" t="str">
        <f>IF(AND(_AC4="B-767-300",'2023'!$N$4="CA",'2023'!$N$2=BI43),'2023DATA2'!$D$15,"")</f>
        <v/>
      </c>
      <c r="BJ56" s="518" t="str">
        <f>IF(AND(_AC4="B-767-300",'2023'!$N$4="CA",'2023'!$N$2=BJ43),'2023DATA2'!$E$15,"")</f>
        <v/>
      </c>
      <c r="BK56" s="518" t="str">
        <f>IF(AND(_AC4="B-767-300",'2023'!$N$4="CA",'2023'!$N$2=BK43),'2023DATA2'!$F$15,"")</f>
        <v/>
      </c>
      <c r="BL56" s="518" t="str">
        <f>IF(AND(_AC4="B-767-300",'2023'!$N$4="CA",'2023'!$N$2=BL43),'2023DATA2'!$G$15,"")</f>
        <v/>
      </c>
      <c r="BM56" s="518" t="str">
        <f>IF(AND(_AC4="B-767-300",'2023'!$N$4="CA",'2023'!$N$2=BM43),'2023DATA2'!$H$15,"")</f>
        <v/>
      </c>
      <c r="BN56" s="518" t="str">
        <f>IF(AND(_AC4="B-767-300",'2023'!$N$4="CA",'2023'!$N$2=BN43),'2023DATA2'!$I$15,"")</f>
        <v/>
      </c>
      <c r="BO56" s="518" t="str">
        <f>IF(AND(_AC4="B-767-300",'2023'!$N$4="CA",'2023'!$N$2=BO43),'2023DATA2'!$J$15,"")</f>
        <v/>
      </c>
      <c r="BP56" s="518" t="str">
        <f>IF(AND(_AC4="B-767-300",'2023'!$N$4="CA",'2023'!$N$2=BP43),'2023DATA2'!$K$15,"")</f>
        <v/>
      </c>
      <c r="BQ56" s="518" t="str">
        <f>IF(AND(_AC4="B-767-300",'2023'!$N$4="CA",'2023'!$N$2=BQ43),'2023DATA2'!$L$15,"")</f>
        <v/>
      </c>
      <c r="BR56" s="518" t="str">
        <f>IF(AND(_AC4="B-767-300",'2023'!$N$4="CA",'2023'!$N$2=BR43),'2023DATA2'!$M$15,"")</f>
        <v/>
      </c>
      <c r="BS56" s="520" t="str">
        <f>IF(AND(_AC4="B-767-300",'2023'!$N$4="CA",'2023'!$N$2=BS43),'2023DATA2'!$N$15,"")</f>
        <v/>
      </c>
      <c r="BT56" s="940" t="s">
        <v>67</v>
      </c>
      <c r="BU56" s="13" t="s">
        <v>61</v>
      </c>
      <c r="BV56" s="518" t="str">
        <f>IF(AND(_AC5="B-767-300",'2023'!$N$4="CA",'2023'!$N$2=BV43),'2023DATA2'!$C$15,"")</f>
        <v/>
      </c>
      <c r="BW56" s="518" t="str">
        <f>IF(AND(_AC5="B-767-300",'2023'!$N$4="CA",'2023'!$N$2=BW43),'2023DATA2'!$D$15,"")</f>
        <v/>
      </c>
      <c r="BX56" s="518" t="str">
        <f>IF(AND(_AC5="B-767-300",'2023'!$N$4="CA",'2023'!$N$2=BX43),'2023DATA2'!$E$15,"")</f>
        <v/>
      </c>
      <c r="BY56" s="518" t="str">
        <f>IF(AND(_AC5="B-767-300",'2023'!$N$4="CA",'2023'!$N$2=BY43),'2023DATA2'!$F$15,"")</f>
        <v/>
      </c>
      <c r="BZ56" s="518" t="str">
        <f>IF(AND(_AC5="B-767-300",'2023'!$N$4="CA",'2023'!$N$2=BZ43),'2023DATA2'!$G$15,"")</f>
        <v/>
      </c>
      <c r="CA56" s="518" t="str">
        <f>IF(AND(_AC5="B-767-300",'2023'!$N$4="CA",'2023'!$N$2=CA43),'2023DATA2'!$H$15,"")</f>
        <v/>
      </c>
      <c r="CB56" s="518" t="str">
        <f>IF(AND(_AC5="B-767-300",'2023'!$N$4="CA",'2023'!$N$2=CB43),'2023DATA2'!$I$15,"")</f>
        <v/>
      </c>
      <c r="CC56" s="518" t="str">
        <f>IF(AND(_AC5="B-767-300",'2023'!$N$4="CA",'2023'!$N$2=CC43),'2023DATA2'!$J$15,"")</f>
        <v/>
      </c>
      <c r="CD56" s="518" t="str">
        <f>IF(AND(_AC5="B-767-300",'2023'!$N$4="CA",'2023'!$N$2=CD43),'2023DATA2'!$K$15,"")</f>
        <v/>
      </c>
      <c r="CE56" s="518" t="str">
        <f>IF(AND(_AC5="B-767-300",'2023'!$N$4="CA",'2023'!$N$2=CE43),'2023DATA2'!$L$15,"")</f>
        <v/>
      </c>
      <c r="CF56" s="518" t="str">
        <f>IF(AND(_AC5="B-767-300",'2023'!$N$4="CA",'2023'!$N$2=CF43),'2023DATA2'!$M$15,"")</f>
        <v/>
      </c>
      <c r="CG56" s="520" t="str">
        <f>IF(AND(_AC5="B-767-300",'2023'!$N$4="CA",'2023'!$N$2=CG43),'2023DATA2'!$N$15,"")</f>
        <v/>
      </c>
      <c r="CH56" s="940" t="s">
        <v>67</v>
      </c>
      <c r="CI56" s="13" t="s">
        <v>61</v>
      </c>
      <c r="CJ56" s="518" t="str">
        <f>IF(AND(_AC6="B-767-300",'2023'!$N$4="CA",'2023'!$N$2=CJ43),'2023DATA2'!$C$15,"")</f>
        <v/>
      </c>
      <c r="CK56" s="518" t="str">
        <f>IF(AND(_AC6="B-767-300",'2023'!$N$4="CA",'2023'!$N$2=CK43),'2023DATA2'!$D$15,"")</f>
        <v/>
      </c>
      <c r="CL56" s="518" t="str">
        <f>IF(AND(_AC6="B-767-300",'2023'!$N$4="CA",'2023'!$N$2=CL43),'2023DATA2'!$E$15,"")</f>
        <v/>
      </c>
      <c r="CM56" s="518" t="str">
        <f>IF(AND(_AC6="B-767-300",'2023'!$N$4="CA",'2023'!$N$2=CM43),'2023DATA2'!$F$15,"")</f>
        <v/>
      </c>
      <c r="CN56" s="518" t="str">
        <f>IF(AND(_AC6="B-767-300",'2023'!$N$4="CA",'2023'!$N$2=CN43),'2023DATA2'!$G$15,"")</f>
        <v/>
      </c>
      <c r="CO56" s="518" t="str">
        <f>IF(AND(_AC6="B-767-300",'2023'!$N$4="CA",'2023'!$N$2=CO43),'2023DATA2'!$H$15,"")</f>
        <v/>
      </c>
      <c r="CP56" s="518" t="str">
        <f>IF(AND(_AC6="B-767-300",'2023'!$N$4="CA",'2023'!$N$2=CP43),'2023DATA2'!$I$15,"")</f>
        <v/>
      </c>
      <c r="CQ56" s="518" t="str">
        <f>IF(AND(_AC6="B-767-300",'2023'!$N$4="CA",'2023'!$N$2=CQ43),'2023DATA2'!$J$15,"")</f>
        <v/>
      </c>
      <c r="CR56" s="518" t="str">
        <f>IF(AND(_AC6="B-767-300",'2023'!$N$4="CA",'2023'!$N$2=CR43),'2023DATA2'!$K$15,"")</f>
        <v/>
      </c>
      <c r="CS56" s="518" t="str">
        <f>IF(AND(_AC6="B-767-300",'2023'!$N$4="CA",'2023'!$N$2=CS43),'2023DATA2'!$L$15,"")</f>
        <v/>
      </c>
      <c r="CT56" s="518" t="str">
        <f>IF(AND(_AC6="B-767-300",'2023'!$N$4="CA",'2023'!$N$2=CT43),'2023DATA2'!$M$15,"")</f>
        <v/>
      </c>
      <c r="CU56" s="520" t="str">
        <f>IF(AND(_AC6="B-767-300",'2023'!$N$4="CA",'2023'!$N$2=CU43),'2023DATA2'!$N$15,"")</f>
        <v/>
      </c>
    </row>
    <row r="57" spans="16:99" x14ac:dyDescent="0.25">
      <c r="P57" s="940"/>
      <c r="Q57" s="13" t="s">
        <v>62</v>
      </c>
      <c r="R57" s="518" t="str">
        <f>IF(AND(_AC1="B-767-300",'2023'!$N$4="FO",'2023'!$N$2=R43),'2023DATA2'!$C$16,"")</f>
        <v/>
      </c>
      <c r="S57" s="518" t="str">
        <f>IF(AND(_AC1="B-767-300",'2023'!$N$4="FO",'2023'!$N$2=S43),'2023DATA2'!$D$16,"")</f>
        <v/>
      </c>
      <c r="T57" s="518" t="str">
        <f>IF(AND(_AC1="B-767-300",'2023'!$N$4="FO",'2023'!$N$2=T43),'2023DATA2'!$E$16,"")</f>
        <v/>
      </c>
      <c r="U57" s="518" t="str">
        <f>IF(AND(_AC1="B-767-300",'2023'!$N$4="FO",'2023'!$N$2=U43),'2023DATA2'!$F$16,"")</f>
        <v/>
      </c>
      <c r="V57" s="518" t="str">
        <f>IF(AND(_AC1="B-767-300",'2023'!$N$4="FO",'2023'!$N$2=V43),'2023DATA2'!$G$16,"")</f>
        <v/>
      </c>
      <c r="W57" s="518" t="str">
        <f>IF(AND(_AC1="B-767-300",'2023'!$N$4="FO",'2023'!$N$2=W43),'2023DATA2'!$H$16,"")</f>
        <v/>
      </c>
      <c r="X57" s="518" t="str">
        <f>IF(AND(_AC1="B-767-300",'2023'!$N$4="FO",'2023'!$N$2=X43),'2023DATA2'!$I$16,"")</f>
        <v/>
      </c>
      <c r="Y57" s="518" t="str">
        <f>IF(AND(_AC1="B-767-300",'2023'!$N$4="FO",'2023'!$N$2=Y43),'2023DATA2'!$J$16,"")</f>
        <v/>
      </c>
      <c r="Z57" s="518" t="str">
        <f>IF(AND(_AC1="B-767-300",'2023'!$N$4="FO",'2023'!$N$2=Z43),'2023DATA2'!$K$16,"")</f>
        <v/>
      </c>
      <c r="AA57" s="518" t="str">
        <f>IF(AND(_AC1="B-767-300",'2023'!$N$4="FO",'2023'!$N$2=AA43),'2023DATA2'!$L$16,"")</f>
        <v/>
      </c>
      <c r="AB57" s="518" t="str">
        <f>IF(AND(_AC1="B-767-300",'2023'!$N$4="FO",'2023'!$N$2=AB43),'2023DATA2'!$M$16,"")</f>
        <v/>
      </c>
      <c r="AC57" s="520" t="str">
        <f>IF(AND(_AC1="B-767-300",'2023'!$N$4="FO",'2023'!$N$2=AC43),'2023DATA2'!$N$16,"")</f>
        <v/>
      </c>
      <c r="AD57" s="940"/>
      <c r="AE57" s="13" t="s">
        <v>62</v>
      </c>
      <c r="AF57" s="518" t="str">
        <f>IF(AND(_AC2="B-767-300",'2023'!$N$4="FO",'2023'!$N$2=AF43),'2023DATA2'!$C$16,"")</f>
        <v/>
      </c>
      <c r="AG57" s="518" t="str">
        <f>IF(AND(_AC2="B-767-300",'2023'!$N$4="FO",'2023'!$N$2=AG43),'2023DATA2'!$D$16,"")</f>
        <v/>
      </c>
      <c r="AH57" s="518" t="str">
        <f>IF(AND(_AC2="B-767-300",'2023'!$N$4="FO",'2023'!$N$2=AH43),'2023DATA2'!$E$16,"")</f>
        <v/>
      </c>
      <c r="AI57" s="518" t="str">
        <f>IF(AND(_AC2="B-767-300",'2023'!$N$4="FO",'2023'!$N$2=AI43),'2023DATA2'!$F$16,"")</f>
        <v/>
      </c>
      <c r="AJ57" s="518" t="str">
        <f>IF(AND(_AC2="B-767-300",'2023'!$N$4="FO",'2023'!$N$2=AJ43),'2023DATA2'!$G$16,"")</f>
        <v/>
      </c>
      <c r="AK57" s="518" t="str">
        <f>IF(AND(_AC2="B-767-300",'2023'!$N$4="FO",'2023'!$N$2=AK43),'2023DATA2'!$H$16,"")</f>
        <v/>
      </c>
      <c r="AL57" s="518" t="str">
        <f>IF(AND(_AC2="B-767-300",'2023'!$N$4="FO",'2023'!$N$2=AL43),'2023DATA2'!$I$16,"")</f>
        <v/>
      </c>
      <c r="AM57" s="518" t="str">
        <f>IF(AND(_AC2="B-767-300",'2023'!$N$4="FO",'2023'!$N$2=AM43),'2023DATA2'!$J$16,"")</f>
        <v/>
      </c>
      <c r="AN57" s="518" t="str">
        <f>IF(AND(_AC2="B-767-300",'2023'!$N$4="FO",'2023'!$N$2=AN43),'2023DATA2'!$K$16,"")</f>
        <v/>
      </c>
      <c r="AO57" s="518" t="str">
        <f>IF(AND(_AC2="B-767-300",'2023'!$N$4="FO",'2023'!$N$2=AO43),'2023DATA2'!$L$16,"")</f>
        <v/>
      </c>
      <c r="AP57" s="518" t="str">
        <f>IF(AND(_AC2="B-767-300",'2023'!$N$4="FO",'2023'!$N$2=AP43),'2023DATA2'!$M$16,"")</f>
        <v/>
      </c>
      <c r="AQ57" s="520" t="str">
        <f>IF(AND(_AC2="B-767-300",'2023'!$N$4="FO",'2023'!$N$2=AQ43),'2023DATA2'!$N$16,"")</f>
        <v/>
      </c>
      <c r="AR57" s="940"/>
      <c r="AS57" s="13" t="s">
        <v>62</v>
      </c>
      <c r="AT57" s="518" t="str">
        <f>IF(AND(_AC3="B-767-300",'2023'!$N$4="FO",'2023'!$N$2=AT43),'2023DATA2'!$C$16,"")</f>
        <v/>
      </c>
      <c r="AU57" s="518" t="str">
        <f>IF(AND(_AC3="B-767-300",'2023'!$N$4="FO",'2023'!$N$2=AU43),'2023DATA2'!$D$16,"")</f>
        <v/>
      </c>
      <c r="AV57" s="518" t="str">
        <f>IF(AND(_AC3="B-767-300",'2023'!$N$4="FO",'2023'!$N$2=AV43),'2023DATA2'!$E$16,"")</f>
        <v/>
      </c>
      <c r="AW57" s="518" t="str">
        <f>IF(AND(_AC3="B-767-300",'2023'!$N$4="FO",'2023'!$N$2=AW43),'2023DATA2'!$F$16,"")</f>
        <v/>
      </c>
      <c r="AX57" s="518" t="str">
        <f>IF(AND(_AC3="B-767-300",'2023'!$N$4="FO",'2023'!$N$2=AX43),'2023DATA2'!$G$16,"")</f>
        <v/>
      </c>
      <c r="AY57" s="518" t="str">
        <f>IF(AND(_AC3="B-767-300",'2023'!$N$4="FO",'2023'!$N$2=AY43),'2023DATA2'!$H$16,"")</f>
        <v/>
      </c>
      <c r="AZ57" s="518" t="str">
        <f>IF(AND(_AC3="B-767-300",'2023'!$N$4="FO",'2023'!$N$2=AZ43),'2023DATA2'!$I$16,"")</f>
        <v/>
      </c>
      <c r="BA57" s="518" t="str">
        <f>IF(AND(_AC3="B-767-300",'2023'!$N$4="FO",'2023'!$N$2=BA43),'2023DATA2'!$J$16,"")</f>
        <v/>
      </c>
      <c r="BB57" s="518" t="str">
        <f>IF(AND(_AC3="B-767-300",'2023'!$N$4="FO",'2023'!$N$2=BB43),'2023DATA2'!$K$16,"")</f>
        <v/>
      </c>
      <c r="BC57" s="518" t="str">
        <f>IF(AND(_AC3="B-767-300",'2023'!$N$4="FO",'2023'!$N$2=BC43),'2023DATA2'!$L$16,"")</f>
        <v/>
      </c>
      <c r="BD57" s="518" t="str">
        <f>IF(AND(_AC3="B-767-300",'2023'!$N$4="FO",'2023'!$N$2=BD43),'2023DATA2'!$M$16,"")</f>
        <v/>
      </c>
      <c r="BE57" s="520" t="str">
        <f>IF(AND(_AC3="B-767-300",'2023'!$N$4="FO",'2023'!$N$2=BE43),'2023DATA2'!$N$16,"")</f>
        <v/>
      </c>
      <c r="BF57" s="940"/>
      <c r="BG57" s="13" t="s">
        <v>62</v>
      </c>
      <c r="BH57" s="518" t="str">
        <f>IF(AND(_AC4="B-767-300",'2023'!$N$4="FO",'2023'!$N$2=BH43),'2023DATA2'!$C$16,"")</f>
        <v/>
      </c>
      <c r="BI57" s="518" t="str">
        <f>IF(AND(_AC4="B-767-300",'2023'!$N$4="FO",'2023'!$N$2=BI43),'2023DATA2'!$D$16,"")</f>
        <v/>
      </c>
      <c r="BJ57" s="518" t="str">
        <f>IF(AND(_AC4="B-767-300",'2023'!$N$4="FO",'2023'!$N$2=BJ43),'2023DATA2'!$E$16,"")</f>
        <v/>
      </c>
      <c r="BK57" s="518" t="str">
        <f>IF(AND(_AC4="B-767-300",'2023'!$N$4="FO",'2023'!$N$2=BK43),'2023DATA2'!$F$16,"")</f>
        <v/>
      </c>
      <c r="BL57" s="518" t="str">
        <f>IF(AND(_AC4="B-767-300",'2023'!$N$4="FO",'2023'!$N$2=BL43),'2023DATA2'!$G$16,"")</f>
        <v/>
      </c>
      <c r="BM57" s="518" t="str">
        <f>IF(AND(_AC4="B-767-300",'2023'!$N$4="FO",'2023'!$N$2=BM43),'2023DATA2'!$H$16,"")</f>
        <v/>
      </c>
      <c r="BN57" s="518" t="str">
        <f>IF(AND(_AC4="B-767-300",'2023'!$N$4="FO",'2023'!$N$2=BN43),'2023DATA2'!$I$16,"")</f>
        <v/>
      </c>
      <c r="BO57" s="518" t="str">
        <f>IF(AND(_AC4="B-767-300",'2023'!$N$4="FO",'2023'!$N$2=BO43),'2023DATA2'!$J$16,"")</f>
        <v/>
      </c>
      <c r="BP57" s="518" t="str">
        <f>IF(AND(_AC4="B-767-300",'2023'!$N$4="FO",'2023'!$N$2=BP43),'2023DATA2'!$K$16,"")</f>
        <v/>
      </c>
      <c r="BQ57" s="518" t="str">
        <f>IF(AND(_AC4="B-767-300",'2023'!$N$4="FO",'2023'!$N$2=BQ43),'2023DATA2'!$L$16,"")</f>
        <v/>
      </c>
      <c r="BR57" s="518" t="str">
        <f>IF(AND(_AC4="B-767-300",'2023'!$N$4="FO",'2023'!$N$2=BR43),'2023DATA2'!$M$16,"")</f>
        <v/>
      </c>
      <c r="BS57" s="520" t="str">
        <f>IF(AND(_AC4="B-767-300",'2023'!$N$4="FO",'2023'!$N$2=BS43),'2023DATA2'!$N$16,"")</f>
        <v/>
      </c>
      <c r="BT57" s="940"/>
      <c r="BU57" s="13" t="s">
        <v>62</v>
      </c>
      <c r="BV57" s="518" t="str">
        <f>IF(AND(_AC5="B-767-300",'2023'!$N$4="FO",'2023'!$N$2=BV43),'2023DATA2'!$C$16,"")</f>
        <v/>
      </c>
      <c r="BW57" s="518" t="str">
        <f>IF(AND(_AC5="B-767-300",'2023'!$N$4="FO",'2023'!$N$2=BW43),'2023DATA2'!$D$16,"")</f>
        <v/>
      </c>
      <c r="BX57" s="518" t="str">
        <f>IF(AND(_AC5="B-767-300",'2023'!$N$4="FO",'2023'!$N$2=BX43),'2023DATA2'!$E$16,"")</f>
        <v/>
      </c>
      <c r="BY57" s="518" t="str">
        <f>IF(AND(_AC5="B-767-300",'2023'!$N$4="FO",'2023'!$N$2=BY43),'2023DATA2'!$F$16,"")</f>
        <v/>
      </c>
      <c r="BZ57" s="518" t="str">
        <f>IF(AND(_AC5="B-767-300",'2023'!$N$4="FO",'2023'!$N$2=BZ43),'2023DATA2'!$G$16,"")</f>
        <v/>
      </c>
      <c r="CA57" s="518" t="str">
        <f>IF(AND(_AC5="B-767-300",'2023'!$N$4="FO",'2023'!$N$2=CA43),'2023DATA2'!$H$16,"")</f>
        <v/>
      </c>
      <c r="CB57" s="518" t="str">
        <f>IF(AND(_AC5="B-767-300",'2023'!$N$4="FO",'2023'!$N$2=CB43),'2023DATA2'!$I$16,"")</f>
        <v/>
      </c>
      <c r="CC57" s="518" t="str">
        <f>IF(AND(_AC5="B-767-300",'2023'!$N$4="FO",'2023'!$N$2=CC43),'2023DATA2'!$J$16,"")</f>
        <v/>
      </c>
      <c r="CD57" s="518" t="str">
        <f>IF(AND(_AC5="B-767-300",'2023'!$N$4="FO",'2023'!$N$2=CD43),'2023DATA2'!$K$16,"")</f>
        <v/>
      </c>
      <c r="CE57" s="518" t="str">
        <f>IF(AND(_AC5="B-767-300",'2023'!$N$4="FO",'2023'!$N$2=CE43),'2023DATA2'!$L$16,"")</f>
        <v/>
      </c>
      <c r="CF57" s="518" t="str">
        <f>IF(AND(_AC5="B-767-300",'2023'!$N$4="FO",'2023'!$N$2=CF43),'2023DATA2'!$M$16,"")</f>
        <v/>
      </c>
      <c r="CG57" s="520" t="str">
        <f>IF(AND(_AC5="B-767-300",'2023'!$N$4="FO",'2023'!$N$2=CG43),'2023DATA2'!$N$16,"")</f>
        <v/>
      </c>
      <c r="CH57" s="940"/>
      <c r="CI57" s="13" t="s">
        <v>62</v>
      </c>
      <c r="CJ57" s="518" t="str">
        <f>IF(AND(_AC6="B-767-300",'2023'!$N$4="FO",'2023'!$N$2=CJ43),'2023DATA2'!$C$16,"")</f>
        <v/>
      </c>
      <c r="CK57" s="518" t="str">
        <f>IF(AND(_AC6="B-767-300",'2023'!$N$4="FO",'2023'!$N$2=CK43),'2023DATA2'!$D$16,"")</f>
        <v/>
      </c>
      <c r="CL57" s="518" t="str">
        <f>IF(AND(_AC6="B-767-300",'2023'!$N$4="FO",'2023'!$N$2=CL43),'2023DATA2'!$E$16,"")</f>
        <v/>
      </c>
      <c r="CM57" s="518" t="str">
        <f>IF(AND(_AC6="B-767-300",'2023'!$N$4="FO",'2023'!$N$2=CM43),'2023DATA2'!$F$16,"")</f>
        <v/>
      </c>
      <c r="CN57" s="518" t="str">
        <f>IF(AND(_AC6="B-767-300",'2023'!$N$4="FO",'2023'!$N$2=CN43),'2023DATA2'!$G$16,"")</f>
        <v/>
      </c>
      <c r="CO57" s="518" t="str">
        <f>IF(AND(_AC6="B-767-300",'2023'!$N$4="FO",'2023'!$N$2=CO43),'2023DATA2'!$H$16,"")</f>
        <v/>
      </c>
      <c r="CP57" s="518" t="str">
        <f>IF(AND(_AC6="B-767-300",'2023'!$N$4="FO",'2023'!$N$2=CP43),'2023DATA2'!$I$16,"")</f>
        <v/>
      </c>
      <c r="CQ57" s="518" t="str">
        <f>IF(AND(_AC6="B-767-300",'2023'!$N$4="FO",'2023'!$N$2=CQ43),'2023DATA2'!$J$16,"")</f>
        <v/>
      </c>
      <c r="CR57" s="518" t="str">
        <f>IF(AND(_AC6="B-767-300",'2023'!$N$4="FO",'2023'!$N$2=CR43),'2023DATA2'!$K$16,"")</f>
        <v/>
      </c>
      <c r="CS57" s="518" t="str">
        <f>IF(AND(_AC6="B-767-300",'2023'!$N$4="FO",'2023'!$N$2=CS43),'2023DATA2'!$L$16,"")</f>
        <v/>
      </c>
      <c r="CT57" s="518" t="str">
        <f>IF(AND(_AC6="B-767-300",'2023'!$N$4="FO",'2023'!$N$2=CT43),'2023DATA2'!$M$16,"")</f>
        <v/>
      </c>
      <c r="CU57" s="520" t="str">
        <f>IF(AND(_AC6="B-767-300",'2023'!$N$4="FO",'2023'!$N$2=CU43),'2023DATA2'!$N$16,"")</f>
        <v/>
      </c>
    </row>
    <row r="58" spans="16:99" x14ac:dyDescent="0.25">
      <c r="P58" s="940" t="s">
        <v>68</v>
      </c>
      <c r="Q58" s="13" t="s">
        <v>61</v>
      </c>
      <c r="R58" s="518" t="str">
        <f>IF(AND(_AC1="B-767-200",'2023'!$N$4="CA",'2023'!$N$2=R43),'2023DATA2'!$C$17,"")</f>
        <v/>
      </c>
      <c r="S58" s="518" t="str">
        <f>IF(AND(_AC1="B-767-200",'2023'!$N$4="CA",'2023'!$N$2=S43),'2023DATA2'!$D$17,"")</f>
        <v/>
      </c>
      <c r="T58" s="518" t="str">
        <f>IF(AND(_AC1="B-767-200",'2023'!$N$4="CA",'2023'!$N$2=T43),'2023DATA2'!$E$17,"")</f>
        <v/>
      </c>
      <c r="U58" s="518" t="str">
        <f>IF(AND(_AC1="B-767-200",'2023'!$N$4="CA",'2023'!$N$2=U43),'2023DATA2'!$F$17,"")</f>
        <v/>
      </c>
      <c r="V58" s="518" t="str">
        <f>IF(AND(_AC1="B-767-200",'2023'!$N$4="CA",'2023'!$N$2=V43),'2023DATA2'!$G$17,"")</f>
        <v/>
      </c>
      <c r="W58" s="518" t="str">
        <f>IF(AND(_AC1="B-767-200",'2023'!$N$4="CA",'2023'!$N$2=W43),'2023DATA2'!$H$17,"")</f>
        <v/>
      </c>
      <c r="X58" s="518" t="str">
        <f>IF(AND(_AC1="B-767-200",'2023'!$N$4="CA",'2023'!$N$2=X43),'2023DATA2'!$I$17,"")</f>
        <v/>
      </c>
      <c r="Y58" s="518" t="str">
        <f>IF(AND(_AC1="B-767-200",'2023'!$N$4="CA",'2023'!$N$2=Y43),'2023DATA2'!$J$17,"")</f>
        <v/>
      </c>
      <c r="Z58" s="518" t="str">
        <f>IF(AND(_AC1="B-767-200",'2023'!$N$4="CA",'2023'!$N$2=Z43),'2023DATA2'!$K$17,"")</f>
        <v/>
      </c>
      <c r="AA58" s="518" t="str">
        <f>IF(AND(_AC1="B-767-200",'2023'!$N$4="CA",'2023'!$N$2=AA43),'2023DATA2'!$L$17,"")</f>
        <v/>
      </c>
      <c r="AB58" s="518" t="str">
        <f>IF(AND(_AC1="B-767-200",'2023'!$N$4="CA",'2023'!$N$2=AB43),'2023DATA2'!$M$17,"")</f>
        <v/>
      </c>
      <c r="AC58" s="520" t="str">
        <f>IF(AND(_AC1="B-767-200",'2023'!$N$4="CA",'2023'!$N$2=AC43),'2023DATA2'!$N$17,"")</f>
        <v/>
      </c>
      <c r="AD58" s="940" t="s">
        <v>68</v>
      </c>
      <c r="AE58" s="13" t="s">
        <v>61</v>
      </c>
      <c r="AF58" s="518" t="str">
        <f>IF(AND(_AC2="B-767-200",'2023'!$N$4="CA",'2023'!$N$2=AF43),'2023DATA2'!$C$17,"")</f>
        <v/>
      </c>
      <c r="AG58" s="518" t="str">
        <f>IF(AND(_AC2="B-767-200",'2023'!$N$4="CA",'2023'!$N$2=AG43),'2023DATA2'!$D$17,"")</f>
        <v/>
      </c>
      <c r="AH58" s="518" t="str">
        <f>IF(AND(_AC2="B-767-200",'2023'!$N$4="CA",'2023'!$N$2=AH43),'2023DATA2'!$E$17,"")</f>
        <v/>
      </c>
      <c r="AI58" s="518" t="str">
        <f>IF(AND(_AC2="B-767-200",'2023'!$N$4="CA",'2023'!$N$2=AI43),'2023DATA2'!$F$17,"")</f>
        <v/>
      </c>
      <c r="AJ58" s="518" t="str">
        <f>IF(AND(_AC2="B-767-200",'2023'!$N$4="CA",'2023'!$N$2=AJ43),'2023DATA2'!$G$17,"")</f>
        <v/>
      </c>
      <c r="AK58" s="518" t="str">
        <f>IF(AND(_AC2="B-767-200",'2023'!$N$4="CA",'2023'!$N$2=AK43),'2023DATA2'!$H$17,"")</f>
        <v/>
      </c>
      <c r="AL58" s="518" t="str">
        <f>IF(AND(_AC2="B-767-200",'2023'!$N$4="CA",'2023'!$N$2=AL43),'2023DATA2'!$I$17,"")</f>
        <v/>
      </c>
      <c r="AM58" s="518" t="str">
        <f>IF(AND(_AC2="B-767-200",'2023'!$N$4="CA",'2023'!$N$2=AM43),'2023DATA2'!$J$17,"")</f>
        <v/>
      </c>
      <c r="AN58" s="518" t="str">
        <f>IF(AND(_AC2="B-767-200",'2023'!$N$4="CA",'2023'!$N$2=AN43),'2023DATA2'!$K$17,"")</f>
        <v/>
      </c>
      <c r="AO58" s="518" t="str">
        <f>IF(AND(_AC2="B-767-200",'2023'!$N$4="CA",'2023'!$N$2=AO43),'2023DATA2'!$L$17,"")</f>
        <v/>
      </c>
      <c r="AP58" s="518" t="str">
        <f>IF(AND(_AC2="B-767-200",'2023'!$N$4="CA",'2023'!$N$2=AP43),'2023DATA2'!$M$17,"")</f>
        <v/>
      </c>
      <c r="AQ58" s="520" t="str">
        <f>IF(AND(_AC2="B-767-200",'2023'!$N$4="CA",'2023'!$N$2=AQ43),'2023DATA2'!$N$17,"")</f>
        <v/>
      </c>
      <c r="AR58" s="940" t="s">
        <v>68</v>
      </c>
      <c r="AS58" s="13" t="s">
        <v>61</v>
      </c>
      <c r="AT58" s="518" t="str">
        <f>IF(AND(_AC3="B-767-200",'2023'!$N$4="CA",'2023'!$N$2=AT43),'2023DATA2'!$C$17,"")</f>
        <v/>
      </c>
      <c r="AU58" s="518" t="str">
        <f>IF(AND(_AC3="B-767-200",'2023'!$N$4="CA",'2023'!$N$2=AU43),'2023DATA2'!$D$17,"")</f>
        <v/>
      </c>
      <c r="AV58" s="518" t="str">
        <f>IF(AND(_AC3="B-767-200",'2023'!$N$4="CA",'2023'!$N$2=AV43),'2023DATA2'!$E$17,"")</f>
        <v/>
      </c>
      <c r="AW58" s="518" t="str">
        <f>IF(AND(_AC3="B-767-200",'2023'!$N$4="CA",'2023'!$N$2=AW43),'2023DATA2'!$F$17,"")</f>
        <v/>
      </c>
      <c r="AX58" s="518" t="str">
        <f>IF(AND(_AC3="B-767-200",'2023'!$N$4="CA",'2023'!$N$2=AX43),'2023DATA2'!$G$17,"")</f>
        <v/>
      </c>
      <c r="AY58" s="518" t="str">
        <f>IF(AND(_AC3="B-767-200",'2023'!$N$4="CA",'2023'!$N$2=AY43),'2023DATA2'!$H$17,"")</f>
        <v/>
      </c>
      <c r="AZ58" s="518" t="str">
        <f>IF(AND(_AC3="B-767-200",'2023'!$N$4="CA",'2023'!$N$2=AZ43),'2023DATA2'!$I$17,"")</f>
        <v/>
      </c>
      <c r="BA58" s="518" t="str">
        <f>IF(AND(_AC3="B-767-200",'2023'!$N$4="CA",'2023'!$N$2=BA43),'2023DATA2'!$J$17,"")</f>
        <v/>
      </c>
      <c r="BB58" s="518" t="str">
        <f>IF(AND(_AC3="B-767-200",'2023'!$N$4="CA",'2023'!$N$2=BB43),'2023DATA2'!$K$17,"")</f>
        <v/>
      </c>
      <c r="BC58" s="518" t="str">
        <f>IF(AND(_AC3="B-767-200",'2023'!$N$4="CA",'2023'!$N$2=BC43),'2023DATA2'!$L$17,"")</f>
        <v/>
      </c>
      <c r="BD58" s="518" t="str">
        <f>IF(AND(_AC3="B-767-200",'2023'!$N$4="CA",'2023'!$N$2=BD43),'2023DATA2'!$M$17,"")</f>
        <v/>
      </c>
      <c r="BE58" s="520" t="str">
        <f>IF(AND(_AC3="B-767-200",'2023'!$N$4="CA",'2023'!$N$2=BE43),'2023DATA2'!$N$17,"")</f>
        <v/>
      </c>
      <c r="BF58" s="940" t="s">
        <v>68</v>
      </c>
      <c r="BG58" s="13" t="s">
        <v>61</v>
      </c>
      <c r="BH58" s="518" t="str">
        <f>IF(AND(_AC4="B-767-200",'2023'!$N$4="CA",'2023'!$N$2=BH43),'2023DATA2'!$C$17,"")</f>
        <v/>
      </c>
      <c r="BI58" s="518" t="str">
        <f>IF(AND(_AC4="B-767-200",'2023'!$N$4="CA",'2023'!$N$2=BI43),'2023DATA2'!$D$17,"")</f>
        <v/>
      </c>
      <c r="BJ58" s="518" t="str">
        <f>IF(AND(_AC4="B-767-200",'2023'!$N$4="CA",'2023'!$N$2=BJ43),'2023DATA2'!$E$17,"")</f>
        <v/>
      </c>
      <c r="BK58" s="518" t="str">
        <f>IF(AND(_AC4="B-767-200",'2023'!$N$4="CA",'2023'!$N$2=BK43),'2023DATA2'!$F$17,"")</f>
        <v/>
      </c>
      <c r="BL58" s="518" t="str">
        <f>IF(AND(_AC4="B-767-200",'2023'!$N$4="CA",'2023'!$N$2=BL43),'2023DATA2'!$G$17,"")</f>
        <v/>
      </c>
      <c r="BM58" s="518" t="str">
        <f>IF(AND(_AC4="B-767-200",'2023'!$N$4="CA",'2023'!$N$2=BM43),'2023DATA2'!$H$17,"")</f>
        <v/>
      </c>
      <c r="BN58" s="518" t="str">
        <f>IF(AND(_AC4="B-767-200",'2023'!$N$4="CA",'2023'!$N$2=BN43),'2023DATA2'!$I$17,"")</f>
        <v/>
      </c>
      <c r="BO58" s="518" t="str">
        <f>IF(AND(_AC4="B-767-200",'2023'!$N$4="CA",'2023'!$N$2=BO43),'2023DATA2'!$J$17,"")</f>
        <v/>
      </c>
      <c r="BP58" s="518" t="str">
        <f>IF(AND(_AC4="B-767-200",'2023'!$N$4="CA",'2023'!$N$2=BP43),'2023DATA2'!$K$17,"")</f>
        <v/>
      </c>
      <c r="BQ58" s="518" t="str">
        <f>IF(AND(_AC4="B-767-200",'2023'!$N$4="CA",'2023'!$N$2=BQ43),'2023DATA2'!$L$17,"")</f>
        <v/>
      </c>
      <c r="BR58" s="518" t="str">
        <f>IF(AND(_AC4="B-767-200",'2023'!$N$4="CA",'2023'!$N$2=BR43),'2023DATA2'!$M$17,"")</f>
        <v/>
      </c>
      <c r="BS58" s="520" t="str">
        <f>IF(AND(_AC4="B-767-200",'2023'!$N$4="CA",'2023'!$N$2=BS43),'2023DATA2'!$N$17,"")</f>
        <v/>
      </c>
      <c r="BT58" s="940" t="s">
        <v>68</v>
      </c>
      <c r="BU58" s="13" t="s">
        <v>61</v>
      </c>
      <c r="BV58" s="518" t="str">
        <f>IF(AND(_AC5="B-767-200",'2023'!$N$4="CA",'2023'!$N$2=BV43),'2023DATA2'!$C$17,"")</f>
        <v/>
      </c>
      <c r="BW58" s="518" t="str">
        <f>IF(AND(_AC5="B-767-200",'2023'!$N$4="CA",'2023'!$N$2=BW43),'2023DATA2'!$D$17,"")</f>
        <v/>
      </c>
      <c r="BX58" s="518" t="str">
        <f>IF(AND(_AC5="B-767-200",'2023'!$N$4="CA",'2023'!$N$2=BX43),'2023DATA2'!$E$17,"")</f>
        <v/>
      </c>
      <c r="BY58" s="518" t="str">
        <f>IF(AND(_AC5="B-767-200",'2023'!$N$4="CA",'2023'!$N$2=BY43),'2023DATA2'!$F$17,"")</f>
        <v/>
      </c>
      <c r="BZ58" s="518" t="str">
        <f>IF(AND(_AC5="B-767-200",'2023'!$N$4="CA",'2023'!$N$2=BZ43),'2023DATA2'!$G$17,"")</f>
        <v/>
      </c>
      <c r="CA58" s="518" t="str">
        <f>IF(AND(_AC5="B-767-200",'2023'!$N$4="CA",'2023'!$N$2=CA43),'2023DATA2'!$H$17,"")</f>
        <v/>
      </c>
      <c r="CB58" s="518" t="str">
        <f>IF(AND(_AC5="B-767-200",'2023'!$N$4="CA",'2023'!$N$2=CB43),'2023DATA2'!$I$17,"")</f>
        <v/>
      </c>
      <c r="CC58" s="518" t="str">
        <f>IF(AND(_AC5="B-767-200",'2023'!$N$4="CA",'2023'!$N$2=CC43),'2023DATA2'!$J$17,"")</f>
        <v/>
      </c>
      <c r="CD58" s="518" t="str">
        <f>IF(AND(_AC5="B-767-200",'2023'!$N$4="CA",'2023'!$N$2=CD43),'2023DATA2'!$K$17,"")</f>
        <v/>
      </c>
      <c r="CE58" s="518" t="str">
        <f>IF(AND(_AC5="B-767-200",'2023'!$N$4="CA",'2023'!$N$2=CE43),'2023DATA2'!$L$17,"")</f>
        <v/>
      </c>
      <c r="CF58" s="518" t="str">
        <f>IF(AND(_AC5="B-767-200",'2023'!$N$4="CA",'2023'!$N$2=CF43),'2023DATA2'!$M$17,"")</f>
        <v/>
      </c>
      <c r="CG58" s="520" t="str">
        <f>IF(AND(_AC5="B-767-200",'2023'!$N$4="CA",'2023'!$N$2=CG43),'2023DATA2'!$N$17,"")</f>
        <v/>
      </c>
      <c r="CH58" s="940" t="s">
        <v>68</v>
      </c>
      <c r="CI58" s="13" t="s">
        <v>61</v>
      </c>
      <c r="CJ58" s="518" t="str">
        <f>IF(AND(_AC6="B-767-200",'2023'!$N$4="CA",'2023'!$N$2=CJ43),'2023DATA2'!$C$17,"")</f>
        <v/>
      </c>
      <c r="CK58" s="518" t="str">
        <f>IF(AND(_AC6="B-767-200",'2023'!$N$4="CA",'2023'!$N$2=CK43),'2023DATA2'!$D$17,"")</f>
        <v/>
      </c>
      <c r="CL58" s="518" t="str">
        <f>IF(AND(_AC6="B-767-200",'2023'!$N$4="CA",'2023'!$N$2=CL43),'2023DATA2'!$E$17,"")</f>
        <v/>
      </c>
      <c r="CM58" s="518" t="str">
        <f>IF(AND(_AC6="B-767-200",'2023'!$N$4="CA",'2023'!$N$2=CM43),'2023DATA2'!$F$17,"")</f>
        <v/>
      </c>
      <c r="CN58" s="518" t="str">
        <f>IF(AND(_AC6="B-767-200",'2023'!$N$4="CA",'2023'!$N$2=CN43),'2023DATA2'!$G$17,"")</f>
        <v/>
      </c>
      <c r="CO58" s="518" t="str">
        <f>IF(AND(_AC6="B-767-200",'2023'!$N$4="CA",'2023'!$N$2=CO43),'2023DATA2'!$H$17,"")</f>
        <v/>
      </c>
      <c r="CP58" s="518" t="str">
        <f>IF(AND(_AC6="B-767-200",'2023'!$N$4="CA",'2023'!$N$2=CP43),'2023DATA2'!$I$17,"")</f>
        <v/>
      </c>
      <c r="CQ58" s="518" t="str">
        <f>IF(AND(_AC6="B-767-200",'2023'!$N$4="CA",'2023'!$N$2=CQ43),'2023DATA2'!$J$17,"")</f>
        <v/>
      </c>
      <c r="CR58" s="518" t="str">
        <f>IF(AND(_AC6="B-767-200",'2023'!$N$4="CA",'2023'!$N$2=CR43),'2023DATA2'!$K$17,"")</f>
        <v/>
      </c>
      <c r="CS58" s="518" t="str">
        <f>IF(AND(_AC6="B-767-200",'2023'!$N$4="CA",'2023'!$N$2=CS43),'2023DATA2'!$L$17,"")</f>
        <v/>
      </c>
      <c r="CT58" s="518" t="str">
        <f>IF(AND(_AC6="B-767-200",'2023'!$N$4="CA",'2023'!$N$2=CT43),'2023DATA2'!$M$17,"")</f>
        <v/>
      </c>
      <c r="CU58" s="520" t="str">
        <f>IF(AND(_AC6="B-767-200",'2023'!$N$4="CA",'2023'!$N$2=CU43),'2023DATA2'!$N$17,"")</f>
        <v/>
      </c>
    </row>
    <row r="59" spans="16:99" x14ac:dyDescent="0.25">
      <c r="P59" s="940"/>
      <c r="Q59" s="13" t="s">
        <v>62</v>
      </c>
      <c r="R59" s="518" t="str">
        <f>IF(AND(_AC1="B-767-200",'2023'!$N$4="FO",'2023'!$N$2=R43),'2023DATA2'!$C$18,"")</f>
        <v/>
      </c>
      <c r="S59" s="518" t="str">
        <f>IF(AND(_AC1="B-767-200",'2023'!$N$4="FO",'2023'!$N$2=S43),'2023DATA2'!$D$18,"")</f>
        <v/>
      </c>
      <c r="T59" s="518" t="str">
        <f>IF(AND(_AC1="B-767-200",'2023'!$N$4="FO",'2023'!$N$2=T43),'2023DATA2'!$E$18,"")</f>
        <v/>
      </c>
      <c r="U59" s="518" t="str">
        <f>IF(AND(_AC1="B-767-200",'2023'!$N$4="FO",'2023'!$N$2=U43),'2023DATA2'!$F$18,"")</f>
        <v/>
      </c>
      <c r="V59" s="518" t="str">
        <f>IF(AND(_AC1="B-767-200",'2023'!$N$4="FO",'2023'!$N$2=V43),'2023DATA2'!$G$18,"")</f>
        <v/>
      </c>
      <c r="W59" s="518" t="str">
        <f>IF(AND(_AC1="B-767-200",'2023'!$N$4="FO",'2023'!$N$2=W43),'2023DATA2'!$H$18,"")</f>
        <v/>
      </c>
      <c r="X59" s="518" t="str">
        <f>IF(AND(_AC1="B-767-200",'2023'!$N$4="FO",'2023'!$N$2=X43),'2023DATA2'!$I$18,"")</f>
        <v/>
      </c>
      <c r="Y59" s="518" t="str">
        <f>IF(AND(_AC1="B-767-200",'2023'!$N$4="FO",'2023'!$N$2=Y43),'2023DATA2'!$J$18,"")</f>
        <v/>
      </c>
      <c r="Z59" s="518" t="str">
        <f>IF(AND(_AC1="B-767-200",'2023'!$N$4="FO",'2023'!$N$2=Z43),'2023DATA2'!$K$18,"")</f>
        <v/>
      </c>
      <c r="AA59" s="518" t="str">
        <f>IF(AND(_AC1="B-767-200",'2023'!$N$4="FO",'2023'!$N$2=AA43),'2023DATA2'!$L$18,"")</f>
        <v/>
      </c>
      <c r="AB59" s="518" t="str">
        <f>IF(AND(_AC1="B-767-200",'2023'!$N$4="FO",'2023'!$N$2=AB43),'2023DATA2'!$M$18,"")</f>
        <v/>
      </c>
      <c r="AC59" s="520" t="str">
        <f>IF(AND(_AC1="B-767-200",'2023'!$N$4="FO",'2023'!$N$2=AC43),'2023DATA2'!$N$18,"")</f>
        <v/>
      </c>
      <c r="AD59" s="940"/>
      <c r="AE59" s="13" t="s">
        <v>62</v>
      </c>
      <c r="AF59" s="518" t="str">
        <f>IF(AND(_AC2="B-767-200",'2023'!$N$4="FO",'2023'!$N$2=AF43),'2023DATA2'!$C$18,"")</f>
        <v/>
      </c>
      <c r="AG59" s="518" t="str">
        <f>IF(AND(_AC2="B-767-200",'2023'!$N$4="FO",'2023'!$N$2=AG43),'2023DATA2'!$D$18,"")</f>
        <v/>
      </c>
      <c r="AH59" s="518" t="str">
        <f>IF(AND(_AC2="B-767-200",'2023'!$N$4="FO",'2023'!$N$2=AH43),'2023DATA2'!$E$18,"")</f>
        <v/>
      </c>
      <c r="AI59" s="518" t="str">
        <f>IF(AND(_AC2="B-767-200",'2023'!$N$4="FO",'2023'!$N$2=AI43),'2023DATA2'!$F$18,"")</f>
        <v/>
      </c>
      <c r="AJ59" s="518" t="str">
        <f>IF(AND(_AC2="B-767-200",'2023'!$N$4="FO",'2023'!$N$2=AJ43),'2023DATA2'!$G$18,"")</f>
        <v/>
      </c>
      <c r="AK59" s="518" t="str">
        <f>IF(AND(_AC2="B-767-200",'2023'!$N$4="FO",'2023'!$N$2=AK43),'2023DATA2'!$H$18,"")</f>
        <v/>
      </c>
      <c r="AL59" s="518" t="str">
        <f>IF(AND(_AC2="B-767-200",'2023'!$N$4="FO",'2023'!$N$2=AL43),'2023DATA2'!$I$18,"")</f>
        <v/>
      </c>
      <c r="AM59" s="518" t="str">
        <f>IF(AND(_AC2="B-767-200",'2023'!$N$4="FO",'2023'!$N$2=AM43),'2023DATA2'!$J$18,"")</f>
        <v/>
      </c>
      <c r="AN59" s="518" t="str">
        <f>IF(AND(_AC2="B-767-200",'2023'!$N$4="FO",'2023'!$N$2=AN43),'2023DATA2'!$K$18,"")</f>
        <v/>
      </c>
      <c r="AO59" s="518" t="str">
        <f>IF(AND(_AC2="B-767-200",'2023'!$N$4="FO",'2023'!$N$2=AO43),'2023DATA2'!$L$18,"")</f>
        <v/>
      </c>
      <c r="AP59" s="518" t="str">
        <f>IF(AND(_AC2="B-767-200",'2023'!$N$4="FO",'2023'!$N$2=AP43),'2023DATA2'!$M$18,"")</f>
        <v/>
      </c>
      <c r="AQ59" s="520" t="str">
        <f>IF(AND(_AC2="B-767-200",'2023'!$N$4="FO",'2023'!$N$2=AQ43),'2023DATA2'!$N$18,"")</f>
        <v/>
      </c>
      <c r="AR59" s="940"/>
      <c r="AS59" s="13" t="s">
        <v>62</v>
      </c>
      <c r="AT59" s="518" t="str">
        <f>IF(AND(_AC3="B-767-200",'2023'!$N$4="FO",'2023'!$N$2=AT43),'2023DATA2'!$C$18,"")</f>
        <v/>
      </c>
      <c r="AU59" s="518" t="str">
        <f>IF(AND(_AC3="B-767-200",'2023'!$N$4="FO",'2023'!$N$2=AU43),'2023DATA2'!$D$18,"")</f>
        <v/>
      </c>
      <c r="AV59" s="518" t="str">
        <f>IF(AND(_AC3="B-767-200",'2023'!$N$4="FO",'2023'!$N$2=AV43),'2023DATA2'!$E$18,"")</f>
        <v/>
      </c>
      <c r="AW59" s="518" t="str">
        <f>IF(AND(_AC3="B-767-200",'2023'!$N$4="FO",'2023'!$N$2=AW43),'2023DATA2'!$F$18,"")</f>
        <v/>
      </c>
      <c r="AX59" s="518" t="str">
        <f>IF(AND(_AC3="B-767-200",'2023'!$N$4="FO",'2023'!$N$2=AX43),'2023DATA2'!$G$18,"")</f>
        <v/>
      </c>
      <c r="AY59" s="518" t="str">
        <f>IF(AND(_AC3="B-767-200",'2023'!$N$4="FO",'2023'!$N$2=AY43),'2023DATA2'!$H$18,"")</f>
        <v/>
      </c>
      <c r="AZ59" s="518" t="str">
        <f>IF(AND(_AC3="B-767-200",'2023'!$N$4="FO",'2023'!$N$2=AZ43),'2023DATA2'!$I$18,"")</f>
        <v/>
      </c>
      <c r="BA59" s="518" t="str">
        <f>IF(AND(_AC3="B-767-200",'2023'!$N$4="FO",'2023'!$N$2=BA43),'2023DATA2'!$J$18,"")</f>
        <v/>
      </c>
      <c r="BB59" s="518" t="str">
        <f>IF(AND(_AC3="B-767-200",'2023'!$N$4="FO",'2023'!$N$2=BB43),'2023DATA2'!$K$18,"")</f>
        <v/>
      </c>
      <c r="BC59" s="518" t="str">
        <f>IF(AND(_AC3="B-767-200",'2023'!$N$4="FO",'2023'!$N$2=BC43),'2023DATA2'!$L$18,"")</f>
        <v/>
      </c>
      <c r="BD59" s="518" t="str">
        <f>IF(AND(_AC3="B-767-200",'2023'!$N$4="FO",'2023'!$N$2=BD43),'2023DATA2'!$M$18,"")</f>
        <v/>
      </c>
      <c r="BE59" s="520" t="str">
        <f>IF(AND(_AC3="B-767-200",'2023'!$N$4="FO",'2023'!$N$2=BE43),'2023DATA2'!$N$18,"")</f>
        <v/>
      </c>
      <c r="BF59" s="940"/>
      <c r="BG59" s="13" t="s">
        <v>62</v>
      </c>
      <c r="BH59" s="518" t="str">
        <f>IF(AND(_AC4="B-767-200",'2023'!$N$4="FO",'2023'!$N$2=BH43),'2023DATA2'!$C$18,"")</f>
        <v/>
      </c>
      <c r="BI59" s="518" t="str">
        <f>IF(AND(_AC4="B-767-200",'2023'!$N$4="FO",'2023'!$N$2=BI43),'2023DATA2'!$D$18,"")</f>
        <v/>
      </c>
      <c r="BJ59" s="518" t="str">
        <f>IF(AND(_AC4="B-767-200",'2023'!$N$4="FO",'2023'!$N$2=BJ43),'2023DATA2'!$E$18,"")</f>
        <v/>
      </c>
      <c r="BK59" s="518" t="str">
        <f>IF(AND(_AC4="B-767-200",'2023'!$N$4="FO",'2023'!$N$2=BK43),'2023DATA2'!$F$18,"")</f>
        <v/>
      </c>
      <c r="BL59" s="518" t="str">
        <f>IF(AND(_AC4="B-767-200",'2023'!$N$4="FO",'2023'!$N$2=BL43),'2023DATA2'!$G$18,"")</f>
        <v/>
      </c>
      <c r="BM59" s="518" t="str">
        <f>IF(AND(_AC4="B-767-200",'2023'!$N$4="FO",'2023'!$N$2=BM43),'2023DATA2'!$H$18,"")</f>
        <v/>
      </c>
      <c r="BN59" s="518" t="str">
        <f>IF(AND(_AC4="B-767-200",'2023'!$N$4="FO",'2023'!$N$2=BN43),'2023DATA2'!$I$18,"")</f>
        <v/>
      </c>
      <c r="BO59" s="518" t="str">
        <f>IF(AND(_AC4="B-767-200",'2023'!$N$4="FO",'2023'!$N$2=BO43),'2023DATA2'!$J$18,"")</f>
        <v/>
      </c>
      <c r="BP59" s="518" t="str">
        <f>IF(AND(_AC4="B-767-200",'2023'!$N$4="FO",'2023'!$N$2=BP43),'2023DATA2'!$K$18,"")</f>
        <v/>
      </c>
      <c r="BQ59" s="518" t="str">
        <f>IF(AND(_AC4="B-767-200",'2023'!$N$4="FO",'2023'!$N$2=BQ43),'2023DATA2'!$L$18,"")</f>
        <v/>
      </c>
      <c r="BR59" s="518" t="str">
        <f>IF(AND(_AC4="B-767-200",'2023'!$N$4="FO",'2023'!$N$2=BR43),'2023DATA2'!$M$18,"")</f>
        <v/>
      </c>
      <c r="BS59" s="520" t="str">
        <f>IF(AND(_AC4="B-767-200",'2023'!$N$4="FO",'2023'!$N$2=BS43),'2023DATA2'!$N$18,"")</f>
        <v/>
      </c>
      <c r="BT59" s="940"/>
      <c r="BU59" s="13" t="s">
        <v>62</v>
      </c>
      <c r="BV59" s="518" t="str">
        <f>IF(AND(_AC5="B-767-200",'2023'!$N$4="FO",'2023'!$N$2=BV43),'2023DATA2'!$C$18,"")</f>
        <v/>
      </c>
      <c r="BW59" s="518" t="str">
        <f>IF(AND(_AC5="B-767-200",'2023'!$N$4="FO",'2023'!$N$2=BW43),'2023DATA2'!$D$18,"")</f>
        <v/>
      </c>
      <c r="BX59" s="518" t="str">
        <f>IF(AND(_AC5="B-767-200",'2023'!$N$4="FO",'2023'!$N$2=BX43),'2023DATA2'!$E$18,"")</f>
        <v/>
      </c>
      <c r="BY59" s="518" t="str">
        <f>IF(AND(_AC5="B-767-200",'2023'!$N$4="FO",'2023'!$N$2=BY43),'2023DATA2'!$F$18,"")</f>
        <v/>
      </c>
      <c r="BZ59" s="518" t="str">
        <f>IF(AND(_AC5="B-767-200",'2023'!$N$4="FO",'2023'!$N$2=BZ43),'2023DATA2'!$G$18,"")</f>
        <v/>
      </c>
      <c r="CA59" s="518" t="str">
        <f>IF(AND(_AC5="B-767-200",'2023'!$N$4="FO",'2023'!$N$2=CA43),'2023DATA2'!$H$18,"")</f>
        <v/>
      </c>
      <c r="CB59" s="518" t="str">
        <f>IF(AND(_AC5="B-767-200",'2023'!$N$4="FO",'2023'!$N$2=CB43),'2023DATA2'!$I$18,"")</f>
        <v/>
      </c>
      <c r="CC59" s="518" t="str">
        <f>IF(AND(_AC5="B-767-200",'2023'!$N$4="FO",'2023'!$N$2=CC43),'2023DATA2'!$J$18,"")</f>
        <v/>
      </c>
      <c r="CD59" s="518" t="str">
        <f>IF(AND(_AC5="B-767-200",'2023'!$N$4="FO",'2023'!$N$2=CD43),'2023DATA2'!$K$18,"")</f>
        <v/>
      </c>
      <c r="CE59" s="518" t="str">
        <f>IF(AND(_AC5="B-767-200",'2023'!$N$4="FO",'2023'!$N$2=CE43),'2023DATA2'!$L$18,"")</f>
        <v/>
      </c>
      <c r="CF59" s="518" t="str">
        <f>IF(AND(_AC5="B-767-200",'2023'!$N$4="FO",'2023'!$N$2=CF43),'2023DATA2'!$M$18,"")</f>
        <v/>
      </c>
      <c r="CG59" s="520" t="str">
        <f>IF(AND(_AC5="B-767-200",'2023'!$N$4="FO",'2023'!$N$2=CG43),'2023DATA2'!$N$18,"")</f>
        <v/>
      </c>
      <c r="CH59" s="940"/>
      <c r="CI59" s="13" t="s">
        <v>62</v>
      </c>
      <c r="CJ59" s="518" t="str">
        <f>IF(AND(_AC6="B-767-200",'2023'!$N$4="FO",'2023'!$N$2=CJ43),'2023DATA2'!$C$18,"")</f>
        <v/>
      </c>
      <c r="CK59" s="518" t="str">
        <f>IF(AND(_AC6="B-767-200",'2023'!$N$4="FO",'2023'!$N$2=CK43),'2023DATA2'!$D$18,"")</f>
        <v/>
      </c>
      <c r="CL59" s="518" t="str">
        <f>IF(AND(_AC6="B-767-200",'2023'!$N$4="FO",'2023'!$N$2=CL43),'2023DATA2'!$E$18,"")</f>
        <v/>
      </c>
      <c r="CM59" s="518" t="str">
        <f>IF(AND(_AC6="B-767-200",'2023'!$N$4="FO",'2023'!$N$2=CM43),'2023DATA2'!$F$18,"")</f>
        <v/>
      </c>
      <c r="CN59" s="518" t="str">
        <f>IF(AND(_AC6="B-767-200",'2023'!$N$4="FO",'2023'!$N$2=CN43),'2023DATA2'!$G$18,"")</f>
        <v/>
      </c>
      <c r="CO59" s="518" t="str">
        <f>IF(AND(_AC6="B-767-200",'2023'!$N$4="FO",'2023'!$N$2=CO43),'2023DATA2'!$H$18,"")</f>
        <v/>
      </c>
      <c r="CP59" s="518" t="str">
        <f>IF(AND(_AC6="B-767-200",'2023'!$N$4="FO",'2023'!$N$2=CP43),'2023DATA2'!$I$18,"")</f>
        <v/>
      </c>
      <c r="CQ59" s="518" t="str">
        <f>IF(AND(_AC6="B-767-200",'2023'!$N$4="FO",'2023'!$N$2=CQ43),'2023DATA2'!$J$18,"")</f>
        <v/>
      </c>
      <c r="CR59" s="518" t="str">
        <f>IF(AND(_AC6="B-767-200",'2023'!$N$4="FO",'2023'!$N$2=CR43),'2023DATA2'!$K$18,"")</f>
        <v/>
      </c>
      <c r="CS59" s="518" t="str">
        <f>IF(AND(_AC6="B-767-200",'2023'!$N$4="FO",'2023'!$N$2=CS43),'2023DATA2'!$L$18,"")</f>
        <v/>
      </c>
      <c r="CT59" s="518" t="str">
        <f>IF(AND(_AC6="B-767-200",'2023'!$N$4="FO",'2023'!$N$2=CT43),'2023DATA2'!$M$18,"")</f>
        <v/>
      </c>
      <c r="CU59" s="520" t="str">
        <f>IF(AND(_AC6="B-767-200",'2023'!$N$4="FO",'2023'!$N$2=CU43),'2023DATA2'!$N$18,"")</f>
        <v/>
      </c>
    </row>
    <row r="60" spans="16:99" x14ac:dyDescent="0.25">
      <c r="P60" s="940" t="s">
        <v>45</v>
      </c>
      <c r="Q60" s="13" t="s">
        <v>61</v>
      </c>
      <c r="R60" s="518" t="str">
        <f>IF(AND(_AC1="B-757",'2023'!$N$4="CA",'2023'!$N$2=R43),'2023DATA2'!$C$19,"")</f>
        <v/>
      </c>
      <c r="S60" s="518" t="str">
        <f>IF(AND(_AC1="B-757",'2023'!$N$4="CA",'2023'!$N$2=S43),'2023DATA2'!$D$19,"")</f>
        <v/>
      </c>
      <c r="T60" s="518" t="str">
        <f>IF(AND(_AC1="B-757",'2023'!$N$4="CA",'2023'!$N$2=T43),'2023DATA2'!$E$19,"")</f>
        <v/>
      </c>
      <c r="U60" s="518" t="str">
        <f>IF(AND(_AC1="B-757",'2023'!$N$4="CA",'2023'!$N$2=U43),'2023DATA2'!$F$19,"")</f>
        <v/>
      </c>
      <c r="V60" s="518" t="str">
        <f>IF(AND(_AC1="B-757",'2023'!$N$4="CA",'2023'!$N$2=V43),'2023DATA2'!$G$19,"")</f>
        <v/>
      </c>
      <c r="W60" s="518" t="str">
        <f>IF(AND(_AC1="B-757",'2023'!$N$4="CA",'2023'!$N$2=W43),'2023DATA2'!$H$19,"")</f>
        <v/>
      </c>
      <c r="X60" s="518" t="str">
        <f>IF(AND(_AC1="B-757",'2023'!$N$4="CA",'2023'!$N$2=X43),'2023DATA2'!$I$19,"")</f>
        <v/>
      </c>
      <c r="Y60" s="518" t="str">
        <f>IF(AND(_AC1="B-757",'2023'!$N$4="CA",'2023'!$N$2=Y43),'2023DATA2'!$J$19,"")</f>
        <v/>
      </c>
      <c r="Z60" s="518" t="str">
        <f>IF(AND(_AC1="B-757",'2023'!$N$4="CA",'2023'!$N$2=Z43),'2023DATA2'!$K$19,"")</f>
        <v/>
      </c>
      <c r="AA60" s="518" t="str">
        <f>IF(AND(_AC1="B-757",'2023'!$N$4="CA",'2023'!$N$2=AA43),'2023DATA2'!$L$19,"")</f>
        <v/>
      </c>
      <c r="AB60" s="518" t="str">
        <f>IF(AND(_AC1="B-757",'2023'!$N$4="CA",'2023'!$N$2=AB43),'2023DATA2'!$M$19,"")</f>
        <v/>
      </c>
      <c r="AC60" s="520" t="str">
        <f>IF(AND(_AC1="B-757",'2023'!$N$4="CA",'2023'!$N$2=AC43),'2023DATA2'!$N$19,"")</f>
        <v/>
      </c>
      <c r="AD60" s="940" t="s">
        <v>45</v>
      </c>
      <c r="AE60" s="13" t="s">
        <v>61</v>
      </c>
      <c r="AF60" s="518" t="str">
        <f>IF(AND(_AC2="B-757",'2023'!$N$4="CA",'2023'!$N$2=AF43),'2023DATA2'!$C$19,"")</f>
        <v/>
      </c>
      <c r="AG60" s="518" t="str">
        <f>IF(AND(_AC2="B-757",'2023'!$N$4="CA",'2023'!$N$2=AG43),'2023DATA2'!$D$19,"")</f>
        <v/>
      </c>
      <c r="AH60" s="518" t="str">
        <f>IF(AND(_AC2="B-757",'2023'!$N$4="CA",'2023'!$N$2=AH43),'2023DATA2'!$E$19,"")</f>
        <v/>
      </c>
      <c r="AI60" s="518" t="str">
        <f>IF(AND(_AC2="B-757",'2023'!$N$4="CA",'2023'!$N$2=AI43),'2023DATA2'!$F$19,"")</f>
        <v/>
      </c>
      <c r="AJ60" s="518" t="str">
        <f>IF(AND(_AC2="B-757",'2023'!$N$4="CA",'2023'!$N$2=AJ43),'2023DATA2'!$G$19,"")</f>
        <v/>
      </c>
      <c r="AK60" s="518" t="str">
        <f>IF(AND(_AC2="B-757",'2023'!$N$4="CA",'2023'!$N$2=AK43),'2023DATA2'!$H$19,"")</f>
        <v/>
      </c>
      <c r="AL60" s="518" t="str">
        <f>IF(AND(_AC2="B-757",'2023'!$N$4="CA",'2023'!$N$2=AL43),'2023DATA2'!$I$19,"")</f>
        <v/>
      </c>
      <c r="AM60" s="518" t="str">
        <f>IF(AND(_AC2="B-757",'2023'!$N$4="CA",'2023'!$N$2=AM43),'2023DATA2'!$J$19,"")</f>
        <v/>
      </c>
      <c r="AN60" s="518" t="str">
        <f>IF(AND(_AC2="B-757",'2023'!$N$4="CA",'2023'!$N$2=AN43),'2023DATA2'!$K$19,"")</f>
        <v/>
      </c>
      <c r="AO60" s="518" t="str">
        <f>IF(AND(_AC2="B-757",'2023'!$N$4="CA",'2023'!$N$2=AO43),'2023DATA2'!$L$19,"")</f>
        <v/>
      </c>
      <c r="AP60" s="518" t="str">
        <f>IF(AND(_AC2="B-757",'2023'!$N$4="CA",'2023'!$N$2=AP43),'2023DATA2'!$M$19,"")</f>
        <v/>
      </c>
      <c r="AQ60" s="520" t="str">
        <f>IF(AND(_AC2="B-757",'2023'!$N$4="CA",'2023'!$N$2=AQ43),'2023DATA2'!$N$19,"")</f>
        <v/>
      </c>
      <c r="AR60" s="940" t="s">
        <v>45</v>
      </c>
      <c r="AS60" s="13" t="s">
        <v>61</v>
      </c>
      <c r="AT60" s="518" t="str">
        <f>IF(AND(_AC3="B-757",'2023'!$N$4="CA",'2023'!$N$2=AT43),'2023DATA2'!$C$19,"")</f>
        <v/>
      </c>
      <c r="AU60" s="518" t="str">
        <f>IF(AND(_AC3="B-757",'2023'!$N$4="CA",'2023'!$N$2=AU43),'2023DATA2'!$D$19,"")</f>
        <v/>
      </c>
      <c r="AV60" s="518" t="str">
        <f>IF(AND(_AC3="B-757",'2023'!$N$4="CA",'2023'!$N$2=AV43),'2023DATA2'!$E$19,"")</f>
        <v/>
      </c>
      <c r="AW60" s="518" t="str">
        <f>IF(AND(_AC3="B-757",'2023'!$N$4="CA",'2023'!$N$2=AW43),'2023DATA2'!$F$19,"")</f>
        <v/>
      </c>
      <c r="AX60" s="518" t="str">
        <f>IF(AND(_AC3="B-757",'2023'!$N$4="CA",'2023'!$N$2=AX43),'2023DATA2'!$G$19,"")</f>
        <v/>
      </c>
      <c r="AY60" s="518" t="str">
        <f>IF(AND(_AC3="B-757",'2023'!$N$4="CA",'2023'!$N$2=AY43),'2023DATA2'!$H$19,"")</f>
        <v/>
      </c>
      <c r="AZ60" s="518" t="str">
        <f>IF(AND(_AC3="B-757",'2023'!$N$4="CA",'2023'!$N$2=AZ43),'2023DATA2'!$I$19,"")</f>
        <v/>
      </c>
      <c r="BA60" s="518" t="str">
        <f>IF(AND(_AC3="B-757",'2023'!$N$4="CA",'2023'!$N$2=BA43),'2023DATA2'!$J$19,"")</f>
        <v/>
      </c>
      <c r="BB60" s="518" t="str">
        <f>IF(AND(_AC3="B-757",'2023'!$N$4="CA",'2023'!$N$2=BB43),'2023DATA2'!$K$19,"")</f>
        <v/>
      </c>
      <c r="BC60" s="518" t="str">
        <f>IF(AND(_AC3="B-757",'2023'!$N$4="CA",'2023'!$N$2=BC43),'2023DATA2'!$L$19,"")</f>
        <v/>
      </c>
      <c r="BD60" s="518" t="str">
        <f>IF(AND(_AC3="B-757",'2023'!$N$4="CA",'2023'!$N$2=BD43),'2023DATA2'!$M$19,"")</f>
        <v/>
      </c>
      <c r="BE60" s="520" t="str">
        <f>IF(AND(_AC3="B-757",'2023'!$N$4="CA",'2023'!$N$2=BE43),'2023DATA2'!$N$19,"")</f>
        <v/>
      </c>
      <c r="BF60" s="940" t="s">
        <v>45</v>
      </c>
      <c r="BG60" s="13" t="s">
        <v>61</v>
      </c>
      <c r="BH60" s="518" t="str">
        <f>IF(AND(_AC4="B-757",'2023'!$N$4="CA",'2023'!$N$2=BH43),'2023DATA2'!$C$19,"")</f>
        <v/>
      </c>
      <c r="BI60" s="518" t="str">
        <f>IF(AND(_AC4="B-757",'2023'!$N$4="CA",'2023'!$N$2=BI43),'2023DATA2'!$D$19,"")</f>
        <v/>
      </c>
      <c r="BJ60" s="518" t="str">
        <f>IF(AND(_AC4="B-757",'2023'!$N$4="CA",'2023'!$N$2=BJ43),'2023DATA2'!$E$19,"")</f>
        <v/>
      </c>
      <c r="BK60" s="518" t="str">
        <f>IF(AND(_AC4="B-757",'2023'!$N$4="CA",'2023'!$N$2=BK43),'2023DATA2'!$F$19,"")</f>
        <v/>
      </c>
      <c r="BL60" s="518" t="str">
        <f>IF(AND(_AC4="B-757",'2023'!$N$4="CA",'2023'!$N$2=BL43),'2023DATA2'!$G$19,"")</f>
        <v/>
      </c>
      <c r="BM60" s="518" t="str">
        <f>IF(AND(_AC4="B-757",'2023'!$N$4="CA",'2023'!$N$2=BM43),'2023DATA2'!$H$19,"")</f>
        <v/>
      </c>
      <c r="BN60" s="518" t="str">
        <f>IF(AND(_AC4="B-757",'2023'!$N$4="CA",'2023'!$N$2=BN43),'2023DATA2'!$I$19,"")</f>
        <v/>
      </c>
      <c r="BO60" s="518" t="str">
        <f>IF(AND(_AC4="B-757",'2023'!$N$4="CA",'2023'!$N$2=BO43),'2023DATA2'!$J$19,"")</f>
        <v/>
      </c>
      <c r="BP60" s="518" t="str">
        <f>IF(AND(_AC4="B-757",'2023'!$N$4="CA",'2023'!$N$2=BP43),'2023DATA2'!$K$19,"")</f>
        <v/>
      </c>
      <c r="BQ60" s="518" t="str">
        <f>IF(AND(_AC4="B-757",'2023'!$N$4="CA",'2023'!$N$2=BQ43),'2023DATA2'!$L$19,"")</f>
        <v/>
      </c>
      <c r="BR60" s="518" t="str">
        <f>IF(AND(_AC4="B-757",'2023'!$N$4="CA",'2023'!$N$2=BR43),'2023DATA2'!$M$19,"")</f>
        <v/>
      </c>
      <c r="BS60" s="520" t="str">
        <f>IF(AND(_AC4="B-757",'2023'!$N$4="CA",'2023'!$N$2=BS43),'2023DATA2'!$N$19,"")</f>
        <v/>
      </c>
      <c r="BT60" s="940" t="s">
        <v>45</v>
      </c>
      <c r="BU60" s="13" t="s">
        <v>61</v>
      </c>
      <c r="BV60" s="518" t="str">
        <f>IF(AND(_AC5="B-757",'2023'!$N$4="CA",'2023'!$N$2=BV43),'2023DATA2'!$C$19,"")</f>
        <v/>
      </c>
      <c r="BW60" s="518" t="str">
        <f>IF(AND(_AC5="B-757",'2023'!$N$4="CA",'2023'!$N$2=BW43),'2023DATA2'!$D$19,"")</f>
        <v/>
      </c>
      <c r="BX60" s="518" t="str">
        <f>IF(AND(_AC5="B-757",'2023'!$N$4="CA",'2023'!$N$2=BX43),'2023DATA2'!$E$19,"")</f>
        <v/>
      </c>
      <c r="BY60" s="518" t="str">
        <f>IF(AND(_AC5="B-757",'2023'!$N$4="CA",'2023'!$N$2=BY43),'2023DATA2'!$F$19,"")</f>
        <v/>
      </c>
      <c r="BZ60" s="518" t="str">
        <f>IF(AND(_AC5="B-757",'2023'!$N$4="CA",'2023'!$N$2=BZ43),'2023DATA2'!$G$19,"")</f>
        <v/>
      </c>
      <c r="CA60" s="518" t="str">
        <f>IF(AND(_AC5="B-757",'2023'!$N$4="CA",'2023'!$N$2=CA43),'2023DATA2'!$H$19,"")</f>
        <v/>
      </c>
      <c r="CB60" s="518" t="str">
        <f>IF(AND(_AC5="B-757",'2023'!$N$4="CA",'2023'!$N$2=CB43),'2023DATA2'!$I$19,"")</f>
        <v/>
      </c>
      <c r="CC60" s="518" t="str">
        <f>IF(AND(_AC5="B-757",'2023'!$N$4="CA",'2023'!$N$2=CC43),'2023DATA2'!$J$19,"")</f>
        <v/>
      </c>
      <c r="CD60" s="518" t="str">
        <f>IF(AND(_AC5="B-757",'2023'!$N$4="CA",'2023'!$N$2=CD43),'2023DATA2'!$K$19,"")</f>
        <v/>
      </c>
      <c r="CE60" s="518" t="str">
        <f>IF(AND(_AC5="B-757",'2023'!$N$4="CA",'2023'!$N$2=CE43),'2023DATA2'!$L$19,"")</f>
        <v/>
      </c>
      <c r="CF60" s="518" t="str">
        <f>IF(AND(_AC5="B-757",'2023'!$N$4="CA",'2023'!$N$2=CF43),'2023DATA2'!$M$19,"")</f>
        <v/>
      </c>
      <c r="CG60" s="520" t="str">
        <f>IF(AND(_AC5="B-757",'2023'!$N$4="CA",'2023'!$N$2=CG43),'2023DATA2'!$N$19,"")</f>
        <v/>
      </c>
      <c r="CH60" s="940" t="s">
        <v>45</v>
      </c>
      <c r="CI60" s="13" t="s">
        <v>61</v>
      </c>
      <c r="CJ60" s="518" t="str">
        <f>IF(AND(_AC6="B-757",'2023'!$N$4="CA",'2023'!$N$2=CJ43),'2023DATA2'!$C$19,"")</f>
        <v/>
      </c>
      <c r="CK60" s="518" t="str">
        <f>IF(AND(_AC6="B-757",'2023'!$N$4="CA",'2023'!$N$2=CK43),'2023DATA2'!$D$19,"")</f>
        <v/>
      </c>
      <c r="CL60" s="518" t="str">
        <f>IF(AND(_AC6="B-757",'2023'!$N$4="CA",'2023'!$N$2=CL43),'2023DATA2'!$E$19,"")</f>
        <v/>
      </c>
      <c r="CM60" s="518" t="str">
        <f>IF(AND(_AC6="B-757",'2023'!$N$4="CA",'2023'!$N$2=CM43),'2023DATA2'!$F$19,"")</f>
        <v/>
      </c>
      <c r="CN60" s="518" t="str">
        <f>IF(AND(_AC6="B-757",'2023'!$N$4="CA",'2023'!$N$2=CN43),'2023DATA2'!$G$19,"")</f>
        <v/>
      </c>
      <c r="CO60" s="518" t="str">
        <f>IF(AND(_AC6="B-757",'2023'!$N$4="CA",'2023'!$N$2=CO43),'2023DATA2'!$H$19,"")</f>
        <v/>
      </c>
      <c r="CP60" s="518" t="str">
        <f>IF(AND(_AC6="B-757",'2023'!$N$4="CA",'2023'!$N$2=CP43),'2023DATA2'!$I$19,"")</f>
        <v/>
      </c>
      <c r="CQ60" s="518" t="str">
        <f>IF(AND(_AC6="B-757",'2023'!$N$4="CA",'2023'!$N$2=CQ43),'2023DATA2'!$J$19,"")</f>
        <v/>
      </c>
      <c r="CR60" s="518" t="str">
        <f>IF(AND(_AC6="B-757",'2023'!$N$4="CA",'2023'!$N$2=CR43),'2023DATA2'!$K$19,"")</f>
        <v/>
      </c>
      <c r="CS60" s="518" t="str">
        <f>IF(AND(_AC6="B-757",'2023'!$N$4="CA",'2023'!$N$2=CS43),'2023DATA2'!$L$19,"")</f>
        <v/>
      </c>
      <c r="CT60" s="518" t="str">
        <f>IF(AND(_AC6="B-757",'2023'!$N$4="CA",'2023'!$N$2=CT43),'2023DATA2'!$M$19,"")</f>
        <v/>
      </c>
      <c r="CU60" s="520" t="str">
        <f>IF(AND(_AC6="B-757",'2023'!$N$4="CA",'2023'!$N$2=CU43),'2023DATA2'!$N$19,"")</f>
        <v/>
      </c>
    </row>
    <row r="61" spans="16:99" x14ac:dyDescent="0.25">
      <c r="P61" s="940"/>
      <c r="Q61" s="13" t="s">
        <v>62</v>
      </c>
      <c r="R61" s="518" t="str">
        <f>IF(AND(_AC1="B-757",'2023'!$N$4="FO",'2023'!$N$2=R43),'2023DATA2'!$C$20,"")</f>
        <v/>
      </c>
      <c r="S61" s="518" t="str">
        <f>IF(AND(_AC1="B-757",'2023'!$N$4="FO",'2023'!$N$2=S43),'2023DATA2'!$D$20,"")</f>
        <v/>
      </c>
      <c r="T61" s="518" t="str">
        <f>IF(AND(_AC1="B-757",'2023'!$N$4="FO",'2023'!$N$2=T43),'2023DATA2'!$E$20,"")</f>
        <v/>
      </c>
      <c r="U61" s="518" t="str">
        <f>IF(AND(_AC1="B-757",'2023'!$N$4="FO",'2023'!$N$2=U43),'2023DATA2'!$F$20,"")</f>
        <v/>
      </c>
      <c r="V61" s="518" t="str">
        <f>IF(AND(_AC1="B-757",'2023'!$N$4="FO",'2023'!$N$2=V43),'2023DATA2'!$G$20,"")</f>
        <v/>
      </c>
      <c r="W61" s="518" t="str">
        <f>IF(AND(_AC1="B-757",'2023'!$N$4="FO",'2023'!$N$2=W43),'2023DATA2'!$H$20,"")</f>
        <v/>
      </c>
      <c r="X61" s="518" t="str">
        <f>IF(AND(_AC1="B-757",'2023'!$N$4="FO",'2023'!$N$2=X43),'2023DATA2'!$I$20,"")</f>
        <v/>
      </c>
      <c r="Y61" s="518" t="str">
        <f>IF(AND(_AC1="B-757",'2023'!$N$4="FO",'2023'!$N$2=Y43),'2023DATA2'!$J$20,"")</f>
        <v/>
      </c>
      <c r="Z61" s="518" t="str">
        <f>IF(AND(_AC1="B-757",'2023'!$N$4="FO",'2023'!$N$2=Z43),'2023DATA2'!$K$20,"")</f>
        <v/>
      </c>
      <c r="AA61" s="518" t="str">
        <f>IF(AND(_AC1="B-757",'2023'!$N$4="FO",'2023'!$N$2=AA43),'2023DATA2'!$L$20,"")</f>
        <v/>
      </c>
      <c r="AB61" s="518" t="str">
        <f>IF(AND(_AC1="B-757",'2023'!$N$4="FO",'2023'!$N$2=AB43),'2023DATA2'!$M$20,"")</f>
        <v/>
      </c>
      <c r="AC61" s="520" t="str">
        <f>IF(AND(_AC1="B-757",'2023'!$N$4="FO",'2023'!$N$2=AC43),'2023DATA2'!$N$20,"")</f>
        <v/>
      </c>
      <c r="AD61" s="940"/>
      <c r="AE61" s="13" t="s">
        <v>62</v>
      </c>
      <c r="AF61" s="518" t="str">
        <f>IF(AND(_AC2="B-757",'2023'!$N$4="FO",'2023'!$N$2=AF43),'2023DATA2'!$C$20,"")</f>
        <v/>
      </c>
      <c r="AG61" s="518" t="str">
        <f>IF(AND(_AC2="B-757",'2023'!$N$4="FO",'2023'!$N$2=AG43),'2023DATA2'!$D$20,"")</f>
        <v/>
      </c>
      <c r="AH61" s="518" t="str">
        <f>IF(AND(_AC2="B-757",'2023'!$N$4="FO",'2023'!$N$2=AH43),'2023DATA2'!$E$20,"")</f>
        <v/>
      </c>
      <c r="AI61" s="518" t="str">
        <f>IF(AND(_AC2="B-757",'2023'!$N$4="FO",'2023'!$N$2=AI43),'2023DATA2'!$F$20,"")</f>
        <v/>
      </c>
      <c r="AJ61" s="518" t="str">
        <f>IF(AND(_AC2="B-757",'2023'!$N$4="FO",'2023'!$N$2=AJ43),'2023DATA2'!$G$20,"")</f>
        <v/>
      </c>
      <c r="AK61" s="518" t="str">
        <f>IF(AND(_AC2="B-757",'2023'!$N$4="FO",'2023'!$N$2=AK43),'2023DATA2'!$H$20,"")</f>
        <v/>
      </c>
      <c r="AL61" s="518" t="str">
        <f>IF(AND(_AC2="B-757",'2023'!$N$4="FO",'2023'!$N$2=AL43),'2023DATA2'!$I$20,"")</f>
        <v/>
      </c>
      <c r="AM61" s="518" t="str">
        <f>IF(AND(_AC2="B-757",'2023'!$N$4="FO",'2023'!$N$2=AM43),'2023DATA2'!$J$20,"")</f>
        <v/>
      </c>
      <c r="AN61" s="518" t="str">
        <f>IF(AND(_AC2="B-757",'2023'!$N$4="FO",'2023'!$N$2=AN43),'2023DATA2'!$K$20,"")</f>
        <v/>
      </c>
      <c r="AO61" s="518" t="str">
        <f>IF(AND(_AC2="B-757",'2023'!$N$4="FO",'2023'!$N$2=AO43),'2023DATA2'!$L$20,"")</f>
        <v/>
      </c>
      <c r="AP61" s="518" t="str">
        <f>IF(AND(_AC2="B-757",'2023'!$N$4="FO",'2023'!$N$2=AP43),'2023DATA2'!$M$20,"")</f>
        <v/>
      </c>
      <c r="AQ61" s="520" t="str">
        <f>IF(AND(_AC2="B-757",'2023'!$N$4="FO",'2023'!$N$2=AQ43),'2023DATA2'!$N$20,"")</f>
        <v/>
      </c>
      <c r="AR61" s="940"/>
      <c r="AS61" s="13" t="s">
        <v>62</v>
      </c>
      <c r="AT61" s="518" t="str">
        <f>IF(AND(_AC3="B-757",'2023'!$N$4="FO",'2023'!$N$2=AT43),'2023DATA2'!$C$20,"")</f>
        <v/>
      </c>
      <c r="AU61" s="518" t="str">
        <f>IF(AND(_AC3="B-757",'2023'!$N$4="FO",'2023'!$N$2=AU43),'2023DATA2'!$D$20,"")</f>
        <v/>
      </c>
      <c r="AV61" s="518" t="str">
        <f>IF(AND(_AC3="B-757",'2023'!$N$4="FO",'2023'!$N$2=AV43),'2023DATA2'!$E$20,"")</f>
        <v/>
      </c>
      <c r="AW61" s="518" t="str">
        <f>IF(AND(_AC3="B-757",'2023'!$N$4="FO",'2023'!$N$2=AW43),'2023DATA2'!$F$20,"")</f>
        <v/>
      </c>
      <c r="AX61" s="518" t="str">
        <f>IF(AND(_AC3="B-757",'2023'!$N$4="FO",'2023'!$N$2=AX43),'2023DATA2'!$G$20,"")</f>
        <v/>
      </c>
      <c r="AY61" s="518" t="str">
        <f>IF(AND(_AC3="B-757",'2023'!$N$4="FO",'2023'!$N$2=AY43),'2023DATA2'!$H$20,"")</f>
        <v/>
      </c>
      <c r="AZ61" s="518" t="str">
        <f>IF(AND(_AC3="B-757",'2023'!$N$4="FO",'2023'!$N$2=AZ43),'2023DATA2'!$I$20,"")</f>
        <v/>
      </c>
      <c r="BA61" s="518" t="str">
        <f>IF(AND(_AC3="B-757",'2023'!$N$4="FO",'2023'!$N$2=BA43),'2023DATA2'!$J$20,"")</f>
        <v/>
      </c>
      <c r="BB61" s="518" t="str">
        <f>IF(AND(_AC3="B-757",'2023'!$N$4="FO",'2023'!$N$2=BB43),'2023DATA2'!$K$20,"")</f>
        <v/>
      </c>
      <c r="BC61" s="518" t="str">
        <f>IF(AND(_AC3="B-757",'2023'!$N$4="FO",'2023'!$N$2=BC43),'2023DATA2'!$L$20,"")</f>
        <v/>
      </c>
      <c r="BD61" s="518" t="str">
        <f>IF(AND(_AC3="B-757",'2023'!$N$4="FO",'2023'!$N$2=BD43),'2023DATA2'!$M$20,"")</f>
        <v/>
      </c>
      <c r="BE61" s="520" t="str">
        <f>IF(AND(_AC3="B-757",'2023'!$N$4="FO",'2023'!$N$2=BE43),'2023DATA2'!$N$20,"")</f>
        <v/>
      </c>
      <c r="BF61" s="940"/>
      <c r="BG61" s="13" t="s">
        <v>62</v>
      </c>
      <c r="BH61" s="518" t="str">
        <f>IF(AND(_AC4="B-757",'2023'!$N$4="FO",'2023'!$N$2=BH43),'2023DATA2'!$C$20,"")</f>
        <v/>
      </c>
      <c r="BI61" s="518" t="str">
        <f>IF(AND(_AC4="B-757",'2023'!$N$4="FO",'2023'!$N$2=BI43),'2023DATA2'!$D$20,"")</f>
        <v/>
      </c>
      <c r="BJ61" s="518" t="str">
        <f>IF(AND(_AC4="B-757",'2023'!$N$4="FO",'2023'!$N$2=BJ43),'2023DATA2'!$E$20,"")</f>
        <v/>
      </c>
      <c r="BK61" s="518" t="str">
        <f>IF(AND(_AC4="B-757",'2023'!$N$4="FO",'2023'!$N$2=BK43),'2023DATA2'!$F$20,"")</f>
        <v/>
      </c>
      <c r="BL61" s="518" t="str">
        <f>IF(AND(_AC4="B-757",'2023'!$N$4="FO",'2023'!$N$2=BL43),'2023DATA2'!$G$20,"")</f>
        <v/>
      </c>
      <c r="BM61" s="518" t="str">
        <f>IF(AND(_AC4="B-757",'2023'!$N$4="FO",'2023'!$N$2=BM43),'2023DATA2'!$H$20,"")</f>
        <v/>
      </c>
      <c r="BN61" s="518" t="str">
        <f>IF(AND(_AC4="B-757",'2023'!$N$4="FO",'2023'!$N$2=BN43),'2023DATA2'!$I$20,"")</f>
        <v/>
      </c>
      <c r="BO61" s="518" t="str">
        <f>IF(AND(_AC4="B-757",'2023'!$N$4="FO",'2023'!$N$2=BO43),'2023DATA2'!$J$20,"")</f>
        <v/>
      </c>
      <c r="BP61" s="518" t="str">
        <f>IF(AND(_AC4="B-757",'2023'!$N$4="FO",'2023'!$N$2=BP43),'2023DATA2'!$K$20,"")</f>
        <v/>
      </c>
      <c r="BQ61" s="518" t="str">
        <f>IF(AND(_AC4="B-757",'2023'!$N$4="FO",'2023'!$N$2=BQ43),'2023DATA2'!$L$20,"")</f>
        <v/>
      </c>
      <c r="BR61" s="518" t="str">
        <f>IF(AND(_AC4="B-757",'2023'!$N$4="FO",'2023'!$N$2=BR43),'2023DATA2'!$M$20,"")</f>
        <v/>
      </c>
      <c r="BS61" s="520" t="str">
        <f>IF(AND(_AC4="B-757",'2023'!$N$4="FO",'2023'!$N$2=BS43),'2023DATA2'!$N$20,"")</f>
        <v/>
      </c>
      <c r="BT61" s="940"/>
      <c r="BU61" s="13" t="s">
        <v>62</v>
      </c>
      <c r="BV61" s="518" t="str">
        <f>IF(AND(_AC5="B-757",'2023'!$N$4="FO",'2023'!$N$2=BV43),'2023DATA2'!$C$20,"")</f>
        <v/>
      </c>
      <c r="BW61" s="518" t="str">
        <f>IF(AND(_AC5="B-757",'2023'!$N$4="FO",'2023'!$N$2=BW43),'2023DATA2'!$D$20,"")</f>
        <v/>
      </c>
      <c r="BX61" s="518" t="str">
        <f>IF(AND(_AC5="B-757",'2023'!$N$4="FO",'2023'!$N$2=BX43),'2023DATA2'!$E$20,"")</f>
        <v/>
      </c>
      <c r="BY61" s="518" t="str">
        <f>IF(AND(_AC5="B-757",'2023'!$N$4="FO",'2023'!$N$2=BY43),'2023DATA2'!$F$20,"")</f>
        <v/>
      </c>
      <c r="BZ61" s="518" t="str">
        <f>IF(AND(_AC5="B-757",'2023'!$N$4="FO",'2023'!$N$2=BZ43),'2023DATA2'!$G$20,"")</f>
        <v/>
      </c>
      <c r="CA61" s="518" t="str">
        <f>IF(AND(_AC5="B-757",'2023'!$N$4="FO",'2023'!$N$2=CA43),'2023DATA2'!$H$20,"")</f>
        <v/>
      </c>
      <c r="CB61" s="518" t="str">
        <f>IF(AND(_AC5="B-757",'2023'!$N$4="FO",'2023'!$N$2=CB43),'2023DATA2'!$I$20,"")</f>
        <v/>
      </c>
      <c r="CC61" s="518" t="str">
        <f>IF(AND(_AC5="B-757",'2023'!$N$4="FO",'2023'!$N$2=CC43),'2023DATA2'!$J$20,"")</f>
        <v/>
      </c>
      <c r="CD61" s="518" t="str">
        <f>IF(AND(_AC5="B-757",'2023'!$N$4="FO",'2023'!$N$2=CD43),'2023DATA2'!$K$20,"")</f>
        <v/>
      </c>
      <c r="CE61" s="518" t="str">
        <f>IF(AND(_AC5="B-757",'2023'!$N$4="FO",'2023'!$N$2=CE43),'2023DATA2'!$L$20,"")</f>
        <v/>
      </c>
      <c r="CF61" s="518" t="str">
        <f>IF(AND(_AC5="B-757",'2023'!$N$4="FO",'2023'!$N$2=CF43),'2023DATA2'!$M$20,"")</f>
        <v/>
      </c>
      <c r="CG61" s="520" t="str">
        <f>IF(AND(_AC5="B-757",'2023'!$N$4="FO",'2023'!$N$2=CG43),'2023DATA2'!$N$20,"")</f>
        <v/>
      </c>
      <c r="CH61" s="940"/>
      <c r="CI61" s="13" t="s">
        <v>62</v>
      </c>
      <c r="CJ61" s="518" t="str">
        <f>IF(AND(_AC6="B-757",'2023'!$N$4="FO",'2023'!$N$2=CJ43),'2023DATA2'!$C$20,"")</f>
        <v/>
      </c>
      <c r="CK61" s="518" t="str">
        <f>IF(AND(_AC6="B-757",'2023'!$N$4="FO",'2023'!$N$2=CK43),'2023DATA2'!$D$20,"")</f>
        <v/>
      </c>
      <c r="CL61" s="518" t="str">
        <f>IF(AND(_AC6="B-757",'2023'!$N$4="FO",'2023'!$N$2=CL43),'2023DATA2'!$E$20,"")</f>
        <v/>
      </c>
      <c r="CM61" s="518" t="str">
        <f>IF(AND(_AC6="B-757",'2023'!$N$4="FO",'2023'!$N$2=CM43),'2023DATA2'!$F$20,"")</f>
        <v/>
      </c>
      <c r="CN61" s="518" t="str">
        <f>IF(AND(_AC6="B-757",'2023'!$N$4="FO",'2023'!$N$2=CN43),'2023DATA2'!$G$20,"")</f>
        <v/>
      </c>
      <c r="CO61" s="518" t="str">
        <f>IF(AND(_AC6="B-757",'2023'!$N$4="FO",'2023'!$N$2=CO43),'2023DATA2'!$H$20,"")</f>
        <v/>
      </c>
      <c r="CP61" s="518" t="str">
        <f>IF(AND(_AC6="B-757",'2023'!$N$4="FO",'2023'!$N$2=CP43),'2023DATA2'!$I$20,"")</f>
        <v/>
      </c>
      <c r="CQ61" s="518" t="str">
        <f>IF(AND(_AC6="B-757",'2023'!$N$4="FO",'2023'!$N$2=CQ43),'2023DATA2'!$J$20,"")</f>
        <v/>
      </c>
      <c r="CR61" s="518" t="str">
        <f>IF(AND(_AC6="B-757",'2023'!$N$4="FO",'2023'!$N$2=CR43),'2023DATA2'!$K$20,"")</f>
        <v/>
      </c>
      <c r="CS61" s="518" t="str">
        <f>IF(AND(_AC6="B-757",'2023'!$N$4="FO",'2023'!$N$2=CS43),'2023DATA2'!$L$20,"")</f>
        <v/>
      </c>
      <c r="CT61" s="518" t="str">
        <f>IF(AND(_AC6="B-757",'2023'!$N$4="FO",'2023'!$N$2=CT43),'2023DATA2'!$M$20,"")</f>
        <v/>
      </c>
      <c r="CU61" s="520" t="str">
        <f>IF(AND(_AC6="B-757",'2023'!$N$4="FO",'2023'!$N$2=CU43),'2023DATA2'!$N$20,"")</f>
        <v/>
      </c>
    </row>
    <row r="62" spans="16:99" x14ac:dyDescent="0.25">
      <c r="P62" s="940" t="s">
        <v>47</v>
      </c>
      <c r="Q62" s="13" t="s">
        <v>61</v>
      </c>
      <c r="R62" s="518" t="str">
        <f>IF(AND(_AC1="B-737-900",'2023'!$N$4="CA",'2023'!$N$2=R43),'2023DATA2'!$C$21,"")</f>
        <v/>
      </c>
      <c r="S62" s="518" t="str">
        <f>IF(AND(_AC1="B-737-900",'2023'!$N$4="CA",'2023'!$N$2=S43),'2023DATA2'!$D$21,"")</f>
        <v/>
      </c>
      <c r="T62" s="518" t="str">
        <f>IF(AND(_AC1="B-737-900",'2023'!$N$4="CA",'2023'!$N$2=T43),'2023DATA2'!$E$21,"")</f>
        <v/>
      </c>
      <c r="U62" s="518" t="str">
        <f>IF(AND(_AC1="B-737-900",'2023'!$N$4="CA",'2023'!$N$2=U43),'2023DATA2'!$F$21,"")</f>
        <v/>
      </c>
      <c r="V62" s="518" t="str">
        <f>IF(AND(_AC1="B-737-900",'2023'!$N$4="CA",'2023'!$N$2=V43),'2023DATA2'!$G$21,"")</f>
        <v/>
      </c>
      <c r="W62" s="518" t="str">
        <f>IF(AND(_AC1="B-737-900",'2023'!$N$4="CA",'2023'!$N$2=W43),'2023DATA2'!$H$21,"")</f>
        <v/>
      </c>
      <c r="X62" s="518" t="str">
        <f>IF(AND(_AC1="B-737-900",'2023'!$N$4="CA",'2023'!$N$2=X43),'2023DATA2'!$I$21,"")</f>
        <v/>
      </c>
      <c r="Y62" s="518" t="str">
        <f>IF(AND(_AC1="B-737-900",'2023'!$N$4="CA",'2023'!$N$2=Y43),'2023DATA2'!$J$21,"")</f>
        <v/>
      </c>
      <c r="Z62" s="518" t="str">
        <f>IF(AND(_AC1="B-737-900",'2023'!$N$4="CA",'2023'!$N$2=Z43),'2023DATA2'!$K$21,"")</f>
        <v/>
      </c>
      <c r="AA62" s="518" t="str">
        <f>IF(AND(_AC1="B-737-900",'2023'!$N$4="CA",'2023'!$N$2=AA43),'2023DATA2'!$L$21,"")</f>
        <v/>
      </c>
      <c r="AB62" s="518" t="str">
        <f>IF(AND(_AC1="B-737-900",'2023'!$N$4="CA",'2023'!$N$2=AB43),'2023DATA2'!$M$21,"")</f>
        <v/>
      </c>
      <c r="AC62" s="520" t="str">
        <f>IF(AND(_AC1="B-737-900",'2023'!$N$4="CA",'2023'!$N$2=AC43),'2023DATA2'!$N$21,"")</f>
        <v/>
      </c>
      <c r="AD62" s="940" t="s">
        <v>47</v>
      </c>
      <c r="AE62" s="13" t="s">
        <v>61</v>
      </c>
      <c r="AF62" s="518" t="str">
        <f>IF(AND(_AC2="B-737-900",'2023'!$N$4="CA",'2023'!$N$2=AF43),'2023DATA2'!$C$21,"")</f>
        <v/>
      </c>
      <c r="AG62" s="518" t="str">
        <f>IF(AND(_AC2="B-737-900",'2023'!$N$4="CA",'2023'!$N$2=AG43),'2023DATA2'!$D$21,"")</f>
        <v/>
      </c>
      <c r="AH62" s="518" t="str">
        <f>IF(AND(_AC2="B-737-900",'2023'!$N$4="CA",'2023'!$N$2=AH43),'2023DATA2'!$E$21,"")</f>
        <v/>
      </c>
      <c r="AI62" s="518" t="str">
        <f>IF(AND(_AC2="B-737-900",'2023'!$N$4="CA",'2023'!$N$2=AI43),'2023DATA2'!$F$21,"")</f>
        <v/>
      </c>
      <c r="AJ62" s="518" t="str">
        <f>IF(AND(_AC2="B-737-900",'2023'!$N$4="CA",'2023'!$N$2=AJ43),'2023DATA2'!$G$21,"")</f>
        <v/>
      </c>
      <c r="AK62" s="518" t="str">
        <f>IF(AND(_AC2="B-737-900",'2023'!$N$4="CA",'2023'!$N$2=AK43),'2023DATA2'!$H$21,"")</f>
        <v/>
      </c>
      <c r="AL62" s="518" t="str">
        <f>IF(AND(_AC2="B-737-900",'2023'!$N$4="CA",'2023'!$N$2=AL43),'2023DATA2'!$I$21,"")</f>
        <v/>
      </c>
      <c r="AM62" s="518" t="str">
        <f>IF(AND(_AC2="B-737-900",'2023'!$N$4="CA",'2023'!$N$2=AM43),'2023DATA2'!$J$21,"")</f>
        <v/>
      </c>
      <c r="AN62" s="518" t="str">
        <f>IF(AND(_AC2="B-737-900",'2023'!$N$4="CA",'2023'!$N$2=AN43),'2023DATA2'!$K$21,"")</f>
        <v/>
      </c>
      <c r="AO62" s="518" t="str">
        <f>IF(AND(_AC2="B-737-900",'2023'!$N$4="CA",'2023'!$N$2=AO43),'2023DATA2'!$L$21,"")</f>
        <v/>
      </c>
      <c r="AP62" s="518" t="str">
        <f>IF(AND(_AC2="B-737-900",'2023'!$N$4="CA",'2023'!$N$2=AP43),'2023DATA2'!$M$21,"")</f>
        <v/>
      </c>
      <c r="AQ62" s="520" t="str">
        <f>IF(AND(_AC2="B-737-900",'2023'!$N$4="CA",'2023'!$N$2=AQ43),'2023DATA2'!$N$21,"")</f>
        <v/>
      </c>
      <c r="AR62" s="940" t="s">
        <v>47</v>
      </c>
      <c r="AS62" s="13" t="s">
        <v>61</v>
      </c>
      <c r="AT62" s="518" t="str">
        <f>IF(AND(_AC3="B-737-900",'2023'!$N$4="CA",'2023'!$N$2=AT43),'2023DATA2'!$C$21,"")</f>
        <v/>
      </c>
      <c r="AU62" s="518" t="str">
        <f>IF(AND(_AC3="B-737-900",'2023'!$N$4="CA",'2023'!$N$2=AU43),'2023DATA2'!$D$21,"")</f>
        <v/>
      </c>
      <c r="AV62" s="518" t="str">
        <f>IF(AND(_AC3="B-737-900",'2023'!$N$4="CA",'2023'!$N$2=AV43),'2023DATA2'!$E$21,"")</f>
        <v/>
      </c>
      <c r="AW62" s="518" t="str">
        <f>IF(AND(_AC3="B-737-900",'2023'!$N$4="CA",'2023'!$N$2=AW43),'2023DATA2'!$F$21,"")</f>
        <v/>
      </c>
      <c r="AX62" s="518" t="str">
        <f>IF(AND(_AC3="B-737-900",'2023'!$N$4="CA",'2023'!$N$2=AX43),'2023DATA2'!$G$21,"")</f>
        <v/>
      </c>
      <c r="AY62" s="518" t="str">
        <f>IF(AND(_AC3="B-737-900",'2023'!$N$4="CA",'2023'!$N$2=AY43),'2023DATA2'!$H$21,"")</f>
        <v/>
      </c>
      <c r="AZ62" s="518" t="str">
        <f>IF(AND(_AC3="B-737-900",'2023'!$N$4="CA",'2023'!$N$2=AZ43),'2023DATA2'!$I$21,"")</f>
        <v/>
      </c>
      <c r="BA62" s="518" t="str">
        <f>IF(AND(_AC3="B-737-900",'2023'!$N$4="CA",'2023'!$N$2=BA43),'2023DATA2'!$J$21,"")</f>
        <v/>
      </c>
      <c r="BB62" s="518" t="str">
        <f>IF(AND(_AC3="B-737-900",'2023'!$N$4="CA",'2023'!$N$2=BB43),'2023DATA2'!$K$21,"")</f>
        <v/>
      </c>
      <c r="BC62" s="518" t="str">
        <f>IF(AND(_AC3="B-737-900",'2023'!$N$4="CA",'2023'!$N$2=BC43),'2023DATA2'!$L$21,"")</f>
        <v/>
      </c>
      <c r="BD62" s="518" t="str">
        <f>IF(AND(_AC3="B-737-900",'2023'!$N$4="CA",'2023'!$N$2=BD43),'2023DATA2'!$M$21,"")</f>
        <v/>
      </c>
      <c r="BE62" s="520" t="str">
        <f>IF(AND(_AC3="B-737-900",'2023'!$N$4="CA",'2023'!$N$2=BE43),'2023DATA2'!$N$21,"")</f>
        <v/>
      </c>
      <c r="BF62" s="940" t="s">
        <v>47</v>
      </c>
      <c r="BG62" s="13" t="s">
        <v>61</v>
      </c>
      <c r="BH62" s="518" t="str">
        <f>IF(AND(_AC4="B-737-900",'2023'!$N$4="CA",'2023'!$N$2=BH43),'2023DATA2'!$C$21,"")</f>
        <v/>
      </c>
      <c r="BI62" s="518" t="str">
        <f>IF(AND(_AC4="B-737-900",'2023'!$N$4="CA",'2023'!$N$2=BI43),'2023DATA2'!$D$21,"")</f>
        <v/>
      </c>
      <c r="BJ62" s="518" t="str">
        <f>IF(AND(_AC4="B-737-900",'2023'!$N$4="CA",'2023'!$N$2=BJ43),'2023DATA2'!$E$21,"")</f>
        <v/>
      </c>
      <c r="BK62" s="518" t="str">
        <f>IF(AND(_AC4="B-737-900",'2023'!$N$4="CA",'2023'!$N$2=BK43),'2023DATA2'!$F$21,"")</f>
        <v/>
      </c>
      <c r="BL62" s="518" t="str">
        <f>IF(AND(_AC4="B-737-900",'2023'!$N$4="CA",'2023'!$N$2=BL43),'2023DATA2'!$G$21,"")</f>
        <v/>
      </c>
      <c r="BM62" s="518" t="str">
        <f>IF(AND(_AC4="B-737-900",'2023'!$N$4="CA",'2023'!$N$2=BM43),'2023DATA2'!$H$21,"")</f>
        <v/>
      </c>
      <c r="BN62" s="518" t="str">
        <f>IF(AND(_AC4="B-737-900",'2023'!$N$4="CA",'2023'!$N$2=BN43),'2023DATA2'!$I$21,"")</f>
        <v/>
      </c>
      <c r="BO62" s="518" t="str">
        <f>IF(AND(_AC4="B-737-900",'2023'!$N$4="CA",'2023'!$N$2=BO43),'2023DATA2'!$J$21,"")</f>
        <v/>
      </c>
      <c r="BP62" s="518" t="str">
        <f>IF(AND(_AC4="B-737-900",'2023'!$N$4="CA",'2023'!$N$2=BP43),'2023DATA2'!$K$21,"")</f>
        <v/>
      </c>
      <c r="BQ62" s="518" t="str">
        <f>IF(AND(_AC4="B-737-900",'2023'!$N$4="CA",'2023'!$N$2=BQ43),'2023DATA2'!$L$21,"")</f>
        <v/>
      </c>
      <c r="BR62" s="518" t="str">
        <f>IF(AND(_AC4="B-737-900",'2023'!$N$4="CA",'2023'!$N$2=BR43),'2023DATA2'!$M$21,"")</f>
        <v/>
      </c>
      <c r="BS62" s="520" t="str">
        <f>IF(AND(_AC4="B-737-900",'2023'!$N$4="CA",'2023'!$N$2=BS43),'2023DATA2'!$N$21,"")</f>
        <v/>
      </c>
      <c r="BT62" s="940" t="s">
        <v>47</v>
      </c>
      <c r="BU62" s="13" t="s">
        <v>61</v>
      </c>
      <c r="BV62" s="518" t="str">
        <f>IF(AND(_AC5="B-737-900",'2023'!$N$4="CA",'2023'!$N$2=BV43),'2023DATA2'!$C$21,"")</f>
        <v/>
      </c>
      <c r="BW62" s="518" t="str">
        <f>IF(AND(_AC5="B-737-900",'2023'!$N$4="CA",'2023'!$N$2=BW43),'2023DATA2'!$D$21,"")</f>
        <v/>
      </c>
      <c r="BX62" s="518" t="str">
        <f>IF(AND(_AC5="B-737-900",'2023'!$N$4="CA",'2023'!$N$2=BX43),'2023DATA2'!$E$21,"")</f>
        <v/>
      </c>
      <c r="BY62" s="518" t="str">
        <f>IF(AND(_AC5="B-737-900",'2023'!$N$4="CA",'2023'!$N$2=BY43),'2023DATA2'!$F$21,"")</f>
        <v/>
      </c>
      <c r="BZ62" s="518" t="str">
        <f>IF(AND(_AC5="B-737-900",'2023'!$N$4="CA",'2023'!$N$2=BZ43),'2023DATA2'!$G$21,"")</f>
        <v/>
      </c>
      <c r="CA62" s="518" t="str">
        <f>IF(AND(_AC5="B-737-900",'2023'!$N$4="CA",'2023'!$N$2=CA43),'2023DATA2'!$H$21,"")</f>
        <v/>
      </c>
      <c r="CB62" s="518" t="str">
        <f>IF(AND(_AC5="B-737-900",'2023'!$N$4="CA",'2023'!$N$2=CB43),'2023DATA2'!$I$21,"")</f>
        <v/>
      </c>
      <c r="CC62" s="518" t="str">
        <f>IF(AND(_AC5="B-737-900",'2023'!$N$4="CA",'2023'!$N$2=CC43),'2023DATA2'!$J$21,"")</f>
        <v/>
      </c>
      <c r="CD62" s="518" t="str">
        <f>IF(AND(_AC5="B-737-900",'2023'!$N$4="CA",'2023'!$N$2=CD43),'2023DATA2'!$K$21,"")</f>
        <v/>
      </c>
      <c r="CE62" s="518" t="str">
        <f>IF(AND(_AC5="B-737-900",'2023'!$N$4="CA",'2023'!$N$2=CE43),'2023DATA2'!$L$21,"")</f>
        <v/>
      </c>
      <c r="CF62" s="518" t="str">
        <f>IF(AND(_AC5="B-737-900",'2023'!$N$4="CA",'2023'!$N$2=CF43),'2023DATA2'!$M$21,"")</f>
        <v/>
      </c>
      <c r="CG62" s="520" t="str">
        <f>IF(AND(_AC5="B-737-900",'2023'!$N$4="CA",'2023'!$N$2=CG43),'2023DATA2'!$N$21,"")</f>
        <v/>
      </c>
      <c r="CH62" s="940" t="s">
        <v>47</v>
      </c>
      <c r="CI62" s="13" t="s">
        <v>61</v>
      </c>
      <c r="CJ62" s="518" t="str">
        <f>IF(AND(_AC6="B-737-900",'2023'!$N$4="CA",'2023'!$N$2=CJ43),'2023DATA2'!$C$21,"")</f>
        <v/>
      </c>
      <c r="CK62" s="518" t="str">
        <f>IF(AND(_AC6="B-737-900",'2023'!$N$4="CA",'2023'!$N$2=CK43),'2023DATA2'!$D$21,"")</f>
        <v/>
      </c>
      <c r="CL62" s="518" t="str">
        <f>IF(AND(_AC6="B-737-900",'2023'!$N$4="CA",'2023'!$N$2=CL43),'2023DATA2'!$E$21,"")</f>
        <v/>
      </c>
      <c r="CM62" s="518" t="str">
        <f>IF(AND(_AC6="B-737-900",'2023'!$N$4="CA",'2023'!$N$2=CM43),'2023DATA2'!$F$21,"")</f>
        <v/>
      </c>
      <c r="CN62" s="518" t="str">
        <f>IF(AND(_AC6="B-737-900",'2023'!$N$4="CA",'2023'!$N$2=CN43),'2023DATA2'!$G$21,"")</f>
        <v/>
      </c>
      <c r="CO62" s="518" t="str">
        <f>IF(AND(_AC6="B-737-900",'2023'!$N$4="CA",'2023'!$N$2=CO43),'2023DATA2'!$H$21,"")</f>
        <v/>
      </c>
      <c r="CP62" s="518" t="str">
        <f>IF(AND(_AC6="B-737-900",'2023'!$N$4="CA",'2023'!$N$2=CP43),'2023DATA2'!$I$21,"")</f>
        <v/>
      </c>
      <c r="CQ62" s="518" t="str">
        <f>IF(AND(_AC6="B-737-900",'2023'!$N$4="CA",'2023'!$N$2=CQ43),'2023DATA2'!$J$21,"")</f>
        <v/>
      </c>
      <c r="CR62" s="518" t="str">
        <f>IF(AND(_AC6="B-737-900",'2023'!$N$4="CA",'2023'!$N$2=CR43),'2023DATA2'!$K$21,"")</f>
        <v/>
      </c>
      <c r="CS62" s="518" t="str">
        <f>IF(AND(_AC6="B-737-900",'2023'!$N$4="CA",'2023'!$N$2=CS43),'2023DATA2'!$L$21,"")</f>
        <v/>
      </c>
      <c r="CT62" s="518" t="str">
        <f>IF(AND(_AC6="B-737-900",'2023'!$N$4="CA",'2023'!$N$2=CT43),'2023DATA2'!$M$21,"")</f>
        <v/>
      </c>
      <c r="CU62" s="520" t="str">
        <f>IF(AND(_AC6="B-737-900",'2023'!$N$4="CA",'2023'!$N$2=CU43),'2023DATA2'!$N$21,"")</f>
        <v/>
      </c>
    </row>
    <row r="63" spans="16:99" x14ac:dyDescent="0.25">
      <c r="P63" s="940"/>
      <c r="Q63" s="13" t="s">
        <v>62</v>
      </c>
      <c r="R63" s="518" t="str">
        <f>IF(AND(_AC1="B-737-900",'2023'!$N$4="FO",'2023'!$N$2=R43),'2023DATA2'!$C$22,"")</f>
        <v/>
      </c>
      <c r="S63" s="518" t="str">
        <f>IF(AND(_AC1="B-737-900",'2023'!$N$4="FO",'2023'!$N$2=S43),'2023DATA2'!$D$22,"")</f>
        <v/>
      </c>
      <c r="T63" s="518" t="str">
        <f>IF(AND(_AC1="B-737-900",'2023'!$N$4="FO",'2023'!$N$2=T43),'2023DATA2'!$E$22,"")</f>
        <v/>
      </c>
      <c r="U63" s="518" t="str">
        <f>IF(AND(_AC1="B-737-900",'2023'!$N$4="FO",'2023'!$N$2=U43),'2023DATA2'!$F$22,"")</f>
        <v/>
      </c>
      <c r="V63" s="518" t="str">
        <f>IF(AND(_AC1="B-737-900",'2023'!$N$4="FO",'2023'!$N$2=V43),'2023DATA2'!$G$22,"")</f>
        <v/>
      </c>
      <c r="W63" s="518" t="str">
        <f>IF(AND(_AC1="B-737-900",'2023'!$N$4="FO",'2023'!$N$2=W43),'2023DATA2'!$H$22,"")</f>
        <v/>
      </c>
      <c r="X63" s="518" t="str">
        <f>IF(AND(_AC1="B-737-900",'2023'!$N$4="FO",'2023'!$N$2=X43),'2023DATA2'!$I$22,"")</f>
        <v/>
      </c>
      <c r="Y63" s="518" t="str">
        <f>IF(AND(_AC1="B-737-900",'2023'!$N$4="FO",'2023'!$N$2=Y43),'2023DATA2'!$J$22,"")</f>
        <v/>
      </c>
      <c r="Z63" s="518" t="str">
        <f>IF(AND(_AC1="B-737-900",'2023'!$N$4="FO",'2023'!$N$2=Z43),'2023DATA2'!$K$22,"")</f>
        <v/>
      </c>
      <c r="AA63" s="518" t="str">
        <f>IF(AND(_AC1="B-737-900",'2023'!$N$4="FO",'2023'!$N$2=AA43),'2023DATA2'!$L$22,"")</f>
        <v/>
      </c>
      <c r="AB63" s="518" t="str">
        <f>IF(AND(_AC1="B-737-900",'2023'!$N$4="FO",'2023'!$N$2=AB43),'2023DATA2'!$M$22,"")</f>
        <v/>
      </c>
      <c r="AC63" s="520" t="str">
        <f>IF(AND(_AC1="B-737-900",'2023'!$N$4="FO",'2023'!$N$2=AC43),'2023DATA2'!$N$22,"")</f>
        <v/>
      </c>
      <c r="AD63" s="940"/>
      <c r="AE63" s="13" t="s">
        <v>62</v>
      </c>
      <c r="AF63" s="518" t="str">
        <f>IF(AND(_AC2="B-737-900",'2023'!$N$4="FO",'2023'!$N$2=AF43),'2023DATA2'!$C$22,"")</f>
        <v/>
      </c>
      <c r="AG63" s="518" t="str">
        <f>IF(AND(_AC2="B-737-900",'2023'!$N$4="FO",'2023'!$N$2=AG43),'2023DATA2'!$D$22,"")</f>
        <v/>
      </c>
      <c r="AH63" s="518" t="str">
        <f>IF(AND(_AC2="B-737-900",'2023'!$N$4="FO",'2023'!$N$2=AH43),'2023DATA2'!$E$22,"")</f>
        <v/>
      </c>
      <c r="AI63" s="518" t="str">
        <f>IF(AND(_AC2="B-737-900",'2023'!$N$4="FO",'2023'!$N$2=AI43),'2023DATA2'!$F$22,"")</f>
        <v/>
      </c>
      <c r="AJ63" s="518" t="str">
        <f>IF(AND(_AC2="B-737-900",'2023'!$N$4="FO",'2023'!$N$2=AJ43),'2023DATA2'!$G$22,"")</f>
        <v/>
      </c>
      <c r="AK63" s="518" t="str">
        <f>IF(AND(_AC2="B-737-900",'2023'!$N$4="FO",'2023'!$N$2=AK43),'2023DATA2'!$H$22,"")</f>
        <v/>
      </c>
      <c r="AL63" s="518" t="str">
        <f>IF(AND(_AC2="B-737-900",'2023'!$N$4="FO",'2023'!$N$2=AL43),'2023DATA2'!$I$22,"")</f>
        <v/>
      </c>
      <c r="AM63" s="518" t="str">
        <f>IF(AND(_AC2="B-737-900",'2023'!$N$4="FO",'2023'!$N$2=AM43),'2023DATA2'!$J$22,"")</f>
        <v/>
      </c>
      <c r="AN63" s="518" t="str">
        <f>IF(AND(_AC2="B-737-900",'2023'!$N$4="FO",'2023'!$N$2=AN43),'2023DATA2'!$K$22,"")</f>
        <v/>
      </c>
      <c r="AO63" s="518" t="str">
        <f>IF(AND(_AC2="B-737-900",'2023'!$N$4="FO",'2023'!$N$2=AO43),'2023DATA2'!$L$22,"")</f>
        <v/>
      </c>
      <c r="AP63" s="518" t="str">
        <f>IF(AND(_AC2="B-737-900",'2023'!$N$4="FO",'2023'!$N$2=AP43),'2023DATA2'!$M$22,"")</f>
        <v/>
      </c>
      <c r="AQ63" s="520" t="str">
        <f>IF(AND(_AC2="B-737-900",'2023'!$N$4="FO",'2023'!$N$2=AQ43),'2023DATA2'!$N$22,"")</f>
        <v/>
      </c>
      <c r="AR63" s="940"/>
      <c r="AS63" s="13" t="s">
        <v>62</v>
      </c>
      <c r="AT63" s="518" t="str">
        <f>IF(AND(_AC3="B-737-900",'2023'!$N$4="FO",'2023'!$N$2=AT43),'2023DATA2'!$C$22,"")</f>
        <v/>
      </c>
      <c r="AU63" s="518" t="str">
        <f>IF(AND(_AC3="B-737-900",'2023'!$N$4="FO",'2023'!$N$2=AU43),'2023DATA2'!$D$22,"")</f>
        <v/>
      </c>
      <c r="AV63" s="518" t="str">
        <f>IF(AND(_AC3="B-737-900",'2023'!$N$4="FO",'2023'!$N$2=AV43),'2023DATA2'!$E$22,"")</f>
        <v/>
      </c>
      <c r="AW63" s="518" t="str">
        <f>IF(AND(_AC3="B-737-900",'2023'!$N$4="FO",'2023'!$N$2=AW43),'2023DATA2'!$F$22,"")</f>
        <v/>
      </c>
      <c r="AX63" s="518" t="str">
        <f>IF(AND(_AC3="B-737-900",'2023'!$N$4="FO",'2023'!$N$2=AX43),'2023DATA2'!$G$22,"")</f>
        <v/>
      </c>
      <c r="AY63" s="518" t="str">
        <f>IF(AND(_AC3="B-737-900",'2023'!$N$4="FO",'2023'!$N$2=AY43),'2023DATA2'!$H$22,"")</f>
        <v/>
      </c>
      <c r="AZ63" s="518" t="str">
        <f>IF(AND(_AC3="B-737-900",'2023'!$N$4="FO",'2023'!$N$2=AZ43),'2023DATA2'!$I$22,"")</f>
        <v/>
      </c>
      <c r="BA63" s="518" t="str">
        <f>IF(AND(_AC3="B-737-900",'2023'!$N$4="FO",'2023'!$N$2=BA43),'2023DATA2'!$J$22,"")</f>
        <v/>
      </c>
      <c r="BB63" s="518" t="str">
        <f>IF(AND(_AC3="B-737-900",'2023'!$N$4="FO",'2023'!$N$2=BB43),'2023DATA2'!$K$22,"")</f>
        <v/>
      </c>
      <c r="BC63" s="518" t="str">
        <f>IF(AND(_AC3="B-737-900",'2023'!$N$4="FO",'2023'!$N$2=BC43),'2023DATA2'!$L$22,"")</f>
        <v/>
      </c>
      <c r="BD63" s="518" t="str">
        <f>IF(AND(_AC3="B-737-900",'2023'!$N$4="FO",'2023'!$N$2=BD43),'2023DATA2'!$M$22,"")</f>
        <v/>
      </c>
      <c r="BE63" s="520" t="str">
        <f>IF(AND(_AC3="B-737-900",'2023'!$N$4="FO",'2023'!$N$2=BE43),'2023DATA2'!$N$22,"")</f>
        <v/>
      </c>
      <c r="BF63" s="940"/>
      <c r="BG63" s="13" t="s">
        <v>62</v>
      </c>
      <c r="BH63" s="518" t="str">
        <f>IF(AND(_AC4="B-737-900",'2023'!$N$4="FO",'2023'!$N$2=BH43),'2023DATA2'!$C$22,"")</f>
        <v/>
      </c>
      <c r="BI63" s="518" t="str">
        <f>IF(AND(_AC4="B-737-900",'2023'!$N$4="FO",'2023'!$N$2=BI43),'2023DATA2'!$D$22,"")</f>
        <v/>
      </c>
      <c r="BJ63" s="518" t="str">
        <f>IF(AND(_AC4="B-737-900",'2023'!$N$4="FO",'2023'!$N$2=BJ43),'2023DATA2'!$E$22,"")</f>
        <v/>
      </c>
      <c r="BK63" s="518" t="str">
        <f>IF(AND(_AC4="B-737-900",'2023'!$N$4="FO",'2023'!$N$2=BK43),'2023DATA2'!$F$22,"")</f>
        <v/>
      </c>
      <c r="BL63" s="518" t="str">
        <f>IF(AND(_AC4="B-737-900",'2023'!$N$4="FO",'2023'!$N$2=BL43),'2023DATA2'!$G$22,"")</f>
        <v/>
      </c>
      <c r="BM63" s="518" t="str">
        <f>IF(AND(_AC4="B-737-900",'2023'!$N$4="FO",'2023'!$N$2=BM43),'2023DATA2'!$H$22,"")</f>
        <v/>
      </c>
      <c r="BN63" s="518" t="str">
        <f>IF(AND(_AC4="B-737-900",'2023'!$N$4="FO",'2023'!$N$2=BN43),'2023DATA2'!$I$22,"")</f>
        <v/>
      </c>
      <c r="BO63" s="518" t="str">
        <f>IF(AND(_AC4="B-737-900",'2023'!$N$4="FO",'2023'!$N$2=BO43),'2023DATA2'!$J$22,"")</f>
        <v/>
      </c>
      <c r="BP63" s="518" t="str">
        <f>IF(AND(_AC4="B-737-900",'2023'!$N$4="FO",'2023'!$N$2=BP43),'2023DATA2'!$K$22,"")</f>
        <v/>
      </c>
      <c r="BQ63" s="518" t="str">
        <f>IF(AND(_AC4="B-737-900",'2023'!$N$4="FO",'2023'!$N$2=BQ43),'2023DATA2'!$L$22,"")</f>
        <v/>
      </c>
      <c r="BR63" s="518" t="str">
        <f>IF(AND(_AC4="B-737-900",'2023'!$N$4="FO",'2023'!$N$2=BR43),'2023DATA2'!$M$22,"")</f>
        <v/>
      </c>
      <c r="BS63" s="520" t="str">
        <f>IF(AND(_AC4="B-737-900",'2023'!$N$4="FO",'2023'!$N$2=BS43),'2023DATA2'!$N$22,"")</f>
        <v/>
      </c>
      <c r="BT63" s="940"/>
      <c r="BU63" s="13" t="s">
        <v>62</v>
      </c>
      <c r="BV63" s="518" t="str">
        <f>IF(AND(_AC5="B-737-900",'2023'!$N$4="FO",'2023'!$N$2=BV43),'2023DATA2'!$C$22,"")</f>
        <v/>
      </c>
      <c r="BW63" s="518" t="str">
        <f>IF(AND(_AC5="B-737-900",'2023'!$N$4="FO",'2023'!$N$2=BW43),'2023DATA2'!$D$22,"")</f>
        <v/>
      </c>
      <c r="BX63" s="518" t="str">
        <f>IF(AND(_AC5="B-737-900",'2023'!$N$4="FO",'2023'!$N$2=BX43),'2023DATA2'!$E$22,"")</f>
        <v/>
      </c>
      <c r="BY63" s="518" t="str">
        <f>IF(AND(_AC5="B-737-900",'2023'!$N$4="FO",'2023'!$N$2=BY43),'2023DATA2'!$F$22,"")</f>
        <v/>
      </c>
      <c r="BZ63" s="518" t="str">
        <f>IF(AND(_AC5="B-737-900",'2023'!$N$4="FO",'2023'!$N$2=BZ43),'2023DATA2'!$G$22,"")</f>
        <v/>
      </c>
      <c r="CA63" s="518" t="str">
        <f>IF(AND(_AC5="B-737-900",'2023'!$N$4="FO",'2023'!$N$2=CA43),'2023DATA2'!$H$22,"")</f>
        <v/>
      </c>
      <c r="CB63" s="518" t="str">
        <f>IF(AND(_AC5="B-737-900",'2023'!$N$4="FO",'2023'!$N$2=CB43),'2023DATA2'!$I$22,"")</f>
        <v/>
      </c>
      <c r="CC63" s="518" t="str">
        <f>IF(AND(_AC5="B-737-900",'2023'!$N$4="FO",'2023'!$N$2=CC43),'2023DATA2'!$J$22,"")</f>
        <v/>
      </c>
      <c r="CD63" s="518" t="str">
        <f>IF(AND(_AC5="B-737-900",'2023'!$N$4="FO",'2023'!$N$2=CD43),'2023DATA2'!$K$22,"")</f>
        <v/>
      </c>
      <c r="CE63" s="518" t="str">
        <f>IF(AND(_AC5="B-737-900",'2023'!$N$4="FO",'2023'!$N$2=CE43),'2023DATA2'!$L$22,"")</f>
        <v/>
      </c>
      <c r="CF63" s="518" t="str">
        <f>IF(AND(_AC5="B-737-900",'2023'!$N$4="FO",'2023'!$N$2=CF43),'2023DATA2'!$M$22,"")</f>
        <v/>
      </c>
      <c r="CG63" s="520" t="str">
        <f>IF(AND(_AC5="B-737-900",'2023'!$N$4="FO",'2023'!$N$2=CG43),'2023DATA2'!$N$22,"")</f>
        <v/>
      </c>
      <c r="CH63" s="940"/>
      <c r="CI63" s="13" t="s">
        <v>62</v>
      </c>
      <c r="CJ63" s="518" t="str">
        <f>IF(AND(_AC6="B-737-900",'2023'!$N$4="FO",'2023'!$N$2=CJ43),'2023DATA2'!$C$22,"")</f>
        <v/>
      </c>
      <c r="CK63" s="518" t="str">
        <f>IF(AND(_AC6="B-737-900",'2023'!$N$4="FO",'2023'!$N$2=CK43),'2023DATA2'!$D$22,"")</f>
        <v/>
      </c>
      <c r="CL63" s="518" t="str">
        <f>IF(AND(_AC6="B-737-900",'2023'!$N$4="FO",'2023'!$N$2=CL43),'2023DATA2'!$E$22,"")</f>
        <v/>
      </c>
      <c r="CM63" s="518" t="str">
        <f>IF(AND(_AC6="B-737-900",'2023'!$N$4="FO",'2023'!$N$2=CM43),'2023DATA2'!$F$22,"")</f>
        <v/>
      </c>
      <c r="CN63" s="518" t="str">
        <f>IF(AND(_AC6="B-737-900",'2023'!$N$4="FO",'2023'!$N$2=CN43),'2023DATA2'!$G$22,"")</f>
        <v/>
      </c>
      <c r="CO63" s="518" t="str">
        <f>IF(AND(_AC6="B-737-900",'2023'!$N$4="FO",'2023'!$N$2=CO43),'2023DATA2'!$H$22,"")</f>
        <v/>
      </c>
      <c r="CP63" s="518" t="str">
        <f>IF(AND(_AC6="B-737-900",'2023'!$N$4="FO",'2023'!$N$2=CP43),'2023DATA2'!$I$22,"")</f>
        <v/>
      </c>
      <c r="CQ63" s="518" t="str">
        <f>IF(AND(_AC6="B-737-900",'2023'!$N$4="FO",'2023'!$N$2=CQ43),'2023DATA2'!$J$22,"")</f>
        <v/>
      </c>
      <c r="CR63" s="518" t="str">
        <f>IF(AND(_AC6="B-737-900",'2023'!$N$4="FO",'2023'!$N$2=CR43),'2023DATA2'!$K$22,"")</f>
        <v/>
      </c>
      <c r="CS63" s="518" t="str">
        <f>IF(AND(_AC6="B-737-900",'2023'!$N$4="FO",'2023'!$N$2=CS43),'2023DATA2'!$L$22,"")</f>
        <v/>
      </c>
      <c r="CT63" s="518" t="str">
        <f>IF(AND(_AC6="B-737-900",'2023'!$N$4="FO",'2023'!$N$2=CT43),'2023DATA2'!$M$22,"")</f>
        <v/>
      </c>
      <c r="CU63" s="520" t="str">
        <f>IF(AND(_AC6="B-737-900",'2023'!$N$4="FO",'2023'!$N$2=CU43),'2023DATA2'!$N$22,"")</f>
        <v/>
      </c>
    </row>
    <row r="64" spans="16:99" x14ac:dyDescent="0.25">
      <c r="P64" s="940" t="s">
        <v>69</v>
      </c>
      <c r="Q64" s="13" t="s">
        <v>61</v>
      </c>
      <c r="R64" s="518" t="str">
        <f>IF(AND(_AC1="B-737-800",'2023'!$N$4="CA",'2023'!$N$2=R43),'2023DATA2'!$C$23,"")</f>
        <v/>
      </c>
      <c r="S64" s="518" t="str">
        <f>IF(AND(_AC1="B-737-800",'2023'!$N$4="CA",'2023'!$N$2=S43),'2023DATA2'!$D$23,"")</f>
        <v/>
      </c>
      <c r="T64" s="518" t="str">
        <f>IF(AND(_AC1="B-737-800",'2023'!$N$4="CA",'2023'!$N$2=T43),'2023DATA2'!$E$23,"")</f>
        <v/>
      </c>
      <c r="U64" s="518" t="str">
        <f>IF(AND(_AC1="B-737-800",'2023'!$N$4="CA",'2023'!$N$2=U43),'2023DATA2'!$F$23,"")</f>
        <v/>
      </c>
      <c r="V64" s="518" t="str">
        <f>IF(AND(_AC1="B-737-800",'2023'!$N$4="CA",'2023'!$N$2=V43),'2023DATA2'!$G$23,"")</f>
        <v/>
      </c>
      <c r="W64" s="518" t="str">
        <f>IF(AND(_AC1="B-737-800",'2023'!$N$4="CA",'2023'!$N$2=W43),'2023DATA2'!$H$23,"")</f>
        <v/>
      </c>
      <c r="X64" s="518" t="str">
        <f>IF(AND(_AC1="B-737-800",'2023'!$N$4="CA",'2023'!$N$2=X43),'2023DATA2'!$I$23,"")</f>
        <v/>
      </c>
      <c r="Y64" s="518" t="str">
        <f>IF(AND(_AC1="B-737-800",'2023'!$N$4="CA",'2023'!$N$2=Y43),'2023DATA2'!$J$23,"")</f>
        <v/>
      </c>
      <c r="Z64" s="518" t="str">
        <f>IF(AND(_AC1="B-737-800",'2023'!$N$4="CA",'2023'!$N$2=Z43),'2023DATA2'!$K$23,"")</f>
        <v/>
      </c>
      <c r="AA64" s="518" t="str">
        <f>IF(AND(_AC1="B-737-800",'2023'!$N$4="CA",'2023'!$N$2=AA43),'2023DATA2'!$L$23,"")</f>
        <v/>
      </c>
      <c r="AB64" s="518" t="str">
        <f>IF(AND(_AC1="B-737-800",'2023'!$N$4="CA",'2023'!$N$2=AB43),'2023DATA2'!$M$23,"")</f>
        <v/>
      </c>
      <c r="AC64" s="520" t="str">
        <f>IF(AND(_AC1="B-737-800",'2023'!$N$4="CA",'2023'!$N$2=AC43),'2023DATA2'!$N$23,"")</f>
        <v/>
      </c>
      <c r="AD64" s="940" t="s">
        <v>69</v>
      </c>
      <c r="AE64" s="13" t="s">
        <v>61</v>
      </c>
      <c r="AF64" s="518" t="str">
        <f>IF(AND(_AC2="B-737-800",'2023'!$N$4="CA",'2023'!$N$2=AF43),'2023DATA2'!$C$23,"")</f>
        <v/>
      </c>
      <c r="AG64" s="518" t="str">
        <f>IF(AND(_AC2="B-737-800",'2023'!$N$4="CA",'2023'!$N$2=AG43),'2023DATA2'!$D$23,"")</f>
        <v/>
      </c>
      <c r="AH64" s="518" t="str">
        <f>IF(AND(_AC2="B-737-800",'2023'!$N$4="CA",'2023'!$N$2=AH43),'2023DATA2'!$E$23,"")</f>
        <v/>
      </c>
      <c r="AI64" s="518" t="str">
        <f>IF(AND(_AC2="B-737-800",'2023'!$N$4="CA",'2023'!$N$2=AI43),'2023DATA2'!$F$23,"")</f>
        <v/>
      </c>
      <c r="AJ64" s="518" t="str">
        <f>IF(AND(_AC2="B-737-800",'2023'!$N$4="CA",'2023'!$N$2=AJ43),'2023DATA2'!$G$23,"")</f>
        <v/>
      </c>
      <c r="AK64" s="518" t="str">
        <f>IF(AND(_AC2="B-737-800",'2023'!$N$4="CA",'2023'!$N$2=AK43),'2023DATA2'!$H$23,"")</f>
        <v/>
      </c>
      <c r="AL64" s="518" t="str">
        <f>IF(AND(_AC2="B-737-800",'2023'!$N$4="CA",'2023'!$N$2=AL43),'2023DATA2'!$I$23,"")</f>
        <v/>
      </c>
      <c r="AM64" s="518" t="str">
        <f>IF(AND(_AC2="B-737-800",'2023'!$N$4="CA",'2023'!$N$2=AM43),'2023DATA2'!$J$23,"")</f>
        <v/>
      </c>
      <c r="AN64" s="518" t="str">
        <f>IF(AND(_AC2="B-737-800",'2023'!$N$4="CA",'2023'!$N$2=AN43),'2023DATA2'!$K$23,"")</f>
        <v/>
      </c>
      <c r="AO64" s="518" t="str">
        <f>IF(AND(_AC2="B-737-800",'2023'!$N$4="CA",'2023'!$N$2=AO43),'2023DATA2'!$L$23,"")</f>
        <v/>
      </c>
      <c r="AP64" s="518" t="str">
        <f>IF(AND(_AC2="B-737-800",'2023'!$N$4="CA",'2023'!$N$2=AP43),'2023DATA2'!$M$23,"")</f>
        <v/>
      </c>
      <c r="AQ64" s="520" t="str">
        <f>IF(AND(_AC2="B-737-800",'2023'!$N$4="CA",'2023'!$N$2=AQ43),'2023DATA2'!$N$23,"")</f>
        <v/>
      </c>
      <c r="AR64" s="940" t="s">
        <v>69</v>
      </c>
      <c r="AS64" s="13" t="s">
        <v>61</v>
      </c>
      <c r="AT64" s="518" t="str">
        <f>IF(AND(_AC3="B-737-800",'2023'!$N$4="CA",'2023'!$N$2=AT43),'2023DATA2'!$C$23,"")</f>
        <v/>
      </c>
      <c r="AU64" s="518" t="str">
        <f>IF(AND(_AC3="B-737-800",'2023'!$N$4="CA",'2023'!$N$2=AU43),'2023DATA2'!$D$23,"")</f>
        <v/>
      </c>
      <c r="AV64" s="518" t="str">
        <f>IF(AND(_AC3="B-737-800",'2023'!$N$4="CA",'2023'!$N$2=AV43),'2023DATA2'!$E$23,"")</f>
        <v/>
      </c>
      <c r="AW64" s="518" t="str">
        <f>IF(AND(_AC3="B-737-800",'2023'!$N$4="CA",'2023'!$N$2=AW43),'2023DATA2'!$F$23,"")</f>
        <v/>
      </c>
      <c r="AX64" s="518" t="str">
        <f>IF(AND(_AC3="B-737-800",'2023'!$N$4="CA",'2023'!$N$2=AX43),'2023DATA2'!$G$23,"")</f>
        <v/>
      </c>
      <c r="AY64" s="518" t="str">
        <f>IF(AND(_AC3="B-737-800",'2023'!$N$4="CA",'2023'!$N$2=AY43),'2023DATA2'!$H$23,"")</f>
        <v/>
      </c>
      <c r="AZ64" s="518" t="str">
        <f>IF(AND(_AC3="B-737-800",'2023'!$N$4="CA",'2023'!$N$2=AZ43),'2023DATA2'!$I$23,"")</f>
        <v/>
      </c>
      <c r="BA64" s="518" t="str">
        <f>IF(AND(_AC3="B-737-800",'2023'!$N$4="CA",'2023'!$N$2=BA43),'2023DATA2'!$J$23,"")</f>
        <v/>
      </c>
      <c r="BB64" s="518" t="str">
        <f>IF(AND(_AC3="B-737-800",'2023'!$N$4="CA",'2023'!$N$2=BB43),'2023DATA2'!$K$23,"")</f>
        <v/>
      </c>
      <c r="BC64" s="518" t="str">
        <f>IF(AND(_AC3="B-737-800",'2023'!$N$4="CA",'2023'!$N$2=BC43),'2023DATA2'!$L$23,"")</f>
        <v/>
      </c>
      <c r="BD64" s="518" t="str">
        <f>IF(AND(_AC3="B-737-800",'2023'!$N$4="CA",'2023'!$N$2=BD43),'2023DATA2'!$M$23,"")</f>
        <v/>
      </c>
      <c r="BE64" s="520" t="str">
        <f>IF(AND(_AC3="B-737-800",'2023'!$N$4="CA",'2023'!$N$2=BE43),'2023DATA2'!$N$23,"")</f>
        <v/>
      </c>
      <c r="BF64" s="940" t="s">
        <v>69</v>
      </c>
      <c r="BG64" s="13" t="s">
        <v>61</v>
      </c>
      <c r="BH64" s="518" t="str">
        <f>IF(AND(_AC4="B-737-800",'2023'!$N$4="CA",'2023'!$N$2=BH43),'2023DATA2'!$C$23,"")</f>
        <v/>
      </c>
      <c r="BI64" s="518" t="str">
        <f>IF(AND(_AC4="B-737-800",'2023'!$N$4="CA",'2023'!$N$2=BI43),'2023DATA2'!$D$23,"")</f>
        <v/>
      </c>
      <c r="BJ64" s="518" t="str">
        <f>IF(AND(_AC4="B-737-800",'2023'!$N$4="CA",'2023'!$N$2=BJ43),'2023DATA2'!$E$23,"")</f>
        <v/>
      </c>
      <c r="BK64" s="518" t="str">
        <f>IF(AND(_AC4="B-737-800",'2023'!$N$4="CA",'2023'!$N$2=BK43),'2023DATA2'!$F$23,"")</f>
        <v/>
      </c>
      <c r="BL64" s="518" t="str">
        <f>IF(AND(_AC4="B-737-800",'2023'!$N$4="CA",'2023'!$N$2=BL43),'2023DATA2'!$G$23,"")</f>
        <v/>
      </c>
      <c r="BM64" s="518" t="str">
        <f>IF(AND(_AC4="B-737-800",'2023'!$N$4="CA",'2023'!$N$2=BM43),'2023DATA2'!$H$23,"")</f>
        <v/>
      </c>
      <c r="BN64" s="518" t="str">
        <f>IF(AND(_AC4="B-737-800",'2023'!$N$4="CA",'2023'!$N$2=BN43),'2023DATA2'!$I$23,"")</f>
        <v/>
      </c>
      <c r="BO64" s="518" t="str">
        <f>IF(AND(_AC4="B-737-800",'2023'!$N$4="CA",'2023'!$N$2=BO43),'2023DATA2'!$J$23,"")</f>
        <v/>
      </c>
      <c r="BP64" s="518" t="str">
        <f>IF(AND(_AC4="B-737-800",'2023'!$N$4="CA",'2023'!$N$2=BP43),'2023DATA2'!$K$23,"")</f>
        <v/>
      </c>
      <c r="BQ64" s="518" t="str">
        <f>IF(AND(_AC4="B-737-800",'2023'!$N$4="CA",'2023'!$N$2=BQ43),'2023DATA2'!$L$23,"")</f>
        <v/>
      </c>
      <c r="BR64" s="518" t="str">
        <f>IF(AND(_AC4="B-737-800",'2023'!$N$4="CA",'2023'!$N$2=BR43),'2023DATA2'!$M$23,"")</f>
        <v/>
      </c>
      <c r="BS64" s="520" t="str">
        <f>IF(AND(_AC4="B-737-800",'2023'!$N$4="CA",'2023'!$N$2=BS43),'2023DATA2'!$N$23,"")</f>
        <v/>
      </c>
      <c r="BT64" s="940" t="s">
        <v>69</v>
      </c>
      <c r="BU64" s="13" t="s">
        <v>61</v>
      </c>
      <c r="BV64" s="518" t="str">
        <f>IF(AND(_AC5="B-737-800",'2023'!$N$4="CA",'2023'!$N$2=BV43),'2023DATA2'!$C$23,"")</f>
        <v/>
      </c>
      <c r="BW64" s="518" t="str">
        <f>IF(AND(_AC5="B-737-800",'2023'!$N$4="CA",'2023'!$N$2=BW43),'2023DATA2'!$D$23,"")</f>
        <v/>
      </c>
      <c r="BX64" s="518" t="str">
        <f>IF(AND(_AC5="B-737-800",'2023'!$N$4="CA",'2023'!$N$2=BX43),'2023DATA2'!$E$23,"")</f>
        <v/>
      </c>
      <c r="BY64" s="518" t="str">
        <f>IF(AND(_AC5="B-737-800",'2023'!$N$4="CA",'2023'!$N$2=BY43),'2023DATA2'!$F$23,"")</f>
        <v/>
      </c>
      <c r="BZ64" s="518" t="str">
        <f>IF(AND(_AC5="B-737-800",'2023'!$N$4="CA",'2023'!$N$2=BZ43),'2023DATA2'!$G$23,"")</f>
        <v/>
      </c>
      <c r="CA64" s="518" t="str">
        <f>IF(AND(_AC5="B-737-800",'2023'!$N$4="CA",'2023'!$N$2=CA43),'2023DATA2'!$H$23,"")</f>
        <v/>
      </c>
      <c r="CB64" s="518" t="str">
        <f>IF(AND(_AC5="B-737-800",'2023'!$N$4="CA",'2023'!$N$2=CB43),'2023DATA2'!$I$23,"")</f>
        <v/>
      </c>
      <c r="CC64" s="518" t="str">
        <f>IF(AND(_AC5="B-737-800",'2023'!$N$4="CA",'2023'!$N$2=CC43),'2023DATA2'!$J$23,"")</f>
        <v/>
      </c>
      <c r="CD64" s="518" t="str">
        <f>IF(AND(_AC5="B-737-800",'2023'!$N$4="CA",'2023'!$N$2=CD43),'2023DATA2'!$K$23,"")</f>
        <v/>
      </c>
      <c r="CE64" s="518" t="str">
        <f>IF(AND(_AC5="B-737-800",'2023'!$N$4="CA",'2023'!$N$2=CE43),'2023DATA2'!$L$23,"")</f>
        <v/>
      </c>
      <c r="CF64" s="518" t="str">
        <f>IF(AND(_AC5="B-737-800",'2023'!$N$4="CA",'2023'!$N$2=CF43),'2023DATA2'!$M$23,"")</f>
        <v/>
      </c>
      <c r="CG64" s="520" t="str">
        <f>IF(AND(_AC5="B-737-800",'2023'!$N$4="CA",'2023'!$N$2=CG43),'2023DATA2'!$N$23,"")</f>
        <v/>
      </c>
      <c r="CH64" s="940" t="s">
        <v>69</v>
      </c>
      <c r="CI64" s="13" t="s">
        <v>61</v>
      </c>
      <c r="CJ64" s="518" t="str">
        <f>IF(AND(_AC6="B-737-800",'2023'!$N$4="CA",'2023'!$N$2=CJ43),'2023DATA2'!$C$23,"")</f>
        <v/>
      </c>
      <c r="CK64" s="518" t="str">
        <f>IF(AND(_AC6="B-737-800",'2023'!$N$4="CA",'2023'!$N$2=CK43),'2023DATA2'!$D$23,"")</f>
        <v/>
      </c>
      <c r="CL64" s="518" t="str">
        <f>IF(AND(_AC6="B-737-800",'2023'!$N$4="CA",'2023'!$N$2=CL43),'2023DATA2'!$E$23,"")</f>
        <v/>
      </c>
      <c r="CM64" s="518" t="str">
        <f>IF(AND(_AC6="B-737-800",'2023'!$N$4="CA",'2023'!$N$2=CM43),'2023DATA2'!$F$23,"")</f>
        <v/>
      </c>
      <c r="CN64" s="518" t="str">
        <f>IF(AND(_AC6="B-737-800",'2023'!$N$4="CA",'2023'!$N$2=CN43),'2023DATA2'!$G$23,"")</f>
        <v/>
      </c>
      <c r="CO64" s="518" t="str">
        <f>IF(AND(_AC6="B-737-800",'2023'!$N$4="CA",'2023'!$N$2=CO43),'2023DATA2'!$H$23,"")</f>
        <v/>
      </c>
      <c r="CP64" s="518" t="str">
        <f>IF(AND(_AC6="B-737-800",'2023'!$N$4="CA",'2023'!$N$2=CP43),'2023DATA2'!$I$23,"")</f>
        <v/>
      </c>
      <c r="CQ64" s="518" t="str">
        <f>IF(AND(_AC6="B-737-800",'2023'!$N$4="CA",'2023'!$N$2=CQ43),'2023DATA2'!$J$23,"")</f>
        <v/>
      </c>
      <c r="CR64" s="518" t="str">
        <f>IF(AND(_AC6="B-737-800",'2023'!$N$4="CA",'2023'!$N$2=CR43),'2023DATA2'!$K$23,"")</f>
        <v/>
      </c>
      <c r="CS64" s="518" t="str">
        <f>IF(AND(_AC6="B-737-800",'2023'!$N$4="CA",'2023'!$N$2=CS43),'2023DATA2'!$L$23,"")</f>
        <v/>
      </c>
      <c r="CT64" s="518" t="str">
        <f>IF(AND(_AC6="B-737-800",'2023'!$N$4="CA",'2023'!$N$2=CT43),'2023DATA2'!$M$23,"")</f>
        <v/>
      </c>
      <c r="CU64" s="520" t="str">
        <f>IF(AND(_AC6="B-737-800",'2023'!$N$4="CA",'2023'!$N$2=CU43),'2023DATA2'!$N$23,"")</f>
        <v/>
      </c>
    </row>
    <row r="65" spans="16:99" x14ac:dyDescent="0.25">
      <c r="P65" s="940"/>
      <c r="Q65" s="13" t="s">
        <v>62</v>
      </c>
      <c r="R65" s="518" t="str">
        <f>IF(AND(_AC1="B-737-800",'2023'!$N$4="FO",'2023'!$N$2=R43),'2023DATA2'!$C$24,"")</f>
        <v/>
      </c>
      <c r="S65" s="518" t="str">
        <f>IF(AND(_AC1="B-737-800",'2023'!$N$4="FO",'2023'!$N$2=S43),'2023DATA2'!$D$24,"")</f>
        <v/>
      </c>
      <c r="T65" s="518" t="str">
        <f>IF(AND(_AC1="B-737-800",'2023'!$N$4="FO",'2023'!$N$2=T43),'2023DATA2'!$E$24,"")</f>
        <v/>
      </c>
      <c r="U65" s="518" t="str">
        <f>IF(AND(_AC1="B-737-800",'2023'!$N$4="FO",'2023'!$N$2=U43),'2023DATA2'!$F$24,"")</f>
        <v/>
      </c>
      <c r="V65" s="518" t="str">
        <f>IF(AND(_AC1="B-737-800",'2023'!$N$4="FO",'2023'!$N$2=V43),'2023DATA2'!$G$24,"")</f>
        <v/>
      </c>
      <c r="W65" s="518" t="str">
        <f>IF(AND(_AC1="B-737-800",'2023'!$N$4="FO",'2023'!$N$2=W43),'2023DATA2'!$H$24,"")</f>
        <v/>
      </c>
      <c r="X65" s="518" t="str">
        <f>IF(AND(_AC1="B-737-800",'2023'!$N$4="FO",'2023'!$N$2=X43),'2023DATA2'!$I$24,"")</f>
        <v/>
      </c>
      <c r="Y65" s="518" t="str">
        <f>IF(AND(_AC1="B-737-800",'2023'!$N$4="FO",'2023'!$N$2=Y43),'2023DATA2'!$J$24,"")</f>
        <v/>
      </c>
      <c r="Z65" s="518" t="str">
        <f>IF(AND(_AC1="B-737-800",'2023'!$N$4="FO",'2023'!$N$2=Z43),'2023DATA2'!$K$24,"")</f>
        <v/>
      </c>
      <c r="AA65" s="518" t="str">
        <f>IF(AND(_AC1="B-737-800",'2023'!$N$4="FO",'2023'!$N$2=AA43),'2023DATA2'!$L$24,"")</f>
        <v/>
      </c>
      <c r="AB65" s="518" t="str">
        <f>IF(AND(_AC1="B-737-800",'2023'!$N$4="FO",'2023'!$N$2=AB43),'2023DATA2'!$M$24,"")</f>
        <v/>
      </c>
      <c r="AC65" s="520" t="str">
        <f>IF(AND(_AC1="B-737-800",'2023'!$N$4="FO",'2023'!$N$2=AC43),'2023DATA2'!$N$24,"")</f>
        <v/>
      </c>
      <c r="AD65" s="940"/>
      <c r="AE65" s="13" t="s">
        <v>62</v>
      </c>
      <c r="AF65" s="518" t="str">
        <f>IF(AND(_AC2="B-737-800",'2023'!$N$4="FO",'2023'!$N$2=AF43),'2023DATA2'!$C$24,"")</f>
        <v/>
      </c>
      <c r="AG65" s="518" t="str">
        <f>IF(AND(_AC2="B-737-800",'2023'!$N$4="FO",'2023'!$N$2=AG43),'2023DATA2'!$D$24,"")</f>
        <v/>
      </c>
      <c r="AH65" s="518" t="str">
        <f>IF(AND(_AC2="B-737-800",'2023'!$N$4="FO",'2023'!$N$2=AH43),'2023DATA2'!$E$24,"")</f>
        <v/>
      </c>
      <c r="AI65" s="518" t="str">
        <f>IF(AND(_AC2="B-737-800",'2023'!$N$4="FO",'2023'!$N$2=AI43),'2023DATA2'!$F$24,"")</f>
        <v/>
      </c>
      <c r="AJ65" s="518" t="str">
        <f>IF(AND(_AC2="B-737-800",'2023'!$N$4="FO",'2023'!$N$2=AJ43),'2023DATA2'!$G$24,"")</f>
        <v/>
      </c>
      <c r="AK65" s="518" t="str">
        <f>IF(AND(_AC2="B-737-800",'2023'!$N$4="FO",'2023'!$N$2=AK43),'2023DATA2'!$H$24,"")</f>
        <v/>
      </c>
      <c r="AL65" s="518" t="str">
        <f>IF(AND(_AC2="B-737-800",'2023'!$N$4="FO",'2023'!$N$2=AL43),'2023DATA2'!$I$24,"")</f>
        <v/>
      </c>
      <c r="AM65" s="518" t="str">
        <f>IF(AND(_AC2="B-737-800",'2023'!$N$4="FO",'2023'!$N$2=AM43),'2023DATA2'!$J$24,"")</f>
        <v/>
      </c>
      <c r="AN65" s="518" t="str">
        <f>IF(AND(_AC2="B-737-800",'2023'!$N$4="FO",'2023'!$N$2=AN43),'2023DATA2'!$K$24,"")</f>
        <v/>
      </c>
      <c r="AO65" s="518" t="str">
        <f>IF(AND(_AC2="B-737-800",'2023'!$N$4="FO",'2023'!$N$2=AO43),'2023DATA2'!$L$24,"")</f>
        <v/>
      </c>
      <c r="AP65" s="518" t="str">
        <f>IF(AND(_AC2="B-737-800",'2023'!$N$4="FO",'2023'!$N$2=AP43),'2023DATA2'!$M$24,"")</f>
        <v/>
      </c>
      <c r="AQ65" s="520" t="str">
        <f>IF(AND(_AC2="B-737-800",'2023'!$N$4="FO",'2023'!$N$2=AQ43),'2023DATA2'!$N$24,"")</f>
        <v/>
      </c>
      <c r="AR65" s="940"/>
      <c r="AS65" s="13" t="s">
        <v>62</v>
      </c>
      <c r="AT65" s="518" t="str">
        <f>IF(AND(_AC3="B-737-800",'2023'!$N$4="FO",'2023'!$N$2=AT43),'2023DATA2'!$C$24,"")</f>
        <v/>
      </c>
      <c r="AU65" s="518" t="str">
        <f>IF(AND(_AC3="B-737-800",'2023'!$N$4="FO",'2023'!$N$2=AU43),'2023DATA2'!$D$24,"")</f>
        <v/>
      </c>
      <c r="AV65" s="518" t="str">
        <f>IF(AND(_AC3="B-737-800",'2023'!$N$4="FO",'2023'!$N$2=AV43),'2023DATA2'!$E$24,"")</f>
        <v/>
      </c>
      <c r="AW65" s="518" t="str">
        <f>IF(AND(_AC3="B-737-800",'2023'!$N$4="FO",'2023'!$N$2=AW43),'2023DATA2'!$F$24,"")</f>
        <v/>
      </c>
      <c r="AX65" s="518" t="str">
        <f>IF(AND(_AC3="B-737-800",'2023'!$N$4="FO",'2023'!$N$2=AX43),'2023DATA2'!$G$24,"")</f>
        <v/>
      </c>
      <c r="AY65" s="518" t="str">
        <f>IF(AND(_AC3="B-737-800",'2023'!$N$4="FO",'2023'!$N$2=AY43),'2023DATA2'!$H$24,"")</f>
        <v/>
      </c>
      <c r="AZ65" s="518" t="str">
        <f>IF(AND(_AC3="B-737-800",'2023'!$N$4="FO",'2023'!$N$2=AZ43),'2023DATA2'!$I$24,"")</f>
        <v/>
      </c>
      <c r="BA65" s="518" t="str">
        <f>IF(AND(_AC3="B-737-800",'2023'!$N$4="FO",'2023'!$N$2=BA43),'2023DATA2'!$J$24,"")</f>
        <v/>
      </c>
      <c r="BB65" s="518" t="str">
        <f>IF(AND(_AC3="B-737-800",'2023'!$N$4="FO",'2023'!$N$2=BB43),'2023DATA2'!$K$24,"")</f>
        <v/>
      </c>
      <c r="BC65" s="518" t="str">
        <f>IF(AND(_AC3="B-737-800",'2023'!$N$4="FO",'2023'!$N$2=BC43),'2023DATA2'!$L$24,"")</f>
        <v/>
      </c>
      <c r="BD65" s="518" t="str">
        <f>IF(AND(_AC3="B-737-800",'2023'!$N$4="FO",'2023'!$N$2=BD43),'2023DATA2'!$M$24,"")</f>
        <v/>
      </c>
      <c r="BE65" s="520" t="str">
        <f>IF(AND(_AC3="B-737-800",'2023'!$N$4="FO",'2023'!$N$2=BE43),'2023DATA2'!$N$24,"")</f>
        <v/>
      </c>
      <c r="BF65" s="940"/>
      <c r="BG65" s="13" t="s">
        <v>62</v>
      </c>
      <c r="BH65" s="518" t="str">
        <f>IF(AND(_AC4="B-737-800",'2023'!$N$4="FO",'2023'!$N$2=BH43),'2023DATA2'!$C$24,"")</f>
        <v/>
      </c>
      <c r="BI65" s="518" t="str">
        <f>IF(AND(_AC4="B-737-800",'2023'!$N$4="FO",'2023'!$N$2=BI43),'2023DATA2'!$D$24,"")</f>
        <v/>
      </c>
      <c r="BJ65" s="518" t="str">
        <f>IF(AND(_AC4="B-737-800",'2023'!$N$4="FO",'2023'!$N$2=BJ43),'2023DATA2'!$E$24,"")</f>
        <v/>
      </c>
      <c r="BK65" s="518" t="str">
        <f>IF(AND(_AC4="B-737-800",'2023'!$N$4="FO",'2023'!$N$2=BK43),'2023DATA2'!$F$24,"")</f>
        <v/>
      </c>
      <c r="BL65" s="518" t="str">
        <f>IF(AND(_AC4="B-737-800",'2023'!$N$4="FO",'2023'!$N$2=BL43),'2023DATA2'!$G$24,"")</f>
        <v/>
      </c>
      <c r="BM65" s="518" t="str">
        <f>IF(AND(_AC4="B-737-800",'2023'!$N$4="FO",'2023'!$N$2=BM43),'2023DATA2'!$H$24,"")</f>
        <v/>
      </c>
      <c r="BN65" s="518" t="str">
        <f>IF(AND(_AC4="B-737-800",'2023'!$N$4="FO",'2023'!$N$2=BN43),'2023DATA2'!$I$24,"")</f>
        <v/>
      </c>
      <c r="BO65" s="518" t="str">
        <f>IF(AND(_AC4="B-737-800",'2023'!$N$4="FO",'2023'!$N$2=BO43),'2023DATA2'!$J$24,"")</f>
        <v/>
      </c>
      <c r="BP65" s="518" t="str">
        <f>IF(AND(_AC4="B-737-800",'2023'!$N$4="FO",'2023'!$N$2=BP43),'2023DATA2'!$K$24,"")</f>
        <v/>
      </c>
      <c r="BQ65" s="518" t="str">
        <f>IF(AND(_AC4="B-737-800",'2023'!$N$4="FO",'2023'!$N$2=BQ43),'2023DATA2'!$L$24,"")</f>
        <v/>
      </c>
      <c r="BR65" s="518" t="str">
        <f>IF(AND(_AC4="B-737-800",'2023'!$N$4="FO",'2023'!$N$2=BR43),'2023DATA2'!$M$24,"")</f>
        <v/>
      </c>
      <c r="BS65" s="520" t="str">
        <f>IF(AND(_AC4="B-737-800",'2023'!$N$4="FO",'2023'!$N$2=BS43),'2023DATA2'!$N$24,"")</f>
        <v/>
      </c>
      <c r="BT65" s="940"/>
      <c r="BU65" s="13" t="s">
        <v>62</v>
      </c>
      <c r="BV65" s="518" t="str">
        <f>IF(AND(_AC5="B-737-800",'2023'!$N$4="FO",'2023'!$N$2=BV43),'2023DATA2'!$C$24,"")</f>
        <v/>
      </c>
      <c r="BW65" s="518" t="str">
        <f>IF(AND(_AC5="B-737-800",'2023'!$N$4="FO",'2023'!$N$2=BW43),'2023DATA2'!$D$24,"")</f>
        <v/>
      </c>
      <c r="BX65" s="518" t="str">
        <f>IF(AND(_AC5="B-737-800",'2023'!$N$4="FO",'2023'!$N$2=BX43),'2023DATA2'!$E$24,"")</f>
        <v/>
      </c>
      <c r="BY65" s="518" t="str">
        <f>IF(AND(_AC5="B-737-800",'2023'!$N$4="FO",'2023'!$N$2=BY43),'2023DATA2'!$F$24,"")</f>
        <v/>
      </c>
      <c r="BZ65" s="518" t="str">
        <f>IF(AND(_AC5="B-737-800",'2023'!$N$4="FO",'2023'!$N$2=BZ43),'2023DATA2'!$G$24,"")</f>
        <v/>
      </c>
      <c r="CA65" s="518" t="str">
        <f>IF(AND(_AC5="B-737-800",'2023'!$N$4="FO",'2023'!$N$2=CA43),'2023DATA2'!$H$24,"")</f>
        <v/>
      </c>
      <c r="CB65" s="518" t="str">
        <f>IF(AND(_AC5="B-737-800",'2023'!$N$4="FO",'2023'!$N$2=CB43),'2023DATA2'!$I$24,"")</f>
        <v/>
      </c>
      <c r="CC65" s="518" t="str">
        <f>IF(AND(_AC5="B-737-800",'2023'!$N$4="FO",'2023'!$N$2=CC43),'2023DATA2'!$J$24,"")</f>
        <v/>
      </c>
      <c r="CD65" s="518" t="str">
        <f>IF(AND(_AC5="B-737-800",'2023'!$N$4="FO",'2023'!$N$2=CD43),'2023DATA2'!$K$24,"")</f>
        <v/>
      </c>
      <c r="CE65" s="518" t="str">
        <f>IF(AND(_AC5="B-737-800",'2023'!$N$4="FO",'2023'!$N$2=CE43),'2023DATA2'!$L$24,"")</f>
        <v/>
      </c>
      <c r="CF65" s="518" t="str">
        <f>IF(AND(_AC5="B-737-800",'2023'!$N$4="FO",'2023'!$N$2=CF43),'2023DATA2'!$M$24,"")</f>
        <v/>
      </c>
      <c r="CG65" s="520" t="str">
        <f>IF(AND(_AC5="B-737-800",'2023'!$N$4="FO",'2023'!$N$2=CG43),'2023DATA2'!$N$24,"")</f>
        <v/>
      </c>
      <c r="CH65" s="940"/>
      <c r="CI65" s="13" t="s">
        <v>62</v>
      </c>
      <c r="CJ65" s="518" t="str">
        <f>IF(AND(_AC6="B-737-800",'2023'!$N$4="FO",'2023'!$N$2=CJ43),'2023DATA2'!$C$24,"")</f>
        <v/>
      </c>
      <c r="CK65" s="518" t="str">
        <f>IF(AND(_AC6="B-737-800",'2023'!$N$4="FO",'2023'!$N$2=CK43),'2023DATA2'!$D$24,"")</f>
        <v/>
      </c>
      <c r="CL65" s="518" t="str">
        <f>IF(AND(_AC6="B-737-800",'2023'!$N$4="FO",'2023'!$N$2=CL43),'2023DATA2'!$E$24,"")</f>
        <v/>
      </c>
      <c r="CM65" s="518" t="str">
        <f>IF(AND(_AC6="B-737-800",'2023'!$N$4="FO",'2023'!$N$2=CM43),'2023DATA2'!$F$24,"")</f>
        <v/>
      </c>
      <c r="CN65" s="518" t="str">
        <f>IF(AND(_AC6="B-737-800",'2023'!$N$4="FO",'2023'!$N$2=CN43),'2023DATA2'!$G$24,"")</f>
        <v/>
      </c>
      <c r="CO65" s="518" t="str">
        <f>IF(AND(_AC6="B-737-800",'2023'!$N$4="FO",'2023'!$N$2=CO43),'2023DATA2'!$H$24,"")</f>
        <v/>
      </c>
      <c r="CP65" s="518" t="str">
        <f>IF(AND(_AC6="B-737-800",'2023'!$N$4="FO",'2023'!$N$2=CP43),'2023DATA2'!$I$24,"")</f>
        <v/>
      </c>
      <c r="CQ65" s="518" t="str">
        <f>IF(AND(_AC6="B-737-800",'2023'!$N$4="FO",'2023'!$N$2=CQ43),'2023DATA2'!$J$24,"")</f>
        <v/>
      </c>
      <c r="CR65" s="518" t="str">
        <f>IF(AND(_AC6="B-737-800",'2023'!$N$4="FO",'2023'!$N$2=CR43),'2023DATA2'!$K$24,"")</f>
        <v/>
      </c>
      <c r="CS65" s="518" t="str">
        <f>IF(AND(_AC6="B-737-800",'2023'!$N$4="FO",'2023'!$N$2=CS43),'2023DATA2'!$L$24,"")</f>
        <v/>
      </c>
      <c r="CT65" s="518" t="str">
        <f>IF(AND(_AC6="B-737-800",'2023'!$N$4="FO",'2023'!$N$2=CT43),'2023DATA2'!$M$24,"")</f>
        <v/>
      </c>
      <c r="CU65" s="520" t="str">
        <f>IF(AND(_AC6="B-737-800",'2023'!$N$4="FO",'2023'!$N$2=CU43),'2023DATA2'!$N$24,"")</f>
        <v/>
      </c>
    </row>
    <row r="66" spans="16:99" x14ac:dyDescent="0.25">
      <c r="P66" s="940" t="s">
        <v>46</v>
      </c>
      <c r="Q66" s="13" t="s">
        <v>61</v>
      </c>
      <c r="R66" s="518" t="str">
        <f>IF(AND(_AC1="A-321N",'2023'!$N$4="CA",'2023'!$N$2=R43),'2023DATA2'!$C$25,"")</f>
        <v/>
      </c>
      <c r="S66" s="518" t="str">
        <f>IF(AND(_AC1="A-321N",'2023'!$N$4="CA",'2023'!$N$2=S43),'2023DATA2'!$D$25,"")</f>
        <v/>
      </c>
      <c r="T66" s="518" t="str">
        <f>IF(AND(_AC1="A-321N",'2023'!$N$4="CA",'2023'!$N$2=T43),'2023DATA2'!$E$25,"")</f>
        <v/>
      </c>
      <c r="U66" s="518" t="str">
        <f>IF(AND(_AC1="A-321N",'2023'!$N$4="CA",'2023'!$N$2=U43),'2023DATA2'!$F$25,"")</f>
        <v/>
      </c>
      <c r="V66" s="518" t="str">
        <f>IF(AND(_AC1="A-321N",'2023'!$N$4="CA",'2023'!$N$2=V43),'2023DATA2'!$G$25,"")</f>
        <v/>
      </c>
      <c r="W66" s="518" t="str">
        <f>IF(AND(_AC1="A-321N",'2023'!$N$4="CA",'2023'!$N$2=W43),'2023DATA2'!$H$25,"")</f>
        <v/>
      </c>
      <c r="X66" s="518" t="str">
        <f>IF(AND(_AC1="A-321N",'2023'!$N$4="CA",'2023'!$N$2=X43),'2023DATA2'!$I$25,"")</f>
        <v/>
      </c>
      <c r="Y66" s="518" t="str">
        <f>IF(AND(_AC1="A-321N",'2023'!$N$4="CA",'2023'!$N$2=Y43),'2023DATA2'!$J$25,"")</f>
        <v/>
      </c>
      <c r="Z66" s="518" t="str">
        <f>IF(AND(_AC1="A-321N",'2023'!$N$4="CA",'2023'!$N$2=Z43),'2023DATA2'!$K$25,"")</f>
        <v/>
      </c>
      <c r="AA66" s="518" t="str">
        <f>IF(AND(_AC1="A-321N",'2023'!$N$4="CA",'2023'!$N$2=AA43),'2023DATA2'!$L$25,"")</f>
        <v/>
      </c>
      <c r="AB66" s="518" t="str">
        <f>IF(AND(_AC1="A-321N",'2023'!$N$4="CA",'2023'!$N$2=AB43),'2023DATA2'!$M$25,"")</f>
        <v/>
      </c>
      <c r="AC66" s="520" t="str">
        <f>IF(AND(_AC1="A-321N",'2023'!$N$4="CA",'2023'!$N$2=AC43),'2023DATA2'!$N$25,"")</f>
        <v/>
      </c>
      <c r="AD66" s="940" t="s">
        <v>46</v>
      </c>
      <c r="AE66" s="13" t="s">
        <v>61</v>
      </c>
      <c r="AF66" s="518" t="str">
        <f>IF(AND(_AC2="A-321N",'2023'!$N$4="CA",'2023'!$N$2=AF43),'2023DATA2'!$C$25,"")</f>
        <v/>
      </c>
      <c r="AG66" s="518" t="str">
        <f>IF(AND(_AC2="A-321N",'2023'!$N$4="CA",'2023'!$N$2=AG43),'2023DATA2'!$D$25,"")</f>
        <v/>
      </c>
      <c r="AH66" s="518" t="str">
        <f>IF(AND(_AC2="A-321N",'2023'!$N$4="CA",'2023'!$N$2=AH43),'2023DATA2'!$E$25,"")</f>
        <v/>
      </c>
      <c r="AI66" s="518" t="str">
        <f>IF(AND(_AC2="A-321N",'2023'!$N$4="CA",'2023'!$N$2=AI43),'2023DATA2'!$F$25,"")</f>
        <v/>
      </c>
      <c r="AJ66" s="518" t="str">
        <f>IF(AND(_AC2="A-321N",'2023'!$N$4="CA",'2023'!$N$2=AJ43),'2023DATA2'!$G$25,"")</f>
        <v/>
      </c>
      <c r="AK66" s="518" t="str">
        <f>IF(AND(_AC2="A-321N",'2023'!$N$4="CA",'2023'!$N$2=AK43),'2023DATA2'!$H$25,"")</f>
        <v/>
      </c>
      <c r="AL66" s="518" t="str">
        <f>IF(AND(_AC2="A-321N",'2023'!$N$4="CA",'2023'!$N$2=AL43),'2023DATA2'!$I$25,"")</f>
        <v/>
      </c>
      <c r="AM66" s="518" t="str">
        <f>IF(AND(_AC2="A-321N",'2023'!$N$4="CA",'2023'!$N$2=AM43),'2023DATA2'!$J$25,"")</f>
        <v/>
      </c>
      <c r="AN66" s="518" t="str">
        <f>IF(AND(_AC2="A-321N",'2023'!$N$4="CA",'2023'!$N$2=AN43),'2023DATA2'!$K$25,"")</f>
        <v/>
      </c>
      <c r="AO66" s="518" t="str">
        <f>IF(AND(_AC2="A-321N",'2023'!$N$4="CA",'2023'!$N$2=AO43),'2023DATA2'!$L$25,"")</f>
        <v/>
      </c>
      <c r="AP66" s="518" t="str">
        <f>IF(AND(_AC2="A-321N",'2023'!$N$4="CA",'2023'!$N$2=AP43),'2023DATA2'!$M$25,"")</f>
        <v/>
      </c>
      <c r="AQ66" s="520" t="str">
        <f>IF(AND(_AC2="A-321N",'2023'!$N$4="CA",'2023'!$N$2=AQ43),'2023DATA2'!$N$25,"")</f>
        <v/>
      </c>
      <c r="AR66" s="940" t="s">
        <v>46</v>
      </c>
      <c r="AS66" s="13" t="s">
        <v>61</v>
      </c>
      <c r="AT66" s="518" t="str">
        <f>IF(AND(_AC3="A-321N",'2023'!$N$4="CA",'2023'!$N$2=AT43),'2023DATA2'!$C$25,"")</f>
        <v/>
      </c>
      <c r="AU66" s="518" t="str">
        <f>IF(AND(_AC3="A-321N",'2023'!$N$4="CA",'2023'!$N$2=AU43),'2023DATA2'!$D$25,"")</f>
        <v/>
      </c>
      <c r="AV66" s="518" t="str">
        <f>IF(AND(_AC3="A-321N",'2023'!$N$4="CA",'2023'!$N$2=AV43),'2023DATA2'!$E$25,"")</f>
        <v/>
      </c>
      <c r="AW66" s="518" t="str">
        <f>IF(AND(_AC3="A-321N",'2023'!$N$4="CA",'2023'!$N$2=AW43),'2023DATA2'!$F$25,"")</f>
        <v/>
      </c>
      <c r="AX66" s="518" t="str">
        <f>IF(AND(_AC3="A-321N",'2023'!$N$4="CA",'2023'!$N$2=AX43),'2023DATA2'!$G$25,"")</f>
        <v/>
      </c>
      <c r="AY66" s="518" t="str">
        <f>IF(AND(_AC3="A-321N",'2023'!$N$4="CA",'2023'!$N$2=AY43),'2023DATA2'!$H$25,"")</f>
        <v/>
      </c>
      <c r="AZ66" s="518" t="str">
        <f>IF(AND(_AC3="A-321N",'2023'!$N$4="CA",'2023'!$N$2=AZ43),'2023DATA2'!$I$25,"")</f>
        <v/>
      </c>
      <c r="BA66" s="518" t="str">
        <f>IF(AND(_AC3="A-321N",'2023'!$N$4="CA",'2023'!$N$2=BA43),'2023DATA2'!$J$25,"")</f>
        <v/>
      </c>
      <c r="BB66" s="518" t="str">
        <f>IF(AND(_AC3="A-321N",'2023'!$N$4="CA",'2023'!$N$2=BB43),'2023DATA2'!$K$25,"")</f>
        <v/>
      </c>
      <c r="BC66" s="518" t="str">
        <f>IF(AND(_AC3="A-321N",'2023'!$N$4="CA",'2023'!$N$2=BC43),'2023DATA2'!$L$25,"")</f>
        <v/>
      </c>
      <c r="BD66" s="518" t="str">
        <f>IF(AND(_AC3="A-321N",'2023'!$N$4="CA",'2023'!$N$2=BD43),'2023DATA2'!$M$25,"")</f>
        <v/>
      </c>
      <c r="BE66" s="520" t="str">
        <f>IF(AND(_AC3="A-321N",'2023'!$N$4="CA",'2023'!$N$2=BE43),'2023DATA2'!$N$25,"")</f>
        <v/>
      </c>
      <c r="BF66" s="940" t="s">
        <v>46</v>
      </c>
      <c r="BG66" s="13" t="s">
        <v>61</v>
      </c>
      <c r="BH66" s="518" t="str">
        <f>IF(AND(_AC4="A-321N",'2023'!$N$4="CA",'2023'!$N$2=BH43),'2023DATA2'!$C$25,"")</f>
        <v/>
      </c>
      <c r="BI66" s="518" t="str">
        <f>IF(AND(_AC4="A-321N",'2023'!$N$4="CA",'2023'!$N$2=BI43),'2023DATA2'!$D$25,"")</f>
        <v/>
      </c>
      <c r="BJ66" s="518" t="str">
        <f>IF(AND(_AC4="A-321N",'2023'!$N$4="CA",'2023'!$N$2=BJ43),'2023DATA2'!$E$25,"")</f>
        <v/>
      </c>
      <c r="BK66" s="518" t="str">
        <f>IF(AND(_AC4="A-321N",'2023'!$N$4="CA",'2023'!$N$2=BK43),'2023DATA2'!$F$25,"")</f>
        <v/>
      </c>
      <c r="BL66" s="518" t="str">
        <f>IF(AND(_AC4="A-321N",'2023'!$N$4="CA",'2023'!$N$2=BL43),'2023DATA2'!$G$25,"")</f>
        <v/>
      </c>
      <c r="BM66" s="518" t="str">
        <f>IF(AND(_AC4="A-321N",'2023'!$N$4="CA",'2023'!$N$2=BM43),'2023DATA2'!$H$25,"")</f>
        <v/>
      </c>
      <c r="BN66" s="518" t="str">
        <f>IF(AND(_AC4="A-321N",'2023'!$N$4="CA",'2023'!$N$2=BN43),'2023DATA2'!$I$25,"")</f>
        <v/>
      </c>
      <c r="BO66" s="518" t="str">
        <f>IF(AND(_AC4="A-321N",'2023'!$N$4="CA",'2023'!$N$2=BO43),'2023DATA2'!$J$25,"")</f>
        <v/>
      </c>
      <c r="BP66" s="518" t="str">
        <f>IF(AND(_AC4="A-321N",'2023'!$N$4="CA",'2023'!$N$2=BP43),'2023DATA2'!$K$25,"")</f>
        <v/>
      </c>
      <c r="BQ66" s="518" t="str">
        <f>IF(AND(_AC4="A-321N",'2023'!$N$4="CA",'2023'!$N$2=BQ43),'2023DATA2'!$L$25,"")</f>
        <v/>
      </c>
      <c r="BR66" s="518" t="str">
        <f>IF(AND(_AC4="A-321N",'2023'!$N$4="CA",'2023'!$N$2=BR43),'2023DATA2'!$M$25,"")</f>
        <v/>
      </c>
      <c r="BS66" s="520" t="str">
        <f>IF(AND(_AC4="A-321N",'2023'!$N$4="CA",'2023'!$N$2=BS43),'2023DATA2'!$N$25,"")</f>
        <v/>
      </c>
      <c r="BT66" s="940" t="s">
        <v>46</v>
      </c>
      <c r="BU66" s="13" t="s">
        <v>61</v>
      </c>
      <c r="BV66" s="518" t="str">
        <f>IF(AND(_AC5="A-321N",'2023'!$N$4="CA",'2023'!$N$2=BV43),'2023DATA2'!$C$25,"")</f>
        <v/>
      </c>
      <c r="BW66" s="518" t="str">
        <f>IF(AND(_AC5="A-321N",'2023'!$N$4="CA",'2023'!$N$2=BW43),'2023DATA2'!$D$25,"")</f>
        <v/>
      </c>
      <c r="BX66" s="518" t="str">
        <f>IF(AND(_AC5="A-321N",'2023'!$N$4="CA",'2023'!$N$2=BX43),'2023DATA2'!$E$25,"")</f>
        <v/>
      </c>
      <c r="BY66" s="518" t="str">
        <f>IF(AND(_AC5="A-321N",'2023'!$N$4="CA",'2023'!$N$2=BY43),'2023DATA2'!$F$25,"")</f>
        <v/>
      </c>
      <c r="BZ66" s="518" t="str">
        <f>IF(AND(_AC5="A-321N",'2023'!$N$4="CA",'2023'!$N$2=BZ43),'2023DATA2'!$G$25,"")</f>
        <v/>
      </c>
      <c r="CA66" s="518" t="str">
        <f>IF(AND(_AC5="A-321N",'2023'!$N$4="CA",'2023'!$N$2=CA43),'2023DATA2'!$H$25,"")</f>
        <v/>
      </c>
      <c r="CB66" s="518" t="str">
        <f>IF(AND(_AC5="A-321N",'2023'!$N$4="CA",'2023'!$N$2=CB43),'2023DATA2'!$I$25,"")</f>
        <v/>
      </c>
      <c r="CC66" s="518" t="str">
        <f>IF(AND(_AC5="A-321N",'2023'!$N$4="CA",'2023'!$N$2=CC43),'2023DATA2'!$J$25,"")</f>
        <v/>
      </c>
      <c r="CD66" s="518" t="str">
        <f>IF(AND(_AC5="A-321N",'2023'!$N$4="CA",'2023'!$N$2=CD43),'2023DATA2'!$K$25,"")</f>
        <v/>
      </c>
      <c r="CE66" s="518" t="str">
        <f>IF(AND(_AC5="A-321N",'2023'!$N$4="CA",'2023'!$N$2=CE43),'2023DATA2'!$L$25,"")</f>
        <v/>
      </c>
      <c r="CF66" s="518" t="str">
        <f>IF(AND(_AC5="A-321N",'2023'!$N$4="CA",'2023'!$N$2=CF43),'2023DATA2'!$M$25,"")</f>
        <v/>
      </c>
      <c r="CG66" s="520" t="str">
        <f>IF(AND(_AC5="A-321N",'2023'!$N$4="CA",'2023'!$N$2=CG43),'2023DATA2'!$N$25,"")</f>
        <v/>
      </c>
      <c r="CH66" s="940" t="s">
        <v>46</v>
      </c>
      <c r="CI66" s="13" t="s">
        <v>61</v>
      </c>
      <c r="CJ66" s="518" t="str">
        <f>IF(AND(_AC6="A-321N",'2023'!$N$4="CA",'2023'!$N$2=CJ43),'2023DATA2'!$C$25,"")</f>
        <v/>
      </c>
      <c r="CK66" s="518" t="str">
        <f>IF(AND(_AC6="A-321N",'2023'!$N$4="CA",'2023'!$N$2=CK43),'2023DATA2'!$D$25,"")</f>
        <v/>
      </c>
      <c r="CL66" s="518" t="str">
        <f>IF(AND(_AC6="A-321N",'2023'!$N$4="CA",'2023'!$N$2=CL43),'2023DATA2'!$E$25,"")</f>
        <v/>
      </c>
      <c r="CM66" s="518" t="str">
        <f>IF(AND(_AC6="A-321N",'2023'!$N$4="CA",'2023'!$N$2=CM43),'2023DATA2'!$F$25,"")</f>
        <v/>
      </c>
      <c r="CN66" s="518" t="str">
        <f>IF(AND(_AC6="A-321N",'2023'!$N$4="CA",'2023'!$N$2=CN43),'2023DATA2'!$G$25,"")</f>
        <v/>
      </c>
      <c r="CO66" s="518" t="str">
        <f>IF(AND(_AC6="A-321N",'2023'!$N$4="CA",'2023'!$N$2=CO43),'2023DATA2'!$H$25,"")</f>
        <v/>
      </c>
      <c r="CP66" s="518" t="str">
        <f>IF(AND(_AC6="A-321N",'2023'!$N$4="CA",'2023'!$N$2=CP43),'2023DATA2'!$I$25,"")</f>
        <v/>
      </c>
      <c r="CQ66" s="518" t="str">
        <f>IF(AND(_AC6="A-321N",'2023'!$N$4="CA",'2023'!$N$2=CQ43),'2023DATA2'!$J$25,"")</f>
        <v/>
      </c>
      <c r="CR66" s="518" t="str">
        <f>IF(AND(_AC6="A-321N",'2023'!$N$4="CA",'2023'!$N$2=CR43),'2023DATA2'!$K$25,"")</f>
        <v/>
      </c>
      <c r="CS66" s="518" t="str">
        <f>IF(AND(_AC6="A-321N",'2023'!$N$4="CA",'2023'!$N$2=CS43),'2023DATA2'!$L$25,"")</f>
        <v/>
      </c>
      <c r="CT66" s="518" t="str">
        <f>IF(AND(_AC6="A-321N",'2023'!$N$4="CA",'2023'!$N$2=CT43),'2023DATA2'!$M$25,"")</f>
        <v/>
      </c>
      <c r="CU66" s="520" t="str">
        <f>IF(AND(_AC6="A-321N",'2023'!$N$4="CA",'2023'!$N$2=CU43),'2023DATA2'!$N$25,"")</f>
        <v/>
      </c>
    </row>
    <row r="67" spans="16:99" x14ac:dyDescent="0.25">
      <c r="P67" s="940"/>
      <c r="Q67" s="13" t="s">
        <v>62</v>
      </c>
      <c r="R67" s="518" t="str">
        <f>IF(AND(_AC1="A-321N",'2023'!$N$4="FO",'2023'!$N$2=R43),'2023DATA2'!$C$26,"")</f>
        <v/>
      </c>
      <c r="S67" s="518" t="str">
        <f>IF(AND(_AC1="A-321N",'2023'!$N$4="FO",'2023'!$N$2=S43),'2023DATA2'!$D$26,"")</f>
        <v/>
      </c>
      <c r="T67" s="518" t="str">
        <f>IF(AND(_AC1="A-321N",'2023'!$N$4="FO",'2023'!$N$2=T43),'2023DATA2'!$E$26,"")</f>
        <v/>
      </c>
      <c r="U67" s="518" t="str">
        <f>IF(AND(_AC1="A-321N",'2023'!$N$4="FO",'2023'!$N$2=U43),'2023DATA2'!$F$26,"")</f>
        <v/>
      </c>
      <c r="V67" s="518" t="str">
        <f>IF(AND(_AC1="A-321N",'2023'!$N$4="FO",'2023'!$N$2=V43),'2023DATA2'!$G$26,"")</f>
        <v/>
      </c>
      <c r="W67" s="518" t="str">
        <f>IF(AND(_AC1="A-321N",'2023'!$N$4="FO",'2023'!$N$2=W43),'2023DATA2'!$H$26,"")</f>
        <v/>
      </c>
      <c r="X67" s="518" t="str">
        <f>IF(AND(_AC1="A-321N",'2023'!$N$4="FO",'2023'!$N$2=X43),'2023DATA2'!$I$26,"")</f>
        <v/>
      </c>
      <c r="Y67" s="518" t="str">
        <f>IF(AND(_AC1="A-321N",'2023'!$N$4="FO",'2023'!$N$2=Y43),'2023DATA2'!$J$26,"")</f>
        <v/>
      </c>
      <c r="Z67" s="518" t="str">
        <f>IF(AND(_AC1="A-321N",'2023'!$N$4="FO",'2023'!$N$2=Z43),'2023DATA2'!$K$26,"")</f>
        <v/>
      </c>
      <c r="AA67" s="518" t="str">
        <f>IF(AND(_AC1="A-321N",'2023'!$N$4="FO",'2023'!$N$2=AA43),'2023DATA2'!$L$26,"")</f>
        <v/>
      </c>
      <c r="AB67" s="518" t="str">
        <f>IF(AND(_AC1="A-321N",'2023'!$N$4="FO",'2023'!$N$2=AB43),'2023DATA2'!$M$26,"")</f>
        <v/>
      </c>
      <c r="AC67" s="520" t="str">
        <f>IF(AND(_AC1="A-321N",'2023'!$N$4="FO",'2023'!$N$2=AC43),'2023DATA2'!$N$26,"")</f>
        <v/>
      </c>
      <c r="AD67" s="940"/>
      <c r="AE67" s="13" t="s">
        <v>62</v>
      </c>
      <c r="AF67" s="518" t="str">
        <f>IF(AND(_AC2="A-321N",'2023'!$N$4="FO",'2023'!$N$2=AF43),'2023DATA2'!$C$26,"")</f>
        <v/>
      </c>
      <c r="AG67" s="518" t="str">
        <f>IF(AND(_AC2="A-321N",'2023'!$N$4="FO",'2023'!$N$2=AG43),'2023DATA2'!$D$26,"")</f>
        <v/>
      </c>
      <c r="AH67" s="518" t="str">
        <f>IF(AND(_AC2="A-321N",'2023'!$N$4="FO",'2023'!$N$2=AH43),'2023DATA2'!$E$26,"")</f>
        <v/>
      </c>
      <c r="AI67" s="518" t="str">
        <f>IF(AND(_AC2="A-321N",'2023'!$N$4="FO",'2023'!$N$2=AI43),'2023DATA2'!$F$26,"")</f>
        <v/>
      </c>
      <c r="AJ67" s="518" t="str">
        <f>IF(AND(_AC2="A-321N",'2023'!$N$4="FO",'2023'!$N$2=AJ43),'2023DATA2'!$G$26,"")</f>
        <v/>
      </c>
      <c r="AK67" s="518" t="str">
        <f>IF(AND(_AC2="A-321N",'2023'!$N$4="FO",'2023'!$N$2=AK43),'2023DATA2'!$H$26,"")</f>
        <v/>
      </c>
      <c r="AL67" s="518" t="str">
        <f>IF(AND(_AC2="A-321N",'2023'!$N$4="FO",'2023'!$N$2=AL43),'2023DATA2'!$I$26,"")</f>
        <v/>
      </c>
      <c r="AM67" s="518" t="str">
        <f>IF(AND(_AC2="A-321N",'2023'!$N$4="FO",'2023'!$N$2=AM43),'2023DATA2'!$J$26,"")</f>
        <v/>
      </c>
      <c r="AN67" s="518" t="str">
        <f>IF(AND(_AC2="A-321N",'2023'!$N$4="FO",'2023'!$N$2=AN43),'2023DATA2'!$K$26,"")</f>
        <v/>
      </c>
      <c r="AO67" s="518" t="str">
        <f>IF(AND(_AC2="A-321N",'2023'!$N$4="FO",'2023'!$N$2=AO43),'2023DATA2'!$L$26,"")</f>
        <v/>
      </c>
      <c r="AP67" s="518" t="str">
        <f>IF(AND(_AC2="A-321N",'2023'!$N$4="FO",'2023'!$N$2=AP43),'2023DATA2'!$M$26,"")</f>
        <v/>
      </c>
      <c r="AQ67" s="520" t="str">
        <f>IF(AND(_AC2="A-321N",'2023'!$N$4="FO",'2023'!$N$2=AQ43),'2023DATA2'!$N$26,"")</f>
        <v/>
      </c>
      <c r="AR67" s="940"/>
      <c r="AS67" s="13" t="s">
        <v>62</v>
      </c>
      <c r="AT67" s="518" t="str">
        <f>IF(AND(_AC3="A-321N",'2023'!$N$4="FO",'2023'!$N$2=AT43),'2023DATA2'!$C$26,"")</f>
        <v/>
      </c>
      <c r="AU67" s="518" t="str">
        <f>IF(AND(_AC3="A-321N",'2023'!$N$4="FO",'2023'!$N$2=AU43),'2023DATA2'!$D$26,"")</f>
        <v/>
      </c>
      <c r="AV67" s="518" t="str">
        <f>IF(AND(_AC3="A-321N",'2023'!$N$4="FO",'2023'!$N$2=AV43),'2023DATA2'!$E$26,"")</f>
        <v/>
      </c>
      <c r="AW67" s="518" t="str">
        <f>IF(AND(_AC3="A-321N",'2023'!$N$4="FO",'2023'!$N$2=AW43),'2023DATA2'!$F$26,"")</f>
        <v/>
      </c>
      <c r="AX67" s="518" t="str">
        <f>IF(AND(_AC3="A-321N",'2023'!$N$4="FO",'2023'!$N$2=AX43),'2023DATA2'!$G$26,"")</f>
        <v/>
      </c>
      <c r="AY67" s="518" t="str">
        <f>IF(AND(_AC3="A-321N",'2023'!$N$4="FO",'2023'!$N$2=AY43),'2023DATA2'!$H$26,"")</f>
        <v/>
      </c>
      <c r="AZ67" s="518" t="str">
        <f>IF(AND(_AC3="A-321N",'2023'!$N$4="FO",'2023'!$N$2=AZ43),'2023DATA2'!$I$26,"")</f>
        <v/>
      </c>
      <c r="BA67" s="518" t="str">
        <f>IF(AND(_AC3="A-321N",'2023'!$N$4="FO",'2023'!$N$2=BA43),'2023DATA2'!$J$26,"")</f>
        <v/>
      </c>
      <c r="BB67" s="518" t="str">
        <f>IF(AND(_AC3="A-321N",'2023'!$N$4="FO",'2023'!$N$2=BB43),'2023DATA2'!$K$26,"")</f>
        <v/>
      </c>
      <c r="BC67" s="518" t="str">
        <f>IF(AND(_AC3="A-321N",'2023'!$N$4="FO",'2023'!$N$2=BC43),'2023DATA2'!$L$26,"")</f>
        <v/>
      </c>
      <c r="BD67" s="518" t="str">
        <f>IF(AND(_AC3="A-321N",'2023'!$N$4="FO",'2023'!$N$2=BD43),'2023DATA2'!$M$26,"")</f>
        <v/>
      </c>
      <c r="BE67" s="520" t="str">
        <f>IF(AND(_AC3="A-321N",'2023'!$N$4="FO",'2023'!$N$2=BE43),'2023DATA2'!$N$26,"")</f>
        <v/>
      </c>
      <c r="BF67" s="940"/>
      <c r="BG67" s="13" t="s">
        <v>62</v>
      </c>
      <c r="BH67" s="518" t="str">
        <f>IF(AND(_AC4="A-321N",'2023'!$N$4="FO",'2023'!$N$2=BH43),'2023DATA2'!$C$26,"")</f>
        <v/>
      </c>
      <c r="BI67" s="518" t="str">
        <f>IF(AND(_AC4="A-321N",'2023'!$N$4="FO",'2023'!$N$2=BI43),'2023DATA2'!$D$26,"")</f>
        <v/>
      </c>
      <c r="BJ67" s="518" t="str">
        <f>IF(AND(_AC4="A-321N",'2023'!$N$4="FO",'2023'!$N$2=BJ43),'2023DATA2'!$E$26,"")</f>
        <v/>
      </c>
      <c r="BK67" s="518" t="str">
        <f>IF(AND(_AC4="A-321N",'2023'!$N$4="FO",'2023'!$N$2=BK43),'2023DATA2'!$F$26,"")</f>
        <v/>
      </c>
      <c r="BL67" s="518" t="str">
        <f>IF(AND(_AC4="A-321N",'2023'!$N$4="FO",'2023'!$N$2=BL43),'2023DATA2'!$G$26,"")</f>
        <v/>
      </c>
      <c r="BM67" s="518" t="str">
        <f>IF(AND(_AC4="A-321N",'2023'!$N$4="FO",'2023'!$N$2=BM43),'2023DATA2'!$H$26,"")</f>
        <v/>
      </c>
      <c r="BN67" s="518" t="str">
        <f>IF(AND(_AC4="A-321N",'2023'!$N$4="FO",'2023'!$N$2=BN43),'2023DATA2'!$I$26,"")</f>
        <v/>
      </c>
      <c r="BO67" s="518" t="str">
        <f>IF(AND(_AC4="A-321N",'2023'!$N$4="FO",'2023'!$N$2=BO43),'2023DATA2'!$J$26,"")</f>
        <v/>
      </c>
      <c r="BP67" s="518" t="str">
        <f>IF(AND(_AC4="A-321N",'2023'!$N$4="FO",'2023'!$N$2=BP43),'2023DATA2'!$K$26,"")</f>
        <v/>
      </c>
      <c r="BQ67" s="518" t="str">
        <f>IF(AND(_AC4="A-321N",'2023'!$N$4="FO",'2023'!$N$2=BQ43),'2023DATA2'!$L$26,"")</f>
        <v/>
      </c>
      <c r="BR67" s="518" t="str">
        <f>IF(AND(_AC4="A-321N",'2023'!$N$4="FO",'2023'!$N$2=BR43),'2023DATA2'!$M$26,"")</f>
        <v/>
      </c>
      <c r="BS67" s="520" t="str">
        <f>IF(AND(_AC4="A-321N",'2023'!$N$4="FO",'2023'!$N$2=BS43),'2023DATA2'!$N$26,"")</f>
        <v/>
      </c>
      <c r="BT67" s="940"/>
      <c r="BU67" s="13" t="s">
        <v>62</v>
      </c>
      <c r="BV67" s="518" t="str">
        <f>IF(AND(_AC5="A-321N",'2023'!$N$4="FO",'2023'!$N$2=BV43),'2023DATA2'!$C$26,"")</f>
        <v/>
      </c>
      <c r="BW67" s="518" t="str">
        <f>IF(AND(_AC5="A-321N",'2023'!$N$4="FO",'2023'!$N$2=BW43),'2023DATA2'!$D$26,"")</f>
        <v/>
      </c>
      <c r="BX67" s="518" t="str">
        <f>IF(AND(_AC5="A-321N",'2023'!$N$4="FO",'2023'!$N$2=BX43),'2023DATA2'!$E$26,"")</f>
        <v/>
      </c>
      <c r="BY67" s="518" t="str">
        <f>IF(AND(_AC5="A-321N",'2023'!$N$4="FO",'2023'!$N$2=BY43),'2023DATA2'!$F$26,"")</f>
        <v/>
      </c>
      <c r="BZ67" s="518" t="str">
        <f>IF(AND(_AC5="A-321N",'2023'!$N$4="FO",'2023'!$N$2=BZ43),'2023DATA2'!$G$26,"")</f>
        <v/>
      </c>
      <c r="CA67" s="518" t="str">
        <f>IF(AND(_AC5="A-321N",'2023'!$N$4="FO",'2023'!$N$2=CA43),'2023DATA2'!$H$26,"")</f>
        <v/>
      </c>
      <c r="CB67" s="518" t="str">
        <f>IF(AND(_AC5="A-321N",'2023'!$N$4="FO",'2023'!$N$2=CB43),'2023DATA2'!$I$26,"")</f>
        <v/>
      </c>
      <c r="CC67" s="518" t="str">
        <f>IF(AND(_AC5="A-321N",'2023'!$N$4="FO",'2023'!$N$2=CC43),'2023DATA2'!$J$26,"")</f>
        <v/>
      </c>
      <c r="CD67" s="518" t="str">
        <f>IF(AND(_AC5="A-321N",'2023'!$N$4="FO",'2023'!$N$2=CD43),'2023DATA2'!$K$26,"")</f>
        <v/>
      </c>
      <c r="CE67" s="518" t="str">
        <f>IF(AND(_AC5="A-321N",'2023'!$N$4="FO",'2023'!$N$2=CE43),'2023DATA2'!$L$26,"")</f>
        <v/>
      </c>
      <c r="CF67" s="518" t="str">
        <f>IF(AND(_AC5="A-321N",'2023'!$N$4="FO",'2023'!$N$2=CF43),'2023DATA2'!$M$26,"")</f>
        <v/>
      </c>
      <c r="CG67" s="520" t="str">
        <f>IF(AND(_AC5="A-321N",'2023'!$N$4="FO",'2023'!$N$2=CG43),'2023DATA2'!$N$26,"")</f>
        <v/>
      </c>
      <c r="CH67" s="940"/>
      <c r="CI67" s="13" t="s">
        <v>62</v>
      </c>
      <c r="CJ67" s="518" t="str">
        <f>IF(AND(_AC6="A-321N",'2023'!$N$4="FO",'2023'!$N$2=CJ43),'2023DATA2'!$C$26,"")</f>
        <v/>
      </c>
      <c r="CK67" s="518" t="str">
        <f>IF(AND(_AC6="A-321N",'2023'!$N$4="FO",'2023'!$N$2=CK43),'2023DATA2'!$D$26,"")</f>
        <v/>
      </c>
      <c r="CL67" s="518" t="str">
        <f>IF(AND(_AC6="A-321N",'2023'!$N$4="FO",'2023'!$N$2=CL43),'2023DATA2'!$E$26,"")</f>
        <v/>
      </c>
      <c r="CM67" s="518" t="str">
        <f>IF(AND(_AC6="A-321N",'2023'!$N$4="FO",'2023'!$N$2=CM43),'2023DATA2'!$F$26,"")</f>
        <v/>
      </c>
      <c r="CN67" s="518" t="str">
        <f>IF(AND(_AC6="A-321N",'2023'!$N$4="FO",'2023'!$N$2=CN43),'2023DATA2'!$G$26,"")</f>
        <v/>
      </c>
      <c r="CO67" s="518" t="str">
        <f>IF(AND(_AC6="A-321N",'2023'!$N$4="FO",'2023'!$N$2=CO43),'2023DATA2'!$H$26,"")</f>
        <v/>
      </c>
      <c r="CP67" s="518" t="str">
        <f>IF(AND(_AC6="A-321N",'2023'!$N$4="FO",'2023'!$N$2=CP43),'2023DATA2'!$I$26,"")</f>
        <v/>
      </c>
      <c r="CQ67" s="518" t="str">
        <f>IF(AND(_AC6="A-321N",'2023'!$N$4="FO",'2023'!$N$2=CQ43),'2023DATA2'!$J$26,"")</f>
        <v/>
      </c>
      <c r="CR67" s="518" t="str">
        <f>IF(AND(_AC6="A-321N",'2023'!$N$4="FO",'2023'!$N$2=CR43),'2023DATA2'!$K$26,"")</f>
        <v/>
      </c>
      <c r="CS67" s="518" t="str">
        <f>IF(AND(_AC6="A-321N",'2023'!$N$4="FO",'2023'!$N$2=CS43),'2023DATA2'!$L$26,"")</f>
        <v/>
      </c>
      <c r="CT67" s="518" t="str">
        <f>IF(AND(_AC6="A-321N",'2023'!$N$4="FO",'2023'!$N$2=CT43),'2023DATA2'!$M$26,"")</f>
        <v/>
      </c>
      <c r="CU67" s="520" t="str">
        <f>IF(AND(_AC6="A-321N",'2023'!$N$4="FO",'2023'!$N$2=CU43),'2023DATA2'!$N$26,"")</f>
        <v/>
      </c>
    </row>
    <row r="68" spans="16:99" x14ac:dyDescent="0.25">
      <c r="P68" s="940" t="s">
        <v>48</v>
      </c>
      <c r="Q68" s="13" t="s">
        <v>61</v>
      </c>
      <c r="R68" s="518" t="str">
        <f>IF(AND(_AC1="A-321",'2023'!$N$4="CA",'2023'!$N$2=R43),'2023DATA2'!$C$27,"")</f>
        <v/>
      </c>
      <c r="S68" s="518" t="str">
        <f>IF(AND(_AC1="A-321",'2023'!$N$4="CA",'2023'!$N$2=S43),'2023DATA2'!$D$27,"")</f>
        <v/>
      </c>
      <c r="T68" s="518" t="str">
        <f>IF(AND(_AC1="A-321",'2023'!$N$4="CA",'2023'!$N$2=T43),'2023DATA2'!$E$27,"")</f>
        <v/>
      </c>
      <c r="U68" s="518" t="str">
        <f>IF(AND(_AC1="A-321",'2023'!$N$4="CA",'2023'!$N$2=U43),'2023DATA2'!$F$27,"")</f>
        <v/>
      </c>
      <c r="V68" s="518" t="str">
        <f>IF(AND(_AC1="A-321",'2023'!$N$4="CA",'2023'!$N$2=V43),'2023DATA2'!$G$27,"")</f>
        <v/>
      </c>
      <c r="W68" s="518" t="str">
        <f>IF(AND(_AC1="A-321",'2023'!$N$4="CA",'2023'!$N$2=W43),'2023DATA2'!$H$27,"")</f>
        <v/>
      </c>
      <c r="X68" s="518" t="str">
        <f>IF(AND(_AC1="A-321",'2023'!$N$4="CA",'2023'!$N$2=X43),'2023DATA2'!$I$27,"")</f>
        <v/>
      </c>
      <c r="Y68" s="518" t="str">
        <f>IF(AND(_AC1="A-321",'2023'!$N$4="CA",'2023'!$N$2=Y43),'2023DATA2'!$J$27,"")</f>
        <v/>
      </c>
      <c r="Z68" s="518" t="str">
        <f>IF(AND(_AC1="A-321",'2023'!$N$4="CA",'2023'!$N$2=Z43),'2023DATA2'!$K$27,"")</f>
        <v/>
      </c>
      <c r="AA68" s="518" t="str">
        <f>IF(AND(_AC1="A-321",'2023'!$N$4="CA",'2023'!$N$2=AA43),'2023DATA2'!$L$27,"")</f>
        <v/>
      </c>
      <c r="AB68" s="518" t="str">
        <f>IF(AND(_AC1="A-321",'2023'!$N$4="CA",'2023'!$N$2=AB43),'2023DATA2'!$M$27,"")</f>
        <v/>
      </c>
      <c r="AC68" s="520" t="str">
        <f>IF(AND(_AC1="A-321",'2023'!$N$4="CA",'2023'!$N$2=AC43),'2023DATA2'!$N$27,"")</f>
        <v/>
      </c>
      <c r="AD68" s="940" t="s">
        <v>48</v>
      </c>
      <c r="AE68" s="13" t="s">
        <v>61</v>
      </c>
      <c r="AF68" s="518" t="str">
        <f>IF(AND(_AC2="A-321",'2023'!$N$4="CA",'2023'!$N$2=AF43),'2023DATA2'!$C$27,"")</f>
        <v/>
      </c>
      <c r="AG68" s="518" t="str">
        <f>IF(AND(_AC2="A-321",'2023'!$N$4="CA",'2023'!$N$2=AG43),'2023DATA2'!$D$27,"")</f>
        <v/>
      </c>
      <c r="AH68" s="518" t="str">
        <f>IF(AND(_AC2="A-321",'2023'!$N$4="CA",'2023'!$N$2=AH43),'2023DATA2'!$E$27,"")</f>
        <v/>
      </c>
      <c r="AI68" s="518" t="str">
        <f>IF(AND(_AC2="A-321",'2023'!$N$4="CA",'2023'!$N$2=AI43),'2023DATA2'!$F$27,"")</f>
        <v/>
      </c>
      <c r="AJ68" s="518" t="str">
        <f>IF(AND(_AC2="A-321",'2023'!$N$4="CA",'2023'!$N$2=AJ43),'2023DATA2'!$G$27,"")</f>
        <v/>
      </c>
      <c r="AK68" s="518" t="str">
        <f>IF(AND(_AC2="A-321",'2023'!$N$4="CA",'2023'!$N$2=AK43),'2023DATA2'!$H$27,"")</f>
        <v/>
      </c>
      <c r="AL68" s="518" t="str">
        <f>IF(AND(_AC2="A-321",'2023'!$N$4="CA",'2023'!$N$2=AL43),'2023DATA2'!$I$27,"")</f>
        <v/>
      </c>
      <c r="AM68" s="518" t="str">
        <f>IF(AND(_AC2="A-321",'2023'!$N$4="CA",'2023'!$N$2=AM43),'2023DATA2'!$J$27,"")</f>
        <v/>
      </c>
      <c r="AN68" s="518" t="str">
        <f>IF(AND(_AC2="A-321",'2023'!$N$4="CA",'2023'!$N$2=AN43),'2023DATA2'!$K$27,"")</f>
        <v/>
      </c>
      <c r="AO68" s="518" t="str">
        <f>IF(AND(_AC2="A-321",'2023'!$N$4="CA",'2023'!$N$2=AO43),'2023DATA2'!$L$27,"")</f>
        <v/>
      </c>
      <c r="AP68" s="518" t="str">
        <f>IF(AND(_AC2="A-321",'2023'!$N$4="CA",'2023'!$N$2=AP43),'2023DATA2'!$M$27,"")</f>
        <v/>
      </c>
      <c r="AQ68" s="520" t="str">
        <f>IF(AND(_AC2="A-321",'2023'!$N$4="CA",'2023'!$N$2=AQ43),'2023DATA2'!$N$27,"")</f>
        <v/>
      </c>
      <c r="AR68" s="940" t="s">
        <v>48</v>
      </c>
      <c r="AS68" s="13" t="s">
        <v>61</v>
      </c>
      <c r="AT68" s="518" t="str">
        <f>IF(AND(_AC3="A-321",'2023'!$N$4="CA",'2023'!$N$2=AT43),'2023DATA2'!$C$27,"")</f>
        <v/>
      </c>
      <c r="AU68" s="518" t="str">
        <f>IF(AND(_AC3="A-321",'2023'!$N$4="CA",'2023'!$N$2=AU43),'2023DATA2'!$D$27,"")</f>
        <v/>
      </c>
      <c r="AV68" s="518" t="str">
        <f>IF(AND(_AC3="A-321",'2023'!$N$4="CA",'2023'!$N$2=AV43),'2023DATA2'!$E$27,"")</f>
        <v/>
      </c>
      <c r="AW68" s="518" t="str">
        <f>IF(AND(_AC3="A-321",'2023'!$N$4="CA",'2023'!$N$2=AW43),'2023DATA2'!$F$27,"")</f>
        <v/>
      </c>
      <c r="AX68" s="518" t="str">
        <f>IF(AND(_AC3="A-321",'2023'!$N$4="CA",'2023'!$N$2=AX43),'2023DATA2'!$G$27,"")</f>
        <v/>
      </c>
      <c r="AY68" s="518" t="str">
        <f>IF(AND(_AC3="A-321",'2023'!$N$4="CA",'2023'!$N$2=AY43),'2023DATA2'!$H$27,"")</f>
        <v/>
      </c>
      <c r="AZ68" s="518" t="str">
        <f>IF(AND(_AC3="A-321",'2023'!$N$4="CA",'2023'!$N$2=AZ43),'2023DATA2'!$I$27,"")</f>
        <v/>
      </c>
      <c r="BA68" s="518" t="str">
        <f>IF(AND(_AC3="A-321",'2023'!$N$4="CA",'2023'!$N$2=BA43),'2023DATA2'!$J$27,"")</f>
        <v/>
      </c>
      <c r="BB68" s="518" t="str">
        <f>IF(AND(_AC3="A-321",'2023'!$N$4="CA",'2023'!$N$2=BB43),'2023DATA2'!$K$27,"")</f>
        <v/>
      </c>
      <c r="BC68" s="518" t="str">
        <f>IF(AND(_AC3="A-321",'2023'!$N$4="CA",'2023'!$N$2=BC43),'2023DATA2'!$L$27,"")</f>
        <v/>
      </c>
      <c r="BD68" s="518" t="str">
        <f>IF(AND(_AC3="A-321",'2023'!$N$4="CA",'2023'!$N$2=BD43),'2023DATA2'!$M$27,"")</f>
        <v/>
      </c>
      <c r="BE68" s="520" t="str">
        <f>IF(AND(_AC3="A-321",'2023'!$N$4="CA",'2023'!$N$2=BE43),'2023DATA2'!$N$27,"")</f>
        <v/>
      </c>
      <c r="BF68" s="940" t="s">
        <v>48</v>
      </c>
      <c r="BG68" s="13" t="s">
        <v>61</v>
      </c>
      <c r="BH68" s="518" t="str">
        <f>IF(AND(_AC4="A-321",'2023'!$N$4="CA",'2023'!$N$2=BH43),'2023DATA2'!$C$27,"")</f>
        <v/>
      </c>
      <c r="BI68" s="518" t="str">
        <f>IF(AND(_AC4="A-321",'2023'!$N$4="CA",'2023'!$N$2=BI43),'2023DATA2'!$D$27,"")</f>
        <v/>
      </c>
      <c r="BJ68" s="518" t="str">
        <f>IF(AND(_AC4="A-321",'2023'!$N$4="CA",'2023'!$N$2=BJ43),'2023DATA2'!$E$27,"")</f>
        <v/>
      </c>
      <c r="BK68" s="518" t="str">
        <f>IF(AND(_AC4="A-321",'2023'!$N$4="CA",'2023'!$N$2=BK43),'2023DATA2'!$F$27,"")</f>
        <v/>
      </c>
      <c r="BL68" s="518" t="str">
        <f>IF(AND(_AC4="A-321",'2023'!$N$4="CA",'2023'!$N$2=BL43),'2023DATA2'!$G$27,"")</f>
        <v/>
      </c>
      <c r="BM68" s="518" t="str">
        <f>IF(AND(_AC4="A-321",'2023'!$N$4="CA",'2023'!$N$2=BM43),'2023DATA2'!$H$27,"")</f>
        <v/>
      </c>
      <c r="BN68" s="518" t="str">
        <f>IF(AND(_AC4="A-321",'2023'!$N$4="CA",'2023'!$N$2=BN43),'2023DATA2'!$I$27,"")</f>
        <v/>
      </c>
      <c r="BO68" s="518" t="str">
        <f>IF(AND(_AC4="A-321",'2023'!$N$4="CA",'2023'!$N$2=BO43),'2023DATA2'!$J$27,"")</f>
        <v/>
      </c>
      <c r="BP68" s="518" t="str">
        <f>IF(AND(_AC4="A-321",'2023'!$N$4="CA",'2023'!$N$2=BP43),'2023DATA2'!$K$27,"")</f>
        <v/>
      </c>
      <c r="BQ68" s="518" t="str">
        <f>IF(AND(_AC4="A-321",'2023'!$N$4="CA",'2023'!$N$2=BQ43),'2023DATA2'!$L$27,"")</f>
        <v/>
      </c>
      <c r="BR68" s="518" t="str">
        <f>IF(AND(_AC4="A-321",'2023'!$N$4="CA",'2023'!$N$2=BR43),'2023DATA2'!$M$27,"")</f>
        <v/>
      </c>
      <c r="BS68" s="520" t="str">
        <f>IF(AND(_AC4="A-321",'2023'!$N$4="CA",'2023'!$N$2=BS43),'2023DATA2'!$N$27,"")</f>
        <v/>
      </c>
      <c r="BT68" s="940" t="s">
        <v>48</v>
      </c>
      <c r="BU68" s="13" t="s">
        <v>61</v>
      </c>
      <c r="BV68" s="518" t="str">
        <f>IF(AND(_AC5="A-321",'2023'!$N$4="CA",'2023'!$N$2=BV43),'2023DATA2'!$C$27,"")</f>
        <v/>
      </c>
      <c r="BW68" s="518" t="str">
        <f>IF(AND(_AC5="A-321",'2023'!$N$4="CA",'2023'!$N$2=BW43),'2023DATA2'!$D$27,"")</f>
        <v/>
      </c>
      <c r="BX68" s="518" t="str">
        <f>IF(AND(_AC5="A-321",'2023'!$N$4="CA",'2023'!$N$2=BX43),'2023DATA2'!$E$27,"")</f>
        <v/>
      </c>
      <c r="BY68" s="518" t="str">
        <f>IF(AND(_AC5="A-321",'2023'!$N$4="CA",'2023'!$N$2=BY43),'2023DATA2'!$F$27,"")</f>
        <v/>
      </c>
      <c r="BZ68" s="518" t="str">
        <f>IF(AND(_AC5="A-321",'2023'!$N$4="CA",'2023'!$N$2=BZ43),'2023DATA2'!$G$27,"")</f>
        <v/>
      </c>
      <c r="CA68" s="518" t="str">
        <f>IF(AND(_AC5="A-321",'2023'!$N$4="CA",'2023'!$N$2=CA43),'2023DATA2'!$H$27,"")</f>
        <v/>
      </c>
      <c r="CB68" s="518" t="str">
        <f>IF(AND(_AC5="A-321",'2023'!$N$4="CA",'2023'!$N$2=CB43),'2023DATA2'!$I$27,"")</f>
        <v/>
      </c>
      <c r="CC68" s="518" t="str">
        <f>IF(AND(_AC5="A-321",'2023'!$N$4="CA",'2023'!$N$2=CC43),'2023DATA2'!$J$27,"")</f>
        <v/>
      </c>
      <c r="CD68" s="518" t="str">
        <f>IF(AND(_AC5="A-321",'2023'!$N$4="CA",'2023'!$N$2=CD43),'2023DATA2'!$K$27,"")</f>
        <v/>
      </c>
      <c r="CE68" s="518" t="str">
        <f>IF(AND(_AC5="A-321",'2023'!$N$4="CA",'2023'!$N$2=CE43),'2023DATA2'!$L$27,"")</f>
        <v/>
      </c>
      <c r="CF68" s="518" t="str">
        <f>IF(AND(_AC5="A-321",'2023'!$N$4="CA",'2023'!$N$2=CF43),'2023DATA2'!$M$27,"")</f>
        <v/>
      </c>
      <c r="CG68" s="520" t="str">
        <f>IF(AND(_AC5="A-321",'2023'!$N$4="CA",'2023'!$N$2=CG43),'2023DATA2'!$N$27,"")</f>
        <v/>
      </c>
      <c r="CH68" s="940" t="s">
        <v>48</v>
      </c>
      <c r="CI68" s="13" t="s">
        <v>61</v>
      </c>
      <c r="CJ68" s="518" t="str">
        <f>IF(AND(_AC6="A-321",'2023'!$N$4="CA",'2023'!$N$2=CJ43),'2023DATA2'!$C$27,"")</f>
        <v/>
      </c>
      <c r="CK68" s="518" t="str">
        <f>IF(AND(_AC6="A-321",'2023'!$N$4="CA",'2023'!$N$2=CK43),'2023DATA2'!$D$27,"")</f>
        <v/>
      </c>
      <c r="CL68" s="518" t="str">
        <f>IF(AND(_AC6="A-321",'2023'!$N$4="CA",'2023'!$N$2=CL43),'2023DATA2'!$E$27,"")</f>
        <v/>
      </c>
      <c r="CM68" s="518" t="str">
        <f>IF(AND(_AC6="A-321",'2023'!$N$4="CA",'2023'!$N$2=CM43),'2023DATA2'!$F$27,"")</f>
        <v/>
      </c>
      <c r="CN68" s="518" t="str">
        <f>IF(AND(_AC6="A-321",'2023'!$N$4="CA",'2023'!$N$2=CN43),'2023DATA2'!$G$27,"")</f>
        <v/>
      </c>
      <c r="CO68" s="518" t="str">
        <f>IF(AND(_AC6="A-321",'2023'!$N$4="CA",'2023'!$N$2=CO43),'2023DATA2'!$H$27,"")</f>
        <v/>
      </c>
      <c r="CP68" s="518" t="str">
        <f>IF(AND(_AC6="A-321",'2023'!$N$4="CA",'2023'!$N$2=CP43),'2023DATA2'!$I$27,"")</f>
        <v/>
      </c>
      <c r="CQ68" s="518" t="str">
        <f>IF(AND(_AC6="A-321",'2023'!$N$4="CA",'2023'!$N$2=CQ43),'2023DATA2'!$J$27,"")</f>
        <v/>
      </c>
      <c r="CR68" s="518" t="str">
        <f>IF(AND(_AC6="A-321",'2023'!$N$4="CA",'2023'!$N$2=CR43),'2023DATA2'!$K$27,"")</f>
        <v/>
      </c>
      <c r="CS68" s="518" t="str">
        <f>IF(AND(_AC6="A-321",'2023'!$N$4="CA",'2023'!$N$2=CS43),'2023DATA2'!$L$27,"")</f>
        <v/>
      </c>
      <c r="CT68" s="518" t="str">
        <f>IF(AND(_AC6="A-321",'2023'!$N$4="CA",'2023'!$N$2=CT43),'2023DATA2'!$M$27,"")</f>
        <v/>
      </c>
      <c r="CU68" s="520" t="str">
        <f>IF(AND(_AC6="A-321",'2023'!$N$4="CA",'2023'!$N$2=CU43),'2023DATA2'!$N$27,"")</f>
        <v/>
      </c>
    </row>
    <row r="69" spans="16:99" x14ac:dyDescent="0.25">
      <c r="P69" s="940"/>
      <c r="Q69" s="13" t="s">
        <v>62</v>
      </c>
      <c r="R69" s="518" t="str">
        <f>IF(AND(_AC1="A-321",'2023'!$N$4="FO",'2023'!$N$2=R43),'2023DATA2'!$C$28,"")</f>
        <v/>
      </c>
      <c r="S69" s="518" t="str">
        <f>IF(AND(_AC1="A-321",'2023'!$N$4="FO",'2023'!$N$2=S43),'2023DATA2'!$D$28,"")</f>
        <v/>
      </c>
      <c r="T69" s="518" t="str">
        <f>IF(AND(_AC1="A-321",'2023'!$N$4="FO",'2023'!$N$2=T43),'2023DATA2'!$E$28,"")</f>
        <v/>
      </c>
      <c r="U69" s="518" t="str">
        <f>IF(AND(_AC1="A-321",'2023'!$N$4="FO",'2023'!$N$2=U43),'2023DATA2'!$F$28,"")</f>
        <v/>
      </c>
      <c r="V69" s="518" t="str">
        <f>IF(AND(_AC1="A-321",'2023'!$N$4="FO",'2023'!$N$2=V43),'2023DATA2'!$G$28,"")</f>
        <v/>
      </c>
      <c r="W69" s="518" t="str">
        <f>IF(AND(_AC1="A-321",'2023'!$N$4="FO",'2023'!$N$2=W43),'2023DATA2'!$H$28,"")</f>
        <v/>
      </c>
      <c r="X69" s="518" t="str">
        <f>IF(AND(_AC1="A-321",'2023'!$N$4="FO",'2023'!$N$2=X43),'2023DATA2'!$I$28,"")</f>
        <v/>
      </c>
      <c r="Y69" s="518" t="str">
        <f>IF(AND(_AC1="A-321",'2023'!$N$4="FO",'2023'!$N$2=Y43),'2023DATA2'!$J$28,"")</f>
        <v/>
      </c>
      <c r="Z69" s="518" t="str">
        <f>IF(AND(_AC1="A-321",'2023'!$N$4="FO",'2023'!$N$2=Z43),'2023DATA2'!$K$28,"")</f>
        <v/>
      </c>
      <c r="AA69" s="518" t="str">
        <f>IF(AND(_AC1="A-321",'2023'!$N$4="FO",'2023'!$N$2=AA43),'2023DATA2'!$L$28,"")</f>
        <v/>
      </c>
      <c r="AB69" s="518" t="str">
        <f>IF(AND(_AC1="A-321",'2023'!$N$4="FO",'2023'!$N$2=AB43),'2023DATA2'!$M$28,"")</f>
        <v/>
      </c>
      <c r="AC69" s="520" t="str">
        <f>IF(AND(_AC1="A-321",'2023'!$N$4="FO",'2023'!$N$2=AC43),'2023DATA2'!$N$28,"")</f>
        <v/>
      </c>
      <c r="AD69" s="940"/>
      <c r="AE69" s="13" t="s">
        <v>62</v>
      </c>
      <c r="AF69" s="518" t="str">
        <f>IF(AND(_AC2="A-321",'2023'!$N$4="FO",'2023'!$N$2=AF43),'2023DATA2'!$C$28,"")</f>
        <v/>
      </c>
      <c r="AG69" s="518" t="str">
        <f>IF(AND(_AC2="A-321",'2023'!$N$4="FO",'2023'!$N$2=AG43),'2023DATA2'!$D$28,"")</f>
        <v/>
      </c>
      <c r="AH69" s="518" t="str">
        <f>IF(AND(_AC2="A-321",'2023'!$N$4="FO",'2023'!$N$2=AH43),'2023DATA2'!$E$28,"")</f>
        <v/>
      </c>
      <c r="AI69" s="518" t="str">
        <f>IF(AND(_AC2="A-321",'2023'!$N$4="FO",'2023'!$N$2=AI43),'2023DATA2'!$F$28,"")</f>
        <v/>
      </c>
      <c r="AJ69" s="518" t="str">
        <f>IF(AND(_AC2="A-321",'2023'!$N$4="FO",'2023'!$N$2=AJ43),'2023DATA2'!$G$28,"")</f>
        <v/>
      </c>
      <c r="AK69" s="518" t="str">
        <f>IF(AND(_AC2="A-321",'2023'!$N$4="FO",'2023'!$N$2=AK43),'2023DATA2'!$H$28,"")</f>
        <v/>
      </c>
      <c r="AL69" s="518" t="str">
        <f>IF(AND(_AC2="A-321",'2023'!$N$4="FO",'2023'!$N$2=AL43),'2023DATA2'!$I$28,"")</f>
        <v/>
      </c>
      <c r="AM69" s="518" t="str">
        <f>IF(AND(_AC2="A-321",'2023'!$N$4="FO",'2023'!$N$2=AM43),'2023DATA2'!$J$28,"")</f>
        <v/>
      </c>
      <c r="AN69" s="518" t="str">
        <f>IF(AND(_AC2="A-321",'2023'!$N$4="FO",'2023'!$N$2=AN43),'2023DATA2'!$K$28,"")</f>
        <v/>
      </c>
      <c r="AO69" s="518" t="str">
        <f>IF(AND(_AC2="A-321",'2023'!$N$4="FO",'2023'!$N$2=AO43),'2023DATA2'!$L$28,"")</f>
        <v/>
      </c>
      <c r="AP69" s="518" t="str">
        <f>IF(AND(_AC2="A-321",'2023'!$N$4="FO",'2023'!$N$2=AP43),'2023DATA2'!$M$28,"")</f>
        <v/>
      </c>
      <c r="AQ69" s="520" t="str">
        <f>IF(AND(_AC2="A-321",'2023'!$N$4="FO",'2023'!$N$2=AQ43),'2023DATA2'!$N$28,"")</f>
        <v/>
      </c>
      <c r="AR69" s="940"/>
      <c r="AS69" s="13" t="s">
        <v>62</v>
      </c>
      <c r="AT69" s="518" t="str">
        <f>IF(AND(_AC3="A-321",'2023'!$N$4="FO",'2023'!$N$2=AT43),'2023DATA2'!$C$28,"")</f>
        <v/>
      </c>
      <c r="AU69" s="518" t="str">
        <f>IF(AND(_AC3="A-321",'2023'!$N$4="FO",'2023'!$N$2=AU43),'2023DATA2'!$D$28,"")</f>
        <v/>
      </c>
      <c r="AV69" s="518" t="str">
        <f>IF(AND(_AC3="A-321",'2023'!$N$4="FO",'2023'!$N$2=AV43),'2023DATA2'!$E$28,"")</f>
        <v/>
      </c>
      <c r="AW69" s="518" t="str">
        <f>IF(AND(_AC3="A-321",'2023'!$N$4="FO",'2023'!$N$2=AW43),'2023DATA2'!$F$28,"")</f>
        <v/>
      </c>
      <c r="AX69" s="518" t="str">
        <f>IF(AND(_AC3="A-321",'2023'!$N$4="FO",'2023'!$N$2=AX43),'2023DATA2'!$G$28,"")</f>
        <v/>
      </c>
      <c r="AY69" s="518" t="str">
        <f>IF(AND(_AC3="A-321",'2023'!$N$4="FO",'2023'!$N$2=AY43),'2023DATA2'!$H$28,"")</f>
        <v/>
      </c>
      <c r="AZ69" s="518" t="str">
        <f>IF(AND(_AC3="A-321",'2023'!$N$4="FO",'2023'!$N$2=AZ43),'2023DATA2'!$I$28,"")</f>
        <v/>
      </c>
      <c r="BA69" s="518" t="str">
        <f>IF(AND(_AC3="A-321",'2023'!$N$4="FO",'2023'!$N$2=BA43),'2023DATA2'!$J$28,"")</f>
        <v/>
      </c>
      <c r="BB69" s="518" t="str">
        <f>IF(AND(_AC3="A-321",'2023'!$N$4="FO",'2023'!$N$2=BB43),'2023DATA2'!$K$28,"")</f>
        <v/>
      </c>
      <c r="BC69" s="518" t="str">
        <f>IF(AND(_AC3="A-321",'2023'!$N$4="FO",'2023'!$N$2=BC43),'2023DATA2'!$L$28,"")</f>
        <v/>
      </c>
      <c r="BD69" s="518" t="str">
        <f>IF(AND(_AC3="A-321",'2023'!$N$4="FO",'2023'!$N$2=BD43),'2023DATA2'!$M$28,"")</f>
        <v/>
      </c>
      <c r="BE69" s="520" t="str">
        <f>IF(AND(_AC3="A-321",'2023'!$N$4="FO",'2023'!$N$2=BE43),'2023DATA2'!$N$28,"")</f>
        <v/>
      </c>
      <c r="BF69" s="940"/>
      <c r="BG69" s="13" t="s">
        <v>62</v>
      </c>
      <c r="BH69" s="518" t="str">
        <f>IF(AND(_AC4="A-321",'2023'!$N$4="FO",'2023'!$N$2=BH43),'2023DATA2'!$C$28,"")</f>
        <v/>
      </c>
      <c r="BI69" s="518" t="str">
        <f>IF(AND(_AC4="A-321",'2023'!$N$4="FO",'2023'!$N$2=BI43),'2023DATA2'!$D$28,"")</f>
        <v/>
      </c>
      <c r="BJ69" s="518" t="str">
        <f>IF(AND(_AC4="A-321",'2023'!$N$4="FO",'2023'!$N$2=BJ43),'2023DATA2'!$E$28,"")</f>
        <v/>
      </c>
      <c r="BK69" s="518" t="str">
        <f>IF(AND(_AC4="A-321",'2023'!$N$4="FO",'2023'!$N$2=BK43),'2023DATA2'!$F$28,"")</f>
        <v/>
      </c>
      <c r="BL69" s="518" t="str">
        <f>IF(AND(_AC4="A-321",'2023'!$N$4="FO",'2023'!$N$2=BL43),'2023DATA2'!$G$28,"")</f>
        <v/>
      </c>
      <c r="BM69" s="518" t="str">
        <f>IF(AND(_AC4="A-321",'2023'!$N$4="FO",'2023'!$N$2=BM43),'2023DATA2'!$H$28,"")</f>
        <v/>
      </c>
      <c r="BN69" s="518" t="str">
        <f>IF(AND(_AC4="A-321",'2023'!$N$4="FO",'2023'!$N$2=BN43),'2023DATA2'!$I$28,"")</f>
        <v/>
      </c>
      <c r="BO69" s="518" t="str">
        <f>IF(AND(_AC4="A-321",'2023'!$N$4="FO",'2023'!$N$2=BO43),'2023DATA2'!$J$28,"")</f>
        <v/>
      </c>
      <c r="BP69" s="518" t="str">
        <f>IF(AND(_AC4="A-321",'2023'!$N$4="FO",'2023'!$N$2=BP43),'2023DATA2'!$K$28,"")</f>
        <v/>
      </c>
      <c r="BQ69" s="518" t="str">
        <f>IF(AND(_AC4="A-321",'2023'!$N$4="FO",'2023'!$N$2=BQ43),'2023DATA2'!$L$28,"")</f>
        <v/>
      </c>
      <c r="BR69" s="518" t="str">
        <f>IF(AND(_AC4="A-321",'2023'!$N$4="FO",'2023'!$N$2=BR43),'2023DATA2'!$M$28,"")</f>
        <v/>
      </c>
      <c r="BS69" s="520" t="str">
        <f>IF(AND(_AC4="A-321",'2023'!$N$4="FO",'2023'!$N$2=BS43),'2023DATA2'!$N$28,"")</f>
        <v/>
      </c>
      <c r="BT69" s="940"/>
      <c r="BU69" s="13" t="s">
        <v>62</v>
      </c>
      <c r="BV69" s="518" t="str">
        <f>IF(AND(_AC5="A-321",'2023'!$N$4="FO",'2023'!$N$2=BV43),'2023DATA2'!$C$28,"")</f>
        <v/>
      </c>
      <c r="BW69" s="518" t="str">
        <f>IF(AND(_AC5="A-321",'2023'!$N$4="FO",'2023'!$N$2=BW43),'2023DATA2'!$D$28,"")</f>
        <v/>
      </c>
      <c r="BX69" s="518" t="str">
        <f>IF(AND(_AC5="A-321",'2023'!$N$4="FO",'2023'!$N$2=BX43),'2023DATA2'!$E$28,"")</f>
        <v/>
      </c>
      <c r="BY69" s="518" t="str">
        <f>IF(AND(_AC5="A-321",'2023'!$N$4="FO",'2023'!$N$2=BY43),'2023DATA2'!$F$28,"")</f>
        <v/>
      </c>
      <c r="BZ69" s="518" t="str">
        <f>IF(AND(_AC5="A-321",'2023'!$N$4="FO",'2023'!$N$2=BZ43),'2023DATA2'!$G$28,"")</f>
        <v/>
      </c>
      <c r="CA69" s="518" t="str">
        <f>IF(AND(_AC5="A-321",'2023'!$N$4="FO",'2023'!$N$2=CA43),'2023DATA2'!$H$28,"")</f>
        <v/>
      </c>
      <c r="CB69" s="518" t="str">
        <f>IF(AND(_AC5="A-321",'2023'!$N$4="FO",'2023'!$N$2=CB43),'2023DATA2'!$I$28,"")</f>
        <v/>
      </c>
      <c r="CC69" s="518" t="str">
        <f>IF(AND(_AC5="A-321",'2023'!$N$4="FO",'2023'!$N$2=CC43),'2023DATA2'!$J$28,"")</f>
        <v/>
      </c>
      <c r="CD69" s="518" t="str">
        <f>IF(AND(_AC5="A-321",'2023'!$N$4="FO",'2023'!$N$2=CD43),'2023DATA2'!$K$28,"")</f>
        <v/>
      </c>
      <c r="CE69" s="518" t="str">
        <f>IF(AND(_AC5="A-321",'2023'!$N$4="FO",'2023'!$N$2=CE43),'2023DATA2'!$L$28,"")</f>
        <v/>
      </c>
      <c r="CF69" s="518" t="str">
        <f>IF(AND(_AC5="A-321",'2023'!$N$4="FO",'2023'!$N$2=CF43),'2023DATA2'!$M$28,"")</f>
        <v/>
      </c>
      <c r="CG69" s="520" t="str">
        <f>IF(AND(_AC5="A-321",'2023'!$N$4="FO",'2023'!$N$2=CG43),'2023DATA2'!$N$28,"")</f>
        <v/>
      </c>
      <c r="CH69" s="940"/>
      <c r="CI69" s="13" t="s">
        <v>62</v>
      </c>
      <c r="CJ69" s="518" t="str">
        <f>IF(AND(_AC6="A-321",'2023'!$N$4="FO",'2023'!$N$2=CJ43),'2023DATA2'!$C$28,"")</f>
        <v/>
      </c>
      <c r="CK69" s="518" t="str">
        <f>IF(AND(_AC6="A-321",'2023'!$N$4="FO",'2023'!$N$2=CK43),'2023DATA2'!$D$28,"")</f>
        <v/>
      </c>
      <c r="CL69" s="518" t="str">
        <f>IF(AND(_AC6="A-321",'2023'!$N$4="FO",'2023'!$N$2=CL43),'2023DATA2'!$E$28,"")</f>
        <v/>
      </c>
      <c r="CM69" s="518" t="str">
        <f>IF(AND(_AC6="A-321",'2023'!$N$4="FO",'2023'!$N$2=CM43),'2023DATA2'!$F$28,"")</f>
        <v/>
      </c>
      <c r="CN69" s="518" t="str">
        <f>IF(AND(_AC6="A-321",'2023'!$N$4="FO",'2023'!$N$2=CN43),'2023DATA2'!$G$28,"")</f>
        <v/>
      </c>
      <c r="CO69" s="518" t="str">
        <f>IF(AND(_AC6="A-321",'2023'!$N$4="FO",'2023'!$N$2=CO43),'2023DATA2'!$H$28,"")</f>
        <v/>
      </c>
      <c r="CP69" s="518" t="str">
        <f>IF(AND(_AC6="A-321",'2023'!$N$4="FO",'2023'!$N$2=CP43),'2023DATA2'!$I$28,"")</f>
        <v/>
      </c>
      <c r="CQ69" s="518" t="str">
        <f>IF(AND(_AC6="A-321",'2023'!$N$4="FO",'2023'!$N$2=CQ43),'2023DATA2'!$J$28,"")</f>
        <v/>
      </c>
      <c r="CR69" s="518" t="str">
        <f>IF(AND(_AC6="A-321",'2023'!$N$4="FO",'2023'!$N$2=CR43),'2023DATA2'!$K$28,"")</f>
        <v/>
      </c>
      <c r="CS69" s="518" t="str">
        <f>IF(AND(_AC6="A-321",'2023'!$N$4="FO",'2023'!$N$2=CS43),'2023DATA2'!$L$28,"")</f>
        <v/>
      </c>
      <c r="CT69" s="518" t="str">
        <f>IF(AND(_AC6="A-321",'2023'!$N$4="FO",'2023'!$N$2=CT43),'2023DATA2'!$M$28,"")</f>
        <v/>
      </c>
      <c r="CU69" s="520" t="str">
        <f>IF(AND(_AC6="A-321",'2023'!$N$4="FO",'2023'!$N$2=CU43),'2023DATA2'!$N$28,"")</f>
        <v/>
      </c>
    </row>
    <row r="70" spans="16:99" x14ac:dyDescent="0.25">
      <c r="P70" s="940" t="s">
        <v>70</v>
      </c>
      <c r="Q70" s="13" t="s">
        <v>61</v>
      </c>
      <c r="R70" s="518" t="str">
        <f>IF(AND(_AC1="A-320",'2023'!$N$4="CA",'2023'!$N$2=R43),'2023DATA2'!$C$29,"")</f>
        <v/>
      </c>
      <c r="S70" s="518" t="str">
        <f>IF(AND(_AC1="A-320",'2023'!$N$4="CA",'2023'!$N$2=S43),'2023DATA2'!$D$29,"")</f>
        <v/>
      </c>
      <c r="T70" s="518" t="str">
        <f>IF(AND(_AC1="A-320",'2023'!$N$4="CA",'2023'!$N$2=T43),'2023DATA2'!$E$29,"")</f>
        <v/>
      </c>
      <c r="U70" s="518" t="str">
        <f>IF(AND(_AC1="A-320",'2023'!$N$4="CA",'2023'!$N$2=U43),'2023DATA2'!$F$29,"")</f>
        <v/>
      </c>
      <c r="V70" s="518" t="str">
        <f>IF(AND(_AC1="A-320",'2023'!$N$4="CA",'2023'!$N$2=V43),'2023DATA2'!$G$29,"")</f>
        <v/>
      </c>
      <c r="W70" s="518" t="str">
        <f>IF(AND(_AC1="A-320",'2023'!$N$4="CA",'2023'!$N$2=W43),'2023DATA2'!$H$29,"")</f>
        <v/>
      </c>
      <c r="X70" s="518" t="str">
        <f>IF(AND(_AC1="A-320",'2023'!$N$4="CA",'2023'!$N$2=X43),'2023DATA2'!$I$29,"")</f>
        <v/>
      </c>
      <c r="Y70" s="518" t="str">
        <f>IF(AND(_AC1="A-320",'2023'!$N$4="CA",'2023'!$N$2=Y43),'2023DATA2'!$J$29,"")</f>
        <v/>
      </c>
      <c r="Z70" s="518" t="str">
        <f>IF(AND(_AC1="A-320",'2023'!$N$4="CA",'2023'!$N$2=Z43),'2023DATA2'!$K$29,"")</f>
        <v/>
      </c>
      <c r="AA70" s="518" t="str">
        <f>IF(AND(_AC1="A-320",'2023'!$N$4="CA",'2023'!$N$2=AA43),'2023DATA2'!$L$29,"")</f>
        <v/>
      </c>
      <c r="AB70" s="518" t="str">
        <f>IF(AND(_AC1="A-320",'2023'!$N$4="CA",'2023'!$N$2=AB43),'2023DATA2'!$M$29,"")</f>
        <v/>
      </c>
      <c r="AC70" s="520" t="str">
        <f>IF(AND(_AC1="A-320",'2023'!$N$4="CA",'2023'!$N$2=AC43),'2023DATA2'!$N$29,"")</f>
        <v/>
      </c>
      <c r="AD70" s="940" t="s">
        <v>70</v>
      </c>
      <c r="AE70" s="13" t="s">
        <v>61</v>
      </c>
      <c r="AF70" s="518" t="str">
        <f>IF(AND(_AC2="A-320",'2023'!$N$4="CA",'2023'!$N$2=AF43),'2023DATA2'!$C$29,"")</f>
        <v/>
      </c>
      <c r="AG70" s="518" t="str">
        <f>IF(AND(_AC2="A-320",'2023'!$N$4="CA",'2023'!$N$2=AG43),'2023DATA2'!$D$29,"")</f>
        <v/>
      </c>
      <c r="AH70" s="518" t="str">
        <f>IF(AND(_AC2="A-320",'2023'!$N$4="CA",'2023'!$N$2=AH43),'2023DATA2'!$E$29,"")</f>
        <v/>
      </c>
      <c r="AI70" s="518" t="str">
        <f>IF(AND(_AC2="A-320",'2023'!$N$4="CA",'2023'!$N$2=AI43),'2023DATA2'!$F$29,"")</f>
        <v/>
      </c>
      <c r="AJ70" s="518" t="str">
        <f>IF(AND(_AC2="A-320",'2023'!$N$4="CA",'2023'!$N$2=AJ43),'2023DATA2'!$G$29,"")</f>
        <v/>
      </c>
      <c r="AK70" s="518" t="str">
        <f>IF(AND(_AC2="A-320",'2023'!$N$4="CA",'2023'!$N$2=AK43),'2023DATA2'!$H$29,"")</f>
        <v/>
      </c>
      <c r="AL70" s="518" t="str">
        <f>IF(AND(_AC2="A-320",'2023'!$N$4="CA",'2023'!$N$2=AL43),'2023DATA2'!$I$29,"")</f>
        <v/>
      </c>
      <c r="AM70" s="518" t="str">
        <f>IF(AND(_AC2="A-320",'2023'!$N$4="CA",'2023'!$N$2=AM43),'2023DATA2'!$J$29,"")</f>
        <v/>
      </c>
      <c r="AN70" s="518" t="str">
        <f>IF(AND(_AC2="A-320",'2023'!$N$4="CA",'2023'!$N$2=AN43),'2023DATA2'!$K$29,"")</f>
        <v/>
      </c>
      <c r="AO70" s="518" t="str">
        <f>IF(AND(_AC2="A-320",'2023'!$N$4="CA",'2023'!$N$2=AO43),'2023DATA2'!$L$29,"")</f>
        <v/>
      </c>
      <c r="AP70" s="518" t="str">
        <f>IF(AND(_AC2="A-320",'2023'!$N$4="CA",'2023'!$N$2=AP43),'2023DATA2'!$M$29,"")</f>
        <v/>
      </c>
      <c r="AQ70" s="520" t="str">
        <f>IF(AND(_AC2="A-320",'2023'!$N$4="CA",'2023'!$N$2=AQ43),'2023DATA2'!$N$29,"")</f>
        <v/>
      </c>
      <c r="AR70" s="940" t="s">
        <v>70</v>
      </c>
      <c r="AS70" s="13" t="s">
        <v>61</v>
      </c>
      <c r="AT70" s="518" t="str">
        <f>IF(AND(_AC3="A-320",'2023'!$N$4="CA",'2023'!$N$2=AT43),'2023DATA2'!$C$29,"")</f>
        <v/>
      </c>
      <c r="AU70" s="518" t="str">
        <f>IF(AND(_AC3="A-320",'2023'!$N$4="CA",'2023'!$N$2=AU43),'2023DATA2'!$D$29,"")</f>
        <v/>
      </c>
      <c r="AV70" s="518" t="str">
        <f>IF(AND(_AC3="A-320",'2023'!$N$4="CA",'2023'!$N$2=AV43),'2023DATA2'!$E$29,"")</f>
        <v/>
      </c>
      <c r="AW70" s="518" t="str">
        <f>IF(AND(_AC3="A-320",'2023'!$N$4="CA",'2023'!$N$2=AW43),'2023DATA2'!$F$29,"")</f>
        <v/>
      </c>
      <c r="AX70" s="518" t="str">
        <f>IF(AND(_AC3="A-320",'2023'!$N$4="CA",'2023'!$N$2=AX43),'2023DATA2'!$G$29,"")</f>
        <v/>
      </c>
      <c r="AY70" s="518" t="str">
        <f>IF(AND(_AC3="A-320",'2023'!$N$4="CA",'2023'!$N$2=AY43),'2023DATA2'!$H$29,"")</f>
        <v/>
      </c>
      <c r="AZ70" s="518" t="str">
        <f>IF(AND(_AC3="A-320",'2023'!$N$4="CA",'2023'!$N$2=AZ43),'2023DATA2'!$I$29,"")</f>
        <v/>
      </c>
      <c r="BA70" s="518" t="str">
        <f>IF(AND(_AC3="A-320",'2023'!$N$4="CA",'2023'!$N$2=BA43),'2023DATA2'!$J$29,"")</f>
        <v/>
      </c>
      <c r="BB70" s="518" t="str">
        <f>IF(AND(_AC3="A-320",'2023'!$N$4="CA",'2023'!$N$2=BB43),'2023DATA2'!$K$29,"")</f>
        <v/>
      </c>
      <c r="BC70" s="518" t="str">
        <f>IF(AND(_AC3="A-320",'2023'!$N$4="CA",'2023'!$N$2=BC43),'2023DATA2'!$L$29,"")</f>
        <v/>
      </c>
      <c r="BD70" s="518" t="str">
        <f>IF(AND(_AC3="A-320",'2023'!$N$4="CA",'2023'!$N$2=BD43),'2023DATA2'!$M$29,"")</f>
        <v/>
      </c>
      <c r="BE70" s="520" t="str">
        <f>IF(AND(_AC3="A-320",'2023'!$N$4="CA",'2023'!$N$2=BE43),'2023DATA2'!$N$29,"")</f>
        <v/>
      </c>
      <c r="BF70" s="940" t="s">
        <v>70</v>
      </c>
      <c r="BG70" s="13" t="s">
        <v>61</v>
      </c>
      <c r="BH70" s="518" t="str">
        <f>IF(AND(_AC4="A-320",'2023'!$N$4="CA",'2023'!$N$2=BH43),'2023DATA2'!$C$29,"")</f>
        <v/>
      </c>
      <c r="BI70" s="518" t="str">
        <f>IF(AND(_AC4="A-320",'2023'!$N$4="CA",'2023'!$N$2=BI43),'2023DATA2'!$D$29,"")</f>
        <v/>
      </c>
      <c r="BJ70" s="518" t="str">
        <f>IF(AND(_AC4="A-320",'2023'!$N$4="CA",'2023'!$N$2=BJ43),'2023DATA2'!$E$29,"")</f>
        <v/>
      </c>
      <c r="BK70" s="518" t="str">
        <f>IF(AND(_AC4="A-320",'2023'!$N$4="CA",'2023'!$N$2=BK43),'2023DATA2'!$F$29,"")</f>
        <v/>
      </c>
      <c r="BL70" s="518" t="str">
        <f>IF(AND(_AC4="A-320",'2023'!$N$4="CA",'2023'!$N$2=BL43),'2023DATA2'!$G$29,"")</f>
        <v/>
      </c>
      <c r="BM70" s="518" t="str">
        <f>IF(AND(_AC4="A-320",'2023'!$N$4="CA",'2023'!$N$2=BM43),'2023DATA2'!$H$29,"")</f>
        <v/>
      </c>
      <c r="BN70" s="518" t="str">
        <f>IF(AND(_AC4="A-320",'2023'!$N$4="CA",'2023'!$N$2=BN43),'2023DATA2'!$I$29,"")</f>
        <v/>
      </c>
      <c r="BO70" s="518" t="str">
        <f>IF(AND(_AC4="A-320",'2023'!$N$4="CA",'2023'!$N$2=BO43),'2023DATA2'!$J$29,"")</f>
        <v/>
      </c>
      <c r="BP70" s="518" t="str">
        <f>IF(AND(_AC4="A-320",'2023'!$N$4="CA",'2023'!$N$2=BP43),'2023DATA2'!$K$29,"")</f>
        <v/>
      </c>
      <c r="BQ70" s="518" t="str">
        <f>IF(AND(_AC4="A-320",'2023'!$N$4="CA",'2023'!$N$2=BQ43),'2023DATA2'!$L$29,"")</f>
        <v/>
      </c>
      <c r="BR70" s="518" t="str">
        <f>IF(AND(_AC4="A-320",'2023'!$N$4="CA",'2023'!$N$2=BR43),'2023DATA2'!$M$29,"")</f>
        <v/>
      </c>
      <c r="BS70" s="520" t="str">
        <f>IF(AND(_AC4="A-320",'2023'!$N$4="CA",'2023'!$N$2=BS43),'2023DATA2'!$N$29,"")</f>
        <v/>
      </c>
      <c r="BT70" s="940" t="s">
        <v>70</v>
      </c>
      <c r="BU70" s="13" t="s">
        <v>61</v>
      </c>
      <c r="BV70" s="518" t="str">
        <f>IF(AND(_AC5="A-320",'2023'!$N$4="CA",'2023'!$N$2=BV43),'2023DATA2'!$C$29,"")</f>
        <v/>
      </c>
      <c r="BW70" s="518" t="str">
        <f>IF(AND(_AC5="A-320",'2023'!$N$4="CA",'2023'!$N$2=BW43),'2023DATA2'!$D$29,"")</f>
        <v/>
      </c>
      <c r="BX70" s="518" t="str">
        <f>IF(AND(_AC5="A-320",'2023'!$N$4="CA",'2023'!$N$2=BX43),'2023DATA2'!$E$29,"")</f>
        <v/>
      </c>
      <c r="BY70" s="518" t="str">
        <f>IF(AND(_AC5="A-320",'2023'!$N$4="CA",'2023'!$N$2=BY43),'2023DATA2'!$F$29,"")</f>
        <v/>
      </c>
      <c r="BZ70" s="518" t="str">
        <f>IF(AND(_AC5="A-320",'2023'!$N$4="CA",'2023'!$N$2=BZ43),'2023DATA2'!$G$29,"")</f>
        <v/>
      </c>
      <c r="CA70" s="518" t="str">
        <f>IF(AND(_AC5="A-320",'2023'!$N$4="CA",'2023'!$N$2=CA43),'2023DATA2'!$H$29,"")</f>
        <v/>
      </c>
      <c r="CB70" s="518" t="str">
        <f>IF(AND(_AC5="A-320",'2023'!$N$4="CA",'2023'!$N$2=CB43),'2023DATA2'!$I$29,"")</f>
        <v/>
      </c>
      <c r="CC70" s="518" t="str">
        <f>IF(AND(_AC5="A-320",'2023'!$N$4="CA",'2023'!$N$2=CC43),'2023DATA2'!$J$29,"")</f>
        <v/>
      </c>
      <c r="CD70" s="518" t="str">
        <f>IF(AND(_AC5="A-320",'2023'!$N$4="CA",'2023'!$N$2=CD43),'2023DATA2'!$K$29,"")</f>
        <v/>
      </c>
      <c r="CE70" s="518" t="str">
        <f>IF(AND(_AC5="A-320",'2023'!$N$4="CA",'2023'!$N$2=CE43),'2023DATA2'!$L$29,"")</f>
        <v/>
      </c>
      <c r="CF70" s="518" t="str">
        <f>IF(AND(_AC5="A-320",'2023'!$N$4="CA",'2023'!$N$2=CF43),'2023DATA2'!$M$29,"")</f>
        <v/>
      </c>
      <c r="CG70" s="520" t="str">
        <f>IF(AND(_AC5="A-320",'2023'!$N$4="CA",'2023'!$N$2=CG43),'2023DATA2'!$N$29,"")</f>
        <v/>
      </c>
      <c r="CH70" s="940" t="s">
        <v>70</v>
      </c>
      <c r="CI70" s="13" t="s">
        <v>61</v>
      </c>
      <c r="CJ70" s="518" t="str">
        <f>IF(AND(_AC6="A-320",'2023'!$N$4="CA",'2023'!$N$2=CJ43),'2023DATA2'!$C$29,"")</f>
        <v/>
      </c>
      <c r="CK70" s="518" t="str">
        <f>IF(AND(_AC6="A-320",'2023'!$N$4="CA",'2023'!$N$2=CK43),'2023DATA2'!$D$29,"")</f>
        <v/>
      </c>
      <c r="CL70" s="518" t="str">
        <f>IF(AND(_AC6="A-320",'2023'!$N$4="CA",'2023'!$N$2=CL43),'2023DATA2'!$E$29,"")</f>
        <v/>
      </c>
      <c r="CM70" s="518" t="str">
        <f>IF(AND(_AC6="A-320",'2023'!$N$4="CA",'2023'!$N$2=CM43),'2023DATA2'!$F$29,"")</f>
        <v/>
      </c>
      <c r="CN70" s="518" t="str">
        <f>IF(AND(_AC6="A-320",'2023'!$N$4="CA",'2023'!$N$2=CN43),'2023DATA2'!$G$29,"")</f>
        <v/>
      </c>
      <c r="CO70" s="518" t="str">
        <f>IF(AND(_AC6="A-320",'2023'!$N$4="CA",'2023'!$N$2=CO43),'2023DATA2'!$H$29,"")</f>
        <v/>
      </c>
      <c r="CP70" s="518" t="str">
        <f>IF(AND(_AC6="A-320",'2023'!$N$4="CA",'2023'!$N$2=CP43),'2023DATA2'!$I$29,"")</f>
        <v/>
      </c>
      <c r="CQ70" s="518" t="str">
        <f>IF(AND(_AC6="A-320",'2023'!$N$4="CA",'2023'!$N$2=CQ43),'2023DATA2'!$J$29,"")</f>
        <v/>
      </c>
      <c r="CR70" s="518" t="str">
        <f>IF(AND(_AC6="A-320",'2023'!$N$4="CA",'2023'!$N$2=CR43),'2023DATA2'!$K$29,"")</f>
        <v/>
      </c>
      <c r="CS70" s="518" t="str">
        <f>IF(AND(_AC6="A-320",'2023'!$N$4="CA",'2023'!$N$2=CS43),'2023DATA2'!$L$29,"")</f>
        <v/>
      </c>
      <c r="CT70" s="518" t="str">
        <f>IF(AND(_AC6="A-320",'2023'!$N$4="CA",'2023'!$N$2=CT43),'2023DATA2'!$M$29,"")</f>
        <v/>
      </c>
      <c r="CU70" s="520" t="str">
        <f>IF(AND(_AC6="A-320",'2023'!$N$4="CA",'2023'!$N$2=CU43),'2023DATA2'!$N$29,"")</f>
        <v/>
      </c>
    </row>
    <row r="71" spans="16:99" x14ac:dyDescent="0.25">
      <c r="P71" s="940"/>
      <c r="Q71" s="13" t="s">
        <v>62</v>
      </c>
      <c r="R71" s="518" t="str">
        <f>IF(AND(_AC1="A-320",'2023'!$N$4="FO",'2023'!$N$2=R43),'2023DATA2'!$C$30,"")</f>
        <v/>
      </c>
      <c r="S71" s="518" t="str">
        <f>IF(AND(_AC1="A-320",'2023'!$N$4="FO",'2023'!$N$2=S43),'2023DATA2'!$D$30,"")</f>
        <v/>
      </c>
      <c r="T71" s="518" t="str">
        <f>IF(AND(_AC1="A-320",'2023'!$N$4="FO",'2023'!$N$2=T43),'2023DATA2'!$E$30,"")</f>
        <v/>
      </c>
      <c r="U71" s="518" t="str">
        <f>IF(AND(_AC1="A-320",'2023'!$N$4="FO",'2023'!$N$2=U43),'2023DATA2'!$F$30,"")</f>
        <v/>
      </c>
      <c r="V71" s="518" t="str">
        <f>IF(AND(_AC1="A-320",'2023'!$N$4="FO",'2023'!$N$2=V43),'2023DATA2'!$G$30,"")</f>
        <v/>
      </c>
      <c r="W71" s="518" t="str">
        <f>IF(AND(_AC1="A-320",'2023'!$N$4="FO",'2023'!$N$2=W43),'2023DATA2'!$H$30,"")</f>
        <v/>
      </c>
      <c r="X71" s="518" t="str">
        <f>IF(AND(_AC1="A-320",'2023'!$N$4="FO",'2023'!$N$2=X43),'2023DATA2'!$I$30,"")</f>
        <v/>
      </c>
      <c r="Y71" s="518" t="str">
        <f>IF(AND(_AC1="A-320",'2023'!$N$4="FO",'2023'!$N$2=Y43),'2023DATA2'!$J$30,"")</f>
        <v/>
      </c>
      <c r="Z71" s="518" t="str">
        <f>IF(AND(_AC1="A-320",'2023'!$N$4="FO",'2023'!$N$2=Z43),'2023DATA2'!$K$30,"")</f>
        <v/>
      </c>
      <c r="AA71" s="518" t="str">
        <f>IF(AND(_AC1="A-320",'2023'!$N$4="FO",'2023'!$N$2=AA43),'2023DATA2'!$L$30,"")</f>
        <v/>
      </c>
      <c r="AB71" s="518" t="str">
        <f>IF(AND(_AC1="A-320",'2023'!$N$4="FO",'2023'!$N$2=AB43),'2023DATA2'!$M$30,"")</f>
        <v/>
      </c>
      <c r="AC71" s="520" t="str">
        <f>IF(AND(_AC1="A-320",'2023'!$N$4="FO",'2023'!$N$2=AC43),'2023DATA2'!$N$30,"")</f>
        <v/>
      </c>
      <c r="AD71" s="940"/>
      <c r="AE71" s="13" t="s">
        <v>62</v>
      </c>
      <c r="AF71" s="518" t="str">
        <f>IF(AND(_AC2="A-320",'2023'!$N$4="FO",'2023'!$N$2=AF43),'2023DATA2'!$C$30,"")</f>
        <v/>
      </c>
      <c r="AG71" s="518" t="str">
        <f>IF(AND(_AC2="A-320",'2023'!$N$4="FO",'2023'!$N$2=AG43),'2023DATA2'!$D$30,"")</f>
        <v/>
      </c>
      <c r="AH71" s="518" t="str">
        <f>IF(AND(_AC2="A-320",'2023'!$N$4="FO",'2023'!$N$2=AH43),'2023DATA2'!$E$30,"")</f>
        <v/>
      </c>
      <c r="AI71" s="518" t="str">
        <f>IF(AND(_AC2="A-320",'2023'!$N$4="FO",'2023'!$N$2=AI43),'2023DATA2'!$F$30,"")</f>
        <v/>
      </c>
      <c r="AJ71" s="518" t="str">
        <f>IF(AND(_AC2="A-320",'2023'!$N$4="FO",'2023'!$N$2=AJ43),'2023DATA2'!$G$30,"")</f>
        <v/>
      </c>
      <c r="AK71" s="518" t="str">
        <f>IF(AND(_AC2="A-320",'2023'!$N$4="FO",'2023'!$N$2=AK43),'2023DATA2'!$H$30,"")</f>
        <v/>
      </c>
      <c r="AL71" s="518" t="str">
        <f>IF(AND(_AC2="A-320",'2023'!$N$4="FO",'2023'!$N$2=AL43),'2023DATA2'!$I$30,"")</f>
        <v/>
      </c>
      <c r="AM71" s="518" t="str">
        <f>IF(AND(_AC2="A-320",'2023'!$N$4="FO",'2023'!$N$2=AM43),'2023DATA2'!$J$30,"")</f>
        <v/>
      </c>
      <c r="AN71" s="518" t="str">
        <f>IF(AND(_AC2="A-320",'2023'!$N$4="FO",'2023'!$N$2=AN43),'2023DATA2'!$K$30,"")</f>
        <v/>
      </c>
      <c r="AO71" s="518" t="str">
        <f>IF(AND(_AC2="A-320",'2023'!$N$4="FO",'2023'!$N$2=AO43),'2023DATA2'!$L$30,"")</f>
        <v/>
      </c>
      <c r="AP71" s="518" t="str">
        <f>IF(AND(_AC2="A-320",'2023'!$N$4="FO",'2023'!$N$2=AP43),'2023DATA2'!$M$30,"")</f>
        <v/>
      </c>
      <c r="AQ71" s="520" t="str">
        <f>IF(AND(_AC2="A-320",'2023'!$N$4="FO",'2023'!$N$2=AQ43),'2023DATA2'!$N$30,"")</f>
        <v/>
      </c>
      <c r="AR71" s="940"/>
      <c r="AS71" s="13" t="s">
        <v>62</v>
      </c>
      <c r="AT71" s="518" t="str">
        <f>IF(AND(_AC3="A-320",'2023'!$N$4="FO",'2023'!$N$2=AT43),'2023DATA2'!$C$30,"")</f>
        <v/>
      </c>
      <c r="AU71" s="518" t="str">
        <f>IF(AND(_AC3="A-320",'2023'!$N$4="FO",'2023'!$N$2=AU43),'2023DATA2'!$D$30,"")</f>
        <v/>
      </c>
      <c r="AV71" s="518" t="str">
        <f>IF(AND(_AC3="A-320",'2023'!$N$4="FO",'2023'!$N$2=AV43),'2023DATA2'!$E$30,"")</f>
        <v/>
      </c>
      <c r="AW71" s="518" t="str">
        <f>IF(AND(_AC3="A-320",'2023'!$N$4="FO",'2023'!$N$2=AW43),'2023DATA2'!$F$30,"")</f>
        <v/>
      </c>
      <c r="AX71" s="518" t="str">
        <f>IF(AND(_AC3="A-320",'2023'!$N$4="FO",'2023'!$N$2=AX43),'2023DATA2'!$G$30,"")</f>
        <v/>
      </c>
      <c r="AY71" s="518" t="str">
        <f>IF(AND(_AC3="A-320",'2023'!$N$4="FO",'2023'!$N$2=AY43),'2023DATA2'!$H$30,"")</f>
        <v/>
      </c>
      <c r="AZ71" s="518" t="str">
        <f>IF(AND(_AC3="A-320",'2023'!$N$4="FO",'2023'!$N$2=AZ43),'2023DATA2'!$I$30,"")</f>
        <v/>
      </c>
      <c r="BA71" s="518" t="str">
        <f>IF(AND(_AC3="A-320",'2023'!$N$4="FO",'2023'!$N$2=BA43),'2023DATA2'!$J$30,"")</f>
        <v/>
      </c>
      <c r="BB71" s="518" t="str">
        <f>IF(AND(_AC3="A-320",'2023'!$N$4="FO",'2023'!$N$2=BB43),'2023DATA2'!$K$30,"")</f>
        <v/>
      </c>
      <c r="BC71" s="518" t="str">
        <f>IF(AND(_AC3="A-320",'2023'!$N$4="FO",'2023'!$N$2=BC43),'2023DATA2'!$L$30,"")</f>
        <v/>
      </c>
      <c r="BD71" s="518" t="str">
        <f>IF(AND(_AC3="A-320",'2023'!$N$4="FO",'2023'!$N$2=BD43),'2023DATA2'!$M$30,"")</f>
        <v/>
      </c>
      <c r="BE71" s="520" t="str">
        <f>IF(AND(_AC3="A-320",'2023'!$N$4="FO",'2023'!$N$2=BE43),'2023DATA2'!$N$30,"")</f>
        <v/>
      </c>
      <c r="BF71" s="940"/>
      <c r="BG71" s="13" t="s">
        <v>62</v>
      </c>
      <c r="BH71" s="518" t="str">
        <f>IF(AND(_AC4="A-320",'2023'!$N$4="FO",'2023'!$N$2=BH43),'2023DATA2'!$C$30,"")</f>
        <v/>
      </c>
      <c r="BI71" s="518" t="str">
        <f>IF(AND(_AC4="A-320",'2023'!$N$4="FO",'2023'!$N$2=BI43),'2023DATA2'!$D$30,"")</f>
        <v/>
      </c>
      <c r="BJ71" s="518" t="str">
        <f>IF(AND(_AC4="A-320",'2023'!$N$4="FO",'2023'!$N$2=BJ43),'2023DATA2'!$E$30,"")</f>
        <v/>
      </c>
      <c r="BK71" s="518" t="str">
        <f>IF(AND(_AC4="A-320",'2023'!$N$4="FO",'2023'!$N$2=BK43),'2023DATA2'!$F$30,"")</f>
        <v/>
      </c>
      <c r="BL71" s="518" t="str">
        <f>IF(AND(_AC4="A-320",'2023'!$N$4="FO",'2023'!$N$2=BL43),'2023DATA2'!$G$30,"")</f>
        <v/>
      </c>
      <c r="BM71" s="518" t="str">
        <f>IF(AND(_AC4="A-320",'2023'!$N$4="FO",'2023'!$N$2=BM43),'2023DATA2'!$H$30,"")</f>
        <v/>
      </c>
      <c r="BN71" s="518" t="str">
        <f>IF(AND(_AC4="A-320",'2023'!$N$4="FO",'2023'!$N$2=BN43),'2023DATA2'!$I$30,"")</f>
        <v/>
      </c>
      <c r="BO71" s="518" t="str">
        <f>IF(AND(_AC4="A-320",'2023'!$N$4="FO",'2023'!$N$2=BO43),'2023DATA2'!$J$30,"")</f>
        <v/>
      </c>
      <c r="BP71" s="518" t="str">
        <f>IF(AND(_AC4="A-320",'2023'!$N$4="FO",'2023'!$N$2=BP43),'2023DATA2'!$K$30,"")</f>
        <v/>
      </c>
      <c r="BQ71" s="518" t="str">
        <f>IF(AND(_AC4="A-320",'2023'!$N$4="FO",'2023'!$N$2=BQ43),'2023DATA2'!$L$30,"")</f>
        <v/>
      </c>
      <c r="BR71" s="518" t="str">
        <f>IF(AND(_AC4="A-320",'2023'!$N$4="FO",'2023'!$N$2=BR43),'2023DATA2'!$M$30,"")</f>
        <v/>
      </c>
      <c r="BS71" s="520" t="str">
        <f>IF(AND(_AC4="A-320",'2023'!$N$4="FO",'2023'!$N$2=BS43),'2023DATA2'!$N$30,"")</f>
        <v/>
      </c>
      <c r="BT71" s="940"/>
      <c r="BU71" s="13" t="s">
        <v>62</v>
      </c>
      <c r="BV71" s="518" t="str">
        <f>IF(AND(_AC5="A-320",'2023'!$N$4="FO",'2023'!$N$2=BV43),'2023DATA2'!$C$30,"")</f>
        <v/>
      </c>
      <c r="BW71" s="518" t="str">
        <f>IF(AND(_AC5="A-320",'2023'!$N$4="FO",'2023'!$N$2=BW43),'2023DATA2'!$D$30,"")</f>
        <v/>
      </c>
      <c r="BX71" s="518" t="str">
        <f>IF(AND(_AC5="A-320",'2023'!$N$4="FO",'2023'!$N$2=BX43),'2023DATA2'!$E$30,"")</f>
        <v/>
      </c>
      <c r="BY71" s="518" t="str">
        <f>IF(AND(_AC5="A-320",'2023'!$N$4="FO",'2023'!$N$2=BY43),'2023DATA2'!$F$30,"")</f>
        <v/>
      </c>
      <c r="BZ71" s="518" t="str">
        <f>IF(AND(_AC5="A-320",'2023'!$N$4="FO",'2023'!$N$2=BZ43),'2023DATA2'!$G$30,"")</f>
        <v/>
      </c>
      <c r="CA71" s="518" t="str">
        <f>IF(AND(_AC5="A-320",'2023'!$N$4="FO",'2023'!$N$2=CA43),'2023DATA2'!$H$30,"")</f>
        <v/>
      </c>
      <c r="CB71" s="518" t="str">
        <f>IF(AND(_AC5="A-320",'2023'!$N$4="FO",'2023'!$N$2=CB43),'2023DATA2'!$I$30,"")</f>
        <v/>
      </c>
      <c r="CC71" s="518" t="str">
        <f>IF(AND(_AC5="A-320",'2023'!$N$4="FO",'2023'!$N$2=CC43),'2023DATA2'!$J$30,"")</f>
        <v/>
      </c>
      <c r="CD71" s="518" t="str">
        <f>IF(AND(_AC5="A-320",'2023'!$N$4="FO",'2023'!$N$2=CD43),'2023DATA2'!$K$30,"")</f>
        <v/>
      </c>
      <c r="CE71" s="518" t="str">
        <f>IF(AND(_AC5="A-320",'2023'!$N$4="FO",'2023'!$N$2=CE43),'2023DATA2'!$L$30,"")</f>
        <v/>
      </c>
      <c r="CF71" s="518" t="str">
        <f>IF(AND(_AC5="A-320",'2023'!$N$4="FO",'2023'!$N$2=CF43),'2023DATA2'!$M$30,"")</f>
        <v/>
      </c>
      <c r="CG71" s="520" t="str">
        <f>IF(AND(_AC5="A-320",'2023'!$N$4="FO",'2023'!$N$2=CG43),'2023DATA2'!$N$30,"")</f>
        <v/>
      </c>
      <c r="CH71" s="940"/>
      <c r="CI71" s="13" t="s">
        <v>62</v>
      </c>
      <c r="CJ71" s="518" t="str">
        <f>IF(AND(_AC6="A-320",'2023'!$N$4="FO",'2023'!$N$2=CJ43),'2023DATA2'!$C$30,"")</f>
        <v/>
      </c>
      <c r="CK71" s="518" t="str">
        <f>IF(AND(_AC6="A-320",'2023'!$N$4="FO",'2023'!$N$2=CK43),'2023DATA2'!$D$30,"")</f>
        <v/>
      </c>
      <c r="CL71" s="518" t="str">
        <f>IF(AND(_AC6="A-320",'2023'!$N$4="FO",'2023'!$N$2=CL43),'2023DATA2'!$E$30,"")</f>
        <v/>
      </c>
      <c r="CM71" s="518" t="str">
        <f>IF(AND(_AC6="A-320",'2023'!$N$4="FO",'2023'!$N$2=CM43),'2023DATA2'!$F$30,"")</f>
        <v/>
      </c>
      <c r="CN71" s="518" t="str">
        <f>IF(AND(_AC6="A-320",'2023'!$N$4="FO",'2023'!$N$2=CN43),'2023DATA2'!$G$30,"")</f>
        <v/>
      </c>
      <c r="CO71" s="518" t="str">
        <f>IF(AND(_AC6="A-320",'2023'!$N$4="FO",'2023'!$N$2=CO43),'2023DATA2'!$H$30,"")</f>
        <v/>
      </c>
      <c r="CP71" s="518" t="str">
        <f>IF(AND(_AC6="A-320",'2023'!$N$4="FO",'2023'!$N$2=CP43),'2023DATA2'!$I$30,"")</f>
        <v/>
      </c>
      <c r="CQ71" s="518" t="str">
        <f>IF(AND(_AC6="A-320",'2023'!$N$4="FO",'2023'!$N$2=CQ43),'2023DATA2'!$J$30,"")</f>
        <v/>
      </c>
      <c r="CR71" s="518" t="str">
        <f>IF(AND(_AC6="A-320",'2023'!$N$4="FO",'2023'!$N$2=CR43),'2023DATA2'!$K$30,"")</f>
        <v/>
      </c>
      <c r="CS71" s="518" t="str">
        <f>IF(AND(_AC6="A-320",'2023'!$N$4="FO",'2023'!$N$2=CS43),'2023DATA2'!$L$30,"")</f>
        <v/>
      </c>
      <c r="CT71" s="518" t="str">
        <f>IF(AND(_AC6="A-320",'2023'!$N$4="FO",'2023'!$N$2=CT43),'2023DATA2'!$M$30,"")</f>
        <v/>
      </c>
      <c r="CU71" s="520" t="str">
        <f>IF(AND(_AC6="A-320",'2023'!$N$4="FO",'2023'!$N$2=CU43),'2023DATA2'!$N$30,"")</f>
        <v/>
      </c>
    </row>
    <row r="72" spans="16:99" x14ac:dyDescent="0.25">
      <c r="P72" s="940" t="s">
        <v>71</v>
      </c>
      <c r="Q72" s="13" t="s">
        <v>61</v>
      </c>
      <c r="R72" s="518" t="str">
        <f>IF(AND(_AC1="A-319",'2023'!$N$4="CA",'2023'!$N$2=R43),'2023DATA2'!$C$31,"")</f>
        <v/>
      </c>
      <c r="S72" s="518" t="str">
        <f>IF(AND(_AC1="A-319",'2023'!$N$4="CA",'2023'!$N$2=S43),'2023DATA2'!$D$31,"")</f>
        <v/>
      </c>
      <c r="T72" s="518" t="str">
        <f>IF(AND(_AC1="A-319",'2023'!$N$4="CA",'2023'!$N$2=T43),'2023DATA2'!$E$31,"")</f>
        <v/>
      </c>
      <c r="U72" s="518" t="str">
        <f>IF(AND(_AC1="A-319",'2023'!$N$4="CA",'2023'!$N$2=U43),'2023DATA2'!$F$31,"")</f>
        <v/>
      </c>
      <c r="V72" s="518" t="str">
        <f>IF(AND(_AC1="A-319",'2023'!$N$4="CA",'2023'!$N$2=V43),'2023DATA2'!$G$31,"")</f>
        <v/>
      </c>
      <c r="W72" s="518" t="str">
        <f>IF(AND(_AC1="A-319",'2023'!$N$4="CA",'2023'!$N$2=W43),'2023DATA2'!$H$31,"")</f>
        <v/>
      </c>
      <c r="X72" s="518" t="str">
        <f>IF(AND(_AC1="A-319",'2023'!$N$4="CA",'2023'!$N$2=X43),'2023DATA2'!$I$31,"")</f>
        <v/>
      </c>
      <c r="Y72" s="518" t="str">
        <f>IF(AND(_AC1="A-319",'2023'!$N$4="CA",'2023'!$N$2=Y43),'2023DATA2'!$J$31,"")</f>
        <v/>
      </c>
      <c r="Z72" s="518" t="str">
        <f>IF(AND(_AC1="A-319",'2023'!$N$4="CA",'2023'!$N$2=Z43),'2023DATA2'!$K$31,"")</f>
        <v/>
      </c>
      <c r="AA72" s="518" t="str">
        <f>IF(AND(_AC1="A-319",'2023'!$N$4="CA",'2023'!$N$2=AA43),'2023DATA2'!$L$31,"")</f>
        <v/>
      </c>
      <c r="AB72" s="518" t="str">
        <f>IF(AND(_AC1="A-319",'2023'!$N$4="CA",'2023'!$N$2=AB43),'2023DATA2'!$M$31,"")</f>
        <v/>
      </c>
      <c r="AC72" s="520" t="str">
        <f>IF(AND(_AC1="A-319",'2023'!$N$4="CA",'2023'!$N$2=AC43),'2023DATA2'!$N$31,"")</f>
        <v/>
      </c>
      <c r="AD72" s="940" t="s">
        <v>71</v>
      </c>
      <c r="AE72" s="13" t="s">
        <v>61</v>
      </c>
      <c r="AF72" s="518" t="str">
        <f>IF(AND(_AC2="A-319",'2023'!$N$4="CA",'2023'!$N$2=AF43),'2023DATA2'!$C$31,"")</f>
        <v/>
      </c>
      <c r="AG72" s="518" t="str">
        <f>IF(AND(_AC2="A-319",'2023'!$N$4="CA",'2023'!$N$2=AG43),'2023DATA2'!$D$31,"")</f>
        <v/>
      </c>
      <c r="AH72" s="518" t="str">
        <f>IF(AND(_AC2="A-319",'2023'!$N$4="CA",'2023'!$N$2=AH43),'2023DATA2'!$E$31,"")</f>
        <v/>
      </c>
      <c r="AI72" s="518" t="str">
        <f>IF(AND(_AC2="A-319",'2023'!$N$4="CA",'2023'!$N$2=AI43),'2023DATA2'!$F$31,"")</f>
        <v/>
      </c>
      <c r="AJ72" s="518" t="str">
        <f>IF(AND(_AC2="A-319",'2023'!$N$4="CA",'2023'!$N$2=AJ43),'2023DATA2'!$G$31,"")</f>
        <v/>
      </c>
      <c r="AK72" s="518" t="str">
        <f>IF(AND(_AC2="A-319",'2023'!$N$4="CA",'2023'!$N$2=AK43),'2023DATA2'!$H$31,"")</f>
        <v/>
      </c>
      <c r="AL72" s="518" t="str">
        <f>IF(AND(_AC2="A-319",'2023'!$N$4="CA",'2023'!$N$2=AL43),'2023DATA2'!$I$31,"")</f>
        <v/>
      </c>
      <c r="AM72" s="518" t="str">
        <f>IF(AND(_AC2="A-319",'2023'!$N$4="CA",'2023'!$N$2=AM43),'2023DATA2'!$J$31,"")</f>
        <v/>
      </c>
      <c r="AN72" s="518" t="str">
        <f>IF(AND(_AC2="A-319",'2023'!$N$4="CA",'2023'!$N$2=AN43),'2023DATA2'!$K$31,"")</f>
        <v/>
      </c>
      <c r="AO72" s="518" t="str">
        <f>IF(AND(_AC2="A-319",'2023'!$N$4="CA",'2023'!$N$2=AO43),'2023DATA2'!$L$31,"")</f>
        <v/>
      </c>
      <c r="AP72" s="518" t="str">
        <f>IF(AND(_AC2="A-319",'2023'!$N$4="CA",'2023'!$N$2=AP43),'2023DATA2'!$M$31,"")</f>
        <v/>
      </c>
      <c r="AQ72" s="520" t="str">
        <f>IF(AND(_AC2="A-319",'2023'!$N$4="CA",'2023'!$N$2=AQ43),'2023DATA2'!$N$31,"")</f>
        <v/>
      </c>
      <c r="AR72" s="940" t="s">
        <v>71</v>
      </c>
      <c r="AS72" s="13" t="s">
        <v>61</v>
      </c>
      <c r="AT72" s="518" t="str">
        <f>IF(AND(_AC3="A-319",'2023'!$N$4="CA",'2023'!$N$2=AT43),'2023DATA2'!$C$31,"")</f>
        <v/>
      </c>
      <c r="AU72" s="518" t="str">
        <f>IF(AND(_AC3="A-319",'2023'!$N$4="CA",'2023'!$N$2=AU43),'2023DATA2'!$D$31,"")</f>
        <v/>
      </c>
      <c r="AV72" s="518" t="str">
        <f>IF(AND(_AC3="A-319",'2023'!$N$4="CA",'2023'!$N$2=AV43),'2023DATA2'!$E$31,"")</f>
        <v/>
      </c>
      <c r="AW72" s="518" t="str">
        <f>IF(AND(_AC3="A-319",'2023'!$N$4="CA",'2023'!$N$2=AW43),'2023DATA2'!$F$31,"")</f>
        <v/>
      </c>
      <c r="AX72" s="518" t="str">
        <f>IF(AND(_AC3="A-319",'2023'!$N$4="CA",'2023'!$N$2=AX43),'2023DATA2'!$G$31,"")</f>
        <v/>
      </c>
      <c r="AY72" s="518" t="str">
        <f>IF(AND(_AC3="A-319",'2023'!$N$4="CA",'2023'!$N$2=AY43),'2023DATA2'!$H$31,"")</f>
        <v/>
      </c>
      <c r="AZ72" s="518" t="str">
        <f>IF(AND(_AC3="A-319",'2023'!$N$4="CA",'2023'!$N$2=AZ43),'2023DATA2'!$I$31,"")</f>
        <v/>
      </c>
      <c r="BA72" s="518" t="str">
        <f>IF(AND(_AC3="A-319",'2023'!$N$4="CA",'2023'!$N$2=BA43),'2023DATA2'!$J$31,"")</f>
        <v/>
      </c>
      <c r="BB72" s="518" t="str">
        <f>IF(AND(_AC3="A-319",'2023'!$N$4="CA",'2023'!$N$2=BB43),'2023DATA2'!$K$31,"")</f>
        <v/>
      </c>
      <c r="BC72" s="518" t="str">
        <f>IF(AND(_AC3="A-319",'2023'!$N$4="CA",'2023'!$N$2=BC43),'2023DATA2'!$L$31,"")</f>
        <v/>
      </c>
      <c r="BD72" s="518" t="str">
        <f>IF(AND(_AC3="A-319",'2023'!$N$4="CA",'2023'!$N$2=BD43),'2023DATA2'!$M$31,"")</f>
        <v/>
      </c>
      <c r="BE72" s="520" t="str">
        <f>IF(AND(_AC3="A-319",'2023'!$N$4="CA",'2023'!$N$2=BE43),'2023DATA2'!$N$31,"")</f>
        <v/>
      </c>
      <c r="BF72" s="940" t="s">
        <v>71</v>
      </c>
      <c r="BG72" s="13" t="s">
        <v>61</v>
      </c>
      <c r="BH72" s="518" t="str">
        <f>IF(AND(_AC4="A-319",'2023'!$N$4="CA",'2023'!$N$2=BH43),'2023DATA2'!$C$31,"")</f>
        <v/>
      </c>
      <c r="BI72" s="518" t="str">
        <f>IF(AND(_AC4="A-319",'2023'!$N$4="CA",'2023'!$N$2=BI43),'2023DATA2'!$D$31,"")</f>
        <v/>
      </c>
      <c r="BJ72" s="518" t="str">
        <f>IF(AND(_AC4="A-319",'2023'!$N$4="CA",'2023'!$N$2=BJ43),'2023DATA2'!$E$31,"")</f>
        <v/>
      </c>
      <c r="BK72" s="518" t="str">
        <f>IF(AND(_AC4="A-319",'2023'!$N$4="CA",'2023'!$N$2=BK43),'2023DATA2'!$F$31,"")</f>
        <v/>
      </c>
      <c r="BL72" s="518" t="str">
        <f>IF(AND(_AC4="A-319",'2023'!$N$4="CA",'2023'!$N$2=BL43),'2023DATA2'!$G$31,"")</f>
        <v/>
      </c>
      <c r="BM72" s="518" t="str">
        <f>IF(AND(_AC4="A-319",'2023'!$N$4="CA",'2023'!$N$2=BM43),'2023DATA2'!$H$31,"")</f>
        <v/>
      </c>
      <c r="BN72" s="518" t="str">
        <f>IF(AND(_AC4="A-319",'2023'!$N$4="CA",'2023'!$N$2=BN43),'2023DATA2'!$I$31,"")</f>
        <v/>
      </c>
      <c r="BO72" s="518" t="str">
        <f>IF(AND(_AC4="A-319",'2023'!$N$4="CA",'2023'!$N$2=BO43),'2023DATA2'!$J$31,"")</f>
        <v/>
      </c>
      <c r="BP72" s="518" t="str">
        <f>IF(AND(_AC4="A-319",'2023'!$N$4="CA",'2023'!$N$2=BP43),'2023DATA2'!$K$31,"")</f>
        <v/>
      </c>
      <c r="BQ72" s="518" t="str">
        <f>IF(AND(_AC4="A-319",'2023'!$N$4="CA",'2023'!$N$2=BQ43),'2023DATA2'!$L$31,"")</f>
        <v/>
      </c>
      <c r="BR72" s="518" t="str">
        <f>IF(AND(_AC4="A-319",'2023'!$N$4="CA",'2023'!$N$2=BR43),'2023DATA2'!$M$31,"")</f>
        <v/>
      </c>
      <c r="BS72" s="520" t="str">
        <f>IF(AND(_AC4="A-319",'2023'!$N$4="CA",'2023'!$N$2=BS43),'2023DATA2'!$N$31,"")</f>
        <v/>
      </c>
      <c r="BT72" s="940" t="s">
        <v>71</v>
      </c>
      <c r="BU72" s="13" t="s">
        <v>61</v>
      </c>
      <c r="BV72" s="518" t="str">
        <f>IF(AND(_AC5="A-319",'2023'!$N$4="CA",'2023'!$N$2=BV43),'2023DATA2'!$C$31,"")</f>
        <v/>
      </c>
      <c r="BW72" s="518" t="str">
        <f>IF(AND(_AC5="A-319",'2023'!$N$4="CA",'2023'!$N$2=BW43),'2023DATA2'!$D$31,"")</f>
        <v/>
      </c>
      <c r="BX72" s="518" t="str">
        <f>IF(AND(_AC5="A-319",'2023'!$N$4="CA",'2023'!$N$2=BX43),'2023DATA2'!$E$31,"")</f>
        <v/>
      </c>
      <c r="BY72" s="518" t="str">
        <f>IF(AND(_AC5="A-319",'2023'!$N$4="CA",'2023'!$N$2=BY43),'2023DATA2'!$F$31,"")</f>
        <v/>
      </c>
      <c r="BZ72" s="518" t="str">
        <f>IF(AND(_AC5="A-319",'2023'!$N$4="CA",'2023'!$N$2=BZ43),'2023DATA2'!$G$31,"")</f>
        <v/>
      </c>
      <c r="CA72" s="518" t="str">
        <f>IF(AND(_AC5="A-319",'2023'!$N$4="CA",'2023'!$N$2=CA43),'2023DATA2'!$H$31,"")</f>
        <v/>
      </c>
      <c r="CB72" s="518" t="str">
        <f>IF(AND(_AC5="A-319",'2023'!$N$4="CA",'2023'!$N$2=CB43),'2023DATA2'!$I$31,"")</f>
        <v/>
      </c>
      <c r="CC72" s="518" t="str">
        <f>IF(AND(_AC5="A-319",'2023'!$N$4="CA",'2023'!$N$2=CC43),'2023DATA2'!$J$31,"")</f>
        <v/>
      </c>
      <c r="CD72" s="518" t="str">
        <f>IF(AND(_AC5="A-319",'2023'!$N$4="CA",'2023'!$N$2=CD43),'2023DATA2'!$K$31,"")</f>
        <v/>
      </c>
      <c r="CE72" s="518" t="str">
        <f>IF(AND(_AC5="A-319",'2023'!$N$4="CA",'2023'!$N$2=CE43),'2023DATA2'!$L$31,"")</f>
        <v/>
      </c>
      <c r="CF72" s="518" t="str">
        <f>IF(AND(_AC5="A-319",'2023'!$N$4="CA",'2023'!$N$2=CF43),'2023DATA2'!$M$31,"")</f>
        <v/>
      </c>
      <c r="CG72" s="520" t="str">
        <f>IF(AND(_AC5="A-319",'2023'!$N$4="CA",'2023'!$N$2=CG43),'2023DATA2'!$N$31,"")</f>
        <v/>
      </c>
      <c r="CH72" s="940" t="s">
        <v>71</v>
      </c>
      <c r="CI72" s="13" t="s">
        <v>61</v>
      </c>
      <c r="CJ72" s="518" t="str">
        <f>IF(AND(_AC6="A-319",'2023'!$N$4="CA",'2023'!$N$2=CJ43),'2023DATA2'!$C$31,"")</f>
        <v/>
      </c>
      <c r="CK72" s="518" t="str">
        <f>IF(AND(_AC6="A-319",'2023'!$N$4="CA",'2023'!$N$2=CK43),'2023DATA2'!$D$31,"")</f>
        <v/>
      </c>
      <c r="CL72" s="518" t="str">
        <f>IF(AND(_AC6="A-319",'2023'!$N$4="CA",'2023'!$N$2=CL43),'2023DATA2'!$E$31,"")</f>
        <v/>
      </c>
      <c r="CM72" s="518" t="str">
        <f>IF(AND(_AC6="A-319",'2023'!$N$4="CA",'2023'!$N$2=CM43),'2023DATA2'!$F$31,"")</f>
        <v/>
      </c>
      <c r="CN72" s="518" t="str">
        <f>IF(AND(_AC6="A-319",'2023'!$N$4="CA",'2023'!$N$2=CN43),'2023DATA2'!$G$31,"")</f>
        <v/>
      </c>
      <c r="CO72" s="518" t="str">
        <f>IF(AND(_AC6="A-319",'2023'!$N$4="CA",'2023'!$N$2=CO43),'2023DATA2'!$H$31,"")</f>
        <v/>
      </c>
      <c r="CP72" s="518" t="str">
        <f>IF(AND(_AC6="A-319",'2023'!$N$4="CA",'2023'!$N$2=CP43),'2023DATA2'!$I$31,"")</f>
        <v/>
      </c>
      <c r="CQ72" s="518" t="str">
        <f>IF(AND(_AC6="A-319",'2023'!$N$4="CA",'2023'!$N$2=CQ43),'2023DATA2'!$J$31,"")</f>
        <v/>
      </c>
      <c r="CR72" s="518" t="str">
        <f>IF(AND(_AC6="A-319",'2023'!$N$4="CA",'2023'!$N$2=CR43),'2023DATA2'!$K$31,"")</f>
        <v/>
      </c>
      <c r="CS72" s="518" t="str">
        <f>IF(AND(_AC6="A-319",'2023'!$N$4="CA",'2023'!$N$2=CS43),'2023DATA2'!$L$31,"")</f>
        <v/>
      </c>
      <c r="CT72" s="518" t="str">
        <f>IF(AND(_AC6="A-319",'2023'!$N$4="CA",'2023'!$N$2=CT43),'2023DATA2'!$M$31,"")</f>
        <v/>
      </c>
      <c r="CU72" s="520" t="str">
        <f>IF(AND(_AC6="A-319",'2023'!$N$4="CA",'2023'!$N$2=CU43),'2023DATA2'!$N$31,"")</f>
        <v/>
      </c>
    </row>
    <row r="73" spans="16:99" x14ac:dyDescent="0.25">
      <c r="P73" s="940"/>
      <c r="Q73" s="13" t="s">
        <v>62</v>
      </c>
      <c r="R73" s="518" t="str">
        <f>IF(AND(_AC1="A-319",'2023'!$N$4="FO",'2023'!$N$2=R43),'2023DATA2'!$C$32,"")</f>
        <v/>
      </c>
      <c r="S73" s="518" t="str">
        <f>IF(AND(_AC1="A-319",'2023'!$N$4="FO",'2023'!$N$2=S43),'2023DATA2'!$D$32,"")</f>
        <v/>
      </c>
      <c r="T73" s="518" t="str">
        <f>IF(AND(_AC1="A-319",'2023'!$N$4="FO",'2023'!$N$2=T43),'2023DATA2'!$E$32,"")</f>
        <v/>
      </c>
      <c r="U73" s="518" t="str">
        <f>IF(AND(_AC1="A-319",'2023'!$N$4="FO",'2023'!$N$2=U43),'2023DATA2'!$F$32,"")</f>
        <v/>
      </c>
      <c r="V73" s="518" t="str">
        <f>IF(AND(_AC1="A-319",'2023'!$N$4="FO",'2023'!$N$2=V43),'2023DATA2'!$G$32,"")</f>
        <v/>
      </c>
      <c r="W73" s="518" t="str">
        <f>IF(AND(_AC1="A-319",'2023'!$N$4="FO",'2023'!$N$2=W43),'2023DATA2'!$H$32,"")</f>
        <v/>
      </c>
      <c r="X73" s="518" t="str">
        <f>IF(AND(_AC1="A-319",'2023'!$N$4="FO",'2023'!$N$2=X43),'2023DATA2'!$I$32,"")</f>
        <v/>
      </c>
      <c r="Y73" s="518" t="str">
        <f>IF(AND(_AC1="A-319",'2023'!$N$4="FO",'2023'!$N$2=Y43),'2023DATA2'!$J$32,"")</f>
        <v/>
      </c>
      <c r="Z73" s="518" t="str">
        <f>IF(AND(_AC1="A-319",'2023'!$N$4="FO",'2023'!$N$2=Z43),'2023DATA2'!$K$32,"")</f>
        <v/>
      </c>
      <c r="AA73" s="518" t="str">
        <f>IF(AND(_AC1="A-319",'2023'!$N$4="FO",'2023'!$N$2=AA43),'2023DATA2'!$L$32,"")</f>
        <v/>
      </c>
      <c r="AB73" s="518" t="str">
        <f>IF(AND(_AC1="A-319",'2023'!$N$4="FO",'2023'!$N$2=AB43),'2023DATA2'!$M$32,"")</f>
        <v/>
      </c>
      <c r="AC73" s="520" t="str">
        <f>IF(AND(_AC1="A-319",'2023'!$N$4="FO",'2023'!$N$2=AC43),'2023DATA2'!$N$32,"")</f>
        <v/>
      </c>
      <c r="AD73" s="940"/>
      <c r="AE73" s="13" t="s">
        <v>62</v>
      </c>
      <c r="AF73" s="518" t="str">
        <f>IF(AND(_AC2="A-319",'2023'!$N$4="FO",'2023'!$N$2=AF43),'2023DATA2'!$C$32,"")</f>
        <v/>
      </c>
      <c r="AG73" s="518" t="str">
        <f>IF(AND(_AC2="A-319",'2023'!$N$4="FO",'2023'!$N$2=AG43),'2023DATA2'!$D$32,"")</f>
        <v/>
      </c>
      <c r="AH73" s="518" t="str">
        <f>IF(AND(_AC2="A-319",'2023'!$N$4="FO",'2023'!$N$2=AH43),'2023DATA2'!$E$32,"")</f>
        <v/>
      </c>
      <c r="AI73" s="518" t="str">
        <f>IF(AND(_AC2="A-319",'2023'!$N$4="FO",'2023'!$N$2=AI43),'2023DATA2'!$F$32,"")</f>
        <v/>
      </c>
      <c r="AJ73" s="518" t="str">
        <f>IF(AND(_AC2="A-319",'2023'!$N$4="FO",'2023'!$N$2=AJ43),'2023DATA2'!$G$32,"")</f>
        <v/>
      </c>
      <c r="AK73" s="518" t="str">
        <f>IF(AND(_AC2="A-319",'2023'!$N$4="FO",'2023'!$N$2=AK43),'2023DATA2'!$H$32,"")</f>
        <v/>
      </c>
      <c r="AL73" s="518" t="str">
        <f>IF(AND(_AC2="A-319",'2023'!$N$4="FO",'2023'!$N$2=AL43),'2023DATA2'!$I$32,"")</f>
        <v/>
      </c>
      <c r="AM73" s="518" t="str">
        <f>IF(AND(_AC2="A-319",'2023'!$N$4="FO",'2023'!$N$2=AM43),'2023DATA2'!$J$32,"")</f>
        <v/>
      </c>
      <c r="AN73" s="518" t="str">
        <f>IF(AND(_AC2="A-319",'2023'!$N$4="FO",'2023'!$N$2=AN43),'2023DATA2'!$K$32,"")</f>
        <v/>
      </c>
      <c r="AO73" s="518" t="str">
        <f>IF(AND(_AC2="A-319",'2023'!$N$4="FO",'2023'!$N$2=AO43),'2023DATA2'!$L$32,"")</f>
        <v/>
      </c>
      <c r="AP73" s="518" t="str">
        <f>IF(AND(_AC2="A-319",'2023'!$N$4="FO",'2023'!$N$2=AP43),'2023DATA2'!$M$32,"")</f>
        <v/>
      </c>
      <c r="AQ73" s="520" t="str">
        <f>IF(AND(_AC2="A-319",'2023'!$N$4="FO",'2023'!$N$2=AQ43),'2023DATA2'!$N$32,"")</f>
        <v/>
      </c>
      <c r="AR73" s="940"/>
      <c r="AS73" s="13" t="s">
        <v>62</v>
      </c>
      <c r="AT73" s="518" t="str">
        <f>IF(AND(_AC3="A-319",'2023'!$N$4="FO",'2023'!$N$2=AT43),'2023DATA2'!$C$32,"")</f>
        <v/>
      </c>
      <c r="AU73" s="518" t="str">
        <f>IF(AND(_AC3="A-319",'2023'!$N$4="FO",'2023'!$N$2=AU43),'2023DATA2'!$D$32,"")</f>
        <v/>
      </c>
      <c r="AV73" s="518" t="str">
        <f>IF(AND(_AC3="A-319",'2023'!$N$4="FO",'2023'!$N$2=AV43),'2023DATA2'!$E$32,"")</f>
        <v/>
      </c>
      <c r="AW73" s="518" t="str">
        <f>IF(AND(_AC3="A-319",'2023'!$N$4="FO",'2023'!$N$2=AW43),'2023DATA2'!$F$32,"")</f>
        <v/>
      </c>
      <c r="AX73" s="518" t="str">
        <f>IF(AND(_AC3="A-319",'2023'!$N$4="FO",'2023'!$N$2=AX43),'2023DATA2'!$G$32,"")</f>
        <v/>
      </c>
      <c r="AY73" s="518" t="str">
        <f>IF(AND(_AC3="A-319",'2023'!$N$4="FO",'2023'!$N$2=AY43),'2023DATA2'!$H$32,"")</f>
        <v/>
      </c>
      <c r="AZ73" s="518" t="str">
        <f>IF(AND(_AC3="A-319",'2023'!$N$4="FO",'2023'!$N$2=AZ43),'2023DATA2'!$I$32,"")</f>
        <v/>
      </c>
      <c r="BA73" s="518" t="str">
        <f>IF(AND(_AC3="A-319",'2023'!$N$4="FO",'2023'!$N$2=BA43),'2023DATA2'!$J$32,"")</f>
        <v/>
      </c>
      <c r="BB73" s="518" t="str">
        <f>IF(AND(_AC3="A-319",'2023'!$N$4="FO",'2023'!$N$2=BB43),'2023DATA2'!$K$32,"")</f>
        <v/>
      </c>
      <c r="BC73" s="518" t="str">
        <f>IF(AND(_AC3="A-319",'2023'!$N$4="FO",'2023'!$N$2=BC43),'2023DATA2'!$L$32,"")</f>
        <v/>
      </c>
      <c r="BD73" s="518" t="str">
        <f>IF(AND(_AC3="A-319",'2023'!$N$4="FO",'2023'!$N$2=BD43),'2023DATA2'!$M$32,"")</f>
        <v/>
      </c>
      <c r="BE73" s="520" t="str">
        <f>IF(AND(_AC3="A-319",'2023'!$N$4="FO",'2023'!$N$2=BE43),'2023DATA2'!$N$32,"")</f>
        <v/>
      </c>
      <c r="BF73" s="940"/>
      <c r="BG73" s="13" t="s">
        <v>62</v>
      </c>
      <c r="BH73" s="518" t="str">
        <f>IF(AND(_AC4="A-319",'2023'!$N$4="FO",'2023'!$N$2=BH43),'2023DATA2'!$C$32,"")</f>
        <v/>
      </c>
      <c r="BI73" s="518" t="str">
        <f>IF(AND(_AC4="A-319",'2023'!$N$4="FO",'2023'!$N$2=BI43),'2023DATA2'!$D$32,"")</f>
        <v/>
      </c>
      <c r="BJ73" s="518" t="str">
        <f>IF(AND(_AC4="A-319",'2023'!$N$4="FO",'2023'!$N$2=BJ43),'2023DATA2'!$E$32,"")</f>
        <v/>
      </c>
      <c r="BK73" s="518" t="str">
        <f>IF(AND(_AC4="A-319",'2023'!$N$4="FO",'2023'!$N$2=BK43),'2023DATA2'!$F$32,"")</f>
        <v/>
      </c>
      <c r="BL73" s="518" t="str">
        <f>IF(AND(_AC4="A-319",'2023'!$N$4="FO",'2023'!$N$2=BL43),'2023DATA2'!$G$32,"")</f>
        <v/>
      </c>
      <c r="BM73" s="518" t="str">
        <f>IF(AND(_AC4="A-319",'2023'!$N$4="FO",'2023'!$N$2=BM43),'2023DATA2'!$H$32,"")</f>
        <v/>
      </c>
      <c r="BN73" s="518" t="str">
        <f>IF(AND(_AC4="A-319",'2023'!$N$4="FO",'2023'!$N$2=BN43),'2023DATA2'!$I$32,"")</f>
        <v/>
      </c>
      <c r="BO73" s="518" t="str">
        <f>IF(AND(_AC4="A-319",'2023'!$N$4="FO",'2023'!$N$2=BO43),'2023DATA2'!$J$32,"")</f>
        <v/>
      </c>
      <c r="BP73" s="518" t="str">
        <f>IF(AND(_AC4="A-319",'2023'!$N$4="FO",'2023'!$N$2=BP43),'2023DATA2'!$K$32,"")</f>
        <v/>
      </c>
      <c r="BQ73" s="518" t="str">
        <f>IF(AND(_AC4="A-319",'2023'!$N$4="FO",'2023'!$N$2=BQ43),'2023DATA2'!$L$32,"")</f>
        <v/>
      </c>
      <c r="BR73" s="518" t="str">
        <f>IF(AND(_AC4="A-319",'2023'!$N$4="FO",'2023'!$N$2=BR43),'2023DATA2'!$M$32,"")</f>
        <v/>
      </c>
      <c r="BS73" s="520" t="str">
        <f>IF(AND(_AC4="A-319",'2023'!$N$4="FO",'2023'!$N$2=BS43),'2023DATA2'!$N$32,"")</f>
        <v/>
      </c>
      <c r="BT73" s="940"/>
      <c r="BU73" s="13" t="s">
        <v>62</v>
      </c>
      <c r="BV73" s="518" t="str">
        <f>IF(AND(_AC5="A-319",'2023'!$N$4="FO",'2023'!$N$2=BV43),'2023DATA2'!$C$32,"")</f>
        <v/>
      </c>
      <c r="BW73" s="518" t="str">
        <f>IF(AND(_AC5="A-319",'2023'!$N$4="FO",'2023'!$N$2=BW43),'2023DATA2'!$D$32,"")</f>
        <v/>
      </c>
      <c r="BX73" s="518" t="str">
        <f>IF(AND(_AC5="A-319",'2023'!$N$4="FO",'2023'!$N$2=BX43),'2023DATA2'!$E$32,"")</f>
        <v/>
      </c>
      <c r="BY73" s="518" t="str">
        <f>IF(AND(_AC5="A-319",'2023'!$N$4="FO",'2023'!$N$2=BY43),'2023DATA2'!$F$32,"")</f>
        <v/>
      </c>
      <c r="BZ73" s="518" t="str">
        <f>IF(AND(_AC5="A-319",'2023'!$N$4="FO",'2023'!$N$2=BZ43),'2023DATA2'!$G$32,"")</f>
        <v/>
      </c>
      <c r="CA73" s="518" t="str">
        <f>IF(AND(_AC5="A-319",'2023'!$N$4="FO",'2023'!$N$2=CA43),'2023DATA2'!$H$32,"")</f>
        <v/>
      </c>
      <c r="CB73" s="518" t="str">
        <f>IF(AND(_AC5="A-319",'2023'!$N$4="FO",'2023'!$N$2=CB43),'2023DATA2'!$I$32,"")</f>
        <v/>
      </c>
      <c r="CC73" s="518" t="str">
        <f>IF(AND(_AC5="A-319",'2023'!$N$4="FO",'2023'!$N$2=CC43),'2023DATA2'!$J$32,"")</f>
        <v/>
      </c>
      <c r="CD73" s="518" t="str">
        <f>IF(AND(_AC5="A-319",'2023'!$N$4="FO",'2023'!$N$2=CD43),'2023DATA2'!$K$32,"")</f>
        <v/>
      </c>
      <c r="CE73" s="518" t="str">
        <f>IF(AND(_AC5="A-319",'2023'!$N$4="FO",'2023'!$N$2=CE43),'2023DATA2'!$L$32,"")</f>
        <v/>
      </c>
      <c r="CF73" s="518" t="str">
        <f>IF(AND(_AC5="A-319",'2023'!$N$4="FO",'2023'!$N$2=CF43),'2023DATA2'!$M$32,"")</f>
        <v/>
      </c>
      <c r="CG73" s="520" t="str">
        <f>IF(AND(_AC5="A-319",'2023'!$N$4="FO",'2023'!$N$2=CG43),'2023DATA2'!$N$32,"")</f>
        <v/>
      </c>
      <c r="CH73" s="940"/>
      <c r="CI73" s="13" t="s">
        <v>62</v>
      </c>
      <c r="CJ73" s="518" t="str">
        <f>IF(AND(_AC6="A-319",'2023'!$N$4="FO",'2023'!$N$2=CJ43),'2023DATA2'!$C$32,"")</f>
        <v/>
      </c>
      <c r="CK73" s="518" t="str">
        <f>IF(AND(_AC6="A-319",'2023'!$N$4="FO",'2023'!$N$2=CK43),'2023DATA2'!$D$32,"")</f>
        <v/>
      </c>
      <c r="CL73" s="518" t="str">
        <f>IF(AND(_AC6="A-319",'2023'!$N$4="FO",'2023'!$N$2=CL43),'2023DATA2'!$E$32,"")</f>
        <v/>
      </c>
      <c r="CM73" s="518" t="str">
        <f>IF(AND(_AC6="A-319",'2023'!$N$4="FO",'2023'!$N$2=CM43),'2023DATA2'!$F$32,"")</f>
        <v/>
      </c>
      <c r="CN73" s="518" t="str">
        <f>IF(AND(_AC6="A-319",'2023'!$N$4="FO",'2023'!$N$2=CN43),'2023DATA2'!$G$32,"")</f>
        <v/>
      </c>
      <c r="CO73" s="518" t="str">
        <f>IF(AND(_AC6="A-319",'2023'!$N$4="FO",'2023'!$N$2=CO43),'2023DATA2'!$H$32,"")</f>
        <v/>
      </c>
      <c r="CP73" s="518" t="str">
        <f>IF(AND(_AC6="A-319",'2023'!$N$4="FO",'2023'!$N$2=CP43),'2023DATA2'!$I$32,"")</f>
        <v/>
      </c>
      <c r="CQ73" s="518" t="str">
        <f>IF(AND(_AC6="A-319",'2023'!$N$4="FO",'2023'!$N$2=CQ43),'2023DATA2'!$J$32,"")</f>
        <v/>
      </c>
      <c r="CR73" s="518" t="str">
        <f>IF(AND(_AC6="A-319",'2023'!$N$4="FO",'2023'!$N$2=CR43),'2023DATA2'!$K$32,"")</f>
        <v/>
      </c>
      <c r="CS73" s="518" t="str">
        <f>IF(AND(_AC6="A-319",'2023'!$N$4="FO",'2023'!$N$2=CS43),'2023DATA2'!$L$32,"")</f>
        <v/>
      </c>
      <c r="CT73" s="518" t="str">
        <f>IF(AND(_AC6="A-319",'2023'!$N$4="FO",'2023'!$N$2=CT43),'2023DATA2'!$M$32,"")</f>
        <v/>
      </c>
      <c r="CU73" s="520" t="str">
        <f>IF(AND(_AC6="A-319",'2023'!$N$4="FO",'2023'!$N$2=CU43),'2023DATA2'!$N$32,"")</f>
        <v/>
      </c>
    </row>
    <row r="74" spans="16:99" x14ac:dyDescent="0.25">
      <c r="P74" s="940" t="s">
        <v>51</v>
      </c>
      <c r="Q74" s="13" t="s">
        <v>61</v>
      </c>
      <c r="R74" s="518" t="str">
        <f>IF(AND(_AC1="A-220-300",'2023'!$N$4="CA",'2023'!$N$2=R43),'2023DATA2'!$C$33,"")</f>
        <v/>
      </c>
      <c r="S74" s="518" t="str">
        <f>IF(AND(_AC1="A-220-300",'2023'!$N$4="CA",'2023'!$N$2=S43),'2023DATA2'!$D$33,"")</f>
        <v/>
      </c>
      <c r="T74" s="518" t="str">
        <f>IF(AND(_AC1="A-220-300",'2023'!$N$4="CA",'2023'!$N$2=T43),'2023DATA2'!$E$33,"")</f>
        <v/>
      </c>
      <c r="U74" s="518" t="str">
        <f>IF(AND(_AC1="A-220-300",'2023'!$N$4="CA",'2023'!$N$2=U43),'2023DATA2'!$F$33,"")</f>
        <v/>
      </c>
      <c r="V74" s="518" t="str">
        <f>IF(AND(_AC1="A-220-300",'2023'!$N$4="CA",'2023'!$N$2=V43),'2023DATA2'!$G$33,"")</f>
        <v/>
      </c>
      <c r="W74" s="518" t="str">
        <f>IF(AND(_AC1="A-220-300",'2023'!$N$4="CA",'2023'!$N$2=W43),'2023DATA2'!$H$33,"")</f>
        <v/>
      </c>
      <c r="X74" s="518" t="str">
        <f>IF(AND(_AC1="A-220-300",'2023'!$N$4="CA",'2023'!$N$2=X43),'2023DATA2'!$I$33,"")</f>
        <v/>
      </c>
      <c r="Y74" s="518" t="str">
        <f>IF(AND(_AC1="A-220-300",'2023'!$N$4="CA",'2023'!$N$2=Y43),'2023DATA2'!$J$33,"")</f>
        <v/>
      </c>
      <c r="Z74" s="518" t="str">
        <f>IF(AND(_AC1="A-220-300",'2023'!$N$4="CA",'2023'!$N$2=Z43),'2023DATA2'!$K$33,"")</f>
        <v/>
      </c>
      <c r="AA74" s="518" t="str">
        <f>IF(AND(_AC1="A-220-300",'2023'!$N$4="CA",'2023'!$N$2=AA43),'2023DATA2'!$L$33,"")</f>
        <v/>
      </c>
      <c r="AB74" s="518" t="str">
        <f>IF(AND(_AC1="A-220-300",'2023'!$N$4="CA",'2023'!$N$2=AB43),'2023DATA2'!$M$33,"")</f>
        <v/>
      </c>
      <c r="AC74" s="520" t="str">
        <f>IF(AND(_AC1="A-220-300",'2023'!$N$4="CA",'2023'!$N$2=AC43),'2023DATA2'!$N$33,"")</f>
        <v/>
      </c>
      <c r="AD74" s="940" t="s">
        <v>51</v>
      </c>
      <c r="AE74" s="13" t="s">
        <v>61</v>
      </c>
      <c r="AF74" s="518" t="str">
        <f>IF(AND(_AC2="A-220-300",'2023'!$N$4="CA",'2023'!$N$2=AF43),'2023DATA2'!$C$33,"")</f>
        <v/>
      </c>
      <c r="AG74" s="518" t="str">
        <f>IF(AND(_AC2="A-220-300",'2023'!$N$4="CA",'2023'!$N$2=AG43),'2023DATA2'!$D$33,"")</f>
        <v/>
      </c>
      <c r="AH74" s="518" t="str">
        <f>IF(AND(_AC2="A-220-300",'2023'!$N$4="CA",'2023'!$N$2=AH43),'2023DATA2'!$E$33,"")</f>
        <v/>
      </c>
      <c r="AI74" s="518" t="str">
        <f>IF(AND(_AC2="A-220-300",'2023'!$N$4="CA",'2023'!$N$2=AI43),'2023DATA2'!$F$33,"")</f>
        <v/>
      </c>
      <c r="AJ74" s="518" t="str">
        <f>IF(AND(_AC2="A-220-300",'2023'!$N$4="CA",'2023'!$N$2=AJ43),'2023DATA2'!$G$33,"")</f>
        <v/>
      </c>
      <c r="AK74" s="518" t="str">
        <f>IF(AND(_AC2="A-220-300",'2023'!$N$4="CA",'2023'!$N$2=AK43),'2023DATA2'!$H$33,"")</f>
        <v/>
      </c>
      <c r="AL74" s="518" t="str">
        <f>IF(AND(_AC2="A-220-300",'2023'!$N$4="CA",'2023'!$N$2=AL43),'2023DATA2'!$I$33,"")</f>
        <v/>
      </c>
      <c r="AM74" s="518" t="str">
        <f>IF(AND(_AC2="A-220-300",'2023'!$N$4="CA",'2023'!$N$2=AM43),'2023DATA2'!$J$33,"")</f>
        <v/>
      </c>
      <c r="AN74" s="518" t="str">
        <f>IF(AND(_AC2="A-220-300",'2023'!$N$4="CA",'2023'!$N$2=AN43),'2023DATA2'!$K$33,"")</f>
        <v/>
      </c>
      <c r="AO74" s="518" t="str">
        <f>IF(AND(_AC2="A-220-300",'2023'!$N$4="CA",'2023'!$N$2=AO43),'2023DATA2'!$L$33,"")</f>
        <v/>
      </c>
      <c r="AP74" s="518" t="str">
        <f>IF(AND(_AC2="A-220-300",'2023'!$N$4="CA",'2023'!$N$2=AP43),'2023DATA2'!$M$33,"")</f>
        <v/>
      </c>
      <c r="AQ74" s="520" t="str">
        <f>IF(AND(_AC2="A-220-300",'2023'!$N$4="CA",'2023'!$N$2=AQ43),'2023DATA2'!$N$33,"")</f>
        <v/>
      </c>
      <c r="AR74" s="940" t="s">
        <v>51</v>
      </c>
      <c r="AS74" s="13" t="s">
        <v>61</v>
      </c>
      <c r="AT74" s="518" t="str">
        <f>IF(AND(_AC3="A-220-300",'2023'!$N$4="CA",'2023'!$N$2=AT43),'2023DATA2'!$C$33,"")</f>
        <v/>
      </c>
      <c r="AU74" s="518" t="str">
        <f>IF(AND(_AC3="A-220-300",'2023'!$N$4="CA",'2023'!$N$2=AU43),'2023DATA2'!$D$33,"")</f>
        <v/>
      </c>
      <c r="AV74" s="518" t="str">
        <f>IF(AND(_AC3="A-220-300",'2023'!$N$4="CA",'2023'!$N$2=AV43),'2023DATA2'!$E$33,"")</f>
        <v/>
      </c>
      <c r="AW74" s="518" t="str">
        <f>IF(AND(_AC3="A-220-300",'2023'!$N$4="CA",'2023'!$N$2=AW43),'2023DATA2'!$F$33,"")</f>
        <v/>
      </c>
      <c r="AX74" s="518" t="str">
        <f>IF(AND(_AC3="A-220-300",'2023'!$N$4="CA",'2023'!$N$2=AX43),'2023DATA2'!$G$33,"")</f>
        <v/>
      </c>
      <c r="AY74" s="518" t="str">
        <f>IF(AND(_AC3="A-220-300",'2023'!$N$4="CA",'2023'!$N$2=AY43),'2023DATA2'!$H$33,"")</f>
        <v/>
      </c>
      <c r="AZ74" s="518" t="str">
        <f>IF(AND(_AC3="A-220-300",'2023'!$N$4="CA",'2023'!$N$2=AZ43),'2023DATA2'!$I$33,"")</f>
        <v/>
      </c>
      <c r="BA74" s="518" t="str">
        <f>IF(AND(_AC3="A-220-300",'2023'!$N$4="CA",'2023'!$N$2=BA43),'2023DATA2'!$J$33,"")</f>
        <v/>
      </c>
      <c r="BB74" s="518" t="str">
        <f>IF(AND(_AC3="A-220-300",'2023'!$N$4="CA",'2023'!$N$2=BB43),'2023DATA2'!$K$33,"")</f>
        <v/>
      </c>
      <c r="BC74" s="518" t="str">
        <f>IF(AND(_AC3="A-220-300",'2023'!$N$4="CA",'2023'!$N$2=BC43),'2023DATA2'!$L$33,"")</f>
        <v/>
      </c>
      <c r="BD74" s="518" t="str">
        <f>IF(AND(_AC3="A-220-300",'2023'!$N$4="CA",'2023'!$N$2=BD43),'2023DATA2'!$M$33,"")</f>
        <v/>
      </c>
      <c r="BE74" s="520" t="str">
        <f>IF(AND(_AC3="A-220-300",'2023'!$N$4="CA",'2023'!$N$2=BE43),'2023DATA2'!$N$33,"")</f>
        <v/>
      </c>
      <c r="BF74" s="940" t="s">
        <v>51</v>
      </c>
      <c r="BG74" s="13" t="s">
        <v>61</v>
      </c>
      <c r="BH74" s="518" t="str">
        <f>IF(AND(_AC4="A-220-300",'2023'!$N$4="CA",'2023'!$N$2=BH43),'2023DATA2'!$C$33,"")</f>
        <v/>
      </c>
      <c r="BI74" s="518" t="str">
        <f>IF(AND(_AC4="A-220-300",'2023'!$N$4="CA",'2023'!$N$2=BI43),'2023DATA2'!$D$33,"")</f>
        <v/>
      </c>
      <c r="BJ74" s="518" t="str">
        <f>IF(AND(_AC4="A-220-300",'2023'!$N$4="CA",'2023'!$N$2=BJ43),'2023DATA2'!$E$33,"")</f>
        <v/>
      </c>
      <c r="BK74" s="518" t="str">
        <f>IF(AND(_AC4="A-220-300",'2023'!$N$4="CA",'2023'!$N$2=BK43),'2023DATA2'!$F$33,"")</f>
        <v/>
      </c>
      <c r="BL74" s="518" t="str">
        <f>IF(AND(_AC4="A-220-300",'2023'!$N$4="CA",'2023'!$N$2=BL43),'2023DATA2'!$G$33,"")</f>
        <v/>
      </c>
      <c r="BM74" s="518" t="str">
        <f>IF(AND(_AC4="A-220-300",'2023'!$N$4="CA",'2023'!$N$2=BM43),'2023DATA2'!$H$33,"")</f>
        <v/>
      </c>
      <c r="BN74" s="518" t="str">
        <f>IF(AND(_AC4="A-220-300",'2023'!$N$4="CA",'2023'!$N$2=BN43),'2023DATA2'!$I$33,"")</f>
        <v/>
      </c>
      <c r="BO74" s="518" t="str">
        <f>IF(AND(_AC4="A-220-300",'2023'!$N$4="CA",'2023'!$N$2=BO43),'2023DATA2'!$J$33,"")</f>
        <v/>
      </c>
      <c r="BP74" s="518" t="str">
        <f>IF(AND(_AC4="A-220-300",'2023'!$N$4="CA",'2023'!$N$2=BP43),'2023DATA2'!$K$33,"")</f>
        <v/>
      </c>
      <c r="BQ74" s="518" t="str">
        <f>IF(AND(_AC4="A-220-300",'2023'!$N$4="CA",'2023'!$N$2=BQ43),'2023DATA2'!$L$33,"")</f>
        <v/>
      </c>
      <c r="BR74" s="518" t="str">
        <f>IF(AND(_AC4="A-220-300",'2023'!$N$4="CA",'2023'!$N$2=BR43),'2023DATA2'!$M$33,"")</f>
        <v/>
      </c>
      <c r="BS74" s="520" t="str">
        <f>IF(AND(_AC4="A-220-300",'2023'!$N$4="CA",'2023'!$N$2=BS43),'2023DATA2'!$N$33,"")</f>
        <v/>
      </c>
      <c r="BT74" s="940" t="s">
        <v>51</v>
      </c>
      <c r="BU74" s="13" t="s">
        <v>61</v>
      </c>
      <c r="BV74" s="518" t="str">
        <f>IF(AND(_AC5="A-220-300",'2023'!$N$4="CA",'2023'!$N$2=BV43),'2023DATA2'!$C$33,"")</f>
        <v/>
      </c>
      <c r="BW74" s="518" t="str">
        <f>IF(AND(_AC5="A-220-300",'2023'!$N$4="CA",'2023'!$N$2=BW43),'2023DATA2'!$D$33,"")</f>
        <v/>
      </c>
      <c r="BX74" s="518" t="str">
        <f>IF(AND(_AC5="A-220-300",'2023'!$N$4="CA",'2023'!$N$2=BX43),'2023DATA2'!$E$33,"")</f>
        <v/>
      </c>
      <c r="BY74" s="518" t="str">
        <f>IF(AND(_AC5="A-220-300",'2023'!$N$4="CA",'2023'!$N$2=BY43),'2023DATA2'!$F$33,"")</f>
        <v/>
      </c>
      <c r="BZ74" s="518" t="str">
        <f>IF(AND(_AC5="A-220-300",'2023'!$N$4="CA",'2023'!$N$2=BZ43),'2023DATA2'!$G$33,"")</f>
        <v/>
      </c>
      <c r="CA74" s="518" t="str">
        <f>IF(AND(_AC5="A-220-300",'2023'!$N$4="CA",'2023'!$N$2=CA43),'2023DATA2'!$H$33,"")</f>
        <v/>
      </c>
      <c r="CB74" s="518" t="str">
        <f>IF(AND(_AC5="A-220-300",'2023'!$N$4="CA",'2023'!$N$2=CB43),'2023DATA2'!$I$33,"")</f>
        <v/>
      </c>
      <c r="CC74" s="518" t="str">
        <f>IF(AND(_AC5="A-220-300",'2023'!$N$4="CA",'2023'!$N$2=CC43),'2023DATA2'!$J$33,"")</f>
        <v/>
      </c>
      <c r="CD74" s="518" t="str">
        <f>IF(AND(_AC5="A-220-300",'2023'!$N$4="CA",'2023'!$N$2=CD43),'2023DATA2'!$K$33,"")</f>
        <v/>
      </c>
      <c r="CE74" s="518" t="str">
        <f>IF(AND(_AC5="A-220-300",'2023'!$N$4="CA",'2023'!$N$2=CE43),'2023DATA2'!$L$33,"")</f>
        <v/>
      </c>
      <c r="CF74" s="518" t="str">
        <f>IF(AND(_AC5="A-220-300",'2023'!$N$4="CA",'2023'!$N$2=CF43),'2023DATA2'!$M$33,"")</f>
        <v/>
      </c>
      <c r="CG74" s="520" t="str">
        <f>IF(AND(_AC5="A-220-300",'2023'!$N$4="CA",'2023'!$N$2=CG43),'2023DATA2'!$N$33,"")</f>
        <v/>
      </c>
      <c r="CH74" s="940" t="s">
        <v>51</v>
      </c>
      <c r="CI74" s="13" t="s">
        <v>61</v>
      </c>
      <c r="CJ74" s="518" t="str">
        <f>IF(AND(_AC6="A-220-300",'2023'!$N$4="CA",'2023'!$N$2=CJ43),'2023DATA2'!$C$33,"")</f>
        <v/>
      </c>
      <c r="CK74" s="518" t="str">
        <f>IF(AND(_AC6="A-220-300",'2023'!$N$4="CA",'2023'!$N$2=CK43),'2023DATA2'!$D$33,"")</f>
        <v/>
      </c>
      <c r="CL74" s="518" t="str">
        <f>IF(AND(_AC6="A-220-300",'2023'!$N$4="CA",'2023'!$N$2=CL43),'2023DATA2'!$E$33,"")</f>
        <v/>
      </c>
      <c r="CM74" s="518" t="str">
        <f>IF(AND(_AC6="A-220-300",'2023'!$N$4="CA",'2023'!$N$2=CM43),'2023DATA2'!$F$33,"")</f>
        <v/>
      </c>
      <c r="CN74" s="518" t="str">
        <f>IF(AND(_AC6="A-220-300",'2023'!$N$4="CA",'2023'!$N$2=CN43),'2023DATA2'!$G$33,"")</f>
        <v/>
      </c>
      <c r="CO74" s="518" t="str">
        <f>IF(AND(_AC6="A-220-300",'2023'!$N$4="CA",'2023'!$N$2=CO43),'2023DATA2'!$H$33,"")</f>
        <v/>
      </c>
      <c r="CP74" s="518" t="str">
        <f>IF(AND(_AC6="A-220-300",'2023'!$N$4="CA",'2023'!$N$2=CP43),'2023DATA2'!$I$33,"")</f>
        <v/>
      </c>
      <c r="CQ74" s="518" t="str">
        <f>IF(AND(_AC6="A-220-300",'2023'!$N$4="CA",'2023'!$N$2=CQ43),'2023DATA2'!$J$33,"")</f>
        <v/>
      </c>
      <c r="CR74" s="518" t="str">
        <f>IF(AND(_AC6="A-220-300",'2023'!$N$4="CA",'2023'!$N$2=CR43),'2023DATA2'!$K$33,"")</f>
        <v/>
      </c>
      <c r="CS74" s="518" t="str">
        <f>IF(AND(_AC6="A-220-300",'2023'!$N$4="CA",'2023'!$N$2=CS43),'2023DATA2'!$L$33,"")</f>
        <v/>
      </c>
      <c r="CT74" s="518" t="str">
        <f>IF(AND(_AC6="A-220-300",'2023'!$N$4="CA",'2023'!$N$2=CT43),'2023DATA2'!$M$33,"")</f>
        <v/>
      </c>
      <c r="CU74" s="520" t="str">
        <f>IF(AND(_AC6="A-220-300",'2023'!$N$4="CA",'2023'!$N$2=CU43),'2023DATA2'!$N$33,"")</f>
        <v/>
      </c>
    </row>
    <row r="75" spans="16:99" x14ac:dyDescent="0.25">
      <c r="P75" s="940"/>
      <c r="Q75" s="13" t="s">
        <v>62</v>
      </c>
      <c r="R75" s="518" t="str">
        <f>IF(AND(_AC1="A-220-300",'2023'!$N$4="FO",'2023'!$N$2=R43),'2023DATA2'!$C$34,"")</f>
        <v/>
      </c>
      <c r="S75" s="518" t="str">
        <f>IF(AND(_AC1="A-220-300",'2023'!$N$4="FO",'2023'!$N$2=S43),'2023DATA2'!$D$34,"")</f>
        <v/>
      </c>
      <c r="T75" s="518" t="str">
        <f>IF(AND(_AC1="A-220-300",'2023'!$N$4="FO",'2023'!$N$2=T43),'2023DATA2'!$E$34,"")</f>
        <v/>
      </c>
      <c r="U75" s="518" t="str">
        <f>IF(AND(_AC1="A-220-300",'2023'!$N$4="FO",'2023'!$N$2=U43),'2023DATA2'!$F$34,"")</f>
        <v/>
      </c>
      <c r="V75" s="518" t="str">
        <f>IF(AND(_AC1="A-220-300",'2023'!$N$4="FO",'2023'!$N$2=V43),'2023DATA2'!$G$34,"")</f>
        <v/>
      </c>
      <c r="W75" s="518" t="str">
        <f>IF(AND(_AC1="A-220-300",'2023'!$N$4="FO",'2023'!$N$2=W43),'2023DATA2'!$H$34,"")</f>
        <v/>
      </c>
      <c r="X75" s="518" t="str">
        <f>IF(AND(_AC1="A-220-300",'2023'!$N$4="FO",'2023'!$N$2=X43),'2023DATA2'!$I$34,"")</f>
        <v/>
      </c>
      <c r="Y75" s="518" t="str">
        <f>IF(AND(_AC1="A-220-300",'2023'!$N$4="FO",'2023'!$N$2=Y43),'2023DATA2'!$J$34,"")</f>
        <v/>
      </c>
      <c r="Z75" s="518" t="str">
        <f>IF(AND(_AC1="A-220-300",'2023'!$N$4="FO",'2023'!$N$2=Z43),'2023DATA2'!$K$34,"")</f>
        <v/>
      </c>
      <c r="AA75" s="518" t="str">
        <f>IF(AND(_AC1="A-220-300",'2023'!$N$4="FO",'2023'!$N$2=AA43),'2023DATA2'!$L$34,"")</f>
        <v/>
      </c>
      <c r="AB75" s="518" t="str">
        <f>IF(AND(_AC1="A-220-300",'2023'!$N$4="FO",'2023'!$N$2=AB43),'2023DATA2'!$M$34,"")</f>
        <v/>
      </c>
      <c r="AC75" s="520" t="str">
        <f>IF(AND(_AC1="A-220-300",'2023'!$N$4="FO",'2023'!$N$2=AC43),'2023DATA2'!$N$34,"")</f>
        <v/>
      </c>
      <c r="AD75" s="940"/>
      <c r="AE75" s="13" t="s">
        <v>62</v>
      </c>
      <c r="AF75" s="518" t="str">
        <f>IF(AND(_AC2="A-220-300",'2023'!$N$4="FO",'2023'!$N$2=AF43),'2023DATA2'!$C$34,"")</f>
        <v/>
      </c>
      <c r="AG75" s="518" t="str">
        <f>IF(AND(_AC2="A-220-300",'2023'!$N$4="FO",'2023'!$N$2=AG43),'2023DATA2'!$D$34,"")</f>
        <v/>
      </c>
      <c r="AH75" s="518" t="str">
        <f>IF(AND(_AC2="A-220-300",'2023'!$N$4="FO",'2023'!$N$2=AH43),'2023DATA2'!$E$34,"")</f>
        <v/>
      </c>
      <c r="AI75" s="518" t="str">
        <f>IF(AND(_AC2="A-220-300",'2023'!$N$4="FO",'2023'!$N$2=AI43),'2023DATA2'!$F$34,"")</f>
        <v/>
      </c>
      <c r="AJ75" s="518" t="str">
        <f>IF(AND(_AC2="A-220-300",'2023'!$N$4="FO",'2023'!$N$2=AJ43),'2023DATA2'!$G$34,"")</f>
        <v/>
      </c>
      <c r="AK75" s="518" t="str">
        <f>IF(AND(_AC2="A-220-300",'2023'!$N$4="FO",'2023'!$N$2=AK43),'2023DATA2'!$H$34,"")</f>
        <v/>
      </c>
      <c r="AL75" s="518" t="str">
        <f>IF(AND(_AC2="A-220-300",'2023'!$N$4="FO",'2023'!$N$2=AL43),'2023DATA2'!$I$34,"")</f>
        <v/>
      </c>
      <c r="AM75" s="518" t="str">
        <f>IF(AND(_AC2="A-220-300",'2023'!$N$4="FO",'2023'!$N$2=AM43),'2023DATA2'!$J$34,"")</f>
        <v/>
      </c>
      <c r="AN75" s="518" t="str">
        <f>IF(AND(_AC2="A-220-300",'2023'!$N$4="FO",'2023'!$N$2=AN43),'2023DATA2'!$K$34,"")</f>
        <v/>
      </c>
      <c r="AO75" s="518" t="str">
        <f>IF(AND(_AC2="A-220-300",'2023'!$N$4="FO",'2023'!$N$2=AO43),'2023DATA2'!$L$34,"")</f>
        <v/>
      </c>
      <c r="AP75" s="518" t="str">
        <f>IF(AND(_AC2="A-220-300",'2023'!$N$4="FO",'2023'!$N$2=AP43),'2023DATA2'!$M$34,"")</f>
        <v/>
      </c>
      <c r="AQ75" s="520" t="str">
        <f>IF(AND(_AC2="A-220-300",'2023'!$N$4="FO",'2023'!$N$2=AQ43),'2023DATA2'!$N$34,"")</f>
        <v/>
      </c>
      <c r="AR75" s="940"/>
      <c r="AS75" s="13" t="s">
        <v>62</v>
      </c>
      <c r="AT75" s="518" t="str">
        <f>IF(AND(_AC3="A-220-300",'2023'!$N$4="FO",'2023'!$N$2=AT43),'2023DATA2'!$C$34,"")</f>
        <v/>
      </c>
      <c r="AU75" s="518" t="str">
        <f>IF(AND(_AC3="A-220-300",'2023'!$N$4="FO",'2023'!$N$2=AU43),'2023DATA2'!$D$34,"")</f>
        <v/>
      </c>
      <c r="AV75" s="518" t="str">
        <f>IF(AND(_AC3="A-220-300",'2023'!$N$4="FO",'2023'!$N$2=AV43),'2023DATA2'!$E$34,"")</f>
        <v/>
      </c>
      <c r="AW75" s="518" t="str">
        <f>IF(AND(_AC3="A-220-300",'2023'!$N$4="FO",'2023'!$N$2=AW43),'2023DATA2'!$F$34,"")</f>
        <v/>
      </c>
      <c r="AX75" s="518" t="str">
        <f>IF(AND(_AC3="A-220-300",'2023'!$N$4="FO",'2023'!$N$2=AX43),'2023DATA2'!$G$34,"")</f>
        <v/>
      </c>
      <c r="AY75" s="518" t="str">
        <f>IF(AND(_AC3="A-220-300",'2023'!$N$4="FO",'2023'!$N$2=AY43),'2023DATA2'!$H$34,"")</f>
        <v/>
      </c>
      <c r="AZ75" s="518" t="str">
        <f>IF(AND(_AC3="A-220-300",'2023'!$N$4="FO",'2023'!$N$2=AZ43),'2023DATA2'!$I$34,"")</f>
        <v/>
      </c>
      <c r="BA75" s="518" t="str">
        <f>IF(AND(_AC3="A-220-300",'2023'!$N$4="FO",'2023'!$N$2=BA43),'2023DATA2'!$J$34,"")</f>
        <v/>
      </c>
      <c r="BB75" s="518" t="str">
        <f>IF(AND(_AC3="A-220-300",'2023'!$N$4="FO",'2023'!$N$2=BB43),'2023DATA2'!$K$34,"")</f>
        <v/>
      </c>
      <c r="BC75" s="518" t="str">
        <f>IF(AND(_AC3="A-220-300",'2023'!$N$4="FO",'2023'!$N$2=BC43),'2023DATA2'!$L$34,"")</f>
        <v/>
      </c>
      <c r="BD75" s="518" t="str">
        <f>IF(AND(_AC3="A-220-300",'2023'!$N$4="FO",'2023'!$N$2=BD43),'2023DATA2'!$M$34,"")</f>
        <v/>
      </c>
      <c r="BE75" s="520" t="str">
        <f>IF(AND(_AC3="A-220-300",'2023'!$N$4="FO",'2023'!$N$2=BE43),'2023DATA2'!$N$34,"")</f>
        <v/>
      </c>
      <c r="BF75" s="940"/>
      <c r="BG75" s="13" t="s">
        <v>62</v>
      </c>
      <c r="BH75" s="518" t="str">
        <f>IF(AND(_AC4="A-220-300",'2023'!$N$4="FO",'2023'!$N$2=BH43),'2023DATA2'!$C$34,"")</f>
        <v/>
      </c>
      <c r="BI75" s="518" t="str">
        <f>IF(AND(_AC4="A-220-300",'2023'!$N$4="FO",'2023'!$N$2=BI43),'2023DATA2'!$D$34,"")</f>
        <v/>
      </c>
      <c r="BJ75" s="518" t="str">
        <f>IF(AND(_AC4="A-220-300",'2023'!$N$4="FO",'2023'!$N$2=BJ43),'2023DATA2'!$E$34,"")</f>
        <v/>
      </c>
      <c r="BK75" s="518" t="str">
        <f>IF(AND(_AC4="A-220-300",'2023'!$N$4="FO",'2023'!$N$2=BK43),'2023DATA2'!$F$34,"")</f>
        <v/>
      </c>
      <c r="BL75" s="518" t="str">
        <f>IF(AND(_AC4="A-220-300",'2023'!$N$4="FO",'2023'!$N$2=BL43),'2023DATA2'!$G$34,"")</f>
        <v/>
      </c>
      <c r="BM75" s="518" t="str">
        <f>IF(AND(_AC4="A-220-300",'2023'!$N$4="FO",'2023'!$N$2=BM43),'2023DATA2'!$H$34,"")</f>
        <v/>
      </c>
      <c r="BN75" s="518" t="str">
        <f>IF(AND(_AC4="A-220-300",'2023'!$N$4="FO",'2023'!$N$2=BN43),'2023DATA2'!$I$34,"")</f>
        <v/>
      </c>
      <c r="BO75" s="518" t="str">
        <f>IF(AND(_AC4="A-220-300",'2023'!$N$4="FO",'2023'!$N$2=BO43),'2023DATA2'!$J$34,"")</f>
        <v/>
      </c>
      <c r="BP75" s="518" t="str">
        <f>IF(AND(_AC4="A-220-300",'2023'!$N$4="FO",'2023'!$N$2=BP43),'2023DATA2'!$K$34,"")</f>
        <v/>
      </c>
      <c r="BQ75" s="518" t="str">
        <f>IF(AND(_AC4="A-220-300",'2023'!$N$4="FO",'2023'!$N$2=BQ43),'2023DATA2'!$L$34,"")</f>
        <v/>
      </c>
      <c r="BR75" s="518" t="str">
        <f>IF(AND(_AC4="A-220-300",'2023'!$N$4="FO",'2023'!$N$2=BR43),'2023DATA2'!$M$34,"")</f>
        <v/>
      </c>
      <c r="BS75" s="520" t="str">
        <f>IF(AND(_AC4="A-220-300",'2023'!$N$4="FO",'2023'!$N$2=BS43),'2023DATA2'!$N$34,"")</f>
        <v/>
      </c>
      <c r="BT75" s="940"/>
      <c r="BU75" s="13" t="s">
        <v>62</v>
      </c>
      <c r="BV75" s="518" t="str">
        <f>IF(AND(_AC5="A-220-300",'2023'!$N$4="FO",'2023'!$N$2=BV43),'2023DATA2'!$C$34,"")</f>
        <v/>
      </c>
      <c r="BW75" s="518" t="str">
        <f>IF(AND(_AC5="A-220-300",'2023'!$N$4="FO",'2023'!$N$2=BW43),'2023DATA2'!$D$34,"")</f>
        <v/>
      </c>
      <c r="BX75" s="518" t="str">
        <f>IF(AND(_AC5="A-220-300",'2023'!$N$4="FO",'2023'!$N$2=BX43),'2023DATA2'!$E$34,"")</f>
        <v/>
      </c>
      <c r="BY75" s="518" t="str">
        <f>IF(AND(_AC5="A-220-300",'2023'!$N$4="FO",'2023'!$N$2=BY43),'2023DATA2'!$F$34,"")</f>
        <v/>
      </c>
      <c r="BZ75" s="518" t="str">
        <f>IF(AND(_AC5="A-220-300",'2023'!$N$4="FO",'2023'!$N$2=BZ43),'2023DATA2'!$G$34,"")</f>
        <v/>
      </c>
      <c r="CA75" s="518" t="str">
        <f>IF(AND(_AC5="A-220-300",'2023'!$N$4="FO",'2023'!$N$2=CA43),'2023DATA2'!$H$34,"")</f>
        <v/>
      </c>
      <c r="CB75" s="518" t="str">
        <f>IF(AND(_AC5="A-220-300",'2023'!$N$4="FO",'2023'!$N$2=CB43),'2023DATA2'!$I$34,"")</f>
        <v/>
      </c>
      <c r="CC75" s="518" t="str">
        <f>IF(AND(_AC5="A-220-300",'2023'!$N$4="FO",'2023'!$N$2=CC43),'2023DATA2'!$J$34,"")</f>
        <v/>
      </c>
      <c r="CD75" s="518" t="str">
        <f>IF(AND(_AC5="A-220-300",'2023'!$N$4="FO",'2023'!$N$2=CD43),'2023DATA2'!$K$34,"")</f>
        <v/>
      </c>
      <c r="CE75" s="518" t="str">
        <f>IF(AND(_AC5="A-220-300",'2023'!$N$4="FO",'2023'!$N$2=CE43),'2023DATA2'!$L$34,"")</f>
        <v/>
      </c>
      <c r="CF75" s="518" t="str">
        <f>IF(AND(_AC5="A-220-300",'2023'!$N$4="FO",'2023'!$N$2=CF43),'2023DATA2'!$M$34,"")</f>
        <v/>
      </c>
      <c r="CG75" s="520" t="str">
        <f>IF(AND(_AC5="A-220-300",'2023'!$N$4="FO",'2023'!$N$2=CG43),'2023DATA2'!$N$34,"")</f>
        <v/>
      </c>
      <c r="CH75" s="940"/>
      <c r="CI75" s="13" t="s">
        <v>62</v>
      </c>
      <c r="CJ75" s="518" t="str">
        <f>IF(AND(_AC6="A-220-300",'2023'!$N$4="FO",'2023'!$N$2=CJ43),'2023DATA2'!$C$34,"")</f>
        <v/>
      </c>
      <c r="CK75" s="518" t="str">
        <f>IF(AND(_AC6="A-220-300",'2023'!$N$4="FO",'2023'!$N$2=CK43),'2023DATA2'!$D$34,"")</f>
        <v/>
      </c>
      <c r="CL75" s="518" t="str">
        <f>IF(AND(_AC6="A-220-300",'2023'!$N$4="FO",'2023'!$N$2=CL43),'2023DATA2'!$E$34,"")</f>
        <v/>
      </c>
      <c r="CM75" s="518" t="str">
        <f>IF(AND(_AC6="A-220-300",'2023'!$N$4="FO",'2023'!$N$2=CM43),'2023DATA2'!$F$34,"")</f>
        <v/>
      </c>
      <c r="CN75" s="518" t="str">
        <f>IF(AND(_AC6="A-220-300",'2023'!$N$4="FO",'2023'!$N$2=CN43),'2023DATA2'!$G$34,"")</f>
        <v/>
      </c>
      <c r="CO75" s="518" t="str">
        <f>IF(AND(_AC6="A-220-300",'2023'!$N$4="FO",'2023'!$N$2=CO43),'2023DATA2'!$H$34,"")</f>
        <v/>
      </c>
      <c r="CP75" s="518" t="str">
        <f>IF(AND(_AC6="A-220-300",'2023'!$N$4="FO",'2023'!$N$2=CP43),'2023DATA2'!$I$34,"")</f>
        <v/>
      </c>
      <c r="CQ75" s="518" t="str">
        <f>IF(AND(_AC6="A-220-300",'2023'!$N$4="FO",'2023'!$N$2=CQ43),'2023DATA2'!$J$34,"")</f>
        <v/>
      </c>
      <c r="CR75" s="518" t="str">
        <f>IF(AND(_AC6="A-220-300",'2023'!$N$4="FO",'2023'!$N$2=CR43),'2023DATA2'!$K$34,"")</f>
        <v/>
      </c>
      <c r="CS75" s="518" t="str">
        <f>IF(AND(_AC6="A-220-300",'2023'!$N$4="FO",'2023'!$N$2=CS43),'2023DATA2'!$L$34,"")</f>
        <v/>
      </c>
      <c r="CT75" s="518" t="str">
        <f>IF(AND(_AC6="A-220-300",'2023'!$N$4="FO",'2023'!$N$2=CT43),'2023DATA2'!$M$34,"")</f>
        <v/>
      </c>
      <c r="CU75" s="520" t="str">
        <f>IF(AND(_AC6="A-220-300",'2023'!$N$4="FO",'2023'!$N$2=CU43),'2023DATA2'!$N$34,"")</f>
        <v/>
      </c>
    </row>
    <row r="76" spans="16:99" x14ac:dyDescent="0.25">
      <c r="P76" s="940" t="s">
        <v>52</v>
      </c>
      <c r="Q76" s="13" t="s">
        <v>61</v>
      </c>
      <c r="R76" s="518" t="str">
        <f>IF(AND(_AC1="A-220-100",'2023'!$N$4="CA",'2023'!$N$2=R43),'2023DATA2'!$C$35,"")</f>
        <v/>
      </c>
      <c r="S76" s="518" t="str">
        <f>IF(AND(_AC1="A-220-100",'2023'!$N$4="CA",'2023'!$N$2=S43),'2023DATA2'!$D$35,"")</f>
        <v/>
      </c>
      <c r="T76" s="518" t="str">
        <f>IF(AND(_AC1="A-220-100",'2023'!$N$4="CA",'2023'!$N$2=T43),'2023DATA2'!$E$35,"")</f>
        <v/>
      </c>
      <c r="U76" s="518" t="str">
        <f>IF(AND(_AC1="A-220-100",'2023'!$N$4="CA",'2023'!$N$2=U43),'2023DATA2'!$F$35,"")</f>
        <v/>
      </c>
      <c r="V76" s="518" t="str">
        <f>IF(AND(_AC1="A-220-100",'2023'!$N$4="CA",'2023'!$N$2=V43),'2023DATA2'!$G$35,"")</f>
        <v/>
      </c>
      <c r="W76" s="518" t="str">
        <f>IF(AND(_AC1="A-220-100",'2023'!$N$4="CA",'2023'!$N$2=W43),'2023DATA2'!$H$35,"")</f>
        <v/>
      </c>
      <c r="X76" s="518" t="str">
        <f>IF(AND(_AC1="A-220-100",'2023'!$N$4="CA",'2023'!$N$2=X43),'2023DATA2'!$I$35,"")</f>
        <v/>
      </c>
      <c r="Y76" s="518" t="str">
        <f>IF(AND(_AC1="A-220-100",'2023'!$N$4="CA",'2023'!$N$2=Y43),'2023DATA2'!$J$35,"")</f>
        <v/>
      </c>
      <c r="Z76" s="518" t="str">
        <f>IF(AND(_AC1="A-220-100",'2023'!$N$4="CA",'2023'!$N$2=Z43),'2023DATA2'!$K$35,"")</f>
        <v/>
      </c>
      <c r="AA76" s="518" t="str">
        <f>IF(AND(_AC1="A-220-100",'2023'!$N$4="CA",'2023'!$N$2=AA43),'2023DATA2'!$L$35,"")</f>
        <v/>
      </c>
      <c r="AB76" s="518" t="str">
        <f>IF(AND(_AC1="A-220-100",'2023'!$N$4="CA",'2023'!$N$2=AB43),'2023DATA2'!$M$35,"")</f>
        <v/>
      </c>
      <c r="AC76" s="520" t="str">
        <f>IF(AND(_AC1="A-220-100",'2023'!$N$4="CA",'2023'!$N$2=AC43),'2023DATA2'!$N$35,"")</f>
        <v/>
      </c>
      <c r="AD76" s="940" t="s">
        <v>52</v>
      </c>
      <c r="AE76" s="13" t="s">
        <v>61</v>
      </c>
      <c r="AF76" s="518" t="str">
        <f>IF(AND(_AC2="A-220-100",'2023'!$N$4="CA",'2023'!$N$2=AF43),'2023DATA2'!$C$35,"")</f>
        <v/>
      </c>
      <c r="AG76" s="518" t="str">
        <f>IF(AND(_AC2="A-220-100",'2023'!$N$4="CA",'2023'!$N$2=AG43),'2023DATA2'!$D$35,"")</f>
        <v/>
      </c>
      <c r="AH76" s="518" t="str">
        <f>IF(AND(_AC2="A-220-100",'2023'!$N$4="CA",'2023'!$N$2=AH43),'2023DATA2'!$E$35,"")</f>
        <v/>
      </c>
      <c r="AI76" s="518" t="str">
        <f>IF(AND(_AC2="A-220-100",'2023'!$N$4="CA",'2023'!$N$2=AI43),'2023DATA2'!$F$35,"")</f>
        <v/>
      </c>
      <c r="AJ76" s="518" t="str">
        <f>IF(AND(_AC2="A-220-100",'2023'!$N$4="CA",'2023'!$N$2=AJ43),'2023DATA2'!$G$35,"")</f>
        <v/>
      </c>
      <c r="AK76" s="518" t="str">
        <f>IF(AND(_AC2="A-220-100",'2023'!$N$4="CA",'2023'!$N$2=AK43),'2023DATA2'!$H$35,"")</f>
        <v/>
      </c>
      <c r="AL76" s="518" t="str">
        <f>IF(AND(_AC2="A-220-100",'2023'!$N$4="CA",'2023'!$N$2=AL43),'2023DATA2'!$I$35,"")</f>
        <v/>
      </c>
      <c r="AM76" s="518" t="str">
        <f>IF(AND(_AC2="A-220-100",'2023'!$N$4="CA",'2023'!$N$2=AM43),'2023DATA2'!$J$35,"")</f>
        <v/>
      </c>
      <c r="AN76" s="518" t="str">
        <f>IF(AND(_AC2="A-220-100",'2023'!$N$4="CA",'2023'!$N$2=AN43),'2023DATA2'!$K$35,"")</f>
        <v/>
      </c>
      <c r="AO76" s="518" t="str">
        <f>IF(AND(_AC2="A-220-100",'2023'!$N$4="CA",'2023'!$N$2=AO43),'2023DATA2'!$L$35,"")</f>
        <v/>
      </c>
      <c r="AP76" s="518" t="str">
        <f>IF(AND(_AC2="A-220-100",'2023'!$N$4="CA",'2023'!$N$2=AP43),'2023DATA2'!$M$35,"")</f>
        <v/>
      </c>
      <c r="AQ76" s="520" t="str">
        <f>IF(AND(_AC2="A-220-100",'2023'!$N$4="CA",'2023'!$N$2=AQ43),'2023DATA2'!$N$35,"")</f>
        <v/>
      </c>
      <c r="AR76" s="940" t="s">
        <v>52</v>
      </c>
      <c r="AS76" s="13" t="s">
        <v>61</v>
      </c>
      <c r="AT76" s="518" t="str">
        <f>IF(AND(_AC3="A-220-100",'2023'!$N$4="CA",'2023'!$N$2=AT43),'2023DATA2'!$C$35,"")</f>
        <v/>
      </c>
      <c r="AU76" s="518" t="str">
        <f>IF(AND(_AC3="A-220-100",'2023'!$N$4="CA",'2023'!$N$2=AU43),'2023DATA2'!$D$35,"")</f>
        <v/>
      </c>
      <c r="AV76" s="518" t="str">
        <f>IF(AND(_AC3="A-220-100",'2023'!$N$4="CA",'2023'!$N$2=AV43),'2023DATA2'!$E$35,"")</f>
        <v/>
      </c>
      <c r="AW76" s="518" t="str">
        <f>IF(AND(_AC3="A-220-100",'2023'!$N$4="CA",'2023'!$N$2=AW43),'2023DATA2'!$F$35,"")</f>
        <v/>
      </c>
      <c r="AX76" s="518" t="str">
        <f>IF(AND(_AC3="A-220-100",'2023'!$N$4="CA",'2023'!$N$2=AX43),'2023DATA2'!$G$35,"")</f>
        <v/>
      </c>
      <c r="AY76" s="518" t="str">
        <f>IF(AND(_AC3="A-220-100",'2023'!$N$4="CA",'2023'!$N$2=AY43),'2023DATA2'!$H$35,"")</f>
        <v/>
      </c>
      <c r="AZ76" s="518" t="str">
        <f>IF(AND(_AC3="A-220-100",'2023'!$N$4="CA",'2023'!$N$2=AZ43),'2023DATA2'!$I$35,"")</f>
        <v/>
      </c>
      <c r="BA76" s="518" t="str">
        <f>IF(AND(_AC3="A-220-100",'2023'!$N$4="CA",'2023'!$N$2=BA43),'2023DATA2'!$J$35,"")</f>
        <v/>
      </c>
      <c r="BB76" s="518" t="str">
        <f>IF(AND(_AC3="A-220-100",'2023'!$N$4="CA",'2023'!$N$2=BB43),'2023DATA2'!$K$35,"")</f>
        <v/>
      </c>
      <c r="BC76" s="518" t="str">
        <f>IF(AND(_AC3="A-220-100",'2023'!$N$4="CA",'2023'!$N$2=BC43),'2023DATA2'!$L$35,"")</f>
        <v/>
      </c>
      <c r="BD76" s="518" t="str">
        <f>IF(AND(_AC3="A-220-100",'2023'!$N$4="CA",'2023'!$N$2=BD43),'2023DATA2'!$M$35,"")</f>
        <v/>
      </c>
      <c r="BE76" s="520" t="str">
        <f>IF(AND(_AC3="A-220-100",'2023'!$N$4="CA",'2023'!$N$2=BE43),'2023DATA2'!$N$35,"")</f>
        <v/>
      </c>
      <c r="BF76" s="940" t="s">
        <v>52</v>
      </c>
      <c r="BG76" s="13" t="s">
        <v>61</v>
      </c>
      <c r="BH76" s="518" t="str">
        <f>IF(AND(_AC4="A-220-100",'2023'!$N$4="CA",'2023'!$N$2=BH43),'2023DATA2'!$C$35,"")</f>
        <v/>
      </c>
      <c r="BI76" s="518" t="str">
        <f>IF(AND(_AC4="A-220-100",'2023'!$N$4="CA",'2023'!$N$2=BI43),'2023DATA2'!$D$35,"")</f>
        <v/>
      </c>
      <c r="BJ76" s="518" t="str">
        <f>IF(AND(_AC4="A-220-100",'2023'!$N$4="CA",'2023'!$N$2=BJ43),'2023DATA2'!$E$35,"")</f>
        <v/>
      </c>
      <c r="BK76" s="518" t="str">
        <f>IF(AND(_AC4="A-220-100",'2023'!$N$4="CA",'2023'!$N$2=BK43),'2023DATA2'!$F$35,"")</f>
        <v/>
      </c>
      <c r="BL76" s="518" t="str">
        <f>IF(AND(_AC4="A-220-100",'2023'!$N$4="CA",'2023'!$N$2=BL43),'2023DATA2'!$G$35,"")</f>
        <v/>
      </c>
      <c r="BM76" s="518" t="str">
        <f>IF(AND(_AC4="A-220-100",'2023'!$N$4="CA",'2023'!$N$2=BM43),'2023DATA2'!$H$35,"")</f>
        <v/>
      </c>
      <c r="BN76" s="518" t="str">
        <f>IF(AND(_AC4="A-220-100",'2023'!$N$4="CA",'2023'!$N$2=BN43),'2023DATA2'!$I$35,"")</f>
        <v/>
      </c>
      <c r="BO76" s="518" t="str">
        <f>IF(AND(_AC4="A-220-100",'2023'!$N$4="CA",'2023'!$N$2=BO43),'2023DATA2'!$J$35,"")</f>
        <v/>
      </c>
      <c r="BP76" s="518" t="str">
        <f>IF(AND(_AC4="A-220-100",'2023'!$N$4="CA",'2023'!$N$2=BP43),'2023DATA2'!$K$35,"")</f>
        <v/>
      </c>
      <c r="BQ76" s="518" t="str">
        <f>IF(AND(_AC4="A-220-100",'2023'!$N$4="CA",'2023'!$N$2=BQ43),'2023DATA2'!$L$35,"")</f>
        <v/>
      </c>
      <c r="BR76" s="518" t="str">
        <f>IF(AND(_AC4="A-220-100",'2023'!$N$4="CA",'2023'!$N$2=BR43),'2023DATA2'!$M$35,"")</f>
        <v/>
      </c>
      <c r="BS76" s="520" t="str">
        <f>IF(AND(_AC4="A-220-100",'2023'!$N$4="CA",'2023'!$N$2=BS43),'2023DATA2'!$N$35,"")</f>
        <v/>
      </c>
      <c r="BT76" s="940" t="s">
        <v>52</v>
      </c>
      <c r="BU76" s="13" t="s">
        <v>61</v>
      </c>
      <c r="BV76" s="518" t="str">
        <f>IF(AND(_AC5="A-220-100",'2023'!$N$4="CA",'2023'!$N$2=BV43),'2023DATA2'!$C$35,"")</f>
        <v/>
      </c>
      <c r="BW76" s="518" t="str">
        <f>IF(AND(_AC5="A-220-100",'2023'!$N$4="CA",'2023'!$N$2=BW43),'2023DATA2'!$D$35,"")</f>
        <v/>
      </c>
      <c r="BX76" s="518" t="str">
        <f>IF(AND(_AC5="A-220-100",'2023'!$N$4="CA",'2023'!$N$2=BX43),'2023DATA2'!$E$35,"")</f>
        <v/>
      </c>
      <c r="BY76" s="518" t="str">
        <f>IF(AND(_AC5="A-220-100",'2023'!$N$4="CA",'2023'!$N$2=BY43),'2023DATA2'!$F$35,"")</f>
        <v/>
      </c>
      <c r="BZ76" s="518" t="str">
        <f>IF(AND(_AC5="A-220-100",'2023'!$N$4="CA",'2023'!$N$2=BZ43),'2023DATA2'!$G$35,"")</f>
        <v/>
      </c>
      <c r="CA76" s="518" t="str">
        <f>IF(AND(_AC5="A-220-100",'2023'!$N$4="CA",'2023'!$N$2=CA43),'2023DATA2'!$H$35,"")</f>
        <v/>
      </c>
      <c r="CB76" s="518" t="str">
        <f>IF(AND(_AC5="A-220-100",'2023'!$N$4="CA",'2023'!$N$2=CB43),'2023DATA2'!$I$35,"")</f>
        <v/>
      </c>
      <c r="CC76" s="518" t="str">
        <f>IF(AND(_AC5="A-220-100",'2023'!$N$4="CA",'2023'!$N$2=CC43),'2023DATA2'!$J$35,"")</f>
        <v/>
      </c>
      <c r="CD76" s="518" t="str">
        <f>IF(AND(_AC5="A-220-100",'2023'!$N$4="CA",'2023'!$N$2=CD43),'2023DATA2'!$K$35,"")</f>
        <v/>
      </c>
      <c r="CE76" s="518" t="str">
        <f>IF(AND(_AC5="A-220-100",'2023'!$N$4="CA",'2023'!$N$2=CE43),'2023DATA2'!$L$35,"")</f>
        <v/>
      </c>
      <c r="CF76" s="518" t="str">
        <f>IF(AND(_AC5="A-220-100",'2023'!$N$4="CA",'2023'!$N$2=CF43),'2023DATA2'!$M$35,"")</f>
        <v/>
      </c>
      <c r="CG76" s="520" t="str">
        <f>IF(AND(_AC5="A-220-100",'2023'!$N$4="CA",'2023'!$N$2=CG43),'2023DATA2'!$N$35,"")</f>
        <v/>
      </c>
      <c r="CH76" s="940" t="s">
        <v>52</v>
      </c>
      <c r="CI76" s="13" t="s">
        <v>61</v>
      </c>
      <c r="CJ76" s="518" t="str">
        <f>IF(AND(_AC6="A-220-100",'2023'!$N$4="CA",'2023'!$N$2=CJ43),'2023DATA2'!$C$35,"")</f>
        <v/>
      </c>
      <c r="CK76" s="518" t="str">
        <f>IF(AND(_AC6="A-220-100",'2023'!$N$4="CA",'2023'!$N$2=CK43),'2023DATA2'!$D$35,"")</f>
        <v/>
      </c>
      <c r="CL76" s="518" t="str">
        <f>IF(AND(_AC6="A-220-100",'2023'!$N$4="CA",'2023'!$N$2=CL43),'2023DATA2'!$E$35,"")</f>
        <v/>
      </c>
      <c r="CM76" s="518" t="str">
        <f>IF(AND(_AC6="A-220-100",'2023'!$N$4="CA",'2023'!$N$2=CM43),'2023DATA2'!$F$35,"")</f>
        <v/>
      </c>
      <c r="CN76" s="518" t="str">
        <f>IF(AND(_AC6="A-220-100",'2023'!$N$4="CA",'2023'!$N$2=CN43),'2023DATA2'!$G$35,"")</f>
        <v/>
      </c>
      <c r="CO76" s="518" t="str">
        <f>IF(AND(_AC6="A-220-100",'2023'!$N$4="CA",'2023'!$N$2=CO43),'2023DATA2'!$H$35,"")</f>
        <v/>
      </c>
      <c r="CP76" s="518" t="str">
        <f>IF(AND(_AC6="A-220-100",'2023'!$N$4="CA",'2023'!$N$2=CP43),'2023DATA2'!$I$35,"")</f>
        <v/>
      </c>
      <c r="CQ76" s="518" t="str">
        <f>IF(AND(_AC6="A-220-100",'2023'!$N$4="CA",'2023'!$N$2=CQ43),'2023DATA2'!$J$35,"")</f>
        <v/>
      </c>
      <c r="CR76" s="518" t="str">
        <f>IF(AND(_AC6="A-220-100",'2023'!$N$4="CA",'2023'!$N$2=CR43),'2023DATA2'!$K$35,"")</f>
        <v/>
      </c>
      <c r="CS76" s="518" t="str">
        <f>IF(AND(_AC6="A-220-100",'2023'!$N$4="CA",'2023'!$N$2=CS43),'2023DATA2'!$L$35,"")</f>
        <v/>
      </c>
      <c r="CT76" s="518" t="str">
        <f>IF(AND(_AC6="A-220-100",'2023'!$N$4="CA",'2023'!$N$2=CT43),'2023DATA2'!$M$35,"")</f>
        <v/>
      </c>
      <c r="CU76" s="520" t="str">
        <f>IF(AND(_AC6="A-220-100",'2023'!$N$4="CA",'2023'!$N$2=CU43),'2023DATA2'!$N$35,"")</f>
        <v/>
      </c>
    </row>
    <row r="77" spans="16:99" x14ac:dyDescent="0.25">
      <c r="P77" s="940"/>
      <c r="Q77" s="13" t="s">
        <v>62</v>
      </c>
      <c r="R77" s="518" t="str">
        <f>IF(AND(_AC1="A-220-100",'2023'!$N$4="FO",'2023'!$N$2=R43),'2023DATA2'!$C$36,"")</f>
        <v/>
      </c>
      <c r="S77" s="518" t="str">
        <f>IF(AND(_AC1="A-220-100",'2023'!$N$4="FO",'2023'!$N$2=S43),'2023DATA2'!$D$36,"")</f>
        <v/>
      </c>
      <c r="T77" s="518" t="str">
        <f>IF(AND(_AC1="A-220-100",'2023'!$N$4="FO",'2023'!$N$2=T43),'2023DATA2'!$E$36,"")</f>
        <v/>
      </c>
      <c r="U77" s="518" t="str">
        <f>IF(AND(_AC1="A-220-100",'2023'!$N$4="FO",'2023'!$N$2=U43),'2023DATA2'!$F$36,"")</f>
        <v/>
      </c>
      <c r="V77" s="518" t="str">
        <f>IF(AND(_AC1="A-220-100",'2023'!$N$4="FO",'2023'!$N$2=V43),'2023DATA2'!$G$36,"")</f>
        <v/>
      </c>
      <c r="W77" s="518" t="str">
        <f>IF(AND(_AC1="A-220-100",'2023'!$N$4="FO",'2023'!$N$2=W43),'2023DATA2'!$H$36,"")</f>
        <v/>
      </c>
      <c r="X77" s="518" t="str">
        <f>IF(AND(_AC1="A-220-100",'2023'!$N$4="FO",'2023'!$N$2=X43),'2023DATA2'!$I$36,"")</f>
        <v/>
      </c>
      <c r="Y77" s="518" t="str">
        <f>IF(AND(_AC1="A-220-100",'2023'!$N$4="FO",'2023'!$N$2=Y43),'2023DATA2'!$J$36,"")</f>
        <v/>
      </c>
      <c r="Z77" s="518" t="str">
        <f>IF(AND(_AC1="A-220-100",'2023'!$N$4="FO",'2023'!$N$2=Z43),'2023DATA2'!$K$36,"")</f>
        <v/>
      </c>
      <c r="AA77" s="518" t="str">
        <f>IF(AND(_AC1="A-220-100",'2023'!$N$4="FO",'2023'!$N$2=AA43),'2023DATA2'!$L$36,"")</f>
        <v/>
      </c>
      <c r="AB77" s="518" t="str">
        <f>IF(AND(_AC1="A-220-100",'2023'!$N$4="FO",'2023'!$N$2=AB43),'2023DATA2'!$M$36,"")</f>
        <v/>
      </c>
      <c r="AC77" s="520" t="str">
        <f>IF(AND(_AC1="A-220-100",'2023'!$N$4="FO",'2023'!$N$2=AC43),'2023DATA2'!$N$36,"")</f>
        <v/>
      </c>
      <c r="AD77" s="940"/>
      <c r="AE77" s="13" t="s">
        <v>62</v>
      </c>
      <c r="AF77" s="518" t="str">
        <f>IF(AND(_AC2="A-220-100",'2023'!$N$4="FO",'2023'!$N$2=AF43),'2023DATA2'!$C$36,"")</f>
        <v/>
      </c>
      <c r="AG77" s="518" t="str">
        <f>IF(AND(_AC2="A-220-100",'2023'!$N$4="FO",'2023'!$N$2=AG43),'2023DATA2'!$D$36,"")</f>
        <v/>
      </c>
      <c r="AH77" s="518" t="str">
        <f>IF(AND(_AC2="A-220-100",'2023'!$N$4="FO",'2023'!$N$2=AH43),'2023DATA2'!$E$36,"")</f>
        <v/>
      </c>
      <c r="AI77" s="518" t="str">
        <f>IF(AND(_AC2="A-220-100",'2023'!$N$4="FO",'2023'!$N$2=AI43),'2023DATA2'!$F$36,"")</f>
        <v/>
      </c>
      <c r="AJ77" s="518" t="str">
        <f>IF(AND(_AC2="A-220-100",'2023'!$N$4="FO",'2023'!$N$2=AJ43),'2023DATA2'!$G$36,"")</f>
        <v/>
      </c>
      <c r="AK77" s="518" t="str">
        <f>IF(AND(_AC2="A-220-100",'2023'!$N$4="FO",'2023'!$N$2=AK43),'2023DATA2'!$H$36,"")</f>
        <v/>
      </c>
      <c r="AL77" s="518" t="str">
        <f>IF(AND(_AC2="A-220-100",'2023'!$N$4="FO",'2023'!$N$2=AL43),'2023DATA2'!$I$36,"")</f>
        <v/>
      </c>
      <c r="AM77" s="518" t="str">
        <f>IF(AND(_AC2="A-220-100",'2023'!$N$4="FO",'2023'!$N$2=AM43),'2023DATA2'!$J$36,"")</f>
        <v/>
      </c>
      <c r="AN77" s="518" t="str">
        <f>IF(AND(_AC2="A-220-100",'2023'!$N$4="FO",'2023'!$N$2=AN43),'2023DATA2'!$K$36,"")</f>
        <v/>
      </c>
      <c r="AO77" s="518" t="str">
        <f>IF(AND(_AC2="A-220-100",'2023'!$N$4="FO",'2023'!$N$2=AO43),'2023DATA2'!$L$36,"")</f>
        <v/>
      </c>
      <c r="AP77" s="518" t="str">
        <f>IF(AND(_AC2="A-220-100",'2023'!$N$4="FO",'2023'!$N$2=AP43),'2023DATA2'!$M$36,"")</f>
        <v/>
      </c>
      <c r="AQ77" s="520" t="str">
        <f>IF(AND(_AC2="A-220-100",'2023'!$N$4="FO",'2023'!$N$2=AQ43),'2023DATA2'!$N$36,"")</f>
        <v/>
      </c>
      <c r="AR77" s="940"/>
      <c r="AS77" s="13" t="s">
        <v>62</v>
      </c>
      <c r="AT77" s="518" t="str">
        <f>IF(AND(_AC3="A-220-100",'2023'!$N$4="FO",'2023'!$N$2=AT43),'2023DATA2'!$C$36,"")</f>
        <v/>
      </c>
      <c r="AU77" s="518" t="str">
        <f>IF(AND(_AC3="A-220-100",'2023'!$N$4="FO",'2023'!$N$2=AU43),'2023DATA2'!$D$36,"")</f>
        <v/>
      </c>
      <c r="AV77" s="518" t="str">
        <f>IF(AND(_AC3="A-220-100",'2023'!$N$4="FO",'2023'!$N$2=AV43),'2023DATA2'!$E$36,"")</f>
        <v/>
      </c>
      <c r="AW77" s="518" t="str">
        <f>IF(AND(_AC3="A-220-100",'2023'!$N$4="FO",'2023'!$N$2=AW43),'2023DATA2'!$F$36,"")</f>
        <v/>
      </c>
      <c r="AX77" s="518" t="str">
        <f>IF(AND(_AC3="A-220-100",'2023'!$N$4="FO",'2023'!$N$2=AX43),'2023DATA2'!$G$36,"")</f>
        <v/>
      </c>
      <c r="AY77" s="518" t="str">
        <f>IF(AND(_AC3="A-220-100",'2023'!$N$4="FO",'2023'!$N$2=AY43),'2023DATA2'!$H$36,"")</f>
        <v/>
      </c>
      <c r="AZ77" s="518" t="str">
        <f>IF(AND(_AC3="A-220-100",'2023'!$N$4="FO",'2023'!$N$2=AZ43),'2023DATA2'!$I$36,"")</f>
        <v/>
      </c>
      <c r="BA77" s="518" t="str">
        <f>IF(AND(_AC3="A-220-100",'2023'!$N$4="FO",'2023'!$N$2=BA43),'2023DATA2'!$J$36,"")</f>
        <v/>
      </c>
      <c r="BB77" s="518" t="str">
        <f>IF(AND(_AC3="A-220-100",'2023'!$N$4="FO",'2023'!$N$2=BB43),'2023DATA2'!$K$36,"")</f>
        <v/>
      </c>
      <c r="BC77" s="518" t="str">
        <f>IF(AND(_AC3="A-220-100",'2023'!$N$4="FO",'2023'!$N$2=BC43),'2023DATA2'!$L$36,"")</f>
        <v/>
      </c>
      <c r="BD77" s="518" t="str">
        <f>IF(AND(_AC3="A-220-100",'2023'!$N$4="FO",'2023'!$N$2=BD43),'2023DATA2'!$M$36,"")</f>
        <v/>
      </c>
      <c r="BE77" s="520" t="str">
        <f>IF(AND(_AC3="A-220-100",'2023'!$N$4="FO",'2023'!$N$2=BE43),'2023DATA2'!$N$36,"")</f>
        <v/>
      </c>
      <c r="BF77" s="940"/>
      <c r="BG77" s="13" t="s">
        <v>62</v>
      </c>
      <c r="BH77" s="518" t="str">
        <f>IF(AND(_AC4="A-220-100",'2023'!$N$4="FO",'2023'!$N$2=BH43),'2023DATA2'!$C$36,"")</f>
        <v/>
      </c>
      <c r="BI77" s="518" t="str">
        <f>IF(AND(_AC4="A-220-100",'2023'!$N$4="FO",'2023'!$N$2=BI43),'2023DATA2'!$D$36,"")</f>
        <v/>
      </c>
      <c r="BJ77" s="518" t="str">
        <f>IF(AND(_AC4="A-220-100",'2023'!$N$4="FO",'2023'!$N$2=BJ43),'2023DATA2'!$E$36,"")</f>
        <v/>
      </c>
      <c r="BK77" s="518" t="str">
        <f>IF(AND(_AC4="A-220-100",'2023'!$N$4="FO",'2023'!$N$2=BK43),'2023DATA2'!$F$36,"")</f>
        <v/>
      </c>
      <c r="BL77" s="518" t="str">
        <f>IF(AND(_AC4="A-220-100",'2023'!$N$4="FO",'2023'!$N$2=BL43),'2023DATA2'!$G$36,"")</f>
        <v/>
      </c>
      <c r="BM77" s="518" t="str">
        <f>IF(AND(_AC4="A-220-100",'2023'!$N$4="FO",'2023'!$N$2=BM43),'2023DATA2'!$H$36,"")</f>
        <v/>
      </c>
      <c r="BN77" s="518" t="str">
        <f>IF(AND(_AC4="A-220-100",'2023'!$N$4="FO",'2023'!$N$2=BN43),'2023DATA2'!$I$36,"")</f>
        <v/>
      </c>
      <c r="BO77" s="518" t="str">
        <f>IF(AND(_AC4="A-220-100",'2023'!$N$4="FO",'2023'!$N$2=BO43),'2023DATA2'!$J$36,"")</f>
        <v/>
      </c>
      <c r="BP77" s="518" t="str">
        <f>IF(AND(_AC4="A-220-100",'2023'!$N$4="FO",'2023'!$N$2=BP43),'2023DATA2'!$K$36,"")</f>
        <v/>
      </c>
      <c r="BQ77" s="518" t="str">
        <f>IF(AND(_AC4="A-220-100",'2023'!$N$4="FO",'2023'!$N$2=BQ43),'2023DATA2'!$L$36,"")</f>
        <v/>
      </c>
      <c r="BR77" s="518" t="str">
        <f>IF(AND(_AC4="A-220-100",'2023'!$N$4="FO",'2023'!$N$2=BR43),'2023DATA2'!$M$36,"")</f>
        <v/>
      </c>
      <c r="BS77" s="520" t="str">
        <f>IF(AND(_AC4="A-220-100",'2023'!$N$4="FO",'2023'!$N$2=BS43),'2023DATA2'!$N$36,"")</f>
        <v/>
      </c>
      <c r="BT77" s="940"/>
      <c r="BU77" s="13" t="s">
        <v>62</v>
      </c>
      <c r="BV77" s="518" t="str">
        <f>IF(AND(_AC5="A-220-100",'2023'!$N$4="FO",'2023'!$N$2=BV43),'2023DATA2'!$C$36,"")</f>
        <v/>
      </c>
      <c r="BW77" s="518" t="str">
        <f>IF(AND(_AC5="A-220-100",'2023'!$N$4="FO",'2023'!$N$2=BW43),'2023DATA2'!$D$36,"")</f>
        <v/>
      </c>
      <c r="BX77" s="518" t="str">
        <f>IF(AND(_AC5="A-220-100",'2023'!$N$4="FO",'2023'!$N$2=BX43),'2023DATA2'!$E$36,"")</f>
        <v/>
      </c>
      <c r="BY77" s="518" t="str">
        <f>IF(AND(_AC5="A-220-100",'2023'!$N$4="FO",'2023'!$N$2=BY43),'2023DATA2'!$F$36,"")</f>
        <v/>
      </c>
      <c r="BZ77" s="518" t="str">
        <f>IF(AND(_AC5="A-220-100",'2023'!$N$4="FO",'2023'!$N$2=BZ43),'2023DATA2'!$G$36,"")</f>
        <v/>
      </c>
      <c r="CA77" s="518" t="str">
        <f>IF(AND(_AC5="A-220-100",'2023'!$N$4="FO",'2023'!$N$2=CA43),'2023DATA2'!$H$36,"")</f>
        <v/>
      </c>
      <c r="CB77" s="518" t="str">
        <f>IF(AND(_AC5="A-220-100",'2023'!$N$4="FO",'2023'!$N$2=CB43),'2023DATA2'!$I$36,"")</f>
        <v/>
      </c>
      <c r="CC77" s="518" t="str">
        <f>IF(AND(_AC5="A-220-100",'2023'!$N$4="FO",'2023'!$N$2=CC43),'2023DATA2'!$J$36,"")</f>
        <v/>
      </c>
      <c r="CD77" s="518" t="str">
        <f>IF(AND(_AC5="A-220-100",'2023'!$N$4="FO",'2023'!$N$2=CD43),'2023DATA2'!$K$36,"")</f>
        <v/>
      </c>
      <c r="CE77" s="518" t="str">
        <f>IF(AND(_AC5="A-220-100",'2023'!$N$4="FO",'2023'!$N$2=CE43),'2023DATA2'!$L$36,"")</f>
        <v/>
      </c>
      <c r="CF77" s="518" t="str">
        <f>IF(AND(_AC5="A-220-100",'2023'!$N$4="FO",'2023'!$N$2=CF43),'2023DATA2'!$M$36,"")</f>
        <v/>
      </c>
      <c r="CG77" s="520" t="str">
        <f>IF(AND(_AC5="A-220-100",'2023'!$N$4="FO",'2023'!$N$2=CG43),'2023DATA2'!$N$36,"")</f>
        <v/>
      </c>
      <c r="CH77" s="940"/>
      <c r="CI77" s="13" t="s">
        <v>62</v>
      </c>
      <c r="CJ77" s="518" t="str">
        <f>IF(AND(_AC6="A-220-100",'2023'!$N$4="FO",'2023'!$N$2=CJ43),'2023DATA2'!$C$36,"")</f>
        <v/>
      </c>
      <c r="CK77" s="518" t="str">
        <f>IF(AND(_AC6="A-220-100",'2023'!$N$4="FO",'2023'!$N$2=CK43),'2023DATA2'!$D$36,"")</f>
        <v/>
      </c>
      <c r="CL77" s="518" t="str">
        <f>IF(AND(_AC6="A-220-100",'2023'!$N$4="FO",'2023'!$N$2=CL43),'2023DATA2'!$E$36,"")</f>
        <v/>
      </c>
      <c r="CM77" s="518" t="str">
        <f>IF(AND(_AC6="A-220-100",'2023'!$N$4="FO",'2023'!$N$2=CM43),'2023DATA2'!$F$36,"")</f>
        <v/>
      </c>
      <c r="CN77" s="518" t="str">
        <f>IF(AND(_AC6="A-220-100",'2023'!$N$4="FO",'2023'!$N$2=CN43),'2023DATA2'!$G$36,"")</f>
        <v/>
      </c>
      <c r="CO77" s="518" t="str">
        <f>IF(AND(_AC6="A-220-100",'2023'!$N$4="FO",'2023'!$N$2=CO43),'2023DATA2'!$H$36,"")</f>
        <v/>
      </c>
      <c r="CP77" s="518" t="str">
        <f>IF(AND(_AC6="A-220-100",'2023'!$N$4="FO",'2023'!$N$2=CP43),'2023DATA2'!$I$36,"")</f>
        <v/>
      </c>
      <c r="CQ77" s="518" t="str">
        <f>IF(AND(_AC6="A-220-100",'2023'!$N$4="FO",'2023'!$N$2=CQ43),'2023DATA2'!$J$36,"")</f>
        <v/>
      </c>
      <c r="CR77" s="518" t="str">
        <f>IF(AND(_AC6="A-220-100",'2023'!$N$4="FO",'2023'!$N$2=CR43),'2023DATA2'!$K$36,"")</f>
        <v/>
      </c>
      <c r="CS77" s="518" t="str">
        <f>IF(AND(_AC6="A-220-100",'2023'!$N$4="FO",'2023'!$N$2=CS43),'2023DATA2'!$L$36,"")</f>
        <v/>
      </c>
      <c r="CT77" s="518" t="str">
        <f>IF(AND(_AC6="A-220-100",'2023'!$N$4="FO",'2023'!$N$2=CT43),'2023DATA2'!$M$36,"")</f>
        <v/>
      </c>
      <c r="CU77" s="520" t="str">
        <f>IF(AND(_AC6="A-220-100",'2023'!$N$4="FO",'2023'!$N$2=CU43),'2023DATA2'!$N$36,"")</f>
        <v/>
      </c>
    </row>
    <row r="78" spans="16:99" x14ac:dyDescent="0.25">
      <c r="P78" s="940" t="s">
        <v>53</v>
      </c>
      <c r="Q78" s="13" t="s">
        <v>61</v>
      </c>
      <c r="R78" s="518" t="str">
        <f>IF(AND(_AC1="B-717",'2023'!$N$4="CA",'2023'!$N$2=R43),'2023DATA2'!$C$37,"")</f>
        <v/>
      </c>
      <c r="S78" s="518" t="str">
        <f>IF(AND(_AC1="B-717",'2023'!$N$4="CA",'2023'!$N$2=S43),'2023DATA2'!$D$37,"")</f>
        <v/>
      </c>
      <c r="T78" s="518" t="str">
        <f>IF(AND(_AC1="B-717",'2023'!$N$4="CA",'2023'!$N$2=T43),'2023DATA2'!$E$37,"")</f>
        <v/>
      </c>
      <c r="U78" s="518" t="str">
        <f>IF(AND(_AC1="B-717",'2023'!$N$4="CA",'2023'!$N$2=U43),'2023DATA2'!$F$37,"")</f>
        <v/>
      </c>
      <c r="V78" s="518" t="str">
        <f>IF(AND(_AC1="B-717",'2023'!$N$4="CA",'2023'!$N$2=V43),'2023DATA2'!$G$37,"")</f>
        <v/>
      </c>
      <c r="W78" s="518" t="str">
        <f>IF(AND(_AC1="B-717",'2023'!$N$4="CA",'2023'!$N$2=W43),'2023DATA2'!$H$37,"")</f>
        <v/>
      </c>
      <c r="X78" s="518" t="str">
        <f>IF(AND(_AC1="B-717",'2023'!$N$4="CA",'2023'!$N$2=X43),'2023DATA2'!$I$37,"")</f>
        <v/>
      </c>
      <c r="Y78" s="518" t="str">
        <f>IF(AND(_AC1="B-717",'2023'!$N$4="CA",'2023'!$N$2=Y43),'2023DATA2'!$J$37,"")</f>
        <v/>
      </c>
      <c r="Z78" s="518" t="str">
        <f>IF(AND(_AC1="B-717",'2023'!$N$4="CA",'2023'!$N$2=Z43),'2023DATA2'!$K$37,"")</f>
        <v/>
      </c>
      <c r="AA78" s="518" t="str">
        <f>IF(AND(_AC1="B-717",'2023'!$N$4="CA",'2023'!$N$2=AA43),'2023DATA2'!$L$37,"")</f>
        <v/>
      </c>
      <c r="AB78" s="518" t="str">
        <f>IF(AND(_AC1="B-717",'2023'!$N$4="CA",'2023'!$N$2=AB43),'2023DATA2'!$M$37,"")</f>
        <v/>
      </c>
      <c r="AC78" s="520" t="str">
        <f>IF(AND(_AC1="B-717",'2023'!$N$4="CA",'2023'!$N$2=AC43),'2023DATA2'!$N$37,"")</f>
        <v/>
      </c>
      <c r="AD78" s="940" t="s">
        <v>53</v>
      </c>
      <c r="AE78" s="13" t="s">
        <v>61</v>
      </c>
      <c r="AF78" s="518" t="str">
        <f>IF(AND(_AC2="B-717",'2023'!$N$4="CA",'2023'!$N$2=AF43),'2023DATA2'!$C$37,"")</f>
        <v/>
      </c>
      <c r="AG78" s="518" t="str">
        <f>IF(AND(_AC2="B-717",'2023'!$N$4="CA",'2023'!$N$2=AG43),'2023DATA2'!$D$37,"")</f>
        <v/>
      </c>
      <c r="AH78" s="518" t="str">
        <f>IF(AND(_AC2="B-717",'2023'!$N$4="CA",'2023'!$N$2=AH43),'2023DATA2'!$E$37,"")</f>
        <v/>
      </c>
      <c r="AI78" s="518" t="str">
        <f>IF(AND(_AC2="B-717",'2023'!$N$4="CA",'2023'!$N$2=AI43),'2023DATA2'!$F$37,"")</f>
        <v/>
      </c>
      <c r="AJ78" s="518" t="str">
        <f>IF(AND(_AC2="B-717",'2023'!$N$4="CA",'2023'!$N$2=AJ43),'2023DATA2'!$G$37,"")</f>
        <v/>
      </c>
      <c r="AK78" s="518" t="str">
        <f>IF(AND(_AC2="B-717",'2023'!$N$4="CA",'2023'!$N$2=AK43),'2023DATA2'!$H$37,"")</f>
        <v/>
      </c>
      <c r="AL78" s="518" t="str">
        <f>IF(AND(_AC2="B-717",'2023'!$N$4="CA",'2023'!$N$2=AL43),'2023DATA2'!$I$37,"")</f>
        <v/>
      </c>
      <c r="AM78" s="518" t="str">
        <f>IF(AND(_AC2="B-717",'2023'!$N$4="CA",'2023'!$N$2=AM43),'2023DATA2'!$J$37,"")</f>
        <v/>
      </c>
      <c r="AN78" s="518" t="str">
        <f>IF(AND(_AC2="B-717",'2023'!$N$4="CA",'2023'!$N$2=AN43),'2023DATA2'!$K$37,"")</f>
        <v/>
      </c>
      <c r="AO78" s="518" t="str">
        <f>IF(AND(_AC2="B-717",'2023'!$N$4="CA",'2023'!$N$2=AO43),'2023DATA2'!$L$37,"")</f>
        <v/>
      </c>
      <c r="AP78" s="518" t="str">
        <f>IF(AND(_AC2="B-717",'2023'!$N$4="CA",'2023'!$N$2=AP43),'2023DATA2'!$M$37,"")</f>
        <v/>
      </c>
      <c r="AQ78" s="520" t="str">
        <f>IF(AND(_AC2="B-717",'2023'!$N$4="CA",'2023'!$N$2=AQ43),'2023DATA2'!$N$37,"")</f>
        <v/>
      </c>
      <c r="AR78" s="940" t="s">
        <v>53</v>
      </c>
      <c r="AS78" s="13" t="s">
        <v>61</v>
      </c>
      <c r="AT78" s="518" t="str">
        <f>IF(AND(_AC3="B-717",'2023'!$N$4="CA",'2023'!$N$2=AT43),'2023DATA2'!$C$37,"")</f>
        <v/>
      </c>
      <c r="AU78" s="518" t="str">
        <f>IF(AND(_AC3="B-717",'2023'!$N$4="CA",'2023'!$N$2=AU43),'2023DATA2'!$D$37,"")</f>
        <v/>
      </c>
      <c r="AV78" s="518" t="str">
        <f>IF(AND(_AC3="B-717",'2023'!$N$4="CA",'2023'!$N$2=AV43),'2023DATA2'!$E$37,"")</f>
        <v/>
      </c>
      <c r="AW78" s="518" t="str">
        <f>IF(AND(_AC3="B-717",'2023'!$N$4="CA",'2023'!$N$2=AW43),'2023DATA2'!$F$37,"")</f>
        <v/>
      </c>
      <c r="AX78" s="518" t="str">
        <f>IF(AND(_AC3="B-717",'2023'!$N$4="CA",'2023'!$N$2=AX43),'2023DATA2'!$G$37,"")</f>
        <v/>
      </c>
      <c r="AY78" s="518" t="str">
        <f>IF(AND(_AC3="B-717",'2023'!$N$4="CA",'2023'!$N$2=AY43),'2023DATA2'!$H$37,"")</f>
        <v/>
      </c>
      <c r="AZ78" s="518" t="str">
        <f>IF(AND(_AC3="B-717",'2023'!$N$4="CA",'2023'!$N$2=AZ43),'2023DATA2'!$I$37,"")</f>
        <v/>
      </c>
      <c r="BA78" s="518" t="str">
        <f>IF(AND(_AC3="B-717",'2023'!$N$4="CA",'2023'!$N$2=BA43),'2023DATA2'!$J$37,"")</f>
        <v/>
      </c>
      <c r="BB78" s="518" t="str">
        <f>IF(AND(_AC3="B-717",'2023'!$N$4="CA",'2023'!$N$2=BB43),'2023DATA2'!$K$37,"")</f>
        <v/>
      </c>
      <c r="BC78" s="518" t="str">
        <f>IF(AND(_AC3="B-717",'2023'!$N$4="CA",'2023'!$N$2=BC43),'2023DATA2'!$L$37,"")</f>
        <v/>
      </c>
      <c r="BD78" s="518" t="str">
        <f>IF(AND(_AC3="B-717",'2023'!$N$4="CA",'2023'!$N$2=BD43),'2023DATA2'!$M$37,"")</f>
        <v/>
      </c>
      <c r="BE78" s="520" t="str">
        <f>IF(AND(_AC3="B-717",'2023'!$N$4="CA",'2023'!$N$2=BE43),'2023DATA2'!$N$37,"")</f>
        <v/>
      </c>
      <c r="BF78" s="940" t="s">
        <v>53</v>
      </c>
      <c r="BG78" s="13" t="s">
        <v>61</v>
      </c>
      <c r="BH78" s="518" t="str">
        <f>IF(AND(_AC4="B-717",'2023'!$N$4="CA",'2023'!$N$2=BH43),'2023DATA2'!$C$37,"")</f>
        <v/>
      </c>
      <c r="BI78" s="518" t="str">
        <f>IF(AND(_AC4="B-717",'2023'!$N$4="CA",'2023'!$N$2=BI43),'2023DATA2'!$D$37,"")</f>
        <v/>
      </c>
      <c r="BJ78" s="518" t="str">
        <f>IF(AND(_AC4="B-717",'2023'!$N$4="CA",'2023'!$N$2=BJ43),'2023DATA2'!$E$37,"")</f>
        <v/>
      </c>
      <c r="BK78" s="518" t="str">
        <f>IF(AND(_AC4="B-717",'2023'!$N$4="CA",'2023'!$N$2=BK43),'2023DATA2'!$F$37,"")</f>
        <v/>
      </c>
      <c r="BL78" s="518" t="str">
        <f>IF(AND(_AC4="B-717",'2023'!$N$4="CA",'2023'!$N$2=BL43),'2023DATA2'!$G$37,"")</f>
        <v/>
      </c>
      <c r="BM78" s="518" t="str">
        <f>IF(AND(_AC4="B-717",'2023'!$N$4="CA",'2023'!$N$2=BM43),'2023DATA2'!$H$37,"")</f>
        <v/>
      </c>
      <c r="BN78" s="518" t="str">
        <f>IF(AND(_AC4="B-717",'2023'!$N$4="CA",'2023'!$N$2=BN43),'2023DATA2'!$I$37,"")</f>
        <v/>
      </c>
      <c r="BO78" s="518" t="str">
        <f>IF(AND(_AC4="B-717",'2023'!$N$4="CA",'2023'!$N$2=BO43),'2023DATA2'!$J$37,"")</f>
        <v/>
      </c>
      <c r="BP78" s="518" t="str">
        <f>IF(AND(_AC4="B-717",'2023'!$N$4="CA",'2023'!$N$2=BP43),'2023DATA2'!$K$37,"")</f>
        <v/>
      </c>
      <c r="BQ78" s="518" t="str">
        <f>IF(AND(_AC4="B-717",'2023'!$N$4="CA",'2023'!$N$2=BQ43),'2023DATA2'!$L$37,"")</f>
        <v/>
      </c>
      <c r="BR78" s="518" t="str">
        <f>IF(AND(_AC4="B-717",'2023'!$N$4="CA",'2023'!$N$2=BR43),'2023DATA2'!$M$37,"")</f>
        <v/>
      </c>
      <c r="BS78" s="520" t="str">
        <f>IF(AND(_AC4="B-717",'2023'!$N$4="CA",'2023'!$N$2=BS43),'2023DATA2'!$N$37,"")</f>
        <v/>
      </c>
      <c r="BT78" s="940" t="s">
        <v>53</v>
      </c>
      <c r="BU78" s="13" t="s">
        <v>61</v>
      </c>
      <c r="BV78" s="518" t="str">
        <f>IF(AND(_AC5="B-717",'2023'!$N$4="CA",'2023'!$N$2=BV43),'2023DATA2'!$C$37,"")</f>
        <v/>
      </c>
      <c r="BW78" s="518" t="str">
        <f>IF(AND(_AC5="B-717",'2023'!$N$4="CA",'2023'!$N$2=BW43),'2023DATA2'!$D$37,"")</f>
        <v/>
      </c>
      <c r="BX78" s="518" t="str">
        <f>IF(AND(_AC5="B-717",'2023'!$N$4="CA",'2023'!$N$2=BX43),'2023DATA2'!$E$37,"")</f>
        <v/>
      </c>
      <c r="BY78" s="518" t="str">
        <f>IF(AND(_AC5="B-717",'2023'!$N$4="CA",'2023'!$N$2=BY43),'2023DATA2'!$F$37,"")</f>
        <v/>
      </c>
      <c r="BZ78" s="518" t="str">
        <f>IF(AND(_AC5="B-717",'2023'!$N$4="CA",'2023'!$N$2=BZ43),'2023DATA2'!$G$37,"")</f>
        <v/>
      </c>
      <c r="CA78" s="518" t="str">
        <f>IF(AND(_AC5="B-717",'2023'!$N$4="CA",'2023'!$N$2=CA43),'2023DATA2'!$H$37,"")</f>
        <v/>
      </c>
      <c r="CB78" s="518" t="str">
        <f>IF(AND(_AC5="B-717",'2023'!$N$4="CA",'2023'!$N$2=CB43),'2023DATA2'!$I$37,"")</f>
        <v/>
      </c>
      <c r="CC78" s="518" t="str">
        <f>IF(AND(_AC5="B-717",'2023'!$N$4="CA",'2023'!$N$2=CC43),'2023DATA2'!$J$37,"")</f>
        <v/>
      </c>
      <c r="CD78" s="518" t="str">
        <f>IF(AND(_AC5="B-717",'2023'!$N$4="CA",'2023'!$N$2=CD43),'2023DATA2'!$K$37,"")</f>
        <v/>
      </c>
      <c r="CE78" s="518" t="str">
        <f>IF(AND(_AC5="B-717",'2023'!$N$4="CA",'2023'!$N$2=CE43),'2023DATA2'!$L$37,"")</f>
        <v/>
      </c>
      <c r="CF78" s="518" t="str">
        <f>IF(AND(_AC5="B-717",'2023'!$N$4="CA",'2023'!$N$2=CF43),'2023DATA2'!$M$37,"")</f>
        <v/>
      </c>
      <c r="CG78" s="520" t="str">
        <f>IF(AND(_AC5="B-717",'2023'!$N$4="CA",'2023'!$N$2=CG43),'2023DATA2'!$N$37,"")</f>
        <v/>
      </c>
      <c r="CH78" s="940" t="s">
        <v>53</v>
      </c>
      <c r="CI78" s="13" t="s">
        <v>61</v>
      </c>
      <c r="CJ78" s="518" t="str">
        <f>IF(AND(_AC6="B-717",'2023'!$N$4="CA",'2023'!$N$2=CJ43),'2023DATA2'!$C$37,"")</f>
        <v/>
      </c>
      <c r="CK78" s="518" t="str">
        <f>IF(AND(_AC6="B-717",'2023'!$N$4="CA",'2023'!$N$2=CK43),'2023DATA2'!$D$37,"")</f>
        <v/>
      </c>
      <c r="CL78" s="518" t="str">
        <f>IF(AND(_AC6="B-717",'2023'!$N$4="CA",'2023'!$N$2=CL43),'2023DATA2'!$E$37,"")</f>
        <v/>
      </c>
      <c r="CM78" s="518" t="str">
        <f>IF(AND(_AC6="B-717",'2023'!$N$4="CA",'2023'!$N$2=CM43),'2023DATA2'!$F$37,"")</f>
        <v/>
      </c>
      <c r="CN78" s="518" t="str">
        <f>IF(AND(_AC6="B-717",'2023'!$N$4="CA",'2023'!$N$2=CN43),'2023DATA2'!$G$37,"")</f>
        <v/>
      </c>
      <c r="CO78" s="518" t="str">
        <f>IF(AND(_AC6="B-717",'2023'!$N$4="CA",'2023'!$N$2=CO43),'2023DATA2'!$H$37,"")</f>
        <v/>
      </c>
      <c r="CP78" s="518" t="str">
        <f>IF(AND(_AC6="B-717",'2023'!$N$4="CA",'2023'!$N$2=CP43),'2023DATA2'!$I$37,"")</f>
        <v/>
      </c>
      <c r="CQ78" s="518" t="str">
        <f>IF(AND(_AC6="B-717",'2023'!$N$4="CA",'2023'!$N$2=CQ43),'2023DATA2'!$J$37,"")</f>
        <v/>
      </c>
      <c r="CR78" s="518" t="str">
        <f>IF(AND(_AC6="B-717",'2023'!$N$4="CA",'2023'!$N$2=CR43),'2023DATA2'!$K$37,"")</f>
        <v/>
      </c>
      <c r="CS78" s="518" t="str">
        <f>IF(AND(_AC6="B-717",'2023'!$N$4="CA",'2023'!$N$2=CS43),'2023DATA2'!$L$37,"")</f>
        <v/>
      </c>
      <c r="CT78" s="518" t="str">
        <f>IF(AND(_AC6="B-717",'2023'!$N$4="CA",'2023'!$N$2=CT43),'2023DATA2'!$M$37,"")</f>
        <v/>
      </c>
      <c r="CU78" s="520" t="str">
        <f>IF(AND(_AC6="B-717",'2023'!$N$4="CA",'2023'!$N$2=CU43),'2023DATA2'!$N$37,"")</f>
        <v/>
      </c>
    </row>
    <row r="79" spans="16:99" ht="15.75" thickBot="1" x14ac:dyDescent="0.3">
      <c r="P79" s="941"/>
      <c r="Q79" s="521" t="s">
        <v>62</v>
      </c>
      <c r="R79" s="518" t="str">
        <f>IF(AND(_AC1="B-717",'2023'!$N$4="FO",'2023'!$N$2=R43),'2023DATA2'!$C$38,"")</f>
        <v/>
      </c>
      <c r="S79" s="518" t="str">
        <f>IF(AND(_AC1="B-717",'2023'!$N$4="FO",'2023'!$N$2=S43),'2023DATA2'!$D$38,"")</f>
        <v/>
      </c>
      <c r="T79" s="518" t="str">
        <f>IF(AND(_AC1="B-717",'2023'!$N$4="FO",'2023'!$N$2=T43),'2023DATA2'!$E$38,"")</f>
        <v/>
      </c>
      <c r="U79" s="518" t="str">
        <f>IF(AND(_AC1="B-717",'2023'!$N$4="FO",'2023'!$N$2=U43),'2023DATA2'!$F$38,"")</f>
        <v/>
      </c>
      <c r="V79" s="518" t="str">
        <f>IF(AND(_AC1="B-717",'2023'!$N$4="FO",'2023'!$N$2=V43),'2023DATA2'!$G$38,"")</f>
        <v/>
      </c>
      <c r="W79" s="518" t="str">
        <f>IF(AND(_AC1="B-717",'2023'!$N$4="FO",'2023'!$N$2=W43),'2023DATA2'!$H$38,"")</f>
        <v/>
      </c>
      <c r="X79" s="518" t="str">
        <f>IF(AND(_AC1="B-717",'2023'!$N$4="FO",'2023'!$N$2=X43),'2023DATA2'!$I$38,"")</f>
        <v/>
      </c>
      <c r="Y79" s="518" t="str">
        <f>IF(AND(_AC1="B-717",'2023'!$N$4="FO",'2023'!$N$2=Y43),'2023DATA2'!$J$38,"")</f>
        <v/>
      </c>
      <c r="Z79" s="518" t="str">
        <f>IF(AND(_AC1="B-717",'2023'!$N$4="FO",'2023'!$N$2=Z43),'2023DATA2'!$K$38,"")</f>
        <v/>
      </c>
      <c r="AA79" s="518" t="str">
        <f>IF(AND(_AC1="B-717",'2023'!$N$4="FO",'2023'!$N$2=AA43),'2023DATA2'!$L$38,"")</f>
        <v/>
      </c>
      <c r="AB79" s="518" t="str">
        <f>IF(AND(_AC1="B-717",'2023'!$N$4="FO",'2023'!$N$2=AB43),'2023DATA2'!$M$38,"")</f>
        <v/>
      </c>
      <c r="AC79" s="520" t="str">
        <f>IF(AND(_AC1="B-717",'2023'!$N$4="FO",'2023'!$N$2=AC43),'2023DATA2'!$N$38,"")</f>
        <v/>
      </c>
      <c r="AD79" s="941"/>
      <c r="AE79" s="521" t="s">
        <v>62</v>
      </c>
      <c r="AF79" s="518" t="str">
        <f>IF(AND(_AC2="B-717",'2023'!$N$4="FO",'2023'!$N$2=AF43),'2023DATA2'!$C$38,"")</f>
        <v/>
      </c>
      <c r="AG79" s="518" t="str">
        <f>IF(AND(_AC2="B-717",'2023'!$N$4="FO",'2023'!$N$2=AG43),'2023DATA2'!$D$38,"")</f>
        <v/>
      </c>
      <c r="AH79" s="518" t="str">
        <f>IF(AND(_AC2="B-717",'2023'!$N$4="FO",'2023'!$N$2=AH43),'2023DATA2'!$E$38,"")</f>
        <v/>
      </c>
      <c r="AI79" s="518" t="str">
        <f>IF(AND(_AC2="B-717",'2023'!$N$4="FO",'2023'!$N$2=AI43),'2023DATA2'!$F$38,"")</f>
        <v/>
      </c>
      <c r="AJ79" s="518" t="str">
        <f>IF(AND(_AC2="B-717",'2023'!$N$4="FO",'2023'!$N$2=AJ43),'2023DATA2'!$G$38,"")</f>
        <v/>
      </c>
      <c r="AK79" s="518" t="str">
        <f>IF(AND(_AC2="B-717",'2023'!$N$4="FO",'2023'!$N$2=AK43),'2023DATA2'!$H$38,"")</f>
        <v/>
      </c>
      <c r="AL79" s="518" t="str">
        <f>IF(AND(_AC2="B-717",'2023'!$N$4="FO",'2023'!$N$2=AL43),'2023DATA2'!$I$38,"")</f>
        <v/>
      </c>
      <c r="AM79" s="518" t="str">
        <f>IF(AND(_AC2="B-717",'2023'!$N$4="FO",'2023'!$N$2=AM43),'2023DATA2'!$J$38,"")</f>
        <v/>
      </c>
      <c r="AN79" s="518" t="str">
        <f>IF(AND(_AC2="B-717",'2023'!$N$4="FO",'2023'!$N$2=AN43),'2023DATA2'!$K$38,"")</f>
        <v/>
      </c>
      <c r="AO79" s="518" t="str">
        <f>IF(AND(_AC2="B-717",'2023'!$N$4="FO",'2023'!$N$2=AO43),'2023DATA2'!$L$38,"")</f>
        <v/>
      </c>
      <c r="AP79" s="518" t="str">
        <f>IF(AND(_AC2="B-717",'2023'!$N$4="FO",'2023'!$N$2=AP43),'2023DATA2'!$M$38,"")</f>
        <v/>
      </c>
      <c r="AQ79" s="520" t="str">
        <f>IF(AND(_AC2="B-717",'2023'!$N$4="FO",'2023'!$N$2=AQ43),'2023DATA2'!$N$38,"")</f>
        <v/>
      </c>
      <c r="AR79" s="941"/>
      <c r="AS79" s="521" t="s">
        <v>62</v>
      </c>
      <c r="AT79" s="518" t="str">
        <f>IF(AND(_AC3="B-717",'2023'!$N$4="FO",'2023'!$N$2=AT43),'2023DATA2'!$C$38,"")</f>
        <v/>
      </c>
      <c r="AU79" s="518" t="str">
        <f>IF(AND(_AC3="B-717",'2023'!$N$4="FO",'2023'!$N$2=AU43),'2023DATA2'!$D$38,"")</f>
        <v/>
      </c>
      <c r="AV79" s="518" t="str">
        <f>IF(AND(_AC3="B-717",'2023'!$N$4="FO",'2023'!$N$2=AV43),'2023DATA2'!$E$38,"")</f>
        <v/>
      </c>
      <c r="AW79" s="518" t="str">
        <f>IF(AND(_AC3="B-717",'2023'!$N$4="FO",'2023'!$N$2=AW43),'2023DATA2'!$F$38,"")</f>
        <v/>
      </c>
      <c r="AX79" s="518" t="str">
        <f>IF(AND(_AC3="B-717",'2023'!$N$4="FO",'2023'!$N$2=AX43),'2023DATA2'!$G$38,"")</f>
        <v/>
      </c>
      <c r="AY79" s="518" t="str">
        <f>IF(AND(_AC3="B-717",'2023'!$N$4="FO",'2023'!$N$2=AY43),'2023DATA2'!$H$38,"")</f>
        <v/>
      </c>
      <c r="AZ79" s="518" t="str">
        <f>IF(AND(_AC3="B-717",'2023'!$N$4="FO",'2023'!$N$2=AZ43),'2023DATA2'!$I$38,"")</f>
        <v/>
      </c>
      <c r="BA79" s="518" t="str">
        <f>IF(AND(_AC3="B-717",'2023'!$N$4="FO",'2023'!$N$2=BA43),'2023DATA2'!$J$38,"")</f>
        <v/>
      </c>
      <c r="BB79" s="518" t="str">
        <f>IF(AND(_AC3="B-717",'2023'!$N$4="FO",'2023'!$N$2=BB43),'2023DATA2'!$K$38,"")</f>
        <v/>
      </c>
      <c r="BC79" s="518" t="str">
        <f>IF(AND(_AC3="B-717",'2023'!$N$4="FO",'2023'!$N$2=BC43),'2023DATA2'!$L$38,"")</f>
        <v/>
      </c>
      <c r="BD79" s="518" t="str">
        <f>IF(AND(_AC3="B-717",'2023'!$N$4="FO",'2023'!$N$2=BD43),'2023DATA2'!$M$38,"")</f>
        <v/>
      </c>
      <c r="BE79" s="520" t="str">
        <f>IF(AND(_AC3="B-717",'2023'!$N$4="FO",'2023'!$N$2=BE43),'2023DATA2'!$N$38,"")</f>
        <v/>
      </c>
      <c r="BF79" s="941"/>
      <c r="BG79" s="521" t="s">
        <v>62</v>
      </c>
      <c r="BH79" s="518" t="str">
        <f>IF(AND(_AC4="B-717",'2023'!$N$4="FO",'2023'!$N$2=BH43),'2023DATA2'!$C$38,"")</f>
        <v/>
      </c>
      <c r="BI79" s="518" t="str">
        <f>IF(AND(_AC4="B-717",'2023'!$N$4="FO",'2023'!$N$2=BI43),'2023DATA2'!$D$38,"")</f>
        <v/>
      </c>
      <c r="BJ79" s="518" t="str">
        <f>IF(AND(_AC4="B-717",'2023'!$N$4="FO",'2023'!$N$2=BJ43),'2023DATA2'!$E$38,"")</f>
        <v/>
      </c>
      <c r="BK79" s="518" t="str">
        <f>IF(AND(_AC4="B-717",'2023'!$N$4="FO",'2023'!$N$2=BK43),'2023DATA2'!$F$38,"")</f>
        <v/>
      </c>
      <c r="BL79" s="518" t="str">
        <f>IF(AND(_AC4="B-717",'2023'!$N$4="FO",'2023'!$N$2=BL43),'2023DATA2'!$G$38,"")</f>
        <v/>
      </c>
      <c r="BM79" s="518" t="str">
        <f>IF(AND(_AC4="B-717",'2023'!$N$4="FO",'2023'!$N$2=BM43),'2023DATA2'!$H$38,"")</f>
        <v/>
      </c>
      <c r="BN79" s="518" t="str">
        <f>IF(AND(_AC4="B-717",'2023'!$N$4="FO",'2023'!$N$2=BN43),'2023DATA2'!$I$38,"")</f>
        <v/>
      </c>
      <c r="BO79" s="518" t="str">
        <f>IF(AND(_AC4="B-717",'2023'!$N$4="FO",'2023'!$N$2=BO43),'2023DATA2'!$J$38,"")</f>
        <v/>
      </c>
      <c r="BP79" s="518" t="str">
        <f>IF(AND(_AC4="B-717",'2023'!$N$4="FO",'2023'!$N$2=BP43),'2023DATA2'!$K$38,"")</f>
        <v/>
      </c>
      <c r="BQ79" s="518" t="str">
        <f>IF(AND(_AC4="B-717",'2023'!$N$4="FO",'2023'!$N$2=BQ43),'2023DATA2'!$L$38,"")</f>
        <v/>
      </c>
      <c r="BR79" s="518" t="str">
        <f>IF(AND(_AC4="B-717",'2023'!$N$4="FO",'2023'!$N$2=BR43),'2023DATA2'!$M$38,"")</f>
        <v/>
      </c>
      <c r="BS79" s="520" t="str">
        <f>IF(AND(_AC4="B-717",'2023'!$N$4="FO",'2023'!$N$2=BS43),'2023DATA2'!$N$38,"")</f>
        <v/>
      </c>
      <c r="BT79" s="941"/>
      <c r="BU79" s="521" t="s">
        <v>62</v>
      </c>
      <c r="BV79" s="518" t="str">
        <f>IF(AND(_AC5="B-717",'2023'!$N$4="FO",'2023'!$N$2=BV43),'2023DATA2'!$C$38,"")</f>
        <v/>
      </c>
      <c r="BW79" s="518" t="str">
        <f>IF(AND(_AC5="B-717",'2023'!$N$4="FO",'2023'!$N$2=BW43),'2023DATA2'!$D$38,"")</f>
        <v/>
      </c>
      <c r="BX79" s="518" t="str">
        <f>IF(AND(_AC5="B-717",'2023'!$N$4="FO",'2023'!$N$2=BX43),'2023DATA2'!$E$38,"")</f>
        <v/>
      </c>
      <c r="BY79" s="518" t="str">
        <f>IF(AND(_AC5="B-717",'2023'!$N$4="FO",'2023'!$N$2=BY43),'2023DATA2'!$F$38,"")</f>
        <v/>
      </c>
      <c r="BZ79" s="518" t="str">
        <f>IF(AND(_AC5="B-717",'2023'!$N$4="FO",'2023'!$N$2=BZ43),'2023DATA2'!$G$38,"")</f>
        <v/>
      </c>
      <c r="CA79" s="518" t="str">
        <f>IF(AND(_AC5="B-717",'2023'!$N$4="FO",'2023'!$N$2=CA43),'2023DATA2'!$H$38,"")</f>
        <v/>
      </c>
      <c r="CB79" s="518" t="str">
        <f>IF(AND(_AC5="B-717",'2023'!$N$4="FO",'2023'!$N$2=CB43),'2023DATA2'!$I$38,"")</f>
        <v/>
      </c>
      <c r="CC79" s="518" t="str">
        <f>IF(AND(_AC5="B-717",'2023'!$N$4="FO",'2023'!$N$2=CC43),'2023DATA2'!$J$38,"")</f>
        <v/>
      </c>
      <c r="CD79" s="518" t="str">
        <f>IF(AND(_AC5="B-717",'2023'!$N$4="FO",'2023'!$N$2=CD43),'2023DATA2'!$K$38,"")</f>
        <v/>
      </c>
      <c r="CE79" s="518" t="str">
        <f>IF(AND(_AC5="B-717",'2023'!$N$4="FO",'2023'!$N$2=CE43),'2023DATA2'!$L$38,"")</f>
        <v/>
      </c>
      <c r="CF79" s="518" t="str">
        <f>IF(AND(_AC5="B-717",'2023'!$N$4="FO",'2023'!$N$2=CF43),'2023DATA2'!$M$38,"")</f>
        <v/>
      </c>
      <c r="CG79" s="520" t="str">
        <f>IF(AND(_AC5="B-717",'2023'!$N$4="FO",'2023'!$N$2=CG43),'2023DATA2'!$N$38,"")</f>
        <v/>
      </c>
      <c r="CH79" s="941"/>
      <c r="CI79" s="521" t="s">
        <v>62</v>
      </c>
      <c r="CJ79" s="518" t="str">
        <f>IF(AND(_AC6="B-717",'2023'!$N$4="FO",'2023'!$N$2=CJ43),'2023DATA2'!$C$38,"")</f>
        <v/>
      </c>
      <c r="CK79" s="518" t="str">
        <f>IF(AND(_AC6="B-717",'2023'!$N$4="FO",'2023'!$N$2=CK43),'2023DATA2'!$D$38,"")</f>
        <v/>
      </c>
      <c r="CL79" s="518" t="str">
        <f>IF(AND(_AC6="B-717",'2023'!$N$4="FO",'2023'!$N$2=CL43),'2023DATA2'!$E$38,"")</f>
        <v/>
      </c>
      <c r="CM79" s="518" t="str">
        <f>IF(AND(_AC6="B-717",'2023'!$N$4="FO",'2023'!$N$2=CM43),'2023DATA2'!$F$38,"")</f>
        <v/>
      </c>
      <c r="CN79" s="518" t="str">
        <f>IF(AND(_AC6="B-717",'2023'!$N$4="FO",'2023'!$N$2=CN43),'2023DATA2'!$G$38,"")</f>
        <v/>
      </c>
      <c r="CO79" s="518" t="str">
        <f>IF(AND(_AC6="B-717",'2023'!$N$4="FO",'2023'!$N$2=CO43),'2023DATA2'!$H$38,"")</f>
        <v/>
      </c>
      <c r="CP79" s="518" t="str">
        <f>IF(AND(_AC6="B-717",'2023'!$N$4="FO",'2023'!$N$2=CP43),'2023DATA2'!$I$38,"")</f>
        <v/>
      </c>
      <c r="CQ79" s="518" t="str">
        <f>IF(AND(_AC6="B-717",'2023'!$N$4="FO",'2023'!$N$2=CQ43),'2023DATA2'!$J$38,"")</f>
        <v/>
      </c>
      <c r="CR79" s="518" t="str">
        <f>IF(AND(_AC6="B-717",'2023'!$N$4="FO",'2023'!$N$2=CR43),'2023DATA2'!$K$38,"")</f>
        <v/>
      </c>
      <c r="CS79" s="518" t="str">
        <f>IF(AND(_AC6="B-717",'2023'!$N$4="FO",'2023'!$N$2=CS43),'2023DATA2'!$L$38,"")</f>
        <v/>
      </c>
      <c r="CT79" s="518" t="str">
        <f>IF(AND(_AC6="B-717",'2023'!$N$4="FO",'2023'!$N$2=CT43),'2023DATA2'!$M$38,"")</f>
        <v/>
      </c>
      <c r="CU79" s="520" t="str">
        <f>IF(AND(_AC6="B-717",'2023'!$N$4="FO",'2023'!$N$2=CU43),'2023DATA2'!$N$38,"")</f>
        <v/>
      </c>
    </row>
    <row r="80" spans="16:99" x14ac:dyDescent="0.25">
      <c r="P80" s="943" t="s">
        <v>140</v>
      </c>
      <c r="Q80" s="944"/>
      <c r="R80" s="944"/>
      <c r="S80" s="944"/>
      <c r="T80" s="944"/>
      <c r="U80" s="944"/>
      <c r="V80" s="944"/>
      <c r="W80" s="944"/>
      <c r="X80" s="944"/>
      <c r="Y80" s="944"/>
      <c r="Z80" s="944"/>
      <c r="AA80" s="944"/>
      <c r="AB80" s="944"/>
      <c r="AC80" s="945"/>
      <c r="AD80" s="943" t="s">
        <v>141</v>
      </c>
      <c r="AE80" s="944"/>
      <c r="AF80" s="944"/>
      <c r="AG80" s="944"/>
      <c r="AH80" s="944"/>
      <c r="AI80" s="944"/>
      <c r="AJ80" s="944"/>
      <c r="AK80" s="944"/>
      <c r="AL80" s="944"/>
      <c r="AM80" s="944"/>
      <c r="AN80" s="944"/>
      <c r="AO80" s="944"/>
      <c r="AP80" s="944"/>
      <c r="AQ80" s="945"/>
      <c r="AR80" s="943" t="s">
        <v>142</v>
      </c>
      <c r="AS80" s="944"/>
      <c r="AT80" s="944"/>
      <c r="AU80" s="944"/>
      <c r="AV80" s="944"/>
      <c r="AW80" s="944"/>
      <c r="AX80" s="944"/>
      <c r="AY80" s="944"/>
      <c r="AZ80" s="944"/>
      <c r="BA80" s="944"/>
      <c r="BB80" s="944"/>
      <c r="BC80" s="944"/>
      <c r="BD80" s="944"/>
      <c r="BE80" s="945"/>
      <c r="BF80" s="943" t="s">
        <v>143</v>
      </c>
      <c r="BG80" s="944"/>
      <c r="BH80" s="944"/>
      <c r="BI80" s="944"/>
      <c r="BJ80" s="944"/>
      <c r="BK80" s="944"/>
      <c r="BL80" s="944"/>
      <c r="BM80" s="944"/>
      <c r="BN80" s="944"/>
      <c r="BO80" s="944"/>
      <c r="BP80" s="944"/>
      <c r="BQ80" s="944"/>
      <c r="BR80" s="944"/>
      <c r="BS80" s="945"/>
      <c r="BT80" s="943" t="s">
        <v>144</v>
      </c>
      <c r="BU80" s="944"/>
      <c r="BV80" s="944"/>
      <c r="BW80" s="944"/>
      <c r="BX80" s="944"/>
      <c r="BY80" s="944"/>
      <c r="BZ80" s="944"/>
      <c r="CA80" s="944"/>
      <c r="CB80" s="944"/>
      <c r="CC80" s="944"/>
      <c r="CD80" s="944"/>
      <c r="CE80" s="944"/>
      <c r="CF80" s="944"/>
      <c r="CG80" s="945"/>
      <c r="CH80" s="943" t="s">
        <v>145</v>
      </c>
      <c r="CI80" s="944"/>
      <c r="CJ80" s="944"/>
      <c r="CK80" s="944"/>
      <c r="CL80" s="944"/>
      <c r="CM80" s="944"/>
      <c r="CN80" s="944"/>
      <c r="CO80" s="944"/>
      <c r="CP80" s="944"/>
      <c r="CQ80" s="944"/>
      <c r="CR80" s="944"/>
      <c r="CS80" s="944"/>
      <c r="CT80" s="944"/>
      <c r="CU80" s="945"/>
    </row>
    <row r="81" spans="16:99" x14ac:dyDescent="0.25">
      <c r="P81" s="595">
        <v>12</v>
      </c>
      <c r="Q81" s="573">
        <f>SUM(R82:AC117)</f>
        <v>0</v>
      </c>
      <c r="R81" s="3">
        <v>12</v>
      </c>
      <c r="S81" s="3">
        <v>11</v>
      </c>
      <c r="T81" s="3">
        <v>10</v>
      </c>
      <c r="U81" s="3">
        <v>9</v>
      </c>
      <c r="V81" s="3">
        <v>8</v>
      </c>
      <c r="W81" s="3">
        <v>7</v>
      </c>
      <c r="X81" s="3">
        <v>6</v>
      </c>
      <c r="Y81" s="3">
        <v>5</v>
      </c>
      <c r="Z81" s="3">
        <v>4</v>
      </c>
      <c r="AA81" s="3">
        <v>3</v>
      </c>
      <c r="AB81" s="3">
        <v>2</v>
      </c>
      <c r="AC81" s="519">
        <v>1</v>
      </c>
      <c r="AD81" s="573">
        <v>12</v>
      </c>
      <c r="AE81" s="573">
        <f>SUM(AF82:AQ117)</f>
        <v>0</v>
      </c>
      <c r="AF81" s="3">
        <v>12</v>
      </c>
      <c r="AG81" s="3">
        <v>11</v>
      </c>
      <c r="AH81" s="3">
        <v>10</v>
      </c>
      <c r="AI81" s="3">
        <v>9</v>
      </c>
      <c r="AJ81" s="3">
        <v>8</v>
      </c>
      <c r="AK81" s="3">
        <v>7</v>
      </c>
      <c r="AL81" s="3">
        <v>6</v>
      </c>
      <c r="AM81" s="3">
        <v>5</v>
      </c>
      <c r="AN81" s="3">
        <v>4</v>
      </c>
      <c r="AO81" s="3">
        <v>3</v>
      </c>
      <c r="AP81" s="3">
        <v>2</v>
      </c>
      <c r="AQ81" s="519">
        <v>1</v>
      </c>
      <c r="AR81" s="573">
        <v>12</v>
      </c>
      <c r="AS81" s="573">
        <f>SUM(AT82:BE117)</f>
        <v>0</v>
      </c>
      <c r="AT81" s="3">
        <v>12</v>
      </c>
      <c r="AU81" s="3">
        <v>11</v>
      </c>
      <c r="AV81" s="3">
        <v>10</v>
      </c>
      <c r="AW81" s="3">
        <v>9</v>
      </c>
      <c r="AX81" s="3">
        <v>8</v>
      </c>
      <c r="AY81" s="3">
        <v>7</v>
      </c>
      <c r="AZ81" s="3">
        <v>6</v>
      </c>
      <c r="BA81" s="3">
        <v>5</v>
      </c>
      <c r="BB81" s="3">
        <v>4</v>
      </c>
      <c r="BC81" s="3">
        <v>3</v>
      </c>
      <c r="BD81" s="3">
        <v>2</v>
      </c>
      <c r="BE81" s="519">
        <v>1</v>
      </c>
      <c r="BF81" s="573">
        <v>12</v>
      </c>
      <c r="BG81" s="573">
        <f>SUM(BH82:BS117)</f>
        <v>0</v>
      </c>
      <c r="BH81" s="3">
        <v>12</v>
      </c>
      <c r="BI81" s="3">
        <v>11</v>
      </c>
      <c r="BJ81" s="3">
        <v>10</v>
      </c>
      <c r="BK81" s="3">
        <v>9</v>
      </c>
      <c r="BL81" s="3">
        <v>8</v>
      </c>
      <c r="BM81" s="3">
        <v>7</v>
      </c>
      <c r="BN81" s="3">
        <v>6</v>
      </c>
      <c r="BO81" s="3">
        <v>5</v>
      </c>
      <c r="BP81" s="3">
        <v>4</v>
      </c>
      <c r="BQ81" s="3">
        <v>3</v>
      </c>
      <c r="BR81" s="3">
        <v>2</v>
      </c>
      <c r="BS81" s="519">
        <v>1</v>
      </c>
      <c r="BT81" s="573">
        <v>12</v>
      </c>
      <c r="BU81" s="573">
        <f>SUM(BV82:CG117)</f>
        <v>0</v>
      </c>
      <c r="BV81" s="3">
        <v>12</v>
      </c>
      <c r="BW81" s="3">
        <v>11</v>
      </c>
      <c r="BX81" s="3">
        <v>10</v>
      </c>
      <c r="BY81" s="3">
        <v>9</v>
      </c>
      <c r="BZ81" s="3">
        <v>8</v>
      </c>
      <c r="CA81" s="3">
        <v>7</v>
      </c>
      <c r="CB81" s="3">
        <v>6</v>
      </c>
      <c r="CC81" s="3">
        <v>5</v>
      </c>
      <c r="CD81" s="3">
        <v>4</v>
      </c>
      <c r="CE81" s="3">
        <v>3</v>
      </c>
      <c r="CF81" s="3">
        <v>2</v>
      </c>
      <c r="CG81" s="519">
        <v>1</v>
      </c>
      <c r="CH81" s="573">
        <v>12</v>
      </c>
      <c r="CI81" s="573">
        <f>SUM(CJ82:CU117)</f>
        <v>0</v>
      </c>
      <c r="CJ81" s="3">
        <v>12</v>
      </c>
      <c r="CK81" s="3">
        <v>11</v>
      </c>
      <c r="CL81" s="3">
        <v>10</v>
      </c>
      <c r="CM81" s="3">
        <v>9</v>
      </c>
      <c r="CN81" s="3">
        <v>8</v>
      </c>
      <c r="CO81" s="3">
        <v>7</v>
      </c>
      <c r="CP81" s="3">
        <v>6</v>
      </c>
      <c r="CQ81" s="3">
        <v>5</v>
      </c>
      <c r="CR81" s="3">
        <v>4</v>
      </c>
      <c r="CS81" s="3">
        <v>3</v>
      </c>
      <c r="CT81" s="3">
        <v>2</v>
      </c>
      <c r="CU81" s="519">
        <v>1</v>
      </c>
    </row>
    <row r="82" spans="16:99" x14ac:dyDescent="0.25">
      <c r="P82" s="940" t="s">
        <v>39</v>
      </c>
      <c r="Q82" s="13" t="s">
        <v>61</v>
      </c>
      <c r="R82" s="518" t="str">
        <f>IF(AND(_AC1="A-350",'2023'!$O$4="CA",'2023'!$O$2=R81),'2023DATA2'!$C$3,"")</f>
        <v/>
      </c>
      <c r="S82" s="518" t="str">
        <f>IF(AND(_AC1="A-350",'2023'!$O$4="CA",'2023'!$O$2=S81),'2023DATA2'!$D$3,"")</f>
        <v/>
      </c>
      <c r="T82" s="518" t="str">
        <f>IF(AND(_AC1="A-350",'2023'!$O$4="CA",'2023'!$O$2=T81),'2023DATA2'!$E$3,"")</f>
        <v/>
      </c>
      <c r="U82" s="518" t="str">
        <f>IF(AND(_AC1="A-350",'2023'!$O$4="CA",'2023'!$O$2=U81),'2023DATA2'!$F$3,"")</f>
        <v/>
      </c>
      <c r="V82" s="518" t="str">
        <f>IF(AND(_AC1="A-350",'2023'!$O$4="CA",'2023'!$O$2=V81),'2023DATA2'!$G$3,"")</f>
        <v/>
      </c>
      <c r="W82" s="518" t="str">
        <f>IF(AND(_AC1="A-350",'2023'!$O$4="CA",'2023'!$O$2=W81),'2023DATA2'!$H$3,"")</f>
        <v/>
      </c>
      <c r="X82" s="518" t="str">
        <f>IF(AND(_AC1="A-350",'2023'!$O$4="CA",'2023'!$O$2=X81),'2023DATA2'!$I$3,"")</f>
        <v/>
      </c>
      <c r="Y82" s="518" t="str">
        <f>IF(AND(_AC1="A-350",'2023'!$O$4="CA",'2023'!$O$2=Y81),'2023DATA2'!$J$3,"")</f>
        <v/>
      </c>
      <c r="Z82" s="518" t="str">
        <f>IF(AND(_AC1="A-350",'2023'!$O$4="CA",'2023'!$O$2=Z81),'2023DATA2'!$K$3,"")</f>
        <v/>
      </c>
      <c r="AA82" s="518" t="str">
        <f>IF(AND(_AC1="A-350",'2023'!$O$4="CA",'2023'!$O$2=AA81),'2023DATA2'!$L$3,"")</f>
        <v/>
      </c>
      <c r="AB82" s="518" t="str">
        <f>IF(AND(_AC1="A-350",'2023'!$O$4="CA",'2023'!$O$2=AB81),'2023DATA2'!$M$3,"")</f>
        <v/>
      </c>
      <c r="AC82" s="520" t="str">
        <f>IF(AND(_AC1="A-350",'2023'!$O$4="CA",'2023'!$O$2=AC81),'2023DATA2'!$N$3,"")</f>
        <v/>
      </c>
      <c r="AD82" s="940" t="s">
        <v>39</v>
      </c>
      <c r="AE82" s="13" t="s">
        <v>61</v>
      </c>
      <c r="AF82" s="518" t="str">
        <f>IF(AND(_AC2="A-350",'2023'!$O$4="CA",'2023'!$O$2=AF81),'2023DATA2'!$C$3,"")</f>
        <v/>
      </c>
      <c r="AG82" s="518" t="str">
        <f>IF(AND(_AC2="A-350",'2023'!$O$4="CA",'2023'!$O$2=AG81),'2023DATA2'!$D$3,"")</f>
        <v/>
      </c>
      <c r="AH82" s="518" t="str">
        <f>IF(AND(_AC2="A-350",'2023'!$O$4="CA",'2023'!$O$2=AH81),'2023DATA2'!$E$3,"")</f>
        <v/>
      </c>
      <c r="AI82" s="518" t="str">
        <f>IF(AND(_AC2="A-350",'2023'!$O$4="CA",'2023'!$O$2=AI81),'2023DATA2'!$F$3,"")</f>
        <v/>
      </c>
      <c r="AJ82" s="518" t="str">
        <f>IF(AND(_AC2="A-350",'2023'!$O$4="CA",'2023'!$O$2=AJ81),'2023DATA2'!$G$3,"")</f>
        <v/>
      </c>
      <c r="AK82" s="518" t="str">
        <f>IF(AND(_AC2="A-350",'2023'!$O$4="CA",'2023'!$O$2=AK81),'2023DATA2'!$H$3,"")</f>
        <v/>
      </c>
      <c r="AL82" s="518" t="str">
        <f>IF(AND(_AC2="A-350",'2023'!$O$4="CA",'2023'!$O$2=AL81),'2023DATA2'!$I$3,"")</f>
        <v/>
      </c>
      <c r="AM82" s="518" t="str">
        <f>IF(AND(_AC2="A-350",'2023'!$O$4="CA",'2023'!$O$2=AM81),'2023DATA2'!$J$3,"")</f>
        <v/>
      </c>
      <c r="AN82" s="518" t="str">
        <f>IF(AND(_AC2="A-350",'2023'!$O$4="CA",'2023'!$O$2=AN81),'2023DATA2'!$K$3,"")</f>
        <v/>
      </c>
      <c r="AO82" s="518" t="str">
        <f>IF(AND(_AC2="A-350",'2023'!$O$4="CA",'2023'!$O$2=AO81),'2023DATA2'!$L$3,"")</f>
        <v/>
      </c>
      <c r="AP82" s="518" t="str">
        <f>IF(AND(_AC2="A-350",'2023'!$O$4="CA",'2023'!$O$2=AP81),'2023DATA2'!$M$3,"")</f>
        <v/>
      </c>
      <c r="AQ82" s="520" t="str">
        <f>IF(AND(_AC2="A-350",'2023'!$O$4="CA",'2023'!$O$2=AQ81),'2023DATA2'!$N$3,"")</f>
        <v/>
      </c>
      <c r="AR82" s="940" t="s">
        <v>39</v>
      </c>
      <c r="AS82" s="13" t="s">
        <v>61</v>
      </c>
      <c r="AT82" s="518" t="str">
        <f>IF(AND(_AC3="A-350",'2023'!$O$4="CA",'2023'!$O$2=AT81),'2023DATA2'!$C$3,"")</f>
        <v/>
      </c>
      <c r="AU82" s="518" t="str">
        <f>IF(AND(_AC3="A-350",'2023'!$O$4="CA",'2023'!$O$2=AU81),'2023DATA2'!$D$3,"")</f>
        <v/>
      </c>
      <c r="AV82" s="518" t="str">
        <f>IF(AND(_AC3="A-350",'2023'!$O$4="CA",'2023'!$O$2=AV81),'2023DATA2'!$E$3,"")</f>
        <v/>
      </c>
      <c r="AW82" s="518" t="str">
        <f>IF(AND(_AC3="A-350",'2023'!$O$4="CA",'2023'!$O$2=AW81),'2023DATA2'!$F$3,"")</f>
        <v/>
      </c>
      <c r="AX82" s="518" t="str">
        <f>IF(AND(_AC3="A-350",'2023'!$O$4="CA",'2023'!$O$2=AX81),'2023DATA2'!$G$3,"")</f>
        <v/>
      </c>
      <c r="AY82" s="518" t="str">
        <f>IF(AND(_AC3="A-350",'2023'!$O$4="CA",'2023'!$O$2=AY81),'2023DATA2'!$H$3,"")</f>
        <v/>
      </c>
      <c r="AZ82" s="518" t="str">
        <f>IF(AND(_AC3="A-350",'2023'!$O$4="CA",'2023'!$O$2=AZ81),'2023DATA2'!$I$3,"")</f>
        <v/>
      </c>
      <c r="BA82" s="518" t="str">
        <f>IF(AND(_AC3="A-350",'2023'!$O$4="CA",'2023'!$O$2=BA81),'2023DATA2'!$J$3,"")</f>
        <v/>
      </c>
      <c r="BB82" s="518" t="str">
        <f>IF(AND(_AC3="A-350",'2023'!$O$4="CA",'2023'!$O$2=BB81),'2023DATA2'!$K$3,"")</f>
        <v/>
      </c>
      <c r="BC82" s="518" t="str">
        <f>IF(AND(_AC3="A-350",'2023'!$O$4="CA",'2023'!$O$2=BC81),'2023DATA2'!$L$3,"")</f>
        <v/>
      </c>
      <c r="BD82" s="518" t="str">
        <f>IF(AND(_AC3="A-350",'2023'!$O$4="CA",'2023'!$O$2=BD81),'2023DATA2'!$M$3,"")</f>
        <v/>
      </c>
      <c r="BE82" s="520" t="str">
        <f>IF(AND(_AC3="A-350",'2023'!$O$4="CA",'2023'!$O$2=BE81),'2023DATA2'!$N$3,"")</f>
        <v/>
      </c>
      <c r="BF82" s="940" t="s">
        <v>39</v>
      </c>
      <c r="BG82" s="13" t="s">
        <v>61</v>
      </c>
      <c r="BH82" s="518" t="str">
        <f>IF(AND(_AC4="A-350",'2023'!$O$4="CA",'2023'!$O$2=BH81),'2023DATA2'!$C$3,"")</f>
        <v/>
      </c>
      <c r="BI82" s="518" t="str">
        <f>IF(AND(_AC4="A-350",'2023'!$O$4="CA",'2023'!$O$2=BI81),'2023DATA2'!$D$3,"")</f>
        <v/>
      </c>
      <c r="BJ82" s="518" t="str">
        <f>IF(AND(_AC4="A-350",'2023'!$O$4="CA",'2023'!$O$2=BJ81),'2023DATA2'!$E$3,"")</f>
        <v/>
      </c>
      <c r="BK82" s="518" t="str">
        <f>IF(AND(_AC4="A-350",'2023'!$O$4="CA",'2023'!$O$2=BK81),'2023DATA2'!$F$3,"")</f>
        <v/>
      </c>
      <c r="BL82" s="518" t="str">
        <f>IF(AND(_AC4="A-350",'2023'!$O$4="CA",'2023'!$O$2=BL81),'2023DATA2'!$G$3,"")</f>
        <v/>
      </c>
      <c r="BM82" s="518" t="str">
        <f>IF(AND(_AC4="A-350",'2023'!$O$4="CA",'2023'!$O$2=BM81),'2023DATA2'!$H$3,"")</f>
        <v/>
      </c>
      <c r="BN82" s="518" t="str">
        <f>IF(AND(_AC4="A-350",'2023'!$O$4="CA",'2023'!$O$2=BN81),'2023DATA2'!$I$3,"")</f>
        <v/>
      </c>
      <c r="BO82" s="518" t="str">
        <f>IF(AND(_AC4="A-350",'2023'!$O$4="CA",'2023'!$O$2=BO81),'2023DATA2'!$J$3,"")</f>
        <v/>
      </c>
      <c r="BP82" s="518" t="str">
        <f>IF(AND(_AC4="A-350",'2023'!$O$4="CA",'2023'!$O$2=BP81),'2023DATA2'!$K$3,"")</f>
        <v/>
      </c>
      <c r="BQ82" s="518" t="str">
        <f>IF(AND(_AC4="A-350",'2023'!$O$4="CA",'2023'!$O$2=BQ81),'2023DATA2'!$L$3,"")</f>
        <v/>
      </c>
      <c r="BR82" s="518" t="str">
        <f>IF(AND(_AC4="A-350",'2023'!$O$4="CA",'2023'!$O$2=BR81),'2023DATA2'!$M$3,"")</f>
        <v/>
      </c>
      <c r="BS82" s="520" t="str">
        <f>IF(AND(_AC4="A-350",'2023'!$O$4="CA",'2023'!$O$2=BS81),'2023DATA2'!$N$3,"")</f>
        <v/>
      </c>
      <c r="BT82" s="940" t="s">
        <v>39</v>
      </c>
      <c r="BU82" s="13" t="s">
        <v>61</v>
      </c>
      <c r="BV82" s="518" t="str">
        <f>IF(AND(_AC5="A-350",'2023'!$O$4="CA",'2023'!$O$2=BV81),'2023DATA2'!$C$3,"")</f>
        <v/>
      </c>
      <c r="BW82" s="518" t="str">
        <f>IF(AND(_AC5="A-350",'2023'!$O$4="CA",'2023'!$O$2=BW81),'2023DATA2'!$D$3,"")</f>
        <v/>
      </c>
      <c r="BX82" s="518" t="str">
        <f>IF(AND(_AC5="A-350",'2023'!$O$4="CA",'2023'!$O$2=BX81),'2023DATA2'!$E$3,"")</f>
        <v/>
      </c>
      <c r="BY82" s="518" t="str">
        <f>IF(AND(_AC5="A-350",'2023'!$O$4="CA",'2023'!$O$2=BY81),'2023DATA2'!$F$3,"")</f>
        <v/>
      </c>
      <c r="BZ82" s="518" t="str">
        <f>IF(AND(_AC5="A-350",'2023'!$O$4="CA",'2023'!$O$2=BZ81),'2023DATA2'!$G$3,"")</f>
        <v/>
      </c>
      <c r="CA82" s="518" t="str">
        <f>IF(AND(_AC5="A-350",'2023'!$O$4="CA",'2023'!$O$2=CA81),'2023DATA2'!$H$3,"")</f>
        <v/>
      </c>
      <c r="CB82" s="518" t="str">
        <f>IF(AND(_AC5="A-350",'2023'!$O$4="CA",'2023'!$O$2=CB81),'2023DATA2'!$I$3,"")</f>
        <v/>
      </c>
      <c r="CC82" s="518" t="str">
        <f>IF(AND(_AC5="A-350",'2023'!$O$4="CA",'2023'!$O$2=CC81),'2023DATA2'!$J$3,"")</f>
        <v/>
      </c>
      <c r="CD82" s="518" t="str">
        <f>IF(AND(_AC5="A-350",'2023'!$O$4="CA",'2023'!$O$2=CD81),'2023DATA2'!$K$3,"")</f>
        <v/>
      </c>
      <c r="CE82" s="518" t="str">
        <f>IF(AND(_AC5="A-350",'2023'!$O$4="CA",'2023'!$O$2=CE81),'2023DATA2'!$L$3,"")</f>
        <v/>
      </c>
      <c r="CF82" s="518" t="str">
        <f>IF(AND(_AC5="A-350",'2023'!$O$4="CA",'2023'!$O$2=CF81),'2023DATA2'!$M$3,"")</f>
        <v/>
      </c>
      <c r="CG82" s="520" t="str">
        <f>IF(AND(_AC5="A-350",'2023'!$O$4="CA",'2023'!$O$2=CG81),'2023DATA2'!$N$3,"")</f>
        <v/>
      </c>
      <c r="CH82" s="940" t="s">
        <v>39</v>
      </c>
      <c r="CI82" s="13" t="s">
        <v>61</v>
      </c>
      <c r="CJ82" s="518" t="str">
        <f>IF(AND(_AC6="A-350",'2023'!$O$4="CA",'2023'!$O$2=CJ81),'2023DATA2'!$C$3,"")</f>
        <v/>
      </c>
      <c r="CK82" s="518" t="str">
        <f>IF(AND(_AC6="A-350",'2023'!$O$4="CA",'2023'!$O$2=CK81),'2023DATA2'!$D$3,"")</f>
        <v/>
      </c>
      <c r="CL82" s="518" t="str">
        <f>IF(AND(_AC6="A-350",'2023'!$O$4="CA",'2023'!$O$2=CL81),'2023DATA2'!$E$3,"")</f>
        <v/>
      </c>
      <c r="CM82" s="518" t="str">
        <f>IF(AND(_AC6="A-350",'2023'!$O$4="CA",'2023'!$O$2=CM81),'2023DATA2'!$F$3,"")</f>
        <v/>
      </c>
      <c r="CN82" s="518" t="str">
        <f>IF(AND(_AC6="A-350",'2023'!$O$4="CA",'2023'!$O$2=CN81),'2023DATA2'!$G$3,"")</f>
        <v/>
      </c>
      <c r="CO82" s="518" t="str">
        <f>IF(AND(_AC6="A-350",'2023'!$O$4="CA",'2023'!$O$2=CO81),'2023DATA2'!$H$3,"")</f>
        <v/>
      </c>
      <c r="CP82" s="518" t="str">
        <f>IF(AND(_AC6="A-350",'2023'!$O$4="CA",'2023'!$O$2=CP81),'2023DATA2'!$I$3,"")</f>
        <v/>
      </c>
      <c r="CQ82" s="518" t="str">
        <f>IF(AND(_AC6="A-350",'2023'!$O$4="CA",'2023'!$O$2=CQ81),'2023DATA2'!$J$3,"")</f>
        <v/>
      </c>
      <c r="CR82" s="518" t="str">
        <f>IF(AND(_AC6="A-350",'2023'!$O$4="CA",'2023'!$O$2=CR81),'2023DATA2'!$K$3,"")</f>
        <v/>
      </c>
      <c r="CS82" s="518" t="str">
        <f>IF(AND(_AC6="A-350",'2023'!$O$4="CA",'2023'!$O$2=CS81),'2023DATA2'!$L$3,"")</f>
        <v/>
      </c>
      <c r="CT82" s="518" t="str">
        <f>IF(AND(_AC6="A-350",'2023'!$O$4="CA",'2023'!$O$2=CT81),'2023DATA2'!$M$3,"")</f>
        <v/>
      </c>
      <c r="CU82" s="520" t="str">
        <f>IF(AND(_AC6="A-350",'2023'!$O$4="CA",'2023'!$O$2=CU81),'2023DATA2'!$N$3,"")</f>
        <v/>
      </c>
    </row>
    <row r="83" spans="16:99" x14ac:dyDescent="0.25">
      <c r="P83" s="940"/>
      <c r="Q83" s="13" t="s">
        <v>62</v>
      </c>
      <c r="R83" s="518" t="str">
        <f>IF(AND(_AC1="A-350",'2023'!$O$4="FO",'2023'!$O$2=R81),'2023DATA2'!$C$4,"")</f>
        <v/>
      </c>
      <c r="S83" s="518" t="str">
        <f>IF(AND(_AC1="A-350",'2023'!$O$4="FO",'2023'!$O$2=S81),'2023DATA2'!$D$4,"")</f>
        <v/>
      </c>
      <c r="T83" s="518" t="str">
        <f>IF(AND(_AC1="A-350",'2023'!$O$4="FO",'2023'!$O$2=T81),'2023DATA2'!$E$4,"")</f>
        <v/>
      </c>
      <c r="U83" s="518" t="str">
        <f>IF(AND(_AC1="A-350",'2023'!$O$4="FO",'2023'!$O$2=U81),'2023DATA2'!$F$4,"")</f>
        <v/>
      </c>
      <c r="V83" s="518" t="str">
        <f>IF(AND(_AC1="A-350",'2023'!$O$4="FO",'2023'!$O$2=V81),'2023DATA2'!$G$4,"")</f>
        <v/>
      </c>
      <c r="W83" s="518" t="str">
        <f>IF(AND(_AC1="A-350",'2023'!$O$4="FO",'2023'!$O$2=W81),'2023DATA2'!$H$4,"")</f>
        <v/>
      </c>
      <c r="X83" s="518" t="str">
        <f>IF(AND(_AC1="A-350",'2023'!$O$4="FO",'2023'!$O$2=X81),'2023DATA2'!$I$4,"")</f>
        <v/>
      </c>
      <c r="Y83" s="518" t="str">
        <f>IF(AND(_AC1="A-350",'2023'!$O$4="FO",'2023'!$O$2=Y81),'2023DATA2'!$J$4,"")</f>
        <v/>
      </c>
      <c r="Z83" s="518" t="str">
        <f>IF(AND(_AC1="A-350",'2023'!$O$4="FO",'2023'!$O$2=Z81),'2023DATA2'!$K$4,"")</f>
        <v/>
      </c>
      <c r="AA83" s="518" t="str">
        <f>IF(AND(_AC1="A-350",'2023'!$O$4="FO",'2023'!$O$2=AA81),'2023DATA2'!$L$4,"")</f>
        <v/>
      </c>
      <c r="AB83" s="518" t="str">
        <f>IF(AND(_AC1="A-350",'2023'!$O$4="FO",'2023'!$O$2=AB81),'2023DATA2'!$M$4,"")</f>
        <v/>
      </c>
      <c r="AC83" s="520" t="str">
        <f>IF(AND(_AC1="A-350",'2023'!$O$4="FO",'2023'!$O$2=AC81),'2023DATA2'!$N$4,"")</f>
        <v/>
      </c>
      <c r="AD83" s="940"/>
      <c r="AE83" s="13" t="s">
        <v>62</v>
      </c>
      <c r="AF83" s="518" t="str">
        <f>IF(AND(_AC2="A-350",'2023'!$O$4="FO",'2023'!$O$2=AF81),'2023DATA2'!$C$4,"")</f>
        <v/>
      </c>
      <c r="AG83" s="518" t="str">
        <f>IF(AND(_AC2="A-350",'2023'!$O$4="FO",'2023'!$O$2=AG81),'2023DATA2'!$D$4,"")</f>
        <v/>
      </c>
      <c r="AH83" s="518" t="str">
        <f>IF(AND(_AC2="A-350",'2023'!$O$4="FO",'2023'!$O$2=AH81),'2023DATA2'!$E$4,"")</f>
        <v/>
      </c>
      <c r="AI83" s="518" t="str">
        <f>IF(AND(_AC2="A-350",'2023'!$O$4="FO",'2023'!$O$2=AI81),'2023DATA2'!$F$4,"")</f>
        <v/>
      </c>
      <c r="AJ83" s="518" t="str">
        <f>IF(AND(_AC2="A-350",'2023'!$O$4="FO",'2023'!$O$2=AJ81),'2023DATA2'!$G$4,"")</f>
        <v/>
      </c>
      <c r="AK83" s="518" t="str">
        <f>IF(AND(_AC2="A-350",'2023'!$O$4="FO",'2023'!$O$2=AK81),'2023DATA2'!$H$4,"")</f>
        <v/>
      </c>
      <c r="AL83" s="518" t="str">
        <f>IF(AND(_AC2="A-350",'2023'!$O$4="FO",'2023'!$O$2=AL81),'2023DATA2'!$I$4,"")</f>
        <v/>
      </c>
      <c r="AM83" s="518" t="str">
        <f>IF(AND(_AC2="A-350",'2023'!$O$4="FO",'2023'!$O$2=AM81),'2023DATA2'!$J$4,"")</f>
        <v/>
      </c>
      <c r="AN83" s="518" t="str">
        <f>IF(AND(_AC2="A-350",'2023'!$O$4="FO",'2023'!$O$2=AN81),'2023DATA2'!$K$4,"")</f>
        <v/>
      </c>
      <c r="AO83" s="518" t="str">
        <f>IF(AND(_AC2="A-350",'2023'!$O$4="FO",'2023'!$O$2=AO81),'2023DATA2'!$L$4,"")</f>
        <v/>
      </c>
      <c r="AP83" s="518" t="str">
        <f>IF(AND(_AC2="A-350",'2023'!$O$4="FO",'2023'!$O$2=AP81),'2023DATA2'!$M$4,"")</f>
        <v/>
      </c>
      <c r="AQ83" s="520" t="str">
        <f>IF(AND(_AC2="A-350",'2023'!$O$4="FO",'2023'!$O$2=AQ81),'2023DATA2'!$N$4,"")</f>
        <v/>
      </c>
      <c r="AR83" s="940"/>
      <c r="AS83" s="13" t="s">
        <v>62</v>
      </c>
      <c r="AT83" s="518" t="str">
        <f>IF(AND(_AC3="A-350",'2023'!$O$4="FO",'2023'!$O$2=AT81),'2023DATA2'!$C$4,"")</f>
        <v/>
      </c>
      <c r="AU83" s="518" t="str">
        <f>IF(AND(_AC3="A-350",'2023'!$O$4="FO",'2023'!$O$2=AU81),'2023DATA2'!$D$4,"")</f>
        <v/>
      </c>
      <c r="AV83" s="518" t="str">
        <f>IF(AND(_AC3="A-350",'2023'!$O$4="FO",'2023'!$O$2=AV81),'2023DATA2'!$E$4,"")</f>
        <v/>
      </c>
      <c r="AW83" s="518" t="str">
        <f>IF(AND(_AC3="A-350",'2023'!$O$4="FO",'2023'!$O$2=AW81),'2023DATA2'!$F$4,"")</f>
        <v/>
      </c>
      <c r="AX83" s="518" t="str">
        <f>IF(AND(_AC3="A-350",'2023'!$O$4="FO",'2023'!$O$2=AX81),'2023DATA2'!$G$4,"")</f>
        <v/>
      </c>
      <c r="AY83" s="518" t="str">
        <f>IF(AND(_AC3="A-350",'2023'!$O$4="FO",'2023'!$O$2=AY81),'2023DATA2'!$H$4,"")</f>
        <v/>
      </c>
      <c r="AZ83" s="518" t="str">
        <f>IF(AND(_AC3="A-350",'2023'!$O$4="FO",'2023'!$O$2=AZ81),'2023DATA2'!$I$4,"")</f>
        <v/>
      </c>
      <c r="BA83" s="518" t="str">
        <f>IF(AND(_AC3="A-350",'2023'!$O$4="FO",'2023'!$O$2=BA81),'2023DATA2'!$J$4,"")</f>
        <v/>
      </c>
      <c r="BB83" s="518" t="str">
        <f>IF(AND(_AC3="A-350",'2023'!$O$4="FO",'2023'!$O$2=BB81),'2023DATA2'!$K$4,"")</f>
        <v/>
      </c>
      <c r="BC83" s="518" t="str">
        <f>IF(AND(_AC3="A-350",'2023'!$O$4="FO",'2023'!$O$2=BC81),'2023DATA2'!$L$4,"")</f>
        <v/>
      </c>
      <c r="BD83" s="518" t="str">
        <f>IF(AND(_AC3="A-350",'2023'!$O$4="FO",'2023'!$O$2=BD81),'2023DATA2'!$M$4,"")</f>
        <v/>
      </c>
      <c r="BE83" s="520" t="str">
        <f>IF(AND(_AC3="A-350",'2023'!$O$4="FO",'2023'!$O$2=BE81),'2023DATA2'!$N$4,"")</f>
        <v/>
      </c>
      <c r="BF83" s="940"/>
      <c r="BG83" s="13" t="s">
        <v>62</v>
      </c>
      <c r="BH83" s="518" t="str">
        <f>IF(AND(_AC4="A-350",'2023'!$O$4="FO",'2023'!$O$2=BH81),'2023DATA2'!$C$4,"")</f>
        <v/>
      </c>
      <c r="BI83" s="518" t="str">
        <f>IF(AND(_AC4="A-350",'2023'!$O$4="FO",'2023'!$O$2=BI81),'2023DATA2'!$D$4,"")</f>
        <v/>
      </c>
      <c r="BJ83" s="518" t="str">
        <f>IF(AND(_AC4="A-350",'2023'!$O$4="FO",'2023'!$O$2=BJ81),'2023DATA2'!$E$4,"")</f>
        <v/>
      </c>
      <c r="BK83" s="518" t="str">
        <f>IF(AND(_AC4="A-350",'2023'!$O$4="FO",'2023'!$O$2=BK81),'2023DATA2'!$F$4,"")</f>
        <v/>
      </c>
      <c r="BL83" s="518" t="str">
        <f>IF(AND(_AC4="A-350",'2023'!$O$4="FO",'2023'!$O$2=BL81),'2023DATA2'!$G$4,"")</f>
        <v/>
      </c>
      <c r="BM83" s="518" t="str">
        <f>IF(AND(_AC4="A-350",'2023'!$O$4="FO",'2023'!$O$2=BM81),'2023DATA2'!$H$4,"")</f>
        <v/>
      </c>
      <c r="BN83" s="518" t="str">
        <f>IF(AND(_AC4="A-350",'2023'!$O$4="FO",'2023'!$O$2=BN81),'2023DATA2'!$I$4,"")</f>
        <v/>
      </c>
      <c r="BO83" s="518" t="str">
        <f>IF(AND(_AC4="A-350",'2023'!$O$4="FO",'2023'!$O$2=BO81),'2023DATA2'!$J$4,"")</f>
        <v/>
      </c>
      <c r="BP83" s="518" t="str">
        <f>IF(AND(_AC4="A-350",'2023'!$O$4="FO",'2023'!$O$2=BP81),'2023DATA2'!$K$4,"")</f>
        <v/>
      </c>
      <c r="BQ83" s="518" t="str">
        <f>IF(AND(_AC4="A-350",'2023'!$O$4="FO",'2023'!$O$2=BQ81),'2023DATA2'!$L$4,"")</f>
        <v/>
      </c>
      <c r="BR83" s="518" t="str">
        <f>IF(AND(_AC4="A-350",'2023'!$O$4="FO",'2023'!$O$2=BR81),'2023DATA2'!$M$4,"")</f>
        <v/>
      </c>
      <c r="BS83" s="520" t="str">
        <f>IF(AND(_AC4="A-350",'2023'!$O$4="FO",'2023'!$O$2=BS81),'2023DATA2'!$N$4,"")</f>
        <v/>
      </c>
      <c r="BT83" s="940"/>
      <c r="BU83" s="13" t="s">
        <v>62</v>
      </c>
      <c r="BV83" s="518" t="str">
        <f>IF(AND(_AC5="A-350",'2023'!$O$4="FO",'2023'!$O$2=BV81),'2023DATA2'!$C$4,"")</f>
        <v/>
      </c>
      <c r="BW83" s="518" t="str">
        <f>IF(AND(_AC5="A-350",'2023'!$O$4="FO",'2023'!$O$2=BW81),'2023DATA2'!$D$4,"")</f>
        <v/>
      </c>
      <c r="BX83" s="518" t="str">
        <f>IF(AND(_AC5="A-350",'2023'!$O$4="FO",'2023'!$O$2=BX81),'2023DATA2'!$E$4,"")</f>
        <v/>
      </c>
      <c r="BY83" s="518" t="str">
        <f>IF(AND(_AC5="A-350",'2023'!$O$4="FO",'2023'!$O$2=BY81),'2023DATA2'!$F$4,"")</f>
        <v/>
      </c>
      <c r="BZ83" s="518" t="str">
        <f>IF(AND(_AC5="A-350",'2023'!$O$4="FO",'2023'!$O$2=BZ81),'2023DATA2'!$G$4,"")</f>
        <v/>
      </c>
      <c r="CA83" s="518" t="str">
        <f>IF(AND(_AC5="A-350",'2023'!$O$4="FO",'2023'!$O$2=CA81),'2023DATA2'!$H$4,"")</f>
        <v/>
      </c>
      <c r="CB83" s="518" t="str">
        <f>IF(AND(_AC5="A-350",'2023'!$O$4="FO",'2023'!$O$2=CB81),'2023DATA2'!$I$4,"")</f>
        <v/>
      </c>
      <c r="CC83" s="518" t="str">
        <f>IF(AND(_AC5="A-350",'2023'!$O$4="FO",'2023'!$O$2=CC81),'2023DATA2'!$J$4,"")</f>
        <v/>
      </c>
      <c r="CD83" s="518" t="str">
        <f>IF(AND(_AC5="A-350",'2023'!$O$4="FO",'2023'!$O$2=CD81),'2023DATA2'!$K$4,"")</f>
        <v/>
      </c>
      <c r="CE83" s="518" t="str">
        <f>IF(AND(_AC5="A-350",'2023'!$O$4="FO",'2023'!$O$2=CE81),'2023DATA2'!$L$4,"")</f>
        <v/>
      </c>
      <c r="CF83" s="518" t="str">
        <f>IF(AND(_AC5="A-350",'2023'!$O$4="FO",'2023'!$O$2=CF81),'2023DATA2'!$M$4,"")</f>
        <v/>
      </c>
      <c r="CG83" s="520" t="str">
        <f>IF(AND(_AC5="A-350",'2023'!$O$4="FO",'2023'!$O$2=CG81),'2023DATA2'!$N$4,"")</f>
        <v/>
      </c>
      <c r="CH83" s="940"/>
      <c r="CI83" s="13" t="s">
        <v>62</v>
      </c>
      <c r="CJ83" s="518" t="str">
        <f>IF(AND(_AC6="A-350",'2023'!$O$4="FO",'2023'!$O$2=CJ81),'2023DATA2'!$C$4,"")</f>
        <v/>
      </c>
      <c r="CK83" s="518" t="str">
        <f>IF(AND(_AC6="A-350",'2023'!$O$4="FO",'2023'!$O$2=CK81),'2023DATA2'!$D$4,"")</f>
        <v/>
      </c>
      <c r="CL83" s="518" t="str">
        <f>IF(AND(_AC6="A-350",'2023'!$O$4="FO",'2023'!$O$2=CL81),'2023DATA2'!$E$4,"")</f>
        <v/>
      </c>
      <c r="CM83" s="518" t="str">
        <f>IF(AND(_AC6="A-350",'2023'!$O$4="FO",'2023'!$O$2=CM81),'2023DATA2'!$F$4,"")</f>
        <v/>
      </c>
      <c r="CN83" s="518" t="str">
        <f>IF(AND(_AC6="A-350",'2023'!$O$4="FO",'2023'!$O$2=CN81),'2023DATA2'!$G$4,"")</f>
        <v/>
      </c>
      <c r="CO83" s="518" t="str">
        <f>IF(AND(_AC6="A-350",'2023'!$O$4="FO",'2023'!$O$2=CO81),'2023DATA2'!$H$4,"")</f>
        <v/>
      </c>
      <c r="CP83" s="518" t="str">
        <f>IF(AND(_AC6="A-350",'2023'!$O$4="FO",'2023'!$O$2=CP81),'2023DATA2'!$I$4,"")</f>
        <v/>
      </c>
      <c r="CQ83" s="518" t="str">
        <f>IF(AND(_AC6="A-350",'2023'!$O$4="FO",'2023'!$O$2=CQ81),'2023DATA2'!$J$4,"")</f>
        <v/>
      </c>
      <c r="CR83" s="518" t="str">
        <f>IF(AND(_AC6="A-350",'2023'!$O$4="FO",'2023'!$O$2=CR81),'2023DATA2'!$K$4,"")</f>
        <v/>
      </c>
      <c r="CS83" s="518" t="str">
        <f>IF(AND(_AC6="A-350",'2023'!$O$4="FO",'2023'!$O$2=CS81),'2023DATA2'!$L$4,"")</f>
        <v/>
      </c>
      <c r="CT83" s="518" t="str">
        <f>IF(AND(_AC6="A-350",'2023'!$O$4="FO",'2023'!$O$2=CT81),'2023DATA2'!$M$4,"")</f>
        <v/>
      </c>
      <c r="CU83" s="520" t="str">
        <f>IF(AND(_AC6="A-350",'2023'!$O$4="FO",'2023'!$O$2=CU81),'2023DATA2'!$N$4,"")</f>
        <v/>
      </c>
    </row>
    <row r="84" spans="16:99" x14ac:dyDescent="0.25">
      <c r="P84" s="940" t="s">
        <v>65</v>
      </c>
      <c r="Q84" s="13" t="s">
        <v>61</v>
      </c>
      <c r="R84" s="518" t="str">
        <f>IF(AND(_AC1="A-330-900",'2023'!$O$4="CA",'2023'!$O$2=R81),'2023DATA2'!$C$5,"")</f>
        <v/>
      </c>
      <c r="S84" s="518" t="str">
        <f>IF(AND(_AC1="A-330-900",'2023'!$O$4="CA",'2023'!$O$2=S81),'2023DATA2'!$D$5,"")</f>
        <v/>
      </c>
      <c r="T84" s="518" t="str">
        <f>IF(AND(_AC1="A-330-900",'2023'!$O$4="CA",'2023'!$O$2=T81),'2023DATA2'!$E$5,"")</f>
        <v/>
      </c>
      <c r="U84" s="518" t="str">
        <f>IF(AND(_AC1="A-330-900",'2023'!$O$4="CA",'2023'!$O$2=U81),'2023DATA2'!$F$5,"")</f>
        <v/>
      </c>
      <c r="V84" s="518" t="str">
        <f>IF(AND(_AC1="A-330-900",'2023'!$O$4="CA",'2023'!$O$2=V81),'2023DATA2'!$G$5,"")</f>
        <v/>
      </c>
      <c r="W84" s="518" t="str">
        <f>IF(AND(_AC1="A-330-900",'2023'!$O$4="CA",'2023'!$O$2=W81),'2023DATA2'!$H$5,"")</f>
        <v/>
      </c>
      <c r="X84" s="518" t="str">
        <f>IF(AND(_AC1="A-330-900",'2023'!$O$4="CA",'2023'!$O$2=X81),'2023DATA2'!$I$5,"")</f>
        <v/>
      </c>
      <c r="Y84" s="518" t="str">
        <f>IF(AND(_AC1="A-330-900",'2023'!$O$4="CA",'2023'!$O$2=Y81),'2023DATA2'!$J$5,"")</f>
        <v/>
      </c>
      <c r="Z84" s="518" t="str">
        <f>IF(AND(_AC1="A-330-900",'2023'!$O$4="CA",'2023'!$O$2=Z81),'2023DATA2'!$K$5,"")</f>
        <v/>
      </c>
      <c r="AA84" s="518" t="str">
        <f>IF(AND(_AC1="A-330-900",'2023'!$O$4="CA",'2023'!$O$2=AA81),'2023DATA2'!$L$5,"")</f>
        <v/>
      </c>
      <c r="AB84" s="518" t="str">
        <f>IF(AND(_AC1="A-330-900",'2023'!$O$4="CA",'2023'!$O$2=AB81),'2023DATA2'!$M$5,"")</f>
        <v/>
      </c>
      <c r="AC84" s="520" t="str">
        <f>IF(AND(_AC1="A-330-900",'2023'!$O$4="CA",'2023'!$O$2=AC81),'2023DATA2'!$N$5,"")</f>
        <v/>
      </c>
      <c r="AD84" s="940" t="s">
        <v>65</v>
      </c>
      <c r="AE84" s="13" t="s">
        <v>61</v>
      </c>
      <c r="AF84" s="518" t="str">
        <f>IF(AND(_AC2="A-330-900",'2023'!$O$4="CA",'2023'!$O$2=AF81),'2023DATA2'!$C$5,"")</f>
        <v/>
      </c>
      <c r="AG84" s="518" t="str">
        <f>IF(AND(_AC2="A-330-900",'2023'!$O$4="CA",'2023'!$O$2=AG81),'2023DATA2'!$D$5,"")</f>
        <v/>
      </c>
      <c r="AH84" s="518" t="str">
        <f>IF(AND(_AC2="A-330-900",'2023'!$O$4="CA",'2023'!$O$2=AH81),'2023DATA2'!$E$5,"")</f>
        <v/>
      </c>
      <c r="AI84" s="518" t="str">
        <f>IF(AND(_AC2="A-330-900",'2023'!$O$4="CA",'2023'!$O$2=AI81),'2023DATA2'!$F$5,"")</f>
        <v/>
      </c>
      <c r="AJ84" s="518" t="str">
        <f>IF(AND(_AC2="A-330-900",'2023'!$O$4="CA",'2023'!$O$2=AJ81),'2023DATA2'!$G$5,"")</f>
        <v/>
      </c>
      <c r="AK84" s="518" t="str">
        <f>IF(AND(_AC2="A-330-900",'2023'!$O$4="CA",'2023'!$O$2=AK81),'2023DATA2'!$H$5,"")</f>
        <v/>
      </c>
      <c r="AL84" s="518" t="str">
        <f>IF(AND(_AC2="A-330-900",'2023'!$O$4="CA",'2023'!$O$2=AL81),'2023DATA2'!$I$5,"")</f>
        <v/>
      </c>
      <c r="AM84" s="518" t="str">
        <f>IF(AND(_AC2="A-330-900",'2023'!$O$4="CA",'2023'!$O$2=AM81),'2023DATA2'!$J$5,"")</f>
        <v/>
      </c>
      <c r="AN84" s="518" t="str">
        <f>IF(AND(_AC2="A-330-900",'2023'!$O$4="CA",'2023'!$O$2=AN81),'2023DATA2'!$K$5,"")</f>
        <v/>
      </c>
      <c r="AO84" s="518" t="str">
        <f>IF(AND(_AC2="A-330-900",'2023'!$O$4="CA",'2023'!$O$2=AO81),'2023DATA2'!$L$5,"")</f>
        <v/>
      </c>
      <c r="AP84" s="518" t="str">
        <f>IF(AND(_AC2="A-330-900",'2023'!$O$4="CA",'2023'!$O$2=AP81),'2023DATA2'!$M$5,"")</f>
        <v/>
      </c>
      <c r="AQ84" s="520" t="str">
        <f>IF(AND(_AC2="A-330-900",'2023'!$O$4="CA",'2023'!$O$2=AQ81),'2023DATA2'!$N$5,"")</f>
        <v/>
      </c>
      <c r="AR84" s="940" t="s">
        <v>65</v>
      </c>
      <c r="AS84" s="13" t="s">
        <v>61</v>
      </c>
      <c r="AT84" s="518" t="str">
        <f>IF(AND(_AC3="A-330-900",'2023'!$O$4="CA",'2023'!$O$2=AT81),'2023DATA2'!$C$5,"")</f>
        <v/>
      </c>
      <c r="AU84" s="518" t="str">
        <f>IF(AND(_AC3="A-330-900",'2023'!$O$4="CA",'2023'!$O$2=AU81),'2023DATA2'!$D$5,"")</f>
        <v/>
      </c>
      <c r="AV84" s="518" t="str">
        <f>IF(AND(_AC3="A-330-900",'2023'!$O$4="CA",'2023'!$O$2=AV81),'2023DATA2'!$E$5,"")</f>
        <v/>
      </c>
      <c r="AW84" s="518" t="str">
        <f>IF(AND(_AC3="A-330-900",'2023'!$O$4="CA",'2023'!$O$2=AW81),'2023DATA2'!$F$5,"")</f>
        <v/>
      </c>
      <c r="AX84" s="518" t="str">
        <f>IF(AND(_AC3="A-330-900",'2023'!$O$4="CA",'2023'!$O$2=AX81),'2023DATA2'!$G$5,"")</f>
        <v/>
      </c>
      <c r="AY84" s="518" t="str">
        <f>IF(AND(_AC3="A-330-900",'2023'!$O$4="CA",'2023'!$O$2=AY81),'2023DATA2'!$H$5,"")</f>
        <v/>
      </c>
      <c r="AZ84" s="518" t="str">
        <f>IF(AND(_AC3="A-330-900",'2023'!$O$4="CA",'2023'!$O$2=AZ81),'2023DATA2'!$I$5,"")</f>
        <v/>
      </c>
      <c r="BA84" s="518" t="str">
        <f>IF(AND(_AC3="A-330-900",'2023'!$O$4="CA",'2023'!$O$2=BA81),'2023DATA2'!$J$5,"")</f>
        <v/>
      </c>
      <c r="BB84" s="518" t="str">
        <f>IF(AND(_AC3="A-330-900",'2023'!$O$4="CA",'2023'!$O$2=BB81),'2023DATA2'!$K$5,"")</f>
        <v/>
      </c>
      <c r="BC84" s="518" t="str">
        <f>IF(AND(_AC3="A-330-900",'2023'!$O$4="CA",'2023'!$O$2=BC81),'2023DATA2'!$L$5,"")</f>
        <v/>
      </c>
      <c r="BD84" s="518" t="str">
        <f>IF(AND(_AC3="A-330-900",'2023'!$O$4="CA",'2023'!$O$2=BD81),'2023DATA2'!$M$5,"")</f>
        <v/>
      </c>
      <c r="BE84" s="520" t="str">
        <f>IF(AND(_AC3="A-330-900",'2023'!$O$4="CA",'2023'!$O$2=BE81),'2023DATA2'!$N$5,"")</f>
        <v/>
      </c>
      <c r="BF84" s="940" t="s">
        <v>65</v>
      </c>
      <c r="BG84" s="13" t="s">
        <v>61</v>
      </c>
      <c r="BH84" s="518" t="str">
        <f>IF(AND(_AC4="A-330-900",'2023'!$O$4="CA",'2023'!$O$2=BH81),'2023DATA2'!$C$5,"")</f>
        <v/>
      </c>
      <c r="BI84" s="518" t="str">
        <f>IF(AND(_AC4="A-330-900",'2023'!$O$4="CA",'2023'!$O$2=BI81),'2023DATA2'!$D$5,"")</f>
        <v/>
      </c>
      <c r="BJ84" s="518" t="str">
        <f>IF(AND(_AC4="A-330-900",'2023'!$O$4="CA",'2023'!$O$2=BJ81),'2023DATA2'!$E$5,"")</f>
        <v/>
      </c>
      <c r="BK84" s="518" t="str">
        <f>IF(AND(_AC4="A-330-900",'2023'!$O$4="CA",'2023'!$O$2=BK81),'2023DATA2'!$F$5,"")</f>
        <v/>
      </c>
      <c r="BL84" s="518" t="str">
        <f>IF(AND(_AC4="A-330-900",'2023'!$O$4="CA",'2023'!$O$2=BL81),'2023DATA2'!$G$5,"")</f>
        <v/>
      </c>
      <c r="BM84" s="518" t="str">
        <f>IF(AND(_AC4="A-330-900",'2023'!$O$4="CA",'2023'!$O$2=BM81),'2023DATA2'!$H$5,"")</f>
        <v/>
      </c>
      <c r="BN84" s="518" t="str">
        <f>IF(AND(_AC4="A-330-900",'2023'!$O$4="CA",'2023'!$O$2=BN81),'2023DATA2'!$I$5,"")</f>
        <v/>
      </c>
      <c r="BO84" s="518" t="str">
        <f>IF(AND(_AC4="A-330-900",'2023'!$O$4="CA",'2023'!$O$2=BO81),'2023DATA2'!$J$5,"")</f>
        <v/>
      </c>
      <c r="BP84" s="518" t="str">
        <f>IF(AND(_AC4="A-330-900",'2023'!$O$4="CA",'2023'!$O$2=BP81),'2023DATA2'!$K$5,"")</f>
        <v/>
      </c>
      <c r="BQ84" s="518" t="str">
        <f>IF(AND(_AC4="A-330-900",'2023'!$O$4="CA",'2023'!$O$2=BQ81),'2023DATA2'!$L$5,"")</f>
        <v/>
      </c>
      <c r="BR84" s="518" t="str">
        <f>IF(AND(_AC4="A-330-900",'2023'!$O$4="CA",'2023'!$O$2=BR81),'2023DATA2'!$M$5,"")</f>
        <v/>
      </c>
      <c r="BS84" s="520" t="str">
        <f>IF(AND(_AC4="A-330-900",'2023'!$O$4="CA",'2023'!$O$2=BS81),'2023DATA2'!$N$5,"")</f>
        <v/>
      </c>
      <c r="BT84" s="940" t="s">
        <v>65</v>
      </c>
      <c r="BU84" s="13" t="s">
        <v>61</v>
      </c>
      <c r="BV84" s="518" t="str">
        <f>IF(AND(_AC5="A-330-900",'2023'!$O$4="CA",'2023'!$O$2=BV81),'2023DATA2'!$C$5,"")</f>
        <v/>
      </c>
      <c r="BW84" s="518" t="str">
        <f>IF(AND(_AC5="A-330-900",'2023'!$O$4="CA",'2023'!$O$2=BW81),'2023DATA2'!$D$5,"")</f>
        <v/>
      </c>
      <c r="BX84" s="518" t="str">
        <f>IF(AND(_AC5="A-330-900",'2023'!$O$4="CA",'2023'!$O$2=BX81),'2023DATA2'!$E$5,"")</f>
        <v/>
      </c>
      <c r="BY84" s="518" t="str">
        <f>IF(AND(_AC5="A-330-900",'2023'!$O$4="CA",'2023'!$O$2=BY81),'2023DATA2'!$F$5,"")</f>
        <v/>
      </c>
      <c r="BZ84" s="518" t="str">
        <f>IF(AND(_AC5="A-330-900",'2023'!$O$4="CA",'2023'!$O$2=BZ81),'2023DATA2'!$G$5,"")</f>
        <v/>
      </c>
      <c r="CA84" s="518" t="str">
        <f>IF(AND(_AC5="A-330-900",'2023'!$O$4="CA",'2023'!$O$2=CA81),'2023DATA2'!$H$5,"")</f>
        <v/>
      </c>
      <c r="CB84" s="518" t="str">
        <f>IF(AND(_AC5="A-330-900",'2023'!$O$4="CA",'2023'!$O$2=CB81),'2023DATA2'!$I$5,"")</f>
        <v/>
      </c>
      <c r="CC84" s="518" t="str">
        <f>IF(AND(_AC5="A-330-900",'2023'!$O$4="CA",'2023'!$O$2=CC81),'2023DATA2'!$J$5,"")</f>
        <v/>
      </c>
      <c r="CD84" s="518" t="str">
        <f>IF(AND(_AC5="A-330-900",'2023'!$O$4="CA",'2023'!$O$2=CD81),'2023DATA2'!$K$5,"")</f>
        <v/>
      </c>
      <c r="CE84" s="518" t="str">
        <f>IF(AND(_AC5="A-330-900",'2023'!$O$4="CA",'2023'!$O$2=CE81),'2023DATA2'!$L$5,"")</f>
        <v/>
      </c>
      <c r="CF84" s="518" t="str">
        <f>IF(AND(_AC5="A-330-900",'2023'!$O$4="CA",'2023'!$O$2=CF81),'2023DATA2'!$M$5,"")</f>
        <v/>
      </c>
      <c r="CG84" s="520" t="str">
        <f>IF(AND(_AC5="A-330-900",'2023'!$O$4="CA",'2023'!$O$2=CG81),'2023DATA2'!$N$5,"")</f>
        <v/>
      </c>
      <c r="CH84" s="940" t="s">
        <v>65</v>
      </c>
      <c r="CI84" s="13" t="s">
        <v>61</v>
      </c>
      <c r="CJ84" s="518" t="str">
        <f>IF(AND(_AC6="A-330-900",'2023'!$O$4="CA",'2023'!$O$2=CJ81),'2023DATA2'!$C$5,"")</f>
        <v/>
      </c>
      <c r="CK84" s="518" t="str">
        <f>IF(AND(_AC6="A-330-900",'2023'!$O$4="CA",'2023'!$O$2=CK81),'2023DATA2'!$D$5,"")</f>
        <v/>
      </c>
      <c r="CL84" s="518" t="str">
        <f>IF(AND(_AC6="A-330-900",'2023'!$O$4="CA",'2023'!$O$2=CL81),'2023DATA2'!$E$5,"")</f>
        <v/>
      </c>
      <c r="CM84" s="518" t="str">
        <f>IF(AND(_AC6="A-330-900",'2023'!$O$4="CA",'2023'!$O$2=CM81),'2023DATA2'!$F$5,"")</f>
        <v/>
      </c>
      <c r="CN84" s="518" t="str">
        <f>IF(AND(_AC6="A-330-900",'2023'!$O$4="CA",'2023'!$O$2=CN81),'2023DATA2'!$G$5,"")</f>
        <v/>
      </c>
      <c r="CO84" s="518" t="str">
        <f>IF(AND(_AC6="A-330-900",'2023'!$O$4="CA",'2023'!$O$2=CO81),'2023DATA2'!$H$5,"")</f>
        <v/>
      </c>
      <c r="CP84" s="518" t="str">
        <f>IF(AND(_AC6="A-330-900",'2023'!$O$4="CA",'2023'!$O$2=CP81),'2023DATA2'!$I$5,"")</f>
        <v/>
      </c>
      <c r="CQ84" s="518" t="str">
        <f>IF(AND(_AC6="A-330-900",'2023'!$O$4="CA",'2023'!$O$2=CQ81),'2023DATA2'!$J$5,"")</f>
        <v/>
      </c>
      <c r="CR84" s="518" t="str">
        <f>IF(AND(_AC6="A-330-900",'2023'!$O$4="CA",'2023'!$O$2=CR81),'2023DATA2'!$K$5,"")</f>
        <v/>
      </c>
      <c r="CS84" s="518" t="str">
        <f>IF(AND(_AC6="A-330-900",'2023'!$O$4="CA",'2023'!$O$2=CS81),'2023DATA2'!$L$5,"")</f>
        <v/>
      </c>
      <c r="CT84" s="518" t="str">
        <f>IF(AND(_AC6="A-330-900",'2023'!$O$4="CA",'2023'!$O$2=CT81),'2023DATA2'!$M$5,"")</f>
        <v/>
      </c>
      <c r="CU84" s="520" t="str">
        <f>IF(AND(_AC6="A-330-900",'2023'!$O$4="CA",'2023'!$O$2=CU81),'2023DATA2'!$N$5,"")</f>
        <v/>
      </c>
    </row>
    <row r="85" spans="16:99" x14ac:dyDescent="0.25">
      <c r="P85" s="940"/>
      <c r="Q85" s="13" t="s">
        <v>62</v>
      </c>
      <c r="R85" s="518" t="str">
        <f>IF(AND(_AC1="A-330-900",'2023'!$O$4="FO",'2023'!$O$2=R81),'2023DATA2'!$C$6,"")</f>
        <v/>
      </c>
      <c r="S85" s="518" t="str">
        <f>IF(AND(_AC1="A-330-900",'2023'!$O$4="FO",'2023'!$O$2=S81),'2023DATA2'!$D$6,"")</f>
        <v/>
      </c>
      <c r="T85" s="518" t="str">
        <f>IF(AND(_AC1="A-330-900",'2023'!$O$4="FO",'2023'!$O$2=T81),'2023DATA2'!$E$6,"")</f>
        <v/>
      </c>
      <c r="U85" s="518" t="str">
        <f>IF(AND(_AC1="A-330-900",'2023'!$O$4="FO",'2023'!$O$2=U81),'2023DATA2'!$F$6,"")</f>
        <v/>
      </c>
      <c r="V85" s="518" t="str">
        <f>IF(AND(_AC1="A-330-900",'2023'!$O$4="FO",'2023'!$O$2=V81),'2023DATA2'!$G$6,"")</f>
        <v/>
      </c>
      <c r="W85" s="518" t="str">
        <f>IF(AND(_AC1="A-330-900",'2023'!$O$4="FO",'2023'!$O$2=W81),'2023DATA2'!$H$6,"")</f>
        <v/>
      </c>
      <c r="X85" s="518" t="str">
        <f>IF(AND(_AC1="A-330-900",'2023'!$O$4="FO",'2023'!$O$2=X81),'2023DATA2'!$I$6,"")</f>
        <v/>
      </c>
      <c r="Y85" s="518" t="str">
        <f>IF(AND(_AC1="A-330-900",'2023'!$O$4="FO",'2023'!$O$2=Y81),'2023DATA2'!$J$6,"")</f>
        <v/>
      </c>
      <c r="Z85" s="518" t="str">
        <f>IF(AND(_AC1="A-330-900",'2023'!$O$4="FO",'2023'!$O$2=Z81),'2023DATA2'!$K$6,"")</f>
        <v/>
      </c>
      <c r="AA85" s="518" t="str">
        <f>IF(AND(_AC1="A-330-900",'2023'!$O$4="FO",'2023'!$O$2=AA81),'2023DATA2'!$L$6,"")</f>
        <v/>
      </c>
      <c r="AB85" s="518" t="str">
        <f>IF(AND(_AC1="A-330-900",'2023'!$O$4="FO",'2023'!$O$2=AB81),'2023DATA2'!$M$6,"")</f>
        <v/>
      </c>
      <c r="AC85" s="520" t="str">
        <f>IF(AND(_AC1="A-330-900",'2023'!$O$4="FO",'2023'!$O$2=AC81),'2023DATA2'!$N$6,"")</f>
        <v/>
      </c>
      <c r="AD85" s="940"/>
      <c r="AE85" s="13" t="s">
        <v>62</v>
      </c>
      <c r="AF85" s="518" t="str">
        <f>IF(AND(_AC2="A-330-900",'2023'!$O$4="FO",'2023'!$O$2=AF81),'2023DATA2'!$C$6,"")</f>
        <v/>
      </c>
      <c r="AG85" s="518" t="str">
        <f>IF(AND(_AC2="A-330-900",'2023'!$O$4="FO",'2023'!$O$2=AG81),'2023DATA2'!$D$6,"")</f>
        <v/>
      </c>
      <c r="AH85" s="518" t="str">
        <f>IF(AND(_AC2="A-330-900",'2023'!$O$4="FO",'2023'!$O$2=AH81),'2023DATA2'!$E$6,"")</f>
        <v/>
      </c>
      <c r="AI85" s="518" t="str">
        <f>IF(AND(_AC2="A-330-900",'2023'!$O$4="FO",'2023'!$O$2=AI81),'2023DATA2'!$F$6,"")</f>
        <v/>
      </c>
      <c r="AJ85" s="518" t="str">
        <f>IF(AND(_AC2="A-330-900",'2023'!$O$4="FO",'2023'!$O$2=AJ81),'2023DATA2'!$G$6,"")</f>
        <v/>
      </c>
      <c r="AK85" s="518" t="str">
        <f>IF(AND(_AC2="A-330-900",'2023'!$O$4="FO",'2023'!$O$2=AK81),'2023DATA2'!$H$6,"")</f>
        <v/>
      </c>
      <c r="AL85" s="518" t="str">
        <f>IF(AND(_AC2="A-330-900",'2023'!$O$4="FO",'2023'!$O$2=AL81),'2023DATA2'!$I$6,"")</f>
        <v/>
      </c>
      <c r="AM85" s="518" t="str">
        <f>IF(AND(_AC2="A-330-900",'2023'!$O$4="FO",'2023'!$O$2=AM81),'2023DATA2'!$J$6,"")</f>
        <v/>
      </c>
      <c r="AN85" s="518" t="str">
        <f>IF(AND(_AC2="A-330-900",'2023'!$O$4="FO",'2023'!$O$2=AN81),'2023DATA2'!$K$6,"")</f>
        <v/>
      </c>
      <c r="AO85" s="518" t="str">
        <f>IF(AND(_AC2="A-330-900",'2023'!$O$4="FO",'2023'!$O$2=AO81),'2023DATA2'!$L$6,"")</f>
        <v/>
      </c>
      <c r="AP85" s="518" t="str">
        <f>IF(AND(_AC2="A-330-900",'2023'!$O$4="FO",'2023'!$O$2=AP81),'2023DATA2'!$M$6,"")</f>
        <v/>
      </c>
      <c r="AQ85" s="520" t="str">
        <f>IF(AND(_AC2="A-330-900",'2023'!$O$4="FO",'2023'!$O$2=AQ81),'2023DATA2'!$N$6,"")</f>
        <v/>
      </c>
      <c r="AR85" s="940"/>
      <c r="AS85" s="13" t="s">
        <v>62</v>
      </c>
      <c r="AT85" s="518" t="str">
        <f>IF(AND(_AC3="A-330-900",'2023'!$O$4="FO",'2023'!$O$2=AT81),'2023DATA2'!$C$6,"")</f>
        <v/>
      </c>
      <c r="AU85" s="518" t="str">
        <f>IF(AND(_AC3="A-330-900",'2023'!$O$4="FO",'2023'!$O$2=AU81),'2023DATA2'!$D$6,"")</f>
        <v/>
      </c>
      <c r="AV85" s="518" t="str">
        <f>IF(AND(_AC3="A-330-900",'2023'!$O$4="FO",'2023'!$O$2=AV81),'2023DATA2'!$E$6,"")</f>
        <v/>
      </c>
      <c r="AW85" s="518" t="str">
        <f>IF(AND(_AC3="A-330-900",'2023'!$O$4="FO",'2023'!$O$2=AW81),'2023DATA2'!$F$6,"")</f>
        <v/>
      </c>
      <c r="AX85" s="518" t="str">
        <f>IF(AND(_AC3="A-330-900",'2023'!$O$4="FO",'2023'!$O$2=AX81),'2023DATA2'!$G$6,"")</f>
        <v/>
      </c>
      <c r="AY85" s="518" t="str">
        <f>IF(AND(_AC3="A-330-900",'2023'!$O$4="FO",'2023'!$O$2=AY81),'2023DATA2'!$H$6,"")</f>
        <v/>
      </c>
      <c r="AZ85" s="518" t="str">
        <f>IF(AND(_AC3="A-330-900",'2023'!$O$4="FO",'2023'!$O$2=AZ81),'2023DATA2'!$I$6,"")</f>
        <v/>
      </c>
      <c r="BA85" s="518" t="str">
        <f>IF(AND(_AC3="A-330-900",'2023'!$O$4="FO",'2023'!$O$2=BA81),'2023DATA2'!$J$6,"")</f>
        <v/>
      </c>
      <c r="BB85" s="518" t="str">
        <f>IF(AND(_AC3="A-330-900",'2023'!$O$4="FO",'2023'!$O$2=BB81),'2023DATA2'!$K$6,"")</f>
        <v/>
      </c>
      <c r="BC85" s="518" t="str">
        <f>IF(AND(_AC3="A-330-900",'2023'!$O$4="FO",'2023'!$O$2=BC81),'2023DATA2'!$L$6,"")</f>
        <v/>
      </c>
      <c r="BD85" s="518" t="str">
        <f>IF(AND(_AC3="A-330-900",'2023'!$O$4="FO",'2023'!$O$2=BD81),'2023DATA2'!$M$6,"")</f>
        <v/>
      </c>
      <c r="BE85" s="520" t="str">
        <f>IF(AND(_AC3="A-330-900",'2023'!$O$4="FO",'2023'!$O$2=BE81),'2023DATA2'!$N$6,"")</f>
        <v/>
      </c>
      <c r="BF85" s="940"/>
      <c r="BG85" s="13" t="s">
        <v>62</v>
      </c>
      <c r="BH85" s="518" t="str">
        <f>IF(AND(_AC4="A-330-900",'2023'!$O$4="FO",'2023'!$O$2=BH81),'2023DATA2'!$C$6,"")</f>
        <v/>
      </c>
      <c r="BI85" s="518" t="str">
        <f>IF(AND(_AC4="A-330-900",'2023'!$O$4="FO",'2023'!$O$2=BI81),'2023DATA2'!$D$6,"")</f>
        <v/>
      </c>
      <c r="BJ85" s="518" t="str">
        <f>IF(AND(_AC4="A-330-900",'2023'!$O$4="FO",'2023'!$O$2=BJ81),'2023DATA2'!$E$6,"")</f>
        <v/>
      </c>
      <c r="BK85" s="518" t="str">
        <f>IF(AND(_AC4="A-330-900",'2023'!$O$4="FO",'2023'!$O$2=BK81),'2023DATA2'!$F$6,"")</f>
        <v/>
      </c>
      <c r="BL85" s="518" t="str">
        <f>IF(AND(_AC4="A-330-900",'2023'!$O$4="FO",'2023'!$O$2=BL81),'2023DATA2'!$G$6,"")</f>
        <v/>
      </c>
      <c r="BM85" s="518" t="str">
        <f>IF(AND(_AC4="A-330-900",'2023'!$O$4="FO",'2023'!$O$2=BM81),'2023DATA2'!$H$6,"")</f>
        <v/>
      </c>
      <c r="BN85" s="518" t="str">
        <f>IF(AND(_AC4="A-330-900",'2023'!$O$4="FO",'2023'!$O$2=BN81),'2023DATA2'!$I$6,"")</f>
        <v/>
      </c>
      <c r="BO85" s="518" t="str">
        <f>IF(AND(_AC4="A-330-900",'2023'!$O$4="FO",'2023'!$O$2=BO81),'2023DATA2'!$J$6,"")</f>
        <v/>
      </c>
      <c r="BP85" s="518" t="str">
        <f>IF(AND(_AC4="A-330-900",'2023'!$O$4="FO",'2023'!$O$2=BP81),'2023DATA2'!$K$6,"")</f>
        <v/>
      </c>
      <c r="BQ85" s="518" t="str">
        <f>IF(AND(_AC4="A-330-900",'2023'!$O$4="FO",'2023'!$O$2=BQ81),'2023DATA2'!$L$6,"")</f>
        <v/>
      </c>
      <c r="BR85" s="518" t="str">
        <f>IF(AND(_AC4="A-330-900",'2023'!$O$4="FO",'2023'!$O$2=BR81),'2023DATA2'!$M$6,"")</f>
        <v/>
      </c>
      <c r="BS85" s="520" t="str">
        <f>IF(AND(_AC4="A-330-900",'2023'!$O$4="FO",'2023'!$O$2=BS81),'2023DATA2'!$N$6,"")</f>
        <v/>
      </c>
      <c r="BT85" s="940"/>
      <c r="BU85" s="13" t="s">
        <v>62</v>
      </c>
      <c r="BV85" s="518" t="str">
        <f>IF(AND(_AC5="A-330-900",'2023'!$O$4="FO",'2023'!$O$2=BV81),'2023DATA2'!$C$6,"")</f>
        <v/>
      </c>
      <c r="BW85" s="518" t="str">
        <f>IF(AND(_AC5="A-330-900",'2023'!$O$4="FO",'2023'!$O$2=BW81),'2023DATA2'!$D$6,"")</f>
        <v/>
      </c>
      <c r="BX85" s="518" t="str">
        <f>IF(AND(_AC5="A-330-900",'2023'!$O$4="FO",'2023'!$O$2=BX81),'2023DATA2'!$E$6,"")</f>
        <v/>
      </c>
      <c r="BY85" s="518" t="str">
        <f>IF(AND(_AC5="A-330-900",'2023'!$O$4="FO",'2023'!$O$2=BY81),'2023DATA2'!$F$6,"")</f>
        <v/>
      </c>
      <c r="BZ85" s="518" t="str">
        <f>IF(AND(_AC5="A-330-900",'2023'!$O$4="FO",'2023'!$O$2=BZ81),'2023DATA2'!$G$6,"")</f>
        <v/>
      </c>
      <c r="CA85" s="518" t="str">
        <f>IF(AND(_AC5="A-330-900",'2023'!$O$4="FO",'2023'!$O$2=CA81),'2023DATA2'!$H$6,"")</f>
        <v/>
      </c>
      <c r="CB85" s="518" t="str">
        <f>IF(AND(_AC5="A-330-900",'2023'!$O$4="FO",'2023'!$O$2=CB81),'2023DATA2'!$I$6,"")</f>
        <v/>
      </c>
      <c r="CC85" s="518" t="str">
        <f>IF(AND(_AC5="A-330-900",'2023'!$O$4="FO",'2023'!$O$2=CC81),'2023DATA2'!$J$6,"")</f>
        <v/>
      </c>
      <c r="CD85" s="518" t="str">
        <f>IF(AND(_AC5="A-330-900",'2023'!$O$4="FO",'2023'!$O$2=CD81),'2023DATA2'!$K$6,"")</f>
        <v/>
      </c>
      <c r="CE85" s="518" t="str">
        <f>IF(AND(_AC5="A-330-900",'2023'!$O$4="FO",'2023'!$O$2=CE81),'2023DATA2'!$L$6,"")</f>
        <v/>
      </c>
      <c r="CF85" s="518" t="str">
        <f>IF(AND(_AC5="A-330-900",'2023'!$O$4="FO",'2023'!$O$2=CF81),'2023DATA2'!$M$6,"")</f>
        <v/>
      </c>
      <c r="CG85" s="520" t="str">
        <f>IF(AND(_AC5="A-330-900",'2023'!$O$4="FO",'2023'!$O$2=CG81),'2023DATA2'!$N$6,"")</f>
        <v/>
      </c>
      <c r="CH85" s="940"/>
      <c r="CI85" s="13" t="s">
        <v>62</v>
      </c>
      <c r="CJ85" s="518" t="str">
        <f>IF(AND(_AC6="A-330-900",'2023'!$O$4="FO",'2023'!$O$2=CJ81),'2023DATA2'!$C$6,"")</f>
        <v/>
      </c>
      <c r="CK85" s="518" t="str">
        <f>IF(AND(_AC6="A-330-900",'2023'!$O$4="FO",'2023'!$O$2=CK81),'2023DATA2'!$D$6,"")</f>
        <v/>
      </c>
      <c r="CL85" s="518" t="str">
        <f>IF(AND(_AC6="A-330-900",'2023'!$O$4="FO",'2023'!$O$2=CL81),'2023DATA2'!$E$6,"")</f>
        <v/>
      </c>
      <c r="CM85" s="518" t="str">
        <f>IF(AND(_AC6="A-330-900",'2023'!$O$4="FO",'2023'!$O$2=CM81),'2023DATA2'!$F$6,"")</f>
        <v/>
      </c>
      <c r="CN85" s="518" t="str">
        <f>IF(AND(_AC6="A-330-900",'2023'!$O$4="FO",'2023'!$O$2=CN81),'2023DATA2'!$G$6,"")</f>
        <v/>
      </c>
      <c r="CO85" s="518" t="str">
        <f>IF(AND(_AC6="A-330-900",'2023'!$O$4="FO",'2023'!$O$2=CO81),'2023DATA2'!$H$6,"")</f>
        <v/>
      </c>
      <c r="CP85" s="518" t="str">
        <f>IF(AND(_AC6="A-330-900",'2023'!$O$4="FO",'2023'!$O$2=CP81),'2023DATA2'!$I$6,"")</f>
        <v/>
      </c>
      <c r="CQ85" s="518" t="str">
        <f>IF(AND(_AC6="A-330-900",'2023'!$O$4="FO",'2023'!$O$2=CQ81),'2023DATA2'!$J$6,"")</f>
        <v/>
      </c>
      <c r="CR85" s="518" t="str">
        <f>IF(AND(_AC6="A-330-900",'2023'!$O$4="FO",'2023'!$O$2=CR81),'2023DATA2'!$K$6,"")</f>
        <v/>
      </c>
      <c r="CS85" s="518" t="str">
        <f>IF(AND(_AC6="A-330-900",'2023'!$O$4="FO",'2023'!$O$2=CS81),'2023DATA2'!$L$6,"")</f>
        <v/>
      </c>
      <c r="CT85" s="518" t="str">
        <f>IF(AND(_AC6="A-330-900",'2023'!$O$4="FO",'2023'!$O$2=CT81),'2023DATA2'!$M$6,"")</f>
        <v/>
      </c>
      <c r="CU85" s="520" t="str">
        <f>IF(AND(_AC6="A-330-900",'2023'!$O$4="FO",'2023'!$O$2=CU81),'2023DATA2'!$N$6,"")</f>
        <v/>
      </c>
    </row>
    <row r="86" spans="16:99" x14ac:dyDescent="0.25">
      <c r="P86" s="940" t="s">
        <v>64</v>
      </c>
      <c r="Q86" s="13" t="s">
        <v>61</v>
      </c>
      <c r="R86" s="518" t="str">
        <f>IF(AND(_AC1="A-330-300",'2023'!$O$4="CA",'2023'!$O$2=R81),'2023DATA2'!$C$7,"")</f>
        <v/>
      </c>
      <c r="S86" s="518" t="str">
        <f>IF(AND(_AC1="A-330-300",'2023'!$O$4="CA",'2023'!$O$2=S81),'2023DATA2'!$D$7,"")</f>
        <v/>
      </c>
      <c r="T86" s="518" t="str">
        <f>IF(AND(_AC1="A-330-300",'2023'!$O$4="CA",'2023'!$O$2=T81),'2023DATA2'!$E$7,"")</f>
        <v/>
      </c>
      <c r="U86" s="518" t="str">
        <f>IF(AND(_AC1="A-330-300",'2023'!$O$4="CA",'2023'!$O$2=U81),'2023DATA2'!$F$7,"")</f>
        <v/>
      </c>
      <c r="V86" s="518" t="str">
        <f>IF(AND(_AC1="A-330-300",'2023'!$O$4="CA",'2023'!$O$2=V81),'2023DATA2'!$G$7,"")</f>
        <v/>
      </c>
      <c r="W86" s="518" t="str">
        <f>IF(AND(_AC1="A-330-300",'2023'!$O$4="CA",'2023'!$O$2=W81),'2023DATA2'!$H$7,"")</f>
        <v/>
      </c>
      <c r="X86" s="518" t="str">
        <f>IF(AND(_AC1="A-330-300",'2023'!$O$4="CA",'2023'!$O$2=X81),'2023DATA2'!$I$7,"")</f>
        <v/>
      </c>
      <c r="Y86" s="518" t="str">
        <f>IF(AND(_AC1="A-330-300",'2023'!$O$4="CA",'2023'!$O$2=Y81),'2023DATA2'!$J$7,"")</f>
        <v/>
      </c>
      <c r="Z86" s="518" t="str">
        <f>IF(AND(_AC1="A-330-300",'2023'!$O$4="CA",'2023'!$O$2=Z81),'2023DATA2'!$K$7,"")</f>
        <v/>
      </c>
      <c r="AA86" s="518" t="str">
        <f>IF(AND(_AC1="A-330-300",'2023'!$O$4="CA",'2023'!$O$2=AA81),'2023DATA2'!$L$7,"")</f>
        <v/>
      </c>
      <c r="AB86" s="518" t="str">
        <f>IF(AND(_AC1="A-330-300",'2023'!$O$4="CA",'2023'!$O$2=AB81),'2023DATA2'!$M$7,"")</f>
        <v/>
      </c>
      <c r="AC86" s="520" t="str">
        <f>IF(AND(_AC1="A-330-300",'2023'!$O$4="CA",'2023'!$O$2=AC81),'2023DATA2'!$N$7,"")</f>
        <v/>
      </c>
      <c r="AD86" s="940" t="s">
        <v>64</v>
      </c>
      <c r="AE86" s="13" t="s">
        <v>61</v>
      </c>
      <c r="AF86" s="518" t="str">
        <f>IF(AND(_AC2="A-330-300",'2023'!$O$4="CA",'2023'!$O$2=AF81),'2023DATA2'!$C$7,"")</f>
        <v/>
      </c>
      <c r="AG86" s="518" t="str">
        <f>IF(AND(_AC2="A-330-300",'2023'!$O$4="CA",'2023'!$O$2=AG81),'2023DATA2'!$D$7,"")</f>
        <v/>
      </c>
      <c r="AH86" s="518" t="str">
        <f>IF(AND(_AC2="A-330-300",'2023'!$O$4="CA",'2023'!$O$2=AH81),'2023DATA2'!$E$7,"")</f>
        <v/>
      </c>
      <c r="AI86" s="518" t="str">
        <f>IF(AND(_AC2="A-330-300",'2023'!$O$4="CA",'2023'!$O$2=AI81),'2023DATA2'!$F$7,"")</f>
        <v/>
      </c>
      <c r="AJ86" s="518" t="str">
        <f>IF(AND(_AC2="A-330-300",'2023'!$O$4="CA",'2023'!$O$2=AJ81),'2023DATA2'!$G$7,"")</f>
        <v/>
      </c>
      <c r="AK86" s="518" t="str">
        <f>IF(AND(_AC2="A-330-300",'2023'!$O$4="CA",'2023'!$O$2=AK81),'2023DATA2'!$H$7,"")</f>
        <v/>
      </c>
      <c r="AL86" s="518" t="str">
        <f>IF(AND(_AC2="A-330-300",'2023'!$O$4="CA",'2023'!$O$2=AL81),'2023DATA2'!$I$7,"")</f>
        <v/>
      </c>
      <c r="AM86" s="518" t="str">
        <f>IF(AND(_AC2="A-330-300",'2023'!$O$4="CA",'2023'!$O$2=AM81),'2023DATA2'!$J$7,"")</f>
        <v/>
      </c>
      <c r="AN86" s="518" t="str">
        <f>IF(AND(_AC2="A-330-300",'2023'!$O$4="CA",'2023'!$O$2=AN81),'2023DATA2'!$K$7,"")</f>
        <v/>
      </c>
      <c r="AO86" s="518" t="str">
        <f>IF(AND(_AC2="A-330-300",'2023'!$O$4="CA",'2023'!$O$2=AO81),'2023DATA2'!$L$7,"")</f>
        <v/>
      </c>
      <c r="AP86" s="518" t="str">
        <f>IF(AND(_AC2="A-330-300",'2023'!$O$4="CA",'2023'!$O$2=AP81),'2023DATA2'!$M$7,"")</f>
        <v/>
      </c>
      <c r="AQ86" s="520" t="str">
        <f>IF(AND(_AC2="A-330-300",'2023'!$O$4="CA",'2023'!$O$2=AQ81),'2023DATA2'!$N$7,"")</f>
        <v/>
      </c>
      <c r="AR86" s="940" t="s">
        <v>64</v>
      </c>
      <c r="AS86" s="13" t="s">
        <v>61</v>
      </c>
      <c r="AT86" s="518" t="str">
        <f>IF(AND(_AC3="A-330-300",'2023'!$O$4="CA",'2023'!$O$2=AT81),'2023DATA2'!$C$7,"")</f>
        <v/>
      </c>
      <c r="AU86" s="518" t="str">
        <f>IF(AND(_AC3="A-330-300",'2023'!$O$4="CA",'2023'!$O$2=AU81),'2023DATA2'!$D$7,"")</f>
        <v/>
      </c>
      <c r="AV86" s="518" t="str">
        <f>IF(AND(_AC3="A-330-300",'2023'!$O$4="CA",'2023'!$O$2=AV81),'2023DATA2'!$E$7,"")</f>
        <v/>
      </c>
      <c r="AW86" s="518" t="str">
        <f>IF(AND(_AC3="A-330-300",'2023'!$O$4="CA",'2023'!$O$2=AW81),'2023DATA2'!$F$7,"")</f>
        <v/>
      </c>
      <c r="AX86" s="518" t="str">
        <f>IF(AND(_AC3="A-330-300",'2023'!$O$4="CA",'2023'!$O$2=AX81),'2023DATA2'!$G$7,"")</f>
        <v/>
      </c>
      <c r="AY86" s="518" t="str">
        <f>IF(AND(_AC3="A-330-300",'2023'!$O$4="CA",'2023'!$O$2=AY81),'2023DATA2'!$H$7,"")</f>
        <v/>
      </c>
      <c r="AZ86" s="518" t="str">
        <f>IF(AND(_AC3="A-330-300",'2023'!$O$4="CA",'2023'!$O$2=AZ81),'2023DATA2'!$I$7,"")</f>
        <v/>
      </c>
      <c r="BA86" s="518" t="str">
        <f>IF(AND(_AC3="A-330-300",'2023'!$O$4="CA",'2023'!$O$2=BA81),'2023DATA2'!$J$7,"")</f>
        <v/>
      </c>
      <c r="BB86" s="518" t="str">
        <f>IF(AND(_AC3="A-330-300",'2023'!$O$4="CA",'2023'!$O$2=BB81),'2023DATA2'!$K$7,"")</f>
        <v/>
      </c>
      <c r="BC86" s="518" t="str">
        <f>IF(AND(_AC3="A-330-300",'2023'!$O$4="CA",'2023'!$O$2=BC81),'2023DATA2'!$L$7,"")</f>
        <v/>
      </c>
      <c r="BD86" s="518" t="str">
        <f>IF(AND(_AC3="A-330-300",'2023'!$O$4="CA",'2023'!$O$2=BD81),'2023DATA2'!$M$7,"")</f>
        <v/>
      </c>
      <c r="BE86" s="520" t="str">
        <f>IF(AND(_AC3="A-330-300",'2023'!$O$4="CA",'2023'!$O$2=BE81),'2023DATA2'!$N$7,"")</f>
        <v/>
      </c>
      <c r="BF86" s="940" t="s">
        <v>64</v>
      </c>
      <c r="BG86" s="13" t="s">
        <v>61</v>
      </c>
      <c r="BH86" s="518" t="str">
        <f>IF(AND(_AC4="A-330-300",'2023'!$O$4="CA",'2023'!$O$2=BH81),'2023DATA2'!$C$7,"")</f>
        <v/>
      </c>
      <c r="BI86" s="518" t="str">
        <f>IF(AND(_AC4="A-330-300",'2023'!$O$4="CA",'2023'!$O$2=BI81),'2023DATA2'!$D$7,"")</f>
        <v/>
      </c>
      <c r="BJ86" s="518" t="str">
        <f>IF(AND(_AC4="A-330-300",'2023'!$O$4="CA",'2023'!$O$2=BJ81),'2023DATA2'!$E$7,"")</f>
        <v/>
      </c>
      <c r="BK86" s="518" t="str">
        <f>IF(AND(_AC4="A-330-300",'2023'!$O$4="CA",'2023'!$O$2=BK81),'2023DATA2'!$F$7,"")</f>
        <v/>
      </c>
      <c r="BL86" s="518" t="str">
        <f>IF(AND(_AC4="A-330-300",'2023'!$O$4="CA",'2023'!$O$2=BL81),'2023DATA2'!$G$7,"")</f>
        <v/>
      </c>
      <c r="BM86" s="518" t="str">
        <f>IF(AND(_AC4="A-330-300",'2023'!$O$4="CA",'2023'!$O$2=BM81),'2023DATA2'!$H$7,"")</f>
        <v/>
      </c>
      <c r="BN86" s="518" t="str">
        <f>IF(AND(_AC4="A-330-300",'2023'!$O$4="CA",'2023'!$O$2=BN81),'2023DATA2'!$I$7,"")</f>
        <v/>
      </c>
      <c r="BO86" s="518" t="str">
        <f>IF(AND(_AC4="A-330-300",'2023'!$O$4="CA",'2023'!$O$2=BO81),'2023DATA2'!$J$7,"")</f>
        <v/>
      </c>
      <c r="BP86" s="518" t="str">
        <f>IF(AND(_AC4="A-330-300",'2023'!$O$4="CA",'2023'!$O$2=BP81),'2023DATA2'!$K$7,"")</f>
        <v/>
      </c>
      <c r="BQ86" s="518" t="str">
        <f>IF(AND(_AC4="A-330-300",'2023'!$O$4="CA",'2023'!$O$2=BQ81),'2023DATA2'!$L$7,"")</f>
        <v/>
      </c>
      <c r="BR86" s="518" t="str">
        <f>IF(AND(_AC4="A-330-300",'2023'!$O$4="CA",'2023'!$O$2=BR81),'2023DATA2'!$M$7,"")</f>
        <v/>
      </c>
      <c r="BS86" s="520" t="str">
        <f>IF(AND(_AC4="A-330-300",'2023'!$O$4="CA",'2023'!$O$2=BS81),'2023DATA2'!$N$7,"")</f>
        <v/>
      </c>
      <c r="BT86" s="940" t="s">
        <v>64</v>
      </c>
      <c r="BU86" s="13" t="s">
        <v>61</v>
      </c>
      <c r="BV86" s="518" t="str">
        <f>IF(AND(_AC5="A-330-300",'2023'!$O$4="CA",'2023'!$O$2=BV81),'2023DATA2'!$C$7,"")</f>
        <v/>
      </c>
      <c r="BW86" s="518" t="str">
        <f>IF(AND(_AC5="A-330-300",'2023'!$O$4="CA",'2023'!$O$2=BW81),'2023DATA2'!$D$7,"")</f>
        <v/>
      </c>
      <c r="BX86" s="518" t="str">
        <f>IF(AND(_AC5="A-330-300",'2023'!$O$4="CA",'2023'!$O$2=BX81),'2023DATA2'!$E$7,"")</f>
        <v/>
      </c>
      <c r="BY86" s="518" t="str">
        <f>IF(AND(_AC5="A-330-300",'2023'!$O$4="CA",'2023'!$O$2=BY81),'2023DATA2'!$F$7,"")</f>
        <v/>
      </c>
      <c r="BZ86" s="518" t="str">
        <f>IF(AND(_AC5="A-330-300",'2023'!$O$4="CA",'2023'!$O$2=BZ81),'2023DATA2'!$G$7,"")</f>
        <v/>
      </c>
      <c r="CA86" s="518" t="str">
        <f>IF(AND(_AC5="A-330-300",'2023'!$O$4="CA",'2023'!$O$2=CA81),'2023DATA2'!$H$7,"")</f>
        <v/>
      </c>
      <c r="CB86" s="518" t="str">
        <f>IF(AND(_AC5="A-330-300",'2023'!$O$4="CA",'2023'!$O$2=CB81),'2023DATA2'!$I$7,"")</f>
        <v/>
      </c>
      <c r="CC86" s="518" t="str">
        <f>IF(AND(_AC5="A-330-300",'2023'!$O$4="CA",'2023'!$O$2=CC81),'2023DATA2'!$J$7,"")</f>
        <v/>
      </c>
      <c r="CD86" s="518" t="str">
        <f>IF(AND(_AC5="A-330-300",'2023'!$O$4="CA",'2023'!$O$2=CD81),'2023DATA2'!$K$7,"")</f>
        <v/>
      </c>
      <c r="CE86" s="518" t="str">
        <f>IF(AND(_AC5="A-330-300",'2023'!$O$4="CA",'2023'!$O$2=CE81),'2023DATA2'!$L$7,"")</f>
        <v/>
      </c>
      <c r="CF86" s="518" t="str">
        <f>IF(AND(_AC5="A-330-300",'2023'!$O$4="CA",'2023'!$O$2=CF81),'2023DATA2'!$M$7,"")</f>
        <v/>
      </c>
      <c r="CG86" s="520" t="str">
        <f>IF(AND(_AC5="A-330-300",'2023'!$O$4="CA",'2023'!$O$2=CG81),'2023DATA2'!$N$7,"")</f>
        <v/>
      </c>
      <c r="CH86" s="940" t="s">
        <v>64</v>
      </c>
      <c r="CI86" s="13" t="s">
        <v>61</v>
      </c>
      <c r="CJ86" s="518" t="str">
        <f>IF(AND(_AC6="A-330-300",'2023'!$O$4="CA",'2023'!$O$2=CJ81),'2023DATA2'!$C$7,"")</f>
        <v/>
      </c>
      <c r="CK86" s="518" t="str">
        <f>IF(AND(_AC6="A-330-300",'2023'!$O$4="CA",'2023'!$O$2=CK81),'2023DATA2'!$D$7,"")</f>
        <v/>
      </c>
      <c r="CL86" s="518" t="str">
        <f>IF(AND(_AC6="A-330-300",'2023'!$O$4="CA",'2023'!$O$2=CL81),'2023DATA2'!$E$7,"")</f>
        <v/>
      </c>
      <c r="CM86" s="518" t="str">
        <f>IF(AND(_AC6="A-330-300",'2023'!$O$4="CA",'2023'!$O$2=CM81),'2023DATA2'!$F$7,"")</f>
        <v/>
      </c>
      <c r="CN86" s="518" t="str">
        <f>IF(AND(_AC6="A-330-300",'2023'!$O$4="CA",'2023'!$O$2=CN81),'2023DATA2'!$G$7,"")</f>
        <v/>
      </c>
      <c r="CO86" s="518" t="str">
        <f>IF(AND(_AC6="A-330-300",'2023'!$O$4="CA",'2023'!$O$2=CO81),'2023DATA2'!$H$7,"")</f>
        <v/>
      </c>
      <c r="CP86" s="518" t="str">
        <f>IF(AND(_AC6="A-330-300",'2023'!$O$4="CA",'2023'!$O$2=CP81),'2023DATA2'!$I$7,"")</f>
        <v/>
      </c>
      <c r="CQ86" s="518" t="str">
        <f>IF(AND(_AC6="A-330-300",'2023'!$O$4="CA",'2023'!$O$2=CQ81),'2023DATA2'!$J$7,"")</f>
        <v/>
      </c>
      <c r="CR86" s="518" t="str">
        <f>IF(AND(_AC6="A-330-300",'2023'!$O$4="CA",'2023'!$O$2=CR81),'2023DATA2'!$K$7,"")</f>
        <v/>
      </c>
      <c r="CS86" s="518" t="str">
        <f>IF(AND(_AC6="A-330-300",'2023'!$O$4="CA",'2023'!$O$2=CS81),'2023DATA2'!$L$7,"")</f>
        <v/>
      </c>
      <c r="CT86" s="518" t="str">
        <f>IF(AND(_AC6="A-330-300",'2023'!$O$4="CA",'2023'!$O$2=CT81),'2023DATA2'!$M$7,"")</f>
        <v/>
      </c>
      <c r="CU86" s="520" t="str">
        <f>IF(AND(_AC6="A-330-300",'2023'!$O$4="CA",'2023'!$O$2=CU81),'2023DATA2'!$N$7,"")</f>
        <v/>
      </c>
    </row>
    <row r="87" spans="16:99" x14ac:dyDescent="0.25">
      <c r="P87" s="940"/>
      <c r="Q87" s="13" t="s">
        <v>62</v>
      </c>
      <c r="R87" s="518" t="str">
        <f>IF(AND(_AC1="A-330-300",'2023'!$O$4="FO",'2023'!$O$2=R81),'2023DATA2'!$C$8,"")</f>
        <v/>
      </c>
      <c r="S87" s="518" t="str">
        <f>IF(AND(_AC1="A-330-300",'2023'!$O$4="FO",'2023'!$O$2=S81),'2023DATA2'!$D$8,"")</f>
        <v/>
      </c>
      <c r="T87" s="518" t="str">
        <f>IF(AND(_AC1="A-330-300",'2023'!$O$4="FO",'2023'!$O$2=T81),'2023DATA2'!$E$8,"")</f>
        <v/>
      </c>
      <c r="U87" s="518" t="str">
        <f>IF(AND(_AC1="A-330-300",'2023'!$O$4="FO",'2023'!$O$2=U81),'2023DATA2'!$F$8,"")</f>
        <v/>
      </c>
      <c r="V87" s="518" t="str">
        <f>IF(AND(_AC1="A-330-300",'2023'!$O$4="FO",'2023'!$O$2=V81),'2023DATA2'!$G$8,"")</f>
        <v/>
      </c>
      <c r="W87" s="518" t="str">
        <f>IF(AND(_AC1="A-330-300",'2023'!$O$4="FO",'2023'!$O$2=W81),'2023DATA2'!$H$8,"")</f>
        <v/>
      </c>
      <c r="X87" s="518" t="str">
        <f>IF(AND(_AC1="A-330-300",'2023'!$O$4="FO",'2023'!$O$2=X81),'2023DATA2'!$I$8,"")</f>
        <v/>
      </c>
      <c r="Y87" s="518" t="str">
        <f>IF(AND(_AC1="A-330-300",'2023'!$O$4="FO",'2023'!$O$2=Y81),'2023DATA2'!$J$8,"")</f>
        <v/>
      </c>
      <c r="Z87" s="518" t="str">
        <f>IF(AND(_AC1="A-330-300",'2023'!$O$4="FO",'2023'!$O$2=Z81),'2023DATA2'!$K$8,"")</f>
        <v/>
      </c>
      <c r="AA87" s="518" t="str">
        <f>IF(AND(_AC1="A-330-300",'2023'!$O$4="FO",'2023'!$O$2=AA81),'2023DATA2'!$L$8,"")</f>
        <v/>
      </c>
      <c r="AB87" s="518" t="str">
        <f>IF(AND(_AC1="A-330-300",'2023'!$O$4="FO",'2023'!$O$2=AB81),'2023DATA2'!$M$8,"")</f>
        <v/>
      </c>
      <c r="AC87" s="520" t="str">
        <f>IF(AND(_AC1="A-330-300",'2023'!$O$4="FO",'2023'!$O$2=AC81),'2023DATA2'!$N$8,"")</f>
        <v/>
      </c>
      <c r="AD87" s="940"/>
      <c r="AE87" s="13" t="s">
        <v>62</v>
      </c>
      <c r="AF87" s="518" t="str">
        <f>IF(AND(_AC2="A-330-300",'2023'!$O$4="FO",'2023'!$O$2=AF81),'2023DATA2'!$C$8,"")</f>
        <v/>
      </c>
      <c r="AG87" s="518" t="str">
        <f>IF(AND(_AC2="A-330-300",'2023'!$O$4="FO",'2023'!$O$2=AG81),'2023DATA2'!$D$8,"")</f>
        <v/>
      </c>
      <c r="AH87" s="518" t="str">
        <f>IF(AND(_AC2="A-330-300",'2023'!$O$4="FO",'2023'!$O$2=AH81),'2023DATA2'!$E$8,"")</f>
        <v/>
      </c>
      <c r="AI87" s="518" t="str">
        <f>IF(AND(_AC2="A-330-300",'2023'!$O$4="FO",'2023'!$O$2=AI81),'2023DATA2'!$F$8,"")</f>
        <v/>
      </c>
      <c r="AJ87" s="518" t="str">
        <f>IF(AND(_AC2="A-330-300",'2023'!$O$4="FO",'2023'!$O$2=AJ81),'2023DATA2'!$G$8,"")</f>
        <v/>
      </c>
      <c r="AK87" s="518" t="str">
        <f>IF(AND(_AC2="A-330-300",'2023'!$O$4="FO",'2023'!$O$2=AK81),'2023DATA2'!$H$8,"")</f>
        <v/>
      </c>
      <c r="AL87" s="518" t="str">
        <f>IF(AND(_AC2="A-330-300",'2023'!$O$4="FO",'2023'!$O$2=AL81),'2023DATA2'!$I$8,"")</f>
        <v/>
      </c>
      <c r="AM87" s="518" t="str">
        <f>IF(AND(_AC2="A-330-300",'2023'!$O$4="FO",'2023'!$O$2=AM81),'2023DATA2'!$J$8,"")</f>
        <v/>
      </c>
      <c r="AN87" s="518" t="str">
        <f>IF(AND(_AC2="A-330-300",'2023'!$O$4="FO",'2023'!$O$2=AN81),'2023DATA2'!$K$8,"")</f>
        <v/>
      </c>
      <c r="AO87" s="518" t="str">
        <f>IF(AND(_AC2="A-330-300",'2023'!$O$4="FO",'2023'!$O$2=AO81),'2023DATA2'!$L$8,"")</f>
        <v/>
      </c>
      <c r="AP87" s="518" t="str">
        <f>IF(AND(_AC2="A-330-300",'2023'!$O$4="FO",'2023'!$O$2=AP81),'2023DATA2'!$M$8,"")</f>
        <v/>
      </c>
      <c r="AQ87" s="520" t="str">
        <f>IF(AND(_AC2="A-330-300",'2023'!$O$4="FO",'2023'!$O$2=AQ81),'2023DATA2'!$N$8,"")</f>
        <v/>
      </c>
      <c r="AR87" s="940"/>
      <c r="AS87" s="13" t="s">
        <v>62</v>
      </c>
      <c r="AT87" s="518" t="str">
        <f>IF(AND(_AC3="A-330-300",'2023'!$O$4="FO",'2023'!$O$2=AT81),'2023DATA2'!$C$8,"")</f>
        <v/>
      </c>
      <c r="AU87" s="518" t="str">
        <f>IF(AND(_AC3="A-330-300",'2023'!$O$4="FO",'2023'!$O$2=AU81),'2023DATA2'!$D$8,"")</f>
        <v/>
      </c>
      <c r="AV87" s="518" t="str">
        <f>IF(AND(_AC3="A-330-300",'2023'!$O$4="FO",'2023'!$O$2=AV81),'2023DATA2'!$E$8,"")</f>
        <v/>
      </c>
      <c r="AW87" s="518" t="str">
        <f>IF(AND(_AC3="A-330-300",'2023'!$O$4="FO",'2023'!$O$2=AW81),'2023DATA2'!$F$8,"")</f>
        <v/>
      </c>
      <c r="AX87" s="518" t="str">
        <f>IF(AND(_AC3="A-330-300",'2023'!$O$4="FO",'2023'!$O$2=AX81),'2023DATA2'!$G$8,"")</f>
        <v/>
      </c>
      <c r="AY87" s="518" t="str">
        <f>IF(AND(_AC3="A-330-300",'2023'!$O$4="FO",'2023'!$O$2=AY81),'2023DATA2'!$H$8,"")</f>
        <v/>
      </c>
      <c r="AZ87" s="518" t="str">
        <f>IF(AND(_AC3="A-330-300",'2023'!$O$4="FO",'2023'!$O$2=AZ81),'2023DATA2'!$I$8,"")</f>
        <v/>
      </c>
      <c r="BA87" s="518" t="str">
        <f>IF(AND(_AC3="A-330-300",'2023'!$O$4="FO",'2023'!$O$2=BA81),'2023DATA2'!$J$8,"")</f>
        <v/>
      </c>
      <c r="BB87" s="518" t="str">
        <f>IF(AND(_AC3="A-330-300",'2023'!$O$4="FO",'2023'!$O$2=BB81),'2023DATA2'!$K$8,"")</f>
        <v/>
      </c>
      <c r="BC87" s="518" t="str">
        <f>IF(AND(_AC3="A-330-300",'2023'!$O$4="FO",'2023'!$O$2=BC81),'2023DATA2'!$L$8,"")</f>
        <v/>
      </c>
      <c r="BD87" s="518" t="str">
        <f>IF(AND(_AC3="A-330-300",'2023'!$O$4="FO",'2023'!$O$2=BD81),'2023DATA2'!$M$8,"")</f>
        <v/>
      </c>
      <c r="BE87" s="520" t="str">
        <f>IF(AND(_AC3="A-330-300",'2023'!$O$4="FO",'2023'!$O$2=BE81),'2023DATA2'!$N$8,"")</f>
        <v/>
      </c>
      <c r="BF87" s="940"/>
      <c r="BG87" s="13" t="s">
        <v>62</v>
      </c>
      <c r="BH87" s="518" t="str">
        <f>IF(AND(_AC4="A-330-300",'2023'!$O$4="FO",'2023'!$O$2=BH81),'2023DATA2'!$C$8,"")</f>
        <v/>
      </c>
      <c r="BI87" s="518" t="str">
        <f>IF(AND(_AC4="A-330-300",'2023'!$O$4="FO",'2023'!$O$2=BI81),'2023DATA2'!$D$8,"")</f>
        <v/>
      </c>
      <c r="BJ87" s="518" t="str">
        <f>IF(AND(_AC4="A-330-300",'2023'!$O$4="FO",'2023'!$O$2=BJ81),'2023DATA2'!$E$8,"")</f>
        <v/>
      </c>
      <c r="BK87" s="518" t="str">
        <f>IF(AND(_AC4="A-330-300",'2023'!$O$4="FO",'2023'!$O$2=BK81),'2023DATA2'!$F$8,"")</f>
        <v/>
      </c>
      <c r="BL87" s="518" t="str">
        <f>IF(AND(_AC4="A-330-300",'2023'!$O$4="FO",'2023'!$O$2=BL81),'2023DATA2'!$G$8,"")</f>
        <v/>
      </c>
      <c r="BM87" s="518" t="str">
        <f>IF(AND(_AC4="A-330-300",'2023'!$O$4="FO",'2023'!$O$2=BM81),'2023DATA2'!$H$8,"")</f>
        <v/>
      </c>
      <c r="BN87" s="518" t="str">
        <f>IF(AND(_AC4="A-330-300",'2023'!$O$4="FO",'2023'!$O$2=BN81),'2023DATA2'!$I$8,"")</f>
        <v/>
      </c>
      <c r="BO87" s="518" t="str">
        <f>IF(AND(_AC4="A-330-300",'2023'!$O$4="FO",'2023'!$O$2=BO81),'2023DATA2'!$J$8,"")</f>
        <v/>
      </c>
      <c r="BP87" s="518" t="str">
        <f>IF(AND(_AC4="A-330-300",'2023'!$O$4="FO",'2023'!$O$2=BP81),'2023DATA2'!$K$8,"")</f>
        <v/>
      </c>
      <c r="BQ87" s="518" t="str">
        <f>IF(AND(_AC4="A-330-300",'2023'!$O$4="FO",'2023'!$O$2=BQ81),'2023DATA2'!$L$8,"")</f>
        <v/>
      </c>
      <c r="BR87" s="518" t="str">
        <f>IF(AND(_AC4="A-330-300",'2023'!$O$4="FO",'2023'!$O$2=BR81),'2023DATA2'!$M$8,"")</f>
        <v/>
      </c>
      <c r="BS87" s="520" t="str">
        <f>IF(AND(_AC4="A-330-300",'2023'!$O$4="FO",'2023'!$O$2=BS81),'2023DATA2'!$N$8,"")</f>
        <v/>
      </c>
      <c r="BT87" s="940"/>
      <c r="BU87" s="13" t="s">
        <v>62</v>
      </c>
      <c r="BV87" s="518" t="str">
        <f>IF(AND(_AC5="A-330-300",'2023'!$O$4="FO",'2023'!$O$2=BV81),'2023DATA2'!$C$8,"")</f>
        <v/>
      </c>
      <c r="BW87" s="518" t="str">
        <f>IF(AND(_AC5="A-330-300",'2023'!$O$4="FO",'2023'!$O$2=BW81),'2023DATA2'!$D$8,"")</f>
        <v/>
      </c>
      <c r="BX87" s="518" t="str">
        <f>IF(AND(_AC5="A-330-300",'2023'!$O$4="FO",'2023'!$O$2=BX81),'2023DATA2'!$E$8,"")</f>
        <v/>
      </c>
      <c r="BY87" s="518" t="str">
        <f>IF(AND(_AC5="A-330-300",'2023'!$O$4="FO",'2023'!$O$2=BY81),'2023DATA2'!$F$8,"")</f>
        <v/>
      </c>
      <c r="BZ87" s="518" t="str">
        <f>IF(AND(_AC5="A-330-300",'2023'!$O$4="FO",'2023'!$O$2=BZ81),'2023DATA2'!$G$8,"")</f>
        <v/>
      </c>
      <c r="CA87" s="518" t="str">
        <f>IF(AND(_AC5="A-330-300",'2023'!$O$4="FO",'2023'!$O$2=CA81),'2023DATA2'!$H$8,"")</f>
        <v/>
      </c>
      <c r="CB87" s="518" t="str">
        <f>IF(AND(_AC5="A-330-300",'2023'!$O$4="FO",'2023'!$O$2=CB81),'2023DATA2'!$I$8,"")</f>
        <v/>
      </c>
      <c r="CC87" s="518" t="str">
        <f>IF(AND(_AC5="A-330-300",'2023'!$O$4="FO",'2023'!$O$2=CC81),'2023DATA2'!$J$8,"")</f>
        <v/>
      </c>
      <c r="CD87" s="518" t="str">
        <f>IF(AND(_AC5="A-330-300",'2023'!$O$4="FO",'2023'!$O$2=CD81),'2023DATA2'!$K$8,"")</f>
        <v/>
      </c>
      <c r="CE87" s="518" t="str">
        <f>IF(AND(_AC5="A-330-300",'2023'!$O$4="FO",'2023'!$O$2=CE81),'2023DATA2'!$L$8,"")</f>
        <v/>
      </c>
      <c r="CF87" s="518" t="str">
        <f>IF(AND(_AC5="A-330-300",'2023'!$O$4="FO",'2023'!$O$2=CF81),'2023DATA2'!$M$8,"")</f>
        <v/>
      </c>
      <c r="CG87" s="520" t="str">
        <f>IF(AND(_AC5="A-330-300",'2023'!$O$4="FO",'2023'!$O$2=CG81),'2023DATA2'!$N$8,"")</f>
        <v/>
      </c>
      <c r="CH87" s="940"/>
      <c r="CI87" s="13" t="s">
        <v>62</v>
      </c>
      <c r="CJ87" s="518" t="str">
        <f>IF(AND(_AC6="A-330-300",'2023'!$O$4="FO",'2023'!$O$2=CJ81),'2023DATA2'!$C$8,"")</f>
        <v/>
      </c>
      <c r="CK87" s="518" t="str">
        <f>IF(AND(_AC6="A-330-300",'2023'!$O$4="FO",'2023'!$O$2=CK81),'2023DATA2'!$D$8,"")</f>
        <v/>
      </c>
      <c r="CL87" s="518" t="str">
        <f>IF(AND(_AC6="A-330-300",'2023'!$O$4="FO",'2023'!$O$2=CL81),'2023DATA2'!$E$8,"")</f>
        <v/>
      </c>
      <c r="CM87" s="518" t="str">
        <f>IF(AND(_AC6="A-330-300",'2023'!$O$4="FO",'2023'!$O$2=CM81),'2023DATA2'!$F$8,"")</f>
        <v/>
      </c>
      <c r="CN87" s="518" t="str">
        <f>IF(AND(_AC6="A-330-300",'2023'!$O$4="FO",'2023'!$O$2=CN81),'2023DATA2'!$G$8,"")</f>
        <v/>
      </c>
      <c r="CO87" s="518" t="str">
        <f>IF(AND(_AC6="A-330-300",'2023'!$O$4="FO",'2023'!$O$2=CO81),'2023DATA2'!$H$8,"")</f>
        <v/>
      </c>
      <c r="CP87" s="518" t="str">
        <f>IF(AND(_AC6="A-330-300",'2023'!$O$4="FO",'2023'!$O$2=CP81),'2023DATA2'!$I$8,"")</f>
        <v/>
      </c>
      <c r="CQ87" s="518" t="str">
        <f>IF(AND(_AC6="A-330-300",'2023'!$O$4="FO",'2023'!$O$2=CQ81),'2023DATA2'!$J$8,"")</f>
        <v/>
      </c>
      <c r="CR87" s="518" t="str">
        <f>IF(AND(_AC6="A-330-300",'2023'!$O$4="FO",'2023'!$O$2=CR81),'2023DATA2'!$K$8,"")</f>
        <v/>
      </c>
      <c r="CS87" s="518" t="str">
        <f>IF(AND(_AC6="A-330-300",'2023'!$O$4="FO",'2023'!$O$2=CS81),'2023DATA2'!$L$8,"")</f>
        <v/>
      </c>
      <c r="CT87" s="518" t="str">
        <f>IF(AND(_AC6="A-330-300",'2023'!$O$4="FO",'2023'!$O$2=CT81),'2023DATA2'!$M$8,"")</f>
        <v/>
      </c>
      <c r="CU87" s="520" t="str">
        <f>IF(AND(_AC6="A-330-300",'2023'!$O$4="FO",'2023'!$O$2=CU81),'2023DATA2'!$N$8,"")</f>
        <v/>
      </c>
    </row>
    <row r="88" spans="16:99" x14ac:dyDescent="0.25">
      <c r="P88" s="940" t="s">
        <v>66</v>
      </c>
      <c r="Q88" s="13" t="s">
        <v>61</v>
      </c>
      <c r="R88" s="518" t="str">
        <f>IF(AND(_AC1="A-330-200",'2023'!$O$4="CA",'2023'!$O$2=R81),'2023DATA2'!$C$9,"")</f>
        <v/>
      </c>
      <c r="S88" s="518" t="str">
        <f>IF(AND(_AC1="A-330-200",'2023'!$O$4="CA",'2023'!$O$2=S81),'2023DATA2'!$D$9,"")</f>
        <v/>
      </c>
      <c r="T88" s="518" t="str">
        <f>IF(AND(_AC1="A-330-200",'2023'!$O$4="CA",'2023'!$O$2=T81),'2023DATA2'!$E$9,"")</f>
        <v/>
      </c>
      <c r="U88" s="518" t="str">
        <f>IF(AND(_AC1="A-330-200",'2023'!$O$4="CA",'2023'!$O$2=U81),'2023DATA2'!$F$9,"")</f>
        <v/>
      </c>
      <c r="V88" s="518" t="str">
        <f>IF(AND(_AC1="A-330-200",'2023'!$O$4="CA",'2023'!$O$2=V81),'2023DATA2'!$G$9,"")</f>
        <v/>
      </c>
      <c r="W88" s="518" t="str">
        <f>IF(AND(_AC1="A-330-200",'2023'!$O$4="CA",'2023'!$O$2=W81),'2023DATA2'!$H$9,"")</f>
        <v/>
      </c>
      <c r="X88" s="518" t="str">
        <f>IF(AND(_AC1="A-330-200",'2023'!$O$4="CA",'2023'!$O$2=X81),'2023DATA2'!$I$9,"")</f>
        <v/>
      </c>
      <c r="Y88" s="518" t="str">
        <f>IF(AND(_AC1="A-330-200",'2023'!$O$4="CA",'2023'!$O$2=Y81),'2023DATA2'!$J$9,"")</f>
        <v/>
      </c>
      <c r="Z88" s="518" t="str">
        <f>IF(AND(_AC1="A-330-200",'2023'!$O$4="CA",'2023'!$O$2=Z81),'2023DATA2'!$K$9,"")</f>
        <v/>
      </c>
      <c r="AA88" s="518" t="str">
        <f>IF(AND(_AC1="A-330-200",'2023'!$O$4="CA",'2023'!$O$2=AA81),'2023DATA2'!$L$9,"")</f>
        <v/>
      </c>
      <c r="AB88" s="518" t="str">
        <f>IF(AND(_AC1="A-330-200",'2023'!$O$4="CA",'2023'!$O$2=AB81),'2023DATA2'!$M$9,"")</f>
        <v/>
      </c>
      <c r="AC88" s="520" t="str">
        <f>IF(AND(_AC1="A-330-200",'2023'!$O$4="CA",'2023'!$O$2=AC81),'2023DATA2'!$N$9,"")</f>
        <v/>
      </c>
      <c r="AD88" s="940" t="s">
        <v>66</v>
      </c>
      <c r="AE88" s="13" t="s">
        <v>61</v>
      </c>
      <c r="AF88" s="518" t="str">
        <f>IF(AND(_AC2="A-330-200",'2023'!$O$4="CA",'2023'!$O$2=AF81),'2023DATA2'!$C$9,"")</f>
        <v/>
      </c>
      <c r="AG88" s="518" t="str">
        <f>IF(AND(_AC2="A-330-200",'2023'!$O$4="CA",'2023'!$O$2=AG81),'2023DATA2'!$D$9,"")</f>
        <v/>
      </c>
      <c r="AH88" s="518" t="str">
        <f>IF(AND(_AC2="A-330-200",'2023'!$O$4="CA",'2023'!$O$2=AH81),'2023DATA2'!$E$9,"")</f>
        <v/>
      </c>
      <c r="AI88" s="518" t="str">
        <f>IF(AND(_AC2="A-330-200",'2023'!$O$4="CA",'2023'!$O$2=AI81),'2023DATA2'!$F$9,"")</f>
        <v/>
      </c>
      <c r="AJ88" s="518" t="str">
        <f>IF(AND(_AC2="A-330-200",'2023'!$O$4="CA",'2023'!$O$2=AJ81),'2023DATA2'!$G$9,"")</f>
        <v/>
      </c>
      <c r="AK88" s="518" t="str">
        <f>IF(AND(_AC2="A-330-200",'2023'!$O$4="CA",'2023'!$O$2=AK81),'2023DATA2'!$H$9,"")</f>
        <v/>
      </c>
      <c r="AL88" s="518" t="str">
        <f>IF(AND(_AC2="A-330-200",'2023'!$O$4="CA",'2023'!$O$2=AL81),'2023DATA2'!$I$9,"")</f>
        <v/>
      </c>
      <c r="AM88" s="518" t="str">
        <f>IF(AND(_AC2="A-330-200",'2023'!$O$4="CA",'2023'!$O$2=AM81),'2023DATA2'!$J$9,"")</f>
        <v/>
      </c>
      <c r="AN88" s="518" t="str">
        <f>IF(AND(_AC2="A-330-200",'2023'!$O$4="CA",'2023'!$O$2=AN81),'2023DATA2'!$K$9,"")</f>
        <v/>
      </c>
      <c r="AO88" s="518" t="str">
        <f>IF(AND(_AC2="A-330-200",'2023'!$O$4="CA",'2023'!$O$2=AO81),'2023DATA2'!$L$9,"")</f>
        <v/>
      </c>
      <c r="AP88" s="518" t="str">
        <f>IF(AND(_AC2="A-330-200",'2023'!$O$4="CA",'2023'!$O$2=AP81),'2023DATA2'!$M$9,"")</f>
        <v/>
      </c>
      <c r="AQ88" s="520" t="str">
        <f>IF(AND(_AC2="A-330-200",'2023'!$O$4="CA",'2023'!$O$2=AQ81),'2023DATA2'!$N$9,"")</f>
        <v/>
      </c>
      <c r="AR88" s="940" t="s">
        <v>66</v>
      </c>
      <c r="AS88" s="13" t="s">
        <v>61</v>
      </c>
      <c r="AT88" s="518" t="str">
        <f>IF(AND(_AC3="A-330-200",'2023'!$O$4="CA",'2023'!$O$2=AT81),'2023DATA2'!$C$9,"")</f>
        <v/>
      </c>
      <c r="AU88" s="518" t="str">
        <f>IF(AND(_AC3="A-330-200",'2023'!$O$4="CA",'2023'!$O$2=AU81),'2023DATA2'!$D$9,"")</f>
        <v/>
      </c>
      <c r="AV88" s="518" t="str">
        <f>IF(AND(_AC3="A-330-200",'2023'!$O$4="CA",'2023'!$O$2=AV81),'2023DATA2'!$E$9,"")</f>
        <v/>
      </c>
      <c r="AW88" s="518" t="str">
        <f>IF(AND(_AC3="A-330-200",'2023'!$O$4="CA",'2023'!$O$2=AW81),'2023DATA2'!$F$9,"")</f>
        <v/>
      </c>
      <c r="AX88" s="518" t="str">
        <f>IF(AND(_AC3="A-330-200",'2023'!$O$4="CA",'2023'!$O$2=AX81),'2023DATA2'!$G$9,"")</f>
        <v/>
      </c>
      <c r="AY88" s="518" t="str">
        <f>IF(AND(_AC3="A-330-200",'2023'!$O$4="CA",'2023'!$O$2=AY81),'2023DATA2'!$H$9,"")</f>
        <v/>
      </c>
      <c r="AZ88" s="518" t="str">
        <f>IF(AND(_AC3="A-330-200",'2023'!$O$4="CA",'2023'!$O$2=AZ81),'2023DATA2'!$I$9,"")</f>
        <v/>
      </c>
      <c r="BA88" s="518" t="str">
        <f>IF(AND(_AC3="A-330-200",'2023'!$O$4="CA",'2023'!$O$2=BA81),'2023DATA2'!$J$9,"")</f>
        <v/>
      </c>
      <c r="BB88" s="518" t="str">
        <f>IF(AND(_AC3="A-330-200",'2023'!$O$4="CA",'2023'!$O$2=BB81),'2023DATA2'!$K$9,"")</f>
        <v/>
      </c>
      <c r="BC88" s="518" t="str">
        <f>IF(AND(_AC3="A-330-200",'2023'!$O$4="CA",'2023'!$O$2=BC81),'2023DATA2'!$L$9,"")</f>
        <v/>
      </c>
      <c r="BD88" s="518" t="str">
        <f>IF(AND(_AC3="A-330-200",'2023'!$O$4="CA",'2023'!$O$2=BD81),'2023DATA2'!$M$9,"")</f>
        <v/>
      </c>
      <c r="BE88" s="520" t="str">
        <f>IF(AND(_AC3="A-330-200",'2023'!$O$4="CA",'2023'!$O$2=BE81),'2023DATA2'!$N$9,"")</f>
        <v/>
      </c>
      <c r="BF88" s="940" t="s">
        <v>66</v>
      </c>
      <c r="BG88" s="13" t="s">
        <v>61</v>
      </c>
      <c r="BH88" s="518" t="str">
        <f>IF(AND(_AC4="A-330-200",'2023'!$O$4="CA",'2023'!$O$2=BH81),'2023DATA2'!$C$9,"")</f>
        <v/>
      </c>
      <c r="BI88" s="518" t="str">
        <f>IF(AND(_AC4="A-330-200",'2023'!$O$4="CA",'2023'!$O$2=BI81),'2023DATA2'!$D$9,"")</f>
        <v/>
      </c>
      <c r="BJ88" s="518" t="str">
        <f>IF(AND(_AC4="A-330-200",'2023'!$O$4="CA",'2023'!$O$2=BJ81),'2023DATA2'!$E$9,"")</f>
        <v/>
      </c>
      <c r="BK88" s="518" t="str">
        <f>IF(AND(_AC4="A-330-200",'2023'!$O$4="CA",'2023'!$O$2=BK81),'2023DATA2'!$F$9,"")</f>
        <v/>
      </c>
      <c r="BL88" s="518" t="str">
        <f>IF(AND(_AC4="A-330-200",'2023'!$O$4="CA",'2023'!$O$2=BL81),'2023DATA2'!$G$9,"")</f>
        <v/>
      </c>
      <c r="BM88" s="518" t="str">
        <f>IF(AND(_AC4="A-330-200",'2023'!$O$4="CA",'2023'!$O$2=BM81),'2023DATA2'!$H$9,"")</f>
        <v/>
      </c>
      <c r="BN88" s="518" t="str">
        <f>IF(AND(_AC4="A-330-200",'2023'!$O$4="CA",'2023'!$O$2=BN81),'2023DATA2'!$I$9,"")</f>
        <v/>
      </c>
      <c r="BO88" s="518" t="str">
        <f>IF(AND(_AC4="A-330-200",'2023'!$O$4="CA",'2023'!$O$2=BO81),'2023DATA2'!$J$9,"")</f>
        <v/>
      </c>
      <c r="BP88" s="518" t="str">
        <f>IF(AND(_AC4="A-330-200",'2023'!$O$4="CA",'2023'!$O$2=BP81),'2023DATA2'!$K$9,"")</f>
        <v/>
      </c>
      <c r="BQ88" s="518" t="str">
        <f>IF(AND(_AC4="A-330-200",'2023'!$O$4="CA",'2023'!$O$2=BQ81),'2023DATA2'!$L$9,"")</f>
        <v/>
      </c>
      <c r="BR88" s="518" t="str">
        <f>IF(AND(_AC4="A-330-200",'2023'!$O$4="CA",'2023'!$O$2=BR81),'2023DATA2'!$M$9,"")</f>
        <v/>
      </c>
      <c r="BS88" s="520" t="str">
        <f>IF(AND(_AC4="A-330-200",'2023'!$O$4="CA",'2023'!$O$2=BS81),'2023DATA2'!$N$9,"")</f>
        <v/>
      </c>
      <c r="BT88" s="940" t="s">
        <v>66</v>
      </c>
      <c r="BU88" s="13" t="s">
        <v>61</v>
      </c>
      <c r="BV88" s="518" t="str">
        <f>IF(AND(_AC5="A-330-200",'2023'!$O$4="CA",'2023'!$O$2=BV81),'2023DATA2'!$C$9,"")</f>
        <v/>
      </c>
      <c r="BW88" s="518" t="str">
        <f>IF(AND(_AC5="A-330-200",'2023'!$O$4="CA",'2023'!$O$2=BW81),'2023DATA2'!$D$9,"")</f>
        <v/>
      </c>
      <c r="BX88" s="518" t="str">
        <f>IF(AND(_AC5="A-330-200",'2023'!$O$4="CA",'2023'!$O$2=BX81),'2023DATA2'!$E$9,"")</f>
        <v/>
      </c>
      <c r="BY88" s="518" t="str">
        <f>IF(AND(_AC5="A-330-200",'2023'!$O$4="CA",'2023'!$O$2=BY81),'2023DATA2'!$F$9,"")</f>
        <v/>
      </c>
      <c r="BZ88" s="518" t="str">
        <f>IF(AND(_AC5="A-330-200",'2023'!$O$4="CA",'2023'!$O$2=BZ81),'2023DATA2'!$G$9,"")</f>
        <v/>
      </c>
      <c r="CA88" s="518" t="str">
        <f>IF(AND(_AC5="A-330-200",'2023'!$O$4="CA",'2023'!$O$2=CA81),'2023DATA2'!$H$9,"")</f>
        <v/>
      </c>
      <c r="CB88" s="518" t="str">
        <f>IF(AND(_AC5="A-330-200",'2023'!$O$4="CA",'2023'!$O$2=CB81),'2023DATA2'!$I$9,"")</f>
        <v/>
      </c>
      <c r="CC88" s="518" t="str">
        <f>IF(AND(_AC5="A-330-200",'2023'!$O$4="CA",'2023'!$O$2=CC81),'2023DATA2'!$J$9,"")</f>
        <v/>
      </c>
      <c r="CD88" s="518" t="str">
        <f>IF(AND(_AC5="A-330-200",'2023'!$O$4="CA",'2023'!$O$2=CD81),'2023DATA2'!$K$9,"")</f>
        <v/>
      </c>
      <c r="CE88" s="518" t="str">
        <f>IF(AND(_AC5="A-330-200",'2023'!$O$4="CA",'2023'!$O$2=CE81),'2023DATA2'!$L$9,"")</f>
        <v/>
      </c>
      <c r="CF88" s="518" t="str">
        <f>IF(AND(_AC5="A-330-200",'2023'!$O$4="CA",'2023'!$O$2=CF81),'2023DATA2'!$M$9,"")</f>
        <v/>
      </c>
      <c r="CG88" s="520" t="str">
        <f>IF(AND(_AC5="A-330-200",'2023'!$O$4="CA",'2023'!$O$2=CG81),'2023DATA2'!$N$9,"")</f>
        <v/>
      </c>
      <c r="CH88" s="940" t="s">
        <v>66</v>
      </c>
      <c r="CI88" s="13" t="s">
        <v>61</v>
      </c>
      <c r="CJ88" s="518" t="str">
        <f>IF(AND(_AC6="A-330-200",'2023'!$O$4="CA",'2023'!$O$2=CJ81),'2023DATA2'!$C$9,"")</f>
        <v/>
      </c>
      <c r="CK88" s="518" t="str">
        <f>IF(AND(_AC6="A-330-200",'2023'!$O$4="CA",'2023'!$O$2=CK81),'2023DATA2'!$D$9,"")</f>
        <v/>
      </c>
      <c r="CL88" s="518" t="str">
        <f>IF(AND(_AC6="A-330-200",'2023'!$O$4="CA",'2023'!$O$2=CL81),'2023DATA2'!$E$9,"")</f>
        <v/>
      </c>
      <c r="CM88" s="518" t="str">
        <f>IF(AND(_AC6="A-330-200",'2023'!$O$4="CA",'2023'!$O$2=CM81),'2023DATA2'!$F$9,"")</f>
        <v/>
      </c>
      <c r="CN88" s="518" t="str">
        <f>IF(AND(_AC6="A-330-200",'2023'!$O$4="CA",'2023'!$O$2=CN81),'2023DATA2'!$G$9,"")</f>
        <v/>
      </c>
      <c r="CO88" s="518" t="str">
        <f>IF(AND(_AC6="A-330-200",'2023'!$O$4="CA",'2023'!$O$2=CO81),'2023DATA2'!$H$9,"")</f>
        <v/>
      </c>
      <c r="CP88" s="518" t="str">
        <f>IF(AND(_AC6="A-330-200",'2023'!$O$4="CA",'2023'!$O$2=CP81),'2023DATA2'!$I$9,"")</f>
        <v/>
      </c>
      <c r="CQ88" s="518" t="str">
        <f>IF(AND(_AC6="A-330-200",'2023'!$O$4="CA",'2023'!$O$2=CQ81),'2023DATA2'!$J$9,"")</f>
        <v/>
      </c>
      <c r="CR88" s="518" t="str">
        <f>IF(AND(_AC6="A-330-200",'2023'!$O$4="CA",'2023'!$O$2=CR81),'2023DATA2'!$K$9,"")</f>
        <v/>
      </c>
      <c r="CS88" s="518" t="str">
        <f>IF(AND(_AC6="A-330-200",'2023'!$O$4="CA",'2023'!$O$2=CS81),'2023DATA2'!$L$9,"")</f>
        <v/>
      </c>
      <c r="CT88" s="518" t="str">
        <f>IF(AND(_AC6="A-330-200",'2023'!$O$4="CA",'2023'!$O$2=CT81),'2023DATA2'!$M$9,"")</f>
        <v/>
      </c>
      <c r="CU88" s="520" t="str">
        <f>IF(AND(_AC6="A-330-200",'2023'!$O$4="CA",'2023'!$O$2=CU81),'2023DATA2'!$N$9,"")</f>
        <v/>
      </c>
    </row>
    <row r="89" spans="16:99" x14ac:dyDescent="0.25">
      <c r="P89" s="940"/>
      <c r="Q89" s="13" t="s">
        <v>62</v>
      </c>
      <c r="R89" s="518" t="str">
        <f>IF(AND(_AC1="A-330-200",'2023'!$O$4="FO",'2023'!$O$2=R81),'2023DATA2'!$C$10,"")</f>
        <v/>
      </c>
      <c r="S89" s="518" t="str">
        <f>IF(AND(_AC1="A-330-200",'2023'!$O$4="FO",'2023'!$O$2=S81),'2023DATA2'!$D$10,"")</f>
        <v/>
      </c>
      <c r="T89" s="518" t="str">
        <f>IF(AND(_AC1="A-330-200",'2023'!$O$4="FO",'2023'!$O$2=T81),'2023DATA2'!$E$10,"")</f>
        <v/>
      </c>
      <c r="U89" s="518" t="str">
        <f>IF(AND(_AC1="A-330-200",'2023'!$O$4="FO",'2023'!$O$2=U81),'2023DATA2'!$F$10,"")</f>
        <v/>
      </c>
      <c r="V89" s="518" t="str">
        <f>IF(AND(_AC1="A-330-200",'2023'!$O$4="FO",'2023'!$O$2=V81),'2023DATA2'!$G$10,"")</f>
        <v/>
      </c>
      <c r="W89" s="518" t="str">
        <f>IF(AND(_AC1="A-330-200",'2023'!$O$4="FO",'2023'!$O$2=W81),'2023DATA2'!$H$10,"")</f>
        <v/>
      </c>
      <c r="X89" s="518" t="str">
        <f>IF(AND(_AC1="A-330-200",'2023'!$O$4="FO",'2023'!$O$2=X81),'2023DATA2'!$I$10,"")</f>
        <v/>
      </c>
      <c r="Y89" s="518" t="str">
        <f>IF(AND(_AC1="A-330-200",'2023'!$O$4="FO",'2023'!$O$2=Y81),'2023DATA2'!$J$10,"")</f>
        <v/>
      </c>
      <c r="Z89" s="518" t="str">
        <f>IF(AND(_AC1="A-330-200",'2023'!$O$4="FO",'2023'!$O$2=Z81),'2023DATA2'!$K$10,"")</f>
        <v/>
      </c>
      <c r="AA89" s="518" t="str">
        <f>IF(AND(_AC1="A-330-200",'2023'!$O$4="FO",'2023'!$O$2=AA81),'2023DATA2'!$L$10,"")</f>
        <v/>
      </c>
      <c r="AB89" s="518" t="str">
        <f>IF(AND(_AC1="A-330-200",'2023'!$O$4="FO",'2023'!$O$2=AB81),'2023DATA2'!$M$10,"")</f>
        <v/>
      </c>
      <c r="AC89" s="520" t="str">
        <f>IF(AND(_AC1="A-330-200",'2023'!$O$4="FO",'2023'!$O$2=AC81),'2023DATA2'!$N$10,"")</f>
        <v/>
      </c>
      <c r="AD89" s="940"/>
      <c r="AE89" s="13" t="s">
        <v>62</v>
      </c>
      <c r="AF89" s="518" t="str">
        <f>IF(AND(_AC2="A-330-200",'2023'!$O$4="FO",'2023'!$O$2=AF81),'2023DATA2'!$C$10,"")</f>
        <v/>
      </c>
      <c r="AG89" s="518" t="str">
        <f>IF(AND(_AC2="A-330-200",'2023'!$O$4="FO",'2023'!$O$2=AG81),'2023DATA2'!$D$10,"")</f>
        <v/>
      </c>
      <c r="AH89" s="518" t="str">
        <f>IF(AND(_AC2="A-330-200",'2023'!$O$4="FO",'2023'!$O$2=AH81),'2023DATA2'!$E$10,"")</f>
        <v/>
      </c>
      <c r="AI89" s="518" t="str">
        <f>IF(AND(_AC2="A-330-200",'2023'!$O$4="FO",'2023'!$O$2=AI81),'2023DATA2'!$F$10,"")</f>
        <v/>
      </c>
      <c r="AJ89" s="518" t="str">
        <f>IF(AND(_AC2="A-330-200",'2023'!$O$4="FO",'2023'!$O$2=AJ81),'2023DATA2'!$G$10,"")</f>
        <v/>
      </c>
      <c r="AK89" s="518" t="str">
        <f>IF(AND(_AC2="A-330-200",'2023'!$O$4="FO",'2023'!$O$2=AK81),'2023DATA2'!$H$10,"")</f>
        <v/>
      </c>
      <c r="AL89" s="518" t="str">
        <f>IF(AND(_AC2="A-330-200",'2023'!$O$4="FO",'2023'!$O$2=AL81),'2023DATA2'!$I$10,"")</f>
        <v/>
      </c>
      <c r="AM89" s="518" t="str">
        <f>IF(AND(_AC2="A-330-200",'2023'!$O$4="FO",'2023'!$O$2=AM81),'2023DATA2'!$J$10,"")</f>
        <v/>
      </c>
      <c r="AN89" s="518" t="str">
        <f>IF(AND(_AC2="A-330-200",'2023'!$O$4="FO",'2023'!$O$2=AN81),'2023DATA2'!$K$10,"")</f>
        <v/>
      </c>
      <c r="AO89" s="518" t="str">
        <f>IF(AND(_AC2="A-330-200",'2023'!$O$4="FO",'2023'!$O$2=AO81),'2023DATA2'!$L$10,"")</f>
        <v/>
      </c>
      <c r="AP89" s="518" t="str">
        <f>IF(AND(_AC2="A-330-200",'2023'!$O$4="FO",'2023'!$O$2=AP81),'2023DATA2'!$M$10,"")</f>
        <v/>
      </c>
      <c r="AQ89" s="520" t="str">
        <f>IF(AND(_AC2="A-330-200",'2023'!$O$4="FO",'2023'!$O$2=AQ81),'2023DATA2'!$N$10,"")</f>
        <v/>
      </c>
      <c r="AR89" s="940"/>
      <c r="AS89" s="13" t="s">
        <v>62</v>
      </c>
      <c r="AT89" s="518" t="str">
        <f>IF(AND(_AC3="A-330-200",'2023'!$O$4="FO",'2023'!$O$2=AT81),'2023DATA2'!$C$10,"")</f>
        <v/>
      </c>
      <c r="AU89" s="518" t="str">
        <f>IF(AND(_AC3="A-330-200",'2023'!$O$4="FO",'2023'!$O$2=AU81),'2023DATA2'!$D$10,"")</f>
        <v/>
      </c>
      <c r="AV89" s="518" t="str">
        <f>IF(AND(_AC3="A-330-200",'2023'!$O$4="FO",'2023'!$O$2=AV81),'2023DATA2'!$E$10,"")</f>
        <v/>
      </c>
      <c r="AW89" s="518" t="str">
        <f>IF(AND(_AC3="A-330-200",'2023'!$O$4="FO",'2023'!$O$2=AW81),'2023DATA2'!$F$10,"")</f>
        <v/>
      </c>
      <c r="AX89" s="518" t="str">
        <f>IF(AND(_AC3="A-330-200",'2023'!$O$4="FO",'2023'!$O$2=AX81),'2023DATA2'!$G$10,"")</f>
        <v/>
      </c>
      <c r="AY89" s="518" t="str">
        <f>IF(AND(_AC3="A-330-200",'2023'!$O$4="FO",'2023'!$O$2=AY81),'2023DATA2'!$H$10,"")</f>
        <v/>
      </c>
      <c r="AZ89" s="518" t="str">
        <f>IF(AND(_AC3="A-330-200",'2023'!$O$4="FO",'2023'!$O$2=AZ81),'2023DATA2'!$I$10,"")</f>
        <v/>
      </c>
      <c r="BA89" s="518" t="str">
        <f>IF(AND(_AC3="A-330-200",'2023'!$O$4="FO",'2023'!$O$2=BA81),'2023DATA2'!$J$10,"")</f>
        <v/>
      </c>
      <c r="BB89" s="518" t="str">
        <f>IF(AND(_AC3="A-330-200",'2023'!$O$4="FO",'2023'!$O$2=BB81),'2023DATA2'!$K$10,"")</f>
        <v/>
      </c>
      <c r="BC89" s="518" t="str">
        <f>IF(AND(_AC3="A-330-200",'2023'!$O$4="FO",'2023'!$O$2=BC81),'2023DATA2'!$L$10,"")</f>
        <v/>
      </c>
      <c r="BD89" s="518" t="str">
        <f>IF(AND(_AC3="A-330-200",'2023'!$O$4="FO",'2023'!$O$2=BD81),'2023DATA2'!$M$10,"")</f>
        <v/>
      </c>
      <c r="BE89" s="520" t="str">
        <f>IF(AND(_AC3="A-330-200",'2023'!$O$4="FO",'2023'!$O$2=BE81),'2023DATA2'!$N$10,"")</f>
        <v/>
      </c>
      <c r="BF89" s="940"/>
      <c r="BG89" s="13" t="s">
        <v>62</v>
      </c>
      <c r="BH89" s="518" t="str">
        <f>IF(AND(_AC4="A-330-200",'2023'!$O$4="FO",'2023'!$O$2=BH81),'2023DATA2'!$C$10,"")</f>
        <v/>
      </c>
      <c r="BI89" s="518" t="str">
        <f>IF(AND(_AC4="A-330-200",'2023'!$O$4="FO",'2023'!$O$2=BI81),'2023DATA2'!$D$10,"")</f>
        <v/>
      </c>
      <c r="BJ89" s="518" t="str">
        <f>IF(AND(_AC4="A-330-200",'2023'!$O$4="FO",'2023'!$O$2=BJ81),'2023DATA2'!$E$10,"")</f>
        <v/>
      </c>
      <c r="BK89" s="518" t="str">
        <f>IF(AND(_AC4="A-330-200",'2023'!$O$4="FO",'2023'!$O$2=BK81),'2023DATA2'!$F$10,"")</f>
        <v/>
      </c>
      <c r="BL89" s="518" t="str">
        <f>IF(AND(_AC4="A-330-200",'2023'!$O$4="FO",'2023'!$O$2=BL81),'2023DATA2'!$G$10,"")</f>
        <v/>
      </c>
      <c r="BM89" s="518" t="str">
        <f>IF(AND(_AC4="A-330-200",'2023'!$O$4="FO",'2023'!$O$2=BM81),'2023DATA2'!$H$10,"")</f>
        <v/>
      </c>
      <c r="BN89" s="518" t="str">
        <f>IF(AND(_AC4="A-330-200",'2023'!$O$4="FO",'2023'!$O$2=BN81),'2023DATA2'!$I$10,"")</f>
        <v/>
      </c>
      <c r="BO89" s="518" t="str">
        <f>IF(AND(_AC4="A-330-200",'2023'!$O$4="FO",'2023'!$O$2=BO81),'2023DATA2'!$J$10,"")</f>
        <v/>
      </c>
      <c r="BP89" s="518" t="str">
        <f>IF(AND(_AC4="A-330-200",'2023'!$O$4="FO",'2023'!$O$2=BP81),'2023DATA2'!$K$10,"")</f>
        <v/>
      </c>
      <c r="BQ89" s="518" t="str">
        <f>IF(AND(_AC4="A-330-200",'2023'!$O$4="FO",'2023'!$O$2=BQ81),'2023DATA2'!$L$10,"")</f>
        <v/>
      </c>
      <c r="BR89" s="518" t="str">
        <f>IF(AND(_AC4="A-330-200",'2023'!$O$4="FO",'2023'!$O$2=BR81),'2023DATA2'!$M$10,"")</f>
        <v/>
      </c>
      <c r="BS89" s="520" t="str">
        <f>IF(AND(_AC4="A-330-200",'2023'!$O$4="FO",'2023'!$O$2=BS81),'2023DATA2'!$N$10,"")</f>
        <v/>
      </c>
      <c r="BT89" s="940"/>
      <c r="BU89" s="13" t="s">
        <v>62</v>
      </c>
      <c r="BV89" s="518" t="str">
        <f>IF(AND(_AC5="A-330-200",'2023'!$O$4="FO",'2023'!$O$2=BV81),'2023DATA2'!$C$10,"")</f>
        <v/>
      </c>
      <c r="BW89" s="518" t="str">
        <f>IF(AND(_AC5="A-330-200",'2023'!$O$4="FO",'2023'!$O$2=BW81),'2023DATA2'!$D$10,"")</f>
        <v/>
      </c>
      <c r="BX89" s="518" t="str">
        <f>IF(AND(_AC5="A-330-200",'2023'!$O$4="FO",'2023'!$O$2=BX81),'2023DATA2'!$E$10,"")</f>
        <v/>
      </c>
      <c r="BY89" s="518" t="str">
        <f>IF(AND(_AC5="A-330-200",'2023'!$O$4="FO",'2023'!$O$2=BY81),'2023DATA2'!$F$10,"")</f>
        <v/>
      </c>
      <c r="BZ89" s="518" t="str">
        <f>IF(AND(_AC5="A-330-200",'2023'!$O$4="FO",'2023'!$O$2=BZ81),'2023DATA2'!$G$10,"")</f>
        <v/>
      </c>
      <c r="CA89" s="518" t="str">
        <f>IF(AND(_AC5="A-330-200",'2023'!$O$4="FO",'2023'!$O$2=CA81),'2023DATA2'!$H$10,"")</f>
        <v/>
      </c>
      <c r="CB89" s="518" t="str">
        <f>IF(AND(_AC5="A-330-200",'2023'!$O$4="FO",'2023'!$O$2=CB81),'2023DATA2'!$I$10,"")</f>
        <v/>
      </c>
      <c r="CC89" s="518" t="str">
        <f>IF(AND(_AC5="A-330-200",'2023'!$O$4="FO",'2023'!$O$2=CC81),'2023DATA2'!$J$10,"")</f>
        <v/>
      </c>
      <c r="CD89" s="518" t="str">
        <f>IF(AND(_AC5="A-330-200",'2023'!$O$4="FO",'2023'!$O$2=CD81),'2023DATA2'!$K$10,"")</f>
        <v/>
      </c>
      <c r="CE89" s="518" t="str">
        <f>IF(AND(_AC5="A-330-200",'2023'!$O$4="FO",'2023'!$O$2=CE81),'2023DATA2'!$L$10,"")</f>
        <v/>
      </c>
      <c r="CF89" s="518" t="str">
        <f>IF(AND(_AC5="A-330-200",'2023'!$O$4="FO",'2023'!$O$2=CF81),'2023DATA2'!$M$10,"")</f>
        <v/>
      </c>
      <c r="CG89" s="520" t="str">
        <f>IF(AND(_AC5="A-330-200",'2023'!$O$4="FO",'2023'!$O$2=CG81),'2023DATA2'!$N$10,"")</f>
        <v/>
      </c>
      <c r="CH89" s="940"/>
      <c r="CI89" s="13" t="s">
        <v>62</v>
      </c>
      <c r="CJ89" s="518" t="str">
        <f>IF(AND(_AC6="A-330-200",'2023'!$O$4="FO",'2023'!$O$2=CJ81),'2023DATA2'!$C$10,"")</f>
        <v/>
      </c>
      <c r="CK89" s="518" t="str">
        <f>IF(AND(_AC6="A-330-200",'2023'!$O$4="FO",'2023'!$O$2=CK81),'2023DATA2'!$D$10,"")</f>
        <v/>
      </c>
      <c r="CL89" s="518" t="str">
        <f>IF(AND(_AC6="A-330-200",'2023'!$O$4="FO",'2023'!$O$2=CL81),'2023DATA2'!$E$10,"")</f>
        <v/>
      </c>
      <c r="CM89" s="518" t="str">
        <f>IF(AND(_AC6="A-330-200",'2023'!$O$4="FO",'2023'!$O$2=CM81),'2023DATA2'!$F$10,"")</f>
        <v/>
      </c>
      <c r="CN89" s="518" t="str">
        <f>IF(AND(_AC6="A-330-200",'2023'!$O$4="FO",'2023'!$O$2=CN81),'2023DATA2'!$G$10,"")</f>
        <v/>
      </c>
      <c r="CO89" s="518" t="str">
        <f>IF(AND(_AC6="A-330-200",'2023'!$O$4="FO",'2023'!$O$2=CO81),'2023DATA2'!$H$10,"")</f>
        <v/>
      </c>
      <c r="CP89" s="518" t="str">
        <f>IF(AND(_AC6="A-330-200",'2023'!$O$4="FO",'2023'!$O$2=CP81),'2023DATA2'!$I$10,"")</f>
        <v/>
      </c>
      <c r="CQ89" s="518" t="str">
        <f>IF(AND(_AC6="A-330-200",'2023'!$O$4="FO",'2023'!$O$2=CQ81),'2023DATA2'!$J$10,"")</f>
        <v/>
      </c>
      <c r="CR89" s="518" t="str">
        <f>IF(AND(_AC6="A-330-200",'2023'!$O$4="FO",'2023'!$O$2=CR81),'2023DATA2'!$K$10,"")</f>
        <v/>
      </c>
      <c r="CS89" s="518" t="str">
        <f>IF(AND(_AC6="A-330-200",'2023'!$O$4="FO",'2023'!$O$2=CS81),'2023DATA2'!$L$10,"")</f>
        <v/>
      </c>
      <c r="CT89" s="518" t="str">
        <f>IF(AND(_AC6="A-330-200",'2023'!$O$4="FO",'2023'!$O$2=CT81),'2023DATA2'!$M$10,"")</f>
        <v/>
      </c>
      <c r="CU89" s="520" t="str">
        <f>IF(AND(_AC6="A-330-200",'2023'!$O$4="FO",'2023'!$O$2=CU81),'2023DATA2'!$N$10,"")</f>
        <v/>
      </c>
    </row>
    <row r="90" spans="16:99" x14ac:dyDescent="0.25">
      <c r="P90" s="940" t="s">
        <v>42</v>
      </c>
      <c r="Q90" s="13" t="s">
        <v>61</v>
      </c>
      <c r="R90" s="518" t="str">
        <f>IF(AND(_AC1="B-767-400ER",'2023'!$O$4="CA",'2023'!$O$2=R81),'2023DATA2'!$C$11,"")</f>
        <v/>
      </c>
      <c r="S90" s="518" t="str">
        <f>IF(AND(_AC1="B-767-400ER",'2023'!$O$4="CA",'2023'!$O$2=S81),'2023DATA2'!$D$11,"")</f>
        <v/>
      </c>
      <c r="T90" s="518" t="str">
        <f>IF(AND(_AC1="B-767-400ER",'2023'!$O$4="CA",'2023'!$O$2=T81),'2023DATA2'!$E$11,"")</f>
        <v/>
      </c>
      <c r="U90" s="518" t="str">
        <f>IF(AND(_AC1="B-767-400ER",'2023'!$O$4="CA",'2023'!$O$2=U81),'2023DATA2'!$F$11,"")</f>
        <v/>
      </c>
      <c r="V90" s="518" t="str">
        <f>IF(AND(_AC1="B-767-400ER",'2023'!$O$4="CA",'2023'!$O$2=V81),'2023DATA2'!$G$11,"")</f>
        <v/>
      </c>
      <c r="W90" s="518" t="str">
        <f>IF(AND(_AC1="B-767-400ER",'2023'!$O$4="CA",'2023'!$O$2=W81),'2023DATA2'!$H$11,"")</f>
        <v/>
      </c>
      <c r="X90" s="518" t="str">
        <f>IF(AND(_AC1="B-767-400ER",'2023'!$O$4="CA",'2023'!$O$2=X81),'2023DATA2'!$I$11,"")</f>
        <v/>
      </c>
      <c r="Y90" s="518" t="str">
        <f>IF(AND(_AC1="B-767-400ER",'2023'!$O$4="CA",'2023'!$O$2=Y81),'2023DATA2'!$J$11,"")</f>
        <v/>
      </c>
      <c r="Z90" s="518" t="str">
        <f>IF(AND(_AC1="B-767-400ER",'2023'!$O$4="CA",'2023'!$O$2=Z81),'2023DATA2'!$K$11,"")</f>
        <v/>
      </c>
      <c r="AA90" s="518" t="str">
        <f>IF(AND(_AC1="B-767-400ER",'2023'!$O$4="CA",'2023'!$O$2=AA81),'2023DATA2'!$L$11,"")</f>
        <v/>
      </c>
      <c r="AB90" s="518" t="str">
        <f>IF(AND(_AC1="B-767-400ER",'2023'!$O$4="CA",'2023'!$O$2=AB81),'2023DATA2'!$M$11,"")</f>
        <v/>
      </c>
      <c r="AC90" s="520" t="str">
        <f>IF(AND(_AC1="B-767-400ER",'2023'!$O$4="CA",'2023'!$O$2=AC81),'2023DATA2'!$N$11,"")</f>
        <v/>
      </c>
      <c r="AD90" s="940" t="s">
        <v>42</v>
      </c>
      <c r="AE90" s="13" t="s">
        <v>61</v>
      </c>
      <c r="AF90" s="518" t="str">
        <f>IF(AND(_AC2="B-767-400ER",'2023'!$O$4="CA",'2023'!$O$2=AF81),'2023DATA2'!$C$11,"")</f>
        <v/>
      </c>
      <c r="AG90" s="518" t="str">
        <f>IF(AND(_AC2="B-767-400ER",'2023'!$O$4="CA",'2023'!$O$2=AG81),'2023DATA2'!$D$11,"")</f>
        <v/>
      </c>
      <c r="AH90" s="518" t="str">
        <f>IF(AND(_AC2="B-767-400ER",'2023'!$O$4="CA",'2023'!$O$2=AH81),'2023DATA2'!$E$11,"")</f>
        <v/>
      </c>
      <c r="AI90" s="518" t="str">
        <f>IF(AND(_AC2="B-767-400ER",'2023'!$O$4="CA",'2023'!$O$2=AI81),'2023DATA2'!$F$11,"")</f>
        <v/>
      </c>
      <c r="AJ90" s="518" t="str">
        <f>IF(AND(_AC2="B-767-400ER",'2023'!$O$4="CA",'2023'!$O$2=AJ81),'2023DATA2'!$G$11,"")</f>
        <v/>
      </c>
      <c r="AK90" s="518" t="str">
        <f>IF(AND(_AC2="B-767-400ER",'2023'!$O$4="CA",'2023'!$O$2=AK81),'2023DATA2'!$H$11,"")</f>
        <v/>
      </c>
      <c r="AL90" s="518" t="str">
        <f>IF(AND(_AC2="B-767-400ER",'2023'!$O$4="CA",'2023'!$O$2=AL81),'2023DATA2'!$I$11,"")</f>
        <v/>
      </c>
      <c r="AM90" s="518" t="str">
        <f>IF(AND(_AC2="B-767-400ER",'2023'!$O$4="CA",'2023'!$O$2=AM81),'2023DATA2'!$J$11,"")</f>
        <v/>
      </c>
      <c r="AN90" s="518" t="str">
        <f>IF(AND(_AC2="B-767-400ER",'2023'!$O$4="CA",'2023'!$O$2=AN81),'2023DATA2'!$K$11,"")</f>
        <v/>
      </c>
      <c r="AO90" s="518" t="str">
        <f>IF(AND(_AC2="B-767-400ER",'2023'!$O$4="CA",'2023'!$O$2=AO81),'2023DATA2'!$L$11,"")</f>
        <v/>
      </c>
      <c r="AP90" s="518" t="str">
        <f>IF(AND(_AC2="B-767-400ER",'2023'!$O$4="CA",'2023'!$O$2=AP81),'2023DATA2'!$M$11,"")</f>
        <v/>
      </c>
      <c r="AQ90" s="520" t="str">
        <f>IF(AND(_AC2="B-767-400ER",'2023'!$O$4="CA",'2023'!$O$2=AQ81),'2023DATA2'!$N$11,"")</f>
        <v/>
      </c>
      <c r="AR90" s="940" t="s">
        <v>42</v>
      </c>
      <c r="AS90" s="13" t="s">
        <v>61</v>
      </c>
      <c r="AT90" s="518" t="str">
        <f>IF(AND(_AC3="B-767-400ER",'2023'!$O$4="CA",'2023'!$O$2=AT81),'2023DATA2'!$C$11,"")</f>
        <v/>
      </c>
      <c r="AU90" s="518" t="str">
        <f>IF(AND(_AC3="B-767-400ER",'2023'!$O$4="CA",'2023'!$O$2=AU81),'2023DATA2'!$D$11,"")</f>
        <v/>
      </c>
      <c r="AV90" s="518" t="str">
        <f>IF(AND(_AC3="B-767-400ER",'2023'!$O$4="CA",'2023'!$O$2=AV81),'2023DATA2'!$E$11,"")</f>
        <v/>
      </c>
      <c r="AW90" s="518" t="str">
        <f>IF(AND(_AC3="B-767-400ER",'2023'!$O$4="CA",'2023'!$O$2=AW81),'2023DATA2'!$F$11,"")</f>
        <v/>
      </c>
      <c r="AX90" s="518" t="str">
        <f>IF(AND(_AC3="B-767-400ER",'2023'!$O$4="CA",'2023'!$O$2=AX81),'2023DATA2'!$G$11,"")</f>
        <v/>
      </c>
      <c r="AY90" s="518" t="str">
        <f>IF(AND(_AC3="B-767-400ER",'2023'!$O$4="CA",'2023'!$O$2=AY81),'2023DATA2'!$H$11,"")</f>
        <v/>
      </c>
      <c r="AZ90" s="518" t="str">
        <f>IF(AND(_AC3="B-767-400ER",'2023'!$O$4="CA",'2023'!$O$2=AZ81),'2023DATA2'!$I$11,"")</f>
        <v/>
      </c>
      <c r="BA90" s="518" t="str">
        <f>IF(AND(_AC3="B-767-400ER",'2023'!$O$4="CA",'2023'!$O$2=BA81),'2023DATA2'!$J$11,"")</f>
        <v/>
      </c>
      <c r="BB90" s="518" t="str">
        <f>IF(AND(_AC3="B-767-400ER",'2023'!$O$4="CA",'2023'!$O$2=BB81),'2023DATA2'!$K$11,"")</f>
        <v/>
      </c>
      <c r="BC90" s="518" t="str">
        <f>IF(AND(_AC3="B-767-400ER",'2023'!$O$4="CA",'2023'!$O$2=BC81),'2023DATA2'!$L$11,"")</f>
        <v/>
      </c>
      <c r="BD90" s="518" t="str">
        <f>IF(AND(_AC3="B-767-400ER",'2023'!$O$4="CA",'2023'!$O$2=BD81),'2023DATA2'!$M$11,"")</f>
        <v/>
      </c>
      <c r="BE90" s="520" t="str">
        <f>IF(AND(_AC3="B-767-400ER",'2023'!$O$4="CA",'2023'!$O$2=BE81),'2023DATA2'!$N$11,"")</f>
        <v/>
      </c>
      <c r="BF90" s="940" t="s">
        <v>42</v>
      </c>
      <c r="BG90" s="13" t="s">
        <v>61</v>
      </c>
      <c r="BH90" s="518" t="str">
        <f>IF(AND(_AC4="B-767-400ER",'2023'!$O$4="CA",'2023'!$O$2=BH81),'2023DATA2'!$C$11,"")</f>
        <v/>
      </c>
      <c r="BI90" s="518" t="str">
        <f>IF(AND(_AC4="B-767-400ER",'2023'!$O$4="CA",'2023'!$O$2=BI81),'2023DATA2'!$D$11,"")</f>
        <v/>
      </c>
      <c r="BJ90" s="518" t="str">
        <f>IF(AND(_AC4="B-767-400ER",'2023'!$O$4="CA",'2023'!$O$2=BJ81),'2023DATA2'!$E$11,"")</f>
        <v/>
      </c>
      <c r="BK90" s="518" t="str">
        <f>IF(AND(_AC4="B-767-400ER",'2023'!$O$4="CA",'2023'!$O$2=BK81),'2023DATA2'!$F$11,"")</f>
        <v/>
      </c>
      <c r="BL90" s="518" t="str">
        <f>IF(AND(_AC4="B-767-400ER",'2023'!$O$4="CA",'2023'!$O$2=BL81),'2023DATA2'!$G$11,"")</f>
        <v/>
      </c>
      <c r="BM90" s="518" t="str">
        <f>IF(AND(_AC4="B-767-400ER",'2023'!$O$4="CA",'2023'!$O$2=BM81),'2023DATA2'!$H$11,"")</f>
        <v/>
      </c>
      <c r="BN90" s="518" t="str">
        <f>IF(AND(_AC4="B-767-400ER",'2023'!$O$4="CA",'2023'!$O$2=BN81),'2023DATA2'!$I$11,"")</f>
        <v/>
      </c>
      <c r="BO90" s="518" t="str">
        <f>IF(AND(_AC4="B-767-400ER",'2023'!$O$4="CA",'2023'!$O$2=BO81),'2023DATA2'!$J$11,"")</f>
        <v/>
      </c>
      <c r="BP90" s="518" t="str">
        <f>IF(AND(_AC4="B-767-400ER",'2023'!$O$4="CA",'2023'!$O$2=BP81),'2023DATA2'!$K$11,"")</f>
        <v/>
      </c>
      <c r="BQ90" s="518" t="str">
        <f>IF(AND(_AC4="B-767-400ER",'2023'!$O$4="CA",'2023'!$O$2=BQ81),'2023DATA2'!$L$11,"")</f>
        <v/>
      </c>
      <c r="BR90" s="518" t="str">
        <f>IF(AND(_AC4="B-767-400ER",'2023'!$O$4="CA",'2023'!$O$2=BR81),'2023DATA2'!$M$11,"")</f>
        <v/>
      </c>
      <c r="BS90" s="520" t="str">
        <f>IF(AND(_AC4="B-767-400ER",'2023'!$O$4="CA",'2023'!$O$2=BS81),'2023DATA2'!$N$11,"")</f>
        <v/>
      </c>
      <c r="BT90" s="940" t="s">
        <v>42</v>
      </c>
      <c r="BU90" s="13" t="s">
        <v>61</v>
      </c>
      <c r="BV90" s="518" t="str">
        <f>IF(AND(_AC5="B-767-400ER",'2023'!$O$4="CA",'2023'!$O$2=BV81),'2023DATA2'!$C$11,"")</f>
        <v/>
      </c>
      <c r="BW90" s="518" t="str">
        <f>IF(AND(_AC5="B-767-400ER",'2023'!$O$4="CA",'2023'!$O$2=BW81),'2023DATA2'!$D$11,"")</f>
        <v/>
      </c>
      <c r="BX90" s="518" t="str">
        <f>IF(AND(_AC5="B-767-400ER",'2023'!$O$4="CA",'2023'!$O$2=BX81),'2023DATA2'!$E$11,"")</f>
        <v/>
      </c>
      <c r="BY90" s="518" t="str">
        <f>IF(AND(_AC5="B-767-400ER",'2023'!$O$4="CA",'2023'!$O$2=BY81),'2023DATA2'!$F$11,"")</f>
        <v/>
      </c>
      <c r="BZ90" s="518" t="str">
        <f>IF(AND(_AC5="B-767-400ER",'2023'!$O$4="CA",'2023'!$O$2=BZ81),'2023DATA2'!$G$11,"")</f>
        <v/>
      </c>
      <c r="CA90" s="518" t="str">
        <f>IF(AND(_AC5="B-767-400ER",'2023'!$O$4="CA",'2023'!$O$2=CA81),'2023DATA2'!$H$11,"")</f>
        <v/>
      </c>
      <c r="CB90" s="518" t="str">
        <f>IF(AND(_AC5="B-767-400ER",'2023'!$O$4="CA",'2023'!$O$2=CB81),'2023DATA2'!$I$11,"")</f>
        <v/>
      </c>
      <c r="CC90" s="518" t="str">
        <f>IF(AND(_AC5="B-767-400ER",'2023'!$O$4="CA",'2023'!$O$2=CC81),'2023DATA2'!$J$11,"")</f>
        <v/>
      </c>
      <c r="CD90" s="518" t="str">
        <f>IF(AND(_AC5="B-767-400ER",'2023'!$O$4="CA",'2023'!$O$2=CD81),'2023DATA2'!$K$11,"")</f>
        <v/>
      </c>
      <c r="CE90" s="518" t="str">
        <f>IF(AND(_AC5="B-767-400ER",'2023'!$O$4="CA",'2023'!$O$2=CE81),'2023DATA2'!$L$11,"")</f>
        <v/>
      </c>
      <c r="CF90" s="518" t="str">
        <f>IF(AND(_AC5="B-767-400ER",'2023'!$O$4="CA",'2023'!$O$2=CF81),'2023DATA2'!$M$11,"")</f>
        <v/>
      </c>
      <c r="CG90" s="520" t="str">
        <f>IF(AND(_AC5="B-767-400ER",'2023'!$O$4="CA",'2023'!$O$2=CG81),'2023DATA2'!$N$11,"")</f>
        <v/>
      </c>
      <c r="CH90" s="940" t="s">
        <v>42</v>
      </c>
      <c r="CI90" s="13" t="s">
        <v>61</v>
      </c>
      <c r="CJ90" s="518" t="str">
        <f>IF(AND(_AC6="B-767-400ER",'2023'!$O$4="CA",'2023'!$O$2=CJ81),'2023DATA2'!$C$11,"")</f>
        <v/>
      </c>
      <c r="CK90" s="518" t="str">
        <f>IF(AND(_AC6="B-767-400ER",'2023'!$O$4="CA",'2023'!$O$2=CK81),'2023DATA2'!$D$11,"")</f>
        <v/>
      </c>
      <c r="CL90" s="518" t="str">
        <f>IF(AND(_AC6="B-767-400ER",'2023'!$O$4="CA",'2023'!$O$2=CL81),'2023DATA2'!$E$11,"")</f>
        <v/>
      </c>
      <c r="CM90" s="518" t="str">
        <f>IF(AND(_AC6="B-767-400ER",'2023'!$O$4="CA",'2023'!$O$2=CM81),'2023DATA2'!$F$11,"")</f>
        <v/>
      </c>
      <c r="CN90" s="518" t="str">
        <f>IF(AND(_AC6="B-767-400ER",'2023'!$O$4="CA",'2023'!$O$2=CN81),'2023DATA2'!$G$11,"")</f>
        <v/>
      </c>
      <c r="CO90" s="518" t="str">
        <f>IF(AND(_AC6="B-767-400ER",'2023'!$O$4="CA",'2023'!$O$2=CO81),'2023DATA2'!$H$11,"")</f>
        <v/>
      </c>
      <c r="CP90" s="518" t="str">
        <f>IF(AND(_AC6="B-767-400ER",'2023'!$O$4="CA",'2023'!$O$2=CP81),'2023DATA2'!$I$11,"")</f>
        <v/>
      </c>
      <c r="CQ90" s="518" t="str">
        <f>IF(AND(_AC6="B-767-400ER",'2023'!$O$4="CA",'2023'!$O$2=CQ81),'2023DATA2'!$J$11,"")</f>
        <v/>
      </c>
      <c r="CR90" s="518" t="str">
        <f>IF(AND(_AC6="B-767-400ER",'2023'!$O$4="CA",'2023'!$O$2=CR81),'2023DATA2'!$K$11,"")</f>
        <v/>
      </c>
      <c r="CS90" s="518" t="str">
        <f>IF(AND(_AC6="B-767-400ER",'2023'!$O$4="CA",'2023'!$O$2=CS81),'2023DATA2'!$L$11,"")</f>
        <v/>
      </c>
      <c r="CT90" s="518" t="str">
        <f>IF(AND(_AC6="B-767-400ER",'2023'!$O$4="CA",'2023'!$O$2=CT81),'2023DATA2'!$M$11,"")</f>
        <v/>
      </c>
      <c r="CU90" s="520" t="str">
        <f>IF(AND(_AC6="B-767-400ER",'2023'!$O$4="CA",'2023'!$O$2=CU81),'2023DATA2'!$N$11,"")</f>
        <v/>
      </c>
    </row>
    <row r="91" spans="16:99" x14ac:dyDescent="0.25">
      <c r="P91" s="940"/>
      <c r="Q91" s="13" t="s">
        <v>62</v>
      </c>
      <c r="R91" s="518" t="str">
        <f>IF(AND(_AC1="B-767-400ER",'2023'!$O$4="FO",'2023'!$O$2=R81),'2023DATA2'!$C$12,"")</f>
        <v/>
      </c>
      <c r="S91" s="518" t="str">
        <f>IF(AND(_AC1="B-767-400ER",'2023'!$O$4="FO",'2023'!$O$2=S81),'2023DATA2'!$D$12,"")</f>
        <v/>
      </c>
      <c r="T91" s="518" t="str">
        <f>IF(AND(_AC1="B-767-400ER",'2023'!$O$4="FO",'2023'!$O$2=T81),'2023DATA2'!$E$12,"")</f>
        <v/>
      </c>
      <c r="U91" s="518" t="str">
        <f>IF(AND(_AC1="B-767-400ER",'2023'!$O$4="FO",'2023'!$O$2=U81),'2023DATA2'!$F$12,"")</f>
        <v/>
      </c>
      <c r="V91" s="518" t="str">
        <f>IF(AND(_AC1="B-767-400ER",'2023'!$O$4="FO",'2023'!$O$2=V81),'2023DATA2'!$G$12,"")</f>
        <v/>
      </c>
      <c r="W91" s="518" t="str">
        <f>IF(AND(_AC1="B-767-400ER",'2023'!$O$4="FO",'2023'!$O$2=W81),'2023DATA2'!$H$12,"")</f>
        <v/>
      </c>
      <c r="X91" s="518" t="str">
        <f>IF(AND(_AC1="B-767-400ER",'2023'!$O$4="FO",'2023'!$O$2=X81),'2023DATA2'!$I$12,"")</f>
        <v/>
      </c>
      <c r="Y91" s="518" t="str">
        <f>IF(AND(_AC1="B-767-400ER",'2023'!$O$4="FO",'2023'!$O$2=Y81),'2023DATA2'!$J$12,"")</f>
        <v/>
      </c>
      <c r="Z91" s="518" t="str">
        <f>IF(AND(_AC1="B-767-400ER",'2023'!$O$4="FO",'2023'!$O$2=Z81),'2023DATA2'!$K$12,"")</f>
        <v/>
      </c>
      <c r="AA91" s="518" t="str">
        <f>IF(AND(_AC1="B-767-400ER",'2023'!$O$4="FO",'2023'!$O$2=AA81),'2023DATA2'!$L$12,"")</f>
        <v/>
      </c>
      <c r="AB91" s="518" t="str">
        <f>IF(AND(_AC1="B-767-400ER",'2023'!$O$4="FO",'2023'!$O$2=AB81),'2023DATA2'!$M$12,"")</f>
        <v/>
      </c>
      <c r="AC91" s="520" t="str">
        <f>IF(AND(_AC1="B-767-400ER",'2023'!$O$4="FO",'2023'!$O$2=AC81),'2023DATA2'!$N$12,"")</f>
        <v/>
      </c>
      <c r="AD91" s="940"/>
      <c r="AE91" s="13" t="s">
        <v>62</v>
      </c>
      <c r="AF91" s="518" t="str">
        <f>IF(AND(_AC2="B-767-400ER",'2023'!$O$4="FO",'2023'!$O$2=AF81),'2023DATA2'!$C$12,"")</f>
        <v/>
      </c>
      <c r="AG91" s="518" t="str">
        <f>IF(AND(_AC2="B-767-400ER",'2023'!$O$4="FO",'2023'!$O$2=AG81),'2023DATA2'!$D$12,"")</f>
        <v/>
      </c>
      <c r="AH91" s="518" t="str">
        <f>IF(AND(_AC2="B-767-400ER",'2023'!$O$4="FO",'2023'!$O$2=AH81),'2023DATA2'!$E$12,"")</f>
        <v/>
      </c>
      <c r="AI91" s="518" t="str">
        <f>IF(AND(_AC2="B-767-400ER",'2023'!$O$4="FO",'2023'!$O$2=AI81),'2023DATA2'!$F$12,"")</f>
        <v/>
      </c>
      <c r="AJ91" s="518" t="str">
        <f>IF(AND(_AC2="B-767-400ER",'2023'!$O$4="FO",'2023'!$O$2=AJ81),'2023DATA2'!$G$12,"")</f>
        <v/>
      </c>
      <c r="AK91" s="518" t="str">
        <f>IF(AND(_AC2="B-767-400ER",'2023'!$O$4="FO",'2023'!$O$2=AK81),'2023DATA2'!$H$12,"")</f>
        <v/>
      </c>
      <c r="AL91" s="518" t="str">
        <f>IF(AND(_AC2="B-767-400ER",'2023'!$O$4="FO",'2023'!$O$2=AL81),'2023DATA2'!$I$12,"")</f>
        <v/>
      </c>
      <c r="AM91" s="518" t="str">
        <f>IF(AND(_AC2="B-767-400ER",'2023'!$O$4="FO",'2023'!$O$2=AM81),'2023DATA2'!$J$12,"")</f>
        <v/>
      </c>
      <c r="AN91" s="518" t="str">
        <f>IF(AND(_AC2="B-767-400ER",'2023'!$O$4="FO",'2023'!$O$2=AN81),'2023DATA2'!$K$12,"")</f>
        <v/>
      </c>
      <c r="AO91" s="518" t="str">
        <f>IF(AND(_AC2="B-767-400ER",'2023'!$O$4="FO",'2023'!$O$2=AO81),'2023DATA2'!$L$12,"")</f>
        <v/>
      </c>
      <c r="AP91" s="518" t="str">
        <f>IF(AND(_AC2="B-767-400ER",'2023'!$O$4="FO",'2023'!$O$2=AP81),'2023DATA2'!$M$12,"")</f>
        <v/>
      </c>
      <c r="AQ91" s="520" t="str">
        <f>IF(AND(_AC2="B-767-400ER",'2023'!$O$4="FO",'2023'!$O$2=AQ81),'2023DATA2'!$N$12,"")</f>
        <v/>
      </c>
      <c r="AR91" s="940"/>
      <c r="AS91" s="13" t="s">
        <v>62</v>
      </c>
      <c r="AT91" s="518" t="str">
        <f>IF(AND(_AC3="B-767-400ER",'2023'!$O$4="FO",'2023'!$O$2=AT81),'2023DATA2'!$C$12,"")</f>
        <v/>
      </c>
      <c r="AU91" s="518" t="str">
        <f>IF(AND(_AC3="B-767-400ER",'2023'!$O$4="FO",'2023'!$O$2=AU81),'2023DATA2'!$D$12,"")</f>
        <v/>
      </c>
      <c r="AV91" s="518" t="str">
        <f>IF(AND(_AC3="B-767-400ER",'2023'!$O$4="FO",'2023'!$O$2=AV81),'2023DATA2'!$E$12,"")</f>
        <v/>
      </c>
      <c r="AW91" s="518" t="str">
        <f>IF(AND(_AC3="B-767-400ER",'2023'!$O$4="FO",'2023'!$O$2=AW81),'2023DATA2'!$F$12,"")</f>
        <v/>
      </c>
      <c r="AX91" s="518" t="str">
        <f>IF(AND(_AC3="B-767-400ER",'2023'!$O$4="FO",'2023'!$O$2=AX81),'2023DATA2'!$G$12,"")</f>
        <v/>
      </c>
      <c r="AY91" s="518" t="str">
        <f>IF(AND(_AC3="B-767-400ER",'2023'!$O$4="FO",'2023'!$O$2=AY81),'2023DATA2'!$H$12,"")</f>
        <v/>
      </c>
      <c r="AZ91" s="518" t="str">
        <f>IF(AND(_AC3="B-767-400ER",'2023'!$O$4="FO",'2023'!$O$2=AZ81),'2023DATA2'!$I$12,"")</f>
        <v/>
      </c>
      <c r="BA91" s="518" t="str">
        <f>IF(AND(_AC3="B-767-400ER",'2023'!$O$4="FO",'2023'!$O$2=BA81),'2023DATA2'!$J$12,"")</f>
        <v/>
      </c>
      <c r="BB91" s="518" t="str">
        <f>IF(AND(_AC3="B-767-400ER",'2023'!$O$4="FO",'2023'!$O$2=BB81),'2023DATA2'!$K$12,"")</f>
        <v/>
      </c>
      <c r="BC91" s="518" t="str">
        <f>IF(AND(_AC3="B-767-400ER",'2023'!$O$4="FO",'2023'!$O$2=BC81),'2023DATA2'!$L$12,"")</f>
        <v/>
      </c>
      <c r="BD91" s="518" t="str">
        <f>IF(AND(_AC3="B-767-400ER",'2023'!$O$4="FO",'2023'!$O$2=BD81),'2023DATA2'!$M$12,"")</f>
        <v/>
      </c>
      <c r="BE91" s="520" t="str">
        <f>IF(AND(_AC3="B-767-400ER",'2023'!$O$4="FO",'2023'!$O$2=BE81),'2023DATA2'!$N$12,"")</f>
        <v/>
      </c>
      <c r="BF91" s="940"/>
      <c r="BG91" s="13" t="s">
        <v>62</v>
      </c>
      <c r="BH91" s="518" t="str">
        <f>IF(AND(_AC4="B-767-400ER",'2023'!$O$4="FO",'2023'!$O$2=BH81),'2023DATA2'!$C$12,"")</f>
        <v/>
      </c>
      <c r="BI91" s="518" t="str">
        <f>IF(AND(_AC4="B-767-400ER",'2023'!$O$4="FO",'2023'!$O$2=BI81),'2023DATA2'!$D$12,"")</f>
        <v/>
      </c>
      <c r="BJ91" s="518" t="str">
        <f>IF(AND(_AC4="B-767-400ER",'2023'!$O$4="FO",'2023'!$O$2=BJ81),'2023DATA2'!$E$12,"")</f>
        <v/>
      </c>
      <c r="BK91" s="518" t="str">
        <f>IF(AND(_AC4="B-767-400ER",'2023'!$O$4="FO",'2023'!$O$2=BK81),'2023DATA2'!$F$12,"")</f>
        <v/>
      </c>
      <c r="BL91" s="518" t="str">
        <f>IF(AND(_AC4="B-767-400ER",'2023'!$O$4="FO",'2023'!$O$2=BL81),'2023DATA2'!$G$12,"")</f>
        <v/>
      </c>
      <c r="BM91" s="518" t="str">
        <f>IF(AND(_AC4="B-767-400ER",'2023'!$O$4="FO",'2023'!$O$2=BM81),'2023DATA2'!$H$12,"")</f>
        <v/>
      </c>
      <c r="BN91" s="518" t="str">
        <f>IF(AND(_AC4="B-767-400ER",'2023'!$O$4="FO",'2023'!$O$2=BN81),'2023DATA2'!$I$12,"")</f>
        <v/>
      </c>
      <c r="BO91" s="518" t="str">
        <f>IF(AND(_AC4="B-767-400ER",'2023'!$O$4="FO",'2023'!$O$2=BO81),'2023DATA2'!$J$12,"")</f>
        <v/>
      </c>
      <c r="BP91" s="518" t="str">
        <f>IF(AND(_AC4="B-767-400ER",'2023'!$O$4="FO",'2023'!$O$2=BP81),'2023DATA2'!$K$12,"")</f>
        <v/>
      </c>
      <c r="BQ91" s="518" t="str">
        <f>IF(AND(_AC4="B-767-400ER",'2023'!$O$4="FO",'2023'!$O$2=BQ81),'2023DATA2'!$L$12,"")</f>
        <v/>
      </c>
      <c r="BR91" s="518" t="str">
        <f>IF(AND(_AC4="B-767-400ER",'2023'!$O$4="FO",'2023'!$O$2=BR81),'2023DATA2'!$M$12,"")</f>
        <v/>
      </c>
      <c r="BS91" s="520" t="str">
        <f>IF(AND(_AC4="B-767-400ER",'2023'!$O$4="FO",'2023'!$O$2=BS81),'2023DATA2'!$N$12,"")</f>
        <v/>
      </c>
      <c r="BT91" s="940"/>
      <c r="BU91" s="13" t="s">
        <v>62</v>
      </c>
      <c r="BV91" s="518" t="str">
        <f>IF(AND(_AC5="B-767-400ER",'2023'!$O$4="FO",'2023'!$O$2=BV81),'2023DATA2'!$C$12,"")</f>
        <v/>
      </c>
      <c r="BW91" s="518" t="str">
        <f>IF(AND(_AC5="B-767-400ER",'2023'!$O$4="FO",'2023'!$O$2=BW81),'2023DATA2'!$D$12,"")</f>
        <v/>
      </c>
      <c r="BX91" s="518" t="str">
        <f>IF(AND(_AC5="B-767-400ER",'2023'!$O$4="FO",'2023'!$O$2=BX81),'2023DATA2'!$E$12,"")</f>
        <v/>
      </c>
      <c r="BY91" s="518" t="str">
        <f>IF(AND(_AC5="B-767-400ER",'2023'!$O$4="FO",'2023'!$O$2=BY81),'2023DATA2'!$F$12,"")</f>
        <v/>
      </c>
      <c r="BZ91" s="518" t="str">
        <f>IF(AND(_AC5="B-767-400ER",'2023'!$O$4="FO",'2023'!$O$2=BZ81),'2023DATA2'!$G$12,"")</f>
        <v/>
      </c>
      <c r="CA91" s="518" t="str">
        <f>IF(AND(_AC5="B-767-400ER",'2023'!$O$4="FO",'2023'!$O$2=CA81),'2023DATA2'!$H$12,"")</f>
        <v/>
      </c>
      <c r="CB91" s="518" t="str">
        <f>IF(AND(_AC5="B-767-400ER",'2023'!$O$4="FO",'2023'!$O$2=CB81),'2023DATA2'!$I$12,"")</f>
        <v/>
      </c>
      <c r="CC91" s="518" t="str">
        <f>IF(AND(_AC5="B-767-400ER",'2023'!$O$4="FO",'2023'!$O$2=CC81),'2023DATA2'!$J$12,"")</f>
        <v/>
      </c>
      <c r="CD91" s="518" t="str">
        <f>IF(AND(_AC5="B-767-400ER",'2023'!$O$4="FO",'2023'!$O$2=CD81),'2023DATA2'!$K$12,"")</f>
        <v/>
      </c>
      <c r="CE91" s="518" t="str">
        <f>IF(AND(_AC5="B-767-400ER",'2023'!$O$4="FO",'2023'!$O$2=CE81),'2023DATA2'!$L$12,"")</f>
        <v/>
      </c>
      <c r="CF91" s="518" t="str">
        <f>IF(AND(_AC5="B-767-400ER",'2023'!$O$4="FO",'2023'!$O$2=CF81),'2023DATA2'!$M$12,"")</f>
        <v/>
      </c>
      <c r="CG91" s="520" t="str">
        <f>IF(AND(_AC5="B-767-400ER",'2023'!$O$4="FO",'2023'!$O$2=CG81),'2023DATA2'!$N$12,"")</f>
        <v/>
      </c>
      <c r="CH91" s="940"/>
      <c r="CI91" s="13" t="s">
        <v>62</v>
      </c>
      <c r="CJ91" s="518" t="str">
        <f>IF(AND(_AC6="B-767-400ER",'2023'!$O$4="FO",'2023'!$O$2=CJ81),'2023DATA2'!$C$12,"")</f>
        <v/>
      </c>
      <c r="CK91" s="518" t="str">
        <f>IF(AND(_AC6="B-767-400ER",'2023'!$O$4="FO",'2023'!$O$2=CK81),'2023DATA2'!$D$12,"")</f>
        <v/>
      </c>
      <c r="CL91" s="518" t="str">
        <f>IF(AND(_AC6="B-767-400ER",'2023'!$O$4="FO",'2023'!$O$2=CL81),'2023DATA2'!$E$12,"")</f>
        <v/>
      </c>
      <c r="CM91" s="518" t="str">
        <f>IF(AND(_AC6="B-767-400ER",'2023'!$O$4="FO",'2023'!$O$2=CM81),'2023DATA2'!$F$12,"")</f>
        <v/>
      </c>
      <c r="CN91" s="518" t="str">
        <f>IF(AND(_AC6="B-767-400ER",'2023'!$O$4="FO",'2023'!$O$2=CN81),'2023DATA2'!$G$12,"")</f>
        <v/>
      </c>
      <c r="CO91" s="518" t="str">
        <f>IF(AND(_AC6="B-767-400ER",'2023'!$O$4="FO",'2023'!$O$2=CO81),'2023DATA2'!$H$12,"")</f>
        <v/>
      </c>
      <c r="CP91" s="518" t="str">
        <f>IF(AND(_AC6="B-767-400ER",'2023'!$O$4="FO",'2023'!$O$2=CP81),'2023DATA2'!$I$12,"")</f>
        <v/>
      </c>
      <c r="CQ91" s="518" t="str">
        <f>IF(AND(_AC6="B-767-400ER",'2023'!$O$4="FO",'2023'!$O$2=CQ81),'2023DATA2'!$J$12,"")</f>
        <v/>
      </c>
      <c r="CR91" s="518" t="str">
        <f>IF(AND(_AC6="B-767-400ER",'2023'!$O$4="FO",'2023'!$O$2=CR81),'2023DATA2'!$K$12,"")</f>
        <v/>
      </c>
      <c r="CS91" s="518" t="str">
        <f>IF(AND(_AC6="B-767-400ER",'2023'!$O$4="FO",'2023'!$O$2=CS81),'2023DATA2'!$L$12,"")</f>
        <v/>
      </c>
      <c r="CT91" s="518" t="str">
        <f>IF(AND(_AC6="B-767-400ER",'2023'!$O$4="FO",'2023'!$O$2=CT81),'2023DATA2'!$M$12,"")</f>
        <v/>
      </c>
      <c r="CU91" s="520" t="str">
        <f>IF(AND(_AC6="B-767-400ER",'2023'!$O$4="FO",'2023'!$O$2=CU81),'2023DATA2'!$N$12,"")</f>
        <v/>
      </c>
    </row>
    <row r="92" spans="16:99" x14ac:dyDescent="0.25">
      <c r="P92" s="940" t="s">
        <v>43</v>
      </c>
      <c r="Q92" s="13" t="s">
        <v>61</v>
      </c>
      <c r="R92" s="518" t="str">
        <f>IF(AND(_AC1="B-767-300ER",'2023'!$O$4="CA",'2023'!$O$2=R81),'2023DATA2'!$C$13,"")</f>
        <v/>
      </c>
      <c r="S92" s="518" t="str">
        <f>IF(AND(_AC1="B-767-300ER",'2023'!$O$4="CA",'2023'!$O$2=S81),'2023DATA2'!$D$13,"")</f>
        <v/>
      </c>
      <c r="T92" s="518" t="str">
        <f>IF(AND(_AC1="B-767-300ER",'2023'!$O$4="CA",'2023'!$O$2=T81),'2023DATA2'!$E$13,"")</f>
        <v/>
      </c>
      <c r="U92" s="518" t="str">
        <f>IF(AND(_AC1="B-767-300ER",'2023'!$O$4="CA",'2023'!$O$2=U81),'2023DATA2'!$F$13,"")</f>
        <v/>
      </c>
      <c r="V92" s="518" t="str">
        <f>IF(AND(_AC1="B-767-300ER",'2023'!$O$4="CA",'2023'!$O$2=V81),'2023DATA2'!$G$13,"")</f>
        <v/>
      </c>
      <c r="W92" s="518" t="str">
        <f>IF(AND(_AC1="B-767-300ER",'2023'!$O$4="CA",'2023'!$O$2=W81),'2023DATA2'!$H$13,"")</f>
        <v/>
      </c>
      <c r="X92" s="518" t="str">
        <f>IF(AND(_AC1="B-767-300ER",'2023'!$O$4="CA",'2023'!$O$2=X81),'2023DATA2'!$I$13,"")</f>
        <v/>
      </c>
      <c r="Y92" s="518" t="str">
        <f>IF(AND(_AC1="B-767-300ER",'2023'!$O$4="CA",'2023'!$O$2=Y81),'2023DATA2'!$J$13,"")</f>
        <v/>
      </c>
      <c r="Z92" s="518" t="str">
        <f>IF(AND(_AC1="B-767-300ER",'2023'!$O$4="CA",'2023'!$O$2=Z81),'2023DATA2'!$K$13,"")</f>
        <v/>
      </c>
      <c r="AA92" s="518" t="str">
        <f>IF(AND(_AC1="B-767-300ER",'2023'!$O$4="CA",'2023'!$O$2=AA81),'2023DATA2'!$L$13,"")</f>
        <v/>
      </c>
      <c r="AB92" s="518" t="str">
        <f>IF(AND(_AC1="B-767-300ER",'2023'!$O$4="CA",'2023'!$O$2=AB81),'2023DATA2'!$M$13,"")</f>
        <v/>
      </c>
      <c r="AC92" s="520" t="str">
        <f>IF(AND(_AC1="B-767-300ER",'2023'!$O$4="CA",'2023'!$O$2=AC81),'2023DATA2'!$N$13,"")</f>
        <v/>
      </c>
      <c r="AD92" s="940" t="s">
        <v>43</v>
      </c>
      <c r="AE92" s="13" t="s">
        <v>61</v>
      </c>
      <c r="AF92" s="518" t="str">
        <f>IF(AND(_AC2="B-767-300ER",'2023'!$O$4="CA",'2023'!$O$2=AF81),'2023DATA2'!$C$13,"")</f>
        <v/>
      </c>
      <c r="AG92" s="518" t="str">
        <f>IF(AND(_AC2="B-767-300ER",'2023'!$O$4="CA",'2023'!$O$2=AG81),'2023DATA2'!$D$13,"")</f>
        <v/>
      </c>
      <c r="AH92" s="518" t="str">
        <f>IF(AND(_AC2="B-767-300ER",'2023'!$O$4="CA",'2023'!$O$2=AH81),'2023DATA2'!$E$13,"")</f>
        <v/>
      </c>
      <c r="AI92" s="518" t="str">
        <f>IF(AND(_AC2="B-767-300ER",'2023'!$O$4="CA",'2023'!$O$2=AI81),'2023DATA2'!$F$13,"")</f>
        <v/>
      </c>
      <c r="AJ92" s="518" t="str">
        <f>IF(AND(_AC2="B-767-300ER",'2023'!$O$4="CA",'2023'!$O$2=AJ81),'2023DATA2'!$G$13,"")</f>
        <v/>
      </c>
      <c r="AK92" s="518" t="str">
        <f>IF(AND(_AC2="B-767-300ER",'2023'!$O$4="CA",'2023'!$O$2=AK81),'2023DATA2'!$H$13,"")</f>
        <v/>
      </c>
      <c r="AL92" s="518" t="str">
        <f>IF(AND(_AC2="B-767-300ER",'2023'!$O$4="CA",'2023'!$O$2=AL81),'2023DATA2'!$I$13,"")</f>
        <v/>
      </c>
      <c r="AM92" s="518" t="str">
        <f>IF(AND(_AC2="B-767-300ER",'2023'!$O$4="CA",'2023'!$O$2=AM81),'2023DATA2'!$J$13,"")</f>
        <v/>
      </c>
      <c r="AN92" s="518" t="str">
        <f>IF(AND(_AC2="B-767-300ER",'2023'!$O$4="CA",'2023'!$O$2=AN81),'2023DATA2'!$K$13,"")</f>
        <v/>
      </c>
      <c r="AO92" s="518" t="str">
        <f>IF(AND(_AC2="B-767-300ER",'2023'!$O$4="CA",'2023'!$O$2=AO81),'2023DATA2'!$L$13,"")</f>
        <v/>
      </c>
      <c r="AP92" s="518" t="str">
        <f>IF(AND(_AC2="B-767-300ER",'2023'!$O$4="CA",'2023'!$O$2=AP81),'2023DATA2'!$M$13,"")</f>
        <v/>
      </c>
      <c r="AQ92" s="520" t="str">
        <f>IF(AND(_AC2="B-767-300ER",'2023'!$O$4="CA",'2023'!$O$2=AQ81),'2023DATA2'!$N$13,"")</f>
        <v/>
      </c>
      <c r="AR92" s="940" t="s">
        <v>43</v>
      </c>
      <c r="AS92" s="13" t="s">
        <v>61</v>
      </c>
      <c r="AT92" s="518" t="str">
        <f>IF(AND(_AC3="B-767-300ER",'2023'!$O$4="CA",'2023'!$O$2=AT81),'2023DATA2'!$C$13,"")</f>
        <v/>
      </c>
      <c r="AU92" s="518" t="str">
        <f>IF(AND(_AC3="B-767-300ER",'2023'!$O$4="CA",'2023'!$O$2=AU81),'2023DATA2'!$D$13,"")</f>
        <v/>
      </c>
      <c r="AV92" s="518" t="str">
        <f>IF(AND(_AC3="B-767-300ER",'2023'!$O$4="CA",'2023'!$O$2=AV81),'2023DATA2'!$E$13,"")</f>
        <v/>
      </c>
      <c r="AW92" s="518" t="str">
        <f>IF(AND(_AC3="B-767-300ER",'2023'!$O$4="CA",'2023'!$O$2=AW81),'2023DATA2'!$F$13,"")</f>
        <v/>
      </c>
      <c r="AX92" s="518" t="str">
        <f>IF(AND(_AC3="B-767-300ER",'2023'!$O$4="CA",'2023'!$O$2=AX81),'2023DATA2'!$G$13,"")</f>
        <v/>
      </c>
      <c r="AY92" s="518" t="str">
        <f>IF(AND(_AC3="B-767-300ER",'2023'!$O$4="CA",'2023'!$O$2=AY81),'2023DATA2'!$H$13,"")</f>
        <v/>
      </c>
      <c r="AZ92" s="518" t="str">
        <f>IF(AND(_AC3="B-767-300ER",'2023'!$O$4="CA",'2023'!$O$2=AZ81),'2023DATA2'!$I$13,"")</f>
        <v/>
      </c>
      <c r="BA92" s="518" t="str">
        <f>IF(AND(_AC3="B-767-300ER",'2023'!$O$4="CA",'2023'!$O$2=BA81),'2023DATA2'!$J$13,"")</f>
        <v/>
      </c>
      <c r="BB92" s="518" t="str">
        <f>IF(AND(_AC3="B-767-300ER",'2023'!$O$4="CA",'2023'!$O$2=BB81),'2023DATA2'!$K$13,"")</f>
        <v/>
      </c>
      <c r="BC92" s="518" t="str">
        <f>IF(AND(_AC3="B-767-300ER",'2023'!$O$4="CA",'2023'!$O$2=BC81),'2023DATA2'!$L$13,"")</f>
        <v/>
      </c>
      <c r="BD92" s="518" t="str">
        <f>IF(AND(_AC3="B-767-300ER",'2023'!$O$4="CA",'2023'!$O$2=BD81),'2023DATA2'!$M$13,"")</f>
        <v/>
      </c>
      <c r="BE92" s="520" t="str">
        <f>IF(AND(_AC3="B-767-300ER",'2023'!$O$4="CA",'2023'!$O$2=BE81),'2023DATA2'!$N$13,"")</f>
        <v/>
      </c>
      <c r="BF92" s="940" t="s">
        <v>43</v>
      </c>
      <c r="BG92" s="13" t="s">
        <v>61</v>
      </c>
      <c r="BH92" s="518" t="str">
        <f>IF(AND(_AC4="B-767-300ER",'2023'!$O$4="CA",'2023'!$O$2=BH81),'2023DATA2'!$C$13,"")</f>
        <v/>
      </c>
      <c r="BI92" s="518" t="str">
        <f>IF(AND(_AC4="B-767-300ER",'2023'!$O$4="CA",'2023'!$O$2=BI81),'2023DATA2'!$D$13,"")</f>
        <v/>
      </c>
      <c r="BJ92" s="518" t="str">
        <f>IF(AND(_AC4="B-767-300ER",'2023'!$O$4="CA",'2023'!$O$2=BJ81),'2023DATA2'!$E$13,"")</f>
        <v/>
      </c>
      <c r="BK92" s="518" t="str">
        <f>IF(AND(_AC4="B-767-300ER",'2023'!$O$4="CA",'2023'!$O$2=BK81),'2023DATA2'!$F$13,"")</f>
        <v/>
      </c>
      <c r="BL92" s="518" t="str">
        <f>IF(AND(_AC4="B-767-300ER",'2023'!$O$4="CA",'2023'!$O$2=BL81),'2023DATA2'!$G$13,"")</f>
        <v/>
      </c>
      <c r="BM92" s="518" t="str">
        <f>IF(AND(_AC4="B-767-300ER",'2023'!$O$4="CA",'2023'!$O$2=BM81),'2023DATA2'!$H$13,"")</f>
        <v/>
      </c>
      <c r="BN92" s="518" t="str">
        <f>IF(AND(_AC4="B-767-300ER",'2023'!$O$4="CA",'2023'!$O$2=BN81),'2023DATA2'!$I$13,"")</f>
        <v/>
      </c>
      <c r="BO92" s="518" t="str">
        <f>IF(AND(_AC4="B-767-300ER",'2023'!$O$4="CA",'2023'!$O$2=BO81),'2023DATA2'!$J$13,"")</f>
        <v/>
      </c>
      <c r="BP92" s="518" t="str">
        <f>IF(AND(_AC4="B-767-300ER",'2023'!$O$4="CA",'2023'!$O$2=BP81),'2023DATA2'!$K$13,"")</f>
        <v/>
      </c>
      <c r="BQ92" s="518" t="str">
        <f>IF(AND(_AC4="B-767-300ER",'2023'!$O$4="CA",'2023'!$O$2=BQ81),'2023DATA2'!$L$13,"")</f>
        <v/>
      </c>
      <c r="BR92" s="518" t="str">
        <f>IF(AND(_AC4="B-767-300ER",'2023'!$O$4="CA",'2023'!$O$2=BR81),'2023DATA2'!$M$13,"")</f>
        <v/>
      </c>
      <c r="BS92" s="520" t="str">
        <f>IF(AND(_AC4="B-767-300ER",'2023'!$O$4="CA",'2023'!$O$2=BS81),'2023DATA2'!$N$13,"")</f>
        <v/>
      </c>
      <c r="BT92" s="940" t="s">
        <v>43</v>
      </c>
      <c r="BU92" s="13" t="s">
        <v>61</v>
      </c>
      <c r="BV92" s="518" t="str">
        <f>IF(AND(_AC5="B-767-300ER",'2023'!$O$4="CA",'2023'!$O$2=BV81),'2023DATA2'!$C$13,"")</f>
        <v/>
      </c>
      <c r="BW92" s="518" t="str">
        <f>IF(AND(_AC5="B-767-300ER",'2023'!$O$4="CA",'2023'!$O$2=BW81),'2023DATA2'!$D$13,"")</f>
        <v/>
      </c>
      <c r="BX92" s="518" t="str">
        <f>IF(AND(_AC5="B-767-300ER",'2023'!$O$4="CA",'2023'!$O$2=BX81),'2023DATA2'!$E$13,"")</f>
        <v/>
      </c>
      <c r="BY92" s="518" t="str">
        <f>IF(AND(_AC5="B-767-300ER",'2023'!$O$4="CA",'2023'!$O$2=BY81),'2023DATA2'!$F$13,"")</f>
        <v/>
      </c>
      <c r="BZ92" s="518" t="str">
        <f>IF(AND(_AC5="B-767-300ER",'2023'!$O$4="CA",'2023'!$O$2=BZ81),'2023DATA2'!$G$13,"")</f>
        <v/>
      </c>
      <c r="CA92" s="518" t="str">
        <f>IF(AND(_AC5="B-767-300ER",'2023'!$O$4="CA",'2023'!$O$2=CA81),'2023DATA2'!$H$13,"")</f>
        <v/>
      </c>
      <c r="CB92" s="518" t="str">
        <f>IF(AND(_AC5="B-767-300ER",'2023'!$O$4="CA",'2023'!$O$2=CB81),'2023DATA2'!$I$13,"")</f>
        <v/>
      </c>
      <c r="CC92" s="518" t="str">
        <f>IF(AND(_AC5="B-767-300ER",'2023'!$O$4="CA",'2023'!$O$2=CC81),'2023DATA2'!$J$13,"")</f>
        <v/>
      </c>
      <c r="CD92" s="518" t="str">
        <f>IF(AND(_AC5="B-767-300ER",'2023'!$O$4="CA",'2023'!$O$2=CD81),'2023DATA2'!$K$13,"")</f>
        <v/>
      </c>
      <c r="CE92" s="518" t="str">
        <f>IF(AND(_AC5="B-767-300ER",'2023'!$O$4="CA",'2023'!$O$2=CE81),'2023DATA2'!$L$13,"")</f>
        <v/>
      </c>
      <c r="CF92" s="518" t="str">
        <f>IF(AND(_AC5="B-767-300ER",'2023'!$O$4="CA",'2023'!$O$2=CF81),'2023DATA2'!$M$13,"")</f>
        <v/>
      </c>
      <c r="CG92" s="520" t="str">
        <f>IF(AND(_AC5="B-767-300ER",'2023'!$O$4="CA",'2023'!$O$2=CG81),'2023DATA2'!$N$13,"")</f>
        <v/>
      </c>
      <c r="CH92" s="940" t="s">
        <v>43</v>
      </c>
      <c r="CI92" s="13" t="s">
        <v>61</v>
      </c>
      <c r="CJ92" s="518" t="str">
        <f>IF(AND(_AC6="B-767-300ER",'2023'!$O$4="CA",'2023'!$O$2=CJ81),'2023DATA2'!$C$13,"")</f>
        <v/>
      </c>
      <c r="CK92" s="518" t="str">
        <f>IF(AND(_AC6="B-767-300ER",'2023'!$O$4="CA",'2023'!$O$2=CK81),'2023DATA2'!$D$13,"")</f>
        <v/>
      </c>
      <c r="CL92" s="518" t="str">
        <f>IF(AND(_AC6="B-767-300ER",'2023'!$O$4="CA",'2023'!$O$2=CL81),'2023DATA2'!$E$13,"")</f>
        <v/>
      </c>
      <c r="CM92" s="518" t="str">
        <f>IF(AND(_AC6="B-767-300ER",'2023'!$O$4="CA",'2023'!$O$2=CM81),'2023DATA2'!$F$13,"")</f>
        <v/>
      </c>
      <c r="CN92" s="518" t="str">
        <f>IF(AND(_AC6="B-767-300ER",'2023'!$O$4="CA",'2023'!$O$2=CN81),'2023DATA2'!$G$13,"")</f>
        <v/>
      </c>
      <c r="CO92" s="518" t="str">
        <f>IF(AND(_AC6="B-767-300ER",'2023'!$O$4="CA",'2023'!$O$2=CO81),'2023DATA2'!$H$13,"")</f>
        <v/>
      </c>
      <c r="CP92" s="518" t="str">
        <f>IF(AND(_AC6="B-767-300ER",'2023'!$O$4="CA",'2023'!$O$2=CP81),'2023DATA2'!$I$13,"")</f>
        <v/>
      </c>
      <c r="CQ92" s="518" t="str">
        <f>IF(AND(_AC6="B-767-300ER",'2023'!$O$4="CA",'2023'!$O$2=CQ81),'2023DATA2'!$J$13,"")</f>
        <v/>
      </c>
      <c r="CR92" s="518" t="str">
        <f>IF(AND(_AC6="B-767-300ER",'2023'!$O$4="CA",'2023'!$O$2=CR81),'2023DATA2'!$K$13,"")</f>
        <v/>
      </c>
      <c r="CS92" s="518" t="str">
        <f>IF(AND(_AC6="B-767-300ER",'2023'!$O$4="CA",'2023'!$O$2=CS81),'2023DATA2'!$L$13,"")</f>
        <v/>
      </c>
      <c r="CT92" s="518" t="str">
        <f>IF(AND(_AC6="B-767-300ER",'2023'!$O$4="CA",'2023'!$O$2=CT81),'2023DATA2'!$M$13,"")</f>
        <v/>
      </c>
      <c r="CU92" s="520" t="str">
        <f>IF(AND(_AC6="B-767-300ER",'2023'!$O$4="CA",'2023'!$O$2=CU81),'2023DATA2'!$N$13,"")</f>
        <v/>
      </c>
    </row>
    <row r="93" spans="16:99" x14ac:dyDescent="0.25">
      <c r="P93" s="940"/>
      <c r="Q93" s="13" t="s">
        <v>62</v>
      </c>
      <c r="R93" s="518" t="str">
        <f>IF(AND(_AC1="B-767-300ER",'2023'!$O$4="FO",'2023'!$O$2=R81),'2023DATA2'!$C$14,"")</f>
        <v/>
      </c>
      <c r="S93" s="518" t="str">
        <f>IF(AND(_AC1="B-767-300ER",'2023'!$O$4="FO",'2023'!$O$2=S81),'2023DATA2'!$D$14,"")</f>
        <v/>
      </c>
      <c r="T93" s="518" t="str">
        <f>IF(AND(_AC1="B-767-300ER",'2023'!$O$4="FO",'2023'!$O$2=T81),'2023DATA2'!$E$14,"")</f>
        <v/>
      </c>
      <c r="U93" s="518" t="str">
        <f>IF(AND(_AC1="B-767-300ER",'2023'!$O$4="FO",'2023'!$O$2=U81),'2023DATA2'!$F$14,"")</f>
        <v/>
      </c>
      <c r="V93" s="518" t="str">
        <f>IF(AND(_AC1="B-767-300ER",'2023'!$O$4="FO",'2023'!$O$2=V81),'2023DATA2'!$G$14,"")</f>
        <v/>
      </c>
      <c r="W93" s="518" t="str">
        <f>IF(AND(_AC1="B-767-300ER",'2023'!$O$4="FO",'2023'!$O$2=W81),'2023DATA2'!$H$14,"")</f>
        <v/>
      </c>
      <c r="X93" s="518" t="str">
        <f>IF(AND(_AC1="B-767-300ER",'2023'!$O$4="FO",'2023'!$O$2=X81),'2023DATA2'!$I$14,"")</f>
        <v/>
      </c>
      <c r="Y93" s="518" t="str">
        <f>IF(AND(_AC1="B-767-300ER",'2023'!$O$4="FO",'2023'!$O$2=Y81),'2023DATA2'!$J$14,"")</f>
        <v/>
      </c>
      <c r="Z93" s="518" t="str">
        <f>IF(AND(_AC1="B-767-300ER",'2023'!$O$4="FO",'2023'!$O$2=Z81),'2023DATA2'!$K$14,"")</f>
        <v/>
      </c>
      <c r="AA93" s="518" t="str">
        <f>IF(AND(_AC1="B-767-300ER",'2023'!$O$4="FO",'2023'!$O$2=AA81),'2023DATA2'!$L$14,"")</f>
        <v/>
      </c>
      <c r="AB93" s="518" t="str">
        <f>IF(AND(_AC1="B-767-300ER",'2023'!$O$4="FO",'2023'!$O$2=AB81),'2023DATA2'!$M$14,"")</f>
        <v/>
      </c>
      <c r="AC93" s="520" t="str">
        <f>IF(AND(_AC1="B-767-300ER",'2023'!$O$4="FO",'2023'!$O$2=AC81),'2023DATA2'!$N$14,"")</f>
        <v/>
      </c>
      <c r="AD93" s="940"/>
      <c r="AE93" s="13" t="s">
        <v>62</v>
      </c>
      <c r="AF93" s="518" t="str">
        <f>IF(AND(_AC2="B-767-300ER",'2023'!$O$4="FO",'2023'!$O$2=AF81),'2023DATA2'!$C$14,"")</f>
        <v/>
      </c>
      <c r="AG93" s="518" t="str">
        <f>IF(AND(_AC2="B-767-300ER",'2023'!$O$4="FO",'2023'!$O$2=AG81),'2023DATA2'!$D$14,"")</f>
        <v/>
      </c>
      <c r="AH93" s="518" t="str">
        <f>IF(AND(_AC2="B-767-300ER",'2023'!$O$4="FO",'2023'!$O$2=AH81),'2023DATA2'!$E$14,"")</f>
        <v/>
      </c>
      <c r="AI93" s="518" t="str">
        <f>IF(AND(_AC2="B-767-300ER",'2023'!$O$4="FO",'2023'!$O$2=AI81),'2023DATA2'!$F$14,"")</f>
        <v/>
      </c>
      <c r="AJ93" s="518" t="str">
        <f>IF(AND(_AC2="B-767-300ER",'2023'!$O$4="FO",'2023'!$O$2=AJ81),'2023DATA2'!$G$14,"")</f>
        <v/>
      </c>
      <c r="AK93" s="518" t="str">
        <f>IF(AND(_AC2="B-767-300ER",'2023'!$O$4="FO",'2023'!$O$2=AK81),'2023DATA2'!$H$14,"")</f>
        <v/>
      </c>
      <c r="AL93" s="518" t="str">
        <f>IF(AND(_AC2="B-767-300ER",'2023'!$O$4="FO",'2023'!$O$2=AL81),'2023DATA2'!$I$14,"")</f>
        <v/>
      </c>
      <c r="AM93" s="518" t="str">
        <f>IF(AND(_AC2="B-767-300ER",'2023'!$O$4="FO",'2023'!$O$2=AM81),'2023DATA2'!$J$14,"")</f>
        <v/>
      </c>
      <c r="AN93" s="518" t="str">
        <f>IF(AND(_AC2="B-767-300ER",'2023'!$O$4="FO",'2023'!$O$2=AN81),'2023DATA2'!$K$14,"")</f>
        <v/>
      </c>
      <c r="AO93" s="518" t="str">
        <f>IF(AND(_AC2="B-767-300ER",'2023'!$O$4="FO",'2023'!$O$2=AO81),'2023DATA2'!$L$14,"")</f>
        <v/>
      </c>
      <c r="AP93" s="518" t="str">
        <f>IF(AND(_AC2="B-767-300ER",'2023'!$O$4="FO",'2023'!$O$2=AP81),'2023DATA2'!$M$14,"")</f>
        <v/>
      </c>
      <c r="AQ93" s="520" t="str">
        <f>IF(AND(_AC2="B-767-300ER",'2023'!$O$4="FO",'2023'!$O$2=AQ81),'2023DATA2'!$N$14,"")</f>
        <v/>
      </c>
      <c r="AR93" s="940"/>
      <c r="AS93" s="13" t="s">
        <v>62</v>
      </c>
      <c r="AT93" s="518" t="str">
        <f>IF(AND(_AC3="B-767-300ER",'2023'!$O$4="FO",'2023'!$O$2=AT81),'2023DATA2'!$C$14,"")</f>
        <v/>
      </c>
      <c r="AU93" s="518" t="str">
        <f>IF(AND(_AC3="B-767-300ER",'2023'!$O$4="FO",'2023'!$O$2=AU81),'2023DATA2'!$D$14,"")</f>
        <v/>
      </c>
      <c r="AV93" s="518" t="str">
        <f>IF(AND(_AC3="B-767-300ER",'2023'!$O$4="FO",'2023'!$O$2=AV81),'2023DATA2'!$E$14,"")</f>
        <v/>
      </c>
      <c r="AW93" s="518" t="str">
        <f>IF(AND(_AC3="B-767-300ER",'2023'!$O$4="FO",'2023'!$O$2=AW81),'2023DATA2'!$F$14,"")</f>
        <v/>
      </c>
      <c r="AX93" s="518" t="str">
        <f>IF(AND(_AC3="B-767-300ER",'2023'!$O$4="FO",'2023'!$O$2=AX81),'2023DATA2'!$G$14,"")</f>
        <v/>
      </c>
      <c r="AY93" s="518" t="str">
        <f>IF(AND(_AC3="B-767-300ER",'2023'!$O$4="FO",'2023'!$O$2=AY81),'2023DATA2'!$H$14,"")</f>
        <v/>
      </c>
      <c r="AZ93" s="518" t="str">
        <f>IF(AND(_AC3="B-767-300ER",'2023'!$O$4="FO",'2023'!$O$2=AZ81),'2023DATA2'!$I$14,"")</f>
        <v/>
      </c>
      <c r="BA93" s="518" t="str">
        <f>IF(AND(_AC3="B-767-300ER",'2023'!$O$4="FO",'2023'!$O$2=BA81),'2023DATA2'!$J$14,"")</f>
        <v/>
      </c>
      <c r="BB93" s="518" t="str">
        <f>IF(AND(_AC3="B-767-300ER",'2023'!$O$4="FO",'2023'!$O$2=BB81),'2023DATA2'!$K$14,"")</f>
        <v/>
      </c>
      <c r="BC93" s="518" t="str">
        <f>IF(AND(_AC3="B-767-300ER",'2023'!$O$4="FO",'2023'!$O$2=BC81),'2023DATA2'!$L$14,"")</f>
        <v/>
      </c>
      <c r="BD93" s="518" t="str">
        <f>IF(AND(_AC3="B-767-300ER",'2023'!$O$4="FO",'2023'!$O$2=BD81),'2023DATA2'!$M$14,"")</f>
        <v/>
      </c>
      <c r="BE93" s="520" t="str">
        <f>IF(AND(_AC3="B-767-300ER",'2023'!$O$4="FO",'2023'!$O$2=BE81),'2023DATA2'!$N$14,"")</f>
        <v/>
      </c>
      <c r="BF93" s="940"/>
      <c r="BG93" s="13" t="s">
        <v>62</v>
      </c>
      <c r="BH93" s="518" t="str">
        <f>IF(AND(_AC4="B-767-300ER",'2023'!$O$4="FO",'2023'!$O$2=BH81),'2023DATA2'!$C$14,"")</f>
        <v/>
      </c>
      <c r="BI93" s="518" t="str">
        <f>IF(AND(_AC4="B-767-300ER",'2023'!$O$4="FO",'2023'!$O$2=BI81),'2023DATA2'!$D$14,"")</f>
        <v/>
      </c>
      <c r="BJ93" s="518" t="str">
        <f>IF(AND(_AC4="B-767-300ER",'2023'!$O$4="FO",'2023'!$O$2=BJ81),'2023DATA2'!$E$14,"")</f>
        <v/>
      </c>
      <c r="BK93" s="518" t="str">
        <f>IF(AND(_AC4="B-767-300ER",'2023'!$O$4="FO",'2023'!$O$2=BK81),'2023DATA2'!$F$14,"")</f>
        <v/>
      </c>
      <c r="BL93" s="518" t="str">
        <f>IF(AND(_AC4="B-767-300ER",'2023'!$O$4="FO",'2023'!$O$2=BL81),'2023DATA2'!$G$14,"")</f>
        <v/>
      </c>
      <c r="BM93" s="518" t="str">
        <f>IF(AND(_AC4="B-767-300ER",'2023'!$O$4="FO",'2023'!$O$2=BM81),'2023DATA2'!$H$14,"")</f>
        <v/>
      </c>
      <c r="BN93" s="518" t="str">
        <f>IF(AND(_AC4="B-767-300ER",'2023'!$O$4="FO",'2023'!$O$2=BN81),'2023DATA2'!$I$14,"")</f>
        <v/>
      </c>
      <c r="BO93" s="518" t="str">
        <f>IF(AND(_AC4="B-767-300ER",'2023'!$O$4="FO",'2023'!$O$2=BO81),'2023DATA2'!$J$14,"")</f>
        <v/>
      </c>
      <c r="BP93" s="518" t="str">
        <f>IF(AND(_AC4="B-767-300ER",'2023'!$O$4="FO",'2023'!$O$2=BP81),'2023DATA2'!$K$14,"")</f>
        <v/>
      </c>
      <c r="BQ93" s="518" t="str">
        <f>IF(AND(_AC4="B-767-300ER",'2023'!$O$4="FO",'2023'!$O$2=BQ81),'2023DATA2'!$L$14,"")</f>
        <v/>
      </c>
      <c r="BR93" s="518" t="str">
        <f>IF(AND(_AC4="B-767-300ER",'2023'!$O$4="FO",'2023'!$O$2=BR81),'2023DATA2'!$M$14,"")</f>
        <v/>
      </c>
      <c r="BS93" s="520" t="str">
        <f>IF(AND(_AC4="B-767-300ER",'2023'!$O$4="FO",'2023'!$O$2=BS81),'2023DATA2'!$N$14,"")</f>
        <v/>
      </c>
      <c r="BT93" s="940"/>
      <c r="BU93" s="13" t="s">
        <v>62</v>
      </c>
      <c r="BV93" s="518" t="str">
        <f>IF(AND(_AC5="B-767-300ER",'2023'!$O$4="FO",'2023'!$O$2=BV81),'2023DATA2'!$C$14,"")</f>
        <v/>
      </c>
      <c r="BW93" s="518" t="str">
        <f>IF(AND(_AC5="B-767-300ER",'2023'!$O$4="FO",'2023'!$O$2=BW81),'2023DATA2'!$D$14,"")</f>
        <v/>
      </c>
      <c r="BX93" s="518" t="str">
        <f>IF(AND(_AC5="B-767-300ER",'2023'!$O$4="FO",'2023'!$O$2=BX81),'2023DATA2'!$E$14,"")</f>
        <v/>
      </c>
      <c r="BY93" s="518" t="str">
        <f>IF(AND(_AC5="B-767-300ER",'2023'!$O$4="FO",'2023'!$O$2=BY81),'2023DATA2'!$F$14,"")</f>
        <v/>
      </c>
      <c r="BZ93" s="518" t="str">
        <f>IF(AND(_AC5="B-767-300ER",'2023'!$O$4="FO",'2023'!$O$2=BZ81),'2023DATA2'!$G$14,"")</f>
        <v/>
      </c>
      <c r="CA93" s="518" t="str">
        <f>IF(AND(_AC5="B-767-300ER",'2023'!$O$4="FO",'2023'!$O$2=CA81),'2023DATA2'!$H$14,"")</f>
        <v/>
      </c>
      <c r="CB93" s="518" t="str">
        <f>IF(AND(_AC5="B-767-300ER",'2023'!$O$4="FO",'2023'!$O$2=CB81),'2023DATA2'!$I$14,"")</f>
        <v/>
      </c>
      <c r="CC93" s="518" t="str">
        <f>IF(AND(_AC5="B-767-300ER",'2023'!$O$4="FO",'2023'!$O$2=CC81),'2023DATA2'!$J$14,"")</f>
        <v/>
      </c>
      <c r="CD93" s="518" t="str">
        <f>IF(AND(_AC5="B-767-300ER",'2023'!$O$4="FO",'2023'!$O$2=CD81),'2023DATA2'!$K$14,"")</f>
        <v/>
      </c>
      <c r="CE93" s="518" t="str">
        <f>IF(AND(_AC5="B-767-300ER",'2023'!$O$4="FO",'2023'!$O$2=CE81),'2023DATA2'!$L$14,"")</f>
        <v/>
      </c>
      <c r="CF93" s="518" t="str">
        <f>IF(AND(_AC5="B-767-300ER",'2023'!$O$4="FO",'2023'!$O$2=CF81),'2023DATA2'!$M$14,"")</f>
        <v/>
      </c>
      <c r="CG93" s="520" t="str">
        <f>IF(AND(_AC5="B-767-300ER",'2023'!$O$4="FO",'2023'!$O$2=CG81),'2023DATA2'!$N$14,"")</f>
        <v/>
      </c>
      <c r="CH93" s="940"/>
      <c r="CI93" s="13" t="s">
        <v>62</v>
      </c>
      <c r="CJ93" s="518" t="str">
        <f>IF(AND(_AC6="B-767-300ER",'2023'!$O$4="FO",'2023'!$O$2=CJ81),'2023DATA2'!$C$14,"")</f>
        <v/>
      </c>
      <c r="CK93" s="518" t="str">
        <f>IF(AND(_AC6="B-767-300ER",'2023'!$O$4="FO",'2023'!$O$2=CK81),'2023DATA2'!$D$14,"")</f>
        <v/>
      </c>
      <c r="CL93" s="518" t="str">
        <f>IF(AND(_AC6="B-767-300ER",'2023'!$O$4="FO",'2023'!$O$2=CL81),'2023DATA2'!$E$14,"")</f>
        <v/>
      </c>
      <c r="CM93" s="518" t="str">
        <f>IF(AND(_AC6="B-767-300ER",'2023'!$O$4="FO",'2023'!$O$2=CM81),'2023DATA2'!$F$14,"")</f>
        <v/>
      </c>
      <c r="CN93" s="518" t="str">
        <f>IF(AND(_AC6="B-767-300ER",'2023'!$O$4="FO",'2023'!$O$2=CN81),'2023DATA2'!$G$14,"")</f>
        <v/>
      </c>
      <c r="CO93" s="518" t="str">
        <f>IF(AND(_AC6="B-767-300ER",'2023'!$O$4="FO",'2023'!$O$2=CO81),'2023DATA2'!$H$14,"")</f>
        <v/>
      </c>
      <c r="CP93" s="518" t="str">
        <f>IF(AND(_AC6="B-767-300ER",'2023'!$O$4="FO",'2023'!$O$2=CP81),'2023DATA2'!$I$14,"")</f>
        <v/>
      </c>
      <c r="CQ93" s="518" t="str">
        <f>IF(AND(_AC6="B-767-300ER",'2023'!$O$4="FO",'2023'!$O$2=CQ81),'2023DATA2'!$J$14,"")</f>
        <v/>
      </c>
      <c r="CR93" s="518" t="str">
        <f>IF(AND(_AC6="B-767-300ER",'2023'!$O$4="FO",'2023'!$O$2=CR81),'2023DATA2'!$K$14,"")</f>
        <v/>
      </c>
      <c r="CS93" s="518" t="str">
        <f>IF(AND(_AC6="B-767-300ER",'2023'!$O$4="FO",'2023'!$O$2=CS81),'2023DATA2'!$L$14,"")</f>
        <v/>
      </c>
      <c r="CT93" s="518" t="str">
        <f>IF(AND(_AC6="B-767-300ER",'2023'!$O$4="FO",'2023'!$O$2=CT81),'2023DATA2'!$M$14,"")</f>
        <v/>
      </c>
      <c r="CU93" s="520" t="str">
        <f>IF(AND(_AC6="B-767-300ER",'2023'!$O$4="FO",'2023'!$O$2=CU81),'2023DATA2'!$N$14,"")</f>
        <v/>
      </c>
    </row>
    <row r="94" spans="16:99" x14ac:dyDescent="0.25">
      <c r="P94" s="940" t="s">
        <v>67</v>
      </c>
      <c r="Q94" s="13" t="s">
        <v>61</v>
      </c>
      <c r="R94" s="518" t="str">
        <f>IF(AND(_AC1="B-767-300",'2023'!$O$4="CA",'2023'!$O$2=R81),'2023DATA2'!$C$15,"")</f>
        <v/>
      </c>
      <c r="S94" s="518" t="str">
        <f>IF(AND(_AC1="B-767-300",'2023'!$O$4="CA",'2023'!$O$2=S81),'2023DATA2'!$D$15,"")</f>
        <v/>
      </c>
      <c r="T94" s="518" t="str">
        <f>IF(AND(_AC1="B-767-300",'2023'!$O$4="CA",'2023'!$O$2=T81),'2023DATA2'!$E$15,"")</f>
        <v/>
      </c>
      <c r="U94" s="518" t="str">
        <f>IF(AND(_AC1="B-767-300",'2023'!$O$4="CA",'2023'!$O$2=U81),'2023DATA2'!$F$15,"")</f>
        <v/>
      </c>
      <c r="V94" s="518" t="str">
        <f>IF(AND(_AC1="B-767-300",'2023'!$O$4="CA",'2023'!$O$2=V81),'2023DATA2'!$G$15,"")</f>
        <v/>
      </c>
      <c r="W94" s="518" t="str">
        <f>IF(AND(_AC1="B-767-300",'2023'!$O$4="CA",'2023'!$O$2=W81),'2023DATA2'!$H$15,"")</f>
        <v/>
      </c>
      <c r="X94" s="518" t="str">
        <f>IF(AND(_AC1="B-767-300",'2023'!$O$4="CA",'2023'!$O$2=X81),'2023DATA2'!$I$15,"")</f>
        <v/>
      </c>
      <c r="Y94" s="518" t="str">
        <f>IF(AND(_AC1="B-767-300",'2023'!$O$4="CA",'2023'!$O$2=Y81),'2023DATA2'!$J$15,"")</f>
        <v/>
      </c>
      <c r="Z94" s="518" t="str">
        <f>IF(AND(_AC1="B-767-300",'2023'!$O$4="CA",'2023'!$O$2=Z81),'2023DATA2'!$K$15,"")</f>
        <v/>
      </c>
      <c r="AA94" s="518" t="str">
        <f>IF(AND(_AC1="B-767-300",'2023'!$O$4="CA",'2023'!$O$2=AA81),'2023DATA2'!$L$15,"")</f>
        <v/>
      </c>
      <c r="AB94" s="518" t="str">
        <f>IF(AND(_AC1="B-767-300",'2023'!$O$4="CA",'2023'!$O$2=AB81),'2023DATA2'!$M$15,"")</f>
        <v/>
      </c>
      <c r="AC94" s="520" t="str">
        <f>IF(AND(_AC1="B-767-300",'2023'!$O$4="CA",'2023'!$O$2=AC81),'2023DATA2'!$N$15,"")</f>
        <v/>
      </c>
      <c r="AD94" s="940" t="s">
        <v>67</v>
      </c>
      <c r="AE94" s="13" t="s">
        <v>61</v>
      </c>
      <c r="AF94" s="518" t="str">
        <f>IF(AND(_AC2="B-767-300",'2023'!$O$4="CA",'2023'!$O$2=AF81),'2023DATA2'!$C$15,"")</f>
        <v/>
      </c>
      <c r="AG94" s="518" t="str">
        <f>IF(AND(_AC2="B-767-300",'2023'!$O$4="CA",'2023'!$O$2=AG81),'2023DATA2'!$D$15,"")</f>
        <v/>
      </c>
      <c r="AH94" s="518" t="str">
        <f>IF(AND(_AC2="B-767-300",'2023'!$O$4="CA",'2023'!$O$2=AH81),'2023DATA2'!$E$15,"")</f>
        <v/>
      </c>
      <c r="AI94" s="518" t="str">
        <f>IF(AND(_AC2="B-767-300",'2023'!$O$4="CA",'2023'!$O$2=AI81),'2023DATA2'!$F$15,"")</f>
        <v/>
      </c>
      <c r="AJ94" s="518" t="str">
        <f>IF(AND(_AC2="B-767-300",'2023'!$O$4="CA",'2023'!$O$2=AJ81),'2023DATA2'!$G$15,"")</f>
        <v/>
      </c>
      <c r="AK94" s="518" t="str">
        <f>IF(AND(_AC2="B-767-300",'2023'!$O$4="CA",'2023'!$O$2=AK81),'2023DATA2'!$H$15,"")</f>
        <v/>
      </c>
      <c r="AL94" s="518" t="str">
        <f>IF(AND(_AC2="B-767-300",'2023'!$O$4="CA",'2023'!$O$2=AL81),'2023DATA2'!$I$15,"")</f>
        <v/>
      </c>
      <c r="AM94" s="518" t="str">
        <f>IF(AND(_AC2="B-767-300",'2023'!$O$4="CA",'2023'!$O$2=AM81),'2023DATA2'!$J$15,"")</f>
        <v/>
      </c>
      <c r="AN94" s="518" t="str">
        <f>IF(AND(_AC2="B-767-300",'2023'!$O$4="CA",'2023'!$O$2=AN81),'2023DATA2'!$K$15,"")</f>
        <v/>
      </c>
      <c r="AO94" s="518" t="str">
        <f>IF(AND(_AC2="B-767-300",'2023'!$O$4="CA",'2023'!$O$2=AO81),'2023DATA2'!$L$15,"")</f>
        <v/>
      </c>
      <c r="AP94" s="518" t="str">
        <f>IF(AND(_AC2="B-767-300",'2023'!$O$4="CA",'2023'!$O$2=AP81),'2023DATA2'!$M$15,"")</f>
        <v/>
      </c>
      <c r="AQ94" s="520" t="str">
        <f>IF(AND(_AC2="B-767-300",'2023'!$O$4="CA",'2023'!$O$2=AQ81),'2023DATA2'!$N$15,"")</f>
        <v/>
      </c>
      <c r="AR94" s="940" t="s">
        <v>67</v>
      </c>
      <c r="AS94" s="13" t="s">
        <v>61</v>
      </c>
      <c r="AT94" s="518" t="str">
        <f>IF(AND(_AC3="B-767-300",'2023'!$O$4="CA",'2023'!$O$2=AT81),'2023DATA2'!$C$15,"")</f>
        <v/>
      </c>
      <c r="AU94" s="518" t="str">
        <f>IF(AND(_AC3="B-767-300",'2023'!$O$4="CA",'2023'!$O$2=AU81),'2023DATA2'!$D$15,"")</f>
        <v/>
      </c>
      <c r="AV94" s="518" t="str">
        <f>IF(AND(_AC3="B-767-300",'2023'!$O$4="CA",'2023'!$O$2=AV81),'2023DATA2'!$E$15,"")</f>
        <v/>
      </c>
      <c r="AW94" s="518" t="str">
        <f>IF(AND(_AC3="B-767-300",'2023'!$O$4="CA",'2023'!$O$2=AW81),'2023DATA2'!$F$15,"")</f>
        <v/>
      </c>
      <c r="AX94" s="518" t="str">
        <f>IF(AND(_AC3="B-767-300",'2023'!$O$4="CA",'2023'!$O$2=AX81),'2023DATA2'!$G$15,"")</f>
        <v/>
      </c>
      <c r="AY94" s="518" t="str">
        <f>IF(AND(_AC3="B-767-300",'2023'!$O$4="CA",'2023'!$O$2=AY81),'2023DATA2'!$H$15,"")</f>
        <v/>
      </c>
      <c r="AZ94" s="518" t="str">
        <f>IF(AND(_AC3="B-767-300",'2023'!$O$4="CA",'2023'!$O$2=AZ81),'2023DATA2'!$I$15,"")</f>
        <v/>
      </c>
      <c r="BA94" s="518" t="str">
        <f>IF(AND(_AC3="B-767-300",'2023'!$O$4="CA",'2023'!$O$2=BA81),'2023DATA2'!$J$15,"")</f>
        <v/>
      </c>
      <c r="BB94" s="518" t="str">
        <f>IF(AND(_AC3="B-767-300",'2023'!$O$4="CA",'2023'!$O$2=BB81),'2023DATA2'!$K$15,"")</f>
        <v/>
      </c>
      <c r="BC94" s="518" t="str">
        <f>IF(AND(_AC3="B-767-300",'2023'!$O$4="CA",'2023'!$O$2=BC81),'2023DATA2'!$L$15,"")</f>
        <v/>
      </c>
      <c r="BD94" s="518" t="str">
        <f>IF(AND(_AC3="B-767-300",'2023'!$O$4="CA",'2023'!$O$2=BD81),'2023DATA2'!$M$15,"")</f>
        <v/>
      </c>
      <c r="BE94" s="520" t="str">
        <f>IF(AND(_AC3="B-767-300",'2023'!$O$4="CA",'2023'!$O$2=BE81),'2023DATA2'!$N$15,"")</f>
        <v/>
      </c>
      <c r="BF94" s="940" t="s">
        <v>67</v>
      </c>
      <c r="BG94" s="13" t="s">
        <v>61</v>
      </c>
      <c r="BH94" s="518" t="str">
        <f>IF(AND(_AC4="B-767-300",'2023'!$O$4="CA",'2023'!$O$2=BH81),'2023DATA2'!$C$15,"")</f>
        <v/>
      </c>
      <c r="BI94" s="518" t="str">
        <f>IF(AND(_AC4="B-767-300",'2023'!$O$4="CA",'2023'!$O$2=BI81),'2023DATA2'!$D$15,"")</f>
        <v/>
      </c>
      <c r="BJ94" s="518" t="str">
        <f>IF(AND(_AC4="B-767-300",'2023'!$O$4="CA",'2023'!$O$2=BJ81),'2023DATA2'!$E$15,"")</f>
        <v/>
      </c>
      <c r="BK94" s="518" t="str">
        <f>IF(AND(_AC4="B-767-300",'2023'!$O$4="CA",'2023'!$O$2=BK81),'2023DATA2'!$F$15,"")</f>
        <v/>
      </c>
      <c r="BL94" s="518" t="str">
        <f>IF(AND(_AC4="B-767-300",'2023'!$O$4="CA",'2023'!$O$2=BL81),'2023DATA2'!$G$15,"")</f>
        <v/>
      </c>
      <c r="BM94" s="518" t="str">
        <f>IF(AND(_AC4="B-767-300",'2023'!$O$4="CA",'2023'!$O$2=BM81),'2023DATA2'!$H$15,"")</f>
        <v/>
      </c>
      <c r="BN94" s="518" t="str">
        <f>IF(AND(_AC4="B-767-300",'2023'!$O$4="CA",'2023'!$O$2=BN81),'2023DATA2'!$I$15,"")</f>
        <v/>
      </c>
      <c r="BO94" s="518" t="str">
        <f>IF(AND(_AC4="B-767-300",'2023'!$O$4="CA",'2023'!$O$2=BO81),'2023DATA2'!$J$15,"")</f>
        <v/>
      </c>
      <c r="BP94" s="518" t="str">
        <f>IF(AND(_AC4="B-767-300",'2023'!$O$4="CA",'2023'!$O$2=BP81),'2023DATA2'!$K$15,"")</f>
        <v/>
      </c>
      <c r="BQ94" s="518" t="str">
        <f>IF(AND(_AC4="B-767-300",'2023'!$O$4="CA",'2023'!$O$2=BQ81),'2023DATA2'!$L$15,"")</f>
        <v/>
      </c>
      <c r="BR94" s="518" t="str">
        <f>IF(AND(_AC4="B-767-300",'2023'!$O$4="CA",'2023'!$O$2=BR81),'2023DATA2'!$M$15,"")</f>
        <v/>
      </c>
      <c r="BS94" s="520" t="str">
        <f>IF(AND(_AC4="B-767-300",'2023'!$O$4="CA",'2023'!$O$2=BS81),'2023DATA2'!$N$15,"")</f>
        <v/>
      </c>
      <c r="BT94" s="940" t="s">
        <v>67</v>
      </c>
      <c r="BU94" s="13" t="s">
        <v>61</v>
      </c>
      <c r="BV94" s="518" t="str">
        <f>IF(AND(_AC5="B-767-300",'2023'!$O$4="CA",'2023'!$O$2=BV81),'2023DATA2'!$C$15,"")</f>
        <v/>
      </c>
      <c r="BW94" s="518" t="str">
        <f>IF(AND(_AC5="B-767-300",'2023'!$O$4="CA",'2023'!$O$2=BW81),'2023DATA2'!$D$15,"")</f>
        <v/>
      </c>
      <c r="BX94" s="518" t="str">
        <f>IF(AND(_AC5="B-767-300",'2023'!$O$4="CA",'2023'!$O$2=BX81),'2023DATA2'!$E$15,"")</f>
        <v/>
      </c>
      <c r="BY94" s="518" t="str">
        <f>IF(AND(_AC5="B-767-300",'2023'!$O$4="CA",'2023'!$O$2=BY81),'2023DATA2'!$F$15,"")</f>
        <v/>
      </c>
      <c r="BZ94" s="518" t="str">
        <f>IF(AND(_AC5="B-767-300",'2023'!$O$4="CA",'2023'!$O$2=BZ81),'2023DATA2'!$G$15,"")</f>
        <v/>
      </c>
      <c r="CA94" s="518" t="str">
        <f>IF(AND(_AC5="B-767-300",'2023'!$O$4="CA",'2023'!$O$2=CA81),'2023DATA2'!$H$15,"")</f>
        <v/>
      </c>
      <c r="CB94" s="518" t="str">
        <f>IF(AND(_AC5="B-767-300",'2023'!$O$4="CA",'2023'!$O$2=CB81),'2023DATA2'!$I$15,"")</f>
        <v/>
      </c>
      <c r="CC94" s="518" t="str">
        <f>IF(AND(_AC5="B-767-300",'2023'!$O$4="CA",'2023'!$O$2=CC81),'2023DATA2'!$J$15,"")</f>
        <v/>
      </c>
      <c r="CD94" s="518" t="str">
        <f>IF(AND(_AC5="B-767-300",'2023'!$O$4="CA",'2023'!$O$2=CD81),'2023DATA2'!$K$15,"")</f>
        <v/>
      </c>
      <c r="CE94" s="518" t="str">
        <f>IF(AND(_AC5="B-767-300",'2023'!$O$4="CA",'2023'!$O$2=CE81),'2023DATA2'!$L$15,"")</f>
        <v/>
      </c>
      <c r="CF94" s="518" t="str">
        <f>IF(AND(_AC5="B-767-300",'2023'!$O$4="CA",'2023'!$O$2=CF81),'2023DATA2'!$M$15,"")</f>
        <v/>
      </c>
      <c r="CG94" s="520" t="str">
        <f>IF(AND(_AC5="B-767-300",'2023'!$O$4="CA",'2023'!$O$2=CG81),'2023DATA2'!$N$15,"")</f>
        <v/>
      </c>
      <c r="CH94" s="940" t="s">
        <v>67</v>
      </c>
      <c r="CI94" s="13" t="s">
        <v>61</v>
      </c>
      <c r="CJ94" s="518" t="str">
        <f>IF(AND(_AC6="B-767-300",'2023'!$O$4="CA",'2023'!$O$2=CJ81),'2023DATA2'!$C$15,"")</f>
        <v/>
      </c>
      <c r="CK94" s="518" t="str">
        <f>IF(AND(_AC6="B-767-300",'2023'!$O$4="CA",'2023'!$O$2=CK81),'2023DATA2'!$D$15,"")</f>
        <v/>
      </c>
      <c r="CL94" s="518" t="str">
        <f>IF(AND(_AC6="B-767-300",'2023'!$O$4="CA",'2023'!$O$2=CL81),'2023DATA2'!$E$15,"")</f>
        <v/>
      </c>
      <c r="CM94" s="518" t="str">
        <f>IF(AND(_AC6="B-767-300",'2023'!$O$4="CA",'2023'!$O$2=CM81),'2023DATA2'!$F$15,"")</f>
        <v/>
      </c>
      <c r="CN94" s="518" t="str">
        <f>IF(AND(_AC6="B-767-300",'2023'!$O$4="CA",'2023'!$O$2=CN81),'2023DATA2'!$G$15,"")</f>
        <v/>
      </c>
      <c r="CO94" s="518" t="str">
        <f>IF(AND(_AC6="B-767-300",'2023'!$O$4="CA",'2023'!$O$2=CO81),'2023DATA2'!$H$15,"")</f>
        <v/>
      </c>
      <c r="CP94" s="518" t="str">
        <f>IF(AND(_AC6="B-767-300",'2023'!$O$4="CA",'2023'!$O$2=CP81),'2023DATA2'!$I$15,"")</f>
        <v/>
      </c>
      <c r="CQ94" s="518" t="str">
        <f>IF(AND(_AC6="B-767-300",'2023'!$O$4="CA",'2023'!$O$2=CQ81),'2023DATA2'!$J$15,"")</f>
        <v/>
      </c>
      <c r="CR94" s="518" t="str">
        <f>IF(AND(_AC6="B-767-300",'2023'!$O$4="CA",'2023'!$O$2=CR81),'2023DATA2'!$K$15,"")</f>
        <v/>
      </c>
      <c r="CS94" s="518" t="str">
        <f>IF(AND(_AC6="B-767-300",'2023'!$O$4="CA",'2023'!$O$2=CS81),'2023DATA2'!$L$15,"")</f>
        <v/>
      </c>
      <c r="CT94" s="518" t="str">
        <f>IF(AND(_AC6="B-767-300",'2023'!$O$4="CA",'2023'!$O$2=CT81),'2023DATA2'!$M$15,"")</f>
        <v/>
      </c>
      <c r="CU94" s="520" t="str">
        <f>IF(AND(_AC6="B-767-300",'2023'!$O$4="CA",'2023'!$O$2=CU81),'2023DATA2'!$N$15,"")</f>
        <v/>
      </c>
    </row>
    <row r="95" spans="16:99" x14ac:dyDescent="0.25">
      <c r="P95" s="940"/>
      <c r="Q95" s="13" t="s">
        <v>62</v>
      </c>
      <c r="R95" s="518" t="str">
        <f>IF(AND(_AC1="B-767-300",'2023'!$O$4="FO",'2023'!$O$2=R81),'2023DATA2'!$C$16,"")</f>
        <v/>
      </c>
      <c r="S95" s="518" t="str">
        <f>IF(AND(_AC1="B-767-300",'2023'!$O$4="FO",'2023'!$O$2=S81),'2023DATA2'!$D$16,"")</f>
        <v/>
      </c>
      <c r="T95" s="518" t="str">
        <f>IF(AND(_AC1="B-767-300",'2023'!$O$4="FO",'2023'!$O$2=T81),'2023DATA2'!$E$16,"")</f>
        <v/>
      </c>
      <c r="U95" s="518" t="str">
        <f>IF(AND(_AC1="B-767-300",'2023'!$O$4="FO",'2023'!$O$2=U81),'2023DATA2'!$F$16,"")</f>
        <v/>
      </c>
      <c r="V95" s="518" t="str">
        <f>IF(AND(_AC1="B-767-300",'2023'!$O$4="FO",'2023'!$O$2=V81),'2023DATA2'!$G$16,"")</f>
        <v/>
      </c>
      <c r="W95" s="518" t="str">
        <f>IF(AND(_AC1="B-767-300",'2023'!$O$4="FO",'2023'!$O$2=W81),'2023DATA2'!$H$16,"")</f>
        <v/>
      </c>
      <c r="X95" s="518" t="str">
        <f>IF(AND(_AC1="B-767-300",'2023'!$O$4="FO",'2023'!$O$2=X81),'2023DATA2'!$I$16,"")</f>
        <v/>
      </c>
      <c r="Y95" s="518" t="str">
        <f>IF(AND(_AC1="B-767-300",'2023'!$O$4="FO",'2023'!$O$2=Y81),'2023DATA2'!$J$16,"")</f>
        <v/>
      </c>
      <c r="Z95" s="518" t="str">
        <f>IF(AND(_AC1="B-767-300",'2023'!$O$4="FO",'2023'!$O$2=Z81),'2023DATA2'!$K$16,"")</f>
        <v/>
      </c>
      <c r="AA95" s="518" t="str">
        <f>IF(AND(_AC1="B-767-300",'2023'!$O$4="FO",'2023'!$O$2=AA81),'2023DATA2'!$L$16,"")</f>
        <v/>
      </c>
      <c r="AB95" s="518" t="str">
        <f>IF(AND(_AC1="B-767-300",'2023'!$O$4="FO",'2023'!$O$2=AB81),'2023DATA2'!$M$16,"")</f>
        <v/>
      </c>
      <c r="AC95" s="520" t="str">
        <f>IF(AND(_AC1="B-767-300",'2023'!$O$4="FO",'2023'!$O$2=AC81),'2023DATA2'!$N$16,"")</f>
        <v/>
      </c>
      <c r="AD95" s="940"/>
      <c r="AE95" s="13" t="s">
        <v>62</v>
      </c>
      <c r="AF95" s="518" t="str">
        <f>IF(AND(_AC2="B-767-300",'2023'!$O$4="FO",'2023'!$O$2=AF81),'2023DATA2'!$C$16,"")</f>
        <v/>
      </c>
      <c r="AG95" s="518" t="str">
        <f>IF(AND(_AC2="B-767-300",'2023'!$O$4="FO",'2023'!$O$2=AG81),'2023DATA2'!$D$16,"")</f>
        <v/>
      </c>
      <c r="AH95" s="518" t="str">
        <f>IF(AND(_AC2="B-767-300",'2023'!$O$4="FO",'2023'!$O$2=AH81),'2023DATA2'!$E$16,"")</f>
        <v/>
      </c>
      <c r="AI95" s="518" t="str">
        <f>IF(AND(_AC2="B-767-300",'2023'!$O$4="FO",'2023'!$O$2=AI81),'2023DATA2'!$F$16,"")</f>
        <v/>
      </c>
      <c r="AJ95" s="518" t="str">
        <f>IF(AND(_AC2="B-767-300",'2023'!$O$4="FO",'2023'!$O$2=AJ81),'2023DATA2'!$G$16,"")</f>
        <v/>
      </c>
      <c r="AK95" s="518" t="str">
        <f>IF(AND(_AC2="B-767-300",'2023'!$O$4="FO",'2023'!$O$2=AK81),'2023DATA2'!$H$16,"")</f>
        <v/>
      </c>
      <c r="AL95" s="518" t="str">
        <f>IF(AND(_AC2="B-767-300",'2023'!$O$4="FO",'2023'!$O$2=AL81),'2023DATA2'!$I$16,"")</f>
        <v/>
      </c>
      <c r="AM95" s="518" t="str">
        <f>IF(AND(_AC2="B-767-300",'2023'!$O$4="FO",'2023'!$O$2=AM81),'2023DATA2'!$J$16,"")</f>
        <v/>
      </c>
      <c r="AN95" s="518" t="str">
        <f>IF(AND(_AC2="B-767-300",'2023'!$O$4="FO",'2023'!$O$2=AN81),'2023DATA2'!$K$16,"")</f>
        <v/>
      </c>
      <c r="AO95" s="518" t="str">
        <f>IF(AND(_AC2="B-767-300",'2023'!$O$4="FO",'2023'!$O$2=AO81),'2023DATA2'!$L$16,"")</f>
        <v/>
      </c>
      <c r="AP95" s="518" t="str">
        <f>IF(AND(_AC2="B-767-300",'2023'!$O$4="FO",'2023'!$O$2=AP81),'2023DATA2'!$M$16,"")</f>
        <v/>
      </c>
      <c r="AQ95" s="520" t="str">
        <f>IF(AND(_AC2="B-767-300",'2023'!$O$4="FO",'2023'!$O$2=AQ81),'2023DATA2'!$N$16,"")</f>
        <v/>
      </c>
      <c r="AR95" s="940"/>
      <c r="AS95" s="13" t="s">
        <v>62</v>
      </c>
      <c r="AT95" s="518" t="str">
        <f>IF(AND(_AC3="B-767-300",'2023'!$O$4="FO",'2023'!$O$2=AT81),'2023DATA2'!$C$16,"")</f>
        <v/>
      </c>
      <c r="AU95" s="518" t="str">
        <f>IF(AND(_AC3="B-767-300",'2023'!$O$4="FO",'2023'!$O$2=AU81),'2023DATA2'!$D$16,"")</f>
        <v/>
      </c>
      <c r="AV95" s="518" t="str">
        <f>IF(AND(_AC3="B-767-300",'2023'!$O$4="FO",'2023'!$O$2=AV81),'2023DATA2'!$E$16,"")</f>
        <v/>
      </c>
      <c r="AW95" s="518" t="str">
        <f>IF(AND(_AC3="B-767-300",'2023'!$O$4="FO",'2023'!$O$2=AW81),'2023DATA2'!$F$16,"")</f>
        <v/>
      </c>
      <c r="AX95" s="518" t="str">
        <f>IF(AND(_AC3="B-767-300",'2023'!$O$4="FO",'2023'!$O$2=AX81),'2023DATA2'!$G$16,"")</f>
        <v/>
      </c>
      <c r="AY95" s="518" t="str">
        <f>IF(AND(_AC3="B-767-300",'2023'!$O$4="FO",'2023'!$O$2=AY81),'2023DATA2'!$H$16,"")</f>
        <v/>
      </c>
      <c r="AZ95" s="518" t="str">
        <f>IF(AND(_AC3="B-767-300",'2023'!$O$4="FO",'2023'!$O$2=AZ81),'2023DATA2'!$I$16,"")</f>
        <v/>
      </c>
      <c r="BA95" s="518" t="str">
        <f>IF(AND(_AC3="B-767-300",'2023'!$O$4="FO",'2023'!$O$2=BA81),'2023DATA2'!$J$16,"")</f>
        <v/>
      </c>
      <c r="BB95" s="518" t="str">
        <f>IF(AND(_AC3="B-767-300",'2023'!$O$4="FO",'2023'!$O$2=BB81),'2023DATA2'!$K$16,"")</f>
        <v/>
      </c>
      <c r="BC95" s="518" t="str">
        <f>IF(AND(_AC3="B-767-300",'2023'!$O$4="FO",'2023'!$O$2=BC81),'2023DATA2'!$L$16,"")</f>
        <v/>
      </c>
      <c r="BD95" s="518" t="str">
        <f>IF(AND(_AC3="B-767-300",'2023'!$O$4="FO",'2023'!$O$2=BD81),'2023DATA2'!$M$16,"")</f>
        <v/>
      </c>
      <c r="BE95" s="520" t="str">
        <f>IF(AND(_AC3="B-767-300",'2023'!$O$4="FO",'2023'!$O$2=BE81),'2023DATA2'!$N$16,"")</f>
        <v/>
      </c>
      <c r="BF95" s="940"/>
      <c r="BG95" s="13" t="s">
        <v>62</v>
      </c>
      <c r="BH95" s="518" t="str">
        <f>IF(AND(_AC4="B-767-300",'2023'!$O$4="FO",'2023'!$O$2=BH81),'2023DATA2'!$C$16,"")</f>
        <v/>
      </c>
      <c r="BI95" s="518" t="str">
        <f>IF(AND(_AC4="B-767-300",'2023'!$O$4="FO",'2023'!$O$2=BI81),'2023DATA2'!$D$16,"")</f>
        <v/>
      </c>
      <c r="BJ95" s="518" t="str">
        <f>IF(AND(_AC4="B-767-300",'2023'!$O$4="FO",'2023'!$O$2=BJ81),'2023DATA2'!$E$16,"")</f>
        <v/>
      </c>
      <c r="BK95" s="518" t="str">
        <f>IF(AND(_AC4="B-767-300",'2023'!$O$4="FO",'2023'!$O$2=BK81),'2023DATA2'!$F$16,"")</f>
        <v/>
      </c>
      <c r="BL95" s="518" t="str">
        <f>IF(AND(_AC4="B-767-300",'2023'!$O$4="FO",'2023'!$O$2=BL81),'2023DATA2'!$G$16,"")</f>
        <v/>
      </c>
      <c r="BM95" s="518" t="str">
        <f>IF(AND(_AC4="B-767-300",'2023'!$O$4="FO",'2023'!$O$2=BM81),'2023DATA2'!$H$16,"")</f>
        <v/>
      </c>
      <c r="BN95" s="518" t="str">
        <f>IF(AND(_AC4="B-767-300",'2023'!$O$4="FO",'2023'!$O$2=BN81),'2023DATA2'!$I$16,"")</f>
        <v/>
      </c>
      <c r="BO95" s="518" t="str">
        <f>IF(AND(_AC4="B-767-300",'2023'!$O$4="FO",'2023'!$O$2=BO81),'2023DATA2'!$J$16,"")</f>
        <v/>
      </c>
      <c r="BP95" s="518" t="str">
        <f>IF(AND(_AC4="B-767-300",'2023'!$O$4="FO",'2023'!$O$2=BP81),'2023DATA2'!$K$16,"")</f>
        <v/>
      </c>
      <c r="BQ95" s="518" t="str">
        <f>IF(AND(_AC4="B-767-300",'2023'!$O$4="FO",'2023'!$O$2=BQ81),'2023DATA2'!$L$16,"")</f>
        <v/>
      </c>
      <c r="BR95" s="518" t="str">
        <f>IF(AND(_AC4="B-767-300",'2023'!$O$4="FO",'2023'!$O$2=BR81),'2023DATA2'!$M$16,"")</f>
        <v/>
      </c>
      <c r="BS95" s="520" t="str">
        <f>IF(AND(_AC4="B-767-300",'2023'!$O$4="FO",'2023'!$O$2=BS81),'2023DATA2'!$N$16,"")</f>
        <v/>
      </c>
      <c r="BT95" s="940"/>
      <c r="BU95" s="13" t="s">
        <v>62</v>
      </c>
      <c r="BV95" s="518" t="str">
        <f>IF(AND(_AC5="B-767-300",'2023'!$O$4="FO",'2023'!$O$2=BV81),'2023DATA2'!$C$16,"")</f>
        <v/>
      </c>
      <c r="BW95" s="518" t="str">
        <f>IF(AND(_AC5="B-767-300",'2023'!$O$4="FO",'2023'!$O$2=BW81),'2023DATA2'!$D$16,"")</f>
        <v/>
      </c>
      <c r="BX95" s="518" t="str">
        <f>IF(AND(_AC5="B-767-300",'2023'!$O$4="FO",'2023'!$O$2=BX81),'2023DATA2'!$E$16,"")</f>
        <v/>
      </c>
      <c r="BY95" s="518" t="str">
        <f>IF(AND(_AC5="B-767-300",'2023'!$O$4="FO",'2023'!$O$2=BY81),'2023DATA2'!$F$16,"")</f>
        <v/>
      </c>
      <c r="BZ95" s="518" t="str">
        <f>IF(AND(_AC5="B-767-300",'2023'!$O$4="FO",'2023'!$O$2=BZ81),'2023DATA2'!$G$16,"")</f>
        <v/>
      </c>
      <c r="CA95" s="518" t="str">
        <f>IF(AND(_AC5="B-767-300",'2023'!$O$4="FO",'2023'!$O$2=CA81),'2023DATA2'!$H$16,"")</f>
        <v/>
      </c>
      <c r="CB95" s="518" t="str">
        <f>IF(AND(_AC5="B-767-300",'2023'!$O$4="FO",'2023'!$O$2=CB81),'2023DATA2'!$I$16,"")</f>
        <v/>
      </c>
      <c r="CC95" s="518" t="str">
        <f>IF(AND(_AC5="B-767-300",'2023'!$O$4="FO",'2023'!$O$2=CC81),'2023DATA2'!$J$16,"")</f>
        <v/>
      </c>
      <c r="CD95" s="518" t="str">
        <f>IF(AND(_AC5="B-767-300",'2023'!$O$4="FO",'2023'!$O$2=CD81),'2023DATA2'!$K$16,"")</f>
        <v/>
      </c>
      <c r="CE95" s="518" t="str">
        <f>IF(AND(_AC5="B-767-300",'2023'!$O$4="FO",'2023'!$O$2=CE81),'2023DATA2'!$L$16,"")</f>
        <v/>
      </c>
      <c r="CF95" s="518" t="str">
        <f>IF(AND(_AC5="B-767-300",'2023'!$O$4="FO",'2023'!$O$2=CF81),'2023DATA2'!$M$16,"")</f>
        <v/>
      </c>
      <c r="CG95" s="520" t="str">
        <f>IF(AND(_AC5="B-767-300",'2023'!$O$4="FO",'2023'!$O$2=CG81),'2023DATA2'!$N$16,"")</f>
        <v/>
      </c>
      <c r="CH95" s="940"/>
      <c r="CI95" s="13" t="s">
        <v>62</v>
      </c>
      <c r="CJ95" s="518" t="str">
        <f>IF(AND(_AC6="B-767-300",'2023'!$O$4="FO",'2023'!$O$2=CJ81),'2023DATA2'!$C$16,"")</f>
        <v/>
      </c>
      <c r="CK95" s="518" t="str">
        <f>IF(AND(_AC6="B-767-300",'2023'!$O$4="FO",'2023'!$O$2=CK81),'2023DATA2'!$D$16,"")</f>
        <v/>
      </c>
      <c r="CL95" s="518" t="str">
        <f>IF(AND(_AC6="B-767-300",'2023'!$O$4="FO",'2023'!$O$2=CL81),'2023DATA2'!$E$16,"")</f>
        <v/>
      </c>
      <c r="CM95" s="518" t="str">
        <f>IF(AND(_AC6="B-767-300",'2023'!$O$4="FO",'2023'!$O$2=CM81),'2023DATA2'!$F$16,"")</f>
        <v/>
      </c>
      <c r="CN95" s="518" t="str">
        <f>IF(AND(_AC6="B-767-300",'2023'!$O$4="FO",'2023'!$O$2=CN81),'2023DATA2'!$G$16,"")</f>
        <v/>
      </c>
      <c r="CO95" s="518" t="str">
        <f>IF(AND(_AC6="B-767-300",'2023'!$O$4="FO",'2023'!$O$2=CO81),'2023DATA2'!$H$16,"")</f>
        <v/>
      </c>
      <c r="CP95" s="518" t="str">
        <f>IF(AND(_AC6="B-767-300",'2023'!$O$4="FO",'2023'!$O$2=CP81),'2023DATA2'!$I$16,"")</f>
        <v/>
      </c>
      <c r="CQ95" s="518" t="str">
        <f>IF(AND(_AC6="B-767-300",'2023'!$O$4="FO",'2023'!$O$2=CQ81),'2023DATA2'!$J$16,"")</f>
        <v/>
      </c>
      <c r="CR95" s="518" t="str">
        <f>IF(AND(_AC6="B-767-300",'2023'!$O$4="FO",'2023'!$O$2=CR81),'2023DATA2'!$K$16,"")</f>
        <v/>
      </c>
      <c r="CS95" s="518" t="str">
        <f>IF(AND(_AC6="B-767-300",'2023'!$O$4="FO",'2023'!$O$2=CS81),'2023DATA2'!$L$16,"")</f>
        <v/>
      </c>
      <c r="CT95" s="518" t="str">
        <f>IF(AND(_AC6="B-767-300",'2023'!$O$4="FO",'2023'!$O$2=CT81),'2023DATA2'!$M$16,"")</f>
        <v/>
      </c>
      <c r="CU95" s="520" t="str">
        <f>IF(AND(_AC6="B-767-300",'2023'!$O$4="FO",'2023'!$O$2=CU81),'2023DATA2'!$N$16,"")</f>
        <v/>
      </c>
    </row>
    <row r="96" spans="16:99" x14ac:dyDescent="0.25">
      <c r="P96" s="940" t="s">
        <v>68</v>
      </c>
      <c r="Q96" s="13" t="s">
        <v>61</v>
      </c>
      <c r="R96" s="518" t="str">
        <f>IF(AND(_AC1="B-767-200",'2023'!$O$4="CA",'2023'!$O$2=R81),'2023DATA2'!$C$17,"")</f>
        <v/>
      </c>
      <c r="S96" s="518" t="str">
        <f>IF(AND(_AC1="B-767-200",'2023'!$O$4="CA",'2023'!$O$2=S81),'2023DATA2'!$D$17,"")</f>
        <v/>
      </c>
      <c r="T96" s="518" t="str">
        <f>IF(AND(_AC1="B-767-200",'2023'!$O$4="CA",'2023'!$O$2=T81),'2023DATA2'!$E$17,"")</f>
        <v/>
      </c>
      <c r="U96" s="518" t="str">
        <f>IF(AND(_AC1="B-767-200",'2023'!$O$4="CA",'2023'!$O$2=U81),'2023DATA2'!$F$17,"")</f>
        <v/>
      </c>
      <c r="V96" s="518" t="str">
        <f>IF(AND(_AC1="B-767-200",'2023'!$O$4="CA",'2023'!$O$2=V81),'2023DATA2'!$G$17,"")</f>
        <v/>
      </c>
      <c r="W96" s="518" t="str">
        <f>IF(AND(_AC1="B-767-200",'2023'!$O$4="CA",'2023'!$O$2=W81),'2023DATA2'!$H$17,"")</f>
        <v/>
      </c>
      <c r="X96" s="518" t="str">
        <f>IF(AND(_AC1="B-767-200",'2023'!$O$4="CA",'2023'!$O$2=X81),'2023DATA2'!$I$17,"")</f>
        <v/>
      </c>
      <c r="Y96" s="518" t="str">
        <f>IF(AND(_AC1="B-767-200",'2023'!$O$4="CA",'2023'!$O$2=Y81),'2023DATA2'!$J$17,"")</f>
        <v/>
      </c>
      <c r="Z96" s="518" t="str">
        <f>IF(AND(_AC1="B-767-200",'2023'!$O$4="CA",'2023'!$O$2=Z81),'2023DATA2'!$K$17,"")</f>
        <v/>
      </c>
      <c r="AA96" s="518" t="str">
        <f>IF(AND(_AC1="B-767-200",'2023'!$O$4="CA",'2023'!$O$2=AA81),'2023DATA2'!$L$17,"")</f>
        <v/>
      </c>
      <c r="AB96" s="518" t="str">
        <f>IF(AND(_AC1="B-767-200",'2023'!$O$4="CA",'2023'!$O$2=AB81),'2023DATA2'!$M$17,"")</f>
        <v/>
      </c>
      <c r="AC96" s="520" t="str">
        <f>IF(AND(_AC1="B-767-200",'2023'!$O$4="CA",'2023'!$O$2=AC81),'2023DATA2'!$N$17,"")</f>
        <v/>
      </c>
      <c r="AD96" s="940" t="s">
        <v>68</v>
      </c>
      <c r="AE96" s="13" t="s">
        <v>61</v>
      </c>
      <c r="AF96" s="518" t="str">
        <f>IF(AND(_AC2="B-767-200",'2023'!$O$4="CA",'2023'!$O$2=AF81),'2023DATA2'!$C$17,"")</f>
        <v/>
      </c>
      <c r="AG96" s="518" t="str">
        <f>IF(AND(_AC2="B-767-200",'2023'!$O$4="CA",'2023'!$O$2=AG81),'2023DATA2'!$D$17,"")</f>
        <v/>
      </c>
      <c r="AH96" s="518" t="str">
        <f>IF(AND(_AC2="B-767-200",'2023'!$O$4="CA",'2023'!$O$2=AH81),'2023DATA2'!$E$17,"")</f>
        <v/>
      </c>
      <c r="AI96" s="518" t="str">
        <f>IF(AND(_AC2="B-767-200",'2023'!$O$4="CA",'2023'!$O$2=AI81),'2023DATA2'!$F$17,"")</f>
        <v/>
      </c>
      <c r="AJ96" s="518" t="str">
        <f>IF(AND(_AC2="B-767-200",'2023'!$O$4="CA",'2023'!$O$2=AJ81),'2023DATA2'!$G$17,"")</f>
        <v/>
      </c>
      <c r="AK96" s="518" t="str">
        <f>IF(AND(_AC2="B-767-200",'2023'!$O$4="CA",'2023'!$O$2=AK81),'2023DATA2'!$H$17,"")</f>
        <v/>
      </c>
      <c r="AL96" s="518" t="str">
        <f>IF(AND(_AC2="B-767-200",'2023'!$O$4="CA",'2023'!$O$2=AL81),'2023DATA2'!$I$17,"")</f>
        <v/>
      </c>
      <c r="AM96" s="518" t="str">
        <f>IF(AND(_AC2="B-767-200",'2023'!$O$4="CA",'2023'!$O$2=AM81),'2023DATA2'!$J$17,"")</f>
        <v/>
      </c>
      <c r="AN96" s="518" t="str">
        <f>IF(AND(_AC2="B-767-200",'2023'!$O$4="CA",'2023'!$O$2=AN81),'2023DATA2'!$K$17,"")</f>
        <v/>
      </c>
      <c r="AO96" s="518" t="str">
        <f>IF(AND(_AC2="B-767-200",'2023'!$O$4="CA",'2023'!$O$2=AO81),'2023DATA2'!$L$17,"")</f>
        <v/>
      </c>
      <c r="AP96" s="518" t="str">
        <f>IF(AND(_AC2="B-767-200",'2023'!$O$4="CA",'2023'!$O$2=AP81),'2023DATA2'!$M$17,"")</f>
        <v/>
      </c>
      <c r="AQ96" s="520" t="str">
        <f>IF(AND(_AC2="B-767-200",'2023'!$O$4="CA",'2023'!$O$2=AQ81),'2023DATA2'!$N$17,"")</f>
        <v/>
      </c>
      <c r="AR96" s="940" t="s">
        <v>68</v>
      </c>
      <c r="AS96" s="13" t="s">
        <v>61</v>
      </c>
      <c r="AT96" s="518" t="str">
        <f>IF(AND(_AC3="B-767-200",'2023'!$O$4="CA",'2023'!$O$2=AT81),'2023DATA2'!$C$17,"")</f>
        <v/>
      </c>
      <c r="AU96" s="518" t="str">
        <f>IF(AND(_AC3="B-767-200",'2023'!$O$4="CA",'2023'!$O$2=AU81),'2023DATA2'!$D$17,"")</f>
        <v/>
      </c>
      <c r="AV96" s="518" t="str">
        <f>IF(AND(_AC3="B-767-200",'2023'!$O$4="CA",'2023'!$O$2=AV81),'2023DATA2'!$E$17,"")</f>
        <v/>
      </c>
      <c r="AW96" s="518" t="str">
        <f>IF(AND(_AC3="B-767-200",'2023'!$O$4="CA",'2023'!$O$2=AW81),'2023DATA2'!$F$17,"")</f>
        <v/>
      </c>
      <c r="AX96" s="518" t="str">
        <f>IF(AND(_AC3="B-767-200",'2023'!$O$4="CA",'2023'!$O$2=AX81),'2023DATA2'!$G$17,"")</f>
        <v/>
      </c>
      <c r="AY96" s="518" t="str">
        <f>IF(AND(_AC3="B-767-200",'2023'!$O$4="CA",'2023'!$O$2=AY81),'2023DATA2'!$H$17,"")</f>
        <v/>
      </c>
      <c r="AZ96" s="518" t="str">
        <f>IF(AND(_AC3="B-767-200",'2023'!$O$4="CA",'2023'!$O$2=AZ81),'2023DATA2'!$I$17,"")</f>
        <v/>
      </c>
      <c r="BA96" s="518" t="str">
        <f>IF(AND(_AC3="B-767-200",'2023'!$O$4="CA",'2023'!$O$2=BA81),'2023DATA2'!$J$17,"")</f>
        <v/>
      </c>
      <c r="BB96" s="518" t="str">
        <f>IF(AND(_AC3="B-767-200",'2023'!$O$4="CA",'2023'!$O$2=BB81),'2023DATA2'!$K$17,"")</f>
        <v/>
      </c>
      <c r="BC96" s="518" t="str">
        <f>IF(AND(_AC3="B-767-200",'2023'!$O$4="CA",'2023'!$O$2=BC81),'2023DATA2'!$L$17,"")</f>
        <v/>
      </c>
      <c r="BD96" s="518" t="str">
        <f>IF(AND(_AC3="B-767-200",'2023'!$O$4="CA",'2023'!$O$2=BD81),'2023DATA2'!$M$17,"")</f>
        <v/>
      </c>
      <c r="BE96" s="520" t="str">
        <f>IF(AND(_AC3="B-767-200",'2023'!$O$4="CA",'2023'!$O$2=BE81),'2023DATA2'!$N$17,"")</f>
        <v/>
      </c>
      <c r="BF96" s="940" t="s">
        <v>68</v>
      </c>
      <c r="BG96" s="13" t="s">
        <v>61</v>
      </c>
      <c r="BH96" s="518" t="str">
        <f>IF(AND(_AC4="B-767-200",'2023'!$O$4="CA",'2023'!$O$2=BH81),'2023DATA2'!$C$17,"")</f>
        <v/>
      </c>
      <c r="BI96" s="518" t="str">
        <f>IF(AND(_AC4="B-767-200",'2023'!$O$4="CA",'2023'!$O$2=BI81),'2023DATA2'!$D$17,"")</f>
        <v/>
      </c>
      <c r="BJ96" s="518" t="str">
        <f>IF(AND(_AC4="B-767-200",'2023'!$O$4="CA",'2023'!$O$2=BJ81),'2023DATA2'!$E$17,"")</f>
        <v/>
      </c>
      <c r="BK96" s="518" t="str">
        <f>IF(AND(_AC4="B-767-200",'2023'!$O$4="CA",'2023'!$O$2=BK81),'2023DATA2'!$F$17,"")</f>
        <v/>
      </c>
      <c r="BL96" s="518" t="str">
        <f>IF(AND(_AC4="B-767-200",'2023'!$O$4="CA",'2023'!$O$2=BL81),'2023DATA2'!$G$17,"")</f>
        <v/>
      </c>
      <c r="BM96" s="518" t="str">
        <f>IF(AND(_AC4="B-767-200",'2023'!$O$4="CA",'2023'!$O$2=BM81),'2023DATA2'!$H$17,"")</f>
        <v/>
      </c>
      <c r="BN96" s="518" t="str">
        <f>IF(AND(_AC4="B-767-200",'2023'!$O$4="CA",'2023'!$O$2=BN81),'2023DATA2'!$I$17,"")</f>
        <v/>
      </c>
      <c r="BO96" s="518" t="str">
        <f>IF(AND(_AC4="B-767-200",'2023'!$O$4="CA",'2023'!$O$2=BO81),'2023DATA2'!$J$17,"")</f>
        <v/>
      </c>
      <c r="BP96" s="518" t="str">
        <f>IF(AND(_AC4="B-767-200",'2023'!$O$4="CA",'2023'!$O$2=BP81),'2023DATA2'!$K$17,"")</f>
        <v/>
      </c>
      <c r="BQ96" s="518" t="str">
        <f>IF(AND(_AC4="B-767-200",'2023'!$O$4="CA",'2023'!$O$2=BQ81),'2023DATA2'!$L$17,"")</f>
        <v/>
      </c>
      <c r="BR96" s="518" t="str">
        <f>IF(AND(_AC4="B-767-200",'2023'!$O$4="CA",'2023'!$O$2=BR81),'2023DATA2'!$M$17,"")</f>
        <v/>
      </c>
      <c r="BS96" s="520" t="str">
        <f>IF(AND(_AC4="B-767-200",'2023'!$O$4="CA",'2023'!$O$2=BS81),'2023DATA2'!$N$17,"")</f>
        <v/>
      </c>
      <c r="BT96" s="940" t="s">
        <v>68</v>
      </c>
      <c r="BU96" s="13" t="s">
        <v>61</v>
      </c>
      <c r="BV96" s="518" t="str">
        <f>IF(AND(_AC5="B-767-200",'2023'!$O$4="CA",'2023'!$O$2=BV81),'2023DATA2'!$C$17,"")</f>
        <v/>
      </c>
      <c r="BW96" s="518" t="str">
        <f>IF(AND(_AC5="B-767-200",'2023'!$O$4="CA",'2023'!$O$2=BW81),'2023DATA2'!$D$17,"")</f>
        <v/>
      </c>
      <c r="BX96" s="518" t="str">
        <f>IF(AND(_AC5="B-767-200",'2023'!$O$4="CA",'2023'!$O$2=BX81),'2023DATA2'!$E$17,"")</f>
        <v/>
      </c>
      <c r="BY96" s="518" t="str">
        <f>IF(AND(_AC5="B-767-200",'2023'!$O$4="CA",'2023'!$O$2=BY81),'2023DATA2'!$F$17,"")</f>
        <v/>
      </c>
      <c r="BZ96" s="518" t="str">
        <f>IF(AND(_AC5="B-767-200",'2023'!$O$4="CA",'2023'!$O$2=BZ81),'2023DATA2'!$G$17,"")</f>
        <v/>
      </c>
      <c r="CA96" s="518" t="str">
        <f>IF(AND(_AC5="B-767-200",'2023'!$O$4="CA",'2023'!$O$2=CA81),'2023DATA2'!$H$17,"")</f>
        <v/>
      </c>
      <c r="CB96" s="518" t="str">
        <f>IF(AND(_AC5="B-767-200",'2023'!$O$4="CA",'2023'!$O$2=CB81),'2023DATA2'!$I$17,"")</f>
        <v/>
      </c>
      <c r="CC96" s="518" t="str">
        <f>IF(AND(_AC5="B-767-200",'2023'!$O$4="CA",'2023'!$O$2=CC81),'2023DATA2'!$J$17,"")</f>
        <v/>
      </c>
      <c r="CD96" s="518" t="str">
        <f>IF(AND(_AC5="B-767-200",'2023'!$O$4="CA",'2023'!$O$2=CD81),'2023DATA2'!$K$17,"")</f>
        <v/>
      </c>
      <c r="CE96" s="518" t="str">
        <f>IF(AND(_AC5="B-767-200",'2023'!$O$4="CA",'2023'!$O$2=CE81),'2023DATA2'!$L$17,"")</f>
        <v/>
      </c>
      <c r="CF96" s="518" t="str">
        <f>IF(AND(_AC5="B-767-200",'2023'!$O$4="CA",'2023'!$O$2=CF81),'2023DATA2'!$M$17,"")</f>
        <v/>
      </c>
      <c r="CG96" s="520" t="str">
        <f>IF(AND(_AC5="B-767-200",'2023'!$O$4="CA",'2023'!$O$2=CG81),'2023DATA2'!$N$17,"")</f>
        <v/>
      </c>
      <c r="CH96" s="940" t="s">
        <v>68</v>
      </c>
      <c r="CI96" s="13" t="s">
        <v>61</v>
      </c>
      <c r="CJ96" s="518" t="str">
        <f>IF(AND(_AC6="B-767-200",'2023'!$O$4="CA",'2023'!$O$2=CJ81),'2023DATA2'!$C$17,"")</f>
        <v/>
      </c>
      <c r="CK96" s="518" t="str">
        <f>IF(AND(_AC6="B-767-200",'2023'!$O$4="CA",'2023'!$O$2=CK81),'2023DATA2'!$D$17,"")</f>
        <v/>
      </c>
      <c r="CL96" s="518" t="str">
        <f>IF(AND(_AC6="B-767-200",'2023'!$O$4="CA",'2023'!$O$2=CL81),'2023DATA2'!$E$17,"")</f>
        <v/>
      </c>
      <c r="CM96" s="518" t="str">
        <f>IF(AND(_AC6="B-767-200",'2023'!$O$4="CA",'2023'!$O$2=CM81),'2023DATA2'!$F$17,"")</f>
        <v/>
      </c>
      <c r="CN96" s="518" t="str">
        <f>IF(AND(_AC6="B-767-200",'2023'!$O$4="CA",'2023'!$O$2=CN81),'2023DATA2'!$G$17,"")</f>
        <v/>
      </c>
      <c r="CO96" s="518" t="str">
        <f>IF(AND(_AC6="B-767-200",'2023'!$O$4="CA",'2023'!$O$2=CO81),'2023DATA2'!$H$17,"")</f>
        <v/>
      </c>
      <c r="CP96" s="518" t="str">
        <f>IF(AND(_AC6="B-767-200",'2023'!$O$4="CA",'2023'!$O$2=CP81),'2023DATA2'!$I$17,"")</f>
        <v/>
      </c>
      <c r="CQ96" s="518" t="str">
        <f>IF(AND(_AC6="B-767-200",'2023'!$O$4="CA",'2023'!$O$2=CQ81),'2023DATA2'!$J$17,"")</f>
        <v/>
      </c>
      <c r="CR96" s="518" t="str">
        <f>IF(AND(_AC6="B-767-200",'2023'!$O$4="CA",'2023'!$O$2=CR81),'2023DATA2'!$K$17,"")</f>
        <v/>
      </c>
      <c r="CS96" s="518" t="str">
        <f>IF(AND(_AC6="B-767-200",'2023'!$O$4="CA",'2023'!$O$2=CS81),'2023DATA2'!$L$17,"")</f>
        <v/>
      </c>
      <c r="CT96" s="518" t="str">
        <f>IF(AND(_AC6="B-767-200",'2023'!$O$4="CA",'2023'!$O$2=CT81),'2023DATA2'!$M$17,"")</f>
        <v/>
      </c>
      <c r="CU96" s="520" t="str">
        <f>IF(AND(_AC6="B-767-200",'2023'!$O$4="CA",'2023'!$O$2=CU81),'2023DATA2'!$N$17,"")</f>
        <v/>
      </c>
    </row>
    <row r="97" spans="16:99" x14ac:dyDescent="0.25">
      <c r="P97" s="940"/>
      <c r="Q97" s="13" t="s">
        <v>62</v>
      </c>
      <c r="R97" s="518" t="str">
        <f>IF(AND(_AC1="B-767-200",'2023'!$O$4="FO",'2023'!$O$2=R81),'2023DATA2'!$C$18,"")</f>
        <v/>
      </c>
      <c r="S97" s="518" t="str">
        <f>IF(AND(_AC1="B-767-200",'2023'!$O$4="FO",'2023'!$O$2=S81),'2023DATA2'!$D$18,"")</f>
        <v/>
      </c>
      <c r="T97" s="518" t="str">
        <f>IF(AND(_AC1="B-767-200",'2023'!$O$4="FO",'2023'!$O$2=T81),'2023DATA2'!$E$18,"")</f>
        <v/>
      </c>
      <c r="U97" s="518" t="str">
        <f>IF(AND(_AC1="B-767-200",'2023'!$O$4="FO",'2023'!$O$2=U81),'2023DATA2'!$F$18,"")</f>
        <v/>
      </c>
      <c r="V97" s="518" t="str">
        <f>IF(AND(_AC1="B-767-200",'2023'!$O$4="FO",'2023'!$O$2=V81),'2023DATA2'!$G$18,"")</f>
        <v/>
      </c>
      <c r="W97" s="518" t="str">
        <f>IF(AND(_AC1="B-767-200",'2023'!$O$4="FO",'2023'!$O$2=W81),'2023DATA2'!$H$18,"")</f>
        <v/>
      </c>
      <c r="X97" s="518" t="str">
        <f>IF(AND(_AC1="B-767-200",'2023'!$O$4="FO",'2023'!$O$2=X81),'2023DATA2'!$I$18,"")</f>
        <v/>
      </c>
      <c r="Y97" s="518" t="str">
        <f>IF(AND(_AC1="B-767-200",'2023'!$O$4="FO",'2023'!$O$2=Y81),'2023DATA2'!$J$18,"")</f>
        <v/>
      </c>
      <c r="Z97" s="518" t="str">
        <f>IF(AND(_AC1="B-767-200",'2023'!$O$4="FO",'2023'!$O$2=Z81),'2023DATA2'!$K$18,"")</f>
        <v/>
      </c>
      <c r="AA97" s="518" t="str">
        <f>IF(AND(_AC1="B-767-200",'2023'!$O$4="FO",'2023'!$O$2=AA81),'2023DATA2'!$L$18,"")</f>
        <v/>
      </c>
      <c r="AB97" s="518" t="str">
        <f>IF(AND(_AC1="B-767-200",'2023'!$O$4="FO",'2023'!$O$2=AB81),'2023DATA2'!$M$18,"")</f>
        <v/>
      </c>
      <c r="AC97" s="520" t="str">
        <f>IF(AND(_AC1="B-767-200",'2023'!$O$4="FO",'2023'!$O$2=AC81),'2023DATA2'!$N$18,"")</f>
        <v/>
      </c>
      <c r="AD97" s="940"/>
      <c r="AE97" s="13" t="s">
        <v>62</v>
      </c>
      <c r="AF97" s="518" t="str">
        <f>IF(AND(_AC2="B-767-200",'2023'!$O$4="FO",'2023'!$O$2=AF81),'2023DATA2'!$C$18,"")</f>
        <v/>
      </c>
      <c r="AG97" s="518" t="str">
        <f>IF(AND(_AC2="B-767-200",'2023'!$O$4="FO",'2023'!$O$2=AG81),'2023DATA2'!$D$18,"")</f>
        <v/>
      </c>
      <c r="AH97" s="518" t="str">
        <f>IF(AND(_AC2="B-767-200",'2023'!$O$4="FO",'2023'!$O$2=AH81),'2023DATA2'!$E$18,"")</f>
        <v/>
      </c>
      <c r="AI97" s="518" t="str">
        <f>IF(AND(_AC2="B-767-200",'2023'!$O$4="FO",'2023'!$O$2=AI81),'2023DATA2'!$F$18,"")</f>
        <v/>
      </c>
      <c r="AJ97" s="518" t="str">
        <f>IF(AND(_AC2="B-767-200",'2023'!$O$4="FO",'2023'!$O$2=AJ81),'2023DATA2'!$G$18,"")</f>
        <v/>
      </c>
      <c r="AK97" s="518" t="str">
        <f>IF(AND(_AC2="B-767-200",'2023'!$O$4="FO",'2023'!$O$2=AK81),'2023DATA2'!$H$18,"")</f>
        <v/>
      </c>
      <c r="AL97" s="518" t="str">
        <f>IF(AND(_AC2="B-767-200",'2023'!$O$4="FO",'2023'!$O$2=AL81),'2023DATA2'!$I$18,"")</f>
        <v/>
      </c>
      <c r="AM97" s="518" t="str">
        <f>IF(AND(_AC2="B-767-200",'2023'!$O$4="FO",'2023'!$O$2=AM81),'2023DATA2'!$J$18,"")</f>
        <v/>
      </c>
      <c r="AN97" s="518" t="str">
        <f>IF(AND(_AC2="B-767-200",'2023'!$O$4="FO",'2023'!$O$2=AN81),'2023DATA2'!$K$18,"")</f>
        <v/>
      </c>
      <c r="AO97" s="518" t="str">
        <f>IF(AND(_AC2="B-767-200",'2023'!$O$4="FO",'2023'!$O$2=AO81),'2023DATA2'!$L$18,"")</f>
        <v/>
      </c>
      <c r="AP97" s="518" t="str">
        <f>IF(AND(_AC2="B-767-200",'2023'!$O$4="FO",'2023'!$O$2=AP81),'2023DATA2'!$M$18,"")</f>
        <v/>
      </c>
      <c r="AQ97" s="520" t="str">
        <f>IF(AND(_AC2="B-767-200",'2023'!$O$4="FO",'2023'!$O$2=AQ81),'2023DATA2'!$N$18,"")</f>
        <v/>
      </c>
      <c r="AR97" s="940"/>
      <c r="AS97" s="13" t="s">
        <v>62</v>
      </c>
      <c r="AT97" s="518" t="str">
        <f>IF(AND(_AC3="B-767-200",'2023'!$O$4="FO",'2023'!$O$2=AT81),'2023DATA2'!$C$18,"")</f>
        <v/>
      </c>
      <c r="AU97" s="518" t="str">
        <f>IF(AND(_AC3="B-767-200",'2023'!$O$4="FO",'2023'!$O$2=AU81),'2023DATA2'!$D$18,"")</f>
        <v/>
      </c>
      <c r="AV97" s="518" t="str">
        <f>IF(AND(_AC3="B-767-200",'2023'!$O$4="FO",'2023'!$O$2=AV81),'2023DATA2'!$E$18,"")</f>
        <v/>
      </c>
      <c r="AW97" s="518" t="str">
        <f>IF(AND(_AC3="B-767-200",'2023'!$O$4="FO",'2023'!$O$2=AW81),'2023DATA2'!$F$18,"")</f>
        <v/>
      </c>
      <c r="AX97" s="518" t="str">
        <f>IF(AND(_AC3="B-767-200",'2023'!$O$4="FO",'2023'!$O$2=AX81),'2023DATA2'!$G$18,"")</f>
        <v/>
      </c>
      <c r="AY97" s="518" t="str">
        <f>IF(AND(_AC3="B-767-200",'2023'!$O$4="FO",'2023'!$O$2=AY81),'2023DATA2'!$H$18,"")</f>
        <v/>
      </c>
      <c r="AZ97" s="518" t="str">
        <f>IF(AND(_AC3="B-767-200",'2023'!$O$4="FO",'2023'!$O$2=AZ81),'2023DATA2'!$I$18,"")</f>
        <v/>
      </c>
      <c r="BA97" s="518" t="str">
        <f>IF(AND(_AC3="B-767-200",'2023'!$O$4="FO",'2023'!$O$2=BA81),'2023DATA2'!$J$18,"")</f>
        <v/>
      </c>
      <c r="BB97" s="518" t="str">
        <f>IF(AND(_AC3="B-767-200",'2023'!$O$4="FO",'2023'!$O$2=BB81),'2023DATA2'!$K$18,"")</f>
        <v/>
      </c>
      <c r="BC97" s="518" t="str">
        <f>IF(AND(_AC3="B-767-200",'2023'!$O$4="FO",'2023'!$O$2=BC81),'2023DATA2'!$L$18,"")</f>
        <v/>
      </c>
      <c r="BD97" s="518" t="str">
        <f>IF(AND(_AC3="B-767-200",'2023'!$O$4="FO",'2023'!$O$2=BD81),'2023DATA2'!$M$18,"")</f>
        <v/>
      </c>
      <c r="BE97" s="520" t="str">
        <f>IF(AND(_AC3="B-767-200",'2023'!$O$4="FO",'2023'!$O$2=BE81),'2023DATA2'!$N$18,"")</f>
        <v/>
      </c>
      <c r="BF97" s="940"/>
      <c r="BG97" s="13" t="s">
        <v>62</v>
      </c>
      <c r="BH97" s="518" t="str">
        <f>IF(AND(_AC4="B-767-200",'2023'!$O$4="FO",'2023'!$O$2=BH81),'2023DATA2'!$C$18,"")</f>
        <v/>
      </c>
      <c r="BI97" s="518" t="str">
        <f>IF(AND(_AC4="B-767-200",'2023'!$O$4="FO",'2023'!$O$2=BI81),'2023DATA2'!$D$18,"")</f>
        <v/>
      </c>
      <c r="BJ97" s="518" t="str">
        <f>IF(AND(_AC4="B-767-200",'2023'!$O$4="FO",'2023'!$O$2=BJ81),'2023DATA2'!$E$18,"")</f>
        <v/>
      </c>
      <c r="BK97" s="518" t="str">
        <f>IF(AND(_AC4="B-767-200",'2023'!$O$4="FO",'2023'!$O$2=BK81),'2023DATA2'!$F$18,"")</f>
        <v/>
      </c>
      <c r="BL97" s="518" t="str">
        <f>IF(AND(_AC4="B-767-200",'2023'!$O$4="FO",'2023'!$O$2=BL81),'2023DATA2'!$G$18,"")</f>
        <v/>
      </c>
      <c r="BM97" s="518" t="str">
        <f>IF(AND(_AC4="B-767-200",'2023'!$O$4="FO",'2023'!$O$2=BM81),'2023DATA2'!$H$18,"")</f>
        <v/>
      </c>
      <c r="BN97" s="518" t="str">
        <f>IF(AND(_AC4="B-767-200",'2023'!$O$4="FO",'2023'!$O$2=BN81),'2023DATA2'!$I$18,"")</f>
        <v/>
      </c>
      <c r="BO97" s="518" t="str">
        <f>IF(AND(_AC4="B-767-200",'2023'!$O$4="FO",'2023'!$O$2=BO81),'2023DATA2'!$J$18,"")</f>
        <v/>
      </c>
      <c r="BP97" s="518" t="str">
        <f>IF(AND(_AC4="B-767-200",'2023'!$O$4="FO",'2023'!$O$2=BP81),'2023DATA2'!$K$18,"")</f>
        <v/>
      </c>
      <c r="BQ97" s="518" t="str">
        <f>IF(AND(_AC4="B-767-200",'2023'!$O$4="FO",'2023'!$O$2=BQ81),'2023DATA2'!$L$18,"")</f>
        <v/>
      </c>
      <c r="BR97" s="518" t="str">
        <f>IF(AND(_AC4="B-767-200",'2023'!$O$4="FO",'2023'!$O$2=BR81),'2023DATA2'!$M$18,"")</f>
        <v/>
      </c>
      <c r="BS97" s="520" t="str">
        <f>IF(AND(_AC4="B-767-200",'2023'!$O$4="FO",'2023'!$O$2=BS81),'2023DATA2'!$N$18,"")</f>
        <v/>
      </c>
      <c r="BT97" s="940"/>
      <c r="BU97" s="13" t="s">
        <v>62</v>
      </c>
      <c r="BV97" s="518" t="str">
        <f>IF(AND(_AC5="B-767-200",'2023'!$O$4="FO",'2023'!$O$2=BV81),'2023DATA2'!$C$18,"")</f>
        <v/>
      </c>
      <c r="BW97" s="518" t="str">
        <f>IF(AND(_AC5="B-767-200",'2023'!$O$4="FO",'2023'!$O$2=BW81),'2023DATA2'!$D$18,"")</f>
        <v/>
      </c>
      <c r="BX97" s="518" t="str">
        <f>IF(AND(_AC5="B-767-200",'2023'!$O$4="FO",'2023'!$O$2=BX81),'2023DATA2'!$E$18,"")</f>
        <v/>
      </c>
      <c r="BY97" s="518" t="str">
        <f>IF(AND(_AC5="B-767-200",'2023'!$O$4="FO",'2023'!$O$2=BY81),'2023DATA2'!$F$18,"")</f>
        <v/>
      </c>
      <c r="BZ97" s="518" t="str">
        <f>IF(AND(_AC5="B-767-200",'2023'!$O$4="FO",'2023'!$O$2=BZ81),'2023DATA2'!$G$18,"")</f>
        <v/>
      </c>
      <c r="CA97" s="518" t="str">
        <f>IF(AND(_AC5="B-767-200",'2023'!$O$4="FO",'2023'!$O$2=CA81),'2023DATA2'!$H$18,"")</f>
        <v/>
      </c>
      <c r="CB97" s="518" t="str">
        <f>IF(AND(_AC5="B-767-200",'2023'!$O$4="FO",'2023'!$O$2=CB81),'2023DATA2'!$I$18,"")</f>
        <v/>
      </c>
      <c r="CC97" s="518" t="str">
        <f>IF(AND(_AC5="B-767-200",'2023'!$O$4="FO",'2023'!$O$2=CC81),'2023DATA2'!$J$18,"")</f>
        <v/>
      </c>
      <c r="CD97" s="518" t="str">
        <f>IF(AND(_AC5="B-767-200",'2023'!$O$4="FO",'2023'!$O$2=CD81),'2023DATA2'!$K$18,"")</f>
        <v/>
      </c>
      <c r="CE97" s="518" t="str">
        <f>IF(AND(_AC5="B-767-200",'2023'!$O$4="FO",'2023'!$O$2=CE81),'2023DATA2'!$L$18,"")</f>
        <v/>
      </c>
      <c r="CF97" s="518" t="str">
        <f>IF(AND(_AC5="B-767-200",'2023'!$O$4="FO",'2023'!$O$2=CF81),'2023DATA2'!$M$18,"")</f>
        <v/>
      </c>
      <c r="CG97" s="520" t="str">
        <f>IF(AND(_AC5="B-767-200",'2023'!$O$4="FO",'2023'!$O$2=CG81),'2023DATA2'!$N$18,"")</f>
        <v/>
      </c>
      <c r="CH97" s="940"/>
      <c r="CI97" s="13" t="s">
        <v>62</v>
      </c>
      <c r="CJ97" s="518" t="str">
        <f>IF(AND(_AC6="B-767-200",'2023'!$O$4="FO",'2023'!$O$2=CJ81),'2023DATA2'!$C$18,"")</f>
        <v/>
      </c>
      <c r="CK97" s="518" t="str">
        <f>IF(AND(_AC6="B-767-200",'2023'!$O$4="FO",'2023'!$O$2=CK81),'2023DATA2'!$D$18,"")</f>
        <v/>
      </c>
      <c r="CL97" s="518" t="str">
        <f>IF(AND(_AC6="B-767-200",'2023'!$O$4="FO",'2023'!$O$2=CL81),'2023DATA2'!$E$18,"")</f>
        <v/>
      </c>
      <c r="CM97" s="518" t="str">
        <f>IF(AND(_AC6="B-767-200",'2023'!$O$4="FO",'2023'!$O$2=CM81),'2023DATA2'!$F$18,"")</f>
        <v/>
      </c>
      <c r="CN97" s="518" t="str">
        <f>IF(AND(_AC6="B-767-200",'2023'!$O$4="FO",'2023'!$O$2=CN81),'2023DATA2'!$G$18,"")</f>
        <v/>
      </c>
      <c r="CO97" s="518" t="str">
        <f>IF(AND(_AC6="B-767-200",'2023'!$O$4="FO",'2023'!$O$2=CO81),'2023DATA2'!$H$18,"")</f>
        <v/>
      </c>
      <c r="CP97" s="518" t="str">
        <f>IF(AND(_AC6="B-767-200",'2023'!$O$4="FO",'2023'!$O$2=CP81),'2023DATA2'!$I$18,"")</f>
        <v/>
      </c>
      <c r="CQ97" s="518" t="str">
        <f>IF(AND(_AC6="B-767-200",'2023'!$O$4="FO",'2023'!$O$2=CQ81),'2023DATA2'!$J$18,"")</f>
        <v/>
      </c>
      <c r="CR97" s="518" t="str">
        <f>IF(AND(_AC6="B-767-200",'2023'!$O$4="FO",'2023'!$O$2=CR81),'2023DATA2'!$K$18,"")</f>
        <v/>
      </c>
      <c r="CS97" s="518" t="str">
        <f>IF(AND(_AC6="B-767-200",'2023'!$O$4="FO",'2023'!$O$2=CS81),'2023DATA2'!$L$18,"")</f>
        <v/>
      </c>
      <c r="CT97" s="518" t="str">
        <f>IF(AND(_AC6="B-767-200",'2023'!$O$4="FO",'2023'!$O$2=CT81),'2023DATA2'!$M$18,"")</f>
        <v/>
      </c>
      <c r="CU97" s="520" t="str">
        <f>IF(AND(_AC6="B-767-200",'2023'!$O$4="FO",'2023'!$O$2=CU81),'2023DATA2'!$N$18,"")</f>
        <v/>
      </c>
    </row>
    <row r="98" spans="16:99" x14ac:dyDescent="0.25">
      <c r="P98" s="940" t="s">
        <v>45</v>
      </c>
      <c r="Q98" s="13" t="s">
        <v>61</v>
      </c>
      <c r="R98" s="518" t="str">
        <f>IF(AND(_AC1="B-757",'2023'!$O$4="CA",'2023'!$O$2=R81),'2023DATA2'!$C$19,"")</f>
        <v/>
      </c>
      <c r="S98" s="518" t="str">
        <f>IF(AND(_AC1="B-757",'2023'!$O$4="CA",'2023'!$O$2=S81),'2023DATA2'!$D$19,"")</f>
        <v/>
      </c>
      <c r="T98" s="518" t="str">
        <f>IF(AND(_AC1="B-757",'2023'!$O$4="CA",'2023'!$O$2=T81),'2023DATA2'!$E$19,"")</f>
        <v/>
      </c>
      <c r="U98" s="518" t="str">
        <f>IF(AND(_AC1="B-757",'2023'!$O$4="CA",'2023'!$O$2=U81),'2023DATA2'!$F$19,"")</f>
        <v/>
      </c>
      <c r="V98" s="518" t="str">
        <f>IF(AND(_AC1="B-757",'2023'!$O$4="CA",'2023'!$O$2=V81),'2023DATA2'!$G$19,"")</f>
        <v/>
      </c>
      <c r="W98" s="518" t="str">
        <f>IF(AND(_AC1="B-757",'2023'!$O$4="CA",'2023'!$O$2=W81),'2023DATA2'!$H$19,"")</f>
        <v/>
      </c>
      <c r="X98" s="518" t="str">
        <f>IF(AND(_AC1="B-757",'2023'!$O$4="CA",'2023'!$O$2=X81),'2023DATA2'!$I$19,"")</f>
        <v/>
      </c>
      <c r="Y98" s="518" t="str">
        <f>IF(AND(_AC1="B-757",'2023'!$O$4="CA",'2023'!$O$2=Y81),'2023DATA2'!$J$19,"")</f>
        <v/>
      </c>
      <c r="Z98" s="518" t="str">
        <f>IF(AND(_AC1="B-757",'2023'!$O$4="CA",'2023'!$O$2=Z81),'2023DATA2'!$K$19,"")</f>
        <v/>
      </c>
      <c r="AA98" s="518" t="str">
        <f>IF(AND(_AC1="B-757",'2023'!$O$4="CA",'2023'!$O$2=AA81),'2023DATA2'!$L$19,"")</f>
        <v/>
      </c>
      <c r="AB98" s="518" t="str">
        <f>IF(AND(_AC1="B-757",'2023'!$O$4="CA",'2023'!$O$2=AB81),'2023DATA2'!$M$19,"")</f>
        <v/>
      </c>
      <c r="AC98" s="520" t="str">
        <f>IF(AND(_AC1="B-757",'2023'!$O$4="CA",'2023'!$O$2=AC81),'2023DATA2'!$N$19,"")</f>
        <v/>
      </c>
      <c r="AD98" s="940" t="s">
        <v>45</v>
      </c>
      <c r="AE98" s="13" t="s">
        <v>61</v>
      </c>
      <c r="AF98" s="518" t="str">
        <f>IF(AND(_AC2="B-757",'2023'!$O$4="CA",'2023'!$O$2=AF81),'2023DATA2'!$C$19,"")</f>
        <v/>
      </c>
      <c r="AG98" s="518" t="str">
        <f>IF(AND(_AC2="B-757",'2023'!$O$4="CA",'2023'!$O$2=AG81),'2023DATA2'!$D$19,"")</f>
        <v/>
      </c>
      <c r="AH98" s="518" t="str">
        <f>IF(AND(_AC2="B-757",'2023'!$O$4="CA",'2023'!$O$2=AH81),'2023DATA2'!$E$19,"")</f>
        <v/>
      </c>
      <c r="AI98" s="518" t="str">
        <f>IF(AND(_AC2="B-757",'2023'!$O$4="CA",'2023'!$O$2=AI81),'2023DATA2'!$F$19,"")</f>
        <v/>
      </c>
      <c r="AJ98" s="518" t="str">
        <f>IF(AND(_AC2="B-757",'2023'!$O$4="CA",'2023'!$O$2=AJ81),'2023DATA2'!$G$19,"")</f>
        <v/>
      </c>
      <c r="AK98" s="518" t="str">
        <f>IF(AND(_AC2="B-757",'2023'!$O$4="CA",'2023'!$O$2=AK81),'2023DATA2'!$H$19,"")</f>
        <v/>
      </c>
      <c r="AL98" s="518" t="str">
        <f>IF(AND(_AC2="B-757",'2023'!$O$4="CA",'2023'!$O$2=AL81),'2023DATA2'!$I$19,"")</f>
        <v/>
      </c>
      <c r="AM98" s="518" t="str">
        <f>IF(AND(_AC2="B-757",'2023'!$O$4="CA",'2023'!$O$2=AM81),'2023DATA2'!$J$19,"")</f>
        <v/>
      </c>
      <c r="AN98" s="518" t="str">
        <f>IF(AND(_AC2="B-757",'2023'!$O$4="CA",'2023'!$O$2=AN81),'2023DATA2'!$K$19,"")</f>
        <v/>
      </c>
      <c r="AO98" s="518" t="str">
        <f>IF(AND(_AC2="B-757",'2023'!$O$4="CA",'2023'!$O$2=AO81),'2023DATA2'!$L$19,"")</f>
        <v/>
      </c>
      <c r="AP98" s="518" t="str">
        <f>IF(AND(_AC2="B-757",'2023'!$O$4="CA",'2023'!$O$2=AP81),'2023DATA2'!$M$19,"")</f>
        <v/>
      </c>
      <c r="AQ98" s="520" t="str">
        <f>IF(AND(_AC2="B-757",'2023'!$O$4="CA",'2023'!$O$2=AQ81),'2023DATA2'!$N$19,"")</f>
        <v/>
      </c>
      <c r="AR98" s="940" t="s">
        <v>45</v>
      </c>
      <c r="AS98" s="13" t="s">
        <v>61</v>
      </c>
      <c r="AT98" s="518" t="str">
        <f>IF(AND(_AC3="B-757",'2023'!$O$4="CA",'2023'!$O$2=AT81),'2023DATA2'!$C$19,"")</f>
        <v/>
      </c>
      <c r="AU98" s="518" t="str">
        <f>IF(AND(_AC3="B-757",'2023'!$O$4="CA",'2023'!$O$2=AU81),'2023DATA2'!$D$19,"")</f>
        <v/>
      </c>
      <c r="AV98" s="518" t="str">
        <f>IF(AND(_AC3="B-757",'2023'!$O$4="CA",'2023'!$O$2=AV81),'2023DATA2'!$E$19,"")</f>
        <v/>
      </c>
      <c r="AW98" s="518" t="str">
        <f>IF(AND(_AC3="B-757",'2023'!$O$4="CA",'2023'!$O$2=AW81),'2023DATA2'!$F$19,"")</f>
        <v/>
      </c>
      <c r="AX98" s="518" t="str">
        <f>IF(AND(_AC3="B-757",'2023'!$O$4="CA",'2023'!$O$2=AX81),'2023DATA2'!$G$19,"")</f>
        <v/>
      </c>
      <c r="AY98" s="518" t="str">
        <f>IF(AND(_AC3="B-757",'2023'!$O$4="CA",'2023'!$O$2=AY81),'2023DATA2'!$H$19,"")</f>
        <v/>
      </c>
      <c r="AZ98" s="518" t="str">
        <f>IF(AND(_AC3="B-757",'2023'!$O$4="CA",'2023'!$O$2=AZ81),'2023DATA2'!$I$19,"")</f>
        <v/>
      </c>
      <c r="BA98" s="518" t="str">
        <f>IF(AND(_AC3="B-757",'2023'!$O$4="CA",'2023'!$O$2=BA81),'2023DATA2'!$J$19,"")</f>
        <v/>
      </c>
      <c r="BB98" s="518" t="str">
        <f>IF(AND(_AC3="B-757",'2023'!$O$4="CA",'2023'!$O$2=BB81),'2023DATA2'!$K$19,"")</f>
        <v/>
      </c>
      <c r="BC98" s="518" t="str">
        <f>IF(AND(_AC3="B-757",'2023'!$O$4="CA",'2023'!$O$2=BC81),'2023DATA2'!$L$19,"")</f>
        <v/>
      </c>
      <c r="BD98" s="518" t="str">
        <f>IF(AND(_AC3="B-757",'2023'!$O$4="CA",'2023'!$O$2=BD81),'2023DATA2'!$M$19,"")</f>
        <v/>
      </c>
      <c r="BE98" s="520" t="str">
        <f>IF(AND(_AC3="B-757",'2023'!$O$4="CA",'2023'!$O$2=BE81),'2023DATA2'!$N$19,"")</f>
        <v/>
      </c>
      <c r="BF98" s="940" t="s">
        <v>45</v>
      </c>
      <c r="BG98" s="13" t="s">
        <v>61</v>
      </c>
      <c r="BH98" s="518" t="str">
        <f>IF(AND(_AC4="B-757",'2023'!$O$4="CA",'2023'!$O$2=BH81),'2023DATA2'!$C$19,"")</f>
        <v/>
      </c>
      <c r="BI98" s="518" t="str">
        <f>IF(AND(_AC4="B-757",'2023'!$O$4="CA",'2023'!$O$2=BI81),'2023DATA2'!$D$19,"")</f>
        <v/>
      </c>
      <c r="BJ98" s="518" t="str">
        <f>IF(AND(_AC4="B-757",'2023'!$O$4="CA",'2023'!$O$2=BJ81),'2023DATA2'!$E$19,"")</f>
        <v/>
      </c>
      <c r="BK98" s="518" t="str">
        <f>IF(AND(_AC4="B-757",'2023'!$O$4="CA",'2023'!$O$2=BK81),'2023DATA2'!$F$19,"")</f>
        <v/>
      </c>
      <c r="BL98" s="518" t="str">
        <f>IF(AND(_AC4="B-757",'2023'!$O$4="CA",'2023'!$O$2=BL81),'2023DATA2'!$G$19,"")</f>
        <v/>
      </c>
      <c r="BM98" s="518" t="str">
        <f>IF(AND(_AC4="B-757",'2023'!$O$4="CA",'2023'!$O$2=BM81),'2023DATA2'!$H$19,"")</f>
        <v/>
      </c>
      <c r="BN98" s="518" t="str">
        <f>IF(AND(_AC4="B-757",'2023'!$O$4="CA",'2023'!$O$2=BN81),'2023DATA2'!$I$19,"")</f>
        <v/>
      </c>
      <c r="BO98" s="518" t="str">
        <f>IF(AND(_AC4="B-757",'2023'!$O$4="CA",'2023'!$O$2=BO81),'2023DATA2'!$J$19,"")</f>
        <v/>
      </c>
      <c r="BP98" s="518" t="str">
        <f>IF(AND(_AC4="B-757",'2023'!$O$4="CA",'2023'!$O$2=BP81),'2023DATA2'!$K$19,"")</f>
        <v/>
      </c>
      <c r="BQ98" s="518" t="str">
        <f>IF(AND(_AC4="B-757",'2023'!$O$4="CA",'2023'!$O$2=BQ81),'2023DATA2'!$L$19,"")</f>
        <v/>
      </c>
      <c r="BR98" s="518" t="str">
        <f>IF(AND(_AC4="B-757",'2023'!$O$4="CA",'2023'!$O$2=BR81),'2023DATA2'!$M$19,"")</f>
        <v/>
      </c>
      <c r="BS98" s="520" t="str">
        <f>IF(AND(_AC4="B-757",'2023'!$O$4="CA",'2023'!$O$2=BS81),'2023DATA2'!$N$19,"")</f>
        <v/>
      </c>
      <c r="BT98" s="940" t="s">
        <v>45</v>
      </c>
      <c r="BU98" s="13" t="s">
        <v>61</v>
      </c>
      <c r="BV98" s="518" t="str">
        <f>IF(AND(_AC5="B-757",'2023'!$O$4="CA",'2023'!$O$2=BV81),'2023DATA2'!$C$19,"")</f>
        <v/>
      </c>
      <c r="BW98" s="518" t="str">
        <f>IF(AND(_AC5="B-757",'2023'!$O$4="CA",'2023'!$O$2=BW81),'2023DATA2'!$D$19,"")</f>
        <v/>
      </c>
      <c r="BX98" s="518" t="str">
        <f>IF(AND(_AC5="B-757",'2023'!$O$4="CA",'2023'!$O$2=BX81),'2023DATA2'!$E$19,"")</f>
        <v/>
      </c>
      <c r="BY98" s="518" t="str">
        <f>IF(AND(_AC5="B-757",'2023'!$O$4="CA",'2023'!$O$2=BY81),'2023DATA2'!$F$19,"")</f>
        <v/>
      </c>
      <c r="BZ98" s="518" t="str">
        <f>IF(AND(_AC5="B-757",'2023'!$O$4="CA",'2023'!$O$2=BZ81),'2023DATA2'!$G$19,"")</f>
        <v/>
      </c>
      <c r="CA98" s="518" t="str">
        <f>IF(AND(_AC5="B-757",'2023'!$O$4="CA",'2023'!$O$2=CA81),'2023DATA2'!$H$19,"")</f>
        <v/>
      </c>
      <c r="CB98" s="518" t="str">
        <f>IF(AND(_AC5="B-757",'2023'!$O$4="CA",'2023'!$O$2=CB81),'2023DATA2'!$I$19,"")</f>
        <v/>
      </c>
      <c r="CC98" s="518" t="str">
        <f>IF(AND(_AC5="B-757",'2023'!$O$4="CA",'2023'!$O$2=CC81),'2023DATA2'!$J$19,"")</f>
        <v/>
      </c>
      <c r="CD98" s="518" t="str">
        <f>IF(AND(_AC5="B-757",'2023'!$O$4="CA",'2023'!$O$2=CD81),'2023DATA2'!$K$19,"")</f>
        <v/>
      </c>
      <c r="CE98" s="518" t="str">
        <f>IF(AND(_AC5="B-757",'2023'!$O$4="CA",'2023'!$O$2=CE81),'2023DATA2'!$L$19,"")</f>
        <v/>
      </c>
      <c r="CF98" s="518" t="str">
        <f>IF(AND(_AC5="B-757",'2023'!$O$4="CA",'2023'!$O$2=CF81),'2023DATA2'!$M$19,"")</f>
        <v/>
      </c>
      <c r="CG98" s="520" t="str">
        <f>IF(AND(_AC5="B-757",'2023'!$O$4="CA",'2023'!$O$2=CG81),'2023DATA2'!$N$19,"")</f>
        <v/>
      </c>
      <c r="CH98" s="940" t="s">
        <v>45</v>
      </c>
      <c r="CI98" s="13" t="s">
        <v>61</v>
      </c>
      <c r="CJ98" s="518" t="str">
        <f>IF(AND(_AC6="B-757",'2023'!$O$4="CA",'2023'!$O$2=CJ81),'2023DATA2'!$C$19,"")</f>
        <v/>
      </c>
      <c r="CK98" s="518" t="str">
        <f>IF(AND(_AC6="B-757",'2023'!$O$4="CA",'2023'!$O$2=CK81),'2023DATA2'!$D$19,"")</f>
        <v/>
      </c>
      <c r="CL98" s="518" t="str">
        <f>IF(AND(_AC6="B-757",'2023'!$O$4="CA",'2023'!$O$2=CL81),'2023DATA2'!$E$19,"")</f>
        <v/>
      </c>
      <c r="CM98" s="518" t="str">
        <f>IF(AND(_AC6="B-757",'2023'!$O$4="CA",'2023'!$O$2=CM81),'2023DATA2'!$F$19,"")</f>
        <v/>
      </c>
      <c r="CN98" s="518" t="str">
        <f>IF(AND(_AC6="B-757",'2023'!$O$4="CA",'2023'!$O$2=CN81),'2023DATA2'!$G$19,"")</f>
        <v/>
      </c>
      <c r="CO98" s="518" t="str">
        <f>IF(AND(_AC6="B-757",'2023'!$O$4="CA",'2023'!$O$2=CO81),'2023DATA2'!$H$19,"")</f>
        <v/>
      </c>
      <c r="CP98" s="518" t="str">
        <f>IF(AND(_AC6="B-757",'2023'!$O$4="CA",'2023'!$O$2=CP81),'2023DATA2'!$I$19,"")</f>
        <v/>
      </c>
      <c r="CQ98" s="518" t="str">
        <f>IF(AND(_AC6="B-757",'2023'!$O$4="CA",'2023'!$O$2=CQ81),'2023DATA2'!$J$19,"")</f>
        <v/>
      </c>
      <c r="CR98" s="518" t="str">
        <f>IF(AND(_AC6="B-757",'2023'!$O$4="CA",'2023'!$O$2=CR81),'2023DATA2'!$K$19,"")</f>
        <v/>
      </c>
      <c r="CS98" s="518" t="str">
        <f>IF(AND(_AC6="B-757",'2023'!$O$4="CA",'2023'!$O$2=CS81),'2023DATA2'!$L$19,"")</f>
        <v/>
      </c>
      <c r="CT98" s="518" t="str">
        <f>IF(AND(_AC6="B-757",'2023'!$O$4="CA",'2023'!$O$2=CT81),'2023DATA2'!$M$19,"")</f>
        <v/>
      </c>
      <c r="CU98" s="520" t="str">
        <f>IF(AND(_AC6="B-757",'2023'!$O$4="CA",'2023'!$O$2=CU81),'2023DATA2'!$N$19,"")</f>
        <v/>
      </c>
    </row>
    <row r="99" spans="16:99" x14ac:dyDescent="0.25">
      <c r="P99" s="940"/>
      <c r="Q99" s="13" t="s">
        <v>62</v>
      </c>
      <c r="R99" s="518" t="str">
        <f>IF(AND(_AC1="B-757",'2023'!$O$4="FO",'2023'!$O$2=R81),'2023DATA2'!$C$20,"")</f>
        <v/>
      </c>
      <c r="S99" s="518" t="str">
        <f>IF(AND(_AC1="B-757",'2023'!$O$4="FO",'2023'!$O$2=S81),'2023DATA2'!$D$20,"")</f>
        <v/>
      </c>
      <c r="T99" s="518" t="str">
        <f>IF(AND(_AC1="B-757",'2023'!$O$4="FO",'2023'!$O$2=T81),'2023DATA2'!$E$20,"")</f>
        <v/>
      </c>
      <c r="U99" s="518" t="str">
        <f>IF(AND(_AC1="B-757",'2023'!$O$4="FO",'2023'!$O$2=U81),'2023DATA2'!$F$20,"")</f>
        <v/>
      </c>
      <c r="V99" s="518" t="str">
        <f>IF(AND(_AC1="B-757",'2023'!$O$4="FO",'2023'!$O$2=V81),'2023DATA2'!$G$20,"")</f>
        <v/>
      </c>
      <c r="W99" s="518" t="str">
        <f>IF(AND(_AC1="B-757",'2023'!$O$4="FO",'2023'!$O$2=W81),'2023DATA2'!$H$20,"")</f>
        <v/>
      </c>
      <c r="X99" s="518" t="str">
        <f>IF(AND(_AC1="B-757",'2023'!$O$4="FO",'2023'!$O$2=X81),'2023DATA2'!$I$20,"")</f>
        <v/>
      </c>
      <c r="Y99" s="518" t="str">
        <f>IF(AND(_AC1="B-757",'2023'!$O$4="FO",'2023'!$O$2=Y81),'2023DATA2'!$J$20,"")</f>
        <v/>
      </c>
      <c r="Z99" s="518" t="str">
        <f>IF(AND(_AC1="B-757",'2023'!$O$4="FO",'2023'!$O$2=Z81),'2023DATA2'!$K$20,"")</f>
        <v/>
      </c>
      <c r="AA99" s="518" t="str">
        <f>IF(AND(_AC1="B-757",'2023'!$O$4="FO",'2023'!$O$2=AA81),'2023DATA2'!$L$20,"")</f>
        <v/>
      </c>
      <c r="AB99" s="518" t="str">
        <f>IF(AND(_AC1="B-757",'2023'!$O$4="FO",'2023'!$O$2=AB81),'2023DATA2'!$M$20,"")</f>
        <v/>
      </c>
      <c r="AC99" s="520" t="str">
        <f>IF(AND(_AC1="B-757",'2023'!$O$4="FO",'2023'!$O$2=AC81),'2023DATA2'!$N$20,"")</f>
        <v/>
      </c>
      <c r="AD99" s="940"/>
      <c r="AE99" s="13" t="s">
        <v>62</v>
      </c>
      <c r="AF99" s="518" t="str">
        <f>IF(AND(_AC2="B-757",'2023'!$O$4="FO",'2023'!$O$2=AF81),'2023DATA2'!$C$20,"")</f>
        <v/>
      </c>
      <c r="AG99" s="518" t="str">
        <f>IF(AND(_AC2="B-757",'2023'!$O$4="FO",'2023'!$O$2=AG81),'2023DATA2'!$D$20,"")</f>
        <v/>
      </c>
      <c r="AH99" s="518" t="str">
        <f>IF(AND(_AC2="B-757",'2023'!$O$4="FO",'2023'!$O$2=AH81),'2023DATA2'!$E$20,"")</f>
        <v/>
      </c>
      <c r="AI99" s="518" t="str">
        <f>IF(AND(_AC2="B-757",'2023'!$O$4="FO",'2023'!$O$2=AI81),'2023DATA2'!$F$20,"")</f>
        <v/>
      </c>
      <c r="AJ99" s="518" t="str">
        <f>IF(AND(_AC2="B-757",'2023'!$O$4="FO",'2023'!$O$2=AJ81),'2023DATA2'!$G$20,"")</f>
        <v/>
      </c>
      <c r="AK99" s="518" t="str">
        <f>IF(AND(_AC2="B-757",'2023'!$O$4="FO",'2023'!$O$2=AK81),'2023DATA2'!$H$20,"")</f>
        <v/>
      </c>
      <c r="AL99" s="518" t="str">
        <f>IF(AND(_AC2="B-757",'2023'!$O$4="FO",'2023'!$O$2=AL81),'2023DATA2'!$I$20,"")</f>
        <v/>
      </c>
      <c r="AM99" s="518" t="str">
        <f>IF(AND(_AC2="B-757",'2023'!$O$4="FO",'2023'!$O$2=AM81),'2023DATA2'!$J$20,"")</f>
        <v/>
      </c>
      <c r="AN99" s="518" t="str">
        <f>IF(AND(_AC2="B-757",'2023'!$O$4="FO",'2023'!$O$2=AN81),'2023DATA2'!$K$20,"")</f>
        <v/>
      </c>
      <c r="AO99" s="518" t="str">
        <f>IF(AND(_AC2="B-757",'2023'!$O$4="FO",'2023'!$O$2=AO81),'2023DATA2'!$L$20,"")</f>
        <v/>
      </c>
      <c r="AP99" s="518" t="str">
        <f>IF(AND(_AC2="B-757",'2023'!$O$4="FO",'2023'!$O$2=AP81),'2023DATA2'!$M$20,"")</f>
        <v/>
      </c>
      <c r="AQ99" s="520" t="str">
        <f>IF(AND(_AC2="B-757",'2023'!$O$4="FO",'2023'!$O$2=AQ81),'2023DATA2'!$N$20,"")</f>
        <v/>
      </c>
      <c r="AR99" s="940"/>
      <c r="AS99" s="13" t="s">
        <v>62</v>
      </c>
      <c r="AT99" s="518" t="str">
        <f>IF(AND(_AC3="B-757",'2023'!$O$4="FO",'2023'!$O$2=AT81),'2023DATA2'!$C$20,"")</f>
        <v/>
      </c>
      <c r="AU99" s="518" t="str">
        <f>IF(AND(_AC3="B-757",'2023'!$O$4="FO",'2023'!$O$2=AU81),'2023DATA2'!$D$20,"")</f>
        <v/>
      </c>
      <c r="AV99" s="518" t="str">
        <f>IF(AND(_AC3="B-757",'2023'!$O$4="FO",'2023'!$O$2=AV81),'2023DATA2'!$E$20,"")</f>
        <v/>
      </c>
      <c r="AW99" s="518" t="str">
        <f>IF(AND(_AC3="B-757",'2023'!$O$4="FO",'2023'!$O$2=AW81),'2023DATA2'!$F$20,"")</f>
        <v/>
      </c>
      <c r="AX99" s="518" t="str">
        <f>IF(AND(_AC3="B-757",'2023'!$O$4="FO",'2023'!$O$2=AX81),'2023DATA2'!$G$20,"")</f>
        <v/>
      </c>
      <c r="AY99" s="518" t="str">
        <f>IF(AND(_AC3="B-757",'2023'!$O$4="FO",'2023'!$O$2=AY81),'2023DATA2'!$H$20,"")</f>
        <v/>
      </c>
      <c r="AZ99" s="518" t="str">
        <f>IF(AND(_AC3="B-757",'2023'!$O$4="FO",'2023'!$O$2=AZ81),'2023DATA2'!$I$20,"")</f>
        <v/>
      </c>
      <c r="BA99" s="518" t="str">
        <f>IF(AND(_AC3="B-757",'2023'!$O$4="FO",'2023'!$O$2=BA81),'2023DATA2'!$J$20,"")</f>
        <v/>
      </c>
      <c r="BB99" s="518" t="str">
        <f>IF(AND(_AC3="B-757",'2023'!$O$4="FO",'2023'!$O$2=BB81),'2023DATA2'!$K$20,"")</f>
        <v/>
      </c>
      <c r="BC99" s="518" t="str">
        <f>IF(AND(_AC3="B-757",'2023'!$O$4="FO",'2023'!$O$2=BC81),'2023DATA2'!$L$20,"")</f>
        <v/>
      </c>
      <c r="BD99" s="518" t="str">
        <f>IF(AND(_AC3="B-757",'2023'!$O$4="FO",'2023'!$O$2=BD81),'2023DATA2'!$M$20,"")</f>
        <v/>
      </c>
      <c r="BE99" s="520" t="str">
        <f>IF(AND(_AC3="B-757",'2023'!$O$4="FO",'2023'!$O$2=BE81),'2023DATA2'!$N$20,"")</f>
        <v/>
      </c>
      <c r="BF99" s="940"/>
      <c r="BG99" s="13" t="s">
        <v>62</v>
      </c>
      <c r="BH99" s="518" t="str">
        <f>IF(AND(_AC4="B-757",'2023'!$O$4="FO",'2023'!$O$2=BH81),'2023DATA2'!$C$20,"")</f>
        <v/>
      </c>
      <c r="BI99" s="518" t="str">
        <f>IF(AND(_AC4="B-757",'2023'!$O$4="FO",'2023'!$O$2=BI81),'2023DATA2'!$D$20,"")</f>
        <v/>
      </c>
      <c r="BJ99" s="518" t="str">
        <f>IF(AND(_AC4="B-757",'2023'!$O$4="FO",'2023'!$O$2=BJ81),'2023DATA2'!$E$20,"")</f>
        <v/>
      </c>
      <c r="BK99" s="518" t="str">
        <f>IF(AND(_AC4="B-757",'2023'!$O$4="FO",'2023'!$O$2=BK81),'2023DATA2'!$F$20,"")</f>
        <v/>
      </c>
      <c r="BL99" s="518" t="str">
        <f>IF(AND(_AC4="B-757",'2023'!$O$4="FO",'2023'!$O$2=BL81),'2023DATA2'!$G$20,"")</f>
        <v/>
      </c>
      <c r="BM99" s="518" t="str">
        <f>IF(AND(_AC4="B-757",'2023'!$O$4="FO",'2023'!$O$2=BM81),'2023DATA2'!$H$20,"")</f>
        <v/>
      </c>
      <c r="BN99" s="518" t="str">
        <f>IF(AND(_AC4="B-757",'2023'!$O$4="FO",'2023'!$O$2=BN81),'2023DATA2'!$I$20,"")</f>
        <v/>
      </c>
      <c r="BO99" s="518" t="str">
        <f>IF(AND(_AC4="B-757",'2023'!$O$4="FO",'2023'!$O$2=BO81),'2023DATA2'!$J$20,"")</f>
        <v/>
      </c>
      <c r="BP99" s="518" t="str">
        <f>IF(AND(_AC4="B-757",'2023'!$O$4="FO",'2023'!$O$2=BP81),'2023DATA2'!$K$20,"")</f>
        <v/>
      </c>
      <c r="BQ99" s="518" t="str">
        <f>IF(AND(_AC4="B-757",'2023'!$O$4="FO",'2023'!$O$2=BQ81),'2023DATA2'!$L$20,"")</f>
        <v/>
      </c>
      <c r="BR99" s="518" t="str">
        <f>IF(AND(_AC4="B-757",'2023'!$O$4="FO",'2023'!$O$2=BR81),'2023DATA2'!$M$20,"")</f>
        <v/>
      </c>
      <c r="BS99" s="520" t="str">
        <f>IF(AND(_AC4="B-757",'2023'!$O$4="FO",'2023'!$O$2=BS81),'2023DATA2'!$N$20,"")</f>
        <v/>
      </c>
      <c r="BT99" s="940"/>
      <c r="BU99" s="13" t="s">
        <v>62</v>
      </c>
      <c r="BV99" s="518" t="str">
        <f>IF(AND(_AC5="B-757",'2023'!$O$4="FO",'2023'!$O$2=BV81),'2023DATA2'!$C$20,"")</f>
        <v/>
      </c>
      <c r="BW99" s="518" t="str">
        <f>IF(AND(_AC5="B-757",'2023'!$O$4="FO",'2023'!$O$2=BW81),'2023DATA2'!$D$20,"")</f>
        <v/>
      </c>
      <c r="BX99" s="518" t="str">
        <f>IF(AND(_AC5="B-757",'2023'!$O$4="FO",'2023'!$O$2=BX81),'2023DATA2'!$E$20,"")</f>
        <v/>
      </c>
      <c r="BY99" s="518" t="str">
        <f>IF(AND(_AC5="B-757",'2023'!$O$4="FO",'2023'!$O$2=BY81),'2023DATA2'!$F$20,"")</f>
        <v/>
      </c>
      <c r="BZ99" s="518" t="str">
        <f>IF(AND(_AC5="B-757",'2023'!$O$4="FO",'2023'!$O$2=BZ81),'2023DATA2'!$G$20,"")</f>
        <v/>
      </c>
      <c r="CA99" s="518" t="str">
        <f>IF(AND(_AC5="B-757",'2023'!$O$4="FO",'2023'!$O$2=CA81),'2023DATA2'!$H$20,"")</f>
        <v/>
      </c>
      <c r="CB99" s="518" t="str">
        <f>IF(AND(_AC5="B-757",'2023'!$O$4="FO",'2023'!$O$2=CB81),'2023DATA2'!$I$20,"")</f>
        <v/>
      </c>
      <c r="CC99" s="518" t="str">
        <f>IF(AND(_AC5="B-757",'2023'!$O$4="FO",'2023'!$O$2=CC81),'2023DATA2'!$J$20,"")</f>
        <v/>
      </c>
      <c r="CD99" s="518" t="str">
        <f>IF(AND(_AC5="B-757",'2023'!$O$4="FO",'2023'!$O$2=CD81),'2023DATA2'!$K$20,"")</f>
        <v/>
      </c>
      <c r="CE99" s="518" t="str">
        <f>IF(AND(_AC5="B-757",'2023'!$O$4="FO",'2023'!$O$2=CE81),'2023DATA2'!$L$20,"")</f>
        <v/>
      </c>
      <c r="CF99" s="518" t="str">
        <f>IF(AND(_AC5="B-757",'2023'!$O$4="FO",'2023'!$O$2=CF81),'2023DATA2'!$M$20,"")</f>
        <v/>
      </c>
      <c r="CG99" s="520" t="str">
        <f>IF(AND(_AC5="B-757",'2023'!$O$4="FO",'2023'!$O$2=CG81),'2023DATA2'!$N$20,"")</f>
        <v/>
      </c>
      <c r="CH99" s="940"/>
      <c r="CI99" s="13" t="s">
        <v>62</v>
      </c>
      <c r="CJ99" s="518" t="str">
        <f>IF(AND(_AC6="B-757",'2023'!$O$4="FO",'2023'!$O$2=CJ81),'2023DATA2'!$C$20,"")</f>
        <v/>
      </c>
      <c r="CK99" s="518" t="str">
        <f>IF(AND(_AC6="B-757",'2023'!$O$4="FO",'2023'!$O$2=CK81),'2023DATA2'!$D$20,"")</f>
        <v/>
      </c>
      <c r="CL99" s="518" t="str">
        <f>IF(AND(_AC6="B-757",'2023'!$O$4="FO",'2023'!$O$2=CL81),'2023DATA2'!$E$20,"")</f>
        <v/>
      </c>
      <c r="CM99" s="518" t="str">
        <f>IF(AND(_AC6="B-757",'2023'!$O$4="FO",'2023'!$O$2=CM81),'2023DATA2'!$F$20,"")</f>
        <v/>
      </c>
      <c r="CN99" s="518" t="str">
        <f>IF(AND(_AC6="B-757",'2023'!$O$4="FO",'2023'!$O$2=CN81),'2023DATA2'!$G$20,"")</f>
        <v/>
      </c>
      <c r="CO99" s="518" t="str">
        <f>IF(AND(_AC6="B-757",'2023'!$O$4="FO",'2023'!$O$2=CO81),'2023DATA2'!$H$20,"")</f>
        <v/>
      </c>
      <c r="CP99" s="518" t="str">
        <f>IF(AND(_AC6="B-757",'2023'!$O$4="FO",'2023'!$O$2=CP81),'2023DATA2'!$I$20,"")</f>
        <v/>
      </c>
      <c r="CQ99" s="518" t="str">
        <f>IF(AND(_AC6="B-757",'2023'!$O$4="FO",'2023'!$O$2=CQ81),'2023DATA2'!$J$20,"")</f>
        <v/>
      </c>
      <c r="CR99" s="518" t="str">
        <f>IF(AND(_AC6="B-757",'2023'!$O$4="FO",'2023'!$O$2=CR81),'2023DATA2'!$K$20,"")</f>
        <v/>
      </c>
      <c r="CS99" s="518" t="str">
        <f>IF(AND(_AC6="B-757",'2023'!$O$4="FO",'2023'!$O$2=CS81),'2023DATA2'!$L$20,"")</f>
        <v/>
      </c>
      <c r="CT99" s="518" t="str">
        <f>IF(AND(_AC6="B-757",'2023'!$O$4="FO",'2023'!$O$2=CT81),'2023DATA2'!$M$20,"")</f>
        <v/>
      </c>
      <c r="CU99" s="520" t="str">
        <f>IF(AND(_AC6="B-757",'2023'!$O$4="FO",'2023'!$O$2=CU81),'2023DATA2'!$N$20,"")</f>
        <v/>
      </c>
    </row>
    <row r="100" spans="16:99" x14ac:dyDescent="0.25">
      <c r="P100" s="940" t="s">
        <v>47</v>
      </c>
      <c r="Q100" s="13" t="s">
        <v>61</v>
      </c>
      <c r="R100" s="518" t="str">
        <f>IF(AND(_AC1="B-737-900",'2023'!$O$4="CA",'2023'!$O$2=R81),'2023DATA2'!$C$21,"")</f>
        <v/>
      </c>
      <c r="S100" s="518" t="str">
        <f>IF(AND(_AC1="B-737-900",'2023'!$O$4="CA",'2023'!$O$2=S81),'2023DATA2'!$D$21,"")</f>
        <v/>
      </c>
      <c r="T100" s="518" t="str">
        <f>IF(AND(_AC1="B-737-900",'2023'!$O$4="CA",'2023'!$O$2=T81),'2023DATA2'!$E$21,"")</f>
        <v/>
      </c>
      <c r="U100" s="518" t="str">
        <f>IF(AND(_AC1="B-737-900",'2023'!$O$4="CA",'2023'!$O$2=U81),'2023DATA2'!$F$21,"")</f>
        <v/>
      </c>
      <c r="V100" s="518" t="str">
        <f>IF(AND(_AC1="B-737-900",'2023'!$O$4="CA",'2023'!$O$2=V81),'2023DATA2'!$G$21,"")</f>
        <v/>
      </c>
      <c r="W100" s="518" t="str">
        <f>IF(AND(_AC1="B-737-900",'2023'!$O$4="CA",'2023'!$O$2=W81),'2023DATA2'!$H$21,"")</f>
        <v/>
      </c>
      <c r="X100" s="518" t="str">
        <f>IF(AND(_AC1="B-737-900",'2023'!$O$4="CA",'2023'!$O$2=X81),'2023DATA2'!$I$21,"")</f>
        <v/>
      </c>
      <c r="Y100" s="518" t="str">
        <f>IF(AND(_AC1="B-737-900",'2023'!$O$4="CA",'2023'!$O$2=Y81),'2023DATA2'!$J$21,"")</f>
        <v/>
      </c>
      <c r="Z100" s="518" t="str">
        <f>IF(AND(_AC1="B-737-900",'2023'!$O$4="CA",'2023'!$O$2=Z81),'2023DATA2'!$K$21,"")</f>
        <v/>
      </c>
      <c r="AA100" s="518" t="str">
        <f>IF(AND(_AC1="B-737-900",'2023'!$O$4="CA",'2023'!$O$2=AA81),'2023DATA2'!$L$21,"")</f>
        <v/>
      </c>
      <c r="AB100" s="518" t="str">
        <f>IF(AND(_AC1="B-737-900",'2023'!$O$4="CA",'2023'!$O$2=AB81),'2023DATA2'!$M$21,"")</f>
        <v/>
      </c>
      <c r="AC100" s="520" t="str">
        <f>IF(AND(_AC1="B-737-900",'2023'!$O$4="CA",'2023'!$O$2=AC81),'2023DATA2'!$N$21,"")</f>
        <v/>
      </c>
      <c r="AD100" s="940" t="s">
        <v>47</v>
      </c>
      <c r="AE100" s="13" t="s">
        <v>61</v>
      </c>
      <c r="AF100" s="518" t="str">
        <f>IF(AND(_AC2="B-737-900",'2023'!$O$4="CA",'2023'!$O$2=AF81),'2023DATA2'!$C$21,"")</f>
        <v/>
      </c>
      <c r="AG100" s="518" t="str">
        <f>IF(AND(_AC2="B-737-900",'2023'!$O$4="CA",'2023'!$O$2=AG81),'2023DATA2'!$D$21,"")</f>
        <v/>
      </c>
      <c r="AH100" s="518" t="str">
        <f>IF(AND(_AC2="B-737-900",'2023'!$O$4="CA",'2023'!$O$2=AH81),'2023DATA2'!$E$21,"")</f>
        <v/>
      </c>
      <c r="AI100" s="518" t="str">
        <f>IF(AND(_AC2="B-737-900",'2023'!$O$4="CA",'2023'!$O$2=AI81),'2023DATA2'!$F$21,"")</f>
        <v/>
      </c>
      <c r="AJ100" s="518" t="str">
        <f>IF(AND(_AC2="B-737-900",'2023'!$O$4="CA",'2023'!$O$2=AJ81),'2023DATA2'!$G$21,"")</f>
        <v/>
      </c>
      <c r="AK100" s="518" t="str">
        <f>IF(AND(_AC2="B-737-900",'2023'!$O$4="CA",'2023'!$O$2=AK81),'2023DATA2'!$H$21,"")</f>
        <v/>
      </c>
      <c r="AL100" s="518" t="str">
        <f>IF(AND(_AC2="B-737-900",'2023'!$O$4="CA",'2023'!$O$2=AL81),'2023DATA2'!$I$21,"")</f>
        <v/>
      </c>
      <c r="AM100" s="518" t="str">
        <f>IF(AND(_AC2="B-737-900",'2023'!$O$4="CA",'2023'!$O$2=AM81),'2023DATA2'!$J$21,"")</f>
        <v/>
      </c>
      <c r="AN100" s="518" t="str">
        <f>IF(AND(_AC2="B-737-900",'2023'!$O$4="CA",'2023'!$O$2=AN81),'2023DATA2'!$K$21,"")</f>
        <v/>
      </c>
      <c r="AO100" s="518" t="str">
        <f>IF(AND(_AC2="B-737-900",'2023'!$O$4="CA",'2023'!$O$2=AO81),'2023DATA2'!$L$21,"")</f>
        <v/>
      </c>
      <c r="AP100" s="518" t="str">
        <f>IF(AND(_AC2="B-737-900",'2023'!$O$4="CA",'2023'!$O$2=AP81),'2023DATA2'!$M$21,"")</f>
        <v/>
      </c>
      <c r="AQ100" s="520" t="str">
        <f>IF(AND(_AC2="B-737-900",'2023'!$O$4="CA",'2023'!$O$2=AQ81),'2023DATA2'!$N$21,"")</f>
        <v/>
      </c>
      <c r="AR100" s="940" t="s">
        <v>47</v>
      </c>
      <c r="AS100" s="13" t="s">
        <v>61</v>
      </c>
      <c r="AT100" s="518" t="str">
        <f>IF(AND(_AC3="B-737-900",'2023'!$O$4="CA",'2023'!$O$2=AT81),'2023DATA2'!$C$21,"")</f>
        <v/>
      </c>
      <c r="AU100" s="518" t="str">
        <f>IF(AND(_AC3="B-737-900",'2023'!$O$4="CA",'2023'!$O$2=AU81),'2023DATA2'!$D$21,"")</f>
        <v/>
      </c>
      <c r="AV100" s="518" t="str">
        <f>IF(AND(_AC3="B-737-900",'2023'!$O$4="CA",'2023'!$O$2=AV81),'2023DATA2'!$E$21,"")</f>
        <v/>
      </c>
      <c r="AW100" s="518" t="str">
        <f>IF(AND(_AC3="B-737-900",'2023'!$O$4="CA",'2023'!$O$2=AW81),'2023DATA2'!$F$21,"")</f>
        <v/>
      </c>
      <c r="AX100" s="518" t="str">
        <f>IF(AND(_AC3="B-737-900",'2023'!$O$4="CA",'2023'!$O$2=AX81),'2023DATA2'!$G$21,"")</f>
        <v/>
      </c>
      <c r="AY100" s="518" t="str">
        <f>IF(AND(_AC3="B-737-900",'2023'!$O$4="CA",'2023'!$O$2=AY81),'2023DATA2'!$H$21,"")</f>
        <v/>
      </c>
      <c r="AZ100" s="518" t="str">
        <f>IF(AND(_AC3="B-737-900",'2023'!$O$4="CA",'2023'!$O$2=AZ81),'2023DATA2'!$I$21,"")</f>
        <v/>
      </c>
      <c r="BA100" s="518" t="str">
        <f>IF(AND(_AC3="B-737-900",'2023'!$O$4="CA",'2023'!$O$2=BA81),'2023DATA2'!$J$21,"")</f>
        <v/>
      </c>
      <c r="BB100" s="518" t="str">
        <f>IF(AND(_AC3="B-737-900",'2023'!$O$4="CA",'2023'!$O$2=BB81),'2023DATA2'!$K$21,"")</f>
        <v/>
      </c>
      <c r="BC100" s="518" t="str">
        <f>IF(AND(_AC3="B-737-900",'2023'!$O$4="CA",'2023'!$O$2=BC81),'2023DATA2'!$L$21,"")</f>
        <v/>
      </c>
      <c r="BD100" s="518" t="str">
        <f>IF(AND(_AC3="B-737-900",'2023'!$O$4="CA",'2023'!$O$2=BD81),'2023DATA2'!$M$21,"")</f>
        <v/>
      </c>
      <c r="BE100" s="520" t="str">
        <f>IF(AND(_AC3="B-737-900",'2023'!$O$4="CA",'2023'!$O$2=BE81),'2023DATA2'!$N$21,"")</f>
        <v/>
      </c>
      <c r="BF100" s="940" t="s">
        <v>47</v>
      </c>
      <c r="BG100" s="13" t="s">
        <v>61</v>
      </c>
      <c r="BH100" s="518" t="str">
        <f>IF(AND(_AC4="B-737-900",'2023'!$O$4="CA",'2023'!$O$2=BH81),'2023DATA2'!$C$21,"")</f>
        <v/>
      </c>
      <c r="BI100" s="518" t="str">
        <f>IF(AND(_AC4="B-737-900",'2023'!$O$4="CA",'2023'!$O$2=BI81),'2023DATA2'!$D$21,"")</f>
        <v/>
      </c>
      <c r="BJ100" s="518" t="str">
        <f>IF(AND(_AC4="B-737-900",'2023'!$O$4="CA",'2023'!$O$2=BJ81),'2023DATA2'!$E$21,"")</f>
        <v/>
      </c>
      <c r="BK100" s="518" t="str">
        <f>IF(AND(_AC4="B-737-900",'2023'!$O$4="CA",'2023'!$O$2=BK81),'2023DATA2'!$F$21,"")</f>
        <v/>
      </c>
      <c r="BL100" s="518" t="str">
        <f>IF(AND(_AC4="B-737-900",'2023'!$O$4="CA",'2023'!$O$2=BL81),'2023DATA2'!$G$21,"")</f>
        <v/>
      </c>
      <c r="BM100" s="518" t="str">
        <f>IF(AND(_AC4="B-737-900",'2023'!$O$4="CA",'2023'!$O$2=BM81),'2023DATA2'!$H$21,"")</f>
        <v/>
      </c>
      <c r="BN100" s="518" t="str">
        <f>IF(AND(_AC4="B-737-900",'2023'!$O$4="CA",'2023'!$O$2=BN81),'2023DATA2'!$I$21,"")</f>
        <v/>
      </c>
      <c r="BO100" s="518" t="str">
        <f>IF(AND(_AC4="B-737-900",'2023'!$O$4="CA",'2023'!$O$2=BO81),'2023DATA2'!$J$21,"")</f>
        <v/>
      </c>
      <c r="BP100" s="518" t="str">
        <f>IF(AND(_AC4="B-737-900",'2023'!$O$4="CA",'2023'!$O$2=BP81),'2023DATA2'!$K$21,"")</f>
        <v/>
      </c>
      <c r="BQ100" s="518" t="str">
        <f>IF(AND(_AC4="B-737-900",'2023'!$O$4="CA",'2023'!$O$2=BQ81),'2023DATA2'!$L$21,"")</f>
        <v/>
      </c>
      <c r="BR100" s="518" t="str">
        <f>IF(AND(_AC4="B-737-900",'2023'!$O$4="CA",'2023'!$O$2=BR81),'2023DATA2'!$M$21,"")</f>
        <v/>
      </c>
      <c r="BS100" s="520" t="str">
        <f>IF(AND(_AC4="B-737-900",'2023'!$O$4="CA",'2023'!$O$2=BS81),'2023DATA2'!$N$21,"")</f>
        <v/>
      </c>
      <c r="BT100" s="940" t="s">
        <v>47</v>
      </c>
      <c r="BU100" s="13" t="s">
        <v>61</v>
      </c>
      <c r="BV100" s="518" t="str">
        <f>IF(AND(_AC5="B-737-900",'2023'!$O$4="CA",'2023'!$O$2=BV81),'2023DATA2'!$C$21,"")</f>
        <v/>
      </c>
      <c r="BW100" s="518" t="str">
        <f>IF(AND(_AC5="B-737-900",'2023'!$O$4="CA",'2023'!$O$2=BW81),'2023DATA2'!$D$21,"")</f>
        <v/>
      </c>
      <c r="BX100" s="518" t="str">
        <f>IF(AND(_AC5="B-737-900",'2023'!$O$4="CA",'2023'!$O$2=BX81),'2023DATA2'!$E$21,"")</f>
        <v/>
      </c>
      <c r="BY100" s="518" t="str">
        <f>IF(AND(_AC5="B-737-900",'2023'!$O$4="CA",'2023'!$O$2=BY81),'2023DATA2'!$F$21,"")</f>
        <v/>
      </c>
      <c r="BZ100" s="518" t="str">
        <f>IF(AND(_AC5="B-737-900",'2023'!$O$4="CA",'2023'!$O$2=BZ81),'2023DATA2'!$G$21,"")</f>
        <v/>
      </c>
      <c r="CA100" s="518" t="str">
        <f>IF(AND(_AC5="B-737-900",'2023'!$O$4="CA",'2023'!$O$2=CA81),'2023DATA2'!$H$21,"")</f>
        <v/>
      </c>
      <c r="CB100" s="518" t="str">
        <f>IF(AND(_AC5="B-737-900",'2023'!$O$4="CA",'2023'!$O$2=CB81),'2023DATA2'!$I$21,"")</f>
        <v/>
      </c>
      <c r="CC100" s="518" t="str">
        <f>IF(AND(_AC5="B-737-900",'2023'!$O$4="CA",'2023'!$O$2=CC81),'2023DATA2'!$J$21,"")</f>
        <v/>
      </c>
      <c r="CD100" s="518" t="str">
        <f>IF(AND(_AC5="B-737-900",'2023'!$O$4="CA",'2023'!$O$2=CD81),'2023DATA2'!$K$21,"")</f>
        <v/>
      </c>
      <c r="CE100" s="518" t="str">
        <f>IF(AND(_AC5="B-737-900",'2023'!$O$4="CA",'2023'!$O$2=CE81),'2023DATA2'!$L$21,"")</f>
        <v/>
      </c>
      <c r="CF100" s="518" t="str">
        <f>IF(AND(_AC5="B-737-900",'2023'!$O$4="CA",'2023'!$O$2=CF81),'2023DATA2'!$M$21,"")</f>
        <v/>
      </c>
      <c r="CG100" s="520" t="str">
        <f>IF(AND(_AC5="B-737-900",'2023'!$O$4="CA",'2023'!$O$2=CG81),'2023DATA2'!$N$21,"")</f>
        <v/>
      </c>
      <c r="CH100" s="940" t="s">
        <v>47</v>
      </c>
      <c r="CI100" s="13" t="s">
        <v>61</v>
      </c>
      <c r="CJ100" s="518" t="str">
        <f>IF(AND(_AC6="B-737-900",'2023'!$O$4="CA",'2023'!$O$2=CJ81),'2023DATA2'!$C$21,"")</f>
        <v/>
      </c>
      <c r="CK100" s="518" t="str">
        <f>IF(AND(_AC6="B-737-900",'2023'!$O$4="CA",'2023'!$O$2=CK81),'2023DATA2'!$D$21,"")</f>
        <v/>
      </c>
      <c r="CL100" s="518" t="str">
        <f>IF(AND(_AC6="B-737-900",'2023'!$O$4="CA",'2023'!$O$2=CL81),'2023DATA2'!$E$21,"")</f>
        <v/>
      </c>
      <c r="CM100" s="518" t="str">
        <f>IF(AND(_AC6="B-737-900",'2023'!$O$4="CA",'2023'!$O$2=CM81),'2023DATA2'!$F$21,"")</f>
        <v/>
      </c>
      <c r="CN100" s="518" t="str">
        <f>IF(AND(_AC6="B-737-900",'2023'!$O$4="CA",'2023'!$O$2=CN81),'2023DATA2'!$G$21,"")</f>
        <v/>
      </c>
      <c r="CO100" s="518" t="str">
        <f>IF(AND(_AC6="B-737-900",'2023'!$O$4="CA",'2023'!$O$2=CO81),'2023DATA2'!$H$21,"")</f>
        <v/>
      </c>
      <c r="CP100" s="518" t="str">
        <f>IF(AND(_AC6="B-737-900",'2023'!$O$4="CA",'2023'!$O$2=CP81),'2023DATA2'!$I$21,"")</f>
        <v/>
      </c>
      <c r="CQ100" s="518" t="str">
        <f>IF(AND(_AC6="B-737-900",'2023'!$O$4="CA",'2023'!$O$2=CQ81),'2023DATA2'!$J$21,"")</f>
        <v/>
      </c>
      <c r="CR100" s="518" t="str">
        <f>IF(AND(_AC6="B-737-900",'2023'!$O$4="CA",'2023'!$O$2=CR81),'2023DATA2'!$K$21,"")</f>
        <v/>
      </c>
      <c r="CS100" s="518" t="str">
        <f>IF(AND(_AC6="B-737-900",'2023'!$O$4="CA",'2023'!$O$2=CS81),'2023DATA2'!$L$21,"")</f>
        <v/>
      </c>
      <c r="CT100" s="518" t="str">
        <f>IF(AND(_AC6="B-737-900",'2023'!$O$4="CA",'2023'!$O$2=CT81),'2023DATA2'!$M$21,"")</f>
        <v/>
      </c>
      <c r="CU100" s="520" t="str">
        <f>IF(AND(_AC6="B-737-900",'2023'!$O$4="CA",'2023'!$O$2=CU81),'2023DATA2'!$N$21,"")</f>
        <v/>
      </c>
    </row>
    <row r="101" spans="16:99" x14ac:dyDescent="0.25">
      <c r="P101" s="940"/>
      <c r="Q101" s="13" t="s">
        <v>62</v>
      </c>
      <c r="R101" s="518" t="str">
        <f>IF(AND(_AC1="B-737-900",'2023'!$O$4="FO",'2023'!$O$2=R81),'2023DATA2'!$C$22,"")</f>
        <v/>
      </c>
      <c r="S101" s="518" t="str">
        <f>IF(AND(_AC1="B-737-900",'2023'!$O$4="FO",'2023'!$O$2=S81),'2023DATA2'!$D$22,"")</f>
        <v/>
      </c>
      <c r="T101" s="518" t="str">
        <f>IF(AND(_AC1="B-737-900",'2023'!$O$4="FO",'2023'!$O$2=T81),'2023DATA2'!$E$22,"")</f>
        <v/>
      </c>
      <c r="U101" s="518" t="str">
        <f>IF(AND(_AC1="B-737-900",'2023'!$O$4="FO",'2023'!$O$2=U81),'2023DATA2'!$F$22,"")</f>
        <v/>
      </c>
      <c r="V101" s="518" t="str">
        <f>IF(AND(_AC1="B-737-900",'2023'!$O$4="FO",'2023'!$O$2=V81),'2023DATA2'!$G$22,"")</f>
        <v/>
      </c>
      <c r="W101" s="518" t="str">
        <f>IF(AND(_AC1="B-737-900",'2023'!$O$4="FO",'2023'!$O$2=W81),'2023DATA2'!$H$22,"")</f>
        <v/>
      </c>
      <c r="X101" s="518" t="str">
        <f>IF(AND(_AC1="B-737-900",'2023'!$O$4="FO",'2023'!$O$2=X81),'2023DATA2'!$I$22,"")</f>
        <v/>
      </c>
      <c r="Y101" s="518" t="str">
        <f>IF(AND(_AC1="B-737-900",'2023'!$O$4="FO",'2023'!$O$2=Y81),'2023DATA2'!$J$22,"")</f>
        <v/>
      </c>
      <c r="Z101" s="518" t="str">
        <f>IF(AND(_AC1="B-737-900",'2023'!$O$4="FO",'2023'!$O$2=Z81),'2023DATA2'!$K$22,"")</f>
        <v/>
      </c>
      <c r="AA101" s="518" t="str">
        <f>IF(AND(_AC1="B-737-900",'2023'!$O$4="FO",'2023'!$O$2=AA81),'2023DATA2'!$L$22,"")</f>
        <v/>
      </c>
      <c r="AB101" s="518" t="str">
        <f>IF(AND(_AC1="B-737-900",'2023'!$O$4="FO",'2023'!$O$2=AB81),'2023DATA2'!$M$22,"")</f>
        <v/>
      </c>
      <c r="AC101" s="520" t="str">
        <f>IF(AND(_AC1="B-737-900",'2023'!$O$4="FO",'2023'!$O$2=AC81),'2023DATA2'!$N$22,"")</f>
        <v/>
      </c>
      <c r="AD101" s="940"/>
      <c r="AE101" s="13" t="s">
        <v>62</v>
      </c>
      <c r="AF101" s="518" t="str">
        <f>IF(AND(_AC2="B-737-900",'2023'!$O$4="FO",'2023'!$O$2=AF81),'2023DATA2'!$C$22,"")</f>
        <v/>
      </c>
      <c r="AG101" s="518" t="str">
        <f>IF(AND(_AC2="B-737-900",'2023'!$O$4="FO",'2023'!$O$2=AG81),'2023DATA2'!$D$22,"")</f>
        <v/>
      </c>
      <c r="AH101" s="518" t="str">
        <f>IF(AND(_AC2="B-737-900",'2023'!$O$4="FO",'2023'!$O$2=AH81),'2023DATA2'!$E$22,"")</f>
        <v/>
      </c>
      <c r="AI101" s="518" t="str">
        <f>IF(AND(_AC2="B-737-900",'2023'!$O$4="FO",'2023'!$O$2=AI81),'2023DATA2'!$F$22,"")</f>
        <v/>
      </c>
      <c r="AJ101" s="518" t="str">
        <f>IF(AND(_AC2="B-737-900",'2023'!$O$4="FO",'2023'!$O$2=AJ81),'2023DATA2'!$G$22,"")</f>
        <v/>
      </c>
      <c r="AK101" s="518" t="str">
        <f>IF(AND(_AC2="B-737-900",'2023'!$O$4="FO",'2023'!$O$2=AK81),'2023DATA2'!$H$22,"")</f>
        <v/>
      </c>
      <c r="AL101" s="518" t="str">
        <f>IF(AND(_AC2="B-737-900",'2023'!$O$4="FO",'2023'!$O$2=AL81),'2023DATA2'!$I$22,"")</f>
        <v/>
      </c>
      <c r="AM101" s="518" t="str">
        <f>IF(AND(_AC2="B-737-900",'2023'!$O$4="FO",'2023'!$O$2=AM81),'2023DATA2'!$J$22,"")</f>
        <v/>
      </c>
      <c r="AN101" s="518" t="str">
        <f>IF(AND(_AC2="B-737-900",'2023'!$O$4="FO",'2023'!$O$2=AN81),'2023DATA2'!$K$22,"")</f>
        <v/>
      </c>
      <c r="AO101" s="518" t="str">
        <f>IF(AND(_AC2="B-737-900",'2023'!$O$4="FO",'2023'!$O$2=AO81),'2023DATA2'!$L$22,"")</f>
        <v/>
      </c>
      <c r="AP101" s="518" t="str">
        <f>IF(AND(_AC2="B-737-900",'2023'!$O$4="FO",'2023'!$O$2=AP81),'2023DATA2'!$M$22,"")</f>
        <v/>
      </c>
      <c r="AQ101" s="520" t="str">
        <f>IF(AND(_AC2="B-737-900",'2023'!$O$4="FO",'2023'!$O$2=AQ81),'2023DATA2'!$N$22,"")</f>
        <v/>
      </c>
      <c r="AR101" s="940"/>
      <c r="AS101" s="13" t="s">
        <v>62</v>
      </c>
      <c r="AT101" s="518" t="str">
        <f>IF(AND(_AC3="B-737-900",'2023'!$O$4="FO",'2023'!$O$2=AT81),'2023DATA2'!$C$22,"")</f>
        <v/>
      </c>
      <c r="AU101" s="518" t="str">
        <f>IF(AND(_AC3="B-737-900",'2023'!$O$4="FO",'2023'!$O$2=AU81),'2023DATA2'!$D$22,"")</f>
        <v/>
      </c>
      <c r="AV101" s="518" t="str">
        <f>IF(AND(_AC3="B-737-900",'2023'!$O$4="FO",'2023'!$O$2=AV81),'2023DATA2'!$E$22,"")</f>
        <v/>
      </c>
      <c r="AW101" s="518" t="str">
        <f>IF(AND(_AC3="B-737-900",'2023'!$O$4="FO",'2023'!$O$2=AW81),'2023DATA2'!$F$22,"")</f>
        <v/>
      </c>
      <c r="AX101" s="518" t="str">
        <f>IF(AND(_AC3="B-737-900",'2023'!$O$4="FO",'2023'!$O$2=AX81),'2023DATA2'!$G$22,"")</f>
        <v/>
      </c>
      <c r="AY101" s="518" t="str">
        <f>IF(AND(_AC3="B-737-900",'2023'!$O$4="FO",'2023'!$O$2=AY81),'2023DATA2'!$H$22,"")</f>
        <v/>
      </c>
      <c r="AZ101" s="518" t="str">
        <f>IF(AND(_AC3="B-737-900",'2023'!$O$4="FO",'2023'!$O$2=AZ81),'2023DATA2'!$I$22,"")</f>
        <v/>
      </c>
      <c r="BA101" s="518" t="str">
        <f>IF(AND(_AC3="B-737-900",'2023'!$O$4="FO",'2023'!$O$2=BA81),'2023DATA2'!$J$22,"")</f>
        <v/>
      </c>
      <c r="BB101" s="518" t="str">
        <f>IF(AND(_AC3="B-737-900",'2023'!$O$4="FO",'2023'!$O$2=BB81),'2023DATA2'!$K$22,"")</f>
        <v/>
      </c>
      <c r="BC101" s="518" t="str">
        <f>IF(AND(_AC3="B-737-900",'2023'!$O$4="FO",'2023'!$O$2=BC81),'2023DATA2'!$L$22,"")</f>
        <v/>
      </c>
      <c r="BD101" s="518" t="str">
        <f>IF(AND(_AC3="B-737-900",'2023'!$O$4="FO",'2023'!$O$2=BD81),'2023DATA2'!$M$22,"")</f>
        <v/>
      </c>
      <c r="BE101" s="520" t="str">
        <f>IF(AND(_AC3="B-737-900",'2023'!$O$4="FO",'2023'!$O$2=BE81),'2023DATA2'!$N$22,"")</f>
        <v/>
      </c>
      <c r="BF101" s="940"/>
      <c r="BG101" s="13" t="s">
        <v>62</v>
      </c>
      <c r="BH101" s="518" t="str">
        <f>IF(AND(_AC4="B-737-900",'2023'!$O$4="FO",'2023'!$O$2=BH81),'2023DATA2'!$C$22,"")</f>
        <v/>
      </c>
      <c r="BI101" s="518" t="str">
        <f>IF(AND(_AC4="B-737-900",'2023'!$O$4="FO",'2023'!$O$2=BI81),'2023DATA2'!$D$22,"")</f>
        <v/>
      </c>
      <c r="BJ101" s="518" t="str">
        <f>IF(AND(_AC4="B-737-900",'2023'!$O$4="FO",'2023'!$O$2=BJ81),'2023DATA2'!$E$22,"")</f>
        <v/>
      </c>
      <c r="BK101" s="518" t="str">
        <f>IF(AND(_AC4="B-737-900",'2023'!$O$4="FO",'2023'!$O$2=BK81),'2023DATA2'!$F$22,"")</f>
        <v/>
      </c>
      <c r="BL101" s="518" t="str">
        <f>IF(AND(_AC4="B-737-900",'2023'!$O$4="FO",'2023'!$O$2=BL81),'2023DATA2'!$G$22,"")</f>
        <v/>
      </c>
      <c r="BM101" s="518" t="str">
        <f>IF(AND(_AC4="B-737-900",'2023'!$O$4="FO",'2023'!$O$2=BM81),'2023DATA2'!$H$22,"")</f>
        <v/>
      </c>
      <c r="BN101" s="518" t="str">
        <f>IF(AND(_AC4="B-737-900",'2023'!$O$4="FO",'2023'!$O$2=BN81),'2023DATA2'!$I$22,"")</f>
        <v/>
      </c>
      <c r="BO101" s="518" t="str">
        <f>IF(AND(_AC4="B-737-900",'2023'!$O$4="FO",'2023'!$O$2=BO81),'2023DATA2'!$J$22,"")</f>
        <v/>
      </c>
      <c r="BP101" s="518" t="str">
        <f>IF(AND(_AC4="B-737-900",'2023'!$O$4="FO",'2023'!$O$2=BP81),'2023DATA2'!$K$22,"")</f>
        <v/>
      </c>
      <c r="BQ101" s="518" t="str">
        <f>IF(AND(_AC4="B-737-900",'2023'!$O$4="FO",'2023'!$O$2=BQ81),'2023DATA2'!$L$22,"")</f>
        <v/>
      </c>
      <c r="BR101" s="518" t="str">
        <f>IF(AND(_AC4="B-737-900",'2023'!$O$4="FO",'2023'!$O$2=BR81),'2023DATA2'!$M$22,"")</f>
        <v/>
      </c>
      <c r="BS101" s="520" t="str">
        <f>IF(AND(_AC4="B-737-900",'2023'!$O$4="FO",'2023'!$O$2=BS81),'2023DATA2'!$N$22,"")</f>
        <v/>
      </c>
      <c r="BT101" s="940"/>
      <c r="BU101" s="13" t="s">
        <v>62</v>
      </c>
      <c r="BV101" s="518" t="str">
        <f>IF(AND(_AC5="B-737-900",'2023'!$O$4="FO",'2023'!$O$2=BV81),'2023DATA2'!$C$22,"")</f>
        <v/>
      </c>
      <c r="BW101" s="518" t="str">
        <f>IF(AND(_AC5="B-737-900",'2023'!$O$4="FO",'2023'!$O$2=BW81),'2023DATA2'!$D$22,"")</f>
        <v/>
      </c>
      <c r="BX101" s="518" t="str">
        <f>IF(AND(_AC5="B-737-900",'2023'!$O$4="FO",'2023'!$O$2=BX81),'2023DATA2'!$E$22,"")</f>
        <v/>
      </c>
      <c r="BY101" s="518" t="str">
        <f>IF(AND(_AC5="B-737-900",'2023'!$O$4="FO",'2023'!$O$2=BY81),'2023DATA2'!$F$22,"")</f>
        <v/>
      </c>
      <c r="BZ101" s="518" t="str">
        <f>IF(AND(_AC5="B-737-900",'2023'!$O$4="FO",'2023'!$O$2=BZ81),'2023DATA2'!$G$22,"")</f>
        <v/>
      </c>
      <c r="CA101" s="518" t="str">
        <f>IF(AND(_AC5="B-737-900",'2023'!$O$4="FO",'2023'!$O$2=CA81),'2023DATA2'!$H$22,"")</f>
        <v/>
      </c>
      <c r="CB101" s="518" t="str">
        <f>IF(AND(_AC5="B-737-900",'2023'!$O$4="FO",'2023'!$O$2=CB81),'2023DATA2'!$I$22,"")</f>
        <v/>
      </c>
      <c r="CC101" s="518" t="str">
        <f>IF(AND(_AC5="B-737-900",'2023'!$O$4="FO",'2023'!$O$2=CC81),'2023DATA2'!$J$22,"")</f>
        <v/>
      </c>
      <c r="CD101" s="518" t="str">
        <f>IF(AND(_AC5="B-737-900",'2023'!$O$4="FO",'2023'!$O$2=CD81),'2023DATA2'!$K$22,"")</f>
        <v/>
      </c>
      <c r="CE101" s="518" t="str">
        <f>IF(AND(_AC5="B-737-900",'2023'!$O$4="FO",'2023'!$O$2=CE81),'2023DATA2'!$L$22,"")</f>
        <v/>
      </c>
      <c r="CF101" s="518" t="str">
        <f>IF(AND(_AC5="B-737-900",'2023'!$O$4="FO",'2023'!$O$2=CF81),'2023DATA2'!$M$22,"")</f>
        <v/>
      </c>
      <c r="CG101" s="520" t="str">
        <f>IF(AND(_AC5="B-737-900",'2023'!$O$4="FO",'2023'!$O$2=CG81),'2023DATA2'!$N$22,"")</f>
        <v/>
      </c>
      <c r="CH101" s="940"/>
      <c r="CI101" s="13" t="s">
        <v>62</v>
      </c>
      <c r="CJ101" s="518" t="str">
        <f>IF(AND(_AC6="B-737-900",'2023'!$O$4="FO",'2023'!$O$2=CJ81),'2023DATA2'!$C$22,"")</f>
        <v/>
      </c>
      <c r="CK101" s="518" t="str">
        <f>IF(AND(_AC6="B-737-900",'2023'!$O$4="FO",'2023'!$O$2=CK81),'2023DATA2'!$D$22,"")</f>
        <v/>
      </c>
      <c r="CL101" s="518" t="str">
        <f>IF(AND(_AC6="B-737-900",'2023'!$O$4="FO",'2023'!$O$2=CL81),'2023DATA2'!$E$22,"")</f>
        <v/>
      </c>
      <c r="CM101" s="518" t="str">
        <f>IF(AND(_AC6="B-737-900",'2023'!$O$4="FO",'2023'!$O$2=CM81),'2023DATA2'!$F$22,"")</f>
        <v/>
      </c>
      <c r="CN101" s="518" t="str">
        <f>IF(AND(_AC6="B-737-900",'2023'!$O$4="FO",'2023'!$O$2=CN81),'2023DATA2'!$G$22,"")</f>
        <v/>
      </c>
      <c r="CO101" s="518" t="str">
        <f>IF(AND(_AC6="B-737-900",'2023'!$O$4="FO",'2023'!$O$2=CO81),'2023DATA2'!$H$22,"")</f>
        <v/>
      </c>
      <c r="CP101" s="518" t="str">
        <f>IF(AND(_AC6="B-737-900",'2023'!$O$4="FO",'2023'!$O$2=CP81),'2023DATA2'!$I$22,"")</f>
        <v/>
      </c>
      <c r="CQ101" s="518" t="str">
        <f>IF(AND(_AC6="B-737-900",'2023'!$O$4="FO",'2023'!$O$2=CQ81),'2023DATA2'!$J$22,"")</f>
        <v/>
      </c>
      <c r="CR101" s="518" t="str">
        <f>IF(AND(_AC6="B-737-900",'2023'!$O$4="FO",'2023'!$O$2=CR81),'2023DATA2'!$K$22,"")</f>
        <v/>
      </c>
      <c r="CS101" s="518" t="str">
        <f>IF(AND(_AC6="B-737-900",'2023'!$O$4="FO",'2023'!$O$2=CS81),'2023DATA2'!$L$22,"")</f>
        <v/>
      </c>
      <c r="CT101" s="518" t="str">
        <f>IF(AND(_AC6="B-737-900",'2023'!$O$4="FO",'2023'!$O$2=CT81),'2023DATA2'!$M$22,"")</f>
        <v/>
      </c>
      <c r="CU101" s="520" t="str">
        <f>IF(AND(_AC6="B-737-900",'2023'!$O$4="FO",'2023'!$O$2=CU81),'2023DATA2'!$N$22,"")</f>
        <v/>
      </c>
    </row>
    <row r="102" spans="16:99" x14ac:dyDescent="0.25">
      <c r="P102" s="940" t="s">
        <v>69</v>
      </c>
      <c r="Q102" s="13" t="s">
        <v>61</v>
      </c>
      <c r="R102" s="518" t="str">
        <f>IF(AND(_AC1="B-737-800",'2023'!$O$4="CA",'2023'!$O$2=R81),'2023DATA2'!$C$23,"")</f>
        <v/>
      </c>
      <c r="S102" s="518" t="str">
        <f>IF(AND(_AC1="B-737-800",'2023'!$O$4="CA",'2023'!$O$2=S81),'2023DATA2'!$D$23,"")</f>
        <v/>
      </c>
      <c r="T102" s="518" t="str">
        <f>IF(AND(_AC1="B-737-800",'2023'!$O$4="CA",'2023'!$O$2=T81),'2023DATA2'!$E$23,"")</f>
        <v/>
      </c>
      <c r="U102" s="518" t="str">
        <f>IF(AND(_AC1="B-737-800",'2023'!$O$4="CA",'2023'!$O$2=U81),'2023DATA2'!$F$23,"")</f>
        <v/>
      </c>
      <c r="V102" s="518" t="str">
        <f>IF(AND(_AC1="B-737-800",'2023'!$O$4="CA",'2023'!$O$2=V81),'2023DATA2'!$G$23,"")</f>
        <v/>
      </c>
      <c r="W102" s="518" t="str">
        <f>IF(AND(_AC1="B-737-800",'2023'!$O$4="CA",'2023'!$O$2=W81),'2023DATA2'!$H$23,"")</f>
        <v/>
      </c>
      <c r="X102" s="518" t="str">
        <f>IF(AND(_AC1="B-737-800",'2023'!$O$4="CA",'2023'!$O$2=X81),'2023DATA2'!$I$23,"")</f>
        <v/>
      </c>
      <c r="Y102" s="518" t="str">
        <f>IF(AND(_AC1="B-737-800",'2023'!$O$4="CA",'2023'!$O$2=Y81),'2023DATA2'!$J$23,"")</f>
        <v/>
      </c>
      <c r="Z102" s="518" t="str">
        <f>IF(AND(_AC1="B-737-800",'2023'!$O$4="CA",'2023'!$O$2=Z81),'2023DATA2'!$K$23,"")</f>
        <v/>
      </c>
      <c r="AA102" s="518" t="str">
        <f>IF(AND(_AC1="B-737-800",'2023'!$O$4="CA",'2023'!$O$2=AA81),'2023DATA2'!$L$23,"")</f>
        <v/>
      </c>
      <c r="AB102" s="518" t="str">
        <f>IF(AND(_AC1="B-737-800",'2023'!$O$4="CA",'2023'!$O$2=AB81),'2023DATA2'!$M$23,"")</f>
        <v/>
      </c>
      <c r="AC102" s="520" t="str">
        <f>IF(AND(_AC1="B-737-800",'2023'!$O$4="CA",'2023'!$O$2=AC81),'2023DATA2'!$N$23,"")</f>
        <v/>
      </c>
      <c r="AD102" s="940" t="s">
        <v>69</v>
      </c>
      <c r="AE102" s="13" t="s">
        <v>61</v>
      </c>
      <c r="AF102" s="518" t="str">
        <f>IF(AND(_AC2="B-737-800",'2023'!$O$4="CA",'2023'!$O$2=AF81),'2023DATA2'!$C$23,"")</f>
        <v/>
      </c>
      <c r="AG102" s="518" t="str">
        <f>IF(AND(_AC2="B-737-800",'2023'!$O$4="CA",'2023'!$O$2=AG81),'2023DATA2'!$D$23,"")</f>
        <v/>
      </c>
      <c r="AH102" s="518" t="str">
        <f>IF(AND(_AC2="B-737-800",'2023'!$O$4="CA",'2023'!$O$2=AH81),'2023DATA2'!$E$23,"")</f>
        <v/>
      </c>
      <c r="AI102" s="518" t="str">
        <f>IF(AND(_AC2="B-737-800",'2023'!$O$4="CA",'2023'!$O$2=AI81),'2023DATA2'!$F$23,"")</f>
        <v/>
      </c>
      <c r="AJ102" s="518" t="str">
        <f>IF(AND(_AC2="B-737-800",'2023'!$O$4="CA",'2023'!$O$2=AJ81),'2023DATA2'!$G$23,"")</f>
        <v/>
      </c>
      <c r="AK102" s="518" t="str">
        <f>IF(AND(_AC2="B-737-800",'2023'!$O$4="CA",'2023'!$O$2=AK81),'2023DATA2'!$H$23,"")</f>
        <v/>
      </c>
      <c r="AL102" s="518" t="str">
        <f>IF(AND(_AC2="B-737-800",'2023'!$O$4="CA",'2023'!$O$2=AL81),'2023DATA2'!$I$23,"")</f>
        <v/>
      </c>
      <c r="AM102" s="518" t="str">
        <f>IF(AND(_AC2="B-737-800",'2023'!$O$4="CA",'2023'!$O$2=AM81),'2023DATA2'!$J$23,"")</f>
        <v/>
      </c>
      <c r="AN102" s="518" t="str">
        <f>IF(AND(_AC2="B-737-800",'2023'!$O$4="CA",'2023'!$O$2=AN81),'2023DATA2'!$K$23,"")</f>
        <v/>
      </c>
      <c r="AO102" s="518" t="str">
        <f>IF(AND(_AC2="B-737-800",'2023'!$O$4="CA",'2023'!$O$2=AO81),'2023DATA2'!$L$23,"")</f>
        <v/>
      </c>
      <c r="AP102" s="518" t="str">
        <f>IF(AND(_AC2="B-737-800",'2023'!$O$4="CA",'2023'!$O$2=AP81),'2023DATA2'!$M$23,"")</f>
        <v/>
      </c>
      <c r="AQ102" s="520" t="str">
        <f>IF(AND(_AC2="B-737-800",'2023'!$O$4="CA",'2023'!$O$2=AQ81),'2023DATA2'!$N$23,"")</f>
        <v/>
      </c>
      <c r="AR102" s="940" t="s">
        <v>69</v>
      </c>
      <c r="AS102" s="13" t="s">
        <v>61</v>
      </c>
      <c r="AT102" s="518" t="str">
        <f>IF(AND(_AC3="B-737-800",'2023'!$O$4="CA",'2023'!$O$2=AT81),'2023DATA2'!$C$23,"")</f>
        <v/>
      </c>
      <c r="AU102" s="518" t="str">
        <f>IF(AND(_AC3="B-737-800",'2023'!$O$4="CA",'2023'!$O$2=AU81),'2023DATA2'!$D$23,"")</f>
        <v/>
      </c>
      <c r="AV102" s="518" t="str">
        <f>IF(AND(_AC3="B-737-800",'2023'!$O$4="CA",'2023'!$O$2=AV81),'2023DATA2'!$E$23,"")</f>
        <v/>
      </c>
      <c r="AW102" s="518" t="str">
        <f>IF(AND(_AC3="B-737-800",'2023'!$O$4="CA",'2023'!$O$2=AW81),'2023DATA2'!$F$23,"")</f>
        <v/>
      </c>
      <c r="AX102" s="518" t="str">
        <f>IF(AND(_AC3="B-737-800",'2023'!$O$4="CA",'2023'!$O$2=AX81),'2023DATA2'!$G$23,"")</f>
        <v/>
      </c>
      <c r="AY102" s="518" t="str">
        <f>IF(AND(_AC3="B-737-800",'2023'!$O$4="CA",'2023'!$O$2=AY81),'2023DATA2'!$H$23,"")</f>
        <v/>
      </c>
      <c r="AZ102" s="518" t="str">
        <f>IF(AND(_AC3="B-737-800",'2023'!$O$4="CA",'2023'!$O$2=AZ81),'2023DATA2'!$I$23,"")</f>
        <v/>
      </c>
      <c r="BA102" s="518" t="str">
        <f>IF(AND(_AC3="B-737-800",'2023'!$O$4="CA",'2023'!$O$2=BA81),'2023DATA2'!$J$23,"")</f>
        <v/>
      </c>
      <c r="BB102" s="518" t="str">
        <f>IF(AND(_AC3="B-737-800",'2023'!$O$4="CA",'2023'!$O$2=BB81),'2023DATA2'!$K$23,"")</f>
        <v/>
      </c>
      <c r="BC102" s="518" t="str">
        <f>IF(AND(_AC3="B-737-800",'2023'!$O$4="CA",'2023'!$O$2=BC81),'2023DATA2'!$L$23,"")</f>
        <v/>
      </c>
      <c r="BD102" s="518" t="str">
        <f>IF(AND(_AC3="B-737-800",'2023'!$O$4="CA",'2023'!$O$2=BD81),'2023DATA2'!$M$23,"")</f>
        <v/>
      </c>
      <c r="BE102" s="520" t="str">
        <f>IF(AND(_AC3="B-737-800",'2023'!$O$4="CA",'2023'!$O$2=BE81),'2023DATA2'!$N$23,"")</f>
        <v/>
      </c>
      <c r="BF102" s="940" t="s">
        <v>69</v>
      </c>
      <c r="BG102" s="13" t="s">
        <v>61</v>
      </c>
      <c r="BH102" s="518" t="str">
        <f>IF(AND(_AC4="B-737-800",'2023'!$O$4="CA",'2023'!$O$2=BH81),'2023DATA2'!$C$23,"")</f>
        <v/>
      </c>
      <c r="BI102" s="518" t="str">
        <f>IF(AND(_AC4="B-737-800",'2023'!$O$4="CA",'2023'!$O$2=BI81),'2023DATA2'!$D$23,"")</f>
        <v/>
      </c>
      <c r="BJ102" s="518" t="str">
        <f>IF(AND(_AC4="B-737-800",'2023'!$O$4="CA",'2023'!$O$2=BJ81),'2023DATA2'!$E$23,"")</f>
        <v/>
      </c>
      <c r="BK102" s="518" t="str">
        <f>IF(AND(_AC4="B-737-800",'2023'!$O$4="CA",'2023'!$O$2=BK81),'2023DATA2'!$F$23,"")</f>
        <v/>
      </c>
      <c r="BL102" s="518" t="str">
        <f>IF(AND(_AC4="B-737-800",'2023'!$O$4="CA",'2023'!$O$2=BL81),'2023DATA2'!$G$23,"")</f>
        <v/>
      </c>
      <c r="BM102" s="518" t="str">
        <f>IF(AND(_AC4="B-737-800",'2023'!$O$4="CA",'2023'!$O$2=BM81),'2023DATA2'!$H$23,"")</f>
        <v/>
      </c>
      <c r="BN102" s="518" t="str">
        <f>IF(AND(_AC4="B-737-800",'2023'!$O$4="CA",'2023'!$O$2=BN81),'2023DATA2'!$I$23,"")</f>
        <v/>
      </c>
      <c r="BO102" s="518" t="str">
        <f>IF(AND(_AC4="B-737-800",'2023'!$O$4="CA",'2023'!$O$2=BO81),'2023DATA2'!$J$23,"")</f>
        <v/>
      </c>
      <c r="BP102" s="518" t="str">
        <f>IF(AND(_AC4="B-737-800",'2023'!$O$4="CA",'2023'!$O$2=BP81),'2023DATA2'!$K$23,"")</f>
        <v/>
      </c>
      <c r="BQ102" s="518" t="str">
        <f>IF(AND(_AC4="B-737-800",'2023'!$O$4="CA",'2023'!$O$2=BQ81),'2023DATA2'!$L$23,"")</f>
        <v/>
      </c>
      <c r="BR102" s="518" t="str">
        <f>IF(AND(_AC4="B-737-800",'2023'!$O$4="CA",'2023'!$O$2=BR81),'2023DATA2'!$M$23,"")</f>
        <v/>
      </c>
      <c r="BS102" s="520" t="str">
        <f>IF(AND(_AC4="B-737-800",'2023'!$O$4="CA",'2023'!$O$2=BS81),'2023DATA2'!$N$23,"")</f>
        <v/>
      </c>
      <c r="BT102" s="940" t="s">
        <v>69</v>
      </c>
      <c r="BU102" s="13" t="s">
        <v>61</v>
      </c>
      <c r="BV102" s="518" t="str">
        <f>IF(AND(_AC5="B-737-800",'2023'!$O$4="CA",'2023'!$O$2=BV81),'2023DATA2'!$C$23,"")</f>
        <v/>
      </c>
      <c r="BW102" s="518" t="str">
        <f>IF(AND(_AC5="B-737-800",'2023'!$O$4="CA",'2023'!$O$2=BW81),'2023DATA2'!$D$23,"")</f>
        <v/>
      </c>
      <c r="BX102" s="518" t="str">
        <f>IF(AND(_AC5="B-737-800",'2023'!$O$4="CA",'2023'!$O$2=BX81),'2023DATA2'!$E$23,"")</f>
        <v/>
      </c>
      <c r="BY102" s="518" t="str">
        <f>IF(AND(_AC5="B-737-800",'2023'!$O$4="CA",'2023'!$O$2=BY81),'2023DATA2'!$F$23,"")</f>
        <v/>
      </c>
      <c r="BZ102" s="518" t="str">
        <f>IF(AND(_AC5="B-737-800",'2023'!$O$4="CA",'2023'!$O$2=BZ81),'2023DATA2'!$G$23,"")</f>
        <v/>
      </c>
      <c r="CA102" s="518" t="str">
        <f>IF(AND(_AC5="B-737-800",'2023'!$O$4="CA",'2023'!$O$2=CA81),'2023DATA2'!$H$23,"")</f>
        <v/>
      </c>
      <c r="CB102" s="518" t="str">
        <f>IF(AND(_AC5="B-737-800",'2023'!$O$4="CA",'2023'!$O$2=CB81),'2023DATA2'!$I$23,"")</f>
        <v/>
      </c>
      <c r="CC102" s="518" t="str">
        <f>IF(AND(_AC5="B-737-800",'2023'!$O$4="CA",'2023'!$O$2=CC81),'2023DATA2'!$J$23,"")</f>
        <v/>
      </c>
      <c r="CD102" s="518" t="str">
        <f>IF(AND(_AC5="B-737-800",'2023'!$O$4="CA",'2023'!$O$2=CD81),'2023DATA2'!$K$23,"")</f>
        <v/>
      </c>
      <c r="CE102" s="518" t="str">
        <f>IF(AND(_AC5="B-737-800",'2023'!$O$4="CA",'2023'!$O$2=CE81),'2023DATA2'!$L$23,"")</f>
        <v/>
      </c>
      <c r="CF102" s="518" t="str">
        <f>IF(AND(_AC5="B-737-800",'2023'!$O$4="CA",'2023'!$O$2=CF81),'2023DATA2'!$M$23,"")</f>
        <v/>
      </c>
      <c r="CG102" s="520" t="str">
        <f>IF(AND(_AC5="B-737-800",'2023'!$O$4="CA",'2023'!$O$2=CG81),'2023DATA2'!$N$23,"")</f>
        <v/>
      </c>
      <c r="CH102" s="940" t="s">
        <v>69</v>
      </c>
      <c r="CI102" s="13" t="s">
        <v>61</v>
      </c>
      <c r="CJ102" s="518" t="str">
        <f>IF(AND(_AC6="B-737-800",'2023'!$O$4="CA",'2023'!$O$2=CJ81),'2023DATA2'!$C$23,"")</f>
        <v/>
      </c>
      <c r="CK102" s="518" t="str">
        <f>IF(AND(_AC6="B-737-800",'2023'!$O$4="CA",'2023'!$O$2=CK81),'2023DATA2'!$D$23,"")</f>
        <v/>
      </c>
      <c r="CL102" s="518" t="str">
        <f>IF(AND(_AC6="B-737-800",'2023'!$O$4="CA",'2023'!$O$2=CL81),'2023DATA2'!$E$23,"")</f>
        <v/>
      </c>
      <c r="CM102" s="518" t="str">
        <f>IF(AND(_AC6="B-737-800",'2023'!$O$4="CA",'2023'!$O$2=CM81),'2023DATA2'!$F$23,"")</f>
        <v/>
      </c>
      <c r="CN102" s="518" t="str">
        <f>IF(AND(_AC6="B-737-800",'2023'!$O$4="CA",'2023'!$O$2=CN81),'2023DATA2'!$G$23,"")</f>
        <v/>
      </c>
      <c r="CO102" s="518" t="str">
        <f>IF(AND(_AC6="B-737-800",'2023'!$O$4="CA",'2023'!$O$2=CO81),'2023DATA2'!$H$23,"")</f>
        <v/>
      </c>
      <c r="CP102" s="518" t="str">
        <f>IF(AND(_AC6="B-737-800",'2023'!$O$4="CA",'2023'!$O$2=CP81),'2023DATA2'!$I$23,"")</f>
        <v/>
      </c>
      <c r="CQ102" s="518" t="str">
        <f>IF(AND(_AC6="B-737-800",'2023'!$O$4="CA",'2023'!$O$2=CQ81),'2023DATA2'!$J$23,"")</f>
        <v/>
      </c>
      <c r="CR102" s="518" t="str">
        <f>IF(AND(_AC6="B-737-800",'2023'!$O$4="CA",'2023'!$O$2=CR81),'2023DATA2'!$K$23,"")</f>
        <v/>
      </c>
      <c r="CS102" s="518" t="str">
        <f>IF(AND(_AC6="B-737-800",'2023'!$O$4="CA",'2023'!$O$2=CS81),'2023DATA2'!$L$23,"")</f>
        <v/>
      </c>
      <c r="CT102" s="518" t="str">
        <f>IF(AND(_AC6="B-737-800",'2023'!$O$4="CA",'2023'!$O$2=CT81),'2023DATA2'!$M$23,"")</f>
        <v/>
      </c>
      <c r="CU102" s="520" t="str">
        <f>IF(AND(_AC6="B-737-800",'2023'!$O$4="CA",'2023'!$O$2=CU81),'2023DATA2'!$N$23,"")</f>
        <v/>
      </c>
    </row>
    <row r="103" spans="16:99" x14ac:dyDescent="0.25">
      <c r="P103" s="940"/>
      <c r="Q103" s="13" t="s">
        <v>62</v>
      </c>
      <c r="R103" s="518" t="str">
        <f>IF(AND(_AC1="B-737-800",'2023'!$O$4="FO",'2023'!$O$2=R81),'2023DATA2'!$C$24,"")</f>
        <v/>
      </c>
      <c r="S103" s="518" t="str">
        <f>IF(AND(_AC1="B-737-800",'2023'!$O$4="FO",'2023'!$O$2=S81),'2023DATA2'!$D$24,"")</f>
        <v/>
      </c>
      <c r="T103" s="518" t="str">
        <f>IF(AND(_AC1="B-737-800",'2023'!$O$4="FO",'2023'!$O$2=T81),'2023DATA2'!$E$24,"")</f>
        <v/>
      </c>
      <c r="U103" s="518" t="str">
        <f>IF(AND(_AC1="B-737-800",'2023'!$O$4="FO",'2023'!$O$2=U81),'2023DATA2'!$F$24,"")</f>
        <v/>
      </c>
      <c r="V103" s="518" t="str">
        <f>IF(AND(_AC1="B-737-800",'2023'!$O$4="FO",'2023'!$O$2=V81),'2023DATA2'!$G$24,"")</f>
        <v/>
      </c>
      <c r="W103" s="518" t="str">
        <f>IF(AND(_AC1="B-737-800",'2023'!$O$4="FO",'2023'!$O$2=W81),'2023DATA2'!$H$24,"")</f>
        <v/>
      </c>
      <c r="X103" s="518" t="str">
        <f>IF(AND(_AC1="B-737-800",'2023'!$O$4="FO",'2023'!$O$2=X81),'2023DATA2'!$I$24,"")</f>
        <v/>
      </c>
      <c r="Y103" s="518" t="str">
        <f>IF(AND(_AC1="B-737-800",'2023'!$O$4="FO",'2023'!$O$2=Y81),'2023DATA2'!$J$24,"")</f>
        <v/>
      </c>
      <c r="Z103" s="518" t="str">
        <f>IF(AND(_AC1="B-737-800",'2023'!$O$4="FO",'2023'!$O$2=Z81),'2023DATA2'!$K$24,"")</f>
        <v/>
      </c>
      <c r="AA103" s="518" t="str">
        <f>IF(AND(_AC1="B-737-800",'2023'!$O$4="FO",'2023'!$O$2=AA81),'2023DATA2'!$L$24,"")</f>
        <v/>
      </c>
      <c r="AB103" s="518" t="str">
        <f>IF(AND(_AC1="B-737-800",'2023'!$O$4="FO",'2023'!$O$2=AB81),'2023DATA2'!$M$24,"")</f>
        <v/>
      </c>
      <c r="AC103" s="520" t="str">
        <f>IF(AND(_AC1="B-737-800",'2023'!$O$4="FO",'2023'!$O$2=AC81),'2023DATA2'!$N$24,"")</f>
        <v/>
      </c>
      <c r="AD103" s="940"/>
      <c r="AE103" s="13" t="s">
        <v>62</v>
      </c>
      <c r="AF103" s="518" t="str">
        <f>IF(AND(_AC2="B-737-800",'2023'!$O$4="FO",'2023'!$O$2=AF81),'2023DATA2'!$C$24,"")</f>
        <v/>
      </c>
      <c r="AG103" s="518" t="str">
        <f>IF(AND(_AC2="B-737-800",'2023'!$O$4="FO",'2023'!$O$2=AG81),'2023DATA2'!$D$24,"")</f>
        <v/>
      </c>
      <c r="AH103" s="518" t="str">
        <f>IF(AND(_AC2="B-737-800",'2023'!$O$4="FO",'2023'!$O$2=AH81),'2023DATA2'!$E$24,"")</f>
        <v/>
      </c>
      <c r="AI103" s="518" t="str">
        <f>IF(AND(_AC2="B-737-800",'2023'!$O$4="FO",'2023'!$O$2=AI81),'2023DATA2'!$F$24,"")</f>
        <v/>
      </c>
      <c r="AJ103" s="518" t="str">
        <f>IF(AND(_AC2="B-737-800",'2023'!$O$4="FO",'2023'!$O$2=AJ81),'2023DATA2'!$G$24,"")</f>
        <v/>
      </c>
      <c r="AK103" s="518" t="str">
        <f>IF(AND(_AC2="B-737-800",'2023'!$O$4="FO",'2023'!$O$2=AK81),'2023DATA2'!$H$24,"")</f>
        <v/>
      </c>
      <c r="AL103" s="518" t="str">
        <f>IF(AND(_AC2="B-737-800",'2023'!$O$4="FO",'2023'!$O$2=AL81),'2023DATA2'!$I$24,"")</f>
        <v/>
      </c>
      <c r="AM103" s="518" t="str">
        <f>IF(AND(_AC2="B-737-800",'2023'!$O$4="FO",'2023'!$O$2=AM81),'2023DATA2'!$J$24,"")</f>
        <v/>
      </c>
      <c r="AN103" s="518" t="str">
        <f>IF(AND(_AC2="B-737-800",'2023'!$O$4="FO",'2023'!$O$2=AN81),'2023DATA2'!$K$24,"")</f>
        <v/>
      </c>
      <c r="AO103" s="518" t="str">
        <f>IF(AND(_AC2="B-737-800",'2023'!$O$4="FO",'2023'!$O$2=AO81),'2023DATA2'!$L$24,"")</f>
        <v/>
      </c>
      <c r="AP103" s="518" t="str">
        <f>IF(AND(_AC2="B-737-800",'2023'!$O$4="FO",'2023'!$O$2=AP81),'2023DATA2'!$M$24,"")</f>
        <v/>
      </c>
      <c r="AQ103" s="520" t="str">
        <f>IF(AND(_AC2="B-737-800",'2023'!$O$4="FO",'2023'!$O$2=AQ81),'2023DATA2'!$N$24,"")</f>
        <v/>
      </c>
      <c r="AR103" s="940"/>
      <c r="AS103" s="13" t="s">
        <v>62</v>
      </c>
      <c r="AT103" s="518" t="str">
        <f>IF(AND(_AC3="B-737-800",'2023'!$O$4="FO",'2023'!$O$2=AT81),'2023DATA2'!$C$24,"")</f>
        <v/>
      </c>
      <c r="AU103" s="518" t="str">
        <f>IF(AND(_AC3="B-737-800",'2023'!$O$4="FO",'2023'!$O$2=AU81),'2023DATA2'!$D$24,"")</f>
        <v/>
      </c>
      <c r="AV103" s="518" t="str">
        <f>IF(AND(_AC3="B-737-800",'2023'!$O$4="FO",'2023'!$O$2=AV81),'2023DATA2'!$E$24,"")</f>
        <v/>
      </c>
      <c r="AW103" s="518" t="str">
        <f>IF(AND(_AC3="B-737-800",'2023'!$O$4="FO",'2023'!$O$2=AW81),'2023DATA2'!$F$24,"")</f>
        <v/>
      </c>
      <c r="AX103" s="518" t="str">
        <f>IF(AND(_AC3="B-737-800",'2023'!$O$4="FO",'2023'!$O$2=AX81),'2023DATA2'!$G$24,"")</f>
        <v/>
      </c>
      <c r="AY103" s="518" t="str">
        <f>IF(AND(_AC3="B-737-800",'2023'!$O$4="FO",'2023'!$O$2=AY81),'2023DATA2'!$H$24,"")</f>
        <v/>
      </c>
      <c r="AZ103" s="518" t="str">
        <f>IF(AND(_AC3="B-737-800",'2023'!$O$4="FO",'2023'!$O$2=AZ81),'2023DATA2'!$I$24,"")</f>
        <v/>
      </c>
      <c r="BA103" s="518" t="str">
        <f>IF(AND(_AC3="B-737-800",'2023'!$O$4="FO",'2023'!$O$2=BA81),'2023DATA2'!$J$24,"")</f>
        <v/>
      </c>
      <c r="BB103" s="518" t="str">
        <f>IF(AND(_AC3="B-737-800",'2023'!$O$4="FO",'2023'!$O$2=BB81),'2023DATA2'!$K$24,"")</f>
        <v/>
      </c>
      <c r="BC103" s="518" t="str">
        <f>IF(AND(_AC3="B-737-800",'2023'!$O$4="FO",'2023'!$O$2=BC81),'2023DATA2'!$L$24,"")</f>
        <v/>
      </c>
      <c r="BD103" s="518" t="str">
        <f>IF(AND(_AC3="B-737-800",'2023'!$O$4="FO",'2023'!$O$2=BD81),'2023DATA2'!$M$24,"")</f>
        <v/>
      </c>
      <c r="BE103" s="520" t="str">
        <f>IF(AND(_AC3="B-737-800",'2023'!$O$4="FO",'2023'!$O$2=BE81),'2023DATA2'!$N$24,"")</f>
        <v/>
      </c>
      <c r="BF103" s="940"/>
      <c r="BG103" s="13" t="s">
        <v>62</v>
      </c>
      <c r="BH103" s="518" t="str">
        <f>IF(AND(_AC4="B-737-800",'2023'!$O$4="FO",'2023'!$O$2=BH81),'2023DATA2'!$C$24,"")</f>
        <v/>
      </c>
      <c r="BI103" s="518" t="str">
        <f>IF(AND(_AC4="B-737-800",'2023'!$O$4="FO",'2023'!$O$2=BI81),'2023DATA2'!$D$24,"")</f>
        <v/>
      </c>
      <c r="BJ103" s="518" t="str">
        <f>IF(AND(_AC4="B-737-800",'2023'!$O$4="FO",'2023'!$O$2=BJ81),'2023DATA2'!$E$24,"")</f>
        <v/>
      </c>
      <c r="BK103" s="518" t="str">
        <f>IF(AND(_AC4="B-737-800",'2023'!$O$4="FO",'2023'!$O$2=BK81),'2023DATA2'!$F$24,"")</f>
        <v/>
      </c>
      <c r="BL103" s="518" t="str">
        <f>IF(AND(_AC4="B-737-800",'2023'!$O$4="FO",'2023'!$O$2=BL81),'2023DATA2'!$G$24,"")</f>
        <v/>
      </c>
      <c r="BM103" s="518" t="str">
        <f>IF(AND(_AC4="B-737-800",'2023'!$O$4="FO",'2023'!$O$2=BM81),'2023DATA2'!$H$24,"")</f>
        <v/>
      </c>
      <c r="BN103" s="518" t="str">
        <f>IF(AND(_AC4="B-737-800",'2023'!$O$4="FO",'2023'!$O$2=BN81),'2023DATA2'!$I$24,"")</f>
        <v/>
      </c>
      <c r="BO103" s="518" t="str">
        <f>IF(AND(_AC4="B-737-800",'2023'!$O$4="FO",'2023'!$O$2=BO81),'2023DATA2'!$J$24,"")</f>
        <v/>
      </c>
      <c r="BP103" s="518" t="str">
        <f>IF(AND(_AC4="B-737-800",'2023'!$O$4="FO",'2023'!$O$2=BP81),'2023DATA2'!$K$24,"")</f>
        <v/>
      </c>
      <c r="BQ103" s="518" t="str">
        <f>IF(AND(_AC4="B-737-800",'2023'!$O$4="FO",'2023'!$O$2=BQ81),'2023DATA2'!$L$24,"")</f>
        <v/>
      </c>
      <c r="BR103" s="518" t="str">
        <f>IF(AND(_AC4="B-737-800",'2023'!$O$4="FO",'2023'!$O$2=BR81),'2023DATA2'!$M$24,"")</f>
        <v/>
      </c>
      <c r="BS103" s="520" t="str">
        <f>IF(AND(_AC4="B-737-800",'2023'!$O$4="FO",'2023'!$O$2=BS81),'2023DATA2'!$N$24,"")</f>
        <v/>
      </c>
      <c r="BT103" s="940"/>
      <c r="BU103" s="13" t="s">
        <v>62</v>
      </c>
      <c r="BV103" s="518" t="str">
        <f>IF(AND(_AC5="B-737-800",'2023'!$O$4="FO",'2023'!$O$2=BV81),'2023DATA2'!$C$24,"")</f>
        <v/>
      </c>
      <c r="BW103" s="518" t="str">
        <f>IF(AND(_AC5="B-737-800",'2023'!$O$4="FO",'2023'!$O$2=BW81),'2023DATA2'!$D$24,"")</f>
        <v/>
      </c>
      <c r="BX103" s="518" t="str">
        <f>IF(AND(_AC5="B-737-800",'2023'!$O$4="FO",'2023'!$O$2=BX81),'2023DATA2'!$E$24,"")</f>
        <v/>
      </c>
      <c r="BY103" s="518" t="str">
        <f>IF(AND(_AC5="B-737-800",'2023'!$O$4="FO",'2023'!$O$2=BY81),'2023DATA2'!$F$24,"")</f>
        <v/>
      </c>
      <c r="BZ103" s="518" t="str">
        <f>IF(AND(_AC5="B-737-800",'2023'!$O$4="FO",'2023'!$O$2=BZ81),'2023DATA2'!$G$24,"")</f>
        <v/>
      </c>
      <c r="CA103" s="518" t="str">
        <f>IF(AND(_AC5="B-737-800",'2023'!$O$4="FO",'2023'!$O$2=CA81),'2023DATA2'!$H$24,"")</f>
        <v/>
      </c>
      <c r="CB103" s="518" t="str">
        <f>IF(AND(_AC5="B-737-800",'2023'!$O$4="FO",'2023'!$O$2=CB81),'2023DATA2'!$I$24,"")</f>
        <v/>
      </c>
      <c r="CC103" s="518" t="str">
        <f>IF(AND(_AC5="B-737-800",'2023'!$O$4="FO",'2023'!$O$2=CC81),'2023DATA2'!$J$24,"")</f>
        <v/>
      </c>
      <c r="CD103" s="518" t="str">
        <f>IF(AND(_AC5="B-737-800",'2023'!$O$4="FO",'2023'!$O$2=CD81),'2023DATA2'!$K$24,"")</f>
        <v/>
      </c>
      <c r="CE103" s="518" t="str">
        <f>IF(AND(_AC5="B-737-800",'2023'!$O$4="FO",'2023'!$O$2=CE81),'2023DATA2'!$L$24,"")</f>
        <v/>
      </c>
      <c r="CF103" s="518" t="str">
        <f>IF(AND(_AC5="B-737-800",'2023'!$O$4="FO",'2023'!$O$2=CF81),'2023DATA2'!$M$24,"")</f>
        <v/>
      </c>
      <c r="CG103" s="520" t="str">
        <f>IF(AND(_AC5="B-737-800",'2023'!$O$4="FO",'2023'!$O$2=CG81),'2023DATA2'!$N$24,"")</f>
        <v/>
      </c>
      <c r="CH103" s="940"/>
      <c r="CI103" s="13" t="s">
        <v>62</v>
      </c>
      <c r="CJ103" s="518" t="str">
        <f>IF(AND(_AC6="B-737-800",'2023'!$O$4="FO",'2023'!$O$2=CJ81),'2023DATA2'!$C$24,"")</f>
        <v/>
      </c>
      <c r="CK103" s="518" t="str">
        <f>IF(AND(_AC6="B-737-800",'2023'!$O$4="FO",'2023'!$O$2=CK81),'2023DATA2'!$D$24,"")</f>
        <v/>
      </c>
      <c r="CL103" s="518" t="str">
        <f>IF(AND(_AC6="B-737-800",'2023'!$O$4="FO",'2023'!$O$2=CL81),'2023DATA2'!$E$24,"")</f>
        <v/>
      </c>
      <c r="CM103" s="518" t="str">
        <f>IF(AND(_AC6="B-737-800",'2023'!$O$4="FO",'2023'!$O$2=CM81),'2023DATA2'!$F$24,"")</f>
        <v/>
      </c>
      <c r="CN103" s="518" t="str">
        <f>IF(AND(_AC6="B-737-800",'2023'!$O$4="FO",'2023'!$O$2=CN81),'2023DATA2'!$G$24,"")</f>
        <v/>
      </c>
      <c r="CO103" s="518" t="str">
        <f>IF(AND(_AC6="B-737-800",'2023'!$O$4="FO",'2023'!$O$2=CO81),'2023DATA2'!$H$24,"")</f>
        <v/>
      </c>
      <c r="CP103" s="518" t="str">
        <f>IF(AND(_AC6="B-737-800",'2023'!$O$4="FO",'2023'!$O$2=CP81),'2023DATA2'!$I$24,"")</f>
        <v/>
      </c>
      <c r="CQ103" s="518" t="str">
        <f>IF(AND(_AC6="B-737-800",'2023'!$O$4="FO",'2023'!$O$2=CQ81),'2023DATA2'!$J$24,"")</f>
        <v/>
      </c>
      <c r="CR103" s="518" t="str">
        <f>IF(AND(_AC6="B-737-800",'2023'!$O$4="FO",'2023'!$O$2=CR81),'2023DATA2'!$K$24,"")</f>
        <v/>
      </c>
      <c r="CS103" s="518" t="str">
        <f>IF(AND(_AC6="B-737-800",'2023'!$O$4="FO",'2023'!$O$2=CS81),'2023DATA2'!$L$24,"")</f>
        <v/>
      </c>
      <c r="CT103" s="518" t="str">
        <f>IF(AND(_AC6="B-737-800",'2023'!$O$4="FO",'2023'!$O$2=CT81),'2023DATA2'!$M$24,"")</f>
        <v/>
      </c>
      <c r="CU103" s="520" t="str">
        <f>IF(AND(_AC6="B-737-800",'2023'!$O$4="FO",'2023'!$O$2=CU81),'2023DATA2'!$N$24,"")</f>
        <v/>
      </c>
    </row>
    <row r="104" spans="16:99" x14ac:dyDescent="0.25">
      <c r="P104" s="940" t="s">
        <v>46</v>
      </c>
      <c r="Q104" s="13" t="s">
        <v>61</v>
      </c>
      <c r="R104" s="518" t="str">
        <f>IF(AND(_AC1="A-321N",'2023'!$O$4="CA",'2023'!$O$2=R81),'2023DATA2'!$C$25,"")</f>
        <v/>
      </c>
      <c r="S104" s="518" t="str">
        <f>IF(AND(_AC1="A-321N",'2023'!$O$4="CA",'2023'!$O$2=S81),'2023DATA2'!$D$25,"")</f>
        <v/>
      </c>
      <c r="T104" s="518" t="str">
        <f>IF(AND(_AC1="A-321N",'2023'!$O$4="CA",'2023'!$O$2=T81),'2023DATA2'!$E$25,"")</f>
        <v/>
      </c>
      <c r="U104" s="518" t="str">
        <f>IF(AND(_AC1="A-321N",'2023'!$O$4="CA",'2023'!$O$2=U81),'2023DATA2'!$F$25,"")</f>
        <v/>
      </c>
      <c r="V104" s="518" t="str">
        <f>IF(AND(_AC1="A-321N",'2023'!$O$4="CA",'2023'!$O$2=V81),'2023DATA2'!$G$25,"")</f>
        <v/>
      </c>
      <c r="W104" s="518" t="str">
        <f>IF(AND(_AC1="A-321N",'2023'!$O$4="CA",'2023'!$O$2=W81),'2023DATA2'!$H$25,"")</f>
        <v/>
      </c>
      <c r="X104" s="518" t="str">
        <f>IF(AND(_AC1="A-321N",'2023'!$O$4="CA",'2023'!$O$2=X81),'2023DATA2'!$I$25,"")</f>
        <v/>
      </c>
      <c r="Y104" s="518" t="str">
        <f>IF(AND(_AC1="A-321N",'2023'!$O$4="CA",'2023'!$O$2=Y81),'2023DATA2'!$J$25,"")</f>
        <v/>
      </c>
      <c r="Z104" s="518" t="str">
        <f>IF(AND(_AC1="A-321N",'2023'!$O$4="CA",'2023'!$O$2=Z81),'2023DATA2'!$K$25,"")</f>
        <v/>
      </c>
      <c r="AA104" s="518" t="str">
        <f>IF(AND(_AC1="A-321N",'2023'!$O$4="CA",'2023'!$O$2=AA81),'2023DATA2'!$L$25,"")</f>
        <v/>
      </c>
      <c r="AB104" s="518" t="str">
        <f>IF(AND(_AC1="A-321N",'2023'!$O$4="CA",'2023'!$O$2=AB81),'2023DATA2'!$M$25,"")</f>
        <v/>
      </c>
      <c r="AC104" s="520" t="str">
        <f>IF(AND(_AC1="A-321N",'2023'!$O$4="CA",'2023'!$O$2=AC81),'2023DATA2'!$N$25,"")</f>
        <v/>
      </c>
      <c r="AD104" s="940" t="s">
        <v>46</v>
      </c>
      <c r="AE104" s="13" t="s">
        <v>61</v>
      </c>
      <c r="AF104" s="518" t="str">
        <f>IF(AND(_AC2="A-321N",'2023'!$O$4="CA",'2023'!$O$2=AF81),'2023DATA2'!$C$25,"")</f>
        <v/>
      </c>
      <c r="AG104" s="518" t="str">
        <f>IF(AND(_AC2="A-321N",'2023'!$O$4="CA",'2023'!$O$2=AG81),'2023DATA2'!$D$25,"")</f>
        <v/>
      </c>
      <c r="AH104" s="518" t="str">
        <f>IF(AND(_AC2="A-321N",'2023'!$O$4="CA",'2023'!$O$2=AH81),'2023DATA2'!$E$25,"")</f>
        <v/>
      </c>
      <c r="AI104" s="518" t="str">
        <f>IF(AND(_AC2="A-321N",'2023'!$O$4="CA",'2023'!$O$2=AI81),'2023DATA2'!$F$25,"")</f>
        <v/>
      </c>
      <c r="AJ104" s="518" t="str">
        <f>IF(AND(_AC2="A-321N",'2023'!$O$4="CA",'2023'!$O$2=AJ81),'2023DATA2'!$G$25,"")</f>
        <v/>
      </c>
      <c r="AK104" s="518" t="str">
        <f>IF(AND(_AC2="A-321N",'2023'!$O$4="CA",'2023'!$O$2=AK81),'2023DATA2'!$H$25,"")</f>
        <v/>
      </c>
      <c r="AL104" s="518" t="str">
        <f>IF(AND(_AC2="A-321N",'2023'!$O$4="CA",'2023'!$O$2=AL81),'2023DATA2'!$I$25,"")</f>
        <v/>
      </c>
      <c r="AM104" s="518" t="str">
        <f>IF(AND(_AC2="A-321N",'2023'!$O$4="CA",'2023'!$O$2=AM81),'2023DATA2'!$J$25,"")</f>
        <v/>
      </c>
      <c r="AN104" s="518" t="str">
        <f>IF(AND(_AC2="A-321N",'2023'!$O$4="CA",'2023'!$O$2=AN81),'2023DATA2'!$K$25,"")</f>
        <v/>
      </c>
      <c r="AO104" s="518" t="str">
        <f>IF(AND(_AC2="A-321N",'2023'!$O$4="CA",'2023'!$O$2=AO81),'2023DATA2'!$L$25,"")</f>
        <v/>
      </c>
      <c r="AP104" s="518" t="str">
        <f>IF(AND(_AC2="A-321N",'2023'!$O$4="CA",'2023'!$O$2=AP81),'2023DATA2'!$M$25,"")</f>
        <v/>
      </c>
      <c r="AQ104" s="520" t="str">
        <f>IF(AND(_AC2="A-321N",'2023'!$O$4="CA",'2023'!$O$2=AQ81),'2023DATA2'!$N$25,"")</f>
        <v/>
      </c>
      <c r="AR104" s="940" t="s">
        <v>46</v>
      </c>
      <c r="AS104" s="13" t="s">
        <v>61</v>
      </c>
      <c r="AT104" s="518" t="str">
        <f>IF(AND(_AC3="A-321N",'2023'!$O$4="CA",'2023'!$O$2=AT81),'2023DATA2'!$C$25,"")</f>
        <v/>
      </c>
      <c r="AU104" s="518" t="str">
        <f>IF(AND(_AC3="A-321N",'2023'!$O$4="CA",'2023'!$O$2=AU81),'2023DATA2'!$D$25,"")</f>
        <v/>
      </c>
      <c r="AV104" s="518" t="str">
        <f>IF(AND(_AC3="A-321N",'2023'!$O$4="CA",'2023'!$O$2=AV81),'2023DATA2'!$E$25,"")</f>
        <v/>
      </c>
      <c r="AW104" s="518" t="str">
        <f>IF(AND(_AC3="A-321N",'2023'!$O$4="CA",'2023'!$O$2=AW81),'2023DATA2'!$F$25,"")</f>
        <v/>
      </c>
      <c r="AX104" s="518" t="str">
        <f>IF(AND(_AC3="A-321N",'2023'!$O$4="CA",'2023'!$O$2=AX81),'2023DATA2'!$G$25,"")</f>
        <v/>
      </c>
      <c r="AY104" s="518" t="str">
        <f>IF(AND(_AC3="A-321N",'2023'!$O$4="CA",'2023'!$O$2=AY81),'2023DATA2'!$H$25,"")</f>
        <v/>
      </c>
      <c r="AZ104" s="518" t="str">
        <f>IF(AND(_AC3="A-321N",'2023'!$O$4="CA",'2023'!$O$2=AZ81),'2023DATA2'!$I$25,"")</f>
        <v/>
      </c>
      <c r="BA104" s="518" t="str">
        <f>IF(AND(_AC3="A-321N",'2023'!$O$4="CA",'2023'!$O$2=BA81),'2023DATA2'!$J$25,"")</f>
        <v/>
      </c>
      <c r="BB104" s="518" t="str">
        <f>IF(AND(_AC3="A-321N",'2023'!$O$4="CA",'2023'!$O$2=BB81),'2023DATA2'!$K$25,"")</f>
        <v/>
      </c>
      <c r="BC104" s="518" t="str">
        <f>IF(AND(_AC3="A-321N",'2023'!$O$4="CA",'2023'!$O$2=BC81),'2023DATA2'!$L$25,"")</f>
        <v/>
      </c>
      <c r="BD104" s="518" t="str">
        <f>IF(AND(_AC3="A-321N",'2023'!$O$4="CA",'2023'!$O$2=BD81),'2023DATA2'!$M$25,"")</f>
        <v/>
      </c>
      <c r="BE104" s="520" t="str">
        <f>IF(AND(_AC3="A-321N",'2023'!$O$4="CA",'2023'!$O$2=BE81),'2023DATA2'!$N$25,"")</f>
        <v/>
      </c>
      <c r="BF104" s="940" t="s">
        <v>46</v>
      </c>
      <c r="BG104" s="13" t="s">
        <v>61</v>
      </c>
      <c r="BH104" s="518" t="str">
        <f>IF(AND(_AC4="A-321N",'2023'!$O$4="CA",'2023'!$O$2=BH81),'2023DATA2'!$C$25,"")</f>
        <v/>
      </c>
      <c r="BI104" s="518" t="str">
        <f>IF(AND(_AC4="A-321N",'2023'!$O$4="CA",'2023'!$O$2=BI81),'2023DATA2'!$D$25,"")</f>
        <v/>
      </c>
      <c r="BJ104" s="518" t="str">
        <f>IF(AND(_AC4="A-321N",'2023'!$O$4="CA",'2023'!$O$2=BJ81),'2023DATA2'!$E$25,"")</f>
        <v/>
      </c>
      <c r="BK104" s="518" t="str">
        <f>IF(AND(_AC4="A-321N",'2023'!$O$4="CA",'2023'!$O$2=BK81),'2023DATA2'!$F$25,"")</f>
        <v/>
      </c>
      <c r="BL104" s="518" t="str">
        <f>IF(AND(_AC4="A-321N",'2023'!$O$4="CA",'2023'!$O$2=BL81),'2023DATA2'!$G$25,"")</f>
        <v/>
      </c>
      <c r="BM104" s="518" t="str">
        <f>IF(AND(_AC4="A-321N",'2023'!$O$4="CA",'2023'!$O$2=BM81),'2023DATA2'!$H$25,"")</f>
        <v/>
      </c>
      <c r="BN104" s="518" t="str">
        <f>IF(AND(_AC4="A-321N",'2023'!$O$4="CA",'2023'!$O$2=BN81),'2023DATA2'!$I$25,"")</f>
        <v/>
      </c>
      <c r="BO104" s="518" t="str">
        <f>IF(AND(_AC4="A-321N",'2023'!$O$4="CA",'2023'!$O$2=BO81),'2023DATA2'!$J$25,"")</f>
        <v/>
      </c>
      <c r="BP104" s="518" t="str">
        <f>IF(AND(_AC4="A-321N",'2023'!$O$4="CA",'2023'!$O$2=BP81),'2023DATA2'!$K$25,"")</f>
        <v/>
      </c>
      <c r="BQ104" s="518" t="str">
        <f>IF(AND(_AC4="A-321N",'2023'!$O$4="CA",'2023'!$O$2=BQ81),'2023DATA2'!$L$25,"")</f>
        <v/>
      </c>
      <c r="BR104" s="518" t="str">
        <f>IF(AND(_AC4="A-321N",'2023'!$O$4="CA",'2023'!$O$2=BR81),'2023DATA2'!$M$25,"")</f>
        <v/>
      </c>
      <c r="BS104" s="520" t="str">
        <f>IF(AND(_AC4="A-321N",'2023'!$O$4="CA",'2023'!$O$2=BS81),'2023DATA2'!$N$25,"")</f>
        <v/>
      </c>
      <c r="BT104" s="940" t="s">
        <v>46</v>
      </c>
      <c r="BU104" s="13" t="s">
        <v>61</v>
      </c>
      <c r="BV104" s="518" t="str">
        <f>IF(AND(_AC5="A-321N",'2023'!$O$4="CA",'2023'!$O$2=BV81),'2023DATA2'!$C$25,"")</f>
        <v/>
      </c>
      <c r="BW104" s="518" t="str">
        <f>IF(AND(_AC5="A-321N",'2023'!$O$4="CA",'2023'!$O$2=BW81),'2023DATA2'!$D$25,"")</f>
        <v/>
      </c>
      <c r="BX104" s="518" t="str">
        <f>IF(AND(_AC5="A-321N",'2023'!$O$4="CA",'2023'!$O$2=BX81),'2023DATA2'!$E$25,"")</f>
        <v/>
      </c>
      <c r="BY104" s="518" t="str">
        <f>IF(AND(_AC5="A-321N",'2023'!$O$4="CA",'2023'!$O$2=BY81),'2023DATA2'!$F$25,"")</f>
        <v/>
      </c>
      <c r="BZ104" s="518" t="str">
        <f>IF(AND(_AC5="A-321N",'2023'!$O$4="CA",'2023'!$O$2=BZ81),'2023DATA2'!$G$25,"")</f>
        <v/>
      </c>
      <c r="CA104" s="518" t="str">
        <f>IF(AND(_AC5="A-321N",'2023'!$O$4="CA",'2023'!$O$2=CA81),'2023DATA2'!$H$25,"")</f>
        <v/>
      </c>
      <c r="CB104" s="518" t="str">
        <f>IF(AND(_AC5="A-321N",'2023'!$O$4="CA",'2023'!$O$2=CB81),'2023DATA2'!$I$25,"")</f>
        <v/>
      </c>
      <c r="CC104" s="518" t="str">
        <f>IF(AND(_AC5="A-321N",'2023'!$O$4="CA",'2023'!$O$2=CC81),'2023DATA2'!$J$25,"")</f>
        <v/>
      </c>
      <c r="CD104" s="518" t="str">
        <f>IF(AND(_AC5="A-321N",'2023'!$O$4="CA",'2023'!$O$2=CD81),'2023DATA2'!$K$25,"")</f>
        <v/>
      </c>
      <c r="CE104" s="518" t="str">
        <f>IF(AND(_AC5="A-321N",'2023'!$O$4="CA",'2023'!$O$2=CE81),'2023DATA2'!$L$25,"")</f>
        <v/>
      </c>
      <c r="CF104" s="518" t="str">
        <f>IF(AND(_AC5="A-321N",'2023'!$O$4="CA",'2023'!$O$2=CF81),'2023DATA2'!$M$25,"")</f>
        <v/>
      </c>
      <c r="CG104" s="520" t="str">
        <f>IF(AND(_AC5="A-321N",'2023'!$O$4="CA",'2023'!$O$2=CG81),'2023DATA2'!$N$25,"")</f>
        <v/>
      </c>
      <c r="CH104" s="940" t="s">
        <v>46</v>
      </c>
      <c r="CI104" s="13" t="s">
        <v>61</v>
      </c>
      <c r="CJ104" s="518" t="str">
        <f>IF(AND(_AC6="A-321N",'2023'!$O$4="CA",'2023'!$O$2=CJ81),'2023DATA2'!$C$25,"")</f>
        <v/>
      </c>
      <c r="CK104" s="518" t="str">
        <f>IF(AND(_AC6="A-321N",'2023'!$O$4="CA",'2023'!$O$2=CK81),'2023DATA2'!$D$25,"")</f>
        <v/>
      </c>
      <c r="CL104" s="518" t="str">
        <f>IF(AND(_AC6="A-321N",'2023'!$O$4="CA",'2023'!$O$2=CL81),'2023DATA2'!$E$25,"")</f>
        <v/>
      </c>
      <c r="CM104" s="518" t="str">
        <f>IF(AND(_AC6="A-321N",'2023'!$O$4="CA",'2023'!$O$2=CM81),'2023DATA2'!$F$25,"")</f>
        <v/>
      </c>
      <c r="CN104" s="518" t="str">
        <f>IF(AND(_AC6="A-321N",'2023'!$O$4="CA",'2023'!$O$2=CN81),'2023DATA2'!$G$25,"")</f>
        <v/>
      </c>
      <c r="CO104" s="518" t="str">
        <f>IF(AND(_AC6="A-321N",'2023'!$O$4="CA",'2023'!$O$2=CO81),'2023DATA2'!$H$25,"")</f>
        <v/>
      </c>
      <c r="CP104" s="518" t="str">
        <f>IF(AND(_AC6="A-321N",'2023'!$O$4="CA",'2023'!$O$2=CP81),'2023DATA2'!$I$25,"")</f>
        <v/>
      </c>
      <c r="CQ104" s="518" t="str">
        <f>IF(AND(_AC6="A-321N",'2023'!$O$4="CA",'2023'!$O$2=CQ81),'2023DATA2'!$J$25,"")</f>
        <v/>
      </c>
      <c r="CR104" s="518" t="str">
        <f>IF(AND(_AC6="A-321N",'2023'!$O$4="CA",'2023'!$O$2=CR81),'2023DATA2'!$K$25,"")</f>
        <v/>
      </c>
      <c r="CS104" s="518" t="str">
        <f>IF(AND(_AC6="A-321N",'2023'!$O$4="CA",'2023'!$O$2=CS81),'2023DATA2'!$L$25,"")</f>
        <v/>
      </c>
      <c r="CT104" s="518" t="str">
        <f>IF(AND(_AC6="A-321N",'2023'!$O$4="CA",'2023'!$O$2=CT81),'2023DATA2'!$M$25,"")</f>
        <v/>
      </c>
      <c r="CU104" s="520" t="str">
        <f>IF(AND(_AC6="A-321N",'2023'!$O$4="CA",'2023'!$O$2=CU81),'2023DATA2'!$N$25,"")</f>
        <v/>
      </c>
    </row>
    <row r="105" spans="16:99" x14ac:dyDescent="0.25">
      <c r="P105" s="940"/>
      <c r="Q105" s="13" t="s">
        <v>62</v>
      </c>
      <c r="R105" s="518" t="str">
        <f>IF(AND(_AC1="A-321N",'2023'!$O$4="FO",'2023'!$O$2=R81),'2023DATA2'!$C$26,"")</f>
        <v/>
      </c>
      <c r="S105" s="518" t="str">
        <f>IF(AND(_AC1="A-321N",'2023'!$O$4="FO",'2023'!$O$2=S81),'2023DATA2'!$D$26,"")</f>
        <v/>
      </c>
      <c r="T105" s="518" t="str">
        <f>IF(AND(_AC1="A-321N",'2023'!$O$4="FO",'2023'!$O$2=T81),'2023DATA2'!$E$26,"")</f>
        <v/>
      </c>
      <c r="U105" s="518" t="str">
        <f>IF(AND(_AC1="A-321N",'2023'!$O$4="FO",'2023'!$O$2=U81),'2023DATA2'!$F$26,"")</f>
        <v/>
      </c>
      <c r="V105" s="518" t="str">
        <f>IF(AND(_AC1="A-321N",'2023'!$O$4="FO",'2023'!$O$2=V81),'2023DATA2'!$G$26,"")</f>
        <v/>
      </c>
      <c r="W105" s="518" t="str">
        <f>IF(AND(_AC1="A-321N",'2023'!$O$4="FO",'2023'!$O$2=W81),'2023DATA2'!$H$26,"")</f>
        <v/>
      </c>
      <c r="X105" s="518" t="str">
        <f>IF(AND(_AC1="A-321N",'2023'!$O$4="FO",'2023'!$O$2=X81),'2023DATA2'!$I$26,"")</f>
        <v/>
      </c>
      <c r="Y105" s="518" t="str">
        <f>IF(AND(_AC1="A-321N",'2023'!$O$4="FO",'2023'!$O$2=Y81),'2023DATA2'!$J$26,"")</f>
        <v/>
      </c>
      <c r="Z105" s="518" t="str">
        <f>IF(AND(_AC1="A-321N",'2023'!$O$4="FO",'2023'!$O$2=Z81),'2023DATA2'!$K$26,"")</f>
        <v/>
      </c>
      <c r="AA105" s="518" t="str">
        <f>IF(AND(_AC1="A-321N",'2023'!$O$4="FO",'2023'!$O$2=AA81),'2023DATA2'!$L$26,"")</f>
        <v/>
      </c>
      <c r="AB105" s="518" t="str">
        <f>IF(AND(_AC1="A-321N",'2023'!$O$4="FO",'2023'!$O$2=AB81),'2023DATA2'!$M$26,"")</f>
        <v/>
      </c>
      <c r="AC105" s="520" t="str">
        <f>IF(AND(_AC1="A-321N",'2023'!$O$4="FO",'2023'!$O$2=AC81),'2023DATA2'!$N$26,"")</f>
        <v/>
      </c>
      <c r="AD105" s="940"/>
      <c r="AE105" s="13" t="s">
        <v>62</v>
      </c>
      <c r="AF105" s="518" t="str">
        <f>IF(AND(_AC2="A-321N",'2023'!$O$4="FO",'2023'!$O$2=AF81),'2023DATA2'!$C$26,"")</f>
        <v/>
      </c>
      <c r="AG105" s="518" t="str">
        <f>IF(AND(_AC2="A-321N",'2023'!$O$4="FO",'2023'!$O$2=AG81),'2023DATA2'!$D$26,"")</f>
        <v/>
      </c>
      <c r="AH105" s="518" t="str">
        <f>IF(AND(_AC2="A-321N",'2023'!$O$4="FO",'2023'!$O$2=AH81),'2023DATA2'!$E$26,"")</f>
        <v/>
      </c>
      <c r="AI105" s="518" t="str">
        <f>IF(AND(_AC2="A-321N",'2023'!$O$4="FO",'2023'!$O$2=AI81),'2023DATA2'!$F$26,"")</f>
        <v/>
      </c>
      <c r="AJ105" s="518" t="str">
        <f>IF(AND(_AC2="A-321N",'2023'!$O$4="FO",'2023'!$O$2=AJ81),'2023DATA2'!$G$26,"")</f>
        <v/>
      </c>
      <c r="AK105" s="518" t="str">
        <f>IF(AND(_AC2="A-321N",'2023'!$O$4="FO",'2023'!$O$2=AK81),'2023DATA2'!$H$26,"")</f>
        <v/>
      </c>
      <c r="AL105" s="518" t="str">
        <f>IF(AND(_AC2="A-321N",'2023'!$O$4="FO",'2023'!$O$2=AL81),'2023DATA2'!$I$26,"")</f>
        <v/>
      </c>
      <c r="AM105" s="518" t="str">
        <f>IF(AND(_AC2="A-321N",'2023'!$O$4="FO",'2023'!$O$2=AM81),'2023DATA2'!$J$26,"")</f>
        <v/>
      </c>
      <c r="AN105" s="518" t="str">
        <f>IF(AND(_AC2="A-321N",'2023'!$O$4="FO",'2023'!$O$2=AN81),'2023DATA2'!$K$26,"")</f>
        <v/>
      </c>
      <c r="AO105" s="518" t="str">
        <f>IF(AND(_AC2="A-321N",'2023'!$O$4="FO",'2023'!$O$2=AO81),'2023DATA2'!$L$26,"")</f>
        <v/>
      </c>
      <c r="AP105" s="518" t="str">
        <f>IF(AND(_AC2="A-321N",'2023'!$O$4="FO",'2023'!$O$2=AP81),'2023DATA2'!$M$26,"")</f>
        <v/>
      </c>
      <c r="AQ105" s="520" t="str">
        <f>IF(AND(_AC2="A-321N",'2023'!$O$4="FO",'2023'!$O$2=AQ81),'2023DATA2'!$N$26,"")</f>
        <v/>
      </c>
      <c r="AR105" s="940"/>
      <c r="AS105" s="13" t="s">
        <v>62</v>
      </c>
      <c r="AT105" s="518" t="str">
        <f>IF(AND(_AC3="A-321N",'2023'!$O$4="FO",'2023'!$O$2=AT81),'2023DATA2'!$C$26,"")</f>
        <v/>
      </c>
      <c r="AU105" s="518" t="str">
        <f>IF(AND(_AC3="A-321N",'2023'!$O$4="FO",'2023'!$O$2=AU81),'2023DATA2'!$D$26,"")</f>
        <v/>
      </c>
      <c r="AV105" s="518" t="str">
        <f>IF(AND(_AC3="A-321N",'2023'!$O$4="FO",'2023'!$O$2=AV81),'2023DATA2'!$E$26,"")</f>
        <v/>
      </c>
      <c r="AW105" s="518" t="str">
        <f>IF(AND(_AC3="A-321N",'2023'!$O$4="FO",'2023'!$O$2=AW81),'2023DATA2'!$F$26,"")</f>
        <v/>
      </c>
      <c r="AX105" s="518" t="str">
        <f>IF(AND(_AC3="A-321N",'2023'!$O$4="FO",'2023'!$O$2=AX81),'2023DATA2'!$G$26,"")</f>
        <v/>
      </c>
      <c r="AY105" s="518" t="str">
        <f>IF(AND(_AC3="A-321N",'2023'!$O$4="FO",'2023'!$O$2=AY81),'2023DATA2'!$H$26,"")</f>
        <v/>
      </c>
      <c r="AZ105" s="518" t="str">
        <f>IF(AND(_AC3="A-321N",'2023'!$O$4="FO",'2023'!$O$2=AZ81),'2023DATA2'!$I$26,"")</f>
        <v/>
      </c>
      <c r="BA105" s="518" t="str">
        <f>IF(AND(_AC3="A-321N",'2023'!$O$4="FO",'2023'!$O$2=BA81),'2023DATA2'!$J$26,"")</f>
        <v/>
      </c>
      <c r="BB105" s="518" t="str">
        <f>IF(AND(_AC3="A-321N",'2023'!$O$4="FO",'2023'!$O$2=BB81),'2023DATA2'!$K$26,"")</f>
        <v/>
      </c>
      <c r="BC105" s="518" t="str">
        <f>IF(AND(_AC3="A-321N",'2023'!$O$4="FO",'2023'!$O$2=BC81),'2023DATA2'!$L$26,"")</f>
        <v/>
      </c>
      <c r="BD105" s="518" t="str">
        <f>IF(AND(_AC3="A-321N",'2023'!$O$4="FO",'2023'!$O$2=BD81),'2023DATA2'!$M$26,"")</f>
        <v/>
      </c>
      <c r="BE105" s="520" t="str">
        <f>IF(AND(_AC3="A-321N",'2023'!$O$4="FO",'2023'!$O$2=BE81),'2023DATA2'!$N$26,"")</f>
        <v/>
      </c>
      <c r="BF105" s="940"/>
      <c r="BG105" s="13" t="s">
        <v>62</v>
      </c>
      <c r="BH105" s="518" t="str">
        <f>IF(AND(_AC4="A-321N",'2023'!$O$4="FO",'2023'!$O$2=BH81),'2023DATA2'!$C$26,"")</f>
        <v/>
      </c>
      <c r="BI105" s="518" t="str">
        <f>IF(AND(_AC4="A-321N",'2023'!$O$4="FO",'2023'!$O$2=BI81),'2023DATA2'!$D$26,"")</f>
        <v/>
      </c>
      <c r="BJ105" s="518" t="str">
        <f>IF(AND(_AC4="A-321N",'2023'!$O$4="FO",'2023'!$O$2=BJ81),'2023DATA2'!$E$26,"")</f>
        <v/>
      </c>
      <c r="BK105" s="518" t="str">
        <f>IF(AND(_AC4="A-321N",'2023'!$O$4="FO",'2023'!$O$2=BK81),'2023DATA2'!$F$26,"")</f>
        <v/>
      </c>
      <c r="BL105" s="518" t="str">
        <f>IF(AND(_AC4="A-321N",'2023'!$O$4="FO",'2023'!$O$2=BL81),'2023DATA2'!$G$26,"")</f>
        <v/>
      </c>
      <c r="BM105" s="518" t="str">
        <f>IF(AND(_AC4="A-321N",'2023'!$O$4="FO",'2023'!$O$2=BM81),'2023DATA2'!$H$26,"")</f>
        <v/>
      </c>
      <c r="BN105" s="518" t="str">
        <f>IF(AND(_AC4="A-321N",'2023'!$O$4="FO",'2023'!$O$2=BN81),'2023DATA2'!$I$26,"")</f>
        <v/>
      </c>
      <c r="BO105" s="518" t="str">
        <f>IF(AND(_AC4="A-321N",'2023'!$O$4="FO",'2023'!$O$2=BO81),'2023DATA2'!$J$26,"")</f>
        <v/>
      </c>
      <c r="BP105" s="518" t="str">
        <f>IF(AND(_AC4="A-321N",'2023'!$O$4="FO",'2023'!$O$2=BP81),'2023DATA2'!$K$26,"")</f>
        <v/>
      </c>
      <c r="BQ105" s="518" t="str">
        <f>IF(AND(_AC4="A-321N",'2023'!$O$4="FO",'2023'!$O$2=BQ81),'2023DATA2'!$L$26,"")</f>
        <v/>
      </c>
      <c r="BR105" s="518" t="str">
        <f>IF(AND(_AC4="A-321N",'2023'!$O$4="FO",'2023'!$O$2=BR81),'2023DATA2'!$M$26,"")</f>
        <v/>
      </c>
      <c r="BS105" s="520" t="str">
        <f>IF(AND(_AC4="A-321N",'2023'!$O$4="FO",'2023'!$O$2=BS81),'2023DATA2'!$N$26,"")</f>
        <v/>
      </c>
      <c r="BT105" s="940"/>
      <c r="BU105" s="13" t="s">
        <v>62</v>
      </c>
      <c r="BV105" s="518" t="str">
        <f>IF(AND(_AC5="A-321N",'2023'!$O$4="FO",'2023'!$O$2=BV81),'2023DATA2'!$C$26,"")</f>
        <v/>
      </c>
      <c r="BW105" s="518" t="str">
        <f>IF(AND(_AC5="A-321N",'2023'!$O$4="FO",'2023'!$O$2=BW81),'2023DATA2'!$D$26,"")</f>
        <v/>
      </c>
      <c r="BX105" s="518" t="str">
        <f>IF(AND(_AC5="A-321N",'2023'!$O$4="FO",'2023'!$O$2=BX81),'2023DATA2'!$E$26,"")</f>
        <v/>
      </c>
      <c r="BY105" s="518" t="str">
        <f>IF(AND(_AC5="A-321N",'2023'!$O$4="FO",'2023'!$O$2=BY81),'2023DATA2'!$F$26,"")</f>
        <v/>
      </c>
      <c r="BZ105" s="518" t="str">
        <f>IF(AND(_AC5="A-321N",'2023'!$O$4="FO",'2023'!$O$2=BZ81),'2023DATA2'!$G$26,"")</f>
        <v/>
      </c>
      <c r="CA105" s="518" t="str">
        <f>IF(AND(_AC5="A-321N",'2023'!$O$4="FO",'2023'!$O$2=CA81),'2023DATA2'!$H$26,"")</f>
        <v/>
      </c>
      <c r="CB105" s="518" t="str">
        <f>IF(AND(_AC5="A-321N",'2023'!$O$4="FO",'2023'!$O$2=CB81),'2023DATA2'!$I$26,"")</f>
        <v/>
      </c>
      <c r="CC105" s="518" t="str">
        <f>IF(AND(_AC5="A-321N",'2023'!$O$4="FO",'2023'!$O$2=CC81),'2023DATA2'!$J$26,"")</f>
        <v/>
      </c>
      <c r="CD105" s="518" t="str">
        <f>IF(AND(_AC5="A-321N",'2023'!$O$4="FO",'2023'!$O$2=CD81),'2023DATA2'!$K$26,"")</f>
        <v/>
      </c>
      <c r="CE105" s="518" t="str">
        <f>IF(AND(_AC5="A-321N",'2023'!$O$4="FO",'2023'!$O$2=CE81),'2023DATA2'!$L$26,"")</f>
        <v/>
      </c>
      <c r="CF105" s="518" t="str">
        <f>IF(AND(_AC5="A-321N",'2023'!$O$4="FO",'2023'!$O$2=CF81),'2023DATA2'!$M$26,"")</f>
        <v/>
      </c>
      <c r="CG105" s="520" t="str">
        <f>IF(AND(_AC5="A-321N",'2023'!$O$4="FO",'2023'!$O$2=CG81),'2023DATA2'!$N$26,"")</f>
        <v/>
      </c>
      <c r="CH105" s="940"/>
      <c r="CI105" s="13" t="s">
        <v>62</v>
      </c>
      <c r="CJ105" s="518" t="str">
        <f>IF(AND(_AC6="A-321N",'2023'!$O$4="FO",'2023'!$O$2=CJ81),'2023DATA2'!$C$26,"")</f>
        <v/>
      </c>
      <c r="CK105" s="518" t="str">
        <f>IF(AND(_AC6="A-321N",'2023'!$O$4="FO",'2023'!$O$2=CK81),'2023DATA2'!$D$26,"")</f>
        <v/>
      </c>
      <c r="CL105" s="518" t="str">
        <f>IF(AND(_AC6="A-321N",'2023'!$O$4="FO",'2023'!$O$2=CL81),'2023DATA2'!$E$26,"")</f>
        <v/>
      </c>
      <c r="CM105" s="518" t="str">
        <f>IF(AND(_AC6="A-321N",'2023'!$O$4="FO",'2023'!$O$2=CM81),'2023DATA2'!$F$26,"")</f>
        <v/>
      </c>
      <c r="CN105" s="518" t="str">
        <f>IF(AND(_AC6="A-321N",'2023'!$O$4="FO",'2023'!$O$2=CN81),'2023DATA2'!$G$26,"")</f>
        <v/>
      </c>
      <c r="CO105" s="518" t="str">
        <f>IF(AND(_AC6="A-321N",'2023'!$O$4="FO",'2023'!$O$2=CO81),'2023DATA2'!$H$26,"")</f>
        <v/>
      </c>
      <c r="CP105" s="518" t="str">
        <f>IF(AND(_AC6="A-321N",'2023'!$O$4="FO",'2023'!$O$2=CP81),'2023DATA2'!$I$26,"")</f>
        <v/>
      </c>
      <c r="CQ105" s="518" t="str">
        <f>IF(AND(_AC6="A-321N",'2023'!$O$4="FO",'2023'!$O$2=CQ81),'2023DATA2'!$J$26,"")</f>
        <v/>
      </c>
      <c r="CR105" s="518" t="str">
        <f>IF(AND(_AC6="A-321N",'2023'!$O$4="FO",'2023'!$O$2=CR81),'2023DATA2'!$K$26,"")</f>
        <v/>
      </c>
      <c r="CS105" s="518" t="str">
        <f>IF(AND(_AC6="A-321N",'2023'!$O$4="FO",'2023'!$O$2=CS81),'2023DATA2'!$L$26,"")</f>
        <v/>
      </c>
      <c r="CT105" s="518" t="str">
        <f>IF(AND(_AC6="A-321N",'2023'!$O$4="FO",'2023'!$O$2=CT81),'2023DATA2'!$M$26,"")</f>
        <v/>
      </c>
      <c r="CU105" s="520" t="str">
        <f>IF(AND(_AC6="A-321N",'2023'!$O$4="FO",'2023'!$O$2=CU81),'2023DATA2'!$N$26,"")</f>
        <v/>
      </c>
    </row>
    <row r="106" spans="16:99" x14ac:dyDescent="0.25">
      <c r="P106" s="940" t="s">
        <v>48</v>
      </c>
      <c r="Q106" s="13" t="s">
        <v>61</v>
      </c>
      <c r="R106" s="518" t="str">
        <f>IF(AND(_AC1="A-321",'2023'!$O$4="CA",'2023'!$O$2=R81),'2023DATA2'!$C$27,"")</f>
        <v/>
      </c>
      <c r="S106" s="518" t="str">
        <f>IF(AND(_AC1="A-321",'2023'!$O$4="CA",'2023'!$O$2=S81),'2023DATA2'!$D$27,"")</f>
        <v/>
      </c>
      <c r="T106" s="518" t="str">
        <f>IF(AND(_AC1="A-321",'2023'!$O$4="CA",'2023'!$O$2=T81),'2023DATA2'!$E$27,"")</f>
        <v/>
      </c>
      <c r="U106" s="518" t="str">
        <f>IF(AND(_AC1="A-321",'2023'!$O$4="CA",'2023'!$O$2=U81),'2023DATA2'!$F$27,"")</f>
        <v/>
      </c>
      <c r="V106" s="518" t="str">
        <f>IF(AND(_AC1="A-321",'2023'!$O$4="CA",'2023'!$O$2=V81),'2023DATA2'!$G$27,"")</f>
        <v/>
      </c>
      <c r="W106" s="518" t="str">
        <f>IF(AND(_AC1="A-321",'2023'!$O$4="CA",'2023'!$O$2=W81),'2023DATA2'!$H$27,"")</f>
        <v/>
      </c>
      <c r="X106" s="518" t="str">
        <f>IF(AND(_AC1="A-321",'2023'!$O$4="CA",'2023'!$O$2=X81),'2023DATA2'!$I$27,"")</f>
        <v/>
      </c>
      <c r="Y106" s="518" t="str">
        <f>IF(AND(_AC1="A-321",'2023'!$O$4="CA",'2023'!$O$2=Y81),'2023DATA2'!$J$27,"")</f>
        <v/>
      </c>
      <c r="Z106" s="518" t="str">
        <f>IF(AND(_AC1="A-321",'2023'!$O$4="CA",'2023'!$O$2=Z81),'2023DATA2'!$K$27,"")</f>
        <v/>
      </c>
      <c r="AA106" s="518" t="str">
        <f>IF(AND(_AC1="A-321",'2023'!$O$4="CA",'2023'!$O$2=AA81),'2023DATA2'!$L$27,"")</f>
        <v/>
      </c>
      <c r="AB106" s="518" t="str">
        <f>IF(AND(_AC1="A-321",'2023'!$O$4="CA",'2023'!$O$2=AB81),'2023DATA2'!$M$27,"")</f>
        <v/>
      </c>
      <c r="AC106" s="520" t="str">
        <f>IF(AND(_AC1="A-321",'2023'!$O$4="CA",'2023'!$O$2=AC81),'2023DATA2'!$N$27,"")</f>
        <v/>
      </c>
      <c r="AD106" s="940" t="s">
        <v>48</v>
      </c>
      <c r="AE106" s="13" t="s">
        <v>61</v>
      </c>
      <c r="AF106" s="518" t="str">
        <f>IF(AND(_AC2="A-321",'2023'!$O$4="CA",'2023'!$O$2=AF81),'2023DATA2'!$C$27,"")</f>
        <v/>
      </c>
      <c r="AG106" s="518" t="str">
        <f>IF(AND(_AC2="A-321",'2023'!$O$4="CA",'2023'!$O$2=AG81),'2023DATA2'!$D$27,"")</f>
        <v/>
      </c>
      <c r="AH106" s="518" t="str">
        <f>IF(AND(_AC2="A-321",'2023'!$O$4="CA",'2023'!$O$2=AH81),'2023DATA2'!$E$27,"")</f>
        <v/>
      </c>
      <c r="AI106" s="518" t="str">
        <f>IF(AND(_AC2="A-321",'2023'!$O$4="CA",'2023'!$O$2=AI81),'2023DATA2'!$F$27,"")</f>
        <v/>
      </c>
      <c r="AJ106" s="518" t="str">
        <f>IF(AND(_AC2="A-321",'2023'!$O$4="CA",'2023'!$O$2=AJ81),'2023DATA2'!$G$27,"")</f>
        <v/>
      </c>
      <c r="AK106" s="518" t="str">
        <f>IF(AND(_AC2="A-321",'2023'!$O$4="CA",'2023'!$O$2=AK81),'2023DATA2'!$H$27,"")</f>
        <v/>
      </c>
      <c r="AL106" s="518" t="str">
        <f>IF(AND(_AC2="A-321",'2023'!$O$4="CA",'2023'!$O$2=AL81),'2023DATA2'!$I$27,"")</f>
        <v/>
      </c>
      <c r="AM106" s="518" t="str">
        <f>IF(AND(_AC2="A-321",'2023'!$O$4="CA",'2023'!$O$2=AM81),'2023DATA2'!$J$27,"")</f>
        <v/>
      </c>
      <c r="AN106" s="518" t="str">
        <f>IF(AND(_AC2="A-321",'2023'!$O$4="CA",'2023'!$O$2=AN81),'2023DATA2'!$K$27,"")</f>
        <v/>
      </c>
      <c r="AO106" s="518" t="str">
        <f>IF(AND(_AC2="A-321",'2023'!$O$4="CA",'2023'!$O$2=AO81),'2023DATA2'!$L$27,"")</f>
        <v/>
      </c>
      <c r="AP106" s="518" t="str">
        <f>IF(AND(_AC2="A-321",'2023'!$O$4="CA",'2023'!$O$2=AP81),'2023DATA2'!$M$27,"")</f>
        <v/>
      </c>
      <c r="AQ106" s="520" t="str">
        <f>IF(AND(_AC2="A-321",'2023'!$O$4="CA",'2023'!$O$2=AQ81),'2023DATA2'!$N$27,"")</f>
        <v/>
      </c>
      <c r="AR106" s="940" t="s">
        <v>48</v>
      </c>
      <c r="AS106" s="13" t="s">
        <v>61</v>
      </c>
      <c r="AT106" s="518" t="str">
        <f>IF(AND(_AC3="A-321",'2023'!$O$4="CA",'2023'!$O$2=AT81),'2023DATA2'!$C$27,"")</f>
        <v/>
      </c>
      <c r="AU106" s="518" t="str">
        <f>IF(AND(_AC3="A-321",'2023'!$O$4="CA",'2023'!$O$2=AU81),'2023DATA2'!$D$27,"")</f>
        <v/>
      </c>
      <c r="AV106" s="518" t="str">
        <f>IF(AND(_AC3="A-321",'2023'!$O$4="CA",'2023'!$O$2=AV81),'2023DATA2'!$E$27,"")</f>
        <v/>
      </c>
      <c r="AW106" s="518" t="str">
        <f>IF(AND(_AC3="A-321",'2023'!$O$4="CA",'2023'!$O$2=AW81),'2023DATA2'!$F$27,"")</f>
        <v/>
      </c>
      <c r="AX106" s="518" t="str">
        <f>IF(AND(_AC3="A-321",'2023'!$O$4="CA",'2023'!$O$2=AX81),'2023DATA2'!$G$27,"")</f>
        <v/>
      </c>
      <c r="AY106" s="518" t="str">
        <f>IF(AND(_AC3="A-321",'2023'!$O$4="CA",'2023'!$O$2=AY81),'2023DATA2'!$H$27,"")</f>
        <v/>
      </c>
      <c r="AZ106" s="518" t="str">
        <f>IF(AND(_AC3="A-321",'2023'!$O$4="CA",'2023'!$O$2=AZ81),'2023DATA2'!$I$27,"")</f>
        <v/>
      </c>
      <c r="BA106" s="518" t="str">
        <f>IF(AND(_AC3="A-321",'2023'!$O$4="CA",'2023'!$O$2=BA81),'2023DATA2'!$J$27,"")</f>
        <v/>
      </c>
      <c r="BB106" s="518" t="str">
        <f>IF(AND(_AC3="A-321",'2023'!$O$4="CA",'2023'!$O$2=BB81),'2023DATA2'!$K$27,"")</f>
        <v/>
      </c>
      <c r="BC106" s="518" t="str">
        <f>IF(AND(_AC3="A-321",'2023'!$O$4="CA",'2023'!$O$2=BC81),'2023DATA2'!$L$27,"")</f>
        <v/>
      </c>
      <c r="BD106" s="518" t="str">
        <f>IF(AND(_AC3="A-321",'2023'!$O$4="CA",'2023'!$O$2=BD81),'2023DATA2'!$M$27,"")</f>
        <v/>
      </c>
      <c r="BE106" s="520" t="str">
        <f>IF(AND(_AC3="A-321",'2023'!$O$4="CA",'2023'!$O$2=BE81),'2023DATA2'!$N$27,"")</f>
        <v/>
      </c>
      <c r="BF106" s="940" t="s">
        <v>48</v>
      </c>
      <c r="BG106" s="13" t="s">
        <v>61</v>
      </c>
      <c r="BH106" s="518" t="str">
        <f>IF(AND(_AC4="A-321",'2023'!$O$4="CA",'2023'!$O$2=BH81),'2023DATA2'!$C$27,"")</f>
        <v/>
      </c>
      <c r="BI106" s="518" t="str">
        <f>IF(AND(_AC4="A-321",'2023'!$O$4="CA",'2023'!$O$2=BI81),'2023DATA2'!$D$27,"")</f>
        <v/>
      </c>
      <c r="BJ106" s="518" t="str">
        <f>IF(AND(_AC4="A-321",'2023'!$O$4="CA",'2023'!$O$2=BJ81),'2023DATA2'!$E$27,"")</f>
        <v/>
      </c>
      <c r="BK106" s="518" t="str">
        <f>IF(AND(_AC4="A-321",'2023'!$O$4="CA",'2023'!$O$2=BK81),'2023DATA2'!$F$27,"")</f>
        <v/>
      </c>
      <c r="BL106" s="518" t="str">
        <f>IF(AND(_AC4="A-321",'2023'!$O$4="CA",'2023'!$O$2=BL81),'2023DATA2'!$G$27,"")</f>
        <v/>
      </c>
      <c r="BM106" s="518" t="str">
        <f>IF(AND(_AC4="A-321",'2023'!$O$4="CA",'2023'!$O$2=BM81),'2023DATA2'!$H$27,"")</f>
        <v/>
      </c>
      <c r="BN106" s="518" t="str">
        <f>IF(AND(_AC4="A-321",'2023'!$O$4="CA",'2023'!$O$2=BN81),'2023DATA2'!$I$27,"")</f>
        <v/>
      </c>
      <c r="BO106" s="518" t="str">
        <f>IF(AND(_AC4="A-321",'2023'!$O$4="CA",'2023'!$O$2=BO81),'2023DATA2'!$J$27,"")</f>
        <v/>
      </c>
      <c r="BP106" s="518" t="str">
        <f>IF(AND(_AC4="A-321",'2023'!$O$4="CA",'2023'!$O$2=BP81),'2023DATA2'!$K$27,"")</f>
        <v/>
      </c>
      <c r="BQ106" s="518" t="str">
        <f>IF(AND(_AC4="A-321",'2023'!$O$4="CA",'2023'!$O$2=BQ81),'2023DATA2'!$L$27,"")</f>
        <v/>
      </c>
      <c r="BR106" s="518" t="str">
        <f>IF(AND(_AC4="A-321",'2023'!$O$4="CA",'2023'!$O$2=BR81),'2023DATA2'!$M$27,"")</f>
        <v/>
      </c>
      <c r="BS106" s="520" t="str">
        <f>IF(AND(_AC4="A-321",'2023'!$O$4="CA",'2023'!$O$2=BS81),'2023DATA2'!$N$27,"")</f>
        <v/>
      </c>
      <c r="BT106" s="940" t="s">
        <v>48</v>
      </c>
      <c r="BU106" s="13" t="s">
        <v>61</v>
      </c>
      <c r="BV106" s="518" t="str">
        <f>IF(AND(_AC5="A-321",'2023'!$O$4="CA",'2023'!$O$2=BV81),'2023DATA2'!$C$27,"")</f>
        <v/>
      </c>
      <c r="BW106" s="518" t="str">
        <f>IF(AND(_AC5="A-321",'2023'!$O$4="CA",'2023'!$O$2=BW81),'2023DATA2'!$D$27,"")</f>
        <v/>
      </c>
      <c r="BX106" s="518" t="str">
        <f>IF(AND(_AC5="A-321",'2023'!$O$4="CA",'2023'!$O$2=BX81),'2023DATA2'!$E$27,"")</f>
        <v/>
      </c>
      <c r="BY106" s="518" t="str">
        <f>IF(AND(_AC5="A-321",'2023'!$O$4="CA",'2023'!$O$2=BY81),'2023DATA2'!$F$27,"")</f>
        <v/>
      </c>
      <c r="BZ106" s="518" t="str">
        <f>IF(AND(_AC5="A-321",'2023'!$O$4="CA",'2023'!$O$2=BZ81),'2023DATA2'!$G$27,"")</f>
        <v/>
      </c>
      <c r="CA106" s="518" t="str">
        <f>IF(AND(_AC5="A-321",'2023'!$O$4="CA",'2023'!$O$2=CA81),'2023DATA2'!$H$27,"")</f>
        <v/>
      </c>
      <c r="CB106" s="518" t="str">
        <f>IF(AND(_AC5="A-321",'2023'!$O$4="CA",'2023'!$O$2=CB81),'2023DATA2'!$I$27,"")</f>
        <v/>
      </c>
      <c r="CC106" s="518" t="str">
        <f>IF(AND(_AC5="A-321",'2023'!$O$4="CA",'2023'!$O$2=CC81),'2023DATA2'!$J$27,"")</f>
        <v/>
      </c>
      <c r="CD106" s="518" t="str">
        <f>IF(AND(_AC5="A-321",'2023'!$O$4="CA",'2023'!$O$2=CD81),'2023DATA2'!$K$27,"")</f>
        <v/>
      </c>
      <c r="CE106" s="518" t="str">
        <f>IF(AND(_AC5="A-321",'2023'!$O$4="CA",'2023'!$O$2=CE81),'2023DATA2'!$L$27,"")</f>
        <v/>
      </c>
      <c r="CF106" s="518" t="str">
        <f>IF(AND(_AC5="A-321",'2023'!$O$4="CA",'2023'!$O$2=CF81),'2023DATA2'!$M$27,"")</f>
        <v/>
      </c>
      <c r="CG106" s="520" t="str">
        <f>IF(AND(_AC5="A-321",'2023'!$O$4="CA",'2023'!$O$2=CG81),'2023DATA2'!$N$27,"")</f>
        <v/>
      </c>
      <c r="CH106" s="940" t="s">
        <v>48</v>
      </c>
      <c r="CI106" s="13" t="s">
        <v>61</v>
      </c>
      <c r="CJ106" s="518" t="str">
        <f>IF(AND(_AC6="A-321",'2023'!$O$4="CA",'2023'!$O$2=CJ81),'2023DATA2'!$C$27,"")</f>
        <v/>
      </c>
      <c r="CK106" s="518" t="str">
        <f>IF(AND(_AC6="A-321",'2023'!$O$4="CA",'2023'!$O$2=CK81),'2023DATA2'!$D$27,"")</f>
        <v/>
      </c>
      <c r="CL106" s="518" t="str">
        <f>IF(AND(_AC6="A-321",'2023'!$O$4="CA",'2023'!$O$2=CL81),'2023DATA2'!$E$27,"")</f>
        <v/>
      </c>
      <c r="CM106" s="518" t="str">
        <f>IF(AND(_AC6="A-321",'2023'!$O$4="CA",'2023'!$O$2=CM81),'2023DATA2'!$F$27,"")</f>
        <v/>
      </c>
      <c r="CN106" s="518" t="str">
        <f>IF(AND(_AC6="A-321",'2023'!$O$4="CA",'2023'!$O$2=CN81),'2023DATA2'!$G$27,"")</f>
        <v/>
      </c>
      <c r="CO106" s="518" t="str">
        <f>IF(AND(_AC6="A-321",'2023'!$O$4="CA",'2023'!$O$2=CO81),'2023DATA2'!$H$27,"")</f>
        <v/>
      </c>
      <c r="CP106" s="518" t="str">
        <f>IF(AND(_AC6="A-321",'2023'!$O$4="CA",'2023'!$O$2=CP81),'2023DATA2'!$I$27,"")</f>
        <v/>
      </c>
      <c r="CQ106" s="518" t="str">
        <f>IF(AND(_AC6="A-321",'2023'!$O$4="CA",'2023'!$O$2=CQ81),'2023DATA2'!$J$27,"")</f>
        <v/>
      </c>
      <c r="CR106" s="518" t="str">
        <f>IF(AND(_AC6="A-321",'2023'!$O$4="CA",'2023'!$O$2=CR81),'2023DATA2'!$K$27,"")</f>
        <v/>
      </c>
      <c r="CS106" s="518" t="str">
        <f>IF(AND(_AC6="A-321",'2023'!$O$4="CA",'2023'!$O$2=CS81),'2023DATA2'!$L$27,"")</f>
        <v/>
      </c>
      <c r="CT106" s="518" t="str">
        <f>IF(AND(_AC6="A-321",'2023'!$O$4="CA",'2023'!$O$2=CT81),'2023DATA2'!$M$27,"")</f>
        <v/>
      </c>
      <c r="CU106" s="520" t="str">
        <f>IF(AND(_AC6="A-321",'2023'!$O$4="CA",'2023'!$O$2=CU81),'2023DATA2'!$N$27,"")</f>
        <v/>
      </c>
    </row>
    <row r="107" spans="16:99" x14ac:dyDescent="0.25">
      <c r="P107" s="940"/>
      <c r="Q107" s="13" t="s">
        <v>62</v>
      </c>
      <c r="R107" s="518" t="str">
        <f>IF(AND(_AC1="A-321",'2023'!$O$4="FO",'2023'!$O$2=R81),'2023DATA2'!$C$28,"")</f>
        <v/>
      </c>
      <c r="S107" s="518" t="str">
        <f>IF(AND(_AC1="A-321",'2023'!$O$4="FO",'2023'!$O$2=S81),'2023DATA2'!$D$28,"")</f>
        <v/>
      </c>
      <c r="T107" s="518" t="str">
        <f>IF(AND(_AC1="A-321",'2023'!$O$4="FO",'2023'!$O$2=T81),'2023DATA2'!$E$28,"")</f>
        <v/>
      </c>
      <c r="U107" s="518" t="str">
        <f>IF(AND(_AC1="A-321",'2023'!$O$4="FO",'2023'!$O$2=U81),'2023DATA2'!$F$28,"")</f>
        <v/>
      </c>
      <c r="V107" s="518" t="str">
        <f>IF(AND(_AC1="A-321",'2023'!$O$4="FO",'2023'!$O$2=V81),'2023DATA2'!$G$28,"")</f>
        <v/>
      </c>
      <c r="W107" s="518" t="str">
        <f>IF(AND(_AC1="A-321",'2023'!$O$4="FO",'2023'!$O$2=W81),'2023DATA2'!$H$28,"")</f>
        <v/>
      </c>
      <c r="X107" s="518" t="str">
        <f>IF(AND(_AC1="A-321",'2023'!$O$4="FO",'2023'!$O$2=X81),'2023DATA2'!$I$28,"")</f>
        <v/>
      </c>
      <c r="Y107" s="518" t="str">
        <f>IF(AND(_AC1="A-321",'2023'!$O$4="FO",'2023'!$O$2=Y81),'2023DATA2'!$J$28,"")</f>
        <v/>
      </c>
      <c r="Z107" s="518" t="str">
        <f>IF(AND(_AC1="A-321",'2023'!$O$4="FO",'2023'!$O$2=Z81),'2023DATA2'!$K$28,"")</f>
        <v/>
      </c>
      <c r="AA107" s="518" t="str">
        <f>IF(AND(_AC1="A-321",'2023'!$O$4="FO",'2023'!$O$2=AA81),'2023DATA2'!$L$28,"")</f>
        <v/>
      </c>
      <c r="AB107" s="518" t="str">
        <f>IF(AND(_AC1="A-321",'2023'!$O$4="FO",'2023'!$O$2=AB81),'2023DATA2'!$M$28,"")</f>
        <v/>
      </c>
      <c r="AC107" s="520" t="str">
        <f>IF(AND(_AC1="A-321",'2023'!$O$4="FO",'2023'!$O$2=AC81),'2023DATA2'!$N$28,"")</f>
        <v/>
      </c>
      <c r="AD107" s="940"/>
      <c r="AE107" s="13" t="s">
        <v>62</v>
      </c>
      <c r="AF107" s="518" t="str">
        <f>IF(AND(_AC2="A-321",'2023'!$O$4="FO",'2023'!$O$2=AF81),'2023DATA2'!$C$28,"")</f>
        <v/>
      </c>
      <c r="AG107" s="518" t="str">
        <f>IF(AND(_AC2="A-321",'2023'!$O$4="FO",'2023'!$O$2=AG81),'2023DATA2'!$D$28,"")</f>
        <v/>
      </c>
      <c r="AH107" s="518" t="str">
        <f>IF(AND(_AC2="A-321",'2023'!$O$4="FO",'2023'!$O$2=AH81),'2023DATA2'!$E$28,"")</f>
        <v/>
      </c>
      <c r="AI107" s="518" t="str">
        <f>IF(AND(_AC2="A-321",'2023'!$O$4="FO",'2023'!$O$2=AI81),'2023DATA2'!$F$28,"")</f>
        <v/>
      </c>
      <c r="AJ107" s="518" t="str">
        <f>IF(AND(_AC2="A-321",'2023'!$O$4="FO",'2023'!$O$2=AJ81),'2023DATA2'!$G$28,"")</f>
        <v/>
      </c>
      <c r="AK107" s="518" t="str">
        <f>IF(AND(_AC2="A-321",'2023'!$O$4="FO",'2023'!$O$2=AK81),'2023DATA2'!$H$28,"")</f>
        <v/>
      </c>
      <c r="AL107" s="518" t="str">
        <f>IF(AND(_AC2="A-321",'2023'!$O$4="FO",'2023'!$O$2=AL81),'2023DATA2'!$I$28,"")</f>
        <v/>
      </c>
      <c r="AM107" s="518" t="str">
        <f>IF(AND(_AC2="A-321",'2023'!$O$4="FO",'2023'!$O$2=AM81),'2023DATA2'!$J$28,"")</f>
        <v/>
      </c>
      <c r="AN107" s="518" t="str">
        <f>IF(AND(_AC2="A-321",'2023'!$O$4="FO",'2023'!$O$2=AN81),'2023DATA2'!$K$28,"")</f>
        <v/>
      </c>
      <c r="AO107" s="518" t="str">
        <f>IF(AND(_AC2="A-321",'2023'!$O$4="FO",'2023'!$O$2=AO81),'2023DATA2'!$L$28,"")</f>
        <v/>
      </c>
      <c r="AP107" s="518" t="str">
        <f>IF(AND(_AC2="A-321",'2023'!$O$4="FO",'2023'!$O$2=AP81),'2023DATA2'!$M$28,"")</f>
        <v/>
      </c>
      <c r="AQ107" s="520" t="str">
        <f>IF(AND(_AC2="A-321",'2023'!$O$4="FO",'2023'!$O$2=AQ81),'2023DATA2'!$N$28,"")</f>
        <v/>
      </c>
      <c r="AR107" s="940"/>
      <c r="AS107" s="13" t="s">
        <v>62</v>
      </c>
      <c r="AT107" s="518" t="str">
        <f>IF(AND(_AC3="A-321",'2023'!$O$4="FO",'2023'!$O$2=AT81),'2023DATA2'!$C$28,"")</f>
        <v/>
      </c>
      <c r="AU107" s="518" t="str">
        <f>IF(AND(_AC3="A-321",'2023'!$O$4="FO",'2023'!$O$2=AU81),'2023DATA2'!$D$28,"")</f>
        <v/>
      </c>
      <c r="AV107" s="518" t="str">
        <f>IF(AND(_AC3="A-321",'2023'!$O$4="FO",'2023'!$O$2=AV81),'2023DATA2'!$E$28,"")</f>
        <v/>
      </c>
      <c r="AW107" s="518" t="str">
        <f>IF(AND(_AC3="A-321",'2023'!$O$4="FO",'2023'!$O$2=AW81),'2023DATA2'!$F$28,"")</f>
        <v/>
      </c>
      <c r="AX107" s="518" t="str">
        <f>IF(AND(_AC3="A-321",'2023'!$O$4="FO",'2023'!$O$2=AX81),'2023DATA2'!$G$28,"")</f>
        <v/>
      </c>
      <c r="AY107" s="518" t="str">
        <f>IF(AND(_AC3="A-321",'2023'!$O$4="FO",'2023'!$O$2=AY81),'2023DATA2'!$H$28,"")</f>
        <v/>
      </c>
      <c r="AZ107" s="518" t="str">
        <f>IF(AND(_AC3="A-321",'2023'!$O$4="FO",'2023'!$O$2=AZ81),'2023DATA2'!$I$28,"")</f>
        <v/>
      </c>
      <c r="BA107" s="518" t="str">
        <f>IF(AND(_AC3="A-321",'2023'!$O$4="FO",'2023'!$O$2=BA81),'2023DATA2'!$J$28,"")</f>
        <v/>
      </c>
      <c r="BB107" s="518" t="str">
        <f>IF(AND(_AC3="A-321",'2023'!$O$4="FO",'2023'!$O$2=BB81),'2023DATA2'!$K$28,"")</f>
        <v/>
      </c>
      <c r="BC107" s="518" t="str">
        <f>IF(AND(_AC3="A-321",'2023'!$O$4="FO",'2023'!$O$2=BC81),'2023DATA2'!$L$28,"")</f>
        <v/>
      </c>
      <c r="BD107" s="518" t="str">
        <f>IF(AND(_AC3="A-321",'2023'!$O$4="FO",'2023'!$O$2=BD81),'2023DATA2'!$M$28,"")</f>
        <v/>
      </c>
      <c r="BE107" s="520" t="str">
        <f>IF(AND(_AC3="A-321",'2023'!$O$4="FO",'2023'!$O$2=BE81),'2023DATA2'!$N$28,"")</f>
        <v/>
      </c>
      <c r="BF107" s="940"/>
      <c r="BG107" s="13" t="s">
        <v>62</v>
      </c>
      <c r="BH107" s="518" t="str">
        <f>IF(AND(_AC4="A-321",'2023'!$O$4="FO",'2023'!$O$2=BH81),'2023DATA2'!$C$28,"")</f>
        <v/>
      </c>
      <c r="BI107" s="518" t="str">
        <f>IF(AND(_AC4="A-321",'2023'!$O$4="FO",'2023'!$O$2=BI81),'2023DATA2'!$D$28,"")</f>
        <v/>
      </c>
      <c r="BJ107" s="518" t="str">
        <f>IF(AND(_AC4="A-321",'2023'!$O$4="FO",'2023'!$O$2=BJ81),'2023DATA2'!$E$28,"")</f>
        <v/>
      </c>
      <c r="BK107" s="518" t="str">
        <f>IF(AND(_AC4="A-321",'2023'!$O$4="FO",'2023'!$O$2=BK81),'2023DATA2'!$F$28,"")</f>
        <v/>
      </c>
      <c r="BL107" s="518" t="str">
        <f>IF(AND(_AC4="A-321",'2023'!$O$4="FO",'2023'!$O$2=BL81),'2023DATA2'!$G$28,"")</f>
        <v/>
      </c>
      <c r="BM107" s="518" t="str">
        <f>IF(AND(_AC4="A-321",'2023'!$O$4="FO",'2023'!$O$2=BM81),'2023DATA2'!$H$28,"")</f>
        <v/>
      </c>
      <c r="BN107" s="518" t="str">
        <f>IF(AND(_AC4="A-321",'2023'!$O$4="FO",'2023'!$O$2=BN81),'2023DATA2'!$I$28,"")</f>
        <v/>
      </c>
      <c r="BO107" s="518" t="str">
        <f>IF(AND(_AC4="A-321",'2023'!$O$4="FO",'2023'!$O$2=BO81),'2023DATA2'!$J$28,"")</f>
        <v/>
      </c>
      <c r="BP107" s="518" t="str">
        <f>IF(AND(_AC4="A-321",'2023'!$O$4="FO",'2023'!$O$2=BP81),'2023DATA2'!$K$28,"")</f>
        <v/>
      </c>
      <c r="BQ107" s="518" t="str">
        <f>IF(AND(_AC4="A-321",'2023'!$O$4="FO",'2023'!$O$2=BQ81),'2023DATA2'!$L$28,"")</f>
        <v/>
      </c>
      <c r="BR107" s="518" t="str">
        <f>IF(AND(_AC4="A-321",'2023'!$O$4="FO",'2023'!$O$2=BR81),'2023DATA2'!$M$28,"")</f>
        <v/>
      </c>
      <c r="BS107" s="520" t="str">
        <f>IF(AND(_AC4="A-321",'2023'!$O$4="FO",'2023'!$O$2=BS81),'2023DATA2'!$N$28,"")</f>
        <v/>
      </c>
      <c r="BT107" s="940"/>
      <c r="BU107" s="13" t="s">
        <v>62</v>
      </c>
      <c r="BV107" s="518" t="str">
        <f>IF(AND(_AC5="A-321",'2023'!$O$4="FO",'2023'!$O$2=BV81),'2023DATA2'!$C$28,"")</f>
        <v/>
      </c>
      <c r="BW107" s="518" t="str">
        <f>IF(AND(_AC5="A-321",'2023'!$O$4="FO",'2023'!$O$2=BW81),'2023DATA2'!$D$28,"")</f>
        <v/>
      </c>
      <c r="BX107" s="518" t="str">
        <f>IF(AND(_AC5="A-321",'2023'!$O$4="FO",'2023'!$O$2=BX81),'2023DATA2'!$E$28,"")</f>
        <v/>
      </c>
      <c r="BY107" s="518" t="str">
        <f>IF(AND(_AC5="A-321",'2023'!$O$4="FO",'2023'!$O$2=BY81),'2023DATA2'!$F$28,"")</f>
        <v/>
      </c>
      <c r="BZ107" s="518" t="str">
        <f>IF(AND(_AC5="A-321",'2023'!$O$4="FO",'2023'!$O$2=BZ81),'2023DATA2'!$G$28,"")</f>
        <v/>
      </c>
      <c r="CA107" s="518" t="str">
        <f>IF(AND(_AC5="A-321",'2023'!$O$4="FO",'2023'!$O$2=CA81),'2023DATA2'!$H$28,"")</f>
        <v/>
      </c>
      <c r="CB107" s="518" t="str">
        <f>IF(AND(_AC5="A-321",'2023'!$O$4="FO",'2023'!$O$2=CB81),'2023DATA2'!$I$28,"")</f>
        <v/>
      </c>
      <c r="CC107" s="518" t="str">
        <f>IF(AND(_AC5="A-321",'2023'!$O$4="FO",'2023'!$O$2=CC81),'2023DATA2'!$J$28,"")</f>
        <v/>
      </c>
      <c r="CD107" s="518" t="str">
        <f>IF(AND(_AC5="A-321",'2023'!$O$4="FO",'2023'!$O$2=CD81),'2023DATA2'!$K$28,"")</f>
        <v/>
      </c>
      <c r="CE107" s="518" t="str">
        <f>IF(AND(_AC5="A-321",'2023'!$O$4="FO",'2023'!$O$2=CE81),'2023DATA2'!$L$28,"")</f>
        <v/>
      </c>
      <c r="CF107" s="518" t="str">
        <f>IF(AND(_AC5="A-321",'2023'!$O$4="FO",'2023'!$O$2=CF81),'2023DATA2'!$M$28,"")</f>
        <v/>
      </c>
      <c r="CG107" s="520" t="str">
        <f>IF(AND(_AC5="A-321",'2023'!$O$4="FO",'2023'!$O$2=CG81),'2023DATA2'!$N$28,"")</f>
        <v/>
      </c>
      <c r="CH107" s="940"/>
      <c r="CI107" s="13" t="s">
        <v>62</v>
      </c>
      <c r="CJ107" s="518" t="str">
        <f>IF(AND(_AC6="A-321",'2023'!$O$4="FO",'2023'!$O$2=CJ81),'2023DATA2'!$C$28,"")</f>
        <v/>
      </c>
      <c r="CK107" s="518" t="str">
        <f>IF(AND(_AC6="A-321",'2023'!$O$4="FO",'2023'!$O$2=CK81),'2023DATA2'!$D$28,"")</f>
        <v/>
      </c>
      <c r="CL107" s="518" t="str">
        <f>IF(AND(_AC6="A-321",'2023'!$O$4="FO",'2023'!$O$2=CL81),'2023DATA2'!$E$28,"")</f>
        <v/>
      </c>
      <c r="CM107" s="518" t="str">
        <f>IF(AND(_AC6="A-321",'2023'!$O$4="FO",'2023'!$O$2=CM81),'2023DATA2'!$F$28,"")</f>
        <v/>
      </c>
      <c r="CN107" s="518" t="str">
        <f>IF(AND(_AC6="A-321",'2023'!$O$4="FO",'2023'!$O$2=CN81),'2023DATA2'!$G$28,"")</f>
        <v/>
      </c>
      <c r="CO107" s="518" t="str">
        <f>IF(AND(_AC6="A-321",'2023'!$O$4="FO",'2023'!$O$2=CO81),'2023DATA2'!$H$28,"")</f>
        <v/>
      </c>
      <c r="CP107" s="518" t="str">
        <f>IF(AND(_AC6="A-321",'2023'!$O$4="FO",'2023'!$O$2=CP81),'2023DATA2'!$I$28,"")</f>
        <v/>
      </c>
      <c r="CQ107" s="518" t="str">
        <f>IF(AND(_AC6="A-321",'2023'!$O$4="FO",'2023'!$O$2=CQ81),'2023DATA2'!$J$28,"")</f>
        <v/>
      </c>
      <c r="CR107" s="518" t="str">
        <f>IF(AND(_AC6="A-321",'2023'!$O$4="FO",'2023'!$O$2=CR81),'2023DATA2'!$K$28,"")</f>
        <v/>
      </c>
      <c r="CS107" s="518" t="str">
        <f>IF(AND(_AC6="A-321",'2023'!$O$4="FO",'2023'!$O$2=CS81),'2023DATA2'!$L$28,"")</f>
        <v/>
      </c>
      <c r="CT107" s="518" t="str">
        <f>IF(AND(_AC6="A-321",'2023'!$O$4="FO",'2023'!$O$2=CT81),'2023DATA2'!$M$28,"")</f>
        <v/>
      </c>
      <c r="CU107" s="520" t="str">
        <f>IF(AND(_AC6="A-321",'2023'!$O$4="FO",'2023'!$O$2=CU81),'2023DATA2'!$N$28,"")</f>
        <v/>
      </c>
    </row>
    <row r="108" spans="16:99" x14ac:dyDescent="0.25">
      <c r="P108" s="940" t="s">
        <v>70</v>
      </c>
      <c r="Q108" s="13" t="s">
        <v>61</v>
      </c>
      <c r="R108" s="518" t="str">
        <f>IF(AND(_AC1="A-320",'2023'!$O$4="CA",'2023'!$O$2=R81),'2023DATA2'!$C$29,"")</f>
        <v/>
      </c>
      <c r="S108" s="518" t="str">
        <f>IF(AND(_AC1="A-320",'2023'!$O$4="CA",'2023'!$O$2=S81),'2023DATA2'!$D$29,"")</f>
        <v/>
      </c>
      <c r="T108" s="518" t="str">
        <f>IF(AND(_AC1="A-320",'2023'!$O$4="CA",'2023'!$O$2=T81),'2023DATA2'!$E$29,"")</f>
        <v/>
      </c>
      <c r="U108" s="518" t="str">
        <f>IF(AND(_AC1="A-320",'2023'!$O$4="CA",'2023'!$O$2=U81),'2023DATA2'!$F$29,"")</f>
        <v/>
      </c>
      <c r="V108" s="518" t="str">
        <f>IF(AND(_AC1="A-320",'2023'!$O$4="CA",'2023'!$O$2=V81),'2023DATA2'!$G$29,"")</f>
        <v/>
      </c>
      <c r="W108" s="518" t="str">
        <f>IF(AND(_AC1="A-320",'2023'!$O$4="CA",'2023'!$O$2=W81),'2023DATA2'!$H$29,"")</f>
        <v/>
      </c>
      <c r="X108" s="518" t="str">
        <f>IF(AND(_AC1="A-320",'2023'!$O$4="CA",'2023'!$O$2=X81),'2023DATA2'!$I$29,"")</f>
        <v/>
      </c>
      <c r="Y108" s="518" t="str">
        <f>IF(AND(_AC1="A-320",'2023'!$O$4="CA",'2023'!$O$2=Y81),'2023DATA2'!$J$29,"")</f>
        <v/>
      </c>
      <c r="Z108" s="518" t="str">
        <f>IF(AND(_AC1="A-320",'2023'!$O$4="CA",'2023'!$O$2=Z81),'2023DATA2'!$K$29,"")</f>
        <v/>
      </c>
      <c r="AA108" s="518" t="str">
        <f>IF(AND(_AC1="A-320",'2023'!$O$4="CA",'2023'!$O$2=AA81),'2023DATA2'!$L$29,"")</f>
        <v/>
      </c>
      <c r="AB108" s="518" t="str">
        <f>IF(AND(_AC1="A-320",'2023'!$O$4="CA",'2023'!$O$2=AB81),'2023DATA2'!$M$29,"")</f>
        <v/>
      </c>
      <c r="AC108" s="520" t="str">
        <f>IF(AND(_AC1="A-320",'2023'!$O$4="CA",'2023'!$O$2=AC81),'2023DATA2'!$N$29,"")</f>
        <v/>
      </c>
      <c r="AD108" s="940" t="s">
        <v>70</v>
      </c>
      <c r="AE108" s="13" t="s">
        <v>61</v>
      </c>
      <c r="AF108" s="518" t="str">
        <f>IF(AND(_AC2="A-320",'2023'!$O$4="CA",'2023'!$O$2=AF81),'2023DATA2'!$C$29,"")</f>
        <v/>
      </c>
      <c r="AG108" s="518" t="str">
        <f>IF(AND(_AC2="A-320",'2023'!$O$4="CA",'2023'!$O$2=AG81),'2023DATA2'!$D$29,"")</f>
        <v/>
      </c>
      <c r="AH108" s="518" t="str">
        <f>IF(AND(_AC2="A-320",'2023'!$O$4="CA",'2023'!$O$2=AH81),'2023DATA2'!$E$29,"")</f>
        <v/>
      </c>
      <c r="AI108" s="518" t="str">
        <f>IF(AND(_AC2="A-320",'2023'!$O$4="CA",'2023'!$O$2=AI81),'2023DATA2'!$F$29,"")</f>
        <v/>
      </c>
      <c r="AJ108" s="518" t="str">
        <f>IF(AND(_AC2="A-320",'2023'!$O$4="CA",'2023'!$O$2=AJ81),'2023DATA2'!$G$29,"")</f>
        <v/>
      </c>
      <c r="AK108" s="518" t="str">
        <f>IF(AND(_AC2="A-320",'2023'!$O$4="CA",'2023'!$O$2=AK81),'2023DATA2'!$H$29,"")</f>
        <v/>
      </c>
      <c r="AL108" s="518" t="str">
        <f>IF(AND(_AC2="A-320",'2023'!$O$4="CA",'2023'!$O$2=AL81),'2023DATA2'!$I$29,"")</f>
        <v/>
      </c>
      <c r="AM108" s="518" t="str">
        <f>IF(AND(_AC2="A-320",'2023'!$O$4="CA",'2023'!$O$2=AM81),'2023DATA2'!$J$29,"")</f>
        <v/>
      </c>
      <c r="AN108" s="518" t="str">
        <f>IF(AND(_AC2="A-320",'2023'!$O$4="CA",'2023'!$O$2=AN81),'2023DATA2'!$K$29,"")</f>
        <v/>
      </c>
      <c r="AO108" s="518" t="str">
        <f>IF(AND(_AC2="A-320",'2023'!$O$4="CA",'2023'!$O$2=AO81),'2023DATA2'!$L$29,"")</f>
        <v/>
      </c>
      <c r="AP108" s="518" t="str">
        <f>IF(AND(_AC2="A-320",'2023'!$O$4="CA",'2023'!$O$2=AP81),'2023DATA2'!$M$29,"")</f>
        <v/>
      </c>
      <c r="AQ108" s="520" t="str">
        <f>IF(AND(_AC2="A-320",'2023'!$O$4="CA",'2023'!$O$2=AQ81),'2023DATA2'!$N$29,"")</f>
        <v/>
      </c>
      <c r="AR108" s="940" t="s">
        <v>70</v>
      </c>
      <c r="AS108" s="13" t="s">
        <v>61</v>
      </c>
      <c r="AT108" s="518" t="str">
        <f>IF(AND(_AC3="A-320",'2023'!$O$4="CA",'2023'!$O$2=AT81),'2023DATA2'!$C$29,"")</f>
        <v/>
      </c>
      <c r="AU108" s="518" t="str">
        <f>IF(AND(_AC3="A-320",'2023'!$O$4="CA",'2023'!$O$2=AU81),'2023DATA2'!$D$29,"")</f>
        <v/>
      </c>
      <c r="AV108" s="518" t="str">
        <f>IF(AND(_AC3="A-320",'2023'!$O$4="CA",'2023'!$O$2=AV81),'2023DATA2'!$E$29,"")</f>
        <v/>
      </c>
      <c r="AW108" s="518" t="str">
        <f>IF(AND(_AC3="A-320",'2023'!$O$4="CA",'2023'!$O$2=AW81),'2023DATA2'!$F$29,"")</f>
        <v/>
      </c>
      <c r="AX108" s="518" t="str">
        <f>IF(AND(_AC3="A-320",'2023'!$O$4="CA",'2023'!$O$2=AX81),'2023DATA2'!$G$29,"")</f>
        <v/>
      </c>
      <c r="AY108" s="518" t="str">
        <f>IF(AND(_AC3="A-320",'2023'!$O$4="CA",'2023'!$O$2=AY81),'2023DATA2'!$H$29,"")</f>
        <v/>
      </c>
      <c r="AZ108" s="518" t="str">
        <f>IF(AND(_AC3="A-320",'2023'!$O$4="CA",'2023'!$O$2=AZ81),'2023DATA2'!$I$29,"")</f>
        <v/>
      </c>
      <c r="BA108" s="518" t="str">
        <f>IF(AND(_AC3="A-320",'2023'!$O$4="CA",'2023'!$O$2=BA81),'2023DATA2'!$J$29,"")</f>
        <v/>
      </c>
      <c r="BB108" s="518" t="str">
        <f>IF(AND(_AC3="A-320",'2023'!$O$4="CA",'2023'!$O$2=BB81),'2023DATA2'!$K$29,"")</f>
        <v/>
      </c>
      <c r="BC108" s="518" t="str">
        <f>IF(AND(_AC3="A-320",'2023'!$O$4="CA",'2023'!$O$2=BC81),'2023DATA2'!$L$29,"")</f>
        <v/>
      </c>
      <c r="BD108" s="518" t="str">
        <f>IF(AND(_AC3="A-320",'2023'!$O$4="CA",'2023'!$O$2=BD81),'2023DATA2'!$M$29,"")</f>
        <v/>
      </c>
      <c r="BE108" s="520" t="str">
        <f>IF(AND(_AC3="A-320",'2023'!$O$4="CA",'2023'!$O$2=BE81),'2023DATA2'!$N$29,"")</f>
        <v/>
      </c>
      <c r="BF108" s="940" t="s">
        <v>70</v>
      </c>
      <c r="BG108" s="13" t="s">
        <v>61</v>
      </c>
      <c r="BH108" s="518" t="str">
        <f>IF(AND(_AC4="A-320",'2023'!$O$4="CA",'2023'!$O$2=BH81),'2023DATA2'!$C$29,"")</f>
        <v/>
      </c>
      <c r="BI108" s="518" t="str">
        <f>IF(AND(_AC4="A-320",'2023'!$O$4="CA",'2023'!$O$2=BI81),'2023DATA2'!$D$29,"")</f>
        <v/>
      </c>
      <c r="BJ108" s="518" t="str">
        <f>IF(AND(_AC4="A-320",'2023'!$O$4="CA",'2023'!$O$2=BJ81),'2023DATA2'!$E$29,"")</f>
        <v/>
      </c>
      <c r="BK108" s="518" t="str">
        <f>IF(AND(_AC4="A-320",'2023'!$O$4="CA",'2023'!$O$2=BK81),'2023DATA2'!$F$29,"")</f>
        <v/>
      </c>
      <c r="BL108" s="518" t="str">
        <f>IF(AND(_AC4="A-320",'2023'!$O$4="CA",'2023'!$O$2=BL81),'2023DATA2'!$G$29,"")</f>
        <v/>
      </c>
      <c r="BM108" s="518" t="str">
        <f>IF(AND(_AC4="A-320",'2023'!$O$4="CA",'2023'!$O$2=BM81),'2023DATA2'!$H$29,"")</f>
        <v/>
      </c>
      <c r="BN108" s="518" t="str">
        <f>IF(AND(_AC4="A-320",'2023'!$O$4="CA",'2023'!$O$2=BN81),'2023DATA2'!$I$29,"")</f>
        <v/>
      </c>
      <c r="BO108" s="518" t="str">
        <f>IF(AND(_AC4="A-320",'2023'!$O$4="CA",'2023'!$O$2=BO81),'2023DATA2'!$J$29,"")</f>
        <v/>
      </c>
      <c r="BP108" s="518" t="str">
        <f>IF(AND(_AC4="A-320",'2023'!$O$4="CA",'2023'!$O$2=BP81),'2023DATA2'!$K$29,"")</f>
        <v/>
      </c>
      <c r="BQ108" s="518" t="str">
        <f>IF(AND(_AC4="A-320",'2023'!$O$4="CA",'2023'!$O$2=BQ81),'2023DATA2'!$L$29,"")</f>
        <v/>
      </c>
      <c r="BR108" s="518" t="str">
        <f>IF(AND(_AC4="A-320",'2023'!$O$4="CA",'2023'!$O$2=BR81),'2023DATA2'!$M$29,"")</f>
        <v/>
      </c>
      <c r="BS108" s="520" t="str">
        <f>IF(AND(_AC4="A-320",'2023'!$O$4="CA",'2023'!$O$2=BS81),'2023DATA2'!$N$29,"")</f>
        <v/>
      </c>
      <c r="BT108" s="940" t="s">
        <v>70</v>
      </c>
      <c r="BU108" s="13" t="s">
        <v>61</v>
      </c>
      <c r="BV108" s="518" t="str">
        <f>IF(AND(_AC5="A-320",'2023'!$O$4="CA",'2023'!$O$2=BV81),'2023DATA2'!$C$29,"")</f>
        <v/>
      </c>
      <c r="BW108" s="518" t="str">
        <f>IF(AND(_AC5="A-320",'2023'!$O$4="CA",'2023'!$O$2=BW81),'2023DATA2'!$D$29,"")</f>
        <v/>
      </c>
      <c r="BX108" s="518" t="str">
        <f>IF(AND(_AC5="A-320",'2023'!$O$4="CA",'2023'!$O$2=BX81),'2023DATA2'!$E$29,"")</f>
        <v/>
      </c>
      <c r="BY108" s="518" t="str">
        <f>IF(AND(_AC5="A-320",'2023'!$O$4="CA",'2023'!$O$2=BY81),'2023DATA2'!$F$29,"")</f>
        <v/>
      </c>
      <c r="BZ108" s="518" t="str">
        <f>IF(AND(_AC5="A-320",'2023'!$O$4="CA",'2023'!$O$2=BZ81),'2023DATA2'!$G$29,"")</f>
        <v/>
      </c>
      <c r="CA108" s="518" t="str">
        <f>IF(AND(_AC5="A-320",'2023'!$O$4="CA",'2023'!$O$2=CA81),'2023DATA2'!$H$29,"")</f>
        <v/>
      </c>
      <c r="CB108" s="518" t="str">
        <f>IF(AND(_AC5="A-320",'2023'!$O$4="CA",'2023'!$O$2=CB81),'2023DATA2'!$I$29,"")</f>
        <v/>
      </c>
      <c r="CC108" s="518" t="str">
        <f>IF(AND(_AC5="A-320",'2023'!$O$4="CA",'2023'!$O$2=CC81),'2023DATA2'!$J$29,"")</f>
        <v/>
      </c>
      <c r="CD108" s="518" t="str">
        <f>IF(AND(_AC5="A-320",'2023'!$O$4="CA",'2023'!$O$2=CD81),'2023DATA2'!$K$29,"")</f>
        <v/>
      </c>
      <c r="CE108" s="518" t="str">
        <f>IF(AND(_AC5="A-320",'2023'!$O$4="CA",'2023'!$O$2=CE81),'2023DATA2'!$L$29,"")</f>
        <v/>
      </c>
      <c r="CF108" s="518" t="str">
        <f>IF(AND(_AC5="A-320",'2023'!$O$4="CA",'2023'!$O$2=CF81),'2023DATA2'!$M$29,"")</f>
        <v/>
      </c>
      <c r="CG108" s="520" t="str">
        <f>IF(AND(_AC5="A-320",'2023'!$O$4="CA",'2023'!$O$2=CG81),'2023DATA2'!$N$29,"")</f>
        <v/>
      </c>
      <c r="CH108" s="940" t="s">
        <v>70</v>
      </c>
      <c r="CI108" s="13" t="s">
        <v>61</v>
      </c>
      <c r="CJ108" s="518" t="str">
        <f>IF(AND(_AC6="A-320",'2023'!$O$4="CA",'2023'!$O$2=CJ81),'2023DATA2'!$C$29,"")</f>
        <v/>
      </c>
      <c r="CK108" s="518" t="str">
        <f>IF(AND(_AC6="A-320",'2023'!$O$4="CA",'2023'!$O$2=CK81),'2023DATA2'!$D$29,"")</f>
        <v/>
      </c>
      <c r="CL108" s="518" t="str">
        <f>IF(AND(_AC6="A-320",'2023'!$O$4="CA",'2023'!$O$2=CL81),'2023DATA2'!$E$29,"")</f>
        <v/>
      </c>
      <c r="CM108" s="518" t="str">
        <f>IF(AND(_AC6="A-320",'2023'!$O$4="CA",'2023'!$O$2=CM81),'2023DATA2'!$F$29,"")</f>
        <v/>
      </c>
      <c r="CN108" s="518" t="str">
        <f>IF(AND(_AC6="A-320",'2023'!$O$4="CA",'2023'!$O$2=CN81),'2023DATA2'!$G$29,"")</f>
        <v/>
      </c>
      <c r="CO108" s="518" t="str">
        <f>IF(AND(_AC6="A-320",'2023'!$O$4="CA",'2023'!$O$2=CO81),'2023DATA2'!$H$29,"")</f>
        <v/>
      </c>
      <c r="CP108" s="518" t="str">
        <f>IF(AND(_AC6="A-320",'2023'!$O$4="CA",'2023'!$O$2=CP81),'2023DATA2'!$I$29,"")</f>
        <v/>
      </c>
      <c r="CQ108" s="518" t="str">
        <f>IF(AND(_AC6="A-320",'2023'!$O$4="CA",'2023'!$O$2=CQ81),'2023DATA2'!$J$29,"")</f>
        <v/>
      </c>
      <c r="CR108" s="518" t="str">
        <f>IF(AND(_AC6="A-320",'2023'!$O$4="CA",'2023'!$O$2=CR81),'2023DATA2'!$K$29,"")</f>
        <v/>
      </c>
      <c r="CS108" s="518" t="str">
        <f>IF(AND(_AC6="A-320",'2023'!$O$4="CA",'2023'!$O$2=CS81),'2023DATA2'!$L$29,"")</f>
        <v/>
      </c>
      <c r="CT108" s="518" t="str">
        <f>IF(AND(_AC6="A-320",'2023'!$O$4="CA",'2023'!$O$2=CT81),'2023DATA2'!$M$29,"")</f>
        <v/>
      </c>
      <c r="CU108" s="520" t="str">
        <f>IF(AND(_AC6="A-320",'2023'!$O$4="CA",'2023'!$O$2=CU81),'2023DATA2'!$N$29,"")</f>
        <v/>
      </c>
    </row>
    <row r="109" spans="16:99" x14ac:dyDescent="0.25">
      <c r="P109" s="940"/>
      <c r="Q109" s="13" t="s">
        <v>62</v>
      </c>
      <c r="R109" s="518" t="str">
        <f>IF(AND(_AC1="A-320",'2023'!$O$4="FO",'2023'!$O$2=R81),'2023DATA2'!$C$30,"")</f>
        <v/>
      </c>
      <c r="S109" s="518" t="str">
        <f>IF(AND(_AC1="A-320",'2023'!$O$4="FO",'2023'!$O$2=S81),'2023DATA2'!$D$30,"")</f>
        <v/>
      </c>
      <c r="T109" s="518" t="str">
        <f>IF(AND(_AC1="A-320",'2023'!$O$4="FO",'2023'!$O$2=T81),'2023DATA2'!$E$30,"")</f>
        <v/>
      </c>
      <c r="U109" s="518" t="str">
        <f>IF(AND(_AC1="A-320",'2023'!$O$4="FO",'2023'!$O$2=U81),'2023DATA2'!$F$30,"")</f>
        <v/>
      </c>
      <c r="V109" s="518" t="str">
        <f>IF(AND(_AC1="A-320",'2023'!$O$4="FO",'2023'!$O$2=V81),'2023DATA2'!$G$30,"")</f>
        <v/>
      </c>
      <c r="W109" s="518" t="str">
        <f>IF(AND(_AC1="A-320",'2023'!$O$4="FO",'2023'!$O$2=W81),'2023DATA2'!$H$30,"")</f>
        <v/>
      </c>
      <c r="X109" s="518" t="str">
        <f>IF(AND(_AC1="A-320",'2023'!$O$4="FO",'2023'!$O$2=X81),'2023DATA2'!$I$30,"")</f>
        <v/>
      </c>
      <c r="Y109" s="518" t="str">
        <f>IF(AND(_AC1="A-320",'2023'!$O$4="FO",'2023'!$O$2=Y81),'2023DATA2'!$J$30,"")</f>
        <v/>
      </c>
      <c r="Z109" s="518" t="str">
        <f>IF(AND(_AC1="A-320",'2023'!$O$4="FO",'2023'!$O$2=Z81),'2023DATA2'!$K$30,"")</f>
        <v/>
      </c>
      <c r="AA109" s="518" t="str">
        <f>IF(AND(_AC1="A-320",'2023'!$O$4="FO",'2023'!$O$2=AA81),'2023DATA2'!$L$30,"")</f>
        <v/>
      </c>
      <c r="AB109" s="518" t="str">
        <f>IF(AND(_AC1="A-320",'2023'!$O$4="FO",'2023'!$O$2=AB81),'2023DATA2'!$M$30,"")</f>
        <v/>
      </c>
      <c r="AC109" s="520" t="str">
        <f>IF(AND(_AC1="A-320",'2023'!$O$4="FO",'2023'!$O$2=AC81),'2023DATA2'!$N$30,"")</f>
        <v/>
      </c>
      <c r="AD109" s="940"/>
      <c r="AE109" s="13" t="s">
        <v>62</v>
      </c>
      <c r="AF109" s="518" t="str">
        <f>IF(AND(_AC2="A-320",'2023'!$O$4="FO",'2023'!$O$2=AF81),'2023DATA2'!$C$30,"")</f>
        <v/>
      </c>
      <c r="AG109" s="518" t="str">
        <f>IF(AND(_AC2="A-320",'2023'!$O$4="FO",'2023'!$O$2=AG81),'2023DATA2'!$D$30,"")</f>
        <v/>
      </c>
      <c r="AH109" s="518" t="str">
        <f>IF(AND(_AC2="A-320",'2023'!$O$4="FO",'2023'!$O$2=AH81),'2023DATA2'!$E$30,"")</f>
        <v/>
      </c>
      <c r="AI109" s="518" t="str">
        <f>IF(AND(_AC2="A-320",'2023'!$O$4="FO",'2023'!$O$2=AI81),'2023DATA2'!$F$30,"")</f>
        <v/>
      </c>
      <c r="AJ109" s="518" t="str">
        <f>IF(AND(_AC2="A-320",'2023'!$O$4="FO",'2023'!$O$2=AJ81),'2023DATA2'!$G$30,"")</f>
        <v/>
      </c>
      <c r="AK109" s="518" t="str">
        <f>IF(AND(_AC2="A-320",'2023'!$O$4="FO",'2023'!$O$2=AK81),'2023DATA2'!$H$30,"")</f>
        <v/>
      </c>
      <c r="AL109" s="518" t="str">
        <f>IF(AND(_AC2="A-320",'2023'!$O$4="FO",'2023'!$O$2=AL81),'2023DATA2'!$I$30,"")</f>
        <v/>
      </c>
      <c r="AM109" s="518" t="str">
        <f>IF(AND(_AC2="A-320",'2023'!$O$4="FO",'2023'!$O$2=AM81),'2023DATA2'!$J$30,"")</f>
        <v/>
      </c>
      <c r="AN109" s="518" t="str">
        <f>IF(AND(_AC2="A-320",'2023'!$O$4="FO",'2023'!$O$2=AN81),'2023DATA2'!$K$30,"")</f>
        <v/>
      </c>
      <c r="AO109" s="518" t="str">
        <f>IF(AND(_AC2="A-320",'2023'!$O$4="FO",'2023'!$O$2=AO81),'2023DATA2'!$L$30,"")</f>
        <v/>
      </c>
      <c r="AP109" s="518" t="str">
        <f>IF(AND(_AC2="A-320",'2023'!$O$4="FO",'2023'!$O$2=AP81),'2023DATA2'!$M$30,"")</f>
        <v/>
      </c>
      <c r="AQ109" s="520" t="str">
        <f>IF(AND(_AC2="A-320",'2023'!$O$4="FO",'2023'!$O$2=AQ81),'2023DATA2'!$N$30,"")</f>
        <v/>
      </c>
      <c r="AR109" s="940"/>
      <c r="AS109" s="13" t="s">
        <v>62</v>
      </c>
      <c r="AT109" s="518" t="str">
        <f>IF(AND(_AC3="A-320",'2023'!$O$4="FO",'2023'!$O$2=AT81),'2023DATA2'!$C$30,"")</f>
        <v/>
      </c>
      <c r="AU109" s="518" t="str">
        <f>IF(AND(_AC3="A-320",'2023'!$O$4="FO",'2023'!$O$2=AU81),'2023DATA2'!$D$30,"")</f>
        <v/>
      </c>
      <c r="AV109" s="518" t="str">
        <f>IF(AND(_AC3="A-320",'2023'!$O$4="FO",'2023'!$O$2=AV81),'2023DATA2'!$E$30,"")</f>
        <v/>
      </c>
      <c r="AW109" s="518" t="str">
        <f>IF(AND(_AC3="A-320",'2023'!$O$4="FO",'2023'!$O$2=AW81),'2023DATA2'!$F$30,"")</f>
        <v/>
      </c>
      <c r="AX109" s="518" t="str">
        <f>IF(AND(_AC3="A-320",'2023'!$O$4="FO",'2023'!$O$2=AX81),'2023DATA2'!$G$30,"")</f>
        <v/>
      </c>
      <c r="AY109" s="518" t="str">
        <f>IF(AND(_AC3="A-320",'2023'!$O$4="FO",'2023'!$O$2=AY81),'2023DATA2'!$H$30,"")</f>
        <v/>
      </c>
      <c r="AZ109" s="518" t="str">
        <f>IF(AND(_AC3="A-320",'2023'!$O$4="FO",'2023'!$O$2=AZ81),'2023DATA2'!$I$30,"")</f>
        <v/>
      </c>
      <c r="BA109" s="518" t="str">
        <f>IF(AND(_AC3="A-320",'2023'!$O$4="FO",'2023'!$O$2=BA81),'2023DATA2'!$J$30,"")</f>
        <v/>
      </c>
      <c r="BB109" s="518" t="str">
        <f>IF(AND(_AC3="A-320",'2023'!$O$4="FO",'2023'!$O$2=BB81),'2023DATA2'!$K$30,"")</f>
        <v/>
      </c>
      <c r="BC109" s="518" t="str">
        <f>IF(AND(_AC3="A-320",'2023'!$O$4="FO",'2023'!$O$2=BC81),'2023DATA2'!$L$30,"")</f>
        <v/>
      </c>
      <c r="BD109" s="518" t="str">
        <f>IF(AND(_AC3="A-320",'2023'!$O$4="FO",'2023'!$O$2=BD81),'2023DATA2'!$M$30,"")</f>
        <v/>
      </c>
      <c r="BE109" s="520" t="str">
        <f>IF(AND(_AC3="A-320",'2023'!$O$4="FO",'2023'!$O$2=BE81),'2023DATA2'!$N$30,"")</f>
        <v/>
      </c>
      <c r="BF109" s="940"/>
      <c r="BG109" s="13" t="s">
        <v>62</v>
      </c>
      <c r="BH109" s="518" t="str">
        <f>IF(AND(_AC4="A-320",'2023'!$O$4="FO",'2023'!$O$2=BH81),'2023DATA2'!$C$30,"")</f>
        <v/>
      </c>
      <c r="BI109" s="518" t="str">
        <f>IF(AND(_AC4="A-320",'2023'!$O$4="FO",'2023'!$O$2=BI81),'2023DATA2'!$D$30,"")</f>
        <v/>
      </c>
      <c r="BJ109" s="518" t="str">
        <f>IF(AND(_AC4="A-320",'2023'!$O$4="FO",'2023'!$O$2=BJ81),'2023DATA2'!$E$30,"")</f>
        <v/>
      </c>
      <c r="BK109" s="518" t="str">
        <f>IF(AND(_AC4="A-320",'2023'!$O$4="FO",'2023'!$O$2=BK81),'2023DATA2'!$F$30,"")</f>
        <v/>
      </c>
      <c r="BL109" s="518" t="str">
        <f>IF(AND(_AC4="A-320",'2023'!$O$4="FO",'2023'!$O$2=BL81),'2023DATA2'!$G$30,"")</f>
        <v/>
      </c>
      <c r="BM109" s="518" t="str">
        <f>IF(AND(_AC4="A-320",'2023'!$O$4="FO",'2023'!$O$2=BM81),'2023DATA2'!$H$30,"")</f>
        <v/>
      </c>
      <c r="BN109" s="518" t="str">
        <f>IF(AND(_AC4="A-320",'2023'!$O$4="FO",'2023'!$O$2=BN81),'2023DATA2'!$I$30,"")</f>
        <v/>
      </c>
      <c r="BO109" s="518" t="str">
        <f>IF(AND(_AC4="A-320",'2023'!$O$4="FO",'2023'!$O$2=BO81),'2023DATA2'!$J$30,"")</f>
        <v/>
      </c>
      <c r="BP109" s="518" t="str">
        <f>IF(AND(_AC4="A-320",'2023'!$O$4="FO",'2023'!$O$2=BP81),'2023DATA2'!$K$30,"")</f>
        <v/>
      </c>
      <c r="BQ109" s="518" t="str">
        <f>IF(AND(_AC4="A-320",'2023'!$O$4="FO",'2023'!$O$2=BQ81),'2023DATA2'!$L$30,"")</f>
        <v/>
      </c>
      <c r="BR109" s="518" t="str">
        <f>IF(AND(_AC4="A-320",'2023'!$O$4="FO",'2023'!$O$2=BR81),'2023DATA2'!$M$30,"")</f>
        <v/>
      </c>
      <c r="BS109" s="520" t="str">
        <f>IF(AND(_AC4="A-320",'2023'!$O$4="FO",'2023'!$O$2=BS81),'2023DATA2'!$N$30,"")</f>
        <v/>
      </c>
      <c r="BT109" s="940"/>
      <c r="BU109" s="13" t="s">
        <v>62</v>
      </c>
      <c r="BV109" s="518" t="str">
        <f>IF(AND(_AC5="A-320",'2023'!$O$4="FO",'2023'!$O$2=BV81),'2023DATA2'!$C$30,"")</f>
        <v/>
      </c>
      <c r="BW109" s="518" t="str">
        <f>IF(AND(_AC5="A-320",'2023'!$O$4="FO",'2023'!$O$2=BW81),'2023DATA2'!$D$30,"")</f>
        <v/>
      </c>
      <c r="BX109" s="518" t="str">
        <f>IF(AND(_AC5="A-320",'2023'!$O$4="FO",'2023'!$O$2=BX81),'2023DATA2'!$E$30,"")</f>
        <v/>
      </c>
      <c r="BY109" s="518" t="str">
        <f>IF(AND(_AC5="A-320",'2023'!$O$4="FO",'2023'!$O$2=BY81),'2023DATA2'!$F$30,"")</f>
        <v/>
      </c>
      <c r="BZ109" s="518" t="str">
        <f>IF(AND(_AC5="A-320",'2023'!$O$4="FO",'2023'!$O$2=BZ81),'2023DATA2'!$G$30,"")</f>
        <v/>
      </c>
      <c r="CA109" s="518" t="str">
        <f>IF(AND(_AC5="A-320",'2023'!$O$4="FO",'2023'!$O$2=CA81),'2023DATA2'!$H$30,"")</f>
        <v/>
      </c>
      <c r="CB109" s="518" t="str">
        <f>IF(AND(_AC5="A-320",'2023'!$O$4="FO",'2023'!$O$2=CB81),'2023DATA2'!$I$30,"")</f>
        <v/>
      </c>
      <c r="CC109" s="518" t="str">
        <f>IF(AND(_AC5="A-320",'2023'!$O$4="FO",'2023'!$O$2=CC81),'2023DATA2'!$J$30,"")</f>
        <v/>
      </c>
      <c r="CD109" s="518" t="str">
        <f>IF(AND(_AC5="A-320",'2023'!$O$4="FO",'2023'!$O$2=CD81),'2023DATA2'!$K$30,"")</f>
        <v/>
      </c>
      <c r="CE109" s="518" t="str">
        <f>IF(AND(_AC5="A-320",'2023'!$O$4="FO",'2023'!$O$2=CE81),'2023DATA2'!$L$30,"")</f>
        <v/>
      </c>
      <c r="CF109" s="518" t="str">
        <f>IF(AND(_AC5="A-320",'2023'!$O$4="FO",'2023'!$O$2=CF81),'2023DATA2'!$M$30,"")</f>
        <v/>
      </c>
      <c r="CG109" s="520" t="str">
        <f>IF(AND(_AC5="A-320",'2023'!$O$4="FO",'2023'!$O$2=CG81),'2023DATA2'!$N$30,"")</f>
        <v/>
      </c>
      <c r="CH109" s="940"/>
      <c r="CI109" s="13" t="s">
        <v>62</v>
      </c>
      <c r="CJ109" s="518" t="str">
        <f>IF(AND(_AC6="A-320",'2023'!$O$4="FO",'2023'!$O$2=CJ81),'2023DATA2'!$C$30,"")</f>
        <v/>
      </c>
      <c r="CK109" s="518" t="str">
        <f>IF(AND(_AC6="A-320",'2023'!$O$4="FO",'2023'!$O$2=CK81),'2023DATA2'!$D$30,"")</f>
        <v/>
      </c>
      <c r="CL109" s="518" t="str">
        <f>IF(AND(_AC6="A-320",'2023'!$O$4="FO",'2023'!$O$2=CL81),'2023DATA2'!$E$30,"")</f>
        <v/>
      </c>
      <c r="CM109" s="518" t="str">
        <f>IF(AND(_AC6="A-320",'2023'!$O$4="FO",'2023'!$O$2=CM81),'2023DATA2'!$F$30,"")</f>
        <v/>
      </c>
      <c r="CN109" s="518" t="str">
        <f>IF(AND(_AC6="A-320",'2023'!$O$4="FO",'2023'!$O$2=CN81),'2023DATA2'!$G$30,"")</f>
        <v/>
      </c>
      <c r="CO109" s="518" t="str">
        <f>IF(AND(_AC6="A-320",'2023'!$O$4="FO",'2023'!$O$2=CO81),'2023DATA2'!$H$30,"")</f>
        <v/>
      </c>
      <c r="CP109" s="518" t="str">
        <f>IF(AND(_AC6="A-320",'2023'!$O$4="FO",'2023'!$O$2=CP81),'2023DATA2'!$I$30,"")</f>
        <v/>
      </c>
      <c r="CQ109" s="518" t="str">
        <f>IF(AND(_AC6="A-320",'2023'!$O$4="FO",'2023'!$O$2=CQ81),'2023DATA2'!$J$30,"")</f>
        <v/>
      </c>
      <c r="CR109" s="518" t="str">
        <f>IF(AND(_AC6="A-320",'2023'!$O$4="FO",'2023'!$O$2=CR81),'2023DATA2'!$K$30,"")</f>
        <v/>
      </c>
      <c r="CS109" s="518" t="str">
        <f>IF(AND(_AC6="A-320",'2023'!$O$4="FO",'2023'!$O$2=CS81),'2023DATA2'!$L$30,"")</f>
        <v/>
      </c>
      <c r="CT109" s="518" t="str">
        <f>IF(AND(_AC6="A-320",'2023'!$O$4="FO",'2023'!$O$2=CT81),'2023DATA2'!$M$30,"")</f>
        <v/>
      </c>
      <c r="CU109" s="520" t="str">
        <f>IF(AND(_AC6="A-320",'2023'!$O$4="FO",'2023'!$O$2=CU81),'2023DATA2'!$N$30,"")</f>
        <v/>
      </c>
    </row>
    <row r="110" spans="16:99" x14ac:dyDescent="0.25">
      <c r="P110" s="940" t="s">
        <v>71</v>
      </c>
      <c r="Q110" s="13" t="s">
        <v>61</v>
      </c>
      <c r="R110" s="518" t="str">
        <f>IF(AND(_AC1="A-319",'2023'!$O$4="CA",'2023'!$O$2=R81),'2023DATA2'!$C$31,"")</f>
        <v/>
      </c>
      <c r="S110" s="518" t="str">
        <f>IF(AND(_AC1="A-319",'2023'!$O$4="CA",'2023'!$O$2=S81),'2023DATA2'!$D$31,"")</f>
        <v/>
      </c>
      <c r="T110" s="518" t="str">
        <f>IF(AND(_AC1="A-319",'2023'!$O$4="CA",'2023'!$O$2=T81),'2023DATA2'!$E$31,"")</f>
        <v/>
      </c>
      <c r="U110" s="518" t="str">
        <f>IF(AND(_AC1="A-319",'2023'!$O$4="CA",'2023'!$O$2=U81),'2023DATA2'!$F$31,"")</f>
        <v/>
      </c>
      <c r="V110" s="518" t="str">
        <f>IF(AND(_AC1="A-319",'2023'!$O$4="CA",'2023'!$O$2=V81),'2023DATA2'!$G$31,"")</f>
        <v/>
      </c>
      <c r="W110" s="518" t="str">
        <f>IF(AND(_AC1="A-319",'2023'!$O$4="CA",'2023'!$O$2=W81),'2023DATA2'!$H$31,"")</f>
        <v/>
      </c>
      <c r="X110" s="518" t="str">
        <f>IF(AND(_AC1="A-319",'2023'!$O$4="CA",'2023'!$O$2=X81),'2023DATA2'!$I$31,"")</f>
        <v/>
      </c>
      <c r="Y110" s="518" t="str">
        <f>IF(AND(_AC1="A-319",'2023'!$O$4="CA",'2023'!$O$2=Y81),'2023DATA2'!$J$31,"")</f>
        <v/>
      </c>
      <c r="Z110" s="518" t="str">
        <f>IF(AND(_AC1="A-319",'2023'!$O$4="CA",'2023'!$O$2=Z81),'2023DATA2'!$K$31,"")</f>
        <v/>
      </c>
      <c r="AA110" s="518" t="str">
        <f>IF(AND(_AC1="A-319",'2023'!$O$4="CA",'2023'!$O$2=AA81),'2023DATA2'!$L$31,"")</f>
        <v/>
      </c>
      <c r="AB110" s="518" t="str">
        <f>IF(AND(_AC1="A-319",'2023'!$O$4="CA",'2023'!$O$2=AB81),'2023DATA2'!$M$31,"")</f>
        <v/>
      </c>
      <c r="AC110" s="520" t="str">
        <f>IF(AND(_AC1="A-319",'2023'!$O$4="CA",'2023'!$O$2=AC81),'2023DATA2'!$N$31,"")</f>
        <v/>
      </c>
      <c r="AD110" s="940" t="s">
        <v>71</v>
      </c>
      <c r="AE110" s="13" t="s">
        <v>61</v>
      </c>
      <c r="AF110" s="518" t="str">
        <f>IF(AND(_AC2="A-319",'2023'!$O$4="CA",'2023'!$O$2=AF81),'2023DATA2'!$C$31,"")</f>
        <v/>
      </c>
      <c r="AG110" s="518" t="str">
        <f>IF(AND(_AC2="A-319",'2023'!$O$4="CA",'2023'!$O$2=AG81),'2023DATA2'!$D$31,"")</f>
        <v/>
      </c>
      <c r="AH110" s="518" t="str">
        <f>IF(AND(_AC2="A-319",'2023'!$O$4="CA",'2023'!$O$2=AH81),'2023DATA2'!$E$31,"")</f>
        <v/>
      </c>
      <c r="AI110" s="518" t="str">
        <f>IF(AND(_AC2="A-319",'2023'!$O$4="CA",'2023'!$O$2=AI81),'2023DATA2'!$F$31,"")</f>
        <v/>
      </c>
      <c r="AJ110" s="518" t="str">
        <f>IF(AND(_AC2="A-319",'2023'!$O$4="CA",'2023'!$O$2=AJ81),'2023DATA2'!$G$31,"")</f>
        <v/>
      </c>
      <c r="AK110" s="518" t="str">
        <f>IF(AND(_AC2="A-319",'2023'!$O$4="CA",'2023'!$O$2=AK81),'2023DATA2'!$H$31,"")</f>
        <v/>
      </c>
      <c r="AL110" s="518" t="str">
        <f>IF(AND(_AC2="A-319",'2023'!$O$4="CA",'2023'!$O$2=AL81),'2023DATA2'!$I$31,"")</f>
        <v/>
      </c>
      <c r="AM110" s="518" t="str">
        <f>IF(AND(_AC2="A-319",'2023'!$O$4="CA",'2023'!$O$2=AM81),'2023DATA2'!$J$31,"")</f>
        <v/>
      </c>
      <c r="AN110" s="518" t="str">
        <f>IF(AND(_AC2="A-319",'2023'!$O$4="CA",'2023'!$O$2=AN81),'2023DATA2'!$K$31,"")</f>
        <v/>
      </c>
      <c r="AO110" s="518" t="str">
        <f>IF(AND(_AC2="A-319",'2023'!$O$4="CA",'2023'!$O$2=AO81),'2023DATA2'!$L$31,"")</f>
        <v/>
      </c>
      <c r="AP110" s="518" t="str">
        <f>IF(AND(_AC2="A-319",'2023'!$O$4="CA",'2023'!$O$2=AP81),'2023DATA2'!$M$31,"")</f>
        <v/>
      </c>
      <c r="AQ110" s="520" t="str">
        <f>IF(AND(_AC2="A-319",'2023'!$O$4="CA",'2023'!$O$2=AQ81),'2023DATA2'!$N$31,"")</f>
        <v/>
      </c>
      <c r="AR110" s="940" t="s">
        <v>71</v>
      </c>
      <c r="AS110" s="13" t="s">
        <v>61</v>
      </c>
      <c r="AT110" s="518" t="str">
        <f>IF(AND(_AC3="A-319",'2023'!$O$4="CA",'2023'!$O$2=AT81),'2023DATA2'!$C$31,"")</f>
        <v/>
      </c>
      <c r="AU110" s="518" t="str">
        <f>IF(AND(_AC3="A-319",'2023'!$O$4="CA",'2023'!$O$2=AU81),'2023DATA2'!$D$31,"")</f>
        <v/>
      </c>
      <c r="AV110" s="518" t="str">
        <f>IF(AND(_AC3="A-319",'2023'!$O$4="CA",'2023'!$O$2=AV81),'2023DATA2'!$E$31,"")</f>
        <v/>
      </c>
      <c r="AW110" s="518" t="str">
        <f>IF(AND(_AC3="A-319",'2023'!$O$4="CA",'2023'!$O$2=AW81),'2023DATA2'!$F$31,"")</f>
        <v/>
      </c>
      <c r="AX110" s="518" t="str">
        <f>IF(AND(_AC3="A-319",'2023'!$O$4="CA",'2023'!$O$2=AX81),'2023DATA2'!$G$31,"")</f>
        <v/>
      </c>
      <c r="AY110" s="518" t="str">
        <f>IF(AND(_AC3="A-319",'2023'!$O$4="CA",'2023'!$O$2=AY81),'2023DATA2'!$H$31,"")</f>
        <v/>
      </c>
      <c r="AZ110" s="518" t="str">
        <f>IF(AND(_AC3="A-319",'2023'!$O$4="CA",'2023'!$O$2=AZ81),'2023DATA2'!$I$31,"")</f>
        <v/>
      </c>
      <c r="BA110" s="518" t="str">
        <f>IF(AND(_AC3="A-319",'2023'!$O$4="CA",'2023'!$O$2=BA81),'2023DATA2'!$J$31,"")</f>
        <v/>
      </c>
      <c r="BB110" s="518" t="str">
        <f>IF(AND(_AC3="A-319",'2023'!$O$4="CA",'2023'!$O$2=BB81),'2023DATA2'!$K$31,"")</f>
        <v/>
      </c>
      <c r="BC110" s="518" t="str">
        <f>IF(AND(_AC3="A-319",'2023'!$O$4="CA",'2023'!$O$2=BC81),'2023DATA2'!$L$31,"")</f>
        <v/>
      </c>
      <c r="BD110" s="518" t="str">
        <f>IF(AND(_AC3="A-319",'2023'!$O$4="CA",'2023'!$O$2=BD81),'2023DATA2'!$M$31,"")</f>
        <v/>
      </c>
      <c r="BE110" s="520" t="str">
        <f>IF(AND(_AC3="A-319",'2023'!$O$4="CA",'2023'!$O$2=BE81),'2023DATA2'!$N$31,"")</f>
        <v/>
      </c>
      <c r="BF110" s="940" t="s">
        <v>71</v>
      </c>
      <c r="BG110" s="13" t="s">
        <v>61</v>
      </c>
      <c r="BH110" s="518" t="str">
        <f>IF(AND(_AC4="A-319",'2023'!$O$4="CA",'2023'!$O$2=BH81),'2023DATA2'!$C$31,"")</f>
        <v/>
      </c>
      <c r="BI110" s="518" t="str">
        <f>IF(AND(_AC4="A-319",'2023'!$O$4="CA",'2023'!$O$2=BI81),'2023DATA2'!$D$31,"")</f>
        <v/>
      </c>
      <c r="BJ110" s="518" t="str">
        <f>IF(AND(_AC4="A-319",'2023'!$O$4="CA",'2023'!$O$2=BJ81),'2023DATA2'!$E$31,"")</f>
        <v/>
      </c>
      <c r="BK110" s="518" t="str">
        <f>IF(AND(_AC4="A-319",'2023'!$O$4="CA",'2023'!$O$2=BK81),'2023DATA2'!$F$31,"")</f>
        <v/>
      </c>
      <c r="BL110" s="518" t="str">
        <f>IF(AND(_AC4="A-319",'2023'!$O$4="CA",'2023'!$O$2=BL81),'2023DATA2'!$G$31,"")</f>
        <v/>
      </c>
      <c r="BM110" s="518" t="str">
        <f>IF(AND(_AC4="A-319",'2023'!$O$4="CA",'2023'!$O$2=BM81),'2023DATA2'!$H$31,"")</f>
        <v/>
      </c>
      <c r="BN110" s="518" t="str">
        <f>IF(AND(_AC4="A-319",'2023'!$O$4="CA",'2023'!$O$2=BN81),'2023DATA2'!$I$31,"")</f>
        <v/>
      </c>
      <c r="BO110" s="518" t="str">
        <f>IF(AND(_AC4="A-319",'2023'!$O$4="CA",'2023'!$O$2=BO81),'2023DATA2'!$J$31,"")</f>
        <v/>
      </c>
      <c r="BP110" s="518" t="str">
        <f>IF(AND(_AC4="A-319",'2023'!$O$4="CA",'2023'!$O$2=BP81),'2023DATA2'!$K$31,"")</f>
        <v/>
      </c>
      <c r="BQ110" s="518" t="str">
        <f>IF(AND(_AC4="A-319",'2023'!$O$4="CA",'2023'!$O$2=BQ81),'2023DATA2'!$L$31,"")</f>
        <v/>
      </c>
      <c r="BR110" s="518" t="str">
        <f>IF(AND(_AC4="A-319",'2023'!$O$4="CA",'2023'!$O$2=BR81),'2023DATA2'!$M$31,"")</f>
        <v/>
      </c>
      <c r="BS110" s="520" t="str">
        <f>IF(AND(_AC4="A-319",'2023'!$O$4="CA",'2023'!$O$2=BS81),'2023DATA2'!$N$31,"")</f>
        <v/>
      </c>
      <c r="BT110" s="940" t="s">
        <v>71</v>
      </c>
      <c r="BU110" s="13" t="s">
        <v>61</v>
      </c>
      <c r="BV110" s="518" t="str">
        <f>IF(AND(_AC5="A-319",'2023'!$O$4="CA",'2023'!$O$2=BV81),'2023DATA2'!$C$31,"")</f>
        <v/>
      </c>
      <c r="BW110" s="518" t="str">
        <f>IF(AND(_AC5="A-319",'2023'!$O$4="CA",'2023'!$O$2=BW81),'2023DATA2'!$D$31,"")</f>
        <v/>
      </c>
      <c r="BX110" s="518" t="str">
        <f>IF(AND(_AC5="A-319",'2023'!$O$4="CA",'2023'!$O$2=BX81),'2023DATA2'!$E$31,"")</f>
        <v/>
      </c>
      <c r="BY110" s="518" t="str">
        <f>IF(AND(_AC5="A-319",'2023'!$O$4="CA",'2023'!$O$2=BY81),'2023DATA2'!$F$31,"")</f>
        <v/>
      </c>
      <c r="BZ110" s="518" t="str">
        <f>IF(AND(_AC5="A-319",'2023'!$O$4="CA",'2023'!$O$2=BZ81),'2023DATA2'!$G$31,"")</f>
        <v/>
      </c>
      <c r="CA110" s="518" t="str">
        <f>IF(AND(_AC5="A-319",'2023'!$O$4="CA",'2023'!$O$2=CA81),'2023DATA2'!$H$31,"")</f>
        <v/>
      </c>
      <c r="CB110" s="518" t="str">
        <f>IF(AND(_AC5="A-319",'2023'!$O$4="CA",'2023'!$O$2=CB81),'2023DATA2'!$I$31,"")</f>
        <v/>
      </c>
      <c r="CC110" s="518" t="str">
        <f>IF(AND(_AC5="A-319",'2023'!$O$4="CA",'2023'!$O$2=CC81),'2023DATA2'!$J$31,"")</f>
        <v/>
      </c>
      <c r="CD110" s="518" t="str">
        <f>IF(AND(_AC5="A-319",'2023'!$O$4="CA",'2023'!$O$2=CD81),'2023DATA2'!$K$31,"")</f>
        <v/>
      </c>
      <c r="CE110" s="518" t="str">
        <f>IF(AND(_AC5="A-319",'2023'!$O$4="CA",'2023'!$O$2=CE81),'2023DATA2'!$L$31,"")</f>
        <v/>
      </c>
      <c r="CF110" s="518" t="str">
        <f>IF(AND(_AC5="A-319",'2023'!$O$4="CA",'2023'!$O$2=CF81),'2023DATA2'!$M$31,"")</f>
        <v/>
      </c>
      <c r="CG110" s="520" t="str">
        <f>IF(AND(_AC5="A-319",'2023'!$O$4="CA",'2023'!$O$2=CG81),'2023DATA2'!$N$31,"")</f>
        <v/>
      </c>
      <c r="CH110" s="940" t="s">
        <v>71</v>
      </c>
      <c r="CI110" s="13" t="s">
        <v>61</v>
      </c>
      <c r="CJ110" s="518" t="str">
        <f>IF(AND(_AC6="A-319",'2023'!$O$4="CA",'2023'!$O$2=CJ81),'2023DATA2'!$C$31,"")</f>
        <v/>
      </c>
      <c r="CK110" s="518" t="str">
        <f>IF(AND(_AC6="A-319",'2023'!$O$4="CA",'2023'!$O$2=CK81),'2023DATA2'!$D$31,"")</f>
        <v/>
      </c>
      <c r="CL110" s="518" t="str">
        <f>IF(AND(_AC6="A-319",'2023'!$O$4="CA",'2023'!$O$2=CL81),'2023DATA2'!$E$31,"")</f>
        <v/>
      </c>
      <c r="CM110" s="518" t="str">
        <f>IF(AND(_AC6="A-319",'2023'!$O$4="CA",'2023'!$O$2=CM81),'2023DATA2'!$F$31,"")</f>
        <v/>
      </c>
      <c r="CN110" s="518" t="str">
        <f>IF(AND(_AC6="A-319",'2023'!$O$4="CA",'2023'!$O$2=CN81),'2023DATA2'!$G$31,"")</f>
        <v/>
      </c>
      <c r="CO110" s="518" t="str">
        <f>IF(AND(_AC6="A-319",'2023'!$O$4="CA",'2023'!$O$2=CO81),'2023DATA2'!$H$31,"")</f>
        <v/>
      </c>
      <c r="CP110" s="518" t="str">
        <f>IF(AND(_AC6="A-319",'2023'!$O$4="CA",'2023'!$O$2=CP81),'2023DATA2'!$I$31,"")</f>
        <v/>
      </c>
      <c r="CQ110" s="518" t="str">
        <f>IF(AND(_AC6="A-319",'2023'!$O$4="CA",'2023'!$O$2=CQ81),'2023DATA2'!$J$31,"")</f>
        <v/>
      </c>
      <c r="CR110" s="518" t="str">
        <f>IF(AND(_AC6="A-319",'2023'!$O$4="CA",'2023'!$O$2=CR81),'2023DATA2'!$K$31,"")</f>
        <v/>
      </c>
      <c r="CS110" s="518" t="str">
        <f>IF(AND(_AC6="A-319",'2023'!$O$4="CA",'2023'!$O$2=CS81),'2023DATA2'!$L$31,"")</f>
        <v/>
      </c>
      <c r="CT110" s="518" t="str">
        <f>IF(AND(_AC6="A-319",'2023'!$O$4="CA",'2023'!$O$2=CT81),'2023DATA2'!$M$31,"")</f>
        <v/>
      </c>
      <c r="CU110" s="520" t="str">
        <f>IF(AND(_AC6="A-319",'2023'!$O$4="CA",'2023'!$O$2=CU81),'2023DATA2'!$N$31,"")</f>
        <v/>
      </c>
    </row>
    <row r="111" spans="16:99" x14ac:dyDescent="0.25">
      <c r="P111" s="940"/>
      <c r="Q111" s="13" t="s">
        <v>62</v>
      </c>
      <c r="R111" s="518" t="str">
        <f>IF(AND(_AC1="A-319",'2023'!$O$4="FO",'2023'!$O$2=R81),'2023DATA2'!$C$32,"")</f>
        <v/>
      </c>
      <c r="S111" s="518" t="str">
        <f>IF(AND(_AC1="A-319",'2023'!$O$4="FO",'2023'!$O$2=S81),'2023DATA2'!$D$32,"")</f>
        <v/>
      </c>
      <c r="T111" s="518" t="str">
        <f>IF(AND(_AC1="A-319",'2023'!$O$4="FO",'2023'!$O$2=T81),'2023DATA2'!$E$32,"")</f>
        <v/>
      </c>
      <c r="U111" s="518" t="str">
        <f>IF(AND(_AC1="A-319",'2023'!$O$4="FO",'2023'!$O$2=U81),'2023DATA2'!$F$32,"")</f>
        <v/>
      </c>
      <c r="V111" s="518" t="str">
        <f>IF(AND(_AC1="A-319",'2023'!$O$4="FO",'2023'!$O$2=V81),'2023DATA2'!$G$32,"")</f>
        <v/>
      </c>
      <c r="W111" s="518" t="str">
        <f>IF(AND(_AC1="A-319",'2023'!$O$4="FO",'2023'!$O$2=W81),'2023DATA2'!$H$32,"")</f>
        <v/>
      </c>
      <c r="X111" s="518" t="str">
        <f>IF(AND(_AC1="A-319",'2023'!$O$4="FO",'2023'!$O$2=X81),'2023DATA2'!$I$32,"")</f>
        <v/>
      </c>
      <c r="Y111" s="518" t="str">
        <f>IF(AND(_AC1="A-319",'2023'!$O$4="FO",'2023'!$O$2=Y81),'2023DATA2'!$J$32,"")</f>
        <v/>
      </c>
      <c r="Z111" s="518" t="str">
        <f>IF(AND(_AC1="A-319",'2023'!$O$4="FO",'2023'!$O$2=Z81),'2023DATA2'!$K$32,"")</f>
        <v/>
      </c>
      <c r="AA111" s="518" t="str">
        <f>IF(AND(_AC1="A-319",'2023'!$O$4="FO",'2023'!$O$2=AA81),'2023DATA2'!$L$32,"")</f>
        <v/>
      </c>
      <c r="AB111" s="518" t="str">
        <f>IF(AND(_AC1="A-319",'2023'!$O$4="FO",'2023'!$O$2=AB81),'2023DATA2'!$M$32,"")</f>
        <v/>
      </c>
      <c r="AC111" s="520" t="str">
        <f>IF(AND(_AC1="A-319",'2023'!$O$4="FO",'2023'!$O$2=AC81),'2023DATA2'!$N$32,"")</f>
        <v/>
      </c>
      <c r="AD111" s="940"/>
      <c r="AE111" s="13" t="s">
        <v>62</v>
      </c>
      <c r="AF111" s="518" t="str">
        <f>IF(AND(_AC2="A-319",'2023'!$O$4="FO",'2023'!$O$2=AF81),'2023DATA2'!$C$32,"")</f>
        <v/>
      </c>
      <c r="AG111" s="518" t="str">
        <f>IF(AND(_AC2="A-319",'2023'!$O$4="FO",'2023'!$O$2=AG81),'2023DATA2'!$D$32,"")</f>
        <v/>
      </c>
      <c r="AH111" s="518" t="str">
        <f>IF(AND(_AC2="A-319",'2023'!$O$4="FO",'2023'!$O$2=AH81),'2023DATA2'!$E$32,"")</f>
        <v/>
      </c>
      <c r="AI111" s="518" t="str">
        <f>IF(AND(_AC2="A-319",'2023'!$O$4="FO",'2023'!$O$2=AI81),'2023DATA2'!$F$32,"")</f>
        <v/>
      </c>
      <c r="AJ111" s="518" t="str">
        <f>IF(AND(_AC2="A-319",'2023'!$O$4="FO",'2023'!$O$2=AJ81),'2023DATA2'!$G$32,"")</f>
        <v/>
      </c>
      <c r="AK111" s="518" t="str">
        <f>IF(AND(_AC2="A-319",'2023'!$O$4="FO",'2023'!$O$2=AK81),'2023DATA2'!$H$32,"")</f>
        <v/>
      </c>
      <c r="AL111" s="518" t="str">
        <f>IF(AND(_AC2="A-319",'2023'!$O$4="FO",'2023'!$O$2=AL81),'2023DATA2'!$I$32,"")</f>
        <v/>
      </c>
      <c r="AM111" s="518" t="str">
        <f>IF(AND(_AC2="A-319",'2023'!$O$4="FO",'2023'!$O$2=AM81),'2023DATA2'!$J$32,"")</f>
        <v/>
      </c>
      <c r="AN111" s="518" t="str">
        <f>IF(AND(_AC2="A-319",'2023'!$O$4="FO",'2023'!$O$2=AN81),'2023DATA2'!$K$32,"")</f>
        <v/>
      </c>
      <c r="AO111" s="518" t="str">
        <f>IF(AND(_AC2="A-319",'2023'!$O$4="FO",'2023'!$O$2=AO81),'2023DATA2'!$L$32,"")</f>
        <v/>
      </c>
      <c r="AP111" s="518" t="str">
        <f>IF(AND(_AC2="A-319",'2023'!$O$4="FO",'2023'!$O$2=AP81),'2023DATA2'!$M$32,"")</f>
        <v/>
      </c>
      <c r="AQ111" s="520" t="str">
        <f>IF(AND(_AC2="A-319",'2023'!$O$4="FO",'2023'!$O$2=AQ81),'2023DATA2'!$N$32,"")</f>
        <v/>
      </c>
      <c r="AR111" s="940"/>
      <c r="AS111" s="13" t="s">
        <v>62</v>
      </c>
      <c r="AT111" s="518" t="str">
        <f>IF(AND(_AC3="A-319",'2023'!$O$4="FO",'2023'!$O$2=AT81),'2023DATA2'!$C$32,"")</f>
        <v/>
      </c>
      <c r="AU111" s="518" t="str">
        <f>IF(AND(_AC3="A-319",'2023'!$O$4="FO",'2023'!$O$2=AU81),'2023DATA2'!$D$32,"")</f>
        <v/>
      </c>
      <c r="AV111" s="518" t="str">
        <f>IF(AND(_AC3="A-319",'2023'!$O$4="FO",'2023'!$O$2=AV81),'2023DATA2'!$E$32,"")</f>
        <v/>
      </c>
      <c r="AW111" s="518" t="str">
        <f>IF(AND(_AC3="A-319",'2023'!$O$4="FO",'2023'!$O$2=AW81),'2023DATA2'!$F$32,"")</f>
        <v/>
      </c>
      <c r="AX111" s="518" t="str">
        <f>IF(AND(_AC3="A-319",'2023'!$O$4="FO",'2023'!$O$2=AX81),'2023DATA2'!$G$32,"")</f>
        <v/>
      </c>
      <c r="AY111" s="518" t="str">
        <f>IF(AND(_AC3="A-319",'2023'!$O$4="FO",'2023'!$O$2=AY81),'2023DATA2'!$H$32,"")</f>
        <v/>
      </c>
      <c r="AZ111" s="518" t="str">
        <f>IF(AND(_AC3="A-319",'2023'!$O$4="FO",'2023'!$O$2=AZ81),'2023DATA2'!$I$32,"")</f>
        <v/>
      </c>
      <c r="BA111" s="518" t="str">
        <f>IF(AND(_AC3="A-319",'2023'!$O$4="FO",'2023'!$O$2=BA81),'2023DATA2'!$J$32,"")</f>
        <v/>
      </c>
      <c r="BB111" s="518" t="str">
        <f>IF(AND(_AC3="A-319",'2023'!$O$4="FO",'2023'!$O$2=BB81),'2023DATA2'!$K$32,"")</f>
        <v/>
      </c>
      <c r="BC111" s="518" t="str">
        <f>IF(AND(_AC3="A-319",'2023'!$O$4="FO",'2023'!$O$2=BC81),'2023DATA2'!$L$32,"")</f>
        <v/>
      </c>
      <c r="BD111" s="518" t="str">
        <f>IF(AND(_AC3="A-319",'2023'!$O$4="FO",'2023'!$O$2=BD81),'2023DATA2'!$M$32,"")</f>
        <v/>
      </c>
      <c r="BE111" s="520" t="str">
        <f>IF(AND(_AC3="A-319",'2023'!$O$4="FO",'2023'!$O$2=BE81),'2023DATA2'!$N$32,"")</f>
        <v/>
      </c>
      <c r="BF111" s="940"/>
      <c r="BG111" s="13" t="s">
        <v>62</v>
      </c>
      <c r="BH111" s="518" t="str">
        <f>IF(AND(_AC4="A-319",'2023'!$O$4="FO",'2023'!$O$2=BH81),'2023DATA2'!$C$32,"")</f>
        <v/>
      </c>
      <c r="BI111" s="518" t="str">
        <f>IF(AND(_AC4="A-319",'2023'!$O$4="FO",'2023'!$O$2=BI81),'2023DATA2'!$D$32,"")</f>
        <v/>
      </c>
      <c r="BJ111" s="518" t="str">
        <f>IF(AND(_AC4="A-319",'2023'!$O$4="FO",'2023'!$O$2=BJ81),'2023DATA2'!$E$32,"")</f>
        <v/>
      </c>
      <c r="BK111" s="518" t="str">
        <f>IF(AND(_AC4="A-319",'2023'!$O$4="FO",'2023'!$O$2=BK81),'2023DATA2'!$F$32,"")</f>
        <v/>
      </c>
      <c r="BL111" s="518" t="str">
        <f>IF(AND(_AC4="A-319",'2023'!$O$4="FO",'2023'!$O$2=BL81),'2023DATA2'!$G$32,"")</f>
        <v/>
      </c>
      <c r="BM111" s="518" t="str">
        <f>IF(AND(_AC4="A-319",'2023'!$O$4="FO",'2023'!$O$2=BM81),'2023DATA2'!$H$32,"")</f>
        <v/>
      </c>
      <c r="BN111" s="518" t="str">
        <f>IF(AND(_AC4="A-319",'2023'!$O$4="FO",'2023'!$O$2=BN81),'2023DATA2'!$I$32,"")</f>
        <v/>
      </c>
      <c r="BO111" s="518" t="str">
        <f>IF(AND(_AC4="A-319",'2023'!$O$4="FO",'2023'!$O$2=BO81),'2023DATA2'!$J$32,"")</f>
        <v/>
      </c>
      <c r="BP111" s="518" t="str">
        <f>IF(AND(_AC4="A-319",'2023'!$O$4="FO",'2023'!$O$2=BP81),'2023DATA2'!$K$32,"")</f>
        <v/>
      </c>
      <c r="BQ111" s="518" t="str">
        <f>IF(AND(_AC4="A-319",'2023'!$O$4="FO",'2023'!$O$2=BQ81),'2023DATA2'!$L$32,"")</f>
        <v/>
      </c>
      <c r="BR111" s="518" t="str">
        <f>IF(AND(_AC4="A-319",'2023'!$O$4="FO",'2023'!$O$2=BR81),'2023DATA2'!$M$32,"")</f>
        <v/>
      </c>
      <c r="BS111" s="520" t="str">
        <f>IF(AND(_AC4="A-319",'2023'!$O$4="FO",'2023'!$O$2=BS81),'2023DATA2'!$N$32,"")</f>
        <v/>
      </c>
      <c r="BT111" s="940"/>
      <c r="BU111" s="13" t="s">
        <v>62</v>
      </c>
      <c r="BV111" s="518" t="str">
        <f>IF(AND(_AC5="A-319",'2023'!$O$4="FO",'2023'!$O$2=BV81),'2023DATA2'!$C$32,"")</f>
        <v/>
      </c>
      <c r="BW111" s="518" t="str">
        <f>IF(AND(_AC5="A-319",'2023'!$O$4="FO",'2023'!$O$2=BW81),'2023DATA2'!$D$32,"")</f>
        <v/>
      </c>
      <c r="BX111" s="518" t="str">
        <f>IF(AND(_AC5="A-319",'2023'!$O$4="FO",'2023'!$O$2=BX81),'2023DATA2'!$E$32,"")</f>
        <v/>
      </c>
      <c r="BY111" s="518" t="str">
        <f>IF(AND(_AC5="A-319",'2023'!$O$4="FO",'2023'!$O$2=BY81),'2023DATA2'!$F$32,"")</f>
        <v/>
      </c>
      <c r="BZ111" s="518" t="str">
        <f>IF(AND(_AC5="A-319",'2023'!$O$4="FO",'2023'!$O$2=BZ81),'2023DATA2'!$G$32,"")</f>
        <v/>
      </c>
      <c r="CA111" s="518" t="str">
        <f>IF(AND(_AC5="A-319",'2023'!$O$4="FO",'2023'!$O$2=CA81),'2023DATA2'!$H$32,"")</f>
        <v/>
      </c>
      <c r="CB111" s="518" t="str">
        <f>IF(AND(_AC5="A-319",'2023'!$O$4="FO",'2023'!$O$2=CB81),'2023DATA2'!$I$32,"")</f>
        <v/>
      </c>
      <c r="CC111" s="518" t="str">
        <f>IF(AND(_AC5="A-319",'2023'!$O$4="FO",'2023'!$O$2=CC81),'2023DATA2'!$J$32,"")</f>
        <v/>
      </c>
      <c r="CD111" s="518" t="str">
        <f>IF(AND(_AC5="A-319",'2023'!$O$4="FO",'2023'!$O$2=CD81),'2023DATA2'!$K$32,"")</f>
        <v/>
      </c>
      <c r="CE111" s="518" t="str">
        <f>IF(AND(_AC5="A-319",'2023'!$O$4="FO",'2023'!$O$2=CE81),'2023DATA2'!$L$32,"")</f>
        <v/>
      </c>
      <c r="CF111" s="518" t="str">
        <f>IF(AND(_AC5="A-319",'2023'!$O$4="FO",'2023'!$O$2=CF81),'2023DATA2'!$M$32,"")</f>
        <v/>
      </c>
      <c r="CG111" s="520" t="str">
        <f>IF(AND(_AC5="A-319",'2023'!$O$4="FO",'2023'!$O$2=CG81),'2023DATA2'!$N$32,"")</f>
        <v/>
      </c>
      <c r="CH111" s="940"/>
      <c r="CI111" s="13" t="s">
        <v>62</v>
      </c>
      <c r="CJ111" s="518" t="str">
        <f>IF(AND(_AC6="A-319",'2023'!$O$4="FO",'2023'!$O$2=CJ81),'2023DATA2'!$C$32,"")</f>
        <v/>
      </c>
      <c r="CK111" s="518" t="str">
        <f>IF(AND(_AC6="A-319",'2023'!$O$4="FO",'2023'!$O$2=CK81),'2023DATA2'!$D$32,"")</f>
        <v/>
      </c>
      <c r="CL111" s="518" t="str">
        <f>IF(AND(_AC6="A-319",'2023'!$O$4="FO",'2023'!$O$2=CL81),'2023DATA2'!$E$32,"")</f>
        <v/>
      </c>
      <c r="CM111" s="518" t="str">
        <f>IF(AND(_AC6="A-319",'2023'!$O$4="FO",'2023'!$O$2=CM81),'2023DATA2'!$F$32,"")</f>
        <v/>
      </c>
      <c r="CN111" s="518" t="str">
        <f>IF(AND(_AC6="A-319",'2023'!$O$4="FO",'2023'!$O$2=CN81),'2023DATA2'!$G$32,"")</f>
        <v/>
      </c>
      <c r="CO111" s="518" t="str">
        <f>IF(AND(_AC6="A-319",'2023'!$O$4="FO",'2023'!$O$2=CO81),'2023DATA2'!$H$32,"")</f>
        <v/>
      </c>
      <c r="CP111" s="518" t="str">
        <f>IF(AND(_AC6="A-319",'2023'!$O$4="FO",'2023'!$O$2=CP81),'2023DATA2'!$I$32,"")</f>
        <v/>
      </c>
      <c r="CQ111" s="518" t="str">
        <f>IF(AND(_AC6="A-319",'2023'!$O$4="FO",'2023'!$O$2=CQ81),'2023DATA2'!$J$32,"")</f>
        <v/>
      </c>
      <c r="CR111" s="518" t="str">
        <f>IF(AND(_AC6="A-319",'2023'!$O$4="FO",'2023'!$O$2=CR81),'2023DATA2'!$K$32,"")</f>
        <v/>
      </c>
      <c r="CS111" s="518" t="str">
        <f>IF(AND(_AC6="A-319",'2023'!$O$4="FO",'2023'!$O$2=CS81),'2023DATA2'!$L$32,"")</f>
        <v/>
      </c>
      <c r="CT111" s="518" t="str">
        <f>IF(AND(_AC6="A-319",'2023'!$O$4="FO",'2023'!$O$2=CT81),'2023DATA2'!$M$32,"")</f>
        <v/>
      </c>
      <c r="CU111" s="520" t="str">
        <f>IF(AND(_AC6="A-319",'2023'!$O$4="FO",'2023'!$O$2=CU81),'2023DATA2'!$N$32,"")</f>
        <v/>
      </c>
    </row>
    <row r="112" spans="16:99" x14ac:dyDescent="0.25">
      <c r="P112" s="940" t="s">
        <v>51</v>
      </c>
      <c r="Q112" s="13" t="s">
        <v>61</v>
      </c>
      <c r="R112" s="518" t="str">
        <f>IF(AND(_AC1="A-220-300",'2023'!$O$4="CA",'2023'!$O$2=R81),'2023DATA2'!$C$33,"")</f>
        <v/>
      </c>
      <c r="S112" s="518" t="str">
        <f>IF(AND(_AC1="A-220-300",'2023'!$O$4="CA",'2023'!$O$2=S81),'2023DATA2'!$D$33,"")</f>
        <v/>
      </c>
      <c r="T112" s="518" t="str">
        <f>IF(AND(_AC1="A-220-300",'2023'!$O$4="CA",'2023'!$O$2=T81),'2023DATA2'!$E$33,"")</f>
        <v/>
      </c>
      <c r="U112" s="518" t="str">
        <f>IF(AND(_AC1="A-220-300",'2023'!$O$4="CA",'2023'!$O$2=U81),'2023DATA2'!$F$33,"")</f>
        <v/>
      </c>
      <c r="V112" s="518" t="str">
        <f>IF(AND(_AC1="A-220-300",'2023'!$O$4="CA",'2023'!$O$2=V81),'2023DATA2'!$G$33,"")</f>
        <v/>
      </c>
      <c r="W112" s="518" t="str">
        <f>IF(AND(_AC1="A-220-300",'2023'!$O$4="CA",'2023'!$O$2=W81),'2023DATA2'!$H$33,"")</f>
        <v/>
      </c>
      <c r="X112" s="518" t="str">
        <f>IF(AND(_AC1="A-220-300",'2023'!$O$4="CA",'2023'!$O$2=X81),'2023DATA2'!$I$33,"")</f>
        <v/>
      </c>
      <c r="Y112" s="518" t="str">
        <f>IF(AND(_AC1="A-220-300",'2023'!$O$4="CA",'2023'!$O$2=Y81),'2023DATA2'!$J$33,"")</f>
        <v/>
      </c>
      <c r="Z112" s="518" t="str">
        <f>IF(AND(_AC1="A-220-300",'2023'!$O$4="CA",'2023'!$O$2=Z81),'2023DATA2'!$K$33,"")</f>
        <v/>
      </c>
      <c r="AA112" s="518" t="str">
        <f>IF(AND(_AC1="A-220-300",'2023'!$O$4="CA",'2023'!$O$2=AA81),'2023DATA2'!$L$33,"")</f>
        <v/>
      </c>
      <c r="AB112" s="518" t="str">
        <f>IF(AND(_AC1="A-220-300",'2023'!$O$4="CA",'2023'!$O$2=AB81),'2023DATA2'!$M$33,"")</f>
        <v/>
      </c>
      <c r="AC112" s="520" t="str">
        <f>IF(AND(_AC1="A-220-300",'2023'!$O$4="CA",'2023'!$O$2=AC81),'2023DATA2'!$N$33,"")</f>
        <v/>
      </c>
      <c r="AD112" s="940" t="s">
        <v>51</v>
      </c>
      <c r="AE112" s="13" t="s">
        <v>61</v>
      </c>
      <c r="AF112" s="518" t="str">
        <f>IF(AND(_AC2="A-220-300",'2023'!$O$4="CA",'2023'!$O$2=AF81),'2023DATA2'!$C$33,"")</f>
        <v/>
      </c>
      <c r="AG112" s="518" t="str">
        <f>IF(AND(_AC2="A-220-300",'2023'!$O$4="CA",'2023'!$O$2=AG81),'2023DATA2'!$D$33,"")</f>
        <v/>
      </c>
      <c r="AH112" s="518" t="str">
        <f>IF(AND(_AC2="A-220-300",'2023'!$O$4="CA",'2023'!$O$2=AH81),'2023DATA2'!$E$33,"")</f>
        <v/>
      </c>
      <c r="AI112" s="518" t="str">
        <f>IF(AND(_AC2="A-220-300",'2023'!$O$4="CA",'2023'!$O$2=AI81),'2023DATA2'!$F$33,"")</f>
        <v/>
      </c>
      <c r="AJ112" s="518" t="str">
        <f>IF(AND(_AC2="A-220-300",'2023'!$O$4="CA",'2023'!$O$2=AJ81),'2023DATA2'!$G$33,"")</f>
        <v/>
      </c>
      <c r="AK112" s="518" t="str">
        <f>IF(AND(_AC2="A-220-300",'2023'!$O$4="CA",'2023'!$O$2=AK81),'2023DATA2'!$H$33,"")</f>
        <v/>
      </c>
      <c r="AL112" s="518" t="str">
        <f>IF(AND(_AC2="A-220-300",'2023'!$O$4="CA",'2023'!$O$2=AL81),'2023DATA2'!$I$33,"")</f>
        <v/>
      </c>
      <c r="AM112" s="518" t="str">
        <f>IF(AND(_AC2="A-220-300",'2023'!$O$4="CA",'2023'!$O$2=AM81),'2023DATA2'!$J$33,"")</f>
        <v/>
      </c>
      <c r="AN112" s="518" t="str">
        <f>IF(AND(_AC2="A-220-300",'2023'!$O$4="CA",'2023'!$O$2=AN81),'2023DATA2'!$K$33,"")</f>
        <v/>
      </c>
      <c r="AO112" s="518" t="str">
        <f>IF(AND(_AC2="A-220-300",'2023'!$O$4="CA",'2023'!$O$2=AO81),'2023DATA2'!$L$33,"")</f>
        <v/>
      </c>
      <c r="AP112" s="518" t="str">
        <f>IF(AND(_AC2="A-220-300",'2023'!$O$4="CA",'2023'!$O$2=AP81),'2023DATA2'!$M$33,"")</f>
        <v/>
      </c>
      <c r="AQ112" s="520" t="str">
        <f>IF(AND(_AC2="A-220-300",'2023'!$O$4="CA",'2023'!$O$2=AQ81),'2023DATA2'!$N$33,"")</f>
        <v/>
      </c>
      <c r="AR112" s="940" t="s">
        <v>51</v>
      </c>
      <c r="AS112" s="13" t="s">
        <v>61</v>
      </c>
      <c r="AT112" s="518" t="str">
        <f>IF(AND(_AC3="A-220-300",'2023'!$O$4="CA",'2023'!$O$2=AT81),'2023DATA2'!$C$33,"")</f>
        <v/>
      </c>
      <c r="AU112" s="518" t="str">
        <f>IF(AND(_AC3="A-220-300",'2023'!$O$4="CA",'2023'!$O$2=AU81),'2023DATA2'!$D$33,"")</f>
        <v/>
      </c>
      <c r="AV112" s="518" t="str">
        <f>IF(AND(_AC3="A-220-300",'2023'!$O$4="CA",'2023'!$O$2=AV81),'2023DATA2'!$E$33,"")</f>
        <v/>
      </c>
      <c r="AW112" s="518" t="str">
        <f>IF(AND(_AC3="A-220-300",'2023'!$O$4="CA",'2023'!$O$2=AW81),'2023DATA2'!$F$33,"")</f>
        <v/>
      </c>
      <c r="AX112" s="518" t="str">
        <f>IF(AND(_AC3="A-220-300",'2023'!$O$4="CA",'2023'!$O$2=AX81),'2023DATA2'!$G$33,"")</f>
        <v/>
      </c>
      <c r="AY112" s="518" t="str">
        <f>IF(AND(_AC3="A-220-300",'2023'!$O$4="CA",'2023'!$O$2=AY81),'2023DATA2'!$H$33,"")</f>
        <v/>
      </c>
      <c r="AZ112" s="518" t="str">
        <f>IF(AND(_AC3="A-220-300",'2023'!$O$4="CA",'2023'!$O$2=AZ81),'2023DATA2'!$I$33,"")</f>
        <v/>
      </c>
      <c r="BA112" s="518" t="str">
        <f>IF(AND(_AC3="A-220-300",'2023'!$O$4="CA",'2023'!$O$2=BA81),'2023DATA2'!$J$33,"")</f>
        <v/>
      </c>
      <c r="BB112" s="518" t="str">
        <f>IF(AND(_AC3="A-220-300",'2023'!$O$4="CA",'2023'!$O$2=BB81),'2023DATA2'!$K$33,"")</f>
        <v/>
      </c>
      <c r="BC112" s="518" t="str">
        <f>IF(AND(_AC3="A-220-300",'2023'!$O$4="CA",'2023'!$O$2=BC81),'2023DATA2'!$L$33,"")</f>
        <v/>
      </c>
      <c r="BD112" s="518" t="str">
        <f>IF(AND(_AC3="A-220-300",'2023'!$O$4="CA",'2023'!$O$2=BD81),'2023DATA2'!$M$33,"")</f>
        <v/>
      </c>
      <c r="BE112" s="520" t="str">
        <f>IF(AND(_AC3="A-220-300",'2023'!$O$4="CA",'2023'!$O$2=BE81),'2023DATA2'!$N$33,"")</f>
        <v/>
      </c>
      <c r="BF112" s="940" t="s">
        <v>51</v>
      </c>
      <c r="BG112" s="13" t="s">
        <v>61</v>
      </c>
      <c r="BH112" s="518" t="str">
        <f>IF(AND(_AC4="A-220-300",'2023'!$O$4="CA",'2023'!$O$2=BH81),'2023DATA2'!$C$33,"")</f>
        <v/>
      </c>
      <c r="BI112" s="518" t="str">
        <f>IF(AND(_AC4="A-220-300",'2023'!$O$4="CA",'2023'!$O$2=BI81),'2023DATA2'!$D$33,"")</f>
        <v/>
      </c>
      <c r="BJ112" s="518" t="str">
        <f>IF(AND(_AC4="A-220-300",'2023'!$O$4="CA",'2023'!$O$2=BJ81),'2023DATA2'!$E$33,"")</f>
        <v/>
      </c>
      <c r="BK112" s="518" t="str">
        <f>IF(AND(_AC4="A-220-300",'2023'!$O$4="CA",'2023'!$O$2=BK81),'2023DATA2'!$F$33,"")</f>
        <v/>
      </c>
      <c r="BL112" s="518" t="str">
        <f>IF(AND(_AC4="A-220-300",'2023'!$O$4="CA",'2023'!$O$2=BL81),'2023DATA2'!$G$33,"")</f>
        <v/>
      </c>
      <c r="BM112" s="518" t="str">
        <f>IF(AND(_AC4="A-220-300",'2023'!$O$4="CA",'2023'!$O$2=BM81),'2023DATA2'!$H$33,"")</f>
        <v/>
      </c>
      <c r="BN112" s="518" t="str">
        <f>IF(AND(_AC4="A-220-300",'2023'!$O$4="CA",'2023'!$O$2=BN81),'2023DATA2'!$I$33,"")</f>
        <v/>
      </c>
      <c r="BO112" s="518" t="str">
        <f>IF(AND(_AC4="A-220-300",'2023'!$O$4="CA",'2023'!$O$2=BO81),'2023DATA2'!$J$33,"")</f>
        <v/>
      </c>
      <c r="BP112" s="518" t="str">
        <f>IF(AND(_AC4="A-220-300",'2023'!$O$4="CA",'2023'!$O$2=BP81),'2023DATA2'!$K$33,"")</f>
        <v/>
      </c>
      <c r="BQ112" s="518" t="str">
        <f>IF(AND(_AC4="A-220-300",'2023'!$O$4="CA",'2023'!$O$2=BQ81),'2023DATA2'!$L$33,"")</f>
        <v/>
      </c>
      <c r="BR112" s="518" t="str">
        <f>IF(AND(_AC4="A-220-300",'2023'!$O$4="CA",'2023'!$O$2=BR81),'2023DATA2'!$M$33,"")</f>
        <v/>
      </c>
      <c r="BS112" s="520" t="str">
        <f>IF(AND(_AC4="A-220-300",'2023'!$O$4="CA",'2023'!$O$2=BS81),'2023DATA2'!$N$33,"")</f>
        <v/>
      </c>
      <c r="BT112" s="940" t="s">
        <v>51</v>
      </c>
      <c r="BU112" s="13" t="s">
        <v>61</v>
      </c>
      <c r="BV112" s="518" t="str">
        <f>IF(AND(_AC5="A-220-300",'2023'!$O$4="CA",'2023'!$O$2=BV81),'2023DATA2'!$C$33,"")</f>
        <v/>
      </c>
      <c r="BW112" s="518" t="str">
        <f>IF(AND(_AC5="A-220-300",'2023'!$O$4="CA",'2023'!$O$2=BW81),'2023DATA2'!$D$33,"")</f>
        <v/>
      </c>
      <c r="BX112" s="518" t="str">
        <f>IF(AND(_AC5="A-220-300",'2023'!$O$4="CA",'2023'!$O$2=BX81),'2023DATA2'!$E$33,"")</f>
        <v/>
      </c>
      <c r="BY112" s="518" t="str">
        <f>IF(AND(_AC5="A-220-300",'2023'!$O$4="CA",'2023'!$O$2=BY81),'2023DATA2'!$F$33,"")</f>
        <v/>
      </c>
      <c r="BZ112" s="518" t="str">
        <f>IF(AND(_AC5="A-220-300",'2023'!$O$4="CA",'2023'!$O$2=BZ81),'2023DATA2'!$G$33,"")</f>
        <v/>
      </c>
      <c r="CA112" s="518" t="str">
        <f>IF(AND(_AC5="A-220-300",'2023'!$O$4="CA",'2023'!$O$2=CA81),'2023DATA2'!$H$33,"")</f>
        <v/>
      </c>
      <c r="CB112" s="518" t="str">
        <f>IF(AND(_AC5="A-220-300",'2023'!$O$4="CA",'2023'!$O$2=CB81),'2023DATA2'!$I$33,"")</f>
        <v/>
      </c>
      <c r="CC112" s="518" t="str">
        <f>IF(AND(_AC5="A-220-300",'2023'!$O$4="CA",'2023'!$O$2=CC81),'2023DATA2'!$J$33,"")</f>
        <v/>
      </c>
      <c r="CD112" s="518" t="str">
        <f>IF(AND(_AC5="A-220-300",'2023'!$O$4="CA",'2023'!$O$2=CD81),'2023DATA2'!$K$33,"")</f>
        <v/>
      </c>
      <c r="CE112" s="518" t="str">
        <f>IF(AND(_AC5="A-220-300",'2023'!$O$4="CA",'2023'!$O$2=CE81),'2023DATA2'!$L$33,"")</f>
        <v/>
      </c>
      <c r="CF112" s="518" t="str">
        <f>IF(AND(_AC5="A-220-300",'2023'!$O$4="CA",'2023'!$O$2=CF81),'2023DATA2'!$M$33,"")</f>
        <v/>
      </c>
      <c r="CG112" s="520" t="str">
        <f>IF(AND(_AC5="A-220-300",'2023'!$O$4="CA",'2023'!$O$2=CG81),'2023DATA2'!$N$33,"")</f>
        <v/>
      </c>
      <c r="CH112" s="940" t="s">
        <v>51</v>
      </c>
      <c r="CI112" s="13" t="s">
        <v>61</v>
      </c>
      <c r="CJ112" s="518" t="str">
        <f>IF(AND(_AC6="A-220-300",'2023'!$O$4="CA",'2023'!$O$2=CJ81),'2023DATA2'!$C$33,"")</f>
        <v/>
      </c>
      <c r="CK112" s="518" t="str">
        <f>IF(AND(_AC6="A-220-300",'2023'!$O$4="CA",'2023'!$O$2=CK81),'2023DATA2'!$D$33,"")</f>
        <v/>
      </c>
      <c r="CL112" s="518" t="str">
        <f>IF(AND(_AC6="A-220-300",'2023'!$O$4="CA",'2023'!$O$2=CL81),'2023DATA2'!$E$33,"")</f>
        <v/>
      </c>
      <c r="CM112" s="518" t="str">
        <f>IF(AND(_AC6="A-220-300",'2023'!$O$4="CA",'2023'!$O$2=CM81),'2023DATA2'!$F$33,"")</f>
        <v/>
      </c>
      <c r="CN112" s="518" t="str">
        <f>IF(AND(_AC6="A-220-300",'2023'!$O$4="CA",'2023'!$O$2=CN81),'2023DATA2'!$G$33,"")</f>
        <v/>
      </c>
      <c r="CO112" s="518" t="str">
        <f>IF(AND(_AC6="A-220-300",'2023'!$O$4="CA",'2023'!$O$2=CO81),'2023DATA2'!$H$33,"")</f>
        <v/>
      </c>
      <c r="CP112" s="518" t="str">
        <f>IF(AND(_AC6="A-220-300",'2023'!$O$4="CA",'2023'!$O$2=CP81),'2023DATA2'!$I$33,"")</f>
        <v/>
      </c>
      <c r="CQ112" s="518" t="str">
        <f>IF(AND(_AC6="A-220-300",'2023'!$O$4="CA",'2023'!$O$2=CQ81),'2023DATA2'!$J$33,"")</f>
        <v/>
      </c>
      <c r="CR112" s="518" t="str">
        <f>IF(AND(_AC6="A-220-300",'2023'!$O$4="CA",'2023'!$O$2=CR81),'2023DATA2'!$K$33,"")</f>
        <v/>
      </c>
      <c r="CS112" s="518" t="str">
        <f>IF(AND(_AC6="A-220-300",'2023'!$O$4="CA",'2023'!$O$2=CS81),'2023DATA2'!$L$33,"")</f>
        <v/>
      </c>
      <c r="CT112" s="518" t="str">
        <f>IF(AND(_AC6="A-220-300",'2023'!$O$4="CA",'2023'!$O$2=CT81),'2023DATA2'!$M$33,"")</f>
        <v/>
      </c>
      <c r="CU112" s="520" t="str">
        <f>IF(AND(_AC6="A-220-300",'2023'!$O$4="CA",'2023'!$O$2=CU81),'2023DATA2'!$N$33,"")</f>
        <v/>
      </c>
    </row>
    <row r="113" spans="16:99" x14ac:dyDescent="0.25">
      <c r="P113" s="940"/>
      <c r="Q113" s="13" t="s">
        <v>62</v>
      </c>
      <c r="R113" s="518" t="str">
        <f>IF(AND(_AC1="A-220-300",'2023'!$O$4="FO",'2023'!$O$2=R81),'2023DATA2'!$C$34,"")</f>
        <v/>
      </c>
      <c r="S113" s="518" t="str">
        <f>IF(AND(_AC1="A-220-300",'2023'!$O$4="FO",'2023'!$O$2=S81),'2023DATA2'!$D$34,"")</f>
        <v/>
      </c>
      <c r="T113" s="518" t="str">
        <f>IF(AND(_AC1="A-220-300",'2023'!$O$4="FO",'2023'!$O$2=T81),'2023DATA2'!$E$34,"")</f>
        <v/>
      </c>
      <c r="U113" s="518" t="str">
        <f>IF(AND(_AC1="A-220-300",'2023'!$O$4="FO",'2023'!$O$2=U81),'2023DATA2'!$F$34,"")</f>
        <v/>
      </c>
      <c r="V113" s="518" t="str">
        <f>IF(AND(_AC1="A-220-300",'2023'!$O$4="FO",'2023'!$O$2=V81),'2023DATA2'!$G$34,"")</f>
        <v/>
      </c>
      <c r="W113" s="518" t="str">
        <f>IF(AND(_AC1="A-220-300",'2023'!$O$4="FO",'2023'!$O$2=W81),'2023DATA2'!$H$34,"")</f>
        <v/>
      </c>
      <c r="X113" s="518" t="str">
        <f>IF(AND(_AC1="A-220-300",'2023'!$O$4="FO",'2023'!$O$2=X81),'2023DATA2'!$I$34,"")</f>
        <v/>
      </c>
      <c r="Y113" s="518" t="str">
        <f>IF(AND(_AC1="A-220-300",'2023'!$O$4="FO",'2023'!$O$2=Y81),'2023DATA2'!$J$34,"")</f>
        <v/>
      </c>
      <c r="Z113" s="518" t="str">
        <f>IF(AND(_AC1="A-220-300",'2023'!$O$4="FO",'2023'!$O$2=Z81),'2023DATA2'!$K$34,"")</f>
        <v/>
      </c>
      <c r="AA113" s="518" t="str">
        <f>IF(AND(_AC1="A-220-300",'2023'!$O$4="FO",'2023'!$O$2=AA81),'2023DATA2'!$L$34,"")</f>
        <v/>
      </c>
      <c r="AB113" s="518" t="str">
        <f>IF(AND(_AC1="A-220-300",'2023'!$O$4="FO",'2023'!$O$2=AB81),'2023DATA2'!$M$34,"")</f>
        <v/>
      </c>
      <c r="AC113" s="520" t="str">
        <f>IF(AND(_AC1="A-220-300",'2023'!$O$4="FO",'2023'!$O$2=AC81),'2023DATA2'!$N$34,"")</f>
        <v/>
      </c>
      <c r="AD113" s="940"/>
      <c r="AE113" s="13" t="s">
        <v>62</v>
      </c>
      <c r="AF113" s="518" t="str">
        <f>IF(AND(_AC2="A-220-300",'2023'!$O$4="FO",'2023'!$O$2=AF81),'2023DATA2'!$C$34,"")</f>
        <v/>
      </c>
      <c r="AG113" s="518" t="str">
        <f>IF(AND(_AC2="A-220-300",'2023'!$O$4="FO",'2023'!$O$2=AG81),'2023DATA2'!$D$34,"")</f>
        <v/>
      </c>
      <c r="AH113" s="518" t="str">
        <f>IF(AND(_AC2="A-220-300",'2023'!$O$4="FO",'2023'!$O$2=AH81),'2023DATA2'!$E$34,"")</f>
        <v/>
      </c>
      <c r="AI113" s="518" t="str">
        <f>IF(AND(_AC2="A-220-300",'2023'!$O$4="FO",'2023'!$O$2=AI81),'2023DATA2'!$F$34,"")</f>
        <v/>
      </c>
      <c r="AJ113" s="518" t="str">
        <f>IF(AND(_AC2="A-220-300",'2023'!$O$4="FO",'2023'!$O$2=AJ81),'2023DATA2'!$G$34,"")</f>
        <v/>
      </c>
      <c r="AK113" s="518" t="str">
        <f>IF(AND(_AC2="A-220-300",'2023'!$O$4="FO",'2023'!$O$2=AK81),'2023DATA2'!$H$34,"")</f>
        <v/>
      </c>
      <c r="AL113" s="518" t="str">
        <f>IF(AND(_AC2="A-220-300",'2023'!$O$4="FO",'2023'!$O$2=AL81),'2023DATA2'!$I$34,"")</f>
        <v/>
      </c>
      <c r="AM113" s="518" t="str">
        <f>IF(AND(_AC2="A-220-300",'2023'!$O$4="FO",'2023'!$O$2=AM81),'2023DATA2'!$J$34,"")</f>
        <v/>
      </c>
      <c r="AN113" s="518" t="str">
        <f>IF(AND(_AC2="A-220-300",'2023'!$O$4="FO",'2023'!$O$2=AN81),'2023DATA2'!$K$34,"")</f>
        <v/>
      </c>
      <c r="AO113" s="518" t="str">
        <f>IF(AND(_AC2="A-220-300",'2023'!$O$4="FO",'2023'!$O$2=AO81),'2023DATA2'!$L$34,"")</f>
        <v/>
      </c>
      <c r="AP113" s="518" t="str">
        <f>IF(AND(_AC2="A-220-300",'2023'!$O$4="FO",'2023'!$O$2=AP81),'2023DATA2'!$M$34,"")</f>
        <v/>
      </c>
      <c r="AQ113" s="520" t="str">
        <f>IF(AND(_AC2="A-220-300",'2023'!$O$4="FO",'2023'!$O$2=AQ81),'2023DATA2'!$N$34,"")</f>
        <v/>
      </c>
      <c r="AR113" s="940"/>
      <c r="AS113" s="13" t="s">
        <v>62</v>
      </c>
      <c r="AT113" s="518" t="str">
        <f>IF(AND(_AC3="A-220-300",'2023'!$O$4="FO",'2023'!$O$2=AT81),'2023DATA2'!$C$34,"")</f>
        <v/>
      </c>
      <c r="AU113" s="518" t="str">
        <f>IF(AND(_AC3="A-220-300",'2023'!$O$4="FO",'2023'!$O$2=AU81),'2023DATA2'!$D$34,"")</f>
        <v/>
      </c>
      <c r="AV113" s="518" t="str">
        <f>IF(AND(_AC3="A-220-300",'2023'!$O$4="FO",'2023'!$O$2=AV81),'2023DATA2'!$E$34,"")</f>
        <v/>
      </c>
      <c r="AW113" s="518" t="str">
        <f>IF(AND(_AC3="A-220-300",'2023'!$O$4="FO",'2023'!$O$2=AW81),'2023DATA2'!$F$34,"")</f>
        <v/>
      </c>
      <c r="AX113" s="518" t="str">
        <f>IF(AND(_AC3="A-220-300",'2023'!$O$4="FO",'2023'!$O$2=AX81),'2023DATA2'!$G$34,"")</f>
        <v/>
      </c>
      <c r="AY113" s="518" t="str">
        <f>IF(AND(_AC3="A-220-300",'2023'!$O$4="FO",'2023'!$O$2=AY81),'2023DATA2'!$H$34,"")</f>
        <v/>
      </c>
      <c r="AZ113" s="518" t="str">
        <f>IF(AND(_AC3="A-220-300",'2023'!$O$4="FO",'2023'!$O$2=AZ81),'2023DATA2'!$I$34,"")</f>
        <v/>
      </c>
      <c r="BA113" s="518" t="str">
        <f>IF(AND(_AC3="A-220-300",'2023'!$O$4="FO",'2023'!$O$2=BA81),'2023DATA2'!$J$34,"")</f>
        <v/>
      </c>
      <c r="BB113" s="518" t="str">
        <f>IF(AND(_AC3="A-220-300",'2023'!$O$4="FO",'2023'!$O$2=BB81),'2023DATA2'!$K$34,"")</f>
        <v/>
      </c>
      <c r="BC113" s="518" t="str">
        <f>IF(AND(_AC3="A-220-300",'2023'!$O$4="FO",'2023'!$O$2=BC81),'2023DATA2'!$L$34,"")</f>
        <v/>
      </c>
      <c r="BD113" s="518" t="str">
        <f>IF(AND(_AC3="A-220-300",'2023'!$O$4="FO",'2023'!$O$2=BD81),'2023DATA2'!$M$34,"")</f>
        <v/>
      </c>
      <c r="BE113" s="520" t="str">
        <f>IF(AND(_AC3="A-220-300",'2023'!$O$4="FO",'2023'!$O$2=BE81),'2023DATA2'!$N$34,"")</f>
        <v/>
      </c>
      <c r="BF113" s="940"/>
      <c r="BG113" s="13" t="s">
        <v>62</v>
      </c>
      <c r="BH113" s="518" t="str">
        <f>IF(AND(_AC4="A-220-300",'2023'!$O$4="FO",'2023'!$O$2=BH81),'2023DATA2'!$C$34,"")</f>
        <v/>
      </c>
      <c r="BI113" s="518" t="str">
        <f>IF(AND(_AC4="A-220-300",'2023'!$O$4="FO",'2023'!$O$2=BI81),'2023DATA2'!$D$34,"")</f>
        <v/>
      </c>
      <c r="BJ113" s="518" t="str">
        <f>IF(AND(_AC4="A-220-300",'2023'!$O$4="FO",'2023'!$O$2=BJ81),'2023DATA2'!$E$34,"")</f>
        <v/>
      </c>
      <c r="BK113" s="518" t="str">
        <f>IF(AND(_AC4="A-220-300",'2023'!$O$4="FO",'2023'!$O$2=BK81),'2023DATA2'!$F$34,"")</f>
        <v/>
      </c>
      <c r="BL113" s="518" t="str">
        <f>IF(AND(_AC4="A-220-300",'2023'!$O$4="FO",'2023'!$O$2=BL81),'2023DATA2'!$G$34,"")</f>
        <v/>
      </c>
      <c r="BM113" s="518" t="str">
        <f>IF(AND(_AC4="A-220-300",'2023'!$O$4="FO",'2023'!$O$2=BM81),'2023DATA2'!$H$34,"")</f>
        <v/>
      </c>
      <c r="BN113" s="518" t="str">
        <f>IF(AND(_AC4="A-220-300",'2023'!$O$4="FO",'2023'!$O$2=BN81),'2023DATA2'!$I$34,"")</f>
        <v/>
      </c>
      <c r="BO113" s="518" t="str">
        <f>IF(AND(_AC4="A-220-300",'2023'!$O$4="FO",'2023'!$O$2=BO81),'2023DATA2'!$J$34,"")</f>
        <v/>
      </c>
      <c r="BP113" s="518" t="str">
        <f>IF(AND(_AC4="A-220-300",'2023'!$O$4="FO",'2023'!$O$2=BP81),'2023DATA2'!$K$34,"")</f>
        <v/>
      </c>
      <c r="BQ113" s="518" t="str">
        <f>IF(AND(_AC4="A-220-300",'2023'!$O$4="FO",'2023'!$O$2=BQ81),'2023DATA2'!$L$34,"")</f>
        <v/>
      </c>
      <c r="BR113" s="518" t="str">
        <f>IF(AND(_AC4="A-220-300",'2023'!$O$4="FO",'2023'!$O$2=BR81),'2023DATA2'!$M$34,"")</f>
        <v/>
      </c>
      <c r="BS113" s="520" t="str">
        <f>IF(AND(_AC4="A-220-300",'2023'!$O$4="FO",'2023'!$O$2=BS81),'2023DATA2'!$N$34,"")</f>
        <v/>
      </c>
      <c r="BT113" s="940"/>
      <c r="BU113" s="13" t="s">
        <v>62</v>
      </c>
      <c r="BV113" s="518" t="str">
        <f>IF(AND(_AC5="A-220-300",'2023'!$O$4="FO",'2023'!$O$2=BV81),'2023DATA2'!$C$34,"")</f>
        <v/>
      </c>
      <c r="BW113" s="518" t="str">
        <f>IF(AND(_AC5="A-220-300",'2023'!$O$4="FO",'2023'!$O$2=BW81),'2023DATA2'!$D$34,"")</f>
        <v/>
      </c>
      <c r="BX113" s="518" t="str">
        <f>IF(AND(_AC5="A-220-300",'2023'!$O$4="FO",'2023'!$O$2=BX81),'2023DATA2'!$E$34,"")</f>
        <v/>
      </c>
      <c r="BY113" s="518" t="str">
        <f>IF(AND(_AC5="A-220-300",'2023'!$O$4="FO",'2023'!$O$2=BY81),'2023DATA2'!$F$34,"")</f>
        <v/>
      </c>
      <c r="BZ113" s="518" t="str">
        <f>IF(AND(_AC5="A-220-300",'2023'!$O$4="FO",'2023'!$O$2=BZ81),'2023DATA2'!$G$34,"")</f>
        <v/>
      </c>
      <c r="CA113" s="518" t="str">
        <f>IF(AND(_AC5="A-220-300",'2023'!$O$4="FO",'2023'!$O$2=CA81),'2023DATA2'!$H$34,"")</f>
        <v/>
      </c>
      <c r="CB113" s="518" t="str">
        <f>IF(AND(_AC5="A-220-300",'2023'!$O$4="FO",'2023'!$O$2=CB81),'2023DATA2'!$I$34,"")</f>
        <v/>
      </c>
      <c r="CC113" s="518" t="str">
        <f>IF(AND(_AC5="A-220-300",'2023'!$O$4="FO",'2023'!$O$2=CC81),'2023DATA2'!$J$34,"")</f>
        <v/>
      </c>
      <c r="CD113" s="518" t="str">
        <f>IF(AND(_AC5="A-220-300",'2023'!$O$4="FO",'2023'!$O$2=CD81),'2023DATA2'!$K$34,"")</f>
        <v/>
      </c>
      <c r="CE113" s="518" t="str">
        <f>IF(AND(_AC5="A-220-300",'2023'!$O$4="FO",'2023'!$O$2=CE81),'2023DATA2'!$L$34,"")</f>
        <v/>
      </c>
      <c r="CF113" s="518" t="str">
        <f>IF(AND(_AC5="A-220-300",'2023'!$O$4="FO",'2023'!$O$2=CF81),'2023DATA2'!$M$34,"")</f>
        <v/>
      </c>
      <c r="CG113" s="520" t="str">
        <f>IF(AND(_AC5="A-220-300",'2023'!$O$4="FO",'2023'!$O$2=CG81),'2023DATA2'!$N$34,"")</f>
        <v/>
      </c>
      <c r="CH113" s="940"/>
      <c r="CI113" s="13" t="s">
        <v>62</v>
      </c>
      <c r="CJ113" s="518" t="str">
        <f>IF(AND(_AC6="A-220-300",'2023'!$O$4="FO",'2023'!$O$2=CJ81),'2023DATA2'!$C$34,"")</f>
        <v/>
      </c>
      <c r="CK113" s="518" t="str">
        <f>IF(AND(_AC6="A-220-300",'2023'!$O$4="FO",'2023'!$O$2=CK81),'2023DATA2'!$D$34,"")</f>
        <v/>
      </c>
      <c r="CL113" s="518" t="str">
        <f>IF(AND(_AC6="A-220-300",'2023'!$O$4="FO",'2023'!$O$2=CL81),'2023DATA2'!$E$34,"")</f>
        <v/>
      </c>
      <c r="CM113" s="518" t="str">
        <f>IF(AND(_AC6="A-220-300",'2023'!$O$4="FO",'2023'!$O$2=CM81),'2023DATA2'!$F$34,"")</f>
        <v/>
      </c>
      <c r="CN113" s="518" t="str">
        <f>IF(AND(_AC6="A-220-300",'2023'!$O$4="FO",'2023'!$O$2=CN81),'2023DATA2'!$G$34,"")</f>
        <v/>
      </c>
      <c r="CO113" s="518" t="str">
        <f>IF(AND(_AC6="A-220-300",'2023'!$O$4="FO",'2023'!$O$2=CO81),'2023DATA2'!$H$34,"")</f>
        <v/>
      </c>
      <c r="CP113" s="518" t="str">
        <f>IF(AND(_AC6="A-220-300",'2023'!$O$4="FO",'2023'!$O$2=CP81),'2023DATA2'!$I$34,"")</f>
        <v/>
      </c>
      <c r="CQ113" s="518" t="str">
        <f>IF(AND(_AC6="A-220-300",'2023'!$O$4="FO",'2023'!$O$2=CQ81),'2023DATA2'!$J$34,"")</f>
        <v/>
      </c>
      <c r="CR113" s="518" t="str">
        <f>IF(AND(_AC6="A-220-300",'2023'!$O$4="FO",'2023'!$O$2=CR81),'2023DATA2'!$K$34,"")</f>
        <v/>
      </c>
      <c r="CS113" s="518" t="str">
        <f>IF(AND(_AC6="A-220-300",'2023'!$O$4="FO",'2023'!$O$2=CS81),'2023DATA2'!$L$34,"")</f>
        <v/>
      </c>
      <c r="CT113" s="518" t="str">
        <f>IF(AND(_AC6="A-220-300",'2023'!$O$4="FO",'2023'!$O$2=CT81),'2023DATA2'!$M$34,"")</f>
        <v/>
      </c>
      <c r="CU113" s="520" t="str">
        <f>IF(AND(_AC6="A-220-300",'2023'!$O$4="FO",'2023'!$O$2=CU81),'2023DATA2'!$N$34,"")</f>
        <v/>
      </c>
    </row>
    <row r="114" spans="16:99" x14ac:dyDescent="0.25">
      <c r="P114" s="940" t="s">
        <v>52</v>
      </c>
      <c r="Q114" s="13" t="s">
        <v>61</v>
      </c>
      <c r="R114" s="518" t="str">
        <f>IF(AND(_AC1="A-220-100",'2023'!$O$4="CA",'2023'!$O$2=R81),'2023DATA2'!$C$35,"")</f>
        <v/>
      </c>
      <c r="S114" s="518" t="str">
        <f>IF(AND(_AC1="A-220-100",'2023'!$O$4="CA",'2023'!$O$2=S81),'2023DATA2'!$D$35,"")</f>
        <v/>
      </c>
      <c r="T114" s="518" t="str">
        <f>IF(AND(_AC1="A-220-100",'2023'!$O$4="CA",'2023'!$O$2=T81),'2023DATA2'!$E$35,"")</f>
        <v/>
      </c>
      <c r="U114" s="518" t="str">
        <f>IF(AND(_AC1="A-220-100",'2023'!$O$4="CA",'2023'!$O$2=U81),'2023DATA2'!$F$35,"")</f>
        <v/>
      </c>
      <c r="V114" s="518" t="str">
        <f>IF(AND(_AC1="A-220-100",'2023'!$O$4="CA",'2023'!$O$2=V81),'2023DATA2'!$G$35,"")</f>
        <v/>
      </c>
      <c r="W114" s="518" t="str">
        <f>IF(AND(_AC1="A-220-100",'2023'!$O$4="CA",'2023'!$O$2=W81),'2023DATA2'!$H$35,"")</f>
        <v/>
      </c>
      <c r="X114" s="518" t="str">
        <f>IF(AND(_AC1="A-220-100",'2023'!$O$4="CA",'2023'!$O$2=X81),'2023DATA2'!$I$35,"")</f>
        <v/>
      </c>
      <c r="Y114" s="518" t="str">
        <f>IF(AND(_AC1="A-220-100",'2023'!$O$4="CA",'2023'!$O$2=Y81),'2023DATA2'!$J$35,"")</f>
        <v/>
      </c>
      <c r="Z114" s="518" t="str">
        <f>IF(AND(_AC1="A-220-100",'2023'!$O$4="CA",'2023'!$O$2=Z81),'2023DATA2'!$K$35,"")</f>
        <v/>
      </c>
      <c r="AA114" s="518" t="str">
        <f>IF(AND(_AC1="A-220-100",'2023'!$O$4="CA",'2023'!$O$2=AA81),'2023DATA2'!$L$35,"")</f>
        <v/>
      </c>
      <c r="AB114" s="518" t="str">
        <f>IF(AND(_AC1="A-220-100",'2023'!$O$4="CA",'2023'!$O$2=AB81),'2023DATA2'!$M$35,"")</f>
        <v/>
      </c>
      <c r="AC114" s="520" t="str">
        <f>IF(AND(_AC1="A-220-100",'2023'!$O$4="CA",'2023'!$O$2=AC81),'2023DATA2'!$N$35,"")</f>
        <v/>
      </c>
      <c r="AD114" s="940" t="s">
        <v>52</v>
      </c>
      <c r="AE114" s="13" t="s">
        <v>61</v>
      </c>
      <c r="AF114" s="518" t="str">
        <f>IF(AND(_AC2="A-220-100",'2023'!$O$4="CA",'2023'!$O$2=AF81),'2023DATA2'!$C$35,"")</f>
        <v/>
      </c>
      <c r="AG114" s="518" t="str">
        <f>IF(AND(_AC2="A-220-100",'2023'!$O$4="CA",'2023'!$O$2=AG81),'2023DATA2'!$D$35,"")</f>
        <v/>
      </c>
      <c r="AH114" s="518" t="str">
        <f>IF(AND(_AC2="A-220-100",'2023'!$O$4="CA",'2023'!$O$2=AH81),'2023DATA2'!$E$35,"")</f>
        <v/>
      </c>
      <c r="AI114" s="518" t="str">
        <f>IF(AND(_AC2="A-220-100",'2023'!$O$4="CA",'2023'!$O$2=AI81),'2023DATA2'!$F$35,"")</f>
        <v/>
      </c>
      <c r="AJ114" s="518" t="str">
        <f>IF(AND(_AC2="A-220-100",'2023'!$O$4="CA",'2023'!$O$2=AJ81),'2023DATA2'!$G$35,"")</f>
        <v/>
      </c>
      <c r="AK114" s="518" t="str">
        <f>IF(AND(_AC2="A-220-100",'2023'!$O$4="CA",'2023'!$O$2=AK81),'2023DATA2'!$H$35,"")</f>
        <v/>
      </c>
      <c r="AL114" s="518" t="str">
        <f>IF(AND(_AC2="A-220-100",'2023'!$O$4="CA",'2023'!$O$2=AL81),'2023DATA2'!$I$35,"")</f>
        <v/>
      </c>
      <c r="AM114" s="518" t="str">
        <f>IF(AND(_AC2="A-220-100",'2023'!$O$4="CA",'2023'!$O$2=AM81),'2023DATA2'!$J$35,"")</f>
        <v/>
      </c>
      <c r="AN114" s="518" t="str">
        <f>IF(AND(_AC2="A-220-100",'2023'!$O$4="CA",'2023'!$O$2=AN81),'2023DATA2'!$K$35,"")</f>
        <v/>
      </c>
      <c r="AO114" s="518" t="str">
        <f>IF(AND(_AC2="A-220-100",'2023'!$O$4="CA",'2023'!$O$2=AO81),'2023DATA2'!$L$35,"")</f>
        <v/>
      </c>
      <c r="AP114" s="518" t="str">
        <f>IF(AND(_AC2="A-220-100",'2023'!$O$4="CA",'2023'!$O$2=AP81),'2023DATA2'!$M$35,"")</f>
        <v/>
      </c>
      <c r="AQ114" s="520" t="str">
        <f>IF(AND(_AC2="A-220-100",'2023'!$O$4="CA",'2023'!$O$2=AQ81),'2023DATA2'!$N$35,"")</f>
        <v/>
      </c>
      <c r="AR114" s="940" t="s">
        <v>52</v>
      </c>
      <c r="AS114" s="13" t="s">
        <v>61</v>
      </c>
      <c r="AT114" s="518" t="str">
        <f>IF(AND(_AC3="A-220-100",'2023'!$O$4="CA",'2023'!$O$2=AT81),'2023DATA2'!$C$35,"")</f>
        <v/>
      </c>
      <c r="AU114" s="518" t="str">
        <f>IF(AND(_AC3="A-220-100",'2023'!$O$4="CA",'2023'!$O$2=AU81),'2023DATA2'!$D$35,"")</f>
        <v/>
      </c>
      <c r="AV114" s="518" t="str">
        <f>IF(AND(_AC3="A-220-100",'2023'!$O$4="CA",'2023'!$O$2=AV81),'2023DATA2'!$E$35,"")</f>
        <v/>
      </c>
      <c r="AW114" s="518" t="str">
        <f>IF(AND(_AC3="A-220-100",'2023'!$O$4="CA",'2023'!$O$2=AW81),'2023DATA2'!$F$35,"")</f>
        <v/>
      </c>
      <c r="AX114" s="518" t="str">
        <f>IF(AND(_AC3="A-220-100",'2023'!$O$4="CA",'2023'!$O$2=AX81),'2023DATA2'!$G$35,"")</f>
        <v/>
      </c>
      <c r="AY114" s="518" t="str">
        <f>IF(AND(_AC3="A-220-100",'2023'!$O$4="CA",'2023'!$O$2=AY81),'2023DATA2'!$H$35,"")</f>
        <v/>
      </c>
      <c r="AZ114" s="518" t="str">
        <f>IF(AND(_AC3="A-220-100",'2023'!$O$4="CA",'2023'!$O$2=AZ81),'2023DATA2'!$I$35,"")</f>
        <v/>
      </c>
      <c r="BA114" s="518" t="str">
        <f>IF(AND(_AC3="A-220-100",'2023'!$O$4="CA",'2023'!$O$2=BA81),'2023DATA2'!$J$35,"")</f>
        <v/>
      </c>
      <c r="BB114" s="518" t="str">
        <f>IF(AND(_AC3="A-220-100",'2023'!$O$4="CA",'2023'!$O$2=BB81),'2023DATA2'!$K$35,"")</f>
        <v/>
      </c>
      <c r="BC114" s="518" t="str">
        <f>IF(AND(_AC3="A-220-100",'2023'!$O$4="CA",'2023'!$O$2=BC81),'2023DATA2'!$L$35,"")</f>
        <v/>
      </c>
      <c r="BD114" s="518" t="str">
        <f>IF(AND(_AC3="A-220-100",'2023'!$O$4="CA",'2023'!$O$2=BD81),'2023DATA2'!$M$35,"")</f>
        <v/>
      </c>
      <c r="BE114" s="520" t="str">
        <f>IF(AND(_AC3="A-220-100",'2023'!$O$4="CA",'2023'!$O$2=BE81),'2023DATA2'!$N$35,"")</f>
        <v/>
      </c>
      <c r="BF114" s="940" t="s">
        <v>52</v>
      </c>
      <c r="BG114" s="13" t="s">
        <v>61</v>
      </c>
      <c r="BH114" s="518" t="str">
        <f>IF(AND(_AC4="A-220-100",'2023'!$O$4="CA",'2023'!$O$2=BH81),'2023DATA2'!$C$35,"")</f>
        <v/>
      </c>
      <c r="BI114" s="518" t="str">
        <f>IF(AND(_AC4="A-220-100",'2023'!$O$4="CA",'2023'!$O$2=BI81),'2023DATA2'!$D$35,"")</f>
        <v/>
      </c>
      <c r="BJ114" s="518" t="str">
        <f>IF(AND(_AC4="A-220-100",'2023'!$O$4="CA",'2023'!$O$2=BJ81),'2023DATA2'!$E$35,"")</f>
        <v/>
      </c>
      <c r="BK114" s="518" t="str">
        <f>IF(AND(_AC4="A-220-100",'2023'!$O$4="CA",'2023'!$O$2=BK81),'2023DATA2'!$F$35,"")</f>
        <v/>
      </c>
      <c r="BL114" s="518" t="str">
        <f>IF(AND(_AC4="A-220-100",'2023'!$O$4="CA",'2023'!$O$2=BL81),'2023DATA2'!$G$35,"")</f>
        <v/>
      </c>
      <c r="BM114" s="518" t="str">
        <f>IF(AND(_AC4="A-220-100",'2023'!$O$4="CA",'2023'!$O$2=BM81),'2023DATA2'!$H$35,"")</f>
        <v/>
      </c>
      <c r="BN114" s="518" t="str">
        <f>IF(AND(_AC4="A-220-100",'2023'!$O$4="CA",'2023'!$O$2=BN81),'2023DATA2'!$I$35,"")</f>
        <v/>
      </c>
      <c r="BO114" s="518" t="str">
        <f>IF(AND(_AC4="A-220-100",'2023'!$O$4="CA",'2023'!$O$2=BO81),'2023DATA2'!$J$35,"")</f>
        <v/>
      </c>
      <c r="BP114" s="518" t="str">
        <f>IF(AND(_AC4="A-220-100",'2023'!$O$4="CA",'2023'!$O$2=BP81),'2023DATA2'!$K$35,"")</f>
        <v/>
      </c>
      <c r="BQ114" s="518" t="str">
        <f>IF(AND(_AC4="A-220-100",'2023'!$O$4="CA",'2023'!$O$2=BQ81),'2023DATA2'!$L$35,"")</f>
        <v/>
      </c>
      <c r="BR114" s="518" t="str">
        <f>IF(AND(_AC4="A-220-100",'2023'!$O$4="CA",'2023'!$O$2=BR81),'2023DATA2'!$M$35,"")</f>
        <v/>
      </c>
      <c r="BS114" s="520" t="str">
        <f>IF(AND(_AC4="A-220-100",'2023'!$O$4="CA",'2023'!$O$2=BS81),'2023DATA2'!$N$35,"")</f>
        <v/>
      </c>
      <c r="BT114" s="940" t="s">
        <v>52</v>
      </c>
      <c r="BU114" s="13" t="s">
        <v>61</v>
      </c>
      <c r="BV114" s="518" t="str">
        <f>IF(AND(_AC5="A-220-100",'2023'!$O$4="CA",'2023'!$O$2=BV81),'2023DATA2'!$C$35,"")</f>
        <v/>
      </c>
      <c r="BW114" s="518" t="str">
        <f>IF(AND(_AC5="A-220-100",'2023'!$O$4="CA",'2023'!$O$2=BW81),'2023DATA2'!$D$35,"")</f>
        <v/>
      </c>
      <c r="BX114" s="518" t="str">
        <f>IF(AND(_AC5="A-220-100",'2023'!$O$4="CA",'2023'!$O$2=BX81),'2023DATA2'!$E$35,"")</f>
        <v/>
      </c>
      <c r="BY114" s="518" t="str">
        <f>IF(AND(_AC5="A-220-100",'2023'!$O$4="CA",'2023'!$O$2=BY81),'2023DATA2'!$F$35,"")</f>
        <v/>
      </c>
      <c r="BZ114" s="518" t="str">
        <f>IF(AND(_AC5="A-220-100",'2023'!$O$4="CA",'2023'!$O$2=BZ81),'2023DATA2'!$G$35,"")</f>
        <v/>
      </c>
      <c r="CA114" s="518" t="str">
        <f>IF(AND(_AC5="A-220-100",'2023'!$O$4="CA",'2023'!$O$2=CA81),'2023DATA2'!$H$35,"")</f>
        <v/>
      </c>
      <c r="CB114" s="518" t="str">
        <f>IF(AND(_AC5="A-220-100",'2023'!$O$4="CA",'2023'!$O$2=CB81),'2023DATA2'!$I$35,"")</f>
        <v/>
      </c>
      <c r="CC114" s="518" t="str">
        <f>IF(AND(_AC5="A-220-100",'2023'!$O$4="CA",'2023'!$O$2=CC81),'2023DATA2'!$J$35,"")</f>
        <v/>
      </c>
      <c r="CD114" s="518" t="str">
        <f>IF(AND(_AC5="A-220-100",'2023'!$O$4="CA",'2023'!$O$2=CD81),'2023DATA2'!$K$35,"")</f>
        <v/>
      </c>
      <c r="CE114" s="518" t="str">
        <f>IF(AND(_AC5="A-220-100",'2023'!$O$4="CA",'2023'!$O$2=CE81),'2023DATA2'!$L$35,"")</f>
        <v/>
      </c>
      <c r="CF114" s="518" t="str">
        <f>IF(AND(_AC5="A-220-100",'2023'!$O$4="CA",'2023'!$O$2=CF81),'2023DATA2'!$M$35,"")</f>
        <v/>
      </c>
      <c r="CG114" s="520" t="str">
        <f>IF(AND(_AC5="A-220-100",'2023'!$O$4="CA",'2023'!$O$2=CG81),'2023DATA2'!$N$35,"")</f>
        <v/>
      </c>
      <c r="CH114" s="940" t="s">
        <v>52</v>
      </c>
      <c r="CI114" s="13" t="s">
        <v>61</v>
      </c>
      <c r="CJ114" s="518" t="str">
        <f>IF(AND(_AC6="A-220-100",'2023'!$O$4="CA",'2023'!$O$2=CJ81),'2023DATA2'!$C$35,"")</f>
        <v/>
      </c>
      <c r="CK114" s="518" t="str">
        <f>IF(AND(_AC6="A-220-100",'2023'!$O$4="CA",'2023'!$O$2=CK81),'2023DATA2'!$D$35,"")</f>
        <v/>
      </c>
      <c r="CL114" s="518" t="str">
        <f>IF(AND(_AC6="A-220-100",'2023'!$O$4="CA",'2023'!$O$2=CL81),'2023DATA2'!$E$35,"")</f>
        <v/>
      </c>
      <c r="CM114" s="518" t="str">
        <f>IF(AND(_AC6="A-220-100",'2023'!$O$4="CA",'2023'!$O$2=CM81),'2023DATA2'!$F$35,"")</f>
        <v/>
      </c>
      <c r="CN114" s="518" t="str">
        <f>IF(AND(_AC6="A-220-100",'2023'!$O$4="CA",'2023'!$O$2=CN81),'2023DATA2'!$G$35,"")</f>
        <v/>
      </c>
      <c r="CO114" s="518" t="str">
        <f>IF(AND(_AC6="A-220-100",'2023'!$O$4="CA",'2023'!$O$2=CO81),'2023DATA2'!$H$35,"")</f>
        <v/>
      </c>
      <c r="CP114" s="518" t="str">
        <f>IF(AND(_AC6="A-220-100",'2023'!$O$4="CA",'2023'!$O$2=CP81),'2023DATA2'!$I$35,"")</f>
        <v/>
      </c>
      <c r="CQ114" s="518" t="str">
        <f>IF(AND(_AC6="A-220-100",'2023'!$O$4="CA",'2023'!$O$2=CQ81),'2023DATA2'!$J$35,"")</f>
        <v/>
      </c>
      <c r="CR114" s="518" t="str">
        <f>IF(AND(_AC6="A-220-100",'2023'!$O$4="CA",'2023'!$O$2=CR81),'2023DATA2'!$K$35,"")</f>
        <v/>
      </c>
      <c r="CS114" s="518" t="str">
        <f>IF(AND(_AC6="A-220-100",'2023'!$O$4="CA",'2023'!$O$2=CS81),'2023DATA2'!$L$35,"")</f>
        <v/>
      </c>
      <c r="CT114" s="518" t="str">
        <f>IF(AND(_AC6="A-220-100",'2023'!$O$4="CA",'2023'!$O$2=CT81),'2023DATA2'!$M$35,"")</f>
        <v/>
      </c>
      <c r="CU114" s="520" t="str">
        <f>IF(AND(_AC6="A-220-100",'2023'!$O$4="CA",'2023'!$O$2=CU81),'2023DATA2'!$N$35,"")</f>
        <v/>
      </c>
    </row>
    <row r="115" spans="16:99" x14ac:dyDescent="0.25">
      <c r="P115" s="940"/>
      <c r="Q115" s="13" t="s">
        <v>62</v>
      </c>
      <c r="R115" s="518" t="str">
        <f>IF(AND(_AC1="A-220-100",'2023'!$O$4="FO",'2023'!$O$2=R81),'2023DATA2'!$C$36,"")</f>
        <v/>
      </c>
      <c r="S115" s="518" t="str">
        <f>IF(AND(_AC1="A-220-100",'2023'!$O$4="FO",'2023'!$O$2=S81),'2023DATA2'!$D$36,"")</f>
        <v/>
      </c>
      <c r="T115" s="518" t="str">
        <f>IF(AND(_AC1="A-220-100",'2023'!$O$4="FO",'2023'!$O$2=T81),'2023DATA2'!$E$36,"")</f>
        <v/>
      </c>
      <c r="U115" s="518" t="str">
        <f>IF(AND(_AC1="A-220-100",'2023'!$O$4="FO",'2023'!$O$2=U81),'2023DATA2'!$F$36,"")</f>
        <v/>
      </c>
      <c r="V115" s="518" t="str">
        <f>IF(AND(_AC1="A-220-100",'2023'!$O$4="FO",'2023'!$O$2=V81),'2023DATA2'!$G$36,"")</f>
        <v/>
      </c>
      <c r="W115" s="518" t="str">
        <f>IF(AND(_AC1="A-220-100",'2023'!$O$4="FO",'2023'!$O$2=W81),'2023DATA2'!$H$36,"")</f>
        <v/>
      </c>
      <c r="X115" s="518" t="str">
        <f>IF(AND(_AC1="A-220-100",'2023'!$O$4="FO",'2023'!$O$2=X81),'2023DATA2'!$I$36,"")</f>
        <v/>
      </c>
      <c r="Y115" s="518" t="str">
        <f>IF(AND(_AC1="A-220-100",'2023'!$O$4="FO",'2023'!$O$2=Y81),'2023DATA2'!$J$36,"")</f>
        <v/>
      </c>
      <c r="Z115" s="518" t="str">
        <f>IF(AND(_AC1="A-220-100",'2023'!$O$4="FO",'2023'!$O$2=Z81),'2023DATA2'!$K$36,"")</f>
        <v/>
      </c>
      <c r="AA115" s="518" t="str">
        <f>IF(AND(_AC1="A-220-100",'2023'!$O$4="FO",'2023'!$O$2=AA81),'2023DATA2'!$L$36,"")</f>
        <v/>
      </c>
      <c r="AB115" s="518" t="str">
        <f>IF(AND(_AC1="A-220-100",'2023'!$O$4="FO",'2023'!$O$2=AB81),'2023DATA2'!$M$36,"")</f>
        <v/>
      </c>
      <c r="AC115" s="520" t="str">
        <f>IF(AND(_AC1="A-220-100",'2023'!$O$4="FO",'2023'!$O$2=AC81),'2023DATA2'!$N$36,"")</f>
        <v/>
      </c>
      <c r="AD115" s="940"/>
      <c r="AE115" s="13" t="s">
        <v>62</v>
      </c>
      <c r="AF115" s="518" t="str">
        <f>IF(AND(_AC2="A-220-100",'2023'!$O$4="FO",'2023'!$O$2=AF81),'2023DATA2'!$C$36,"")</f>
        <v/>
      </c>
      <c r="AG115" s="518" t="str">
        <f>IF(AND(_AC2="A-220-100",'2023'!$O$4="FO",'2023'!$O$2=AG81),'2023DATA2'!$D$36,"")</f>
        <v/>
      </c>
      <c r="AH115" s="518" t="str">
        <f>IF(AND(_AC2="A-220-100",'2023'!$O$4="FO",'2023'!$O$2=AH81),'2023DATA2'!$E$36,"")</f>
        <v/>
      </c>
      <c r="AI115" s="518" t="str">
        <f>IF(AND(_AC2="A-220-100",'2023'!$O$4="FO",'2023'!$O$2=AI81),'2023DATA2'!$F$36,"")</f>
        <v/>
      </c>
      <c r="AJ115" s="518" t="str">
        <f>IF(AND(_AC2="A-220-100",'2023'!$O$4="FO",'2023'!$O$2=AJ81),'2023DATA2'!$G$36,"")</f>
        <v/>
      </c>
      <c r="AK115" s="518" t="str">
        <f>IF(AND(_AC2="A-220-100",'2023'!$O$4="FO",'2023'!$O$2=AK81),'2023DATA2'!$H$36,"")</f>
        <v/>
      </c>
      <c r="AL115" s="518" t="str">
        <f>IF(AND(_AC2="A-220-100",'2023'!$O$4="FO",'2023'!$O$2=AL81),'2023DATA2'!$I$36,"")</f>
        <v/>
      </c>
      <c r="AM115" s="518" t="str">
        <f>IF(AND(_AC2="A-220-100",'2023'!$O$4="FO",'2023'!$O$2=AM81),'2023DATA2'!$J$36,"")</f>
        <v/>
      </c>
      <c r="AN115" s="518" t="str">
        <f>IF(AND(_AC2="A-220-100",'2023'!$O$4="FO",'2023'!$O$2=AN81),'2023DATA2'!$K$36,"")</f>
        <v/>
      </c>
      <c r="AO115" s="518" t="str">
        <f>IF(AND(_AC2="A-220-100",'2023'!$O$4="FO",'2023'!$O$2=AO81),'2023DATA2'!$L$36,"")</f>
        <v/>
      </c>
      <c r="AP115" s="518" t="str">
        <f>IF(AND(_AC2="A-220-100",'2023'!$O$4="FO",'2023'!$O$2=AP81),'2023DATA2'!$M$36,"")</f>
        <v/>
      </c>
      <c r="AQ115" s="520" t="str">
        <f>IF(AND(_AC2="A-220-100",'2023'!$O$4="FO",'2023'!$O$2=AQ81),'2023DATA2'!$N$36,"")</f>
        <v/>
      </c>
      <c r="AR115" s="940"/>
      <c r="AS115" s="13" t="s">
        <v>62</v>
      </c>
      <c r="AT115" s="518" t="str">
        <f>IF(AND(_AC3="A-220-100",'2023'!$O$4="FO",'2023'!$O$2=AT81),'2023DATA2'!$C$36,"")</f>
        <v/>
      </c>
      <c r="AU115" s="518" t="str">
        <f>IF(AND(_AC3="A-220-100",'2023'!$O$4="FO",'2023'!$O$2=AU81),'2023DATA2'!$D$36,"")</f>
        <v/>
      </c>
      <c r="AV115" s="518" t="str">
        <f>IF(AND(_AC3="A-220-100",'2023'!$O$4="FO",'2023'!$O$2=AV81),'2023DATA2'!$E$36,"")</f>
        <v/>
      </c>
      <c r="AW115" s="518" t="str">
        <f>IF(AND(_AC3="A-220-100",'2023'!$O$4="FO",'2023'!$O$2=AW81),'2023DATA2'!$F$36,"")</f>
        <v/>
      </c>
      <c r="AX115" s="518" t="str">
        <f>IF(AND(_AC3="A-220-100",'2023'!$O$4="FO",'2023'!$O$2=AX81),'2023DATA2'!$G$36,"")</f>
        <v/>
      </c>
      <c r="AY115" s="518" t="str">
        <f>IF(AND(_AC3="A-220-100",'2023'!$O$4="FO",'2023'!$O$2=AY81),'2023DATA2'!$H$36,"")</f>
        <v/>
      </c>
      <c r="AZ115" s="518" t="str">
        <f>IF(AND(_AC3="A-220-100",'2023'!$O$4="FO",'2023'!$O$2=AZ81),'2023DATA2'!$I$36,"")</f>
        <v/>
      </c>
      <c r="BA115" s="518" t="str">
        <f>IF(AND(_AC3="A-220-100",'2023'!$O$4="FO",'2023'!$O$2=BA81),'2023DATA2'!$J$36,"")</f>
        <v/>
      </c>
      <c r="BB115" s="518" t="str">
        <f>IF(AND(_AC3="A-220-100",'2023'!$O$4="FO",'2023'!$O$2=BB81),'2023DATA2'!$K$36,"")</f>
        <v/>
      </c>
      <c r="BC115" s="518" t="str">
        <f>IF(AND(_AC3="A-220-100",'2023'!$O$4="FO",'2023'!$O$2=BC81),'2023DATA2'!$L$36,"")</f>
        <v/>
      </c>
      <c r="BD115" s="518" t="str">
        <f>IF(AND(_AC3="A-220-100",'2023'!$O$4="FO",'2023'!$O$2=BD81),'2023DATA2'!$M$36,"")</f>
        <v/>
      </c>
      <c r="BE115" s="520" t="str">
        <f>IF(AND(_AC3="A-220-100",'2023'!$O$4="FO",'2023'!$O$2=BE81),'2023DATA2'!$N$36,"")</f>
        <v/>
      </c>
      <c r="BF115" s="940"/>
      <c r="BG115" s="13" t="s">
        <v>62</v>
      </c>
      <c r="BH115" s="518" t="str">
        <f>IF(AND(_AC4="A-220-100",'2023'!$O$4="FO",'2023'!$O$2=BH81),'2023DATA2'!$C$36,"")</f>
        <v/>
      </c>
      <c r="BI115" s="518" t="str">
        <f>IF(AND(_AC4="A-220-100",'2023'!$O$4="FO",'2023'!$O$2=BI81),'2023DATA2'!$D$36,"")</f>
        <v/>
      </c>
      <c r="BJ115" s="518" t="str">
        <f>IF(AND(_AC4="A-220-100",'2023'!$O$4="FO",'2023'!$O$2=BJ81),'2023DATA2'!$E$36,"")</f>
        <v/>
      </c>
      <c r="BK115" s="518" t="str">
        <f>IF(AND(_AC4="A-220-100",'2023'!$O$4="FO",'2023'!$O$2=BK81),'2023DATA2'!$F$36,"")</f>
        <v/>
      </c>
      <c r="BL115" s="518" t="str">
        <f>IF(AND(_AC4="A-220-100",'2023'!$O$4="FO",'2023'!$O$2=BL81),'2023DATA2'!$G$36,"")</f>
        <v/>
      </c>
      <c r="BM115" s="518" t="str">
        <f>IF(AND(_AC4="A-220-100",'2023'!$O$4="FO",'2023'!$O$2=BM81),'2023DATA2'!$H$36,"")</f>
        <v/>
      </c>
      <c r="BN115" s="518" t="str">
        <f>IF(AND(_AC4="A-220-100",'2023'!$O$4="FO",'2023'!$O$2=BN81),'2023DATA2'!$I$36,"")</f>
        <v/>
      </c>
      <c r="BO115" s="518" t="str">
        <f>IF(AND(_AC4="A-220-100",'2023'!$O$4="FO",'2023'!$O$2=BO81),'2023DATA2'!$J$36,"")</f>
        <v/>
      </c>
      <c r="BP115" s="518" t="str">
        <f>IF(AND(_AC4="A-220-100",'2023'!$O$4="FO",'2023'!$O$2=BP81),'2023DATA2'!$K$36,"")</f>
        <v/>
      </c>
      <c r="BQ115" s="518" t="str">
        <f>IF(AND(_AC4="A-220-100",'2023'!$O$4="FO",'2023'!$O$2=BQ81),'2023DATA2'!$L$36,"")</f>
        <v/>
      </c>
      <c r="BR115" s="518" t="str">
        <f>IF(AND(_AC4="A-220-100",'2023'!$O$4="FO",'2023'!$O$2=BR81),'2023DATA2'!$M$36,"")</f>
        <v/>
      </c>
      <c r="BS115" s="520" t="str">
        <f>IF(AND(_AC4="A-220-100",'2023'!$O$4="FO",'2023'!$O$2=BS81),'2023DATA2'!$N$36,"")</f>
        <v/>
      </c>
      <c r="BT115" s="940"/>
      <c r="BU115" s="13" t="s">
        <v>62</v>
      </c>
      <c r="BV115" s="518" t="str">
        <f>IF(AND(_AC5="A-220-100",'2023'!$O$4="FO",'2023'!$O$2=BV81),'2023DATA2'!$C$36,"")</f>
        <v/>
      </c>
      <c r="BW115" s="518" t="str">
        <f>IF(AND(_AC5="A-220-100",'2023'!$O$4="FO",'2023'!$O$2=BW81),'2023DATA2'!$D$36,"")</f>
        <v/>
      </c>
      <c r="BX115" s="518" t="str">
        <f>IF(AND(_AC5="A-220-100",'2023'!$O$4="FO",'2023'!$O$2=BX81),'2023DATA2'!$E$36,"")</f>
        <v/>
      </c>
      <c r="BY115" s="518" t="str">
        <f>IF(AND(_AC5="A-220-100",'2023'!$O$4="FO",'2023'!$O$2=BY81),'2023DATA2'!$F$36,"")</f>
        <v/>
      </c>
      <c r="BZ115" s="518" t="str">
        <f>IF(AND(_AC5="A-220-100",'2023'!$O$4="FO",'2023'!$O$2=BZ81),'2023DATA2'!$G$36,"")</f>
        <v/>
      </c>
      <c r="CA115" s="518" t="str">
        <f>IF(AND(_AC5="A-220-100",'2023'!$O$4="FO",'2023'!$O$2=CA81),'2023DATA2'!$H$36,"")</f>
        <v/>
      </c>
      <c r="CB115" s="518" t="str">
        <f>IF(AND(_AC5="A-220-100",'2023'!$O$4="FO",'2023'!$O$2=CB81),'2023DATA2'!$I$36,"")</f>
        <v/>
      </c>
      <c r="CC115" s="518" t="str">
        <f>IF(AND(_AC5="A-220-100",'2023'!$O$4="FO",'2023'!$O$2=CC81),'2023DATA2'!$J$36,"")</f>
        <v/>
      </c>
      <c r="CD115" s="518" t="str">
        <f>IF(AND(_AC5="A-220-100",'2023'!$O$4="FO",'2023'!$O$2=CD81),'2023DATA2'!$K$36,"")</f>
        <v/>
      </c>
      <c r="CE115" s="518" t="str">
        <f>IF(AND(_AC5="A-220-100",'2023'!$O$4="FO",'2023'!$O$2=CE81),'2023DATA2'!$L$36,"")</f>
        <v/>
      </c>
      <c r="CF115" s="518" t="str">
        <f>IF(AND(_AC5="A-220-100",'2023'!$O$4="FO",'2023'!$O$2=CF81),'2023DATA2'!$M$36,"")</f>
        <v/>
      </c>
      <c r="CG115" s="520" t="str">
        <f>IF(AND(_AC5="A-220-100",'2023'!$O$4="FO",'2023'!$O$2=CG81),'2023DATA2'!$N$36,"")</f>
        <v/>
      </c>
      <c r="CH115" s="940"/>
      <c r="CI115" s="13" t="s">
        <v>62</v>
      </c>
      <c r="CJ115" s="518" t="str">
        <f>IF(AND(_AC6="A-220-100",'2023'!$O$4="FO",'2023'!$O$2=CJ81),'2023DATA2'!$C$36,"")</f>
        <v/>
      </c>
      <c r="CK115" s="518" t="str">
        <f>IF(AND(_AC6="A-220-100",'2023'!$O$4="FO",'2023'!$O$2=CK81),'2023DATA2'!$D$36,"")</f>
        <v/>
      </c>
      <c r="CL115" s="518" t="str">
        <f>IF(AND(_AC6="A-220-100",'2023'!$O$4="FO",'2023'!$O$2=CL81),'2023DATA2'!$E$36,"")</f>
        <v/>
      </c>
      <c r="CM115" s="518" t="str">
        <f>IF(AND(_AC6="A-220-100",'2023'!$O$4="FO",'2023'!$O$2=CM81),'2023DATA2'!$F$36,"")</f>
        <v/>
      </c>
      <c r="CN115" s="518" t="str">
        <f>IF(AND(_AC6="A-220-100",'2023'!$O$4="FO",'2023'!$O$2=CN81),'2023DATA2'!$G$36,"")</f>
        <v/>
      </c>
      <c r="CO115" s="518" t="str">
        <f>IF(AND(_AC6="A-220-100",'2023'!$O$4="FO",'2023'!$O$2=CO81),'2023DATA2'!$H$36,"")</f>
        <v/>
      </c>
      <c r="CP115" s="518" t="str">
        <f>IF(AND(_AC6="A-220-100",'2023'!$O$4="FO",'2023'!$O$2=CP81),'2023DATA2'!$I$36,"")</f>
        <v/>
      </c>
      <c r="CQ115" s="518" t="str">
        <f>IF(AND(_AC6="A-220-100",'2023'!$O$4="FO",'2023'!$O$2=CQ81),'2023DATA2'!$J$36,"")</f>
        <v/>
      </c>
      <c r="CR115" s="518" t="str">
        <f>IF(AND(_AC6="A-220-100",'2023'!$O$4="FO",'2023'!$O$2=CR81),'2023DATA2'!$K$36,"")</f>
        <v/>
      </c>
      <c r="CS115" s="518" t="str">
        <f>IF(AND(_AC6="A-220-100",'2023'!$O$4="FO",'2023'!$O$2=CS81),'2023DATA2'!$L$36,"")</f>
        <v/>
      </c>
      <c r="CT115" s="518" t="str">
        <f>IF(AND(_AC6="A-220-100",'2023'!$O$4="FO",'2023'!$O$2=CT81),'2023DATA2'!$M$36,"")</f>
        <v/>
      </c>
      <c r="CU115" s="520" t="str">
        <f>IF(AND(_AC6="A-220-100",'2023'!$O$4="FO",'2023'!$O$2=CU81),'2023DATA2'!$N$36,"")</f>
        <v/>
      </c>
    </row>
    <row r="116" spans="16:99" x14ac:dyDescent="0.25">
      <c r="P116" s="940" t="s">
        <v>53</v>
      </c>
      <c r="Q116" s="13" t="s">
        <v>61</v>
      </c>
      <c r="R116" s="518" t="str">
        <f>IF(AND(_AC1="B-717",'2023'!$O$4="CA",'2023'!$O$2=R81),'2023DATA2'!$C$37,"")</f>
        <v/>
      </c>
      <c r="S116" s="518" t="str">
        <f>IF(AND(_AC1="B-717",'2023'!$O$4="CA",'2023'!$O$2=S81),'2023DATA2'!$D$37,"")</f>
        <v/>
      </c>
      <c r="T116" s="518" t="str">
        <f>IF(AND(_AC1="B-717",'2023'!$O$4="CA",'2023'!$O$2=T81),'2023DATA2'!$E$37,"")</f>
        <v/>
      </c>
      <c r="U116" s="518" t="str">
        <f>IF(AND(_AC1="B-717",'2023'!$O$4="CA",'2023'!$O$2=U81),'2023DATA2'!$F$37,"")</f>
        <v/>
      </c>
      <c r="V116" s="518" t="str">
        <f>IF(AND(_AC1="B-717",'2023'!$O$4="CA",'2023'!$O$2=V81),'2023DATA2'!$G$37,"")</f>
        <v/>
      </c>
      <c r="W116" s="518" t="str">
        <f>IF(AND(_AC1="B-717",'2023'!$O$4="CA",'2023'!$O$2=W81),'2023DATA2'!$H$37,"")</f>
        <v/>
      </c>
      <c r="X116" s="518" t="str">
        <f>IF(AND(_AC1="B-717",'2023'!$O$4="CA",'2023'!$O$2=X81),'2023DATA2'!$I$37,"")</f>
        <v/>
      </c>
      <c r="Y116" s="518" t="str">
        <f>IF(AND(_AC1="B-717",'2023'!$O$4="CA",'2023'!$O$2=Y81),'2023DATA2'!$J$37,"")</f>
        <v/>
      </c>
      <c r="Z116" s="518" t="str">
        <f>IF(AND(_AC1="B-717",'2023'!$O$4="CA",'2023'!$O$2=Z81),'2023DATA2'!$K$37,"")</f>
        <v/>
      </c>
      <c r="AA116" s="518" t="str">
        <f>IF(AND(_AC1="B-717",'2023'!$O$4="CA",'2023'!$O$2=AA81),'2023DATA2'!$L$37,"")</f>
        <v/>
      </c>
      <c r="AB116" s="518" t="str">
        <f>IF(AND(_AC1="B-717",'2023'!$O$4="CA",'2023'!$O$2=AB81),'2023DATA2'!$M$37,"")</f>
        <v/>
      </c>
      <c r="AC116" s="520" t="str">
        <f>IF(AND(_AC1="B-717",'2023'!$O$4="CA",'2023'!$O$2=AC81),'2023DATA2'!$N$37,"")</f>
        <v/>
      </c>
      <c r="AD116" s="940" t="s">
        <v>53</v>
      </c>
      <c r="AE116" s="13" t="s">
        <v>61</v>
      </c>
      <c r="AF116" s="518" t="str">
        <f>IF(AND(_AC2="B-717",'2023'!$O$4="CA",'2023'!$O$2=AF81),'2023DATA2'!$C$37,"")</f>
        <v/>
      </c>
      <c r="AG116" s="518" t="str">
        <f>IF(AND(_AC2="B-717",'2023'!$O$4="CA",'2023'!$O$2=AG81),'2023DATA2'!$D$37,"")</f>
        <v/>
      </c>
      <c r="AH116" s="518" t="str">
        <f>IF(AND(_AC2="B-717",'2023'!$O$4="CA",'2023'!$O$2=AH81),'2023DATA2'!$E$37,"")</f>
        <v/>
      </c>
      <c r="AI116" s="518" t="str">
        <f>IF(AND(_AC2="B-717",'2023'!$O$4="CA",'2023'!$O$2=AI81),'2023DATA2'!$F$37,"")</f>
        <v/>
      </c>
      <c r="AJ116" s="518" t="str">
        <f>IF(AND(_AC2="B-717",'2023'!$O$4="CA",'2023'!$O$2=AJ81),'2023DATA2'!$G$37,"")</f>
        <v/>
      </c>
      <c r="AK116" s="518" t="str">
        <f>IF(AND(_AC2="B-717",'2023'!$O$4="CA",'2023'!$O$2=AK81),'2023DATA2'!$H$37,"")</f>
        <v/>
      </c>
      <c r="AL116" s="518" t="str">
        <f>IF(AND(_AC2="B-717",'2023'!$O$4="CA",'2023'!$O$2=AL81),'2023DATA2'!$I$37,"")</f>
        <v/>
      </c>
      <c r="AM116" s="518" t="str">
        <f>IF(AND(_AC2="B-717",'2023'!$O$4="CA",'2023'!$O$2=AM81),'2023DATA2'!$J$37,"")</f>
        <v/>
      </c>
      <c r="AN116" s="518" t="str">
        <f>IF(AND(_AC2="B-717",'2023'!$O$4="CA",'2023'!$O$2=AN81),'2023DATA2'!$K$37,"")</f>
        <v/>
      </c>
      <c r="AO116" s="518" t="str">
        <f>IF(AND(_AC2="B-717",'2023'!$O$4="CA",'2023'!$O$2=AO81),'2023DATA2'!$L$37,"")</f>
        <v/>
      </c>
      <c r="AP116" s="518" t="str">
        <f>IF(AND(_AC2="B-717",'2023'!$O$4="CA",'2023'!$O$2=AP81),'2023DATA2'!$M$37,"")</f>
        <v/>
      </c>
      <c r="AQ116" s="520" t="str">
        <f>IF(AND(_AC2="B-717",'2023'!$O$4="CA",'2023'!$O$2=AQ81),'2023DATA2'!$N$37,"")</f>
        <v/>
      </c>
      <c r="AR116" s="940" t="s">
        <v>53</v>
      </c>
      <c r="AS116" s="13" t="s">
        <v>61</v>
      </c>
      <c r="AT116" s="518" t="str">
        <f>IF(AND(_AC3="B-717",'2023'!$O$4="CA",'2023'!$O$2=AT81),'2023DATA2'!$C$37,"")</f>
        <v/>
      </c>
      <c r="AU116" s="518" t="str">
        <f>IF(AND(_AC3="B-717",'2023'!$O$4="CA",'2023'!$O$2=AU81),'2023DATA2'!$D$37,"")</f>
        <v/>
      </c>
      <c r="AV116" s="518" t="str">
        <f>IF(AND(_AC3="B-717",'2023'!$O$4="CA",'2023'!$O$2=AV81),'2023DATA2'!$E$37,"")</f>
        <v/>
      </c>
      <c r="AW116" s="518" t="str">
        <f>IF(AND(_AC3="B-717",'2023'!$O$4="CA",'2023'!$O$2=AW81),'2023DATA2'!$F$37,"")</f>
        <v/>
      </c>
      <c r="AX116" s="518" t="str">
        <f>IF(AND(_AC3="B-717",'2023'!$O$4="CA",'2023'!$O$2=AX81),'2023DATA2'!$G$37,"")</f>
        <v/>
      </c>
      <c r="AY116" s="518" t="str">
        <f>IF(AND(_AC3="B-717",'2023'!$O$4="CA",'2023'!$O$2=AY81),'2023DATA2'!$H$37,"")</f>
        <v/>
      </c>
      <c r="AZ116" s="518" t="str">
        <f>IF(AND(_AC3="B-717",'2023'!$O$4="CA",'2023'!$O$2=AZ81),'2023DATA2'!$I$37,"")</f>
        <v/>
      </c>
      <c r="BA116" s="518" t="str">
        <f>IF(AND(_AC3="B-717",'2023'!$O$4="CA",'2023'!$O$2=BA81),'2023DATA2'!$J$37,"")</f>
        <v/>
      </c>
      <c r="BB116" s="518" t="str">
        <f>IF(AND(_AC3="B-717",'2023'!$O$4="CA",'2023'!$O$2=BB81),'2023DATA2'!$K$37,"")</f>
        <v/>
      </c>
      <c r="BC116" s="518" t="str">
        <f>IF(AND(_AC3="B-717",'2023'!$O$4="CA",'2023'!$O$2=BC81),'2023DATA2'!$L$37,"")</f>
        <v/>
      </c>
      <c r="BD116" s="518" t="str">
        <f>IF(AND(_AC3="B-717",'2023'!$O$4="CA",'2023'!$O$2=BD81),'2023DATA2'!$M$37,"")</f>
        <v/>
      </c>
      <c r="BE116" s="520" t="str">
        <f>IF(AND(_AC3="B-717",'2023'!$O$4="CA",'2023'!$O$2=BE81),'2023DATA2'!$N$37,"")</f>
        <v/>
      </c>
      <c r="BF116" s="940" t="s">
        <v>53</v>
      </c>
      <c r="BG116" s="13" t="s">
        <v>61</v>
      </c>
      <c r="BH116" s="518" t="str">
        <f>IF(AND(_AC4="B-717",'2023'!$O$4="CA",'2023'!$O$2=BH81),'2023DATA2'!$C$37,"")</f>
        <v/>
      </c>
      <c r="BI116" s="518" t="str">
        <f>IF(AND(_AC4="B-717",'2023'!$O$4="CA",'2023'!$O$2=BI81),'2023DATA2'!$D$37,"")</f>
        <v/>
      </c>
      <c r="BJ116" s="518" t="str">
        <f>IF(AND(_AC4="B-717",'2023'!$O$4="CA",'2023'!$O$2=BJ81),'2023DATA2'!$E$37,"")</f>
        <v/>
      </c>
      <c r="BK116" s="518" t="str">
        <f>IF(AND(_AC4="B-717",'2023'!$O$4="CA",'2023'!$O$2=BK81),'2023DATA2'!$F$37,"")</f>
        <v/>
      </c>
      <c r="BL116" s="518" t="str">
        <f>IF(AND(_AC4="B-717",'2023'!$O$4="CA",'2023'!$O$2=BL81),'2023DATA2'!$G$37,"")</f>
        <v/>
      </c>
      <c r="BM116" s="518" t="str">
        <f>IF(AND(_AC4="B-717",'2023'!$O$4="CA",'2023'!$O$2=BM81),'2023DATA2'!$H$37,"")</f>
        <v/>
      </c>
      <c r="BN116" s="518" t="str">
        <f>IF(AND(_AC4="B-717",'2023'!$O$4="CA",'2023'!$O$2=BN81),'2023DATA2'!$I$37,"")</f>
        <v/>
      </c>
      <c r="BO116" s="518" t="str">
        <f>IF(AND(_AC4="B-717",'2023'!$O$4="CA",'2023'!$O$2=BO81),'2023DATA2'!$J$37,"")</f>
        <v/>
      </c>
      <c r="BP116" s="518" t="str">
        <f>IF(AND(_AC4="B-717",'2023'!$O$4="CA",'2023'!$O$2=BP81),'2023DATA2'!$K$37,"")</f>
        <v/>
      </c>
      <c r="BQ116" s="518" t="str">
        <f>IF(AND(_AC4="B-717",'2023'!$O$4="CA",'2023'!$O$2=BQ81),'2023DATA2'!$L$37,"")</f>
        <v/>
      </c>
      <c r="BR116" s="518" t="str">
        <f>IF(AND(_AC4="B-717",'2023'!$O$4="CA",'2023'!$O$2=BR81),'2023DATA2'!$M$37,"")</f>
        <v/>
      </c>
      <c r="BS116" s="520" t="str">
        <f>IF(AND(_AC4="B-717",'2023'!$O$4="CA",'2023'!$O$2=BS81),'2023DATA2'!$N$37,"")</f>
        <v/>
      </c>
      <c r="BT116" s="940" t="s">
        <v>53</v>
      </c>
      <c r="BU116" s="13" t="s">
        <v>61</v>
      </c>
      <c r="BV116" s="518" t="str">
        <f>IF(AND(_AC5="B-717",'2023'!$O$4="CA",'2023'!$O$2=BV81),'2023DATA2'!$C$37,"")</f>
        <v/>
      </c>
      <c r="BW116" s="518" t="str">
        <f>IF(AND(_AC5="B-717",'2023'!$O$4="CA",'2023'!$O$2=BW81),'2023DATA2'!$D$37,"")</f>
        <v/>
      </c>
      <c r="BX116" s="518" t="str">
        <f>IF(AND(_AC5="B-717",'2023'!$O$4="CA",'2023'!$O$2=BX81),'2023DATA2'!$E$37,"")</f>
        <v/>
      </c>
      <c r="BY116" s="518" t="str">
        <f>IF(AND(_AC5="B-717",'2023'!$O$4="CA",'2023'!$O$2=BY81),'2023DATA2'!$F$37,"")</f>
        <v/>
      </c>
      <c r="BZ116" s="518" t="str">
        <f>IF(AND(_AC5="B-717",'2023'!$O$4="CA",'2023'!$O$2=BZ81),'2023DATA2'!$G$37,"")</f>
        <v/>
      </c>
      <c r="CA116" s="518" t="str">
        <f>IF(AND(_AC5="B-717",'2023'!$O$4="CA",'2023'!$O$2=CA81),'2023DATA2'!$H$37,"")</f>
        <v/>
      </c>
      <c r="CB116" s="518" t="str">
        <f>IF(AND(_AC5="B-717",'2023'!$O$4="CA",'2023'!$O$2=CB81),'2023DATA2'!$I$37,"")</f>
        <v/>
      </c>
      <c r="CC116" s="518" t="str">
        <f>IF(AND(_AC5="B-717",'2023'!$O$4="CA",'2023'!$O$2=CC81),'2023DATA2'!$J$37,"")</f>
        <v/>
      </c>
      <c r="CD116" s="518" t="str">
        <f>IF(AND(_AC5="B-717",'2023'!$O$4="CA",'2023'!$O$2=CD81),'2023DATA2'!$K$37,"")</f>
        <v/>
      </c>
      <c r="CE116" s="518" t="str">
        <f>IF(AND(_AC5="B-717",'2023'!$O$4="CA",'2023'!$O$2=CE81),'2023DATA2'!$L$37,"")</f>
        <v/>
      </c>
      <c r="CF116" s="518" t="str">
        <f>IF(AND(_AC5="B-717",'2023'!$O$4="CA",'2023'!$O$2=CF81),'2023DATA2'!$M$37,"")</f>
        <v/>
      </c>
      <c r="CG116" s="520" t="str">
        <f>IF(AND(_AC5="B-717",'2023'!$O$4="CA",'2023'!$O$2=CG81),'2023DATA2'!$N$37,"")</f>
        <v/>
      </c>
      <c r="CH116" s="940" t="s">
        <v>53</v>
      </c>
      <c r="CI116" s="13" t="s">
        <v>61</v>
      </c>
      <c r="CJ116" s="518" t="str">
        <f>IF(AND(_AC6="B-717",'2023'!$O$4="CA",'2023'!$O$2=CJ81),'2023DATA2'!$C$37,"")</f>
        <v/>
      </c>
      <c r="CK116" s="518" t="str">
        <f>IF(AND(_AC6="B-717",'2023'!$O$4="CA",'2023'!$O$2=CK81),'2023DATA2'!$D$37,"")</f>
        <v/>
      </c>
      <c r="CL116" s="518" t="str">
        <f>IF(AND(_AC6="B-717",'2023'!$O$4="CA",'2023'!$O$2=CL81),'2023DATA2'!$E$37,"")</f>
        <v/>
      </c>
      <c r="CM116" s="518" t="str">
        <f>IF(AND(_AC6="B-717",'2023'!$O$4="CA",'2023'!$O$2=CM81),'2023DATA2'!$F$37,"")</f>
        <v/>
      </c>
      <c r="CN116" s="518" t="str">
        <f>IF(AND(_AC6="B-717",'2023'!$O$4="CA",'2023'!$O$2=CN81),'2023DATA2'!$G$37,"")</f>
        <v/>
      </c>
      <c r="CO116" s="518" t="str">
        <f>IF(AND(_AC6="B-717",'2023'!$O$4="CA",'2023'!$O$2=CO81),'2023DATA2'!$H$37,"")</f>
        <v/>
      </c>
      <c r="CP116" s="518" t="str">
        <f>IF(AND(_AC6="B-717",'2023'!$O$4="CA",'2023'!$O$2=CP81),'2023DATA2'!$I$37,"")</f>
        <v/>
      </c>
      <c r="CQ116" s="518" t="str">
        <f>IF(AND(_AC6="B-717",'2023'!$O$4="CA",'2023'!$O$2=CQ81),'2023DATA2'!$J$37,"")</f>
        <v/>
      </c>
      <c r="CR116" s="518" t="str">
        <f>IF(AND(_AC6="B-717",'2023'!$O$4="CA",'2023'!$O$2=CR81),'2023DATA2'!$K$37,"")</f>
        <v/>
      </c>
      <c r="CS116" s="518" t="str">
        <f>IF(AND(_AC6="B-717",'2023'!$O$4="CA",'2023'!$O$2=CS81),'2023DATA2'!$L$37,"")</f>
        <v/>
      </c>
      <c r="CT116" s="518" t="str">
        <f>IF(AND(_AC6="B-717",'2023'!$O$4="CA",'2023'!$O$2=CT81),'2023DATA2'!$M$37,"")</f>
        <v/>
      </c>
      <c r="CU116" s="520" t="str">
        <f>IF(AND(_AC6="B-717",'2023'!$O$4="CA",'2023'!$O$2=CU81),'2023DATA2'!$N$37,"")</f>
        <v/>
      </c>
    </row>
    <row r="117" spans="16:99" ht="15.75" thickBot="1" x14ac:dyDescent="0.3">
      <c r="P117" s="941"/>
      <c r="Q117" s="521" t="s">
        <v>62</v>
      </c>
      <c r="R117" s="522" t="str">
        <f>IF(AND(_AC1="B-717",'2023'!$O$4="FO",'2023'!$O$2=R81),'2023DATA2'!$C$38,"")</f>
        <v/>
      </c>
      <c r="S117" s="522" t="str">
        <f>IF(AND(_AC1="B-717",'2023'!$O$4="FO",'2023'!$O$2=S81),'2023DATA2'!$D$38,"")</f>
        <v/>
      </c>
      <c r="T117" s="522" t="str">
        <f>IF(AND(_AC1="B-717",'2023'!$O$4="FO",'2023'!$O$2=T81),'2023DATA2'!$E$38,"")</f>
        <v/>
      </c>
      <c r="U117" s="522" t="str">
        <f>IF(AND(_AC1="B-717",'2023'!$O$4="FO",'2023'!$O$2=U81),'2023DATA2'!$F$38,"")</f>
        <v/>
      </c>
      <c r="V117" s="522" t="str">
        <f>IF(AND(_AC1="B-717",'2023'!$O$4="FO",'2023'!$O$2=V81),'2023DATA2'!$G$38,"")</f>
        <v/>
      </c>
      <c r="W117" s="522" t="str">
        <f>IF(AND(_AC1="B-717",'2023'!$O$4="FO",'2023'!$O$2=W81),'2023DATA2'!$H$38,"")</f>
        <v/>
      </c>
      <c r="X117" s="522" t="str">
        <f>IF(AND(_AC1="B-717",'2023'!$O$4="FO",'2023'!$O$2=X81),'2023DATA2'!$I$38,"")</f>
        <v/>
      </c>
      <c r="Y117" s="522" t="str">
        <f>IF(AND(_AC1="B-717",'2023'!$O$4="FO",'2023'!$O$2=Y81),'2023DATA2'!$J$38,"")</f>
        <v/>
      </c>
      <c r="Z117" s="522" t="str">
        <f>IF(AND(_AC1="B-717",'2023'!$O$4="FO",'2023'!$O$2=Z81),'2023DATA2'!$K$38,"")</f>
        <v/>
      </c>
      <c r="AA117" s="522" t="str">
        <f>IF(AND(_AC1="B-717",'2023'!$O$4="FO",'2023'!$O$2=AA81),'2023DATA2'!$L$38,"")</f>
        <v/>
      </c>
      <c r="AB117" s="522" t="str">
        <f>IF(AND(_AC1="B-717",'2023'!$O$4="FO",'2023'!$O$2=AB81),'2023DATA2'!$M$38,"")</f>
        <v/>
      </c>
      <c r="AC117" s="523" t="str">
        <f>IF(AND(_AC1="B-717",'2023'!$O$4="FO",'2023'!$O$2=AC81),'2023DATA2'!$N$38,"")</f>
        <v/>
      </c>
      <c r="AD117" s="941"/>
      <c r="AE117" s="521" t="s">
        <v>62</v>
      </c>
      <c r="AF117" s="522" t="str">
        <f>IF(AND(_AC2="B-717",'2023'!$O$4="FO",'2023'!$O$2=AF81),'2023DATA2'!$C$38,"")</f>
        <v/>
      </c>
      <c r="AG117" s="522" t="str">
        <f>IF(AND(_AC2="B-717",'2023'!$O$4="FO",'2023'!$O$2=AG81),'2023DATA2'!$D$38,"")</f>
        <v/>
      </c>
      <c r="AH117" s="522" t="str">
        <f>IF(AND(_AC2="B-717",'2023'!$O$4="FO",'2023'!$O$2=AH81),'2023DATA2'!$E$38,"")</f>
        <v/>
      </c>
      <c r="AI117" s="522" t="str">
        <f>IF(AND(_AC2="B-717",'2023'!$O$4="FO",'2023'!$O$2=AI81),'2023DATA2'!$F$38,"")</f>
        <v/>
      </c>
      <c r="AJ117" s="522" t="str">
        <f>IF(AND(_AC2="B-717",'2023'!$O$4="FO",'2023'!$O$2=AJ81),'2023DATA2'!$G$38,"")</f>
        <v/>
      </c>
      <c r="AK117" s="522" t="str">
        <f>IF(AND(_AC2="B-717",'2023'!$O$4="FO",'2023'!$O$2=AK81),'2023DATA2'!$H$38,"")</f>
        <v/>
      </c>
      <c r="AL117" s="522" t="str">
        <f>IF(AND(_AC2="B-717",'2023'!$O$4="FO",'2023'!$O$2=AL81),'2023DATA2'!$I$38,"")</f>
        <v/>
      </c>
      <c r="AM117" s="522" t="str">
        <f>IF(AND(_AC2="B-717",'2023'!$O$4="FO",'2023'!$O$2=AM81),'2023DATA2'!$J$38,"")</f>
        <v/>
      </c>
      <c r="AN117" s="522" t="str">
        <f>IF(AND(_AC2="B-717",'2023'!$O$4="FO",'2023'!$O$2=AN81),'2023DATA2'!$K$38,"")</f>
        <v/>
      </c>
      <c r="AO117" s="522" t="str">
        <f>IF(AND(_AC2="B-717",'2023'!$O$4="FO",'2023'!$O$2=AO81),'2023DATA2'!$L$38,"")</f>
        <v/>
      </c>
      <c r="AP117" s="522" t="str">
        <f>IF(AND(_AC2="B-717",'2023'!$O$4="FO",'2023'!$O$2=AP81),'2023DATA2'!$M$38,"")</f>
        <v/>
      </c>
      <c r="AQ117" s="523" t="str">
        <f>IF(AND(_AC2="B-717",'2023'!$O$4="FO",'2023'!$O$2=AQ81),'2023DATA2'!$N$38,"")</f>
        <v/>
      </c>
      <c r="AR117" s="941"/>
      <c r="AS117" s="521" t="s">
        <v>62</v>
      </c>
      <c r="AT117" s="522" t="str">
        <f>IF(AND(_AC3="B-717",'2023'!$O$4="FO",'2023'!$O$2=AT81),'2023DATA2'!$C$38,"")</f>
        <v/>
      </c>
      <c r="AU117" s="522" t="str">
        <f>IF(AND(_AC3="B-717",'2023'!$O$4="FO",'2023'!$O$2=AU81),'2023DATA2'!$D$38,"")</f>
        <v/>
      </c>
      <c r="AV117" s="522" t="str">
        <f>IF(AND(_AC3="B-717",'2023'!$O$4="FO",'2023'!$O$2=AV81),'2023DATA2'!$E$38,"")</f>
        <v/>
      </c>
      <c r="AW117" s="522" t="str">
        <f>IF(AND(_AC3="B-717",'2023'!$O$4="FO",'2023'!$O$2=AW81),'2023DATA2'!$F$38,"")</f>
        <v/>
      </c>
      <c r="AX117" s="522" t="str">
        <f>IF(AND(_AC3="B-717",'2023'!$O$4="FO",'2023'!$O$2=AX81),'2023DATA2'!$G$38,"")</f>
        <v/>
      </c>
      <c r="AY117" s="522" t="str">
        <f>IF(AND(_AC3="B-717",'2023'!$O$4="FO",'2023'!$O$2=AY81),'2023DATA2'!$H$38,"")</f>
        <v/>
      </c>
      <c r="AZ117" s="522" t="str">
        <f>IF(AND(_AC3="B-717",'2023'!$O$4="FO",'2023'!$O$2=AZ81),'2023DATA2'!$I$38,"")</f>
        <v/>
      </c>
      <c r="BA117" s="522" t="str">
        <f>IF(AND(_AC3="B-717",'2023'!$O$4="FO",'2023'!$O$2=BA81),'2023DATA2'!$J$38,"")</f>
        <v/>
      </c>
      <c r="BB117" s="522" t="str">
        <f>IF(AND(_AC3="B-717",'2023'!$O$4="FO",'2023'!$O$2=BB81),'2023DATA2'!$K$38,"")</f>
        <v/>
      </c>
      <c r="BC117" s="522" t="str">
        <f>IF(AND(_AC3="B-717",'2023'!$O$4="FO",'2023'!$O$2=BC81),'2023DATA2'!$L$38,"")</f>
        <v/>
      </c>
      <c r="BD117" s="522" t="str">
        <f>IF(AND(_AC3="B-717",'2023'!$O$4="FO",'2023'!$O$2=BD81),'2023DATA2'!$M$38,"")</f>
        <v/>
      </c>
      <c r="BE117" s="523" t="str">
        <f>IF(AND(_AC3="B-717",'2023'!$O$4="FO",'2023'!$O$2=BE81),'2023DATA2'!$N$38,"")</f>
        <v/>
      </c>
      <c r="BF117" s="941"/>
      <c r="BG117" s="521" t="s">
        <v>62</v>
      </c>
      <c r="BH117" s="522" t="str">
        <f>IF(AND(_AC4="B-717",'2023'!$O$4="FO",'2023'!$O$2=BH81),'2023DATA2'!$C$38,"")</f>
        <v/>
      </c>
      <c r="BI117" s="522" t="str">
        <f>IF(AND(_AC4="B-717",'2023'!$O$4="FO",'2023'!$O$2=BI81),'2023DATA2'!$D$38,"")</f>
        <v/>
      </c>
      <c r="BJ117" s="522" t="str">
        <f>IF(AND(_AC4="B-717",'2023'!$O$4="FO",'2023'!$O$2=BJ81),'2023DATA2'!$E$38,"")</f>
        <v/>
      </c>
      <c r="BK117" s="522" t="str">
        <f>IF(AND(_AC4="B-717",'2023'!$O$4="FO",'2023'!$O$2=BK81),'2023DATA2'!$F$38,"")</f>
        <v/>
      </c>
      <c r="BL117" s="522" t="str">
        <f>IF(AND(_AC4="B-717",'2023'!$O$4="FO",'2023'!$O$2=BL81),'2023DATA2'!$G$38,"")</f>
        <v/>
      </c>
      <c r="BM117" s="522" t="str">
        <f>IF(AND(_AC4="B-717",'2023'!$O$4="FO",'2023'!$O$2=BM81),'2023DATA2'!$H$38,"")</f>
        <v/>
      </c>
      <c r="BN117" s="522" t="str">
        <f>IF(AND(_AC4="B-717",'2023'!$O$4="FO",'2023'!$O$2=BN81),'2023DATA2'!$I$38,"")</f>
        <v/>
      </c>
      <c r="BO117" s="522" t="str">
        <f>IF(AND(_AC4="B-717",'2023'!$O$4="FO",'2023'!$O$2=BO81),'2023DATA2'!$J$38,"")</f>
        <v/>
      </c>
      <c r="BP117" s="522" t="str">
        <f>IF(AND(_AC4="B-717",'2023'!$O$4="FO",'2023'!$O$2=BP81),'2023DATA2'!$K$38,"")</f>
        <v/>
      </c>
      <c r="BQ117" s="522" t="str">
        <f>IF(AND(_AC4="B-717",'2023'!$O$4="FO",'2023'!$O$2=BQ81),'2023DATA2'!$L$38,"")</f>
        <v/>
      </c>
      <c r="BR117" s="522" t="str">
        <f>IF(AND(_AC4="B-717",'2023'!$O$4="FO",'2023'!$O$2=BR81),'2023DATA2'!$M$38,"")</f>
        <v/>
      </c>
      <c r="BS117" s="523" t="str">
        <f>IF(AND(_AC4="B-717",'2023'!$O$4="FO",'2023'!$O$2=BS81),'2023DATA2'!$N$38,"")</f>
        <v/>
      </c>
      <c r="BT117" s="941"/>
      <c r="BU117" s="521" t="s">
        <v>62</v>
      </c>
      <c r="BV117" s="522" t="str">
        <f>IF(AND(_AC5="B-717",'2023'!$O$4="FO",'2023'!$O$2=BV81),'2023DATA2'!$C$38,"")</f>
        <v/>
      </c>
      <c r="BW117" s="522" t="str">
        <f>IF(AND(_AC5="B-717",'2023'!$O$4="FO",'2023'!$O$2=BW81),'2023DATA2'!$D$38,"")</f>
        <v/>
      </c>
      <c r="BX117" s="522" t="str">
        <f>IF(AND(_AC5="B-717",'2023'!$O$4="FO",'2023'!$O$2=BX81),'2023DATA2'!$E$38,"")</f>
        <v/>
      </c>
      <c r="BY117" s="522" t="str">
        <f>IF(AND(_AC5="B-717",'2023'!$O$4="FO",'2023'!$O$2=BY81),'2023DATA2'!$F$38,"")</f>
        <v/>
      </c>
      <c r="BZ117" s="522" t="str">
        <f>IF(AND(_AC5="B-717",'2023'!$O$4="FO",'2023'!$O$2=BZ81),'2023DATA2'!$G$38,"")</f>
        <v/>
      </c>
      <c r="CA117" s="522" t="str">
        <f>IF(AND(_AC5="B-717",'2023'!$O$4="FO",'2023'!$O$2=CA81),'2023DATA2'!$H$38,"")</f>
        <v/>
      </c>
      <c r="CB117" s="522" t="str">
        <f>IF(AND(_AC5="B-717",'2023'!$O$4="FO",'2023'!$O$2=CB81),'2023DATA2'!$I$38,"")</f>
        <v/>
      </c>
      <c r="CC117" s="522" t="str">
        <f>IF(AND(_AC5="B-717",'2023'!$O$4="FO",'2023'!$O$2=CC81),'2023DATA2'!$J$38,"")</f>
        <v/>
      </c>
      <c r="CD117" s="522" t="str">
        <f>IF(AND(_AC5="B-717",'2023'!$O$4="FO",'2023'!$O$2=CD81),'2023DATA2'!$K$38,"")</f>
        <v/>
      </c>
      <c r="CE117" s="522" t="str">
        <f>IF(AND(_AC5="B-717",'2023'!$O$4="FO",'2023'!$O$2=CE81),'2023DATA2'!$L$38,"")</f>
        <v/>
      </c>
      <c r="CF117" s="522" t="str">
        <f>IF(AND(_AC5="B-717",'2023'!$O$4="FO",'2023'!$O$2=CF81),'2023DATA2'!$M$38,"")</f>
        <v/>
      </c>
      <c r="CG117" s="523" t="str">
        <f>IF(AND(_AC5="B-717",'2023'!$O$4="FO",'2023'!$O$2=CG81),'2023DATA2'!$N$38,"")</f>
        <v/>
      </c>
      <c r="CH117" s="941"/>
      <c r="CI117" s="521" t="s">
        <v>62</v>
      </c>
      <c r="CJ117" s="522" t="str">
        <f>IF(AND(_AC6="B-717",'2023'!$O$4="FO",'2023'!$O$2=CJ81),'2023DATA2'!$C$38,"")</f>
        <v/>
      </c>
      <c r="CK117" s="522" t="str">
        <f>IF(AND(_AC6="B-717",'2023'!$O$4="FO",'2023'!$O$2=CK81),'2023DATA2'!$D$38,"")</f>
        <v/>
      </c>
      <c r="CL117" s="522" t="str">
        <f>IF(AND(_AC6="B-717",'2023'!$O$4="FO",'2023'!$O$2=CL81),'2023DATA2'!$E$38,"")</f>
        <v/>
      </c>
      <c r="CM117" s="522" t="str">
        <f>IF(AND(_AC6="B-717",'2023'!$O$4="FO",'2023'!$O$2=CM81),'2023DATA2'!$F$38,"")</f>
        <v/>
      </c>
      <c r="CN117" s="522" t="str">
        <f>IF(AND(_AC6="B-717",'2023'!$O$4="FO",'2023'!$O$2=CN81),'2023DATA2'!$G$38,"")</f>
        <v/>
      </c>
      <c r="CO117" s="522" t="str">
        <f>IF(AND(_AC6="B-717",'2023'!$O$4="FO",'2023'!$O$2=CO81),'2023DATA2'!$H$38,"")</f>
        <v/>
      </c>
      <c r="CP117" s="522" t="str">
        <f>IF(AND(_AC6="B-717",'2023'!$O$4="FO",'2023'!$O$2=CP81),'2023DATA2'!$I$38,"")</f>
        <v/>
      </c>
      <c r="CQ117" s="522" t="str">
        <f>IF(AND(_AC6="B-717",'2023'!$O$4="FO",'2023'!$O$2=CQ81),'2023DATA2'!$J$38,"")</f>
        <v/>
      </c>
      <c r="CR117" s="522" t="str">
        <f>IF(AND(_AC6="B-717",'2023'!$O$4="FO",'2023'!$O$2=CR81),'2023DATA2'!$K$38,"")</f>
        <v/>
      </c>
      <c r="CS117" s="522" t="str">
        <f>IF(AND(_AC6="B-717",'2023'!$O$4="FO",'2023'!$O$2=CS81),'2023DATA2'!$L$38,"")</f>
        <v/>
      </c>
      <c r="CT117" s="522" t="str">
        <f>IF(AND(_AC6="B-717",'2023'!$O$4="FO",'2023'!$O$2=CT81),'2023DATA2'!$M$38,"")</f>
        <v/>
      </c>
      <c r="CU117" s="523" t="str">
        <f>IF(AND(_AC6="B-717",'2023'!$O$4="FO",'2023'!$O$2=CU81),'2023DATA2'!$N$38,"")</f>
        <v/>
      </c>
    </row>
  </sheetData>
  <sheetProtection algorithmName="SHA-512" hashValue="eJc8hENz+hWyG3CPaZll7vtSfqz5SV1xH5nbqB3JAbTo9Jeh9xqwrPIYmoZ6lHQuUrjTCpj7wfiMYnGmHXbnig==" saltValue="oHdtrbeGnl6QVozwjgkMHQ==" spinCount="100000" sheet="1" objects="1" scenarios="1" selectLockedCells="1" selectUnlockedCells="1"/>
  <mergeCells count="374">
    <mergeCell ref="A2:B2"/>
    <mergeCell ref="A1:N1"/>
    <mergeCell ref="CH1:CU1"/>
    <mergeCell ref="P2:Q3"/>
    <mergeCell ref="AD2:AE3"/>
    <mergeCell ref="AR2:AS3"/>
    <mergeCell ref="BF2:BG3"/>
    <mergeCell ref="BT2:BU3"/>
    <mergeCell ref="CH2:CI3"/>
    <mergeCell ref="P1:AC1"/>
    <mergeCell ref="AD1:AQ1"/>
    <mergeCell ref="AR1:BE1"/>
    <mergeCell ref="BF1:BS1"/>
    <mergeCell ref="BT1:CG1"/>
    <mergeCell ref="P4:AC4"/>
    <mergeCell ref="AD4:AQ4"/>
    <mergeCell ref="AR4:BE4"/>
    <mergeCell ref="BF4:BS4"/>
    <mergeCell ref="BT4:CG4"/>
    <mergeCell ref="CH4:CU4"/>
    <mergeCell ref="A37:A38"/>
    <mergeCell ref="A35:A36"/>
    <mergeCell ref="A31:A32"/>
    <mergeCell ref="A33:A34"/>
    <mergeCell ref="A29:A30"/>
    <mergeCell ref="A25:A26"/>
    <mergeCell ref="A27:A28"/>
    <mergeCell ref="A23:A24"/>
    <mergeCell ref="A19:A20"/>
    <mergeCell ref="A21:A22"/>
    <mergeCell ref="A17:A18"/>
    <mergeCell ref="A13:A14"/>
    <mergeCell ref="A15:A16"/>
    <mergeCell ref="A11:A12"/>
    <mergeCell ref="A7:A8"/>
    <mergeCell ref="A9:A10"/>
    <mergeCell ref="A5:A6"/>
    <mergeCell ref="A3:A4"/>
    <mergeCell ref="P8:P9"/>
    <mergeCell ref="AD8:AD9"/>
    <mergeCell ref="AR8:AR9"/>
    <mergeCell ref="BF8:BF9"/>
    <mergeCell ref="BT8:BT9"/>
    <mergeCell ref="CH8:CH9"/>
    <mergeCell ref="P6:P7"/>
    <mergeCell ref="AD6:AD7"/>
    <mergeCell ref="AR6:AR7"/>
    <mergeCell ref="BF6:BF7"/>
    <mergeCell ref="BT6:BT7"/>
    <mergeCell ref="CH6:CH7"/>
    <mergeCell ref="P12:P13"/>
    <mergeCell ref="AD12:AD13"/>
    <mergeCell ref="AR12:AR13"/>
    <mergeCell ref="BF12:BF13"/>
    <mergeCell ref="BT12:BT13"/>
    <mergeCell ref="CH12:CH13"/>
    <mergeCell ref="P10:P11"/>
    <mergeCell ref="AD10:AD11"/>
    <mergeCell ref="AR10:AR11"/>
    <mergeCell ref="BF10:BF11"/>
    <mergeCell ref="BT10:BT11"/>
    <mergeCell ref="CH10:CH11"/>
    <mergeCell ref="P16:P17"/>
    <mergeCell ref="AD16:AD17"/>
    <mergeCell ref="AR16:AR17"/>
    <mergeCell ref="BF16:BF17"/>
    <mergeCell ref="BT16:BT17"/>
    <mergeCell ref="CH16:CH17"/>
    <mergeCell ref="P14:P15"/>
    <mergeCell ref="AD14:AD15"/>
    <mergeCell ref="AR14:AR15"/>
    <mergeCell ref="BF14:BF15"/>
    <mergeCell ref="BT14:BT15"/>
    <mergeCell ref="CH14:CH15"/>
    <mergeCell ref="P20:P21"/>
    <mergeCell ref="AD20:AD21"/>
    <mergeCell ref="AR20:AR21"/>
    <mergeCell ref="BF20:BF21"/>
    <mergeCell ref="BT20:BT21"/>
    <mergeCell ref="CH20:CH21"/>
    <mergeCell ref="P18:P19"/>
    <mergeCell ref="AD18:AD19"/>
    <mergeCell ref="AR18:AR19"/>
    <mergeCell ref="BF18:BF19"/>
    <mergeCell ref="BT18:BT19"/>
    <mergeCell ref="CH18:CH19"/>
    <mergeCell ref="P24:P25"/>
    <mergeCell ref="AD24:AD25"/>
    <mergeCell ref="AR24:AR25"/>
    <mergeCell ref="BF24:BF25"/>
    <mergeCell ref="BT24:BT25"/>
    <mergeCell ref="CH24:CH25"/>
    <mergeCell ref="P22:P23"/>
    <mergeCell ref="AD22:AD23"/>
    <mergeCell ref="AR22:AR23"/>
    <mergeCell ref="BF22:BF23"/>
    <mergeCell ref="BT22:BT23"/>
    <mergeCell ref="CH22:CH23"/>
    <mergeCell ref="P28:P29"/>
    <mergeCell ref="AD28:AD29"/>
    <mergeCell ref="AR28:AR29"/>
    <mergeCell ref="BF28:BF29"/>
    <mergeCell ref="BT28:BT29"/>
    <mergeCell ref="CH28:CH29"/>
    <mergeCell ref="P26:P27"/>
    <mergeCell ref="AD26:AD27"/>
    <mergeCell ref="AR26:AR27"/>
    <mergeCell ref="BF26:BF27"/>
    <mergeCell ref="BT26:BT27"/>
    <mergeCell ref="CH26:CH27"/>
    <mergeCell ref="P32:P33"/>
    <mergeCell ref="AD32:AD33"/>
    <mergeCell ref="AR32:AR33"/>
    <mergeCell ref="BF32:BF33"/>
    <mergeCell ref="BT32:BT33"/>
    <mergeCell ref="CH32:CH33"/>
    <mergeCell ref="P30:P31"/>
    <mergeCell ref="AD30:AD31"/>
    <mergeCell ref="AR30:AR31"/>
    <mergeCell ref="BF30:BF31"/>
    <mergeCell ref="BT30:BT31"/>
    <mergeCell ref="CH30:CH31"/>
    <mergeCell ref="P36:P37"/>
    <mergeCell ref="AD36:AD37"/>
    <mergeCell ref="AR36:AR37"/>
    <mergeCell ref="BF36:BF37"/>
    <mergeCell ref="BT36:BT37"/>
    <mergeCell ref="CH36:CH37"/>
    <mergeCell ref="P34:P35"/>
    <mergeCell ref="AD34:AD35"/>
    <mergeCell ref="AR34:AR35"/>
    <mergeCell ref="BF34:BF35"/>
    <mergeCell ref="BT34:BT35"/>
    <mergeCell ref="CH34:CH35"/>
    <mergeCell ref="P40:P41"/>
    <mergeCell ref="AD40:AD41"/>
    <mergeCell ref="AR40:AR41"/>
    <mergeCell ref="BF40:BF41"/>
    <mergeCell ref="BT40:BT41"/>
    <mergeCell ref="CH40:CH41"/>
    <mergeCell ref="P38:P39"/>
    <mergeCell ref="AD38:AD39"/>
    <mergeCell ref="AR38:AR39"/>
    <mergeCell ref="BF38:BF39"/>
    <mergeCell ref="BT38:BT39"/>
    <mergeCell ref="CH38:CH39"/>
    <mergeCell ref="P44:P45"/>
    <mergeCell ref="AD44:AD45"/>
    <mergeCell ref="AR44:AR45"/>
    <mergeCell ref="BF44:BF45"/>
    <mergeCell ref="BT44:BT45"/>
    <mergeCell ref="CH44:CH45"/>
    <mergeCell ref="P42:AC42"/>
    <mergeCell ref="AD42:AQ42"/>
    <mergeCell ref="AR42:BE42"/>
    <mergeCell ref="BF42:BS42"/>
    <mergeCell ref="BT42:CG42"/>
    <mergeCell ref="CH42:CU42"/>
    <mergeCell ref="P48:P49"/>
    <mergeCell ref="AD48:AD49"/>
    <mergeCell ref="AR48:AR49"/>
    <mergeCell ref="BF48:BF49"/>
    <mergeCell ref="BT48:BT49"/>
    <mergeCell ref="CH48:CH49"/>
    <mergeCell ref="P46:P47"/>
    <mergeCell ref="AD46:AD47"/>
    <mergeCell ref="AR46:AR47"/>
    <mergeCell ref="BF46:BF47"/>
    <mergeCell ref="BT46:BT47"/>
    <mergeCell ref="CH46:CH47"/>
    <mergeCell ref="P52:P53"/>
    <mergeCell ref="AD52:AD53"/>
    <mergeCell ref="AR52:AR53"/>
    <mergeCell ref="BF52:BF53"/>
    <mergeCell ref="BT52:BT53"/>
    <mergeCell ref="CH52:CH53"/>
    <mergeCell ref="P50:P51"/>
    <mergeCell ref="AD50:AD51"/>
    <mergeCell ref="AR50:AR51"/>
    <mergeCell ref="BF50:BF51"/>
    <mergeCell ref="BT50:BT51"/>
    <mergeCell ref="CH50:CH51"/>
    <mergeCell ref="P56:P57"/>
    <mergeCell ref="AD56:AD57"/>
    <mergeCell ref="AR56:AR57"/>
    <mergeCell ref="BF56:BF57"/>
    <mergeCell ref="BT56:BT57"/>
    <mergeCell ref="CH56:CH57"/>
    <mergeCell ref="P54:P55"/>
    <mergeCell ref="AD54:AD55"/>
    <mergeCell ref="AR54:AR55"/>
    <mergeCell ref="BF54:BF55"/>
    <mergeCell ref="BT54:BT55"/>
    <mergeCell ref="CH54:CH55"/>
    <mergeCell ref="P60:P61"/>
    <mergeCell ref="AD60:AD61"/>
    <mergeCell ref="AR60:AR61"/>
    <mergeCell ref="BF60:BF61"/>
    <mergeCell ref="BT60:BT61"/>
    <mergeCell ref="CH60:CH61"/>
    <mergeCell ref="P58:P59"/>
    <mergeCell ref="AD58:AD59"/>
    <mergeCell ref="AR58:AR59"/>
    <mergeCell ref="BF58:BF59"/>
    <mergeCell ref="BT58:BT59"/>
    <mergeCell ref="CH58:CH59"/>
    <mergeCell ref="P64:P65"/>
    <mergeCell ref="AD64:AD65"/>
    <mergeCell ref="AR64:AR65"/>
    <mergeCell ref="BF64:BF65"/>
    <mergeCell ref="BT64:BT65"/>
    <mergeCell ref="CH64:CH65"/>
    <mergeCell ref="P62:P63"/>
    <mergeCell ref="AD62:AD63"/>
    <mergeCell ref="AR62:AR63"/>
    <mergeCell ref="BF62:BF63"/>
    <mergeCell ref="BT62:BT63"/>
    <mergeCell ref="CH62:CH63"/>
    <mergeCell ref="P68:P69"/>
    <mergeCell ref="AD68:AD69"/>
    <mergeCell ref="AR68:AR69"/>
    <mergeCell ref="BF68:BF69"/>
    <mergeCell ref="BT68:BT69"/>
    <mergeCell ref="CH68:CH69"/>
    <mergeCell ref="P66:P67"/>
    <mergeCell ref="AD66:AD67"/>
    <mergeCell ref="AR66:AR67"/>
    <mergeCell ref="BF66:BF67"/>
    <mergeCell ref="BT66:BT67"/>
    <mergeCell ref="CH66:CH67"/>
    <mergeCell ref="P72:P73"/>
    <mergeCell ref="AD72:AD73"/>
    <mergeCell ref="AR72:AR73"/>
    <mergeCell ref="BF72:BF73"/>
    <mergeCell ref="BT72:BT73"/>
    <mergeCell ref="CH72:CH73"/>
    <mergeCell ref="P70:P71"/>
    <mergeCell ref="AD70:AD71"/>
    <mergeCell ref="AR70:AR71"/>
    <mergeCell ref="BF70:BF71"/>
    <mergeCell ref="BT70:BT71"/>
    <mergeCell ref="CH70:CH71"/>
    <mergeCell ref="P76:P77"/>
    <mergeCell ref="AD76:AD77"/>
    <mergeCell ref="AR76:AR77"/>
    <mergeCell ref="BF76:BF77"/>
    <mergeCell ref="BT76:BT77"/>
    <mergeCell ref="CH76:CH77"/>
    <mergeCell ref="P74:P75"/>
    <mergeCell ref="AD74:AD75"/>
    <mergeCell ref="AR74:AR75"/>
    <mergeCell ref="BF74:BF75"/>
    <mergeCell ref="BT74:BT75"/>
    <mergeCell ref="CH74:CH75"/>
    <mergeCell ref="P80:AC80"/>
    <mergeCell ref="AD80:AQ80"/>
    <mergeCell ref="AR80:BE80"/>
    <mergeCell ref="BF80:BS80"/>
    <mergeCell ref="BT80:CG80"/>
    <mergeCell ref="CH80:CU80"/>
    <mergeCell ref="P78:P79"/>
    <mergeCell ref="AD78:AD79"/>
    <mergeCell ref="AR78:AR79"/>
    <mergeCell ref="BF78:BF79"/>
    <mergeCell ref="BT78:BT79"/>
    <mergeCell ref="CH78:CH79"/>
    <mergeCell ref="P84:P85"/>
    <mergeCell ref="AD84:AD85"/>
    <mergeCell ref="AR84:AR85"/>
    <mergeCell ref="BF84:BF85"/>
    <mergeCell ref="BT84:BT85"/>
    <mergeCell ref="CH84:CH85"/>
    <mergeCell ref="P82:P83"/>
    <mergeCell ref="AD82:AD83"/>
    <mergeCell ref="AR82:AR83"/>
    <mergeCell ref="BF82:BF83"/>
    <mergeCell ref="BT82:BT83"/>
    <mergeCell ref="CH82:CH83"/>
    <mergeCell ref="P88:P89"/>
    <mergeCell ref="AD88:AD89"/>
    <mergeCell ref="AR88:AR89"/>
    <mergeCell ref="BF88:BF89"/>
    <mergeCell ref="BT88:BT89"/>
    <mergeCell ref="CH88:CH89"/>
    <mergeCell ref="P86:P87"/>
    <mergeCell ref="AD86:AD87"/>
    <mergeCell ref="AR86:AR87"/>
    <mergeCell ref="BF86:BF87"/>
    <mergeCell ref="BT86:BT87"/>
    <mergeCell ref="CH86:CH87"/>
    <mergeCell ref="P92:P93"/>
    <mergeCell ref="AD92:AD93"/>
    <mergeCell ref="AR92:AR93"/>
    <mergeCell ref="BF92:BF93"/>
    <mergeCell ref="BT92:BT93"/>
    <mergeCell ref="CH92:CH93"/>
    <mergeCell ref="P90:P91"/>
    <mergeCell ref="AD90:AD91"/>
    <mergeCell ref="AR90:AR91"/>
    <mergeCell ref="BF90:BF91"/>
    <mergeCell ref="BT90:BT91"/>
    <mergeCell ref="CH90:CH91"/>
    <mergeCell ref="P96:P97"/>
    <mergeCell ref="AD96:AD97"/>
    <mergeCell ref="AR96:AR97"/>
    <mergeCell ref="BF96:BF97"/>
    <mergeCell ref="BT96:BT97"/>
    <mergeCell ref="CH96:CH97"/>
    <mergeCell ref="P94:P95"/>
    <mergeCell ref="AD94:AD95"/>
    <mergeCell ref="AR94:AR95"/>
    <mergeCell ref="BF94:BF95"/>
    <mergeCell ref="BT94:BT95"/>
    <mergeCell ref="CH94:CH95"/>
    <mergeCell ref="P100:P101"/>
    <mergeCell ref="AD100:AD101"/>
    <mergeCell ref="AR100:AR101"/>
    <mergeCell ref="BF100:BF101"/>
    <mergeCell ref="BT100:BT101"/>
    <mergeCell ref="CH100:CH101"/>
    <mergeCell ref="P98:P99"/>
    <mergeCell ref="AD98:AD99"/>
    <mergeCell ref="AR98:AR99"/>
    <mergeCell ref="BF98:BF99"/>
    <mergeCell ref="BT98:BT99"/>
    <mergeCell ref="CH98:CH99"/>
    <mergeCell ref="P104:P105"/>
    <mergeCell ref="AD104:AD105"/>
    <mergeCell ref="AR104:AR105"/>
    <mergeCell ref="BF104:BF105"/>
    <mergeCell ref="BT104:BT105"/>
    <mergeCell ref="CH104:CH105"/>
    <mergeCell ref="P102:P103"/>
    <mergeCell ref="AD102:AD103"/>
    <mergeCell ref="AR102:AR103"/>
    <mergeCell ref="BF102:BF103"/>
    <mergeCell ref="BT102:BT103"/>
    <mergeCell ref="CH102:CH103"/>
    <mergeCell ref="P108:P109"/>
    <mergeCell ref="AD108:AD109"/>
    <mergeCell ref="AR108:AR109"/>
    <mergeCell ref="BF108:BF109"/>
    <mergeCell ref="BT108:BT109"/>
    <mergeCell ref="CH108:CH109"/>
    <mergeCell ref="P106:P107"/>
    <mergeCell ref="AD106:AD107"/>
    <mergeCell ref="AR106:AR107"/>
    <mergeCell ref="BF106:BF107"/>
    <mergeCell ref="BT106:BT107"/>
    <mergeCell ref="CH106:CH107"/>
    <mergeCell ref="P112:P113"/>
    <mergeCell ref="AD112:AD113"/>
    <mergeCell ref="AR112:AR113"/>
    <mergeCell ref="BF112:BF113"/>
    <mergeCell ref="BT112:BT113"/>
    <mergeCell ref="CH112:CH113"/>
    <mergeCell ref="P110:P111"/>
    <mergeCell ref="AD110:AD111"/>
    <mergeCell ref="AR110:AR111"/>
    <mergeCell ref="BF110:BF111"/>
    <mergeCell ref="BT110:BT111"/>
    <mergeCell ref="CH110:CH111"/>
    <mergeCell ref="P116:P117"/>
    <mergeCell ref="AD116:AD117"/>
    <mergeCell ref="AR116:AR117"/>
    <mergeCell ref="BF116:BF117"/>
    <mergeCell ref="BT116:BT117"/>
    <mergeCell ref="CH116:CH117"/>
    <mergeCell ref="P114:P115"/>
    <mergeCell ref="AD114:AD115"/>
    <mergeCell ref="AR114:AR115"/>
    <mergeCell ref="BF114:BF115"/>
    <mergeCell ref="BT114:BT115"/>
    <mergeCell ref="CH114:CH1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0F022-BED1-4A94-921F-0C0536CD924C}">
  <dimension ref="A1:CU79"/>
  <sheetViews>
    <sheetView workbookViewId="0">
      <selection activeCell="A80" sqref="A80:XFD1048576"/>
    </sheetView>
  </sheetViews>
  <sheetFormatPr defaultRowHeight="15" x14ac:dyDescent="0.25"/>
  <cols>
    <col min="1" max="1" width="11.7109375" bestFit="1" customWidth="1"/>
    <col min="2" max="2" width="3.42578125" bestFit="1" customWidth="1"/>
    <col min="3" max="3" width="8.42578125" bestFit="1" customWidth="1"/>
    <col min="4" max="14" width="6.5703125" bestFit="1" customWidth="1"/>
    <col min="15" max="15" width="3.7109375" customWidth="1"/>
    <col min="16" max="16" width="11.7109375" bestFit="1" customWidth="1"/>
    <col min="17" max="17" width="7" bestFit="1" customWidth="1"/>
    <col min="18" max="18" width="7.140625" bestFit="1" customWidth="1"/>
    <col min="19" max="29" width="6.5703125" bestFit="1" customWidth="1"/>
    <col min="30" max="30" width="11.7109375" bestFit="1" customWidth="1"/>
    <col min="31" max="31" width="7" bestFit="1" customWidth="1"/>
    <col min="32" max="43" width="6.5703125" bestFit="1" customWidth="1"/>
    <col min="44" max="44" width="11.7109375" bestFit="1" customWidth="1"/>
    <col min="45" max="45" width="7" bestFit="1" customWidth="1"/>
    <col min="46" max="57" width="6.5703125" bestFit="1" customWidth="1"/>
    <col min="58" max="58" width="11.7109375" bestFit="1" customWidth="1"/>
    <col min="59" max="59" width="7" bestFit="1" customWidth="1"/>
    <col min="60" max="71" width="6.5703125" bestFit="1" customWidth="1"/>
    <col min="72" max="72" width="11.7109375" bestFit="1" customWidth="1"/>
    <col min="73" max="73" width="7" bestFit="1" customWidth="1"/>
    <col min="74" max="85" width="6.5703125" bestFit="1" customWidth="1"/>
    <col min="86" max="86" width="11.7109375" bestFit="1" customWidth="1"/>
    <col min="87" max="87" width="7" bestFit="1" customWidth="1"/>
    <col min="88" max="99" width="6.5703125" bestFit="1" customWidth="1"/>
  </cols>
  <sheetData>
    <row r="1" spans="1:99" ht="33.75" customHeight="1" thickBot="1" x14ac:dyDescent="0.3">
      <c r="A1" s="947" t="s">
        <v>95</v>
      </c>
      <c r="B1" s="947"/>
      <c r="C1" s="947"/>
      <c r="D1" s="947"/>
      <c r="E1" s="947"/>
      <c r="F1" s="947"/>
      <c r="G1" s="947"/>
      <c r="H1" s="947"/>
      <c r="I1" s="947"/>
      <c r="J1" s="947"/>
      <c r="K1" s="947"/>
      <c r="L1" s="947"/>
      <c r="M1" s="947"/>
      <c r="N1" s="948"/>
      <c r="P1" s="949" t="s">
        <v>134</v>
      </c>
      <c r="Q1" s="950"/>
      <c r="R1" s="950"/>
      <c r="S1" s="950"/>
      <c r="T1" s="950"/>
      <c r="U1" s="950"/>
      <c r="V1" s="950"/>
      <c r="W1" s="950"/>
      <c r="X1" s="950"/>
      <c r="Y1" s="950"/>
      <c r="Z1" s="950"/>
      <c r="AA1" s="950"/>
      <c r="AB1" s="950"/>
      <c r="AC1" s="951"/>
      <c r="AD1" s="949" t="s">
        <v>135</v>
      </c>
      <c r="AE1" s="950"/>
      <c r="AF1" s="950"/>
      <c r="AG1" s="950"/>
      <c r="AH1" s="950"/>
      <c r="AI1" s="950"/>
      <c r="AJ1" s="950"/>
      <c r="AK1" s="950"/>
      <c r="AL1" s="950"/>
      <c r="AM1" s="950"/>
      <c r="AN1" s="950"/>
      <c r="AO1" s="950"/>
      <c r="AP1" s="950"/>
      <c r="AQ1" s="951"/>
      <c r="AR1" s="949" t="s">
        <v>136</v>
      </c>
      <c r="AS1" s="950"/>
      <c r="AT1" s="950"/>
      <c r="AU1" s="950"/>
      <c r="AV1" s="950"/>
      <c r="AW1" s="950"/>
      <c r="AX1" s="950"/>
      <c r="AY1" s="950"/>
      <c r="AZ1" s="950"/>
      <c r="BA1" s="950"/>
      <c r="BB1" s="950"/>
      <c r="BC1" s="950"/>
      <c r="BD1" s="950"/>
      <c r="BE1" s="951"/>
      <c r="BF1" s="949" t="s">
        <v>137</v>
      </c>
      <c r="BG1" s="950"/>
      <c r="BH1" s="950"/>
      <c r="BI1" s="950"/>
      <c r="BJ1" s="950"/>
      <c r="BK1" s="950"/>
      <c r="BL1" s="950"/>
      <c r="BM1" s="950"/>
      <c r="BN1" s="950"/>
      <c r="BO1" s="950"/>
      <c r="BP1" s="950"/>
      <c r="BQ1" s="950"/>
      <c r="BR1" s="950"/>
      <c r="BS1" s="951"/>
      <c r="BT1" s="949" t="s">
        <v>138</v>
      </c>
      <c r="BU1" s="950"/>
      <c r="BV1" s="950"/>
      <c r="BW1" s="950"/>
      <c r="BX1" s="950"/>
      <c r="BY1" s="950"/>
      <c r="BZ1" s="950"/>
      <c r="CA1" s="950"/>
      <c r="CB1" s="950"/>
      <c r="CC1" s="950"/>
      <c r="CD1" s="950"/>
      <c r="CE1" s="950"/>
      <c r="CF1" s="950"/>
      <c r="CG1" s="951"/>
      <c r="CH1" s="949" t="s">
        <v>139</v>
      </c>
      <c r="CI1" s="950"/>
      <c r="CJ1" s="950"/>
      <c r="CK1" s="950"/>
      <c r="CL1" s="950"/>
      <c r="CM1" s="950"/>
      <c r="CN1" s="950"/>
      <c r="CO1" s="950"/>
      <c r="CP1" s="950"/>
      <c r="CQ1" s="950"/>
      <c r="CR1" s="950"/>
      <c r="CS1" s="950"/>
      <c r="CT1" s="950"/>
      <c r="CU1" s="951"/>
    </row>
    <row r="2" spans="1:99" ht="15.75" thickBot="1" x14ac:dyDescent="0.3">
      <c r="A2" s="955" t="s">
        <v>75</v>
      </c>
      <c r="B2" s="956"/>
      <c r="C2" s="590">
        <v>12</v>
      </c>
      <c r="D2" s="591">
        <v>11</v>
      </c>
      <c r="E2" s="591">
        <v>10</v>
      </c>
      <c r="F2" s="591">
        <v>9</v>
      </c>
      <c r="G2" s="591">
        <v>8</v>
      </c>
      <c r="H2" s="591">
        <v>7</v>
      </c>
      <c r="I2" s="591">
        <v>6</v>
      </c>
      <c r="J2" s="591">
        <v>5</v>
      </c>
      <c r="K2" s="591">
        <v>4</v>
      </c>
      <c r="L2" s="591">
        <v>3</v>
      </c>
      <c r="M2" s="591">
        <v>2</v>
      </c>
      <c r="N2" s="592">
        <v>1</v>
      </c>
      <c r="P2" s="952"/>
      <c r="Q2" s="828"/>
      <c r="R2" s="557">
        <v>1</v>
      </c>
      <c r="S2" s="571">
        <v>2</v>
      </c>
      <c r="T2" s="559">
        <v>3</v>
      </c>
      <c r="U2" s="561">
        <v>4</v>
      </c>
      <c r="V2" s="563">
        <v>5</v>
      </c>
      <c r="W2" s="579">
        <v>6</v>
      </c>
      <c r="X2" s="565">
        <v>7</v>
      </c>
      <c r="Y2" s="577">
        <v>8</v>
      </c>
      <c r="Z2" s="567">
        <v>9</v>
      </c>
      <c r="AA2" s="602"/>
      <c r="AB2" s="602"/>
      <c r="AC2" s="603"/>
      <c r="AD2" s="952"/>
      <c r="AE2" s="828"/>
      <c r="AF2" s="557">
        <v>1</v>
      </c>
      <c r="AG2" s="571">
        <v>2</v>
      </c>
      <c r="AH2" s="559">
        <v>3</v>
      </c>
      <c r="AI2" s="561">
        <v>4</v>
      </c>
      <c r="AJ2" s="563">
        <v>5</v>
      </c>
      <c r="AK2" s="579">
        <v>6</v>
      </c>
      <c r="AL2" s="565">
        <v>7</v>
      </c>
      <c r="AM2" s="577">
        <v>8</v>
      </c>
      <c r="AN2" s="567">
        <v>9</v>
      </c>
      <c r="AO2" s="602"/>
      <c r="AP2" s="602"/>
      <c r="AQ2" s="603"/>
      <c r="AR2" s="952"/>
      <c r="AS2" s="828"/>
      <c r="AT2" s="557">
        <v>1</v>
      </c>
      <c r="AU2" s="571">
        <v>2</v>
      </c>
      <c r="AV2" s="559">
        <v>3</v>
      </c>
      <c r="AW2" s="561">
        <v>4</v>
      </c>
      <c r="AX2" s="563">
        <v>5</v>
      </c>
      <c r="AY2" s="579">
        <v>6</v>
      </c>
      <c r="AZ2" s="565">
        <v>7</v>
      </c>
      <c r="BA2" s="577">
        <v>8</v>
      </c>
      <c r="BB2" s="567">
        <v>9</v>
      </c>
      <c r="BC2" s="602"/>
      <c r="BD2" s="602"/>
      <c r="BE2" s="603"/>
      <c r="BF2" s="952"/>
      <c r="BG2" s="828"/>
      <c r="BH2" s="557">
        <v>1</v>
      </c>
      <c r="BI2" s="571">
        <v>2</v>
      </c>
      <c r="BJ2" s="559">
        <v>3</v>
      </c>
      <c r="BK2" s="561">
        <v>4</v>
      </c>
      <c r="BL2" s="563">
        <v>5</v>
      </c>
      <c r="BM2" s="579">
        <v>6</v>
      </c>
      <c r="BN2" s="565">
        <v>7</v>
      </c>
      <c r="BO2" s="577">
        <v>8</v>
      </c>
      <c r="BP2" s="567">
        <v>9</v>
      </c>
      <c r="BQ2" s="602"/>
      <c r="BR2" s="602"/>
      <c r="BS2" s="603"/>
      <c r="BT2" s="952"/>
      <c r="BU2" s="828"/>
      <c r="BV2" s="557">
        <v>1</v>
      </c>
      <c r="BW2" s="571">
        <v>2</v>
      </c>
      <c r="BX2" s="559">
        <v>3</v>
      </c>
      <c r="BY2" s="561">
        <v>4</v>
      </c>
      <c r="BZ2" s="563">
        <v>5</v>
      </c>
      <c r="CA2" s="579">
        <v>6</v>
      </c>
      <c r="CB2" s="565">
        <v>7</v>
      </c>
      <c r="CC2" s="577">
        <v>8</v>
      </c>
      <c r="CD2" s="567">
        <v>9</v>
      </c>
      <c r="CE2" s="602"/>
      <c r="CF2" s="602"/>
      <c r="CG2" s="603"/>
      <c r="CH2" s="952"/>
      <c r="CI2" s="828"/>
      <c r="CJ2" s="557">
        <v>1</v>
      </c>
      <c r="CK2" s="571">
        <v>2</v>
      </c>
      <c r="CL2" s="559">
        <v>3</v>
      </c>
      <c r="CM2" s="561">
        <v>4</v>
      </c>
      <c r="CN2" s="563">
        <v>5</v>
      </c>
      <c r="CO2" s="579">
        <v>6</v>
      </c>
      <c r="CP2" s="565">
        <v>7</v>
      </c>
      <c r="CQ2" s="577">
        <v>8</v>
      </c>
      <c r="CR2" s="567">
        <v>9</v>
      </c>
      <c r="CS2" s="602"/>
      <c r="CT2" s="602"/>
      <c r="CU2" s="603"/>
    </row>
    <row r="3" spans="1:99" ht="15.75" thickBot="1" x14ac:dyDescent="0.3">
      <c r="A3" s="946" t="s">
        <v>39</v>
      </c>
      <c r="B3" s="78" t="s">
        <v>61</v>
      </c>
      <c r="C3" s="55">
        <v>417.54</v>
      </c>
      <c r="D3" s="56">
        <v>414.4</v>
      </c>
      <c r="E3" s="56">
        <v>411.28</v>
      </c>
      <c r="F3" s="56">
        <v>408.16</v>
      </c>
      <c r="G3" s="56">
        <v>405.02</v>
      </c>
      <c r="H3" s="56">
        <v>401.92</v>
      </c>
      <c r="I3" s="56">
        <v>398.78</v>
      </c>
      <c r="J3" s="56">
        <v>395.68</v>
      </c>
      <c r="K3" s="56">
        <v>392.52</v>
      </c>
      <c r="L3" s="56">
        <v>389.39</v>
      </c>
      <c r="M3" s="56">
        <v>386.23</v>
      </c>
      <c r="N3" s="57">
        <v>383.12</v>
      </c>
      <c r="P3" s="953"/>
      <c r="Q3" s="954"/>
      <c r="R3" s="558">
        <f>Q5</f>
        <v>0</v>
      </c>
      <c r="S3" s="572">
        <f>Q43</f>
        <v>0</v>
      </c>
      <c r="T3" s="560" t="e">
        <f>#REF!</f>
        <v>#REF!</v>
      </c>
      <c r="U3" s="562" t="e">
        <f>#REF!</f>
        <v>#REF!</v>
      </c>
      <c r="V3" s="564" t="e">
        <f>#REF!</f>
        <v>#REF!</v>
      </c>
      <c r="W3" s="580" t="e">
        <f>#REF!</f>
        <v>#REF!</v>
      </c>
      <c r="X3" s="566" t="e">
        <f>#REF!</f>
        <v>#REF!</v>
      </c>
      <c r="Y3" s="578" t="e">
        <f>#REF!</f>
        <v>#REF!</v>
      </c>
      <c r="Z3" s="568" t="e">
        <f>#REF!</f>
        <v>#REF!</v>
      </c>
      <c r="AA3" s="604"/>
      <c r="AB3" s="604"/>
      <c r="AC3" s="605"/>
      <c r="AD3" s="953"/>
      <c r="AE3" s="954"/>
      <c r="AF3" s="558">
        <f>AE5</f>
        <v>0</v>
      </c>
      <c r="AG3" s="572">
        <f>AE43</f>
        <v>0</v>
      </c>
      <c r="AH3" s="560" t="e">
        <f>#REF!</f>
        <v>#REF!</v>
      </c>
      <c r="AI3" s="562" t="e">
        <f>#REF!</f>
        <v>#REF!</v>
      </c>
      <c r="AJ3" s="564" t="e">
        <f>#REF!</f>
        <v>#REF!</v>
      </c>
      <c r="AK3" s="580" t="e">
        <f>#REF!</f>
        <v>#REF!</v>
      </c>
      <c r="AL3" s="566" t="e">
        <f>#REF!</f>
        <v>#REF!</v>
      </c>
      <c r="AM3" s="578" t="e">
        <f>#REF!</f>
        <v>#REF!</v>
      </c>
      <c r="AN3" s="568" t="e">
        <f>#REF!</f>
        <v>#REF!</v>
      </c>
      <c r="AO3" s="604"/>
      <c r="AP3" s="604"/>
      <c r="AQ3" s="605"/>
      <c r="AR3" s="953"/>
      <c r="AS3" s="954"/>
      <c r="AT3" s="558">
        <f>AS5</f>
        <v>0</v>
      </c>
      <c r="AU3" s="572">
        <f>AS43</f>
        <v>0</v>
      </c>
      <c r="AV3" s="560" t="e">
        <f>#REF!</f>
        <v>#REF!</v>
      </c>
      <c r="AW3" s="562" t="e">
        <f>#REF!</f>
        <v>#REF!</v>
      </c>
      <c r="AX3" s="564" t="e">
        <f>#REF!</f>
        <v>#REF!</v>
      </c>
      <c r="AY3" s="580" t="e">
        <f>#REF!</f>
        <v>#REF!</v>
      </c>
      <c r="AZ3" s="566" t="e">
        <f>#REF!</f>
        <v>#REF!</v>
      </c>
      <c r="BA3" s="578" t="e">
        <f>#REF!</f>
        <v>#REF!</v>
      </c>
      <c r="BB3" s="568" t="e">
        <f>#REF!</f>
        <v>#REF!</v>
      </c>
      <c r="BC3" s="604"/>
      <c r="BD3" s="604"/>
      <c r="BE3" s="605"/>
      <c r="BF3" s="953"/>
      <c r="BG3" s="954"/>
      <c r="BH3" s="558">
        <f>BG5</f>
        <v>0</v>
      </c>
      <c r="BI3" s="572">
        <f>BG43</f>
        <v>0</v>
      </c>
      <c r="BJ3" s="560" t="e">
        <f>#REF!</f>
        <v>#REF!</v>
      </c>
      <c r="BK3" s="562" t="e">
        <f>#REF!</f>
        <v>#REF!</v>
      </c>
      <c r="BL3" s="564" t="e">
        <f>#REF!</f>
        <v>#REF!</v>
      </c>
      <c r="BM3" s="580" t="e">
        <f>#REF!</f>
        <v>#REF!</v>
      </c>
      <c r="BN3" s="566" t="e">
        <f>#REF!</f>
        <v>#REF!</v>
      </c>
      <c r="BO3" s="578" t="e">
        <f>#REF!</f>
        <v>#REF!</v>
      </c>
      <c r="BP3" s="568" t="e">
        <f>#REF!</f>
        <v>#REF!</v>
      </c>
      <c r="BQ3" s="604"/>
      <c r="BR3" s="604"/>
      <c r="BS3" s="605"/>
      <c r="BT3" s="953"/>
      <c r="BU3" s="954"/>
      <c r="BV3" s="558">
        <f>BU5</f>
        <v>0</v>
      </c>
      <c r="BW3" s="572">
        <f>BU43</f>
        <v>0</v>
      </c>
      <c r="BX3" s="560" t="e">
        <f>#REF!</f>
        <v>#REF!</v>
      </c>
      <c r="BY3" s="562" t="e">
        <f>#REF!</f>
        <v>#REF!</v>
      </c>
      <c r="BZ3" s="564" t="e">
        <f>#REF!</f>
        <v>#REF!</v>
      </c>
      <c r="CA3" s="580" t="e">
        <f>#REF!</f>
        <v>#REF!</v>
      </c>
      <c r="CB3" s="566" t="e">
        <f>#REF!</f>
        <v>#REF!</v>
      </c>
      <c r="CC3" s="578" t="e">
        <f>#REF!</f>
        <v>#REF!</v>
      </c>
      <c r="CD3" s="568" t="e">
        <f>#REF!</f>
        <v>#REF!</v>
      </c>
      <c r="CE3" s="604"/>
      <c r="CF3" s="604"/>
      <c r="CG3" s="605"/>
      <c r="CH3" s="953"/>
      <c r="CI3" s="954"/>
      <c r="CJ3" s="558">
        <f>CI5</f>
        <v>0</v>
      </c>
      <c r="CK3" s="572">
        <f>CI43</f>
        <v>0</v>
      </c>
      <c r="CL3" s="560" t="e">
        <f>#REF!</f>
        <v>#REF!</v>
      </c>
      <c r="CM3" s="562" t="e">
        <f>#REF!</f>
        <v>#REF!</v>
      </c>
      <c r="CN3" s="564" t="e">
        <f>#REF!</f>
        <v>#REF!</v>
      </c>
      <c r="CO3" s="580" t="e">
        <f>#REF!</f>
        <v>#REF!</v>
      </c>
      <c r="CP3" s="566" t="e">
        <f>#REF!</f>
        <v>#REF!</v>
      </c>
      <c r="CQ3" s="578" t="e">
        <f>#REF!</f>
        <v>#REF!</v>
      </c>
      <c r="CR3" s="568" t="e">
        <f>#REF!</f>
        <v>#REF!</v>
      </c>
      <c r="CS3" s="604"/>
      <c r="CT3" s="604"/>
      <c r="CU3" s="605"/>
    </row>
    <row r="4" spans="1:99" x14ac:dyDescent="0.25">
      <c r="A4" s="946"/>
      <c r="B4" s="78" t="s">
        <v>62</v>
      </c>
      <c r="C4" s="55">
        <v>285.22000000000003</v>
      </c>
      <c r="D4" s="56">
        <v>282.62</v>
      </c>
      <c r="E4" s="56">
        <v>280.11</v>
      </c>
      <c r="F4" s="56">
        <v>276.36</v>
      </c>
      <c r="G4" s="56">
        <v>273.38</v>
      </c>
      <c r="H4" s="56">
        <v>267.25</v>
      </c>
      <c r="I4" s="56">
        <v>260.02</v>
      </c>
      <c r="J4" s="56">
        <v>253.59</v>
      </c>
      <c r="K4" s="56">
        <v>247.68</v>
      </c>
      <c r="L4" s="56">
        <v>241.82</v>
      </c>
      <c r="M4" s="56">
        <v>206.65</v>
      </c>
      <c r="N4" s="57">
        <v>108.34</v>
      </c>
      <c r="P4" s="943" t="s">
        <v>140</v>
      </c>
      <c r="Q4" s="944"/>
      <c r="R4" s="944"/>
      <c r="S4" s="944"/>
      <c r="T4" s="944"/>
      <c r="U4" s="944"/>
      <c r="V4" s="944"/>
      <c r="W4" s="944"/>
      <c r="X4" s="944"/>
      <c r="Y4" s="944"/>
      <c r="Z4" s="944"/>
      <c r="AA4" s="944"/>
      <c r="AB4" s="944"/>
      <c r="AC4" s="945"/>
      <c r="AD4" s="943" t="s">
        <v>141</v>
      </c>
      <c r="AE4" s="944"/>
      <c r="AF4" s="944"/>
      <c r="AG4" s="944"/>
      <c r="AH4" s="944"/>
      <c r="AI4" s="944"/>
      <c r="AJ4" s="944"/>
      <c r="AK4" s="944"/>
      <c r="AL4" s="944"/>
      <c r="AM4" s="944"/>
      <c r="AN4" s="944"/>
      <c r="AO4" s="944"/>
      <c r="AP4" s="944"/>
      <c r="AQ4" s="945"/>
      <c r="AR4" s="943" t="s">
        <v>142</v>
      </c>
      <c r="AS4" s="944"/>
      <c r="AT4" s="944"/>
      <c r="AU4" s="944"/>
      <c r="AV4" s="944"/>
      <c r="AW4" s="944"/>
      <c r="AX4" s="944"/>
      <c r="AY4" s="944"/>
      <c r="AZ4" s="944"/>
      <c r="BA4" s="944"/>
      <c r="BB4" s="944"/>
      <c r="BC4" s="944"/>
      <c r="BD4" s="944"/>
      <c r="BE4" s="945"/>
      <c r="BF4" s="943" t="s">
        <v>143</v>
      </c>
      <c r="BG4" s="944"/>
      <c r="BH4" s="944"/>
      <c r="BI4" s="944"/>
      <c r="BJ4" s="944"/>
      <c r="BK4" s="944"/>
      <c r="BL4" s="944"/>
      <c r="BM4" s="944"/>
      <c r="BN4" s="944"/>
      <c r="BO4" s="944"/>
      <c r="BP4" s="944"/>
      <c r="BQ4" s="944"/>
      <c r="BR4" s="944"/>
      <c r="BS4" s="945"/>
      <c r="BT4" s="943" t="s">
        <v>144</v>
      </c>
      <c r="BU4" s="944"/>
      <c r="BV4" s="944"/>
      <c r="BW4" s="944"/>
      <c r="BX4" s="944"/>
      <c r="BY4" s="944"/>
      <c r="BZ4" s="944"/>
      <c r="CA4" s="944"/>
      <c r="CB4" s="944"/>
      <c r="CC4" s="944"/>
      <c r="CD4" s="944"/>
      <c r="CE4" s="944"/>
      <c r="CF4" s="944"/>
      <c r="CG4" s="945"/>
      <c r="CH4" s="943" t="s">
        <v>145</v>
      </c>
      <c r="CI4" s="944"/>
      <c r="CJ4" s="944"/>
      <c r="CK4" s="944"/>
      <c r="CL4" s="944"/>
      <c r="CM4" s="944"/>
      <c r="CN4" s="944"/>
      <c r="CO4" s="944"/>
      <c r="CP4" s="944"/>
      <c r="CQ4" s="944"/>
      <c r="CR4" s="944"/>
      <c r="CS4" s="944"/>
      <c r="CT4" s="944"/>
      <c r="CU4" s="945"/>
    </row>
    <row r="5" spans="1:99" x14ac:dyDescent="0.25">
      <c r="A5" s="946" t="s">
        <v>65</v>
      </c>
      <c r="B5" s="78" t="s">
        <v>61</v>
      </c>
      <c r="C5" s="25">
        <v>417.54</v>
      </c>
      <c r="D5" s="26">
        <v>414.4</v>
      </c>
      <c r="E5" s="26">
        <v>411.28</v>
      </c>
      <c r="F5" s="26">
        <v>408.16</v>
      </c>
      <c r="G5" s="26">
        <v>405.02</v>
      </c>
      <c r="H5" s="26">
        <v>401.92</v>
      </c>
      <c r="I5" s="26">
        <v>398.78</v>
      </c>
      <c r="J5" s="26">
        <v>395.68</v>
      </c>
      <c r="K5" s="26">
        <v>392.52</v>
      </c>
      <c r="L5" s="26">
        <v>389.39</v>
      </c>
      <c r="M5" s="26">
        <v>386.23</v>
      </c>
      <c r="N5" s="27">
        <v>383.12</v>
      </c>
      <c r="P5" s="586">
        <v>1</v>
      </c>
      <c r="Q5" s="557">
        <f>SUM(R6:AC41)</f>
        <v>0</v>
      </c>
      <c r="R5" s="3">
        <v>12</v>
      </c>
      <c r="S5" s="3">
        <v>11</v>
      </c>
      <c r="T5" s="3">
        <v>10</v>
      </c>
      <c r="U5" s="3">
        <v>9</v>
      </c>
      <c r="V5" s="3">
        <v>8</v>
      </c>
      <c r="W5" s="3">
        <v>7</v>
      </c>
      <c r="X5" s="3">
        <v>6</v>
      </c>
      <c r="Y5" s="3">
        <v>5</v>
      </c>
      <c r="Z5" s="3">
        <v>4</v>
      </c>
      <c r="AA5" s="3">
        <v>3</v>
      </c>
      <c r="AB5" s="3">
        <v>2</v>
      </c>
      <c r="AC5" s="519">
        <v>1</v>
      </c>
      <c r="AD5" s="557">
        <v>1</v>
      </c>
      <c r="AE5" s="557">
        <f>SUM(AF6:AQ41)</f>
        <v>0</v>
      </c>
      <c r="AF5" s="3">
        <v>12</v>
      </c>
      <c r="AG5" s="3">
        <v>11</v>
      </c>
      <c r="AH5" s="3">
        <v>10</v>
      </c>
      <c r="AI5" s="3">
        <v>9</v>
      </c>
      <c r="AJ5" s="3">
        <v>8</v>
      </c>
      <c r="AK5" s="3">
        <v>7</v>
      </c>
      <c r="AL5" s="3">
        <v>6</v>
      </c>
      <c r="AM5" s="3">
        <v>5</v>
      </c>
      <c r="AN5" s="3">
        <v>4</v>
      </c>
      <c r="AO5" s="3">
        <v>3</v>
      </c>
      <c r="AP5" s="3">
        <v>2</v>
      </c>
      <c r="AQ5" s="519">
        <v>1</v>
      </c>
      <c r="AR5" s="557">
        <v>1</v>
      </c>
      <c r="AS5" s="557">
        <f>SUM(AT6:BE41)</f>
        <v>0</v>
      </c>
      <c r="AT5" s="3">
        <v>12</v>
      </c>
      <c r="AU5" s="3">
        <v>11</v>
      </c>
      <c r="AV5" s="3">
        <v>10</v>
      </c>
      <c r="AW5" s="3">
        <v>9</v>
      </c>
      <c r="AX5" s="3">
        <v>8</v>
      </c>
      <c r="AY5" s="3">
        <v>7</v>
      </c>
      <c r="AZ5" s="3">
        <v>6</v>
      </c>
      <c r="BA5" s="3">
        <v>5</v>
      </c>
      <c r="BB5" s="3">
        <v>4</v>
      </c>
      <c r="BC5" s="3">
        <v>3</v>
      </c>
      <c r="BD5" s="3">
        <v>2</v>
      </c>
      <c r="BE5" s="519">
        <v>1</v>
      </c>
      <c r="BF5" s="557">
        <v>1</v>
      </c>
      <c r="BG5" s="557">
        <f>SUM(BH6:BS41)</f>
        <v>0</v>
      </c>
      <c r="BH5" s="3">
        <v>12</v>
      </c>
      <c r="BI5" s="3">
        <v>11</v>
      </c>
      <c r="BJ5" s="3">
        <v>10</v>
      </c>
      <c r="BK5" s="3">
        <v>9</v>
      </c>
      <c r="BL5" s="3">
        <v>8</v>
      </c>
      <c r="BM5" s="3">
        <v>7</v>
      </c>
      <c r="BN5" s="3">
        <v>6</v>
      </c>
      <c r="BO5" s="3">
        <v>5</v>
      </c>
      <c r="BP5" s="3">
        <v>4</v>
      </c>
      <c r="BQ5" s="3">
        <v>3</v>
      </c>
      <c r="BR5" s="3">
        <v>2</v>
      </c>
      <c r="BS5" s="519">
        <v>1</v>
      </c>
      <c r="BT5" s="557">
        <v>1</v>
      </c>
      <c r="BU5" s="557">
        <f>SUM(BV6:CG41)</f>
        <v>0</v>
      </c>
      <c r="BV5" s="3">
        <v>12</v>
      </c>
      <c r="BW5" s="3">
        <v>11</v>
      </c>
      <c r="BX5" s="3">
        <v>10</v>
      </c>
      <c r="BY5" s="3">
        <v>9</v>
      </c>
      <c r="BZ5" s="3">
        <v>8</v>
      </c>
      <c r="CA5" s="3">
        <v>7</v>
      </c>
      <c r="CB5" s="3">
        <v>6</v>
      </c>
      <c r="CC5" s="3">
        <v>5</v>
      </c>
      <c r="CD5" s="3">
        <v>4</v>
      </c>
      <c r="CE5" s="3">
        <v>3</v>
      </c>
      <c r="CF5" s="3">
        <v>2</v>
      </c>
      <c r="CG5" s="519">
        <v>1</v>
      </c>
      <c r="CH5" s="557">
        <v>1</v>
      </c>
      <c r="CI5" s="557">
        <f>SUM(CJ6:CU41)</f>
        <v>0</v>
      </c>
      <c r="CJ5" s="3">
        <v>12</v>
      </c>
      <c r="CK5" s="3">
        <v>11</v>
      </c>
      <c r="CL5" s="3">
        <v>10</v>
      </c>
      <c r="CM5" s="3">
        <v>9</v>
      </c>
      <c r="CN5" s="3">
        <v>8</v>
      </c>
      <c r="CO5" s="3">
        <v>7</v>
      </c>
      <c r="CP5" s="3">
        <v>6</v>
      </c>
      <c r="CQ5" s="3">
        <v>5</v>
      </c>
      <c r="CR5" s="3">
        <v>4</v>
      </c>
      <c r="CS5" s="3">
        <v>3</v>
      </c>
      <c r="CT5" s="3">
        <v>2</v>
      </c>
      <c r="CU5" s="519">
        <v>1</v>
      </c>
    </row>
    <row r="6" spans="1:99" x14ac:dyDescent="0.25">
      <c r="A6" s="946"/>
      <c r="B6" s="78" t="s">
        <v>62</v>
      </c>
      <c r="C6" s="25">
        <v>285.22000000000003</v>
      </c>
      <c r="D6" s="26">
        <v>282.62</v>
      </c>
      <c r="E6" s="26">
        <v>280.11</v>
      </c>
      <c r="F6" s="26">
        <v>276.36</v>
      </c>
      <c r="G6" s="26">
        <v>273.38</v>
      </c>
      <c r="H6" s="26">
        <v>267.25</v>
      </c>
      <c r="I6" s="26">
        <v>260.02</v>
      </c>
      <c r="J6" s="26">
        <v>253.59</v>
      </c>
      <c r="K6" s="26">
        <v>247.68</v>
      </c>
      <c r="L6" s="26">
        <v>241.82</v>
      </c>
      <c r="M6" s="26">
        <v>206.65</v>
      </c>
      <c r="N6" s="27">
        <v>108.34</v>
      </c>
      <c r="P6" s="940" t="s">
        <v>39</v>
      </c>
      <c r="Q6" s="13" t="s">
        <v>61</v>
      </c>
      <c r="R6" s="518" t="str">
        <f>IF(AND(_AC1="A-350",'2023'!$D$4="CA",'2023'!$D$2=R5),'2023DATA3'!$C$3,"")</f>
        <v/>
      </c>
      <c r="S6" s="518" t="str">
        <f>IF(AND(_AC1="A-350",'2023'!$D$4="CA",'2023'!$D$2=S5),'2023DATA3'!$D$3,"")</f>
        <v/>
      </c>
      <c r="T6" s="518" t="str">
        <f>IF(AND(_AC1="A-350",'2023'!$D$4="CA",'2023'!$D$2=T5),'2023DATA3'!$E$3,"")</f>
        <v/>
      </c>
      <c r="U6" s="518" t="str">
        <f>IF(AND(_AC1="A-350",'2023'!$D$4="CA",'2023'!$D$2=U5),'2023DATA3'!$F$3,"")</f>
        <v/>
      </c>
      <c r="V6" s="518" t="str">
        <f>IF(AND(_AC1="A-350",'2023'!$D$4="CA",'2023'!$D$2=V5),'2023DATA3'!$G$3,"")</f>
        <v/>
      </c>
      <c r="W6" s="518" t="str">
        <f>IF(AND(_AC1="A-350",'2023'!$D$4="CA",'2023'!$D$2=W5),'2023DATA3'!$H$3,"")</f>
        <v/>
      </c>
      <c r="X6" s="518" t="str">
        <f>IF(AND(_AC1="A-350",'2023'!$D$4="CA",'2023'!$D$2=X5),'2023DATA3'!$I$3,"")</f>
        <v/>
      </c>
      <c r="Y6" s="518" t="str">
        <f>IF(AND(_AC1="A-350",'2023'!$D$4="CA",'2023'!$D$2=Y5),'2023DATA3'!$J$3,"")</f>
        <v/>
      </c>
      <c r="Z6" s="518" t="str">
        <f>IF(AND(_AC1="A-350",'2023'!$D$4="CA",'2023'!$D$2=Z5),'2023DATA3'!$K$3,"")</f>
        <v/>
      </c>
      <c r="AA6" s="518" t="str">
        <f>IF(AND(_AC1="A-350",'2023'!$D$4="CA",'2023'!$D$2=AA5),'2023DATA3'!$L$3,"")</f>
        <v/>
      </c>
      <c r="AB6" s="518" t="str">
        <f>IF(AND(_AC1="A-350",'2023'!$D$4="CA",'2023'!$D$2=AB5),'2023DATA3'!$M$3,"")</f>
        <v/>
      </c>
      <c r="AC6" s="520" t="str">
        <f>IF(AND(_AC1="A-350",'2023'!$D$4="CA",'2023'!$D$2=AC5),'2023DATA3'!$N$3,"")</f>
        <v/>
      </c>
      <c r="AD6" s="940" t="s">
        <v>39</v>
      </c>
      <c r="AE6" s="13" t="s">
        <v>61</v>
      </c>
      <c r="AF6" s="518" t="str">
        <f>IF(AND(_AC2="A-350",'2023'!$D$4="CA",'2023'!$D$2=AF5),'2023DATA3'!$C$3,"")</f>
        <v/>
      </c>
      <c r="AG6" s="518" t="str">
        <f>IF(AND(_AC2="A-350",'2023'!$D$4="CA",'2023'!$D$2=AG5),'2023DATA3'!$D$3,"")</f>
        <v/>
      </c>
      <c r="AH6" s="518" t="str">
        <f>IF(AND(_AC2="A-350",'2023'!$D$4="CA",'2023'!$D$2=AH5),'2023DATA3'!$E$3,"")</f>
        <v/>
      </c>
      <c r="AI6" s="518" t="str">
        <f>IF(AND(_AC2="A-350",'2023'!$D$4="CA",'2023'!$D$2=AI5),'2023DATA3'!$F$3,"")</f>
        <v/>
      </c>
      <c r="AJ6" s="518" t="str">
        <f>IF(AND(_AC2="A-350",'2023'!$D$4="CA",'2023'!$D$2=AJ5),'2023DATA3'!$G$3,"")</f>
        <v/>
      </c>
      <c r="AK6" s="518" t="str">
        <f>IF(AND(_AC2="A-350",'2023'!$D$4="CA",'2023'!$D$2=AK5),'2023DATA3'!$H$3,"")</f>
        <v/>
      </c>
      <c r="AL6" s="518" t="str">
        <f>IF(AND(_AC2="A-350",'2023'!$D$4="CA",'2023'!$D$2=AL5),'2023DATA3'!$I$3,"")</f>
        <v/>
      </c>
      <c r="AM6" s="518" t="str">
        <f>IF(AND(_AC2="A-350",'2023'!$D$4="CA",'2023'!$D$2=AM5),'2023DATA3'!$J$3,"")</f>
        <v/>
      </c>
      <c r="AN6" s="518" t="str">
        <f>IF(AND(_AC2="A-350",'2023'!$D$4="CA",'2023'!$D$2=AN5),'2023DATA3'!$K$3,"")</f>
        <v/>
      </c>
      <c r="AO6" s="518" t="str">
        <f>IF(AND(_AC2="A-350",'2023'!$D$4="CA",'2023'!$D$2=AO5),'2023DATA3'!$L$3,"")</f>
        <v/>
      </c>
      <c r="AP6" s="518" t="str">
        <f>IF(AND(_AC2="A-350",'2023'!$D$4="CA",'2023'!$D$2=AP5),'2023DATA3'!$M$3,"")</f>
        <v/>
      </c>
      <c r="AQ6" s="520" t="str">
        <f>IF(AND(_AC2="A-350",'2023'!$D$4="CA",'2023'!$D$2=AQ5),'2023DATA3'!$N$3,"")</f>
        <v/>
      </c>
      <c r="AR6" s="940" t="s">
        <v>39</v>
      </c>
      <c r="AS6" s="13" t="s">
        <v>61</v>
      </c>
      <c r="AT6" s="518" t="str">
        <f>IF(AND(_AC3="A-350",'2023'!$D$4="CA",'2023'!$D$2=AT5),'2023DATA3'!$C$3,"")</f>
        <v/>
      </c>
      <c r="AU6" s="518" t="str">
        <f>IF(AND(_AC3="A-350",'2023'!$D$4="CA",'2023'!$D$2=AU5),'2023DATA3'!$D$3,"")</f>
        <v/>
      </c>
      <c r="AV6" s="518" t="str">
        <f>IF(AND(_AC3="A-350",'2023'!$D$4="CA",'2023'!$D$2=AV5),'2023DATA3'!$E$3,"")</f>
        <v/>
      </c>
      <c r="AW6" s="518" t="str">
        <f>IF(AND(_AC3="A-350",'2023'!$D$4="CA",'2023'!$D$2=AW5),'2023DATA3'!$F$3,"")</f>
        <v/>
      </c>
      <c r="AX6" s="518" t="str">
        <f>IF(AND(_AC3="A-350",'2023'!$D$4="CA",'2023'!$D$2=AX5),'2023DATA3'!$G$3,"")</f>
        <v/>
      </c>
      <c r="AY6" s="518" t="str">
        <f>IF(AND(_AC3="A-350",'2023'!$D$4="CA",'2023'!$D$2=AY5),'2023DATA3'!$H$3,"")</f>
        <v/>
      </c>
      <c r="AZ6" s="518" t="str">
        <f>IF(AND(_AC3="A-350",'2023'!$D$4="CA",'2023'!$D$2=AZ5),'2023DATA3'!$I$3,"")</f>
        <v/>
      </c>
      <c r="BA6" s="518" t="str">
        <f>IF(AND(_AC3="A-350",'2023'!$D$4="CA",'2023'!$D$2=BA5),'2023DATA3'!$J$3,"")</f>
        <v/>
      </c>
      <c r="BB6" s="518" t="str">
        <f>IF(AND(_AC3="A-350",'2023'!$D$4="CA",'2023'!$D$2=BB5),'2023DATA3'!$K$3,"")</f>
        <v/>
      </c>
      <c r="BC6" s="518" t="str">
        <f>IF(AND(_AC3="A-350",'2023'!$D$4="CA",'2023'!$D$2=BC5),'2023DATA3'!$L$3,"")</f>
        <v/>
      </c>
      <c r="BD6" s="518" t="str">
        <f>IF(AND(_AC3="A-350",'2023'!$D$4="CA",'2023'!$D$2=BD5),'2023DATA3'!$M$3,"")</f>
        <v/>
      </c>
      <c r="BE6" s="520" t="str">
        <f>IF(AND(_AC3="A-350",'2023'!$D$4="CA",'2023'!$D$2=BE5),'2023DATA3'!$N$3,"")</f>
        <v/>
      </c>
      <c r="BF6" s="940" t="s">
        <v>39</v>
      </c>
      <c r="BG6" s="13" t="s">
        <v>61</v>
      </c>
      <c r="BH6" s="518" t="str">
        <f>IF(AND(_AC4="A-350",'2023'!$D$4="CA",'2023'!$D$2=BH5),'2023DATA3'!$C$3,"")</f>
        <v/>
      </c>
      <c r="BI6" s="518" t="str">
        <f>IF(AND(_AC4="A-350",'2023'!$D$4="CA",'2023'!$D$2=BI5),'2023DATA3'!$D$3,"")</f>
        <v/>
      </c>
      <c r="BJ6" s="518" t="str">
        <f>IF(AND(_AC4="A-350",'2023'!$D$4="CA",'2023'!$D$2=BJ5),'2023DATA3'!$E$3,"")</f>
        <v/>
      </c>
      <c r="BK6" s="518" t="str">
        <f>IF(AND(_AC4="A-350",'2023'!$D$4="CA",'2023'!$D$2=BK5),'2023DATA3'!$F$3,"")</f>
        <v/>
      </c>
      <c r="BL6" s="518" t="str">
        <f>IF(AND(_AC4="A-350",'2023'!$D$4="CA",'2023'!$D$2=BL5),'2023DATA3'!$G$3,"")</f>
        <v/>
      </c>
      <c r="BM6" s="518" t="str">
        <f>IF(AND(_AC4="A-350",'2023'!$D$4="CA",'2023'!$D$2=BM5),'2023DATA3'!$H$3,"")</f>
        <v/>
      </c>
      <c r="BN6" s="518" t="str">
        <f>IF(AND(_AC4="A-350",'2023'!$D$4="CA",'2023'!$D$2=BN5),'2023DATA3'!$I$3,"")</f>
        <v/>
      </c>
      <c r="BO6" s="518" t="str">
        <f>IF(AND(_AC4="A-350",'2023'!$D$4="CA",'2023'!$D$2=BO5),'2023DATA3'!$J$3,"")</f>
        <v/>
      </c>
      <c r="BP6" s="518" t="str">
        <f>IF(AND(_AC4="A-350",'2023'!$D$4="CA",'2023'!$D$2=BP5),'2023DATA3'!$K$3,"")</f>
        <v/>
      </c>
      <c r="BQ6" s="518" t="str">
        <f>IF(AND(_AC4="A-350",'2023'!$D$4="CA",'2023'!$D$2=BQ5),'2023DATA3'!$L$3,"")</f>
        <v/>
      </c>
      <c r="BR6" s="518" t="str">
        <f>IF(AND(_AC4="A-350",'2023'!$D$4="CA",'2023'!$D$2=BR5),'2023DATA3'!$M$3,"")</f>
        <v/>
      </c>
      <c r="BS6" s="520" t="str">
        <f>IF(AND(_AC4="A-350",'2023'!$D$4="CA",'2023'!$D$2=BS5),'2023DATA3'!$N$3,"")</f>
        <v/>
      </c>
      <c r="BT6" s="940" t="s">
        <v>39</v>
      </c>
      <c r="BU6" s="13" t="s">
        <v>61</v>
      </c>
      <c r="BV6" s="518" t="str">
        <f>IF(AND(_AC5="A-350",'2023'!$D$4="CA",'2023'!$D$2=BV5),'2023DATA3'!$C$3,"")</f>
        <v/>
      </c>
      <c r="BW6" s="518" t="str">
        <f>IF(AND(_AC5="A-350",'2023'!$D$4="CA",'2023'!$D$2=BW5),'2023DATA3'!$D$3,"")</f>
        <v/>
      </c>
      <c r="BX6" s="518" t="str">
        <f>IF(AND(_AC5="A-350",'2023'!$D$4="CA",'2023'!$D$2=BX5),'2023DATA3'!$E$3,"")</f>
        <v/>
      </c>
      <c r="BY6" s="518" t="str">
        <f>IF(AND(_AC5="A-350",'2023'!$D$4="CA",'2023'!$D$2=BY5),'2023DATA3'!$F$3,"")</f>
        <v/>
      </c>
      <c r="BZ6" s="518" t="str">
        <f>IF(AND(_AC5="A-350",'2023'!$D$4="CA",'2023'!$D$2=BZ5),'2023DATA3'!$G$3,"")</f>
        <v/>
      </c>
      <c r="CA6" s="518" t="str">
        <f>IF(AND(_AC5="A-350",'2023'!$D$4="CA",'2023'!$D$2=CA5),'2023DATA3'!$H$3,"")</f>
        <v/>
      </c>
      <c r="CB6" s="518" t="str">
        <f>IF(AND(_AC5="A-350",'2023'!$D$4="CA",'2023'!$D$2=CB5),'2023DATA3'!$I$3,"")</f>
        <v/>
      </c>
      <c r="CC6" s="518" t="str">
        <f>IF(AND(_AC5="A-350",'2023'!$D$4="CA",'2023'!$D$2=CC5),'2023DATA3'!$J$3,"")</f>
        <v/>
      </c>
      <c r="CD6" s="518" t="str">
        <f>IF(AND(_AC5="A-350",'2023'!$D$4="CA",'2023'!$D$2=CD5),'2023DATA3'!$K$3,"")</f>
        <v/>
      </c>
      <c r="CE6" s="518" t="str">
        <f>IF(AND(_AC5="A-350",'2023'!$D$4="CA",'2023'!$D$2=CE5),'2023DATA3'!$L$3,"")</f>
        <v/>
      </c>
      <c r="CF6" s="518" t="str">
        <f>IF(AND(_AC5="A-350",'2023'!$D$4="CA",'2023'!$D$2=CF5),'2023DATA3'!$M$3,"")</f>
        <v/>
      </c>
      <c r="CG6" s="520" t="str">
        <f>IF(AND(_AC5="A-350",'2023'!$D$4="CA",'2023'!$D$2=CG5),'2023DATA3'!$N$3,"")</f>
        <v/>
      </c>
      <c r="CH6" s="940" t="s">
        <v>39</v>
      </c>
      <c r="CI6" s="13" t="s">
        <v>61</v>
      </c>
      <c r="CJ6" s="518" t="str">
        <f>IF(AND(_AC6="A-350",'2023'!$D$4="CA",'2023'!$D$2=CJ5),'2023DATA3'!$C$3,"")</f>
        <v/>
      </c>
      <c r="CK6" s="518" t="str">
        <f>IF(AND(_AC6="A-350",'2023'!$D$4="CA",'2023'!$D$2=CK5),'2023DATA3'!$D$3,"")</f>
        <v/>
      </c>
      <c r="CL6" s="518" t="str">
        <f>IF(AND(_AC6="A-350",'2023'!$D$4="CA",'2023'!$D$2=CL5),'2023DATA3'!$E$3,"")</f>
        <v/>
      </c>
      <c r="CM6" s="518" t="str">
        <f>IF(AND(_AC6="A-350",'2023'!$D$4="CA",'2023'!$D$2=CM5),'2023DATA3'!$F$3,"")</f>
        <v/>
      </c>
      <c r="CN6" s="518" t="str">
        <f>IF(AND(_AC6="A-350",'2023'!$D$4="CA",'2023'!$D$2=CN5),'2023DATA3'!$G$3,"")</f>
        <v/>
      </c>
      <c r="CO6" s="518" t="str">
        <f>IF(AND(_AC6="A-350",'2023'!$D$4="CA",'2023'!$D$2=CO5),'2023DATA3'!$H$3,"")</f>
        <v/>
      </c>
      <c r="CP6" s="518" t="str">
        <f>IF(AND(_AC6="A-350",'2023'!$D$4="CA",'2023'!$D$2=CP5),'2023DATA3'!$I$3,"")</f>
        <v/>
      </c>
      <c r="CQ6" s="518" t="str">
        <f>IF(AND(_AC6="A-350",'2023'!$D$4="CA",'2023'!$D$2=CQ5),'2023DATA3'!$J$3,"")</f>
        <v/>
      </c>
      <c r="CR6" s="518" t="str">
        <f>IF(AND(_AC6="A-350",'2023'!$D$4="CA",'2023'!$D$2=CR5),'2023DATA3'!$K$3,"")</f>
        <v/>
      </c>
      <c r="CS6" s="518" t="str">
        <f>IF(AND(_AC6="A-350",'2023'!$D$4="CA",'2023'!$D$2=CS5),'2023DATA3'!$L$3,"")</f>
        <v/>
      </c>
      <c r="CT6" s="518" t="str">
        <f>IF(AND(_AC6="A-350",'2023'!$D$4="CA",'2023'!$D$2=CT5),'2023DATA3'!$M$3,"")</f>
        <v/>
      </c>
      <c r="CU6" s="520" t="str">
        <f>IF(AND(_AC6="A-350",'2023'!$D$4="CA",'2023'!$D$2=CU5),'2023DATA3'!$N$3,"")</f>
        <v/>
      </c>
    </row>
    <row r="7" spans="1:99" x14ac:dyDescent="0.25">
      <c r="A7" s="946" t="s">
        <v>64</v>
      </c>
      <c r="B7" s="78" t="s">
        <v>61</v>
      </c>
      <c r="C7" s="25">
        <v>417.54</v>
      </c>
      <c r="D7" s="26">
        <v>414.4</v>
      </c>
      <c r="E7" s="26">
        <v>411.28</v>
      </c>
      <c r="F7" s="26">
        <v>408.16</v>
      </c>
      <c r="G7" s="26">
        <v>405.02</v>
      </c>
      <c r="H7" s="26">
        <v>401.92</v>
      </c>
      <c r="I7" s="26">
        <v>398.78</v>
      </c>
      <c r="J7" s="26">
        <v>395.68</v>
      </c>
      <c r="K7" s="26">
        <v>392.52</v>
      </c>
      <c r="L7" s="26">
        <v>389.39</v>
      </c>
      <c r="M7" s="26">
        <v>386.23</v>
      </c>
      <c r="N7" s="27">
        <v>383.12</v>
      </c>
      <c r="P7" s="940"/>
      <c r="Q7" s="13" t="s">
        <v>62</v>
      </c>
      <c r="R7" s="518" t="str">
        <f>IF(AND(_AC1="A-350",'2023'!$D$4="FO",'2023'!$D$2=R5),'2023DATA3'!$C$4,"")</f>
        <v/>
      </c>
      <c r="S7" s="518" t="str">
        <f>IF(AND(_AC1="A-350",'2023'!$D$4="FO",'2023'!$D$2=S5),'2023DATA3'!$D$4,"")</f>
        <v/>
      </c>
      <c r="T7" s="518" t="str">
        <f>IF(AND(_AC1="A-350",'2023'!$D$4="FO",'2023'!$D$2=T5),'2023DATA3'!$E$4,"")</f>
        <v/>
      </c>
      <c r="U7" s="518" t="str">
        <f>IF(AND(_AC1="A-350",'2023'!$D$4="FO",'2023'!$D$2=U5),'2023DATA3'!$F$4,"")</f>
        <v/>
      </c>
      <c r="V7" s="518" t="str">
        <f>IF(AND(_AC1="A-350",'2023'!$D$4="FO",'2023'!$D$2=V5),'2023DATA3'!$G$4,"")</f>
        <v/>
      </c>
      <c r="W7" s="518" t="str">
        <f>IF(AND(_AC1="A-350",'2023'!$D$4="FO",'2023'!$D$2=W5),'2023DATA3'!$H$4,"")</f>
        <v/>
      </c>
      <c r="X7" s="518" t="str">
        <f>IF(AND(_AC1="A-350",'2023'!$D$4="FO",'2023'!$D$2=X5),'2023DATA3'!$I$4,"")</f>
        <v/>
      </c>
      <c r="Y7" s="518" t="str">
        <f>IF(AND(_AC1="A-350",'2023'!$D$4="FO",'2023'!$D$2=Y5),'2023DATA3'!$J$4,"")</f>
        <v/>
      </c>
      <c r="Z7" s="518" t="str">
        <f>IF(AND(_AC1="A-350",'2023'!$D$4="FO",'2023'!$D$2=Z5),'2023DATA3'!$K$4,"")</f>
        <v/>
      </c>
      <c r="AA7" s="518" t="str">
        <f>IF(AND(_AC1="A-350",'2023'!$D$4="FO",'2023'!$D$2=AA5),'2023DATA3'!$L$4,"")</f>
        <v/>
      </c>
      <c r="AB7" s="518" t="str">
        <f>IF(AND(_AC1="A-350",'2023'!$D$4="FO",'2023'!$D$2=AB5),'2023DATA3'!$M$4,"")</f>
        <v/>
      </c>
      <c r="AC7" s="520" t="str">
        <f>IF(AND(_AC1="A-350",'2023'!$D$4="FO",'2023'!$D$2=AC5),'2023DATA3'!$N$4,"")</f>
        <v/>
      </c>
      <c r="AD7" s="940"/>
      <c r="AE7" s="13" t="s">
        <v>62</v>
      </c>
      <c r="AF7" s="518" t="str">
        <f>IF(AND(_AC2="A-350",'2023'!$D$4="FO",'2023'!$D$2=AF5),'2023DATA3'!$C$4,"")</f>
        <v/>
      </c>
      <c r="AG7" s="518" t="str">
        <f>IF(AND(_AC2="A-350",'2023'!$D$4="FO",'2023'!$D$2=AG5),'2023DATA3'!$D$4,"")</f>
        <v/>
      </c>
      <c r="AH7" s="518" t="str">
        <f>IF(AND(_AC2="A-350",'2023'!$D$4="FO",'2023'!$D$2=AH5),'2023DATA3'!$E$4,"")</f>
        <v/>
      </c>
      <c r="AI7" s="518" t="str">
        <f>IF(AND(_AC2="A-350",'2023'!$D$4="FO",'2023'!$D$2=AI5),'2023DATA3'!$F$4,"")</f>
        <v/>
      </c>
      <c r="AJ7" s="518" t="str">
        <f>IF(AND(_AC2="A-350",'2023'!$D$4="FO",'2023'!$D$2=AJ5),'2023DATA3'!$G$4,"")</f>
        <v/>
      </c>
      <c r="AK7" s="518" t="str">
        <f>IF(AND(_AC2="A-350",'2023'!$D$4="FO",'2023'!$D$2=AK5),'2023DATA3'!$H$4,"")</f>
        <v/>
      </c>
      <c r="AL7" s="518" t="str">
        <f>IF(AND(_AC2="A-350",'2023'!$D$4="FO",'2023'!$D$2=AL5),'2023DATA3'!$I$4,"")</f>
        <v/>
      </c>
      <c r="AM7" s="518" t="str">
        <f>IF(AND(_AC2="A-350",'2023'!$D$4="FO",'2023'!$D$2=AM5),'2023DATA3'!$J$4,"")</f>
        <v/>
      </c>
      <c r="AN7" s="518" t="str">
        <f>IF(AND(_AC2="A-350",'2023'!$D$4="FO",'2023'!$D$2=AN5),'2023DATA3'!$K$4,"")</f>
        <v/>
      </c>
      <c r="AO7" s="518" t="str">
        <f>IF(AND(_AC2="A-350",'2023'!$D$4="FO",'2023'!$D$2=AO5),'2023DATA3'!$L$4,"")</f>
        <v/>
      </c>
      <c r="AP7" s="518" t="str">
        <f>IF(AND(_AC2="A-350",'2023'!$D$4="FO",'2023'!$D$2=AP5),'2023DATA3'!$M$4,"")</f>
        <v/>
      </c>
      <c r="AQ7" s="520" t="str">
        <f>IF(AND(_AC2="A-350",'2023'!$D$4="FO",'2023'!$D$2=AQ5),'2023DATA3'!$N$4,"")</f>
        <v/>
      </c>
      <c r="AR7" s="940"/>
      <c r="AS7" s="13" t="s">
        <v>62</v>
      </c>
      <c r="AT7" s="518" t="str">
        <f>IF(AND(_AC3="A-350",'2023'!$D$4="FO",'2023'!$D$2=AT5),'2023DATA3'!$C$4,"")</f>
        <v/>
      </c>
      <c r="AU7" s="518" t="str">
        <f>IF(AND(_AC3="A-350",'2023'!$D$4="FO",'2023'!$D$2=AU5),'2023DATA3'!$D$4,"")</f>
        <v/>
      </c>
      <c r="AV7" s="518" t="str">
        <f>IF(AND(_AC3="A-350",'2023'!$D$4="FO",'2023'!$D$2=AV5),'2023DATA3'!$E$4,"")</f>
        <v/>
      </c>
      <c r="AW7" s="518" t="str">
        <f>IF(AND(_AC3="A-350",'2023'!$D$4="FO",'2023'!$D$2=AW5),'2023DATA3'!$F$4,"")</f>
        <v/>
      </c>
      <c r="AX7" s="518" t="str">
        <f>IF(AND(_AC3="A-350",'2023'!$D$4="FO",'2023'!$D$2=AX5),'2023DATA3'!$G$4,"")</f>
        <v/>
      </c>
      <c r="AY7" s="518" t="str">
        <f>IF(AND(_AC3="A-350",'2023'!$D$4="FO",'2023'!$D$2=AY5),'2023DATA3'!$H$4,"")</f>
        <v/>
      </c>
      <c r="AZ7" s="518" t="str">
        <f>IF(AND(_AC3="A-350",'2023'!$D$4="FO",'2023'!$D$2=AZ5),'2023DATA3'!$I$4,"")</f>
        <v/>
      </c>
      <c r="BA7" s="518" t="str">
        <f>IF(AND(_AC3="A-350",'2023'!$D$4="FO",'2023'!$D$2=BA5),'2023DATA3'!$J$4,"")</f>
        <v/>
      </c>
      <c r="BB7" s="518" t="str">
        <f>IF(AND(_AC3="A-350",'2023'!$D$4="FO",'2023'!$D$2=BB5),'2023DATA3'!$K$4,"")</f>
        <v/>
      </c>
      <c r="BC7" s="518" t="str">
        <f>IF(AND(_AC3="A-350",'2023'!$D$4="FO",'2023'!$D$2=BC5),'2023DATA3'!$L$4,"")</f>
        <v/>
      </c>
      <c r="BD7" s="518" t="str">
        <f>IF(AND(_AC3="A-350",'2023'!$D$4="FO",'2023'!$D$2=BD5),'2023DATA3'!$M$4,"")</f>
        <v/>
      </c>
      <c r="BE7" s="520" t="str">
        <f>IF(AND(_AC3="A-350",'2023'!$D$4="FO",'2023'!$D$2=BE5),'2023DATA3'!$N$4,"")</f>
        <v/>
      </c>
      <c r="BF7" s="940"/>
      <c r="BG7" s="13" t="s">
        <v>62</v>
      </c>
      <c r="BH7" s="518" t="str">
        <f>IF(AND(_AC4="A-350",'2023'!$D$4="FO",'2023'!$D$2=BH5),'2023DATA3'!$C$4,"")</f>
        <v/>
      </c>
      <c r="BI7" s="518" t="str">
        <f>IF(AND(_AC4="A-350",'2023'!$D$4="FO",'2023'!$D$2=BI5),'2023DATA3'!$D$4,"")</f>
        <v/>
      </c>
      <c r="BJ7" s="518" t="str">
        <f>IF(AND(_AC4="A-350",'2023'!$D$4="FO",'2023'!$D$2=BJ5),'2023DATA3'!$E$4,"")</f>
        <v/>
      </c>
      <c r="BK7" s="518" t="str">
        <f>IF(AND(_AC4="A-350",'2023'!$D$4="FO",'2023'!$D$2=BK5),'2023DATA3'!$F$4,"")</f>
        <v/>
      </c>
      <c r="BL7" s="518" t="str">
        <f>IF(AND(_AC4="A-350",'2023'!$D$4="FO",'2023'!$D$2=BL5),'2023DATA3'!$G$4,"")</f>
        <v/>
      </c>
      <c r="BM7" s="518" t="str">
        <f>IF(AND(_AC4="A-350",'2023'!$D$4="FO",'2023'!$D$2=BM5),'2023DATA3'!$H$4,"")</f>
        <v/>
      </c>
      <c r="BN7" s="518" t="str">
        <f>IF(AND(_AC4="A-350",'2023'!$D$4="FO",'2023'!$D$2=BN5),'2023DATA3'!$I$4,"")</f>
        <v/>
      </c>
      <c r="BO7" s="518" t="str">
        <f>IF(AND(_AC4="A-350",'2023'!$D$4="FO",'2023'!$D$2=BO5),'2023DATA3'!$J$4,"")</f>
        <v/>
      </c>
      <c r="BP7" s="518" t="str">
        <f>IF(AND(_AC4="A-350",'2023'!$D$4="FO",'2023'!$D$2=BP5),'2023DATA3'!$K$4,"")</f>
        <v/>
      </c>
      <c r="BQ7" s="518" t="str">
        <f>IF(AND(_AC4="A-350",'2023'!$D$4="FO",'2023'!$D$2=BQ5),'2023DATA3'!$L$4,"")</f>
        <v/>
      </c>
      <c r="BR7" s="518" t="str">
        <f>IF(AND(_AC4="A-350",'2023'!$D$4="FO",'2023'!$D$2=BR5),'2023DATA3'!$M$4,"")</f>
        <v/>
      </c>
      <c r="BS7" s="520" t="str">
        <f>IF(AND(_AC4="A-350",'2023'!$D$4="FO",'2023'!$D$2=BS5),'2023DATA3'!$N$4,"")</f>
        <v/>
      </c>
      <c r="BT7" s="940"/>
      <c r="BU7" s="13" t="s">
        <v>62</v>
      </c>
      <c r="BV7" s="518" t="str">
        <f>IF(AND(_AC5="A-350",'2023'!$D$4="FO",'2023'!$D$2=BV5),'2023DATA3'!$C$4,"")</f>
        <v/>
      </c>
      <c r="BW7" s="518" t="str">
        <f>IF(AND(_AC5="A-350",'2023'!$D$4="FO",'2023'!$D$2=BW5),'2023DATA3'!$D$4,"")</f>
        <v/>
      </c>
      <c r="BX7" s="518" t="str">
        <f>IF(AND(_AC5="A-350",'2023'!$D$4="FO",'2023'!$D$2=BX5),'2023DATA3'!$E$4,"")</f>
        <v/>
      </c>
      <c r="BY7" s="518" t="str">
        <f>IF(AND(_AC5="A-350",'2023'!$D$4="FO",'2023'!$D$2=BY5),'2023DATA3'!$F$4,"")</f>
        <v/>
      </c>
      <c r="BZ7" s="518" t="str">
        <f>IF(AND(_AC5="A-350",'2023'!$D$4="FO",'2023'!$D$2=BZ5),'2023DATA3'!$G$4,"")</f>
        <v/>
      </c>
      <c r="CA7" s="518" t="str">
        <f>IF(AND(_AC5="A-350",'2023'!$D$4="FO",'2023'!$D$2=CA5),'2023DATA3'!$H$4,"")</f>
        <v/>
      </c>
      <c r="CB7" s="518" t="str">
        <f>IF(AND(_AC5="A-350",'2023'!$D$4="FO",'2023'!$D$2=CB5),'2023DATA3'!$I$4,"")</f>
        <v/>
      </c>
      <c r="CC7" s="518" t="str">
        <f>IF(AND(_AC5="A-350",'2023'!$D$4="FO",'2023'!$D$2=CC5),'2023DATA3'!$J$4,"")</f>
        <v/>
      </c>
      <c r="CD7" s="518" t="str">
        <f>IF(AND(_AC5="A-350",'2023'!$D$4="FO",'2023'!$D$2=CD5),'2023DATA3'!$K$4,"")</f>
        <v/>
      </c>
      <c r="CE7" s="518" t="str">
        <f>IF(AND(_AC5="A-350",'2023'!$D$4="FO",'2023'!$D$2=CE5),'2023DATA3'!$L$4,"")</f>
        <v/>
      </c>
      <c r="CF7" s="518" t="str">
        <f>IF(AND(_AC5="A-350",'2023'!$D$4="FO",'2023'!$D$2=CF5),'2023DATA3'!$M$4,"")</f>
        <v/>
      </c>
      <c r="CG7" s="520" t="str">
        <f>IF(AND(_AC5="A-350",'2023'!$D$4="FO",'2023'!$D$2=CG5),'2023DATA3'!$N$4,"")</f>
        <v/>
      </c>
      <c r="CH7" s="940"/>
      <c r="CI7" s="13" t="s">
        <v>62</v>
      </c>
      <c r="CJ7" s="518" t="str">
        <f>IF(AND(_AC6="A-350",'2023'!$D$4="FO",'2023'!$D$2=CJ5),'2023DATA3'!$C$4,"")</f>
        <v/>
      </c>
      <c r="CK7" s="518" t="str">
        <f>IF(AND(_AC6="A-350",'2023'!$D$4="FO",'2023'!$D$2=CK5),'2023DATA3'!$D$4,"")</f>
        <v/>
      </c>
      <c r="CL7" s="518" t="str">
        <f>IF(AND(_AC6="A-350",'2023'!$D$4="FO",'2023'!$D$2=CL5),'2023DATA3'!$E$4,"")</f>
        <v/>
      </c>
      <c r="CM7" s="518" t="str">
        <f>IF(AND(_AC6="A-350",'2023'!$D$4="FO",'2023'!$D$2=CM5),'2023DATA3'!$F$4,"")</f>
        <v/>
      </c>
      <c r="CN7" s="518" t="str">
        <f>IF(AND(_AC6="A-350",'2023'!$D$4="FO",'2023'!$D$2=CN5),'2023DATA3'!$G$4,"")</f>
        <v/>
      </c>
      <c r="CO7" s="518" t="str">
        <f>IF(AND(_AC6="A-350",'2023'!$D$4="FO",'2023'!$D$2=CO5),'2023DATA3'!$H$4,"")</f>
        <v/>
      </c>
      <c r="CP7" s="518" t="str">
        <f>IF(AND(_AC6="A-350",'2023'!$D$4="FO",'2023'!$D$2=CP5),'2023DATA3'!$I$4,"")</f>
        <v/>
      </c>
      <c r="CQ7" s="518" t="str">
        <f>IF(AND(_AC6="A-350",'2023'!$D$4="FO",'2023'!$D$2=CQ5),'2023DATA3'!$J$4,"")</f>
        <v/>
      </c>
      <c r="CR7" s="518" t="str">
        <f>IF(AND(_AC6="A-350",'2023'!$D$4="FO",'2023'!$D$2=CR5),'2023DATA3'!$K$4,"")</f>
        <v/>
      </c>
      <c r="CS7" s="518" t="str">
        <f>IF(AND(_AC6="A-350",'2023'!$D$4="FO",'2023'!$D$2=CS5),'2023DATA3'!$L$4,"")</f>
        <v/>
      </c>
      <c r="CT7" s="518" t="str">
        <f>IF(AND(_AC6="A-350",'2023'!$D$4="FO",'2023'!$D$2=CT5),'2023DATA3'!$M$4,"")</f>
        <v/>
      </c>
      <c r="CU7" s="520" t="str">
        <f>IF(AND(_AC6="A-350",'2023'!$D$4="FO",'2023'!$D$2=CU5),'2023DATA3'!$N$4,"")</f>
        <v/>
      </c>
    </row>
    <row r="8" spans="1:99" x14ac:dyDescent="0.25">
      <c r="A8" s="946"/>
      <c r="B8" s="78" t="s">
        <v>62</v>
      </c>
      <c r="C8" s="25">
        <v>285.22000000000003</v>
      </c>
      <c r="D8" s="26">
        <v>282.62</v>
      </c>
      <c r="E8" s="26">
        <v>280.11</v>
      </c>
      <c r="F8" s="26">
        <v>276.36</v>
      </c>
      <c r="G8" s="26">
        <v>273.38</v>
      </c>
      <c r="H8" s="26">
        <v>267.25</v>
      </c>
      <c r="I8" s="26">
        <v>260.02</v>
      </c>
      <c r="J8" s="26">
        <v>253.59</v>
      </c>
      <c r="K8" s="26">
        <v>247.68</v>
      </c>
      <c r="L8" s="26">
        <v>241.82</v>
      </c>
      <c r="M8" s="26">
        <v>206.65</v>
      </c>
      <c r="N8" s="27">
        <v>108.34</v>
      </c>
      <c r="P8" s="940" t="s">
        <v>65</v>
      </c>
      <c r="Q8" s="13" t="s">
        <v>61</v>
      </c>
      <c r="R8" s="518" t="str">
        <f>IF(AND(_AC1="A-330-900",'2023'!$D$4="CA",'2023'!$D$2=R5),'2023DATA3'!$C$5,"")</f>
        <v/>
      </c>
      <c r="S8" s="518" t="str">
        <f>IF(AND(_AC1="A-330-900",'2023'!$D$4="CA",'2023'!$D$2=S5),'2023DATA3'!$D$5,"")</f>
        <v/>
      </c>
      <c r="T8" s="518" t="str">
        <f>IF(AND(_AC1="A-330-900",'2023'!$D$4="CA",'2023'!$D$2=T5),'2023DATA3'!$E$5,"")</f>
        <v/>
      </c>
      <c r="U8" s="518" t="str">
        <f>IF(AND(_AC1="A-330-900",'2023'!$D$4="CA",'2023'!$D$2=U5),'2023DATA3'!$F$5,"")</f>
        <v/>
      </c>
      <c r="V8" s="518" t="str">
        <f>IF(AND(_AC1="A-330-900",'2023'!$D$4="CA",'2023'!$D$2=V5),'2023DATA3'!$G$5,"")</f>
        <v/>
      </c>
      <c r="W8" s="518" t="str">
        <f>IF(AND(_AC1="A-330-900",'2023'!$D$4="CA",'2023'!$D$2=W5),'2023DATA3'!$H$5,"")</f>
        <v/>
      </c>
      <c r="X8" s="518" t="str">
        <f>IF(AND(_AC1="A-330-900",'2023'!$D$4="CA",'2023'!$D$2=X5),'2023DATA3'!$I$5,"")</f>
        <v/>
      </c>
      <c r="Y8" s="518" t="str">
        <f>IF(AND(_AC1="A-330-900",'2023'!$D$4="CA",'2023'!$D$2=Y5),'2023DATA3'!$J$5,"")</f>
        <v/>
      </c>
      <c r="Z8" s="518" t="str">
        <f>IF(AND(_AC1="A-330-900",'2023'!$D$4="CA",'2023'!$D$2=Z5),'2023DATA3'!$K$5,"")</f>
        <v/>
      </c>
      <c r="AA8" s="518" t="str">
        <f>IF(AND(_AC1="A-330-900",'2023'!$D$4="CA",'2023'!$D$2=AA5),'2023DATA3'!$L$5,"")</f>
        <v/>
      </c>
      <c r="AB8" s="518" t="str">
        <f>IF(AND(_AC1="A-330-900",'2023'!$D$4="CA",'2023'!$D$2=AB5),'2023DATA3'!$M$5,"")</f>
        <v/>
      </c>
      <c r="AC8" s="520" t="str">
        <f>IF(AND(_AC1="A-330-900",'2023'!$D$4="CA",'2023'!$D$2=AC5),'2023DATA3'!$N$5,"")</f>
        <v/>
      </c>
      <c r="AD8" s="940" t="s">
        <v>65</v>
      </c>
      <c r="AE8" s="13" t="s">
        <v>61</v>
      </c>
      <c r="AF8" s="518" t="str">
        <f>IF(AND(_AC2="A-330-900",'2023'!$D$4="CA",'2023'!$D$2=AF5),'2023DATA3'!$C$5,"")</f>
        <v/>
      </c>
      <c r="AG8" s="518" t="str">
        <f>IF(AND(_AC2="A-330-900",'2023'!$D$4="CA",'2023'!$D$2=AG5),'2023DATA3'!$D$5,"")</f>
        <v/>
      </c>
      <c r="AH8" s="518" t="str">
        <f>IF(AND(_AC2="A-330-900",'2023'!$D$4="CA",'2023'!$D$2=AH5),'2023DATA3'!$E$5,"")</f>
        <v/>
      </c>
      <c r="AI8" s="518" t="str">
        <f>IF(AND(_AC2="A-330-900",'2023'!$D$4="CA",'2023'!$D$2=AI5),'2023DATA3'!$F$5,"")</f>
        <v/>
      </c>
      <c r="AJ8" s="518" t="str">
        <f>IF(AND(_AC2="A-330-900",'2023'!$D$4="CA",'2023'!$D$2=AJ5),'2023DATA3'!$G$5,"")</f>
        <v/>
      </c>
      <c r="AK8" s="518" t="str">
        <f>IF(AND(_AC2="A-330-900",'2023'!$D$4="CA",'2023'!$D$2=AK5),'2023DATA3'!$H$5,"")</f>
        <v/>
      </c>
      <c r="AL8" s="518" t="str">
        <f>IF(AND(_AC2="A-330-900",'2023'!$D$4="CA",'2023'!$D$2=AL5),'2023DATA3'!$I$5,"")</f>
        <v/>
      </c>
      <c r="AM8" s="518" t="str">
        <f>IF(AND(_AC2="A-330-900",'2023'!$D$4="CA",'2023'!$D$2=AM5),'2023DATA3'!$J$5,"")</f>
        <v/>
      </c>
      <c r="AN8" s="518" t="str">
        <f>IF(AND(_AC2="A-330-900",'2023'!$D$4="CA",'2023'!$D$2=AN5),'2023DATA3'!$K$5,"")</f>
        <v/>
      </c>
      <c r="AO8" s="518" t="str">
        <f>IF(AND(_AC2="A-330-900",'2023'!$D$4="CA",'2023'!$D$2=AO5),'2023DATA3'!$L$5,"")</f>
        <v/>
      </c>
      <c r="AP8" s="518" t="str">
        <f>IF(AND(_AC2="A-330-900",'2023'!$D$4="CA",'2023'!$D$2=AP5),'2023DATA3'!$M$5,"")</f>
        <v/>
      </c>
      <c r="AQ8" s="520" t="str">
        <f>IF(AND(_AC2="A-330-900",'2023'!$D$4="CA",'2023'!$D$2=AQ5),'2023DATA3'!$N$5,"")</f>
        <v/>
      </c>
      <c r="AR8" s="940" t="s">
        <v>65</v>
      </c>
      <c r="AS8" s="13" t="s">
        <v>61</v>
      </c>
      <c r="AT8" s="518" t="str">
        <f>IF(AND(_AC3="A-330-900",'2023'!$D$4="CA",'2023'!$D$2=AT5),'2023DATA3'!$C$5,"")</f>
        <v/>
      </c>
      <c r="AU8" s="518" t="str">
        <f>IF(AND(_AC3="A-330-900",'2023'!$D$4="CA",'2023'!$D$2=AU5),'2023DATA3'!$D$5,"")</f>
        <v/>
      </c>
      <c r="AV8" s="518" t="str">
        <f>IF(AND(_AC3="A-330-900",'2023'!$D$4="CA",'2023'!$D$2=AV5),'2023DATA3'!$E$5,"")</f>
        <v/>
      </c>
      <c r="AW8" s="518" t="str">
        <f>IF(AND(_AC3="A-330-900",'2023'!$D$4="CA",'2023'!$D$2=AW5),'2023DATA3'!$F$5,"")</f>
        <v/>
      </c>
      <c r="AX8" s="518" t="str">
        <f>IF(AND(_AC3="A-330-900",'2023'!$D$4="CA",'2023'!$D$2=AX5),'2023DATA3'!$G$5,"")</f>
        <v/>
      </c>
      <c r="AY8" s="518" t="str">
        <f>IF(AND(_AC3="A-330-900",'2023'!$D$4="CA",'2023'!$D$2=AY5),'2023DATA3'!$H$5,"")</f>
        <v/>
      </c>
      <c r="AZ8" s="518" t="str">
        <f>IF(AND(_AC3="A-330-900",'2023'!$D$4="CA",'2023'!$D$2=AZ5),'2023DATA3'!$I$5,"")</f>
        <v/>
      </c>
      <c r="BA8" s="518" t="str">
        <f>IF(AND(_AC3="A-330-900",'2023'!$D$4="CA",'2023'!$D$2=BA5),'2023DATA3'!$J$5,"")</f>
        <v/>
      </c>
      <c r="BB8" s="518" t="str">
        <f>IF(AND(_AC3="A-330-900",'2023'!$D$4="CA",'2023'!$D$2=BB5),'2023DATA3'!$K$5,"")</f>
        <v/>
      </c>
      <c r="BC8" s="518" t="str">
        <f>IF(AND(_AC3="A-330-900",'2023'!$D$4="CA",'2023'!$D$2=BC5),'2023DATA3'!$L$5,"")</f>
        <v/>
      </c>
      <c r="BD8" s="518" t="str">
        <f>IF(AND(_AC3="A-330-900",'2023'!$D$4="CA",'2023'!$D$2=BD5),'2023DATA3'!$M$5,"")</f>
        <v/>
      </c>
      <c r="BE8" s="520" t="str">
        <f>IF(AND(_AC3="A-330-900",'2023'!$D$4="CA",'2023'!$D$2=BE5),'2023DATA3'!$N$5,"")</f>
        <v/>
      </c>
      <c r="BF8" s="940" t="s">
        <v>65</v>
      </c>
      <c r="BG8" s="13" t="s">
        <v>61</v>
      </c>
      <c r="BH8" s="518" t="str">
        <f>IF(AND(_AC4="A-330-900",'2023'!$D$4="CA",'2023'!$D$2=BH5),'2023DATA3'!$C$5,"")</f>
        <v/>
      </c>
      <c r="BI8" s="518" t="str">
        <f>IF(AND(_AC4="A-330-900",'2023'!$D$4="CA",'2023'!$D$2=BI5),'2023DATA3'!$D$5,"")</f>
        <v/>
      </c>
      <c r="BJ8" s="518" t="str">
        <f>IF(AND(_AC4="A-330-900",'2023'!$D$4="CA",'2023'!$D$2=BJ5),'2023DATA3'!$E$5,"")</f>
        <v/>
      </c>
      <c r="BK8" s="518" t="str">
        <f>IF(AND(_AC4="A-330-900",'2023'!$D$4="CA",'2023'!$D$2=BK5),'2023DATA3'!$F$5,"")</f>
        <v/>
      </c>
      <c r="BL8" s="518" t="str">
        <f>IF(AND(_AC4="A-330-900",'2023'!$D$4="CA",'2023'!$D$2=BL5),'2023DATA3'!$G$5,"")</f>
        <v/>
      </c>
      <c r="BM8" s="518" t="str">
        <f>IF(AND(_AC4="A-330-900",'2023'!$D$4="CA",'2023'!$D$2=BM5),'2023DATA3'!$H$5,"")</f>
        <v/>
      </c>
      <c r="BN8" s="518" t="str">
        <f>IF(AND(_AC4="A-330-900",'2023'!$D$4="CA",'2023'!$D$2=BN5),'2023DATA3'!$I$5,"")</f>
        <v/>
      </c>
      <c r="BO8" s="518" t="str">
        <f>IF(AND(_AC4="A-330-900",'2023'!$D$4="CA",'2023'!$D$2=BO5),'2023DATA3'!$J$5,"")</f>
        <v/>
      </c>
      <c r="BP8" s="518" t="str">
        <f>IF(AND(_AC4="A-330-900",'2023'!$D$4="CA",'2023'!$D$2=BP5),'2023DATA3'!$K$5,"")</f>
        <v/>
      </c>
      <c r="BQ8" s="518" t="str">
        <f>IF(AND(_AC4="A-330-900",'2023'!$D$4="CA",'2023'!$D$2=BQ5),'2023DATA3'!$L$5,"")</f>
        <v/>
      </c>
      <c r="BR8" s="518" t="str">
        <f>IF(AND(_AC4="A-330-900",'2023'!$D$4="CA",'2023'!$D$2=BR5),'2023DATA3'!$M$5,"")</f>
        <v/>
      </c>
      <c r="BS8" s="520" t="str">
        <f>IF(AND(_AC4="A-330-900",'2023'!$D$4="CA",'2023'!$D$2=BS5),'2023DATA3'!$N$5,"")</f>
        <v/>
      </c>
      <c r="BT8" s="940" t="s">
        <v>65</v>
      </c>
      <c r="BU8" s="13" t="s">
        <v>61</v>
      </c>
      <c r="BV8" s="518" t="str">
        <f>IF(AND(_AC5="A-330-900",'2023'!$D$4="CA",'2023'!$D$2=BV5),'2023DATA3'!$C$5,"")</f>
        <v/>
      </c>
      <c r="BW8" s="518" t="str">
        <f>IF(AND(_AC5="A-330-900",'2023'!$D$4="CA",'2023'!$D$2=BW5),'2023DATA3'!$D$5,"")</f>
        <v/>
      </c>
      <c r="BX8" s="518" t="str">
        <f>IF(AND(_AC5="A-330-900",'2023'!$D$4="CA",'2023'!$D$2=BX5),'2023DATA3'!$E$5,"")</f>
        <v/>
      </c>
      <c r="BY8" s="518" t="str">
        <f>IF(AND(_AC5="A-330-900",'2023'!$D$4="CA",'2023'!$D$2=BY5),'2023DATA3'!$F$5,"")</f>
        <v/>
      </c>
      <c r="BZ8" s="518" t="str">
        <f>IF(AND(_AC5="A-330-900",'2023'!$D$4="CA",'2023'!$D$2=BZ5),'2023DATA3'!$G$5,"")</f>
        <v/>
      </c>
      <c r="CA8" s="518" t="str">
        <f>IF(AND(_AC5="A-330-900",'2023'!$D$4="CA",'2023'!$D$2=CA5),'2023DATA3'!$H$5,"")</f>
        <v/>
      </c>
      <c r="CB8" s="518" t="str">
        <f>IF(AND(_AC5="A-330-900",'2023'!$D$4="CA",'2023'!$D$2=CB5),'2023DATA3'!$I$5,"")</f>
        <v/>
      </c>
      <c r="CC8" s="518" t="str">
        <f>IF(AND(_AC5="A-330-900",'2023'!$D$4="CA",'2023'!$D$2=CC5),'2023DATA3'!$J$5,"")</f>
        <v/>
      </c>
      <c r="CD8" s="518" t="str">
        <f>IF(AND(_AC5="A-330-900",'2023'!$D$4="CA",'2023'!$D$2=CD5),'2023DATA3'!$K$5,"")</f>
        <v/>
      </c>
      <c r="CE8" s="518" t="str">
        <f>IF(AND(_AC5="A-330-900",'2023'!$D$4="CA",'2023'!$D$2=CE5),'2023DATA3'!$L$5,"")</f>
        <v/>
      </c>
      <c r="CF8" s="518" t="str">
        <f>IF(AND(_AC5="A-330-900",'2023'!$D$4="CA",'2023'!$D$2=CF5),'2023DATA3'!$M$5,"")</f>
        <v/>
      </c>
      <c r="CG8" s="520" t="str">
        <f>IF(AND(_AC5="A-330-900",'2023'!$D$4="CA",'2023'!$D$2=CG5),'2023DATA3'!$N$5,"")</f>
        <v/>
      </c>
      <c r="CH8" s="940" t="s">
        <v>65</v>
      </c>
      <c r="CI8" s="13" t="s">
        <v>61</v>
      </c>
      <c r="CJ8" s="518" t="str">
        <f>IF(AND(_AC6="A-330-900",'2023'!$D$4="CA",'2023'!$D$2=CJ5),'2023DATA3'!$C$5,"")</f>
        <v/>
      </c>
      <c r="CK8" s="518" t="str">
        <f>IF(AND(_AC6="A-330-900",'2023'!$D$4="CA",'2023'!$D$2=CK5),'2023DATA3'!$D$5,"")</f>
        <v/>
      </c>
      <c r="CL8" s="518" t="str">
        <f>IF(AND(_AC6="A-330-900",'2023'!$D$4="CA",'2023'!$D$2=CL5),'2023DATA3'!$E$5,"")</f>
        <v/>
      </c>
      <c r="CM8" s="518" t="str">
        <f>IF(AND(_AC6="A-330-900",'2023'!$D$4="CA",'2023'!$D$2=CM5),'2023DATA3'!$F$5,"")</f>
        <v/>
      </c>
      <c r="CN8" s="518" t="str">
        <f>IF(AND(_AC6="A-330-900",'2023'!$D$4="CA",'2023'!$D$2=CN5),'2023DATA3'!$G$5,"")</f>
        <v/>
      </c>
      <c r="CO8" s="518" t="str">
        <f>IF(AND(_AC6="A-330-900",'2023'!$D$4="CA",'2023'!$D$2=CO5),'2023DATA3'!$H$5,"")</f>
        <v/>
      </c>
      <c r="CP8" s="518" t="str">
        <f>IF(AND(_AC6="A-330-900",'2023'!$D$4="CA",'2023'!$D$2=CP5),'2023DATA3'!$I$5,"")</f>
        <v/>
      </c>
      <c r="CQ8" s="518" t="str">
        <f>IF(AND(_AC6="A-330-900",'2023'!$D$4="CA",'2023'!$D$2=CQ5),'2023DATA3'!$J$5,"")</f>
        <v/>
      </c>
      <c r="CR8" s="518" t="str">
        <f>IF(AND(_AC6="A-330-900",'2023'!$D$4="CA",'2023'!$D$2=CR5),'2023DATA3'!$K$5,"")</f>
        <v/>
      </c>
      <c r="CS8" s="518" t="str">
        <f>IF(AND(_AC6="A-330-900",'2023'!$D$4="CA",'2023'!$D$2=CS5),'2023DATA3'!$L$5,"")</f>
        <v/>
      </c>
      <c r="CT8" s="518" t="str">
        <f>IF(AND(_AC6="A-330-900",'2023'!$D$4="CA",'2023'!$D$2=CT5),'2023DATA3'!$M$5,"")</f>
        <v/>
      </c>
      <c r="CU8" s="520" t="str">
        <f>IF(AND(_AC6="A-330-900",'2023'!$D$4="CA",'2023'!$D$2=CU5),'2023DATA3'!$N$5,"")</f>
        <v/>
      </c>
    </row>
    <row r="9" spans="1:99" x14ac:dyDescent="0.25">
      <c r="A9" s="946" t="s">
        <v>66</v>
      </c>
      <c r="B9" s="78" t="s">
        <v>61</v>
      </c>
      <c r="C9" s="25">
        <v>417.54</v>
      </c>
      <c r="D9" s="26">
        <v>414.4</v>
      </c>
      <c r="E9" s="26">
        <v>411.28</v>
      </c>
      <c r="F9" s="26">
        <v>408.16</v>
      </c>
      <c r="G9" s="26">
        <v>405.02</v>
      </c>
      <c r="H9" s="26">
        <v>401.92</v>
      </c>
      <c r="I9" s="26">
        <v>398.78</v>
      </c>
      <c r="J9" s="26">
        <v>395.68</v>
      </c>
      <c r="K9" s="26">
        <v>392.52</v>
      </c>
      <c r="L9" s="26">
        <v>389.39</v>
      </c>
      <c r="M9" s="26">
        <v>386.23</v>
      </c>
      <c r="N9" s="27">
        <v>383.12</v>
      </c>
      <c r="P9" s="940"/>
      <c r="Q9" s="13" t="s">
        <v>62</v>
      </c>
      <c r="R9" s="518" t="str">
        <f>IF(AND(_AC1="A-330-900",'2023'!$D$4="FO",'2023'!$D$2=R5),'2023DATA3'!$C$6,"")</f>
        <v/>
      </c>
      <c r="S9" s="518" t="str">
        <f>IF(AND(_AC1="A-330-900",'2023'!$D$4="FO",'2023'!$D$2=S5),'2023DATA3'!$D$6,"")</f>
        <v/>
      </c>
      <c r="T9" s="518" t="str">
        <f>IF(AND(_AC1="A-330-900",'2023'!$D$4="FO",'2023'!$D$2=T5),'2023DATA3'!$E$6,"")</f>
        <v/>
      </c>
      <c r="U9" s="518" t="str">
        <f>IF(AND(_AC1="A-330-900",'2023'!$D$4="FO",'2023'!$D$2=U5),'2023DATA3'!$F$6,"")</f>
        <v/>
      </c>
      <c r="V9" s="518" t="str">
        <f>IF(AND(_AC1="A-330-900",'2023'!$D$4="FO",'2023'!$D$2=V5),'2023DATA3'!$G$6,"")</f>
        <v/>
      </c>
      <c r="W9" s="518" t="str">
        <f>IF(AND(_AC1="A-330-900",'2023'!$D$4="FO",'2023'!$D$2=W5),'2023DATA3'!$H$6,"")</f>
        <v/>
      </c>
      <c r="X9" s="518" t="str">
        <f>IF(AND(_AC1="A-330-900",'2023'!$D$4="FO",'2023'!$D$2=X5),'2023DATA3'!$I$6,"")</f>
        <v/>
      </c>
      <c r="Y9" s="518" t="str">
        <f>IF(AND(_AC1="A-330-900",'2023'!$D$4="FO",'2023'!$D$2=Y5),'2023DATA3'!$J$6,"")</f>
        <v/>
      </c>
      <c r="Z9" s="518" t="str">
        <f>IF(AND(_AC1="A-330-900",'2023'!$D$4="FO",'2023'!$D$2=Z5),'2023DATA3'!$K$6,"")</f>
        <v/>
      </c>
      <c r="AA9" s="518" t="str">
        <f>IF(AND(_AC1="A-330-900",'2023'!$D$4="FO",'2023'!$D$2=AA5),'2023DATA3'!$L$6,"")</f>
        <v/>
      </c>
      <c r="AB9" s="518" t="str">
        <f>IF(AND(_AC1="A-330-900",'2023'!$D$4="FO",'2023'!$D$2=AB5),'2023DATA3'!$M$6,"")</f>
        <v/>
      </c>
      <c r="AC9" s="520" t="str">
        <f>IF(AND(_AC1="A-330-900",'2023'!$D$4="FO",'2023'!$D$2=AC5),'2023DATA3'!$N$6,"")</f>
        <v/>
      </c>
      <c r="AD9" s="940"/>
      <c r="AE9" s="13" t="s">
        <v>62</v>
      </c>
      <c r="AF9" s="518" t="str">
        <f>IF(AND(_AC2="A-330-900",'2023'!$D$4="FO",'2023'!$D$2=AF5),'2023DATA3'!$C$6,"")</f>
        <v/>
      </c>
      <c r="AG9" s="518" t="str">
        <f>IF(AND(_AC2="A-330-900",'2023'!$D$4="FO",'2023'!$D$2=AG5),'2023DATA3'!$D$6,"")</f>
        <v/>
      </c>
      <c r="AH9" s="518" t="str">
        <f>IF(AND(_AC2="A-330-900",'2023'!$D$4="FO",'2023'!$D$2=AH5),'2023DATA3'!$E$6,"")</f>
        <v/>
      </c>
      <c r="AI9" s="518" t="str">
        <f>IF(AND(_AC2="A-330-900",'2023'!$D$4="FO",'2023'!$D$2=AI5),'2023DATA3'!$F$6,"")</f>
        <v/>
      </c>
      <c r="AJ9" s="518" t="str">
        <f>IF(AND(_AC2="A-330-900",'2023'!$D$4="FO",'2023'!$D$2=AJ5),'2023DATA3'!$G$6,"")</f>
        <v/>
      </c>
      <c r="AK9" s="518" t="str">
        <f>IF(AND(_AC2="A-330-900",'2023'!$D$4="FO",'2023'!$D$2=AK5),'2023DATA3'!$H$6,"")</f>
        <v/>
      </c>
      <c r="AL9" s="518" t="str">
        <f>IF(AND(_AC2="A-330-900",'2023'!$D$4="FO",'2023'!$D$2=AL5),'2023DATA3'!$I$6,"")</f>
        <v/>
      </c>
      <c r="AM9" s="518" t="str">
        <f>IF(AND(_AC2="A-330-900",'2023'!$D$4="FO",'2023'!$D$2=AM5),'2023DATA3'!$J$6,"")</f>
        <v/>
      </c>
      <c r="AN9" s="518" t="str">
        <f>IF(AND(_AC2="A-330-900",'2023'!$D$4="FO",'2023'!$D$2=AN5),'2023DATA3'!$K$6,"")</f>
        <v/>
      </c>
      <c r="AO9" s="518" t="str">
        <f>IF(AND(_AC2="A-330-900",'2023'!$D$4="FO",'2023'!$D$2=AO5),'2023DATA3'!$L$6,"")</f>
        <v/>
      </c>
      <c r="AP9" s="518" t="str">
        <f>IF(AND(_AC2="A-330-900",'2023'!$D$4="FO",'2023'!$D$2=AP5),'2023DATA3'!$M$6,"")</f>
        <v/>
      </c>
      <c r="AQ9" s="520" t="str">
        <f>IF(AND(_AC2="A-330-900",'2023'!$D$4="FO",'2023'!$D$2=AQ5),'2023DATA3'!$N$6,"")</f>
        <v/>
      </c>
      <c r="AR9" s="940"/>
      <c r="AS9" s="13" t="s">
        <v>62</v>
      </c>
      <c r="AT9" s="518" t="str">
        <f>IF(AND(_AC3="A-330-900",'2023'!$D$4="FO",'2023'!$D$2=AT5),'2023DATA3'!$C$6,"")</f>
        <v/>
      </c>
      <c r="AU9" s="518" t="str">
        <f>IF(AND(_AC3="A-330-900",'2023'!$D$4="FO",'2023'!$D$2=AU5),'2023DATA3'!$D$6,"")</f>
        <v/>
      </c>
      <c r="AV9" s="518" t="str">
        <f>IF(AND(_AC3="A-330-900",'2023'!$D$4="FO",'2023'!$D$2=AV5),'2023DATA3'!$E$6,"")</f>
        <v/>
      </c>
      <c r="AW9" s="518" t="str">
        <f>IF(AND(_AC3="A-330-900",'2023'!$D$4="FO",'2023'!$D$2=AW5),'2023DATA3'!$F$6,"")</f>
        <v/>
      </c>
      <c r="AX9" s="518" t="str">
        <f>IF(AND(_AC3="A-330-900",'2023'!$D$4="FO",'2023'!$D$2=AX5),'2023DATA3'!$G$6,"")</f>
        <v/>
      </c>
      <c r="AY9" s="518" t="str">
        <f>IF(AND(_AC3="A-330-900",'2023'!$D$4="FO",'2023'!$D$2=AY5),'2023DATA3'!$H$6,"")</f>
        <v/>
      </c>
      <c r="AZ9" s="518" t="str">
        <f>IF(AND(_AC3="A-330-900",'2023'!$D$4="FO",'2023'!$D$2=AZ5),'2023DATA3'!$I$6,"")</f>
        <v/>
      </c>
      <c r="BA9" s="518" t="str">
        <f>IF(AND(_AC3="A-330-900",'2023'!$D$4="FO",'2023'!$D$2=BA5),'2023DATA3'!$J$6,"")</f>
        <v/>
      </c>
      <c r="BB9" s="518" t="str">
        <f>IF(AND(_AC3="A-330-900",'2023'!$D$4="FO",'2023'!$D$2=BB5),'2023DATA3'!$K$6,"")</f>
        <v/>
      </c>
      <c r="BC9" s="518" t="str">
        <f>IF(AND(_AC3="A-330-900",'2023'!$D$4="FO",'2023'!$D$2=BC5),'2023DATA3'!$L$6,"")</f>
        <v/>
      </c>
      <c r="BD9" s="518" t="str">
        <f>IF(AND(_AC3="A-330-900",'2023'!$D$4="FO",'2023'!$D$2=BD5),'2023DATA3'!$M$6,"")</f>
        <v/>
      </c>
      <c r="BE9" s="520" t="str">
        <f>IF(AND(_AC3="A-330-900",'2023'!$D$4="FO",'2023'!$D$2=BE5),'2023DATA3'!$N$6,"")</f>
        <v/>
      </c>
      <c r="BF9" s="940"/>
      <c r="BG9" s="13" t="s">
        <v>62</v>
      </c>
      <c r="BH9" s="518" t="str">
        <f>IF(AND(_AC4="A-330-900",'2023'!$D$4="FO",'2023'!$D$2=BH5),'2023DATA3'!$C$6,"")</f>
        <v/>
      </c>
      <c r="BI9" s="518" t="str">
        <f>IF(AND(_AC4="A-330-900",'2023'!$D$4="FO",'2023'!$D$2=BI5),'2023DATA3'!$D$6,"")</f>
        <v/>
      </c>
      <c r="BJ9" s="518" t="str">
        <f>IF(AND(_AC4="A-330-900",'2023'!$D$4="FO",'2023'!$D$2=BJ5),'2023DATA3'!$E$6,"")</f>
        <v/>
      </c>
      <c r="BK9" s="518" t="str">
        <f>IF(AND(_AC4="A-330-900",'2023'!$D$4="FO",'2023'!$D$2=BK5),'2023DATA3'!$F$6,"")</f>
        <v/>
      </c>
      <c r="BL9" s="518" t="str">
        <f>IF(AND(_AC4="A-330-900",'2023'!$D$4="FO",'2023'!$D$2=BL5),'2023DATA3'!$G$6,"")</f>
        <v/>
      </c>
      <c r="BM9" s="518" t="str">
        <f>IF(AND(_AC4="A-330-900",'2023'!$D$4="FO",'2023'!$D$2=BM5),'2023DATA3'!$H$6,"")</f>
        <v/>
      </c>
      <c r="BN9" s="518" t="str">
        <f>IF(AND(_AC4="A-330-900",'2023'!$D$4="FO",'2023'!$D$2=BN5),'2023DATA3'!$I$6,"")</f>
        <v/>
      </c>
      <c r="BO9" s="518" t="str">
        <f>IF(AND(_AC4="A-330-900",'2023'!$D$4="FO",'2023'!$D$2=BO5),'2023DATA3'!$J$6,"")</f>
        <v/>
      </c>
      <c r="BP9" s="518" t="str">
        <f>IF(AND(_AC4="A-330-900",'2023'!$D$4="FO",'2023'!$D$2=BP5),'2023DATA3'!$K$6,"")</f>
        <v/>
      </c>
      <c r="BQ9" s="518" t="str">
        <f>IF(AND(_AC4="A-330-900",'2023'!$D$4="FO",'2023'!$D$2=BQ5),'2023DATA3'!$L$6,"")</f>
        <v/>
      </c>
      <c r="BR9" s="518" t="str">
        <f>IF(AND(_AC4="A-330-900",'2023'!$D$4="FO",'2023'!$D$2=BR5),'2023DATA3'!$M$6,"")</f>
        <v/>
      </c>
      <c r="BS9" s="520" t="str">
        <f>IF(AND(_AC4="A-330-900",'2023'!$D$4="FO",'2023'!$D$2=BS5),'2023DATA3'!$N$6,"")</f>
        <v/>
      </c>
      <c r="BT9" s="940"/>
      <c r="BU9" s="13" t="s">
        <v>62</v>
      </c>
      <c r="BV9" s="518" t="str">
        <f>IF(AND(_AC5="A-330-900",'2023'!$D$4="FO",'2023'!$D$2=BV5),'2023DATA3'!$C$6,"")</f>
        <v/>
      </c>
      <c r="BW9" s="518" t="str">
        <f>IF(AND(_AC5="A-330-900",'2023'!$D$4="FO",'2023'!$D$2=BW5),'2023DATA3'!$D$6,"")</f>
        <v/>
      </c>
      <c r="BX9" s="518" t="str">
        <f>IF(AND(_AC5="A-330-900",'2023'!$D$4="FO",'2023'!$D$2=BX5),'2023DATA3'!$E$6,"")</f>
        <v/>
      </c>
      <c r="BY9" s="518" t="str">
        <f>IF(AND(_AC5="A-330-900",'2023'!$D$4="FO",'2023'!$D$2=BY5),'2023DATA3'!$F$6,"")</f>
        <v/>
      </c>
      <c r="BZ9" s="518" t="str">
        <f>IF(AND(_AC5="A-330-900",'2023'!$D$4="FO",'2023'!$D$2=BZ5),'2023DATA3'!$G$6,"")</f>
        <v/>
      </c>
      <c r="CA9" s="518" t="str">
        <f>IF(AND(_AC5="A-330-900",'2023'!$D$4="FO",'2023'!$D$2=CA5),'2023DATA3'!$H$6,"")</f>
        <v/>
      </c>
      <c r="CB9" s="518" t="str">
        <f>IF(AND(_AC5="A-330-900",'2023'!$D$4="FO",'2023'!$D$2=CB5),'2023DATA3'!$I$6,"")</f>
        <v/>
      </c>
      <c r="CC9" s="518" t="str">
        <f>IF(AND(_AC5="A-330-900",'2023'!$D$4="FO",'2023'!$D$2=CC5),'2023DATA3'!$J$6,"")</f>
        <v/>
      </c>
      <c r="CD9" s="518" t="str">
        <f>IF(AND(_AC5="A-330-900",'2023'!$D$4="FO",'2023'!$D$2=CD5),'2023DATA3'!$K$6,"")</f>
        <v/>
      </c>
      <c r="CE9" s="518" t="str">
        <f>IF(AND(_AC5="A-330-900",'2023'!$D$4="FO",'2023'!$D$2=CE5),'2023DATA3'!$L$6,"")</f>
        <v/>
      </c>
      <c r="CF9" s="518" t="str">
        <f>IF(AND(_AC5="A-330-900",'2023'!$D$4="FO",'2023'!$D$2=CF5),'2023DATA3'!$M$6,"")</f>
        <v/>
      </c>
      <c r="CG9" s="520" t="str">
        <f>IF(AND(_AC5="A-330-900",'2023'!$D$4="FO",'2023'!$D$2=CG5),'2023DATA3'!$N$6,"")</f>
        <v/>
      </c>
      <c r="CH9" s="940"/>
      <c r="CI9" s="13" t="s">
        <v>62</v>
      </c>
      <c r="CJ9" s="518" t="str">
        <f>IF(AND(_AC6="A-330-900",'2023'!$D$4="FO",'2023'!$D$2=CJ5),'2023DATA3'!$C$6,"")</f>
        <v/>
      </c>
      <c r="CK9" s="518" t="str">
        <f>IF(AND(_AC6="A-330-900",'2023'!$D$4="FO",'2023'!$D$2=CK5),'2023DATA3'!$D$6,"")</f>
        <v/>
      </c>
      <c r="CL9" s="518" t="str">
        <f>IF(AND(_AC6="A-330-900",'2023'!$D$4="FO",'2023'!$D$2=CL5),'2023DATA3'!$E$6,"")</f>
        <v/>
      </c>
      <c r="CM9" s="518" t="str">
        <f>IF(AND(_AC6="A-330-900",'2023'!$D$4="FO",'2023'!$D$2=CM5),'2023DATA3'!$F$6,"")</f>
        <v/>
      </c>
      <c r="CN9" s="518" t="str">
        <f>IF(AND(_AC6="A-330-900",'2023'!$D$4="FO",'2023'!$D$2=CN5),'2023DATA3'!$G$6,"")</f>
        <v/>
      </c>
      <c r="CO9" s="518" t="str">
        <f>IF(AND(_AC6="A-330-900",'2023'!$D$4="FO",'2023'!$D$2=CO5),'2023DATA3'!$H$6,"")</f>
        <v/>
      </c>
      <c r="CP9" s="518" t="str">
        <f>IF(AND(_AC6="A-330-900",'2023'!$D$4="FO",'2023'!$D$2=CP5),'2023DATA3'!$I$6,"")</f>
        <v/>
      </c>
      <c r="CQ9" s="518" t="str">
        <f>IF(AND(_AC6="A-330-900",'2023'!$D$4="FO",'2023'!$D$2=CQ5),'2023DATA3'!$J$6,"")</f>
        <v/>
      </c>
      <c r="CR9" s="518" t="str">
        <f>IF(AND(_AC6="A-330-900",'2023'!$D$4="FO",'2023'!$D$2=CR5),'2023DATA3'!$K$6,"")</f>
        <v/>
      </c>
      <c r="CS9" s="518" t="str">
        <f>IF(AND(_AC6="A-330-900",'2023'!$D$4="FO",'2023'!$D$2=CS5),'2023DATA3'!$L$6,"")</f>
        <v/>
      </c>
      <c r="CT9" s="518" t="str">
        <f>IF(AND(_AC6="A-330-900",'2023'!$D$4="FO",'2023'!$D$2=CT5),'2023DATA3'!$M$6,"")</f>
        <v/>
      </c>
      <c r="CU9" s="520" t="str">
        <f>IF(AND(_AC6="A-330-900",'2023'!$D$4="FO",'2023'!$D$2=CU5),'2023DATA3'!$N$6,"")</f>
        <v/>
      </c>
    </row>
    <row r="10" spans="1:99" x14ac:dyDescent="0.25">
      <c r="A10" s="946"/>
      <c r="B10" s="78" t="s">
        <v>62</v>
      </c>
      <c r="C10" s="25">
        <v>285.22000000000003</v>
      </c>
      <c r="D10" s="26">
        <v>282.62</v>
      </c>
      <c r="E10" s="26">
        <v>280.11</v>
      </c>
      <c r="F10" s="26">
        <v>276.36</v>
      </c>
      <c r="G10" s="26">
        <v>273.38</v>
      </c>
      <c r="H10" s="26">
        <v>267.25</v>
      </c>
      <c r="I10" s="26">
        <v>260.02</v>
      </c>
      <c r="J10" s="26">
        <v>253.59</v>
      </c>
      <c r="K10" s="26">
        <v>247.68</v>
      </c>
      <c r="L10" s="26">
        <v>241.82</v>
      </c>
      <c r="M10" s="26">
        <v>206.65</v>
      </c>
      <c r="N10" s="27">
        <v>108.34</v>
      </c>
      <c r="P10" s="940" t="s">
        <v>64</v>
      </c>
      <c r="Q10" s="13" t="s">
        <v>61</v>
      </c>
      <c r="R10" s="518" t="str">
        <f>IF(AND(_AC1="A-330-300",'2023'!$D$4="CA",'2023'!$D$2=R5),'2023DATA3'!$C$7,"")</f>
        <v/>
      </c>
      <c r="S10" s="518" t="str">
        <f>IF(AND(_AC1="A-330-300",'2023'!$D$4="CA",'2023'!$D$2=S5),'2023DATA3'!$D$7,"")</f>
        <v/>
      </c>
      <c r="T10" s="518" t="str">
        <f>IF(AND(_AC1="A-330-300",'2023'!$D$4="CA",'2023'!$D$2=T5),'2023DATA3'!$E$7,"")</f>
        <v/>
      </c>
      <c r="U10" s="518" t="str">
        <f>IF(AND(_AC1="A-330-300",'2023'!$D$4="CA",'2023'!$D$2=U5),'2023DATA3'!$F$7,"")</f>
        <v/>
      </c>
      <c r="V10" s="518" t="str">
        <f>IF(AND(_AC1="A-330-300",'2023'!$D$4="CA",'2023'!$D$2=V5),'2023DATA3'!$G$7,"")</f>
        <v/>
      </c>
      <c r="W10" s="518" t="str">
        <f>IF(AND(_AC1="A-330-300",'2023'!$D$4="CA",'2023'!$D$2=W5),'2023DATA3'!$H$7,"")</f>
        <v/>
      </c>
      <c r="X10" s="518" t="str">
        <f>IF(AND(_AC1="A-330-300",'2023'!$D$4="CA",'2023'!$D$2=X5),'2023DATA3'!$I$7,"")</f>
        <v/>
      </c>
      <c r="Y10" s="518" t="str">
        <f>IF(AND(_AC1="A-330-300",'2023'!$D$4="CA",'2023'!$D$2=Y5),'2023DATA3'!$J$7,"")</f>
        <v/>
      </c>
      <c r="Z10" s="518" t="str">
        <f>IF(AND(_AC1="A-330-300",'2023'!$D$4="CA",'2023'!$D$2=Z5),'2023DATA3'!$K$7,"")</f>
        <v/>
      </c>
      <c r="AA10" s="518" t="str">
        <f>IF(AND(_AC1="A-330-300",'2023'!$D$4="CA",'2023'!$D$2=AA5),'2023DATA3'!$L$7,"")</f>
        <v/>
      </c>
      <c r="AB10" s="518" t="str">
        <f>IF(AND(_AC1="A-330-300",'2023'!$D$4="CA",'2023'!$D$2=AB5),'2023DATA3'!$M$7,"")</f>
        <v/>
      </c>
      <c r="AC10" s="520" t="str">
        <f>IF(AND(_AC1="A-330-300",'2023'!$D$4="CA",'2023'!$D$2=AC5),'2023DATA3'!$N$7,"")</f>
        <v/>
      </c>
      <c r="AD10" s="940" t="s">
        <v>64</v>
      </c>
      <c r="AE10" s="13" t="s">
        <v>61</v>
      </c>
      <c r="AF10" s="518" t="str">
        <f>IF(AND(_AC2="A-330-300",'2023'!$D$4="CA",'2023'!$D$2=AF5),'2023DATA3'!$C$7,"")</f>
        <v/>
      </c>
      <c r="AG10" s="518" t="str">
        <f>IF(AND(_AC2="A-330-300",'2023'!$D$4="CA",'2023'!$D$2=AG5),'2023DATA3'!$D$7,"")</f>
        <v/>
      </c>
      <c r="AH10" s="518" t="str">
        <f>IF(AND(_AC2="A-330-300",'2023'!$D$4="CA",'2023'!$D$2=AH5),'2023DATA3'!$E$7,"")</f>
        <v/>
      </c>
      <c r="AI10" s="518" t="str">
        <f>IF(AND(_AC2="A-330-300",'2023'!$D$4="CA",'2023'!$D$2=AI5),'2023DATA3'!$F$7,"")</f>
        <v/>
      </c>
      <c r="AJ10" s="518" t="str">
        <f>IF(AND(_AC2="A-330-300",'2023'!$D$4="CA",'2023'!$D$2=AJ5),'2023DATA3'!$G$7,"")</f>
        <v/>
      </c>
      <c r="AK10" s="518" t="str">
        <f>IF(AND(_AC2="A-330-300",'2023'!$D$4="CA",'2023'!$D$2=AK5),'2023DATA3'!$H$7,"")</f>
        <v/>
      </c>
      <c r="AL10" s="518" t="str">
        <f>IF(AND(_AC2="A-330-300",'2023'!$D$4="CA",'2023'!$D$2=AL5),'2023DATA3'!$I$7,"")</f>
        <v/>
      </c>
      <c r="AM10" s="518" t="str">
        <f>IF(AND(_AC2="A-330-300",'2023'!$D$4="CA",'2023'!$D$2=AM5),'2023DATA3'!$J$7,"")</f>
        <v/>
      </c>
      <c r="AN10" s="518" t="str">
        <f>IF(AND(_AC2="A-330-300",'2023'!$D$4="CA",'2023'!$D$2=AN5),'2023DATA3'!$K$7,"")</f>
        <v/>
      </c>
      <c r="AO10" s="518" t="str">
        <f>IF(AND(_AC2="A-330-300",'2023'!$D$4="CA",'2023'!$D$2=AO5),'2023DATA3'!$L$7,"")</f>
        <v/>
      </c>
      <c r="AP10" s="518" t="str">
        <f>IF(AND(_AC2="A-330-300",'2023'!$D$4="CA",'2023'!$D$2=AP5),'2023DATA3'!$M$7,"")</f>
        <v/>
      </c>
      <c r="AQ10" s="520" t="str">
        <f>IF(AND(_AC2="A-330-300",'2023'!$D$4="CA",'2023'!$D$2=AQ5),'2023DATA3'!$N$7,"")</f>
        <v/>
      </c>
      <c r="AR10" s="940" t="s">
        <v>64</v>
      </c>
      <c r="AS10" s="13" t="s">
        <v>61</v>
      </c>
      <c r="AT10" s="518" t="str">
        <f>IF(AND(_AC3="A-330-300",'2023'!$D$4="CA",'2023'!$D$2=AT5),'2023DATA3'!$C$7,"")</f>
        <v/>
      </c>
      <c r="AU10" s="518" t="str">
        <f>IF(AND(_AC3="A-330-300",'2023'!$D$4="CA",'2023'!$D$2=AU5),'2023DATA3'!$D$7,"")</f>
        <v/>
      </c>
      <c r="AV10" s="518" t="str">
        <f>IF(AND(_AC3="A-330-300",'2023'!$D$4="CA",'2023'!$D$2=AV5),'2023DATA3'!$E$7,"")</f>
        <v/>
      </c>
      <c r="AW10" s="518" t="str">
        <f>IF(AND(_AC3="A-330-300",'2023'!$D$4="CA",'2023'!$D$2=AW5),'2023DATA3'!$F$7,"")</f>
        <v/>
      </c>
      <c r="AX10" s="518" t="str">
        <f>IF(AND(_AC3="A-330-300",'2023'!$D$4="CA",'2023'!$D$2=AX5),'2023DATA3'!$G$7,"")</f>
        <v/>
      </c>
      <c r="AY10" s="518" t="str">
        <f>IF(AND(_AC3="A-330-300",'2023'!$D$4="CA",'2023'!$D$2=AY5),'2023DATA3'!$H$7,"")</f>
        <v/>
      </c>
      <c r="AZ10" s="518" t="str">
        <f>IF(AND(_AC3="A-330-300",'2023'!$D$4="CA",'2023'!$D$2=AZ5),'2023DATA3'!$I$7,"")</f>
        <v/>
      </c>
      <c r="BA10" s="518" t="str">
        <f>IF(AND(_AC3="A-330-300",'2023'!$D$4="CA",'2023'!$D$2=BA5),'2023DATA3'!$J$7,"")</f>
        <v/>
      </c>
      <c r="BB10" s="518" t="str">
        <f>IF(AND(_AC3="A-330-300",'2023'!$D$4="CA",'2023'!$D$2=BB5),'2023DATA3'!$K$7,"")</f>
        <v/>
      </c>
      <c r="BC10" s="518" t="str">
        <f>IF(AND(_AC3="A-330-300",'2023'!$D$4="CA",'2023'!$D$2=BC5),'2023DATA3'!$L$7,"")</f>
        <v/>
      </c>
      <c r="BD10" s="518" t="str">
        <f>IF(AND(_AC3="A-330-300",'2023'!$D$4="CA",'2023'!$D$2=BD5),'2023DATA3'!$M$7,"")</f>
        <v/>
      </c>
      <c r="BE10" s="520" t="str">
        <f>IF(AND(_AC3="A-330-300",'2023'!$D$4="CA",'2023'!$D$2=BE5),'2023DATA3'!$N$7,"")</f>
        <v/>
      </c>
      <c r="BF10" s="940" t="s">
        <v>64</v>
      </c>
      <c r="BG10" s="13" t="s">
        <v>61</v>
      </c>
      <c r="BH10" s="518" t="str">
        <f>IF(AND(_AC4="A-330-300",'2023'!$D$4="CA",'2023'!$D$2=BH5),'2023DATA3'!$C$7,"")</f>
        <v/>
      </c>
      <c r="BI10" s="518" t="str">
        <f>IF(AND(_AC4="A-330-300",'2023'!$D$4="CA",'2023'!$D$2=BI5),'2023DATA3'!$D$7,"")</f>
        <v/>
      </c>
      <c r="BJ10" s="518" t="str">
        <f>IF(AND(_AC4="A-330-300",'2023'!$D$4="CA",'2023'!$D$2=BJ5),'2023DATA3'!$E$7,"")</f>
        <v/>
      </c>
      <c r="BK10" s="518" t="str">
        <f>IF(AND(_AC4="A-330-300",'2023'!$D$4="CA",'2023'!$D$2=BK5),'2023DATA3'!$F$7,"")</f>
        <v/>
      </c>
      <c r="BL10" s="518" t="str">
        <f>IF(AND(_AC4="A-330-300",'2023'!$D$4="CA",'2023'!$D$2=BL5),'2023DATA3'!$G$7,"")</f>
        <v/>
      </c>
      <c r="BM10" s="518" t="str">
        <f>IF(AND(_AC4="A-330-300",'2023'!$D$4="CA",'2023'!$D$2=BM5),'2023DATA3'!$H$7,"")</f>
        <v/>
      </c>
      <c r="BN10" s="518" t="str">
        <f>IF(AND(_AC4="A-330-300",'2023'!$D$4="CA",'2023'!$D$2=BN5),'2023DATA3'!$I$7,"")</f>
        <v/>
      </c>
      <c r="BO10" s="518" t="str">
        <f>IF(AND(_AC4="A-330-300",'2023'!$D$4="CA",'2023'!$D$2=BO5),'2023DATA3'!$J$7,"")</f>
        <v/>
      </c>
      <c r="BP10" s="518" t="str">
        <f>IF(AND(_AC4="A-330-300",'2023'!$D$4="CA",'2023'!$D$2=BP5),'2023DATA3'!$K$7,"")</f>
        <v/>
      </c>
      <c r="BQ10" s="518" t="str">
        <f>IF(AND(_AC4="A-330-300",'2023'!$D$4="CA",'2023'!$D$2=BQ5),'2023DATA3'!$L$7,"")</f>
        <v/>
      </c>
      <c r="BR10" s="518" t="str">
        <f>IF(AND(_AC4="A-330-300",'2023'!$D$4="CA",'2023'!$D$2=BR5),'2023DATA3'!$M$7,"")</f>
        <v/>
      </c>
      <c r="BS10" s="520" t="str">
        <f>IF(AND(_AC4="A-330-300",'2023'!$D$4="CA",'2023'!$D$2=BS5),'2023DATA3'!$N$7,"")</f>
        <v/>
      </c>
      <c r="BT10" s="940" t="s">
        <v>64</v>
      </c>
      <c r="BU10" s="13" t="s">
        <v>61</v>
      </c>
      <c r="BV10" s="518" t="str">
        <f>IF(AND(_AC5="A-330-300",'2023'!$D$4="CA",'2023'!$D$2=BV5),'2023DATA3'!$C$7,"")</f>
        <v/>
      </c>
      <c r="BW10" s="518" t="str">
        <f>IF(AND(_AC5="A-330-300",'2023'!$D$4="CA",'2023'!$D$2=BW5),'2023DATA3'!$D$7,"")</f>
        <v/>
      </c>
      <c r="BX10" s="518" t="str">
        <f>IF(AND(_AC5="A-330-300",'2023'!$D$4="CA",'2023'!$D$2=BX5),'2023DATA3'!$E$7,"")</f>
        <v/>
      </c>
      <c r="BY10" s="518" t="str">
        <f>IF(AND(_AC5="A-330-300",'2023'!$D$4="CA",'2023'!$D$2=BY5),'2023DATA3'!$F$7,"")</f>
        <v/>
      </c>
      <c r="BZ10" s="518" t="str">
        <f>IF(AND(_AC5="A-330-300",'2023'!$D$4="CA",'2023'!$D$2=BZ5),'2023DATA3'!$G$7,"")</f>
        <v/>
      </c>
      <c r="CA10" s="518" t="str">
        <f>IF(AND(_AC5="A-330-300",'2023'!$D$4="CA",'2023'!$D$2=CA5),'2023DATA3'!$H$7,"")</f>
        <v/>
      </c>
      <c r="CB10" s="518" t="str">
        <f>IF(AND(_AC5="A-330-300",'2023'!$D$4="CA",'2023'!$D$2=CB5),'2023DATA3'!$I$7,"")</f>
        <v/>
      </c>
      <c r="CC10" s="518" t="str">
        <f>IF(AND(_AC5="A-330-300",'2023'!$D$4="CA",'2023'!$D$2=CC5),'2023DATA3'!$J$7,"")</f>
        <v/>
      </c>
      <c r="CD10" s="518" t="str">
        <f>IF(AND(_AC5="A-330-300",'2023'!$D$4="CA",'2023'!$D$2=CD5),'2023DATA3'!$K$7,"")</f>
        <v/>
      </c>
      <c r="CE10" s="518" t="str">
        <f>IF(AND(_AC5="A-330-300",'2023'!$D$4="CA",'2023'!$D$2=CE5),'2023DATA3'!$L$7,"")</f>
        <v/>
      </c>
      <c r="CF10" s="518" t="str">
        <f>IF(AND(_AC5="A-330-300",'2023'!$D$4="CA",'2023'!$D$2=CF5),'2023DATA3'!$M$7,"")</f>
        <v/>
      </c>
      <c r="CG10" s="520" t="str">
        <f>IF(AND(_AC5="A-330-300",'2023'!$D$4="CA",'2023'!$D$2=CG5),'2023DATA3'!$N$7,"")</f>
        <v/>
      </c>
      <c r="CH10" s="940" t="s">
        <v>64</v>
      </c>
      <c r="CI10" s="13" t="s">
        <v>61</v>
      </c>
      <c r="CJ10" s="518" t="str">
        <f>IF(AND(_AC6="A-330-300",'2023'!$D$4="CA",'2023'!$D$2=CJ5),'2023DATA3'!$C$7,"")</f>
        <v/>
      </c>
      <c r="CK10" s="518" t="str">
        <f>IF(AND(_AC6="A-330-300",'2023'!$D$4="CA",'2023'!$D$2=CK5),'2023DATA3'!$D$7,"")</f>
        <v/>
      </c>
      <c r="CL10" s="518" t="str">
        <f>IF(AND(_AC6="A-330-300",'2023'!$D$4="CA",'2023'!$D$2=CL5),'2023DATA3'!$E$7,"")</f>
        <v/>
      </c>
      <c r="CM10" s="518" t="str">
        <f>IF(AND(_AC6="A-330-300",'2023'!$D$4="CA",'2023'!$D$2=CM5),'2023DATA3'!$F$7,"")</f>
        <v/>
      </c>
      <c r="CN10" s="518" t="str">
        <f>IF(AND(_AC6="A-330-300",'2023'!$D$4="CA",'2023'!$D$2=CN5),'2023DATA3'!$G$7,"")</f>
        <v/>
      </c>
      <c r="CO10" s="518" t="str">
        <f>IF(AND(_AC6="A-330-300",'2023'!$D$4="CA",'2023'!$D$2=CO5),'2023DATA3'!$H$7,"")</f>
        <v/>
      </c>
      <c r="CP10" s="518" t="str">
        <f>IF(AND(_AC6="A-330-300",'2023'!$D$4="CA",'2023'!$D$2=CP5),'2023DATA3'!$I$7,"")</f>
        <v/>
      </c>
      <c r="CQ10" s="518" t="str">
        <f>IF(AND(_AC6="A-330-300",'2023'!$D$4="CA",'2023'!$D$2=CQ5),'2023DATA3'!$J$7,"")</f>
        <v/>
      </c>
      <c r="CR10" s="518" t="str">
        <f>IF(AND(_AC6="A-330-300",'2023'!$D$4="CA",'2023'!$D$2=CR5),'2023DATA3'!$K$7,"")</f>
        <v/>
      </c>
      <c r="CS10" s="518" t="str">
        <f>IF(AND(_AC6="A-330-300",'2023'!$D$4="CA",'2023'!$D$2=CS5),'2023DATA3'!$L$7,"")</f>
        <v/>
      </c>
      <c r="CT10" s="518" t="str">
        <f>IF(AND(_AC6="A-330-300",'2023'!$D$4="CA",'2023'!$D$2=CT5),'2023DATA3'!$M$7,"")</f>
        <v/>
      </c>
      <c r="CU10" s="520" t="str">
        <f>IF(AND(_AC6="A-330-300",'2023'!$D$4="CA",'2023'!$D$2=CU5),'2023DATA3'!$N$7,"")</f>
        <v/>
      </c>
    </row>
    <row r="11" spans="1:99" x14ac:dyDescent="0.25">
      <c r="A11" s="946" t="s">
        <v>42</v>
      </c>
      <c r="B11" s="78" t="s">
        <v>61</v>
      </c>
      <c r="C11" s="25">
        <v>417.54</v>
      </c>
      <c r="D11" s="26">
        <v>414.4</v>
      </c>
      <c r="E11" s="26">
        <v>411.28</v>
      </c>
      <c r="F11" s="26">
        <v>408.16</v>
      </c>
      <c r="G11" s="26">
        <v>405.02</v>
      </c>
      <c r="H11" s="26">
        <v>401.92</v>
      </c>
      <c r="I11" s="26">
        <v>398.78</v>
      </c>
      <c r="J11" s="26">
        <v>395.68</v>
      </c>
      <c r="K11" s="26">
        <v>392.52</v>
      </c>
      <c r="L11" s="26">
        <v>389.39</v>
      </c>
      <c r="M11" s="26">
        <v>386.23</v>
      </c>
      <c r="N11" s="27">
        <v>383.12</v>
      </c>
      <c r="P11" s="940"/>
      <c r="Q11" s="13" t="s">
        <v>62</v>
      </c>
      <c r="R11" s="518" t="str">
        <f>IF(AND(_AC1="A-330-300",'2023'!$D$4="FO",'2023'!$D$2=R5),'2023DATA3'!$C$8,"")</f>
        <v/>
      </c>
      <c r="S11" s="518" t="str">
        <f>IF(AND(_AC1="A-330-300",'2023'!$D$4="FO",'2023'!$D$2=S5),'2023DATA3'!$D$8,"")</f>
        <v/>
      </c>
      <c r="T11" s="518" t="str">
        <f>IF(AND(_AC1="A-330-300",'2023'!$D$4="FO",'2023'!$D$2=T5),'2023DATA3'!$E$8,"")</f>
        <v/>
      </c>
      <c r="U11" s="518" t="str">
        <f>IF(AND(_AC1="A-330-300",'2023'!$D$4="FO",'2023'!$D$2=U5),'2023DATA3'!$F$8,"")</f>
        <v/>
      </c>
      <c r="V11" s="518" t="str">
        <f>IF(AND(_AC1="A-330-300",'2023'!$D$4="FO",'2023'!$D$2=V5),'2023DATA3'!$G$8,"")</f>
        <v/>
      </c>
      <c r="W11" s="518" t="str">
        <f>IF(AND(_AC1="A-330-300",'2023'!$D$4="FO",'2023'!$D$2=W5),'2023DATA3'!$H$8,"")</f>
        <v/>
      </c>
      <c r="X11" s="518" t="str">
        <f>IF(AND(_AC1="A-330-300",'2023'!$D$4="FO",'2023'!$D$2=X5),'2023DATA3'!$I$8,"")</f>
        <v/>
      </c>
      <c r="Y11" s="518" t="str">
        <f>IF(AND(_AC1="A-330-300",'2023'!$D$4="FO",'2023'!$D$2=Y5),'2023DATA3'!$J$8,"")</f>
        <v/>
      </c>
      <c r="Z11" s="518" t="str">
        <f>IF(AND(_AC1="A-330-300",'2023'!$D$4="FO",'2023'!$D$2=Z5),'2023DATA3'!$K$8,"")</f>
        <v/>
      </c>
      <c r="AA11" s="518" t="str">
        <f>IF(AND(_AC1="A-330-300",'2023'!$D$4="FO",'2023'!$D$2=AA5),'2023DATA3'!$L$8,"")</f>
        <v/>
      </c>
      <c r="AB11" s="518" t="str">
        <f>IF(AND(_AC1="A-330-300",'2023'!$D$4="FO",'2023'!$D$2=AB5),'2023DATA3'!$M$8,"")</f>
        <v/>
      </c>
      <c r="AC11" s="520" t="str">
        <f>IF(AND(_AC1="A-330-300",'2023'!$D$4="FO",'2023'!$D$2=AC5),'2023DATA3'!$N$8,"")</f>
        <v/>
      </c>
      <c r="AD11" s="940"/>
      <c r="AE11" s="13" t="s">
        <v>62</v>
      </c>
      <c r="AF11" s="518" t="str">
        <f>IF(AND(_AC2="A-330-300",'2023'!$D$4="FO",'2023'!$D$2=AF5),'2023DATA3'!$C$8,"")</f>
        <v/>
      </c>
      <c r="AG11" s="518" t="str">
        <f>IF(AND(_AC2="A-330-300",'2023'!$D$4="FO",'2023'!$D$2=AG5),'2023DATA3'!$D$8,"")</f>
        <v/>
      </c>
      <c r="AH11" s="518" t="str">
        <f>IF(AND(_AC2="A-330-300",'2023'!$D$4="FO",'2023'!$D$2=AH5),'2023DATA3'!$E$8,"")</f>
        <v/>
      </c>
      <c r="AI11" s="518" t="str">
        <f>IF(AND(_AC2="A-330-300",'2023'!$D$4="FO",'2023'!$D$2=AI5),'2023DATA3'!$F$8,"")</f>
        <v/>
      </c>
      <c r="AJ11" s="518" t="str">
        <f>IF(AND(_AC2="A-330-300",'2023'!$D$4="FO",'2023'!$D$2=AJ5),'2023DATA3'!$G$8,"")</f>
        <v/>
      </c>
      <c r="AK11" s="518" t="str">
        <f>IF(AND(_AC2="A-330-300",'2023'!$D$4="FO",'2023'!$D$2=AK5),'2023DATA3'!$H$8,"")</f>
        <v/>
      </c>
      <c r="AL11" s="518" t="str">
        <f>IF(AND(_AC2="A-330-300",'2023'!$D$4="FO",'2023'!$D$2=AL5),'2023DATA3'!$I$8,"")</f>
        <v/>
      </c>
      <c r="AM11" s="518" t="str">
        <f>IF(AND(_AC2="A-330-300",'2023'!$D$4="FO",'2023'!$D$2=AM5),'2023DATA3'!$J$8,"")</f>
        <v/>
      </c>
      <c r="AN11" s="518" t="str">
        <f>IF(AND(_AC2="A-330-300",'2023'!$D$4="FO",'2023'!$D$2=AN5),'2023DATA3'!$K$8,"")</f>
        <v/>
      </c>
      <c r="AO11" s="518" t="str">
        <f>IF(AND(_AC2="A-330-300",'2023'!$D$4="FO",'2023'!$D$2=AO5),'2023DATA3'!$L$8,"")</f>
        <v/>
      </c>
      <c r="AP11" s="518" t="str">
        <f>IF(AND(_AC2="A-330-300",'2023'!$D$4="FO",'2023'!$D$2=AP5),'2023DATA3'!$M$8,"")</f>
        <v/>
      </c>
      <c r="AQ11" s="520" t="str">
        <f>IF(AND(_AC2="A-330-300",'2023'!$D$4="FO",'2023'!$D$2=AQ5),'2023DATA3'!$N$8,"")</f>
        <v/>
      </c>
      <c r="AR11" s="940"/>
      <c r="AS11" s="13" t="s">
        <v>62</v>
      </c>
      <c r="AT11" s="518" t="str">
        <f>IF(AND(_AC3="A-330-300",'2023'!$D$4="FO",'2023'!$D$2=AT5),'2023DATA3'!$C$8,"")</f>
        <v/>
      </c>
      <c r="AU11" s="518" t="str">
        <f>IF(AND(_AC3="A-330-300",'2023'!$D$4="FO",'2023'!$D$2=AU5),'2023DATA3'!$D$8,"")</f>
        <v/>
      </c>
      <c r="AV11" s="518" t="str">
        <f>IF(AND(_AC3="A-330-300",'2023'!$D$4="FO",'2023'!$D$2=AV5),'2023DATA3'!$E$8,"")</f>
        <v/>
      </c>
      <c r="AW11" s="518" t="str">
        <f>IF(AND(_AC3="A-330-300",'2023'!$D$4="FO",'2023'!$D$2=AW5),'2023DATA3'!$F$8,"")</f>
        <v/>
      </c>
      <c r="AX11" s="518" t="str">
        <f>IF(AND(_AC3="A-330-300",'2023'!$D$4="FO",'2023'!$D$2=AX5),'2023DATA3'!$G$8,"")</f>
        <v/>
      </c>
      <c r="AY11" s="518" t="str">
        <f>IF(AND(_AC3="A-330-300",'2023'!$D$4="FO",'2023'!$D$2=AY5),'2023DATA3'!$H$8,"")</f>
        <v/>
      </c>
      <c r="AZ11" s="518" t="str">
        <f>IF(AND(_AC3="A-330-300",'2023'!$D$4="FO",'2023'!$D$2=AZ5),'2023DATA3'!$I$8,"")</f>
        <v/>
      </c>
      <c r="BA11" s="518" t="str">
        <f>IF(AND(_AC3="A-330-300",'2023'!$D$4="FO",'2023'!$D$2=BA5),'2023DATA3'!$J$8,"")</f>
        <v/>
      </c>
      <c r="BB11" s="518" t="str">
        <f>IF(AND(_AC3="A-330-300",'2023'!$D$4="FO",'2023'!$D$2=BB5),'2023DATA3'!$K$8,"")</f>
        <v/>
      </c>
      <c r="BC11" s="518" t="str">
        <f>IF(AND(_AC3="A-330-300",'2023'!$D$4="FO",'2023'!$D$2=BC5),'2023DATA3'!$L$8,"")</f>
        <v/>
      </c>
      <c r="BD11" s="518" t="str">
        <f>IF(AND(_AC3="A-330-300",'2023'!$D$4="FO",'2023'!$D$2=BD5),'2023DATA3'!$M$8,"")</f>
        <v/>
      </c>
      <c r="BE11" s="520" t="str">
        <f>IF(AND(_AC3="A-330-300",'2023'!$D$4="FO",'2023'!$D$2=BE5),'2023DATA3'!$N$8,"")</f>
        <v/>
      </c>
      <c r="BF11" s="940"/>
      <c r="BG11" s="13" t="s">
        <v>62</v>
      </c>
      <c r="BH11" s="518" t="str">
        <f>IF(AND(_AC4="A-330-300",'2023'!$D$4="FO",'2023'!$D$2=BH5),'2023DATA3'!$C$8,"")</f>
        <v/>
      </c>
      <c r="BI11" s="518" t="str">
        <f>IF(AND(_AC4="A-330-300",'2023'!$D$4="FO",'2023'!$D$2=BI5),'2023DATA3'!$D$8,"")</f>
        <v/>
      </c>
      <c r="BJ11" s="518" t="str">
        <f>IF(AND(_AC4="A-330-300",'2023'!$D$4="FO",'2023'!$D$2=BJ5),'2023DATA3'!$E$8,"")</f>
        <v/>
      </c>
      <c r="BK11" s="518" t="str">
        <f>IF(AND(_AC4="A-330-300",'2023'!$D$4="FO",'2023'!$D$2=BK5),'2023DATA3'!$F$8,"")</f>
        <v/>
      </c>
      <c r="BL11" s="518" t="str">
        <f>IF(AND(_AC4="A-330-300",'2023'!$D$4="FO",'2023'!$D$2=BL5),'2023DATA3'!$G$8,"")</f>
        <v/>
      </c>
      <c r="BM11" s="518" t="str">
        <f>IF(AND(_AC4="A-330-300",'2023'!$D$4="FO",'2023'!$D$2=BM5),'2023DATA3'!$H$8,"")</f>
        <v/>
      </c>
      <c r="BN11" s="518" t="str">
        <f>IF(AND(_AC4="A-330-300",'2023'!$D$4="FO",'2023'!$D$2=BN5),'2023DATA3'!$I$8,"")</f>
        <v/>
      </c>
      <c r="BO11" s="518" t="str">
        <f>IF(AND(_AC4="A-330-300",'2023'!$D$4="FO",'2023'!$D$2=BO5),'2023DATA3'!$J$8,"")</f>
        <v/>
      </c>
      <c r="BP11" s="518" t="str">
        <f>IF(AND(_AC4="A-330-300",'2023'!$D$4="FO",'2023'!$D$2=BP5),'2023DATA3'!$K$8,"")</f>
        <v/>
      </c>
      <c r="BQ11" s="518" t="str">
        <f>IF(AND(_AC4="A-330-300",'2023'!$D$4="FO",'2023'!$D$2=BQ5),'2023DATA3'!$L$8,"")</f>
        <v/>
      </c>
      <c r="BR11" s="518" t="str">
        <f>IF(AND(_AC4="A-330-300",'2023'!$D$4="FO",'2023'!$D$2=BR5),'2023DATA3'!$M$8,"")</f>
        <v/>
      </c>
      <c r="BS11" s="520" t="str">
        <f>IF(AND(_AC4="A-330-300",'2023'!$D$4="FO",'2023'!$D$2=BS5),'2023DATA3'!$N$8,"")</f>
        <v/>
      </c>
      <c r="BT11" s="940"/>
      <c r="BU11" s="13" t="s">
        <v>62</v>
      </c>
      <c r="BV11" s="518" t="str">
        <f>IF(AND(_AC5="A-330-300",'2023'!$D$4="FO",'2023'!$D$2=BV5),'2023DATA3'!$C$8,"")</f>
        <v/>
      </c>
      <c r="BW11" s="518" t="str">
        <f>IF(AND(_AC5="A-330-300",'2023'!$D$4="FO",'2023'!$D$2=BW5),'2023DATA3'!$D$8,"")</f>
        <v/>
      </c>
      <c r="BX11" s="518" t="str">
        <f>IF(AND(_AC5="A-330-300",'2023'!$D$4="FO",'2023'!$D$2=BX5),'2023DATA3'!$E$8,"")</f>
        <v/>
      </c>
      <c r="BY11" s="518" t="str">
        <f>IF(AND(_AC5="A-330-300",'2023'!$D$4="FO",'2023'!$D$2=BY5),'2023DATA3'!$F$8,"")</f>
        <v/>
      </c>
      <c r="BZ11" s="518" t="str">
        <f>IF(AND(_AC5="A-330-300",'2023'!$D$4="FO",'2023'!$D$2=BZ5),'2023DATA3'!$G$8,"")</f>
        <v/>
      </c>
      <c r="CA11" s="518" t="str">
        <f>IF(AND(_AC5="A-330-300",'2023'!$D$4="FO",'2023'!$D$2=CA5),'2023DATA3'!$H$8,"")</f>
        <v/>
      </c>
      <c r="CB11" s="518" t="str">
        <f>IF(AND(_AC5="A-330-300",'2023'!$D$4="FO",'2023'!$D$2=CB5),'2023DATA3'!$I$8,"")</f>
        <v/>
      </c>
      <c r="CC11" s="518" t="str">
        <f>IF(AND(_AC5="A-330-300",'2023'!$D$4="FO",'2023'!$D$2=CC5),'2023DATA3'!$J$8,"")</f>
        <v/>
      </c>
      <c r="CD11" s="518" t="str">
        <f>IF(AND(_AC5="A-330-300",'2023'!$D$4="FO",'2023'!$D$2=CD5),'2023DATA3'!$K$8,"")</f>
        <v/>
      </c>
      <c r="CE11" s="518" t="str">
        <f>IF(AND(_AC5="A-330-300",'2023'!$D$4="FO",'2023'!$D$2=CE5),'2023DATA3'!$L$8,"")</f>
        <v/>
      </c>
      <c r="CF11" s="518" t="str">
        <f>IF(AND(_AC5="A-330-300",'2023'!$D$4="FO",'2023'!$D$2=CF5),'2023DATA3'!$M$8,"")</f>
        <v/>
      </c>
      <c r="CG11" s="520" t="str">
        <f>IF(AND(_AC5="A-330-300",'2023'!$D$4="FO",'2023'!$D$2=CG5),'2023DATA3'!$N$8,"")</f>
        <v/>
      </c>
      <c r="CH11" s="940"/>
      <c r="CI11" s="13" t="s">
        <v>62</v>
      </c>
      <c r="CJ11" s="518" t="str">
        <f>IF(AND(_AC6="A-330-300",'2023'!$D$4="FO",'2023'!$D$2=CJ5),'2023DATA3'!$C$8,"")</f>
        <v/>
      </c>
      <c r="CK11" s="518" t="str">
        <f>IF(AND(_AC6="A-330-300",'2023'!$D$4="FO",'2023'!$D$2=CK5),'2023DATA3'!$D$8,"")</f>
        <v/>
      </c>
      <c r="CL11" s="518" t="str">
        <f>IF(AND(_AC6="A-330-300",'2023'!$D$4="FO",'2023'!$D$2=CL5),'2023DATA3'!$E$8,"")</f>
        <v/>
      </c>
      <c r="CM11" s="518" t="str">
        <f>IF(AND(_AC6="A-330-300",'2023'!$D$4="FO",'2023'!$D$2=CM5),'2023DATA3'!$F$8,"")</f>
        <v/>
      </c>
      <c r="CN11" s="518" t="str">
        <f>IF(AND(_AC6="A-330-300",'2023'!$D$4="FO",'2023'!$D$2=CN5),'2023DATA3'!$G$8,"")</f>
        <v/>
      </c>
      <c r="CO11" s="518" t="str">
        <f>IF(AND(_AC6="A-330-300",'2023'!$D$4="FO",'2023'!$D$2=CO5),'2023DATA3'!$H$8,"")</f>
        <v/>
      </c>
      <c r="CP11" s="518" t="str">
        <f>IF(AND(_AC6="A-330-300",'2023'!$D$4="FO",'2023'!$D$2=CP5),'2023DATA3'!$I$8,"")</f>
        <v/>
      </c>
      <c r="CQ11" s="518" t="str">
        <f>IF(AND(_AC6="A-330-300",'2023'!$D$4="FO",'2023'!$D$2=CQ5),'2023DATA3'!$J$8,"")</f>
        <v/>
      </c>
      <c r="CR11" s="518" t="str">
        <f>IF(AND(_AC6="A-330-300",'2023'!$D$4="FO",'2023'!$D$2=CR5),'2023DATA3'!$K$8,"")</f>
        <v/>
      </c>
      <c r="CS11" s="518" t="str">
        <f>IF(AND(_AC6="A-330-300",'2023'!$D$4="FO",'2023'!$D$2=CS5),'2023DATA3'!$L$8,"")</f>
        <v/>
      </c>
      <c r="CT11" s="518" t="str">
        <f>IF(AND(_AC6="A-330-300",'2023'!$D$4="FO",'2023'!$D$2=CT5),'2023DATA3'!$M$8,"")</f>
        <v/>
      </c>
      <c r="CU11" s="520" t="str">
        <f>IF(AND(_AC6="A-330-300",'2023'!$D$4="FO",'2023'!$D$2=CU5),'2023DATA3'!$N$8,"")</f>
        <v/>
      </c>
    </row>
    <row r="12" spans="1:99" x14ac:dyDescent="0.25">
      <c r="A12" s="946"/>
      <c r="B12" s="78" t="s">
        <v>62</v>
      </c>
      <c r="C12" s="25">
        <v>285.22000000000003</v>
      </c>
      <c r="D12" s="26">
        <v>282.62</v>
      </c>
      <c r="E12" s="26">
        <v>280.11</v>
      </c>
      <c r="F12" s="26">
        <v>276.36</v>
      </c>
      <c r="G12" s="26">
        <v>273.38</v>
      </c>
      <c r="H12" s="26">
        <v>267.25</v>
      </c>
      <c r="I12" s="26">
        <v>260.02</v>
      </c>
      <c r="J12" s="26">
        <v>253.59</v>
      </c>
      <c r="K12" s="26">
        <v>247.68</v>
      </c>
      <c r="L12" s="26">
        <v>241.82</v>
      </c>
      <c r="M12" s="26">
        <v>206.65</v>
      </c>
      <c r="N12" s="27">
        <v>108.34</v>
      </c>
      <c r="P12" s="940" t="s">
        <v>66</v>
      </c>
      <c r="Q12" s="13" t="s">
        <v>61</v>
      </c>
      <c r="R12" s="518" t="str">
        <f>IF(AND(_AC1="A-330-200",'2023'!$D$4="CA",'2023'!$D$2=R5),'2023DATA3'!$C$9,"")</f>
        <v/>
      </c>
      <c r="S12" s="518" t="str">
        <f>IF(AND(_AC1="A-330-200",'2023'!$D$4="CA",'2023'!$D$2=S5),'2023DATA3'!$D$9,"")</f>
        <v/>
      </c>
      <c r="T12" s="518" t="str">
        <f>IF(AND(_AC1="A-330-200",'2023'!$D$4="CA",'2023'!$D$2=T5),'2023DATA3'!$E$9,"")</f>
        <v/>
      </c>
      <c r="U12" s="518" t="str">
        <f>IF(AND(_AC1="A-330-200",'2023'!$D$4="CA",'2023'!$D$2=U5),'2023DATA3'!$F$9,"")</f>
        <v/>
      </c>
      <c r="V12" s="518" t="str">
        <f>IF(AND(_AC1="A-330-200",'2023'!$D$4="CA",'2023'!$D$2=V5),'2023DATA3'!$G$9,"")</f>
        <v/>
      </c>
      <c r="W12" s="518" t="str">
        <f>IF(AND(_AC1="A-330-200",'2023'!$D$4="CA",'2023'!$D$2=W5),'2023DATA3'!$H$9,"")</f>
        <v/>
      </c>
      <c r="X12" s="518" t="str">
        <f>IF(AND(_AC1="A-330-200",'2023'!$D$4="CA",'2023'!$D$2=X5),'2023DATA3'!$I$9,"")</f>
        <v/>
      </c>
      <c r="Y12" s="518" t="str">
        <f>IF(AND(_AC1="A-330-200",'2023'!$D$4="CA",'2023'!$D$2=Y5),'2023DATA3'!$J$9,"")</f>
        <v/>
      </c>
      <c r="Z12" s="518" t="str">
        <f>IF(AND(_AC1="A-330-200",'2023'!$D$4="CA",'2023'!$D$2=Z5),'2023DATA3'!$K$9,"")</f>
        <v/>
      </c>
      <c r="AA12" s="518" t="str">
        <f>IF(AND(_AC1="A-330-200",'2023'!$D$4="CA",'2023'!$D$2=AA5),'2023DATA3'!$L$9,"")</f>
        <v/>
      </c>
      <c r="AB12" s="518" t="str">
        <f>IF(AND(_AC1="A-330-200",'2023'!$D$4="CA",'2023'!$D$2=AB5),'2023DATA3'!$M$9,"")</f>
        <v/>
      </c>
      <c r="AC12" s="520" t="str">
        <f>IF(AND(_AC1="A-330-200",'2023'!$D$4="CA",'2023'!$D$2=AC5),'2023DATA3'!$N$9,"")</f>
        <v/>
      </c>
      <c r="AD12" s="940" t="s">
        <v>66</v>
      </c>
      <c r="AE12" s="13" t="s">
        <v>61</v>
      </c>
      <c r="AF12" s="518" t="str">
        <f>IF(AND(_AC2="A-330-200",'2023'!$D$4="CA",'2023'!$D$2=AF5),'2023DATA3'!$C$9,"")</f>
        <v/>
      </c>
      <c r="AG12" s="518" t="str">
        <f>IF(AND(_AC2="A-330-200",'2023'!$D$4="CA",'2023'!$D$2=AG5),'2023DATA3'!$D$9,"")</f>
        <v/>
      </c>
      <c r="AH12" s="518" t="str">
        <f>IF(AND(_AC2="A-330-200",'2023'!$D$4="CA",'2023'!$D$2=AH5),'2023DATA3'!$E$9,"")</f>
        <v/>
      </c>
      <c r="AI12" s="518" t="str">
        <f>IF(AND(_AC2="A-330-200",'2023'!$D$4="CA",'2023'!$D$2=AI5),'2023DATA3'!$F$9,"")</f>
        <v/>
      </c>
      <c r="AJ12" s="518" t="str">
        <f>IF(AND(_AC2="A-330-200",'2023'!$D$4="CA",'2023'!$D$2=AJ5),'2023DATA3'!$G$9,"")</f>
        <v/>
      </c>
      <c r="AK12" s="518" t="str">
        <f>IF(AND(_AC2="A-330-200",'2023'!$D$4="CA",'2023'!$D$2=AK5),'2023DATA3'!$H$9,"")</f>
        <v/>
      </c>
      <c r="AL12" s="518" t="str">
        <f>IF(AND(_AC2="A-330-200",'2023'!$D$4="CA",'2023'!$D$2=AL5),'2023DATA3'!$I$9,"")</f>
        <v/>
      </c>
      <c r="AM12" s="518" t="str">
        <f>IF(AND(_AC2="A-330-200",'2023'!$D$4="CA",'2023'!$D$2=AM5),'2023DATA3'!$J$9,"")</f>
        <v/>
      </c>
      <c r="AN12" s="518" t="str">
        <f>IF(AND(_AC2="A-330-200",'2023'!$D$4="CA",'2023'!$D$2=AN5),'2023DATA3'!$K$9,"")</f>
        <v/>
      </c>
      <c r="AO12" s="518" t="str">
        <f>IF(AND(_AC2="A-330-200",'2023'!$D$4="CA",'2023'!$D$2=AO5),'2023DATA3'!$L$9,"")</f>
        <v/>
      </c>
      <c r="AP12" s="518" t="str">
        <f>IF(AND(_AC2="A-330-200",'2023'!$D$4="CA",'2023'!$D$2=AP5),'2023DATA3'!$M$9,"")</f>
        <v/>
      </c>
      <c r="AQ12" s="520" t="str">
        <f>IF(AND(_AC2="A-330-200",'2023'!$D$4="CA",'2023'!$D$2=AQ5),'2023DATA3'!$N$9,"")</f>
        <v/>
      </c>
      <c r="AR12" s="940" t="s">
        <v>66</v>
      </c>
      <c r="AS12" s="13" t="s">
        <v>61</v>
      </c>
      <c r="AT12" s="518" t="str">
        <f>IF(AND(_AC3="A-330-200",'2023'!$D$4="CA",'2023'!$D$2=AT5),'2023DATA3'!$C$9,"")</f>
        <v/>
      </c>
      <c r="AU12" s="518" t="str">
        <f>IF(AND(_AC3="A-330-200",'2023'!$D$4="CA",'2023'!$D$2=AU5),'2023DATA3'!$D$9,"")</f>
        <v/>
      </c>
      <c r="AV12" s="518" t="str">
        <f>IF(AND(_AC3="A-330-200",'2023'!$D$4="CA",'2023'!$D$2=AV5),'2023DATA3'!$E$9,"")</f>
        <v/>
      </c>
      <c r="AW12" s="518" t="str">
        <f>IF(AND(_AC3="A-330-200",'2023'!$D$4="CA",'2023'!$D$2=AW5),'2023DATA3'!$F$9,"")</f>
        <v/>
      </c>
      <c r="AX12" s="518" t="str">
        <f>IF(AND(_AC3="A-330-200",'2023'!$D$4="CA",'2023'!$D$2=AX5),'2023DATA3'!$G$9,"")</f>
        <v/>
      </c>
      <c r="AY12" s="518" t="str">
        <f>IF(AND(_AC3="A-330-200",'2023'!$D$4="CA",'2023'!$D$2=AY5),'2023DATA3'!$H$9,"")</f>
        <v/>
      </c>
      <c r="AZ12" s="518" t="str">
        <f>IF(AND(_AC3="A-330-200",'2023'!$D$4="CA",'2023'!$D$2=AZ5),'2023DATA3'!$I$9,"")</f>
        <v/>
      </c>
      <c r="BA12" s="518" t="str">
        <f>IF(AND(_AC3="A-330-200",'2023'!$D$4="CA",'2023'!$D$2=BA5),'2023DATA3'!$J$9,"")</f>
        <v/>
      </c>
      <c r="BB12" s="518" t="str">
        <f>IF(AND(_AC3="A-330-200",'2023'!$D$4="CA",'2023'!$D$2=BB5),'2023DATA3'!$K$9,"")</f>
        <v/>
      </c>
      <c r="BC12" s="518" t="str">
        <f>IF(AND(_AC3="A-330-200",'2023'!$D$4="CA",'2023'!$D$2=BC5),'2023DATA3'!$L$9,"")</f>
        <v/>
      </c>
      <c r="BD12" s="518" t="str">
        <f>IF(AND(_AC3="A-330-200",'2023'!$D$4="CA",'2023'!$D$2=BD5),'2023DATA3'!$M$9,"")</f>
        <v/>
      </c>
      <c r="BE12" s="520" t="str">
        <f>IF(AND(_AC3="A-330-200",'2023'!$D$4="CA",'2023'!$D$2=BE5),'2023DATA3'!$N$9,"")</f>
        <v/>
      </c>
      <c r="BF12" s="940" t="s">
        <v>66</v>
      </c>
      <c r="BG12" s="13" t="s">
        <v>61</v>
      </c>
      <c r="BH12" s="518" t="str">
        <f>IF(AND(_AC4="A-330-200",'2023'!$D$4="CA",'2023'!$D$2=BH5),'2023DATA3'!$C$9,"")</f>
        <v/>
      </c>
      <c r="BI12" s="518" t="str">
        <f>IF(AND(_AC4="A-330-200",'2023'!$D$4="CA",'2023'!$D$2=BI5),'2023DATA3'!$D$9,"")</f>
        <v/>
      </c>
      <c r="BJ12" s="518" t="str">
        <f>IF(AND(_AC4="A-330-200",'2023'!$D$4="CA",'2023'!$D$2=BJ5),'2023DATA3'!$E$9,"")</f>
        <v/>
      </c>
      <c r="BK12" s="518" t="str">
        <f>IF(AND(_AC4="A-330-200",'2023'!$D$4="CA",'2023'!$D$2=BK5),'2023DATA3'!$F$9,"")</f>
        <v/>
      </c>
      <c r="BL12" s="518" t="str">
        <f>IF(AND(_AC4="A-330-200",'2023'!$D$4="CA",'2023'!$D$2=BL5),'2023DATA3'!$G$9,"")</f>
        <v/>
      </c>
      <c r="BM12" s="518" t="str">
        <f>IF(AND(_AC4="A-330-200",'2023'!$D$4="CA",'2023'!$D$2=BM5),'2023DATA3'!$H$9,"")</f>
        <v/>
      </c>
      <c r="BN12" s="518" t="str">
        <f>IF(AND(_AC4="A-330-200",'2023'!$D$4="CA",'2023'!$D$2=BN5),'2023DATA3'!$I$9,"")</f>
        <v/>
      </c>
      <c r="BO12" s="518" t="str">
        <f>IF(AND(_AC4="A-330-200",'2023'!$D$4="CA",'2023'!$D$2=BO5),'2023DATA3'!$J$9,"")</f>
        <v/>
      </c>
      <c r="BP12" s="518" t="str">
        <f>IF(AND(_AC4="A-330-200",'2023'!$D$4="CA",'2023'!$D$2=BP5),'2023DATA3'!$K$9,"")</f>
        <v/>
      </c>
      <c r="BQ12" s="518" t="str">
        <f>IF(AND(_AC4="A-330-200",'2023'!$D$4="CA",'2023'!$D$2=BQ5),'2023DATA3'!$L$9,"")</f>
        <v/>
      </c>
      <c r="BR12" s="518" t="str">
        <f>IF(AND(_AC4="A-330-200",'2023'!$D$4="CA",'2023'!$D$2=BR5),'2023DATA3'!$M$9,"")</f>
        <v/>
      </c>
      <c r="BS12" s="520" t="str">
        <f>IF(AND(_AC4="A-330-200",'2023'!$D$4="CA",'2023'!$D$2=BS5),'2023DATA3'!$N$9,"")</f>
        <v/>
      </c>
      <c r="BT12" s="940" t="s">
        <v>66</v>
      </c>
      <c r="BU12" s="13" t="s">
        <v>61</v>
      </c>
      <c r="BV12" s="518" t="str">
        <f>IF(AND(_AC5="A-330-200",'2023'!$D$4="CA",'2023'!$D$2=BV5),'2023DATA3'!$C$9,"")</f>
        <v/>
      </c>
      <c r="BW12" s="518" t="str">
        <f>IF(AND(_AC5="A-330-200",'2023'!$D$4="CA",'2023'!$D$2=BW5),'2023DATA3'!$D$9,"")</f>
        <v/>
      </c>
      <c r="BX12" s="518" t="str">
        <f>IF(AND(_AC5="A-330-200",'2023'!$D$4="CA",'2023'!$D$2=BX5),'2023DATA3'!$E$9,"")</f>
        <v/>
      </c>
      <c r="BY12" s="518" t="str">
        <f>IF(AND(_AC5="A-330-200",'2023'!$D$4="CA",'2023'!$D$2=BY5),'2023DATA3'!$F$9,"")</f>
        <v/>
      </c>
      <c r="BZ12" s="518" t="str">
        <f>IF(AND(_AC5="A-330-200",'2023'!$D$4="CA",'2023'!$D$2=BZ5),'2023DATA3'!$G$9,"")</f>
        <v/>
      </c>
      <c r="CA12" s="518" t="str">
        <f>IF(AND(_AC5="A-330-200",'2023'!$D$4="CA",'2023'!$D$2=CA5),'2023DATA3'!$H$9,"")</f>
        <v/>
      </c>
      <c r="CB12" s="518" t="str">
        <f>IF(AND(_AC5="A-330-200",'2023'!$D$4="CA",'2023'!$D$2=CB5),'2023DATA3'!$I$9,"")</f>
        <v/>
      </c>
      <c r="CC12" s="518" t="str">
        <f>IF(AND(_AC5="A-330-200",'2023'!$D$4="CA",'2023'!$D$2=CC5),'2023DATA3'!$J$9,"")</f>
        <v/>
      </c>
      <c r="CD12" s="518" t="str">
        <f>IF(AND(_AC5="A-330-200",'2023'!$D$4="CA",'2023'!$D$2=CD5),'2023DATA3'!$K$9,"")</f>
        <v/>
      </c>
      <c r="CE12" s="518" t="str">
        <f>IF(AND(_AC5="A-330-200",'2023'!$D$4="CA",'2023'!$D$2=CE5),'2023DATA3'!$L$9,"")</f>
        <v/>
      </c>
      <c r="CF12" s="518" t="str">
        <f>IF(AND(_AC5="A-330-200",'2023'!$D$4="CA",'2023'!$D$2=CF5),'2023DATA3'!$M$9,"")</f>
        <v/>
      </c>
      <c r="CG12" s="520" t="str">
        <f>IF(AND(_AC5="A-330-200",'2023'!$D$4="CA",'2023'!$D$2=CG5),'2023DATA3'!$N$9,"")</f>
        <v/>
      </c>
      <c r="CH12" s="940" t="s">
        <v>66</v>
      </c>
      <c r="CI12" s="13" t="s">
        <v>61</v>
      </c>
      <c r="CJ12" s="518" t="str">
        <f>IF(AND(_AC6="A-330-200",'2023'!$D$4="CA",'2023'!$D$2=CJ5),'2023DATA3'!$C$9,"")</f>
        <v/>
      </c>
      <c r="CK12" s="518" t="str">
        <f>IF(AND(_AC6="A-330-200",'2023'!$D$4="CA",'2023'!$D$2=CK5),'2023DATA3'!$D$9,"")</f>
        <v/>
      </c>
      <c r="CL12" s="518" t="str">
        <f>IF(AND(_AC6="A-330-200",'2023'!$D$4="CA",'2023'!$D$2=CL5),'2023DATA3'!$E$9,"")</f>
        <v/>
      </c>
      <c r="CM12" s="518" t="str">
        <f>IF(AND(_AC6="A-330-200",'2023'!$D$4="CA",'2023'!$D$2=CM5),'2023DATA3'!$F$9,"")</f>
        <v/>
      </c>
      <c r="CN12" s="518" t="str">
        <f>IF(AND(_AC6="A-330-200",'2023'!$D$4="CA",'2023'!$D$2=CN5),'2023DATA3'!$G$9,"")</f>
        <v/>
      </c>
      <c r="CO12" s="518" t="str">
        <f>IF(AND(_AC6="A-330-200",'2023'!$D$4="CA",'2023'!$D$2=CO5),'2023DATA3'!$H$9,"")</f>
        <v/>
      </c>
      <c r="CP12" s="518" t="str">
        <f>IF(AND(_AC6="A-330-200",'2023'!$D$4="CA",'2023'!$D$2=CP5),'2023DATA3'!$I$9,"")</f>
        <v/>
      </c>
      <c r="CQ12" s="518" t="str">
        <f>IF(AND(_AC6="A-330-200",'2023'!$D$4="CA",'2023'!$D$2=CQ5),'2023DATA3'!$J$9,"")</f>
        <v/>
      </c>
      <c r="CR12" s="518" t="str">
        <f>IF(AND(_AC6="A-330-200",'2023'!$D$4="CA",'2023'!$D$2=CR5),'2023DATA3'!$K$9,"")</f>
        <v/>
      </c>
      <c r="CS12" s="518" t="str">
        <f>IF(AND(_AC6="A-330-200",'2023'!$D$4="CA",'2023'!$D$2=CS5),'2023DATA3'!$L$9,"")</f>
        <v/>
      </c>
      <c r="CT12" s="518" t="str">
        <f>IF(AND(_AC6="A-330-200",'2023'!$D$4="CA",'2023'!$D$2=CT5),'2023DATA3'!$M$9,"")</f>
        <v/>
      </c>
      <c r="CU12" s="520" t="str">
        <f>IF(AND(_AC6="A-330-200",'2023'!$D$4="CA",'2023'!$D$2=CU5),'2023DATA3'!$N$9,"")</f>
        <v/>
      </c>
    </row>
    <row r="13" spans="1:99" x14ac:dyDescent="0.25">
      <c r="A13" s="946" t="s">
        <v>43</v>
      </c>
      <c r="B13" s="78" t="s">
        <v>61</v>
      </c>
      <c r="C13" s="25">
        <v>349.5</v>
      </c>
      <c r="D13" s="26">
        <v>345.93</v>
      </c>
      <c r="E13" s="26">
        <v>342.25</v>
      </c>
      <c r="F13" s="26">
        <v>338.61</v>
      </c>
      <c r="G13" s="26">
        <v>336.22</v>
      </c>
      <c r="H13" s="26">
        <v>333.46</v>
      </c>
      <c r="I13" s="26">
        <v>331.01</v>
      </c>
      <c r="J13" s="26">
        <v>328.45</v>
      </c>
      <c r="K13" s="26">
        <v>325.68</v>
      </c>
      <c r="L13" s="26">
        <v>323.06</v>
      </c>
      <c r="M13" s="26">
        <v>320.45999999999998</v>
      </c>
      <c r="N13" s="27">
        <v>317.76</v>
      </c>
      <c r="P13" s="940"/>
      <c r="Q13" s="13" t="s">
        <v>62</v>
      </c>
      <c r="R13" s="518" t="str">
        <f>IF(AND(_AC1="A-330-200",'2023'!$D$4="FO",'2023'!$D$2=R5),'2023DATA3'!$C$10,"")</f>
        <v/>
      </c>
      <c r="S13" s="518" t="str">
        <f>IF(AND(_AC1="A-330-200",'2023'!$D$4="FO",'2023'!$D$2=S5),'2023DATA3'!$D$10,"")</f>
        <v/>
      </c>
      <c r="T13" s="518" t="str">
        <f>IF(AND(_AC1="A-330-200",'2023'!$D$4="FO",'2023'!$D$2=T5),'2023DATA3'!$E$10,"")</f>
        <v/>
      </c>
      <c r="U13" s="518" t="str">
        <f>IF(AND(_AC1="A-330-200",'2023'!$D$4="FO",'2023'!$D$2=U5),'2023DATA3'!$F$10,"")</f>
        <v/>
      </c>
      <c r="V13" s="518" t="str">
        <f>IF(AND(_AC1="A-330-200",'2023'!$D$4="FO",'2023'!$D$2=V5),'2023DATA3'!$G$10,"")</f>
        <v/>
      </c>
      <c r="W13" s="518" t="str">
        <f>IF(AND(_AC1="A-330-200",'2023'!$D$4="FO",'2023'!$D$2=W5),'2023DATA3'!$H$10,"")</f>
        <v/>
      </c>
      <c r="X13" s="518" t="str">
        <f>IF(AND(_AC1="A-330-200",'2023'!$D$4="FO",'2023'!$D$2=X5),'2023DATA3'!$I$10,"")</f>
        <v/>
      </c>
      <c r="Y13" s="518" t="str">
        <f>IF(AND(_AC1="A-330-200",'2023'!$D$4="FO",'2023'!$D$2=Y5),'2023DATA3'!$J$10,"")</f>
        <v/>
      </c>
      <c r="Z13" s="518" t="str">
        <f>IF(AND(_AC1="A-330-200",'2023'!$D$4="FO",'2023'!$D$2=Z5),'2023DATA3'!$K$10,"")</f>
        <v/>
      </c>
      <c r="AA13" s="518" t="str">
        <f>IF(AND(_AC1="A-330-200",'2023'!$D$4="FO",'2023'!$D$2=AA5),'2023DATA3'!$L$10,"")</f>
        <v/>
      </c>
      <c r="AB13" s="518" t="str">
        <f>IF(AND(_AC1="A-330-200",'2023'!$D$4="FO",'2023'!$D$2=AB5),'2023DATA3'!$M$10,"")</f>
        <v/>
      </c>
      <c r="AC13" s="520" t="str">
        <f>IF(AND(_AC1="A-330-200",'2023'!$D$4="FO",'2023'!$D$2=AC5),'2023DATA3'!$N$10,"")</f>
        <v/>
      </c>
      <c r="AD13" s="940"/>
      <c r="AE13" s="13" t="s">
        <v>62</v>
      </c>
      <c r="AF13" s="518" t="str">
        <f>IF(AND(_AC2="A-330-200",'2023'!$D$4="FO",'2023'!$D$2=AF5),'2023DATA3'!$C$10,"")</f>
        <v/>
      </c>
      <c r="AG13" s="518" t="str">
        <f>IF(AND(_AC2="A-330-200",'2023'!$D$4="FO",'2023'!$D$2=AG5),'2023DATA3'!$D$10,"")</f>
        <v/>
      </c>
      <c r="AH13" s="518" t="str">
        <f>IF(AND(_AC2="A-330-200",'2023'!$D$4="FO",'2023'!$D$2=AH5),'2023DATA3'!$E$10,"")</f>
        <v/>
      </c>
      <c r="AI13" s="518" t="str">
        <f>IF(AND(_AC2="A-330-200",'2023'!$D$4="FO",'2023'!$D$2=AI5),'2023DATA3'!$F$10,"")</f>
        <v/>
      </c>
      <c r="AJ13" s="518" t="str">
        <f>IF(AND(_AC2="A-330-200",'2023'!$D$4="FO",'2023'!$D$2=AJ5),'2023DATA3'!$G$10,"")</f>
        <v/>
      </c>
      <c r="AK13" s="518" t="str">
        <f>IF(AND(_AC2="A-330-200",'2023'!$D$4="FO",'2023'!$D$2=AK5),'2023DATA3'!$H$10,"")</f>
        <v/>
      </c>
      <c r="AL13" s="518" t="str">
        <f>IF(AND(_AC2="A-330-200",'2023'!$D$4="FO",'2023'!$D$2=AL5),'2023DATA3'!$I$10,"")</f>
        <v/>
      </c>
      <c r="AM13" s="518" t="str">
        <f>IF(AND(_AC2="A-330-200",'2023'!$D$4="FO",'2023'!$D$2=AM5),'2023DATA3'!$J$10,"")</f>
        <v/>
      </c>
      <c r="AN13" s="518" t="str">
        <f>IF(AND(_AC2="A-330-200",'2023'!$D$4="FO",'2023'!$D$2=AN5),'2023DATA3'!$K$10,"")</f>
        <v/>
      </c>
      <c r="AO13" s="518" t="str">
        <f>IF(AND(_AC2="A-330-200",'2023'!$D$4="FO",'2023'!$D$2=AO5),'2023DATA3'!$L$10,"")</f>
        <v/>
      </c>
      <c r="AP13" s="518" t="str">
        <f>IF(AND(_AC2="A-330-200",'2023'!$D$4="FO",'2023'!$D$2=AP5),'2023DATA3'!$M$10,"")</f>
        <v/>
      </c>
      <c r="AQ13" s="520" t="str">
        <f>IF(AND(_AC2="A-330-200",'2023'!$D$4="FO",'2023'!$D$2=AQ5),'2023DATA3'!$N$10,"")</f>
        <v/>
      </c>
      <c r="AR13" s="940"/>
      <c r="AS13" s="13" t="s">
        <v>62</v>
      </c>
      <c r="AT13" s="518" t="str">
        <f>IF(AND(_AC3="A-330-200",'2023'!$D$4="FO",'2023'!$D$2=AT5),'2023DATA3'!$C$10,"")</f>
        <v/>
      </c>
      <c r="AU13" s="518" t="str">
        <f>IF(AND(_AC3="A-330-200",'2023'!$D$4="FO",'2023'!$D$2=AU5),'2023DATA3'!$D$10,"")</f>
        <v/>
      </c>
      <c r="AV13" s="518" t="str">
        <f>IF(AND(_AC3="A-330-200",'2023'!$D$4="FO",'2023'!$D$2=AV5),'2023DATA3'!$E$10,"")</f>
        <v/>
      </c>
      <c r="AW13" s="518" t="str">
        <f>IF(AND(_AC3="A-330-200",'2023'!$D$4="FO",'2023'!$D$2=AW5),'2023DATA3'!$F$10,"")</f>
        <v/>
      </c>
      <c r="AX13" s="518" t="str">
        <f>IF(AND(_AC3="A-330-200",'2023'!$D$4="FO",'2023'!$D$2=AX5),'2023DATA3'!$G$10,"")</f>
        <v/>
      </c>
      <c r="AY13" s="518" t="str">
        <f>IF(AND(_AC3="A-330-200",'2023'!$D$4="FO",'2023'!$D$2=AY5),'2023DATA3'!$H$10,"")</f>
        <v/>
      </c>
      <c r="AZ13" s="518" t="str">
        <f>IF(AND(_AC3="A-330-200",'2023'!$D$4="FO",'2023'!$D$2=AZ5),'2023DATA3'!$I$10,"")</f>
        <v/>
      </c>
      <c r="BA13" s="518" t="str">
        <f>IF(AND(_AC3="A-330-200",'2023'!$D$4="FO",'2023'!$D$2=BA5),'2023DATA3'!$J$10,"")</f>
        <v/>
      </c>
      <c r="BB13" s="518" t="str">
        <f>IF(AND(_AC3="A-330-200",'2023'!$D$4="FO",'2023'!$D$2=BB5),'2023DATA3'!$K$10,"")</f>
        <v/>
      </c>
      <c r="BC13" s="518" t="str">
        <f>IF(AND(_AC3="A-330-200",'2023'!$D$4="FO",'2023'!$D$2=BC5),'2023DATA3'!$L$10,"")</f>
        <v/>
      </c>
      <c r="BD13" s="518" t="str">
        <f>IF(AND(_AC3="A-330-200",'2023'!$D$4="FO",'2023'!$D$2=BD5),'2023DATA3'!$M$10,"")</f>
        <v/>
      </c>
      <c r="BE13" s="520" t="str">
        <f>IF(AND(_AC3="A-330-200",'2023'!$D$4="FO",'2023'!$D$2=BE5),'2023DATA3'!$N$10,"")</f>
        <v/>
      </c>
      <c r="BF13" s="940"/>
      <c r="BG13" s="13" t="s">
        <v>62</v>
      </c>
      <c r="BH13" s="518" t="str">
        <f>IF(AND(_AC4="A-330-200",'2023'!$D$4="FO",'2023'!$D$2=BH5),'2023DATA3'!$C$10,"")</f>
        <v/>
      </c>
      <c r="BI13" s="518" t="str">
        <f>IF(AND(_AC4="A-330-200",'2023'!$D$4="FO",'2023'!$D$2=BI5),'2023DATA3'!$D$10,"")</f>
        <v/>
      </c>
      <c r="BJ13" s="518" t="str">
        <f>IF(AND(_AC4="A-330-200",'2023'!$D$4="FO",'2023'!$D$2=BJ5),'2023DATA3'!$E$10,"")</f>
        <v/>
      </c>
      <c r="BK13" s="518" t="str">
        <f>IF(AND(_AC4="A-330-200",'2023'!$D$4="FO",'2023'!$D$2=BK5),'2023DATA3'!$F$10,"")</f>
        <v/>
      </c>
      <c r="BL13" s="518" t="str">
        <f>IF(AND(_AC4="A-330-200",'2023'!$D$4="FO",'2023'!$D$2=BL5),'2023DATA3'!$G$10,"")</f>
        <v/>
      </c>
      <c r="BM13" s="518" t="str">
        <f>IF(AND(_AC4="A-330-200",'2023'!$D$4="FO",'2023'!$D$2=BM5),'2023DATA3'!$H$10,"")</f>
        <v/>
      </c>
      <c r="BN13" s="518" t="str">
        <f>IF(AND(_AC4="A-330-200",'2023'!$D$4="FO",'2023'!$D$2=BN5),'2023DATA3'!$I$10,"")</f>
        <v/>
      </c>
      <c r="BO13" s="518" t="str">
        <f>IF(AND(_AC4="A-330-200",'2023'!$D$4="FO",'2023'!$D$2=BO5),'2023DATA3'!$J$10,"")</f>
        <v/>
      </c>
      <c r="BP13" s="518" t="str">
        <f>IF(AND(_AC4="A-330-200",'2023'!$D$4="FO",'2023'!$D$2=BP5),'2023DATA3'!$K$10,"")</f>
        <v/>
      </c>
      <c r="BQ13" s="518" t="str">
        <f>IF(AND(_AC4="A-330-200",'2023'!$D$4="FO",'2023'!$D$2=BQ5),'2023DATA3'!$L$10,"")</f>
        <v/>
      </c>
      <c r="BR13" s="518" t="str">
        <f>IF(AND(_AC4="A-330-200",'2023'!$D$4="FO",'2023'!$D$2=BR5),'2023DATA3'!$M$10,"")</f>
        <v/>
      </c>
      <c r="BS13" s="520" t="str">
        <f>IF(AND(_AC4="A-330-200",'2023'!$D$4="FO",'2023'!$D$2=BS5),'2023DATA3'!$N$10,"")</f>
        <v/>
      </c>
      <c r="BT13" s="940"/>
      <c r="BU13" s="13" t="s">
        <v>62</v>
      </c>
      <c r="BV13" s="518" t="str">
        <f>IF(AND(_AC5="A-330-200",'2023'!$D$4="FO",'2023'!$D$2=BV5),'2023DATA3'!$C$10,"")</f>
        <v/>
      </c>
      <c r="BW13" s="518" t="str">
        <f>IF(AND(_AC5="A-330-200",'2023'!$D$4="FO",'2023'!$D$2=BW5),'2023DATA3'!$D$10,"")</f>
        <v/>
      </c>
      <c r="BX13" s="518" t="str">
        <f>IF(AND(_AC5="A-330-200",'2023'!$D$4="FO",'2023'!$D$2=BX5),'2023DATA3'!$E$10,"")</f>
        <v/>
      </c>
      <c r="BY13" s="518" t="str">
        <f>IF(AND(_AC5="A-330-200",'2023'!$D$4="FO",'2023'!$D$2=BY5),'2023DATA3'!$F$10,"")</f>
        <v/>
      </c>
      <c r="BZ13" s="518" t="str">
        <f>IF(AND(_AC5="A-330-200",'2023'!$D$4="FO",'2023'!$D$2=BZ5),'2023DATA3'!$G$10,"")</f>
        <v/>
      </c>
      <c r="CA13" s="518" t="str">
        <f>IF(AND(_AC5="A-330-200",'2023'!$D$4="FO",'2023'!$D$2=CA5),'2023DATA3'!$H$10,"")</f>
        <v/>
      </c>
      <c r="CB13" s="518" t="str">
        <f>IF(AND(_AC5="A-330-200",'2023'!$D$4="FO",'2023'!$D$2=CB5),'2023DATA3'!$I$10,"")</f>
        <v/>
      </c>
      <c r="CC13" s="518" t="str">
        <f>IF(AND(_AC5="A-330-200",'2023'!$D$4="FO",'2023'!$D$2=CC5),'2023DATA3'!$J$10,"")</f>
        <v/>
      </c>
      <c r="CD13" s="518" t="str">
        <f>IF(AND(_AC5="A-330-200",'2023'!$D$4="FO",'2023'!$D$2=CD5),'2023DATA3'!$K$10,"")</f>
        <v/>
      </c>
      <c r="CE13" s="518" t="str">
        <f>IF(AND(_AC5="A-330-200",'2023'!$D$4="FO",'2023'!$D$2=CE5),'2023DATA3'!$L$10,"")</f>
        <v/>
      </c>
      <c r="CF13" s="518" t="str">
        <f>IF(AND(_AC5="A-330-200",'2023'!$D$4="FO",'2023'!$D$2=CF5),'2023DATA3'!$M$10,"")</f>
        <v/>
      </c>
      <c r="CG13" s="520" t="str">
        <f>IF(AND(_AC5="A-330-200",'2023'!$D$4="FO",'2023'!$D$2=CG5),'2023DATA3'!$N$10,"")</f>
        <v/>
      </c>
      <c r="CH13" s="940"/>
      <c r="CI13" s="13" t="s">
        <v>62</v>
      </c>
      <c r="CJ13" s="518" t="str">
        <f>IF(AND(_AC6="A-330-200",'2023'!$D$4="FO",'2023'!$D$2=CJ5),'2023DATA3'!$C$10,"")</f>
        <v/>
      </c>
      <c r="CK13" s="518" t="str">
        <f>IF(AND(_AC6="A-330-200",'2023'!$D$4="FO",'2023'!$D$2=CK5),'2023DATA3'!$D$10,"")</f>
        <v/>
      </c>
      <c r="CL13" s="518" t="str">
        <f>IF(AND(_AC6="A-330-200",'2023'!$D$4="FO",'2023'!$D$2=CL5),'2023DATA3'!$E$10,"")</f>
        <v/>
      </c>
      <c r="CM13" s="518" t="str">
        <f>IF(AND(_AC6="A-330-200",'2023'!$D$4="FO",'2023'!$D$2=CM5),'2023DATA3'!$F$10,"")</f>
        <v/>
      </c>
      <c r="CN13" s="518" t="str">
        <f>IF(AND(_AC6="A-330-200",'2023'!$D$4="FO",'2023'!$D$2=CN5),'2023DATA3'!$G$10,"")</f>
        <v/>
      </c>
      <c r="CO13" s="518" t="str">
        <f>IF(AND(_AC6="A-330-200",'2023'!$D$4="FO",'2023'!$D$2=CO5),'2023DATA3'!$H$10,"")</f>
        <v/>
      </c>
      <c r="CP13" s="518" t="str">
        <f>IF(AND(_AC6="A-330-200",'2023'!$D$4="FO",'2023'!$D$2=CP5),'2023DATA3'!$I$10,"")</f>
        <v/>
      </c>
      <c r="CQ13" s="518" t="str">
        <f>IF(AND(_AC6="A-330-200",'2023'!$D$4="FO",'2023'!$D$2=CQ5),'2023DATA3'!$J$10,"")</f>
        <v/>
      </c>
      <c r="CR13" s="518" t="str">
        <f>IF(AND(_AC6="A-330-200",'2023'!$D$4="FO",'2023'!$D$2=CR5),'2023DATA3'!$K$10,"")</f>
        <v/>
      </c>
      <c r="CS13" s="518" t="str">
        <f>IF(AND(_AC6="A-330-200",'2023'!$D$4="FO",'2023'!$D$2=CS5),'2023DATA3'!$L$10,"")</f>
        <v/>
      </c>
      <c r="CT13" s="518" t="str">
        <f>IF(AND(_AC6="A-330-200",'2023'!$D$4="FO",'2023'!$D$2=CT5),'2023DATA3'!$M$10,"")</f>
        <v/>
      </c>
      <c r="CU13" s="520" t="str">
        <f>IF(AND(_AC6="A-330-200",'2023'!$D$4="FO",'2023'!$D$2=CU5),'2023DATA3'!$N$10,"")</f>
        <v/>
      </c>
    </row>
    <row r="14" spans="1:99" x14ac:dyDescent="0.25">
      <c r="A14" s="946"/>
      <c r="B14" s="78" t="s">
        <v>62</v>
      </c>
      <c r="C14" s="25">
        <v>238.71</v>
      </c>
      <c r="D14" s="26">
        <v>235.93</v>
      </c>
      <c r="E14" s="26">
        <v>233.07</v>
      </c>
      <c r="F14" s="26">
        <v>229.26</v>
      </c>
      <c r="G14" s="26">
        <v>226.96</v>
      </c>
      <c r="H14" s="26">
        <v>221.76</v>
      </c>
      <c r="I14" s="26">
        <v>215.81</v>
      </c>
      <c r="J14" s="26">
        <v>210.54</v>
      </c>
      <c r="K14" s="26">
        <v>205.51</v>
      </c>
      <c r="L14" s="26">
        <v>200.62</v>
      </c>
      <c r="M14" s="26">
        <v>171.44</v>
      </c>
      <c r="N14" s="27">
        <v>108.34</v>
      </c>
      <c r="P14" s="940" t="s">
        <v>42</v>
      </c>
      <c r="Q14" s="13" t="s">
        <v>61</v>
      </c>
      <c r="R14" s="518" t="str">
        <f>IF(AND(_AC1="B-767-400ER",'2023'!$D$4="CA",'2023'!$D$2=R5),'2023DATA3'!$C$11,"")</f>
        <v/>
      </c>
      <c r="S14" s="518" t="str">
        <f>IF(AND(_AC1="B-767-400ER",'2023'!$D$4="CA",'2023'!$D$2=S5),'2023DATA3'!$D$11,"")</f>
        <v/>
      </c>
      <c r="T14" s="518" t="str">
        <f>IF(AND(_AC1="B-767-400ER",'2023'!$D$4="CA",'2023'!$D$2=T5),'2023DATA3'!$E$11,"")</f>
        <v/>
      </c>
      <c r="U14" s="518" t="str">
        <f>IF(AND(_AC1="B-767-400ER",'2023'!$D$4="CA",'2023'!$D$2=U5),'2023DATA3'!$F$11,"")</f>
        <v/>
      </c>
      <c r="V14" s="518" t="str">
        <f>IF(AND(_AC1="B-767-400ER",'2023'!$D$4="CA",'2023'!$D$2=V5),'2023DATA3'!$G$11,"")</f>
        <v/>
      </c>
      <c r="W14" s="518" t="str">
        <f>IF(AND(_AC1="B-767-400ER",'2023'!$D$4="CA",'2023'!$D$2=W5),'2023DATA3'!$H$11,"")</f>
        <v/>
      </c>
      <c r="X14" s="518" t="str">
        <f>IF(AND(_AC1="B-767-400ER",'2023'!$D$4="CA",'2023'!$D$2=X5),'2023DATA3'!$I$11,"")</f>
        <v/>
      </c>
      <c r="Y14" s="518" t="str">
        <f>IF(AND(_AC1="B-767-400ER",'2023'!$D$4="CA",'2023'!$D$2=Y5),'2023DATA3'!$J$11,"")</f>
        <v/>
      </c>
      <c r="Z14" s="518" t="str">
        <f>IF(AND(_AC1="B-767-400ER",'2023'!$D$4="CA",'2023'!$D$2=Z5),'2023DATA3'!$K$11,"")</f>
        <v/>
      </c>
      <c r="AA14" s="518" t="str">
        <f>IF(AND(_AC1="B-767-400ER",'2023'!$D$4="CA",'2023'!$D$2=AA5),'2023DATA3'!$L$11,"")</f>
        <v/>
      </c>
      <c r="AB14" s="518" t="str">
        <f>IF(AND(_AC1="B-767-400ER",'2023'!$D$4="CA",'2023'!$D$2=AB5),'2023DATA3'!$M$11,"")</f>
        <v/>
      </c>
      <c r="AC14" s="520" t="str">
        <f>IF(AND(_AC1="B-767-400ER",'2023'!$D$4="CA",'2023'!$D$2=AC5),'2023DATA3'!$N$11,"")</f>
        <v/>
      </c>
      <c r="AD14" s="940" t="s">
        <v>42</v>
      </c>
      <c r="AE14" s="13" t="s">
        <v>61</v>
      </c>
      <c r="AF14" s="518" t="str">
        <f>IF(AND(_AC2="B-767-400ER",'2023'!$D$4="CA",'2023'!$D$2=AF5),'2023DATA3'!$C$11,"")</f>
        <v/>
      </c>
      <c r="AG14" s="518" t="str">
        <f>IF(AND(_AC2="B-767-400ER",'2023'!$D$4="CA",'2023'!$D$2=AG5),'2023DATA3'!$D$11,"")</f>
        <v/>
      </c>
      <c r="AH14" s="518" t="str">
        <f>IF(AND(_AC2="B-767-400ER",'2023'!$D$4="CA",'2023'!$D$2=AH5),'2023DATA3'!$E$11,"")</f>
        <v/>
      </c>
      <c r="AI14" s="518" t="str">
        <f>IF(AND(_AC2="B-767-400ER",'2023'!$D$4="CA",'2023'!$D$2=AI5),'2023DATA3'!$F$11,"")</f>
        <v/>
      </c>
      <c r="AJ14" s="518" t="str">
        <f>IF(AND(_AC2="B-767-400ER",'2023'!$D$4="CA",'2023'!$D$2=AJ5),'2023DATA3'!$G$11,"")</f>
        <v/>
      </c>
      <c r="AK14" s="518" t="str">
        <f>IF(AND(_AC2="B-767-400ER",'2023'!$D$4="CA",'2023'!$D$2=AK5),'2023DATA3'!$H$11,"")</f>
        <v/>
      </c>
      <c r="AL14" s="518" t="str">
        <f>IF(AND(_AC2="B-767-400ER",'2023'!$D$4="CA",'2023'!$D$2=AL5),'2023DATA3'!$I$11,"")</f>
        <v/>
      </c>
      <c r="AM14" s="518" t="str">
        <f>IF(AND(_AC2="B-767-400ER",'2023'!$D$4="CA",'2023'!$D$2=AM5),'2023DATA3'!$J$11,"")</f>
        <v/>
      </c>
      <c r="AN14" s="518" t="str">
        <f>IF(AND(_AC2="B-767-400ER",'2023'!$D$4="CA",'2023'!$D$2=AN5),'2023DATA3'!$K$11,"")</f>
        <v/>
      </c>
      <c r="AO14" s="518" t="str">
        <f>IF(AND(_AC2="B-767-400ER",'2023'!$D$4="CA",'2023'!$D$2=AO5),'2023DATA3'!$L$11,"")</f>
        <v/>
      </c>
      <c r="AP14" s="518" t="str">
        <f>IF(AND(_AC2="B-767-400ER",'2023'!$D$4="CA",'2023'!$D$2=AP5),'2023DATA3'!$M$11,"")</f>
        <v/>
      </c>
      <c r="AQ14" s="520" t="str">
        <f>IF(AND(_AC2="B-767-400ER",'2023'!$D$4="CA",'2023'!$D$2=AQ5),'2023DATA3'!$N$11,"")</f>
        <v/>
      </c>
      <c r="AR14" s="940" t="s">
        <v>42</v>
      </c>
      <c r="AS14" s="13" t="s">
        <v>61</v>
      </c>
      <c r="AT14" s="518" t="str">
        <f>IF(AND(_AC3="B-767-400ER",'2023'!$D$4="CA",'2023'!$D$2=AT5),'2023DATA3'!$C$11,"")</f>
        <v/>
      </c>
      <c r="AU14" s="518" t="str">
        <f>IF(AND(_AC3="B-767-400ER",'2023'!$D$4="CA",'2023'!$D$2=AU5),'2023DATA3'!$D$11,"")</f>
        <v/>
      </c>
      <c r="AV14" s="518" t="str">
        <f>IF(AND(_AC3="B-767-400ER",'2023'!$D$4="CA",'2023'!$D$2=AV5),'2023DATA3'!$E$11,"")</f>
        <v/>
      </c>
      <c r="AW14" s="518" t="str">
        <f>IF(AND(_AC3="B-767-400ER",'2023'!$D$4="CA",'2023'!$D$2=AW5),'2023DATA3'!$F$11,"")</f>
        <v/>
      </c>
      <c r="AX14" s="518" t="str">
        <f>IF(AND(_AC3="B-767-400ER",'2023'!$D$4="CA",'2023'!$D$2=AX5),'2023DATA3'!$G$11,"")</f>
        <v/>
      </c>
      <c r="AY14" s="518" t="str">
        <f>IF(AND(_AC3="B-767-400ER",'2023'!$D$4="CA",'2023'!$D$2=AY5),'2023DATA3'!$H$11,"")</f>
        <v/>
      </c>
      <c r="AZ14" s="518" t="str">
        <f>IF(AND(_AC3="B-767-400ER",'2023'!$D$4="CA",'2023'!$D$2=AZ5),'2023DATA3'!$I$11,"")</f>
        <v/>
      </c>
      <c r="BA14" s="518" t="str">
        <f>IF(AND(_AC3="B-767-400ER",'2023'!$D$4="CA",'2023'!$D$2=BA5),'2023DATA3'!$J$11,"")</f>
        <v/>
      </c>
      <c r="BB14" s="518" t="str">
        <f>IF(AND(_AC3="B-767-400ER",'2023'!$D$4="CA",'2023'!$D$2=BB5),'2023DATA3'!$K$11,"")</f>
        <v/>
      </c>
      <c r="BC14" s="518" t="str">
        <f>IF(AND(_AC3="B-767-400ER",'2023'!$D$4="CA",'2023'!$D$2=BC5),'2023DATA3'!$L$11,"")</f>
        <v/>
      </c>
      <c r="BD14" s="518" t="str">
        <f>IF(AND(_AC3="B-767-400ER",'2023'!$D$4="CA",'2023'!$D$2=BD5),'2023DATA3'!$M$11,"")</f>
        <v/>
      </c>
      <c r="BE14" s="520" t="str">
        <f>IF(AND(_AC3="B-767-400ER",'2023'!$D$4="CA",'2023'!$D$2=BE5),'2023DATA3'!$N$11,"")</f>
        <v/>
      </c>
      <c r="BF14" s="940" t="s">
        <v>42</v>
      </c>
      <c r="BG14" s="13" t="s">
        <v>61</v>
      </c>
      <c r="BH14" s="518" t="str">
        <f>IF(AND(_AC4="B-767-400ER",'2023'!$D$4="CA",'2023'!$D$2=BH5),'2023DATA3'!$C$11,"")</f>
        <v/>
      </c>
      <c r="BI14" s="518" t="str">
        <f>IF(AND(_AC4="B-767-400ER",'2023'!$D$4="CA",'2023'!$D$2=BI5),'2023DATA3'!$D$11,"")</f>
        <v/>
      </c>
      <c r="BJ14" s="518" t="str">
        <f>IF(AND(_AC4="B-767-400ER",'2023'!$D$4="CA",'2023'!$D$2=BJ5),'2023DATA3'!$E$11,"")</f>
        <v/>
      </c>
      <c r="BK14" s="518" t="str">
        <f>IF(AND(_AC4="B-767-400ER",'2023'!$D$4="CA",'2023'!$D$2=BK5),'2023DATA3'!$F$11,"")</f>
        <v/>
      </c>
      <c r="BL14" s="518" t="str">
        <f>IF(AND(_AC4="B-767-400ER",'2023'!$D$4="CA",'2023'!$D$2=BL5),'2023DATA3'!$G$11,"")</f>
        <v/>
      </c>
      <c r="BM14" s="518" t="str">
        <f>IF(AND(_AC4="B-767-400ER",'2023'!$D$4="CA",'2023'!$D$2=BM5),'2023DATA3'!$H$11,"")</f>
        <v/>
      </c>
      <c r="BN14" s="518" t="str">
        <f>IF(AND(_AC4="B-767-400ER",'2023'!$D$4="CA",'2023'!$D$2=BN5),'2023DATA3'!$I$11,"")</f>
        <v/>
      </c>
      <c r="BO14" s="518" t="str">
        <f>IF(AND(_AC4="B-767-400ER",'2023'!$D$4="CA",'2023'!$D$2=BO5),'2023DATA3'!$J$11,"")</f>
        <v/>
      </c>
      <c r="BP14" s="518" t="str">
        <f>IF(AND(_AC4="B-767-400ER",'2023'!$D$4="CA",'2023'!$D$2=BP5),'2023DATA3'!$K$11,"")</f>
        <v/>
      </c>
      <c r="BQ14" s="518" t="str">
        <f>IF(AND(_AC4="B-767-400ER",'2023'!$D$4="CA",'2023'!$D$2=BQ5),'2023DATA3'!$L$11,"")</f>
        <v/>
      </c>
      <c r="BR14" s="518" t="str">
        <f>IF(AND(_AC4="B-767-400ER",'2023'!$D$4="CA",'2023'!$D$2=BR5),'2023DATA3'!$M$11,"")</f>
        <v/>
      </c>
      <c r="BS14" s="520" t="str">
        <f>IF(AND(_AC4="B-767-400ER",'2023'!$D$4="CA",'2023'!$D$2=BS5),'2023DATA3'!$N$11,"")</f>
        <v/>
      </c>
      <c r="BT14" s="940" t="s">
        <v>42</v>
      </c>
      <c r="BU14" s="13" t="s">
        <v>61</v>
      </c>
      <c r="BV14" s="518" t="str">
        <f>IF(AND(_AC5="B-767-400ER",'2023'!$D$4="CA",'2023'!$D$2=BV5),'2023DATA3'!$C$11,"")</f>
        <v/>
      </c>
      <c r="BW14" s="518" t="str">
        <f>IF(AND(_AC5="B-767-400ER",'2023'!$D$4="CA",'2023'!$D$2=BW5),'2023DATA3'!$D$11,"")</f>
        <v/>
      </c>
      <c r="BX14" s="518" t="str">
        <f>IF(AND(_AC5="B-767-400ER",'2023'!$D$4="CA",'2023'!$D$2=BX5),'2023DATA3'!$E$11,"")</f>
        <v/>
      </c>
      <c r="BY14" s="518" t="str">
        <f>IF(AND(_AC5="B-767-400ER",'2023'!$D$4="CA",'2023'!$D$2=BY5),'2023DATA3'!$F$11,"")</f>
        <v/>
      </c>
      <c r="BZ14" s="518" t="str">
        <f>IF(AND(_AC5="B-767-400ER",'2023'!$D$4="CA",'2023'!$D$2=BZ5),'2023DATA3'!$G$11,"")</f>
        <v/>
      </c>
      <c r="CA14" s="518" t="str">
        <f>IF(AND(_AC5="B-767-400ER",'2023'!$D$4="CA",'2023'!$D$2=CA5),'2023DATA3'!$H$11,"")</f>
        <v/>
      </c>
      <c r="CB14" s="518" t="str">
        <f>IF(AND(_AC5="B-767-400ER",'2023'!$D$4="CA",'2023'!$D$2=CB5),'2023DATA3'!$I$11,"")</f>
        <v/>
      </c>
      <c r="CC14" s="518" t="str">
        <f>IF(AND(_AC5="B-767-400ER",'2023'!$D$4="CA",'2023'!$D$2=CC5),'2023DATA3'!$J$11,"")</f>
        <v/>
      </c>
      <c r="CD14" s="518" t="str">
        <f>IF(AND(_AC5="B-767-400ER",'2023'!$D$4="CA",'2023'!$D$2=CD5),'2023DATA3'!$K$11,"")</f>
        <v/>
      </c>
      <c r="CE14" s="518" t="str">
        <f>IF(AND(_AC5="B-767-400ER",'2023'!$D$4="CA",'2023'!$D$2=CE5),'2023DATA3'!$L$11,"")</f>
        <v/>
      </c>
      <c r="CF14" s="518" t="str">
        <f>IF(AND(_AC5="B-767-400ER",'2023'!$D$4="CA",'2023'!$D$2=CF5),'2023DATA3'!$M$11,"")</f>
        <v/>
      </c>
      <c r="CG14" s="520" t="str">
        <f>IF(AND(_AC5="B-767-400ER",'2023'!$D$4="CA",'2023'!$D$2=CG5),'2023DATA3'!$N$11,"")</f>
        <v/>
      </c>
      <c r="CH14" s="940" t="s">
        <v>42</v>
      </c>
      <c r="CI14" s="13" t="s">
        <v>61</v>
      </c>
      <c r="CJ14" s="518" t="str">
        <f>IF(AND(_AC6="B-767-400ER",'2023'!$D$4="CA",'2023'!$D$2=CJ5),'2023DATA3'!$C$11,"")</f>
        <v/>
      </c>
      <c r="CK14" s="518" t="str">
        <f>IF(AND(_AC6="B-767-400ER",'2023'!$D$4="CA",'2023'!$D$2=CK5),'2023DATA3'!$D$11,"")</f>
        <v/>
      </c>
      <c r="CL14" s="518" t="str">
        <f>IF(AND(_AC6="B-767-400ER",'2023'!$D$4="CA",'2023'!$D$2=CL5),'2023DATA3'!$E$11,"")</f>
        <v/>
      </c>
      <c r="CM14" s="518" t="str">
        <f>IF(AND(_AC6="B-767-400ER",'2023'!$D$4="CA",'2023'!$D$2=CM5),'2023DATA3'!$F$11,"")</f>
        <v/>
      </c>
      <c r="CN14" s="518" t="str">
        <f>IF(AND(_AC6="B-767-400ER",'2023'!$D$4="CA",'2023'!$D$2=CN5),'2023DATA3'!$G$11,"")</f>
        <v/>
      </c>
      <c r="CO14" s="518" t="str">
        <f>IF(AND(_AC6="B-767-400ER",'2023'!$D$4="CA",'2023'!$D$2=CO5),'2023DATA3'!$H$11,"")</f>
        <v/>
      </c>
      <c r="CP14" s="518" t="str">
        <f>IF(AND(_AC6="B-767-400ER",'2023'!$D$4="CA",'2023'!$D$2=CP5),'2023DATA3'!$I$11,"")</f>
        <v/>
      </c>
      <c r="CQ14" s="518" t="str">
        <f>IF(AND(_AC6="B-767-400ER",'2023'!$D$4="CA",'2023'!$D$2=CQ5),'2023DATA3'!$J$11,"")</f>
        <v/>
      </c>
      <c r="CR14" s="518" t="str">
        <f>IF(AND(_AC6="B-767-400ER",'2023'!$D$4="CA",'2023'!$D$2=CR5),'2023DATA3'!$K$11,"")</f>
        <v/>
      </c>
      <c r="CS14" s="518" t="str">
        <f>IF(AND(_AC6="B-767-400ER",'2023'!$D$4="CA",'2023'!$D$2=CS5),'2023DATA3'!$L$11,"")</f>
        <v/>
      </c>
      <c r="CT14" s="518" t="str">
        <f>IF(AND(_AC6="B-767-400ER",'2023'!$D$4="CA",'2023'!$D$2=CT5),'2023DATA3'!$M$11,"")</f>
        <v/>
      </c>
      <c r="CU14" s="520" t="str">
        <f>IF(AND(_AC6="B-767-400ER",'2023'!$D$4="CA",'2023'!$D$2=CU5),'2023DATA3'!$N$11,"")</f>
        <v/>
      </c>
    </row>
    <row r="15" spans="1:99" x14ac:dyDescent="0.25">
      <c r="A15" s="946" t="s">
        <v>67</v>
      </c>
      <c r="B15" s="78" t="s">
        <v>61</v>
      </c>
      <c r="C15" s="25">
        <v>349.5</v>
      </c>
      <c r="D15" s="26">
        <v>345.93</v>
      </c>
      <c r="E15" s="26">
        <v>342.25</v>
      </c>
      <c r="F15" s="26">
        <v>338.61</v>
      </c>
      <c r="G15" s="26">
        <v>336.22</v>
      </c>
      <c r="H15" s="26">
        <v>333.46</v>
      </c>
      <c r="I15" s="26">
        <v>331.01</v>
      </c>
      <c r="J15" s="26">
        <v>328.45</v>
      </c>
      <c r="K15" s="26">
        <v>325.68</v>
      </c>
      <c r="L15" s="26">
        <v>323.06</v>
      </c>
      <c r="M15" s="26">
        <v>320.45999999999998</v>
      </c>
      <c r="N15" s="27">
        <v>317.76</v>
      </c>
      <c r="P15" s="940"/>
      <c r="Q15" s="13" t="s">
        <v>62</v>
      </c>
      <c r="R15" s="518" t="str">
        <f>IF(AND(_AC1="B-767-400ER",'2023'!$D$4="FO",'2023'!$D$2=R5),'2023DATA3'!$C$12,"")</f>
        <v/>
      </c>
      <c r="S15" s="518" t="str">
        <f>IF(AND(_AC1="B-767-400ER",'2023'!$D$4="FO",'2023'!$D$2=S5),'2023DATA3'!$D$12,"")</f>
        <v/>
      </c>
      <c r="T15" s="518" t="str">
        <f>IF(AND(_AC1="B-767-400ER",'2023'!$D$4="FO",'2023'!$D$2=T5),'2023DATA3'!$E$12,"")</f>
        <v/>
      </c>
      <c r="U15" s="518" t="str">
        <f>IF(AND(_AC1="B-767-400ER",'2023'!$D$4="FO",'2023'!$D$2=U5),'2023DATA3'!$F$12,"")</f>
        <v/>
      </c>
      <c r="V15" s="518" t="str">
        <f>IF(AND(_AC1="B-767-400ER",'2023'!$D$4="FO",'2023'!$D$2=V5),'2023DATA3'!$G$12,"")</f>
        <v/>
      </c>
      <c r="W15" s="518" t="str">
        <f>IF(AND(_AC1="B-767-400ER",'2023'!$D$4="FO",'2023'!$D$2=W5),'2023DATA3'!$H$12,"")</f>
        <v/>
      </c>
      <c r="X15" s="518" t="str">
        <f>IF(AND(_AC1="B-767-400ER",'2023'!$D$4="FO",'2023'!$D$2=X5),'2023DATA3'!$I$12,"")</f>
        <v/>
      </c>
      <c r="Y15" s="518" t="str">
        <f>IF(AND(_AC1="B-767-400ER",'2023'!$D$4="FO",'2023'!$D$2=Y5),'2023DATA3'!$J$12,"")</f>
        <v/>
      </c>
      <c r="Z15" s="518" t="str">
        <f>IF(AND(_AC1="B-767-400ER",'2023'!$D$4="FO",'2023'!$D$2=Z5),'2023DATA3'!$K$12,"")</f>
        <v/>
      </c>
      <c r="AA15" s="518" t="str">
        <f>IF(AND(_AC1="B-767-400ER",'2023'!$D$4="FO",'2023'!$D$2=AA5),'2023DATA3'!$L$12,"")</f>
        <v/>
      </c>
      <c r="AB15" s="518" t="str">
        <f>IF(AND(_AC1="B-767-400ER",'2023'!$D$4="FO",'2023'!$D$2=AB5),'2023DATA3'!$M$12,"")</f>
        <v/>
      </c>
      <c r="AC15" s="520" t="str">
        <f>IF(AND(_AC1="B-767-400ER",'2023'!$D$4="FO",'2023'!$D$2=AC5),'2023DATA3'!$N$12,"")</f>
        <v/>
      </c>
      <c r="AD15" s="940"/>
      <c r="AE15" s="13" t="s">
        <v>62</v>
      </c>
      <c r="AF15" s="518" t="str">
        <f>IF(AND(_AC2="B-767-400ER",'2023'!$D$4="FO",'2023'!$D$2=AF5),'2023DATA3'!$C$12,"")</f>
        <v/>
      </c>
      <c r="AG15" s="518" t="str">
        <f>IF(AND(_AC2="B-767-400ER",'2023'!$D$4="FO",'2023'!$D$2=AG5),'2023DATA3'!$D$12,"")</f>
        <v/>
      </c>
      <c r="AH15" s="518" t="str">
        <f>IF(AND(_AC2="B-767-400ER",'2023'!$D$4="FO",'2023'!$D$2=AH5),'2023DATA3'!$E$12,"")</f>
        <v/>
      </c>
      <c r="AI15" s="518" t="str">
        <f>IF(AND(_AC2="B-767-400ER",'2023'!$D$4="FO",'2023'!$D$2=AI5),'2023DATA3'!$F$12,"")</f>
        <v/>
      </c>
      <c r="AJ15" s="518" t="str">
        <f>IF(AND(_AC2="B-767-400ER",'2023'!$D$4="FO",'2023'!$D$2=AJ5),'2023DATA3'!$G$12,"")</f>
        <v/>
      </c>
      <c r="AK15" s="518" t="str">
        <f>IF(AND(_AC2="B-767-400ER",'2023'!$D$4="FO",'2023'!$D$2=AK5),'2023DATA3'!$H$12,"")</f>
        <v/>
      </c>
      <c r="AL15" s="518" t="str">
        <f>IF(AND(_AC2="B-767-400ER",'2023'!$D$4="FO",'2023'!$D$2=AL5),'2023DATA3'!$I$12,"")</f>
        <v/>
      </c>
      <c r="AM15" s="518" t="str">
        <f>IF(AND(_AC2="B-767-400ER",'2023'!$D$4="FO",'2023'!$D$2=AM5),'2023DATA3'!$J$12,"")</f>
        <v/>
      </c>
      <c r="AN15" s="518" t="str">
        <f>IF(AND(_AC2="B-767-400ER",'2023'!$D$4="FO",'2023'!$D$2=AN5),'2023DATA3'!$K$12,"")</f>
        <v/>
      </c>
      <c r="AO15" s="518" t="str">
        <f>IF(AND(_AC2="B-767-400ER",'2023'!$D$4="FO",'2023'!$D$2=AO5),'2023DATA3'!$L$12,"")</f>
        <v/>
      </c>
      <c r="AP15" s="518" t="str">
        <f>IF(AND(_AC2="B-767-400ER",'2023'!$D$4="FO",'2023'!$D$2=AP5),'2023DATA3'!$M$12,"")</f>
        <v/>
      </c>
      <c r="AQ15" s="520" t="str">
        <f>IF(AND(_AC2="B-767-400ER",'2023'!$D$4="FO",'2023'!$D$2=AQ5),'2023DATA3'!$N$12,"")</f>
        <v/>
      </c>
      <c r="AR15" s="940"/>
      <c r="AS15" s="13" t="s">
        <v>62</v>
      </c>
      <c r="AT15" s="518" t="str">
        <f>IF(AND(_AC3="B-767-400ER",'2023'!$D$4="FO",'2023'!$D$2=AT5),'2023DATA3'!$C$12,"")</f>
        <v/>
      </c>
      <c r="AU15" s="518" t="str">
        <f>IF(AND(_AC3="B-767-400ER",'2023'!$D$4="FO",'2023'!$D$2=AU5),'2023DATA3'!$D$12,"")</f>
        <v/>
      </c>
      <c r="AV15" s="518" t="str">
        <f>IF(AND(_AC3="B-767-400ER",'2023'!$D$4="FO",'2023'!$D$2=AV5),'2023DATA3'!$E$12,"")</f>
        <v/>
      </c>
      <c r="AW15" s="518" t="str">
        <f>IF(AND(_AC3="B-767-400ER",'2023'!$D$4="FO",'2023'!$D$2=AW5),'2023DATA3'!$F$12,"")</f>
        <v/>
      </c>
      <c r="AX15" s="518" t="str">
        <f>IF(AND(_AC3="B-767-400ER",'2023'!$D$4="FO",'2023'!$D$2=AX5),'2023DATA3'!$G$12,"")</f>
        <v/>
      </c>
      <c r="AY15" s="518" t="str">
        <f>IF(AND(_AC3="B-767-400ER",'2023'!$D$4="FO",'2023'!$D$2=AY5),'2023DATA3'!$H$12,"")</f>
        <v/>
      </c>
      <c r="AZ15" s="518" t="str">
        <f>IF(AND(_AC3="B-767-400ER",'2023'!$D$4="FO",'2023'!$D$2=AZ5),'2023DATA3'!$I$12,"")</f>
        <v/>
      </c>
      <c r="BA15" s="518" t="str">
        <f>IF(AND(_AC3="B-767-400ER",'2023'!$D$4="FO",'2023'!$D$2=BA5),'2023DATA3'!$J$12,"")</f>
        <v/>
      </c>
      <c r="BB15" s="518" t="str">
        <f>IF(AND(_AC3="B-767-400ER",'2023'!$D$4="FO",'2023'!$D$2=BB5),'2023DATA3'!$K$12,"")</f>
        <v/>
      </c>
      <c r="BC15" s="518" t="str">
        <f>IF(AND(_AC3="B-767-400ER",'2023'!$D$4="FO",'2023'!$D$2=BC5),'2023DATA3'!$L$12,"")</f>
        <v/>
      </c>
      <c r="BD15" s="518" t="str">
        <f>IF(AND(_AC3="B-767-400ER",'2023'!$D$4="FO",'2023'!$D$2=BD5),'2023DATA3'!$M$12,"")</f>
        <v/>
      </c>
      <c r="BE15" s="520" t="str">
        <f>IF(AND(_AC3="B-767-400ER",'2023'!$D$4="FO",'2023'!$D$2=BE5),'2023DATA3'!$N$12,"")</f>
        <v/>
      </c>
      <c r="BF15" s="940"/>
      <c r="BG15" s="13" t="s">
        <v>62</v>
      </c>
      <c r="BH15" s="518" t="str">
        <f>IF(AND(_AC4="B-767-400ER",'2023'!$D$4="FO",'2023'!$D$2=BH5),'2023DATA3'!$C$12,"")</f>
        <v/>
      </c>
      <c r="BI15" s="518" t="str">
        <f>IF(AND(_AC4="B-767-400ER",'2023'!$D$4="FO",'2023'!$D$2=BI5),'2023DATA3'!$D$12,"")</f>
        <v/>
      </c>
      <c r="BJ15" s="518" t="str">
        <f>IF(AND(_AC4="B-767-400ER",'2023'!$D$4="FO",'2023'!$D$2=BJ5),'2023DATA3'!$E$12,"")</f>
        <v/>
      </c>
      <c r="BK15" s="518" t="str">
        <f>IF(AND(_AC4="B-767-400ER",'2023'!$D$4="FO",'2023'!$D$2=BK5),'2023DATA3'!$F$12,"")</f>
        <v/>
      </c>
      <c r="BL15" s="518" t="str">
        <f>IF(AND(_AC4="B-767-400ER",'2023'!$D$4="FO",'2023'!$D$2=BL5),'2023DATA3'!$G$12,"")</f>
        <v/>
      </c>
      <c r="BM15" s="518" t="str">
        <f>IF(AND(_AC4="B-767-400ER",'2023'!$D$4="FO",'2023'!$D$2=BM5),'2023DATA3'!$H$12,"")</f>
        <v/>
      </c>
      <c r="BN15" s="518" t="str">
        <f>IF(AND(_AC4="B-767-400ER",'2023'!$D$4="FO",'2023'!$D$2=BN5),'2023DATA3'!$I$12,"")</f>
        <v/>
      </c>
      <c r="BO15" s="518" t="str">
        <f>IF(AND(_AC4="B-767-400ER",'2023'!$D$4="FO",'2023'!$D$2=BO5),'2023DATA3'!$J$12,"")</f>
        <v/>
      </c>
      <c r="BP15" s="518" t="str">
        <f>IF(AND(_AC4="B-767-400ER",'2023'!$D$4="FO",'2023'!$D$2=BP5),'2023DATA3'!$K$12,"")</f>
        <v/>
      </c>
      <c r="BQ15" s="518" t="str">
        <f>IF(AND(_AC4="B-767-400ER",'2023'!$D$4="FO",'2023'!$D$2=BQ5),'2023DATA3'!$L$12,"")</f>
        <v/>
      </c>
      <c r="BR15" s="518" t="str">
        <f>IF(AND(_AC4="B-767-400ER",'2023'!$D$4="FO",'2023'!$D$2=BR5),'2023DATA3'!$M$12,"")</f>
        <v/>
      </c>
      <c r="BS15" s="520" t="str">
        <f>IF(AND(_AC4="B-767-400ER",'2023'!$D$4="FO",'2023'!$D$2=BS5),'2023DATA3'!$N$12,"")</f>
        <v/>
      </c>
      <c r="BT15" s="940"/>
      <c r="BU15" s="13" t="s">
        <v>62</v>
      </c>
      <c r="BV15" s="518" t="str">
        <f>IF(AND(_AC5="B-767-400ER",'2023'!$D$4="FO",'2023'!$D$2=BV5),'2023DATA3'!$C$12,"")</f>
        <v/>
      </c>
      <c r="BW15" s="518" t="str">
        <f>IF(AND(_AC5="B-767-400ER",'2023'!$D$4="FO",'2023'!$D$2=BW5),'2023DATA3'!$D$12,"")</f>
        <v/>
      </c>
      <c r="BX15" s="518" t="str">
        <f>IF(AND(_AC5="B-767-400ER",'2023'!$D$4="FO",'2023'!$D$2=BX5),'2023DATA3'!$E$12,"")</f>
        <v/>
      </c>
      <c r="BY15" s="518" t="str">
        <f>IF(AND(_AC5="B-767-400ER",'2023'!$D$4="FO",'2023'!$D$2=BY5),'2023DATA3'!$F$12,"")</f>
        <v/>
      </c>
      <c r="BZ15" s="518" t="str">
        <f>IF(AND(_AC5="B-767-400ER",'2023'!$D$4="FO",'2023'!$D$2=BZ5),'2023DATA3'!$G$12,"")</f>
        <v/>
      </c>
      <c r="CA15" s="518" t="str">
        <f>IF(AND(_AC5="B-767-400ER",'2023'!$D$4="FO",'2023'!$D$2=CA5),'2023DATA3'!$H$12,"")</f>
        <v/>
      </c>
      <c r="CB15" s="518" t="str">
        <f>IF(AND(_AC5="B-767-400ER",'2023'!$D$4="FO",'2023'!$D$2=CB5),'2023DATA3'!$I$12,"")</f>
        <v/>
      </c>
      <c r="CC15" s="518" t="str">
        <f>IF(AND(_AC5="B-767-400ER",'2023'!$D$4="FO",'2023'!$D$2=CC5),'2023DATA3'!$J$12,"")</f>
        <v/>
      </c>
      <c r="CD15" s="518" t="str">
        <f>IF(AND(_AC5="B-767-400ER",'2023'!$D$4="FO",'2023'!$D$2=CD5),'2023DATA3'!$K$12,"")</f>
        <v/>
      </c>
      <c r="CE15" s="518" t="str">
        <f>IF(AND(_AC5="B-767-400ER",'2023'!$D$4="FO",'2023'!$D$2=CE5),'2023DATA3'!$L$12,"")</f>
        <v/>
      </c>
      <c r="CF15" s="518" t="str">
        <f>IF(AND(_AC5="B-767-400ER",'2023'!$D$4="FO",'2023'!$D$2=CF5),'2023DATA3'!$M$12,"")</f>
        <v/>
      </c>
      <c r="CG15" s="520" t="str">
        <f>IF(AND(_AC5="B-767-400ER",'2023'!$D$4="FO",'2023'!$D$2=CG5),'2023DATA3'!$N$12,"")</f>
        <v/>
      </c>
      <c r="CH15" s="940"/>
      <c r="CI15" s="13" t="s">
        <v>62</v>
      </c>
      <c r="CJ15" s="518" t="str">
        <f>IF(AND(_AC6="B-767-400ER",'2023'!$D$4="FO",'2023'!$D$2=CJ5),'2023DATA3'!$C$12,"")</f>
        <v/>
      </c>
      <c r="CK15" s="518" t="str">
        <f>IF(AND(_AC6="B-767-400ER",'2023'!$D$4="FO",'2023'!$D$2=CK5),'2023DATA3'!$D$12,"")</f>
        <v/>
      </c>
      <c r="CL15" s="518" t="str">
        <f>IF(AND(_AC6="B-767-400ER",'2023'!$D$4="FO",'2023'!$D$2=CL5),'2023DATA3'!$E$12,"")</f>
        <v/>
      </c>
      <c r="CM15" s="518" t="str">
        <f>IF(AND(_AC6="B-767-400ER",'2023'!$D$4="FO",'2023'!$D$2=CM5),'2023DATA3'!$F$12,"")</f>
        <v/>
      </c>
      <c r="CN15" s="518" t="str">
        <f>IF(AND(_AC6="B-767-400ER",'2023'!$D$4="FO",'2023'!$D$2=CN5),'2023DATA3'!$G$12,"")</f>
        <v/>
      </c>
      <c r="CO15" s="518" t="str">
        <f>IF(AND(_AC6="B-767-400ER",'2023'!$D$4="FO",'2023'!$D$2=CO5),'2023DATA3'!$H$12,"")</f>
        <v/>
      </c>
      <c r="CP15" s="518" t="str">
        <f>IF(AND(_AC6="B-767-400ER",'2023'!$D$4="FO",'2023'!$D$2=CP5),'2023DATA3'!$I$12,"")</f>
        <v/>
      </c>
      <c r="CQ15" s="518" t="str">
        <f>IF(AND(_AC6="B-767-400ER",'2023'!$D$4="FO",'2023'!$D$2=CQ5),'2023DATA3'!$J$12,"")</f>
        <v/>
      </c>
      <c r="CR15" s="518" t="str">
        <f>IF(AND(_AC6="B-767-400ER",'2023'!$D$4="FO",'2023'!$D$2=CR5),'2023DATA3'!$K$12,"")</f>
        <v/>
      </c>
      <c r="CS15" s="518" t="str">
        <f>IF(AND(_AC6="B-767-400ER",'2023'!$D$4="FO",'2023'!$D$2=CS5),'2023DATA3'!$L$12,"")</f>
        <v/>
      </c>
      <c r="CT15" s="518" t="str">
        <f>IF(AND(_AC6="B-767-400ER",'2023'!$D$4="FO",'2023'!$D$2=CT5),'2023DATA3'!$M$12,"")</f>
        <v/>
      </c>
      <c r="CU15" s="520" t="str">
        <f>IF(AND(_AC6="B-767-400ER",'2023'!$D$4="FO",'2023'!$D$2=CU5),'2023DATA3'!$N$12,"")</f>
        <v/>
      </c>
    </row>
    <row r="16" spans="1:99" x14ac:dyDescent="0.25">
      <c r="A16" s="946"/>
      <c r="B16" s="78" t="s">
        <v>62</v>
      </c>
      <c r="C16" s="25">
        <v>238.71</v>
      </c>
      <c r="D16" s="26">
        <v>235.93</v>
      </c>
      <c r="E16" s="26">
        <v>233.07</v>
      </c>
      <c r="F16" s="26">
        <v>229.26</v>
      </c>
      <c r="G16" s="26">
        <v>226.96</v>
      </c>
      <c r="H16" s="26">
        <v>221.76</v>
      </c>
      <c r="I16" s="26">
        <v>215.81</v>
      </c>
      <c r="J16" s="26">
        <v>210.54</v>
      </c>
      <c r="K16" s="26">
        <v>205.51</v>
      </c>
      <c r="L16" s="26">
        <v>200.62</v>
      </c>
      <c r="M16" s="26">
        <v>171.44</v>
      </c>
      <c r="N16" s="27">
        <v>108.34</v>
      </c>
      <c r="P16" s="940" t="s">
        <v>43</v>
      </c>
      <c r="Q16" s="13" t="s">
        <v>61</v>
      </c>
      <c r="R16" s="518" t="str">
        <f>IF(AND(_AC1="B-767-300ER",'2023'!$D$4="CA",'2023'!$D$2=R5),'2023DATA3'!$C$13,"")</f>
        <v/>
      </c>
      <c r="S16" s="518" t="str">
        <f>IF(AND(_AC1="B-767-300ER",'2023'!$D$4="CA",'2023'!$D$2=S5),'2023DATA3'!$D$13,"")</f>
        <v/>
      </c>
      <c r="T16" s="518" t="str">
        <f>IF(AND(_AC1="B-767-300ER",'2023'!$D$4="CA",'2023'!$D$2=T5),'2023DATA3'!$E$13,"")</f>
        <v/>
      </c>
      <c r="U16" s="518" t="str">
        <f>IF(AND(_AC1="B-767-300ER",'2023'!$D$4="CA",'2023'!$D$2=U5),'2023DATA3'!$F$13,"")</f>
        <v/>
      </c>
      <c r="V16" s="518" t="str">
        <f>IF(AND(_AC1="B-767-300ER",'2023'!$D$4="CA",'2023'!$D$2=V5),'2023DATA3'!$G$13,"")</f>
        <v/>
      </c>
      <c r="W16" s="518" t="str">
        <f>IF(AND(_AC1="B-767-300ER",'2023'!$D$4="CA",'2023'!$D$2=W5),'2023DATA3'!$H$13,"")</f>
        <v/>
      </c>
      <c r="X16" s="518" t="str">
        <f>IF(AND(_AC1="B-767-300ER",'2023'!$D$4="CA",'2023'!$D$2=X5),'2023DATA3'!$I$13,"")</f>
        <v/>
      </c>
      <c r="Y16" s="518" t="str">
        <f>IF(AND(_AC1="B-767-300ER",'2023'!$D$4="CA",'2023'!$D$2=Y5),'2023DATA3'!$J$13,"")</f>
        <v/>
      </c>
      <c r="Z16" s="518" t="str">
        <f>IF(AND(_AC1="B-767-300ER",'2023'!$D$4="CA",'2023'!$D$2=Z5),'2023DATA3'!$K$13,"")</f>
        <v/>
      </c>
      <c r="AA16" s="518" t="str">
        <f>IF(AND(_AC1="B-767-300ER",'2023'!$D$4="CA",'2023'!$D$2=AA5),'2023DATA3'!$L$13,"")</f>
        <v/>
      </c>
      <c r="AB16" s="518" t="str">
        <f>IF(AND(_AC1="B-767-300ER",'2023'!$D$4="CA",'2023'!$D$2=AB5),'2023DATA3'!$M$13,"")</f>
        <v/>
      </c>
      <c r="AC16" s="520" t="str">
        <f>IF(AND(_AC1="B-767-300ER",'2023'!$D$4="CA",'2023'!$D$2=AC5),'2023DATA3'!$N$13,"")</f>
        <v/>
      </c>
      <c r="AD16" s="940" t="s">
        <v>43</v>
      </c>
      <c r="AE16" s="13" t="s">
        <v>61</v>
      </c>
      <c r="AF16" s="518" t="str">
        <f>IF(AND(_AC2="B-767-300ER",'2023'!$D$4="CA",'2023'!$D$2=AF5),'2023DATA3'!$C$13,"")</f>
        <v/>
      </c>
      <c r="AG16" s="518" t="str">
        <f>IF(AND(_AC2="B-767-300ER",'2023'!$D$4="CA",'2023'!$D$2=AG5),'2023DATA3'!$D$13,"")</f>
        <v/>
      </c>
      <c r="AH16" s="518" t="str">
        <f>IF(AND(_AC2="B-767-300ER",'2023'!$D$4="CA",'2023'!$D$2=AH5),'2023DATA3'!$E$13,"")</f>
        <v/>
      </c>
      <c r="AI16" s="518" t="str">
        <f>IF(AND(_AC2="B-767-300ER",'2023'!$D$4="CA",'2023'!$D$2=AI5),'2023DATA3'!$F$13,"")</f>
        <v/>
      </c>
      <c r="AJ16" s="518" t="str">
        <f>IF(AND(_AC2="B-767-300ER",'2023'!$D$4="CA",'2023'!$D$2=AJ5),'2023DATA3'!$G$13,"")</f>
        <v/>
      </c>
      <c r="AK16" s="518" t="str">
        <f>IF(AND(_AC2="B-767-300ER",'2023'!$D$4="CA",'2023'!$D$2=AK5),'2023DATA3'!$H$13,"")</f>
        <v/>
      </c>
      <c r="AL16" s="518" t="str">
        <f>IF(AND(_AC2="B-767-300ER",'2023'!$D$4="CA",'2023'!$D$2=AL5),'2023DATA3'!$I$13,"")</f>
        <v/>
      </c>
      <c r="AM16" s="518" t="str">
        <f>IF(AND(_AC2="B-767-300ER",'2023'!$D$4="CA",'2023'!$D$2=AM5),'2023DATA3'!$J$13,"")</f>
        <v/>
      </c>
      <c r="AN16" s="518" t="str">
        <f>IF(AND(_AC2="B-767-300ER",'2023'!$D$4="CA",'2023'!$D$2=AN5),'2023DATA3'!$K$13,"")</f>
        <v/>
      </c>
      <c r="AO16" s="518" t="str">
        <f>IF(AND(_AC2="B-767-300ER",'2023'!$D$4="CA",'2023'!$D$2=AO5),'2023DATA3'!$L$13,"")</f>
        <v/>
      </c>
      <c r="AP16" s="518" t="str">
        <f>IF(AND(_AC2="B-767-300ER",'2023'!$D$4="CA",'2023'!$D$2=AP5),'2023DATA3'!$M$13,"")</f>
        <v/>
      </c>
      <c r="AQ16" s="520" t="str">
        <f>IF(AND(_AC2="B-767-300ER",'2023'!$D$4="CA",'2023'!$D$2=AQ5),'2023DATA3'!$N$13,"")</f>
        <v/>
      </c>
      <c r="AR16" s="940" t="s">
        <v>43</v>
      </c>
      <c r="AS16" s="13" t="s">
        <v>61</v>
      </c>
      <c r="AT16" s="518" t="str">
        <f>IF(AND(_AC3="B-767-300ER",'2023'!$D$4="CA",'2023'!$D$2=AT5),'2023DATA3'!$C$13,"")</f>
        <v/>
      </c>
      <c r="AU16" s="518" t="str">
        <f>IF(AND(_AC3="B-767-300ER",'2023'!$D$4="CA",'2023'!$D$2=AU5),'2023DATA3'!$D$13,"")</f>
        <v/>
      </c>
      <c r="AV16" s="518" t="str">
        <f>IF(AND(_AC3="B-767-300ER",'2023'!$D$4="CA",'2023'!$D$2=AV5),'2023DATA3'!$E$13,"")</f>
        <v/>
      </c>
      <c r="AW16" s="518" t="str">
        <f>IF(AND(_AC3="B-767-300ER",'2023'!$D$4="CA",'2023'!$D$2=AW5),'2023DATA3'!$F$13,"")</f>
        <v/>
      </c>
      <c r="AX16" s="518" t="str">
        <f>IF(AND(_AC3="B-767-300ER",'2023'!$D$4="CA",'2023'!$D$2=AX5),'2023DATA3'!$G$13,"")</f>
        <v/>
      </c>
      <c r="AY16" s="518" t="str">
        <f>IF(AND(_AC3="B-767-300ER",'2023'!$D$4="CA",'2023'!$D$2=AY5),'2023DATA3'!$H$13,"")</f>
        <v/>
      </c>
      <c r="AZ16" s="518" t="str">
        <f>IF(AND(_AC3="B-767-300ER",'2023'!$D$4="CA",'2023'!$D$2=AZ5),'2023DATA3'!$I$13,"")</f>
        <v/>
      </c>
      <c r="BA16" s="518" t="str">
        <f>IF(AND(_AC3="B-767-300ER",'2023'!$D$4="CA",'2023'!$D$2=BA5),'2023DATA3'!$J$13,"")</f>
        <v/>
      </c>
      <c r="BB16" s="518" t="str">
        <f>IF(AND(_AC3="B-767-300ER",'2023'!$D$4="CA",'2023'!$D$2=BB5),'2023DATA3'!$K$13,"")</f>
        <v/>
      </c>
      <c r="BC16" s="518" t="str">
        <f>IF(AND(_AC3="B-767-300ER",'2023'!$D$4="CA",'2023'!$D$2=BC5),'2023DATA3'!$L$13,"")</f>
        <v/>
      </c>
      <c r="BD16" s="518" t="str">
        <f>IF(AND(_AC3="B-767-300ER",'2023'!$D$4="CA",'2023'!$D$2=BD5),'2023DATA3'!$M$13,"")</f>
        <v/>
      </c>
      <c r="BE16" s="520" t="str">
        <f>IF(AND(_AC3="B-767-300ER",'2023'!$D$4="CA",'2023'!$D$2=BE5),'2023DATA3'!$N$13,"")</f>
        <v/>
      </c>
      <c r="BF16" s="940" t="s">
        <v>43</v>
      </c>
      <c r="BG16" s="13" t="s">
        <v>61</v>
      </c>
      <c r="BH16" s="518" t="str">
        <f>IF(AND(_AC4="B-767-300ER",'2023'!$D$4="CA",'2023'!$D$2=BH5),'2023DATA3'!$C$13,"")</f>
        <v/>
      </c>
      <c r="BI16" s="518" t="str">
        <f>IF(AND(_AC4="B-767-300ER",'2023'!$D$4="CA",'2023'!$D$2=BI5),'2023DATA3'!$D$13,"")</f>
        <v/>
      </c>
      <c r="BJ16" s="518" t="str">
        <f>IF(AND(_AC4="B-767-300ER",'2023'!$D$4="CA",'2023'!$D$2=BJ5),'2023DATA3'!$E$13,"")</f>
        <v/>
      </c>
      <c r="BK16" s="518" t="str">
        <f>IF(AND(_AC4="B-767-300ER",'2023'!$D$4="CA",'2023'!$D$2=BK5),'2023DATA3'!$F$13,"")</f>
        <v/>
      </c>
      <c r="BL16" s="518" t="str">
        <f>IF(AND(_AC4="B-767-300ER",'2023'!$D$4="CA",'2023'!$D$2=BL5),'2023DATA3'!$G$13,"")</f>
        <v/>
      </c>
      <c r="BM16" s="518" t="str">
        <f>IF(AND(_AC4="B-767-300ER",'2023'!$D$4="CA",'2023'!$D$2=BM5),'2023DATA3'!$H$13,"")</f>
        <v/>
      </c>
      <c r="BN16" s="518" t="str">
        <f>IF(AND(_AC4="B-767-300ER",'2023'!$D$4="CA",'2023'!$D$2=BN5),'2023DATA3'!$I$13,"")</f>
        <v/>
      </c>
      <c r="BO16" s="518" t="str">
        <f>IF(AND(_AC4="B-767-300ER",'2023'!$D$4="CA",'2023'!$D$2=BO5),'2023DATA3'!$J$13,"")</f>
        <v/>
      </c>
      <c r="BP16" s="518" t="str">
        <f>IF(AND(_AC4="B-767-300ER",'2023'!$D$4="CA",'2023'!$D$2=BP5),'2023DATA3'!$K$13,"")</f>
        <v/>
      </c>
      <c r="BQ16" s="518" t="str">
        <f>IF(AND(_AC4="B-767-300ER",'2023'!$D$4="CA",'2023'!$D$2=BQ5),'2023DATA3'!$L$13,"")</f>
        <v/>
      </c>
      <c r="BR16" s="518" t="str">
        <f>IF(AND(_AC4="B-767-300ER",'2023'!$D$4="CA",'2023'!$D$2=BR5),'2023DATA3'!$M$13,"")</f>
        <v/>
      </c>
      <c r="BS16" s="520" t="str">
        <f>IF(AND(_AC4="B-767-300ER",'2023'!$D$4="CA",'2023'!$D$2=BS5),'2023DATA3'!$N$13,"")</f>
        <v/>
      </c>
      <c r="BT16" s="940" t="s">
        <v>43</v>
      </c>
      <c r="BU16" s="13" t="s">
        <v>61</v>
      </c>
      <c r="BV16" s="518" t="str">
        <f>IF(AND(_AC5="B-767-300ER",'2023'!$D$4="CA",'2023'!$D$2=BV5),'2023DATA3'!$C$13,"")</f>
        <v/>
      </c>
      <c r="BW16" s="518" t="str">
        <f>IF(AND(_AC5="B-767-300ER",'2023'!$D$4="CA",'2023'!$D$2=BW5),'2023DATA3'!$D$13,"")</f>
        <v/>
      </c>
      <c r="BX16" s="518" t="str">
        <f>IF(AND(_AC5="B-767-300ER",'2023'!$D$4="CA",'2023'!$D$2=BX5),'2023DATA3'!$E$13,"")</f>
        <v/>
      </c>
      <c r="BY16" s="518" t="str">
        <f>IF(AND(_AC5="B-767-300ER",'2023'!$D$4="CA",'2023'!$D$2=BY5),'2023DATA3'!$F$13,"")</f>
        <v/>
      </c>
      <c r="BZ16" s="518" t="str">
        <f>IF(AND(_AC5="B-767-300ER",'2023'!$D$4="CA",'2023'!$D$2=BZ5),'2023DATA3'!$G$13,"")</f>
        <v/>
      </c>
      <c r="CA16" s="518" t="str">
        <f>IF(AND(_AC5="B-767-300ER",'2023'!$D$4="CA",'2023'!$D$2=CA5),'2023DATA3'!$H$13,"")</f>
        <v/>
      </c>
      <c r="CB16" s="518" t="str">
        <f>IF(AND(_AC5="B-767-300ER",'2023'!$D$4="CA",'2023'!$D$2=CB5),'2023DATA3'!$I$13,"")</f>
        <v/>
      </c>
      <c r="CC16" s="518" t="str">
        <f>IF(AND(_AC5="B-767-300ER",'2023'!$D$4="CA",'2023'!$D$2=CC5),'2023DATA3'!$J$13,"")</f>
        <v/>
      </c>
      <c r="CD16" s="518" t="str">
        <f>IF(AND(_AC5="B-767-300ER",'2023'!$D$4="CA",'2023'!$D$2=CD5),'2023DATA3'!$K$13,"")</f>
        <v/>
      </c>
      <c r="CE16" s="518" t="str">
        <f>IF(AND(_AC5="B-767-300ER",'2023'!$D$4="CA",'2023'!$D$2=CE5),'2023DATA3'!$L$13,"")</f>
        <v/>
      </c>
      <c r="CF16" s="518" t="str">
        <f>IF(AND(_AC5="B-767-300ER",'2023'!$D$4="CA",'2023'!$D$2=CF5),'2023DATA3'!$M$13,"")</f>
        <v/>
      </c>
      <c r="CG16" s="520" t="str">
        <f>IF(AND(_AC5="B-767-300ER",'2023'!$D$4="CA",'2023'!$D$2=CG5),'2023DATA3'!$N$13,"")</f>
        <v/>
      </c>
      <c r="CH16" s="940" t="s">
        <v>43</v>
      </c>
      <c r="CI16" s="13" t="s">
        <v>61</v>
      </c>
      <c r="CJ16" s="518" t="str">
        <f>IF(AND(_AC6="B-767-300ER",'2023'!$D$4="CA",'2023'!$D$2=CJ5),'2023DATA3'!$C$13,"")</f>
        <v/>
      </c>
      <c r="CK16" s="518" t="str">
        <f>IF(AND(_AC6="B-767-300ER",'2023'!$D$4="CA",'2023'!$D$2=CK5),'2023DATA3'!$D$13,"")</f>
        <v/>
      </c>
      <c r="CL16" s="518" t="str">
        <f>IF(AND(_AC6="B-767-300ER",'2023'!$D$4="CA",'2023'!$D$2=CL5),'2023DATA3'!$E$13,"")</f>
        <v/>
      </c>
      <c r="CM16" s="518" t="str">
        <f>IF(AND(_AC6="B-767-300ER",'2023'!$D$4="CA",'2023'!$D$2=CM5),'2023DATA3'!$F$13,"")</f>
        <v/>
      </c>
      <c r="CN16" s="518" t="str">
        <f>IF(AND(_AC6="B-767-300ER",'2023'!$D$4="CA",'2023'!$D$2=CN5),'2023DATA3'!$G$13,"")</f>
        <v/>
      </c>
      <c r="CO16" s="518" t="str">
        <f>IF(AND(_AC6="B-767-300ER",'2023'!$D$4="CA",'2023'!$D$2=CO5),'2023DATA3'!$H$13,"")</f>
        <v/>
      </c>
      <c r="CP16" s="518" t="str">
        <f>IF(AND(_AC6="B-767-300ER",'2023'!$D$4="CA",'2023'!$D$2=CP5),'2023DATA3'!$I$13,"")</f>
        <v/>
      </c>
      <c r="CQ16" s="518" t="str">
        <f>IF(AND(_AC6="B-767-300ER",'2023'!$D$4="CA",'2023'!$D$2=CQ5),'2023DATA3'!$J$13,"")</f>
        <v/>
      </c>
      <c r="CR16" s="518" t="str">
        <f>IF(AND(_AC6="B-767-300ER",'2023'!$D$4="CA",'2023'!$D$2=CR5),'2023DATA3'!$K$13,"")</f>
        <v/>
      </c>
      <c r="CS16" s="518" t="str">
        <f>IF(AND(_AC6="B-767-300ER",'2023'!$D$4="CA",'2023'!$D$2=CS5),'2023DATA3'!$L$13,"")</f>
        <v/>
      </c>
      <c r="CT16" s="518" t="str">
        <f>IF(AND(_AC6="B-767-300ER",'2023'!$D$4="CA",'2023'!$D$2=CT5),'2023DATA3'!$M$13,"")</f>
        <v/>
      </c>
      <c r="CU16" s="520" t="str">
        <f>IF(AND(_AC6="B-767-300ER",'2023'!$D$4="CA",'2023'!$D$2=CU5),'2023DATA3'!$N$13,"")</f>
        <v/>
      </c>
    </row>
    <row r="17" spans="1:99" x14ac:dyDescent="0.25">
      <c r="A17" s="946" t="s">
        <v>68</v>
      </c>
      <c r="B17" s="78" t="s">
        <v>61</v>
      </c>
      <c r="C17" s="25">
        <v>349.5</v>
      </c>
      <c r="D17" s="26">
        <v>345.93</v>
      </c>
      <c r="E17" s="26">
        <v>342.25</v>
      </c>
      <c r="F17" s="26">
        <v>338.61</v>
      </c>
      <c r="G17" s="26">
        <v>336.22</v>
      </c>
      <c r="H17" s="26">
        <v>333.46</v>
      </c>
      <c r="I17" s="26">
        <v>331.01</v>
      </c>
      <c r="J17" s="26">
        <v>328.45</v>
      </c>
      <c r="K17" s="26">
        <v>325.68</v>
      </c>
      <c r="L17" s="26">
        <v>323.06</v>
      </c>
      <c r="M17" s="26">
        <v>320.45999999999998</v>
      </c>
      <c r="N17" s="27">
        <v>317.76</v>
      </c>
      <c r="P17" s="940"/>
      <c r="Q17" s="13" t="s">
        <v>62</v>
      </c>
      <c r="R17" s="518" t="str">
        <f>IF(AND(_AC1="B-767-300ER",'2023'!$D$4="FO",'2023'!$D$2=R5),'2023DATA3'!$C$14,"")</f>
        <v/>
      </c>
      <c r="S17" s="518" t="str">
        <f>IF(AND(_AC1="B-767-300ER",'2023'!$D$4="FO",'2023'!$D$2=S5),'2023DATA3'!$D$14,"")</f>
        <v/>
      </c>
      <c r="T17" s="518" t="str">
        <f>IF(AND(_AC1="B-767-300ER",'2023'!$D$4="FO",'2023'!$D$2=T5),'2023DATA3'!$E$14,"")</f>
        <v/>
      </c>
      <c r="U17" s="518" t="str">
        <f>IF(AND(_AC1="B-767-300ER",'2023'!$D$4="FO",'2023'!$D$2=U5),'2023DATA3'!$F$14,"")</f>
        <v/>
      </c>
      <c r="V17" s="518" t="str">
        <f>IF(AND(_AC1="B-767-300ER",'2023'!$D$4="FO",'2023'!$D$2=V5),'2023DATA3'!$G$14,"")</f>
        <v/>
      </c>
      <c r="W17" s="518" t="str">
        <f>IF(AND(_AC1="B-767-300ER",'2023'!$D$4="FO",'2023'!$D$2=W5),'2023DATA3'!$H$14,"")</f>
        <v/>
      </c>
      <c r="X17" s="518" t="str">
        <f>IF(AND(_AC1="B-767-300ER",'2023'!$D$4="FO",'2023'!$D$2=X5),'2023DATA3'!$I$14,"")</f>
        <v/>
      </c>
      <c r="Y17" s="518" t="str">
        <f>IF(AND(_AC1="B-767-300ER",'2023'!$D$4="FO",'2023'!$D$2=Y5),'2023DATA3'!$J$14,"")</f>
        <v/>
      </c>
      <c r="Z17" s="518" t="str">
        <f>IF(AND(_AC1="B-767-300ER",'2023'!$D$4="FO",'2023'!$D$2=Z5),'2023DATA3'!$K$14,"")</f>
        <v/>
      </c>
      <c r="AA17" s="518" t="str">
        <f>IF(AND(_AC1="B-767-300ER",'2023'!$D$4="FO",'2023'!$D$2=AA5),'2023DATA3'!$L$14,"")</f>
        <v/>
      </c>
      <c r="AB17" s="518" t="str">
        <f>IF(AND(_AC1="B-767-300ER",'2023'!$D$4="FO",'2023'!$D$2=AB5),'2023DATA3'!$M$14,"")</f>
        <v/>
      </c>
      <c r="AC17" s="520" t="str">
        <f>IF(AND(_AC1="B-767-300ER",'2023'!$D$4="FO",'2023'!$D$2=AC5),'2023DATA3'!$N$14,"")</f>
        <v/>
      </c>
      <c r="AD17" s="940"/>
      <c r="AE17" s="13" t="s">
        <v>62</v>
      </c>
      <c r="AF17" s="518" t="str">
        <f>IF(AND(_AC2="B-767-300ER",'2023'!$D$4="FO",'2023'!$D$2=AF5),'2023DATA3'!$C$14,"")</f>
        <v/>
      </c>
      <c r="AG17" s="518" t="str">
        <f>IF(AND(_AC2="B-767-300ER",'2023'!$D$4="FO",'2023'!$D$2=AG5),'2023DATA3'!$D$14,"")</f>
        <v/>
      </c>
      <c r="AH17" s="518" t="str">
        <f>IF(AND(_AC2="B-767-300ER",'2023'!$D$4="FO",'2023'!$D$2=AH5),'2023DATA3'!$E$14,"")</f>
        <v/>
      </c>
      <c r="AI17" s="518" t="str">
        <f>IF(AND(_AC2="B-767-300ER",'2023'!$D$4="FO",'2023'!$D$2=AI5),'2023DATA3'!$F$14,"")</f>
        <v/>
      </c>
      <c r="AJ17" s="518" t="str">
        <f>IF(AND(_AC2="B-767-300ER",'2023'!$D$4="FO",'2023'!$D$2=AJ5),'2023DATA3'!$G$14,"")</f>
        <v/>
      </c>
      <c r="AK17" s="518" t="str">
        <f>IF(AND(_AC2="B-767-300ER",'2023'!$D$4="FO",'2023'!$D$2=AK5),'2023DATA3'!$H$14,"")</f>
        <v/>
      </c>
      <c r="AL17" s="518" t="str">
        <f>IF(AND(_AC2="B-767-300ER",'2023'!$D$4="FO",'2023'!$D$2=AL5),'2023DATA3'!$I$14,"")</f>
        <v/>
      </c>
      <c r="AM17" s="518" t="str">
        <f>IF(AND(_AC2="B-767-300ER",'2023'!$D$4="FO",'2023'!$D$2=AM5),'2023DATA3'!$J$14,"")</f>
        <v/>
      </c>
      <c r="AN17" s="518" t="str">
        <f>IF(AND(_AC2="B-767-300ER",'2023'!$D$4="FO",'2023'!$D$2=AN5),'2023DATA3'!$K$14,"")</f>
        <v/>
      </c>
      <c r="AO17" s="518" t="str">
        <f>IF(AND(_AC2="B-767-300ER",'2023'!$D$4="FO",'2023'!$D$2=AO5),'2023DATA3'!$L$14,"")</f>
        <v/>
      </c>
      <c r="AP17" s="518" t="str">
        <f>IF(AND(_AC2="B-767-300ER",'2023'!$D$4="FO",'2023'!$D$2=AP5),'2023DATA3'!$M$14,"")</f>
        <v/>
      </c>
      <c r="AQ17" s="520" t="str">
        <f>IF(AND(_AC2="B-767-300ER",'2023'!$D$4="FO",'2023'!$D$2=AQ5),'2023DATA3'!$N$14,"")</f>
        <v/>
      </c>
      <c r="AR17" s="940"/>
      <c r="AS17" s="13" t="s">
        <v>62</v>
      </c>
      <c r="AT17" s="518" t="str">
        <f>IF(AND(_AC3="B-767-300ER",'2023'!$D$4="FO",'2023'!$D$2=AT5),'2023DATA3'!$C$14,"")</f>
        <v/>
      </c>
      <c r="AU17" s="518" t="str">
        <f>IF(AND(_AC3="B-767-300ER",'2023'!$D$4="FO",'2023'!$D$2=AU5),'2023DATA3'!$D$14,"")</f>
        <v/>
      </c>
      <c r="AV17" s="518" t="str">
        <f>IF(AND(_AC3="B-767-300ER",'2023'!$D$4="FO",'2023'!$D$2=AV5),'2023DATA3'!$E$14,"")</f>
        <v/>
      </c>
      <c r="AW17" s="518" t="str">
        <f>IF(AND(_AC3="B-767-300ER",'2023'!$D$4="FO",'2023'!$D$2=AW5),'2023DATA3'!$F$14,"")</f>
        <v/>
      </c>
      <c r="AX17" s="518" t="str">
        <f>IF(AND(_AC3="B-767-300ER",'2023'!$D$4="FO",'2023'!$D$2=AX5),'2023DATA3'!$G$14,"")</f>
        <v/>
      </c>
      <c r="AY17" s="518" t="str">
        <f>IF(AND(_AC3="B-767-300ER",'2023'!$D$4="FO",'2023'!$D$2=AY5),'2023DATA3'!$H$14,"")</f>
        <v/>
      </c>
      <c r="AZ17" s="518" t="str">
        <f>IF(AND(_AC3="B-767-300ER",'2023'!$D$4="FO",'2023'!$D$2=AZ5),'2023DATA3'!$I$14,"")</f>
        <v/>
      </c>
      <c r="BA17" s="518" t="str">
        <f>IF(AND(_AC3="B-767-300ER",'2023'!$D$4="FO",'2023'!$D$2=BA5),'2023DATA3'!$J$14,"")</f>
        <v/>
      </c>
      <c r="BB17" s="518" t="str">
        <f>IF(AND(_AC3="B-767-300ER",'2023'!$D$4="FO",'2023'!$D$2=BB5),'2023DATA3'!$K$14,"")</f>
        <v/>
      </c>
      <c r="BC17" s="518" t="str">
        <f>IF(AND(_AC3="B-767-300ER",'2023'!$D$4="FO",'2023'!$D$2=BC5),'2023DATA3'!$L$14,"")</f>
        <v/>
      </c>
      <c r="BD17" s="518" t="str">
        <f>IF(AND(_AC3="B-767-300ER",'2023'!$D$4="FO",'2023'!$D$2=BD5),'2023DATA3'!$M$14,"")</f>
        <v/>
      </c>
      <c r="BE17" s="520" t="str">
        <f>IF(AND(_AC3="B-767-300ER",'2023'!$D$4="FO",'2023'!$D$2=BE5),'2023DATA3'!$N$14,"")</f>
        <v/>
      </c>
      <c r="BF17" s="940"/>
      <c r="BG17" s="13" t="s">
        <v>62</v>
      </c>
      <c r="BH17" s="518" t="str">
        <f>IF(AND(_AC4="B-767-300ER",'2023'!$D$4="FO",'2023'!$D$2=BH5),'2023DATA3'!$C$14,"")</f>
        <v/>
      </c>
      <c r="BI17" s="518" t="str">
        <f>IF(AND(_AC4="B-767-300ER",'2023'!$D$4="FO",'2023'!$D$2=BI5),'2023DATA3'!$D$14,"")</f>
        <v/>
      </c>
      <c r="BJ17" s="518" t="str">
        <f>IF(AND(_AC4="B-767-300ER",'2023'!$D$4="FO",'2023'!$D$2=BJ5),'2023DATA3'!$E$14,"")</f>
        <v/>
      </c>
      <c r="BK17" s="518" t="str">
        <f>IF(AND(_AC4="B-767-300ER",'2023'!$D$4="FO",'2023'!$D$2=BK5),'2023DATA3'!$F$14,"")</f>
        <v/>
      </c>
      <c r="BL17" s="518" t="str">
        <f>IF(AND(_AC4="B-767-300ER",'2023'!$D$4="FO",'2023'!$D$2=BL5),'2023DATA3'!$G$14,"")</f>
        <v/>
      </c>
      <c r="BM17" s="518" t="str">
        <f>IF(AND(_AC4="B-767-300ER",'2023'!$D$4="FO",'2023'!$D$2=BM5),'2023DATA3'!$H$14,"")</f>
        <v/>
      </c>
      <c r="BN17" s="518" t="str">
        <f>IF(AND(_AC4="B-767-300ER",'2023'!$D$4="FO",'2023'!$D$2=BN5),'2023DATA3'!$I$14,"")</f>
        <v/>
      </c>
      <c r="BO17" s="518" t="str">
        <f>IF(AND(_AC4="B-767-300ER",'2023'!$D$4="FO",'2023'!$D$2=BO5),'2023DATA3'!$J$14,"")</f>
        <v/>
      </c>
      <c r="BP17" s="518" t="str">
        <f>IF(AND(_AC4="B-767-300ER",'2023'!$D$4="FO",'2023'!$D$2=BP5),'2023DATA3'!$K$14,"")</f>
        <v/>
      </c>
      <c r="BQ17" s="518" t="str">
        <f>IF(AND(_AC4="B-767-300ER",'2023'!$D$4="FO",'2023'!$D$2=BQ5),'2023DATA3'!$L$14,"")</f>
        <v/>
      </c>
      <c r="BR17" s="518" t="str">
        <f>IF(AND(_AC4="B-767-300ER",'2023'!$D$4="FO",'2023'!$D$2=BR5),'2023DATA3'!$M$14,"")</f>
        <v/>
      </c>
      <c r="BS17" s="520" t="str">
        <f>IF(AND(_AC4="B-767-300ER",'2023'!$D$4="FO",'2023'!$D$2=BS5),'2023DATA3'!$N$14,"")</f>
        <v/>
      </c>
      <c r="BT17" s="940"/>
      <c r="BU17" s="13" t="s">
        <v>62</v>
      </c>
      <c r="BV17" s="518" t="str">
        <f>IF(AND(_AC5="B-767-300ER",'2023'!$D$4="FO",'2023'!$D$2=BV5),'2023DATA3'!$C$14,"")</f>
        <v/>
      </c>
      <c r="BW17" s="518" t="str">
        <f>IF(AND(_AC5="B-767-300ER",'2023'!$D$4="FO",'2023'!$D$2=BW5),'2023DATA3'!$D$14,"")</f>
        <v/>
      </c>
      <c r="BX17" s="518" t="str">
        <f>IF(AND(_AC5="B-767-300ER",'2023'!$D$4="FO",'2023'!$D$2=BX5),'2023DATA3'!$E$14,"")</f>
        <v/>
      </c>
      <c r="BY17" s="518" t="str">
        <f>IF(AND(_AC5="B-767-300ER",'2023'!$D$4="FO",'2023'!$D$2=BY5),'2023DATA3'!$F$14,"")</f>
        <v/>
      </c>
      <c r="BZ17" s="518" t="str">
        <f>IF(AND(_AC5="B-767-300ER",'2023'!$D$4="FO",'2023'!$D$2=BZ5),'2023DATA3'!$G$14,"")</f>
        <v/>
      </c>
      <c r="CA17" s="518" t="str">
        <f>IF(AND(_AC5="B-767-300ER",'2023'!$D$4="FO",'2023'!$D$2=CA5),'2023DATA3'!$H$14,"")</f>
        <v/>
      </c>
      <c r="CB17" s="518" t="str">
        <f>IF(AND(_AC5="B-767-300ER",'2023'!$D$4="FO",'2023'!$D$2=CB5),'2023DATA3'!$I$14,"")</f>
        <v/>
      </c>
      <c r="CC17" s="518" t="str">
        <f>IF(AND(_AC5="B-767-300ER",'2023'!$D$4="FO",'2023'!$D$2=CC5),'2023DATA3'!$J$14,"")</f>
        <v/>
      </c>
      <c r="CD17" s="518" t="str">
        <f>IF(AND(_AC5="B-767-300ER",'2023'!$D$4="FO",'2023'!$D$2=CD5),'2023DATA3'!$K$14,"")</f>
        <v/>
      </c>
      <c r="CE17" s="518" t="str">
        <f>IF(AND(_AC5="B-767-300ER",'2023'!$D$4="FO",'2023'!$D$2=CE5),'2023DATA3'!$L$14,"")</f>
        <v/>
      </c>
      <c r="CF17" s="518" t="str">
        <f>IF(AND(_AC5="B-767-300ER",'2023'!$D$4="FO",'2023'!$D$2=CF5),'2023DATA3'!$M$14,"")</f>
        <v/>
      </c>
      <c r="CG17" s="520" t="str">
        <f>IF(AND(_AC5="B-767-300ER",'2023'!$D$4="FO",'2023'!$D$2=CG5),'2023DATA3'!$N$14,"")</f>
        <v/>
      </c>
      <c r="CH17" s="940"/>
      <c r="CI17" s="13" t="s">
        <v>62</v>
      </c>
      <c r="CJ17" s="518" t="str">
        <f>IF(AND(_AC6="B-767-300ER",'2023'!$D$4="FO",'2023'!$D$2=CJ5),'2023DATA3'!$C$14,"")</f>
        <v/>
      </c>
      <c r="CK17" s="518" t="str">
        <f>IF(AND(_AC6="B-767-300ER",'2023'!$D$4="FO",'2023'!$D$2=CK5),'2023DATA3'!$D$14,"")</f>
        <v/>
      </c>
      <c r="CL17" s="518" t="str">
        <f>IF(AND(_AC6="B-767-300ER",'2023'!$D$4="FO",'2023'!$D$2=CL5),'2023DATA3'!$E$14,"")</f>
        <v/>
      </c>
      <c r="CM17" s="518" t="str">
        <f>IF(AND(_AC6="B-767-300ER",'2023'!$D$4="FO",'2023'!$D$2=CM5),'2023DATA3'!$F$14,"")</f>
        <v/>
      </c>
      <c r="CN17" s="518" t="str">
        <f>IF(AND(_AC6="B-767-300ER",'2023'!$D$4="FO",'2023'!$D$2=CN5),'2023DATA3'!$G$14,"")</f>
        <v/>
      </c>
      <c r="CO17" s="518" t="str">
        <f>IF(AND(_AC6="B-767-300ER",'2023'!$D$4="FO",'2023'!$D$2=CO5),'2023DATA3'!$H$14,"")</f>
        <v/>
      </c>
      <c r="CP17" s="518" t="str">
        <f>IF(AND(_AC6="B-767-300ER",'2023'!$D$4="FO",'2023'!$D$2=CP5),'2023DATA3'!$I$14,"")</f>
        <v/>
      </c>
      <c r="CQ17" s="518" t="str">
        <f>IF(AND(_AC6="B-767-300ER",'2023'!$D$4="FO",'2023'!$D$2=CQ5),'2023DATA3'!$J$14,"")</f>
        <v/>
      </c>
      <c r="CR17" s="518" t="str">
        <f>IF(AND(_AC6="B-767-300ER",'2023'!$D$4="FO",'2023'!$D$2=CR5),'2023DATA3'!$K$14,"")</f>
        <v/>
      </c>
      <c r="CS17" s="518" t="str">
        <f>IF(AND(_AC6="B-767-300ER",'2023'!$D$4="FO",'2023'!$D$2=CS5),'2023DATA3'!$L$14,"")</f>
        <v/>
      </c>
      <c r="CT17" s="518" t="str">
        <f>IF(AND(_AC6="B-767-300ER",'2023'!$D$4="FO",'2023'!$D$2=CT5),'2023DATA3'!$M$14,"")</f>
        <v/>
      </c>
      <c r="CU17" s="520" t="str">
        <f>IF(AND(_AC6="B-767-300ER",'2023'!$D$4="FO",'2023'!$D$2=CU5),'2023DATA3'!$N$14,"")</f>
        <v/>
      </c>
    </row>
    <row r="18" spans="1:99" x14ac:dyDescent="0.25">
      <c r="A18" s="946"/>
      <c r="B18" s="78" t="s">
        <v>62</v>
      </c>
      <c r="C18" s="25">
        <v>238.71</v>
      </c>
      <c r="D18" s="26">
        <v>235.93</v>
      </c>
      <c r="E18" s="26">
        <v>233.07</v>
      </c>
      <c r="F18" s="26">
        <v>229.26</v>
      </c>
      <c r="G18" s="26">
        <v>226.96</v>
      </c>
      <c r="H18" s="26">
        <v>221.76</v>
      </c>
      <c r="I18" s="26">
        <v>215.81</v>
      </c>
      <c r="J18" s="26">
        <v>210.54</v>
      </c>
      <c r="K18" s="26">
        <v>205.51</v>
      </c>
      <c r="L18" s="26">
        <v>200.62</v>
      </c>
      <c r="M18" s="26">
        <v>171.44</v>
      </c>
      <c r="N18" s="27">
        <v>108.34</v>
      </c>
      <c r="P18" s="940" t="s">
        <v>67</v>
      </c>
      <c r="Q18" s="13" t="s">
        <v>61</v>
      </c>
      <c r="R18" s="518" t="str">
        <f>IF(AND(_AC1="B-767-300",'2023'!$D$4="CA",'2023'!$D$2=R5),'2023DATA3'!$C$15,"")</f>
        <v/>
      </c>
      <c r="S18" s="518" t="str">
        <f>IF(AND(_AC1="B-767-300",'2023'!$D$4="CA",'2023'!$D$2=S5),'2023DATA3'!$D$15,"")</f>
        <v/>
      </c>
      <c r="T18" s="518" t="str">
        <f>IF(AND(_AC1="B-767-300",'2023'!$D$4="CA",'2023'!$D$2=T5),'2023DATA3'!$E$15,"")</f>
        <v/>
      </c>
      <c r="U18" s="518" t="str">
        <f>IF(AND(_AC1="B-767-300",'2023'!$D$4="CA",'2023'!$D$2=U5),'2023DATA3'!$F$15,"")</f>
        <v/>
      </c>
      <c r="V18" s="518" t="str">
        <f>IF(AND(_AC1="B-767-300",'2023'!$D$4="CA",'2023'!$D$2=V5),'2023DATA3'!$G$15,"")</f>
        <v/>
      </c>
      <c r="W18" s="518" t="str">
        <f>IF(AND(_AC1="B-767-300",'2023'!$D$4="CA",'2023'!$D$2=W5),'2023DATA3'!$H$15,"")</f>
        <v/>
      </c>
      <c r="X18" s="518" t="str">
        <f>IF(AND(_AC1="B-767-300",'2023'!$D$4="CA",'2023'!$D$2=X5),'2023DATA3'!$I$15,"")</f>
        <v/>
      </c>
      <c r="Y18" s="518" t="str">
        <f>IF(AND(_AC1="B-767-300",'2023'!$D$4="CA",'2023'!$D$2=Y5),'2023DATA3'!$J$15,"")</f>
        <v/>
      </c>
      <c r="Z18" s="518" t="str">
        <f>IF(AND(_AC1="B-767-300",'2023'!$D$4="CA",'2023'!$D$2=Z5),'2023DATA3'!$K$15,"")</f>
        <v/>
      </c>
      <c r="AA18" s="518" t="str">
        <f>IF(AND(_AC1="B-767-300",'2023'!$D$4="CA",'2023'!$D$2=AA5),'2023DATA3'!$L$15,"")</f>
        <v/>
      </c>
      <c r="AB18" s="518" t="str">
        <f>IF(AND(_AC1="B-767-300",'2023'!$D$4="CA",'2023'!$D$2=AB5),'2023DATA3'!$M$15,"")</f>
        <v/>
      </c>
      <c r="AC18" s="520" t="str">
        <f>IF(AND(_AC1="B-767-300",'2023'!$D$4="CA",'2023'!$D$2=AC5),'2023DATA3'!$N$15,"")</f>
        <v/>
      </c>
      <c r="AD18" s="940" t="s">
        <v>67</v>
      </c>
      <c r="AE18" s="13" t="s">
        <v>61</v>
      </c>
      <c r="AF18" s="518" t="str">
        <f>IF(AND(_AC2="B-767-300",'2023'!$D$4="CA",'2023'!$D$2=AF5),'2023DATA3'!$C$15,"")</f>
        <v/>
      </c>
      <c r="AG18" s="518" t="str">
        <f>IF(AND(_AC2="B-767-300",'2023'!$D$4="CA",'2023'!$D$2=AG5),'2023DATA3'!$D$15,"")</f>
        <v/>
      </c>
      <c r="AH18" s="518" t="str">
        <f>IF(AND(_AC2="B-767-300",'2023'!$D$4="CA",'2023'!$D$2=AH5),'2023DATA3'!$E$15,"")</f>
        <v/>
      </c>
      <c r="AI18" s="518" t="str">
        <f>IF(AND(_AC2="B-767-300",'2023'!$D$4="CA",'2023'!$D$2=AI5),'2023DATA3'!$F$15,"")</f>
        <v/>
      </c>
      <c r="AJ18" s="518" t="str">
        <f>IF(AND(_AC2="B-767-300",'2023'!$D$4="CA",'2023'!$D$2=AJ5),'2023DATA3'!$G$15,"")</f>
        <v/>
      </c>
      <c r="AK18" s="518" t="str">
        <f>IF(AND(_AC2="B-767-300",'2023'!$D$4="CA",'2023'!$D$2=AK5),'2023DATA3'!$H$15,"")</f>
        <v/>
      </c>
      <c r="AL18" s="518" t="str">
        <f>IF(AND(_AC2="B-767-300",'2023'!$D$4="CA",'2023'!$D$2=AL5),'2023DATA3'!$I$15,"")</f>
        <v/>
      </c>
      <c r="AM18" s="518" t="str">
        <f>IF(AND(_AC2="B-767-300",'2023'!$D$4="CA",'2023'!$D$2=AM5),'2023DATA3'!$J$15,"")</f>
        <v/>
      </c>
      <c r="AN18" s="518" t="str">
        <f>IF(AND(_AC2="B-767-300",'2023'!$D$4="CA",'2023'!$D$2=AN5),'2023DATA3'!$K$15,"")</f>
        <v/>
      </c>
      <c r="AO18" s="518" t="str">
        <f>IF(AND(_AC2="B-767-300",'2023'!$D$4="CA",'2023'!$D$2=AO5),'2023DATA3'!$L$15,"")</f>
        <v/>
      </c>
      <c r="AP18" s="518" t="str">
        <f>IF(AND(_AC2="B-767-300",'2023'!$D$4="CA",'2023'!$D$2=AP5),'2023DATA3'!$M$15,"")</f>
        <v/>
      </c>
      <c r="AQ18" s="520" t="str">
        <f>IF(AND(_AC2="B-767-300",'2023'!$D$4="CA",'2023'!$D$2=AQ5),'2023DATA3'!$N$15,"")</f>
        <v/>
      </c>
      <c r="AR18" s="940" t="s">
        <v>67</v>
      </c>
      <c r="AS18" s="13" t="s">
        <v>61</v>
      </c>
      <c r="AT18" s="518" t="str">
        <f>IF(AND(_AC3="B-767-300",'2023'!$D$4="CA",'2023'!$D$2=AT5),'2023DATA3'!$C$15,"")</f>
        <v/>
      </c>
      <c r="AU18" s="518" t="str">
        <f>IF(AND(_AC3="B-767-300",'2023'!$D$4="CA",'2023'!$D$2=AU5),'2023DATA3'!$D$15,"")</f>
        <v/>
      </c>
      <c r="AV18" s="518" t="str">
        <f>IF(AND(_AC3="B-767-300",'2023'!$D$4="CA",'2023'!$D$2=AV5),'2023DATA3'!$E$15,"")</f>
        <v/>
      </c>
      <c r="AW18" s="518" t="str">
        <f>IF(AND(_AC3="B-767-300",'2023'!$D$4="CA",'2023'!$D$2=AW5),'2023DATA3'!$F$15,"")</f>
        <v/>
      </c>
      <c r="AX18" s="518" t="str">
        <f>IF(AND(_AC3="B-767-300",'2023'!$D$4="CA",'2023'!$D$2=AX5),'2023DATA3'!$G$15,"")</f>
        <v/>
      </c>
      <c r="AY18" s="518" t="str">
        <f>IF(AND(_AC3="B-767-300",'2023'!$D$4="CA",'2023'!$D$2=AY5),'2023DATA3'!$H$15,"")</f>
        <v/>
      </c>
      <c r="AZ18" s="518" t="str">
        <f>IF(AND(_AC3="B-767-300",'2023'!$D$4="CA",'2023'!$D$2=AZ5),'2023DATA3'!$I$15,"")</f>
        <v/>
      </c>
      <c r="BA18" s="518" t="str">
        <f>IF(AND(_AC3="B-767-300",'2023'!$D$4="CA",'2023'!$D$2=BA5),'2023DATA3'!$J$15,"")</f>
        <v/>
      </c>
      <c r="BB18" s="518" t="str">
        <f>IF(AND(_AC3="B-767-300",'2023'!$D$4="CA",'2023'!$D$2=BB5),'2023DATA3'!$K$15,"")</f>
        <v/>
      </c>
      <c r="BC18" s="518" t="str">
        <f>IF(AND(_AC3="B-767-300",'2023'!$D$4="CA",'2023'!$D$2=BC5),'2023DATA3'!$L$15,"")</f>
        <v/>
      </c>
      <c r="BD18" s="518" t="str">
        <f>IF(AND(_AC3="B-767-300",'2023'!$D$4="CA",'2023'!$D$2=BD5),'2023DATA3'!$M$15,"")</f>
        <v/>
      </c>
      <c r="BE18" s="520" t="str">
        <f>IF(AND(_AC3="B-767-300",'2023'!$D$4="CA",'2023'!$D$2=BE5),'2023DATA3'!$N$15,"")</f>
        <v/>
      </c>
      <c r="BF18" s="940" t="s">
        <v>67</v>
      </c>
      <c r="BG18" s="13" t="s">
        <v>61</v>
      </c>
      <c r="BH18" s="518" t="str">
        <f>IF(AND(_AC4="B-767-300",'2023'!$D$4="CA",'2023'!$D$2=BH5),'2023DATA3'!$C$15,"")</f>
        <v/>
      </c>
      <c r="BI18" s="518" t="str">
        <f>IF(AND(_AC4="B-767-300",'2023'!$D$4="CA",'2023'!$D$2=BI5),'2023DATA3'!$D$15,"")</f>
        <v/>
      </c>
      <c r="BJ18" s="518" t="str">
        <f>IF(AND(_AC4="B-767-300",'2023'!$D$4="CA",'2023'!$D$2=BJ5),'2023DATA3'!$E$15,"")</f>
        <v/>
      </c>
      <c r="BK18" s="518" t="str">
        <f>IF(AND(_AC4="B-767-300",'2023'!$D$4="CA",'2023'!$D$2=BK5),'2023DATA3'!$F$15,"")</f>
        <v/>
      </c>
      <c r="BL18" s="518" t="str">
        <f>IF(AND(_AC4="B-767-300",'2023'!$D$4="CA",'2023'!$D$2=BL5),'2023DATA3'!$G$15,"")</f>
        <v/>
      </c>
      <c r="BM18" s="518" t="str">
        <f>IF(AND(_AC4="B-767-300",'2023'!$D$4="CA",'2023'!$D$2=BM5),'2023DATA3'!$H$15,"")</f>
        <v/>
      </c>
      <c r="BN18" s="518" t="str">
        <f>IF(AND(_AC4="B-767-300",'2023'!$D$4="CA",'2023'!$D$2=BN5),'2023DATA3'!$I$15,"")</f>
        <v/>
      </c>
      <c r="BO18" s="518" t="str">
        <f>IF(AND(_AC4="B-767-300",'2023'!$D$4="CA",'2023'!$D$2=BO5),'2023DATA3'!$J$15,"")</f>
        <v/>
      </c>
      <c r="BP18" s="518" t="str">
        <f>IF(AND(_AC4="B-767-300",'2023'!$D$4="CA",'2023'!$D$2=BP5),'2023DATA3'!$K$15,"")</f>
        <v/>
      </c>
      <c r="BQ18" s="518" t="str">
        <f>IF(AND(_AC4="B-767-300",'2023'!$D$4="CA",'2023'!$D$2=BQ5),'2023DATA3'!$L$15,"")</f>
        <v/>
      </c>
      <c r="BR18" s="518" t="str">
        <f>IF(AND(_AC4="B-767-300",'2023'!$D$4="CA",'2023'!$D$2=BR5),'2023DATA3'!$M$15,"")</f>
        <v/>
      </c>
      <c r="BS18" s="520" t="str">
        <f>IF(AND(_AC4="B-767-300",'2023'!$D$4="CA",'2023'!$D$2=BS5),'2023DATA3'!$N$15,"")</f>
        <v/>
      </c>
      <c r="BT18" s="940" t="s">
        <v>67</v>
      </c>
      <c r="BU18" s="13" t="s">
        <v>61</v>
      </c>
      <c r="BV18" s="518" t="str">
        <f>IF(AND(_AC5="B-767-300",'2023'!$D$4="CA",'2023'!$D$2=BV5),'2023DATA3'!$C$15,"")</f>
        <v/>
      </c>
      <c r="BW18" s="518" t="str">
        <f>IF(AND(_AC5="B-767-300",'2023'!$D$4="CA",'2023'!$D$2=BW5),'2023DATA3'!$D$15,"")</f>
        <v/>
      </c>
      <c r="BX18" s="518" t="str">
        <f>IF(AND(_AC5="B-767-300",'2023'!$D$4="CA",'2023'!$D$2=BX5),'2023DATA3'!$E$15,"")</f>
        <v/>
      </c>
      <c r="BY18" s="518" t="str">
        <f>IF(AND(_AC5="B-767-300",'2023'!$D$4="CA",'2023'!$D$2=BY5),'2023DATA3'!$F$15,"")</f>
        <v/>
      </c>
      <c r="BZ18" s="518" t="str">
        <f>IF(AND(_AC5="B-767-300",'2023'!$D$4="CA",'2023'!$D$2=BZ5),'2023DATA3'!$G$15,"")</f>
        <v/>
      </c>
      <c r="CA18" s="518" t="str">
        <f>IF(AND(_AC5="B-767-300",'2023'!$D$4="CA",'2023'!$D$2=CA5),'2023DATA3'!$H$15,"")</f>
        <v/>
      </c>
      <c r="CB18" s="518" t="str">
        <f>IF(AND(_AC5="B-767-300",'2023'!$D$4="CA",'2023'!$D$2=CB5),'2023DATA3'!$I$15,"")</f>
        <v/>
      </c>
      <c r="CC18" s="518" t="str">
        <f>IF(AND(_AC5="B-767-300",'2023'!$D$4="CA",'2023'!$D$2=CC5),'2023DATA3'!$J$15,"")</f>
        <v/>
      </c>
      <c r="CD18" s="518" t="str">
        <f>IF(AND(_AC5="B-767-300",'2023'!$D$4="CA",'2023'!$D$2=CD5),'2023DATA3'!$K$15,"")</f>
        <v/>
      </c>
      <c r="CE18" s="518" t="str">
        <f>IF(AND(_AC5="B-767-300",'2023'!$D$4="CA",'2023'!$D$2=CE5),'2023DATA3'!$L$15,"")</f>
        <v/>
      </c>
      <c r="CF18" s="518" t="str">
        <f>IF(AND(_AC5="B-767-300",'2023'!$D$4="CA",'2023'!$D$2=CF5),'2023DATA3'!$M$15,"")</f>
        <v/>
      </c>
      <c r="CG18" s="520" t="str">
        <f>IF(AND(_AC5="B-767-300",'2023'!$D$4="CA",'2023'!$D$2=CG5),'2023DATA3'!$N$15,"")</f>
        <v/>
      </c>
      <c r="CH18" s="940" t="s">
        <v>67</v>
      </c>
      <c r="CI18" s="13" t="s">
        <v>61</v>
      </c>
      <c r="CJ18" s="518" t="str">
        <f>IF(AND(_AC6="B-767-300",'2023'!$D$4="CA",'2023'!$D$2=CJ5),'2023DATA3'!$C$15,"")</f>
        <v/>
      </c>
      <c r="CK18" s="518" t="str">
        <f>IF(AND(_AC6="B-767-300",'2023'!$D$4="CA",'2023'!$D$2=CK5),'2023DATA3'!$D$15,"")</f>
        <v/>
      </c>
      <c r="CL18" s="518" t="str">
        <f>IF(AND(_AC6="B-767-300",'2023'!$D$4="CA",'2023'!$D$2=CL5),'2023DATA3'!$E$15,"")</f>
        <v/>
      </c>
      <c r="CM18" s="518" t="str">
        <f>IF(AND(_AC6="B-767-300",'2023'!$D$4="CA",'2023'!$D$2=CM5),'2023DATA3'!$F$15,"")</f>
        <v/>
      </c>
      <c r="CN18" s="518" t="str">
        <f>IF(AND(_AC6="B-767-300",'2023'!$D$4="CA",'2023'!$D$2=CN5),'2023DATA3'!$G$15,"")</f>
        <v/>
      </c>
      <c r="CO18" s="518" t="str">
        <f>IF(AND(_AC6="B-767-300",'2023'!$D$4="CA",'2023'!$D$2=CO5),'2023DATA3'!$H$15,"")</f>
        <v/>
      </c>
      <c r="CP18" s="518" t="str">
        <f>IF(AND(_AC6="B-767-300",'2023'!$D$4="CA",'2023'!$D$2=CP5),'2023DATA3'!$I$15,"")</f>
        <v/>
      </c>
      <c r="CQ18" s="518" t="str">
        <f>IF(AND(_AC6="B-767-300",'2023'!$D$4="CA",'2023'!$D$2=CQ5),'2023DATA3'!$J$15,"")</f>
        <v/>
      </c>
      <c r="CR18" s="518" t="str">
        <f>IF(AND(_AC6="B-767-300",'2023'!$D$4="CA",'2023'!$D$2=CR5),'2023DATA3'!$K$15,"")</f>
        <v/>
      </c>
      <c r="CS18" s="518" t="str">
        <f>IF(AND(_AC6="B-767-300",'2023'!$D$4="CA",'2023'!$D$2=CS5),'2023DATA3'!$L$15,"")</f>
        <v/>
      </c>
      <c r="CT18" s="518" t="str">
        <f>IF(AND(_AC6="B-767-300",'2023'!$D$4="CA",'2023'!$D$2=CT5),'2023DATA3'!$M$15,"")</f>
        <v/>
      </c>
      <c r="CU18" s="520" t="str">
        <f>IF(AND(_AC6="B-767-300",'2023'!$D$4="CA",'2023'!$D$2=CU5),'2023DATA3'!$N$15,"")</f>
        <v/>
      </c>
    </row>
    <row r="19" spans="1:99" x14ac:dyDescent="0.25">
      <c r="A19" s="946" t="s">
        <v>45</v>
      </c>
      <c r="B19" s="78" t="s">
        <v>61</v>
      </c>
      <c r="C19" s="25">
        <v>349.5</v>
      </c>
      <c r="D19" s="26">
        <v>345.93</v>
      </c>
      <c r="E19" s="26">
        <v>342.25</v>
      </c>
      <c r="F19" s="26">
        <v>338.61</v>
      </c>
      <c r="G19" s="26">
        <v>336.22</v>
      </c>
      <c r="H19" s="26">
        <v>333.46</v>
      </c>
      <c r="I19" s="26">
        <v>331.01</v>
      </c>
      <c r="J19" s="26">
        <v>328.45</v>
      </c>
      <c r="K19" s="26">
        <v>325.68</v>
      </c>
      <c r="L19" s="26">
        <v>323.06</v>
      </c>
      <c r="M19" s="26">
        <v>320.45999999999998</v>
      </c>
      <c r="N19" s="27">
        <v>317.76</v>
      </c>
      <c r="P19" s="940"/>
      <c r="Q19" s="13" t="s">
        <v>62</v>
      </c>
      <c r="R19" s="518" t="str">
        <f>IF(AND(_AC1="B-767-300",'2023'!$D$4="FO",'2023'!$D$2=R5),'2023DATA3'!$C$16,"")</f>
        <v/>
      </c>
      <c r="S19" s="518" t="str">
        <f>IF(AND(_AC1="B-767-300",'2023'!$D$4="FO",'2023'!$D$2=S5),'2023DATA3'!$D$16,"")</f>
        <v/>
      </c>
      <c r="T19" s="518" t="str">
        <f>IF(AND(_AC1="B-767-300",'2023'!$D$4="FO",'2023'!$D$2=T5),'2023DATA3'!$E$16,"")</f>
        <v/>
      </c>
      <c r="U19" s="518" t="str">
        <f>IF(AND(_AC1="B-767-300",'2023'!$D$4="FO",'2023'!$D$2=U5),'2023DATA3'!$F$16,"")</f>
        <v/>
      </c>
      <c r="V19" s="518" t="str">
        <f>IF(AND(_AC1="B-767-300",'2023'!$D$4="FO",'2023'!$D$2=V5),'2023DATA3'!$G$16,"")</f>
        <v/>
      </c>
      <c r="W19" s="518" t="str">
        <f>IF(AND(_AC1="B-767-300",'2023'!$D$4="FO",'2023'!$D$2=W5),'2023DATA3'!$H$16,"")</f>
        <v/>
      </c>
      <c r="X19" s="518" t="str">
        <f>IF(AND(_AC1="B-767-300",'2023'!$D$4="FO",'2023'!$D$2=X5),'2023DATA3'!$I$16,"")</f>
        <v/>
      </c>
      <c r="Y19" s="518" t="str">
        <f>IF(AND(_AC1="B-767-300",'2023'!$D$4="FO",'2023'!$D$2=Y5),'2023DATA3'!$J$16,"")</f>
        <v/>
      </c>
      <c r="Z19" s="518" t="str">
        <f>IF(AND(_AC1="B-767-300",'2023'!$D$4="FO",'2023'!$D$2=Z5),'2023DATA3'!$K$16,"")</f>
        <v/>
      </c>
      <c r="AA19" s="518" t="str">
        <f>IF(AND(_AC1="B-767-300",'2023'!$D$4="FO",'2023'!$D$2=AA5),'2023DATA3'!$L$16,"")</f>
        <v/>
      </c>
      <c r="AB19" s="518" t="str">
        <f>IF(AND(_AC1="B-767-300",'2023'!$D$4="FO",'2023'!$D$2=AB5),'2023DATA3'!$M$16,"")</f>
        <v/>
      </c>
      <c r="AC19" s="520" t="str">
        <f>IF(AND(_AC1="B-767-300",'2023'!$D$4="FO",'2023'!$D$2=AC5),'2023DATA3'!$N$16,"")</f>
        <v/>
      </c>
      <c r="AD19" s="940"/>
      <c r="AE19" s="13" t="s">
        <v>62</v>
      </c>
      <c r="AF19" s="518" t="str">
        <f>IF(AND(_AC2="B-767-300",'2023'!$D$4="FO",'2023'!$D$2=AF5),'2023DATA3'!$C$16,"")</f>
        <v/>
      </c>
      <c r="AG19" s="518" t="str">
        <f>IF(AND(_AC2="B-767-300",'2023'!$D$4="FO",'2023'!$D$2=AG5),'2023DATA3'!$D$16,"")</f>
        <v/>
      </c>
      <c r="AH19" s="518" t="str">
        <f>IF(AND(_AC2="B-767-300",'2023'!$D$4="FO",'2023'!$D$2=AH5),'2023DATA3'!$E$16,"")</f>
        <v/>
      </c>
      <c r="AI19" s="518" t="str">
        <f>IF(AND(_AC2="B-767-300",'2023'!$D$4="FO",'2023'!$D$2=AI5),'2023DATA3'!$F$16,"")</f>
        <v/>
      </c>
      <c r="AJ19" s="518" t="str">
        <f>IF(AND(_AC2="B-767-300",'2023'!$D$4="FO",'2023'!$D$2=AJ5),'2023DATA3'!$G$16,"")</f>
        <v/>
      </c>
      <c r="AK19" s="518" t="str">
        <f>IF(AND(_AC2="B-767-300",'2023'!$D$4="FO",'2023'!$D$2=AK5),'2023DATA3'!$H$16,"")</f>
        <v/>
      </c>
      <c r="AL19" s="518" t="str">
        <f>IF(AND(_AC2="B-767-300",'2023'!$D$4="FO",'2023'!$D$2=AL5),'2023DATA3'!$I$16,"")</f>
        <v/>
      </c>
      <c r="AM19" s="518" t="str">
        <f>IF(AND(_AC2="B-767-300",'2023'!$D$4="FO",'2023'!$D$2=AM5),'2023DATA3'!$J$16,"")</f>
        <v/>
      </c>
      <c r="AN19" s="518" t="str">
        <f>IF(AND(_AC2="B-767-300",'2023'!$D$4="FO",'2023'!$D$2=AN5),'2023DATA3'!$K$16,"")</f>
        <v/>
      </c>
      <c r="AO19" s="518" t="str">
        <f>IF(AND(_AC2="B-767-300",'2023'!$D$4="FO",'2023'!$D$2=AO5),'2023DATA3'!$L$16,"")</f>
        <v/>
      </c>
      <c r="AP19" s="518" t="str">
        <f>IF(AND(_AC2="B-767-300",'2023'!$D$4="FO",'2023'!$D$2=AP5),'2023DATA3'!$M$16,"")</f>
        <v/>
      </c>
      <c r="AQ19" s="520" t="str">
        <f>IF(AND(_AC2="B-767-300",'2023'!$D$4="FO",'2023'!$D$2=AQ5),'2023DATA3'!$N$16,"")</f>
        <v/>
      </c>
      <c r="AR19" s="940"/>
      <c r="AS19" s="13" t="s">
        <v>62</v>
      </c>
      <c r="AT19" s="518" t="str">
        <f>IF(AND(_AC3="B-767-300",'2023'!$D$4="FO",'2023'!$D$2=AT5),'2023DATA3'!$C$16,"")</f>
        <v/>
      </c>
      <c r="AU19" s="518" t="str">
        <f>IF(AND(_AC3="B-767-300",'2023'!$D$4="FO",'2023'!$D$2=AU5),'2023DATA3'!$D$16,"")</f>
        <v/>
      </c>
      <c r="AV19" s="518" t="str">
        <f>IF(AND(_AC3="B-767-300",'2023'!$D$4="FO",'2023'!$D$2=AV5),'2023DATA3'!$E$16,"")</f>
        <v/>
      </c>
      <c r="AW19" s="518" t="str">
        <f>IF(AND(_AC3="B-767-300",'2023'!$D$4="FO",'2023'!$D$2=AW5),'2023DATA3'!$F$16,"")</f>
        <v/>
      </c>
      <c r="AX19" s="518" t="str">
        <f>IF(AND(_AC3="B-767-300",'2023'!$D$4="FO",'2023'!$D$2=AX5),'2023DATA3'!$G$16,"")</f>
        <v/>
      </c>
      <c r="AY19" s="518" t="str">
        <f>IF(AND(_AC3="B-767-300",'2023'!$D$4="FO",'2023'!$D$2=AY5),'2023DATA3'!$H$16,"")</f>
        <v/>
      </c>
      <c r="AZ19" s="518" t="str">
        <f>IF(AND(_AC3="B-767-300",'2023'!$D$4="FO",'2023'!$D$2=AZ5),'2023DATA3'!$I$16,"")</f>
        <v/>
      </c>
      <c r="BA19" s="518" t="str">
        <f>IF(AND(_AC3="B-767-300",'2023'!$D$4="FO",'2023'!$D$2=BA5),'2023DATA3'!$J$16,"")</f>
        <v/>
      </c>
      <c r="BB19" s="518" t="str">
        <f>IF(AND(_AC3="B-767-300",'2023'!$D$4="FO",'2023'!$D$2=BB5),'2023DATA3'!$K$16,"")</f>
        <v/>
      </c>
      <c r="BC19" s="518" t="str">
        <f>IF(AND(_AC3="B-767-300",'2023'!$D$4="FO",'2023'!$D$2=BC5),'2023DATA3'!$L$16,"")</f>
        <v/>
      </c>
      <c r="BD19" s="518" t="str">
        <f>IF(AND(_AC3="B-767-300",'2023'!$D$4="FO",'2023'!$D$2=BD5),'2023DATA3'!$M$16,"")</f>
        <v/>
      </c>
      <c r="BE19" s="520" t="str">
        <f>IF(AND(_AC3="B-767-300",'2023'!$D$4="FO",'2023'!$D$2=BE5),'2023DATA3'!$N$16,"")</f>
        <v/>
      </c>
      <c r="BF19" s="940"/>
      <c r="BG19" s="13" t="s">
        <v>62</v>
      </c>
      <c r="BH19" s="518" t="str">
        <f>IF(AND(_AC4="B-767-300",'2023'!$D$4="FO",'2023'!$D$2=BH5),'2023DATA3'!$C$16,"")</f>
        <v/>
      </c>
      <c r="BI19" s="518" t="str">
        <f>IF(AND(_AC4="B-767-300",'2023'!$D$4="FO",'2023'!$D$2=BI5),'2023DATA3'!$D$16,"")</f>
        <v/>
      </c>
      <c r="BJ19" s="518" t="str">
        <f>IF(AND(_AC4="B-767-300",'2023'!$D$4="FO",'2023'!$D$2=BJ5),'2023DATA3'!$E$16,"")</f>
        <v/>
      </c>
      <c r="BK19" s="518" t="str">
        <f>IF(AND(_AC4="B-767-300",'2023'!$D$4="FO",'2023'!$D$2=BK5),'2023DATA3'!$F$16,"")</f>
        <v/>
      </c>
      <c r="BL19" s="518" t="str">
        <f>IF(AND(_AC4="B-767-300",'2023'!$D$4="FO",'2023'!$D$2=BL5),'2023DATA3'!$G$16,"")</f>
        <v/>
      </c>
      <c r="BM19" s="518" t="str">
        <f>IF(AND(_AC4="B-767-300",'2023'!$D$4="FO",'2023'!$D$2=BM5),'2023DATA3'!$H$16,"")</f>
        <v/>
      </c>
      <c r="BN19" s="518" t="str">
        <f>IF(AND(_AC4="B-767-300",'2023'!$D$4="FO",'2023'!$D$2=BN5),'2023DATA3'!$I$16,"")</f>
        <v/>
      </c>
      <c r="BO19" s="518" t="str">
        <f>IF(AND(_AC4="B-767-300",'2023'!$D$4="FO",'2023'!$D$2=BO5),'2023DATA3'!$J$16,"")</f>
        <v/>
      </c>
      <c r="BP19" s="518" t="str">
        <f>IF(AND(_AC4="B-767-300",'2023'!$D$4="FO",'2023'!$D$2=BP5),'2023DATA3'!$K$16,"")</f>
        <v/>
      </c>
      <c r="BQ19" s="518" t="str">
        <f>IF(AND(_AC4="B-767-300",'2023'!$D$4="FO",'2023'!$D$2=BQ5),'2023DATA3'!$L$16,"")</f>
        <v/>
      </c>
      <c r="BR19" s="518" t="str">
        <f>IF(AND(_AC4="B-767-300",'2023'!$D$4="FO",'2023'!$D$2=BR5),'2023DATA3'!$M$16,"")</f>
        <v/>
      </c>
      <c r="BS19" s="520" t="str">
        <f>IF(AND(_AC4="B-767-300",'2023'!$D$4="FO",'2023'!$D$2=BS5),'2023DATA3'!$N$16,"")</f>
        <v/>
      </c>
      <c r="BT19" s="940"/>
      <c r="BU19" s="13" t="s">
        <v>62</v>
      </c>
      <c r="BV19" s="518" t="str">
        <f>IF(AND(_AC5="B-767-300",'2023'!$D$4="FO",'2023'!$D$2=BV5),'2023DATA3'!$C$16,"")</f>
        <v/>
      </c>
      <c r="BW19" s="518" t="str">
        <f>IF(AND(_AC5="B-767-300",'2023'!$D$4="FO",'2023'!$D$2=BW5),'2023DATA3'!$D$16,"")</f>
        <v/>
      </c>
      <c r="BX19" s="518" t="str">
        <f>IF(AND(_AC5="B-767-300",'2023'!$D$4="FO",'2023'!$D$2=BX5),'2023DATA3'!$E$16,"")</f>
        <v/>
      </c>
      <c r="BY19" s="518" t="str">
        <f>IF(AND(_AC5="B-767-300",'2023'!$D$4="FO",'2023'!$D$2=BY5),'2023DATA3'!$F$16,"")</f>
        <v/>
      </c>
      <c r="BZ19" s="518" t="str">
        <f>IF(AND(_AC5="B-767-300",'2023'!$D$4="FO",'2023'!$D$2=BZ5),'2023DATA3'!$G$16,"")</f>
        <v/>
      </c>
      <c r="CA19" s="518" t="str">
        <f>IF(AND(_AC5="B-767-300",'2023'!$D$4="FO",'2023'!$D$2=CA5),'2023DATA3'!$H$16,"")</f>
        <v/>
      </c>
      <c r="CB19" s="518" t="str">
        <f>IF(AND(_AC5="B-767-300",'2023'!$D$4="FO",'2023'!$D$2=CB5),'2023DATA3'!$I$16,"")</f>
        <v/>
      </c>
      <c r="CC19" s="518" t="str">
        <f>IF(AND(_AC5="B-767-300",'2023'!$D$4="FO",'2023'!$D$2=CC5),'2023DATA3'!$J$16,"")</f>
        <v/>
      </c>
      <c r="CD19" s="518" t="str">
        <f>IF(AND(_AC5="B-767-300",'2023'!$D$4="FO",'2023'!$D$2=CD5),'2023DATA3'!$K$16,"")</f>
        <v/>
      </c>
      <c r="CE19" s="518" t="str">
        <f>IF(AND(_AC5="B-767-300",'2023'!$D$4="FO",'2023'!$D$2=CE5),'2023DATA3'!$L$16,"")</f>
        <v/>
      </c>
      <c r="CF19" s="518" t="str">
        <f>IF(AND(_AC5="B-767-300",'2023'!$D$4="FO",'2023'!$D$2=CF5),'2023DATA3'!$M$16,"")</f>
        <v/>
      </c>
      <c r="CG19" s="520" t="str">
        <f>IF(AND(_AC5="B-767-300",'2023'!$D$4="FO",'2023'!$D$2=CG5),'2023DATA3'!$N$16,"")</f>
        <v/>
      </c>
      <c r="CH19" s="940"/>
      <c r="CI19" s="13" t="s">
        <v>62</v>
      </c>
      <c r="CJ19" s="518" t="str">
        <f>IF(AND(_AC6="B-767-300",'2023'!$D$4="FO",'2023'!$D$2=CJ5),'2023DATA3'!$C$16,"")</f>
        <v/>
      </c>
      <c r="CK19" s="518" t="str">
        <f>IF(AND(_AC6="B-767-300",'2023'!$D$4="FO",'2023'!$D$2=CK5),'2023DATA3'!$D$16,"")</f>
        <v/>
      </c>
      <c r="CL19" s="518" t="str">
        <f>IF(AND(_AC6="B-767-300",'2023'!$D$4="FO",'2023'!$D$2=CL5),'2023DATA3'!$E$16,"")</f>
        <v/>
      </c>
      <c r="CM19" s="518" t="str">
        <f>IF(AND(_AC6="B-767-300",'2023'!$D$4="FO",'2023'!$D$2=CM5),'2023DATA3'!$F$16,"")</f>
        <v/>
      </c>
      <c r="CN19" s="518" t="str">
        <f>IF(AND(_AC6="B-767-300",'2023'!$D$4="FO",'2023'!$D$2=CN5),'2023DATA3'!$G$16,"")</f>
        <v/>
      </c>
      <c r="CO19" s="518" t="str">
        <f>IF(AND(_AC6="B-767-300",'2023'!$D$4="FO",'2023'!$D$2=CO5),'2023DATA3'!$H$16,"")</f>
        <v/>
      </c>
      <c r="CP19" s="518" t="str">
        <f>IF(AND(_AC6="B-767-300",'2023'!$D$4="FO",'2023'!$D$2=CP5),'2023DATA3'!$I$16,"")</f>
        <v/>
      </c>
      <c r="CQ19" s="518" t="str">
        <f>IF(AND(_AC6="B-767-300",'2023'!$D$4="FO",'2023'!$D$2=CQ5),'2023DATA3'!$J$16,"")</f>
        <v/>
      </c>
      <c r="CR19" s="518" t="str">
        <f>IF(AND(_AC6="B-767-300",'2023'!$D$4="FO",'2023'!$D$2=CR5),'2023DATA3'!$K$16,"")</f>
        <v/>
      </c>
      <c r="CS19" s="518" t="str">
        <f>IF(AND(_AC6="B-767-300",'2023'!$D$4="FO",'2023'!$D$2=CS5),'2023DATA3'!$L$16,"")</f>
        <v/>
      </c>
      <c r="CT19" s="518" t="str">
        <f>IF(AND(_AC6="B-767-300",'2023'!$D$4="FO",'2023'!$D$2=CT5),'2023DATA3'!$M$16,"")</f>
        <v/>
      </c>
      <c r="CU19" s="520" t="str">
        <f>IF(AND(_AC6="B-767-300",'2023'!$D$4="FO",'2023'!$D$2=CU5),'2023DATA3'!$N$16,"")</f>
        <v/>
      </c>
    </row>
    <row r="20" spans="1:99" x14ac:dyDescent="0.25">
      <c r="A20" s="946"/>
      <c r="B20" s="78" t="s">
        <v>62</v>
      </c>
      <c r="C20" s="25">
        <v>238.71</v>
      </c>
      <c r="D20" s="26">
        <v>235.93</v>
      </c>
      <c r="E20" s="26">
        <v>233.07</v>
      </c>
      <c r="F20" s="26">
        <v>229.26</v>
      </c>
      <c r="G20" s="26">
        <v>226.96</v>
      </c>
      <c r="H20" s="26">
        <v>221.76</v>
      </c>
      <c r="I20" s="26">
        <v>215.81</v>
      </c>
      <c r="J20" s="26">
        <v>210.54</v>
      </c>
      <c r="K20" s="26">
        <v>205.51</v>
      </c>
      <c r="L20" s="26">
        <v>200.62</v>
      </c>
      <c r="M20" s="26">
        <v>171.44</v>
      </c>
      <c r="N20" s="27">
        <v>108.34</v>
      </c>
      <c r="P20" s="940" t="s">
        <v>68</v>
      </c>
      <c r="Q20" s="13" t="s">
        <v>61</v>
      </c>
      <c r="R20" s="518" t="str">
        <f>IF(AND(_AC1="B-767-200",'2023'!$D$4="CA",'2023'!$D$2=R5),'2023DATA3'!$C$17,"")</f>
        <v/>
      </c>
      <c r="S20" s="518" t="str">
        <f>IF(AND(_AC1="B-767-200",'2023'!$D$4="CA",'2023'!$D$2=S5),'2023DATA3'!$D$17,"")</f>
        <v/>
      </c>
      <c r="T20" s="518" t="str">
        <f>IF(AND(_AC1="B-767-200",'2023'!$D$4="CA",'2023'!$D$2=T5),'2023DATA3'!$E$17,"")</f>
        <v/>
      </c>
      <c r="U20" s="518" t="str">
        <f>IF(AND(_AC1="B-767-200",'2023'!$D$4="CA",'2023'!$D$2=U5),'2023DATA3'!$F$17,"")</f>
        <v/>
      </c>
      <c r="V20" s="518" t="str">
        <f>IF(AND(_AC1="B-767-200",'2023'!$D$4="CA",'2023'!$D$2=V5),'2023DATA3'!$G$17,"")</f>
        <v/>
      </c>
      <c r="W20" s="518" t="str">
        <f>IF(AND(_AC1="B-767-200",'2023'!$D$4="CA",'2023'!$D$2=W5),'2023DATA3'!$H$17,"")</f>
        <v/>
      </c>
      <c r="X20" s="518" t="str">
        <f>IF(AND(_AC1="B-767-200",'2023'!$D$4="CA",'2023'!$D$2=X5),'2023DATA3'!$I$17,"")</f>
        <v/>
      </c>
      <c r="Y20" s="518" t="str">
        <f>IF(AND(_AC1="B-767-200",'2023'!$D$4="CA",'2023'!$D$2=Y5),'2023DATA3'!$J$17,"")</f>
        <v/>
      </c>
      <c r="Z20" s="518" t="str">
        <f>IF(AND(_AC1="B-767-200",'2023'!$D$4="CA",'2023'!$D$2=Z5),'2023DATA3'!$K$17,"")</f>
        <v/>
      </c>
      <c r="AA20" s="518" t="str">
        <f>IF(AND(_AC1="B-767-200",'2023'!$D$4="CA",'2023'!$D$2=AA5),'2023DATA3'!$L$17,"")</f>
        <v/>
      </c>
      <c r="AB20" s="518" t="str">
        <f>IF(AND(_AC1="B-767-200",'2023'!$D$4="CA",'2023'!$D$2=AB5),'2023DATA3'!$M$17,"")</f>
        <v/>
      </c>
      <c r="AC20" s="520" t="str">
        <f>IF(AND(_AC1="B-767-200",'2023'!$D$4="CA",'2023'!$D$2=AC5),'2023DATA3'!$N$17,"")</f>
        <v/>
      </c>
      <c r="AD20" s="940" t="s">
        <v>68</v>
      </c>
      <c r="AE20" s="13" t="s">
        <v>61</v>
      </c>
      <c r="AF20" s="518" t="str">
        <f>IF(AND(_AC2="B-767-200",'2023'!$D$4="CA",'2023'!$D$2=AF5),'2023DATA3'!$C$17,"")</f>
        <v/>
      </c>
      <c r="AG20" s="518" t="str">
        <f>IF(AND(_AC2="B-767-200",'2023'!$D$4="CA",'2023'!$D$2=AG5),'2023DATA3'!$D$17,"")</f>
        <v/>
      </c>
      <c r="AH20" s="518" t="str">
        <f>IF(AND(_AC2="B-767-200",'2023'!$D$4="CA",'2023'!$D$2=AH5),'2023DATA3'!$E$17,"")</f>
        <v/>
      </c>
      <c r="AI20" s="518" t="str">
        <f>IF(AND(_AC2="B-767-200",'2023'!$D$4="CA",'2023'!$D$2=AI5),'2023DATA3'!$F$17,"")</f>
        <v/>
      </c>
      <c r="AJ20" s="518" t="str">
        <f>IF(AND(_AC2="B-767-200",'2023'!$D$4="CA",'2023'!$D$2=AJ5),'2023DATA3'!$G$17,"")</f>
        <v/>
      </c>
      <c r="AK20" s="518" t="str">
        <f>IF(AND(_AC2="B-767-200",'2023'!$D$4="CA",'2023'!$D$2=AK5),'2023DATA3'!$H$17,"")</f>
        <v/>
      </c>
      <c r="AL20" s="518" t="str">
        <f>IF(AND(_AC2="B-767-200",'2023'!$D$4="CA",'2023'!$D$2=AL5),'2023DATA3'!$I$17,"")</f>
        <v/>
      </c>
      <c r="AM20" s="518" t="str">
        <f>IF(AND(_AC2="B-767-200",'2023'!$D$4="CA",'2023'!$D$2=AM5),'2023DATA3'!$J$17,"")</f>
        <v/>
      </c>
      <c r="AN20" s="518" t="str">
        <f>IF(AND(_AC2="B-767-200",'2023'!$D$4="CA",'2023'!$D$2=AN5),'2023DATA3'!$K$17,"")</f>
        <v/>
      </c>
      <c r="AO20" s="518" t="str">
        <f>IF(AND(_AC2="B-767-200",'2023'!$D$4="CA",'2023'!$D$2=AO5),'2023DATA3'!$L$17,"")</f>
        <v/>
      </c>
      <c r="AP20" s="518" t="str">
        <f>IF(AND(_AC2="B-767-200",'2023'!$D$4="CA",'2023'!$D$2=AP5),'2023DATA3'!$M$17,"")</f>
        <v/>
      </c>
      <c r="AQ20" s="520" t="str">
        <f>IF(AND(_AC2="B-767-200",'2023'!$D$4="CA",'2023'!$D$2=AQ5),'2023DATA3'!$N$17,"")</f>
        <v/>
      </c>
      <c r="AR20" s="940" t="s">
        <v>68</v>
      </c>
      <c r="AS20" s="13" t="s">
        <v>61</v>
      </c>
      <c r="AT20" s="518" t="str">
        <f>IF(AND(_AC3="B-767-200",'2023'!$D$4="CA",'2023'!$D$2=AT5),'2023DATA3'!$C$17,"")</f>
        <v/>
      </c>
      <c r="AU20" s="518" t="str">
        <f>IF(AND(_AC3="B-767-200",'2023'!$D$4="CA",'2023'!$D$2=AU5),'2023DATA3'!$D$17,"")</f>
        <v/>
      </c>
      <c r="AV20" s="518" t="str">
        <f>IF(AND(_AC3="B-767-200",'2023'!$D$4="CA",'2023'!$D$2=AV5),'2023DATA3'!$E$17,"")</f>
        <v/>
      </c>
      <c r="AW20" s="518" t="str">
        <f>IF(AND(_AC3="B-767-200",'2023'!$D$4="CA",'2023'!$D$2=AW5),'2023DATA3'!$F$17,"")</f>
        <v/>
      </c>
      <c r="AX20" s="518" t="str">
        <f>IF(AND(_AC3="B-767-200",'2023'!$D$4="CA",'2023'!$D$2=AX5),'2023DATA3'!$G$17,"")</f>
        <v/>
      </c>
      <c r="AY20" s="518" t="str">
        <f>IF(AND(_AC3="B-767-200",'2023'!$D$4="CA",'2023'!$D$2=AY5),'2023DATA3'!$H$17,"")</f>
        <v/>
      </c>
      <c r="AZ20" s="518" t="str">
        <f>IF(AND(_AC3="B-767-200",'2023'!$D$4="CA",'2023'!$D$2=AZ5),'2023DATA3'!$I$17,"")</f>
        <v/>
      </c>
      <c r="BA20" s="518" t="str">
        <f>IF(AND(_AC3="B-767-200",'2023'!$D$4="CA",'2023'!$D$2=BA5),'2023DATA3'!$J$17,"")</f>
        <v/>
      </c>
      <c r="BB20" s="518" t="str">
        <f>IF(AND(_AC3="B-767-200",'2023'!$D$4="CA",'2023'!$D$2=BB5),'2023DATA3'!$K$17,"")</f>
        <v/>
      </c>
      <c r="BC20" s="518" t="str">
        <f>IF(AND(_AC3="B-767-200",'2023'!$D$4="CA",'2023'!$D$2=BC5),'2023DATA3'!$L$17,"")</f>
        <v/>
      </c>
      <c r="BD20" s="518" t="str">
        <f>IF(AND(_AC3="B-767-200",'2023'!$D$4="CA",'2023'!$D$2=BD5),'2023DATA3'!$M$17,"")</f>
        <v/>
      </c>
      <c r="BE20" s="520" t="str">
        <f>IF(AND(_AC3="B-767-200",'2023'!$D$4="CA",'2023'!$D$2=BE5),'2023DATA3'!$N$17,"")</f>
        <v/>
      </c>
      <c r="BF20" s="940" t="s">
        <v>68</v>
      </c>
      <c r="BG20" s="13" t="s">
        <v>61</v>
      </c>
      <c r="BH20" s="518" t="str">
        <f>IF(AND(_AC4="B-767-200",'2023'!$D$4="CA",'2023'!$D$2=BH5),'2023DATA3'!$C$17,"")</f>
        <v/>
      </c>
      <c r="BI20" s="518" t="str">
        <f>IF(AND(_AC4="B-767-200",'2023'!$D$4="CA",'2023'!$D$2=BI5),'2023DATA3'!$D$17,"")</f>
        <v/>
      </c>
      <c r="BJ20" s="518" t="str">
        <f>IF(AND(_AC4="B-767-200",'2023'!$D$4="CA",'2023'!$D$2=BJ5),'2023DATA3'!$E$17,"")</f>
        <v/>
      </c>
      <c r="BK20" s="518" t="str">
        <f>IF(AND(_AC4="B-767-200",'2023'!$D$4="CA",'2023'!$D$2=BK5),'2023DATA3'!$F$17,"")</f>
        <v/>
      </c>
      <c r="BL20" s="518" t="str">
        <f>IF(AND(_AC4="B-767-200",'2023'!$D$4="CA",'2023'!$D$2=BL5),'2023DATA3'!$G$17,"")</f>
        <v/>
      </c>
      <c r="BM20" s="518" t="str">
        <f>IF(AND(_AC4="B-767-200",'2023'!$D$4="CA",'2023'!$D$2=BM5),'2023DATA3'!$H$17,"")</f>
        <v/>
      </c>
      <c r="BN20" s="518" t="str">
        <f>IF(AND(_AC4="B-767-200",'2023'!$D$4="CA",'2023'!$D$2=BN5),'2023DATA3'!$I$17,"")</f>
        <v/>
      </c>
      <c r="BO20" s="518" t="str">
        <f>IF(AND(_AC4="B-767-200",'2023'!$D$4="CA",'2023'!$D$2=BO5),'2023DATA3'!$J$17,"")</f>
        <v/>
      </c>
      <c r="BP20" s="518" t="str">
        <f>IF(AND(_AC4="B-767-200",'2023'!$D$4="CA",'2023'!$D$2=BP5),'2023DATA3'!$K$17,"")</f>
        <v/>
      </c>
      <c r="BQ20" s="518" t="str">
        <f>IF(AND(_AC4="B-767-200",'2023'!$D$4="CA",'2023'!$D$2=BQ5),'2023DATA3'!$L$17,"")</f>
        <v/>
      </c>
      <c r="BR20" s="518" t="str">
        <f>IF(AND(_AC4="B-767-200",'2023'!$D$4="CA",'2023'!$D$2=BR5),'2023DATA3'!$M$17,"")</f>
        <v/>
      </c>
      <c r="BS20" s="520" t="str">
        <f>IF(AND(_AC4="B-767-200",'2023'!$D$4="CA",'2023'!$D$2=BS5),'2023DATA3'!$N$17,"")</f>
        <v/>
      </c>
      <c r="BT20" s="940" t="s">
        <v>68</v>
      </c>
      <c r="BU20" s="13" t="s">
        <v>61</v>
      </c>
      <c r="BV20" s="518" t="str">
        <f>IF(AND(_AC5="B-767-200",'2023'!$D$4="CA",'2023'!$D$2=BV5),'2023DATA3'!$C$17,"")</f>
        <v/>
      </c>
      <c r="BW20" s="518" t="str">
        <f>IF(AND(_AC5="B-767-200",'2023'!$D$4="CA",'2023'!$D$2=BW5),'2023DATA3'!$D$17,"")</f>
        <v/>
      </c>
      <c r="BX20" s="518" t="str">
        <f>IF(AND(_AC5="B-767-200",'2023'!$D$4="CA",'2023'!$D$2=BX5),'2023DATA3'!$E$17,"")</f>
        <v/>
      </c>
      <c r="BY20" s="518" t="str">
        <f>IF(AND(_AC5="B-767-200",'2023'!$D$4="CA",'2023'!$D$2=BY5),'2023DATA3'!$F$17,"")</f>
        <v/>
      </c>
      <c r="BZ20" s="518" t="str">
        <f>IF(AND(_AC5="B-767-200",'2023'!$D$4="CA",'2023'!$D$2=BZ5),'2023DATA3'!$G$17,"")</f>
        <v/>
      </c>
      <c r="CA20" s="518" t="str">
        <f>IF(AND(_AC5="B-767-200",'2023'!$D$4="CA",'2023'!$D$2=CA5),'2023DATA3'!$H$17,"")</f>
        <v/>
      </c>
      <c r="CB20" s="518" t="str">
        <f>IF(AND(_AC5="B-767-200",'2023'!$D$4="CA",'2023'!$D$2=CB5),'2023DATA3'!$I$17,"")</f>
        <v/>
      </c>
      <c r="CC20" s="518" t="str">
        <f>IF(AND(_AC5="B-767-200",'2023'!$D$4="CA",'2023'!$D$2=CC5),'2023DATA3'!$J$17,"")</f>
        <v/>
      </c>
      <c r="CD20" s="518" t="str">
        <f>IF(AND(_AC5="B-767-200",'2023'!$D$4="CA",'2023'!$D$2=CD5),'2023DATA3'!$K$17,"")</f>
        <v/>
      </c>
      <c r="CE20" s="518" t="str">
        <f>IF(AND(_AC5="B-767-200",'2023'!$D$4="CA",'2023'!$D$2=CE5),'2023DATA3'!$L$17,"")</f>
        <v/>
      </c>
      <c r="CF20" s="518" t="str">
        <f>IF(AND(_AC5="B-767-200",'2023'!$D$4="CA",'2023'!$D$2=CF5),'2023DATA3'!$M$17,"")</f>
        <v/>
      </c>
      <c r="CG20" s="520" t="str">
        <f>IF(AND(_AC5="B-767-200",'2023'!$D$4="CA",'2023'!$D$2=CG5),'2023DATA3'!$N$17,"")</f>
        <v/>
      </c>
      <c r="CH20" s="940" t="s">
        <v>68</v>
      </c>
      <c r="CI20" s="13" t="s">
        <v>61</v>
      </c>
      <c r="CJ20" s="518" t="str">
        <f>IF(AND(_AC6="B-767-200",'2023'!$D$4="CA",'2023'!$D$2=CJ5),'2023DATA3'!$C$17,"")</f>
        <v/>
      </c>
      <c r="CK20" s="518" t="str">
        <f>IF(AND(_AC6="B-767-200",'2023'!$D$4="CA",'2023'!$D$2=CK5),'2023DATA3'!$D$17,"")</f>
        <v/>
      </c>
      <c r="CL20" s="518" t="str">
        <f>IF(AND(_AC6="B-767-200",'2023'!$D$4="CA",'2023'!$D$2=CL5),'2023DATA3'!$E$17,"")</f>
        <v/>
      </c>
      <c r="CM20" s="518" t="str">
        <f>IF(AND(_AC6="B-767-200",'2023'!$D$4="CA",'2023'!$D$2=CM5),'2023DATA3'!$F$17,"")</f>
        <v/>
      </c>
      <c r="CN20" s="518" t="str">
        <f>IF(AND(_AC6="B-767-200",'2023'!$D$4="CA",'2023'!$D$2=CN5),'2023DATA3'!$G$17,"")</f>
        <v/>
      </c>
      <c r="CO20" s="518" t="str">
        <f>IF(AND(_AC6="B-767-200",'2023'!$D$4="CA",'2023'!$D$2=CO5),'2023DATA3'!$H$17,"")</f>
        <v/>
      </c>
      <c r="CP20" s="518" t="str">
        <f>IF(AND(_AC6="B-767-200",'2023'!$D$4="CA",'2023'!$D$2=CP5),'2023DATA3'!$I$17,"")</f>
        <v/>
      </c>
      <c r="CQ20" s="518" t="str">
        <f>IF(AND(_AC6="B-767-200",'2023'!$D$4="CA",'2023'!$D$2=CQ5),'2023DATA3'!$J$17,"")</f>
        <v/>
      </c>
      <c r="CR20" s="518" t="str">
        <f>IF(AND(_AC6="B-767-200",'2023'!$D$4="CA",'2023'!$D$2=CR5),'2023DATA3'!$K$17,"")</f>
        <v/>
      </c>
      <c r="CS20" s="518" t="str">
        <f>IF(AND(_AC6="B-767-200",'2023'!$D$4="CA",'2023'!$D$2=CS5),'2023DATA3'!$L$17,"")</f>
        <v/>
      </c>
      <c r="CT20" s="518" t="str">
        <f>IF(AND(_AC6="B-767-200",'2023'!$D$4="CA",'2023'!$D$2=CT5),'2023DATA3'!$M$17,"")</f>
        <v/>
      </c>
      <c r="CU20" s="520" t="str">
        <f>IF(AND(_AC6="B-767-200",'2023'!$D$4="CA",'2023'!$D$2=CU5),'2023DATA3'!$N$17,"")</f>
        <v/>
      </c>
    </row>
    <row r="21" spans="1:99" x14ac:dyDescent="0.25">
      <c r="A21" s="946" t="s">
        <v>47</v>
      </c>
      <c r="B21" s="78" t="s">
        <v>61</v>
      </c>
      <c r="C21" s="25">
        <v>336.89</v>
      </c>
      <c r="D21" s="26">
        <v>334.29</v>
      </c>
      <c r="E21" s="26">
        <v>331.69</v>
      </c>
      <c r="F21" s="26">
        <v>329.24</v>
      </c>
      <c r="G21" s="26">
        <v>326.64</v>
      </c>
      <c r="H21" s="26">
        <v>324.10000000000002</v>
      </c>
      <c r="I21" s="26">
        <v>321.57</v>
      </c>
      <c r="J21" s="26">
        <v>319.02</v>
      </c>
      <c r="K21" s="26">
        <v>316.45</v>
      </c>
      <c r="L21" s="26">
        <v>313.89999999999998</v>
      </c>
      <c r="M21" s="26">
        <v>311.45999999999998</v>
      </c>
      <c r="N21" s="27">
        <v>309.02999999999997</v>
      </c>
      <c r="P21" s="940"/>
      <c r="Q21" s="13" t="s">
        <v>62</v>
      </c>
      <c r="R21" s="518" t="str">
        <f>IF(AND(_AC1="B-767-200",'2023'!$D$4="FO",'2023'!$D$2=R5),'2023DATA3'!$C$18,"")</f>
        <v/>
      </c>
      <c r="S21" s="518" t="str">
        <f>IF(AND(_AC1="B-767-200",'2023'!$D$4="FO",'2023'!$D$2=S5),'2023DATA3'!$D$18,"")</f>
        <v/>
      </c>
      <c r="T21" s="518" t="str">
        <f>IF(AND(_AC1="B-767-200",'2023'!$D$4="FO",'2023'!$D$2=T5),'2023DATA3'!$E$18,"")</f>
        <v/>
      </c>
      <c r="U21" s="518" t="str">
        <f>IF(AND(_AC1="B-767-200",'2023'!$D$4="FO",'2023'!$D$2=U5),'2023DATA3'!$F$18,"")</f>
        <v/>
      </c>
      <c r="V21" s="518" t="str">
        <f>IF(AND(_AC1="B-767-200",'2023'!$D$4="FO",'2023'!$D$2=V5),'2023DATA3'!$G$18,"")</f>
        <v/>
      </c>
      <c r="W21" s="518" t="str">
        <f>IF(AND(_AC1="B-767-200",'2023'!$D$4="FO",'2023'!$D$2=W5),'2023DATA3'!$H$18,"")</f>
        <v/>
      </c>
      <c r="X21" s="518" t="str">
        <f>IF(AND(_AC1="B-767-200",'2023'!$D$4="FO",'2023'!$D$2=X5),'2023DATA3'!$I$18,"")</f>
        <v/>
      </c>
      <c r="Y21" s="518" t="str">
        <f>IF(AND(_AC1="B-767-200",'2023'!$D$4="FO",'2023'!$D$2=Y5),'2023DATA3'!$J$18,"")</f>
        <v/>
      </c>
      <c r="Z21" s="518" t="str">
        <f>IF(AND(_AC1="B-767-200",'2023'!$D$4="FO",'2023'!$D$2=Z5),'2023DATA3'!$K$18,"")</f>
        <v/>
      </c>
      <c r="AA21" s="518" t="str">
        <f>IF(AND(_AC1="B-767-200",'2023'!$D$4="FO",'2023'!$D$2=AA5),'2023DATA3'!$L$18,"")</f>
        <v/>
      </c>
      <c r="AB21" s="518" t="str">
        <f>IF(AND(_AC1="B-767-200",'2023'!$D$4="FO",'2023'!$D$2=AB5),'2023DATA3'!$M$18,"")</f>
        <v/>
      </c>
      <c r="AC21" s="520" t="str">
        <f>IF(AND(_AC1="B-767-200",'2023'!$D$4="FO",'2023'!$D$2=AC5),'2023DATA3'!$N$18,"")</f>
        <v/>
      </c>
      <c r="AD21" s="940"/>
      <c r="AE21" s="13" t="s">
        <v>62</v>
      </c>
      <c r="AF21" s="518" t="str">
        <f>IF(AND(_AC2="B-767-200",'2023'!$D$4="FO",'2023'!$D$2=AF5),'2023DATA3'!$C$18,"")</f>
        <v/>
      </c>
      <c r="AG21" s="518" t="str">
        <f>IF(AND(_AC2="B-767-200",'2023'!$D$4="FO",'2023'!$D$2=AG5),'2023DATA3'!$D$18,"")</f>
        <v/>
      </c>
      <c r="AH21" s="518" t="str">
        <f>IF(AND(_AC2="B-767-200",'2023'!$D$4="FO",'2023'!$D$2=AH5),'2023DATA3'!$E$18,"")</f>
        <v/>
      </c>
      <c r="AI21" s="518" t="str">
        <f>IF(AND(_AC2="B-767-200",'2023'!$D$4="FO",'2023'!$D$2=AI5),'2023DATA3'!$F$18,"")</f>
        <v/>
      </c>
      <c r="AJ21" s="518" t="str">
        <f>IF(AND(_AC2="B-767-200",'2023'!$D$4="FO",'2023'!$D$2=AJ5),'2023DATA3'!$G$18,"")</f>
        <v/>
      </c>
      <c r="AK21" s="518" t="str">
        <f>IF(AND(_AC2="B-767-200",'2023'!$D$4="FO",'2023'!$D$2=AK5),'2023DATA3'!$H$18,"")</f>
        <v/>
      </c>
      <c r="AL21" s="518" t="str">
        <f>IF(AND(_AC2="B-767-200",'2023'!$D$4="FO",'2023'!$D$2=AL5),'2023DATA3'!$I$18,"")</f>
        <v/>
      </c>
      <c r="AM21" s="518" t="str">
        <f>IF(AND(_AC2="B-767-200",'2023'!$D$4="FO",'2023'!$D$2=AM5),'2023DATA3'!$J$18,"")</f>
        <v/>
      </c>
      <c r="AN21" s="518" t="str">
        <f>IF(AND(_AC2="B-767-200",'2023'!$D$4="FO",'2023'!$D$2=AN5),'2023DATA3'!$K$18,"")</f>
        <v/>
      </c>
      <c r="AO21" s="518" t="str">
        <f>IF(AND(_AC2="B-767-200",'2023'!$D$4="FO",'2023'!$D$2=AO5),'2023DATA3'!$L$18,"")</f>
        <v/>
      </c>
      <c r="AP21" s="518" t="str">
        <f>IF(AND(_AC2="B-767-200",'2023'!$D$4="FO",'2023'!$D$2=AP5),'2023DATA3'!$M$18,"")</f>
        <v/>
      </c>
      <c r="AQ21" s="520" t="str">
        <f>IF(AND(_AC2="B-767-200",'2023'!$D$4="FO",'2023'!$D$2=AQ5),'2023DATA3'!$N$18,"")</f>
        <v/>
      </c>
      <c r="AR21" s="940"/>
      <c r="AS21" s="13" t="s">
        <v>62</v>
      </c>
      <c r="AT21" s="518" t="str">
        <f>IF(AND(_AC3="B-767-200",'2023'!$D$4="FO",'2023'!$D$2=AT5),'2023DATA3'!$C$18,"")</f>
        <v/>
      </c>
      <c r="AU21" s="518" t="str">
        <f>IF(AND(_AC3="B-767-200",'2023'!$D$4="FO",'2023'!$D$2=AU5),'2023DATA3'!$D$18,"")</f>
        <v/>
      </c>
      <c r="AV21" s="518" t="str">
        <f>IF(AND(_AC3="B-767-200",'2023'!$D$4="FO",'2023'!$D$2=AV5),'2023DATA3'!$E$18,"")</f>
        <v/>
      </c>
      <c r="AW21" s="518" t="str">
        <f>IF(AND(_AC3="B-767-200",'2023'!$D$4="FO",'2023'!$D$2=AW5),'2023DATA3'!$F$18,"")</f>
        <v/>
      </c>
      <c r="AX21" s="518" t="str">
        <f>IF(AND(_AC3="B-767-200",'2023'!$D$4="FO",'2023'!$D$2=AX5),'2023DATA3'!$G$18,"")</f>
        <v/>
      </c>
      <c r="AY21" s="518" t="str">
        <f>IF(AND(_AC3="B-767-200",'2023'!$D$4="FO",'2023'!$D$2=AY5),'2023DATA3'!$H$18,"")</f>
        <v/>
      </c>
      <c r="AZ21" s="518" t="str">
        <f>IF(AND(_AC3="B-767-200",'2023'!$D$4="FO",'2023'!$D$2=AZ5),'2023DATA3'!$I$18,"")</f>
        <v/>
      </c>
      <c r="BA21" s="518" t="str">
        <f>IF(AND(_AC3="B-767-200",'2023'!$D$4="FO",'2023'!$D$2=BA5),'2023DATA3'!$J$18,"")</f>
        <v/>
      </c>
      <c r="BB21" s="518" t="str">
        <f>IF(AND(_AC3="B-767-200",'2023'!$D$4="FO",'2023'!$D$2=BB5),'2023DATA3'!$K$18,"")</f>
        <v/>
      </c>
      <c r="BC21" s="518" t="str">
        <f>IF(AND(_AC3="B-767-200",'2023'!$D$4="FO",'2023'!$D$2=BC5),'2023DATA3'!$L$18,"")</f>
        <v/>
      </c>
      <c r="BD21" s="518" t="str">
        <f>IF(AND(_AC3="B-767-200",'2023'!$D$4="FO",'2023'!$D$2=BD5),'2023DATA3'!$M$18,"")</f>
        <v/>
      </c>
      <c r="BE21" s="520" t="str">
        <f>IF(AND(_AC3="B-767-200",'2023'!$D$4="FO",'2023'!$D$2=BE5),'2023DATA3'!$N$18,"")</f>
        <v/>
      </c>
      <c r="BF21" s="940"/>
      <c r="BG21" s="13" t="s">
        <v>62</v>
      </c>
      <c r="BH21" s="518" t="str">
        <f>IF(AND(_AC4="B-767-200",'2023'!$D$4="FO",'2023'!$D$2=BH5),'2023DATA3'!$C$18,"")</f>
        <v/>
      </c>
      <c r="BI21" s="518" t="str">
        <f>IF(AND(_AC4="B-767-200",'2023'!$D$4="FO",'2023'!$D$2=BI5),'2023DATA3'!$D$18,"")</f>
        <v/>
      </c>
      <c r="BJ21" s="518" t="str">
        <f>IF(AND(_AC4="B-767-200",'2023'!$D$4="FO",'2023'!$D$2=BJ5),'2023DATA3'!$E$18,"")</f>
        <v/>
      </c>
      <c r="BK21" s="518" t="str">
        <f>IF(AND(_AC4="B-767-200",'2023'!$D$4="FO",'2023'!$D$2=BK5),'2023DATA3'!$F$18,"")</f>
        <v/>
      </c>
      <c r="BL21" s="518" t="str">
        <f>IF(AND(_AC4="B-767-200",'2023'!$D$4="FO",'2023'!$D$2=BL5),'2023DATA3'!$G$18,"")</f>
        <v/>
      </c>
      <c r="BM21" s="518" t="str">
        <f>IF(AND(_AC4="B-767-200",'2023'!$D$4="FO",'2023'!$D$2=BM5),'2023DATA3'!$H$18,"")</f>
        <v/>
      </c>
      <c r="BN21" s="518" t="str">
        <f>IF(AND(_AC4="B-767-200",'2023'!$D$4="FO",'2023'!$D$2=BN5),'2023DATA3'!$I$18,"")</f>
        <v/>
      </c>
      <c r="BO21" s="518" t="str">
        <f>IF(AND(_AC4="B-767-200",'2023'!$D$4="FO",'2023'!$D$2=BO5),'2023DATA3'!$J$18,"")</f>
        <v/>
      </c>
      <c r="BP21" s="518" t="str">
        <f>IF(AND(_AC4="B-767-200",'2023'!$D$4="FO",'2023'!$D$2=BP5),'2023DATA3'!$K$18,"")</f>
        <v/>
      </c>
      <c r="BQ21" s="518" t="str">
        <f>IF(AND(_AC4="B-767-200",'2023'!$D$4="FO",'2023'!$D$2=BQ5),'2023DATA3'!$L$18,"")</f>
        <v/>
      </c>
      <c r="BR21" s="518" t="str">
        <f>IF(AND(_AC4="B-767-200",'2023'!$D$4="FO",'2023'!$D$2=BR5),'2023DATA3'!$M$18,"")</f>
        <v/>
      </c>
      <c r="BS21" s="520" t="str">
        <f>IF(AND(_AC4="B-767-200",'2023'!$D$4="FO",'2023'!$D$2=BS5),'2023DATA3'!$N$18,"")</f>
        <v/>
      </c>
      <c r="BT21" s="940"/>
      <c r="BU21" s="13" t="s">
        <v>62</v>
      </c>
      <c r="BV21" s="518" t="str">
        <f>IF(AND(_AC5="B-767-200",'2023'!$D$4="FO",'2023'!$D$2=BV5),'2023DATA3'!$C$18,"")</f>
        <v/>
      </c>
      <c r="BW21" s="518" t="str">
        <f>IF(AND(_AC5="B-767-200",'2023'!$D$4="FO",'2023'!$D$2=BW5),'2023DATA3'!$D$18,"")</f>
        <v/>
      </c>
      <c r="BX21" s="518" t="str">
        <f>IF(AND(_AC5="B-767-200",'2023'!$D$4="FO",'2023'!$D$2=BX5),'2023DATA3'!$E$18,"")</f>
        <v/>
      </c>
      <c r="BY21" s="518" t="str">
        <f>IF(AND(_AC5="B-767-200",'2023'!$D$4="FO",'2023'!$D$2=BY5),'2023DATA3'!$F$18,"")</f>
        <v/>
      </c>
      <c r="BZ21" s="518" t="str">
        <f>IF(AND(_AC5="B-767-200",'2023'!$D$4="FO",'2023'!$D$2=BZ5),'2023DATA3'!$G$18,"")</f>
        <v/>
      </c>
      <c r="CA21" s="518" t="str">
        <f>IF(AND(_AC5="B-767-200",'2023'!$D$4="FO",'2023'!$D$2=CA5),'2023DATA3'!$H$18,"")</f>
        <v/>
      </c>
      <c r="CB21" s="518" t="str">
        <f>IF(AND(_AC5="B-767-200",'2023'!$D$4="FO",'2023'!$D$2=CB5),'2023DATA3'!$I$18,"")</f>
        <v/>
      </c>
      <c r="CC21" s="518" t="str">
        <f>IF(AND(_AC5="B-767-200",'2023'!$D$4="FO",'2023'!$D$2=CC5),'2023DATA3'!$J$18,"")</f>
        <v/>
      </c>
      <c r="CD21" s="518" t="str">
        <f>IF(AND(_AC5="B-767-200",'2023'!$D$4="FO",'2023'!$D$2=CD5),'2023DATA3'!$K$18,"")</f>
        <v/>
      </c>
      <c r="CE21" s="518" t="str">
        <f>IF(AND(_AC5="B-767-200",'2023'!$D$4="FO",'2023'!$D$2=CE5),'2023DATA3'!$L$18,"")</f>
        <v/>
      </c>
      <c r="CF21" s="518" t="str">
        <f>IF(AND(_AC5="B-767-200",'2023'!$D$4="FO",'2023'!$D$2=CF5),'2023DATA3'!$M$18,"")</f>
        <v/>
      </c>
      <c r="CG21" s="520" t="str">
        <f>IF(AND(_AC5="B-767-200",'2023'!$D$4="FO",'2023'!$D$2=CG5),'2023DATA3'!$N$18,"")</f>
        <v/>
      </c>
      <c r="CH21" s="940"/>
      <c r="CI21" s="13" t="s">
        <v>62</v>
      </c>
      <c r="CJ21" s="518" t="str">
        <f>IF(AND(_AC6="B-767-200",'2023'!$D$4="FO",'2023'!$D$2=CJ5),'2023DATA3'!$C$18,"")</f>
        <v/>
      </c>
      <c r="CK21" s="518" t="str">
        <f>IF(AND(_AC6="B-767-200",'2023'!$D$4="FO",'2023'!$D$2=CK5),'2023DATA3'!$D$18,"")</f>
        <v/>
      </c>
      <c r="CL21" s="518" t="str">
        <f>IF(AND(_AC6="B-767-200",'2023'!$D$4="FO",'2023'!$D$2=CL5),'2023DATA3'!$E$18,"")</f>
        <v/>
      </c>
      <c r="CM21" s="518" t="str">
        <f>IF(AND(_AC6="B-767-200",'2023'!$D$4="FO",'2023'!$D$2=CM5),'2023DATA3'!$F$18,"")</f>
        <v/>
      </c>
      <c r="CN21" s="518" t="str">
        <f>IF(AND(_AC6="B-767-200",'2023'!$D$4="FO",'2023'!$D$2=CN5),'2023DATA3'!$G$18,"")</f>
        <v/>
      </c>
      <c r="CO21" s="518" t="str">
        <f>IF(AND(_AC6="B-767-200",'2023'!$D$4="FO",'2023'!$D$2=CO5),'2023DATA3'!$H$18,"")</f>
        <v/>
      </c>
      <c r="CP21" s="518" t="str">
        <f>IF(AND(_AC6="B-767-200",'2023'!$D$4="FO",'2023'!$D$2=CP5),'2023DATA3'!$I$18,"")</f>
        <v/>
      </c>
      <c r="CQ21" s="518" t="str">
        <f>IF(AND(_AC6="B-767-200",'2023'!$D$4="FO",'2023'!$D$2=CQ5),'2023DATA3'!$J$18,"")</f>
        <v/>
      </c>
      <c r="CR21" s="518" t="str">
        <f>IF(AND(_AC6="B-767-200",'2023'!$D$4="FO",'2023'!$D$2=CR5),'2023DATA3'!$K$18,"")</f>
        <v/>
      </c>
      <c r="CS21" s="518" t="str">
        <f>IF(AND(_AC6="B-767-200",'2023'!$D$4="FO",'2023'!$D$2=CS5),'2023DATA3'!$L$18,"")</f>
        <v/>
      </c>
      <c r="CT21" s="518" t="str">
        <f>IF(AND(_AC6="B-767-200",'2023'!$D$4="FO",'2023'!$D$2=CT5),'2023DATA3'!$M$18,"")</f>
        <v/>
      </c>
      <c r="CU21" s="520" t="str">
        <f>IF(AND(_AC6="B-767-200",'2023'!$D$4="FO",'2023'!$D$2=CU5),'2023DATA3'!$N$18,"")</f>
        <v/>
      </c>
    </row>
    <row r="22" spans="1:99" x14ac:dyDescent="0.25">
      <c r="A22" s="946"/>
      <c r="B22" s="78" t="s">
        <v>62</v>
      </c>
      <c r="C22" s="25">
        <v>230.1</v>
      </c>
      <c r="D22" s="26">
        <v>227.98</v>
      </c>
      <c r="E22" s="26">
        <v>225.91</v>
      </c>
      <c r="F22" s="26">
        <v>222.88</v>
      </c>
      <c r="G22" s="26">
        <v>220.51</v>
      </c>
      <c r="H22" s="26">
        <v>215.54</v>
      </c>
      <c r="I22" s="26">
        <v>209.67</v>
      </c>
      <c r="J22" s="26">
        <v>204.47</v>
      </c>
      <c r="K22" s="26">
        <v>199.67</v>
      </c>
      <c r="L22" s="26">
        <v>194.95</v>
      </c>
      <c r="M22" s="26">
        <v>166.6</v>
      </c>
      <c r="N22" s="27">
        <v>108.34</v>
      </c>
      <c r="P22" s="940" t="s">
        <v>45</v>
      </c>
      <c r="Q22" s="13" t="s">
        <v>61</v>
      </c>
      <c r="R22" s="518" t="str">
        <f>IF(AND(_AC1="B-757",'2023'!$D$4="CA",'2023'!$D$2=R5),'2023DATA3'!$C$19,"")</f>
        <v/>
      </c>
      <c r="S22" s="518" t="str">
        <f>IF(AND(_AC1="B-757",'2023'!$D$4="CA",'2023'!$D$2=S5),'2023DATA3'!$D$19,"")</f>
        <v/>
      </c>
      <c r="T22" s="518" t="str">
        <f>IF(AND(_AC1="B-757",'2023'!$D$4="CA",'2023'!$D$2=T5),'2023DATA3'!$E$19,"")</f>
        <v/>
      </c>
      <c r="U22" s="518" t="str">
        <f>IF(AND(_AC1="B-757",'2023'!$D$4="CA",'2023'!$D$2=U5),'2023DATA3'!$F$19,"")</f>
        <v/>
      </c>
      <c r="V22" s="518" t="str">
        <f>IF(AND(_AC1="B-757",'2023'!$D$4="CA",'2023'!$D$2=V5),'2023DATA3'!$G$19,"")</f>
        <v/>
      </c>
      <c r="W22" s="518" t="str">
        <f>IF(AND(_AC1="B-757",'2023'!$D$4="CA",'2023'!$D$2=W5),'2023DATA3'!$H$19,"")</f>
        <v/>
      </c>
      <c r="X22" s="518" t="str">
        <f>IF(AND(_AC1="B-757",'2023'!$D$4="CA",'2023'!$D$2=X5),'2023DATA3'!$I$19,"")</f>
        <v/>
      </c>
      <c r="Y22" s="518" t="str">
        <f>IF(AND(_AC1="B-757",'2023'!$D$4="CA",'2023'!$D$2=Y5),'2023DATA3'!$J$19,"")</f>
        <v/>
      </c>
      <c r="Z22" s="518" t="str">
        <f>IF(AND(_AC1="B-757",'2023'!$D$4="CA",'2023'!$D$2=Z5),'2023DATA3'!$K$19,"")</f>
        <v/>
      </c>
      <c r="AA22" s="518" t="str">
        <f>IF(AND(_AC1="B-757",'2023'!$D$4="CA",'2023'!$D$2=AA5),'2023DATA3'!$L$19,"")</f>
        <v/>
      </c>
      <c r="AB22" s="518" t="str">
        <f>IF(AND(_AC1="B-757",'2023'!$D$4="CA",'2023'!$D$2=AB5),'2023DATA3'!$M$19,"")</f>
        <v/>
      </c>
      <c r="AC22" s="520" t="str">
        <f>IF(AND(_AC1="B-757",'2023'!$D$4="CA",'2023'!$D$2=AC5),'2023DATA3'!$N$19,"")</f>
        <v/>
      </c>
      <c r="AD22" s="940" t="s">
        <v>45</v>
      </c>
      <c r="AE22" s="13" t="s">
        <v>61</v>
      </c>
      <c r="AF22" s="518" t="str">
        <f>IF(AND(_AC2="B-757",'2023'!$D$4="CA",'2023'!$D$2=AF5),'2023DATA3'!$C$19,"")</f>
        <v/>
      </c>
      <c r="AG22" s="518" t="str">
        <f>IF(AND(_AC2="B-757",'2023'!$D$4="CA",'2023'!$D$2=AG5),'2023DATA3'!$D$19,"")</f>
        <v/>
      </c>
      <c r="AH22" s="518" t="str">
        <f>IF(AND(_AC2="B-757",'2023'!$D$4="CA",'2023'!$D$2=AH5),'2023DATA3'!$E$19,"")</f>
        <v/>
      </c>
      <c r="AI22" s="518" t="str">
        <f>IF(AND(_AC2="B-757",'2023'!$D$4="CA",'2023'!$D$2=AI5),'2023DATA3'!$F$19,"")</f>
        <v/>
      </c>
      <c r="AJ22" s="518" t="str">
        <f>IF(AND(_AC2="B-757",'2023'!$D$4="CA",'2023'!$D$2=AJ5),'2023DATA3'!$G$19,"")</f>
        <v/>
      </c>
      <c r="AK22" s="518" t="str">
        <f>IF(AND(_AC2="B-757",'2023'!$D$4="CA",'2023'!$D$2=AK5),'2023DATA3'!$H$19,"")</f>
        <v/>
      </c>
      <c r="AL22" s="518" t="str">
        <f>IF(AND(_AC2="B-757",'2023'!$D$4="CA",'2023'!$D$2=AL5),'2023DATA3'!$I$19,"")</f>
        <v/>
      </c>
      <c r="AM22" s="518" t="str">
        <f>IF(AND(_AC2="B-757",'2023'!$D$4="CA",'2023'!$D$2=AM5),'2023DATA3'!$J$19,"")</f>
        <v/>
      </c>
      <c r="AN22" s="518" t="str">
        <f>IF(AND(_AC2="B-757",'2023'!$D$4="CA",'2023'!$D$2=AN5),'2023DATA3'!$K$19,"")</f>
        <v/>
      </c>
      <c r="AO22" s="518" t="str">
        <f>IF(AND(_AC2="B-757",'2023'!$D$4="CA",'2023'!$D$2=AO5),'2023DATA3'!$L$19,"")</f>
        <v/>
      </c>
      <c r="AP22" s="518" t="str">
        <f>IF(AND(_AC2="B-757",'2023'!$D$4="CA",'2023'!$D$2=AP5),'2023DATA3'!$M$19,"")</f>
        <v/>
      </c>
      <c r="AQ22" s="520" t="str">
        <f>IF(AND(_AC2="B-757",'2023'!$D$4="CA",'2023'!$D$2=AQ5),'2023DATA3'!$N$19,"")</f>
        <v/>
      </c>
      <c r="AR22" s="940" t="s">
        <v>45</v>
      </c>
      <c r="AS22" s="13" t="s">
        <v>61</v>
      </c>
      <c r="AT22" s="518" t="str">
        <f>IF(AND(_AC3="B-757",'2023'!$D$4="CA",'2023'!$D$2=AT5),'2023DATA3'!$C$19,"")</f>
        <v/>
      </c>
      <c r="AU22" s="518" t="str">
        <f>IF(AND(_AC3="B-757",'2023'!$D$4="CA",'2023'!$D$2=AU5),'2023DATA3'!$D$19,"")</f>
        <v/>
      </c>
      <c r="AV22" s="518" t="str">
        <f>IF(AND(_AC3="B-757",'2023'!$D$4="CA",'2023'!$D$2=AV5),'2023DATA3'!$E$19,"")</f>
        <v/>
      </c>
      <c r="AW22" s="518" t="str">
        <f>IF(AND(_AC3="B-757",'2023'!$D$4="CA",'2023'!$D$2=AW5),'2023DATA3'!$F$19,"")</f>
        <v/>
      </c>
      <c r="AX22" s="518" t="str">
        <f>IF(AND(_AC3="B-757",'2023'!$D$4="CA",'2023'!$D$2=AX5),'2023DATA3'!$G$19,"")</f>
        <v/>
      </c>
      <c r="AY22" s="518" t="str">
        <f>IF(AND(_AC3="B-757",'2023'!$D$4="CA",'2023'!$D$2=AY5),'2023DATA3'!$H$19,"")</f>
        <v/>
      </c>
      <c r="AZ22" s="518" t="str">
        <f>IF(AND(_AC3="B-757",'2023'!$D$4="CA",'2023'!$D$2=AZ5),'2023DATA3'!$I$19,"")</f>
        <v/>
      </c>
      <c r="BA22" s="518" t="str">
        <f>IF(AND(_AC3="B-757",'2023'!$D$4="CA",'2023'!$D$2=BA5),'2023DATA3'!$J$19,"")</f>
        <v/>
      </c>
      <c r="BB22" s="518" t="str">
        <f>IF(AND(_AC3="B-757",'2023'!$D$4="CA",'2023'!$D$2=BB5),'2023DATA3'!$K$19,"")</f>
        <v/>
      </c>
      <c r="BC22" s="518" t="str">
        <f>IF(AND(_AC3="B-757",'2023'!$D$4="CA",'2023'!$D$2=BC5),'2023DATA3'!$L$19,"")</f>
        <v/>
      </c>
      <c r="BD22" s="518" t="str">
        <f>IF(AND(_AC3="B-757",'2023'!$D$4="CA",'2023'!$D$2=BD5),'2023DATA3'!$M$19,"")</f>
        <v/>
      </c>
      <c r="BE22" s="520" t="str">
        <f>IF(AND(_AC3="B-757",'2023'!$D$4="CA",'2023'!$D$2=BE5),'2023DATA3'!$N$19,"")</f>
        <v/>
      </c>
      <c r="BF22" s="940" t="s">
        <v>45</v>
      </c>
      <c r="BG22" s="13" t="s">
        <v>61</v>
      </c>
      <c r="BH22" s="518" t="str">
        <f>IF(AND(_AC4="B-757",'2023'!$D$4="CA",'2023'!$D$2=BH5),'2023DATA3'!$C$19,"")</f>
        <v/>
      </c>
      <c r="BI22" s="518" t="str">
        <f>IF(AND(_AC4="B-757",'2023'!$D$4="CA",'2023'!$D$2=BI5),'2023DATA3'!$D$19,"")</f>
        <v/>
      </c>
      <c r="BJ22" s="518" t="str">
        <f>IF(AND(_AC4="B-757",'2023'!$D$4="CA",'2023'!$D$2=BJ5),'2023DATA3'!$E$19,"")</f>
        <v/>
      </c>
      <c r="BK22" s="518" t="str">
        <f>IF(AND(_AC4="B-757",'2023'!$D$4="CA",'2023'!$D$2=BK5),'2023DATA3'!$F$19,"")</f>
        <v/>
      </c>
      <c r="BL22" s="518" t="str">
        <f>IF(AND(_AC4="B-757",'2023'!$D$4="CA",'2023'!$D$2=BL5),'2023DATA3'!$G$19,"")</f>
        <v/>
      </c>
      <c r="BM22" s="518" t="str">
        <f>IF(AND(_AC4="B-757",'2023'!$D$4="CA",'2023'!$D$2=BM5),'2023DATA3'!$H$19,"")</f>
        <v/>
      </c>
      <c r="BN22" s="518" t="str">
        <f>IF(AND(_AC4="B-757",'2023'!$D$4="CA",'2023'!$D$2=BN5),'2023DATA3'!$I$19,"")</f>
        <v/>
      </c>
      <c r="BO22" s="518" t="str">
        <f>IF(AND(_AC4="B-757",'2023'!$D$4="CA",'2023'!$D$2=BO5),'2023DATA3'!$J$19,"")</f>
        <v/>
      </c>
      <c r="BP22" s="518" t="str">
        <f>IF(AND(_AC4="B-757",'2023'!$D$4="CA",'2023'!$D$2=BP5),'2023DATA3'!$K$19,"")</f>
        <v/>
      </c>
      <c r="BQ22" s="518" t="str">
        <f>IF(AND(_AC4="B-757",'2023'!$D$4="CA",'2023'!$D$2=BQ5),'2023DATA3'!$L$19,"")</f>
        <v/>
      </c>
      <c r="BR22" s="518" t="str">
        <f>IF(AND(_AC4="B-757",'2023'!$D$4="CA",'2023'!$D$2=BR5),'2023DATA3'!$M$19,"")</f>
        <v/>
      </c>
      <c r="BS22" s="520" t="str">
        <f>IF(AND(_AC4="B-757",'2023'!$D$4="CA",'2023'!$D$2=BS5),'2023DATA3'!$N$19,"")</f>
        <v/>
      </c>
      <c r="BT22" s="940" t="s">
        <v>45</v>
      </c>
      <c r="BU22" s="13" t="s">
        <v>61</v>
      </c>
      <c r="BV22" s="518" t="str">
        <f>IF(AND(_AC5="B-757",'2023'!$D$4="CA",'2023'!$D$2=BV5),'2023DATA3'!$C$19,"")</f>
        <v/>
      </c>
      <c r="BW22" s="518" t="str">
        <f>IF(AND(_AC5="B-757",'2023'!$D$4="CA",'2023'!$D$2=BW5),'2023DATA3'!$D$19,"")</f>
        <v/>
      </c>
      <c r="BX22" s="518" t="str">
        <f>IF(AND(_AC5="B-757",'2023'!$D$4="CA",'2023'!$D$2=BX5),'2023DATA3'!$E$19,"")</f>
        <v/>
      </c>
      <c r="BY22" s="518" t="str">
        <f>IF(AND(_AC5="B-757",'2023'!$D$4="CA",'2023'!$D$2=BY5),'2023DATA3'!$F$19,"")</f>
        <v/>
      </c>
      <c r="BZ22" s="518" t="str">
        <f>IF(AND(_AC5="B-757",'2023'!$D$4="CA",'2023'!$D$2=BZ5),'2023DATA3'!$G$19,"")</f>
        <v/>
      </c>
      <c r="CA22" s="518" t="str">
        <f>IF(AND(_AC5="B-757",'2023'!$D$4="CA",'2023'!$D$2=CA5),'2023DATA3'!$H$19,"")</f>
        <v/>
      </c>
      <c r="CB22" s="518" t="str">
        <f>IF(AND(_AC5="B-757",'2023'!$D$4="CA",'2023'!$D$2=CB5),'2023DATA3'!$I$19,"")</f>
        <v/>
      </c>
      <c r="CC22" s="518" t="str">
        <f>IF(AND(_AC5="B-757",'2023'!$D$4="CA",'2023'!$D$2=CC5),'2023DATA3'!$J$19,"")</f>
        <v/>
      </c>
      <c r="CD22" s="518" t="str">
        <f>IF(AND(_AC5="B-757",'2023'!$D$4="CA",'2023'!$D$2=CD5),'2023DATA3'!$K$19,"")</f>
        <v/>
      </c>
      <c r="CE22" s="518" t="str">
        <f>IF(AND(_AC5="B-757",'2023'!$D$4="CA",'2023'!$D$2=CE5),'2023DATA3'!$L$19,"")</f>
        <v/>
      </c>
      <c r="CF22" s="518" t="str">
        <f>IF(AND(_AC5="B-757",'2023'!$D$4="CA",'2023'!$D$2=CF5),'2023DATA3'!$M$19,"")</f>
        <v/>
      </c>
      <c r="CG22" s="520" t="str">
        <f>IF(AND(_AC5="B-757",'2023'!$D$4="CA",'2023'!$D$2=CG5),'2023DATA3'!$N$19,"")</f>
        <v/>
      </c>
      <c r="CH22" s="940" t="s">
        <v>45</v>
      </c>
      <c r="CI22" s="13" t="s">
        <v>61</v>
      </c>
      <c r="CJ22" s="518" t="str">
        <f>IF(AND(_AC6="B-757",'2023'!$D$4="CA",'2023'!$D$2=CJ5),'2023DATA3'!$C$19,"")</f>
        <v/>
      </c>
      <c r="CK22" s="518" t="str">
        <f>IF(AND(_AC6="B-757",'2023'!$D$4="CA",'2023'!$D$2=CK5),'2023DATA3'!$D$19,"")</f>
        <v/>
      </c>
      <c r="CL22" s="518" t="str">
        <f>IF(AND(_AC6="B-757",'2023'!$D$4="CA",'2023'!$D$2=CL5),'2023DATA3'!$E$19,"")</f>
        <v/>
      </c>
      <c r="CM22" s="518" t="str">
        <f>IF(AND(_AC6="B-757",'2023'!$D$4="CA",'2023'!$D$2=CM5),'2023DATA3'!$F$19,"")</f>
        <v/>
      </c>
      <c r="CN22" s="518" t="str">
        <f>IF(AND(_AC6="B-757",'2023'!$D$4="CA",'2023'!$D$2=CN5),'2023DATA3'!$G$19,"")</f>
        <v/>
      </c>
      <c r="CO22" s="518" t="str">
        <f>IF(AND(_AC6="B-757",'2023'!$D$4="CA",'2023'!$D$2=CO5),'2023DATA3'!$H$19,"")</f>
        <v/>
      </c>
      <c r="CP22" s="518" t="str">
        <f>IF(AND(_AC6="B-757",'2023'!$D$4="CA",'2023'!$D$2=CP5),'2023DATA3'!$I$19,"")</f>
        <v/>
      </c>
      <c r="CQ22" s="518" t="str">
        <f>IF(AND(_AC6="B-757",'2023'!$D$4="CA",'2023'!$D$2=CQ5),'2023DATA3'!$J$19,"")</f>
        <v/>
      </c>
      <c r="CR22" s="518" t="str">
        <f>IF(AND(_AC6="B-757",'2023'!$D$4="CA",'2023'!$D$2=CR5),'2023DATA3'!$K$19,"")</f>
        <v/>
      </c>
      <c r="CS22" s="518" t="str">
        <f>IF(AND(_AC6="B-757",'2023'!$D$4="CA",'2023'!$D$2=CS5),'2023DATA3'!$L$19,"")</f>
        <v/>
      </c>
      <c r="CT22" s="518" t="str">
        <f>IF(AND(_AC6="B-757",'2023'!$D$4="CA",'2023'!$D$2=CT5),'2023DATA3'!$M$19,"")</f>
        <v/>
      </c>
      <c r="CU22" s="520" t="str">
        <f>IF(AND(_AC6="B-757",'2023'!$D$4="CA",'2023'!$D$2=CU5),'2023DATA3'!$N$19,"")</f>
        <v/>
      </c>
    </row>
    <row r="23" spans="1:99" x14ac:dyDescent="0.25">
      <c r="A23" s="946" t="s">
        <v>69</v>
      </c>
      <c r="B23" s="78" t="s">
        <v>61</v>
      </c>
      <c r="C23" s="25">
        <v>335.13</v>
      </c>
      <c r="D23" s="26">
        <v>332.67</v>
      </c>
      <c r="E23" s="26">
        <v>330.13</v>
      </c>
      <c r="F23" s="26">
        <v>327.64999999999998</v>
      </c>
      <c r="G23" s="26">
        <v>325.11</v>
      </c>
      <c r="H23" s="26">
        <v>322.58999999999997</v>
      </c>
      <c r="I23" s="26">
        <v>320.10000000000002</v>
      </c>
      <c r="J23" s="26">
        <v>317.60000000000002</v>
      </c>
      <c r="K23" s="26">
        <v>315.06</v>
      </c>
      <c r="L23" s="26">
        <v>312.52</v>
      </c>
      <c r="M23" s="26">
        <v>310.08999999999997</v>
      </c>
      <c r="N23" s="27">
        <v>307.69</v>
      </c>
      <c r="P23" s="940"/>
      <c r="Q23" s="13" t="s">
        <v>62</v>
      </c>
      <c r="R23" s="518" t="str">
        <f>IF(AND(_AC1="B-757",'2023'!$D$4="FO",'2023'!$D$2=R5),'2023DATA3'!$C$20,"")</f>
        <v/>
      </c>
      <c r="S23" s="518" t="str">
        <f>IF(AND(_AC1="B-757",'2023'!$D$4="FO",'2023'!$D$2=S5),'2023DATA3'!$D$20,"")</f>
        <v/>
      </c>
      <c r="T23" s="518" t="str">
        <f>IF(AND(_AC1="B-757",'2023'!$D$4="FO",'2023'!$D$2=T5),'2023DATA3'!$E$20,"")</f>
        <v/>
      </c>
      <c r="U23" s="518" t="str">
        <f>IF(AND(_AC1="B-757",'2023'!$D$4="FO",'2023'!$D$2=U5),'2023DATA3'!$F$20,"")</f>
        <v/>
      </c>
      <c r="V23" s="518" t="str">
        <f>IF(AND(_AC1="B-757",'2023'!$D$4="FO",'2023'!$D$2=V5),'2023DATA3'!$G$20,"")</f>
        <v/>
      </c>
      <c r="W23" s="518" t="str">
        <f>IF(AND(_AC1="B-757",'2023'!$D$4="FO",'2023'!$D$2=W5),'2023DATA3'!$H$20,"")</f>
        <v/>
      </c>
      <c r="X23" s="518" t="str">
        <f>IF(AND(_AC1="B-757",'2023'!$D$4="FO",'2023'!$D$2=X5),'2023DATA3'!$I$20,"")</f>
        <v/>
      </c>
      <c r="Y23" s="518" t="str">
        <f>IF(AND(_AC1="B-757",'2023'!$D$4="FO",'2023'!$D$2=Y5),'2023DATA3'!$J$20,"")</f>
        <v/>
      </c>
      <c r="Z23" s="518" t="str">
        <f>IF(AND(_AC1="B-757",'2023'!$D$4="FO",'2023'!$D$2=Z5),'2023DATA3'!$K$20,"")</f>
        <v/>
      </c>
      <c r="AA23" s="518" t="str">
        <f>IF(AND(_AC1="B-757",'2023'!$D$4="FO",'2023'!$D$2=AA5),'2023DATA3'!$L$20,"")</f>
        <v/>
      </c>
      <c r="AB23" s="518" t="str">
        <f>IF(AND(_AC1="B-757",'2023'!$D$4="FO",'2023'!$D$2=AB5),'2023DATA3'!$M$20,"")</f>
        <v/>
      </c>
      <c r="AC23" s="520" t="str">
        <f>IF(AND(_AC1="B-757",'2023'!$D$4="FO",'2023'!$D$2=AC5),'2023DATA3'!$N$20,"")</f>
        <v/>
      </c>
      <c r="AD23" s="940"/>
      <c r="AE23" s="13" t="s">
        <v>62</v>
      </c>
      <c r="AF23" s="518" t="str">
        <f>IF(AND(_AC2="B-757",'2023'!$D$4="FO",'2023'!$D$2=AF5),'2023DATA3'!$C$20,"")</f>
        <v/>
      </c>
      <c r="AG23" s="518" t="str">
        <f>IF(AND(_AC2="B-757",'2023'!$D$4="FO",'2023'!$D$2=AG5),'2023DATA3'!$D$20,"")</f>
        <v/>
      </c>
      <c r="AH23" s="518" t="str">
        <f>IF(AND(_AC2="B-757",'2023'!$D$4="FO",'2023'!$D$2=AH5),'2023DATA3'!$E$20,"")</f>
        <v/>
      </c>
      <c r="AI23" s="518" t="str">
        <f>IF(AND(_AC2="B-757",'2023'!$D$4="FO",'2023'!$D$2=AI5),'2023DATA3'!$F$20,"")</f>
        <v/>
      </c>
      <c r="AJ23" s="518" t="str">
        <f>IF(AND(_AC2="B-757",'2023'!$D$4="FO",'2023'!$D$2=AJ5),'2023DATA3'!$G$20,"")</f>
        <v/>
      </c>
      <c r="AK23" s="518" t="str">
        <f>IF(AND(_AC2="B-757",'2023'!$D$4="FO",'2023'!$D$2=AK5),'2023DATA3'!$H$20,"")</f>
        <v/>
      </c>
      <c r="AL23" s="518" t="str">
        <f>IF(AND(_AC2="B-757",'2023'!$D$4="FO",'2023'!$D$2=AL5),'2023DATA3'!$I$20,"")</f>
        <v/>
      </c>
      <c r="AM23" s="518" t="str">
        <f>IF(AND(_AC2="B-757",'2023'!$D$4="FO",'2023'!$D$2=AM5),'2023DATA3'!$J$20,"")</f>
        <v/>
      </c>
      <c r="AN23" s="518" t="str">
        <f>IF(AND(_AC2="B-757",'2023'!$D$4="FO",'2023'!$D$2=AN5),'2023DATA3'!$K$20,"")</f>
        <v/>
      </c>
      <c r="AO23" s="518" t="str">
        <f>IF(AND(_AC2="B-757",'2023'!$D$4="FO",'2023'!$D$2=AO5),'2023DATA3'!$L$20,"")</f>
        <v/>
      </c>
      <c r="AP23" s="518" t="str">
        <f>IF(AND(_AC2="B-757",'2023'!$D$4="FO",'2023'!$D$2=AP5),'2023DATA3'!$M$20,"")</f>
        <v/>
      </c>
      <c r="AQ23" s="520" t="str">
        <f>IF(AND(_AC2="B-757",'2023'!$D$4="FO",'2023'!$D$2=AQ5),'2023DATA3'!$N$20,"")</f>
        <v/>
      </c>
      <c r="AR23" s="940"/>
      <c r="AS23" s="13" t="s">
        <v>62</v>
      </c>
      <c r="AT23" s="518" t="str">
        <f>IF(AND(_AC3="B-757",'2023'!$D$4="FO",'2023'!$D$2=AT5),'2023DATA3'!$C$20,"")</f>
        <v/>
      </c>
      <c r="AU23" s="518" t="str">
        <f>IF(AND(_AC3="B-757",'2023'!$D$4="FO",'2023'!$D$2=AU5),'2023DATA3'!$D$20,"")</f>
        <v/>
      </c>
      <c r="AV23" s="518" t="str">
        <f>IF(AND(_AC3="B-757",'2023'!$D$4="FO",'2023'!$D$2=AV5),'2023DATA3'!$E$20,"")</f>
        <v/>
      </c>
      <c r="AW23" s="518" t="str">
        <f>IF(AND(_AC3="B-757",'2023'!$D$4="FO",'2023'!$D$2=AW5),'2023DATA3'!$F$20,"")</f>
        <v/>
      </c>
      <c r="AX23" s="518" t="str">
        <f>IF(AND(_AC3="B-757",'2023'!$D$4="FO",'2023'!$D$2=AX5),'2023DATA3'!$G$20,"")</f>
        <v/>
      </c>
      <c r="AY23" s="518" t="str">
        <f>IF(AND(_AC3="B-757",'2023'!$D$4="FO",'2023'!$D$2=AY5),'2023DATA3'!$H$20,"")</f>
        <v/>
      </c>
      <c r="AZ23" s="518" t="str">
        <f>IF(AND(_AC3="B-757",'2023'!$D$4="FO",'2023'!$D$2=AZ5),'2023DATA3'!$I$20,"")</f>
        <v/>
      </c>
      <c r="BA23" s="518" t="str">
        <f>IF(AND(_AC3="B-757",'2023'!$D$4="FO",'2023'!$D$2=BA5),'2023DATA3'!$J$20,"")</f>
        <v/>
      </c>
      <c r="BB23" s="518" t="str">
        <f>IF(AND(_AC3="B-757",'2023'!$D$4="FO",'2023'!$D$2=BB5),'2023DATA3'!$K$20,"")</f>
        <v/>
      </c>
      <c r="BC23" s="518" t="str">
        <f>IF(AND(_AC3="B-757",'2023'!$D$4="FO",'2023'!$D$2=BC5),'2023DATA3'!$L$20,"")</f>
        <v/>
      </c>
      <c r="BD23" s="518" t="str">
        <f>IF(AND(_AC3="B-757",'2023'!$D$4="FO",'2023'!$D$2=BD5),'2023DATA3'!$M$20,"")</f>
        <v/>
      </c>
      <c r="BE23" s="520" t="str">
        <f>IF(AND(_AC3="B-757",'2023'!$D$4="FO",'2023'!$D$2=BE5),'2023DATA3'!$N$20,"")</f>
        <v/>
      </c>
      <c r="BF23" s="940"/>
      <c r="BG23" s="13" t="s">
        <v>62</v>
      </c>
      <c r="BH23" s="518" t="str">
        <f>IF(AND(_AC4="B-757",'2023'!$D$4="FO",'2023'!$D$2=BH5),'2023DATA3'!$C$20,"")</f>
        <v/>
      </c>
      <c r="BI23" s="518" t="str">
        <f>IF(AND(_AC4="B-757",'2023'!$D$4="FO",'2023'!$D$2=BI5),'2023DATA3'!$D$20,"")</f>
        <v/>
      </c>
      <c r="BJ23" s="518" t="str">
        <f>IF(AND(_AC4="B-757",'2023'!$D$4="FO",'2023'!$D$2=BJ5),'2023DATA3'!$E$20,"")</f>
        <v/>
      </c>
      <c r="BK23" s="518" t="str">
        <f>IF(AND(_AC4="B-757",'2023'!$D$4="FO",'2023'!$D$2=BK5),'2023DATA3'!$F$20,"")</f>
        <v/>
      </c>
      <c r="BL23" s="518" t="str">
        <f>IF(AND(_AC4="B-757",'2023'!$D$4="FO",'2023'!$D$2=BL5),'2023DATA3'!$G$20,"")</f>
        <v/>
      </c>
      <c r="BM23" s="518" t="str">
        <f>IF(AND(_AC4="B-757",'2023'!$D$4="FO",'2023'!$D$2=BM5),'2023DATA3'!$H$20,"")</f>
        <v/>
      </c>
      <c r="BN23" s="518" t="str">
        <f>IF(AND(_AC4="B-757",'2023'!$D$4="FO",'2023'!$D$2=BN5),'2023DATA3'!$I$20,"")</f>
        <v/>
      </c>
      <c r="BO23" s="518" t="str">
        <f>IF(AND(_AC4="B-757",'2023'!$D$4="FO",'2023'!$D$2=BO5),'2023DATA3'!$J$20,"")</f>
        <v/>
      </c>
      <c r="BP23" s="518" t="str">
        <f>IF(AND(_AC4="B-757",'2023'!$D$4="FO",'2023'!$D$2=BP5),'2023DATA3'!$K$20,"")</f>
        <v/>
      </c>
      <c r="BQ23" s="518" t="str">
        <f>IF(AND(_AC4="B-757",'2023'!$D$4="FO",'2023'!$D$2=BQ5),'2023DATA3'!$L$20,"")</f>
        <v/>
      </c>
      <c r="BR23" s="518" t="str">
        <f>IF(AND(_AC4="B-757",'2023'!$D$4="FO",'2023'!$D$2=BR5),'2023DATA3'!$M$20,"")</f>
        <v/>
      </c>
      <c r="BS23" s="520" t="str">
        <f>IF(AND(_AC4="B-757",'2023'!$D$4="FO",'2023'!$D$2=BS5),'2023DATA3'!$N$20,"")</f>
        <v/>
      </c>
      <c r="BT23" s="940"/>
      <c r="BU23" s="13" t="s">
        <v>62</v>
      </c>
      <c r="BV23" s="518" t="str">
        <f>IF(AND(_AC5="B-757",'2023'!$D$4="FO",'2023'!$D$2=BV5),'2023DATA3'!$C$20,"")</f>
        <v/>
      </c>
      <c r="BW23" s="518" t="str">
        <f>IF(AND(_AC5="B-757",'2023'!$D$4="FO",'2023'!$D$2=BW5),'2023DATA3'!$D$20,"")</f>
        <v/>
      </c>
      <c r="BX23" s="518" t="str">
        <f>IF(AND(_AC5="B-757",'2023'!$D$4="FO",'2023'!$D$2=BX5),'2023DATA3'!$E$20,"")</f>
        <v/>
      </c>
      <c r="BY23" s="518" t="str">
        <f>IF(AND(_AC5="B-757",'2023'!$D$4="FO",'2023'!$D$2=BY5),'2023DATA3'!$F$20,"")</f>
        <v/>
      </c>
      <c r="BZ23" s="518" t="str">
        <f>IF(AND(_AC5="B-757",'2023'!$D$4="FO",'2023'!$D$2=BZ5),'2023DATA3'!$G$20,"")</f>
        <v/>
      </c>
      <c r="CA23" s="518" t="str">
        <f>IF(AND(_AC5="B-757",'2023'!$D$4="FO",'2023'!$D$2=CA5),'2023DATA3'!$H$20,"")</f>
        <v/>
      </c>
      <c r="CB23" s="518" t="str">
        <f>IF(AND(_AC5="B-757",'2023'!$D$4="FO",'2023'!$D$2=CB5),'2023DATA3'!$I$20,"")</f>
        <v/>
      </c>
      <c r="CC23" s="518" t="str">
        <f>IF(AND(_AC5="B-757",'2023'!$D$4="FO",'2023'!$D$2=CC5),'2023DATA3'!$J$20,"")</f>
        <v/>
      </c>
      <c r="CD23" s="518" t="str">
        <f>IF(AND(_AC5="B-757",'2023'!$D$4="FO",'2023'!$D$2=CD5),'2023DATA3'!$K$20,"")</f>
        <v/>
      </c>
      <c r="CE23" s="518" t="str">
        <f>IF(AND(_AC5="B-757",'2023'!$D$4="FO",'2023'!$D$2=CE5),'2023DATA3'!$L$20,"")</f>
        <v/>
      </c>
      <c r="CF23" s="518" t="str">
        <f>IF(AND(_AC5="B-757",'2023'!$D$4="FO",'2023'!$D$2=CF5),'2023DATA3'!$M$20,"")</f>
        <v/>
      </c>
      <c r="CG23" s="520" t="str">
        <f>IF(AND(_AC5="B-757",'2023'!$D$4="FO",'2023'!$D$2=CG5),'2023DATA3'!$N$20,"")</f>
        <v/>
      </c>
      <c r="CH23" s="940"/>
      <c r="CI23" s="13" t="s">
        <v>62</v>
      </c>
      <c r="CJ23" s="518" t="str">
        <f>IF(AND(_AC6="B-757",'2023'!$D$4="FO",'2023'!$D$2=CJ5),'2023DATA3'!$C$20,"")</f>
        <v/>
      </c>
      <c r="CK23" s="518" t="str">
        <f>IF(AND(_AC6="B-757",'2023'!$D$4="FO",'2023'!$D$2=CK5),'2023DATA3'!$D$20,"")</f>
        <v/>
      </c>
      <c r="CL23" s="518" t="str">
        <f>IF(AND(_AC6="B-757",'2023'!$D$4="FO",'2023'!$D$2=CL5),'2023DATA3'!$E$20,"")</f>
        <v/>
      </c>
      <c r="CM23" s="518" t="str">
        <f>IF(AND(_AC6="B-757",'2023'!$D$4="FO",'2023'!$D$2=CM5),'2023DATA3'!$F$20,"")</f>
        <v/>
      </c>
      <c r="CN23" s="518" t="str">
        <f>IF(AND(_AC6="B-757",'2023'!$D$4="FO",'2023'!$D$2=CN5),'2023DATA3'!$G$20,"")</f>
        <v/>
      </c>
      <c r="CO23" s="518" t="str">
        <f>IF(AND(_AC6="B-757",'2023'!$D$4="FO",'2023'!$D$2=CO5),'2023DATA3'!$H$20,"")</f>
        <v/>
      </c>
      <c r="CP23" s="518" t="str">
        <f>IF(AND(_AC6="B-757",'2023'!$D$4="FO",'2023'!$D$2=CP5),'2023DATA3'!$I$20,"")</f>
        <v/>
      </c>
      <c r="CQ23" s="518" t="str">
        <f>IF(AND(_AC6="B-757",'2023'!$D$4="FO",'2023'!$D$2=CQ5),'2023DATA3'!$J$20,"")</f>
        <v/>
      </c>
      <c r="CR23" s="518" t="str">
        <f>IF(AND(_AC6="B-757",'2023'!$D$4="FO",'2023'!$D$2=CR5),'2023DATA3'!$K$20,"")</f>
        <v/>
      </c>
      <c r="CS23" s="518" t="str">
        <f>IF(AND(_AC6="B-757",'2023'!$D$4="FO",'2023'!$D$2=CS5),'2023DATA3'!$L$20,"")</f>
        <v/>
      </c>
      <c r="CT23" s="518" t="str">
        <f>IF(AND(_AC6="B-757",'2023'!$D$4="FO",'2023'!$D$2=CT5),'2023DATA3'!$M$20,"")</f>
        <v/>
      </c>
      <c r="CU23" s="520" t="str">
        <f>IF(AND(_AC6="B-757",'2023'!$D$4="FO",'2023'!$D$2=CU5),'2023DATA3'!$N$20,"")</f>
        <v/>
      </c>
    </row>
    <row r="24" spans="1:99" x14ac:dyDescent="0.25">
      <c r="A24" s="946"/>
      <c r="B24" s="78" t="s">
        <v>62</v>
      </c>
      <c r="C24" s="25">
        <v>228.9</v>
      </c>
      <c r="D24" s="26">
        <v>226.87</v>
      </c>
      <c r="E24" s="26">
        <v>224.8</v>
      </c>
      <c r="F24" s="26">
        <v>221.8</v>
      </c>
      <c r="G24" s="26">
        <v>219.46</v>
      </c>
      <c r="H24" s="26">
        <v>214.5</v>
      </c>
      <c r="I24" s="26">
        <v>208.68</v>
      </c>
      <c r="J24" s="26">
        <v>203.59</v>
      </c>
      <c r="K24" s="26">
        <v>198.81</v>
      </c>
      <c r="L24" s="26">
        <v>194.09</v>
      </c>
      <c r="M24" s="26">
        <v>165.91</v>
      </c>
      <c r="N24" s="27">
        <v>108.34</v>
      </c>
      <c r="P24" s="940" t="s">
        <v>47</v>
      </c>
      <c r="Q24" s="13" t="s">
        <v>61</v>
      </c>
      <c r="R24" s="518" t="str">
        <f>IF(AND(_AC1="B-737-900",'2023'!$D$4="CA",'2023'!$D$2=R5),'2023DATA3'!$C$21,"")</f>
        <v/>
      </c>
      <c r="S24" s="518" t="str">
        <f>IF(AND(_AC1="B-737-900",'2023'!$D$4="CA",'2023'!$D$2=S5),'2023DATA3'!$D$21,"")</f>
        <v/>
      </c>
      <c r="T24" s="518" t="str">
        <f>IF(AND(_AC1="B-737-900",'2023'!$D$4="CA",'2023'!$D$2=T5),'2023DATA3'!$E$21,"")</f>
        <v/>
      </c>
      <c r="U24" s="518" t="str">
        <f>IF(AND(_AC1="B-737-900",'2023'!$D$4="CA",'2023'!$D$2=U5),'2023DATA3'!$F$21,"")</f>
        <v/>
      </c>
      <c r="V24" s="518" t="str">
        <f>IF(AND(_AC1="B-737-900",'2023'!$D$4="CA",'2023'!$D$2=V5),'2023DATA3'!$G$21,"")</f>
        <v/>
      </c>
      <c r="W24" s="518" t="str">
        <f>IF(AND(_AC1="B-737-900",'2023'!$D$4="CA",'2023'!$D$2=W5),'2023DATA3'!$H$21,"")</f>
        <v/>
      </c>
      <c r="X24" s="518" t="str">
        <f>IF(AND(_AC1="B-737-900",'2023'!$D$4="CA",'2023'!$D$2=X5),'2023DATA3'!$I$21,"")</f>
        <v/>
      </c>
      <c r="Y24" s="518" t="str">
        <f>IF(AND(_AC1="B-737-900",'2023'!$D$4="CA",'2023'!$D$2=Y5),'2023DATA3'!$J$21,"")</f>
        <v/>
      </c>
      <c r="Z24" s="518" t="str">
        <f>IF(AND(_AC1="B-737-900",'2023'!$D$4="CA",'2023'!$D$2=Z5),'2023DATA3'!$K$21,"")</f>
        <v/>
      </c>
      <c r="AA24" s="518" t="str">
        <f>IF(AND(_AC1="B-737-900",'2023'!$D$4="CA",'2023'!$D$2=AA5),'2023DATA3'!$L$21,"")</f>
        <v/>
      </c>
      <c r="AB24" s="518" t="str">
        <f>IF(AND(_AC1="B-737-900",'2023'!$D$4="CA",'2023'!$D$2=AB5),'2023DATA3'!$M$21,"")</f>
        <v/>
      </c>
      <c r="AC24" s="520" t="str">
        <f>IF(AND(_AC1="B-737-900",'2023'!$D$4="CA",'2023'!$D$2=AC5),'2023DATA3'!$N$21,"")</f>
        <v/>
      </c>
      <c r="AD24" s="940" t="s">
        <v>47</v>
      </c>
      <c r="AE24" s="13" t="s">
        <v>61</v>
      </c>
      <c r="AF24" s="518" t="str">
        <f>IF(AND(_AC2="B-737-900",'2023'!$D$4="CA",'2023'!$D$2=AF5),'2023DATA3'!$C$21,"")</f>
        <v/>
      </c>
      <c r="AG24" s="518" t="str">
        <f>IF(AND(_AC2="B-737-900",'2023'!$D$4="CA",'2023'!$D$2=AG5),'2023DATA3'!$D$21,"")</f>
        <v/>
      </c>
      <c r="AH24" s="518" t="str">
        <f>IF(AND(_AC2="B-737-900",'2023'!$D$4="CA",'2023'!$D$2=AH5),'2023DATA3'!$E$21,"")</f>
        <v/>
      </c>
      <c r="AI24" s="518" t="str">
        <f>IF(AND(_AC2="B-737-900",'2023'!$D$4="CA",'2023'!$D$2=AI5),'2023DATA3'!$F$21,"")</f>
        <v/>
      </c>
      <c r="AJ24" s="518" t="str">
        <f>IF(AND(_AC2="B-737-900",'2023'!$D$4="CA",'2023'!$D$2=AJ5),'2023DATA3'!$G$21,"")</f>
        <v/>
      </c>
      <c r="AK24" s="518" t="str">
        <f>IF(AND(_AC2="B-737-900",'2023'!$D$4="CA",'2023'!$D$2=AK5),'2023DATA3'!$H$21,"")</f>
        <v/>
      </c>
      <c r="AL24" s="518" t="str">
        <f>IF(AND(_AC2="B-737-900",'2023'!$D$4="CA",'2023'!$D$2=AL5),'2023DATA3'!$I$21,"")</f>
        <v/>
      </c>
      <c r="AM24" s="518" t="str">
        <f>IF(AND(_AC2="B-737-900",'2023'!$D$4="CA",'2023'!$D$2=AM5),'2023DATA3'!$J$21,"")</f>
        <v/>
      </c>
      <c r="AN24" s="518" t="str">
        <f>IF(AND(_AC2="B-737-900",'2023'!$D$4="CA",'2023'!$D$2=AN5),'2023DATA3'!$K$21,"")</f>
        <v/>
      </c>
      <c r="AO24" s="518" t="str">
        <f>IF(AND(_AC2="B-737-900",'2023'!$D$4="CA",'2023'!$D$2=AO5),'2023DATA3'!$L$21,"")</f>
        <v/>
      </c>
      <c r="AP24" s="518" t="str">
        <f>IF(AND(_AC2="B-737-900",'2023'!$D$4="CA",'2023'!$D$2=AP5),'2023DATA3'!$M$21,"")</f>
        <v/>
      </c>
      <c r="AQ24" s="520" t="str">
        <f>IF(AND(_AC2="B-737-900",'2023'!$D$4="CA",'2023'!$D$2=AQ5),'2023DATA3'!$N$21,"")</f>
        <v/>
      </c>
      <c r="AR24" s="940" t="s">
        <v>47</v>
      </c>
      <c r="AS24" s="13" t="s">
        <v>61</v>
      </c>
      <c r="AT24" s="518" t="str">
        <f>IF(AND(_AC3="B-737-900",'2023'!$D$4="CA",'2023'!$D$2=AT5),'2023DATA3'!$C$21,"")</f>
        <v/>
      </c>
      <c r="AU24" s="518" t="str">
        <f>IF(AND(_AC3="B-737-900",'2023'!$D$4="CA",'2023'!$D$2=AU5),'2023DATA3'!$D$21,"")</f>
        <v/>
      </c>
      <c r="AV24" s="518" t="str">
        <f>IF(AND(_AC3="B-737-900",'2023'!$D$4="CA",'2023'!$D$2=AV5),'2023DATA3'!$E$21,"")</f>
        <v/>
      </c>
      <c r="AW24" s="518" t="str">
        <f>IF(AND(_AC3="B-737-900",'2023'!$D$4="CA",'2023'!$D$2=AW5),'2023DATA3'!$F$21,"")</f>
        <v/>
      </c>
      <c r="AX24" s="518" t="str">
        <f>IF(AND(_AC3="B-737-900",'2023'!$D$4="CA",'2023'!$D$2=AX5),'2023DATA3'!$G$21,"")</f>
        <v/>
      </c>
      <c r="AY24" s="518" t="str">
        <f>IF(AND(_AC3="B-737-900",'2023'!$D$4="CA",'2023'!$D$2=AY5),'2023DATA3'!$H$21,"")</f>
        <v/>
      </c>
      <c r="AZ24" s="518" t="str">
        <f>IF(AND(_AC3="B-737-900",'2023'!$D$4="CA",'2023'!$D$2=AZ5),'2023DATA3'!$I$21,"")</f>
        <v/>
      </c>
      <c r="BA24" s="518" t="str">
        <f>IF(AND(_AC3="B-737-900",'2023'!$D$4="CA",'2023'!$D$2=BA5),'2023DATA3'!$J$21,"")</f>
        <v/>
      </c>
      <c r="BB24" s="518" t="str">
        <f>IF(AND(_AC3="B-737-900",'2023'!$D$4="CA",'2023'!$D$2=BB5),'2023DATA3'!$K$21,"")</f>
        <v/>
      </c>
      <c r="BC24" s="518" t="str">
        <f>IF(AND(_AC3="B-737-900",'2023'!$D$4="CA",'2023'!$D$2=BC5),'2023DATA3'!$L$21,"")</f>
        <v/>
      </c>
      <c r="BD24" s="518" t="str">
        <f>IF(AND(_AC3="B-737-900",'2023'!$D$4="CA",'2023'!$D$2=BD5),'2023DATA3'!$M$21,"")</f>
        <v/>
      </c>
      <c r="BE24" s="520" t="str">
        <f>IF(AND(_AC3="B-737-900",'2023'!$D$4="CA",'2023'!$D$2=BE5),'2023DATA3'!$N$21,"")</f>
        <v/>
      </c>
      <c r="BF24" s="940" t="s">
        <v>47</v>
      </c>
      <c r="BG24" s="13" t="s">
        <v>61</v>
      </c>
      <c r="BH24" s="518" t="str">
        <f>IF(AND(_AC4="B-737-900",'2023'!$D$4="CA",'2023'!$D$2=BH5),'2023DATA3'!$C$21,"")</f>
        <v/>
      </c>
      <c r="BI24" s="518" t="str">
        <f>IF(AND(_AC4="B-737-900",'2023'!$D$4="CA",'2023'!$D$2=BI5),'2023DATA3'!$D$21,"")</f>
        <v/>
      </c>
      <c r="BJ24" s="518" t="str">
        <f>IF(AND(_AC4="B-737-900",'2023'!$D$4="CA",'2023'!$D$2=BJ5),'2023DATA3'!$E$21,"")</f>
        <v/>
      </c>
      <c r="BK24" s="518" t="str">
        <f>IF(AND(_AC4="B-737-900",'2023'!$D$4="CA",'2023'!$D$2=BK5),'2023DATA3'!$F$21,"")</f>
        <v/>
      </c>
      <c r="BL24" s="518" t="str">
        <f>IF(AND(_AC4="B-737-900",'2023'!$D$4="CA",'2023'!$D$2=BL5),'2023DATA3'!$G$21,"")</f>
        <v/>
      </c>
      <c r="BM24" s="518" t="str">
        <f>IF(AND(_AC4="B-737-900",'2023'!$D$4="CA",'2023'!$D$2=BM5),'2023DATA3'!$H$21,"")</f>
        <v/>
      </c>
      <c r="BN24" s="518" t="str">
        <f>IF(AND(_AC4="B-737-900",'2023'!$D$4="CA",'2023'!$D$2=BN5),'2023DATA3'!$I$21,"")</f>
        <v/>
      </c>
      <c r="BO24" s="518" t="str">
        <f>IF(AND(_AC4="B-737-900",'2023'!$D$4="CA",'2023'!$D$2=BO5),'2023DATA3'!$J$21,"")</f>
        <v/>
      </c>
      <c r="BP24" s="518" t="str">
        <f>IF(AND(_AC4="B-737-900",'2023'!$D$4="CA",'2023'!$D$2=BP5),'2023DATA3'!$K$21,"")</f>
        <v/>
      </c>
      <c r="BQ24" s="518" t="str">
        <f>IF(AND(_AC4="B-737-900",'2023'!$D$4="CA",'2023'!$D$2=BQ5),'2023DATA3'!$L$21,"")</f>
        <v/>
      </c>
      <c r="BR24" s="518" t="str">
        <f>IF(AND(_AC4="B-737-900",'2023'!$D$4="CA",'2023'!$D$2=BR5),'2023DATA3'!$M$21,"")</f>
        <v/>
      </c>
      <c r="BS24" s="520" t="str">
        <f>IF(AND(_AC4="B-737-900",'2023'!$D$4="CA",'2023'!$D$2=BS5),'2023DATA3'!$N$21,"")</f>
        <v/>
      </c>
      <c r="BT24" s="940" t="s">
        <v>47</v>
      </c>
      <c r="BU24" s="13" t="s">
        <v>61</v>
      </c>
      <c r="BV24" s="518" t="str">
        <f>IF(AND(_AC5="B-737-900",'2023'!$D$4="CA",'2023'!$D$2=BV5),'2023DATA3'!$C$21,"")</f>
        <v/>
      </c>
      <c r="BW24" s="518" t="str">
        <f>IF(AND(_AC5="B-737-900",'2023'!$D$4="CA",'2023'!$D$2=BW5),'2023DATA3'!$D$21,"")</f>
        <v/>
      </c>
      <c r="BX24" s="518" t="str">
        <f>IF(AND(_AC5="B-737-900",'2023'!$D$4="CA",'2023'!$D$2=BX5),'2023DATA3'!$E$21,"")</f>
        <v/>
      </c>
      <c r="BY24" s="518" t="str">
        <f>IF(AND(_AC5="B-737-900",'2023'!$D$4="CA",'2023'!$D$2=BY5),'2023DATA3'!$F$21,"")</f>
        <v/>
      </c>
      <c r="BZ24" s="518" t="str">
        <f>IF(AND(_AC5="B-737-900",'2023'!$D$4="CA",'2023'!$D$2=BZ5),'2023DATA3'!$G$21,"")</f>
        <v/>
      </c>
      <c r="CA24" s="518" t="str">
        <f>IF(AND(_AC5="B-737-900",'2023'!$D$4="CA",'2023'!$D$2=CA5),'2023DATA3'!$H$21,"")</f>
        <v/>
      </c>
      <c r="CB24" s="518" t="str">
        <f>IF(AND(_AC5="B-737-900",'2023'!$D$4="CA",'2023'!$D$2=CB5),'2023DATA3'!$I$21,"")</f>
        <v/>
      </c>
      <c r="CC24" s="518" t="str">
        <f>IF(AND(_AC5="B-737-900",'2023'!$D$4="CA",'2023'!$D$2=CC5),'2023DATA3'!$J$21,"")</f>
        <v/>
      </c>
      <c r="CD24" s="518" t="str">
        <f>IF(AND(_AC5="B-737-900",'2023'!$D$4="CA",'2023'!$D$2=CD5),'2023DATA3'!$K$21,"")</f>
        <v/>
      </c>
      <c r="CE24" s="518" t="str">
        <f>IF(AND(_AC5="B-737-900",'2023'!$D$4="CA",'2023'!$D$2=CE5),'2023DATA3'!$L$21,"")</f>
        <v/>
      </c>
      <c r="CF24" s="518" t="str">
        <f>IF(AND(_AC5="B-737-900",'2023'!$D$4="CA",'2023'!$D$2=CF5),'2023DATA3'!$M$21,"")</f>
        <v/>
      </c>
      <c r="CG24" s="520" t="str">
        <f>IF(AND(_AC5="B-737-900",'2023'!$D$4="CA",'2023'!$D$2=CG5),'2023DATA3'!$N$21,"")</f>
        <v/>
      </c>
      <c r="CH24" s="940" t="s">
        <v>47</v>
      </c>
      <c r="CI24" s="13" t="s">
        <v>61</v>
      </c>
      <c r="CJ24" s="518" t="str">
        <f>IF(AND(_AC6="B-737-900",'2023'!$D$4="CA",'2023'!$D$2=CJ5),'2023DATA3'!$C$21,"")</f>
        <v/>
      </c>
      <c r="CK24" s="518" t="str">
        <f>IF(AND(_AC6="B-737-900",'2023'!$D$4="CA",'2023'!$D$2=CK5),'2023DATA3'!$D$21,"")</f>
        <v/>
      </c>
      <c r="CL24" s="518" t="str">
        <f>IF(AND(_AC6="B-737-900",'2023'!$D$4="CA",'2023'!$D$2=CL5),'2023DATA3'!$E$21,"")</f>
        <v/>
      </c>
      <c r="CM24" s="518" t="str">
        <f>IF(AND(_AC6="B-737-900",'2023'!$D$4="CA",'2023'!$D$2=CM5),'2023DATA3'!$F$21,"")</f>
        <v/>
      </c>
      <c r="CN24" s="518" t="str">
        <f>IF(AND(_AC6="B-737-900",'2023'!$D$4="CA",'2023'!$D$2=CN5),'2023DATA3'!$G$21,"")</f>
        <v/>
      </c>
      <c r="CO24" s="518" t="str">
        <f>IF(AND(_AC6="B-737-900",'2023'!$D$4="CA",'2023'!$D$2=CO5),'2023DATA3'!$H$21,"")</f>
        <v/>
      </c>
      <c r="CP24" s="518" t="str">
        <f>IF(AND(_AC6="B-737-900",'2023'!$D$4="CA",'2023'!$D$2=CP5),'2023DATA3'!$I$21,"")</f>
        <v/>
      </c>
      <c r="CQ24" s="518" t="str">
        <f>IF(AND(_AC6="B-737-900",'2023'!$D$4="CA",'2023'!$D$2=CQ5),'2023DATA3'!$J$21,"")</f>
        <v/>
      </c>
      <c r="CR24" s="518" t="str">
        <f>IF(AND(_AC6="B-737-900",'2023'!$D$4="CA",'2023'!$D$2=CR5),'2023DATA3'!$K$21,"")</f>
        <v/>
      </c>
      <c r="CS24" s="518" t="str">
        <f>IF(AND(_AC6="B-737-900",'2023'!$D$4="CA",'2023'!$D$2=CS5),'2023DATA3'!$L$21,"")</f>
        <v/>
      </c>
      <c r="CT24" s="518" t="str">
        <f>IF(AND(_AC6="B-737-900",'2023'!$D$4="CA",'2023'!$D$2=CT5),'2023DATA3'!$M$21,"")</f>
        <v/>
      </c>
      <c r="CU24" s="520" t="str">
        <f>IF(AND(_AC6="B-737-900",'2023'!$D$4="CA",'2023'!$D$2=CU5),'2023DATA3'!$N$21,"")</f>
        <v/>
      </c>
    </row>
    <row r="25" spans="1:99" x14ac:dyDescent="0.25">
      <c r="A25" s="946" t="s">
        <v>46</v>
      </c>
      <c r="B25" s="78" t="s">
        <v>61</v>
      </c>
      <c r="C25" s="25">
        <v>349.5</v>
      </c>
      <c r="D25" s="26">
        <v>345.93</v>
      </c>
      <c r="E25" s="26">
        <v>342.25</v>
      </c>
      <c r="F25" s="26">
        <v>338.61</v>
      </c>
      <c r="G25" s="26">
        <v>336.22</v>
      </c>
      <c r="H25" s="26">
        <v>333.46</v>
      </c>
      <c r="I25" s="26">
        <v>331.01</v>
      </c>
      <c r="J25" s="26">
        <v>328.45</v>
      </c>
      <c r="K25" s="26">
        <v>325.68</v>
      </c>
      <c r="L25" s="26">
        <v>323.06</v>
      </c>
      <c r="M25" s="26">
        <v>320.45999999999998</v>
      </c>
      <c r="N25" s="27">
        <v>317.76</v>
      </c>
      <c r="P25" s="940"/>
      <c r="Q25" s="13" t="s">
        <v>62</v>
      </c>
      <c r="R25" s="518" t="str">
        <f>IF(AND(_AC1="B-737-900",'2023'!$D$4="FO",'2023'!$D$2=R5),'2023DATA3'!$C$22,"")</f>
        <v/>
      </c>
      <c r="S25" s="518" t="str">
        <f>IF(AND(_AC1="B-737-900",'2023'!$D$4="FO",'2023'!$D$2=S5),'2023DATA3'!$D$22,"")</f>
        <v/>
      </c>
      <c r="T25" s="518" t="str">
        <f>IF(AND(_AC1="B-737-900",'2023'!$D$4="FO",'2023'!$D$2=T5),'2023DATA3'!$E$22,"")</f>
        <v/>
      </c>
      <c r="U25" s="518" t="str">
        <f>IF(AND(_AC1="B-737-900",'2023'!$D$4="FO",'2023'!$D$2=U5),'2023DATA3'!$F$22,"")</f>
        <v/>
      </c>
      <c r="V25" s="518" t="str">
        <f>IF(AND(_AC1="B-737-900",'2023'!$D$4="FO",'2023'!$D$2=V5),'2023DATA3'!$G$22,"")</f>
        <v/>
      </c>
      <c r="W25" s="518" t="str">
        <f>IF(AND(_AC1="B-737-900",'2023'!$D$4="FO",'2023'!$D$2=W5),'2023DATA3'!$H$22,"")</f>
        <v/>
      </c>
      <c r="X25" s="518" t="str">
        <f>IF(AND(_AC1="B-737-900",'2023'!$D$4="FO",'2023'!$D$2=X5),'2023DATA3'!$I$22,"")</f>
        <v/>
      </c>
      <c r="Y25" s="518" t="str">
        <f>IF(AND(_AC1="B-737-900",'2023'!$D$4="FO",'2023'!$D$2=Y5),'2023DATA3'!$J$22,"")</f>
        <v/>
      </c>
      <c r="Z25" s="518" t="str">
        <f>IF(AND(_AC1="B-737-900",'2023'!$D$4="FO",'2023'!$D$2=Z5),'2023DATA3'!$K$22,"")</f>
        <v/>
      </c>
      <c r="AA25" s="518" t="str">
        <f>IF(AND(_AC1="B-737-900",'2023'!$D$4="FO",'2023'!$D$2=AA5),'2023DATA3'!$L$22,"")</f>
        <v/>
      </c>
      <c r="AB25" s="518" t="str">
        <f>IF(AND(_AC1="B-737-900",'2023'!$D$4="FO",'2023'!$D$2=AB5),'2023DATA3'!$M$22,"")</f>
        <v/>
      </c>
      <c r="AC25" s="520" t="str">
        <f>IF(AND(_AC1="B-737-900",'2023'!$D$4="FO",'2023'!$D$2=AC5),'2023DATA3'!$N$22,"")</f>
        <v/>
      </c>
      <c r="AD25" s="940"/>
      <c r="AE25" s="13" t="s">
        <v>62</v>
      </c>
      <c r="AF25" s="518" t="str">
        <f>IF(AND(_AC2="B-737-900",'2023'!$D$4="FO",'2023'!$D$2=AF5),'2023DATA3'!$C$22,"")</f>
        <v/>
      </c>
      <c r="AG25" s="518" t="str">
        <f>IF(AND(_AC2="B-737-900",'2023'!$D$4="FO",'2023'!$D$2=AG5),'2023DATA3'!$D$22,"")</f>
        <v/>
      </c>
      <c r="AH25" s="518" t="str">
        <f>IF(AND(_AC2="B-737-900",'2023'!$D$4="FO",'2023'!$D$2=AH5),'2023DATA3'!$E$22,"")</f>
        <v/>
      </c>
      <c r="AI25" s="518" t="str">
        <f>IF(AND(_AC2="B-737-900",'2023'!$D$4="FO",'2023'!$D$2=AI5),'2023DATA3'!$F$22,"")</f>
        <v/>
      </c>
      <c r="AJ25" s="518" t="str">
        <f>IF(AND(_AC2="B-737-900",'2023'!$D$4="FO",'2023'!$D$2=AJ5),'2023DATA3'!$G$22,"")</f>
        <v/>
      </c>
      <c r="AK25" s="518" t="str">
        <f>IF(AND(_AC2="B-737-900",'2023'!$D$4="FO",'2023'!$D$2=AK5),'2023DATA3'!$H$22,"")</f>
        <v/>
      </c>
      <c r="AL25" s="518" t="str">
        <f>IF(AND(_AC2="B-737-900",'2023'!$D$4="FO",'2023'!$D$2=AL5),'2023DATA3'!$I$22,"")</f>
        <v/>
      </c>
      <c r="AM25" s="518" t="str">
        <f>IF(AND(_AC2="B-737-900",'2023'!$D$4="FO",'2023'!$D$2=AM5),'2023DATA3'!$J$22,"")</f>
        <v/>
      </c>
      <c r="AN25" s="518" t="str">
        <f>IF(AND(_AC2="B-737-900",'2023'!$D$4="FO",'2023'!$D$2=AN5),'2023DATA3'!$K$22,"")</f>
        <v/>
      </c>
      <c r="AO25" s="518" t="str">
        <f>IF(AND(_AC2="B-737-900",'2023'!$D$4="FO",'2023'!$D$2=AO5),'2023DATA3'!$L$22,"")</f>
        <v/>
      </c>
      <c r="AP25" s="518" t="str">
        <f>IF(AND(_AC2="B-737-900",'2023'!$D$4="FO",'2023'!$D$2=AP5),'2023DATA3'!$M$22,"")</f>
        <v/>
      </c>
      <c r="AQ25" s="520" t="str">
        <f>IF(AND(_AC2="B-737-900",'2023'!$D$4="FO",'2023'!$D$2=AQ5),'2023DATA3'!$N$22,"")</f>
        <v/>
      </c>
      <c r="AR25" s="940"/>
      <c r="AS25" s="13" t="s">
        <v>62</v>
      </c>
      <c r="AT25" s="518" t="str">
        <f>IF(AND(_AC3="B-737-900",'2023'!$D$4="FO",'2023'!$D$2=AT5),'2023DATA3'!$C$22,"")</f>
        <v/>
      </c>
      <c r="AU25" s="518" t="str">
        <f>IF(AND(_AC3="B-737-900",'2023'!$D$4="FO",'2023'!$D$2=AU5),'2023DATA3'!$D$22,"")</f>
        <v/>
      </c>
      <c r="AV25" s="518" t="str">
        <f>IF(AND(_AC3="B-737-900",'2023'!$D$4="FO",'2023'!$D$2=AV5),'2023DATA3'!$E$22,"")</f>
        <v/>
      </c>
      <c r="AW25" s="518" t="str">
        <f>IF(AND(_AC3="B-737-900",'2023'!$D$4="FO",'2023'!$D$2=AW5),'2023DATA3'!$F$22,"")</f>
        <v/>
      </c>
      <c r="AX25" s="518" t="str">
        <f>IF(AND(_AC3="B-737-900",'2023'!$D$4="FO",'2023'!$D$2=AX5),'2023DATA3'!$G$22,"")</f>
        <v/>
      </c>
      <c r="AY25" s="518" t="str">
        <f>IF(AND(_AC3="B-737-900",'2023'!$D$4="FO",'2023'!$D$2=AY5),'2023DATA3'!$H$22,"")</f>
        <v/>
      </c>
      <c r="AZ25" s="518" t="str">
        <f>IF(AND(_AC3="B-737-900",'2023'!$D$4="FO",'2023'!$D$2=AZ5),'2023DATA3'!$I$22,"")</f>
        <v/>
      </c>
      <c r="BA25" s="518" t="str">
        <f>IF(AND(_AC3="B-737-900",'2023'!$D$4="FO",'2023'!$D$2=BA5),'2023DATA3'!$J$22,"")</f>
        <v/>
      </c>
      <c r="BB25" s="518" t="str">
        <f>IF(AND(_AC3="B-737-900",'2023'!$D$4="FO",'2023'!$D$2=BB5),'2023DATA3'!$K$22,"")</f>
        <v/>
      </c>
      <c r="BC25" s="518" t="str">
        <f>IF(AND(_AC3="B-737-900",'2023'!$D$4="FO",'2023'!$D$2=BC5),'2023DATA3'!$L$22,"")</f>
        <v/>
      </c>
      <c r="BD25" s="518" t="str">
        <f>IF(AND(_AC3="B-737-900",'2023'!$D$4="FO",'2023'!$D$2=BD5),'2023DATA3'!$M$22,"")</f>
        <v/>
      </c>
      <c r="BE25" s="520" t="str">
        <f>IF(AND(_AC3="B-737-900",'2023'!$D$4="FO",'2023'!$D$2=BE5),'2023DATA3'!$N$22,"")</f>
        <v/>
      </c>
      <c r="BF25" s="940"/>
      <c r="BG25" s="13" t="s">
        <v>62</v>
      </c>
      <c r="BH25" s="518" t="str">
        <f>IF(AND(_AC4="B-737-900",'2023'!$D$4="FO",'2023'!$D$2=BH5),'2023DATA3'!$C$22,"")</f>
        <v/>
      </c>
      <c r="BI25" s="518" t="str">
        <f>IF(AND(_AC4="B-737-900",'2023'!$D$4="FO",'2023'!$D$2=BI5),'2023DATA3'!$D$22,"")</f>
        <v/>
      </c>
      <c r="BJ25" s="518" t="str">
        <f>IF(AND(_AC4="B-737-900",'2023'!$D$4="FO",'2023'!$D$2=BJ5),'2023DATA3'!$E$22,"")</f>
        <v/>
      </c>
      <c r="BK25" s="518" t="str">
        <f>IF(AND(_AC4="B-737-900",'2023'!$D$4="FO",'2023'!$D$2=BK5),'2023DATA3'!$F$22,"")</f>
        <v/>
      </c>
      <c r="BL25" s="518" t="str">
        <f>IF(AND(_AC4="B-737-900",'2023'!$D$4="FO",'2023'!$D$2=BL5),'2023DATA3'!$G$22,"")</f>
        <v/>
      </c>
      <c r="BM25" s="518" t="str">
        <f>IF(AND(_AC4="B-737-900",'2023'!$D$4="FO",'2023'!$D$2=BM5),'2023DATA3'!$H$22,"")</f>
        <v/>
      </c>
      <c r="BN25" s="518" t="str">
        <f>IF(AND(_AC4="B-737-900",'2023'!$D$4="FO",'2023'!$D$2=BN5),'2023DATA3'!$I$22,"")</f>
        <v/>
      </c>
      <c r="BO25" s="518" t="str">
        <f>IF(AND(_AC4="B-737-900",'2023'!$D$4="FO",'2023'!$D$2=BO5),'2023DATA3'!$J$22,"")</f>
        <v/>
      </c>
      <c r="BP25" s="518" t="str">
        <f>IF(AND(_AC4="B-737-900",'2023'!$D$4="FO",'2023'!$D$2=BP5),'2023DATA3'!$K$22,"")</f>
        <v/>
      </c>
      <c r="BQ25" s="518" t="str">
        <f>IF(AND(_AC4="B-737-900",'2023'!$D$4="FO",'2023'!$D$2=BQ5),'2023DATA3'!$L$22,"")</f>
        <v/>
      </c>
      <c r="BR25" s="518" t="str">
        <f>IF(AND(_AC4="B-737-900",'2023'!$D$4="FO",'2023'!$D$2=BR5),'2023DATA3'!$M$22,"")</f>
        <v/>
      </c>
      <c r="BS25" s="520" t="str">
        <f>IF(AND(_AC4="B-737-900",'2023'!$D$4="FO",'2023'!$D$2=BS5),'2023DATA3'!$N$22,"")</f>
        <v/>
      </c>
      <c r="BT25" s="940"/>
      <c r="BU25" s="13" t="s">
        <v>62</v>
      </c>
      <c r="BV25" s="518" t="str">
        <f>IF(AND(_AC5="B-737-900",'2023'!$D$4="FO",'2023'!$D$2=BV5),'2023DATA3'!$C$22,"")</f>
        <v/>
      </c>
      <c r="BW25" s="518" t="str">
        <f>IF(AND(_AC5="B-737-900",'2023'!$D$4="FO",'2023'!$D$2=BW5),'2023DATA3'!$D$22,"")</f>
        <v/>
      </c>
      <c r="BX25" s="518" t="str">
        <f>IF(AND(_AC5="B-737-900",'2023'!$D$4="FO",'2023'!$D$2=BX5),'2023DATA3'!$E$22,"")</f>
        <v/>
      </c>
      <c r="BY25" s="518" t="str">
        <f>IF(AND(_AC5="B-737-900",'2023'!$D$4="FO",'2023'!$D$2=BY5),'2023DATA3'!$F$22,"")</f>
        <v/>
      </c>
      <c r="BZ25" s="518" t="str">
        <f>IF(AND(_AC5="B-737-900",'2023'!$D$4="FO",'2023'!$D$2=BZ5),'2023DATA3'!$G$22,"")</f>
        <v/>
      </c>
      <c r="CA25" s="518" t="str">
        <f>IF(AND(_AC5="B-737-900",'2023'!$D$4="FO",'2023'!$D$2=CA5),'2023DATA3'!$H$22,"")</f>
        <v/>
      </c>
      <c r="CB25" s="518" t="str">
        <f>IF(AND(_AC5="B-737-900",'2023'!$D$4="FO",'2023'!$D$2=CB5),'2023DATA3'!$I$22,"")</f>
        <v/>
      </c>
      <c r="CC25" s="518" t="str">
        <f>IF(AND(_AC5="B-737-900",'2023'!$D$4="FO",'2023'!$D$2=CC5),'2023DATA3'!$J$22,"")</f>
        <v/>
      </c>
      <c r="CD25" s="518" t="str">
        <f>IF(AND(_AC5="B-737-900",'2023'!$D$4="FO",'2023'!$D$2=CD5),'2023DATA3'!$K$22,"")</f>
        <v/>
      </c>
      <c r="CE25" s="518" t="str">
        <f>IF(AND(_AC5="B-737-900",'2023'!$D$4="FO",'2023'!$D$2=CE5),'2023DATA3'!$L$22,"")</f>
        <v/>
      </c>
      <c r="CF25" s="518" t="str">
        <f>IF(AND(_AC5="B-737-900",'2023'!$D$4="FO",'2023'!$D$2=CF5),'2023DATA3'!$M$22,"")</f>
        <v/>
      </c>
      <c r="CG25" s="520" t="str">
        <f>IF(AND(_AC5="B-737-900",'2023'!$D$4="FO",'2023'!$D$2=CG5),'2023DATA3'!$N$22,"")</f>
        <v/>
      </c>
      <c r="CH25" s="940"/>
      <c r="CI25" s="13" t="s">
        <v>62</v>
      </c>
      <c r="CJ25" s="518" t="str">
        <f>IF(AND(_AC6="B-737-900",'2023'!$D$4="FO",'2023'!$D$2=CJ5),'2023DATA3'!$C$22,"")</f>
        <v/>
      </c>
      <c r="CK25" s="518" t="str">
        <f>IF(AND(_AC6="B-737-900",'2023'!$D$4="FO",'2023'!$D$2=CK5),'2023DATA3'!$D$22,"")</f>
        <v/>
      </c>
      <c r="CL25" s="518" t="str">
        <f>IF(AND(_AC6="B-737-900",'2023'!$D$4="FO",'2023'!$D$2=CL5),'2023DATA3'!$E$22,"")</f>
        <v/>
      </c>
      <c r="CM25" s="518" t="str">
        <f>IF(AND(_AC6="B-737-900",'2023'!$D$4="FO",'2023'!$D$2=CM5),'2023DATA3'!$F$22,"")</f>
        <v/>
      </c>
      <c r="CN25" s="518" t="str">
        <f>IF(AND(_AC6="B-737-900",'2023'!$D$4="FO",'2023'!$D$2=CN5),'2023DATA3'!$G$22,"")</f>
        <v/>
      </c>
      <c r="CO25" s="518" t="str">
        <f>IF(AND(_AC6="B-737-900",'2023'!$D$4="FO",'2023'!$D$2=CO5),'2023DATA3'!$H$22,"")</f>
        <v/>
      </c>
      <c r="CP25" s="518" t="str">
        <f>IF(AND(_AC6="B-737-900",'2023'!$D$4="FO",'2023'!$D$2=CP5),'2023DATA3'!$I$22,"")</f>
        <v/>
      </c>
      <c r="CQ25" s="518" t="str">
        <f>IF(AND(_AC6="B-737-900",'2023'!$D$4="FO",'2023'!$D$2=CQ5),'2023DATA3'!$J$22,"")</f>
        <v/>
      </c>
      <c r="CR25" s="518" t="str">
        <f>IF(AND(_AC6="B-737-900",'2023'!$D$4="FO",'2023'!$D$2=CR5),'2023DATA3'!$K$22,"")</f>
        <v/>
      </c>
      <c r="CS25" s="518" t="str">
        <f>IF(AND(_AC6="B-737-900",'2023'!$D$4="FO",'2023'!$D$2=CS5),'2023DATA3'!$L$22,"")</f>
        <v/>
      </c>
      <c r="CT25" s="518" t="str">
        <f>IF(AND(_AC6="B-737-900",'2023'!$D$4="FO",'2023'!$D$2=CT5),'2023DATA3'!$M$22,"")</f>
        <v/>
      </c>
      <c r="CU25" s="520" t="str">
        <f>IF(AND(_AC6="B-737-900",'2023'!$D$4="FO",'2023'!$D$2=CU5),'2023DATA3'!$N$22,"")</f>
        <v/>
      </c>
    </row>
    <row r="26" spans="1:99" x14ac:dyDescent="0.25">
      <c r="A26" s="946"/>
      <c r="B26" s="78" t="s">
        <v>62</v>
      </c>
      <c r="C26" s="25">
        <v>238.71</v>
      </c>
      <c r="D26" s="26">
        <v>235.93</v>
      </c>
      <c r="E26" s="26">
        <v>233.07</v>
      </c>
      <c r="F26" s="26">
        <v>229.26</v>
      </c>
      <c r="G26" s="26">
        <v>226.96</v>
      </c>
      <c r="H26" s="26">
        <v>221.76</v>
      </c>
      <c r="I26" s="26">
        <v>215.81</v>
      </c>
      <c r="J26" s="26">
        <v>210.54</v>
      </c>
      <c r="K26" s="26">
        <v>205.51</v>
      </c>
      <c r="L26" s="26">
        <v>200.62</v>
      </c>
      <c r="M26" s="26">
        <v>171.44</v>
      </c>
      <c r="N26" s="27">
        <v>108.34</v>
      </c>
      <c r="P26" s="940" t="s">
        <v>69</v>
      </c>
      <c r="Q26" s="13" t="s">
        <v>61</v>
      </c>
      <c r="R26" s="518" t="str">
        <f>IF(AND(_AC1="B-737-800",'2023'!$D$4="CA",'2023'!$D$2=R5),'2023DATA3'!$C$23,"")</f>
        <v/>
      </c>
      <c r="S26" s="518" t="str">
        <f>IF(AND(_AC1="B-737-800",'2023'!$D$4="CA",'2023'!$D$2=S5),'2023DATA3'!$D$23,"")</f>
        <v/>
      </c>
      <c r="T26" s="518" t="str">
        <f>IF(AND(_AC1="B-737-800",'2023'!$D$4="CA",'2023'!$D$2=T5),'2023DATA3'!$E$23,"")</f>
        <v/>
      </c>
      <c r="U26" s="518" t="str">
        <f>IF(AND(_AC1="B-737-800",'2023'!$D$4="CA",'2023'!$D$2=U5),'2023DATA3'!$F$23,"")</f>
        <v/>
      </c>
      <c r="V26" s="518" t="str">
        <f>IF(AND(_AC1="B-737-800",'2023'!$D$4="CA",'2023'!$D$2=V5),'2023DATA3'!$G$23,"")</f>
        <v/>
      </c>
      <c r="W26" s="518" t="str">
        <f>IF(AND(_AC1="B-737-800",'2023'!$D$4="CA",'2023'!$D$2=W5),'2023DATA3'!$H$23,"")</f>
        <v/>
      </c>
      <c r="X26" s="518" t="str">
        <f>IF(AND(_AC1="B-737-800",'2023'!$D$4="CA",'2023'!$D$2=X5),'2023DATA3'!$I$23,"")</f>
        <v/>
      </c>
      <c r="Y26" s="518" t="str">
        <f>IF(AND(_AC1="B-737-800",'2023'!$D$4="CA",'2023'!$D$2=Y5),'2023DATA3'!$J$23,"")</f>
        <v/>
      </c>
      <c r="Z26" s="518" t="str">
        <f>IF(AND(_AC1="B-737-800",'2023'!$D$4="CA",'2023'!$D$2=Z5),'2023DATA3'!$K$23,"")</f>
        <v/>
      </c>
      <c r="AA26" s="518" t="str">
        <f>IF(AND(_AC1="B-737-800",'2023'!$D$4="CA",'2023'!$D$2=AA5),'2023DATA3'!$L$23,"")</f>
        <v/>
      </c>
      <c r="AB26" s="518" t="str">
        <f>IF(AND(_AC1="B-737-800",'2023'!$D$4="CA",'2023'!$D$2=AB5),'2023DATA3'!$M$23,"")</f>
        <v/>
      </c>
      <c r="AC26" s="520" t="str">
        <f>IF(AND(_AC1="B-737-800",'2023'!$D$4="CA",'2023'!$D$2=AC5),'2023DATA3'!$N$23,"")</f>
        <v/>
      </c>
      <c r="AD26" s="940" t="s">
        <v>69</v>
      </c>
      <c r="AE26" s="13" t="s">
        <v>61</v>
      </c>
      <c r="AF26" s="518" t="str">
        <f>IF(AND(_AC2="B-737-800",'2023'!$D$4="CA",'2023'!$D$2=AF5),'2023DATA3'!$C$23,"")</f>
        <v/>
      </c>
      <c r="AG26" s="518" t="str">
        <f>IF(AND(_AC2="B-737-800",'2023'!$D$4="CA",'2023'!$D$2=AG5),'2023DATA3'!$D$23,"")</f>
        <v/>
      </c>
      <c r="AH26" s="518" t="str">
        <f>IF(AND(_AC2="B-737-800",'2023'!$D$4="CA",'2023'!$D$2=AH5),'2023DATA3'!$E$23,"")</f>
        <v/>
      </c>
      <c r="AI26" s="518" t="str">
        <f>IF(AND(_AC2="B-737-800",'2023'!$D$4="CA",'2023'!$D$2=AI5),'2023DATA3'!$F$23,"")</f>
        <v/>
      </c>
      <c r="AJ26" s="518" t="str">
        <f>IF(AND(_AC2="B-737-800",'2023'!$D$4="CA",'2023'!$D$2=AJ5),'2023DATA3'!$G$23,"")</f>
        <v/>
      </c>
      <c r="AK26" s="518" t="str">
        <f>IF(AND(_AC2="B-737-800",'2023'!$D$4="CA",'2023'!$D$2=AK5),'2023DATA3'!$H$23,"")</f>
        <v/>
      </c>
      <c r="AL26" s="518" t="str">
        <f>IF(AND(_AC2="B-737-800",'2023'!$D$4="CA",'2023'!$D$2=AL5),'2023DATA3'!$I$23,"")</f>
        <v/>
      </c>
      <c r="AM26" s="518" t="str">
        <f>IF(AND(_AC2="B-737-800",'2023'!$D$4="CA",'2023'!$D$2=AM5),'2023DATA3'!$J$23,"")</f>
        <v/>
      </c>
      <c r="AN26" s="518" t="str">
        <f>IF(AND(_AC2="B-737-800",'2023'!$D$4="CA",'2023'!$D$2=AN5),'2023DATA3'!$K$23,"")</f>
        <v/>
      </c>
      <c r="AO26" s="518" t="str">
        <f>IF(AND(_AC2="B-737-800",'2023'!$D$4="CA",'2023'!$D$2=AO5),'2023DATA3'!$L$23,"")</f>
        <v/>
      </c>
      <c r="AP26" s="518" t="str">
        <f>IF(AND(_AC2="B-737-800",'2023'!$D$4="CA",'2023'!$D$2=AP5),'2023DATA3'!$M$23,"")</f>
        <v/>
      </c>
      <c r="AQ26" s="520" t="str">
        <f>IF(AND(_AC2="B-737-800",'2023'!$D$4="CA",'2023'!$D$2=AQ5),'2023DATA3'!$N$23,"")</f>
        <v/>
      </c>
      <c r="AR26" s="940" t="s">
        <v>69</v>
      </c>
      <c r="AS26" s="13" t="s">
        <v>61</v>
      </c>
      <c r="AT26" s="518" t="str">
        <f>IF(AND(_AC3="B-737-800",'2023'!$D$4="CA",'2023'!$D$2=AT5),'2023DATA3'!$C$23,"")</f>
        <v/>
      </c>
      <c r="AU26" s="518" t="str">
        <f>IF(AND(_AC3="B-737-800",'2023'!$D$4="CA",'2023'!$D$2=AU5),'2023DATA3'!$D$23,"")</f>
        <v/>
      </c>
      <c r="AV26" s="518" t="str">
        <f>IF(AND(_AC3="B-737-800",'2023'!$D$4="CA",'2023'!$D$2=AV5),'2023DATA3'!$E$23,"")</f>
        <v/>
      </c>
      <c r="AW26" s="518" t="str">
        <f>IF(AND(_AC3="B-737-800",'2023'!$D$4="CA",'2023'!$D$2=AW5),'2023DATA3'!$F$23,"")</f>
        <v/>
      </c>
      <c r="AX26" s="518" t="str">
        <f>IF(AND(_AC3="B-737-800",'2023'!$D$4="CA",'2023'!$D$2=AX5),'2023DATA3'!$G$23,"")</f>
        <v/>
      </c>
      <c r="AY26" s="518" t="str">
        <f>IF(AND(_AC3="B-737-800",'2023'!$D$4="CA",'2023'!$D$2=AY5),'2023DATA3'!$H$23,"")</f>
        <v/>
      </c>
      <c r="AZ26" s="518" t="str">
        <f>IF(AND(_AC3="B-737-800",'2023'!$D$4="CA",'2023'!$D$2=AZ5),'2023DATA3'!$I$23,"")</f>
        <v/>
      </c>
      <c r="BA26" s="518" t="str">
        <f>IF(AND(_AC3="B-737-800",'2023'!$D$4="CA",'2023'!$D$2=BA5),'2023DATA3'!$J$23,"")</f>
        <v/>
      </c>
      <c r="BB26" s="518" t="str">
        <f>IF(AND(_AC3="B-737-800",'2023'!$D$4="CA",'2023'!$D$2=BB5),'2023DATA3'!$K$23,"")</f>
        <v/>
      </c>
      <c r="BC26" s="518" t="str">
        <f>IF(AND(_AC3="B-737-800",'2023'!$D$4="CA",'2023'!$D$2=BC5),'2023DATA3'!$L$23,"")</f>
        <v/>
      </c>
      <c r="BD26" s="518" t="str">
        <f>IF(AND(_AC3="B-737-800",'2023'!$D$4="CA",'2023'!$D$2=BD5),'2023DATA3'!$M$23,"")</f>
        <v/>
      </c>
      <c r="BE26" s="520" t="str">
        <f>IF(AND(_AC3="B-737-800",'2023'!$D$4="CA",'2023'!$D$2=BE5),'2023DATA3'!$N$23,"")</f>
        <v/>
      </c>
      <c r="BF26" s="940" t="s">
        <v>69</v>
      </c>
      <c r="BG26" s="13" t="s">
        <v>61</v>
      </c>
      <c r="BH26" s="518" t="str">
        <f>IF(AND(_AC4="B-737-800",'2023'!$D$4="CA",'2023'!$D$2=BH5),'2023DATA3'!$C$23,"")</f>
        <v/>
      </c>
      <c r="BI26" s="518" t="str">
        <f>IF(AND(_AC4="B-737-800",'2023'!$D$4="CA",'2023'!$D$2=BI5),'2023DATA3'!$D$23,"")</f>
        <v/>
      </c>
      <c r="BJ26" s="518" t="str">
        <f>IF(AND(_AC4="B-737-800",'2023'!$D$4="CA",'2023'!$D$2=BJ5),'2023DATA3'!$E$23,"")</f>
        <v/>
      </c>
      <c r="BK26" s="518" t="str">
        <f>IF(AND(_AC4="B-737-800",'2023'!$D$4="CA",'2023'!$D$2=BK5),'2023DATA3'!$F$23,"")</f>
        <v/>
      </c>
      <c r="BL26" s="518" t="str">
        <f>IF(AND(_AC4="B-737-800",'2023'!$D$4="CA",'2023'!$D$2=BL5),'2023DATA3'!$G$23,"")</f>
        <v/>
      </c>
      <c r="BM26" s="518" t="str">
        <f>IF(AND(_AC4="B-737-800",'2023'!$D$4="CA",'2023'!$D$2=BM5),'2023DATA3'!$H$23,"")</f>
        <v/>
      </c>
      <c r="BN26" s="518" t="str">
        <f>IF(AND(_AC4="B-737-800",'2023'!$D$4="CA",'2023'!$D$2=BN5),'2023DATA3'!$I$23,"")</f>
        <v/>
      </c>
      <c r="BO26" s="518" t="str">
        <f>IF(AND(_AC4="B-737-800",'2023'!$D$4="CA",'2023'!$D$2=BO5),'2023DATA3'!$J$23,"")</f>
        <v/>
      </c>
      <c r="BP26" s="518" t="str">
        <f>IF(AND(_AC4="B-737-800",'2023'!$D$4="CA",'2023'!$D$2=BP5),'2023DATA3'!$K$23,"")</f>
        <v/>
      </c>
      <c r="BQ26" s="518" t="str">
        <f>IF(AND(_AC4="B-737-800",'2023'!$D$4="CA",'2023'!$D$2=BQ5),'2023DATA3'!$L$23,"")</f>
        <v/>
      </c>
      <c r="BR26" s="518" t="str">
        <f>IF(AND(_AC4="B-737-800",'2023'!$D$4="CA",'2023'!$D$2=BR5),'2023DATA3'!$M$23,"")</f>
        <v/>
      </c>
      <c r="BS26" s="520" t="str">
        <f>IF(AND(_AC4="B-737-800",'2023'!$D$4="CA",'2023'!$D$2=BS5),'2023DATA3'!$N$23,"")</f>
        <v/>
      </c>
      <c r="BT26" s="940" t="s">
        <v>69</v>
      </c>
      <c r="BU26" s="13" t="s">
        <v>61</v>
      </c>
      <c r="BV26" s="518" t="str">
        <f>IF(AND(_AC5="B-737-800",'2023'!$D$4="CA",'2023'!$D$2=BV5),'2023DATA3'!$C$23,"")</f>
        <v/>
      </c>
      <c r="BW26" s="518" t="str">
        <f>IF(AND(_AC5="B-737-800",'2023'!$D$4="CA",'2023'!$D$2=BW5),'2023DATA3'!$D$23,"")</f>
        <v/>
      </c>
      <c r="BX26" s="518" t="str">
        <f>IF(AND(_AC5="B-737-800",'2023'!$D$4="CA",'2023'!$D$2=BX5),'2023DATA3'!$E$23,"")</f>
        <v/>
      </c>
      <c r="BY26" s="518" t="str">
        <f>IF(AND(_AC5="B-737-800",'2023'!$D$4="CA",'2023'!$D$2=BY5),'2023DATA3'!$F$23,"")</f>
        <v/>
      </c>
      <c r="BZ26" s="518" t="str">
        <f>IF(AND(_AC5="B-737-800",'2023'!$D$4="CA",'2023'!$D$2=BZ5),'2023DATA3'!$G$23,"")</f>
        <v/>
      </c>
      <c r="CA26" s="518" t="str">
        <f>IF(AND(_AC5="B-737-800",'2023'!$D$4="CA",'2023'!$D$2=CA5),'2023DATA3'!$H$23,"")</f>
        <v/>
      </c>
      <c r="CB26" s="518" t="str">
        <f>IF(AND(_AC5="B-737-800",'2023'!$D$4="CA",'2023'!$D$2=CB5),'2023DATA3'!$I$23,"")</f>
        <v/>
      </c>
      <c r="CC26" s="518" t="str">
        <f>IF(AND(_AC5="B-737-800",'2023'!$D$4="CA",'2023'!$D$2=CC5),'2023DATA3'!$J$23,"")</f>
        <v/>
      </c>
      <c r="CD26" s="518" t="str">
        <f>IF(AND(_AC5="B-737-800",'2023'!$D$4="CA",'2023'!$D$2=CD5),'2023DATA3'!$K$23,"")</f>
        <v/>
      </c>
      <c r="CE26" s="518" t="str">
        <f>IF(AND(_AC5="B-737-800",'2023'!$D$4="CA",'2023'!$D$2=CE5),'2023DATA3'!$L$23,"")</f>
        <v/>
      </c>
      <c r="CF26" s="518" t="str">
        <f>IF(AND(_AC5="B-737-800",'2023'!$D$4="CA",'2023'!$D$2=CF5),'2023DATA3'!$M$23,"")</f>
        <v/>
      </c>
      <c r="CG26" s="520" t="str">
        <f>IF(AND(_AC5="B-737-800",'2023'!$D$4="CA",'2023'!$D$2=CG5),'2023DATA3'!$N$23,"")</f>
        <v/>
      </c>
      <c r="CH26" s="940" t="s">
        <v>69</v>
      </c>
      <c r="CI26" s="13" t="s">
        <v>61</v>
      </c>
      <c r="CJ26" s="518" t="str">
        <f>IF(AND(_AC6="B-737-800",'2023'!$D$4="CA",'2023'!$D$2=CJ5),'2023DATA3'!$C$23,"")</f>
        <v/>
      </c>
      <c r="CK26" s="518" t="str">
        <f>IF(AND(_AC6="B-737-800",'2023'!$D$4="CA",'2023'!$D$2=CK5),'2023DATA3'!$D$23,"")</f>
        <v/>
      </c>
      <c r="CL26" s="518" t="str">
        <f>IF(AND(_AC6="B-737-800",'2023'!$D$4="CA",'2023'!$D$2=CL5),'2023DATA3'!$E$23,"")</f>
        <v/>
      </c>
      <c r="CM26" s="518" t="str">
        <f>IF(AND(_AC6="B-737-800",'2023'!$D$4="CA",'2023'!$D$2=CM5),'2023DATA3'!$F$23,"")</f>
        <v/>
      </c>
      <c r="CN26" s="518" t="str">
        <f>IF(AND(_AC6="B-737-800",'2023'!$D$4="CA",'2023'!$D$2=CN5),'2023DATA3'!$G$23,"")</f>
        <v/>
      </c>
      <c r="CO26" s="518" t="str">
        <f>IF(AND(_AC6="B-737-800",'2023'!$D$4="CA",'2023'!$D$2=CO5),'2023DATA3'!$H$23,"")</f>
        <v/>
      </c>
      <c r="CP26" s="518" t="str">
        <f>IF(AND(_AC6="B-737-800",'2023'!$D$4="CA",'2023'!$D$2=CP5),'2023DATA3'!$I$23,"")</f>
        <v/>
      </c>
      <c r="CQ26" s="518" t="str">
        <f>IF(AND(_AC6="B-737-800",'2023'!$D$4="CA",'2023'!$D$2=CQ5),'2023DATA3'!$J$23,"")</f>
        <v/>
      </c>
      <c r="CR26" s="518" t="str">
        <f>IF(AND(_AC6="B-737-800",'2023'!$D$4="CA",'2023'!$D$2=CR5),'2023DATA3'!$K$23,"")</f>
        <v/>
      </c>
      <c r="CS26" s="518" t="str">
        <f>IF(AND(_AC6="B-737-800",'2023'!$D$4="CA",'2023'!$D$2=CS5),'2023DATA3'!$L$23,"")</f>
        <v/>
      </c>
      <c r="CT26" s="518" t="str">
        <f>IF(AND(_AC6="B-737-800",'2023'!$D$4="CA",'2023'!$D$2=CT5),'2023DATA3'!$M$23,"")</f>
        <v/>
      </c>
      <c r="CU26" s="520" t="str">
        <f>IF(AND(_AC6="B-737-800",'2023'!$D$4="CA",'2023'!$D$2=CU5),'2023DATA3'!$N$23,"")</f>
        <v/>
      </c>
    </row>
    <row r="27" spans="1:99" x14ac:dyDescent="0.25">
      <c r="A27" s="946" t="s">
        <v>48</v>
      </c>
      <c r="B27" s="78" t="s">
        <v>61</v>
      </c>
      <c r="C27" s="25">
        <v>336.89</v>
      </c>
      <c r="D27" s="26">
        <v>334.29</v>
      </c>
      <c r="E27" s="26">
        <v>331.69</v>
      </c>
      <c r="F27" s="26">
        <v>329.24</v>
      </c>
      <c r="G27" s="26">
        <v>326.64</v>
      </c>
      <c r="H27" s="26">
        <v>324.10000000000002</v>
      </c>
      <c r="I27" s="26">
        <v>321.57</v>
      </c>
      <c r="J27" s="26">
        <v>319.02</v>
      </c>
      <c r="K27" s="26">
        <v>316.45</v>
      </c>
      <c r="L27" s="26">
        <v>313.89999999999998</v>
      </c>
      <c r="M27" s="26">
        <v>311.45999999999998</v>
      </c>
      <c r="N27" s="27">
        <v>309.02999999999997</v>
      </c>
      <c r="P27" s="940"/>
      <c r="Q27" s="13" t="s">
        <v>62</v>
      </c>
      <c r="R27" s="518" t="str">
        <f>IF(AND(_AC1="B-737-800",'2023'!$D$4="FO",'2023'!$D$2=R5),'2023DATA3'!$C$24,"")</f>
        <v/>
      </c>
      <c r="S27" s="518" t="str">
        <f>IF(AND(_AC1="B-737-800",'2023'!$D$4="FO",'2023'!$D$2=S5),'2023DATA3'!$D$24,"")</f>
        <v/>
      </c>
      <c r="T27" s="518" t="str">
        <f>IF(AND(_AC1="B-737-800",'2023'!$D$4="FO",'2023'!$D$2=T5),'2023DATA3'!$E$24,"")</f>
        <v/>
      </c>
      <c r="U27" s="518" t="str">
        <f>IF(AND(_AC1="B-737-800",'2023'!$D$4="FO",'2023'!$D$2=U5),'2023DATA3'!$F$24,"")</f>
        <v/>
      </c>
      <c r="V27" s="518" t="str">
        <f>IF(AND(_AC1="B-737-800",'2023'!$D$4="FO",'2023'!$D$2=V5),'2023DATA3'!$G$24,"")</f>
        <v/>
      </c>
      <c r="W27" s="518" t="str">
        <f>IF(AND(_AC1="B-737-800",'2023'!$D$4="FO",'2023'!$D$2=W5),'2023DATA3'!$H$24,"")</f>
        <v/>
      </c>
      <c r="X27" s="518" t="str">
        <f>IF(AND(_AC1="B-737-800",'2023'!$D$4="FO",'2023'!$D$2=X5),'2023DATA3'!$I$24,"")</f>
        <v/>
      </c>
      <c r="Y27" s="518" t="str">
        <f>IF(AND(_AC1="B-737-800",'2023'!$D$4="FO",'2023'!$D$2=Y5),'2023DATA3'!$J$24,"")</f>
        <v/>
      </c>
      <c r="Z27" s="518" t="str">
        <f>IF(AND(_AC1="B-737-800",'2023'!$D$4="FO",'2023'!$D$2=Z5),'2023DATA3'!$K$24,"")</f>
        <v/>
      </c>
      <c r="AA27" s="518" t="str">
        <f>IF(AND(_AC1="B-737-800",'2023'!$D$4="FO",'2023'!$D$2=AA5),'2023DATA3'!$L$24,"")</f>
        <v/>
      </c>
      <c r="AB27" s="518" t="str">
        <f>IF(AND(_AC1="B-737-800",'2023'!$D$4="FO",'2023'!$D$2=AB5),'2023DATA3'!$M$24,"")</f>
        <v/>
      </c>
      <c r="AC27" s="520" t="str">
        <f>IF(AND(_AC1="B-737-800",'2023'!$D$4="FO",'2023'!$D$2=AC5),'2023DATA3'!$N$24,"")</f>
        <v/>
      </c>
      <c r="AD27" s="940"/>
      <c r="AE27" s="13" t="s">
        <v>62</v>
      </c>
      <c r="AF27" s="518" t="str">
        <f>IF(AND(_AC2="B-737-800",'2023'!$D$4="FO",'2023'!$D$2=AF5),'2023DATA3'!$C$24,"")</f>
        <v/>
      </c>
      <c r="AG27" s="518" t="str">
        <f>IF(AND(_AC2="B-737-800",'2023'!$D$4="FO",'2023'!$D$2=AG5),'2023DATA3'!$D$24,"")</f>
        <v/>
      </c>
      <c r="AH27" s="518" t="str">
        <f>IF(AND(_AC2="B-737-800",'2023'!$D$4="FO",'2023'!$D$2=AH5),'2023DATA3'!$E$24,"")</f>
        <v/>
      </c>
      <c r="AI27" s="518" t="str">
        <f>IF(AND(_AC2="B-737-800",'2023'!$D$4="FO",'2023'!$D$2=AI5),'2023DATA3'!$F$24,"")</f>
        <v/>
      </c>
      <c r="AJ27" s="518" t="str">
        <f>IF(AND(_AC2="B-737-800",'2023'!$D$4="FO",'2023'!$D$2=AJ5),'2023DATA3'!$G$24,"")</f>
        <v/>
      </c>
      <c r="AK27" s="518" t="str">
        <f>IF(AND(_AC2="B-737-800",'2023'!$D$4="FO",'2023'!$D$2=AK5),'2023DATA3'!$H$24,"")</f>
        <v/>
      </c>
      <c r="AL27" s="518" t="str">
        <f>IF(AND(_AC2="B-737-800",'2023'!$D$4="FO",'2023'!$D$2=AL5),'2023DATA3'!$I$24,"")</f>
        <v/>
      </c>
      <c r="AM27" s="518" t="str">
        <f>IF(AND(_AC2="B-737-800",'2023'!$D$4="FO",'2023'!$D$2=AM5),'2023DATA3'!$J$24,"")</f>
        <v/>
      </c>
      <c r="AN27" s="518" t="str">
        <f>IF(AND(_AC2="B-737-800",'2023'!$D$4="FO",'2023'!$D$2=AN5),'2023DATA3'!$K$24,"")</f>
        <v/>
      </c>
      <c r="AO27" s="518" t="str">
        <f>IF(AND(_AC2="B-737-800",'2023'!$D$4="FO",'2023'!$D$2=AO5),'2023DATA3'!$L$24,"")</f>
        <v/>
      </c>
      <c r="AP27" s="518" t="str">
        <f>IF(AND(_AC2="B-737-800",'2023'!$D$4="FO",'2023'!$D$2=AP5),'2023DATA3'!$M$24,"")</f>
        <v/>
      </c>
      <c r="AQ27" s="520" t="str">
        <f>IF(AND(_AC2="B-737-800",'2023'!$D$4="FO",'2023'!$D$2=AQ5),'2023DATA3'!$N$24,"")</f>
        <v/>
      </c>
      <c r="AR27" s="940"/>
      <c r="AS27" s="13" t="s">
        <v>62</v>
      </c>
      <c r="AT27" s="518" t="str">
        <f>IF(AND(_AC3="B-737-800",'2023'!$D$4="FO",'2023'!$D$2=AT5),'2023DATA3'!$C$24,"")</f>
        <v/>
      </c>
      <c r="AU27" s="518" t="str">
        <f>IF(AND(_AC3="B-737-800",'2023'!$D$4="FO",'2023'!$D$2=AU5),'2023DATA3'!$D$24,"")</f>
        <v/>
      </c>
      <c r="AV27" s="518" t="str">
        <f>IF(AND(_AC3="B-737-800",'2023'!$D$4="FO",'2023'!$D$2=AV5),'2023DATA3'!$E$24,"")</f>
        <v/>
      </c>
      <c r="AW27" s="518" t="str">
        <f>IF(AND(_AC3="B-737-800",'2023'!$D$4="FO",'2023'!$D$2=AW5),'2023DATA3'!$F$24,"")</f>
        <v/>
      </c>
      <c r="AX27" s="518" t="str">
        <f>IF(AND(_AC3="B-737-800",'2023'!$D$4="FO",'2023'!$D$2=AX5),'2023DATA3'!$G$24,"")</f>
        <v/>
      </c>
      <c r="AY27" s="518" t="str">
        <f>IF(AND(_AC3="B-737-800",'2023'!$D$4="FO",'2023'!$D$2=AY5),'2023DATA3'!$H$24,"")</f>
        <v/>
      </c>
      <c r="AZ27" s="518" t="str">
        <f>IF(AND(_AC3="B-737-800",'2023'!$D$4="FO",'2023'!$D$2=AZ5),'2023DATA3'!$I$24,"")</f>
        <v/>
      </c>
      <c r="BA27" s="518" t="str">
        <f>IF(AND(_AC3="B-737-800",'2023'!$D$4="FO",'2023'!$D$2=BA5),'2023DATA3'!$J$24,"")</f>
        <v/>
      </c>
      <c r="BB27" s="518" t="str">
        <f>IF(AND(_AC3="B-737-800",'2023'!$D$4="FO",'2023'!$D$2=BB5),'2023DATA3'!$K$24,"")</f>
        <v/>
      </c>
      <c r="BC27" s="518" t="str">
        <f>IF(AND(_AC3="B-737-800",'2023'!$D$4="FO",'2023'!$D$2=BC5),'2023DATA3'!$L$24,"")</f>
        <v/>
      </c>
      <c r="BD27" s="518" t="str">
        <f>IF(AND(_AC3="B-737-800",'2023'!$D$4="FO",'2023'!$D$2=BD5),'2023DATA3'!$M$24,"")</f>
        <v/>
      </c>
      <c r="BE27" s="520" t="str">
        <f>IF(AND(_AC3="B-737-800",'2023'!$D$4="FO",'2023'!$D$2=BE5),'2023DATA3'!$N$24,"")</f>
        <v/>
      </c>
      <c r="BF27" s="940"/>
      <c r="BG27" s="13" t="s">
        <v>62</v>
      </c>
      <c r="BH27" s="518" t="str">
        <f>IF(AND(_AC4="B-737-800",'2023'!$D$4="FO",'2023'!$D$2=BH5),'2023DATA3'!$C$24,"")</f>
        <v/>
      </c>
      <c r="BI27" s="518" t="str">
        <f>IF(AND(_AC4="B-737-800",'2023'!$D$4="FO",'2023'!$D$2=BI5),'2023DATA3'!$D$24,"")</f>
        <v/>
      </c>
      <c r="BJ27" s="518" t="str">
        <f>IF(AND(_AC4="B-737-800",'2023'!$D$4="FO",'2023'!$D$2=BJ5),'2023DATA3'!$E$24,"")</f>
        <v/>
      </c>
      <c r="BK27" s="518" t="str">
        <f>IF(AND(_AC4="B-737-800",'2023'!$D$4="FO",'2023'!$D$2=BK5),'2023DATA3'!$F$24,"")</f>
        <v/>
      </c>
      <c r="BL27" s="518" t="str">
        <f>IF(AND(_AC4="B-737-800",'2023'!$D$4="FO",'2023'!$D$2=BL5),'2023DATA3'!$G$24,"")</f>
        <v/>
      </c>
      <c r="BM27" s="518" t="str">
        <f>IF(AND(_AC4="B-737-800",'2023'!$D$4="FO",'2023'!$D$2=BM5),'2023DATA3'!$H$24,"")</f>
        <v/>
      </c>
      <c r="BN27" s="518" t="str">
        <f>IF(AND(_AC4="B-737-800",'2023'!$D$4="FO",'2023'!$D$2=BN5),'2023DATA3'!$I$24,"")</f>
        <v/>
      </c>
      <c r="BO27" s="518" t="str">
        <f>IF(AND(_AC4="B-737-800",'2023'!$D$4="FO",'2023'!$D$2=BO5),'2023DATA3'!$J$24,"")</f>
        <v/>
      </c>
      <c r="BP27" s="518" t="str">
        <f>IF(AND(_AC4="B-737-800",'2023'!$D$4="FO",'2023'!$D$2=BP5),'2023DATA3'!$K$24,"")</f>
        <v/>
      </c>
      <c r="BQ27" s="518" t="str">
        <f>IF(AND(_AC4="B-737-800",'2023'!$D$4="FO",'2023'!$D$2=BQ5),'2023DATA3'!$L$24,"")</f>
        <v/>
      </c>
      <c r="BR27" s="518" t="str">
        <f>IF(AND(_AC4="B-737-800",'2023'!$D$4="FO",'2023'!$D$2=BR5),'2023DATA3'!$M$24,"")</f>
        <v/>
      </c>
      <c r="BS27" s="520" t="str">
        <f>IF(AND(_AC4="B-737-800",'2023'!$D$4="FO",'2023'!$D$2=BS5),'2023DATA3'!$N$24,"")</f>
        <v/>
      </c>
      <c r="BT27" s="940"/>
      <c r="BU27" s="13" t="s">
        <v>62</v>
      </c>
      <c r="BV27" s="518" t="str">
        <f>IF(AND(_AC5="B-737-800",'2023'!$D$4="FO",'2023'!$D$2=BV5),'2023DATA3'!$C$24,"")</f>
        <v/>
      </c>
      <c r="BW27" s="518" t="str">
        <f>IF(AND(_AC5="B-737-800",'2023'!$D$4="FO",'2023'!$D$2=BW5),'2023DATA3'!$D$24,"")</f>
        <v/>
      </c>
      <c r="BX27" s="518" t="str">
        <f>IF(AND(_AC5="B-737-800",'2023'!$D$4="FO",'2023'!$D$2=BX5),'2023DATA3'!$E$24,"")</f>
        <v/>
      </c>
      <c r="BY27" s="518" t="str">
        <f>IF(AND(_AC5="B-737-800",'2023'!$D$4="FO",'2023'!$D$2=BY5),'2023DATA3'!$F$24,"")</f>
        <v/>
      </c>
      <c r="BZ27" s="518" t="str">
        <f>IF(AND(_AC5="B-737-800",'2023'!$D$4="FO",'2023'!$D$2=BZ5),'2023DATA3'!$G$24,"")</f>
        <v/>
      </c>
      <c r="CA27" s="518" t="str">
        <f>IF(AND(_AC5="B-737-800",'2023'!$D$4="FO",'2023'!$D$2=CA5),'2023DATA3'!$H$24,"")</f>
        <v/>
      </c>
      <c r="CB27" s="518" t="str">
        <f>IF(AND(_AC5="B-737-800",'2023'!$D$4="FO",'2023'!$D$2=CB5),'2023DATA3'!$I$24,"")</f>
        <v/>
      </c>
      <c r="CC27" s="518" t="str">
        <f>IF(AND(_AC5="B-737-800",'2023'!$D$4="FO",'2023'!$D$2=CC5),'2023DATA3'!$J$24,"")</f>
        <v/>
      </c>
      <c r="CD27" s="518" t="str">
        <f>IF(AND(_AC5="B-737-800",'2023'!$D$4="FO",'2023'!$D$2=CD5),'2023DATA3'!$K$24,"")</f>
        <v/>
      </c>
      <c r="CE27" s="518" t="str">
        <f>IF(AND(_AC5="B-737-800",'2023'!$D$4="FO",'2023'!$D$2=CE5),'2023DATA3'!$L$24,"")</f>
        <v/>
      </c>
      <c r="CF27" s="518" t="str">
        <f>IF(AND(_AC5="B-737-800",'2023'!$D$4="FO",'2023'!$D$2=CF5),'2023DATA3'!$M$24,"")</f>
        <v/>
      </c>
      <c r="CG27" s="520" t="str">
        <f>IF(AND(_AC5="B-737-800",'2023'!$D$4="FO",'2023'!$D$2=CG5),'2023DATA3'!$N$24,"")</f>
        <v/>
      </c>
      <c r="CH27" s="940"/>
      <c r="CI27" s="13" t="s">
        <v>62</v>
      </c>
      <c r="CJ27" s="518" t="str">
        <f>IF(AND(_AC6="B-737-800",'2023'!$D$4="FO",'2023'!$D$2=CJ5),'2023DATA3'!$C$24,"")</f>
        <v/>
      </c>
      <c r="CK27" s="518" t="str">
        <f>IF(AND(_AC6="B-737-800",'2023'!$D$4="FO",'2023'!$D$2=CK5),'2023DATA3'!$D$24,"")</f>
        <v/>
      </c>
      <c r="CL27" s="518" t="str">
        <f>IF(AND(_AC6="B-737-800",'2023'!$D$4="FO",'2023'!$D$2=CL5),'2023DATA3'!$E$24,"")</f>
        <v/>
      </c>
      <c r="CM27" s="518" t="str">
        <f>IF(AND(_AC6="B-737-800",'2023'!$D$4="FO",'2023'!$D$2=CM5),'2023DATA3'!$F$24,"")</f>
        <v/>
      </c>
      <c r="CN27" s="518" t="str">
        <f>IF(AND(_AC6="B-737-800",'2023'!$D$4="FO",'2023'!$D$2=CN5),'2023DATA3'!$G$24,"")</f>
        <v/>
      </c>
      <c r="CO27" s="518" t="str">
        <f>IF(AND(_AC6="B-737-800",'2023'!$D$4="FO",'2023'!$D$2=CO5),'2023DATA3'!$H$24,"")</f>
        <v/>
      </c>
      <c r="CP27" s="518" t="str">
        <f>IF(AND(_AC6="B-737-800",'2023'!$D$4="FO",'2023'!$D$2=CP5),'2023DATA3'!$I$24,"")</f>
        <v/>
      </c>
      <c r="CQ27" s="518" t="str">
        <f>IF(AND(_AC6="B-737-800",'2023'!$D$4="FO",'2023'!$D$2=CQ5),'2023DATA3'!$J$24,"")</f>
        <v/>
      </c>
      <c r="CR27" s="518" t="str">
        <f>IF(AND(_AC6="B-737-800",'2023'!$D$4="FO",'2023'!$D$2=CR5),'2023DATA3'!$K$24,"")</f>
        <v/>
      </c>
      <c r="CS27" s="518" t="str">
        <f>IF(AND(_AC6="B-737-800",'2023'!$D$4="FO",'2023'!$D$2=CS5),'2023DATA3'!$L$24,"")</f>
        <v/>
      </c>
      <c r="CT27" s="518" t="str">
        <f>IF(AND(_AC6="B-737-800",'2023'!$D$4="FO",'2023'!$D$2=CT5),'2023DATA3'!$M$24,"")</f>
        <v/>
      </c>
      <c r="CU27" s="520" t="str">
        <f>IF(AND(_AC6="B-737-800",'2023'!$D$4="FO",'2023'!$D$2=CU5),'2023DATA3'!$N$24,"")</f>
        <v/>
      </c>
    </row>
    <row r="28" spans="1:99" x14ac:dyDescent="0.25">
      <c r="A28" s="946"/>
      <c r="B28" s="78" t="s">
        <v>62</v>
      </c>
      <c r="C28" s="25">
        <v>230.1</v>
      </c>
      <c r="D28" s="26">
        <v>227.98</v>
      </c>
      <c r="E28" s="26">
        <v>225.91</v>
      </c>
      <c r="F28" s="26">
        <v>222.88</v>
      </c>
      <c r="G28" s="26">
        <v>220.51</v>
      </c>
      <c r="H28" s="26">
        <v>215.54</v>
      </c>
      <c r="I28" s="26">
        <v>209.67</v>
      </c>
      <c r="J28" s="26">
        <v>204.47</v>
      </c>
      <c r="K28" s="26">
        <v>199.67</v>
      </c>
      <c r="L28" s="26">
        <v>194.95</v>
      </c>
      <c r="M28" s="26">
        <v>166.6</v>
      </c>
      <c r="N28" s="27">
        <v>108.34</v>
      </c>
      <c r="P28" s="940" t="s">
        <v>46</v>
      </c>
      <c r="Q28" s="13" t="s">
        <v>61</v>
      </c>
      <c r="R28" s="518" t="str">
        <f>IF(AND(_AC1="A-321N",'2023'!$D$4="CA",'2023'!$D$2=R5),'2023DATA3'!$C$25,"")</f>
        <v/>
      </c>
      <c r="S28" s="518" t="str">
        <f>IF(AND(_AC1="A-321N",'2023'!$D$4="CA",'2023'!$D$2=S5),'2023DATA3'!$D$25,"")</f>
        <v/>
      </c>
      <c r="T28" s="518" t="str">
        <f>IF(AND(_AC1="A-321N",'2023'!$D$4="CA",'2023'!$D$2=T5),'2023DATA3'!$E$25,"")</f>
        <v/>
      </c>
      <c r="U28" s="518" t="str">
        <f>IF(AND(_AC1="A-321N",'2023'!$D$4="CA",'2023'!$D$2=U5),'2023DATA3'!$F$25,"")</f>
        <v/>
      </c>
      <c r="V28" s="518" t="str">
        <f>IF(AND(_AC1="A-321N",'2023'!$D$4="CA",'2023'!$D$2=V5),'2023DATA3'!$G$25,"")</f>
        <v/>
      </c>
      <c r="W28" s="518" t="str">
        <f>IF(AND(_AC1="A-321N",'2023'!$D$4="CA",'2023'!$D$2=W5),'2023DATA3'!$H$25,"")</f>
        <v/>
      </c>
      <c r="X28" s="518" t="str">
        <f>IF(AND(_AC1="A-321N",'2023'!$D$4="CA",'2023'!$D$2=X5),'2023DATA3'!$I$25,"")</f>
        <v/>
      </c>
      <c r="Y28" s="518" t="str">
        <f>IF(AND(_AC1="A-321N",'2023'!$D$4="CA",'2023'!$D$2=Y5),'2023DATA3'!$J$25,"")</f>
        <v/>
      </c>
      <c r="Z28" s="518" t="str">
        <f>IF(AND(_AC1="A-321N",'2023'!$D$4="CA",'2023'!$D$2=Z5),'2023DATA3'!$K$25,"")</f>
        <v/>
      </c>
      <c r="AA28" s="518" t="str">
        <f>IF(AND(_AC1="A-321N",'2023'!$D$4="CA",'2023'!$D$2=AA5),'2023DATA3'!$L$25,"")</f>
        <v/>
      </c>
      <c r="AB28" s="518" t="str">
        <f>IF(AND(_AC1="A-321N",'2023'!$D$4="CA",'2023'!$D$2=AB5),'2023DATA3'!$M$25,"")</f>
        <v/>
      </c>
      <c r="AC28" s="520" t="str">
        <f>IF(AND(_AC1="A-321N",'2023'!$D$4="CA",'2023'!$D$2=AC5),'2023DATA3'!$N$25,"")</f>
        <v/>
      </c>
      <c r="AD28" s="940" t="s">
        <v>46</v>
      </c>
      <c r="AE28" s="13" t="s">
        <v>61</v>
      </c>
      <c r="AF28" s="518" t="str">
        <f>IF(AND(_AC2="A-321N",'2023'!$D$4="CA",'2023'!$D$2=AF5),'2023DATA3'!$C$25,"")</f>
        <v/>
      </c>
      <c r="AG28" s="518" t="str">
        <f>IF(AND(_AC2="A-321N",'2023'!$D$4="CA",'2023'!$D$2=AG5),'2023DATA3'!$D$25,"")</f>
        <v/>
      </c>
      <c r="AH28" s="518" t="str">
        <f>IF(AND(_AC2="A-321N",'2023'!$D$4="CA",'2023'!$D$2=AH5),'2023DATA3'!$E$25,"")</f>
        <v/>
      </c>
      <c r="AI28" s="518" t="str">
        <f>IF(AND(_AC2="A-321N",'2023'!$D$4="CA",'2023'!$D$2=AI5),'2023DATA3'!$F$25,"")</f>
        <v/>
      </c>
      <c r="AJ28" s="518" t="str">
        <f>IF(AND(_AC2="A-321N",'2023'!$D$4="CA",'2023'!$D$2=AJ5),'2023DATA3'!$G$25,"")</f>
        <v/>
      </c>
      <c r="AK28" s="518" t="str">
        <f>IF(AND(_AC2="A-321N",'2023'!$D$4="CA",'2023'!$D$2=AK5),'2023DATA3'!$H$25,"")</f>
        <v/>
      </c>
      <c r="AL28" s="518" t="str">
        <f>IF(AND(_AC2="A-321N",'2023'!$D$4="CA",'2023'!$D$2=AL5),'2023DATA3'!$I$25,"")</f>
        <v/>
      </c>
      <c r="AM28" s="518" t="str">
        <f>IF(AND(_AC2="A-321N",'2023'!$D$4="CA",'2023'!$D$2=AM5),'2023DATA3'!$J$25,"")</f>
        <v/>
      </c>
      <c r="AN28" s="518" t="str">
        <f>IF(AND(_AC2="A-321N",'2023'!$D$4="CA",'2023'!$D$2=AN5),'2023DATA3'!$K$25,"")</f>
        <v/>
      </c>
      <c r="AO28" s="518" t="str">
        <f>IF(AND(_AC2="A-321N",'2023'!$D$4="CA",'2023'!$D$2=AO5),'2023DATA3'!$L$25,"")</f>
        <v/>
      </c>
      <c r="AP28" s="518" t="str">
        <f>IF(AND(_AC2="A-321N",'2023'!$D$4="CA",'2023'!$D$2=AP5),'2023DATA3'!$M$25,"")</f>
        <v/>
      </c>
      <c r="AQ28" s="520" t="str">
        <f>IF(AND(_AC2="A-321N",'2023'!$D$4="CA",'2023'!$D$2=AQ5),'2023DATA3'!$N$25,"")</f>
        <v/>
      </c>
      <c r="AR28" s="940" t="s">
        <v>46</v>
      </c>
      <c r="AS28" s="13" t="s">
        <v>61</v>
      </c>
      <c r="AT28" s="518" t="str">
        <f>IF(AND(_AC3="A-321N",'2023'!$D$4="CA",'2023'!$D$2=AT5),'2023DATA3'!$C$25,"")</f>
        <v/>
      </c>
      <c r="AU28" s="518" t="str">
        <f>IF(AND(_AC3="A-321N",'2023'!$D$4="CA",'2023'!$D$2=AU5),'2023DATA3'!$D$25,"")</f>
        <v/>
      </c>
      <c r="AV28" s="518" t="str">
        <f>IF(AND(_AC3="A-321N",'2023'!$D$4="CA",'2023'!$D$2=AV5),'2023DATA3'!$E$25,"")</f>
        <v/>
      </c>
      <c r="AW28" s="518" t="str">
        <f>IF(AND(_AC3="A-321N",'2023'!$D$4="CA",'2023'!$D$2=AW5),'2023DATA3'!$F$25,"")</f>
        <v/>
      </c>
      <c r="AX28" s="518" t="str">
        <f>IF(AND(_AC3="A-321N",'2023'!$D$4="CA",'2023'!$D$2=AX5),'2023DATA3'!$G$25,"")</f>
        <v/>
      </c>
      <c r="AY28" s="518" t="str">
        <f>IF(AND(_AC3="A-321N",'2023'!$D$4="CA",'2023'!$D$2=AY5),'2023DATA3'!$H$25,"")</f>
        <v/>
      </c>
      <c r="AZ28" s="518" t="str">
        <f>IF(AND(_AC3="A-321N",'2023'!$D$4="CA",'2023'!$D$2=AZ5),'2023DATA3'!$I$25,"")</f>
        <v/>
      </c>
      <c r="BA28" s="518" t="str">
        <f>IF(AND(_AC3="A-321N",'2023'!$D$4="CA",'2023'!$D$2=BA5),'2023DATA3'!$J$25,"")</f>
        <v/>
      </c>
      <c r="BB28" s="518" t="str">
        <f>IF(AND(_AC3="A-321N",'2023'!$D$4="CA",'2023'!$D$2=BB5),'2023DATA3'!$K$25,"")</f>
        <v/>
      </c>
      <c r="BC28" s="518" t="str">
        <f>IF(AND(_AC3="A-321N",'2023'!$D$4="CA",'2023'!$D$2=BC5),'2023DATA3'!$L$25,"")</f>
        <v/>
      </c>
      <c r="BD28" s="518" t="str">
        <f>IF(AND(_AC3="A-321N",'2023'!$D$4="CA",'2023'!$D$2=BD5),'2023DATA3'!$M$25,"")</f>
        <v/>
      </c>
      <c r="BE28" s="520" t="str">
        <f>IF(AND(_AC3="A-321N",'2023'!$D$4="CA",'2023'!$D$2=BE5),'2023DATA3'!$N$25,"")</f>
        <v/>
      </c>
      <c r="BF28" s="940" t="s">
        <v>46</v>
      </c>
      <c r="BG28" s="13" t="s">
        <v>61</v>
      </c>
      <c r="BH28" s="518" t="str">
        <f>IF(AND(_AC4="A-321N",'2023'!$D$4="CA",'2023'!$D$2=BH5),'2023DATA3'!$C$25,"")</f>
        <v/>
      </c>
      <c r="BI28" s="518" t="str">
        <f>IF(AND(_AC4="A-321N",'2023'!$D$4="CA",'2023'!$D$2=BI5),'2023DATA3'!$D$25,"")</f>
        <v/>
      </c>
      <c r="BJ28" s="518" t="str">
        <f>IF(AND(_AC4="A-321N",'2023'!$D$4="CA",'2023'!$D$2=BJ5),'2023DATA3'!$E$25,"")</f>
        <v/>
      </c>
      <c r="BK28" s="518" t="str">
        <f>IF(AND(_AC4="A-321N",'2023'!$D$4="CA",'2023'!$D$2=BK5),'2023DATA3'!$F$25,"")</f>
        <v/>
      </c>
      <c r="BL28" s="518" t="str">
        <f>IF(AND(_AC4="A-321N",'2023'!$D$4="CA",'2023'!$D$2=BL5),'2023DATA3'!$G$25,"")</f>
        <v/>
      </c>
      <c r="BM28" s="518" t="str">
        <f>IF(AND(_AC4="A-321N",'2023'!$D$4="CA",'2023'!$D$2=BM5),'2023DATA3'!$H$25,"")</f>
        <v/>
      </c>
      <c r="BN28" s="518" t="str">
        <f>IF(AND(_AC4="A-321N",'2023'!$D$4="CA",'2023'!$D$2=BN5),'2023DATA3'!$I$25,"")</f>
        <v/>
      </c>
      <c r="BO28" s="518" t="str">
        <f>IF(AND(_AC4="A-321N",'2023'!$D$4="CA",'2023'!$D$2=BO5),'2023DATA3'!$J$25,"")</f>
        <v/>
      </c>
      <c r="BP28" s="518" t="str">
        <f>IF(AND(_AC4="A-321N",'2023'!$D$4="CA",'2023'!$D$2=BP5),'2023DATA3'!$K$25,"")</f>
        <v/>
      </c>
      <c r="BQ28" s="518" t="str">
        <f>IF(AND(_AC4="A-321N",'2023'!$D$4="CA",'2023'!$D$2=BQ5),'2023DATA3'!$L$25,"")</f>
        <v/>
      </c>
      <c r="BR28" s="518" t="str">
        <f>IF(AND(_AC4="A-321N",'2023'!$D$4="CA",'2023'!$D$2=BR5),'2023DATA3'!$M$25,"")</f>
        <v/>
      </c>
      <c r="BS28" s="520" t="str">
        <f>IF(AND(_AC4="A-321N",'2023'!$D$4="CA",'2023'!$D$2=BS5),'2023DATA3'!$N$25,"")</f>
        <v/>
      </c>
      <c r="BT28" s="940" t="s">
        <v>46</v>
      </c>
      <c r="BU28" s="13" t="s">
        <v>61</v>
      </c>
      <c r="BV28" s="518" t="str">
        <f>IF(AND(_AC5="A-321N",'2023'!$D$4="CA",'2023'!$D$2=BV5),'2023DATA3'!$C$25,"")</f>
        <v/>
      </c>
      <c r="BW28" s="518" t="str">
        <f>IF(AND(_AC5="A-321N",'2023'!$D$4="CA",'2023'!$D$2=BW5),'2023DATA3'!$D$25,"")</f>
        <v/>
      </c>
      <c r="BX28" s="518" t="str">
        <f>IF(AND(_AC5="A-321N",'2023'!$D$4="CA",'2023'!$D$2=BX5),'2023DATA3'!$E$25,"")</f>
        <v/>
      </c>
      <c r="BY28" s="518" t="str">
        <f>IF(AND(_AC5="A-321N",'2023'!$D$4="CA",'2023'!$D$2=BY5),'2023DATA3'!$F$25,"")</f>
        <v/>
      </c>
      <c r="BZ28" s="518" t="str">
        <f>IF(AND(_AC5="A-321N",'2023'!$D$4="CA",'2023'!$D$2=BZ5),'2023DATA3'!$G$25,"")</f>
        <v/>
      </c>
      <c r="CA28" s="518" t="str">
        <f>IF(AND(_AC5="A-321N",'2023'!$D$4="CA",'2023'!$D$2=CA5),'2023DATA3'!$H$25,"")</f>
        <v/>
      </c>
      <c r="CB28" s="518" t="str">
        <f>IF(AND(_AC5="A-321N",'2023'!$D$4="CA",'2023'!$D$2=CB5),'2023DATA3'!$I$25,"")</f>
        <v/>
      </c>
      <c r="CC28" s="518" t="str">
        <f>IF(AND(_AC5="A-321N",'2023'!$D$4="CA",'2023'!$D$2=CC5),'2023DATA3'!$J$25,"")</f>
        <v/>
      </c>
      <c r="CD28" s="518" t="str">
        <f>IF(AND(_AC5="A-321N",'2023'!$D$4="CA",'2023'!$D$2=CD5),'2023DATA3'!$K$25,"")</f>
        <v/>
      </c>
      <c r="CE28" s="518" t="str">
        <f>IF(AND(_AC5="A-321N",'2023'!$D$4="CA",'2023'!$D$2=CE5),'2023DATA3'!$L$25,"")</f>
        <v/>
      </c>
      <c r="CF28" s="518" t="str">
        <f>IF(AND(_AC5="A-321N",'2023'!$D$4="CA",'2023'!$D$2=CF5),'2023DATA3'!$M$25,"")</f>
        <v/>
      </c>
      <c r="CG28" s="520" t="str">
        <f>IF(AND(_AC5="A-321N",'2023'!$D$4="CA",'2023'!$D$2=CG5),'2023DATA3'!$N$25,"")</f>
        <v/>
      </c>
      <c r="CH28" s="940" t="s">
        <v>46</v>
      </c>
      <c r="CI28" s="13" t="s">
        <v>61</v>
      </c>
      <c r="CJ28" s="518" t="str">
        <f>IF(AND(_AC6="A-321N",'2023'!$D$4="CA",'2023'!$D$2=CJ5),'2023DATA3'!$C$25,"")</f>
        <v/>
      </c>
      <c r="CK28" s="518" t="str">
        <f>IF(AND(_AC6="A-321N",'2023'!$D$4="CA",'2023'!$D$2=CK5),'2023DATA3'!$D$25,"")</f>
        <v/>
      </c>
      <c r="CL28" s="518" t="str">
        <f>IF(AND(_AC6="A-321N",'2023'!$D$4="CA",'2023'!$D$2=CL5),'2023DATA3'!$E$25,"")</f>
        <v/>
      </c>
      <c r="CM28" s="518" t="str">
        <f>IF(AND(_AC6="A-321N",'2023'!$D$4="CA",'2023'!$D$2=CM5),'2023DATA3'!$F$25,"")</f>
        <v/>
      </c>
      <c r="CN28" s="518" t="str">
        <f>IF(AND(_AC6="A-321N",'2023'!$D$4="CA",'2023'!$D$2=CN5),'2023DATA3'!$G$25,"")</f>
        <v/>
      </c>
      <c r="CO28" s="518" t="str">
        <f>IF(AND(_AC6="A-321N",'2023'!$D$4="CA",'2023'!$D$2=CO5),'2023DATA3'!$H$25,"")</f>
        <v/>
      </c>
      <c r="CP28" s="518" t="str">
        <f>IF(AND(_AC6="A-321N",'2023'!$D$4="CA",'2023'!$D$2=CP5),'2023DATA3'!$I$25,"")</f>
        <v/>
      </c>
      <c r="CQ28" s="518" t="str">
        <f>IF(AND(_AC6="A-321N",'2023'!$D$4="CA",'2023'!$D$2=CQ5),'2023DATA3'!$J$25,"")</f>
        <v/>
      </c>
      <c r="CR28" s="518" t="str">
        <f>IF(AND(_AC6="A-321N",'2023'!$D$4="CA",'2023'!$D$2=CR5),'2023DATA3'!$K$25,"")</f>
        <v/>
      </c>
      <c r="CS28" s="518" t="str">
        <f>IF(AND(_AC6="A-321N",'2023'!$D$4="CA",'2023'!$D$2=CS5),'2023DATA3'!$L$25,"")</f>
        <v/>
      </c>
      <c r="CT28" s="518" t="str">
        <f>IF(AND(_AC6="A-321N",'2023'!$D$4="CA",'2023'!$D$2=CT5),'2023DATA3'!$M$25,"")</f>
        <v/>
      </c>
      <c r="CU28" s="520" t="str">
        <f>IF(AND(_AC6="A-321N",'2023'!$D$4="CA",'2023'!$D$2=CU5),'2023DATA3'!$N$25,"")</f>
        <v/>
      </c>
    </row>
    <row r="29" spans="1:99" x14ac:dyDescent="0.25">
      <c r="A29" s="946" t="s">
        <v>70</v>
      </c>
      <c r="B29" s="78" t="s">
        <v>61</v>
      </c>
      <c r="C29" s="25">
        <v>335.13</v>
      </c>
      <c r="D29" s="26">
        <v>332.67</v>
      </c>
      <c r="E29" s="26">
        <v>330.13</v>
      </c>
      <c r="F29" s="26">
        <v>327.64999999999998</v>
      </c>
      <c r="G29" s="26">
        <v>325.11</v>
      </c>
      <c r="H29" s="26">
        <v>322.58999999999997</v>
      </c>
      <c r="I29" s="26">
        <v>320.10000000000002</v>
      </c>
      <c r="J29" s="26">
        <v>317.60000000000002</v>
      </c>
      <c r="K29" s="26">
        <v>315.06</v>
      </c>
      <c r="L29" s="26">
        <v>312.52</v>
      </c>
      <c r="M29" s="26">
        <v>310.08999999999997</v>
      </c>
      <c r="N29" s="27">
        <v>307.69</v>
      </c>
      <c r="P29" s="940"/>
      <c r="Q29" s="13" t="s">
        <v>62</v>
      </c>
      <c r="R29" s="518" t="str">
        <f>IF(AND(_AC1="A-321N",'2023'!$D$4="FO",'2023'!$D$2=R5),'2023DATA3'!$C$26,"")</f>
        <v/>
      </c>
      <c r="S29" s="518" t="str">
        <f>IF(AND(_AC1="A-321N",'2023'!$D$4="FO",'2023'!$D$2=S5),'2023DATA3'!$D$26,"")</f>
        <v/>
      </c>
      <c r="T29" s="518" t="str">
        <f>IF(AND(_AC1="A-321N",'2023'!$D$4="FO",'2023'!$D$2=T5),'2023DATA3'!$E$26,"")</f>
        <v/>
      </c>
      <c r="U29" s="518" t="str">
        <f>IF(AND(_AC1="A-321N",'2023'!$D$4="FO",'2023'!$D$2=U5),'2023DATA3'!$F$26,"")</f>
        <v/>
      </c>
      <c r="V29" s="518" t="str">
        <f>IF(AND(_AC1="A-321N",'2023'!$D$4="FO",'2023'!$D$2=V5),'2023DATA3'!$G$26,"")</f>
        <v/>
      </c>
      <c r="W29" s="518" t="str">
        <f>IF(AND(_AC1="A-321N",'2023'!$D$4="FO",'2023'!$D$2=W5),'2023DATA3'!$H$26,"")</f>
        <v/>
      </c>
      <c r="X29" s="518" t="str">
        <f>IF(AND(_AC1="A-321N",'2023'!$D$4="FO",'2023'!$D$2=X5),'2023DATA3'!$I$26,"")</f>
        <v/>
      </c>
      <c r="Y29" s="518" t="str">
        <f>IF(AND(_AC1="A-321N",'2023'!$D$4="FO",'2023'!$D$2=Y5),'2023DATA3'!$J$26,"")</f>
        <v/>
      </c>
      <c r="Z29" s="518" t="str">
        <f>IF(AND(_AC1="A-321N",'2023'!$D$4="FO",'2023'!$D$2=Z5),'2023DATA3'!$K$26,"")</f>
        <v/>
      </c>
      <c r="AA29" s="518" t="str">
        <f>IF(AND(_AC1="A-321N",'2023'!$D$4="FO",'2023'!$D$2=AA5),'2023DATA3'!$L$26,"")</f>
        <v/>
      </c>
      <c r="AB29" s="518" t="str">
        <f>IF(AND(_AC1="A-321N",'2023'!$D$4="FO",'2023'!$D$2=AB5),'2023DATA3'!$M$26,"")</f>
        <v/>
      </c>
      <c r="AC29" s="520" t="str">
        <f>IF(AND(_AC1="A-321N",'2023'!$D$4="FO",'2023'!$D$2=AC5),'2023DATA3'!$N$26,"")</f>
        <v/>
      </c>
      <c r="AD29" s="940"/>
      <c r="AE29" s="13" t="s">
        <v>62</v>
      </c>
      <c r="AF29" s="518" t="str">
        <f>IF(AND(_AC2="A-321N",'2023'!$D$4="FO",'2023'!$D$2=AF5),'2023DATA3'!$C$26,"")</f>
        <v/>
      </c>
      <c r="AG29" s="518" t="str">
        <f>IF(AND(_AC2="A-321N",'2023'!$D$4="FO",'2023'!$D$2=AG5),'2023DATA3'!$D$26,"")</f>
        <v/>
      </c>
      <c r="AH29" s="518" t="str">
        <f>IF(AND(_AC2="A-321N",'2023'!$D$4="FO",'2023'!$D$2=AH5),'2023DATA3'!$E$26,"")</f>
        <v/>
      </c>
      <c r="AI29" s="518" t="str">
        <f>IF(AND(_AC2="A-321N",'2023'!$D$4="FO",'2023'!$D$2=AI5),'2023DATA3'!$F$26,"")</f>
        <v/>
      </c>
      <c r="AJ29" s="518" t="str">
        <f>IF(AND(_AC2="A-321N",'2023'!$D$4="FO",'2023'!$D$2=AJ5),'2023DATA3'!$G$26,"")</f>
        <v/>
      </c>
      <c r="AK29" s="518" t="str">
        <f>IF(AND(_AC2="A-321N",'2023'!$D$4="FO",'2023'!$D$2=AK5),'2023DATA3'!$H$26,"")</f>
        <v/>
      </c>
      <c r="AL29" s="518" t="str">
        <f>IF(AND(_AC2="A-321N",'2023'!$D$4="FO",'2023'!$D$2=AL5),'2023DATA3'!$I$26,"")</f>
        <v/>
      </c>
      <c r="AM29" s="518" t="str">
        <f>IF(AND(_AC2="A-321N",'2023'!$D$4="FO",'2023'!$D$2=AM5),'2023DATA3'!$J$26,"")</f>
        <v/>
      </c>
      <c r="AN29" s="518" t="str">
        <f>IF(AND(_AC2="A-321N",'2023'!$D$4="FO",'2023'!$D$2=AN5),'2023DATA3'!$K$26,"")</f>
        <v/>
      </c>
      <c r="AO29" s="518" t="str">
        <f>IF(AND(_AC2="A-321N",'2023'!$D$4="FO",'2023'!$D$2=AO5),'2023DATA3'!$L$26,"")</f>
        <v/>
      </c>
      <c r="AP29" s="518" t="str">
        <f>IF(AND(_AC2="A-321N",'2023'!$D$4="FO",'2023'!$D$2=AP5),'2023DATA3'!$M$26,"")</f>
        <v/>
      </c>
      <c r="AQ29" s="520" t="str">
        <f>IF(AND(_AC2="A-321N",'2023'!$D$4="FO",'2023'!$D$2=AQ5),'2023DATA3'!$N$26,"")</f>
        <v/>
      </c>
      <c r="AR29" s="940"/>
      <c r="AS29" s="13" t="s">
        <v>62</v>
      </c>
      <c r="AT29" s="518" t="str">
        <f>IF(AND(_AC3="A-321N",'2023'!$D$4="FO",'2023'!$D$2=AT5),'2023DATA3'!$C$26,"")</f>
        <v/>
      </c>
      <c r="AU29" s="518" t="str">
        <f>IF(AND(_AC3="A-321N",'2023'!$D$4="FO",'2023'!$D$2=AU5),'2023DATA3'!$D$26,"")</f>
        <v/>
      </c>
      <c r="AV29" s="518" t="str">
        <f>IF(AND(_AC3="A-321N",'2023'!$D$4="FO",'2023'!$D$2=AV5),'2023DATA3'!$E$26,"")</f>
        <v/>
      </c>
      <c r="AW29" s="518" t="str">
        <f>IF(AND(_AC3="A-321N",'2023'!$D$4="FO",'2023'!$D$2=AW5),'2023DATA3'!$F$26,"")</f>
        <v/>
      </c>
      <c r="AX29" s="518" t="str">
        <f>IF(AND(_AC3="A-321N",'2023'!$D$4="FO",'2023'!$D$2=AX5),'2023DATA3'!$G$26,"")</f>
        <v/>
      </c>
      <c r="AY29" s="518" t="str">
        <f>IF(AND(_AC3="A-321N",'2023'!$D$4="FO",'2023'!$D$2=AY5),'2023DATA3'!$H$26,"")</f>
        <v/>
      </c>
      <c r="AZ29" s="518" t="str">
        <f>IF(AND(_AC3="A-321N",'2023'!$D$4="FO",'2023'!$D$2=AZ5),'2023DATA3'!$I$26,"")</f>
        <v/>
      </c>
      <c r="BA29" s="518" t="str">
        <f>IF(AND(_AC3="A-321N",'2023'!$D$4="FO",'2023'!$D$2=BA5),'2023DATA3'!$J$26,"")</f>
        <v/>
      </c>
      <c r="BB29" s="518" t="str">
        <f>IF(AND(_AC3="A-321N",'2023'!$D$4="FO",'2023'!$D$2=BB5),'2023DATA3'!$K$26,"")</f>
        <v/>
      </c>
      <c r="BC29" s="518" t="str">
        <f>IF(AND(_AC3="A-321N",'2023'!$D$4="FO",'2023'!$D$2=BC5),'2023DATA3'!$L$26,"")</f>
        <v/>
      </c>
      <c r="BD29" s="518" t="str">
        <f>IF(AND(_AC3="A-321N",'2023'!$D$4="FO",'2023'!$D$2=BD5),'2023DATA3'!$M$26,"")</f>
        <v/>
      </c>
      <c r="BE29" s="520" t="str">
        <f>IF(AND(_AC3="A-321N",'2023'!$D$4="FO",'2023'!$D$2=BE5),'2023DATA3'!$N$26,"")</f>
        <v/>
      </c>
      <c r="BF29" s="940"/>
      <c r="BG29" s="13" t="s">
        <v>62</v>
      </c>
      <c r="BH29" s="518" t="str">
        <f>IF(AND(_AC4="A-321N",'2023'!$D$4="FO",'2023'!$D$2=BH5),'2023DATA3'!$C$26,"")</f>
        <v/>
      </c>
      <c r="BI29" s="518" t="str">
        <f>IF(AND(_AC4="A-321N",'2023'!$D$4="FO",'2023'!$D$2=BI5),'2023DATA3'!$D$26,"")</f>
        <v/>
      </c>
      <c r="BJ29" s="518" t="str">
        <f>IF(AND(_AC4="A-321N",'2023'!$D$4="FO",'2023'!$D$2=BJ5),'2023DATA3'!$E$26,"")</f>
        <v/>
      </c>
      <c r="BK29" s="518" t="str">
        <f>IF(AND(_AC4="A-321N",'2023'!$D$4="FO",'2023'!$D$2=BK5),'2023DATA3'!$F$26,"")</f>
        <v/>
      </c>
      <c r="BL29" s="518" t="str">
        <f>IF(AND(_AC4="A-321N",'2023'!$D$4="FO",'2023'!$D$2=BL5),'2023DATA3'!$G$26,"")</f>
        <v/>
      </c>
      <c r="BM29" s="518" t="str">
        <f>IF(AND(_AC4="A-321N",'2023'!$D$4="FO",'2023'!$D$2=BM5),'2023DATA3'!$H$26,"")</f>
        <v/>
      </c>
      <c r="BN29" s="518" t="str">
        <f>IF(AND(_AC4="A-321N",'2023'!$D$4="FO",'2023'!$D$2=BN5),'2023DATA3'!$I$26,"")</f>
        <v/>
      </c>
      <c r="BO29" s="518" t="str">
        <f>IF(AND(_AC4="A-321N",'2023'!$D$4="FO",'2023'!$D$2=BO5),'2023DATA3'!$J$26,"")</f>
        <v/>
      </c>
      <c r="BP29" s="518" t="str">
        <f>IF(AND(_AC4="A-321N",'2023'!$D$4="FO",'2023'!$D$2=BP5),'2023DATA3'!$K$26,"")</f>
        <v/>
      </c>
      <c r="BQ29" s="518" t="str">
        <f>IF(AND(_AC4="A-321N",'2023'!$D$4="FO",'2023'!$D$2=BQ5),'2023DATA3'!$L$26,"")</f>
        <v/>
      </c>
      <c r="BR29" s="518" t="str">
        <f>IF(AND(_AC4="A-321N",'2023'!$D$4="FO",'2023'!$D$2=BR5),'2023DATA3'!$M$26,"")</f>
        <v/>
      </c>
      <c r="BS29" s="520" t="str">
        <f>IF(AND(_AC4="A-321N",'2023'!$D$4="FO",'2023'!$D$2=BS5),'2023DATA3'!$N$26,"")</f>
        <v/>
      </c>
      <c r="BT29" s="940"/>
      <c r="BU29" s="13" t="s">
        <v>62</v>
      </c>
      <c r="BV29" s="518" t="str">
        <f>IF(AND(_AC5="A-321N",'2023'!$D$4="FO",'2023'!$D$2=BV5),'2023DATA3'!$C$26,"")</f>
        <v/>
      </c>
      <c r="BW29" s="518" t="str">
        <f>IF(AND(_AC5="A-321N",'2023'!$D$4="FO",'2023'!$D$2=BW5),'2023DATA3'!$D$26,"")</f>
        <v/>
      </c>
      <c r="BX29" s="518" t="str">
        <f>IF(AND(_AC5="A-321N",'2023'!$D$4="FO",'2023'!$D$2=BX5),'2023DATA3'!$E$26,"")</f>
        <v/>
      </c>
      <c r="BY29" s="518" t="str">
        <f>IF(AND(_AC5="A-321N",'2023'!$D$4="FO",'2023'!$D$2=BY5),'2023DATA3'!$F$26,"")</f>
        <v/>
      </c>
      <c r="BZ29" s="518" t="str">
        <f>IF(AND(_AC5="A-321N",'2023'!$D$4="FO",'2023'!$D$2=BZ5),'2023DATA3'!$G$26,"")</f>
        <v/>
      </c>
      <c r="CA29" s="518" t="str">
        <f>IF(AND(_AC5="A-321N",'2023'!$D$4="FO",'2023'!$D$2=CA5),'2023DATA3'!$H$26,"")</f>
        <v/>
      </c>
      <c r="CB29" s="518" t="str">
        <f>IF(AND(_AC5="A-321N",'2023'!$D$4="FO",'2023'!$D$2=CB5),'2023DATA3'!$I$26,"")</f>
        <v/>
      </c>
      <c r="CC29" s="518" t="str">
        <f>IF(AND(_AC5="A-321N",'2023'!$D$4="FO",'2023'!$D$2=CC5),'2023DATA3'!$J$26,"")</f>
        <v/>
      </c>
      <c r="CD29" s="518" t="str">
        <f>IF(AND(_AC5="A-321N",'2023'!$D$4="FO",'2023'!$D$2=CD5),'2023DATA3'!$K$26,"")</f>
        <v/>
      </c>
      <c r="CE29" s="518" t="str">
        <f>IF(AND(_AC5="A-321N",'2023'!$D$4="FO",'2023'!$D$2=CE5),'2023DATA3'!$L$26,"")</f>
        <v/>
      </c>
      <c r="CF29" s="518" t="str">
        <f>IF(AND(_AC5="A-321N",'2023'!$D$4="FO",'2023'!$D$2=CF5),'2023DATA3'!$M$26,"")</f>
        <v/>
      </c>
      <c r="CG29" s="520" t="str">
        <f>IF(AND(_AC5="A-321N",'2023'!$D$4="FO",'2023'!$D$2=CG5),'2023DATA3'!$N$26,"")</f>
        <v/>
      </c>
      <c r="CH29" s="940"/>
      <c r="CI29" s="13" t="s">
        <v>62</v>
      </c>
      <c r="CJ29" s="518" t="str">
        <f>IF(AND(_AC6="A-321N",'2023'!$D$4="FO",'2023'!$D$2=CJ5),'2023DATA3'!$C$26,"")</f>
        <v/>
      </c>
      <c r="CK29" s="518" t="str">
        <f>IF(AND(_AC6="A-321N",'2023'!$D$4="FO",'2023'!$D$2=CK5),'2023DATA3'!$D$26,"")</f>
        <v/>
      </c>
      <c r="CL29" s="518" t="str">
        <f>IF(AND(_AC6="A-321N",'2023'!$D$4="FO",'2023'!$D$2=CL5),'2023DATA3'!$E$26,"")</f>
        <v/>
      </c>
      <c r="CM29" s="518" t="str">
        <f>IF(AND(_AC6="A-321N",'2023'!$D$4="FO",'2023'!$D$2=CM5),'2023DATA3'!$F$26,"")</f>
        <v/>
      </c>
      <c r="CN29" s="518" t="str">
        <f>IF(AND(_AC6="A-321N",'2023'!$D$4="FO",'2023'!$D$2=CN5),'2023DATA3'!$G$26,"")</f>
        <v/>
      </c>
      <c r="CO29" s="518" t="str">
        <f>IF(AND(_AC6="A-321N",'2023'!$D$4="FO",'2023'!$D$2=CO5),'2023DATA3'!$H$26,"")</f>
        <v/>
      </c>
      <c r="CP29" s="518" t="str">
        <f>IF(AND(_AC6="A-321N",'2023'!$D$4="FO",'2023'!$D$2=CP5),'2023DATA3'!$I$26,"")</f>
        <v/>
      </c>
      <c r="CQ29" s="518" t="str">
        <f>IF(AND(_AC6="A-321N",'2023'!$D$4="FO",'2023'!$D$2=CQ5),'2023DATA3'!$J$26,"")</f>
        <v/>
      </c>
      <c r="CR29" s="518" t="str">
        <f>IF(AND(_AC6="A-321N",'2023'!$D$4="FO",'2023'!$D$2=CR5),'2023DATA3'!$K$26,"")</f>
        <v/>
      </c>
      <c r="CS29" s="518" t="str">
        <f>IF(AND(_AC6="A-321N",'2023'!$D$4="FO",'2023'!$D$2=CS5),'2023DATA3'!$L$26,"")</f>
        <v/>
      </c>
      <c r="CT29" s="518" t="str">
        <f>IF(AND(_AC6="A-321N",'2023'!$D$4="FO",'2023'!$D$2=CT5),'2023DATA3'!$M$26,"")</f>
        <v/>
      </c>
      <c r="CU29" s="520" t="str">
        <f>IF(AND(_AC6="A-321N",'2023'!$D$4="FO",'2023'!$D$2=CU5),'2023DATA3'!$N$26,"")</f>
        <v/>
      </c>
    </row>
    <row r="30" spans="1:99" x14ac:dyDescent="0.25">
      <c r="A30" s="946"/>
      <c r="B30" s="78" t="s">
        <v>62</v>
      </c>
      <c r="C30" s="25">
        <v>228.9</v>
      </c>
      <c r="D30" s="26">
        <v>226.87</v>
      </c>
      <c r="E30" s="26">
        <v>224.8</v>
      </c>
      <c r="F30" s="26">
        <v>221.8</v>
      </c>
      <c r="G30" s="26">
        <v>219.46</v>
      </c>
      <c r="H30" s="26">
        <v>214.5</v>
      </c>
      <c r="I30" s="26">
        <v>208.68</v>
      </c>
      <c r="J30" s="26">
        <v>203.59</v>
      </c>
      <c r="K30" s="26">
        <v>198.81</v>
      </c>
      <c r="L30" s="26">
        <v>194.09</v>
      </c>
      <c r="M30" s="26">
        <v>165.91</v>
      </c>
      <c r="N30" s="27">
        <v>108.34</v>
      </c>
      <c r="P30" s="940" t="s">
        <v>48</v>
      </c>
      <c r="Q30" s="13" t="s">
        <v>61</v>
      </c>
      <c r="R30" s="518" t="str">
        <f>IF(AND(_AC1="A-321",'2023'!$D$4="CA",'2023'!$D$2=R5),'2023DATA3'!$C$27,"")</f>
        <v/>
      </c>
      <c r="S30" s="518" t="str">
        <f>IF(AND(_AC1="A-321",'2023'!$D$4="CA",'2023'!$D$2=S5),'2023DATA3'!$D$27,"")</f>
        <v/>
      </c>
      <c r="T30" s="518" t="str">
        <f>IF(AND(_AC1="A-321",'2023'!$D$4="CA",'2023'!$D$2=T5),'2023DATA3'!$E$27,"")</f>
        <v/>
      </c>
      <c r="U30" s="518" t="str">
        <f>IF(AND(_AC1="A-321",'2023'!$D$4="CA",'2023'!$D$2=U5),'2023DATA3'!$F$27,"")</f>
        <v/>
      </c>
      <c r="V30" s="518" t="str">
        <f>IF(AND(_AC1="A-321",'2023'!$D$4="CA",'2023'!$D$2=V5),'2023DATA3'!$G$27,"")</f>
        <v/>
      </c>
      <c r="W30" s="518" t="str">
        <f>IF(AND(_AC1="A-321",'2023'!$D$4="CA",'2023'!$D$2=W5),'2023DATA3'!$H$27,"")</f>
        <v/>
      </c>
      <c r="X30" s="518" t="str">
        <f>IF(AND(_AC1="A-321",'2023'!$D$4="CA",'2023'!$D$2=X5),'2023DATA3'!$I$27,"")</f>
        <v/>
      </c>
      <c r="Y30" s="518" t="str">
        <f>IF(AND(_AC1="A-321",'2023'!$D$4="CA",'2023'!$D$2=Y5),'2023DATA3'!$J$27,"")</f>
        <v/>
      </c>
      <c r="Z30" s="518" t="str">
        <f>IF(AND(_AC1="A-321",'2023'!$D$4="CA",'2023'!$D$2=Z5),'2023DATA3'!$K$27,"")</f>
        <v/>
      </c>
      <c r="AA30" s="518" t="str">
        <f>IF(AND(_AC1="A-321",'2023'!$D$4="CA",'2023'!$D$2=AA5),'2023DATA3'!$L$27,"")</f>
        <v/>
      </c>
      <c r="AB30" s="518" t="str">
        <f>IF(AND(_AC1="A-321",'2023'!$D$4="CA",'2023'!$D$2=AB5),'2023DATA3'!$M$27,"")</f>
        <v/>
      </c>
      <c r="AC30" s="520" t="str">
        <f>IF(AND(_AC1="A-321",'2023'!$D$4="CA",'2023'!$D$2=AC5),'2023DATA3'!$N$27,"")</f>
        <v/>
      </c>
      <c r="AD30" s="940" t="s">
        <v>48</v>
      </c>
      <c r="AE30" s="13" t="s">
        <v>61</v>
      </c>
      <c r="AF30" s="518" t="str">
        <f>IF(AND(_AC2="A-321",'2023'!$D$4="CA",'2023'!$D$2=AF5),'2023DATA3'!$C$27,"")</f>
        <v/>
      </c>
      <c r="AG30" s="518" t="str">
        <f>IF(AND(_AC2="A-321",'2023'!$D$4="CA",'2023'!$D$2=AG5),'2023DATA3'!$D$27,"")</f>
        <v/>
      </c>
      <c r="AH30" s="518" t="str">
        <f>IF(AND(_AC2="A-321",'2023'!$D$4="CA",'2023'!$D$2=AH5),'2023DATA3'!$E$27,"")</f>
        <v/>
      </c>
      <c r="AI30" s="518" t="str">
        <f>IF(AND(_AC2="A-321",'2023'!$D$4="CA",'2023'!$D$2=AI5),'2023DATA3'!$F$27,"")</f>
        <v/>
      </c>
      <c r="AJ30" s="518" t="str">
        <f>IF(AND(_AC2="A-321",'2023'!$D$4="CA",'2023'!$D$2=AJ5),'2023DATA3'!$G$27,"")</f>
        <v/>
      </c>
      <c r="AK30" s="518" t="str">
        <f>IF(AND(_AC2="A-321",'2023'!$D$4="CA",'2023'!$D$2=AK5),'2023DATA3'!$H$27,"")</f>
        <v/>
      </c>
      <c r="AL30" s="518" t="str">
        <f>IF(AND(_AC2="A-321",'2023'!$D$4="CA",'2023'!$D$2=AL5),'2023DATA3'!$I$27,"")</f>
        <v/>
      </c>
      <c r="AM30" s="518" t="str">
        <f>IF(AND(_AC2="A-321",'2023'!$D$4="CA",'2023'!$D$2=AM5),'2023DATA3'!$J$27,"")</f>
        <v/>
      </c>
      <c r="AN30" s="518" t="str">
        <f>IF(AND(_AC2="A-321",'2023'!$D$4="CA",'2023'!$D$2=AN5),'2023DATA3'!$K$27,"")</f>
        <v/>
      </c>
      <c r="AO30" s="518" t="str">
        <f>IF(AND(_AC2="A-321",'2023'!$D$4="CA",'2023'!$D$2=AO5),'2023DATA3'!$L$27,"")</f>
        <v/>
      </c>
      <c r="AP30" s="518" t="str">
        <f>IF(AND(_AC2="A-321",'2023'!$D$4="CA",'2023'!$D$2=AP5),'2023DATA3'!$M$27,"")</f>
        <v/>
      </c>
      <c r="AQ30" s="520" t="str">
        <f>IF(AND(_AC2="A-321",'2023'!$D$4="CA",'2023'!$D$2=AQ5),'2023DATA3'!$N$27,"")</f>
        <v/>
      </c>
      <c r="AR30" s="940" t="s">
        <v>48</v>
      </c>
      <c r="AS30" s="13" t="s">
        <v>61</v>
      </c>
      <c r="AT30" s="518" t="str">
        <f>IF(AND(_AC3="A-321",'2023'!$D$4="CA",'2023'!$D$2=AT5),'2023DATA3'!$C$27,"")</f>
        <v/>
      </c>
      <c r="AU30" s="518" t="str">
        <f>IF(AND(_AC3="A-321",'2023'!$D$4="CA",'2023'!$D$2=AU5),'2023DATA3'!$D$27,"")</f>
        <v/>
      </c>
      <c r="AV30" s="518" t="str">
        <f>IF(AND(_AC3="A-321",'2023'!$D$4="CA",'2023'!$D$2=AV5),'2023DATA3'!$E$27,"")</f>
        <v/>
      </c>
      <c r="AW30" s="518" t="str">
        <f>IF(AND(_AC3="A-321",'2023'!$D$4="CA",'2023'!$D$2=AW5),'2023DATA3'!$F$27,"")</f>
        <v/>
      </c>
      <c r="AX30" s="518" t="str">
        <f>IF(AND(_AC3="A-321",'2023'!$D$4="CA",'2023'!$D$2=AX5),'2023DATA3'!$G$27,"")</f>
        <v/>
      </c>
      <c r="AY30" s="518" t="str">
        <f>IF(AND(_AC3="A-321",'2023'!$D$4="CA",'2023'!$D$2=AY5),'2023DATA3'!$H$27,"")</f>
        <v/>
      </c>
      <c r="AZ30" s="518" t="str">
        <f>IF(AND(_AC3="A-321",'2023'!$D$4="CA",'2023'!$D$2=AZ5),'2023DATA3'!$I$27,"")</f>
        <v/>
      </c>
      <c r="BA30" s="518" t="str">
        <f>IF(AND(_AC3="A-321",'2023'!$D$4="CA",'2023'!$D$2=BA5),'2023DATA3'!$J$27,"")</f>
        <v/>
      </c>
      <c r="BB30" s="518" t="str">
        <f>IF(AND(_AC3="A-321",'2023'!$D$4="CA",'2023'!$D$2=BB5),'2023DATA3'!$K$27,"")</f>
        <v/>
      </c>
      <c r="BC30" s="518" t="str">
        <f>IF(AND(_AC3="A-321",'2023'!$D$4="CA",'2023'!$D$2=BC5),'2023DATA3'!$L$27,"")</f>
        <v/>
      </c>
      <c r="BD30" s="518" t="str">
        <f>IF(AND(_AC3="A-321",'2023'!$D$4="CA",'2023'!$D$2=BD5),'2023DATA3'!$M$27,"")</f>
        <v/>
      </c>
      <c r="BE30" s="520" t="str">
        <f>IF(AND(_AC3="A-321",'2023'!$D$4="CA",'2023'!$D$2=BE5),'2023DATA3'!$N$27,"")</f>
        <v/>
      </c>
      <c r="BF30" s="940" t="s">
        <v>48</v>
      </c>
      <c r="BG30" s="13" t="s">
        <v>61</v>
      </c>
      <c r="BH30" s="518" t="str">
        <f>IF(AND(_AC4="A-321",'2023'!$D$4="CA",'2023'!$D$2=BH5),'2023DATA3'!$C$27,"")</f>
        <v/>
      </c>
      <c r="BI30" s="518" t="str">
        <f>IF(AND(_AC4="A-321",'2023'!$D$4="CA",'2023'!$D$2=BI5),'2023DATA3'!$D$27,"")</f>
        <v/>
      </c>
      <c r="BJ30" s="518" t="str">
        <f>IF(AND(_AC4="A-321",'2023'!$D$4="CA",'2023'!$D$2=BJ5),'2023DATA3'!$E$27,"")</f>
        <v/>
      </c>
      <c r="BK30" s="518" t="str">
        <f>IF(AND(_AC4="A-321",'2023'!$D$4="CA",'2023'!$D$2=BK5),'2023DATA3'!$F$27,"")</f>
        <v/>
      </c>
      <c r="BL30" s="518" t="str">
        <f>IF(AND(_AC4="A-321",'2023'!$D$4="CA",'2023'!$D$2=BL5),'2023DATA3'!$G$27,"")</f>
        <v/>
      </c>
      <c r="BM30" s="518" t="str">
        <f>IF(AND(_AC4="A-321",'2023'!$D$4="CA",'2023'!$D$2=BM5),'2023DATA3'!$H$27,"")</f>
        <v/>
      </c>
      <c r="BN30" s="518" t="str">
        <f>IF(AND(_AC4="A-321",'2023'!$D$4="CA",'2023'!$D$2=BN5),'2023DATA3'!$I$27,"")</f>
        <v/>
      </c>
      <c r="BO30" s="518" t="str">
        <f>IF(AND(_AC4="A-321",'2023'!$D$4="CA",'2023'!$D$2=BO5),'2023DATA3'!$J$27,"")</f>
        <v/>
      </c>
      <c r="BP30" s="518" t="str">
        <f>IF(AND(_AC4="A-321",'2023'!$D$4="CA",'2023'!$D$2=BP5),'2023DATA3'!$K$27,"")</f>
        <v/>
      </c>
      <c r="BQ30" s="518" t="str">
        <f>IF(AND(_AC4="A-321",'2023'!$D$4="CA",'2023'!$D$2=BQ5),'2023DATA3'!$L$27,"")</f>
        <v/>
      </c>
      <c r="BR30" s="518" t="str">
        <f>IF(AND(_AC4="A-321",'2023'!$D$4="CA",'2023'!$D$2=BR5),'2023DATA3'!$M$27,"")</f>
        <v/>
      </c>
      <c r="BS30" s="520" t="str">
        <f>IF(AND(_AC4="A-321",'2023'!$D$4="CA",'2023'!$D$2=BS5),'2023DATA3'!$N$27,"")</f>
        <v/>
      </c>
      <c r="BT30" s="940" t="s">
        <v>48</v>
      </c>
      <c r="BU30" s="13" t="s">
        <v>61</v>
      </c>
      <c r="BV30" s="518" t="str">
        <f>IF(AND(_AC5="A-321",'2023'!$D$4="CA",'2023'!$D$2=BV5),'2023DATA3'!$C$27,"")</f>
        <v/>
      </c>
      <c r="BW30" s="518" t="str">
        <f>IF(AND(_AC5="A-321",'2023'!$D$4="CA",'2023'!$D$2=BW5),'2023DATA3'!$D$27,"")</f>
        <v/>
      </c>
      <c r="BX30" s="518" t="str">
        <f>IF(AND(_AC5="A-321",'2023'!$D$4="CA",'2023'!$D$2=BX5),'2023DATA3'!$E$27,"")</f>
        <v/>
      </c>
      <c r="BY30" s="518" t="str">
        <f>IF(AND(_AC5="A-321",'2023'!$D$4="CA",'2023'!$D$2=BY5),'2023DATA3'!$F$27,"")</f>
        <v/>
      </c>
      <c r="BZ30" s="518" t="str">
        <f>IF(AND(_AC5="A-321",'2023'!$D$4="CA",'2023'!$D$2=BZ5),'2023DATA3'!$G$27,"")</f>
        <v/>
      </c>
      <c r="CA30" s="518" t="str">
        <f>IF(AND(_AC5="A-321",'2023'!$D$4="CA",'2023'!$D$2=CA5),'2023DATA3'!$H$27,"")</f>
        <v/>
      </c>
      <c r="CB30" s="518" t="str">
        <f>IF(AND(_AC5="A-321",'2023'!$D$4="CA",'2023'!$D$2=CB5),'2023DATA3'!$I$27,"")</f>
        <v/>
      </c>
      <c r="CC30" s="518" t="str">
        <f>IF(AND(_AC5="A-321",'2023'!$D$4="CA",'2023'!$D$2=CC5),'2023DATA3'!$J$27,"")</f>
        <v/>
      </c>
      <c r="CD30" s="518" t="str">
        <f>IF(AND(_AC5="A-321",'2023'!$D$4="CA",'2023'!$D$2=CD5),'2023DATA3'!$K$27,"")</f>
        <v/>
      </c>
      <c r="CE30" s="518" t="str">
        <f>IF(AND(_AC5="A-321",'2023'!$D$4="CA",'2023'!$D$2=CE5),'2023DATA3'!$L$27,"")</f>
        <v/>
      </c>
      <c r="CF30" s="518" t="str">
        <f>IF(AND(_AC5="A-321",'2023'!$D$4="CA",'2023'!$D$2=CF5),'2023DATA3'!$M$27,"")</f>
        <v/>
      </c>
      <c r="CG30" s="520" t="str">
        <f>IF(AND(_AC5="A-321",'2023'!$D$4="CA",'2023'!$D$2=CG5),'2023DATA3'!$N$27,"")</f>
        <v/>
      </c>
      <c r="CH30" s="940" t="s">
        <v>48</v>
      </c>
      <c r="CI30" s="13" t="s">
        <v>61</v>
      </c>
      <c r="CJ30" s="518" t="str">
        <f>IF(AND(_AC6="A-321",'2023'!$D$4="CA",'2023'!$D$2=CJ5),'2023DATA3'!$C$27,"")</f>
        <v/>
      </c>
      <c r="CK30" s="518" t="str">
        <f>IF(AND(_AC6="A-321",'2023'!$D$4="CA",'2023'!$D$2=CK5),'2023DATA3'!$D$27,"")</f>
        <v/>
      </c>
      <c r="CL30" s="518" t="str">
        <f>IF(AND(_AC6="A-321",'2023'!$D$4="CA",'2023'!$D$2=CL5),'2023DATA3'!$E$27,"")</f>
        <v/>
      </c>
      <c r="CM30" s="518" t="str">
        <f>IF(AND(_AC6="A-321",'2023'!$D$4="CA",'2023'!$D$2=CM5),'2023DATA3'!$F$27,"")</f>
        <v/>
      </c>
      <c r="CN30" s="518" t="str">
        <f>IF(AND(_AC6="A-321",'2023'!$D$4="CA",'2023'!$D$2=CN5),'2023DATA3'!$G$27,"")</f>
        <v/>
      </c>
      <c r="CO30" s="518" t="str">
        <f>IF(AND(_AC6="A-321",'2023'!$D$4="CA",'2023'!$D$2=CO5),'2023DATA3'!$H$27,"")</f>
        <v/>
      </c>
      <c r="CP30" s="518" t="str">
        <f>IF(AND(_AC6="A-321",'2023'!$D$4="CA",'2023'!$D$2=CP5),'2023DATA3'!$I$27,"")</f>
        <v/>
      </c>
      <c r="CQ30" s="518" t="str">
        <f>IF(AND(_AC6="A-321",'2023'!$D$4="CA",'2023'!$D$2=CQ5),'2023DATA3'!$J$27,"")</f>
        <v/>
      </c>
      <c r="CR30" s="518" t="str">
        <f>IF(AND(_AC6="A-321",'2023'!$D$4="CA",'2023'!$D$2=CR5),'2023DATA3'!$K$27,"")</f>
        <v/>
      </c>
      <c r="CS30" s="518" t="str">
        <f>IF(AND(_AC6="A-321",'2023'!$D$4="CA",'2023'!$D$2=CS5),'2023DATA3'!$L$27,"")</f>
        <v/>
      </c>
      <c r="CT30" s="518" t="str">
        <f>IF(AND(_AC6="A-321",'2023'!$D$4="CA",'2023'!$D$2=CT5),'2023DATA3'!$M$27,"")</f>
        <v/>
      </c>
      <c r="CU30" s="520" t="str">
        <f>IF(AND(_AC6="A-321",'2023'!$D$4="CA",'2023'!$D$2=CU5),'2023DATA3'!$N$27,"")</f>
        <v/>
      </c>
    </row>
    <row r="31" spans="1:99" x14ac:dyDescent="0.25">
      <c r="A31" s="946" t="s">
        <v>71</v>
      </c>
      <c r="B31" s="78" t="s">
        <v>61</v>
      </c>
      <c r="C31" s="25">
        <v>335.13</v>
      </c>
      <c r="D31" s="26">
        <v>332.67</v>
      </c>
      <c r="E31" s="26">
        <v>330.13</v>
      </c>
      <c r="F31" s="26">
        <v>327.64999999999998</v>
      </c>
      <c r="G31" s="26">
        <v>325.11</v>
      </c>
      <c r="H31" s="26">
        <v>322.58999999999997</v>
      </c>
      <c r="I31" s="26">
        <v>320.10000000000002</v>
      </c>
      <c r="J31" s="26">
        <v>317.60000000000002</v>
      </c>
      <c r="K31" s="26">
        <v>315.06</v>
      </c>
      <c r="L31" s="26">
        <v>312.52</v>
      </c>
      <c r="M31" s="26">
        <v>310.08999999999997</v>
      </c>
      <c r="N31" s="27">
        <v>307.69</v>
      </c>
      <c r="P31" s="940"/>
      <c r="Q31" s="13" t="s">
        <v>62</v>
      </c>
      <c r="R31" s="518" t="str">
        <f>IF(AND(_AC1="A-321",'2023'!$D$4="FO",'2023'!$D$2=R5),'2023DATA3'!$C$28,"")</f>
        <v/>
      </c>
      <c r="S31" s="518" t="str">
        <f>IF(AND(_AC1="A-321",'2023'!$D$4="FO",'2023'!$D$2=S5),'2023DATA3'!$D$28,"")</f>
        <v/>
      </c>
      <c r="T31" s="518" t="str">
        <f>IF(AND(_AC1="A-321",'2023'!$D$4="FO",'2023'!$D$2=T5),'2023DATA3'!$E$28,"")</f>
        <v/>
      </c>
      <c r="U31" s="518" t="str">
        <f>IF(AND(_AC1="A-321",'2023'!$D$4="FO",'2023'!$D$2=U5),'2023DATA3'!$F$28,"")</f>
        <v/>
      </c>
      <c r="V31" s="518" t="str">
        <f>IF(AND(_AC1="A-321",'2023'!$D$4="FO",'2023'!$D$2=V5),'2023DATA3'!$G$28,"")</f>
        <v/>
      </c>
      <c r="W31" s="518" t="str">
        <f>IF(AND(_AC1="A-321",'2023'!$D$4="FO",'2023'!$D$2=W5),'2023DATA3'!$H$28,"")</f>
        <v/>
      </c>
      <c r="X31" s="518" t="str">
        <f>IF(AND(_AC1="A-321",'2023'!$D$4="FO",'2023'!$D$2=X5),'2023DATA3'!$I$28,"")</f>
        <v/>
      </c>
      <c r="Y31" s="518" t="str">
        <f>IF(AND(_AC1="A-321",'2023'!$D$4="FO",'2023'!$D$2=Y5),'2023DATA3'!$J$28,"")</f>
        <v/>
      </c>
      <c r="Z31" s="518" t="str">
        <f>IF(AND(_AC1="A-321",'2023'!$D$4="FO",'2023'!$D$2=Z5),'2023DATA3'!$K$28,"")</f>
        <v/>
      </c>
      <c r="AA31" s="518" t="str">
        <f>IF(AND(_AC1="A-321",'2023'!$D$4="FO",'2023'!$D$2=AA5),'2023DATA3'!$L$28,"")</f>
        <v/>
      </c>
      <c r="AB31" s="518" t="str">
        <f>IF(AND(_AC1="A-321",'2023'!$D$4="FO",'2023'!$D$2=AB5),'2023DATA3'!$M$28,"")</f>
        <v/>
      </c>
      <c r="AC31" s="520" t="str">
        <f>IF(AND(_AC1="A-321",'2023'!$D$4="FO",'2023'!$D$2=AC5),'2023DATA3'!$N$28,"")</f>
        <v/>
      </c>
      <c r="AD31" s="940"/>
      <c r="AE31" s="13" t="s">
        <v>62</v>
      </c>
      <c r="AF31" s="518" t="str">
        <f>IF(AND(_AC2="A-321",'2023'!$D$4="FO",'2023'!$D$2=AF5),'2023DATA3'!$C$28,"")</f>
        <v/>
      </c>
      <c r="AG31" s="518" t="str">
        <f>IF(AND(_AC2="A-321",'2023'!$D$4="FO",'2023'!$D$2=AG5),'2023DATA3'!$D$28,"")</f>
        <v/>
      </c>
      <c r="AH31" s="518" t="str">
        <f>IF(AND(_AC2="A-321",'2023'!$D$4="FO",'2023'!$D$2=AH5),'2023DATA3'!$E$28,"")</f>
        <v/>
      </c>
      <c r="AI31" s="518" t="str">
        <f>IF(AND(_AC2="A-321",'2023'!$D$4="FO",'2023'!$D$2=AI5),'2023DATA3'!$F$28,"")</f>
        <v/>
      </c>
      <c r="AJ31" s="518" t="str">
        <f>IF(AND(_AC2="A-321",'2023'!$D$4="FO",'2023'!$D$2=AJ5),'2023DATA3'!$G$28,"")</f>
        <v/>
      </c>
      <c r="AK31" s="518" t="str">
        <f>IF(AND(_AC2="A-321",'2023'!$D$4="FO",'2023'!$D$2=AK5),'2023DATA3'!$H$28,"")</f>
        <v/>
      </c>
      <c r="AL31" s="518" t="str">
        <f>IF(AND(_AC2="A-321",'2023'!$D$4="FO",'2023'!$D$2=AL5),'2023DATA3'!$I$28,"")</f>
        <v/>
      </c>
      <c r="AM31" s="518" t="str">
        <f>IF(AND(_AC2="A-321",'2023'!$D$4="FO",'2023'!$D$2=AM5),'2023DATA3'!$J$28,"")</f>
        <v/>
      </c>
      <c r="AN31" s="518" t="str">
        <f>IF(AND(_AC2="A-321",'2023'!$D$4="FO",'2023'!$D$2=AN5),'2023DATA3'!$K$28,"")</f>
        <v/>
      </c>
      <c r="AO31" s="518" t="str">
        <f>IF(AND(_AC2="A-321",'2023'!$D$4="FO",'2023'!$D$2=AO5),'2023DATA3'!$L$28,"")</f>
        <v/>
      </c>
      <c r="AP31" s="518" t="str">
        <f>IF(AND(_AC2="A-321",'2023'!$D$4="FO",'2023'!$D$2=AP5),'2023DATA3'!$M$28,"")</f>
        <v/>
      </c>
      <c r="AQ31" s="520" t="str">
        <f>IF(AND(_AC2="A-321",'2023'!$D$4="FO",'2023'!$D$2=AQ5),'2023DATA3'!$N$28,"")</f>
        <v/>
      </c>
      <c r="AR31" s="940"/>
      <c r="AS31" s="13" t="s">
        <v>62</v>
      </c>
      <c r="AT31" s="518" t="str">
        <f>IF(AND(_AC3="A-321",'2023'!$D$4="FO",'2023'!$D$2=AT5),'2023DATA3'!$C$28,"")</f>
        <v/>
      </c>
      <c r="AU31" s="518" t="str">
        <f>IF(AND(_AC3="A-321",'2023'!$D$4="FO",'2023'!$D$2=AU5),'2023DATA3'!$D$28,"")</f>
        <v/>
      </c>
      <c r="AV31" s="518" t="str">
        <f>IF(AND(_AC3="A-321",'2023'!$D$4="FO",'2023'!$D$2=AV5),'2023DATA3'!$E$28,"")</f>
        <v/>
      </c>
      <c r="AW31" s="518" t="str">
        <f>IF(AND(_AC3="A-321",'2023'!$D$4="FO",'2023'!$D$2=AW5),'2023DATA3'!$F$28,"")</f>
        <v/>
      </c>
      <c r="AX31" s="518" t="str">
        <f>IF(AND(_AC3="A-321",'2023'!$D$4="FO",'2023'!$D$2=AX5),'2023DATA3'!$G$28,"")</f>
        <v/>
      </c>
      <c r="AY31" s="518" t="str">
        <f>IF(AND(_AC3="A-321",'2023'!$D$4="FO",'2023'!$D$2=AY5),'2023DATA3'!$H$28,"")</f>
        <v/>
      </c>
      <c r="AZ31" s="518" t="str">
        <f>IF(AND(_AC3="A-321",'2023'!$D$4="FO",'2023'!$D$2=AZ5),'2023DATA3'!$I$28,"")</f>
        <v/>
      </c>
      <c r="BA31" s="518" t="str">
        <f>IF(AND(_AC3="A-321",'2023'!$D$4="FO",'2023'!$D$2=BA5),'2023DATA3'!$J$28,"")</f>
        <v/>
      </c>
      <c r="BB31" s="518" t="str">
        <f>IF(AND(_AC3="A-321",'2023'!$D$4="FO",'2023'!$D$2=BB5),'2023DATA3'!$K$28,"")</f>
        <v/>
      </c>
      <c r="BC31" s="518" t="str">
        <f>IF(AND(_AC3="A-321",'2023'!$D$4="FO",'2023'!$D$2=BC5),'2023DATA3'!$L$28,"")</f>
        <v/>
      </c>
      <c r="BD31" s="518" t="str">
        <f>IF(AND(_AC3="A-321",'2023'!$D$4="FO",'2023'!$D$2=BD5),'2023DATA3'!$M$28,"")</f>
        <v/>
      </c>
      <c r="BE31" s="520" t="str">
        <f>IF(AND(_AC3="A-321",'2023'!$D$4="FO",'2023'!$D$2=BE5),'2023DATA3'!$N$28,"")</f>
        <v/>
      </c>
      <c r="BF31" s="940"/>
      <c r="BG31" s="13" t="s">
        <v>62</v>
      </c>
      <c r="BH31" s="518" t="str">
        <f>IF(AND(_AC4="A-321",'2023'!$D$4="FO",'2023'!$D$2=BH5),'2023DATA3'!$C$28,"")</f>
        <v/>
      </c>
      <c r="BI31" s="518" t="str">
        <f>IF(AND(_AC4="A-321",'2023'!$D$4="FO",'2023'!$D$2=BI5),'2023DATA3'!$D$28,"")</f>
        <v/>
      </c>
      <c r="BJ31" s="518" t="str">
        <f>IF(AND(_AC4="A-321",'2023'!$D$4="FO",'2023'!$D$2=BJ5),'2023DATA3'!$E$28,"")</f>
        <v/>
      </c>
      <c r="BK31" s="518" t="str">
        <f>IF(AND(_AC4="A-321",'2023'!$D$4="FO",'2023'!$D$2=BK5),'2023DATA3'!$F$28,"")</f>
        <v/>
      </c>
      <c r="BL31" s="518" t="str">
        <f>IF(AND(_AC4="A-321",'2023'!$D$4="FO",'2023'!$D$2=BL5),'2023DATA3'!$G$28,"")</f>
        <v/>
      </c>
      <c r="BM31" s="518" t="str">
        <f>IF(AND(_AC4="A-321",'2023'!$D$4="FO",'2023'!$D$2=BM5),'2023DATA3'!$H$28,"")</f>
        <v/>
      </c>
      <c r="BN31" s="518" t="str">
        <f>IF(AND(_AC4="A-321",'2023'!$D$4="FO",'2023'!$D$2=BN5),'2023DATA3'!$I$28,"")</f>
        <v/>
      </c>
      <c r="BO31" s="518" t="str">
        <f>IF(AND(_AC4="A-321",'2023'!$D$4="FO",'2023'!$D$2=BO5),'2023DATA3'!$J$28,"")</f>
        <v/>
      </c>
      <c r="BP31" s="518" t="str">
        <f>IF(AND(_AC4="A-321",'2023'!$D$4="FO",'2023'!$D$2=BP5),'2023DATA3'!$K$28,"")</f>
        <v/>
      </c>
      <c r="BQ31" s="518" t="str">
        <f>IF(AND(_AC4="A-321",'2023'!$D$4="FO",'2023'!$D$2=BQ5),'2023DATA3'!$L$28,"")</f>
        <v/>
      </c>
      <c r="BR31" s="518" t="str">
        <f>IF(AND(_AC4="A-321",'2023'!$D$4="FO",'2023'!$D$2=BR5),'2023DATA3'!$M$28,"")</f>
        <v/>
      </c>
      <c r="BS31" s="520" t="str">
        <f>IF(AND(_AC4="A-321",'2023'!$D$4="FO",'2023'!$D$2=BS5),'2023DATA3'!$N$28,"")</f>
        <v/>
      </c>
      <c r="BT31" s="940"/>
      <c r="BU31" s="13" t="s">
        <v>62</v>
      </c>
      <c r="BV31" s="518" t="str">
        <f>IF(AND(_AC5="A-321",'2023'!$D$4="FO",'2023'!$D$2=BV5),'2023DATA3'!$C$28,"")</f>
        <v/>
      </c>
      <c r="BW31" s="518" t="str">
        <f>IF(AND(_AC5="A-321",'2023'!$D$4="FO",'2023'!$D$2=BW5),'2023DATA3'!$D$28,"")</f>
        <v/>
      </c>
      <c r="BX31" s="518" t="str">
        <f>IF(AND(_AC5="A-321",'2023'!$D$4="FO",'2023'!$D$2=BX5),'2023DATA3'!$E$28,"")</f>
        <v/>
      </c>
      <c r="BY31" s="518" t="str">
        <f>IF(AND(_AC5="A-321",'2023'!$D$4="FO",'2023'!$D$2=BY5),'2023DATA3'!$F$28,"")</f>
        <v/>
      </c>
      <c r="BZ31" s="518" t="str">
        <f>IF(AND(_AC5="A-321",'2023'!$D$4="FO",'2023'!$D$2=BZ5),'2023DATA3'!$G$28,"")</f>
        <v/>
      </c>
      <c r="CA31" s="518" t="str">
        <f>IF(AND(_AC5="A-321",'2023'!$D$4="FO",'2023'!$D$2=CA5),'2023DATA3'!$H$28,"")</f>
        <v/>
      </c>
      <c r="CB31" s="518" t="str">
        <f>IF(AND(_AC5="A-321",'2023'!$D$4="FO",'2023'!$D$2=CB5),'2023DATA3'!$I$28,"")</f>
        <v/>
      </c>
      <c r="CC31" s="518" t="str">
        <f>IF(AND(_AC5="A-321",'2023'!$D$4="FO",'2023'!$D$2=CC5),'2023DATA3'!$J$28,"")</f>
        <v/>
      </c>
      <c r="CD31" s="518" t="str">
        <f>IF(AND(_AC5="A-321",'2023'!$D$4="FO",'2023'!$D$2=CD5),'2023DATA3'!$K$28,"")</f>
        <v/>
      </c>
      <c r="CE31" s="518" t="str">
        <f>IF(AND(_AC5="A-321",'2023'!$D$4="FO",'2023'!$D$2=CE5),'2023DATA3'!$L$28,"")</f>
        <v/>
      </c>
      <c r="CF31" s="518" t="str">
        <f>IF(AND(_AC5="A-321",'2023'!$D$4="FO",'2023'!$D$2=CF5),'2023DATA3'!$M$28,"")</f>
        <v/>
      </c>
      <c r="CG31" s="520" t="str">
        <f>IF(AND(_AC5="A-321",'2023'!$D$4="FO",'2023'!$D$2=CG5),'2023DATA3'!$N$28,"")</f>
        <v/>
      </c>
      <c r="CH31" s="940"/>
      <c r="CI31" s="13" t="s">
        <v>62</v>
      </c>
      <c r="CJ31" s="518" t="str">
        <f>IF(AND(_AC6="A-321",'2023'!$D$4="FO",'2023'!$D$2=CJ5),'2023DATA3'!$C$28,"")</f>
        <v/>
      </c>
      <c r="CK31" s="518" t="str">
        <f>IF(AND(_AC6="A-321",'2023'!$D$4="FO",'2023'!$D$2=CK5),'2023DATA3'!$D$28,"")</f>
        <v/>
      </c>
      <c r="CL31" s="518" t="str">
        <f>IF(AND(_AC6="A-321",'2023'!$D$4="FO",'2023'!$D$2=CL5),'2023DATA3'!$E$28,"")</f>
        <v/>
      </c>
      <c r="CM31" s="518" t="str">
        <f>IF(AND(_AC6="A-321",'2023'!$D$4="FO",'2023'!$D$2=CM5),'2023DATA3'!$F$28,"")</f>
        <v/>
      </c>
      <c r="CN31" s="518" t="str">
        <f>IF(AND(_AC6="A-321",'2023'!$D$4="FO",'2023'!$D$2=CN5),'2023DATA3'!$G$28,"")</f>
        <v/>
      </c>
      <c r="CO31" s="518" t="str">
        <f>IF(AND(_AC6="A-321",'2023'!$D$4="FO",'2023'!$D$2=CO5),'2023DATA3'!$H$28,"")</f>
        <v/>
      </c>
      <c r="CP31" s="518" t="str">
        <f>IF(AND(_AC6="A-321",'2023'!$D$4="FO",'2023'!$D$2=CP5),'2023DATA3'!$I$28,"")</f>
        <v/>
      </c>
      <c r="CQ31" s="518" t="str">
        <f>IF(AND(_AC6="A-321",'2023'!$D$4="FO",'2023'!$D$2=CQ5),'2023DATA3'!$J$28,"")</f>
        <v/>
      </c>
      <c r="CR31" s="518" t="str">
        <f>IF(AND(_AC6="A-321",'2023'!$D$4="FO",'2023'!$D$2=CR5),'2023DATA3'!$K$28,"")</f>
        <v/>
      </c>
      <c r="CS31" s="518" t="str">
        <f>IF(AND(_AC6="A-321",'2023'!$D$4="FO",'2023'!$D$2=CS5),'2023DATA3'!$L$28,"")</f>
        <v/>
      </c>
      <c r="CT31" s="518" t="str">
        <f>IF(AND(_AC6="A-321",'2023'!$D$4="FO",'2023'!$D$2=CT5),'2023DATA3'!$M$28,"")</f>
        <v/>
      </c>
      <c r="CU31" s="520" t="str">
        <f>IF(AND(_AC6="A-321",'2023'!$D$4="FO",'2023'!$D$2=CU5),'2023DATA3'!$N$28,"")</f>
        <v/>
      </c>
    </row>
    <row r="32" spans="1:99" x14ac:dyDescent="0.25">
      <c r="A32" s="946"/>
      <c r="B32" s="78" t="s">
        <v>62</v>
      </c>
      <c r="C32" s="25">
        <v>228.9</v>
      </c>
      <c r="D32" s="26">
        <v>226.87</v>
      </c>
      <c r="E32" s="26">
        <v>224.8</v>
      </c>
      <c r="F32" s="26">
        <v>221.8</v>
      </c>
      <c r="G32" s="26">
        <v>219.46</v>
      </c>
      <c r="H32" s="26">
        <v>214.5</v>
      </c>
      <c r="I32" s="26">
        <v>208.68</v>
      </c>
      <c r="J32" s="26">
        <v>203.59</v>
      </c>
      <c r="K32" s="26">
        <v>198.81</v>
      </c>
      <c r="L32" s="26">
        <v>194.09</v>
      </c>
      <c r="M32" s="26">
        <v>165.91</v>
      </c>
      <c r="N32" s="27">
        <v>108.34</v>
      </c>
      <c r="P32" s="940" t="s">
        <v>70</v>
      </c>
      <c r="Q32" s="13" t="s">
        <v>61</v>
      </c>
      <c r="R32" s="518" t="str">
        <f>IF(AND(_AC1="A-320",'2023'!$D$4="CA",'2023'!$D$2=R5),'2023DATA3'!$C$29,"")</f>
        <v/>
      </c>
      <c r="S32" s="518" t="str">
        <f>IF(AND(_AC1="A-320",'2023'!$D$4="CA",'2023'!$D$2=S5),'2023DATA3'!$D$29,"")</f>
        <v/>
      </c>
      <c r="T32" s="518" t="str">
        <f>IF(AND(_AC1="A-320",'2023'!$D$4="CA",'2023'!$D$2=T5),'2023DATA3'!$E$29,"")</f>
        <v/>
      </c>
      <c r="U32" s="518" t="str">
        <f>IF(AND(_AC1="A-320",'2023'!$D$4="CA",'2023'!$D$2=U5),'2023DATA3'!$F$29,"")</f>
        <v/>
      </c>
      <c r="V32" s="518" t="str">
        <f>IF(AND(_AC1="A-320",'2023'!$D$4="CA",'2023'!$D$2=V5),'2023DATA3'!$G$29,"")</f>
        <v/>
      </c>
      <c r="W32" s="518" t="str">
        <f>IF(AND(_AC1="A-320",'2023'!$D$4="CA",'2023'!$D$2=W5),'2023DATA3'!$H$29,"")</f>
        <v/>
      </c>
      <c r="X32" s="518" t="str">
        <f>IF(AND(_AC1="A-320",'2023'!$D$4="CA",'2023'!$D$2=X5),'2023DATA3'!$I$29,"")</f>
        <v/>
      </c>
      <c r="Y32" s="518" t="str">
        <f>IF(AND(_AC1="A-320",'2023'!$D$4="CA",'2023'!$D$2=Y5),'2023DATA3'!$J$29,"")</f>
        <v/>
      </c>
      <c r="Z32" s="518" t="str">
        <f>IF(AND(_AC1="A-320",'2023'!$D$4="CA",'2023'!$D$2=Z5),'2023DATA3'!$K$29,"")</f>
        <v/>
      </c>
      <c r="AA32" s="518" t="str">
        <f>IF(AND(_AC1="A-320",'2023'!$D$4="CA",'2023'!$D$2=AA5),'2023DATA3'!$L$29,"")</f>
        <v/>
      </c>
      <c r="AB32" s="518" t="str">
        <f>IF(AND(_AC1="A-320",'2023'!$D$4="CA",'2023'!$D$2=AB5),'2023DATA3'!$M$29,"")</f>
        <v/>
      </c>
      <c r="AC32" s="520" t="str">
        <f>IF(AND(_AC1="A-320",'2023'!$D$4="CA",'2023'!$D$2=AC5),'2023DATA3'!$N$29,"")</f>
        <v/>
      </c>
      <c r="AD32" s="940" t="s">
        <v>70</v>
      </c>
      <c r="AE32" s="13" t="s">
        <v>61</v>
      </c>
      <c r="AF32" s="518" t="str">
        <f>IF(AND(_AC2="A-320",'2023'!$D$4="CA",'2023'!$D$2=AF5),'2023DATA3'!$C$29,"")</f>
        <v/>
      </c>
      <c r="AG32" s="518" t="str">
        <f>IF(AND(_AC2="A-320",'2023'!$D$4="CA",'2023'!$D$2=AG5),'2023DATA3'!$D$29,"")</f>
        <v/>
      </c>
      <c r="AH32" s="518" t="str">
        <f>IF(AND(_AC2="A-320",'2023'!$D$4="CA",'2023'!$D$2=AH5),'2023DATA3'!$E$29,"")</f>
        <v/>
      </c>
      <c r="AI32" s="518" t="str">
        <f>IF(AND(_AC2="A-320",'2023'!$D$4="CA",'2023'!$D$2=AI5),'2023DATA3'!$F$29,"")</f>
        <v/>
      </c>
      <c r="AJ32" s="518" t="str">
        <f>IF(AND(_AC2="A-320",'2023'!$D$4="CA",'2023'!$D$2=AJ5),'2023DATA3'!$G$29,"")</f>
        <v/>
      </c>
      <c r="AK32" s="518" t="str">
        <f>IF(AND(_AC2="A-320",'2023'!$D$4="CA",'2023'!$D$2=AK5),'2023DATA3'!$H$29,"")</f>
        <v/>
      </c>
      <c r="AL32" s="518" t="str">
        <f>IF(AND(_AC2="A-320",'2023'!$D$4="CA",'2023'!$D$2=AL5),'2023DATA3'!$I$29,"")</f>
        <v/>
      </c>
      <c r="AM32" s="518" t="str">
        <f>IF(AND(_AC2="A-320",'2023'!$D$4="CA",'2023'!$D$2=AM5),'2023DATA3'!$J$29,"")</f>
        <v/>
      </c>
      <c r="AN32" s="518" t="str">
        <f>IF(AND(_AC2="A-320",'2023'!$D$4="CA",'2023'!$D$2=AN5),'2023DATA3'!$K$29,"")</f>
        <v/>
      </c>
      <c r="AO32" s="518" t="str">
        <f>IF(AND(_AC2="A-320",'2023'!$D$4="CA",'2023'!$D$2=AO5),'2023DATA3'!$L$29,"")</f>
        <v/>
      </c>
      <c r="AP32" s="518" t="str">
        <f>IF(AND(_AC2="A-320",'2023'!$D$4="CA",'2023'!$D$2=AP5),'2023DATA3'!$M$29,"")</f>
        <v/>
      </c>
      <c r="AQ32" s="520" t="str">
        <f>IF(AND(_AC2="A-320",'2023'!$D$4="CA",'2023'!$D$2=AQ5),'2023DATA3'!$N$29,"")</f>
        <v/>
      </c>
      <c r="AR32" s="940" t="s">
        <v>70</v>
      </c>
      <c r="AS32" s="13" t="s">
        <v>61</v>
      </c>
      <c r="AT32" s="518" t="str">
        <f>IF(AND(_AC3="A-320",'2023'!$D$4="CA",'2023'!$D$2=AT5),'2023DATA3'!$C$29,"")</f>
        <v/>
      </c>
      <c r="AU32" s="518" t="str">
        <f>IF(AND(_AC3="A-320",'2023'!$D$4="CA",'2023'!$D$2=AU5),'2023DATA3'!$D$29,"")</f>
        <v/>
      </c>
      <c r="AV32" s="518" t="str">
        <f>IF(AND(_AC3="A-320",'2023'!$D$4="CA",'2023'!$D$2=AV5),'2023DATA3'!$E$29,"")</f>
        <v/>
      </c>
      <c r="AW32" s="518" t="str">
        <f>IF(AND(_AC3="A-320",'2023'!$D$4="CA",'2023'!$D$2=AW5),'2023DATA3'!$F$29,"")</f>
        <v/>
      </c>
      <c r="AX32" s="518" t="str">
        <f>IF(AND(_AC3="A-320",'2023'!$D$4="CA",'2023'!$D$2=AX5),'2023DATA3'!$G$29,"")</f>
        <v/>
      </c>
      <c r="AY32" s="518" t="str">
        <f>IF(AND(_AC3="A-320",'2023'!$D$4="CA",'2023'!$D$2=AY5),'2023DATA3'!$H$29,"")</f>
        <v/>
      </c>
      <c r="AZ32" s="518" t="str">
        <f>IF(AND(_AC3="A-320",'2023'!$D$4="CA",'2023'!$D$2=AZ5),'2023DATA3'!$I$29,"")</f>
        <v/>
      </c>
      <c r="BA32" s="518" t="str">
        <f>IF(AND(_AC3="A-320",'2023'!$D$4="CA",'2023'!$D$2=BA5),'2023DATA3'!$J$29,"")</f>
        <v/>
      </c>
      <c r="BB32" s="518" t="str">
        <f>IF(AND(_AC3="A-320",'2023'!$D$4="CA",'2023'!$D$2=BB5),'2023DATA3'!$K$29,"")</f>
        <v/>
      </c>
      <c r="BC32" s="518" t="str">
        <f>IF(AND(_AC3="A-320",'2023'!$D$4="CA",'2023'!$D$2=BC5),'2023DATA3'!$L$29,"")</f>
        <v/>
      </c>
      <c r="BD32" s="518" t="str">
        <f>IF(AND(_AC3="A-320",'2023'!$D$4="CA",'2023'!$D$2=BD5),'2023DATA3'!$M$29,"")</f>
        <v/>
      </c>
      <c r="BE32" s="520" t="str">
        <f>IF(AND(_AC3="A-320",'2023'!$D$4="CA",'2023'!$D$2=BE5),'2023DATA3'!$N$29,"")</f>
        <v/>
      </c>
      <c r="BF32" s="940" t="s">
        <v>70</v>
      </c>
      <c r="BG32" s="13" t="s">
        <v>61</v>
      </c>
      <c r="BH32" s="518" t="str">
        <f>IF(AND(_AC4="A-320",'2023'!$D$4="CA",'2023'!$D$2=BH5),'2023DATA3'!$C$29,"")</f>
        <v/>
      </c>
      <c r="BI32" s="518" t="str">
        <f>IF(AND(_AC4="A-320",'2023'!$D$4="CA",'2023'!$D$2=BI5),'2023DATA3'!$D$29,"")</f>
        <v/>
      </c>
      <c r="BJ32" s="518" t="str">
        <f>IF(AND(_AC4="A-320",'2023'!$D$4="CA",'2023'!$D$2=BJ5),'2023DATA3'!$E$29,"")</f>
        <v/>
      </c>
      <c r="BK32" s="518" t="str">
        <f>IF(AND(_AC4="A-320",'2023'!$D$4="CA",'2023'!$D$2=BK5),'2023DATA3'!$F$29,"")</f>
        <v/>
      </c>
      <c r="BL32" s="518" t="str">
        <f>IF(AND(_AC4="A-320",'2023'!$D$4="CA",'2023'!$D$2=BL5),'2023DATA3'!$G$29,"")</f>
        <v/>
      </c>
      <c r="BM32" s="518" t="str">
        <f>IF(AND(_AC4="A-320",'2023'!$D$4="CA",'2023'!$D$2=BM5),'2023DATA3'!$H$29,"")</f>
        <v/>
      </c>
      <c r="BN32" s="518" t="str">
        <f>IF(AND(_AC4="A-320",'2023'!$D$4="CA",'2023'!$D$2=BN5),'2023DATA3'!$I$29,"")</f>
        <v/>
      </c>
      <c r="BO32" s="518" t="str">
        <f>IF(AND(_AC4="A-320",'2023'!$D$4="CA",'2023'!$D$2=BO5),'2023DATA3'!$J$29,"")</f>
        <v/>
      </c>
      <c r="BP32" s="518" t="str">
        <f>IF(AND(_AC4="A-320",'2023'!$D$4="CA",'2023'!$D$2=BP5),'2023DATA3'!$K$29,"")</f>
        <v/>
      </c>
      <c r="BQ32" s="518" t="str">
        <f>IF(AND(_AC4="A-320",'2023'!$D$4="CA",'2023'!$D$2=BQ5),'2023DATA3'!$L$29,"")</f>
        <v/>
      </c>
      <c r="BR32" s="518" t="str">
        <f>IF(AND(_AC4="A-320",'2023'!$D$4="CA",'2023'!$D$2=BR5),'2023DATA3'!$M$29,"")</f>
        <v/>
      </c>
      <c r="BS32" s="520" t="str">
        <f>IF(AND(_AC4="A-320",'2023'!$D$4="CA",'2023'!$D$2=BS5),'2023DATA3'!$N$29,"")</f>
        <v/>
      </c>
      <c r="BT32" s="940" t="s">
        <v>70</v>
      </c>
      <c r="BU32" s="13" t="s">
        <v>61</v>
      </c>
      <c r="BV32" s="518" t="str">
        <f>IF(AND(_AC5="A-320",'2023'!$D$4="CA",'2023'!$D$2=BV5),'2023DATA3'!$C$29,"")</f>
        <v/>
      </c>
      <c r="BW32" s="518" t="str">
        <f>IF(AND(_AC5="A-320",'2023'!$D$4="CA",'2023'!$D$2=BW5),'2023DATA3'!$D$29,"")</f>
        <v/>
      </c>
      <c r="BX32" s="518" t="str">
        <f>IF(AND(_AC5="A-320",'2023'!$D$4="CA",'2023'!$D$2=BX5),'2023DATA3'!$E$29,"")</f>
        <v/>
      </c>
      <c r="BY32" s="518" t="str">
        <f>IF(AND(_AC5="A-320",'2023'!$D$4="CA",'2023'!$D$2=BY5),'2023DATA3'!$F$29,"")</f>
        <v/>
      </c>
      <c r="BZ32" s="518" t="str">
        <f>IF(AND(_AC5="A-320",'2023'!$D$4="CA",'2023'!$D$2=BZ5),'2023DATA3'!$G$29,"")</f>
        <v/>
      </c>
      <c r="CA32" s="518" t="str">
        <f>IF(AND(_AC5="A-320",'2023'!$D$4="CA",'2023'!$D$2=CA5),'2023DATA3'!$H$29,"")</f>
        <v/>
      </c>
      <c r="CB32" s="518" t="str">
        <f>IF(AND(_AC5="A-320",'2023'!$D$4="CA",'2023'!$D$2=CB5),'2023DATA3'!$I$29,"")</f>
        <v/>
      </c>
      <c r="CC32" s="518" t="str">
        <f>IF(AND(_AC5="A-320",'2023'!$D$4="CA",'2023'!$D$2=CC5),'2023DATA3'!$J$29,"")</f>
        <v/>
      </c>
      <c r="CD32" s="518" t="str">
        <f>IF(AND(_AC5="A-320",'2023'!$D$4="CA",'2023'!$D$2=CD5),'2023DATA3'!$K$29,"")</f>
        <v/>
      </c>
      <c r="CE32" s="518" t="str">
        <f>IF(AND(_AC5="A-320",'2023'!$D$4="CA",'2023'!$D$2=CE5),'2023DATA3'!$L$29,"")</f>
        <v/>
      </c>
      <c r="CF32" s="518" t="str">
        <f>IF(AND(_AC5="A-320",'2023'!$D$4="CA",'2023'!$D$2=CF5),'2023DATA3'!$M$29,"")</f>
        <v/>
      </c>
      <c r="CG32" s="520" t="str">
        <f>IF(AND(_AC5="A-320",'2023'!$D$4="CA",'2023'!$D$2=CG5),'2023DATA3'!$N$29,"")</f>
        <v/>
      </c>
      <c r="CH32" s="940" t="s">
        <v>70</v>
      </c>
      <c r="CI32" s="13" t="s">
        <v>61</v>
      </c>
      <c r="CJ32" s="518" t="str">
        <f>IF(AND(_AC6="A-320",'2023'!$D$4="CA",'2023'!$D$2=CJ5),'2023DATA3'!$C$29,"")</f>
        <v/>
      </c>
      <c r="CK32" s="518" t="str">
        <f>IF(AND(_AC6="A-320",'2023'!$D$4="CA",'2023'!$D$2=CK5),'2023DATA3'!$D$29,"")</f>
        <v/>
      </c>
      <c r="CL32" s="518" t="str">
        <f>IF(AND(_AC6="A-320",'2023'!$D$4="CA",'2023'!$D$2=CL5),'2023DATA3'!$E$29,"")</f>
        <v/>
      </c>
      <c r="CM32" s="518" t="str">
        <f>IF(AND(_AC6="A-320",'2023'!$D$4="CA",'2023'!$D$2=CM5),'2023DATA3'!$F$29,"")</f>
        <v/>
      </c>
      <c r="CN32" s="518" t="str">
        <f>IF(AND(_AC6="A-320",'2023'!$D$4="CA",'2023'!$D$2=CN5),'2023DATA3'!$G$29,"")</f>
        <v/>
      </c>
      <c r="CO32" s="518" t="str">
        <f>IF(AND(_AC6="A-320",'2023'!$D$4="CA",'2023'!$D$2=CO5),'2023DATA3'!$H$29,"")</f>
        <v/>
      </c>
      <c r="CP32" s="518" t="str">
        <f>IF(AND(_AC6="A-320",'2023'!$D$4="CA",'2023'!$D$2=CP5),'2023DATA3'!$I$29,"")</f>
        <v/>
      </c>
      <c r="CQ32" s="518" t="str">
        <f>IF(AND(_AC6="A-320",'2023'!$D$4="CA",'2023'!$D$2=CQ5),'2023DATA3'!$J$29,"")</f>
        <v/>
      </c>
      <c r="CR32" s="518" t="str">
        <f>IF(AND(_AC6="A-320",'2023'!$D$4="CA",'2023'!$D$2=CR5),'2023DATA3'!$K$29,"")</f>
        <v/>
      </c>
      <c r="CS32" s="518" t="str">
        <f>IF(AND(_AC6="A-320",'2023'!$D$4="CA",'2023'!$D$2=CS5),'2023DATA3'!$L$29,"")</f>
        <v/>
      </c>
      <c r="CT32" s="518" t="str">
        <f>IF(AND(_AC6="A-320",'2023'!$D$4="CA",'2023'!$D$2=CT5),'2023DATA3'!$M$29,"")</f>
        <v/>
      </c>
      <c r="CU32" s="520" t="str">
        <f>IF(AND(_AC6="A-320",'2023'!$D$4="CA",'2023'!$D$2=CU5),'2023DATA3'!$N$29,"")</f>
        <v/>
      </c>
    </row>
    <row r="33" spans="1:99" x14ac:dyDescent="0.25">
      <c r="A33" s="946" t="s">
        <v>51</v>
      </c>
      <c r="B33" s="78" t="s">
        <v>61</v>
      </c>
      <c r="C33" s="25">
        <v>323.39</v>
      </c>
      <c r="D33" s="26">
        <v>320.94</v>
      </c>
      <c r="E33" s="26">
        <v>318.47000000000003</v>
      </c>
      <c r="F33" s="26">
        <v>316.02</v>
      </c>
      <c r="G33" s="26">
        <v>313.60000000000002</v>
      </c>
      <c r="H33" s="26">
        <v>311.17</v>
      </c>
      <c r="I33" s="26">
        <v>308.74</v>
      </c>
      <c r="J33" s="26">
        <v>306.27</v>
      </c>
      <c r="K33" s="26">
        <v>303.81</v>
      </c>
      <c r="L33" s="26">
        <v>301.37</v>
      </c>
      <c r="M33" s="26">
        <v>298.95999999999998</v>
      </c>
      <c r="N33" s="27">
        <v>296.51</v>
      </c>
      <c r="P33" s="940"/>
      <c r="Q33" s="13" t="s">
        <v>62</v>
      </c>
      <c r="R33" s="518" t="str">
        <f>IF(AND(_AC1="A-320",'2023'!$D$4="FO",'2023'!$D$2=R5),'2023DATA3'!$C$30,"")</f>
        <v/>
      </c>
      <c r="S33" s="518" t="str">
        <f>IF(AND(_AC1="A-320",'2023'!$D$4="FO",'2023'!$D$2=S5),'2023DATA3'!$D$30,"")</f>
        <v/>
      </c>
      <c r="T33" s="518" t="str">
        <f>IF(AND(_AC1="A-320",'2023'!$D$4="FO",'2023'!$D$2=T5),'2023DATA3'!$E$30,"")</f>
        <v/>
      </c>
      <c r="U33" s="518" t="str">
        <f>IF(AND(_AC1="A-320",'2023'!$D$4="FO",'2023'!$D$2=U5),'2023DATA3'!$F$30,"")</f>
        <v/>
      </c>
      <c r="V33" s="518" t="str">
        <f>IF(AND(_AC1="A-320",'2023'!$D$4="FO",'2023'!$D$2=V5),'2023DATA3'!$G$30,"")</f>
        <v/>
      </c>
      <c r="W33" s="518" t="str">
        <f>IF(AND(_AC1="A-320",'2023'!$D$4="FO",'2023'!$D$2=W5),'2023DATA3'!$H$30,"")</f>
        <v/>
      </c>
      <c r="X33" s="518" t="str">
        <f>IF(AND(_AC1="A-320",'2023'!$D$4="FO",'2023'!$D$2=X5),'2023DATA3'!$I$30,"")</f>
        <v/>
      </c>
      <c r="Y33" s="518" t="str">
        <f>IF(AND(_AC1="A-320",'2023'!$D$4="FO",'2023'!$D$2=Y5),'2023DATA3'!$J$30,"")</f>
        <v/>
      </c>
      <c r="Z33" s="518" t="str">
        <f>IF(AND(_AC1="A-320",'2023'!$D$4="FO",'2023'!$D$2=Z5),'2023DATA3'!$K$30,"")</f>
        <v/>
      </c>
      <c r="AA33" s="518" t="str">
        <f>IF(AND(_AC1="A-320",'2023'!$D$4="FO",'2023'!$D$2=AA5),'2023DATA3'!$L$30,"")</f>
        <v/>
      </c>
      <c r="AB33" s="518" t="str">
        <f>IF(AND(_AC1="A-320",'2023'!$D$4="FO",'2023'!$D$2=AB5),'2023DATA3'!$M$30,"")</f>
        <v/>
      </c>
      <c r="AC33" s="520" t="str">
        <f>IF(AND(_AC1="A-320",'2023'!$D$4="FO",'2023'!$D$2=AC5),'2023DATA3'!$N$30,"")</f>
        <v/>
      </c>
      <c r="AD33" s="940"/>
      <c r="AE33" s="13" t="s">
        <v>62</v>
      </c>
      <c r="AF33" s="518" t="str">
        <f>IF(AND(_AC2="A-320",'2023'!$D$4="FO",'2023'!$D$2=AF5),'2023DATA3'!$C$30,"")</f>
        <v/>
      </c>
      <c r="AG33" s="518" t="str">
        <f>IF(AND(_AC2="A-320",'2023'!$D$4="FO",'2023'!$D$2=AG5),'2023DATA3'!$D$30,"")</f>
        <v/>
      </c>
      <c r="AH33" s="518" t="str">
        <f>IF(AND(_AC2="A-320",'2023'!$D$4="FO",'2023'!$D$2=AH5),'2023DATA3'!$E$30,"")</f>
        <v/>
      </c>
      <c r="AI33" s="518" t="str">
        <f>IF(AND(_AC2="A-320",'2023'!$D$4="FO",'2023'!$D$2=AI5),'2023DATA3'!$F$30,"")</f>
        <v/>
      </c>
      <c r="AJ33" s="518" t="str">
        <f>IF(AND(_AC2="A-320",'2023'!$D$4="FO",'2023'!$D$2=AJ5),'2023DATA3'!$G$30,"")</f>
        <v/>
      </c>
      <c r="AK33" s="518" t="str">
        <f>IF(AND(_AC2="A-320",'2023'!$D$4="FO",'2023'!$D$2=AK5),'2023DATA3'!$H$30,"")</f>
        <v/>
      </c>
      <c r="AL33" s="518" t="str">
        <f>IF(AND(_AC2="A-320",'2023'!$D$4="FO",'2023'!$D$2=AL5),'2023DATA3'!$I$30,"")</f>
        <v/>
      </c>
      <c r="AM33" s="518" t="str">
        <f>IF(AND(_AC2="A-320",'2023'!$D$4="FO",'2023'!$D$2=AM5),'2023DATA3'!$J$30,"")</f>
        <v/>
      </c>
      <c r="AN33" s="518" t="str">
        <f>IF(AND(_AC2="A-320",'2023'!$D$4="FO",'2023'!$D$2=AN5),'2023DATA3'!$K$30,"")</f>
        <v/>
      </c>
      <c r="AO33" s="518" t="str">
        <f>IF(AND(_AC2="A-320",'2023'!$D$4="FO",'2023'!$D$2=AO5),'2023DATA3'!$L$30,"")</f>
        <v/>
      </c>
      <c r="AP33" s="518" t="str">
        <f>IF(AND(_AC2="A-320",'2023'!$D$4="FO",'2023'!$D$2=AP5),'2023DATA3'!$M$30,"")</f>
        <v/>
      </c>
      <c r="AQ33" s="520" t="str">
        <f>IF(AND(_AC2="A-320",'2023'!$D$4="FO",'2023'!$D$2=AQ5),'2023DATA3'!$N$30,"")</f>
        <v/>
      </c>
      <c r="AR33" s="940"/>
      <c r="AS33" s="13" t="s">
        <v>62</v>
      </c>
      <c r="AT33" s="518" t="str">
        <f>IF(AND(_AC3="A-320",'2023'!$D$4="FO",'2023'!$D$2=AT5),'2023DATA3'!$C$30,"")</f>
        <v/>
      </c>
      <c r="AU33" s="518" t="str">
        <f>IF(AND(_AC3="A-320",'2023'!$D$4="FO",'2023'!$D$2=AU5),'2023DATA3'!$D$30,"")</f>
        <v/>
      </c>
      <c r="AV33" s="518" t="str">
        <f>IF(AND(_AC3="A-320",'2023'!$D$4="FO",'2023'!$D$2=AV5),'2023DATA3'!$E$30,"")</f>
        <v/>
      </c>
      <c r="AW33" s="518" t="str">
        <f>IF(AND(_AC3="A-320",'2023'!$D$4="FO",'2023'!$D$2=AW5),'2023DATA3'!$F$30,"")</f>
        <v/>
      </c>
      <c r="AX33" s="518" t="str">
        <f>IF(AND(_AC3="A-320",'2023'!$D$4="FO",'2023'!$D$2=AX5),'2023DATA3'!$G$30,"")</f>
        <v/>
      </c>
      <c r="AY33" s="518" t="str">
        <f>IF(AND(_AC3="A-320",'2023'!$D$4="FO",'2023'!$D$2=AY5),'2023DATA3'!$H$30,"")</f>
        <v/>
      </c>
      <c r="AZ33" s="518" t="str">
        <f>IF(AND(_AC3="A-320",'2023'!$D$4="FO",'2023'!$D$2=AZ5),'2023DATA3'!$I$30,"")</f>
        <v/>
      </c>
      <c r="BA33" s="518" t="str">
        <f>IF(AND(_AC3="A-320",'2023'!$D$4="FO",'2023'!$D$2=BA5),'2023DATA3'!$J$30,"")</f>
        <v/>
      </c>
      <c r="BB33" s="518" t="str">
        <f>IF(AND(_AC3="A-320",'2023'!$D$4="FO",'2023'!$D$2=BB5),'2023DATA3'!$K$30,"")</f>
        <v/>
      </c>
      <c r="BC33" s="518" t="str">
        <f>IF(AND(_AC3="A-320",'2023'!$D$4="FO",'2023'!$D$2=BC5),'2023DATA3'!$L$30,"")</f>
        <v/>
      </c>
      <c r="BD33" s="518" t="str">
        <f>IF(AND(_AC3="A-320",'2023'!$D$4="FO",'2023'!$D$2=BD5),'2023DATA3'!$M$30,"")</f>
        <v/>
      </c>
      <c r="BE33" s="520" t="str">
        <f>IF(AND(_AC3="A-320",'2023'!$D$4="FO",'2023'!$D$2=BE5),'2023DATA3'!$N$30,"")</f>
        <v/>
      </c>
      <c r="BF33" s="940"/>
      <c r="BG33" s="13" t="s">
        <v>62</v>
      </c>
      <c r="BH33" s="518" t="str">
        <f>IF(AND(_AC4="A-320",'2023'!$D$4="FO",'2023'!$D$2=BH5),'2023DATA3'!$C$30,"")</f>
        <v/>
      </c>
      <c r="BI33" s="518" t="str">
        <f>IF(AND(_AC4="A-320",'2023'!$D$4="FO",'2023'!$D$2=BI5),'2023DATA3'!$D$30,"")</f>
        <v/>
      </c>
      <c r="BJ33" s="518" t="str">
        <f>IF(AND(_AC4="A-320",'2023'!$D$4="FO",'2023'!$D$2=BJ5),'2023DATA3'!$E$30,"")</f>
        <v/>
      </c>
      <c r="BK33" s="518" t="str">
        <f>IF(AND(_AC4="A-320",'2023'!$D$4="FO",'2023'!$D$2=BK5),'2023DATA3'!$F$30,"")</f>
        <v/>
      </c>
      <c r="BL33" s="518" t="str">
        <f>IF(AND(_AC4="A-320",'2023'!$D$4="FO",'2023'!$D$2=BL5),'2023DATA3'!$G$30,"")</f>
        <v/>
      </c>
      <c r="BM33" s="518" t="str">
        <f>IF(AND(_AC4="A-320",'2023'!$D$4="FO",'2023'!$D$2=BM5),'2023DATA3'!$H$30,"")</f>
        <v/>
      </c>
      <c r="BN33" s="518" t="str">
        <f>IF(AND(_AC4="A-320",'2023'!$D$4="FO",'2023'!$D$2=BN5),'2023DATA3'!$I$30,"")</f>
        <v/>
      </c>
      <c r="BO33" s="518" t="str">
        <f>IF(AND(_AC4="A-320",'2023'!$D$4="FO",'2023'!$D$2=BO5),'2023DATA3'!$J$30,"")</f>
        <v/>
      </c>
      <c r="BP33" s="518" t="str">
        <f>IF(AND(_AC4="A-320",'2023'!$D$4="FO",'2023'!$D$2=BP5),'2023DATA3'!$K$30,"")</f>
        <v/>
      </c>
      <c r="BQ33" s="518" t="str">
        <f>IF(AND(_AC4="A-320",'2023'!$D$4="FO",'2023'!$D$2=BQ5),'2023DATA3'!$L$30,"")</f>
        <v/>
      </c>
      <c r="BR33" s="518" t="str">
        <f>IF(AND(_AC4="A-320",'2023'!$D$4="FO",'2023'!$D$2=BR5),'2023DATA3'!$M$30,"")</f>
        <v/>
      </c>
      <c r="BS33" s="520" t="str">
        <f>IF(AND(_AC4="A-320",'2023'!$D$4="FO",'2023'!$D$2=BS5),'2023DATA3'!$N$30,"")</f>
        <v/>
      </c>
      <c r="BT33" s="940"/>
      <c r="BU33" s="13" t="s">
        <v>62</v>
      </c>
      <c r="BV33" s="518" t="str">
        <f>IF(AND(_AC5="A-320",'2023'!$D$4="FO",'2023'!$D$2=BV5),'2023DATA3'!$C$30,"")</f>
        <v/>
      </c>
      <c r="BW33" s="518" t="str">
        <f>IF(AND(_AC5="A-320",'2023'!$D$4="FO",'2023'!$D$2=BW5),'2023DATA3'!$D$30,"")</f>
        <v/>
      </c>
      <c r="BX33" s="518" t="str">
        <f>IF(AND(_AC5="A-320",'2023'!$D$4="FO",'2023'!$D$2=BX5),'2023DATA3'!$E$30,"")</f>
        <v/>
      </c>
      <c r="BY33" s="518" t="str">
        <f>IF(AND(_AC5="A-320",'2023'!$D$4="FO",'2023'!$D$2=BY5),'2023DATA3'!$F$30,"")</f>
        <v/>
      </c>
      <c r="BZ33" s="518" t="str">
        <f>IF(AND(_AC5="A-320",'2023'!$D$4="FO",'2023'!$D$2=BZ5),'2023DATA3'!$G$30,"")</f>
        <v/>
      </c>
      <c r="CA33" s="518" t="str">
        <f>IF(AND(_AC5="A-320",'2023'!$D$4="FO",'2023'!$D$2=CA5),'2023DATA3'!$H$30,"")</f>
        <v/>
      </c>
      <c r="CB33" s="518" t="str">
        <f>IF(AND(_AC5="A-320",'2023'!$D$4="FO",'2023'!$D$2=CB5),'2023DATA3'!$I$30,"")</f>
        <v/>
      </c>
      <c r="CC33" s="518" t="str">
        <f>IF(AND(_AC5="A-320",'2023'!$D$4="FO",'2023'!$D$2=CC5),'2023DATA3'!$J$30,"")</f>
        <v/>
      </c>
      <c r="CD33" s="518" t="str">
        <f>IF(AND(_AC5="A-320",'2023'!$D$4="FO",'2023'!$D$2=CD5),'2023DATA3'!$K$30,"")</f>
        <v/>
      </c>
      <c r="CE33" s="518" t="str">
        <f>IF(AND(_AC5="A-320",'2023'!$D$4="FO",'2023'!$D$2=CE5),'2023DATA3'!$L$30,"")</f>
        <v/>
      </c>
      <c r="CF33" s="518" t="str">
        <f>IF(AND(_AC5="A-320",'2023'!$D$4="FO",'2023'!$D$2=CF5),'2023DATA3'!$M$30,"")</f>
        <v/>
      </c>
      <c r="CG33" s="520" t="str">
        <f>IF(AND(_AC5="A-320",'2023'!$D$4="FO",'2023'!$D$2=CG5),'2023DATA3'!$N$30,"")</f>
        <v/>
      </c>
      <c r="CH33" s="940"/>
      <c r="CI33" s="13" t="s">
        <v>62</v>
      </c>
      <c r="CJ33" s="518" t="str">
        <f>IF(AND(_AC6="A-320",'2023'!$D$4="FO",'2023'!$D$2=CJ5),'2023DATA3'!$C$30,"")</f>
        <v/>
      </c>
      <c r="CK33" s="518" t="str">
        <f>IF(AND(_AC6="A-320",'2023'!$D$4="FO",'2023'!$D$2=CK5),'2023DATA3'!$D$30,"")</f>
        <v/>
      </c>
      <c r="CL33" s="518" t="str">
        <f>IF(AND(_AC6="A-320",'2023'!$D$4="FO",'2023'!$D$2=CL5),'2023DATA3'!$E$30,"")</f>
        <v/>
      </c>
      <c r="CM33" s="518" t="str">
        <f>IF(AND(_AC6="A-320",'2023'!$D$4="FO",'2023'!$D$2=CM5),'2023DATA3'!$F$30,"")</f>
        <v/>
      </c>
      <c r="CN33" s="518" t="str">
        <f>IF(AND(_AC6="A-320",'2023'!$D$4="FO",'2023'!$D$2=CN5),'2023DATA3'!$G$30,"")</f>
        <v/>
      </c>
      <c r="CO33" s="518" t="str">
        <f>IF(AND(_AC6="A-320",'2023'!$D$4="FO",'2023'!$D$2=CO5),'2023DATA3'!$H$30,"")</f>
        <v/>
      </c>
      <c r="CP33" s="518" t="str">
        <f>IF(AND(_AC6="A-320",'2023'!$D$4="FO",'2023'!$D$2=CP5),'2023DATA3'!$I$30,"")</f>
        <v/>
      </c>
      <c r="CQ33" s="518" t="str">
        <f>IF(AND(_AC6="A-320",'2023'!$D$4="FO",'2023'!$D$2=CQ5),'2023DATA3'!$J$30,"")</f>
        <v/>
      </c>
      <c r="CR33" s="518" t="str">
        <f>IF(AND(_AC6="A-320",'2023'!$D$4="FO",'2023'!$D$2=CR5),'2023DATA3'!$K$30,"")</f>
        <v/>
      </c>
      <c r="CS33" s="518" t="str">
        <f>IF(AND(_AC6="A-320",'2023'!$D$4="FO",'2023'!$D$2=CS5),'2023DATA3'!$L$30,"")</f>
        <v/>
      </c>
      <c r="CT33" s="518" t="str">
        <f>IF(AND(_AC6="A-320",'2023'!$D$4="FO",'2023'!$D$2=CT5),'2023DATA3'!$M$30,"")</f>
        <v/>
      </c>
      <c r="CU33" s="520" t="str">
        <f>IF(AND(_AC6="A-320",'2023'!$D$4="FO",'2023'!$D$2=CU5),'2023DATA3'!$N$30,"")</f>
        <v/>
      </c>
    </row>
    <row r="34" spans="1:99" x14ac:dyDescent="0.25">
      <c r="A34" s="946"/>
      <c r="B34" s="78" t="s">
        <v>62</v>
      </c>
      <c r="C34" s="25">
        <v>220.88</v>
      </c>
      <c r="D34" s="26">
        <v>218.89</v>
      </c>
      <c r="E34" s="26">
        <v>216.9</v>
      </c>
      <c r="F34" s="26">
        <v>213.97</v>
      </c>
      <c r="G34" s="26">
        <v>211.68</v>
      </c>
      <c r="H34" s="26">
        <v>206.91</v>
      </c>
      <c r="I34" s="26">
        <v>201.28</v>
      </c>
      <c r="J34" s="26">
        <v>196.32</v>
      </c>
      <c r="K34" s="26">
        <v>191.7</v>
      </c>
      <c r="L34" s="26">
        <v>187.17</v>
      </c>
      <c r="M34" s="26">
        <v>159.94999999999999</v>
      </c>
      <c r="N34" s="27">
        <v>108.34</v>
      </c>
      <c r="P34" s="940" t="s">
        <v>71</v>
      </c>
      <c r="Q34" s="13" t="s">
        <v>61</v>
      </c>
      <c r="R34" s="518" t="str">
        <f>IF(AND(_AC1="A-319",'2023'!$D$4="CA",'2023'!$D$2=R5),'2023DATA3'!$C$31,"")</f>
        <v/>
      </c>
      <c r="S34" s="518" t="str">
        <f>IF(AND(_AC1="A-319",'2023'!$D$4="CA",'2023'!$D$2=S5),'2023DATA3'!$D$31,"")</f>
        <v/>
      </c>
      <c r="T34" s="518" t="str">
        <f>IF(AND(_AC1="A-319",'2023'!$D$4="CA",'2023'!$D$2=T5),'2023DATA3'!$E$31,"")</f>
        <v/>
      </c>
      <c r="U34" s="518" t="str">
        <f>IF(AND(_AC1="A-319",'2023'!$D$4="CA",'2023'!$D$2=U5),'2023DATA3'!$F$31,"")</f>
        <v/>
      </c>
      <c r="V34" s="518" t="str">
        <f>IF(AND(_AC1="A-319",'2023'!$D$4="CA",'2023'!$D$2=V5),'2023DATA3'!$G$31,"")</f>
        <v/>
      </c>
      <c r="W34" s="518" t="str">
        <f>IF(AND(_AC1="A-319",'2023'!$D$4="CA",'2023'!$D$2=W5),'2023DATA3'!$H$31,"")</f>
        <v/>
      </c>
      <c r="X34" s="518" t="str">
        <f>IF(AND(_AC1="A-319",'2023'!$D$4="CA",'2023'!$D$2=X5),'2023DATA3'!$I$31,"")</f>
        <v/>
      </c>
      <c r="Y34" s="518" t="str">
        <f>IF(AND(_AC1="A-319",'2023'!$D$4="CA",'2023'!$D$2=Y5),'2023DATA3'!$J$31,"")</f>
        <v/>
      </c>
      <c r="Z34" s="518" t="str">
        <f>IF(AND(_AC1="A-319",'2023'!$D$4="CA",'2023'!$D$2=Z5),'2023DATA3'!$K$31,"")</f>
        <v/>
      </c>
      <c r="AA34" s="518" t="str">
        <f>IF(AND(_AC1="A-319",'2023'!$D$4="CA",'2023'!$D$2=AA5),'2023DATA3'!$L$31,"")</f>
        <v/>
      </c>
      <c r="AB34" s="518" t="str">
        <f>IF(AND(_AC1="A-319",'2023'!$D$4="CA",'2023'!$D$2=AB5),'2023DATA3'!$M$31,"")</f>
        <v/>
      </c>
      <c r="AC34" s="520" t="str">
        <f>IF(AND(_AC1="A-319",'2023'!$D$4="CA",'2023'!$D$2=AC5),'2023DATA3'!$N$31,"")</f>
        <v/>
      </c>
      <c r="AD34" s="940" t="s">
        <v>71</v>
      </c>
      <c r="AE34" s="13" t="s">
        <v>61</v>
      </c>
      <c r="AF34" s="518" t="str">
        <f>IF(AND(_AC2="A-319",'2023'!$D$4="CA",'2023'!$D$2=AF5),'2023DATA3'!$C$31,"")</f>
        <v/>
      </c>
      <c r="AG34" s="518" t="str">
        <f>IF(AND(_AC2="A-319",'2023'!$D$4="CA",'2023'!$D$2=AG5),'2023DATA3'!$D$31,"")</f>
        <v/>
      </c>
      <c r="AH34" s="518" t="str">
        <f>IF(AND(_AC2="A-319",'2023'!$D$4="CA",'2023'!$D$2=AH5),'2023DATA3'!$E$31,"")</f>
        <v/>
      </c>
      <c r="AI34" s="518" t="str">
        <f>IF(AND(_AC2="A-319",'2023'!$D$4="CA",'2023'!$D$2=AI5),'2023DATA3'!$F$31,"")</f>
        <v/>
      </c>
      <c r="AJ34" s="518" t="str">
        <f>IF(AND(_AC2="A-319",'2023'!$D$4="CA",'2023'!$D$2=AJ5),'2023DATA3'!$G$31,"")</f>
        <v/>
      </c>
      <c r="AK34" s="518" t="str">
        <f>IF(AND(_AC2="A-319",'2023'!$D$4="CA",'2023'!$D$2=AK5),'2023DATA3'!$H$31,"")</f>
        <v/>
      </c>
      <c r="AL34" s="518" t="str">
        <f>IF(AND(_AC2="A-319",'2023'!$D$4="CA",'2023'!$D$2=AL5),'2023DATA3'!$I$31,"")</f>
        <v/>
      </c>
      <c r="AM34" s="518" t="str">
        <f>IF(AND(_AC2="A-319",'2023'!$D$4="CA",'2023'!$D$2=AM5),'2023DATA3'!$J$31,"")</f>
        <v/>
      </c>
      <c r="AN34" s="518" t="str">
        <f>IF(AND(_AC2="A-319",'2023'!$D$4="CA",'2023'!$D$2=AN5),'2023DATA3'!$K$31,"")</f>
        <v/>
      </c>
      <c r="AO34" s="518" t="str">
        <f>IF(AND(_AC2="A-319",'2023'!$D$4="CA",'2023'!$D$2=AO5),'2023DATA3'!$L$31,"")</f>
        <v/>
      </c>
      <c r="AP34" s="518" t="str">
        <f>IF(AND(_AC2="A-319",'2023'!$D$4="CA",'2023'!$D$2=AP5),'2023DATA3'!$M$31,"")</f>
        <v/>
      </c>
      <c r="AQ34" s="520" t="str">
        <f>IF(AND(_AC2="A-319",'2023'!$D$4="CA",'2023'!$D$2=AQ5),'2023DATA3'!$N$31,"")</f>
        <v/>
      </c>
      <c r="AR34" s="940" t="s">
        <v>71</v>
      </c>
      <c r="AS34" s="13" t="s">
        <v>61</v>
      </c>
      <c r="AT34" s="518" t="str">
        <f>IF(AND(_AC3="A-319",'2023'!$D$4="CA",'2023'!$D$2=AT5),'2023DATA3'!$C$31,"")</f>
        <v/>
      </c>
      <c r="AU34" s="518" t="str">
        <f>IF(AND(_AC3="A-319",'2023'!$D$4="CA",'2023'!$D$2=AU5),'2023DATA3'!$D$31,"")</f>
        <v/>
      </c>
      <c r="AV34" s="518" t="str">
        <f>IF(AND(_AC3="A-319",'2023'!$D$4="CA",'2023'!$D$2=AV5),'2023DATA3'!$E$31,"")</f>
        <v/>
      </c>
      <c r="AW34" s="518" t="str">
        <f>IF(AND(_AC3="A-319",'2023'!$D$4="CA",'2023'!$D$2=AW5),'2023DATA3'!$F$31,"")</f>
        <v/>
      </c>
      <c r="AX34" s="518" t="str">
        <f>IF(AND(_AC3="A-319",'2023'!$D$4="CA",'2023'!$D$2=AX5),'2023DATA3'!$G$31,"")</f>
        <v/>
      </c>
      <c r="AY34" s="518" t="str">
        <f>IF(AND(_AC3="A-319",'2023'!$D$4="CA",'2023'!$D$2=AY5),'2023DATA3'!$H$31,"")</f>
        <v/>
      </c>
      <c r="AZ34" s="518" t="str">
        <f>IF(AND(_AC3="A-319",'2023'!$D$4="CA",'2023'!$D$2=AZ5),'2023DATA3'!$I$31,"")</f>
        <v/>
      </c>
      <c r="BA34" s="518" t="str">
        <f>IF(AND(_AC3="A-319",'2023'!$D$4="CA",'2023'!$D$2=BA5),'2023DATA3'!$J$31,"")</f>
        <v/>
      </c>
      <c r="BB34" s="518" t="str">
        <f>IF(AND(_AC3="A-319",'2023'!$D$4="CA",'2023'!$D$2=BB5),'2023DATA3'!$K$31,"")</f>
        <v/>
      </c>
      <c r="BC34" s="518" t="str">
        <f>IF(AND(_AC3="A-319",'2023'!$D$4="CA",'2023'!$D$2=BC5),'2023DATA3'!$L$31,"")</f>
        <v/>
      </c>
      <c r="BD34" s="518" t="str">
        <f>IF(AND(_AC3="A-319",'2023'!$D$4="CA",'2023'!$D$2=BD5),'2023DATA3'!$M$31,"")</f>
        <v/>
      </c>
      <c r="BE34" s="520" t="str">
        <f>IF(AND(_AC3="A-319",'2023'!$D$4="CA",'2023'!$D$2=BE5),'2023DATA3'!$N$31,"")</f>
        <v/>
      </c>
      <c r="BF34" s="940" t="s">
        <v>71</v>
      </c>
      <c r="BG34" s="13" t="s">
        <v>61</v>
      </c>
      <c r="BH34" s="518" t="str">
        <f>IF(AND(_AC4="A-319",'2023'!$D$4="CA",'2023'!$D$2=BH5),'2023DATA3'!$C$31,"")</f>
        <v/>
      </c>
      <c r="BI34" s="518" t="str">
        <f>IF(AND(_AC4="A-319",'2023'!$D$4="CA",'2023'!$D$2=BI5),'2023DATA3'!$D$31,"")</f>
        <v/>
      </c>
      <c r="BJ34" s="518" t="str">
        <f>IF(AND(_AC4="A-319",'2023'!$D$4="CA",'2023'!$D$2=BJ5),'2023DATA3'!$E$31,"")</f>
        <v/>
      </c>
      <c r="BK34" s="518" t="str">
        <f>IF(AND(_AC4="A-319",'2023'!$D$4="CA",'2023'!$D$2=BK5),'2023DATA3'!$F$31,"")</f>
        <v/>
      </c>
      <c r="BL34" s="518" t="str">
        <f>IF(AND(_AC4="A-319",'2023'!$D$4="CA",'2023'!$D$2=BL5),'2023DATA3'!$G$31,"")</f>
        <v/>
      </c>
      <c r="BM34" s="518" t="str">
        <f>IF(AND(_AC4="A-319",'2023'!$D$4="CA",'2023'!$D$2=BM5),'2023DATA3'!$H$31,"")</f>
        <v/>
      </c>
      <c r="BN34" s="518" t="str">
        <f>IF(AND(_AC4="A-319",'2023'!$D$4="CA",'2023'!$D$2=BN5),'2023DATA3'!$I$31,"")</f>
        <v/>
      </c>
      <c r="BO34" s="518" t="str">
        <f>IF(AND(_AC4="A-319",'2023'!$D$4="CA",'2023'!$D$2=BO5),'2023DATA3'!$J$31,"")</f>
        <v/>
      </c>
      <c r="BP34" s="518" t="str">
        <f>IF(AND(_AC4="A-319",'2023'!$D$4="CA",'2023'!$D$2=BP5),'2023DATA3'!$K$31,"")</f>
        <v/>
      </c>
      <c r="BQ34" s="518" t="str">
        <f>IF(AND(_AC4="A-319",'2023'!$D$4="CA",'2023'!$D$2=BQ5),'2023DATA3'!$L$31,"")</f>
        <v/>
      </c>
      <c r="BR34" s="518" t="str">
        <f>IF(AND(_AC4="A-319",'2023'!$D$4="CA",'2023'!$D$2=BR5),'2023DATA3'!$M$31,"")</f>
        <v/>
      </c>
      <c r="BS34" s="520" t="str">
        <f>IF(AND(_AC4="A-319",'2023'!$D$4="CA",'2023'!$D$2=BS5),'2023DATA3'!$N$31,"")</f>
        <v/>
      </c>
      <c r="BT34" s="940" t="s">
        <v>71</v>
      </c>
      <c r="BU34" s="13" t="s">
        <v>61</v>
      </c>
      <c r="BV34" s="518" t="str">
        <f>IF(AND(_AC5="A-319",'2023'!$D$4="CA",'2023'!$D$2=BV5),'2023DATA3'!$C$31,"")</f>
        <v/>
      </c>
      <c r="BW34" s="518" t="str">
        <f>IF(AND(_AC5="A-319",'2023'!$D$4="CA",'2023'!$D$2=BW5),'2023DATA3'!$D$31,"")</f>
        <v/>
      </c>
      <c r="BX34" s="518" t="str">
        <f>IF(AND(_AC5="A-319",'2023'!$D$4="CA",'2023'!$D$2=BX5),'2023DATA3'!$E$31,"")</f>
        <v/>
      </c>
      <c r="BY34" s="518" t="str">
        <f>IF(AND(_AC5="A-319",'2023'!$D$4="CA",'2023'!$D$2=BY5),'2023DATA3'!$F$31,"")</f>
        <v/>
      </c>
      <c r="BZ34" s="518" t="str">
        <f>IF(AND(_AC5="A-319",'2023'!$D$4="CA",'2023'!$D$2=BZ5),'2023DATA3'!$G$31,"")</f>
        <v/>
      </c>
      <c r="CA34" s="518" t="str">
        <f>IF(AND(_AC5="A-319",'2023'!$D$4="CA",'2023'!$D$2=CA5),'2023DATA3'!$H$31,"")</f>
        <v/>
      </c>
      <c r="CB34" s="518" t="str">
        <f>IF(AND(_AC5="A-319",'2023'!$D$4="CA",'2023'!$D$2=CB5),'2023DATA3'!$I$31,"")</f>
        <v/>
      </c>
      <c r="CC34" s="518" t="str">
        <f>IF(AND(_AC5="A-319",'2023'!$D$4="CA",'2023'!$D$2=CC5),'2023DATA3'!$J$31,"")</f>
        <v/>
      </c>
      <c r="CD34" s="518" t="str">
        <f>IF(AND(_AC5="A-319",'2023'!$D$4="CA",'2023'!$D$2=CD5),'2023DATA3'!$K$31,"")</f>
        <v/>
      </c>
      <c r="CE34" s="518" t="str">
        <f>IF(AND(_AC5="A-319",'2023'!$D$4="CA",'2023'!$D$2=CE5),'2023DATA3'!$L$31,"")</f>
        <v/>
      </c>
      <c r="CF34" s="518" t="str">
        <f>IF(AND(_AC5="A-319",'2023'!$D$4="CA",'2023'!$D$2=CF5),'2023DATA3'!$M$31,"")</f>
        <v/>
      </c>
      <c r="CG34" s="520" t="str">
        <f>IF(AND(_AC5="A-319",'2023'!$D$4="CA",'2023'!$D$2=CG5),'2023DATA3'!$N$31,"")</f>
        <v/>
      </c>
      <c r="CH34" s="940" t="s">
        <v>71</v>
      </c>
      <c r="CI34" s="13" t="s">
        <v>61</v>
      </c>
      <c r="CJ34" s="518" t="str">
        <f>IF(AND(_AC6="A-319",'2023'!$D$4="CA",'2023'!$D$2=CJ5),'2023DATA3'!$C$31,"")</f>
        <v/>
      </c>
      <c r="CK34" s="518" t="str">
        <f>IF(AND(_AC6="A-319",'2023'!$D$4="CA",'2023'!$D$2=CK5),'2023DATA3'!$D$31,"")</f>
        <v/>
      </c>
      <c r="CL34" s="518" t="str">
        <f>IF(AND(_AC6="A-319",'2023'!$D$4="CA",'2023'!$D$2=CL5),'2023DATA3'!$E$31,"")</f>
        <v/>
      </c>
      <c r="CM34" s="518" t="str">
        <f>IF(AND(_AC6="A-319",'2023'!$D$4="CA",'2023'!$D$2=CM5),'2023DATA3'!$F$31,"")</f>
        <v/>
      </c>
      <c r="CN34" s="518" t="str">
        <f>IF(AND(_AC6="A-319",'2023'!$D$4="CA",'2023'!$D$2=CN5),'2023DATA3'!$G$31,"")</f>
        <v/>
      </c>
      <c r="CO34" s="518" t="str">
        <f>IF(AND(_AC6="A-319",'2023'!$D$4="CA",'2023'!$D$2=CO5),'2023DATA3'!$H$31,"")</f>
        <v/>
      </c>
      <c r="CP34" s="518" t="str">
        <f>IF(AND(_AC6="A-319",'2023'!$D$4="CA",'2023'!$D$2=CP5),'2023DATA3'!$I$31,"")</f>
        <v/>
      </c>
      <c r="CQ34" s="518" t="str">
        <f>IF(AND(_AC6="A-319",'2023'!$D$4="CA",'2023'!$D$2=CQ5),'2023DATA3'!$J$31,"")</f>
        <v/>
      </c>
      <c r="CR34" s="518" t="str">
        <f>IF(AND(_AC6="A-319",'2023'!$D$4="CA",'2023'!$D$2=CR5),'2023DATA3'!$K$31,"")</f>
        <v/>
      </c>
      <c r="CS34" s="518" t="str">
        <f>IF(AND(_AC6="A-319",'2023'!$D$4="CA",'2023'!$D$2=CS5),'2023DATA3'!$L$31,"")</f>
        <v/>
      </c>
      <c r="CT34" s="518" t="str">
        <f>IF(AND(_AC6="A-319",'2023'!$D$4="CA",'2023'!$D$2=CT5),'2023DATA3'!$M$31,"")</f>
        <v/>
      </c>
      <c r="CU34" s="520" t="str">
        <f>IF(AND(_AC6="A-319",'2023'!$D$4="CA",'2023'!$D$2=CU5),'2023DATA3'!$N$31,"")</f>
        <v/>
      </c>
    </row>
    <row r="35" spans="1:99" x14ac:dyDescent="0.25">
      <c r="A35" s="946" t="s">
        <v>52</v>
      </c>
      <c r="B35" s="78" t="s">
        <v>61</v>
      </c>
      <c r="C35" s="25">
        <v>310.14999999999998</v>
      </c>
      <c r="D35" s="26">
        <v>307.8</v>
      </c>
      <c r="E35" s="26">
        <v>305.43</v>
      </c>
      <c r="F35" s="26">
        <v>303.08</v>
      </c>
      <c r="G35" s="26">
        <v>300.76</v>
      </c>
      <c r="H35" s="26">
        <v>298.42</v>
      </c>
      <c r="I35" s="26">
        <v>296.10000000000002</v>
      </c>
      <c r="J35" s="26">
        <v>293.73</v>
      </c>
      <c r="K35" s="26">
        <v>291.38</v>
      </c>
      <c r="L35" s="26">
        <v>289.02999999999997</v>
      </c>
      <c r="M35" s="26">
        <v>286.73</v>
      </c>
      <c r="N35" s="27">
        <v>284.37</v>
      </c>
      <c r="P35" s="940"/>
      <c r="Q35" s="13" t="s">
        <v>62</v>
      </c>
      <c r="R35" s="518" t="str">
        <f>IF(AND(_AC1="A-319",'2023'!$D$4="FO",'2023'!$D$2=R5),'2023DATA3'!$C$32,"")</f>
        <v/>
      </c>
      <c r="S35" s="518" t="str">
        <f>IF(AND(_AC1="A-319",'2023'!$D$4="FO",'2023'!$D$2=S5),'2023DATA3'!$D$32,"")</f>
        <v/>
      </c>
      <c r="T35" s="518" t="str">
        <f>IF(AND(_AC1="A-319",'2023'!$D$4="FO",'2023'!$D$2=T5),'2023DATA3'!$E$32,"")</f>
        <v/>
      </c>
      <c r="U35" s="518" t="str">
        <f>IF(AND(_AC1="A-319",'2023'!$D$4="FO",'2023'!$D$2=U5),'2023DATA3'!$F$32,"")</f>
        <v/>
      </c>
      <c r="V35" s="518" t="str">
        <f>IF(AND(_AC1="A-319",'2023'!$D$4="FO",'2023'!$D$2=V5),'2023DATA3'!$G$32,"")</f>
        <v/>
      </c>
      <c r="W35" s="518" t="str">
        <f>IF(AND(_AC1="A-319",'2023'!$D$4="FO",'2023'!$D$2=W5),'2023DATA3'!$H$32,"")</f>
        <v/>
      </c>
      <c r="X35" s="518" t="str">
        <f>IF(AND(_AC1="A-319",'2023'!$D$4="FO",'2023'!$D$2=X5),'2023DATA3'!$I$32,"")</f>
        <v/>
      </c>
      <c r="Y35" s="518" t="str">
        <f>IF(AND(_AC1="A-319",'2023'!$D$4="FO",'2023'!$D$2=Y5),'2023DATA3'!$J$32,"")</f>
        <v/>
      </c>
      <c r="Z35" s="518" t="str">
        <f>IF(AND(_AC1="A-319",'2023'!$D$4="FO",'2023'!$D$2=Z5),'2023DATA3'!$K$32,"")</f>
        <v/>
      </c>
      <c r="AA35" s="518" t="str">
        <f>IF(AND(_AC1="A-319",'2023'!$D$4="FO",'2023'!$D$2=AA5),'2023DATA3'!$L$32,"")</f>
        <v/>
      </c>
      <c r="AB35" s="518" t="str">
        <f>IF(AND(_AC1="A-319",'2023'!$D$4="FO",'2023'!$D$2=AB5),'2023DATA3'!$M$32,"")</f>
        <v/>
      </c>
      <c r="AC35" s="520" t="str">
        <f>IF(AND(_AC1="A-319",'2023'!$D$4="FO",'2023'!$D$2=AC5),'2023DATA3'!$N$32,"")</f>
        <v/>
      </c>
      <c r="AD35" s="940"/>
      <c r="AE35" s="13" t="s">
        <v>62</v>
      </c>
      <c r="AF35" s="518" t="str">
        <f>IF(AND(_AC2="A-319",'2023'!$D$4="FO",'2023'!$D$2=AF5),'2023DATA3'!$C$32,"")</f>
        <v/>
      </c>
      <c r="AG35" s="518" t="str">
        <f>IF(AND(_AC2="A-319",'2023'!$D$4="FO",'2023'!$D$2=AG5),'2023DATA3'!$D$32,"")</f>
        <v/>
      </c>
      <c r="AH35" s="518" t="str">
        <f>IF(AND(_AC2="A-319",'2023'!$D$4="FO",'2023'!$D$2=AH5),'2023DATA3'!$E$32,"")</f>
        <v/>
      </c>
      <c r="AI35" s="518" t="str">
        <f>IF(AND(_AC2="A-319",'2023'!$D$4="FO",'2023'!$D$2=AI5),'2023DATA3'!$F$32,"")</f>
        <v/>
      </c>
      <c r="AJ35" s="518" t="str">
        <f>IF(AND(_AC2="A-319",'2023'!$D$4="FO",'2023'!$D$2=AJ5),'2023DATA3'!$G$32,"")</f>
        <v/>
      </c>
      <c r="AK35" s="518" t="str">
        <f>IF(AND(_AC2="A-319",'2023'!$D$4="FO",'2023'!$D$2=AK5),'2023DATA3'!$H$32,"")</f>
        <v/>
      </c>
      <c r="AL35" s="518" t="str">
        <f>IF(AND(_AC2="A-319",'2023'!$D$4="FO",'2023'!$D$2=AL5),'2023DATA3'!$I$32,"")</f>
        <v/>
      </c>
      <c r="AM35" s="518" t="str">
        <f>IF(AND(_AC2="A-319",'2023'!$D$4="FO",'2023'!$D$2=AM5),'2023DATA3'!$J$32,"")</f>
        <v/>
      </c>
      <c r="AN35" s="518" t="str">
        <f>IF(AND(_AC2="A-319",'2023'!$D$4="FO",'2023'!$D$2=AN5),'2023DATA3'!$K$32,"")</f>
        <v/>
      </c>
      <c r="AO35" s="518" t="str">
        <f>IF(AND(_AC2="A-319",'2023'!$D$4="FO",'2023'!$D$2=AO5),'2023DATA3'!$L$32,"")</f>
        <v/>
      </c>
      <c r="AP35" s="518" t="str">
        <f>IF(AND(_AC2="A-319",'2023'!$D$4="FO",'2023'!$D$2=AP5),'2023DATA3'!$M$32,"")</f>
        <v/>
      </c>
      <c r="AQ35" s="520" t="str">
        <f>IF(AND(_AC2="A-319",'2023'!$D$4="FO",'2023'!$D$2=AQ5),'2023DATA3'!$N$32,"")</f>
        <v/>
      </c>
      <c r="AR35" s="940"/>
      <c r="AS35" s="13" t="s">
        <v>62</v>
      </c>
      <c r="AT35" s="518" t="str">
        <f>IF(AND(_AC3="A-319",'2023'!$D$4="FO",'2023'!$D$2=AT5),'2023DATA3'!$C$32,"")</f>
        <v/>
      </c>
      <c r="AU35" s="518" t="str">
        <f>IF(AND(_AC3="A-319",'2023'!$D$4="FO",'2023'!$D$2=AU5),'2023DATA3'!$D$32,"")</f>
        <v/>
      </c>
      <c r="AV35" s="518" t="str">
        <f>IF(AND(_AC3="A-319",'2023'!$D$4="FO",'2023'!$D$2=AV5),'2023DATA3'!$E$32,"")</f>
        <v/>
      </c>
      <c r="AW35" s="518" t="str">
        <f>IF(AND(_AC3="A-319",'2023'!$D$4="FO",'2023'!$D$2=AW5),'2023DATA3'!$F$32,"")</f>
        <v/>
      </c>
      <c r="AX35" s="518" t="str">
        <f>IF(AND(_AC3="A-319",'2023'!$D$4="FO",'2023'!$D$2=AX5),'2023DATA3'!$G$32,"")</f>
        <v/>
      </c>
      <c r="AY35" s="518" t="str">
        <f>IF(AND(_AC3="A-319",'2023'!$D$4="FO",'2023'!$D$2=AY5),'2023DATA3'!$H$32,"")</f>
        <v/>
      </c>
      <c r="AZ35" s="518" t="str">
        <f>IF(AND(_AC3="A-319",'2023'!$D$4="FO",'2023'!$D$2=AZ5),'2023DATA3'!$I$32,"")</f>
        <v/>
      </c>
      <c r="BA35" s="518" t="str">
        <f>IF(AND(_AC3="A-319",'2023'!$D$4="FO",'2023'!$D$2=BA5),'2023DATA3'!$J$32,"")</f>
        <v/>
      </c>
      <c r="BB35" s="518" t="str">
        <f>IF(AND(_AC3="A-319",'2023'!$D$4="FO",'2023'!$D$2=BB5),'2023DATA3'!$K$32,"")</f>
        <v/>
      </c>
      <c r="BC35" s="518" t="str">
        <f>IF(AND(_AC3="A-319",'2023'!$D$4="FO",'2023'!$D$2=BC5),'2023DATA3'!$L$32,"")</f>
        <v/>
      </c>
      <c r="BD35" s="518" t="str">
        <f>IF(AND(_AC3="A-319",'2023'!$D$4="FO",'2023'!$D$2=BD5),'2023DATA3'!$M$32,"")</f>
        <v/>
      </c>
      <c r="BE35" s="520" t="str">
        <f>IF(AND(_AC3="A-319",'2023'!$D$4="FO",'2023'!$D$2=BE5),'2023DATA3'!$N$32,"")</f>
        <v/>
      </c>
      <c r="BF35" s="940"/>
      <c r="BG35" s="13" t="s">
        <v>62</v>
      </c>
      <c r="BH35" s="518" t="str">
        <f>IF(AND(_AC4="A-319",'2023'!$D$4="FO",'2023'!$D$2=BH5),'2023DATA3'!$C$32,"")</f>
        <v/>
      </c>
      <c r="BI35" s="518" t="str">
        <f>IF(AND(_AC4="A-319",'2023'!$D$4="FO",'2023'!$D$2=BI5),'2023DATA3'!$D$32,"")</f>
        <v/>
      </c>
      <c r="BJ35" s="518" t="str">
        <f>IF(AND(_AC4="A-319",'2023'!$D$4="FO",'2023'!$D$2=BJ5),'2023DATA3'!$E$32,"")</f>
        <v/>
      </c>
      <c r="BK35" s="518" t="str">
        <f>IF(AND(_AC4="A-319",'2023'!$D$4="FO",'2023'!$D$2=BK5),'2023DATA3'!$F$32,"")</f>
        <v/>
      </c>
      <c r="BL35" s="518" t="str">
        <f>IF(AND(_AC4="A-319",'2023'!$D$4="FO",'2023'!$D$2=BL5),'2023DATA3'!$G$32,"")</f>
        <v/>
      </c>
      <c r="BM35" s="518" t="str">
        <f>IF(AND(_AC4="A-319",'2023'!$D$4="FO",'2023'!$D$2=BM5),'2023DATA3'!$H$32,"")</f>
        <v/>
      </c>
      <c r="BN35" s="518" t="str">
        <f>IF(AND(_AC4="A-319",'2023'!$D$4="FO",'2023'!$D$2=BN5),'2023DATA3'!$I$32,"")</f>
        <v/>
      </c>
      <c r="BO35" s="518" t="str">
        <f>IF(AND(_AC4="A-319",'2023'!$D$4="FO",'2023'!$D$2=BO5),'2023DATA3'!$J$32,"")</f>
        <v/>
      </c>
      <c r="BP35" s="518" t="str">
        <f>IF(AND(_AC4="A-319",'2023'!$D$4="FO",'2023'!$D$2=BP5),'2023DATA3'!$K$32,"")</f>
        <v/>
      </c>
      <c r="BQ35" s="518" t="str">
        <f>IF(AND(_AC4="A-319",'2023'!$D$4="FO",'2023'!$D$2=BQ5),'2023DATA3'!$L$32,"")</f>
        <v/>
      </c>
      <c r="BR35" s="518" t="str">
        <f>IF(AND(_AC4="A-319",'2023'!$D$4="FO",'2023'!$D$2=BR5),'2023DATA3'!$M$32,"")</f>
        <v/>
      </c>
      <c r="BS35" s="520" t="str">
        <f>IF(AND(_AC4="A-319",'2023'!$D$4="FO",'2023'!$D$2=BS5),'2023DATA3'!$N$32,"")</f>
        <v/>
      </c>
      <c r="BT35" s="940"/>
      <c r="BU35" s="13" t="s">
        <v>62</v>
      </c>
      <c r="BV35" s="518" t="str">
        <f>IF(AND(_AC5="A-319",'2023'!$D$4="FO",'2023'!$D$2=BV5),'2023DATA3'!$C$32,"")</f>
        <v/>
      </c>
      <c r="BW35" s="518" t="str">
        <f>IF(AND(_AC5="A-319",'2023'!$D$4="FO",'2023'!$D$2=BW5),'2023DATA3'!$D$32,"")</f>
        <v/>
      </c>
      <c r="BX35" s="518" t="str">
        <f>IF(AND(_AC5="A-319",'2023'!$D$4="FO",'2023'!$D$2=BX5),'2023DATA3'!$E$32,"")</f>
        <v/>
      </c>
      <c r="BY35" s="518" t="str">
        <f>IF(AND(_AC5="A-319",'2023'!$D$4="FO",'2023'!$D$2=BY5),'2023DATA3'!$F$32,"")</f>
        <v/>
      </c>
      <c r="BZ35" s="518" t="str">
        <f>IF(AND(_AC5="A-319",'2023'!$D$4="FO",'2023'!$D$2=BZ5),'2023DATA3'!$G$32,"")</f>
        <v/>
      </c>
      <c r="CA35" s="518" t="str">
        <f>IF(AND(_AC5="A-319",'2023'!$D$4="FO",'2023'!$D$2=CA5),'2023DATA3'!$H$32,"")</f>
        <v/>
      </c>
      <c r="CB35" s="518" t="str">
        <f>IF(AND(_AC5="A-319",'2023'!$D$4="FO",'2023'!$D$2=CB5),'2023DATA3'!$I$32,"")</f>
        <v/>
      </c>
      <c r="CC35" s="518" t="str">
        <f>IF(AND(_AC5="A-319",'2023'!$D$4="FO",'2023'!$D$2=CC5),'2023DATA3'!$J$32,"")</f>
        <v/>
      </c>
      <c r="CD35" s="518" t="str">
        <f>IF(AND(_AC5="A-319",'2023'!$D$4="FO",'2023'!$D$2=CD5),'2023DATA3'!$K$32,"")</f>
        <v/>
      </c>
      <c r="CE35" s="518" t="str">
        <f>IF(AND(_AC5="A-319",'2023'!$D$4="FO",'2023'!$D$2=CE5),'2023DATA3'!$L$32,"")</f>
        <v/>
      </c>
      <c r="CF35" s="518" t="str">
        <f>IF(AND(_AC5="A-319",'2023'!$D$4="FO",'2023'!$D$2=CF5),'2023DATA3'!$M$32,"")</f>
        <v/>
      </c>
      <c r="CG35" s="520" t="str">
        <f>IF(AND(_AC5="A-319",'2023'!$D$4="FO",'2023'!$D$2=CG5),'2023DATA3'!$N$32,"")</f>
        <v/>
      </c>
      <c r="CH35" s="940"/>
      <c r="CI35" s="13" t="s">
        <v>62</v>
      </c>
      <c r="CJ35" s="518" t="str">
        <f>IF(AND(_AC6="A-319",'2023'!$D$4="FO",'2023'!$D$2=CJ5),'2023DATA3'!$C$32,"")</f>
        <v/>
      </c>
      <c r="CK35" s="518" t="str">
        <f>IF(AND(_AC6="A-319",'2023'!$D$4="FO",'2023'!$D$2=CK5),'2023DATA3'!$D$32,"")</f>
        <v/>
      </c>
      <c r="CL35" s="518" t="str">
        <f>IF(AND(_AC6="A-319",'2023'!$D$4="FO",'2023'!$D$2=CL5),'2023DATA3'!$E$32,"")</f>
        <v/>
      </c>
      <c r="CM35" s="518" t="str">
        <f>IF(AND(_AC6="A-319",'2023'!$D$4="FO",'2023'!$D$2=CM5),'2023DATA3'!$F$32,"")</f>
        <v/>
      </c>
      <c r="CN35" s="518" t="str">
        <f>IF(AND(_AC6="A-319",'2023'!$D$4="FO",'2023'!$D$2=CN5),'2023DATA3'!$G$32,"")</f>
        <v/>
      </c>
      <c r="CO35" s="518" t="str">
        <f>IF(AND(_AC6="A-319",'2023'!$D$4="FO",'2023'!$D$2=CO5),'2023DATA3'!$H$32,"")</f>
        <v/>
      </c>
      <c r="CP35" s="518" t="str">
        <f>IF(AND(_AC6="A-319",'2023'!$D$4="FO",'2023'!$D$2=CP5),'2023DATA3'!$I$32,"")</f>
        <v/>
      </c>
      <c r="CQ35" s="518" t="str">
        <f>IF(AND(_AC6="A-319",'2023'!$D$4="FO",'2023'!$D$2=CQ5),'2023DATA3'!$J$32,"")</f>
        <v/>
      </c>
      <c r="CR35" s="518" t="str">
        <f>IF(AND(_AC6="A-319",'2023'!$D$4="FO",'2023'!$D$2=CR5),'2023DATA3'!$K$32,"")</f>
        <v/>
      </c>
      <c r="CS35" s="518" t="str">
        <f>IF(AND(_AC6="A-319",'2023'!$D$4="FO",'2023'!$D$2=CS5),'2023DATA3'!$L$32,"")</f>
        <v/>
      </c>
      <c r="CT35" s="518" t="str">
        <f>IF(AND(_AC6="A-319",'2023'!$D$4="FO",'2023'!$D$2=CT5),'2023DATA3'!$M$32,"")</f>
        <v/>
      </c>
      <c r="CU35" s="520" t="str">
        <f>IF(AND(_AC6="A-319",'2023'!$D$4="FO",'2023'!$D$2=CU5),'2023DATA3'!$N$32,"")</f>
        <v/>
      </c>
    </row>
    <row r="36" spans="1:99" x14ac:dyDescent="0.25">
      <c r="A36" s="946"/>
      <c r="B36" s="78" t="s">
        <v>62</v>
      </c>
      <c r="C36" s="25">
        <v>211.83</v>
      </c>
      <c r="D36" s="26">
        <v>209.92</v>
      </c>
      <c r="E36" s="26">
        <v>208.01</v>
      </c>
      <c r="F36" s="26">
        <v>205.2</v>
      </c>
      <c r="G36" s="26">
        <v>203.01</v>
      </c>
      <c r="H36" s="26">
        <v>198.44</v>
      </c>
      <c r="I36" s="26">
        <v>193.04</v>
      </c>
      <c r="J36" s="26">
        <v>188.27</v>
      </c>
      <c r="K36" s="26">
        <v>183.84</v>
      </c>
      <c r="L36" s="26">
        <v>179.5</v>
      </c>
      <c r="M36" s="26">
        <v>153.4</v>
      </c>
      <c r="N36" s="27">
        <v>108.34</v>
      </c>
      <c r="P36" s="940" t="s">
        <v>51</v>
      </c>
      <c r="Q36" s="13" t="s">
        <v>61</v>
      </c>
      <c r="R36" s="518" t="str">
        <f>IF(AND(_AC1="A-220-300",'2023'!$D$4="CA",'2023'!$D$2=R5),'2023DATA3'!$C$33,"")</f>
        <v/>
      </c>
      <c r="S36" s="518" t="str">
        <f>IF(AND(_AC1="A-220-300",'2023'!$D$4="CA",'2023'!$D$2=S5),'2023DATA3'!$D$33,"")</f>
        <v/>
      </c>
      <c r="T36" s="518" t="str">
        <f>IF(AND(_AC1="A-220-300",'2023'!$D$4="CA",'2023'!$D$2=T5),'2023DATA3'!$E$33,"")</f>
        <v/>
      </c>
      <c r="U36" s="518" t="str">
        <f>IF(AND(_AC1="A-220-300",'2023'!$D$4="CA",'2023'!$D$2=U5),'2023DATA3'!$F$33,"")</f>
        <v/>
      </c>
      <c r="V36" s="518" t="str">
        <f>IF(AND(_AC1="A-220-300",'2023'!$D$4="CA",'2023'!$D$2=V5),'2023DATA3'!$G$33,"")</f>
        <v/>
      </c>
      <c r="W36" s="518" t="str">
        <f>IF(AND(_AC1="A-220-300",'2023'!$D$4="CA",'2023'!$D$2=W5),'2023DATA3'!$H$33,"")</f>
        <v/>
      </c>
      <c r="X36" s="518" t="str">
        <f>IF(AND(_AC1="A-220-300",'2023'!$D$4="CA",'2023'!$D$2=X5),'2023DATA3'!$I$33,"")</f>
        <v/>
      </c>
      <c r="Y36" s="518" t="str">
        <f>IF(AND(_AC1="A-220-300",'2023'!$D$4="CA",'2023'!$D$2=Y5),'2023DATA3'!$J$33,"")</f>
        <v/>
      </c>
      <c r="Z36" s="518" t="str">
        <f>IF(AND(_AC1="A-220-300",'2023'!$D$4="CA",'2023'!$D$2=Z5),'2023DATA3'!$K$33,"")</f>
        <v/>
      </c>
      <c r="AA36" s="518" t="str">
        <f>IF(AND(_AC1="A-220-300",'2023'!$D$4="CA",'2023'!$D$2=AA5),'2023DATA3'!$L$33,"")</f>
        <v/>
      </c>
      <c r="AB36" s="518" t="str">
        <f>IF(AND(_AC1="A-220-300",'2023'!$D$4="CA",'2023'!$D$2=AB5),'2023DATA3'!$M$33,"")</f>
        <v/>
      </c>
      <c r="AC36" s="520" t="str">
        <f>IF(AND(_AC1="A-220-300",'2023'!$D$4="CA",'2023'!$D$2=AC5),'2023DATA3'!$N$33,"")</f>
        <v/>
      </c>
      <c r="AD36" s="940" t="s">
        <v>51</v>
      </c>
      <c r="AE36" s="13" t="s">
        <v>61</v>
      </c>
      <c r="AF36" s="518" t="str">
        <f>IF(AND(_AC2="A-220-300",'2023'!$D$4="CA",'2023'!$D$2=AF5),'2023DATA3'!$C$33,"")</f>
        <v/>
      </c>
      <c r="AG36" s="518" t="str">
        <f>IF(AND(_AC2="A-220-300",'2023'!$D$4="CA",'2023'!$D$2=AG5),'2023DATA3'!$D$33,"")</f>
        <v/>
      </c>
      <c r="AH36" s="518" t="str">
        <f>IF(AND(_AC2="A-220-300",'2023'!$D$4="CA",'2023'!$D$2=AH5),'2023DATA3'!$E$33,"")</f>
        <v/>
      </c>
      <c r="AI36" s="518" t="str">
        <f>IF(AND(_AC2="A-220-300",'2023'!$D$4="CA",'2023'!$D$2=AI5),'2023DATA3'!$F$33,"")</f>
        <v/>
      </c>
      <c r="AJ36" s="518" t="str">
        <f>IF(AND(_AC2="A-220-300",'2023'!$D$4="CA",'2023'!$D$2=AJ5),'2023DATA3'!$G$33,"")</f>
        <v/>
      </c>
      <c r="AK36" s="518" t="str">
        <f>IF(AND(_AC2="A-220-300",'2023'!$D$4="CA",'2023'!$D$2=AK5),'2023DATA3'!$H$33,"")</f>
        <v/>
      </c>
      <c r="AL36" s="518" t="str">
        <f>IF(AND(_AC2="A-220-300",'2023'!$D$4="CA",'2023'!$D$2=AL5),'2023DATA3'!$I$33,"")</f>
        <v/>
      </c>
      <c r="AM36" s="518" t="str">
        <f>IF(AND(_AC2="A-220-300",'2023'!$D$4="CA",'2023'!$D$2=AM5),'2023DATA3'!$J$33,"")</f>
        <v/>
      </c>
      <c r="AN36" s="518" t="str">
        <f>IF(AND(_AC2="A-220-300",'2023'!$D$4="CA",'2023'!$D$2=AN5),'2023DATA3'!$K$33,"")</f>
        <v/>
      </c>
      <c r="AO36" s="518" t="str">
        <f>IF(AND(_AC2="A-220-300",'2023'!$D$4="CA",'2023'!$D$2=AO5),'2023DATA3'!$L$33,"")</f>
        <v/>
      </c>
      <c r="AP36" s="518" t="str">
        <f>IF(AND(_AC2="A-220-300",'2023'!$D$4="CA",'2023'!$D$2=AP5),'2023DATA3'!$M$33,"")</f>
        <v/>
      </c>
      <c r="AQ36" s="520" t="str">
        <f>IF(AND(_AC2="A-220-300",'2023'!$D$4="CA",'2023'!$D$2=AQ5),'2023DATA3'!$N$33,"")</f>
        <v/>
      </c>
      <c r="AR36" s="940" t="s">
        <v>51</v>
      </c>
      <c r="AS36" s="13" t="s">
        <v>61</v>
      </c>
      <c r="AT36" s="518" t="str">
        <f>IF(AND(_AC3="A-220-300",'2023'!$D$4="CA",'2023'!$D$2=AT5),'2023DATA3'!$C$33,"")</f>
        <v/>
      </c>
      <c r="AU36" s="518" t="str">
        <f>IF(AND(_AC3="A-220-300",'2023'!$D$4="CA",'2023'!$D$2=AU5),'2023DATA3'!$D$33,"")</f>
        <v/>
      </c>
      <c r="AV36" s="518" t="str">
        <f>IF(AND(_AC3="A-220-300",'2023'!$D$4="CA",'2023'!$D$2=AV5),'2023DATA3'!$E$33,"")</f>
        <v/>
      </c>
      <c r="AW36" s="518" t="str">
        <f>IF(AND(_AC3="A-220-300",'2023'!$D$4="CA",'2023'!$D$2=AW5),'2023DATA3'!$F$33,"")</f>
        <v/>
      </c>
      <c r="AX36" s="518" t="str">
        <f>IF(AND(_AC3="A-220-300",'2023'!$D$4="CA",'2023'!$D$2=AX5),'2023DATA3'!$G$33,"")</f>
        <v/>
      </c>
      <c r="AY36" s="518" t="str">
        <f>IF(AND(_AC3="A-220-300",'2023'!$D$4="CA",'2023'!$D$2=AY5),'2023DATA3'!$H$33,"")</f>
        <v/>
      </c>
      <c r="AZ36" s="518" t="str">
        <f>IF(AND(_AC3="A-220-300",'2023'!$D$4="CA",'2023'!$D$2=AZ5),'2023DATA3'!$I$33,"")</f>
        <v/>
      </c>
      <c r="BA36" s="518" t="str">
        <f>IF(AND(_AC3="A-220-300",'2023'!$D$4="CA",'2023'!$D$2=BA5),'2023DATA3'!$J$33,"")</f>
        <v/>
      </c>
      <c r="BB36" s="518" t="str">
        <f>IF(AND(_AC3="A-220-300",'2023'!$D$4="CA",'2023'!$D$2=BB5),'2023DATA3'!$K$33,"")</f>
        <v/>
      </c>
      <c r="BC36" s="518" t="str">
        <f>IF(AND(_AC3="A-220-300",'2023'!$D$4="CA",'2023'!$D$2=BC5),'2023DATA3'!$L$33,"")</f>
        <v/>
      </c>
      <c r="BD36" s="518" t="str">
        <f>IF(AND(_AC3="A-220-300",'2023'!$D$4="CA",'2023'!$D$2=BD5),'2023DATA3'!$M$33,"")</f>
        <v/>
      </c>
      <c r="BE36" s="520" t="str">
        <f>IF(AND(_AC3="A-220-300",'2023'!$D$4="CA",'2023'!$D$2=BE5),'2023DATA3'!$N$33,"")</f>
        <v/>
      </c>
      <c r="BF36" s="940" t="s">
        <v>51</v>
      </c>
      <c r="BG36" s="13" t="s">
        <v>61</v>
      </c>
      <c r="BH36" s="518" t="str">
        <f>IF(AND(_AC4="A-220-300",'2023'!$D$4="CA",'2023'!$D$2=BH5),'2023DATA3'!$C$33,"")</f>
        <v/>
      </c>
      <c r="BI36" s="518" t="str">
        <f>IF(AND(_AC4="A-220-300",'2023'!$D$4="CA",'2023'!$D$2=BI5),'2023DATA3'!$D$33,"")</f>
        <v/>
      </c>
      <c r="BJ36" s="518" t="str">
        <f>IF(AND(_AC4="A-220-300",'2023'!$D$4="CA",'2023'!$D$2=BJ5),'2023DATA3'!$E$33,"")</f>
        <v/>
      </c>
      <c r="BK36" s="518" t="str">
        <f>IF(AND(_AC4="A-220-300",'2023'!$D$4="CA",'2023'!$D$2=BK5),'2023DATA3'!$F$33,"")</f>
        <v/>
      </c>
      <c r="BL36" s="518" t="str">
        <f>IF(AND(_AC4="A-220-300",'2023'!$D$4="CA",'2023'!$D$2=BL5),'2023DATA3'!$G$33,"")</f>
        <v/>
      </c>
      <c r="BM36" s="518" t="str">
        <f>IF(AND(_AC4="A-220-300",'2023'!$D$4="CA",'2023'!$D$2=BM5),'2023DATA3'!$H$33,"")</f>
        <v/>
      </c>
      <c r="BN36" s="518" t="str">
        <f>IF(AND(_AC4="A-220-300",'2023'!$D$4="CA",'2023'!$D$2=BN5),'2023DATA3'!$I$33,"")</f>
        <v/>
      </c>
      <c r="BO36" s="518" t="str">
        <f>IF(AND(_AC4="A-220-300",'2023'!$D$4="CA",'2023'!$D$2=BO5),'2023DATA3'!$J$33,"")</f>
        <v/>
      </c>
      <c r="BP36" s="518" t="str">
        <f>IF(AND(_AC4="A-220-300",'2023'!$D$4="CA",'2023'!$D$2=BP5),'2023DATA3'!$K$33,"")</f>
        <v/>
      </c>
      <c r="BQ36" s="518" t="str">
        <f>IF(AND(_AC4="A-220-300",'2023'!$D$4="CA",'2023'!$D$2=BQ5),'2023DATA3'!$L$33,"")</f>
        <v/>
      </c>
      <c r="BR36" s="518" t="str">
        <f>IF(AND(_AC4="A-220-300",'2023'!$D$4="CA",'2023'!$D$2=BR5),'2023DATA3'!$M$33,"")</f>
        <v/>
      </c>
      <c r="BS36" s="520" t="str">
        <f>IF(AND(_AC4="A-220-300",'2023'!$D$4="CA",'2023'!$D$2=BS5),'2023DATA3'!$N$33,"")</f>
        <v/>
      </c>
      <c r="BT36" s="940" t="s">
        <v>51</v>
      </c>
      <c r="BU36" s="13" t="s">
        <v>61</v>
      </c>
      <c r="BV36" s="518" t="str">
        <f>IF(AND(_AC5="A-220-300",'2023'!$D$4="CA",'2023'!$D$2=BV5),'2023DATA3'!$C$33,"")</f>
        <v/>
      </c>
      <c r="BW36" s="518" t="str">
        <f>IF(AND(_AC5="A-220-300",'2023'!$D$4="CA",'2023'!$D$2=BW5),'2023DATA3'!$D$33,"")</f>
        <v/>
      </c>
      <c r="BX36" s="518" t="str">
        <f>IF(AND(_AC5="A-220-300",'2023'!$D$4="CA",'2023'!$D$2=BX5),'2023DATA3'!$E$33,"")</f>
        <v/>
      </c>
      <c r="BY36" s="518" t="str">
        <f>IF(AND(_AC5="A-220-300",'2023'!$D$4="CA",'2023'!$D$2=BY5),'2023DATA3'!$F$33,"")</f>
        <v/>
      </c>
      <c r="BZ36" s="518" t="str">
        <f>IF(AND(_AC5="A-220-300",'2023'!$D$4="CA",'2023'!$D$2=BZ5),'2023DATA3'!$G$33,"")</f>
        <v/>
      </c>
      <c r="CA36" s="518" t="str">
        <f>IF(AND(_AC5="A-220-300",'2023'!$D$4="CA",'2023'!$D$2=CA5),'2023DATA3'!$H$33,"")</f>
        <v/>
      </c>
      <c r="CB36" s="518" t="str">
        <f>IF(AND(_AC5="A-220-300",'2023'!$D$4="CA",'2023'!$D$2=CB5),'2023DATA3'!$I$33,"")</f>
        <v/>
      </c>
      <c r="CC36" s="518" t="str">
        <f>IF(AND(_AC5="A-220-300",'2023'!$D$4="CA",'2023'!$D$2=CC5),'2023DATA3'!$J$33,"")</f>
        <v/>
      </c>
      <c r="CD36" s="518" t="str">
        <f>IF(AND(_AC5="A-220-300",'2023'!$D$4="CA",'2023'!$D$2=CD5),'2023DATA3'!$K$33,"")</f>
        <v/>
      </c>
      <c r="CE36" s="518" t="str">
        <f>IF(AND(_AC5="A-220-300",'2023'!$D$4="CA",'2023'!$D$2=CE5),'2023DATA3'!$L$33,"")</f>
        <v/>
      </c>
      <c r="CF36" s="518" t="str">
        <f>IF(AND(_AC5="A-220-300",'2023'!$D$4="CA",'2023'!$D$2=CF5),'2023DATA3'!$M$33,"")</f>
        <v/>
      </c>
      <c r="CG36" s="520" t="str">
        <f>IF(AND(_AC5="A-220-300",'2023'!$D$4="CA",'2023'!$D$2=CG5),'2023DATA3'!$N$33,"")</f>
        <v/>
      </c>
      <c r="CH36" s="940" t="s">
        <v>51</v>
      </c>
      <c r="CI36" s="13" t="s">
        <v>61</v>
      </c>
      <c r="CJ36" s="518" t="str">
        <f>IF(AND(_AC6="A-220-300",'2023'!$D$4="CA",'2023'!$D$2=CJ5),'2023DATA3'!$C$33,"")</f>
        <v/>
      </c>
      <c r="CK36" s="518" t="str">
        <f>IF(AND(_AC6="A-220-300",'2023'!$D$4="CA",'2023'!$D$2=CK5),'2023DATA3'!$D$33,"")</f>
        <v/>
      </c>
      <c r="CL36" s="518" t="str">
        <f>IF(AND(_AC6="A-220-300",'2023'!$D$4="CA",'2023'!$D$2=CL5),'2023DATA3'!$E$33,"")</f>
        <v/>
      </c>
      <c r="CM36" s="518" t="str">
        <f>IF(AND(_AC6="A-220-300",'2023'!$D$4="CA",'2023'!$D$2=CM5),'2023DATA3'!$F$33,"")</f>
        <v/>
      </c>
      <c r="CN36" s="518" t="str">
        <f>IF(AND(_AC6="A-220-300",'2023'!$D$4="CA",'2023'!$D$2=CN5),'2023DATA3'!$G$33,"")</f>
        <v/>
      </c>
      <c r="CO36" s="518" t="str">
        <f>IF(AND(_AC6="A-220-300",'2023'!$D$4="CA",'2023'!$D$2=CO5),'2023DATA3'!$H$33,"")</f>
        <v/>
      </c>
      <c r="CP36" s="518" t="str">
        <f>IF(AND(_AC6="A-220-300",'2023'!$D$4="CA",'2023'!$D$2=CP5),'2023DATA3'!$I$33,"")</f>
        <v/>
      </c>
      <c r="CQ36" s="518" t="str">
        <f>IF(AND(_AC6="A-220-300",'2023'!$D$4="CA",'2023'!$D$2=CQ5),'2023DATA3'!$J$33,"")</f>
        <v/>
      </c>
      <c r="CR36" s="518" t="str">
        <f>IF(AND(_AC6="A-220-300",'2023'!$D$4="CA",'2023'!$D$2=CR5),'2023DATA3'!$K$33,"")</f>
        <v/>
      </c>
      <c r="CS36" s="518" t="str">
        <f>IF(AND(_AC6="A-220-300",'2023'!$D$4="CA",'2023'!$D$2=CS5),'2023DATA3'!$L$33,"")</f>
        <v/>
      </c>
      <c r="CT36" s="518" t="str">
        <f>IF(AND(_AC6="A-220-300",'2023'!$D$4="CA",'2023'!$D$2=CT5),'2023DATA3'!$M$33,"")</f>
        <v/>
      </c>
      <c r="CU36" s="520" t="str">
        <f>IF(AND(_AC6="A-220-300",'2023'!$D$4="CA",'2023'!$D$2=CU5),'2023DATA3'!$N$33,"")</f>
        <v/>
      </c>
    </row>
    <row r="37" spans="1:99" x14ac:dyDescent="0.25">
      <c r="A37" s="946" t="s">
        <v>53</v>
      </c>
      <c r="B37" s="78" t="s">
        <v>61</v>
      </c>
      <c r="C37" s="33">
        <v>301.57</v>
      </c>
      <c r="D37" s="34">
        <v>299.39999999999998</v>
      </c>
      <c r="E37" s="34">
        <v>297.08</v>
      </c>
      <c r="F37" s="34">
        <v>294.77999999999997</v>
      </c>
      <c r="G37" s="34">
        <v>292.51</v>
      </c>
      <c r="H37" s="34">
        <v>290.24</v>
      </c>
      <c r="I37" s="34">
        <v>288.05</v>
      </c>
      <c r="J37" s="34">
        <v>285.69</v>
      </c>
      <c r="K37" s="34">
        <v>283.51</v>
      </c>
      <c r="L37" s="34">
        <v>281.23</v>
      </c>
      <c r="M37" s="34">
        <v>278.94</v>
      </c>
      <c r="N37" s="35">
        <v>276.89999999999998</v>
      </c>
      <c r="P37" s="940"/>
      <c r="Q37" s="13" t="s">
        <v>62</v>
      </c>
      <c r="R37" s="518" t="str">
        <f>IF(AND(_AC1="A-220-300",'2023'!$D$4="FO",'2023'!$D$2=R5),'2023DATA3'!$C$34,"")</f>
        <v/>
      </c>
      <c r="S37" s="518" t="str">
        <f>IF(AND(_AC1="A-220-300",'2023'!$D$4="FO",'2023'!$D$2=S5),'2023DATA3'!$D$34,"")</f>
        <v/>
      </c>
      <c r="T37" s="518" t="str">
        <f>IF(AND(_AC1="A-220-300",'2023'!$D$4="FO",'2023'!$D$2=T5),'2023DATA3'!$E$34,"")</f>
        <v/>
      </c>
      <c r="U37" s="518" t="str">
        <f>IF(AND(_AC1="A-220-300",'2023'!$D$4="FO",'2023'!$D$2=U5),'2023DATA3'!$F$34,"")</f>
        <v/>
      </c>
      <c r="V37" s="518" t="str">
        <f>IF(AND(_AC1="A-220-300",'2023'!$D$4="FO",'2023'!$D$2=V5),'2023DATA3'!$G$34,"")</f>
        <v/>
      </c>
      <c r="W37" s="518" t="str">
        <f>IF(AND(_AC1="A-220-300",'2023'!$D$4="FO",'2023'!$D$2=W5),'2023DATA3'!$H$34,"")</f>
        <v/>
      </c>
      <c r="X37" s="518" t="str">
        <f>IF(AND(_AC1="A-220-300",'2023'!$D$4="FO",'2023'!$D$2=X5),'2023DATA3'!$I$34,"")</f>
        <v/>
      </c>
      <c r="Y37" s="518" t="str">
        <f>IF(AND(_AC1="A-220-300",'2023'!$D$4="FO",'2023'!$D$2=Y5),'2023DATA3'!$J$34,"")</f>
        <v/>
      </c>
      <c r="Z37" s="518" t="str">
        <f>IF(AND(_AC1="A-220-300",'2023'!$D$4="FO",'2023'!$D$2=Z5),'2023DATA3'!$K$34,"")</f>
        <v/>
      </c>
      <c r="AA37" s="518" t="str">
        <f>IF(AND(_AC1="A-220-300",'2023'!$D$4="FO",'2023'!$D$2=AA5),'2023DATA3'!$L$34,"")</f>
        <v/>
      </c>
      <c r="AB37" s="518" t="str">
        <f>IF(AND(_AC1="A-220-300",'2023'!$D$4="FO",'2023'!$D$2=AB5),'2023DATA3'!$M$34,"")</f>
        <v/>
      </c>
      <c r="AC37" s="520" t="str">
        <f>IF(AND(_AC1="A-220-300",'2023'!$D$4="FO",'2023'!$D$2=AC5),'2023DATA3'!$N$34,"")</f>
        <v/>
      </c>
      <c r="AD37" s="940"/>
      <c r="AE37" s="13" t="s">
        <v>62</v>
      </c>
      <c r="AF37" s="518" t="str">
        <f>IF(AND(_AC2="A-220-300",'2023'!$D$4="FO",'2023'!$D$2=AF5),'2023DATA3'!$C$34,"")</f>
        <v/>
      </c>
      <c r="AG37" s="518" t="str">
        <f>IF(AND(_AC2="A-220-300",'2023'!$D$4="FO",'2023'!$D$2=AG5),'2023DATA3'!$D$34,"")</f>
        <v/>
      </c>
      <c r="AH37" s="518" t="str">
        <f>IF(AND(_AC2="A-220-300",'2023'!$D$4="FO",'2023'!$D$2=AH5),'2023DATA3'!$E$34,"")</f>
        <v/>
      </c>
      <c r="AI37" s="518" t="str">
        <f>IF(AND(_AC2="A-220-300",'2023'!$D$4="FO",'2023'!$D$2=AI5),'2023DATA3'!$F$34,"")</f>
        <v/>
      </c>
      <c r="AJ37" s="518" t="str">
        <f>IF(AND(_AC2="A-220-300",'2023'!$D$4="FO",'2023'!$D$2=AJ5),'2023DATA3'!$G$34,"")</f>
        <v/>
      </c>
      <c r="AK37" s="518" t="str">
        <f>IF(AND(_AC2="A-220-300",'2023'!$D$4="FO",'2023'!$D$2=AK5),'2023DATA3'!$H$34,"")</f>
        <v/>
      </c>
      <c r="AL37" s="518" t="str">
        <f>IF(AND(_AC2="A-220-300",'2023'!$D$4="FO",'2023'!$D$2=AL5),'2023DATA3'!$I$34,"")</f>
        <v/>
      </c>
      <c r="AM37" s="518" t="str">
        <f>IF(AND(_AC2="A-220-300",'2023'!$D$4="FO",'2023'!$D$2=AM5),'2023DATA3'!$J$34,"")</f>
        <v/>
      </c>
      <c r="AN37" s="518" t="str">
        <f>IF(AND(_AC2="A-220-300",'2023'!$D$4="FO",'2023'!$D$2=AN5),'2023DATA3'!$K$34,"")</f>
        <v/>
      </c>
      <c r="AO37" s="518" t="str">
        <f>IF(AND(_AC2="A-220-300",'2023'!$D$4="FO",'2023'!$D$2=AO5),'2023DATA3'!$L$34,"")</f>
        <v/>
      </c>
      <c r="AP37" s="518" t="str">
        <f>IF(AND(_AC2="A-220-300",'2023'!$D$4="FO",'2023'!$D$2=AP5),'2023DATA3'!$M$34,"")</f>
        <v/>
      </c>
      <c r="AQ37" s="520" t="str">
        <f>IF(AND(_AC2="A-220-300",'2023'!$D$4="FO",'2023'!$D$2=AQ5),'2023DATA3'!$N$34,"")</f>
        <v/>
      </c>
      <c r="AR37" s="940"/>
      <c r="AS37" s="13" t="s">
        <v>62</v>
      </c>
      <c r="AT37" s="518" t="str">
        <f>IF(AND(_AC3="A-220-300",'2023'!$D$4="FO",'2023'!$D$2=AT5),'2023DATA3'!$C$34,"")</f>
        <v/>
      </c>
      <c r="AU37" s="518" t="str">
        <f>IF(AND(_AC3="A-220-300",'2023'!$D$4="FO",'2023'!$D$2=AU5),'2023DATA3'!$D$34,"")</f>
        <v/>
      </c>
      <c r="AV37" s="518" t="str">
        <f>IF(AND(_AC3="A-220-300",'2023'!$D$4="FO",'2023'!$D$2=AV5),'2023DATA3'!$E$34,"")</f>
        <v/>
      </c>
      <c r="AW37" s="518" t="str">
        <f>IF(AND(_AC3="A-220-300",'2023'!$D$4="FO",'2023'!$D$2=AW5),'2023DATA3'!$F$34,"")</f>
        <v/>
      </c>
      <c r="AX37" s="518" t="str">
        <f>IF(AND(_AC3="A-220-300",'2023'!$D$4="FO",'2023'!$D$2=AX5),'2023DATA3'!$G$34,"")</f>
        <v/>
      </c>
      <c r="AY37" s="518" t="str">
        <f>IF(AND(_AC3="A-220-300",'2023'!$D$4="FO",'2023'!$D$2=AY5),'2023DATA3'!$H$34,"")</f>
        <v/>
      </c>
      <c r="AZ37" s="518" t="str">
        <f>IF(AND(_AC3="A-220-300",'2023'!$D$4="FO",'2023'!$D$2=AZ5),'2023DATA3'!$I$34,"")</f>
        <v/>
      </c>
      <c r="BA37" s="518" t="str">
        <f>IF(AND(_AC3="A-220-300",'2023'!$D$4="FO",'2023'!$D$2=BA5),'2023DATA3'!$J$34,"")</f>
        <v/>
      </c>
      <c r="BB37" s="518" t="str">
        <f>IF(AND(_AC3="A-220-300",'2023'!$D$4="FO",'2023'!$D$2=BB5),'2023DATA3'!$K$34,"")</f>
        <v/>
      </c>
      <c r="BC37" s="518" t="str">
        <f>IF(AND(_AC3="A-220-300",'2023'!$D$4="FO",'2023'!$D$2=BC5),'2023DATA3'!$L$34,"")</f>
        <v/>
      </c>
      <c r="BD37" s="518" t="str">
        <f>IF(AND(_AC3="A-220-300",'2023'!$D$4="FO",'2023'!$D$2=BD5),'2023DATA3'!$M$34,"")</f>
        <v/>
      </c>
      <c r="BE37" s="520" t="str">
        <f>IF(AND(_AC3="A-220-300",'2023'!$D$4="FO",'2023'!$D$2=BE5),'2023DATA3'!$N$34,"")</f>
        <v/>
      </c>
      <c r="BF37" s="940"/>
      <c r="BG37" s="13" t="s">
        <v>62</v>
      </c>
      <c r="BH37" s="518" t="str">
        <f>IF(AND(_AC4="A-220-300",'2023'!$D$4="FO",'2023'!$D$2=BH5),'2023DATA3'!$C$34,"")</f>
        <v/>
      </c>
      <c r="BI37" s="518" t="str">
        <f>IF(AND(_AC4="A-220-300",'2023'!$D$4="FO",'2023'!$D$2=BI5),'2023DATA3'!$D$34,"")</f>
        <v/>
      </c>
      <c r="BJ37" s="518" t="str">
        <f>IF(AND(_AC4="A-220-300",'2023'!$D$4="FO",'2023'!$D$2=BJ5),'2023DATA3'!$E$34,"")</f>
        <v/>
      </c>
      <c r="BK37" s="518" t="str">
        <f>IF(AND(_AC4="A-220-300",'2023'!$D$4="FO",'2023'!$D$2=BK5),'2023DATA3'!$F$34,"")</f>
        <v/>
      </c>
      <c r="BL37" s="518" t="str">
        <f>IF(AND(_AC4="A-220-300",'2023'!$D$4="FO",'2023'!$D$2=BL5),'2023DATA3'!$G$34,"")</f>
        <v/>
      </c>
      <c r="BM37" s="518" t="str">
        <f>IF(AND(_AC4="A-220-300",'2023'!$D$4="FO",'2023'!$D$2=BM5),'2023DATA3'!$H$34,"")</f>
        <v/>
      </c>
      <c r="BN37" s="518" t="str">
        <f>IF(AND(_AC4="A-220-300",'2023'!$D$4="FO",'2023'!$D$2=BN5),'2023DATA3'!$I$34,"")</f>
        <v/>
      </c>
      <c r="BO37" s="518" t="str">
        <f>IF(AND(_AC4="A-220-300",'2023'!$D$4="FO",'2023'!$D$2=BO5),'2023DATA3'!$J$34,"")</f>
        <v/>
      </c>
      <c r="BP37" s="518" t="str">
        <f>IF(AND(_AC4="A-220-300",'2023'!$D$4="FO",'2023'!$D$2=BP5),'2023DATA3'!$K$34,"")</f>
        <v/>
      </c>
      <c r="BQ37" s="518" t="str">
        <f>IF(AND(_AC4="A-220-300",'2023'!$D$4="FO",'2023'!$D$2=BQ5),'2023DATA3'!$L$34,"")</f>
        <v/>
      </c>
      <c r="BR37" s="518" t="str">
        <f>IF(AND(_AC4="A-220-300",'2023'!$D$4="FO",'2023'!$D$2=BR5),'2023DATA3'!$M$34,"")</f>
        <v/>
      </c>
      <c r="BS37" s="520" t="str">
        <f>IF(AND(_AC4="A-220-300",'2023'!$D$4="FO",'2023'!$D$2=BS5),'2023DATA3'!$N$34,"")</f>
        <v/>
      </c>
      <c r="BT37" s="940"/>
      <c r="BU37" s="13" t="s">
        <v>62</v>
      </c>
      <c r="BV37" s="518" t="str">
        <f>IF(AND(_AC5="A-220-300",'2023'!$D$4="FO",'2023'!$D$2=BV5),'2023DATA3'!$C$34,"")</f>
        <v/>
      </c>
      <c r="BW37" s="518" t="str">
        <f>IF(AND(_AC5="A-220-300",'2023'!$D$4="FO",'2023'!$D$2=BW5),'2023DATA3'!$D$34,"")</f>
        <v/>
      </c>
      <c r="BX37" s="518" t="str">
        <f>IF(AND(_AC5="A-220-300",'2023'!$D$4="FO",'2023'!$D$2=BX5),'2023DATA3'!$E$34,"")</f>
        <v/>
      </c>
      <c r="BY37" s="518" t="str">
        <f>IF(AND(_AC5="A-220-300",'2023'!$D$4="FO",'2023'!$D$2=BY5),'2023DATA3'!$F$34,"")</f>
        <v/>
      </c>
      <c r="BZ37" s="518" t="str">
        <f>IF(AND(_AC5="A-220-300",'2023'!$D$4="FO",'2023'!$D$2=BZ5),'2023DATA3'!$G$34,"")</f>
        <v/>
      </c>
      <c r="CA37" s="518" t="str">
        <f>IF(AND(_AC5="A-220-300",'2023'!$D$4="FO",'2023'!$D$2=CA5),'2023DATA3'!$H$34,"")</f>
        <v/>
      </c>
      <c r="CB37" s="518" t="str">
        <f>IF(AND(_AC5="A-220-300",'2023'!$D$4="FO",'2023'!$D$2=CB5),'2023DATA3'!$I$34,"")</f>
        <v/>
      </c>
      <c r="CC37" s="518" t="str">
        <f>IF(AND(_AC5="A-220-300",'2023'!$D$4="FO",'2023'!$D$2=CC5),'2023DATA3'!$J$34,"")</f>
        <v/>
      </c>
      <c r="CD37" s="518" t="str">
        <f>IF(AND(_AC5="A-220-300",'2023'!$D$4="FO",'2023'!$D$2=CD5),'2023DATA3'!$K$34,"")</f>
        <v/>
      </c>
      <c r="CE37" s="518" t="str">
        <f>IF(AND(_AC5="A-220-300",'2023'!$D$4="FO",'2023'!$D$2=CE5),'2023DATA3'!$L$34,"")</f>
        <v/>
      </c>
      <c r="CF37" s="518" t="str">
        <f>IF(AND(_AC5="A-220-300",'2023'!$D$4="FO",'2023'!$D$2=CF5),'2023DATA3'!$M$34,"")</f>
        <v/>
      </c>
      <c r="CG37" s="520" t="str">
        <f>IF(AND(_AC5="A-220-300",'2023'!$D$4="FO",'2023'!$D$2=CG5),'2023DATA3'!$N$34,"")</f>
        <v/>
      </c>
      <c r="CH37" s="940"/>
      <c r="CI37" s="13" t="s">
        <v>62</v>
      </c>
      <c r="CJ37" s="518" t="str">
        <f>IF(AND(_AC6="A-220-300",'2023'!$D$4="FO",'2023'!$D$2=CJ5),'2023DATA3'!$C$34,"")</f>
        <v/>
      </c>
      <c r="CK37" s="518" t="str">
        <f>IF(AND(_AC6="A-220-300",'2023'!$D$4="FO",'2023'!$D$2=CK5),'2023DATA3'!$D$34,"")</f>
        <v/>
      </c>
      <c r="CL37" s="518" t="str">
        <f>IF(AND(_AC6="A-220-300",'2023'!$D$4="FO",'2023'!$D$2=CL5),'2023DATA3'!$E$34,"")</f>
        <v/>
      </c>
      <c r="CM37" s="518" t="str">
        <f>IF(AND(_AC6="A-220-300",'2023'!$D$4="FO",'2023'!$D$2=CM5),'2023DATA3'!$F$34,"")</f>
        <v/>
      </c>
      <c r="CN37" s="518" t="str">
        <f>IF(AND(_AC6="A-220-300",'2023'!$D$4="FO",'2023'!$D$2=CN5),'2023DATA3'!$G$34,"")</f>
        <v/>
      </c>
      <c r="CO37" s="518" t="str">
        <f>IF(AND(_AC6="A-220-300",'2023'!$D$4="FO",'2023'!$D$2=CO5),'2023DATA3'!$H$34,"")</f>
        <v/>
      </c>
      <c r="CP37" s="518" t="str">
        <f>IF(AND(_AC6="A-220-300",'2023'!$D$4="FO",'2023'!$D$2=CP5),'2023DATA3'!$I$34,"")</f>
        <v/>
      </c>
      <c r="CQ37" s="518" t="str">
        <f>IF(AND(_AC6="A-220-300",'2023'!$D$4="FO",'2023'!$D$2=CQ5),'2023DATA3'!$J$34,"")</f>
        <v/>
      </c>
      <c r="CR37" s="518" t="str">
        <f>IF(AND(_AC6="A-220-300",'2023'!$D$4="FO",'2023'!$D$2=CR5),'2023DATA3'!$K$34,"")</f>
        <v/>
      </c>
      <c r="CS37" s="518" t="str">
        <f>IF(AND(_AC6="A-220-300",'2023'!$D$4="FO",'2023'!$D$2=CS5),'2023DATA3'!$L$34,"")</f>
        <v/>
      </c>
      <c r="CT37" s="518" t="str">
        <f>IF(AND(_AC6="A-220-300",'2023'!$D$4="FO",'2023'!$D$2=CT5),'2023DATA3'!$M$34,"")</f>
        <v/>
      </c>
      <c r="CU37" s="520" t="str">
        <f>IF(AND(_AC6="A-220-300",'2023'!$D$4="FO",'2023'!$D$2=CU5),'2023DATA3'!$N$34,"")</f>
        <v/>
      </c>
    </row>
    <row r="38" spans="1:99" ht="15.75" thickBot="1" x14ac:dyDescent="0.3">
      <c r="A38" s="957"/>
      <c r="B38" s="79" t="s">
        <v>62</v>
      </c>
      <c r="C38" s="41">
        <v>205.96</v>
      </c>
      <c r="D38" s="42">
        <v>204.23</v>
      </c>
      <c r="E38" s="42">
        <v>202.3</v>
      </c>
      <c r="F38" s="42">
        <v>199.56</v>
      </c>
      <c r="G38" s="42">
        <v>197.47</v>
      </c>
      <c r="H38" s="42">
        <v>193</v>
      </c>
      <c r="I38" s="42">
        <v>187.8</v>
      </c>
      <c r="J38" s="42">
        <v>183.11</v>
      </c>
      <c r="K38" s="42">
        <v>178.89</v>
      </c>
      <c r="L38" s="42">
        <v>174.63</v>
      </c>
      <c r="M38" s="42">
        <v>149.21</v>
      </c>
      <c r="N38" s="43">
        <v>108.34</v>
      </c>
      <c r="P38" s="940" t="s">
        <v>52</v>
      </c>
      <c r="Q38" s="13" t="s">
        <v>61</v>
      </c>
      <c r="R38" s="518" t="str">
        <f>IF(AND(_AC1="A-220-100",'2023'!$D$4="CA",'2023'!$D$2=R5),'2023DATA3'!$C$35,"")</f>
        <v/>
      </c>
      <c r="S38" s="518" t="str">
        <f>IF(AND(_AC1="A-220-100",'2023'!$D$4="CA",'2023'!$D$2=S5),'2023DATA3'!$D$35,"")</f>
        <v/>
      </c>
      <c r="T38" s="518" t="str">
        <f>IF(AND(_AC1="A-220-100",'2023'!$D$4="CA",'2023'!$D$2=T5),'2023DATA3'!$E$35,"")</f>
        <v/>
      </c>
      <c r="U38" s="518" t="str">
        <f>IF(AND(_AC1="A-220-100",'2023'!$D$4="CA",'2023'!$D$2=U5),'2023DATA3'!$F$35,"")</f>
        <v/>
      </c>
      <c r="V38" s="518" t="str">
        <f>IF(AND(_AC1="A-220-100",'2023'!$D$4="CA",'2023'!$D$2=V5),'2023DATA3'!$G$35,"")</f>
        <v/>
      </c>
      <c r="W38" s="518" t="str">
        <f>IF(AND(_AC1="A-220-100",'2023'!$D$4="CA",'2023'!$D$2=W5),'2023DATA3'!$H$35,"")</f>
        <v/>
      </c>
      <c r="X38" s="518" t="str">
        <f>IF(AND(_AC1="A-220-100",'2023'!$D$4="CA",'2023'!$D$2=X5),'2023DATA3'!$I$35,"")</f>
        <v/>
      </c>
      <c r="Y38" s="518" t="str">
        <f>IF(AND(_AC1="A-220-100",'2023'!$D$4="CA",'2023'!$D$2=Y5),'2023DATA3'!$J$35,"")</f>
        <v/>
      </c>
      <c r="Z38" s="518" t="str">
        <f>IF(AND(_AC1="A-220-100",'2023'!$D$4="CA",'2023'!$D$2=Z5),'2023DATA3'!$K$35,"")</f>
        <v/>
      </c>
      <c r="AA38" s="518" t="str">
        <f>IF(AND(_AC1="A-220-100",'2023'!$D$4="CA",'2023'!$D$2=AA5),'2023DATA3'!$L$35,"")</f>
        <v/>
      </c>
      <c r="AB38" s="518" t="str">
        <f>IF(AND(_AC1="A-220-100",'2023'!$D$4="CA",'2023'!$D$2=AB5),'2023DATA3'!$M$35,"")</f>
        <v/>
      </c>
      <c r="AC38" s="520" t="str">
        <f>IF(AND(_AC1="A-220-100",'2023'!$D$4="CA",'2023'!$D$2=AC5),'2023DATA3'!$N$35,"")</f>
        <v/>
      </c>
      <c r="AD38" s="940" t="s">
        <v>52</v>
      </c>
      <c r="AE38" s="13" t="s">
        <v>61</v>
      </c>
      <c r="AF38" s="518" t="str">
        <f>IF(AND(_AC2="A-220-100",'2023'!$D$4="CA",'2023'!$D$2=AF5),'2023DATA3'!$C$35,"")</f>
        <v/>
      </c>
      <c r="AG38" s="518" t="str">
        <f>IF(AND(_AC2="A-220-100",'2023'!$D$4="CA",'2023'!$D$2=AG5),'2023DATA3'!$D$35,"")</f>
        <v/>
      </c>
      <c r="AH38" s="518" t="str">
        <f>IF(AND(_AC2="A-220-100",'2023'!$D$4="CA",'2023'!$D$2=AH5),'2023DATA3'!$E$35,"")</f>
        <v/>
      </c>
      <c r="AI38" s="518" t="str">
        <f>IF(AND(_AC2="A-220-100",'2023'!$D$4="CA",'2023'!$D$2=AI5),'2023DATA3'!$F$35,"")</f>
        <v/>
      </c>
      <c r="AJ38" s="518" t="str">
        <f>IF(AND(_AC2="A-220-100",'2023'!$D$4="CA",'2023'!$D$2=AJ5),'2023DATA3'!$G$35,"")</f>
        <v/>
      </c>
      <c r="AK38" s="518" t="str">
        <f>IF(AND(_AC2="A-220-100",'2023'!$D$4="CA",'2023'!$D$2=AK5),'2023DATA3'!$H$35,"")</f>
        <v/>
      </c>
      <c r="AL38" s="518" t="str">
        <f>IF(AND(_AC2="A-220-100",'2023'!$D$4="CA",'2023'!$D$2=AL5),'2023DATA3'!$I$35,"")</f>
        <v/>
      </c>
      <c r="AM38" s="518" t="str">
        <f>IF(AND(_AC2="A-220-100",'2023'!$D$4="CA",'2023'!$D$2=AM5),'2023DATA3'!$J$35,"")</f>
        <v/>
      </c>
      <c r="AN38" s="518" t="str">
        <f>IF(AND(_AC2="A-220-100",'2023'!$D$4="CA",'2023'!$D$2=AN5),'2023DATA3'!$K$35,"")</f>
        <v/>
      </c>
      <c r="AO38" s="518" t="str">
        <f>IF(AND(_AC2="A-220-100",'2023'!$D$4="CA",'2023'!$D$2=AO5),'2023DATA3'!$L$35,"")</f>
        <v/>
      </c>
      <c r="AP38" s="518" t="str">
        <f>IF(AND(_AC2="A-220-100",'2023'!$D$4="CA",'2023'!$D$2=AP5),'2023DATA3'!$M$35,"")</f>
        <v/>
      </c>
      <c r="AQ38" s="520" t="str">
        <f>IF(AND(_AC2="A-220-100",'2023'!$D$4="CA",'2023'!$D$2=AQ5),'2023DATA3'!$N$35,"")</f>
        <v/>
      </c>
      <c r="AR38" s="940" t="s">
        <v>52</v>
      </c>
      <c r="AS38" s="13" t="s">
        <v>61</v>
      </c>
      <c r="AT38" s="518" t="str">
        <f>IF(AND(_AC3="A-220-100",'2023'!$D$4="CA",'2023'!$D$2=AT5),'2023DATA3'!$C$35,"")</f>
        <v/>
      </c>
      <c r="AU38" s="518" t="str">
        <f>IF(AND(_AC3="A-220-100",'2023'!$D$4="CA",'2023'!$D$2=AU5),'2023DATA3'!$D$35,"")</f>
        <v/>
      </c>
      <c r="AV38" s="518" t="str">
        <f>IF(AND(_AC3="A-220-100",'2023'!$D$4="CA",'2023'!$D$2=AV5),'2023DATA3'!$E$35,"")</f>
        <v/>
      </c>
      <c r="AW38" s="518" t="str">
        <f>IF(AND(_AC3="A-220-100",'2023'!$D$4="CA",'2023'!$D$2=AW5),'2023DATA3'!$F$35,"")</f>
        <v/>
      </c>
      <c r="AX38" s="518" t="str">
        <f>IF(AND(_AC3="A-220-100",'2023'!$D$4="CA",'2023'!$D$2=AX5),'2023DATA3'!$G$35,"")</f>
        <v/>
      </c>
      <c r="AY38" s="518" t="str">
        <f>IF(AND(_AC3="A-220-100",'2023'!$D$4="CA",'2023'!$D$2=AY5),'2023DATA3'!$H$35,"")</f>
        <v/>
      </c>
      <c r="AZ38" s="518" t="str">
        <f>IF(AND(_AC3="A-220-100",'2023'!$D$4="CA",'2023'!$D$2=AZ5),'2023DATA3'!$I$35,"")</f>
        <v/>
      </c>
      <c r="BA38" s="518" t="str">
        <f>IF(AND(_AC3="A-220-100",'2023'!$D$4="CA",'2023'!$D$2=BA5),'2023DATA3'!$J$35,"")</f>
        <v/>
      </c>
      <c r="BB38" s="518" t="str">
        <f>IF(AND(_AC3="A-220-100",'2023'!$D$4="CA",'2023'!$D$2=BB5),'2023DATA3'!$K$35,"")</f>
        <v/>
      </c>
      <c r="BC38" s="518" t="str">
        <f>IF(AND(_AC3="A-220-100",'2023'!$D$4="CA",'2023'!$D$2=BC5),'2023DATA3'!$L$35,"")</f>
        <v/>
      </c>
      <c r="BD38" s="518" t="str">
        <f>IF(AND(_AC3="A-220-100",'2023'!$D$4="CA",'2023'!$D$2=BD5),'2023DATA3'!$M$35,"")</f>
        <v/>
      </c>
      <c r="BE38" s="520" t="str">
        <f>IF(AND(_AC3="A-220-100",'2023'!$D$4="CA",'2023'!$D$2=BE5),'2023DATA3'!$N$35,"")</f>
        <v/>
      </c>
      <c r="BF38" s="940" t="s">
        <v>52</v>
      </c>
      <c r="BG38" s="13" t="s">
        <v>61</v>
      </c>
      <c r="BH38" s="518" t="str">
        <f>IF(AND(_AC4="A-220-100",'2023'!$D$4="CA",'2023'!$D$2=BH5),'2023DATA3'!$C$35,"")</f>
        <v/>
      </c>
      <c r="BI38" s="518" t="str">
        <f>IF(AND(_AC4="A-220-100",'2023'!$D$4="CA",'2023'!$D$2=BI5),'2023DATA3'!$D$35,"")</f>
        <v/>
      </c>
      <c r="BJ38" s="518" t="str">
        <f>IF(AND(_AC4="A-220-100",'2023'!$D$4="CA",'2023'!$D$2=BJ5),'2023DATA3'!$E$35,"")</f>
        <v/>
      </c>
      <c r="BK38" s="518" t="str">
        <f>IF(AND(_AC4="A-220-100",'2023'!$D$4="CA",'2023'!$D$2=BK5),'2023DATA3'!$F$35,"")</f>
        <v/>
      </c>
      <c r="BL38" s="518" t="str">
        <f>IF(AND(_AC4="A-220-100",'2023'!$D$4="CA",'2023'!$D$2=BL5),'2023DATA3'!$G$35,"")</f>
        <v/>
      </c>
      <c r="BM38" s="518" t="str">
        <f>IF(AND(_AC4="A-220-100",'2023'!$D$4="CA",'2023'!$D$2=BM5),'2023DATA3'!$H$35,"")</f>
        <v/>
      </c>
      <c r="BN38" s="518" t="str">
        <f>IF(AND(_AC4="A-220-100",'2023'!$D$4="CA",'2023'!$D$2=BN5),'2023DATA3'!$I$35,"")</f>
        <v/>
      </c>
      <c r="BO38" s="518" t="str">
        <f>IF(AND(_AC4="A-220-100",'2023'!$D$4="CA",'2023'!$D$2=BO5),'2023DATA3'!$J$35,"")</f>
        <v/>
      </c>
      <c r="BP38" s="518" t="str">
        <f>IF(AND(_AC4="A-220-100",'2023'!$D$4="CA",'2023'!$D$2=BP5),'2023DATA3'!$K$35,"")</f>
        <v/>
      </c>
      <c r="BQ38" s="518" t="str">
        <f>IF(AND(_AC4="A-220-100",'2023'!$D$4="CA",'2023'!$D$2=BQ5),'2023DATA3'!$L$35,"")</f>
        <v/>
      </c>
      <c r="BR38" s="518" t="str">
        <f>IF(AND(_AC4="A-220-100",'2023'!$D$4="CA",'2023'!$D$2=BR5),'2023DATA3'!$M$35,"")</f>
        <v/>
      </c>
      <c r="BS38" s="520" t="str">
        <f>IF(AND(_AC4="A-220-100",'2023'!$D$4="CA",'2023'!$D$2=BS5),'2023DATA3'!$N$35,"")</f>
        <v/>
      </c>
      <c r="BT38" s="940" t="s">
        <v>52</v>
      </c>
      <c r="BU38" s="13" t="s">
        <v>61</v>
      </c>
      <c r="BV38" s="518" t="str">
        <f>IF(AND(_AC5="A-220-100",'2023'!$D$4="CA",'2023'!$D$2=BV5),'2023DATA3'!$C$35,"")</f>
        <v/>
      </c>
      <c r="BW38" s="518" t="str">
        <f>IF(AND(_AC5="A-220-100",'2023'!$D$4="CA",'2023'!$D$2=BW5),'2023DATA3'!$D$35,"")</f>
        <v/>
      </c>
      <c r="BX38" s="518" t="str">
        <f>IF(AND(_AC5="A-220-100",'2023'!$D$4="CA",'2023'!$D$2=BX5),'2023DATA3'!$E$35,"")</f>
        <v/>
      </c>
      <c r="BY38" s="518" t="str">
        <f>IF(AND(_AC5="A-220-100",'2023'!$D$4="CA",'2023'!$D$2=BY5),'2023DATA3'!$F$35,"")</f>
        <v/>
      </c>
      <c r="BZ38" s="518" t="str">
        <f>IF(AND(_AC5="A-220-100",'2023'!$D$4="CA",'2023'!$D$2=BZ5),'2023DATA3'!$G$35,"")</f>
        <v/>
      </c>
      <c r="CA38" s="518" t="str">
        <f>IF(AND(_AC5="A-220-100",'2023'!$D$4="CA",'2023'!$D$2=CA5),'2023DATA3'!$H$35,"")</f>
        <v/>
      </c>
      <c r="CB38" s="518" t="str">
        <f>IF(AND(_AC5="A-220-100",'2023'!$D$4="CA",'2023'!$D$2=CB5),'2023DATA3'!$I$35,"")</f>
        <v/>
      </c>
      <c r="CC38" s="518" t="str">
        <f>IF(AND(_AC5="A-220-100",'2023'!$D$4="CA",'2023'!$D$2=CC5),'2023DATA3'!$J$35,"")</f>
        <v/>
      </c>
      <c r="CD38" s="518" t="str">
        <f>IF(AND(_AC5="A-220-100",'2023'!$D$4="CA",'2023'!$D$2=CD5),'2023DATA3'!$K$35,"")</f>
        <v/>
      </c>
      <c r="CE38" s="518" t="str">
        <f>IF(AND(_AC5="A-220-100",'2023'!$D$4="CA",'2023'!$D$2=CE5),'2023DATA3'!$L$35,"")</f>
        <v/>
      </c>
      <c r="CF38" s="518" t="str">
        <f>IF(AND(_AC5="A-220-100",'2023'!$D$4="CA",'2023'!$D$2=CF5),'2023DATA3'!$M$35,"")</f>
        <v/>
      </c>
      <c r="CG38" s="520" t="str">
        <f>IF(AND(_AC5="A-220-100",'2023'!$D$4="CA",'2023'!$D$2=CG5),'2023DATA3'!$N$35,"")</f>
        <v/>
      </c>
      <c r="CH38" s="940" t="s">
        <v>52</v>
      </c>
      <c r="CI38" s="13" t="s">
        <v>61</v>
      </c>
      <c r="CJ38" s="518" t="str">
        <f>IF(AND(_AC6="A-220-100",'2023'!$D$4="CA",'2023'!$D$2=CJ5),'2023DATA3'!$C$35,"")</f>
        <v/>
      </c>
      <c r="CK38" s="518" t="str">
        <f>IF(AND(_AC6="A-220-100",'2023'!$D$4="CA",'2023'!$D$2=CK5),'2023DATA3'!$D$35,"")</f>
        <v/>
      </c>
      <c r="CL38" s="518" t="str">
        <f>IF(AND(_AC6="A-220-100",'2023'!$D$4="CA",'2023'!$D$2=CL5),'2023DATA3'!$E$35,"")</f>
        <v/>
      </c>
      <c r="CM38" s="518" t="str">
        <f>IF(AND(_AC6="A-220-100",'2023'!$D$4="CA",'2023'!$D$2=CM5),'2023DATA3'!$F$35,"")</f>
        <v/>
      </c>
      <c r="CN38" s="518" t="str">
        <f>IF(AND(_AC6="A-220-100",'2023'!$D$4="CA",'2023'!$D$2=CN5),'2023DATA3'!$G$35,"")</f>
        <v/>
      </c>
      <c r="CO38" s="518" t="str">
        <f>IF(AND(_AC6="A-220-100",'2023'!$D$4="CA",'2023'!$D$2=CO5),'2023DATA3'!$H$35,"")</f>
        <v/>
      </c>
      <c r="CP38" s="518" t="str">
        <f>IF(AND(_AC6="A-220-100",'2023'!$D$4="CA",'2023'!$D$2=CP5),'2023DATA3'!$I$35,"")</f>
        <v/>
      </c>
      <c r="CQ38" s="518" t="str">
        <f>IF(AND(_AC6="A-220-100",'2023'!$D$4="CA",'2023'!$D$2=CQ5),'2023DATA3'!$J$35,"")</f>
        <v/>
      </c>
      <c r="CR38" s="518" t="str">
        <f>IF(AND(_AC6="A-220-100",'2023'!$D$4="CA",'2023'!$D$2=CR5),'2023DATA3'!$K$35,"")</f>
        <v/>
      </c>
      <c r="CS38" s="518" t="str">
        <f>IF(AND(_AC6="A-220-100",'2023'!$D$4="CA",'2023'!$D$2=CS5),'2023DATA3'!$L$35,"")</f>
        <v/>
      </c>
      <c r="CT38" s="518" t="str">
        <f>IF(AND(_AC6="A-220-100",'2023'!$D$4="CA",'2023'!$D$2=CT5),'2023DATA3'!$M$35,"")</f>
        <v/>
      </c>
      <c r="CU38" s="520" t="str">
        <f>IF(AND(_AC6="A-220-100",'2023'!$D$4="CA",'2023'!$D$2=CU5),'2023DATA3'!$N$35,"")</f>
        <v/>
      </c>
    </row>
    <row r="39" spans="1:99" x14ac:dyDescent="0.25">
      <c r="P39" s="940"/>
      <c r="Q39" s="13" t="s">
        <v>62</v>
      </c>
      <c r="R39" s="518" t="str">
        <f>IF(AND(_AC1="A-220-100",'2023'!$D$4="FO",'2023'!$D$2=R5),'2023DATA3'!$C$36,"")</f>
        <v/>
      </c>
      <c r="S39" s="518" t="str">
        <f>IF(AND(_AC1="A-220-100",'2023'!$D$4="FO",'2023'!$D$2=S5),'2023DATA3'!$D$36,"")</f>
        <v/>
      </c>
      <c r="T39" s="518" t="str">
        <f>IF(AND(_AC1="A-220-100",'2023'!$D$4="FO",'2023'!$D$2=T5),'2023DATA3'!$E$36,"")</f>
        <v/>
      </c>
      <c r="U39" s="518" t="str">
        <f>IF(AND(_AC1="A-220-100",'2023'!$D$4="FO",'2023'!$D$2=U5),'2023DATA3'!$F$36,"")</f>
        <v/>
      </c>
      <c r="V39" s="518" t="str">
        <f>IF(AND(_AC1="A-220-100",'2023'!$D$4="FO",'2023'!$D$2=V5),'2023DATA3'!$G$36,"")</f>
        <v/>
      </c>
      <c r="W39" s="518" t="str">
        <f>IF(AND(_AC1="A-220-100",'2023'!$D$4="FO",'2023'!$D$2=W5),'2023DATA3'!$H$36,"")</f>
        <v/>
      </c>
      <c r="X39" s="518" t="str">
        <f>IF(AND(_AC1="A-220-100",'2023'!$D$4="FO",'2023'!$D$2=X5),'2023DATA3'!$I$36,"")</f>
        <v/>
      </c>
      <c r="Y39" s="518" t="str">
        <f>IF(AND(_AC1="A-220-100",'2023'!$D$4="FO",'2023'!$D$2=Y5),'2023DATA3'!$J$36,"")</f>
        <v/>
      </c>
      <c r="Z39" s="518" t="str">
        <f>IF(AND(_AC1="A-220-100",'2023'!$D$4="FO",'2023'!$D$2=Z5),'2023DATA3'!$K$36,"")</f>
        <v/>
      </c>
      <c r="AA39" s="518" t="str">
        <f>IF(AND(_AC1="A-220-100",'2023'!$D$4="FO",'2023'!$D$2=AA5),'2023DATA3'!$L$36,"")</f>
        <v/>
      </c>
      <c r="AB39" s="518" t="str">
        <f>IF(AND(_AC1="A-220-100",'2023'!$D$4="FO",'2023'!$D$2=AB5),'2023DATA3'!$M$36,"")</f>
        <v/>
      </c>
      <c r="AC39" s="520" t="str">
        <f>IF(AND(_AC1="A-220-100",'2023'!$D$4="FO",'2023'!$D$2=AC5),'2023DATA3'!$N$36,"")</f>
        <v/>
      </c>
      <c r="AD39" s="940"/>
      <c r="AE39" s="13" t="s">
        <v>62</v>
      </c>
      <c r="AF39" s="518" t="str">
        <f>IF(AND(_AC2="A-220-100",'2023'!$D$4="FO",'2023'!$D$2=AF5),'2023DATA3'!$C$36,"")</f>
        <v/>
      </c>
      <c r="AG39" s="518" t="str">
        <f>IF(AND(_AC2="A-220-100",'2023'!$D$4="FO",'2023'!$D$2=AG5),'2023DATA3'!$D$36,"")</f>
        <v/>
      </c>
      <c r="AH39" s="518" t="str">
        <f>IF(AND(_AC2="A-220-100",'2023'!$D$4="FO",'2023'!$D$2=AH5),'2023DATA3'!$E$36,"")</f>
        <v/>
      </c>
      <c r="AI39" s="518" t="str">
        <f>IF(AND(_AC2="A-220-100",'2023'!$D$4="FO",'2023'!$D$2=AI5),'2023DATA3'!$F$36,"")</f>
        <v/>
      </c>
      <c r="AJ39" s="518" t="str">
        <f>IF(AND(_AC2="A-220-100",'2023'!$D$4="FO",'2023'!$D$2=AJ5),'2023DATA3'!$G$36,"")</f>
        <v/>
      </c>
      <c r="AK39" s="518" t="str">
        <f>IF(AND(_AC2="A-220-100",'2023'!$D$4="FO",'2023'!$D$2=AK5),'2023DATA3'!$H$36,"")</f>
        <v/>
      </c>
      <c r="AL39" s="518" t="str">
        <f>IF(AND(_AC2="A-220-100",'2023'!$D$4="FO",'2023'!$D$2=AL5),'2023DATA3'!$I$36,"")</f>
        <v/>
      </c>
      <c r="AM39" s="518" t="str">
        <f>IF(AND(_AC2="A-220-100",'2023'!$D$4="FO",'2023'!$D$2=AM5),'2023DATA3'!$J$36,"")</f>
        <v/>
      </c>
      <c r="AN39" s="518" t="str">
        <f>IF(AND(_AC2="A-220-100",'2023'!$D$4="FO",'2023'!$D$2=AN5),'2023DATA3'!$K$36,"")</f>
        <v/>
      </c>
      <c r="AO39" s="518" t="str">
        <f>IF(AND(_AC2="A-220-100",'2023'!$D$4="FO",'2023'!$D$2=AO5),'2023DATA3'!$L$36,"")</f>
        <v/>
      </c>
      <c r="AP39" s="518" t="str">
        <f>IF(AND(_AC2="A-220-100",'2023'!$D$4="FO",'2023'!$D$2=AP5),'2023DATA3'!$M$36,"")</f>
        <v/>
      </c>
      <c r="AQ39" s="520" t="str">
        <f>IF(AND(_AC2="A-220-100",'2023'!$D$4="FO",'2023'!$D$2=AQ5),'2023DATA3'!$N$36,"")</f>
        <v/>
      </c>
      <c r="AR39" s="940"/>
      <c r="AS39" s="13" t="s">
        <v>62</v>
      </c>
      <c r="AT39" s="518" t="str">
        <f>IF(AND(_AC3="A-220-100",'2023'!$D$4="FO",'2023'!$D$2=AT5),'2023DATA3'!$C$36,"")</f>
        <v/>
      </c>
      <c r="AU39" s="518" t="str">
        <f>IF(AND(_AC3="A-220-100",'2023'!$D$4="FO",'2023'!$D$2=AU5),'2023DATA3'!$D$36,"")</f>
        <v/>
      </c>
      <c r="AV39" s="518" t="str">
        <f>IF(AND(_AC3="A-220-100",'2023'!$D$4="FO",'2023'!$D$2=AV5),'2023DATA3'!$E$36,"")</f>
        <v/>
      </c>
      <c r="AW39" s="518" t="str">
        <f>IF(AND(_AC3="A-220-100",'2023'!$D$4="FO",'2023'!$D$2=AW5),'2023DATA3'!$F$36,"")</f>
        <v/>
      </c>
      <c r="AX39" s="518" t="str">
        <f>IF(AND(_AC3="A-220-100",'2023'!$D$4="FO",'2023'!$D$2=AX5),'2023DATA3'!$G$36,"")</f>
        <v/>
      </c>
      <c r="AY39" s="518" t="str">
        <f>IF(AND(_AC3="A-220-100",'2023'!$D$4="FO",'2023'!$D$2=AY5),'2023DATA3'!$H$36,"")</f>
        <v/>
      </c>
      <c r="AZ39" s="518" t="str">
        <f>IF(AND(_AC3="A-220-100",'2023'!$D$4="FO",'2023'!$D$2=AZ5),'2023DATA3'!$I$36,"")</f>
        <v/>
      </c>
      <c r="BA39" s="518" t="str">
        <f>IF(AND(_AC3="A-220-100",'2023'!$D$4="FO",'2023'!$D$2=BA5),'2023DATA3'!$J$36,"")</f>
        <v/>
      </c>
      <c r="BB39" s="518" t="str">
        <f>IF(AND(_AC3="A-220-100",'2023'!$D$4="FO",'2023'!$D$2=BB5),'2023DATA3'!$K$36,"")</f>
        <v/>
      </c>
      <c r="BC39" s="518" t="str">
        <f>IF(AND(_AC3="A-220-100",'2023'!$D$4="FO",'2023'!$D$2=BC5),'2023DATA3'!$L$36,"")</f>
        <v/>
      </c>
      <c r="BD39" s="518" t="str">
        <f>IF(AND(_AC3="A-220-100",'2023'!$D$4="FO",'2023'!$D$2=BD5),'2023DATA3'!$M$36,"")</f>
        <v/>
      </c>
      <c r="BE39" s="520" t="str">
        <f>IF(AND(_AC3="A-220-100",'2023'!$D$4="FO",'2023'!$D$2=BE5),'2023DATA3'!$N$36,"")</f>
        <v/>
      </c>
      <c r="BF39" s="940"/>
      <c r="BG39" s="13" t="s">
        <v>62</v>
      </c>
      <c r="BH39" s="518" t="str">
        <f>IF(AND(_AC4="A-220-100",'2023'!$D$4="FO",'2023'!$D$2=BH5),'2023DATA3'!$C$36,"")</f>
        <v/>
      </c>
      <c r="BI39" s="518" t="str">
        <f>IF(AND(_AC4="A-220-100",'2023'!$D$4="FO",'2023'!$D$2=BI5),'2023DATA3'!$D$36,"")</f>
        <v/>
      </c>
      <c r="BJ39" s="518" t="str">
        <f>IF(AND(_AC4="A-220-100",'2023'!$D$4="FO",'2023'!$D$2=BJ5),'2023DATA3'!$E$36,"")</f>
        <v/>
      </c>
      <c r="BK39" s="518" t="str">
        <f>IF(AND(_AC4="A-220-100",'2023'!$D$4="FO",'2023'!$D$2=BK5),'2023DATA3'!$F$36,"")</f>
        <v/>
      </c>
      <c r="BL39" s="518" t="str">
        <f>IF(AND(_AC4="A-220-100",'2023'!$D$4="FO",'2023'!$D$2=BL5),'2023DATA3'!$G$36,"")</f>
        <v/>
      </c>
      <c r="BM39" s="518" t="str">
        <f>IF(AND(_AC4="A-220-100",'2023'!$D$4="FO",'2023'!$D$2=BM5),'2023DATA3'!$H$36,"")</f>
        <v/>
      </c>
      <c r="BN39" s="518" t="str">
        <f>IF(AND(_AC4="A-220-100",'2023'!$D$4="FO",'2023'!$D$2=BN5),'2023DATA3'!$I$36,"")</f>
        <v/>
      </c>
      <c r="BO39" s="518" t="str">
        <f>IF(AND(_AC4="A-220-100",'2023'!$D$4="FO",'2023'!$D$2=BO5),'2023DATA3'!$J$36,"")</f>
        <v/>
      </c>
      <c r="BP39" s="518" t="str">
        <f>IF(AND(_AC4="A-220-100",'2023'!$D$4="FO",'2023'!$D$2=BP5),'2023DATA3'!$K$36,"")</f>
        <v/>
      </c>
      <c r="BQ39" s="518" t="str">
        <f>IF(AND(_AC4="A-220-100",'2023'!$D$4="FO",'2023'!$D$2=BQ5),'2023DATA3'!$L$36,"")</f>
        <v/>
      </c>
      <c r="BR39" s="518" t="str">
        <f>IF(AND(_AC4="A-220-100",'2023'!$D$4="FO",'2023'!$D$2=BR5),'2023DATA3'!$M$36,"")</f>
        <v/>
      </c>
      <c r="BS39" s="520" t="str">
        <f>IF(AND(_AC4="A-220-100",'2023'!$D$4="FO",'2023'!$D$2=BS5),'2023DATA3'!$N$36,"")</f>
        <v/>
      </c>
      <c r="BT39" s="940"/>
      <c r="BU39" s="13" t="s">
        <v>62</v>
      </c>
      <c r="BV39" s="518" t="str">
        <f>IF(AND(_AC5="A-220-100",'2023'!$D$4="FO",'2023'!$D$2=BV5),'2023DATA3'!$C$36,"")</f>
        <v/>
      </c>
      <c r="BW39" s="518" t="str">
        <f>IF(AND(_AC5="A-220-100",'2023'!$D$4="FO",'2023'!$D$2=BW5),'2023DATA3'!$D$36,"")</f>
        <v/>
      </c>
      <c r="BX39" s="518" t="str">
        <f>IF(AND(_AC5="A-220-100",'2023'!$D$4="FO",'2023'!$D$2=BX5),'2023DATA3'!$E$36,"")</f>
        <v/>
      </c>
      <c r="BY39" s="518" t="str">
        <f>IF(AND(_AC5="A-220-100",'2023'!$D$4="FO",'2023'!$D$2=BY5),'2023DATA3'!$F$36,"")</f>
        <v/>
      </c>
      <c r="BZ39" s="518" t="str">
        <f>IF(AND(_AC5="A-220-100",'2023'!$D$4="FO",'2023'!$D$2=BZ5),'2023DATA3'!$G$36,"")</f>
        <v/>
      </c>
      <c r="CA39" s="518" t="str">
        <f>IF(AND(_AC5="A-220-100",'2023'!$D$4="FO",'2023'!$D$2=CA5),'2023DATA3'!$H$36,"")</f>
        <v/>
      </c>
      <c r="CB39" s="518" t="str">
        <f>IF(AND(_AC5="A-220-100",'2023'!$D$4="FO",'2023'!$D$2=CB5),'2023DATA3'!$I$36,"")</f>
        <v/>
      </c>
      <c r="CC39" s="518" t="str">
        <f>IF(AND(_AC5="A-220-100",'2023'!$D$4="FO",'2023'!$D$2=CC5),'2023DATA3'!$J$36,"")</f>
        <v/>
      </c>
      <c r="CD39" s="518" t="str">
        <f>IF(AND(_AC5="A-220-100",'2023'!$D$4="FO",'2023'!$D$2=CD5),'2023DATA3'!$K$36,"")</f>
        <v/>
      </c>
      <c r="CE39" s="518" t="str">
        <f>IF(AND(_AC5="A-220-100",'2023'!$D$4="FO",'2023'!$D$2=CE5),'2023DATA3'!$L$36,"")</f>
        <v/>
      </c>
      <c r="CF39" s="518" t="str">
        <f>IF(AND(_AC5="A-220-100",'2023'!$D$4="FO",'2023'!$D$2=CF5),'2023DATA3'!$M$36,"")</f>
        <v/>
      </c>
      <c r="CG39" s="520" t="str">
        <f>IF(AND(_AC5="A-220-100",'2023'!$D$4="FO",'2023'!$D$2=CG5),'2023DATA3'!$N$36,"")</f>
        <v/>
      </c>
      <c r="CH39" s="940"/>
      <c r="CI39" s="13" t="s">
        <v>62</v>
      </c>
      <c r="CJ39" s="518" t="str">
        <f>IF(AND(_AC6="A-220-100",'2023'!$D$4="FO",'2023'!$D$2=CJ5),'2023DATA3'!$C$36,"")</f>
        <v/>
      </c>
      <c r="CK39" s="518" t="str">
        <f>IF(AND(_AC6="A-220-100",'2023'!$D$4="FO",'2023'!$D$2=CK5),'2023DATA3'!$D$36,"")</f>
        <v/>
      </c>
      <c r="CL39" s="518" t="str">
        <f>IF(AND(_AC6="A-220-100",'2023'!$D$4="FO",'2023'!$D$2=CL5),'2023DATA3'!$E$36,"")</f>
        <v/>
      </c>
      <c r="CM39" s="518" t="str">
        <f>IF(AND(_AC6="A-220-100",'2023'!$D$4="FO",'2023'!$D$2=CM5),'2023DATA3'!$F$36,"")</f>
        <v/>
      </c>
      <c r="CN39" s="518" t="str">
        <f>IF(AND(_AC6="A-220-100",'2023'!$D$4="FO",'2023'!$D$2=CN5),'2023DATA3'!$G$36,"")</f>
        <v/>
      </c>
      <c r="CO39" s="518" t="str">
        <f>IF(AND(_AC6="A-220-100",'2023'!$D$4="FO",'2023'!$D$2=CO5),'2023DATA3'!$H$36,"")</f>
        <v/>
      </c>
      <c r="CP39" s="518" t="str">
        <f>IF(AND(_AC6="A-220-100",'2023'!$D$4="FO",'2023'!$D$2=CP5),'2023DATA3'!$I$36,"")</f>
        <v/>
      </c>
      <c r="CQ39" s="518" t="str">
        <f>IF(AND(_AC6="A-220-100",'2023'!$D$4="FO",'2023'!$D$2=CQ5),'2023DATA3'!$J$36,"")</f>
        <v/>
      </c>
      <c r="CR39" s="518" t="str">
        <f>IF(AND(_AC6="A-220-100",'2023'!$D$4="FO",'2023'!$D$2=CR5),'2023DATA3'!$K$36,"")</f>
        <v/>
      </c>
      <c r="CS39" s="518" t="str">
        <f>IF(AND(_AC6="A-220-100",'2023'!$D$4="FO",'2023'!$D$2=CS5),'2023DATA3'!$L$36,"")</f>
        <v/>
      </c>
      <c r="CT39" s="518" t="str">
        <f>IF(AND(_AC6="A-220-100",'2023'!$D$4="FO",'2023'!$D$2=CT5),'2023DATA3'!$M$36,"")</f>
        <v/>
      </c>
      <c r="CU39" s="520" t="str">
        <f>IF(AND(_AC6="A-220-100",'2023'!$D$4="FO",'2023'!$D$2=CU5),'2023DATA3'!$N$36,"")</f>
        <v/>
      </c>
    </row>
    <row r="40" spans="1:99" x14ac:dyDescent="0.25">
      <c r="P40" s="940" t="s">
        <v>53</v>
      </c>
      <c r="Q40" s="13" t="s">
        <v>61</v>
      </c>
      <c r="R40" s="518" t="str">
        <f>IF(AND(_AC1="B-717",'2023'!$D$4="CA",'2023'!$D$2=R5),'2023DATA3'!$C$37,"")</f>
        <v/>
      </c>
      <c r="S40" s="518" t="str">
        <f>IF(AND(_AC1="B-717",'2023'!$D$4="CA",'2023'!$D$2=S5),'2023DATA3'!$D$37,"")</f>
        <v/>
      </c>
      <c r="T40" s="518" t="str">
        <f>IF(AND(_AC1="B-717",'2023'!$D$4="CA",'2023'!$D$2=T5),'2023DATA3'!$E$37,"")</f>
        <v/>
      </c>
      <c r="U40" s="518" t="str">
        <f>IF(AND(_AC1="B-717",'2023'!$D$4="CA",'2023'!$D$2=U5),'2023DATA3'!$F$37,"")</f>
        <v/>
      </c>
      <c r="V40" s="518" t="str">
        <f>IF(AND(_AC1="B-717",'2023'!$D$4="CA",'2023'!$D$2=V5),'2023DATA3'!$G$37,"")</f>
        <v/>
      </c>
      <c r="W40" s="518" t="str">
        <f>IF(AND(_AC1="B-717",'2023'!$D$4="CA",'2023'!$D$2=W5),'2023DATA3'!$H$37,"")</f>
        <v/>
      </c>
      <c r="X40" s="518" t="str">
        <f>IF(AND(_AC1="B-717",'2023'!$D$4="CA",'2023'!$D$2=X5),'2023DATA3'!$I$37,"")</f>
        <v/>
      </c>
      <c r="Y40" s="518" t="str">
        <f>IF(AND(_AC1="B-717",'2023'!$D$4="CA",'2023'!$D$2=Y5),'2023DATA3'!$J$37,"")</f>
        <v/>
      </c>
      <c r="Z40" s="518" t="str">
        <f>IF(AND(_AC1="B-717",'2023'!$D$4="CA",'2023'!$D$2=Z5),'2023DATA3'!$K$37,"")</f>
        <v/>
      </c>
      <c r="AA40" s="518" t="str">
        <f>IF(AND(_AC1="B-717",'2023'!$D$4="CA",'2023'!$D$2=AA5),'2023DATA3'!$L$37,"")</f>
        <v/>
      </c>
      <c r="AB40" s="518" t="str">
        <f>IF(AND(_AC1="B-717",'2023'!$D$4="CA",'2023'!$D$2=AB5),'2023DATA3'!$M$37,"")</f>
        <v/>
      </c>
      <c r="AC40" s="520" t="str">
        <f>IF(AND(_AC1="B-717",'2023'!$D$4="CA",'2023'!$D$2=AC5),'2023DATA3'!$N$37,"")</f>
        <v/>
      </c>
      <c r="AD40" s="940" t="s">
        <v>53</v>
      </c>
      <c r="AE40" s="13" t="s">
        <v>61</v>
      </c>
      <c r="AF40" s="518" t="str">
        <f>IF(AND(_AC2="B-717",'2023'!$D$4="CA",'2023'!$D$2=AF5),'2023DATA3'!$C$37,"")</f>
        <v/>
      </c>
      <c r="AG40" s="518" t="str">
        <f>IF(AND(_AC2="B-717",'2023'!$D$4="CA",'2023'!$D$2=AG5),'2023DATA3'!$D$37,"")</f>
        <v/>
      </c>
      <c r="AH40" s="518" t="str">
        <f>IF(AND(_AC2="B-717",'2023'!$D$4="CA",'2023'!$D$2=AH5),'2023DATA3'!$E$37,"")</f>
        <v/>
      </c>
      <c r="AI40" s="518" t="str">
        <f>IF(AND(_AC2="B-717",'2023'!$D$4="CA",'2023'!$D$2=AI5),'2023DATA3'!$F$37,"")</f>
        <v/>
      </c>
      <c r="AJ40" s="518" t="str">
        <f>IF(AND(_AC2="B-717",'2023'!$D$4="CA",'2023'!$D$2=AJ5),'2023DATA3'!$G$37,"")</f>
        <v/>
      </c>
      <c r="AK40" s="518" t="str">
        <f>IF(AND(_AC2="B-717",'2023'!$D$4="CA",'2023'!$D$2=AK5),'2023DATA3'!$H$37,"")</f>
        <v/>
      </c>
      <c r="AL40" s="518" t="str">
        <f>IF(AND(_AC2="B-717",'2023'!$D$4="CA",'2023'!$D$2=AL5),'2023DATA3'!$I$37,"")</f>
        <v/>
      </c>
      <c r="AM40" s="518" t="str">
        <f>IF(AND(_AC2="B-717",'2023'!$D$4="CA",'2023'!$D$2=AM5),'2023DATA3'!$J$37,"")</f>
        <v/>
      </c>
      <c r="AN40" s="518" t="str">
        <f>IF(AND(_AC2="B-717",'2023'!$D$4="CA",'2023'!$D$2=AN5),'2023DATA3'!$K$37,"")</f>
        <v/>
      </c>
      <c r="AO40" s="518" t="str">
        <f>IF(AND(_AC2="B-717",'2023'!$D$4="CA",'2023'!$D$2=AO5),'2023DATA3'!$L$37,"")</f>
        <v/>
      </c>
      <c r="AP40" s="518" t="str">
        <f>IF(AND(_AC2="B-717",'2023'!$D$4="CA",'2023'!$D$2=AP5),'2023DATA3'!$M$37,"")</f>
        <v/>
      </c>
      <c r="AQ40" s="520" t="str">
        <f>IF(AND(_AC2="B-717",'2023'!$D$4="CA",'2023'!$D$2=AQ5),'2023DATA3'!$N$37,"")</f>
        <v/>
      </c>
      <c r="AR40" s="940" t="s">
        <v>53</v>
      </c>
      <c r="AS40" s="13" t="s">
        <v>61</v>
      </c>
      <c r="AT40" s="518" t="str">
        <f>IF(AND(_AC3="B-717",'2023'!$D$4="CA",'2023'!$D$2=AT5),'2023DATA3'!$C$37,"")</f>
        <v/>
      </c>
      <c r="AU40" s="518" t="str">
        <f>IF(AND(_AC3="B-717",'2023'!$D$4="CA",'2023'!$D$2=AU5),'2023DATA3'!$D$37,"")</f>
        <v/>
      </c>
      <c r="AV40" s="518" t="str">
        <f>IF(AND(_AC3="B-717",'2023'!$D$4="CA",'2023'!$D$2=AV5),'2023DATA3'!$E$37,"")</f>
        <v/>
      </c>
      <c r="AW40" s="518" t="str">
        <f>IF(AND(_AC3="B-717",'2023'!$D$4="CA",'2023'!$D$2=AW5),'2023DATA3'!$F$37,"")</f>
        <v/>
      </c>
      <c r="AX40" s="518" t="str">
        <f>IF(AND(_AC3="B-717",'2023'!$D$4="CA",'2023'!$D$2=AX5),'2023DATA3'!$G$37,"")</f>
        <v/>
      </c>
      <c r="AY40" s="518" t="str">
        <f>IF(AND(_AC3="B-717",'2023'!$D$4="CA",'2023'!$D$2=AY5),'2023DATA3'!$H$37,"")</f>
        <v/>
      </c>
      <c r="AZ40" s="518" t="str">
        <f>IF(AND(_AC3="B-717",'2023'!$D$4="CA",'2023'!$D$2=AZ5),'2023DATA3'!$I$37,"")</f>
        <v/>
      </c>
      <c r="BA40" s="518" t="str">
        <f>IF(AND(_AC3="B-717",'2023'!$D$4="CA",'2023'!$D$2=BA5),'2023DATA3'!$J$37,"")</f>
        <v/>
      </c>
      <c r="BB40" s="518" t="str">
        <f>IF(AND(_AC3="B-717",'2023'!$D$4="CA",'2023'!$D$2=BB5),'2023DATA3'!$K$37,"")</f>
        <v/>
      </c>
      <c r="BC40" s="518" t="str">
        <f>IF(AND(_AC3="B-717",'2023'!$D$4="CA",'2023'!$D$2=BC5),'2023DATA3'!$L$37,"")</f>
        <v/>
      </c>
      <c r="BD40" s="518" t="str">
        <f>IF(AND(_AC3="B-717",'2023'!$D$4="CA",'2023'!$D$2=BD5),'2023DATA3'!$M$37,"")</f>
        <v/>
      </c>
      <c r="BE40" s="520" t="str">
        <f>IF(AND(_AC3="B-717",'2023'!$D$4="CA",'2023'!$D$2=BE5),'2023DATA3'!$N$37,"")</f>
        <v/>
      </c>
      <c r="BF40" s="940" t="s">
        <v>53</v>
      </c>
      <c r="BG40" s="13" t="s">
        <v>61</v>
      </c>
      <c r="BH40" s="518" t="str">
        <f>IF(AND(_AC4="B-717",'2023'!$D$4="CA",'2023'!$D$2=BH5),'2023DATA3'!$C$37,"")</f>
        <v/>
      </c>
      <c r="BI40" s="518" t="str">
        <f>IF(AND(_AC4="B-717",'2023'!$D$4="CA",'2023'!$D$2=BI5),'2023DATA3'!$D$37,"")</f>
        <v/>
      </c>
      <c r="BJ40" s="518" t="str">
        <f>IF(AND(_AC4="B-717",'2023'!$D$4="CA",'2023'!$D$2=BJ5),'2023DATA3'!$E$37,"")</f>
        <v/>
      </c>
      <c r="BK40" s="518" t="str">
        <f>IF(AND(_AC4="B-717",'2023'!$D$4="CA",'2023'!$D$2=BK5),'2023DATA3'!$F$37,"")</f>
        <v/>
      </c>
      <c r="BL40" s="518" t="str">
        <f>IF(AND(_AC4="B-717",'2023'!$D$4="CA",'2023'!$D$2=BL5),'2023DATA3'!$G$37,"")</f>
        <v/>
      </c>
      <c r="BM40" s="518" t="str">
        <f>IF(AND(_AC4="B-717",'2023'!$D$4="CA",'2023'!$D$2=BM5),'2023DATA3'!$H$37,"")</f>
        <v/>
      </c>
      <c r="BN40" s="518" t="str">
        <f>IF(AND(_AC4="B-717",'2023'!$D$4="CA",'2023'!$D$2=BN5),'2023DATA3'!$I$37,"")</f>
        <v/>
      </c>
      <c r="BO40" s="518" t="str">
        <f>IF(AND(_AC4="B-717",'2023'!$D$4="CA",'2023'!$D$2=BO5),'2023DATA3'!$J$37,"")</f>
        <v/>
      </c>
      <c r="BP40" s="518" t="str">
        <f>IF(AND(_AC4="B-717",'2023'!$D$4="CA",'2023'!$D$2=BP5),'2023DATA3'!$K$37,"")</f>
        <v/>
      </c>
      <c r="BQ40" s="518" t="str">
        <f>IF(AND(_AC4="B-717",'2023'!$D$4="CA",'2023'!$D$2=BQ5),'2023DATA3'!$L$37,"")</f>
        <v/>
      </c>
      <c r="BR40" s="518" t="str">
        <f>IF(AND(_AC4="B-717",'2023'!$D$4="CA",'2023'!$D$2=BR5),'2023DATA3'!$M$37,"")</f>
        <v/>
      </c>
      <c r="BS40" s="520" t="str">
        <f>IF(AND(_AC4="B-717",'2023'!$D$4="CA",'2023'!$D$2=BS5),'2023DATA3'!$N$37,"")</f>
        <v/>
      </c>
      <c r="BT40" s="940" t="s">
        <v>53</v>
      </c>
      <c r="BU40" s="13" t="s">
        <v>61</v>
      </c>
      <c r="BV40" s="518" t="str">
        <f>IF(AND(_AC5="B-717",'2023'!$D$4="CA",'2023'!$D$2=BV5),'2023DATA3'!$C$37,"")</f>
        <v/>
      </c>
      <c r="BW40" s="518" t="str">
        <f>IF(AND(_AC5="B-717",'2023'!$D$4="CA",'2023'!$D$2=BW5),'2023DATA3'!$D$37,"")</f>
        <v/>
      </c>
      <c r="BX40" s="518" t="str">
        <f>IF(AND(_AC5="B-717",'2023'!$D$4="CA",'2023'!$D$2=BX5),'2023DATA3'!$E$37,"")</f>
        <v/>
      </c>
      <c r="BY40" s="518" t="str">
        <f>IF(AND(_AC5="B-717",'2023'!$D$4="CA",'2023'!$D$2=BY5),'2023DATA3'!$F$37,"")</f>
        <v/>
      </c>
      <c r="BZ40" s="518" t="str">
        <f>IF(AND(_AC5="B-717",'2023'!$D$4="CA",'2023'!$D$2=BZ5),'2023DATA3'!$G$37,"")</f>
        <v/>
      </c>
      <c r="CA40" s="518" t="str">
        <f>IF(AND(_AC5="B-717",'2023'!$D$4="CA",'2023'!$D$2=CA5),'2023DATA3'!$H$37,"")</f>
        <v/>
      </c>
      <c r="CB40" s="518" t="str">
        <f>IF(AND(_AC5="B-717",'2023'!$D$4="CA",'2023'!$D$2=CB5),'2023DATA3'!$I$37,"")</f>
        <v/>
      </c>
      <c r="CC40" s="518" t="str">
        <f>IF(AND(_AC5="B-717",'2023'!$D$4="CA",'2023'!$D$2=CC5),'2023DATA3'!$J$37,"")</f>
        <v/>
      </c>
      <c r="CD40" s="518" t="str">
        <f>IF(AND(_AC5="B-717",'2023'!$D$4="CA",'2023'!$D$2=CD5),'2023DATA3'!$K$37,"")</f>
        <v/>
      </c>
      <c r="CE40" s="518" t="str">
        <f>IF(AND(_AC5="B-717",'2023'!$D$4="CA",'2023'!$D$2=CE5),'2023DATA3'!$L$37,"")</f>
        <v/>
      </c>
      <c r="CF40" s="518" t="str">
        <f>IF(AND(_AC5="B-717",'2023'!$D$4="CA",'2023'!$D$2=CF5),'2023DATA3'!$M$37,"")</f>
        <v/>
      </c>
      <c r="CG40" s="520" t="str">
        <f>IF(AND(_AC5="B-717",'2023'!$D$4="CA",'2023'!$D$2=CG5),'2023DATA3'!$N$37,"")</f>
        <v/>
      </c>
      <c r="CH40" s="940" t="s">
        <v>53</v>
      </c>
      <c r="CI40" s="13" t="s">
        <v>61</v>
      </c>
      <c r="CJ40" s="518" t="str">
        <f>IF(AND(_AC6="B-717",'2023'!$D$4="CA",'2023'!$D$2=CJ5),'2023DATA3'!$C$37,"")</f>
        <v/>
      </c>
      <c r="CK40" s="518" t="str">
        <f>IF(AND(_AC6="B-717",'2023'!$D$4="CA",'2023'!$D$2=CK5),'2023DATA3'!$D$37,"")</f>
        <v/>
      </c>
      <c r="CL40" s="518" t="str">
        <f>IF(AND(_AC6="B-717",'2023'!$D$4="CA",'2023'!$D$2=CL5),'2023DATA3'!$E$37,"")</f>
        <v/>
      </c>
      <c r="CM40" s="518" t="str">
        <f>IF(AND(_AC6="B-717",'2023'!$D$4="CA",'2023'!$D$2=CM5),'2023DATA3'!$F$37,"")</f>
        <v/>
      </c>
      <c r="CN40" s="518" t="str">
        <f>IF(AND(_AC6="B-717",'2023'!$D$4="CA",'2023'!$D$2=CN5),'2023DATA3'!$G$37,"")</f>
        <v/>
      </c>
      <c r="CO40" s="518" t="str">
        <f>IF(AND(_AC6="B-717",'2023'!$D$4="CA",'2023'!$D$2=CO5),'2023DATA3'!$H$37,"")</f>
        <v/>
      </c>
      <c r="CP40" s="518" t="str">
        <f>IF(AND(_AC6="B-717",'2023'!$D$4="CA",'2023'!$D$2=CP5),'2023DATA3'!$I$37,"")</f>
        <v/>
      </c>
      <c r="CQ40" s="518" t="str">
        <f>IF(AND(_AC6="B-717",'2023'!$D$4="CA",'2023'!$D$2=CQ5),'2023DATA3'!$J$37,"")</f>
        <v/>
      </c>
      <c r="CR40" s="518" t="str">
        <f>IF(AND(_AC6="B-717",'2023'!$D$4="CA",'2023'!$D$2=CR5),'2023DATA3'!$K$37,"")</f>
        <v/>
      </c>
      <c r="CS40" s="518" t="str">
        <f>IF(AND(_AC6="B-717",'2023'!$D$4="CA",'2023'!$D$2=CS5),'2023DATA3'!$L$37,"")</f>
        <v/>
      </c>
      <c r="CT40" s="518" t="str">
        <f>IF(AND(_AC6="B-717",'2023'!$D$4="CA",'2023'!$D$2=CT5),'2023DATA3'!$M$37,"")</f>
        <v/>
      </c>
      <c r="CU40" s="520" t="str">
        <f>IF(AND(_AC6="B-717",'2023'!$D$4="CA",'2023'!$D$2=CU5),'2023DATA3'!$N$37,"")</f>
        <v/>
      </c>
    </row>
    <row r="41" spans="1:99" ht="15.75" thickBot="1" x14ac:dyDescent="0.3">
      <c r="P41" s="941"/>
      <c r="Q41" s="521" t="s">
        <v>62</v>
      </c>
      <c r="R41" s="522" t="str">
        <f>IF(AND(_AC1="B-717",'2023'!$D$4="FO",'2023'!$D$2=R5),'2023DATA3'!$C$38,"")</f>
        <v/>
      </c>
      <c r="S41" s="522" t="str">
        <f>IF(AND(_AC1="B-717",'2023'!$D$4="FO",'2023'!$D$2=S5),'2023DATA3'!$D$38,"")</f>
        <v/>
      </c>
      <c r="T41" s="522" t="str">
        <f>IF(AND(_AC1="B-717",'2023'!$D$4="FO",'2023'!$D$2=T5),'2023DATA3'!$E$38,"")</f>
        <v/>
      </c>
      <c r="U41" s="522" t="str">
        <f>IF(AND(_AC1="B-717",'2023'!$D$4="FO",'2023'!$D$2=U5),'2023DATA3'!$F$38,"")</f>
        <v/>
      </c>
      <c r="V41" s="522" t="str">
        <f>IF(AND(_AC1="B-717",'2023'!$D$4="FO",'2023'!$D$2=V5),'2023DATA3'!$G$38,"")</f>
        <v/>
      </c>
      <c r="W41" s="522" t="str">
        <f>IF(AND(_AC1="B-717",'2023'!$D$4="FO",'2023'!$D$2=W5),'2023DATA3'!$H$38,"")</f>
        <v/>
      </c>
      <c r="X41" s="522" t="str">
        <f>IF(AND(_AC1="B-717",'2023'!$D$4="FO",'2023'!$D$2=X5),'2023DATA3'!$I$38,"")</f>
        <v/>
      </c>
      <c r="Y41" s="522" t="str">
        <f>IF(AND(_AC1="B-717",'2023'!$D$4="FO",'2023'!$D$2=Y5),'2023DATA3'!$J$38,"")</f>
        <v/>
      </c>
      <c r="Z41" s="522" t="str">
        <f>IF(AND(_AC1="B-717",'2023'!$D$4="FO",'2023'!$D$2=Z5),'2023DATA3'!$K$38,"")</f>
        <v/>
      </c>
      <c r="AA41" s="522" t="str">
        <f>IF(AND(_AC1="B-717",'2023'!$D$4="FO",'2023'!$D$2=AA5),'2023DATA3'!$L$38,"")</f>
        <v/>
      </c>
      <c r="AB41" s="522" t="str">
        <f>IF(AND(_AC1="B-717",'2023'!$D$4="FO",'2023'!$D$2=AB5),'2023DATA3'!$M$38,"")</f>
        <v/>
      </c>
      <c r="AC41" s="523" t="str">
        <f>IF(AND(_AC1="B-717",'2023'!$D$4="FO",'2023'!$D$2=AC5),'2023DATA3'!$N$38,"")</f>
        <v/>
      </c>
      <c r="AD41" s="940"/>
      <c r="AE41" s="13" t="s">
        <v>62</v>
      </c>
      <c r="AF41" s="518" t="str">
        <f>IF(AND(_AC2="B-717",'2023'!$D$4="FO",'2023'!$D$2=AF5),'2023DATA3'!$C$38,"")</f>
        <v/>
      </c>
      <c r="AG41" s="518" t="str">
        <f>IF(AND(_AC2="B-717",'2023'!$D$4="FO",'2023'!$D$2=AG5),'2023DATA3'!$D$38,"")</f>
        <v/>
      </c>
      <c r="AH41" s="518" t="str">
        <f>IF(AND(_AC2="B-717",'2023'!$D$4="FO",'2023'!$D$2=AH5),'2023DATA3'!$E$38,"")</f>
        <v/>
      </c>
      <c r="AI41" s="518" t="str">
        <f>IF(AND(_AC2="B-717",'2023'!$D$4="FO",'2023'!$D$2=AI5),'2023DATA3'!$F$38,"")</f>
        <v/>
      </c>
      <c r="AJ41" s="518" t="str">
        <f>IF(AND(_AC2="B-717",'2023'!$D$4="FO",'2023'!$D$2=AJ5),'2023DATA3'!$G$38,"")</f>
        <v/>
      </c>
      <c r="AK41" s="518" t="str">
        <f>IF(AND(_AC2="B-717",'2023'!$D$4="FO",'2023'!$D$2=AK5),'2023DATA3'!$H$38,"")</f>
        <v/>
      </c>
      <c r="AL41" s="518" t="str">
        <f>IF(AND(_AC2="B-717",'2023'!$D$4="FO",'2023'!$D$2=AL5),'2023DATA3'!$I$38,"")</f>
        <v/>
      </c>
      <c r="AM41" s="518" t="str">
        <f>IF(AND(_AC2="B-717",'2023'!$D$4="FO",'2023'!$D$2=AM5),'2023DATA3'!$J$38,"")</f>
        <v/>
      </c>
      <c r="AN41" s="518" t="str">
        <f>IF(AND(_AC2="B-717",'2023'!$D$4="FO",'2023'!$D$2=AN5),'2023DATA3'!$K$38,"")</f>
        <v/>
      </c>
      <c r="AO41" s="518" t="str">
        <f>IF(AND(_AC2="B-717",'2023'!$D$4="FO",'2023'!$D$2=AO5),'2023DATA3'!$L$38,"")</f>
        <v/>
      </c>
      <c r="AP41" s="518" t="str">
        <f>IF(AND(_AC2="B-717",'2023'!$D$4="FO",'2023'!$D$2=AP5),'2023DATA3'!$M$38,"")</f>
        <v/>
      </c>
      <c r="AQ41" s="520" t="str">
        <f>IF(AND(_AC2="B-717",'2023'!$D$4="FO",'2023'!$D$2=AQ5),'2023DATA3'!$N$38,"")</f>
        <v/>
      </c>
      <c r="AR41" s="940"/>
      <c r="AS41" s="13" t="s">
        <v>62</v>
      </c>
      <c r="AT41" s="518" t="str">
        <f>IF(AND(_AC3="B-717",'2023'!$D$4="FO",'2023'!$D$2=AT5),'2023DATA3'!$C$38,"")</f>
        <v/>
      </c>
      <c r="AU41" s="518" t="str">
        <f>IF(AND(_AC3="B-717",'2023'!$D$4="FO",'2023'!$D$2=AU5),'2023DATA3'!$D$38,"")</f>
        <v/>
      </c>
      <c r="AV41" s="518" t="str">
        <f>IF(AND(_AC3="B-717",'2023'!$D$4="FO",'2023'!$D$2=AV5),'2023DATA3'!$E$38,"")</f>
        <v/>
      </c>
      <c r="AW41" s="518" t="str">
        <f>IF(AND(_AC3="B-717",'2023'!$D$4="FO",'2023'!$D$2=AW5),'2023DATA3'!$F$38,"")</f>
        <v/>
      </c>
      <c r="AX41" s="518" t="str">
        <f>IF(AND(_AC3="B-717",'2023'!$D$4="FO",'2023'!$D$2=AX5),'2023DATA3'!$G$38,"")</f>
        <v/>
      </c>
      <c r="AY41" s="518" t="str">
        <f>IF(AND(_AC3="B-717",'2023'!$D$4="FO",'2023'!$D$2=AY5),'2023DATA3'!$H$38,"")</f>
        <v/>
      </c>
      <c r="AZ41" s="518" t="str">
        <f>IF(AND(_AC3="B-717",'2023'!$D$4="FO",'2023'!$D$2=AZ5),'2023DATA3'!$I$38,"")</f>
        <v/>
      </c>
      <c r="BA41" s="518" t="str">
        <f>IF(AND(_AC3="B-717",'2023'!$D$4="FO",'2023'!$D$2=BA5),'2023DATA3'!$J$38,"")</f>
        <v/>
      </c>
      <c r="BB41" s="518" t="str">
        <f>IF(AND(_AC3="B-717",'2023'!$D$4="FO",'2023'!$D$2=BB5),'2023DATA3'!$K$38,"")</f>
        <v/>
      </c>
      <c r="BC41" s="518" t="str">
        <f>IF(AND(_AC3="B-717",'2023'!$D$4="FO",'2023'!$D$2=BC5),'2023DATA3'!$L$38,"")</f>
        <v/>
      </c>
      <c r="BD41" s="518" t="str">
        <f>IF(AND(_AC3="B-717",'2023'!$D$4="FO",'2023'!$D$2=BD5),'2023DATA3'!$M$38,"")</f>
        <v/>
      </c>
      <c r="BE41" s="520" t="str">
        <f>IF(AND(_AC3="B-717",'2023'!$D$4="FO",'2023'!$D$2=BE5),'2023DATA3'!$N$38,"")</f>
        <v/>
      </c>
      <c r="BF41" s="940"/>
      <c r="BG41" s="13" t="s">
        <v>62</v>
      </c>
      <c r="BH41" s="518" t="str">
        <f>IF(AND(_AC4="B-717",'2023'!$D$4="FO",'2023'!$D$2=BH5),'2023DATA3'!$C$38,"")</f>
        <v/>
      </c>
      <c r="BI41" s="518" t="str">
        <f>IF(AND(_AC4="B-717",'2023'!$D$4="FO",'2023'!$D$2=BI5),'2023DATA3'!$D$38,"")</f>
        <v/>
      </c>
      <c r="BJ41" s="518" t="str">
        <f>IF(AND(_AC4="B-717",'2023'!$D$4="FO",'2023'!$D$2=BJ5),'2023DATA3'!$E$38,"")</f>
        <v/>
      </c>
      <c r="BK41" s="518" t="str">
        <f>IF(AND(_AC4="B-717",'2023'!$D$4="FO",'2023'!$D$2=BK5),'2023DATA3'!$F$38,"")</f>
        <v/>
      </c>
      <c r="BL41" s="518" t="str">
        <f>IF(AND(_AC4="B-717",'2023'!$D$4="FO",'2023'!$D$2=BL5),'2023DATA3'!$G$38,"")</f>
        <v/>
      </c>
      <c r="BM41" s="518" t="str">
        <f>IF(AND(_AC4="B-717",'2023'!$D$4="FO",'2023'!$D$2=BM5),'2023DATA3'!$H$38,"")</f>
        <v/>
      </c>
      <c r="BN41" s="518" t="str">
        <f>IF(AND(_AC4="B-717",'2023'!$D$4="FO",'2023'!$D$2=BN5),'2023DATA3'!$I$38,"")</f>
        <v/>
      </c>
      <c r="BO41" s="518" t="str">
        <f>IF(AND(_AC4="B-717",'2023'!$D$4="FO",'2023'!$D$2=BO5),'2023DATA3'!$J$38,"")</f>
        <v/>
      </c>
      <c r="BP41" s="518" t="str">
        <f>IF(AND(_AC4="B-717",'2023'!$D$4="FO",'2023'!$D$2=BP5),'2023DATA3'!$K$38,"")</f>
        <v/>
      </c>
      <c r="BQ41" s="518" t="str">
        <f>IF(AND(_AC4="B-717",'2023'!$D$4="FO",'2023'!$D$2=BQ5),'2023DATA3'!$L$38,"")</f>
        <v/>
      </c>
      <c r="BR41" s="518" t="str">
        <f>IF(AND(_AC4="B-717",'2023'!$D$4="FO",'2023'!$D$2=BR5),'2023DATA3'!$M$38,"")</f>
        <v/>
      </c>
      <c r="BS41" s="520" t="str">
        <f>IF(AND(_AC4="B-717",'2023'!$D$4="FO",'2023'!$D$2=BS5),'2023DATA3'!$N$38,"")</f>
        <v/>
      </c>
      <c r="BT41" s="940"/>
      <c r="BU41" s="13" t="s">
        <v>62</v>
      </c>
      <c r="BV41" s="518" t="str">
        <f>IF(AND(_AC5="B-717",'2023'!$D$4="FO",'2023'!$D$2=BV5),'2023DATA3'!$C$38,"")</f>
        <v/>
      </c>
      <c r="BW41" s="518" t="str">
        <f>IF(AND(_AC5="B-717",'2023'!$D$4="FO",'2023'!$D$2=BW5),'2023DATA3'!$D$38,"")</f>
        <v/>
      </c>
      <c r="BX41" s="518" t="str">
        <f>IF(AND(_AC5="B-717",'2023'!$D$4="FO",'2023'!$D$2=BX5),'2023DATA3'!$E$38,"")</f>
        <v/>
      </c>
      <c r="BY41" s="518" t="str">
        <f>IF(AND(_AC5="B-717",'2023'!$D$4="FO",'2023'!$D$2=BY5),'2023DATA3'!$F$38,"")</f>
        <v/>
      </c>
      <c r="BZ41" s="518" t="str">
        <f>IF(AND(_AC5="B-717",'2023'!$D$4="FO",'2023'!$D$2=BZ5),'2023DATA3'!$G$38,"")</f>
        <v/>
      </c>
      <c r="CA41" s="518" t="str">
        <f>IF(AND(_AC5="B-717",'2023'!$D$4="FO",'2023'!$D$2=CA5),'2023DATA3'!$H$38,"")</f>
        <v/>
      </c>
      <c r="CB41" s="518" t="str">
        <f>IF(AND(_AC5="B-717",'2023'!$D$4="FO",'2023'!$D$2=CB5),'2023DATA3'!$I$38,"")</f>
        <v/>
      </c>
      <c r="CC41" s="518" t="str">
        <f>IF(AND(_AC5="B-717",'2023'!$D$4="FO",'2023'!$D$2=CC5),'2023DATA3'!$J$38,"")</f>
        <v/>
      </c>
      <c r="CD41" s="518" t="str">
        <f>IF(AND(_AC5="B-717",'2023'!$D$4="FO",'2023'!$D$2=CD5),'2023DATA3'!$K$38,"")</f>
        <v/>
      </c>
      <c r="CE41" s="518" t="str">
        <f>IF(AND(_AC5="B-717",'2023'!$D$4="FO",'2023'!$D$2=CE5),'2023DATA3'!$L$38,"")</f>
        <v/>
      </c>
      <c r="CF41" s="518" t="str">
        <f>IF(AND(_AC5="B-717",'2023'!$D$4="FO",'2023'!$D$2=CF5),'2023DATA3'!$M$38,"")</f>
        <v/>
      </c>
      <c r="CG41" s="520" t="str">
        <f>IF(AND(_AC5="B-717",'2023'!$D$4="FO",'2023'!$D$2=CG5),'2023DATA3'!$N$38,"")</f>
        <v/>
      </c>
      <c r="CH41" s="940"/>
      <c r="CI41" s="13" t="s">
        <v>62</v>
      </c>
      <c r="CJ41" s="518" t="str">
        <f>IF(AND(_AC6="B-717",'2023'!$D$4="FO",'2023'!$D$2=CJ5),'2023DATA3'!$C$38,"")</f>
        <v/>
      </c>
      <c r="CK41" s="518" t="str">
        <f>IF(AND(_AC6="B-717",'2023'!$D$4="FO",'2023'!$D$2=CK5),'2023DATA3'!$D$38,"")</f>
        <v/>
      </c>
      <c r="CL41" s="518" t="str">
        <f>IF(AND(_AC6="B-717",'2023'!$D$4="FO",'2023'!$D$2=CL5),'2023DATA3'!$E$38,"")</f>
        <v/>
      </c>
      <c r="CM41" s="518" t="str">
        <f>IF(AND(_AC6="B-717",'2023'!$D$4="FO",'2023'!$D$2=CM5),'2023DATA3'!$F$38,"")</f>
        <v/>
      </c>
      <c r="CN41" s="518" t="str">
        <f>IF(AND(_AC6="B-717",'2023'!$D$4="FO",'2023'!$D$2=CN5),'2023DATA3'!$G$38,"")</f>
        <v/>
      </c>
      <c r="CO41" s="518" t="str">
        <f>IF(AND(_AC6="B-717",'2023'!$D$4="FO",'2023'!$D$2=CO5),'2023DATA3'!$H$38,"")</f>
        <v/>
      </c>
      <c r="CP41" s="518" t="str">
        <f>IF(AND(_AC6="B-717",'2023'!$D$4="FO",'2023'!$D$2=CP5),'2023DATA3'!$I$38,"")</f>
        <v/>
      </c>
      <c r="CQ41" s="518" t="str">
        <f>IF(AND(_AC6="B-717",'2023'!$D$4="FO",'2023'!$D$2=CQ5),'2023DATA3'!$J$38,"")</f>
        <v/>
      </c>
      <c r="CR41" s="518" t="str">
        <f>IF(AND(_AC6="B-717",'2023'!$D$4="FO",'2023'!$D$2=CR5),'2023DATA3'!$K$38,"")</f>
        <v/>
      </c>
      <c r="CS41" s="518" t="str">
        <f>IF(AND(_AC6="B-717",'2023'!$D$4="FO",'2023'!$D$2=CS5),'2023DATA3'!$L$38,"")</f>
        <v/>
      </c>
      <c r="CT41" s="518" t="str">
        <f>IF(AND(_AC6="B-717",'2023'!$D$4="FO",'2023'!$D$2=CT5),'2023DATA3'!$M$38,"")</f>
        <v/>
      </c>
      <c r="CU41" s="520" t="str">
        <f>IF(AND(_AC6="B-717",'2023'!$D$4="FO",'2023'!$D$2=CU5),'2023DATA3'!$N$38,"")</f>
        <v/>
      </c>
    </row>
    <row r="42" spans="1:99" x14ac:dyDescent="0.25">
      <c r="P42" s="943" t="s">
        <v>140</v>
      </c>
      <c r="Q42" s="944"/>
      <c r="R42" s="944"/>
      <c r="S42" s="944"/>
      <c r="T42" s="944"/>
      <c r="U42" s="944"/>
      <c r="V42" s="944"/>
      <c r="W42" s="944"/>
      <c r="X42" s="944"/>
      <c r="Y42" s="944"/>
      <c r="Z42" s="944"/>
      <c r="AA42" s="944"/>
      <c r="AB42" s="944"/>
      <c r="AC42" s="945"/>
      <c r="AD42" s="943" t="s">
        <v>141</v>
      </c>
      <c r="AE42" s="944"/>
      <c r="AF42" s="944"/>
      <c r="AG42" s="944"/>
      <c r="AH42" s="944"/>
      <c r="AI42" s="944"/>
      <c r="AJ42" s="944"/>
      <c r="AK42" s="944"/>
      <c r="AL42" s="944"/>
      <c r="AM42" s="944"/>
      <c r="AN42" s="944"/>
      <c r="AO42" s="944"/>
      <c r="AP42" s="944"/>
      <c r="AQ42" s="945"/>
      <c r="AR42" s="943" t="s">
        <v>142</v>
      </c>
      <c r="AS42" s="944"/>
      <c r="AT42" s="944"/>
      <c r="AU42" s="944"/>
      <c r="AV42" s="944"/>
      <c r="AW42" s="944"/>
      <c r="AX42" s="944"/>
      <c r="AY42" s="944"/>
      <c r="AZ42" s="944"/>
      <c r="BA42" s="944"/>
      <c r="BB42" s="944"/>
      <c r="BC42" s="944"/>
      <c r="BD42" s="944"/>
      <c r="BE42" s="945"/>
      <c r="BF42" s="943" t="s">
        <v>143</v>
      </c>
      <c r="BG42" s="944"/>
      <c r="BH42" s="944"/>
      <c r="BI42" s="944"/>
      <c r="BJ42" s="944"/>
      <c r="BK42" s="944"/>
      <c r="BL42" s="944"/>
      <c r="BM42" s="944"/>
      <c r="BN42" s="944"/>
      <c r="BO42" s="944"/>
      <c r="BP42" s="944"/>
      <c r="BQ42" s="944"/>
      <c r="BR42" s="944"/>
      <c r="BS42" s="945"/>
      <c r="BT42" s="943" t="s">
        <v>144</v>
      </c>
      <c r="BU42" s="944"/>
      <c r="BV42" s="944"/>
      <c r="BW42" s="944"/>
      <c r="BX42" s="944"/>
      <c r="BY42" s="944"/>
      <c r="BZ42" s="944"/>
      <c r="CA42" s="944"/>
      <c r="CB42" s="944"/>
      <c r="CC42" s="944"/>
      <c r="CD42" s="944"/>
      <c r="CE42" s="944"/>
      <c r="CF42" s="944"/>
      <c r="CG42" s="945"/>
      <c r="CH42" s="943" t="s">
        <v>145</v>
      </c>
      <c r="CI42" s="944"/>
      <c r="CJ42" s="944"/>
      <c r="CK42" s="944"/>
      <c r="CL42" s="944"/>
      <c r="CM42" s="944"/>
      <c r="CN42" s="944"/>
      <c r="CO42" s="944"/>
      <c r="CP42" s="944"/>
      <c r="CQ42" s="944"/>
      <c r="CR42" s="944"/>
      <c r="CS42" s="944"/>
      <c r="CT42" s="944"/>
      <c r="CU42" s="945"/>
    </row>
    <row r="43" spans="1:99" x14ac:dyDescent="0.25">
      <c r="P43" s="581">
        <v>2</v>
      </c>
      <c r="Q43" s="571">
        <f>SUM(R44:AC79)</f>
        <v>0</v>
      </c>
      <c r="R43" s="3">
        <v>12</v>
      </c>
      <c r="S43" s="3">
        <v>11</v>
      </c>
      <c r="T43" s="3">
        <v>10</v>
      </c>
      <c r="U43" s="3">
        <v>9</v>
      </c>
      <c r="V43" s="3">
        <v>8</v>
      </c>
      <c r="W43" s="3">
        <v>7</v>
      </c>
      <c r="X43" s="3">
        <v>6</v>
      </c>
      <c r="Y43" s="3">
        <v>5</v>
      </c>
      <c r="Z43" s="3">
        <v>4</v>
      </c>
      <c r="AA43" s="3">
        <v>3</v>
      </c>
      <c r="AB43" s="3">
        <v>2</v>
      </c>
      <c r="AC43" s="519">
        <v>1</v>
      </c>
      <c r="AD43" s="571">
        <v>2</v>
      </c>
      <c r="AE43" s="571">
        <f>SUM(AF44:AQ79)</f>
        <v>0</v>
      </c>
      <c r="AF43" s="3">
        <v>12</v>
      </c>
      <c r="AG43" s="3">
        <v>11</v>
      </c>
      <c r="AH43" s="3">
        <v>10</v>
      </c>
      <c r="AI43" s="3">
        <v>9</v>
      </c>
      <c r="AJ43" s="3">
        <v>8</v>
      </c>
      <c r="AK43" s="3">
        <v>7</v>
      </c>
      <c r="AL43" s="3">
        <v>6</v>
      </c>
      <c r="AM43" s="3">
        <v>5</v>
      </c>
      <c r="AN43" s="3">
        <v>4</v>
      </c>
      <c r="AO43" s="3">
        <v>3</v>
      </c>
      <c r="AP43" s="3">
        <v>2</v>
      </c>
      <c r="AQ43" s="519">
        <v>1</v>
      </c>
      <c r="AR43" s="571">
        <v>2</v>
      </c>
      <c r="AS43" s="571">
        <f>SUM(AT44:BE79)</f>
        <v>0</v>
      </c>
      <c r="AT43" s="3">
        <v>12</v>
      </c>
      <c r="AU43" s="3">
        <v>11</v>
      </c>
      <c r="AV43" s="3">
        <v>10</v>
      </c>
      <c r="AW43" s="3">
        <v>9</v>
      </c>
      <c r="AX43" s="3">
        <v>8</v>
      </c>
      <c r="AY43" s="3">
        <v>7</v>
      </c>
      <c r="AZ43" s="3">
        <v>6</v>
      </c>
      <c r="BA43" s="3">
        <v>5</v>
      </c>
      <c r="BB43" s="3">
        <v>4</v>
      </c>
      <c r="BC43" s="3">
        <v>3</v>
      </c>
      <c r="BD43" s="3">
        <v>2</v>
      </c>
      <c r="BE43" s="519">
        <v>1</v>
      </c>
      <c r="BF43" s="571">
        <v>2</v>
      </c>
      <c r="BG43" s="571">
        <f>SUM(BH44:BS79)</f>
        <v>0</v>
      </c>
      <c r="BH43" s="3">
        <v>12</v>
      </c>
      <c r="BI43" s="3">
        <v>11</v>
      </c>
      <c r="BJ43" s="3">
        <v>10</v>
      </c>
      <c r="BK43" s="3">
        <v>9</v>
      </c>
      <c r="BL43" s="3">
        <v>8</v>
      </c>
      <c r="BM43" s="3">
        <v>7</v>
      </c>
      <c r="BN43" s="3">
        <v>6</v>
      </c>
      <c r="BO43" s="3">
        <v>5</v>
      </c>
      <c r="BP43" s="3">
        <v>4</v>
      </c>
      <c r="BQ43" s="3">
        <v>3</v>
      </c>
      <c r="BR43" s="3">
        <v>2</v>
      </c>
      <c r="BS43" s="519">
        <v>1</v>
      </c>
      <c r="BT43" s="571">
        <v>2</v>
      </c>
      <c r="BU43" s="571">
        <f>SUM(BV44:CG79)</f>
        <v>0</v>
      </c>
      <c r="BV43" s="3">
        <v>12</v>
      </c>
      <c r="BW43" s="3">
        <v>11</v>
      </c>
      <c r="BX43" s="3">
        <v>10</v>
      </c>
      <c r="BY43" s="3">
        <v>9</v>
      </c>
      <c r="BZ43" s="3">
        <v>8</v>
      </c>
      <c r="CA43" s="3">
        <v>7</v>
      </c>
      <c r="CB43" s="3">
        <v>6</v>
      </c>
      <c r="CC43" s="3">
        <v>5</v>
      </c>
      <c r="CD43" s="3">
        <v>4</v>
      </c>
      <c r="CE43" s="3">
        <v>3</v>
      </c>
      <c r="CF43" s="3">
        <v>2</v>
      </c>
      <c r="CG43" s="519">
        <v>1</v>
      </c>
      <c r="CH43" s="571">
        <v>2</v>
      </c>
      <c r="CI43" s="571">
        <f>SUM(CJ44:CU79)</f>
        <v>0</v>
      </c>
      <c r="CJ43" s="3">
        <v>12</v>
      </c>
      <c r="CK43" s="3">
        <v>11</v>
      </c>
      <c r="CL43" s="3">
        <v>10</v>
      </c>
      <c r="CM43" s="3">
        <v>9</v>
      </c>
      <c r="CN43" s="3">
        <v>8</v>
      </c>
      <c r="CO43" s="3">
        <v>7</v>
      </c>
      <c r="CP43" s="3">
        <v>6</v>
      </c>
      <c r="CQ43" s="3">
        <v>5</v>
      </c>
      <c r="CR43" s="3">
        <v>4</v>
      </c>
      <c r="CS43" s="3">
        <v>3</v>
      </c>
      <c r="CT43" s="3">
        <v>2</v>
      </c>
      <c r="CU43" s="519">
        <v>1</v>
      </c>
    </row>
    <row r="44" spans="1:99" x14ac:dyDescent="0.25">
      <c r="P44" s="940" t="s">
        <v>39</v>
      </c>
      <c r="Q44" s="13" t="s">
        <v>61</v>
      </c>
      <c r="R44" s="518" t="str">
        <f>IF(AND(_AC1="A-350",'2023'!$E$4="CA",'2023'!$E$2=R43),'2023DATA3'!$C$3,"")</f>
        <v/>
      </c>
      <c r="S44" s="518" t="str">
        <f>IF(AND(_AC1="A-350",'2023'!$E$4="CA",'2023'!$E$2=S43),'2023DATA3'!$D$3,"")</f>
        <v/>
      </c>
      <c r="T44" s="518" t="str">
        <f>IF(AND(_AC1="A-350",'2023'!$E$4="CA",'2023'!$E$2=T43),'2023DATA3'!$E$3,"")</f>
        <v/>
      </c>
      <c r="U44" s="518" t="str">
        <f>IF(AND(_AC1="A-350",'2023'!$E$4="CA",'2023'!$E$2=U43),'2023DATA3'!$F$3,"")</f>
        <v/>
      </c>
      <c r="V44" s="518" t="str">
        <f>IF(AND(_AC1="A-350",'2023'!$E$4="CA",'2023'!$E$2=V43),'2023DATA3'!$G$3,"")</f>
        <v/>
      </c>
      <c r="W44" s="518" t="str">
        <f>IF(AND(_AC1="A-350",'2023'!$E$4="CA",'2023'!$E$2=W43),'2023DATA3'!$H$3,"")</f>
        <v/>
      </c>
      <c r="X44" s="518" t="str">
        <f>IF(AND(_AC1="A-350",'2023'!$E$4="CA",'2023'!$E$2=X43),'2023DATA3'!$I$3,"")</f>
        <v/>
      </c>
      <c r="Y44" s="518" t="str">
        <f>IF(AND(_AC1="A-350",'2023'!$E$4="CA",'2023'!$E$2=Y43),'2023DATA3'!$J$3,"")</f>
        <v/>
      </c>
      <c r="Z44" s="518" t="str">
        <f>IF(AND(_AC1="A-350",'2023'!$E$4="CA",'2023'!$E$2=Z43),'2023DATA3'!$K$3,"")</f>
        <v/>
      </c>
      <c r="AA44" s="518" t="str">
        <f>IF(AND(_AC1="A-350",'2023'!$E$4="CA",'2023'!$E$2=AA43),'2023DATA3'!$L$3,"")</f>
        <v/>
      </c>
      <c r="AB44" s="518" t="str">
        <f>IF(AND(_AC1="A-350",'2023'!$E$4="CA",'2023'!$E$2=AB43),'2023DATA3'!$M$3,"")</f>
        <v/>
      </c>
      <c r="AC44" s="520" t="str">
        <f>IF(AND(_AC1="A-350",'2023'!$E$4="CA",'2023'!$E$2=AC43),'2023DATA3'!$N$3,"")</f>
        <v/>
      </c>
      <c r="AD44" s="940" t="s">
        <v>39</v>
      </c>
      <c r="AE44" s="13" t="s">
        <v>61</v>
      </c>
      <c r="AF44" s="518" t="str">
        <f>IF(AND(_AC2="A-350",'2023'!$E$4="CA",'2023'!$E$2=AF43),'2023DATA3'!$C$3,"")</f>
        <v/>
      </c>
      <c r="AG44" s="518" t="str">
        <f>IF(AND(_AC2="A-350",'2023'!$E$4="CA",'2023'!$E$2=AG43),'2023DATA3'!$D$3,"")</f>
        <v/>
      </c>
      <c r="AH44" s="518" t="str">
        <f>IF(AND(_AC2="A-350",'2023'!$E$4="CA",'2023'!$E$2=AH43),'2023DATA3'!$E$3,"")</f>
        <v/>
      </c>
      <c r="AI44" s="518" t="str">
        <f>IF(AND(_AC2="A-350",'2023'!$E$4="CA",'2023'!$E$2=AI43),'2023DATA3'!$F$3,"")</f>
        <v/>
      </c>
      <c r="AJ44" s="518" t="str">
        <f>IF(AND(_AC2="A-350",'2023'!$E$4="CA",'2023'!$E$2=AJ43),'2023DATA3'!$G$3,"")</f>
        <v/>
      </c>
      <c r="AK44" s="518" t="str">
        <f>IF(AND(_AC2="A-350",'2023'!$E$4="CA",'2023'!$E$2=AK43),'2023DATA3'!$H$3,"")</f>
        <v/>
      </c>
      <c r="AL44" s="518" t="str">
        <f>IF(AND(_AC2="A-350",'2023'!$E$4="CA",'2023'!$E$2=AL43),'2023DATA3'!$I$3,"")</f>
        <v/>
      </c>
      <c r="AM44" s="518" t="str">
        <f>IF(AND(_AC2="A-350",'2023'!$E$4="CA",'2023'!$E$2=AM43),'2023DATA3'!$J$3,"")</f>
        <v/>
      </c>
      <c r="AN44" s="518" t="str">
        <f>IF(AND(_AC2="A-350",'2023'!$E$4="CA",'2023'!$E$2=AN43),'2023DATA3'!$K$3,"")</f>
        <v/>
      </c>
      <c r="AO44" s="518" t="str">
        <f>IF(AND(_AC2="A-350",'2023'!$E$4="CA",'2023'!$E$2=AO43),'2023DATA3'!$L$3,"")</f>
        <v/>
      </c>
      <c r="AP44" s="518" t="str">
        <f>IF(AND(_AC2="A-350",'2023'!$E$4="CA",'2023'!$E$2=AP43),'2023DATA3'!$M$3,"")</f>
        <v/>
      </c>
      <c r="AQ44" s="520" t="str">
        <f>IF(AND(_AC2="A-350",'2023'!$E$4="CA",'2023'!$E$2=AQ43),'2023DATA3'!$N$3,"")</f>
        <v/>
      </c>
      <c r="AR44" s="940" t="s">
        <v>39</v>
      </c>
      <c r="AS44" s="13" t="s">
        <v>61</v>
      </c>
      <c r="AT44" s="518" t="str">
        <f>IF(AND(_AC3="A-350",'2023'!$E$4="CA",'2023'!$E$2=AT43),'2023DATA3'!$C$3,"")</f>
        <v/>
      </c>
      <c r="AU44" s="518" t="str">
        <f>IF(AND(_AC3="A-350",'2023'!$E$4="CA",'2023'!$E$2=AU43),'2023DATA3'!$D$3,"")</f>
        <v/>
      </c>
      <c r="AV44" s="518" t="str">
        <f>IF(AND(_AC3="A-350",'2023'!$E$4="CA",'2023'!$E$2=AV43),'2023DATA3'!$E$3,"")</f>
        <v/>
      </c>
      <c r="AW44" s="518" t="str">
        <f>IF(AND(_AC3="A-350",'2023'!$E$4="CA",'2023'!$E$2=AW43),'2023DATA3'!$F$3,"")</f>
        <v/>
      </c>
      <c r="AX44" s="518" t="str">
        <f>IF(AND(_AC3="A-350",'2023'!$E$4="CA",'2023'!$E$2=AX43),'2023DATA3'!$G$3,"")</f>
        <v/>
      </c>
      <c r="AY44" s="518" t="str">
        <f>IF(AND(_AC3="A-350",'2023'!$E$4="CA",'2023'!$E$2=AY43),'2023DATA3'!$H$3,"")</f>
        <v/>
      </c>
      <c r="AZ44" s="518" t="str">
        <f>IF(AND(_AC3="A-350",'2023'!$E$4="CA",'2023'!$E$2=AZ43),'2023DATA3'!$I$3,"")</f>
        <v/>
      </c>
      <c r="BA44" s="518" t="str">
        <f>IF(AND(_AC3="A-350",'2023'!$E$4="CA",'2023'!$E$2=BA43),'2023DATA3'!$J$3,"")</f>
        <v/>
      </c>
      <c r="BB44" s="518" t="str">
        <f>IF(AND(_AC3="A-350",'2023'!$E$4="CA",'2023'!$E$2=BB43),'2023DATA3'!$K$3,"")</f>
        <v/>
      </c>
      <c r="BC44" s="518" t="str">
        <f>IF(AND(_AC3="A-350",'2023'!$E$4="CA",'2023'!$E$2=BC43),'2023DATA3'!$L$3,"")</f>
        <v/>
      </c>
      <c r="BD44" s="518" t="str">
        <f>IF(AND(_AC3="A-350",'2023'!$E$4="CA",'2023'!$E$2=BD43),'2023DATA3'!$M$3,"")</f>
        <v/>
      </c>
      <c r="BE44" s="520" t="str">
        <f>IF(AND(_AC3="A-350",'2023'!$E$4="CA",'2023'!$E$2=BE43),'2023DATA3'!$N$3,"")</f>
        <v/>
      </c>
      <c r="BF44" s="940" t="s">
        <v>39</v>
      </c>
      <c r="BG44" s="13" t="s">
        <v>61</v>
      </c>
      <c r="BH44" s="518" t="str">
        <f>IF(AND(_AC4="A-350",'2023'!$E$4="CA",'2023'!$E$2=BH43),'2023DATA3'!$C$3,"")</f>
        <v/>
      </c>
      <c r="BI44" s="518" t="str">
        <f>IF(AND(_AC4="A-350",'2023'!$E$4="CA",'2023'!$E$2=BI43),'2023DATA3'!$D$3,"")</f>
        <v/>
      </c>
      <c r="BJ44" s="518" t="str">
        <f>IF(AND(_AC4="A-350",'2023'!$E$4="CA",'2023'!$E$2=BJ43),'2023DATA3'!$E$3,"")</f>
        <v/>
      </c>
      <c r="BK44" s="518" t="str">
        <f>IF(AND(_AC4="A-350",'2023'!$E$4="CA",'2023'!$E$2=BK43),'2023DATA3'!$F$3,"")</f>
        <v/>
      </c>
      <c r="BL44" s="518" t="str">
        <f>IF(AND(_AC4="A-350",'2023'!$E$4="CA",'2023'!$E$2=BL43),'2023DATA3'!$G$3,"")</f>
        <v/>
      </c>
      <c r="BM44" s="518" t="str">
        <f>IF(AND(_AC4="A-350",'2023'!$E$4="CA",'2023'!$E$2=BM43),'2023DATA3'!$H$3,"")</f>
        <v/>
      </c>
      <c r="BN44" s="518" t="str">
        <f>IF(AND(_AC4="A-350",'2023'!$E$4="CA",'2023'!$E$2=BN43),'2023DATA3'!$I$3,"")</f>
        <v/>
      </c>
      <c r="BO44" s="518" t="str">
        <f>IF(AND(_AC4="A-350",'2023'!$E$4="CA",'2023'!$E$2=BO43),'2023DATA3'!$J$3,"")</f>
        <v/>
      </c>
      <c r="BP44" s="518" t="str">
        <f>IF(AND(_AC4="A-350",'2023'!$E$4="CA",'2023'!$E$2=BP43),'2023DATA3'!$K$3,"")</f>
        <v/>
      </c>
      <c r="BQ44" s="518" t="str">
        <f>IF(AND(_AC4="A-350",'2023'!$E$4="CA",'2023'!$E$2=BQ43),'2023DATA3'!$L$3,"")</f>
        <v/>
      </c>
      <c r="BR44" s="518" t="str">
        <f>IF(AND(_AC4="A-350",'2023'!$E$4="CA",'2023'!$E$2=BR43),'2023DATA3'!$M$3,"")</f>
        <v/>
      </c>
      <c r="BS44" s="520" t="str">
        <f>IF(AND(_AC4="A-350",'2023'!$E$4="CA",'2023'!$E$2=BS43),'2023DATA3'!$N$3,"")</f>
        <v/>
      </c>
      <c r="BT44" s="940" t="s">
        <v>39</v>
      </c>
      <c r="BU44" s="13" t="s">
        <v>61</v>
      </c>
      <c r="BV44" s="518" t="str">
        <f>IF(AND(_AC5="A-350",'2023'!$E$4="CA",'2023'!$E$2=BV43),'2023DATA3'!$C$3,"")</f>
        <v/>
      </c>
      <c r="BW44" s="518" t="str">
        <f>IF(AND(_AC5="A-350",'2023'!$E$4="CA",'2023'!$E$2=BW43),'2023DATA3'!$D$3,"")</f>
        <v/>
      </c>
      <c r="BX44" s="518" t="str">
        <f>IF(AND(_AC5="A-350",'2023'!$E$4="CA",'2023'!$E$2=BX43),'2023DATA3'!$E$3,"")</f>
        <v/>
      </c>
      <c r="BY44" s="518" t="str">
        <f>IF(AND(_AC5="A-350",'2023'!$E$4="CA",'2023'!$E$2=BY43),'2023DATA3'!$F$3,"")</f>
        <v/>
      </c>
      <c r="BZ44" s="518" t="str">
        <f>IF(AND(_AC5="A-350",'2023'!$E$4="CA",'2023'!$E$2=BZ43),'2023DATA3'!$G$3,"")</f>
        <v/>
      </c>
      <c r="CA44" s="518" t="str">
        <f>IF(AND(_AC5="A-350",'2023'!$E$4="CA",'2023'!$E$2=CA43),'2023DATA3'!$H$3,"")</f>
        <v/>
      </c>
      <c r="CB44" s="518" t="str">
        <f>IF(AND(_AC5="A-350",'2023'!$E$4="CA",'2023'!$E$2=CB43),'2023DATA3'!$I$3,"")</f>
        <v/>
      </c>
      <c r="CC44" s="518" t="str">
        <f>IF(AND(_AC5="A-350",'2023'!$E$4="CA",'2023'!$E$2=CC43),'2023DATA3'!$J$3,"")</f>
        <v/>
      </c>
      <c r="CD44" s="518" t="str">
        <f>IF(AND(_AC5="A-350",'2023'!$E$4="CA",'2023'!$E$2=CD43),'2023DATA3'!$K$3,"")</f>
        <v/>
      </c>
      <c r="CE44" s="518" t="str">
        <f>IF(AND(_AC5="A-350",'2023'!$E$4="CA",'2023'!$E$2=CE43),'2023DATA3'!$L$3,"")</f>
        <v/>
      </c>
      <c r="CF44" s="518" t="str">
        <f>IF(AND(_AC5="A-350",'2023'!$E$4="CA",'2023'!$E$2=CF43),'2023DATA3'!$M$3,"")</f>
        <v/>
      </c>
      <c r="CG44" s="520" t="str">
        <f>IF(AND(_AC5="A-350",'2023'!$E$4="CA",'2023'!$E$2=CG43),'2023DATA3'!$N$3,"")</f>
        <v/>
      </c>
      <c r="CH44" s="940" t="s">
        <v>39</v>
      </c>
      <c r="CI44" s="13" t="s">
        <v>61</v>
      </c>
      <c r="CJ44" s="518" t="str">
        <f>IF(AND(_AC6="A-350",'2023'!$E$4="CA",'2023'!$E$2=CJ43),'2023DATA3'!$C$3,"")</f>
        <v/>
      </c>
      <c r="CK44" s="518" t="str">
        <f>IF(AND(_AC6="A-350",'2023'!$E$4="CA",'2023'!$E$2=CK43),'2023DATA3'!$D$3,"")</f>
        <v/>
      </c>
      <c r="CL44" s="518" t="str">
        <f>IF(AND(_AC6="A-350",'2023'!$E$4="CA",'2023'!$E$2=CL43),'2023DATA3'!$E$3,"")</f>
        <v/>
      </c>
      <c r="CM44" s="518" t="str">
        <f>IF(AND(_AC6="A-350",'2023'!$E$4="CA",'2023'!$E$2=CM43),'2023DATA3'!$F$3,"")</f>
        <v/>
      </c>
      <c r="CN44" s="518" t="str">
        <f>IF(AND(_AC6="A-350",'2023'!$E$4="CA",'2023'!$E$2=CN43),'2023DATA3'!$G$3,"")</f>
        <v/>
      </c>
      <c r="CO44" s="518" t="str">
        <f>IF(AND(_AC6="A-350",'2023'!$E$4="CA",'2023'!$E$2=CO43),'2023DATA3'!$H$3,"")</f>
        <v/>
      </c>
      <c r="CP44" s="518" t="str">
        <f>IF(AND(_AC6="A-350",'2023'!$E$4="CA",'2023'!$E$2=CP43),'2023DATA3'!$I$3,"")</f>
        <v/>
      </c>
      <c r="CQ44" s="518" t="str">
        <f>IF(AND(_AC6="A-350",'2023'!$E$4="CA",'2023'!$E$2=CQ43),'2023DATA3'!$J$3,"")</f>
        <v/>
      </c>
      <c r="CR44" s="518" t="str">
        <f>IF(AND(_AC6="A-350",'2023'!$E$4="CA",'2023'!$E$2=CR43),'2023DATA3'!$K$3,"")</f>
        <v/>
      </c>
      <c r="CS44" s="518" t="str">
        <f>IF(AND(_AC6="A-350",'2023'!$E$4="CA",'2023'!$E$2=CS43),'2023DATA3'!$L$3,"")</f>
        <v/>
      </c>
      <c r="CT44" s="518" t="str">
        <f>IF(AND(_AC6="A-350",'2023'!$E$4="CA",'2023'!$E$2=CT43),'2023DATA3'!$M$3,"")</f>
        <v/>
      </c>
      <c r="CU44" s="520" t="str">
        <f>IF(AND(_AC6="A-350",'2023'!$E$4="CA",'2023'!$E$2=CU43),'2023DATA3'!$N$3,"")</f>
        <v/>
      </c>
    </row>
    <row r="45" spans="1:99" x14ac:dyDescent="0.25">
      <c r="P45" s="940"/>
      <c r="Q45" s="13" t="s">
        <v>62</v>
      </c>
      <c r="R45" s="518" t="str">
        <f>IF(AND(_AC1="A-350",'2023'!$E$4="FO",'2023'!$E$2=R43),'2023DATA3'!$C$4,"")</f>
        <v/>
      </c>
      <c r="S45" s="518" t="str">
        <f>IF(AND(_AC1="A-350",'2023'!$E$4="FO",'2023'!$E$2=S43),'2023DATA3'!$D$4,"")</f>
        <v/>
      </c>
      <c r="T45" s="518" t="str">
        <f>IF(AND(_AC1="A-350",'2023'!$E$4="FO",'2023'!$E$2=T43),'2023DATA3'!$E$4,"")</f>
        <v/>
      </c>
      <c r="U45" s="518" t="str">
        <f>IF(AND(_AC1="A-350",'2023'!$E$4="FO",'2023'!$E$2=U43),'2023DATA3'!$F$4,"")</f>
        <v/>
      </c>
      <c r="V45" s="518" t="str">
        <f>IF(AND(_AC1="A-350",'2023'!$E$4="FO",'2023'!$E$2=V43),'2023DATA3'!$G$4,"")</f>
        <v/>
      </c>
      <c r="W45" s="518" t="str">
        <f>IF(AND(_AC1="A-350",'2023'!$E$4="FO",'2023'!$E$2=W43),'2023DATA3'!$H$4,"")</f>
        <v/>
      </c>
      <c r="X45" s="518" t="str">
        <f>IF(AND(_AC1="A-350",'2023'!$E$4="FO",'2023'!$E$2=X43),'2023DATA3'!$I$4,"")</f>
        <v/>
      </c>
      <c r="Y45" s="518" t="str">
        <f>IF(AND(_AC1="A-350",'2023'!$E$4="FO",'2023'!$E$2=Y43),'2023DATA3'!$J$4,"")</f>
        <v/>
      </c>
      <c r="Z45" s="518" t="str">
        <f>IF(AND(_AC1="A-350",'2023'!$E$4="FO",'2023'!$E$2=Z43),'2023DATA3'!$K$4,"")</f>
        <v/>
      </c>
      <c r="AA45" s="518" t="str">
        <f>IF(AND(_AC1="A-350",'2023'!$E$4="FO",'2023'!$E$2=AA43),'2023DATA3'!$L$4,"")</f>
        <v/>
      </c>
      <c r="AB45" s="518" t="str">
        <f>IF(AND(_AC1="A-350",'2023'!$E$4="FO",'2023'!$E$2=AB43),'2023DATA3'!$M$4,"")</f>
        <v/>
      </c>
      <c r="AC45" s="520" t="str">
        <f>IF(AND(_AC1="A-350",'2023'!$E$4="FO",'2023'!$E$2=AC43),'2023DATA3'!$N$4,"")</f>
        <v/>
      </c>
      <c r="AD45" s="940"/>
      <c r="AE45" s="13" t="s">
        <v>62</v>
      </c>
      <c r="AF45" s="518" t="str">
        <f>IF(AND(_AC2="A-350",'2023'!$E$4="FO",'2023'!$E$2=AF43),'2023DATA3'!$C$4,"")</f>
        <v/>
      </c>
      <c r="AG45" s="518" t="str">
        <f>IF(AND(_AC2="A-350",'2023'!$E$4="FO",'2023'!$E$2=AG43),'2023DATA3'!$D$4,"")</f>
        <v/>
      </c>
      <c r="AH45" s="518" t="str">
        <f>IF(AND(_AC2="A-350",'2023'!$E$4="FO",'2023'!$E$2=AH43),'2023DATA3'!$E$4,"")</f>
        <v/>
      </c>
      <c r="AI45" s="518" t="str">
        <f>IF(AND(_AC2="A-350",'2023'!$E$4="FO",'2023'!$E$2=AI43),'2023DATA3'!$F$4,"")</f>
        <v/>
      </c>
      <c r="AJ45" s="518" t="str">
        <f>IF(AND(_AC2="A-350",'2023'!$E$4="FO",'2023'!$E$2=AJ43),'2023DATA3'!$G$4,"")</f>
        <v/>
      </c>
      <c r="AK45" s="518" t="str">
        <f>IF(AND(_AC2="A-350",'2023'!$E$4="FO",'2023'!$E$2=AK43),'2023DATA3'!$H$4,"")</f>
        <v/>
      </c>
      <c r="AL45" s="518" t="str">
        <f>IF(AND(_AC2="A-350",'2023'!$E$4="FO",'2023'!$E$2=AL43),'2023DATA3'!$I$4,"")</f>
        <v/>
      </c>
      <c r="AM45" s="518" t="str">
        <f>IF(AND(_AC2="A-350",'2023'!$E$4="FO",'2023'!$E$2=AM43),'2023DATA3'!$J$4,"")</f>
        <v/>
      </c>
      <c r="AN45" s="518" t="str">
        <f>IF(AND(_AC2="A-350",'2023'!$E$4="FO",'2023'!$E$2=AN43),'2023DATA3'!$K$4,"")</f>
        <v/>
      </c>
      <c r="AO45" s="518" t="str">
        <f>IF(AND(_AC2="A-350",'2023'!$E$4="FO",'2023'!$E$2=AO43),'2023DATA3'!$L$4,"")</f>
        <v/>
      </c>
      <c r="AP45" s="518" t="str">
        <f>IF(AND(_AC2="A-350",'2023'!$E$4="FO",'2023'!$E$2=AP43),'2023DATA3'!$M$4,"")</f>
        <v/>
      </c>
      <c r="AQ45" s="520" t="str">
        <f>IF(AND(_AC2="A-350",'2023'!$E$4="FO",'2023'!$E$2=AQ43),'2023DATA3'!$N$4,"")</f>
        <v/>
      </c>
      <c r="AR45" s="940"/>
      <c r="AS45" s="13" t="s">
        <v>62</v>
      </c>
      <c r="AT45" s="518" t="str">
        <f>IF(AND(_AC3="A-350",'2023'!$E$4="FO",'2023'!$E$2=AT43),'2023DATA3'!$C$4,"")</f>
        <v/>
      </c>
      <c r="AU45" s="518" t="str">
        <f>IF(AND(_AC3="A-350",'2023'!$E$4="FO",'2023'!$E$2=AU43),'2023DATA3'!$D$4,"")</f>
        <v/>
      </c>
      <c r="AV45" s="518" t="str">
        <f>IF(AND(_AC3="A-350",'2023'!$E$4="FO",'2023'!$E$2=AV43),'2023DATA3'!$E$4,"")</f>
        <v/>
      </c>
      <c r="AW45" s="518" t="str">
        <f>IF(AND(_AC3="A-350",'2023'!$E$4="FO",'2023'!$E$2=AW43),'2023DATA3'!$F$4,"")</f>
        <v/>
      </c>
      <c r="AX45" s="518" t="str">
        <f>IF(AND(_AC3="A-350",'2023'!$E$4="FO",'2023'!$E$2=AX43),'2023DATA3'!$G$4,"")</f>
        <v/>
      </c>
      <c r="AY45" s="518" t="str">
        <f>IF(AND(_AC3="A-350",'2023'!$E$4="FO",'2023'!$E$2=AY43),'2023DATA3'!$H$4,"")</f>
        <v/>
      </c>
      <c r="AZ45" s="518" t="str">
        <f>IF(AND(_AC3="A-350",'2023'!$E$4="FO",'2023'!$E$2=AZ43),'2023DATA3'!$I$4,"")</f>
        <v/>
      </c>
      <c r="BA45" s="518" t="str">
        <f>IF(AND(_AC3="A-350",'2023'!$E$4="FO",'2023'!$E$2=BA43),'2023DATA3'!$J$4,"")</f>
        <v/>
      </c>
      <c r="BB45" s="518" t="str">
        <f>IF(AND(_AC3="A-350",'2023'!$E$4="FO",'2023'!$E$2=BB43),'2023DATA3'!$K$4,"")</f>
        <v/>
      </c>
      <c r="BC45" s="518" t="str">
        <f>IF(AND(_AC3="A-350",'2023'!$E$4="FO",'2023'!$E$2=BC43),'2023DATA3'!$L$4,"")</f>
        <v/>
      </c>
      <c r="BD45" s="518" t="str">
        <f>IF(AND(_AC3="A-350",'2023'!$E$4="FO",'2023'!$E$2=BD43),'2023DATA3'!$M$4,"")</f>
        <v/>
      </c>
      <c r="BE45" s="520" t="str">
        <f>IF(AND(_AC3="A-350",'2023'!$E$4="FO",'2023'!$E$2=BE43),'2023DATA3'!$N$4,"")</f>
        <v/>
      </c>
      <c r="BF45" s="940"/>
      <c r="BG45" s="13" t="s">
        <v>62</v>
      </c>
      <c r="BH45" s="518" t="str">
        <f>IF(AND(_AC4="A-350",'2023'!$E$4="FO",'2023'!$E$2=BH43),'2023DATA3'!$C$4,"")</f>
        <v/>
      </c>
      <c r="BI45" s="518" t="str">
        <f>IF(AND(_AC4="A-350",'2023'!$E$4="FO",'2023'!$E$2=BI43),'2023DATA3'!$D$4,"")</f>
        <v/>
      </c>
      <c r="BJ45" s="518" t="str">
        <f>IF(AND(_AC4="A-350",'2023'!$E$4="FO",'2023'!$E$2=BJ43),'2023DATA3'!$E$4,"")</f>
        <v/>
      </c>
      <c r="BK45" s="518" t="str">
        <f>IF(AND(_AC4="A-350",'2023'!$E$4="FO",'2023'!$E$2=BK43),'2023DATA3'!$F$4,"")</f>
        <v/>
      </c>
      <c r="BL45" s="518" t="str">
        <f>IF(AND(_AC4="A-350",'2023'!$E$4="FO",'2023'!$E$2=BL43),'2023DATA3'!$G$4,"")</f>
        <v/>
      </c>
      <c r="BM45" s="518" t="str">
        <f>IF(AND(_AC4="A-350",'2023'!$E$4="FO",'2023'!$E$2=BM43),'2023DATA3'!$H$4,"")</f>
        <v/>
      </c>
      <c r="BN45" s="518" t="str">
        <f>IF(AND(_AC4="A-350",'2023'!$E$4="FO",'2023'!$E$2=BN43),'2023DATA3'!$I$4,"")</f>
        <v/>
      </c>
      <c r="BO45" s="518" t="str">
        <f>IF(AND(_AC4="A-350",'2023'!$E$4="FO",'2023'!$E$2=BO43),'2023DATA3'!$J$4,"")</f>
        <v/>
      </c>
      <c r="BP45" s="518" t="str">
        <f>IF(AND(_AC4="A-350",'2023'!$E$4="FO",'2023'!$E$2=BP43),'2023DATA3'!$K$4,"")</f>
        <v/>
      </c>
      <c r="BQ45" s="518" t="str">
        <f>IF(AND(_AC4="A-350",'2023'!$E$4="FO",'2023'!$E$2=BQ43),'2023DATA3'!$L$4,"")</f>
        <v/>
      </c>
      <c r="BR45" s="518" t="str">
        <f>IF(AND(_AC4="A-350",'2023'!$E$4="FO",'2023'!$E$2=BR43),'2023DATA3'!$M$4,"")</f>
        <v/>
      </c>
      <c r="BS45" s="520" t="str">
        <f>IF(AND(_AC4="A-350",'2023'!$E$4="FO",'2023'!$E$2=BS43),'2023DATA3'!$N$4,"")</f>
        <v/>
      </c>
      <c r="BT45" s="940"/>
      <c r="BU45" s="13" t="s">
        <v>62</v>
      </c>
      <c r="BV45" s="518" t="str">
        <f>IF(AND(_AC5="A-350",'2023'!$E$4="FO",'2023'!$E$2=BV43),'2023DATA3'!$C$4,"")</f>
        <v/>
      </c>
      <c r="BW45" s="518" t="str">
        <f>IF(AND(_AC5="A-350",'2023'!$E$4="FO",'2023'!$E$2=BW43),'2023DATA3'!$D$4,"")</f>
        <v/>
      </c>
      <c r="BX45" s="518" t="str">
        <f>IF(AND(_AC5="A-350",'2023'!$E$4="FO",'2023'!$E$2=BX43),'2023DATA3'!$E$4,"")</f>
        <v/>
      </c>
      <c r="BY45" s="518" t="str">
        <f>IF(AND(_AC5="A-350",'2023'!$E$4="FO",'2023'!$E$2=BY43),'2023DATA3'!$F$4,"")</f>
        <v/>
      </c>
      <c r="BZ45" s="518" t="str">
        <f>IF(AND(_AC5="A-350",'2023'!$E$4="FO",'2023'!$E$2=BZ43),'2023DATA3'!$G$4,"")</f>
        <v/>
      </c>
      <c r="CA45" s="518" t="str">
        <f>IF(AND(_AC5="A-350",'2023'!$E$4="FO",'2023'!$E$2=CA43),'2023DATA3'!$H$4,"")</f>
        <v/>
      </c>
      <c r="CB45" s="518" t="str">
        <f>IF(AND(_AC5="A-350",'2023'!$E$4="FO",'2023'!$E$2=CB43),'2023DATA3'!$I$4,"")</f>
        <v/>
      </c>
      <c r="CC45" s="518" t="str">
        <f>IF(AND(_AC5="A-350",'2023'!$E$4="FO",'2023'!$E$2=CC43),'2023DATA3'!$J$4,"")</f>
        <v/>
      </c>
      <c r="CD45" s="518" t="str">
        <f>IF(AND(_AC5="A-350",'2023'!$E$4="FO",'2023'!$E$2=CD43),'2023DATA3'!$K$4,"")</f>
        <v/>
      </c>
      <c r="CE45" s="518" t="str">
        <f>IF(AND(_AC5="A-350",'2023'!$E$4="FO",'2023'!$E$2=CE43),'2023DATA3'!$L$4,"")</f>
        <v/>
      </c>
      <c r="CF45" s="518" t="str">
        <f>IF(AND(_AC5="A-350",'2023'!$E$4="FO",'2023'!$E$2=CF43),'2023DATA3'!$M$4,"")</f>
        <v/>
      </c>
      <c r="CG45" s="520" t="str">
        <f>IF(AND(_AC5="A-350",'2023'!$E$4="FO",'2023'!$E$2=CG43),'2023DATA3'!$N$4,"")</f>
        <v/>
      </c>
      <c r="CH45" s="940"/>
      <c r="CI45" s="13" t="s">
        <v>62</v>
      </c>
      <c r="CJ45" s="518" t="str">
        <f>IF(AND(_AC6="A-350",'2023'!$E$4="FO",'2023'!$E$2=CJ43),'2023DATA3'!$C$4,"")</f>
        <v/>
      </c>
      <c r="CK45" s="518" t="str">
        <f>IF(AND(_AC6="A-350",'2023'!$E$4="FO",'2023'!$E$2=CK43),'2023DATA3'!$D$4,"")</f>
        <v/>
      </c>
      <c r="CL45" s="518" t="str">
        <f>IF(AND(_AC6="A-350",'2023'!$E$4="FO",'2023'!$E$2=CL43),'2023DATA3'!$E$4,"")</f>
        <v/>
      </c>
      <c r="CM45" s="518" t="str">
        <f>IF(AND(_AC6="A-350",'2023'!$E$4="FO",'2023'!$E$2=CM43),'2023DATA3'!$F$4,"")</f>
        <v/>
      </c>
      <c r="CN45" s="518" t="str">
        <f>IF(AND(_AC6="A-350",'2023'!$E$4="FO",'2023'!$E$2=CN43),'2023DATA3'!$G$4,"")</f>
        <v/>
      </c>
      <c r="CO45" s="518" t="str">
        <f>IF(AND(_AC6="A-350",'2023'!$E$4="FO",'2023'!$E$2=CO43),'2023DATA3'!$H$4,"")</f>
        <v/>
      </c>
      <c r="CP45" s="518" t="str">
        <f>IF(AND(_AC6="A-350",'2023'!$E$4="FO",'2023'!$E$2=CP43),'2023DATA3'!$I$4,"")</f>
        <v/>
      </c>
      <c r="CQ45" s="518" t="str">
        <f>IF(AND(_AC6="A-350",'2023'!$E$4="FO",'2023'!$E$2=CQ43),'2023DATA3'!$J$4,"")</f>
        <v/>
      </c>
      <c r="CR45" s="518" t="str">
        <f>IF(AND(_AC6="A-350",'2023'!$E$4="FO",'2023'!$E$2=CR43),'2023DATA3'!$K$4,"")</f>
        <v/>
      </c>
      <c r="CS45" s="518" t="str">
        <f>IF(AND(_AC6="A-350",'2023'!$E$4="FO",'2023'!$E$2=CS43),'2023DATA3'!$L$4,"")</f>
        <v/>
      </c>
      <c r="CT45" s="518" t="str">
        <f>IF(AND(_AC6="A-350",'2023'!$E$4="FO",'2023'!$E$2=CT43),'2023DATA3'!$M$4,"")</f>
        <v/>
      </c>
      <c r="CU45" s="520" t="str">
        <f>IF(AND(_AC6="A-350",'2023'!$E$4="FO",'2023'!$E$2=CU43),'2023DATA3'!$N$4,"")</f>
        <v/>
      </c>
    </row>
    <row r="46" spans="1:99" x14ac:dyDescent="0.25">
      <c r="P46" s="940" t="s">
        <v>65</v>
      </c>
      <c r="Q46" s="13" t="s">
        <v>61</v>
      </c>
      <c r="R46" s="518" t="str">
        <f>IF(AND(_AC1="A-330-900",'2023'!$E$4="CA",'2023'!$E$2=R43),'2023DATA3'!$C$5,"")</f>
        <v/>
      </c>
      <c r="S46" s="518" t="str">
        <f>IF(AND(_AC1="A-330-900",'2023'!$E$4="CA",'2023'!$E$2=S43),'2023DATA3'!$D$5,"")</f>
        <v/>
      </c>
      <c r="T46" s="518" t="str">
        <f>IF(AND(_AC1="A-330-900",'2023'!$E$4="CA",'2023'!$E$2=T43),'2023DATA3'!$E$5,"")</f>
        <v/>
      </c>
      <c r="U46" s="518" t="str">
        <f>IF(AND(_AC1="A-330-900",'2023'!$E$4="CA",'2023'!$E$2=U43),'2023DATA3'!$F$5,"")</f>
        <v/>
      </c>
      <c r="V46" s="518" t="str">
        <f>IF(AND(_AC1="A-330-900",'2023'!$E$4="CA",'2023'!$E$2=V43),'2023DATA3'!$G$5,"")</f>
        <v/>
      </c>
      <c r="W46" s="518" t="str">
        <f>IF(AND(_AC1="A-330-900",'2023'!$E$4="CA",'2023'!$E$2=W43),'2023DATA3'!$H$5,"")</f>
        <v/>
      </c>
      <c r="X46" s="518" t="str">
        <f>IF(AND(_AC1="A-330-900",'2023'!$E$4="CA",'2023'!$E$2=X43),'2023DATA3'!$I$5,"")</f>
        <v/>
      </c>
      <c r="Y46" s="518" t="str">
        <f>IF(AND(_AC1="A-330-900",'2023'!$E$4="CA",'2023'!$E$2=Y43),'2023DATA3'!$J$5,"")</f>
        <v/>
      </c>
      <c r="Z46" s="518" t="str">
        <f>IF(AND(_AC1="A-330-900",'2023'!$E$4="CA",'2023'!$E$2=Z43),'2023DATA3'!$K$5,"")</f>
        <v/>
      </c>
      <c r="AA46" s="518" t="str">
        <f>IF(AND(_AC1="A-330-900",'2023'!$E$4="CA",'2023'!$E$2=AA43),'2023DATA3'!$L$5,"")</f>
        <v/>
      </c>
      <c r="AB46" s="518" t="str">
        <f>IF(AND(_AC1="A-330-900",'2023'!$E$4="CA",'2023'!$E$2=AB43),'2023DATA3'!$M$5,"")</f>
        <v/>
      </c>
      <c r="AC46" s="520" t="str">
        <f>IF(AND(_AC1="A-330-900",'2023'!$E$4="CA",'2023'!$E$2=AC43),'2023DATA3'!$N$5,"")</f>
        <v/>
      </c>
      <c r="AD46" s="940" t="s">
        <v>65</v>
      </c>
      <c r="AE46" s="13" t="s">
        <v>61</v>
      </c>
      <c r="AF46" s="518" t="str">
        <f>IF(AND(_AC2="A-330-900",'2023'!$E$4="CA",'2023'!$E$2=AF43),'2023DATA3'!$C$5,"")</f>
        <v/>
      </c>
      <c r="AG46" s="518" t="str">
        <f>IF(AND(_AC2="A-330-900",'2023'!$E$4="CA",'2023'!$E$2=AG43),'2023DATA3'!$D$5,"")</f>
        <v/>
      </c>
      <c r="AH46" s="518" t="str">
        <f>IF(AND(_AC2="A-330-900",'2023'!$E$4="CA",'2023'!$E$2=AH43),'2023DATA3'!$E$5,"")</f>
        <v/>
      </c>
      <c r="AI46" s="518" t="str">
        <f>IF(AND(_AC2="A-330-900",'2023'!$E$4="CA",'2023'!$E$2=AI43),'2023DATA3'!$F$5,"")</f>
        <v/>
      </c>
      <c r="AJ46" s="518" t="str">
        <f>IF(AND(_AC2="A-330-900",'2023'!$E$4="CA",'2023'!$E$2=AJ43),'2023DATA3'!$G$5,"")</f>
        <v/>
      </c>
      <c r="AK46" s="518" t="str">
        <f>IF(AND(_AC2="A-330-900",'2023'!$E$4="CA",'2023'!$E$2=AK43),'2023DATA3'!$H$5,"")</f>
        <v/>
      </c>
      <c r="AL46" s="518" t="str">
        <f>IF(AND(_AC2="A-330-900",'2023'!$E$4="CA",'2023'!$E$2=AL43),'2023DATA3'!$I$5,"")</f>
        <v/>
      </c>
      <c r="AM46" s="518" t="str">
        <f>IF(AND(_AC2="A-330-900",'2023'!$E$4="CA",'2023'!$E$2=AM43),'2023DATA3'!$J$5,"")</f>
        <v/>
      </c>
      <c r="AN46" s="518" t="str">
        <f>IF(AND(_AC2="A-330-900",'2023'!$E$4="CA",'2023'!$E$2=AN43),'2023DATA3'!$K$5,"")</f>
        <v/>
      </c>
      <c r="AO46" s="518" t="str">
        <f>IF(AND(_AC2="A-330-900",'2023'!$E$4="CA",'2023'!$E$2=AO43),'2023DATA3'!$L$5,"")</f>
        <v/>
      </c>
      <c r="AP46" s="518" t="str">
        <f>IF(AND(_AC2="A-330-900",'2023'!$E$4="CA",'2023'!$E$2=AP43),'2023DATA3'!$M$5,"")</f>
        <v/>
      </c>
      <c r="AQ46" s="520" t="str">
        <f>IF(AND(_AC2="A-330-900",'2023'!$E$4="CA",'2023'!$E$2=AQ43),'2023DATA3'!$N$5,"")</f>
        <v/>
      </c>
      <c r="AR46" s="940" t="s">
        <v>65</v>
      </c>
      <c r="AS46" s="13" t="s">
        <v>61</v>
      </c>
      <c r="AT46" s="518" t="str">
        <f>IF(AND(_AC3="A-330-900",'2023'!$E$4="CA",'2023'!$E$2=AT43),'2023DATA3'!$C$5,"")</f>
        <v/>
      </c>
      <c r="AU46" s="518" t="str">
        <f>IF(AND(_AC3="A-330-900",'2023'!$E$4="CA",'2023'!$E$2=AU43),'2023DATA3'!$D$5,"")</f>
        <v/>
      </c>
      <c r="AV46" s="518" t="str">
        <f>IF(AND(_AC3="A-330-900",'2023'!$E$4="CA",'2023'!$E$2=AV43),'2023DATA3'!$E$5,"")</f>
        <v/>
      </c>
      <c r="AW46" s="518" t="str">
        <f>IF(AND(_AC3="A-330-900",'2023'!$E$4="CA",'2023'!$E$2=AW43),'2023DATA3'!$F$5,"")</f>
        <v/>
      </c>
      <c r="AX46" s="518" t="str">
        <f>IF(AND(_AC3="A-330-900",'2023'!$E$4="CA",'2023'!$E$2=AX43),'2023DATA3'!$G$5,"")</f>
        <v/>
      </c>
      <c r="AY46" s="518" t="str">
        <f>IF(AND(_AC3="A-330-900",'2023'!$E$4="CA",'2023'!$E$2=AY43),'2023DATA3'!$H$5,"")</f>
        <v/>
      </c>
      <c r="AZ46" s="518" t="str">
        <f>IF(AND(_AC3="A-330-900",'2023'!$E$4="CA",'2023'!$E$2=AZ43),'2023DATA3'!$I$5,"")</f>
        <v/>
      </c>
      <c r="BA46" s="518" t="str">
        <f>IF(AND(_AC3="A-330-900",'2023'!$E$4="CA",'2023'!$E$2=BA43),'2023DATA3'!$J$5,"")</f>
        <v/>
      </c>
      <c r="BB46" s="518" t="str">
        <f>IF(AND(_AC3="A-330-900",'2023'!$E$4="CA",'2023'!$E$2=BB43),'2023DATA3'!$K$5,"")</f>
        <v/>
      </c>
      <c r="BC46" s="518" t="str">
        <f>IF(AND(_AC3="A-330-900",'2023'!$E$4="CA",'2023'!$E$2=BC43),'2023DATA3'!$L$5,"")</f>
        <v/>
      </c>
      <c r="BD46" s="518" t="str">
        <f>IF(AND(_AC3="A-330-900",'2023'!$E$4="CA",'2023'!$E$2=BD43),'2023DATA3'!$M$5,"")</f>
        <v/>
      </c>
      <c r="BE46" s="520" t="str">
        <f>IF(AND(_AC3="A-330-900",'2023'!$E$4="CA",'2023'!$E$2=BE43),'2023DATA3'!$N$5,"")</f>
        <v/>
      </c>
      <c r="BF46" s="940" t="s">
        <v>65</v>
      </c>
      <c r="BG46" s="13" t="s">
        <v>61</v>
      </c>
      <c r="BH46" s="518" t="str">
        <f>IF(AND(_AC4="A-330-900",'2023'!$E$4="CA",'2023'!$E$2=BH43),'2023DATA3'!$C$5,"")</f>
        <v/>
      </c>
      <c r="BI46" s="518" t="str">
        <f>IF(AND(_AC4="A-330-900",'2023'!$E$4="CA",'2023'!$E$2=BI43),'2023DATA3'!$D$5,"")</f>
        <v/>
      </c>
      <c r="BJ46" s="518" t="str">
        <f>IF(AND(_AC4="A-330-900",'2023'!$E$4="CA",'2023'!$E$2=BJ43),'2023DATA3'!$E$5,"")</f>
        <v/>
      </c>
      <c r="BK46" s="518" t="str">
        <f>IF(AND(_AC4="A-330-900",'2023'!$E$4="CA",'2023'!$E$2=BK43),'2023DATA3'!$F$5,"")</f>
        <v/>
      </c>
      <c r="BL46" s="518" t="str">
        <f>IF(AND(_AC4="A-330-900",'2023'!$E$4="CA",'2023'!$E$2=BL43),'2023DATA3'!$G$5,"")</f>
        <v/>
      </c>
      <c r="BM46" s="518" t="str">
        <f>IF(AND(_AC4="A-330-900",'2023'!$E$4="CA",'2023'!$E$2=BM43),'2023DATA3'!$H$5,"")</f>
        <v/>
      </c>
      <c r="BN46" s="518" t="str">
        <f>IF(AND(_AC4="A-330-900",'2023'!$E$4="CA",'2023'!$E$2=BN43),'2023DATA3'!$I$5,"")</f>
        <v/>
      </c>
      <c r="BO46" s="518" t="str">
        <f>IF(AND(_AC4="A-330-900",'2023'!$E$4="CA",'2023'!$E$2=BO43),'2023DATA3'!$J$5,"")</f>
        <v/>
      </c>
      <c r="BP46" s="518" t="str">
        <f>IF(AND(_AC4="A-330-900",'2023'!$E$4="CA",'2023'!$E$2=BP43),'2023DATA3'!$K$5,"")</f>
        <v/>
      </c>
      <c r="BQ46" s="518" t="str">
        <f>IF(AND(_AC4="A-330-900",'2023'!$E$4="CA",'2023'!$E$2=BQ43),'2023DATA3'!$L$5,"")</f>
        <v/>
      </c>
      <c r="BR46" s="518" t="str">
        <f>IF(AND(_AC4="A-330-900",'2023'!$E$4="CA",'2023'!$E$2=BR43),'2023DATA3'!$M$5,"")</f>
        <v/>
      </c>
      <c r="BS46" s="520" t="str">
        <f>IF(AND(_AC4="A-330-900",'2023'!$E$4="CA",'2023'!$E$2=BS43),'2023DATA3'!$N$5,"")</f>
        <v/>
      </c>
      <c r="BT46" s="940" t="s">
        <v>65</v>
      </c>
      <c r="BU46" s="13" t="s">
        <v>61</v>
      </c>
      <c r="BV46" s="518" t="str">
        <f>IF(AND(_AC5="A-330-900",'2023'!$E$4="CA",'2023'!$E$2=BV43),'2023DATA3'!$C$5,"")</f>
        <v/>
      </c>
      <c r="BW46" s="518" t="str">
        <f>IF(AND(_AC5="A-330-900",'2023'!$E$4="CA",'2023'!$E$2=BW43),'2023DATA3'!$D$5,"")</f>
        <v/>
      </c>
      <c r="BX46" s="518" t="str">
        <f>IF(AND(_AC5="A-330-900",'2023'!$E$4="CA",'2023'!$E$2=BX43),'2023DATA3'!$E$5,"")</f>
        <v/>
      </c>
      <c r="BY46" s="518" t="str">
        <f>IF(AND(_AC5="A-330-900",'2023'!$E$4="CA",'2023'!$E$2=BY43),'2023DATA3'!$F$5,"")</f>
        <v/>
      </c>
      <c r="BZ46" s="518" t="str">
        <f>IF(AND(_AC5="A-330-900",'2023'!$E$4="CA",'2023'!$E$2=BZ43),'2023DATA3'!$G$5,"")</f>
        <v/>
      </c>
      <c r="CA46" s="518" t="str">
        <f>IF(AND(_AC5="A-330-900",'2023'!$E$4="CA",'2023'!$E$2=CA43),'2023DATA3'!$H$5,"")</f>
        <v/>
      </c>
      <c r="CB46" s="518" t="str">
        <f>IF(AND(_AC5="A-330-900",'2023'!$E$4="CA",'2023'!$E$2=CB43),'2023DATA3'!$I$5,"")</f>
        <v/>
      </c>
      <c r="CC46" s="518" t="str">
        <f>IF(AND(_AC5="A-330-900",'2023'!$E$4="CA",'2023'!$E$2=CC43),'2023DATA3'!$J$5,"")</f>
        <v/>
      </c>
      <c r="CD46" s="518" t="str">
        <f>IF(AND(_AC5="A-330-900",'2023'!$E$4="CA",'2023'!$E$2=CD43),'2023DATA3'!$K$5,"")</f>
        <v/>
      </c>
      <c r="CE46" s="518" t="str">
        <f>IF(AND(_AC5="A-330-900",'2023'!$E$4="CA",'2023'!$E$2=CE43),'2023DATA3'!$L$5,"")</f>
        <v/>
      </c>
      <c r="CF46" s="518" t="str">
        <f>IF(AND(_AC5="A-330-900",'2023'!$E$4="CA",'2023'!$E$2=CF43),'2023DATA3'!$M$5,"")</f>
        <v/>
      </c>
      <c r="CG46" s="520" t="str">
        <f>IF(AND(_AC5="A-330-900",'2023'!$E$4="CA",'2023'!$E$2=CG43),'2023DATA3'!$N$5,"")</f>
        <v/>
      </c>
      <c r="CH46" s="940" t="s">
        <v>65</v>
      </c>
      <c r="CI46" s="13" t="s">
        <v>61</v>
      </c>
      <c r="CJ46" s="518" t="str">
        <f>IF(AND(_AC6="A-330-900",'2023'!$E$4="CA",'2023'!$E$2=CJ43),'2023DATA3'!$C$5,"")</f>
        <v/>
      </c>
      <c r="CK46" s="518" t="str">
        <f>IF(AND(_AC6="A-330-900",'2023'!$E$4="CA",'2023'!$E$2=CK43),'2023DATA3'!$D$5,"")</f>
        <v/>
      </c>
      <c r="CL46" s="518" t="str">
        <f>IF(AND(_AC6="A-330-900",'2023'!$E$4="CA",'2023'!$E$2=CL43),'2023DATA3'!$E$5,"")</f>
        <v/>
      </c>
      <c r="CM46" s="518" t="str">
        <f>IF(AND(_AC6="A-330-900",'2023'!$E$4="CA",'2023'!$E$2=CM43),'2023DATA3'!$F$5,"")</f>
        <v/>
      </c>
      <c r="CN46" s="518" t="str">
        <f>IF(AND(_AC6="A-330-900",'2023'!$E$4="CA",'2023'!$E$2=CN43),'2023DATA3'!$G$5,"")</f>
        <v/>
      </c>
      <c r="CO46" s="518" t="str">
        <f>IF(AND(_AC6="A-330-900",'2023'!$E$4="CA",'2023'!$E$2=CO43),'2023DATA3'!$H$5,"")</f>
        <v/>
      </c>
      <c r="CP46" s="518" t="str">
        <f>IF(AND(_AC6="A-330-900",'2023'!$E$4="CA",'2023'!$E$2=CP43),'2023DATA3'!$I$5,"")</f>
        <v/>
      </c>
      <c r="CQ46" s="518" t="str">
        <f>IF(AND(_AC6="A-330-900",'2023'!$E$4="CA",'2023'!$E$2=CQ43),'2023DATA3'!$J$5,"")</f>
        <v/>
      </c>
      <c r="CR46" s="518" t="str">
        <f>IF(AND(_AC6="A-330-900",'2023'!$E$4="CA",'2023'!$E$2=CR43),'2023DATA3'!$K$5,"")</f>
        <v/>
      </c>
      <c r="CS46" s="518" t="str">
        <f>IF(AND(_AC6="A-330-900",'2023'!$E$4="CA",'2023'!$E$2=CS43),'2023DATA3'!$L$5,"")</f>
        <v/>
      </c>
      <c r="CT46" s="518" t="str">
        <f>IF(AND(_AC6="A-330-900",'2023'!$E$4="CA",'2023'!$E$2=CT43),'2023DATA3'!$M$5,"")</f>
        <v/>
      </c>
      <c r="CU46" s="520" t="str">
        <f>IF(AND(_AC6="A-330-900",'2023'!$E$4="CA",'2023'!$E$2=CU43),'2023DATA3'!$N$5,"")</f>
        <v/>
      </c>
    </row>
    <row r="47" spans="1:99" x14ac:dyDescent="0.25">
      <c r="P47" s="940"/>
      <c r="Q47" s="13" t="s">
        <v>62</v>
      </c>
      <c r="R47" s="518" t="str">
        <f>IF(AND(_AC1="A-330-900",'2023'!$E$4="FO",'2023'!$E$2=R43),'2023DATA3'!$C$6,"")</f>
        <v/>
      </c>
      <c r="S47" s="518" t="str">
        <f>IF(AND(_AC1="A-330-900",'2023'!$E$4="FO",'2023'!$E$2=S43),'2023DATA3'!$D$6,"")</f>
        <v/>
      </c>
      <c r="T47" s="518" t="str">
        <f>IF(AND(_AC1="A-330-900",'2023'!$E$4="FO",'2023'!$E$2=T43),'2023DATA3'!$E$6,"")</f>
        <v/>
      </c>
      <c r="U47" s="518" t="str">
        <f>IF(AND(_AC1="A-330-900",'2023'!$E$4="FO",'2023'!$E$2=U43),'2023DATA3'!$F$6,"")</f>
        <v/>
      </c>
      <c r="V47" s="518" t="str">
        <f>IF(AND(_AC1="A-330-900",'2023'!$E$4="FO",'2023'!$E$2=V43),'2023DATA3'!$G$6,"")</f>
        <v/>
      </c>
      <c r="W47" s="518" t="str">
        <f>IF(AND(_AC1="A-330-900",'2023'!$E$4="FO",'2023'!$E$2=W43),'2023DATA3'!$H$6,"")</f>
        <v/>
      </c>
      <c r="X47" s="518" t="str">
        <f>IF(AND(_AC1="A-330-900",'2023'!$E$4="FO",'2023'!$E$2=X43),'2023DATA3'!$I$6,"")</f>
        <v/>
      </c>
      <c r="Y47" s="518" t="str">
        <f>IF(AND(_AC1="A-330-900",'2023'!$E$4="FO",'2023'!$E$2=Y43),'2023DATA3'!$J$6,"")</f>
        <v/>
      </c>
      <c r="Z47" s="518" t="str">
        <f>IF(AND(_AC1="A-330-900",'2023'!$E$4="FO",'2023'!$E$2=Z43),'2023DATA3'!$K$6,"")</f>
        <v/>
      </c>
      <c r="AA47" s="518" t="str">
        <f>IF(AND(_AC1="A-330-900",'2023'!$E$4="FO",'2023'!$E$2=AA43),'2023DATA3'!$L$6,"")</f>
        <v/>
      </c>
      <c r="AB47" s="518" t="str">
        <f>IF(AND(_AC1="A-330-900",'2023'!$E$4="FO",'2023'!$E$2=AB43),'2023DATA3'!$M$6,"")</f>
        <v/>
      </c>
      <c r="AC47" s="520" t="str">
        <f>IF(AND(_AC1="A-330-900",'2023'!$E$4="FO",'2023'!$E$2=AC43),'2023DATA3'!$N$6,"")</f>
        <v/>
      </c>
      <c r="AD47" s="940"/>
      <c r="AE47" s="13" t="s">
        <v>62</v>
      </c>
      <c r="AF47" s="518" t="str">
        <f>IF(AND(_AC2="A-330-900",'2023'!$E$4="FO",'2023'!$E$2=AF43),'2023DATA3'!$C$6,"")</f>
        <v/>
      </c>
      <c r="AG47" s="518" t="str">
        <f>IF(AND(_AC2="A-330-900",'2023'!$E$4="FO",'2023'!$E$2=AG43),'2023DATA3'!$D$6,"")</f>
        <v/>
      </c>
      <c r="AH47" s="518" t="str">
        <f>IF(AND(_AC2="A-330-900",'2023'!$E$4="FO",'2023'!$E$2=AH43),'2023DATA3'!$E$6,"")</f>
        <v/>
      </c>
      <c r="AI47" s="518" t="str">
        <f>IF(AND(_AC2="A-330-900",'2023'!$E$4="FO",'2023'!$E$2=AI43),'2023DATA3'!$F$6,"")</f>
        <v/>
      </c>
      <c r="AJ47" s="518" t="str">
        <f>IF(AND(_AC2="A-330-900",'2023'!$E$4="FO",'2023'!$E$2=AJ43),'2023DATA3'!$G$6,"")</f>
        <v/>
      </c>
      <c r="AK47" s="518" t="str">
        <f>IF(AND(_AC2="A-330-900",'2023'!$E$4="FO",'2023'!$E$2=AK43),'2023DATA3'!$H$6,"")</f>
        <v/>
      </c>
      <c r="AL47" s="518" t="str">
        <f>IF(AND(_AC2="A-330-900",'2023'!$E$4="FO",'2023'!$E$2=AL43),'2023DATA3'!$I$6,"")</f>
        <v/>
      </c>
      <c r="AM47" s="518" t="str">
        <f>IF(AND(_AC2="A-330-900",'2023'!$E$4="FO",'2023'!$E$2=AM43),'2023DATA3'!$J$6,"")</f>
        <v/>
      </c>
      <c r="AN47" s="518" t="str">
        <f>IF(AND(_AC2="A-330-900",'2023'!$E$4="FO",'2023'!$E$2=AN43),'2023DATA3'!$K$6,"")</f>
        <v/>
      </c>
      <c r="AO47" s="518" t="str">
        <f>IF(AND(_AC2="A-330-900",'2023'!$E$4="FO",'2023'!$E$2=AO43),'2023DATA3'!$L$6,"")</f>
        <v/>
      </c>
      <c r="AP47" s="518" t="str">
        <f>IF(AND(_AC2="A-330-900",'2023'!$E$4="FO",'2023'!$E$2=AP43),'2023DATA3'!$M$6,"")</f>
        <v/>
      </c>
      <c r="AQ47" s="520" t="str">
        <f>IF(AND(_AC2="A-330-900",'2023'!$E$4="FO",'2023'!$E$2=AQ43),'2023DATA3'!$N$6,"")</f>
        <v/>
      </c>
      <c r="AR47" s="940"/>
      <c r="AS47" s="13" t="s">
        <v>62</v>
      </c>
      <c r="AT47" s="518" t="str">
        <f>IF(AND(_AC3="A-330-900",'2023'!$E$4="FO",'2023'!$E$2=AT43),'2023DATA3'!$C$6,"")</f>
        <v/>
      </c>
      <c r="AU47" s="518" t="str">
        <f>IF(AND(_AC3="A-330-900",'2023'!$E$4="FO",'2023'!$E$2=AU43),'2023DATA3'!$D$6,"")</f>
        <v/>
      </c>
      <c r="AV47" s="518" t="str">
        <f>IF(AND(_AC3="A-330-900",'2023'!$E$4="FO",'2023'!$E$2=AV43),'2023DATA3'!$E$6,"")</f>
        <v/>
      </c>
      <c r="AW47" s="518" t="str">
        <f>IF(AND(_AC3="A-330-900",'2023'!$E$4="FO",'2023'!$E$2=AW43),'2023DATA3'!$F$6,"")</f>
        <v/>
      </c>
      <c r="AX47" s="518" t="str">
        <f>IF(AND(_AC3="A-330-900",'2023'!$E$4="FO",'2023'!$E$2=AX43),'2023DATA3'!$G$6,"")</f>
        <v/>
      </c>
      <c r="AY47" s="518" t="str">
        <f>IF(AND(_AC3="A-330-900",'2023'!$E$4="FO",'2023'!$E$2=AY43),'2023DATA3'!$H$6,"")</f>
        <v/>
      </c>
      <c r="AZ47" s="518" t="str">
        <f>IF(AND(_AC3="A-330-900",'2023'!$E$4="FO",'2023'!$E$2=AZ43),'2023DATA3'!$I$6,"")</f>
        <v/>
      </c>
      <c r="BA47" s="518" t="str">
        <f>IF(AND(_AC3="A-330-900",'2023'!$E$4="FO",'2023'!$E$2=BA43),'2023DATA3'!$J$6,"")</f>
        <v/>
      </c>
      <c r="BB47" s="518" t="str">
        <f>IF(AND(_AC3="A-330-900",'2023'!$E$4="FO",'2023'!$E$2=BB43),'2023DATA3'!$K$6,"")</f>
        <v/>
      </c>
      <c r="BC47" s="518" t="str">
        <f>IF(AND(_AC3="A-330-900",'2023'!$E$4="FO",'2023'!$E$2=BC43),'2023DATA3'!$L$6,"")</f>
        <v/>
      </c>
      <c r="BD47" s="518" t="str">
        <f>IF(AND(_AC3="A-330-900",'2023'!$E$4="FO",'2023'!$E$2=BD43),'2023DATA3'!$M$6,"")</f>
        <v/>
      </c>
      <c r="BE47" s="520" t="str">
        <f>IF(AND(_AC3="A-330-900",'2023'!$E$4="FO",'2023'!$E$2=BE43),'2023DATA3'!$N$6,"")</f>
        <v/>
      </c>
      <c r="BF47" s="940"/>
      <c r="BG47" s="13" t="s">
        <v>62</v>
      </c>
      <c r="BH47" s="518" t="str">
        <f>IF(AND(_AC4="A-330-900",'2023'!$E$4="FO",'2023'!$E$2=BH43),'2023DATA3'!$C$6,"")</f>
        <v/>
      </c>
      <c r="BI47" s="518" t="str">
        <f>IF(AND(_AC4="A-330-900",'2023'!$E$4="FO",'2023'!$E$2=BI43),'2023DATA3'!$D$6,"")</f>
        <v/>
      </c>
      <c r="BJ47" s="518" t="str">
        <f>IF(AND(_AC4="A-330-900",'2023'!$E$4="FO",'2023'!$E$2=BJ43),'2023DATA3'!$E$6,"")</f>
        <v/>
      </c>
      <c r="BK47" s="518" t="str">
        <f>IF(AND(_AC4="A-330-900",'2023'!$E$4="FO",'2023'!$E$2=BK43),'2023DATA3'!$F$6,"")</f>
        <v/>
      </c>
      <c r="BL47" s="518" t="str">
        <f>IF(AND(_AC4="A-330-900",'2023'!$E$4="FO",'2023'!$E$2=BL43),'2023DATA3'!$G$6,"")</f>
        <v/>
      </c>
      <c r="BM47" s="518" t="str">
        <f>IF(AND(_AC4="A-330-900",'2023'!$E$4="FO",'2023'!$E$2=BM43),'2023DATA3'!$H$6,"")</f>
        <v/>
      </c>
      <c r="BN47" s="518" t="str">
        <f>IF(AND(_AC4="A-330-900",'2023'!$E$4="FO",'2023'!$E$2=BN43),'2023DATA3'!$I$6,"")</f>
        <v/>
      </c>
      <c r="BO47" s="518" t="str">
        <f>IF(AND(_AC4="A-330-900",'2023'!$E$4="FO",'2023'!$E$2=BO43),'2023DATA3'!$J$6,"")</f>
        <v/>
      </c>
      <c r="BP47" s="518" t="str">
        <f>IF(AND(_AC4="A-330-900",'2023'!$E$4="FO",'2023'!$E$2=BP43),'2023DATA3'!$K$6,"")</f>
        <v/>
      </c>
      <c r="BQ47" s="518" t="str">
        <f>IF(AND(_AC4="A-330-900",'2023'!$E$4="FO",'2023'!$E$2=BQ43),'2023DATA3'!$L$6,"")</f>
        <v/>
      </c>
      <c r="BR47" s="518" t="str">
        <f>IF(AND(_AC4="A-330-900",'2023'!$E$4="FO",'2023'!$E$2=BR43),'2023DATA3'!$M$6,"")</f>
        <v/>
      </c>
      <c r="BS47" s="520" t="str">
        <f>IF(AND(_AC4="A-330-900",'2023'!$E$4="FO",'2023'!$E$2=BS43),'2023DATA3'!$N$6,"")</f>
        <v/>
      </c>
      <c r="BT47" s="940"/>
      <c r="BU47" s="13" t="s">
        <v>62</v>
      </c>
      <c r="BV47" s="518" t="str">
        <f>IF(AND(_AC5="A-330-900",'2023'!$E$4="FO",'2023'!$E$2=BV43),'2023DATA3'!$C$6,"")</f>
        <v/>
      </c>
      <c r="BW47" s="518" t="str">
        <f>IF(AND(_AC5="A-330-900",'2023'!$E$4="FO",'2023'!$E$2=BW43),'2023DATA3'!$D$6,"")</f>
        <v/>
      </c>
      <c r="BX47" s="518" t="str">
        <f>IF(AND(_AC5="A-330-900",'2023'!$E$4="FO",'2023'!$E$2=BX43),'2023DATA3'!$E$6,"")</f>
        <v/>
      </c>
      <c r="BY47" s="518" t="str">
        <f>IF(AND(_AC5="A-330-900",'2023'!$E$4="FO",'2023'!$E$2=BY43),'2023DATA3'!$F$6,"")</f>
        <v/>
      </c>
      <c r="BZ47" s="518" t="str">
        <f>IF(AND(_AC5="A-330-900",'2023'!$E$4="FO",'2023'!$E$2=BZ43),'2023DATA3'!$G$6,"")</f>
        <v/>
      </c>
      <c r="CA47" s="518" t="str">
        <f>IF(AND(_AC5="A-330-900",'2023'!$E$4="FO",'2023'!$E$2=CA43),'2023DATA3'!$H$6,"")</f>
        <v/>
      </c>
      <c r="CB47" s="518" t="str">
        <f>IF(AND(_AC5="A-330-900",'2023'!$E$4="FO",'2023'!$E$2=CB43),'2023DATA3'!$I$6,"")</f>
        <v/>
      </c>
      <c r="CC47" s="518" t="str">
        <f>IF(AND(_AC5="A-330-900",'2023'!$E$4="FO",'2023'!$E$2=CC43),'2023DATA3'!$J$6,"")</f>
        <v/>
      </c>
      <c r="CD47" s="518" t="str">
        <f>IF(AND(_AC5="A-330-900",'2023'!$E$4="FO",'2023'!$E$2=CD43),'2023DATA3'!$K$6,"")</f>
        <v/>
      </c>
      <c r="CE47" s="518" t="str">
        <f>IF(AND(_AC5="A-330-900",'2023'!$E$4="FO",'2023'!$E$2=CE43),'2023DATA3'!$L$6,"")</f>
        <v/>
      </c>
      <c r="CF47" s="518" t="str">
        <f>IF(AND(_AC5="A-330-900",'2023'!$E$4="FO",'2023'!$E$2=CF43),'2023DATA3'!$M$6,"")</f>
        <v/>
      </c>
      <c r="CG47" s="520" t="str">
        <f>IF(AND(_AC5="A-330-900",'2023'!$E$4="FO",'2023'!$E$2=CG43),'2023DATA3'!$N$6,"")</f>
        <v/>
      </c>
      <c r="CH47" s="940"/>
      <c r="CI47" s="13" t="s">
        <v>62</v>
      </c>
      <c r="CJ47" s="518" t="str">
        <f>IF(AND(_AC6="A-330-900",'2023'!$E$4="FO",'2023'!$E$2=CJ43),'2023DATA3'!$C$6,"")</f>
        <v/>
      </c>
      <c r="CK47" s="518" t="str">
        <f>IF(AND(_AC6="A-330-900",'2023'!$E$4="FO",'2023'!$E$2=CK43),'2023DATA3'!$D$6,"")</f>
        <v/>
      </c>
      <c r="CL47" s="518" t="str">
        <f>IF(AND(_AC6="A-330-900",'2023'!$E$4="FO",'2023'!$E$2=CL43),'2023DATA3'!$E$6,"")</f>
        <v/>
      </c>
      <c r="CM47" s="518" t="str">
        <f>IF(AND(_AC6="A-330-900",'2023'!$E$4="FO",'2023'!$E$2=CM43),'2023DATA3'!$F$6,"")</f>
        <v/>
      </c>
      <c r="CN47" s="518" t="str">
        <f>IF(AND(_AC6="A-330-900",'2023'!$E$4="FO",'2023'!$E$2=CN43),'2023DATA3'!$G$6,"")</f>
        <v/>
      </c>
      <c r="CO47" s="518" t="str">
        <f>IF(AND(_AC6="A-330-900",'2023'!$E$4="FO",'2023'!$E$2=CO43),'2023DATA3'!$H$6,"")</f>
        <v/>
      </c>
      <c r="CP47" s="518" t="str">
        <f>IF(AND(_AC6="A-330-900",'2023'!$E$4="FO",'2023'!$E$2=CP43),'2023DATA3'!$I$6,"")</f>
        <v/>
      </c>
      <c r="CQ47" s="518" t="str">
        <f>IF(AND(_AC6="A-330-900",'2023'!$E$4="FO",'2023'!$E$2=CQ43),'2023DATA3'!$J$6,"")</f>
        <v/>
      </c>
      <c r="CR47" s="518" t="str">
        <f>IF(AND(_AC6="A-330-900",'2023'!$E$4="FO",'2023'!$E$2=CR43),'2023DATA3'!$K$6,"")</f>
        <v/>
      </c>
      <c r="CS47" s="518" t="str">
        <f>IF(AND(_AC6="A-330-900",'2023'!$E$4="FO",'2023'!$E$2=CS43),'2023DATA3'!$L$6,"")</f>
        <v/>
      </c>
      <c r="CT47" s="518" t="str">
        <f>IF(AND(_AC6="A-330-900",'2023'!$E$4="FO",'2023'!$E$2=CT43),'2023DATA3'!$M$6,"")</f>
        <v/>
      </c>
      <c r="CU47" s="520" t="str">
        <f>IF(AND(_AC6="A-330-900",'2023'!$E$4="FO",'2023'!$E$2=CU43),'2023DATA3'!$N$6,"")</f>
        <v/>
      </c>
    </row>
    <row r="48" spans="1:99" x14ac:dyDescent="0.25">
      <c r="P48" s="940" t="s">
        <v>64</v>
      </c>
      <c r="Q48" s="13" t="s">
        <v>61</v>
      </c>
      <c r="R48" s="518" t="str">
        <f>IF(AND(_AC1="A-330-300",'2023'!$E$4="CA",'2023'!$E$2=R43),'2023DATA3'!$C$7,"")</f>
        <v/>
      </c>
      <c r="S48" s="518" t="str">
        <f>IF(AND(_AC1="A-330-300",'2023'!$E$4="CA",'2023'!$E$2=S43),'2023DATA3'!$D$7,"")</f>
        <v/>
      </c>
      <c r="T48" s="518" t="str">
        <f>IF(AND(_AC1="A-330-300",'2023'!$E$4="CA",'2023'!$E$2=T43),'2023DATA3'!$E$7,"")</f>
        <v/>
      </c>
      <c r="U48" s="518" t="str">
        <f>IF(AND(_AC1="A-330-300",'2023'!$E$4="CA",'2023'!$E$2=U43),'2023DATA3'!$F$7,"")</f>
        <v/>
      </c>
      <c r="V48" s="518" t="str">
        <f>IF(AND(_AC1="A-330-300",'2023'!$E$4="CA",'2023'!$E$2=V43),'2023DATA3'!$G$7,"")</f>
        <v/>
      </c>
      <c r="W48" s="518" t="str">
        <f>IF(AND(_AC1="A-330-300",'2023'!$E$4="CA",'2023'!$E$2=W43),'2023DATA3'!$H$7,"")</f>
        <v/>
      </c>
      <c r="X48" s="518" t="str">
        <f>IF(AND(_AC1="A-330-300",'2023'!$E$4="CA",'2023'!$E$2=X43),'2023DATA3'!$I$7,"")</f>
        <v/>
      </c>
      <c r="Y48" s="518" t="str">
        <f>IF(AND(_AC1="A-330-300",'2023'!$E$4="CA",'2023'!$E$2=Y43),'2023DATA3'!$J$7,"")</f>
        <v/>
      </c>
      <c r="Z48" s="518" t="str">
        <f>IF(AND(_AC1="A-330-300",'2023'!$E$4="CA",'2023'!$E$2=Z43),'2023DATA3'!$K$7,"")</f>
        <v/>
      </c>
      <c r="AA48" s="518" t="str">
        <f>IF(AND(_AC1="A-330-300",'2023'!$E$4="CA",'2023'!$E$2=AA43),'2023DATA3'!$L$7,"")</f>
        <v/>
      </c>
      <c r="AB48" s="518" t="str">
        <f>IF(AND(_AC1="A-330-300",'2023'!$E$4="CA",'2023'!$E$2=AB43),'2023DATA3'!$M$7,"")</f>
        <v/>
      </c>
      <c r="AC48" s="520" t="str">
        <f>IF(AND(_AC1="A-330-300",'2023'!$E$4="CA",'2023'!$E$2=AC43),'2023DATA3'!$N$7,"")</f>
        <v/>
      </c>
      <c r="AD48" s="940" t="s">
        <v>64</v>
      </c>
      <c r="AE48" s="13" t="s">
        <v>61</v>
      </c>
      <c r="AF48" s="518" t="str">
        <f>IF(AND(_AC2="A-330-300",'2023'!$E$4="CA",'2023'!$E$2=AF43),'2023DATA3'!$C$7,"")</f>
        <v/>
      </c>
      <c r="AG48" s="518" t="str">
        <f>IF(AND(_AC2="A-330-300",'2023'!$E$4="CA",'2023'!$E$2=AG43),'2023DATA3'!$D$7,"")</f>
        <v/>
      </c>
      <c r="AH48" s="518" t="str">
        <f>IF(AND(_AC2="A-330-300",'2023'!$E$4="CA",'2023'!$E$2=AH43),'2023DATA3'!$E$7,"")</f>
        <v/>
      </c>
      <c r="AI48" s="518" t="str">
        <f>IF(AND(_AC2="A-330-300",'2023'!$E$4="CA",'2023'!$E$2=AI43),'2023DATA3'!$F$7,"")</f>
        <v/>
      </c>
      <c r="AJ48" s="518" t="str">
        <f>IF(AND(_AC2="A-330-300",'2023'!$E$4="CA",'2023'!$E$2=AJ43),'2023DATA3'!$G$7,"")</f>
        <v/>
      </c>
      <c r="AK48" s="518" t="str">
        <f>IF(AND(_AC2="A-330-300",'2023'!$E$4="CA",'2023'!$E$2=AK43),'2023DATA3'!$H$7,"")</f>
        <v/>
      </c>
      <c r="AL48" s="518" t="str">
        <f>IF(AND(_AC2="A-330-300",'2023'!$E$4="CA",'2023'!$E$2=AL43),'2023DATA3'!$I$7,"")</f>
        <v/>
      </c>
      <c r="AM48" s="518" t="str">
        <f>IF(AND(_AC2="A-330-300",'2023'!$E$4="CA",'2023'!$E$2=AM43),'2023DATA3'!$J$7,"")</f>
        <v/>
      </c>
      <c r="AN48" s="518" t="str">
        <f>IF(AND(_AC2="A-330-300",'2023'!$E$4="CA",'2023'!$E$2=AN43),'2023DATA3'!$K$7,"")</f>
        <v/>
      </c>
      <c r="AO48" s="518" t="str">
        <f>IF(AND(_AC2="A-330-300",'2023'!$E$4="CA",'2023'!$E$2=AO43),'2023DATA3'!$L$7,"")</f>
        <v/>
      </c>
      <c r="AP48" s="518" t="str">
        <f>IF(AND(_AC2="A-330-300",'2023'!$E$4="CA",'2023'!$E$2=AP43),'2023DATA3'!$M$7,"")</f>
        <v/>
      </c>
      <c r="AQ48" s="520" t="str">
        <f>IF(AND(_AC2="A-330-300",'2023'!$E$4="CA",'2023'!$E$2=AQ43),'2023DATA3'!$N$7,"")</f>
        <v/>
      </c>
      <c r="AR48" s="940" t="s">
        <v>64</v>
      </c>
      <c r="AS48" s="13" t="s">
        <v>61</v>
      </c>
      <c r="AT48" s="518" t="str">
        <f>IF(AND(_AC3="A-330-300",'2023'!$E$4="CA",'2023'!$E$2=AT43),'2023DATA3'!$C$7,"")</f>
        <v/>
      </c>
      <c r="AU48" s="518" t="str">
        <f>IF(AND(_AC3="A-330-300",'2023'!$E$4="CA",'2023'!$E$2=AU43),'2023DATA3'!$D$7,"")</f>
        <v/>
      </c>
      <c r="AV48" s="518" t="str">
        <f>IF(AND(_AC3="A-330-300",'2023'!$E$4="CA",'2023'!$E$2=AV43),'2023DATA3'!$E$7,"")</f>
        <v/>
      </c>
      <c r="AW48" s="518" t="str">
        <f>IF(AND(_AC3="A-330-300",'2023'!$E$4="CA",'2023'!$E$2=AW43),'2023DATA3'!$F$7,"")</f>
        <v/>
      </c>
      <c r="AX48" s="518" t="str">
        <f>IF(AND(_AC3="A-330-300",'2023'!$E$4="CA",'2023'!$E$2=AX43),'2023DATA3'!$G$7,"")</f>
        <v/>
      </c>
      <c r="AY48" s="518" t="str">
        <f>IF(AND(_AC3="A-330-300",'2023'!$E$4="CA",'2023'!$E$2=AY43),'2023DATA3'!$H$7,"")</f>
        <v/>
      </c>
      <c r="AZ48" s="518" t="str">
        <f>IF(AND(_AC3="A-330-300",'2023'!$E$4="CA",'2023'!$E$2=AZ43),'2023DATA3'!$I$7,"")</f>
        <v/>
      </c>
      <c r="BA48" s="518" t="str">
        <f>IF(AND(_AC3="A-330-300",'2023'!$E$4="CA",'2023'!$E$2=BA43),'2023DATA3'!$J$7,"")</f>
        <v/>
      </c>
      <c r="BB48" s="518" t="str">
        <f>IF(AND(_AC3="A-330-300",'2023'!$E$4="CA",'2023'!$E$2=BB43),'2023DATA3'!$K$7,"")</f>
        <v/>
      </c>
      <c r="BC48" s="518" t="str">
        <f>IF(AND(_AC3="A-330-300",'2023'!$E$4="CA",'2023'!$E$2=BC43),'2023DATA3'!$L$7,"")</f>
        <v/>
      </c>
      <c r="BD48" s="518" t="str">
        <f>IF(AND(_AC3="A-330-300",'2023'!$E$4="CA",'2023'!$E$2=BD43),'2023DATA3'!$M$7,"")</f>
        <v/>
      </c>
      <c r="BE48" s="520" t="str">
        <f>IF(AND(_AC3="A-330-300",'2023'!$E$4="CA",'2023'!$E$2=BE43),'2023DATA3'!$N$7,"")</f>
        <v/>
      </c>
      <c r="BF48" s="940" t="s">
        <v>64</v>
      </c>
      <c r="BG48" s="13" t="s">
        <v>61</v>
      </c>
      <c r="BH48" s="518" t="str">
        <f>IF(AND(_AC4="A-330-300",'2023'!$E$4="CA",'2023'!$E$2=BH43),'2023DATA3'!$C$7,"")</f>
        <v/>
      </c>
      <c r="BI48" s="518" t="str">
        <f>IF(AND(_AC4="A-330-300",'2023'!$E$4="CA",'2023'!$E$2=BI43),'2023DATA3'!$D$7,"")</f>
        <v/>
      </c>
      <c r="BJ48" s="518" t="str">
        <f>IF(AND(_AC4="A-330-300",'2023'!$E$4="CA",'2023'!$E$2=BJ43),'2023DATA3'!$E$7,"")</f>
        <v/>
      </c>
      <c r="BK48" s="518" t="str">
        <f>IF(AND(_AC4="A-330-300",'2023'!$E$4="CA",'2023'!$E$2=BK43),'2023DATA3'!$F$7,"")</f>
        <v/>
      </c>
      <c r="BL48" s="518" t="str">
        <f>IF(AND(_AC4="A-330-300",'2023'!$E$4="CA",'2023'!$E$2=BL43),'2023DATA3'!$G$7,"")</f>
        <v/>
      </c>
      <c r="BM48" s="518" t="str">
        <f>IF(AND(_AC4="A-330-300",'2023'!$E$4="CA",'2023'!$E$2=BM43),'2023DATA3'!$H$7,"")</f>
        <v/>
      </c>
      <c r="BN48" s="518" t="str">
        <f>IF(AND(_AC4="A-330-300",'2023'!$E$4="CA",'2023'!$E$2=BN43),'2023DATA3'!$I$7,"")</f>
        <v/>
      </c>
      <c r="BO48" s="518" t="str">
        <f>IF(AND(_AC4="A-330-300",'2023'!$E$4="CA",'2023'!$E$2=BO43),'2023DATA3'!$J$7,"")</f>
        <v/>
      </c>
      <c r="BP48" s="518" t="str">
        <f>IF(AND(_AC4="A-330-300",'2023'!$E$4="CA",'2023'!$E$2=BP43),'2023DATA3'!$K$7,"")</f>
        <v/>
      </c>
      <c r="BQ48" s="518" t="str">
        <f>IF(AND(_AC4="A-330-300",'2023'!$E$4="CA",'2023'!$E$2=BQ43),'2023DATA3'!$L$7,"")</f>
        <v/>
      </c>
      <c r="BR48" s="518" t="str">
        <f>IF(AND(_AC4="A-330-300",'2023'!$E$4="CA",'2023'!$E$2=BR43),'2023DATA3'!$M$7,"")</f>
        <v/>
      </c>
      <c r="BS48" s="520" t="str">
        <f>IF(AND(_AC4="A-330-300",'2023'!$E$4="CA",'2023'!$E$2=BS43),'2023DATA3'!$N$7,"")</f>
        <v/>
      </c>
      <c r="BT48" s="940" t="s">
        <v>64</v>
      </c>
      <c r="BU48" s="13" t="s">
        <v>61</v>
      </c>
      <c r="BV48" s="518" t="str">
        <f>IF(AND(_AC5="A-330-300",'2023'!$E$4="CA",'2023'!$E$2=BV43),'2023DATA3'!$C$7,"")</f>
        <v/>
      </c>
      <c r="BW48" s="518" t="str">
        <f>IF(AND(_AC5="A-330-300",'2023'!$E$4="CA",'2023'!$E$2=BW43),'2023DATA3'!$D$7,"")</f>
        <v/>
      </c>
      <c r="BX48" s="518" t="str">
        <f>IF(AND(_AC5="A-330-300",'2023'!$E$4="CA",'2023'!$E$2=BX43),'2023DATA3'!$E$7,"")</f>
        <v/>
      </c>
      <c r="BY48" s="518" t="str">
        <f>IF(AND(_AC5="A-330-300",'2023'!$E$4="CA",'2023'!$E$2=BY43),'2023DATA3'!$F$7,"")</f>
        <v/>
      </c>
      <c r="BZ48" s="518" t="str">
        <f>IF(AND(_AC5="A-330-300",'2023'!$E$4="CA",'2023'!$E$2=BZ43),'2023DATA3'!$G$7,"")</f>
        <v/>
      </c>
      <c r="CA48" s="518" t="str">
        <f>IF(AND(_AC5="A-330-300",'2023'!$E$4="CA",'2023'!$E$2=CA43),'2023DATA3'!$H$7,"")</f>
        <v/>
      </c>
      <c r="CB48" s="518" t="str">
        <f>IF(AND(_AC5="A-330-300",'2023'!$E$4="CA",'2023'!$E$2=CB43),'2023DATA3'!$I$7,"")</f>
        <v/>
      </c>
      <c r="CC48" s="518" t="str">
        <f>IF(AND(_AC5="A-330-300",'2023'!$E$4="CA",'2023'!$E$2=CC43),'2023DATA3'!$J$7,"")</f>
        <v/>
      </c>
      <c r="CD48" s="518" t="str">
        <f>IF(AND(_AC5="A-330-300",'2023'!$E$4="CA",'2023'!$E$2=CD43),'2023DATA3'!$K$7,"")</f>
        <v/>
      </c>
      <c r="CE48" s="518" t="str">
        <f>IF(AND(_AC5="A-330-300",'2023'!$E$4="CA",'2023'!$E$2=CE43),'2023DATA3'!$L$7,"")</f>
        <v/>
      </c>
      <c r="CF48" s="518" t="str">
        <f>IF(AND(_AC5="A-330-300",'2023'!$E$4="CA",'2023'!$E$2=CF43),'2023DATA3'!$M$7,"")</f>
        <v/>
      </c>
      <c r="CG48" s="520" t="str">
        <f>IF(AND(_AC5="A-330-300",'2023'!$E$4="CA",'2023'!$E$2=CG43),'2023DATA3'!$N$7,"")</f>
        <v/>
      </c>
      <c r="CH48" s="940" t="s">
        <v>64</v>
      </c>
      <c r="CI48" s="13" t="s">
        <v>61</v>
      </c>
      <c r="CJ48" s="518" t="str">
        <f>IF(AND(_AC6="A-330-300",'2023'!$E$4="CA",'2023'!$E$2=CJ43),'2023DATA3'!$C$7,"")</f>
        <v/>
      </c>
      <c r="CK48" s="518" t="str">
        <f>IF(AND(_AC6="A-330-300",'2023'!$E$4="CA",'2023'!$E$2=CK43),'2023DATA3'!$D$7,"")</f>
        <v/>
      </c>
      <c r="CL48" s="518" t="str">
        <f>IF(AND(_AC6="A-330-300",'2023'!$E$4="CA",'2023'!$E$2=CL43),'2023DATA3'!$E$7,"")</f>
        <v/>
      </c>
      <c r="CM48" s="518" t="str">
        <f>IF(AND(_AC6="A-330-300",'2023'!$E$4="CA",'2023'!$E$2=CM43),'2023DATA3'!$F$7,"")</f>
        <v/>
      </c>
      <c r="CN48" s="518" t="str">
        <f>IF(AND(_AC6="A-330-300",'2023'!$E$4="CA",'2023'!$E$2=CN43),'2023DATA3'!$G$7,"")</f>
        <v/>
      </c>
      <c r="CO48" s="518" t="str">
        <f>IF(AND(_AC6="A-330-300",'2023'!$E$4="CA",'2023'!$E$2=CO43),'2023DATA3'!$H$7,"")</f>
        <v/>
      </c>
      <c r="CP48" s="518" t="str">
        <f>IF(AND(_AC6="A-330-300",'2023'!$E$4="CA",'2023'!$E$2=CP43),'2023DATA3'!$I$7,"")</f>
        <v/>
      </c>
      <c r="CQ48" s="518" t="str">
        <f>IF(AND(_AC6="A-330-300",'2023'!$E$4="CA",'2023'!$E$2=CQ43),'2023DATA3'!$J$7,"")</f>
        <v/>
      </c>
      <c r="CR48" s="518" t="str">
        <f>IF(AND(_AC6="A-330-300",'2023'!$E$4="CA",'2023'!$E$2=CR43),'2023DATA3'!$K$7,"")</f>
        <v/>
      </c>
      <c r="CS48" s="518" t="str">
        <f>IF(AND(_AC6="A-330-300",'2023'!$E$4="CA",'2023'!$E$2=CS43),'2023DATA3'!$L$7,"")</f>
        <v/>
      </c>
      <c r="CT48" s="518" t="str">
        <f>IF(AND(_AC6="A-330-300",'2023'!$E$4="CA",'2023'!$E$2=CT43),'2023DATA3'!$M$7,"")</f>
        <v/>
      </c>
      <c r="CU48" s="520" t="str">
        <f>IF(AND(_AC6="A-330-300",'2023'!$E$4="CA",'2023'!$E$2=CU43),'2023DATA3'!$N$7,"")</f>
        <v/>
      </c>
    </row>
    <row r="49" spans="16:99" x14ac:dyDescent="0.25">
      <c r="P49" s="940"/>
      <c r="Q49" s="13" t="s">
        <v>62</v>
      </c>
      <c r="R49" s="518" t="str">
        <f>IF(AND(_AC1="A-330-300",'2023'!$E$4="FO",'2023'!$E$2=R43),'2023DATA3'!$C$8,"")</f>
        <v/>
      </c>
      <c r="S49" s="518" t="str">
        <f>IF(AND(_AC1="A-330-300",'2023'!$E$4="FO",'2023'!$E$2=S43),'2023DATA3'!$D$8,"")</f>
        <v/>
      </c>
      <c r="T49" s="518" t="str">
        <f>IF(AND(_AC1="A-330-300",'2023'!$E$4="FO",'2023'!$E$2=T43),'2023DATA3'!$E$8,"")</f>
        <v/>
      </c>
      <c r="U49" s="518" t="str">
        <f>IF(AND(_AC1="A-330-300",'2023'!$E$4="FO",'2023'!$E$2=U43),'2023DATA3'!$F$8,"")</f>
        <v/>
      </c>
      <c r="V49" s="518" t="str">
        <f>IF(AND(_AC1="A-330-300",'2023'!$E$4="FO",'2023'!$E$2=V43),'2023DATA3'!$G$8,"")</f>
        <v/>
      </c>
      <c r="W49" s="518" t="str">
        <f>IF(AND(_AC1="A-330-300",'2023'!$E$4="FO",'2023'!$E$2=W43),'2023DATA3'!$H$8,"")</f>
        <v/>
      </c>
      <c r="X49" s="518" t="str">
        <f>IF(AND(_AC1="A-330-300",'2023'!$E$4="FO",'2023'!$E$2=X43),'2023DATA3'!$I$8,"")</f>
        <v/>
      </c>
      <c r="Y49" s="518" t="str">
        <f>IF(AND(_AC1="A-330-300",'2023'!$E$4="FO",'2023'!$E$2=Y43),'2023DATA3'!$J$8,"")</f>
        <v/>
      </c>
      <c r="Z49" s="518" t="str">
        <f>IF(AND(_AC1="A-330-300",'2023'!$E$4="FO",'2023'!$E$2=Z43),'2023DATA3'!$K$8,"")</f>
        <v/>
      </c>
      <c r="AA49" s="518" t="str">
        <f>IF(AND(_AC1="A-330-300",'2023'!$E$4="FO",'2023'!$E$2=AA43),'2023DATA3'!$L$8,"")</f>
        <v/>
      </c>
      <c r="AB49" s="518" t="str">
        <f>IF(AND(_AC1="A-330-300",'2023'!$E$4="FO",'2023'!$E$2=AB43),'2023DATA3'!$M$8,"")</f>
        <v/>
      </c>
      <c r="AC49" s="520" t="str">
        <f>IF(AND(_AC1="A-330-300",'2023'!$E$4="FO",'2023'!$E$2=AC43),'2023DATA3'!$N$8,"")</f>
        <v/>
      </c>
      <c r="AD49" s="940"/>
      <c r="AE49" s="13" t="s">
        <v>62</v>
      </c>
      <c r="AF49" s="518" t="str">
        <f>IF(AND(_AC2="A-330-300",'2023'!$E$4="FO",'2023'!$E$2=AF43),'2023DATA3'!$C$8,"")</f>
        <v/>
      </c>
      <c r="AG49" s="518" t="str">
        <f>IF(AND(_AC2="A-330-300",'2023'!$E$4="FO",'2023'!$E$2=AG43),'2023DATA3'!$D$8,"")</f>
        <v/>
      </c>
      <c r="AH49" s="518" t="str">
        <f>IF(AND(_AC2="A-330-300",'2023'!$E$4="FO",'2023'!$E$2=AH43),'2023DATA3'!$E$8,"")</f>
        <v/>
      </c>
      <c r="AI49" s="518" t="str">
        <f>IF(AND(_AC2="A-330-300",'2023'!$E$4="FO",'2023'!$E$2=AI43),'2023DATA3'!$F$8,"")</f>
        <v/>
      </c>
      <c r="AJ49" s="518" t="str">
        <f>IF(AND(_AC2="A-330-300",'2023'!$E$4="FO",'2023'!$E$2=AJ43),'2023DATA3'!$G$8,"")</f>
        <v/>
      </c>
      <c r="AK49" s="518" t="str">
        <f>IF(AND(_AC2="A-330-300",'2023'!$E$4="FO",'2023'!$E$2=AK43),'2023DATA3'!$H$8,"")</f>
        <v/>
      </c>
      <c r="AL49" s="518" t="str">
        <f>IF(AND(_AC2="A-330-300",'2023'!$E$4="FO",'2023'!$E$2=AL43),'2023DATA3'!$I$8,"")</f>
        <v/>
      </c>
      <c r="AM49" s="518" t="str">
        <f>IF(AND(_AC2="A-330-300",'2023'!$E$4="FO",'2023'!$E$2=AM43),'2023DATA3'!$J$8,"")</f>
        <v/>
      </c>
      <c r="AN49" s="518" t="str">
        <f>IF(AND(_AC2="A-330-300",'2023'!$E$4="FO",'2023'!$E$2=AN43),'2023DATA3'!$K$8,"")</f>
        <v/>
      </c>
      <c r="AO49" s="518" t="str">
        <f>IF(AND(_AC2="A-330-300",'2023'!$E$4="FO",'2023'!$E$2=AO43),'2023DATA3'!$L$8,"")</f>
        <v/>
      </c>
      <c r="AP49" s="518" t="str">
        <f>IF(AND(_AC2="A-330-300",'2023'!$E$4="FO",'2023'!$E$2=AP43),'2023DATA3'!$M$8,"")</f>
        <v/>
      </c>
      <c r="AQ49" s="520" t="str">
        <f>IF(AND(_AC2="A-330-300",'2023'!$E$4="FO",'2023'!$E$2=AQ43),'2023DATA3'!$N$8,"")</f>
        <v/>
      </c>
      <c r="AR49" s="940"/>
      <c r="AS49" s="13" t="s">
        <v>62</v>
      </c>
      <c r="AT49" s="518" t="str">
        <f>IF(AND(_AC3="A-330-300",'2023'!$E$4="FO",'2023'!$E$2=AT43),'2023DATA3'!$C$8,"")</f>
        <v/>
      </c>
      <c r="AU49" s="518" t="str">
        <f>IF(AND(_AC3="A-330-300",'2023'!$E$4="FO",'2023'!$E$2=AU43),'2023DATA3'!$D$8,"")</f>
        <v/>
      </c>
      <c r="AV49" s="518" t="str">
        <f>IF(AND(_AC3="A-330-300",'2023'!$E$4="FO",'2023'!$E$2=AV43),'2023DATA3'!$E$8,"")</f>
        <v/>
      </c>
      <c r="AW49" s="518" t="str">
        <f>IF(AND(_AC3="A-330-300",'2023'!$E$4="FO",'2023'!$E$2=AW43),'2023DATA3'!$F$8,"")</f>
        <v/>
      </c>
      <c r="AX49" s="518" t="str">
        <f>IF(AND(_AC3="A-330-300",'2023'!$E$4="FO",'2023'!$E$2=AX43),'2023DATA3'!$G$8,"")</f>
        <v/>
      </c>
      <c r="AY49" s="518" t="str">
        <f>IF(AND(_AC3="A-330-300",'2023'!$E$4="FO",'2023'!$E$2=AY43),'2023DATA3'!$H$8,"")</f>
        <v/>
      </c>
      <c r="AZ49" s="518" t="str">
        <f>IF(AND(_AC3="A-330-300",'2023'!$E$4="FO",'2023'!$E$2=AZ43),'2023DATA3'!$I$8,"")</f>
        <v/>
      </c>
      <c r="BA49" s="518" t="str">
        <f>IF(AND(_AC3="A-330-300",'2023'!$E$4="FO",'2023'!$E$2=BA43),'2023DATA3'!$J$8,"")</f>
        <v/>
      </c>
      <c r="BB49" s="518" t="str">
        <f>IF(AND(_AC3="A-330-300",'2023'!$E$4="FO",'2023'!$E$2=BB43),'2023DATA3'!$K$8,"")</f>
        <v/>
      </c>
      <c r="BC49" s="518" t="str">
        <f>IF(AND(_AC3="A-330-300",'2023'!$E$4="FO",'2023'!$E$2=BC43),'2023DATA3'!$L$8,"")</f>
        <v/>
      </c>
      <c r="BD49" s="518" t="str">
        <f>IF(AND(_AC3="A-330-300",'2023'!$E$4="FO",'2023'!$E$2=BD43),'2023DATA3'!$M$8,"")</f>
        <v/>
      </c>
      <c r="BE49" s="520" t="str">
        <f>IF(AND(_AC3="A-330-300",'2023'!$E$4="FO",'2023'!$E$2=BE43),'2023DATA3'!$N$8,"")</f>
        <v/>
      </c>
      <c r="BF49" s="940"/>
      <c r="BG49" s="13" t="s">
        <v>62</v>
      </c>
      <c r="BH49" s="518" t="str">
        <f>IF(AND(_AC4="A-330-300",'2023'!$E$4="FO",'2023'!$E$2=BH43),'2023DATA3'!$C$8,"")</f>
        <v/>
      </c>
      <c r="BI49" s="518" t="str">
        <f>IF(AND(_AC4="A-330-300",'2023'!$E$4="FO",'2023'!$E$2=BI43),'2023DATA3'!$D$8,"")</f>
        <v/>
      </c>
      <c r="BJ49" s="518" t="str">
        <f>IF(AND(_AC4="A-330-300",'2023'!$E$4="FO",'2023'!$E$2=BJ43),'2023DATA3'!$E$8,"")</f>
        <v/>
      </c>
      <c r="BK49" s="518" t="str">
        <f>IF(AND(_AC4="A-330-300",'2023'!$E$4="FO",'2023'!$E$2=BK43),'2023DATA3'!$F$8,"")</f>
        <v/>
      </c>
      <c r="BL49" s="518" t="str">
        <f>IF(AND(_AC4="A-330-300",'2023'!$E$4="FO",'2023'!$E$2=BL43),'2023DATA3'!$G$8,"")</f>
        <v/>
      </c>
      <c r="BM49" s="518" t="str">
        <f>IF(AND(_AC4="A-330-300",'2023'!$E$4="FO",'2023'!$E$2=BM43),'2023DATA3'!$H$8,"")</f>
        <v/>
      </c>
      <c r="BN49" s="518" t="str">
        <f>IF(AND(_AC4="A-330-300",'2023'!$E$4="FO",'2023'!$E$2=BN43),'2023DATA3'!$I$8,"")</f>
        <v/>
      </c>
      <c r="BO49" s="518" t="str">
        <f>IF(AND(_AC4="A-330-300",'2023'!$E$4="FO",'2023'!$E$2=BO43),'2023DATA3'!$J$8,"")</f>
        <v/>
      </c>
      <c r="BP49" s="518" t="str">
        <f>IF(AND(_AC4="A-330-300",'2023'!$E$4="FO",'2023'!$E$2=BP43),'2023DATA3'!$K$8,"")</f>
        <v/>
      </c>
      <c r="BQ49" s="518" t="str">
        <f>IF(AND(_AC4="A-330-300",'2023'!$E$4="FO",'2023'!$E$2=BQ43),'2023DATA3'!$L$8,"")</f>
        <v/>
      </c>
      <c r="BR49" s="518" t="str">
        <f>IF(AND(_AC4="A-330-300",'2023'!$E$4="FO",'2023'!$E$2=BR43),'2023DATA3'!$M$8,"")</f>
        <v/>
      </c>
      <c r="BS49" s="520" t="str">
        <f>IF(AND(_AC4="A-330-300",'2023'!$E$4="FO",'2023'!$E$2=BS43),'2023DATA3'!$N$8,"")</f>
        <v/>
      </c>
      <c r="BT49" s="940"/>
      <c r="BU49" s="13" t="s">
        <v>62</v>
      </c>
      <c r="BV49" s="518" t="str">
        <f>IF(AND(_AC5="A-330-300",'2023'!$E$4="FO",'2023'!$E$2=BV43),'2023DATA3'!$C$8,"")</f>
        <v/>
      </c>
      <c r="BW49" s="518" t="str">
        <f>IF(AND(_AC5="A-330-300",'2023'!$E$4="FO",'2023'!$E$2=BW43),'2023DATA3'!$D$8,"")</f>
        <v/>
      </c>
      <c r="BX49" s="518" t="str">
        <f>IF(AND(_AC5="A-330-300",'2023'!$E$4="FO",'2023'!$E$2=BX43),'2023DATA3'!$E$8,"")</f>
        <v/>
      </c>
      <c r="BY49" s="518" t="str">
        <f>IF(AND(_AC5="A-330-300",'2023'!$E$4="FO",'2023'!$E$2=BY43),'2023DATA3'!$F$8,"")</f>
        <v/>
      </c>
      <c r="BZ49" s="518" t="str">
        <f>IF(AND(_AC5="A-330-300",'2023'!$E$4="FO",'2023'!$E$2=BZ43),'2023DATA3'!$G$8,"")</f>
        <v/>
      </c>
      <c r="CA49" s="518" t="str">
        <f>IF(AND(_AC5="A-330-300",'2023'!$E$4="FO",'2023'!$E$2=CA43),'2023DATA3'!$H$8,"")</f>
        <v/>
      </c>
      <c r="CB49" s="518" t="str">
        <f>IF(AND(_AC5="A-330-300",'2023'!$E$4="FO",'2023'!$E$2=CB43),'2023DATA3'!$I$8,"")</f>
        <v/>
      </c>
      <c r="CC49" s="518" t="str">
        <f>IF(AND(_AC5="A-330-300",'2023'!$E$4="FO",'2023'!$E$2=CC43),'2023DATA3'!$J$8,"")</f>
        <v/>
      </c>
      <c r="CD49" s="518" t="str">
        <f>IF(AND(_AC5="A-330-300",'2023'!$E$4="FO",'2023'!$E$2=CD43),'2023DATA3'!$K$8,"")</f>
        <v/>
      </c>
      <c r="CE49" s="518" t="str">
        <f>IF(AND(_AC5="A-330-300",'2023'!$E$4="FO",'2023'!$E$2=CE43),'2023DATA3'!$L$8,"")</f>
        <v/>
      </c>
      <c r="CF49" s="518" t="str">
        <f>IF(AND(_AC5="A-330-300",'2023'!$E$4="FO",'2023'!$E$2=CF43),'2023DATA3'!$M$8,"")</f>
        <v/>
      </c>
      <c r="CG49" s="520" t="str">
        <f>IF(AND(_AC5="A-330-300",'2023'!$E$4="FO",'2023'!$E$2=CG43),'2023DATA3'!$N$8,"")</f>
        <v/>
      </c>
      <c r="CH49" s="940"/>
      <c r="CI49" s="13" t="s">
        <v>62</v>
      </c>
      <c r="CJ49" s="518" t="str">
        <f>IF(AND(_AC6="A-330-300",'2023'!$E$4="FO",'2023'!$E$2=CJ43),'2023DATA3'!$C$8,"")</f>
        <v/>
      </c>
      <c r="CK49" s="518" t="str">
        <f>IF(AND(_AC6="A-330-300",'2023'!$E$4="FO",'2023'!$E$2=CK43),'2023DATA3'!$D$8,"")</f>
        <v/>
      </c>
      <c r="CL49" s="518" t="str">
        <f>IF(AND(_AC6="A-330-300",'2023'!$E$4="FO",'2023'!$E$2=CL43),'2023DATA3'!$E$8,"")</f>
        <v/>
      </c>
      <c r="CM49" s="518" t="str">
        <f>IF(AND(_AC6="A-330-300",'2023'!$E$4="FO",'2023'!$E$2=CM43),'2023DATA3'!$F$8,"")</f>
        <v/>
      </c>
      <c r="CN49" s="518" t="str">
        <f>IF(AND(_AC6="A-330-300",'2023'!$E$4="FO",'2023'!$E$2=CN43),'2023DATA3'!$G$8,"")</f>
        <v/>
      </c>
      <c r="CO49" s="518" t="str">
        <f>IF(AND(_AC6="A-330-300",'2023'!$E$4="FO",'2023'!$E$2=CO43),'2023DATA3'!$H$8,"")</f>
        <v/>
      </c>
      <c r="CP49" s="518" t="str">
        <f>IF(AND(_AC6="A-330-300",'2023'!$E$4="FO",'2023'!$E$2=CP43),'2023DATA3'!$I$8,"")</f>
        <v/>
      </c>
      <c r="CQ49" s="518" t="str">
        <f>IF(AND(_AC6="A-330-300",'2023'!$E$4="FO",'2023'!$E$2=CQ43),'2023DATA3'!$J$8,"")</f>
        <v/>
      </c>
      <c r="CR49" s="518" t="str">
        <f>IF(AND(_AC6="A-330-300",'2023'!$E$4="FO",'2023'!$E$2=CR43),'2023DATA3'!$K$8,"")</f>
        <v/>
      </c>
      <c r="CS49" s="518" t="str">
        <f>IF(AND(_AC6="A-330-300",'2023'!$E$4="FO",'2023'!$E$2=CS43),'2023DATA3'!$L$8,"")</f>
        <v/>
      </c>
      <c r="CT49" s="518" t="str">
        <f>IF(AND(_AC6="A-330-300",'2023'!$E$4="FO",'2023'!$E$2=CT43),'2023DATA3'!$M$8,"")</f>
        <v/>
      </c>
      <c r="CU49" s="520" t="str">
        <f>IF(AND(_AC6="A-330-300",'2023'!$E$4="FO",'2023'!$E$2=CU43),'2023DATA3'!$N$8,"")</f>
        <v/>
      </c>
    </row>
    <row r="50" spans="16:99" x14ac:dyDescent="0.25">
      <c r="P50" s="940" t="s">
        <v>66</v>
      </c>
      <c r="Q50" s="13" t="s">
        <v>61</v>
      </c>
      <c r="R50" s="518" t="str">
        <f>IF(AND(_AC1="A-330-200",'2023'!$E$4="CA",'2023'!$E$2=R43),'2023DATA3'!$C$9,"")</f>
        <v/>
      </c>
      <c r="S50" s="518" t="str">
        <f>IF(AND(_AC1="A-330-200",'2023'!$E$4="CA",'2023'!$E$2=S43),'2023DATA3'!$D$9,"")</f>
        <v/>
      </c>
      <c r="T50" s="518" t="str">
        <f>IF(AND(_AC1="A-330-200",'2023'!$E$4="CA",'2023'!$E$2=T43),'2023DATA3'!$E$9,"")</f>
        <v/>
      </c>
      <c r="U50" s="518" t="str">
        <f>IF(AND(_AC1="A-330-200",'2023'!$E$4="CA",'2023'!$E$2=U43),'2023DATA3'!$F$9,"")</f>
        <v/>
      </c>
      <c r="V50" s="518" t="str">
        <f>IF(AND(_AC1="A-330-200",'2023'!$E$4="CA",'2023'!$E$2=V43),'2023DATA3'!$G$9,"")</f>
        <v/>
      </c>
      <c r="W50" s="518" t="str">
        <f>IF(AND(_AC1="A-330-200",'2023'!$E$4="CA",'2023'!$E$2=W43),'2023DATA3'!$H$9,"")</f>
        <v/>
      </c>
      <c r="X50" s="518" t="str">
        <f>IF(AND(_AC1="A-330-200",'2023'!$E$4="CA",'2023'!$E$2=X43),'2023DATA3'!$I$9,"")</f>
        <v/>
      </c>
      <c r="Y50" s="518" t="str">
        <f>IF(AND(_AC1="A-330-200",'2023'!$E$4="CA",'2023'!$E$2=Y43),'2023DATA3'!$J$9,"")</f>
        <v/>
      </c>
      <c r="Z50" s="518" t="str">
        <f>IF(AND(_AC1="A-330-200",'2023'!$E$4="CA",'2023'!$E$2=Z43),'2023DATA3'!$K$9,"")</f>
        <v/>
      </c>
      <c r="AA50" s="518" t="str">
        <f>IF(AND(_AC1="A-330-200",'2023'!$E$4="CA",'2023'!$E$2=AA43),'2023DATA3'!$L$9,"")</f>
        <v/>
      </c>
      <c r="AB50" s="518" t="str">
        <f>IF(AND(_AC1="A-330-200",'2023'!$E$4="CA",'2023'!$E$2=AB43),'2023DATA3'!$M$9,"")</f>
        <v/>
      </c>
      <c r="AC50" s="520" t="str">
        <f>IF(AND(_AC1="A-330-200",'2023'!$E$4="CA",'2023'!$E$2=AC43),'2023DATA3'!$N$9,"")</f>
        <v/>
      </c>
      <c r="AD50" s="940" t="s">
        <v>66</v>
      </c>
      <c r="AE50" s="13" t="s">
        <v>61</v>
      </c>
      <c r="AF50" s="518" t="str">
        <f>IF(AND(_AC2="A-330-200",'2023'!$E$4="CA",'2023'!$E$2=AF43),'2023DATA3'!$C$9,"")</f>
        <v/>
      </c>
      <c r="AG50" s="518" t="str">
        <f>IF(AND(_AC2="A-330-200",'2023'!$E$4="CA",'2023'!$E$2=AG43),'2023DATA3'!$D$9,"")</f>
        <v/>
      </c>
      <c r="AH50" s="518" t="str">
        <f>IF(AND(_AC2="A-330-200",'2023'!$E$4="CA",'2023'!$E$2=AH43),'2023DATA3'!$E$9,"")</f>
        <v/>
      </c>
      <c r="AI50" s="518" t="str">
        <f>IF(AND(_AC2="A-330-200",'2023'!$E$4="CA",'2023'!$E$2=AI43),'2023DATA3'!$F$9,"")</f>
        <v/>
      </c>
      <c r="AJ50" s="518" t="str">
        <f>IF(AND(_AC2="A-330-200",'2023'!$E$4="CA",'2023'!$E$2=AJ43),'2023DATA3'!$G$9,"")</f>
        <v/>
      </c>
      <c r="AK50" s="518" t="str">
        <f>IF(AND(_AC2="A-330-200",'2023'!$E$4="CA",'2023'!$E$2=AK43),'2023DATA3'!$H$9,"")</f>
        <v/>
      </c>
      <c r="AL50" s="518" t="str">
        <f>IF(AND(_AC2="A-330-200",'2023'!$E$4="CA",'2023'!$E$2=AL43),'2023DATA3'!$I$9,"")</f>
        <v/>
      </c>
      <c r="AM50" s="518" t="str">
        <f>IF(AND(_AC2="A-330-200",'2023'!$E$4="CA",'2023'!$E$2=AM43),'2023DATA3'!$J$9,"")</f>
        <v/>
      </c>
      <c r="AN50" s="518" t="str">
        <f>IF(AND(_AC2="A-330-200",'2023'!$E$4="CA",'2023'!$E$2=AN43),'2023DATA3'!$K$9,"")</f>
        <v/>
      </c>
      <c r="AO50" s="518" t="str">
        <f>IF(AND(_AC2="A-330-200",'2023'!$E$4="CA",'2023'!$E$2=AO43),'2023DATA3'!$L$9,"")</f>
        <v/>
      </c>
      <c r="AP50" s="518" t="str">
        <f>IF(AND(_AC2="A-330-200",'2023'!$E$4="CA",'2023'!$E$2=AP43),'2023DATA3'!$M$9,"")</f>
        <v/>
      </c>
      <c r="AQ50" s="520" t="str">
        <f>IF(AND(_AC2="A-330-200",'2023'!$E$4="CA",'2023'!$E$2=AQ43),'2023DATA3'!$N$9,"")</f>
        <v/>
      </c>
      <c r="AR50" s="940" t="s">
        <v>66</v>
      </c>
      <c r="AS50" s="13" t="s">
        <v>61</v>
      </c>
      <c r="AT50" s="518" t="str">
        <f>IF(AND(_AC3="A-330-200",'2023'!$E$4="CA",'2023'!$E$2=AT43),'2023DATA3'!$C$9,"")</f>
        <v/>
      </c>
      <c r="AU50" s="518" t="str">
        <f>IF(AND(_AC3="A-330-200",'2023'!$E$4="CA",'2023'!$E$2=AU43),'2023DATA3'!$D$9,"")</f>
        <v/>
      </c>
      <c r="AV50" s="518" t="str">
        <f>IF(AND(_AC3="A-330-200",'2023'!$E$4="CA",'2023'!$E$2=AV43),'2023DATA3'!$E$9,"")</f>
        <v/>
      </c>
      <c r="AW50" s="518" t="str">
        <f>IF(AND(_AC3="A-330-200",'2023'!$E$4="CA",'2023'!$E$2=AW43),'2023DATA3'!$F$9,"")</f>
        <v/>
      </c>
      <c r="AX50" s="518" t="str">
        <f>IF(AND(_AC3="A-330-200",'2023'!$E$4="CA",'2023'!$E$2=AX43),'2023DATA3'!$G$9,"")</f>
        <v/>
      </c>
      <c r="AY50" s="518" t="str">
        <f>IF(AND(_AC3="A-330-200",'2023'!$E$4="CA",'2023'!$E$2=AY43),'2023DATA3'!$H$9,"")</f>
        <v/>
      </c>
      <c r="AZ50" s="518" t="str">
        <f>IF(AND(_AC3="A-330-200",'2023'!$E$4="CA",'2023'!$E$2=AZ43),'2023DATA3'!$I$9,"")</f>
        <v/>
      </c>
      <c r="BA50" s="518" t="str">
        <f>IF(AND(_AC3="A-330-200",'2023'!$E$4="CA",'2023'!$E$2=BA43),'2023DATA3'!$J$9,"")</f>
        <v/>
      </c>
      <c r="BB50" s="518" t="str">
        <f>IF(AND(_AC3="A-330-200",'2023'!$E$4="CA",'2023'!$E$2=BB43),'2023DATA3'!$K$9,"")</f>
        <v/>
      </c>
      <c r="BC50" s="518" t="str">
        <f>IF(AND(_AC3="A-330-200",'2023'!$E$4="CA",'2023'!$E$2=BC43),'2023DATA3'!$L$9,"")</f>
        <v/>
      </c>
      <c r="BD50" s="518" t="str">
        <f>IF(AND(_AC3="A-330-200",'2023'!$E$4="CA",'2023'!$E$2=BD43),'2023DATA3'!$M$9,"")</f>
        <v/>
      </c>
      <c r="BE50" s="520" t="str">
        <f>IF(AND(_AC3="A-330-200",'2023'!$E$4="CA",'2023'!$E$2=BE43),'2023DATA3'!$N$9,"")</f>
        <v/>
      </c>
      <c r="BF50" s="940" t="s">
        <v>66</v>
      </c>
      <c r="BG50" s="13" t="s">
        <v>61</v>
      </c>
      <c r="BH50" s="518" t="str">
        <f>IF(AND(_AC4="A-330-200",'2023'!$E$4="CA",'2023'!$E$2=BH43),'2023DATA3'!$C$9,"")</f>
        <v/>
      </c>
      <c r="BI50" s="518" t="str">
        <f>IF(AND(_AC4="A-330-200",'2023'!$E$4="CA",'2023'!$E$2=BI43),'2023DATA3'!$D$9,"")</f>
        <v/>
      </c>
      <c r="BJ50" s="518" t="str">
        <f>IF(AND(_AC4="A-330-200",'2023'!$E$4="CA",'2023'!$E$2=BJ43),'2023DATA3'!$E$9,"")</f>
        <v/>
      </c>
      <c r="BK50" s="518" t="str">
        <f>IF(AND(_AC4="A-330-200",'2023'!$E$4="CA",'2023'!$E$2=BK43),'2023DATA3'!$F$9,"")</f>
        <v/>
      </c>
      <c r="BL50" s="518" t="str">
        <f>IF(AND(_AC4="A-330-200",'2023'!$E$4="CA",'2023'!$E$2=BL43),'2023DATA3'!$G$9,"")</f>
        <v/>
      </c>
      <c r="BM50" s="518" t="str">
        <f>IF(AND(_AC4="A-330-200",'2023'!$E$4="CA",'2023'!$E$2=BM43),'2023DATA3'!$H$9,"")</f>
        <v/>
      </c>
      <c r="BN50" s="518" t="str">
        <f>IF(AND(_AC4="A-330-200",'2023'!$E$4="CA",'2023'!$E$2=BN43),'2023DATA3'!$I$9,"")</f>
        <v/>
      </c>
      <c r="BO50" s="518" t="str">
        <f>IF(AND(_AC4="A-330-200",'2023'!$E$4="CA",'2023'!$E$2=BO43),'2023DATA3'!$J$9,"")</f>
        <v/>
      </c>
      <c r="BP50" s="518" t="str">
        <f>IF(AND(_AC4="A-330-200",'2023'!$E$4="CA",'2023'!$E$2=BP43),'2023DATA3'!$K$9,"")</f>
        <v/>
      </c>
      <c r="BQ50" s="518" t="str">
        <f>IF(AND(_AC4="A-330-200",'2023'!$E$4="CA",'2023'!$E$2=BQ43),'2023DATA3'!$L$9,"")</f>
        <v/>
      </c>
      <c r="BR50" s="518" t="str">
        <f>IF(AND(_AC4="A-330-200",'2023'!$E$4="CA",'2023'!$E$2=BR43),'2023DATA3'!$M$9,"")</f>
        <v/>
      </c>
      <c r="BS50" s="520" t="str">
        <f>IF(AND(_AC4="A-330-200",'2023'!$E$4="CA",'2023'!$E$2=BS43),'2023DATA3'!$N$9,"")</f>
        <v/>
      </c>
      <c r="BT50" s="940" t="s">
        <v>66</v>
      </c>
      <c r="BU50" s="13" t="s">
        <v>61</v>
      </c>
      <c r="BV50" s="518" t="str">
        <f>IF(AND(_AC5="A-330-200",'2023'!$E$4="CA",'2023'!$E$2=BV43),'2023DATA3'!$C$9,"")</f>
        <v/>
      </c>
      <c r="BW50" s="518" t="str">
        <f>IF(AND(_AC5="A-330-200",'2023'!$E$4="CA",'2023'!$E$2=BW43),'2023DATA3'!$D$9,"")</f>
        <v/>
      </c>
      <c r="BX50" s="518" t="str">
        <f>IF(AND(_AC5="A-330-200",'2023'!$E$4="CA",'2023'!$E$2=BX43),'2023DATA3'!$E$9,"")</f>
        <v/>
      </c>
      <c r="BY50" s="518" t="str">
        <f>IF(AND(_AC5="A-330-200",'2023'!$E$4="CA",'2023'!$E$2=BY43),'2023DATA3'!$F$9,"")</f>
        <v/>
      </c>
      <c r="BZ50" s="518" t="str">
        <f>IF(AND(_AC5="A-330-200",'2023'!$E$4="CA",'2023'!$E$2=BZ43),'2023DATA3'!$G$9,"")</f>
        <v/>
      </c>
      <c r="CA50" s="518" t="str">
        <f>IF(AND(_AC5="A-330-200",'2023'!$E$4="CA",'2023'!$E$2=CA43),'2023DATA3'!$H$9,"")</f>
        <v/>
      </c>
      <c r="CB50" s="518" t="str">
        <f>IF(AND(_AC5="A-330-200",'2023'!$E$4="CA",'2023'!$E$2=CB43),'2023DATA3'!$I$9,"")</f>
        <v/>
      </c>
      <c r="CC50" s="518" t="str">
        <f>IF(AND(_AC5="A-330-200",'2023'!$E$4="CA",'2023'!$E$2=CC43),'2023DATA3'!$J$9,"")</f>
        <v/>
      </c>
      <c r="CD50" s="518" t="str">
        <f>IF(AND(_AC5="A-330-200",'2023'!$E$4="CA",'2023'!$E$2=CD43),'2023DATA3'!$K$9,"")</f>
        <v/>
      </c>
      <c r="CE50" s="518" t="str">
        <f>IF(AND(_AC5="A-330-200",'2023'!$E$4="CA",'2023'!$E$2=CE43),'2023DATA3'!$L$9,"")</f>
        <v/>
      </c>
      <c r="CF50" s="518" t="str">
        <f>IF(AND(_AC5="A-330-200",'2023'!$E$4="CA",'2023'!$E$2=CF43),'2023DATA3'!$M$9,"")</f>
        <v/>
      </c>
      <c r="CG50" s="520" t="str">
        <f>IF(AND(_AC5="A-330-200",'2023'!$E$4="CA",'2023'!$E$2=CG43),'2023DATA3'!$N$9,"")</f>
        <v/>
      </c>
      <c r="CH50" s="940" t="s">
        <v>66</v>
      </c>
      <c r="CI50" s="13" t="s">
        <v>61</v>
      </c>
      <c r="CJ50" s="518" t="str">
        <f>IF(AND(_AC6="A-330-200",'2023'!$E$4="CA",'2023'!$E$2=CJ43),'2023DATA3'!$C$9,"")</f>
        <v/>
      </c>
      <c r="CK50" s="518" t="str">
        <f>IF(AND(_AC6="A-330-200",'2023'!$E$4="CA",'2023'!$E$2=CK43),'2023DATA3'!$D$9,"")</f>
        <v/>
      </c>
      <c r="CL50" s="518" t="str">
        <f>IF(AND(_AC6="A-330-200",'2023'!$E$4="CA",'2023'!$E$2=CL43),'2023DATA3'!$E$9,"")</f>
        <v/>
      </c>
      <c r="CM50" s="518" t="str">
        <f>IF(AND(_AC6="A-330-200",'2023'!$E$4="CA",'2023'!$E$2=CM43),'2023DATA3'!$F$9,"")</f>
        <v/>
      </c>
      <c r="CN50" s="518" t="str">
        <f>IF(AND(_AC6="A-330-200",'2023'!$E$4="CA",'2023'!$E$2=CN43),'2023DATA3'!$G$9,"")</f>
        <v/>
      </c>
      <c r="CO50" s="518" t="str">
        <f>IF(AND(_AC6="A-330-200",'2023'!$E$4="CA",'2023'!$E$2=CO43),'2023DATA3'!$H$9,"")</f>
        <v/>
      </c>
      <c r="CP50" s="518" t="str">
        <f>IF(AND(_AC6="A-330-200",'2023'!$E$4="CA",'2023'!$E$2=CP43),'2023DATA3'!$I$9,"")</f>
        <v/>
      </c>
      <c r="CQ50" s="518" t="str">
        <f>IF(AND(_AC6="A-330-200",'2023'!$E$4="CA",'2023'!$E$2=CQ43),'2023DATA3'!$J$9,"")</f>
        <v/>
      </c>
      <c r="CR50" s="518" t="str">
        <f>IF(AND(_AC6="A-330-200",'2023'!$E$4="CA",'2023'!$E$2=CR43),'2023DATA3'!$K$9,"")</f>
        <v/>
      </c>
      <c r="CS50" s="518" t="str">
        <f>IF(AND(_AC6="A-330-200",'2023'!$E$4="CA",'2023'!$E$2=CS43),'2023DATA3'!$L$9,"")</f>
        <v/>
      </c>
      <c r="CT50" s="518" t="str">
        <f>IF(AND(_AC6="A-330-200",'2023'!$E$4="CA",'2023'!$E$2=CT43),'2023DATA3'!$M$9,"")</f>
        <v/>
      </c>
      <c r="CU50" s="520" t="str">
        <f>IF(AND(_AC6="A-330-200",'2023'!$E$4="CA",'2023'!$E$2=CU43),'2023DATA3'!$N$9,"")</f>
        <v/>
      </c>
    </row>
    <row r="51" spans="16:99" x14ac:dyDescent="0.25">
      <c r="P51" s="940"/>
      <c r="Q51" s="13" t="s">
        <v>62</v>
      </c>
      <c r="R51" s="518" t="str">
        <f>IF(AND(_AC1="A-330-200",'2023'!$E$4="FO",'2023'!$E$2=R43),'2023DATA3'!$C$10,"")</f>
        <v/>
      </c>
      <c r="S51" s="518" t="str">
        <f>IF(AND(_AC1="A-330-200",'2023'!$E$4="FO",'2023'!$E$2=S43),'2023DATA3'!$D$10,"")</f>
        <v/>
      </c>
      <c r="T51" s="518" t="str">
        <f>IF(AND(_AC1="A-330-200",'2023'!$E$4="FO",'2023'!$E$2=T43),'2023DATA3'!$E$10,"")</f>
        <v/>
      </c>
      <c r="U51" s="518" t="str">
        <f>IF(AND(_AC1="A-330-200",'2023'!$E$4="FO",'2023'!$E$2=U43),'2023DATA3'!$F$10,"")</f>
        <v/>
      </c>
      <c r="V51" s="518" t="str">
        <f>IF(AND(_AC1="A-330-200",'2023'!$E$4="FO",'2023'!$E$2=V43),'2023DATA3'!$G$10,"")</f>
        <v/>
      </c>
      <c r="W51" s="518" t="str">
        <f>IF(AND(_AC1="A-330-200",'2023'!$E$4="FO",'2023'!$E$2=W43),'2023DATA3'!$H$10,"")</f>
        <v/>
      </c>
      <c r="X51" s="518" t="str">
        <f>IF(AND(_AC1="A-330-200",'2023'!$E$4="FO",'2023'!$E$2=X43),'2023DATA3'!$I$10,"")</f>
        <v/>
      </c>
      <c r="Y51" s="518" t="str">
        <f>IF(AND(_AC1="A-330-200",'2023'!$E$4="FO",'2023'!$E$2=Y43),'2023DATA3'!$J$10,"")</f>
        <v/>
      </c>
      <c r="Z51" s="518" t="str">
        <f>IF(AND(_AC1="A-330-200",'2023'!$E$4="FO",'2023'!$E$2=Z43),'2023DATA3'!$K$10,"")</f>
        <v/>
      </c>
      <c r="AA51" s="518" t="str">
        <f>IF(AND(_AC1="A-330-200",'2023'!$E$4="FO",'2023'!$E$2=AA43),'2023DATA3'!$L$10,"")</f>
        <v/>
      </c>
      <c r="AB51" s="518" t="str">
        <f>IF(AND(_AC1="A-330-200",'2023'!$E$4="FO",'2023'!$E$2=AB43),'2023DATA3'!$M$10,"")</f>
        <v/>
      </c>
      <c r="AC51" s="520" t="str">
        <f>IF(AND(_AC1="A-330-200",'2023'!$E$4="FO",'2023'!$E$2=AC43),'2023DATA3'!$N$10,"")</f>
        <v/>
      </c>
      <c r="AD51" s="940"/>
      <c r="AE51" s="13" t="s">
        <v>62</v>
      </c>
      <c r="AF51" s="518" t="str">
        <f>IF(AND(_AC2="A-330-200",'2023'!$E$4="FO",'2023'!$E$2=AF43),'2023DATA3'!$C$10,"")</f>
        <v/>
      </c>
      <c r="AG51" s="518" t="str">
        <f>IF(AND(_AC2="A-330-200",'2023'!$E$4="FO",'2023'!$E$2=AG43),'2023DATA3'!$D$10,"")</f>
        <v/>
      </c>
      <c r="AH51" s="518" t="str">
        <f>IF(AND(_AC2="A-330-200",'2023'!$E$4="FO",'2023'!$E$2=AH43),'2023DATA3'!$E$10,"")</f>
        <v/>
      </c>
      <c r="AI51" s="518" t="str">
        <f>IF(AND(_AC2="A-330-200",'2023'!$E$4="FO",'2023'!$E$2=AI43),'2023DATA3'!$F$10,"")</f>
        <v/>
      </c>
      <c r="AJ51" s="518" t="str">
        <f>IF(AND(_AC2="A-330-200",'2023'!$E$4="FO",'2023'!$E$2=AJ43),'2023DATA3'!$G$10,"")</f>
        <v/>
      </c>
      <c r="AK51" s="518" t="str">
        <f>IF(AND(_AC2="A-330-200",'2023'!$E$4="FO",'2023'!$E$2=AK43),'2023DATA3'!$H$10,"")</f>
        <v/>
      </c>
      <c r="AL51" s="518" t="str">
        <f>IF(AND(_AC2="A-330-200",'2023'!$E$4="FO",'2023'!$E$2=AL43),'2023DATA3'!$I$10,"")</f>
        <v/>
      </c>
      <c r="AM51" s="518" t="str">
        <f>IF(AND(_AC2="A-330-200",'2023'!$E$4="FO",'2023'!$E$2=AM43),'2023DATA3'!$J$10,"")</f>
        <v/>
      </c>
      <c r="AN51" s="518" t="str">
        <f>IF(AND(_AC2="A-330-200",'2023'!$E$4="FO",'2023'!$E$2=AN43),'2023DATA3'!$K$10,"")</f>
        <v/>
      </c>
      <c r="AO51" s="518" t="str">
        <f>IF(AND(_AC2="A-330-200",'2023'!$E$4="FO",'2023'!$E$2=AO43),'2023DATA3'!$L$10,"")</f>
        <v/>
      </c>
      <c r="AP51" s="518" t="str">
        <f>IF(AND(_AC2="A-330-200",'2023'!$E$4="FO",'2023'!$E$2=AP43),'2023DATA3'!$M$10,"")</f>
        <v/>
      </c>
      <c r="AQ51" s="520" t="str">
        <f>IF(AND(_AC2="A-330-200",'2023'!$E$4="FO",'2023'!$E$2=AQ43),'2023DATA3'!$N$10,"")</f>
        <v/>
      </c>
      <c r="AR51" s="940"/>
      <c r="AS51" s="13" t="s">
        <v>62</v>
      </c>
      <c r="AT51" s="518" t="str">
        <f>IF(AND(_AC3="A-330-200",'2023'!$E$4="FO",'2023'!$E$2=AT43),'2023DATA3'!$C$10,"")</f>
        <v/>
      </c>
      <c r="AU51" s="518" t="str">
        <f>IF(AND(_AC3="A-330-200",'2023'!$E$4="FO",'2023'!$E$2=AU43),'2023DATA3'!$D$10,"")</f>
        <v/>
      </c>
      <c r="AV51" s="518" t="str">
        <f>IF(AND(_AC3="A-330-200",'2023'!$E$4="FO",'2023'!$E$2=AV43),'2023DATA3'!$E$10,"")</f>
        <v/>
      </c>
      <c r="AW51" s="518" t="str">
        <f>IF(AND(_AC3="A-330-200",'2023'!$E$4="FO",'2023'!$E$2=AW43),'2023DATA3'!$F$10,"")</f>
        <v/>
      </c>
      <c r="AX51" s="518" t="str">
        <f>IF(AND(_AC3="A-330-200",'2023'!$E$4="FO",'2023'!$E$2=AX43),'2023DATA3'!$G$10,"")</f>
        <v/>
      </c>
      <c r="AY51" s="518" t="str">
        <f>IF(AND(_AC3="A-330-200",'2023'!$E$4="FO",'2023'!$E$2=AY43),'2023DATA3'!$H$10,"")</f>
        <v/>
      </c>
      <c r="AZ51" s="518" t="str">
        <f>IF(AND(_AC3="A-330-200",'2023'!$E$4="FO",'2023'!$E$2=AZ43),'2023DATA3'!$I$10,"")</f>
        <v/>
      </c>
      <c r="BA51" s="518" t="str">
        <f>IF(AND(_AC3="A-330-200",'2023'!$E$4="FO",'2023'!$E$2=BA43),'2023DATA3'!$J$10,"")</f>
        <v/>
      </c>
      <c r="BB51" s="518" t="str">
        <f>IF(AND(_AC3="A-330-200",'2023'!$E$4="FO",'2023'!$E$2=BB43),'2023DATA3'!$K$10,"")</f>
        <v/>
      </c>
      <c r="BC51" s="518" t="str">
        <f>IF(AND(_AC3="A-330-200",'2023'!$E$4="FO",'2023'!$E$2=BC43),'2023DATA3'!$L$10,"")</f>
        <v/>
      </c>
      <c r="BD51" s="518" t="str">
        <f>IF(AND(_AC3="A-330-200",'2023'!$E$4="FO",'2023'!$E$2=BD43),'2023DATA3'!$M$10,"")</f>
        <v/>
      </c>
      <c r="BE51" s="520" t="str">
        <f>IF(AND(_AC3="A-330-200",'2023'!$E$4="FO",'2023'!$E$2=BE43),'2023DATA3'!$N$10,"")</f>
        <v/>
      </c>
      <c r="BF51" s="940"/>
      <c r="BG51" s="13" t="s">
        <v>62</v>
      </c>
      <c r="BH51" s="518" t="str">
        <f>IF(AND(_AC4="A-330-200",'2023'!$E$4="FO",'2023'!$E$2=BH43),'2023DATA3'!$C$10,"")</f>
        <v/>
      </c>
      <c r="BI51" s="518" t="str">
        <f>IF(AND(_AC4="A-330-200",'2023'!$E$4="FO",'2023'!$E$2=BI43),'2023DATA3'!$D$10,"")</f>
        <v/>
      </c>
      <c r="BJ51" s="518" t="str">
        <f>IF(AND(_AC4="A-330-200",'2023'!$E$4="FO",'2023'!$E$2=BJ43),'2023DATA3'!$E$10,"")</f>
        <v/>
      </c>
      <c r="BK51" s="518" t="str">
        <f>IF(AND(_AC4="A-330-200",'2023'!$E$4="FO",'2023'!$E$2=BK43),'2023DATA3'!$F$10,"")</f>
        <v/>
      </c>
      <c r="BL51" s="518" t="str">
        <f>IF(AND(_AC4="A-330-200",'2023'!$E$4="FO",'2023'!$E$2=BL43),'2023DATA3'!$G$10,"")</f>
        <v/>
      </c>
      <c r="BM51" s="518" t="str">
        <f>IF(AND(_AC4="A-330-200",'2023'!$E$4="FO",'2023'!$E$2=BM43),'2023DATA3'!$H$10,"")</f>
        <v/>
      </c>
      <c r="BN51" s="518" t="str">
        <f>IF(AND(_AC4="A-330-200",'2023'!$E$4="FO",'2023'!$E$2=BN43),'2023DATA3'!$I$10,"")</f>
        <v/>
      </c>
      <c r="BO51" s="518" t="str">
        <f>IF(AND(_AC4="A-330-200",'2023'!$E$4="FO",'2023'!$E$2=BO43),'2023DATA3'!$J$10,"")</f>
        <v/>
      </c>
      <c r="BP51" s="518" t="str">
        <f>IF(AND(_AC4="A-330-200",'2023'!$E$4="FO",'2023'!$E$2=BP43),'2023DATA3'!$K$10,"")</f>
        <v/>
      </c>
      <c r="BQ51" s="518" t="str">
        <f>IF(AND(_AC4="A-330-200",'2023'!$E$4="FO",'2023'!$E$2=BQ43),'2023DATA3'!$L$10,"")</f>
        <v/>
      </c>
      <c r="BR51" s="518" t="str">
        <f>IF(AND(_AC4="A-330-200",'2023'!$E$4="FO",'2023'!$E$2=BR43),'2023DATA3'!$M$10,"")</f>
        <v/>
      </c>
      <c r="BS51" s="520" t="str">
        <f>IF(AND(_AC4="A-330-200",'2023'!$E$4="FO",'2023'!$E$2=BS43),'2023DATA3'!$N$10,"")</f>
        <v/>
      </c>
      <c r="BT51" s="940"/>
      <c r="BU51" s="13" t="s">
        <v>62</v>
      </c>
      <c r="BV51" s="518" t="str">
        <f>IF(AND(_AC5="A-330-200",'2023'!$E$4="FO",'2023'!$E$2=BV43),'2023DATA3'!$C$10,"")</f>
        <v/>
      </c>
      <c r="BW51" s="518" t="str">
        <f>IF(AND(_AC5="A-330-200",'2023'!$E$4="FO",'2023'!$E$2=BW43),'2023DATA3'!$D$10,"")</f>
        <v/>
      </c>
      <c r="BX51" s="518" t="str">
        <f>IF(AND(_AC5="A-330-200",'2023'!$E$4="FO",'2023'!$E$2=BX43),'2023DATA3'!$E$10,"")</f>
        <v/>
      </c>
      <c r="BY51" s="518" t="str">
        <f>IF(AND(_AC5="A-330-200",'2023'!$E$4="FO",'2023'!$E$2=BY43),'2023DATA3'!$F$10,"")</f>
        <v/>
      </c>
      <c r="BZ51" s="518" t="str">
        <f>IF(AND(_AC5="A-330-200",'2023'!$E$4="FO",'2023'!$E$2=BZ43),'2023DATA3'!$G$10,"")</f>
        <v/>
      </c>
      <c r="CA51" s="518" t="str">
        <f>IF(AND(_AC5="A-330-200",'2023'!$E$4="FO",'2023'!$E$2=CA43),'2023DATA3'!$H$10,"")</f>
        <v/>
      </c>
      <c r="CB51" s="518" t="str">
        <f>IF(AND(_AC5="A-330-200",'2023'!$E$4="FO",'2023'!$E$2=CB43),'2023DATA3'!$I$10,"")</f>
        <v/>
      </c>
      <c r="CC51" s="518" t="str">
        <f>IF(AND(_AC5="A-330-200",'2023'!$E$4="FO",'2023'!$E$2=CC43),'2023DATA3'!$J$10,"")</f>
        <v/>
      </c>
      <c r="CD51" s="518" t="str">
        <f>IF(AND(_AC5="A-330-200",'2023'!$E$4="FO",'2023'!$E$2=CD43),'2023DATA3'!$K$10,"")</f>
        <v/>
      </c>
      <c r="CE51" s="518" t="str">
        <f>IF(AND(_AC5="A-330-200",'2023'!$E$4="FO",'2023'!$E$2=CE43),'2023DATA3'!$L$10,"")</f>
        <v/>
      </c>
      <c r="CF51" s="518" t="str">
        <f>IF(AND(_AC5="A-330-200",'2023'!$E$4="FO",'2023'!$E$2=CF43),'2023DATA3'!$M$10,"")</f>
        <v/>
      </c>
      <c r="CG51" s="520" t="str">
        <f>IF(AND(_AC5="A-330-200",'2023'!$E$4="FO",'2023'!$E$2=CG43),'2023DATA3'!$N$10,"")</f>
        <v/>
      </c>
      <c r="CH51" s="940"/>
      <c r="CI51" s="13" t="s">
        <v>62</v>
      </c>
      <c r="CJ51" s="518" t="str">
        <f>IF(AND(_AC6="A-330-200",'2023'!$E$4="FO",'2023'!$E$2=CJ43),'2023DATA3'!$C$10,"")</f>
        <v/>
      </c>
      <c r="CK51" s="518" t="str">
        <f>IF(AND(_AC6="A-330-200",'2023'!$E$4="FO",'2023'!$E$2=CK43),'2023DATA3'!$D$10,"")</f>
        <v/>
      </c>
      <c r="CL51" s="518" t="str">
        <f>IF(AND(_AC6="A-330-200",'2023'!$E$4="FO",'2023'!$E$2=CL43),'2023DATA3'!$E$10,"")</f>
        <v/>
      </c>
      <c r="CM51" s="518" t="str">
        <f>IF(AND(_AC6="A-330-200",'2023'!$E$4="FO",'2023'!$E$2=CM43),'2023DATA3'!$F$10,"")</f>
        <v/>
      </c>
      <c r="CN51" s="518" t="str">
        <f>IF(AND(_AC6="A-330-200",'2023'!$E$4="FO",'2023'!$E$2=CN43),'2023DATA3'!$G$10,"")</f>
        <v/>
      </c>
      <c r="CO51" s="518" t="str">
        <f>IF(AND(_AC6="A-330-200",'2023'!$E$4="FO",'2023'!$E$2=CO43),'2023DATA3'!$H$10,"")</f>
        <v/>
      </c>
      <c r="CP51" s="518" t="str">
        <f>IF(AND(_AC6="A-330-200",'2023'!$E$4="FO",'2023'!$E$2=CP43),'2023DATA3'!$I$10,"")</f>
        <v/>
      </c>
      <c r="CQ51" s="518" t="str">
        <f>IF(AND(_AC6="A-330-200",'2023'!$E$4="FO",'2023'!$E$2=CQ43),'2023DATA3'!$J$10,"")</f>
        <v/>
      </c>
      <c r="CR51" s="518" t="str">
        <f>IF(AND(_AC6="A-330-200",'2023'!$E$4="FO",'2023'!$E$2=CR43),'2023DATA3'!$K$10,"")</f>
        <v/>
      </c>
      <c r="CS51" s="518" t="str">
        <f>IF(AND(_AC6="A-330-200",'2023'!$E$4="FO",'2023'!$E$2=CS43),'2023DATA3'!$L$10,"")</f>
        <v/>
      </c>
      <c r="CT51" s="518" t="str">
        <f>IF(AND(_AC6="A-330-200",'2023'!$E$4="FO",'2023'!$E$2=CT43),'2023DATA3'!$M$10,"")</f>
        <v/>
      </c>
      <c r="CU51" s="520" t="str">
        <f>IF(AND(_AC6="A-330-200",'2023'!$E$4="FO",'2023'!$E$2=CU43),'2023DATA3'!$N$10,"")</f>
        <v/>
      </c>
    </row>
    <row r="52" spans="16:99" x14ac:dyDescent="0.25">
      <c r="P52" s="940" t="s">
        <v>42</v>
      </c>
      <c r="Q52" s="13" t="s">
        <v>61</v>
      </c>
      <c r="R52" s="518" t="str">
        <f>IF(AND(_AC1="B-767-400ER",'2023'!$E$4="CA",'2023'!$E$2=R43),'2023DATA3'!$C$11,"")</f>
        <v/>
      </c>
      <c r="S52" s="518" t="str">
        <f>IF(AND(_AC1="B-767-400ER",'2023'!$E$4="CA",'2023'!$E$2=S43),'2023DATA3'!$D$11,"")</f>
        <v/>
      </c>
      <c r="T52" s="518" t="str">
        <f>IF(AND(_AC1="B-767-400ER",'2023'!$E$4="CA",'2023'!$E$2=T43),'2023DATA3'!$E$11,"")</f>
        <v/>
      </c>
      <c r="U52" s="518" t="str">
        <f>IF(AND(_AC1="B-767-400ER",'2023'!$E$4="CA",'2023'!$E$2=U43),'2023DATA3'!$F$11,"")</f>
        <v/>
      </c>
      <c r="V52" s="518" t="str">
        <f>IF(AND(_AC1="B-767-400ER",'2023'!$E$4="CA",'2023'!$E$2=V43),'2023DATA3'!$G$11,"")</f>
        <v/>
      </c>
      <c r="W52" s="518" t="str">
        <f>IF(AND(_AC1="B-767-400ER",'2023'!$E$4="CA",'2023'!$E$2=W43),'2023DATA3'!$H$11,"")</f>
        <v/>
      </c>
      <c r="X52" s="518" t="str">
        <f>IF(AND(_AC1="B-767-400ER",'2023'!$E$4="CA",'2023'!$E$2=X43),'2023DATA3'!$I$11,"")</f>
        <v/>
      </c>
      <c r="Y52" s="518" t="str">
        <f>IF(AND(_AC1="B-767-400ER",'2023'!$E$4="CA",'2023'!$E$2=Y43),'2023DATA3'!$J$11,"")</f>
        <v/>
      </c>
      <c r="Z52" s="518" t="str">
        <f>IF(AND(_AC1="B-767-400ER",'2023'!$E$4="CA",'2023'!$E$2=Z43),'2023DATA3'!$K$11,"")</f>
        <v/>
      </c>
      <c r="AA52" s="518" t="str">
        <f>IF(AND(_AC1="B-767-400ER",'2023'!$E$4="CA",'2023'!$E$2=AA43),'2023DATA3'!$L$11,"")</f>
        <v/>
      </c>
      <c r="AB52" s="518" t="str">
        <f>IF(AND(_AC1="B-767-400ER",'2023'!$E$4="CA",'2023'!$E$2=AB43),'2023DATA3'!$M$11,"")</f>
        <v/>
      </c>
      <c r="AC52" s="520" t="str">
        <f>IF(AND(_AC1="B-767-400ER",'2023'!$E$4="CA",'2023'!$E$2=AC43),'2023DATA3'!$N$11,"")</f>
        <v/>
      </c>
      <c r="AD52" s="940" t="s">
        <v>42</v>
      </c>
      <c r="AE52" s="13" t="s">
        <v>61</v>
      </c>
      <c r="AF52" s="518" t="str">
        <f>IF(AND(_AC2="B-767-400ER",'2023'!$E$4="CA",'2023'!$E$2=AF43),'2023DATA3'!$C$11,"")</f>
        <v/>
      </c>
      <c r="AG52" s="518" t="str">
        <f>IF(AND(_AC2="B-767-400ER",'2023'!$E$4="CA",'2023'!$E$2=AG43),'2023DATA3'!$D$11,"")</f>
        <v/>
      </c>
      <c r="AH52" s="518" t="str">
        <f>IF(AND(_AC2="B-767-400ER",'2023'!$E$4="CA",'2023'!$E$2=AH43),'2023DATA3'!$E$11,"")</f>
        <v/>
      </c>
      <c r="AI52" s="518" t="str">
        <f>IF(AND(_AC2="B-767-400ER",'2023'!$E$4="CA",'2023'!$E$2=AI43),'2023DATA3'!$F$11,"")</f>
        <v/>
      </c>
      <c r="AJ52" s="518" t="str">
        <f>IF(AND(_AC2="B-767-400ER",'2023'!$E$4="CA",'2023'!$E$2=AJ43),'2023DATA3'!$G$11,"")</f>
        <v/>
      </c>
      <c r="AK52" s="518" t="str">
        <f>IF(AND(_AC2="B-767-400ER",'2023'!$E$4="CA",'2023'!$E$2=AK43),'2023DATA3'!$H$11,"")</f>
        <v/>
      </c>
      <c r="AL52" s="518" t="str">
        <f>IF(AND(_AC2="B-767-400ER",'2023'!$E$4="CA",'2023'!$E$2=AL43),'2023DATA3'!$I$11,"")</f>
        <v/>
      </c>
      <c r="AM52" s="518" t="str">
        <f>IF(AND(_AC2="B-767-400ER",'2023'!$E$4="CA",'2023'!$E$2=AM43),'2023DATA3'!$J$11,"")</f>
        <v/>
      </c>
      <c r="AN52" s="518" t="str">
        <f>IF(AND(_AC2="B-767-400ER",'2023'!$E$4="CA",'2023'!$E$2=AN43),'2023DATA3'!$K$11,"")</f>
        <v/>
      </c>
      <c r="AO52" s="518" t="str">
        <f>IF(AND(_AC2="B-767-400ER",'2023'!$E$4="CA",'2023'!$E$2=AO43),'2023DATA3'!$L$11,"")</f>
        <v/>
      </c>
      <c r="AP52" s="518" t="str">
        <f>IF(AND(_AC2="B-767-400ER",'2023'!$E$4="CA",'2023'!$E$2=AP43),'2023DATA3'!$M$11,"")</f>
        <v/>
      </c>
      <c r="AQ52" s="520" t="str">
        <f>IF(AND(_AC2="B-767-400ER",'2023'!$E$4="CA",'2023'!$E$2=AQ43),'2023DATA3'!$N$11,"")</f>
        <v/>
      </c>
      <c r="AR52" s="940" t="s">
        <v>42</v>
      </c>
      <c r="AS52" s="13" t="s">
        <v>61</v>
      </c>
      <c r="AT52" s="518" t="str">
        <f>IF(AND(_AC3="B-767-400ER",'2023'!$E$4="CA",'2023'!$E$2=AT43),'2023DATA3'!$C$11,"")</f>
        <v/>
      </c>
      <c r="AU52" s="518" t="str">
        <f>IF(AND(_AC3="B-767-400ER",'2023'!$E$4="CA",'2023'!$E$2=AU43),'2023DATA3'!$D$11,"")</f>
        <v/>
      </c>
      <c r="AV52" s="518" t="str">
        <f>IF(AND(_AC3="B-767-400ER",'2023'!$E$4="CA",'2023'!$E$2=AV43),'2023DATA3'!$E$11,"")</f>
        <v/>
      </c>
      <c r="AW52" s="518" t="str">
        <f>IF(AND(_AC3="B-767-400ER",'2023'!$E$4="CA",'2023'!$E$2=AW43),'2023DATA3'!$F$11,"")</f>
        <v/>
      </c>
      <c r="AX52" s="518" t="str">
        <f>IF(AND(_AC3="B-767-400ER",'2023'!$E$4="CA",'2023'!$E$2=AX43),'2023DATA3'!$G$11,"")</f>
        <v/>
      </c>
      <c r="AY52" s="518" t="str">
        <f>IF(AND(_AC3="B-767-400ER",'2023'!$E$4="CA",'2023'!$E$2=AY43),'2023DATA3'!$H$11,"")</f>
        <v/>
      </c>
      <c r="AZ52" s="518" t="str">
        <f>IF(AND(_AC3="B-767-400ER",'2023'!$E$4="CA",'2023'!$E$2=AZ43),'2023DATA3'!$I$11,"")</f>
        <v/>
      </c>
      <c r="BA52" s="518" t="str">
        <f>IF(AND(_AC3="B-767-400ER",'2023'!$E$4="CA",'2023'!$E$2=BA43),'2023DATA3'!$J$11,"")</f>
        <v/>
      </c>
      <c r="BB52" s="518" t="str">
        <f>IF(AND(_AC3="B-767-400ER",'2023'!$E$4="CA",'2023'!$E$2=BB43),'2023DATA3'!$K$11,"")</f>
        <v/>
      </c>
      <c r="BC52" s="518" t="str">
        <f>IF(AND(_AC3="B-767-400ER",'2023'!$E$4="CA",'2023'!$E$2=BC43),'2023DATA3'!$L$11,"")</f>
        <v/>
      </c>
      <c r="BD52" s="518" t="str">
        <f>IF(AND(_AC3="B-767-400ER",'2023'!$E$4="CA",'2023'!$E$2=BD43),'2023DATA3'!$M$11,"")</f>
        <v/>
      </c>
      <c r="BE52" s="520" t="str">
        <f>IF(AND(_AC3="B-767-400ER",'2023'!$E$4="CA",'2023'!$E$2=BE43),'2023DATA3'!$N$11,"")</f>
        <v/>
      </c>
      <c r="BF52" s="940" t="s">
        <v>42</v>
      </c>
      <c r="BG52" s="13" t="s">
        <v>61</v>
      </c>
      <c r="BH52" s="518" t="str">
        <f>IF(AND(_AC4="B-767-400ER",'2023'!$E$4="CA",'2023'!$E$2=BH43),'2023DATA3'!$C$11,"")</f>
        <v/>
      </c>
      <c r="BI52" s="518" t="str">
        <f>IF(AND(_AC4="B-767-400ER",'2023'!$E$4="CA",'2023'!$E$2=BI43),'2023DATA3'!$D$11,"")</f>
        <v/>
      </c>
      <c r="BJ52" s="518" t="str">
        <f>IF(AND(_AC4="B-767-400ER",'2023'!$E$4="CA",'2023'!$E$2=BJ43),'2023DATA3'!$E$11,"")</f>
        <v/>
      </c>
      <c r="BK52" s="518" t="str">
        <f>IF(AND(_AC4="B-767-400ER",'2023'!$E$4="CA",'2023'!$E$2=BK43),'2023DATA3'!$F$11,"")</f>
        <v/>
      </c>
      <c r="BL52" s="518" t="str">
        <f>IF(AND(_AC4="B-767-400ER",'2023'!$E$4="CA",'2023'!$E$2=BL43),'2023DATA3'!$G$11,"")</f>
        <v/>
      </c>
      <c r="BM52" s="518" t="str">
        <f>IF(AND(_AC4="B-767-400ER",'2023'!$E$4="CA",'2023'!$E$2=BM43),'2023DATA3'!$H$11,"")</f>
        <v/>
      </c>
      <c r="BN52" s="518" t="str">
        <f>IF(AND(_AC4="B-767-400ER",'2023'!$E$4="CA",'2023'!$E$2=BN43),'2023DATA3'!$I$11,"")</f>
        <v/>
      </c>
      <c r="BO52" s="518" t="str">
        <f>IF(AND(_AC4="B-767-400ER",'2023'!$E$4="CA",'2023'!$E$2=BO43),'2023DATA3'!$J$11,"")</f>
        <v/>
      </c>
      <c r="BP52" s="518" t="str">
        <f>IF(AND(_AC4="B-767-400ER",'2023'!$E$4="CA",'2023'!$E$2=BP43),'2023DATA3'!$K$11,"")</f>
        <v/>
      </c>
      <c r="BQ52" s="518" t="str">
        <f>IF(AND(_AC4="B-767-400ER",'2023'!$E$4="CA",'2023'!$E$2=BQ43),'2023DATA3'!$L$11,"")</f>
        <v/>
      </c>
      <c r="BR52" s="518" t="str">
        <f>IF(AND(_AC4="B-767-400ER",'2023'!$E$4="CA",'2023'!$E$2=BR43),'2023DATA3'!$M$11,"")</f>
        <v/>
      </c>
      <c r="BS52" s="520" t="str">
        <f>IF(AND(_AC4="B-767-400ER",'2023'!$E$4="CA",'2023'!$E$2=BS43),'2023DATA3'!$N$11,"")</f>
        <v/>
      </c>
      <c r="BT52" s="940" t="s">
        <v>42</v>
      </c>
      <c r="BU52" s="13" t="s">
        <v>61</v>
      </c>
      <c r="BV52" s="518" t="str">
        <f>IF(AND(_AC5="B-767-400ER",'2023'!$E$4="CA",'2023'!$E$2=BV43),'2023DATA3'!$C$11,"")</f>
        <v/>
      </c>
      <c r="BW52" s="518" t="str">
        <f>IF(AND(_AC5="B-767-400ER",'2023'!$E$4="CA",'2023'!$E$2=BW43),'2023DATA3'!$D$11,"")</f>
        <v/>
      </c>
      <c r="BX52" s="518" t="str">
        <f>IF(AND(_AC5="B-767-400ER",'2023'!$E$4="CA",'2023'!$E$2=BX43),'2023DATA3'!$E$11,"")</f>
        <v/>
      </c>
      <c r="BY52" s="518" t="str">
        <f>IF(AND(_AC5="B-767-400ER",'2023'!$E$4="CA",'2023'!$E$2=BY43),'2023DATA3'!$F$11,"")</f>
        <v/>
      </c>
      <c r="BZ52" s="518" t="str">
        <f>IF(AND(_AC5="B-767-400ER",'2023'!$E$4="CA",'2023'!$E$2=BZ43),'2023DATA3'!$G$11,"")</f>
        <v/>
      </c>
      <c r="CA52" s="518" t="str">
        <f>IF(AND(_AC5="B-767-400ER",'2023'!$E$4="CA",'2023'!$E$2=CA43),'2023DATA3'!$H$11,"")</f>
        <v/>
      </c>
      <c r="CB52" s="518" t="str">
        <f>IF(AND(_AC5="B-767-400ER",'2023'!$E$4="CA",'2023'!$E$2=CB43),'2023DATA3'!$I$11,"")</f>
        <v/>
      </c>
      <c r="CC52" s="518" t="str">
        <f>IF(AND(_AC5="B-767-400ER",'2023'!$E$4="CA",'2023'!$E$2=CC43),'2023DATA3'!$J$11,"")</f>
        <v/>
      </c>
      <c r="CD52" s="518" t="str">
        <f>IF(AND(_AC5="B-767-400ER",'2023'!$E$4="CA",'2023'!$E$2=CD43),'2023DATA3'!$K$11,"")</f>
        <v/>
      </c>
      <c r="CE52" s="518" t="str">
        <f>IF(AND(_AC5="B-767-400ER",'2023'!$E$4="CA",'2023'!$E$2=CE43),'2023DATA3'!$L$11,"")</f>
        <v/>
      </c>
      <c r="CF52" s="518" t="str">
        <f>IF(AND(_AC5="B-767-400ER",'2023'!$E$4="CA",'2023'!$E$2=CF43),'2023DATA3'!$M$11,"")</f>
        <v/>
      </c>
      <c r="CG52" s="520" t="str">
        <f>IF(AND(_AC5="B-767-400ER",'2023'!$E$4="CA",'2023'!$E$2=CG43),'2023DATA3'!$N$11,"")</f>
        <v/>
      </c>
      <c r="CH52" s="940" t="s">
        <v>42</v>
      </c>
      <c r="CI52" s="13" t="s">
        <v>61</v>
      </c>
      <c r="CJ52" s="518" t="str">
        <f>IF(AND(_AC6="B-767-400ER",'2023'!$E$4="CA",'2023'!$E$2=CJ43),'2023DATA3'!$C$11,"")</f>
        <v/>
      </c>
      <c r="CK52" s="518" t="str">
        <f>IF(AND(_AC6="B-767-400ER",'2023'!$E$4="CA",'2023'!$E$2=CK43),'2023DATA3'!$D$11,"")</f>
        <v/>
      </c>
      <c r="CL52" s="518" t="str">
        <f>IF(AND(_AC6="B-767-400ER",'2023'!$E$4="CA",'2023'!$E$2=CL43),'2023DATA3'!$E$11,"")</f>
        <v/>
      </c>
      <c r="CM52" s="518" t="str">
        <f>IF(AND(_AC6="B-767-400ER",'2023'!$E$4="CA",'2023'!$E$2=CM43),'2023DATA3'!$F$11,"")</f>
        <v/>
      </c>
      <c r="CN52" s="518" t="str">
        <f>IF(AND(_AC6="B-767-400ER",'2023'!$E$4="CA",'2023'!$E$2=CN43),'2023DATA3'!$G$11,"")</f>
        <v/>
      </c>
      <c r="CO52" s="518" t="str">
        <f>IF(AND(_AC6="B-767-400ER",'2023'!$E$4="CA",'2023'!$E$2=CO43),'2023DATA3'!$H$11,"")</f>
        <v/>
      </c>
      <c r="CP52" s="518" t="str">
        <f>IF(AND(_AC6="B-767-400ER",'2023'!$E$4="CA",'2023'!$E$2=CP43),'2023DATA3'!$I$11,"")</f>
        <v/>
      </c>
      <c r="CQ52" s="518" t="str">
        <f>IF(AND(_AC6="B-767-400ER",'2023'!$E$4="CA",'2023'!$E$2=CQ43),'2023DATA3'!$J$11,"")</f>
        <v/>
      </c>
      <c r="CR52" s="518" t="str">
        <f>IF(AND(_AC6="B-767-400ER",'2023'!$E$4="CA",'2023'!$E$2=CR43),'2023DATA3'!$K$11,"")</f>
        <v/>
      </c>
      <c r="CS52" s="518" t="str">
        <f>IF(AND(_AC6="B-767-400ER",'2023'!$E$4="CA",'2023'!$E$2=CS43),'2023DATA3'!$L$11,"")</f>
        <v/>
      </c>
      <c r="CT52" s="518" t="str">
        <f>IF(AND(_AC6="B-767-400ER",'2023'!$E$4="CA",'2023'!$E$2=CT43),'2023DATA3'!$M$11,"")</f>
        <v/>
      </c>
      <c r="CU52" s="520" t="str">
        <f>IF(AND(_AC6="B-767-400ER",'2023'!$E$4="CA",'2023'!$E$2=CU43),'2023DATA3'!$N$11,"")</f>
        <v/>
      </c>
    </row>
    <row r="53" spans="16:99" x14ac:dyDescent="0.25">
      <c r="P53" s="940"/>
      <c r="Q53" s="13" t="s">
        <v>62</v>
      </c>
      <c r="R53" s="518" t="str">
        <f>IF(AND(_AC1="B-767-400ER",'2023'!$E$4="FO",'2023'!$E$2=R43),'2023DATA3'!$C$12,"")</f>
        <v/>
      </c>
      <c r="S53" s="518" t="str">
        <f>IF(AND(_AC1="B-767-400ER",'2023'!$E$4="FO",'2023'!$E$2=S43),'2023DATA3'!$D$12,"")</f>
        <v/>
      </c>
      <c r="T53" s="518" t="str">
        <f>IF(AND(_AC1="B-767-400ER",'2023'!$E$4="FO",'2023'!$E$2=T43),'2023DATA3'!$E$12,"")</f>
        <v/>
      </c>
      <c r="U53" s="518" t="str">
        <f>IF(AND(_AC1="B-767-400ER",'2023'!$E$4="FO",'2023'!$E$2=U43),'2023DATA3'!$F$12,"")</f>
        <v/>
      </c>
      <c r="V53" s="518" t="str">
        <f>IF(AND(_AC1="B-767-400ER",'2023'!$E$4="FO",'2023'!$E$2=V43),'2023DATA3'!$G$12,"")</f>
        <v/>
      </c>
      <c r="W53" s="518" t="str">
        <f>IF(AND(_AC1="B-767-400ER",'2023'!$E$4="FO",'2023'!$E$2=W43),'2023DATA3'!$H$12,"")</f>
        <v/>
      </c>
      <c r="X53" s="518" t="str">
        <f>IF(AND(_AC1="B-767-400ER",'2023'!$E$4="FO",'2023'!$E$2=X43),'2023DATA3'!$I$12,"")</f>
        <v/>
      </c>
      <c r="Y53" s="518" t="str">
        <f>IF(AND(_AC1="B-767-400ER",'2023'!$E$4="FO",'2023'!$E$2=Y43),'2023DATA3'!$J$12,"")</f>
        <v/>
      </c>
      <c r="Z53" s="518" t="str">
        <f>IF(AND(_AC1="B-767-400ER",'2023'!$E$4="FO",'2023'!$E$2=Z43),'2023DATA3'!$K$12,"")</f>
        <v/>
      </c>
      <c r="AA53" s="518" t="str">
        <f>IF(AND(_AC1="B-767-400ER",'2023'!$E$4="FO",'2023'!$E$2=AA43),'2023DATA3'!$L$12,"")</f>
        <v/>
      </c>
      <c r="AB53" s="518" t="str">
        <f>IF(AND(_AC1="B-767-400ER",'2023'!$E$4="FO",'2023'!$E$2=AB43),'2023DATA3'!$M$12,"")</f>
        <v/>
      </c>
      <c r="AC53" s="520" t="str">
        <f>IF(AND(_AC1="B-767-400ER",'2023'!$E$4="FO",'2023'!$E$2=AC43),'2023DATA3'!$N$12,"")</f>
        <v/>
      </c>
      <c r="AD53" s="940"/>
      <c r="AE53" s="13" t="s">
        <v>62</v>
      </c>
      <c r="AF53" s="518" t="str">
        <f>IF(AND(_AC2="B-767-400ER",'2023'!$E$4="FO",'2023'!$E$2=AF43),'2023DATA3'!$C$12,"")</f>
        <v/>
      </c>
      <c r="AG53" s="518" t="str">
        <f>IF(AND(_AC2="B-767-400ER",'2023'!$E$4="FO",'2023'!$E$2=AG43),'2023DATA3'!$D$12,"")</f>
        <v/>
      </c>
      <c r="AH53" s="518" t="str">
        <f>IF(AND(_AC2="B-767-400ER",'2023'!$E$4="FO",'2023'!$E$2=AH43),'2023DATA3'!$E$12,"")</f>
        <v/>
      </c>
      <c r="AI53" s="518" t="str">
        <f>IF(AND(_AC2="B-767-400ER",'2023'!$E$4="FO",'2023'!$E$2=AI43),'2023DATA3'!$F$12,"")</f>
        <v/>
      </c>
      <c r="AJ53" s="518" t="str">
        <f>IF(AND(_AC2="B-767-400ER",'2023'!$E$4="FO",'2023'!$E$2=AJ43),'2023DATA3'!$G$12,"")</f>
        <v/>
      </c>
      <c r="AK53" s="518" t="str">
        <f>IF(AND(_AC2="B-767-400ER",'2023'!$E$4="FO",'2023'!$E$2=AK43),'2023DATA3'!$H$12,"")</f>
        <v/>
      </c>
      <c r="AL53" s="518" t="str">
        <f>IF(AND(_AC2="B-767-400ER",'2023'!$E$4="FO",'2023'!$E$2=AL43),'2023DATA3'!$I$12,"")</f>
        <v/>
      </c>
      <c r="AM53" s="518" t="str">
        <f>IF(AND(_AC2="B-767-400ER",'2023'!$E$4="FO",'2023'!$E$2=AM43),'2023DATA3'!$J$12,"")</f>
        <v/>
      </c>
      <c r="AN53" s="518" t="str">
        <f>IF(AND(_AC2="B-767-400ER",'2023'!$E$4="FO",'2023'!$E$2=AN43),'2023DATA3'!$K$12,"")</f>
        <v/>
      </c>
      <c r="AO53" s="518" t="str">
        <f>IF(AND(_AC2="B-767-400ER",'2023'!$E$4="FO",'2023'!$E$2=AO43),'2023DATA3'!$L$12,"")</f>
        <v/>
      </c>
      <c r="AP53" s="518" t="str">
        <f>IF(AND(_AC2="B-767-400ER",'2023'!$E$4="FO",'2023'!$E$2=AP43),'2023DATA3'!$M$12,"")</f>
        <v/>
      </c>
      <c r="AQ53" s="520" t="str">
        <f>IF(AND(_AC2="B-767-400ER",'2023'!$E$4="FO",'2023'!$E$2=AQ43),'2023DATA3'!$N$12,"")</f>
        <v/>
      </c>
      <c r="AR53" s="940"/>
      <c r="AS53" s="13" t="s">
        <v>62</v>
      </c>
      <c r="AT53" s="518" t="str">
        <f>IF(AND(_AC3="B-767-400ER",'2023'!$E$4="FO",'2023'!$E$2=AT43),'2023DATA3'!$C$12,"")</f>
        <v/>
      </c>
      <c r="AU53" s="518" t="str">
        <f>IF(AND(_AC3="B-767-400ER",'2023'!$E$4="FO",'2023'!$E$2=AU43),'2023DATA3'!$D$12,"")</f>
        <v/>
      </c>
      <c r="AV53" s="518" t="str">
        <f>IF(AND(_AC3="B-767-400ER",'2023'!$E$4="FO",'2023'!$E$2=AV43),'2023DATA3'!$E$12,"")</f>
        <v/>
      </c>
      <c r="AW53" s="518" t="str">
        <f>IF(AND(_AC3="B-767-400ER",'2023'!$E$4="FO",'2023'!$E$2=AW43),'2023DATA3'!$F$12,"")</f>
        <v/>
      </c>
      <c r="AX53" s="518" t="str">
        <f>IF(AND(_AC3="B-767-400ER",'2023'!$E$4="FO",'2023'!$E$2=AX43),'2023DATA3'!$G$12,"")</f>
        <v/>
      </c>
      <c r="AY53" s="518" t="str">
        <f>IF(AND(_AC3="B-767-400ER",'2023'!$E$4="FO",'2023'!$E$2=AY43),'2023DATA3'!$H$12,"")</f>
        <v/>
      </c>
      <c r="AZ53" s="518" t="str">
        <f>IF(AND(_AC3="B-767-400ER",'2023'!$E$4="FO",'2023'!$E$2=AZ43),'2023DATA3'!$I$12,"")</f>
        <v/>
      </c>
      <c r="BA53" s="518" t="str">
        <f>IF(AND(_AC3="B-767-400ER",'2023'!$E$4="FO",'2023'!$E$2=BA43),'2023DATA3'!$J$12,"")</f>
        <v/>
      </c>
      <c r="BB53" s="518" t="str">
        <f>IF(AND(_AC3="B-767-400ER",'2023'!$E$4="FO",'2023'!$E$2=BB43),'2023DATA3'!$K$12,"")</f>
        <v/>
      </c>
      <c r="BC53" s="518" t="str">
        <f>IF(AND(_AC3="B-767-400ER",'2023'!$E$4="FO",'2023'!$E$2=BC43),'2023DATA3'!$L$12,"")</f>
        <v/>
      </c>
      <c r="BD53" s="518" t="str">
        <f>IF(AND(_AC3="B-767-400ER",'2023'!$E$4="FO",'2023'!$E$2=BD43),'2023DATA3'!$M$12,"")</f>
        <v/>
      </c>
      <c r="BE53" s="520" t="str">
        <f>IF(AND(_AC3="B-767-400ER",'2023'!$E$4="FO",'2023'!$E$2=BE43),'2023DATA3'!$N$12,"")</f>
        <v/>
      </c>
      <c r="BF53" s="940"/>
      <c r="BG53" s="13" t="s">
        <v>62</v>
      </c>
      <c r="BH53" s="518" t="str">
        <f>IF(AND(_AC4="B-767-400ER",'2023'!$E$4="FO",'2023'!$E$2=BH43),'2023DATA3'!$C$12,"")</f>
        <v/>
      </c>
      <c r="BI53" s="518" t="str">
        <f>IF(AND(_AC4="B-767-400ER",'2023'!$E$4="FO",'2023'!$E$2=BI43),'2023DATA3'!$D$12,"")</f>
        <v/>
      </c>
      <c r="BJ53" s="518" t="str">
        <f>IF(AND(_AC4="B-767-400ER",'2023'!$E$4="FO",'2023'!$E$2=BJ43),'2023DATA3'!$E$12,"")</f>
        <v/>
      </c>
      <c r="BK53" s="518" t="str">
        <f>IF(AND(_AC4="B-767-400ER",'2023'!$E$4="FO",'2023'!$E$2=BK43),'2023DATA3'!$F$12,"")</f>
        <v/>
      </c>
      <c r="BL53" s="518" t="str">
        <f>IF(AND(_AC4="B-767-400ER",'2023'!$E$4="FO",'2023'!$E$2=BL43),'2023DATA3'!$G$12,"")</f>
        <v/>
      </c>
      <c r="BM53" s="518" t="str">
        <f>IF(AND(_AC4="B-767-400ER",'2023'!$E$4="FO",'2023'!$E$2=BM43),'2023DATA3'!$H$12,"")</f>
        <v/>
      </c>
      <c r="BN53" s="518" t="str">
        <f>IF(AND(_AC4="B-767-400ER",'2023'!$E$4="FO",'2023'!$E$2=BN43),'2023DATA3'!$I$12,"")</f>
        <v/>
      </c>
      <c r="BO53" s="518" t="str">
        <f>IF(AND(_AC4="B-767-400ER",'2023'!$E$4="FO",'2023'!$E$2=BO43),'2023DATA3'!$J$12,"")</f>
        <v/>
      </c>
      <c r="BP53" s="518" t="str">
        <f>IF(AND(_AC4="B-767-400ER",'2023'!$E$4="FO",'2023'!$E$2=BP43),'2023DATA3'!$K$12,"")</f>
        <v/>
      </c>
      <c r="BQ53" s="518" t="str">
        <f>IF(AND(_AC4="B-767-400ER",'2023'!$E$4="FO",'2023'!$E$2=BQ43),'2023DATA3'!$L$12,"")</f>
        <v/>
      </c>
      <c r="BR53" s="518" t="str">
        <f>IF(AND(_AC4="B-767-400ER",'2023'!$E$4="FO",'2023'!$E$2=BR43),'2023DATA3'!$M$12,"")</f>
        <v/>
      </c>
      <c r="BS53" s="520" t="str">
        <f>IF(AND(_AC4="B-767-400ER",'2023'!$E$4="FO",'2023'!$E$2=BS43),'2023DATA3'!$N$12,"")</f>
        <v/>
      </c>
      <c r="BT53" s="940"/>
      <c r="BU53" s="13" t="s">
        <v>62</v>
      </c>
      <c r="BV53" s="518" t="str">
        <f>IF(AND(_AC5="B-767-400ER",'2023'!$E$4="FO",'2023'!$E$2=BV43),'2023DATA3'!$C$12,"")</f>
        <v/>
      </c>
      <c r="BW53" s="518" t="str">
        <f>IF(AND(_AC5="B-767-400ER",'2023'!$E$4="FO",'2023'!$E$2=BW43),'2023DATA3'!$D$12,"")</f>
        <v/>
      </c>
      <c r="BX53" s="518" t="str">
        <f>IF(AND(_AC5="B-767-400ER",'2023'!$E$4="FO",'2023'!$E$2=BX43),'2023DATA3'!$E$12,"")</f>
        <v/>
      </c>
      <c r="BY53" s="518" t="str">
        <f>IF(AND(_AC5="B-767-400ER",'2023'!$E$4="FO",'2023'!$E$2=BY43),'2023DATA3'!$F$12,"")</f>
        <v/>
      </c>
      <c r="BZ53" s="518" t="str">
        <f>IF(AND(_AC5="B-767-400ER",'2023'!$E$4="FO",'2023'!$E$2=BZ43),'2023DATA3'!$G$12,"")</f>
        <v/>
      </c>
      <c r="CA53" s="518" t="str">
        <f>IF(AND(_AC5="B-767-400ER",'2023'!$E$4="FO",'2023'!$E$2=CA43),'2023DATA3'!$H$12,"")</f>
        <v/>
      </c>
      <c r="CB53" s="518" t="str">
        <f>IF(AND(_AC5="B-767-400ER",'2023'!$E$4="FO",'2023'!$E$2=CB43),'2023DATA3'!$I$12,"")</f>
        <v/>
      </c>
      <c r="CC53" s="518" t="str">
        <f>IF(AND(_AC5="B-767-400ER",'2023'!$E$4="FO",'2023'!$E$2=CC43),'2023DATA3'!$J$12,"")</f>
        <v/>
      </c>
      <c r="CD53" s="518" t="str">
        <f>IF(AND(_AC5="B-767-400ER",'2023'!$E$4="FO",'2023'!$E$2=CD43),'2023DATA3'!$K$12,"")</f>
        <v/>
      </c>
      <c r="CE53" s="518" t="str">
        <f>IF(AND(_AC5="B-767-400ER",'2023'!$E$4="FO",'2023'!$E$2=CE43),'2023DATA3'!$L$12,"")</f>
        <v/>
      </c>
      <c r="CF53" s="518" t="str">
        <f>IF(AND(_AC5="B-767-400ER",'2023'!$E$4="FO",'2023'!$E$2=CF43),'2023DATA3'!$M$12,"")</f>
        <v/>
      </c>
      <c r="CG53" s="520" t="str">
        <f>IF(AND(_AC5="B-767-400ER",'2023'!$E$4="FO",'2023'!$E$2=CG43),'2023DATA3'!$N$12,"")</f>
        <v/>
      </c>
      <c r="CH53" s="940"/>
      <c r="CI53" s="13" t="s">
        <v>62</v>
      </c>
      <c r="CJ53" s="518" t="str">
        <f>IF(AND(_AC6="B-767-400ER",'2023'!$E$4="FO",'2023'!$E$2=CJ43),'2023DATA3'!$C$12,"")</f>
        <v/>
      </c>
      <c r="CK53" s="518" t="str">
        <f>IF(AND(_AC6="B-767-400ER",'2023'!$E$4="FO",'2023'!$E$2=CK43),'2023DATA3'!$D$12,"")</f>
        <v/>
      </c>
      <c r="CL53" s="518" t="str">
        <f>IF(AND(_AC6="B-767-400ER",'2023'!$E$4="FO",'2023'!$E$2=CL43),'2023DATA3'!$E$12,"")</f>
        <v/>
      </c>
      <c r="CM53" s="518" t="str">
        <f>IF(AND(_AC6="B-767-400ER",'2023'!$E$4="FO",'2023'!$E$2=CM43),'2023DATA3'!$F$12,"")</f>
        <v/>
      </c>
      <c r="CN53" s="518" t="str">
        <f>IF(AND(_AC6="B-767-400ER",'2023'!$E$4="FO",'2023'!$E$2=CN43),'2023DATA3'!$G$12,"")</f>
        <v/>
      </c>
      <c r="CO53" s="518" t="str">
        <f>IF(AND(_AC6="B-767-400ER",'2023'!$E$4="FO",'2023'!$E$2=CO43),'2023DATA3'!$H$12,"")</f>
        <v/>
      </c>
      <c r="CP53" s="518" t="str">
        <f>IF(AND(_AC6="B-767-400ER",'2023'!$E$4="FO",'2023'!$E$2=CP43),'2023DATA3'!$I$12,"")</f>
        <v/>
      </c>
      <c r="CQ53" s="518" t="str">
        <f>IF(AND(_AC6="B-767-400ER",'2023'!$E$4="FO",'2023'!$E$2=CQ43),'2023DATA3'!$J$12,"")</f>
        <v/>
      </c>
      <c r="CR53" s="518" t="str">
        <f>IF(AND(_AC6="B-767-400ER",'2023'!$E$4="FO",'2023'!$E$2=CR43),'2023DATA3'!$K$12,"")</f>
        <v/>
      </c>
      <c r="CS53" s="518" t="str">
        <f>IF(AND(_AC6="B-767-400ER",'2023'!$E$4="FO",'2023'!$E$2=CS43),'2023DATA3'!$L$12,"")</f>
        <v/>
      </c>
      <c r="CT53" s="518" t="str">
        <f>IF(AND(_AC6="B-767-400ER",'2023'!$E$4="FO",'2023'!$E$2=CT43),'2023DATA3'!$M$12,"")</f>
        <v/>
      </c>
      <c r="CU53" s="520" t="str">
        <f>IF(AND(_AC6="B-767-400ER",'2023'!$E$4="FO",'2023'!$E$2=CU43),'2023DATA3'!$N$12,"")</f>
        <v/>
      </c>
    </row>
    <row r="54" spans="16:99" x14ac:dyDescent="0.25">
      <c r="P54" s="940" t="s">
        <v>43</v>
      </c>
      <c r="Q54" s="13" t="s">
        <v>61</v>
      </c>
      <c r="R54" s="518" t="str">
        <f>IF(AND(_AC1="B-767-300ER",'2023'!$E$4="CA",'2023'!$E$2=R43),'2023DATA3'!$C$13,"")</f>
        <v/>
      </c>
      <c r="S54" s="518" t="str">
        <f>IF(AND(_AC1="B-767-300ER",'2023'!$E$4="CA",'2023'!$E$2=S43),'2023DATA3'!$D$13,"")</f>
        <v/>
      </c>
      <c r="T54" s="518" t="str">
        <f>IF(AND(_AC1="B-767-300ER",'2023'!$E$4="CA",'2023'!$E$2=T43),'2023DATA3'!$E$13,"")</f>
        <v/>
      </c>
      <c r="U54" s="518" t="str">
        <f>IF(AND(_AC1="B-767-300ER",'2023'!$E$4="CA",'2023'!$E$2=U43),'2023DATA3'!$F$13,"")</f>
        <v/>
      </c>
      <c r="V54" s="518" t="str">
        <f>IF(AND(_AC1="B-767-300ER",'2023'!$E$4="CA",'2023'!$E$2=V43),'2023DATA3'!$G$13,"")</f>
        <v/>
      </c>
      <c r="W54" s="518" t="str">
        <f>IF(AND(_AC1="B-767-300ER",'2023'!$E$4="CA",'2023'!$E$2=W43),'2023DATA3'!$H$13,"")</f>
        <v/>
      </c>
      <c r="X54" s="518" t="str">
        <f>IF(AND(_AC1="B-767-300ER",'2023'!$E$4="CA",'2023'!$E$2=X43),'2023DATA3'!$I$13,"")</f>
        <v/>
      </c>
      <c r="Y54" s="518" t="str">
        <f>IF(AND(_AC1="B-767-300ER",'2023'!$E$4="CA",'2023'!$E$2=Y43),'2023DATA3'!$J$13,"")</f>
        <v/>
      </c>
      <c r="Z54" s="518" t="str">
        <f>IF(AND(_AC1="B-767-300ER",'2023'!$E$4="CA",'2023'!$E$2=Z43),'2023DATA3'!$K$13,"")</f>
        <v/>
      </c>
      <c r="AA54" s="518" t="str">
        <f>IF(AND(_AC1="B-767-300ER",'2023'!$E$4="CA",'2023'!$E$2=AA43),'2023DATA3'!$L$13,"")</f>
        <v/>
      </c>
      <c r="AB54" s="518" t="str">
        <f>IF(AND(_AC1="B-767-300ER",'2023'!$E$4="CA",'2023'!$E$2=AB43),'2023DATA3'!$M$13,"")</f>
        <v/>
      </c>
      <c r="AC54" s="520" t="str">
        <f>IF(AND(_AC1="B-767-300ER",'2023'!$E$4="CA",'2023'!$E$2=AC43),'2023DATA3'!$N$13,"")</f>
        <v/>
      </c>
      <c r="AD54" s="940" t="s">
        <v>43</v>
      </c>
      <c r="AE54" s="13" t="s">
        <v>61</v>
      </c>
      <c r="AF54" s="518" t="str">
        <f>IF(AND(_AC2="B-767-300ER",'2023'!$E$4="CA",'2023'!$E$2=AF43),'2023DATA3'!$C$13,"")</f>
        <v/>
      </c>
      <c r="AG54" s="518" t="str">
        <f>IF(AND(_AC2="B-767-300ER",'2023'!$E$4="CA",'2023'!$E$2=AG43),'2023DATA3'!$D$13,"")</f>
        <v/>
      </c>
      <c r="AH54" s="518" t="str">
        <f>IF(AND(_AC2="B-767-300ER",'2023'!$E$4="CA",'2023'!$E$2=AH43),'2023DATA3'!$E$13,"")</f>
        <v/>
      </c>
      <c r="AI54" s="518" t="str">
        <f>IF(AND(_AC2="B-767-300ER",'2023'!$E$4="CA",'2023'!$E$2=AI43),'2023DATA3'!$F$13,"")</f>
        <v/>
      </c>
      <c r="AJ54" s="518" t="str">
        <f>IF(AND(_AC2="B-767-300ER",'2023'!$E$4="CA",'2023'!$E$2=AJ43),'2023DATA3'!$G$13,"")</f>
        <v/>
      </c>
      <c r="AK54" s="518" t="str">
        <f>IF(AND(_AC2="B-767-300ER",'2023'!$E$4="CA",'2023'!$E$2=AK43),'2023DATA3'!$H$13,"")</f>
        <v/>
      </c>
      <c r="AL54" s="518" t="str">
        <f>IF(AND(_AC2="B-767-300ER",'2023'!$E$4="CA",'2023'!$E$2=AL43),'2023DATA3'!$I$13,"")</f>
        <v/>
      </c>
      <c r="AM54" s="518" t="str">
        <f>IF(AND(_AC2="B-767-300ER",'2023'!$E$4="CA",'2023'!$E$2=AM43),'2023DATA3'!$J$13,"")</f>
        <v/>
      </c>
      <c r="AN54" s="518" t="str">
        <f>IF(AND(_AC2="B-767-300ER",'2023'!$E$4="CA",'2023'!$E$2=AN43),'2023DATA3'!$K$13,"")</f>
        <v/>
      </c>
      <c r="AO54" s="518" t="str">
        <f>IF(AND(_AC2="B-767-300ER",'2023'!$E$4="CA",'2023'!$E$2=AO43),'2023DATA3'!$L$13,"")</f>
        <v/>
      </c>
      <c r="AP54" s="518" t="str">
        <f>IF(AND(_AC2="B-767-300ER",'2023'!$E$4="CA",'2023'!$E$2=AP43),'2023DATA3'!$M$13,"")</f>
        <v/>
      </c>
      <c r="AQ54" s="520" t="str">
        <f>IF(AND(_AC2="B-767-300ER",'2023'!$E$4="CA",'2023'!$E$2=AQ43),'2023DATA3'!$N$13,"")</f>
        <v/>
      </c>
      <c r="AR54" s="940" t="s">
        <v>43</v>
      </c>
      <c r="AS54" s="13" t="s">
        <v>61</v>
      </c>
      <c r="AT54" s="518" t="str">
        <f>IF(AND(_AC3="B-767-300ER",'2023'!$E$4="CA",'2023'!$E$2=AT43),'2023DATA3'!$C$13,"")</f>
        <v/>
      </c>
      <c r="AU54" s="518" t="str">
        <f>IF(AND(_AC3="B-767-300ER",'2023'!$E$4="CA",'2023'!$E$2=AU43),'2023DATA3'!$D$13,"")</f>
        <v/>
      </c>
      <c r="AV54" s="518" t="str">
        <f>IF(AND(_AC3="B-767-300ER",'2023'!$E$4="CA",'2023'!$E$2=AV43),'2023DATA3'!$E$13,"")</f>
        <v/>
      </c>
      <c r="AW54" s="518" t="str">
        <f>IF(AND(_AC3="B-767-300ER",'2023'!$E$4="CA",'2023'!$E$2=AW43),'2023DATA3'!$F$13,"")</f>
        <v/>
      </c>
      <c r="AX54" s="518" t="str">
        <f>IF(AND(_AC3="B-767-300ER",'2023'!$E$4="CA",'2023'!$E$2=AX43),'2023DATA3'!$G$13,"")</f>
        <v/>
      </c>
      <c r="AY54" s="518" t="str">
        <f>IF(AND(_AC3="B-767-300ER",'2023'!$E$4="CA",'2023'!$E$2=AY43),'2023DATA3'!$H$13,"")</f>
        <v/>
      </c>
      <c r="AZ54" s="518" t="str">
        <f>IF(AND(_AC3="B-767-300ER",'2023'!$E$4="CA",'2023'!$E$2=AZ43),'2023DATA3'!$I$13,"")</f>
        <v/>
      </c>
      <c r="BA54" s="518" t="str">
        <f>IF(AND(_AC3="B-767-300ER",'2023'!$E$4="CA",'2023'!$E$2=BA43),'2023DATA3'!$J$13,"")</f>
        <v/>
      </c>
      <c r="BB54" s="518" t="str">
        <f>IF(AND(_AC3="B-767-300ER",'2023'!$E$4="CA",'2023'!$E$2=BB43),'2023DATA3'!$K$13,"")</f>
        <v/>
      </c>
      <c r="BC54" s="518" t="str">
        <f>IF(AND(_AC3="B-767-300ER",'2023'!$E$4="CA",'2023'!$E$2=BC43),'2023DATA3'!$L$13,"")</f>
        <v/>
      </c>
      <c r="BD54" s="518" t="str">
        <f>IF(AND(_AC3="B-767-300ER",'2023'!$E$4="CA",'2023'!$E$2=BD43),'2023DATA3'!$M$13,"")</f>
        <v/>
      </c>
      <c r="BE54" s="520" t="str">
        <f>IF(AND(_AC3="B-767-300ER",'2023'!$E$4="CA",'2023'!$E$2=BE43),'2023DATA3'!$N$13,"")</f>
        <v/>
      </c>
      <c r="BF54" s="940" t="s">
        <v>43</v>
      </c>
      <c r="BG54" s="13" t="s">
        <v>61</v>
      </c>
      <c r="BH54" s="518" t="str">
        <f>IF(AND(_AC4="B-767-300ER",'2023'!$E$4="CA",'2023'!$E$2=BH43),'2023DATA3'!$C$13,"")</f>
        <v/>
      </c>
      <c r="BI54" s="518" t="str">
        <f>IF(AND(_AC4="B-767-300ER",'2023'!$E$4="CA",'2023'!$E$2=BI43),'2023DATA3'!$D$13,"")</f>
        <v/>
      </c>
      <c r="BJ54" s="518" t="str">
        <f>IF(AND(_AC4="B-767-300ER",'2023'!$E$4="CA",'2023'!$E$2=BJ43),'2023DATA3'!$E$13,"")</f>
        <v/>
      </c>
      <c r="BK54" s="518" t="str">
        <f>IF(AND(_AC4="B-767-300ER",'2023'!$E$4="CA",'2023'!$E$2=BK43),'2023DATA3'!$F$13,"")</f>
        <v/>
      </c>
      <c r="BL54" s="518" t="str">
        <f>IF(AND(_AC4="B-767-300ER",'2023'!$E$4="CA",'2023'!$E$2=BL43),'2023DATA3'!$G$13,"")</f>
        <v/>
      </c>
      <c r="BM54" s="518" t="str">
        <f>IF(AND(_AC4="B-767-300ER",'2023'!$E$4="CA",'2023'!$E$2=BM43),'2023DATA3'!$H$13,"")</f>
        <v/>
      </c>
      <c r="BN54" s="518" t="str">
        <f>IF(AND(_AC4="B-767-300ER",'2023'!$E$4="CA",'2023'!$E$2=BN43),'2023DATA3'!$I$13,"")</f>
        <v/>
      </c>
      <c r="BO54" s="518" t="str">
        <f>IF(AND(_AC4="B-767-300ER",'2023'!$E$4="CA",'2023'!$E$2=BO43),'2023DATA3'!$J$13,"")</f>
        <v/>
      </c>
      <c r="BP54" s="518" t="str">
        <f>IF(AND(_AC4="B-767-300ER",'2023'!$E$4="CA",'2023'!$E$2=BP43),'2023DATA3'!$K$13,"")</f>
        <v/>
      </c>
      <c r="BQ54" s="518" t="str">
        <f>IF(AND(_AC4="B-767-300ER",'2023'!$E$4="CA",'2023'!$E$2=BQ43),'2023DATA3'!$L$13,"")</f>
        <v/>
      </c>
      <c r="BR54" s="518" t="str">
        <f>IF(AND(_AC4="B-767-300ER",'2023'!$E$4="CA",'2023'!$E$2=BR43),'2023DATA3'!$M$13,"")</f>
        <v/>
      </c>
      <c r="BS54" s="520" t="str">
        <f>IF(AND(_AC4="B-767-300ER",'2023'!$E$4="CA",'2023'!$E$2=BS43),'2023DATA3'!$N$13,"")</f>
        <v/>
      </c>
      <c r="BT54" s="940" t="s">
        <v>43</v>
      </c>
      <c r="BU54" s="13" t="s">
        <v>61</v>
      </c>
      <c r="BV54" s="518" t="str">
        <f>IF(AND(_AC5="B-767-300ER",'2023'!$E$4="CA",'2023'!$E$2=BV43),'2023DATA3'!$C$13,"")</f>
        <v/>
      </c>
      <c r="BW54" s="518" t="str">
        <f>IF(AND(_AC5="B-767-300ER",'2023'!$E$4="CA",'2023'!$E$2=BW43),'2023DATA3'!$D$13,"")</f>
        <v/>
      </c>
      <c r="BX54" s="518" t="str">
        <f>IF(AND(_AC5="B-767-300ER",'2023'!$E$4="CA",'2023'!$E$2=BX43),'2023DATA3'!$E$13,"")</f>
        <v/>
      </c>
      <c r="BY54" s="518" t="str">
        <f>IF(AND(_AC5="B-767-300ER",'2023'!$E$4="CA",'2023'!$E$2=BY43),'2023DATA3'!$F$13,"")</f>
        <v/>
      </c>
      <c r="BZ54" s="518" t="str">
        <f>IF(AND(_AC5="B-767-300ER",'2023'!$E$4="CA",'2023'!$E$2=BZ43),'2023DATA3'!$G$13,"")</f>
        <v/>
      </c>
      <c r="CA54" s="518" t="str">
        <f>IF(AND(_AC5="B-767-300ER",'2023'!$E$4="CA",'2023'!$E$2=CA43),'2023DATA3'!$H$13,"")</f>
        <v/>
      </c>
      <c r="CB54" s="518" t="str">
        <f>IF(AND(_AC5="B-767-300ER",'2023'!$E$4="CA",'2023'!$E$2=CB43),'2023DATA3'!$I$13,"")</f>
        <v/>
      </c>
      <c r="CC54" s="518" t="str">
        <f>IF(AND(_AC5="B-767-300ER",'2023'!$E$4="CA",'2023'!$E$2=CC43),'2023DATA3'!$J$13,"")</f>
        <v/>
      </c>
      <c r="CD54" s="518" t="str">
        <f>IF(AND(_AC5="B-767-300ER",'2023'!$E$4="CA",'2023'!$E$2=CD43),'2023DATA3'!$K$13,"")</f>
        <v/>
      </c>
      <c r="CE54" s="518" t="str">
        <f>IF(AND(_AC5="B-767-300ER",'2023'!$E$4="CA",'2023'!$E$2=CE43),'2023DATA3'!$L$13,"")</f>
        <v/>
      </c>
      <c r="CF54" s="518" t="str">
        <f>IF(AND(_AC5="B-767-300ER",'2023'!$E$4="CA",'2023'!$E$2=CF43),'2023DATA3'!$M$13,"")</f>
        <v/>
      </c>
      <c r="CG54" s="520" t="str">
        <f>IF(AND(_AC5="B-767-300ER",'2023'!$E$4="CA",'2023'!$E$2=CG43),'2023DATA3'!$N$13,"")</f>
        <v/>
      </c>
      <c r="CH54" s="940" t="s">
        <v>43</v>
      </c>
      <c r="CI54" s="13" t="s">
        <v>61</v>
      </c>
      <c r="CJ54" s="518" t="str">
        <f>IF(AND(_AC6="B-767-300ER",'2023'!$E$4="CA",'2023'!$E$2=CJ43),'2023DATA3'!$C$13,"")</f>
        <v/>
      </c>
      <c r="CK54" s="518" t="str">
        <f>IF(AND(_AC6="B-767-300ER",'2023'!$E$4="CA",'2023'!$E$2=CK43),'2023DATA3'!$D$13,"")</f>
        <v/>
      </c>
      <c r="CL54" s="518" t="str">
        <f>IF(AND(_AC6="B-767-300ER",'2023'!$E$4="CA",'2023'!$E$2=CL43),'2023DATA3'!$E$13,"")</f>
        <v/>
      </c>
      <c r="CM54" s="518" t="str">
        <f>IF(AND(_AC6="B-767-300ER",'2023'!$E$4="CA",'2023'!$E$2=CM43),'2023DATA3'!$F$13,"")</f>
        <v/>
      </c>
      <c r="CN54" s="518" t="str">
        <f>IF(AND(_AC6="B-767-300ER",'2023'!$E$4="CA",'2023'!$E$2=CN43),'2023DATA3'!$G$13,"")</f>
        <v/>
      </c>
      <c r="CO54" s="518" t="str">
        <f>IF(AND(_AC6="B-767-300ER",'2023'!$E$4="CA",'2023'!$E$2=CO43),'2023DATA3'!$H$13,"")</f>
        <v/>
      </c>
      <c r="CP54" s="518" t="str">
        <f>IF(AND(_AC6="B-767-300ER",'2023'!$E$4="CA",'2023'!$E$2=CP43),'2023DATA3'!$I$13,"")</f>
        <v/>
      </c>
      <c r="CQ54" s="518" t="str">
        <f>IF(AND(_AC6="B-767-300ER",'2023'!$E$4="CA",'2023'!$E$2=CQ43),'2023DATA3'!$J$13,"")</f>
        <v/>
      </c>
      <c r="CR54" s="518" t="str">
        <f>IF(AND(_AC6="B-767-300ER",'2023'!$E$4="CA",'2023'!$E$2=CR43),'2023DATA3'!$K$13,"")</f>
        <v/>
      </c>
      <c r="CS54" s="518" t="str">
        <f>IF(AND(_AC6="B-767-300ER",'2023'!$E$4="CA",'2023'!$E$2=CS43),'2023DATA3'!$L$13,"")</f>
        <v/>
      </c>
      <c r="CT54" s="518" t="str">
        <f>IF(AND(_AC6="B-767-300ER",'2023'!$E$4="CA",'2023'!$E$2=CT43),'2023DATA3'!$M$13,"")</f>
        <v/>
      </c>
      <c r="CU54" s="520" t="str">
        <f>IF(AND(_AC6="B-767-300ER",'2023'!$E$4="CA",'2023'!$E$2=CU43),'2023DATA3'!$N$13,"")</f>
        <v/>
      </c>
    </row>
    <row r="55" spans="16:99" x14ac:dyDescent="0.25">
      <c r="P55" s="940"/>
      <c r="Q55" s="13" t="s">
        <v>62</v>
      </c>
      <c r="R55" s="518" t="str">
        <f>IF(AND(_AC1="B-767-300ER",'2023'!$E$4="FO",'2023'!$E$2=R43),'2023DATA3'!$C$14,"")</f>
        <v/>
      </c>
      <c r="S55" s="518" t="str">
        <f>IF(AND(_AC1="B-767-300ER",'2023'!$E$4="FO",'2023'!$E$2=S43),'2023DATA3'!$D$14,"")</f>
        <v/>
      </c>
      <c r="T55" s="518" t="str">
        <f>IF(AND(_AC1="B-767-300ER",'2023'!$E$4="FO",'2023'!$E$2=T43),'2023DATA3'!$E$14,"")</f>
        <v/>
      </c>
      <c r="U55" s="518" t="str">
        <f>IF(AND(_AC1="B-767-300ER",'2023'!$E$4="FO",'2023'!$E$2=U43),'2023DATA3'!$F$14,"")</f>
        <v/>
      </c>
      <c r="V55" s="518" t="str">
        <f>IF(AND(_AC1="B-767-300ER",'2023'!$E$4="FO",'2023'!$E$2=V43),'2023DATA3'!$G$14,"")</f>
        <v/>
      </c>
      <c r="W55" s="518" t="str">
        <f>IF(AND(_AC1="B-767-300ER",'2023'!$E$4="FO",'2023'!$E$2=W43),'2023DATA3'!$H$14,"")</f>
        <v/>
      </c>
      <c r="X55" s="518" t="str">
        <f>IF(AND(_AC1="B-767-300ER",'2023'!$E$4="FO",'2023'!$E$2=X43),'2023DATA3'!$I$14,"")</f>
        <v/>
      </c>
      <c r="Y55" s="518" t="str">
        <f>IF(AND(_AC1="B-767-300ER",'2023'!$E$4="FO",'2023'!$E$2=Y43),'2023DATA3'!$J$14,"")</f>
        <v/>
      </c>
      <c r="Z55" s="518" t="str">
        <f>IF(AND(_AC1="B-767-300ER",'2023'!$E$4="FO",'2023'!$E$2=Z43),'2023DATA3'!$K$14,"")</f>
        <v/>
      </c>
      <c r="AA55" s="518" t="str">
        <f>IF(AND(_AC1="B-767-300ER",'2023'!$E$4="FO",'2023'!$E$2=AA43),'2023DATA3'!$L$14,"")</f>
        <v/>
      </c>
      <c r="AB55" s="518" t="str">
        <f>IF(AND(_AC1="B-767-300ER",'2023'!$E$4="FO",'2023'!$E$2=AB43),'2023DATA3'!$M$14,"")</f>
        <v/>
      </c>
      <c r="AC55" s="520" t="str">
        <f>IF(AND(_AC1="B-767-300ER",'2023'!$E$4="FO",'2023'!$E$2=AC43),'2023DATA3'!$N$14,"")</f>
        <v/>
      </c>
      <c r="AD55" s="940"/>
      <c r="AE55" s="13" t="s">
        <v>62</v>
      </c>
      <c r="AF55" s="518" t="str">
        <f>IF(AND(_AC2="B-767-300ER",'2023'!$E$4="FO",'2023'!$E$2=AF43),'2023DATA3'!$C$14,"")</f>
        <v/>
      </c>
      <c r="AG55" s="518" t="str">
        <f>IF(AND(_AC2="B-767-300ER",'2023'!$E$4="FO",'2023'!$E$2=AG43),'2023DATA3'!$D$14,"")</f>
        <v/>
      </c>
      <c r="AH55" s="518" t="str">
        <f>IF(AND(_AC2="B-767-300ER",'2023'!$E$4="FO",'2023'!$E$2=AH43),'2023DATA3'!$E$14,"")</f>
        <v/>
      </c>
      <c r="AI55" s="518" t="str">
        <f>IF(AND(_AC2="B-767-300ER",'2023'!$E$4="FO",'2023'!$E$2=AI43),'2023DATA3'!$F$14,"")</f>
        <v/>
      </c>
      <c r="AJ55" s="518" t="str">
        <f>IF(AND(_AC2="B-767-300ER",'2023'!$E$4="FO",'2023'!$E$2=AJ43),'2023DATA3'!$G$14,"")</f>
        <v/>
      </c>
      <c r="AK55" s="518" t="str">
        <f>IF(AND(_AC2="B-767-300ER",'2023'!$E$4="FO",'2023'!$E$2=AK43),'2023DATA3'!$H$14,"")</f>
        <v/>
      </c>
      <c r="AL55" s="518" t="str">
        <f>IF(AND(_AC2="B-767-300ER",'2023'!$E$4="FO",'2023'!$E$2=AL43),'2023DATA3'!$I$14,"")</f>
        <v/>
      </c>
      <c r="AM55" s="518" t="str">
        <f>IF(AND(_AC2="B-767-300ER",'2023'!$E$4="FO",'2023'!$E$2=AM43),'2023DATA3'!$J$14,"")</f>
        <v/>
      </c>
      <c r="AN55" s="518" t="str">
        <f>IF(AND(_AC2="B-767-300ER",'2023'!$E$4="FO",'2023'!$E$2=AN43),'2023DATA3'!$K$14,"")</f>
        <v/>
      </c>
      <c r="AO55" s="518" t="str">
        <f>IF(AND(_AC2="B-767-300ER",'2023'!$E$4="FO",'2023'!$E$2=AO43),'2023DATA3'!$L$14,"")</f>
        <v/>
      </c>
      <c r="AP55" s="518" t="str">
        <f>IF(AND(_AC2="B-767-300ER",'2023'!$E$4="FO",'2023'!$E$2=AP43),'2023DATA3'!$M$14,"")</f>
        <v/>
      </c>
      <c r="AQ55" s="520" t="str">
        <f>IF(AND(_AC2="B-767-300ER",'2023'!$E$4="FO",'2023'!$E$2=AQ43),'2023DATA3'!$N$14,"")</f>
        <v/>
      </c>
      <c r="AR55" s="940"/>
      <c r="AS55" s="13" t="s">
        <v>62</v>
      </c>
      <c r="AT55" s="518" t="str">
        <f>IF(AND(_AC3="B-767-300ER",'2023'!$E$4="FO",'2023'!$E$2=AT43),'2023DATA3'!$C$14,"")</f>
        <v/>
      </c>
      <c r="AU55" s="518" t="str">
        <f>IF(AND(_AC3="B-767-300ER",'2023'!$E$4="FO",'2023'!$E$2=AU43),'2023DATA3'!$D$14,"")</f>
        <v/>
      </c>
      <c r="AV55" s="518" t="str">
        <f>IF(AND(_AC3="B-767-300ER",'2023'!$E$4="FO",'2023'!$E$2=AV43),'2023DATA3'!$E$14,"")</f>
        <v/>
      </c>
      <c r="AW55" s="518" t="str">
        <f>IF(AND(_AC3="B-767-300ER",'2023'!$E$4="FO",'2023'!$E$2=AW43),'2023DATA3'!$F$14,"")</f>
        <v/>
      </c>
      <c r="AX55" s="518" t="str">
        <f>IF(AND(_AC3="B-767-300ER",'2023'!$E$4="FO",'2023'!$E$2=AX43),'2023DATA3'!$G$14,"")</f>
        <v/>
      </c>
      <c r="AY55" s="518" t="str">
        <f>IF(AND(_AC3="B-767-300ER",'2023'!$E$4="FO",'2023'!$E$2=AY43),'2023DATA3'!$H$14,"")</f>
        <v/>
      </c>
      <c r="AZ55" s="518" t="str">
        <f>IF(AND(_AC3="B-767-300ER",'2023'!$E$4="FO",'2023'!$E$2=AZ43),'2023DATA3'!$I$14,"")</f>
        <v/>
      </c>
      <c r="BA55" s="518" t="str">
        <f>IF(AND(_AC3="B-767-300ER",'2023'!$E$4="FO",'2023'!$E$2=BA43),'2023DATA3'!$J$14,"")</f>
        <v/>
      </c>
      <c r="BB55" s="518" t="str">
        <f>IF(AND(_AC3="B-767-300ER",'2023'!$E$4="FO",'2023'!$E$2=BB43),'2023DATA3'!$K$14,"")</f>
        <v/>
      </c>
      <c r="BC55" s="518" t="str">
        <f>IF(AND(_AC3="B-767-300ER",'2023'!$E$4="FO",'2023'!$E$2=BC43),'2023DATA3'!$L$14,"")</f>
        <v/>
      </c>
      <c r="BD55" s="518" t="str">
        <f>IF(AND(_AC3="B-767-300ER",'2023'!$E$4="FO",'2023'!$E$2=BD43),'2023DATA3'!$M$14,"")</f>
        <v/>
      </c>
      <c r="BE55" s="520" t="str">
        <f>IF(AND(_AC3="B-767-300ER",'2023'!$E$4="FO",'2023'!$E$2=BE43),'2023DATA3'!$N$14,"")</f>
        <v/>
      </c>
      <c r="BF55" s="940"/>
      <c r="BG55" s="13" t="s">
        <v>62</v>
      </c>
      <c r="BH55" s="518" t="str">
        <f>IF(AND(_AC4="B-767-300ER",'2023'!$E$4="FO",'2023'!$E$2=BH43),'2023DATA3'!$C$14,"")</f>
        <v/>
      </c>
      <c r="BI55" s="518" t="str">
        <f>IF(AND(_AC4="B-767-300ER",'2023'!$E$4="FO",'2023'!$E$2=BI43),'2023DATA3'!$D$14,"")</f>
        <v/>
      </c>
      <c r="BJ55" s="518" t="str">
        <f>IF(AND(_AC4="B-767-300ER",'2023'!$E$4="FO",'2023'!$E$2=BJ43),'2023DATA3'!$E$14,"")</f>
        <v/>
      </c>
      <c r="BK55" s="518" t="str">
        <f>IF(AND(_AC4="B-767-300ER",'2023'!$E$4="FO",'2023'!$E$2=BK43),'2023DATA3'!$F$14,"")</f>
        <v/>
      </c>
      <c r="BL55" s="518" t="str">
        <f>IF(AND(_AC4="B-767-300ER",'2023'!$E$4="FO",'2023'!$E$2=BL43),'2023DATA3'!$G$14,"")</f>
        <v/>
      </c>
      <c r="BM55" s="518" t="str">
        <f>IF(AND(_AC4="B-767-300ER",'2023'!$E$4="FO",'2023'!$E$2=BM43),'2023DATA3'!$H$14,"")</f>
        <v/>
      </c>
      <c r="BN55" s="518" t="str">
        <f>IF(AND(_AC4="B-767-300ER",'2023'!$E$4="FO",'2023'!$E$2=BN43),'2023DATA3'!$I$14,"")</f>
        <v/>
      </c>
      <c r="BO55" s="518" t="str">
        <f>IF(AND(_AC4="B-767-300ER",'2023'!$E$4="FO",'2023'!$E$2=BO43),'2023DATA3'!$J$14,"")</f>
        <v/>
      </c>
      <c r="BP55" s="518" t="str">
        <f>IF(AND(_AC4="B-767-300ER",'2023'!$E$4="FO",'2023'!$E$2=BP43),'2023DATA3'!$K$14,"")</f>
        <v/>
      </c>
      <c r="BQ55" s="518" t="str">
        <f>IF(AND(_AC4="B-767-300ER",'2023'!$E$4="FO",'2023'!$E$2=BQ43),'2023DATA3'!$L$14,"")</f>
        <v/>
      </c>
      <c r="BR55" s="518" t="str">
        <f>IF(AND(_AC4="B-767-300ER",'2023'!$E$4="FO",'2023'!$E$2=BR43),'2023DATA3'!$M$14,"")</f>
        <v/>
      </c>
      <c r="BS55" s="520" t="str">
        <f>IF(AND(_AC4="B-767-300ER",'2023'!$E$4="FO",'2023'!$E$2=BS43),'2023DATA3'!$N$14,"")</f>
        <v/>
      </c>
      <c r="BT55" s="940"/>
      <c r="BU55" s="13" t="s">
        <v>62</v>
      </c>
      <c r="BV55" s="518" t="str">
        <f>IF(AND(_AC5="B-767-300ER",'2023'!$E$4="FO",'2023'!$E$2=BV43),'2023DATA3'!$C$14,"")</f>
        <v/>
      </c>
      <c r="BW55" s="518" t="str">
        <f>IF(AND(_AC5="B-767-300ER",'2023'!$E$4="FO",'2023'!$E$2=BW43),'2023DATA3'!$D$14,"")</f>
        <v/>
      </c>
      <c r="BX55" s="518" t="str">
        <f>IF(AND(_AC5="B-767-300ER",'2023'!$E$4="FO",'2023'!$E$2=BX43),'2023DATA3'!$E$14,"")</f>
        <v/>
      </c>
      <c r="BY55" s="518" t="str">
        <f>IF(AND(_AC5="B-767-300ER",'2023'!$E$4="FO",'2023'!$E$2=BY43),'2023DATA3'!$F$14,"")</f>
        <v/>
      </c>
      <c r="BZ55" s="518" t="str">
        <f>IF(AND(_AC5="B-767-300ER",'2023'!$E$4="FO",'2023'!$E$2=BZ43),'2023DATA3'!$G$14,"")</f>
        <v/>
      </c>
      <c r="CA55" s="518" t="str">
        <f>IF(AND(_AC5="B-767-300ER",'2023'!$E$4="FO",'2023'!$E$2=CA43),'2023DATA3'!$H$14,"")</f>
        <v/>
      </c>
      <c r="CB55" s="518" t="str">
        <f>IF(AND(_AC5="B-767-300ER",'2023'!$E$4="FO",'2023'!$E$2=CB43),'2023DATA3'!$I$14,"")</f>
        <v/>
      </c>
      <c r="CC55" s="518" t="str">
        <f>IF(AND(_AC5="B-767-300ER",'2023'!$E$4="FO",'2023'!$E$2=CC43),'2023DATA3'!$J$14,"")</f>
        <v/>
      </c>
      <c r="CD55" s="518" t="str">
        <f>IF(AND(_AC5="B-767-300ER",'2023'!$E$4="FO",'2023'!$E$2=CD43),'2023DATA3'!$K$14,"")</f>
        <v/>
      </c>
      <c r="CE55" s="518" t="str">
        <f>IF(AND(_AC5="B-767-300ER",'2023'!$E$4="FO",'2023'!$E$2=CE43),'2023DATA3'!$L$14,"")</f>
        <v/>
      </c>
      <c r="CF55" s="518" t="str">
        <f>IF(AND(_AC5="B-767-300ER",'2023'!$E$4="FO",'2023'!$E$2=CF43),'2023DATA3'!$M$14,"")</f>
        <v/>
      </c>
      <c r="CG55" s="520" t="str">
        <f>IF(AND(_AC5="B-767-300ER",'2023'!$E$4="FO",'2023'!$E$2=CG43),'2023DATA3'!$N$14,"")</f>
        <v/>
      </c>
      <c r="CH55" s="940"/>
      <c r="CI55" s="13" t="s">
        <v>62</v>
      </c>
      <c r="CJ55" s="518" t="str">
        <f>IF(AND(_AC6="B-767-300ER",'2023'!$E$4="FO",'2023'!$E$2=CJ43),'2023DATA3'!$C$14,"")</f>
        <v/>
      </c>
      <c r="CK55" s="518" t="str">
        <f>IF(AND(_AC6="B-767-300ER",'2023'!$E$4="FO",'2023'!$E$2=CK43),'2023DATA3'!$D$14,"")</f>
        <v/>
      </c>
      <c r="CL55" s="518" t="str">
        <f>IF(AND(_AC6="B-767-300ER",'2023'!$E$4="FO",'2023'!$E$2=CL43),'2023DATA3'!$E$14,"")</f>
        <v/>
      </c>
      <c r="CM55" s="518" t="str">
        <f>IF(AND(_AC6="B-767-300ER",'2023'!$E$4="FO",'2023'!$E$2=CM43),'2023DATA3'!$F$14,"")</f>
        <v/>
      </c>
      <c r="CN55" s="518" t="str">
        <f>IF(AND(_AC6="B-767-300ER",'2023'!$E$4="FO",'2023'!$E$2=CN43),'2023DATA3'!$G$14,"")</f>
        <v/>
      </c>
      <c r="CO55" s="518" t="str">
        <f>IF(AND(_AC6="B-767-300ER",'2023'!$E$4="FO",'2023'!$E$2=CO43),'2023DATA3'!$H$14,"")</f>
        <v/>
      </c>
      <c r="CP55" s="518" t="str">
        <f>IF(AND(_AC6="B-767-300ER",'2023'!$E$4="FO",'2023'!$E$2=CP43),'2023DATA3'!$I$14,"")</f>
        <v/>
      </c>
      <c r="CQ55" s="518" t="str">
        <f>IF(AND(_AC6="B-767-300ER",'2023'!$E$4="FO",'2023'!$E$2=CQ43),'2023DATA3'!$J$14,"")</f>
        <v/>
      </c>
      <c r="CR55" s="518" t="str">
        <f>IF(AND(_AC6="B-767-300ER",'2023'!$E$4="FO",'2023'!$E$2=CR43),'2023DATA3'!$K$14,"")</f>
        <v/>
      </c>
      <c r="CS55" s="518" t="str">
        <f>IF(AND(_AC6="B-767-300ER",'2023'!$E$4="FO",'2023'!$E$2=CS43),'2023DATA3'!$L$14,"")</f>
        <v/>
      </c>
      <c r="CT55" s="518" t="str">
        <f>IF(AND(_AC6="B-767-300ER",'2023'!$E$4="FO",'2023'!$E$2=CT43),'2023DATA3'!$M$14,"")</f>
        <v/>
      </c>
      <c r="CU55" s="520" t="str">
        <f>IF(AND(_AC6="B-767-300ER",'2023'!$E$4="FO",'2023'!$E$2=CU43),'2023DATA3'!$N$14,"")</f>
        <v/>
      </c>
    </row>
    <row r="56" spans="16:99" x14ac:dyDescent="0.25">
      <c r="P56" s="940" t="s">
        <v>67</v>
      </c>
      <c r="Q56" s="13" t="s">
        <v>61</v>
      </c>
      <c r="R56" s="518" t="str">
        <f>IF(AND(_AC1="B-767-300",'2023'!$E$4="CA",'2023'!$E$2=R43),'2023DATA3'!$C$15,"")</f>
        <v/>
      </c>
      <c r="S56" s="518" t="str">
        <f>IF(AND(_AC1="B-767-300",'2023'!$E$4="CA",'2023'!$E$2=S43),'2023DATA3'!$D$15,"")</f>
        <v/>
      </c>
      <c r="T56" s="518" t="str">
        <f>IF(AND(_AC1="B-767-300",'2023'!$E$4="CA",'2023'!$E$2=T43),'2023DATA3'!$E$15,"")</f>
        <v/>
      </c>
      <c r="U56" s="518" t="str">
        <f>IF(AND(_AC1="B-767-300",'2023'!$E$4="CA",'2023'!$E$2=U43),'2023DATA3'!$F$15,"")</f>
        <v/>
      </c>
      <c r="V56" s="518" t="str">
        <f>IF(AND(_AC1="B-767-300",'2023'!$E$4="CA",'2023'!$E$2=V43),'2023DATA3'!$G$15,"")</f>
        <v/>
      </c>
      <c r="W56" s="518" t="str">
        <f>IF(AND(_AC1="B-767-300",'2023'!$E$4="CA",'2023'!$E$2=W43),'2023DATA3'!$H$15,"")</f>
        <v/>
      </c>
      <c r="X56" s="518" t="str">
        <f>IF(AND(_AC1="B-767-300",'2023'!$E$4="CA",'2023'!$E$2=X43),'2023DATA3'!$I$15,"")</f>
        <v/>
      </c>
      <c r="Y56" s="518" t="str">
        <f>IF(AND(_AC1="B-767-300",'2023'!$E$4="CA",'2023'!$E$2=Y43),'2023DATA3'!$J$15,"")</f>
        <v/>
      </c>
      <c r="Z56" s="518" t="str">
        <f>IF(AND(_AC1="B-767-300",'2023'!$E$4="CA",'2023'!$E$2=Z43),'2023DATA3'!$K$15,"")</f>
        <v/>
      </c>
      <c r="AA56" s="518" t="str">
        <f>IF(AND(_AC1="B-767-300",'2023'!$E$4="CA",'2023'!$E$2=AA43),'2023DATA3'!$L$15,"")</f>
        <v/>
      </c>
      <c r="AB56" s="518" t="str">
        <f>IF(AND(_AC1="B-767-300",'2023'!$E$4="CA",'2023'!$E$2=AB43),'2023DATA3'!$M$15,"")</f>
        <v/>
      </c>
      <c r="AC56" s="520" t="str">
        <f>IF(AND(_AC1="B-767-300",'2023'!$E$4="CA",'2023'!$E$2=AC43),'2023DATA3'!$N$15,"")</f>
        <v/>
      </c>
      <c r="AD56" s="940" t="s">
        <v>67</v>
      </c>
      <c r="AE56" s="13" t="s">
        <v>61</v>
      </c>
      <c r="AF56" s="518" t="str">
        <f>IF(AND(_AC2="B-767-300",'2023'!$E$4="CA",'2023'!$E$2=AF43),'2023DATA3'!$C$15,"")</f>
        <v/>
      </c>
      <c r="AG56" s="518" t="str">
        <f>IF(AND(_AC2="B-767-300",'2023'!$E$4="CA",'2023'!$E$2=AG43),'2023DATA3'!$D$15,"")</f>
        <v/>
      </c>
      <c r="AH56" s="518" t="str">
        <f>IF(AND(_AC2="B-767-300",'2023'!$E$4="CA",'2023'!$E$2=AH43),'2023DATA3'!$E$15,"")</f>
        <v/>
      </c>
      <c r="AI56" s="518" t="str">
        <f>IF(AND(_AC2="B-767-300",'2023'!$E$4="CA",'2023'!$E$2=AI43),'2023DATA3'!$F$15,"")</f>
        <v/>
      </c>
      <c r="AJ56" s="518" t="str">
        <f>IF(AND(_AC2="B-767-300",'2023'!$E$4="CA",'2023'!$E$2=AJ43),'2023DATA3'!$G$15,"")</f>
        <v/>
      </c>
      <c r="AK56" s="518" t="str">
        <f>IF(AND(_AC2="B-767-300",'2023'!$E$4="CA",'2023'!$E$2=AK43),'2023DATA3'!$H$15,"")</f>
        <v/>
      </c>
      <c r="AL56" s="518" t="str">
        <f>IF(AND(_AC2="B-767-300",'2023'!$E$4="CA",'2023'!$E$2=AL43),'2023DATA3'!$I$15,"")</f>
        <v/>
      </c>
      <c r="AM56" s="518" t="str">
        <f>IF(AND(_AC2="B-767-300",'2023'!$E$4="CA",'2023'!$E$2=AM43),'2023DATA3'!$J$15,"")</f>
        <v/>
      </c>
      <c r="AN56" s="518" t="str">
        <f>IF(AND(_AC2="B-767-300",'2023'!$E$4="CA",'2023'!$E$2=AN43),'2023DATA3'!$K$15,"")</f>
        <v/>
      </c>
      <c r="AO56" s="518" t="str">
        <f>IF(AND(_AC2="B-767-300",'2023'!$E$4="CA",'2023'!$E$2=AO43),'2023DATA3'!$L$15,"")</f>
        <v/>
      </c>
      <c r="AP56" s="518" t="str">
        <f>IF(AND(_AC2="B-767-300",'2023'!$E$4="CA",'2023'!$E$2=AP43),'2023DATA3'!$M$15,"")</f>
        <v/>
      </c>
      <c r="AQ56" s="520" t="str">
        <f>IF(AND(_AC2="B-767-300",'2023'!$E$4="CA",'2023'!$E$2=AQ43),'2023DATA3'!$N$15,"")</f>
        <v/>
      </c>
      <c r="AR56" s="940" t="s">
        <v>67</v>
      </c>
      <c r="AS56" s="13" t="s">
        <v>61</v>
      </c>
      <c r="AT56" s="518" t="str">
        <f>IF(AND(_AC3="B-767-300",'2023'!$E$4="CA",'2023'!$E$2=AT43),'2023DATA3'!$C$15,"")</f>
        <v/>
      </c>
      <c r="AU56" s="518" t="str">
        <f>IF(AND(_AC3="B-767-300",'2023'!$E$4="CA",'2023'!$E$2=AU43),'2023DATA3'!$D$15,"")</f>
        <v/>
      </c>
      <c r="AV56" s="518" t="str">
        <f>IF(AND(_AC3="B-767-300",'2023'!$E$4="CA",'2023'!$E$2=AV43),'2023DATA3'!$E$15,"")</f>
        <v/>
      </c>
      <c r="AW56" s="518" t="str">
        <f>IF(AND(_AC3="B-767-300",'2023'!$E$4="CA",'2023'!$E$2=AW43),'2023DATA3'!$F$15,"")</f>
        <v/>
      </c>
      <c r="AX56" s="518" t="str">
        <f>IF(AND(_AC3="B-767-300",'2023'!$E$4="CA",'2023'!$E$2=AX43),'2023DATA3'!$G$15,"")</f>
        <v/>
      </c>
      <c r="AY56" s="518" t="str">
        <f>IF(AND(_AC3="B-767-300",'2023'!$E$4="CA",'2023'!$E$2=AY43),'2023DATA3'!$H$15,"")</f>
        <v/>
      </c>
      <c r="AZ56" s="518" t="str">
        <f>IF(AND(_AC3="B-767-300",'2023'!$E$4="CA",'2023'!$E$2=AZ43),'2023DATA3'!$I$15,"")</f>
        <v/>
      </c>
      <c r="BA56" s="518" t="str">
        <f>IF(AND(_AC3="B-767-300",'2023'!$E$4="CA",'2023'!$E$2=BA43),'2023DATA3'!$J$15,"")</f>
        <v/>
      </c>
      <c r="BB56" s="518" t="str">
        <f>IF(AND(_AC3="B-767-300",'2023'!$E$4="CA",'2023'!$E$2=BB43),'2023DATA3'!$K$15,"")</f>
        <v/>
      </c>
      <c r="BC56" s="518" t="str">
        <f>IF(AND(_AC3="B-767-300",'2023'!$E$4="CA",'2023'!$E$2=BC43),'2023DATA3'!$L$15,"")</f>
        <v/>
      </c>
      <c r="BD56" s="518" t="str">
        <f>IF(AND(_AC3="B-767-300",'2023'!$E$4="CA",'2023'!$E$2=BD43),'2023DATA3'!$M$15,"")</f>
        <v/>
      </c>
      <c r="BE56" s="520" t="str">
        <f>IF(AND(_AC3="B-767-300",'2023'!$E$4="CA",'2023'!$E$2=BE43),'2023DATA3'!$N$15,"")</f>
        <v/>
      </c>
      <c r="BF56" s="940" t="s">
        <v>67</v>
      </c>
      <c r="BG56" s="13" t="s">
        <v>61</v>
      </c>
      <c r="BH56" s="518" t="str">
        <f>IF(AND(_AC4="B-767-300",'2023'!$E$4="CA",'2023'!$E$2=BH43),'2023DATA3'!$C$15,"")</f>
        <v/>
      </c>
      <c r="BI56" s="518" t="str">
        <f>IF(AND(_AC4="B-767-300",'2023'!$E$4="CA",'2023'!$E$2=BI43),'2023DATA3'!$D$15,"")</f>
        <v/>
      </c>
      <c r="BJ56" s="518" t="str">
        <f>IF(AND(_AC4="B-767-300",'2023'!$E$4="CA",'2023'!$E$2=BJ43),'2023DATA3'!$E$15,"")</f>
        <v/>
      </c>
      <c r="BK56" s="518" t="str">
        <f>IF(AND(_AC4="B-767-300",'2023'!$E$4="CA",'2023'!$E$2=BK43),'2023DATA3'!$F$15,"")</f>
        <v/>
      </c>
      <c r="BL56" s="518" t="str">
        <f>IF(AND(_AC4="B-767-300",'2023'!$E$4="CA",'2023'!$E$2=BL43),'2023DATA3'!$G$15,"")</f>
        <v/>
      </c>
      <c r="BM56" s="518" t="str">
        <f>IF(AND(_AC4="B-767-300",'2023'!$E$4="CA",'2023'!$E$2=BM43),'2023DATA3'!$H$15,"")</f>
        <v/>
      </c>
      <c r="BN56" s="518" t="str">
        <f>IF(AND(_AC4="B-767-300",'2023'!$E$4="CA",'2023'!$E$2=BN43),'2023DATA3'!$I$15,"")</f>
        <v/>
      </c>
      <c r="BO56" s="518" t="str">
        <f>IF(AND(_AC4="B-767-300",'2023'!$E$4="CA",'2023'!$E$2=BO43),'2023DATA3'!$J$15,"")</f>
        <v/>
      </c>
      <c r="BP56" s="518" t="str">
        <f>IF(AND(_AC4="B-767-300",'2023'!$E$4="CA",'2023'!$E$2=BP43),'2023DATA3'!$K$15,"")</f>
        <v/>
      </c>
      <c r="BQ56" s="518" t="str">
        <f>IF(AND(_AC4="B-767-300",'2023'!$E$4="CA",'2023'!$E$2=BQ43),'2023DATA3'!$L$15,"")</f>
        <v/>
      </c>
      <c r="BR56" s="518" t="str">
        <f>IF(AND(_AC4="B-767-300",'2023'!$E$4="CA",'2023'!$E$2=BR43),'2023DATA3'!$M$15,"")</f>
        <v/>
      </c>
      <c r="BS56" s="520" t="str">
        <f>IF(AND(_AC4="B-767-300",'2023'!$E$4="CA",'2023'!$E$2=BS43),'2023DATA3'!$N$15,"")</f>
        <v/>
      </c>
      <c r="BT56" s="940" t="s">
        <v>67</v>
      </c>
      <c r="BU56" s="13" t="s">
        <v>61</v>
      </c>
      <c r="BV56" s="518" t="str">
        <f>IF(AND(_AC5="B-767-300",'2023'!$E$4="CA",'2023'!$E$2=BV43),'2023DATA3'!$C$15,"")</f>
        <v/>
      </c>
      <c r="BW56" s="518" t="str">
        <f>IF(AND(_AC5="B-767-300",'2023'!$E$4="CA",'2023'!$E$2=BW43),'2023DATA3'!$D$15,"")</f>
        <v/>
      </c>
      <c r="BX56" s="518" t="str">
        <f>IF(AND(_AC5="B-767-300",'2023'!$E$4="CA",'2023'!$E$2=BX43),'2023DATA3'!$E$15,"")</f>
        <v/>
      </c>
      <c r="BY56" s="518" t="str">
        <f>IF(AND(_AC5="B-767-300",'2023'!$E$4="CA",'2023'!$E$2=BY43),'2023DATA3'!$F$15,"")</f>
        <v/>
      </c>
      <c r="BZ56" s="518" t="str">
        <f>IF(AND(_AC5="B-767-300",'2023'!$E$4="CA",'2023'!$E$2=BZ43),'2023DATA3'!$G$15,"")</f>
        <v/>
      </c>
      <c r="CA56" s="518" t="str">
        <f>IF(AND(_AC5="B-767-300",'2023'!$E$4="CA",'2023'!$E$2=CA43),'2023DATA3'!$H$15,"")</f>
        <v/>
      </c>
      <c r="CB56" s="518" t="str">
        <f>IF(AND(_AC5="B-767-300",'2023'!$E$4="CA",'2023'!$E$2=CB43),'2023DATA3'!$I$15,"")</f>
        <v/>
      </c>
      <c r="CC56" s="518" t="str">
        <f>IF(AND(_AC5="B-767-300",'2023'!$E$4="CA",'2023'!$E$2=CC43),'2023DATA3'!$J$15,"")</f>
        <v/>
      </c>
      <c r="CD56" s="518" t="str">
        <f>IF(AND(_AC5="B-767-300",'2023'!$E$4="CA",'2023'!$E$2=CD43),'2023DATA3'!$K$15,"")</f>
        <v/>
      </c>
      <c r="CE56" s="518" t="str">
        <f>IF(AND(_AC5="B-767-300",'2023'!$E$4="CA",'2023'!$E$2=CE43),'2023DATA3'!$L$15,"")</f>
        <v/>
      </c>
      <c r="CF56" s="518" t="str">
        <f>IF(AND(_AC5="B-767-300",'2023'!$E$4="CA",'2023'!$E$2=CF43),'2023DATA3'!$M$15,"")</f>
        <v/>
      </c>
      <c r="CG56" s="520" t="str">
        <f>IF(AND(_AC5="B-767-300",'2023'!$E$4="CA",'2023'!$E$2=CG43),'2023DATA3'!$N$15,"")</f>
        <v/>
      </c>
      <c r="CH56" s="940" t="s">
        <v>67</v>
      </c>
      <c r="CI56" s="13" t="s">
        <v>61</v>
      </c>
      <c r="CJ56" s="518" t="str">
        <f>IF(AND(_AC6="B-767-300",'2023'!$E$4="CA",'2023'!$E$2=CJ43),'2023DATA3'!$C$15,"")</f>
        <v/>
      </c>
      <c r="CK56" s="518" t="str">
        <f>IF(AND(_AC6="B-767-300",'2023'!$E$4="CA",'2023'!$E$2=CK43),'2023DATA3'!$D$15,"")</f>
        <v/>
      </c>
      <c r="CL56" s="518" t="str">
        <f>IF(AND(_AC6="B-767-300",'2023'!$E$4="CA",'2023'!$E$2=CL43),'2023DATA3'!$E$15,"")</f>
        <v/>
      </c>
      <c r="CM56" s="518" t="str">
        <f>IF(AND(_AC6="B-767-300",'2023'!$E$4="CA",'2023'!$E$2=CM43),'2023DATA3'!$F$15,"")</f>
        <v/>
      </c>
      <c r="CN56" s="518" t="str">
        <f>IF(AND(_AC6="B-767-300",'2023'!$E$4="CA",'2023'!$E$2=CN43),'2023DATA3'!$G$15,"")</f>
        <v/>
      </c>
      <c r="CO56" s="518" t="str">
        <f>IF(AND(_AC6="B-767-300",'2023'!$E$4="CA",'2023'!$E$2=CO43),'2023DATA3'!$H$15,"")</f>
        <v/>
      </c>
      <c r="CP56" s="518" t="str">
        <f>IF(AND(_AC6="B-767-300",'2023'!$E$4="CA",'2023'!$E$2=CP43),'2023DATA3'!$I$15,"")</f>
        <v/>
      </c>
      <c r="CQ56" s="518" t="str">
        <f>IF(AND(_AC6="B-767-300",'2023'!$E$4="CA",'2023'!$E$2=CQ43),'2023DATA3'!$J$15,"")</f>
        <v/>
      </c>
      <c r="CR56" s="518" t="str">
        <f>IF(AND(_AC6="B-767-300",'2023'!$E$4="CA",'2023'!$E$2=CR43),'2023DATA3'!$K$15,"")</f>
        <v/>
      </c>
      <c r="CS56" s="518" t="str">
        <f>IF(AND(_AC6="B-767-300",'2023'!$E$4="CA",'2023'!$E$2=CS43),'2023DATA3'!$L$15,"")</f>
        <v/>
      </c>
      <c r="CT56" s="518" t="str">
        <f>IF(AND(_AC6="B-767-300",'2023'!$E$4="CA",'2023'!$E$2=CT43),'2023DATA3'!$M$15,"")</f>
        <v/>
      </c>
      <c r="CU56" s="520" t="str">
        <f>IF(AND(_AC6="B-767-300",'2023'!$E$4="CA",'2023'!$E$2=CU43),'2023DATA3'!$N$15,"")</f>
        <v/>
      </c>
    </row>
    <row r="57" spans="16:99" x14ac:dyDescent="0.25">
      <c r="P57" s="940"/>
      <c r="Q57" s="13" t="s">
        <v>62</v>
      </c>
      <c r="R57" s="518" t="str">
        <f>IF(AND(_AC1="B-767-300",'2023'!$E$4="FO",'2023'!$E$2=R43),'2023DATA3'!$C$16,"")</f>
        <v/>
      </c>
      <c r="S57" s="518" t="str">
        <f>IF(AND(_AC1="B-767-300",'2023'!$E$4="FO",'2023'!$E$2=S43),'2023DATA3'!$D$16,"")</f>
        <v/>
      </c>
      <c r="T57" s="518" t="str">
        <f>IF(AND(_AC1="B-767-300",'2023'!$E$4="FO",'2023'!$E$2=T43),'2023DATA3'!$E$16,"")</f>
        <v/>
      </c>
      <c r="U57" s="518" t="str">
        <f>IF(AND(_AC1="B-767-300",'2023'!$E$4="FO",'2023'!$E$2=U43),'2023DATA3'!$F$16,"")</f>
        <v/>
      </c>
      <c r="V57" s="518" t="str">
        <f>IF(AND(_AC1="B-767-300",'2023'!$E$4="FO",'2023'!$E$2=V43),'2023DATA3'!$G$16,"")</f>
        <v/>
      </c>
      <c r="W57" s="518" t="str">
        <f>IF(AND(_AC1="B-767-300",'2023'!$E$4="FO",'2023'!$E$2=W43),'2023DATA3'!$H$16,"")</f>
        <v/>
      </c>
      <c r="X57" s="518" t="str">
        <f>IF(AND(_AC1="B-767-300",'2023'!$E$4="FO",'2023'!$E$2=X43),'2023DATA3'!$I$16,"")</f>
        <v/>
      </c>
      <c r="Y57" s="518" t="str">
        <f>IF(AND(_AC1="B-767-300",'2023'!$E$4="FO",'2023'!$E$2=Y43),'2023DATA3'!$J$16,"")</f>
        <v/>
      </c>
      <c r="Z57" s="518" t="str">
        <f>IF(AND(_AC1="B-767-300",'2023'!$E$4="FO",'2023'!$E$2=Z43),'2023DATA3'!$K$16,"")</f>
        <v/>
      </c>
      <c r="AA57" s="518" t="str">
        <f>IF(AND(_AC1="B-767-300",'2023'!$E$4="FO",'2023'!$E$2=AA43),'2023DATA3'!$L$16,"")</f>
        <v/>
      </c>
      <c r="AB57" s="518" t="str">
        <f>IF(AND(_AC1="B-767-300",'2023'!$E$4="FO",'2023'!$E$2=AB43),'2023DATA3'!$M$16,"")</f>
        <v/>
      </c>
      <c r="AC57" s="520" t="str">
        <f>IF(AND(_AC1="B-767-300",'2023'!$E$4="FO",'2023'!$E$2=AC43),'2023DATA3'!$N$16,"")</f>
        <v/>
      </c>
      <c r="AD57" s="940"/>
      <c r="AE57" s="13" t="s">
        <v>62</v>
      </c>
      <c r="AF57" s="518" t="str">
        <f>IF(AND(_AC2="B-767-300",'2023'!$E$4="FO",'2023'!$E$2=AF43),'2023DATA3'!$C$16,"")</f>
        <v/>
      </c>
      <c r="AG57" s="518" t="str">
        <f>IF(AND(_AC2="B-767-300",'2023'!$E$4="FO",'2023'!$E$2=AG43),'2023DATA3'!$D$16,"")</f>
        <v/>
      </c>
      <c r="AH57" s="518" t="str">
        <f>IF(AND(_AC2="B-767-300",'2023'!$E$4="FO",'2023'!$E$2=AH43),'2023DATA3'!$E$16,"")</f>
        <v/>
      </c>
      <c r="AI57" s="518" t="str">
        <f>IF(AND(_AC2="B-767-300",'2023'!$E$4="FO",'2023'!$E$2=AI43),'2023DATA3'!$F$16,"")</f>
        <v/>
      </c>
      <c r="AJ57" s="518" t="str">
        <f>IF(AND(_AC2="B-767-300",'2023'!$E$4="FO",'2023'!$E$2=AJ43),'2023DATA3'!$G$16,"")</f>
        <v/>
      </c>
      <c r="AK57" s="518" t="str">
        <f>IF(AND(_AC2="B-767-300",'2023'!$E$4="FO",'2023'!$E$2=AK43),'2023DATA3'!$H$16,"")</f>
        <v/>
      </c>
      <c r="AL57" s="518" t="str">
        <f>IF(AND(_AC2="B-767-300",'2023'!$E$4="FO",'2023'!$E$2=AL43),'2023DATA3'!$I$16,"")</f>
        <v/>
      </c>
      <c r="AM57" s="518" t="str">
        <f>IF(AND(_AC2="B-767-300",'2023'!$E$4="FO",'2023'!$E$2=AM43),'2023DATA3'!$J$16,"")</f>
        <v/>
      </c>
      <c r="AN57" s="518" t="str">
        <f>IF(AND(_AC2="B-767-300",'2023'!$E$4="FO",'2023'!$E$2=AN43),'2023DATA3'!$K$16,"")</f>
        <v/>
      </c>
      <c r="AO57" s="518" t="str">
        <f>IF(AND(_AC2="B-767-300",'2023'!$E$4="FO",'2023'!$E$2=AO43),'2023DATA3'!$L$16,"")</f>
        <v/>
      </c>
      <c r="AP57" s="518" t="str">
        <f>IF(AND(_AC2="B-767-300",'2023'!$E$4="FO",'2023'!$E$2=AP43),'2023DATA3'!$M$16,"")</f>
        <v/>
      </c>
      <c r="AQ57" s="520" t="str">
        <f>IF(AND(_AC2="B-767-300",'2023'!$E$4="FO",'2023'!$E$2=AQ43),'2023DATA3'!$N$16,"")</f>
        <v/>
      </c>
      <c r="AR57" s="940"/>
      <c r="AS57" s="13" t="s">
        <v>62</v>
      </c>
      <c r="AT57" s="518" t="str">
        <f>IF(AND(_AC3="B-767-300",'2023'!$E$4="FO",'2023'!$E$2=AT43),'2023DATA3'!$C$16,"")</f>
        <v/>
      </c>
      <c r="AU57" s="518" t="str">
        <f>IF(AND(_AC3="B-767-300",'2023'!$E$4="FO",'2023'!$E$2=AU43),'2023DATA3'!$D$16,"")</f>
        <v/>
      </c>
      <c r="AV57" s="518" t="str">
        <f>IF(AND(_AC3="B-767-300",'2023'!$E$4="FO",'2023'!$E$2=AV43),'2023DATA3'!$E$16,"")</f>
        <v/>
      </c>
      <c r="AW57" s="518" t="str">
        <f>IF(AND(_AC3="B-767-300",'2023'!$E$4="FO",'2023'!$E$2=AW43),'2023DATA3'!$F$16,"")</f>
        <v/>
      </c>
      <c r="AX57" s="518" t="str">
        <f>IF(AND(_AC3="B-767-300",'2023'!$E$4="FO",'2023'!$E$2=AX43),'2023DATA3'!$G$16,"")</f>
        <v/>
      </c>
      <c r="AY57" s="518" t="str">
        <f>IF(AND(_AC3="B-767-300",'2023'!$E$4="FO",'2023'!$E$2=AY43),'2023DATA3'!$H$16,"")</f>
        <v/>
      </c>
      <c r="AZ57" s="518" t="str">
        <f>IF(AND(_AC3="B-767-300",'2023'!$E$4="FO",'2023'!$E$2=AZ43),'2023DATA3'!$I$16,"")</f>
        <v/>
      </c>
      <c r="BA57" s="518" t="str">
        <f>IF(AND(_AC3="B-767-300",'2023'!$E$4="FO",'2023'!$E$2=BA43),'2023DATA3'!$J$16,"")</f>
        <v/>
      </c>
      <c r="BB57" s="518" t="str">
        <f>IF(AND(_AC3="B-767-300",'2023'!$E$4="FO",'2023'!$E$2=BB43),'2023DATA3'!$K$16,"")</f>
        <v/>
      </c>
      <c r="BC57" s="518" t="str">
        <f>IF(AND(_AC3="B-767-300",'2023'!$E$4="FO",'2023'!$E$2=BC43),'2023DATA3'!$L$16,"")</f>
        <v/>
      </c>
      <c r="BD57" s="518" t="str">
        <f>IF(AND(_AC3="B-767-300",'2023'!$E$4="FO",'2023'!$E$2=BD43),'2023DATA3'!$M$16,"")</f>
        <v/>
      </c>
      <c r="BE57" s="520" t="str">
        <f>IF(AND(_AC3="B-767-300",'2023'!$E$4="FO",'2023'!$E$2=BE43),'2023DATA3'!$N$16,"")</f>
        <v/>
      </c>
      <c r="BF57" s="940"/>
      <c r="BG57" s="13" t="s">
        <v>62</v>
      </c>
      <c r="BH57" s="518" t="str">
        <f>IF(AND(_AC4="B-767-300",'2023'!$E$4="FO",'2023'!$E$2=BH43),'2023DATA3'!$C$16,"")</f>
        <v/>
      </c>
      <c r="BI57" s="518" t="str">
        <f>IF(AND(_AC4="B-767-300",'2023'!$E$4="FO",'2023'!$E$2=BI43),'2023DATA3'!$D$16,"")</f>
        <v/>
      </c>
      <c r="BJ57" s="518" t="str">
        <f>IF(AND(_AC4="B-767-300",'2023'!$E$4="FO",'2023'!$E$2=BJ43),'2023DATA3'!$E$16,"")</f>
        <v/>
      </c>
      <c r="BK57" s="518" t="str">
        <f>IF(AND(_AC4="B-767-300",'2023'!$E$4="FO",'2023'!$E$2=BK43),'2023DATA3'!$F$16,"")</f>
        <v/>
      </c>
      <c r="BL57" s="518" t="str">
        <f>IF(AND(_AC4="B-767-300",'2023'!$E$4="FO",'2023'!$E$2=BL43),'2023DATA3'!$G$16,"")</f>
        <v/>
      </c>
      <c r="BM57" s="518" t="str">
        <f>IF(AND(_AC4="B-767-300",'2023'!$E$4="FO",'2023'!$E$2=BM43),'2023DATA3'!$H$16,"")</f>
        <v/>
      </c>
      <c r="BN57" s="518" t="str">
        <f>IF(AND(_AC4="B-767-300",'2023'!$E$4="FO",'2023'!$E$2=BN43),'2023DATA3'!$I$16,"")</f>
        <v/>
      </c>
      <c r="BO57" s="518" t="str">
        <f>IF(AND(_AC4="B-767-300",'2023'!$E$4="FO",'2023'!$E$2=BO43),'2023DATA3'!$J$16,"")</f>
        <v/>
      </c>
      <c r="BP57" s="518" t="str">
        <f>IF(AND(_AC4="B-767-300",'2023'!$E$4="FO",'2023'!$E$2=BP43),'2023DATA3'!$K$16,"")</f>
        <v/>
      </c>
      <c r="BQ57" s="518" t="str">
        <f>IF(AND(_AC4="B-767-300",'2023'!$E$4="FO",'2023'!$E$2=BQ43),'2023DATA3'!$L$16,"")</f>
        <v/>
      </c>
      <c r="BR57" s="518" t="str">
        <f>IF(AND(_AC4="B-767-300",'2023'!$E$4="FO",'2023'!$E$2=BR43),'2023DATA3'!$M$16,"")</f>
        <v/>
      </c>
      <c r="BS57" s="520" t="str">
        <f>IF(AND(_AC4="B-767-300",'2023'!$E$4="FO",'2023'!$E$2=BS43),'2023DATA3'!$N$16,"")</f>
        <v/>
      </c>
      <c r="BT57" s="940"/>
      <c r="BU57" s="13" t="s">
        <v>62</v>
      </c>
      <c r="BV57" s="518" t="str">
        <f>IF(AND(_AC5="B-767-300",'2023'!$E$4="FO",'2023'!$E$2=BV43),'2023DATA3'!$C$16,"")</f>
        <v/>
      </c>
      <c r="BW57" s="518" t="str">
        <f>IF(AND(_AC5="B-767-300",'2023'!$E$4="FO",'2023'!$E$2=BW43),'2023DATA3'!$D$16,"")</f>
        <v/>
      </c>
      <c r="BX57" s="518" t="str">
        <f>IF(AND(_AC5="B-767-300",'2023'!$E$4="FO",'2023'!$E$2=BX43),'2023DATA3'!$E$16,"")</f>
        <v/>
      </c>
      <c r="BY57" s="518" t="str">
        <f>IF(AND(_AC5="B-767-300",'2023'!$E$4="FO",'2023'!$E$2=BY43),'2023DATA3'!$F$16,"")</f>
        <v/>
      </c>
      <c r="BZ57" s="518" t="str">
        <f>IF(AND(_AC5="B-767-300",'2023'!$E$4="FO",'2023'!$E$2=BZ43),'2023DATA3'!$G$16,"")</f>
        <v/>
      </c>
      <c r="CA57" s="518" t="str">
        <f>IF(AND(_AC5="B-767-300",'2023'!$E$4="FO",'2023'!$E$2=CA43),'2023DATA3'!$H$16,"")</f>
        <v/>
      </c>
      <c r="CB57" s="518" t="str">
        <f>IF(AND(_AC5="B-767-300",'2023'!$E$4="FO",'2023'!$E$2=CB43),'2023DATA3'!$I$16,"")</f>
        <v/>
      </c>
      <c r="CC57" s="518" t="str">
        <f>IF(AND(_AC5="B-767-300",'2023'!$E$4="FO",'2023'!$E$2=CC43),'2023DATA3'!$J$16,"")</f>
        <v/>
      </c>
      <c r="CD57" s="518" t="str">
        <f>IF(AND(_AC5="B-767-300",'2023'!$E$4="FO",'2023'!$E$2=CD43),'2023DATA3'!$K$16,"")</f>
        <v/>
      </c>
      <c r="CE57" s="518" t="str">
        <f>IF(AND(_AC5="B-767-300",'2023'!$E$4="FO",'2023'!$E$2=CE43),'2023DATA3'!$L$16,"")</f>
        <v/>
      </c>
      <c r="CF57" s="518" t="str">
        <f>IF(AND(_AC5="B-767-300",'2023'!$E$4="FO",'2023'!$E$2=CF43),'2023DATA3'!$M$16,"")</f>
        <v/>
      </c>
      <c r="CG57" s="520" t="str">
        <f>IF(AND(_AC5="B-767-300",'2023'!$E$4="FO",'2023'!$E$2=CG43),'2023DATA3'!$N$16,"")</f>
        <v/>
      </c>
      <c r="CH57" s="940"/>
      <c r="CI57" s="13" t="s">
        <v>62</v>
      </c>
      <c r="CJ57" s="518" t="str">
        <f>IF(AND(_AC6="B-767-300",'2023'!$E$4="FO",'2023'!$E$2=CJ43),'2023DATA3'!$C$16,"")</f>
        <v/>
      </c>
      <c r="CK57" s="518" t="str">
        <f>IF(AND(_AC6="B-767-300",'2023'!$E$4="FO",'2023'!$E$2=CK43),'2023DATA3'!$D$16,"")</f>
        <v/>
      </c>
      <c r="CL57" s="518" t="str">
        <f>IF(AND(_AC6="B-767-300",'2023'!$E$4="FO",'2023'!$E$2=CL43),'2023DATA3'!$E$16,"")</f>
        <v/>
      </c>
      <c r="CM57" s="518" t="str">
        <f>IF(AND(_AC6="B-767-300",'2023'!$E$4="FO",'2023'!$E$2=CM43),'2023DATA3'!$F$16,"")</f>
        <v/>
      </c>
      <c r="CN57" s="518" t="str">
        <f>IF(AND(_AC6="B-767-300",'2023'!$E$4="FO",'2023'!$E$2=CN43),'2023DATA3'!$G$16,"")</f>
        <v/>
      </c>
      <c r="CO57" s="518" t="str">
        <f>IF(AND(_AC6="B-767-300",'2023'!$E$4="FO",'2023'!$E$2=CO43),'2023DATA3'!$H$16,"")</f>
        <v/>
      </c>
      <c r="CP57" s="518" t="str">
        <f>IF(AND(_AC6="B-767-300",'2023'!$E$4="FO",'2023'!$E$2=CP43),'2023DATA3'!$I$16,"")</f>
        <v/>
      </c>
      <c r="CQ57" s="518" t="str">
        <f>IF(AND(_AC6="B-767-300",'2023'!$E$4="FO",'2023'!$E$2=CQ43),'2023DATA3'!$J$16,"")</f>
        <v/>
      </c>
      <c r="CR57" s="518" t="str">
        <f>IF(AND(_AC6="B-767-300",'2023'!$E$4="FO",'2023'!$E$2=CR43),'2023DATA3'!$K$16,"")</f>
        <v/>
      </c>
      <c r="CS57" s="518" t="str">
        <f>IF(AND(_AC6="B-767-300",'2023'!$E$4="FO",'2023'!$E$2=CS43),'2023DATA3'!$L$16,"")</f>
        <v/>
      </c>
      <c r="CT57" s="518" t="str">
        <f>IF(AND(_AC6="B-767-300",'2023'!$E$4="FO",'2023'!$E$2=CT43),'2023DATA3'!$M$16,"")</f>
        <v/>
      </c>
      <c r="CU57" s="520" t="str">
        <f>IF(AND(_AC6="B-767-300",'2023'!$E$4="FO",'2023'!$E$2=CU43),'2023DATA3'!$N$16,"")</f>
        <v/>
      </c>
    </row>
    <row r="58" spans="16:99" x14ac:dyDescent="0.25">
      <c r="P58" s="940" t="s">
        <v>68</v>
      </c>
      <c r="Q58" s="13" t="s">
        <v>61</v>
      </c>
      <c r="R58" s="518" t="str">
        <f>IF(AND(_AC1="B-767-200",'2023'!$E$4="CA",'2023'!$E$2=R43),'2023DATA3'!$C$17,"")</f>
        <v/>
      </c>
      <c r="S58" s="518" t="str">
        <f>IF(AND(_AC1="B-767-200",'2023'!$E$4="CA",'2023'!$E$2=S43),'2023DATA3'!$D$17,"")</f>
        <v/>
      </c>
      <c r="T58" s="518" t="str">
        <f>IF(AND(_AC1="B-767-200",'2023'!$E$4="CA",'2023'!$E$2=T43),'2023DATA3'!$E$17,"")</f>
        <v/>
      </c>
      <c r="U58" s="518" t="str">
        <f>IF(AND(_AC1="B-767-200",'2023'!$E$4="CA",'2023'!$E$2=U43),'2023DATA3'!$F$17,"")</f>
        <v/>
      </c>
      <c r="V58" s="518" t="str">
        <f>IF(AND(_AC1="B-767-200",'2023'!$E$4="CA",'2023'!$E$2=V43),'2023DATA3'!$G$17,"")</f>
        <v/>
      </c>
      <c r="W58" s="518" t="str">
        <f>IF(AND(_AC1="B-767-200",'2023'!$E$4="CA",'2023'!$E$2=W43),'2023DATA3'!$H$17,"")</f>
        <v/>
      </c>
      <c r="X58" s="518" t="str">
        <f>IF(AND(_AC1="B-767-200",'2023'!$E$4="CA",'2023'!$E$2=X43),'2023DATA3'!$I$17,"")</f>
        <v/>
      </c>
      <c r="Y58" s="518" t="str">
        <f>IF(AND(_AC1="B-767-200",'2023'!$E$4="CA",'2023'!$E$2=Y43),'2023DATA3'!$J$17,"")</f>
        <v/>
      </c>
      <c r="Z58" s="518" t="str">
        <f>IF(AND(_AC1="B-767-200",'2023'!$E$4="CA",'2023'!$E$2=Z43),'2023DATA3'!$K$17,"")</f>
        <v/>
      </c>
      <c r="AA58" s="518" t="str">
        <f>IF(AND(_AC1="B-767-200",'2023'!$E$4="CA",'2023'!$E$2=AA43),'2023DATA3'!$L$17,"")</f>
        <v/>
      </c>
      <c r="AB58" s="518" t="str">
        <f>IF(AND(_AC1="B-767-200",'2023'!$E$4="CA",'2023'!$E$2=AB43),'2023DATA3'!$M$17,"")</f>
        <v/>
      </c>
      <c r="AC58" s="520" t="str">
        <f>IF(AND(_AC1="B-767-200",'2023'!$E$4="CA",'2023'!$E$2=AC43),'2023DATA3'!$N$17,"")</f>
        <v/>
      </c>
      <c r="AD58" s="940" t="s">
        <v>68</v>
      </c>
      <c r="AE58" s="13" t="s">
        <v>61</v>
      </c>
      <c r="AF58" s="518" t="str">
        <f>IF(AND(_AC2="B-767-200",'2023'!$E$4="CA",'2023'!$E$2=AF43),'2023DATA3'!$C$17,"")</f>
        <v/>
      </c>
      <c r="AG58" s="518" t="str">
        <f>IF(AND(_AC2="B-767-200",'2023'!$E$4="CA",'2023'!$E$2=AG43),'2023DATA3'!$D$17,"")</f>
        <v/>
      </c>
      <c r="AH58" s="518" t="str">
        <f>IF(AND(_AC2="B-767-200",'2023'!$E$4="CA",'2023'!$E$2=AH43),'2023DATA3'!$E$17,"")</f>
        <v/>
      </c>
      <c r="AI58" s="518" t="str">
        <f>IF(AND(_AC2="B-767-200",'2023'!$E$4="CA",'2023'!$E$2=AI43),'2023DATA3'!$F$17,"")</f>
        <v/>
      </c>
      <c r="AJ58" s="518" t="str">
        <f>IF(AND(_AC2="B-767-200",'2023'!$E$4="CA",'2023'!$E$2=AJ43),'2023DATA3'!$G$17,"")</f>
        <v/>
      </c>
      <c r="AK58" s="518" t="str">
        <f>IF(AND(_AC2="B-767-200",'2023'!$E$4="CA",'2023'!$E$2=AK43),'2023DATA3'!$H$17,"")</f>
        <v/>
      </c>
      <c r="AL58" s="518" t="str">
        <f>IF(AND(_AC2="B-767-200",'2023'!$E$4="CA",'2023'!$E$2=AL43),'2023DATA3'!$I$17,"")</f>
        <v/>
      </c>
      <c r="AM58" s="518" t="str">
        <f>IF(AND(_AC2="B-767-200",'2023'!$E$4="CA",'2023'!$E$2=AM43),'2023DATA3'!$J$17,"")</f>
        <v/>
      </c>
      <c r="AN58" s="518" t="str">
        <f>IF(AND(_AC2="B-767-200",'2023'!$E$4="CA",'2023'!$E$2=AN43),'2023DATA3'!$K$17,"")</f>
        <v/>
      </c>
      <c r="AO58" s="518" t="str">
        <f>IF(AND(_AC2="B-767-200",'2023'!$E$4="CA",'2023'!$E$2=AO43),'2023DATA3'!$L$17,"")</f>
        <v/>
      </c>
      <c r="AP58" s="518" t="str">
        <f>IF(AND(_AC2="B-767-200",'2023'!$E$4="CA",'2023'!$E$2=AP43),'2023DATA3'!$M$17,"")</f>
        <v/>
      </c>
      <c r="AQ58" s="520" t="str">
        <f>IF(AND(_AC2="B-767-200",'2023'!$E$4="CA",'2023'!$E$2=AQ43),'2023DATA3'!$N$17,"")</f>
        <v/>
      </c>
      <c r="AR58" s="940" t="s">
        <v>68</v>
      </c>
      <c r="AS58" s="13" t="s">
        <v>61</v>
      </c>
      <c r="AT58" s="518" t="str">
        <f>IF(AND(_AC3="B-767-200",'2023'!$E$4="CA",'2023'!$E$2=AT43),'2023DATA3'!$C$17,"")</f>
        <v/>
      </c>
      <c r="AU58" s="518" t="str">
        <f>IF(AND(_AC3="B-767-200",'2023'!$E$4="CA",'2023'!$E$2=AU43),'2023DATA3'!$D$17,"")</f>
        <v/>
      </c>
      <c r="AV58" s="518" t="str">
        <f>IF(AND(_AC3="B-767-200",'2023'!$E$4="CA",'2023'!$E$2=AV43),'2023DATA3'!$E$17,"")</f>
        <v/>
      </c>
      <c r="AW58" s="518" t="str">
        <f>IF(AND(_AC3="B-767-200",'2023'!$E$4="CA",'2023'!$E$2=AW43),'2023DATA3'!$F$17,"")</f>
        <v/>
      </c>
      <c r="AX58" s="518" t="str">
        <f>IF(AND(_AC3="B-767-200",'2023'!$E$4="CA",'2023'!$E$2=AX43),'2023DATA3'!$G$17,"")</f>
        <v/>
      </c>
      <c r="AY58" s="518" t="str">
        <f>IF(AND(_AC3="B-767-200",'2023'!$E$4="CA",'2023'!$E$2=AY43),'2023DATA3'!$H$17,"")</f>
        <v/>
      </c>
      <c r="AZ58" s="518" t="str">
        <f>IF(AND(_AC3="B-767-200",'2023'!$E$4="CA",'2023'!$E$2=AZ43),'2023DATA3'!$I$17,"")</f>
        <v/>
      </c>
      <c r="BA58" s="518" t="str">
        <f>IF(AND(_AC3="B-767-200",'2023'!$E$4="CA",'2023'!$E$2=BA43),'2023DATA3'!$J$17,"")</f>
        <v/>
      </c>
      <c r="BB58" s="518" t="str">
        <f>IF(AND(_AC3="B-767-200",'2023'!$E$4="CA",'2023'!$E$2=BB43),'2023DATA3'!$K$17,"")</f>
        <v/>
      </c>
      <c r="BC58" s="518" t="str">
        <f>IF(AND(_AC3="B-767-200",'2023'!$E$4="CA",'2023'!$E$2=BC43),'2023DATA3'!$L$17,"")</f>
        <v/>
      </c>
      <c r="BD58" s="518" t="str">
        <f>IF(AND(_AC3="B-767-200",'2023'!$E$4="CA",'2023'!$E$2=BD43),'2023DATA3'!$M$17,"")</f>
        <v/>
      </c>
      <c r="BE58" s="520" t="str">
        <f>IF(AND(_AC3="B-767-200",'2023'!$E$4="CA",'2023'!$E$2=BE43),'2023DATA3'!$N$17,"")</f>
        <v/>
      </c>
      <c r="BF58" s="940" t="s">
        <v>68</v>
      </c>
      <c r="BG58" s="13" t="s">
        <v>61</v>
      </c>
      <c r="BH58" s="518" t="str">
        <f>IF(AND(_AC4="B-767-200",'2023'!$E$4="CA",'2023'!$E$2=BH43),'2023DATA3'!$C$17,"")</f>
        <v/>
      </c>
      <c r="BI58" s="518" t="str">
        <f>IF(AND(_AC4="B-767-200",'2023'!$E$4="CA",'2023'!$E$2=BI43),'2023DATA3'!$D$17,"")</f>
        <v/>
      </c>
      <c r="BJ58" s="518" t="str">
        <f>IF(AND(_AC4="B-767-200",'2023'!$E$4="CA",'2023'!$E$2=BJ43),'2023DATA3'!$E$17,"")</f>
        <v/>
      </c>
      <c r="BK58" s="518" t="str">
        <f>IF(AND(_AC4="B-767-200",'2023'!$E$4="CA",'2023'!$E$2=BK43),'2023DATA3'!$F$17,"")</f>
        <v/>
      </c>
      <c r="BL58" s="518" t="str">
        <f>IF(AND(_AC4="B-767-200",'2023'!$E$4="CA",'2023'!$E$2=BL43),'2023DATA3'!$G$17,"")</f>
        <v/>
      </c>
      <c r="BM58" s="518" t="str">
        <f>IF(AND(_AC4="B-767-200",'2023'!$E$4="CA",'2023'!$E$2=BM43),'2023DATA3'!$H$17,"")</f>
        <v/>
      </c>
      <c r="BN58" s="518" t="str">
        <f>IF(AND(_AC4="B-767-200",'2023'!$E$4="CA",'2023'!$E$2=BN43),'2023DATA3'!$I$17,"")</f>
        <v/>
      </c>
      <c r="BO58" s="518" t="str">
        <f>IF(AND(_AC4="B-767-200",'2023'!$E$4="CA",'2023'!$E$2=BO43),'2023DATA3'!$J$17,"")</f>
        <v/>
      </c>
      <c r="BP58" s="518" t="str">
        <f>IF(AND(_AC4="B-767-200",'2023'!$E$4="CA",'2023'!$E$2=BP43),'2023DATA3'!$K$17,"")</f>
        <v/>
      </c>
      <c r="BQ58" s="518" t="str">
        <f>IF(AND(_AC4="B-767-200",'2023'!$E$4="CA",'2023'!$E$2=BQ43),'2023DATA3'!$L$17,"")</f>
        <v/>
      </c>
      <c r="BR58" s="518" t="str">
        <f>IF(AND(_AC4="B-767-200",'2023'!$E$4="CA",'2023'!$E$2=BR43),'2023DATA3'!$M$17,"")</f>
        <v/>
      </c>
      <c r="BS58" s="520" t="str">
        <f>IF(AND(_AC4="B-767-200",'2023'!$E$4="CA",'2023'!$E$2=BS43),'2023DATA3'!$N$17,"")</f>
        <v/>
      </c>
      <c r="BT58" s="940" t="s">
        <v>68</v>
      </c>
      <c r="BU58" s="13" t="s">
        <v>61</v>
      </c>
      <c r="BV58" s="518" t="str">
        <f>IF(AND(_AC5="B-767-200",'2023'!$E$4="CA",'2023'!$E$2=BV43),'2023DATA3'!$C$17,"")</f>
        <v/>
      </c>
      <c r="BW58" s="518" t="str">
        <f>IF(AND(_AC5="B-767-200",'2023'!$E$4="CA",'2023'!$E$2=BW43),'2023DATA3'!$D$17,"")</f>
        <v/>
      </c>
      <c r="BX58" s="518" t="str">
        <f>IF(AND(_AC5="B-767-200",'2023'!$E$4="CA",'2023'!$E$2=BX43),'2023DATA3'!$E$17,"")</f>
        <v/>
      </c>
      <c r="BY58" s="518" t="str">
        <f>IF(AND(_AC5="B-767-200",'2023'!$E$4="CA",'2023'!$E$2=BY43),'2023DATA3'!$F$17,"")</f>
        <v/>
      </c>
      <c r="BZ58" s="518" t="str">
        <f>IF(AND(_AC5="B-767-200",'2023'!$E$4="CA",'2023'!$E$2=BZ43),'2023DATA3'!$G$17,"")</f>
        <v/>
      </c>
      <c r="CA58" s="518" t="str">
        <f>IF(AND(_AC5="B-767-200",'2023'!$E$4="CA",'2023'!$E$2=CA43),'2023DATA3'!$H$17,"")</f>
        <v/>
      </c>
      <c r="CB58" s="518" t="str">
        <f>IF(AND(_AC5="B-767-200",'2023'!$E$4="CA",'2023'!$E$2=CB43),'2023DATA3'!$I$17,"")</f>
        <v/>
      </c>
      <c r="CC58" s="518" t="str">
        <f>IF(AND(_AC5="B-767-200",'2023'!$E$4="CA",'2023'!$E$2=CC43),'2023DATA3'!$J$17,"")</f>
        <v/>
      </c>
      <c r="CD58" s="518" t="str">
        <f>IF(AND(_AC5="B-767-200",'2023'!$E$4="CA",'2023'!$E$2=CD43),'2023DATA3'!$K$17,"")</f>
        <v/>
      </c>
      <c r="CE58" s="518" t="str">
        <f>IF(AND(_AC5="B-767-200",'2023'!$E$4="CA",'2023'!$E$2=CE43),'2023DATA3'!$L$17,"")</f>
        <v/>
      </c>
      <c r="CF58" s="518" t="str">
        <f>IF(AND(_AC5="B-767-200",'2023'!$E$4="CA",'2023'!$E$2=CF43),'2023DATA3'!$M$17,"")</f>
        <v/>
      </c>
      <c r="CG58" s="520" t="str">
        <f>IF(AND(_AC5="B-767-200",'2023'!$E$4="CA",'2023'!$E$2=CG43),'2023DATA3'!$N$17,"")</f>
        <v/>
      </c>
      <c r="CH58" s="940" t="s">
        <v>68</v>
      </c>
      <c r="CI58" s="13" t="s">
        <v>61</v>
      </c>
      <c r="CJ58" s="518" t="str">
        <f>IF(AND(_AC6="B-767-200",'2023'!$E$4="CA",'2023'!$E$2=CJ43),'2023DATA3'!$C$17,"")</f>
        <v/>
      </c>
      <c r="CK58" s="518" t="str">
        <f>IF(AND(_AC6="B-767-200",'2023'!$E$4="CA",'2023'!$E$2=CK43),'2023DATA3'!$D$17,"")</f>
        <v/>
      </c>
      <c r="CL58" s="518" t="str">
        <f>IF(AND(_AC6="B-767-200",'2023'!$E$4="CA",'2023'!$E$2=CL43),'2023DATA3'!$E$17,"")</f>
        <v/>
      </c>
      <c r="CM58" s="518" t="str">
        <f>IF(AND(_AC6="B-767-200",'2023'!$E$4="CA",'2023'!$E$2=CM43),'2023DATA3'!$F$17,"")</f>
        <v/>
      </c>
      <c r="CN58" s="518" t="str">
        <f>IF(AND(_AC6="B-767-200",'2023'!$E$4="CA",'2023'!$E$2=CN43),'2023DATA3'!$G$17,"")</f>
        <v/>
      </c>
      <c r="CO58" s="518" t="str">
        <f>IF(AND(_AC6="B-767-200",'2023'!$E$4="CA",'2023'!$E$2=CO43),'2023DATA3'!$H$17,"")</f>
        <v/>
      </c>
      <c r="CP58" s="518" t="str">
        <f>IF(AND(_AC6="B-767-200",'2023'!$E$4="CA",'2023'!$E$2=CP43),'2023DATA3'!$I$17,"")</f>
        <v/>
      </c>
      <c r="CQ58" s="518" t="str">
        <f>IF(AND(_AC6="B-767-200",'2023'!$E$4="CA",'2023'!$E$2=CQ43),'2023DATA3'!$J$17,"")</f>
        <v/>
      </c>
      <c r="CR58" s="518" t="str">
        <f>IF(AND(_AC6="B-767-200",'2023'!$E$4="CA",'2023'!$E$2=CR43),'2023DATA3'!$K$17,"")</f>
        <v/>
      </c>
      <c r="CS58" s="518" t="str">
        <f>IF(AND(_AC6="B-767-200",'2023'!$E$4="CA",'2023'!$E$2=CS43),'2023DATA3'!$L$17,"")</f>
        <v/>
      </c>
      <c r="CT58" s="518" t="str">
        <f>IF(AND(_AC6="B-767-200",'2023'!$E$4="CA",'2023'!$E$2=CT43),'2023DATA3'!$M$17,"")</f>
        <v/>
      </c>
      <c r="CU58" s="520" t="str">
        <f>IF(AND(_AC6="B-767-200",'2023'!$E$4="CA",'2023'!$E$2=CU43),'2023DATA3'!$N$17,"")</f>
        <v/>
      </c>
    </row>
    <row r="59" spans="16:99" x14ac:dyDescent="0.25">
      <c r="P59" s="940"/>
      <c r="Q59" s="13" t="s">
        <v>62</v>
      </c>
      <c r="R59" s="518" t="str">
        <f>IF(AND(_AC1="B-767-200",'2023'!$E$4="FO",'2023'!$E$2=R43),'2023DATA3'!$C$18,"")</f>
        <v/>
      </c>
      <c r="S59" s="518" t="str">
        <f>IF(AND(_AC1="B-767-200",'2023'!$E$4="FO",'2023'!$E$2=S43),'2023DATA3'!$D$18,"")</f>
        <v/>
      </c>
      <c r="T59" s="518" t="str">
        <f>IF(AND(_AC1="B-767-200",'2023'!$E$4="FO",'2023'!$E$2=T43),'2023DATA3'!$E$18,"")</f>
        <v/>
      </c>
      <c r="U59" s="518" t="str">
        <f>IF(AND(_AC1="B-767-200",'2023'!$E$4="FO",'2023'!$E$2=U43),'2023DATA3'!$F$18,"")</f>
        <v/>
      </c>
      <c r="V59" s="518" t="str">
        <f>IF(AND(_AC1="B-767-200",'2023'!$E$4="FO",'2023'!$E$2=V43),'2023DATA3'!$G$18,"")</f>
        <v/>
      </c>
      <c r="W59" s="518" t="str">
        <f>IF(AND(_AC1="B-767-200",'2023'!$E$4="FO",'2023'!$E$2=W43),'2023DATA3'!$H$18,"")</f>
        <v/>
      </c>
      <c r="X59" s="518" t="str">
        <f>IF(AND(_AC1="B-767-200",'2023'!$E$4="FO",'2023'!$E$2=X43),'2023DATA3'!$I$18,"")</f>
        <v/>
      </c>
      <c r="Y59" s="518" t="str">
        <f>IF(AND(_AC1="B-767-200",'2023'!$E$4="FO",'2023'!$E$2=Y43),'2023DATA3'!$J$18,"")</f>
        <v/>
      </c>
      <c r="Z59" s="518" t="str">
        <f>IF(AND(_AC1="B-767-200",'2023'!$E$4="FO",'2023'!$E$2=Z43),'2023DATA3'!$K$18,"")</f>
        <v/>
      </c>
      <c r="AA59" s="518" t="str">
        <f>IF(AND(_AC1="B-767-200",'2023'!$E$4="FO",'2023'!$E$2=AA43),'2023DATA3'!$L$18,"")</f>
        <v/>
      </c>
      <c r="AB59" s="518" t="str">
        <f>IF(AND(_AC1="B-767-200",'2023'!$E$4="FO",'2023'!$E$2=AB43),'2023DATA3'!$M$18,"")</f>
        <v/>
      </c>
      <c r="AC59" s="520" t="str">
        <f>IF(AND(_AC1="B-767-200",'2023'!$E$4="FO",'2023'!$E$2=AC43),'2023DATA3'!$N$18,"")</f>
        <v/>
      </c>
      <c r="AD59" s="940"/>
      <c r="AE59" s="13" t="s">
        <v>62</v>
      </c>
      <c r="AF59" s="518" t="str">
        <f>IF(AND(_AC2="B-767-200",'2023'!$E$4="FO",'2023'!$E$2=AF43),'2023DATA3'!$C$18,"")</f>
        <v/>
      </c>
      <c r="AG59" s="518" t="str">
        <f>IF(AND(_AC2="B-767-200",'2023'!$E$4="FO",'2023'!$E$2=AG43),'2023DATA3'!$D$18,"")</f>
        <v/>
      </c>
      <c r="AH59" s="518" t="str">
        <f>IF(AND(_AC2="B-767-200",'2023'!$E$4="FO",'2023'!$E$2=AH43),'2023DATA3'!$E$18,"")</f>
        <v/>
      </c>
      <c r="AI59" s="518" t="str">
        <f>IF(AND(_AC2="B-767-200",'2023'!$E$4="FO",'2023'!$E$2=AI43),'2023DATA3'!$F$18,"")</f>
        <v/>
      </c>
      <c r="AJ59" s="518" t="str">
        <f>IF(AND(_AC2="B-767-200",'2023'!$E$4="FO",'2023'!$E$2=AJ43),'2023DATA3'!$G$18,"")</f>
        <v/>
      </c>
      <c r="AK59" s="518" t="str">
        <f>IF(AND(_AC2="B-767-200",'2023'!$E$4="FO",'2023'!$E$2=AK43),'2023DATA3'!$H$18,"")</f>
        <v/>
      </c>
      <c r="AL59" s="518" t="str">
        <f>IF(AND(_AC2="B-767-200",'2023'!$E$4="FO",'2023'!$E$2=AL43),'2023DATA3'!$I$18,"")</f>
        <v/>
      </c>
      <c r="AM59" s="518" t="str">
        <f>IF(AND(_AC2="B-767-200",'2023'!$E$4="FO",'2023'!$E$2=AM43),'2023DATA3'!$J$18,"")</f>
        <v/>
      </c>
      <c r="AN59" s="518" t="str">
        <f>IF(AND(_AC2="B-767-200",'2023'!$E$4="FO",'2023'!$E$2=AN43),'2023DATA3'!$K$18,"")</f>
        <v/>
      </c>
      <c r="AO59" s="518" t="str">
        <f>IF(AND(_AC2="B-767-200",'2023'!$E$4="FO",'2023'!$E$2=AO43),'2023DATA3'!$L$18,"")</f>
        <v/>
      </c>
      <c r="AP59" s="518" t="str">
        <f>IF(AND(_AC2="B-767-200",'2023'!$E$4="FO",'2023'!$E$2=AP43),'2023DATA3'!$M$18,"")</f>
        <v/>
      </c>
      <c r="AQ59" s="520" t="str">
        <f>IF(AND(_AC2="B-767-200",'2023'!$E$4="FO",'2023'!$E$2=AQ43),'2023DATA3'!$N$18,"")</f>
        <v/>
      </c>
      <c r="AR59" s="940"/>
      <c r="AS59" s="13" t="s">
        <v>62</v>
      </c>
      <c r="AT59" s="518" t="str">
        <f>IF(AND(_AC3="B-767-200",'2023'!$E$4="FO",'2023'!$E$2=AT43),'2023DATA3'!$C$18,"")</f>
        <v/>
      </c>
      <c r="AU59" s="518" t="str">
        <f>IF(AND(_AC3="B-767-200",'2023'!$E$4="FO",'2023'!$E$2=AU43),'2023DATA3'!$D$18,"")</f>
        <v/>
      </c>
      <c r="AV59" s="518" t="str">
        <f>IF(AND(_AC3="B-767-200",'2023'!$E$4="FO",'2023'!$E$2=AV43),'2023DATA3'!$E$18,"")</f>
        <v/>
      </c>
      <c r="AW59" s="518" t="str">
        <f>IF(AND(_AC3="B-767-200",'2023'!$E$4="FO",'2023'!$E$2=AW43),'2023DATA3'!$F$18,"")</f>
        <v/>
      </c>
      <c r="AX59" s="518" t="str">
        <f>IF(AND(_AC3="B-767-200",'2023'!$E$4="FO",'2023'!$E$2=AX43),'2023DATA3'!$G$18,"")</f>
        <v/>
      </c>
      <c r="AY59" s="518" t="str">
        <f>IF(AND(_AC3="B-767-200",'2023'!$E$4="FO",'2023'!$E$2=AY43),'2023DATA3'!$H$18,"")</f>
        <v/>
      </c>
      <c r="AZ59" s="518" t="str">
        <f>IF(AND(_AC3="B-767-200",'2023'!$E$4="FO",'2023'!$E$2=AZ43),'2023DATA3'!$I$18,"")</f>
        <v/>
      </c>
      <c r="BA59" s="518" t="str">
        <f>IF(AND(_AC3="B-767-200",'2023'!$E$4="FO",'2023'!$E$2=BA43),'2023DATA3'!$J$18,"")</f>
        <v/>
      </c>
      <c r="BB59" s="518" t="str">
        <f>IF(AND(_AC3="B-767-200",'2023'!$E$4="FO",'2023'!$E$2=BB43),'2023DATA3'!$K$18,"")</f>
        <v/>
      </c>
      <c r="BC59" s="518" t="str">
        <f>IF(AND(_AC3="B-767-200",'2023'!$E$4="FO",'2023'!$E$2=BC43),'2023DATA3'!$L$18,"")</f>
        <v/>
      </c>
      <c r="BD59" s="518" t="str">
        <f>IF(AND(_AC3="B-767-200",'2023'!$E$4="FO",'2023'!$E$2=BD43),'2023DATA3'!$M$18,"")</f>
        <v/>
      </c>
      <c r="BE59" s="520" t="str">
        <f>IF(AND(_AC3="B-767-200",'2023'!$E$4="FO",'2023'!$E$2=BE43),'2023DATA3'!$N$18,"")</f>
        <v/>
      </c>
      <c r="BF59" s="940"/>
      <c r="BG59" s="13" t="s">
        <v>62</v>
      </c>
      <c r="BH59" s="518" t="str">
        <f>IF(AND(_AC4="B-767-200",'2023'!$E$4="FO",'2023'!$E$2=BH43),'2023DATA3'!$C$18,"")</f>
        <v/>
      </c>
      <c r="BI59" s="518" t="str">
        <f>IF(AND(_AC4="B-767-200",'2023'!$E$4="FO",'2023'!$E$2=BI43),'2023DATA3'!$D$18,"")</f>
        <v/>
      </c>
      <c r="BJ59" s="518" t="str">
        <f>IF(AND(_AC4="B-767-200",'2023'!$E$4="FO",'2023'!$E$2=BJ43),'2023DATA3'!$E$18,"")</f>
        <v/>
      </c>
      <c r="BK59" s="518" t="str">
        <f>IF(AND(_AC4="B-767-200",'2023'!$E$4="FO",'2023'!$E$2=BK43),'2023DATA3'!$F$18,"")</f>
        <v/>
      </c>
      <c r="BL59" s="518" t="str">
        <f>IF(AND(_AC4="B-767-200",'2023'!$E$4="FO",'2023'!$E$2=BL43),'2023DATA3'!$G$18,"")</f>
        <v/>
      </c>
      <c r="BM59" s="518" t="str">
        <f>IF(AND(_AC4="B-767-200",'2023'!$E$4="FO",'2023'!$E$2=BM43),'2023DATA3'!$H$18,"")</f>
        <v/>
      </c>
      <c r="BN59" s="518" t="str">
        <f>IF(AND(_AC4="B-767-200",'2023'!$E$4="FO",'2023'!$E$2=BN43),'2023DATA3'!$I$18,"")</f>
        <v/>
      </c>
      <c r="BO59" s="518" t="str">
        <f>IF(AND(_AC4="B-767-200",'2023'!$E$4="FO",'2023'!$E$2=BO43),'2023DATA3'!$J$18,"")</f>
        <v/>
      </c>
      <c r="BP59" s="518" t="str">
        <f>IF(AND(_AC4="B-767-200",'2023'!$E$4="FO",'2023'!$E$2=BP43),'2023DATA3'!$K$18,"")</f>
        <v/>
      </c>
      <c r="BQ59" s="518" t="str">
        <f>IF(AND(_AC4="B-767-200",'2023'!$E$4="FO",'2023'!$E$2=BQ43),'2023DATA3'!$L$18,"")</f>
        <v/>
      </c>
      <c r="BR59" s="518" t="str">
        <f>IF(AND(_AC4="B-767-200",'2023'!$E$4="FO",'2023'!$E$2=BR43),'2023DATA3'!$M$18,"")</f>
        <v/>
      </c>
      <c r="BS59" s="520" t="str">
        <f>IF(AND(_AC4="B-767-200",'2023'!$E$4="FO",'2023'!$E$2=BS43),'2023DATA3'!$N$18,"")</f>
        <v/>
      </c>
      <c r="BT59" s="940"/>
      <c r="BU59" s="13" t="s">
        <v>62</v>
      </c>
      <c r="BV59" s="518" t="str">
        <f>IF(AND(_AC5="B-767-200",'2023'!$E$4="FO",'2023'!$E$2=BV43),'2023DATA3'!$C$18,"")</f>
        <v/>
      </c>
      <c r="BW59" s="518" t="str">
        <f>IF(AND(_AC5="B-767-200",'2023'!$E$4="FO",'2023'!$E$2=BW43),'2023DATA3'!$D$18,"")</f>
        <v/>
      </c>
      <c r="BX59" s="518" t="str">
        <f>IF(AND(_AC5="B-767-200",'2023'!$E$4="FO",'2023'!$E$2=BX43),'2023DATA3'!$E$18,"")</f>
        <v/>
      </c>
      <c r="BY59" s="518" t="str">
        <f>IF(AND(_AC5="B-767-200",'2023'!$E$4="FO",'2023'!$E$2=BY43),'2023DATA3'!$F$18,"")</f>
        <v/>
      </c>
      <c r="BZ59" s="518" t="str">
        <f>IF(AND(_AC5="B-767-200",'2023'!$E$4="FO",'2023'!$E$2=BZ43),'2023DATA3'!$G$18,"")</f>
        <v/>
      </c>
      <c r="CA59" s="518" t="str">
        <f>IF(AND(_AC5="B-767-200",'2023'!$E$4="FO",'2023'!$E$2=CA43),'2023DATA3'!$H$18,"")</f>
        <v/>
      </c>
      <c r="CB59" s="518" t="str">
        <f>IF(AND(_AC5="B-767-200",'2023'!$E$4="FO",'2023'!$E$2=CB43),'2023DATA3'!$I$18,"")</f>
        <v/>
      </c>
      <c r="CC59" s="518" t="str">
        <f>IF(AND(_AC5="B-767-200",'2023'!$E$4="FO",'2023'!$E$2=CC43),'2023DATA3'!$J$18,"")</f>
        <v/>
      </c>
      <c r="CD59" s="518" t="str">
        <f>IF(AND(_AC5="B-767-200",'2023'!$E$4="FO",'2023'!$E$2=CD43),'2023DATA3'!$K$18,"")</f>
        <v/>
      </c>
      <c r="CE59" s="518" t="str">
        <f>IF(AND(_AC5="B-767-200",'2023'!$E$4="FO",'2023'!$E$2=CE43),'2023DATA3'!$L$18,"")</f>
        <v/>
      </c>
      <c r="CF59" s="518" t="str">
        <f>IF(AND(_AC5="B-767-200",'2023'!$E$4="FO",'2023'!$E$2=CF43),'2023DATA3'!$M$18,"")</f>
        <v/>
      </c>
      <c r="CG59" s="520" t="str">
        <f>IF(AND(_AC5="B-767-200",'2023'!$E$4="FO",'2023'!$E$2=CG43),'2023DATA3'!$N$18,"")</f>
        <v/>
      </c>
      <c r="CH59" s="940"/>
      <c r="CI59" s="13" t="s">
        <v>62</v>
      </c>
      <c r="CJ59" s="518" t="str">
        <f>IF(AND(_AC6="B-767-200",'2023'!$E$4="FO",'2023'!$E$2=CJ43),'2023DATA3'!$C$18,"")</f>
        <v/>
      </c>
      <c r="CK59" s="518" t="str">
        <f>IF(AND(_AC6="B-767-200",'2023'!$E$4="FO",'2023'!$E$2=CK43),'2023DATA3'!$D$18,"")</f>
        <v/>
      </c>
      <c r="CL59" s="518" t="str">
        <f>IF(AND(_AC6="B-767-200",'2023'!$E$4="FO",'2023'!$E$2=CL43),'2023DATA3'!$E$18,"")</f>
        <v/>
      </c>
      <c r="CM59" s="518" t="str">
        <f>IF(AND(_AC6="B-767-200",'2023'!$E$4="FO",'2023'!$E$2=CM43),'2023DATA3'!$F$18,"")</f>
        <v/>
      </c>
      <c r="CN59" s="518" t="str">
        <f>IF(AND(_AC6="B-767-200",'2023'!$E$4="FO",'2023'!$E$2=CN43),'2023DATA3'!$G$18,"")</f>
        <v/>
      </c>
      <c r="CO59" s="518" t="str">
        <f>IF(AND(_AC6="B-767-200",'2023'!$E$4="FO",'2023'!$E$2=CO43),'2023DATA3'!$H$18,"")</f>
        <v/>
      </c>
      <c r="CP59" s="518" t="str">
        <f>IF(AND(_AC6="B-767-200",'2023'!$E$4="FO",'2023'!$E$2=CP43),'2023DATA3'!$I$18,"")</f>
        <v/>
      </c>
      <c r="CQ59" s="518" t="str">
        <f>IF(AND(_AC6="B-767-200",'2023'!$E$4="FO",'2023'!$E$2=CQ43),'2023DATA3'!$J$18,"")</f>
        <v/>
      </c>
      <c r="CR59" s="518" t="str">
        <f>IF(AND(_AC6="B-767-200",'2023'!$E$4="FO",'2023'!$E$2=CR43),'2023DATA3'!$K$18,"")</f>
        <v/>
      </c>
      <c r="CS59" s="518" t="str">
        <f>IF(AND(_AC6="B-767-200",'2023'!$E$4="FO",'2023'!$E$2=CS43),'2023DATA3'!$L$18,"")</f>
        <v/>
      </c>
      <c r="CT59" s="518" t="str">
        <f>IF(AND(_AC6="B-767-200",'2023'!$E$4="FO",'2023'!$E$2=CT43),'2023DATA3'!$M$18,"")</f>
        <v/>
      </c>
      <c r="CU59" s="520" t="str">
        <f>IF(AND(_AC6="B-767-200",'2023'!$E$4="FO",'2023'!$E$2=CU43),'2023DATA3'!$N$18,"")</f>
        <v/>
      </c>
    </row>
    <row r="60" spans="16:99" x14ac:dyDescent="0.25">
      <c r="P60" s="940" t="s">
        <v>45</v>
      </c>
      <c r="Q60" s="13" t="s">
        <v>61</v>
      </c>
      <c r="R60" s="518" t="str">
        <f>IF(AND(_AC1="B-757",'2023'!$E$4="CA",'2023'!$E$2=R43),'2023DATA3'!$C$19,"")</f>
        <v/>
      </c>
      <c r="S60" s="518" t="str">
        <f>IF(AND(_AC1="B-757",'2023'!$E$4="CA",'2023'!$E$2=S43),'2023DATA3'!$D$19,"")</f>
        <v/>
      </c>
      <c r="T60" s="518" t="str">
        <f>IF(AND(_AC1="B-757",'2023'!$E$4="CA",'2023'!$E$2=T43),'2023DATA3'!$E$19,"")</f>
        <v/>
      </c>
      <c r="U60" s="518" t="str">
        <f>IF(AND(_AC1="B-757",'2023'!$E$4="CA",'2023'!$E$2=U43),'2023DATA3'!$F$19,"")</f>
        <v/>
      </c>
      <c r="V60" s="518" t="str">
        <f>IF(AND(_AC1="B-757",'2023'!$E$4="CA",'2023'!$E$2=V43),'2023DATA3'!$G$19,"")</f>
        <v/>
      </c>
      <c r="W60" s="518" t="str">
        <f>IF(AND(_AC1="B-757",'2023'!$E$4="CA",'2023'!$E$2=W43),'2023DATA3'!$H$19,"")</f>
        <v/>
      </c>
      <c r="X60" s="518" t="str">
        <f>IF(AND(_AC1="B-757",'2023'!$E$4="CA",'2023'!$E$2=X43),'2023DATA3'!$I$19,"")</f>
        <v/>
      </c>
      <c r="Y60" s="518" t="str">
        <f>IF(AND(_AC1="B-757",'2023'!$E$4="CA",'2023'!$E$2=Y43),'2023DATA3'!$J$19,"")</f>
        <v/>
      </c>
      <c r="Z60" s="518" t="str">
        <f>IF(AND(_AC1="B-757",'2023'!$E$4="CA",'2023'!$E$2=Z43),'2023DATA3'!$K$19,"")</f>
        <v/>
      </c>
      <c r="AA60" s="518" t="str">
        <f>IF(AND(_AC1="B-757",'2023'!$E$4="CA",'2023'!$E$2=AA43),'2023DATA3'!$L$19,"")</f>
        <v/>
      </c>
      <c r="AB60" s="518" t="str">
        <f>IF(AND(_AC1="B-757",'2023'!$E$4="CA",'2023'!$E$2=AB43),'2023DATA3'!$M$19,"")</f>
        <v/>
      </c>
      <c r="AC60" s="520" t="str">
        <f>IF(AND(_AC1="B-757",'2023'!$E$4="CA",'2023'!$E$2=AC43),'2023DATA3'!$N$19,"")</f>
        <v/>
      </c>
      <c r="AD60" s="940" t="s">
        <v>45</v>
      </c>
      <c r="AE60" s="13" t="s">
        <v>61</v>
      </c>
      <c r="AF60" s="518" t="str">
        <f>IF(AND(_AC2="B-757",'2023'!$E$4="CA",'2023'!$E$2=AF43),'2023DATA3'!$C$19,"")</f>
        <v/>
      </c>
      <c r="AG60" s="518" t="str">
        <f>IF(AND(_AC2="B-757",'2023'!$E$4="CA",'2023'!$E$2=AG43),'2023DATA3'!$D$19,"")</f>
        <v/>
      </c>
      <c r="AH60" s="518" t="str">
        <f>IF(AND(_AC2="B-757",'2023'!$E$4="CA",'2023'!$E$2=AH43),'2023DATA3'!$E$19,"")</f>
        <v/>
      </c>
      <c r="AI60" s="518" t="str">
        <f>IF(AND(_AC2="B-757",'2023'!$E$4="CA",'2023'!$E$2=AI43),'2023DATA3'!$F$19,"")</f>
        <v/>
      </c>
      <c r="AJ60" s="518" t="str">
        <f>IF(AND(_AC2="B-757",'2023'!$E$4="CA",'2023'!$E$2=AJ43),'2023DATA3'!$G$19,"")</f>
        <v/>
      </c>
      <c r="AK60" s="518" t="str">
        <f>IF(AND(_AC2="B-757",'2023'!$E$4="CA",'2023'!$E$2=AK43),'2023DATA3'!$H$19,"")</f>
        <v/>
      </c>
      <c r="AL60" s="518" t="str">
        <f>IF(AND(_AC2="B-757",'2023'!$E$4="CA",'2023'!$E$2=AL43),'2023DATA3'!$I$19,"")</f>
        <v/>
      </c>
      <c r="AM60" s="518" t="str">
        <f>IF(AND(_AC2="B-757",'2023'!$E$4="CA",'2023'!$E$2=AM43),'2023DATA3'!$J$19,"")</f>
        <v/>
      </c>
      <c r="AN60" s="518" t="str">
        <f>IF(AND(_AC2="B-757",'2023'!$E$4="CA",'2023'!$E$2=AN43),'2023DATA3'!$K$19,"")</f>
        <v/>
      </c>
      <c r="AO60" s="518" t="str">
        <f>IF(AND(_AC2="B-757",'2023'!$E$4="CA",'2023'!$E$2=AO43),'2023DATA3'!$L$19,"")</f>
        <v/>
      </c>
      <c r="AP60" s="518" t="str">
        <f>IF(AND(_AC2="B-757",'2023'!$E$4="CA",'2023'!$E$2=AP43),'2023DATA3'!$M$19,"")</f>
        <v/>
      </c>
      <c r="AQ60" s="520" t="str">
        <f>IF(AND(_AC2="B-757",'2023'!$E$4="CA",'2023'!$E$2=AQ43),'2023DATA3'!$N$19,"")</f>
        <v/>
      </c>
      <c r="AR60" s="940" t="s">
        <v>45</v>
      </c>
      <c r="AS60" s="13" t="s">
        <v>61</v>
      </c>
      <c r="AT60" s="518" t="str">
        <f>IF(AND(_AC3="B-757",'2023'!$E$4="CA",'2023'!$E$2=AT43),'2023DATA3'!$C$19,"")</f>
        <v/>
      </c>
      <c r="AU60" s="518" t="str">
        <f>IF(AND(_AC3="B-757",'2023'!$E$4="CA",'2023'!$E$2=AU43),'2023DATA3'!$D$19,"")</f>
        <v/>
      </c>
      <c r="AV60" s="518" t="str">
        <f>IF(AND(_AC3="B-757",'2023'!$E$4="CA",'2023'!$E$2=AV43),'2023DATA3'!$E$19,"")</f>
        <v/>
      </c>
      <c r="AW60" s="518" t="str">
        <f>IF(AND(_AC3="B-757",'2023'!$E$4="CA",'2023'!$E$2=AW43),'2023DATA3'!$F$19,"")</f>
        <v/>
      </c>
      <c r="AX60" s="518" t="str">
        <f>IF(AND(_AC3="B-757",'2023'!$E$4="CA",'2023'!$E$2=AX43),'2023DATA3'!$G$19,"")</f>
        <v/>
      </c>
      <c r="AY60" s="518" t="str">
        <f>IF(AND(_AC3="B-757",'2023'!$E$4="CA",'2023'!$E$2=AY43),'2023DATA3'!$H$19,"")</f>
        <v/>
      </c>
      <c r="AZ60" s="518" t="str">
        <f>IF(AND(_AC3="B-757",'2023'!$E$4="CA",'2023'!$E$2=AZ43),'2023DATA3'!$I$19,"")</f>
        <v/>
      </c>
      <c r="BA60" s="518" t="str">
        <f>IF(AND(_AC3="B-757",'2023'!$E$4="CA",'2023'!$E$2=BA43),'2023DATA3'!$J$19,"")</f>
        <v/>
      </c>
      <c r="BB60" s="518" t="str">
        <f>IF(AND(_AC3="B-757",'2023'!$E$4="CA",'2023'!$E$2=BB43),'2023DATA3'!$K$19,"")</f>
        <v/>
      </c>
      <c r="BC60" s="518" t="str">
        <f>IF(AND(_AC3="B-757",'2023'!$E$4="CA",'2023'!$E$2=BC43),'2023DATA3'!$L$19,"")</f>
        <v/>
      </c>
      <c r="BD60" s="518" t="str">
        <f>IF(AND(_AC3="B-757",'2023'!$E$4="CA",'2023'!$E$2=BD43),'2023DATA3'!$M$19,"")</f>
        <v/>
      </c>
      <c r="BE60" s="520" t="str">
        <f>IF(AND(_AC3="B-757",'2023'!$E$4="CA",'2023'!$E$2=BE43),'2023DATA3'!$N$19,"")</f>
        <v/>
      </c>
      <c r="BF60" s="940" t="s">
        <v>45</v>
      </c>
      <c r="BG60" s="13" t="s">
        <v>61</v>
      </c>
      <c r="BH60" s="518" t="str">
        <f>IF(AND(_AC4="B-757",'2023'!$E$4="CA",'2023'!$E$2=BH43),'2023DATA3'!$C$19,"")</f>
        <v/>
      </c>
      <c r="BI60" s="518" t="str">
        <f>IF(AND(_AC4="B-757",'2023'!$E$4="CA",'2023'!$E$2=BI43),'2023DATA3'!$D$19,"")</f>
        <v/>
      </c>
      <c r="BJ60" s="518" t="str">
        <f>IF(AND(_AC4="B-757",'2023'!$E$4="CA",'2023'!$E$2=BJ43),'2023DATA3'!$E$19,"")</f>
        <v/>
      </c>
      <c r="BK60" s="518" t="str">
        <f>IF(AND(_AC4="B-757",'2023'!$E$4="CA",'2023'!$E$2=BK43),'2023DATA3'!$F$19,"")</f>
        <v/>
      </c>
      <c r="BL60" s="518" t="str">
        <f>IF(AND(_AC4="B-757",'2023'!$E$4="CA",'2023'!$E$2=BL43),'2023DATA3'!$G$19,"")</f>
        <v/>
      </c>
      <c r="BM60" s="518" t="str">
        <f>IF(AND(_AC4="B-757",'2023'!$E$4="CA",'2023'!$E$2=BM43),'2023DATA3'!$H$19,"")</f>
        <v/>
      </c>
      <c r="BN60" s="518" t="str">
        <f>IF(AND(_AC4="B-757",'2023'!$E$4="CA",'2023'!$E$2=BN43),'2023DATA3'!$I$19,"")</f>
        <v/>
      </c>
      <c r="BO60" s="518" t="str">
        <f>IF(AND(_AC4="B-757",'2023'!$E$4="CA",'2023'!$E$2=BO43),'2023DATA3'!$J$19,"")</f>
        <v/>
      </c>
      <c r="BP60" s="518" t="str">
        <f>IF(AND(_AC4="B-757",'2023'!$E$4="CA",'2023'!$E$2=BP43),'2023DATA3'!$K$19,"")</f>
        <v/>
      </c>
      <c r="BQ60" s="518" t="str">
        <f>IF(AND(_AC4="B-757",'2023'!$E$4="CA",'2023'!$E$2=BQ43),'2023DATA3'!$L$19,"")</f>
        <v/>
      </c>
      <c r="BR60" s="518" t="str">
        <f>IF(AND(_AC4="B-757",'2023'!$E$4="CA",'2023'!$E$2=BR43),'2023DATA3'!$M$19,"")</f>
        <v/>
      </c>
      <c r="BS60" s="520" t="str">
        <f>IF(AND(_AC4="B-757",'2023'!$E$4="CA",'2023'!$E$2=BS43),'2023DATA3'!$N$19,"")</f>
        <v/>
      </c>
      <c r="BT60" s="940" t="s">
        <v>45</v>
      </c>
      <c r="BU60" s="13" t="s">
        <v>61</v>
      </c>
      <c r="BV60" s="518" t="str">
        <f>IF(AND(_AC5="B-757",'2023'!$E$4="CA",'2023'!$E$2=BV43),'2023DATA3'!$C$19,"")</f>
        <v/>
      </c>
      <c r="BW60" s="518" t="str">
        <f>IF(AND(_AC5="B-757",'2023'!$E$4="CA",'2023'!$E$2=BW43),'2023DATA3'!$D$19,"")</f>
        <v/>
      </c>
      <c r="BX60" s="518" t="str">
        <f>IF(AND(_AC5="B-757",'2023'!$E$4="CA",'2023'!$E$2=BX43),'2023DATA3'!$E$19,"")</f>
        <v/>
      </c>
      <c r="BY60" s="518" t="str">
        <f>IF(AND(_AC5="B-757",'2023'!$E$4="CA",'2023'!$E$2=BY43),'2023DATA3'!$F$19,"")</f>
        <v/>
      </c>
      <c r="BZ60" s="518" t="str">
        <f>IF(AND(_AC5="B-757",'2023'!$E$4="CA",'2023'!$E$2=BZ43),'2023DATA3'!$G$19,"")</f>
        <v/>
      </c>
      <c r="CA60" s="518" t="str">
        <f>IF(AND(_AC5="B-757",'2023'!$E$4="CA",'2023'!$E$2=CA43),'2023DATA3'!$H$19,"")</f>
        <v/>
      </c>
      <c r="CB60" s="518" t="str">
        <f>IF(AND(_AC5="B-757",'2023'!$E$4="CA",'2023'!$E$2=CB43),'2023DATA3'!$I$19,"")</f>
        <v/>
      </c>
      <c r="CC60" s="518" t="str">
        <f>IF(AND(_AC5="B-757",'2023'!$E$4="CA",'2023'!$E$2=CC43),'2023DATA3'!$J$19,"")</f>
        <v/>
      </c>
      <c r="CD60" s="518" t="str">
        <f>IF(AND(_AC5="B-757",'2023'!$E$4="CA",'2023'!$E$2=CD43),'2023DATA3'!$K$19,"")</f>
        <v/>
      </c>
      <c r="CE60" s="518" t="str">
        <f>IF(AND(_AC5="B-757",'2023'!$E$4="CA",'2023'!$E$2=CE43),'2023DATA3'!$L$19,"")</f>
        <v/>
      </c>
      <c r="CF60" s="518" t="str">
        <f>IF(AND(_AC5="B-757",'2023'!$E$4="CA",'2023'!$E$2=CF43),'2023DATA3'!$M$19,"")</f>
        <v/>
      </c>
      <c r="CG60" s="520" t="str">
        <f>IF(AND(_AC5="B-757",'2023'!$E$4="CA",'2023'!$E$2=CG43),'2023DATA3'!$N$19,"")</f>
        <v/>
      </c>
      <c r="CH60" s="940" t="s">
        <v>45</v>
      </c>
      <c r="CI60" s="13" t="s">
        <v>61</v>
      </c>
      <c r="CJ60" s="518" t="str">
        <f>IF(AND(_AC6="B-757",'2023'!$E$4="CA",'2023'!$E$2=CJ43),'2023DATA3'!$C$19,"")</f>
        <v/>
      </c>
      <c r="CK60" s="518" t="str">
        <f>IF(AND(_AC6="B-757",'2023'!$E$4="CA",'2023'!$E$2=CK43),'2023DATA3'!$D$19,"")</f>
        <v/>
      </c>
      <c r="CL60" s="518" t="str">
        <f>IF(AND(_AC6="B-757",'2023'!$E$4="CA",'2023'!$E$2=CL43),'2023DATA3'!$E$19,"")</f>
        <v/>
      </c>
      <c r="CM60" s="518" t="str">
        <f>IF(AND(_AC6="B-757",'2023'!$E$4="CA",'2023'!$E$2=CM43),'2023DATA3'!$F$19,"")</f>
        <v/>
      </c>
      <c r="CN60" s="518" t="str">
        <f>IF(AND(_AC6="B-757",'2023'!$E$4="CA",'2023'!$E$2=CN43),'2023DATA3'!$G$19,"")</f>
        <v/>
      </c>
      <c r="CO60" s="518" t="str">
        <f>IF(AND(_AC6="B-757",'2023'!$E$4="CA",'2023'!$E$2=CO43),'2023DATA3'!$H$19,"")</f>
        <v/>
      </c>
      <c r="CP60" s="518" t="str">
        <f>IF(AND(_AC6="B-757",'2023'!$E$4="CA",'2023'!$E$2=CP43),'2023DATA3'!$I$19,"")</f>
        <v/>
      </c>
      <c r="CQ60" s="518" t="str">
        <f>IF(AND(_AC6="B-757",'2023'!$E$4="CA",'2023'!$E$2=CQ43),'2023DATA3'!$J$19,"")</f>
        <v/>
      </c>
      <c r="CR60" s="518" t="str">
        <f>IF(AND(_AC6="B-757",'2023'!$E$4="CA",'2023'!$E$2=CR43),'2023DATA3'!$K$19,"")</f>
        <v/>
      </c>
      <c r="CS60" s="518" t="str">
        <f>IF(AND(_AC6="B-757",'2023'!$E$4="CA",'2023'!$E$2=CS43),'2023DATA3'!$L$19,"")</f>
        <v/>
      </c>
      <c r="CT60" s="518" t="str">
        <f>IF(AND(_AC6="B-757",'2023'!$E$4="CA",'2023'!$E$2=CT43),'2023DATA3'!$M$19,"")</f>
        <v/>
      </c>
      <c r="CU60" s="520" t="str">
        <f>IF(AND(_AC6="B-757",'2023'!$E$4="CA",'2023'!$E$2=CU43),'2023DATA3'!$N$19,"")</f>
        <v/>
      </c>
    </row>
    <row r="61" spans="16:99" x14ac:dyDescent="0.25">
      <c r="P61" s="940"/>
      <c r="Q61" s="13" t="s">
        <v>62</v>
      </c>
      <c r="R61" s="518" t="str">
        <f>IF(AND(_AC1="B-757",'2023'!$E$4="FO",'2023'!$E$2=R43),'2023DATA3'!$C$20,"")</f>
        <v/>
      </c>
      <c r="S61" s="518" t="str">
        <f>IF(AND(_AC1="B-757",'2023'!$E$4="FO",'2023'!$E$2=S43),'2023DATA3'!$D$20,"")</f>
        <v/>
      </c>
      <c r="T61" s="518" t="str">
        <f>IF(AND(_AC1="B-757",'2023'!$E$4="FO",'2023'!$E$2=T43),'2023DATA3'!$E$20,"")</f>
        <v/>
      </c>
      <c r="U61" s="518" t="str">
        <f>IF(AND(_AC1="B-757",'2023'!$E$4="FO",'2023'!$E$2=U43),'2023DATA3'!$F$20,"")</f>
        <v/>
      </c>
      <c r="V61" s="518" t="str">
        <f>IF(AND(_AC1="B-757",'2023'!$E$4="FO",'2023'!$E$2=V43),'2023DATA3'!$G$20,"")</f>
        <v/>
      </c>
      <c r="W61" s="518" t="str">
        <f>IF(AND(_AC1="B-757",'2023'!$E$4="FO",'2023'!$E$2=W43),'2023DATA3'!$H$20,"")</f>
        <v/>
      </c>
      <c r="X61" s="518" t="str">
        <f>IF(AND(_AC1="B-757",'2023'!$E$4="FO",'2023'!$E$2=X43),'2023DATA3'!$I$20,"")</f>
        <v/>
      </c>
      <c r="Y61" s="518" t="str">
        <f>IF(AND(_AC1="B-757",'2023'!$E$4="FO",'2023'!$E$2=Y43),'2023DATA3'!$J$20,"")</f>
        <v/>
      </c>
      <c r="Z61" s="518" t="str">
        <f>IF(AND(_AC1="B-757",'2023'!$E$4="FO",'2023'!$E$2=Z43),'2023DATA3'!$K$20,"")</f>
        <v/>
      </c>
      <c r="AA61" s="518" t="str">
        <f>IF(AND(_AC1="B-757",'2023'!$E$4="FO",'2023'!$E$2=AA43),'2023DATA3'!$L$20,"")</f>
        <v/>
      </c>
      <c r="AB61" s="518" t="str">
        <f>IF(AND(_AC1="B-757",'2023'!$E$4="FO",'2023'!$E$2=AB43),'2023DATA3'!$M$20,"")</f>
        <v/>
      </c>
      <c r="AC61" s="520" t="str">
        <f>IF(AND(_AC1="B-757",'2023'!$E$4="FO",'2023'!$E$2=AC43),'2023DATA3'!$N$20,"")</f>
        <v/>
      </c>
      <c r="AD61" s="940"/>
      <c r="AE61" s="13" t="s">
        <v>62</v>
      </c>
      <c r="AF61" s="518" t="str">
        <f>IF(AND(_AC2="B-757",'2023'!$E$4="FO",'2023'!$E$2=AF43),'2023DATA3'!$C$20,"")</f>
        <v/>
      </c>
      <c r="AG61" s="518" t="str">
        <f>IF(AND(_AC2="B-757",'2023'!$E$4="FO",'2023'!$E$2=AG43),'2023DATA3'!$D$20,"")</f>
        <v/>
      </c>
      <c r="AH61" s="518" t="str">
        <f>IF(AND(_AC2="B-757",'2023'!$E$4="FO",'2023'!$E$2=AH43),'2023DATA3'!$E$20,"")</f>
        <v/>
      </c>
      <c r="AI61" s="518" t="str">
        <f>IF(AND(_AC2="B-757",'2023'!$E$4="FO",'2023'!$E$2=AI43),'2023DATA3'!$F$20,"")</f>
        <v/>
      </c>
      <c r="AJ61" s="518" t="str">
        <f>IF(AND(_AC2="B-757",'2023'!$E$4="FO",'2023'!$E$2=AJ43),'2023DATA3'!$G$20,"")</f>
        <v/>
      </c>
      <c r="AK61" s="518" t="str">
        <f>IF(AND(_AC2="B-757",'2023'!$E$4="FO",'2023'!$E$2=AK43),'2023DATA3'!$H$20,"")</f>
        <v/>
      </c>
      <c r="AL61" s="518" t="str">
        <f>IF(AND(_AC2="B-757",'2023'!$E$4="FO",'2023'!$E$2=AL43),'2023DATA3'!$I$20,"")</f>
        <v/>
      </c>
      <c r="AM61" s="518" t="str">
        <f>IF(AND(_AC2="B-757",'2023'!$E$4="FO",'2023'!$E$2=AM43),'2023DATA3'!$J$20,"")</f>
        <v/>
      </c>
      <c r="AN61" s="518" t="str">
        <f>IF(AND(_AC2="B-757",'2023'!$E$4="FO",'2023'!$E$2=AN43),'2023DATA3'!$K$20,"")</f>
        <v/>
      </c>
      <c r="AO61" s="518" t="str">
        <f>IF(AND(_AC2="B-757",'2023'!$E$4="FO",'2023'!$E$2=AO43),'2023DATA3'!$L$20,"")</f>
        <v/>
      </c>
      <c r="AP61" s="518" t="str">
        <f>IF(AND(_AC2="B-757",'2023'!$E$4="FO",'2023'!$E$2=AP43),'2023DATA3'!$M$20,"")</f>
        <v/>
      </c>
      <c r="AQ61" s="520" t="str">
        <f>IF(AND(_AC2="B-757",'2023'!$E$4="FO",'2023'!$E$2=AQ43),'2023DATA3'!$N$20,"")</f>
        <v/>
      </c>
      <c r="AR61" s="940"/>
      <c r="AS61" s="13" t="s">
        <v>62</v>
      </c>
      <c r="AT61" s="518" t="str">
        <f>IF(AND(_AC3="B-757",'2023'!$E$4="FO",'2023'!$E$2=AT43),'2023DATA3'!$C$20,"")</f>
        <v/>
      </c>
      <c r="AU61" s="518" t="str">
        <f>IF(AND(_AC3="B-757",'2023'!$E$4="FO",'2023'!$E$2=AU43),'2023DATA3'!$D$20,"")</f>
        <v/>
      </c>
      <c r="AV61" s="518" t="str">
        <f>IF(AND(_AC3="B-757",'2023'!$E$4="FO",'2023'!$E$2=AV43),'2023DATA3'!$E$20,"")</f>
        <v/>
      </c>
      <c r="AW61" s="518" t="str">
        <f>IF(AND(_AC3="B-757",'2023'!$E$4="FO",'2023'!$E$2=AW43),'2023DATA3'!$F$20,"")</f>
        <v/>
      </c>
      <c r="AX61" s="518" t="str">
        <f>IF(AND(_AC3="B-757",'2023'!$E$4="FO",'2023'!$E$2=AX43),'2023DATA3'!$G$20,"")</f>
        <v/>
      </c>
      <c r="AY61" s="518" t="str">
        <f>IF(AND(_AC3="B-757",'2023'!$E$4="FO",'2023'!$E$2=AY43),'2023DATA3'!$H$20,"")</f>
        <v/>
      </c>
      <c r="AZ61" s="518" t="str">
        <f>IF(AND(_AC3="B-757",'2023'!$E$4="FO",'2023'!$E$2=AZ43),'2023DATA3'!$I$20,"")</f>
        <v/>
      </c>
      <c r="BA61" s="518" t="str">
        <f>IF(AND(_AC3="B-757",'2023'!$E$4="FO",'2023'!$E$2=BA43),'2023DATA3'!$J$20,"")</f>
        <v/>
      </c>
      <c r="BB61" s="518" t="str">
        <f>IF(AND(_AC3="B-757",'2023'!$E$4="FO",'2023'!$E$2=BB43),'2023DATA3'!$K$20,"")</f>
        <v/>
      </c>
      <c r="BC61" s="518" t="str">
        <f>IF(AND(_AC3="B-757",'2023'!$E$4="FO",'2023'!$E$2=BC43),'2023DATA3'!$L$20,"")</f>
        <v/>
      </c>
      <c r="BD61" s="518" t="str">
        <f>IF(AND(_AC3="B-757",'2023'!$E$4="FO",'2023'!$E$2=BD43),'2023DATA3'!$M$20,"")</f>
        <v/>
      </c>
      <c r="BE61" s="520" t="str">
        <f>IF(AND(_AC3="B-757",'2023'!$E$4="FO",'2023'!$E$2=BE43),'2023DATA3'!$N$20,"")</f>
        <v/>
      </c>
      <c r="BF61" s="940"/>
      <c r="BG61" s="13" t="s">
        <v>62</v>
      </c>
      <c r="BH61" s="518" t="str">
        <f>IF(AND(_AC4="B-757",'2023'!$E$4="FO",'2023'!$E$2=BH43),'2023DATA3'!$C$20,"")</f>
        <v/>
      </c>
      <c r="BI61" s="518" t="str">
        <f>IF(AND(_AC4="B-757",'2023'!$E$4="FO",'2023'!$E$2=BI43),'2023DATA3'!$D$20,"")</f>
        <v/>
      </c>
      <c r="BJ61" s="518" t="str">
        <f>IF(AND(_AC4="B-757",'2023'!$E$4="FO",'2023'!$E$2=BJ43),'2023DATA3'!$E$20,"")</f>
        <v/>
      </c>
      <c r="BK61" s="518" t="str">
        <f>IF(AND(_AC4="B-757",'2023'!$E$4="FO",'2023'!$E$2=BK43),'2023DATA3'!$F$20,"")</f>
        <v/>
      </c>
      <c r="BL61" s="518" t="str">
        <f>IF(AND(_AC4="B-757",'2023'!$E$4="FO",'2023'!$E$2=BL43),'2023DATA3'!$G$20,"")</f>
        <v/>
      </c>
      <c r="BM61" s="518" t="str">
        <f>IF(AND(_AC4="B-757",'2023'!$E$4="FO",'2023'!$E$2=BM43),'2023DATA3'!$H$20,"")</f>
        <v/>
      </c>
      <c r="BN61" s="518" t="str">
        <f>IF(AND(_AC4="B-757",'2023'!$E$4="FO",'2023'!$E$2=BN43),'2023DATA3'!$I$20,"")</f>
        <v/>
      </c>
      <c r="BO61" s="518" t="str">
        <f>IF(AND(_AC4="B-757",'2023'!$E$4="FO",'2023'!$E$2=BO43),'2023DATA3'!$J$20,"")</f>
        <v/>
      </c>
      <c r="BP61" s="518" t="str">
        <f>IF(AND(_AC4="B-757",'2023'!$E$4="FO",'2023'!$E$2=BP43),'2023DATA3'!$K$20,"")</f>
        <v/>
      </c>
      <c r="BQ61" s="518" t="str">
        <f>IF(AND(_AC4="B-757",'2023'!$E$4="FO",'2023'!$E$2=BQ43),'2023DATA3'!$L$20,"")</f>
        <v/>
      </c>
      <c r="BR61" s="518" t="str">
        <f>IF(AND(_AC4="B-757",'2023'!$E$4="FO",'2023'!$E$2=BR43),'2023DATA3'!$M$20,"")</f>
        <v/>
      </c>
      <c r="BS61" s="520" t="str">
        <f>IF(AND(_AC4="B-757",'2023'!$E$4="FO",'2023'!$E$2=BS43),'2023DATA3'!$N$20,"")</f>
        <v/>
      </c>
      <c r="BT61" s="940"/>
      <c r="BU61" s="13" t="s">
        <v>62</v>
      </c>
      <c r="BV61" s="518" t="str">
        <f>IF(AND(_AC5="B-757",'2023'!$E$4="FO",'2023'!$E$2=BV43),'2023DATA3'!$C$20,"")</f>
        <v/>
      </c>
      <c r="BW61" s="518" t="str">
        <f>IF(AND(_AC5="B-757",'2023'!$E$4="FO",'2023'!$E$2=BW43),'2023DATA3'!$D$20,"")</f>
        <v/>
      </c>
      <c r="BX61" s="518" t="str">
        <f>IF(AND(_AC5="B-757",'2023'!$E$4="FO",'2023'!$E$2=BX43),'2023DATA3'!$E$20,"")</f>
        <v/>
      </c>
      <c r="BY61" s="518" t="str">
        <f>IF(AND(_AC5="B-757",'2023'!$E$4="FO",'2023'!$E$2=BY43),'2023DATA3'!$F$20,"")</f>
        <v/>
      </c>
      <c r="BZ61" s="518" t="str">
        <f>IF(AND(_AC5="B-757",'2023'!$E$4="FO",'2023'!$E$2=BZ43),'2023DATA3'!$G$20,"")</f>
        <v/>
      </c>
      <c r="CA61" s="518" t="str">
        <f>IF(AND(_AC5="B-757",'2023'!$E$4="FO",'2023'!$E$2=CA43),'2023DATA3'!$H$20,"")</f>
        <v/>
      </c>
      <c r="CB61" s="518" t="str">
        <f>IF(AND(_AC5="B-757",'2023'!$E$4="FO",'2023'!$E$2=CB43),'2023DATA3'!$I$20,"")</f>
        <v/>
      </c>
      <c r="CC61" s="518" t="str">
        <f>IF(AND(_AC5="B-757",'2023'!$E$4="FO",'2023'!$E$2=CC43),'2023DATA3'!$J$20,"")</f>
        <v/>
      </c>
      <c r="CD61" s="518" t="str">
        <f>IF(AND(_AC5="B-757",'2023'!$E$4="FO",'2023'!$E$2=CD43),'2023DATA3'!$K$20,"")</f>
        <v/>
      </c>
      <c r="CE61" s="518" t="str">
        <f>IF(AND(_AC5="B-757",'2023'!$E$4="FO",'2023'!$E$2=CE43),'2023DATA3'!$L$20,"")</f>
        <v/>
      </c>
      <c r="CF61" s="518" t="str">
        <f>IF(AND(_AC5="B-757",'2023'!$E$4="FO",'2023'!$E$2=CF43),'2023DATA3'!$M$20,"")</f>
        <v/>
      </c>
      <c r="CG61" s="520" t="str">
        <f>IF(AND(_AC5="B-757",'2023'!$E$4="FO",'2023'!$E$2=CG43),'2023DATA3'!$N$20,"")</f>
        <v/>
      </c>
      <c r="CH61" s="940"/>
      <c r="CI61" s="13" t="s">
        <v>62</v>
      </c>
      <c r="CJ61" s="518" t="str">
        <f>IF(AND(_AC6="B-757",'2023'!$E$4="FO",'2023'!$E$2=CJ43),'2023DATA3'!$C$20,"")</f>
        <v/>
      </c>
      <c r="CK61" s="518" t="str">
        <f>IF(AND(_AC6="B-757",'2023'!$E$4="FO",'2023'!$E$2=CK43),'2023DATA3'!$D$20,"")</f>
        <v/>
      </c>
      <c r="CL61" s="518" t="str">
        <f>IF(AND(_AC6="B-757",'2023'!$E$4="FO",'2023'!$E$2=CL43),'2023DATA3'!$E$20,"")</f>
        <v/>
      </c>
      <c r="CM61" s="518" t="str">
        <f>IF(AND(_AC6="B-757",'2023'!$E$4="FO",'2023'!$E$2=CM43),'2023DATA3'!$F$20,"")</f>
        <v/>
      </c>
      <c r="CN61" s="518" t="str">
        <f>IF(AND(_AC6="B-757",'2023'!$E$4="FO",'2023'!$E$2=CN43),'2023DATA3'!$G$20,"")</f>
        <v/>
      </c>
      <c r="CO61" s="518" t="str">
        <f>IF(AND(_AC6="B-757",'2023'!$E$4="FO",'2023'!$E$2=CO43),'2023DATA3'!$H$20,"")</f>
        <v/>
      </c>
      <c r="CP61" s="518" t="str">
        <f>IF(AND(_AC6="B-757",'2023'!$E$4="FO",'2023'!$E$2=CP43),'2023DATA3'!$I$20,"")</f>
        <v/>
      </c>
      <c r="CQ61" s="518" t="str">
        <f>IF(AND(_AC6="B-757",'2023'!$E$4="FO",'2023'!$E$2=CQ43),'2023DATA3'!$J$20,"")</f>
        <v/>
      </c>
      <c r="CR61" s="518" t="str">
        <f>IF(AND(_AC6="B-757",'2023'!$E$4="FO",'2023'!$E$2=CR43),'2023DATA3'!$K$20,"")</f>
        <v/>
      </c>
      <c r="CS61" s="518" t="str">
        <f>IF(AND(_AC6="B-757",'2023'!$E$4="FO",'2023'!$E$2=CS43),'2023DATA3'!$L$20,"")</f>
        <v/>
      </c>
      <c r="CT61" s="518" t="str">
        <f>IF(AND(_AC6="B-757",'2023'!$E$4="FO",'2023'!$E$2=CT43),'2023DATA3'!$M$20,"")</f>
        <v/>
      </c>
      <c r="CU61" s="520" t="str">
        <f>IF(AND(_AC6="B-757",'2023'!$E$4="FO",'2023'!$E$2=CU43),'2023DATA3'!$N$20,"")</f>
        <v/>
      </c>
    </row>
    <row r="62" spans="16:99" x14ac:dyDescent="0.25">
      <c r="P62" s="940" t="s">
        <v>47</v>
      </c>
      <c r="Q62" s="13" t="s">
        <v>61</v>
      </c>
      <c r="R62" s="518" t="str">
        <f>IF(AND(_AC1="B-737-900",'2023'!$E$4="CA",'2023'!$E$2=R43),'2023DATA3'!$C$21,"")</f>
        <v/>
      </c>
      <c r="S62" s="518" t="str">
        <f>IF(AND(_AC1="B-737-900",'2023'!$E$4="CA",'2023'!$E$2=S43),'2023DATA3'!$D$21,"")</f>
        <v/>
      </c>
      <c r="T62" s="518" t="str">
        <f>IF(AND(_AC1="B-737-900",'2023'!$E$4="CA",'2023'!$E$2=T43),'2023DATA3'!$E$21,"")</f>
        <v/>
      </c>
      <c r="U62" s="518" t="str">
        <f>IF(AND(_AC1="B-737-900",'2023'!$E$4="CA",'2023'!$E$2=U43),'2023DATA3'!$F$21,"")</f>
        <v/>
      </c>
      <c r="V62" s="518" t="str">
        <f>IF(AND(_AC1="B-737-900",'2023'!$E$4="CA",'2023'!$E$2=V43),'2023DATA3'!$G$21,"")</f>
        <v/>
      </c>
      <c r="W62" s="518" t="str">
        <f>IF(AND(_AC1="B-737-900",'2023'!$E$4="CA",'2023'!$E$2=W43),'2023DATA3'!$H$21,"")</f>
        <v/>
      </c>
      <c r="X62" s="518" t="str">
        <f>IF(AND(_AC1="B-737-900",'2023'!$E$4="CA",'2023'!$E$2=X43),'2023DATA3'!$I$21,"")</f>
        <v/>
      </c>
      <c r="Y62" s="518" t="str">
        <f>IF(AND(_AC1="B-737-900",'2023'!$E$4="CA",'2023'!$E$2=Y43),'2023DATA3'!$J$21,"")</f>
        <v/>
      </c>
      <c r="Z62" s="518" t="str">
        <f>IF(AND(_AC1="B-737-900",'2023'!$E$4="CA",'2023'!$E$2=Z43),'2023DATA3'!$K$21,"")</f>
        <v/>
      </c>
      <c r="AA62" s="518" t="str">
        <f>IF(AND(_AC1="B-737-900",'2023'!$E$4="CA",'2023'!$E$2=AA43),'2023DATA3'!$L$21,"")</f>
        <v/>
      </c>
      <c r="AB62" s="518" t="str">
        <f>IF(AND(_AC1="B-737-900",'2023'!$E$4="CA",'2023'!$E$2=AB43),'2023DATA3'!$M$21,"")</f>
        <v/>
      </c>
      <c r="AC62" s="520" t="str">
        <f>IF(AND(_AC1="B-737-900",'2023'!$E$4="CA",'2023'!$E$2=AC43),'2023DATA3'!$N$21,"")</f>
        <v/>
      </c>
      <c r="AD62" s="940" t="s">
        <v>47</v>
      </c>
      <c r="AE62" s="13" t="s">
        <v>61</v>
      </c>
      <c r="AF62" s="518" t="str">
        <f>IF(AND(_AC2="B-737-900",'2023'!$E$4="CA",'2023'!$E$2=AF43),'2023DATA3'!$C$21,"")</f>
        <v/>
      </c>
      <c r="AG62" s="518" t="str">
        <f>IF(AND(_AC2="B-737-900",'2023'!$E$4="CA",'2023'!$E$2=AG43),'2023DATA3'!$D$21,"")</f>
        <v/>
      </c>
      <c r="AH62" s="518" t="str">
        <f>IF(AND(_AC2="B-737-900",'2023'!$E$4="CA",'2023'!$E$2=AH43),'2023DATA3'!$E$21,"")</f>
        <v/>
      </c>
      <c r="AI62" s="518" t="str">
        <f>IF(AND(_AC2="B-737-900",'2023'!$E$4="CA",'2023'!$E$2=AI43),'2023DATA3'!$F$21,"")</f>
        <v/>
      </c>
      <c r="AJ62" s="518" t="str">
        <f>IF(AND(_AC2="B-737-900",'2023'!$E$4="CA",'2023'!$E$2=AJ43),'2023DATA3'!$G$21,"")</f>
        <v/>
      </c>
      <c r="AK62" s="518" t="str">
        <f>IF(AND(_AC2="B-737-900",'2023'!$E$4="CA",'2023'!$E$2=AK43),'2023DATA3'!$H$21,"")</f>
        <v/>
      </c>
      <c r="AL62" s="518" t="str">
        <f>IF(AND(_AC2="B-737-900",'2023'!$E$4="CA",'2023'!$E$2=AL43),'2023DATA3'!$I$21,"")</f>
        <v/>
      </c>
      <c r="AM62" s="518" t="str">
        <f>IF(AND(_AC2="B-737-900",'2023'!$E$4="CA",'2023'!$E$2=AM43),'2023DATA3'!$J$21,"")</f>
        <v/>
      </c>
      <c r="AN62" s="518" t="str">
        <f>IF(AND(_AC2="B-737-900",'2023'!$E$4="CA",'2023'!$E$2=AN43),'2023DATA3'!$K$21,"")</f>
        <v/>
      </c>
      <c r="AO62" s="518" t="str">
        <f>IF(AND(_AC2="B-737-900",'2023'!$E$4="CA",'2023'!$E$2=AO43),'2023DATA3'!$L$21,"")</f>
        <v/>
      </c>
      <c r="AP62" s="518" t="str">
        <f>IF(AND(_AC2="B-737-900",'2023'!$E$4="CA",'2023'!$E$2=AP43),'2023DATA3'!$M$21,"")</f>
        <v/>
      </c>
      <c r="AQ62" s="520" t="str">
        <f>IF(AND(_AC2="B-737-900",'2023'!$E$4="CA",'2023'!$E$2=AQ43),'2023DATA3'!$N$21,"")</f>
        <v/>
      </c>
      <c r="AR62" s="940" t="s">
        <v>47</v>
      </c>
      <c r="AS62" s="13" t="s">
        <v>61</v>
      </c>
      <c r="AT62" s="518" t="str">
        <f>IF(AND(_AC3="B-737-900",'2023'!$E$4="CA",'2023'!$E$2=AT43),'2023DATA3'!$C$21,"")</f>
        <v/>
      </c>
      <c r="AU62" s="518" t="str">
        <f>IF(AND(_AC3="B-737-900",'2023'!$E$4="CA",'2023'!$E$2=AU43),'2023DATA3'!$D$21,"")</f>
        <v/>
      </c>
      <c r="AV62" s="518" t="str">
        <f>IF(AND(_AC3="B-737-900",'2023'!$E$4="CA",'2023'!$E$2=AV43),'2023DATA3'!$E$21,"")</f>
        <v/>
      </c>
      <c r="AW62" s="518" t="str">
        <f>IF(AND(_AC3="B-737-900",'2023'!$E$4="CA",'2023'!$E$2=AW43),'2023DATA3'!$F$21,"")</f>
        <v/>
      </c>
      <c r="AX62" s="518" t="str">
        <f>IF(AND(_AC3="B-737-900",'2023'!$E$4="CA",'2023'!$E$2=AX43),'2023DATA3'!$G$21,"")</f>
        <v/>
      </c>
      <c r="AY62" s="518" t="str">
        <f>IF(AND(_AC3="B-737-900",'2023'!$E$4="CA",'2023'!$E$2=AY43),'2023DATA3'!$H$21,"")</f>
        <v/>
      </c>
      <c r="AZ62" s="518" t="str">
        <f>IF(AND(_AC3="B-737-900",'2023'!$E$4="CA",'2023'!$E$2=AZ43),'2023DATA3'!$I$21,"")</f>
        <v/>
      </c>
      <c r="BA62" s="518" t="str">
        <f>IF(AND(_AC3="B-737-900",'2023'!$E$4="CA",'2023'!$E$2=BA43),'2023DATA3'!$J$21,"")</f>
        <v/>
      </c>
      <c r="BB62" s="518" t="str">
        <f>IF(AND(_AC3="B-737-900",'2023'!$E$4="CA",'2023'!$E$2=BB43),'2023DATA3'!$K$21,"")</f>
        <v/>
      </c>
      <c r="BC62" s="518" t="str">
        <f>IF(AND(_AC3="B-737-900",'2023'!$E$4="CA",'2023'!$E$2=BC43),'2023DATA3'!$L$21,"")</f>
        <v/>
      </c>
      <c r="BD62" s="518" t="str">
        <f>IF(AND(_AC3="B-737-900",'2023'!$E$4="CA",'2023'!$E$2=BD43),'2023DATA3'!$M$21,"")</f>
        <v/>
      </c>
      <c r="BE62" s="520" t="str">
        <f>IF(AND(_AC3="B-737-900",'2023'!$E$4="CA",'2023'!$E$2=BE43),'2023DATA3'!$N$21,"")</f>
        <v/>
      </c>
      <c r="BF62" s="940" t="s">
        <v>47</v>
      </c>
      <c r="BG62" s="13" t="s">
        <v>61</v>
      </c>
      <c r="BH62" s="518" t="str">
        <f>IF(AND(_AC4="B-737-900",'2023'!$E$4="CA",'2023'!$E$2=BH43),'2023DATA3'!$C$21,"")</f>
        <v/>
      </c>
      <c r="BI62" s="518" t="str">
        <f>IF(AND(_AC4="B-737-900",'2023'!$E$4="CA",'2023'!$E$2=BI43),'2023DATA3'!$D$21,"")</f>
        <v/>
      </c>
      <c r="BJ62" s="518" t="str">
        <f>IF(AND(_AC4="B-737-900",'2023'!$E$4="CA",'2023'!$E$2=BJ43),'2023DATA3'!$E$21,"")</f>
        <v/>
      </c>
      <c r="BK62" s="518" t="str">
        <f>IF(AND(_AC4="B-737-900",'2023'!$E$4="CA",'2023'!$E$2=BK43),'2023DATA3'!$F$21,"")</f>
        <v/>
      </c>
      <c r="BL62" s="518" t="str">
        <f>IF(AND(_AC4="B-737-900",'2023'!$E$4="CA",'2023'!$E$2=BL43),'2023DATA3'!$G$21,"")</f>
        <v/>
      </c>
      <c r="BM62" s="518" t="str">
        <f>IF(AND(_AC4="B-737-900",'2023'!$E$4="CA",'2023'!$E$2=BM43),'2023DATA3'!$H$21,"")</f>
        <v/>
      </c>
      <c r="BN62" s="518" t="str">
        <f>IF(AND(_AC4="B-737-900",'2023'!$E$4="CA",'2023'!$E$2=BN43),'2023DATA3'!$I$21,"")</f>
        <v/>
      </c>
      <c r="BO62" s="518" t="str">
        <f>IF(AND(_AC4="B-737-900",'2023'!$E$4="CA",'2023'!$E$2=BO43),'2023DATA3'!$J$21,"")</f>
        <v/>
      </c>
      <c r="BP62" s="518" t="str">
        <f>IF(AND(_AC4="B-737-900",'2023'!$E$4="CA",'2023'!$E$2=BP43),'2023DATA3'!$K$21,"")</f>
        <v/>
      </c>
      <c r="BQ62" s="518" t="str">
        <f>IF(AND(_AC4="B-737-900",'2023'!$E$4="CA",'2023'!$E$2=BQ43),'2023DATA3'!$L$21,"")</f>
        <v/>
      </c>
      <c r="BR62" s="518" t="str">
        <f>IF(AND(_AC4="B-737-900",'2023'!$E$4="CA",'2023'!$E$2=BR43),'2023DATA3'!$M$21,"")</f>
        <v/>
      </c>
      <c r="BS62" s="520" t="str">
        <f>IF(AND(_AC4="B-737-900",'2023'!$E$4="CA",'2023'!$E$2=BS43),'2023DATA3'!$N$21,"")</f>
        <v/>
      </c>
      <c r="BT62" s="940" t="s">
        <v>47</v>
      </c>
      <c r="BU62" s="13" t="s">
        <v>61</v>
      </c>
      <c r="BV62" s="518" t="str">
        <f>IF(AND(_AC5="B-737-900",'2023'!$E$4="CA",'2023'!$E$2=BV43),'2023DATA3'!$C$21,"")</f>
        <v/>
      </c>
      <c r="BW62" s="518" t="str">
        <f>IF(AND(_AC5="B-737-900",'2023'!$E$4="CA",'2023'!$E$2=BW43),'2023DATA3'!$D$21,"")</f>
        <v/>
      </c>
      <c r="BX62" s="518" t="str">
        <f>IF(AND(_AC5="B-737-900",'2023'!$E$4="CA",'2023'!$E$2=BX43),'2023DATA3'!$E$21,"")</f>
        <v/>
      </c>
      <c r="BY62" s="518" t="str">
        <f>IF(AND(_AC5="B-737-900",'2023'!$E$4="CA",'2023'!$E$2=BY43),'2023DATA3'!$F$21,"")</f>
        <v/>
      </c>
      <c r="BZ62" s="518" t="str">
        <f>IF(AND(_AC5="B-737-900",'2023'!$E$4="CA",'2023'!$E$2=BZ43),'2023DATA3'!$G$21,"")</f>
        <v/>
      </c>
      <c r="CA62" s="518" t="str">
        <f>IF(AND(_AC5="B-737-900",'2023'!$E$4="CA",'2023'!$E$2=CA43),'2023DATA3'!$H$21,"")</f>
        <v/>
      </c>
      <c r="CB62" s="518" t="str">
        <f>IF(AND(_AC5="B-737-900",'2023'!$E$4="CA",'2023'!$E$2=CB43),'2023DATA3'!$I$21,"")</f>
        <v/>
      </c>
      <c r="CC62" s="518" t="str">
        <f>IF(AND(_AC5="B-737-900",'2023'!$E$4="CA",'2023'!$E$2=CC43),'2023DATA3'!$J$21,"")</f>
        <v/>
      </c>
      <c r="CD62" s="518" t="str">
        <f>IF(AND(_AC5="B-737-900",'2023'!$E$4="CA",'2023'!$E$2=CD43),'2023DATA3'!$K$21,"")</f>
        <v/>
      </c>
      <c r="CE62" s="518" t="str">
        <f>IF(AND(_AC5="B-737-900",'2023'!$E$4="CA",'2023'!$E$2=CE43),'2023DATA3'!$L$21,"")</f>
        <v/>
      </c>
      <c r="CF62" s="518" t="str">
        <f>IF(AND(_AC5="B-737-900",'2023'!$E$4="CA",'2023'!$E$2=CF43),'2023DATA3'!$M$21,"")</f>
        <v/>
      </c>
      <c r="CG62" s="520" t="str">
        <f>IF(AND(_AC5="B-737-900",'2023'!$E$4="CA",'2023'!$E$2=CG43),'2023DATA3'!$N$21,"")</f>
        <v/>
      </c>
      <c r="CH62" s="940" t="s">
        <v>47</v>
      </c>
      <c r="CI62" s="13" t="s">
        <v>61</v>
      </c>
      <c r="CJ62" s="518" t="str">
        <f>IF(AND(_AC6="B-737-900",'2023'!$E$4="CA",'2023'!$E$2=CJ43),'2023DATA3'!$C$21,"")</f>
        <v/>
      </c>
      <c r="CK62" s="518" t="str">
        <f>IF(AND(_AC6="B-737-900",'2023'!$E$4="CA",'2023'!$E$2=CK43),'2023DATA3'!$D$21,"")</f>
        <v/>
      </c>
      <c r="CL62" s="518" t="str">
        <f>IF(AND(_AC6="B-737-900",'2023'!$E$4="CA",'2023'!$E$2=CL43),'2023DATA3'!$E$21,"")</f>
        <v/>
      </c>
      <c r="CM62" s="518" t="str">
        <f>IF(AND(_AC6="B-737-900",'2023'!$E$4="CA",'2023'!$E$2=CM43),'2023DATA3'!$F$21,"")</f>
        <v/>
      </c>
      <c r="CN62" s="518" t="str">
        <f>IF(AND(_AC6="B-737-900",'2023'!$E$4="CA",'2023'!$E$2=CN43),'2023DATA3'!$G$21,"")</f>
        <v/>
      </c>
      <c r="CO62" s="518" t="str">
        <f>IF(AND(_AC6="B-737-900",'2023'!$E$4="CA",'2023'!$E$2=CO43),'2023DATA3'!$H$21,"")</f>
        <v/>
      </c>
      <c r="CP62" s="518" t="str">
        <f>IF(AND(_AC6="B-737-900",'2023'!$E$4="CA",'2023'!$E$2=CP43),'2023DATA3'!$I$21,"")</f>
        <v/>
      </c>
      <c r="CQ62" s="518" t="str">
        <f>IF(AND(_AC6="B-737-900",'2023'!$E$4="CA",'2023'!$E$2=CQ43),'2023DATA3'!$J$21,"")</f>
        <v/>
      </c>
      <c r="CR62" s="518" t="str">
        <f>IF(AND(_AC6="B-737-900",'2023'!$E$4="CA",'2023'!$E$2=CR43),'2023DATA3'!$K$21,"")</f>
        <v/>
      </c>
      <c r="CS62" s="518" t="str">
        <f>IF(AND(_AC6="B-737-900",'2023'!$E$4="CA",'2023'!$E$2=CS43),'2023DATA3'!$L$21,"")</f>
        <v/>
      </c>
      <c r="CT62" s="518" t="str">
        <f>IF(AND(_AC6="B-737-900",'2023'!$E$4="CA",'2023'!$E$2=CT43),'2023DATA3'!$M$21,"")</f>
        <v/>
      </c>
      <c r="CU62" s="520" t="str">
        <f>IF(AND(_AC6="B-737-900",'2023'!$E$4="CA",'2023'!$E$2=CU43),'2023DATA3'!$N$21,"")</f>
        <v/>
      </c>
    </row>
    <row r="63" spans="16:99" x14ac:dyDescent="0.25">
      <c r="P63" s="940"/>
      <c r="Q63" s="13" t="s">
        <v>62</v>
      </c>
      <c r="R63" s="518" t="str">
        <f>IF(AND(_AC1="B-737-900",'2023'!$E$4="FO",'2023'!$E$2=R43),'2023DATA3'!$C$22,"")</f>
        <v/>
      </c>
      <c r="S63" s="518" t="str">
        <f>IF(AND(_AC1="B-737-900",'2023'!$E$4="FO",'2023'!$E$2=S43),'2023DATA3'!$D$22,"")</f>
        <v/>
      </c>
      <c r="T63" s="518" t="str">
        <f>IF(AND(_AC1="B-737-900",'2023'!$E$4="FO",'2023'!$E$2=T43),'2023DATA3'!$E$22,"")</f>
        <v/>
      </c>
      <c r="U63" s="518" t="str">
        <f>IF(AND(_AC1="B-737-900",'2023'!$E$4="FO",'2023'!$E$2=U43),'2023DATA3'!$F$22,"")</f>
        <v/>
      </c>
      <c r="V63" s="518" t="str">
        <f>IF(AND(_AC1="B-737-900",'2023'!$E$4="FO",'2023'!$E$2=V43),'2023DATA3'!$G$22,"")</f>
        <v/>
      </c>
      <c r="W63" s="518" t="str">
        <f>IF(AND(_AC1="B-737-900",'2023'!$E$4="FO",'2023'!$E$2=W43),'2023DATA3'!$H$22,"")</f>
        <v/>
      </c>
      <c r="X63" s="518" t="str">
        <f>IF(AND(_AC1="B-737-900",'2023'!$E$4="FO",'2023'!$E$2=X43),'2023DATA3'!$I$22,"")</f>
        <v/>
      </c>
      <c r="Y63" s="518" t="str">
        <f>IF(AND(_AC1="B-737-900",'2023'!$E$4="FO",'2023'!$E$2=Y43),'2023DATA3'!$J$22,"")</f>
        <v/>
      </c>
      <c r="Z63" s="518" t="str">
        <f>IF(AND(_AC1="B-737-900",'2023'!$E$4="FO",'2023'!$E$2=Z43),'2023DATA3'!$K$22,"")</f>
        <v/>
      </c>
      <c r="AA63" s="518" t="str">
        <f>IF(AND(_AC1="B-737-900",'2023'!$E$4="FO",'2023'!$E$2=AA43),'2023DATA3'!$L$22,"")</f>
        <v/>
      </c>
      <c r="AB63" s="518" t="str">
        <f>IF(AND(_AC1="B-737-900",'2023'!$E$4="FO",'2023'!$E$2=AB43),'2023DATA3'!$M$22,"")</f>
        <v/>
      </c>
      <c r="AC63" s="520" t="str">
        <f>IF(AND(_AC1="B-737-900",'2023'!$E$4="FO",'2023'!$E$2=AC43),'2023DATA3'!$N$22,"")</f>
        <v/>
      </c>
      <c r="AD63" s="940"/>
      <c r="AE63" s="13" t="s">
        <v>62</v>
      </c>
      <c r="AF63" s="518" t="str">
        <f>IF(AND(_AC2="B-737-900",'2023'!$E$4="FO",'2023'!$E$2=AF43),'2023DATA3'!$C$22,"")</f>
        <v/>
      </c>
      <c r="AG63" s="518" t="str">
        <f>IF(AND(_AC2="B-737-900",'2023'!$E$4="FO",'2023'!$E$2=AG43),'2023DATA3'!$D$22,"")</f>
        <v/>
      </c>
      <c r="AH63" s="518" t="str">
        <f>IF(AND(_AC2="B-737-900",'2023'!$E$4="FO",'2023'!$E$2=AH43),'2023DATA3'!$E$22,"")</f>
        <v/>
      </c>
      <c r="AI63" s="518" t="str">
        <f>IF(AND(_AC2="B-737-900",'2023'!$E$4="FO",'2023'!$E$2=AI43),'2023DATA3'!$F$22,"")</f>
        <v/>
      </c>
      <c r="AJ63" s="518" t="str">
        <f>IF(AND(_AC2="B-737-900",'2023'!$E$4="FO",'2023'!$E$2=AJ43),'2023DATA3'!$G$22,"")</f>
        <v/>
      </c>
      <c r="AK63" s="518" t="str">
        <f>IF(AND(_AC2="B-737-900",'2023'!$E$4="FO",'2023'!$E$2=AK43),'2023DATA3'!$H$22,"")</f>
        <v/>
      </c>
      <c r="AL63" s="518" t="str">
        <f>IF(AND(_AC2="B-737-900",'2023'!$E$4="FO",'2023'!$E$2=AL43),'2023DATA3'!$I$22,"")</f>
        <v/>
      </c>
      <c r="AM63" s="518" t="str">
        <f>IF(AND(_AC2="B-737-900",'2023'!$E$4="FO",'2023'!$E$2=AM43),'2023DATA3'!$J$22,"")</f>
        <v/>
      </c>
      <c r="AN63" s="518" t="str">
        <f>IF(AND(_AC2="B-737-900",'2023'!$E$4="FO",'2023'!$E$2=AN43),'2023DATA3'!$K$22,"")</f>
        <v/>
      </c>
      <c r="AO63" s="518" t="str">
        <f>IF(AND(_AC2="B-737-900",'2023'!$E$4="FO",'2023'!$E$2=AO43),'2023DATA3'!$L$22,"")</f>
        <v/>
      </c>
      <c r="AP63" s="518" t="str">
        <f>IF(AND(_AC2="B-737-900",'2023'!$E$4="FO",'2023'!$E$2=AP43),'2023DATA3'!$M$22,"")</f>
        <v/>
      </c>
      <c r="AQ63" s="520" t="str">
        <f>IF(AND(_AC2="B-737-900",'2023'!$E$4="FO",'2023'!$E$2=AQ43),'2023DATA3'!$N$22,"")</f>
        <v/>
      </c>
      <c r="AR63" s="940"/>
      <c r="AS63" s="13" t="s">
        <v>62</v>
      </c>
      <c r="AT63" s="518" t="str">
        <f>IF(AND(_AC3="B-737-900",'2023'!$E$4="FO",'2023'!$E$2=AT43),'2023DATA3'!$C$22,"")</f>
        <v/>
      </c>
      <c r="AU63" s="518" t="str">
        <f>IF(AND(_AC3="B-737-900",'2023'!$E$4="FO",'2023'!$E$2=AU43),'2023DATA3'!$D$22,"")</f>
        <v/>
      </c>
      <c r="AV63" s="518" t="str">
        <f>IF(AND(_AC3="B-737-900",'2023'!$E$4="FO",'2023'!$E$2=AV43),'2023DATA3'!$E$22,"")</f>
        <v/>
      </c>
      <c r="AW63" s="518" t="str">
        <f>IF(AND(_AC3="B-737-900",'2023'!$E$4="FO",'2023'!$E$2=AW43),'2023DATA3'!$F$22,"")</f>
        <v/>
      </c>
      <c r="AX63" s="518" t="str">
        <f>IF(AND(_AC3="B-737-900",'2023'!$E$4="FO",'2023'!$E$2=AX43),'2023DATA3'!$G$22,"")</f>
        <v/>
      </c>
      <c r="AY63" s="518" t="str">
        <f>IF(AND(_AC3="B-737-900",'2023'!$E$4="FO",'2023'!$E$2=AY43),'2023DATA3'!$H$22,"")</f>
        <v/>
      </c>
      <c r="AZ63" s="518" t="str">
        <f>IF(AND(_AC3="B-737-900",'2023'!$E$4="FO",'2023'!$E$2=AZ43),'2023DATA3'!$I$22,"")</f>
        <v/>
      </c>
      <c r="BA63" s="518" t="str">
        <f>IF(AND(_AC3="B-737-900",'2023'!$E$4="FO",'2023'!$E$2=BA43),'2023DATA3'!$J$22,"")</f>
        <v/>
      </c>
      <c r="BB63" s="518" t="str">
        <f>IF(AND(_AC3="B-737-900",'2023'!$E$4="FO",'2023'!$E$2=BB43),'2023DATA3'!$K$22,"")</f>
        <v/>
      </c>
      <c r="BC63" s="518" t="str">
        <f>IF(AND(_AC3="B-737-900",'2023'!$E$4="FO",'2023'!$E$2=BC43),'2023DATA3'!$L$22,"")</f>
        <v/>
      </c>
      <c r="BD63" s="518" t="str">
        <f>IF(AND(_AC3="B-737-900",'2023'!$E$4="FO",'2023'!$E$2=BD43),'2023DATA3'!$M$22,"")</f>
        <v/>
      </c>
      <c r="BE63" s="520" t="str">
        <f>IF(AND(_AC3="B-737-900",'2023'!$E$4="FO",'2023'!$E$2=BE43),'2023DATA3'!$N$22,"")</f>
        <v/>
      </c>
      <c r="BF63" s="940"/>
      <c r="BG63" s="13" t="s">
        <v>62</v>
      </c>
      <c r="BH63" s="518" t="str">
        <f>IF(AND(_AC4="B-737-900",'2023'!$E$4="FO",'2023'!$E$2=BH43),'2023DATA3'!$C$22,"")</f>
        <v/>
      </c>
      <c r="BI63" s="518" t="str">
        <f>IF(AND(_AC4="B-737-900",'2023'!$E$4="FO",'2023'!$E$2=BI43),'2023DATA3'!$D$22,"")</f>
        <v/>
      </c>
      <c r="BJ63" s="518" t="str">
        <f>IF(AND(_AC4="B-737-900",'2023'!$E$4="FO",'2023'!$E$2=BJ43),'2023DATA3'!$E$22,"")</f>
        <v/>
      </c>
      <c r="BK63" s="518" t="str">
        <f>IF(AND(_AC4="B-737-900",'2023'!$E$4="FO",'2023'!$E$2=BK43),'2023DATA3'!$F$22,"")</f>
        <v/>
      </c>
      <c r="BL63" s="518" t="str">
        <f>IF(AND(_AC4="B-737-900",'2023'!$E$4="FO",'2023'!$E$2=BL43),'2023DATA3'!$G$22,"")</f>
        <v/>
      </c>
      <c r="BM63" s="518" t="str">
        <f>IF(AND(_AC4="B-737-900",'2023'!$E$4="FO",'2023'!$E$2=BM43),'2023DATA3'!$H$22,"")</f>
        <v/>
      </c>
      <c r="BN63" s="518" t="str">
        <f>IF(AND(_AC4="B-737-900",'2023'!$E$4="FO",'2023'!$E$2=BN43),'2023DATA3'!$I$22,"")</f>
        <v/>
      </c>
      <c r="BO63" s="518" t="str">
        <f>IF(AND(_AC4="B-737-900",'2023'!$E$4="FO",'2023'!$E$2=BO43),'2023DATA3'!$J$22,"")</f>
        <v/>
      </c>
      <c r="BP63" s="518" t="str">
        <f>IF(AND(_AC4="B-737-900",'2023'!$E$4="FO",'2023'!$E$2=BP43),'2023DATA3'!$K$22,"")</f>
        <v/>
      </c>
      <c r="BQ63" s="518" t="str">
        <f>IF(AND(_AC4="B-737-900",'2023'!$E$4="FO",'2023'!$E$2=BQ43),'2023DATA3'!$L$22,"")</f>
        <v/>
      </c>
      <c r="BR63" s="518" t="str">
        <f>IF(AND(_AC4="B-737-900",'2023'!$E$4="FO",'2023'!$E$2=BR43),'2023DATA3'!$M$22,"")</f>
        <v/>
      </c>
      <c r="BS63" s="520" t="str">
        <f>IF(AND(_AC4="B-737-900",'2023'!$E$4="FO",'2023'!$E$2=BS43),'2023DATA3'!$N$22,"")</f>
        <v/>
      </c>
      <c r="BT63" s="940"/>
      <c r="BU63" s="13" t="s">
        <v>62</v>
      </c>
      <c r="BV63" s="518" t="str">
        <f>IF(AND(_AC5="B-737-900",'2023'!$E$4="FO",'2023'!$E$2=BV43),'2023DATA3'!$C$22,"")</f>
        <v/>
      </c>
      <c r="BW63" s="518" t="str">
        <f>IF(AND(_AC5="B-737-900",'2023'!$E$4="FO",'2023'!$E$2=BW43),'2023DATA3'!$D$22,"")</f>
        <v/>
      </c>
      <c r="BX63" s="518" t="str">
        <f>IF(AND(_AC5="B-737-900",'2023'!$E$4="FO",'2023'!$E$2=BX43),'2023DATA3'!$E$22,"")</f>
        <v/>
      </c>
      <c r="BY63" s="518" t="str">
        <f>IF(AND(_AC5="B-737-900",'2023'!$E$4="FO",'2023'!$E$2=BY43),'2023DATA3'!$F$22,"")</f>
        <v/>
      </c>
      <c r="BZ63" s="518" t="str">
        <f>IF(AND(_AC5="B-737-900",'2023'!$E$4="FO",'2023'!$E$2=BZ43),'2023DATA3'!$G$22,"")</f>
        <v/>
      </c>
      <c r="CA63" s="518" t="str">
        <f>IF(AND(_AC5="B-737-900",'2023'!$E$4="FO",'2023'!$E$2=CA43),'2023DATA3'!$H$22,"")</f>
        <v/>
      </c>
      <c r="CB63" s="518" t="str">
        <f>IF(AND(_AC5="B-737-900",'2023'!$E$4="FO",'2023'!$E$2=CB43),'2023DATA3'!$I$22,"")</f>
        <v/>
      </c>
      <c r="CC63" s="518" t="str">
        <f>IF(AND(_AC5="B-737-900",'2023'!$E$4="FO",'2023'!$E$2=CC43),'2023DATA3'!$J$22,"")</f>
        <v/>
      </c>
      <c r="CD63" s="518" t="str">
        <f>IF(AND(_AC5="B-737-900",'2023'!$E$4="FO",'2023'!$E$2=CD43),'2023DATA3'!$K$22,"")</f>
        <v/>
      </c>
      <c r="CE63" s="518" t="str">
        <f>IF(AND(_AC5="B-737-900",'2023'!$E$4="FO",'2023'!$E$2=CE43),'2023DATA3'!$L$22,"")</f>
        <v/>
      </c>
      <c r="CF63" s="518" t="str">
        <f>IF(AND(_AC5="B-737-900",'2023'!$E$4="FO",'2023'!$E$2=CF43),'2023DATA3'!$M$22,"")</f>
        <v/>
      </c>
      <c r="CG63" s="520" t="str">
        <f>IF(AND(_AC5="B-737-900",'2023'!$E$4="FO",'2023'!$E$2=CG43),'2023DATA3'!$N$22,"")</f>
        <v/>
      </c>
      <c r="CH63" s="940"/>
      <c r="CI63" s="13" t="s">
        <v>62</v>
      </c>
      <c r="CJ63" s="518" t="str">
        <f>IF(AND(_AC6="B-737-900",'2023'!$E$4="FO",'2023'!$E$2=CJ43),'2023DATA3'!$C$22,"")</f>
        <v/>
      </c>
      <c r="CK63" s="518" t="str">
        <f>IF(AND(_AC6="B-737-900",'2023'!$E$4="FO",'2023'!$E$2=CK43),'2023DATA3'!$D$22,"")</f>
        <v/>
      </c>
      <c r="CL63" s="518" t="str">
        <f>IF(AND(_AC6="B-737-900",'2023'!$E$4="FO",'2023'!$E$2=CL43),'2023DATA3'!$E$22,"")</f>
        <v/>
      </c>
      <c r="CM63" s="518" t="str">
        <f>IF(AND(_AC6="B-737-900",'2023'!$E$4="FO",'2023'!$E$2=CM43),'2023DATA3'!$F$22,"")</f>
        <v/>
      </c>
      <c r="CN63" s="518" t="str">
        <f>IF(AND(_AC6="B-737-900",'2023'!$E$4="FO",'2023'!$E$2=CN43),'2023DATA3'!$G$22,"")</f>
        <v/>
      </c>
      <c r="CO63" s="518" t="str">
        <f>IF(AND(_AC6="B-737-900",'2023'!$E$4="FO",'2023'!$E$2=CO43),'2023DATA3'!$H$22,"")</f>
        <v/>
      </c>
      <c r="CP63" s="518" t="str">
        <f>IF(AND(_AC6="B-737-900",'2023'!$E$4="FO",'2023'!$E$2=CP43),'2023DATA3'!$I$22,"")</f>
        <v/>
      </c>
      <c r="CQ63" s="518" t="str">
        <f>IF(AND(_AC6="B-737-900",'2023'!$E$4="FO",'2023'!$E$2=CQ43),'2023DATA3'!$J$22,"")</f>
        <v/>
      </c>
      <c r="CR63" s="518" t="str">
        <f>IF(AND(_AC6="B-737-900",'2023'!$E$4="FO",'2023'!$E$2=CR43),'2023DATA3'!$K$22,"")</f>
        <v/>
      </c>
      <c r="CS63" s="518" t="str">
        <f>IF(AND(_AC6="B-737-900",'2023'!$E$4="FO",'2023'!$E$2=CS43),'2023DATA3'!$L$22,"")</f>
        <v/>
      </c>
      <c r="CT63" s="518" t="str">
        <f>IF(AND(_AC6="B-737-900",'2023'!$E$4="FO",'2023'!$E$2=CT43),'2023DATA3'!$M$22,"")</f>
        <v/>
      </c>
      <c r="CU63" s="520" t="str">
        <f>IF(AND(_AC6="B-737-900",'2023'!$E$4="FO",'2023'!$E$2=CU43),'2023DATA3'!$N$22,"")</f>
        <v/>
      </c>
    </row>
    <row r="64" spans="16:99" x14ac:dyDescent="0.25">
      <c r="P64" s="940" t="s">
        <v>69</v>
      </c>
      <c r="Q64" s="13" t="s">
        <v>61</v>
      </c>
      <c r="R64" s="518" t="str">
        <f>IF(AND(_AC1="B-737-800",'2023'!$E$4="CA",'2023'!$E$2=R43),'2023DATA3'!$C$23,"")</f>
        <v/>
      </c>
      <c r="S64" s="518" t="str">
        <f>IF(AND(_AC1="B-737-800",'2023'!$E$4="CA",'2023'!$E$2=S43),'2023DATA3'!$D$23,"")</f>
        <v/>
      </c>
      <c r="T64" s="518" t="str">
        <f>IF(AND(_AC1="B-737-800",'2023'!$E$4="CA",'2023'!$E$2=T43),'2023DATA3'!$E$23,"")</f>
        <v/>
      </c>
      <c r="U64" s="518" t="str">
        <f>IF(AND(_AC1="B-737-800",'2023'!$E$4="CA",'2023'!$E$2=U43),'2023DATA3'!$F$23,"")</f>
        <v/>
      </c>
      <c r="V64" s="518" t="str">
        <f>IF(AND(_AC1="B-737-800",'2023'!$E$4="CA",'2023'!$E$2=V43),'2023DATA3'!$G$23,"")</f>
        <v/>
      </c>
      <c r="W64" s="518" t="str">
        <f>IF(AND(_AC1="B-737-800",'2023'!$E$4="CA",'2023'!$E$2=W43),'2023DATA3'!$H$23,"")</f>
        <v/>
      </c>
      <c r="X64" s="518" t="str">
        <f>IF(AND(_AC1="B-737-800",'2023'!$E$4="CA",'2023'!$E$2=X43),'2023DATA3'!$I$23,"")</f>
        <v/>
      </c>
      <c r="Y64" s="518" t="str">
        <f>IF(AND(_AC1="B-737-800",'2023'!$E$4="CA",'2023'!$E$2=Y43),'2023DATA3'!$J$23,"")</f>
        <v/>
      </c>
      <c r="Z64" s="518" t="str">
        <f>IF(AND(_AC1="B-737-800",'2023'!$E$4="CA",'2023'!$E$2=Z43),'2023DATA3'!$K$23,"")</f>
        <v/>
      </c>
      <c r="AA64" s="518" t="str">
        <f>IF(AND(_AC1="B-737-800",'2023'!$E$4="CA",'2023'!$E$2=AA43),'2023DATA3'!$L$23,"")</f>
        <v/>
      </c>
      <c r="AB64" s="518" t="str">
        <f>IF(AND(_AC1="B-737-800",'2023'!$E$4="CA",'2023'!$E$2=AB43),'2023DATA3'!$M$23,"")</f>
        <v/>
      </c>
      <c r="AC64" s="520" t="str">
        <f>IF(AND(_AC1="B-737-800",'2023'!$E$4="CA",'2023'!$E$2=AC43),'2023DATA3'!$N$23,"")</f>
        <v/>
      </c>
      <c r="AD64" s="940" t="s">
        <v>69</v>
      </c>
      <c r="AE64" s="13" t="s">
        <v>61</v>
      </c>
      <c r="AF64" s="518" t="str">
        <f>IF(AND(_AC2="B-737-800",'2023'!$E$4="CA",'2023'!$E$2=AF43),'2023DATA3'!$C$23,"")</f>
        <v/>
      </c>
      <c r="AG64" s="518" t="str">
        <f>IF(AND(_AC2="B-737-800",'2023'!$E$4="CA",'2023'!$E$2=AG43),'2023DATA3'!$D$23,"")</f>
        <v/>
      </c>
      <c r="AH64" s="518" t="str">
        <f>IF(AND(_AC2="B-737-800",'2023'!$E$4="CA",'2023'!$E$2=AH43),'2023DATA3'!$E$23,"")</f>
        <v/>
      </c>
      <c r="AI64" s="518" t="str">
        <f>IF(AND(_AC2="B-737-800",'2023'!$E$4="CA",'2023'!$E$2=AI43),'2023DATA3'!$F$23,"")</f>
        <v/>
      </c>
      <c r="AJ64" s="518" t="str">
        <f>IF(AND(_AC2="B-737-800",'2023'!$E$4="CA",'2023'!$E$2=AJ43),'2023DATA3'!$G$23,"")</f>
        <v/>
      </c>
      <c r="AK64" s="518" t="str">
        <f>IF(AND(_AC2="B-737-800",'2023'!$E$4="CA",'2023'!$E$2=AK43),'2023DATA3'!$H$23,"")</f>
        <v/>
      </c>
      <c r="AL64" s="518" t="str">
        <f>IF(AND(_AC2="B-737-800",'2023'!$E$4="CA",'2023'!$E$2=AL43),'2023DATA3'!$I$23,"")</f>
        <v/>
      </c>
      <c r="AM64" s="518" t="str">
        <f>IF(AND(_AC2="B-737-800",'2023'!$E$4="CA",'2023'!$E$2=AM43),'2023DATA3'!$J$23,"")</f>
        <v/>
      </c>
      <c r="AN64" s="518" t="str">
        <f>IF(AND(_AC2="B-737-800",'2023'!$E$4="CA",'2023'!$E$2=AN43),'2023DATA3'!$K$23,"")</f>
        <v/>
      </c>
      <c r="AO64" s="518" t="str">
        <f>IF(AND(_AC2="B-737-800",'2023'!$E$4="CA",'2023'!$E$2=AO43),'2023DATA3'!$L$23,"")</f>
        <v/>
      </c>
      <c r="AP64" s="518" t="str">
        <f>IF(AND(_AC2="B-737-800",'2023'!$E$4="CA",'2023'!$E$2=AP43),'2023DATA3'!$M$23,"")</f>
        <v/>
      </c>
      <c r="AQ64" s="520" t="str">
        <f>IF(AND(_AC2="B-737-800",'2023'!$E$4="CA",'2023'!$E$2=AQ43),'2023DATA3'!$N$23,"")</f>
        <v/>
      </c>
      <c r="AR64" s="940" t="s">
        <v>69</v>
      </c>
      <c r="AS64" s="13" t="s">
        <v>61</v>
      </c>
      <c r="AT64" s="518" t="str">
        <f>IF(AND(_AC3="B-737-800",'2023'!$E$4="CA",'2023'!$E$2=AT43),'2023DATA3'!$C$23,"")</f>
        <v/>
      </c>
      <c r="AU64" s="518" t="str">
        <f>IF(AND(_AC3="B-737-800",'2023'!$E$4="CA",'2023'!$E$2=AU43),'2023DATA3'!$D$23,"")</f>
        <v/>
      </c>
      <c r="AV64" s="518" t="str">
        <f>IF(AND(_AC3="B-737-800",'2023'!$E$4="CA",'2023'!$E$2=AV43),'2023DATA3'!$E$23,"")</f>
        <v/>
      </c>
      <c r="AW64" s="518" t="str">
        <f>IF(AND(_AC3="B-737-800",'2023'!$E$4="CA",'2023'!$E$2=AW43),'2023DATA3'!$F$23,"")</f>
        <v/>
      </c>
      <c r="AX64" s="518" t="str">
        <f>IF(AND(_AC3="B-737-800",'2023'!$E$4="CA",'2023'!$E$2=AX43),'2023DATA3'!$G$23,"")</f>
        <v/>
      </c>
      <c r="AY64" s="518" t="str">
        <f>IF(AND(_AC3="B-737-800",'2023'!$E$4="CA",'2023'!$E$2=AY43),'2023DATA3'!$H$23,"")</f>
        <v/>
      </c>
      <c r="AZ64" s="518" t="str">
        <f>IF(AND(_AC3="B-737-800",'2023'!$E$4="CA",'2023'!$E$2=AZ43),'2023DATA3'!$I$23,"")</f>
        <v/>
      </c>
      <c r="BA64" s="518" t="str">
        <f>IF(AND(_AC3="B-737-800",'2023'!$E$4="CA",'2023'!$E$2=BA43),'2023DATA3'!$J$23,"")</f>
        <v/>
      </c>
      <c r="BB64" s="518" t="str">
        <f>IF(AND(_AC3="B-737-800",'2023'!$E$4="CA",'2023'!$E$2=BB43),'2023DATA3'!$K$23,"")</f>
        <v/>
      </c>
      <c r="BC64" s="518" t="str">
        <f>IF(AND(_AC3="B-737-800",'2023'!$E$4="CA",'2023'!$E$2=BC43),'2023DATA3'!$L$23,"")</f>
        <v/>
      </c>
      <c r="BD64" s="518" t="str">
        <f>IF(AND(_AC3="B-737-800",'2023'!$E$4="CA",'2023'!$E$2=BD43),'2023DATA3'!$M$23,"")</f>
        <v/>
      </c>
      <c r="BE64" s="520" t="str">
        <f>IF(AND(_AC3="B-737-800",'2023'!$E$4="CA",'2023'!$E$2=BE43),'2023DATA3'!$N$23,"")</f>
        <v/>
      </c>
      <c r="BF64" s="940" t="s">
        <v>69</v>
      </c>
      <c r="BG64" s="13" t="s">
        <v>61</v>
      </c>
      <c r="BH64" s="518" t="str">
        <f>IF(AND(_AC4="B-737-800",'2023'!$E$4="CA",'2023'!$E$2=BH43),'2023DATA3'!$C$23,"")</f>
        <v/>
      </c>
      <c r="BI64" s="518" t="str">
        <f>IF(AND(_AC4="B-737-800",'2023'!$E$4="CA",'2023'!$E$2=BI43),'2023DATA3'!$D$23,"")</f>
        <v/>
      </c>
      <c r="BJ64" s="518" t="str">
        <f>IF(AND(_AC4="B-737-800",'2023'!$E$4="CA",'2023'!$E$2=BJ43),'2023DATA3'!$E$23,"")</f>
        <v/>
      </c>
      <c r="BK64" s="518" t="str">
        <f>IF(AND(_AC4="B-737-800",'2023'!$E$4="CA",'2023'!$E$2=BK43),'2023DATA3'!$F$23,"")</f>
        <v/>
      </c>
      <c r="BL64" s="518" t="str">
        <f>IF(AND(_AC4="B-737-800",'2023'!$E$4="CA",'2023'!$E$2=BL43),'2023DATA3'!$G$23,"")</f>
        <v/>
      </c>
      <c r="BM64" s="518" t="str">
        <f>IF(AND(_AC4="B-737-800",'2023'!$E$4="CA",'2023'!$E$2=BM43),'2023DATA3'!$H$23,"")</f>
        <v/>
      </c>
      <c r="BN64" s="518" t="str">
        <f>IF(AND(_AC4="B-737-800",'2023'!$E$4="CA",'2023'!$E$2=BN43),'2023DATA3'!$I$23,"")</f>
        <v/>
      </c>
      <c r="BO64" s="518" t="str">
        <f>IF(AND(_AC4="B-737-800",'2023'!$E$4="CA",'2023'!$E$2=BO43),'2023DATA3'!$J$23,"")</f>
        <v/>
      </c>
      <c r="BP64" s="518" t="str">
        <f>IF(AND(_AC4="B-737-800",'2023'!$E$4="CA",'2023'!$E$2=BP43),'2023DATA3'!$K$23,"")</f>
        <v/>
      </c>
      <c r="BQ64" s="518" t="str">
        <f>IF(AND(_AC4="B-737-800",'2023'!$E$4="CA",'2023'!$E$2=BQ43),'2023DATA3'!$L$23,"")</f>
        <v/>
      </c>
      <c r="BR64" s="518" t="str">
        <f>IF(AND(_AC4="B-737-800",'2023'!$E$4="CA",'2023'!$E$2=BR43),'2023DATA3'!$M$23,"")</f>
        <v/>
      </c>
      <c r="BS64" s="520" t="str">
        <f>IF(AND(_AC4="B-737-800",'2023'!$E$4="CA",'2023'!$E$2=BS43),'2023DATA3'!$N$23,"")</f>
        <v/>
      </c>
      <c r="BT64" s="940" t="s">
        <v>69</v>
      </c>
      <c r="BU64" s="13" t="s">
        <v>61</v>
      </c>
      <c r="BV64" s="518" t="str">
        <f>IF(AND(_AC5="B-737-800",'2023'!$E$4="CA",'2023'!$E$2=BV43),'2023DATA3'!$C$23,"")</f>
        <v/>
      </c>
      <c r="BW64" s="518" t="str">
        <f>IF(AND(_AC5="B-737-800",'2023'!$E$4="CA",'2023'!$E$2=BW43),'2023DATA3'!$D$23,"")</f>
        <v/>
      </c>
      <c r="BX64" s="518" t="str">
        <f>IF(AND(_AC5="B-737-800",'2023'!$E$4="CA",'2023'!$E$2=BX43),'2023DATA3'!$E$23,"")</f>
        <v/>
      </c>
      <c r="BY64" s="518" t="str">
        <f>IF(AND(_AC5="B-737-800",'2023'!$E$4="CA",'2023'!$E$2=BY43),'2023DATA3'!$F$23,"")</f>
        <v/>
      </c>
      <c r="BZ64" s="518" t="str">
        <f>IF(AND(_AC5="B-737-800",'2023'!$E$4="CA",'2023'!$E$2=BZ43),'2023DATA3'!$G$23,"")</f>
        <v/>
      </c>
      <c r="CA64" s="518" t="str">
        <f>IF(AND(_AC5="B-737-800",'2023'!$E$4="CA",'2023'!$E$2=CA43),'2023DATA3'!$H$23,"")</f>
        <v/>
      </c>
      <c r="CB64" s="518" t="str">
        <f>IF(AND(_AC5="B-737-800",'2023'!$E$4="CA",'2023'!$E$2=CB43),'2023DATA3'!$I$23,"")</f>
        <v/>
      </c>
      <c r="CC64" s="518" t="str">
        <f>IF(AND(_AC5="B-737-800",'2023'!$E$4="CA",'2023'!$E$2=CC43),'2023DATA3'!$J$23,"")</f>
        <v/>
      </c>
      <c r="CD64" s="518" t="str">
        <f>IF(AND(_AC5="B-737-800",'2023'!$E$4="CA",'2023'!$E$2=CD43),'2023DATA3'!$K$23,"")</f>
        <v/>
      </c>
      <c r="CE64" s="518" t="str">
        <f>IF(AND(_AC5="B-737-800",'2023'!$E$4="CA",'2023'!$E$2=CE43),'2023DATA3'!$L$23,"")</f>
        <v/>
      </c>
      <c r="CF64" s="518" t="str">
        <f>IF(AND(_AC5="B-737-800",'2023'!$E$4="CA",'2023'!$E$2=CF43),'2023DATA3'!$M$23,"")</f>
        <v/>
      </c>
      <c r="CG64" s="520" t="str">
        <f>IF(AND(_AC5="B-737-800",'2023'!$E$4="CA",'2023'!$E$2=CG43),'2023DATA3'!$N$23,"")</f>
        <v/>
      </c>
      <c r="CH64" s="940" t="s">
        <v>69</v>
      </c>
      <c r="CI64" s="13" t="s">
        <v>61</v>
      </c>
      <c r="CJ64" s="518" t="str">
        <f>IF(AND(_AC6="B-737-800",'2023'!$E$4="CA",'2023'!$E$2=CJ43),'2023DATA3'!$C$23,"")</f>
        <v/>
      </c>
      <c r="CK64" s="518" t="str">
        <f>IF(AND(_AC6="B-737-800",'2023'!$E$4="CA",'2023'!$E$2=CK43),'2023DATA3'!$D$23,"")</f>
        <v/>
      </c>
      <c r="CL64" s="518" t="str">
        <f>IF(AND(_AC6="B-737-800",'2023'!$E$4="CA",'2023'!$E$2=CL43),'2023DATA3'!$E$23,"")</f>
        <v/>
      </c>
      <c r="CM64" s="518" t="str">
        <f>IF(AND(_AC6="B-737-800",'2023'!$E$4="CA",'2023'!$E$2=CM43),'2023DATA3'!$F$23,"")</f>
        <v/>
      </c>
      <c r="CN64" s="518" t="str">
        <f>IF(AND(_AC6="B-737-800",'2023'!$E$4="CA",'2023'!$E$2=CN43),'2023DATA3'!$G$23,"")</f>
        <v/>
      </c>
      <c r="CO64" s="518" t="str">
        <f>IF(AND(_AC6="B-737-800",'2023'!$E$4="CA",'2023'!$E$2=CO43),'2023DATA3'!$H$23,"")</f>
        <v/>
      </c>
      <c r="CP64" s="518" t="str">
        <f>IF(AND(_AC6="B-737-800",'2023'!$E$4="CA",'2023'!$E$2=CP43),'2023DATA3'!$I$23,"")</f>
        <v/>
      </c>
      <c r="CQ64" s="518" t="str">
        <f>IF(AND(_AC6="B-737-800",'2023'!$E$4="CA",'2023'!$E$2=CQ43),'2023DATA3'!$J$23,"")</f>
        <v/>
      </c>
      <c r="CR64" s="518" t="str">
        <f>IF(AND(_AC6="B-737-800",'2023'!$E$4="CA",'2023'!$E$2=CR43),'2023DATA3'!$K$23,"")</f>
        <v/>
      </c>
      <c r="CS64" s="518" t="str">
        <f>IF(AND(_AC6="B-737-800",'2023'!$E$4="CA",'2023'!$E$2=CS43),'2023DATA3'!$L$23,"")</f>
        <v/>
      </c>
      <c r="CT64" s="518" t="str">
        <f>IF(AND(_AC6="B-737-800",'2023'!$E$4="CA",'2023'!$E$2=CT43),'2023DATA3'!$M$23,"")</f>
        <v/>
      </c>
      <c r="CU64" s="520" t="str">
        <f>IF(AND(_AC6="B-737-800",'2023'!$E$4="CA",'2023'!$E$2=CU43),'2023DATA3'!$N$23,"")</f>
        <v/>
      </c>
    </row>
    <row r="65" spans="16:99" x14ac:dyDescent="0.25">
      <c r="P65" s="940"/>
      <c r="Q65" s="13" t="s">
        <v>62</v>
      </c>
      <c r="R65" s="518" t="str">
        <f>IF(AND(_AC1="B-737-800",'2023'!$E$4="FO",'2023'!$E$2=R43),'2023DATA3'!$C$24,"")</f>
        <v/>
      </c>
      <c r="S65" s="518" t="str">
        <f>IF(AND(_AC1="B-737-800",'2023'!$E$4="FO",'2023'!$E$2=S43),'2023DATA3'!$D$24,"")</f>
        <v/>
      </c>
      <c r="T65" s="518" t="str">
        <f>IF(AND(_AC1="B-737-800",'2023'!$E$4="FO",'2023'!$E$2=T43),'2023DATA3'!$E$24,"")</f>
        <v/>
      </c>
      <c r="U65" s="518" t="str">
        <f>IF(AND(_AC1="B-737-800",'2023'!$E$4="FO",'2023'!$E$2=U43),'2023DATA3'!$F$24,"")</f>
        <v/>
      </c>
      <c r="V65" s="518" t="str">
        <f>IF(AND(_AC1="B-737-800",'2023'!$E$4="FO",'2023'!$E$2=V43),'2023DATA3'!$G$24,"")</f>
        <v/>
      </c>
      <c r="W65" s="518" t="str">
        <f>IF(AND(_AC1="B-737-800",'2023'!$E$4="FO",'2023'!$E$2=W43),'2023DATA3'!$H$24,"")</f>
        <v/>
      </c>
      <c r="X65" s="518" t="str">
        <f>IF(AND(_AC1="B-737-800",'2023'!$E$4="FO",'2023'!$E$2=X43),'2023DATA3'!$I$24,"")</f>
        <v/>
      </c>
      <c r="Y65" s="518" t="str">
        <f>IF(AND(_AC1="B-737-800",'2023'!$E$4="FO",'2023'!$E$2=Y43),'2023DATA3'!$J$24,"")</f>
        <v/>
      </c>
      <c r="Z65" s="518" t="str">
        <f>IF(AND(_AC1="B-737-800",'2023'!$E$4="FO",'2023'!$E$2=Z43),'2023DATA3'!$K$24,"")</f>
        <v/>
      </c>
      <c r="AA65" s="518" t="str">
        <f>IF(AND(_AC1="B-737-800",'2023'!$E$4="FO",'2023'!$E$2=AA43),'2023DATA3'!$L$24,"")</f>
        <v/>
      </c>
      <c r="AB65" s="518" t="str">
        <f>IF(AND(_AC1="B-737-800",'2023'!$E$4="FO",'2023'!$E$2=AB43),'2023DATA3'!$M$24,"")</f>
        <v/>
      </c>
      <c r="AC65" s="520" t="str">
        <f>IF(AND(_AC1="B-737-800",'2023'!$E$4="FO",'2023'!$E$2=AC43),'2023DATA3'!$N$24,"")</f>
        <v/>
      </c>
      <c r="AD65" s="940"/>
      <c r="AE65" s="13" t="s">
        <v>62</v>
      </c>
      <c r="AF65" s="518" t="str">
        <f>IF(AND(_AC2="B-737-800",'2023'!$E$4="FO",'2023'!$E$2=AF43),'2023DATA3'!$C$24,"")</f>
        <v/>
      </c>
      <c r="AG65" s="518" t="str">
        <f>IF(AND(_AC2="B-737-800",'2023'!$E$4="FO",'2023'!$E$2=AG43),'2023DATA3'!$D$24,"")</f>
        <v/>
      </c>
      <c r="AH65" s="518" t="str">
        <f>IF(AND(_AC2="B-737-800",'2023'!$E$4="FO",'2023'!$E$2=AH43),'2023DATA3'!$E$24,"")</f>
        <v/>
      </c>
      <c r="AI65" s="518" t="str">
        <f>IF(AND(_AC2="B-737-800",'2023'!$E$4="FO",'2023'!$E$2=AI43),'2023DATA3'!$F$24,"")</f>
        <v/>
      </c>
      <c r="AJ65" s="518" t="str">
        <f>IF(AND(_AC2="B-737-800",'2023'!$E$4="FO",'2023'!$E$2=AJ43),'2023DATA3'!$G$24,"")</f>
        <v/>
      </c>
      <c r="AK65" s="518" t="str">
        <f>IF(AND(_AC2="B-737-800",'2023'!$E$4="FO",'2023'!$E$2=AK43),'2023DATA3'!$H$24,"")</f>
        <v/>
      </c>
      <c r="AL65" s="518" t="str">
        <f>IF(AND(_AC2="B-737-800",'2023'!$E$4="FO",'2023'!$E$2=AL43),'2023DATA3'!$I$24,"")</f>
        <v/>
      </c>
      <c r="AM65" s="518" t="str">
        <f>IF(AND(_AC2="B-737-800",'2023'!$E$4="FO",'2023'!$E$2=AM43),'2023DATA3'!$J$24,"")</f>
        <v/>
      </c>
      <c r="AN65" s="518" t="str">
        <f>IF(AND(_AC2="B-737-800",'2023'!$E$4="FO",'2023'!$E$2=AN43),'2023DATA3'!$K$24,"")</f>
        <v/>
      </c>
      <c r="AO65" s="518" t="str">
        <f>IF(AND(_AC2="B-737-800",'2023'!$E$4="FO",'2023'!$E$2=AO43),'2023DATA3'!$L$24,"")</f>
        <v/>
      </c>
      <c r="AP65" s="518" t="str">
        <f>IF(AND(_AC2="B-737-800",'2023'!$E$4="FO",'2023'!$E$2=AP43),'2023DATA3'!$M$24,"")</f>
        <v/>
      </c>
      <c r="AQ65" s="520" t="str">
        <f>IF(AND(_AC2="B-737-800",'2023'!$E$4="FO",'2023'!$E$2=AQ43),'2023DATA3'!$N$24,"")</f>
        <v/>
      </c>
      <c r="AR65" s="940"/>
      <c r="AS65" s="13" t="s">
        <v>62</v>
      </c>
      <c r="AT65" s="518" t="str">
        <f>IF(AND(_AC3="B-737-800",'2023'!$E$4="FO",'2023'!$E$2=AT43),'2023DATA3'!$C$24,"")</f>
        <v/>
      </c>
      <c r="AU65" s="518" t="str">
        <f>IF(AND(_AC3="B-737-800",'2023'!$E$4="FO",'2023'!$E$2=AU43),'2023DATA3'!$D$24,"")</f>
        <v/>
      </c>
      <c r="AV65" s="518" t="str">
        <f>IF(AND(_AC3="B-737-800",'2023'!$E$4="FO",'2023'!$E$2=AV43),'2023DATA3'!$E$24,"")</f>
        <v/>
      </c>
      <c r="AW65" s="518" t="str">
        <f>IF(AND(_AC3="B-737-800",'2023'!$E$4="FO",'2023'!$E$2=AW43),'2023DATA3'!$F$24,"")</f>
        <v/>
      </c>
      <c r="AX65" s="518" t="str">
        <f>IF(AND(_AC3="B-737-800",'2023'!$E$4="FO",'2023'!$E$2=AX43),'2023DATA3'!$G$24,"")</f>
        <v/>
      </c>
      <c r="AY65" s="518" t="str">
        <f>IF(AND(_AC3="B-737-800",'2023'!$E$4="FO",'2023'!$E$2=AY43),'2023DATA3'!$H$24,"")</f>
        <v/>
      </c>
      <c r="AZ65" s="518" t="str">
        <f>IF(AND(_AC3="B-737-800",'2023'!$E$4="FO",'2023'!$E$2=AZ43),'2023DATA3'!$I$24,"")</f>
        <v/>
      </c>
      <c r="BA65" s="518" t="str">
        <f>IF(AND(_AC3="B-737-800",'2023'!$E$4="FO",'2023'!$E$2=BA43),'2023DATA3'!$J$24,"")</f>
        <v/>
      </c>
      <c r="BB65" s="518" t="str">
        <f>IF(AND(_AC3="B-737-800",'2023'!$E$4="FO",'2023'!$E$2=BB43),'2023DATA3'!$K$24,"")</f>
        <v/>
      </c>
      <c r="BC65" s="518" t="str">
        <f>IF(AND(_AC3="B-737-800",'2023'!$E$4="FO",'2023'!$E$2=BC43),'2023DATA3'!$L$24,"")</f>
        <v/>
      </c>
      <c r="BD65" s="518" t="str">
        <f>IF(AND(_AC3="B-737-800",'2023'!$E$4="FO",'2023'!$E$2=BD43),'2023DATA3'!$M$24,"")</f>
        <v/>
      </c>
      <c r="BE65" s="520" t="str">
        <f>IF(AND(_AC3="B-737-800",'2023'!$E$4="FO",'2023'!$E$2=BE43),'2023DATA3'!$N$24,"")</f>
        <v/>
      </c>
      <c r="BF65" s="940"/>
      <c r="BG65" s="13" t="s">
        <v>62</v>
      </c>
      <c r="BH65" s="518" t="str">
        <f>IF(AND(_AC4="B-737-800",'2023'!$E$4="FO",'2023'!$E$2=BH43),'2023DATA3'!$C$24,"")</f>
        <v/>
      </c>
      <c r="BI65" s="518" t="str">
        <f>IF(AND(_AC4="B-737-800",'2023'!$E$4="FO",'2023'!$E$2=BI43),'2023DATA3'!$D$24,"")</f>
        <v/>
      </c>
      <c r="BJ65" s="518" t="str">
        <f>IF(AND(_AC4="B-737-800",'2023'!$E$4="FO",'2023'!$E$2=BJ43),'2023DATA3'!$E$24,"")</f>
        <v/>
      </c>
      <c r="BK65" s="518" t="str">
        <f>IF(AND(_AC4="B-737-800",'2023'!$E$4="FO",'2023'!$E$2=BK43),'2023DATA3'!$F$24,"")</f>
        <v/>
      </c>
      <c r="BL65" s="518" t="str">
        <f>IF(AND(_AC4="B-737-800",'2023'!$E$4="FO",'2023'!$E$2=BL43),'2023DATA3'!$G$24,"")</f>
        <v/>
      </c>
      <c r="BM65" s="518" t="str">
        <f>IF(AND(_AC4="B-737-800",'2023'!$E$4="FO",'2023'!$E$2=BM43),'2023DATA3'!$H$24,"")</f>
        <v/>
      </c>
      <c r="BN65" s="518" t="str">
        <f>IF(AND(_AC4="B-737-800",'2023'!$E$4="FO",'2023'!$E$2=BN43),'2023DATA3'!$I$24,"")</f>
        <v/>
      </c>
      <c r="BO65" s="518" t="str">
        <f>IF(AND(_AC4="B-737-800",'2023'!$E$4="FO",'2023'!$E$2=BO43),'2023DATA3'!$J$24,"")</f>
        <v/>
      </c>
      <c r="BP65" s="518" t="str">
        <f>IF(AND(_AC4="B-737-800",'2023'!$E$4="FO",'2023'!$E$2=BP43),'2023DATA3'!$K$24,"")</f>
        <v/>
      </c>
      <c r="BQ65" s="518" t="str">
        <f>IF(AND(_AC4="B-737-800",'2023'!$E$4="FO",'2023'!$E$2=BQ43),'2023DATA3'!$L$24,"")</f>
        <v/>
      </c>
      <c r="BR65" s="518" t="str">
        <f>IF(AND(_AC4="B-737-800",'2023'!$E$4="FO",'2023'!$E$2=BR43),'2023DATA3'!$M$24,"")</f>
        <v/>
      </c>
      <c r="BS65" s="520" t="str">
        <f>IF(AND(_AC4="B-737-800",'2023'!$E$4="FO",'2023'!$E$2=BS43),'2023DATA3'!$N$24,"")</f>
        <v/>
      </c>
      <c r="BT65" s="940"/>
      <c r="BU65" s="13" t="s">
        <v>62</v>
      </c>
      <c r="BV65" s="518" t="str">
        <f>IF(AND(_AC5="B-737-800",'2023'!$E$4="FO",'2023'!$E$2=BV43),'2023DATA3'!$C$24,"")</f>
        <v/>
      </c>
      <c r="BW65" s="518" t="str">
        <f>IF(AND(_AC5="B-737-800",'2023'!$E$4="FO",'2023'!$E$2=BW43),'2023DATA3'!$D$24,"")</f>
        <v/>
      </c>
      <c r="BX65" s="518" t="str">
        <f>IF(AND(_AC5="B-737-800",'2023'!$E$4="FO",'2023'!$E$2=BX43),'2023DATA3'!$E$24,"")</f>
        <v/>
      </c>
      <c r="BY65" s="518" t="str">
        <f>IF(AND(_AC5="B-737-800",'2023'!$E$4="FO",'2023'!$E$2=BY43),'2023DATA3'!$F$24,"")</f>
        <v/>
      </c>
      <c r="BZ65" s="518" t="str">
        <f>IF(AND(_AC5="B-737-800",'2023'!$E$4="FO",'2023'!$E$2=BZ43),'2023DATA3'!$G$24,"")</f>
        <v/>
      </c>
      <c r="CA65" s="518" t="str">
        <f>IF(AND(_AC5="B-737-800",'2023'!$E$4="FO",'2023'!$E$2=CA43),'2023DATA3'!$H$24,"")</f>
        <v/>
      </c>
      <c r="CB65" s="518" t="str">
        <f>IF(AND(_AC5="B-737-800",'2023'!$E$4="FO",'2023'!$E$2=CB43),'2023DATA3'!$I$24,"")</f>
        <v/>
      </c>
      <c r="CC65" s="518" t="str">
        <f>IF(AND(_AC5="B-737-800",'2023'!$E$4="FO",'2023'!$E$2=CC43),'2023DATA3'!$J$24,"")</f>
        <v/>
      </c>
      <c r="CD65" s="518" t="str">
        <f>IF(AND(_AC5="B-737-800",'2023'!$E$4="FO",'2023'!$E$2=CD43),'2023DATA3'!$K$24,"")</f>
        <v/>
      </c>
      <c r="CE65" s="518" t="str">
        <f>IF(AND(_AC5="B-737-800",'2023'!$E$4="FO",'2023'!$E$2=CE43),'2023DATA3'!$L$24,"")</f>
        <v/>
      </c>
      <c r="CF65" s="518" t="str">
        <f>IF(AND(_AC5="B-737-800",'2023'!$E$4="FO",'2023'!$E$2=CF43),'2023DATA3'!$M$24,"")</f>
        <v/>
      </c>
      <c r="CG65" s="520" t="str">
        <f>IF(AND(_AC5="B-737-800",'2023'!$E$4="FO",'2023'!$E$2=CG43),'2023DATA3'!$N$24,"")</f>
        <v/>
      </c>
      <c r="CH65" s="940"/>
      <c r="CI65" s="13" t="s">
        <v>62</v>
      </c>
      <c r="CJ65" s="518" t="str">
        <f>IF(AND(_AC6="B-737-800",'2023'!$E$4="FO",'2023'!$E$2=CJ43),'2023DATA3'!$C$24,"")</f>
        <v/>
      </c>
      <c r="CK65" s="518" t="str">
        <f>IF(AND(_AC6="B-737-800",'2023'!$E$4="FO",'2023'!$E$2=CK43),'2023DATA3'!$D$24,"")</f>
        <v/>
      </c>
      <c r="CL65" s="518" t="str">
        <f>IF(AND(_AC6="B-737-800",'2023'!$E$4="FO",'2023'!$E$2=CL43),'2023DATA3'!$E$24,"")</f>
        <v/>
      </c>
      <c r="CM65" s="518" t="str">
        <f>IF(AND(_AC6="B-737-800",'2023'!$E$4="FO",'2023'!$E$2=CM43),'2023DATA3'!$F$24,"")</f>
        <v/>
      </c>
      <c r="CN65" s="518" t="str">
        <f>IF(AND(_AC6="B-737-800",'2023'!$E$4="FO",'2023'!$E$2=CN43),'2023DATA3'!$G$24,"")</f>
        <v/>
      </c>
      <c r="CO65" s="518" t="str">
        <f>IF(AND(_AC6="B-737-800",'2023'!$E$4="FO",'2023'!$E$2=CO43),'2023DATA3'!$H$24,"")</f>
        <v/>
      </c>
      <c r="CP65" s="518" t="str">
        <f>IF(AND(_AC6="B-737-800",'2023'!$E$4="FO",'2023'!$E$2=CP43),'2023DATA3'!$I$24,"")</f>
        <v/>
      </c>
      <c r="CQ65" s="518" t="str">
        <f>IF(AND(_AC6="B-737-800",'2023'!$E$4="FO",'2023'!$E$2=CQ43),'2023DATA3'!$J$24,"")</f>
        <v/>
      </c>
      <c r="CR65" s="518" t="str">
        <f>IF(AND(_AC6="B-737-800",'2023'!$E$4="FO",'2023'!$E$2=CR43),'2023DATA3'!$K$24,"")</f>
        <v/>
      </c>
      <c r="CS65" s="518" t="str">
        <f>IF(AND(_AC6="B-737-800",'2023'!$E$4="FO",'2023'!$E$2=CS43),'2023DATA3'!$L$24,"")</f>
        <v/>
      </c>
      <c r="CT65" s="518" t="str">
        <f>IF(AND(_AC6="B-737-800",'2023'!$E$4="FO",'2023'!$E$2=CT43),'2023DATA3'!$M$24,"")</f>
        <v/>
      </c>
      <c r="CU65" s="520" t="str">
        <f>IF(AND(_AC6="B-737-800",'2023'!$E$4="FO",'2023'!$E$2=CU43),'2023DATA3'!$N$24,"")</f>
        <v/>
      </c>
    </row>
    <row r="66" spans="16:99" x14ac:dyDescent="0.25">
      <c r="P66" s="940" t="s">
        <v>46</v>
      </c>
      <c r="Q66" s="13" t="s">
        <v>61</v>
      </c>
      <c r="R66" s="518" t="str">
        <f>IF(AND(_AC1="A-321N",'2023'!$E$4="CA",'2023'!$E$2=R43),'2023DATA3'!$C$25,"")</f>
        <v/>
      </c>
      <c r="S66" s="518" t="str">
        <f>IF(AND(_AC1="A-321N",'2023'!$E$4="CA",'2023'!$E$2=S43),'2023DATA3'!$D$25,"")</f>
        <v/>
      </c>
      <c r="T66" s="518" t="str">
        <f>IF(AND(_AC1="A-321N",'2023'!$E$4="CA",'2023'!$E$2=T43),'2023DATA3'!$E$25,"")</f>
        <v/>
      </c>
      <c r="U66" s="518" t="str">
        <f>IF(AND(_AC1="A-321N",'2023'!$E$4="CA",'2023'!$E$2=U43),'2023DATA3'!$F$25,"")</f>
        <v/>
      </c>
      <c r="V66" s="518" t="str">
        <f>IF(AND(_AC1="A-321N",'2023'!$E$4="CA",'2023'!$E$2=V43),'2023DATA3'!$G$25,"")</f>
        <v/>
      </c>
      <c r="W66" s="518" t="str">
        <f>IF(AND(_AC1="A-321N",'2023'!$E$4="CA",'2023'!$E$2=W43),'2023DATA3'!$H$25,"")</f>
        <v/>
      </c>
      <c r="X66" s="518" t="str">
        <f>IF(AND(_AC1="A-321N",'2023'!$E$4="CA",'2023'!$E$2=X43),'2023DATA3'!$I$25,"")</f>
        <v/>
      </c>
      <c r="Y66" s="518" t="str">
        <f>IF(AND(_AC1="A-321N",'2023'!$E$4="CA",'2023'!$E$2=Y43),'2023DATA3'!$J$25,"")</f>
        <v/>
      </c>
      <c r="Z66" s="518" t="str">
        <f>IF(AND(_AC1="A-321N",'2023'!$E$4="CA",'2023'!$E$2=Z43),'2023DATA3'!$K$25,"")</f>
        <v/>
      </c>
      <c r="AA66" s="518" t="str">
        <f>IF(AND(_AC1="A-321N",'2023'!$E$4="CA",'2023'!$E$2=AA43),'2023DATA3'!$L$25,"")</f>
        <v/>
      </c>
      <c r="AB66" s="518" t="str">
        <f>IF(AND(_AC1="A-321N",'2023'!$E$4="CA",'2023'!$E$2=AB43),'2023DATA3'!$M$25,"")</f>
        <v/>
      </c>
      <c r="AC66" s="520" t="str">
        <f>IF(AND(_AC1="A-321N",'2023'!$E$4="CA",'2023'!$E$2=AC43),'2023DATA3'!$N$25,"")</f>
        <v/>
      </c>
      <c r="AD66" s="940" t="s">
        <v>46</v>
      </c>
      <c r="AE66" s="13" t="s">
        <v>61</v>
      </c>
      <c r="AF66" s="518" t="str">
        <f>IF(AND(_AC2="A-321N",'2023'!$E$4="CA",'2023'!$E$2=AF43),'2023DATA3'!$C$25,"")</f>
        <v/>
      </c>
      <c r="AG66" s="518" t="str">
        <f>IF(AND(_AC2="A-321N",'2023'!$E$4="CA",'2023'!$E$2=AG43),'2023DATA3'!$D$25,"")</f>
        <v/>
      </c>
      <c r="AH66" s="518" t="str">
        <f>IF(AND(_AC2="A-321N",'2023'!$E$4="CA",'2023'!$E$2=AH43),'2023DATA3'!$E$25,"")</f>
        <v/>
      </c>
      <c r="AI66" s="518" t="str">
        <f>IF(AND(_AC2="A-321N",'2023'!$E$4="CA",'2023'!$E$2=AI43),'2023DATA3'!$F$25,"")</f>
        <v/>
      </c>
      <c r="AJ66" s="518" t="str">
        <f>IF(AND(_AC2="A-321N",'2023'!$E$4="CA",'2023'!$E$2=AJ43),'2023DATA3'!$G$25,"")</f>
        <v/>
      </c>
      <c r="AK66" s="518" t="str">
        <f>IF(AND(_AC2="A-321N",'2023'!$E$4="CA",'2023'!$E$2=AK43),'2023DATA3'!$H$25,"")</f>
        <v/>
      </c>
      <c r="AL66" s="518" t="str">
        <f>IF(AND(_AC2="A-321N",'2023'!$E$4="CA",'2023'!$E$2=AL43),'2023DATA3'!$I$25,"")</f>
        <v/>
      </c>
      <c r="AM66" s="518" t="str">
        <f>IF(AND(_AC2="A-321N",'2023'!$E$4="CA",'2023'!$E$2=AM43),'2023DATA3'!$J$25,"")</f>
        <v/>
      </c>
      <c r="AN66" s="518" t="str">
        <f>IF(AND(_AC2="A-321N",'2023'!$E$4="CA",'2023'!$E$2=AN43),'2023DATA3'!$K$25,"")</f>
        <v/>
      </c>
      <c r="AO66" s="518" t="str">
        <f>IF(AND(_AC2="A-321N",'2023'!$E$4="CA",'2023'!$E$2=AO43),'2023DATA3'!$L$25,"")</f>
        <v/>
      </c>
      <c r="AP66" s="518" t="str">
        <f>IF(AND(_AC2="A-321N",'2023'!$E$4="CA",'2023'!$E$2=AP43),'2023DATA3'!$M$25,"")</f>
        <v/>
      </c>
      <c r="AQ66" s="520" t="str">
        <f>IF(AND(_AC2="A-321N",'2023'!$E$4="CA",'2023'!$E$2=AQ43),'2023DATA3'!$N$25,"")</f>
        <v/>
      </c>
      <c r="AR66" s="940" t="s">
        <v>46</v>
      </c>
      <c r="AS66" s="13" t="s">
        <v>61</v>
      </c>
      <c r="AT66" s="518" t="str">
        <f>IF(AND(_AC3="A-321N",'2023'!$E$4="CA",'2023'!$E$2=AT43),'2023DATA3'!$C$25,"")</f>
        <v/>
      </c>
      <c r="AU66" s="518" t="str">
        <f>IF(AND(_AC3="A-321N",'2023'!$E$4="CA",'2023'!$E$2=AU43),'2023DATA3'!$D$25,"")</f>
        <v/>
      </c>
      <c r="AV66" s="518" t="str">
        <f>IF(AND(_AC3="A-321N",'2023'!$E$4="CA",'2023'!$E$2=AV43),'2023DATA3'!$E$25,"")</f>
        <v/>
      </c>
      <c r="AW66" s="518" t="str">
        <f>IF(AND(_AC3="A-321N",'2023'!$E$4="CA",'2023'!$E$2=AW43),'2023DATA3'!$F$25,"")</f>
        <v/>
      </c>
      <c r="AX66" s="518" t="str">
        <f>IF(AND(_AC3="A-321N",'2023'!$E$4="CA",'2023'!$E$2=AX43),'2023DATA3'!$G$25,"")</f>
        <v/>
      </c>
      <c r="AY66" s="518" t="str">
        <f>IF(AND(_AC3="A-321N",'2023'!$E$4="CA",'2023'!$E$2=AY43),'2023DATA3'!$H$25,"")</f>
        <v/>
      </c>
      <c r="AZ66" s="518" t="str">
        <f>IF(AND(_AC3="A-321N",'2023'!$E$4="CA",'2023'!$E$2=AZ43),'2023DATA3'!$I$25,"")</f>
        <v/>
      </c>
      <c r="BA66" s="518" t="str">
        <f>IF(AND(_AC3="A-321N",'2023'!$E$4="CA",'2023'!$E$2=BA43),'2023DATA3'!$J$25,"")</f>
        <v/>
      </c>
      <c r="BB66" s="518" t="str">
        <f>IF(AND(_AC3="A-321N",'2023'!$E$4="CA",'2023'!$E$2=BB43),'2023DATA3'!$K$25,"")</f>
        <v/>
      </c>
      <c r="BC66" s="518" t="str">
        <f>IF(AND(_AC3="A-321N",'2023'!$E$4="CA",'2023'!$E$2=BC43),'2023DATA3'!$L$25,"")</f>
        <v/>
      </c>
      <c r="BD66" s="518" t="str">
        <f>IF(AND(_AC3="A-321N",'2023'!$E$4="CA",'2023'!$E$2=BD43),'2023DATA3'!$M$25,"")</f>
        <v/>
      </c>
      <c r="BE66" s="520" t="str">
        <f>IF(AND(_AC3="A-321N",'2023'!$E$4="CA",'2023'!$E$2=BE43),'2023DATA3'!$N$25,"")</f>
        <v/>
      </c>
      <c r="BF66" s="940" t="s">
        <v>46</v>
      </c>
      <c r="BG66" s="13" t="s">
        <v>61</v>
      </c>
      <c r="BH66" s="518" t="str">
        <f>IF(AND(_AC4="A-321N",'2023'!$E$4="CA",'2023'!$E$2=BH43),'2023DATA3'!$C$25,"")</f>
        <v/>
      </c>
      <c r="BI66" s="518" t="str">
        <f>IF(AND(_AC4="A-321N",'2023'!$E$4="CA",'2023'!$E$2=BI43),'2023DATA3'!$D$25,"")</f>
        <v/>
      </c>
      <c r="BJ66" s="518" t="str">
        <f>IF(AND(_AC4="A-321N",'2023'!$E$4="CA",'2023'!$E$2=BJ43),'2023DATA3'!$E$25,"")</f>
        <v/>
      </c>
      <c r="BK66" s="518" t="str">
        <f>IF(AND(_AC4="A-321N",'2023'!$E$4="CA",'2023'!$E$2=BK43),'2023DATA3'!$F$25,"")</f>
        <v/>
      </c>
      <c r="BL66" s="518" t="str">
        <f>IF(AND(_AC4="A-321N",'2023'!$E$4="CA",'2023'!$E$2=BL43),'2023DATA3'!$G$25,"")</f>
        <v/>
      </c>
      <c r="BM66" s="518" t="str">
        <f>IF(AND(_AC4="A-321N",'2023'!$E$4="CA",'2023'!$E$2=BM43),'2023DATA3'!$H$25,"")</f>
        <v/>
      </c>
      <c r="BN66" s="518" t="str">
        <f>IF(AND(_AC4="A-321N",'2023'!$E$4="CA",'2023'!$E$2=BN43),'2023DATA3'!$I$25,"")</f>
        <v/>
      </c>
      <c r="BO66" s="518" t="str">
        <f>IF(AND(_AC4="A-321N",'2023'!$E$4="CA",'2023'!$E$2=BO43),'2023DATA3'!$J$25,"")</f>
        <v/>
      </c>
      <c r="BP66" s="518" t="str">
        <f>IF(AND(_AC4="A-321N",'2023'!$E$4="CA",'2023'!$E$2=BP43),'2023DATA3'!$K$25,"")</f>
        <v/>
      </c>
      <c r="BQ66" s="518" t="str">
        <f>IF(AND(_AC4="A-321N",'2023'!$E$4="CA",'2023'!$E$2=BQ43),'2023DATA3'!$L$25,"")</f>
        <v/>
      </c>
      <c r="BR66" s="518" t="str">
        <f>IF(AND(_AC4="A-321N",'2023'!$E$4="CA",'2023'!$E$2=BR43),'2023DATA3'!$M$25,"")</f>
        <v/>
      </c>
      <c r="BS66" s="520" t="str">
        <f>IF(AND(_AC4="A-321N",'2023'!$E$4="CA",'2023'!$E$2=BS43),'2023DATA3'!$N$25,"")</f>
        <v/>
      </c>
      <c r="BT66" s="940" t="s">
        <v>46</v>
      </c>
      <c r="BU66" s="13" t="s">
        <v>61</v>
      </c>
      <c r="BV66" s="518" t="str">
        <f>IF(AND(_AC5="A-321N",'2023'!$E$4="CA",'2023'!$E$2=BV43),'2023DATA3'!$C$25,"")</f>
        <v/>
      </c>
      <c r="BW66" s="518" t="str">
        <f>IF(AND(_AC5="A-321N",'2023'!$E$4="CA",'2023'!$E$2=BW43),'2023DATA3'!$D$25,"")</f>
        <v/>
      </c>
      <c r="BX66" s="518" t="str">
        <f>IF(AND(_AC5="A-321N",'2023'!$E$4="CA",'2023'!$E$2=BX43),'2023DATA3'!$E$25,"")</f>
        <v/>
      </c>
      <c r="BY66" s="518" t="str">
        <f>IF(AND(_AC5="A-321N",'2023'!$E$4="CA",'2023'!$E$2=BY43),'2023DATA3'!$F$25,"")</f>
        <v/>
      </c>
      <c r="BZ66" s="518" t="str">
        <f>IF(AND(_AC5="A-321N",'2023'!$E$4="CA",'2023'!$E$2=BZ43),'2023DATA3'!$G$25,"")</f>
        <v/>
      </c>
      <c r="CA66" s="518" t="str">
        <f>IF(AND(_AC5="A-321N",'2023'!$E$4="CA",'2023'!$E$2=CA43),'2023DATA3'!$H$25,"")</f>
        <v/>
      </c>
      <c r="CB66" s="518" t="str">
        <f>IF(AND(_AC5="A-321N",'2023'!$E$4="CA",'2023'!$E$2=CB43),'2023DATA3'!$I$25,"")</f>
        <v/>
      </c>
      <c r="CC66" s="518" t="str">
        <f>IF(AND(_AC5="A-321N",'2023'!$E$4="CA",'2023'!$E$2=CC43),'2023DATA3'!$J$25,"")</f>
        <v/>
      </c>
      <c r="CD66" s="518" t="str">
        <f>IF(AND(_AC5="A-321N",'2023'!$E$4="CA",'2023'!$E$2=CD43),'2023DATA3'!$K$25,"")</f>
        <v/>
      </c>
      <c r="CE66" s="518" t="str">
        <f>IF(AND(_AC5="A-321N",'2023'!$E$4="CA",'2023'!$E$2=CE43),'2023DATA3'!$L$25,"")</f>
        <v/>
      </c>
      <c r="CF66" s="518" t="str">
        <f>IF(AND(_AC5="A-321N",'2023'!$E$4="CA",'2023'!$E$2=CF43),'2023DATA3'!$M$25,"")</f>
        <v/>
      </c>
      <c r="CG66" s="520" t="str">
        <f>IF(AND(_AC5="A-321N",'2023'!$E$4="CA",'2023'!$E$2=CG43),'2023DATA3'!$N$25,"")</f>
        <v/>
      </c>
      <c r="CH66" s="940" t="s">
        <v>46</v>
      </c>
      <c r="CI66" s="13" t="s">
        <v>61</v>
      </c>
      <c r="CJ66" s="518" t="str">
        <f>IF(AND(_AC6="A-321N",'2023'!$E$4="CA",'2023'!$E$2=CJ43),'2023DATA3'!$C$25,"")</f>
        <v/>
      </c>
      <c r="CK66" s="518" t="str">
        <f>IF(AND(_AC6="A-321N",'2023'!$E$4="CA",'2023'!$E$2=CK43),'2023DATA3'!$D$25,"")</f>
        <v/>
      </c>
      <c r="CL66" s="518" t="str">
        <f>IF(AND(_AC6="A-321N",'2023'!$E$4="CA",'2023'!$E$2=CL43),'2023DATA3'!$E$25,"")</f>
        <v/>
      </c>
      <c r="CM66" s="518" t="str">
        <f>IF(AND(_AC6="A-321N",'2023'!$E$4="CA",'2023'!$E$2=CM43),'2023DATA3'!$F$25,"")</f>
        <v/>
      </c>
      <c r="CN66" s="518" t="str">
        <f>IF(AND(_AC6="A-321N",'2023'!$E$4="CA",'2023'!$E$2=CN43),'2023DATA3'!$G$25,"")</f>
        <v/>
      </c>
      <c r="CO66" s="518" t="str">
        <f>IF(AND(_AC6="A-321N",'2023'!$E$4="CA",'2023'!$E$2=CO43),'2023DATA3'!$H$25,"")</f>
        <v/>
      </c>
      <c r="CP66" s="518" t="str">
        <f>IF(AND(_AC6="A-321N",'2023'!$E$4="CA",'2023'!$E$2=CP43),'2023DATA3'!$I$25,"")</f>
        <v/>
      </c>
      <c r="CQ66" s="518" t="str">
        <f>IF(AND(_AC6="A-321N",'2023'!$E$4="CA",'2023'!$E$2=CQ43),'2023DATA3'!$J$25,"")</f>
        <v/>
      </c>
      <c r="CR66" s="518" t="str">
        <f>IF(AND(_AC6="A-321N",'2023'!$E$4="CA",'2023'!$E$2=CR43),'2023DATA3'!$K$25,"")</f>
        <v/>
      </c>
      <c r="CS66" s="518" t="str">
        <f>IF(AND(_AC6="A-321N",'2023'!$E$4="CA",'2023'!$E$2=CS43),'2023DATA3'!$L$25,"")</f>
        <v/>
      </c>
      <c r="CT66" s="518" t="str">
        <f>IF(AND(_AC6="A-321N",'2023'!$E$4="CA",'2023'!$E$2=CT43),'2023DATA3'!$M$25,"")</f>
        <v/>
      </c>
      <c r="CU66" s="520" t="str">
        <f>IF(AND(_AC6="A-321N",'2023'!$E$4="CA",'2023'!$E$2=CU43),'2023DATA3'!$N$25,"")</f>
        <v/>
      </c>
    </row>
    <row r="67" spans="16:99" x14ac:dyDescent="0.25">
      <c r="P67" s="940"/>
      <c r="Q67" s="13" t="s">
        <v>62</v>
      </c>
      <c r="R67" s="518" t="str">
        <f>IF(AND(_AC1="A-321N",'2023'!$E$4="FO",'2023'!$E$2=R43),'2023DATA3'!$C$26,"")</f>
        <v/>
      </c>
      <c r="S67" s="518" t="str">
        <f>IF(AND(_AC1="A-321N",'2023'!$E$4="FO",'2023'!$E$2=S43),'2023DATA3'!$D$26,"")</f>
        <v/>
      </c>
      <c r="T67" s="518" t="str">
        <f>IF(AND(_AC1="A-321N",'2023'!$E$4="FO",'2023'!$E$2=T43),'2023DATA3'!$E$26,"")</f>
        <v/>
      </c>
      <c r="U67" s="518" t="str">
        <f>IF(AND(_AC1="A-321N",'2023'!$E$4="FO",'2023'!$E$2=U43),'2023DATA3'!$F$26,"")</f>
        <v/>
      </c>
      <c r="V67" s="518" t="str">
        <f>IF(AND(_AC1="A-321N",'2023'!$E$4="FO",'2023'!$E$2=V43),'2023DATA3'!$G$26,"")</f>
        <v/>
      </c>
      <c r="W67" s="518" t="str">
        <f>IF(AND(_AC1="A-321N",'2023'!$E$4="FO",'2023'!$E$2=W43),'2023DATA3'!$H$26,"")</f>
        <v/>
      </c>
      <c r="X67" s="518" t="str">
        <f>IF(AND(_AC1="A-321N",'2023'!$E$4="FO",'2023'!$E$2=X43),'2023DATA3'!$I$26,"")</f>
        <v/>
      </c>
      <c r="Y67" s="518" t="str">
        <f>IF(AND(_AC1="A-321N",'2023'!$E$4="FO",'2023'!$E$2=Y43),'2023DATA3'!$J$26,"")</f>
        <v/>
      </c>
      <c r="Z67" s="518" t="str">
        <f>IF(AND(_AC1="A-321N",'2023'!$E$4="FO",'2023'!$E$2=Z43),'2023DATA3'!$K$26,"")</f>
        <v/>
      </c>
      <c r="AA67" s="518" t="str">
        <f>IF(AND(_AC1="A-321N",'2023'!$E$4="FO",'2023'!$E$2=AA43),'2023DATA3'!$L$26,"")</f>
        <v/>
      </c>
      <c r="AB67" s="518" t="str">
        <f>IF(AND(_AC1="A-321N",'2023'!$E$4="FO",'2023'!$E$2=AB43),'2023DATA3'!$M$26,"")</f>
        <v/>
      </c>
      <c r="AC67" s="520" t="str">
        <f>IF(AND(_AC1="A-321N",'2023'!$E$4="FO",'2023'!$E$2=AC43),'2023DATA3'!$N$26,"")</f>
        <v/>
      </c>
      <c r="AD67" s="940"/>
      <c r="AE67" s="13" t="s">
        <v>62</v>
      </c>
      <c r="AF67" s="518" t="str">
        <f>IF(AND(_AC2="A-321N",'2023'!$E$4="FO",'2023'!$E$2=AF43),'2023DATA3'!$C$26,"")</f>
        <v/>
      </c>
      <c r="AG67" s="518" t="str">
        <f>IF(AND(_AC2="A-321N",'2023'!$E$4="FO",'2023'!$E$2=AG43),'2023DATA3'!$D$26,"")</f>
        <v/>
      </c>
      <c r="AH67" s="518" t="str">
        <f>IF(AND(_AC2="A-321N",'2023'!$E$4="FO",'2023'!$E$2=AH43),'2023DATA3'!$E$26,"")</f>
        <v/>
      </c>
      <c r="AI67" s="518" t="str">
        <f>IF(AND(_AC2="A-321N",'2023'!$E$4="FO",'2023'!$E$2=AI43),'2023DATA3'!$F$26,"")</f>
        <v/>
      </c>
      <c r="AJ67" s="518" t="str">
        <f>IF(AND(_AC2="A-321N",'2023'!$E$4="FO",'2023'!$E$2=AJ43),'2023DATA3'!$G$26,"")</f>
        <v/>
      </c>
      <c r="AK67" s="518" t="str">
        <f>IF(AND(_AC2="A-321N",'2023'!$E$4="FO",'2023'!$E$2=AK43),'2023DATA3'!$H$26,"")</f>
        <v/>
      </c>
      <c r="AL67" s="518" t="str">
        <f>IF(AND(_AC2="A-321N",'2023'!$E$4="FO",'2023'!$E$2=AL43),'2023DATA3'!$I$26,"")</f>
        <v/>
      </c>
      <c r="AM67" s="518" t="str">
        <f>IF(AND(_AC2="A-321N",'2023'!$E$4="FO",'2023'!$E$2=AM43),'2023DATA3'!$J$26,"")</f>
        <v/>
      </c>
      <c r="AN67" s="518" t="str">
        <f>IF(AND(_AC2="A-321N",'2023'!$E$4="FO",'2023'!$E$2=AN43),'2023DATA3'!$K$26,"")</f>
        <v/>
      </c>
      <c r="AO67" s="518" t="str">
        <f>IF(AND(_AC2="A-321N",'2023'!$E$4="FO",'2023'!$E$2=AO43),'2023DATA3'!$L$26,"")</f>
        <v/>
      </c>
      <c r="AP67" s="518" t="str">
        <f>IF(AND(_AC2="A-321N",'2023'!$E$4="FO",'2023'!$E$2=AP43),'2023DATA3'!$M$26,"")</f>
        <v/>
      </c>
      <c r="AQ67" s="520" t="str">
        <f>IF(AND(_AC2="A-321N",'2023'!$E$4="FO",'2023'!$E$2=AQ43),'2023DATA3'!$N$26,"")</f>
        <v/>
      </c>
      <c r="AR67" s="940"/>
      <c r="AS67" s="13" t="s">
        <v>62</v>
      </c>
      <c r="AT67" s="518" t="str">
        <f>IF(AND(_AC3="A-321N",'2023'!$E$4="FO",'2023'!$E$2=AT43),'2023DATA3'!$C$26,"")</f>
        <v/>
      </c>
      <c r="AU67" s="518" t="str">
        <f>IF(AND(_AC3="A-321N",'2023'!$E$4="FO",'2023'!$E$2=AU43),'2023DATA3'!$D$26,"")</f>
        <v/>
      </c>
      <c r="AV67" s="518" t="str">
        <f>IF(AND(_AC3="A-321N",'2023'!$E$4="FO",'2023'!$E$2=AV43),'2023DATA3'!$E$26,"")</f>
        <v/>
      </c>
      <c r="AW67" s="518" t="str">
        <f>IF(AND(_AC3="A-321N",'2023'!$E$4="FO",'2023'!$E$2=AW43),'2023DATA3'!$F$26,"")</f>
        <v/>
      </c>
      <c r="AX67" s="518" t="str">
        <f>IF(AND(_AC3="A-321N",'2023'!$E$4="FO",'2023'!$E$2=AX43),'2023DATA3'!$G$26,"")</f>
        <v/>
      </c>
      <c r="AY67" s="518" t="str">
        <f>IF(AND(_AC3="A-321N",'2023'!$E$4="FO",'2023'!$E$2=AY43),'2023DATA3'!$H$26,"")</f>
        <v/>
      </c>
      <c r="AZ67" s="518" t="str">
        <f>IF(AND(_AC3="A-321N",'2023'!$E$4="FO",'2023'!$E$2=AZ43),'2023DATA3'!$I$26,"")</f>
        <v/>
      </c>
      <c r="BA67" s="518" t="str">
        <f>IF(AND(_AC3="A-321N",'2023'!$E$4="FO",'2023'!$E$2=BA43),'2023DATA3'!$J$26,"")</f>
        <v/>
      </c>
      <c r="BB67" s="518" t="str">
        <f>IF(AND(_AC3="A-321N",'2023'!$E$4="FO",'2023'!$E$2=BB43),'2023DATA3'!$K$26,"")</f>
        <v/>
      </c>
      <c r="BC67" s="518" t="str">
        <f>IF(AND(_AC3="A-321N",'2023'!$E$4="FO",'2023'!$E$2=BC43),'2023DATA3'!$L$26,"")</f>
        <v/>
      </c>
      <c r="BD67" s="518" t="str">
        <f>IF(AND(_AC3="A-321N",'2023'!$E$4="FO",'2023'!$E$2=BD43),'2023DATA3'!$M$26,"")</f>
        <v/>
      </c>
      <c r="BE67" s="520" t="str">
        <f>IF(AND(_AC3="A-321N",'2023'!$E$4="FO",'2023'!$E$2=BE43),'2023DATA3'!$N$26,"")</f>
        <v/>
      </c>
      <c r="BF67" s="940"/>
      <c r="BG67" s="13" t="s">
        <v>62</v>
      </c>
      <c r="BH67" s="518" t="str">
        <f>IF(AND(_AC4="A-321N",'2023'!$E$4="FO",'2023'!$E$2=BH43),'2023DATA3'!$C$26,"")</f>
        <v/>
      </c>
      <c r="BI67" s="518" t="str">
        <f>IF(AND(_AC4="A-321N",'2023'!$E$4="FO",'2023'!$E$2=BI43),'2023DATA3'!$D$26,"")</f>
        <v/>
      </c>
      <c r="BJ67" s="518" t="str">
        <f>IF(AND(_AC4="A-321N",'2023'!$E$4="FO",'2023'!$E$2=BJ43),'2023DATA3'!$E$26,"")</f>
        <v/>
      </c>
      <c r="BK67" s="518" t="str">
        <f>IF(AND(_AC4="A-321N",'2023'!$E$4="FO",'2023'!$E$2=BK43),'2023DATA3'!$F$26,"")</f>
        <v/>
      </c>
      <c r="BL67" s="518" t="str">
        <f>IF(AND(_AC4="A-321N",'2023'!$E$4="FO",'2023'!$E$2=BL43),'2023DATA3'!$G$26,"")</f>
        <v/>
      </c>
      <c r="BM67" s="518" t="str">
        <f>IF(AND(_AC4="A-321N",'2023'!$E$4="FO",'2023'!$E$2=BM43),'2023DATA3'!$H$26,"")</f>
        <v/>
      </c>
      <c r="BN67" s="518" t="str">
        <f>IF(AND(_AC4="A-321N",'2023'!$E$4="FO",'2023'!$E$2=BN43),'2023DATA3'!$I$26,"")</f>
        <v/>
      </c>
      <c r="BO67" s="518" t="str">
        <f>IF(AND(_AC4="A-321N",'2023'!$E$4="FO",'2023'!$E$2=BO43),'2023DATA3'!$J$26,"")</f>
        <v/>
      </c>
      <c r="BP67" s="518" t="str">
        <f>IF(AND(_AC4="A-321N",'2023'!$E$4="FO",'2023'!$E$2=BP43),'2023DATA3'!$K$26,"")</f>
        <v/>
      </c>
      <c r="BQ67" s="518" t="str">
        <f>IF(AND(_AC4="A-321N",'2023'!$E$4="FO",'2023'!$E$2=BQ43),'2023DATA3'!$L$26,"")</f>
        <v/>
      </c>
      <c r="BR67" s="518" t="str">
        <f>IF(AND(_AC4="A-321N",'2023'!$E$4="FO",'2023'!$E$2=BR43),'2023DATA3'!$M$26,"")</f>
        <v/>
      </c>
      <c r="BS67" s="520" t="str">
        <f>IF(AND(_AC4="A-321N",'2023'!$E$4="FO",'2023'!$E$2=BS43),'2023DATA3'!$N$26,"")</f>
        <v/>
      </c>
      <c r="BT67" s="940"/>
      <c r="BU67" s="13" t="s">
        <v>62</v>
      </c>
      <c r="BV67" s="518" t="str">
        <f>IF(AND(_AC5="A-321N",'2023'!$E$4="FO",'2023'!$E$2=BV43),'2023DATA3'!$C$26,"")</f>
        <v/>
      </c>
      <c r="BW67" s="518" t="str">
        <f>IF(AND(_AC5="A-321N",'2023'!$E$4="FO",'2023'!$E$2=BW43),'2023DATA3'!$D$26,"")</f>
        <v/>
      </c>
      <c r="BX67" s="518" t="str">
        <f>IF(AND(_AC5="A-321N",'2023'!$E$4="FO",'2023'!$E$2=BX43),'2023DATA3'!$E$26,"")</f>
        <v/>
      </c>
      <c r="BY67" s="518" t="str">
        <f>IF(AND(_AC5="A-321N",'2023'!$E$4="FO",'2023'!$E$2=BY43),'2023DATA3'!$F$26,"")</f>
        <v/>
      </c>
      <c r="BZ67" s="518" t="str">
        <f>IF(AND(_AC5="A-321N",'2023'!$E$4="FO",'2023'!$E$2=BZ43),'2023DATA3'!$G$26,"")</f>
        <v/>
      </c>
      <c r="CA67" s="518" t="str">
        <f>IF(AND(_AC5="A-321N",'2023'!$E$4="FO",'2023'!$E$2=CA43),'2023DATA3'!$H$26,"")</f>
        <v/>
      </c>
      <c r="CB67" s="518" t="str">
        <f>IF(AND(_AC5="A-321N",'2023'!$E$4="FO",'2023'!$E$2=CB43),'2023DATA3'!$I$26,"")</f>
        <v/>
      </c>
      <c r="CC67" s="518" t="str">
        <f>IF(AND(_AC5="A-321N",'2023'!$E$4="FO",'2023'!$E$2=CC43),'2023DATA3'!$J$26,"")</f>
        <v/>
      </c>
      <c r="CD67" s="518" t="str">
        <f>IF(AND(_AC5="A-321N",'2023'!$E$4="FO",'2023'!$E$2=CD43),'2023DATA3'!$K$26,"")</f>
        <v/>
      </c>
      <c r="CE67" s="518" t="str">
        <f>IF(AND(_AC5="A-321N",'2023'!$E$4="FO",'2023'!$E$2=CE43),'2023DATA3'!$L$26,"")</f>
        <v/>
      </c>
      <c r="CF67" s="518" t="str">
        <f>IF(AND(_AC5="A-321N",'2023'!$E$4="FO",'2023'!$E$2=CF43),'2023DATA3'!$M$26,"")</f>
        <v/>
      </c>
      <c r="CG67" s="520" t="str">
        <f>IF(AND(_AC5="A-321N",'2023'!$E$4="FO",'2023'!$E$2=CG43),'2023DATA3'!$N$26,"")</f>
        <v/>
      </c>
      <c r="CH67" s="940"/>
      <c r="CI67" s="13" t="s">
        <v>62</v>
      </c>
      <c r="CJ67" s="518" t="str">
        <f>IF(AND(_AC6="A-321N",'2023'!$E$4="FO",'2023'!$E$2=CJ43),'2023DATA3'!$C$26,"")</f>
        <v/>
      </c>
      <c r="CK67" s="518" t="str">
        <f>IF(AND(_AC6="A-321N",'2023'!$E$4="FO",'2023'!$E$2=CK43),'2023DATA3'!$D$26,"")</f>
        <v/>
      </c>
      <c r="CL67" s="518" t="str">
        <f>IF(AND(_AC6="A-321N",'2023'!$E$4="FO",'2023'!$E$2=CL43),'2023DATA3'!$E$26,"")</f>
        <v/>
      </c>
      <c r="CM67" s="518" t="str">
        <f>IF(AND(_AC6="A-321N",'2023'!$E$4="FO",'2023'!$E$2=CM43),'2023DATA3'!$F$26,"")</f>
        <v/>
      </c>
      <c r="CN67" s="518" t="str">
        <f>IF(AND(_AC6="A-321N",'2023'!$E$4="FO",'2023'!$E$2=CN43),'2023DATA3'!$G$26,"")</f>
        <v/>
      </c>
      <c r="CO67" s="518" t="str">
        <f>IF(AND(_AC6="A-321N",'2023'!$E$4="FO",'2023'!$E$2=CO43),'2023DATA3'!$H$26,"")</f>
        <v/>
      </c>
      <c r="CP67" s="518" t="str">
        <f>IF(AND(_AC6="A-321N",'2023'!$E$4="FO",'2023'!$E$2=CP43),'2023DATA3'!$I$26,"")</f>
        <v/>
      </c>
      <c r="CQ67" s="518" t="str">
        <f>IF(AND(_AC6="A-321N",'2023'!$E$4="FO",'2023'!$E$2=CQ43),'2023DATA3'!$J$26,"")</f>
        <v/>
      </c>
      <c r="CR67" s="518" t="str">
        <f>IF(AND(_AC6="A-321N",'2023'!$E$4="FO",'2023'!$E$2=CR43),'2023DATA3'!$K$26,"")</f>
        <v/>
      </c>
      <c r="CS67" s="518" t="str">
        <f>IF(AND(_AC6="A-321N",'2023'!$E$4="FO",'2023'!$E$2=CS43),'2023DATA3'!$L$26,"")</f>
        <v/>
      </c>
      <c r="CT67" s="518" t="str">
        <f>IF(AND(_AC6="A-321N",'2023'!$E$4="FO",'2023'!$E$2=CT43),'2023DATA3'!$M$26,"")</f>
        <v/>
      </c>
      <c r="CU67" s="520" t="str">
        <f>IF(AND(_AC6="A-321N",'2023'!$E$4="FO",'2023'!$E$2=CU43),'2023DATA3'!$N$26,"")</f>
        <v/>
      </c>
    </row>
    <row r="68" spans="16:99" x14ac:dyDescent="0.25">
      <c r="P68" s="940" t="s">
        <v>48</v>
      </c>
      <c r="Q68" s="13" t="s">
        <v>61</v>
      </c>
      <c r="R68" s="518" t="str">
        <f>IF(AND(_AC1="A-321",'2023'!$E$4="CA",'2023'!$E$2=R43),'2023DATA3'!$C$27,"")</f>
        <v/>
      </c>
      <c r="S68" s="518" t="str">
        <f>IF(AND(_AC1="A-321",'2023'!$E$4="CA",'2023'!$E$2=S43),'2023DATA3'!$D$27,"")</f>
        <v/>
      </c>
      <c r="T68" s="518" t="str">
        <f>IF(AND(_AC1="A-321",'2023'!$E$4="CA",'2023'!$E$2=T43),'2023DATA3'!$E$27,"")</f>
        <v/>
      </c>
      <c r="U68" s="518" t="str">
        <f>IF(AND(_AC1="A-321",'2023'!$E$4="CA",'2023'!$E$2=U43),'2023DATA3'!$F$27,"")</f>
        <v/>
      </c>
      <c r="V68" s="518" t="str">
        <f>IF(AND(_AC1="A-321",'2023'!$E$4="CA",'2023'!$E$2=V43),'2023DATA3'!$G$27,"")</f>
        <v/>
      </c>
      <c r="W68" s="518" t="str">
        <f>IF(AND(_AC1="A-321",'2023'!$E$4="CA",'2023'!$E$2=W43),'2023DATA3'!$H$27,"")</f>
        <v/>
      </c>
      <c r="X68" s="518" t="str">
        <f>IF(AND(_AC1="A-321",'2023'!$E$4="CA",'2023'!$E$2=X43),'2023DATA3'!$I$27,"")</f>
        <v/>
      </c>
      <c r="Y68" s="518" t="str">
        <f>IF(AND(_AC1="A-321",'2023'!$E$4="CA",'2023'!$E$2=Y43),'2023DATA3'!$J$27,"")</f>
        <v/>
      </c>
      <c r="Z68" s="518" t="str">
        <f>IF(AND(_AC1="A-321",'2023'!$E$4="CA",'2023'!$E$2=Z43),'2023DATA3'!$K$27,"")</f>
        <v/>
      </c>
      <c r="AA68" s="518" t="str">
        <f>IF(AND(_AC1="A-321",'2023'!$E$4="CA",'2023'!$E$2=AA43),'2023DATA3'!$L$27,"")</f>
        <v/>
      </c>
      <c r="AB68" s="518" t="str">
        <f>IF(AND(_AC1="A-321",'2023'!$E$4="CA",'2023'!$E$2=AB43),'2023DATA3'!$M$27,"")</f>
        <v/>
      </c>
      <c r="AC68" s="520" t="str">
        <f>IF(AND(_AC1="A-321",'2023'!$E$4="CA",'2023'!$E$2=AC43),'2023DATA3'!$N$27,"")</f>
        <v/>
      </c>
      <c r="AD68" s="940" t="s">
        <v>48</v>
      </c>
      <c r="AE68" s="13" t="s">
        <v>61</v>
      </c>
      <c r="AF68" s="518" t="str">
        <f>IF(AND(_AC2="A-321",'2023'!$E$4="CA",'2023'!$E$2=AF43),'2023DATA3'!$C$27,"")</f>
        <v/>
      </c>
      <c r="AG68" s="518" t="str">
        <f>IF(AND(_AC2="A-321",'2023'!$E$4="CA",'2023'!$E$2=AG43),'2023DATA3'!$D$27,"")</f>
        <v/>
      </c>
      <c r="AH68" s="518" t="str">
        <f>IF(AND(_AC2="A-321",'2023'!$E$4="CA",'2023'!$E$2=AH43),'2023DATA3'!$E$27,"")</f>
        <v/>
      </c>
      <c r="AI68" s="518" t="str">
        <f>IF(AND(_AC2="A-321",'2023'!$E$4="CA",'2023'!$E$2=AI43),'2023DATA3'!$F$27,"")</f>
        <v/>
      </c>
      <c r="AJ68" s="518" t="str">
        <f>IF(AND(_AC2="A-321",'2023'!$E$4="CA",'2023'!$E$2=AJ43),'2023DATA3'!$G$27,"")</f>
        <v/>
      </c>
      <c r="AK68" s="518" t="str">
        <f>IF(AND(_AC2="A-321",'2023'!$E$4="CA",'2023'!$E$2=AK43),'2023DATA3'!$H$27,"")</f>
        <v/>
      </c>
      <c r="AL68" s="518" t="str">
        <f>IF(AND(_AC2="A-321",'2023'!$E$4="CA",'2023'!$E$2=AL43),'2023DATA3'!$I$27,"")</f>
        <v/>
      </c>
      <c r="AM68" s="518" t="str">
        <f>IF(AND(_AC2="A-321",'2023'!$E$4="CA",'2023'!$E$2=AM43),'2023DATA3'!$J$27,"")</f>
        <v/>
      </c>
      <c r="AN68" s="518" t="str">
        <f>IF(AND(_AC2="A-321",'2023'!$E$4="CA",'2023'!$E$2=AN43),'2023DATA3'!$K$27,"")</f>
        <v/>
      </c>
      <c r="AO68" s="518" t="str">
        <f>IF(AND(_AC2="A-321",'2023'!$E$4="CA",'2023'!$E$2=AO43),'2023DATA3'!$L$27,"")</f>
        <v/>
      </c>
      <c r="AP68" s="518" t="str">
        <f>IF(AND(_AC2="A-321",'2023'!$E$4="CA",'2023'!$E$2=AP43),'2023DATA3'!$M$27,"")</f>
        <v/>
      </c>
      <c r="AQ68" s="520" t="str">
        <f>IF(AND(_AC2="A-321",'2023'!$E$4="CA",'2023'!$E$2=AQ43),'2023DATA3'!$N$27,"")</f>
        <v/>
      </c>
      <c r="AR68" s="940" t="s">
        <v>48</v>
      </c>
      <c r="AS68" s="13" t="s">
        <v>61</v>
      </c>
      <c r="AT68" s="518" t="str">
        <f>IF(AND(_AC3="A-321",'2023'!$E$4="CA",'2023'!$E$2=AT43),'2023DATA3'!$C$27,"")</f>
        <v/>
      </c>
      <c r="AU68" s="518" t="str">
        <f>IF(AND(_AC3="A-321",'2023'!$E$4="CA",'2023'!$E$2=AU43),'2023DATA3'!$D$27,"")</f>
        <v/>
      </c>
      <c r="AV68" s="518" t="str">
        <f>IF(AND(_AC3="A-321",'2023'!$E$4="CA",'2023'!$E$2=AV43),'2023DATA3'!$E$27,"")</f>
        <v/>
      </c>
      <c r="AW68" s="518" t="str">
        <f>IF(AND(_AC3="A-321",'2023'!$E$4="CA",'2023'!$E$2=AW43),'2023DATA3'!$F$27,"")</f>
        <v/>
      </c>
      <c r="AX68" s="518" t="str">
        <f>IF(AND(_AC3="A-321",'2023'!$E$4="CA",'2023'!$E$2=AX43),'2023DATA3'!$G$27,"")</f>
        <v/>
      </c>
      <c r="AY68" s="518" t="str">
        <f>IF(AND(_AC3="A-321",'2023'!$E$4="CA",'2023'!$E$2=AY43),'2023DATA3'!$H$27,"")</f>
        <v/>
      </c>
      <c r="AZ68" s="518" t="str">
        <f>IF(AND(_AC3="A-321",'2023'!$E$4="CA",'2023'!$E$2=AZ43),'2023DATA3'!$I$27,"")</f>
        <v/>
      </c>
      <c r="BA68" s="518" t="str">
        <f>IF(AND(_AC3="A-321",'2023'!$E$4="CA",'2023'!$E$2=BA43),'2023DATA3'!$J$27,"")</f>
        <v/>
      </c>
      <c r="BB68" s="518" t="str">
        <f>IF(AND(_AC3="A-321",'2023'!$E$4="CA",'2023'!$E$2=BB43),'2023DATA3'!$K$27,"")</f>
        <v/>
      </c>
      <c r="BC68" s="518" t="str">
        <f>IF(AND(_AC3="A-321",'2023'!$E$4="CA",'2023'!$E$2=BC43),'2023DATA3'!$L$27,"")</f>
        <v/>
      </c>
      <c r="BD68" s="518" t="str">
        <f>IF(AND(_AC3="A-321",'2023'!$E$4="CA",'2023'!$E$2=BD43),'2023DATA3'!$M$27,"")</f>
        <v/>
      </c>
      <c r="BE68" s="520" t="str">
        <f>IF(AND(_AC3="A-321",'2023'!$E$4="CA",'2023'!$E$2=BE43),'2023DATA3'!$N$27,"")</f>
        <v/>
      </c>
      <c r="BF68" s="940" t="s">
        <v>48</v>
      </c>
      <c r="BG68" s="13" t="s">
        <v>61</v>
      </c>
      <c r="BH68" s="518" t="str">
        <f>IF(AND(_AC4="A-321",'2023'!$E$4="CA",'2023'!$E$2=BH43),'2023DATA3'!$C$27,"")</f>
        <v/>
      </c>
      <c r="BI68" s="518" t="str">
        <f>IF(AND(_AC4="A-321",'2023'!$E$4="CA",'2023'!$E$2=BI43),'2023DATA3'!$D$27,"")</f>
        <v/>
      </c>
      <c r="BJ68" s="518" t="str">
        <f>IF(AND(_AC4="A-321",'2023'!$E$4="CA",'2023'!$E$2=BJ43),'2023DATA3'!$E$27,"")</f>
        <v/>
      </c>
      <c r="BK68" s="518" t="str">
        <f>IF(AND(_AC4="A-321",'2023'!$E$4="CA",'2023'!$E$2=BK43),'2023DATA3'!$F$27,"")</f>
        <v/>
      </c>
      <c r="BL68" s="518" t="str">
        <f>IF(AND(_AC4="A-321",'2023'!$E$4="CA",'2023'!$E$2=BL43),'2023DATA3'!$G$27,"")</f>
        <v/>
      </c>
      <c r="BM68" s="518" t="str">
        <f>IF(AND(_AC4="A-321",'2023'!$E$4="CA",'2023'!$E$2=BM43),'2023DATA3'!$H$27,"")</f>
        <v/>
      </c>
      <c r="BN68" s="518" t="str">
        <f>IF(AND(_AC4="A-321",'2023'!$E$4="CA",'2023'!$E$2=BN43),'2023DATA3'!$I$27,"")</f>
        <v/>
      </c>
      <c r="BO68" s="518" t="str">
        <f>IF(AND(_AC4="A-321",'2023'!$E$4="CA",'2023'!$E$2=BO43),'2023DATA3'!$J$27,"")</f>
        <v/>
      </c>
      <c r="BP68" s="518" t="str">
        <f>IF(AND(_AC4="A-321",'2023'!$E$4="CA",'2023'!$E$2=BP43),'2023DATA3'!$K$27,"")</f>
        <v/>
      </c>
      <c r="BQ68" s="518" t="str">
        <f>IF(AND(_AC4="A-321",'2023'!$E$4="CA",'2023'!$E$2=BQ43),'2023DATA3'!$L$27,"")</f>
        <v/>
      </c>
      <c r="BR68" s="518" t="str">
        <f>IF(AND(_AC4="A-321",'2023'!$E$4="CA",'2023'!$E$2=BR43),'2023DATA3'!$M$27,"")</f>
        <v/>
      </c>
      <c r="BS68" s="520" t="str">
        <f>IF(AND(_AC4="A-321",'2023'!$E$4="CA",'2023'!$E$2=BS43),'2023DATA3'!$N$27,"")</f>
        <v/>
      </c>
      <c r="BT68" s="940" t="s">
        <v>48</v>
      </c>
      <c r="BU68" s="13" t="s">
        <v>61</v>
      </c>
      <c r="BV68" s="518" t="str">
        <f>IF(AND(_AC5="A-321",'2023'!$E$4="CA",'2023'!$E$2=BV43),'2023DATA3'!$C$27,"")</f>
        <v/>
      </c>
      <c r="BW68" s="518" t="str">
        <f>IF(AND(_AC5="A-321",'2023'!$E$4="CA",'2023'!$E$2=BW43),'2023DATA3'!$D$27,"")</f>
        <v/>
      </c>
      <c r="BX68" s="518" t="str">
        <f>IF(AND(_AC5="A-321",'2023'!$E$4="CA",'2023'!$E$2=BX43),'2023DATA3'!$E$27,"")</f>
        <v/>
      </c>
      <c r="BY68" s="518" t="str">
        <f>IF(AND(_AC5="A-321",'2023'!$E$4="CA",'2023'!$E$2=BY43),'2023DATA3'!$F$27,"")</f>
        <v/>
      </c>
      <c r="BZ68" s="518" t="str">
        <f>IF(AND(_AC5="A-321",'2023'!$E$4="CA",'2023'!$E$2=BZ43),'2023DATA3'!$G$27,"")</f>
        <v/>
      </c>
      <c r="CA68" s="518" t="str">
        <f>IF(AND(_AC5="A-321",'2023'!$E$4="CA",'2023'!$E$2=CA43),'2023DATA3'!$H$27,"")</f>
        <v/>
      </c>
      <c r="CB68" s="518" t="str">
        <f>IF(AND(_AC5="A-321",'2023'!$E$4="CA",'2023'!$E$2=CB43),'2023DATA3'!$I$27,"")</f>
        <v/>
      </c>
      <c r="CC68" s="518" t="str">
        <f>IF(AND(_AC5="A-321",'2023'!$E$4="CA",'2023'!$E$2=CC43),'2023DATA3'!$J$27,"")</f>
        <v/>
      </c>
      <c r="CD68" s="518" t="str">
        <f>IF(AND(_AC5="A-321",'2023'!$E$4="CA",'2023'!$E$2=CD43),'2023DATA3'!$K$27,"")</f>
        <v/>
      </c>
      <c r="CE68" s="518" t="str">
        <f>IF(AND(_AC5="A-321",'2023'!$E$4="CA",'2023'!$E$2=CE43),'2023DATA3'!$L$27,"")</f>
        <v/>
      </c>
      <c r="CF68" s="518" t="str">
        <f>IF(AND(_AC5="A-321",'2023'!$E$4="CA",'2023'!$E$2=CF43),'2023DATA3'!$M$27,"")</f>
        <v/>
      </c>
      <c r="CG68" s="520" t="str">
        <f>IF(AND(_AC5="A-321",'2023'!$E$4="CA",'2023'!$E$2=CG43),'2023DATA3'!$N$27,"")</f>
        <v/>
      </c>
      <c r="CH68" s="940" t="s">
        <v>48</v>
      </c>
      <c r="CI68" s="13" t="s">
        <v>61</v>
      </c>
      <c r="CJ68" s="518" t="str">
        <f>IF(AND(_AC6="A-321",'2023'!$E$4="CA",'2023'!$E$2=CJ43),'2023DATA3'!$C$27,"")</f>
        <v/>
      </c>
      <c r="CK68" s="518" t="str">
        <f>IF(AND(_AC6="A-321",'2023'!$E$4="CA",'2023'!$E$2=CK43),'2023DATA3'!$D$27,"")</f>
        <v/>
      </c>
      <c r="CL68" s="518" t="str">
        <f>IF(AND(_AC6="A-321",'2023'!$E$4="CA",'2023'!$E$2=CL43),'2023DATA3'!$E$27,"")</f>
        <v/>
      </c>
      <c r="CM68" s="518" t="str">
        <f>IF(AND(_AC6="A-321",'2023'!$E$4="CA",'2023'!$E$2=CM43),'2023DATA3'!$F$27,"")</f>
        <v/>
      </c>
      <c r="CN68" s="518" t="str">
        <f>IF(AND(_AC6="A-321",'2023'!$E$4="CA",'2023'!$E$2=CN43),'2023DATA3'!$G$27,"")</f>
        <v/>
      </c>
      <c r="CO68" s="518" t="str">
        <f>IF(AND(_AC6="A-321",'2023'!$E$4="CA",'2023'!$E$2=CO43),'2023DATA3'!$H$27,"")</f>
        <v/>
      </c>
      <c r="CP68" s="518" t="str">
        <f>IF(AND(_AC6="A-321",'2023'!$E$4="CA",'2023'!$E$2=CP43),'2023DATA3'!$I$27,"")</f>
        <v/>
      </c>
      <c r="CQ68" s="518" t="str">
        <f>IF(AND(_AC6="A-321",'2023'!$E$4="CA",'2023'!$E$2=CQ43),'2023DATA3'!$J$27,"")</f>
        <v/>
      </c>
      <c r="CR68" s="518" t="str">
        <f>IF(AND(_AC6="A-321",'2023'!$E$4="CA",'2023'!$E$2=CR43),'2023DATA3'!$K$27,"")</f>
        <v/>
      </c>
      <c r="CS68" s="518" t="str">
        <f>IF(AND(_AC6="A-321",'2023'!$E$4="CA",'2023'!$E$2=CS43),'2023DATA3'!$L$27,"")</f>
        <v/>
      </c>
      <c r="CT68" s="518" t="str">
        <f>IF(AND(_AC6="A-321",'2023'!$E$4="CA",'2023'!$E$2=CT43),'2023DATA3'!$M$27,"")</f>
        <v/>
      </c>
      <c r="CU68" s="520" t="str">
        <f>IF(AND(_AC6="A-321",'2023'!$E$4="CA",'2023'!$E$2=CU43),'2023DATA3'!$N$27,"")</f>
        <v/>
      </c>
    </row>
    <row r="69" spans="16:99" x14ac:dyDescent="0.25">
      <c r="P69" s="940"/>
      <c r="Q69" s="13" t="s">
        <v>62</v>
      </c>
      <c r="R69" s="518" t="str">
        <f>IF(AND(_AC1="A-321",'2023'!$E$4="FO",'2023'!$E$2=R43),'2023DATA3'!$C$28,"")</f>
        <v/>
      </c>
      <c r="S69" s="518" t="str">
        <f>IF(AND(_AC1="A-321",'2023'!$E$4="FO",'2023'!$E$2=S43),'2023DATA3'!$D$28,"")</f>
        <v/>
      </c>
      <c r="T69" s="518" t="str">
        <f>IF(AND(_AC1="A-321",'2023'!$E$4="FO",'2023'!$E$2=T43),'2023DATA3'!$E$28,"")</f>
        <v/>
      </c>
      <c r="U69" s="518" t="str">
        <f>IF(AND(_AC1="A-321",'2023'!$E$4="FO",'2023'!$E$2=U43),'2023DATA3'!$F$28,"")</f>
        <v/>
      </c>
      <c r="V69" s="518" t="str">
        <f>IF(AND(_AC1="A-321",'2023'!$E$4="FO",'2023'!$E$2=V43),'2023DATA3'!$G$28,"")</f>
        <v/>
      </c>
      <c r="W69" s="518" t="str">
        <f>IF(AND(_AC1="A-321",'2023'!$E$4="FO",'2023'!$E$2=W43),'2023DATA3'!$H$28,"")</f>
        <v/>
      </c>
      <c r="X69" s="518" t="str">
        <f>IF(AND(_AC1="A-321",'2023'!$E$4="FO",'2023'!$E$2=X43),'2023DATA3'!$I$28,"")</f>
        <v/>
      </c>
      <c r="Y69" s="518" t="str">
        <f>IF(AND(_AC1="A-321",'2023'!$E$4="FO",'2023'!$E$2=Y43),'2023DATA3'!$J$28,"")</f>
        <v/>
      </c>
      <c r="Z69" s="518" t="str">
        <f>IF(AND(_AC1="A-321",'2023'!$E$4="FO",'2023'!$E$2=Z43),'2023DATA3'!$K$28,"")</f>
        <v/>
      </c>
      <c r="AA69" s="518" t="str">
        <f>IF(AND(_AC1="A-321",'2023'!$E$4="FO",'2023'!$E$2=AA43),'2023DATA3'!$L$28,"")</f>
        <v/>
      </c>
      <c r="AB69" s="518" t="str">
        <f>IF(AND(_AC1="A-321",'2023'!$E$4="FO",'2023'!$E$2=AB43),'2023DATA3'!$M$28,"")</f>
        <v/>
      </c>
      <c r="AC69" s="520" t="str">
        <f>IF(AND(_AC1="A-321",'2023'!$E$4="FO",'2023'!$E$2=AC43),'2023DATA3'!$N$28,"")</f>
        <v/>
      </c>
      <c r="AD69" s="940"/>
      <c r="AE69" s="13" t="s">
        <v>62</v>
      </c>
      <c r="AF69" s="518" t="str">
        <f>IF(AND(_AC2="A-321",'2023'!$E$4="FO",'2023'!$E$2=AF43),'2023DATA3'!$C$28,"")</f>
        <v/>
      </c>
      <c r="AG69" s="518" t="str">
        <f>IF(AND(_AC2="A-321",'2023'!$E$4="FO",'2023'!$E$2=AG43),'2023DATA3'!$D$28,"")</f>
        <v/>
      </c>
      <c r="AH69" s="518" t="str">
        <f>IF(AND(_AC2="A-321",'2023'!$E$4="FO",'2023'!$E$2=AH43),'2023DATA3'!$E$28,"")</f>
        <v/>
      </c>
      <c r="AI69" s="518" t="str">
        <f>IF(AND(_AC2="A-321",'2023'!$E$4="FO",'2023'!$E$2=AI43),'2023DATA3'!$F$28,"")</f>
        <v/>
      </c>
      <c r="AJ69" s="518" t="str">
        <f>IF(AND(_AC2="A-321",'2023'!$E$4="FO",'2023'!$E$2=AJ43),'2023DATA3'!$G$28,"")</f>
        <v/>
      </c>
      <c r="AK69" s="518" t="str">
        <f>IF(AND(_AC2="A-321",'2023'!$E$4="FO",'2023'!$E$2=AK43),'2023DATA3'!$H$28,"")</f>
        <v/>
      </c>
      <c r="AL69" s="518" t="str">
        <f>IF(AND(_AC2="A-321",'2023'!$E$4="FO",'2023'!$E$2=AL43),'2023DATA3'!$I$28,"")</f>
        <v/>
      </c>
      <c r="AM69" s="518" t="str">
        <f>IF(AND(_AC2="A-321",'2023'!$E$4="FO",'2023'!$E$2=AM43),'2023DATA3'!$J$28,"")</f>
        <v/>
      </c>
      <c r="AN69" s="518" t="str">
        <f>IF(AND(_AC2="A-321",'2023'!$E$4="FO",'2023'!$E$2=AN43),'2023DATA3'!$K$28,"")</f>
        <v/>
      </c>
      <c r="AO69" s="518" t="str">
        <f>IF(AND(_AC2="A-321",'2023'!$E$4="FO",'2023'!$E$2=AO43),'2023DATA3'!$L$28,"")</f>
        <v/>
      </c>
      <c r="AP69" s="518" t="str">
        <f>IF(AND(_AC2="A-321",'2023'!$E$4="FO",'2023'!$E$2=AP43),'2023DATA3'!$M$28,"")</f>
        <v/>
      </c>
      <c r="AQ69" s="520" t="str">
        <f>IF(AND(_AC2="A-321",'2023'!$E$4="FO",'2023'!$E$2=AQ43),'2023DATA3'!$N$28,"")</f>
        <v/>
      </c>
      <c r="AR69" s="940"/>
      <c r="AS69" s="13" t="s">
        <v>62</v>
      </c>
      <c r="AT69" s="518" t="str">
        <f>IF(AND(_AC3="A-321",'2023'!$E$4="FO",'2023'!$E$2=AT43),'2023DATA3'!$C$28,"")</f>
        <v/>
      </c>
      <c r="AU69" s="518" t="str">
        <f>IF(AND(_AC3="A-321",'2023'!$E$4="FO",'2023'!$E$2=AU43),'2023DATA3'!$D$28,"")</f>
        <v/>
      </c>
      <c r="AV69" s="518" t="str">
        <f>IF(AND(_AC3="A-321",'2023'!$E$4="FO",'2023'!$E$2=AV43),'2023DATA3'!$E$28,"")</f>
        <v/>
      </c>
      <c r="AW69" s="518" t="str">
        <f>IF(AND(_AC3="A-321",'2023'!$E$4="FO",'2023'!$E$2=AW43),'2023DATA3'!$F$28,"")</f>
        <v/>
      </c>
      <c r="AX69" s="518" t="str">
        <f>IF(AND(_AC3="A-321",'2023'!$E$4="FO",'2023'!$E$2=AX43),'2023DATA3'!$G$28,"")</f>
        <v/>
      </c>
      <c r="AY69" s="518" t="str">
        <f>IF(AND(_AC3="A-321",'2023'!$E$4="FO",'2023'!$E$2=AY43),'2023DATA3'!$H$28,"")</f>
        <v/>
      </c>
      <c r="AZ69" s="518" t="str">
        <f>IF(AND(_AC3="A-321",'2023'!$E$4="FO",'2023'!$E$2=AZ43),'2023DATA3'!$I$28,"")</f>
        <v/>
      </c>
      <c r="BA69" s="518" t="str">
        <f>IF(AND(_AC3="A-321",'2023'!$E$4="FO",'2023'!$E$2=BA43),'2023DATA3'!$J$28,"")</f>
        <v/>
      </c>
      <c r="BB69" s="518" t="str">
        <f>IF(AND(_AC3="A-321",'2023'!$E$4="FO",'2023'!$E$2=BB43),'2023DATA3'!$K$28,"")</f>
        <v/>
      </c>
      <c r="BC69" s="518" t="str">
        <f>IF(AND(_AC3="A-321",'2023'!$E$4="FO",'2023'!$E$2=BC43),'2023DATA3'!$L$28,"")</f>
        <v/>
      </c>
      <c r="BD69" s="518" t="str">
        <f>IF(AND(_AC3="A-321",'2023'!$E$4="FO",'2023'!$E$2=BD43),'2023DATA3'!$M$28,"")</f>
        <v/>
      </c>
      <c r="BE69" s="520" t="str">
        <f>IF(AND(_AC3="A-321",'2023'!$E$4="FO",'2023'!$E$2=BE43),'2023DATA3'!$N$28,"")</f>
        <v/>
      </c>
      <c r="BF69" s="940"/>
      <c r="BG69" s="13" t="s">
        <v>62</v>
      </c>
      <c r="BH69" s="518" t="str">
        <f>IF(AND(_AC4="A-321",'2023'!$E$4="FO",'2023'!$E$2=BH43),'2023DATA3'!$C$28,"")</f>
        <v/>
      </c>
      <c r="BI69" s="518" t="str">
        <f>IF(AND(_AC4="A-321",'2023'!$E$4="FO",'2023'!$E$2=BI43),'2023DATA3'!$D$28,"")</f>
        <v/>
      </c>
      <c r="BJ69" s="518" t="str">
        <f>IF(AND(_AC4="A-321",'2023'!$E$4="FO",'2023'!$E$2=BJ43),'2023DATA3'!$E$28,"")</f>
        <v/>
      </c>
      <c r="BK69" s="518" t="str">
        <f>IF(AND(_AC4="A-321",'2023'!$E$4="FO",'2023'!$E$2=BK43),'2023DATA3'!$F$28,"")</f>
        <v/>
      </c>
      <c r="BL69" s="518" t="str">
        <f>IF(AND(_AC4="A-321",'2023'!$E$4="FO",'2023'!$E$2=BL43),'2023DATA3'!$G$28,"")</f>
        <v/>
      </c>
      <c r="BM69" s="518" t="str">
        <f>IF(AND(_AC4="A-321",'2023'!$E$4="FO",'2023'!$E$2=BM43),'2023DATA3'!$H$28,"")</f>
        <v/>
      </c>
      <c r="BN69" s="518" t="str">
        <f>IF(AND(_AC4="A-321",'2023'!$E$4="FO",'2023'!$E$2=BN43),'2023DATA3'!$I$28,"")</f>
        <v/>
      </c>
      <c r="BO69" s="518" t="str">
        <f>IF(AND(_AC4="A-321",'2023'!$E$4="FO",'2023'!$E$2=BO43),'2023DATA3'!$J$28,"")</f>
        <v/>
      </c>
      <c r="BP69" s="518" t="str">
        <f>IF(AND(_AC4="A-321",'2023'!$E$4="FO",'2023'!$E$2=BP43),'2023DATA3'!$K$28,"")</f>
        <v/>
      </c>
      <c r="BQ69" s="518" t="str">
        <f>IF(AND(_AC4="A-321",'2023'!$E$4="FO",'2023'!$E$2=BQ43),'2023DATA3'!$L$28,"")</f>
        <v/>
      </c>
      <c r="BR69" s="518" t="str">
        <f>IF(AND(_AC4="A-321",'2023'!$E$4="FO",'2023'!$E$2=BR43),'2023DATA3'!$M$28,"")</f>
        <v/>
      </c>
      <c r="BS69" s="520" t="str">
        <f>IF(AND(_AC4="A-321",'2023'!$E$4="FO",'2023'!$E$2=BS43),'2023DATA3'!$N$28,"")</f>
        <v/>
      </c>
      <c r="BT69" s="940"/>
      <c r="BU69" s="13" t="s">
        <v>62</v>
      </c>
      <c r="BV69" s="518" t="str">
        <f>IF(AND(_AC5="A-321",'2023'!$E$4="FO",'2023'!$E$2=BV43),'2023DATA3'!$C$28,"")</f>
        <v/>
      </c>
      <c r="BW69" s="518" t="str">
        <f>IF(AND(_AC5="A-321",'2023'!$E$4="FO",'2023'!$E$2=BW43),'2023DATA3'!$D$28,"")</f>
        <v/>
      </c>
      <c r="BX69" s="518" t="str">
        <f>IF(AND(_AC5="A-321",'2023'!$E$4="FO",'2023'!$E$2=BX43),'2023DATA3'!$E$28,"")</f>
        <v/>
      </c>
      <c r="BY69" s="518" t="str">
        <f>IF(AND(_AC5="A-321",'2023'!$E$4="FO",'2023'!$E$2=BY43),'2023DATA3'!$F$28,"")</f>
        <v/>
      </c>
      <c r="BZ69" s="518" t="str">
        <f>IF(AND(_AC5="A-321",'2023'!$E$4="FO",'2023'!$E$2=BZ43),'2023DATA3'!$G$28,"")</f>
        <v/>
      </c>
      <c r="CA69" s="518" t="str">
        <f>IF(AND(_AC5="A-321",'2023'!$E$4="FO",'2023'!$E$2=CA43),'2023DATA3'!$H$28,"")</f>
        <v/>
      </c>
      <c r="CB69" s="518" t="str">
        <f>IF(AND(_AC5="A-321",'2023'!$E$4="FO",'2023'!$E$2=CB43),'2023DATA3'!$I$28,"")</f>
        <v/>
      </c>
      <c r="CC69" s="518" t="str">
        <f>IF(AND(_AC5="A-321",'2023'!$E$4="FO",'2023'!$E$2=CC43),'2023DATA3'!$J$28,"")</f>
        <v/>
      </c>
      <c r="CD69" s="518" t="str">
        <f>IF(AND(_AC5="A-321",'2023'!$E$4="FO",'2023'!$E$2=CD43),'2023DATA3'!$K$28,"")</f>
        <v/>
      </c>
      <c r="CE69" s="518" t="str">
        <f>IF(AND(_AC5="A-321",'2023'!$E$4="FO",'2023'!$E$2=CE43),'2023DATA3'!$L$28,"")</f>
        <v/>
      </c>
      <c r="CF69" s="518" t="str">
        <f>IF(AND(_AC5="A-321",'2023'!$E$4="FO",'2023'!$E$2=CF43),'2023DATA3'!$M$28,"")</f>
        <v/>
      </c>
      <c r="CG69" s="520" t="str">
        <f>IF(AND(_AC5="A-321",'2023'!$E$4="FO",'2023'!$E$2=CG43),'2023DATA3'!$N$28,"")</f>
        <v/>
      </c>
      <c r="CH69" s="940"/>
      <c r="CI69" s="13" t="s">
        <v>62</v>
      </c>
      <c r="CJ69" s="518" t="str">
        <f>IF(AND(_AC6="A-321",'2023'!$E$4="FO",'2023'!$E$2=CJ43),'2023DATA3'!$C$28,"")</f>
        <v/>
      </c>
      <c r="CK69" s="518" t="str">
        <f>IF(AND(_AC6="A-321",'2023'!$E$4="FO",'2023'!$E$2=CK43),'2023DATA3'!$D$28,"")</f>
        <v/>
      </c>
      <c r="CL69" s="518" t="str">
        <f>IF(AND(_AC6="A-321",'2023'!$E$4="FO",'2023'!$E$2=CL43),'2023DATA3'!$E$28,"")</f>
        <v/>
      </c>
      <c r="CM69" s="518" t="str">
        <f>IF(AND(_AC6="A-321",'2023'!$E$4="FO",'2023'!$E$2=CM43),'2023DATA3'!$F$28,"")</f>
        <v/>
      </c>
      <c r="CN69" s="518" t="str">
        <f>IF(AND(_AC6="A-321",'2023'!$E$4="FO",'2023'!$E$2=CN43),'2023DATA3'!$G$28,"")</f>
        <v/>
      </c>
      <c r="CO69" s="518" t="str">
        <f>IF(AND(_AC6="A-321",'2023'!$E$4="FO",'2023'!$E$2=CO43),'2023DATA3'!$H$28,"")</f>
        <v/>
      </c>
      <c r="CP69" s="518" t="str">
        <f>IF(AND(_AC6="A-321",'2023'!$E$4="FO",'2023'!$E$2=CP43),'2023DATA3'!$I$28,"")</f>
        <v/>
      </c>
      <c r="CQ69" s="518" t="str">
        <f>IF(AND(_AC6="A-321",'2023'!$E$4="FO",'2023'!$E$2=CQ43),'2023DATA3'!$J$28,"")</f>
        <v/>
      </c>
      <c r="CR69" s="518" t="str">
        <f>IF(AND(_AC6="A-321",'2023'!$E$4="FO",'2023'!$E$2=CR43),'2023DATA3'!$K$28,"")</f>
        <v/>
      </c>
      <c r="CS69" s="518" t="str">
        <f>IF(AND(_AC6="A-321",'2023'!$E$4="FO",'2023'!$E$2=CS43),'2023DATA3'!$L$28,"")</f>
        <v/>
      </c>
      <c r="CT69" s="518" t="str">
        <f>IF(AND(_AC6="A-321",'2023'!$E$4="FO",'2023'!$E$2=CT43),'2023DATA3'!$M$28,"")</f>
        <v/>
      </c>
      <c r="CU69" s="520" t="str">
        <f>IF(AND(_AC6="A-321",'2023'!$E$4="FO",'2023'!$E$2=CU43),'2023DATA3'!$N$28,"")</f>
        <v/>
      </c>
    </row>
    <row r="70" spans="16:99" x14ac:dyDescent="0.25">
      <c r="P70" s="940" t="s">
        <v>70</v>
      </c>
      <c r="Q70" s="13" t="s">
        <v>61</v>
      </c>
      <c r="R70" s="518" t="str">
        <f>IF(AND(_AC1="A-320",'2023'!$E$4="CA",'2023'!$E$2=R43),'2023DATA3'!$C$29,"")</f>
        <v/>
      </c>
      <c r="S70" s="518" t="str">
        <f>IF(AND(_AC1="A-320",'2023'!$E$4="CA",'2023'!$E$2=S43),'2023DATA3'!$D$29,"")</f>
        <v/>
      </c>
      <c r="T70" s="518" t="str">
        <f>IF(AND(_AC1="A-320",'2023'!$E$4="CA",'2023'!$E$2=T43),'2023DATA3'!$E$29,"")</f>
        <v/>
      </c>
      <c r="U70" s="518" t="str">
        <f>IF(AND(_AC1="A-320",'2023'!$E$4="CA",'2023'!$E$2=U43),'2023DATA3'!$F$29,"")</f>
        <v/>
      </c>
      <c r="V70" s="518" t="str">
        <f>IF(AND(_AC1="A-320",'2023'!$E$4="CA",'2023'!$E$2=V43),'2023DATA3'!$G$29,"")</f>
        <v/>
      </c>
      <c r="W70" s="518" t="str">
        <f>IF(AND(_AC1="A-320",'2023'!$E$4="CA",'2023'!$E$2=W43),'2023DATA3'!$H$29,"")</f>
        <v/>
      </c>
      <c r="X70" s="518" t="str">
        <f>IF(AND(_AC1="A-320",'2023'!$E$4="CA",'2023'!$E$2=X43),'2023DATA3'!$I$29,"")</f>
        <v/>
      </c>
      <c r="Y70" s="518" t="str">
        <f>IF(AND(_AC1="A-320",'2023'!$E$4="CA",'2023'!$E$2=Y43),'2023DATA3'!$J$29,"")</f>
        <v/>
      </c>
      <c r="Z70" s="518" t="str">
        <f>IF(AND(_AC1="A-320",'2023'!$E$4="CA",'2023'!$E$2=Z43),'2023DATA3'!$K$29,"")</f>
        <v/>
      </c>
      <c r="AA70" s="518" t="str">
        <f>IF(AND(_AC1="A-320",'2023'!$E$4="CA",'2023'!$E$2=AA43),'2023DATA3'!$L$29,"")</f>
        <v/>
      </c>
      <c r="AB70" s="518" t="str">
        <f>IF(AND(_AC1="A-320",'2023'!$E$4="CA",'2023'!$E$2=AB43),'2023DATA3'!$M$29,"")</f>
        <v/>
      </c>
      <c r="AC70" s="520" t="str">
        <f>IF(AND(_AC1="A-320",'2023'!$E$4="CA",'2023'!$E$2=AC43),'2023DATA3'!$N$29,"")</f>
        <v/>
      </c>
      <c r="AD70" s="940" t="s">
        <v>70</v>
      </c>
      <c r="AE70" s="13" t="s">
        <v>61</v>
      </c>
      <c r="AF70" s="518" t="str">
        <f>IF(AND(_AC2="A-320",'2023'!$E$4="CA",'2023'!$E$2=AF43),'2023DATA3'!$C$29,"")</f>
        <v/>
      </c>
      <c r="AG70" s="518" t="str">
        <f>IF(AND(_AC2="A-320",'2023'!$E$4="CA",'2023'!$E$2=AG43),'2023DATA3'!$D$29,"")</f>
        <v/>
      </c>
      <c r="AH70" s="518" t="str">
        <f>IF(AND(_AC2="A-320",'2023'!$E$4="CA",'2023'!$E$2=AH43),'2023DATA3'!$E$29,"")</f>
        <v/>
      </c>
      <c r="AI70" s="518" t="str">
        <f>IF(AND(_AC2="A-320",'2023'!$E$4="CA",'2023'!$E$2=AI43),'2023DATA3'!$F$29,"")</f>
        <v/>
      </c>
      <c r="AJ70" s="518" t="str">
        <f>IF(AND(_AC2="A-320",'2023'!$E$4="CA",'2023'!$E$2=AJ43),'2023DATA3'!$G$29,"")</f>
        <v/>
      </c>
      <c r="AK70" s="518" t="str">
        <f>IF(AND(_AC2="A-320",'2023'!$E$4="CA",'2023'!$E$2=AK43),'2023DATA3'!$H$29,"")</f>
        <v/>
      </c>
      <c r="AL70" s="518" t="str">
        <f>IF(AND(_AC2="A-320",'2023'!$E$4="CA",'2023'!$E$2=AL43),'2023DATA3'!$I$29,"")</f>
        <v/>
      </c>
      <c r="AM70" s="518" t="str">
        <f>IF(AND(_AC2="A-320",'2023'!$E$4="CA",'2023'!$E$2=AM43),'2023DATA3'!$J$29,"")</f>
        <v/>
      </c>
      <c r="AN70" s="518" t="str">
        <f>IF(AND(_AC2="A-320",'2023'!$E$4="CA",'2023'!$E$2=AN43),'2023DATA3'!$K$29,"")</f>
        <v/>
      </c>
      <c r="AO70" s="518" t="str">
        <f>IF(AND(_AC2="A-320",'2023'!$E$4="CA",'2023'!$E$2=AO43),'2023DATA3'!$L$29,"")</f>
        <v/>
      </c>
      <c r="AP70" s="518" t="str">
        <f>IF(AND(_AC2="A-320",'2023'!$E$4="CA",'2023'!$E$2=AP43),'2023DATA3'!$M$29,"")</f>
        <v/>
      </c>
      <c r="AQ70" s="520" t="str">
        <f>IF(AND(_AC2="A-320",'2023'!$E$4="CA",'2023'!$E$2=AQ43),'2023DATA3'!$N$29,"")</f>
        <v/>
      </c>
      <c r="AR70" s="940" t="s">
        <v>70</v>
      </c>
      <c r="AS70" s="13" t="s">
        <v>61</v>
      </c>
      <c r="AT70" s="518" t="str">
        <f>IF(AND(_AC3="A-320",'2023'!$E$4="CA",'2023'!$E$2=AT43),'2023DATA3'!$C$29,"")</f>
        <v/>
      </c>
      <c r="AU70" s="518" t="str">
        <f>IF(AND(_AC3="A-320",'2023'!$E$4="CA",'2023'!$E$2=AU43),'2023DATA3'!$D$29,"")</f>
        <v/>
      </c>
      <c r="AV70" s="518" t="str">
        <f>IF(AND(_AC3="A-320",'2023'!$E$4="CA",'2023'!$E$2=AV43),'2023DATA3'!$E$29,"")</f>
        <v/>
      </c>
      <c r="AW70" s="518" t="str">
        <f>IF(AND(_AC3="A-320",'2023'!$E$4="CA",'2023'!$E$2=AW43),'2023DATA3'!$F$29,"")</f>
        <v/>
      </c>
      <c r="AX70" s="518" t="str">
        <f>IF(AND(_AC3="A-320",'2023'!$E$4="CA",'2023'!$E$2=AX43),'2023DATA3'!$G$29,"")</f>
        <v/>
      </c>
      <c r="AY70" s="518" t="str">
        <f>IF(AND(_AC3="A-320",'2023'!$E$4="CA",'2023'!$E$2=AY43),'2023DATA3'!$H$29,"")</f>
        <v/>
      </c>
      <c r="AZ70" s="518" t="str">
        <f>IF(AND(_AC3="A-320",'2023'!$E$4="CA",'2023'!$E$2=AZ43),'2023DATA3'!$I$29,"")</f>
        <v/>
      </c>
      <c r="BA70" s="518" t="str">
        <f>IF(AND(_AC3="A-320",'2023'!$E$4="CA",'2023'!$E$2=BA43),'2023DATA3'!$J$29,"")</f>
        <v/>
      </c>
      <c r="BB70" s="518" t="str">
        <f>IF(AND(_AC3="A-320",'2023'!$E$4="CA",'2023'!$E$2=BB43),'2023DATA3'!$K$29,"")</f>
        <v/>
      </c>
      <c r="BC70" s="518" t="str">
        <f>IF(AND(_AC3="A-320",'2023'!$E$4="CA",'2023'!$E$2=BC43),'2023DATA3'!$L$29,"")</f>
        <v/>
      </c>
      <c r="BD70" s="518" t="str">
        <f>IF(AND(_AC3="A-320",'2023'!$E$4="CA",'2023'!$E$2=BD43),'2023DATA3'!$M$29,"")</f>
        <v/>
      </c>
      <c r="BE70" s="520" t="str">
        <f>IF(AND(_AC3="A-320",'2023'!$E$4="CA",'2023'!$E$2=BE43),'2023DATA3'!$N$29,"")</f>
        <v/>
      </c>
      <c r="BF70" s="940" t="s">
        <v>70</v>
      </c>
      <c r="BG70" s="13" t="s">
        <v>61</v>
      </c>
      <c r="BH70" s="518" t="str">
        <f>IF(AND(_AC4="A-320",'2023'!$E$4="CA",'2023'!$E$2=BH43),'2023DATA3'!$C$29,"")</f>
        <v/>
      </c>
      <c r="BI70" s="518" t="str">
        <f>IF(AND(_AC4="A-320",'2023'!$E$4="CA",'2023'!$E$2=BI43),'2023DATA3'!$D$29,"")</f>
        <v/>
      </c>
      <c r="BJ70" s="518" t="str">
        <f>IF(AND(_AC4="A-320",'2023'!$E$4="CA",'2023'!$E$2=BJ43),'2023DATA3'!$E$29,"")</f>
        <v/>
      </c>
      <c r="BK70" s="518" t="str">
        <f>IF(AND(_AC4="A-320",'2023'!$E$4="CA",'2023'!$E$2=BK43),'2023DATA3'!$F$29,"")</f>
        <v/>
      </c>
      <c r="BL70" s="518" t="str">
        <f>IF(AND(_AC4="A-320",'2023'!$E$4="CA",'2023'!$E$2=BL43),'2023DATA3'!$G$29,"")</f>
        <v/>
      </c>
      <c r="BM70" s="518" t="str">
        <f>IF(AND(_AC4="A-320",'2023'!$E$4="CA",'2023'!$E$2=BM43),'2023DATA3'!$H$29,"")</f>
        <v/>
      </c>
      <c r="BN70" s="518" t="str">
        <f>IF(AND(_AC4="A-320",'2023'!$E$4="CA",'2023'!$E$2=BN43),'2023DATA3'!$I$29,"")</f>
        <v/>
      </c>
      <c r="BO70" s="518" t="str">
        <f>IF(AND(_AC4="A-320",'2023'!$E$4="CA",'2023'!$E$2=BO43),'2023DATA3'!$J$29,"")</f>
        <v/>
      </c>
      <c r="BP70" s="518" t="str">
        <f>IF(AND(_AC4="A-320",'2023'!$E$4="CA",'2023'!$E$2=BP43),'2023DATA3'!$K$29,"")</f>
        <v/>
      </c>
      <c r="BQ70" s="518" t="str">
        <f>IF(AND(_AC4="A-320",'2023'!$E$4="CA",'2023'!$E$2=BQ43),'2023DATA3'!$L$29,"")</f>
        <v/>
      </c>
      <c r="BR70" s="518" t="str">
        <f>IF(AND(_AC4="A-320",'2023'!$E$4="CA",'2023'!$E$2=BR43),'2023DATA3'!$M$29,"")</f>
        <v/>
      </c>
      <c r="BS70" s="520" t="str">
        <f>IF(AND(_AC4="A-320",'2023'!$E$4="CA",'2023'!$E$2=BS43),'2023DATA3'!$N$29,"")</f>
        <v/>
      </c>
      <c r="BT70" s="940" t="s">
        <v>70</v>
      </c>
      <c r="BU70" s="13" t="s">
        <v>61</v>
      </c>
      <c r="BV70" s="518" t="str">
        <f>IF(AND(_AC5="A-320",'2023'!$E$4="CA",'2023'!$E$2=BV43),'2023DATA3'!$C$29,"")</f>
        <v/>
      </c>
      <c r="BW70" s="518" t="str">
        <f>IF(AND(_AC5="A-320",'2023'!$E$4="CA",'2023'!$E$2=BW43),'2023DATA3'!$D$29,"")</f>
        <v/>
      </c>
      <c r="BX70" s="518" t="str">
        <f>IF(AND(_AC5="A-320",'2023'!$E$4="CA",'2023'!$E$2=BX43),'2023DATA3'!$E$29,"")</f>
        <v/>
      </c>
      <c r="BY70" s="518" t="str">
        <f>IF(AND(_AC5="A-320",'2023'!$E$4="CA",'2023'!$E$2=BY43),'2023DATA3'!$F$29,"")</f>
        <v/>
      </c>
      <c r="BZ70" s="518" t="str">
        <f>IF(AND(_AC5="A-320",'2023'!$E$4="CA",'2023'!$E$2=BZ43),'2023DATA3'!$G$29,"")</f>
        <v/>
      </c>
      <c r="CA70" s="518" t="str">
        <f>IF(AND(_AC5="A-320",'2023'!$E$4="CA",'2023'!$E$2=CA43),'2023DATA3'!$H$29,"")</f>
        <v/>
      </c>
      <c r="CB70" s="518" t="str">
        <f>IF(AND(_AC5="A-320",'2023'!$E$4="CA",'2023'!$E$2=CB43),'2023DATA3'!$I$29,"")</f>
        <v/>
      </c>
      <c r="CC70" s="518" t="str">
        <f>IF(AND(_AC5="A-320",'2023'!$E$4="CA",'2023'!$E$2=CC43),'2023DATA3'!$J$29,"")</f>
        <v/>
      </c>
      <c r="CD70" s="518" t="str">
        <f>IF(AND(_AC5="A-320",'2023'!$E$4="CA",'2023'!$E$2=CD43),'2023DATA3'!$K$29,"")</f>
        <v/>
      </c>
      <c r="CE70" s="518" t="str">
        <f>IF(AND(_AC5="A-320",'2023'!$E$4="CA",'2023'!$E$2=CE43),'2023DATA3'!$L$29,"")</f>
        <v/>
      </c>
      <c r="CF70" s="518" t="str">
        <f>IF(AND(_AC5="A-320",'2023'!$E$4="CA",'2023'!$E$2=CF43),'2023DATA3'!$M$29,"")</f>
        <v/>
      </c>
      <c r="CG70" s="520" t="str">
        <f>IF(AND(_AC5="A-320",'2023'!$E$4="CA",'2023'!$E$2=CG43),'2023DATA3'!$N$29,"")</f>
        <v/>
      </c>
      <c r="CH70" s="940" t="s">
        <v>70</v>
      </c>
      <c r="CI70" s="13" t="s">
        <v>61</v>
      </c>
      <c r="CJ70" s="518" t="str">
        <f>IF(AND(_AC6="A-320",'2023'!$E$4="CA",'2023'!$E$2=CJ43),'2023DATA3'!$C$29,"")</f>
        <v/>
      </c>
      <c r="CK70" s="518" t="str">
        <f>IF(AND(_AC6="A-320",'2023'!$E$4="CA",'2023'!$E$2=CK43),'2023DATA3'!$D$29,"")</f>
        <v/>
      </c>
      <c r="CL70" s="518" t="str">
        <f>IF(AND(_AC6="A-320",'2023'!$E$4="CA",'2023'!$E$2=CL43),'2023DATA3'!$E$29,"")</f>
        <v/>
      </c>
      <c r="CM70" s="518" t="str">
        <f>IF(AND(_AC6="A-320",'2023'!$E$4="CA",'2023'!$E$2=CM43),'2023DATA3'!$F$29,"")</f>
        <v/>
      </c>
      <c r="CN70" s="518" t="str">
        <f>IF(AND(_AC6="A-320",'2023'!$E$4="CA",'2023'!$E$2=CN43),'2023DATA3'!$G$29,"")</f>
        <v/>
      </c>
      <c r="CO70" s="518" t="str">
        <f>IF(AND(_AC6="A-320",'2023'!$E$4="CA",'2023'!$E$2=CO43),'2023DATA3'!$H$29,"")</f>
        <v/>
      </c>
      <c r="CP70" s="518" t="str">
        <f>IF(AND(_AC6="A-320",'2023'!$E$4="CA",'2023'!$E$2=CP43),'2023DATA3'!$I$29,"")</f>
        <v/>
      </c>
      <c r="CQ70" s="518" t="str">
        <f>IF(AND(_AC6="A-320",'2023'!$E$4="CA",'2023'!$E$2=CQ43),'2023DATA3'!$J$29,"")</f>
        <v/>
      </c>
      <c r="CR70" s="518" t="str">
        <f>IF(AND(_AC6="A-320",'2023'!$E$4="CA",'2023'!$E$2=CR43),'2023DATA3'!$K$29,"")</f>
        <v/>
      </c>
      <c r="CS70" s="518" t="str">
        <f>IF(AND(_AC6="A-320",'2023'!$E$4="CA",'2023'!$E$2=CS43),'2023DATA3'!$L$29,"")</f>
        <v/>
      </c>
      <c r="CT70" s="518" t="str">
        <f>IF(AND(_AC6="A-320",'2023'!$E$4="CA",'2023'!$E$2=CT43),'2023DATA3'!$M$29,"")</f>
        <v/>
      </c>
      <c r="CU70" s="520" t="str">
        <f>IF(AND(_AC6="A-320",'2023'!$E$4="CA",'2023'!$E$2=CU43),'2023DATA3'!$N$29,"")</f>
        <v/>
      </c>
    </row>
    <row r="71" spans="16:99" x14ac:dyDescent="0.25">
      <c r="P71" s="940"/>
      <c r="Q71" s="13" t="s">
        <v>62</v>
      </c>
      <c r="R71" s="518" t="str">
        <f>IF(AND(_AC1="A-320",'2023'!$E$4="FO",'2023'!$E$2=R43),'2023DATA3'!$C$30,"")</f>
        <v/>
      </c>
      <c r="S71" s="518" t="str">
        <f>IF(AND(_AC1="A-320",'2023'!$E$4="FO",'2023'!$E$2=S43),'2023DATA3'!$D$30,"")</f>
        <v/>
      </c>
      <c r="T71" s="518" t="str">
        <f>IF(AND(_AC1="A-320",'2023'!$E$4="FO",'2023'!$E$2=T43),'2023DATA3'!$E$30,"")</f>
        <v/>
      </c>
      <c r="U71" s="518" t="str">
        <f>IF(AND(_AC1="A-320",'2023'!$E$4="FO",'2023'!$E$2=U43),'2023DATA3'!$F$30,"")</f>
        <v/>
      </c>
      <c r="V71" s="518" t="str">
        <f>IF(AND(_AC1="A-320",'2023'!$E$4="FO",'2023'!$E$2=V43),'2023DATA3'!$G$30,"")</f>
        <v/>
      </c>
      <c r="W71" s="518" t="str">
        <f>IF(AND(_AC1="A-320",'2023'!$E$4="FO",'2023'!$E$2=W43),'2023DATA3'!$H$30,"")</f>
        <v/>
      </c>
      <c r="X71" s="518" t="str">
        <f>IF(AND(_AC1="A-320",'2023'!$E$4="FO",'2023'!$E$2=X43),'2023DATA3'!$I$30,"")</f>
        <v/>
      </c>
      <c r="Y71" s="518" t="str">
        <f>IF(AND(_AC1="A-320",'2023'!$E$4="FO",'2023'!$E$2=Y43),'2023DATA3'!$J$30,"")</f>
        <v/>
      </c>
      <c r="Z71" s="518" t="str">
        <f>IF(AND(_AC1="A-320",'2023'!$E$4="FO",'2023'!$E$2=Z43),'2023DATA3'!$K$30,"")</f>
        <v/>
      </c>
      <c r="AA71" s="518" t="str">
        <f>IF(AND(_AC1="A-320",'2023'!$E$4="FO",'2023'!$E$2=AA43),'2023DATA3'!$L$30,"")</f>
        <v/>
      </c>
      <c r="AB71" s="518" t="str">
        <f>IF(AND(_AC1="A-320",'2023'!$E$4="FO",'2023'!$E$2=AB43),'2023DATA3'!$M$30,"")</f>
        <v/>
      </c>
      <c r="AC71" s="520" t="str">
        <f>IF(AND(_AC1="A-320",'2023'!$E$4="FO",'2023'!$E$2=AC43),'2023DATA3'!$N$30,"")</f>
        <v/>
      </c>
      <c r="AD71" s="940"/>
      <c r="AE71" s="13" t="s">
        <v>62</v>
      </c>
      <c r="AF71" s="518" t="str">
        <f>IF(AND(_AC2="A-320",'2023'!$E$4="FO",'2023'!$E$2=AF43),'2023DATA3'!$C$30,"")</f>
        <v/>
      </c>
      <c r="AG71" s="518" t="str">
        <f>IF(AND(_AC2="A-320",'2023'!$E$4="FO",'2023'!$E$2=AG43),'2023DATA3'!$D$30,"")</f>
        <v/>
      </c>
      <c r="AH71" s="518" t="str">
        <f>IF(AND(_AC2="A-320",'2023'!$E$4="FO",'2023'!$E$2=AH43),'2023DATA3'!$E$30,"")</f>
        <v/>
      </c>
      <c r="AI71" s="518" t="str">
        <f>IF(AND(_AC2="A-320",'2023'!$E$4="FO",'2023'!$E$2=AI43),'2023DATA3'!$F$30,"")</f>
        <v/>
      </c>
      <c r="AJ71" s="518" t="str">
        <f>IF(AND(_AC2="A-320",'2023'!$E$4="FO",'2023'!$E$2=AJ43),'2023DATA3'!$G$30,"")</f>
        <v/>
      </c>
      <c r="AK71" s="518" t="str">
        <f>IF(AND(_AC2="A-320",'2023'!$E$4="FO",'2023'!$E$2=AK43),'2023DATA3'!$H$30,"")</f>
        <v/>
      </c>
      <c r="AL71" s="518" t="str">
        <f>IF(AND(_AC2="A-320",'2023'!$E$4="FO",'2023'!$E$2=AL43),'2023DATA3'!$I$30,"")</f>
        <v/>
      </c>
      <c r="AM71" s="518" t="str">
        <f>IF(AND(_AC2="A-320",'2023'!$E$4="FO",'2023'!$E$2=AM43),'2023DATA3'!$J$30,"")</f>
        <v/>
      </c>
      <c r="AN71" s="518" t="str">
        <f>IF(AND(_AC2="A-320",'2023'!$E$4="FO",'2023'!$E$2=AN43),'2023DATA3'!$K$30,"")</f>
        <v/>
      </c>
      <c r="AO71" s="518" t="str">
        <f>IF(AND(_AC2="A-320",'2023'!$E$4="FO",'2023'!$E$2=AO43),'2023DATA3'!$L$30,"")</f>
        <v/>
      </c>
      <c r="AP71" s="518" t="str">
        <f>IF(AND(_AC2="A-320",'2023'!$E$4="FO",'2023'!$E$2=AP43),'2023DATA3'!$M$30,"")</f>
        <v/>
      </c>
      <c r="AQ71" s="520" t="str">
        <f>IF(AND(_AC2="A-320",'2023'!$E$4="FO",'2023'!$E$2=AQ43),'2023DATA3'!$N$30,"")</f>
        <v/>
      </c>
      <c r="AR71" s="940"/>
      <c r="AS71" s="13" t="s">
        <v>62</v>
      </c>
      <c r="AT71" s="518" t="str">
        <f>IF(AND(_AC3="A-320",'2023'!$E$4="FO",'2023'!$E$2=AT43),'2023DATA3'!$C$30,"")</f>
        <v/>
      </c>
      <c r="AU71" s="518" t="str">
        <f>IF(AND(_AC3="A-320",'2023'!$E$4="FO",'2023'!$E$2=AU43),'2023DATA3'!$D$30,"")</f>
        <v/>
      </c>
      <c r="AV71" s="518" t="str">
        <f>IF(AND(_AC3="A-320",'2023'!$E$4="FO",'2023'!$E$2=AV43),'2023DATA3'!$E$30,"")</f>
        <v/>
      </c>
      <c r="AW71" s="518" t="str">
        <f>IF(AND(_AC3="A-320",'2023'!$E$4="FO",'2023'!$E$2=AW43),'2023DATA3'!$F$30,"")</f>
        <v/>
      </c>
      <c r="AX71" s="518" t="str">
        <f>IF(AND(_AC3="A-320",'2023'!$E$4="FO",'2023'!$E$2=AX43),'2023DATA3'!$G$30,"")</f>
        <v/>
      </c>
      <c r="AY71" s="518" t="str">
        <f>IF(AND(_AC3="A-320",'2023'!$E$4="FO",'2023'!$E$2=AY43),'2023DATA3'!$H$30,"")</f>
        <v/>
      </c>
      <c r="AZ71" s="518" t="str">
        <f>IF(AND(_AC3="A-320",'2023'!$E$4="FO",'2023'!$E$2=AZ43),'2023DATA3'!$I$30,"")</f>
        <v/>
      </c>
      <c r="BA71" s="518" t="str">
        <f>IF(AND(_AC3="A-320",'2023'!$E$4="FO",'2023'!$E$2=BA43),'2023DATA3'!$J$30,"")</f>
        <v/>
      </c>
      <c r="BB71" s="518" t="str">
        <f>IF(AND(_AC3="A-320",'2023'!$E$4="FO",'2023'!$E$2=BB43),'2023DATA3'!$K$30,"")</f>
        <v/>
      </c>
      <c r="BC71" s="518" t="str">
        <f>IF(AND(_AC3="A-320",'2023'!$E$4="FO",'2023'!$E$2=BC43),'2023DATA3'!$L$30,"")</f>
        <v/>
      </c>
      <c r="BD71" s="518" t="str">
        <f>IF(AND(_AC3="A-320",'2023'!$E$4="FO",'2023'!$E$2=BD43),'2023DATA3'!$M$30,"")</f>
        <v/>
      </c>
      <c r="BE71" s="520" t="str">
        <f>IF(AND(_AC3="A-320",'2023'!$E$4="FO",'2023'!$E$2=BE43),'2023DATA3'!$N$30,"")</f>
        <v/>
      </c>
      <c r="BF71" s="940"/>
      <c r="BG71" s="13" t="s">
        <v>62</v>
      </c>
      <c r="BH71" s="518" t="str">
        <f>IF(AND(_AC4="A-320",'2023'!$E$4="FO",'2023'!$E$2=BH43),'2023DATA3'!$C$30,"")</f>
        <v/>
      </c>
      <c r="BI71" s="518" t="str">
        <f>IF(AND(_AC4="A-320",'2023'!$E$4="FO",'2023'!$E$2=BI43),'2023DATA3'!$D$30,"")</f>
        <v/>
      </c>
      <c r="BJ71" s="518" t="str">
        <f>IF(AND(_AC4="A-320",'2023'!$E$4="FO",'2023'!$E$2=BJ43),'2023DATA3'!$E$30,"")</f>
        <v/>
      </c>
      <c r="BK71" s="518" t="str">
        <f>IF(AND(_AC4="A-320",'2023'!$E$4="FO",'2023'!$E$2=BK43),'2023DATA3'!$F$30,"")</f>
        <v/>
      </c>
      <c r="BL71" s="518" t="str">
        <f>IF(AND(_AC4="A-320",'2023'!$E$4="FO",'2023'!$E$2=BL43),'2023DATA3'!$G$30,"")</f>
        <v/>
      </c>
      <c r="BM71" s="518" t="str">
        <f>IF(AND(_AC4="A-320",'2023'!$E$4="FO",'2023'!$E$2=BM43),'2023DATA3'!$H$30,"")</f>
        <v/>
      </c>
      <c r="BN71" s="518" t="str">
        <f>IF(AND(_AC4="A-320",'2023'!$E$4="FO",'2023'!$E$2=BN43),'2023DATA3'!$I$30,"")</f>
        <v/>
      </c>
      <c r="BO71" s="518" t="str">
        <f>IF(AND(_AC4="A-320",'2023'!$E$4="FO",'2023'!$E$2=BO43),'2023DATA3'!$J$30,"")</f>
        <v/>
      </c>
      <c r="BP71" s="518" t="str">
        <f>IF(AND(_AC4="A-320",'2023'!$E$4="FO",'2023'!$E$2=BP43),'2023DATA3'!$K$30,"")</f>
        <v/>
      </c>
      <c r="BQ71" s="518" t="str">
        <f>IF(AND(_AC4="A-320",'2023'!$E$4="FO",'2023'!$E$2=BQ43),'2023DATA3'!$L$30,"")</f>
        <v/>
      </c>
      <c r="BR71" s="518" t="str">
        <f>IF(AND(_AC4="A-320",'2023'!$E$4="FO",'2023'!$E$2=BR43),'2023DATA3'!$M$30,"")</f>
        <v/>
      </c>
      <c r="BS71" s="520" t="str">
        <f>IF(AND(_AC4="A-320",'2023'!$E$4="FO",'2023'!$E$2=BS43),'2023DATA3'!$N$30,"")</f>
        <v/>
      </c>
      <c r="BT71" s="940"/>
      <c r="BU71" s="13" t="s">
        <v>62</v>
      </c>
      <c r="BV71" s="518" t="str">
        <f>IF(AND(_AC5="A-320",'2023'!$E$4="FO",'2023'!$E$2=BV43),'2023DATA3'!$C$30,"")</f>
        <v/>
      </c>
      <c r="BW71" s="518" t="str">
        <f>IF(AND(_AC5="A-320",'2023'!$E$4="FO",'2023'!$E$2=BW43),'2023DATA3'!$D$30,"")</f>
        <v/>
      </c>
      <c r="BX71" s="518" t="str">
        <f>IF(AND(_AC5="A-320",'2023'!$E$4="FO",'2023'!$E$2=BX43),'2023DATA3'!$E$30,"")</f>
        <v/>
      </c>
      <c r="BY71" s="518" t="str">
        <f>IF(AND(_AC5="A-320",'2023'!$E$4="FO",'2023'!$E$2=BY43),'2023DATA3'!$F$30,"")</f>
        <v/>
      </c>
      <c r="BZ71" s="518" t="str">
        <f>IF(AND(_AC5="A-320",'2023'!$E$4="FO",'2023'!$E$2=BZ43),'2023DATA3'!$G$30,"")</f>
        <v/>
      </c>
      <c r="CA71" s="518" t="str">
        <f>IF(AND(_AC5="A-320",'2023'!$E$4="FO",'2023'!$E$2=CA43),'2023DATA3'!$H$30,"")</f>
        <v/>
      </c>
      <c r="CB71" s="518" t="str">
        <f>IF(AND(_AC5="A-320",'2023'!$E$4="FO",'2023'!$E$2=CB43),'2023DATA3'!$I$30,"")</f>
        <v/>
      </c>
      <c r="CC71" s="518" t="str">
        <f>IF(AND(_AC5="A-320",'2023'!$E$4="FO",'2023'!$E$2=CC43),'2023DATA3'!$J$30,"")</f>
        <v/>
      </c>
      <c r="CD71" s="518" t="str">
        <f>IF(AND(_AC5="A-320",'2023'!$E$4="FO",'2023'!$E$2=CD43),'2023DATA3'!$K$30,"")</f>
        <v/>
      </c>
      <c r="CE71" s="518" t="str">
        <f>IF(AND(_AC5="A-320",'2023'!$E$4="FO",'2023'!$E$2=CE43),'2023DATA3'!$L$30,"")</f>
        <v/>
      </c>
      <c r="CF71" s="518" t="str">
        <f>IF(AND(_AC5="A-320",'2023'!$E$4="FO",'2023'!$E$2=CF43),'2023DATA3'!$M$30,"")</f>
        <v/>
      </c>
      <c r="CG71" s="520" t="str">
        <f>IF(AND(_AC5="A-320",'2023'!$E$4="FO",'2023'!$E$2=CG43),'2023DATA3'!$N$30,"")</f>
        <v/>
      </c>
      <c r="CH71" s="940"/>
      <c r="CI71" s="13" t="s">
        <v>62</v>
      </c>
      <c r="CJ71" s="518" t="str">
        <f>IF(AND(_AC6="A-320",'2023'!$E$4="FO",'2023'!$E$2=CJ43),'2023DATA3'!$C$30,"")</f>
        <v/>
      </c>
      <c r="CK71" s="518" t="str">
        <f>IF(AND(_AC6="A-320",'2023'!$E$4="FO",'2023'!$E$2=CK43),'2023DATA3'!$D$30,"")</f>
        <v/>
      </c>
      <c r="CL71" s="518" t="str">
        <f>IF(AND(_AC6="A-320",'2023'!$E$4="FO",'2023'!$E$2=CL43),'2023DATA3'!$E$30,"")</f>
        <v/>
      </c>
      <c r="CM71" s="518" t="str">
        <f>IF(AND(_AC6="A-320",'2023'!$E$4="FO",'2023'!$E$2=CM43),'2023DATA3'!$F$30,"")</f>
        <v/>
      </c>
      <c r="CN71" s="518" t="str">
        <f>IF(AND(_AC6="A-320",'2023'!$E$4="FO",'2023'!$E$2=CN43),'2023DATA3'!$G$30,"")</f>
        <v/>
      </c>
      <c r="CO71" s="518" t="str">
        <f>IF(AND(_AC6="A-320",'2023'!$E$4="FO",'2023'!$E$2=CO43),'2023DATA3'!$H$30,"")</f>
        <v/>
      </c>
      <c r="CP71" s="518" t="str">
        <f>IF(AND(_AC6="A-320",'2023'!$E$4="FO",'2023'!$E$2=CP43),'2023DATA3'!$I$30,"")</f>
        <v/>
      </c>
      <c r="CQ71" s="518" t="str">
        <f>IF(AND(_AC6="A-320",'2023'!$E$4="FO",'2023'!$E$2=CQ43),'2023DATA3'!$J$30,"")</f>
        <v/>
      </c>
      <c r="CR71" s="518" t="str">
        <f>IF(AND(_AC6="A-320",'2023'!$E$4="FO",'2023'!$E$2=CR43),'2023DATA3'!$K$30,"")</f>
        <v/>
      </c>
      <c r="CS71" s="518" t="str">
        <f>IF(AND(_AC6="A-320",'2023'!$E$4="FO",'2023'!$E$2=CS43),'2023DATA3'!$L$30,"")</f>
        <v/>
      </c>
      <c r="CT71" s="518" t="str">
        <f>IF(AND(_AC6="A-320",'2023'!$E$4="FO",'2023'!$E$2=CT43),'2023DATA3'!$M$30,"")</f>
        <v/>
      </c>
      <c r="CU71" s="520" t="str">
        <f>IF(AND(_AC6="A-320",'2023'!$E$4="FO",'2023'!$E$2=CU43),'2023DATA3'!$N$30,"")</f>
        <v/>
      </c>
    </row>
    <row r="72" spans="16:99" x14ac:dyDescent="0.25">
      <c r="P72" s="940" t="s">
        <v>71</v>
      </c>
      <c r="Q72" s="13" t="s">
        <v>61</v>
      </c>
      <c r="R72" s="518" t="str">
        <f>IF(AND(_AC1="A-319",'2023'!$E$4="CA",'2023'!$E$2=R43),'2023DATA3'!$C$31,"")</f>
        <v/>
      </c>
      <c r="S72" s="518" t="str">
        <f>IF(AND(_AC1="A-319",'2023'!$E$4="CA",'2023'!$E$2=S43),'2023DATA3'!$D$31,"")</f>
        <v/>
      </c>
      <c r="T72" s="518" t="str">
        <f>IF(AND(_AC1="A-319",'2023'!$E$4="CA",'2023'!$E$2=T43),'2023DATA3'!$E$31,"")</f>
        <v/>
      </c>
      <c r="U72" s="518" t="str">
        <f>IF(AND(_AC1="A-319",'2023'!$E$4="CA",'2023'!$E$2=U43),'2023DATA3'!$F$31,"")</f>
        <v/>
      </c>
      <c r="V72" s="518" t="str">
        <f>IF(AND(_AC1="A-319",'2023'!$E$4="CA",'2023'!$E$2=V43),'2023DATA3'!$G$31,"")</f>
        <v/>
      </c>
      <c r="W72" s="518" t="str">
        <f>IF(AND(_AC1="A-319",'2023'!$E$4="CA",'2023'!$E$2=W43),'2023DATA3'!$H$31,"")</f>
        <v/>
      </c>
      <c r="X72" s="518" t="str">
        <f>IF(AND(_AC1="A-319",'2023'!$E$4="CA",'2023'!$E$2=X43),'2023DATA3'!$I$31,"")</f>
        <v/>
      </c>
      <c r="Y72" s="518" t="str">
        <f>IF(AND(_AC1="A-319",'2023'!$E$4="CA",'2023'!$E$2=Y43),'2023DATA3'!$J$31,"")</f>
        <v/>
      </c>
      <c r="Z72" s="518" t="str">
        <f>IF(AND(_AC1="A-319",'2023'!$E$4="CA",'2023'!$E$2=Z43),'2023DATA3'!$K$31,"")</f>
        <v/>
      </c>
      <c r="AA72" s="518" t="str">
        <f>IF(AND(_AC1="A-319",'2023'!$E$4="CA",'2023'!$E$2=AA43),'2023DATA3'!$L$31,"")</f>
        <v/>
      </c>
      <c r="AB72" s="518" t="str">
        <f>IF(AND(_AC1="A-319",'2023'!$E$4="CA",'2023'!$E$2=AB43),'2023DATA3'!$M$31,"")</f>
        <v/>
      </c>
      <c r="AC72" s="520" t="str">
        <f>IF(AND(_AC1="A-319",'2023'!$E$4="CA",'2023'!$E$2=AC43),'2023DATA3'!$N$31,"")</f>
        <v/>
      </c>
      <c r="AD72" s="940" t="s">
        <v>71</v>
      </c>
      <c r="AE72" s="13" t="s">
        <v>61</v>
      </c>
      <c r="AF72" s="518" t="str">
        <f>IF(AND(_AC2="A-319",'2023'!$E$4="CA",'2023'!$E$2=AF43),'2023DATA3'!$C$31,"")</f>
        <v/>
      </c>
      <c r="AG72" s="518" t="str">
        <f>IF(AND(_AC2="A-319",'2023'!$E$4="CA",'2023'!$E$2=AG43),'2023DATA3'!$D$31,"")</f>
        <v/>
      </c>
      <c r="AH72" s="518" t="str">
        <f>IF(AND(_AC2="A-319",'2023'!$E$4="CA",'2023'!$E$2=AH43),'2023DATA3'!$E$31,"")</f>
        <v/>
      </c>
      <c r="AI72" s="518" t="str">
        <f>IF(AND(_AC2="A-319",'2023'!$E$4="CA",'2023'!$E$2=AI43),'2023DATA3'!$F$31,"")</f>
        <v/>
      </c>
      <c r="AJ72" s="518" t="str">
        <f>IF(AND(_AC2="A-319",'2023'!$E$4="CA",'2023'!$E$2=AJ43),'2023DATA3'!$G$31,"")</f>
        <v/>
      </c>
      <c r="AK72" s="518" t="str">
        <f>IF(AND(_AC2="A-319",'2023'!$E$4="CA",'2023'!$E$2=AK43),'2023DATA3'!$H$31,"")</f>
        <v/>
      </c>
      <c r="AL72" s="518" t="str">
        <f>IF(AND(_AC2="A-319",'2023'!$E$4="CA",'2023'!$E$2=AL43),'2023DATA3'!$I$31,"")</f>
        <v/>
      </c>
      <c r="AM72" s="518" t="str">
        <f>IF(AND(_AC2="A-319",'2023'!$E$4="CA",'2023'!$E$2=AM43),'2023DATA3'!$J$31,"")</f>
        <v/>
      </c>
      <c r="AN72" s="518" t="str">
        <f>IF(AND(_AC2="A-319",'2023'!$E$4="CA",'2023'!$E$2=AN43),'2023DATA3'!$K$31,"")</f>
        <v/>
      </c>
      <c r="AO72" s="518" t="str">
        <f>IF(AND(_AC2="A-319",'2023'!$E$4="CA",'2023'!$E$2=AO43),'2023DATA3'!$L$31,"")</f>
        <v/>
      </c>
      <c r="AP72" s="518" t="str">
        <f>IF(AND(_AC2="A-319",'2023'!$E$4="CA",'2023'!$E$2=AP43),'2023DATA3'!$M$31,"")</f>
        <v/>
      </c>
      <c r="AQ72" s="520" t="str">
        <f>IF(AND(_AC2="A-319",'2023'!$E$4="CA",'2023'!$E$2=AQ43),'2023DATA3'!$N$31,"")</f>
        <v/>
      </c>
      <c r="AR72" s="940" t="s">
        <v>71</v>
      </c>
      <c r="AS72" s="13" t="s">
        <v>61</v>
      </c>
      <c r="AT72" s="518" t="str">
        <f>IF(AND(_AC3="A-319",'2023'!$E$4="CA",'2023'!$E$2=AT43),'2023DATA3'!$C$31,"")</f>
        <v/>
      </c>
      <c r="AU72" s="518" t="str">
        <f>IF(AND(_AC3="A-319",'2023'!$E$4="CA",'2023'!$E$2=AU43),'2023DATA3'!$D$31,"")</f>
        <v/>
      </c>
      <c r="AV72" s="518" t="str">
        <f>IF(AND(_AC3="A-319",'2023'!$E$4="CA",'2023'!$E$2=AV43),'2023DATA3'!$E$31,"")</f>
        <v/>
      </c>
      <c r="AW72" s="518" t="str">
        <f>IF(AND(_AC3="A-319",'2023'!$E$4="CA",'2023'!$E$2=AW43),'2023DATA3'!$F$31,"")</f>
        <v/>
      </c>
      <c r="AX72" s="518" t="str">
        <f>IF(AND(_AC3="A-319",'2023'!$E$4="CA",'2023'!$E$2=AX43),'2023DATA3'!$G$31,"")</f>
        <v/>
      </c>
      <c r="AY72" s="518" t="str">
        <f>IF(AND(_AC3="A-319",'2023'!$E$4="CA",'2023'!$E$2=AY43),'2023DATA3'!$H$31,"")</f>
        <v/>
      </c>
      <c r="AZ72" s="518" t="str">
        <f>IF(AND(_AC3="A-319",'2023'!$E$4="CA",'2023'!$E$2=AZ43),'2023DATA3'!$I$31,"")</f>
        <v/>
      </c>
      <c r="BA72" s="518" t="str">
        <f>IF(AND(_AC3="A-319",'2023'!$E$4="CA",'2023'!$E$2=BA43),'2023DATA3'!$J$31,"")</f>
        <v/>
      </c>
      <c r="BB72" s="518" t="str">
        <f>IF(AND(_AC3="A-319",'2023'!$E$4="CA",'2023'!$E$2=BB43),'2023DATA3'!$K$31,"")</f>
        <v/>
      </c>
      <c r="BC72" s="518" t="str">
        <f>IF(AND(_AC3="A-319",'2023'!$E$4="CA",'2023'!$E$2=BC43),'2023DATA3'!$L$31,"")</f>
        <v/>
      </c>
      <c r="BD72" s="518" t="str">
        <f>IF(AND(_AC3="A-319",'2023'!$E$4="CA",'2023'!$E$2=BD43),'2023DATA3'!$M$31,"")</f>
        <v/>
      </c>
      <c r="BE72" s="520" t="str">
        <f>IF(AND(_AC3="A-319",'2023'!$E$4="CA",'2023'!$E$2=BE43),'2023DATA3'!$N$31,"")</f>
        <v/>
      </c>
      <c r="BF72" s="940" t="s">
        <v>71</v>
      </c>
      <c r="BG72" s="13" t="s">
        <v>61</v>
      </c>
      <c r="BH72" s="518" t="str">
        <f>IF(AND(_AC4="A-319",'2023'!$E$4="CA",'2023'!$E$2=BH43),'2023DATA3'!$C$31,"")</f>
        <v/>
      </c>
      <c r="BI72" s="518" t="str">
        <f>IF(AND(_AC4="A-319",'2023'!$E$4="CA",'2023'!$E$2=BI43),'2023DATA3'!$D$31,"")</f>
        <v/>
      </c>
      <c r="BJ72" s="518" t="str">
        <f>IF(AND(_AC4="A-319",'2023'!$E$4="CA",'2023'!$E$2=BJ43),'2023DATA3'!$E$31,"")</f>
        <v/>
      </c>
      <c r="BK72" s="518" t="str">
        <f>IF(AND(_AC4="A-319",'2023'!$E$4="CA",'2023'!$E$2=BK43),'2023DATA3'!$F$31,"")</f>
        <v/>
      </c>
      <c r="BL72" s="518" t="str">
        <f>IF(AND(_AC4="A-319",'2023'!$E$4="CA",'2023'!$E$2=BL43),'2023DATA3'!$G$31,"")</f>
        <v/>
      </c>
      <c r="BM72" s="518" t="str">
        <f>IF(AND(_AC4="A-319",'2023'!$E$4="CA",'2023'!$E$2=BM43),'2023DATA3'!$H$31,"")</f>
        <v/>
      </c>
      <c r="BN72" s="518" t="str">
        <f>IF(AND(_AC4="A-319",'2023'!$E$4="CA",'2023'!$E$2=BN43),'2023DATA3'!$I$31,"")</f>
        <v/>
      </c>
      <c r="BO72" s="518" t="str">
        <f>IF(AND(_AC4="A-319",'2023'!$E$4="CA",'2023'!$E$2=BO43),'2023DATA3'!$J$31,"")</f>
        <v/>
      </c>
      <c r="BP72" s="518" t="str">
        <f>IF(AND(_AC4="A-319",'2023'!$E$4="CA",'2023'!$E$2=BP43),'2023DATA3'!$K$31,"")</f>
        <v/>
      </c>
      <c r="BQ72" s="518" t="str">
        <f>IF(AND(_AC4="A-319",'2023'!$E$4="CA",'2023'!$E$2=BQ43),'2023DATA3'!$L$31,"")</f>
        <v/>
      </c>
      <c r="BR72" s="518" t="str">
        <f>IF(AND(_AC4="A-319",'2023'!$E$4="CA",'2023'!$E$2=BR43),'2023DATA3'!$M$31,"")</f>
        <v/>
      </c>
      <c r="BS72" s="520" t="str">
        <f>IF(AND(_AC4="A-319",'2023'!$E$4="CA",'2023'!$E$2=BS43),'2023DATA3'!$N$31,"")</f>
        <v/>
      </c>
      <c r="BT72" s="940" t="s">
        <v>71</v>
      </c>
      <c r="BU72" s="13" t="s">
        <v>61</v>
      </c>
      <c r="BV72" s="518" t="str">
        <f>IF(AND(_AC5="A-319",'2023'!$E$4="CA",'2023'!$E$2=BV43),'2023DATA3'!$C$31,"")</f>
        <v/>
      </c>
      <c r="BW72" s="518" t="str">
        <f>IF(AND(_AC5="A-319",'2023'!$E$4="CA",'2023'!$E$2=BW43),'2023DATA3'!$D$31,"")</f>
        <v/>
      </c>
      <c r="BX72" s="518" t="str">
        <f>IF(AND(_AC5="A-319",'2023'!$E$4="CA",'2023'!$E$2=BX43),'2023DATA3'!$E$31,"")</f>
        <v/>
      </c>
      <c r="BY72" s="518" t="str">
        <f>IF(AND(_AC5="A-319",'2023'!$E$4="CA",'2023'!$E$2=BY43),'2023DATA3'!$F$31,"")</f>
        <v/>
      </c>
      <c r="BZ72" s="518" t="str">
        <f>IF(AND(_AC5="A-319",'2023'!$E$4="CA",'2023'!$E$2=BZ43),'2023DATA3'!$G$31,"")</f>
        <v/>
      </c>
      <c r="CA72" s="518" t="str">
        <f>IF(AND(_AC5="A-319",'2023'!$E$4="CA",'2023'!$E$2=CA43),'2023DATA3'!$H$31,"")</f>
        <v/>
      </c>
      <c r="CB72" s="518" t="str">
        <f>IF(AND(_AC5="A-319",'2023'!$E$4="CA",'2023'!$E$2=CB43),'2023DATA3'!$I$31,"")</f>
        <v/>
      </c>
      <c r="CC72" s="518" t="str">
        <f>IF(AND(_AC5="A-319",'2023'!$E$4="CA",'2023'!$E$2=CC43),'2023DATA3'!$J$31,"")</f>
        <v/>
      </c>
      <c r="CD72" s="518" t="str">
        <f>IF(AND(_AC5="A-319",'2023'!$E$4="CA",'2023'!$E$2=CD43),'2023DATA3'!$K$31,"")</f>
        <v/>
      </c>
      <c r="CE72" s="518" t="str">
        <f>IF(AND(_AC5="A-319",'2023'!$E$4="CA",'2023'!$E$2=CE43),'2023DATA3'!$L$31,"")</f>
        <v/>
      </c>
      <c r="CF72" s="518" t="str">
        <f>IF(AND(_AC5="A-319",'2023'!$E$4="CA",'2023'!$E$2=CF43),'2023DATA3'!$M$31,"")</f>
        <v/>
      </c>
      <c r="CG72" s="520" t="str">
        <f>IF(AND(_AC5="A-319",'2023'!$E$4="CA",'2023'!$E$2=CG43),'2023DATA3'!$N$31,"")</f>
        <v/>
      </c>
      <c r="CH72" s="940" t="s">
        <v>71</v>
      </c>
      <c r="CI72" s="13" t="s">
        <v>61</v>
      </c>
      <c r="CJ72" s="518" t="str">
        <f>IF(AND(_AC6="A-319",'2023'!$E$4="CA",'2023'!$E$2=CJ43),'2023DATA3'!$C$31,"")</f>
        <v/>
      </c>
      <c r="CK72" s="518" t="str">
        <f>IF(AND(_AC6="A-319",'2023'!$E$4="CA",'2023'!$E$2=CK43),'2023DATA3'!$D$31,"")</f>
        <v/>
      </c>
      <c r="CL72" s="518" t="str">
        <f>IF(AND(_AC6="A-319",'2023'!$E$4="CA",'2023'!$E$2=CL43),'2023DATA3'!$E$31,"")</f>
        <v/>
      </c>
      <c r="CM72" s="518" t="str">
        <f>IF(AND(_AC6="A-319",'2023'!$E$4="CA",'2023'!$E$2=CM43),'2023DATA3'!$F$31,"")</f>
        <v/>
      </c>
      <c r="CN72" s="518" t="str">
        <f>IF(AND(_AC6="A-319",'2023'!$E$4="CA",'2023'!$E$2=CN43),'2023DATA3'!$G$31,"")</f>
        <v/>
      </c>
      <c r="CO72" s="518" t="str">
        <f>IF(AND(_AC6="A-319",'2023'!$E$4="CA",'2023'!$E$2=CO43),'2023DATA3'!$H$31,"")</f>
        <v/>
      </c>
      <c r="CP72" s="518" t="str">
        <f>IF(AND(_AC6="A-319",'2023'!$E$4="CA",'2023'!$E$2=CP43),'2023DATA3'!$I$31,"")</f>
        <v/>
      </c>
      <c r="CQ72" s="518" t="str">
        <f>IF(AND(_AC6="A-319",'2023'!$E$4="CA",'2023'!$E$2=CQ43),'2023DATA3'!$J$31,"")</f>
        <v/>
      </c>
      <c r="CR72" s="518" t="str">
        <f>IF(AND(_AC6="A-319",'2023'!$E$4="CA",'2023'!$E$2=CR43),'2023DATA3'!$K$31,"")</f>
        <v/>
      </c>
      <c r="CS72" s="518" t="str">
        <f>IF(AND(_AC6="A-319",'2023'!$E$4="CA",'2023'!$E$2=CS43),'2023DATA3'!$L$31,"")</f>
        <v/>
      </c>
      <c r="CT72" s="518" t="str">
        <f>IF(AND(_AC6="A-319",'2023'!$E$4="CA",'2023'!$E$2=CT43),'2023DATA3'!$M$31,"")</f>
        <v/>
      </c>
      <c r="CU72" s="520" t="str">
        <f>IF(AND(_AC6="A-319",'2023'!$E$4="CA",'2023'!$E$2=CU43),'2023DATA3'!$N$31,"")</f>
        <v/>
      </c>
    </row>
    <row r="73" spans="16:99" x14ac:dyDescent="0.25">
      <c r="P73" s="940"/>
      <c r="Q73" s="13" t="s">
        <v>62</v>
      </c>
      <c r="R73" s="518" t="str">
        <f>IF(AND(_AC1="A-319",'2023'!$E$4="FO",'2023'!$E$2=R43),'2023DATA3'!$C$32,"")</f>
        <v/>
      </c>
      <c r="S73" s="518" t="str">
        <f>IF(AND(_AC1="A-319",'2023'!$E$4="FO",'2023'!$E$2=S43),'2023DATA3'!$D$32,"")</f>
        <v/>
      </c>
      <c r="T73" s="518" t="str">
        <f>IF(AND(_AC1="A-319",'2023'!$E$4="FO",'2023'!$E$2=T43),'2023DATA3'!$E$32,"")</f>
        <v/>
      </c>
      <c r="U73" s="518" t="str">
        <f>IF(AND(_AC1="A-319",'2023'!$E$4="FO",'2023'!$E$2=U43),'2023DATA3'!$F$32,"")</f>
        <v/>
      </c>
      <c r="V73" s="518" t="str">
        <f>IF(AND(_AC1="A-319",'2023'!$E$4="FO",'2023'!$E$2=V43),'2023DATA3'!$G$32,"")</f>
        <v/>
      </c>
      <c r="W73" s="518" t="str">
        <f>IF(AND(_AC1="A-319",'2023'!$E$4="FO",'2023'!$E$2=W43),'2023DATA3'!$H$32,"")</f>
        <v/>
      </c>
      <c r="X73" s="518" t="str">
        <f>IF(AND(_AC1="A-319",'2023'!$E$4="FO",'2023'!$E$2=X43),'2023DATA3'!$I$32,"")</f>
        <v/>
      </c>
      <c r="Y73" s="518" t="str">
        <f>IF(AND(_AC1="A-319",'2023'!$E$4="FO",'2023'!$E$2=Y43),'2023DATA3'!$J$32,"")</f>
        <v/>
      </c>
      <c r="Z73" s="518" t="str">
        <f>IF(AND(_AC1="A-319",'2023'!$E$4="FO",'2023'!$E$2=Z43),'2023DATA3'!$K$32,"")</f>
        <v/>
      </c>
      <c r="AA73" s="518" t="str">
        <f>IF(AND(_AC1="A-319",'2023'!$E$4="FO",'2023'!$E$2=AA43),'2023DATA3'!$L$32,"")</f>
        <v/>
      </c>
      <c r="AB73" s="518" t="str">
        <f>IF(AND(_AC1="A-319",'2023'!$E$4="FO",'2023'!$E$2=AB43),'2023DATA3'!$M$32,"")</f>
        <v/>
      </c>
      <c r="AC73" s="520" t="str">
        <f>IF(AND(_AC1="A-319",'2023'!$E$4="FO",'2023'!$E$2=AC43),'2023DATA3'!$N$32,"")</f>
        <v/>
      </c>
      <c r="AD73" s="940"/>
      <c r="AE73" s="13" t="s">
        <v>62</v>
      </c>
      <c r="AF73" s="518" t="str">
        <f>IF(AND(_AC2="A-319",'2023'!$E$4="FO",'2023'!$E$2=AF43),'2023DATA3'!$C$32,"")</f>
        <v/>
      </c>
      <c r="AG73" s="518" t="str">
        <f>IF(AND(_AC2="A-319",'2023'!$E$4="FO",'2023'!$E$2=AG43),'2023DATA3'!$D$32,"")</f>
        <v/>
      </c>
      <c r="AH73" s="518" t="str">
        <f>IF(AND(_AC2="A-319",'2023'!$E$4="FO",'2023'!$E$2=AH43),'2023DATA3'!$E$32,"")</f>
        <v/>
      </c>
      <c r="AI73" s="518" t="str">
        <f>IF(AND(_AC2="A-319",'2023'!$E$4="FO",'2023'!$E$2=AI43),'2023DATA3'!$F$32,"")</f>
        <v/>
      </c>
      <c r="AJ73" s="518" t="str">
        <f>IF(AND(_AC2="A-319",'2023'!$E$4="FO",'2023'!$E$2=AJ43),'2023DATA3'!$G$32,"")</f>
        <v/>
      </c>
      <c r="AK73" s="518" t="str">
        <f>IF(AND(_AC2="A-319",'2023'!$E$4="FO",'2023'!$E$2=AK43),'2023DATA3'!$H$32,"")</f>
        <v/>
      </c>
      <c r="AL73" s="518" t="str">
        <f>IF(AND(_AC2="A-319",'2023'!$E$4="FO",'2023'!$E$2=AL43),'2023DATA3'!$I$32,"")</f>
        <v/>
      </c>
      <c r="AM73" s="518" t="str">
        <f>IF(AND(_AC2="A-319",'2023'!$E$4="FO",'2023'!$E$2=AM43),'2023DATA3'!$J$32,"")</f>
        <v/>
      </c>
      <c r="AN73" s="518" t="str">
        <f>IF(AND(_AC2="A-319",'2023'!$E$4="FO",'2023'!$E$2=AN43),'2023DATA3'!$K$32,"")</f>
        <v/>
      </c>
      <c r="AO73" s="518" t="str">
        <f>IF(AND(_AC2="A-319",'2023'!$E$4="FO",'2023'!$E$2=AO43),'2023DATA3'!$L$32,"")</f>
        <v/>
      </c>
      <c r="AP73" s="518" t="str">
        <f>IF(AND(_AC2="A-319",'2023'!$E$4="FO",'2023'!$E$2=AP43),'2023DATA3'!$M$32,"")</f>
        <v/>
      </c>
      <c r="AQ73" s="520" t="str">
        <f>IF(AND(_AC2="A-319",'2023'!$E$4="FO",'2023'!$E$2=AQ43),'2023DATA3'!$N$32,"")</f>
        <v/>
      </c>
      <c r="AR73" s="940"/>
      <c r="AS73" s="13" t="s">
        <v>62</v>
      </c>
      <c r="AT73" s="518" t="str">
        <f>IF(AND(_AC3="A-319",'2023'!$E$4="FO",'2023'!$E$2=AT43),'2023DATA3'!$C$32,"")</f>
        <v/>
      </c>
      <c r="AU73" s="518" t="str">
        <f>IF(AND(_AC3="A-319",'2023'!$E$4="FO",'2023'!$E$2=AU43),'2023DATA3'!$D$32,"")</f>
        <v/>
      </c>
      <c r="AV73" s="518" t="str">
        <f>IF(AND(_AC3="A-319",'2023'!$E$4="FO",'2023'!$E$2=AV43),'2023DATA3'!$E$32,"")</f>
        <v/>
      </c>
      <c r="AW73" s="518" t="str">
        <f>IF(AND(_AC3="A-319",'2023'!$E$4="FO",'2023'!$E$2=AW43),'2023DATA3'!$F$32,"")</f>
        <v/>
      </c>
      <c r="AX73" s="518" t="str">
        <f>IF(AND(_AC3="A-319",'2023'!$E$4="FO",'2023'!$E$2=AX43),'2023DATA3'!$G$32,"")</f>
        <v/>
      </c>
      <c r="AY73" s="518" t="str">
        <f>IF(AND(_AC3="A-319",'2023'!$E$4="FO",'2023'!$E$2=AY43),'2023DATA3'!$H$32,"")</f>
        <v/>
      </c>
      <c r="AZ73" s="518" t="str">
        <f>IF(AND(_AC3="A-319",'2023'!$E$4="FO",'2023'!$E$2=AZ43),'2023DATA3'!$I$32,"")</f>
        <v/>
      </c>
      <c r="BA73" s="518" t="str">
        <f>IF(AND(_AC3="A-319",'2023'!$E$4="FO",'2023'!$E$2=BA43),'2023DATA3'!$J$32,"")</f>
        <v/>
      </c>
      <c r="BB73" s="518" t="str">
        <f>IF(AND(_AC3="A-319",'2023'!$E$4="FO",'2023'!$E$2=BB43),'2023DATA3'!$K$32,"")</f>
        <v/>
      </c>
      <c r="BC73" s="518" t="str">
        <f>IF(AND(_AC3="A-319",'2023'!$E$4="FO",'2023'!$E$2=BC43),'2023DATA3'!$L$32,"")</f>
        <v/>
      </c>
      <c r="BD73" s="518" t="str">
        <f>IF(AND(_AC3="A-319",'2023'!$E$4="FO",'2023'!$E$2=BD43),'2023DATA3'!$M$32,"")</f>
        <v/>
      </c>
      <c r="BE73" s="520" t="str">
        <f>IF(AND(_AC3="A-319",'2023'!$E$4="FO",'2023'!$E$2=BE43),'2023DATA3'!$N$32,"")</f>
        <v/>
      </c>
      <c r="BF73" s="940"/>
      <c r="BG73" s="13" t="s">
        <v>62</v>
      </c>
      <c r="BH73" s="518" t="str">
        <f>IF(AND(_AC4="A-319",'2023'!$E$4="FO",'2023'!$E$2=BH43),'2023DATA3'!$C$32,"")</f>
        <v/>
      </c>
      <c r="BI73" s="518" t="str">
        <f>IF(AND(_AC4="A-319",'2023'!$E$4="FO",'2023'!$E$2=BI43),'2023DATA3'!$D$32,"")</f>
        <v/>
      </c>
      <c r="BJ73" s="518" t="str">
        <f>IF(AND(_AC4="A-319",'2023'!$E$4="FO",'2023'!$E$2=BJ43),'2023DATA3'!$E$32,"")</f>
        <v/>
      </c>
      <c r="BK73" s="518" t="str">
        <f>IF(AND(_AC4="A-319",'2023'!$E$4="FO",'2023'!$E$2=BK43),'2023DATA3'!$F$32,"")</f>
        <v/>
      </c>
      <c r="BL73" s="518" t="str">
        <f>IF(AND(_AC4="A-319",'2023'!$E$4="FO",'2023'!$E$2=BL43),'2023DATA3'!$G$32,"")</f>
        <v/>
      </c>
      <c r="BM73" s="518" t="str">
        <f>IF(AND(_AC4="A-319",'2023'!$E$4="FO",'2023'!$E$2=BM43),'2023DATA3'!$H$32,"")</f>
        <v/>
      </c>
      <c r="BN73" s="518" t="str">
        <f>IF(AND(_AC4="A-319",'2023'!$E$4="FO",'2023'!$E$2=BN43),'2023DATA3'!$I$32,"")</f>
        <v/>
      </c>
      <c r="BO73" s="518" t="str">
        <f>IF(AND(_AC4="A-319",'2023'!$E$4="FO",'2023'!$E$2=BO43),'2023DATA3'!$J$32,"")</f>
        <v/>
      </c>
      <c r="BP73" s="518" t="str">
        <f>IF(AND(_AC4="A-319",'2023'!$E$4="FO",'2023'!$E$2=BP43),'2023DATA3'!$K$32,"")</f>
        <v/>
      </c>
      <c r="BQ73" s="518" t="str">
        <f>IF(AND(_AC4="A-319",'2023'!$E$4="FO",'2023'!$E$2=BQ43),'2023DATA3'!$L$32,"")</f>
        <v/>
      </c>
      <c r="BR73" s="518" t="str">
        <f>IF(AND(_AC4="A-319",'2023'!$E$4="FO",'2023'!$E$2=BR43),'2023DATA3'!$M$32,"")</f>
        <v/>
      </c>
      <c r="BS73" s="520" t="str">
        <f>IF(AND(_AC4="A-319",'2023'!$E$4="FO",'2023'!$E$2=BS43),'2023DATA3'!$N$32,"")</f>
        <v/>
      </c>
      <c r="BT73" s="940"/>
      <c r="BU73" s="13" t="s">
        <v>62</v>
      </c>
      <c r="BV73" s="518" t="str">
        <f>IF(AND(_AC5="A-319",'2023'!$E$4="FO",'2023'!$E$2=BV43),'2023DATA3'!$C$32,"")</f>
        <v/>
      </c>
      <c r="BW73" s="518" t="str">
        <f>IF(AND(_AC5="A-319",'2023'!$E$4="FO",'2023'!$E$2=BW43),'2023DATA3'!$D$32,"")</f>
        <v/>
      </c>
      <c r="BX73" s="518" t="str">
        <f>IF(AND(_AC5="A-319",'2023'!$E$4="FO",'2023'!$E$2=BX43),'2023DATA3'!$E$32,"")</f>
        <v/>
      </c>
      <c r="BY73" s="518" t="str">
        <f>IF(AND(_AC5="A-319",'2023'!$E$4="FO",'2023'!$E$2=BY43),'2023DATA3'!$F$32,"")</f>
        <v/>
      </c>
      <c r="BZ73" s="518" t="str">
        <f>IF(AND(_AC5="A-319",'2023'!$E$4="FO",'2023'!$E$2=BZ43),'2023DATA3'!$G$32,"")</f>
        <v/>
      </c>
      <c r="CA73" s="518" t="str">
        <f>IF(AND(_AC5="A-319",'2023'!$E$4="FO",'2023'!$E$2=CA43),'2023DATA3'!$H$32,"")</f>
        <v/>
      </c>
      <c r="CB73" s="518" t="str">
        <f>IF(AND(_AC5="A-319",'2023'!$E$4="FO",'2023'!$E$2=CB43),'2023DATA3'!$I$32,"")</f>
        <v/>
      </c>
      <c r="CC73" s="518" t="str">
        <f>IF(AND(_AC5="A-319",'2023'!$E$4="FO",'2023'!$E$2=CC43),'2023DATA3'!$J$32,"")</f>
        <v/>
      </c>
      <c r="CD73" s="518" t="str">
        <f>IF(AND(_AC5="A-319",'2023'!$E$4="FO",'2023'!$E$2=CD43),'2023DATA3'!$K$32,"")</f>
        <v/>
      </c>
      <c r="CE73" s="518" t="str">
        <f>IF(AND(_AC5="A-319",'2023'!$E$4="FO",'2023'!$E$2=CE43),'2023DATA3'!$L$32,"")</f>
        <v/>
      </c>
      <c r="CF73" s="518" t="str">
        <f>IF(AND(_AC5="A-319",'2023'!$E$4="FO",'2023'!$E$2=CF43),'2023DATA3'!$M$32,"")</f>
        <v/>
      </c>
      <c r="CG73" s="520" t="str">
        <f>IF(AND(_AC5="A-319",'2023'!$E$4="FO",'2023'!$E$2=CG43),'2023DATA3'!$N$32,"")</f>
        <v/>
      </c>
      <c r="CH73" s="940"/>
      <c r="CI73" s="13" t="s">
        <v>62</v>
      </c>
      <c r="CJ73" s="518" t="str">
        <f>IF(AND(_AC6="A-319",'2023'!$E$4="FO",'2023'!$E$2=CJ43),'2023DATA3'!$C$32,"")</f>
        <v/>
      </c>
      <c r="CK73" s="518" t="str">
        <f>IF(AND(_AC6="A-319",'2023'!$E$4="FO",'2023'!$E$2=CK43),'2023DATA3'!$D$32,"")</f>
        <v/>
      </c>
      <c r="CL73" s="518" t="str">
        <f>IF(AND(_AC6="A-319",'2023'!$E$4="FO",'2023'!$E$2=CL43),'2023DATA3'!$E$32,"")</f>
        <v/>
      </c>
      <c r="CM73" s="518" t="str">
        <f>IF(AND(_AC6="A-319",'2023'!$E$4="FO",'2023'!$E$2=CM43),'2023DATA3'!$F$32,"")</f>
        <v/>
      </c>
      <c r="CN73" s="518" t="str">
        <f>IF(AND(_AC6="A-319",'2023'!$E$4="FO",'2023'!$E$2=CN43),'2023DATA3'!$G$32,"")</f>
        <v/>
      </c>
      <c r="CO73" s="518" t="str">
        <f>IF(AND(_AC6="A-319",'2023'!$E$4="FO",'2023'!$E$2=CO43),'2023DATA3'!$H$32,"")</f>
        <v/>
      </c>
      <c r="CP73" s="518" t="str">
        <f>IF(AND(_AC6="A-319",'2023'!$E$4="FO",'2023'!$E$2=CP43),'2023DATA3'!$I$32,"")</f>
        <v/>
      </c>
      <c r="CQ73" s="518" t="str">
        <f>IF(AND(_AC6="A-319",'2023'!$E$4="FO",'2023'!$E$2=CQ43),'2023DATA3'!$J$32,"")</f>
        <v/>
      </c>
      <c r="CR73" s="518" t="str">
        <f>IF(AND(_AC6="A-319",'2023'!$E$4="FO",'2023'!$E$2=CR43),'2023DATA3'!$K$32,"")</f>
        <v/>
      </c>
      <c r="CS73" s="518" t="str">
        <f>IF(AND(_AC6="A-319",'2023'!$E$4="FO",'2023'!$E$2=CS43),'2023DATA3'!$L$32,"")</f>
        <v/>
      </c>
      <c r="CT73" s="518" t="str">
        <f>IF(AND(_AC6="A-319",'2023'!$E$4="FO",'2023'!$E$2=CT43),'2023DATA3'!$M$32,"")</f>
        <v/>
      </c>
      <c r="CU73" s="520" t="str">
        <f>IF(AND(_AC6="A-319",'2023'!$E$4="FO",'2023'!$E$2=CU43),'2023DATA3'!$N$32,"")</f>
        <v/>
      </c>
    </row>
    <row r="74" spans="16:99" x14ac:dyDescent="0.25">
      <c r="P74" s="940" t="s">
        <v>51</v>
      </c>
      <c r="Q74" s="13" t="s">
        <v>61</v>
      </c>
      <c r="R74" s="518" t="str">
        <f>IF(AND(_AC1="A-220-300",'2023'!$E$4="CA",'2023'!$E$2=R43),'2023DATA3'!$C$33,"")</f>
        <v/>
      </c>
      <c r="S74" s="518" t="str">
        <f>IF(AND(_AC1="A-220-300",'2023'!$E$4="CA",'2023'!$E$2=S43),'2023DATA3'!$D$33,"")</f>
        <v/>
      </c>
      <c r="T74" s="518" t="str">
        <f>IF(AND(_AC1="A-220-300",'2023'!$E$4="CA",'2023'!$E$2=T43),'2023DATA3'!$E$33,"")</f>
        <v/>
      </c>
      <c r="U74" s="518" t="str">
        <f>IF(AND(_AC1="A-220-300",'2023'!$E$4="CA",'2023'!$E$2=U43),'2023DATA3'!$F$33,"")</f>
        <v/>
      </c>
      <c r="V74" s="518" t="str">
        <f>IF(AND(_AC1="A-220-300",'2023'!$E$4="CA",'2023'!$E$2=V43),'2023DATA3'!$G$33,"")</f>
        <v/>
      </c>
      <c r="W74" s="518" t="str">
        <f>IF(AND(_AC1="A-220-300",'2023'!$E$4="CA",'2023'!$E$2=W43),'2023DATA3'!$H$33,"")</f>
        <v/>
      </c>
      <c r="X74" s="518" t="str">
        <f>IF(AND(_AC1="A-220-300",'2023'!$E$4="CA",'2023'!$E$2=X43),'2023DATA3'!$I$33,"")</f>
        <v/>
      </c>
      <c r="Y74" s="518" t="str">
        <f>IF(AND(_AC1="A-220-300",'2023'!$E$4="CA",'2023'!$E$2=Y43),'2023DATA3'!$J$33,"")</f>
        <v/>
      </c>
      <c r="Z74" s="518" t="str">
        <f>IF(AND(_AC1="A-220-300",'2023'!$E$4="CA",'2023'!$E$2=Z43),'2023DATA3'!$K$33,"")</f>
        <v/>
      </c>
      <c r="AA74" s="518" t="str">
        <f>IF(AND(_AC1="A-220-300",'2023'!$E$4="CA",'2023'!$E$2=AA43),'2023DATA3'!$L$33,"")</f>
        <v/>
      </c>
      <c r="AB74" s="518" t="str">
        <f>IF(AND(_AC1="A-220-300",'2023'!$E$4="CA",'2023'!$E$2=AB43),'2023DATA3'!$M$33,"")</f>
        <v/>
      </c>
      <c r="AC74" s="520" t="str">
        <f>IF(AND(_AC1="A-220-300",'2023'!$E$4="CA",'2023'!$E$2=AC43),'2023DATA3'!$N$33,"")</f>
        <v/>
      </c>
      <c r="AD74" s="940" t="s">
        <v>51</v>
      </c>
      <c r="AE74" s="13" t="s">
        <v>61</v>
      </c>
      <c r="AF74" s="518" t="str">
        <f>IF(AND(_AC2="A-220-300",'2023'!$E$4="CA",'2023'!$E$2=AF43),'2023DATA3'!$C$33,"")</f>
        <v/>
      </c>
      <c r="AG74" s="518" t="str">
        <f>IF(AND(_AC2="A-220-300",'2023'!$E$4="CA",'2023'!$E$2=AG43),'2023DATA3'!$D$33,"")</f>
        <v/>
      </c>
      <c r="AH74" s="518" t="str">
        <f>IF(AND(_AC2="A-220-300",'2023'!$E$4="CA",'2023'!$E$2=AH43),'2023DATA3'!$E$33,"")</f>
        <v/>
      </c>
      <c r="AI74" s="518" t="str">
        <f>IF(AND(_AC2="A-220-300",'2023'!$E$4="CA",'2023'!$E$2=AI43),'2023DATA3'!$F$33,"")</f>
        <v/>
      </c>
      <c r="AJ74" s="518" t="str">
        <f>IF(AND(_AC2="A-220-300",'2023'!$E$4="CA",'2023'!$E$2=AJ43),'2023DATA3'!$G$33,"")</f>
        <v/>
      </c>
      <c r="AK74" s="518" t="str">
        <f>IF(AND(_AC2="A-220-300",'2023'!$E$4="CA",'2023'!$E$2=AK43),'2023DATA3'!$H$33,"")</f>
        <v/>
      </c>
      <c r="AL74" s="518" t="str">
        <f>IF(AND(_AC2="A-220-300",'2023'!$E$4="CA",'2023'!$E$2=AL43),'2023DATA3'!$I$33,"")</f>
        <v/>
      </c>
      <c r="AM74" s="518" t="str">
        <f>IF(AND(_AC2="A-220-300",'2023'!$E$4="CA",'2023'!$E$2=AM43),'2023DATA3'!$J$33,"")</f>
        <v/>
      </c>
      <c r="AN74" s="518" t="str">
        <f>IF(AND(_AC2="A-220-300",'2023'!$E$4="CA",'2023'!$E$2=AN43),'2023DATA3'!$K$33,"")</f>
        <v/>
      </c>
      <c r="AO74" s="518" t="str">
        <f>IF(AND(_AC2="A-220-300",'2023'!$E$4="CA",'2023'!$E$2=AO43),'2023DATA3'!$L$33,"")</f>
        <v/>
      </c>
      <c r="AP74" s="518" t="str">
        <f>IF(AND(_AC2="A-220-300",'2023'!$E$4="CA",'2023'!$E$2=AP43),'2023DATA3'!$M$33,"")</f>
        <v/>
      </c>
      <c r="AQ74" s="520" t="str">
        <f>IF(AND(_AC2="A-220-300",'2023'!$E$4="CA",'2023'!$E$2=AQ43),'2023DATA3'!$N$33,"")</f>
        <v/>
      </c>
      <c r="AR74" s="940" t="s">
        <v>51</v>
      </c>
      <c r="AS74" s="13" t="s">
        <v>61</v>
      </c>
      <c r="AT74" s="518" t="str">
        <f>IF(AND(_AC3="A-220-300",'2023'!$E$4="CA",'2023'!$E$2=AT43),'2023DATA3'!$C$33,"")</f>
        <v/>
      </c>
      <c r="AU74" s="518" t="str">
        <f>IF(AND(_AC3="A-220-300",'2023'!$E$4="CA",'2023'!$E$2=AU43),'2023DATA3'!$D$33,"")</f>
        <v/>
      </c>
      <c r="AV74" s="518" t="str">
        <f>IF(AND(_AC3="A-220-300",'2023'!$E$4="CA",'2023'!$E$2=AV43),'2023DATA3'!$E$33,"")</f>
        <v/>
      </c>
      <c r="AW74" s="518" t="str">
        <f>IF(AND(_AC3="A-220-300",'2023'!$E$4="CA",'2023'!$E$2=AW43),'2023DATA3'!$F$33,"")</f>
        <v/>
      </c>
      <c r="AX74" s="518" t="str">
        <f>IF(AND(_AC3="A-220-300",'2023'!$E$4="CA",'2023'!$E$2=AX43),'2023DATA3'!$G$33,"")</f>
        <v/>
      </c>
      <c r="AY74" s="518" t="str">
        <f>IF(AND(_AC3="A-220-300",'2023'!$E$4="CA",'2023'!$E$2=AY43),'2023DATA3'!$H$33,"")</f>
        <v/>
      </c>
      <c r="AZ74" s="518" t="str">
        <f>IF(AND(_AC3="A-220-300",'2023'!$E$4="CA",'2023'!$E$2=AZ43),'2023DATA3'!$I$33,"")</f>
        <v/>
      </c>
      <c r="BA74" s="518" t="str">
        <f>IF(AND(_AC3="A-220-300",'2023'!$E$4="CA",'2023'!$E$2=BA43),'2023DATA3'!$J$33,"")</f>
        <v/>
      </c>
      <c r="BB74" s="518" t="str">
        <f>IF(AND(_AC3="A-220-300",'2023'!$E$4="CA",'2023'!$E$2=BB43),'2023DATA3'!$K$33,"")</f>
        <v/>
      </c>
      <c r="BC74" s="518" t="str">
        <f>IF(AND(_AC3="A-220-300",'2023'!$E$4="CA",'2023'!$E$2=BC43),'2023DATA3'!$L$33,"")</f>
        <v/>
      </c>
      <c r="BD74" s="518" t="str">
        <f>IF(AND(_AC3="A-220-300",'2023'!$E$4="CA",'2023'!$E$2=BD43),'2023DATA3'!$M$33,"")</f>
        <v/>
      </c>
      <c r="BE74" s="520" t="str">
        <f>IF(AND(_AC3="A-220-300",'2023'!$E$4="CA",'2023'!$E$2=BE43),'2023DATA3'!$N$33,"")</f>
        <v/>
      </c>
      <c r="BF74" s="940" t="s">
        <v>51</v>
      </c>
      <c r="BG74" s="13" t="s">
        <v>61</v>
      </c>
      <c r="BH74" s="518" t="str">
        <f>IF(AND(_AC4="A-220-300",'2023'!$E$4="CA",'2023'!$E$2=BH43),'2023DATA3'!$C$33,"")</f>
        <v/>
      </c>
      <c r="BI74" s="518" t="str">
        <f>IF(AND(_AC4="A-220-300",'2023'!$E$4="CA",'2023'!$E$2=BI43),'2023DATA3'!$D$33,"")</f>
        <v/>
      </c>
      <c r="BJ74" s="518" t="str">
        <f>IF(AND(_AC4="A-220-300",'2023'!$E$4="CA",'2023'!$E$2=BJ43),'2023DATA3'!$E$33,"")</f>
        <v/>
      </c>
      <c r="BK74" s="518" t="str">
        <f>IF(AND(_AC4="A-220-300",'2023'!$E$4="CA",'2023'!$E$2=BK43),'2023DATA3'!$F$33,"")</f>
        <v/>
      </c>
      <c r="BL74" s="518" t="str">
        <f>IF(AND(_AC4="A-220-300",'2023'!$E$4="CA",'2023'!$E$2=BL43),'2023DATA3'!$G$33,"")</f>
        <v/>
      </c>
      <c r="BM74" s="518" t="str">
        <f>IF(AND(_AC4="A-220-300",'2023'!$E$4="CA",'2023'!$E$2=BM43),'2023DATA3'!$H$33,"")</f>
        <v/>
      </c>
      <c r="BN74" s="518" t="str">
        <f>IF(AND(_AC4="A-220-300",'2023'!$E$4="CA",'2023'!$E$2=BN43),'2023DATA3'!$I$33,"")</f>
        <v/>
      </c>
      <c r="BO74" s="518" t="str">
        <f>IF(AND(_AC4="A-220-300",'2023'!$E$4="CA",'2023'!$E$2=BO43),'2023DATA3'!$J$33,"")</f>
        <v/>
      </c>
      <c r="BP74" s="518" t="str">
        <f>IF(AND(_AC4="A-220-300",'2023'!$E$4="CA",'2023'!$E$2=BP43),'2023DATA3'!$K$33,"")</f>
        <v/>
      </c>
      <c r="BQ74" s="518" t="str">
        <f>IF(AND(_AC4="A-220-300",'2023'!$E$4="CA",'2023'!$E$2=BQ43),'2023DATA3'!$L$33,"")</f>
        <v/>
      </c>
      <c r="BR74" s="518" t="str">
        <f>IF(AND(_AC4="A-220-300",'2023'!$E$4="CA",'2023'!$E$2=BR43),'2023DATA3'!$M$33,"")</f>
        <v/>
      </c>
      <c r="BS74" s="520" t="str">
        <f>IF(AND(_AC4="A-220-300",'2023'!$E$4="CA",'2023'!$E$2=BS43),'2023DATA3'!$N$33,"")</f>
        <v/>
      </c>
      <c r="BT74" s="940" t="s">
        <v>51</v>
      </c>
      <c r="BU74" s="13" t="s">
        <v>61</v>
      </c>
      <c r="BV74" s="518" t="str">
        <f>IF(AND(_AC5="A-220-300",'2023'!$E$4="CA",'2023'!$E$2=BV43),'2023DATA3'!$C$33,"")</f>
        <v/>
      </c>
      <c r="BW74" s="518" t="str">
        <f>IF(AND(_AC5="A-220-300",'2023'!$E$4="CA",'2023'!$E$2=BW43),'2023DATA3'!$D$33,"")</f>
        <v/>
      </c>
      <c r="BX74" s="518" t="str">
        <f>IF(AND(_AC5="A-220-300",'2023'!$E$4="CA",'2023'!$E$2=BX43),'2023DATA3'!$E$33,"")</f>
        <v/>
      </c>
      <c r="BY74" s="518" t="str">
        <f>IF(AND(_AC5="A-220-300",'2023'!$E$4="CA",'2023'!$E$2=BY43),'2023DATA3'!$F$33,"")</f>
        <v/>
      </c>
      <c r="BZ74" s="518" t="str">
        <f>IF(AND(_AC5="A-220-300",'2023'!$E$4="CA",'2023'!$E$2=BZ43),'2023DATA3'!$G$33,"")</f>
        <v/>
      </c>
      <c r="CA74" s="518" t="str">
        <f>IF(AND(_AC5="A-220-300",'2023'!$E$4="CA",'2023'!$E$2=CA43),'2023DATA3'!$H$33,"")</f>
        <v/>
      </c>
      <c r="CB74" s="518" t="str">
        <f>IF(AND(_AC5="A-220-300",'2023'!$E$4="CA",'2023'!$E$2=CB43),'2023DATA3'!$I$33,"")</f>
        <v/>
      </c>
      <c r="CC74" s="518" t="str">
        <f>IF(AND(_AC5="A-220-300",'2023'!$E$4="CA",'2023'!$E$2=CC43),'2023DATA3'!$J$33,"")</f>
        <v/>
      </c>
      <c r="CD74" s="518" t="str">
        <f>IF(AND(_AC5="A-220-300",'2023'!$E$4="CA",'2023'!$E$2=CD43),'2023DATA3'!$K$33,"")</f>
        <v/>
      </c>
      <c r="CE74" s="518" t="str">
        <f>IF(AND(_AC5="A-220-300",'2023'!$E$4="CA",'2023'!$E$2=CE43),'2023DATA3'!$L$33,"")</f>
        <v/>
      </c>
      <c r="CF74" s="518" t="str">
        <f>IF(AND(_AC5="A-220-300",'2023'!$E$4="CA",'2023'!$E$2=CF43),'2023DATA3'!$M$33,"")</f>
        <v/>
      </c>
      <c r="CG74" s="520" t="str">
        <f>IF(AND(_AC5="A-220-300",'2023'!$E$4="CA",'2023'!$E$2=CG43),'2023DATA3'!$N$33,"")</f>
        <v/>
      </c>
      <c r="CH74" s="940" t="s">
        <v>51</v>
      </c>
      <c r="CI74" s="13" t="s">
        <v>61</v>
      </c>
      <c r="CJ74" s="518" t="str">
        <f>IF(AND(_AC6="A-220-300",'2023'!$E$4="CA",'2023'!$E$2=CJ43),'2023DATA3'!$C$33,"")</f>
        <v/>
      </c>
      <c r="CK74" s="518" t="str">
        <f>IF(AND(_AC6="A-220-300",'2023'!$E$4="CA",'2023'!$E$2=CK43),'2023DATA3'!$D$33,"")</f>
        <v/>
      </c>
      <c r="CL74" s="518" t="str">
        <f>IF(AND(_AC6="A-220-300",'2023'!$E$4="CA",'2023'!$E$2=CL43),'2023DATA3'!$E$33,"")</f>
        <v/>
      </c>
      <c r="CM74" s="518" t="str">
        <f>IF(AND(_AC6="A-220-300",'2023'!$E$4="CA",'2023'!$E$2=CM43),'2023DATA3'!$F$33,"")</f>
        <v/>
      </c>
      <c r="CN74" s="518" t="str">
        <f>IF(AND(_AC6="A-220-300",'2023'!$E$4="CA",'2023'!$E$2=CN43),'2023DATA3'!$G$33,"")</f>
        <v/>
      </c>
      <c r="CO74" s="518" t="str">
        <f>IF(AND(_AC6="A-220-300",'2023'!$E$4="CA",'2023'!$E$2=CO43),'2023DATA3'!$H$33,"")</f>
        <v/>
      </c>
      <c r="CP74" s="518" t="str">
        <f>IF(AND(_AC6="A-220-300",'2023'!$E$4="CA",'2023'!$E$2=CP43),'2023DATA3'!$I$33,"")</f>
        <v/>
      </c>
      <c r="CQ74" s="518" t="str">
        <f>IF(AND(_AC6="A-220-300",'2023'!$E$4="CA",'2023'!$E$2=CQ43),'2023DATA3'!$J$33,"")</f>
        <v/>
      </c>
      <c r="CR74" s="518" t="str">
        <f>IF(AND(_AC6="A-220-300",'2023'!$E$4="CA",'2023'!$E$2=CR43),'2023DATA3'!$K$33,"")</f>
        <v/>
      </c>
      <c r="CS74" s="518" t="str">
        <f>IF(AND(_AC6="A-220-300",'2023'!$E$4="CA",'2023'!$E$2=CS43),'2023DATA3'!$L$33,"")</f>
        <v/>
      </c>
      <c r="CT74" s="518" t="str">
        <f>IF(AND(_AC6="A-220-300",'2023'!$E$4="CA",'2023'!$E$2=CT43),'2023DATA3'!$M$33,"")</f>
        <v/>
      </c>
      <c r="CU74" s="520" t="str">
        <f>IF(AND(_AC6="A-220-300",'2023'!$E$4="CA",'2023'!$E$2=CU43),'2023DATA3'!$N$33,"")</f>
        <v/>
      </c>
    </row>
    <row r="75" spans="16:99" x14ac:dyDescent="0.25">
      <c r="P75" s="940"/>
      <c r="Q75" s="13" t="s">
        <v>62</v>
      </c>
      <c r="R75" s="518" t="str">
        <f>IF(AND(_AC1="A-220-300",'2023'!$E$4="FO",'2023'!$E$2=R43),'2023DATA3'!$C$34,"")</f>
        <v/>
      </c>
      <c r="S75" s="518" t="str">
        <f>IF(AND(_AC1="A-220-300",'2023'!$E$4="FO",'2023'!$E$2=S43),'2023DATA3'!$D$34,"")</f>
        <v/>
      </c>
      <c r="T75" s="518" t="str">
        <f>IF(AND(_AC1="A-220-300",'2023'!$E$4="FO",'2023'!$E$2=T43),'2023DATA3'!$E$34,"")</f>
        <v/>
      </c>
      <c r="U75" s="518" t="str">
        <f>IF(AND(_AC1="A-220-300",'2023'!$E$4="FO",'2023'!$E$2=U43),'2023DATA3'!$F$34,"")</f>
        <v/>
      </c>
      <c r="V75" s="518" t="str">
        <f>IF(AND(_AC1="A-220-300",'2023'!$E$4="FO",'2023'!$E$2=V43),'2023DATA3'!$G$34,"")</f>
        <v/>
      </c>
      <c r="W75" s="518" t="str">
        <f>IF(AND(_AC1="A-220-300",'2023'!$E$4="FO",'2023'!$E$2=W43),'2023DATA3'!$H$34,"")</f>
        <v/>
      </c>
      <c r="X75" s="518" t="str">
        <f>IF(AND(_AC1="A-220-300",'2023'!$E$4="FO",'2023'!$E$2=X43),'2023DATA3'!$I$34,"")</f>
        <v/>
      </c>
      <c r="Y75" s="518" t="str">
        <f>IF(AND(_AC1="A-220-300",'2023'!$E$4="FO",'2023'!$E$2=Y43),'2023DATA3'!$J$34,"")</f>
        <v/>
      </c>
      <c r="Z75" s="518" t="str">
        <f>IF(AND(_AC1="A-220-300",'2023'!$E$4="FO",'2023'!$E$2=Z43),'2023DATA3'!$K$34,"")</f>
        <v/>
      </c>
      <c r="AA75" s="518" t="str">
        <f>IF(AND(_AC1="A-220-300",'2023'!$E$4="FO",'2023'!$E$2=AA43),'2023DATA3'!$L$34,"")</f>
        <v/>
      </c>
      <c r="AB75" s="518" t="str">
        <f>IF(AND(_AC1="A-220-300",'2023'!$E$4="FO",'2023'!$E$2=AB43),'2023DATA3'!$M$34,"")</f>
        <v/>
      </c>
      <c r="AC75" s="520" t="str">
        <f>IF(AND(_AC1="A-220-300",'2023'!$E$4="FO",'2023'!$E$2=AC43),'2023DATA3'!$N$34,"")</f>
        <v/>
      </c>
      <c r="AD75" s="940"/>
      <c r="AE75" s="13" t="s">
        <v>62</v>
      </c>
      <c r="AF75" s="518" t="str">
        <f>IF(AND(_AC2="A-220-300",'2023'!$E$4="FO",'2023'!$E$2=AF43),'2023DATA3'!$C$34,"")</f>
        <v/>
      </c>
      <c r="AG75" s="518" t="str">
        <f>IF(AND(_AC2="A-220-300",'2023'!$E$4="FO",'2023'!$E$2=AG43),'2023DATA3'!$D$34,"")</f>
        <v/>
      </c>
      <c r="AH75" s="518" t="str">
        <f>IF(AND(_AC2="A-220-300",'2023'!$E$4="FO",'2023'!$E$2=AH43),'2023DATA3'!$E$34,"")</f>
        <v/>
      </c>
      <c r="AI75" s="518" t="str">
        <f>IF(AND(_AC2="A-220-300",'2023'!$E$4="FO",'2023'!$E$2=AI43),'2023DATA3'!$F$34,"")</f>
        <v/>
      </c>
      <c r="AJ75" s="518" t="str">
        <f>IF(AND(_AC2="A-220-300",'2023'!$E$4="FO",'2023'!$E$2=AJ43),'2023DATA3'!$G$34,"")</f>
        <v/>
      </c>
      <c r="AK75" s="518" t="str">
        <f>IF(AND(_AC2="A-220-300",'2023'!$E$4="FO",'2023'!$E$2=AK43),'2023DATA3'!$H$34,"")</f>
        <v/>
      </c>
      <c r="AL75" s="518" t="str">
        <f>IF(AND(_AC2="A-220-300",'2023'!$E$4="FO",'2023'!$E$2=AL43),'2023DATA3'!$I$34,"")</f>
        <v/>
      </c>
      <c r="AM75" s="518" t="str">
        <f>IF(AND(_AC2="A-220-300",'2023'!$E$4="FO",'2023'!$E$2=AM43),'2023DATA3'!$J$34,"")</f>
        <v/>
      </c>
      <c r="AN75" s="518" t="str">
        <f>IF(AND(_AC2="A-220-300",'2023'!$E$4="FO",'2023'!$E$2=AN43),'2023DATA3'!$K$34,"")</f>
        <v/>
      </c>
      <c r="AO75" s="518" t="str">
        <f>IF(AND(_AC2="A-220-300",'2023'!$E$4="FO",'2023'!$E$2=AO43),'2023DATA3'!$L$34,"")</f>
        <v/>
      </c>
      <c r="AP75" s="518" t="str">
        <f>IF(AND(_AC2="A-220-300",'2023'!$E$4="FO",'2023'!$E$2=AP43),'2023DATA3'!$M$34,"")</f>
        <v/>
      </c>
      <c r="AQ75" s="520" t="str">
        <f>IF(AND(_AC2="A-220-300",'2023'!$E$4="FO",'2023'!$E$2=AQ43),'2023DATA3'!$N$34,"")</f>
        <v/>
      </c>
      <c r="AR75" s="940"/>
      <c r="AS75" s="13" t="s">
        <v>62</v>
      </c>
      <c r="AT75" s="518" t="str">
        <f>IF(AND(_AC3="A-220-300",'2023'!$E$4="FO",'2023'!$E$2=AT43),'2023DATA3'!$C$34,"")</f>
        <v/>
      </c>
      <c r="AU75" s="518" t="str">
        <f>IF(AND(_AC3="A-220-300",'2023'!$E$4="FO",'2023'!$E$2=AU43),'2023DATA3'!$D$34,"")</f>
        <v/>
      </c>
      <c r="AV75" s="518" t="str">
        <f>IF(AND(_AC3="A-220-300",'2023'!$E$4="FO",'2023'!$E$2=AV43),'2023DATA3'!$E$34,"")</f>
        <v/>
      </c>
      <c r="AW75" s="518" t="str">
        <f>IF(AND(_AC3="A-220-300",'2023'!$E$4="FO",'2023'!$E$2=AW43),'2023DATA3'!$F$34,"")</f>
        <v/>
      </c>
      <c r="AX75" s="518" t="str">
        <f>IF(AND(_AC3="A-220-300",'2023'!$E$4="FO",'2023'!$E$2=AX43),'2023DATA3'!$G$34,"")</f>
        <v/>
      </c>
      <c r="AY75" s="518" t="str">
        <f>IF(AND(_AC3="A-220-300",'2023'!$E$4="FO",'2023'!$E$2=AY43),'2023DATA3'!$H$34,"")</f>
        <v/>
      </c>
      <c r="AZ75" s="518" t="str">
        <f>IF(AND(_AC3="A-220-300",'2023'!$E$4="FO",'2023'!$E$2=AZ43),'2023DATA3'!$I$34,"")</f>
        <v/>
      </c>
      <c r="BA75" s="518" t="str">
        <f>IF(AND(_AC3="A-220-300",'2023'!$E$4="FO",'2023'!$E$2=BA43),'2023DATA3'!$J$34,"")</f>
        <v/>
      </c>
      <c r="BB75" s="518" t="str">
        <f>IF(AND(_AC3="A-220-300",'2023'!$E$4="FO",'2023'!$E$2=BB43),'2023DATA3'!$K$34,"")</f>
        <v/>
      </c>
      <c r="BC75" s="518" t="str">
        <f>IF(AND(_AC3="A-220-300",'2023'!$E$4="FO",'2023'!$E$2=BC43),'2023DATA3'!$L$34,"")</f>
        <v/>
      </c>
      <c r="BD75" s="518" t="str">
        <f>IF(AND(_AC3="A-220-300",'2023'!$E$4="FO",'2023'!$E$2=BD43),'2023DATA3'!$M$34,"")</f>
        <v/>
      </c>
      <c r="BE75" s="520" t="str">
        <f>IF(AND(_AC3="A-220-300",'2023'!$E$4="FO",'2023'!$E$2=BE43),'2023DATA3'!$N$34,"")</f>
        <v/>
      </c>
      <c r="BF75" s="940"/>
      <c r="BG75" s="13" t="s">
        <v>62</v>
      </c>
      <c r="BH75" s="518" t="str">
        <f>IF(AND(_AC4="A-220-300",'2023'!$E$4="FO",'2023'!$E$2=BH43),'2023DATA3'!$C$34,"")</f>
        <v/>
      </c>
      <c r="BI75" s="518" t="str">
        <f>IF(AND(_AC4="A-220-300",'2023'!$E$4="FO",'2023'!$E$2=BI43),'2023DATA3'!$D$34,"")</f>
        <v/>
      </c>
      <c r="BJ75" s="518" t="str">
        <f>IF(AND(_AC4="A-220-300",'2023'!$E$4="FO",'2023'!$E$2=BJ43),'2023DATA3'!$E$34,"")</f>
        <v/>
      </c>
      <c r="BK75" s="518" t="str">
        <f>IF(AND(_AC4="A-220-300",'2023'!$E$4="FO",'2023'!$E$2=BK43),'2023DATA3'!$F$34,"")</f>
        <v/>
      </c>
      <c r="BL75" s="518" t="str">
        <f>IF(AND(_AC4="A-220-300",'2023'!$E$4="FO",'2023'!$E$2=BL43),'2023DATA3'!$G$34,"")</f>
        <v/>
      </c>
      <c r="BM75" s="518" t="str">
        <f>IF(AND(_AC4="A-220-300",'2023'!$E$4="FO",'2023'!$E$2=BM43),'2023DATA3'!$H$34,"")</f>
        <v/>
      </c>
      <c r="BN75" s="518" t="str">
        <f>IF(AND(_AC4="A-220-300",'2023'!$E$4="FO",'2023'!$E$2=BN43),'2023DATA3'!$I$34,"")</f>
        <v/>
      </c>
      <c r="BO75" s="518" t="str">
        <f>IF(AND(_AC4="A-220-300",'2023'!$E$4="FO",'2023'!$E$2=BO43),'2023DATA3'!$J$34,"")</f>
        <v/>
      </c>
      <c r="BP75" s="518" t="str">
        <f>IF(AND(_AC4="A-220-300",'2023'!$E$4="FO",'2023'!$E$2=BP43),'2023DATA3'!$K$34,"")</f>
        <v/>
      </c>
      <c r="BQ75" s="518" t="str">
        <f>IF(AND(_AC4="A-220-300",'2023'!$E$4="FO",'2023'!$E$2=BQ43),'2023DATA3'!$L$34,"")</f>
        <v/>
      </c>
      <c r="BR75" s="518" t="str">
        <f>IF(AND(_AC4="A-220-300",'2023'!$E$4="FO",'2023'!$E$2=BR43),'2023DATA3'!$M$34,"")</f>
        <v/>
      </c>
      <c r="BS75" s="520" t="str">
        <f>IF(AND(_AC4="A-220-300",'2023'!$E$4="FO",'2023'!$E$2=BS43),'2023DATA3'!$N$34,"")</f>
        <v/>
      </c>
      <c r="BT75" s="940"/>
      <c r="BU75" s="13" t="s">
        <v>62</v>
      </c>
      <c r="BV75" s="518" t="str">
        <f>IF(AND(_AC5="A-220-300",'2023'!$E$4="FO",'2023'!$E$2=BV43),'2023DATA3'!$C$34,"")</f>
        <v/>
      </c>
      <c r="BW75" s="518" t="str">
        <f>IF(AND(_AC5="A-220-300",'2023'!$E$4="FO",'2023'!$E$2=BW43),'2023DATA3'!$D$34,"")</f>
        <v/>
      </c>
      <c r="BX75" s="518" t="str">
        <f>IF(AND(_AC5="A-220-300",'2023'!$E$4="FO",'2023'!$E$2=BX43),'2023DATA3'!$E$34,"")</f>
        <v/>
      </c>
      <c r="BY75" s="518" t="str">
        <f>IF(AND(_AC5="A-220-300",'2023'!$E$4="FO",'2023'!$E$2=BY43),'2023DATA3'!$F$34,"")</f>
        <v/>
      </c>
      <c r="BZ75" s="518" t="str">
        <f>IF(AND(_AC5="A-220-300",'2023'!$E$4="FO",'2023'!$E$2=BZ43),'2023DATA3'!$G$34,"")</f>
        <v/>
      </c>
      <c r="CA75" s="518" t="str">
        <f>IF(AND(_AC5="A-220-300",'2023'!$E$4="FO",'2023'!$E$2=CA43),'2023DATA3'!$H$34,"")</f>
        <v/>
      </c>
      <c r="CB75" s="518" t="str">
        <f>IF(AND(_AC5="A-220-300",'2023'!$E$4="FO",'2023'!$E$2=CB43),'2023DATA3'!$I$34,"")</f>
        <v/>
      </c>
      <c r="CC75" s="518" t="str">
        <f>IF(AND(_AC5="A-220-300",'2023'!$E$4="FO",'2023'!$E$2=CC43),'2023DATA3'!$J$34,"")</f>
        <v/>
      </c>
      <c r="CD75" s="518" t="str">
        <f>IF(AND(_AC5="A-220-300",'2023'!$E$4="FO",'2023'!$E$2=CD43),'2023DATA3'!$K$34,"")</f>
        <v/>
      </c>
      <c r="CE75" s="518" t="str">
        <f>IF(AND(_AC5="A-220-300",'2023'!$E$4="FO",'2023'!$E$2=CE43),'2023DATA3'!$L$34,"")</f>
        <v/>
      </c>
      <c r="CF75" s="518" t="str">
        <f>IF(AND(_AC5="A-220-300",'2023'!$E$4="FO",'2023'!$E$2=CF43),'2023DATA3'!$M$34,"")</f>
        <v/>
      </c>
      <c r="CG75" s="520" t="str">
        <f>IF(AND(_AC5="A-220-300",'2023'!$E$4="FO",'2023'!$E$2=CG43),'2023DATA3'!$N$34,"")</f>
        <v/>
      </c>
      <c r="CH75" s="940"/>
      <c r="CI75" s="13" t="s">
        <v>62</v>
      </c>
      <c r="CJ75" s="518" t="str">
        <f>IF(AND(_AC6="A-220-300",'2023'!$E$4="FO",'2023'!$E$2=CJ43),'2023DATA3'!$C$34,"")</f>
        <v/>
      </c>
      <c r="CK75" s="518" t="str">
        <f>IF(AND(_AC6="A-220-300",'2023'!$E$4="FO",'2023'!$E$2=CK43),'2023DATA3'!$D$34,"")</f>
        <v/>
      </c>
      <c r="CL75" s="518" t="str">
        <f>IF(AND(_AC6="A-220-300",'2023'!$E$4="FO",'2023'!$E$2=CL43),'2023DATA3'!$E$34,"")</f>
        <v/>
      </c>
      <c r="CM75" s="518" t="str">
        <f>IF(AND(_AC6="A-220-300",'2023'!$E$4="FO",'2023'!$E$2=CM43),'2023DATA3'!$F$34,"")</f>
        <v/>
      </c>
      <c r="CN75" s="518" t="str">
        <f>IF(AND(_AC6="A-220-300",'2023'!$E$4="FO",'2023'!$E$2=CN43),'2023DATA3'!$G$34,"")</f>
        <v/>
      </c>
      <c r="CO75" s="518" t="str">
        <f>IF(AND(_AC6="A-220-300",'2023'!$E$4="FO",'2023'!$E$2=CO43),'2023DATA3'!$H$34,"")</f>
        <v/>
      </c>
      <c r="CP75" s="518" t="str">
        <f>IF(AND(_AC6="A-220-300",'2023'!$E$4="FO",'2023'!$E$2=CP43),'2023DATA3'!$I$34,"")</f>
        <v/>
      </c>
      <c r="CQ75" s="518" t="str">
        <f>IF(AND(_AC6="A-220-300",'2023'!$E$4="FO",'2023'!$E$2=CQ43),'2023DATA3'!$J$34,"")</f>
        <v/>
      </c>
      <c r="CR75" s="518" t="str">
        <f>IF(AND(_AC6="A-220-300",'2023'!$E$4="FO",'2023'!$E$2=CR43),'2023DATA3'!$K$34,"")</f>
        <v/>
      </c>
      <c r="CS75" s="518" t="str">
        <f>IF(AND(_AC6="A-220-300",'2023'!$E$4="FO",'2023'!$E$2=CS43),'2023DATA3'!$L$34,"")</f>
        <v/>
      </c>
      <c r="CT75" s="518" t="str">
        <f>IF(AND(_AC6="A-220-300",'2023'!$E$4="FO",'2023'!$E$2=CT43),'2023DATA3'!$M$34,"")</f>
        <v/>
      </c>
      <c r="CU75" s="520" t="str">
        <f>IF(AND(_AC6="A-220-300",'2023'!$E$4="FO",'2023'!$E$2=CU43),'2023DATA3'!$N$34,"")</f>
        <v/>
      </c>
    </row>
    <row r="76" spans="16:99" x14ac:dyDescent="0.25">
      <c r="P76" s="940" t="s">
        <v>52</v>
      </c>
      <c r="Q76" s="13" t="s">
        <v>61</v>
      </c>
      <c r="R76" s="518" t="str">
        <f>IF(AND(_AC1="A-220-100",'2023'!$E$4="CA",'2023'!$E$2=R43),'2023DATA3'!$C$35,"")</f>
        <v/>
      </c>
      <c r="S76" s="518" t="str">
        <f>IF(AND(_AC1="A-220-100",'2023'!$E$4="CA",'2023'!$E$2=S43),'2023DATA3'!$D$35,"")</f>
        <v/>
      </c>
      <c r="T76" s="518" t="str">
        <f>IF(AND(_AC1="A-220-100",'2023'!$E$4="CA",'2023'!$E$2=T43),'2023DATA3'!$E$35,"")</f>
        <v/>
      </c>
      <c r="U76" s="518" t="str">
        <f>IF(AND(_AC1="A-220-100",'2023'!$E$4="CA",'2023'!$E$2=U43),'2023DATA3'!$F$35,"")</f>
        <v/>
      </c>
      <c r="V76" s="518" t="str">
        <f>IF(AND(_AC1="A-220-100",'2023'!$E$4="CA",'2023'!$E$2=V43),'2023DATA3'!$G$35,"")</f>
        <v/>
      </c>
      <c r="W76" s="518" t="str">
        <f>IF(AND(_AC1="A-220-100",'2023'!$E$4="CA",'2023'!$E$2=W43),'2023DATA3'!$H$35,"")</f>
        <v/>
      </c>
      <c r="X76" s="518" t="str">
        <f>IF(AND(_AC1="A-220-100",'2023'!$E$4="CA",'2023'!$E$2=X43),'2023DATA3'!$I$35,"")</f>
        <v/>
      </c>
      <c r="Y76" s="518" t="str">
        <f>IF(AND(_AC1="A-220-100",'2023'!$E$4="CA",'2023'!$E$2=Y43),'2023DATA3'!$J$35,"")</f>
        <v/>
      </c>
      <c r="Z76" s="518" t="str">
        <f>IF(AND(_AC1="A-220-100",'2023'!$E$4="CA",'2023'!$E$2=Z43),'2023DATA3'!$K$35,"")</f>
        <v/>
      </c>
      <c r="AA76" s="518" t="str">
        <f>IF(AND(_AC1="A-220-100",'2023'!$E$4="CA",'2023'!$E$2=AA43),'2023DATA3'!$L$35,"")</f>
        <v/>
      </c>
      <c r="AB76" s="518" t="str">
        <f>IF(AND(_AC1="A-220-100",'2023'!$E$4="CA",'2023'!$E$2=AB43),'2023DATA3'!$M$35,"")</f>
        <v/>
      </c>
      <c r="AC76" s="520" t="str">
        <f>IF(AND(_AC1="A-220-100",'2023'!$E$4="CA",'2023'!$E$2=AC43),'2023DATA3'!$N$35,"")</f>
        <v/>
      </c>
      <c r="AD76" s="940" t="s">
        <v>52</v>
      </c>
      <c r="AE76" s="13" t="s">
        <v>61</v>
      </c>
      <c r="AF76" s="518" t="str">
        <f>IF(AND(_AC2="A-220-100",'2023'!$E$4="CA",'2023'!$E$2=AF43),'2023DATA3'!$C$35,"")</f>
        <v/>
      </c>
      <c r="AG76" s="518" t="str">
        <f>IF(AND(_AC2="A-220-100",'2023'!$E$4="CA",'2023'!$E$2=AG43),'2023DATA3'!$D$35,"")</f>
        <v/>
      </c>
      <c r="AH76" s="518" t="str">
        <f>IF(AND(_AC2="A-220-100",'2023'!$E$4="CA",'2023'!$E$2=AH43),'2023DATA3'!$E$35,"")</f>
        <v/>
      </c>
      <c r="AI76" s="518" t="str">
        <f>IF(AND(_AC2="A-220-100",'2023'!$E$4="CA",'2023'!$E$2=AI43),'2023DATA3'!$F$35,"")</f>
        <v/>
      </c>
      <c r="AJ76" s="518" t="str">
        <f>IF(AND(_AC2="A-220-100",'2023'!$E$4="CA",'2023'!$E$2=AJ43),'2023DATA3'!$G$35,"")</f>
        <v/>
      </c>
      <c r="AK76" s="518" t="str">
        <f>IF(AND(_AC2="A-220-100",'2023'!$E$4="CA",'2023'!$E$2=AK43),'2023DATA3'!$H$35,"")</f>
        <v/>
      </c>
      <c r="AL76" s="518" t="str">
        <f>IF(AND(_AC2="A-220-100",'2023'!$E$4="CA",'2023'!$E$2=AL43),'2023DATA3'!$I$35,"")</f>
        <v/>
      </c>
      <c r="AM76" s="518" t="str">
        <f>IF(AND(_AC2="A-220-100",'2023'!$E$4="CA",'2023'!$E$2=AM43),'2023DATA3'!$J$35,"")</f>
        <v/>
      </c>
      <c r="AN76" s="518" t="str">
        <f>IF(AND(_AC2="A-220-100",'2023'!$E$4="CA",'2023'!$E$2=AN43),'2023DATA3'!$K$35,"")</f>
        <v/>
      </c>
      <c r="AO76" s="518" t="str">
        <f>IF(AND(_AC2="A-220-100",'2023'!$E$4="CA",'2023'!$E$2=AO43),'2023DATA3'!$L$35,"")</f>
        <v/>
      </c>
      <c r="AP76" s="518" t="str">
        <f>IF(AND(_AC2="A-220-100",'2023'!$E$4="CA",'2023'!$E$2=AP43),'2023DATA3'!$M$35,"")</f>
        <v/>
      </c>
      <c r="AQ76" s="520" t="str">
        <f>IF(AND(_AC2="A-220-100",'2023'!$E$4="CA",'2023'!$E$2=AQ43),'2023DATA3'!$N$35,"")</f>
        <v/>
      </c>
      <c r="AR76" s="940" t="s">
        <v>52</v>
      </c>
      <c r="AS76" s="13" t="s">
        <v>61</v>
      </c>
      <c r="AT76" s="518" t="str">
        <f>IF(AND(_AC3="A-220-100",'2023'!$E$4="CA",'2023'!$E$2=AT43),'2023DATA3'!$C$35,"")</f>
        <v/>
      </c>
      <c r="AU76" s="518" t="str">
        <f>IF(AND(_AC3="A-220-100",'2023'!$E$4="CA",'2023'!$E$2=AU43),'2023DATA3'!$D$35,"")</f>
        <v/>
      </c>
      <c r="AV76" s="518" t="str">
        <f>IF(AND(_AC3="A-220-100",'2023'!$E$4="CA",'2023'!$E$2=AV43),'2023DATA3'!$E$35,"")</f>
        <v/>
      </c>
      <c r="AW76" s="518" t="str">
        <f>IF(AND(_AC3="A-220-100",'2023'!$E$4="CA",'2023'!$E$2=AW43),'2023DATA3'!$F$35,"")</f>
        <v/>
      </c>
      <c r="AX76" s="518" t="str">
        <f>IF(AND(_AC3="A-220-100",'2023'!$E$4="CA",'2023'!$E$2=AX43),'2023DATA3'!$G$35,"")</f>
        <v/>
      </c>
      <c r="AY76" s="518" t="str">
        <f>IF(AND(_AC3="A-220-100",'2023'!$E$4="CA",'2023'!$E$2=AY43),'2023DATA3'!$H$35,"")</f>
        <v/>
      </c>
      <c r="AZ76" s="518" t="str">
        <f>IF(AND(_AC3="A-220-100",'2023'!$E$4="CA",'2023'!$E$2=AZ43),'2023DATA3'!$I$35,"")</f>
        <v/>
      </c>
      <c r="BA76" s="518" t="str">
        <f>IF(AND(_AC3="A-220-100",'2023'!$E$4="CA",'2023'!$E$2=BA43),'2023DATA3'!$J$35,"")</f>
        <v/>
      </c>
      <c r="BB76" s="518" t="str">
        <f>IF(AND(_AC3="A-220-100",'2023'!$E$4="CA",'2023'!$E$2=BB43),'2023DATA3'!$K$35,"")</f>
        <v/>
      </c>
      <c r="BC76" s="518" t="str">
        <f>IF(AND(_AC3="A-220-100",'2023'!$E$4="CA",'2023'!$E$2=BC43),'2023DATA3'!$L$35,"")</f>
        <v/>
      </c>
      <c r="BD76" s="518" t="str">
        <f>IF(AND(_AC3="A-220-100",'2023'!$E$4="CA",'2023'!$E$2=BD43),'2023DATA3'!$M$35,"")</f>
        <v/>
      </c>
      <c r="BE76" s="520" t="str">
        <f>IF(AND(_AC3="A-220-100",'2023'!$E$4="CA",'2023'!$E$2=BE43),'2023DATA3'!$N$35,"")</f>
        <v/>
      </c>
      <c r="BF76" s="940" t="s">
        <v>52</v>
      </c>
      <c r="BG76" s="13" t="s">
        <v>61</v>
      </c>
      <c r="BH76" s="518" t="str">
        <f>IF(AND(_AC4="A-220-100",'2023'!$E$4="CA",'2023'!$E$2=BH43),'2023DATA3'!$C$35,"")</f>
        <v/>
      </c>
      <c r="BI76" s="518" t="str">
        <f>IF(AND(_AC4="A-220-100",'2023'!$E$4="CA",'2023'!$E$2=BI43),'2023DATA3'!$D$35,"")</f>
        <v/>
      </c>
      <c r="BJ76" s="518" t="str">
        <f>IF(AND(_AC4="A-220-100",'2023'!$E$4="CA",'2023'!$E$2=BJ43),'2023DATA3'!$E$35,"")</f>
        <v/>
      </c>
      <c r="BK76" s="518" t="str">
        <f>IF(AND(_AC4="A-220-100",'2023'!$E$4="CA",'2023'!$E$2=BK43),'2023DATA3'!$F$35,"")</f>
        <v/>
      </c>
      <c r="BL76" s="518" t="str">
        <f>IF(AND(_AC4="A-220-100",'2023'!$E$4="CA",'2023'!$E$2=BL43),'2023DATA3'!$G$35,"")</f>
        <v/>
      </c>
      <c r="BM76" s="518" t="str">
        <f>IF(AND(_AC4="A-220-100",'2023'!$E$4="CA",'2023'!$E$2=BM43),'2023DATA3'!$H$35,"")</f>
        <v/>
      </c>
      <c r="BN76" s="518" t="str">
        <f>IF(AND(_AC4="A-220-100",'2023'!$E$4="CA",'2023'!$E$2=BN43),'2023DATA3'!$I$35,"")</f>
        <v/>
      </c>
      <c r="BO76" s="518" t="str">
        <f>IF(AND(_AC4="A-220-100",'2023'!$E$4="CA",'2023'!$E$2=BO43),'2023DATA3'!$J$35,"")</f>
        <v/>
      </c>
      <c r="BP76" s="518" t="str">
        <f>IF(AND(_AC4="A-220-100",'2023'!$E$4="CA",'2023'!$E$2=BP43),'2023DATA3'!$K$35,"")</f>
        <v/>
      </c>
      <c r="BQ76" s="518" t="str">
        <f>IF(AND(_AC4="A-220-100",'2023'!$E$4="CA",'2023'!$E$2=BQ43),'2023DATA3'!$L$35,"")</f>
        <v/>
      </c>
      <c r="BR76" s="518" t="str">
        <f>IF(AND(_AC4="A-220-100",'2023'!$E$4="CA",'2023'!$E$2=BR43),'2023DATA3'!$M$35,"")</f>
        <v/>
      </c>
      <c r="BS76" s="520" t="str">
        <f>IF(AND(_AC4="A-220-100",'2023'!$E$4="CA",'2023'!$E$2=BS43),'2023DATA3'!$N$35,"")</f>
        <v/>
      </c>
      <c r="BT76" s="940" t="s">
        <v>52</v>
      </c>
      <c r="BU76" s="13" t="s">
        <v>61</v>
      </c>
      <c r="BV76" s="518" t="str">
        <f>IF(AND(_AC5="A-220-100",'2023'!$E$4="CA",'2023'!$E$2=BV43),'2023DATA3'!$C$35,"")</f>
        <v/>
      </c>
      <c r="BW76" s="518" t="str">
        <f>IF(AND(_AC5="A-220-100",'2023'!$E$4="CA",'2023'!$E$2=BW43),'2023DATA3'!$D$35,"")</f>
        <v/>
      </c>
      <c r="BX76" s="518" t="str">
        <f>IF(AND(_AC5="A-220-100",'2023'!$E$4="CA",'2023'!$E$2=BX43),'2023DATA3'!$E$35,"")</f>
        <v/>
      </c>
      <c r="BY76" s="518" t="str">
        <f>IF(AND(_AC5="A-220-100",'2023'!$E$4="CA",'2023'!$E$2=BY43),'2023DATA3'!$F$35,"")</f>
        <v/>
      </c>
      <c r="BZ76" s="518" t="str">
        <f>IF(AND(_AC5="A-220-100",'2023'!$E$4="CA",'2023'!$E$2=BZ43),'2023DATA3'!$G$35,"")</f>
        <v/>
      </c>
      <c r="CA76" s="518" t="str">
        <f>IF(AND(_AC5="A-220-100",'2023'!$E$4="CA",'2023'!$E$2=CA43),'2023DATA3'!$H$35,"")</f>
        <v/>
      </c>
      <c r="CB76" s="518" t="str">
        <f>IF(AND(_AC5="A-220-100",'2023'!$E$4="CA",'2023'!$E$2=CB43),'2023DATA3'!$I$35,"")</f>
        <v/>
      </c>
      <c r="CC76" s="518" t="str">
        <f>IF(AND(_AC5="A-220-100",'2023'!$E$4="CA",'2023'!$E$2=CC43),'2023DATA3'!$J$35,"")</f>
        <v/>
      </c>
      <c r="CD76" s="518" t="str">
        <f>IF(AND(_AC5="A-220-100",'2023'!$E$4="CA",'2023'!$E$2=CD43),'2023DATA3'!$K$35,"")</f>
        <v/>
      </c>
      <c r="CE76" s="518" t="str">
        <f>IF(AND(_AC5="A-220-100",'2023'!$E$4="CA",'2023'!$E$2=CE43),'2023DATA3'!$L$35,"")</f>
        <v/>
      </c>
      <c r="CF76" s="518" t="str">
        <f>IF(AND(_AC5="A-220-100",'2023'!$E$4="CA",'2023'!$E$2=CF43),'2023DATA3'!$M$35,"")</f>
        <v/>
      </c>
      <c r="CG76" s="520" t="str">
        <f>IF(AND(_AC5="A-220-100",'2023'!$E$4="CA",'2023'!$E$2=CG43),'2023DATA3'!$N$35,"")</f>
        <v/>
      </c>
      <c r="CH76" s="940" t="s">
        <v>52</v>
      </c>
      <c r="CI76" s="13" t="s">
        <v>61</v>
      </c>
      <c r="CJ76" s="518" t="str">
        <f>IF(AND(_AC6="A-220-100",'2023'!$E$4="CA",'2023'!$E$2=CJ43),'2023DATA3'!$C$35,"")</f>
        <v/>
      </c>
      <c r="CK76" s="518" t="str">
        <f>IF(AND(_AC6="A-220-100",'2023'!$E$4="CA",'2023'!$E$2=CK43),'2023DATA3'!$D$35,"")</f>
        <v/>
      </c>
      <c r="CL76" s="518" t="str">
        <f>IF(AND(_AC6="A-220-100",'2023'!$E$4="CA",'2023'!$E$2=CL43),'2023DATA3'!$E$35,"")</f>
        <v/>
      </c>
      <c r="CM76" s="518" t="str">
        <f>IF(AND(_AC6="A-220-100",'2023'!$E$4="CA",'2023'!$E$2=CM43),'2023DATA3'!$F$35,"")</f>
        <v/>
      </c>
      <c r="CN76" s="518" t="str">
        <f>IF(AND(_AC6="A-220-100",'2023'!$E$4="CA",'2023'!$E$2=CN43),'2023DATA3'!$G$35,"")</f>
        <v/>
      </c>
      <c r="CO76" s="518" t="str">
        <f>IF(AND(_AC6="A-220-100",'2023'!$E$4="CA",'2023'!$E$2=CO43),'2023DATA3'!$H$35,"")</f>
        <v/>
      </c>
      <c r="CP76" s="518" t="str">
        <f>IF(AND(_AC6="A-220-100",'2023'!$E$4="CA",'2023'!$E$2=CP43),'2023DATA3'!$I$35,"")</f>
        <v/>
      </c>
      <c r="CQ76" s="518" t="str">
        <f>IF(AND(_AC6="A-220-100",'2023'!$E$4="CA",'2023'!$E$2=CQ43),'2023DATA3'!$J$35,"")</f>
        <v/>
      </c>
      <c r="CR76" s="518" t="str">
        <f>IF(AND(_AC6="A-220-100",'2023'!$E$4="CA",'2023'!$E$2=CR43),'2023DATA3'!$K$35,"")</f>
        <v/>
      </c>
      <c r="CS76" s="518" t="str">
        <f>IF(AND(_AC6="A-220-100",'2023'!$E$4="CA",'2023'!$E$2=CS43),'2023DATA3'!$L$35,"")</f>
        <v/>
      </c>
      <c r="CT76" s="518" t="str">
        <f>IF(AND(_AC6="A-220-100",'2023'!$E$4="CA",'2023'!$E$2=CT43),'2023DATA3'!$M$35,"")</f>
        <v/>
      </c>
      <c r="CU76" s="520" t="str">
        <f>IF(AND(_AC6="A-220-100",'2023'!$E$4="CA",'2023'!$E$2=CU43),'2023DATA3'!$N$35,"")</f>
        <v/>
      </c>
    </row>
    <row r="77" spans="16:99" x14ac:dyDescent="0.25">
      <c r="P77" s="940"/>
      <c r="Q77" s="13" t="s">
        <v>62</v>
      </c>
      <c r="R77" s="518" t="str">
        <f>IF(AND(_AC1="A-220-100",'2023'!$E$4="FO",'2023'!$E$2=R43),'2023DATA3'!$C$36,"")</f>
        <v/>
      </c>
      <c r="S77" s="518" t="str">
        <f>IF(AND(_AC1="A-220-100",'2023'!$E$4="FO",'2023'!$E$2=S43),'2023DATA3'!$D$36,"")</f>
        <v/>
      </c>
      <c r="T77" s="518" t="str">
        <f>IF(AND(_AC1="A-220-100",'2023'!$E$4="FO",'2023'!$E$2=T43),'2023DATA3'!$E$36,"")</f>
        <v/>
      </c>
      <c r="U77" s="518" t="str">
        <f>IF(AND(_AC1="A-220-100",'2023'!$E$4="FO",'2023'!$E$2=U43),'2023DATA3'!$F$36,"")</f>
        <v/>
      </c>
      <c r="V77" s="518" t="str">
        <f>IF(AND(_AC1="A-220-100",'2023'!$E$4="FO",'2023'!$E$2=V43),'2023DATA3'!$G$36,"")</f>
        <v/>
      </c>
      <c r="W77" s="518" t="str">
        <f>IF(AND(_AC1="A-220-100",'2023'!$E$4="FO",'2023'!$E$2=W43),'2023DATA3'!$H$36,"")</f>
        <v/>
      </c>
      <c r="X77" s="518" t="str">
        <f>IF(AND(_AC1="A-220-100",'2023'!$E$4="FO",'2023'!$E$2=X43),'2023DATA3'!$I$36,"")</f>
        <v/>
      </c>
      <c r="Y77" s="518" t="str">
        <f>IF(AND(_AC1="A-220-100",'2023'!$E$4="FO",'2023'!$E$2=Y43),'2023DATA3'!$J$36,"")</f>
        <v/>
      </c>
      <c r="Z77" s="518" t="str">
        <f>IF(AND(_AC1="A-220-100",'2023'!$E$4="FO",'2023'!$E$2=Z43),'2023DATA3'!$K$36,"")</f>
        <v/>
      </c>
      <c r="AA77" s="518" t="str">
        <f>IF(AND(_AC1="A-220-100",'2023'!$E$4="FO",'2023'!$E$2=AA43),'2023DATA3'!$L$36,"")</f>
        <v/>
      </c>
      <c r="AB77" s="518" t="str">
        <f>IF(AND(_AC1="A-220-100",'2023'!$E$4="FO",'2023'!$E$2=AB43),'2023DATA3'!$M$36,"")</f>
        <v/>
      </c>
      <c r="AC77" s="520" t="str">
        <f>IF(AND(_AC1="A-220-100",'2023'!$E$4="FO",'2023'!$E$2=AC43),'2023DATA3'!$N$36,"")</f>
        <v/>
      </c>
      <c r="AD77" s="940"/>
      <c r="AE77" s="13" t="s">
        <v>62</v>
      </c>
      <c r="AF77" s="518" t="str">
        <f>IF(AND(_AC2="A-220-100",'2023'!$E$4="FO",'2023'!$E$2=AF43),'2023DATA3'!$C$36,"")</f>
        <v/>
      </c>
      <c r="AG77" s="518" t="str">
        <f>IF(AND(_AC2="A-220-100",'2023'!$E$4="FO",'2023'!$E$2=AG43),'2023DATA3'!$D$36,"")</f>
        <v/>
      </c>
      <c r="AH77" s="518" t="str">
        <f>IF(AND(_AC2="A-220-100",'2023'!$E$4="FO",'2023'!$E$2=AH43),'2023DATA3'!$E$36,"")</f>
        <v/>
      </c>
      <c r="AI77" s="518" t="str">
        <f>IF(AND(_AC2="A-220-100",'2023'!$E$4="FO",'2023'!$E$2=AI43),'2023DATA3'!$F$36,"")</f>
        <v/>
      </c>
      <c r="AJ77" s="518" t="str">
        <f>IF(AND(_AC2="A-220-100",'2023'!$E$4="FO",'2023'!$E$2=AJ43),'2023DATA3'!$G$36,"")</f>
        <v/>
      </c>
      <c r="AK77" s="518" t="str">
        <f>IF(AND(_AC2="A-220-100",'2023'!$E$4="FO",'2023'!$E$2=AK43),'2023DATA3'!$H$36,"")</f>
        <v/>
      </c>
      <c r="AL77" s="518" t="str">
        <f>IF(AND(_AC2="A-220-100",'2023'!$E$4="FO",'2023'!$E$2=AL43),'2023DATA3'!$I$36,"")</f>
        <v/>
      </c>
      <c r="AM77" s="518" t="str">
        <f>IF(AND(_AC2="A-220-100",'2023'!$E$4="FO",'2023'!$E$2=AM43),'2023DATA3'!$J$36,"")</f>
        <v/>
      </c>
      <c r="AN77" s="518" t="str">
        <f>IF(AND(_AC2="A-220-100",'2023'!$E$4="FO",'2023'!$E$2=AN43),'2023DATA3'!$K$36,"")</f>
        <v/>
      </c>
      <c r="AO77" s="518" t="str">
        <f>IF(AND(_AC2="A-220-100",'2023'!$E$4="FO",'2023'!$E$2=AO43),'2023DATA3'!$L$36,"")</f>
        <v/>
      </c>
      <c r="AP77" s="518" t="str">
        <f>IF(AND(_AC2="A-220-100",'2023'!$E$4="FO",'2023'!$E$2=AP43),'2023DATA3'!$M$36,"")</f>
        <v/>
      </c>
      <c r="AQ77" s="520" t="str">
        <f>IF(AND(_AC2="A-220-100",'2023'!$E$4="FO",'2023'!$E$2=AQ43),'2023DATA3'!$N$36,"")</f>
        <v/>
      </c>
      <c r="AR77" s="940"/>
      <c r="AS77" s="13" t="s">
        <v>62</v>
      </c>
      <c r="AT77" s="518" t="str">
        <f>IF(AND(_AC3="A-220-100",'2023'!$E$4="FO",'2023'!$E$2=AT43),'2023DATA3'!$C$36,"")</f>
        <v/>
      </c>
      <c r="AU77" s="518" t="str">
        <f>IF(AND(_AC3="A-220-100",'2023'!$E$4="FO",'2023'!$E$2=AU43),'2023DATA3'!$D$36,"")</f>
        <v/>
      </c>
      <c r="AV77" s="518" t="str">
        <f>IF(AND(_AC3="A-220-100",'2023'!$E$4="FO",'2023'!$E$2=AV43),'2023DATA3'!$E$36,"")</f>
        <v/>
      </c>
      <c r="AW77" s="518" t="str">
        <f>IF(AND(_AC3="A-220-100",'2023'!$E$4="FO",'2023'!$E$2=AW43),'2023DATA3'!$F$36,"")</f>
        <v/>
      </c>
      <c r="AX77" s="518" t="str">
        <f>IF(AND(_AC3="A-220-100",'2023'!$E$4="FO",'2023'!$E$2=AX43),'2023DATA3'!$G$36,"")</f>
        <v/>
      </c>
      <c r="AY77" s="518" t="str">
        <f>IF(AND(_AC3="A-220-100",'2023'!$E$4="FO",'2023'!$E$2=AY43),'2023DATA3'!$H$36,"")</f>
        <v/>
      </c>
      <c r="AZ77" s="518" t="str">
        <f>IF(AND(_AC3="A-220-100",'2023'!$E$4="FO",'2023'!$E$2=AZ43),'2023DATA3'!$I$36,"")</f>
        <v/>
      </c>
      <c r="BA77" s="518" t="str">
        <f>IF(AND(_AC3="A-220-100",'2023'!$E$4="FO",'2023'!$E$2=BA43),'2023DATA3'!$J$36,"")</f>
        <v/>
      </c>
      <c r="BB77" s="518" t="str">
        <f>IF(AND(_AC3="A-220-100",'2023'!$E$4="FO",'2023'!$E$2=BB43),'2023DATA3'!$K$36,"")</f>
        <v/>
      </c>
      <c r="BC77" s="518" t="str">
        <f>IF(AND(_AC3="A-220-100",'2023'!$E$4="FO",'2023'!$E$2=BC43),'2023DATA3'!$L$36,"")</f>
        <v/>
      </c>
      <c r="BD77" s="518" t="str">
        <f>IF(AND(_AC3="A-220-100",'2023'!$E$4="FO",'2023'!$E$2=BD43),'2023DATA3'!$M$36,"")</f>
        <v/>
      </c>
      <c r="BE77" s="520" t="str">
        <f>IF(AND(_AC3="A-220-100",'2023'!$E$4="FO",'2023'!$E$2=BE43),'2023DATA3'!$N$36,"")</f>
        <v/>
      </c>
      <c r="BF77" s="940"/>
      <c r="BG77" s="13" t="s">
        <v>62</v>
      </c>
      <c r="BH77" s="518" t="str">
        <f>IF(AND(_AC4="A-220-100",'2023'!$E$4="FO",'2023'!$E$2=BH43),'2023DATA3'!$C$36,"")</f>
        <v/>
      </c>
      <c r="BI77" s="518" t="str">
        <f>IF(AND(_AC4="A-220-100",'2023'!$E$4="FO",'2023'!$E$2=BI43),'2023DATA3'!$D$36,"")</f>
        <v/>
      </c>
      <c r="BJ77" s="518" t="str">
        <f>IF(AND(_AC4="A-220-100",'2023'!$E$4="FO",'2023'!$E$2=BJ43),'2023DATA3'!$E$36,"")</f>
        <v/>
      </c>
      <c r="BK77" s="518" t="str">
        <f>IF(AND(_AC4="A-220-100",'2023'!$E$4="FO",'2023'!$E$2=BK43),'2023DATA3'!$F$36,"")</f>
        <v/>
      </c>
      <c r="BL77" s="518" t="str">
        <f>IF(AND(_AC4="A-220-100",'2023'!$E$4="FO",'2023'!$E$2=BL43),'2023DATA3'!$G$36,"")</f>
        <v/>
      </c>
      <c r="BM77" s="518" t="str">
        <f>IF(AND(_AC4="A-220-100",'2023'!$E$4="FO",'2023'!$E$2=BM43),'2023DATA3'!$H$36,"")</f>
        <v/>
      </c>
      <c r="BN77" s="518" t="str">
        <f>IF(AND(_AC4="A-220-100",'2023'!$E$4="FO",'2023'!$E$2=BN43),'2023DATA3'!$I$36,"")</f>
        <v/>
      </c>
      <c r="BO77" s="518" t="str">
        <f>IF(AND(_AC4="A-220-100",'2023'!$E$4="FO",'2023'!$E$2=BO43),'2023DATA3'!$J$36,"")</f>
        <v/>
      </c>
      <c r="BP77" s="518" t="str">
        <f>IF(AND(_AC4="A-220-100",'2023'!$E$4="FO",'2023'!$E$2=BP43),'2023DATA3'!$K$36,"")</f>
        <v/>
      </c>
      <c r="BQ77" s="518" t="str">
        <f>IF(AND(_AC4="A-220-100",'2023'!$E$4="FO",'2023'!$E$2=BQ43),'2023DATA3'!$L$36,"")</f>
        <v/>
      </c>
      <c r="BR77" s="518" t="str">
        <f>IF(AND(_AC4="A-220-100",'2023'!$E$4="FO",'2023'!$E$2=BR43),'2023DATA3'!$M$36,"")</f>
        <v/>
      </c>
      <c r="BS77" s="520" t="str">
        <f>IF(AND(_AC4="A-220-100",'2023'!$E$4="FO",'2023'!$E$2=BS43),'2023DATA3'!$N$36,"")</f>
        <v/>
      </c>
      <c r="BT77" s="940"/>
      <c r="BU77" s="13" t="s">
        <v>62</v>
      </c>
      <c r="BV77" s="518" t="str">
        <f>IF(AND(_AC5="A-220-100",'2023'!$E$4="FO",'2023'!$E$2=BV43),'2023DATA3'!$C$36,"")</f>
        <v/>
      </c>
      <c r="BW77" s="518" t="str">
        <f>IF(AND(_AC5="A-220-100",'2023'!$E$4="FO",'2023'!$E$2=BW43),'2023DATA3'!$D$36,"")</f>
        <v/>
      </c>
      <c r="BX77" s="518" t="str">
        <f>IF(AND(_AC5="A-220-100",'2023'!$E$4="FO",'2023'!$E$2=BX43),'2023DATA3'!$E$36,"")</f>
        <v/>
      </c>
      <c r="BY77" s="518" t="str">
        <f>IF(AND(_AC5="A-220-100",'2023'!$E$4="FO",'2023'!$E$2=BY43),'2023DATA3'!$F$36,"")</f>
        <v/>
      </c>
      <c r="BZ77" s="518" t="str">
        <f>IF(AND(_AC5="A-220-100",'2023'!$E$4="FO",'2023'!$E$2=BZ43),'2023DATA3'!$G$36,"")</f>
        <v/>
      </c>
      <c r="CA77" s="518" t="str">
        <f>IF(AND(_AC5="A-220-100",'2023'!$E$4="FO",'2023'!$E$2=CA43),'2023DATA3'!$H$36,"")</f>
        <v/>
      </c>
      <c r="CB77" s="518" t="str">
        <f>IF(AND(_AC5="A-220-100",'2023'!$E$4="FO",'2023'!$E$2=CB43),'2023DATA3'!$I$36,"")</f>
        <v/>
      </c>
      <c r="CC77" s="518" t="str">
        <f>IF(AND(_AC5="A-220-100",'2023'!$E$4="FO",'2023'!$E$2=CC43),'2023DATA3'!$J$36,"")</f>
        <v/>
      </c>
      <c r="CD77" s="518" t="str">
        <f>IF(AND(_AC5="A-220-100",'2023'!$E$4="FO",'2023'!$E$2=CD43),'2023DATA3'!$K$36,"")</f>
        <v/>
      </c>
      <c r="CE77" s="518" t="str">
        <f>IF(AND(_AC5="A-220-100",'2023'!$E$4="FO",'2023'!$E$2=CE43),'2023DATA3'!$L$36,"")</f>
        <v/>
      </c>
      <c r="CF77" s="518" t="str">
        <f>IF(AND(_AC5="A-220-100",'2023'!$E$4="FO",'2023'!$E$2=CF43),'2023DATA3'!$M$36,"")</f>
        <v/>
      </c>
      <c r="CG77" s="520" t="str">
        <f>IF(AND(_AC5="A-220-100",'2023'!$E$4="FO",'2023'!$E$2=CG43),'2023DATA3'!$N$36,"")</f>
        <v/>
      </c>
      <c r="CH77" s="940"/>
      <c r="CI77" s="13" t="s">
        <v>62</v>
      </c>
      <c r="CJ77" s="518" t="str">
        <f>IF(AND(_AC6="A-220-100",'2023'!$E$4="FO",'2023'!$E$2=CJ43),'2023DATA3'!$C$36,"")</f>
        <v/>
      </c>
      <c r="CK77" s="518" t="str">
        <f>IF(AND(_AC6="A-220-100",'2023'!$E$4="FO",'2023'!$E$2=CK43),'2023DATA3'!$D$36,"")</f>
        <v/>
      </c>
      <c r="CL77" s="518" t="str">
        <f>IF(AND(_AC6="A-220-100",'2023'!$E$4="FO",'2023'!$E$2=CL43),'2023DATA3'!$E$36,"")</f>
        <v/>
      </c>
      <c r="CM77" s="518" t="str">
        <f>IF(AND(_AC6="A-220-100",'2023'!$E$4="FO",'2023'!$E$2=CM43),'2023DATA3'!$F$36,"")</f>
        <v/>
      </c>
      <c r="CN77" s="518" t="str">
        <f>IF(AND(_AC6="A-220-100",'2023'!$E$4="FO",'2023'!$E$2=CN43),'2023DATA3'!$G$36,"")</f>
        <v/>
      </c>
      <c r="CO77" s="518" t="str">
        <f>IF(AND(_AC6="A-220-100",'2023'!$E$4="FO",'2023'!$E$2=CO43),'2023DATA3'!$H$36,"")</f>
        <v/>
      </c>
      <c r="CP77" s="518" t="str">
        <f>IF(AND(_AC6="A-220-100",'2023'!$E$4="FO",'2023'!$E$2=CP43),'2023DATA3'!$I$36,"")</f>
        <v/>
      </c>
      <c r="CQ77" s="518" t="str">
        <f>IF(AND(_AC6="A-220-100",'2023'!$E$4="FO",'2023'!$E$2=CQ43),'2023DATA3'!$J$36,"")</f>
        <v/>
      </c>
      <c r="CR77" s="518" t="str">
        <f>IF(AND(_AC6="A-220-100",'2023'!$E$4="FO",'2023'!$E$2=CR43),'2023DATA3'!$K$36,"")</f>
        <v/>
      </c>
      <c r="CS77" s="518" t="str">
        <f>IF(AND(_AC6="A-220-100",'2023'!$E$4="FO",'2023'!$E$2=CS43),'2023DATA3'!$L$36,"")</f>
        <v/>
      </c>
      <c r="CT77" s="518" t="str">
        <f>IF(AND(_AC6="A-220-100",'2023'!$E$4="FO",'2023'!$E$2=CT43),'2023DATA3'!$M$36,"")</f>
        <v/>
      </c>
      <c r="CU77" s="520" t="str">
        <f>IF(AND(_AC6="A-220-100",'2023'!$E$4="FO",'2023'!$E$2=CU43),'2023DATA3'!$N$36,"")</f>
        <v/>
      </c>
    </row>
    <row r="78" spans="16:99" x14ac:dyDescent="0.25">
      <c r="P78" s="940" t="s">
        <v>53</v>
      </c>
      <c r="Q78" s="13" t="s">
        <v>61</v>
      </c>
      <c r="R78" s="518" t="str">
        <f>IF(AND(_AC1="B-717",'2023'!$E$4="CA",'2023'!$E$2=R43),'2023DATA3'!$C$37,"")</f>
        <v/>
      </c>
      <c r="S78" s="518" t="str">
        <f>IF(AND(_AC1="B-717",'2023'!$E$4="CA",'2023'!$E$2=S43),'2023DATA3'!$D$37,"")</f>
        <v/>
      </c>
      <c r="T78" s="518" t="str">
        <f>IF(AND(_AC1="B-717",'2023'!$E$4="CA",'2023'!$E$2=T43),'2023DATA3'!$E$37,"")</f>
        <v/>
      </c>
      <c r="U78" s="518" t="str">
        <f>IF(AND(_AC1="B-717",'2023'!$E$4="CA",'2023'!$E$2=U43),'2023DATA3'!$F$37,"")</f>
        <v/>
      </c>
      <c r="V78" s="518" t="str">
        <f>IF(AND(_AC1="B-717",'2023'!$E$4="CA",'2023'!$E$2=V43),'2023DATA3'!$G$37,"")</f>
        <v/>
      </c>
      <c r="W78" s="518" t="str">
        <f>IF(AND(_AC1="B-717",'2023'!$E$4="CA",'2023'!$E$2=W43),'2023DATA3'!$H$37,"")</f>
        <v/>
      </c>
      <c r="X78" s="518" t="str">
        <f>IF(AND(_AC1="B-717",'2023'!$E$4="CA",'2023'!$E$2=X43),'2023DATA3'!$I$37,"")</f>
        <v/>
      </c>
      <c r="Y78" s="518" t="str">
        <f>IF(AND(_AC1="B-717",'2023'!$E$4="CA",'2023'!$E$2=Y43),'2023DATA3'!$J$37,"")</f>
        <v/>
      </c>
      <c r="Z78" s="518" t="str">
        <f>IF(AND(_AC1="B-717",'2023'!$E$4="CA",'2023'!$E$2=Z43),'2023DATA3'!$K$37,"")</f>
        <v/>
      </c>
      <c r="AA78" s="518" t="str">
        <f>IF(AND(_AC1="B-717",'2023'!$E$4="CA",'2023'!$E$2=AA43),'2023DATA3'!$L$37,"")</f>
        <v/>
      </c>
      <c r="AB78" s="518" t="str">
        <f>IF(AND(_AC1="B-717",'2023'!$E$4="CA",'2023'!$E$2=AB43),'2023DATA3'!$M$37,"")</f>
        <v/>
      </c>
      <c r="AC78" s="520" t="str">
        <f>IF(AND(_AC1="B-717",'2023'!$E$4="CA",'2023'!$E$2=AC43),'2023DATA3'!$N$37,"")</f>
        <v/>
      </c>
      <c r="AD78" s="940" t="s">
        <v>53</v>
      </c>
      <c r="AE78" s="13" t="s">
        <v>61</v>
      </c>
      <c r="AF78" s="518" t="str">
        <f>IF(AND(_AC2="B-717",'2023'!$E$4="CA",'2023'!$E$2=AF43),'2023DATA3'!$C$37,"")</f>
        <v/>
      </c>
      <c r="AG78" s="518" t="str">
        <f>IF(AND(_AC2="B-717",'2023'!$E$4="CA",'2023'!$E$2=AG43),'2023DATA3'!$D$37,"")</f>
        <v/>
      </c>
      <c r="AH78" s="518" t="str">
        <f>IF(AND(_AC2="B-717",'2023'!$E$4="CA",'2023'!$E$2=AH43),'2023DATA3'!$E$37,"")</f>
        <v/>
      </c>
      <c r="AI78" s="518" t="str">
        <f>IF(AND(_AC2="B-717",'2023'!$E$4="CA",'2023'!$E$2=AI43),'2023DATA3'!$F$37,"")</f>
        <v/>
      </c>
      <c r="AJ78" s="518" t="str">
        <f>IF(AND(_AC2="B-717",'2023'!$E$4="CA",'2023'!$E$2=AJ43),'2023DATA3'!$G$37,"")</f>
        <v/>
      </c>
      <c r="AK78" s="518" t="str">
        <f>IF(AND(_AC2="B-717",'2023'!$E$4="CA",'2023'!$E$2=AK43),'2023DATA3'!$H$37,"")</f>
        <v/>
      </c>
      <c r="AL78" s="518" t="str">
        <f>IF(AND(_AC2="B-717",'2023'!$E$4="CA",'2023'!$E$2=AL43),'2023DATA3'!$I$37,"")</f>
        <v/>
      </c>
      <c r="AM78" s="518" t="str">
        <f>IF(AND(_AC2="B-717",'2023'!$E$4="CA",'2023'!$E$2=AM43),'2023DATA3'!$J$37,"")</f>
        <v/>
      </c>
      <c r="AN78" s="518" t="str">
        <f>IF(AND(_AC2="B-717",'2023'!$E$4="CA",'2023'!$E$2=AN43),'2023DATA3'!$K$37,"")</f>
        <v/>
      </c>
      <c r="AO78" s="518" t="str">
        <f>IF(AND(_AC2="B-717",'2023'!$E$4="CA",'2023'!$E$2=AO43),'2023DATA3'!$L$37,"")</f>
        <v/>
      </c>
      <c r="AP78" s="518" t="str">
        <f>IF(AND(_AC2="B-717",'2023'!$E$4="CA",'2023'!$E$2=AP43),'2023DATA3'!$M$37,"")</f>
        <v/>
      </c>
      <c r="AQ78" s="520" t="str">
        <f>IF(AND(_AC2="B-717",'2023'!$E$4="CA",'2023'!$E$2=AQ43),'2023DATA3'!$N$37,"")</f>
        <v/>
      </c>
      <c r="AR78" s="940" t="s">
        <v>53</v>
      </c>
      <c r="AS78" s="13" t="s">
        <v>61</v>
      </c>
      <c r="AT78" s="518" t="str">
        <f>IF(AND(_AC3="B-717",'2023'!$E$4="CA",'2023'!$E$2=AT43),'2023DATA3'!$C$37,"")</f>
        <v/>
      </c>
      <c r="AU78" s="518" t="str">
        <f>IF(AND(_AC3="B-717",'2023'!$E$4="CA",'2023'!$E$2=AU43),'2023DATA3'!$D$37,"")</f>
        <v/>
      </c>
      <c r="AV78" s="518" t="str">
        <f>IF(AND(_AC3="B-717",'2023'!$E$4="CA",'2023'!$E$2=AV43),'2023DATA3'!$E$37,"")</f>
        <v/>
      </c>
      <c r="AW78" s="518" t="str">
        <f>IF(AND(_AC3="B-717",'2023'!$E$4="CA",'2023'!$E$2=AW43),'2023DATA3'!$F$37,"")</f>
        <v/>
      </c>
      <c r="AX78" s="518" t="str">
        <f>IF(AND(_AC3="B-717",'2023'!$E$4="CA",'2023'!$E$2=AX43),'2023DATA3'!$G$37,"")</f>
        <v/>
      </c>
      <c r="AY78" s="518" t="str">
        <f>IF(AND(_AC3="B-717",'2023'!$E$4="CA",'2023'!$E$2=AY43),'2023DATA3'!$H$37,"")</f>
        <v/>
      </c>
      <c r="AZ78" s="518" t="str">
        <f>IF(AND(_AC3="B-717",'2023'!$E$4="CA",'2023'!$E$2=AZ43),'2023DATA3'!$I$37,"")</f>
        <v/>
      </c>
      <c r="BA78" s="518" t="str">
        <f>IF(AND(_AC3="B-717",'2023'!$E$4="CA",'2023'!$E$2=BA43),'2023DATA3'!$J$37,"")</f>
        <v/>
      </c>
      <c r="BB78" s="518" t="str">
        <f>IF(AND(_AC3="B-717",'2023'!$E$4="CA",'2023'!$E$2=BB43),'2023DATA3'!$K$37,"")</f>
        <v/>
      </c>
      <c r="BC78" s="518" t="str">
        <f>IF(AND(_AC3="B-717",'2023'!$E$4="CA",'2023'!$E$2=BC43),'2023DATA3'!$L$37,"")</f>
        <v/>
      </c>
      <c r="BD78" s="518" t="str">
        <f>IF(AND(_AC3="B-717",'2023'!$E$4="CA",'2023'!$E$2=BD43),'2023DATA3'!$M$37,"")</f>
        <v/>
      </c>
      <c r="BE78" s="520" t="str">
        <f>IF(AND(_AC3="B-717",'2023'!$E$4="CA",'2023'!$E$2=BE43),'2023DATA3'!$N$37,"")</f>
        <v/>
      </c>
      <c r="BF78" s="940" t="s">
        <v>53</v>
      </c>
      <c r="BG78" s="13" t="s">
        <v>61</v>
      </c>
      <c r="BH78" s="518" t="str">
        <f>IF(AND(_AC4="B-717",'2023'!$E$4="CA",'2023'!$E$2=BH43),'2023DATA3'!$C$37,"")</f>
        <v/>
      </c>
      <c r="BI78" s="518" t="str">
        <f>IF(AND(_AC4="B-717",'2023'!$E$4="CA",'2023'!$E$2=BI43),'2023DATA3'!$D$37,"")</f>
        <v/>
      </c>
      <c r="BJ78" s="518" t="str">
        <f>IF(AND(_AC4="B-717",'2023'!$E$4="CA",'2023'!$E$2=BJ43),'2023DATA3'!$E$37,"")</f>
        <v/>
      </c>
      <c r="BK78" s="518" t="str">
        <f>IF(AND(_AC4="B-717",'2023'!$E$4="CA",'2023'!$E$2=BK43),'2023DATA3'!$F$37,"")</f>
        <v/>
      </c>
      <c r="BL78" s="518" t="str">
        <f>IF(AND(_AC4="B-717",'2023'!$E$4="CA",'2023'!$E$2=BL43),'2023DATA3'!$G$37,"")</f>
        <v/>
      </c>
      <c r="BM78" s="518" t="str">
        <f>IF(AND(_AC4="B-717",'2023'!$E$4="CA",'2023'!$E$2=BM43),'2023DATA3'!$H$37,"")</f>
        <v/>
      </c>
      <c r="BN78" s="518" t="str">
        <f>IF(AND(_AC4="B-717",'2023'!$E$4="CA",'2023'!$E$2=BN43),'2023DATA3'!$I$37,"")</f>
        <v/>
      </c>
      <c r="BO78" s="518" t="str">
        <f>IF(AND(_AC4="B-717",'2023'!$E$4="CA",'2023'!$E$2=BO43),'2023DATA3'!$J$37,"")</f>
        <v/>
      </c>
      <c r="BP78" s="518" t="str">
        <f>IF(AND(_AC4="B-717",'2023'!$E$4="CA",'2023'!$E$2=BP43),'2023DATA3'!$K$37,"")</f>
        <v/>
      </c>
      <c r="BQ78" s="518" t="str">
        <f>IF(AND(_AC4="B-717",'2023'!$E$4="CA",'2023'!$E$2=BQ43),'2023DATA3'!$L$37,"")</f>
        <v/>
      </c>
      <c r="BR78" s="518" t="str">
        <f>IF(AND(_AC4="B-717",'2023'!$E$4="CA",'2023'!$E$2=BR43),'2023DATA3'!$M$37,"")</f>
        <v/>
      </c>
      <c r="BS78" s="520" t="str">
        <f>IF(AND(_AC4="B-717",'2023'!$E$4="CA",'2023'!$E$2=BS43),'2023DATA3'!$N$37,"")</f>
        <v/>
      </c>
      <c r="BT78" s="940" t="s">
        <v>53</v>
      </c>
      <c r="BU78" s="13" t="s">
        <v>61</v>
      </c>
      <c r="BV78" s="518" t="str">
        <f>IF(AND(_AC5="B-717",'2023'!$E$4="CA",'2023'!$E$2=BV43),'2023DATA3'!$C$37,"")</f>
        <v/>
      </c>
      <c r="BW78" s="518" t="str">
        <f>IF(AND(_AC5="B-717",'2023'!$E$4="CA",'2023'!$E$2=BW43),'2023DATA3'!$D$37,"")</f>
        <v/>
      </c>
      <c r="BX78" s="518" t="str">
        <f>IF(AND(_AC5="B-717",'2023'!$E$4="CA",'2023'!$E$2=BX43),'2023DATA3'!$E$37,"")</f>
        <v/>
      </c>
      <c r="BY78" s="518" t="str">
        <f>IF(AND(_AC5="B-717",'2023'!$E$4="CA",'2023'!$E$2=BY43),'2023DATA3'!$F$37,"")</f>
        <v/>
      </c>
      <c r="BZ78" s="518" t="str">
        <f>IF(AND(_AC5="B-717",'2023'!$E$4="CA",'2023'!$E$2=BZ43),'2023DATA3'!$G$37,"")</f>
        <v/>
      </c>
      <c r="CA78" s="518" t="str">
        <f>IF(AND(_AC5="B-717",'2023'!$E$4="CA",'2023'!$E$2=CA43),'2023DATA3'!$H$37,"")</f>
        <v/>
      </c>
      <c r="CB78" s="518" t="str">
        <f>IF(AND(_AC5="B-717",'2023'!$E$4="CA",'2023'!$E$2=CB43),'2023DATA3'!$I$37,"")</f>
        <v/>
      </c>
      <c r="CC78" s="518" t="str">
        <f>IF(AND(_AC5="B-717",'2023'!$E$4="CA",'2023'!$E$2=CC43),'2023DATA3'!$J$37,"")</f>
        <v/>
      </c>
      <c r="CD78" s="518" t="str">
        <f>IF(AND(_AC5="B-717",'2023'!$E$4="CA",'2023'!$E$2=CD43),'2023DATA3'!$K$37,"")</f>
        <v/>
      </c>
      <c r="CE78" s="518" t="str">
        <f>IF(AND(_AC5="B-717",'2023'!$E$4="CA",'2023'!$E$2=CE43),'2023DATA3'!$L$37,"")</f>
        <v/>
      </c>
      <c r="CF78" s="518" t="str">
        <f>IF(AND(_AC5="B-717",'2023'!$E$4="CA",'2023'!$E$2=CF43),'2023DATA3'!$M$37,"")</f>
        <v/>
      </c>
      <c r="CG78" s="520" t="str">
        <f>IF(AND(_AC5="B-717",'2023'!$E$4="CA",'2023'!$E$2=CG43),'2023DATA3'!$N$37,"")</f>
        <v/>
      </c>
      <c r="CH78" s="940" t="s">
        <v>53</v>
      </c>
      <c r="CI78" s="13" t="s">
        <v>61</v>
      </c>
      <c r="CJ78" s="518" t="str">
        <f>IF(AND(_AC6="B-717",'2023'!$E$4="CA",'2023'!$E$2=CJ43),'2023DATA3'!$C$37,"")</f>
        <v/>
      </c>
      <c r="CK78" s="518" t="str">
        <f>IF(AND(_AC6="B-717",'2023'!$E$4="CA",'2023'!$E$2=CK43),'2023DATA3'!$D$37,"")</f>
        <v/>
      </c>
      <c r="CL78" s="518" t="str">
        <f>IF(AND(_AC6="B-717",'2023'!$E$4="CA",'2023'!$E$2=CL43),'2023DATA3'!$E$37,"")</f>
        <v/>
      </c>
      <c r="CM78" s="518" t="str">
        <f>IF(AND(_AC6="B-717",'2023'!$E$4="CA",'2023'!$E$2=CM43),'2023DATA3'!$F$37,"")</f>
        <v/>
      </c>
      <c r="CN78" s="518" t="str">
        <f>IF(AND(_AC6="B-717",'2023'!$E$4="CA",'2023'!$E$2=CN43),'2023DATA3'!$G$37,"")</f>
        <v/>
      </c>
      <c r="CO78" s="518" t="str">
        <f>IF(AND(_AC6="B-717",'2023'!$E$4="CA",'2023'!$E$2=CO43),'2023DATA3'!$H$37,"")</f>
        <v/>
      </c>
      <c r="CP78" s="518" t="str">
        <f>IF(AND(_AC6="B-717",'2023'!$E$4="CA",'2023'!$E$2=CP43),'2023DATA3'!$I$37,"")</f>
        <v/>
      </c>
      <c r="CQ78" s="518" t="str">
        <f>IF(AND(_AC6="B-717",'2023'!$E$4="CA",'2023'!$E$2=CQ43),'2023DATA3'!$J$37,"")</f>
        <v/>
      </c>
      <c r="CR78" s="518" t="str">
        <f>IF(AND(_AC6="B-717",'2023'!$E$4="CA",'2023'!$E$2=CR43),'2023DATA3'!$K$37,"")</f>
        <v/>
      </c>
      <c r="CS78" s="518" t="str">
        <f>IF(AND(_AC6="B-717",'2023'!$E$4="CA",'2023'!$E$2=CS43),'2023DATA3'!$L$37,"")</f>
        <v/>
      </c>
      <c r="CT78" s="518" t="str">
        <f>IF(AND(_AC6="B-717",'2023'!$E$4="CA",'2023'!$E$2=CT43),'2023DATA3'!$M$37,"")</f>
        <v/>
      </c>
      <c r="CU78" s="520" t="str">
        <f>IF(AND(_AC6="B-717",'2023'!$E$4="CA",'2023'!$E$2=CU43),'2023DATA3'!$N$37,"")</f>
        <v/>
      </c>
    </row>
    <row r="79" spans="16:99" x14ac:dyDescent="0.25">
      <c r="P79" s="940"/>
      <c r="Q79" s="13" t="s">
        <v>62</v>
      </c>
      <c r="R79" s="518" t="str">
        <f>IF(AND(_AC1="B-717",'2023'!$E$4="FO",'2023'!$E$2=R43),'2023DATA3'!$C$38,"")</f>
        <v/>
      </c>
      <c r="S79" s="518" t="str">
        <f>IF(AND(_AC1="B-717",'2023'!$E$4="FO",'2023'!$E$2=S43),'2023DATA3'!$D$38,"")</f>
        <v/>
      </c>
      <c r="T79" s="518" t="str">
        <f>IF(AND(_AC1="B-717",'2023'!$E$4="FO",'2023'!$E$2=T43),'2023DATA3'!$E$38,"")</f>
        <v/>
      </c>
      <c r="U79" s="518" t="str">
        <f>IF(AND(_AC1="B-717",'2023'!$E$4="FO",'2023'!$E$2=U43),'2023DATA3'!$F$38,"")</f>
        <v/>
      </c>
      <c r="V79" s="518" t="str">
        <f>IF(AND(_AC1="B-717",'2023'!$E$4="FO",'2023'!$E$2=V43),'2023DATA3'!$G$38,"")</f>
        <v/>
      </c>
      <c r="W79" s="518" t="str">
        <f>IF(AND(_AC1="B-717",'2023'!$E$4="FO",'2023'!$E$2=W43),'2023DATA3'!$H$38,"")</f>
        <v/>
      </c>
      <c r="X79" s="518" t="str">
        <f>IF(AND(_AC1="B-717",'2023'!$E$4="FO",'2023'!$E$2=X43),'2023DATA3'!$I$38,"")</f>
        <v/>
      </c>
      <c r="Y79" s="518" t="str">
        <f>IF(AND(_AC1="B-717",'2023'!$E$4="FO",'2023'!$E$2=Y43),'2023DATA3'!$J$38,"")</f>
        <v/>
      </c>
      <c r="Z79" s="518" t="str">
        <f>IF(AND(_AC1="B-717",'2023'!$E$4="FO",'2023'!$E$2=Z43),'2023DATA3'!$K$38,"")</f>
        <v/>
      </c>
      <c r="AA79" s="518" t="str">
        <f>IF(AND(_AC1="B-717",'2023'!$E$4="FO",'2023'!$E$2=AA43),'2023DATA3'!$L$38,"")</f>
        <v/>
      </c>
      <c r="AB79" s="518" t="str">
        <f>IF(AND(_AC1="B-717",'2023'!$E$4="FO",'2023'!$E$2=AB43),'2023DATA3'!$M$38,"")</f>
        <v/>
      </c>
      <c r="AC79" s="520" t="str">
        <f>IF(AND(_AC1="B-717",'2023'!$E$4="FO",'2023'!$E$2=AC43),'2023DATA3'!$N$38,"")</f>
        <v/>
      </c>
      <c r="AD79" s="940"/>
      <c r="AE79" s="13" t="s">
        <v>62</v>
      </c>
      <c r="AF79" s="518" t="str">
        <f>IF(AND(_AC2="B-717",'2023'!$E$4="FO",'2023'!$E$2=AF43),'2023DATA3'!$C$38,"")</f>
        <v/>
      </c>
      <c r="AG79" s="518" t="str">
        <f>IF(AND(_AC2="B-717",'2023'!$E$4="FO",'2023'!$E$2=AG43),'2023DATA3'!$D$38,"")</f>
        <v/>
      </c>
      <c r="AH79" s="518" t="str">
        <f>IF(AND(_AC2="B-717",'2023'!$E$4="FO",'2023'!$E$2=AH43),'2023DATA3'!$E$38,"")</f>
        <v/>
      </c>
      <c r="AI79" s="518" t="str">
        <f>IF(AND(_AC2="B-717",'2023'!$E$4="FO",'2023'!$E$2=AI43),'2023DATA3'!$F$38,"")</f>
        <v/>
      </c>
      <c r="AJ79" s="518" t="str">
        <f>IF(AND(_AC2="B-717",'2023'!$E$4="FO",'2023'!$E$2=AJ43),'2023DATA3'!$G$38,"")</f>
        <v/>
      </c>
      <c r="AK79" s="518" t="str">
        <f>IF(AND(_AC2="B-717",'2023'!$E$4="FO",'2023'!$E$2=AK43),'2023DATA3'!$H$38,"")</f>
        <v/>
      </c>
      <c r="AL79" s="518" t="str">
        <f>IF(AND(_AC2="B-717",'2023'!$E$4="FO",'2023'!$E$2=AL43),'2023DATA3'!$I$38,"")</f>
        <v/>
      </c>
      <c r="AM79" s="518" t="str">
        <f>IF(AND(_AC2="B-717",'2023'!$E$4="FO",'2023'!$E$2=AM43),'2023DATA3'!$J$38,"")</f>
        <v/>
      </c>
      <c r="AN79" s="518" t="str">
        <f>IF(AND(_AC2="B-717",'2023'!$E$4="FO",'2023'!$E$2=AN43),'2023DATA3'!$K$38,"")</f>
        <v/>
      </c>
      <c r="AO79" s="518" t="str">
        <f>IF(AND(_AC2="B-717",'2023'!$E$4="FO",'2023'!$E$2=AO43),'2023DATA3'!$L$38,"")</f>
        <v/>
      </c>
      <c r="AP79" s="518" t="str">
        <f>IF(AND(_AC2="B-717",'2023'!$E$4="FO",'2023'!$E$2=AP43),'2023DATA3'!$M$38,"")</f>
        <v/>
      </c>
      <c r="AQ79" s="520" t="str">
        <f>IF(AND(_AC2="B-717",'2023'!$E$4="FO",'2023'!$E$2=AQ43),'2023DATA3'!$N$38,"")</f>
        <v/>
      </c>
      <c r="AR79" s="940"/>
      <c r="AS79" s="13" t="s">
        <v>62</v>
      </c>
      <c r="AT79" s="518" t="str">
        <f>IF(AND(_AC3="B-717",'2023'!$E$4="FO",'2023'!$E$2=AT43),'2023DATA3'!$C$38,"")</f>
        <v/>
      </c>
      <c r="AU79" s="518" t="str">
        <f>IF(AND(_AC3="B-717",'2023'!$E$4="FO",'2023'!$E$2=AU43),'2023DATA3'!$D$38,"")</f>
        <v/>
      </c>
      <c r="AV79" s="518" t="str">
        <f>IF(AND(_AC3="B-717",'2023'!$E$4="FO",'2023'!$E$2=AV43),'2023DATA3'!$E$38,"")</f>
        <v/>
      </c>
      <c r="AW79" s="518" t="str">
        <f>IF(AND(_AC3="B-717",'2023'!$E$4="FO",'2023'!$E$2=AW43),'2023DATA3'!$F$38,"")</f>
        <v/>
      </c>
      <c r="AX79" s="518" t="str">
        <f>IF(AND(_AC3="B-717",'2023'!$E$4="FO",'2023'!$E$2=AX43),'2023DATA3'!$G$38,"")</f>
        <v/>
      </c>
      <c r="AY79" s="518" t="str">
        <f>IF(AND(_AC3="B-717",'2023'!$E$4="FO",'2023'!$E$2=AY43),'2023DATA3'!$H$38,"")</f>
        <v/>
      </c>
      <c r="AZ79" s="518" t="str">
        <f>IF(AND(_AC3="B-717",'2023'!$E$4="FO",'2023'!$E$2=AZ43),'2023DATA3'!$I$38,"")</f>
        <v/>
      </c>
      <c r="BA79" s="518" t="str">
        <f>IF(AND(_AC3="B-717",'2023'!$E$4="FO",'2023'!$E$2=BA43),'2023DATA3'!$J$38,"")</f>
        <v/>
      </c>
      <c r="BB79" s="518" t="str">
        <f>IF(AND(_AC3="B-717",'2023'!$E$4="FO",'2023'!$E$2=BB43),'2023DATA3'!$K$38,"")</f>
        <v/>
      </c>
      <c r="BC79" s="518" t="str">
        <f>IF(AND(_AC3="B-717",'2023'!$E$4="FO",'2023'!$E$2=BC43),'2023DATA3'!$L$38,"")</f>
        <v/>
      </c>
      <c r="BD79" s="518" t="str">
        <f>IF(AND(_AC3="B-717",'2023'!$E$4="FO",'2023'!$E$2=BD43),'2023DATA3'!$M$38,"")</f>
        <v/>
      </c>
      <c r="BE79" s="520" t="str">
        <f>IF(AND(_AC3="B-717",'2023'!$E$4="FO",'2023'!$E$2=BE43),'2023DATA3'!$N$38,"")</f>
        <v/>
      </c>
      <c r="BF79" s="940"/>
      <c r="BG79" s="13" t="s">
        <v>62</v>
      </c>
      <c r="BH79" s="518" t="str">
        <f>IF(AND(_AC4="B-717",'2023'!$E$4="FO",'2023'!$E$2=BH43),'2023DATA3'!$C$38,"")</f>
        <v/>
      </c>
      <c r="BI79" s="518" t="str">
        <f>IF(AND(_AC4="B-717",'2023'!$E$4="FO",'2023'!$E$2=BI43),'2023DATA3'!$D$38,"")</f>
        <v/>
      </c>
      <c r="BJ79" s="518" t="str">
        <f>IF(AND(_AC4="B-717",'2023'!$E$4="FO",'2023'!$E$2=BJ43),'2023DATA3'!$E$38,"")</f>
        <v/>
      </c>
      <c r="BK79" s="518" t="str">
        <f>IF(AND(_AC4="B-717",'2023'!$E$4="FO",'2023'!$E$2=BK43),'2023DATA3'!$F$38,"")</f>
        <v/>
      </c>
      <c r="BL79" s="518" t="str">
        <f>IF(AND(_AC4="B-717",'2023'!$E$4="FO",'2023'!$E$2=BL43),'2023DATA3'!$G$38,"")</f>
        <v/>
      </c>
      <c r="BM79" s="518" t="str">
        <f>IF(AND(_AC4="B-717",'2023'!$E$4="FO",'2023'!$E$2=BM43),'2023DATA3'!$H$38,"")</f>
        <v/>
      </c>
      <c r="BN79" s="518" t="str">
        <f>IF(AND(_AC4="B-717",'2023'!$E$4="FO",'2023'!$E$2=BN43),'2023DATA3'!$I$38,"")</f>
        <v/>
      </c>
      <c r="BO79" s="518" t="str">
        <f>IF(AND(_AC4="B-717",'2023'!$E$4="FO",'2023'!$E$2=BO43),'2023DATA3'!$J$38,"")</f>
        <v/>
      </c>
      <c r="BP79" s="518" t="str">
        <f>IF(AND(_AC4="B-717",'2023'!$E$4="FO",'2023'!$E$2=BP43),'2023DATA3'!$K$38,"")</f>
        <v/>
      </c>
      <c r="BQ79" s="518" t="str">
        <f>IF(AND(_AC4="B-717",'2023'!$E$4="FO",'2023'!$E$2=BQ43),'2023DATA3'!$L$38,"")</f>
        <v/>
      </c>
      <c r="BR79" s="518" t="str">
        <f>IF(AND(_AC4="B-717",'2023'!$E$4="FO",'2023'!$E$2=BR43),'2023DATA3'!$M$38,"")</f>
        <v/>
      </c>
      <c r="BS79" s="520" t="str">
        <f>IF(AND(_AC4="B-717",'2023'!$E$4="FO",'2023'!$E$2=BS43),'2023DATA3'!$N$38,"")</f>
        <v/>
      </c>
      <c r="BT79" s="940"/>
      <c r="BU79" s="13" t="s">
        <v>62</v>
      </c>
      <c r="BV79" s="518" t="str">
        <f>IF(AND(_AC5="B-717",'2023'!$E$4="FO",'2023'!$E$2=BV43),'2023DATA3'!$C$38,"")</f>
        <v/>
      </c>
      <c r="BW79" s="518" t="str">
        <f>IF(AND(_AC5="B-717",'2023'!$E$4="FO",'2023'!$E$2=BW43),'2023DATA3'!$D$38,"")</f>
        <v/>
      </c>
      <c r="BX79" s="518" t="str">
        <f>IF(AND(_AC5="B-717",'2023'!$E$4="FO",'2023'!$E$2=BX43),'2023DATA3'!$E$38,"")</f>
        <v/>
      </c>
      <c r="BY79" s="518" t="str">
        <f>IF(AND(_AC5="B-717",'2023'!$E$4="FO",'2023'!$E$2=BY43),'2023DATA3'!$F$38,"")</f>
        <v/>
      </c>
      <c r="BZ79" s="518" t="str">
        <f>IF(AND(_AC5="B-717",'2023'!$E$4="FO",'2023'!$E$2=BZ43),'2023DATA3'!$G$38,"")</f>
        <v/>
      </c>
      <c r="CA79" s="518" t="str">
        <f>IF(AND(_AC5="B-717",'2023'!$E$4="FO",'2023'!$E$2=CA43),'2023DATA3'!$H$38,"")</f>
        <v/>
      </c>
      <c r="CB79" s="518" t="str">
        <f>IF(AND(_AC5="B-717",'2023'!$E$4="FO",'2023'!$E$2=CB43),'2023DATA3'!$I$38,"")</f>
        <v/>
      </c>
      <c r="CC79" s="518" t="str">
        <f>IF(AND(_AC5="B-717",'2023'!$E$4="FO",'2023'!$E$2=CC43),'2023DATA3'!$J$38,"")</f>
        <v/>
      </c>
      <c r="CD79" s="518" t="str">
        <f>IF(AND(_AC5="B-717",'2023'!$E$4="FO",'2023'!$E$2=CD43),'2023DATA3'!$K$38,"")</f>
        <v/>
      </c>
      <c r="CE79" s="518" t="str">
        <f>IF(AND(_AC5="B-717",'2023'!$E$4="FO",'2023'!$E$2=CE43),'2023DATA3'!$L$38,"")</f>
        <v/>
      </c>
      <c r="CF79" s="518" t="str">
        <f>IF(AND(_AC5="B-717",'2023'!$E$4="FO",'2023'!$E$2=CF43),'2023DATA3'!$M$38,"")</f>
        <v/>
      </c>
      <c r="CG79" s="520" t="str">
        <f>IF(AND(_AC5="B-717",'2023'!$E$4="FO",'2023'!$E$2=CG43),'2023DATA3'!$N$38,"")</f>
        <v/>
      </c>
      <c r="CH79" s="940"/>
      <c r="CI79" s="13" t="s">
        <v>62</v>
      </c>
      <c r="CJ79" s="518" t="str">
        <f>IF(AND(_AC6="B-717",'2023'!$E$4="FO",'2023'!$E$2=CJ43),'2023DATA3'!$C$38,"")</f>
        <v/>
      </c>
      <c r="CK79" s="518" t="str">
        <f>IF(AND(_AC6="B-717",'2023'!$E$4="FO",'2023'!$E$2=CK43),'2023DATA3'!$D$38,"")</f>
        <v/>
      </c>
      <c r="CL79" s="518" t="str">
        <f>IF(AND(_AC6="B-717",'2023'!$E$4="FO",'2023'!$E$2=CL43),'2023DATA3'!$E$38,"")</f>
        <v/>
      </c>
      <c r="CM79" s="518" t="str">
        <f>IF(AND(_AC6="B-717",'2023'!$E$4="FO",'2023'!$E$2=CM43),'2023DATA3'!$F$38,"")</f>
        <v/>
      </c>
      <c r="CN79" s="518" t="str">
        <f>IF(AND(_AC6="B-717",'2023'!$E$4="FO",'2023'!$E$2=CN43),'2023DATA3'!$G$38,"")</f>
        <v/>
      </c>
      <c r="CO79" s="518" t="str">
        <f>IF(AND(_AC6="B-717",'2023'!$E$4="FO",'2023'!$E$2=CO43),'2023DATA3'!$H$38,"")</f>
        <v/>
      </c>
      <c r="CP79" s="518" t="str">
        <f>IF(AND(_AC6="B-717",'2023'!$E$4="FO",'2023'!$E$2=CP43),'2023DATA3'!$I$38,"")</f>
        <v/>
      </c>
      <c r="CQ79" s="518" t="str">
        <f>IF(AND(_AC6="B-717",'2023'!$E$4="FO",'2023'!$E$2=CQ43),'2023DATA3'!$J$38,"")</f>
        <v/>
      </c>
      <c r="CR79" s="518" t="str">
        <f>IF(AND(_AC6="B-717",'2023'!$E$4="FO",'2023'!$E$2=CR43),'2023DATA3'!$K$38,"")</f>
        <v/>
      </c>
      <c r="CS79" s="518" t="str">
        <f>IF(AND(_AC6="B-717",'2023'!$E$4="FO",'2023'!$E$2=CS43),'2023DATA3'!$L$38,"")</f>
        <v/>
      </c>
      <c r="CT79" s="518" t="str">
        <f>IF(AND(_AC6="B-717",'2023'!$E$4="FO",'2023'!$E$2=CT43),'2023DATA3'!$M$38,"")</f>
        <v/>
      </c>
      <c r="CU79" s="520" t="str">
        <f>IF(AND(_AC6="B-717",'2023'!$E$4="FO",'2023'!$E$2=CU43),'2023DATA3'!$N$38,"")</f>
        <v/>
      </c>
    </row>
  </sheetData>
  <sheetProtection algorithmName="SHA-512" hashValue="qfP91lQkRfjs36r/vEGoauiCYz0iojmTiEg8eVy6QmxnPt+TGwQy433rd7qLyubqVpVyLHNKEe5wvhu0OAuxbg==" saltValue="OspGWsDrYEXHu6zDVMTlNw==" spinCount="100000" sheet="1" objects="1" scenarios="1" selectLockedCells="1" selectUnlockedCells="1"/>
  <mergeCells count="260">
    <mergeCell ref="P78:P79"/>
    <mergeCell ref="AD78:AD79"/>
    <mergeCell ref="AR78:AR79"/>
    <mergeCell ref="BF78:BF79"/>
    <mergeCell ref="BT78:BT79"/>
    <mergeCell ref="CH78:CH79"/>
    <mergeCell ref="P76:P77"/>
    <mergeCell ref="AD76:AD77"/>
    <mergeCell ref="AR76:AR77"/>
    <mergeCell ref="BF76:BF77"/>
    <mergeCell ref="BT76:BT77"/>
    <mergeCell ref="CH76:CH77"/>
    <mergeCell ref="P74:P75"/>
    <mergeCell ref="AD74:AD75"/>
    <mergeCell ref="AR74:AR75"/>
    <mergeCell ref="BF74:BF75"/>
    <mergeCell ref="BT74:BT75"/>
    <mergeCell ref="CH74:CH75"/>
    <mergeCell ref="P72:P73"/>
    <mergeCell ref="AD72:AD73"/>
    <mergeCell ref="AR72:AR73"/>
    <mergeCell ref="BF72:BF73"/>
    <mergeCell ref="BT72:BT73"/>
    <mergeCell ref="CH72:CH73"/>
    <mergeCell ref="P70:P71"/>
    <mergeCell ref="AD70:AD71"/>
    <mergeCell ref="AR70:AR71"/>
    <mergeCell ref="BF70:BF71"/>
    <mergeCell ref="BT70:BT71"/>
    <mergeCell ref="CH70:CH71"/>
    <mergeCell ref="P68:P69"/>
    <mergeCell ref="AD68:AD69"/>
    <mergeCell ref="AR68:AR69"/>
    <mergeCell ref="BF68:BF69"/>
    <mergeCell ref="BT68:BT69"/>
    <mergeCell ref="CH68:CH69"/>
    <mergeCell ref="P66:P67"/>
    <mergeCell ref="AD66:AD67"/>
    <mergeCell ref="AR66:AR67"/>
    <mergeCell ref="BF66:BF67"/>
    <mergeCell ref="BT66:BT67"/>
    <mergeCell ref="CH66:CH67"/>
    <mergeCell ref="P64:P65"/>
    <mergeCell ref="AD64:AD65"/>
    <mergeCell ref="AR64:AR65"/>
    <mergeCell ref="BF64:BF65"/>
    <mergeCell ref="BT64:BT65"/>
    <mergeCell ref="CH64:CH65"/>
    <mergeCell ref="P62:P63"/>
    <mergeCell ref="AD62:AD63"/>
    <mergeCell ref="AR62:AR63"/>
    <mergeCell ref="BF62:BF63"/>
    <mergeCell ref="BT62:BT63"/>
    <mergeCell ref="CH62:CH63"/>
    <mergeCell ref="P60:P61"/>
    <mergeCell ref="AD60:AD61"/>
    <mergeCell ref="AR60:AR61"/>
    <mergeCell ref="BF60:BF61"/>
    <mergeCell ref="BT60:BT61"/>
    <mergeCell ref="CH60:CH61"/>
    <mergeCell ref="P58:P59"/>
    <mergeCell ref="AD58:AD59"/>
    <mergeCell ref="AR58:AR59"/>
    <mergeCell ref="BF58:BF59"/>
    <mergeCell ref="BT58:BT59"/>
    <mergeCell ref="CH58:CH59"/>
    <mergeCell ref="P56:P57"/>
    <mergeCell ref="AD56:AD57"/>
    <mergeCell ref="AR56:AR57"/>
    <mergeCell ref="BF56:BF57"/>
    <mergeCell ref="BT56:BT57"/>
    <mergeCell ref="CH56:CH57"/>
    <mergeCell ref="P54:P55"/>
    <mergeCell ref="AD54:AD55"/>
    <mergeCell ref="AR54:AR55"/>
    <mergeCell ref="BF54:BF55"/>
    <mergeCell ref="BT54:BT55"/>
    <mergeCell ref="CH54:CH55"/>
    <mergeCell ref="P52:P53"/>
    <mergeCell ref="AD52:AD53"/>
    <mergeCell ref="AR52:AR53"/>
    <mergeCell ref="BF52:BF53"/>
    <mergeCell ref="BT52:BT53"/>
    <mergeCell ref="CH52:CH53"/>
    <mergeCell ref="P50:P51"/>
    <mergeCell ref="AD50:AD51"/>
    <mergeCell ref="AR50:AR51"/>
    <mergeCell ref="BF50:BF51"/>
    <mergeCell ref="BT50:BT51"/>
    <mergeCell ref="CH50:CH51"/>
    <mergeCell ref="P48:P49"/>
    <mergeCell ref="AD48:AD49"/>
    <mergeCell ref="AR48:AR49"/>
    <mergeCell ref="BF48:BF49"/>
    <mergeCell ref="BT48:BT49"/>
    <mergeCell ref="CH48:CH49"/>
    <mergeCell ref="P46:P47"/>
    <mergeCell ref="AD46:AD47"/>
    <mergeCell ref="AR46:AR47"/>
    <mergeCell ref="BF46:BF47"/>
    <mergeCell ref="BT46:BT47"/>
    <mergeCell ref="CH46:CH47"/>
    <mergeCell ref="P44:P45"/>
    <mergeCell ref="AD44:AD45"/>
    <mergeCell ref="AR44:AR45"/>
    <mergeCell ref="BF44:BF45"/>
    <mergeCell ref="BT44:BT45"/>
    <mergeCell ref="CH44:CH45"/>
    <mergeCell ref="P42:AC42"/>
    <mergeCell ref="AD42:AQ42"/>
    <mergeCell ref="AR42:BE42"/>
    <mergeCell ref="BF42:BS42"/>
    <mergeCell ref="BT42:CG42"/>
    <mergeCell ref="CH42:CU42"/>
    <mergeCell ref="P40:P41"/>
    <mergeCell ref="AD40:AD41"/>
    <mergeCell ref="AR40:AR41"/>
    <mergeCell ref="BF40:BF41"/>
    <mergeCell ref="BT40:BT41"/>
    <mergeCell ref="CH40:CH41"/>
    <mergeCell ref="CH36:CH37"/>
    <mergeCell ref="A37:A38"/>
    <mergeCell ref="P38:P39"/>
    <mergeCell ref="AD38:AD39"/>
    <mergeCell ref="AR38:AR39"/>
    <mergeCell ref="BF38:BF39"/>
    <mergeCell ref="BT38:BT39"/>
    <mergeCell ref="CH38:CH39"/>
    <mergeCell ref="A35:A36"/>
    <mergeCell ref="P36:P37"/>
    <mergeCell ref="AD36:AD37"/>
    <mergeCell ref="AR36:AR37"/>
    <mergeCell ref="BF36:BF37"/>
    <mergeCell ref="BT36:BT37"/>
    <mergeCell ref="P34:P35"/>
    <mergeCell ref="AD34:AD35"/>
    <mergeCell ref="AR34:AR35"/>
    <mergeCell ref="BF34:BF35"/>
    <mergeCell ref="BT34:BT35"/>
    <mergeCell ref="CH34:CH35"/>
    <mergeCell ref="BF28:BF29"/>
    <mergeCell ref="BT28:BT29"/>
    <mergeCell ref="CH28:CH29"/>
    <mergeCell ref="A29:A30"/>
    <mergeCell ref="P30:P31"/>
    <mergeCell ref="AD30:AD31"/>
    <mergeCell ref="AR30:AR31"/>
    <mergeCell ref="BF30:BF31"/>
    <mergeCell ref="BT30:BT31"/>
    <mergeCell ref="CH30:CH31"/>
    <mergeCell ref="A31:A32"/>
    <mergeCell ref="P32:P33"/>
    <mergeCell ref="AD32:AD33"/>
    <mergeCell ref="AR32:AR33"/>
    <mergeCell ref="BF32:BF33"/>
    <mergeCell ref="BT32:BT33"/>
    <mergeCell ref="CH32:CH33"/>
    <mergeCell ref="A33:A34"/>
    <mergeCell ref="CH24:CH25"/>
    <mergeCell ref="A25:A26"/>
    <mergeCell ref="P26:P27"/>
    <mergeCell ref="AD26:AD27"/>
    <mergeCell ref="AR26:AR27"/>
    <mergeCell ref="BF26:BF27"/>
    <mergeCell ref="BT26:BT27"/>
    <mergeCell ref="CH26:CH27"/>
    <mergeCell ref="A27:A28"/>
    <mergeCell ref="P28:P29"/>
    <mergeCell ref="A23:A24"/>
    <mergeCell ref="P24:P25"/>
    <mergeCell ref="AD24:AD25"/>
    <mergeCell ref="AR24:AR25"/>
    <mergeCell ref="BF24:BF25"/>
    <mergeCell ref="BT24:BT25"/>
    <mergeCell ref="P22:P23"/>
    <mergeCell ref="AD22:AD23"/>
    <mergeCell ref="AR22:AR23"/>
    <mergeCell ref="BF22:BF23"/>
    <mergeCell ref="BT22:BT23"/>
    <mergeCell ref="CH22:CH23"/>
    <mergeCell ref="AD28:AD29"/>
    <mergeCell ref="AR28:AR29"/>
    <mergeCell ref="BF16:BF17"/>
    <mergeCell ref="BT16:BT17"/>
    <mergeCell ref="CH16:CH17"/>
    <mergeCell ref="A17:A18"/>
    <mergeCell ref="P18:P19"/>
    <mergeCell ref="AD18:AD19"/>
    <mergeCell ref="AR18:AR19"/>
    <mergeCell ref="BF18:BF19"/>
    <mergeCell ref="BT18:BT19"/>
    <mergeCell ref="CH18:CH19"/>
    <mergeCell ref="A19:A20"/>
    <mergeCell ref="P20:P21"/>
    <mergeCell ref="AD20:AD21"/>
    <mergeCell ref="AR20:AR21"/>
    <mergeCell ref="BF20:BF21"/>
    <mergeCell ref="BT20:BT21"/>
    <mergeCell ref="CH20:CH21"/>
    <mergeCell ref="A21:A22"/>
    <mergeCell ref="CH12:CH13"/>
    <mergeCell ref="A13:A14"/>
    <mergeCell ref="P14:P15"/>
    <mergeCell ref="AD14:AD15"/>
    <mergeCell ref="AR14:AR15"/>
    <mergeCell ref="BF14:BF15"/>
    <mergeCell ref="BT14:BT15"/>
    <mergeCell ref="CH14:CH15"/>
    <mergeCell ref="A15:A16"/>
    <mergeCell ref="P16:P17"/>
    <mergeCell ref="A11:A12"/>
    <mergeCell ref="P12:P13"/>
    <mergeCell ref="AD12:AD13"/>
    <mergeCell ref="AR12:AR13"/>
    <mergeCell ref="BF12:BF13"/>
    <mergeCell ref="BT12:BT13"/>
    <mergeCell ref="P10:P11"/>
    <mergeCell ref="AD10:AD11"/>
    <mergeCell ref="AR10:AR11"/>
    <mergeCell ref="BF10:BF11"/>
    <mergeCell ref="BT10:BT11"/>
    <mergeCell ref="CH10:CH11"/>
    <mergeCell ref="AD16:AD17"/>
    <mergeCell ref="AR16:AR17"/>
    <mergeCell ref="A5:A6"/>
    <mergeCell ref="P6:P7"/>
    <mergeCell ref="AD6:AD7"/>
    <mergeCell ref="AR6:AR7"/>
    <mergeCell ref="BF6:BF7"/>
    <mergeCell ref="BT6:BT7"/>
    <mergeCell ref="CH6:CH7"/>
    <mergeCell ref="A7:A8"/>
    <mergeCell ref="P8:P9"/>
    <mergeCell ref="AD8:AD9"/>
    <mergeCell ref="AR8:AR9"/>
    <mergeCell ref="BF8:BF9"/>
    <mergeCell ref="BT8:BT9"/>
    <mergeCell ref="CH8:CH9"/>
    <mergeCell ref="A9:A10"/>
    <mergeCell ref="CH1:CU1"/>
    <mergeCell ref="A2:B2"/>
    <mergeCell ref="P2:Q3"/>
    <mergeCell ref="AD2:AE3"/>
    <mergeCell ref="AR2:AS3"/>
    <mergeCell ref="BF2:BG3"/>
    <mergeCell ref="BT2:BU3"/>
    <mergeCell ref="CH2:CI3"/>
    <mergeCell ref="A3:A4"/>
    <mergeCell ref="P4:AC4"/>
    <mergeCell ref="A1:N1"/>
    <mergeCell ref="P1:AC1"/>
    <mergeCell ref="AD1:AQ1"/>
    <mergeCell ref="AR1:BE1"/>
    <mergeCell ref="BF1:BS1"/>
    <mergeCell ref="BT1:CG1"/>
    <mergeCell ref="AD4:AQ4"/>
    <mergeCell ref="AR4:BE4"/>
    <mergeCell ref="BF4:BS4"/>
    <mergeCell ref="BT4:CG4"/>
    <mergeCell ref="CH4:CU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93701-0A72-41FA-BD0C-8ED534CEEA8E}">
  <dimension ref="A1:Q276"/>
  <sheetViews>
    <sheetView showGridLines="0" showRowColHeaders="0" zoomScaleNormal="100" workbookViewId="0">
      <pane ySplit="1" topLeftCell="A2" activePane="bottomLeft" state="frozen"/>
      <selection activeCell="D4" sqref="D4"/>
      <selection pane="bottomLeft" activeCell="A7" sqref="A7:A37"/>
    </sheetView>
  </sheetViews>
  <sheetFormatPr defaultRowHeight="15" x14ac:dyDescent="0.25"/>
  <cols>
    <col min="1" max="1" width="17.42578125" bestFit="1" customWidth="1"/>
    <col min="2" max="2" width="19.7109375" bestFit="1" customWidth="1"/>
    <col min="3" max="3" width="8.5703125" customWidth="1"/>
    <col min="4" max="15" width="12.28515625" customWidth="1"/>
    <col min="16" max="16" width="12.140625" customWidth="1"/>
    <col min="17" max="17" width="24.85546875" customWidth="1"/>
    <col min="23" max="23" width="9.7109375" customWidth="1"/>
  </cols>
  <sheetData>
    <row r="1" spans="1:17" ht="36.75" thickBot="1" x14ac:dyDescent="0.6">
      <c r="A1" s="961">
        <v>2024</v>
      </c>
      <c r="B1" s="962"/>
      <c r="C1" s="963"/>
      <c r="D1" s="49">
        <v>45292</v>
      </c>
      <c r="E1" s="49">
        <v>45323</v>
      </c>
      <c r="F1" s="49">
        <v>45352</v>
      </c>
      <c r="G1" s="49">
        <v>45383</v>
      </c>
      <c r="H1" s="49">
        <v>45413</v>
      </c>
      <c r="I1" s="49">
        <v>45444</v>
      </c>
      <c r="J1" s="49">
        <v>45474</v>
      </c>
      <c r="K1" s="49">
        <v>45505</v>
      </c>
      <c r="L1" s="49">
        <v>45536</v>
      </c>
      <c r="M1" s="49">
        <v>45566</v>
      </c>
      <c r="N1" s="49">
        <v>45597</v>
      </c>
      <c r="O1" s="49">
        <v>45627</v>
      </c>
      <c r="P1" s="14" t="s">
        <v>0</v>
      </c>
      <c r="Q1" s="15" t="s">
        <v>5</v>
      </c>
    </row>
    <row r="2" spans="1:17" ht="21" customHeight="1" x14ac:dyDescent="0.25">
      <c r="A2" s="902" t="s">
        <v>148</v>
      </c>
      <c r="B2" s="903"/>
      <c r="C2" s="904"/>
      <c r="D2" s="66" t="str">
        <f>IF(OR(WELCOME!$B$2&gt;'2024'!D1, ISBLANK(WELCOME!$B$2)),"",MIN(12,(DATEDIF(WELCOME!$B$2,D1,"Y")+1)))</f>
        <v/>
      </c>
      <c r="E2" s="66" t="str">
        <f>IF(OR(WELCOME!$B$2&gt;'2024'!E1, ISBLANK(WELCOME!$B$2)),"",MIN(12,(DATEDIF(WELCOME!$B$2,E1,"Y")+1)))</f>
        <v/>
      </c>
      <c r="F2" s="66" t="str">
        <f>IF(OR(WELCOME!$B$2&gt;'2024'!F1, ISBLANK(WELCOME!$B$2)),"",MIN(12,(DATEDIF(WELCOME!$B$2,F1,"Y")+1)))</f>
        <v/>
      </c>
      <c r="G2" s="66" t="str">
        <f>IF(OR(WELCOME!$B$2&gt;'2024'!G1, ISBLANK(WELCOME!$B$2)),"",MIN(12,(DATEDIF(WELCOME!$B$2,G1,"Y")+1)))</f>
        <v/>
      </c>
      <c r="H2" s="66" t="str">
        <f>IF(OR(WELCOME!$B$2&gt;'2024'!H1, ISBLANK(WELCOME!$B$2)),"",MIN(12,(DATEDIF(WELCOME!$B$2,H1,"Y")+1)))</f>
        <v/>
      </c>
      <c r="I2" s="66" t="str">
        <f>IF(OR(WELCOME!$B$2&gt;'2024'!I1, ISBLANK(WELCOME!$B$2)),"",MIN(12,(DATEDIF(WELCOME!$B$2,I1,"Y")+1)))</f>
        <v/>
      </c>
      <c r="J2" s="66" t="str">
        <f>IF(OR(WELCOME!$B$2&gt;'2024'!J1, ISBLANK(WELCOME!$B$2)),"",MIN(12,(DATEDIF(WELCOME!$B$2,J1,"Y")+1)))</f>
        <v/>
      </c>
      <c r="K2" s="66" t="str">
        <f>IF(OR(WELCOME!$B$2&gt;'2024'!K1, ISBLANK(WELCOME!$B$2)),"",MIN(12,(DATEDIF(WELCOME!$B$2,K1,"Y")+1)))</f>
        <v/>
      </c>
      <c r="L2" s="66" t="str">
        <f>IF(OR(WELCOME!$B$2&gt;'2024'!L1, ISBLANK(WELCOME!$B$2)),"",MIN(12,(DATEDIF(WELCOME!$B$2,L1,"Y")+1)))</f>
        <v/>
      </c>
      <c r="M2" s="66" t="str">
        <f>IF(OR(WELCOME!$B$2&gt;'2024'!M1, ISBLANK(WELCOME!$B$2)),"",MIN(12,(DATEDIF(WELCOME!$B$2,M1,"Y")+1)))</f>
        <v/>
      </c>
      <c r="N2" s="66" t="str">
        <f>IF(OR(WELCOME!$B$2&gt;'2024'!N1, ISBLANK(WELCOME!$B$2)),"",MIN(12,(DATEDIF(WELCOME!$B$2,N1,"Y")+1)))</f>
        <v/>
      </c>
      <c r="O2" s="724" t="str">
        <f>IF(OR(WELCOME!$B$2&gt;'2024'!O1, ISBLANK(WELCOME!$B$2)),"",MIN(12,(DATEDIF(WELCOME!$B$2,O1,"Y")+1)))</f>
        <v/>
      </c>
      <c r="P2" s="964"/>
      <c r="Q2" s="965"/>
    </row>
    <row r="3" spans="1:17" ht="20.25" customHeight="1" x14ac:dyDescent="0.25">
      <c r="A3" s="968" t="s">
        <v>76</v>
      </c>
      <c r="B3" s="969"/>
      <c r="C3" s="970"/>
      <c r="D3" s="67"/>
      <c r="E3" s="67"/>
      <c r="F3" s="67"/>
      <c r="G3" s="67"/>
      <c r="H3" s="67"/>
      <c r="I3" s="67"/>
      <c r="J3" s="67"/>
      <c r="K3" s="67"/>
      <c r="L3" s="67"/>
      <c r="M3" s="67"/>
      <c r="N3" s="67"/>
      <c r="O3" s="68"/>
      <c r="P3" s="898"/>
      <c r="Q3" s="899"/>
    </row>
    <row r="4" spans="1:17" ht="19.5" customHeight="1" x14ac:dyDescent="0.25">
      <c r="A4" s="968" t="s">
        <v>77</v>
      </c>
      <c r="B4" s="969"/>
      <c r="C4" s="970"/>
      <c r="D4" s="67"/>
      <c r="E4" s="67"/>
      <c r="F4" s="67"/>
      <c r="G4" s="67"/>
      <c r="H4" s="67"/>
      <c r="I4" s="67"/>
      <c r="J4" s="67"/>
      <c r="K4" s="67"/>
      <c r="L4" s="67"/>
      <c r="M4" s="67"/>
      <c r="N4" s="67"/>
      <c r="O4" s="68"/>
      <c r="P4" s="898"/>
      <c r="Q4" s="899"/>
    </row>
    <row r="5" spans="1:17" ht="19.5" customHeight="1" thickBot="1" x14ac:dyDescent="0.3">
      <c r="A5" s="971" t="s">
        <v>4</v>
      </c>
      <c r="B5" s="972"/>
      <c r="C5" s="973"/>
      <c r="D5" s="699"/>
      <c r="E5" s="699"/>
      <c r="F5" s="699"/>
      <c r="G5" s="699"/>
      <c r="H5" s="699"/>
      <c r="I5" s="699"/>
      <c r="J5" s="699"/>
      <c r="K5" s="699"/>
      <c r="L5" s="699"/>
      <c r="M5" s="699"/>
      <c r="N5" s="699"/>
      <c r="O5" s="700"/>
      <c r="P5" s="966"/>
      <c r="Q5" s="967"/>
    </row>
    <row r="6" spans="1:17" ht="27" thickBot="1" x14ac:dyDescent="0.3">
      <c r="A6" s="888" t="s">
        <v>37</v>
      </c>
      <c r="B6" s="889"/>
      <c r="C6" s="889"/>
      <c r="D6" s="889"/>
      <c r="E6" s="889"/>
      <c r="F6" s="889"/>
      <c r="G6" s="889"/>
      <c r="H6" s="889"/>
      <c r="I6" s="889"/>
      <c r="J6" s="889"/>
      <c r="K6" s="889"/>
      <c r="L6" s="889"/>
      <c r="M6" s="889"/>
      <c r="N6" s="889"/>
      <c r="O6" s="889"/>
      <c r="P6" s="889"/>
      <c r="Q6" s="890"/>
    </row>
    <row r="7" spans="1:17" ht="15" customHeight="1" x14ac:dyDescent="0.25">
      <c r="A7" s="893" t="s">
        <v>173</v>
      </c>
      <c r="B7" s="878" t="s">
        <v>3</v>
      </c>
      <c r="C7" s="879"/>
      <c r="D7" s="547" t="str">
        <f>IF('2024DATA'!R3=0,"",'2024DATA'!R3)</f>
        <v/>
      </c>
      <c r="E7" s="547" t="str">
        <f>IF('2024DATA'!S3=0,"",'2024DATA'!S3)</f>
        <v/>
      </c>
      <c r="F7" s="547" t="str">
        <f>IF('2024DATA'!T3=0,"",'2024DATA'!T3)</f>
        <v/>
      </c>
      <c r="G7" s="547" t="str">
        <f>IF('2024DATA'!U3=0,"",'2024DATA'!U3)</f>
        <v/>
      </c>
      <c r="H7" s="547" t="str">
        <f>IF('2024DATA'!V3=0,"",'2024DATA'!V3)</f>
        <v/>
      </c>
      <c r="I7" s="547" t="str">
        <f>IF('2024DATA'!W3=0,"",'2024DATA'!W3)</f>
        <v/>
      </c>
      <c r="J7" s="547" t="str">
        <f>IF('2024DATA'!X3=0,"",'2024DATA'!X3)</f>
        <v/>
      </c>
      <c r="K7" s="547" t="str">
        <f>IF('2024DATA'!Y3=0,"",'2024DATA'!Y3)</f>
        <v/>
      </c>
      <c r="L7" s="547" t="str">
        <f>IF('2024DATA'!Z3=0,"",'2024DATA'!Z3)</f>
        <v/>
      </c>
      <c r="M7" s="547" t="str">
        <f>IF('2024DATA'!AA3=0,"",'2024DATA'!AA3)</f>
        <v/>
      </c>
      <c r="N7" s="547" t="str">
        <f>IF('2024DATA'!AB3=0,"",'2024DATA'!AB3)</f>
        <v/>
      </c>
      <c r="O7" s="548" t="str">
        <f>IF('2024DATA'!AC3=0,"",'2024DATA'!AC3)</f>
        <v/>
      </c>
      <c r="P7" s="524"/>
      <c r="Q7" s="63"/>
    </row>
    <row r="8" spans="1:17" ht="15.75" x14ac:dyDescent="0.25">
      <c r="A8" s="894"/>
      <c r="B8" s="823" t="s">
        <v>7</v>
      </c>
      <c r="C8" s="19" t="s">
        <v>21</v>
      </c>
      <c r="D8" s="549"/>
      <c r="E8" s="549"/>
      <c r="F8" s="549"/>
      <c r="G8" s="549"/>
      <c r="H8" s="549"/>
      <c r="I8" s="549"/>
      <c r="J8" s="549"/>
      <c r="K8" s="549"/>
      <c r="L8" s="549"/>
      <c r="M8" s="549"/>
      <c r="N8" s="549"/>
      <c r="O8" s="550"/>
      <c r="P8" s="512" t="str">
        <f t="shared" ref="P8:P37" si="0">IF(Q8="-","-",Q8/12)</f>
        <v>-</v>
      </c>
      <c r="Q8" s="4" t="str">
        <f t="shared" ref="Q8:Q37" si="1">IF(SUM(D8:O8)=0,"-",SUM(D8:O8))</f>
        <v>-</v>
      </c>
    </row>
    <row r="9" spans="1:17" ht="15.75" x14ac:dyDescent="0.25">
      <c r="A9" s="894"/>
      <c r="B9" s="824"/>
      <c r="C9" s="20" t="s">
        <v>22</v>
      </c>
      <c r="D9" s="683" t="str">
        <f>IF(D8=0,"",D$7*D8*24)</f>
        <v/>
      </c>
      <c r="E9" s="683" t="str">
        <f t="shared" ref="E9:O9" si="2">IF(E8=0,"",E$7*E8*24)</f>
        <v/>
      </c>
      <c r="F9" s="683" t="str">
        <f t="shared" si="2"/>
        <v/>
      </c>
      <c r="G9" s="683" t="str">
        <f t="shared" si="2"/>
        <v/>
      </c>
      <c r="H9" s="683" t="str">
        <f t="shared" si="2"/>
        <v/>
      </c>
      <c r="I9" s="683" t="str">
        <f t="shared" si="2"/>
        <v/>
      </c>
      <c r="J9" s="683" t="str">
        <f t="shared" si="2"/>
        <v/>
      </c>
      <c r="K9" s="683" t="str">
        <f t="shared" si="2"/>
        <v/>
      </c>
      <c r="L9" s="683" t="str">
        <f t="shared" si="2"/>
        <v/>
      </c>
      <c r="M9" s="683" t="str">
        <f t="shared" si="2"/>
        <v/>
      </c>
      <c r="N9" s="683" t="str">
        <f t="shared" si="2"/>
        <v/>
      </c>
      <c r="O9" s="686" t="str">
        <f t="shared" si="2"/>
        <v/>
      </c>
      <c r="P9" s="511" t="str">
        <f t="shared" si="0"/>
        <v>-</v>
      </c>
      <c r="Q9" s="6" t="str">
        <f t="shared" si="1"/>
        <v>-</v>
      </c>
    </row>
    <row r="10" spans="1:17" ht="15.75" x14ac:dyDescent="0.25">
      <c r="A10" s="894"/>
      <c r="B10" s="823" t="s">
        <v>8</v>
      </c>
      <c r="C10" s="775" t="s">
        <v>21</v>
      </c>
      <c r="D10" s="549"/>
      <c r="E10" s="549"/>
      <c r="F10" s="549"/>
      <c r="G10" s="549"/>
      <c r="H10" s="549"/>
      <c r="I10" s="549"/>
      <c r="J10" s="549"/>
      <c r="K10" s="549"/>
      <c r="L10" s="549"/>
      <c r="M10" s="549"/>
      <c r="N10" s="549"/>
      <c r="O10" s="550"/>
      <c r="P10" s="512" t="str">
        <f t="shared" si="0"/>
        <v>-</v>
      </c>
      <c r="Q10" s="4" t="str">
        <f t="shared" si="1"/>
        <v>-</v>
      </c>
    </row>
    <row r="11" spans="1:17" ht="15.75" x14ac:dyDescent="0.25">
      <c r="A11" s="894"/>
      <c r="B11" s="824"/>
      <c r="C11" s="775" t="s">
        <v>22</v>
      </c>
      <c r="D11" s="683" t="str">
        <f>IF(D10=0,"",(D7+IF(D$4="CA",DATA!$B$22,DATA!$B$23))*D10*24)</f>
        <v/>
      </c>
      <c r="E11" s="683" t="str">
        <f>IF(E10=0,"",(E7+IF(E$4="CA",DATA!$B$22,DATA!$B$23))*E10*24)</f>
        <v/>
      </c>
      <c r="F11" s="683" t="str">
        <f>IF(F10=0,"",(F7+IF(F$4="CA",DATA!$B$22,DATA!$B$23))*F10*24)</f>
        <v/>
      </c>
      <c r="G11" s="683" t="str">
        <f>IF(G10=0,"",(G7+IF(G$4="CA",DATA!$B$22,DATA!$B$23))*G10*24)</f>
        <v/>
      </c>
      <c r="H11" s="683" t="str">
        <f>IF(H10=0,"",(H7+IF(H$4="CA",DATA!$B$22,DATA!$B$23))*H10*24)</f>
        <v/>
      </c>
      <c r="I11" s="683" t="str">
        <f>IF(I10=0,"",(I7+IF(I$4="CA",DATA!$B$22,DATA!$B$23))*I10*24)</f>
        <v/>
      </c>
      <c r="J11" s="683" t="str">
        <f>IF(J10=0,"",(J7+IF(J$4="CA",DATA!$B$22,DATA!$B$23))*J10*24)</f>
        <v/>
      </c>
      <c r="K11" s="683" t="str">
        <f>IF(K10=0,"",(K7+IF(K$4="CA",DATA!$B$22,DATA!$B$23))*K10*24)</f>
        <v/>
      </c>
      <c r="L11" s="683" t="str">
        <f>IF(L10=0,"",(L7+IF(L$4="CA",DATA!$B$22,DATA!$B$23))*L10*24)</f>
        <v/>
      </c>
      <c r="M11" s="683" t="str">
        <f>IF(M10=0,"",(M7+IF(M$4="CA",DATA!$B$22,DATA!$B$23))*M10*24)</f>
        <v/>
      </c>
      <c r="N11" s="683" t="str">
        <f>IF(N10=0,"",(N7+IF(N$4="CA",DATA!$B$22,DATA!$B$23))*N10*24)</f>
        <v/>
      </c>
      <c r="O11" s="686" t="str">
        <f>IF(O10=0,"",(O7+IF(O$4="CA",DATA!$B$22,DATA!$B$23))*O10*24)</f>
        <v/>
      </c>
      <c r="P11" s="511" t="str">
        <f t="shared" si="0"/>
        <v>-</v>
      </c>
      <c r="Q11" s="6" t="str">
        <f t="shared" si="1"/>
        <v>-</v>
      </c>
    </row>
    <row r="12" spans="1:17" ht="15.75" x14ac:dyDescent="0.25">
      <c r="A12" s="894"/>
      <c r="B12" s="823" t="s">
        <v>9</v>
      </c>
      <c r="C12" s="19" t="s">
        <v>21</v>
      </c>
      <c r="D12" s="549"/>
      <c r="E12" s="549"/>
      <c r="F12" s="549"/>
      <c r="G12" s="549"/>
      <c r="H12" s="549"/>
      <c r="I12" s="549"/>
      <c r="J12" s="549"/>
      <c r="K12" s="549"/>
      <c r="L12" s="549"/>
      <c r="M12" s="549"/>
      <c r="N12" s="549"/>
      <c r="O12" s="550"/>
      <c r="P12" s="512" t="str">
        <f t="shared" si="0"/>
        <v>-</v>
      </c>
      <c r="Q12" s="4" t="str">
        <f t="shared" si="1"/>
        <v>-</v>
      </c>
    </row>
    <row r="13" spans="1:17" ht="15.75" x14ac:dyDescent="0.25">
      <c r="A13" s="894"/>
      <c r="B13" s="824"/>
      <c r="C13" s="20" t="s">
        <v>22</v>
      </c>
      <c r="D13" s="683" t="str">
        <f>IF(D12=0,"",D$7*D12*24)</f>
        <v/>
      </c>
      <c r="E13" s="683" t="str">
        <f t="shared" ref="E13:O13" si="3">IF(E12=0,"",E$7*E12*24)</f>
        <v/>
      </c>
      <c r="F13" s="683" t="str">
        <f t="shared" si="3"/>
        <v/>
      </c>
      <c r="G13" s="683" t="str">
        <f t="shared" si="3"/>
        <v/>
      </c>
      <c r="H13" s="683" t="str">
        <f t="shared" si="3"/>
        <v/>
      </c>
      <c r="I13" s="683" t="str">
        <f t="shared" si="3"/>
        <v/>
      </c>
      <c r="J13" s="683" t="str">
        <f t="shared" si="3"/>
        <v/>
      </c>
      <c r="K13" s="683" t="str">
        <f t="shared" si="3"/>
        <v/>
      </c>
      <c r="L13" s="683" t="str">
        <f t="shared" si="3"/>
        <v/>
      </c>
      <c r="M13" s="683" t="str">
        <f t="shared" si="3"/>
        <v/>
      </c>
      <c r="N13" s="683" t="str">
        <f t="shared" si="3"/>
        <v/>
      </c>
      <c r="O13" s="686" t="str">
        <f t="shared" si="3"/>
        <v/>
      </c>
      <c r="P13" s="511" t="str">
        <f t="shared" si="0"/>
        <v>-</v>
      </c>
      <c r="Q13" s="6" t="str">
        <f t="shared" si="1"/>
        <v>-</v>
      </c>
    </row>
    <row r="14" spans="1:17" ht="15.75" x14ac:dyDescent="0.25">
      <c r="A14" s="894"/>
      <c r="B14" s="823" t="s">
        <v>10</v>
      </c>
      <c r="C14" s="775" t="s">
        <v>21</v>
      </c>
      <c r="D14" s="549"/>
      <c r="E14" s="549"/>
      <c r="F14" s="549"/>
      <c r="G14" s="549"/>
      <c r="H14" s="549"/>
      <c r="I14" s="549"/>
      <c r="J14" s="549"/>
      <c r="K14" s="549"/>
      <c r="L14" s="549"/>
      <c r="M14" s="549"/>
      <c r="N14" s="549"/>
      <c r="O14" s="550"/>
      <c r="P14" s="512" t="str">
        <f t="shared" si="0"/>
        <v>-</v>
      </c>
      <c r="Q14" s="4" t="str">
        <f t="shared" si="1"/>
        <v>-</v>
      </c>
    </row>
    <row r="15" spans="1:17" ht="15.75" x14ac:dyDescent="0.25">
      <c r="A15" s="894"/>
      <c r="B15" s="824"/>
      <c r="C15" s="775" t="s">
        <v>22</v>
      </c>
      <c r="D15" s="683" t="str">
        <f>IF(D14=0,"",D$7*D14*24)</f>
        <v/>
      </c>
      <c r="E15" s="683" t="str">
        <f t="shared" ref="E15:O15" si="4">IF(E14=0,"",E$7*E14*24)</f>
        <v/>
      </c>
      <c r="F15" s="683" t="str">
        <f t="shared" si="4"/>
        <v/>
      </c>
      <c r="G15" s="683" t="str">
        <f t="shared" si="4"/>
        <v/>
      </c>
      <c r="H15" s="683" t="str">
        <f t="shared" si="4"/>
        <v/>
      </c>
      <c r="I15" s="683" t="str">
        <f t="shared" si="4"/>
        <v/>
      </c>
      <c r="J15" s="683" t="str">
        <f t="shared" si="4"/>
        <v/>
      </c>
      <c r="K15" s="683" t="str">
        <f t="shared" si="4"/>
        <v/>
      </c>
      <c r="L15" s="683" t="str">
        <f t="shared" si="4"/>
        <v/>
      </c>
      <c r="M15" s="683" t="str">
        <f t="shared" si="4"/>
        <v/>
      </c>
      <c r="N15" s="683" t="str">
        <f t="shared" si="4"/>
        <v/>
      </c>
      <c r="O15" s="686" t="str">
        <f t="shared" si="4"/>
        <v/>
      </c>
      <c r="P15" s="511" t="str">
        <f t="shared" si="0"/>
        <v>-</v>
      </c>
      <c r="Q15" s="6" t="str">
        <f t="shared" si="1"/>
        <v>-</v>
      </c>
    </row>
    <row r="16" spans="1:17" ht="15.75" x14ac:dyDescent="0.25">
      <c r="A16" s="894"/>
      <c r="B16" s="823" t="s">
        <v>11</v>
      </c>
      <c r="C16" s="19" t="s">
        <v>21</v>
      </c>
      <c r="D16" s="549"/>
      <c r="E16" s="549"/>
      <c r="F16" s="549"/>
      <c r="G16" s="549"/>
      <c r="H16" s="549"/>
      <c r="I16" s="549"/>
      <c r="J16" s="549"/>
      <c r="K16" s="549"/>
      <c r="L16" s="549"/>
      <c r="M16" s="549"/>
      <c r="N16" s="549"/>
      <c r="O16" s="550"/>
      <c r="P16" s="512" t="str">
        <f t="shared" si="0"/>
        <v>-</v>
      </c>
      <c r="Q16" s="4" t="str">
        <f t="shared" si="1"/>
        <v>-</v>
      </c>
    </row>
    <row r="17" spans="1:17" ht="15.75" x14ac:dyDescent="0.25">
      <c r="A17" s="894"/>
      <c r="B17" s="824"/>
      <c r="C17" s="20" t="s">
        <v>22</v>
      </c>
      <c r="D17" s="683" t="str">
        <f>IF(D16=0,"",D$7*D16*24)</f>
        <v/>
      </c>
      <c r="E17" s="683" t="str">
        <f t="shared" ref="E17:O17" si="5">IF(E16=0,"",E$7*E16*24)</f>
        <v/>
      </c>
      <c r="F17" s="683" t="str">
        <f t="shared" si="5"/>
        <v/>
      </c>
      <c r="G17" s="683" t="str">
        <f t="shared" si="5"/>
        <v/>
      </c>
      <c r="H17" s="683" t="str">
        <f t="shared" si="5"/>
        <v/>
      </c>
      <c r="I17" s="683" t="str">
        <f t="shared" si="5"/>
        <v/>
      </c>
      <c r="J17" s="683" t="str">
        <f t="shared" si="5"/>
        <v/>
      </c>
      <c r="K17" s="683" t="str">
        <f t="shared" si="5"/>
        <v/>
      </c>
      <c r="L17" s="683" t="str">
        <f t="shared" si="5"/>
        <v/>
      </c>
      <c r="M17" s="683" t="str">
        <f t="shared" si="5"/>
        <v/>
      </c>
      <c r="N17" s="683" t="str">
        <f t="shared" si="5"/>
        <v/>
      </c>
      <c r="O17" s="686" t="str">
        <f t="shared" si="5"/>
        <v/>
      </c>
      <c r="P17" s="511" t="str">
        <f t="shared" si="0"/>
        <v>-</v>
      </c>
      <c r="Q17" s="6" t="str">
        <f t="shared" si="1"/>
        <v>-</v>
      </c>
    </row>
    <row r="18" spans="1:17" ht="15.75" x14ac:dyDescent="0.25">
      <c r="A18" s="894"/>
      <c r="B18" s="823" t="s">
        <v>12</v>
      </c>
      <c r="C18" s="775" t="s">
        <v>21</v>
      </c>
      <c r="D18" s="549"/>
      <c r="E18" s="549"/>
      <c r="F18" s="549"/>
      <c r="G18" s="549"/>
      <c r="H18" s="549"/>
      <c r="I18" s="549"/>
      <c r="J18" s="549"/>
      <c r="K18" s="549"/>
      <c r="L18" s="549"/>
      <c r="M18" s="549"/>
      <c r="N18" s="549"/>
      <c r="O18" s="550"/>
      <c r="P18" s="512" t="str">
        <f t="shared" si="0"/>
        <v>-</v>
      </c>
      <c r="Q18" s="4" t="str">
        <f t="shared" si="1"/>
        <v>-</v>
      </c>
    </row>
    <row r="19" spans="1:17" ht="15.75" x14ac:dyDescent="0.25">
      <c r="A19" s="894"/>
      <c r="B19" s="824"/>
      <c r="C19" s="775" t="s">
        <v>22</v>
      </c>
      <c r="D19" s="683" t="str">
        <f>IF(D18=0,"",D$7*D18*24)</f>
        <v/>
      </c>
      <c r="E19" s="683" t="str">
        <f t="shared" ref="E19:O19" si="6">IF(E18=0,"",E$7*E18*24)</f>
        <v/>
      </c>
      <c r="F19" s="683" t="str">
        <f t="shared" si="6"/>
        <v/>
      </c>
      <c r="G19" s="683" t="str">
        <f t="shared" si="6"/>
        <v/>
      </c>
      <c r="H19" s="683" t="str">
        <f t="shared" si="6"/>
        <v/>
      </c>
      <c r="I19" s="683" t="str">
        <f t="shared" si="6"/>
        <v/>
      </c>
      <c r="J19" s="683" t="str">
        <f t="shared" si="6"/>
        <v/>
      </c>
      <c r="K19" s="683" t="str">
        <f t="shared" si="6"/>
        <v/>
      </c>
      <c r="L19" s="683" t="str">
        <f t="shared" si="6"/>
        <v/>
      </c>
      <c r="M19" s="683" t="str">
        <f t="shared" si="6"/>
        <v/>
      </c>
      <c r="N19" s="683" t="str">
        <f t="shared" si="6"/>
        <v/>
      </c>
      <c r="O19" s="686" t="str">
        <f t="shared" si="6"/>
        <v/>
      </c>
      <c r="P19" s="511" t="str">
        <f t="shared" si="0"/>
        <v>-</v>
      </c>
      <c r="Q19" s="6" t="str">
        <f t="shared" si="1"/>
        <v>-</v>
      </c>
    </row>
    <row r="20" spans="1:17" ht="15.75" x14ac:dyDescent="0.25">
      <c r="A20" s="894"/>
      <c r="B20" s="823" t="s">
        <v>15</v>
      </c>
      <c r="C20" s="19" t="s">
        <v>21</v>
      </c>
      <c r="D20" s="549"/>
      <c r="E20" s="549"/>
      <c r="F20" s="549"/>
      <c r="G20" s="549"/>
      <c r="H20" s="549"/>
      <c r="I20" s="549"/>
      <c r="J20" s="549"/>
      <c r="K20" s="549"/>
      <c r="L20" s="549"/>
      <c r="M20" s="549"/>
      <c r="N20" s="549"/>
      <c r="O20" s="550"/>
      <c r="P20" s="512" t="str">
        <f t="shared" si="0"/>
        <v>-</v>
      </c>
      <c r="Q20" s="4" t="str">
        <f t="shared" si="1"/>
        <v>-</v>
      </c>
    </row>
    <row r="21" spans="1:17" ht="15.75" x14ac:dyDescent="0.25">
      <c r="A21" s="894"/>
      <c r="B21" s="824"/>
      <c r="C21" s="20" t="s">
        <v>22</v>
      </c>
      <c r="D21" s="683" t="str">
        <f>IF(D20=0,"",D$7*D20*24)</f>
        <v/>
      </c>
      <c r="E21" s="683" t="str">
        <f t="shared" ref="E21:O21" si="7">IF(E20=0,"",E$7*E20*24)</f>
        <v/>
      </c>
      <c r="F21" s="683" t="str">
        <f t="shared" si="7"/>
        <v/>
      </c>
      <c r="G21" s="683" t="str">
        <f t="shared" si="7"/>
        <v/>
      </c>
      <c r="H21" s="683" t="str">
        <f t="shared" si="7"/>
        <v/>
      </c>
      <c r="I21" s="683" t="str">
        <f t="shared" si="7"/>
        <v/>
      </c>
      <c r="J21" s="683" t="str">
        <f t="shared" si="7"/>
        <v/>
      </c>
      <c r="K21" s="683" t="str">
        <f t="shared" si="7"/>
        <v/>
      </c>
      <c r="L21" s="683" t="str">
        <f t="shared" si="7"/>
        <v/>
      </c>
      <c r="M21" s="683" t="str">
        <f t="shared" si="7"/>
        <v/>
      </c>
      <c r="N21" s="683" t="str">
        <f t="shared" si="7"/>
        <v/>
      </c>
      <c r="O21" s="686" t="str">
        <f t="shared" si="7"/>
        <v/>
      </c>
      <c r="P21" s="511" t="str">
        <f t="shared" si="0"/>
        <v>-</v>
      </c>
      <c r="Q21" s="6" t="str">
        <f t="shared" si="1"/>
        <v>-</v>
      </c>
    </row>
    <row r="22" spans="1:17" ht="15.75" x14ac:dyDescent="0.25">
      <c r="A22" s="894"/>
      <c r="B22" s="823" t="s">
        <v>13</v>
      </c>
      <c r="C22" s="775" t="s">
        <v>21</v>
      </c>
      <c r="D22" s="549"/>
      <c r="E22" s="549"/>
      <c r="F22" s="549"/>
      <c r="G22" s="549"/>
      <c r="H22" s="549"/>
      <c r="I22" s="549"/>
      <c r="J22" s="549"/>
      <c r="K22" s="549"/>
      <c r="L22" s="549"/>
      <c r="M22" s="549"/>
      <c r="N22" s="549"/>
      <c r="O22" s="550"/>
      <c r="P22" s="512" t="str">
        <f t="shared" si="0"/>
        <v>-</v>
      </c>
      <c r="Q22" s="4" t="str">
        <f t="shared" si="1"/>
        <v>-</v>
      </c>
    </row>
    <row r="23" spans="1:17" ht="15.75" x14ac:dyDescent="0.25">
      <c r="A23" s="894"/>
      <c r="B23" s="824"/>
      <c r="C23" s="775" t="s">
        <v>22</v>
      </c>
      <c r="D23" s="683" t="str">
        <f>IF(D22=0,"",D$7*D22*24)</f>
        <v/>
      </c>
      <c r="E23" s="683" t="str">
        <f t="shared" ref="E23:O23" si="8">IF(E22=0,"",E$7*E22*24)</f>
        <v/>
      </c>
      <c r="F23" s="683" t="str">
        <f t="shared" si="8"/>
        <v/>
      </c>
      <c r="G23" s="683" t="str">
        <f t="shared" si="8"/>
        <v/>
      </c>
      <c r="H23" s="683" t="str">
        <f t="shared" si="8"/>
        <v/>
      </c>
      <c r="I23" s="683" t="str">
        <f t="shared" si="8"/>
        <v/>
      </c>
      <c r="J23" s="683" t="str">
        <f t="shared" si="8"/>
        <v/>
      </c>
      <c r="K23" s="683" t="str">
        <f t="shared" si="8"/>
        <v/>
      </c>
      <c r="L23" s="683" t="str">
        <f t="shared" si="8"/>
        <v/>
      </c>
      <c r="M23" s="683" t="str">
        <f t="shared" si="8"/>
        <v/>
      </c>
      <c r="N23" s="683" t="str">
        <f t="shared" si="8"/>
        <v/>
      </c>
      <c r="O23" s="686" t="str">
        <f t="shared" si="8"/>
        <v/>
      </c>
      <c r="P23" s="511" t="str">
        <f t="shared" si="0"/>
        <v>-</v>
      </c>
      <c r="Q23" s="6" t="str">
        <f t="shared" si="1"/>
        <v>-</v>
      </c>
    </row>
    <row r="24" spans="1:17" ht="15.75" x14ac:dyDescent="0.25">
      <c r="A24" s="894"/>
      <c r="B24" s="823" t="s">
        <v>20</v>
      </c>
      <c r="C24" s="19" t="s">
        <v>21</v>
      </c>
      <c r="D24" s="549"/>
      <c r="E24" s="549"/>
      <c r="F24" s="549"/>
      <c r="G24" s="549"/>
      <c r="H24" s="549"/>
      <c r="I24" s="549"/>
      <c r="J24" s="549"/>
      <c r="K24" s="549"/>
      <c r="L24" s="549"/>
      <c r="M24" s="549"/>
      <c r="N24" s="549"/>
      <c r="O24" s="550"/>
      <c r="P24" s="512" t="str">
        <f t="shared" si="0"/>
        <v>-</v>
      </c>
      <c r="Q24" s="4" t="str">
        <f t="shared" si="1"/>
        <v>-</v>
      </c>
    </row>
    <row r="25" spans="1:17" ht="15.75" x14ac:dyDescent="0.25">
      <c r="A25" s="894"/>
      <c r="B25" s="824"/>
      <c r="C25" s="20" t="s">
        <v>22</v>
      </c>
      <c r="D25" s="683" t="str">
        <f>IF(D24=0,"",D$7*D24*24)</f>
        <v/>
      </c>
      <c r="E25" s="683" t="str">
        <f t="shared" ref="E25:O25" si="9">IF(E24=0,"",E$7*E24*24)</f>
        <v/>
      </c>
      <c r="F25" s="683" t="str">
        <f t="shared" si="9"/>
        <v/>
      </c>
      <c r="G25" s="683" t="str">
        <f t="shared" si="9"/>
        <v/>
      </c>
      <c r="H25" s="683" t="str">
        <f t="shared" si="9"/>
        <v/>
      </c>
      <c r="I25" s="683" t="str">
        <f t="shared" si="9"/>
        <v/>
      </c>
      <c r="J25" s="683" t="str">
        <f t="shared" si="9"/>
        <v/>
      </c>
      <c r="K25" s="683" t="str">
        <f t="shared" si="9"/>
        <v/>
      </c>
      <c r="L25" s="683" t="str">
        <f t="shared" si="9"/>
        <v/>
      </c>
      <c r="M25" s="683" t="str">
        <f t="shared" si="9"/>
        <v/>
      </c>
      <c r="N25" s="683" t="str">
        <f t="shared" si="9"/>
        <v/>
      </c>
      <c r="O25" s="686" t="str">
        <f t="shared" si="9"/>
        <v/>
      </c>
      <c r="P25" s="511" t="str">
        <f t="shared" si="0"/>
        <v>-</v>
      </c>
      <c r="Q25" s="6" t="str">
        <f t="shared" si="1"/>
        <v>-</v>
      </c>
    </row>
    <row r="26" spans="1:17" ht="15.75" x14ac:dyDescent="0.25">
      <c r="A26" s="894"/>
      <c r="B26" s="823" t="s">
        <v>1</v>
      </c>
      <c r="C26" s="775" t="s">
        <v>21</v>
      </c>
      <c r="D26" s="549"/>
      <c r="E26" s="549"/>
      <c r="F26" s="549"/>
      <c r="G26" s="549"/>
      <c r="H26" s="549"/>
      <c r="I26" s="549"/>
      <c r="J26" s="549"/>
      <c r="K26" s="549"/>
      <c r="L26" s="549"/>
      <c r="M26" s="549"/>
      <c r="N26" s="549"/>
      <c r="O26" s="550"/>
      <c r="P26" s="512" t="str">
        <f t="shared" si="0"/>
        <v>-</v>
      </c>
      <c r="Q26" s="4" t="str">
        <f t="shared" si="1"/>
        <v>-</v>
      </c>
    </row>
    <row r="27" spans="1:17" ht="15.75" x14ac:dyDescent="0.25">
      <c r="A27" s="894"/>
      <c r="B27" s="824"/>
      <c r="C27" s="775" t="s">
        <v>22</v>
      </c>
      <c r="D27" s="683" t="str">
        <f>IF(D26=0,"",D$7*D26*24)</f>
        <v/>
      </c>
      <c r="E27" s="683" t="str">
        <f t="shared" ref="E27:O27" si="10">IF(E26=0,"",E$7*E26*24)</f>
        <v/>
      </c>
      <c r="F27" s="683" t="str">
        <f t="shared" si="10"/>
        <v/>
      </c>
      <c r="G27" s="683" t="str">
        <f t="shared" si="10"/>
        <v/>
      </c>
      <c r="H27" s="683" t="str">
        <f t="shared" si="10"/>
        <v/>
      </c>
      <c r="I27" s="683" t="str">
        <f t="shared" si="10"/>
        <v/>
      </c>
      <c r="J27" s="683" t="str">
        <f t="shared" si="10"/>
        <v/>
      </c>
      <c r="K27" s="683" t="str">
        <f t="shared" si="10"/>
        <v/>
      </c>
      <c r="L27" s="683" t="str">
        <f t="shared" si="10"/>
        <v/>
      </c>
      <c r="M27" s="683" t="str">
        <f t="shared" si="10"/>
        <v/>
      </c>
      <c r="N27" s="683" t="str">
        <f t="shared" si="10"/>
        <v/>
      </c>
      <c r="O27" s="686" t="str">
        <f t="shared" si="10"/>
        <v/>
      </c>
      <c r="P27" s="511" t="str">
        <f t="shared" si="0"/>
        <v>-</v>
      </c>
      <c r="Q27" s="6" t="str">
        <f t="shared" si="1"/>
        <v>-</v>
      </c>
    </row>
    <row r="28" spans="1:17" ht="15.75" x14ac:dyDescent="0.25">
      <c r="A28" s="894"/>
      <c r="B28" s="900" t="s">
        <v>171</v>
      </c>
      <c r="C28" s="16" t="s">
        <v>21</v>
      </c>
      <c r="D28" s="549"/>
      <c r="E28" s="549"/>
      <c r="F28" s="549"/>
      <c r="G28" s="549"/>
      <c r="H28" s="549"/>
      <c r="I28" s="549"/>
      <c r="J28" s="549"/>
      <c r="K28" s="549"/>
      <c r="L28" s="549"/>
      <c r="M28" s="549"/>
      <c r="N28" s="549"/>
      <c r="O28" s="550"/>
      <c r="P28" s="512" t="str">
        <f t="shared" si="0"/>
        <v>-</v>
      </c>
      <c r="Q28" s="4" t="str">
        <f t="shared" si="1"/>
        <v>-</v>
      </c>
    </row>
    <row r="29" spans="1:17" ht="15.75" x14ac:dyDescent="0.25">
      <c r="A29" s="894"/>
      <c r="B29" s="901"/>
      <c r="C29" s="17" t="s">
        <v>22</v>
      </c>
      <c r="D29" s="687" t="str">
        <f>IF(D28=0,"",D$7*D28*24)</f>
        <v/>
      </c>
      <c r="E29" s="687" t="str">
        <f t="shared" ref="E29:O29" si="11">IF(E28=0,"",E$7*E28*24)</f>
        <v/>
      </c>
      <c r="F29" s="687" t="str">
        <f t="shared" si="11"/>
        <v/>
      </c>
      <c r="G29" s="687" t="str">
        <f t="shared" si="11"/>
        <v/>
      </c>
      <c r="H29" s="687" t="str">
        <f t="shared" si="11"/>
        <v/>
      </c>
      <c r="I29" s="687" t="str">
        <f t="shared" si="11"/>
        <v/>
      </c>
      <c r="J29" s="687" t="str">
        <f t="shared" si="11"/>
        <v/>
      </c>
      <c r="K29" s="687" t="str">
        <f t="shared" si="11"/>
        <v/>
      </c>
      <c r="L29" s="687" t="str">
        <f t="shared" si="11"/>
        <v/>
      </c>
      <c r="M29" s="687" t="str">
        <f t="shared" si="11"/>
        <v/>
      </c>
      <c r="N29" s="687" t="str">
        <f t="shared" si="11"/>
        <v/>
      </c>
      <c r="O29" s="688" t="str">
        <f t="shared" si="11"/>
        <v/>
      </c>
      <c r="P29" s="511" t="str">
        <f t="shared" si="0"/>
        <v>-</v>
      </c>
      <c r="Q29" s="6" t="str">
        <f t="shared" si="1"/>
        <v>-</v>
      </c>
    </row>
    <row r="30" spans="1:17" ht="15.75" x14ac:dyDescent="0.25">
      <c r="A30" s="894"/>
      <c r="B30" s="900" t="s">
        <v>171</v>
      </c>
      <c r="C30" s="16" t="s">
        <v>21</v>
      </c>
      <c r="D30" s="549"/>
      <c r="E30" s="549"/>
      <c r="F30" s="549"/>
      <c r="G30" s="549"/>
      <c r="H30" s="549"/>
      <c r="I30" s="549"/>
      <c r="J30" s="549"/>
      <c r="K30" s="549"/>
      <c r="L30" s="549"/>
      <c r="M30" s="549"/>
      <c r="N30" s="549"/>
      <c r="O30" s="550"/>
      <c r="P30" s="512" t="str">
        <f t="shared" si="0"/>
        <v>-</v>
      </c>
      <c r="Q30" s="4" t="str">
        <f t="shared" si="1"/>
        <v>-</v>
      </c>
    </row>
    <row r="31" spans="1:17" ht="15.75" x14ac:dyDescent="0.25">
      <c r="A31" s="894"/>
      <c r="B31" s="901"/>
      <c r="C31" s="17" t="s">
        <v>22</v>
      </c>
      <c r="D31" s="687" t="str">
        <f>IF(D30=0,"",D$7*D30*24)</f>
        <v/>
      </c>
      <c r="E31" s="687" t="str">
        <f t="shared" ref="E31:O31" si="12">IF(E30=0,"",E$7*E30*24)</f>
        <v/>
      </c>
      <c r="F31" s="687" t="str">
        <f t="shared" si="12"/>
        <v/>
      </c>
      <c r="G31" s="687" t="str">
        <f t="shared" si="12"/>
        <v/>
      </c>
      <c r="H31" s="687" t="str">
        <f t="shared" si="12"/>
        <v/>
      </c>
      <c r="I31" s="687" t="str">
        <f t="shared" si="12"/>
        <v/>
      </c>
      <c r="J31" s="687" t="str">
        <f t="shared" si="12"/>
        <v/>
      </c>
      <c r="K31" s="687" t="str">
        <f t="shared" si="12"/>
        <v/>
      </c>
      <c r="L31" s="687" t="str">
        <f t="shared" si="12"/>
        <v/>
      </c>
      <c r="M31" s="687" t="str">
        <f t="shared" si="12"/>
        <v/>
      </c>
      <c r="N31" s="687" t="str">
        <f t="shared" si="12"/>
        <v/>
      </c>
      <c r="O31" s="688" t="str">
        <f t="shared" si="12"/>
        <v/>
      </c>
      <c r="P31" s="511" t="str">
        <f t="shared" si="0"/>
        <v>-</v>
      </c>
      <c r="Q31" s="6" t="str">
        <f t="shared" si="1"/>
        <v>-</v>
      </c>
    </row>
    <row r="32" spans="1:17" ht="15.75" x14ac:dyDescent="0.25">
      <c r="A32" s="894"/>
      <c r="B32" s="900" t="s">
        <v>171</v>
      </c>
      <c r="C32" s="16" t="s">
        <v>21</v>
      </c>
      <c r="D32" s="549"/>
      <c r="E32" s="549"/>
      <c r="F32" s="549"/>
      <c r="G32" s="549"/>
      <c r="H32" s="549"/>
      <c r="I32" s="549"/>
      <c r="J32" s="549"/>
      <c r="K32" s="549"/>
      <c r="L32" s="549"/>
      <c r="M32" s="549"/>
      <c r="N32" s="549"/>
      <c r="O32" s="550"/>
      <c r="P32" s="512" t="str">
        <f t="shared" si="0"/>
        <v>-</v>
      </c>
      <c r="Q32" s="4" t="str">
        <f t="shared" si="1"/>
        <v>-</v>
      </c>
    </row>
    <row r="33" spans="1:17" ht="15.75" x14ac:dyDescent="0.25">
      <c r="A33" s="894"/>
      <c r="B33" s="901"/>
      <c r="C33" s="17" t="s">
        <v>22</v>
      </c>
      <c r="D33" s="687" t="str">
        <f>IF(D32=0,"",D$7*D32*24)</f>
        <v/>
      </c>
      <c r="E33" s="687" t="str">
        <f t="shared" ref="E33:O33" si="13">IF(E32=0,"",E$7*E32*24)</f>
        <v/>
      </c>
      <c r="F33" s="687" t="str">
        <f t="shared" si="13"/>
        <v/>
      </c>
      <c r="G33" s="687" t="str">
        <f t="shared" si="13"/>
        <v/>
      </c>
      <c r="H33" s="687" t="str">
        <f t="shared" si="13"/>
        <v/>
      </c>
      <c r="I33" s="687" t="str">
        <f t="shared" si="13"/>
        <v/>
      </c>
      <c r="J33" s="687" t="str">
        <f t="shared" si="13"/>
        <v/>
      </c>
      <c r="K33" s="687" t="str">
        <f t="shared" si="13"/>
        <v/>
      </c>
      <c r="L33" s="687" t="str">
        <f t="shared" si="13"/>
        <v/>
      </c>
      <c r="M33" s="687" t="str">
        <f t="shared" si="13"/>
        <v/>
      </c>
      <c r="N33" s="687" t="str">
        <f t="shared" si="13"/>
        <v/>
      </c>
      <c r="O33" s="688" t="str">
        <f t="shared" si="13"/>
        <v/>
      </c>
      <c r="P33" s="511" t="str">
        <f t="shared" ref="P33" si="14">IF(Q33="-","-",Q33/12)</f>
        <v>-</v>
      </c>
      <c r="Q33" s="4" t="str">
        <f t="shared" si="1"/>
        <v>-</v>
      </c>
    </row>
    <row r="34" spans="1:17" ht="15.75" x14ac:dyDescent="0.25">
      <c r="A34" s="894"/>
      <c r="B34" s="900" t="s">
        <v>171</v>
      </c>
      <c r="C34" s="16" t="s">
        <v>21</v>
      </c>
      <c r="D34" s="549"/>
      <c r="E34" s="549"/>
      <c r="F34" s="549"/>
      <c r="G34" s="549"/>
      <c r="H34" s="549"/>
      <c r="I34" s="549"/>
      <c r="J34" s="549"/>
      <c r="K34" s="549"/>
      <c r="L34" s="549"/>
      <c r="M34" s="549"/>
      <c r="N34" s="549"/>
      <c r="O34" s="550"/>
      <c r="P34" s="512" t="str">
        <f t="shared" si="0"/>
        <v>-</v>
      </c>
      <c r="Q34" s="4" t="str">
        <f t="shared" si="1"/>
        <v>-</v>
      </c>
    </row>
    <row r="35" spans="1:17" ht="15.75" x14ac:dyDescent="0.25">
      <c r="A35" s="894"/>
      <c r="B35" s="901"/>
      <c r="C35" s="17" t="s">
        <v>22</v>
      </c>
      <c r="D35" s="687" t="str">
        <f>IF(D34=0,"",D$7*D34*24)</f>
        <v/>
      </c>
      <c r="E35" s="687" t="str">
        <f t="shared" ref="E35:O35" si="15">IF(E34=0,"",E$7*E34*24)</f>
        <v/>
      </c>
      <c r="F35" s="687" t="str">
        <f t="shared" si="15"/>
        <v/>
      </c>
      <c r="G35" s="687" t="str">
        <f t="shared" si="15"/>
        <v/>
      </c>
      <c r="H35" s="687" t="str">
        <f t="shared" si="15"/>
        <v/>
      </c>
      <c r="I35" s="687" t="str">
        <f t="shared" si="15"/>
        <v/>
      </c>
      <c r="J35" s="687" t="str">
        <f t="shared" si="15"/>
        <v/>
      </c>
      <c r="K35" s="687" t="str">
        <f t="shared" si="15"/>
        <v/>
      </c>
      <c r="L35" s="687" t="str">
        <f t="shared" si="15"/>
        <v/>
      </c>
      <c r="M35" s="687" t="str">
        <f t="shared" si="15"/>
        <v/>
      </c>
      <c r="N35" s="687" t="str">
        <f t="shared" si="15"/>
        <v/>
      </c>
      <c r="O35" s="688" t="str">
        <f t="shared" si="15"/>
        <v/>
      </c>
      <c r="P35" s="511" t="str">
        <f t="shared" si="0"/>
        <v>-</v>
      </c>
      <c r="Q35" s="6" t="str">
        <f t="shared" si="1"/>
        <v>-</v>
      </c>
    </row>
    <row r="36" spans="1:17" ht="15.75" x14ac:dyDescent="0.25">
      <c r="A36" s="894"/>
      <c r="B36" s="884" t="s">
        <v>18</v>
      </c>
      <c r="C36" s="885"/>
      <c r="D36" s="689" t="str">
        <f>IF(SUM(D8,D10,D12,D14,D16,D18,D20,D22,D24,D26,D28,D30,D32,D34)=0,"",SUM(D8,D10,D12,D14,D16,D18,D20,D22,D24,D26,D28,D30,D32,D34))</f>
        <v/>
      </c>
      <c r="E36" s="689" t="str">
        <f t="shared" ref="E36:O36" si="16">IF(SUM(E8,E10,E12,E14,E16,E18,E20,E22,E24,E26,E28,E30,E32,E34)=0,"",SUM(E8,E10,E12,E14,E16,E18,E20,E22,E24,E26,E28,E30,E32,E34))</f>
        <v/>
      </c>
      <c r="F36" s="689" t="str">
        <f t="shared" si="16"/>
        <v/>
      </c>
      <c r="G36" s="689" t="str">
        <f t="shared" si="16"/>
        <v/>
      </c>
      <c r="H36" s="689" t="str">
        <f t="shared" si="16"/>
        <v/>
      </c>
      <c r="I36" s="689" t="str">
        <f t="shared" si="16"/>
        <v/>
      </c>
      <c r="J36" s="689" t="str">
        <f t="shared" si="16"/>
        <v/>
      </c>
      <c r="K36" s="689" t="str">
        <f t="shared" si="16"/>
        <v/>
      </c>
      <c r="L36" s="689" t="str">
        <f t="shared" si="16"/>
        <v/>
      </c>
      <c r="M36" s="689" t="str">
        <f t="shared" si="16"/>
        <v/>
      </c>
      <c r="N36" s="689" t="str">
        <f t="shared" si="16"/>
        <v/>
      </c>
      <c r="O36" s="690" t="str">
        <f t="shared" si="16"/>
        <v/>
      </c>
      <c r="P36" s="512" t="str">
        <f t="shared" si="0"/>
        <v>-</v>
      </c>
      <c r="Q36" s="4" t="str">
        <f t="shared" si="1"/>
        <v>-</v>
      </c>
    </row>
    <row r="37" spans="1:17" ht="15.75" customHeight="1" thickBot="1" x14ac:dyDescent="0.3">
      <c r="A37" s="895"/>
      <c r="B37" s="905" t="s">
        <v>17</v>
      </c>
      <c r="C37" s="906"/>
      <c r="D37" s="731" t="str">
        <f>IF(D36="","",SUM(D9,D11,D13,D15,D17,D19,D21,D23,D25,D27,D29,D31,D33,D35))</f>
        <v/>
      </c>
      <c r="E37" s="731" t="str">
        <f t="shared" ref="E37:O37" si="17">IF(E36="","",SUM(E9,E11,E13,E15,E17,E19,E21,E23,E25,E27,E29,E31,E33,E35))</f>
        <v/>
      </c>
      <c r="F37" s="731" t="str">
        <f t="shared" si="17"/>
        <v/>
      </c>
      <c r="G37" s="731" t="str">
        <f t="shared" si="17"/>
        <v/>
      </c>
      <c r="H37" s="731" t="str">
        <f t="shared" si="17"/>
        <v/>
      </c>
      <c r="I37" s="731" t="str">
        <f t="shared" si="17"/>
        <v/>
      </c>
      <c r="J37" s="731" t="str">
        <f t="shared" si="17"/>
        <v/>
      </c>
      <c r="K37" s="731" t="str">
        <f t="shared" si="17"/>
        <v/>
      </c>
      <c r="L37" s="731" t="str">
        <f t="shared" si="17"/>
        <v/>
      </c>
      <c r="M37" s="731" t="str">
        <f t="shared" si="17"/>
        <v/>
      </c>
      <c r="N37" s="731" t="str">
        <f t="shared" si="17"/>
        <v/>
      </c>
      <c r="O37" s="732" t="str">
        <f t="shared" si="17"/>
        <v/>
      </c>
      <c r="P37" s="525" t="str">
        <f t="shared" si="0"/>
        <v>-</v>
      </c>
      <c r="Q37" s="7" t="str">
        <f t="shared" si="1"/>
        <v>-</v>
      </c>
    </row>
    <row r="38" spans="1:17" ht="15.75" customHeight="1" x14ac:dyDescent="0.25">
      <c r="A38" s="907" t="s">
        <v>111</v>
      </c>
      <c r="B38" s="878" t="s">
        <v>3</v>
      </c>
      <c r="C38" s="879"/>
      <c r="D38" s="547" t="str">
        <f>IF('2024DATA'!AF3=0,"",'2024DATA'!AF3)</f>
        <v/>
      </c>
      <c r="E38" s="547" t="str">
        <f>IF('2024DATA'!AG3=0,"",'2024DATA'!AG3)</f>
        <v/>
      </c>
      <c r="F38" s="547" t="str">
        <f>IF('2024DATA'!AH3=0,"",'2024DATA'!AH3)</f>
        <v/>
      </c>
      <c r="G38" s="547" t="str">
        <f>IF('2024DATA'!AI3=0,"",'2024DATA'!AI3)</f>
        <v/>
      </c>
      <c r="H38" s="547" t="str">
        <f>IF('2024DATA'!AJ3=0,"",'2024DATA'!AJ3)</f>
        <v/>
      </c>
      <c r="I38" s="547" t="str">
        <f>IF('2024DATA'!AK3=0,"",'2024DATA'!AK3)</f>
        <v/>
      </c>
      <c r="J38" s="547" t="str">
        <f>IF('2024DATA'!AL3=0,"",'2024DATA'!AL3)</f>
        <v/>
      </c>
      <c r="K38" s="547" t="str">
        <f>IF('2024DATA'!AM3=0,"",'2024DATA'!AM3)</f>
        <v/>
      </c>
      <c r="L38" s="547" t="str">
        <f>IF('2024DATA'!AN3=0,"",'2024DATA'!AN3)</f>
        <v/>
      </c>
      <c r="M38" s="547" t="str">
        <f>IF('2024DATA'!AO3=0,"",'2024DATA'!AO3)</f>
        <v/>
      </c>
      <c r="N38" s="547" t="str">
        <f>IF('2024DATA'!AP3=0,"",'2024DATA'!AP3)</f>
        <v/>
      </c>
      <c r="O38" s="548" t="str">
        <f>IF('2024DATA'!AQ3=0,"",'2024DATA'!AQ3)</f>
        <v/>
      </c>
      <c r="P38" s="880"/>
      <c r="Q38" s="881"/>
    </row>
    <row r="39" spans="1:17" ht="15.75" customHeight="1" x14ac:dyDescent="0.25">
      <c r="A39" s="908"/>
      <c r="B39" s="823" t="s">
        <v>7</v>
      </c>
      <c r="C39" s="16" t="s">
        <v>21</v>
      </c>
      <c r="D39" s="549"/>
      <c r="E39" s="549"/>
      <c r="F39" s="549"/>
      <c r="G39" s="549"/>
      <c r="H39" s="549"/>
      <c r="I39" s="549"/>
      <c r="J39" s="549"/>
      <c r="K39" s="549"/>
      <c r="L39" s="549"/>
      <c r="M39" s="549"/>
      <c r="N39" s="549"/>
      <c r="O39" s="550"/>
      <c r="P39" s="512" t="str">
        <f t="shared" ref="P39:P66" si="18">IF(Q39="-","-",Q39/12)</f>
        <v>-</v>
      </c>
      <c r="Q39" s="4" t="str">
        <f t="shared" ref="Q39:Q60" si="19">IF(SUM(D39:O39)=0,"-",SUM(D39:O39))</f>
        <v>-</v>
      </c>
    </row>
    <row r="40" spans="1:17" ht="15.75" customHeight="1" x14ac:dyDescent="0.25">
      <c r="A40" s="908"/>
      <c r="B40" s="824"/>
      <c r="C40" s="17" t="s">
        <v>22</v>
      </c>
      <c r="D40" s="683" t="str">
        <f>IF(D39=0,"",D$38*D39*24)</f>
        <v/>
      </c>
      <c r="E40" s="683" t="str">
        <f t="shared" ref="E40:O40" si="20">IF(E39=0,"",E$38*E39*24)</f>
        <v/>
      </c>
      <c r="F40" s="683" t="str">
        <f t="shared" si="20"/>
        <v/>
      </c>
      <c r="G40" s="683" t="str">
        <f t="shared" si="20"/>
        <v/>
      </c>
      <c r="H40" s="683" t="str">
        <f t="shared" si="20"/>
        <v/>
      </c>
      <c r="I40" s="683" t="str">
        <f t="shared" si="20"/>
        <v/>
      </c>
      <c r="J40" s="683" t="str">
        <f t="shared" si="20"/>
        <v/>
      </c>
      <c r="K40" s="683" t="str">
        <f t="shared" si="20"/>
        <v/>
      </c>
      <c r="L40" s="683" t="str">
        <f t="shared" si="20"/>
        <v/>
      </c>
      <c r="M40" s="683" t="str">
        <f t="shared" si="20"/>
        <v/>
      </c>
      <c r="N40" s="683" t="str">
        <f t="shared" si="20"/>
        <v/>
      </c>
      <c r="O40" s="686" t="str">
        <f t="shared" si="20"/>
        <v/>
      </c>
      <c r="P40" s="511" t="str">
        <f t="shared" si="18"/>
        <v>-</v>
      </c>
      <c r="Q40" s="6" t="str">
        <f t="shared" si="19"/>
        <v>-</v>
      </c>
    </row>
    <row r="41" spans="1:17" ht="15.75" customHeight="1" x14ac:dyDescent="0.25">
      <c r="A41" s="908"/>
      <c r="B41" s="823" t="s">
        <v>8</v>
      </c>
      <c r="C41" s="18" t="s">
        <v>21</v>
      </c>
      <c r="D41" s="549"/>
      <c r="E41" s="549"/>
      <c r="F41" s="549"/>
      <c r="G41" s="549"/>
      <c r="H41" s="549"/>
      <c r="I41" s="549"/>
      <c r="J41" s="549"/>
      <c r="K41" s="549"/>
      <c r="L41" s="549"/>
      <c r="M41" s="549"/>
      <c r="N41" s="549"/>
      <c r="O41" s="550"/>
      <c r="P41" s="512" t="str">
        <f t="shared" si="18"/>
        <v>-</v>
      </c>
      <c r="Q41" s="4" t="str">
        <f t="shared" si="19"/>
        <v>-</v>
      </c>
    </row>
    <row r="42" spans="1:17" ht="15.75" customHeight="1" x14ac:dyDescent="0.25">
      <c r="A42" s="908"/>
      <c r="B42" s="824"/>
      <c r="C42" s="18" t="s">
        <v>22</v>
      </c>
      <c r="D42" s="683" t="str">
        <f>IF(D41=0,"",(D38+IF(D$4="CA",DATA!$B$22,DATA!$B$23))*D41*24)</f>
        <v/>
      </c>
      <c r="E42" s="683" t="str">
        <f>IF(E41=0,"",(E38+IF(E$4="CA",DATA!$B$22,DATA!$B$23))*E41*24)</f>
        <v/>
      </c>
      <c r="F42" s="683" t="str">
        <f>IF(F41=0,"",(F38+IF(F$4="CA",DATA!$B$22,DATA!$B$23))*F41*24)</f>
        <v/>
      </c>
      <c r="G42" s="683" t="str">
        <f>IF(G41=0,"",(G38+IF(G$4="CA",DATA!$B$22,DATA!$B$23))*G41*24)</f>
        <v/>
      </c>
      <c r="H42" s="683" t="str">
        <f>IF(H41=0,"",(H38+IF(H$4="CA",DATA!$B$22,DATA!$B$23))*H41*24)</f>
        <v/>
      </c>
      <c r="I42" s="683" t="str">
        <f>IF(I41=0,"",(I38+IF(I$4="CA",DATA!$B$22,DATA!$B$23))*I41*24)</f>
        <v/>
      </c>
      <c r="J42" s="683" t="str">
        <f>IF(J41=0,"",(J38+IF(J$4="CA",DATA!$B$22,DATA!$B$23))*J41*24)</f>
        <v/>
      </c>
      <c r="K42" s="683" t="str">
        <f>IF(K41=0,"",(K38+IF(K$4="CA",DATA!$B$22,DATA!$B$23))*K41*24)</f>
        <v/>
      </c>
      <c r="L42" s="683" t="str">
        <f>IF(L41=0,"",(L38+IF(L$4="CA",DATA!$B$22,DATA!$B$23))*L41*24)</f>
        <v/>
      </c>
      <c r="M42" s="683" t="str">
        <f>IF(M41=0,"",(M38+IF(M$4="CA",DATA!$B$22,DATA!$B$23))*M41*24)</f>
        <v/>
      </c>
      <c r="N42" s="683" t="str">
        <f>IF(N41=0,"",(N38+IF(N$4="CA",DATA!$B$22,DATA!$B$23))*N41*24)</f>
        <v/>
      </c>
      <c r="O42" s="686" t="str">
        <f>IF(O41=0,"",(O38+IF(O$4="CA",DATA!$B$22,DATA!$B$23))*O41*24)</f>
        <v/>
      </c>
      <c r="P42" s="511" t="str">
        <f t="shared" si="18"/>
        <v>-</v>
      </c>
      <c r="Q42" s="6" t="str">
        <f t="shared" si="19"/>
        <v>-</v>
      </c>
    </row>
    <row r="43" spans="1:17" ht="15.75" customHeight="1" x14ac:dyDescent="0.25">
      <c r="A43" s="908"/>
      <c r="B43" s="823" t="s">
        <v>9</v>
      </c>
      <c r="C43" s="16" t="s">
        <v>21</v>
      </c>
      <c r="D43" s="549"/>
      <c r="E43" s="549"/>
      <c r="F43" s="549"/>
      <c r="G43" s="549"/>
      <c r="H43" s="549"/>
      <c r="I43" s="549"/>
      <c r="J43" s="549"/>
      <c r="K43" s="549"/>
      <c r="L43" s="549"/>
      <c r="M43" s="549"/>
      <c r="N43" s="549"/>
      <c r="O43" s="550"/>
      <c r="P43" s="512" t="str">
        <f t="shared" si="18"/>
        <v>-</v>
      </c>
      <c r="Q43" s="4" t="str">
        <f t="shared" si="19"/>
        <v>-</v>
      </c>
    </row>
    <row r="44" spans="1:17" ht="15.75" customHeight="1" x14ac:dyDescent="0.25">
      <c r="A44" s="908"/>
      <c r="B44" s="824"/>
      <c r="C44" s="17" t="s">
        <v>22</v>
      </c>
      <c r="D44" s="683" t="str">
        <f>IF(D43=0,"",D$38*D43*24)</f>
        <v/>
      </c>
      <c r="E44" s="683" t="str">
        <f t="shared" ref="E44:O44" si="21">IF(E43=0,"",E$38*E43*24)</f>
        <v/>
      </c>
      <c r="F44" s="683" t="str">
        <f t="shared" si="21"/>
        <v/>
      </c>
      <c r="G44" s="683" t="str">
        <f t="shared" si="21"/>
        <v/>
      </c>
      <c r="H44" s="683" t="str">
        <f t="shared" si="21"/>
        <v/>
      </c>
      <c r="I44" s="683" t="str">
        <f t="shared" si="21"/>
        <v/>
      </c>
      <c r="J44" s="683" t="str">
        <f t="shared" si="21"/>
        <v/>
      </c>
      <c r="K44" s="683" t="str">
        <f t="shared" si="21"/>
        <v/>
      </c>
      <c r="L44" s="683" t="str">
        <f t="shared" si="21"/>
        <v/>
      </c>
      <c r="M44" s="683" t="str">
        <f t="shared" si="21"/>
        <v/>
      </c>
      <c r="N44" s="683" t="str">
        <f t="shared" si="21"/>
        <v/>
      </c>
      <c r="O44" s="686" t="str">
        <f t="shared" si="21"/>
        <v/>
      </c>
      <c r="P44" s="511" t="str">
        <f t="shared" si="18"/>
        <v>-</v>
      </c>
      <c r="Q44" s="6" t="str">
        <f t="shared" si="19"/>
        <v>-</v>
      </c>
    </row>
    <row r="45" spans="1:17" ht="15.75" customHeight="1" x14ac:dyDescent="0.25">
      <c r="A45" s="908"/>
      <c r="B45" s="823" t="s">
        <v>10</v>
      </c>
      <c r="C45" s="18" t="s">
        <v>21</v>
      </c>
      <c r="D45" s="549"/>
      <c r="E45" s="549"/>
      <c r="F45" s="549"/>
      <c r="G45" s="549"/>
      <c r="H45" s="549"/>
      <c r="I45" s="549"/>
      <c r="J45" s="549"/>
      <c r="K45" s="549"/>
      <c r="L45" s="549"/>
      <c r="M45" s="549"/>
      <c r="N45" s="549"/>
      <c r="O45" s="550"/>
      <c r="P45" s="512" t="str">
        <f t="shared" si="18"/>
        <v>-</v>
      </c>
      <c r="Q45" s="4" t="str">
        <f t="shared" si="19"/>
        <v>-</v>
      </c>
    </row>
    <row r="46" spans="1:17" ht="15.75" customHeight="1" x14ac:dyDescent="0.25">
      <c r="A46" s="908"/>
      <c r="B46" s="824"/>
      <c r="C46" s="18" t="s">
        <v>22</v>
      </c>
      <c r="D46" s="683" t="str">
        <f>IF(D45=0,"",D$38*D45*24)</f>
        <v/>
      </c>
      <c r="E46" s="683" t="str">
        <f t="shared" ref="E46:O46" si="22">IF(E45=0,"",E$38*E45*24)</f>
        <v/>
      </c>
      <c r="F46" s="683" t="str">
        <f t="shared" si="22"/>
        <v/>
      </c>
      <c r="G46" s="683" t="str">
        <f t="shared" si="22"/>
        <v/>
      </c>
      <c r="H46" s="683" t="str">
        <f t="shared" si="22"/>
        <v/>
      </c>
      <c r="I46" s="683" t="str">
        <f t="shared" si="22"/>
        <v/>
      </c>
      <c r="J46" s="683" t="str">
        <f t="shared" si="22"/>
        <v/>
      </c>
      <c r="K46" s="683" t="str">
        <f t="shared" si="22"/>
        <v/>
      </c>
      <c r="L46" s="683" t="str">
        <f t="shared" si="22"/>
        <v/>
      </c>
      <c r="M46" s="683" t="str">
        <f t="shared" si="22"/>
        <v/>
      </c>
      <c r="N46" s="683" t="str">
        <f t="shared" si="22"/>
        <v/>
      </c>
      <c r="O46" s="686" t="str">
        <f t="shared" si="22"/>
        <v/>
      </c>
      <c r="P46" s="511" t="str">
        <f t="shared" si="18"/>
        <v>-</v>
      </c>
      <c r="Q46" s="6" t="str">
        <f t="shared" si="19"/>
        <v>-</v>
      </c>
    </row>
    <row r="47" spans="1:17" ht="15.75" customHeight="1" x14ac:dyDescent="0.25">
      <c r="A47" s="908"/>
      <c r="B47" s="823" t="s">
        <v>11</v>
      </c>
      <c r="C47" s="16" t="s">
        <v>21</v>
      </c>
      <c r="D47" s="549"/>
      <c r="E47" s="549"/>
      <c r="F47" s="549"/>
      <c r="G47" s="549"/>
      <c r="H47" s="549"/>
      <c r="I47" s="549"/>
      <c r="J47" s="549"/>
      <c r="K47" s="549"/>
      <c r="L47" s="549"/>
      <c r="M47" s="549"/>
      <c r="N47" s="549"/>
      <c r="O47" s="550"/>
      <c r="P47" s="512" t="str">
        <f t="shared" si="18"/>
        <v>-</v>
      </c>
      <c r="Q47" s="4" t="str">
        <f t="shared" si="19"/>
        <v>-</v>
      </c>
    </row>
    <row r="48" spans="1:17" ht="15.75" customHeight="1" x14ac:dyDescent="0.25">
      <c r="A48" s="908"/>
      <c r="B48" s="824"/>
      <c r="C48" s="17" t="s">
        <v>22</v>
      </c>
      <c r="D48" s="683" t="str">
        <f>IF(D47=0,"",D$38*D47*24)</f>
        <v/>
      </c>
      <c r="E48" s="683" t="str">
        <f t="shared" ref="E48:O48" si="23">IF(E47=0,"",E$38*E47*24)</f>
        <v/>
      </c>
      <c r="F48" s="683" t="str">
        <f t="shared" si="23"/>
        <v/>
      </c>
      <c r="G48" s="683" t="str">
        <f t="shared" si="23"/>
        <v/>
      </c>
      <c r="H48" s="683" t="str">
        <f t="shared" si="23"/>
        <v/>
      </c>
      <c r="I48" s="683" t="str">
        <f t="shared" si="23"/>
        <v/>
      </c>
      <c r="J48" s="683" t="str">
        <f t="shared" si="23"/>
        <v/>
      </c>
      <c r="K48" s="683" t="str">
        <f t="shared" si="23"/>
        <v/>
      </c>
      <c r="L48" s="683" t="str">
        <f t="shared" si="23"/>
        <v/>
      </c>
      <c r="M48" s="683" t="str">
        <f t="shared" si="23"/>
        <v/>
      </c>
      <c r="N48" s="683" t="str">
        <f t="shared" si="23"/>
        <v/>
      </c>
      <c r="O48" s="686" t="str">
        <f t="shared" si="23"/>
        <v/>
      </c>
      <c r="P48" s="511" t="str">
        <f t="shared" si="18"/>
        <v>-</v>
      </c>
      <c r="Q48" s="6" t="str">
        <f t="shared" si="19"/>
        <v>-</v>
      </c>
    </row>
    <row r="49" spans="1:17" ht="15.75" customHeight="1" x14ac:dyDescent="0.25">
      <c r="A49" s="908"/>
      <c r="B49" s="823" t="s">
        <v>12</v>
      </c>
      <c r="C49" s="18" t="s">
        <v>21</v>
      </c>
      <c r="D49" s="549"/>
      <c r="E49" s="549"/>
      <c r="F49" s="549"/>
      <c r="G49" s="549"/>
      <c r="H49" s="549"/>
      <c r="I49" s="549"/>
      <c r="J49" s="549"/>
      <c r="K49" s="549"/>
      <c r="L49" s="549"/>
      <c r="M49" s="549"/>
      <c r="N49" s="549"/>
      <c r="O49" s="550"/>
      <c r="P49" s="512" t="str">
        <f t="shared" si="18"/>
        <v>-</v>
      </c>
      <c r="Q49" s="4" t="str">
        <f t="shared" si="19"/>
        <v>-</v>
      </c>
    </row>
    <row r="50" spans="1:17" ht="15.75" customHeight="1" x14ac:dyDescent="0.25">
      <c r="A50" s="908"/>
      <c r="B50" s="824"/>
      <c r="C50" s="18" t="s">
        <v>22</v>
      </c>
      <c r="D50" s="683" t="str">
        <f>IF(D49=0,"",D$38*D49*24)</f>
        <v/>
      </c>
      <c r="E50" s="683" t="str">
        <f t="shared" ref="E50:O50" si="24">IF(E49=0,"",E$38*E49*24)</f>
        <v/>
      </c>
      <c r="F50" s="683" t="str">
        <f t="shared" si="24"/>
        <v/>
      </c>
      <c r="G50" s="683" t="str">
        <f t="shared" si="24"/>
        <v/>
      </c>
      <c r="H50" s="683" t="str">
        <f t="shared" si="24"/>
        <v/>
      </c>
      <c r="I50" s="683" t="str">
        <f t="shared" si="24"/>
        <v/>
      </c>
      <c r="J50" s="683" t="str">
        <f t="shared" si="24"/>
        <v/>
      </c>
      <c r="K50" s="683" t="str">
        <f t="shared" si="24"/>
        <v/>
      </c>
      <c r="L50" s="683" t="str">
        <f t="shared" si="24"/>
        <v/>
      </c>
      <c r="M50" s="683" t="str">
        <f t="shared" si="24"/>
        <v/>
      </c>
      <c r="N50" s="683" t="str">
        <f t="shared" si="24"/>
        <v/>
      </c>
      <c r="O50" s="686" t="str">
        <f t="shared" si="24"/>
        <v/>
      </c>
      <c r="P50" s="511" t="str">
        <f t="shared" si="18"/>
        <v>-</v>
      </c>
      <c r="Q50" s="6" t="str">
        <f t="shared" si="19"/>
        <v>-</v>
      </c>
    </row>
    <row r="51" spans="1:17" ht="15.75" customHeight="1" x14ac:dyDescent="0.25">
      <c r="A51" s="908"/>
      <c r="B51" s="823" t="s">
        <v>15</v>
      </c>
      <c r="C51" s="16" t="s">
        <v>21</v>
      </c>
      <c r="D51" s="549"/>
      <c r="E51" s="549"/>
      <c r="F51" s="549"/>
      <c r="G51" s="549"/>
      <c r="H51" s="549"/>
      <c r="I51" s="549"/>
      <c r="J51" s="549"/>
      <c r="K51" s="549"/>
      <c r="L51" s="549"/>
      <c r="M51" s="549"/>
      <c r="N51" s="549"/>
      <c r="O51" s="550"/>
      <c r="P51" s="512" t="str">
        <f t="shared" si="18"/>
        <v>-</v>
      </c>
      <c r="Q51" s="4" t="str">
        <f t="shared" si="19"/>
        <v>-</v>
      </c>
    </row>
    <row r="52" spans="1:17" ht="15.75" customHeight="1" x14ac:dyDescent="0.25">
      <c r="A52" s="908"/>
      <c r="B52" s="824"/>
      <c r="C52" s="17" t="s">
        <v>22</v>
      </c>
      <c r="D52" s="683" t="str">
        <f>IF(D51=0,"",D$38*D51*24)</f>
        <v/>
      </c>
      <c r="E52" s="683" t="str">
        <f t="shared" ref="E52:O52" si="25">IF(E51=0,"",E$38*E51*24)</f>
        <v/>
      </c>
      <c r="F52" s="683" t="str">
        <f t="shared" si="25"/>
        <v/>
      </c>
      <c r="G52" s="683" t="str">
        <f t="shared" si="25"/>
        <v/>
      </c>
      <c r="H52" s="683" t="str">
        <f t="shared" si="25"/>
        <v/>
      </c>
      <c r="I52" s="683" t="str">
        <f t="shared" si="25"/>
        <v/>
      </c>
      <c r="J52" s="683" t="str">
        <f t="shared" si="25"/>
        <v/>
      </c>
      <c r="K52" s="683" t="str">
        <f t="shared" si="25"/>
        <v/>
      </c>
      <c r="L52" s="683" t="str">
        <f t="shared" si="25"/>
        <v/>
      </c>
      <c r="M52" s="683" t="str">
        <f t="shared" si="25"/>
        <v/>
      </c>
      <c r="N52" s="683" t="str">
        <f t="shared" si="25"/>
        <v/>
      </c>
      <c r="O52" s="686" t="str">
        <f t="shared" si="25"/>
        <v/>
      </c>
      <c r="P52" s="511" t="str">
        <f t="shared" si="18"/>
        <v>-</v>
      </c>
      <c r="Q52" s="6" t="str">
        <f t="shared" si="19"/>
        <v>-</v>
      </c>
    </row>
    <row r="53" spans="1:17" ht="15.75" customHeight="1" x14ac:dyDescent="0.25">
      <c r="A53" s="908"/>
      <c r="B53" s="823" t="s">
        <v>13</v>
      </c>
      <c r="C53" s="16" t="s">
        <v>21</v>
      </c>
      <c r="D53" s="549"/>
      <c r="E53" s="549"/>
      <c r="F53" s="549"/>
      <c r="G53" s="549"/>
      <c r="H53" s="549"/>
      <c r="I53" s="549"/>
      <c r="J53" s="549"/>
      <c r="K53" s="549"/>
      <c r="L53" s="549"/>
      <c r="M53" s="549"/>
      <c r="N53" s="549"/>
      <c r="O53" s="550"/>
      <c r="P53" s="512" t="str">
        <f t="shared" si="18"/>
        <v>-</v>
      </c>
      <c r="Q53" s="4" t="str">
        <f t="shared" si="19"/>
        <v>-</v>
      </c>
    </row>
    <row r="54" spans="1:17" ht="15.75" customHeight="1" x14ac:dyDescent="0.25">
      <c r="A54" s="908"/>
      <c r="B54" s="824"/>
      <c r="C54" s="17" t="s">
        <v>22</v>
      </c>
      <c r="D54" s="683" t="str">
        <f>IF(D53=0,"",D$38*D53*24)</f>
        <v/>
      </c>
      <c r="E54" s="683" t="str">
        <f t="shared" ref="E54:O54" si="26">IF(E53=0,"",E$38*E53*24)</f>
        <v/>
      </c>
      <c r="F54" s="683" t="str">
        <f t="shared" si="26"/>
        <v/>
      </c>
      <c r="G54" s="683" t="str">
        <f t="shared" si="26"/>
        <v/>
      </c>
      <c r="H54" s="683" t="str">
        <f t="shared" si="26"/>
        <v/>
      </c>
      <c r="I54" s="683" t="str">
        <f t="shared" si="26"/>
        <v/>
      </c>
      <c r="J54" s="683" t="str">
        <f t="shared" si="26"/>
        <v/>
      </c>
      <c r="K54" s="683" t="str">
        <f t="shared" si="26"/>
        <v/>
      </c>
      <c r="L54" s="683" t="str">
        <f t="shared" si="26"/>
        <v/>
      </c>
      <c r="M54" s="683" t="str">
        <f t="shared" si="26"/>
        <v/>
      </c>
      <c r="N54" s="683" t="str">
        <f t="shared" si="26"/>
        <v/>
      </c>
      <c r="O54" s="686" t="str">
        <f t="shared" si="26"/>
        <v/>
      </c>
      <c r="P54" s="511" t="str">
        <f t="shared" si="18"/>
        <v>-</v>
      </c>
      <c r="Q54" s="6" t="str">
        <f t="shared" si="19"/>
        <v>-</v>
      </c>
    </row>
    <row r="55" spans="1:17" ht="15.75" customHeight="1" x14ac:dyDescent="0.25">
      <c r="A55" s="908"/>
      <c r="B55" s="823" t="s">
        <v>20</v>
      </c>
      <c r="C55" s="16" t="s">
        <v>21</v>
      </c>
      <c r="D55" s="549"/>
      <c r="E55" s="549"/>
      <c r="F55" s="549"/>
      <c r="G55" s="549"/>
      <c r="H55" s="549"/>
      <c r="I55" s="549"/>
      <c r="J55" s="549"/>
      <c r="K55" s="549"/>
      <c r="L55" s="549"/>
      <c r="M55" s="549"/>
      <c r="N55" s="549"/>
      <c r="O55" s="550"/>
      <c r="P55" s="512" t="str">
        <f t="shared" si="18"/>
        <v>-</v>
      </c>
      <c r="Q55" s="4" t="str">
        <f t="shared" si="19"/>
        <v>-</v>
      </c>
    </row>
    <row r="56" spans="1:17" ht="15.75" customHeight="1" x14ac:dyDescent="0.25">
      <c r="A56" s="908"/>
      <c r="B56" s="824"/>
      <c r="C56" s="17" t="s">
        <v>22</v>
      </c>
      <c r="D56" s="683" t="str">
        <f>IF(D55=0,"",D$38*D55*24)</f>
        <v/>
      </c>
      <c r="E56" s="683" t="str">
        <f t="shared" ref="E56:O56" si="27">IF(E55=0,"",E$38*E55*24)</f>
        <v/>
      </c>
      <c r="F56" s="683" t="str">
        <f t="shared" si="27"/>
        <v/>
      </c>
      <c r="G56" s="683" t="str">
        <f t="shared" si="27"/>
        <v/>
      </c>
      <c r="H56" s="683" t="str">
        <f t="shared" si="27"/>
        <v/>
      </c>
      <c r="I56" s="683" t="str">
        <f t="shared" si="27"/>
        <v/>
      </c>
      <c r="J56" s="683" t="str">
        <f t="shared" si="27"/>
        <v/>
      </c>
      <c r="K56" s="683" t="str">
        <f t="shared" si="27"/>
        <v/>
      </c>
      <c r="L56" s="683" t="str">
        <f t="shared" si="27"/>
        <v/>
      </c>
      <c r="M56" s="683" t="str">
        <f t="shared" si="27"/>
        <v/>
      </c>
      <c r="N56" s="683" t="str">
        <f t="shared" si="27"/>
        <v/>
      </c>
      <c r="O56" s="686" t="str">
        <f t="shared" si="27"/>
        <v/>
      </c>
      <c r="P56" s="511" t="str">
        <f t="shared" si="18"/>
        <v>-</v>
      </c>
      <c r="Q56" s="6" t="str">
        <f t="shared" si="19"/>
        <v>-</v>
      </c>
    </row>
    <row r="57" spans="1:17" ht="15.75" customHeight="1" x14ac:dyDescent="0.25">
      <c r="A57" s="908"/>
      <c r="B57" s="823" t="s">
        <v>1</v>
      </c>
      <c r="C57" s="18" t="s">
        <v>21</v>
      </c>
      <c r="D57" s="549"/>
      <c r="E57" s="549"/>
      <c r="F57" s="549"/>
      <c r="G57" s="549"/>
      <c r="H57" s="549"/>
      <c r="I57" s="549"/>
      <c r="J57" s="549"/>
      <c r="K57" s="549"/>
      <c r="L57" s="549"/>
      <c r="M57" s="549"/>
      <c r="N57" s="549"/>
      <c r="O57" s="550"/>
      <c r="P57" s="512" t="str">
        <f t="shared" si="18"/>
        <v>-</v>
      </c>
      <c r="Q57" s="4" t="str">
        <f t="shared" si="19"/>
        <v>-</v>
      </c>
    </row>
    <row r="58" spans="1:17" ht="15.75" customHeight="1" x14ac:dyDescent="0.25">
      <c r="A58" s="908"/>
      <c r="B58" s="824"/>
      <c r="C58" s="18" t="s">
        <v>22</v>
      </c>
      <c r="D58" s="683" t="str">
        <f>IF(D57=0,"",D$38*D57*24)</f>
        <v/>
      </c>
      <c r="E58" s="683" t="str">
        <f t="shared" ref="E58:O58" si="28">IF(E57=0,"",E$38*E57*24)</f>
        <v/>
      </c>
      <c r="F58" s="683" t="str">
        <f t="shared" si="28"/>
        <v/>
      </c>
      <c r="G58" s="683" t="str">
        <f t="shared" si="28"/>
        <v/>
      </c>
      <c r="H58" s="683" t="str">
        <f t="shared" si="28"/>
        <v/>
      </c>
      <c r="I58" s="683" t="str">
        <f t="shared" si="28"/>
        <v/>
      </c>
      <c r="J58" s="683" t="str">
        <f t="shared" si="28"/>
        <v/>
      </c>
      <c r="K58" s="683" t="str">
        <f t="shared" si="28"/>
        <v/>
      </c>
      <c r="L58" s="683" t="str">
        <f t="shared" si="28"/>
        <v/>
      </c>
      <c r="M58" s="683" t="str">
        <f t="shared" si="28"/>
        <v/>
      </c>
      <c r="N58" s="683" t="str">
        <f t="shared" si="28"/>
        <v/>
      </c>
      <c r="O58" s="686" t="str">
        <f t="shared" si="28"/>
        <v/>
      </c>
      <c r="P58" s="511" t="str">
        <f t="shared" si="18"/>
        <v>-</v>
      </c>
      <c r="Q58" s="6" t="str">
        <f t="shared" si="19"/>
        <v>-</v>
      </c>
    </row>
    <row r="59" spans="1:17" ht="15.75" customHeight="1" x14ac:dyDescent="0.25">
      <c r="A59" s="908"/>
      <c r="B59" s="823" t="str">
        <f>IF($B$28="OTHER (RENAME)","OTHER",$B$28)</f>
        <v>OTHER</v>
      </c>
      <c r="C59" s="19" t="s">
        <v>21</v>
      </c>
      <c r="D59" s="549"/>
      <c r="E59" s="549"/>
      <c r="F59" s="549"/>
      <c r="G59" s="549"/>
      <c r="H59" s="549"/>
      <c r="I59" s="549"/>
      <c r="J59" s="549"/>
      <c r="K59" s="549"/>
      <c r="L59" s="549"/>
      <c r="M59" s="549"/>
      <c r="N59" s="549"/>
      <c r="O59" s="550"/>
      <c r="P59" s="512" t="str">
        <f t="shared" si="18"/>
        <v>-</v>
      </c>
      <c r="Q59" s="4" t="str">
        <f t="shared" si="19"/>
        <v>-</v>
      </c>
    </row>
    <row r="60" spans="1:17" ht="15.75" customHeight="1" x14ac:dyDescent="0.25">
      <c r="A60" s="908"/>
      <c r="B60" s="824"/>
      <c r="C60" s="20" t="s">
        <v>22</v>
      </c>
      <c r="D60" s="687" t="str">
        <f>IF(D59=0,"",D$38*D59*24)</f>
        <v/>
      </c>
      <c r="E60" s="687" t="str">
        <f t="shared" ref="E60:O60" si="29">IF(E59=0,"",E$38*E59*24)</f>
        <v/>
      </c>
      <c r="F60" s="687" t="str">
        <f t="shared" si="29"/>
        <v/>
      </c>
      <c r="G60" s="687" t="str">
        <f t="shared" si="29"/>
        <v/>
      </c>
      <c r="H60" s="687" t="str">
        <f t="shared" si="29"/>
        <v/>
      </c>
      <c r="I60" s="687" t="str">
        <f t="shared" si="29"/>
        <v/>
      </c>
      <c r="J60" s="687" t="str">
        <f t="shared" si="29"/>
        <v/>
      </c>
      <c r="K60" s="687" t="str">
        <f t="shared" si="29"/>
        <v/>
      </c>
      <c r="L60" s="687" t="str">
        <f t="shared" si="29"/>
        <v/>
      </c>
      <c r="M60" s="687" t="str">
        <f t="shared" si="29"/>
        <v/>
      </c>
      <c r="N60" s="687" t="str">
        <f t="shared" si="29"/>
        <v/>
      </c>
      <c r="O60" s="688" t="str">
        <f t="shared" si="29"/>
        <v/>
      </c>
      <c r="P60" s="511" t="str">
        <f t="shared" si="18"/>
        <v>-</v>
      </c>
      <c r="Q60" s="6" t="str">
        <f t="shared" si="19"/>
        <v>-</v>
      </c>
    </row>
    <row r="61" spans="1:17" ht="15.75" customHeight="1" x14ac:dyDescent="0.25">
      <c r="A61" s="908"/>
      <c r="B61" s="823" t="str">
        <f>IF($B$30="OTHER (RENAME)","OTHER",$B$30)</f>
        <v>OTHER</v>
      </c>
      <c r="C61" s="16" t="s">
        <v>21</v>
      </c>
      <c r="D61" s="549"/>
      <c r="E61" s="549"/>
      <c r="F61" s="549"/>
      <c r="G61" s="549"/>
      <c r="H61" s="549"/>
      <c r="I61" s="549"/>
      <c r="J61" s="549"/>
      <c r="K61" s="549"/>
      <c r="L61" s="549"/>
      <c r="M61" s="549"/>
      <c r="N61" s="549"/>
      <c r="O61" s="550"/>
      <c r="P61" s="512" t="str">
        <f t="shared" si="18"/>
        <v>-</v>
      </c>
      <c r="Q61" s="4" t="str">
        <f t="shared" ref="Q61:Q66" si="30">IF(SUM(D61:O61)=0,"-",SUM(D61:O61))</f>
        <v>-</v>
      </c>
    </row>
    <row r="62" spans="1:17" ht="15.75" customHeight="1" x14ac:dyDescent="0.25">
      <c r="A62" s="908"/>
      <c r="B62" s="824"/>
      <c r="C62" s="17" t="s">
        <v>22</v>
      </c>
      <c r="D62" s="687" t="str">
        <f>IF(D61=0,"",D$38*D61*24)</f>
        <v/>
      </c>
      <c r="E62" s="687" t="str">
        <f t="shared" ref="E62:O62" si="31">IF(E61=0,"",E$38*E61*24)</f>
        <v/>
      </c>
      <c r="F62" s="687" t="str">
        <f t="shared" si="31"/>
        <v/>
      </c>
      <c r="G62" s="687" t="str">
        <f t="shared" si="31"/>
        <v/>
      </c>
      <c r="H62" s="687" t="str">
        <f t="shared" si="31"/>
        <v/>
      </c>
      <c r="I62" s="687" t="str">
        <f t="shared" si="31"/>
        <v/>
      </c>
      <c r="J62" s="687" t="str">
        <f t="shared" si="31"/>
        <v/>
      </c>
      <c r="K62" s="687" t="str">
        <f t="shared" si="31"/>
        <v/>
      </c>
      <c r="L62" s="687" t="str">
        <f t="shared" si="31"/>
        <v/>
      </c>
      <c r="M62" s="687" t="str">
        <f t="shared" si="31"/>
        <v/>
      </c>
      <c r="N62" s="687" t="str">
        <f t="shared" si="31"/>
        <v/>
      </c>
      <c r="O62" s="688" t="str">
        <f t="shared" si="31"/>
        <v/>
      </c>
      <c r="P62" s="511" t="str">
        <f t="shared" si="18"/>
        <v>-</v>
      </c>
      <c r="Q62" s="6" t="str">
        <f t="shared" si="30"/>
        <v>-</v>
      </c>
    </row>
    <row r="63" spans="1:17" ht="15.75" customHeight="1" x14ac:dyDescent="0.25">
      <c r="A63" s="908"/>
      <c r="B63" s="823" t="str">
        <f>IF($B$32="OTHER (RENAME)","OTHER",$B$32)</f>
        <v>OTHER</v>
      </c>
      <c r="C63" s="16" t="s">
        <v>21</v>
      </c>
      <c r="D63" s="549"/>
      <c r="E63" s="549"/>
      <c r="F63" s="549"/>
      <c r="G63" s="549"/>
      <c r="H63" s="549"/>
      <c r="I63" s="549"/>
      <c r="J63" s="549"/>
      <c r="K63" s="549"/>
      <c r="L63" s="549"/>
      <c r="M63" s="549"/>
      <c r="N63" s="549"/>
      <c r="O63" s="550"/>
      <c r="P63" s="512" t="str">
        <f t="shared" si="18"/>
        <v>-</v>
      </c>
      <c r="Q63" s="4" t="str">
        <f t="shared" si="30"/>
        <v>-</v>
      </c>
    </row>
    <row r="64" spans="1:17" ht="15.75" customHeight="1" x14ac:dyDescent="0.25">
      <c r="A64" s="908"/>
      <c r="B64" s="824"/>
      <c r="C64" s="17" t="s">
        <v>22</v>
      </c>
      <c r="D64" s="687" t="str">
        <f>IF(D63=0,"",D$38*D63*24)</f>
        <v/>
      </c>
      <c r="E64" s="687" t="str">
        <f t="shared" ref="E64:O64" si="32">IF(E63=0,"",E$38*E63*24)</f>
        <v/>
      </c>
      <c r="F64" s="687" t="str">
        <f t="shared" si="32"/>
        <v/>
      </c>
      <c r="G64" s="687" t="str">
        <f t="shared" si="32"/>
        <v/>
      </c>
      <c r="H64" s="687" t="str">
        <f t="shared" si="32"/>
        <v/>
      </c>
      <c r="I64" s="687" t="str">
        <f t="shared" si="32"/>
        <v/>
      </c>
      <c r="J64" s="687" t="str">
        <f t="shared" si="32"/>
        <v/>
      </c>
      <c r="K64" s="687" t="str">
        <f t="shared" si="32"/>
        <v/>
      </c>
      <c r="L64" s="687" t="str">
        <f t="shared" si="32"/>
        <v/>
      </c>
      <c r="M64" s="687" t="str">
        <f t="shared" si="32"/>
        <v/>
      </c>
      <c r="N64" s="687" t="str">
        <f t="shared" si="32"/>
        <v/>
      </c>
      <c r="O64" s="688" t="str">
        <f t="shared" si="32"/>
        <v/>
      </c>
      <c r="P64" s="511" t="str">
        <f t="shared" si="18"/>
        <v>-</v>
      </c>
      <c r="Q64" s="6" t="str">
        <f t="shared" si="30"/>
        <v>-</v>
      </c>
    </row>
    <row r="65" spans="1:17" ht="15.75" customHeight="1" x14ac:dyDescent="0.25">
      <c r="A65" s="908"/>
      <c r="B65" s="823" t="str">
        <f>IF($B$34="OTHER (RENAME)","OTHER",$B$34)</f>
        <v>OTHER</v>
      </c>
      <c r="C65" s="16" t="s">
        <v>21</v>
      </c>
      <c r="D65" s="549"/>
      <c r="E65" s="549"/>
      <c r="F65" s="549"/>
      <c r="G65" s="549"/>
      <c r="H65" s="549"/>
      <c r="I65" s="549"/>
      <c r="J65" s="549"/>
      <c r="K65" s="549"/>
      <c r="L65" s="549"/>
      <c r="M65" s="549"/>
      <c r="N65" s="549"/>
      <c r="O65" s="550"/>
      <c r="P65" s="512" t="str">
        <f t="shared" si="18"/>
        <v>-</v>
      </c>
      <c r="Q65" s="4" t="str">
        <f t="shared" si="30"/>
        <v>-</v>
      </c>
    </row>
    <row r="66" spans="1:17" ht="15.75" customHeight="1" x14ac:dyDescent="0.25">
      <c r="A66" s="908"/>
      <c r="B66" s="824"/>
      <c r="C66" s="17" t="s">
        <v>22</v>
      </c>
      <c r="D66" s="687" t="str">
        <f>IF(D65=0,"",D$38*D65*24)</f>
        <v/>
      </c>
      <c r="E66" s="687" t="str">
        <f t="shared" ref="E66:O66" si="33">IF(E65=0,"",E$38*E65*24)</f>
        <v/>
      </c>
      <c r="F66" s="687" t="str">
        <f t="shared" si="33"/>
        <v/>
      </c>
      <c r="G66" s="687" t="str">
        <f t="shared" si="33"/>
        <v/>
      </c>
      <c r="H66" s="687" t="str">
        <f t="shared" si="33"/>
        <v/>
      </c>
      <c r="I66" s="687" t="str">
        <f t="shared" si="33"/>
        <v/>
      </c>
      <c r="J66" s="687" t="str">
        <f t="shared" si="33"/>
        <v/>
      </c>
      <c r="K66" s="687" t="str">
        <f t="shared" si="33"/>
        <v/>
      </c>
      <c r="L66" s="687" t="str">
        <f t="shared" si="33"/>
        <v/>
      </c>
      <c r="M66" s="687" t="str">
        <f t="shared" si="33"/>
        <v/>
      </c>
      <c r="N66" s="687" t="str">
        <f t="shared" si="33"/>
        <v/>
      </c>
      <c r="O66" s="688" t="str">
        <f t="shared" si="33"/>
        <v/>
      </c>
      <c r="P66" s="511" t="str">
        <f t="shared" si="18"/>
        <v>-</v>
      </c>
      <c r="Q66" s="6" t="str">
        <f t="shared" si="30"/>
        <v>-</v>
      </c>
    </row>
    <row r="67" spans="1:17" ht="15.75" customHeight="1" x14ac:dyDescent="0.25">
      <c r="A67" s="908"/>
      <c r="B67" s="825" t="s">
        <v>16</v>
      </c>
      <c r="C67" s="826"/>
      <c r="D67" s="551" t="str">
        <f>IF(SUM(D39,D41,D43,D45,D47,D49,D51,D53,D55,D57,D59,D61,D63,D65)=0,"",SUM(D39,D41,D43,D45,D47,D49,D51,D53,D55,D57,D59,D61,D63,D65))</f>
        <v/>
      </c>
      <c r="E67" s="551" t="str">
        <f t="shared" ref="E67:O67" si="34">IF(SUM(E39,E41,E43,E45,E47,E49,E51,E53,E55,E57,E59,E61,E63,E65)=0,"",SUM(E39,E41,E43,E45,E47,E49,E51,E53,E55,E57,E59,E61,E63,E65))</f>
        <v/>
      </c>
      <c r="F67" s="551" t="str">
        <f t="shared" si="34"/>
        <v/>
      </c>
      <c r="G67" s="551" t="str">
        <f t="shared" si="34"/>
        <v/>
      </c>
      <c r="H67" s="551" t="str">
        <f t="shared" si="34"/>
        <v/>
      </c>
      <c r="I67" s="551" t="str">
        <f t="shared" si="34"/>
        <v/>
      </c>
      <c r="J67" s="551" t="str">
        <f t="shared" si="34"/>
        <v/>
      </c>
      <c r="K67" s="551" t="str">
        <f t="shared" si="34"/>
        <v/>
      </c>
      <c r="L67" s="551" t="str">
        <f t="shared" si="34"/>
        <v/>
      </c>
      <c r="M67" s="551" t="str">
        <f t="shared" si="34"/>
        <v/>
      </c>
      <c r="N67" s="551" t="str">
        <f t="shared" si="34"/>
        <v/>
      </c>
      <c r="O67" s="552" t="str">
        <f t="shared" si="34"/>
        <v/>
      </c>
      <c r="P67" s="512" t="str">
        <f>IF(Q67="-","-",Q67/12)</f>
        <v>-</v>
      </c>
      <c r="Q67" s="4" t="str">
        <f>IF(SUM(D67:O67)=0,"-",SUM(D67:O67))</f>
        <v>-</v>
      </c>
    </row>
    <row r="68" spans="1:17" ht="16.5" customHeight="1" thickBot="1" x14ac:dyDescent="0.3">
      <c r="A68" s="909"/>
      <c r="B68" s="820" t="s">
        <v>17</v>
      </c>
      <c r="C68" s="821"/>
      <c r="D68" s="733" t="str">
        <f>IF(D67="","",SUM(D40,D42,D44,D46,D48,D50,D52,D54,D56,D58,D60,D62,D64,D66))</f>
        <v/>
      </c>
      <c r="E68" s="733" t="str">
        <f t="shared" ref="E68" si="35">IF(E67="","",SUM(E40,E42,E44,E46,E48,E50,E52,E54,E56,E58,E60,E62,E64,E66))</f>
        <v/>
      </c>
      <c r="F68" s="733" t="str">
        <f t="shared" ref="F68" si="36">IF(F67="","",SUM(F40,F42,F44,F46,F48,F50,F52,F54,F56,F58,F60,F62,F64,F66))</f>
        <v/>
      </c>
      <c r="G68" s="733" t="str">
        <f t="shared" ref="G68" si="37">IF(G67="","",SUM(G40,G42,G44,G46,G48,G50,G52,G54,G56,G58,G60,G62,G64,G66))</f>
        <v/>
      </c>
      <c r="H68" s="733" t="str">
        <f t="shared" ref="H68" si="38">IF(H67="","",SUM(H40,H42,H44,H46,H48,H50,H52,H54,H56,H58,H60,H62,H64,H66))</f>
        <v/>
      </c>
      <c r="I68" s="733" t="str">
        <f t="shared" ref="I68" si="39">IF(I67="","",SUM(I40,I42,I44,I46,I48,I50,I52,I54,I56,I58,I60,I62,I64,I66))</f>
        <v/>
      </c>
      <c r="J68" s="733" t="str">
        <f t="shared" ref="J68" si="40">IF(J67="","",SUM(J40,J42,J44,J46,J48,J50,J52,J54,J56,J58,J60,J62,J64,J66))</f>
        <v/>
      </c>
      <c r="K68" s="733" t="str">
        <f t="shared" ref="K68" si="41">IF(K67="","",SUM(K40,K42,K44,K46,K48,K50,K52,K54,K56,K58,K60,K62,K64,K66))</f>
        <v/>
      </c>
      <c r="L68" s="733" t="str">
        <f t="shared" ref="L68" si="42">IF(L67="","",SUM(L40,L42,L44,L46,L48,L50,L52,L54,L56,L58,L60,L62,L64,L66))</f>
        <v/>
      </c>
      <c r="M68" s="733" t="str">
        <f t="shared" ref="M68" si="43">IF(M67="","",SUM(M40,M42,M44,M46,M48,M50,M52,M54,M56,M58,M60,M62,M64,M66))</f>
        <v/>
      </c>
      <c r="N68" s="733" t="str">
        <f t="shared" ref="N68" si="44">IF(N67="","",SUM(N40,N42,N44,N46,N48,N50,N52,N54,N56,N58,N60,N62,N64,N66))</f>
        <v/>
      </c>
      <c r="O68" s="734" t="str">
        <f t="shared" ref="O68" si="45">IF(O67="","",SUM(O40,O42,O44,O46,O48,O50,O52,O54,O56,O58,O60,O62,O64,O66))</f>
        <v/>
      </c>
      <c r="P68" s="525" t="str">
        <f>IF(Q68="-","-",Q68/12)</f>
        <v>-</v>
      </c>
      <c r="Q68" s="7" t="str">
        <f>IF(SUM(D68:O68)=0,"-",SUM(D68:O68))</f>
        <v>-</v>
      </c>
    </row>
    <row r="69" spans="1:17" ht="15.75" x14ac:dyDescent="0.25">
      <c r="A69" s="863" t="s">
        <v>111</v>
      </c>
      <c r="B69" s="878" t="s">
        <v>3</v>
      </c>
      <c r="C69" s="879"/>
      <c r="D69" s="547" t="str">
        <f>IF('2024DATA'!AT3=0,"",'2024DATA'!AT3)</f>
        <v/>
      </c>
      <c r="E69" s="547" t="str">
        <f>IF('2024DATA'!AU3=0,"",'2024DATA'!AU3)</f>
        <v/>
      </c>
      <c r="F69" s="547" t="str">
        <f>IF('2024DATA'!AV3=0,"",'2024DATA'!AV3)</f>
        <v/>
      </c>
      <c r="G69" s="547" t="str">
        <f>IF('2024DATA'!AW3=0,"",'2024DATA'!AW3)</f>
        <v/>
      </c>
      <c r="H69" s="547" t="str">
        <f>IF('2024DATA'!AX3=0,"",'2024DATA'!AX3)</f>
        <v/>
      </c>
      <c r="I69" s="547" t="str">
        <f>IF('2024DATA'!AY3=0,"",'2024DATA'!AY3)</f>
        <v/>
      </c>
      <c r="J69" s="547" t="str">
        <f>IF('2024DATA'!AZ3=0,"",'2024DATA'!AZ3)</f>
        <v/>
      </c>
      <c r="K69" s="547" t="str">
        <f>IF('2024DATA'!BA3=0,"",'2024DATA'!BA3)</f>
        <v/>
      </c>
      <c r="L69" s="547" t="str">
        <f>IF('2024DATA'!BB3=0,"",'2024DATA'!BB3)</f>
        <v/>
      </c>
      <c r="M69" s="547" t="str">
        <f>IF('2024DATA'!BC3=0,"",'2024DATA'!BC3)</f>
        <v/>
      </c>
      <c r="N69" s="547" t="str">
        <f>IF('2024DATA'!BD3=0,"",'2024DATA'!BD3)</f>
        <v/>
      </c>
      <c r="O69" s="548" t="str">
        <f>IF('2024DATA'!BE3=0,"",'2024DATA'!BE3)</f>
        <v/>
      </c>
      <c r="P69" s="880"/>
      <c r="Q69" s="881"/>
    </row>
    <row r="70" spans="1:17" ht="15.75" x14ac:dyDescent="0.25">
      <c r="A70" s="864"/>
      <c r="B70" s="823" t="s">
        <v>7</v>
      </c>
      <c r="C70" s="513" t="s">
        <v>21</v>
      </c>
      <c r="D70" s="549"/>
      <c r="E70" s="549"/>
      <c r="F70" s="549"/>
      <c r="G70" s="549"/>
      <c r="H70" s="549"/>
      <c r="I70" s="549"/>
      <c r="J70" s="549"/>
      <c r="K70" s="549"/>
      <c r="L70" s="549"/>
      <c r="M70" s="549"/>
      <c r="N70" s="549"/>
      <c r="O70" s="550"/>
      <c r="P70" s="512" t="str">
        <f t="shared" ref="P70:P99" si="46">IF(Q70="-","-",Q70/12)</f>
        <v>-</v>
      </c>
      <c r="Q70" s="4" t="str">
        <f t="shared" ref="Q70:Q89" si="47">IF(SUM(D70:O70)=0,"-",SUM(D70:O70))</f>
        <v>-</v>
      </c>
    </row>
    <row r="71" spans="1:17" ht="15.75" x14ac:dyDescent="0.25">
      <c r="A71" s="864"/>
      <c r="B71" s="824"/>
      <c r="C71" s="18" t="s">
        <v>22</v>
      </c>
      <c r="D71" s="683" t="str">
        <f>IF(D70="","",D$69*D70*24)</f>
        <v/>
      </c>
      <c r="E71" s="683" t="str">
        <f t="shared" ref="E71:O71" si="48">IF(E70="","",E$69*E70*24)</f>
        <v/>
      </c>
      <c r="F71" s="683" t="str">
        <f t="shared" si="48"/>
        <v/>
      </c>
      <c r="G71" s="683" t="str">
        <f t="shared" si="48"/>
        <v/>
      </c>
      <c r="H71" s="683" t="str">
        <f t="shared" si="48"/>
        <v/>
      </c>
      <c r="I71" s="683" t="str">
        <f t="shared" si="48"/>
        <v/>
      </c>
      <c r="J71" s="683" t="str">
        <f t="shared" si="48"/>
        <v/>
      </c>
      <c r="K71" s="683" t="str">
        <f t="shared" si="48"/>
        <v/>
      </c>
      <c r="L71" s="683" t="str">
        <f t="shared" si="48"/>
        <v/>
      </c>
      <c r="M71" s="683" t="str">
        <f t="shared" si="48"/>
        <v/>
      </c>
      <c r="N71" s="683" t="str">
        <f t="shared" si="48"/>
        <v/>
      </c>
      <c r="O71" s="686" t="str">
        <f t="shared" si="48"/>
        <v/>
      </c>
      <c r="P71" s="511" t="str">
        <f t="shared" si="46"/>
        <v>-</v>
      </c>
      <c r="Q71" s="6" t="str">
        <f t="shared" si="47"/>
        <v>-</v>
      </c>
    </row>
    <row r="72" spans="1:17" ht="15.75" x14ac:dyDescent="0.25">
      <c r="A72" s="864"/>
      <c r="B72" s="823" t="s">
        <v>8</v>
      </c>
      <c r="C72" s="16" t="s">
        <v>21</v>
      </c>
      <c r="D72" s="549"/>
      <c r="E72" s="549"/>
      <c r="F72" s="549"/>
      <c r="G72" s="549"/>
      <c r="H72" s="549"/>
      <c r="I72" s="549"/>
      <c r="J72" s="549"/>
      <c r="K72" s="549"/>
      <c r="L72" s="549"/>
      <c r="M72" s="549"/>
      <c r="N72" s="549"/>
      <c r="O72" s="550"/>
      <c r="P72" s="512" t="str">
        <f t="shared" si="46"/>
        <v>-</v>
      </c>
      <c r="Q72" s="4" t="str">
        <f t="shared" si="47"/>
        <v>-</v>
      </c>
    </row>
    <row r="73" spans="1:17" ht="15.75" x14ac:dyDescent="0.25">
      <c r="A73" s="864"/>
      <c r="B73" s="824"/>
      <c r="C73" s="17" t="s">
        <v>22</v>
      </c>
      <c r="D73" s="683" t="str">
        <f>IF(D72=0,"",(D69+IF(D$4="CA",DATA!$B$22,DATA!$B$23))*D72*24)</f>
        <v/>
      </c>
      <c r="E73" s="683" t="str">
        <f>IF(E72=0,"",(E69+IF(E$4="CA",DATA!$B$22,DATA!$B$23))*E72*24)</f>
        <v/>
      </c>
      <c r="F73" s="683" t="str">
        <f>IF(F72=0,"",(F69+IF(F$4="CA",DATA!$B$22,DATA!$B$23))*F72*24)</f>
        <v/>
      </c>
      <c r="G73" s="683" t="str">
        <f>IF(G72=0,"",(G69+IF(G$4="CA",DATA!$B$22,DATA!$B$23))*G72*24)</f>
        <v/>
      </c>
      <c r="H73" s="683" t="str">
        <f>IF(H72=0,"",(H69+IF(H$4="CA",DATA!$B$22,DATA!$B$23))*H72*24)</f>
        <v/>
      </c>
      <c r="I73" s="683" t="str">
        <f>IF(I72=0,"",(I69+IF(I$4="CA",DATA!$B$22,DATA!$B$23))*I72*24)</f>
        <v/>
      </c>
      <c r="J73" s="683" t="str">
        <f>IF(J72=0,"",(J69+IF(J$4="CA",DATA!$B$22,DATA!$B$23))*J72*24)</f>
        <v/>
      </c>
      <c r="K73" s="683" t="str">
        <f>IF(K72=0,"",(K69+IF(K$4="CA",DATA!$B$22,DATA!$B$23))*K72*24)</f>
        <v/>
      </c>
      <c r="L73" s="683" t="str">
        <f>IF(L72=0,"",(L69+IF(L$4="CA",DATA!$B$22,DATA!$B$23))*L72*24)</f>
        <v/>
      </c>
      <c r="M73" s="683" t="str">
        <f>IF(M72=0,"",(M69+IF(M$4="CA",DATA!$B$22,DATA!$B$23))*M72*24)</f>
        <v/>
      </c>
      <c r="N73" s="683" t="str">
        <f>IF(N72=0,"",(N69+IF(N$4="CA",DATA!$B$22,DATA!$B$23))*N72*24)</f>
        <v/>
      </c>
      <c r="O73" s="686" t="str">
        <f>IF(O72=0,"",(O69+IF(O$4="CA",DATA!$B$22,DATA!$B$23))*O72*24)</f>
        <v/>
      </c>
      <c r="P73" s="511" t="str">
        <f t="shared" si="46"/>
        <v>-</v>
      </c>
      <c r="Q73" s="6" t="str">
        <f t="shared" si="47"/>
        <v>-</v>
      </c>
    </row>
    <row r="74" spans="1:17" ht="15.75" x14ac:dyDescent="0.25">
      <c r="A74" s="864"/>
      <c r="B74" s="823" t="s">
        <v>9</v>
      </c>
      <c r="C74" s="18" t="s">
        <v>21</v>
      </c>
      <c r="D74" s="549"/>
      <c r="E74" s="549"/>
      <c r="F74" s="549"/>
      <c r="G74" s="549"/>
      <c r="H74" s="549"/>
      <c r="I74" s="549"/>
      <c r="J74" s="549"/>
      <c r="K74" s="549"/>
      <c r="L74" s="549"/>
      <c r="M74" s="549"/>
      <c r="N74" s="549"/>
      <c r="O74" s="550"/>
      <c r="P74" s="512" t="str">
        <f t="shared" si="46"/>
        <v>-</v>
      </c>
      <c r="Q74" s="4" t="str">
        <f t="shared" si="47"/>
        <v>-</v>
      </c>
    </row>
    <row r="75" spans="1:17" ht="15.75" x14ac:dyDescent="0.25">
      <c r="A75" s="864"/>
      <c r="B75" s="824"/>
      <c r="C75" s="18" t="s">
        <v>22</v>
      </c>
      <c r="D75" s="683" t="str">
        <f>IF(D74="","",D$69*D74*24)</f>
        <v/>
      </c>
      <c r="E75" s="683" t="str">
        <f t="shared" ref="E75:O75" si="49">IF(E74="","",E$69*E74*24)</f>
        <v/>
      </c>
      <c r="F75" s="684" t="str">
        <f t="shared" si="49"/>
        <v/>
      </c>
      <c r="G75" s="683" t="str">
        <f t="shared" si="49"/>
        <v/>
      </c>
      <c r="H75" s="683" t="str">
        <f t="shared" si="49"/>
        <v/>
      </c>
      <c r="I75" s="683" t="str">
        <f t="shared" si="49"/>
        <v/>
      </c>
      <c r="J75" s="683" t="str">
        <f t="shared" si="49"/>
        <v/>
      </c>
      <c r="K75" s="683" t="str">
        <f t="shared" si="49"/>
        <v/>
      </c>
      <c r="L75" s="683" t="str">
        <f t="shared" si="49"/>
        <v/>
      </c>
      <c r="M75" s="683" t="str">
        <f t="shared" si="49"/>
        <v/>
      </c>
      <c r="N75" s="683" t="str">
        <f t="shared" si="49"/>
        <v/>
      </c>
      <c r="O75" s="685" t="str">
        <f t="shared" si="49"/>
        <v/>
      </c>
      <c r="P75" s="511" t="str">
        <f t="shared" si="46"/>
        <v>-</v>
      </c>
      <c r="Q75" s="6" t="str">
        <f t="shared" si="47"/>
        <v>-</v>
      </c>
    </row>
    <row r="76" spans="1:17" ht="15.75" x14ac:dyDescent="0.25">
      <c r="A76" s="864"/>
      <c r="B76" s="823" t="s">
        <v>10</v>
      </c>
      <c r="C76" s="16" t="s">
        <v>21</v>
      </c>
      <c r="D76" s="549"/>
      <c r="E76" s="549"/>
      <c r="F76" s="549"/>
      <c r="G76" s="549"/>
      <c r="H76" s="549"/>
      <c r="I76" s="549"/>
      <c r="J76" s="549"/>
      <c r="K76" s="549"/>
      <c r="L76" s="549"/>
      <c r="M76" s="549"/>
      <c r="N76" s="549"/>
      <c r="O76" s="550"/>
      <c r="P76" s="512" t="str">
        <f t="shared" si="46"/>
        <v>-</v>
      </c>
      <c r="Q76" s="4" t="str">
        <f t="shared" si="47"/>
        <v>-</v>
      </c>
    </row>
    <row r="77" spans="1:17" ht="15.75" x14ac:dyDescent="0.25">
      <c r="A77" s="864"/>
      <c r="B77" s="824"/>
      <c r="C77" s="17" t="s">
        <v>22</v>
      </c>
      <c r="D77" s="683" t="str">
        <f>IF(D76="","",D$69*D76*24)</f>
        <v/>
      </c>
      <c r="E77" s="683" t="str">
        <f t="shared" ref="E77:O77" si="50">IF(E76="","",E$69*E76*24)</f>
        <v/>
      </c>
      <c r="F77" s="684" t="str">
        <f t="shared" si="50"/>
        <v/>
      </c>
      <c r="G77" s="683" t="str">
        <f t="shared" si="50"/>
        <v/>
      </c>
      <c r="H77" s="683" t="str">
        <f t="shared" si="50"/>
        <v/>
      </c>
      <c r="I77" s="683" t="str">
        <f t="shared" si="50"/>
        <v/>
      </c>
      <c r="J77" s="683" t="str">
        <f t="shared" si="50"/>
        <v/>
      </c>
      <c r="K77" s="683" t="str">
        <f t="shared" si="50"/>
        <v/>
      </c>
      <c r="L77" s="683" t="str">
        <f t="shared" si="50"/>
        <v/>
      </c>
      <c r="M77" s="683" t="str">
        <f t="shared" si="50"/>
        <v/>
      </c>
      <c r="N77" s="683" t="str">
        <f t="shared" si="50"/>
        <v/>
      </c>
      <c r="O77" s="685" t="str">
        <f t="shared" si="50"/>
        <v/>
      </c>
      <c r="P77" s="511" t="str">
        <f t="shared" si="46"/>
        <v>-</v>
      </c>
      <c r="Q77" s="6" t="str">
        <f t="shared" si="47"/>
        <v>-</v>
      </c>
    </row>
    <row r="78" spans="1:17" ht="15.75" x14ac:dyDescent="0.25">
      <c r="A78" s="864"/>
      <c r="B78" s="823" t="s">
        <v>11</v>
      </c>
      <c r="C78" s="18" t="s">
        <v>21</v>
      </c>
      <c r="D78" s="549"/>
      <c r="E78" s="549"/>
      <c r="F78" s="549"/>
      <c r="G78" s="549"/>
      <c r="H78" s="549"/>
      <c r="I78" s="549"/>
      <c r="J78" s="549"/>
      <c r="K78" s="549"/>
      <c r="L78" s="549"/>
      <c r="M78" s="549"/>
      <c r="N78" s="549"/>
      <c r="O78" s="550"/>
      <c r="P78" s="512" t="str">
        <f t="shared" si="46"/>
        <v>-</v>
      </c>
      <c r="Q78" s="4" t="str">
        <f t="shared" si="47"/>
        <v>-</v>
      </c>
    </row>
    <row r="79" spans="1:17" ht="15.75" x14ac:dyDescent="0.25">
      <c r="A79" s="864"/>
      <c r="B79" s="824"/>
      <c r="C79" s="18" t="s">
        <v>22</v>
      </c>
      <c r="D79" s="683" t="str">
        <f>IF(D78="","",D$69*D78*24)</f>
        <v/>
      </c>
      <c r="E79" s="683" t="str">
        <f t="shared" ref="E79:O79" si="51">IF(E78="","",E$69*E78*24)</f>
        <v/>
      </c>
      <c r="F79" s="684" t="str">
        <f t="shared" si="51"/>
        <v/>
      </c>
      <c r="G79" s="683" t="str">
        <f t="shared" si="51"/>
        <v/>
      </c>
      <c r="H79" s="683" t="str">
        <f t="shared" si="51"/>
        <v/>
      </c>
      <c r="I79" s="683" t="str">
        <f t="shared" si="51"/>
        <v/>
      </c>
      <c r="J79" s="683" t="str">
        <f t="shared" si="51"/>
        <v/>
      </c>
      <c r="K79" s="683" t="str">
        <f t="shared" si="51"/>
        <v/>
      </c>
      <c r="L79" s="683" t="str">
        <f t="shared" si="51"/>
        <v/>
      </c>
      <c r="M79" s="683" t="str">
        <f t="shared" si="51"/>
        <v/>
      </c>
      <c r="N79" s="683" t="str">
        <f t="shared" si="51"/>
        <v/>
      </c>
      <c r="O79" s="685" t="str">
        <f t="shared" si="51"/>
        <v/>
      </c>
      <c r="P79" s="511" t="str">
        <f t="shared" si="46"/>
        <v>-</v>
      </c>
      <c r="Q79" s="6" t="str">
        <f t="shared" si="47"/>
        <v>-</v>
      </c>
    </row>
    <row r="80" spans="1:17" ht="15.75" x14ac:dyDescent="0.25">
      <c r="A80" s="864"/>
      <c r="B80" s="823" t="s">
        <v>12</v>
      </c>
      <c r="C80" s="16" t="s">
        <v>21</v>
      </c>
      <c r="D80" s="549"/>
      <c r="E80" s="549"/>
      <c r="F80" s="549"/>
      <c r="G80" s="549"/>
      <c r="H80" s="549"/>
      <c r="I80" s="549"/>
      <c r="J80" s="549"/>
      <c r="K80" s="549"/>
      <c r="L80" s="549"/>
      <c r="M80" s="549"/>
      <c r="N80" s="549"/>
      <c r="O80" s="550"/>
      <c r="P80" s="512" t="str">
        <f t="shared" si="46"/>
        <v>-</v>
      </c>
      <c r="Q80" s="4" t="str">
        <f t="shared" si="47"/>
        <v>-</v>
      </c>
    </row>
    <row r="81" spans="1:17" ht="15.75" x14ac:dyDescent="0.25">
      <c r="A81" s="864"/>
      <c r="B81" s="824"/>
      <c r="C81" s="17" t="s">
        <v>22</v>
      </c>
      <c r="D81" s="683" t="str">
        <f>IF(D80="","",D$69*D80*24)</f>
        <v/>
      </c>
      <c r="E81" s="683" t="str">
        <f t="shared" ref="E81:O81" si="52">IF(E80="","",E$69*E80*24)</f>
        <v/>
      </c>
      <c r="F81" s="684" t="str">
        <f t="shared" si="52"/>
        <v/>
      </c>
      <c r="G81" s="683" t="str">
        <f t="shared" si="52"/>
        <v/>
      </c>
      <c r="H81" s="683" t="str">
        <f t="shared" si="52"/>
        <v/>
      </c>
      <c r="I81" s="683" t="str">
        <f t="shared" si="52"/>
        <v/>
      </c>
      <c r="J81" s="683" t="str">
        <f t="shared" si="52"/>
        <v/>
      </c>
      <c r="K81" s="683" t="str">
        <f t="shared" si="52"/>
        <v/>
      </c>
      <c r="L81" s="683" t="str">
        <f t="shared" si="52"/>
        <v/>
      </c>
      <c r="M81" s="683" t="str">
        <f t="shared" si="52"/>
        <v/>
      </c>
      <c r="N81" s="683" t="str">
        <f t="shared" si="52"/>
        <v/>
      </c>
      <c r="O81" s="685" t="str">
        <f t="shared" si="52"/>
        <v/>
      </c>
      <c r="P81" s="511" t="str">
        <f t="shared" si="46"/>
        <v>-</v>
      </c>
      <c r="Q81" s="6" t="str">
        <f t="shared" si="47"/>
        <v>-</v>
      </c>
    </row>
    <row r="82" spans="1:17" ht="15.75" x14ac:dyDescent="0.25">
      <c r="A82" s="864"/>
      <c r="B82" s="823" t="s">
        <v>15</v>
      </c>
      <c r="C82" s="18" t="s">
        <v>21</v>
      </c>
      <c r="D82" s="549"/>
      <c r="E82" s="549"/>
      <c r="F82" s="549"/>
      <c r="G82" s="549"/>
      <c r="H82" s="549"/>
      <c r="I82" s="549"/>
      <c r="J82" s="549"/>
      <c r="K82" s="549"/>
      <c r="L82" s="549"/>
      <c r="M82" s="549"/>
      <c r="N82" s="549"/>
      <c r="O82" s="550"/>
      <c r="P82" s="512" t="str">
        <f t="shared" si="46"/>
        <v>-</v>
      </c>
      <c r="Q82" s="4" t="str">
        <f t="shared" si="47"/>
        <v>-</v>
      </c>
    </row>
    <row r="83" spans="1:17" ht="15.75" x14ac:dyDescent="0.25">
      <c r="A83" s="864"/>
      <c r="B83" s="824"/>
      <c r="C83" s="18" t="s">
        <v>22</v>
      </c>
      <c r="D83" s="683" t="str">
        <f>IF(D82="","",D$69*D82*24)</f>
        <v/>
      </c>
      <c r="E83" s="683" t="str">
        <f t="shared" ref="E83:O83" si="53">IF(E82="","",E$69*E82*24)</f>
        <v/>
      </c>
      <c r="F83" s="684" t="str">
        <f t="shared" si="53"/>
        <v/>
      </c>
      <c r="G83" s="683" t="str">
        <f t="shared" si="53"/>
        <v/>
      </c>
      <c r="H83" s="683" t="str">
        <f t="shared" si="53"/>
        <v/>
      </c>
      <c r="I83" s="683" t="str">
        <f t="shared" si="53"/>
        <v/>
      </c>
      <c r="J83" s="683" t="str">
        <f t="shared" si="53"/>
        <v/>
      </c>
      <c r="K83" s="683" t="str">
        <f t="shared" si="53"/>
        <v/>
      </c>
      <c r="L83" s="683" t="str">
        <f t="shared" si="53"/>
        <v/>
      </c>
      <c r="M83" s="683" t="str">
        <f t="shared" si="53"/>
        <v/>
      </c>
      <c r="N83" s="683" t="str">
        <f t="shared" si="53"/>
        <v/>
      </c>
      <c r="O83" s="685" t="str">
        <f t="shared" si="53"/>
        <v/>
      </c>
      <c r="P83" s="511" t="str">
        <f t="shared" si="46"/>
        <v>-</v>
      </c>
      <c r="Q83" s="6" t="str">
        <f t="shared" si="47"/>
        <v>-</v>
      </c>
    </row>
    <row r="84" spans="1:17" ht="15.75" x14ac:dyDescent="0.25">
      <c r="A84" s="864"/>
      <c r="B84" s="823" t="s">
        <v>13</v>
      </c>
      <c r="C84" s="16" t="s">
        <v>21</v>
      </c>
      <c r="D84" s="549"/>
      <c r="E84" s="549"/>
      <c r="F84" s="549"/>
      <c r="G84" s="549"/>
      <c r="H84" s="549"/>
      <c r="I84" s="549"/>
      <c r="J84" s="549"/>
      <c r="K84" s="549"/>
      <c r="L84" s="549"/>
      <c r="M84" s="549"/>
      <c r="N84" s="549"/>
      <c r="O84" s="550"/>
      <c r="P84" s="512" t="str">
        <f t="shared" si="46"/>
        <v>-</v>
      </c>
      <c r="Q84" s="4" t="str">
        <f t="shared" si="47"/>
        <v>-</v>
      </c>
    </row>
    <row r="85" spans="1:17" ht="15.75" x14ac:dyDescent="0.25">
      <c r="A85" s="864"/>
      <c r="B85" s="824"/>
      <c r="C85" s="17" t="s">
        <v>22</v>
      </c>
      <c r="D85" s="683" t="str">
        <f>IF(D84="","",D$69*D84*24)</f>
        <v/>
      </c>
      <c r="E85" s="683" t="str">
        <f t="shared" ref="E85:O85" si="54">IF(E84="","",E$69*E84*24)</f>
        <v/>
      </c>
      <c r="F85" s="684" t="str">
        <f t="shared" si="54"/>
        <v/>
      </c>
      <c r="G85" s="683" t="str">
        <f t="shared" si="54"/>
        <v/>
      </c>
      <c r="H85" s="683" t="str">
        <f t="shared" si="54"/>
        <v/>
      </c>
      <c r="I85" s="683" t="str">
        <f t="shared" si="54"/>
        <v/>
      </c>
      <c r="J85" s="683" t="str">
        <f t="shared" si="54"/>
        <v/>
      </c>
      <c r="K85" s="683" t="str">
        <f t="shared" si="54"/>
        <v/>
      </c>
      <c r="L85" s="683" t="str">
        <f t="shared" si="54"/>
        <v/>
      </c>
      <c r="M85" s="683" t="str">
        <f t="shared" si="54"/>
        <v/>
      </c>
      <c r="N85" s="683" t="str">
        <f t="shared" si="54"/>
        <v/>
      </c>
      <c r="O85" s="685" t="str">
        <f t="shared" si="54"/>
        <v/>
      </c>
      <c r="P85" s="511" t="str">
        <f t="shared" si="46"/>
        <v>-</v>
      </c>
      <c r="Q85" s="6" t="str">
        <f t="shared" si="47"/>
        <v>-</v>
      </c>
    </row>
    <row r="86" spans="1:17" ht="15.75" x14ac:dyDescent="0.25">
      <c r="A86" s="864"/>
      <c r="B86" s="823" t="s">
        <v>20</v>
      </c>
      <c r="C86" s="18" t="s">
        <v>21</v>
      </c>
      <c r="D86" s="549"/>
      <c r="E86" s="549"/>
      <c r="F86" s="549"/>
      <c r="G86" s="549"/>
      <c r="H86" s="549"/>
      <c r="I86" s="549"/>
      <c r="J86" s="549"/>
      <c r="K86" s="549"/>
      <c r="L86" s="549"/>
      <c r="M86" s="549"/>
      <c r="N86" s="549"/>
      <c r="O86" s="550"/>
      <c r="P86" s="512" t="str">
        <f t="shared" si="46"/>
        <v>-</v>
      </c>
      <c r="Q86" s="4" t="str">
        <f t="shared" si="47"/>
        <v>-</v>
      </c>
    </row>
    <row r="87" spans="1:17" ht="15.75" x14ac:dyDescent="0.25">
      <c r="A87" s="864"/>
      <c r="B87" s="824"/>
      <c r="C87" s="18" t="s">
        <v>22</v>
      </c>
      <c r="D87" s="683" t="str">
        <f>IF(D86="","",D$69*D86*24)</f>
        <v/>
      </c>
      <c r="E87" s="683" t="str">
        <f t="shared" ref="E87:O87" si="55">IF(E86="","",E$69*E86*24)</f>
        <v/>
      </c>
      <c r="F87" s="684" t="str">
        <f t="shared" si="55"/>
        <v/>
      </c>
      <c r="G87" s="683" t="str">
        <f t="shared" si="55"/>
        <v/>
      </c>
      <c r="H87" s="683" t="str">
        <f t="shared" si="55"/>
        <v/>
      </c>
      <c r="I87" s="683" t="str">
        <f t="shared" si="55"/>
        <v/>
      </c>
      <c r="J87" s="683" t="str">
        <f t="shared" si="55"/>
        <v/>
      </c>
      <c r="K87" s="683" t="str">
        <f t="shared" si="55"/>
        <v/>
      </c>
      <c r="L87" s="683" t="str">
        <f t="shared" si="55"/>
        <v/>
      </c>
      <c r="M87" s="683" t="str">
        <f t="shared" si="55"/>
        <v/>
      </c>
      <c r="N87" s="683" t="str">
        <f t="shared" si="55"/>
        <v/>
      </c>
      <c r="O87" s="685" t="str">
        <f t="shared" si="55"/>
        <v/>
      </c>
      <c r="P87" s="511" t="str">
        <f t="shared" si="46"/>
        <v>-</v>
      </c>
      <c r="Q87" s="6" t="str">
        <f t="shared" si="47"/>
        <v>-</v>
      </c>
    </row>
    <row r="88" spans="1:17" ht="15.75" x14ac:dyDescent="0.25">
      <c r="A88" s="864"/>
      <c r="B88" s="823" t="s">
        <v>1</v>
      </c>
      <c r="C88" s="16" t="s">
        <v>21</v>
      </c>
      <c r="D88" s="549"/>
      <c r="E88" s="549"/>
      <c r="F88" s="549"/>
      <c r="G88" s="549"/>
      <c r="H88" s="549"/>
      <c r="I88" s="549"/>
      <c r="J88" s="549"/>
      <c r="K88" s="549"/>
      <c r="L88" s="549"/>
      <c r="M88" s="549"/>
      <c r="N88" s="549"/>
      <c r="O88" s="550"/>
      <c r="P88" s="512" t="str">
        <f t="shared" si="46"/>
        <v>-</v>
      </c>
      <c r="Q88" s="4" t="str">
        <f t="shared" si="47"/>
        <v>-</v>
      </c>
    </row>
    <row r="89" spans="1:17" ht="15.75" x14ac:dyDescent="0.25">
      <c r="A89" s="864"/>
      <c r="B89" s="824"/>
      <c r="C89" s="17" t="s">
        <v>22</v>
      </c>
      <c r="D89" s="683" t="str">
        <f>IF(D88="","",D$69*D88*24)</f>
        <v/>
      </c>
      <c r="E89" s="683" t="str">
        <f t="shared" ref="E89:O89" si="56">IF(E88="","",E$69*E88*24)</f>
        <v/>
      </c>
      <c r="F89" s="684" t="str">
        <f t="shared" si="56"/>
        <v/>
      </c>
      <c r="G89" s="683" t="str">
        <f t="shared" si="56"/>
        <v/>
      </c>
      <c r="H89" s="683" t="str">
        <f t="shared" si="56"/>
        <v/>
      </c>
      <c r="I89" s="683" t="str">
        <f t="shared" si="56"/>
        <v/>
      </c>
      <c r="J89" s="683" t="str">
        <f t="shared" si="56"/>
        <v/>
      </c>
      <c r="K89" s="683" t="str">
        <f t="shared" si="56"/>
        <v/>
      </c>
      <c r="L89" s="683" t="str">
        <f t="shared" si="56"/>
        <v/>
      </c>
      <c r="M89" s="683" t="str">
        <f t="shared" si="56"/>
        <v/>
      </c>
      <c r="N89" s="683" t="str">
        <f t="shared" si="56"/>
        <v/>
      </c>
      <c r="O89" s="685" t="str">
        <f t="shared" si="56"/>
        <v/>
      </c>
      <c r="P89" s="511" t="str">
        <f t="shared" si="46"/>
        <v>-</v>
      </c>
      <c r="Q89" s="6" t="str">
        <f t="shared" si="47"/>
        <v>-</v>
      </c>
    </row>
    <row r="90" spans="1:17" ht="15.75" x14ac:dyDescent="0.25">
      <c r="A90" s="864"/>
      <c r="B90" s="823" t="str">
        <f>IF($B$28="OTHER (RENAME)","OTHER",$B$28)</f>
        <v>OTHER</v>
      </c>
      <c r="C90" s="19" t="s">
        <v>21</v>
      </c>
      <c r="D90" s="549"/>
      <c r="E90" s="549"/>
      <c r="F90" s="549"/>
      <c r="G90" s="549"/>
      <c r="H90" s="549"/>
      <c r="I90" s="549"/>
      <c r="J90" s="549"/>
      <c r="K90" s="549"/>
      <c r="L90" s="549"/>
      <c r="M90" s="549"/>
      <c r="N90" s="549"/>
      <c r="O90" s="550"/>
      <c r="P90" s="512" t="str">
        <f t="shared" si="46"/>
        <v>-</v>
      </c>
      <c r="Q90" s="4" t="str">
        <f t="shared" ref="Q90:Q91" si="57">IF(SUM(D90:O90)=0,"-",SUM(D90:O90))</f>
        <v>-</v>
      </c>
    </row>
    <row r="91" spans="1:17" ht="15.75" x14ac:dyDescent="0.25">
      <c r="A91" s="864"/>
      <c r="B91" s="824"/>
      <c r="C91" s="20" t="s">
        <v>22</v>
      </c>
      <c r="D91" s="687" t="str">
        <f>IF(D90="","",D$69*D90*24)</f>
        <v/>
      </c>
      <c r="E91" s="687" t="str">
        <f t="shared" ref="E91:O91" si="58">IF(E90="","",E$69*E90*24)</f>
        <v/>
      </c>
      <c r="F91" s="687" t="str">
        <f t="shared" si="58"/>
        <v/>
      </c>
      <c r="G91" s="687" t="str">
        <f t="shared" si="58"/>
        <v/>
      </c>
      <c r="H91" s="687" t="str">
        <f t="shared" si="58"/>
        <v/>
      </c>
      <c r="I91" s="687" t="str">
        <f t="shared" si="58"/>
        <v/>
      </c>
      <c r="J91" s="687" t="str">
        <f t="shared" si="58"/>
        <v/>
      </c>
      <c r="K91" s="687" t="str">
        <f t="shared" si="58"/>
        <v/>
      </c>
      <c r="L91" s="687" t="str">
        <f t="shared" si="58"/>
        <v/>
      </c>
      <c r="M91" s="687" t="str">
        <f t="shared" si="58"/>
        <v/>
      </c>
      <c r="N91" s="687" t="str">
        <f t="shared" si="58"/>
        <v/>
      </c>
      <c r="O91" s="688" t="str">
        <f t="shared" si="58"/>
        <v/>
      </c>
      <c r="P91" s="511" t="str">
        <f t="shared" si="46"/>
        <v>-</v>
      </c>
      <c r="Q91" s="6" t="str">
        <f t="shared" si="57"/>
        <v>-</v>
      </c>
    </row>
    <row r="92" spans="1:17" ht="15.75" x14ac:dyDescent="0.25">
      <c r="A92" s="864"/>
      <c r="B92" s="823" t="str">
        <f>IF($B$30="OTHER (RENAME)","OTHER",$B$30)</f>
        <v>OTHER</v>
      </c>
      <c r="C92" s="16" t="s">
        <v>21</v>
      </c>
      <c r="D92" s="549"/>
      <c r="E92" s="549"/>
      <c r="F92" s="549"/>
      <c r="G92" s="549"/>
      <c r="H92" s="549"/>
      <c r="I92" s="549"/>
      <c r="J92" s="549"/>
      <c r="K92" s="549"/>
      <c r="L92" s="549"/>
      <c r="M92" s="549"/>
      <c r="N92" s="549"/>
      <c r="O92" s="550"/>
      <c r="P92" s="512" t="str">
        <f t="shared" si="46"/>
        <v>-</v>
      </c>
      <c r="Q92" s="4" t="str">
        <f t="shared" ref="Q92:Q97" si="59">IF(SUM(D92:O92)=0,"-",SUM(D92:O92))</f>
        <v>-</v>
      </c>
    </row>
    <row r="93" spans="1:17" ht="15.75" x14ac:dyDescent="0.25">
      <c r="A93" s="864"/>
      <c r="B93" s="824"/>
      <c r="C93" s="17" t="s">
        <v>22</v>
      </c>
      <c r="D93" s="687" t="str">
        <f>IF(D92="","",D$69*D92*24)</f>
        <v/>
      </c>
      <c r="E93" s="687" t="str">
        <f t="shared" ref="E93:O93" si="60">IF(E92="","",E$69*E92*24)</f>
        <v/>
      </c>
      <c r="F93" s="687" t="str">
        <f t="shared" si="60"/>
        <v/>
      </c>
      <c r="G93" s="687" t="str">
        <f t="shared" si="60"/>
        <v/>
      </c>
      <c r="H93" s="687" t="str">
        <f t="shared" si="60"/>
        <v/>
      </c>
      <c r="I93" s="687" t="str">
        <f t="shared" si="60"/>
        <v/>
      </c>
      <c r="J93" s="687" t="str">
        <f t="shared" si="60"/>
        <v/>
      </c>
      <c r="K93" s="687" t="str">
        <f t="shared" si="60"/>
        <v/>
      </c>
      <c r="L93" s="687" t="str">
        <f t="shared" si="60"/>
        <v/>
      </c>
      <c r="M93" s="687" t="str">
        <f t="shared" si="60"/>
        <v/>
      </c>
      <c r="N93" s="687" t="str">
        <f t="shared" si="60"/>
        <v/>
      </c>
      <c r="O93" s="688" t="str">
        <f t="shared" si="60"/>
        <v/>
      </c>
      <c r="P93" s="511" t="str">
        <f t="shared" si="46"/>
        <v>-</v>
      </c>
      <c r="Q93" s="6" t="str">
        <f t="shared" si="59"/>
        <v>-</v>
      </c>
    </row>
    <row r="94" spans="1:17" ht="15.75" x14ac:dyDescent="0.25">
      <c r="A94" s="864"/>
      <c r="B94" s="823" t="str">
        <f>IF($B$32="OTHER (RENAME)","OTHER",$B$32)</f>
        <v>OTHER</v>
      </c>
      <c r="C94" s="16" t="s">
        <v>21</v>
      </c>
      <c r="D94" s="549"/>
      <c r="E94" s="549"/>
      <c r="F94" s="549"/>
      <c r="G94" s="549"/>
      <c r="H94" s="549"/>
      <c r="I94" s="549"/>
      <c r="J94" s="549"/>
      <c r="K94" s="549"/>
      <c r="L94" s="549"/>
      <c r="M94" s="549"/>
      <c r="N94" s="549"/>
      <c r="O94" s="550"/>
      <c r="P94" s="512" t="str">
        <f t="shared" si="46"/>
        <v>-</v>
      </c>
      <c r="Q94" s="4" t="str">
        <f t="shared" si="59"/>
        <v>-</v>
      </c>
    </row>
    <row r="95" spans="1:17" ht="15.75" x14ac:dyDescent="0.25">
      <c r="A95" s="864"/>
      <c r="B95" s="824"/>
      <c r="C95" s="17" t="s">
        <v>22</v>
      </c>
      <c r="D95" s="687" t="str">
        <f>IF(D94="","",D$69*D94*24)</f>
        <v/>
      </c>
      <c r="E95" s="687" t="str">
        <f t="shared" ref="E95:O95" si="61">IF(E94="","",E$69*E94*24)</f>
        <v/>
      </c>
      <c r="F95" s="687" t="str">
        <f t="shared" si="61"/>
        <v/>
      </c>
      <c r="G95" s="687" t="str">
        <f t="shared" si="61"/>
        <v/>
      </c>
      <c r="H95" s="687" t="str">
        <f t="shared" si="61"/>
        <v/>
      </c>
      <c r="I95" s="687" t="str">
        <f t="shared" si="61"/>
        <v/>
      </c>
      <c r="J95" s="687" t="str">
        <f t="shared" si="61"/>
        <v/>
      </c>
      <c r="K95" s="687" t="str">
        <f t="shared" si="61"/>
        <v/>
      </c>
      <c r="L95" s="687" t="str">
        <f t="shared" si="61"/>
        <v/>
      </c>
      <c r="M95" s="687" t="str">
        <f t="shared" si="61"/>
        <v/>
      </c>
      <c r="N95" s="687" t="str">
        <f t="shared" si="61"/>
        <v/>
      </c>
      <c r="O95" s="688" t="str">
        <f t="shared" si="61"/>
        <v/>
      </c>
      <c r="P95" s="511" t="str">
        <f t="shared" si="46"/>
        <v>-</v>
      </c>
      <c r="Q95" s="6" t="str">
        <f t="shared" si="59"/>
        <v>-</v>
      </c>
    </row>
    <row r="96" spans="1:17" ht="15.75" x14ac:dyDescent="0.25">
      <c r="A96" s="864"/>
      <c r="B96" s="823" t="str">
        <f>IF($B$34="OTHER (RENAME)","OTHER",$B$34)</f>
        <v>OTHER</v>
      </c>
      <c r="C96" s="16" t="s">
        <v>21</v>
      </c>
      <c r="D96" s="549"/>
      <c r="E96" s="549"/>
      <c r="F96" s="549"/>
      <c r="G96" s="549"/>
      <c r="H96" s="549"/>
      <c r="I96" s="549"/>
      <c r="J96" s="549"/>
      <c r="K96" s="549"/>
      <c r="L96" s="549"/>
      <c r="M96" s="549"/>
      <c r="N96" s="549"/>
      <c r="O96" s="550"/>
      <c r="P96" s="512" t="str">
        <f t="shared" si="46"/>
        <v>-</v>
      </c>
      <c r="Q96" s="4" t="str">
        <f t="shared" si="59"/>
        <v>-</v>
      </c>
    </row>
    <row r="97" spans="1:17" ht="15.75" x14ac:dyDescent="0.25">
      <c r="A97" s="864"/>
      <c r="B97" s="824"/>
      <c r="C97" s="17" t="s">
        <v>22</v>
      </c>
      <c r="D97" s="687" t="str">
        <f>IF(D96="","",D$69*D96*24)</f>
        <v/>
      </c>
      <c r="E97" s="687" t="str">
        <f t="shared" ref="E97:O97" si="62">IF(E96="","",E$69*E96*24)</f>
        <v/>
      </c>
      <c r="F97" s="687" t="str">
        <f t="shared" si="62"/>
        <v/>
      </c>
      <c r="G97" s="687" t="str">
        <f t="shared" si="62"/>
        <v/>
      </c>
      <c r="H97" s="687" t="str">
        <f t="shared" si="62"/>
        <v/>
      </c>
      <c r="I97" s="687" t="str">
        <f t="shared" si="62"/>
        <v/>
      </c>
      <c r="J97" s="687" t="str">
        <f t="shared" si="62"/>
        <v/>
      </c>
      <c r="K97" s="687" t="str">
        <f t="shared" si="62"/>
        <v/>
      </c>
      <c r="L97" s="687" t="str">
        <f t="shared" si="62"/>
        <v/>
      </c>
      <c r="M97" s="687" t="str">
        <f t="shared" si="62"/>
        <v/>
      </c>
      <c r="N97" s="687" t="str">
        <f t="shared" si="62"/>
        <v/>
      </c>
      <c r="O97" s="688" t="str">
        <f t="shared" si="62"/>
        <v/>
      </c>
      <c r="P97" s="511" t="str">
        <f t="shared" si="46"/>
        <v>-</v>
      </c>
      <c r="Q97" s="6" t="str">
        <f t="shared" si="59"/>
        <v>-</v>
      </c>
    </row>
    <row r="98" spans="1:17" ht="15.75" x14ac:dyDescent="0.25">
      <c r="A98" s="864"/>
      <c r="B98" s="975" t="s">
        <v>16</v>
      </c>
      <c r="C98" s="976"/>
      <c r="D98" s="553" t="str">
        <f>IF(SUM(D70,D72,D74,D76,D78,D80,D82,D84,D86,D88,D90,D92,D94,D96)=0,"",SUM(D70,D72,D74,D76,D78,D80,D82,D84,D86,D88,D90,D92,D94,D96))</f>
        <v/>
      </c>
      <c r="E98" s="553" t="str">
        <f t="shared" ref="E98:O98" si="63">IF(SUM(E70,E72,E74,E76,E78,E80,E82,E84,E86,E88,E90,E92,E94,E96)=0,"",SUM(E70,E72,E74,E76,E78,E80,E82,E84,E86,E88,E90,E92,E94,E96))</f>
        <v/>
      </c>
      <c r="F98" s="553" t="str">
        <f t="shared" si="63"/>
        <v/>
      </c>
      <c r="G98" s="553" t="str">
        <f t="shared" si="63"/>
        <v/>
      </c>
      <c r="H98" s="553" t="str">
        <f t="shared" si="63"/>
        <v/>
      </c>
      <c r="I98" s="553" t="str">
        <f t="shared" si="63"/>
        <v/>
      </c>
      <c r="J98" s="553" t="str">
        <f t="shared" si="63"/>
        <v/>
      </c>
      <c r="K98" s="553" t="str">
        <f t="shared" si="63"/>
        <v/>
      </c>
      <c r="L98" s="553" t="str">
        <f t="shared" si="63"/>
        <v/>
      </c>
      <c r="M98" s="553" t="str">
        <f t="shared" si="63"/>
        <v/>
      </c>
      <c r="N98" s="553" t="str">
        <f t="shared" si="63"/>
        <v/>
      </c>
      <c r="O98" s="554" t="str">
        <f t="shared" si="63"/>
        <v/>
      </c>
      <c r="P98" s="512" t="str">
        <f t="shared" si="46"/>
        <v>-</v>
      </c>
      <c r="Q98" s="4" t="str">
        <f>IF(SUM(D98:O98)=0,"-",SUM(D98:O98))</f>
        <v>-</v>
      </c>
    </row>
    <row r="99" spans="1:17" ht="16.5" thickBot="1" x14ac:dyDescent="0.3">
      <c r="A99" s="865"/>
      <c r="B99" s="977" t="s">
        <v>17</v>
      </c>
      <c r="C99" s="978"/>
      <c r="D99" s="691" t="str">
        <f>IF(D98="","",SUM(D71,D73,D75,D77,D79,D81,D83,D85,D87,D89,D91,D93,D95,D97))</f>
        <v/>
      </c>
      <c r="E99" s="691" t="str">
        <f t="shared" ref="E99" si="64">IF(E98="","",SUM(E71,E73,E75,E77,E79,E81,E83,E85,E87,E89,E91,E93,E95,E97))</f>
        <v/>
      </c>
      <c r="F99" s="692" t="str">
        <f t="shared" ref="F99" si="65">IF(F98="","",SUM(F71,F73,F75,F77,F79,F81,F83,F85,F87,F89,F91,F93,F95,F97))</f>
        <v/>
      </c>
      <c r="G99" s="691" t="str">
        <f t="shared" ref="G99" si="66">IF(G98="","",SUM(G71,G73,G75,G77,G79,G81,G83,G85,G87,G89,G91,G93,G95,G97))</f>
        <v/>
      </c>
      <c r="H99" s="691" t="str">
        <f t="shared" ref="H99" si="67">IF(H98="","",SUM(H71,H73,H75,H77,H79,H81,H83,H85,H87,H89,H91,H93,H95,H97))</f>
        <v/>
      </c>
      <c r="I99" s="691" t="str">
        <f t="shared" ref="I99" si="68">IF(I98="","",SUM(I71,I73,I75,I77,I79,I81,I83,I85,I87,I89,I91,I93,I95,I97))</f>
        <v/>
      </c>
      <c r="J99" s="691" t="str">
        <f t="shared" ref="J99" si="69">IF(J98="","",SUM(J71,J73,J75,J77,J79,J81,J83,J85,J87,J89,J91,J93,J95,J97))</f>
        <v/>
      </c>
      <c r="K99" s="691" t="str">
        <f t="shared" ref="K99" si="70">IF(K98="","",SUM(K71,K73,K75,K77,K79,K81,K83,K85,K87,K89,K91,K93,K95,K97))</f>
        <v/>
      </c>
      <c r="L99" s="691" t="str">
        <f t="shared" ref="L99" si="71">IF(L98="","",SUM(L71,L73,L75,L77,L79,L81,L83,L85,L87,L89,L91,L93,L95,L97))</f>
        <v/>
      </c>
      <c r="M99" s="691" t="str">
        <f t="shared" ref="M99" si="72">IF(M98="","",SUM(M71,M73,M75,M77,M79,M81,M83,M85,M87,M89,M91,M93,M95,M97))</f>
        <v/>
      </c>
      <c r="N99" s="691" t="str">
        <f t="shared" ref="N99" si="73">IF(N98="","",SUM(N71,N73,N75,N77,N79,N81,N83,N85,N87,N89,N91,N93,N95,N97))</f>
        <v/>
      </c>
      <c r="O99" s="693" t="str">
        <f t="shared" ref="O99" si="74">IF(O98="","",SUM(O71,O73,O75,O77,O79,O81,O83,O85,O87,O89,O91,O93,O95,O97))</f>
        <v/>
      </c>
      <c r="P99" s="525" t="str">
        <f t="shared" si="46"/>
        <v>-</v>
      </c>
      <c r="Q99" s="7" t="str">
        <f>IF(SUM(D99:O99)=0,"-",SUM(D99:O99))</f>
        <v>-</v>
      </c>
    </row>
    <row r="100" spans="1:17" ht="15.75" x14ac:dyDescent="0.25">
      <c r="A100" s="872" t="s">
        <v>111</v>
      </c>
      <c r="B100" s="878" t="s">
        <v>3</v>
      </c>
      <c r="C100" s="879"/>
      <c r="D100" s="547" t="str">
        <f>IF('2024DATA'!BH3=0,"",'2024DATA'!BH3)</f>
        <v/>
      </c>
      <c r="E100" s="547" t="str">
        <f>IF('2024DATA'!BI3=0,"",'2024DATA'!BI3)</f>
        <v/>
      </c>
      <c r="F100" s="547" t="str">
        <f>IF('2024DATA'!BJ3=0,"",'2024DATA'!BJ3)</f>
        <v/>
      </c>
      <c r="G100" s="547" t="str">
        <f>IF('2024DATA'!BK3=0,"",'2024DATA'!BK3)</f>
        <v/>
      </c>
      <c r="H100" s="547" t="str">
        <f>IF('2024DATA'!BL3=0,"",'2024DATA'!BL3)</f>
        <v/>
      </c>
      <c r="I100" s="547" t="str">
        <f>IF('2024DATA'!BM3=0,"",'2024DATA'!BM3)</f>
        <v/>
      </c>
      <c r="J100" s="547" t="str">
        <f>IF('2024DATA'!BN3=0,"",'2024DATA'!BN3)</f>
        <v/>
      </c>
      <c r="K100" s="547" t="str">
        <f>IF('2024DATA'!BO3=0,"",'2024DATA'!BO3)</f>
        <v/>
      </c>
      <c r="L100" s="547" t="str">
        <f>IF('2024DATA'!BP3=0,"",'2024DATA'!BP3)</f>
        <v/>
      </c>
      <c r="M100" s="547" t="str">
        <f>IF('2024DATA'!BQ3=0,"",'2024DATA'!BQ3)</f>
        <v/>
      </c>
      <c r="N100" s="547" t="str">
        <f>IF('2024DATA'!BR3=0,"",'2024DATA'!BR3)</f>
        <v/>
      </c>
      <c r="O100" s="548" t="str">
        <f>IF('2024DATA'!BS3=0,"",'2024DATA'!BS3)</f>
        <v/>
      </c>
      <c r="P100" s="880"/>
      <c r="Q100" s="881"/>
    </row>
    <row r="101" spans="1:17" ht="15.75" x14ac:dyDescent="0.25">
      <c r="A101" s="873"/>
      <c r="B101" s="823" t="s">
        <v>7</v>
      </c>
      <c r="C101" s="16" t="s">
        <v>21</v>
      </c>
      <c r="D101" s="549"/>
      <c r="E101" s="549"/>
      <c r="F101" s="549"/>
      <c r="G101" s="549"/>
      <c r="H101" s="549"/>
      <c r="I101" s="549"/>
      <c r="J101" s="549"/>
      <c r="K101" s="549"/>
      <c r="L101" s="549"/>
      <c r="M101" s="549"/>
      <c r="N101" s="549"/>
      <c r="O101" s="550"/>
      <c r="P101" s="512" t="str">
        <f t="shared" ref="P101:P130" si="75">IF(Q101="-","-",Q101/12)</f>
        <v>-</v>
      </c>
      <c r="Q101" s="4" t="str">
        <f t="shared" ref="Q101:Q120" si="76">IF(SUM(D101:O101)=0,"-",SUM(D101:O101))</f>
        <v>-</v>
      </c>
    </row>
    <row r="102" spans="1:17" ht="15.75" x14ac:dyDescent="0.25">
      <c r="A102" s="873"/>
      <c r="B102" s="824"/>
      <c r="C102" s="17" t="s">
        <v>22</v>
      </c>
      <c r="D102" s="683" t="str">
        <f>IF(D101="","",D$100*D101*24)</f>
        <v/>
      </c>
      <c r="E102" s="683" t="str">
        <f t="shared" ref="E102:O102" si="77">IF(E101="","",E$100*E101*24)</f>
        <v/>
      </c>
      <c r="F102" s="683" t="str">
        <f t="shared" si="77"/>
        <v/>
      </c>
      <c r="G102" s="683" t="str">
        <f t="shared" si="77"/>
        <v/>
      </c>
      <c r="H102" s="683" t="str">
        <f t="shared" si="77"/>
        <v/>
      </c>
      <c r="I102" s="683" t="str">
        <f t="shared" si="77"/>
        <v/>
      </c>
      <c r="J102" s="683" t="str">
        <f t="shared" si="77"/>
        <v/>
      </c>
      <c r="K102" s="683" t="str">
        <f t="shared" si="77"/>
        <v/>
      </c>
      <c r="L102" s="683" t="str">
        <f t="shared" si="77"/>
        <v/>
      </c>
      <c r="M102" s="683" t="str">
        <f t="shared" si="77"/>
        <v/>
      </c>
      <c r="N102" s="683" t="str">
        <f t="shared" si="77"/>
        <v/>
      </c>
      <c r="O102" s="686" t="str">
        <f t="shared" si="77"/>
        <v/>
      </c>
      <c r="P102" s="511" t="str">
        <f t="shared" si="75"/>
        <v>-</v>
      </c>
      <c r="Q102" s="6" t="str">
        <f t="shared" si="76"/>
        <v>-</v>
      </c>
    </row>
    <row r="103" spans="1:17" ht="15.75" x14ac:dyDescent="0.25">
      <c r="A103" s="873"/>
      <c r="B103" s="823" t="s">
        <v>8</v>
      </c>
      <c r="C103" s="18" t="s">
        <v>21</v>
      </c>
      <c r="D103" s="549"/>
      <c r="E103" s="549"/>
      <c r="F103" s="549"/>
      <c r="G103" s="549"/>
      <c r="H103" s="549"/>
      <c r="I103" s="549"/>
      <c r="J103" s="549"/>
      <c r="K103" s="549"/>
      <c r="L103" s="549"/>
      <c r="M103" s="549"/>
      <c r="N103" s="549"/>
      <c r="O103" s="550"/>
      <c r="P103" s="512" t="str">
        <f t="shared" si="75"/>
        <v>-</v>
      </c>
      <c r="Q103" s="4" t="str">
        <f t="shared" si="76"/>
        <v>-</v>
      </c>
    </row>
    <row r="104" spans="1:17" ht="15.75" x14ac:dyDescent="0.25">
      <c r="A104" s="873"/>
      <c r="B104" s="824"/>
      <c r="C104" s="18" t="s">
        <v>22</v>
      </c>
      <c r="D104" s="683" t="str">
        <f>IF(D103=0,"",(D100+IF(D$4="CA",DATA!$B$22,DATA!$B$23))*D103*24)</f>
        <v/>
      </c>
      <c r="E104" s="683" t="str">
        <f>IF(E103=0,"",(E100+IF(E$4="CA",DATA!$B$22,DATA!$B$23))*E103*24)</f>
        <v/>
      </c>
      <c r="F104" s="683" t="str">
        <f>IF(F103=0,"",(F100+IF(F$4="CA",DATA!$B$22,DATA!$B$23))*F103*24)</f>
        <v/>
      </c>
      <c r="G104" s="683" t="str">
        <f>IF(G103=0,"",(G100+IF(G$4="CA",DATA!$B$22,DATA!$B$23))*G103*24)</f>
        <v/>
      </c>
      <c r="H104" s="683" t="str">
        <f>IF(H103=0,"",(H100+IF(H$4="CA",DATA!$B$22,DATA!$B$23))*H103*24)</f>
        <v/>
      </c>
      <c r="I104" s="683" t="str">
        <f>IF(I103=0,"",(I100+IF(I$4="CA",DATA!$B$22,DATA!$B$23))*I103*24)</f>
        <v/>
      </c>
      <c r="J104" s="683" t="str">
        <f>IF(J103=0,"",(J100+IF(J$4="CA",DATA!$B$22,DATA!$B$23))*J103*24)</f>
        <v/>
      </c>
      <c r="K104" s="683" t="str">
        <f>IF(K103=0,"",(K100+IF(K$4="CA",DATA!$B$22,DATA!$B$23))*K103*24)</f>
        <v/>
      </c>
      <c r="L104" s="683" t="str">
        <f>IF(L103=0,"",(L100+IF(L$4="CA",DATA!$B$22,DATA!$B$23))*L103*24)</f>
        <v/>
      </c>
      <c r="M104" s="683" t="str">
        <f>IF(M103=0,"",(M100+IF(M$4="CA",DATA!$B$22,DATA!$B$23))*M103*24)</f>
        <v/>
      </c>
      <c r="N104" s="683" t="str">
        <f>IF(N103=0,"",(N100+IF(N$4="CA",DATA!$B$22,DATA!$B$23))*N103*24)</f>
        <v/>
      </c>
      <c r="O104" s="686" t="str">
        <f>IF(O103=0,"",(O100+IF(O$4="CA",DATA!$B$22,DATA!$B$23))*O103*24)</f>
        <v/>
      </c>
      <c r="P104" s="511" t="str">
        <f t="shared" si="75"/>
        <v>-</v>
      </c>
      <c r="Q104" s="6" t="str">
        <f t="shared" si="76"/>
        <v>-</v>
      </c>
    </row>
    <row r="105" spans="1:17" ht="15.75" x14ac:dyDescent="0.25">
      <c r="A105" s="873"/>
      <c r="B105" s="823" t="s">
        <v>9</v>
      </c>
      <c r="C105" s="16" t="s">
        <v>21</v>
      </c>
      <c r="D105" s="549"/>
      <c r="E105" s="549"/>
      <c r="F105" s="549"/>
      <c r="G105" s="549"/>
      <c r="H105" s="549"/>
      <c r="I105" s="549"/>
      <c r="J105" s="549"/>
      <c r="K105" s="549"/>
      <c r="L105" s="549"/>
      <c r="M105" s="549"/>
      <c r="N105" s="549"/>
      <c r="O105" s="550"/>
      <c r="P105" s="512" t="str">
        <f t="shared" si="75"/>
        <v>-</v>
      </c>
      <c r="Q105" s="4" t="str">
        <f t="shared" si="76"/>
        <v>-</v>
      </c>
    </row>
    <row r="106" spans="1:17" ht="15.75" x14ac:dyDescent="0.25">
      <c r="A106" s="873"/>
      <c r="B106" s="824"/>
      <c r="C106" s="17" t="s">
        <v>22</v>
      </c>
      <c r="D106" s="683" t="str">
        <f>IF(D105="","",D$100*D105*24)</f>
        <v/>
      </c>
      <c r="E106" s="683" t="str">
        <f t="shared" ref="E106:O106" si="78">IF(E105="","",E$100*E105*24)</f>
        <v/>
      </c>
      <c r="F106" s="684" t="str">
        <f t="shared" si="78"/>
        <v/>
      </c>
      <c r="G106" s="683" t="str">
        <f t="shared" si="78"/>
        <v/>
      </c>
      <c r="H106" s="683" t="str">
        <f t="shared" si="78"/>
        <v/>
      </c>
      <c r="I106" s="683" t="str">
        <f t="shared" si="78"/>
        <v/>
      </c>
      <c r="J106" s="683" t="str">
        <f t="shared" si="78"/>
        <v/>
      </c>
      <c r="K106" s="683" t="str">
        <f t="shared" si="78"/>
        <v/>
      </c>
      <c r="L106" s="683" t="str">
        <f t="shared" si="78"/>
        <v/>
      </c>
      <c r="M106" s="683" t="str">
        <f t="shared" si="78"/>
        <v/>
      </c>
      <c r="N106" s="683" t="str">
        <f t="shared" si="78"/>
        <v/>
      </c>
      <c r="O106" s="685" t="str">
        <f t="shared" si="78"/>
        <v/>
      </c>
      <c r="P106" s="511" t="str">
        <f t="shared" si="75"/>
        <v>-</v>
      </c>
      <c r="Q106" s="6" t="str">
        <f t="shared" si="76"/>
        <v>-</v>
      </c>
    </row>
    <row r="107" spans="1:17" ht="15.75" x14ac:dyDescent="0.25">
      <c r="A107" s="873"/>
      <c r="B107" s="823" t="s">
        <v>10</v>
      </c>
      <c r="C107" s="18" t="s">
        <v>21</v>
      </c>
      <c r="D107" s="549"/>
      <c r="E107" s="549"/>
      <c r="F107" s="549"/>
      <c r="G107" s="549"/>
      <c r="H107" s="549"/>
      <c r="I107" s="549"/>
      <c r="J107" s="549"/>
      <c r="K107" s="549"/>
      <c r="L107" s="549"/>
      <c r="M107" s="549"/>
      <c r="N107" s="549"/>
      <c r="O107" s="550"/>
      <c r="P107" s="512" t="str">
        <f t="shared" si="75"/>
        <v>-</v>
      </c>
      <c r="Q107" s="4" t="str">
        <f t="shared" si="76"/>
        <v>-</v>
      </c>
    </row>
    <row r="108" spans="1:17" ht="15.75" x14ac:dyDescent="0.25">
      <c r="A108" s="873"/>
      <c r="B108" s="824"/>
      <c r="C108" s="18" t="s">
        <v>22</v>
      </c>
      <c r="D108" s="683" t="str">
        <f>IF(D107="","",D$100*D107*24)</f>
        <v/>
      </c>
      <c r="E108" s="683" t="str">
        <f t="shared" ref="E108:O108" si="79">IF(E107="","",E$100*E107*24)</f>
        <v/>
      </c>
      <c r="F108" s="684" t="str">
        <f t="shared" si="79"/>
        <v/>
      </c>
      <c r="G108" s="683" t="str">
        <f t="shared" si="79"/>
        <v/>
      </c>
      <c r="H108" s="683" t="str">
        <f t="shared" si="79"/>
        <v/>
      </c>
      <c r="I108" s="683" t="str">
        <f t="shared" si="79"/>
        <v/>
      </c>
      <c r="J108" s="683" t="str">
        <f t="shared" si="79"/>
        <v/>
      </c>
      <c r="K108" s="683" t="str">
        <f t="shared" si="79"/>
        <v/>
      </c>
      <c r="L108" s="683" t="str">
        <f t="shared" si="79"/>
        <v/>
      </c>
      <c r="M108" s="683" t="str">
        <f t="shared" si="79"/>
        <v/>
      </c>
      <c r="N108" s="683" t="str">
        <f t="shared" si="79"/>
        <v/>
      </c>
      <c r="O108" s="685" t="str">
        <f t="shared" si="79"/>
        <v/>
      </c>
      <c r="P108" s="511" t="str">
        <f t="shared" si="75"/>
        <v>-</v>
      </c>
      <c r="Q108" s="6" t="str">
        <f t="shared" si="76"/>
        <v>-</v>
      </c>
    </row>
    <row r="109" spans="1:17" ht="15.75" x14ac:dyDescent="0.25">
      <c r="A109" s="873"/>
      <c r="B109" s="823" t="s">
        <v>11</v>
      </c>
      <c r="C109" s="16" t="s">
        <v>21</v>
      </c>
      <c r="D109" s="549"/>
      <c r="E109" s="549"/>
      <c r="F109" s="549"/>
      <c r="G109" s="549"/>
      <c r="H109" s="549"/>
      <c r="I109" s="549"/>
      <c r="J109" s="549"/>
      <c r="K109" s="549"/>
      <c r="L109" s="549"/>
      <c r="M109" s="549"/>
      <c r="N109" s="549"/>
      <c r="O109" s="550"/>
      <c r="P109" s="512" t="str">
        <f t="shared" si="75"/>
        <v>-</v>
      </c>
      <c r="Q109" s="4" t="str">
        <f t="shared" si="76"/>
        <v>-</v>
      </c>
    </row>
    <row r="110" spans="1:17" ht="15.75" x14ac:dyDescent="0.25">
      <c r="A110" s="873"/>
      <c r="B110" s="824"/>
      <c r="C110" s="17" t="s">
        <v>22</v>
      </c>
      <c r="D110" s="683" t="str">
        <f>IF(D109="","",D$100*D109*24)</f>
        <v/>
      </c>
      <c r="E110" s="683" t="str">
        <f t="shared" ref="E110:O110" si="80">IF(E109="","",E$100*E109*24)</f>
        <v/>
      </c>
      <c r="F110" s="684" t="str">
        <f t="shared" si="80"/>
        <v/>
      </c>
      <c r="G110" s="683" t="str">
        <f t="shared" si="80"/>
        <v/>
      </c>
      <c r="H110" s="683" t="str">
        <f t="shared" si="80"/>
        <v/>
      </c>
      <c r="I110" s="683" t="str">
        <f t="shared" si="80"/>
        <v/>
      </c>
      <c r="J110" s="683" t="str">
        <f t="shared" si="80"/>
        <v/>
      </c>
      <c r="K110" s="683" t="str">
        <f t="shared" si="80"/>
        <v/>
      </c>
      <c r="L110" s="683" t="str">
        <f t="shared" si="80"/>
        <v/>
      </c>
      <c r="M110" s="683" t="str">
        <f t="shared" si="80"/>
        <v/>
      </c>
      <c r="N110" s="683" t="str">
        <f t="shared" si="80"/>
        <v/>
      </c>
      <c r="O110" s="685" t="str">
        <f t="shared" si="80"/>
        <v/>
      </c>
      <c r="P110" s="511" t="str">
        <f t="shared" si="75"/>
        <v>-</v>
      </c>
      <c r="Q110" s="6" t="str">
        <f t="shared" si="76"/>
        <v>-</v>
      </c>
    </row>
    <row r="111" spans="1:17" ht="15.75" x14ac:dyDescent="0.25">
      <c r="A111" s="873"/>
      <c r="B111" s="823" t="s">
        <v>12</v>
      </c>
      <c r="C111" s="18" t="s">
        <v>21</v>
      </c>
      <c r="D111" s="549"/>
      <c r="E111" s="549"/>
      <c r="F111" s="549"/>
      <c r="G111" s="549"/>
      <c r="H111" s="549"/>
      <c r="I111" s="549"/>
      <c r="J111" s="549"/>
      <c r="K111" s="549"/>
      <c r="L111" s="549"/>
      <c r="M111" s="549"/>
      <c r="N111" s="549"/>
      <c r="O111" s="550"/>
      <c r="P111" s="512" t="str">
        <f t="shared" si="75"/>
        <v>-</v>
      </c>
      <c r="Q111" s="4" t="str">
        <f t="shared" si="76"/>
        <v>-</v>
      </c>
    </row>
    <row r="112" spans="1:17" ht="15.75" x14ac:dyDescent="0.25">
      <c r="A112" s="873"/>
      <c r="B112" s="824"/>
      <c r="C112" s="18" t="s">
        <v>22</v>
      </c>
      <c r="D112" s="683" t="str">
        <f>IF(D111="","",D$100*D111*24)</f>
        <v/>
      </c>
      <c r="E112" s="683" t="str">
        <f t="shared" ref="E112:O112" si="81">IF(E111="","",E$100*E111*24)</f>
        <v/>
      </c>
      <c r="F112" s="684" t="str">
        <f t="shared" si="81"/>
        <v/>
      </c>
      <c r="G112" s="683" t="str">
        <f t="shared" si="81"/>
        <v/>
      </c>
      <c r="H112" s="683" t="str">
        <f t="shared" si="81"/>
        <v/>
      </c>
      <c r="I112" s="683" t="str">
        <f t="shared" si="81"/>
        <v/>
      </c>
      <c r="J112" s="683" t="str">
        <f t="shared" si="81"/>
        <v/>
      </c>
      <c r="K112" s="683" t="str">
        <f t="shared" si="81"/>
        <v/>
      </c>
      <c r="L112" s="683" t="str">
        <f t="shared" si="81"/>
        <v/>
      </c>
      <c r="M112" s="683" t="str">
        <f t="shared" si="81"/>
        <v/>
      </c>
      <c r="N112" s="683" t="str">
        <f t="shared" si="81"/>
        <v/>
      </c>
      <c r="O112" s="685" t="str">
        <f t="shared" si="81"/>
        <v/>
      </c>
      <c r="P112" s="511" t="str">
        <f t="shared" si="75"/>
        <v>-</v>
      </c>
      <c r="Q112" s="6" t="str">
        <f t="shared" si="76"/>
        <v>-</v>
      </c>
    </row>
    <row r="113" spans="1:17" ht="15.75" x14ac:dyDescent="0.25">
      <c r="A113" s="873"/>
      <c r="B113" s="823" t="s">
        <v>15</v>
      </c>
      <c r="C113" s="16" t="s">
        <v>21</v>
      </c>
      <c r="D113" s="549"/>
      <c r="E113" s="549"/>
      <c r="F113" s="549"/>
      <c r="G113" s="549"/>
      <c r="H113" s="549"/>
      <c r="I113" s="549"/>
      <c r="J113" s="549"/>
      <c r="K113" s="549"/>
      <c r="L113" s="549"/>
      <c r="M113" s="549"/>
      <c r="N113" s="549"/>
      <c r="O113" s="550"/>
      <c r="P113" s="512" t="str">
        <f t="shared" si="75"/>
        <v>-</v>
      </c>
      <c r="Q113" s="4" t="str">
        <f t="shared" si="76"/>
        <v>-</v>
      </c>
    </row>
    <row r="114" spans="1:17" ht="15.75" x14ac:dyDescent="0.25">
      <c r="A114" s="873"/>
      <c r="B114" s="824"/>
      <c r="C114" s="17" t="s">
        <v>22</v>
      </c>
      <c r="D114" s="683" t="str">
        <f>IF(D113="","",D$100*D113*24)</f>
        <v/>
      </c>
      <c r="E114" s="683" t="str">
        <f t="shared" ref="E114:O114" si="82">IF(E113="","",E$100*E113*24)</f>
        <v/>
      </c>
      <c r="F114" s="684" t="str">
        <f t="shared" si="82"/>
        <v/>
      </c>
      <c r="G114" s="683" t="str">
        <f t="shared" si="82"/>
        <v/>
      </c>
      <c r="H114" s="683" t="str">
        <f t="shared" si="82"/>
        <v/>
      </c>
      <c r="I114" s="683" t="str">
        <f t="shared" si="82"/>
        <v/>
      </c>
      <c r="J114" s="683" t="str">
        <f t="shared" si="82"/>
        <v/>
      </c>
      <c r="K114" s="683" t="str">
        <f t="shared" si="82"/>
        <v/>
      </c>
      <c r="L114" s="683" t="str">
        <f t="shared" si="82"/>
        <v/>
      </c>
      <c r="M114" s="683" t="str">
        <f t="shared" si="82"/>
        <v/>
      </c>
      <c r="N114" s="683" t="str">
        <f t="shared" si="82"/>
        <v/>
      </c>
      <c r="O114" s="685" t="str">
        <f t="shared" si="82"/>
        <v/>
      </c>
      <c r="P114" s="511" t="str">
        <f t="shared" si="75"/>
        <v>-</v>
      </c>
      <c r="Q114" s="6" t="str">
        <f t="shared" si="76"/>
        <v>-</v>
      </c>
    </row>
    <row r="115" spans="1:17" ht="15.75" x14ac:dyDescent="0.25">
      <c r="A115" s="873"/>
      <c r="B115" s="823" t="s">
        <v>13</v>
      </c>
      <c r="C115" s="18" t="s">
        <v>21</v>
      </c>
      <c r="D115" s="549"/>
      <c r="E115" s="549"/>
      <c r="F115" s="549"/>
      <c r="G115" s="549"/>
      <c r="H115" s="549"/>
      <c r="I115" s="549"/>
      <c r="J115" s="549"/>
      <c r="K115" s="549"/>
      <c r="L115" s="549"/>
      <c r="M115" s="549"/>
      <c r="N115" s="549"/>
      <c r="O115" s="550"/>
      <c r="P115" s="512" t="str">
        <f t="shared" si="75"/>
        <v>-</v>
      </c>
      <c r="Q115" s="4" t="str">
        <f t="shared" si="76"/>
        <v>-</v>
      </c>
    </row>
    <row r="116" spans="1:17" ht="15.75" x14ac:dyDescent="0.25">
      <c r="A116" s="873"/>
      <c r="B116" s="824"/>
      <c r="C116" s="18" t="s">
        <v>22</v>
      </c>
      <c r="D116" s="683" t="str">
        <f>IF(D115="","",D$100*D115*24)</f>
        <v/>
      </c>
      <c r="E116" s="683" t="str">
        <f t="shared" ref="E116:O116" si="83">IF(E115="","",E$100*E115*24)</f>
        <v/>
      </c>
      <c r="F116" s="684" t="str">
        <f t="shared" si="83"/>
        <v/>
      </c>
      <c r="G116" s="683" t="str">
        <f t="shared" si="83"/>
        <v/>
      </c>
      <c r="H116" s="683" t="str">
        <f t="shared" si="83"/>
        <v/>
      </c>
      <c r="I116" s="683" t="str">
        <f t="shared" si="83"/>
        <v/>
      </c>
      <c r="J116" s="683" t="str">
        <f t="shared" si="83"/>
        <v/>
      </c>
      <c r="K116" s="683" t="str">
        <f t="shared" si="83"/>
        <v/>
      </c>
      <c r="L116" s="683" t="str">
        <f t="shared" si="83"/>
        <v/>
      </c>
      <c r="M116" s="683" t="str">
        <f t="shared" si="83"/>
        <v/>
      </c>
      <c r="N116" s="683" t="str">
        <f t="shared" si="83"/>
        <v/>
      </c>
      <c r="O116" s="685" t="str">
        <f t="shared" si="83"/>
        <v/>
      </c>
      <c r="P116" s="511" t="str">
        <f t="shared" si="75"/>
        <v>-</v>
      </c>
      <c r="Q116" s="6" t="str">
        <f t="shared" si="76"/>
        <v>-</v>
      </c>
    </row>
    <row r="117" spans="1:17" ht="15.75" x14ac:dyDescent="0.25">
      <c r="A117" s="873"/>
      <c r="B117" s="823" t="s">
        <v>20</v>
      </c>
      <c r="C117" s="16" t="s">
        <v>21</v>
      </c>
      <c r="D117" s="549"/>
      <c r="E117" s="549"/>
      <c r="F117" s="549"/>
      <c r="G117" s="549"/>
      <c r="H117" s="549"/>
      <c r="I117" s="549"/>
      <c r="J117" s="549"/>
      <c r="K117" s="549"/>
      <c r="L117" s="549"/>
      <c r="M117" s="549"/>
      <c r="N117" s="549"/>
      <c r="O117" s="550"/>
      <c r="P117" s="512" t="str">
        <f t="shared" si="75"/>
        <v>-</v>
      </c>
      <c r="Q117" s="4" t="str">
        <f t="shared" si="76"/>
        <v>-</v>
      </c>
    </row>
    <row r="118" spans="1:17" ht="15.75" x14ac:dyDescent="0.25">
      <c r="A118" s="873"/>
      <c r="B118" s="824"/>
      <c r="C118" s="17" t="s">
        <v>22</v>
      </c>
      <c r="D118" s="683" t="str">
        <f>IF(D117="","",D$100*D117*24)</f>
        <v/>
      </c>
      <c r="E118" s="683" t="str">
        <f t="shared" ref="E118:O118" si="84">IF(E117="","",E$100*E117*24)</f>
        <v/>
      </c>
      <c r="F118" s="684" t="str">
        <f t="shared" si="84"/>
        <v/>
      </c>
      <c r="G118" s="683" t="str">
        <f t="shared" si="84"/>
        <v/>
      </c>
      <c r="H118" s="683" t="str">
        <f t="shared" si="84"/>
        <v/>
      </c>
      <c r="I118" s="683" t="str">
        <f t="shared" si="84"/>
        <v/>
      </c>
      <c r="J118" s="683" t="str">
        <f t="shared" si="84"/>
        <v/>
      </c>
      <c r="K118" s="683" t="str">
        <f t="shared" si="84"/>
        <v/>
      </c>
      <c r="L118" s="683" t="str">
        <f t="shared" si="84"/>
        <v/>
      </c>
      <c r="M118" s="683" t="str">
        <f t="shared" si="84"/>
        <v/>
      </c>
      <c r="N118" s="683" t="str">
        <f t="shared" si="84"/>
        <v/>
      </c>
      <c r="O118" s="685" t="str">
        <f t="shared" si="84"/>
        <v/>
      </c>
      <c r="P118" s="511" t="str">
        <f t="shared" si="75"/>
        <v>-</v>
      </c>
      <c r="Q118" s="6" t="str">
        <f t="shared" si="76"/>
        <v>-</v>
      </c>
    </row>
    <row r="119" spans="1:17" ht="15.75" x14ac:dyDescent="0.25">
      <c r="A119" s="873"/>
      <c r="B119" s="823" t="s">
        <v>1</v>
      </c>
      <c r="C119" s="18" t="s">
        <v>21</v>
      </c>
      <c r="D119" s="549"/>
      <c r="E119" s="549"/>
      <c r="F119" s="549"/>
      <c r="G119" s="549"/>
      <c r="H119" s="549"/>
      <c r="I119" s="549"/>
      <c r="J119" s="549"/>
      <c r="K119" s="549"/>
      <c r="L119" s="549"/>
      <c r="M119" s="549"/>
      <c r="N119" s="549"/>
      <c r="O119" s="550"/>
      <c r="P119" s="512" t="str">
        <f t="shared" si="75"/>
        <v>-</v>
      </c>
      <c r="Q119" s="4" t="str">
        <f t="shared" si="76"/>
        <v>-</v>
      </c>
    </row>
    <row r="120" spans="1:17" ht="15.75" x14ac:dyDescent="0.25">
      <c r="A120" s="873"/>
      <c r="B120" s="824"/>
      <c r="C120" s="18" t="s">
        <v>22</v>
      </c>
      <c r="D120" s="683" t="str">
        <f>IF(D119="","",D$100*D119*24)</f>
        <v/>
      </c>
      <c r="E120" s="683" t="str">
        <f t="shared" ref="E120:O120" si="85">IF(E119="","",E$100*E119*24)</f>
        <v/>
      </c>
      <c r="F120" s="684" t="str">
        <f t="shared" si="85"/>
        <v/>
      </c>
      <c r="G120" s="683" t="str">
        <f t="shared" si="85"/>
        <v/>
      </c>
      <c r="H120" s="683" t="str">
        <f t="shared" si="85"/>
        <v/>
      </c>
      <c r="I120" s="683" t="str">
        <f t="shared" si="85"/>
        <v/>
      </c>
      <c r="J120" s="683" t="str">
        <f t="shared" si="85"/>
        <v/>
      </c>
      <c r="K120" s="683" t="str">
        <f t="shared" si="85"/>
        <v/>
      </c>
      <c r="L120" s="683" t="str">
        <f t="shared" si="85"/>
        <v/>
      </c>
      <c r="M120" s="683" t="str">
        <f t="shared" si="85"/>
        <v/>
      </c>
      <c r="N120" s="683" t="str">
        <f t="shared" si="85"/>
        <v/>
      </c>
      <c r="O120" s="685" t="str">
        <f t="shared" si="85"/>
        <v/>
      </c>
      <c r="P120" s="511" t="str">
        <f t="shared" si="75"/>
        <v>-</v>
      </c>
      <c r="Q120" s="6" t="str">
        <f t="shared" si="76"/>
        <v>-</v>
      </c>
    </row>
    <row r="121" spans="1:17" ht="15.75" x14ac:dyDescent="0.25">
      <c r="A121" s="873"/>
      <c r="B121" s="823" t="str">
        <f>IF($B$28="OTHER (RENAME)","OTHER",$B$28)</f>
        <v>OTHER</v>
      </c>
      <c r="C121" s="19" t="s">
        <v>21</v>
      </c>
      <c r="D121" s="549"/>
      <c r="E121" s="549"/>
      <c r="F121" s="549"/>
      <c r="G121" s="549"/>
      <c r="H121" s="549"/>
      <c r="I121" s="549"/>
      <c r="J121" s="549"/>
      <c r="K121" s="549"/>
      <c r="L121" s="549"/>
      <c r="M121" s="549"/>
      <c r="N121" s="549"/>
      <c r="O121" s="550"/>
      <c r="P121" s="512" t="str">
        <f t="shared" si="75"/>
        <v>-</v>
      </c>
      <c r="Q121" s="4" t="str">
        <f t="shared" ref="Q121:Q122" si="86">IF(SUM(D121:O121)=0,"-",SUM(D121:O121))</f>
        <v>-</v>
      </c>
    </row>
    <row r="122" spans="1:17" ht="15.75" x14ac:dyDescent="0.25">
      <c r="A122" s="873"/>
      <c r="B122" s="824"/>
      <c r="C122" s="20" t="s">
        <v>22</v>
      </c>
      <c r="D122" s="687" t="str">
        <f>IF(D121="","",D$100*D121*24)</f>
        <v/>
      </c>
      <c r="E122" s="687" t="str">
        <f t="shared" ref="E122:O122" si="87">IF(E121="","",E$100*E121*24)</f>
        <v/>
      </c>
      <c r="F122" s="687" t="str">
        <f t="shared" si="87"/>
        <v/>
      </c>
      <c r="G122" s="687" t="str">
        <f t="shared" si="87"/>
        <v/>
      </c>
      <c r="H122" s="687" t="str">
        <f t="shared" si="87"/>
        <v/>
      </c>
      <c r="I122" s="687" t="str">
        <f t="shared" si="87"/>
        <v/>
      </c>
      <c r="J122" s="687" t="str">
        <f t="shared" si="87"/>
        <v/>
      </c>
      <c r="K122" s="687" t="str">
        <f t="shared" si="87"/>
        <v/>
      </c>
      <c r="L122" s="687" t="str">
        <f t="shared" si="87"/>
        <v/>
      </c>
      <c r="M122" s="687" t="str">
        <f t="shared" si="87"/>
        <v/>
      </c>
      <c r="N122" s="687" t="str">
        <f t="shared" si="87"/>
        <v/>
      </c>
      <c r="O122" s="688" t="str">
        <f t="shared" si="87"/>
        <v/>
      </c>
      <c r="P122" s="511" t="str">
        <f t="shared" si="75"/>
        <v>-</v>
      </c>
      <c r="Q122" s="6" t="str">
        <f t="shared" si="86"/>
        <v>-</v>
      </c>
    </row>
    <row r="123" spans="1:17" ht="15.75" x14ac:dyDescent="0.25">
      <c r="A123" s="873"/>
      <c r="B123" s="823" t="str">
        <f>IF($B$30="OTHER (RENAME)","OTHER",$B$30)</f>
        <v>OTHER</v>
      </c>
      <c r="C123" s="16" t="s">
        <v>21</v>
      </c>
      <c r="D123" s="549"/>
      <c r="E123" s="549"/>
      <c r="F123" s="549"/>
      <c r="G123" s="549"/>
      <c r="H123" s="549"/>
      <c r="I123" s="549"/>
      <c r="J123" s="549"/>
      <c r="K123" s="549"/>
      <c r="L123" s="549"/>
      <c r="M123" s="549"/>
      <c r="N123" s="549"/>
      <c r="O123" s="550"/>
      <c r="P123" s="512" t="str">
        <f t="shared" si="75"/>
        <v>-</v>
      </c>
      <c r="Q123" s="4" t="str">
        <f t="shared" ref="Q123:Q128" si="88">IF(SUM(D123:O123)=0,"-",SUM(D123:O123))</f>
        <v>-</v>
      </c>
    </row>
    <row r="124" spans="1:17" ht="15.75" x14ac:dyDescent="0.25">
      <c r="A124" s="873"/>
      <c r="B124" s="824"/>
      <c r="C124" s="17" t="s">
        <v>22</v>
      </c>
      <c r="D124" s="687" t="str">
        <f>IF(D123="","",D$100*D123*24)</f>
        <v/>
      </c>
      <c r="E124" s="687" t="str">
        <f t="shared" ref="E124:O124" si="89">IF(E123="","",E$100*E123*24)</f>
        <v/>
      </c>
      <c r="F124" s="687" t="str">
        <f t="shared" si="89"/>
        <v/>
      </c>
      <c r="G124" s="687" t="str">
        <f t="shared" si="89"/>
        <v/>
      </c>
      <c r="H124" s="687" t="str">
        <f t="shared" si="89"/>
        <v/>
      </c>
      <c r="I124" s="687" t="str">
        <f t="shared" si="89"/>
        <v/>
      </c>
      <c r="J124" s="687" t="str">
        <f t="shared" si="89"/>
        <v/>
      </c>
      <c r="K124" s="687" t="str">
        <f t="shared" si="89"/>
        <v/>
      </c>
      <c r="L124" s="687" t="str">
        <f t="shared" si="89"/>
        <v/>
      </c>
      <c r="M124" s="687" t="str">
        <f t="shared" si="89"/>
        <v/>
      </c>
      <c r="N124" s="687" t="str">
        <f t="shared" si="89"/>
        <v/>
      </c>
      <c r="O124" s="688" t="str">
        <f t="shared" si="89"/>
        <v/>
      </c>
      <c r="P124" s="511" t="str">
        <f t="shared" si="75"/>
        <v>-</v>
      </c>
      <c r="Q124" s="6" t="str">
        <f t="shared" si="88"/>
        <v>-</v>
      </c>
    </row>
    <row r="125" spans="1:17" ht="15.75" x14ac:dyDescent="0.25">
      <c r="A125" s="873"/>
      <c r="B125" s="823" t="str">
        <f>IF($B$32="OTHER (RENAME)","OTHER",$B$32)</f>
        <v>OTHER</v>
      </c>
      <c r="C125" s="16" t="s">
        <v>21</v>
      </c>
      <c r="D125" s="549"/>
      <c r="E125" s="549"/>
      <c r="F125" s="549"/>
      <c r="G125" s="549"/>
      <c r="H125" s="549"/>
      <c r="I125" s="549"/>
      <c r="J125" s="549"/>
      <c r="K125" s="549"/>
      <c r="L125" s="549"/>
      <c r="M125" s="549"/>
      <c r="N125" s="549"/>
      <c r="O125" s="550"/>
      <c r="P125" s="512" t="str">
        <f t="shared" si="75"/>
        <v>-</v>
      </c>
      <c r="Q125" s="4" t="str">
        <f t="shared" si="88"/>
        <v>-</v>
      </c>
    </row>
    <row r="126" spans="1:17" ht="15.75" x14ac:dyDescent="0.25">
      <c r="A126" s="873"/>
      <c r="B126" s="824"/>
      <c r="C126" s="17" t="s">
        <v>22</v>
      </c>
      <c r="D126" s="687" t="str">
        <f>IF(D125="","",D$100*D125*24)</f>
        <v/>
      </c>
      <c r="E126" s="687" t="str">
        <f t="shared" ref="E126:O126" si="90">IF(E125="","",E$100*E125*24)</f>
        <v/>
      </c>
      <c r="F126" s="687" t="str">
        <f t="shared" si="90"/>
        <v/>
      </c>
      <c r="G126" s="687" t="str">
        <f t="shared" si="90"/>
        <v/>
      </c>
      <c r="H126" s="687" t="str">
        <f t="shared" si="90"/>
        <v/>
      </c>
      <c r="I126" s="687" t="str">
        <f t="shared" si="90"/>
        <v/>
      </c>
      <c r="J126" s="687" t="str">
        <f t="shared" si="90"/>
        <v/>
      </c>
      <c r="K126" s="687" t="str">
        <f t="shared" si="90"/>
        <v/>
      </c>
      <c r="L126" s="687" t="str">
        <f t="shared" si="90"/>
        <v/>
      </c>
      <c r="M126" s="687" t="str">
        <f t="shared" si="90"/>
        <v/>
      </c>
      <c r="N126" s="687" t="str">
        <f t="shared" si="90"/>
        <v/>
      </c>
      <c r="O126" s="688" t="str">
        <f t="shared" si="90"/>
        <v/>
      </c>
      <c r="P126" s="511" t="str">
        <f t="shared" si="75"/>
        <v>-</v>
      </c>
      <c r="Q126" s="6" t="str">
        <f t="shared" si="88"/>
        <v>-</v>
      </c>
    </row>
    <row r="127" spans="1:17" ht="15.75" x14ac:dyDescent="0.25">
      <c r="A127" s="873"/>
      <c r="B127" s="823" t="str">
        <f>IF($B$34="OTHER (RENAME)","OTHER",$B$34)</f>
        <v>OTHER</v>
      </c>
      <c r="C127" s="16" t="s">
        <v>21</v>
      </c>
      <c r="D127" s="549"/>
      <c r="E127" s="549"/>
      <c r="F127" s="549"/>
      <c r="G127" s="549"/>
      <c r="H127" s="549"/>
      <c r="I127" s="549"/>
      <c r="J127" s="549"/>
      <c r="K127" s="549"/>
      <c r="L127" s="549"/>
      <c r="M127" s="549"/>
      <c r="N127" s="549"/>
      <c r="O127" s="550"/>
      <c r="P127" s="512" t="str">
        <f t="shared" si="75"/>
        <v>-</v>
      </c>
      <c r="Q127" s="4" t="str">
        <f t="shared" si="88"/>
        <v>-</v>
      </c>
    </row>
    <row r="128" spans="1:17" ht="15.75" x14ac:dyDescent="0.25">
      <c r="A128" s="873"/>
      <c r="B128" s="824"/>
      <c r="C128" s="17" t="s">
        <v>22</v>
      </c>
      <c r="D128" s="687" t="str">
        <f>IF(D127="","",D$100*D127*24)</f>
        <v/>
      </c>
      <c r="E128" s="687" t="str">
        <f t="shared" ref="E128:O128" si="91">IF(E127="","",E$100*E127*24)</f>
        <v/>
      </c>
      <c r="F128" s="687" t="str">
        <f t="shared" si="91"/>
        <v/>
      </c>
      <c r="G128" s="687" t="str">
        <f t="shared" si="91"/>
        <v/>
      </c>
      <c r="H128" s="687" t="str">
        <f t="shared" si="91"/>
        <v/>
      </c>
      <c r="I128" s="687" t="str">
        <f t="shared" si="91"/>
        <v/>
      </c>
      <c r="J128" s="687" t="str">
        <f t="shared" si="91"/>
        <v/>
      </c>
      <c r="K128" s="687" t="str">
        <f t="shared" si="91"/>
        <v/>
      </c>
      <c r="L128" s="687" t="str">
        <f t="shared" si="91"/>
        <v/>
      </c>
      <c r="M128" s="687" t="str">
        <f t="shared" si="91"/>
        <v/>
      </c>
      <c r="N128" s="687" t="str">
        <f t="shared" si="91"/>
        <v/>
      </c>
      <c r="O128" s="688" t="str">
        <f t="shared" si="91"/>
        <v/>
      </c>
      <c r="P128" s="511" t="str">
        <f t="shared" si="75"/>
        <v>-</v>
      </c>
      <c r="Q128" s="6" t="str">
        <f t="shared" si="88"/>
        <v>-</v>
      </c>
    </row>
    <row r="129" spans="1:17" ht="15.75" x14ac:dyDescent="0.25">
      <c r="A129" s="873"/>
      <c r="B129" s="974" t="s">
        <v>16</v>
      </c>
      <c r="C129" s="911"/>
      <c r="D129" s="555" t="str">
        <f>IF(SUM(D101,D103,D105,D107,D109,D111,D113,D115,D117,D119,D121,D123,D125,D127)=0,"",SUM(D101,D103,D105,D107,D109,D111,D113,D115,D117,D119,D121,D123,D125,D127))</f>
        <v/>
      </c>
      <c r="E129" s="555" t="str">
        <f t="shared" ref="E129:O129" si="92">IF(SUM(E101,E103,E105,E107,E109,E111,E113,E115,E117,E119,E121,E123,E125,E127)=0,"",SUM(E101,E103,E105,E107,E109,E111,E113,E115,E117,E119,E121,E123,E125,E127))</f>
        <v/>
      </c>
      <c r="F129" s="555" t="str">
        <f t="shared" si="92"/>
        <v/>
      </c>
      <c r="G129" s="555" t="str">
        <f t="shared" si="92"/>
        <v/>
      </c>
      <c r="H129" s="555" t="str">
        <f t="shared" si="92"/>
        <v/>
      </c>
      <c r="I129" s="555" t="str">
        <f t="shared" si="92"/>
        <v/>
      </c>
      <c r="J129" s="555" t="str">
        <f t="shared" si="92"/>
        <v/>
      </c>
      <c r="K129" s="555" t="str">
        <f t="shared" si="92"/>
        <v/>
      </c>
      <c r="L129" s="555" t="str">
        <f t="shared" si="92"/>
        <v/>
      </c>
      <c r="M129" s="555" t="str">
        <f t="shared" si="92"/>
        <v/>
      </c>
      <c r="N129" s="555" t="str">
        <f t="shared" si="92"/>
        <v/>
      </c>
      <c r="O129" s="556" t="str">
        <f t="shared" si="92"/>
        <v/>
      </c>
      <c r="P129" s="512" t="str">
        <f t="shared" si="75"/>
        <v>-</v>
      </c>
      <c r="Q129" s="4" t="str">
        <f>IF(SUM(D129:O129)=0,"-",SUM(D129:O129))</f>
        <v>-</v>
      </c>
    </row>
    <row r="130" spans="1:17" ht="16.5" thickBot="1" x14ac:dyDescent="0.3">
      <c r="A130" s="874"/>
      <c r="B130" s="959" t="s">
        <v>17</v>
      </c>
      <c r="C130" s="913"/>
      <c r="D130" s="694" t="str">
        <f>IF(D129="","",SUM(D102,D104,D106,D108,D110,D112,D114,D116,D118,D120,D122,D124,D126,D128))</f>
        <v/>
      </c>
      <c r="E130" s="694" t="str">
        <f t="shared" ref="E130" si="93">IF(E129="","",SUM(E102,E104,E106,E108,E110,E112,E114,E116,E118,E120,E122,E124,E126,E128))</f>
        <v/>
      </c>
      <c r="F130" s="695" t="str">
        <f t="shared" ref="F130" si="94">IF(F129="","",SUM(F102,F104,F106,F108,F110,F112,F114,F116,F118,F120,F122,F124,F126,F128))</f>
        <v/>
      </c>
      <c r="G130" s="694" t="str">
        <f t="shared" ref="G130" si="95">IF(G129="","",SUM(G102,G104,G106,G108,G110,G112,G114,G116,G118,G120,G122,G124,G126,G128))</f>
        <v/>
      </c>
      <c r="H130" s="694" t="str">
        <f t="shared" ref="H130" si="96">IF(H129="","",SUM(H102,H104,H106,H108,H110,H112,H114,H116,H118,H120,H122,H124,H126,H128))</f>
        <v/>
      </c>
      <c r="I130" s="694" t="str">
        <f t="shared" ref="I130" si="97">IF(I129="","",SUM(I102,I104,I106,I108,I110,I112,I114,I116,I118,I120,I122,I124,I126,I128))</f>
        <v/>
      </c>
      <c r="J130" s="694" t="str">
        <f t="shared" ref="J130" si="98">IF(J129="","",SUM(J102,J104,J106,J108,J110,J112,J114,J116,J118,J120,J122,J124,J126,J128))</f>
        <v/>
      </c>
      <c r="K130" s="694" t="str">
        <f t="shared" ref="K130" si="99">IF(K129="","",SUM(K102,K104,K106,K108,K110,K112,K114,K116,K118,K120,K122,K124,K126,K128))</f>
        <v/>
      </c>
      <c r="L130" s="694" t="str">
        <f t="shared" ref="L130" si="100">IF(L129="","",SUM(L102,L104,L106,L108,L110,L112,L114,L116,L118,L120,L122,L124,L126,L128))</f>
        <v/>
      </c>
      <c r="M130" s="694" t="str">
        <f t="shared" ref="M130" si="101">IF(M129="","",SUM(M102,M104,M106,M108,M110,M112,M114,M116,M118,M120,M122,M124,M126,M128))</f>
        <v/>
      </c>
      <c r="N130" s="694" t="str">
        <f t="shared" ref="N130" si="102">IF(N129="","",SUM(N102,N104,N106,N108,N110,N112,N114,N116,N118,N120,N122,N124,N126,N128))</f>
        <v/>
      </c>
      <c r="O130" s="696" t="str">
        <f t="shared" ref="O130" si="103">IF(O129="","",SUM(O102,O104,O106,O108,O110,O112,O114,O116,O118,O120,O122,O124,O126,O128))</f>
        <v/>
      </c>
      <c r="P130" s="525" t="str">
        <f t="shared" si="75"/>
        <v>-</v>
      </c>
      <c r="Q130" s="7" t="str">
        <f>IF(SUM(D130:O130)=0,"-",SUM(D130:O130))</f>
        <v>-</v>
      </c>
    </row>
    <row r="131" spans="1:17" ht="15.75" x14ac:dyDescent="0.25">
      <c r="A131" s="869" t="s">
        <v>111</v>
      </c>
      <c r="B131" s="878" t="s">
        <v>3</v>
      </c>
      <c r="C131" s="879"/>
      <c r="D131" s="547" t="str">
        <f>IF('2024DATA'!BV3=0,"",'2024DATA'!BV3)</f>
        <v/>
      </c>
      <c r="E131" s="547" t="str">
        <f>IF('2024DATA'!BW3=0,"",'2024DATA'!BW3)</f>
        <v/>
      </c>
      <c r="F131" s="547" t="str">
        <f>IF('2024DATA'!BX3=0,"",'2024DATA'!BX3)</f>
        <v/>
      </c>
      <c r="G131" s="547" t="str">
        <f>IF('2024DATA'!BY3=0,"",'2024DATA'!BY3)</f>
        <v/>
      </c>
      <c r="H131" s="547" t="str">
        <f>IF('2024DATA'!BZ3=0,"",'2024DATA'!BZ3)</f>
        <v/>
      </c>
      <c r="I131" s="547" t="str">
        <f>IF('2024DATA'!CA3=0,"",'2024DATA'!CA3)</f>
        <v/>
      </c>
      <c r="J131" s="547" t="str">
        <f>IF('2024DATA'!CB3=0,"",'2024DATA'!CB3)</f>
        <v/>
      </c>
      <c r="K131" s="547" t="str">
        <f>IF('2024DATA'!CC3=0,"",'2024DATA'!CC3)</f>
        <v/>
      </c>
      <c r="L131" s="547" t="str">
        <f>IF('2024DATA'!CD3=0,"",'2024DATA'!CD3)</f>
        <v/>
      </c>
      <c r="M131" s="547" t="str">
        <f>IF('2024DATA'!CE3=0,"",'2024DATA'!CE3)</f>
        <v/>
      </c>
      <c r="N131" s="547" t="str">
        <f>IF('2024DATA'!CF3=0,"",'2024DATA'!CF3)</f>
        <v/>
      </c>
      <c r="O131" s="548" t="str">
        <f>IF('2024DATA'!CG3=0,"",'2024DATA'!CG3)</f>
        <v/>
      </c>
      <c r="P131" s="880"/>
      <c r="Q131" s="881"/>
    </row>
    <row r="132" spans="1:17" ht="15.75" x14ac:dyDescent="0.25">
      <c r="A132" s="870"/>
      <c r="B132" s="823" t="s">
        <v>7</v>
      </c>
      <c r="C132" s="16" t="s">
        <v>21</v>
      </c>
      <c r="D132" s="549"/>
      <c r="E132" s="549"/>
      <c r="F132" s="549"/>
      <c r="G132" s="549"/>
      <c r="H132" s="549"/>
      <c r="I132" s="549"/>
      <c r="J132" s="549"/>
      <c r="K132" s="549"/>
      <c r="L132" s="549"/>
      <c r="M132" s="549"/>
      <c r="N132" s="549"/>
      <c r="O132" s="550"/>
      <c r="P132" s="512" t="str">
        <f t="shared" ref="P132:P141" si="104">IF(Q132="-","-",Q132/12)</f>
        <v>-</v>
      </c>
      <c r="Q132" s="4" t="str">
        <f t="shared" ref="Q132:Q151" si="105">IF(SUM(D132:O132)=0,"-",SUM(D132:O132))</f>
        <v>-</v>
      </c>
    </row>
    <row r="133" spans="1:17" ht="15.75" x14ac:dyDescent="0.25">
      <c r="A133" s="870"/>
      <c r="B133" s="824"/>
      <c r="C133" s="17" t="s">
        <v>22</v>
      </c>
      <c r="D133" s="683" t="str">
        <f>IF(D132="","",D$131*D132*24)</f>
        <v/>
      </c>
      <c r="E133" s="683" t="str">
        <f t="shared" ref="E133:O133" si="106">IF(E132="","",E$131*E132*24)</f>
        <v/>
      </c>
      <c r="F133" s="683" t="str">
        <f t="shared" si="106"/>
        <v/>
      </c>
      <c r="G133" s="683" t="str">
        <f t="shared" si="106"/>
        <v/>
      </c>
      <c r="H133" s="683" t="str">
        <f t="shared" si="106"/>
        <v/>
      </c>
      <c r="I133" s="683" t="str">
        <f t="shared" si="106"/>
        <v/>
      </c>
      <c r="J133" s="683" t="str">
        <f t="shared" si="106"/>
        <v/>
      </c>
      <c r="K133" s="683" t="str">
        <f t="shared" si="106"/>
        <v/>
      </c>
      <c r="L133" s="683" t="str">
        <f t="shared" si="106"/>
        <v/>
      </c>
      <c r="M133" s="683" t="str">
        <f t="shared" si="106"/>
        <v/>
      </c>
      <c r="N133" s="683" t="str">
        <f t="shared" si="106"/>
        <v/>
      </c>
      <c r="O133" s="686" t="str">
        <f t="shared" si="106"/>
        <v/>
      </c>
      <c r="P133" s="511" t="str">
        <f>IF(Q133="-","-",Q133/12)</f>
        <v>-</v>
      </c>
      <c r="Q133" s="6" t="str">
        <f>IF(SUM(D133:O133)=0,"-",SUM(D133:O133))</f>
        <v>-</v>
      </c>
    </row>
    <row r="134" spans="1:17" ht="15.75" x14ac:dyDescent="0.25">
      <c r="A134" s="870"/>
      <c r="B134" s="823" t="s">
        <v>8</v>
      </c>
      <c r="C134" s="18" t="s">
        <v>21</v>
      </c>
      <c r="D134" s="549"/>
      <c r="E134" s="549"/>
      <c r="F134" s="549"/>
      <c r="G134" s="549"/>
      <c r="H134" s="549"/>
      <c r="I134" s="549"/>
      <c r="J134" s="549"/>
      <c r="K134" s="549"/>
      <c r="L134" s="549"/>
      <c r="M134" s="549"/>
      <c r="N134" s="549"/>
      <c r="O134" s="550"/>
      <c r="P134" s="512" t="str">
        <f t="shared" si="104"/>
        <v>-</v>
      </c>
      <c r="Q134" s="4" t="str">
        <f t="shared" si="105"/>
        <v>-</v>
      </c>
    </row>
    <row r="135" spans="1:17" ht="15.75" x14ac:dyDescent="0.25">
      <c r="A135" s="870"/>
      <c r="B135" s="824"/>
      <c r="C135" s="18" t="s">
        <v>22</v>
      </c>
      <c r="D135" s="683" t="str">
        <f>IF(D134=0,"",(D131+IF(D$4="CA",DATA!$B$22,DATA!$B$23))*D134*24)</f>
        <v/>
      </c>
      <c r="E135" s="683" t="str">
        <f>IF(E134=0,"",(E131+IF(E$4="CA",DATA!$B$22,DATA!$B$23))*E134*24)</f>
        <v/>
      </c>
      <c r="F135" s="683" t="str">
        <f>IF(F134=0,"",(F131+IF(F$4="CA",DATA!$B$22,DATA!$B$23))*F134*24)</f>
        <v/>
      </c>
      <c r="G135" s="683" t="str">
        <f>IF(G134=0,"",(G131+IF(G$4="CA",DATA!$B$22,DATA!$B$23))*G134*24)</f>
        <v/>
      </c>
      <c r="H135" s="683" t="str">
        <f>IF(H134=0,"",(H131+IF(H$4="CA",DATA!$B$22,DATA!$B$23))*H134*24)</f>
        <v/>
      </c>
      <c r="I135" s="683" t="str">
        <f>IF(I134=0,"",(I131+IF(I$4="CA",DATA!$B$22,DATA!$B$23))*I134*24)</f>
        <v/>
      </c>
      <c r="J135" s="683" t="str">
        <f>IF(J134=0,"",(J131+IF(J$4="CA",DATA!$B$22,DATA!$B$23))*J134*24)</f>
        <v/>
      </c>
      <c r="K135" s="683" t="str">
        <f>IF(K134=0,"",(K131+IF(K$4="CA",DATA!$B$22,DATA!$B$23))*K134*24)</f>
        <v/>
      </c>
      <c r="L135" s="683" t="str">
        <f>IF(L134=0,"",(L131+IF(L$4="CA",DATA!$B$22,DATA!$B$23))*L134*24)</f>
        <v/>
      </c>
      <c r="M135" s="683" t="str">
        <f>IF(M134=0,"",(M131+IF(M$4="CA",DATA!$B$22,DATA!$B$23))*M134*24)</f>
        <v/>
      </c>
      <c r="N135" s="683" t="str">
        <f>IF(N134=0,"",(N131+IF(N$4="CA",DATA!$B$22,DATA!$B$23))*N134*24)</f>
        <v/>
      </c>
      <c r="O135" s="686" t="str">
        <f>IF(O134=0,"",(O131+IF(O$4="CA",DATA!$B$22,DATA!$B$23))*O134*24)</f>
        <v/>
      </c>
      <c r="P135" s="511" t="str">
        <f t="shared" si="104"/>
        <v>-</v>
      </c>
      <c r="Q135" s="6" t="str">
        <f t="shared" si="105"/>
        <v>-</v>
      </c>
    </row>
    <row r="136" spans="1:17" ht="15.75" x14ac:dyDescent="0.25">
      <c r="A136" s="870"/>
      <c r="B136" s="823" t="s">
        <v>9</v>
      </c>
      <c r="C136" s="16" t="s">
        <v>21</v>
      </c>
      <c r="D136" s="549"/>
      <c r="E136" s="549"/>
      <c r="F136" s="549"/>
      <c r="G136" s="549"/>
      <c r="H136" s="549"/>
      <c r="I136" s="549"/>
      <c r="J136" s="549"/>
      <c r="K136" s="549"/>
      <c r="L136" s="549"/>
      <c r="M136" s="549"/>
      <c r="N136" s="549"/>
      <c r="O136" s="550"/>
      <c r="P136" s="512" t="str">
        <f t="shared" si="104"/>
        <v>-</v>
      </c>
      <c r="Q136" s="4" t="str">
        <f t="shared" si="105"/>
        <v>-</v>
      </c>
    </row>
    <row r="137" spans="1:17" ht="15.75" x14ac:dyDescent="0.25">
      <c r="A137" s="870"/>
      <c r="B137" s="824"/>
      <c r="C137" s="17" t="s">
        <v>22</v>
      </c>
      <c r="D137" s="683" t="str">
        <f>IF(D136="","",D$131*D136*24)</f>
        <v/>
      </c>
      <c r="E137" s="683" t="str">
        <f t="shared" ref="E137:O137" si="107">IF(E136="","",E$131*E136*24)</f>
        <v/>
      </c>
      <c r="F137" s="684" t="str">
        <f t="shared" si="107"/>
        <v/>
      </c>
      <c r="G137" s="683" t="str">
        <f t="shared" si="107"/>
        <v/>
      </c>
      <c r="H137" s="683" t="str">
        <f t="shared" si="107"/>
        <v/>
      </c>
      <c r="I137" s="683" t="str">
        <f t="shared" si="107"/>
        <v/>
      </c>
      <c r="J137" s="683" t="str">
        <f t="shared" si="107"/>
        <v/>
      </c>
      <c r="K137" s="683" t="str">
        <f t="shared" si="107"/>
        <v/>
      </c>
      <c r="L137" s="683" t="str">
        <f t="shared" si="107"/>
        <v/>
      </c>
      <c r="M137" s="683" t="str">
        <f t="shared" si="107"/>
        <v/>
      </c>
      <c r="N137" s="683" t="str">
        <f t="shared" si="107"/>
        <v/>
      </c>
      <c r="O137" s="685" t="str">
        <f t="shared" si="107"/>
        <v/>
      </c>
      <c r="P137" s="511" t="str">
        <f t="shared" si="104"/>
        <v>-</v>
      </c>
      <c r="Q137" s="6" t="str">
        <f t="shared" si="105"/>
        <v>-</v>
      </c>
    </row>
    <row r="138" spans="1:17" ht="15.75" x14ac:dyDescent="0.25">
      <c r="A138" s="870"/>
      <c r="B138" s="823" t="s">
        <v>10</v>
      </c>
      <c r="C138" s="18" t="s">
        <v>21</v>
      </c>
      <c r="D138" s="549"/>
      <c r="E138" s="549"/>
      <c r="F138" s="549"/>
      <c r="G138" s="549"/>
      <c r="H138" s="549"/>
      <c r="I138" s="549"/>
      <c r="J138" s="549"/>
      <c r="K138" s="549"/>
      <c r="L138" s="549"/>
      <c r="M138" s="549"/>
      <c r="N138" s="549"/>
      <c r="O138" s="550"/>
      <c r="P138" s="512" t="str">
        <f t="shared" si="104"/>
        <v>-</v>
      </c>
      <c r="Q138" s="4" t="str">
        <f t="shared" si="105"/>
        <v>-</v>
      </c>
    </row>
    <row r="139" spans="1:17" ht="15.75" x14ac:dyDescent="0.25">
      <c r="A139" s="870"/>
      <c r="B139" s="824"/>
      <c r="C139" s="18" t="s">
        <v>22</v>
      </c>
      <c r="D139" s="683" t="str">
        <f>IF(D138="","",D$131*D138*24)</f>
        <v/>
      </c>
      <c r="E139" s="683" t="str">
        <f t="shared" ref="E139:O139" si="108">IF(E138="","",E$131*E138*24)</f>
        <v/>
      </c>
      <c r="F139" s="684" t="str">
        <f t="shared" si="108"/>
        <v/>
      </c>
      <c r="G139" s="683" t="str">
        <f t="shared" si="108"/>
        <v/>
      </c>
      <c r="H139" s="683" t="str">
        <f t="shared" si="108"/>
        <v/>
      </c>
      <c r="I139" s="683" t="str">
        <f t="shared" si="108"/>
        <v/>
      </c>
      <c r="J139" s="683" t="str">
        <f t="shared" si="108"/>
        <v/>
      </c>
      <c r="K139" s="683" t="str">
        <f t="shared" si="108"/>
        <v/>
      </c>
      <c r="L139" s="683" t="str">
        <f t="shared" si="108"/>
        <v/>
      </c>
      <c r="M139" s="683" t="str">
        <f t="shared" si="108"/>
        <v/>
      </c>
      <c r="N139" s="683" t="str">
        <f t="shared" si="108"/>
        <v/>
      </c>
      <c r="O139" s="685" t="str">
        <f t="shared" si="108"/>
        <v/>
      </c>
      <c r="P139" s="511" t="str">
        <f t="shared" si="104"/>
        <v>-</v>
      </c>
      <c r="Q139" s="6" t="str">
        <f t="shared" si="105"/>
        <v>-</v>
      </c>
    </row>
    <row r="140" spans="1:17" ht="15.75" x14ac:dyDescent="0.25">
      <c r="A140" s="870"/>
      <c r="B140" s="823" t="s">
        <v>11</v>
      </c>
      <c r="C140" s="16" t="s">
        <v>21</v>
      </c>
      <c r="D140" s="549"/>
      <c r="E140" s="549"/>
      <c r="F140" s="549"/>
      <c r="G140" s="549"/>
      <c r="H140" s="549"/>
      <c r="I140" s="549"/>
      <c r="J140" s="549"/>
      <c r="K140" s="549"/>
      <c r="L140" s="549"/>
      <c r="M140" s="549"/>
      <c r="N140" s="549"/>
      <c r="O140" s="550"/>
      <c r="P140" s="512" t="str">
        <f t="shared" si="104"/>
        <v>-</v>
      </c>
      <c r="Q140" s="4" t="str">
        <f t="shared" si="105"/>
        <v>-</v>
      </c>
    </row>
    <row r="141" spans="1:17" ht="15.75" x14ac:dyDescent="0.25">
      <c r="A141" s="870"/>
      <c r="B141" s="824"/>
      <c r="C141" s="17" t="s">
        <v>22</v>
      </c>
      <c r="D141" s="683" t="str">
        <f>IF(D140="","",D$131*D140*24)</f>
        <v/>
      </c>
      <c r="E141" s="683" t="str">
        <f t="shared" ref="E141:O141" si="109">IF(E140="","",E$131*E140*24)</f>
        <v/>
      </c>
      <c r="F141" s="684" t="str">
        <f t="shared" si="109"/>
        <v/>
      </c>
      <c r="G141" s="683" t="str">
        <f t="shared" si="109"/>
        <v/>
      </c>
      <c r="H141" s="683" t="str">
        <f t="shared" si="109"/>
        <v/>
      </c>
      <c r="I141" s="683" t="str">
        <f t="shared" si="109"/>
        <v/>
      </c>
      <c r="J141" s="683" t="str">
        <f t="shared" si="109"/>
        <v/>
      </c>
      <c r="K141" s="683" t="str">
        <f t="shared" si="109"/>
        <v/>
      </c>
      <c r="L141" s="683" t="str">
        <f t="shared" si="109"/>
        <v/>
      </c>
      <c r="M141" s="683" t="str">
        <f t="shared" si="109"/>
        <v/>
      </c>
      <c r="N141" s="683" t="str">
        <f t="shared" si="109"/>
        <v/>
      </c>
      <c r="O141" s="685" t="str">
        <f t="shared" si="109"/>
        <v/>
      </c>
      <c r="P141" s="511" t="str">
        <f t="shared" si="104"/>
        <v>-</v>
      </c>
      <c r="Q141" s="6" t="str">
        <f t="shared" si="105"/>
        <v>-</v>
      </c>
    </row>
    <row r="142" spans="1:17" ht="15.75" x14ac:dyDescent="0.25">
      <c r="A142" s="870"/>
      <c r="B142" s="823" t="s">
        <v>12</v>
      </c>
      <c r="C142" s="18" t="s">
        <v>21</v>
      </c>
      <c r="D142" s="549"/>
      <c r="E142" s="549"/>
      <c r="F142" s="549"/>
      <c r="G142" s="549"/>
      <c r="H142" s="549"/>
      <c r="I142" s="549"/>
      <c r="J142" s="549"/>
      <c r="K142" s="549"/>
      <c r="L142" s="549"/>
      <c r="M142" s="549"/>
      <c r="N142" s="549"/>
      <c r="O142" s="550"/>
      <c r="P142" s="512" t="str">
        <f>IF(Q142="-","-",Q142/12)</f>
        <v>-</v>
      </c>
      <c r="Q142" s="4" t="str">
        <f t="shared" si="105"/>
        <v>-</v>
      </c>
    </row>
    <row r="143" spans="1:17" ht="15.75" x14ac:dyDescent="0.25">
      <c r="A143" s="870"/>
      <c r="B143" s="824"/>
      <c r="C143" s="18" t="s">
        <v>22</v>
      </c>
      <c r="D143" s="683" t="str">
        <f>IF(D142="","",D$131*D142*24)</f>
        <v/>
      </c>
      <c r="E143" s="683" t="str">
        <f t="shared" ref="E143:O143" si="110">IF(E142="","",E$131*E142*24)</f>
        <v/>
      </c>
      <c r="F143" s="684" t="str">
        <f t="shared" si="110"/>
        <v/>
      </c>
      <c r="G143" s="683" t="str">
        <f t="shared" si="110"/>
        <v/>
      </c>
      <c r="H143" s="683" t="str">
        <f t="shared" si="110"/>
        <v/>
      </c>
      <c r="I143" s="683" t="str">
        <f t="shared" si="110"/>
        <v/>
      </c>
      <c r="J143" s="683" t="str">
        <f t="shared" si="110"/>
        <v/>
      </c>
      <c r="K143" s="683" t="str">
        <f t="shared" si="110"/>
        <v/>
      </c>
      <c r="L143" s="683" t="str">
        <f t="shared" si="110"/>
        <v/>
      </c>
      <c r="M143" s="683" t="str">
        <f t="shared" si="110"/>
        <v/>
      </c>
      <c r="N143" s="683" t="str">
        <f t="shared" si="110"/>
        <v/>
      </c>
      <c r="O143" s="685" t="str">
        <f t="shared" si="110"/>
        <v/>
      </c>
      <c r="P143" s="511" t="str">
        <f t="shared" ref="P143:P161" si="111">IF(Q143="-","-",Q143/12)</f>
        <v>-</v>
      </c>
      <c r="Q143" s="6" t="str">
        <f t="shared" si="105"/>
        <v>-</v>
      </c>
    </row>
    <row r="144" spans="1:17" ht="15.75" x14ac:dyDescent="0.25">
      <c r="A144" s="870"/>
      <c r="B144" s="823" t="s">
        <v>15</v>
      </c>
      <c r="C144" s="16" t="s">
        <v>21</v>
      </c>
      <c r="D144" s="549"/>
      <c r="E144" s="549"/>
      <c r="F144" s="549"/>
      <c r="G144" s="549"/>
      <c r="H144" s="549"/>
      <c r="I144" s="549"/>
      <c r="J144" s="549"/>
      <c r="K144" s="549"/>
      <c r="L144" s="549"/>
      <c r="M144" s="549"/>
      <c r="N144" s="549"/>
      <c r="O144" s="550"/>
      <c r="P144" s="512" t="str">
        <f t="shared" si="111"/>
        <v>-</v>
      </c>
      <c r="Q144" s="4" t="str">
        <f t="shared" si="105"/>
        <v>-</v>
      </c>
    </row>
    <row r="145" spans="1:17" ht="15.75" x14ac:dyDescent="0.25">
      <c r="A145" s="870"/>
      <c r="B145" s="824"/>
      <c r="C145" s="17" t="s">
        <v>22</v>
      </c>
      <c r="D145" s="683" t="str">
        <f>IF(D144="","",D$131*D144*24)</f>
        <v/>
      </c>
      <c r="E145" s="683" t="str">
        <f t="shared" ref="E145:O145" si="112">IF(E144="","",E$131*E144*24)</f>
        <v/>
      </c>
      <c r="F145" s="684" t="str">
        <f t="shared" si="112"/>
        <v/>
      </c>
      <c r="G145" s="683" t="str">
        <f t="shared" si="112"/>
        <v/>
      </c>
      <c r="H145" s="683" t="str">
        <f t="shared" si="112"/>
        <v/>
      </c>
      <c r="I145" s="683" t="str">
        <f t="shared" si="112"/>
        <v/>
      </c>
      <c r="J145" s="683" t="str">
        <f t="shared" si="112"/>
        <v/>
      </c>
      <c r="K145" s="683" t="str">
        <f t="shared" si="112"/>
        <v/>
      </c>
      <c r="L145" s="683" t="str">
        <f t="shared" si="112"/>
        <v/>
      </c>
      <c r="M145" s="683" t="str">
        <f t="shared" si="112"/>
        <v/>
      </c>
      <c r="N145" s="683" t="str">
        <f t="shared" si="112"/>
        <v/>
      </c>
      <c r="O145" s="685" t="str">
        <f t="shared" si="112"/>
        <v/>
      </c>
      <c r="P145" s="511" t="str">
        <f t="shared" si="111"/>
        <v>-</v>
      </c>
      <c r="Q145" s="6" t="str">
        <f t="shared" si="105"/>
        <v>-</v>
      </c>
    </row>
    <row r="146" spans="1:17" ht="15.75" x14ac:dyDescent="0.25">
      <c r="A146" s="870"/>
      <c r="B146" s="823" t="s">
        <v>13</v>
      </c>
      <c r="C146" s="18" t="s">
        <v>21</v>
      </c>
      <c r="D146" s="549"/>
      <c r="E146" s="549"/>
      <c r="F146" s="549"/>
      <c r="G146" s="549"/>
      <c r="H146" s="549"/>
      <c r="I146" s="549"/>
      <c r="J146" s="549"/>
      <c r="K146" s="549"/>
      <c r="L146" s="549"/>
      <c r="M146" s="549"/>
      <c r="N146" s="549"/>
      <c r="O146" s="550"/>
      <c r="P146" s="512" t="str">
        <f t="shared" si="111"/>
        <v>-</v>
      </c>
      <c r="Q146" s="4" t="str">
        <f t="shared" si="105"/>
        <v>-</v>
      </c>
    </row>
    <row r="147" spans="1:17" ht="15.75" x14ac:dyDescent="0.25">
      <c r="A147" s="870"/>
      <c r="B147" s="824"/>
      <c r="C147" s="18" t="s">
        <v>22</v>
      </c>
      <c r="D147" s="683" t="str">
        <f>IF(D146="","",D$131*D146*24)</f>
        <v/>
      </c>
      <c r="E147" s="683" t="str">
        <f t="shared" ref="E147:O147" si="113">IF(E146="","",E$131*E146*24)</f>
        <v/>
      </c>
      <c r="F147" s="684" t="str">
        <f t="shared" si="113"/>
        <v/>
      </c>
      <c r="G147" s="683" t="str">
        <f t="shared" si="113"/>
        <v/>
      </c>
      <c r="H147" s="683" t="str">
        <f t="shared" si="113"/>
        <v/>
      </c>
      <c r="I147" s="683" t="str">
        <f t="shared" si="113"/>
        <v/>
      </c>
      <c r="J147" s="683" t="str">
        <f t="shared" si="113"/>
        <v/>
      </c>
      <c r="K147" s="683" t="str">
        <f t="shared" si="113"/>
        <v/>
      </c>
      <c r="L147" s="683" t="str">
        <f t="shared" si="113"/>
        <v/>
      </c>
      <c r="M147" s="683" t="str">
        <f t="shared" si="113"/>
        <v/>
      </c>
      <c r="N147" s="683" t="str">
        <f t="shared" si="113"/>
        <v/>
      </c>
      <c r="O147" s="685" t="str">
        <f t="shared" si="113"/>
        <v/>
      </c>
      <c r="P147" s="511" t="str">
        <f t="shared" si="111"/>
        <v>-</v>
      </c>
      <c r="Q147" s="6" t="str">
        <f t="shared" si="105"/>
        <v>-</v>
      </c>
    </row>
    <row r="148" spans="1:17" ht="15.75" x14ac:dyDescent="0.25">
      <c r="A148" s="870"/>
      <c r="B148" s="823" t="s">
        <v>20</v>
      </c>
      <c r="C148" s="16" t="s">
        <v>21</v>
      </c>
      <c r="D148" s="549"/>
      <c r="E148" s="549"/>
      <c r="F148" s="549"/>
      <c r="G148" s="549"/>
      <c r="H148" s="549"/>
      <c r="I148" s="549"/>
      <c r="J148" s="549"/>
      <c r="K148" s="549"/>
      <c r="L148" s="549"/>
      <c r="M148" s="549"/>
      <c r="N148" s="549"/>
      <c r="O148" s="550"/>
      <c r="P148" s="512" t="str">
        <f t="shared" si="111"/>
        <v>-</v>
      </c>
      <c r="Q148" s="4" t="str">
        <f t="shared" si="105"/>
        <v>-</v>
      </c>
    </row>
    <row r="149" spans="1:17" ht="15.75" x14ac:dyDescent="0.25">
      <c r="A149" s="870"/>
      <c r="B149" s="824"/>
      <c r="C149" s="17" t="s">
        <v>22</v>
      </c>
      <c r="D149" s="683" t="str">
        <f>IF(D148="","",D$131*D148*24)</f>
        <v/>
      </c>
      <c r="E149" s="683" t="str">
        <f t="shared" ref="E149:O149" si="114">IF(E148="","",E$131*E148*24)</f>
        <v/>
      </c>
      <c r="F149" s="684" t="str">
        <f t="shared" si="114"/>
        <v/>
      </c>
      <c r="G149" s="683" t="str">
        <f t="shared" si="114"/>
        <v/>
      </c>
      <c r="H149" s="683" t="str">
        <f t="shared" si="114"/>
        <v/>
      </c>
      <c r="I149" s="683" t="str">
        <f t="shared" si="114"/>
        <v/>
      </c>
      <c r="J149" s="683" t="str">
        <f t="shared" si="114"/>
        <v/>
      </c>
      <c r="K149" s="683" t="str">
        <f t="shared" si="114"/>
        <v/>
      </c>
      <c r="L149" s="683" t="str">
        <f t="shared" si="114"/>
        <v/>
      </c>
      <c r="M149" s="683" t="str">
        <f t="shared" si="114"/>
        <v/>
      </c>
      <c r="N149" s="683" t="str">
        <f t="shared" si="114"/>
        <v/>
      </c>
      <c r="O149" s="685" t="str">
        <f t="shared" si="114"/>
        <v/>
      </c>
      <c r="P149" s="511" t="str">
        <f t="shared" si="111"/>
        <v>-</v>
      </c>
      <c r="Q149" s="6" t="str">
        <f t="shared" si="105"/>
        <v>-</v>
      </c>
    </row>
    <row r="150" spans="1:17" ht="15.75" x14ac:dyDescent="0.25">
      <c r="A150" s="870"/>
      <c r="B150" s="823" t="s">
        <v>1</v>
      </c>
      <c r="C150" s="18" t="s">
        <v>21</v>
      </c>
      <c r="D150" s="549"/>
      <c r="E150" s="549"/>
      <c r="F150" s="549"/>
      <c r="G150" s="549"/>
      <c r="H150" s="549"/>
      <c r="I150" s="549"/>
      <c r="J150" s="549"/>
      <c r="K150" s="549"/>
      <c r="L150" s="549"/>
      <c r="M150" s="549"/>
      <c r="N150" s="549"/>
      <c r="O150" s="550"/>
      <c r="P150" s="512" t="str">
        <f t="shared" si="111"/>
        <v>-</v>
      </c>
      <c r="Q150" s="4" t="str">
        <f t="shared" si="105"/>
        <v>-</v>
      </c>
    </row>
    <row r="151" spans="1:17" ht="15.75" customHeight="1" x14ac:dyDescent="0.25">
      <c r="A151" s="870"/>
      <c r="B151" s="824"/>
      <c r="C151" s="18" t="s">
        <v>22</v>
      </c>
      <c r="D151" s="683" t="str">
        <f>IF(D150="","",D$131*D150*24)</f>
        <v/>
      </c>
      <c r="E151" s="683" t="str">
        <f t="shared" ref="E151:O151" si="115">IF(E150="","",E$131*E150*24)</f>
        <v/>
      </c>
      <c r="F151" s="684" t="str">
        <f t="shared" si="115"/>
        <v/>
      </c>
      <c r="G151" s="683" t="str">
        <f t="shared" si="115"/>
        <v/>
      </c>
      <c r="H151" s="683" t="str">
        <f t="shared" si="115"/>
        <v/>
      </c>
      <c r="I151" s="683" t="str">
        <f t="shared" si="115"/>
        <v/>
      </c>
      <c r="J151" s="683" t="str">
        <f t="shared" si="115"/>
        <v/>
      </c>
      <c r="K151" s="683" t="str">
        <f t="shared" si="115"/>
        <v/>
      </c>
      <c r="L151" s="683" t="str">
        <f t="shared" si="115"/>
        <v/>
      </c>
      <c r="M151" s="683" t="str">
        <f t="shared" si="115"/>
        <v/>
      </c>
      <c r="N151" s="683" t="str">
        <f t="shared" si="115"/>
        <v/>
      </c>
      <c r="O151" s="685" t="str">
        <f t="shared" si="115"/>
        <v/>
      </c>
      <c r="P151" s="511" t="str">
        <f t="shared" si="111"/>
        <v>-</v>
      </c>
      <c r="Q151" s="6" t="str">
        <f t="shared" si="105"/>
        <v>-</v>
      </c>
    </row>
    <row r="152" spans="1:17" ht="15.75" customHeight="1" x14ac:dyDescent="0.25">
      <c r="A152" s="870"/>
      <c r="B152" s="823" t="str">
        <f>IF($B$28="OTHER (RENAME)","OTHER",$B$28)</f>
        <v>OTHER</v>
      </c>
      <c r="C152" s="19" t="s">
        <v>21</v>
      </c>
      <c r="D152" s="549"/>
      <c r="E152" s="549"/>
      <c r="F152" s="549"/>
      <c r="G152" s="549"/>
      <c r="H152" s="549"/>
      <c r="I152" s="549"/>
      <c r="J152" s="549"/>
      <c r="K152" s="549"/>
      <c r="L152" s="549"/>
      <c r="M152" s="549"/>
      <c r="N152" s="549"/>
      <c r="O152" s="550"/>
      <c r="P152" s="512" t="str">
        <f t="shared" si="111"/>
        <v>-</v>
      </c>
      <c r="Q152" s="4" t="str">
        <f t="shared" ref="Q152:Q153" si="116">IF(SUM(D152:O152)=0,"-",SUM(D152:O152))</f>
        <v>-</v>
      </c>
    </row>
    <row r="153" spans="1:17" ht="15.75" customHeight="1" x14ac:dyDescent="0.25">
      <c r="A153" s="870"/>
      <c r="B153" s="824"/>
      <c r="C153" s="20" t="s">
        <v>22</v>
      </c>
      <c r="D153" s="687" t="str">
        <f>IF(D152="","",D$131*D152*24)</f>
        <v/>
      </c>
      <c r="E153" s="687" t="str">
        <f t="shared" ref="E153:O153" si="117">IF(E152="","",E$131*E152*24)</f>
        <v/>
      </c>
      <c r="F153" s="687" t="str">
        <f t="shared" si="117"/>
        <v/>
      </c>
      <c r="G153" s="687" t="str">
        <f t="shared" si="117"/>
        <v/>
      </c>
      <c r="H153" s="687" t="str">
        <f t="shared" si="117"/>
        <v/>
      </c>
      <c r="I153" s="687" t="str">
        <f t="shared" si="117"/>
        <v/>
      </c>
      <c r="J153" s="687" t="str">
        <f t="shared" si="117"/>
        <v/>
      </c>
      <c r="K153" s="687" t="str">
        <f t="shared" si="117"/>
        <v/>
      </c>
      <c r="L153" s="687" t="str">
        <f t="shared" si="117"/>
        <v/>
      </c>
      <c r="M153" s="687" t="str">
        <f t="shared" si="117"/>
        <v/>
      </c>
      <c r="N153" s="687" t="str">
        <f t="shared" si="117"/>
        <v/>
      </c>
      <c r="O153" s="688" t="str">
        <f t="shared" si="117"/>
        <v/>
      </c>
      <c r="P153" s="511" t="str">
        <f t="shared" si="111"/>
        <v>-</v>
      </c>
      <c r="Q153" s="6" t="str">
        <f t="shared" si="116"/>
        <v>-</v>
      </c>
    </row>
    <row r="154" spans="1:17" ht="15.75" x14ac:dyDescent="0.25">
      <c r="A154" s="870"/>
      <c r="B154" s="823" t="str">
        <f>IF($B$30="OTHER (RENAME)","OTHER",$B$30)</f>
        <v>OTHER</v>
      </c>
      <c r="C154" s="16" t="s">
        <v>21</v>
      </c>
      <c r="D154" s="549"/>
      <c r="E154" s="549"/>
      <c r="F154" s="549"/>
      <c r="G154" s="549"/>
      <c r="H154" s="549"/>
      <c r="I154" s="549"/>
      <c r="J154" s="549"/>
      <c r="K154" s="549"/>
      <c r="L154" s="549"/>
      <c r="M154" s="549"/>
      <c r="N154" s="549"/>
      <c r="O154" s="550"/>
      <c r="P154" s="512" t="str">
        <f t="shared" si="111"/>
        <v>-</v>
      </c>
      <c r="Q154" s="4" t="str">
        <f t="shared" ref="Q154:Q159" si="118">IF(SUM(D154:O154)=0,"-",SUM(D154:O154))</f>
        <v>-</v>
      </c>
    </row>
    <row r="155" spans="1:17" ht="15.75" x14ac:dyDescent="0.25">
      <c r="A155" s="870"/>
      <c r="B155" s="824"/>
      <c r="C155" s="17" t="s">
        <v>22</v>
      </c>
      <c r="D155" s="687" t="str">
        <f>IF(D154="","",D$131*D154*24)</f>
        <v/>
      </c>
      <c r="E155" s="687" t="str">
        <f t="shared" ref="E155:O155" si="119">IF(E154="","",E$131*E154*24)</f>
        <v/>
      </c>
      <c r="F155" s="687" t="str">
        <f t="shared" si="119"/>
        <v/>
      </c>
      <c r="G155" s="687" t="str">
        <f t="shared" si="119"/>
        <v/>
      </c>
      <c r="H155" s="687" t="str">
        <f t="shared" si="119"/>
        <v/>
      </c>
      <c r="I155" s="687" t="str">
        <f t="shared" si="119"/>
        <v/>
      </c>
      <c r="J155" s="687" t="str">
        <f t="shared" si="119"/>
        <v/>
      </c>
      <c r="K155" s="687" t="str">
        <f t="shared" si="119"/>
        <v/>
      </c>
      <c r="L155" s="687" t="str">
        <f t="shared" si="119"/>
        <v/>
      </c>
      <c r="M155" s="687" t="str">
        <f t="shared" si="119"/>
        <v/>
      </c>
      <c r="N155" s="687" t="str">
        <f t="shared" si="119"/>
        <v/>
      </c>
      <c r="O155" s="688" t="str">
        <f t="shared" si="119"/>
        <v/>
      </c>
      <c r="P155" s="511" t="str">
        <f t="shared" si="111"/>
        <v>-</v>
      </c>
      <c r="Q155" s="6" t="str">
        <f t="shared" si="118"/>
        <v>-</v>
      </c>
    </row>
    <row r="156" spans="1:17" ht="15.75" x14ac:dyDescent="0.25">
      <c r="A156" s="870"/>
      <c r="B156" s="823" t="str">
        <f>IF($B$32="OTHER (RENAME)","OTHER",$B$32)</f>
        <v>OTHER</v>
      </c>
      <c r="C156" s="16" t="s">
        <v>21</v>
      </c>
      <c r="D156" s="549"/>
      <c r="E156" s="549"/>
      <c r="F156" s="549"/>
      <c r="G156" s="549"/>
      <c r="H156" s="549"/>
      <c r="I156" s="549"/>
      <c r="J156" s="549"/>
      <c r="K156" s="549"/>
      <c r="L156" s="549"/>
      <c r="M156" s="549"/>
      <c r="N156" s="549"/>
      <c r="O156" s="550"/>
      <c r="P156" s="512" t="str">
        <f t="shared" si="111"/>
        <v>-</v>
      </c>
      <c r="Q156" s="4" t="str">
        <f t="shared" si="118"/>
        <v>-</v>
      </c>
    </row>
    <row r="157" spans="1:17" ht="15.75" x14ac:dyDescent="0.25">
      <c r="A157" s="870"/>
      <c r="B157" s="824"/>
      <c r="C157" s="17" t="s">
        <v>22</v>
      </c>
      <c r="D157" s="687" t="str">
        <f>IF(D156="","",D$131*D156*24)</f>
        <v/>
      </c>
      <c r="E157" s="687" t="str">
        <f t="shared" ref="E157:O157" si="120">IF(E156="","",E$131*E156*24)</f>
        <v/>
      </c>
      <c r="F157" s="687" t="str">
        <f t="shared" si="120"/>
        <v/>
      </c>
      <c r="G157" s="687" t="str">
        <f t="shared" si="120"/>
        <v/>
      </c>
      <c r="H157" s="687" t="str">
        <f t="shared" si="120"/>
        <v/>
      </c>
      <c r="I157" s="687" t="str">
        <f t="shared" si="120"/>
        <v/>
      </c>
      <c r="J157" s="687" t="str">
        <f t="shared" si="120"/>
        <v/>
      </c>
      <c r="K157" s="687" t="str">
        <f t="shared" si="120"/>
        <v/>
      </c>
      <c r="L157" s="687" t="str">
        <f t="shared" si="120"/>
        <v/>
      </c>
      <c r="M157" s="687" t="str">
        <f t="shared" si="120"/>
        <v/>
      </c>
      <c r="N157" s="687" t="str">
        <f t="shared" si="120"/>
        <v/>
      </c>
      <c r="O157" s="688" t="str">
        <f t="shared" si="120"/>
        <v/>
      </c>
      <c r="P157" s="511" t="str">
        <f t="shared" si="111"/>
        <v>-</v>
      </c>
      <c r="Q157" s="6" t="str">
        <f t="shared" si="118"/>
        <v>-</v>
      </c>
    </row>
    <row r="158" spans="1:17" ht="15.75" x14ac:dyDescent="0.25">
      <c r="A158" s="870"/>
      <c r="B158" s="823" t="str">
        <f>IF($B$34="OTHER (RENAME)","OTHER",$B$34)</f>
        <v>OTHER</v>
      </c>
      <c r="C158" s="16" t="s">
        <v>21</v>
      </c>
      <c r="D158" s="549"/>
      <c r="E158" s="549"/>
      <c r="F158" s="549"/>
      <c r="G158" s="549"/>
      <c r="H158" s="549"/>
      <c r="I158" s="549"/>
      <c r="J158" s="549"/>
      <c r="K158" s="549"/>
      <c r="L158" s="549"/>
      <c r="M158" s="549"/>
      <c r="N158" s="549"/>
      <c r="O158" s="550"/>
      <c r="P158" s="512" t="str">
        <f t="shared" si="111"/>
        <v>-</v>
      </c>
      <c r="Q158" s="4" t="str">
        <f t="shared" si="118"/>
        <v>-</v>
      </c>
    </row>
    <row r="159" spans="1:17" ht="15.75" x14ac:dyDescent="0.25">
      <c r="A159" s="870"/>
      <c r="B159" s="824"/>
      <c r="C159" s="17" t="s">
        <v>22</v>
      </c>
      <c r="D159" s="687" t="str">
        <f>IF(D158="","",D$131*D158*24)</f>
        <v/>
      </c>
      <c r="E159" s="687" t="str">
        <f t="shared" ref="E159:O159" si="121">IF(E158="","",E$131*E158*24)</f>
        <v/>
      </c>
      <c r="F159" s="687" t="str">
        <f t="shared" si="121"/>
        <v/>
      </c>
      <c r="G159" s="687" t="str">
        <f t="shared" si="121"/>
        <v/>
      </c>
      <c r="H159" s="687" t="str">
        <f t="shared" si="121"/>
        <v/>
      </c>
      <c r="I159" s="687" t="str">
        <f t="shared" si="121"/>
        <v/>
      </c>
      <c r="J159" s="687" t="str">
        <f t="shared" si="121"/>
        <v/>
      </c>
      <c r="K159" s="687" t="str">
        <f t="shared" si="121"/>
        <v/>
      </c>
      <c r="L159" s="687" t="str">
        <f t="shared" si="121"/>
        <v/>
      </c>
      <c r="M159" s="687" t="str">
        <f t="shared" si="121"/>
        <v/>
      </c>
      <c r="N159" s="687" t="str">
        <f t="shared" si="121"/>
        <v/>
      </c>
      <c r="O159" s="688" t="str">
        <f t="shared" si="121"/>
        <v/>
      </c>
      <c r="P159" s="511" t="str">
        <f t="shared" si="111"/>
        <v>-</v>
      </c>
      <c r="Q159" s="6" t="str">
        <f t="shared" si="118"/>
        <v>-</v>
      </c>
    </row>
    <row r="160" spans="1:17" ht="15.75" customHeight="1" x14ac:dyDescent="0.25">
      <c r="A160" s="870"/>
      <c r="B160" s="979" t="s">
        <v>16</v>
      </c>
      <c r="C160" s="833"/>
      <c r="D160" s="765" t="str">
        <f>IF(SUM(D132,D134,D136,D138,D140,D142,D144,D146,D148,D150,D152,D154,D156,D158)=0,"",SUM(D132,D134,D136,D138,D140,D142,D144,D146,D148,D150,D152,D154,D156,D158))</f>
        <v/>
      </c>
      <c r="E160" s="765" t="str">
        <f t="shared" ref="E160:O160" si="122">IF(SUM(E132,E134,E136,E138,E140,E142,E144,E146,E148,E150,E152,E154,E156,E158)=0,"",SUM(E132,E134,E136,E138,E140,E142,E144,E146,E148,E150,E152,E154,E156,E158))</f>
        <v/>
      </c>
      <c r="F160" s="765" t="str">
        <f t="shared" si="122"/>
        <v/>
      </c>
      <c r="G160" s="765" t="str">
        <f t="shared" si="122"/>
        <v/>
      </c>
      <c r="H160" s="765" t="str">
        <f t="shared" si="122"/>
        <v/>
      </c>
      <c r="I160" s="765" t="str">
        <f t="shared" si="122"/>
        <v/>
      </c>
      <c r="J160" s="765" t="str">
        <f t="shared" si="122"/>
        <v/>
      </c>
      <c r="K160" s="765" t="str">
        <f t="shared" si="122"/>
        <v/>
      </c>
      <c r="L160" s="765" t="str">
        <f t="shared" si="122"/>
        <v/>
      </c>
      <c r="M160" s="765" t="str">
        <f t="shared" si="122"/>
        <v/>
      </c>
      <c r="N160" s="765" t="str">
        <f t="shared" si="122"/>
        <v/>
      </c>
      <c r="O160" s="766" t="str">
        <f t="shared" si="122"/>
        <v/>
      </c>
      <c r="P160" s="512" t="str">
        <f t="shared" si="111"/>
        <v>-</v>
      </c>
      <c r="Q160" s="4" t="str">
        <f>IF(SUM(D160:O160)=0,"-",SUM(D160:O160))</f>
        <v>-</v>
      </c>
    </row>
    <row r="161" spans="1:17" ht="15.75" customHeight="1" thickBot="1" x14ac:dyDescent="0.3">
      <c r="A161" s="871"/>
      <c r="B161" s="980" t="s">
        <v>17</v>
      </c>
      <c r="C161" s="835"/>
      <c r="D161" s="767" t="str">
        <f>IF(D160="","",SUM(D133,D135,D137,D139,D141,D143,D145,D147,D149,D151,D153,D155,D157,D159))</f>
        <v/>
      </c>
      <c r="E161" s="767" t="str">
        <f t="shared" ref="E161" si="123">IF(E160="","",SUM(E133,E135,E137,E139,E141,E143,E145,E147,E149,E151,E153,E155,E157,E159))</f>
        <v/>
      </c>
      <c r="F161" s="768" t="str">
        <f t="shared" ref="F161" si="124">IF(F160="","",SUM(F133,F135,F137,F139,F141,F143,F145,F147,F149,F151,F153,F155,F157,F159))</f>
        <v/>
      </c>
      <c r="G161" s="767" t="str">
        <f t="shared" ref="G161" si="125">IF(G160="","",SUM(G133,G135,G137,G139,G141,G143,G145,G147,G149,G151,G153,G155,G157,G159))</f>
        <v/>
      </c>
      <c r="H161" s="767" t="str">
        <f t="shared" ref="H161" si="126">IF(H160="","",SUM(H133,H135,H137,H139,H141,H143,H145,H147,H149,H151,H153,H155,H157,H159))</f>
        <v/>
      </c>
      <c r="I161" s="767" t="str">
        <f t="shared" ref="I161" si="127">IF(I160="","",SUM(I133,I135,I137,I139,I141,I143,I145,I147,I149,I151,I153,I155,I157,I159))</f>
        <v/>
      </c>
      <c r="J161" s="767" t="str">
        <f t="shared" ref="J161" si="128">IF(J160="","",SUM(J133,J135,J137,J139,J141,J143,J145,J147,J149,J151,J153,J155,J157,J159))</f>
        <v/>
      </c>
      <c r="K161" s="767" t="str">
        <f t="shared" ref="K161" si="129">IF(K160="","",SUM(K133,K135,K137,K139,K141,K143,K145,K147,K149,K151,K153,K155,K157,K159))</f>
        <v/>
      </c>
      <c r="L161" s="767" t="str">
        <f t="shared" ref="L161" si="130">IF(L160="","",SUM(L133,L135,L137,L139,L141,L143,L145,L147,L149,L151,L153,L155,L157,L159))</f>
        <v/>
      </c>
      <c r="M161" s="767" t="str">
        <f t="shared" ref="M161" si="131">IF(M160="","",SUM(M133,M135,M137,M139,M141,M143,M145,M147,M149,M151,M153,M155,M157,M159))</f>
        <v/>
      </c>
      <c r="N161" s="767" t="str">
        <f t="shared" ref="N161" si="132">IF(N160="","",SUM(N133,N135,N137,N139,N141,N143,N145,N147,N149,N151,N153,N155,N157,N159))</f>
        <v/>
      </c>
      <c r="O161" s="769" t="str">
        <f t="shared" ref="O161" si="133">IF(O160="","",SUM(O133,O135,O137,O139,O141,O143,O145,O147,O149,O151,O153,O155,O157,O159))</f>
        <v/>
      </c>
      <c r="P161" s="525" t="str">
        <f t="shared" si="111"/>
        <v>-</v>
      </c>
      <c r="Q161" s="7" t="str">
        <f>IF(SUM(D161:O161)=0,"-",SUM(D161:O161))</f>
        <v>-</v>
      </c>
    </row>
    <row r="162" spans="1:17" ht="15.75" customHeight="1" x14ac:dyDescent="0.25">
      <c r="A162" s="866" t="s">
        <v>111</v>
      </c>
      <c r="B162" s="878" t="s">
        <v>3</v>
      </c>
      <c r="C162" s="879"/>
      <c r="D162" s="547" t="str">
        <f>IF('2024DATA'!CJ3=0,"",'2024DATA'!CJ3)</f>
        <v/>
      </c>
      <c r="E162" s="547" t="str">
        <f>IF('2024DATA'!CK3=0,"",'2024DATA'!CK3)</f>
        <v/>
      </c>
      <c r="F162" s="547" t="str">
        <f>IF('2024DATA'!CL3=0,"",'2024DATA'!CL3)</f>
        <v/>
      </c>
      <c r="G162" s="547" t="str">
        <f>IF('2024DATA'!CM3=0,"",'2024DATA'!CM3)</f>
        <v/>
      </c>
      <c r="H162" s="547" t="str">
        <f>IF('2024DATA'!CN3=0,"",'2024DATA'!CN3)</f>
        <v/>
      </c>
      <c r="I162" s="547" t="str">
        <f>IF('2024DATA'!CO3=0,"",'2024DATA'!CO3)</f>
        <v/>
      </c>
      <c r="J162" s="547" t="str">
        <f>IF('2024DATA'!CP3=0,"",'2024DATA'!CP3)</f>
        <v/>
      </c>
      <c r="K162" s="547" t="str">
        <f>IF('2024DATA'!CQ3=0,"",'2024DATA'!CQ3)</f>
        <v/>
      </c>
      <c r="L162" s="547" t="str">
        <f>IF('2024DATA'!CR3=0,"",'2024DATA'!CR3)</f>
        <v/>
      </c>
      <c r="M162" s="547" t="str">
        <f>IF('2024DATA'!CS3=0,"",'2024DATA'!CS3)</f>
        <v/>
      </c>
      <c r="N162" s="547" t="str">
        <f>IF('2024DATA'!CT3=0,"",'2024DATA'!CT3)</f>
        <v/>
      </c>
      <c r="O162" s="548" t="str">
        <f>IF('2024DATA'!CU3=0,"",'2024DATA'!CU3)</f>
        <v/>
      </c>
      <c r="P162" s="880"/>
      <c r="Q162" s="881"/>
    </row>
    <row r="163" spans="1:17" ht="15.75" customHeight="1" x14ac:dyDescent="0.25">
      <c r="A163" s="867"/>
      <c r="B163" s="823" t="s">
        <v>7</v>
      </c>
      <c r="C163" s="16" t="s">
        <v>21</v>
      </c>
      <c r="D163" s="549"/>
      <c r="E163" s="549"/>
      <c r="F163" s="549"/>
      <c r="G163" s="549"/>
      <c r="H163" s="549"/>
      <c r="I163" s="549"/>
      <c r="J163" s="549"/>
      <c r="K163" s="549"/>
      <c r="L163" s="549"/>
      <c r="M163" s="549"/>
      <c r="N163" s="549"/>
      <c r="O163" s="550"/>
      <c r="P163" s="512" t="str">
        <f t="shared" ref="P163:P172" si="134">IF(Q163="-","-",Q163/12)</f>
        <v>-</v>
      </c>
      <c r="Q163" s="4" t="str">
        <f t="shared" ref="Q163:Q182" si="135">IF(SUM(D163:O163)=0,"-",SUM(D163:O163))</f>
        <v>-</v>
      </c>
    </row>
    <row r="164" spans="1:17" ht="15.75" customHeight="1" x14ac:dyDescent="0.25">
      <c r="A164" s="867"/>
      <c r="B164" s="824"/>
      <c r="C164" s="17" t="s">
        <v>22</v>
      </c>
      <c r="D164" s="683" t="str">
        <f>IF(D162="","",D$162*D163*24)</f>
        <v/>
      </c>
      <c r="E164" s="683" t="str">
        <f t="shared" ref="E164:O164" si="136">IF(E162="","",E$162*E163*24)</f>
        <v/>
      </c>
      <c r="F164" s="683" t="str">
        <f t="shared" si="136"/>
        <v/>
      </c>
      <c r="G164" s="683" t="str">
        <f t="shared" si="136"/>
        <v/>
      </c>
      <c r="H164" s="683" t="str">
        <f t="shared" si="136"/>
        <v/>
      </c>
      <c r="I164" s="683" t="str">
        <f t="shared" si="136"/>
        <v/>
      </c>
      <c r="J164" s="683" t="str">
        <f t="shared" si="136"/>
        <v/>
      </c>
      <c r="K164" s="683" t="str">
        <f t="shared" si="136"/>
        <v/>
      </c>
      <c r="L164" s="683" t="str">
        <f t="shared" si="136"/>
        <v/>
      </c>
      <c r="M164" s="683" t="str">
        <f t="shared" si="136"/>
        <v/>
      </c>
      <c r="N164" s="683" t="str">
        <f t="shared" si="136"/>
        <v/>
      </c>
      <c r="O164" s="686" t="str">
        <f t="shared" si="136"/>
        <v/>
      </c>
      <c r="P164" s="511" t="str">
        <f t="shared" si="134"/>
        <v>-</v>
      </c>
      <c r="Q164" s="6" t="str">
        <f t="shared" si="135"/>
        <v>-</v>
      </c>
    </row>
    <row r="165" spans="1:17" ht="15.75" customHeight="1" x14ac:dyDescent="0.25">
      <c r="A165" s="867"/>
      <c r="B165" s="823" t="s">
        <v>8</v>
      </c>
      <c r="C165" s="18" t="s">
        <v>21</v>
      </c>
      <c r="D165" s="549"/>
      <c r="E165" s="549"/>
      <c r="F165" s="549"/>
      <c r="G165" s="549"/>
      <c r="H165" s="549"/>
      <c r="I165" s="549"/>
      <c r="J165" s="549"/>
      <c r="K165" s="549"/>
      <c r="L165" s="549"/>
      <c r="M165" s="549"/>
      <c r="N165" s="549"/>
      <c r="O165" s="550"/>
      <c r="P165" s="512" t="str">
        <f t="shared" si="134"/>
        <v>-</v>
      </c>
      <c r="Q165" s="4" t="str">
        <f t="shared" si="135"/>
        <v>-</v>
      </c>
    </row>
    <row r="166" spans="1:17" ht="15.75" customHeight="1" x14ac:dyDescent="0.25">
      <c r="A166" s="867"/>
      <c r="B166" s="824"/>
      <c r="C166" s="18" t="s">
        <v>22</v>
      </c>
      <c r="D166" s="683" t="str">
        <f>IF(D165=0,"",(D162+IF(D$4="CA",DATA!$B$22,DATA!$B$23))*D165*24)</f>
        <v/>
      </c>
      <c r="E166" s="683" t="str">
        <f>IF(E165=0,"",(E162+IF(E$4="CA",DATA!$B$22,DATA!$B$23))*E165*24)</f>
        <v/>
      </c>
      <c r="F166" s="683" t="str">
        <f>IF(F165=0,"",(F162+IF(F$4="CA",DATA!$B$22,DATA!$B$23))*F165*24)</f>
        <v/>
      </c>
      <c r="G166" s="683" t="str">
        <f>IF(G165=0,"",(G162+IF(G$4="CA",DATA!$B$22,DATA!$B$23))*G165*24)</f>
        <v/>
      </c>
      <c r="H166" s="683" t="str">
        <f>IF(H165=0,"",(H162+IF(H$4="CA",DATA!$B$22,DATA!$B$23))*H165*24)</f>
        <v/>
      </c>
      <c r="I166" s="683" t="str">
        <f>IF(I165=0,"",(I162+IF(I$4="CA",DATA!$B$22,DATA!$B$23))*I165*24)</f>
        <v/>
      </c>
      <c r="J166" s="683" t="str">
        <f>IF(J165=0,"",(J162+IF(J$4="CA",DATA!$B$22,DATA!$B$23))*J165*24)</f>
        <v/>
      </c>
      <c r="K166" s="683" t="str">
        <f>IF(K165=0,"",(K162+IF(K$4="CA",DATA!$B$22,DATA!$B$23))*K165*24)</f>
        <v/>
      </c>
      <c r="L166" s="683" t="str">
        <f>IF(L165=0,"",(L162+IF(L$4="CA",DATA!$B$22,DATA!$B$23))*L165*24)</f>
        <v/>
      </c>
      <c r="M166" s="683" t="str">
        <f>IF(M165=0,"",(M162+IF(M$4="CA",DATA!$B$22,DATA!$B$23))*M165*24)</f>
        <v/>
      </c>
      <c r="N166" s="683" t="str">
        <f>IF(N165=0,"",(N162+IF(N$4="CA",DATA!$B$22,DATA!$B$23))*N165*24)</f>
        <v/>
      </c>
      <c r="O166" s="686" t="str">
        <f>IF(O165=0,"",(O162+IF(O$4="CA",DATA!$B$22,DATA!$B$23))*O165*24)</f>
        <v/>
      </c>
      <c r="P166" s="511" t="str">
        <f t="shared" si="134"/>
        <v>-</v>
      </c>
      <c r="Q166" s="6" t="str">
        <f t="shared" si="135"/>
        <v>-</v>
      </c>
    </row>
    <row r="167" spans="1:17" ht="15.75" customHeight="1" x14ac:dyDescent="0.25">
      <c r="A167" s="867"/>
      <c r="B167" s="823" t="s">
        <v>9</v>
      </c>
      <c r="C167" s="16" t="s">
        <v>21</v>
      </c>
      <c r="D167" s="549"/>
      <c r="E167" s="549"/>
      <c r="F167" s="549"/>
      <c r="G167" s="549"/>
      <c r="H167" s="549"/>
      <c r="I167" s="549"/>
      <c r="J167" s="549"/>
      <c r="K167" s="549"/>
      <c r="L167" s="549"/>
      <c r="M167" s="549"/>
      <c r="N167" s="549"/>
      <c r="O167" s="550"/>
      <c r="P167" s="512" t="str">
        <f t="shared" si="134"/>
        <v>-</v>
      </c>
      <c r="Q167" s="4" t="str">
        <f t="shared" si="135"/>
        <v>-</v>
      </c>
    </row>
    <row r="168" spans="1:17" ht="15.75" customHeight="1" x14ac:dyDescent="0.25">
      <c r="A168" s="867"/>
      <c r="B168" s="824"/>
      <c r="C168" s="17" t="s">
        <v>22</v>
      </c>
      <c r="D168" s="683" t="str">
        <f>IF(D166="","",D$162*D167*24)</f>
        <v/>
      </c>
      <c r="E168" s="683" t="str">
        <f t="shared" ref="E168:O168" si="137">IF(E166="","",E$162*E167*24)</f>
        <v/>
      </c>
      <c r="F168" s="683" t="str">
        <f t="shared" si="137"/>
        <v/>
      </c>
      <c r="G168" s="683" t="str">
        <f t="shared" si="137"/>
        <v/>
      </c>
      <c r="H168" s="683" t="str">
        <f t="shared" si="137"/>
        <v/>
      </c>
      <c r="I168" s="683" t="str">
        <f t="shared" si="137"/>
        <v/>
      </c>
      <c r="J168" s="683" t="str">
        <f t="shared" si="137"/>
        <v/>
      </c>
      <c r="K168" s="683" t="str">
        <f t="shared" si="137"/>
        <v/>
      </c>
      <c r="L168" s="683" t="str">
        <f t="shared" si="137"/>
        <v/>
      </c>
      <c r="M168" s="683" t="str">
        <f t="shared" si="137"/>
        <v/>
      </c>
      <c r="N168" s="683" t="str">
        <f t="shared" si="137"/>
        <v/>
      </c>
      <c r="O168" s="686" t="str">
        <f t="shared" si="137"/>
        <v/>
      </c>
      <c r="P168" s="511" t="str">
        <f t="shared" si="134"/>
        <v>-</v>
      </c>
      <c r="Q168" s="6" t="str">
        <f t="shared" si="135"/>
        <v>-</v>
      </c>
    </row>
    <row r="169" spans="1:17" ht="15.75" customHeight="1" x14ac:dyDescent="0.25">
      <c r="A169" s="867"/>
      <c r="B169" s="823" t="s">
        <v>10</v>
      </c>
      <c r="C169" s="18" t="s">
        <v>21</v>
      </c>
      <c r="D169" s="549"/>
      <c r="E169" s="549"/>
      <c r="F169" s="549"/>
      <c r="G169" s="549"/>
      <c r="H169" s="549"/>
      <c r="I169" s="549"/>
      <c r="J169" s="549"/>
      <c r="K169" s="549"/>
      <c r="L169" s="549"/>
      <c r="M169" s="549"/>
      <c r="N169" s="549"/>
      <c r="O169" s="550"/>
      <c r="P169" s="512" t="str">
        <f t="shared" si="134"/>
        <v>-</v>
      </c>
      <c r="Q169" s="4" t="str">
        <f t="shared" si="135"/>
        <v>-</v>
      </c>
    </row>
    <row r="170" spans="1:17" ht="15.75" customHeight="1" x14ac:dyDescent="0.25">
      <c r="A170" s="867"/>
      <c r="B170" s="824"/>
      <c r="C170" s="18" t="s">
        <v>22</v>
      </c>
      <c r="D170" s="683" t="str">
        <f>IF(D168="","",D$162*D169*24)</f>
        <v/>
      </c>
      <c r="E170" s="683" t="str">
        <f t="shared" ref="E170:O170" si="138">IF(E168="","",E$162*E169*24)</f>
        <v/>
      </c>
      <c r="F170" s="683" t="str">
        <f t="shared" si="138"/>
        <v/>
      </c>
      <c r="G170" s="683" t="str">
        <f t="shared" si="138"/>
        <v/>
      </c>
      <c r="H170" s="683" t="str">
        <f t="shared" si="138"/>
        <v/>
      </c>
      <c r="I170" s="683" t="str">
        <f t="shared" si="138"/>
        <v/>
      </c>
      <c r="J170" s="683" t="str">
        <f t="shared" si="138"/>
        <v/>
      </c>
      <c r="K170" s="683" t="str">
        <f t="shared" si="138"/>
        <v/>
      </c>
      <c r="L170" s="683" t="str">
        <f t="shared" si="138"/>
        <v/>
      </c>
      <c r="M170" s="683" t="str">
        <f t="shared" si="138"/>
        <v/>
      </c>
      <c r="N170" s="683" t="str">
        <f t="shared" si="138"/>
        <v/>
      </c>
      <c r="O170" s="686" t="str">
        <f t="shared" si="138"/>
        <v/>
      </c>
      <c r="P170" s="511" t="str">
        <f t="shared" si="134"/>
        <v>-</v>
      </c>
      <c r="Q170" s="6" t="str">
        <f t="shared" si="135"/>
        <v>-</v>
      </c>
    </row>
    <row r="171" spans="1:17" ht="15.75" customHeight="1" x14ac:dyDescent="0.25">
      <c r="A171" s="867"/>
      <c r="B171" s="823" t="s">
        <v>11</v>
      </c>
      <c r="C171" s="16" t="s">
        <v>21</v>
      </c>
      <c r="D171" s="549"/>
      <c r="E171" s="549"/>
      <c r="F171" s="549"/>
      <c r="G171" s="549"/>
      <c r="H171" s="549"/>
      <c r="I171" s="549"/>
      <c r="J171" s="549"/>
      <c r="K171" s="549"/>
      <c r="L171" s="549"/>
      <c r="M171" s="549"/>
      <c r="N171" s="549"/>
      <c r="O171" s="550"/>
      <c r="P171" s="512" t="str">
        <f t="shared" si="134"/>
        <v>-</v>
      </c>
      <c r="Q171" s="4" t="str">
        <f t="shared" si="135"/>
        <v>-</v>
      </c>
    </row>
    <row r="172" spans="1:17" ht="15.75" customHeight="1" x14ac:dyDescent="0.25">
      <c r="A172" s="867"/>
      <c r="B172" s="824"/>
      <c r="C172" s="17" t="s">
        <v>22</v>
      </c>
      <c r="D172" s="683" t="str">
        <f>IF(D170="","",D$162*D171*24)</f>
        <v/>
      </c>
      <c r="E172" s="683" t="str">
        <f t="shared" ref="E172:O172" si="139">IF(E170="","",E$162*E171*24)</f>
        <v/>
      </c>
      <c r="F172" s="683" t="str">
        <f t="shared" si="139"/>
        <v/>
      </c>
      <c r="G172" s="683" t="str">
        <f t="shared" si="139"/>
        <v/>
      </c>
      <c r="H172" s="683" t="str">
        <f t="shared" si="139"/>
        <v/>
      </c>
      <c r="I172" s="683" t="str">
        <f t="shared" si="139"/>
        <v/>
      </c>
      <c r="J172" s="683" t="str">
        <f t="shared" si="139"/>
        <v/>
      </c>
      <c r="K172" s="683" t="str">
        <f t="shared" si="139"/>
        <v/>
      </c>
      <c r="L172" s="683" t="str">
        <f t="shared" si="139"/>
        <v/>
      </c>
      <c r="M172" s="683" t="str">
        <f t="shared" si="139"/>
        <v/>
      </c>
      <c r="N172" s="683" t="str">
        <f t="shared" si="139"/>
        <v/>
      </c>
      <c r="O172" s="686" t="str">
        <f t="shared" si="139"/>
        <v/>
      </c>
      <c r="P172" s="511" t="str">
        <f t="shared" si="134"/>
        <v>-</v>
      </c>
      <c r="Q172" s="6" t="str">
        <f t="shared" si="135"/>
        <v>-</v>
      </c>
    </row>
    <row r="173" spans="1:17" ht="15.75" customHeight="1" x14ac:dyDescent="0.25">
      <c r="A173" s="867"/>
      <c r="B173" s="823" t="s">
        <v>12</v>
      </c>
      <c r="C173" s="18" t="s">
        <v>21</v>
      </c>
      <c r="D173" s="549"/>
      <c r="E173" s="549"/>
      <c r="F173" s="549"/>
      <c r="G173" s="549"/>
      <c r="H173" s="549"/>
      <c r="I173" s="549"/>
      <c r="J173" s="549"/>
      <c r="K173" s="549"/>
      <c r="L173" s="549"/>
      <c r="M173" s="549"/>
      <c r="N173" s="549"/>
      <c r="O173" s="550"/>
      <c r="P173" s="512" t="str">
        <f>IF(Q173="-","-",Q173/12)</f>
        <v>-</v>
      </c>
      <c r="Q173" s="4" t="str">
        <f t="shared" si="135"/>
        <v>-</v>
      </c>
    </row>
    <row r="174" spans="1:17" ht="15.75" customHeight="1" x14ac:dyDescent="0.25">
      <c r="A174" s="867"/>
      <c r="B174" s="824"/>
      <c r="C174" s="18" t="s">
        <v>22</v>
      </c>
      <c r="D174" s="683" t="str">
        <f>IF(D172="","",D$162*D173*24)</f>
        <v/>
      </c>
      <c r="E174" s="683" t="str">
        <f t="shared" ref="E174:O174" si="140">IF(E172="","",E$162*E173*24)</f>
        <v/>
      </c>
      <c r="F174" s="683" t="str">
        <f t="shared" si="140"/>
        <v/>
      </c>
      <c r="G174" s="683" t="str">
        <f t="shared" si="140"/>
        <v/>
      </c>
      <c r="H174" s="683" t="str">
        <f t="shared" si="140"/>
        <v/>
      </c>
      <c r="I174" s="683" t="str">
        <f t="shared" si="140"/>
        <v/>
      </c>
      <c r="J174" s="683" t="str">
        <f t="shared" si="140"/>
        <v/>
      </c>
      <c r="K174" s="683" t="str">
        <f t="shared" si="140"/>
        <v/>
      </c>
      <c r="L174" s="683" t="str">
        <f t="shared" si="140"/>
        <v/>
      </c>
      <c r="M174" s="683" t="str">
        <f t="shared" si="140"/>
        <v/>
      </c>
      <c r="N174" s="683" t="str">
        <f t="shared" si="140"/>
        <v/>
      </c>
      <c r="O174" s="686" t="str">
        <f t="shared" si="140"/>
        <v/>
      </c>
      <c r="P174" s="511" t="str">
        <f t="shared" ref="P174:P220" si="141">IF(Q174="-","-",Q174/12)</f>
        <v>-</v>
      </c>
      <c r="Q174" s="6" t="str">
        <f t="shared" si="135"/>
        <v>-</v>
      </c>
    </row>
    <row r="175" spans="1:17" ht="15.75" customHeight="1" x14ac:dyDescent="0.25">
      <c r="A175" s="867"/>
      <c r="B175" s="823" t="s">
        <v>15</v>
      </c>
      <c r="C175" s="16" t="s">
        <v>21</v>
      </c>
      <c r="D175" s="549"/>
      <c r="E175" s="549"/>
      <c r="F175" s="549"/>
      <c r="G175" s="549"/>
      <c r="H175" s="549"/>
      <c r="I175" s="549"/>
      <c r="J175" s="549"/>
      <c r="K175" s="549"/>
      <c r="L175" s="549"/>
      <c r="M175" s="549"/>
      <c r="N175" s="549"/>
      <c r="O175" s="550"/>
      <c r="P175" s="512" t="str">
        <f t="shared" si="141"/>
        <v>-</v>
      </c>
      <c r="Q175" s="4" t="str">
        <f t="shared" si="135"/>
        <v>-</v>
      </c>
    </row>
    <row r="176" spans="1:17" ht="15.75" customHeight="1" x14ac:dyDescent="0.25">
      <c r="A176" s="867"/>
      <c r="B176" s="824"/>
      <c r="C176" s="17" t="s">
        <v>22</v>
      </c>
      <c r="D176" s="683" t="str">
        <f>IF(D174="","",D$162*D175*24)</f>
        <v/>
      </c>
      <c r="E176" s="683" t="str">
        <f t="shared" ref="E176:O176" si="142">IF(E174="","",E$162*E175*24)</f>
        <v/>
      </c>
      <c r="F176" s="683" t="str">
        <f t="shared" si="142"/>
        <v/>
      </c>
      <c r="G176" s="683" t="str">
        <f t="shared" si="142"/>
        <v/>
      </c>
      <c r="H176" s="683" t="str">
        <f t="shared" si="142"/>
        <v/>
      </c>
      <c r="I176" s="683" t="str">
        <f t="shared" si="142"/>
        <v/>
      </c>
      <c r="J176" s="683" t="str">
        <f t="shared" si="142"/>
        <v/>
      </c>
      <c r="K176" s="683" t="str">
        <f t="shared" si="142"/>
        <v/>
      </c>
      <c r="L176" s="683" t="str">
        <f t="shared" si="142"/>
        <v/>
      </c>
      <c r="M176" s="683" t="str">
        <f t="shared" si="142"/>
        <v/>
      </c>
      <c r="N176" s="683" t="str">
        <f t="shared" si="142"/>
        <v/>
      </c>
      <c r="O176" s="686" t="str">
        <f t="shared" si="142"/>
        <v/>
      </c>
      <c r="P176" s="511" t="str">
        <f t="shared" si="141"/>
        <v>-</v>
      </c>
      <c r="Q176" s="6" t="str">
        <f t="shared" si="135"/>
        <v>-</v>
      </c>
    </row>
    <row r="177" spans="1:17" ht="15.75" customHeight="1" x14ac:dyDescent="0.25">
      <c r="A177" s="867"/>
      <c r="B177" s="823" t="s">
        <v>13</v>
      </c>
      <c r="C177" s="18" t="s">
        <v>21</v>
      </c>
      <c r="D177" s="549"/>
      <c r="E177" s="549"/>
      <c r="F177" s="549"/>
      <c r="G177" s="549"/>
      <c r="H177" s="549"/>
      <c r="I177" s="549"/>
      <c r="J177" s="549"/>
      <c r="K177" s="549"/>
      <c r="L177" s="549"/>
      <c r="M177" s="549"/>
      <c r="N177" s="549"/>
      <c r="O177" s="550"/>
      <c r="P177" s="512" t="str">
        <f t="shared" si="141"/>
        <v>-</v>
      </c>
      <c r="Q177" s="4" t="str">
        <f t="shared" si="135"/>
        <v>-</v>
      </c>
    </row>
    <row r="178" spans="1:17" ht="15.75" customHeight="1" x14ac:dyDescent="0.25">
      <c r="A178" s="867"/>
      <c r="B178" s="824"/>
      <c r="C178" s="18" t="s">
        <v>22</v>
      </c>
      <c r="D178" s="683" t="str">
        <f>IF(D176="","",D$162*D177*24)</f>
        <v/>
      </c>
      <c r="E178" s="683" t="str">
        <f t="shared" ref="E178:O178" si="143">IF(E176="","",E$162*E177*24)</f>
        <v/>
      </c>
      <c r="F178" s="683" t="str">
        <f t="shared" si="143"/>
        <v/>
      </c>
      <c r="G178" s="683" t="str">
        <f t="shared" si="143"/>
        <v/>
      </c>
      <c r="H178" s="683" t="str">
        <f t="shared" si="143"/>
        <v/>
      </c>
      <c r="I178" s="683" t="str">
        <f t="shared" si="143"/>
        <v/>
      </c>
      <c r="J178" s="683" t="str">
        <f t="shared" si="143"/>
        <v/>
      </c>
      <c r="K178" s="683" t="str">
        <f t="shared" si="143"/>
        <v/>
      </c>
      <c r="L178" s="683" t="str">
        <f t="shared" si="143"/>
        <v/>
      </c>
      <c r="M178" s="683" t="str">
        <f t="shared" si="143"/>
        <v/>
      </c>
      <c r="N178" s="683" t="str">
        <f t="shared" si="143"/>
        <v/>
      </c>
      <c r="O178" s="686" t="str">
        <f t="shared" si="143"/>
        <v/>
      </c>
      <c r="P178" s="511" t="str">
        <f t="shared" si="141"/>
        <v>-</v>
      </c>
      <c r="Q178" s="6" t="str">
        <f t="shared" si="135"/>
        <v>-</v>
      </c>
    </row>
    <row r="179" spans="1:17" ht="15.75" customHeight="1" x14ac:dyDescent="0.25">
      <c r="A179" s="867"/>
      <c r="B179" s="823" t="s">
        <v>20</v>
      </c>
      <c r="C179" s="16" t="s">
        <v>21</v>
      </c>
      <c r="D179" s="549"/>
      <c r="E179" s="549"/>
      <c r="F179" s="549"/>
      <c r="G179" s="549"/>
      <c r="H179" s="549"/>
      <c r="I179" s="549"/>
      <c r="J179" s="549"/>
      <c r="K179" s="549"/>
      <c r="L179" s="549"/>
      <c r="M179" s="549"/>
      <c r="N179" s="549"/>
      <c r="O179" s="550"/>
      <c r="P179" s="512" t="str">
        <f t="shared" si="141"/>
        <v>-</v>
      </c>
      <c r="Q179" s="4" t="str">
        <f t="shared" si="135"/>
        <v>-</v>
      </c>
    </row>
    <row r="180" spans="1:17" ht="15.75" customHeight="1" x14ac:dyDescent="0.25">
      <c r="A180" s="867"/>
      <c r="B180" s="824"/>
      <c r="C180" s="17" t="s">
        <v>22</v>
      </c>
      <c r="D180" s="683" t="str">
        <f>IF(D178="","",D$162*D179*24)</f>
        <v/>
      </c>
      <c r="E180" s="683" t="str">
        <f t="shared" ref="E180:O180" si="144">IF(E178="","",E$162*E179*24)</f>
        <v/>
      </c>
      <c r="F180" s="683" t="str">
        <f t="shared" si="144"/>
        <v/>
      </c>
      <c r="G180" s="683" t="str">
        <f t="shared" si="144"/>
        <v/>
      </c>
      <c r="H180" s="683" t="str">
        <f t="shared" si="144"/>
        <v/>
      </c>
      <c r="I180" s="683" t="str">
        <f t="shared" si="144"/>
        <v/>
      </c>
      <c r="J180" s="683" t="str">
        <f t="shared" si="144"/>
        <v/>
      </c>
      <c r="K180" s="683" t="str">
        <f t="shared" si="144"/>
        <v/>
      </c>
      <c r="L180" s="683" t="str">
        <f t="shared" si="144"/>
        <v/>
      </c>
      <c r="M180" s="683" t="str">
        <f t="shared" si="144"/>
        <v/>
      </c>
      <c r="N180" s="683" t="str">
        <f t="shared" si="144"/>
        <v/>
      </c>
      <c r="O180" s="686" t="str">
        <f t="shared" si="144"/>
        <v/>
      </c>
      <c r="P180" s="511" t="str">
        <f t="shared" si="141"/>
        <v>-</v>
      </c>
      <c r="Q180" s="6" t="str">
        <f t="shared" si="135"/>
        <v>-</v>
      </c>
    </row>
    <row r="181" spans="1:17" ht="15.75" customHeight="1" x14ac:dyDescent="0.25">
      <c r="A181" s="867"/>
      <c r="B181" s="823" t="s">
        <v>1</v>
      </c>
      <c r="C181" s="18" t="s">
        <v>21</v>
      </c>
      <c r="D181" s="549"/>
      <c r="E181" s="549"/>
      <c r="F181" s="549"/>
      <c r="G181" s="549"/>
      <c r="H181" s="549"/>
      <c r="I181" s="549"/>
      <c r="J181" s="549"/>
      <c r="K181" s="549"/>
      <c r="L181" s="549"/>
      <c r="M181" s="549"/>
      <c r="N181" s="549"/>
      <c r="O181" s="550"/>
      <c r="P181" s="512" t="str">
        <f t="shared" si="141"/>
        <v>-</v>
      </c>
      <c r="Q181" s="4" t="str">
        <f t="shared" si="135"/>
        <v>-</v>
      </c>
    </row>
    <row r="182" spans="1:17" ht="15.75" customHeight="1" x14ac:dyDescent="0.25">
      <c r="A182" s="867"/>
      <c r="B182" s="824"/>
      <c r="C182" s="18" t="s">
        <v>22</v>
      </c>
      <c r="D182" s="683" t="str">
        <f>IF(D180="","",D$162*D181*24)</f>
        <v/>
      </c>
      <c r="E182" s="683" t="str">
        <f t="shared" ref="E182:O182" si="145">IF(E180="","",E$162*E181*24)</f>
        <v/>
      </c>
      <c r="F182" s="683" t="str">
        <f t="shared" si="145"/>
        <v/>
      </c>
      <c r="G182" s="683" t="str">
        <f t="shared" si="145"/>
        <v/>
      </c>
      <c r="H182" s="683" t="str">
        <f t="shared" si="145"/>
        <v/>
      </c>
      <c r="I182" s="683" t="str">
        <f t="shared" si="145"/>
        <v/>
      </c>
      <c r="J182" s="683" t="str">
        <f t="shared" si="145"/>
        <v/>
      </c>
      <c r="K182" s="683" t="str">
        <f t="shared" si="145"/>
        <v/>
      </c>
      <c r="L182" s="683" t="str">
        <f t="shared" si="145"/>
        <v/>
      </c>
      <c r="M182" s="683" t="str">
        <f t="shared" si="145"/>
        <v/>
      </c>
      <c r="N182" s="683" t="str">
        <f t="shared" si="145"/>
        <v/>
      </c>
      <c r="O182" s="686" t="str">
        <f t="shared" si="145"/>
        <v/>
      </c>
      <c r="P182" s="511" t="str">
        <f t="shared" si="141"/>
        <v>-</v>
      </c>
      <c r="Q182" s="6" t="str">
        <f t="shared" si="135"/>
        <v>-</v>
      </c>
    </row>
    <row r="183" spans="1:17" ht="15.75" customHeight="1" x14ac:dyDescent="0.25">
      <c r="A183" s="867"/>
      <c r="B183" s="823" t="str">
        <f>IF($B$28="OTHER (RENAME)","OTHER",$B$28)</f>
        <v>OTHER</v>
      </c>
      <c r="C183" s="19" t="s">
        <v>21</v>
      </c>
      <c r="D183" s="549"/>
      <c r="E183" s="549"/>
      <c r="F183" s="549"/>
      <c r="G183" s="549"/>
      <c r="H183" s="549"/>
      <c r="I183" s="549"/>
      <c r="J183" s="549"/>
      <c r="K183" s="549"/>
      <c r="L183" s="549"/>
      <c r="M183" s="549"/>
      <c r="N183" s="549"/>
      <c r="O183" s="550"/>
      <c r="P183" s="512" t="str">
        <f t="shared" si="141"/>
        <v>-</v>
      </c>
      <c r="Q183" s="4" t="str">
        <f t="shared" ref="Q183:Q184" si="146">IF(SUM(D183:O183)=0,"-",SUM(D183:O183))</f>
        <v>-</v>
      </c>
    </row>
    <row r="184" spans="1:17" ht="15.75" customHeight="1" x14ac:dyDescent="0.25">
      <c r="A184" s="867"/>
      <c r="B184" s="824"/>
      <c r="C184" s="20" t="s">
        <v>22</v>
      </c>
      <c r="D184" s="687" t="str">
        <f>IF(D182="","",D$162*D183*24)</f>
        <v/>
      </c>
      <c r="E184" s="687" t="str">
        <f t="shared" ref="E184:O184" si="147">IF(E182="","",E$162*E183*24)</f>
        <v/>
      </c>
      <c r="F184" s="687" t="str">
        <f t="shared" si="147"/>
        <v/>
      </c>
      <c r="G184" s="687" t="str">
        <f t="shared" si="147"/>
        <v/>
      </c>
      <c r="H184" s="687" t="str">
        <f t="shared" si="147"/>
        <v/>
      </c>
      <c r="I184" s="687" t="str">
        <f t="shared" si="147"/>
        <v/>
      </c>
      <c r="J184" s="687" t="str">
        <f t="shared" si="147"/>
        <v/>
      </c>
      <c r="K184" s="687" t="str">
        <f t="shared" si="147"/>
        <v/>
      </c>
      <c r="L184" s="687" t="str">
        <f t="shared" si="147"/>
        <v/>
      </c>
      <c r="M184" s="687" t="str">
        <f t="shared" si="147"/>
        <v/>
      </c>
      <c r="N184" s="687" t="str">
        <f t="shared" si="147"/>
        <v/>
      </c>
      <c r="O184" s="688" t="str">
        <f t="shared" si="147"/>
        <v/>
      </c>
      <c r="P184" s="511" t="str">
        <f t="shared" si="141"/>
        <v>-</v>
      </c>
      <c r="Q184" s="6" t="str">
        <f t="shared" si="146"/>
        <v>-</v>
      </c>
    </row>
    <row r="185" spans="1:17" ht="15.75" x14ac:dyDescent="0.25">
      <c r="A185" s="867"/>
      <c r="B185" s="823" t="str">
        <f>IF($B$30="OTHER (RENAME)","OTHER",$B$30)</f>
        <v>OTHER</v>
      </c>
      <c r="C185" s="16" t="s">
        <v>21</v>
      </c>
      <c r="D185" s="549"/>
      <c r="E185" s="549"/>
      <c r="F185" s="549"/>
      <c r="G185" s="549"/>
      <c r="H185" s="549"/>
      <c r="I185" s="549"/>
      <c r="J185" s="549"/>
      <c r="K185" s="549"/>
      <c r="L185" s="549"/>
      <c r="M185" s="549"/>
      <c r="N185" s="549"/>
      <c r="O185" s="550"/>
      <c r="P185" s="512" t="str">
        <f t="shared" si="141"/>
        <v>-</v>
      </c>
      <c r="Q185" s="4" t="str">
        <f t="shared" ref="Q185:Q190" si="148">IF(SUM(D185:O185)=0,"-",SUM(D185:O185))</f>
        <v>-</v>
      </c>
    </row>
    <row r="186" spans="1:17" ht="15.75" x14ac:dyDescent="0.25">
      <c r="A186" s="867"/>
      <c r="B186" s="824"/>
      <c r="C186" s="17" t="s">
        <v>22</v>
      </c>
      <c r="D186" s="687" t="str">
        <f>IF(D184="","",D$162*D185*24)</f>
        <v/>
      </c>
      <c r="E186" s="687" t="str">
        <f t="shared" ref="E186:O186" si="149">IF(E184="","",E$162*E185*24)</f>
        <v/>
      </c>
      <c r="F186" s="687" t="str">
        <f t="shared" si="149"/>
        <v/>
      </c>
      <c r="G186" s="687" t="str">
        <f t="shared" si="149"/>
        <v/>
      </c>
      <c r="H186" s="687" t="str">
        <f t="shared" si="149"/>
        <v/>
      </c>
      <c r="I186" s="687" t="str">
        <f t="shared" si="149"/>
        <v/>
      </c>
      <c r="J186" s="687" t="str">
        <f t="shared" si="149"/>
        <v/>
      </c>
      <c r="K186" s="687" t="str">
        <f t="shared" si="149"/>
        <v/>
      </c>
      <c r="L186" s="687" t="str">
        <f t="shared" si="149"/>
        <v/>
      </c>
      <c r="M186" s="687" t="str">
        <f t="shared" si="149"/>
        <v/>
      </c>
      <c r="N186" s="687" t="str">
        <f t="shared" si="149"/>
        <v/>
      </c>
      <c r="O186" s="688" t="str">
        <f t="shared" si="149"/>
        <v/>
      </c>
      <c r="P186" s="511" t="str">
        <f t="shared" si="141"/>
        <v>-</v>
      </c>
      <c r="Q186" s="6" t="str">
        <f t="shared" si="148"/>
        <v>-</v>
      </c>
    </row>
    <row r="187" spans="1:17" ht="15.75" x14ac:dyDescent="0.25">
      <c r="A187" s="867"/>
      <c r="B187" s="823" t="str">
        <f>IF($B$32="OTHER (RENAME)","OTHER",$B$32)</f>
        <v>OTHER</v>
      </c>
      <c r="C187" s="16" t="s">
        <v>21</v>
      </c>
      <c r="D187" s="549"/>
      <c r="E187" s="549"/>
      <c r="F187" s="549"/>
      <c r="G187" s="549"/>
      <c r="H187" s="549"/>
      <c r="I187" s="549"/>
      <c r="J187" s="549"/>
      <c r="K187" s="549"/>
      <c r="L187" s="549"/>
      <c r="M187" s="549"/>
      <c r="N187" s="549"/>
      <c r="O187" s="550"/>
      <c r="P187" s="512" t="str">
        <f t="shared" si="141"/>
        <v>-</v>
      </c>
      <c r="Q187" s="4" t="str">
        <f t="shared" si="148"/>
        <v>-</v>
      </c>
    </row>
    <row r="188" spans="1:17" ht="15.75" x14ac:dyDescent="0.25">
      <c r="A188" s="867"/>
      <c r="B188" s="824"/>
      <c r="C188" s="17" t="s">
        <v>22</v>
      </c>
      <c r="D188" s="687" t="str">
        <f>IF(D186="","",D$162*D187*24)</f>
        <v/>
      </c>
      <c r="E188" s="687" t="str">
        <f t="shared" ref="E188:O188" si="150">IF(E186="","",E$162*E187*24)</f>
        <v/>
      </c>
      <c r="F188" s="687" t="str">
        <f t="shared" si="150"/>
        <v/>
      </c>
      <c r="G188" s="687" t="str">
        <f t="shared" si="150"/>
        <v/>
      </c>
      <c r="H188" s="687" t="str">
        <f t="shared" si="150"/>
        <v/>
      </c>
      <c r="I188" s="687" t="str">
        <f t="shared" si="150"/>
        <v/>
      </c>
      <c r="J188" s="687" t="str">
        <f t="shared" si="150"/>
        <v/>
      </c>
      <c r="K188" s="687" t="str">
        <f t="shared" si="150"/>
        <v/>
      </c>
      <c r="L188" s="687" t="str">
        <f t="shared" si="150"/>
        <v/>
      </c>
      <c r="M188" s="687" t="str">
        <f t="shared" si="150"/>
        <v/>
      </c>
      <c r="N188" s="687" t="str">
        <f t="shared" si="150"/>
        <v/>
      </c>
      <c r="O188" s="688" t="str">
        <f t="shared" si="150"/>
        <v/>
      </c>
      <c r="P188" s="511" t="str">
        <f t="shared" si="141"/>
        <v>-</v>
      </c>
      <c r="Q188" s="6" t="str">
        <f t="shared" si="148"/>
        <v>-</v>
      </c>
    </row>
    <row r="189" spans="1:17" ht="15.75" x14ac:dyDescent="0.25">
      <c r="A189" s="867"/>
      <c r="B189" s="823" t="str">
        <f>IF($B$34="OTHER (RENAME)","OTHER",$B$34)</f>
        <v>OTHER</v>
      </c>
      <c r="C189" s="16" t="s">
        <v>21</v>
      </c>
      <c r="D189" s="549"/>
      <c r="E189" s="549"/>
      <c r="F189" s="549"/>
      <c r="G189" s="549"/>
      <c r="H189" s="549"/>
      <c r="I189" s="549"/>
      <c r="J189" s="549"/>
      <c r="K189" s="549"/>
      <c r="L189" s="549"/>
      <c r="M189" s="549"/>
      <c r="N189" s="549"/>
      <c r="O189" s="550"/>
      <c r="P189" s="512" t="str">
        <f t="shared" si="141"/>
        <v>-</v>
      </c>
      <c r="Q189" s="4" t="str">
        <f t="shared" si="148"/>
        <v>-</v>
      </c>
    </row>
    <row r="190" spans="1:17" ht="15.75" x14ac:dyDescent="0.25">
      <c r="A190" s="867"/>
      <c r="B190" s="824"/>
      <c r="C190" s="17" t="s">
        <v>22</v>
      </c>
      <c r="D190" s="687" t="str">
        <f>IF(D188="","",D$162*D189*24)</f>
        <v/>
      </c>
      <c r="E190" s="687" t="str">
        <f t="shared" ref="E190:O190" si="151">IF(E188="","",E$162*E189*24)</f>
        <v/>
      </c>
      <c r="F190" s="687" t="str">
        <f t="shared" si="151"/>
        <v/>
      </c>
      <c r="G190" s="687" t="str">
        <f t="shared" si="151"/>
        <v/>
      </c>
      <c r="H190" s="687" t="str">
        <f t="shared" si="151"/>
        <v/>
      </c>
      <c r="I190" s="687" t="str">
        <f t="shared" si="151"/>
        <v/>
      </c>
      <c r="J190" s="687" t="str">
        <f t="shared" si="151"/>
        <v/>
      </c>
      <c r="K190" s="687" t="str">
        <f t="shared" si="151"/>
        <v/>
      </c>
      <c r="L190" s="687" t="str">
        <f t="shared" si="151"/>
        <v/>
      </c>
      <c r="M190" s="687" t="str">
        <f t="shared" si="151"/>
        <v/>
      </c>
      <c r="N190" s="687" t="str">
        <f t="shared" si="151"/>
        <v/>
      </c>
      <c r="O190" s="688" t="str">
        <f t="shared" si="151"/>
        <v/>
      </c>
      <c r="P190" s="511" t="str">
        <f t="shared" si="141"/>
        <v>-</v>
      </c>
      <c r="Q190" s="6" t="str">
        <f t="shared" si="148"/>
        <v>-</v>
      </c>
    </row>
    <row r="191" spans="1:17" ht="15.75" customHeight="1" x14ac:dyDescent="0.25">
      <c r="A191" s="867"/>
      <c r="B191" s="981" t="s">
        <v>16</v>
      </c>
      <c r="C191" s="939"/>
      <c r="D191" s="770" t="str">
        <f>IF(SUM(D163,D165,D167,D169,D171,D173,D175,D177,D179,D181,D183,D185,D187,D189)=0,"",SUM(D163,D165,D167,D169,D171,D173,D175,D177,D179,D181,D183,D185,D187,D189))</f>
        <v/>
      </c>
      <c r="E191" s="770" t="str">
        <f t="shared" ref="E191:O191" si="152">IF(SUM(E163,E165,E167,E169,E171,E173,E175,E177,E179,E181,E183,E185,E187,E189)=0,"",SUM(E163,E165,E167,E169,E171,E173,E175,E177,E179,E181,E183,E185,E187,E189))</f>
        <v/>
      </c>
      <c r="F191" s="770" t="str">
        <f t="shared" si="152"/>
        <v/>
      </c>
      <c r="G191" s="770" t="str">
        <f t="shared" si="152"/>
        <v/>
      </c>
      <c r="H191" s="770" t="str">
        <f t="shared" si="152"/>
        <v/>
      </c>
      <c r="I191" s="770" t="str">
        <f t="shared" si="152"/>
        <v/>
      </c>
      <c r="J191" s="770" t="str">
        <f t="shared" si="152"/>
        <v/>
      </c>
      <c r="K191" s="770" t="str">
        <f t="shared" si="152"/>
        <v/>
      </c>
      <c r="L191" s="770" t="str">
        <f t="shared" si="152"/>
        <v/>
      </c>
      <c r="M191" s="770" t="str">
        <f t="shared" si="152"/>
        <v/>
      </c>
      <c r="N191" s="770" t="str">
        <f t="shared" si="152"/>
        <v/>
      </c>
      <c r="O191" s="771" t="str">
        <f t="shared" si="152"/>
        <v/>
      </c>
      <c r="P191" s="512" t="str">
        <f t="shared" si="141"/>
        <v>-</v>
      </c>
      <c r="Q191" s="4" t="str">
        <f t="shared" ref="Q191:Q212" si="153">IF(SUM(D191:O191)=0,"-",SUM(D191:O191))</f>
        <v>-</v>
      </c>
    </row>
    <row r="192" spans="1:17" ht="15.75" customHeight="1" thickBot="1" x14ac:dyDescent="0.3">
      <c r="A192" s="868"/>
      <c r="B192" s="982" t="s">
        <v>17</v>
      </c>
      <c r="C192" s="937"/>
      <c r="D192" s="772" t="str">
        <f>IF(D191="","",SUM(D164,D166,D168,D170,D172,D174,D176,D178,D180,D182,D184,D186,D188,D190))</f>
        <v/>
      </c>
      <c r="E192" s="772" t="str">
        <f t="shared" ref="E192" si="154">IF(E191="","",SUM(E164,E166,E168,E170,E172,E174,E176,E178,E180,E182,E184,E186,E188,E190))</f>
        <v/>
      </c>
      <c r="F192" s="773" t="str">
        <f t="shared" ref="F192" si="155">IF(F191="","",SUM(F164,F166,F168,F170,F172,F174,F176,F178,F180,F182,F184,F186,F188,F190))</f>
        <v/>
      </c>
      <c r="G192" s="772" t="str">
        <f t="shared" ref="G192" si="156">IF(G191="","",SUM(G164,G166,G168,G170,G172,G174,G176,G178,G180,G182,G184,G186,G188,G190))</f>
        <v/>
      </c>
      <c r="H192" s="772" t="str">
        <f t="shared" ref="H192" si="157">IF(H191="","",SUM(H164,H166,H168,H170,H172,H174,H176,H178,H180,H182,H184,H186,H188,H190))</f>
        <v/>
      </c>
      <c r="I192" s="772" t="str">
        <f t="shared" ref="I192" si="158">IF(I191="","",SUM(I164,I166,I168,I170,I172,I174,I176,I178,I180,I182,I184,I186,I188,I190))</f>
        <v/>
      </c>
      <c r="J192" s="772" t="str">
        <f t="shared" ref="J192" si="159">IF(J191="","",SUM(J164,J166,J168,J170,J172,J174,J176,J178,J180,J182,J184,J186,J188,J190))</f>
        <v/>
      </c>
      <c r="K192" s="772" t="str">
        <f t="shared" ref="K192" si="160">IF(K191="","",SUM(K164,K166,K168,K170,K172,K174,K176,K178,K180,K182,K184,K186,K188,K190))</f>
        <v/>
      </c>
      <c r="L192" s="772" t="str">
        <f t="shared" ref="L192" si="161">IF(L191="","",SUM(L164,L166,L168,L170,L172,L174,L176,L178,L180,L182,L184,L186,L188,L190))</f>
        <v/>
      </c>
      <c r="M192" s="772" t="str">
        <f t="shared" ref="M192" si="162">IF(M191="","",SUM(M164,M166,M168,M170,M172,M174,M176,M178,M180,M182,M184,M186,M188,M190))</f>
        <v/>
      </c>
      <c r="N192" s="772" t="str">
        <f t="shared" ref="N192" si="163">IF(N191="","",SUM(N164,N166,N168,N170,N172,N174,N176,N178,N180,N182,N184,N186,N188,N190))</f>
        <v/>
      </c>
      <c r="O192" s="774" t="str">
        <f t="shared" ref="O192" si="164">IF(O191="","",SUM(O164,O166,O168,O170,O172,O174,O176,O178,O180,O182,O184,O186,O188,O190))</f>
        <v/>
      </c>
      <c r="P192" s="525" t="str">
        <f t="shared" si="141"/>
        <v>-</v>
      </c>
      <c r="Q192" s="7" t="str">
        <f t="shared" si="153"/>
        <v>-</v>
      </c>
    </row>
    <row r="193" spans="1:17" ht="15" customHeight="1" collapsed="1" x14ac:dyDescent="0.25">
      <c r="A193" s="914" t="s">
        <v>155</v>
      </c>
      <c r="B193" s="960" t="s">
        <v>7</v>
      </c>
      <c r="C193" s="526" t="s">
        <v>21</v>
      </c>
      <c r="D193" s="719" t="str">
        <f>IF(SUM(D8,D39,D70,D101,D132,D163)=0,"",SUM(D8,D39,D70,D101,D132,D163))</f>
        <v/>
      </c>
      <c r="E193" s="719" t="str">
        <f t="shared" ref="E193:O193" si="165">IF(SUM(E8,E39,E70,E101,E132,E163)=0,"",SUM(E8,E39,E70,E101,E132,E163))</f>
        <v/>
      </c>
      <c r="F193" s="719" t="str">
        <f t="shared" si="165"/>
        <v/>
      </c>
      <c r="G193" s="719" t="str">
        <f t="shared" si="165"/>
        <v/>
      </c>
      <c r="H193" s="719" t="str">
        <f t="shared" si="165"/>
        <v/>
      </c>
      <c r="I193" s="719" t="str">
        <f t="shared" si="165"/>
        <v/>
      </c>
      <c r="J193" s="719" t="str">
        <f t="shared" si="165"/>
        <v/>
      </c>
      <c r="K193" s="719" t="str">
        <f t="shared" si="165"/>
        <v/>
      </c>
      <c r="L193" s="719" t="str">
        <f t="shared" si="165"/>
        <v/>
      </c>
      <c r="M193" s="719" t="str">
        <f t="shared" si="165"/>
        <v/>
      </c>
      <c r="N193" s="719" t="str">
        <f t="shared" si="165"/>
        <v/>
      </c>
      <c r="O193" s="720" t="str">
        <f t="shared" si="165"/>
        <v/>
      </c>
      <c r="P193" s="630" t="str">
        <f t="shared" si="141"/>
        <v>-</v>
      </c>
      <c r="Q193" s="5" t="str">
        <f t="shared" si="153"/>
        <v>-</v>
      </c>
    </row>
    <row r="194" spans="1:17" ht="15" customHeight="1" x14ac:dyDescent="0.25">
      <c r="A194" s="915"/>
      <c r="B194" s="824"/>
      <c r="C194" s="17" t="s">
        <v>22</v>
      </c>
      <c r="D194" s="681" t="str">
        <f>IF(SUM(D9,D40,D71,D102,D133,D164)=0,"",SUM(D9,D40,D71,D102,D133,D164))</f>
        <v/>
      </c>
      <c r="E194" s="681" t="str">
        <f t="shared" ref="D194:O209" si="166">IF(SUM(E9,E40,E71,E102,E133,E164)=0,"",SUM(E9,E40,E71,E102,E133,E164))</f>
        <v/>
      </c>
      <c r="F194" s="681" t="str">
        <f t="shared" si="166"/>
        <v/>
      </c>
      <c r="G194" s="681" t="str">
        <f t="shared" si="166"/>
        <v/>
      </c>
      <c r="H194" s="681" t="str">
        <f t="shared" si="166"/>
        <v/>
      </c>
      <c r="I194" s="681" t="str">
        <f t="shared" si="166"/>
        <v/>
      </c>
      <c r="J194" s="681" t="str">
        <f t="shared" si="166"/>
        <v/>
      </c>
      <c r="K194" s="681" t="str">
        <f t="shared" si="166"/>
        <v/>
      </c>
      <c r="L194" s="681" t="str">
        <f t="shared" si="166"/>
        <v/>
      </c>
      <c r="M194" s="681" t="str">
        <f t="shared" si="166"/>
        <v/>
      </c>
      <c r="N194" s="681" t="str">
        <f t="shared" si="166"/>
        <v/>
      </c>
      <c r="O194" s="682" t="str">
        <f t="shared" si="166"/>
        <v/>
      </c>
      <c r="P194" s="511" t="str">
        <f t="shared" si="141"/>
        <v>-</v>
      </c>
      <c r="Q194" s="6" t="str">
        <f t="shared" si="153"/>
        <v>-</v>
      </c>
    </row>
    <row r="195" spans="1:17" ht="15.75" customHeight="1" x14ac:dyDescent="0.25">
      <c r="A195" s="915"/>
      <c r="B195" s="823" t="s">
        <v>8</v>
      </c>
      <c r="C195" s="16" t="s">
        <v>21</v>
      </c>
      <c r="D195" s="624" t="str">
        <f t="shared" si="166"/>
        <v/>
      </c>
      <c r="E195" s="624" t="str">
        <f t="shared" si="166"/>
        <v/>
      </c>
      <c r="F195" s="624" t="str">
        <f t="shared" si="166"/>
        <v/>
      </c>
      <c r="G195" s="624" t="str">
        <f t="shared" si="166"/>
        <v/>
      </c>
      <c r="H195" s="624" t="str">
        <f t="shared" si="166"/>
        <v/>
      </c>
      <c r="I195" s="624" t="str">
        <f t="shared" si="166"/>
        <v/>
      </c>
      <c r="J195" s="624" t="str">
        <f t="shared" si="166"/>
        <v/>
      </c>
      <c r="K195" s="624" t="str">
        <f t="shared" si="166"/>
        <v/>
      </c>
      <c r="L195" s="624" t="str">
        <f t="shared" si="166"/>
        <v/>
      </c>
      <c r="M195" s="624" t="str">
        <f t="shared" si="166"/>
        <v/>
      </c>
      <c r="N195" s="624" t="str">
        <f t="shared" si="166"/>
        <v/>
      </c>
      <c r="O195" s="632" t="str">
        <f t="shared" si="166"/>
        <v/>
      </c>
      <c r="P195" s="512" t="str">
        <f t="shared" si="141"/>
        <v>-</v>
      </c>
      <c r="Q195" s="4" t="str">
        <f t="shared" si="153"/>
        <v>-</v>
      </c>
    </row>
    <row r="196" spans="1:17" ht="15.75" customHeight="1" x14ac:dyDescent="0.25">
      <c r="A196" s="915"/>
      <c r="B196" s="824"/>
      <c r="C196" s="17" t="s">
        <v>22</v>
      </c>
      <c r="D196" s="681" t="str">
        <f t="shared" si="166"/>
        <v/>
      </c>
      <c r="E196" s="681" t="str">
        <f t="shared" si="166"/>
        <v/>
      </c>
      <c r="F196" s="681" t="str">
        <f t="shared" si="166"/>
        <v/>
      </c>
      <c r="G196" s="681" t="str">
        <f t="shared" si="166"/>
        <v/>
      </c>
      <c r="H196" s="681" t="str">
        <f t="shared" si="166"/>
        <v/>
      </c>
      <c r="I196" s="681" t="str">
        <f t="shared" si="166"/>
        <v/>
      </c>
      <c r="J196" s="681" t="str">
        <f t="shared" si="166"/>
        <v/>
      </c>
      <c r="K196" s="681" t="str">
        <f t="shared" si="166"/>
        <v/>
      </c>
      <c r="L196" s="681" t="str">
        <f t="shared" si="166"/>
        <v/>
      </c>
      <c r="M196" s="681" t="str">
        <f t="shared" si="166"/>
        <v/>
      </c>
      <c r="N196" s="681" t="str">
        <f t="shared" si="166"/>
        <v/>
      </c>
      <c r="O196" s="682" t="str">
        <f t="shared" si="166"/>
        <v/>
      </c>
      <c r="P196" s="511" t="str">
        <f t="shared" si="141"/>
        <v>-</v>
      </c>
      <c r="Q196" s="6" t="str">
        <f t="shared" si="153"/>
        <v>-</v>
      </c>
    </row>
    <row r="197" spans="1:17" ht="15.75" customHeight="1" x14ac:dyDescent="0.25">
      <c r="A197" s="915"/>
      <c r="B197" s="823" t="s">
        <v>9</v>
      </c>
      <c r="C197" s="16" t="s">
        <v>21</v>
      </c>
      <c r="D197" s="624" t="str">
        <f t="shared" si="166"/>
        <v/>
      </c>
      <c r="E197" s="624" t="str">
        <f t="shared" si="166"/>
        <v/>
      </c>
      <c r="F197" s="624" t="str">
        <f t="shared" si="166"/>
        <v/>
      </c>
      <c r="G197" s="624" t="str">
        <f t="shared" si="166"/>
        <v/>
      </c>
      <c r="H197" s="624" t="str">
        <f t="shared" si="166"/>
        <v/>
      </c>
      <c r="I197" s="624" t="str">
        <f t="shared" si="166"/>
        <v/>
      </c>
      <c r="J197" s="624" t="str">
        <f t="shared" si="166"/>
        <v/>
      </c>
      <c r="K197" s="624" t="str">
        <f t="shared" si="166"/>
        <v/>
      </c>
      <c r="L197" s="624" t="str">
        <f t="shared" si="166"/>
        <v/>
      </c>
      <c r="M197" s="624" t="str">
        <f t="shared" si="166"/>
        <v/>
      </c>
      <c r="N197" s="624" t="str">
        <f t="shared" si="166"/>
        <v/>
      </c>
      <c r="O197" s="632" t="str">
        <f t="shared" si="166"/>
        <v/>
      </c>
      <c r="P197" s="512" t="str">
        <f t="shared" si="141"/>
        <v>-</v>
      </c>
      <c r="Q197" s="4" t="str">
        <f t="shared" si="153"/>
        <v>-</v>
      </c>
    </row>
    <row r="198" spans="1:17" ht="15.75" x14ac:dyDescent="0.25">
      <c r="A198" s="915"/>
      <c r="B198" s="824"/>
      <c r="C198" s="17" t="s">
        <v>22</v>
      </c>
      <c r="D198" s="681" t="str">
        <f t="shared" si="166"/>
        <v/>
      </c>
      <c r="E198" s="681" t="str">
        <f t="shared" si="166"/>
        <v/>
      </c>
      <c r="F198" s="681" t="str">
        <f t="shared" si="166"/>
        <v/>
      </c>
      <c r="G198" s="681" t="str">
        <f t="shared" si="166"/>
        <v/>
      </c>
      <c r="H198" s="681" t="str">
        <f t="shared" si="166"/>
        <v/>
      </c>
      <c r="I198" s="681" t="str">
        <f t="shared" si="166"/>
        <v/>
      </c>
      <c r="J198" s="681" t="str">
        <f t="shared" si="166"/>
        <v/>
      </c>
      <c r="K198" s="681" t="str">
        <f t="shared" si="166"/>
        <v/>
      </c>
      <c r="L198" s="681" t="str">
        <f t="shared" si="166"/>
        <v/>
      </c>
      <c r="M198" s="681" t="str">
        <f t="shared" si="166"/>
        <v/>
      </c>
      <c r="N198" s="681" t="str">
        <f t="shared" si="166"/>
        <v/>
      </c>
      <c r="O198" s="682" t="str">
        <f t="shared" si="166"/>
        <v/>
      </c>
      <c r="P198" s="511" t="str">
        <f t="shared" si="141"/>
        <v>-</v>
      </c>
      <c r="Q198" s="6" t="str">
        <f t="shared" si="153"/>
        <v>-</v>
      </c>
    </row>
    <row r="199" spans="1:17" ht="15.75" x14ac:dyDescent="0.25">
      <c r="A199" s="915"/>
      <c r="B199" s="823" t="s">
        <v>10</v>
      </c>
      <c r="C199" s="16" t="s">
        <v>21</v>
      </c>
      <c r="D199" s="624" t="str">
        <f t="shared" si="166"/>
        <v/>
      </c>
      <c r="E199" s="624" t="str">
        <f t="shared" si="166"/>
        <v/>
      </c>
      <c r="F199" s="624" t="str">
        <f t="shared" si="166"/>
        <v/>
      </c>
      <c r="G199" s="624" t="str">
        <f t="shared" si="166"/>
        <v/>
      </c>
      <c r="H199" s="624" t="str">
        <f t="shared" si="166"/>
        <v/>
      </c>
      <c r="I199" s="624" t="str">
        <f t="shared" si="166"/>
        <v/>
      </c>
      <c r="J199" s="624" t="str">
        <f t="shared" si="166"/>
        <v/>
      </c>
      <c r="K199" s="624" t="str">
        <f t="shared" si="166"/>
        <v/>
      </c>
      <c r="L199" s="624" t="str">
        <f t="shared" si="166"/>
        <v/>
      </c>
      <c r="M199" s="624" t="str">
        <f t="shared" si="166"/>
        <v/>
      </c>
      <c r="N199" s="624" t="str">
        <f t="shared" si="166"/>
        <v/>
      </c>
      <c r="O199" s="632" t="str">
        <f t="shared" si="166"/>
        <v/>
      </c>
      <c r="P199" s="512" t="str">
        <f t="shared" si="141"/>
        <v>-</v>
      </c>
      <c r="Q199" s="4" t="str">
        <f t="shared" si="153"/>
        <v>-</v>
      </c>
    </row>
    <row r="200" spans="1:17" ht="15" customHeight="1" x14ac:dyDescent="0.25">
      <c r="A200" s="915"/>
      <c r="B200" s="824"/>
      <c r="C200" s="17" t="s">
        <v>22</v>
      </c>
      <c r="D200" s="681" t="str">
        <f t="shared" si="166"/>
        <v/>
      </c>
      <c r="E200" s="681" t="str">
        <f t="shared" si="166"/>
        <v/>
      </c>
      <c r="F200" s="681" t="str">
        <f t="shared" si="166"/>
        <v/>
      </c>
      <c r="G200" s="681" t="str">
        <f t="shared" si="166"/>
        <v/>
      </c>
      <c r="H200" s="681" t="str">
        <f t="shared" si="166"/>
        <v/>
      </c>
      <c r="I200" s="681" t="str">
        <f t="shared" si="166"/>
        <v/>
      </c>
      <c r="J200" s="681" t="str">
        <f t="shared" si="166"/>
        <v/>
      </c>
      <c r="K200" s="681" t="str">
        <f t="shared" si="166"/>
        <v/>
      </c>
      <c r="L200" s="681" t="str">
        <f t="shared" si="166"/>
        <v/>
      </c>
      <c r="M200" s="681" t="str">
        <f t="shared" si="166"/>
        <v/>
      </c>
      <c r="N200" s="681" t="str">
        <f t="shared" si="166"/>
        <v/>
      </c>
      <c r="O200" s="682" t="str">
        <f t="shared" si="166"/>
        <v/>
      </c>
      <c r="P200" s="511" t="str">
        <f t="shared" si="141"/>
        <v>-</v>
      </c>
      <c r="Q200" s="6" t="str">
        <f t="shared" si="153"/>
        <v>-</v>
      </c>
    </row>
    <row r="201" spans="1:17" ht="15" customHeight="1" x14ac:dyDescent="0.25">
      <c r="A201" s="915"/>
      <c r="B201" s="823" t="s">
        <v>11</v>
      </c>
      <c r="C201" s="16" t="s">
        <v>21</v>
      </c>
      <c r="D201" s="624" t="str">
        <f t="shared" si="166"/>
        <v/>
      </c>
      <c r="E201" s="624" t="str">
        <f t="shared" si="166"/>
        <v/>
      </c>
      <c r="F201" s="624" t="str">
        <f t="shared" si="166"/>
        <v/>
      </c>
      <c r="G201" s="624" t="str">
        <f t="shared" si="166"/>
        <v/>
      </c>
      <c r="H201" s="624" t="str">
        <f t="shared" si="166"/>
        <v/>
      </c>
      <c r="I201" s="624" t="str">
        <f t="shared" si="166"/>
        <v/>
      </c>
      <c r="J201" s="624" t="str">
        <f t="shared" si="166"/>
        <v/>
      </c>
      <c r="K201" s="624" t="str">
        <f t="shared" si="166"/>
        <v/>
      </c>
      <c r="L201" s="624" t="str">
        <f t="shared" si="166"/>
        <v/>
      </c>
      <c r="M201" s="624" t="str">
        <f t="shared" si="166"/>
        <v/>
      </c>
      <c r="N201" s="624" t="str">
        <f t="shared" si="166"/>
        <v/>
      </c>
      <c r="O201" s="632" t="str">
        <f t="shared" si="166"/>
        <v/>
      </c>
      <c r="P201" s="512" t="str">
        <f t="shared" si="141"/>
        <v>-</v>
      </c>
      <c r="Q201" s="4" t="str">
        <f t="shared" si="153"/>
        <v>-</v>
      </c>
    </row>
    <row r="202" spans="1:17" ht="15" customHeight="1" x14ac:dyDescent="0.25">
      <c r="A202" s="915"/>
      <c r="B202" s="824"/>
      <c r="C202" s="17" t="s">
        <v>22</v>
      </c>
      <c r="D202" s="681" t="str">
        <f t="shared" si="166"/>
        <v/>
      </c>
      <c r="E202" s="681" t="str">
        <f t="shared" si="166"/>
        <v/>
      </c>
      <c r="F202" s="681" t="str">
        <f t="shared" si="166"/>
        <v/>
      </c>
      <c r="G202" s="681" t="str">
        <f t="shared" si="166"/>
        <v/>
      </c>
      <c r="H202" s="681" t="str">
        <f t="shared" si="166"/>
        <v/>
      </c>
      <c r="I202" s="681" t="str">
        <f t="shared" si="166"/>
        <v/>
      </c>
      <c r="J202" s="681" t="str">
        <f t="shared" si="166"/>
        <v/>
      </c>
      <c r="K202" s="681" t="str">
        <f t="shared" si="166"/>
        <v/>
      </c>
      <c r="L202" s="681" t="str">
        <f t="shared" si="166"/>
        <v/>
      </c>
      <c r="M202" s="681" t="str">
        <f t="shared" si="166"/>
        <v/>
      </c>
      <c r="N202" s="681" t="str">
        <f t="shared" si="166"/>
        <v/>
      </c>
      <c r="O202" s="682" t="str">
        <f t="shared" si="166"/>
        <v/>
      </c>
      <c r="P202" s="511" t="str">
        <f t="shared" si="141"/>
        <v>-</v>
      </c>
      <c r="Q202" s="6" t="str">
        <f t="shared" si="153"/>
        <v>-</v>
      </c>
    </row>
    <row r="203" spans="1:17" ht="15" customHeight="1" x14ac:dyDescent="0.25">
      <c r="A203" s="915"/>
      <c r="B203" s="823" t="s">
        <v>12</v>
      </c>
      <c r="C203" s="16" t="s">
        <v>21</v>
      </c>
      <c r="D203" s="624" t="str">
        <f t="shared" si="166"/>
        <v/>
      </c>
      <c r="E203" s="624" t="str">
        <f t="shared" si="166"/>
        <v/>
      </c>
      <c r="F203" s="624" t="str">
        <f t="shared" si="166"/>
        <v/>
      </c>
      <c r="G203" s="624" t="str">
        <f t="shared" si="166"/>
        <v/>
      </c>
      <c r="H203" s="624" t="str">
        <f t="shared" si="166"/>
        <v/>
      </c>
      <c r="I203" s="624" t="str">
        <f t="shared" si="166"/>
        <v/>
      </c>
      <c r="J203" s="624" t="str">
        <f t="shared" si="166"/>
        <v/>
      </c>
      <c r="K203" s="624" t="str">
        <f t="shared" si="166"/>
        <v/>
      </c>
      <c r="L203" s="624" t="str">
        <f t="shared" si="166"/>
        <v/>
      </c>
      <c r="M203" s="624" t="str">
        <f t="shared" si="166"/>
        <v/>
      </c>
      <c r="N203" s="624" t="str">
        <f t="shared" si="166"/>
        <v/>
      </c>
      <c r="O203" s="632" t="str">
        <f t="shared" si="166"/>
        <v/>
      </c>
      <c r="P203" s="512" t="str">
        <f t="shared" si="141"/>
        <v>-</v>
      </c>
      <c r="Q203" s="4" t="str">
        <f t="shared" si="153"/>
        <v>-</v>
      </c>
    </row>
    <row r="204" spans="1:17" ht="15" customHeight="1" x14ac:dyDescent="0.25">
      <c r="A204" s="915"/>
      <c r="B204" s="824"/>
      <c r="C204" s="17" t="s">
        <v>22</v>
      </c>
      <c r="D204" s="681" t="str">
        <f t="shared" si="166"/>
        <v/>
      </c>
      <c r="E204" s="681" t="str">
        <f t="shared" si="166"/>
        <v/>
      </c>
      <c r="F204" s="681" t="str">
        <f t="shared" si="166"/>
        <v/>
      </c>
      <c r="G204" s="681" t="str">
        <f t="shared" si="166"/>
        <v/>
      </c>
      <c r="H204" s="681" t="str">
        <f t="shared" si="166"/>
        <v/>
      </c>
      <c r="I204" s="681" t="str">
        <f t="shared" si="166"/>
        <v/>
      </c>
      <c r="J204" s="681" t="str">
        <f t="shared" si="166"/>
        <v/>
      </c>
      <c r="K204" s="681" t="str">
        <f t="shared" si="166"/>
        <v/>
      </c>
      <c r="L204" s="681" t="str">
        <f t="shared" si="166"/>
        <v/>
      </c>
      <c r="M204" s="681" t="str">
        <f t="shared" si="166"/>
        <v/>
      </c>
      <c r="N204" s="681" t="str">
        <f t="shared" si="166"/>
        <v/>
      </c>
      <c r="O204" s="682" t="str">
        <f t="shared" si="166"/>
        <v/>
      </c>
      <c r="P204" s="511" t="str">
        <f t="shared" si="141"/>
        <v>-</v>
      </c>
      <c r="Q204" s="6" t="str">
        <f t="shared" si="153"/>
        <v>-</v>
      </c>
    </row>
    <row r="205" spans="1:17" ht="15.75" x14ac:dyDescent="0.25">
      <c r="A205" s="915"/>
      <c r="B205" s="823" t="s">
        <v>15</v>
      </c>
      <c r="C205" s="16" t="s">
        <v>21</v>
      </c>
      <c r="D205" s="624" t="str">
        <f t="shared" si="166"/>
        <v/>
      </c>
      <c r="E205" s="624" t="str">
        <f t="shared" si="166"/>
        <v/>
      </c>
      <c r="F205" s="624" t="str">
        <f t="shared" si="166"/>
        <v/>
      </c>
      <c r="G205" s="624" t="str">
        <f t="shared" si="166"/>
        <v/>
      </c>
      <c r="H205" s="624" t="str">
        <f t="shared" si="166"/>
        <v/>
      </c>
      <c r="I205" s="624" t="str">
        <f t="shared" si="166"/>
        <v/>
      </c>
      <c r="J205" s="624" t="str">
        <f t="shared" si="166"/>
        <v/>
      </c>
      <c r="K205" s="624" t="str">
        <f t="shared" si="166"/>
        <v/>
      </c>
      <c r="L205" s="624" t="str">
        <f t="shared" si="166"/>
        <v/>
      </c>
      <c r="M205" s="624" t="str">
        <f t="shared" si="166"/>
        <v/>
      </c>
      <c r="N205" s="624" t="str">
        <f t="shared" si="166"/>
        <v/>
      </c>
      <c r="O205" s="632" t="str">
        <f t="shared" si="166"/>
        <v/>
      </c>
      <c r="P205" s="512" t="str">
        <f t="shared" si="141"/>
        <v>-</v>
      </c>
      <c r="Q205" s="4" t="str">
        <f t="shared" si="153"/>
        <v>-</v>
      </c>
    </row>
    <row r="206" spans="1:17" ht="15.75" x14ac:dyDescent="0.25">
      <c r="A206" s="915"/>
      <c r="B206" s="824"/>
      <c r="C206" s="17" t="s">
        <v>22</v>
      </c>
      <c r="D206" s="681" t="str">
        <f t="shared" si="166"/>
        <v/>
      </c>
      <c r="E206" s="681" t="str">
        <f t="shared" si="166"/>
        <v/>
      </c>
      <c r="F206" s="681" t="str">
        <f t="shared" si="166"/>
        <v/>
      </c>
      <c r="G206" s="681" t="str">
        <f t="shared" si="166"/>
        <v/>
      </c>
      <c r="H206" s="681" t="str">
        <f t="shared" si="166"/>
        <v/>
      </c>
      <c r="I206" s="681" t="str">
        <f t="shared" si="166"/>
        <v/>
      </c>
      <c r="J206" s="681" t="str">
        <f t="shared" si="166"/>
        <v/>
      </c>
      <c r="K206" s="681" t="str">
        <f t="shared" si="166"/>
        <v/>
      </c>
      <c r="L206" s="681" t="str">
        <f t="shared" si="166"/>
        <v/>
      </c>
      <c r="M206" s="681" t="str">
        <f t="shared" si="166"/>
        <v/>
      </c>
      <c r="N206" s="681" t="str">
        <f t="shared" si="166"/>
        <v/>
      </c>
      <c r="O206" s="682" t="str">
        <f t="shared" si="166"/>
        <v/>
      </c>
      <c r="P206" s="511" t="str">
        <f t="shared" si="141"/>
        <v>-</v>
      </c>
      <c r="Q206" s="6" t="str">
        <f t="shared" si="153"/>
        <v>-</v>
      </c>
    </row>
    <row r="207" spans="1:17" ht="15.75" x14ac:dyDescent="0.25">
      <c r="A207" s="915"/>
      <c r="B207" s="823" t="s">
        <v>13</v>
      </c>
      <c r="C207" s="16" t="s">
        <v>21</v>
      </c>
      <c r="D207" s="624" t="str">
        <f t="shared" si="166"/>
        <v/>
      </c>
      <c r="E207" s="624" t="str">
        <f t="shared" si="166"/>
        <v/>
      </c>
      <c r="F207" s="624" t="str">
        <f t="shared" si="166"/>
        <v/>
      </c>
      <c r="G207" s="624" t="str">
        <f t="shared" si="166"/>
        <v/>
      </c>
      <c r="H207" s="624" t="str">
        <f t="shared" si="166"/>
        <v/>
      </c>
      <c r="I207" s="624" t="str">
        <f t="shared" si="166"/>
        <v/>
      </c>
      <c r="J207" s="624" t="str">
        <f t="shared" si="166"/>
        <v/>
      </c>
      <c r="K207" s="624" t="str">
        <f t="shared" si="166"/>
        <v/>
      </c>
      <c r="L207" s="624" t="str">
        <f t="shared" si="166"/>
        <v/>
      </c>
      <c r="M207" s="624" t="str">
        <f t="shared" si="166"/>
        <v/>
      </c>
      <c r="N207" s="624" t="str">
        <f t="shared" si="166"/>
        <v/>
      </c>
      <c r="O207" s="632" t="str">
        <f t="shared" si="166"/>
        <v/>
      </c>
      <c r="P207" s="512" t="str">
        <f t="shared" si="141"/>
        <v>-</v>
      </c>
      <c r="Q207" s="4" t="str">
        <f t="shared" si="153"/>
        <v>-</v>
      </c>
    </row>
    <row r="208" spans="1:17" ht="15.75" x14ac:dyDescent="0.25">
      <c r="A208" s="915"/>
      <c r="B208" s="824"/>
      <c r="C208" s="17" t="s">
        <v>22</v>
      </c>
      <c r="D208" s="681" t="str">
        <f t="shared" si="166"/>
        <v/>
      </c>
      <c r="E208" s="681" t="str">
        <f t="shared" si="166"/>
        <v/>
      </c>
      <c r="F208" s="681" t="str">
        <f t="shared" si="166"/>
        <v/>
      </c>
      <c r="G208" s="681" t="str">
        <f t="shared" si="166"/>
        <v/>
      </c>
      <c r="H208" s="681" t="str">
        <f t="shared" si="166"/>
        <v/>
      </c>
      <c r="I208" s="681" t="str">
        <f t="shared" si="166"/>
        <v/>
      </c>
      <c r="J208" s="681" t="str">
        <f t="shared" si="166"/>
        <v/>
      </c>
      <c r="K208" s="681" t="str">
        <f t="shared" si="166"/>
        <v/>
      </c>
      <c r="L208" s="681" t="str">
        <f t="shared" si="166"/>
        <v/>
      </c>
      <c r="M208" s="681" t="str">
        <f t="shared" si="166"/>
        <v/>
      </c>
      <c r="N208" s="681" t="str">
        <f t="shared" si="166"/>
        <v/>
      </c>
      <c r="O208" s="682" t="str">
        <f t="shared" si="166"/>
        <v/>
      </c>
      <c r="P208" s="511" t="str">
        <f t="shared" si="141"/>
        <v>-</v>
      </c>
      <c r="Q208" s="6" t="str">
        <f t="shared" si="153"/>
        <v>-</v>
      </c>
    </row>
    <row r="209" spans="1:17" ht="15.75" x14ac:dyDescent="0.25">
      <c r="A209" s="915"/>
      <c r="B209" s="823" t="s">
        <v>20</v>
      </c>
      <c r="C209" s="16" t="s">
        <v>21</v>
      </c>
      <c r="D209" s="624" t="str">
        <f t="shared" si="166"/>
        <v/>
      </c>
      <c r="E209" s="624" t="str">
        <f t="shared" si="166"/>
        <v/>
      </c>
      <c r="F209" s="624" t="str">
        <f t="shared" si="166"/>
        <v/>
      </c>
      <c r="G209" s="624" t="str">
        <f t="shared" si="166"/>
        <v/>
      </c>
      <c r="H209" s="624" t="str">
        <f t="shared" si="166"/>
        <v/>
      </c>
      <c r="I209" s="624" t="str">
        <f t="shared" si="166"/>
        <v/>
      </c>
      <c r="J209" s="624" t="str">
        <f t="shared" si="166"/>
        <v/>
      </c>
      <c r="K209" s="624" t="str">
        <f t="shared" si="166"/>
        <v/>
      </c>
      <c r="L209" s="624" t="str">
        <f t="shared" si="166"/>
        <v/>
      </c>
      <c r="M209" s="624" t="str">
        <f t="shared" si="166"/>
        <v/>
      </c>
      <c r="N209" s="624" t="str">
        <f t="shared" si="166"/>
        <v/>
      </c>
      <c r="O209" s="632" t="str">
        <f t="shared" si="166"/>
        <v/>
      </c>
      <c r="P209" s="512" t="str">
        <f t="shared" si="141"/>
        <v>-</v>
      </c>
      <c r="Q209" s="4" t="str">
        <f t="shared" si="153"/>
        <v>-</v>
      </c>
    </row>
    <row r="210" spans="1:17" ht="15.75" x14ac:dyDescent="0.25">
      <c r="A210" s="915"/>
      <c r="B210" s="824"/>
      <c r="C210" s="17" t="s">
        <v>22</v>
      </c>
      <c r="D210" s="681" t="str">
        <f t="shared" ref="D210:O220" si="167">IF(SUM(D25,D56,D87,D118,D149,D180)=0,"",SUM(D25,D56,D87,D118,D149,D180))</f>
        <v/>
      </c>
      <c r="E210" s="681" t="str">
        <f t="shared" si="167"/>
        <v/>
      </c>
      <c r="F210" s="681" t="str">
        <f t="shared" si="167"/>
        <v/>
      </c>
      <c r="G210" s="681" t="str">
        <f t="shared" si="167"/>
        <v/>
      </c>
      <c r="H210" s="681" t="str">
        <f t="shared" si="167"/>
        <v/>
      </c>
      <c r="I210" s="681" t="str">
        <f t="shared" si="167"/>
        <v/>
      </c>
      <c r="J210" s="681" t="str">
        <f t="shared" si="167"/>
        <v/>
      </c>
      <c r="K210" s="681" t="str">
        <f t="shared" si="167"/>
        <v/>
      </c>
      <c r="L210" s="681" t="str">
        <f t="shared" si="167"/>
        <v/>
      </c>
      <c r="M210" s="681" t="str">
        <f t="shared" si="167"/>
        <v/>
      </c>
      <c r="N210" s="681" t="str">
        <f t="shared" si="167"/>
        <v/>
      </c>
      <c r="O210" s="682" t="str">
        <f t="shared" si="167"/>
        <v/>
      </c>
      <c r="P210" s="511" t="str">
        <f t="shared" si="141"/>
        <v>-</v>
      </c>
      <c r="Q210" s="6" t="str">
        <f t="shared" si="153"/>
        <v>-</v>
      </c>
    </row>
    <row r="211" spans="1:17" ht="15.75" x14ac:dyDescent="0.25">
      <c r="A211" s="915"/>
      <c r="B211" s="823" t="s">
        <v>1</v>
      </c>
      <c r="C211" s="16" t="s">
        <v>21</v>
      </c>
      <c r="D211" s="624" t="str">
        <f t="shared" si="167"/>
        <v/>
      </c>
      <c r="E211" s="624" t="str">
        <f t="shared" si="167"/>
        <v/>
      </c>
      <c r="F211" s="624" t="str">
        <f t="shared" si="167"/>
        <v/>
      </c>
      <c r="G211" s="624" t="str">
        <f t="shared" si="167"/>
        <v/>
      </c>
      <c r="H211" s="624" t="str">
        <f t="shared" si="167"/>
        <v/>
      </c>
      <c r="I211" s="624" t="str">
        <f t="shared" si="167"/>
        <v/>
      </c>
      <c r="J211" s="624" t="str">
        <f t="shared" si="167"/>
        <v/>
      </c>
      <c r="K211" s="624" t="str">
        <f t="shared" si="167"/>
        <v/>
      </c>
      <c r="L211" s="624" t="str">
        <f t="shared" si="167"/>
        <v/>
      </c>
      <c r="M211" s="624" t="str">
        <f t="shared" si="167"/>
        <v/>
      </c>
      <c r="N211" s="624" t="str">
        <f t="shared" si="167"/>
        <v/>
      </c>
      <c r="O211" s="632" t="str">
        <f t="shared" si="167"/>
        <v/>
      </c>
      <c r="P211" s="512" t="str">
        <f t="shared" si="141"/>
        <v>-</v>
      </c>
      <c r="Q211" s="4" t="str">
        <f t="shared" si="153"/>
        <v>-</v>
      </c>
    </row>
    <row r="212" spans="1:17" ht="15.75" x14ac:dyDescent="0.25">
      <c r="A212" s="915"/>
      <c r="B212" s="824"/>
      <c r="C212" s="17" t="s">
        <v>22</v>
      </c>
      <c r="D212" s="681" t="str">
        <f t="shared" si="167"/>
        <v/>
      </c>
      <c r="E212" s="681" t="str">
        <f t="shared" si="167"/>
        <v/>
      </c>
      <c r="F212" s="681" t="str">
        <f t="shared" si="167"/>
        <v/>
      </c>
      <c r="G212" s="681" t="str">
        <f t="shared" si="167"/>
        <v/>
      </c>
      <c r="H212" s="681" t="str">
        <f t="shared" si="167"/>
        <v/>
      </c>
      <c r="I212" s="681" t="str">
        <f t="shared" si="167"/>
        <v/>
      </c>
      <c r="J212" s="681" t="str">
        <f t="shared" si="167"/>
        <v/>
      </c>
      <c r="K212" s="681" t="str">
        <f t="shared" si="167"/>
        <v/>
      </c>
      <c r="L212" s="681" t="str">
        <f t="shared" si="167"/>
        <v/>
      </c>
      <c r="M212" s="681" t="str">
        <f t="shared" si="167"/>
        <v/>
      </c>
      <c r="N212" s="681" t="str">
        <f t="shared" si="167"/>
        <v/>
      </c>
      <c r="O212" s="682" t="str">
        <f t="shared" si="167"/>
        <v/>
      </c>
      <c r="P212" s="511" t="str">
        <f t="shared" si="141"/>
        <v>-</v>
      </c>
      <c r="Q212" s="6" t="str">
        <f t="shared" si="153"/>
        <v>-</v>
      </c>
    </row>
    <row r="213" spans="1:17" ht="15.75" x14ac:dyDescent="0.25">
      <c r="A213" s="915"/>
      <c r="B213" s="823" t="str">
        <f>IF($B$28="OTHER (RENAME)","OTHER",$B$28)</f>
        <v>OTHER</v>
      </c>
      <c r="C213" s="18" t="s">
        <v>21</v>
      </c>
      <c r="D213" s="624" t="str">
        <f t="shared" si="167"/>
        <v/>
      </c>
      <c r="E213" s="624" t="str">
        <f t="shared" si="167"/>
        <v/>
      </c>
      <c r="F213" s="624" t="str">
        <f t="shared" si="167"/>
        <v/>
      </c>
      <c r="G213" s="624" t="str">
        <f t="shared" si="167"/>
        <v/>
      </c>
      <c r="H213" s="624" t="str">
        <f t="shared" si="167"/>
        <v/>
      </c>
      <c r="I213" s="624" t="str">
        <f t="shared" si="167"/>
        <v/>
      </c>
      <c r="J213" s="624" t="str">
        <f t="shared" si="167"/>
        <v/>
      </c>
      <c r="K213" s="624" t="str">
        <f t="shared" si="167"/>
        <v/>
      </c>
      <c r="L213" s="624" t="str">
        <f t="shared" si="167"/>
        <v/>
      </c>
      <c r="M213" s="624" t="str">
        <f t="shared" si="167"/>
        <v/>
      </c>
      <c r="N213" s="624" t="str">
        <f t="shared" si="167"/>
        <v/>
      </c>
      <c r="O213" s="632" t="str">
        <f t="shared" si="167"/>
        <v/>
      </c>
      <c r="P213" s="512" t="str">
        <f t="shared" si="141"/>
        <v>-</v>
      </c>
      <c r="Q213" s="4" t="str">
        <f t="shared" ref="Q213:Q214" si="168">IF(SUM(D213:O213)=0,"-",SUM(D213:O213))</f>
        <v>-</v>
      </c>
    </row>
    <row r="214" spans="1:17" ht="15.75" x14ac:dyDescent="0.25">
      <c r="A214" s="915"/>
      <c r="B214" s="824"/>
      <c r="C214" s="18" t="s">
        <v>22</v>
      </c>
      <c r="D214" s="681" t="str">
        <f t="shared" si="167"/>
        <v/>
      </c>
      <c r="E214" s="681" t="str">
        <f t="shared" si="167"/>
        <v/>
      </c>
      <c r="F214" s="681" t="str">
        <f t="shared" si="167"/>
        <v/>
      </c>
      <c r="G214" s="681" t="str">
        <f t="shared" si="167"/>
        <v/>
      </c>
      <c r="H214" s="681" t="str">
        <f t="shared" si="167"/>
        <v/>
      </c>
      <c r="I214" s="681" t="str">
        <f t="shared" si="167"/>
        <v/>
      </c>
      <c r="J214" s="681" t="str">
        <f t="shared" si="167"/>
        <v/>
      </c>
      <c r="K214" s="681" t="str">
        <f t="shared" si="167"/>
        <v/>
      </c>
      <c r="L214" s="681" t="str">
        <f t="shared" si="167"/>
        <v/>
      </c>
      <c r="M214" s="681" t="str">
        <f t="shared" si="167"/>
        <v/>
      </c>
      <c r="N214" s="681" t="str">
        <f t="shared" si="167"/>
        <v/>
      </c>
      <c r="O214" s="682" t="str">
        <f t="shared" si="167"/>
        <v/>
      </c>
      <c r="P214" s="511" t="str">
        <f t="shared" si="141"/>
        <v>-</v>
      </c>
      <c r="Q214" s="6" t="str">
        <f t="shared" si="168"/>
        <v>-</v>
      </c>
    </row>
    <row r="215" spans="1:17" ht="15.75" x14ac:dyDescent="0.25">
      <c r="A215" s="915"/>
      <c r="B215" s="823" t="str">
        <f>IF($B$30="OTHER (RENAME)","OTHER",$B$30)</f>
        <v>OTHER</v>
      </c>
      <c r="C215" s="16" t="s">
        <v>21</v>
      </c>
      <c r="D215" s="624" t="str">
        <f t="shared" si="167"/>
        <v/>
      </c>
      <c r="E215" s="624" t="str">
        <f t="shared" si="167"/>
        <v/>
      </c>
      <c r="F215" s="624" t="str">
        <f t="shared" si="167"/>
        <v/>
      </c>
      <c r="G215" s="624" t="str">
        <f t="shared" si="167"/>
        <v/>
      </c>
      <c r="H215" s="624" t="str">
        <f t="shared" si="167"/>
        <v/>
      </c>
      <c r="I215" s="624" t="str">
        <f t="shared" si="167"/>
        <v/>
      </c>
      <c r="J215" s="624" t="str">
        <f t="shared" si="167"/>
        <v/>
      </c>
      <c r="K215" s="624" t="str">
        <f t="shared" si="167"/>
        <v/>
      </c>
      <c r="L215" s="624" t="str">
        <f t="shared" si="167"/>
        <v/>
      </c>
      <c r="M215" s="624" t="str">
        <f t="shared" si="167"/>
        <v/>
      </c>
      <c r="N215" s="624" t="str">
        <f t="shared" si="167"/>
        <v/>
      </c>
      <c r="O215" s="632" t="str">
        <f t="shared" si="167"/>
        <v/>
      </c>
      <c r="P215" s="512" t="str">
        <f t="shared" si="141"/>
        <v>-</v>
      </c>
      <c r="Q215" s="4" t="str">
        <f t="shared" ref="Q215:Q220" si="169">IF(SUM(D215:O215)=0,"-",SUM(D215:O215))</f>
        <v>-</v>
      </c>
    </row>
    <row r="216" spans="1:17" ht="15.75" x14ac:dyDescent="0.25">
      <c r="A216" s="915"/>
      <c r="B216" s="824"/>
      <c r="C216" s="17" t="s">
        <v>22</v>
      </c>
      <c r="D216" s="681" t="str">
        <f t="shared" si="167"/>
        <v/>
      </c>
      <c r="E216" s="681" t="str">
        <f t="shared" si="167"/>
        <v/>
      </c>
      <c r="F216" s="681" t="str">
        <f t="shared" si="167"/>
        <v/>
      </c>
      <c r="G216" s="681" t="str">
        <f t="shared" si="167"/>
        <v/>
      </c>
      <c r="H216" s="681" t="str">
        <f t="shared" si="167"/>
        <v/>
      </c>
      <c r="I216" s="681" t="str">
        <f t="shared" si="167"/>
        <v/>
      </c>
      <c r="J216" s="681" t="str">
        <f t="shared" si="167"/>
        <v/>
      </c>
      <c r="K216" s="681" t="str">
        <f t="shared" si="167"/>
        <v/>
      </c>
      <c r="L216" s="681" t="str">
        <f t="shared" si="167"/>
        <v/>
      </c>
      <c r="M216" s="681" t="str">
        <f t="shared" si="167"/>
        <v/>
      </c>
      <c r="N216" s="681" t="str">
        <f t="shared" si="167"/>
        <v/>
      </c>
      <c r="O216" s="682" t="str">
        <f t="shared" si="167"/>
        <v/>
      </c>
      <c r="P216" s="511" t="str">
        <f t="shared" si="141"/>
        <v>-</v>
      </c>
      <c r="Q216" s="6" t="str">
        <f t="shared" si="169"/>
        <v>-</v>
      </c>
    </row>
    <row r="217" spans="1:17" ht="15.75" x14ac:dyDescent="0.25">
      <c r="A217" s="915"/>
      <c r="B217" s="823" t="str">
        <f>IF($B$32="OTHER (RENAME)","OTHER",$B$32)</f>
        <v>OTHER</v>
      </c>
      <c r="C217" s="16" t="s">
        <v>21</v>
      </c>
      <c r="D217" s="624" t="str">
        <f t="shared" si="167"/>
        <v/>
      </c>
      <c r="E217" s="624" t="str">
        <f t="shared" si="167"/>
        <v/>
      </c>
      <c r="F217" s="624" t="str">
        <f t="shared" si="167"/>
        <v/>
      </c>
      <c r="G217" s="624" t="str">
        <f t="shared" si="167"/>
        <v/>
      </c>
      <c r="H217" s="624" t="str">
        <f t="shared" si="167"/>
        <v/>
      </c>
      <c r="I217" s="624" t="str">
        <f t="shared" si="167"/>
        <v/>
      </c>
      <c r="J217" s="624" t="str">
        <f t="shared" si="167"/>
        <v/>
      </c>
      <c r="K217" s="624" t="str">
        <f t="shared" si="167"/>
        <v/>
      </c>
      <c r="L217" s="624" t="str">
        <f t="shared" si="167"/>
        <v/>
      </c>
      <c r="M217" s="624" t="str">
        <f t="shared" si="167"/>
        <v/>
      </c>
      <c r="N217" s="624" t="str">
        <f t="shared" si="167"/>
        <v/>
      </c>
      <c r="O217" s="632" t="str">
        <f t="shared" si="167"/>
        <v/>
      </c>
      <c r="P217" s="512" t="str">
        <f t="shared" si="141"/>
        <v>-</v>
      </c>
      <c r="Q217" s="4" t="str">
        <f t="shared" si="169"/>
        <v>-</v>
      </c>
    </row>
    <row r="218" spans="1:17" ht="15.75" x14ac:dyDescent="0.25">
      <c r="A218" s="915"/>
      <c r="B218" s="824"/>
      <c r="C218" s="17" t="s">
        <v>22</v>
      </c>
      <c r="D218" s="681" t="str">
        <f>IF(SUM(D33,D64,D95,D126,D157,D188)=0,"",SUM(D33,D64,D95,D126,D157,D188))</f>
        <v/>
      </c>
      <c r="E218" s="681" t="str">
        <f t="shared" ref="E218:O218" si="170">IF(SUM(E33,E64,E95,E126,E157,E188)=0,"",SUM(E33,E64,E95,E126,E157,E188))</f>
        <v/>
      </c>
      <c r="F218" s="681" t="str">
        <f t="shared" si="170"/>
        <v/>
      </c>
      <c r="G218" s="681" t="str">
        <f t="shared" si="170"/>
        <v/>
      </c>
      <c r="H218" s="681" t="str">
        <f t="shared" si="170"/>
        <v/>
      </c>
      <c r="I218" s="681" t="str">
        <f t="shared" si="170"/>
        <v/>
      </c>
      <c r="J218" s="681" t="str">
        <f t="shared" si="170"/>
        <v/>
      </c>
      <c r="K218" s="681" t="str">
        <f t="shared" si="170"/>
        <v/>
      </c>
      <c r="L218" s="681" t="str">
        <f t="shared" si="170"/>
        <v/>
      </c>
      <c r="M218" s="681" t="str">
        <f t="shared" si="170"/>
        <v/>
      </c>
      <c r="N218" s="681" t="str">
        <f t="shared" si="170"/>
        <v/>
      </c>
      <c r="O218" s="682" t="str">
        <f t="shared" si="170"/>
        <v/>
      </c>
      <c r="P218" s="511" t="str">
        <f t="shared" si="141"/>
        <v>-</v>
      </c>
      <c r="Q218" s="6" t="str">
        <f t="shared" si="169"/>
        <v>-</v>
      </c>
    </row>
    <row r="219" spans="1:17" ht="15.75" x14ac:dyDescent="0.25">
      <c r="A219" s="915"/>
      <c r="B219" s="823" t="str">
        <f>IF($B$34="OTHER (RENAME)","OTHER",$B$34)</f>
        <v>OTHER</v>
      </c>
      <c r="C219" s="16" t="s">
        <v>21</v>
      </c>
      <c r="D219" s="624" t="str">
        <f t="shared" si="167"/>
        <v/>
      </c>
      <c r="E219" s="624" t="str">
        <f t="shared" si="167"/>
        <v/>
      </c>
      <c r="F219" s="624" t="str">
        <f t="shared" si="167"/>
        <v/>
      </c>
      <c r="G219" s="624" t="str">
        <f t="shared" si="167"/>
        <v/>
      </c>
      <c r="H219" s="624" t="str">
        <f t="shared" si="167"/>
        <v/>
      </c>
      <c r="I219" s="624" t="str">
        <f t="shared" si="167"/>
        <v/>
      </c>
      <c r="J219" s="624" t="str">
        <f t="shared" si="167"/>
        <v/>
      </c>
      <c r="K219" s="624" t="str">
        <f t="shared" si="167"/>
        <v/>
      </c>
      <c r="L219" s="624" t="str">
        <f t="shared" si="167"/>
        <v/>
      </c>
      <c r="M219" s="624" t="str">
        <f t="shared" si="167"/>
        <v/>
      </c>
      <c r="N219" s="624" t="str">
        <f t="shared" si="167"/>
        <v/>
      </c>
      <c r="O219" s="632" t="str">
        <f t="shared" si="167"/>
        <v/>
      </c>
      <c r="P219" s="512" t="str">
        <f t="shared" si="141"/>
        <v>-</v>
      </c>
      <c r="Q219" s="4" t="str">
        <f t="shared" si="169"/>
        <v>-</v>
      </c>
    </row>
    <row r="220" spans="1:17" ht="15.75" x14ac:dyDescent="0.25">
      <c r="A220" s="915"/>
      <c r="B220" s="824"/>
      <c r="C220" s="17" t="s">
        <v>22</v>
      </c>
      <c r="D220" s="681" t="str">
        <f t="shared" si="167"/>
        <v/>
      </c>
      <c r="E220" s="681" t="str">
        <f t="shared" si="167"/>
        <v/>
      </c>
      <c r="F220" s="681" t="str">
        <f t="shared" si="167"/>
        <v/>
      </c>
      <c r="G220" s="681" t="str">
        <f t="shared" si="167"/>
        <v/>
      </c>
      <c r="H220" s="681" t="str">
        <f t="shared" si="167"/>
        <v/>
      </c>
      <c r="I220" s="681" t="str">
        <f t="shared" si="167"/>
        <v/>
      </c>
      <c r="J220" s="681" t="str">
        <f t="shared" si="167"/>
        <v/>
      </c>
      <c r="K220" s="681" t="str">
        <f t="shared" si="167"/>
        <v/>
      </c>
      <c r="L220" s="681" t="str">
        <f t="shared" si="167"/>
        <v/>
      </c>
      <c r="M220" s="681" t="str">
        <f t="shared" si="167"/>
        <v/>
      </c>
      <c r="N220" s="681" t="str">
        <f t="shared" si="167"/>
        <v/>
      </c>
      <c r="O220" s="682" t="str">
        <f t="shared" si="167"/>
        <v/>
      </c>
      <c r="P220" s="511" t="str">
        <f t="shared" si="141"/>
        <v>-</v>
      </c>
      <c r="Q220" s="6" t="str">
        <f t="shared" si="169"/>
        <v>-</v>
      </c>
    </row>
    <row r="221" spans="1:17" ht="15.75" x14ac:dyDescent="0.25">
      <c r="A221" s="915"/>
      <c r="B221" s="923" t="s">
        <v>172</v>
      </c>
      <c r="C221" s="924"/>
      <c r="D221" s="546" t="str">
        <f>IF(SUM(D193,D195)=0,"",SUM(D193,D195))</f>
        <v/>
      </c>
      <c r="E221" s="546" t="str">
        <f t="shared" ref="E221:O221" si="171">IF(SUM(E193,E195)=0,"",SUM(E193,E195))</f>
        <v/>
      </c>
      <c r="F221" s="546" t="str">
        <f t="shared" si="171"/>
        <v/>
      </c>
      <c r="G221" s="546" t="str">
        <f t="shared" si="171"/>
        <v/>
      </c>
      <c r="H221" s="546" t="str">
        <f t="shared" si="171"/>
        <v/>
      </c>
      <c r="I221" s="546" t="str">
        <f t="shared" si="171"/>
        <v/>
      </c>
      <c r="J221" s="546" t="str">
        <f t="shared" si="171"/>
        <v/>
      </c>
      <c r="K221" s="546" t="str">
        <f t="shared" si="171"/>
        <v/>
      </c>
      <c r="L221" s="546" t="str">
        <f t="shared" si="171"/>
        <v/>
      </c>
      <c r="M221" s="546" t="str">
        <f t="shared" si="171"/>
        <v/>
      </c>
      <c r="N221" s="546" t="str">
        <f t="shared" si="171"/>
        <v/>
      </c>
      <c r="O221" s="633" t="str">
        <f t="shared" si="171"/>
        <v/>
      </c>
      <c r="P221" s="512" t="str">
        <f t="shared" ref="P221:P222" si="172">IF(Q221="-","-",Q221/COUNTIF(D221:O221,"&gt;0"))</f>
        <v>-</v>
      </c>
      <c r="Q221" s="4" t="str">
        <f>IF(SUM(D221:O221)=0,"-",SUM(D221:O221))</f>
        <v>-</v>
      </c>
    </row>
    <row r="222" spans="1:17" ht="15.75" x14ac:dyDescent="0.25">
      <c r="A222" s="915"/>
      <c r="B222" s="923" t="s">
        <v>18</v>
      </c>
      <c r="C222" s="924"/>
      <c r="D222" s="546" t="str">
        <f t="shared" ref="D222:O222" si="173">IF(SUM(D36,D67,D98,D129,D160,D191)=0,"",SUM(D36,D67,D98,D129,D160,D191))</f>
        <v/>
      </c>
      <c r="E222" s="546" t="str">
        <f t="shared" si="173"/>
        <v/>
      </c>
      <c r="F222" s="546" t="str">
        <f t="shared" si="173"/>
        <v/>
      </c>
      <c r="G222" s="546" t="str">
        <f t="shared" si="173"/>
        <v/>
      </c>
      <c r="H222" s="546" t="str">
        <f t="shared" si="173"/>
        <v/>
      </c>
      <c r="I222" s="546" t="str">
        <f t="shared" si="173"/>
        <v/>
      </c>
      <c r="J222" s="546" t="str">
        <f t="shared" si="173"/>
        <v/>
      </c>
      <c r="K222" s="546" t="str">
        <f t="shared" si="173"/>
        <v/>
      </c>
      <c r="L222" s="546" t="str">
        <f t="shared" si="173"/>
        <v/>
      </c>
      <c r="M222" s="546" t="str">
        <f t="shared" si="173"/>
        <v/>
      </c>
      <c r="N222" s="546" t="str">
        <f t="shared" si="173"/>
        <v/>
      </c>
      <c r="O222" s="633" t="str">
        <f t="shared" si="173"/>
        <v/>
      </c>
      <c r="P222" s="512" t="str">
        <f t="shared" si="172"/>
        <v>-</v>
      </c>
      <c r="Q222" s="4" t="str">
        <f>IF(SUM(D222:O222)=0,"-",SUM(D222:O222))</f>
        <v>-</v>
      </c>
    </row>
    <row r="223" spans="1:17" ht="16.5" thickBot="1" x14ac:dyDescent="0.3">
      <c r="A223" s="915"/>
      <c r="B223" s="983" t="s">
        <v>17</v>
      </c>
      <c r="C223" s="984"/>
      <c r="D223" s="742" t="str">
        <f t="shared" ref="D223:O223" si="174">IF(SUM(D192,D161,D130,D99,D68,D37)=0,"",SUM(D192,D161,D130,D99,D68,D37))</f>
        <v/>
      </c>
      <c r="E223" s="742" t="str">
        <f t="shared" si="174"/>
        <v/>
      </c>
      <c r="F223" s="742" t="str">
        <f t="shared" si="174"/>
        <v/>
      </c>
      <c r="G223" s="742" t="str">
        <f t="shared" si="174"/>
        <v/>
      </c>
      <c r="H223" s="742" t="str">
        <f t="shared" si="174"/>
        <v/>
      </c>
      <c r="I223" s="742" t="str">
        <f t="shared" si="174"/>
        <v/>
      </c>
      <c r="J223" s="742" t="str">
        <f t="shared" si="174"/>
        <v/>
      </c>
      <c r="K223" s="742" t="str">
        <f t="shared" si="174"/>
        <v/>
      </c>
      <c r="L223" s="742" t="str">
        <f t="shared" si="174"/>
        <v/>
      </c>
      <c r="M223" s="742" t="str">
        <f t="shared" si="174"/>
        <v/>
      </c>
      <c r="N223" s="742" t="str">
        <f t="shared" si="174"/>
        <v/>
      </c>
      <c r="O223" s="743" t="str">
        <f t="shared" si="174"/>
        <v/>
      </c>
      <c r="P223" s="631" t="str">
        <f>IF(Q223="-","-",Q223/COUNTIF(D223:O223,"&gt;0"))</f>
        <v>-</v>
      </c>
      <c r="Q223" s="629" t="str">
        <f>IF(SUM(D223:O223)=0,"-",SUM(D223:O223))</f>
        <v>-</v>
      </c>
    </row>
    <row r="224" spans="1:17" ht="15.75" customHeight="1" x14ac:dyDescent="0.25">
      <c r="A224" s="838" t="s">
        <v>181</v>
      </c>
      <c r="B224" s="841" t="s">
        <v>179</v>
      </c>
      <c r="C224" s="745" t="s">
        <v>175</v>
      </c>
      <c r="D224" s="751"/>
      <c r="E224" s="751"/>
      <c r="F224" s="751"/>
      <c r="G224" s="751"/>
      <c r="H224" s="751"/>
      <c r="I224" s="751"/>
      <c r="J224" s="751"/>
      <c r="K224" s="751"/>
      <c r="L224" s="751"/>
      <c r="M224" s="751"/>
      <c r="N224" s="751"/>
      <c r="O224" s="752"/>
      <c r="P224" s="928"/>
      <c r="Q224" s="929"/>
    </row>
    <row r="225" spans="1:17" ht="15.75" customHeight="1" x14ac:dyDescent="0.25">
      <c r="A225" s="839"/>
      <c r="B225" s="790"/>
      <c r="C225" s="744" t="s">
        <v>176</v>
      </c>
      <c r="D225" s="753"/>
      <c r="E225" s="753"/>
      <c r="F225" s="753"/>
      <c r="G225" s="753"/>
      <c r="H225" s="753"/>
      <c r="I225" s="753"/>
      <c r="J225" s="753"/>
      <c r="K225" s="753"/>
      <c r="L225" s="753"/>
      <c r="M225" s="753"/>
      <c r="N225" s="753"/>
      <c r="O225" s="754"/>
      <c r="P225" s="930"/>
      <c r="Q225" s="931"/>
    </row>
    <row r="226" spans="1:17" ht="30" x14ac:dyDescent="0.25">
      <c r="A226" s="839"/>
      <c r="B226" s="761" t="str">
        <f>'2023'!O226</f>
        <v>0:00</v>
      </c>
      <c r="C226" s="755" t="s">
        <v>177</v>
      </c>
      <c r="D226" s="749" t="str">
        <f>IF(B226-B227+D224-D225&lt;=0,"0:00",B226+D224-D225)</f>
        <v>0:00</v>
      </c>
      <c r="E226" s="749" t="str">
        <f>IF(D226-D227+E224-E225&lt;=0,"0:00",D226-D227+E224-E225)</f>
        <v>0:00</v>
      </c>
      <c r="F226" s="749" t="str">
        <f t="shared" ref="F226:O226" si="175">IF(E226-E227+F224-F225&lt;=0,"0:00",E226-E227+F224-F225)</f>
        <v>0:00</v>
      </c>
      <c r="G226" s="749" t="str">
        <f t="shared" si="175"/>
        <v>0:00</v>
      </c>
      <c r="H226" s="749" t="str">
        <f t="shared" si="175"/>
        <v>0:00</v>
      </c>
      <c r="I226" s="749" t="str">
        <f t="shared" si="175"/>
        <v>0:00</v>
      </c>
      <c r="J226" s="749" t="str">
        <f t="shared" si="175"/>
        <v>0:00</v>
      </c>
      <c r="K226" s="749" t="str">
        <f t="shared" si="175"/>
        <v>0:00</v>
      </c>
      <c r="L226" s="749" t="str">
        <f t="shared" si="175"/>
        <v>0:00</v>
      </c>
      <c r="M226" s="749" t="str">
        <f t="shared" si="175"/>
        <v>0:00</v>
      </c>
      <c r="N226" s="749" t="str">
        <f t="shared" si="175"/>
        <v>0:00</v>
      </c>
      <c r="O226" s="750" t="str">
        <f t="shared" si="175"/>
        <v>0:00</v>
      </c>
      <c r="P226" s="930"/>
      <c r="Q226" s="931"/>
    </row>
    <row r="227" spans="1:17" ht="30" x14ac:dyDescent="0.25">
      <c r="A227" s="839"/>
      <c r="B227" s="762" t="str">
        <f>'2023'!O227</f>
        <v>0:00</v>
      </c>
      <c r="C227" s="756" t="s">
        <v>178</v>
      </c>
      <c r="D227" s="757" t="str">
        <f>IF(B227-B226-D224+D225&lt;=0,"0:00",B227-D224+D225)</f>
        <v>0:00</v>
      </c>
      <c r="E227" s="757" t="str">
        <f>IF(D227-D226-E224+E225&lt;=0,"0:00",D227-D226-E224+E225)</f>
        <v>0:00</v>
      </c>
      <c r="F227" s="757" t="str">
        <f>IF(E227-E226-F224+F225&lt;=0,"0:00",E227-E226-F224+F225)</f>
        <v>0:00</v>
      </c>
      <c r="G227" s="757" t="str">
        <f t="shared" ref="G227:O227" si="176">IF(F227-F226-G224+G225&lt;=0,"0:00",F227-F226-G224+G225)</f>
        <v>0:00</v>
      </c>
      <c r="H227" s="757" t="str">
        <f t="shared" si="176"/>
        <v>0:00</v>
      </c>
      <c r="I227" s="757" t="str">
        <f t="shared" si="176"/>
        <v>0:00</v>
      </c>
      <c r="J227" s="757" t="str">
        <f t="shared" si="176"/>
        <v>0:00</v>
      </c>
      <c r="K227" s="757" t="str">
        <f t="shared" si="176"/>
        <v>0:00</v>
      </c>
      <c r="L227" s="757" t="str">
        <f t="shared" si="176"/>
        <v>0:00</v>
      </c>
      <c r="M227" s="757" t="str">
        <f t="shared" si="176"/>
        <v>0:00</v>
      </c>
      <c r="N227" s="757" t="str">
        <f t="shared" si="176"/>
        <v>0:00</v>
      </c>
      <c r="O227" s="759" t="str">
        <f t="shared" si="176"/>
        <v>0:00</v>
      </c>
      <c r="P227" s="930"/>
      <c r="Q227" s="931"/>
    </row>
    <row r="228" spans="1:17" ht="15.75" customHeight="1" thickBot="1" x14ac:dyDescent="0.3">
      <c r="A228" s="840"/>
      <c r="B228" s="934" t="s">
        <v>174</v>
      </c>
      <c r="C228" s="935"/>
      <c r="D228" s="758" t="str">
        <f>IF(SUM(D224:D225)=0,"",(D225-D224)*MAX(D$7,D$38,D$69,D$100,D$131,D$162)*24)</f>
        <v/>
      </c>
      <c r="E228" s="758" t="str">
        <f t="shared" ref="E228:O228" si="177">IF(SUM(E224:E225)=0,"",(E225-E224)*MAX(E$7,E$38,E$69,E$100,E$131,E$162)*24)</f>
        <v/>
      </c>
      <c r="F228" s="758" t="str">
        <f t="shared" si="177"/>
        <v/>
      </c>
      <c r="G228" s="758" t="str">
        <f t="shared" si="177"/>
        <v/>
      </c>
      <c r="H228" s="758" t="str">
        <f t="shared" si="177"/>
        <v/>
      </c>
      <c r="I228" s="758" t="str">
        <f t="shared" si="177"/>
        <v/>
      </c>
      <c r="J228" s="758" t="str">
        <f t="shared" si="177"/>
        <v/>
      </c>
      <c r="K228" s="758" t="str">
        <f t="shared" si="177"/>
        <v/>
      </c>
      <c r="L228" s="758" t="str">
        <f t="shared" si="177"/>
        <v/>
      </c>
      <c r="M228" s="758" t="str">
        <f t="shared" si="177"/>
        <v/>
      </c>
      <c r="N228" s="758" t="str">
        <f t="shared" si="177"/>
        <v/>
      </c>
      <c r="O228" s="760" t="str">
        <f t="shared" si="177"/>
        <v/>
      </c>
      <c r="P228" s="932"/>
      <c r="Q228" s="933"/>
    </row>
    <row r="229" spans="1:17" ht="15.75" x14ac:dyDescent="0.25">
      <c r="A229" s="985" t="s">
        <v>14</v>
      </c>
      <c r="B229" s="748" t="s">
        <v>150</v>
      </c>
      <c r="C229" s="735">
        <v>2.85</v>
      </c>
      <c r="D229" s="736"/>
      <c r="E229" s="736"/>
      <c r="F229" s="736"/>
      <c r="G229" s="736"/>
      <c r="H229" s="736"/>
      <c r="I229" s="736"/>
      <c r="J229" s="736"/>
      <c r="K229" s="736"/>
      <c r="L229" s="736"/>
      <c r="M229" s="736"/>
      <c r="N229" s="736"/>
      <c r="O229" s="737"/>
      <c r="P229" s="738" t="str">
        <f t="shared" ref="P229:P275" si="178">IF(Q229="-","-",Q229/COUNTIF(D229:O229,"&gt;0"))</f>
        <v>-</v>
      </c>
      <c r="Q229" s="739" t="str">
        <f t="shared" ref="Q229:Q275" si="179">IF(SUM(D229:O229)=0,"-",SUM(D229:O229))</f>
        <v>-</v>
      </c>
    </row>
    <row r="230" spans="1:17" ht="15.75" x14ac:dyDescent="0.25">
      <c r="A230" s="790"/>
      <c r="B230" s="746" t="s">
        <v>151</v>
      </c>
      <c r="C230" s="625">
        <v>3.35</v>
      </c>
      <c r="D230" s="549"/>
      <c r="E230" s="549"/>
      <c r="F230" s="549"/>
      <c r="G230" s="549"/>
      <c r="H230" s="549"/>
      <c r="I230" s="549"/>
      <c r="J230" s="549"/>
      <c r="K230" s="549"/>
      <c r="L230" s="549"/>
      <c r="M230" s="549"/>
      <c r="N230" s="549"/>
      <c r="O230" s="550"/>
      <c r="P230" s="635" t="str">
        <f t="shared" si="178"/>
        <v>-</v>
      </c>
      <c r="Q230" s="636" t="str">
        <f t="shared" si="179"/>
        <v>-</v>
      </c>
    </row>
    <row r="231" spans="1:17" ht="15.75" x14ac:dyDescent="0.25">
      <c r="A231" s="790"/>
      <c r="B231" s="747" t="s">
        <v>27</v>
      </c>
      <c r="C231" s="17" t="s">
        <v>22</v>
      </c>
      <c r="D231" s="677" t="str">
        <f>IF(((D229)+(D230))*24=0,"",((D229*$C$229)+(D230*$C$230))*24)</f>
        <v/>
      </c>
      <c r="E231" s="677" t="str">
        <f t="shared" ref="E231:O231" si="180">IF(((E229)+(E230))*24=0,"",((E229*$C$229)+(E230*$C$230))*24)</f>
        <v/>
      </c>
      <c r="F231" s="677" t="str">
        <f t="shared" si="180"/>
        <v/>
      </c>
      <c r="G231" s="677" t="str">
        <f t="shared" si="180"/>
        <v/>
      </c>
      <c r="H231" s="677" t="str">
        <f t="shared" si="180"/>
        <v/>
      </c>
      <c r="I231" s="677" t="str">
        <f t="shared" si="180"/>
        <v/>
      </c>
      <c r="J231" s="677" t="str">
        <f t="shared" si="180"/>
        <v/>
      </c>
      <c r="K231" s="677" t="str">
        <f t="shared" si="180"/>
        <v/>
      </c>
      <c r="L231" s="677" t="str">
        <f t="shared" si="180"/>
        <v/>
      </c>
      <c r="M231" s="677" t="str">
        <f t="shared" si="180"/>
        <v/>
      </c>
      <c r="N231" s="677" t="str">
        <f t="shared" si="180"/>
        <v/>
      </c>
      <c r="O231" s="678" t="str">
        <f t="shared" si="180"/>
        <v/>
      </c>
      <c r="P231" s="631" t="str">
        <f t="shared" si="178"/>
        <v>-</v>
      </c>
      <c r="Q231" s="629" t="str">
        <f t="shared" si="179"/>
        <v>-</v>
      </c>
    </row>
    <row r="232" spans="1:17" ht="15.75" x14ac:dyDescent="0.25">
      <c r="A232" s="790" t="s">
        <v>25</v>
      </c>
      <c r="B232" s="790"/>
      <c r="C232" s="89" t="s">
        <v>21</v>
      </c>
      <c r="D232" s="740"/>
      <c r="E232" s="740"/>
      <c r="F232" s="740"/>
      <c r="G232" s="740"/>
      <c r="H232" s="740"/>
      <c r="I232" s="740"/>
      <c r="J232" s="740"/>
      <c r="K232" s="740"/>
      <c r="L232" s="740"/>
      <c r="M232" s="740"/>
      <c r="N232" s="740"/>
      <c r="O232" s="741"/>
      <c r="P232" s="635" t="str">
        <f t="shared" si="178"/>
        <v>-</v>
      </c>
      <c r="Q232" s="636" t="str">
        <f t="shared" si="179"/>
        <v>-</v>
      </c>
    </row>
    <row r="233" spans="1:17" ht="15.75" x14ac:dyDescent="0.25">
      <c r="A233" s="790"/>
      <c r="B233" s="790"/>
      <c r="C233" s="17" t="s">
        <v>22</v>
      </c>
      <c r="D233" s="677" t="str">
        <f t="shared" ref="D233:O233" si="181">IF(D232*MAX(D$7,D$38,D$69,D$100,D$131,D$162)*24=0,"",D232*MAX(D$7,D$38,D$69,D$100,D$131,D$162)*24)</f>
        <v/>
      </c>
      <c r="E233" s="677" t="str">
        <f t="shared" si="181"/>
        <v/>
      </c>
      <c r="F233" s="677" t="str">
        <f t="shared" si="181"/>
        <v/>
      </c>
      <c r="G233" s="677" t="str">
        <f t="shared" si="181"/>
        <v/>
      </c>
      <c r="H233" s="677" t="str">
        <f t="shared" si="181"/>
        <v/>
      </c>
      <c r="I233" s="677" t="str">
        <f t="shared" si="181"/>
        <v/>
      </c>
      <c r="J233" s="677" t="str">
        <f t="shared" si="181"/>
        <v/>
      </c>
      <c r="K233" s="677" t="str">
        <f t="shared" si="181"/>
        <v/>
      </c>
      <c r="L233" s="677" t="str">
        <f t="shared" si="181"/>
        <v/>
      </c>
      <c r="M233" s="677" t="str">
        <f t="shared" si="181"/>
        <v/>
      </c>
      <c r="N233" s="677" t="str">
        <f t="shared" si="181"/>
        <v/>
      </c>
      <c r="O233" s="678" t="str">
        <f t="shared" si="181"/>
        <v/>
      </c>
      <c r="P233" s="631" t="str">
        <f t="shared" si="178"/>
        <v>-</v>
      </c>
      <c r="Q233" s="629" t="str">
        <f t="shared" si="179"/>
        <v>-</v>
      </c>
    </row>
    <row r="234" spans="1:17" ht="15.75" customHeight="1" x14ac:dyDescent="0.25">
      <c r="A234" s="791" t="s">
        <v>24</v>
      </c>
      <c r="B234" s="792"/>
      <c r="C234" s="16" t="s">
        <v>21</v>
      </c>
      <c r="D234" s="675"/>
      <c r="E234" s="675"/>
      <c r="F234" s="675"/>
      <c r="G234" s="675"/>
      <c r="H234" s="675"/>
      <c r="I234" s="675"/>
      <c r="J234" s="675"/>
      <c r="K234" s="675"/>
      <c r="L234" s="675"/>
      <c r="M234" s="675"/>
      <c r="N234" s="675"/>
      <c r="O234" s="676"/>
      <c r="P234" s="635" t="str">
        <f t="shared" si="178"/>
        <v>-</v>
      </c>
      <c r="Q234" s="636" t="str">
        <f t="shared" si="179"/>
        <v>-</v>
      </c>
    </row>
    <row r="235" spans="1:17" ht="15.75" x14ac:dyDescent="0.25">
      <c r="A235" s="793"/>
      <c r="B235" s="794"/>
      <c r="C235" s="17" t="s">
        <v>22</v>
      </c>
      <c r="D235" s="1031"/>
      <c r="E235" s="1031"/>
      <c r="F235" s="1031"/>
      <c r="G235" s="1031"/>
      <c r="H235" s="1031"/>
      <c r="I235" s="1031"/>
      <c r="J235" s="1031"/>
      <c r="K235" s="1031"/>
      <c r="L235" s="1031"/>
      <c r="M235" s="1031"/>
      <c r="N235" s="1031"/>
      <c r="O235" s="1032"/>
      <c r="P235" s="631" t="str">
        <f t="shared" si="178"/>
        <v>-</v>
      </c>
      <c r="Q235" s="629" t="str">
        <f t="shared" si="179"/>
        <v>-</v>
      </c>
    </row>
    <row r="236" spans="1:17" ht="15.75" x14ac:dyDescent="0.25">
      <c r="A236" s="795" t="s">
        <v>2</v>
      </c>
      <c r="B236" s="796"/>
      <c r="C236" s="16" t="s">
        <v>21</v>
      </c>
      <c r="D236" s="675"/>
      <c r="E236" s="675"/>
      <c r="F236" s="675"/>
      <c r="G236" s="675"/>
      <c r="H236" s="675"/>
      <c r="I236" s="675"/>
      <c r="J236" s="675"/>
      <c r="K236" s="675"/>
      <c r="L236" s="675"/>
      <c r="M236" s="675"/>
      <c r="N236" s="675"/>
      <c r="O236" s="676"/>
      <c r="P236" s="635" t="str">
        <f t="shared" si="178"/>
        <v>-</v>
      </c>
      <c r="Q236" s="636" t="str">
        <f t="shared" si="179"/>
        <v>-</v>
      </c>
    </row>
    <row r="237" spans="1:17" ht="15.75" x14ac:dyDescent="0.25">
      <c r="A237" s="797"/>
      <c r="B237" s="798"/>
      <c r="C237" s="17" t="s">
        <v>22</v>
      </c>
      <c r="D237" s="677" t="str">
        <f t="shared" ref="D237:O237" si="182">IF(D236*MAX(D$7,D$38,D$69,D$100,D$131,D$162)*24=0,"",D236*MAX(D$7,D$38,D$69,D$100,D$131,D$162)*24)</f>
        <v/>
      </c>
      <c r="E237" s="677" t="str">
        <f t="shared" si="182"/>
        <v/>
      </c>
      <c r="F237" s="677" t="str">
        <f t="shared" si="182"/>
        <v/>
      </c>
      <c r="G237" s="677" t="str">
        <f t="shared" si="182"/>
        <v/>
      </c>
      <c r="H237" s="677" t="str">
        <f t="shared" si="182"/>
        <v/>
      </c>
      <c r="I237" s="677" t="str">
        <f t="shared" si="182"/>
        <v/>
      </c>
      <c r="J237" s="677" t="str">
        <f t="shared" si="182"/>
        <v/>
      </c>
      <c r="K237" s="677" t="str">
        <f t="shared" si="182"/>
        <v/>
      </c>
      <c r="L237" s="677" t="str">
        <f t="shared" si="182"/>
        <v/>
      </c>
      <c r="M237" s="677" t="str">
        <f t="shared" si="182"/>
        <v/>
      </c>
      <c r="N237" s="677" t="str">
        <f t="shared" si="182"/>
        <v/>
      </c>
      <c r="O237" s="678" t="str">
        <f t="shared" si="182"/>
        <v/>
      </c>
      <c r="P237" s="631" t="str">
        <f t="shared" si="178"/>
        <v>-</v>
      </c>
      <c r="Q237" s="629" t="str">
        <f t="shared" si="179"/>
        <v>-</v>
      </c>
    </row>
    <row r="238" spans="1:17" ht="15.75" x14ac:dyDescent="0.25">
      <c r="A238" s="791" t="s">
        <v>23</v>
      </c>
      <c r="B238" s="792"/>
      <c r="C238" s="16" t="s">
        <v>21</v>
      </c>
      <c r="D238" s="675"/>
      <c r="E238" s="675"/>
      <c r="F238" s="675"/>
      <c r="G238" s="675"/>
      <c r="H238" s="675"/>
      <c r="I238" s="675"/>
      <c r="J238" s="675"/>
      <c r="K238" s="675"/>
      <c r="L238" s="675"/>
      <c r="M238" s="675"/>
      <c r="N238" s="675"/>
      <c r="O238" s="676"/>
      <c r="P238" s="635" t="str">
        <f t="shared" ref="P238" si="183">IF(Q238="-","-",Q238/COUNTIF(D238:O238,"&gt;0"))</f>
        <v>-</v>
      </c>
      <c r="Q238" s="636" t="str">
        <f t="shared" ref="Q238" si="184">IF(SUM(D238:O238)=0,"-",SUM(D238:O238))</f>
        <v>-</v>
      </c>
    </row>
    <row r="239" spans="1:17" ht="15.75" x14ac:dyDescent="0.25">
      <c r="A239" s="793"/>
      <c r="B239" s="794"/>
      <c r="C239" s="89" t="s">
        <v>22</v>
      </c>
      <c r="D239" s="714" t="str">
        <f>IF(D238*MAX(D$7,D$38,D$69,D$100,D$131,D$162)*24=0,"",D238*MAX(D$7,D$38,D$69,D$100,D$131,D$162)*24)</f>
        <v/>
      </c>
      <c r="E239" s="714" t="str">
        <f t="shared" ref="E239:O239" si="185">IF(E238*MAX(E$7,E$38,E$69,E$100,E$131,E$162)*24=0,"",E238*MAX(E$7,E$38,E$69,E$100,E$131,E$162)*24)</f>
        <v/>
      </c>
      <c r="F239" s="714" t="str">
        <f t="shared" si="185"/>
        <v/>
      </c>
      <c r="G239" s="714" t="str">
        <f t="shared" si="185"/>
        <v/>
      </c>
      <c r="H239" s="714" t="str">
        <f t="shared" si="185"/>
        <v/>
      </c>
      <c r="I239" s="714" t="str">
        <f t="shared" si="185"/>
        <v/>
      </c>
      <c r="J239" s="714" t="str">
        <f t="shared" si="185"/>
        <v/>
      </c>
      <c r="K239" s="714" t="str">
        <f t="shared" si="185"/>
        <v/>
      </c>
      <c r="L239" s="714" t="str">
        <f t="shared" si="185"/>
        <v/>
      </c>
      <c r="M239" s="714" t="str">
        <f t="shared" si="185"/>
        <v/>
      </c>
      <c r="N239" s="714" t="str">
        <f t="shared" si="185"/>
        <v/>
      </c>
      <c r="O239" s="715" t="str">
        <f t="shared" si="185"/>
        <v/>
      </c>
      <c r="P239" s="631" t="str">
        <f t="shared" si="178"/>
        <v>-</v>
      </c>
      <c r="Q239" s="629" t="str">
        <f t="shared" si="179"/>
        <v>-</v>
      </c>
    </row>
    <row r="240" spans="1:17" ht="15.75" x14ac:dyDescent="0.25">
      <c r="A240" s="799" t="s">
        <v>171</v>
      </c>
      <c r="B240" s="800"/>
      <c r="C240" s="16" t="s">
        <v>21</v>
      </c>
      <c r="D240" s="716"/>
      <c r="E240" s="675"/>
      <c r="F240" s="675"/>
      <c r="G240" s="675"/>
      <c r="H240" s="675"/>
      <c r="I240" s="675"/>
      <c r="J240" s="675"/>
      <c r="K240" s="675"/>
      <c r="L240" s="675"/>
      <c r="M240" s="675"/>
      <c r="N240" s="675"/>
      <c r="O240" s="676"/>
      <c r="P240" s="635" t="str">
        <f t="shared" si="178"/>
        <v>-</v>
      </c>
      <c r="Q240" s="636" t="str">
        <f t="shared" si="179"/>
        <v>-</v>
      </c>
    </row>
    <row r="241" spans="1:17" ht="15.75" x14ac:dyDescent="0.25">
      <c r="A241" s="801"/>
      <c r="B241" s="802"/>
      <c r="C241" s="17" t="s">
        <v>22</v>
      </c>
      <c r="D241" s="717" t="str">
        <f t="shared" ref="D241:O241" si="186">IF(D240*MAX(D$7,D$38,D$69,D$100,D$131,D$162)*24=0,"",D240*MAX(D$7,D$38,D$69,D$100,D$131,D$162)*24)</f>
        <v/>
      </c>
      <c r="E241" s="677" t="str">
        <f t="shared" si="186"/>
        <v/>
      </c>
      <c r="F241" s="677" t="str">
        <f t="shared" si="186"/>
        <v/>
      </c>
      <c r="G241" s="677" t="str">
        <f t="shared" si="186"/>
        <v/>
      </c>
      <c r="H241" s="677" t="str">
        <f t="shared" si="186"/>
        <v/>
      </c>
      <c r="I241" s="677" t="str">
        <f t="shared" si="186"/>
        <v/>
      </c>
      <c r="J241" s="677" t="str">
        <f t="shared" si="186"/>
        <v/>
      </c>
      <c r="K241" s="677" t="str">
        <f t="shared" si="186"/>
        <v/>
      </c>
      <c r="L241" s="677" t="str">
        <f t="shared" si="186"/>
        <v/>
      </c>
      <c r="M241" s="677" t="str">
        <f t="shared" si="186"/>
        <v/>
      </c>
      <c r="N241" s="677" t="str">
        <f t="shared" si="186"/>
        <v/>
      </c>
      <c r="O241" s="678" t="str">
        <f t="shared" si="186"/>
        <v/>
      </c>
      <c r="P241" s="631" t="str">
        <f t="shared" si="178"/>
        <v>-</v>
      </c>
      <c r="Q241" s="629" t="str">
        <f t="shared" si="179"/>
        <v>-</v>
      </c>
    </row>
    <row r="242" spans="1:17" ht="15.75" x14ac:dyDescent="0.25">
      <c r="A242" s="799" t="s">
        <v>171</v>
      </c>
      <c r="B242" s="800"/>
      <c r="C242" s="16" t="s">
        <v>21</v>
      </c>
      <c r="D242" s="716"/>
      <c r="E242" s="675"/>
      <c r="F242" s="675"/>
      <c r="G242" s="675"/>
      <c r="H242" s="675"/>
      <c r="I242" s="675"/>
      <c r="J242" s="675"/>
      <c r="K242" s="675"/>
      <c r="L242" s="675"/>
      <c r="M242" s="675"/>
      <c r="N242" s="675"/>
      <c r="O242" s="676"/>
      <c r="P242" s="635" t="str">
        <f t="shared" si="178"/>
        <v>-</v>
      </c>
      <c r="Q242" s="636" t="str">
        <f t="shared" si="179"/>
        <v>-</v>
      </c>
    </row>
    <row r="243" spans="1:17" ht="15.75" customHeight="1" thickBot="1" x14ac:dyDescent="0.3">
      <c r="A243" s="803"/>
      <c r="B243" s="804"/>
      <c r="C243" s="527" t="s">
        <v>22</v>
      </c>
      <c r="D243" s="718" t="str">
        <f t="shared" ref="D243:O243" si="187">IF(D242*MAX(D$7,D$38,D$69,D$100,D$131,D$162)*24=0,"",D242*MAX(D$7,D$38,D$69,D$100,D$131,D$162)*24)</f>
        <v/>
      </c>
      <c r="E243" s="679" t="str">
        <f t="shared" si="187"/>
        <v/>
      </c>
      <c r="F243" s="679" t="str">
        <f t="shared" si="187"/>
        <v/>
      </c>
      <c r="G243" s="679" t="str">
        <f t="shared" si="187"/>
        <v/>
      </c>
      <c r="H243" s="679" t="str">
        <f t="shared" si="187"/>
        <v/>
      </c>
      <c r="I243" s="679" t="str">
        <f t="shared" si="187"/>
        <v/>
      </c>
      <c r="J243" s="679" t="str">
        <f t="shared" si="187"/>
        <v/>
      </c>
      <c r="K243" s="679" t="str">
        <f t="shared" si="187"/>
        <v/>
      </c>
      <c r="L243" s="679" t="str">
        <f t="shared" si="187"/>
        <v/>
      </c>
      <c r="M243" s="679" t="str">
        <f t="shared" si="187"/>
        <v/>
      </c>
      <c r="N243" s="679" t="str">
        <f t="shared" si="187"/>
        <v/>
      </c>
      <c r="O243" s="680" t="str">
        <f t="shared" si="187"/>
        <v/>
      </c>
      <c r="P243" s="525" t="str">
        <f t="shared" si="178"/>
        <v>-</v>
      </c>
      <c r="Q243" s="7" t="str">
        <f t="shared" si="179"/>
        <v>-</v>
      </c>
    </row>
    <row r="244" spans="1:17" ht="23.1" customHeight="1" x14ac:dyDescent="0.25">
      <c r="A244" s="842" t="s">
        <v>18</v>
      </c>
      <c r="B244" s="843"/>
      <c r="C244" s="844"/>
      <c r="D244" s="721" t="str">
        <f>IF(SUM(D222,D224,D232,D234,D236,D238,D240,D242)-D225=0,"",SUM(D222,D225,D232,D234,D236,D238,D240,D242)-D224)</f>
        <v/>
      </c>
      <c r="E244" s="721" t="str">
        <f t="shared" ref="E244:O244" si="188">IF(SUM(E222,E224,E232,E234,E236,E238,E240,E242)-E225=0,"",SUM(E222,E225,E232,E234,E236,E238,E240,E242)-E224)</f>
        <v/>
      </c>
      <c r="F244" s="721" t="str">
        <f t="shared" si="188"/>
        <v/>
      </c>
      <c r="G244" s="721" t="str">
        <f t="shared" si="188"/>
        <v/>
      </c>
      <c r="H244" s="721" t="str">
        <f t="shared" si="188"/>
        <v/>
      </c>
      <c r="I244" s="721" t="str">
        <f t="shared" si="188"/>
        <v/>
      </c>
      <c r="J244" s="721" t="str">
        <f t="shared" si="188"/>
        <v/>
      </c>
      <c r="K244" s="721" t="str">
        <f t="shared" si="188"/>
        <v/>
      </c>
      <c r="L244" s="721" t="str">
        <f t="shared" si="188"/>
        <v/>
      </c>
      <c r="M244" s="721" t="str">
        <f t="shared" si="188"/>
        <v/>
      </c>
      <c r="N244" s="721" t="str">
        <f t="shared" si="188"/>
        <v/>
      </c>
      <c r="O244" s="722" t="str">
        <f t="shared" si="188"/>
        <v/>
      </c>
      <c r="P244" s="544" t="str">
        <f t="shared" si="178"/>
        <v>-</v>
      </c>
      <c r="Q244" s="634" t="str">
        <f t="shared" si="179"/>
        <v>-</v>
      </c>
    </row>
    <row r="245" spans="1:17" ht="23.1" customHeight="1" thickBot="1" x14ac:dyDescent="0.3">
      <c r="A245" s="845" t="s">
        <v>26</v>
      </c>
      <c r="B245" s="846"/>
      <c r="C245" s="847"/>
      <c r="D245" s="528" t="str">
        <f>IF(SUM(D223,D228,D231,D233,D235,D237,D239,D241,D243)=0,"",SUM(D223,D228,D231,D233,D235,D237,D239,D241,D243))</f>
        <v/>
      </c>
      <c r="E245" s="528" t="str">
        <f t="shared" ref="E245:O245" si="189">IF(SUM(E223,E228,E231,E233,E235,E237,E239,E241,E243)=0,"",SUM(E223,E228,E231,E233,E235,E237,E239,E241,E243))</f>
        <v/>
      </c>
      <c r="F245" s="528" t="str">
        <f t="shared" si="189"/>
        <v/>
      </c>
      <c r="G245" s="528" t="str">
        <f t="shared" si="189"/>
        <v/>
      </c>
      <c r="H245" s="528" t="str">
        <f t="shared" si="189"/>
        <v/>
      </c>
      <c r="I245" s="528" t="str">
        <f t="shared" si="189"/>
        <v/>
      </c>
      <c r="J245" s="528" t="str">
        <f t="shared" si="189"/>
        <v/>
      </c>
      <c r="K245" s="528" t="str">
        <f t="shared" si="189"/>
        <v/>
      </c>
      <c r="L245" s="528" t="str">
        <f t="shared" si="189"/>
        <v/>
      </c>
      <c r="M245" s="528" t="str">
        <f t="shared" si="189"/>
        <v/>
      </c>
      <c r="N245" s="528" t="str">
        <f t="shared" si="189"/>
        <v/>
      </c>
      <c r="O245" s="545" t="str">
        <f t="shared" si="189"/>
        <v/>
      </c>
      <c r="P245" s="657" t="str">
        <f t="shared" si="178"/>
        <v>-</v>
      </c>
      <c r="Q245" s="723" t="str">
        <f t="shared" si="179"/>
        <v>-</v>
      </c>
    </row>
    <row r="246" spans="1:17" ht="27" thickBot="1" x14ac:dyDescent="0.3">
      <c r="A246" s="888" t="s">
        <v>28</v>
      </c>
      <c r="B246" s="889"/>
      <c r="C246" s="889"/>
      <c r="D246" s="889"/>
      <c r="E246" s="889"/>
      <c r="F246" s="889"/>
      <c r="G246" s="889"/>
      <c r="H246" s="889"/>
      <c r="I246" s="889"/>
      <c r="J246" s="889"/>
      <c r="K246" s="889"/>
      <c r="L246" s="889"/>
      <c r="M246" s="889"/>
      <c r="N246" s="889"/>
      <c r="O246" s="889"/>
      <c r="P246" s="889"/>
      <c r="Q246" s="890"/>
    </row>
    <row r="247" spans="1:17" ht="15.75" customHeight="1" x14ac:dyDescent="0.25">
      <c r="A247" s="917" t="s">
        <v>29</v>
      </c>
      <c r="B247" s="918"/>
      <c r="C247" s="541" t="s">
        <v>30</v>
      </c>
      <c r="D247" s="606"/>
      <c r="E247" s="606"/>
      <c r="F247" s="606"/>
      <c r="G247" s="606"/>
      <c r="H247" s="606"/>
      <c r="I247" s="606"/>
      <c r="J247" s="606"/>
      <c r="K247" s="606"/>
      <c r="L247" s="606"/>
      <c r="M247" s="606"/>
      <c r="N247" s="606"/>
      <c r="O247" s="607"/>
      <c r="P247" s="637" t="str">
        <f t="shared" si="178"/>
        <v>-</v>
      </c>
      <c r="Q247" s="638" t="str">
        <f t="shared" si="179"/>
        <v>-</v>
      </c>
    </row>
    <row r="248" spans="1:17" ht="15.75" customHeight="1" x14ac:dyDescent="0.25">
      <c r="A248" s="919"/>
      <c r="B248" s="920"/>
      <c r="C248" s="8" t="s">
        <v>31</v>
      </c>
      <c r="D248" s="608"/>
      <c r="E248" s="608"/>
      <c r="F248" s="608"/>
      <c r="G248" s="608"/>
      <c r="H248" s="608"/>
      <c r="I248" s="608"/>
      <c r="J248" s="608"/>
      <c r="K248" s="608"/>
      <c r="L248" s="608"/>
      <c r="M248" s="608"/>
      <c r="N248" s="608"/>
      <c r="O248" s="609"/>
      <c r="P248" s="639" t="str">
        <f t="shared" si="178"/>
        <v>-</v>
      </c>
      <c r="Q248" s="640" t="str">
        <f t="shared" si="179"/>
        <v>-</v>
      </c>
    </row>
    <row r="249" spans="1:17" ht="15.75" customHeight="1" x14ac:dyDescent="0.25">
      <c r="A249" s="919"/>
      <c r="B249" s="920"/>
      <c r="C249" s="8" t="s">
        <v>56</v>
      </c>
      <c r="D249" s="608"/>
      <c r="E249" s="608"/>
      <c r="F249" s="608"/>
      <c r="G249" s="608"/>
      <c r="H249" s="608"/>
      <c r="I249" s="608"/>
      <c r="J249" s="608"/>
      <c r="K249" s="608"/>
      <c r="L249" s="608"/>
      <c r="M249" s="608"/>
      <c r="N249" s="608"/>
      <c r="O249" s="609"/>
      <c r="P249" s="639" t="str">
        <f t="shared" si="178"/>
        <v>-</v>
      </c>
      <c r="Q249" s="640" t="str">
        <f t="shared" si="179"/>
        <v>-</v>
      </c>
    </row>
    <row r="250" spans="1:17" ht="19.5" thickBot="1" x14ac:dyDescent="0.3">
      <c r="A250" s="921"/>
      <c r="B250" s="922"/>
      <c r="C250" s="628" t="s">
        <v>5</v>
      </c>
      <c r="D250" s="542">
        <f>IF(SUM(D247,D248,D249)=0,0,SUM(D247,D248,D249))</f>
        <v>0</v>
      </c>
      <c r="E250" s="542">
        <f t="shared" ref="E250:O250" si="190">IF(SUM(E247,E248,E249)=0,0,SUM(E247,E248,E249))</f>
        <v>0</v>
      </c>
      <c r="F250" s="542">
        <f t="shared" si="190"/>
        <v>0</v>
      </c>
      <c r="G250" s="542">
        <f t="shared" si="190"/>
        <v>0</v>
      </c>
      <c r="H250" s="542">
        <f t="shared" si="190"/>
        <v>0</v>
      </c>
      <c r="I250" s="542">
        <f t="shared" si="190"/>
        <v>0</v>
      </c>
      <c r="J250" s="542">
        <f t="shared" si="190"/>
        <v>0</v>
      </c>
      <c r="K250" s="542">
        <f t="shared" si="190"/>
        <v>0</v>
      </c>
      <c r="L250" s="542">
        <f t="shared" si="190"/>
        <v>0</v>
      </c>
      <c r="M250" s="542">
        <f t="shared" si="190"/>
        <v>0</v>
      </c>
      <c r="N250" s="542">
        <f t="shared" si="190"/>
        <v>0</v>
      </c>
      <c r="O250" s="543">
        <f t="shared" si="190"/>
        <v>0</v>
      </c>
      <c r="P250" s="641" t="str">
        <f>IF(Q250="-","-",Q250/COUNTIF(D250:O250,"&gt;0"))</f>
        <v>-</v>
      </c>
      <c r="Q250" s="642" t="str">
        <f t="shared" si="179"/>
        <v>-</v>
      </c>
    </row>
    <row r="251" spans="1:17" ht="15.75" customHeight="1" x14ac:dyDescent="0.25">
      <c r="A251" s="848" t="s">
        <v>32</v>
      </c>
      <c r="B251" s="849"/>
      <c r="C251" s="537" t="s">
        <v>30</v>
      </c>
      <c r="D251" s="606"/>
      <c r="E251" s="606"/>
      <c r="F251" s="606"/>
      <c r="G251" s="606"/>
      <c r="H251" s="606"/>
      <c r="I251" s="606"/>
      <c r="J251" s="606"/>
      <c r="K251" s="606"/>
      <c r="L251" s="606"/>
      <c r="M251" s="606"/>
      <c r="N251" s="606"/>
      <c r="O251" s="607"/>
      <c r="P251" s="643" t="str">
        <f t="shared" si="178"/>
        <v>-</v>
      </c>
      <c r="Q251" s="644" t="str">
        <f t="shared" si="179"/>
        <v>-</v>
      </c>
    </row>
    <row r="252" spans="1:17" ht="15.75" customHeight="1" x14ac:dyDescent="0.25">
      <c r="A252" s="850"/>
      <c r="B252" s="851"/>
      <c r="C252" s="9" t="s">
        <v>31</v>
      </c>
      <c r="D252" s="608"/>
      <c r="E252" s="608"/>
      <c r="F252" s="608"/>
      <c r="G252" s="608"/>
      <c r="H252" s="608"/>
      <c r="I252" s="608"/>
      <c r="J252" s="608"/>
      <c r="K252" s="608"/>
      <c r="L252" s="608"/>
      <c r="M252" s="608"/>
      <c r="N252" s="608"/>
      <c r="O252" s="609"/>
      <c r="P252" s="645" t="str">
        <f t="shared" si="178"/>
        <v>-</v>
      </c>
      <c r="Q252" s="646" t="str">
        <f t="shared" si="179"/>
        <v>-</v>
      </c>
    </row>
    <row r="253" spans="1:17" ht="15.75" customHeight="1" x14ac:dyDescent="0.25">
      <c r="A253" s="850"/>
      <c r="B253" s="851"/>
      <c r="C253" s="9" t="s">
        <v>56</v>
      </c>
      <c r="D253" s="608"/>
      <c r="E253" s="608"/>
      <c r="F253" s="608"/>
      <c r="G253" s="608"/>
      <c r="H253" s="608"/>
      <c r="I253" s="608"/>
      <c r="J253" s="608"/>
      <c r="K253" s="608"/>
      <c r="L253" s="608"/>
      <c r="M253" s="608"/>
      <c r="N253" s="608"/>
      <c r="O253" s="609"/>
      <c r="P253" s="645" t="str">
        <f t="shared" si="178"/>
        <v>-</v>
      </c>
      <c r="Q253" s="646" t="str">
        <f t="shared" si="179"/>
        <v>-</v>
      </c>
    </row>
    <row r="254" spans="1:17" ht="15.75" customHeight="1" thickBot="1" x14ac:dyDescent="0.3">
      <c r="A254" s="852"/>
      <c r="B254" s="853"/>
      <c r="C254" s="538" t="s">
        <v>5</v>
      </c>
      <c r="D254" s="539">
        <f>IF(SUM(D251,D252,D253)=0,0,SUM(D251,D252,D253))</f>
        <v>0</v>
      </c>
      <c r="E254" s="539">
        <f t="shared" ref="E254:O254" si="191">IF(SUM(E251,E252,E253)=0,0,SUM(E251,E252,E253))</f>
        <v>0</v>
      </c>
      <c r="F254" s="539">
        <f t="shared" si="191"/>
        <v>0</v>
      </c>
      <c r="G254" s="539">
        <f t="shared" si="191"/>
        <v>0</v>
      </c>
      <c r="H254" s="539">
        <f t="shared" si="191"/>
        <v>0</v>
      </c>
      <c r="I254" s="539">
        <f t="shared" si="191"/>
        <v>0</v>
      </c>
      <c r="J254" s="539">
        <f t="shared" si="191"/>
        <v>0</v>
      </c>
      <c r="K254" s="539">
        <f t="shared" si="191"/>
        <v>0</v>
      </c>
      <c r="L254" s="539">
        <f t="shared" si="191"/>
        <v>0</v>
      </c>
      <c r="M254" s="539">
        <f t="shared" si="191"/>
        <v>0</v>
      </c>
      <c r="N254" s="539">
        <f t="shared" si="191"/>
        <v>0</v>
      </c>
      <c r="O254" s="540">
        <f t="shared" si="191"/>
        <v>0</v>
      </c>
      <c r="P254" s="647" t="str">
        <f>IF(Q254="-","-",Q254/COUNTIF(D254:O254,"&gt;0"))</f>
        <v>-</v>
      </c>
      <c r="Q254" s="648" t="str">
        <f t="shared" si="179"/>
        <v>-</v>
      </c>
    </row>
    <row r="255" spans="1:17" ht="15.75" customHeight="1" x14ac:dyDescent="0.25">
      <c r="A255" s="848" t="s">
        <v>33</v>
      </c>
      <c r="B255" s="849"/>
      <c r="C255" s="535" t="s">
        <v>30</v>
      </c>
      <c r="D255" s="606"/>
      <c r="E255" s="606"/>
      <c r="F255" s="606"/>
      <c r="G255" s="606"/>
      <c r="H255" s="606"/>
      <c r="I255" s="606"/>
      <c r="J255" s="606"/>
      <c r="K255" s="606"/>
      <c r="L255" s="606"/>
      <c r="M255" s="606"/>
      <c r="N255" s="606"/>
      <c r="O255" s="607"/>
      <c r="P255" s="643" t="str">
        <f t="shared" si="178"/>
        <v>-</v>
      </c>
      <c r="Q255" s="644" t="str">
        <f t="shared" si="179"/>
        <v>-</v>
      </c>
    </row>
    <row r="256" spans="1:17" ht="15.75" customHeight="1" x14ac:dyDescent="0.25">
      <c r="A256" s="850"/>
      <c r="B256" s="851"/>
      <c r="C256" s="10" t="s">
        <v>31</v>
      </c>
      <c r="D256" s="608"/>
      <c r="E256" s="608"/>
      <c r="F256" s="608"/>
      <c r="G256" s="608"/>
      <c r="H256" s="608"/>
      <c r="I256" s="608"/>
      <c r="J256" s="608"/>
      <c r="K256" s="608"/>
      <c r="L256" s="608"/>
      <c r="M256" s="608"/>
      <c r="N256" s="608"/>
      <c r="O256" s="609"/>
      <c r="P256" s="649" t="str">
        <f t="shared" si="178"/>
        <v>-</v>
      </c>
      <c r="Q256" s="650" t="str">
        <f t="shared" si="179"/>
        <v>-</v>
      </c>
    </row>
    <row r="257" spans="1:17" ht="15.75" customHeight="1" x14ac:dyDescent="0.25">
      <c r="A257" s="850"/>
      <c r="B257" s="851"/>
      <c r="C257" s="10" t="s">
        <v>56</v>
      </c>
      <c r="D257" s="608"/>
      <c r="E257" s="608"/>
      <c r="F257" s="608"/>
      <c r="G257" s="608"/>
      <c r="H257" s="608"/>
      <c r="I257" s="608"/>
      <c r="J257" s="608"/>
      <c r="K257" s="608"/>
      <c r="L257" s="608"/>
      <c r="M257" s="608"/>
      <c r="N257" s="608"/>
      <c r="O257" s="609"/>
      <c r="P257" s="649" t="str">
        <f t="shared" si="178"/>
        <v>-</v>
      </c>
      <c r="Q257" s="650" t="str">
        <f t="shared" si="179"/>
        <v>-</v>
      </c>
    </row>
    <row r="258" spans="1:17" ht="15.75" customHeight="1" thickBot="1" x14ac:dyDescent="0.3">
      <c r="A258" s="852"/>
      <c r="B258" s="853"/>
      <c r="C258" s="536" t="s">
        <v>5</v>
      </c>
      <c r="D258" s="539">
        <f>IF(SUM(D255,D256,D257)=0,0,SUM(D255,D256,D257))</f>
        <v>0</v>
      </c>
      <c r="E258" s="539">
        <f t="shared" ref="E258:O258" si="192">IF(SUM(E255,E256,E257)=0,0,SUM(E255,E256,E257))</f>
        <v>0</v>
      </c>
      <c r="F258" s="539">
        <f t="shared" si="192"/>
        <v>0</v>
      </c>
      <c r="G258" s="539">
        <f t="shared" si="192"/>
        <v>0</v>
      </c>
      <c r="H258" s="539">
        <f t="shared" si="192"/>
        <v>0</v>
      </c>
      <c r="I258" s="539">
        <f t="shared" si="192"/>
        <v>0</v>
      </c>
      <c r="J258" s="539">
        <f t="shared" si="192"/>
        <v>0</v>
      </c>
      <c r="K258" s="539">
        <f t="shared" si="192"/>
        <v>0</v>
      </c>
      <c r="L258" s="539">
        <f t="shared" si="192"/>
        <v>0</v>
      </c>
      <c r="M258" s="539">
        <f t="shared" si="192"/>
        <v>0</v>
      </c>
      <c r="N258" s="539">
        <f t="shared" si="192"/>
        <v>0</v>
      </c>
      <c r="O258" s="540">
        <f t="shared" si="192"/>
        <v>0</v>
      </c>
      <c r="P258" s="651" t="str">
        <f>IF(Q258="-","-",Q258/COUNTIF(D258:O258,"&gt;0"))</f>
        <v>-</v>
      </c>
      <c r="Q258" s="652" t="str">
        <f t="shared" si="179"/>
        <v>-</v>
      </c>
    </row>
    <row r="259" spans="1:17" ht="15.75" customHeight="1" x14ac:dyDescent="0.25">
      <c r="A259" s="805" t="s">
        <v>34</v>
      </c>
      <c r="B259" s="806"/>
      <c r="C259" s="626" t="s">
        <v>30</v>
      </c>
      <c r="D259" s="710" t="str">
        <f>IF(D247-D251-D255=0, "",D247-D251-D255)</f>
        <v/>
      </c>
      <c r="E259" s="710" t="str">
        <f t="shared" ref="E259:O259" si="193">IF(E247-E251-E255=0, "",E247-E251-E255)</f>
        <v/>
      </c>
      <c r="F259" s="710" t="str">
        <f t="shared" si="193"/>
        <v/>
      </c>
      <c r="G259" s="710" t="str">
        <f t="shared" si="193"/>
        <v/>
      </c>
      <c r="H259" s="710" t="str">
        <f t="shared" si="193"/>
        <v/>
      </c>
      <c r="I259" s="710" t="str">
        <f t="shared" si="193"/>
        <v/>
      </c>
      <c r="J259" s="710" t="str">
        <f t="shared" si="193"/>
        <v/>
      </c>
      <c r="K259" s="710" t="str">
        <f t="shared" si="193"/>
        <v/>
      </c>
      <c r="L259" s="710" t="str">
        <f t="shared" si="193"/>
        <v/>
      </c>
      <c r="M259" s="710" t="str">
        <f t="shared" si="193"/>
        <v/>
      </c>
      <c r="N259" s="710" t="str">
        <f t="shared" si="193"/>
        <v/>
      </c>
      <c r="O259" s="711" t="str">
        <f t="shared" si="193"/>
        <v/>
      </c>
      <c r="P259" s="653" t="str">
        <f t="shared" si="178"/>
        <v>-</v>
      </c>
      <c r="Q259" s="654" t="str">
        <f t="shared" si="179"/>
        <v>-</v>
      </c>
    </row>
    <row r="260" spans="1:17" ht="15.75" customHeight="1" x14ac:dyDescent="0.25">
      <c r="A260" s="807"/>
      <c r="B260" s="808"/>
      <c r="C260" s="627" t="s">
        <v>31</v>
      </c>
      <c r="D260" s="712" t="str">
        <f t="shared" ref="D260:O261" si="194">IF(D248-D252-D256=0, "",D248-D252-D256)</f>
        <v/>
      </c>
      <c r="E260" s="712" t="str">
        <f t="shared" si="194"/>
        <v/>
      </c>
      <c r="F260" s="712" t="str">
        <f t="shared" si="194"/>
        <v/>
      </c>
      <c r="G260" s="712" t="str">
        <f t="shared" si="194"/>
        <v/>
      </c>
      <c r="H260" s="712" t="str">
        <f t="shared" si="194"/>
        <v/>
      </c>
      <c r="I260" s="712" t="str">
        <f t="shared" si="194"/>
        <v/>
      </c>
      <c r="J260" s="712" t="str">
        <f t="shared" si="194"/>
        <v/>
      </c>
      <c r="K260" s="712" t="str">
        <f t="shared" si="194"/>
        <v/>
      </c>
      <c r="L260" s="712" t="str">
        <f t="shared" si="194"/>
        <v/>
      </c>
      <c r="M260" s="712" t="str">
        <f t="shared" si="194"/>
        <v/>
      </c>
      <c r="N260" s="712" t="str">
        <f t="shared" si="194"/>
        <v/>
      </c>
      <c r="O260" s="713" t="str">
        <f t="shared" si="194"/>
        <v/>
      </c>
      <c r="P260" s="655" t="str">
        <f t="shared" si="178"/>
        <v>-</v>
      </c>
      <c r="Q260" s="656" t="str">
        <f t="shared" si="179"/>
        <v>-</v>
      </c>
    </row>
    <row r="261" spans="1:17" ht="15.75" customHeight="1" x14ac:dyDescent="0.25">
      <c r="A261" s="807"/>
      <c r="B261" s="808"/>
      <c r="C261" s="627" t="s">
        <v>56</v>
      </c>
      <c r="D261" s="712" t="str">
        <f t="shared" si="194"/>
        <v/>
      </c>
      <c r="E261" s="712" t="str">
        <f t="shared" si="194"/>
        <v/>
      </c>
      <c r="F261" s="712" t="str">
        <f t="shared" si="194"/>
        <v/>
      </c>
      <c r="G261" s="712" t="str">
        <f t="shared" si="194"/>
        <v/>
      </c>
      <c r="H261" s="712" t="str">
        <f t="shared" si="194"/>
        <v/>
      </c>
      <c r="I261" s="712" t="str">
        <f t="shared" si="194"/>
        <v/>
      </c>
      <c r="J261" s="712" t="str">
        <f t="shared" si="194"/>
        <v/>
      </c>
      <c r="K261" s="712" t="str">
        <f t="shared" si="194"/>
        <v/>
      </c>
      <c r="L261" s="712" t="str">
        <f t="shared" si="194"/>
        <v/>
      </c>
      <c r="M261" s="712" t="str">
        <f t="shared" si="194"/>
        <v/>
      </c>
      <c r="N261" s="712" t="str">
        <f t="shared" si="194"/>
        <v/>
      </c>
      <c r="O261" s="713" t="str">
        <f t="shared" si="194"/>
        <v/>
      </c>
      <c r="P261" s="655" t="str">
        <f t="shared" si="178"/>
        <v>-</v>
      </c>
      <c r="Q261" s="656" t="str">
        <f t="shared" si="179"/>
        <v>-</v>
      </c>
    </row>
    <row r="262" spans="1:17" ht="19.5" thickBot="1" x14ac:dyDescent="0.3">
      <c r="A262" s="809"/>
      <c r="B262" s="810"/>
      <c r="C262" s="530" t="s">
        <v>5</v>
      </c>
      <c r="D262" s="528">
        <f>IF(SUM(D259:D261)=0,0,SUM(D259:D261))</f>
        <v>0</v>
      </c>
      <c r="E262" s="528">
        <f t="shared" ref="E262:O262" si="195">IF(SUM(E259:E261)=0,0,SUM(E259:E261))</f>
        <v>0</v>
      </c>
      <c r="F262" s="528">
        <f t="shared" si="195"/>
        <v>0</v>
      </c>
      <c r="G262" s="528">
        <f t="shared" si="195"/>
        <v>0</v>
      </c>
      <c r="H262" s="528">
        <f t="shared" si="195"/>
        <v>0</v>
      </c>
      <c r="I262" s="528">
        <f t="shared" si="195"/>
        <v>0</v>
      </c>
      <c r="J262" s="528">
        <f t="shared" si="195"/>
        <v>0</v>
      </c>
      <c r="K262" s="528">
        <f t="shared" si="195"/>
        <v>0</v>
      </c>
      <c r="L262" s="528">
        <f t="shared" si="195"/>
        <v>0</v>
      </c>
      <c r="M262" s="528">
        <f t="shared" si="195"/>
        <v>0</v>
      </c>
      <c r="N262" s="528">
        <f t="shared" si="195"/>
        <v>0</v>
      </c>
      <c r="O262" s="545">
        <f t="shared" si="195"/>
        <v>0</v>
      </c>
      <c r="P262" s="657" t="str">
        <f>IF(Q262="-","-",Q262/COUNTIF(D262:O262,"&gt;0"))</f>
        <v>-</v>
      </c>
      <c r="Q262" s="658" t="str">
        <f t="shared" si="179"/>
        <v>-</v>
      </c>
    </row>
    <row r="263" spans="1:17" ht="39" customHeight="1" thickBot="1" x14ac:dyDescent="0.3">
      <c r="A263" s="875" t="s">
        <v>186</v>
      </c>
      <c r="B263" s="876"/>
      <c r="C263" s="877"/>
      <c r="D263" s="532">
        <f>IF(SUM(D245,D250)=0,0,D247+D248-D245-D267-D268)</f>
        <v>0</v>
      </c>
      <c r="E263" s="532">
        <f t="shared" ref="E263:O263" si="196">IF(SUM(E245,E250)=0,0,E247+E248-E245-E267-E268)</f>
        <v>0</v>
      </c>
      <c r="F263" s="532">
        <f t="shared" si="196"/>
        <v>0</v>
      </c>
      <c r="G263" s="532">
        <f t="shared" si="196"/>
        <v>0</v>
      </c>
      <c r="H263" s="532">
        <f t="shared" si="196"/>
        <v>0</v>
      </c>
      <c r="I263" s="532">
        <f t="shared" si="196"/>
        <v>0</v>
      </c>
      <c r="J263" s="532">
        <f t="shared" si="196"/>
        <v>0</v>
      </c>
      <c r="K263" s="532">
        <f t="shared" si="196"/>
        <v>0</v>
      </c>
      <c r="L263" s="532">
        <f t="shared" si="196"/>
        <v>0</v>
      </c>
      <c r="M263" s="532">
        <f t="shared" si="196"/>
        <v>0</v>
      </c>
      <c r="N263" s="532">
        <f t="shared" si="196"/>
        <v>0</v>
      </c>
      <c r="O263" s="533">
        <f t="shared" si="196"/>
        <v>0</v>
      </c>
      <c r="P263" s="659" t="str">
        <f>IF(Q263="-","-",Q263/COUNTIF(D263:O263,"&lt;&gt;0"))</f>
        <v>-</v>
      </c>
      <c r="Q263" s="660" t="str">
        <f t="shared" si="179"/>
        <v>-</v>
      </c>
    </row>
    <row r="264" spans="1:17" ht="15.75" customHeight="1" x14ac:dyDescent="0.25">
      <c r="A264" s="811" t="s">
        <v>35</v>
      </c>
      <c r="B264" s="812"/>
      <c r="C264" s="529" t="s">
        <v>30</v>
      </c>
      <c r="D264" s="606"/>
      <c r="E264" s="606"/>
      <c r="F264" s="606"/>
      <c r="G264" s="606"/>
      <c r="H264" s="606"/>
      <c r="I264" s="606"/>
      <c r="J264" s="606"/>
      <c r="K264" s="606"/>
      <c r="L264" s="606"/>
      <c r="M264" s="606"/>
      <c r="N264" s="606"/>
      <c r="O264" s="607"/>
      <c r="P264" s="637" t="str">
        <f t="shared" ref="P264:P273" si="197">IF(Q264="-","-",Q264/COUNTIF(D264:O264,"&lt;&gt;"))</f>
        <v>-</v>
      </c>
      <c r="Q264" s="638" t="str">
        <f t="shared" si="179"/>
        <v>-</v>
      </c>
    </row>
    <row r="265" spans="1:17" ht="15.75" customHeight="1" x14ac:dyDescent="0.25">
      <c r="A265" s="813"/>
      <c r="B265" s="814"/>
      <c r="C265" s="11" t="s">
        <v>31</v>
      </c>
      <c r="D265" s="608"/>
      <c r="E265" s="610"/>
      <c r="F265" s="610"/>
      <c r="G265" s="610"/>
      <c r="H265" s="610"/>
      <c r="I265" s="610"/>
      <c r="J265" s="610"/>
      <c r="K265" s="610"/>
      <c r="L265" s="610"/>
      <c r="M265" s="610"/>
      <c r="N265" s="610"/>
      <c r="O265" s="611"/>
      <c r="P265" s="661" t="str">
        <f t="shared" si="197"/>
        <v>-</v>
      </c>
      <c r="Q265" s="662" t="str">
        <f t="shared" si="179"/>
        <v>-</v>
      </c>
    </row>
    <row r="266" spans="1:17" ht="15.75" customHeight="1" x14ac:dyDescent="0.25">
      <c r="A266" s="813"/>
      <c r="B266" s="814"/>
      <c r="C266" s="8" t="s">
        <v>56</v>
      </c>
      <c r="D266" s="608"/>
      <c r="E266" s="608"/>
      <c r="F266" s="608"/>
      <c r="G266" s="608"/>
      <c r="H266" s="608"/>
      <c r="I266" s="608"/>
      <c r="J266" s="608"/>
      <c r="K266" s="608"/>
      <c r="L266" s="608"/>
      <c r="M266" s="608"/>
      <c r="N266" s="608"/>
      <c r="O266" s="611"/>
      <c r="P266" s="639" t="str">
        <f t="shared" si="197"/>
        <v>-</v>
      </c>
      <c r="Q266" s="640" t="str">
        <f t="shared" si="179"/>
        <v>-</v>
      </c>
    </row>
    <row r="267" spans="1:17" ht="15.75" customHeight="1" x14ac:dyDescent="0.25">
      <c r="A267" s="813"/>
      <c r="B267" s="814"/>
      <c r="C267" s="8" t="s">
        <v>57</v>
      </c>
      <c r="D267" s="608"/>
      <c r="E267" s="608"/>
      <c r="F267" s="608"/>
      <c r="G267" s="608"/>
      <c r="H267" s="608"/>
      <c r="I267" s="608"/>
      <c r="J267" s="608"/>
      <c r="K267" s="608"/>
      <c r="L267" s="608"/>
      <c r="M267" s="608"/>
      <c r="N267" s="608"/>
      <c r="O267" s="611"/>
      <c r="P267" s="639" t="str">
        <f>IF(Q267=0,"-",Q267/COUNTIF(D267:O267,"&lt;&gt;"))</f>
        <v>-</v>
      </c>
      <c r="Q267" s="640">
        <f>IF(SUM(D267:O267)=0,0,SUM(D267:O267))</f>
        <v>0</v>
      </c>
    </row>
    <row r="268" spans="1:17" ht="15.75" customHeight="1" x14ac:dyDescent="0.25">
      <c r="A268" s="813"/>
      <c r="B268" s="814"/>
      <c r="C268" s="8" t="s">
        <v>58</v>
      </c>
      <c r="D268" s="608"/>
      <c r="E268" s="608"/>
      <c r="F268" s="608"/>
      <c r="G268" s="608"/>
      <c r="H268" s="608"/>
      <c r="I268" s="608"/>
      <c r="J268" s="608"/>
      <c r="K268" s="608"/>
      <c r="L268" s="608"/>
      <c r="M268" s="608"/>
      <c r="N268" s="608"/>
      <c r="O268" s="611"/>
      <c r="P268" s="639" t="str">
        <f>IF(Q268=0,"-",Q268/COUNTIF(D268:O268,"&lt;&gt;"))</f>
        <v>-</v>
      </c>
      <c r="Q268" s="640">
        <f>IF(SUM(D268:O268)=0,0,SUM(D268:O268))</f>
        <v>0</v>
      </c>
    </row>
    <row r="269" spans="1:17" ht="15.75" customHeight="1" thickBot="1" x14ac:dyDescent="0.3">
      <c r="A269" s="815"/>
      <c r="B269" s="816"/>
      <c r="C269" s="530" t="s">
        <v>5</v>
      </c>
      <c r="D269" s="531">
        <f>IF(SUM(D264:D268)=0,,SUM(D264:D268))</f>
        <v>0</v>
      </c>
      <c r="E269" s="531">
        <f>IF(SUM(E264:E268)=0,,SUM(E264:E268))</f>
        <v>0</v>
      </c>
      <c r="F269" s="531">
        <f t="shared" ref="F269:O269" si="198">IF(SUM(F264:F268)=0,,SUM(F264:F268))</f>
        <v>0</v>
      </c>
      <c r="G269" s="531">
        <f t="shared" si="198"/>
        <v>0</v>
      </c>
      <c r="H269" s="531">
        <f t="shared" si="198"/>
        <v>0</v>
      </c>
      <c r="I269" s="531">
        <f t="shared" si="198"/>
        <v>0</v>
      </c>
      <c r="J269" s="531">
        <f t="shared" si="198"/>
        <v>0</v>
      </c>
      <c r="K269" s="531">
        <f t="shared" si="198"/>
        <v>0</v>
      </c>
      <c r="L269" s="531">
        <f t="shared" si="198"/>
        <v>0</v>
      </c>
      <c r="M269" s="531">
        <f t="shared" si="198"/>
        <v>0</v>
      </c>
      <c r="N269" s="531">
        <f t="shared" si="198"/>
        <v>0</v>
      </c>
      <c r="O269" s="534">
        <f t="shared" si="198"/>
        <v>0</v>
      </c>
      <c r="P269" s="657" t="str">
        <f>IF(Q269="-","-",Q269/COUNTIF(D269:O269,"&gt;0"))</f>
        <v>-</v>
      </c>
      <c r="Q269" s="658" t="str">
        <f t="shared" si="179"/>
        <v>-</v>
      </c>
    </row>
    <row r="270" spans="1:17" ht="15.75" customHeight="1" x14ac:dyDescent="0.25">
      <c r="A270" s="817" t="s">
        <v>59</v>
      </c>
      <c r="B270" s="818"/>
      <c r="C270" s="819"/>
      <c r="D270" s="612"/>
      <c r="E270" s="612"/>
      <c r="F270" s="612"/>
      <c r="G270" s="612"/>
      <c r="H270" s="612"/>
      <c r="I270" s="612"/>
      <c r="J270" s="612"/>
      <c r="K270" s="612"/>
      <c r="L270" s="612"/>
      <c r="M270" s="612"/>
      <c r="N270" s="612"/>
      <c r="O270" s="613"/>
      <c r="P270" s="663" t="str">
        <f t="shared" si="197"/>
        <v>-</v>
      </c>
      <c r="Q270" s="664" t="str">
        <f t="shared" si="179"/>
        <v>-</v>
      </c>
    </row>
    <row r="271" spans="1:17" ht="15.75" customHeight="1" x14ac:dyDescent="0.25">
      <c r="A271" s="854" t="s">
        <v>6</v>
      </c>
      <c r="B271" s="855"/>
      <c r="C271" s="856"/>
      <c r="D271" s="614"/>
      <c r="E271" s="614"/>
      <c r="F271" s="614"/>
      <c r="G271" s="614"/>
      <c r="H271" s="614"/>
      <c r="I271" s="614"/>
      <c r="J271" s="614"/>
      <c r="K271" s="614"/>
      <c r="L271" s="614"/>
      <c r="M271" s="614"/>
      <c r="N271" s="614"/>
      <c r="O271" s="615"/>
      <c r="P271" s="665" t="str">
        <f t="shared" si="197"/>
        <v>-</v>
      </c>
      <c r="Q271" s="666" t="str">
        <f t="shared" si="179"/>
        <v>-</v>
      </c>
    </row>
    <row r="272" spans="1:17" ht="15.75" customHeight="1" x14ac:dyDescent="0.25">
      <c r="A272" s="857" t="s">
        <v>36</v>
      </c>
      <c r="B272" s="858"/>
      <c r="C272" s="859"/>
      <c r="D272" s="614"/>
      <c r="E272" s="614"/>
      <c r="F272" s="614"/>
      <c r="G272" s="614"/>
      <c r="H272" s="614"/>
      <c r="I272" s="614"/>
      <c r="J272" s="614"/>
      <c r="K272" s="614"/>
      <c r="L272" s="614"/>
      <c r="M272" s="614"/>
      <c r="N272" s="614"/>
      <c r="O272" s="615"/>
      <c r="P272" s="665" t="str">
        <f t="shared" si="197"/>
        <v>-</v>
      </c>
      <c r="Q272" s="666" t="str">
        <f t="shared" si="179"/>
        <v>-</v>
      </c>
    </row>
    <row r="273" spans="1:17" ht="15.75" customHeight="1" x14ac:dyDescent="0.25">
      <c r="A273" s="857" t="s">
        <v>19</v>
      </c>
      <c r="B273" s="858"/>
      <c r="C273" s="859"/>
      <c r="D273" s="614"/>
      <c r="E273" s="614"/>
      <c r="F273" s="614"/>
      <c r="G273" s="614"/>
      <c r="H273" s="614"/>
      <c r="I273" s="614"/>
      <c r="J273" s="614"/>
      <c r="K273" s="614"/>
      <c r="L273" s="614"/>
      <c r="M273" s="614"/>
      <c r="N273" s="614"/>
      <c r="O273" s="615"/>
      <c r="P273" s="665" t="str">
        <f t="shared" si="197"/>
        <v>-</v>
      </c>
      <c r="Q273" s="667" t="str">
        <f t="shared" si="179"/>
        <v>-</v>
      </c>
    </row>
    <row r="274" spans="1:17" ht="15.75" customHeight="1" x14ac:dyDescent="0.25">
      <c r="A274" s="857" t="s">
        <v>154</v>
      </c>
      <c r="B274" s="858"/>
      <c r="C274" s="859"/>
      <c r="D274" s="616" t="str">
        <f>IF(D272+D271=0,"",(SUM(D250,D269,D275))/(D272+D271))</f>
        <v/>
      </c>
      <c r="E274" s="616" t="str">
        <f t="shared" ref="E274:O274" si="199">IF(E272+E271=0,"",(SUM(E250,E269,E275))/(E272+E271))</f>
        <v/>
      </c>
      <c r="F274" s="616" t="str">
        <f t="shared" si="199"/>
        <v/>
      </c>
      <c r="G274" s="616" t="str">
        <f t="shared" si="199"/>
        <v/>
      </c>
      <c r="H274" s="616" t="str">
        <f t="shared" si="199"/>
        <v/>
      </c>
      <c r="I274" s="616" t="str">
        <f t="shared" si="199"/>
        <v/>
      </c>
      <c r="J274" s="616" t="str">
        <f t="shared" si="199"/>
        <v/>
      </c>
      <c r="K274" s="616" t="str">
        <f t="shared" si="199"/>
        <v/>
      </c>
      <c r="L274" s="616" t="str">
        <f t="shared" si="199"/>
        <v/>
      </c>
      <c r="M274" s="616" t="str">
        <f t="shared" si="199"/>
        <v/>
      </c>
      <c r="N274" s="616" t="str">
        <f t="shared" si="199"/>
        <v/>
      </c>
      <c r="O274" s="616" t="str">
        <f t="shared" si="199"/>
        <v/>
      </c>
      <c r="P274" s="668" t="str">
        <f>IF(SUM(D274:N274)=0,"-",(SUM(D274:N274))/COUNTIF(D274:O274,"&lt;&gt;"))</f>
        <v>-</v>
      </c>
      <c r="Q274" s="669"/>
    </row>
    <row r="275" spans="1:17" ht="15.75" customHeight="1" thickBot="1" x14ac:dyDescent="0.3">
      <c r="A275" s="673" t="s">
        <v>146</v>
      </c>
      <c r="B275" s="674" t="s">
        <v>147</v>
      </c>
      <c r="C275" s="618"/>
      <c r="D275" s="617" t="str">
        <f>IF(D271=0,"",D271*$C$275)</f>
        <v/>
      </c>
      <c r="E275" s="617" t="str">
        <f t="shared" ref="E275:O275" si="200">IF(E271=0,"",E271*$C$275)</f>
        <v/>
      </c>
      <c r="F275" s="617" t="str">
        <f t="shared" si="200"/>
        <v/>
      </c>
      <c r="G275" s="617" t="str">
        <f t="shared" si="200"/>
        <v/>
      </c>
      <c r="H275" s="617" t="str">
        <f t="shared" si="200"/>
        <v/>
      </c>
      <c r="I275" s="617" t="str">
        <f t="shared" si="200"/>
        <v/>
      </c>
      <c r="J275" s="617" t="str">
        <f t="shared" si="200"/>
        <v/>
      </c>
      <c r="K275" s="617" t="str">
        <f t="shared" si="200"/>
        <v/>
      </c>
      <c r="L275" s="617" t="str">
        <f t="shared" si="200"/>
        <v/>
      </c>
      <c r="M275" s="617" t="str">
        <f t="shared" si="200"/>
        <v/>
      </c>
      <c r="N275" s="617" t="str">
        <f t="shared" si="200"/>
        <v/>
      </c>
      <c r="O275" s="617" t="str">
        <f t="shared" si="200"/>
        <v/>
      </c>
      <c r="P275" s="670" t="str">
        <f t="shared" si="178"/>
        <v>-</v>
      </c>
      <c r="Q275" s="671" t="str">
        <f t="shared" si="179"/>
        <v>-</v>
      </c>
    </row>
    <row r="276" spans="1:17" ht="36.75" thickBot="1" x14ac:dyDescent="0.3">
      <c r="A276" s="860" t="s">
        <v>152</v>
      </c>
      <c r="B276" s="861"/>
      <c r="C276" s="861"/>
      <c r="D276" s="861"/>
      <c r="E276" s="861"/>
      <c r="F276" s="861"/>
      <c r="G276" s="861"/>
      <c r="H276" s="861"/>
      <c r="I276" s="861"/>
      <c r="J276" s="861"/>
      <c r="K276" s="861"/>
      <c r="L276" s="861"/>
      <c r="M276" s="861"/>
      <c r="N276" s="861"/>
      <c r="O276" s="861"/>
      <c r="P276" s="862"/>
      <c r="Q276" s="12" t="str">
        <f>IF(Q250="-","-",Q250+Q269+Q275-Q267-Q268)</f>
        <v>-</v>
      </c>
    </row>
  </sheetData>
  <sheetProtection sheet="1" objects="1" scenarios="1" selectLockedCells="1"/>
  <mergeCells count="164">
    <mergeCell ref="A271:C271"/>
    <mergeCell ref="A272:C272"/>
    <mergeCell ref="A273:C273"/>
    <mergeCell ref="A274:C274"/>
    <mergeCell ref="A276:P276"/>
    <mergeCell ref="A245:C245"/>
    <mergeCell ref="A246:Q246"/>
    <mergeCell ref="A247:B250"/>
    <mergeCell ref="A251:B254"/>
    <mergeCell ref="A255:B258"/>
    <mergeCell ref="A259:B262"/>
    <mergeCell ref="A263:C263"/>
    <mergeCell ref="A264:B269"/>
    <mergeCell ref="A270:C270"/>
    <mergeCell ref="B223:C223"/>
    <mergeCell ref="A229:A231"/>
    <mergeCell ref="A232:B233"/>
    <mergeCell ref="A234:B235"/>
    <mergeCell ref="A236:B237"/>
    <mergeCell ref="A238:B239"/>
    <mergeCell ref="A240:B241"/>
    <mergeCell ref="A242:B243"/>
    <mergeCell ref="A244:C244"/>
    <mergeCell ref="B224:B225"/>
    <mergeCell ref="A224:A228"/>
    <mergeCell ref="B228:C228"/>
    <mergeCell ref="B207:B208"/>
    <mergeCell ref="B209:B210"/>
    <mergeCell ref="B211:B212"/>
    <mergeCell ref="B213:B214"/>
    <mergeCell ref="B215:B216"/>
    <mergeCell ref="B217:B218"/>
    <mergeCell ref="B219:B220"/>
    <mergeCell ref="B221:C221"/>
    <mergeCell ref="B222:C222"/>
    <mergeCell ref="B189:B190"/>
    <mergeCell ref="B191:C191"/>
    <mergeCell ref="B192:C192"/>
    <mergeCell ref="B163:B164"/>
    <mergeCell ref="B165:B166"/>
    <mergeCell ref="B167:B168"/>
    <mergeCell ref="B169:B170"/>
    <mergeCell ref="B171:B172"/>
    <mergeCell ref="B173:B174"/>
    <mergeCell ref="B175:B176"/>
    <mergeCell ref="B177:B178"/>
    <mergeCell ref="B158:B159"/>
    <mergeCell ref="B160:C160"/>
    <mergeCell ref="B161:C161"/>
    <mergeCell ref="P162:Q162"/>
    <mergeCell ref="B179:B180"/>
    <mergeCell ref="B181:B182"/>
    <mergeCell ref="B183:B184"/>
    <mergeCell ref="B185:B186"/>
    <mergeCell ref="B187:B188"/>
    <mergeCell ref="B140:B141"/>
    <mergeCell ref="B142:B143"/>
    <mergeCell ref="B144:B145"/>
    <mergeCell ref="B146:B147"/>
    <mergeCell ref="B148:B149"/>
    <mergeCell ref="B150:B151"/>
    <mergeCell ref="B152:B153"/>
    <mergeCell ref="B154:B155"/>
    <mergeCell ref="B156:B157"/>
    <mergeCell ref="A69:A99"/>
    <mergeCell ref="B69:C69"/>
    <mergeCell ref="P69:Q69"/>
    <mergeCell ref="B80:B81"/>
    <mergeCell ref="B82:B83"/>
    <mergeCell ref="B84:B85"/>
    <mergeCell ref="B86:B87"/>
    <mergeCell ref="B88:B89"/>
    <mergeCell ref="B90:B91"/>
    <mergeCell ref="B92:B93"/>
    <mergeCell ref="B94:B95"/>
    <mergeCell ref="B96:B97"/>
    <mergeCell ref="B98:C98"/>
    <mergeCell ref="B99:C99"/>
    <mergeCell ref="B72:B73"/>
    <mergeCell ref="B70:B71"/>
    <mergeCell ref="B76:B77"/>
    <mergeCell ref="B78:B79"/>
    <mergeCell ref="P38:Q38"/>
    <mergeCell ref="B55:B56"/>
    <mergeCell ref="B57:B58"/>
    <mergeCell ref="B59:B60"/>
    <mergeCell ref="B61:B62"/>
    <mergeCell ref="B63:B64"/>
    <mergeCell ref="B65:B66"/>
    <mergeCell ref="B67:C67"/>
    <mergeCell ref="B68:C68"/>
    <mergeCell ref="B38:C38"/>
    <mergeCell ref="B117:B118"/>
    <mergeCell ref="B119:B120"/>
    <mergeCell ref="B123:B124"/>
    <mergeCell ref="B125:B126"/>
    <mergeCell ref="B127:B128"/>
    <mergeCell ref="B129:C129"/>
    <mergeCell ref="B74:B75"/>
    <mergeCell ref="B101:B102"/>
    <mergeCell ref="B105:B106"/>
    <mergeCell ref="B107:B108"/>
    <mergeCell ref="B109:B110"/>
    <mergeCell ref="B111:B112"/>
    <mergeCell ref="B113:B114"/>
    <mergeCell ref="B115:B116"/>
    <mergeCell ref="B24:B25"/>
    <mergeCell ref="B14:B15"/>
    <mergeCell ref="B16:B17"/>
    <mergeCell ref="B18:B19"/>
    <mergeCell ref="B20:B21"/>
    <mergeCell ref="B22:B23"/>
    <mergeCell ref="B8:B9"/>
    <mergeCell ref="B7:C7"/>
    <mergeCell ref="B10:B11"/>
    <mergeCell ref="B12:B13"/>
    <mergeCell ref="B26:B27"/>
    <mergeCell ref="B39:B40"/>
    <mergeCell ref="B49:B50"/>
    <mergeCell ref="B45:B46"/>
    <mergeCell ref="B47:B48"/>
    <mergeCell ref="B28:B29"/>
    <mergeCell ref="B51:B52"/>
    <mergeCell ref="B53:B54"/>
    <mergeCell ref="A1:C1"/>
    <mergeCell ref="A6:Q6"/>
    <mergeCell ref="P2:Q5"/>
    <mergeCell ref="A3:C3"/>
    <mergeCell ref="A4:C4"/>
    <mergeCell ref="A5:C5"/>
    <mergeCell ref="B41:B42"/>
    <mergeCell ref="B43:B44"/>
    <mergeCell ref="A2:C2"/>
    <mergeCell ref="A7:A37"/>
    <mergeCell ref="B30:B31"/>
    <mergeCell ref="B32:B33"/>
    <mergeCell ref="B34:B35"/>
    <mergeCell ref="B36:C36"/>
    <mergeCell ref="B37:C37"/>
    <mergeCell ref="A38:A68"/>
    <mergeCell ref="A162:A192"/>
    <mergeCell ref="B162:C162"/>
    <mergeCell ref="A193:A223"/>
    <mergeCell ref="B130:C130"/>
    <mergeCell ref="B131:C131"/>
    <mergeCell ref="A100:A130"/>
    <mergeCell ref="B100:C100"/>
    <mergeCell ref="B121:B122"/>
    <mergeCell ref="P224:Q228"/>
    <mergeCell ref="B103:B104"/>
    <mergeCell ref="B193:B194"/>
    <mergeCell ref="B195:B196"/>
    <mergeCell ref="B197:B198"/>
    <mergeCell ref="B199:B200"/>
    <mergeCell ref="B201:B202"/>
    <mergeCell ref="B203:B204"/>
    <mergeCell ref="B205:B206"/>
    <mergeCell ref="P100:Q100"/>
    <mergeCell ref="A131:A161"/>
    <mergeCell ref="P131:Q131"/>
    <mergeCell ref="B132:B133"/>
    <mergeCell ref="B134:B135"/>
    <mergeCell ref="B136:B137"/>
    <mergeCell ref="B138:B139"/>
  </mergeCells>
  <pageMargins left="0.7" right="0.7" top="0.75" bottom="0.75" header="0.3" footer="0.3"/>
  <ignoredErrors>
    <ignoredError sqref="P269" formula="1"/>
    <ignoredError sqref="P229:Q230" formulaRange="1"/>
    <ignoredError sqref="D164:E165 B226:B227 D167:E190" unlockedFormula="1"/>
  </ignoredErrors>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7149A097-7CA7-48B4-8819-B9448883FB08}">
          <x14:formula1>
            <xm:f>DATA!$B$1:$B$9</xm:f>
          </x14:formula1>
          <xm:sqref>D3:O3</xm:sqref>
        </x14:dataValidation>
        <x14:dataValidation type="list" allowBlank="1" showInputMessage="1" showErrorMessage="1" xr:uid="{F70798CE-8449-4971-987C-91AFBC718255}">
          <x14:formula1>
            <xm:f>DATA!$E$1:$E$3</xm:f>
          </x14:formula1>
          <xm:sqref>D5:O6</xm:sqref>
        </x14:dataValidation>
        <x14:dataValidation type="list" allowBlank="1" showInputMessage="1" showErrorMessage="1" xr:uid="{D40AE623-A7DF-449A-BEB3-4F9D0A0C7610}">
          <x14:formula1>
            <xm:f>DATA!$A$1:$A$3</xm:f>
          </x14:formula1>
          <xm:sqref>D4:O4</xm:sqref>
        </x14:dataValidation>
        <x14:dataValidation type="list" allowBlank="1" showInputMessage="1" showErrorMessage="1" xr:uid="{294AAAAC-5E81-41DF-8915-B329C934C480}">
          <x14:formula1>
            <xm:f>DATA!$C$1:$C$19</xm:f>
          </x14:formula1>
          <xm:sqref>A69 A7:A38 A100 A131 A162 A215:A220 A92:A97 A123:A128 A154:A159 A185:A190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65B2F-6DC3-4277-B862-BFAFD3FAE052}">
  <dimension ref="A1:Q276"/>
  <sheetViews>
    <sheetView showGridLines="0" showRowColHeaders="0" workbookViewId="0">
      <pane ySplit="1" topLeftCell="A2" activePane="bottomLeft" state="frozen"/>
      <selection activeCell="D4" sqref="D4"/>
      <selection pane="bottomLeft" activeCell="A7" sqref="A7:A37"/>
    </sheetView>
  </sheetViews>
  <sheetFormatPr defaultRowHeight="15" x14ac:dyDescent="0.25"/>
  <cols>
    <col min="1" max="1" width="17.42578125" bestFit="1" customWidth="1"/>
    <col min="2" max="2" width="19.7109375" bestFit="1" customWidth="1"/>
    <col min="3" max="3" width="8.5703125" customWidth="1"/>
    <col min="4" max="15" width="12.28515625" customWidth="1"/>
    <col min="16" max="16" width="12.140625" customWidth="1"/>
    <col min="17" max="17" width="24.85546875" customWidth="1"/>
    <col min="23" max="23" width="9.7109375" customWidth="1"/>
  </cols>
  <sheetData>
    <row r="1" spans="1:17" ht="36.75" thickBot="1" x14ac:dyDescent="0.6">
      <c r="A1" s="961">
        <v>2025</v>
      </c>
      <c r="B1" s="962"/>
      <c r="C1" s="963"/>
      <c r="D1" s="49">
        <v>45658</v>
      </c>
      <c r="E1" s="49">
        <v>45689</v>
      </c>
      <c r="F1" s="49">
        <v>45717</v>
      </c>
      <c r="G1" s="49">
        <v>45748</v>
      </c>
      <c r="H1" s="49">
        <v>45778</v>
      </c>
      <c r="I1" s="49">
        <v>45809</v>
      </c>
      <c r="J1" s="49">
        <v>45839</v>
      </c>
      <c r="K1" s="49">
        <v>45870</v>
      </c>
      <c r="L1" s="49">
        <v>45901</v>
      </c>
      <c r="M1" s="49">
        <v>45931</v>
      </c>
      <c r="N1" s="49">
        <v>45962</v>
      </c>
      <c r="O1" s="49">
        <v>45992</v>
      </c>
      <c r="P1" s="14" t="s">
        <v>0</v>
      </c>
      <c r="Q1" s="15" t="s">
        <v>5</v>
      </c>
    </row>
    <row r="2" spans="1:17" ht="21" customHeight="1" x14ac:dyDescent="0.25">
      <c r="A2" s="902" t="s">
        <v>148</v>
      </c>
      <c r="B2" s="903"/>
      <c r="C2" s="904"/>
      <c r="D2" s="66" t="str">
        <f>IF(OR(WELCOME!$B$2&gt;'2025'!D1, ISBLANK(WELCOME!$B$2)),"",MIN(12,(DATEDIF(WELCOME!$B$2,D1,"Y")+1)))</f>
        <v/>
      </c>
      <c r="E2" s="66" t="str">
        <f>IF(OR(WELCOME!$B$2&gt;'2025'!E1, ISBLANK(WELCOME!$B$2)),"",MIN(12,(DATEDIF(WELCOME!$B$2,E1,"Y")+1)))</f>
        <v/>
      </c>
      <c r="F2" s="66" t="str">
        <f>IF(OR(WELCOME!$B$2&gt;'2025'!F1, ISBLANK(WELCOME!$B$2)),"",MIN(12,(DATEDIF(WELCOME!$B$2,F1,"Y")+1)))</f>
        <v/>
      </c>
      <c r="G2" s="66" t="str">
        <f>IF(OR(WELCOME!$B$2&gt;'2025'!G1, ISBLANK(WELCOME!$B$2)),"",MIN(12,(DATEDIF(WELCOME!$B$2,G1,"Y")+1)))</f>
        <v/>
      </c>
      <c r="H2" s="66" t="str">
        <f>IF(OR(WELCOME!$B$2&gt;'2025'!H1, ISBLANK(WELCOME!$B$2)),"",MIN(12,(DATEDIF(WELCOME!$B$2,H1,"Y")+1)))</f>
        <v/>
      </c>
      <c r="I2" s="66" t="str">
        <f>IF(OR(WELCOME!$B$2&gt;'2025'!I1, ISBLANK(WELCOME!$B$2)),"",MIN(12,(DATEDIF(WELCOME!$B$2,I1,"Y")+1)))</f>
        <v/>
      </c>
      <c r="J2" s="66" t="str">
        <f>IF(OR(WELCOME!$B$2&gt;'2025'!J1, ISBLANK(WELCOME!$B$2)),"",MIN(12,(DATEDIF(WELCOME!$B$2,J1,"Y")+1)))</f>
        <v/>
      </c>
      <c r="K2" s="66" t="str">
        <f>IF(OR(WELCOME!$B$2&gt;'2025'!K1, ISBLANK(WELCOME!$B$2)),"",MIN(12,(DATEDIF(WELCOME!$B$2,K1,"Y")+1)))</f>
        <v/>
      </c>
      <c r="L2" s="66" t="str">
        <f>IF(OR(WELCOME!$B$2&gt;'2025'!L1, ISBLANK(WELCOME!$B$2)),"",MIN(12,(DATEDIF(WELCOME!$B$2,L1,"Y")+1)))</f>
        <v/>
      </c>
      <c r="M2" s="66" t="str">
        <f>IF(OR(WELCOME!$B$2&gt;'2025'!M1, ISBLANK(WELCOME!$B$2)),"",MIN(12,(DATEDIF(WELCOME!$B$2,M1,"Y")+1)))</f>
        <v/>
      </c>
      <c r="N2" s="66" t="str">
        <f>IF(OR(WELCOME!$B$2&gt;'2025'!N1, ISBLANK(WELCOME!$B$2)),"",MIN(12,(DATEDIF(WELCOME!$B$2,N1,"Y")+1)))</f>
        <v/>
      </c>
      <c r="O2" s="724" t="str">
        <f>IF(OR(WELCOME!$B$2&gt;'2025'!O1, ISBLANK(WELCOME!$B$2)),"",MIN(12,(DATEDIF(WELCOME!$B$2,O1,"Y")+1)))</f>
        <v/>
      </c>
      <c r="P2" s="964"/>
      <c r="Q2" s="965"/>
    </row>
    <row r="3" spans="1:17" ht="20.25" customHeight="1" x14ac:dyDescent="0.25">
      <c r="A3" s="968" t="s">
        <v>76</v>
      </c>
      <c r="B3" s="969"/>
      <c r="C3" s="970"/>
      <c r="D3" s="67"/>
      <c r="E3" s="67"/>
      <c r="F3" s="67"/>
      <c r="G3" s="67"/>
      <c r="H3" s="67"/>
      <c r="I3" s="67"/>
      <c r="J3" s="67"/>
      <c r="K3" s="67"/>
      <c r="L3" s="67"/>
      <c r="M3" s="67"/>
      <c r="N3" s="67"/>
      <c r="O3" s="68"/>
      <c r="P3" s="898"/>
      <c r="Q3" s="899"/>
    </row>
    <row r="4" spans="1:17" ht="19.5" customHeight="1" x14ac:dyDescent="0.25">
      <c r="A4" s="968" t="s">
        <v>77</v>
      </c>
      <c r="B4" s="969"/>
      <c r="C4" s="970"/>
      <c r="D4" s="67"/>
      <c r="E4" s="67"/>
      <c r="F4" s="67"/>
      <c r="G4" s="67"/>
      <c r="H4" s="67"/>
      <c r="I4" s="67"/>
      <c r="J4" s="67"/>
      <c r="K4" s="67"/>
      <c r="L4" s="67"/>
      <c r="M4" s="67"/>
      <c r="N4" s="67"/>
      <c r="O4" s="68"/>
      <c r="P4" s="898"/>
      <c r="Q4" s="899"/>
    </row>
    <row r="5" spans="1:17" ht="19.5" customHeight="1" thickBot="1" x14ac:dyDescent="0.3">
      <c r="A5" s="971" t="s">
        <v>4</v>
      </c>
      <c r="B5" s="972"/>
      <c r="C5" s="973"/>
      <c r="D5" s="699"/>
      <c r="E5" s="699"/>
      <c r="F5" s="699"/>
      <c r="G5" s="699"/>
      <c r="H5" s="699"/>
      <c r="I5" s="699"/>
      <c r="J5" s="699"/>
      <c r="K5" s="699"/>
      <c r="L5" s="699"/>
      <c r="M5" s="699"/>
      <c r="N5" s="699"/>
      <c r="O5" s="700"/>
      <c r="P5" s="966"/>
      <c r="Q5" s="967"/>
    </row>
    <row r="6" spans="1:17" ht="27" thickBot="1" x14ac:dyDescent="0.3">
      <c r="A6" s="888" t="s">
        <v>37</v>
      </c>
      <c r="B6" s="889"/>
      <c r="C6" s="889"/>
      <c r="D6" s="889"/>
      <c r="E6" s="889"/>
      <c r="F6" s="889"/>
      <c r="G6" s="889"/>
      <c r="H6" s="889"/>
      <c r="I6" s="889"/>
      <c r="J6" s="889"/>
      <c r="K6" s="889"/>
      <c r="L6" s="889"/>
      <c r="M6" s="889"/>
      <c r="N6" s="889"/>
      <c r="O6" s="889"/>
      <c r="P6" s="889"/>
      <c r="Q6" s="890"/>
    </row>
    <row r="7" spans="1:17" ht="15" customHeight="1" x14ac:dyDescent="0.25">
      <c r="A7" s="893" t="s">
        <v>173</v>
      </c>
      <c r="B7" s="878" t="s">
        <v>3</v>
      </c>
      <c r="C7" s="879"/>
      <c r="D7" s="547" t="str">
        <f>IF('2025DATA'!R3=0,"",'2025DATA'!R3)</f>
        <v/>
      </c>
      <c r="E7" s="547" t="str">
        <f>IF('2025DATA'!S3=0,"",'2025DATA'!S3)</f>
        <v/>
      </c>
      <c r="F7" s="547" t="str">
        <f>IF('2025DATA'!T3=0,"",'2025DATA'!T3)</f>
        <v/>
      </c>
      <c r="G7" s="547" t="str">
        <f>IF('2025DATA'!U3=0,"",'2025DATA'!U3)</f>
        <v/>
      </c>
      <c r="H7" s="547" t="str">
        <f>IF('2025DATA'!V3=0,"",'2025DATA'!V3)</f>
        <v/>
      </c>
      <c r="I7" s="547" t="str">
        <f>IF('2025DATA'!W3=0,"",'2025DATA'!W3)</f>
        <v/>
      </c>
      <c r="J7" s="547" t="str">
        <f>IF('2025DATA'!X3=0,"",'2025DATA'!X3)</f>
        <v/>
      </c>
      <c r="K7" s="547" t="str">
        <f>IF('2025DATA'!Y3=0,"",'2025DATA'!Y3)</f>
        <v/>
      </c>
      <c r="L7" s="547" t="str">
        <f>IF('2025DATA'!Z3=0,"",'2025DATA'!Z3)</f>
        <v/>
      </c>
      <c r="M7" s="547" t="str">
        <f>IF('2025DATA'!AA3=0,"",'2025DATA'!AA3)</f>
        <v/>
      </c>
      <c r="N7" s="547" t="str">
        <f>IF('2025DATA'!AB3=0,"",'2025DATA'!AB3)</f>
        <v/>
      </c>
      <c r="O7" s="548" t="str">
        <f>IF('2025DATA'!AC3=0,"",'2025DATA'!AC3)</f>
        <v/>
      </c>
      <c r="P7" s="524"/>
      <c r="Q7" s="63"/>
    </row>
    <row r="8" spans="1:17" ht="15.75" x14ac:dyDescent="0.25">
      <c r="A8" s="894"/>
      <c r="B8" s="823" t="s">
        <v>7</v>
      </c>
      <c r="C8" s="19" t="s">
        <v>21</v>
      </c>
      <c r="D8" s="549"/>
      <c r="E8" s="549"/>
      <c r="F8" s="549"/>
      <c r="G8" s="549"/>
      <c r="H8" s="549"/>
      <c r="I8" s="549"/>
      <c r="J8" s="549"/>
      <c r="K8" s="549"/>
      <c r="L8" s="549"/>
      <c r="M8" s="549"/>
      <c r="N8" s="549"/>
      <c r="O8" s="550"/>
      <c r="P8" s="512" t="str">
        <f t="shared" ref="P8:P37" si="0">IF(Q8="-","-",Q8/12)</f>
        <v>-</v>
      </c>
      <c r="Q8" s="4" t="str">
        <f t="shared" ref="Q8:Q37" si="1">IF(SUM(D8:O8)=0,"-",SUM(D8:O8))</f>
        <v>-</v>
      </c>
    </row>
    <row r="9" spans="1:17" ht="15.75" x14ac:dyDescent="0.25">
      <c r="A9" s="894"/>
      <c r="B9" s="824"/>
      <c r="C9" s="20" t="s">
        <v>22</v>
      </c>
      <c r="D9" s="683" t="str">
        <f>IF(D8=0,"",D$7*D8*24)</f>
        <v/>
      </c>
      <c r="E9" s="683" t="str">
        <f t="shared" ref="E9:O9" si="2">IF(E8=0,"",E$7*E8*24)</f>
        <v/>
      </c>
      <c r="F9" s="683" t="str">
        <f t="shared" si="2"/>
        <v/>
      </c>
      <c r="G9" s="683" t="str">
        <f t="shared" si="2"/>
        <v/>
      </c>
      <c r="H9" s="683" t="str">
        <f t="shared" si="2"/>
        <v/>
      </c>
      <c r="I9" s="683" t="str">
        <f t="shared" si="2"/>
        <v/>
      </c>
      <c r="J9" s="683" t="str">
        <f t="shared" si="2"/>
        <v/>
      </c>
      <c r="K9" s="683" t="str">
        <f t="shared" si="2"/>
        <v/>
      </c>
      <c r="L9" s="683" t="str">
        <f t="shared" si="2"/>
        <v/>
      </c>
      <c r="M9" s="683" t="str">
        <f t="shared" si="2"/>
        <v/>
      </c>
      <c r="N9" s="683" t="str">
        <f t="shared" si="2"/>
        <v/>
      </c>
      <c r="O9" s="686" t="str">
        <f t="shared" si="2"/>
        <v/>
      </c>
      <c r="P9" s="511" t="str">
        <f t="shared" si="0"/>
        <v>-</v>
      </c>
      <c r="Q9" s="6" t="str">
        <f t="shared" si="1"/>
        <v>-</v>
      </c>
    </row>
    <row r="10" spans="1:17" ht="15.75" x14ac:dyDescent="0.25">
      <c r="A10" s="894"/>
      <c r="B10" s="823" t="s">
        <v>8</v>
      </c>
      <c r="C10" s="775" t="s">
        <v>21</v>
      </c>
      <c r="D10" s="549"/>
      <c r="E10" s="549"/>
      <c r="F10" s="549"/>
      <c r="G10" s="549"/>
      <c r="H10" s="549"/>
      <c r="I10" s="549"/>
      <c r="J10" s="549"/>
      <c r="K10" s="549"/>
      <c r="L10" s="549"/>
      <c r="M10" s="549"/>
      <c r="N10" s="549"/>
      <c r="O10" s="550"/>
      <c r="P10" s="512" t="str">
        <f t="shared" si="0"/>
        <v>-</v>
      </c>
      <c r="Q10" s="4" t="str">
        <f t="shared" si="1"/>
        <v>-</v>
      </c>
    </row>
    <row r="11" spans="1:17" ht="15.75" x14ac:dyDescent="0.25">
      <c r="A11" s="894"/>
      <c r="B11" s="824"/>
      <c r="C11" s="775" t="s">
        <v>22</v>
      </c>
      <c r="D11" s="683" t="str">
        <f>IF(D10=0,"",(D7+IF(D$4="CA",DATA!$B$22,DATA!$B$23))*D10*24)</f>
        <v/>
      </c>
      <c r="E11" s="683" t="str">
        <f>IF(E10=0,"",(E7+IF(E$4="CA",DATA!$B$22,DATA!$B$23))*E10*24)</f>
        <v/>
      </c>
      <c r="F11" s="683" t="str">
        <f>IF(F10=0,"",(F7+IF(F$4="CA",DATA!$B$22,DATA!$B$23))*F10*24)</f>
        <v/>
      </c>
      <c r="G11" s="683" t="str">
        <f>IF(G10=0,"",(G7+IF(G$4="CA",DATA!$B$22,DATA!$B$23))*G10*24)</f>
        <v/>
      </c>
      <c r="H11" s="683" t="str">
        <f>IF(H10=0,"",(H7+IF(H$4="CA",DATA!$B$22,DATA!$B$23))*H10*24)</f>
        <v/>
      </c>
      <c r="I11" s="683" t="str">
        <f>IF(I10=0,"",(I7+IF(I$4="CA",DATA!$B$22,DATA!$B$23))*I10*24)</f>
        <v/>
      </c>
      <c r="J11" s="683" t="str">
        <f>IF(J10=0,"",(J7+IF(J$4="CA",DATA!$B$22,DATA!$B$23))*J10*24)</f>
        <v/>
      </c>
      <c r="K11" s="683" t="str">
        <f>IF(K10=0,"",(K7+IF(K$4="CA",DATA!$B$22,DATA!$B$23))*K10*24)</f>
        <v/>
      </c>
      <c r="L11" s="683" t="str">
        <f>IF(L10=0,"",(L7+IF(L$4="CA",DATA!$B$22,DATA!$B$23))*L10*24)</f>
        <v/>
      </c>
      <c r="M11" s="683" t="str">
        <f>IF(M10=0,"",(M7+IF(M$4="CA",DATA!$B$22,DATA!$B$23))*M10*24)</f>
        <v/>
      </c>
      <c r="N11" s="683" t="str">
        <f>IF(N10=0,"",(N7+IF(N$4="CA",DATA!$B$22,DATA!$B$23))*N10*24)</f>
        <v/>
      </c>
      <c r="O11" s="686" t="str">
        <f>IF(O10=0,"",(O7+IF(O$4="CA",DATA!$B$22,DATA!$B$23))*O10*24)</f>
        <v/>
      </c>
      <c r="P11" s="511" t="str">
        <f t="shared" si="0"/>
        <v>-</v>
      </c>
      <c r="Q11" s="6" t="str">
        <f t="shared" si="1"/>
        <v>-</v>
      </c>
    </row>
    <row r="12" spans="1:17" ht="15.75" x14ac:dyDescent="0.25">
      <c r="A12" s="894"/>
      <c r="B12" s="823" t="s">
        <v>9</v>
      </c>
      <c r="C12" s="19" t="s">
        <v>21</v>
      </c>
      <c r="D12" s="549"/>
      <c r="E12" s="549"/>
      <c r="F12" s="549"/>
      <c r="G12" s="549"/>
      <c r="H12" s="549"/>
      <c r="I12" s="549"/>
      <c r="J12" s="549"/>
      <c r="K12" s="549"/>
      <c r="L12" s="549"/>
      <c r="M12" s="549"/>
      <c r="N12" s="549"/>
      <c r="O12" s="550"/>
      <c r="P12" s="512" t="str">
        <f t="shared" si="0"/>
        <v>-</v>
      </c>
      <c r="Q12" s="4" t="str">
        <f t="shared" si="1"/>
        <v>-</v>
      </c>
    </row>
    <row r="13" spans="1:17" ht="15.75" x14ac:dyDescent="0.25">
      <c r="A13" s="894"/>
      <c r="B13" s="824"/>
      <c r="C13" s="20" t="s">
        <v>22</v>
      </c>
      <c r="D13" s="683" t="str">
        <f>IF(D12=0,"",D$7*D12*24)</f>
        <v/>
      </c>
      <c r="E13" s="683" t="str">
        <f t="shared" ref="E13:O13" si="3">IF(E12=0,"",E$7*E12*24)</f>
        <v/>
      </c>
      <c r="F13" s="683" t="str">
        <f t="shared" si="3"/>
        <v/>
      </c>
      <c r="G13" s="683" t="str">
        <f t="shared" si="3"/>
        <v/>
      </c>
      <c r="H13" s="683" t="str">
        <f t="shared" si="3"/>
        <v/>
      </c>
      <c r="I13" s="683" t="str">
        <f t="shared" si="3"/>
        <v/>
      </c>
      <c r="J13" s="683" t="str">
        <f t="shared" si="3"/>
        <v/>
      </c>
      <c r="K13" s="683" t="str">
        <f t="shared" si="3"/>
        <v/>
      </c>
      <c r="L13" s="683" t="str">
        <f t="shared" si="3"/>
        <v/>
      </c>
      <c r="M13" s="683" t="str">
        <f t="shared" si="3"/>
        <v/>
      </c>
      <c r="N13" s="683" t="str">
        <f t="shared" si="3"/>
        <v/>
      </c>
      <c r="O13" s="686" t="str">
        <f t="shared" si="3"/>
        <v/>
      </c>
      <c r="P13" s="511" t="str">
        <f t="shared" si="0"/>
        <v>-</v>
      </c>
      <c r="Q13" s="6" t="str">
        <f t="shared" si="1"/>
        <v>-</v>
      </c>
    </row>
    <row r="14" spans="1:17" ht="15.75" x14ac:dyDescent="0.25">
      <c r="A14" s="894"/>
      <c r="B14" s="823" t="s">
        <v>10</v>
      </c>
      <c r="C14" s="775" t="s">
        <v>21</v>
      </c>
      <c r="D14" s="549"/>
      <c r="E14" s="549"/>
      <c r="F14" s="549"/>
      <c r="G14" s="549"/>
      <c r="H14" s="549"/>
      <c r="I14" s="549"/>
      <c r="J14" s="549"/>
      <c r="K14" s="549"/>
      <c r="L14" s="549"/>
      <c r="M14" s="549"/>
      <c r="N14" s="549"/>
      <c r="O14" s="550"/>
      <c r="P14" s="512" t="str">
        <f t="shared" si="0"/>
        <v>-</v>
      </c>
      <c r="Q14" s="4" t="str">
        <f t="shared" si="1"/>
        <v>-</v>
      </c>
    </row>
    <row r="15" spans="1:17" ht="15.75" x14ac:dyDescent="0.25">
      <c r="A15" s="894"/>
      <c r="B15" s="824"/>
      <c r="C15" s="775" t="s">
        <v>22</v>
      </c>
      <c r="D15" s="683" t="str">
        <f>IF(D14=0,"",D$7*D14*24)</f>
        <v/>
      </c>
      <c r="E15" s="683" t="str">
        <f t="shared" ref="E15:O15" si="4">IF(E14=0,"",E$7*E14*24)</f>
        <v/>
      </c>
      <c r="F15" s="683" t="str">
        <f t="shared" si="4"/>
        <v/>
      </c>
      <c r="G15" s="683" t="str">
        <f t="shared" si="4"/>
        <v/>
      </c>
      <c r="H15" s="683" t="str">
        <f t="shared" si="4"/>
        <v/>
      </c>
      <c r="I15" s="683" t="str">
        <f t="shared" si="4"/>
        <v/>
      </c>
      <c r="J15" s="683" t="str">
        <f t="shared" si="4"/>
        <v/>
      </c>
      <c r="K15" s="683" t="str">
        <f t="shared" si="4"/>
        <v/>
      </c>
      <c r="L15" s="683" t="str">
        <f t="shared" si="4"/>
        <v/>
      </c>
      <c r="M15" s="683" t="str">
        <f t="shared" si="4"/>
        <v/>
      </c>
      <c r="N15" s="683" t="str">
        <f t="shared" si="4"/>
        <v/>
      </c>
      <c r="O15" s="686" t="str">
        <f t="shared" si="4"/>
        <v/>
      </c>
      <c r="P15" s="511" t="str">
        <f t="shared" si="0"/>
        <v>-</v>
      </c>
      <c r="Q15" s="6" t="str">
        <f t="shared" si="1"/>
        <v>-</v>
      </c>
    </row>
    <row r="16" spans="1:17" ht="15.75" x14ac:dyDescent="0.25">
      <c r="A16" s="894"/>
      <c r="B16" s="823" t="s">
        <v>11</v>
      </c>
      <c r="C16" s="19" t="s">
        <v>21</v>
      </c>
      <c r="D16" s="549"/>
      <c r="E16" s="549"/>
      <c r="F16" s="549"/>
      <c r="G16" s="549"/>
      <c r="H16" s="549"/>
      <c r="I16" s="549"/>
      <c r="J16" s="549"/>
      <c r="K16" s="549"/>
      <c r="L16" s="549"/>
      <c r="M16" s="549"/>
      <c r="N16" s="549"/>
      <c r="O16" s="550"/>
      <c r="P16" s="512" t="str">
        <f t="shared" si="0"/>
        <v>-</v>
      </c>
      <c r="Q16" s="4" t="str">
        <f t="shared" si="1"/>
        <v>-</v>
      </c>
    </row>
    <row r="17" spans="1:17" ht="15.75" x14ac:dyDescent="0.25">
      <c r="A17" s="894"/>
      <c r="B17" s="824"/>
      <c r="C17" s="20" t="s">
        <v>22</v>
      </c>
      <c r="D17" s="683" t="str">
        <f>IF(D16=0,"",D$7*D16*24)</f>
        <v/>
      </c>
      <c r="E17" s="683" t="str">
        <f t="shared" ref="E17:O17" si="5">IF(E16=0,"",E$7*E16*24)</f>
        <v/>
      </c>
      <c r="F17" s="683" t="str">
        <f t="shared" si="5"/>
        <v/>
      </c>
      <c r="G17" s="683" t="str">
        <f t="shared" si="5"/>
        <v/>
      </c>
      <c r="H17" s="683" t="str">
        <f t="shared" si="5"/>
        <v/>
      </c>
      <c r="I17" s="683" t="str">
        <f t="shared" si="5"/>
        <v/>
      </c>
      <c r="J17" s="683" t="str">
        <f t="shared" si="5"/>
        <v/>
      </c>
      <c r="K17" s="683" t="str">
        <f t="shared" si="5"/>
        <v/>
      </c>
      <c r="L17" s="683" t="str">
        <f t="shared" si="5"/>
        <v/>
      </c>
      <c r="M17" s="683" t="str">
        <f t="shared" si="5"/>
        <v/>
      </c>
      <c r="N17" s="683" t="str">
        <f t="shared" si="5"/>
        <v/>
      </c>
      <c r="O17" s="686" t="str">
        <f t="shared" si="5"/>
        <v/>
      </c>
      <c r="P17" s="511" t="str">
        <f t="shared" si="0"/>
        <v>-</v>
      </c>
      <c r="Q17" s="6" t="str">
        <f t="shared" si="1"/>
        <v>-</v>
      </c>
    </row>
    <row r="18" spans="1:17" ht="15.75" x14ac:dyDescent="0.25">
      <c r="A18" s="894"/>
      <c r="B18" s="823" t="s">
        <v>12</v>
      </c>
      <c r="C18" s="775" t="s">
        <v>21</v>
      </c>
      <c r="D18" s="549"/>
      <c r="E18" s="549"/>
      <c r="F18" s="549"/>
      <c r="G18" s="549"/>
      <c r="H18" s="549"/>
      <c r="I18" s="549"/>
      <c r="J18" s="549"/>
      <c r="K18" s="549"/>
      <c r="L18" s="549"/>
      <c r="M18" s="549"/>
      <c r="N18" s="549"/>
      <c r="O18" s="550"/>
      <c r="P18" s="512" t="str">
        <f t="shared" si="0"/>
        <v>-</v>
      </c>
      <c r="Q18" s="4" t="str">
        <f t="shared" si="1"/>
        <v>-</v>
      </c>
    </row>
    <row r="19" spans="1:17" ht="15.75" x14ac:dyDescent="0.25">
      <c r="A19" s="894"/>
      <c r="B19" s="824"/>
      <c r="C19" s="775" t="s">
        <v>22</v>
      </c>
      <c r="D19" s="683" t="str">
        <f>IF(D18=0,"",D$7*D18*24)</f>
        <v/>
      </c>
      <c r="E19" s="683" t="str">
        <f t="shared" ref="E19:O19" si="6">IF(E18=0,"",E$7*E18*24)</f>
        <v/>
      </c>
      <c r="F19" s="683" t="str">
        <f t="shared" si="6"/>
        <v/>
      </c>
      <c r="G19" s="683" t="str">
        <f t="shared" si="6"/>
        <v/>
      </c>
      <c r="H19" s="683" t="str">
        <f t="shared" si="6"/>
        <v/>
      </c>
      <c r="I19" s="683" t="str">
        <f t="shared" si="6"/>
        <v/>
      </c>
      <c r="J19" s="683" t="str">
        <f t="shared" si="6"/>
        <v/>
      </c>
      <c r="K19" s="683" t="str">
        <f t="shared" si="6"/>
        <v/>
      </c>
      <c r="L19" s="683" t="str">
        <f t="shared" si="6"/>
        <v/>
      </c>
      <c r="M19" s="683" t="str">
        <f t="shared" si="6"/>
        <v/>
      </c>
      <c r="N19" s="683" t="str">
        <f t="shared" si="6"/>
        <v/>
      </c>
      <c r="O19" s="686" t="str">
        <f t="shared" si="6"/>
        <v/>
      </c>
      <c r="P19" s="511" t="str">
        <f t="shared" si="0"/>
        <v>-</v>
      </c>
      <c r="Q19" s="6" t="str">
        <f t="shared" si="1"/>
        <v>-</v>
      </c>
    </row>
    <row r="20" spans="1:17" ht="15.75" x14ac:dyDescent="0.25">
      <c r="A20" s="894"/>
      <c r="B20" s="823" t="s">
        <v>15</v>
      </c>
      <c r="C20" s="19" t="s">
        <v>21</v>
      </c>
      <c r="D20" s="549"/>
      <c r="E20" s="549"/>
      <c r="F20" s="549"/>
      <c r="G20" s="549"/>
      <c r="H20" s="549"/>
      <c r="I20" s="549"/>
      <c r="J20" s="549"/>
      <c r="K20" s="549"/>
      <c r="L20" s="549"/>
      <c r="M20" s="549"/>
      <c r="N20" s="549"/>
      <c r="O20" s="550"/>
      <c r="P20" s="512" t="str">
        <f t="shared" si="0"/>
        <v>-</v>
      </c>
      <c r="Q20" s="4" t="str">
        <f t="shared" si="1"/>
        <v>-</v>
      </c>
    </row>
    <row r="21" spans="1:17" ht="15.75" x14ac:dyDescent="0.25">
      <c r="A21" s="894"/>
      <c r="B21" s="824"/>
      <c r="C21" s="20" t="s">
        <v>22</v>
      </c>
      <c r="D21" s="683" t="str">
        <f>IF(D20=0,"",D$7*D20*24)</f>
        <v/>
      </c>
      <c r="E21" s="683" t="str">
        <f t="shared" ref="E21:O21" si="7">IF(E20=0,"",E$7*E20*24)</f>
        <v/>
      </c>
      <c r="F21" s="683" t="str">
        <f t="shared" si="7"/>
        <v/>
      </c>
      <c r="G21" s="683" t="str">
        <f t="shared" si="7"/>
        <v/>
      </c>
      <c r="H21" s="683" t="str">
        <f t="shared" si="7"/>
        <v/>
      </c>
      <c r="I21" s="683" t="str">
        <f t="shared" si="7"/>
        <v/>
      </c>
      <c r="J21" s="683" t="str">
        <f t="shared" si="7"/>
        <v/>
      </c>
      <c r="K21" s="683" t="str">
        <f t="shared" si="7"/>
        <v/>
      </c>
      <c r="L21" s="683" t="str">
        <f t="shared" si="7"/>
        <v/>
      </c>
      <c r="M21" s="683" t="str">
        <f t="shared" si="7"/>
        <v/>
      </c>
      <c r="N21" s="683" t="str">
        <f t="shared" si="7"/>
        <v/>
      </c>
      <c r="O21" s="686" t="str">
        <f t="shared" si="7"/>
        <v/>
      </c>
      <c r="P21" s="511" t="str">
        <f t="shared" si="0"/>
        <v>-</v>
      </c>
      <c r="Q21" s="6" t="str">
        <f t="shared" si="1"/>
        <v>-</v>
      </c>
    </row>
    <row r="22" spans="1:17" ht="15.75" x14ac:dyDescent="0.25">
      <c r="A22" s="894"/>
      <c r="B22" s="823" t="s">
        <v>13</v>
      </c>
      <c r="C22" s="775" t="s">
        <v>21</v>
      </c>
      <c r="D22" s="549"/>
      <c r="E22" s="549"/>
      <c r="F22" s="549"/>
      <c r="G22" s="549"/>
      <c r="H22" s="549"/>
      <c r="I22" s="549"/>
      <c r="J22" s="549"/>
      <c r="K22" s="549"/>
      <c r="L22" s="549"/>
      <c r="M22" s="549"/>
      <c r="N22" s="549"/>
      <c r="O22" s="550"/>
      <c r="P22" s="512" t="str">
        <f t="shared" si="0"/>
        <v>-</v>
      </c>
      <c r="Q22" s="4" t="str">
        <f t="shared" si="1"/>
        <v>-</v>
      </c>
    </row>
    <row r="23" spans="1:17" ht="15.75" x14ac:dyDescent="0.25">
      <c r="A23" s="894"/>
      <c r="B23" s="824"/>
      <c r="C23" s="775" t="s">
        <v>22</v>
      </c>
      <c r="D23" s="683" t="str">
        <f>IF(D22=0,"",D$7*D22*24)</f>
        <v/>
      </c>
      <c r="E23" s="683" t="str">
        <f t="shared" ref="E23:O23" si="8">IF(E22=0,"",E$7*E22*24)</f>
        <v/>
      </c>
      <c r="F23" s="683" t="str">
        <f t="shared" si="8"/>
        <v/>
      </c>
      <c r="G23" s="683" t="str">
        <f t="shared" si="8"/>
        <v/>
      </c>
      <c r="H23" s="683" t="str">
        <f t="shared" si="8"/>
        <v/>
      </c>
      <c r="I23" s="683" t="str">
        <f t="shared" si="8"/>
        <v/>
      </c>
      <c r="J23" s="683" t="str">
        <f t="shared" si="8"/>
        <v/>
      </c>
      <c r="K23" s="683" t="str">
        <f t="shared" si="8"/>
        <v/>
      </c>
      <c r="L23" s="683" t="str">
        <f t="shared" si="8"/>
        <v/>
      </c>
      <c r="M23" s="683" t="str">
        <f t="shared" si="8"/>
        <v/>
      </c>
      <c r="N23" s="683" t="str">
        <f t="shared" si="8"/>
        <v/>
      </c>
      <c r="O23" s="686" t="str">
        <f t="shared" si="8"/>
        <v/>
      </c>
      <c r="P23" s="511" t="str">
        <f t="shared" si="0"/>
        <v>-</v>
      </c>
      <c r="Q23" s="6" t="str">
        <f t="shared" si="1"/>
        <v>-</v>
      </c>
    </row>
    <row r="24" spans="1:17" ht="15.75" x14ac:dyDescent="0.25">
      <c r="A24" s="894"/>
      <c r="B24" s="823" t="s">
        <v>20</v>
      </c>
      <c r="C24" s="19" t="s">
        <v>21</v>
      </c>
      <c r="D24" s="549"/>
      <c r="E24" s="549"/>
      <c r="F24" s="549"/>
      <c r="G24" s="549"/>
      <c r="H24" s="549"/>
      <c r="I24" s="549"/>
      <c r="J24" s="549"/>
      <c r="K24" s="549"/>
      <c r="L24" s="549"/>
      <c r="M24" s="549"/>
      <c r="N24" s="549"/>
      <c r="O24" s="550"/>
      <c r="P24" s="512" t="str">
        <f t="shared" si="0"/>
        <v>-</v>
      </c>
      <c r="Q24" s="4" t="str">
        <f t="shared" si="1"/>
        <v>-</v>
      </c>
    </row>
    <row r="25" spans="1:17" ht="15.75" x14ac:dyDescent="0.25">
      <c r="A25" s="894"/>
      <c r="B25" s="824"/>
      <c r="C25" s="20" t="s">
        <v>22</v>
      </c>
      <c r="D25" s="683" t="str">
        <f>IF(D24=0,"",D$7*D24*24)</f>
        <v/>
      </c>
      <c r="E25" s="683" t="str">
        <f t="shared" ref="E25:O25" si="9">IF(E24=0,"",E$7*E24*24)</f>
        <v/>
      </c>
      <c r="F25" s="683" t="str">
        <f t="shared" si="9"/>
        <v/>
      </c>
      <c r="G25" s="683" t="str">
        <f t="shared" si="9"/>
        <v/>
      </c>
      <c r="H25" s="683" t="str">
        <f t="shared" si="9"/>
        <v/>
      </c>
      <c r="I25" s="683" t="str">
        <f t="shared" si="9"/>
        <v/>
      </c>
      <c r="J25" s="683" t="str">
        <f t="shared" si="9"/>
        <v/>
      </c>
      <c r="K25" s="683" t="str">
        <f t="shared" si="9"/>
        <v/>
      </c>
      <c r="L25" s="683" t="str">
        <f t="shared" si="9"/>
        <v/>
      </c>
      <c r="M25" s="683" t="str">
        <f t="shared" si="9"/>
        <v/>
      </c>
      <c r="N25" s="683" t="str">
        <f t="shared" si="9"/>
        <v/>
      </c>
      <c r="O25" s="686" t="str">
        <f t="shared" si="9"/>
        <v/>
      </c>
      <c r="P25" s="511" t="str">
        <f t="shared" si="0"/>
        <v>-</v>
      </c>
      <c r="Q25" s="6" t="str">
        <f t="shared" si="1"/>
        <v>-</v>
      </c>
    </row>
    <row r="26" spans="1:17" ht="15.75" x14ac:dyDescent="0.25">
      <c r="A26" s="894"/>
      <c r="B26" s="823" t="s">
        <v>1</v>
      </c>
      <c r="C26" s="775" t="s">
        <v>21</v>
      </c>
      <c r="D26" s="549"/>
      <c r="E26" s="549"/>
      <c r="F26" s="549"/>
      <c r="G26" s="549"/>
      <c r="H26" s="549"/>
      <c r="I26" s="549"/>
      <c r="J26" s="549"/>
      <c r="K26" s="549"/>
      <c r="L26" s="549"/>
      <c r="M26" s="549"/>
      <c r="N26" s="549"/>
      <c r="O26" s="550"/>
      <c r="P26" s="512" t="str">
        <f t="shared" si="0"/>
        <v>-</v>
      </c>
      <c r="Q26" s="4" t="str">
        <f t="shared" si="1"/>
        <v>-</v>
      </c>
    </row>
    <row r="27" spans="1:17" ht="15.75" x14ac:dyDescent="0.25">
      <c r="A27" s="894"/>
      <c r="B27" s="824"/>
      <c r="C27" s="775" t="s">
        <v>22</v>
      </c>
      <c r="D27" s="683" t="str">
        <f>IF(D26=0,"",D$7*D26*24)</f>
        <v/>
      </c>
      <c r="E27" s="683" t="str">
        <f t="shared" ref="E27:O27" si="10">IF(E26=0,"",E$7*E26*24)</f>
        <v/>
      </c>
      <c r="F27" s="683" t="str">
        <f t="shared" si="10"/>
        <v/>
      </c>
      <c r="G27" s="683" t="str">
        <f t="shared" si="10"/>
        <v/>
      </c>
      <c r="H27" s="683" t="str">
        <f t="shared" si="10"/>
        <v/>
      </c>
      <c r="I27" s="683" t="str">
        <f t="shared" si="10"/>
        <v/>
      </c>
      <c r="J27" s="683" t="str">
        <f t="shared" si="10"/>
        <v/>
      </c>
      <c r="K27" s="683" t="str">
        <f t="shared" si="10"/>
        <v/>
      </c>
      <c r="L27" s="683" t="str">
        <f t="shared" si="10"/>
        <v/>
      </c>
      <c r="M27" s="683" t="str">
        <f t="shared" si="10"/>
        <v/>
      </c>
      <c r="N27" s="683" t="str">
        <f t="shared" si="10"/>
        <v/>
      </c>
      <c r="O27" s="686" t="str">
        <f t="shared" si="10"/>
        <v/>
      </c>
      <c r="P27" s="511" t="str">
        <f t="shared" si="0"/>
        <v>-</v>
      </c>
      <c r="Q27" s="6" t="str">
        <f t="shared" si="1"/>
        <v>-</v>
      </c>
    </row>
    <row r="28" spans="1:17" ht="15.75" x14ac:dyDescent="0.25">
      <c r="A28" s="894"/>
      <c r="B28" s="900" t="s">
        <v>171</v>
      </c>
      <c r="C28" s="16" t="s">
        <v>21</v>
      </c>
      <c r="D28" s="549"/>
      <c r="E28" s="549"/>
      <c r="F28" s="549"/>
      <c r="G28" s="549"/>
      <c r="H28" s="549"/>
      <c r="I28" s="549"/>
      <c r="J28" s="549"/>
      <c r="K28" s="549"/>
      <c r="L28" s="549"/>
      <c r="M28" s="549"/>
      <c r="N28" s="549"/>
      <c r="O28" s="550"/>
      <c r="P28" s="512" t="str">
        <f t="shared" si="0"/>
        <v>-</v>
      </c>
      <c r="Q28" s="4" t="str">
        <f t="shared" si="1"/>
        <v>-</v>
      </c>
    </row>
    <row r="29" spans="1:17" ht="15.75" x14ac:dyDescent="0.25">
      <c r="A29" s="894"/>
      <c r="B29" s="901"/>
      <c r="C29" s="17" t="s">
        <v>22</v>
      </c>
      <c r="D29" s="687" t="str">
        <f>IF(D28=0,"",D$7*D28*24)</f>
        <v/>
      </c>
      <c r="E29" s="687" t="str">
        <f t="shared" ref="E29:O29" si="11">IF(E28=0,"",E$7*E28*24)</f>
        <v/>
      </c>
      <c r="F29" s="687" t="str">
        <f t="shared" si="11"/>
        <v/>
      </c>
      <c r="G29" s="687" t="str">
        <f t="shared" si="11"/>
        <v/>
      </c>
      <c r="H29" s="687" t="str">
        <f t="shared" si="11"/>
        <v/>
      </c>
      <c r="I29" s="687" t="str">
        <f t="shared" si="11"/>
        <v/>
      </c>
      <c r="J29" s="687" t="str">
        <f t="shared" si="11"/>
        <v/>
      </c>
      <c r="K29" s="687" t="str">
        <f t="shared" si="11"/>
        <v/>
      </c>
      <c r="L29" s="687" t="str">
        <f t="shared" si="11"/>
        <v/>
      </c>
      <c r="M29" s="687" t="str">
        <f t="shared" si="11"/>
        <v/>
      </c>
      <c r="N29" s="687" t="str">
        <f t="shared" si="11"/>
        <v/>
      </c>
      <c r="O29" s="688" t="str">
        <f t="shared" si="11"/>
        <v/>
      </c>
      <c r="P29" s="511" t="str">
        <f t="shared" si="0"/>
        <v>-</v>
      </c>
      <c r="Q29" s="6" t="str">
        <f t="shared" si="1"/>
        <v>-</v>
      </c>
    </row>
    <row r="30" spans="1:17" ht="15.75" x14ac:dyDescent="0.25">
      <c r="A30" s="894"/>
      <c r="B30" s="900" t="s">
        <v>171</v>
      </c>
      <c r="C30" s="16" t="s">
        <v>21</v>
      </c>
      <c r="D30" s="549"/>
      <c r="E30" s="549"/>
      <c r="F30" s="549"/>
      <c r="G30" s="549"/>
      <c r="H30" s="549"/>
      <c r="I30" s="549"/>
      <c r="J30" s="549"/>
      <c r="K30" s="549"/>
      <c r="L30" s="549"/>
      <c r="M30" s="549"/>
      <c r="N30" s="549"/>
      <c r="O30" s="550"/>
      <c r="P30" s="512" t="str">
        <f t="shared" si="0"/>
        <v>-</v>
      </c>
      <c r="Q30" s="4" t="str">
        <f t="shared" si="1"/>
        <v>-</v>
      </c>
    </row>
    <row r="31" spans="1:17" ht="15.75" x14ac:dyDescent="0.25">
      <c r="A31" s="894"/>
      <c r="B31" s="901"/>
      <c r="C31" s="17" t="s">
        <v>22</v>
      </c>
      <c r="D31" s="687" t="str">
        <f>IF(D30=0,"",D$7*D30*24)</f>
        <v/>
      </c>
      <c r="E31" s="687" t="str">
        <f t="shared" ref="E31:O31" si="12">IF(E30=0,"",E$7*E30*24)</f>
        <v/>
      </c>
      <c r="F31" s="687" t="str">
        <f t="shared" si="12"/>
        <v/>
      </c>
      <c r="G31" s="687" t="str">
        <f t="shared" si="12"/>
        <v/>
      </c>
      <c r="H31" s="687" t="str">
        <f t="shared" si="12"/>
        <v/>
      </c>
      <c r="I31" s="687" t="str">
        <f t="shared" si="12"/>
        <v/>
      </c>
      <c r="J31" s="687" t="str">
        <f t="shared" si="12"/>
        <v/>
      </c>
      <c r="K31" s="687" t="str">
        <f t="shared" si="12"/>
        <v/>
      </c>
      <c r="L31" s="687" t="str">
        <f t="shared" si="12"/>
        <v/>
      </c>
      <c r="M31" s="687" t="str">
        <f t="shared" si="12"/>
        <v/>
      </c>
      <c r="N31" s="687" t="str">
        <f t="shared" si="12"/>
        <v/>
      </c>
      <c r="O31" s="688" t="str">
        <f t="shared" si="12"/>
        <v/>
      </c>
      <c r="P31" s="511" t="str">
        <f t="shared" si="0"/>
        <v>-</v>
      </c>
      <c r="Q31" s="6" t="str">
        <f t="shared" si="1"/>
        <v>-</v>
      </c>
    </row>
    <row r="32" spans="1:17" ht="15.75" x14ac:dyDescent="0.25">
      <c r="A32" s="894"/>
      <c r="B32" s="900" t="s">
        <v>171</v>
      </c>
      <c r="C32" s="16" t="s">
        <v>21</v>
      </c>
      <c r="D32" s="549"/>
      <c r="E32" s="549"/>
      <c r="F32" s="549"/>
      <c r="G32" s="549"/>
      <c r="H32" s="549"/>
      <c r="I32" s="549"/>
      <c r="J32" s="549"/>
      <c r="K32" s="549"/>
      <c r="L32" s="549"/>
      <c r="M32" s="549"/>
      <c r="N32" s="549"/>
      <c r="O32" s="550"/>
      <c r="P32" s="512" t="str">
        <f t="shared" si="0"/>
        <v>-</v>
      </c>
      <c r="Q32" s="4" t="str">
        <f t="shared" si="1"/>
        <v>-</v>
      </c>
    </row>
    <row r="33" spans="1:17" ht="15.75" x14ac:dyDescent="0.25">
      <c r="A33" s="894"/>
      <c r="B33" s="901"/>
      <c r="C33" s="17" t="s">
        <v>22</v>
      </c>
      <c r="D33" s="687" t="str">
        <f>IF(D32=0,"",D$7*D32*24)</f>
        <v/>
      </c>
      <c r="E33" s="687" t="str">
        <f t="shared" ref="E33:O33" si="13">IF(E32=0,"",E$7*E32*24)</f>
        <v/>
      </c>
      <c r="F33" s="687" t="str">
        <f t="shared" si="13"/>
        <v/>
      </c>
      <c r="G33" s="687" t="str">
        <f t="shared" si="13"/>
        <v/>
      </c>
      <c r="H33" s="687" t="str">
        <f t="shared" si="13"/>
        <v/>
      </c>
      <c r="I33" s="687" t="str">
        <f t="shared" si="13"/>
        <v/>
      </c>
      <c r="J33" s="687" t="str">
        <f t="shared" si="13"/>
        <v/>
      </c>
      <c r="K33" s="687" t="str">
        <f t="shared" si="13"/>
        <v/>
      </c>
      <c r="L33" s="687" t="str">
        <f t="shared" si="13"/>
        <v/>
      </c>
      <c r="M33" s="687" t="str">
        <f t="shared" si="13"/>
        <v/>
      </c>
      <c r="N33" s="687" t="str">
        <f t="shared" si="13"/>
        <v/>
      </c>
      <c r="O33" s="688" t="str">
        <f t="shared" si="13"/>
        <v/>
      </c>
      <c r="P33" s="511" t="str">
        <f t="shared" si="0"/>
        <v>-</v>
      </c>
      <c r="Q33" s="6" t="str">
        <f t="shared" si="1"/>
        <v>-</v>
      </c>
    </row>
    <row r="34" spans="1:17" ht="15.75" x14ac:dyDescent="0.25">
      <c r="A34" s="894"/>
      <c r="B34" s="900" t="s">
        <v>171</v>
      </c>
      <c r="C34" s="16" t="s">
        <v>21</v>
      </c>
      <c r="D34" s="549"/>
      <c r="E34" s="549"/>
      <c r="F34" s="549"/>
      <c r="G34" s="549"/>
      <c r="H34" s="549"/>
      <c r="I34" s="549"/>
      <c r="J34" s="549"/>
      <c r="K34" s="549"/>
      <c r="L34" s="549"/>
      <c r="M34" s="549"/>
      <c r="N34" s="549"/>
      <c r="O34" s="550"/>
      <c r="P34" s="512" t="str">
        <f t="shared" si="0"/>
        <v>-</v>
      </c>
      <c r="Q34" s="4" t="str">
        <f t="shared" si="1"/>
        <v>-</v>
      </c>
    </row>
    <row r="35" spans="1:17" ht="15.75" x14ac:dyDescent="0.25">
      <c r="A35" s="894"/>
      <c r="B35" s="901"/>
      <c r="C35" s="17" t="s">
        <v>22</v>
      </c>
      <c r="D35" s="687" t="str">
        <f>IF(D34=0,"",D$7*D34*24)</f>
        <v/>
      </c>
      <c r="E35" s="687" t="str">
        <f t="shared" ref="E35:O35" si="14">IF(E34=0,"",E$7*E34*24)</f>
        <v/>
      </c>
      <c r="F35" s="687" t="str">
        <f t="shared" si="14"/>
        <v/>
      </c>
      <c r="G35" s="687" t="str">
        <f t="shared" si="14"/>
        <v/>
      </c>
      <c r="H35" s="687" t="str">
        <f t="shared" si="14"/>
        <v/>
      </c>
      <c r="I35" s="687" t="str">
        <f t="shared" si="14"/>
        <v/>
      </c>
      <c r="J35" s="687" t="str">
        <f t="shared" si="14"/>
        <v/>
      </c>
      <c r="K35" s="687" t="str">
        <f t="shared" si="14"/>
        <v/>
      </c>
      <c r="L35" s="687" t="str">
        <f t="shared" si="14"/>
        <v/>
      </c>
      <c r="M35" s="687" t="str">
        <f t="shared" si="14"/>
        <v/>
      </c>
      <c r="N35" s="687" t="str">
        <f t="shared" si="14"/>
        <v/>
      </c>
      <c r="O35" s="688" t="str">
        <f t="shared" si="14"/>
        <v/>
      </c>
      <c r="P35" s="511" t="str">
        <f t="shared" si="0"/>
        <v>-</v>
      </c>
      <c r="Q35" s="6" t="str">
        <f t="shared" si="1"/>
        <v>-</v>
      </c>
    </row>
    <row r="36" spans="1:17" ht="15.75" x14ac:dyDescent="0.25">
      <c r="A36" s="894"/>
      <c r="B36" s="884" t="s">
        <v>18</v>
      </c>
      <c r="C36" s="885"/>
      <c r="D36" s="689" t="str">
        <f>IF(SUM(D8,D10,D12,D14,D16,D18,D20,D22,D24,D26,D28,D30,D32,D34)=0,"",SUM(D8,D10,D12,D14,D16,D18,D20,D22,D24,D26,D28,D30,D32,D34))</f>
        <v/>
      </c>
      <c r="E36" s="689" t="str">
        <f t="shared" ref="E36:O36" si="15">IF(SUM(E8,E10,E12,E14,E16,E18,E20,E22,E24,E26,E28,E30,E32,E34)=0,"",SUM(E8,E10,E12,E14,E16,E18,E20,E22,E24,E26,E28,E30,E32,E34))</f>
        <v/>
      </c>
      <c r="F36" s="689" t="str">
        <f t="shared" si="15"/>
        <v/>
      </c>
      <c r="G36" s="689" t="str">
        <f t="shared" si="15"/>
        <v/>
      </c>
      <c r="H36" s="689" t="str">
        <f t="shared" si="15"/>
        <v/>
      </c>
      <c r="I36" s="689" t="str">
        <f t="shared" si="15"/>
        <v/>
      </c>
      <c r="J36" s="689" t="str">
        <f t="shared" si="15"/>
        <v/>
      </c>
      <c r="K36" s="689" t="str">
        <f t="shared" si="15"/>
        <v/>
      </c>
      <c r="L36" s="689" t="str">
        <f t="shared" si="15"/>
        <v/>
      </c>
      <c r="M36" s="689" t="str">
        <f t="shared" si="15"/>
        <v/>
      </c>
      <c r="N36" s="689" t="str">
        <f t="shared" si="15"/>
        <v/>
      </c>
      <c r="O36" s="690" t="str">
        <f t="shared" si="15"/>
        <v/>
      </c>
      <c r="P36" s="512" t="str">
        <f t="shared" si="0"/>
        <v>-</v>
      </c>
      <c r="Q36" s="4" t="str">
        <f t="shared" si="1"/>
        <v>-</v>
      </c>
    </row>
    <row r="37" spans="1:17" ht="15.75" customHeight="1" thickBot="1" x14ac:dyDescent="0.3">
      <c r="A37" s="895"/>
      <c r="B37" s="905" t="s">
        <v>17</v>
      </c>
      <c r="C37" s="906"/>
      <c r="D37" s="731" t="str">
        <f>IF(D36="","",SUM(D9,D11,D13,D15,D17,D19,D21,D23,D25,D27,D29,D31,D33,D35))</f>
        <v/>
      </c>
      <c r="E37" s="731" t="str">
        <f t="shared" ref="E37:O37" si="16">IF(E36="","",SUM(E9,E11,E13,E15,E17,E19,E21,E23,E25,E27,E29,E31,E33,E35))</f>
        <v/>
      </c>
      <c r="F37" s="731" t="str">
        <f t="shared" si="16"/>
        <v/>
      </c>
      <c r="G37" s="731" t="str">
        <f t="shared" si="16"/>
        <v/>
      </c>
      <c r="H37" s="731" t="str">
        <f t="shared" si="16"/>
        <v/>
      </c>
      <c r="I37" s="731" t="str">
        <f t="shared" si="16"/>
        <v/>
      </c>
      <c r="J37" s="731" t="str">
        <f t="shared" si="16"/>
        <v/>
      </c>
      <c r="K37" s="731" t="str">
        <f t="shared" si="16"/>
        <v/>
      </c>
      <c r="L37" s="731" t="str">
        <f t="shared" si="16"/>
        <v/>
      </c>
      <c r="M37" s="731" t="str">
        <f t="shared" si="16"/>
        <v/>
      </c>
      <c r="N37" s="731" t="str">
        <f t="shared" si="16"/>
        <v/>
      </c>
      <c r="O37" s="732" t="str">
        <f t="shared" si="16"/>
        <v/>
      </c>
      <c r="P37" s="525" t="str">
        <f t="shared" si="0"/>
        <v>-</v>
      </c>
      <c r="Q37" s="7" t="str">
        <f t="shared" si="1"/>
        <v>-</v>
      </c>
    </row>
    <row r="38" spans="1:17" ht="15.75" x14ac:dyDescent="0.25">
      <c r="A38" s="907" t="s">
        <v>111</v>
      </c>
      <c r="B38" s="878" t="s">
        <v>3</v>
      </c>
      <c r="C38" s="879"/>
      <c r="D38" s="547" t="str">
        <f>IF('2025DATA'!AF3=0,"",'2025DATA'!AF3)</f>
        <v/>
      </c>
      <c r="E38" s="547" t="str">
        <f>IF('2025DATA'!AG3=0,"",'2025DATA'!AG3)</f>
        <v/>
      </c>
      <c r="F38" s="547" t="str">
        <f>IF('2025DATA'!AH3=0,"",'2025DATA'!AH3)</f>
        <v/>
      </c>
      <c r="G38" s="547" t="str">
        <f>IF('2025DATA'!AI3=0,"",'2025DATA'!AI3)</f>
        <v/>
      </c>
      <c r="H38" s="547" t="str">
        <f>IF('2025DATA'!AJ3=0,"",'2025DATA'!AJ3)</f>
        <v/>
      </c>
      <c r="I38" s="547" t="str">
        <f>IF('2025DATA'!AK3=0,"",'2025DATA'!AK3)</f>
        <v/>
      </c>
      <c r="J38" s="547" t="str">
        <f>IF('2025DATA'!AL3=0,"",'2025DATA'!AL3)</f>
        <v/>
      </c>
      <c r="K38" s="547" t="str">
        <f>IF('2025DATA'!AM3=0,"",'2025DATA'!AM3)</f>
        <v/>
      </c>
      <c r="L38" s="547" t="str">
        <f>IF('2025DATA'!AN3=0,"",'2025DATA'!AN3)</f>
        <v/>
      </c>
      <c r="M38" s="547" t="str">
        <f>IF('2025DATA'!AO3=0,"",'2025DATA'!AO3)</f>
        <v/>
      </c>
      <c r="N38" s="547" t="str">
        <f>IF('2025DATA'!AP3=0,"",'2025DATA'!AP3)</f>
        <v/>
      </c>
      <c r="O38" s="548" t="str">
        <f>IF('2025DATA'!AQ3=0,"",'2025DATA'!AQ3)</f>
        <v/>
      </c>
      <c r="P38" s="880"/>
      <c r="Q38" s="881"/>
    </row>
    <row r="39" spans="1:17" ht="15.75" x14ac:dyDescent="0.25">
      <c r="A39" s="908"/>
      <c r="B39" s="823" t="s">
        <v>7</v>
      </c>
      <c r="C39" s="16" t="s">
        <v>21</v>
      </c>
      <c r="D39" s="549"/>
      <c r="E39" s="549"/>
      <c r="F39" s="549"/>
      <c r="G39" s="549"/>
      <c r="H39" s="549"/>
      <c r="I39" s="549"/>
      <c r="J39" s="549"/>
      <c r="K39" s="549"/>
      <c r="L39" s="549"/>
      <c r="M39" s="549"/>
      <c r="N39" s="549"/>
      <c r="O39" s="550"/>
      <c r="P39" s="512" t="str">
        <f t="shared" ref="P39:P66" si="17">IF(Q39="-","-",Q39/12)</f>
        <v>-</v>
      </c>
      <c r="Q39" s="4" t="str">
        <f t="shared" ref="Q39:Q60" si="18">IF(SUM(D39:O39)=0,"-",SUM(D39:O39))</f>
        <v>-</v>
      </c>
    </row>
    <row r="40" spans="1:17" ht="15.75" x14ac:dyDescent="0.25">
      <c r="A40" s="908"/>
      <c r="B40" s="824"/>
      <c r="C40" s="17" t="s">
        <v>22</v>
      </c>
      <c r="D40" s="683" t="str">
        <f>IF(D39=0,"",D$38*D39*24)</f>
        <v/>
      </c>
      <c r="E40" s="683" t="str">
        <f t="shared" ref="E40:O40" si="19">IF(E39=0,"",E$38*E39*24)</f>
        <v/>
      </c>
      <c r="F40" s="683" t="str">
        <f t="shared" si="19"/>
        <v/>
      </c>
      <c r="G40" s="683" t="str">
        <f t="shared" si="19"/>
        <v/>
      </c>
      <c r="H40" s="683" t="str">
        <f t="shared" si="19"/>
        <v/>
      </c>
      <c r="I40" s="683" t="str">
        <f t="shared" si="19"/>
        <v/>
      </c>
      <c r="J40" s="683" t="str">
        <f t="shared" si="19"/>
        <v/>
      </c>
      <c r="K40" s="683" t="str">
        <f t="shared" si="19"/>
        <v/>
      </c>
      <c r="L40" s="683" t="str">
        <f t="shared" si="19"/>
        <v/>
      </c>
      <c r="M40" s="683" t="str">
        <f t="shared" si="19"/>
        <v/>
      </c>
      <c r="N40" s="683" t="str">
        <f t="shared" si="19"/>
        <v/>
      </c>
      <c r="O40" s="686" t="str">
        <f t="shared" si="19"/>
        <v/>
      </c>
      <c r="P40" s="511" t="str">
        <f t="shared" si="17"/>
        <v>-</v>
      </c>
      <c r="Q40" s="6" t="str">
        <f t="shared" si="18"/>
        <v>-</v>
      </c>
    </row>
    <row r="41" spans="1:17" ht="15.75" x14ac:dyDescent="0.25">
      <c r="A41" s="908"/>
      <c r="B41" s="823" t="s">
        <v>8</v>
      </c>
      <c r="C41" s="18" t="s">
        <v>21</v>
      </c>
      <c r="D41" s="549"/>
      <c r="E41" s="549"/>
      <c r="F41" s="549"/>
      <c r="G41" s="549"/>
      <c r="H41" s="549"/>
      <c r="I41" s="549"/>
      <c r="J41" s="549"/>
      <c r="K41" s="549"/>
      <c r="L41" s="549"/>
      <c r="M41" s="549"/>
      <c r="N41" s="549"/>
      <c r="O41" s="550"/>
      <c r="P41" s="512" t="str">
        <f t="shared" si="17"/>
        <v>-</v>
      </c>
      <c r="Q41" s="4" t="str">
        <f t="shared" si="18"/>
        <v>-</v>
      </c>
    </row>
    <row r="42" spans="1:17" ht="15.75" x14ac:dyDescent="0.25">
      <c r="A42" s="908"/>
      <c r="B42" s="824"/>
      <c r="C42" s="18" t="s">
        <v>22</v>
      </c>
      <c r="D42" s="683" t="str">
        <f>IF(D41=0,"",(D38+IF(D$4="CA",DATA!$B$22,DATA!$B$23))*D41*24)</f>
        <v/>
      </c>
      <c r="E42" s="683" t="str">
        <f>IF(E41=0,"",(E38+IF(E$4="CA",DATA!$B$22,DATA!$B$23))*E41*24)</f>
        <v/>
      </c>
      <c r="F42" s="683" t="str">
        <f>IF(F41=0,"",(F38+IF(F$4="CA",DATA!$B$22,DATA!$B$23))*F41*24)</f>
        <v/>
      </c>
      <c r="G42" s="683" t="str">
        <f>IF(G41=0,"",(G38+IF(G$4="CA",DATA!$B$22,DATA!$B$23))*G41*24)</f>
        <v/>
      </c>
      <c r="H42" s="683" t="str">
        <f>IF(H41=0,"",(H38+IF(H$4="CA",DATA!$B$22,DATA!$B$23))*H41*24)</f>
        <v/>
      </c>
      <c r="I42" s="683" t="str">
        <f>IF(I41=0,"",(I38+IF(I$4="CA",DATA!$B$22,DATA!$B$23))*I41*24)</f>
        <v/>
      </c>
      <c r="J42" s="683" t="str">
        <f>IF(J41=0,"",(J38+IF(J$4="CA",DATA!$B$22,DATA!$B$23))*J41*24)</f>
        <v/>
      </c>
      <c r="K42" s="683" t="str">
        <f>IF(K41=0,"",(K38+IF(K$4="CA",DATA!$B$22,DATA!$B$23))*K41*24)</f>
        <v/>
      </c>
      <c r="L42" s="683" t="str">
        <f>IF(L41=0,"",(L38+IF(L$4="CA",DATA!$B$22,DATA!$B$23))*L41*24)</f>
        <v/>
      </c>
      <c r="M42" s="683" t="str">
        <f>IF(M41=0,"",(M38+IF(M$4="CA",DATA!$B$22,DATA!$B$23))*M41*24)</f>
        <v/>
      </c>
      <c r="N42" s="683" t="str">
        <f>IF(N41=0,"",(N38+IF(N$4="CA",DATA!$B$22,DATA!$B$23))*N41*24)</f>
        <v/>
      </c>
      <c r="O42" s="686" t="str">
        <f>IF(O41=0,"",(O38+IF(O$4="CA",DATA!$B$22,DATA!$B$23))*O41*24)</f>
        <v/>
      </c>
      <c r="P42" s="511" t="str">
        <f t="shared" si="17"/>
        <v>-</v>
      </c>
      <c r="Q42" s="6" t="str">
        <f t="shared" si="18"/>
        <v>-</v>
      </c>
    </row>
    <row r="43" spans="1:17" ht="15.75" x14ac:dyDescent="0.25">
      <c r="A43" s="908"/>
      <c r="B43" s="823" t="s">
        <v>9</v>
      </c>
      <c r="C43" s="16" t="s">
        <v>21</v>
      </c>
      <c r="D43" s="549"/>
      <c r="E43" s="549"/>
      <c r="F43" s="549"/>
      <c r="G43" s="549"/>
      <c r="H43" s="549"/>
      <c r="I43" s="549"/>
      <c r="J43" s="549"/>
      <c r="K43" s="549"/>
      <c r="L43" s="549"/>
      <c r="M43" s="549"/>
      <c r="N43" s="549"/>
      <c r="O43" s="550"/>
      <c r="P43" s="512" t="str">
        <f t="shared" si="17"/>
        <v>-</v>
      </c>
      <c r="Q43" s="4" t="str">
        <f t="shared" si="18"/>
        <v>-</v>
      </c>
    </row>
    <row r="44" spans="1:17" ht="15.75" x14ac:dyDescent="0.25">
      <c r="A44" s="908"/>
      <c r="B44" s="824"/>
      <c r="C44" s="17" t="s">
        <v>22</v>
      </c>
      <c r="D44" s="683" t="str">
        <f>IF(D43=0,"",D$38*D43*24)</f>
        <v/>
      </c>
      <c r="E44" s="683" t="str">
        <f t="shared" ref="E44:O44" si="20">IF(E43=0,"",E$38*E43*24)</f>
        <v/>
      </c>
      <c r="F44" s="683" t="str">
        <f t="shared" si="20"/>
        <v/>
      </c>
      <c r="G44" s="683" t="str">
        <f t="shared" si="20"/>
        <v/>
      </c>
      <c r="H44" s="683" t="str">
        <f t="shared" si="20"/>
        <v/>
      </c>
      <c r="I44" s="683" t="str">
        <f t="shared" si="20"/>
        <v/>
      </c>
      <c r="J44" s="683" t="str">
        <f t="shared" si="20"/>
        <v/>
      </c>
      <c r="K44" s="683" t="str">
        <f t="shared" si="20"/>
        <v/>
      </c>
      <c r="L44" s="683" t="str">
        <f t="shared" si="20"/>
        <v/>
      </c>
      <c r="M44" s="683" t="str">
        <f t="shared" si="20"/>
        <v/>
      </c>
      <c r="N44" s="683" t="str">
        <f t="shared" si="20"/>
        <v/>
      </c>
      <c r="O44" s="686" t="str">
        <f t="shared" si="20"/>
        <v/>
      </c>
      <c r="P44" s="511" t="str">
        <f t="shared" si="17"/>
        <v>-</v>
      </c>
      <c r="Q44" s="6" t="str">
        <f t="shared" si="18"/>
        <v>-</v>
      </c>
    </row>
    <row r="45" spans="1:17" ht="15.75" x14ac:dyDescent="0.25">
      <c r="A45" s="908"/>
      <c r="B45" s="823" t="s">
        <v>10</v>
      </c>
      <c r="C45" s="18" t="s">
        <v>21</v>
      </c>
      <c r="D45" s="549"/>
      <c r="E45" s="549"/>
      <c r="F45" s="549"/>
      <c r="G45" s="549"/>
      <c r="H45" s="549"/>
      <c r="I45" s="549"/>
      <c r="J45" s="549"/>
      <c r="K45" s="549"/>
      <c r="L45" s="549"/>
      <c r="M45" s="549"/>
      <c r="N45" s="549"/>
      <c r="O45" s="550"/>
      <c r="P45" s="512" t="str">
        <f t="shared" si="17"/>
        <v>-</v>
      </c>
      <c r="Q45" s="4" t="str">
        <f t="shared" si="18"/>
        <v>-</v>
      </c>
    </row>
    <row r="46" spans="1:17" ht="15.75" x14ac:dyDescent="0.25">
      <c r="A46" s="908"/>
      <c r="B46" s="824"/>
      <c r="C46" s="18" t="s">
        <v>22</v>
      </c>
      <c r="D46" s="683" t="str">
        <f>IF(D45=0,"",D$38*D45*24)</f>
        <v/>
      </c>
      <c r="E46" s="683" t="str">
        <f t="shared" ref="E46:O46" si="21">IF(E45=0,"",E$38*E45*24)</f>
        <v/>
      </c>
      <c r="F46" s="683" t="str">
        <f t="shared" si="21"/>
        <v/>
      </c>
      <c r="G46" s="683" t="str">
        <f t="shared" si="21"/>
        <v/>
      </c>
      <c r="H46" s="683" t="str">
        <f t="shared" si="21"/>
        <v/>
      </c>
      <c r="I46" s="683" t="str">
        <f t="shared" si="21"/>
        <v/>
      </c>
      <c r="J46" s="683" t="str">
        <f t="shared" si="21"/>
        <v/>
      </c>
      <c r="K46" s="683" t="str">
        <f t="shared" si="21"/>
        <v/>
      </c>
      <c r="L46" s="683" t="str">
        <f t="shared" si="21"/>
        <v/>
      </c>
      <c r="M46" s="683" t="str">
        <f t="shared" si="21"/>
        <v/>
      </c>
      <c r="N46" s="683" t="str">
        <f t="shared" si="21"/>
        <v/>
      </c>
      <c r="O46" s="686" t="str">
        <f t="shared" si="21"/>
        <v/>
      </c>
      <c r="P46" s="511" t="str">
        <f t="shared" si="17"/>
        <v>-</v>
      </c>
      <c r="Q46" s="6" t="str">
        <f t="shared" si="18"/>
        <v>-</v>
      </c>
    </row>
    <row r="47" spans="1:17" ht="15.75" x14ac:dyDescent="0.25">
      <c r="A47" s="908"/>
      <c r="B47" s="823" t="s">
        <v>11</v>
      </c>
      <c r="C47" s="16" t="s">
        <v>21</v>
      </c>
      <c r="D47" s="549"/>
      <c r="E47" s="549"/>
      <c r="F47" s="549"/>
      <c r="G47" s="549"/>
      <c r="H47" s="549"/>
      <c r="I47" s="549"/>
      <c r="J47" s="549"/>
      <c r="K47" s="549"/>
      <c r="L47" s="549"/>
      <c r="M47" s="549"/>
      <c r="N47" s="549"/>
      <c r="O47" s="550"/>
      <c r="P47" s="512" t="str">
        <f t="shared" si="17"/>
        <v>-</v>
      </c>
      <c r="Q47" s="4" t="str">
        <f t="shared" si="18"/>
        <v>-</v>
      </c>
    </row>
    <row r="48" spans="1:17" ht="15.75" x14ac:dyDescent="0.25">
      <c r="A48" s="908"/>
      <c r="B48" s="824"/>
      <c r="C48" s="17" t="s">
        <v>22</v>
      </c>
      <c r="D48" s="683" t="str">
        <f>IF(D47=0,"",D$38*D47*24)</f>
        <v/>
      </c>
      <c r="E48" s="683" t="str">
        <f t="shared" ref="E48:O48" si="22">IF(E47=0,"",E$38*E47*24)</f>
        <v/>
      </c>
      <c r="F48" s="683" t="str">
        <f t="shared" si="22"/>
        <v/>
      </c>
      <c r="G48" s="683" t="str">
        <f t="shared" si="22"/>
        <v/>
      </c>
      <c r="H48" s="683" t="str">
        <f t="shared" si="22"/>
        <v/>
      </c>
      <c r="I48" s="683" t="str">
        <f t="shared" si="22"/>
        <v/>
      </c>
      <c r="J48" s="683" t="str">
        <f t="shared" si="22"/>
        <v/>
      </c>
      <c r="K48" s="683" t="str">
        <f t="shared" si="22"/>
        <v/>
      </c>
      <c r="L48" s="683" t="str">
        <f t="shared" si="22"/>
        <v/>
      </c>
      <c r="M48" s="683" t="str">
        <f t="shared" si="22"/>
        <v/>
      </c>
      <c r="N48" s="683" t="str">
        <f t="shared" si="22"/>
        <v/>
      </c>
      <c r="O48" s="686" t="str">
        <f t="shared" si="22"/>
        <v/>
      </c>
      <c r="P48" s="511" t="str">
        <f t="shared" si="17"/>
        <v>-</v>
      </c>
      <c r="Q48" s="6" t="str">
        <f t="shared" si="18"/>
        <v>-</v>
      </c>
    </row>
    <row r="49" spans="1:17" ht="15.75" customHeight="1" x14ac:dyDescent="0.25">
      <c r="A49" s="908"/>
      <c r="B49" s="823" t="s">
        <v>12</v>
      </c>
      <c r="C49" s="18" t="s">
        <v>21</v>
      </c>
      <c r="D49" s="549"/>
      <c r="E49" s="549"/>
      <c r="F49" s="549"/>
      <c r="G49" s="549"/>
      <c r="H49" s="549"/>
      <c r="I49" s="549"/>
      <c r="J49" s="549"/>
      <c r="K49" s="549"/>
      <c r="L49" s="549"/>
      <c r="M49" s="549"/>
      <c r="N49" s="549"/>
      <c r="O49" s="550"/>
      <c r="P49" s="512" t="str">
        <f t="shared" si="17"/>
        <v>-</v>
      </c>
      <c r="Q49" s="4" t="str">
        <f t="shared" si="18"/>
        <v>-</v>
      </c>
    </row>
    <row r="50" spans="1:17" ht="15.75" customHeight="1" x14ac:dyDescent="0.25">
      <c r="A50" s="908"/>
      <c r="B50" s="824"/>
      <c r="C50" s="18" t="s">
        <v>22</v>
      </c>
      <c r="D50" s="683" t="str">
        <f>IF(D49=0,"",D$38*D49*24)</f>
        <v/>
      </c>
      <c r="E50" s="683" t="str">
        <f t="shared" ref="E50:O50" si="23">IF(E49=0,"",E$38*E49*24)</f>
        <v/>
      </c>
      <c r="F50" s="683" t="str">
        <f t="shared" si="23"/>
        <v/>
      </c>
      <c r="G50" s="683" t="str">
        <f t="shared" si="23"/>
        <v/>
      </c>
      <c r="H50" s="683" t="str">
        <f t="shared" si="23"/>
        <v/>
      </c>
      <c r="I50" s="683" t="str">
        <f t="shared" si="23"/>
        <v/>
      </c>
      <c r="J50" s="683" t="str">
        <f t="shared" si="23"/>
        <v/>
      </c>
      <c r="K50" s="683" t="str">
        <f t="shared" si="23"/>
        <v/>
      </c>
      <c r="L50" s="683" t="str">
        <f t="shared" si="23"/>
        <v/>
      </c>
      <c r="M50" s="683" t="str">
        <f t="shared" si="23"/>
        <v/>
      </c>
      <c r="N50" s="683" t="str">
        <f t="shared" si="23"/>
        <v/>
      </c>
      <c r="O50" s="686" t="str">
        <f t="shared" si="23"/>
        <v/>
      </c>
      <c r="P50" s="511" t="str">
        <f t="shared" si="17"/>
        <v>-</v>
      </c>
      <c r="Q50" s="6" t="str">
        <f t="shared" si="18"/>
        <v>-</v>
      </c>
    </row>
    <row r="51" spans="1:17" ht="15.75" customHeight="1" x14ac:dyDescent="0.25">
      <c r="A51" s="908"/>
      <c r="B51" s="823" t="s">
        <v>15</v>
      </c>
      <c r="C51" s="16" t="s">
        <v>21</v>
      </c>
      <c r="D51" s="549"/>
      <c r="E51" s="549"/>
      <c r="F51" s="549"/>
      <c r="G51" s="549"/>
      <c r="H51" s="549"/>
      <c r="I51" s="549"/>
      <c r="J51" s="549"/>
      <c r="K51" s="549"/>
      <c r="L51" s="549"/>
      <c r="M51" s="549"/>
      <c r="N51" s="549"/>
      <c r="O51" s="550"/>
      <c r="P51" s="512" t="str">
        <f t="shared" si="17"/>
        <v>-</v>
      </c>
      <c r="Q51" s="4" t="str">
        <f t="shared" si="18"/>
        <v>-</v>
      </c>
    </row>
    <row r="52" spans="1:17" ht="15.75" customHeight="1" x14ac:dyDescent="0.25">
      <c r="A52" s="908"/>
      <c r="B52" s="824"/>
      <c r="C52" s="17" t="s">
        <v>22</v>
      </c>
      <c r="D52" s="683" t="str">
        <f>IF(D51=0,"",D$38*D51*24)</f>
        <v/>
      </c>
      <c r="E52" s="683" t="str">
        <f t="shared" ref="E52:O52" si="24">IF(E51=0,"",E$38*E51*24)</f>
        <v/>
      </c>
      <c r="F52" s="683" t="str">
        <f t="shared" si="24"/>
        <v/>
      </c>
      <c r="G52" s="683" t="str">
        <f t="shared" si="24"/>
        <v/>
      </c>
      <c r="H52" s="683" t="str">
        <f t="shared" si="24"/>
        <v/>
      </c>
      <c r="I52" s="683" t="str">
        <f t="shared" si="24"/>
        <v/>
      </c>
      <c r="J52" s="683" t="str">
        <f t="shared" si="24"/>
        <v/>
      </c>
      <c r="K52" s="683" t="str">
        <f t="shared" si="24"/>
        <v/>
      </c>
      <c r="L52" s="683" t="str">
        <f t="shared" si="24"/>
        <v/>
      </c>
      <c r="M52" s="683" t="str">
        <f t="shared" si="24"/>
        <v/>
      </c>
      <c r="N52" s="683" t="str">
        <f t="shared" si="24"/>
        <v/>
      </c>
      <c r="O52" s="686" t="str">
        <f t="shared" si="24"/>
        <v/>
      </c>
      <c r="P52" s="511" t="str">
        <f t="shared" si="17"/>
        <v>-</v>
      </c>
      <c r="Q52" s="6" t="str">
        <f t="shared" si="18"/>
        <v>-</v>
      </c>
    </row>
    <row r="53" spans="1:17" ht="15.75" customHeight="1" x14ac:dyDescent="0.25">
      <c r="A53" s="908"/>
      <c r="B53" s="823" t="s">
        <v>13</v>
      </c>
      <c r="C53" s="16" t="s">
        <v>21</v>
      </c>
      <c r="D53" s="549"/>
      <c r="E53" s="549"/>
      <c r="F53" s="549"/>
      <c r="G53" s="549"/>
      <c r="H53" s="549"/>
      <c r="I53" s="549"/>
      <c r="J53" s="549"/>
      <c r="K53" s="549"/>
      <c r="L53" s="549"/>
      <c r="M53" s="549"/>
      <c r="N53" s="549"/>
      <c r="O53" s="550"/>
      <c r="P53" s="512" t="str">
        <f t="shared" si="17"/>
        <v>-</v>
      </c>
      <c r="Q53" s="4" t="str">
        <f t="shared" si="18"/>
        <v>-</v>
      </c>
    </row>
    <row r="54" spans="1:17" ht="15.75" customHeight="1" x14ac:dyDescent="0.25">
      <c r="A54" s="908"/>
      <c r="B54" s="824"/>
      <c r="C54" s="17" t="s">
        <v>22</v>
      </c>
      <c r="D54" s="683" t="str">
        <f>IF(D53=0,"",D$38*D53*24)</f>
        <v/>
      </c>
      <c r="E54" s="683" t="str">
        <f t="shared" ref="E54:O54" si="25">IF(E53=0,"",E$38*E53*24)</f>
        <v/>
      </c>
      <c r="F54" s="683" t="str">
        <f t="shared" si="25"/>
        <v/>
      </c>
      <c r="G54" s="683" t="str">
        <f t="shared" si="25"/>
        <v/>
      </c>
      <c r="H54" s="683" t="str">
        <f t="shared" si="25"/>
        <v/>
      </c>
      <c r="I54" s="683" t="str">
        <f t="shared" si="25"/>
        <v/>
      </c>
      <c r="J54" s="683" t="str">
        <f t="shared" si="25"/>
        <v/>
      </c>
      <c r="K54" s="683" t="str">
        <f t="shared" si="25"/>
        <v/>
      </c>
      <c r="L54" s="683" t="str">
        <f t="shared" si="25"/>
        <v/>
      </c>
      <c r="M54" s="683" t="str">
        <f t="shared" si="25"/>
        <v/>
      </c>
      <c r="N54" s="683" t="str">
        <f t="shared" si="25"/>
        <v/>
      </c>
      <c r="O54" s="686" t="str">
        <f t="shared" si="25"/>
        <v/>
      </c>
      <c r="P54" s="511" t="str">
        <f t="shared" si="17"/>
        <v>-</v>
      </c>
      <c r="Q54" s="6" t="str">
        <f t="shared" si="18"/>
        <v>-</v>
      </c>
    </row>
    <row r="55" spans="1:17" ht="15.75" customHeight="1" x14ac:dyDescent="0.25">
      <c r="A55" s="908"/>
      <c r="B55" s="823" t="s">
        <v>20</v>
      </c>
      <c r="C55" s="16" t="s">
        <v>21</v>
      </c>
      <c r="D55" s="549"/>
      <c r="E55" s="549"/>
      <c r="F55" s="549"/>
      <c r="G55" s="549"/>
      <c r="H55" s="549"/>
      <c r="I55" s="549"/>
      <c r="J55" s="549"/>
      <c r="K55" s="549"/>
      <c r="L55" s="549"/>
      <c r="M55" s="549"/>
      <c r="N55" s="549"/>
      <c r="O55" s="550"/>
      <c r="P55" s="512" t="str">
        <f t="shared" si="17"/>
        <v>-</v>
      </c>
      <c r="Q55" s="4" t="str">
        <f t="shared" si="18"/>
        <v>-</v>
      </c>
    </row>
    <row r="56" spans="1:17" ht="15.75" customHeight="1" x14ac:dyDescent="0.25">
      <c r="A56" s="908"/>
      <c r="B56" s="824"/>
      <c r="C56" s="17" t="s">
        <v>22</v>
      </c>
      <c r="D56" s="683" t="str">
        <f>IF(D55=0,"",D$38*D55*24)</f>
        <v/>
      </c>
      <c r="E56" s="683" t="str">
        <f t="shared" ref="E56:O56" si="26">IF(E55=0,"",E$38*E55*24)</f>
        <v/>
      </c>
      <c r="F56" s="683" t="str">
        <f t="shared" si="26"/>
        <v/>
      </c>
      <c r="G56" s="683" t="str">
        <f t="shared" si="26"/>
        <v/>
      </c>
      <c r="H56" s="683" t="str">
        <f t="shared" si="26"/>
        <v/>
      </c>
      <c r="I56" s="683" t="str">
        <f t="shared" si="26"/>
        <v/>
      </c>
      <c r="J56" s="683" t="str">
        <f t="shared" si="26"/>
        <v/>
      </c>
      <c r="K56" s="683" t="str">
        <f t="shared" si="26"/>
        <v/>
      </c>
      <c r="L56" s="683" t="str">
        <f t="shared" si="26"/>
        <v/>
      </c>
      <c r="M56" s="683" t="str">
        <f t="shared" si="26"/>
        <v/>
      </c>
      <c r="N56" s="683" t="str">
        <f t="shared" si="26"/>
        <v/>
      </c>
      <c r="O56" s="686" t="str">
        <f t="shared" si="26"/>
        <v/>
      </c>
      <c r="P56" s="511" t="str">
        <f t="shared" si="17"/>
        <v>-</v>
      </c>
      <c r="Q56" s="6" t="str">
        <f t="shared" si="18"/>
        <v>-</v>
      </c>
    </row>
    <row r="57" spans="1:17" ht="15.75" x14ac:dyDescent="0.25">
      <c r="A57" s="908"/>
      <c r="B57" s="823" t="s">
        <v>1</v>
      </c>
      <c r="C57" s="18" t="s">
        <v>21</v>
      </c>
      <c r="D57" s="549"/>
      <c r="E57" s="549"/>
      <c r="F57" s="549"/>
      <c r="G57" s="549"/>
      <c r="H57" s="549"/>
      <c r="I57" s="549"/>
      <c r="J57" s="549"/>
      <c r="K57" s="549"/>
      <c r="L57" s="549"/>
      <c r="M57" s="549"/>
      <c r="N57" s="549"/>
      <c r="O57" s="550"/>
      <c r="P57" s="512" t="str">
        <f t="shared" si="17"/>
        <v>-</v>
      </c>
      <c r="Q57" s="4" t="str">
        <f t="shared" si="18"/>
        <v>-</v>
      </c>
    </row>
    <row r="58" spans="1:17" ht="15.75" customHeight="1" x14ac:dyDescent="0.25">
      <c r="A58" s="908"/>
      <c r="B58" s="824"/>
      <c r="C58" s="18" t="s">
        <v>22</v>
      </c>
      <c r="D58" s="683" t="str">
        <f>IF(D57=0,"",D$38*D57*24)</f>
        <v/>
      </c>
      <c r="E58" s="683" t="str">
        <f t="shared" ref="E58:O58" si="27">IF(E57=0,"",E$38*E57*24)</f>
        <v/>
      </c>
      <c r="F58" s="683" t="str">
        <f t="shared" si="27"/>
        <v/>
      </c>
      <c r="G58" s="683" t="str">
        <f t="shared" si="27"/>
        <v/>
      </c>
      <c r="H58" s="683" t="str">
        <f t="shared" si="27"/>
        <v/>
      </c>
      <c r="I58" s="683" t="str">
        <f t="shared" si="27"/>
        <v/>
      </c>
      <c r="J58" s="683" t="str">
        <f t="shared" si="27"/>
        <v/>
      </c>
      <c r="K58" s="683" t="str">
        <f t="shared" si="27"/>
        <v/>
      </c>
      <c r="L58" s="683" t="str">
        <f t="shared" si="27"/>
        <v/>
      </c>
      <c r="M58" s="683" t="str">
        <f t="shared" si="27"/>
        <v/>
      </c>
      <c r="N58" s="683" t="str">
        <f t="shared" si="27"/>
        <v/>
      </c>
      <c r="O58" s="686" t="str">
        <f t="shared" si="27"/>
        <v/>
      </c>
      <c r="P58" s="511" t="str">
        <f t="shared" si="17"/>
        <v>-</v>
      </c>
      <c r="Q58" s="6" t="str">
        <f t="shared" si="18"/>
        <v>-</v>
      </c>
    </row>
    <row r="59" spans="1:17" ht="15.75" customHeight="1" x14ac:dyDescent="0.25">
      <c r="A59" s="908"/>
      <c r="B59" s="823" t="str">
        <f>IF($B$28="OTHER (RENAME)","OTHER",$B$28)</f>
        <v>OTHER</v>
      </c>
      <c r="C59" s="19" t="s">
        <v>21</v>
      </c>
      <c r="D59" s="549"/>
      <c r="E59" s="549"/>
      <c r="F59" s="549"/>
      <c r="G59" s="549"/>
      <c r="H59" s="549"/>
      <c r="I59" s="549"/>
      <c r="J59" s="549"/>
      <c r="K59" s="549"/>
      <c r="L59" s="549"/>
      <c r="M59" s="549"/>
      <c r="N59" s="549"/>
      <c r="O59" s="550"/>
      <c r="P59" s="512" t="str">
        <f t="shared" si="17"/>
        <v>-</v>
      </c>
      <c r="Q59" s="4" t="str">
        <f t="shared" si="18"/>
        <v>-</v>
      </c>
    </row>
    <row r="60" spans="1:17" ht="15.75" customHeight="1" x14ac:dyDescent="0.25">
      <c r="A60" s="908"/>
      <c r="B60" s="824"/>
      <c r="C60" s="20" t="s">
        <v>22</v>
      </c>
      <c r="D60" s="687" t="str">
        <f>IF(D59=0,"",D$38*D59*24)</f>
        <v/>
      </c>
      <c r="E60" s="687" t="str">
        <f t="shared" ref="E60:O60" si="28">IF(E59=0,"",E$38*E59*24)</f>
        <v/>
      </c>
      <c r="F60" s="687" t="str">
        <f t="shared" si="28"/>
        <v/>
      </c>
      <c r="G60" s="687" t="str">
        <f t="shared" si="28"/>
        <v/>
      </c>
      <c r="H60" s="687" t="str">
        <f t="shared" si="28"/>
        <v/>
      </c>
      <c r="I60" s="687" t="str">
        <f t="shared" si="28"/>
        <v/>
      </c>
      <c r="J60" s="687" t="str">
        <f t="shared" si="28"/>
        <v/>
      </c>
      <c r="K60" s="687" t="str">
        <f t="shared" si="28"/>
        <v/>
      </c>
      <c r="L60" s="687" t="str">
        <f t="shared" si="28"/>
        <v/>
      </c>
      <c r="M60" s="687" t="str">
        <f t="shared" si="28"/>
        <v/>
      </c>
      <c r="N60" s="687" t="str">
        <f t="shared" si="28"/>
        <v/>
      </c>
      <c r="O60" s="688" t="str">
        <f t="shared" si="28"/>
        <v/>
      </c>
      <c r="P60" s="511" t="str">
        <f t="shared" si="17"/>
        <v>-</v>
      </c>
      <c r="Q60" s="6" t="str">
        <f t="shared" si="18"/>
        <v>-</v>
      </c>
    </row>
    <row r="61" spans="1:17" ht="15.75" x14ac:dyDescent="0.25">
      <c r="A61" s="908"/>
      <c r="B61" s="823" t="str">
        <f>IF($B$30="OTHER (RENAME)","OTHER",$B$30)</f>
        <v>OTHER</v>
      </c>
      <c r="C61" s="16" t="s">
        <v>21</v>
      </c>
      <c r="D61" s="549"/>
      <c r="E61" s="549"/>
      <c r="F61" s="549"/>
      <c r="G61" s="549"/>
      <c r="H61" s="549"/>
      <c r="I61" s="549"/>
      <c r="J61" s="549"/>
      <c r="K61" s="549"/>
      <c r="L61" s="549"/>
      <c r="M61" s="549"/>
      <c r="N61" s="549"/>
      <c r="O61" s="550"/>
      <c r="P61" s="512" t="str">
        <f t="shared" si="17"/>
        <v>-</v>
      </c>
      <c r="Q61" s="4" t="str">
        <f t="shared" ref="Q61:Q66" si="29">IF(SUM(D61:O61)=0,"-",SUM(D61:O61))</f>
        <v>-</v>
      </c>
    </row>
    <row r="62" spans="1:17" ht="15.75" x14ac:dyDescent="0.25">
      <c r="A62" s="908"/>
      <c r="B62" s="824"/>
      <c r="C62" s="17" t="s">
        <v>22</v>
      </c>
      <c r="D62" s="687" t="str">
        <f>IF(D61=0,"",D$38*D61*24)</f>
        <v/>
      </c>
      <c r="E62" s="687" t="str">
        <f t="shared" ref="E62:O62" si="30">IF(E61=0,"",E$38*E61*24)</f>
        <v/>
      </c>
      <c r="F62" s="687" t="str">
        <f t="shared" si="30"/>
        <v/>
      </c>
      <c r="G62" s="687" t="str">
        <f t="shared" si="30"/>
        <v/>
      </c>
      <c r="H62" s="687" t="str">
        <f t="shared" si="30"/>
        <v/>
      </c>
      <c r="I62" s="687" t="str">
        <f t="shared" si="30"/>
        <v/>
      </c>
      <c r="J62" s="687" t="str">
        <f t="shared" si="30"/>
        <v/>
      </c>
      <c r="K62" s="687" t="str">
        <f t="shared" si="30"/>
        <v/>
      </c>
      <c r="L62" s="687" t="str">
        <f t="shared" si="30"/>
        <v/>
      </c>
      <c r="M62" s="687" t="str">
        <f t="shared" si="30"/>
        <v/>
      </c>
      <c r="N62" s="687" t="str">
        <f t="shared" si="30"/>
        <v/>
      </c>
      <c r="O62" s="688" t="str">
        <f t="shared" si="30"/>
        <v/>
      </c>
      <c r="P62" s="511" t="str">
        <f t="shared" si="17"/>
        <v>-</v>
      </c>
      <c r="Q62" s="6" t="str">
        <f t="shared" si="29"/>
        <v>-</v>
      </c>
    </row>
    <row r="63" spans="1:17" ht="15.75" x14ac:dyDescent="0.25">
      <c r="A63" s="908"/>
      <c r="B63" s="823" t="str">
        <f>IF($B$32="OTHER (RENAME)","OTHER",$B$32)</f>
        <v>OTHER</v>
      </c>
      <c r="C63" s="16" t="s">
        <v>21</v>
      </c>
      <c r="D63" s="549"/>
      <c r="E63" s="549"/>
      <c r="F63" s="549"/>
      <c r="G63" s="549"/>
      <c r="H63" s="549"/>
      <c r="I63" s="549"/>
      <c r="J63" s="549"/>
      <c r="K63" s="549"/>
      <c r="L63" s="549"/>
      <c r="M63" s="549"/>
      <c r="N63" s="549"/>
      <c r="O63" s="550"/>
      <c r="P63" s="512" t="str">
        <f t="shared" si="17"/>
        <v>-</v>
      </c>
      <c r="Q63" s="4" t="str">
        <f t="shared" si="29"/>
        <v>-</v>
      </c>
    </row>
    <row r="64" spans="1:17" ht="15.75" x14ac:dyDescent="0.25">
      <c r="A64" s="908"/>
      <c r="B64" s="824"/>
      <c r="C64" s="17" t="s">
        <v>22</v>
      </c>
      <c r="D64" s="687" t="str">
        <f>IF(D63=0,"",D$38*D63*24)</f>
        <v/>
      </c>
      <c r="E64" s="687" t="str">
        <f t="shared" ref="E64:O64" si="31">IF(E63=0,"",E$38*E63*24)</f>
        <v/>
      </c>
      <c r="F64" s="687" t="str">
        <f t="shared" si="31"/>
        <v/>
      </c>
      <c r="G64" s="687" t="str">
        <f t="shared" si="31"/>
        <v/>
      </c>
      <c r="H64" s="687" t="str">
        <f t="shared" si="31"/>
        <v/>
      </c>
      <c r="I64" s="687" t="str">
        <f t="shared" si="31"/>
        <v/>
      </c>
      <c r="J64" s="687" t="str">
        <f t="shared" si="31"/>
        <v/>
      </c>
      <c r="K64" s="687" t="str">
        <f t="shared" si="31"/>
        <v/>
      </c>
      <c r="L64" s="687" t="str">
        <f t="shared" si="31"/>
        <v/>
      </c>
      <c r="M64" s="687" t="str">
        <f t="shared" si="31"/>
        <v/>
      </c>
      <c r="N64" s="687" t="str">
        <f t="shared" si="31"/>
        <v/>
      </c>
      <c r="O64" s="688" t="str">
        <f t="shared" si="31"/>
        <v/>
      </c>
      <c r="P64" s="511" t="str">
        <f t="shared" si="17"/>
        <v>-</v>
      </c>
      <c r="Q64" s="6" t="str">
        <f t="shared" si="29"/>
        <v>-</v>
      </c>
    </row>
    <row r="65" spans="1:17" ht="15.75" x14ac:dyDescent="0.25">
      <c r="A65" s="908"/>
      <c r="B65" s="823" t="str">
        <f>IF($B$34="OTHER (RENAME)","OTHER",$B$34)</f>
        <v>OTHER</v>
      </c>
      <c r="C65" s="16" t="s">
        <v>21</v>
      </c>
      <c r="D65" s="549"/>
      <c r="E65" s="549"/>
      <c r="F65" s="549"/>
      <c r="G65" s="549"/>
      <c r="H65" s="549"/>
      <c r="I65" s="549"/>
      <c r="J65" s="549"/>
      <c r="K65" s="549"/>
      <c r="L65" s="549"/>
      <c r="M65" s="549"/>
      <c r="N65" s="549"/>
      <c r="O65" s="550"/>
      <c r="P65" s="512" t="str">
        <f t="shared" si="17"/>
        <v>-</v>
      </c>
      <c r="Q65" s="4" t="str">
        <f t="shared" si="29"/>
        <v>-</v>
      </c>
    </row>
    <row r="66" spans="1:17" ht="15.75" x14ac:dyDescent="0.25">
      <c r="A66" s="908"/>
      <c r="B66" s="824"/>
      <c r="C66" s="17" t="s">
        <v>22</v>
      </c>
      <c r="D66" s="687" t="str">
        <f>IF(D65=0,"",D$38*D65*24)</f>
        <v/>
      </c>
      <c r="E66" s="687" t="str">
        <f t="shared" ref="E66:O66" si="32">IF(E65=0,"",E$38*E65*24)</f>
        <v/>
      </c>
      <c r="F66" s="687" t="str">
        <f t="shared" si="32"/>
        <v/>
      </c>
      <c r="G66" s="687" t="str">
        <f t="shared" si="32"/>
        <v/>
      </c>
      <c r="H66" s="687" t="str">
        <f t="shared" si="32"/>
        <v/>
      </c>
      <c r="I66" s="687" t="str">
        <f t="shared" si="32"/>
        <v/>
      </c>
      <c r="J66" s="687" t="str">
        <f t="shared" si="32"/>
        <v/>
      </c>
      <c r="K66" s="687" t="str">
        <f t="shared" si="32"/>
        <v/>
      </c>
      <c r="L66" s="687" t="str">
        <f t="shared" si="32"/>
        <v/>
      </c>
      <c r="M66" s="687" t="str">
        <f t="shared" si="32"/>
        <v/>
      </c>
      <c r="N66" s="687" t="str">
        <f t="shared" si="32"/>
        <v/>
      </c>
      <c r="O66" s="688" t="str">
        <f t="shared" si="32"/>
        <v/>
      </c>
      <c r="P66" s="511" t="str">
        <f t="shared" si="17"/>
        <v>-</v>
      </c>
      <c r="Q66" s="6" t="str">
        <f t="shared" si="29"/>
        <v>-</v>
      </c>
    </row>
    <row r="67" spans="1:17" ht="15.75" x14ac:dyDescent="0.25">
      <c r="A67" s="908"/>
      <c r="B67" s="825" t="s">
        <v>16</v>
      </c>
      <c r="C67" s="826"/>
      <c r="D67" s="551" t="str">
        <f>IF(SUM(D39,D41,D43,D45,D47,D49,D51,D53,D55,D57,D59,D61,D63,D65)=0,"",SUM(D39,D41,D43,D45,D47,D49,D51,D53,D55,D57,D59,D61,D63,D65))</f>
        <v/>
      </c>
      <c r="E67" s="551" t="str">
        <f t="shared" ref="E67:O67" si="33">IF(SUM(E39,E41,E43,E45,E47,E49,E51,E53,E55,E57,E59,E61,E63,E65)=0,"",SUM(E39,E41,E43,E45,E47,E49,E51,E53,E55,E57,E59,E61,E63,E65))</f>
        <v/>
      </c>
      <c r="F67" s="551" t="str">
        <f t="shared" si="33"/>
        <v/>
      </c>
      <c r="G67" s="551" t="str">
        <f t="shared" si="33"/>
        <v/>
      </c>
      <c r="H67" s="551" t="str">
        <f t="shared" si="33"/>
        <v/>
      </c>
      <c r="I67" s="551" t="str">
        <f t="shared" si="33"/>
        <v/>
      </c>
      <c r="J67" s="551" t="str">
        <f t="shared" si="33"/>
        <v/>
      </c>
      <c r="K67" s="551" t="str">
        <f t="shared" si="33"/>
        <v/>
      </c>
      <c r="L67" s="551" t="str">
        <f t="shared" si="33"/>
        <v/>
      </c>
      <c r="M67" s="551" t="str">
        <f t="shared" si="33"/>
        <v/>
      </c>
      <c r="N67" s="551" t="str">
        <f t="shared" si="33"/>
        <v/>
      </c>
      <c r="O67" s="552" t="str">
        <f t="shared" si="33"/>
        <v/>
      </c>
      <c r="P67" s="512" t="str">
        <f>IF(Q67="-","-",Q67/12)</f>
        <v>-</v>
      </c>
      <c r="Q67" s="4" t="str">
        <f>IF(SUM(D67:O67)=0,"-",SUM(D67:O67))</f>
        <v>-</v>
      </c>
    </row>
    <row r="68" spans="1:17" ht="16.5" thickBot="1" x14ac:dyDescent="0.3">
      <c r="A68" s="909"/>
      <c r="B68" s="820" t="s">
        <v>17</v>
      </c>
      <c r="C68" s="821"/>
      <c r="D68" s="733" t="str">
        <f>IF(D67="","",SUM(D40,D42,D44,D46,D48,D50,D52,D54,D56,D58,D60,D62,D64,D66))</f>
        <v/>
      </c>
      <c r="E68" s="733" t="str">
        <f t="shared" ref="E68" si="34">IF(E67="","",SUM(E40,E42,E44,E46,E48,E50,E52,E54,E56,E58,E60,E62,E64,E66))</f>
        <v/>
      </c>
      <c r="F68" s="733" t="str">
        <f t="shared" ref="F68" si="35">IF(F67="","",SUM(F40,F42,F44,F46,F48,F50,F52,F54,F56,F58,F60,F62,F64,F66))</f>
        <v/>
      </c>
      <c r="G68" s="733" t="str">
        <f t="shared" ref="G68" si="36">IF(G67="","",SUM(G40,G42,G44,G46,G48,G50,G52,G54,G56,G58,G60,G62,G64,G66))</f>
        <v/>
      </c>
      <c r="H68" s="733" t="str">
        <f t="shared" ref="H68" si="37">IF(H67="","",SUM(H40,H42,H44,H46,H48,H50,H52,H54,H56,H58,H60,H62,H64,H66))</f>
        <v/>
      </c>
      <c r="I68" s="733" t="str">
        <f t="shared" ref="I68" si="38">IF(I67="","",SUM(I40,I42,I44,I46,I48,I50,I52,I54,I56,I58,I60,I62,I64,I66))</f>
        <v/>
      </c>
      <c r="J68" s="733" t="str">
        <f t="shared" ref="J68" si="39">IF(J67="","",SUM(J40,J42,J44,J46,J48,J50,J52,J54,J56,J58,J60,J62,J64,J66))</f>
        <v/>
      </c>
      <c r="K68" s="733" t="str">
        <f t="shared" ref="K68" si="40">IF(K67="","",SUM(K40,K42,K44,K46,K48,K50,K52,K54,K56,K58,K60,K62,K64,K66))</f>
        <v/>
      </c>
      <c r="L68" s="733" t="str">
        <f t="shared" ref="L68" si="41">IF(L67="","",SUM(L40,L42,L44,L46,L48,L50,L52,L54,L56,L58,L60,L62,L64,L66))</f>
        <v/>
      </c>
      <c r="M68" s="733" t="str">
        <f t="shared" ref="M68" si="42">IF(M67="","",SUM(M40,M42,M44,M46,M48,M50,M52,M54,M56,M58,M60,M62,M64,M66))</f>
        <v/>
      </c>
      <c r="N68" s="733" t="str">
        <f t="shared" ref="N68" si="43">IF(N67="","",SUM(N40,N42,N44,N46,N48,N50,N52,N54,N56,N58,N60,N62,N64,N66))</f>
        <v/>
      </c>
      <c r="O68" s="734" t="str">
        <f t="shared" ref="O68" si="44">IF(O67="","",SUM(O40,O42,O44,O46,O48,O50,O52,O54,O56,O58,O60,O62,O64,O66))</f>
        <v/>
      </c>
      <c r="P68" s="525" t="str">
        <f>IF(Q68="-","-",Q68/12)</f>
        <v>-</v>
      </c>
      <c r="Q68" s="7" t="str">
        <f>IF(SUM(D68:O68)=0,"-",SUM(D68:O68))</f>
        <v>-</v>
      </c>
    </row>
    <row r="69" spans="1:17" ht="15.75" x14ac:dyDescent="0.25">
      <c r="A69" s="863" t="s">
        <v>111</v>
      </c>
      <c r="B69" s="878" t="s">
        <v>3</v>
      </c>
      <c r="C69" s="879"/>
      <c r="D69" s="547" t="str">
        <f>IF('2025DATA'!AT3=0,"",'2025DATA'!AT3)</f>
        <v/>
      </c>
      <c r="E69" s="547" t="str">
        <f>IF('2025DATA'!AU3=0,"",'2025DATA'!AU3)</f>
        <v/>
      </c>
      <c r="F69" s="547" t="str">
        <f>IF('2025DATA'!AV3=0,"",'2025DATA'!AV3)</f>
        <v/>
      </c>
      <c r="G69" s="547" t="str">
        <f>IF('2025DATA'!AW3=0,"",'2025DATA'!AW3)</f>
        <v/>
      </c>
      <c r="H69" s="547" t="str">
        <f>IF('2025DATA'!AX3=0,"",'2025DATA'!AX3)</f>
        <v/>
      </c>
      <c r="I69" s="547" t="str">
        <f>IF('2025DATA'!AY3=0,"",'2025DATA'!AY3)</f>
        <v/>
      </c>
      <c r="J69" s="547" t="str">
        <f>IF('2025DATA'!AZ3=0,"",'2025DATA'!AZ3)</f>
        <v/>
      </c>
      <c r="K69" s="547" t="str">
        <f>IF('2025DATA'!BA3=0,"",'2025DATA'!BA3)</f>
        <v/>
      </c>
      <c r="L69" s="547" t="str">
        <f>IF('2025DATA'!BB3=0,"",'2025DATA'!BB3)</f>
        <v/>
      </c>
      <c r="M69" s="547" t="str">
        <f>IF('2025DATA'!BC3=0,"",'2025DATA'!BC3)</f>
        <v/>
      </c>
      <c r="N69" s="547" t="str">
        <f>IF('2025DATA'!BD3=0,"",'2025DATA'!BD3)</f>
        <v/>
      </c>
      <c r="O69" s="548" t="str">
        <f>IF('2025DATA'!BE3=0,"",'2025DATA'!BE3)</f>
        <v/>
      </c>
      <c r="P69" s="880"/>
      <c r="Q69" s="881"/>
    </row>
    <row r="70" spans="1:17" ht="15.75" x14ac:dyDescent="0.25">
      <c r="A70" s="864"/>
      <c r="B70" s="823" t="s">
        <v>7</v>
      </c>
      <c r="C70" s="513" t="s">
        <v>21</v>
      </c>
      <c r="D70" s="549"/>
      <c r="E70" s="549"/>
      <c r="F70" s="549"/>
      <c r="G70" s="549"/>
      <c r="H70" s="549"/>
      <c r="I70" s="549"/>
      <c r="J70" s="549"/>
      <c r="K70" s="549"/>
      <c r="L70" s="549"/>
      <c r="M70" s="549"/>
      <c r="N70" s="549"/>
      <c r="O70" s="550"/>
      <c r="P70" s="512" t="str">
        <f t="shared" ref="P70:P99" si="45">IF(Q70="-","-",Q70/12)</f>
        <v>-</v>
      </c>
      <c r="Q70" s="4" t="str">
        <f t="shared" ref="Q70:Q89" si="46">IF(SUM(D70:O70)=0,"-",SUM(D70:O70))</f>
        <v>-</v>
      </c>
    </row>
    <row r="71" spans="1:17" ht="15.75" x14ac:dyDescent="0.25">
      <c r="A71" s="864"/>
      <c r="B71" s="824"/>
      <c r="C71" s="18" t="s">
        <v>22</v>
      </c>
      <c r="D71" s="683" t="str">
        <f>IF(D70="","",D$69*D70*24)</f>
        <v/>
      </c>
      <c r="E71" s="683" t="str">
        <f t="shared" ref="E71:O71" si="47">IF(E70="","",E$69*E70*24)</f>
        <v/>
      </c>
      <c r="F71" s="683" t="str">
        <f t="shared" si="47"/>
        <v/>
      </c>
      <c r="G71" s="683" t="str">
        <f t="shared" si="47"/>
        <v/>
      </c>
      <c r="H71" s="683" t="str">
        <f t="shared" si="47"/>
        <v/>
      </c>
      <c r="I71" s="683" t="str">
        <f t="shared" si="47"/>
        <v/>
      </c>
      <c r="J71" s="683" t="str">
        <f t="shared" si="47"/>
        <v/>
      </c>
      <c r="K71" s="683" t="str">
        <f t="shared" si="47"/>
        <v/>
      </c>
      <c r="L71" s="683" t="str">
        <f t="shared" si="47"/>
        <v/>
      </c>
      <c r="M71" s="683" t="str">
        <f t="shared" si="47"/>
        <v/>
      </c>
      <c r="N71" s="683" t="str">
        <f t="shared" si="47"/>
        <v/>
      </c>
      <c r="O71" s="686" t="str">
        <f t="shared" si="47"/>
        <v/>
      </c>
      <c r="P71" s="511" t="str">
        <f t="shared" si="45"/>
        <v>-</v>
      </c>
      <c r="Q71" s="6" t="str">
        <f t="shared" si="46"/>
        <v>-</v>
      </c>
    </row>
    <row r="72" spans="1:17" ht="15.75" x14ac:dyDescent="0.25">
      <c r="A72" s="864"/>
      <c r="B72" s="823" t="s">
        <v>8</v>
      </c>
      <c r="C72" s="16" t="s">
        <v>21</v>
      </c>
      <c r="D72" s="549"/>
      <c r="E72" s="549"/>
      <c r="F72" s="549"/>
      <c r="G72" s="549"/>
      <c r="H72" s="549"/>
      <c r="I72" s="549"/>
      <c r="J72" s="549"/>
      <c r="K72" s="549"/>
      <c r="L72" s="549"/>
      <c r="M72" s="549"/>
      <c r="N72" s="549"/>
      <c r="O72" s="550"/>
      <c r="P72" s="512" t="str">
        <f t="shared" si="45"/>
        <v>-</v>
      </c>
      <c r="Q72" s="4" t="str">
        <f t="shared" si="46"/>
        <v>-</v>
      </c>
    </row>
    <row r="73" spans="1:17" ht="15.75" x14ac:dyDescent="0.25">
      <c r="A73" s="864"/>
      <c r="B73" s="824"/>
      <c r="C73" s="17" t="s">
        <v>22</v>
      </c>
      <c r="D73" s="683" t="str">
        <f>IF(D72=0,"",(D69+IF(D$4="CA",DATA!$B$22,DATA!$B$23))*D72*24)</f>
        <v/>
      </c>
      <c r="E73" s="683" t="str">
        <f>IF(E72=0,"",(E69+IF(E$4="CA",DATA!$B$22,DATA!$B$23))*E72*24)</f>
        <v/>
      </c>
      <c r="F73" s="683" t="str">
        <f>IF(F72=0,"",(F69+IF(F$4="CA",DATA!$B$22,DATA!$B$23))*F72*24)</f>
        <v/>
      </c>
      <c r="G73" s="683" t="str">
        <f>IF(G72=0,"",(G69+IF(G$4="CA",DATA!$B$22,DATA!$B$23))*G72*24)</f>
        <v/>
      </c>
      <c r="H73" s="683" t="str">
        <f>IF(H72=0,"",(H69+IF(H$4="CA",DATA!$B$22,DATA!$B$23))*H72*24)</f>
        <v/>
      </c>
      <c r="I73" s="683" t="str">
        <f>IF(I72=0,"",(I69+IF(I$4="CA",DATA!$B$22,DATA!$B$23))*I72*24)</f>
        <v/>
      </c>
      <c r="J73" s="683" t="str">
        <f>IF(J72=0,"",(J69+IF(J$4="CA",DATA!$B$22,DATA!$B$23))*J72*24)</f>
        <v/>
      </c>
      <c r="K73" s="683" t="str">
        <f>IF(K72=0,"",(K69+IF(K$4="CA",DATA!$B$22,DATA!$B$23))*K72*24)</f>
        <v/>
      </c>
      <c r="L73" s="683" t="str">
        <f>IF(L72=0,"",(L69+IF(L$4="CA",DATA!$B$22,DATA!$B$23))*L72*24)</f>
        <v/>
      </c>
      <c r="M73" s="683" t="str">
        <f>IF(M72=0,"",(M69+IF(M$4="CA",DATA!$B$22,DATA!$B$23))*M72*24)</f>
        <v/>
      </c>
      <c r="N73" s="683" t="str">
        <f>IF(N72=0,"",(N69+IF(N$4="CA",DATA!$B$22,DATA!$B$23))*N72*24)</f>
        <v/>
      </c>
      <c r="O73" s="686" t="str">
        <f>IF(O72=0,"",(O69+IF(O$4="CA",DATA!$B$22,DATA!$B$23))*O72*24)</f>
        <v/>
      </c>
      <c r="P73" s="511" t="str">
        <f t="shared" si="45"/>
        <v>-</v>
      </c>
      <c r="Q73" s="6" t="str">
        <f t="shared" si="46"/>
        <v>-</v>
      </c>
    </row>
    <row r="74" spans="1:17" ht="15.75" x14ac:dyDescent="0.25">
      <c r="A74" s="864"/>
      <c r="B74" s="823" t="s">
        <v>9</v>
      </c>
      <c r="C74" s="18" t="s">
        <v>21</v>
      </c>
      <c r="D74" s="549"/>
      <c r="E74" s="549"/>
      <c r="F74" s="549"/>
      <c r="G74" s="549"/>
      <c r="H74" s="549"/>
      <c r="I74" s="549"/>
      <c r="J74" s="549"/>
      <c r="K74" s="549"/>
      <c r="L74" s="549"/>
      <c r="M74" s="549"/>
      <c r="N74" s="549"/>
      <c r="O74" s="550"/>
      <c r="P74" s="512" t="str">
        <f t="shared" si="45"/>
        <v>-</v>
      </c>
      <c r="Q74" s="4" t="str">
        <f t="shared" si="46"/>
        <v>-</v>
      </c>
    </row>
    <row r="75" spans="1:17" ht="15.75" x14ac:dyDescent="0.25">
      <c r="A75" s="864"/>
      <c r="B75" s="824"/>
      <c r="C75" s="18" t="s">
        <v>22</v>
      </c>
      <c r="D75" s="683" t="str">
        <f>IF(D74="","",D$69*D74*24)</f>
        <v/>
      </c>
      <c r="E75" s="683" t="str">
        <f t="shared" ref="E75:O75" si="48">IF(E74="","",E$69*E74*24)</f>
        <v/>
      </c>
      <c r="F75" s="684" t="str">
        <f t="shared" si="48"/>
        <v/>
      </c>
      <c r="G75" s="683" t="str">
        <f t="shared" si="48"/>
        <v/>
      </c>
      <c r="H75" s="683" t="str">
        <f t="shared" si="48"/>
        <v/>
      </c>
      <c r="I75" s="683" t="str">
        <f t="shared" si="48"/>
        <v/>
      </c>
      <c r="J75" s="683" t="str">
        <f t="shared" si="48"/>
        <v/>
      </c>
      <c r="K75" s="683" t="str">
        <f t="shared" si="48"/>
        <v/>
      </c>
      <c r="L75" s="683" t="str">
        <f t="shared" si="48"/>
        <v/>
      </c>
      <c r="M75" s="683" t="str">
        <f t="shared" si="48"/>
        <v/>
      </c>
      <c r="N75" s="683" t="str">
        <f t="shared" si="48"/>
        <v/>
      </c>
      <c r="O75" s="685" t="str">
        <f t="shared" si="48"/>
        <v/>
      </c>
      <c r="P75" s="511" t="str">
        <f t="shared" si="45"/>
        <v>-</v>
      </c>
      <c r="Q75" s="6" t="str">
        <f t="shared" si="46"/>
        <v>-</v>
      </c>
    </row>
    <row r="76" spans="1:17" ht="15.75" x14ac:dyDescent="0.25">
      <c r="A76" s="864"/>
      <c r="B76" s="823" t="s">
        <v>10</v>
      </c>
      <c r="C76" s="16" t="s">
        <v>21</v>
      </c>
      <c r="D76" s="549"/>
      <c r="E76" s="549"/>
      <c r="F76" s="549"/>
      <c r="G76" s="549"/>
      <c r="H76" s="549"/>
      <c r="I76" s="549"/>
      <c r="J76" s="549"/>
      <c r="K76" s="549"/>
      <c r="L76" s="549"/>
      <c r="M76" s="549"/>
      <c r="N76" s="549"/>
      <c r="O76" s="550"/>
      <c r="P76" s="512" t="str">
        <f t="shared" si="45"/>
        <v>-</v>
      </c>
      <c r="Q76" s="4" t="str">
        <f t="shared" si="46"/>
        <v>-</v>
      </c>
    </row>
    <row r="77" spans="1:17" ht="15.75" x14ac:dyDescent="0.25">
      <c r="A77" s="864"/>
      <c r="B77" s="824"/>
      <c r="C77" s="17" t="s">
        <v>22</v>
      </c>
      <c r="D77" s="683" t="str">
        <f>IF(D76="","",D$69*D76*24)</f>
        <v/>
      </c>
      <c r="E77" s="683" t="str">
        <f t="shared" ref="E77:O77" si="49">IF(E76="","",E$69*E76*24)</f>
        <v/>
      </c>
      <c r="F77" s="684" t="str">
        <f t="shared" si="49"/>
        <v/>
      </c>
      <c r="G77" s="683" t="str">
        <f t="shared" si="49"/>
        <v/>
      </c>
      <c r="H77" s="683" t="str">
        <f t="shared" si="49"/>
        <v/>
      </c>
      <c r="I77" s="683" t="str">
        <f t="shared" si="49"/>
        <v/>
      </c>
      <c r="J77" s="683" t="str">
        <f t="shared" si="49"/>
        <v/>
      </c>
      <c r="K77" s="683" t="str">
        <f t="shared" si="49"/>
        <v/>
      </c>
      <c r="L77" s="683" t="str">
        <f t="shared" si="49"/>
        <v/>
      </c>
      <c r="M77" s="683" t="str">
        <f t="shared" si="49"/>
        <v/>
      </c>
      <c r="N77" s="683" t="str">
        <f t="shared" si="49"/>
        <v/>
      </c>
      <c r="O77" s="685" t="str">
        <f t="shared" si="49"/>
        <v/>
      </c>
      <c r="P77" s="511" t="str">
        <f t="shared" si="45"/>
        <v>-</v>
      </c>
      <c r="Q77" s="6" t="str">
        <f t="shared" si="46"/>
        <v>-</v>
      </c>
    </row>
    <row r="78" spans="1:17" ht="15.75" x14ac:dyDescent="0.25">
      <c r="A78" s="864"/>
      <c r="B78" s="823" t="s">
        <v>11</v>
      </c>
      <c r="C78" s="18" t="s">
        <v>21</v>
      </c>
      <c r="D78" s="549"/>
      <c r="E78" s="549"/>
      <c r="F78" s="549"/>
      <c r="G78" s="549"/>
      <c r="H78" s="549"/>
      <c r="I78" s="549"/>
      <c r="J78" s="549"/>
      <c r="K78" s="549"/>
      <c r="L78" s="549"/>
      <c r="M78" s="549"/>
      <c r="N78" s="549"/>
      <c r="O78" s="550"/>
      <c r="P78" s="512" t="str">
        <f t="shared" si="45"/>
        <v>-</v>
      </c>
      <c r="Q78" s="4" t="str">
        <f t="shared" si="46"/>
        <v>-</v>
      </c>
    </row>
    <row r="79" spans="1:17" ht="15.75" x14ac:dyDescent="0.25">
      <c r="A79" s="864"/>
      <c r="B79" s="824"/>
      <c r="C79" s="18" t="s">
        <v>22</v>
      </c>
      <c r="D79" s="683" t="str">
        <f>IF(D78="","",D$69*D78*24)</f>
        <v/>
      </c>
      <c r="E79" s="683" t="str">
        <f t="shared" ref="E79:O79" si="50">IF(E78="","",E$69*E78*24)</f>
        <v/>
      </c>
      <c r="F79" s="684" t="str">
        <f t="shared" si="50"/>
        <v/>
      </c>
      <c r="G79" s="683" t="str">
        <f t="shared" si="50"/>
        <v/>
      </c>
      <c r="H79" s="683" t="str">
        <f t="shared" si="50"/>
        <v/>
      </c>
      <c r="I79" s="683" t="str">
        <f t="shared" si="50"/>
        <v/>
      </c>
      <c r="J79" s="683" t="str">
        <f t="shared" si="50"/>
        <v/>
      </c>
      <c r="K79" s="683" t="str">
        <f t="shared" si="50"/>
        <v/>
      </c>
      <c r="L79" s="683" t="str">
        <f t="shared" si="50"/>
        <v/>
      </c>
      <c r="M79" s="683" t="str">
        <f t="shared" si="50"/>
        <v/>
      </c>
      <c r="N79" s="683" t="str">
        <f t="shared" si="50"/>
        <v/>
      </c>
      <c r="O79" s="685" t="str">
        <f t="shared" si="50"/>
        <v/>
      </c>
      <c r="P79" s="511" t="str">
        <f t="shared" si="45"/>
        <v>-</v>
      </c>
      <c r="Q79" s="6" t="str">
        <f t="shared" si="46"/>
        <v>-</v>
      </c>
    </row>
    <row r="80" spans="1:17" ht="15.75" x14ac:dyDescent="0.25">
      <c r="A80" s="864"/>
      <c r="B80" s="823" t="s">
        <v>12</v>
      </c>
      <c r="C80" s="16" t="s">
        <v>21</v>
      </c>
      <c r="D80" s="549"/>
      <c r="E80" s="549"/>
      <c r="F80" s="549"/>
      <c r="G80" s="549"/>
      <c r="H80" s="549"/>
      <c r="I80" s="549"/>
      <c r="J80" s="549"/>
      <c r="K80" s="549"/>
      <c r="L80" s="549"/>
      <c r="M80" s="549"/>
      <c r="N80" s="549"/>
      <c r="O80" s="550"/>
      <c r="P80" s="512" t="str">
        <f t="shared" si="45"/>
        <v>-</v>
      </c>
      <c r="Q80" s="4" t="str">
        <f t="shared" si="46"/>
        <v>-</v>
      </c>
    </row>
    <row r="81" spans="1:17" ht="15.75" x14ac:dyDescent="0.25">
      <c r="A81" s="864"/>
      <c r="B81" s="824"/>
      <c r="C81" s="17" t="s">
        <v>22</v>
      </c>
      <c r="D81" s="683" t="str">
        <f>IF(D80="","",D$69*D80*24)</f>
        <v/>
      </c>
      <c r="E81" s="683" t="str">
        <f t="shared" ref="E81:O81" si="51">IF(E80="","",E$69*E80*24)</f>
        <v/>
      </c>
      <c r="F81" s="684" t="str">
        <f t="shared" si="51"/>
        <v/>
      </c>
      <c r="G81" s="683" t="str">
        <f t="shared" si="51"/>
        <v/>
      </c>
      <c r="H81" s="683" t="str">
        <f t="shared" si="51"/>
        <v/>
      </c>
      <c r="I81" s="683" t="str">
        <f t="shared" si="51"/>
        <v/>
      </c>
      <c r="J81" s="683" t="str">
        <f t="shared" si="51"/>
        <v/>
      </c>
      <c r="K81" s="683" t="str">
        <f t="shared" si="51"/>
        <v/>
      </c>
      <c r="L81" s="683" t="str">
        <f t="shared" si="51"/>
        <v/>
      </c>
      <c r="M81" s="683" t="str">
        <f t="shared" si="51"/>
        <v/>
      </c>
      <c r="N81" s="683" t="str">
        <f t="shared" si="51"/>
        <v/>
      </c>
      <c r="O81" s="685" t="str">
        <f t="shared" si="51"/>
        <v/>
      </c>
      <c r="P81" s="511" t="str">
        <f t="shared" si="45"/>
        <v>-</v>
      </c>
      <c r="Q81" s="6" t="str">
        <f t="shared" si="46"/>
        <v>-</v>
      </c>
    </row>
    <row r="82" spans="1:17" ht="15.75" x14ac:dyDescent="0.25">
      <c r="A82" s="864"/>
      <c r="B82" s="823" t="s">
        <v>15</v>
      </c>
      <c r="C82" s="18" t="s">
        <v>21</v>
      </c>
      <c r="D82" s="549"/>
      <c r="E82" s="549"/>
      <c r="F82" s="549"/>
      <c r="G82" s="549"/>
      <c r="H82" s="549"/>
      <c r="I82" s="549"/>
      <c r="J82" s="549"/>
      <c r="K82" s="549"/>
      <c r="L82" s="549"/>
      <c r="M82" s="549"/>
      <c r="N82" s="549"/>
      <c r="O82" s="550"/>
      <c r="P82" s="512" t="str">
        <f t="shared" si="45"/>
        <v>-</v>
      </c>
      <c r="Q82" s="4" t="str">
        <f t="shared" si="46"/>
        <v>-</v>
      </c>
    </row>
    <row r="83" spans="1:17" ht="15.75" x14ac:dyDescent="0.25">
      <c r="A83" s="864"/>
      <c r="B83" s="824"/>
      <c r="C83" s="18" t="s">
        <v>22</v>
      </c>
      <c r="D83" s="683" t="str">
        <f>IF(D82="","",D$69*D82*24)</f>
        <v/>
      </c>
      <c r="E83" s="683" t="str">
        <f t="shared" ref="E83:O83" si="52">IF(E82="","",E$69*E82*24)</f>
        <v/>
      </c>
      <c r="F83" s="684" t="str">
        <f t="shared" si="52"/>
        <v/>
      </c>
      <c r="G83" s="683" t="str">
        <f t="shared" si="52"/>
        <v/>
      </c>
      <c r="H83" s="683" t="str">
        <f t="shared" si="52"/>
        <v/>
      </c>
      <c r="I83" s="683" t="str">
        <f t="shared" si="52"/>
        <v/>
      </c>
      <c r="J83" s="683" t="str">
        <f t="shared" si="52"/>
        <v/>
      </c>
      <c r="K83" s="683" t="str">
        <f t="shared" si="52"/>
        <v/>
      </c>
      <c r="L83" s="683" t="str">
        <f t="shared" si="52"/>
        <v/>
      </c>
      <c r="M83" s="683" t="str">
        <f t="shared" si="52"/>
        <v/>
      </c>
      <c r="N83" s="683" t="str">
        <f t="shared" si="52"/>
        <v/>
      </c>
      <c r="O83" s="685" t="str">
        <f t="shared" si="52"/>
        <v/>
      </c>
      <c r="P83" s="511" t="str">
        <f t="shared" si="45"/>
        <v>-</v>
      </c>
      <c r="Q83" s="6" t="str">
        <f t="shared" si="46"/>
        <v>-</v>
      </c>
    </row>
    <row r="84" spans="1:17" ht="15.75" x14ac:dyDescent="0.25">
      <c r="A84" s="864"/>
      <c r="B84" s="823" t="s">
        <v>13</v>
      </c>
      <c r="C84" s="16" t="s">
        <v>21</v>
      </c>
      <c r="D84" s="549"/>
      <c r="E84" s="549"/>
      <c r="F84" s="549"/>
      <c r="G84" s="549"/>
      <c r="H84" s="549"/>
      <c r="I84" s="549"/>
      <c r="J84" s="549"/>
      <c r="K84" s="549"/>
      <c r="L84" s="549"/>
      <c r="M84" s="549"/>
      <c r="N84" s="549"/>
      <c r="O84" s="550"/>
      <c r="P84" s="512" t="str">
        <f t="shared" si="45"/>
        <v>-</v>
      </c>
      <c r="Q84" s="4" t="str">
        <f t="shared" si="46"/>
        <v>-</v>
      </c>
    </row>
    <row r="85" spans="1:17" ht="15.75" x14ac:dyDescent="0.25">
      <c r="A85" s="864"/>
      <c r="B85" s="824"/>
      <c r="C85" s="17" t="s">
        <v>22</v>
      </c>
      <c r="D85" s="683" t="str">
        <f>IF(D84="","",D$69*D84*24)</f>
        <v/>
      </c>
      <c r="E85" s="683" t="str">
        <f t="shared" ref="E85:O85" si="53">IF(E84="","",E$69*E84*24)</f>
        <v/>
      </c>
      <c r="F85" s="684" t="str">
        <f t="shared" si="53"/>
        <v/>
      </c>
      <c r="G85" s="683" t="str">
        <f t="shared" si="53"/>
        <v/>
      </c>
      <c r="H85" s="683" t="str">
        <f t="shared" si="53"/>
        <v/>
      </c>
      <c r="I85" s="683" t="str">
        <f t="shared" si="53"/>
        <v/>
      </c>
      <c r="J85" s="683" t="str">
        <f t="shared" si="53"/>
        <v/>
      </c>
      <c r="K85" s="683" t="str">
        <f t="shared" si="53"/>
        <v/>
      </c>
      <c r="L85" s="683" t="str">
        <f t="shared" si="53"/>
        <v/>
      </c>
      <c r="M85" s="683" t="str">
        <f t="shared" si="53"/>
        <v/>
      </c>
      <c r="N85" s="683" t="str">
        <f t="shared" si="53"/>
        <v/>
      </c>
      <c r="O85" s="685" t="str">
        <f t="shared" si="53"/>
        <v/>
      </c>
      <c r="P85" s="511" t="str">
        <f t="shared" si="45"/>
        <v>-</v>
      </c>
      <c r="Q85" s="6" t="str">
        <f t="shared" si="46"/>
        <v>-</v>
      </c>
    </row>
    <row r="86" spans="1:17" ht="15.75" x14ac:dyDescent="0.25">
      <c r="A86" s="864"/>
      <c r="B86" s="823" t="s">
        <v>20</v>
      </c>
      <c r="C86" s="18" t="s">
        <v>21</v>
      </c>
      <c r="D86" s="549"/>
      <c r="E86" s="549"/>
      <c r="F86" s="549"/>
      <c r="G86" s="549"/>
      <c r="H86" s="549"/>
      <c r="I86" s="549"/>
      <c r="J86" s="549"/>
      <c r="K86" s="549"/>
      <c r="L86" s="549"/>
      <c r="M86" s="549"/>
      <c r="N86" s="549"/>
      <c r="O86" s="550"/>
      <c r="P86" s="512" t="str">
        <f t="shared" si="45"/>
        <v>-</v>
      </c>
      <c r="Q86" s="4" t="str">
        <f t="shared" si="46"/>
        <v>-</v>
      </c>
    </row>
    <row r="87" spans="1:17" ht="15.75" x14ac:dyDescent="0.25">
      <c r="A87" s="864"/>
      <c r="B87" s="824"/>
      <c r="C87" s="18" t="s">
        <v>22</v>
      </c>
      <c r="D87" s="683" t="str">
        <f>IF(D86="","",D$69*D86*24)</f>
        <v/>
      </c>
      <c r="E87" s="683" t="str">
        <f t="shared" ref="E87:O87" si="54">IF(E86="","",E$69*E86*24)</f>
        <v/>
      </c>
      <c r="F87" s="684" t="str">
        <f t="shared" si="54"/>
        <v/>
      </c>
      <c r="G87" s="683" t="str">
        <f t="shared" si="54"/>
        <v/>
      </c>
      <c r="H87" s="683" t="str">
        <f t="shared" si="54"/>
        <v/>
      </c>
      <c r="I87" s="683" t="str">
        <f t="shared" si="54"/>
        <v/>
      </c>
      <c r="J87" s="683" t="str">
        <f t="shared" si="54"/>
        <v/>
      </c>
      <c r="K87" s="683" t="str">
        <f t="shared" si="54"/>
        <v/>
      </c>
      <c r="L87" s="683" t="str">
        <f t="shared" si="54"/>
        <v/>
      </c>
      <c r="M87" s="683" t="str">
        <f t="shared" si="54"/>
        <v/>
      </c>
      <c r="N87" s="683" t="str">
        <f t="shared" si="54"/>
        <v/>
      </c>
      <c r="O87" s="685" t="str">
        <f t="shared" si="54"/>
        <v/>
      </c>
      <c r="P87" s="511" t="str">
        <f t="shared" si="45"/>
        <v>-</v>
      </c>
      <c r="Q87" s="6" t="str">
        <f t="shared" si="46"/>
        <v>-</v>
      </c>
    </row>
    <row r="88" spans="1:17" ht="15.75" x14ac:dyDescent="0.25">
      <c r="A88" s="864"/>
      <c r="B88" s="823" t="s">
        <v>1</v>
      </c>
      <c r="C88" s="16" t="s">
        <v>21</v>
      </c>
      <c r="D88" s="549"/>
      <c r="E88" s="549"/>
      <c r="F88" s="549"/>
      <c r="G88" s="549"/>
      <c r="H88" s="549"/>
      <c r="I88" s="549"/>
      <c r="J88" s="549"/>
      <c r="K88" s="549"/>
      <c r="L88" s="549"/>
      <c r="M88" s="549"/>
      <c r="N88" s="549"/>
      <c r="O88" s="550"/>
      <c r="P88" s="512" t="str">
        <f t="shared" si="45"/>
        <v>-</v>
      </c>
      <c r="Q88" s="4" t="str">
        <f t="shared" si="46"/>
        <v>-</v>
      </c>
    </row>
    <row r="89" spans="1:17" ht="15.75" x14ac:dyDescent="0.25">
      <c r="A89" s="864"/>
      <c r="B89" s="824"/>
      <c r="C89" s="17" t="s">
        <v>22</v>
      </c>
      <c r="D89" s="683" t="str">
        <f>IF(D88="","",D$69*D88*24)</f>
        <v/>
      </c>
      <c r="E89" s="683" t="str">
        <f t="shared" ref="E89:O89" si="55">IF(E88="","",E$69*E88*24)</f>
        <v/>
      </c>
      <c r="F89" s="684" t="str">
        <f t="shared" si="55"/>
        <v/>
      </c>
      <c r="G89" s="683" t="str">
        <f t="shared" si="55"/>
        <v/>
      </c>
      <c r="H89" s="683" t="str">
        <f t="shared" si="55"/>
        <v/>
      </c>
      <c r="I89" s="683" t="str">
        <f t="shared" si="55"/>
        <v/>
      </c>
      <c r="J89" s="683" t="str">
        <f t="shared" si="55"/>
        <v/>
      </c>
      <c r="K89" s="683" t="str">
        <f t="shared" si="55"/>
        <v/>
      </c>
      <c r="L89" s="683" t="str">
        <f t="shared" si="55"/>
        <v/>
      </c>
      <c r="M89" s="683" t="str">
        <f t="shared" si="55"/>
        <v/>
      </c>
      <c r="N89" s="683" t="str">
        <f t="shared" si="55"/>
        <v/>
      </c>
      <c r="O89" s="685" t="str">
        <f t="shared" si="55"/>
        <v/>
      </c>
      <c r="P89" s="511" t="str">
        <f t="shared" si="45"/>
        <v>-</v>
      </c>
      <c r="Q89" s="6" t="str">
        <f t="shared" si="46"/>
        <v>-</v>
      </c>
    </row>
    <row r="90" spans="1:17" ht="15.75" x14ac:dyDescent="0.25">
      <c r="A90" s="864"/>
      <c r="B90" s="823" t="str">
        <f>IF($B$28="OTHER (RENAME)","OTHER",$B$28)</f>
        <v>OTHER</v>
      </c>
      <c r="C90" s="19" t="s">
        <v>21</v>
      </c>
      <c r="D90" s="549"/>
      <c r="E90" s="549"/>
      <c r="F90" s="549"/>
      <c r="G90" s="549"/>
      <c r="H90" s="549"/>
      <c r="I90" s="549"/>
      <c r="J90" s="549"/>
      <c r="K90" s="549"/>
      <c r="L90" s="549"/>
      <c r="M90" s="549"/>
      <c r="N90" s="549"/>
      <c r="O90" s="550"/>
      <c r="P90" s="512" t="str">
        <f t="shared" si="45"/>
        <v>-</v>
      </c>
      <c r="Q90" s="4" t="str">
        <f t="shared" ref="Q90:Q91" si="56">IF(SUM(D90:O90)=0,"-",SUM(D90:O90))</f>
        <v>-</v>
      </c>
    </row>
    <row r="91" spans="1:17" ht="15.75" x14ac:dyDescent="0.25">
      <c r="A91" s="864"/>
      <c r="B91" s="824"/>
      <c r="C91" s="20" t="s">
        <v>22</v>
      </c>
      <c r="D91" s="687" t="str">
        <f>IF(D90="","",D$69*D90*24)</f>
        <v/>
      </c>
      <c r="E91" s="687" t="str">
        <f t="shared" ref="E91:O91" si="57">IF(E90="","",E$69*E90*24)</f>
        <v/>
      </c>
      <c r="F91" s="687" t="str">
        <f t="shared" si="57"/>
        <v/>
      </c>
      <c r="G91" s="687" t="str">
        <f t="shared" si="57"/>
        <v/>
      </c>
      <c r="H91" s="687" t="str">
        <f t="shared" si="57"/>
        <v/>
      </c>
      <c r="I91" s="687" t="str">
        <f t="shared" si="57"/>
        <v/>
      </c>
      <c r="J91" s="687" t="str">
        <f t="shared" si="57"/>
        <v/>
      </c>
      <c r="K91" s="687" t="str">
        <f t="shared" si="57"/>
        <v/>
      </c>
      <c r="L91" s="687" t="str">
        <f t="shared" si="57"/>
        <v/>
      </c>
      <c r="M91" s="687" t="str">
        <f t="shared" si="57"/>
        <v/>
      </c>
      <c r="N91" s="687" t="str">
        <f t="shared" si="57"/>
        <v/>
      </c>
      <c r="O91" s="688" t="str">
        <f t="shared" si="57"/>
        <v/>
      </c>
      <c r="P91" s="511" t="str">
        <f t="shared" si="45"/>
        <v>-</v>
      </c>
      <c r="Q91" s="6" t="str">
        <f t="shared" si="56"/>
        <v>-</v>
      </c>
    </row>
    <row r="92" spans="1:17" ht="15.75" x14ac:dyDescent="0.25">
      <c r="A92" s="864"/>
      <c r="B92" s="823" t="str">
        <f>IF($B$30="OTHER (RENAME)","OTHER",$B$30)</f>
        <v>OTHER</v>
      </c>
      <c r="C92" s="16" t="s">
        <v>21</v>
      </c>
      <c r="D92" s="549"/>
      <c r="E92" s="549"/>
      <c r="F92" s="549"/>
      <c r="G92" s="549"/>
      <c r="H92" s="549"/>
      <c r="I92" s="549"/>
      <c r="J92" s="549"/>
      <c r="K92" s="549"/>
      <c r="L92" s="549"/>
      <c r="M92" s="549"/>
      <c r="N92" s="549"/>
      <c r="O92" s="550"/>
      <c r="P92" s="512" t="str">
        <f t="shared" si="45"/>
        <v>-</v>
      </c>
      <c r="Q92" s="4" t="str">
        <f t="shared" ref="Q92:Q97" si="58">IF(SUM(D92:O92)=0,"-",SUM(D92:O92))</f>
        <v>-</v>
      </c>
    </row>
    <row r="93" spans="1:17" ht="15.75" x14ac:dyDescent="0.25">
      <c r="A93" s="864"/>
      <c r="B93" s="824"/>
      <c r="C93" s="17" t="s">
        <v>22</v>
      </c>
      <c r="D93" s="687" t="str">
        <f>IF(D92="","",D$69*D92*24)</f>
        <v/>
      </c>
      <c r="E93" s="687" t="str">
        <f t="shared" ref="E93:O93" si="59">IF(E92="","",E$69*E92*24)</f>
        <v/>
      </c>
      <c r="F93" s="687" t="str">
        <f t="shared" si="59"/>
        <v/>
      </c>
      <c r="G93" s="687" t="str">
        <f t="shared" si="59"/>
        <v/>
      </c>
      <c r="H93" s="687" t="str">
        <f t="shared" si="59"/>
        <v/>
      </c>
      <c r="I93" s="687" t="str">
        <f t="shared" si="59"/>
        <v/>
      </c>
      <c r="J93" s="687" t="str">
        <f t="shared" si="59"/>
        <v/>
      </c>
      <c r="K93" s="687" t="str">
        <f t="shared" si="59"/>
        <v/>
      </c>
      <c r="L93" s="687" t="str">
        <f t="shared" si="59"/>
        <v/>
      </c>
      <c r="M93" s="687" t="str">
        <f t="shared" si="59"/>
        <v/>
      </c>
      <c r="N93" s="687" t="str">
        <f t="shared" si="59"/>
        <v/>
      </c>
      <c r="O93" s="688" t="str">
        <f t="shared" si="59"/>
        <v/>
      </c>
      <c r="P93" s="511" t="str">
        <f t="shared" si="45"/>
        <v>-</v>
      </c>
      <c r="Q93" s="6" t="str">
        <f t="shared" si="58"/>
        <v>-</v>
      </c>
    </row>
    <row r="94" spans="1:17" ht="15.75" x14ac:dyDescent="0.25">
      <c r="A94" s="864"/>
      <c r="B94" s="823" t="str">
        <f>IF($B$32="OTHER (RENAME)","OTHER",$B$32)</f>
        <v>OTHER</v>
      </c>
      <c r="C94" s="16" t="s">
        <v>21</v>
      </c>
      <c r="D94" s="549"/>
      <c r="E94" s="549"/>
      <c r="F94" s="549"/>
      <c r="G94" s="549"/>
      <c r="H94" s="549"/>
      <c r="I94" s="549"/>
      <c r="J94" s="549"/>
      <c r="K94" s="549"/>
      <c r="L94" s="549"/>
      <c r="M94" s="549"/>
      <c r="N94" s="549"/>
      <c r="O94" s="550"/>
      <c r="P94" s="512" t="str">
        <f t="shared" si="45"/>
        <v>-</v>
      </c>
      <c r="Q94" s="4" t="str">
        <f t="shared" si="58"/>
        <v>-</v>
      </c>
    </row>
    <row r="95" spans="1:17" ht="15.75" x14ac:dyDescent="0.25">
      <c r="A95" s="864"/>
      <c r="B95" s="824"/>
      <c r="C95" s="17" t="s">
        <v>22</v>
      </c>
      <c r="D95" s="687" t="str">
        <f>IF(D94="","",D$69*D94*24)</f>
        <v/>
      </c>
      <c r="E95" s="687" t="str">
        <f t="shared" ref="E95:O95" si="60">IF(E94="","",E$69*E94*24)</f>
        <v/>
      </c>
      <c r="F95" s="687" t="str">
        <f t="shared" si="60"/>
        <v/>
      </c>
      <c r="G95" s="687" t="str">
        <f t="shared" si="60"/>
        <v/>
      </c>
      <c r="H95" s="687" t="str">
        <f t="shared" si="60"/>
        <v/>
      </c>
      <c r="I95" s="687" t="str">
        <f t="shared" si="60"/>
        <v/>
      </c>
      <c r="J95" s="687" t="str">
        <f t="shared" si="60"/>
        <v/>
      </c>
      <c r="K95" s="687" t="str">
        <f t="shared" si="60"/>
        <v/>
      </c>
      <c r="L95" s="687" t="str">
        <f t="shared" si="60"/>
        <v/>
      </c>
      <c r="M95" s="687" t="str">
        <f t="shared" si="60"/>
        <v/>
      </c>
      <c r="N95" s="687" t="str">
        <f t="shared" si="60"/>
        <v/>
      </c>
      <c r="O95" s="688" t="str">
        <f t="shared" si="60"/>
        <v/>
      </c>
      <c r="P95" s="511" t="str">
        <f t="shared" si="45"/>
        <v>-</v>
      </c>
      <c r="Q95" s="6" t="str">
        <f t="shared" si="58"/>
        <v>-</v>
      </c>
    </row>
    <row r="96" spans="1:17" ht="15.75" x14ac:dyDescent="0.25">
      <c r="A96" s="864"/>
      <c r="B96" s="823" t="str">
        <f>IF($B$34="OTHER (RENAME)","OTHER",$B$34)</f>
        <v>OTHER</v>
      </c>
      <c r="C96" s="16" t="s">
        <v>21</v>
      </c>
      <c r="D96" s="549"/>
      <c r="E96" s="549"/>
      <c r="F96" s="549"/>
      <c r="G96" s="549"/>
      <c r="H96" s="549"/>
      <c r="I96" s="549"/>
      <c r="J96" s="549"/>
      <c r="K96" s="549"/>
      <c r="L96" s="549"/>
      <c r="M96" s="549"/>
      <c r="N96" s="549"/>
      <c r="O96" s="550"/>
      <c r="P96" s="512" t="str">
        <f t="shared" si="45"/>
        <v>-</v>
      </c>
      <c r="Q96" s="4" t="str">
        <f t="shared" si="58"/>
        <v>-</v>
      </c>
    </row>
    <row r="97" spans="1:17" ht="15.75" x14ac:dyDescent="0.25">
      <c r="A97" s="864"/>
      <c r="B97" s="824"/>
      <c r="C97" s="17" t="s">
        <v>22</v>
      </c>
      <c r="D97" s="687" t="str">
        <f>IF(D96="","",D$69*D96*24)</f>
        <v/>
      </c>
      <c r="E97" s="687" t="str">
        <f t="shared" ref="E97:O97" si="61">IF(E96="","",E$69*E96*24)</f>
        <v/>
      </c>
      <c r="F97" s="687" t="str">
        <f t="shared" si="61"/>
        <v/>
      </c>
      <c r="G97" s="687" t="str">
        <f t="shared" si="61"/>
        <v/>
      </c>
      <c r="H97" s="687" t="str">
        <f t="shared" si="61"/>
        <v/>
      </c>
      <c r="I97" s="687" t="str">
        <f t="shared" si="61"/>
        <v/>
      </c>
      <c r="J97" s="687" t="str">
        <f t="shared" si="61"/>
        <v/>
      </c>
      <c r="K97" s="687" t="str">
        <f t="shared" si="61"/>
        <v/>
      </c>
      <c r="L97" s="687" t="str">
        <f t="shared" si="61"/>
        <v/>
      </c>
      <c r="M97" s="687" t="str">
        <f t="shared" si="61"/>
        <v/>
      </c>
      <c r="N97" s="687" t="str">
        <f t="shared" si="61"/>
        <v/>
      </c>
      <c r="O97" s="688" t="str">
        <f t="shared" si="61"/>
        <v/>
      </c>
      <c r="P97" s="511" t="str">
        <f t="shared" si="45"/>
        <v>-</v>
      </c>
      <c r="Q97" s="6" t="str">
        <f t="shared" si="58"/>
        <v>-</v>
      </c>
    </row>
    <row r="98" spans="1:17" ht="15.75" x14ac:dyDescent="0.25">
      <c r="A98" s="864"/>
      <c r="B98" s="975" t="s">
        <v>16</v>
      </c>
      <c r="C98" s="976"/>
      <c r="D98" s="553" t="str">
        <f>IF(SUM(D70,D72,D74,D76,D78,D80,D82,D84,D86,D88,D90,D92,D94,D96)=0,"",SUM(D70,D72,D74,D76,D78,D80,D82,D84,D86,D88,D90,D92,D94,D96))</f>
        <v/>
      </c>
      <c r="E98" s="553" t="str">
        <f t="shared" ref="E98:O98" si="62">IF(SUM(E70,E72,E74,E76,E78,E80,E82,E84,E86,E88,E90,E92,E94,E96)=0,"",SUM(E70,E72,E74,E76,E78,E80,E82,E84,E86,E88,E90,E92,E94,E96))</f>
        <v/>
      </c>
      <c r="F98" s="553" t="str">
        <f t="shared" si="62"/>
        <v/>
      </c>
      <c r="G98" s="553" t="str">
        <f t="shared" si="62"/>
        <v/>
      </c>
      <c r="H98" s="553" t="str">
        <f t="shared" si="62"/>
        <v/>
      </c>
      <c r="I98" s="553" t="str">
        <f t="shared" si="62"/>
        <v/>
      </c>
      <c r="J98" s="553" t="str">
        <f t="shared" si="62"/>
        <v/>
      </c>
      <c r="K98" s="553" t="str">
        <f t="shared" si="62"/>
        <v/>
      </c>
      <c r="L98" s="553" t="str">
        <f t="shared" si="62"/>
        <v/>
      </c>
      <c r="M98" s="553" t="str">
        <f t="shared" si="62"/>
        <v/>
      </c>
      <c r="N98" s="553" t="str">
        <f t="shared" si="62"/>
        <v/>
      </c>
      <c r="O98" s="554" t="str">
        <f t="shared" si="62"/>
        <v/>
      </c>
      <c r="P98" s="512" t="str">
        <f t="shared" si="45"/>
        <v>-</v>
      </c>
      <c r="Q98" s="4" t="str">
        <f>IF(SUM(D98:O98)=0,"-",SUM(D98:O98))</f>
        <v>-</v>
      </c>
    </row>
    <row r="99" spans="1:17" ht="16.5" thickBot="1" x14ac:dyDescent="0.3">
      <c r="A99" s="865"/>
      <c r="B99" s="977" t="s">
        <v>17</v>
      </c>
      <c r="C99" s="978"/>
      <c r="D99" s="691" t="str">
        <f>IF(D98="","",SUM(D71,D73,D75,D77,D79,D81,D83,D85,D87,D89,D91,D93,D95,D97))</f>
        <v/>
      </c>
      <c r="E99" s="691" t="str">
        <f t="shared" ref="E99" si="63">IF(E98="","",SUM(E71,E73,E75,E77,E79,E81,E83,E85,E87,E89,E91,E93,E95,E97))</f>
        <v/>
      </c>
      <c r="F99" s="692" t="str">
        <f t="shared" ref="F99" si="64">IF(F98="","",SUM(F71,F73,F75,F77,F79,F81,F83,F85,F87,F89,F91,F93,F95,F97))</f>
        <v/>
      </c>
      <c r="G99" s="691" t="str">
        <f t="shared" ref="G99" si="65">IF(G98="","",SUM(G71,G73,G75,G77,G79,G81,G83,G85,G87,G89,G91,G93,G95,G97))</f>
        <v/>
      </c>
      <c r="H99" s="691" t="str">
        <f t="shared" ref="H99" si="66">IF(H98="","",SUM(H71,H73,H75,H77,H79,H81,H83,H85,H87,H89,H91,H93,H95,H97))</f>
        <v/>
      </c>
      <c r="I99" s="691" t="str">
        <f t="shared" ref="I99" si="67">IF(I98="","",SUM(I71,I73,I75,I77,I79,I81,I83,I85,I87,I89,I91,I93,I95,I97))</f>
        <v/>
      </c>
      <c r="J99" s="691" t="str">
        <f t="shared" ref="J99" si="68">IF(J98="","",SUM(J71,J73,J75,J77,J79,J81,J83,J85,J87,J89,J91,J93,J95,J97))</f>
        <v/>
      </c>
      <c r="K99" s="691" t="str">
        <f t="shared" ref="K99" si="69">IF(K98="","",SUM(K71,K73,K75,K77,K79,K81,K83,K85,K87,K89,K91,K93,K95,K97))</f>
        <v/>
      </c>
      <c r="L99" s="691" t="str">
        <f t="shared" ref="L99" si="70">IF(L98="","",SUM(L71,L73,L75,L77,L79,L81,L83,L85,L87,L89,L91,L93,L95,L97))</f>
        <v/>
      </c>
      <c r="M99" s="691" t="str">
        <f t="shared" ref="M99" si="71">IF(M98="","",SUM(M71,M73,M75,M77,M79,M81,M83,M85,M87,M89,M91,M93,M95,M97))</f>
        <v/>
      </c>
      <c r="N99" s="691" t="str">
        <f t="shared" ref="N99" si="72">IF(N98="","",SUM(N71,N73,N75,N77,N79,N81,N83,N85,N87,N89,N91,N93,N95,N97))</f>
        <v/>
      </c>
      <c r="O99" s="693" t="str">
        <f t="shared" ref="O99" si="73">IF(O98="","",SUM(O71,O73,O75,O77,O79,O81,O83,O85,O87,O89,O91,O93,O95,O97))</f>
        <v/>
      </c>
      <c r="P99" s="525" t="str">
        <f t="shared" si="45"/>
        <v>-</v>
      </c>
      <c r="Q99" s="7" t="str">
        <f>IF(SUM(D99:O99)=0,"-",SUM(D99:O99))</f>
        <v>-</v>
      </c>
    </row>
    <row r="100" spans="1:17" ht="15.75" x14ac:dyDescent="0.25">
      <c r="A100" s="872" t="s">
        <v>111</v>
      </c>
      <c r="B100" s="878" t="s">
        <v>3</v>
      </c>
      <c r="C100" s="879"/>
      <c r="D100" s="547" t="str">
        <f>IF('2025DATA'!BH3=0,"",'2025DATA'!BH3)</f>
        <v/>
      </c>
      <c r="E100" s="547" t="str">
        <f>IF('2025DATA'!BI3=0,"",'2025DATA'!BI3)</f>
        <v/>
      </c>
      <c r="F100" s="547" t="str">
        <f>IF('2025DATA'!BJ3=0,"",'2025DATA'!BJ3)</f>
        <v/>
      </c>
      <c r="G100" s="547" t="str">
        <f>IF('2025DATA'!BK3=0,"",'2025DATA'!BK3)</f>
        <v/>
      </c>
      <c r="H100" s="547" t="str">
        <f>IF('2025DATA'!BL3=0,"",'2025DATA'!BL3)</f>
        <v/>
      </c>
      <c r="I100" s="547" t="str">
        <f>IF('2025DATA'!BM3=0,"",'2025DATA'!BM3)</f>
        <v/>
      </c>
      <c r="J100" s="547" t="str">
        <f>IF('2025DATA'!BN3=0,"",'2025DATA'!BN3)</f>
        <v/>
      </c>
      <c r="K100" s="547" t="str">
        <f>IF('2025DATA'!BO3=0,"",'2025DATA'!BO3)</f>
        <v/>
      </c>
      <c r="L100" s="547" t="str">
        <f>IF('2025DATA'!BP3=0,"",'2025DATA'!BP3)</f>
        <v/>
      </c>
      <c r="M100" s="547" t="str">
        <f>IF('2025DATA'!BQ3=0,"",'2025DATA'!BQ3)</f>
        <v/>
      </c>
      <c r="N100" s="547" t="str">
        <f>IF('2025DATA'!BR3=0,"",'2025DATA'!BR3)</f>
        <v/>
      </c>
      <c r="O100" s="548" t="str">
        <f>IF('2025DATA'!BS3=0,"",'2025DATA'!BS3)</f>
        <v/>
      </c>
      <c r="P100" s="880"/>
      <c r="Q100" s="881"/>
    </row>
    <row r="101" spans="1:17" ht="15.75" x14ac:dyDescent="0.25">
      <c r="A101" s="873"/>
      <c r="B101" s="823" t="s">
        <v>7</v>
      </c>
      <c r="C101" s="16" t="s">
        <v>21</v>
      </c>
      <c r="D101" s="549"/>
      <c r="E101" s="549"/>
      <c r="F101" s="549"/>
      <c r="G101" s="549"/>
      <c r="H101" s="549"/>
      <c r="I101" s="549"/>
      <c r="J101" s="549"/>
      <c r="K101" s="549"/>
      <c r="L101" s="549"/>
      <c r="M101" s="549"/>
      <c r="N101" s="549"/>
      <c r="O101" s="550"/>
      <c r="P101" s="512" t="str">
        <f t="shared" ref="P101:P130" si="74">IF(Q101="-","-",Q101/12)</f>
        <v>-</v>
      </c>
      <c r="Q101" s="4" t="str">
        <f t="shared" ref="Q101:Q120" si="75">IF(SUM(D101:O101)=0,"-",SUM(D101:O101))</f>
        <v>-</v>
      </c>
    </row>
    <row r="102" spans="1:17" ht="15.75" x14ac:dyDescent="0.25">
      <c r="A102" s="873"/>
      <c r="B102" s="824"/>
      <c r="C102" s="17" t="s">
        <v>22</v>
      </c>
      <c r="D102" s="683" t="str">
        <f>IF(D101="","",D$100*D101*24)</f>
        <v/>
      </c>
      <c r="E102" s="683" t="str">
        <f t="shared" ref="E102:O102" si="76">IF(E101="","",E$100*E101*24)</f>
        <v/>
      </c>
      <c r="F102" s="683" t="str">
        <f t="shared" si="76"/>
        <v/>
      </c>
      <c r="G102" s="683" t="str">
        <f t="shared" si="76"/>
        <v/>
      </c>
      <c r="H102" s="683" t="str">
        <f t="shared" si="76"/>
        <v/>
      </c>
      <c r="I102" s="683" t="str">
        <f t="shared" si="76"/>
        <v/>
      </c>
      <c r="J102" s="683" t="str">
        <f t="shared" si="76"/>
        <v/>
      </c>
      <c r="K102" s="683" t="str">
        <f t="shared" si="76"/>
        <v/>
      </c>
      <c r="L102" s="683" t="str">
        <f t="shared" si="76"/>
        <v/>
      </c>
      <c r="M102" s="683" t="str">
        <f t="shared" si="76"/>
        <v/>
      </c>
      <c r="N102" s="683" t="str">
        <f t="shared" si="76"/>
        <v/>
      </c>
      <c r="O102" s="686" t="str">
        <f t="shared" si="76"/>
        <v/>
      </c>
      <c r="P102" s="511" t="str">
        <f t="shared" si="74"/>
        <v>-</v>
      </c>
      <c r="Q102" s="6" t="str">
        <f t="shared" si="75"/>
        <v>-</v>
      </c>
    </row>
    <row r="103" spans="1:17" ht="15.75" x14ac:dyDescent="0.25">
      <c r="A103" s="873"/>
      <c r="B103" s="823" t="s">
        <v>8</v>
      </c>
      <c r="C103" s="18" t="s">
        <v>21</v>
      </c>
      <c r="D103" s="549"/>
      <c r="E103" s="549"/>
      <c r="F103" s="549"/>
      <c r="G103" s="549"/>
      <c r="H103" s="549"/>
      <c r="I103" s="549"/>
      <c r="J103" s="549"/>
      <c r="K103" s="549"/>
      <c r="L103" s="549"/>
      <c r="M103" s="549"/>
      <c r="N103" s="549"/>
      <c r="O103" s="550"/>
      <c r="P103" s="512" t="str">
        <f t="shared" si="74"/>
        <v>-</v>
      </c>
      <c r="Q103" s="4" t="str">
        <f t="shared" si="75"/>
        <v>-</v>
      </c>
    </row>
    <row r="104" spans="1:17" ht="15.75" x14ac:dyDescent="0.25">
      <c r="A104" s="873"/>
      <c r="B104" s="824"/>
      <c r="C104" s="18" t="s">
        <v>22</v>
      </c>
      <c r="D104" s="683" t="str">
        <f>IF(D103=0,"",(D100+IF(D$4="CA",DATA!$B$22,DATA!$B$23))*D103*24)</f>
        <v/>
      </c>
      <c r="E104" s="683" t="str">
        <f>IF(E103=0,"",(E100+IF(E$4="CA",DATA!$B$22,DATA!$B$23))*E103*24)</f>
        <v/>
      </c>
      <c r="F104" s="683" t="str">
        <f>IF(F103=0,"",(F100+IF(F$4="CA",DATA!$B$22,DATA!$B$23))*F103*24)</f>
        <v/>
      </c>
      <c r="G104" s="683" t="str">
        <f>IF(G103=0,"",(G100+IF(G$4="CA",DATA!$B$22,DATA!$B$23))*G103*24)</f>
        <v/>
      </c>
      <c r="H104" s="683" t="str">
        <f>IF(H103=0,"",(H100+IF(H$4="CA",DATA!$B$22,DATA!$B$23))*H103*24)</f>
        <v/>
      </c>
      <c r="I104" s="683" t="str">
        <f>IF(I103=0,"",(I100+IF(I$4="CA",DATA!$B$22,DATA!$B$23))*I103*24)</f>
        <v/>
      </c>
      <c r="J104" s="683" t="str">
        <f>IF(J103=0,"",(J100+IF(J$4="CA",DATA!$B$22,DATA!$B$23))*J103*24)</f>
        <v/>
      </c>
      <c r="K104" s="683" t="str">
        <f>IF(K103=0,"",(K100+IF(K$4="CA",DATA!$B$22,DATA!$B$23))*K103*24)</f>
        <v/>
      </c>
      <c r="L104" s="683" t="str">
        <f>IF(L103=0,"",(L100+IF(L$4="CA",DATA!$B$22,DATA!$B$23))*L103*24)</f>
        <v/>
      </c>
      <c r="M104" s="683" t="str">
        <f>IF(M103=0,"",(M100+IF(M$4="CA",DATA!$B$22,DATA!$B$23))*M103*24)</f>
        <v/>
      </c>
      <c r="N104" s="683" t="str">
        <f>IF(N103=0,"",(N100+IF(N$4="CA",DATA!$B$22,DATA!$B$23))*N103*24)</f>
        <v/>
      </c>
      <c r="O104" s="686" t="str">
        <f>IF(O103=0,"",(O100+IF(O$4="CA",DATA!$B$22,DATA!$B$23))*O103*24)</f>
        <v/>
      </c>
      <c r="P104" s="511" t="str">
        <f t="shared" si="74"/>
        <v>-</v>
      </c>
      <c r="Q104" s="6" t="str">
        <f t="shared" si="75"/>
        <v>-</v>
      </c>
    </row>
    <row r="105" spans="1:17" ht="15.75" x14ac:dyDescent="0.25">
      <c r="A105" s="873"/>
      <c r="B105" s="823" t="s">
        <v>9</v>
      </c>
      <c r="C105" s="16" t="s">
        <v>21</v>
      </c>
      <c r="D105" s="549"/>
      <c r="E105" s="549"/>
      <c r="F105" s="549"/>
      <c r="G105" s="549"/>
      <c r="H105" s="549"/>
      <c r="I105" s="549"/>
      <c r="J105" s="549"/>
      <c r="K105" s="549"/>
      <c r="L105" s="549"/>
      <c r="M105" s="549"/>
      <c r="N105" s="549"/>
      <c r="O105" s="550"/>
      <c r="P105" s="512" t="str">
        <f t="shared" si="74"/>
        <v>-</v>
      </c>
      <c r="Q105" s="4" t="str">
        <f t="shared" si="75"/>
        <v>-</v>
      </c>
    </row>
    <row r="106" spans="1:17" ht="15.75" x14ac:dyDescent="0.25">
      <c r="A106" s="873"/>
      <c r="B106" s="824"/>
      <c r="C106" s="17" t="s">
        <v>22</v>
      </c>
      <c r="D106" s="683" t="str">
        <f>IF(D105="","",D$100*D105*24)</f>
        <v/>
      </c>
      <c r="E106" s="683" t="str">
        <f t="shared" ref="E106:O106" si="77">IF(E105="","",E$100*E105*24)</f>
        <v/>
      </c>
      <c r="F106" s="684" t="str">
        <f t="shared" si="77"/>
        <v/>
      </c>
      <c r="G106" s="683" t="str">
        <f t="shared" si="77"/>
        <v/>
      </c>
      <c r="H106" s="683" t="str">
        <f t="shared" si="77"/>
        <v/>
      </c>
      <c r="I106" s="683" t="str">
        <f t="shared" si="77"/>
        <v/>
      </c>
      <c r="J106" s="683" t="str">
        <f t="shared" si="77"/>
        <v/>
      </c>
      <c r="K106" s="683" t="str">
        <f t="shared" si="77"/>
        <v/>
      </c>
      <c r="L106" s="683" t="str">
        <f t="shared" si="77"/>
        <v/>
      </c>
      <c r="M106" s="683" t="str">
        <f t="shared" si="77"/>
        <v/>
      </c>
      <c r="N106" s="683" t="str">
        <f t="shared" si="77"/>
        <v/>
      </c>
      <c r="O106" s="685" t="str">
        <f t="shared" si="77"/>
        <v/>
      </c>
      <c r="P106" s="511" t="str">
        <f t="shared" si="74"/>
        <v>-</v>
      </c>
      <c r="Q106" s="6" t="str">
        <f t="shared" si="75"/>
        <v>-</v>
      </c>
    </row>
    <row r="107" spans="1:17" ht="15.75" x14ac:dyDescent="0.25">
      <c r="A107" s="873"/>
      <c r="B107" s="823" t="s">
        <v>10</v>
      </c>
      <c r="C107" s="18" t="s">
        <v>21</v>
      </c>
      <c r="D107" s="549"/>
      <c r="E107" s="549"/>
      <c r="F107" s="549"/>
      <c r="G107" s="549"/>
      <c r="H107" s="549"/>
      <c r="I107" s="549"/>
      <c r="J107" s="549"/>
      <c r="K107" s="549"/>
      <c r="L107" s="549"/>
      <c r="M107" s="549"/>
      <c r="N107" s="549"/>
      <c r="O107" s="550"/>
      <c r="P107" s="512" t="str">
        <f t="shared" si="74"/>
        <v>-</v>
      </c>
      <c r="Q107" s="4" t="str">
        <f t="shared" si="75"/>
        <v>-</v>
      </c>
    </row>
    <row r="108" spans="1:17" ht="15.75" x14ac:dyDescent="0.25">
      <c r="A108" s="873"/>
      <c r="B108" s="824"/>
      <c r="C108" s="18" t="s">
        <v>22</v>
      </c>
      <c r="D108" s="683" t="str">
        <f>IF(D107="","",D$100*D107*24)</f>
        <v/>
      </c>
      <c r="E108" s="683" t="str">
        <f t="shared" ref="E108:O108" si="78">IF(E107="","",E$100*E107*24)</f>
        <v/>
      </c>
      <c r="F108" s="684" t="str">
        <f t="shared" si="78"/>
        <v/>
      </c>
      <c r="G108" s="683" t="str">
        <f t="shared" si="78"/>
        <v/>
      </c>
      <c r="H108" s="683" t="str">
        <f t="shared" si="78"/>
        <v/>
      </c>
      <c r="I108" s="683" t="str">
        <f t="shared" si="78"/>
        <v/>
      </c>
      <c r="J108" s="683" t="str">
        <f t="shared" si="78"/>
        <v/>
      </c>
      <c r="K108" s="683" t="str">
        <f t="shared" si="78"/>
        <v/>
      </c>
      <c r="L108" s="683" t="str">
        <f t="shared" si="78"/>
        <v/>
      </c>
      <c r="M108" s="683" t="str">
        <f t="shared" si="78"/>
        <v/>
      </c>
      <c r="N108" s="683" t="str">
        <f t="shared" si="78"/>
        <v/>
      </c>
      <c r="O108" s="685" t="str">
        <f t="shared" si="78"/>
        <v/>
      </c>
      <c r="P108" s="511" t="str">
        <f t="shared" si="74"/>
        <v>-</v>
      </c>
      <c r="Q108" s="6" t="str">
        <f t="shared" si="75"/>
        <v>-</v>
      </c>
    </row>
    <row r="109" spans="1:17" ht="15.75" x14ac:dyDescent="0.25">
      <c r="A109" s="873"/>
      <c r="B109" s="823" t="s">
        <v>11</v>
      </c>
      <c r="C109" s="16" t="s">
        <v>21</v>
      </c>
      <c r="D109" s="549"/>
      <c r="E109" s="549"/>
      <c r="F109" s="549"/>
      <c r="G109" s="549"/>
      <c r="H109" s="549"/>
      <c r="I109" s="549"/>
      <c r="J109" s="549"/>
      <c r="K109" s="549"/>
      <c r="L109" s="549"/>
      <c r="M109" s="549"/>
      <c r="N109" s="549"/>
      <c r="O109" s="550"/>
      <c r="P109" s="512" t="str">
        <f t="shared" si="74"/>
        <v>-</v>
      </c>
      <c r="Q109" s="4" t="str">
        <f t="shared" si="75"/>
        <v>-</v>
      </c>
    </row>
    <row r="110" spans="1:17" ht="15.75" x14ac:dyDescent="0.25">
      <c r="A110" s="873"/>
      <c r="B110" s="824"/>
      <c r="C110" s="17" t="s">
        <v>22</v>
      </c>
      <c r="D110" s="683" t="str">
        <f>IF(D109="","",D$100*D109*24)</f>
        <v/>
      </c>
      <c r="E110" s="683" t="str">
        <f t="shared" ref="E110:O110" si="79">IF(E109="","",E$100*E109*24)</f>
        <v/>
      </c>
      <c r="F110" s="684" t="str">
        <f t="shared" si="79"/>
        <v/>
      </c>
      <c r="G110" s="683" t="str">
        <f t="shared" si="79"/>
        <v/>
      </c>
      <c r="H110" s="683" t="str">
        <f t="shared" si="79"/>
        <v/>
      </c>
      <c r="I110" s="683" t="str">
        <f t="shared" si="79"/>
        <v/>
      </c>
      <c r="J110" s="683" t="str">
        <f t="shared" si="79"/>
        <v/>
      </c>
      <c r="K110" s="683" t="str">
        <f t="shared" si="79"/>
        <v/>
      </c>
      <c r="L110" s="683" t="str">
        <f t="shared" si="79"/>
        <v/>
      </c>
      <c r="M110" s="683" t="str">
        <f t="shared" si="79"/>
        <v/>
      </c>
      <c r="N110" s="683" t="str">
        <f t="shared" si="79"/>
        <v/>
      </c>
      <c r="O110" s="685" t="str">
        <f t="shared" si="79"/>
        <v/>
      </c>
      <c r="P110" s="511" t="str">
        <f t="shared" si="74"/>
        <v>-</v>
      </c>
      <c r="Q110" s="6" t="str">
        <f t="shared" si="75"/>
        <v>-</v>
      </c>
    </row>
    <row r="111" spans="1:17" ht="15.75" x14ac:dyDescent="0.25">
      <c r="A111" s="873"/>
      <c r="B111" s="823" t="s">
        <v>12</v>
      </c>
      <c r="C111" s="18" t="s">
        <v>21</v>
      </c>
      <c r="D111" s="549"/>
      <c r="E111" s="549"/>
      <c r="F111" s="549"/>
      <c r="G111" s="549"/>
      <c r="H111" s="549"/>
      <c r="I111" s="549"/>
      <c r="J111" s="549"/>
      <c r="K111" s="549"/>
      <c r="L111" s="549"/>
      <c r="M111" s="549"/>
      <c r="N111" s="549"/>
      <c r="O111" s="550"/>
      <c r="P111" s="512" t="str">
        <f t="shared" si="74"/>
        <v>-</v>
      </c>
      <c r="Q111" s="4" t="str">
        <f t="shared" si="75"/>
        <v>-</v>
      </c>
    </row>
    <row r="112" spans="1:17" ht="15.75" x14ac:dyDescent="0.25">
      <c r="A112" s="873"/>
      <c r="B112" s="824"/>
      <c r="C112" s="18" t="s">
        <v>22</v>
      </c>
      <c r="D112" s="683" t="str">
        <f>IF(D111="","",D$100*D111*24)</f>
        <v/>
      </c>
      <c r="E112" s="683" t="str">
        <f t="shared" ref="E112:O112" si="80">IF(E111="","",E$100*E111*24)</f>
        <v/>
      </c>
      <c r="F112" s="684" t="str">
        <f t="shared" si="80"/>
        <v/>
      </c>
      <c r="G112" s="683" t="str">
        <f t="shared" si="80"/>
        <v/>
      </c>
      <c r="H112" s="683" t="str">
        <f t="shared" si="80"/>
        <v/>
      </c>
      <c r="I112" s="683" t="str">
        <f t="shared" si="80"/>
        <v/>
      </c>
      <c r="J112" s="683" t="str">
        <f t="shared" si="80"/>
        <v/>
      </c>
      <c r="K112" s="683" t="str">
        <f t="shared" si="80"/>
        <v/>
      </c>
      <c r="L112" s="683" t="str">
        <f t="shared" si="80"/>
        <v/>
      </c>
      <c r="M112" s="683" t="str">
        <f t="shared" si="80"/>
        <v/>
      </c>
      <c r="N112" s="683" t="str">
        <f t="shared" si="80"/>
        <v/>
      </c>
      <c r="O112" s="685" t="str">
        <f t="shared" si="80"/>
        <v/>
      </c>
      <c r="P112" s="511" t="str">
        <f t="shared" si="74"/>
        <v>-</v>
      </c>
      <c r="Q112" s="6" t="str">
        <f t="shared" si="75"/>
        <v>-</v>
      </c>
    </row>
    <row r="113" spans="1:17" ht="15.75" x14ac:dyDescent="0.25">
      <c r="A113" s="873"/>
      <c r="B113" s="823" t="s">
        <v>15</v>
      </c>
      <c r="C113" s="16" t="s">
        <v>21</v>
      </c>
      <c r="D113" s="549"/>
      <c r="E113" s="549"/>
      <c r="F113" s="549"/>
      <c r="G113" s="549"/>
      <c r="H113" s="549"/>
      <c r="I113" s="549"/>
      <c r="J113" s="549"/>
      <c r="K113" s="549"/>
      <c r="L113" s="549"/>
      <c r="M113" s="549"/>
      <c r="N113" s="549"/>
      <c r="O113" s="550"/>
      <c r="P113" s="512" t="str">
        <f t="shared" si="74"/>
        <v>-</v>
      </c>
      <c r="Q113" s="4" t="str">
        <f t="shared" si="75"/>
        <v>-</v>
      </c>
    </row>
    <row r="114" spans="1:17" ht="15.75" x14ac:dyDescent="0.25">
      <c r="A114" s="873"/>
      <c r="B114" s="824"/>
      <c r="C114" s="17" t="s">
        <v>22</v>
      </c>
      <c r="D114" s="683" t="str">
        <f>IF(D113="","",D$100*D113*24)</f>
        <v/>
      </c>
      <c r="E114" s="683" t="str">
        <f t="shared" ref="E114:O114" si="81">IF(E113="","",E$100*E113*24)</f>
        <v/>
      </c>
      <c r="F114" s="684" t="str">
        <f t="shared" si="81"/>
        <v/>
      </c>
      <c r="G114" s="683" t="str">
        <f t="shared" si="81"/>
        <v/>
      </c>
      <c r="H114" s="683" t="str">
        <f t="shared" si="81"/>
        <v/>
      </c>
      <c r="I114" s="683" t="str">
        <f t="shared" si="81"/>
        <v/>
      </c>
      <c r="J114" s="683" t="str">
        <f t="shared" si="81"/>
        <v/>
      </c>
      <c r="K114" s="683" t="str">
        <f t="shared" si="81"/>
        <v/>
      </c>
      <c r="L114" s="683" t="str">
        <f t="shared" si="81"/>
        <v/>
      </c>
      <c r="M114" s="683" t="str">
        <f t="shared" si="81"/>
        <v/>
      </c>
      <c r="N114" s="683" t="str">
        <f t="shared" si="81"/>
        <v/>
      </c>
      <c r="O114" s="685" t="str">
        <f t="shared" si="81"/>
        <v/>
      </c>
      <c r="P114" s="511" t="str">
        <f t="shared" si="74"/>
        <v>-</v>
      </c>
      <c r="Q114" s="6" t="str">
        <f t="shared" si="75"/>
        <v>-</v>
      </c>
    </row>
    <row r="115" spans="1:17" ht="15.75" x14ac:dyDescent="0.25">
      <c r="A115" s="873"/>
      <c r="B115" s="823" t="s">
        <v>13</v>
      </c>
      <c r="C115" s="18" t="s">
        <v>21</v>
      </c>
      <c r="D115" s="549"/>
      <c r="E115" s="549"/>
      <c r="F115" s="549"/>
      <c r="G115" s="549"/>
      <c r="H115" s="549"/>
      <c r="I115" s="549"/>
      <c r="J115" s="549"/>
      <c r="K115" s="549"/>
      <c r="L115" s="549"/>
      <c r="M115" s="549"/>
      <c r="N115" s="549"/>
      <c r="O115" s="550"/>
      <c r="P115" s="512" t="str">
        <f t="shared" si="74"/>
        <v>-</v>
      </c>
      <c r="Q115" s="4" t="str">
        <f t="shared" si="75"/>
        <v>-</v>
      </c>
    </row>
    <row r="116" spans="1:17" ht="15.75" x14ac:dyDescent="0.25">
      <c r="A116" s="873"/>
      <c r="B116" s="824"/>
      <c r="C116" s="18" t="s">
        <v>22</v>
      </c>
      <c r="D116" s="683" t="str">
        <f>IF(D115="","",D$100*D115*24)</f>
        <v/>
      </c>
      <c r="E116" s="683" t="str">
        <f t="shared" ref="E116:O116" si="82">IF(E115="","",E$100*E115*24)</f>
        <v/>
      </c>
      <c r="F116" s="684" t="str">
        <f t="shared" si="82"/>
        <v/>
      </c>
      <c r="G116" s="683" t="str">
        <f t="shared" si="82"/>
        <v/>
      </c>
      <c r="H116" s="683" t="str">
        <f t="shared" si="82"/>
        <v/>
      </c>
      <c r="I116" s="683" t="str">
        <f t="shared" si="82"/>
        <v/>
      </c>
      <c r="J116" s="683" t="str">
        <f t="shared" si="82"/>
        <v/>
      </c>
      <c r="K116" s="683" t="str">
        <f t="shared" si="82"/>
        <v/>
      </c>
      <c r="L116" s="683" t="str">
        <f t="shared" si="82"/>
        <v/>
      </c>
      <c r="M116" s="683" t="str">
        <f t="shared" si="82"/>
        <v/>
      </c>
      <c r="N116" s="683" t="str">
        <f t="shared" si="82"/>
        <v/>
      </c>
      <c r="O116" s="685" t="str">
        <f t="shared" si="82"/>
        <v/>
      </c>
      <c r="P116" s="511" t="str">
        <f t="shared" si="74"/>
        <v>-</v>
      </c>
      <c r="Q116" s="6" t="str">
        <f t="shared" si="75"/>
        <v>-</v>
      </c>
    </row>
    <row r="117" spans="1:17" ht="15.75" x14ac:dyDescent="0.25">
      <c r="A117" s="873"/>
      <c r="B117" s="823" t="s">
        <v>20</v>
      </c>
      <c r="C117" s="16" t="s">
        <v>21</v>
      </c>
      <c r="D117" s="549"/>
      <c r="E117" s="549"/>
      <c r="F117" s="549"/>
      <c r="G117" s="549"/>
      <c r="H117" s="549"/>
      <c r="I117" s="549"/>
      <c r="J117" s="549"/>
      <c r="K117" s="549"/>
      <c r="L117" s="549"/>
      <c r="M117" s="549"/>
      <c r="N117" s="549"/>
      <c r="O117" s="550"/>
      <c r="P117" s="512" t="str">
        <f t="shared" si="74"/>
        <v>-</v>
      </c>
      <c r="Q117" s="4" t="str">
        <f t="shared" si="75"/>
        <v>-</v>
      </c>
    </row>
    <row r="118" spans="1:17" ht="15.75" x14ac:dyDescent="0.25">
      <c r="A118" s="873"/>
      <c r="B118" s="824"/>
      <c r="C118" s="17" t="s">
        <v>22</v>
      </c>
      <c r="D118" s="683" t="str">
        <f>IF(D117="","",D$100*D117*24)</f>
        <v/>
      </c>
      <c r="E118" s="683" t="str">
        <f t="shared" ref="E118:O118" si="83">IF(E117="","",E$100*E117*24)</f>
        <v/>
      </c>
      <c r="F118" s="684" t="str">
        <f t="shared" si="83"/>
        <v/>
      </c>
      <c r="G118" s="683" t="str">
        <f t="shared" si="83"/>
        <v/>
      </c>
      <c r="H118" s="683" t="str">
        <f t="shared" si="83"/>
        <v/>
      </c>
      <c r="I118" s="683" t="str">
        <f t="shared" si="83"/>
        <v/>
      </c>
      <c r="J118" s="683" t="str">
        <f t="shared" si="83"/>
        <v/>
      </c>
      <c r="K118" s="683" t="str">
        <f t="shared" si="83"/>
        <v/>
      </c>
      <c r="L118" s="683" t="str">
        <f t="shared" si="83"/>
        <v/>
      </c>
      <c r="M118" s="683" t="str">
        <f t="shared" si="83"/>
        <v/>
      </c>
      <c r="N118" s="683" t="str">
        <f t="shared" si="83"/>
        <v/>
      </c>
      <c r="O118" s="685" t="str">
        <f t="shared" si="83"/>
        <v/>
      </c>
      <c r="P118" s="511" t="str">
        <f t="shared" si="74"/>
        <v>-</v>
      </c>
      <c r="Q118" s="6" t="str">
        <f t="shared" si="75"/>
        <v>-</v>
      </c>
    </row>
    <row r="119" spans="1:17" ht="15.75" x14ac:dyDescent="0.25">
      <c r="A119" s="873"/>
      <c r="B119" s="823" t="s">
        <v>1</v>
      </c>
      <c r="C119" s="18" t="s">
        <v>21</v>
      </c>
      <c r="D119" s="549"/>
      <c r="E119" s="549"/>
      <c r="F119" s="549"/>
      <c r="G119" s="549"/>
      <c r="H119" s="549"/>
      <c r="I119" s="549"/>
      <c r="J119" s="549"/>
      <c r="K119" s="549"/>
      <c r="L119" s="549"/>
      <c r="M119" s="549"/>
      <c r="N119" s="549"/>
      <c r="O119" s="550"/>
      <c r="P119" s="512" t="str">
        <f t="shared" si="74"/>
        <v>-</v>
      </c>
      <c r="Q119" s="4" t="str">
        <f t="shared" si="75"/>
        <v>-</v>
      </c>
    </row>
    <row r="120" spans="1:17" ht="15.75" x14ac:dyDescent="0.25">
      <c r="A120" s="873"/>
      <c r="B120" s="824"/>
      <c r="C120" s="18" t="s">
        <v>22</v>
      </c>
      <c r="D120" s="683" t="str">
        <f>IF(D119="","",D$100*D119*24)</f>
        <v/>
      </c>
      <c r="E120" s="683" t="str">
        <f t="shared" ref="E120:O120" si="84">IF(E119="","",E$100*E119*24)</f>
        <v/>
      </c>
      <c r="F120" s="684" t="str">
        <f t="shared" si="84"/>
        <v/>
      </c>
      <c r="G120" s="683" t="str">
        <f t="shared" si="84"/>
        <v/>
      </c>
      <c r="H120" s="683" t="str">
        <f t="shared" si="84"/>
        <v/>
      </c>
      <c r="I120" s="683" t="str">
        <f t="shared" si="84"/>
        <v/>
      </c>
      <c r="J120" s="683" t="str">
        <f t="shared" si="84"/>
        <v/>
      </c>
      <c r="K120" s="683" t="str">
        <f t="shared" si="84"/>
        <v/>
      </c>
      <c r="L120" s="683" t="str">
        <f t="shared" si="84"/>
        <v/>
      </c>
      <c r="M120" s="683" t="str">
        <f t="shared" si="84"/>
        <v/>
      </c>
      <c r="N120" s="683" t="str">
        <f t="shared" si="84"/>
        <v/>
      </c>
      <c r="O120" s="685" t="str">
        <f t="shared" si="84"/>
        <v/>
      </c>
      <c r="P120" s="511" t="str">
        <f t="shared" si="74"/>
        <v>-</v>
      </c>
      <c r="Q120" s="6" t="str">
        <f t="shared" si="75"/>
        <v>-</v>
      </c>
    </row>
    <row r="121" spans="1:17" ht="15.75" x14ac:dyDescent="0.25">
      <c r="A121" s="873"/>
      <c r="B121" s="823" t="str">
        <f>IF($B$28="OTHER (RENAME)","OTHER",$B$28)</f>
        <v>OTHER</v>
      </c>
      <c r="C121" s="19" t="s">
        <v>21</v>
      </c>
      <c r="D121" s="549"/>
      <c r="E121" s="549"/>
      <c r="F121" s="549"/>
      <c r="G121" s="549"/>
      <c r="H121" s="549"/>
      <c r="I121" s="549"/>
      <c r="J121" s="549"/>
      <c r="K121" s="549"/>
      <c r="L121" s="549"/>
      <c r="M121" s="549"/>
      <c r="N121" s="549"/>
      <c r="O121" s="550"/>
      <c r="P121" s="512" t="str">
        <f t="shared" si="74"/>
        <v>-</v>
      </c>
      <c r="Q121" s="4" t="str">
        <f t="shared" ref="Q121:Q122" si="85">IF(SUM(D121:O121)=0,"-",SUM(D121:O121))</f>
        <v>-</v>
      </c>
    </row>
    <row r="122" spans="1:17" ht="15.75" x14ac:dyDescent="0.25">
      <c r="A122" s="873"/>
      <c r="B122" s="824"/>
      <c r="C122" s="20" t="s">
        <v>22</v>
      </c>
      <c r="D122" s="687" t="str">
        <f>IF(D121="","",D$100*D121*24)</f>
        <v/>
      </c>
      <c r="E122" s="687" t="str">
        <f t="shared" ref="E122:O122" si="86">IF(E121="","",E$100*E121*24)</f>
        <v/>
      </c>
      <c r="F122" s="687" t="str">
        <f t="shared" si="86"/>
        <v/>
      </c>
      <c r="G122" s="687" t="str">
        <f t="shared" si="86"/>
        <v/>
      </c>
      <c r="H122" s="687" t="str">
        <f t="shared" si="86"/>
        <v/>
      </c>
      <c r="I122" s="687" t="str">
        <f t="shared" si="86"/>
        <v/>
      </c>
      <c r="J122" s="687" t="str">
        <f t="shared" si="86"/>
        <v/>
      </c>
      <c r="K122" s="687" t="str">
        <f t="shared" si="86"/>
        <v/>
      </c>
      <c r="L122" s="687" t="str">
        <f t="shared" si="86"/>
        <v/>
      </c>
      <c r="M122" s="687" t="str">
        <f t="shared" si="86"/>
        <v/>
      </c>
      <c r="N122" s="687" t="str">
        <f t="shared" si="86"/>
        <v/>
      </c>
      <c r="O122" s="688" t="str">
        <f t="shared" si="86"/>
        <v/>
      </c>
      <c r="P122" s="511" t="str">
        <f t="shared" si="74"/>
        <v>-</v>
      </c>
      <c r="Q122" s="6" t="str">
        <f t="shared" si="85"/>
        <v>-</v>
      </c>
    </row>
    <row r="123" spans="1:17" ht="15.75" x14ac:dyDescent="0.25">
      <c r="A123" s="873"/>
      <c r="B123" s="823" t="str">
        <f>IF($B$30="OTHER (RENAME)","OTHER",$B$30)</f>
        <v>OTHER</v>
      </c>
      <c r="C123" s="16" t="s">
        <v>21</v>
      </c>
      <c r="D123" s="549"/>
      <c r="E123" s="549"/>
      <c r="F123" s="549"/>
      <c r="G123" s="549"/>
      <c r="H123" s="549"/>
      <c r="I123" s="549"/>
      <c r="J123" s="549"/>
      <c r="K123" s="549"/>
      <c r="L123" s="549"/>
      <c r="M123" s="549"/>
      <c r="N123" s="549"/>
      <c r="O123" s="550"/>
      <c r="P123" s="512" t="str">
        <f t="shared" si="74"/>
        <v>-</v>
      </c>
      <c r="Q123" s="4" t="str">
        <f t="shared" ref="Q123:Q128" si="87">IF(SUM(D123:O123)=0,"-",SUM(D123:O123))</f>
        <v>-</v>
      </c>
    </row>
    <row r="124" spans="1:17" ht="15.75" x14ac:dyDescent="0.25">
      <c r="A124" s="873"/>
      <c r="B124" s="824"/>
      <c r="C124" s="17" t="s">
        <v>22</v>
      </c>
      <c r="D124" s="687" t="str">
        <f>IF(D123="","",D$100*D123*24)</f>
        <v/>
      </c>
      <c r="E124" s="687" t="str">
        <f t="shared" ref="E124:O124" si="88">IF(E123="","",E$100*E123*24)</f>
        <v/>
      </c>
      <c r="F124" s="687" t="str">
        <f t="shared" si="88"/>
        <v/>
      </c>
      <c r="G124" s="687" t="str">
        <f t="shared" si="88"/>
        <v/>
      </c>
      <c r="H124" s="687" t="str">
        <f t="shared" si="88"/>
        <v/>
      </c>
      <c r="I124" s="687" t="str">
        <f t="shared" si="88"/>
        <v/>
      </c>
      <c r="J124" s="687" t="str">
        <f t="shared" si="88"/>
        <v/>
      </c>
      <c r="K124" s="687" t="str">
        <f t="shared" si="88"/>
        <v/>
      </c>
      <c r="L124" s="687" t="str">
        <f t="shared" si="88"/>
        <v/>
      </c>
      <c r="M124" s="687" t="str">
        <f t="shared" si="88"/>
        <v/>
      </c>
      <c r="N124" s="687" t="str">
        <f t="shared" si="88"/>
        <v/>
      </c>
      <c r="O124" s="688" t="str">
        <f t="shared" si="88"/>
        <v/>
      </c>
      <c r="P124" s="511" t="str">
        <f t="shared" si="74"/>
        <v>-</v>
      </c>
      <c r="Q124" s="6" t="str">
        <f t="shared" si="87"/>
        <v>-</v>
      </c>
    </row>
    <row r="125" spans="1:17" ht="15.75" x14ac:dyDescent="0.25">
      <c r="A125" s="873"/>
      <c r="B125" s="823" t="str">
        <f>IF($B$32="OTHER (RENAME)","OTHER",$B$32)</f>
        <v>OTHER</v>
      </c>
      <c r="C125" s="16" t="s">
        <v>21</v>
      </c>
      <c r="D125" s="549"/>
      <c r="E125" s="549"/>
      <c r="F125" s="549"/>
      <c r="G125" s="549"/>
      <c r="H125" s="549"/>
      <c r="I125" s="549"/>
      <c r="J125" s="549"/>
      <c r="K125" s="549"/>
      <c r="L125" s="549"/>
      <c r="M125" s="549"/>
      <c r="N125" s="549"/>
      <c r="O125" s="550"/>
      <c r="P125" s="512" t="str">
        <f t="shared" si="74"/>
        <v>-</v>
      </c>
      <c r="Q125" s="4" t="str">
        <f t="shared" si="87"/>
        <v>-</v>
      </c>
    </row>
    <row r="126" spans="1:17" ht="15.75" x14ac:dyDescent="0.25">
      <c r="A126" s="873"/>
      <c r="B126" s="824"/>
      <c r="C126" s="17" t="s">
        <v>22</v>
      </c>
      <c r="D126" s="687" t="str">
        <f>IF(D125="","",D$100*D125*24)</f>
        <v/>
      </c>
      <c r="E126" s="687" t="str">
        <f t="shared" ref="E126:O126" si="89">IF(E125="","",E$100*E125*24)</f>
        <v/>
      </c>
      <c r="F126" s="687" t="str">
        <f t="shared" si="89"/>
        <v/>
      </c>
      <c r="G126" s="687" t="str">
        <f t="shared" si="89"/>
        <v/>
      </c>
      <c r="H126" s="687" t="str">
        <f t="shared" si="89"/>
        <v/>
      </c>
      <c r="I126" s="687" t="str">
        <f t="shared" si="89"/>
        <v/>
      </c>
      <c r="J126" s="687" t="str">
        <f t="shared" si="89"/>
        <v/>
      </c>
      <c r="K126" s="687" t="str">
        <f t="shared" si="89"/>
        <v/>
      </c>
      <c r="L126" s="687" t="str">
        <f t="shared" si="89"/>
        <v/>
      </c>
      <c r="M126" s="687" t="str">
        <f t="shared" si="89"/>
        <v/>
      </c>
      <c r="N126" s="687" t="str">
        <f t="shared" si="89"/>
        <v/>
      </c>
      <c r="O126" s="688" t="str">
        <f t="shared" si="89"/>
        <v/>
      </c>
      <c r="P126" s="511" t="str">
        <f t="shared" si="74"/>
        <v>-</v>
      </c>
      <c r="Q126" s="6" t="str">
        <f t="shared" si="87"/>
        <v>-</v>
      </c>
    </row>
    <row r="127" spans="1:17" ht="15.75" x14ac:dyDescent="0.25">
      <c r="A127" s="873"/>
      <c r="B127" s="823" t="str">
        <f>IF($B$34="OTHER (RENAME)","OTHER",$B$34)</f>
        <v>OTHER</v>
      </c>
      <c r="C127" s="16" t="s">
        <v>21</v>
      </c>
      <c r="D127" s="549"/>
      <c r="E127" s="549"/>
      <c r="F127" s="549"/>
      <c r="G127" s="549"/>
      <c r="H127" s="549"/>
      <c r="I127" s="549"/>
      <c r="J127" s="549"/>
      <c r="K127" s="549"/>
      <c r="L127" s="549"/>
      <c r="M127" s="549"/>
      <c r="N127" s="549"/>
      <c r="O127" s="550"/>
      <c r="P127" s="512" t="str">
        <f t="shared" si="74"/>
        <v>-</v>
      </c>
      <c r="Q127" s="4" t="str">
        <f t="shared" si="87"/>
        <v>-</v>
      </c>
    </row>
    <row r="128" spans="1:17" ht="15.75" x14ac:dyDescent="0.25">
      <c r="A128" s="873"/>
      <c r="B128" s="824"/>
      <c r="C128" s="17" t="s">
        <v>22</v>
      </c>
      <c r="D128" s="687" t="str">
        <f>IF(D127="","",D$100*D127*24)</f>
        <v/>
      </c>
      <c r="E128" s="687" t="str">
        <f t="shared" ref="E128:O128" si="90">IF(E127="","",E$100*E127*24)</f>
        <v/>
      </c>
      <c r="F128" s="687" t="str">
        <f t="shared" si="90"/>
        <v/>
      </c>
      <c r="G128" s="687" t="str">
        <f t="shared" si="90"/>
        <v/>
      </c>
      <c r="H128" s="687" t="str">
        <f t="shared" si="90"/>
        <v/>
      </c>
      <c r="I128" s="687" t="str">
        <f t="shared" si="90"/>
        <v/>
      </c>
      <c r="J128" s="687" t="str">
        <f t="shared" si="90"/>
        <v/>
      </c>
      <c r="K128" s="687" t="str">
        <f t="shared" si="90"/>
        <v/>
      </c>
      <c r="L128" s="687" t="str">
        <f t="shared" si="90"/>
        <v/>
      </c>
      <c r="M128" s="687" t="str">
        <f t="shared" si="90"/>
        <v/>
      </c>
      <c r="N128" s="687" t="str">
        <f t="shared" si="90"/>
        <v/>
      </c>
      <c r="O128" s="688" t="str">
        <f t="shared" si="90"/>
        <v/>
      </c>
      <c r="P128" s="511" t="str">
        <f t="shared" si="74"/>
        <v>-</v>
      </c>
      <c r="Q128" s="6" t="str">
        <f t="shared" si="87"/>
        <v>-</v>
      </c>
    </row>
    <row r="129" spans="1:17" ht="15.75" x14ac:dyDescent="0.25">
      <c r="A129" s="873"/>
      <c r="B129" s="974" t="s">
        <v>16</v>
      </c>
      <c r="C129" s="911"/>
      <c r="D129" s="555" t="str">
        <f>IF(SUM(D101,D103,D105,D107,D109,D111,D113,D115,D117,D119,D121,D123,D125,D127)=0,"",SUM(D101,D103,D105,D107,D109,D111,D113,D115,D117,D119,D121,D123,D125,D127))</f>
        <v/>
      </c>
      <c r="E129" s="555" t="str">
        <f t="shared" ref="E129:O129" si="91">IF(SUM(E101,E103,E105,E107,E109,E111,E113,E115,E117,E119,E121,E123,E125,E127)=0,"",SUM(E101,E103,E105,E107,E109,E111,E113,E115,E117,E119,E121,E123,E125,E127))</f>
        <v/>
      </c>
      <c r="F129" s="555" t="str">
        <f t="shared" si="91"/>
        <v/>
      </c>
      <c r="G129" s="555" t="str">
        <f t="shared" si="91"/>
        <v/>
      </c>
      <c r="H129" s="555" t="str">
        <f t="shared" si="91"/>
        <v/>
      </c>
      <c r="I129" s="555" t="str">
        <f t="shared" si="91"/>
        <v/>
      </c>
      <c r="J129" s="555" t="str">
        <f t="shared" si="91"/>
        <v/>
      </c>
      <c r="K129" s="555" t="str">
        <f t="shared" si="91"/>
        <v/>
      </c>
      <c r="L129" s="555" t="str">
        <f t="shared" si="91"/>
        <v/>
      </c>
      <c r="M129" s="555" t="str">
        <f t="shared" si="91"/>
        <v/>
      </c>
      <c r="N129" s="555" t="str">
        <f t="shared" si="91"/>
        <v/>
      </c>
      <c r="O129" s="556" t="str">
        <f t="shared" si="91"/>
        <v/>
      </c>
      <c r="P129" s="512" t="str">
        <f t="shared" si="74"/>
        <v>-</v>
      </c>
      <c r="Q129" s="4" t="str">
        <f>IF(SUM(D129:O129)=0,"-",SUM(D129:O129))</f>
        <v>-</v>
      </c>
    </row>
    <row r="130" spans="1:17" ht="16.5" thickBot="1" x14ac:dyDescent="0.3">
      <c r="A130" s="874"/>
      <c r="B130" s="959" t="s">
        <v>17</v>
      </c>
      <c r="C130" s="913"/>
      <c r="D130" s="694" t="str">
        <f>IF(D129="","",SUM(D102,D104,D106,D108,D110,D112,D114,D116,D118,D120,D122,D124,D126,D128))</f>
        <v/>
      </c>
      <c r="E130" s="694" t="str">
        <f t="shared" ref="E130" si="92">IF(E129="","",SUM(E102,E104,E106,E108,E110,E112,E114,E116,E118,E120,E122,E124,E126,E128))</f>
        <v/>
      </c>
      <c r="F130" s="695" t="str">
        <f t="shared" ref="F130" si="93">IF(F129="","",SUM(F102,F104,F106,F108,F110,F112,F114,F116,F118,F120,F122,F124,F126,F128))</f>
        <v/>
      </c>
      <c r="G130" s="694" t="str">
        <f t="shared" ref="G130" si="94">IF(G129="","",SUM(G102,G104,G106,G108,G110,G112,G114,G116,G118,G120,G122,G124,G126,G128))</f>
        <v/>
      </c>
      <c r="H130" s="694" t="str">
        <f t="shared" ref="H130" si="95">IF(H129="","",SUM(H102,H104,H106,H108,H110,H112,H114,H116,H118,H120,H122,H124,H126,H128))</f>
        <v/>
      </c>
      <c r="I130" s="694" t="str">
        <f t="shared" ref="I130" si="96">IF(I129="","",SUM(I102,I104,I106,I108,I110,I112,I114,I116,I118,I120,I122,I124,I126,I128))</f>
        <v/>
      </c>
      <c r="J130" s="694" t="str">
        <f t="shared" ref="J130" si="97">IF(J129="","",SUM(J102,J104,J106,J108,J110,J112,J114,J116,J118,J120,J122,J124,J126,J128))</f>
        <v/>
      </c>
      <c r="K130" s="694" t="str">
        <f t="shared" ref="K130" si="98">IF(K129="","",SUM(K102,K104,K106,K108,K110,K112,K114,K116,K118,K120,K122,K124,K126,K128))</f>
        <v/>
      </c>
      <c r="L130" s="694" t="str">
        <f t="shared" ref="L130" si="99">IF(L129="","",SUM(L102,L104,L106,L108,L110,L112,L114,L116,L118,L120,L122,L124,L126,L128))</f>
        <v/>
      </c>
      <c r="M130" s="694" t="str">
        <f t="shared" ref="M130" si="100">IF(M129="","",SUM(M102,M104,M106,M108,M110,M112,M114,M116,M118,M120,M122,M124,M126,M128))</f>
        <v/>
      </c>
      <c r="N130" s="694" t="str">
        <f t="shared" ref="N130" si="101">IF(N129="","",SUM(N102,N104,N106,N108,N110,N112,N114,N116,N118,N120,N122,N124,N126,N128))</f>
        <v/>
      </c>
      <c r="O130" s="696" t="str">
        <f t="shared" ref="O130" si="102">IF(O129="","",SUM(O102,O104,O106,O108,O110,O112,O114,O116,O118,O120,O122,O124,O126,O128))</f>
        <v/>
      </c>
      <c r="P130" s="525" t="str">
        <f t="shared" si="74"/>
        <v>-</v>
      </c>
      <c r="Q130" s="7" t="str">
        <f>IF(SUM(D130:O130)=0,"-",SUM(D130:O130))</f>
        <v>-</v>
      </c>
    </row>
    <row r="131" spans="1:17" ht="15.75" x14ac:dyDescent="0.25">
      <c r="A131" s="869" t="s">
        <v>111</v>
      </c>
      <c r="B131" s="878" t="s">
        <v>3</v>
      </c>
      <c r="C131" s="879"/>
      <c r="D131" s="547" t="str">
        <f>IF('2025DATA'!BV3=0,"",'2025DATA'!BV3)</f>
        <v/>
      </c>
      <c r="E131" s="547" t="str">
        <f>IF('2025DATA'!BW3=0,"",'2025DATA'!BW3)</f>
        <v/>
      </c>
      <c r="F131" s="547" t="str">
        <f>IF('2025DATA'!BX3=0,"",'2025DATA'!BX3)</f>
        <v/>
      </c>
      <c r="G131" s="547" t="str">
        <f>IF('2025DATA'!BY3=0,"",'2025DATA'!BY3)</f>
        <v/>
      </c>
      <c r="H131" s="547" t="str">
        <f>IF('2025DATA'!BZ3=0,"",'2025DATA'!BZ3)</f>
        <v/>
      </c>
      <c r="I131" s="547" t="str">
        <f>IF('2025DATA'!CA3=0,"",'2025DATA'!CA3)</f>
        <v/>
      </c>
      <c r="J131" s="547" t="str">
        <f>IF('2025DATA'!CB3=0,"",'2025DATA'!CB3)</f>
        <v/>
      </c>
      <c r="K131" s="547" t="str">
        <f>IF('2025DATA'!CC3=0,"",'2025DATA'!CC3)</f>
        <v/>
      </c>
      <c r="L131" s="547" t="str">
        <f>IF('2025DATA'!CD3=0,"",'2025DATA'!CD3)</f>
        <v/>
      </c>
      <c r="M131" s="547" t="str">
        <f>IF('2025DATA'!CE3=0,"",'2025DATA'!CE3)</f>
        <v/>
      </c>
      <c r="N131" s="547" t="str">
        <f>IF('2025DATA'!CF3=0,"",'2025DATA'!CF3)</f>
        <v/>
      </c>
      <c r="O131" s="548" t="str">
        <f>IF('2025DATA'!CG3=0,"",'2025DATA'!CG3)</f>
        <v/>
      </c>
      <c r="P131" s="880"/>
      <c r="Q131" s="881"/>
    </row>
    <row r="132" spans="1:17" ht="15.75" x14ac:dyDescent="0.25">
      <c r="A132" s="870"/>
      <c r="B132" s="823" t="s">
        <v>7</v>
      </c>
      <c r="C132" s="16" t="s">
        <v>21</v>
      </c>
      <c r="D132" s="549"/>
      <c r="E132" s="549"/>
      <c r="F132" s="549"/>
      <c r="G132" s="549"/>
      <c r="H132" s="549"/>
      <c r="I132" s="549"/>
      <c r="J132" s="549"/>
      <c r="K132" s="549"/>
      <c r="L132" s="549"/>
      <c r="M132" s="549"/>
      <c r="N132" s="549"/>
      <c r="O132" s="550"/>
      <c r="P132" s="512" t="str">
        <f t="shared" ref="P132:P141" si="103">IF(Q132="-","-",Q132/12)</f>
        <v>-</v>
      </c>
      <c r="Q132" s="4" t="str">
        <f t="shared" ref="Q132:Q151" si="104">IF(SUM(D132:O132)=0,"-",SUM(D132:O132))</f>
        <v>-</v>
      </c>
    </row>
    <row r="133" spans="1:17" ht="15.75" x14ac:dyDescent="0.25">
      <c r="A133" s="870"/>
      <c r="B133" s="824"/>
      <c r="C133" s="17" t="s">
        <v>22</v>
      </c>
      <c r="D133" s="683" t="str">
        <f>IF(D132="","",D$131*D132*24)</f>
        <v/>
      </c>
      <c r="E133" s="683" t="str">
        <f t="shared" ref="E133:O133" si="105">IF(E132="","",E$131*E132*24)</f>
        <v/>
      </c>
      <c r="F133" s="683" t="str">
        <f t="shared" si="105"/>
        <v/>
      </c>
      <c r="G133" s="683" t="str">
        <f t="shared" si="105"/>
        <v/>
      </c>
      <c r="H133" s="683" t="str">
        <f t="shared" si="105"/>
        <v/>
      </c>
      <c r="I133" s="683" t="str">
        <f t="shared" si="105"/>
        <v/>
      </c>
      <c r="J133" s="683" t="str">
        <f t="shared" si="105"/>
        <v/>
      </c>
      <c r="K133" s="683" t="str">
        <f t="shared" si="105"/>
        <v/>
      </c>
      <c r="L133" s="683" t="str">
        <f t="shared" si="105"/>
        <v/>
      </c>
      <c r="M133" s="683" t="str">
        <f t="shared" si="105"/>
        <v/>
      </c>
      <c r="N133" s="683" t="str">
        <f t="shared" si="105"/>
        <v/>
      </c>
      <c r="O133" s="686" t="str">
        <f t="shared" si="105"/>
        <v/>
      </c>
      <c r="P133" s="511" t="str">
        <f>IF(Q133="-","-",Q133/12)</f>
        <v>-</v>
      </c>
      <c r="Q133" s="6" t="str">
        <f>IF(SUM(D133:O133)=0,"-",SUM(D133:O133))</f>
        <v>-</v>
      </c>
    </row>
    <row r="134" spans="1:17" ht="15.75" x14ac:dyDescent="0.25">
      <c r="A134" s="870"/>
      <c r="B134" s="823" t="s">
        <v>8</v>
      </c>
      <c r="C134" s="18" t="s">
        <v>21</v>
      </c>
      <c r="D134" s="549"/>
      <c r="E134" s="549"/>
      <c r="F134" s="549"/>
      <c r="G134" s="549"/>
      <c r="H134" s="549"/>
      <c r="I134" s="549"/>
      <c r="J134" s="549"/>
      <c r="K134" s="549"/>
      <c r="L134" s="549"/>
      <c r="M134" s="549"/>
      <c r="N134" s="549"/>
      <c r="O134" s="550"/>
      <c r="P134" s="512" t="str">
        <f t="shared" si="103"/>
        <v>-</v>
      </c>
      <c r="Q134" s="4" t="str">
        <f t="shared" si="104"/>
        <v>-</v>
      </c>
    </row>
    <row r="135" spans="1:17" ht="15.75" x14ac:dyDescent="0.25">
      <c r="A135" s="870"/>
      <c r="B135" s="824"/>
      <c r="C135" s="18" t="s">
        <v>22</v>
      </c>
      <c r="D135" s="683" t="str">
        <f>IF(D134=0,"",(D131+IF(D$4="CA",DATA!$B$22,DATA!$B$23))*D134*24)</f>
        <v/>
      </c>
      <c r="E135" s="683" t="str">
        <f>IF(E134=0,"",(E131+IF(E$4="CA",DATA!$B$22,DATA!$B$23))*E134*24)</f>
        <v/>
      </c>
      <c r="F135" s="683" t="str">
        <f>IF(F134=0,"",(F131+IF(F$4="CA",DATA!$B$22,DATA!$B$23))*F134*24)</f>
        <v/>
      </c>
      <c r="G135" s="683" t="str">
        <f>IF(G134=0,"",(G131+IF(G$4="CA",DATA!$B$22,DATA!$B$23))*G134*24)</f>
        <v/>
      </c>
      <c r="H135" s="683" t="str">
        <f>IF(H134=0,"",(H131+IF(H$4="CA",DATA!$B$22,DATA!$B$23))*H134*24)</f>
        <v/>
      </c>
      <c r="I135" s="683" t="str">
        <f>IF(I134=0,"",(I131+IF(I$4="CA",DATA!$B$22,DATA!$B$23))*I134*24)</f>
        <v/>
      </c>
      <c r="J135" s="683" t="str">
        <f>IF(J134=0,"",(J131+IF(J$4="CA",DATA!$B$22,DATA!$B$23))*J134*24)</f>
        <v/>
      </c>
      <c r="K135" s="683" t="str">
        <f>IF(K134=0,"",(K131+IF(K$4="CA",DATA!$B$22,DATA!$B$23))*K134*24)</f>
        <v/>
      </c>
      <c r="L135" s="683" t="str">
        <f>IF(L134=0,"",(L131+IF(L$4="CA",DATA!$B$22,DATA!$B$23))*L134*24)</f>
        <v/>
      </c>
      <c r="M135" s="683" t="str">
        <f>IF(M134=0,"",(M131+IF(M$4="CA",DATA!$B$22,DATA!$B$23))*M134*24)</f>
        <v/>
      </c>
      <c r="N135" s="683" t="str">
        <f>IF(N134=0,"",(N131+IF(N$4="CA",DATA!$B$22,DATA!$B$23))*N134*24)</f>
        <v/>
      </c>
      <c r="O135" s="686" t="str">
        <f>IF(O134=0,"",(O131+IF(O$4="CA",DATA!$B$22,DATA!$B$23))*O134*24)</f>
        <v/>
      </c>
      <c r="P135" s="511" t="str">
        <f t="shared" si="103"/>
        <v>-</v>
      </c>
      <c r="Q135" s="6" t="str">
        <f t="shared" si="104"/>
        <v>-</v>
      </c>
    </row>
    <row r="136" spans="1:17" ht="15.75" x14ac:dyDescent="0.25">
      <c r="A136" s="870"/>
      <c r="B136" s="823" t="s">
        <v>9</v>
      </c>
      <c r="C136" s="16" t="s">
        <v>21</v>
      </c>
      <c r="D136" s="549"/>
      <c r="E136" s="549"/>
      <c r="F136" s="549"/>
      <c r="G136" s="549"/>
      <c r="H136" s="549"/>
      <c r="I136" s="549"/>
      <c r="J136" s="549"/>
      <c r="K136" s="549"/>
      <c r="L136" s="549"/>
      <c r="M136" s="549"/>
      <c r="N136" s="549"/>
      <c r="O136" s="550"/>
      <c r="P136" s="512" t="str">
        <f t="shared" si="103"/>
        <v>-</v>
      </c>
      <c r="Q136" s="4" t="str">
        <f t="shared" si="104"/>
        <v>-</v>
      </c>
    </row>
    <row r="137" spans="1:17" ht="15.75" x14ac:dyDescent="0.25">
      <c r="A137" s="870"/>
      <c r="B137" s="824"/>
      <c r="C137" s="17" t="s">
        <v>22</v>
      </c>
      <c r="D137" s="683" t="str">
        <f>IF(D136="","",D$131*D136*24)</f>
        <v/>
      </c>
      <c r="E137" s="683" t="str">
        <f t="shared" ref="E137:O137" si="106">IF(E136="","",E$131*E136*24)</f>
        <v/>
      </c>
      <c r="F137" s="684" t="str">
        <f t="shared" si="106"/>
        <v/>
      </c>
      <c r="G137" s="683" t="str">
        <f t="shared" si="106"/>
        <v/>
      </c>
      <c r="H137" s="683" t="str">
        <f t="shared" si="106"/>
        <v/>
      </c>
      <c r="I137" s="683" t="str">
        <f t="shared" si="106"/>
        <v/>
      </c>
      <c r="J137" s="683" t="str">
        <f t="shared" si="106"/>
        <v/>
      </c>
      <c r="K137" s="683" t="str">
        <f t="shared" si="106"/>
        <v/>
      </c>
      <c r="L137" s="683" t="str">
        <f t="shared" si="106"/>
        <v/>
      </c>
      <c r="M137" s="683" t="str">
        <f t="shared" si="106"/>
        <v/>
      </c>
      <c r="N137" s="683" t="str">
        <f t="shared" si="106"/>
        <v/>
      </c>
      <c r="O137" s="685" t="str">
        <f t="shared" si="106"/>
        <v/>
      </c>
      <c r="P137" s="511" t="str">
        <f t="shared" si="103"/>
        <v>-</v>
      </c>
      <c r="Q137" s="6" t="str">
        <f t="shared" si="104"/>
        <v>-</v>
      </c>
    </row>
    <row r="138" spans="1:17" ht="15.75" x14ac:dyDescent="0.25">
      <c r="A138" s="870"/>
      <c r="B138" s="823" t="s">
        <v>10</v>
      </c>
      <c r="C138" s="18" t="s">
        <v>21</v>
      </c>
      <c r="D138" s="549"/>
      <c r="E138" s="549"/>
      <c r="F138" s="549"/>
      <c r="G138" s="549"/>
      <c r="H138" s="549"/>
      <c r="I138" s="549"/>
      <c r="J138" s="549"/>
      <c r="K138" s="549"/>
      <c r="L138" s="549"/>
      <c r="M138" s="549"/>
      <c r="N138" s="549"/>
      <c r="O138" s="550"/>
      <c r="P138" s="512" t="str">
        <f t="shared" si="103"/>
        <v>-</v>
      </c>
      <c r="Q138" s="4" t="str">
        <f t="shared" si="104"/>
        <v>-</v>
      </c>
    </row>
    <row r="139" spans="1:17" ht="15.75" x14ac:dyDescent="0.25">
      <c r="A139" s="870"/>
      <c r="B139" s="824"/>
      <c r="C139" s="18" t="s">
        <v>22</v>
      </c>
      <c r="D139" s="683" t="str">
        <f>IF(D138="","",D$131*D138*24)</f>
        <v/>
      </c>
      <c r="E139" s="683" t="str">
        <f t="shared" ref="E139:O139" si="107">IF(E138="","",E$131*E138*24)</f>
        <v/>
      </c>
      <c r="F139" s="684" t="str">
        <f t="shared" si="107"/>
        <v/>
      </c>
      <c r="G139" s="683" t="str">
        <f t="shared" si="107"/>
        <v/>
      </c>
      <c r="H139" s="683" t="str">
        <f t="shared" si="107"/>
        <v/>
      </c>
      <c r="I139" s="683" t="str">
        <f t="shared" si="107"/>
        <v/>
      </c>
      <c r="J139" s="683" t="str">
        <f t="shared" si="107"/>
        <v/>
      </c>
      <c r="K139" s="683" t="str">
        <f t="shared" si="107"/>
        <v/>
      </c>
      <c r="L139" s="683" t="str">
        <f t="shared" si="107"/>
        <v/>
      </c>
      <c r="M139" s="683" t="str">
        <f t="shared" si="107"/>
        <v/>
      </c>
      <c r="N139" s="683" t="str">
        <f t="shared" si="107"/>
        <v/>
      </c>
      <c r="O139" s="685" t="str">
        <f t="shared" si="107"/>
        <v/>
      </c>
      <c r="P139" s="511" t="str">
        <f t="shared" si="103"/>
        <v>-</v>
      </c>
      <c r="Q139" s="6" t="str">
        <f t="shared" si="104"/>
        <v>-</v>
      </c>
    </row>
    <row r="140" spans="1:17" ht="15.75" x14ac:dyDescent="0.25">
      <c r="A140" s="870"/>
      <c r="B140" s="823" t="s">
        <v>11</v>
      </c>
      <c r="C140" s="16" t="s">
        <v>21</v>
      </c>
      <c r="D140" s="549"/>
      <c r="E140" s="549"/>
      <c r="F140" s="549"/>
      <c r="G140" s="549"/>
      <c r="H140" s="549"/>
      <c r="I140" s="549"/>
      <c r="J140" s="549"/>
      <c r="K140" s="549"/>
      <c r="L140" s="549"/>
      <c r="M140" s="549"/>
      <c r="N140" s="549"/>
      <c r="O140" s="550"/>
      <c r="P140" s="512" t="str">
        <f t="shared" si="103"/>
        <v>-</v>
      </c>
      <c r="Q140" s="4" t="str">
        <f t="shared" si="104"/>
        <v>-</v>
      </c>
    </row>
    <row r="141" spans="1:17" ht="15.75" x14ac:dyDescent="0.25">
      <c r="A141" s="870"/>
      <c r="B141" s="824"/>
      <c r="C141" s="17" t="s">
        <v>22</v>
      </c>
      <c r="D141" s="683" t="str">
        <f>IF(D140="","",D$131*D140*24)</f>
        <v/>
      </c>
      <c r="E141" s="683" t="str">
        <f t="shared" ref="E141:O141" si="108">IF(E140="","",E$131*E140*24)</f>
        <v/>
      </c>
      <c r="F141" s="684" t="str">
        <f t="shared" si="108"/>
        <v/>
      </c>
      <c r="G141" s="683" t="str">
        <f t="shared" si="108"/>
        <v/>
      </c>
      <c r="H141" s="683" t="str">
        <f t="shared" si="108"/>
        <v/>
      </c>
      <c r="I141" s="683" t="str">
        <f t="shared" si="108"/>
        <v/>
      </c>
      <c r="J141" s="683" t="str">
        <f t="shared" si="108"/>
        <v/>
      </c>
      <c r="K141" s="683" t="str">
        <f t="shared" si="108"/>
        <v/>
      </c>
      <c r="L141" s="683" t="str">
        <f t="shared" si="108"/>
        <v/>
      </c>
      <c r="M141" s="683" t="str">
        <f t="shared" si="108"/>
        <v/>
      </c>
      <c r="N141" s="683" t="str">
        <f t="shared" si="108"/>
        <v/>
      </c>
      <c r="O141" s="685" t="str">
        <f t="shared" si="108"/>
        <v/>
      </c>
      <c r="P141" s="511" t="str">
        <f t="shared" si="103"/>
        <v>-</v>
      </c>
      <c r="Q141" s="6" t="str">
        <f t="shared" si="104"/>
        <v>-</v>
      </c>
    </row>
    <row r="142" spans="1:17" ht="15.75" x14ac:dyDescent="0.25">
      <c r="A142" s="870"/>
      <c r="B142" s="823" t="s">
        <v>12</v>
      </c>
      <c r="C142" s="18" t="s">
        <v>21</v>
      </c>
      <c r="D142" s="549"/>
      <c r="E142" s="549"/>
      <c r="F142" s="549"/>
      <c r="G142" s="549"/>
      <c r="H142" s="549"/>
      <c r="I142" s="549"/>
      <c r="J142" s="549"/>
      <c r="K142" s="549"/>
      <c r="L142" s="549"/>
      <c r="M142" s="549"/>
      <c r="N142" s="549"/>
      <c r="O142" s="550"/>
      <c r="P142" s="512" t="str">
        <f>IF(Q142="-","-",Q142/12)</f>
        <v>-</v>
      </c>
      <c r="Q142" s="4" t="str">
        <f t="shared" si="104"/>
        <v>-</v>
      </c>
    </row>
    <row r="143" spans="1:17" ht="15.75" x14ac:dyDescent="0.25">
      <c r="A143" s="870"/>
      <c r="B143" s="824"/>
      <c r="C143" s="18" t="s">
        <v>22</v>
      </c>
      <c r="D143" s="683" t="str">
        <f>IF(D142="","",D$131*D142*24)</f>
        <v/>
      </c>
      <c r="E143" s="683" t="str">
        <f t="shared" ref="E143:O143" si="109">IF(E142="","",E$131*E142*24)</f>
        <v/>
      </c>
      <c r="F143" s="684" t="str">
        <f t="shared" si="109"/>
        <v/>
      </c>
      <c r="G143" s="683" t="str">
        <f t="shared" si="109"/>
        <v/>
      </c>
      <c r="H143" s="683" t="str">
        <f t="shared" si="109"/>
        <v/>
      </c>
      <c r="I143" s="683" t="str">
        <f t="shared" si="109"/>
        <v/>
      </c>
      <c r="J143" s="683" t="str">
        <f t="shared" si="109"/>
        <v/>
      </c>
      <c r="K143" s="683" t="str">
        <f t="shared" si="109"/>
        <v/>
      </c>
      <c r="L143" s="683" t="str">
        <f t="shared" si="109"/>
        <v/>
      </c>
      <c r="M143" s="683" t="str">
        <f t="shared" si="109"/>
        <v/>
      </c>
      <c r="N143" s="683" t="str">
        <f t="shared" si="109"/>
        <v/>
      </c>
      <c r="O143" s="685" t="str">
        <f t="shared" si="109"/>
        <v/>
      </c>
      <c r="P143" s="511" t="str">
        <f t="shared" ref="P143:P161" si="110">IF(Q143="-","-",Q143/12)</f>
        <v>-</v>
      </c>
      <c r="Q143" s="6" t="str">
        <f t="shared" si="104"/>
        <v>-</v>
      </c>
    </row>
    <row r="144" spans="1:17" ht="15.75" x14ac:dyDescent="0.25">
      <c r="A144" s="870"/>
      <c r="B144" s="823" t="s">
        <v>15</v>
      </c>
      <c r="C144" s="16" t="s">
        <v>21</v>
      </c>
      <c r="D144" s="549"/>
      <c r="E144" s="549"/>
      <c r="F144" s="549"/>
      <c r="G144" s="549"/>
      <c r="H144" s="549"/>
      <c r="I144" s="549"/>
      <c r="J144" s="549"/>
      <c r="K144" s="549"/>
      <c r="L144" s="549"/>
      <c r="M144" s="549"/>
      <c r="N144" s="549"/>
      <c r="O144" s="550"/>
      <c r="P144" s="512" t="str">
        <f t="shared" si="110"/>
        <v>-</v>
      </c>
      <c r="Q144" s="4" t="str">
        <f t="shared" si="104"/>
        <v>-</v>
      </c>
    </row>
    <row r="145" spans="1:17" ht="15.75" x14ac:dyDescent="0.25">
      <c r="A145" s="870"/>
      <c r="B145" s="824"/>
      <c r="C145" s="17" t="s">
        <v>22</v>
      </c>
      <c r="D145" s="683" t="str">
        <f>IF(D144="","",D$131*D144*24)</f>
        <v/>
      </c>
      <c r="E145" s="683" t="str">
        <f t="shared" ref="E145:O145" si="111">IF(E144="","",E$131*E144*24)</f>
        <v/>
      </c>
      <c r="F145" s="684" t="str">
        <f t="shared" si="111"/>
        <v/>
      </c>
      <c r="G145" s="683" t="str">
        <f t="shared" si="111"/>
        <v/>
      </c>
      <c r="H145" s="683" t="str">
        <f t="shared" si="111"/>
        <v/>
      </c>
      <c r="I145" s="683" t="str">
        <f t="shared" si="111"/>
        <v/>
      </c>
      <c r="J145" s="683" t="str">
        <f t="shared" si="111"/>
        <v/>
      </c>
      <c r="K145" s="683" t="str">
        <f t="shared" si="111"/>
        <v/>
      </c>
      <c r="L145" s="683" t="str">
        <f t="shared" si="111"/>
        <v/>
      </c>
      <c r="M145" s="683" t="str">
        <f t="shared" si="111"/>
        <v/>
      </c>
      <c r="N145" s="683" t="str">
        <f t="shared" si="111"/>
        <v/>
      </c>
      <c r="O145" s="685" t="str">
        <f t="shared" si="111"/>
        <v/>
      </c>
      <c r="P145" s="511" t="str">
        <f t="shared" si="110"/>
        <v>-</v>
      </c>
      <c r="Q145" s="6" t="str">
        <f t="shared" si="104"/>
        <v>-</v>
      </c>
    </row>
    <row r="146" spans="1:17" ht="15.75" x14ac:dyDescent="0.25">
      <c r="A146" s="870"/>
      <c r="B146" s="823" t="s">
        <v>13</v>
      </c>
      <c r="C146" s="18" t="s">
        <v>21</v>
      </c>
      <c r="D146" s="549"/>
      <c r="E146" s="549"/>
      <c r="F146" s="549"/>
      <c r="G146" s="549"/>
      <c r="H146" s="549"/>
      <c r="I146" s="549"/>
      <c r="J146" s="549"/>
      <c r="K146" s="549"/>
      <c r="L146" s="549"/>
      <c r="M146" s="549"/>
      <c r="N146" s="549"/>
      <c r="O146" s="550"/>
      <c r="P146" s="512" t="str">
        <f t="shared" si="110"/>
        <v>-</v>
      </c>
      <c r="Q146" s="4" t="str">
        <f t="shared" si="104"/>
        <v>-</v>
      </c>
    </row>
    <row r="147" spans="1:17" ht="15.75" x14ac:dyDescent="0.25">
      <c r="A147" s="870"/>
      <c r="B147" s="824"/>
      <c r="C147" s="18" t="s">
        <v>22</v>
      </c>
      <c r="D147" s="683" t="str">
        <f>IF(D146="","",D$131*D146*24)</f>
        <v/>
      </c>
      <c r="E147" s="683" t="str">
        <f t="shared" ref="E147:O147" si="112">IF(E146="","",E$131*E146*24)</f>
        <v/>
      </c>
      <c r="F147" s="684" t="str">
        <f t="shared" si="112"/>
        <v/>
      </c>
      <c r="G147" s="683" t="str">
        <f t="shared" si="112"/>
        <v/>
      </c>
      <c r="H147" s="683" t="str">
        <f t="shared" si="112"/>
        <v/>
      </c>
      <c r="I147" s="683" t="str">
        <f t="shared" si="112"/>
        <v/>
      </c>
      <c r="J147" s="683" t="str">
        <f t="shared" si="112"/>
        <v/>
      </c>
      <c r="K147" s="683" t="str">
        <f t="shared" si="112"/>
        <v/>
      </c>
      <c r="L147" s="683" t="str">
        <f t="shared" si="112"/>
        <v/>
      </c>
      <c r="M147" s="683" t="str">
        <f t="shared" si="112"/>
        <v/>
      </c>
      <c r="N147" s="683" t="str">
        <f t="shared" si="112"/>
        <v/>
      </c>
      <c r="O147" s="685" t="str">
        <f t="shared" si="112"/>
        <v/>
      </c>
      <c r="P147" s="511" t="str">
        <f t="shared" si="110"/>
        <v>-</v>
      </c>
      <c r="Q147" s="6" t="str">
        <f t="shared" si="104"/>
        <v>-</v>
      </c>
    </row>
    <row r="148" spans="1:17" ht="15.75" x14ac:dyDescent="0.25">
      <c r="A148" s="870"/>
      <c r="B148" s="823" t="s">
        <v>20</v>
      </c>
      <c r="C148" s="16" t="s">
        <v>21</v>
      </c>
      <c r="D148" s="549"/>
      <c r="E148" s="549"/>
      <c r="F148" s="549"/>
      <c r="G148" s="549"/>
      <c r="H148" s="549"/>
      <c r="I148" s="549"/>
      <c r="J148" s="549"/>
      <c r="K148" s="549"/>
      <c r="L148" s="549"/>
      <c r="M148" s="549"/>
      <c r="N148" s="549"/>
      <c r="O148" s="550"/>
      <c r="P148" s="512" t="str">
        <f t="shared" si="110"/>
        <v>-</v>
      </c>
      <c r="Q148" s="4" t="str">
        <f t="shared" si="104"/>
        <v>-</v>
      </c>
    </row>
    <row r="149" spans="1:17" ht="15.75" x14ac:dyDescent="0.25">
      <c r="A149" s="870"/>
      <c r="B149" s="824"/>
      <c r="C149" s="17" t="s">
        <v>22</v>
      </c>
      <c r="D149" s="683" t="str">
        <f>IF(D148="","",D$131*D148*24)</f>
        <v/>
      </c>
      <c r="E149" s="683" t="str">
        <f t="shared" ref="E149:O149" si="113">IF(E148="","",E$131*E148*24)</f>
        <v/>
      </c>
      <c r="F149" s="684" t="str">
        <f t="shared" si="113"/>
        <v/>
      </c>
      <c r="G149" s="683" t="str">
        <f t="shared" si="113"/>
        <v/>
      </c>
      <c r="H149" s="683" t="str">
        <f t="shared" si="113"/>
        <v/>
      </c>
      <c r="I149" s="683" t="str">
        <f t="shared" si="113"/>
        <v/>
      </c>
      <c r="J149" s="683" t="str">
        <f t="shared" si="113"/>
        <v/>
      </c>
      <c r="K149" s="683" t="str">
        <f t="shared" si="113"/>
        <v/>
      </c>
      <c r="L149" s="683" t="str">
        <f t="shared" si="113"/>
        <v/>
      </c>
      <c r="M149" s="683" t="str">
        <f t="shared" si="113"/>
        <v/>
      </c>
      <c r="N149" s="683" t="str">
        <f t="shared" si="113"/>
        <v/>
      </c>
      <c r="O149" s="685" t="str">
        <f t="shared" si="113"/>
        <v/>
      </c>
      <c r="P149" s="511" t="str">
        <f t="shared" si="110"/>
        <v>-</v>
      </c>
      <c r="Q149" s="6" t="str">
        <f t="shared" si="104"/>
        <v>-</v>
      </c>
    </row>
    <row r="150" spans="1:17" ht="15.75" x14ac:dyDescent="0.25">
      <c r="A150" s="870"/>
      <c r="B150" s="823" t="s">
        <v>1</v>
      </c>
      <c r="C150" s="18" t="s">
        <v>21</v>
      </c>
      <c r="D150" s="549"/>
      <c r="E150" s="549"/>
      <c r="F150" s="549"/>
      <c r="G150" s="549"/>
      <c r="H150" s="549"/>
      <c r="I150" s="549"/>
      <c r="J150" s="549"/>
      <c r="K150" s="549"/>
      <c r="L150" s="549"/>
      <c r="M150" s="549"/>
      <c r="N150" s="549"/>
      <c r="O150" s="550"/>
      <c r="P150" s="512" t="str">
        <f t="shared" si="110"/>
        <v>-</v>
      </c>
      <c r="Q150" s="4" t="str">
        <f t="shared" si="104"/>
        <v>-</v>
      </c>
    </row>
    <row r="151" spans="1:17" ht="15.75" customHeight="1" x14ac:dyDescent="0.25">
      <c r="A151" s="870"/>
      <c r="B151" s="824"/>
      <c r="C151" s="18" t="s">
        <v>22</v>
      </c>
      <c r="D151" s="683" t="str">
        <f>IF(D150="","",D$131*D150*24)</f>
        <v/>
      </c>
      <c r="E151" s="683" t="str">
        <f t="shared" ref="E151:O151" si="114">IF(E150="","",E$131*E150*24)</f>
        <v/>
      </c>
      <c r="F151" s="684" t="str">
        <f t="shared" si="114"/>
        <v/>
      </c>
      <c r="G151" s="683" t="str">
        <f t="shared" si="114"/>
        <v/>
      </c>
      <c r="H151" s="683" t="str">
        <f t="shared" si="114"/>
        <v/>
      </c>
      <c r="I151" s="683" t="str">
        <f t="shared" si="114"/>
        <v/>
      </c>
      <c r="J151" s="683" t="str">
        <f t="shared" si="114"/>
        <v/>
      </c>
      <c r="K151" s="683" t="str">
        <f t="shared" si="114"/>
        <v/>
      </c>
      <c r="L151" s="683" t="str">
        <f t="shared" si="114"/>
        <v/>
      </c>
      <c r="M151" s="683" t="str">
        <f t="shared" si="114"/>
        <v/>
      </c>
      <c r="N151" s="683" t="str">
        <f t="shared" si="114"/>
        <v/>
      </c>
      <c r="O151" s="685" t="str">
        <f t="shared" si="114"/>
        <v/>
      </c>
      <c r="P151" s="511" t="str">
        <f t="shared" si="110"/>
        <v>-</v>
      </c>
      <c r="Q151" s="6" t="str">
        <f t="shared" si="104"/>
        <v>-</v>
      </c>
    </row>
    <row r="152" spans="1:17" ht="15.75" customHeight="1" x14ac:dyDescent="0.25">
      <c r="A152" s="870"/>
      <c r="B152" s="823" t="str">
        <f>IF($B$28="OTHER (RENAME)","OTHER",$B$28)</f>
        <v>OTHER</v>
      </c>
      <c r="C152" s="19" t="s">
        <v>21</v>
      </c>
      <c r="D152" s="549"/>
      <c r="E152" s="549"/>
      <c r="F152" s="549"/>
      <c r="G152" s="549"/>
      <c r="H152" s="549"/>
      <c r="I152" s="549"/>
      <c r="J152" s="549"/>
      <c r="K152" s="549"/>
      <c r="L152" s="549"/>
      <c r="M152" s="549"/>
      <c r="N152" s="549"/>
      <c r="O152" s="550"/>
      <c r="P152" s="512" t="str">
        <f t="shared" si="110"/>
        <v>-</v>
      </c>
      <c r="Q152" s="4" t="str">
        <f t="shared" ref="Q152:Q153" si="115">IF(SUM(D152:O152)=0,"-",SUM(D152:O152))</f>
        <v>-</v>
      </c>
    </row>
    <row r="153" spans="1:17" ht="15.75" customHeight="1" x14ac:dyDescent="0.25">
      <c r="A153" s="870"/>
      <c r="B153" s="824"/>
      <c r="C153" s="20" t="s">
        <v>22</v>
      </c>
      <c r="D153" s="687" t="str">
        <f>IF(D152="","",D$131*D152*24)</f>
        <v/>
      </c>
      <c r="E153" s="687" t="str">
        <f t="shared" ref="E153:O153" si="116">IF(E152="","",E$131*E152*24)</f>
        <v/>
      </c>
      <c r="F153" s="687" t="str">
        <f t="shared" si="116"/>
        <v/>
      </c>
      <c r="G153" s="687" t="str">
        <f t="shared" si="116"/>
        <v/>
      </c>
      <c r="H153" s="687" t="str">
        <f t="shared" si="116"/>
        <v/>
      </c>
      <c r="I153" s="687" t="str">
        <f t="shared" si="116"/>
        <v/>
      </c>
      <c r="J153" s="687" t="str">
        <f t="shared" si="116"/>
        <v/>
      </c>
      <c r="K153" s="687" t="str">
        <f t="shared" si="116"/>
        <v/>
      </c>
      <c r="L153" s="687" t="str">
        <f t="shared" si="116"/>
        <v/>
      </c>
      <c r="M153" s="687" t="str">
        <f t="shared" si="116"/>
        <v/>
      </c>
      <c r="N153" s="687" t="str">
        <f t="shared" si="116"/>
        <v/>
      </c>
      <c r="O153" s="688" t="str">
        <f t="shared" si="116"/>
        <v/>
      </c>
      <c r="P153" s="511" t="str">
        <f t="shared" si="110"/>
        <v>-</v>
      </c>
      <c r="Q153" s="6" t="str">
        <f t="shared" si="115"/>
        <v>-</v>
      </c>
    </row>
    <row r="154" spans="1:17" ht="15.75" x14ac:dyDescent="0.25">
      <c r="A154" s="870"/>
      <c r="B154" s="823" t="str">
        <f>IF($B$30="OTHER (RENAME)","OTHER",$B$30)</f>
        <v>OTHER</v>
      </c>
      <c r="C154" s="16" t="s">
        <v>21</v>
      </c>
      <c r="D154" s="549"/>
      <c r="E154" s="549"/>
      <c r="F154" s="549"/>
      <c r="G154" s="549"/>
      <c r="H154" s="549"/>
      <c r="I154" s="549"/>
      <c r="J154" s="549"/>
      <c r="K154" s="549"/>
      <c r="L154" s="549"/>
      <c r="M154" s="549"/>
      <c r="N154" s="549"/>
      <c r="O154" s="550"/>
      <c r="P154" s="512" t="str">
        <f t="shared" si="110"/>
        <v>-</v>
      </c>
      <c r="Q154" s="4" t="str">
        <f t="shared" ref="Q154:Q159" si="117">IF(SUM(D154:O154)=0,"-",SUM(D154:O154))</f>
        <v>-</v>
      </c>
    </row>
    <row r="155" spans="1:17" ht="15.75" x14ac:dyDescent="0.25">
      <c r="A155" s="870"/>
      <c r="B155" s="824"/>
      <c r="C155" s="17" t="s">
        <v>22</v>
      </c>
      <c r="D155" s="687" t="str">
        <f>IF(D154="","",D$131*D154*24)</f>
        <v/>
      </c>
      <c r="E155" s="687" t="str">
        <f t="shared" ref="E155:O155" si="118">IF(E154="","",E$131*E154*24)</f>
        <v/>
      </c>
      <c r="F155" s="687" t="str">
        <f t="shared" si="118"/>
        <v/>
      </c>
      <c r="G155" s="687" t="str">
        <f t="shared" si="118"/>
        <v/>
      </c>
      <c r="H155" s="687" t="str">
        <f t="shared" si="118"/>
        <v/>
      </c>
      <c r="I155" s="687" t="str">
        <f t="shared" si="118"/>
        <v/>
      </c>
      <c r="J155" s="687" t="str">
        <f t="shared" si="118"/>
        <v/>
      </c>
      <c r="K155" s="687" t="str">
        <f t="shared" si="118"/>
        <v/>
      </c>
      <c r="L155" s="687" t="str">
        <f t="shared" si="118"/>
        <v/>
      </c>
      <c r="M155" s="687" t="str">
        <f t="shared" si="118"/>
        <v/>
      </c>
      <c r="N155" s="687" t="str">
        <f t="shared" si="118"/>
        <v/>
      </c>
      <c r="O155" s="688" t="str">
        <f t="shared" si="118"/>
        <v/>
      </c>
      <c r="P155" s="511" t="str">
        <f t="shared" si="110"/>
        <v>-</v>
      </c>
      <c r="Q155" s="6" t="str">
        <f t="shared" si="117"/>
        <v>-</v>
      </c>
    </row>
    <row r="156" spans="1:17" ht="15.75" x14ac:dyDescent="0.25">
      <c r="A156" s="870"/>
      <c r="B156" s="823" t="str">
        <f>IF($B$32="OTHER (RENAME)","OTHER",$B$32)</f>
        <v>OTHER</v>
      </c>
      <c r="C156" s="16" t="s">
        <v>21</v>
      </c>
      <c r="D156" s="549"/>
      <c r="E156" s="549"/>
      <c r="F156" s="549"/>
      <c r="G156" s="549"/>
      <c r="H156" s="549"/>
      <c r="I156" s="549"/>
      <c r="J156" s="549"/>
      <c r="K156" s="549"/>
      <c r="L156" s="549"/>
      <c r="M156" s="549"/>
      <c r="N156" s="549"/>
      <c r="O156" s="550"/>
      <c r="P156" s="512" t="str">
        <f t="shared" si="110"/>
        <v>-</v>
      </c>
      <c r="Q156" s="4" t="str">
        <f t="shared" si="117"/>
        <v>-</v>
      </c>
    </row>
    <row r="157" spans="1:17" ht="15.75" x14ac:dyDescent="0.25">
      <c r="A157" s="870"/>
      <c r="B157" s="824"/>
      <c r="C157" s="17" t="s">
        <v>22</v>
      </c>
      <c r="D157" s="687" t="str">
        <f>IF(D156="","",D$131*D156*24)</f>
        <v/>
      </c>
      <c r="E157" s="687" t="str">
        <f t="shared" ref="E157:O157" si="119">IF(E156="","",E$131*E156*24)</f>
        <v/>
      </c>
      <c r="F157" s="687" t="str">
        <f t="shared" si="119"/>
        <v/>
      </c>
      <c r="G157" s="687" t="str">
        <f t="shared" si="119"/>
        <v/>
      </c>
      <c r="H157" s="687" t="str">
        <f t="shared" si="119"/>
        <v/>
      </c>
      <c r="I157" s="687" t="str">
        <f t="shared" si="119"/>
        <v/>
      </c>
      <c r="J157" s="687" t="str">
        <f t="shared" si="119"/>
        <v/>
      </c>
      <c r="K157" s="687" t="str">
        <f t="shared" si="119"/>
        <v/>
      </c>
      <c r="L157" s="687" t="str">
        <f t="shared" si="119"/>
        <v/>
      </c>
      <c r="M157" s="687" t="str">
        <f t="shared" si="119"/>
        <v/>
      </c>
      <c r="N157" s="687" t="str">
        <f t="shared" si="119"/>
        <v/>
      </c>
      <c r="O157" s="688" t="str">
        <f t="shared" si="119"/>
        <v/>
      </c>
      <c r="P157" s="511" t="str">
        <f t="shared" si="110"/>
        <v>-</v>
      </c>
      <c r="Q157" s="6" t="str">
        <f t="shared" si="117"/>
        <v>-</v>
      </c>
    </row>
    <row r="158" spans="1:17" ht="15.75" x14ac:dyDescent="0.25">
      <c r="A158" s="870"/>
      <c r="B158" s="823" t="str">
        <f>IF($B$34="OTHER (RENAME)","OTHER",$B$34)</f>
        <v>OTHER</v>
      </c>
      <c r="C158" s="16" t="s">
        <v>21</v>
      </c>
      <c r="D158" s="549"/>
      <c r="E158" s="549"/>
      <c r="F158" s="549"/>
      <c r="G158" s="549"/>
      <c r="H158" s="549"/>
      <c r="I158" s="549"/>
      <c r="J158" s="549"/>
      <c r="K158" s="549"/>
      <c r="L158" s="549"/>
      <c r="M158" s="549"/>
      <c r="N158" s="549"/>
      <c r="O158" s="550"/>
      <c r="P158" s="512" t="str">
        <f t="shared" si="110"/>
        <v>-</v>
      </c>
      <c r="Q158" s="4" t="str">
        <f t="shared" si="117"/>
        <v>-</v>
      </c>
    </row>
    <row r="159" spans="1:17" ht="15.75" x14ac:dyDescent="0.25">
      <c r="A159" s="870"/>
      <c r="B159" s="824"/>
      <c r="C159" s="17" t="s">
        <v>22</v>
      </c>
      <c r="D159" s="687" t="str">
        <f>IF(D158="","",D$131*D158*24)</f>
        <v/>
      </c>
      <c r="E159" s="687" t="str">
        <f t="shared" ref="E159:O159" si="120">IF(E158="","",E$131*E158*24)</f>
        <v/>
      </c>
      <c r="F159" s="687" t="str">
        <f t="shared" si="120"/>
        <v/>
      </c>
      <c r="G159" s="687" t="str">
        <f t="shared" si="120"/>
        <v/>
      </c>
      <c r="H159" s="687" t="str">
        <f t="shared" si="120"/>
        <v/>
      </c>
      <c r="I159" s="687" t="str">
        <f t="shared" si="120"/>
        <v/>
      </c>
      <c r="J159" s="687" t="str">
        <f t="shared" si="120"/>
        <v/>
      </c>
      <c r="K159" s="687" t="str">
        <f t="shared" si="120"/>
        <v/>
      </c>
      <c r="L159" s="687" t="str">
        <f t="shared" si="120"/>
        <v/>
      </c>
      <c r="M159" s="687" t="str">
        <f t="shared" si="120"/>
        <v/>
      </c>
      <c r="N159" s="687" t="str">
        <f t="shared" si="120"/>
        <v/>
      </c>
      <c r="O159" s="688" t="str">
        <f t="shared" si="120"/>
        <v/>
      </c>
      <c r="P159" s="511" t="str">
        <f t="shared" si="110"/>
        <v>-</v>
      </c>
      <c r="Q159" s="6" t="str">
        <f t="shared" si="117"/>
        <v>-</v>
      </c>
    </row>
    <row r="160" spans="1:17" ht="15.75" customHeight="1" x14ac:dyDescent="0.25">
      <c r="A160" s="870"/>
      <c r="B160" s="979" t="s">
        <v>16</v>
      </c>
      <c r="C160" s="833"/>
      <c r="D160" s="765" t="str">
        <f>IF(SUM(D132,D134,D136,D138,D140,D142,D144,D146,D148,D150,D152,D154,D156,D158)=0,"",SUM(D132,D134,D136,D138,D140,D142,D144,D146,D148,D150,D152,D154,D156,D158))</f>
        <v/>
      </c>
      <c r="E160" s="765" t="str">
        <f t="shared" ref="E160:O160" si="121">IF(SUM(E132,E134,E136,E138,E140,E142,E144,E146,E148,E150,E152,E154,E156,E158)=0,"",SUM(E132,E134,E136,E138,E140,E142,E144,E146,E148,E150,E152,E154,E156,E158))</f>
        <v/>
      </c>
      <c r="F160" s="765" t="str">
        <f t="shared" si="121"/>
        <v/>
      </c>
      <c r="G160" s="765" t="str">
        <f t="shared" si="121"/>
        <v/>
      </c>
      <c r="H160" s="765" t="str">
        <f t="shared" si="121"/>
        <v/>
      </c>
      <c r="I160" s="765" t="str">
        <f t="shared" si="121"/>
        <v/>
      </c>
      <c r="J160" s="765" t="str">
        <f t="shared" si="121"/>
        <v/>
      </c>
      <c r="K160" s="765" t="str">
        <f t="shared" si="121"/>
        <v/>
      </c>
      <c r="L160" s="765" t="str">
        <f t="shared" si="121"/>
        <v/>
      </c>
      <c r="M160" s="765" t="str">
        <f t="shared" si="121"/>
        <v/>
      </c>
      <c r="N160" s="765" t="str">
        <f t="shared" si="121"/>
        <v/>
      </c>
      <c r="O160" s="766" t="str">
        <f t="shared" si="121"/>
        <v/>
      </c>
      <c r="P160" s="512" t="str">
        <f t="shared" si="110"/>
        <v>-</v>
      </c>
      <c r="Q160" s="4" t="str">
        <f>IF(SUM(D160:O160)=0,"-",SUM(D160:O160))</f>
        <v>-</v>
      </c>
    </row>
    <row r="161" spans="1:17" ht="15.75" customHeight="1" thickBot="1" x14ac:dyDescent="0.3">
      <c r="A161" s="871"/>
      <c r="B161" s="980" t="s">
        <v>17</v>
      </c>
      <c r="C161" s="835"/>
      <c r="D161" s="767" t="str">
        <f>IF(D160="","",SUM(D133,D135,D137,D139,D141,D143,D145,D147,D149,D151,D153,D155,D157,D159))</f>
        <v/>
      </c>
      <c r="E161" s="767" t="str">
        <f t="shared" ref="E161" si="122">IF(E160="","",SUM(E133,E135,E137,E139,E141,E143,E145,E147,E149,E151,E153,E155,E157,E159))</f>
        <v/>
      </c>
      <c r="F161" s="768" t="str">
        <f t="shared" ref="F161" si="123">IF(F160="","",SUM(F133,F135,F137,F139,F141,F143,F145,F147,F149,F151,F153,F155,F157,F159))</f>
        <v/>
      </c>
      <c r="G161" s="767" t="str">
        <f t="shared" ref="G161" si="124">IF(G160="","",SUM(G133,G135,G137,G139,G141,G143,G145,G147,G149,G151,G153,G155,G157,G159))</f>
        <v/>
      </c>
      <c r="H161" s="767" t="str">
        <f t="shared" ref="H161" si="125">IF(H160="","",SUM(H133,H135,H137,H139,H141,H143,H145,H147,H149,H151,H153,H155,H157,H159))</f>
        <v/>
      </c>
      <c r="I161" s="767" t="str">
        <f t="shared" ref="I161" si="126">IF(I160="","",SUM(I133,I135,I137,I139,I141,I143,I145,I147,I149,I151,I153,I155,I157,I159))</f>
        <v/>
      </c>
      <c r="J161" s="767" t="str">
        <f t="shared" ref="J161" si="127">IF(J160="","",SUM(J133,J135,J137,J139,J141,J143,J145,J147,J149,J151,J153,J155,J157,J159))</f>
        <v/>
      </c>
      <c r="K161" s="767" t="str">
        <f t="shared" ref="K161" si="128">IF(K160="","",SUM(K133,K135,K137,K139,K141,K143,K145,K147,K149,K151,K153,K155,K157,K159))</f>
        <v/>
      </c>
      <c r="L161" s="767" t="str">
        <f t="shared" ref="L161" si="129">IF(L160="","",SUM(L133,L135,L137,L139,L141,L143,L145,L147,L149,L151,L153,L155,L157,L159))</f>
        <v/>
      </c>
      <c r="M161" s="767" t="str">
        <f t="shared" ref="M161" si="130">IF(M160="","",SUM(M133,M135,M137,M139,M141,M143,M145,M147,M149,M151,M153,M155,M157,M159))</f>
        <v/>
      </c>
      <c r="N161" s="767" t="str">
        <f t="shared" ref="N161" si="131">IF(N160="","",SUM(N133,N135,N137,N139,N141,N143,N145,N147,N149,N151,N153,N155,N157,N159))</f>
        <v/>
      </c>
      <c r="O161" s="769" t="str">
        <f t="shared" ref="O161" si="132">IF(O160="","",SUM(O133,O135,O137,O139,O141,O143,O145,O147,O149,O151,O153,O155,O157,O159))</f>
        <v/>
      </c>
      <c r="P161" s="525" t="str">
        <f t="shared" si="110"/>
        <v>-</v>
      </c>
      <c r="Q161" s="7" t="str">
        <f>IF(SUM(D161:O161)=0,"-",SUM(D161:O161))</f>
        <v>-</v>
      </c>
    </row>
    <row r="162" spans="1:17" ht="15.75" customHeight="1" x14ac:dyDescent="0.25">
      <c r="A162" s="866" t="s">
        <v>111</v>
      </c>
      <c r="B162" s="878" t="s">
        <v>3</v>
      </c>
      <c r="C162" s="879"/>
      <c r="D162" s="547" t="str">
        <f>IF('2025DATA'!CJ3=0,"",'2025DATA'!CJ3)</f>
        <v/>
      </c>
      <c r="E162" s="547" t="str">
        <f>IF('2025DATA'!CK3=0,"",'2025DATA'!CK3)</f>
        <v/>
      </c>
      <c r="F162" s="547" t="str">
        <f>IF('2025DATA'!CL3=0,"",'2025DATA'!CL3)</f>
        <v/>
      </c>
      <c r="G162" s="547" t="str">
        <f>IF('2025DATA'!CM3=0,"",'2025DATA'!CM3)</f>
        <v/>
      </c>
      <c r="H162" s="547" t="str">
        <f>IF('2025DATA'!CN3=0,"",'2025DATA'!CN3)</f>
        <v/>
      </c>
      <c r="I162" s="547" t="str">
        <f>IF('2025DATA'!CO3=0,"",'2025DATA'!CO3)</f>
        <v/>
      </c>
      <c r="J162" s="547" t="str">
        <f>IF('2025DATA'!CP3=0,"",'2025DATA'!CP3)</f>
        <v/>
      </c>
      <c r="K162" s="547" t="str">
        <f>IF('2025DATA'!CQ3=0,"",'2025DATA'!CQ3)</f>
        <v/>
      </c>
      <c r="L162" s="547" t="str">
        <f>IF('2025DATA'!CR3=0,"",'2025DATA'!CR3)</f>
        <v/>
      </c>
      <c r="M162" s="547" t="str">
        <f>IF('2025DATA'!CS3=0,"",'2025DATA'!CS3)</f>
        <v/>
      </c>
      <c r="N162" s="547" t="str">
        <f>IF('2025DATA'!CT3=0,"",'2025DATA'!CT3)</f>
        <v/>
      </c>
      <c r="O162" s="548" t="str">
        <f>IF('2025DATA'!CU3=0,"",'2025DATA'!CU3)</f>
        <v/>
      </c>
      <c r="P162" s="880"/>
      <c r="Q162" s="881"/>
    </row>
    <row r="163" spans="1:17" ht="15.75" customHeight="1" x14ac:dyDescent="0.25">
      <c r="A163" s="867"/>
      <c r="B163" s="823" t="s">
        <v>7</v>
      </c>
      <c r="C163" s="16" t="s">
        <v>21</v>
      </c>
      <c r="D163" s="549"/>
      <c r="E163" s="549"/>
      <c r="F163" s="549"/>
      <c r="G163" s="549"/>
      <c r="H163" s="549"/>
      <c r="I163" s="549"/>
      <c r="J163" s="549"/>
      <c r="K163" s="549"/>
      <c r="L163" s="549"/>
      <c r="M163" s="549"/>
      <c r="N163" s="549"/>
      <c r="O163" s="550"/>
      <c r="P163" s="512" t="str">
        <f t="shared" ref="P163:P172" si="133">IF(Q163="-","-",Q163/12)</f>
        <v>-</v>
      </c>
      <c r="Q163" s="4" t="str">
        <f t="shared" ref="Q163:Q182" si="134">IF(SUM(D163:O163)=0,"-",SUM(D163:O163))</f>
        <v>-</v>
      </c>
    </row>
    <row r="164" spans="1:17" ht="15.75" customHeight="1" x14ac:dyDescent="0.25">
      <c r="A164" s="867"/>
      <c r="B164" s="824"/>
      <c r="C164" s="17" t="s">
        <v>22</v>
      </c>
      <c r="D164" s="683" t="str">
        <f>IF(D162="","",D$162*D163*24)</f>
        <v/>
      </c>
      <c r="E164" s="683" t="str">
        <f t="shared" ref="E164:O164" si="135">IF(E162="","",E$162*E163*24)</f>
        <v/>
      </c>
      <c r="F164" s="683" t="str">
        <f t="shared" si="135"/>
        <v/>
      </c>
      <c r="G164" s="683" t="str">
        <f t="shared" si="135"/>
        <v/>
      </c>
      <c r="H164" s="683" t="str">
        <f t="shared" si="135"/>
        <v/>
      </c>
      <c r="I164" s="683" t="str">
        <f t="shared" si="135"/>
        <v/>
      </c>
      <c r="J164" s="683" t="str">
        <f t="shared" si="135"/>
        <v/>
      </c>
      <c r="K164" s="683" t="str">
        <f t="shared" si="135"/>
        <v/>
      </c>
      <c r="L164" s="683" t="str">
        <f t="shared" si="135"/>
        <v/>
      </c>
      <c r="M164" s="683" t="str">
        <f t="shared" si="135"/>
        <v/>
      </c>
      <c r="N164" s="683" t="str">
        <f t="shared" si="135"/>
        <v/>
      </c>
      <c r="O164" s="686" t="str">
        <f t="shared" si="135"/>
        <v/>
      </c>
      <c r="P164" s="511" t="str">
        <f t="shared" si="133"/>
        <v>-</v>
      </c>
      <c r="Q164" s="6" t="str">
        <f t="shared" si="134"/>
        <v>-</v>
      </c>
    </row>
    <row r="165" spans="1:17" ht="15.75" customHeight="1" x14ac:dyDescent="0.25">
      <c r="A165" s="867"/>
      <c r="B165" s="823" t="s">
        <v>8</v>
      </c>
      <c r="C165" s="18" t="s">
        <v>21</v>
      </c>
      <c r="D165" s="549"/>
      <c r="E165" s="549"/>
      <c r="F165" s="549"/>
      <c r="G165" s="549"/>
      <c r="H165" s="549"/>
      <c r="I165" s="549"/>
      <c r="J165" s="549"/>
      <c r="K165" s="549"/>
      <c r="L165" s="549"/>
      <c r="M165" s="549"/>
      <c r="N165" s="549"/>
      <c r="O165" s="550"/>
      <c r="P165" s="512" t="str">
        <f t="shared" si="133"/>
        <v>-</v>
      </c>
      <c r="Q165" s="4" t="str">
        <f t="shared" si="134"/>
        <v>-</v>
      </c>
    </row>
    <row r="166" spans="1:17" ht="15.75" customHeight="1" x14ac:dyDescent="0.25">
      <c r="A166" s="867"/>
      <c r="B166" s="824"/>
      <c r="C166" s="18" t="s">
        <v>22</v>
      </c>
      <c r="D166" s="683" t="str">
        <f>IF(D165=0,"",(D162+IF(D$4="CA",DATA!$B$22,DATA!$B$23))*D165*24)</f>
        <v/>
      </c>
      <c r="E166" s="683" t="str">
        <f>IF(E165=0,"",(E162+IF(E$4="CA",DATA!$B$22,DATA!$B$23))*E165*24)</f>
        <v/>
      </c>
      <c r="F166" s="683" t="str">
        <f>IF(F165=0,"",(F162+IF(F$4="CA",DATA!$B$22,DATA!$B$23))*F165*24)</f>
        <v/>
      </c>
      <c r="G166" s="683" t="str">
        <f>IF(G165=0,"",(G162+IF(G$4="CA",DATA!$B$22,DATA!$B$23))*G165*24)</f>
        <v/>
      </c>
      <c r="H166" s="683" t="str">
        <f>IF(H165=0,"",(H162+IF(H$4="CA",DATA!$B$22,DATA!$B$23))*H165*24)</f>
        <v/>
      </c>
      <c r="I166" s="683" t="str">
        <f>IF(I165=0,"",(I162+IF(I$4="CA",DATA!$B$22,DATA!$B$23))*I165*24)</f>
        <v/>
      </c>
      <c r="J166" s="683" t="str">
        <f>IF(J165=0,"",(J162+IF(J$4="CA",DATA!$B$22,DATA!$B$23))*J165*24)</f>
        <v/>
      </c>
      <c r="K166" s="683" t="str">
        <f>IF(K165=0,"",(K162+IF(K$4="CA",DATA!$B$22,DATA!$B$23))*K165*24)</f>
        <v/>
      </c>
      <c r="L166" s="683" t="str">
        <f>IF(L165=0,"",(L162+IF(L$4="CA",DATA!$B$22,DATA!$B$23))*L165*24)</f>
        <v/>
      </c>
      <c r="M166" s="683" t="str">
        <f>IF(M165=0,"",(M162+IF(M$4="CA",DATA!$B$22,DATA!$B$23))*M165*24)</f>
        <v/>
      </c>
      <c r="N166" s="683" t="str">
        <f>IF(N165=0,"",(N162+IF(N$4="CA",DATA!$B$22,DATA!$B$23))*N165*24)</f>
        <v/>
      </c>
      <c r="O166" s="686" t="str">
        <f>IF(O165=0,"",(O162+IF(O$4="CA",DATA!$B$22,DATA!$B$23))*O165*24)</f>
        <v/>
      </c>
      <c r="P166" s="511" t="str">
        <f t="shared" si="133"/>
        <v>-</v>
      </c>
      <c r="Q166" s="6" t="str">
        <f t="shared" si="134"/>
        <v>-</v>
      </c>
    </row>
    <row r="167" spans="1:17" ht="15.75" customHeight="1" x14ac:dyDescent="0.25">
      <c r="A167" s="867"/>
      <c r="B167" s="823" t="s">
        <v>9</v>
      </c>
      <c r="C167" s="16" t="s">
        <v>21</v>
      </c>
      <c r="D167" s="549"/>
      <c r="E167" s="549"/>
      <c r="F167" s="549"/>
      <c r="G167" s="549"/>
      <c r="H167" s="549"/>
      <c r="I167" s="549"/>
      <c r="J167" s="549"/>
      <c r="K167" s="549"/>
      <c r="L167" s="549"/>
      <c r="M167" s="549"/>
      <c r="N167" s="549"/>
      <c r="O167" s="550"/>
      <c r="P167" s="512" t="str">
        <f t="shared" si="133"/>
        <v>-</v>
      </c>
      <c r="Q167" s="4" t="str">
        <f t="shared" si="134"/>
        <v>-</v>
      </c>
    </row>
    <row r="168" spans="1:17" ht="15.75" customHeight="1" x14ac:dyDescent="0.25">
      <c r="A168" s="867"/>
      <c r="B168" s="824"/>
      <c r="C168" s="17" t="s">
        <v>22</v>
      </c>
      <c r="D168" s="683" t="str">
        <f>IF(D166="","",D$162*D167*24)</f>
        <v/>
      </c>
      <c r="E168" s="683" t="str">
        <f t="shared" ref="E168:O168" si="136">IF(E166="","",E$162*E167*24)</f>
        <v/>
      </c>
      <c r="F168" s="683" t="str">
        <f t="shared" si="136"/>
        <v/>
      </c>
      <c r="G168" s="683" t="str">
        <f t="shared" si="136"/>
        <v/>
      </c>
      <c r="H168" s="683" t="str">
        <f t="shared" si="136"/>
        <v/>
      </c>
      <c r="I168" s="683" t="str">
        <f t="shared" si="136"/>
        <v/>
      </c>
      <c r="J168" s="683" t="str">
        <f t="shared" si="136"/>
        <v/>
      </c>
      <c r="K168" s="683" t="str">
        <f t="shared" si="136"/>
        <v/>
      </c>
      <c r="L168" s="683" t="str">
        <f t="shared" si="136"/>
        <v/>
      </c>
      <c r="M168" s="683" t="str">
        <f t="shared" si="136"/>
        <v/>
      </c>
      <c r="N168" s="683" t="str">
        <f t="shared" si="136"/>
        <v/>
      </c>
      <c r="O168" s="686" t="str">
        <f t="shared" si="136"/>
        <v/>
      </c>
      <c r="P168" s="511" t="str">
        <f t="shared" si="133"/>
        <v>-</v>
      </c>
      <c r="Q168" s="6" t="str">
        <f t="shared" si="134"/>
        <v>-</v>
      </c>
    </row>
    <row r="169" spans="1:17" ht="15.75" customHeight="1" x14ac:dyDescent="0.25">
      <c r="A169" s="867"/>
      <c r="B169" s="823" t="s">
        <v>10</v>
      </c>
      <c r="C169" s="18" t="s">
        <v>21</v>
      </c>
      <c r="D169" s="549"/>
      <c r="E169" s="549"/>
      <c r="F169" s="549"/>
      <c r="G169" s="549"/>
      <c r="H169" s="549"/>
      <c r="I169" s="549"/>
      <c r="J169" s="549"/>
      <c r="K169" s="549"/>
      <c r="L169" s="549"/>
      <c r="M169" s="549"/>
      <c r="N169" s="549"/>
      <c r="O169" s="550"/>
      <c r="P169" s="512" t="str">
        <f t="shared" si="133"/>
        <v>-</v>
      </c>
      <c r="Q169" s="4" t="str">
        <f t="shared" si="134"/>
        <v>-</v>
      </c>
    </row>
    <row r="170" spans="1:17" ht="15.75" customHeight="1" x14ac:dyDescent="0.25">
      <c r="A170" s="867"/>
      <c r="B170" s="824"/>
      <c r="C170" s="18" t="s">
        <v>22</v>
      </c>
      <c r="D170" s="683" t="str">
        <f>IF(D168="","",D$162*D169*24)</f>
        <v/>
      </c>
      <c r="E170" s="683" t="str">
        <f t="shared" ref="E170:O170" si="137">IF(E168="","",E$162*E169*24)</f>
        <v/>
      </c>
      <c r="F170" s="683" t="str">
        <f t="shared" si="137"/>
        <v/>
      </c>
      <c r="G170" s="683" t="str">
        <f t="shared" si="137"/>
        <v/>
      </c>
      <c r="H170" s="683" t="str">
        <f t="shared" si="137"/>
        <v/>
      </c>
      <c r="I170" s="683" t="str">
        <f t="shared" si="137"/>
        <v/>
      </c>
      <c r="J170" s="683" t="str">
        <f t="shared" si="137"/>
        <v/>
      </c>
      <c r="K170" s="683" t="str">
        <f t="shared" si="137"/>
        <v/>
      </c>
      <c r="L170" s="683" t="str">
        <f t="shared" si="137"/>
        <v/>
      </c>
      <c r="M170" s="683" t="str">
        <f t="shared" si="137"/>
        <v/>
      </c>
      <c r="N170" s="683" t="str">
        <f t="shared" si="137"/>
        <v/>
      </c>
      <c r="O170" s="686" t="str">
        <f t="shared" si="137"/>
        <v/>
      </c>
      <c r="P170" s="511" t="str">
        <f t="shared" si="133"/>
        <v>-</v>
      </c>
      <c r="Q170" s="6" t="str">
        <f t="shared" si="134"/>
        <v>-</v>
      </c>
    </row>
    <row r="171" spans="1:17" ht="15.75" customHeight="1" x14ac:dyDescent="0.25">
      <c r="A171" s="867"/>
      <c r="B171" s="823" t="s">
        <v>11</v>
      </c>
      <c r="C171" s="16" t="s">
        <v>21</v>
      </c>
      <c r="D171" s="549"/>
      <c r="E171" s="549"/>
      <c r="F171" s="549"/>
      <c r="G171" s="549"/>
      <c r="H171" s="549"/>
      <c r="I171" s="549"/>
      <c r="J171" s="549"/>
      <c r="K171" s="549"/>
      <c r="L171" s="549"/>
      <c r="M171" s="549"/>
      <c r="N171" s="549"/>
      <c r="O171" s="550"/>
      <c r="P171" s="512" t="str">
        <f t="shared" si="133"/>
        <v>-</v>
      </c>
      <c r="Q171" s="4" t="str">
        <f t="shared" si="134"/>
        <v>-</v>
      </c>
    </row>
    <row r="172" spans="1:17" ht="15.75" customHeight="1" x14ac:dyDescent="0.25">
      <c r="A172" s="867"/>
      <c r="B172" s="824"/>
      <c r="C172" s="17" t="s">
        <v>22</v>
      </c>
      <c r="D172" s="683" t="str">
        <f>IF(D170="","",D$162*D171*24)</f>
        <v/>
      </c>
      <c r="E172" s="683" t="str">
        <f t="shared" ref="E172:O172" si="138">IF(E170="","",E$162*E171*24)</f>
        <v/>
      </c>
      <c r="F172" s="683" t="str">
        <f t="shared" si="138"/>
        <v/>
      </c>
      <c r="G172" s="683" t="str">
        <f t="shared" si="138"/>
        <v/>
      </c>
      <c r="H172" s="683" t="str">
        <f t="shared" si="138"/>
        <v/>
      </c>
      <c r="I172" s="683" t="str">
        <f t="shared" si="138"/>
        <v/>
      </c>
      <c r="J172" s="683" t="str">
        <f t="shared" si="138"/>
        <v/>
      </c>
      <c r="K172" s="683" t="str">
        <f t="shared" si="138"/>
        <v/>
      </c>
      <c r="L172" s="683" t="str">
        <f t="shared" si="138"/>
        <v/>
      </c>
      <c r="M172" s="683" t="str">
        <f t="shared" si="138"/>
        <v/>
      </c>
      <c r="N172" s="683" t="str">
        <f t="shared" si="138"/>
        <v/>
      </c>
      <c r="O172" s="686" t="str">
        <f t="shared" si="138"/>
        <v/>
      </c>
      <c r="P172" s="511" t="str">
        <f t="shared" si="133"/>
        <v>-</v>
      </c>
      <c r="Q172" s="6" t="str">
        <f t="shared" si="134"/>
        <v>-</v>
      </c>
    </row>
    <row r="173" spans="1:17" ht="15.75" customHeight="1" x14ac:dyDescent="0.25">
      <c r="A173" s="867"/>
      <c r="B173" s="823" t="s">
        <v>12</v>
      </c>
      <c r="C173" s="18" t="s">
        <v>21</v>
      </c>
      <c r="D173" s="549"/>
      <c r="E173" s="549"/>
      <c r="F173" s="549"/>
      <c r="G173" s="549"/>
      <c r="H173" s="549"/>
      <c r="I173" s="549"/>
      <c r="J173" s="549"/>
      <c r="K173" s="549"/>
      <c r="L173" s="549"/>
      <c r="M173" s="549"/>
      <c r="N173" s="549"/>
      <c r="O173" s="550"/>
      <c r="P173" s="512" t="str">
        <f>IF(Q173="-","-",Q173/12)</f>
        <v>-</v>
      </c>
      <c r="Q173" s="4" t="str">
        <f t="shared" si="134"/>
        <v>-</v>
      </c>
    </row>
    <row r="174" spans="1:17" ht="15.75" customHeight="1" x14ac:dyDescent="0.25">
      <c r="A174" s="867"/>
      <c r="B174" s="824"/>
      <c r="C174" s="18" t="s">
        <v>22</v>
      </c>
      <c r="D174" s="683" t="str">
        <f>IF(D172="","",D$162*D173*24)</f>
        <v/>
      </c>
      <c r="E174" s="683" t="str">
        <f t="shared" ref="E174:O174" si="139">IF(E172="","",E$162*E173*24)</f>
        <v/>
      </c>
      <c r="F174" s="683" t="str">
        <f t="shared" si="139"/>
        <v/>
      </c>
      <c r="G174" s="683" t="str">
        <f t="shared" si="139"/>
        <v/>
      </c>
      <c r="H174" s="683" t="str">
        <f t="shared" si="139"/>
        <v/>
      </c>
      <c r="I174" s="683" t="str">
        <f t="shared" si="139"/>
        <v/>
      </c>
      <c r="J174" s="683" t="str">
        <f t="shared" si="139"/>
        <v/>
      </c>
      <c r="K174" s="683" t="str">
        <f t="shared" si="139"/>
        <v/>
      </c>
      <c r="L174" s="683" t="str">
        <f t="shared" si="139"/>
        <v/>
      </c>
      <c r="M174" s="683" t="str">
        <f t="shared" si="139"/>
        <v/>
      </c>
      <c r="N174" s="683" t="str">
        <f t="shared" si="139"/>
        <v/>
      </c>
      <c r="O174" s="686" t="str">
        <f t="shared" si="139"/>
        <v/>
      </c>
      <c r="P174" s="511" t="str">
        <f t="shared" ref="P174:P220" si="140">IF(Q174="-","-",Q174/12)</f>
        <v>-</v>
      </c>
      <c r="Q174" s="6" t="str">
        <f t="shared" si="134"/>
        <v>-</v>
      </c>
    </row>
    <row r="175" spans="1:17" ht="15.75" customHeight="1" x14ac:dyDescent="0.25">
      <c r="A175" s="867"/>
      <c r="B175" s="823" t="s">
        <v>15</v>
      </c>
      <c r="C175" s="16" t="s">
        <v>21</v>
      </c>
      <c r="D175" s="549"/>
      <c r="E175" s="549"/>
      <c r="F175" s="549"/>
      <c r="G175" s="549"/>
      <c r="H175" s="549"/>
      <c r="I175" s="549"/>
      <c r="J175" s="549"/>
      <c r="K175" s="549"/>
      <c r="L175" s="549"/>
      <c r="M175" s="549"/>
      <c r="N175" s="549"/>
      <c r="O175" s="550"/>
      <c r="P175" s="512" t="str">
        <f t="shared" si="140"/>
        <v>-</v>
      </c>
      <c r="Q175" s="4" t="str">
        <f t="shared" si="134"/>
        <v>-</v>
      </c>
    </row>
    <row r="176" spans="1:17" ht="15.75" customHeight="1" x14ac:dyDescent="0.25">
      <c r="A176" s="867"/>
      <c r="B176" s="824"/>
      <c r="C176" s="17" t="s">
        <v>22</v>
      </c>
      <c r="D176" s="683" t="str">
        <f>IF(D174="","",D$162*D175*24)</f>
        <v/>
      </c>
      <c r="E176" s="683" t="str">
        <f t="shared" ref="E176:O176" si="141">IF(E174="","",E$162*E175*24)</f>
        <v/>
      </c>
      <c r="F176" s="683" t="str">
        <f t="shared" si="141"/>
        <v/>
      </c>
      <c r="G176" s="683" t="str">
        <f t="shared" si="141"/>
        <v/>
      </c>
      <c r="H176" s="683" t="str">
        <f t="shared" si="141"/>
        <v/>
      </c>
      <c r="I176" s="683" t="str">
        <f t="shared" si="141"/>
        <v/>
      </c>
      <c r="J176" s="683" t="str">
        <f t="shared" si="141"/>
        <v/>
      </c>
      <c r="K176" s="683" t="str">
        <f t="shared" si="141"/>
        <v/>
      </c>
      <c r="L176" s="683" t="str">
        <f t="shared" si="141"/>
        <v/>
      </c>
      <c r="M176" s="683" t="str">
        <f t="shared" si="141"/>
        <v/>
      </c>
      <c r="N176" s="683" t="str">
        <f t="shared" si="141"/>
        <v/>
      </c>
      <c r="O176" s="686" t="str">
        <f t="shared" si="141"/>
        <v/>
      </c>
      <c r="P176" s="511" t="str">
        <f t="shared" si="140"/>
        <v>-</v>
      </c>
      <c r="Q176" s="6" t="str">
        <f t="shared" si="134"/>
        <v>-</v>
      </c>
    </row>
    <row r="177" spans="1:17" ht="15.75" customHeight="1" x14ac:dyDescent="0.25">
      <c r="A177" s="867"/>
      <c r="B177" s="823" t="s">
        <v>13</v>
      </c>
      <c r="C177" s="18" t="s">
        <v>21</v>
      </c>
      <c r="D177" s="549"/>
      <c r="E177" s="549"/>
      <c r="F177" s="549"/>
      <c r="G177" s="549"/>
      <c r="H177" s="549"/>
      <c r="I177" s="549"/>
      <c r="J177" s="549"/>
      <c r="K177" s="549"/>
      <c r="L177" s="549"/>
      <c r="M177" s="549"/>
      <c r="N177" s="549"/>
      <c r="O177" s="550"/>
      <c r="P177" s="512" t="str">
        <f t="shared" si="140"/>
        <v>-</v>
      </c>
      <c r="Q177" s="4" t="str">
        <f t="shared" si="134"/>
        <v>-</v>
      </c>
    </row>
    <row r="178" spans="1:17" ht="15.75" customHeight="1" x14ac:dyDescent="0.25">
      <c r="A178" s="867"/>
      <c r="B178" s="824"/>
      <c r="C178" s="18" t="s">
        <v>22</v>
      </c>
      <c r="D178" s="683" t="str">
        <f>IF(D176="","",D$162*D177*24)</f>
        <v/>
      </c>
      <c r="E178" s="683" t="str">
        <f t="shared" ref="E178:O178" si="142">IF(E176="","",E$162*E177*24)</f>
        <v/>
      </c>
      <c r="F178" s="683" t="str">
        <f t="shared" si="142"/>
        <v/>
      </c>
      <c r="G178" s="683" t="str">
        <f t="shared" si="142"/>
        <v/>
      </c>
      <c r="H178" s="683" t="str">
        <f t="shared" si="142"/>
        <v/>
      </c>
      <c r="I178" s="683" t="str">
        <f t="shared" si="142"/>
        <v/>
      </c>
      <c r="J178" s="683" t="str">
        <f t="shared" si="142"/>
        <v/>
      </c>
      <c r="K178" s="683" t="str">
        <f t="shared" si="142"/>
        <v/>
      </c>
      <c r="L178" s="683" t="str">
        <f t="shared" si="142"/>
        <v/>
      </c>
      <c r="M178" s="683" t="str">
        <f t="shared" si="142"/>
        <v/>
      </c>
      <c r="N178" s="683" t="str">
        <f t="shared" si="142"/>
        <v/>
      </c>
      <c r="O178" s="686" t="str">
        <f t="shared" si="142"/>
        <v/>
      </c>
      <c r="P178" s="511" t="str">
        <f t="shared" si="140"/>
        <v>-</v>
      </c>
      <c r="Q178" s="6" t="str">
        <f t="shared" si="134"/>
        <v>-</v>
      </c>
    </row>
    <row r="179" spans="1:17" ht="15.75" customHeight="1" x14ac:dyDescent="0.25">
      <c r="A179" s="867"/>
      <c r="B179" s="823" t="s">
        <v>20</v>
      </c>
      <c r="C179" s="16" t="s">
        <v>21</v>
      </c>
      <c r="D179" s="549"/>
      <c r="E179" s="549"/>
      <c r="F179" s="549"/>
      <c r="G179" s="549"/>
      <c r="H179" s="549"/>
      <c r="I179" s="549"/>
      <c r="J179" s="549"/>
      <c r="K179" s="549"/>
      <c r="L179" s="549"/>
      <c r="M179" s="549"/>
      <c r="N179" s="549"/>
      <c r="O179" s="550"/>
      <c r="P179" s="512" t="str">
        <f t="shared" si="140"/>
        <v>-</v>
      </c>
      <c r="Q179" s="4" t="str">
        <f t="shared" si="134"/>
        <v>-</v>
      </c>
    </row>
    <row r="180" spans="1:17" ht="15.75" customHeight="1" x14ac:dyDescent="0.25">
      <c r="A180" s="867"/>
      <c r="B180" s="824"/>
      <c r="C180" s="17" t="s">
        <v>22</v>
      </c>
      <c r="D180" s="683" t="str">
        <f>IF(D178="","",D$162*D179*24)</f>
        <v/>
      </c>
      <c r="E180" s="683" t="str">
        <f t="shared" ref="E180:O180" si="143">IF(E178="","",E$162*E179*24)</f>
        <v/>
      </c>
      <c r="F180" s="683" t="str">
        <f t="shared" si="143"/>
        <v/>
      </c>
      <c r="G180" s="683" t="str">
        <f t="shared" si="143"/>
        <v/>
      </c>
      <c r="H180" s="683" t="str">
        <f t="shared" si="143"/>
        <v/>
      </c>
      <c r="I180" s="683" t="str">
        <f t="shared" si="143"/>
        <v/>
      </c>
      <c r="J180" s="683" t="str">
        <f t="shared" si="143"/>
        <v/>
      </c>
      <c r="K180" s="683" t="str">
        <f t="shared" si="143"/>
        <v/>
      </c>
      <c r="L180" s="683" t="str">
        <f t="shared" si="143"/>
        <v/>
      </c>
      <c r="M180" s="683" t="str">
        <f t="shared" si="143"/>
        <v/>
      </c>
      <c r="N180" s="683" t="str">
        <f t="shared" si="143"/>
        <v/>
      </c>
      <c r="O180" s="686" t="str">
        <f t="shared" si="143"/>
        <v/>
      </c>
      <c r="P180" s="511" t="str">
        <f t="shared" si="140"/>
        <v>-</v>
      </c>
      <c r="Q180" s="6" t="str">
        <f t="shared" si="134"/>
        <v>-</v>
      </c>
    </row>
    <row r="181" spans="1:17" ht="15.75" customHeight="1" x14ac:dyDescent="0.25">
      <c r="A181" s="867"/>
      <c r="B181" s="823" t="s">
        <v>1</v>
      </c>
      <c r="C181" s="18" t="s">
        <v>21</v>
      </c>
      <c r="D181" s="549"/>
      <c r="E181" s="549"/>
      <c r="F181" s="549"/>
      <c r="G181" s="549"/>
      <c r="H181" s="549"/>
      <c r="I181" s="549"/>
      <c r="J181" s="549"/>
      <c r="K181" s="549"/>
      <c r="L181" s="549"/>
      <c r="M181" s="549"/>
      <c r="N181" s="549"/>
      <c r="O181" s="550"/>
      <c r="P181" s="512" t="str">
        <f t="shared" si="140"/>
        <v>-</v>
      </c>
      <c r="Q181" s="4" t="str">
        <f t="shared" si="134"/>
        <v>-</v>
      </c>
    </row>
    <row r="182" spans="1:17" ht="15.75" customHeight="1" x14ac:dyDescent="0.25">
      <c r="A182" s="867"/>
      <c r="B182" s="824"/>
      <c r="C182" s="18" t="s">
        <v>22</v>
      </c>
      <c r="D182" s="683" t="str">
        <f>IF(D180="","",D$162*D181*24)</f>
        <v/>
      </c>
      <c r="E182" s="683" t="str">
        <f t="shared" ref="E182:O182" si="144">IF(E180="","",E$162*E181*24)</f>
        <v/>
      </c>
      <c r="F182" s="683" t="str">
        <f t="shared" si="144"/>
        <v/>
      </c>
      <c r="G182" s="683" t="str">
        <f t="shared" si="144"/>
        <v/>
      </c>
      <c r="H182" s="683" t="str">
        <f t="shared" si="144"/>
        <v/>
      </c>
      <c r="I182" s="683" t="str">
        <f t="shared" si="144"/>
        <v/>
      </c>
      <c r="J182" s="683" t="str">
        <f t="shared" si="144"/>
        <v/>
      </c>
      <c r="K182" s="683" t="str">
        <f t="shared" si="144"/>
        <v/>
      </c>
      <c r="L182" s="683" t="str">
        <f t="shared" si="144"/>
        <v/>
      </c>
      <c r="M182" s="683" t="str">
        <f t="shared" si="144"/>
        <v/>
      </c>
      <c r="N182" s="683" t="str">
        <f t="shared" si="144"/>
        <v/>
      </c>
      <c r="O182" s="686" t="str">
        <f t="shared" si="144"/>
        <v/>
      </c>
      <c r="P182" s="511" t="str">
        <f t="shared" si="140"/>
        <v>-</v>
      </c>
      <c r="Q182" s="6" t="str">
        <f t="shared" si="134"/>
        <v>-</v>
      </c>
    </row>
    <row r="183" spans="1:17" ht="15.75" customHeight="1" x14ac:dyDescent="0.25">
      <c r="A183" s="867"/>
      <c r="B183" s="823" t="str">
        <f>IF($B$28="OTHER (RENAME)","OTHER",$B$28)</f>
        <v>OTHER</v>
      </c>
      <c r="C183" s="19" t="s">
        <v>21</v>
      </c>
      <c r="D183" s="549"/>
      <c r="E183" s="549"/>
      <c r="F183" s="549"/>
      <c r="G183" s="549"/>
      <c r="H183" s="549"/>
      <c r="I183" s="549"/>
      <c r="J183" s="549"/>
      <c r="K183" s="549"/>
      <c r="L183" s="549"/>
      <c r="M183" s="549"/>
      <c r="N183" s="549"/>
      <c r="O183" s="550"/>
      <c r="P183" s="512" t="str">
        <f t="shared" si="140"/>
        <v>-</v>
      </c>
      <c r="Q183" s="4" t="str">
        <f t="shared" ref="Q183:Q184" si="145">IF(SUM(D183:O183)=0,"-",SUM(D183:O183))</f>
        <v>-</v>
      </c>
    </row>
    <row r="184" spans="1:17" ht="15.75" customHeight="1" x14ac:dyDescent="0.25">
      <c r="A184" s="867"/>
      <c r="B184" s="824"/>
      <c r="C184" s="20" t="s">
        <v>22</v>
      </c>
      <c r="D184" s="687" t="str">
        <f>IF(D182="","",D$162*D183*24)</f>
        <v/>
      </c>
      <c r="E184" s="687" t="str">
        <f t="shared" ref="E184:O184" si="146">IF(E182="","",E$162*E183*24)</f>
        <v/>
      </c>
      <c r="F184" s="687" t="str">
        <f t="shared" si="146"/>
        <v/>
      </c>
      <c r="G184" s="687" t="str">
        <f t="shared" si="146"/>
        <v/>
      </c>
      <c r="H184" s="687" t="str">
        <f t="shared" si="146"/>
        <v/>
      </c>
      <c r="I184" s="687" t="str">
        <f t="shared" si="146"/>
        <v/>
      </c>
      <c r="J184" s="687" t="str">
        <f t="shared" si="146"/>
        <v/>
      </c>
      <c r="K184" s="687" t="str">
        <f t="shared" si="146"/>
        <v/>
      </c>
      <c r="L184" s="687" t="str">
        <f t="shared" si="146"/>
        <v/>
      </c>
      <c r="M184" s="687" t="str">
        <f t="shared" si="146"/>
        <v/>
      </c>
      <c r="N184" s="687" t="str">
        <f t="shared" si="146"/>
        <v/>
      </c>
      <c r="O184" s="688" t="str">
        <f t="shared" si="146"/>
        <v/>
      </c>
      <c r="P184" s="511" t="str">
        <f t="shared" si="140"/>
        <v>-</v>
      </c>
      <c r="Q184" s="6" t="str">
        <f t="shared" si="145"/>
        <v>-</v>
      </c>
    </row>
    <row r="185" spans="1:17" ht="15.75" x14ac:dyDescent="0.25">
      <c r="A185" s="867"/>
      <c r="B185" s="823" t="str">
        <f>IF($B$30="OTHER (RENAME)","OTHER",$B$30)</f>
        <v>OTHER</v>
      </c>
      <c r="C185" s="16" t="s">
        <v>21</v>
      </c>
      <c r="D185" s="549"/>
      <c r="E185" s="549"/>
      <c r="F185" s="549"/>
      <c r="G185" s="549"/>
      <c r="H185" s="549"/>
      <c r="I185" s="549"/>
      <c r="J185" s="549"/>
      <c r="K185" s="549"/>
      <c r="L185" s="549"/>
      <c r="M185" s="549"/>
      <c r="N185" s="549"/>
      <c r="O185" s="550"/>
      <c r="P185" s="512" t="str">
        <f t="shared" si="140"/>
        <v>-</v>
      </c>
      <c r="Q185" s="4" t="str">
        <f t="shared" ref="Q185:Q190" si="147">IF(SUM(D185:O185)=0,"-",SUM(D185:O185))</f>
        <v>-</v>
      </c>
    </row>
    <row r="186" spans="1:17" ht="15.75" x14ac:dyDescent="0.25">
      <c r="A186" s="867"/>
      <c r="B186" s="824"/>
      <c r="C186" s="17" t="s">
        <v>22</v>
      </c>
      <c r="D186" s="687" t="str">
        <f>IF(D184="","",D$162*D185*24)</f>
        <v/>
      </c>
      <c r="E186" s="687" t="str">
        <f t="shared" ref="E186:O186" si="148">IF(E184="","",E$162*E185*24)</f>
        <v/>
      </c>
      <c r="F186" s="687" t="str">
        <f t="shared" si="148"/>
        <v/>
      </c>
      <c r="G186" s="687" t="str">
        <f t="shared" si="148"/>
        <v/>
      </c>
      <c r="H186" s="687" t="str">
        <f t="shared" si="148"/>
        <v/>
      </c>
      <c r="I186" s="687" t="str">
        <f t="shared" si="148"/>
        <v/>
      </c>
      <c r="J186" s="687" t="str">
        <f t="shared" si="148"/>
        <v/>
      </c>
      <c r="K186" s="687" t="str">
        <f t="shared" si="148"/>
        <v/>
      </c>
      <c r="L186" s="687" t="str">
        <f t="shared" si="148"/>
        <v/>
      </c>
      <c r="M186" s="687" t="str">
        <f t="shared" si="148"/>
        <v/>
      </c>
      <c r="N186" s="687" t="str">
        <f t="shared" si="148"/>
        <v/>
      </c>
      <c r="O186" s="688" t="str">
        <f t="shared" si="148"/>
        <v/>
      </c>
      <c r="P186" s="511" t="str">
        <f t="shared" si="140"/>
        <v>-</v>
      </c>
      <c r="Q186" s="6" t="str">
        <f t="shared" si="147"/>
        <v>-</v>
      </c>
    </row>
    <row r="187" spans="1:17" ht="15.75" x14ac:dyDescent="0.25">
      <c r="A187" s="867"/>
      <c r="B187" s="823" t="str">
        <f>IF($B$32="OTHER (RENAME)","OTHER",$B$32)</f>
        <v>OTHER</v>
      </c>
      <c r="C187" s="16" t="s">
        <v>21</v>
      </c>
      <c r="D187" s="549"/>
      <c r="E187" s="549"/>
      <c r="F187" s="549"/>
      <c r="G187" s="549"/>
      <c r="H187" s="549"/>
      <c r="I187" s="549"/>
      <c r="J187" s="549"/>
      <c r="K187" s="549"/>
      <c r="L187" s="549"/>
      <c r="M187" s="549"/>
      <c r="N187" s="549"/>
      <c r="O187" s="550"/>
      <c r="P187" s="512" t="str">
        <f t="shared" si="140"/>
        <v>-</v>
      </c>
      <c r="Q187" s="4" t="str">
        <f t="shared" si="147"/>
        <v>-</v>
      </c>
    </row>
    <row r="188" spans="1:17" ht="15.75" x14ac:dyDescent="0.25">
      <c r="A188" s="867"/>
      <c r="B188" s="824"/>
      <c r="C188" s="17" t="s">
        <v>22</v>
      </c>
      <c r="D188" s="687" t="str">
        <f>IF(D186="","",D$162*D187*24)</f>
        <v/>
      </c>
      <c r="E188" s="687" t="str">
        <f t="shared" ref="E188:O188" si="149">IF(E186="","",E$162*E187*24)</f>
        <v/>
      </c>
      <c r="F188" s="687" t="str">
        <f t="shared" si="149"/>
        <v/>
      </c>
      <c r="G188" s="687" t="str">
        <f t="shared" si="149"/>
        <v/>
      </c>
      <c r="H188" s="687" t="str">
        <f t="shared" si="149"/>
        <v/>
      </c>
      <c r="I188" s="687" t="str">
        <f t="shared" si="149"/>
        <v/>
      </c>
      <c r="J188" s="687" t="str">
        <f t="shared" si="149"/>
        <v/>
      </c>
      <c r="K188" s="687" t="str">
        <f t="shared" si="149"/>
        <v/>
      </c>
      <c r="L188" s="687" t="str">
        <f t="shared" si="149"/>
        <v/>
      </c>
      <c r="M188" s="687" t="str">
        <f t="shared" si="149"/>
        <v/>
      </c>
      <c r="N188" s="687" t="str">
        <f t="shared" si="149"/>
        <v/>
      </c>
      <c r="O188" s="688" t="str">
        <f t="shared" si="149"/>
        <v/>
      </c>
      <c r="P188" s="511" t="str">
        <f t="shared" si="140"/>
        <v>-</v>
      </c>
      <c r="Q188" s="6" t="str">
        <f t="shared" si="147"/>
        <v>-</v>
      </c>
    </row>
    <row r="189" spans="1:17" ht="15.75" x14ac:dyDescent="0.25">
      <c r="A189" s="867"/>
      <c r="B189" s="823" t="str">
        <f>IF($B$34="OTHER (RENAME)","OTHER",$B$34)</f>
        <v>OTHER</v>
      </c>
      <c r="C189" s="16" t="s">
        <v>21</v>
      </c>
      <c r="D189" s="549"/>
      <c r="E189" s="549"/>
      <c r="F189" s="549"/>
      <c r="G189" s="549"/>
      <c r="H189" s="549"/>
      <c r="I189" s="549"/>
      <c r="J189" s="549"/>
      <c r="K189" s="549"/>
      <c r="L189" s="549"/>
      <c r="M189" s="549"/>
      <c r="N189" s="549"/>
      <c r="O189" s="550"/>
      <c r="P189" s="512" t="str">
        <f t="shared" si="140"/>
        <v>-</v>
      </c>
      <c r="Q189" s="4" t="str">
        <f t="shared" si="147"/>
        <v>-</v>
      </c>
    </row>
    <row r="190" spans="1:17" ht="15.75" x14ac:dyDescent="0.25">
      <c r="A190" s="867"/>
      <c r="B190" s="824"/>
      <c r="C190" s="17" t="s">
        <v>22</v>
      </c>
      <c r="D190" s="687" t="str">
        <f>IF(D188="","",D$162*D189*24)</f>
        <v/>
      </c>
      <c r="E190" s="687" t="str">
        <f t="shared" ref="E190:O190" si="150">IF(E188="","",E$162*E189*24)</f>
        <v/>
      </c>
      <c r="F190" s="687" t="str">
        <f t="shared" si="150"/>
        <v/>
      </c>
      <c r="G190" s="687" t="str">
        <f t="shared" si="150"/>
        <v/>
      </c>
      <c r="H190" s="687" t="str">
        <f t="shared" si="150"/>
        <v/>
      </c>
      <c r="I190" s="687" t="str">
        <f t="shared" si="150"/>
        <v/>
      </c>
      <c r="J190" s="687" t="str">
        <f t="shared" si="150"/>
        <v/>
      </c>
      <c r="K190" s="687" t="str">
        <f t="shared" si="150"/>
        <v/>
      </c>
      <c r="L190" s="687" t="str">
        <f t="shared" si="150"/>
        <v/>
      </c>
      <c r="M190" s="687" t="str">
        <f t="shared" si="150"/>
        <v/>
      </c>
      <c r="N190" s="687" t="str">
        <f t="shared" si="150"/>
        <v/>
      </c>
      <c r="O190" s="688" t="str">
        <f t="shared" si="150"/>
        <v/>
      </c>
      <c r="P190" s="511" t="str">
        <f t="shared" si="140"/>
        <v>-</v>
      </c>
      <c r="Q190" s="6" t="str">
        <f t="shared" si="147"/>
        <v>-</v>
      </c>
    </row>
    <row r="191" spans="1:17" ht="15.75" customHeight="1" x14ac:dyDescent="0.25">
      <c r="A191" s="867"/>
      <c r="B191" s="981" t="s">
        <v>16</v>
      </c>
      <c r="C191" s="939"/>
      <c r="D191" s="770" t="str">
        <f>IF(SUM(D163,D165,D167,D169,D171,D173,D175,D177,D179,D181,D183,D185,D187,D189)=0,"",SUM(D163,D165,D167,D169,D171,D173,D175,D177,D179,D181,D183,D185,D187,D189))</f>
        <v/>
      </c>
      <c r="E191" s="770" t="str">
        <f t="shared" ref="E191:O191" si="151">IF(SUM(E163,E165,E167,E169,E171,E173,E175,E177,E179,E181,E183,E185,E187,E189)=0,"",SUM(E163,E165,E167,E169,E171,E173,E175,E177,E179,E181,E183,E185,E187,E189))</f>
        <v/>
      </c>
      <c r="F191" s="770" t="str">
        <f t="shared" si="151"/>
        <v/>
      </c>
      <c r="G191" s="770" t="str">
        <f t="shared" si="151"/>
        <v/>
      </c>
      <c r="H191" s="770" t="str">
        <f t="shared" si="151"/>
        <v/>
      </c>
      <c r="I191" s="770" t="str">
        <f t="shared" si="151"/>
        <v/>
      </c>
      <c r="J191" s="770" t="str">
        <f t="shared" si="151"/>
        <v/>
      </c>
      <c r="K191" s="770" t="str">
        <f t="shared" si="151"/>
        <v/>
      </c>
      <c r="L191" s="770" t="str">
        <f t="shared" si="151"/>
        <v/>
      </c>
      <c r="M191" s="770" t="str">
        <f t="shared" si="151"/>
        <v/>
      </c>
      <c r="N191" s="770" t="str">
        <f t="shared" si="151"/>
        <v/>
      </c>
      <c r="O191" s="771" t="str">
        <f t="shared" si="151"/>
        <v/>
      </c>
      <c r="P191" s="512" t="str">
        <f t="shared" si="140"/>
        <v>-</v>
      </c>
      <c r="Q191" s="4" t="str">
        <f t="shared" ref="Q191:Q212" si="152">IF(SUM(D191:O191)=0,"-",SUM(D191:O191))</f>
        <v>-</v>
      </c>
    </row>
    <row r="192" spans="1:17" ht="15.75" customHeight="1" thickBot="1" x14ac:dyDescent="0.3">
      <c r="A192" s="868"/>
      <c r="B192" s="982" t="s">
        <v>17</v>
      </c>
      <c r="C192" s="937"/>
      <c r="D192" s="772" t="str">
        <f>IF(D191="","",SUM(D164,D166,D168,D170,D172,D174,D176,D178,D180,D182,D184,D186,D188,D190))</f>
        <v/>
      </c>
      <c r="E192" s="772" t="str">
        <f t="shared" ref="E192" si="153">IF(E191="","",SUM(E164,E166,E168,E170,E172,E174,E176,E178,E180,E182,E184,E186,E188,E190))</f>
        <v/>
      </c>
      <c r="F192" s="773" t="str">
        <f t="shared" ref="F192" si="154">IF(F191="","",SUM(F164,F166,F168,F170,F172,F174,F176,F178,F180,F182,F184,F186,F188,F190))</f>
        <v/>
      </c>
      <c r="G192" s="772" t="str">
        <f t="shared" ref="G192" si="155">IF(G191="","",SUM(G164,G166,G168,G170,G172,G174,G176,G178,G180,G182,G184,G186,G188,G190))</f>
        <v/>
      </c>
      <c r="H192" s="772" t="str">
        <f t="shared" ref="H192" si="156">IF(H191="","",SUM(H164,H166,H168,H170,H172,H174,H176,H178,H180,H182,H184,H186,H188,H190))</f>
        <v/>
      </c>
      <c r="I192" s="772" t="str">
        <f t="shared" ref="I192" si="157">IF(I191="","",SUM(I164,I166,I168,I170,I172,I174,I176,I178,I180,I182,I184,I186,I188,I190))</f>
        <v/>
      </c>
      <c r="J192" s="772" t="str">
        <f t="shared" ref="J192" si="158">IF(J191="","",SUM(J164,J166,J168,J170,J172,J174,J176,J178,J180,J182,J184,J186,J188,J190))</f>
        <v/>
      </c>
      <c r="K192" s="772" t="str">
        <f t="shared" ref="K192" si="159">IF(K191="","",SUM(K164,K166,K168,K170,K172,K174,K176,K178,K180,K182,K184,K186,K188,K190))</f>
        <v/>
      </c>
      <c r="L192" s="772" t="str">
        <f t="shared" ref="L192" si="160">IF(L191="","",SUM(L164,L166,L168,L170,L172,L174,L176,L178,L180,L182,L184,L186,L188,L190))</f>
        <v/>
      </c>
      <c r="M192" s="772" t="str">
        <f t="shared" ref="M192" si="161">IF(M191="","",SUM(M164,M166,M168,M170,M172,M174,M176,M178,M180,M182,M184,M186,M188,M190))</f>
        <v/>
      </c>
      <c r="N192" s="772" t="str">
        <f t="shared" ref="N192" si="162">IF(N191="","",SUM(N164,N166,N168,N170,N172,N174,N176,N178,N180,N182,N184,N186,N188,N190))</f>
        <v/>
      </c>
      <c r="O192" s="774" t="str">
        <f t="shared" ref="O192" si="163">IF(O191="","",SUM(O164,O166,O168,O170,O172,O174,O176,O178,O180,O182,O184,O186,O188,O190))</f>
        <v/>
      </c>
      <c r="P192" s="525" t="str">
        <f t="shared" si="140"/>
        <v>-</v>
      </c>
      <c r="Q192" s="7" t="str">
        <f t="shared" si="152"/>
        <v>-</v>
      </c>
    </row>
    <row r="193" spans="1:17" ht="15" customHeight="1" collapsed="1" x14ac:dyDescent="0.25">
      <c r="A193" s="914" t="s">
        <v>155</v>
      </c>
      <c r="B193" s="960" t="s">
        <v>7</v>
      </c>
      <c r="C193" s="526" t="s">
        <v>21</v>
      </c>
      <c r="D193" s="719" t="str">
        <f>IF(SUM(D8,D39,D70,D101,D132,D163)=0,"",SUM(D8,D39,D70,D101,D132,D163))</f>
        <v/>
      </c>
      <c r="E193" s="719" t="str">
        <f t="shared" ref="D193:O208" si="164">IF(SUM(E8,E39,E70,E101,E132,E163)=0,"",SUM(E8,E39,E70,E101,E132,E163))</f>
        <v/>
      </c>
      <c r="F193" s="719" t="str">
        <f t="shared" si="164"/>
        <v/>
      </c>
      <c r="G193" s="719" t="str">
        <f t="shared" si="164"/>
        <v/>
      </c>
      <c r="H193" s="719" t="str">
        <f t="shared" si="164"/>
        <v/>
      </c>
      <c r="I193" s="719" t="str">
        <f t="shared" si="164"/>
        <v/>
      </c>
      <c r="J193" s="719" t="str">
        <f t="shared" si="164"/>
        <v/>
      </c>
      <c r="K193" s="719" t="str">
        <f t="shared" si="164"/>
        <v/>
      </c>
      <c r="L193" s="719" t="str">
        <f t="shared" si="164"/>
        <v/>
      </c>
      <c r="M193" s="719" t="str">
        <f t="shared" si="164"/>
        <v/>
      </c>
      <c r="N193" s="719" t="str">
        <f t="shared" si="164"/>
        <v/>
      </c>
      <c r="O193" s="720" t="str">
        <f t="shared" si="164"/>
        <v/>
      </c>
      <c r="P193" s="630" t="str">
        <f t="shared" si="140"/>
        <v>-</v>
      </c>
      <c r="Q193" s="5" t="str">
        <f t="shared" si="152"/>
        <v>-</v>
      </c>
    </row>
    <row r="194" spans="1:17" ht="15" customHeight="1" x14ac:dyDescent="0.25">
      <c r="A194" s="915"/>
      <c r="B194" s="824"/>
      <c r="C194" s="17" t="s">
        <v>22</v>
      </c>
      <c r="D194" s="681" t="str">
        <f>IF(SUM(D9,D40,D71,D102,D133,D164)=0,"",SUM(D9,D40,D71,D102,D133,D164))</f>
        <v/>
      </c>
      <c r="E194" s="681" t="str">
        <f t="shared" si="164"/>
        <v/>
      </c>
      <c r="F194" s="681" t="str">
        <f t="shared" si="164"/>
        <v/>
      </c>
      <c r="G194" s="681" t="str">
        <f t="shared" si="164"/>
        <v/>
      </c>
      <c r="H194" s="681" t="str">
        <f t="shared" si="164"/>
        <v/>
      </c>
      <c r="I194" s="681" t="str">
        <f t="shared" si="164"/>
        <v/>
      </c>
      <c r="J194" s="681" t="str">
        <f t="shared" si="164"/>
        <v/>
      </c>
      <c r="K194" s="681" t="str">
        <f t="shared" si="164"/>
        <v/>
      </c>
      <c r="L194" s="681" t="str">
        <f t="shared" si="164"/>
        <v/>
      </c>
      <c r="M194" s="681" t="str">
        <f t="shared" si="164"/>
        <v/>
      </c>
      <c r="N194" s="681" t="str">
        <f t="shared" si="164"/>
        <v/>
      </c>
      <c r="O194" s="682" t="str">
        <f t="shared" si="164"/>
        <v/>
      </c>
      <c r="P194" s="511" t="str">
        <f t="shared" si="140"/>
        <v>-</v>
      </c>
      <c r="Q194" s="6" t="str">
        <f t="shared" si="152"/>
        <v>-</v>
      </c>
    </row>
    <row r="195" spans="1:17" ht="15.75" customHeight="1" x14ac:dyDescent="0.25">
      <c r="A195" s="915"/>
      <c r="B195" s="823" t="s">
        <v>8</v>
      </c>
      <c r="C195" s="16" t="s">
        <v>21</v>
      </c>
      <c r="D195" s="624" t="str">
        <f t="shared" si="164"/>
        <v/>
      </c>
      <c r="E195" s="624" t="str">
        <f t="shared" si="164"/>
        <v/>
      </c>
      <c r="F195" s="624" t="str">
        <f t="shared" si="164"/>
        <v/>
      </c>
      <c r="G195" s="624" t="str">
        <f t="shared" si="164"/>
        <v/>
      </c>
      <c r="H195" s="624" t="str">
        <f t="shared" si="164"/>
        <v/>
      </c>
      <c r="I195" s="624" t="str">
        <f t="shared" si="164"/>
        <v/>
      </c>
      <c r="J195" s="624" t="str">
        <f t="shared" si="164"/>
        <v/>
      </c>
      <c r="K195" s="624" t="str">
        <f t="shared" si="164"/>
        <v/>
      </c>
      <c r="L195" s="624" t="str">
        <f t="shared" si="164"/>
        <v/>
      </c>
      <c r="M195" s="624" t="str">
        <f t="shared" si="164"/>
        <v/>
      </c>
      <c r="N195" s="624" t="str">
        <f t="shared" si="164"/>
        <v/>
      </c>
      <c r="O195" s="632" t="str">
        <f t="shared" si="164"/>
        <v/>
      </c>
      <c r="P195" s="512" t="str">
        <f t="shared" si="140"/>
        <v>-</v>
      </c>
      <c r="Q195" s="4" t="str">
        <f t="shared" si="152"/>
        <v>-</v>
      </c>
    </row>
    <row r="196" spans="1:17" ht="15.75" customHeight="1" x14ac:dyDescent="0.25">
      <c r="A196" s="915"/>
      <c r="B196" s="824"/>
      <c r="C196" s="17" t="s">
        <v>22</v>
      </c>
      <c r="D196" s="681" t="str">
        <f t="shared" si="164"/>
        <v/>
      </c>
      <c r="E196" s="681" t="str">
        <f t="shared" si="164"/>
        <v/>
      </c>
      <c r="F196" s="681" t="str">
        <f t="shared" si="164"/>
        <v/>
      </c>
      <c r="G196" s="681" t="str">
        <f t="shared" si="164"/>
        <v/>
      </c>
      <c r="H196" s="681" t="str">
        <f t="shared" si="164"/>
        <v/>
      </c>
      <c r="I196" s="681" t="str">
        <f t="shared" si="164"/>
        <v/>
      </c>
      <c r="J196" s="681" t="str">
        <f t="shared" si="164"/>
        <v/>
      </c>
      <c r="K196" s="681" t="str">
        <f t="shared" si="164"/>
        <v/>
      </c>
      <c r="L196" s="681" t="str">
        <f t="shared" si="164"/>
        <v/>
      </c>
      <c r="M196" s="681" t="str">
        <f t="shared" si="164"/>
        <v/>
      </c>
      <c r="N196" s="681" t="str">
        <f t="shared" si="164"/>
        <v/>
      </c>
      <c r="O196" s="682" t="str">
        <f t="shared" si="164"/>
        <v/>
      </c>
      <c r="P196" s="511" t="str">
        <f t="shared" si="140"/>
        <v>-</v>
      </c>
      <c r="Q196" s="6" t="str">
        <f t="shared" si="152"/>
        <v>-</v>
      </c>
    </row>
    <row r="197" spans="1:17" ht="15.75" customHeight="1" x14ac:dyDescent="0.25">
      <c r="A197" s="915"/>
      <c r="B197" s="823" t="s">
        <v>9</v>
      </c>
      <c r="C197" s="16" t="s">
        <v>21</v>
      </c>
      <c r="D197" s="624" t="str">
        <f t="shared" si="164"/>
        <v/>
      </c>
      <c r="E197" s="624" t="str">
        <f t="shared" si="164"/>
        <v/>
      </c>
      <c r="F197" s="624" t="str">
        <f t="shared" si="164"/>
        <v/>
      </c>
      <c r="G197" s="624" t="str">
        <f t="shared" si="164"/>
        <v/>
      </c>
      <c r="H197" s="624" t="str">
        <f t="shared" si="164"/>
        <v/>
      </c>
      <c r="I197" s="624" t="str">
        <f t="shared" si="164"/>
        <v/>
      </c>
      <c r="J197" s="624" t="str">
        <f t="shared" si="164"/>
        <v/>
      </c>
      <c r="K197" s="624" t="str">
        <f t="shared" si="164"/>
        <v/>
      </c>
      <c r="L197" s="624" t="str">
        <f t="shared" si="164"/>
        <v/>
      </c>
      <c r="M197" s="624" t="str">
        <f t="shared" si="164"/>
        <v/>
      </c>
      <c r="N197" s="624" t="str">
        <f t="shared" si="164"/>
        <v/>
      </c>
      <c r="O197" s="632" t="str">
        <f t="shared" si="164"/>
        <v/>
      </c>
      <c r="P197" s="512" t="str">
        <f t="shared" si="140"/>
        <v>-</v>
      </c>
      <c r="Q197" s="4" t="str">
        <f t="shared" si="152"/>
        <v>-</v>
      </c>
    </row>
    <row r="198" spans="1:17" ht="15.75" x14ac:dyDescent="0.25">
      <c r="A198" s="915"/>
      <c r="B198" s="824"/>
      <c r="C198" s="17" t="s">
        <v>22</v>
      </c>
      <c r="D198" s="681" t="str">
        <f t="shared" si="164"/>
        <v/>
      </c>
      <c r="E198" s="681" t="str">
        <f t="shared" si="164"/>
        <v/>
      </c>
      <c r="F198" s="681" t="str">
        <f t="shared" si="164"/>
        <v/>
      </c>
      <c r="G198" s="681" t="str">
        <f t="shared" si="164"/>
        <v/>
      </c>
      <c r="H198" s="681" t="str">
        <f t="shared" si="164"/>
        <v/>
      </c>
      <c r="I198" s="681" t="str">
        <f t="shared" si="164"/>
        <v/>
      </c>
      <c r="J198" s="681" t="str">
        <f t="shared" si="164"/>
        <v/>
      </c>
      <c r="K198" s="681" t="str">
        <f t="shared" si="164"/>
        <v/>
      </c>
      <c r="L198" s="681" t="str">
        <f t="shared" si="164"/>
        <v/>
      </c>
      <c r="M198" s="681" t="str">
        <f t="shared" si="164"/>
        <v/>
      </c>
      <c r="N198" s="681" t="str">
        <f t="shared" si="164"/>
        <v/>
      </c>
      <c r="O198" s="682" t="str">
        <f t="shared" si="164"/>
        <v/>
      </c>
      <c r="P198" s="511" t="str">
        <f t="shared" si="140"/>
        <v>-</v>
      </c>
      <c r="Q198" s="6" t="str">
        <f t="shared" si="152"/>
        <v>-</v>
      </c>
    </row>
    <row r="199" spans="1:17" ht="15.75" x14ac:dyDescent="0.25">
      <c r="A199" s="915"/>
      <c r="B199" s="823" t="s">
        <v>10</v>
      </c>
      <c r="C199" s="16" t="s">
        <v>21</v>
      </c>
      <c r="D199" s="624" t="str">
        <f t="shared" si="164"/>
        <v/>
      </c>
      <c r="E199" s="624" t="str">
        <f t="shared" si="164"/>
        <v/>
      </c>
      <c r="F199" s="624" t="str">
        <f t="shared" si="164"/>
        <v/>
      </c>
      <c r="G199" s="624" t="str">
        <f t="shared" si="164"/>
        <v/>
      </c>
      <c r="H199" s="624" t="str">
        <f t="shared" si="164"/>
        <v/>
      </c>
      <c r="I199" s="624" t="str">
        <f t="shared" si="164"/>
        <v/>
      </c>
      <c r="J199" s="624" t="str">
        <f t="shared" si="164"/>
        <v/>
      </c>
      <c r="K199" s="624" t="str">
        <f t="shared" si="164"/>
        <v/>
      </c>
      <c r="L199" s="624" t="str">
        <f t="shared" si="164"/>
        <v/>
      </c>
      <c r="M199" s="624" t="str">
        <f t="shared" si="164"/>
        <v/>
      </c>
      <c r="N199" s="624" t="str">
        <f t="shared" si="164"/>
        <v/>
      </c>
      <c r="O199" s="632" t="str">
        <f t="shared" si="164"/>
        <v/>
      </c>
      <c r="P199" s="512" t="str">
        <f t="shared" si="140"/>
        <v>-</v>
      </c>
      <c r="Q199" s="4" t="str">
        <f t="shared" si="152"/>
        <v>-</v>
      </c>
    </row>
    <row r="200" spans="1:17" ht="15" customHeight="1" x14ac:dyDescent="0.25">
      <c r="A200" s="915"/>
      <c r="B200" s="824"/>
      <c r="C200" s="17" t="s">
        <v>22</v>
      </c>
      <c r="D200" s="681" t="str">
        <f t="shared" si="164"/>
        <v/>
      </c>
      <c r="E200" s="681" t="str">
        <f t="shared" si="164"/>
        <v/>
      </c>
      <c r="F200" s="681" t="str">
        <f t="shared" si="164"/>
        <v/>
      </c>
      <c r="G200" s="681" t="str">
        <f t="shared" si="164"/>
        <v/>
      </c>
      <c r="H200" s="681" t="str">
        <f t="shared" si="164"/>
        <v/>
      </c>
      <c r="I200" s="681" t="str">
        <f t="shared" si="164"/>
        <v/>
      </c>
      <c r="J200" s="681" t="str">
        <f t="shared" si="164"/>
        <v/>
      </c>
      <c r="K200" s="681" t="str">
        <f t="shared" si="164"/>
        <v/>
      </c>
      <c r="L200" s="681" t="str">
        <f t="shared" si="164"/>
        <v/>
      </c>
      <c r="M200" s="681" t="str">
        <f t="shared" si="164"/>
        <v/>
      </c>
      <c r="N200" s="681" t="str">
        <f t="shared" si="164"/>
        <v/>
      </c>
      <c r="O200" s="682" t="str">
        <f t="shared" si="164"/>
        <v/>
      </c>
      <c r="P200" s="511" t="str">
        <f t="shared" si="140"/>
        <v>-</v>
      </c>
      <c r="Q200" s="6" t="str">
        <f t="shared" si="152"/>
        <v>-</v>
      </c>
    </row>
    <row r="201" spans="1:17" ht="15" customHeight="1" x14ac:dyDescent="0.25">
      <c r="A201" s="915"/>
      <c r="B201" s="823" t="s">
        <v>11</v>
      </c>
      <c r="C201" s="16" t="s">
        <v>21</v>
      </c>
      <c r="D201" s="624" t="str">
        <f t="shared" si="164"/>
        <v/>
      </c>
      <c r="E201" s="624" t="str">
        <f t="shared" si="164"/>
        <v/>
      </c>
      <c r="F201" s="624" t="str">
        <f t="shared" si="164"/>
        <v/>
      </c>
      <c r="G201" s="624" t="str">
        <f t="shared" si="164"/>
        <v/>
      </c>
      <c r="H201" s="624" t="str">
        <f t="shared" si="164"/>
        <v/>
      </c>
      <c r="I201" s="624" t="str">
        <f t="shared" si="164"/>
        <v/>
      </c>
      <c r="J201" s="624" t="str">
        <f t="shared" si="164"/>
        <v/>
      </c>
      <c r="K201" s="624" t="str">
        <f t="shared" si="164"/>
        <v/>
      </c>
      <c r="L201" s="624" t="str">
        <f t="shared" si="164"/>
        <v/>
      </c>
      <c r="M201" s="624" t="str">
        <f t="shared" si="164"/>
        <v/>
      </c>
      <c r="N201" s="624" t="str">
        <f t="shared" si="164"/>
        <v/>
      </c>
      <c r="O201" s="632" t="str">
        <f t="shared" si="164"/>
        <v/>
      </c>
      <c r="P201" s="512" t="str">
        <f t="shared" si="140"/>
        <v>-</v>
      </c>
      <c r="Q201" s="4" t="str">
        <f t="shared" si="152"/>
        <v>-</v>
      </c>
    </row>
    <row r="202" spans="1:17" ht="15" customHeight="1" x14ac:dyDescent="0.25">
      <c r="A202" s="915"/>
      <c r="B202" s="824"/>
      <c r="C202" s="17" t="s">
        <v>22</v>
      </c>
      <c r="D202" s="681" t="str">
        <f t="shared" si="164"/>
        <v/>
      </c>
      <c r="E202" s="681" t="str">
        <f t="shared" si="164"/>
        <v/>
      </c>
      <c r="F202" s="681" t="str">
        <f t="shared" si="164"/>
        <v/>
      </c>
      <c r="G202" s="681" t="str">
        <f t="shared" si="164"/>
        <v/>
      </c>
      <c r="H202" s="681" t="str">
        <f t="shared" si="164"/>
        <v/>
      </c>
      <c r="I202" s="681" t="str">
        <f t="shared" si="164"/>
        <v/>
      </c>
      <c r="J202" s="681" t="str">
        <f t="shared" si="164"/>
        <v/>
      </c>
      <c r="K202" s="681" t="str">
        <f t="shared" si="164"/>
        <v/>
      </c>
      <c r="L202" s="681" t="str">
        <f t="shared" si="164"/>
        <v/>
      </c>
      <c r="M202" s="681" t="str">
        <f t="shared" si="164"/>
        <v/>
      </c>
      <c r="N202" s="681" t="str">
        <f t="shared" si="164"/>
        <v/>
      </c>
      <c r="O202" s="682" t="str">
        <f t="shared" si="164"/>
        <v/>
      </c>
      <c r="P202" s="511" t="str">
        <f t="shared" si="140"/>
        <v>-</v>
      </c>
      <c r="Q202" s="6" t="str">
        <f t="shared" si="152"/>
        <v>-</v>
      </c>
    </row>
    <row r="203" spans="1:17" ht="15" customHeight="1" x14ac:dyDescent="0.25">
      <c r="A203" s="915"/>
      <c r="B203" s="823" t="s">
        <v>12</v>
      </c>
      <c r="C203" s="16" t="s">
        <v>21</v>
      </c>
      <c r="D203" s="624" t="str">
        <f t="shared" si="164"/>
        <v/>
      </c>
      <c r="E203" s="624" t="str">
        <f t="shared" si="164"/>
        <v/>
      </c>
      <c r="F203" s="624" t="str">
        <f t="shared" si="164"/>
        <v/>
      </c>
      <c r="G203" s="624" t="str">
        <f t="shared" si="164"/>
        <v/>
      </c>
      <c r="H203" s="624" t="str">
        <f t="shared" si="164"/>
        <v/>
      </c>
      <c r="I203" s="624" t="str">
        <f t="shared" si="164"/>
        <v/>
      </c>
      <c r="J203" s="624" t="str">
        <f t="shared" si="164"/>
        <v/>
      </c>
      <c r="K203" s="624" t="str">
        <f t="shared" si="164"/>
        <v/>
      </c>
      <c r="L203" s="624" t="str">
        <f t="shared" si="164"/>
        <v/>
      </c>
      <c r="M203" s="624" t="str">
        <f t="shared" si="164"/>
        <v/>
      </c>
      <c r="N203" s="624" t="str">
        <f t="shared" si="164"/>
        <v/>
      </c>
      <c r="O203" s="632" t="str">
        <f t="shared" si="164"/>
        <v/>
      </c>
      <c r="P203" s="512" t="str">
        <f t="shared" si="140"/>
        <v>-</v>
      </c>
      <c r="Q203" s="4" t="str">
        <f t="shared" si="152"/>
        <v>-</v>
      </c>
    </row>
    <row r="204" spans="1:17" ht="15" customHeight="1" x14ac:dyDescent="0.25">
      <c r="A204" s="915"/>
      <c r="B204" s="824"/>
      <c r="C204" s="17" t="s">
        <v>22</v>
      </c>
      <c r="D204" s="681" t="str">
        <f t="shared" si="164"/>
        <v/>
      </c>
      <c r="E204" s="681" t="str">
        <f t="shared" si="164"/>
        <v/>
      </c>
      <c r="F204" s="681" t="str">
        <f t="shared" si="164"/>
        <v/>
      </c>
      <c r="G204" s="681" t="str">
        <f t="shared" si="164"/>
        <v/>
      </c>
      <c r="H204" s="681" t="str">
        <f t="shared" si="164"/>
        <v/>
      </c>
      <c r="I204" s="681" t="str">
        <f t="shared" si="164"/>
        <v/>
      </c>
      <c r="J204" s="681" t="str">
        <f t="shared" si="164"/>
        <v/>
      </c>
      <c r="K204" s="681" t="str">
        <f t="shared" si="164"/>
        <v/>
      </c>
      <c r="L204" s="681" t="str">
        <f t="shared" si="164"/>
        <v/>
      </c>
      <c r="M204" s="681" t="str">
        <f t="shared" si="164"/>
        <v/>
      </c>
      <c r="N204" s="681" t="str">
        <f t="shared" si="164"/>
        <v/>
      </c>
      <c r="O204" s="682" t="str">
        <f t="shared" si="164"/>
        <v/>
      </c>
      <c r="P204" s="511" t="str">
        <f t="shared" si="140"/>
        <v>-</v>
      </c>
      <c r="Q204" s="6" t="str">
        <f t="shared" si="152"/>
        <v>-</v>
      </c>
    </row>
    <row r="205" spans="1:17" ht="15.75" x14ac:dyDescent="0.25">
      <c r="A205" s="915"/>
      <c r="B205" s="823" t="s">
        <v>15</v>
      </c>
      <c r="C205" s="16" t="s">
        <v>21</v>
      </c>
      <c r="D205" s="624" t="str">
        <f t="shared" si="164"/>
        <v/>
      </c>
      <c r="E205" s="624" t="str">
        <f t="shared" si="164"/>
        <v/>
      </c>
      <c r="F205" s="624" t="str">
        <f t="shared" si="164"/>
        <v/>
      </c>
      <c r="G205" s="624" t="str">
        <f t="shared" si="164"/>
        <v/>
      </c>
      <c r="H205" s="624" t="str">
        <f t="shared" si="164"/>
        <v/>
      </c>
      <c r="I205" s="624" t="str">
        <f t="shared" si="164"/>
        <v/>
      </c>
      <c r="J205" s="624" t="str">
        <f t="shared" si="164"/>
        <v/>
      </c>
      <c r="K205" s="624" t="str">
        <f t="shared" si="164"/>
        <v/>
      </c>
      <c r="L205" s="624" t="str">
        <f t="shared" si="164"/>
        <v/>
      </c>
      <c r="M205" s="624" t="str">
        <f t="shared" si="164"/>
        <v/>
      </c>
      <c r="N205" s="624" t="str">
        <f t="shared" si="164"/>
        <v/>
      </c>
      <c r="O205" s="632" t="str">
        <f t="shared" si="164"/>
        <v/>
      </c>
      <c r="P205" s="512" t="str">
        <f t="shared" si="140"/>
        <v>-</v>
      </c>
      <c r="Q205" s="4" t="str">
        <f t="shared" si="152"/>
        <v>-</v>
      </c>
    </row>
    <row r="206" spans="1:17" ht="15.75" x14ac:dyDescent="0.25">
      <c r="A206" s="915"/>
      <c r="B206" s="824"/>
      <c r="C206" s="17" t="s">
        <v>22</v>
      </c>
      <c r="D206" s="681" t="str">
        <f t="shared" si="164"/>
        <v/>
      </c>
      <c r="E206" s="681" t="str">
        <f t="shared" si="164"/>
        <v/>
      </c>
      <c r="F206" s="681" t="str">
        <f t="shared" si="164"/>
        <v/>
      </c>
      <c r="G206" s="681" t="str">
        <f t="shared" si="164"/>
        <v/>
      </c>
      <c r="H206" s="681" t="str">
        <f t="shared" si="164"/>
        <v/>
      </c>
      <c r="I206" s="681" t="str">
        <f t="shared" si="164"/>
        <v/>
      </c>
      <c r="J206" s="681" t="str">
        <f t="shared" si="164"/>
        <v/>
      </c>
      <c r="K206" s="681" t="str">
        <f t="shared" si="164"/>
        <v/>
      </c>
      <c r="L206" s="681" t="str">
        <f t="shared" si="164"/>
        <v/>
      </c>
      <c r="M206" s="681" t="str">
        <f t="shared" si="164"/>
        <v/>
      </c>
      <c r="N206" s="681" t="str">
        <f t="shared" si="164"/>
        <v/>
      </c>
      <c r="O206" s="682" t="str">
        <f t="shared" si="164"/>
        <v/>
      </c>
      <c r="P206" s="511" t="str">
        <f t="shared" si="140"/>
        <v>-</v>
      </c>
      <c r="Q206" s="6" t="str">
        <f t="shared" si="152"/>
        <v>-</v>
      </c>
    </row>
    <row r="207" spans="1:17" ht="15.75" x14ac:dyDescent="0.25">
      <c r="A207" s="915"/>
      <c r="B207" s="823" t="s">
        <v>13</v>
      </c>
      <c r="C207" s="16" t="s">
        <v>21</v>
      </c>
      <c r="D207" s="624" t="str">
        <f t="shared" si="164"/>
        <v/>
      </c>
      <c r="E207" s="624" t="str">
        <f t="shared" si="164"/>
        <v/>
      </c>
      <c r="F207" s="624" t="str">
        <f t="shared" si="164"/>
        <v/>
      </c>
      <c r="G207" s="624" t="str">
        <f t="shared" si="164"/>
        <v/>
      </c>
      <c r="H207" s="624" t="str">
        <f t="shared" si="164"/>
        <v/>
      </c>
      <c r="I207" s="624" t="str">
        <f t="shared" si="164"/>
        <v/>
      </c>
      <c r="J207" s="624" t="str">
        <f t="shared" si="164"/>
        <v/>
      </c>
      <c r="K207" s="624" t="str">
        <f t="shared" si="164"/>
        <v/>
      </c>
      <c r="L207" s="624" t="str">
        <f t="shared" si="164"/>
        <v/>
      </c>
      <c r="M207" s="624" t="str">
        <f t="shared" si="164"/>
        <v/>
      </c>
      <c r="N207" s="624" t="str">
        <f t="shared" si="164"/>
        <v/>
      </c>
      <c r="O207" s="632" t="str">
        <f t="shared" si="164"/>
        <v/>
      </c>
      <c r="P207" s="512" t="str">
        <f t="shared" si="140"/>
        <v>-</v>
      </c>
      <c r="Q207" s="4" t="str">
        <f t="shared" si="152"/>
        <v>-</v>
      </c>
    </row>
    <row r="208" spans="1:17" ht="15.75" x14ac:dyDescent="0.25">
      <c r="A208" s="915"/>
      <c r="B208" s="824"/>
      <c r="C208" s="17" t="s">
        <v>22</v>
      </c>
      <c r="D208" s="681" t="str">
        <f t="shared" si="164"/>
        <v/>
      </c>
      <c r="E208" s="681" t="str">
        <f t="shared" si="164"/>
        <v/>
      </c>
      <c r="F208" s="681" t="str">
        <f t="shared" si="164"/>
        <v/>
      </c>
      <c r="G208" s="681" t="str">
        <f t="shared" si="164"/>
        <v/>
      </c>
      <c r="H208" s="681" t="str">
        <f t="shared" si="164"/>
        <v/>
      </c>
      <c r="I208" s="681" t="str">
        <f t="shared" si="164"/>
        <v/>
      </c>
      <c r="J208" s="681" t="str">
        <f t="shared" si="164"/>
        <v/>
      </c>
      <c r="K208" s="681" t="str">
        <f t="shared" si="164"/>
        <v/>
      </c>
      <c r="L208" s="681" t="str">
        <f t="shared" si="164"/>
        <v/>
      </c>
      <c r="M208" s="681" t="str">
        <f t="shared" si="164"/>
        <v/>
      </c>
      <c r="N208" s="681" t="str">
        <f t="shared" si="164"/>
        <v/>
      </c>
      <c r="O208" s="682" t="str">
        <f t="shared" si="164"/>
        <v/>
      </c>
      <c r="P208" s="511" t="str">
        <f t="shared" si="140"/>
        <v>-</v>
      </c>
      <c r="Q208" s="6" t="str">
        <f t="shared" si="152"/>
        <v>-</v>
      </c>
    </row>
    <row r="209" spans="1:17" ht="15.75" x14ac:dyDescent="0.25">
      <c r="A209" s="915"/>
      <c r="B209" s="823" t="s">
        <v>20</v>
      </c>
      <c r="C209" s="16" t="s">
        <v>21</v>
      </c>
      <c r="D209" s="624" t="str">
        <f t="shared" ref="D209:O220" si="165">IF(SUM(D24,D55,D86,D117,D148,D179)=0,"",SUM(D24,D55,D86,D117,D148,D179))</f>
        <v/>
      </c>
      <c r="E209" s="624" t="str">
        <f t="shared" si="165"/>
        <v/>
      </c>
      <c r="F209" s="624" t="str">
        <f t="shared" si="165"/>
        <v/>
      </c>
      <c r="G209" s="624" t="str">
        <f t="shared" si="165"/>
        <v/>
      </c>
      <c r="H209" s="624" t="str">
        <f t="shared" si="165"/>
        <v/>
      </c>
      <c r="I209" s="624" t="str">
        <f t="shared" si="165"/>
        <v/>
      </c>
      <c r="J209" s="624" t="str">
        <f t="shared" si="165"/>
        <v/>
      </c>
      <c r="K209" s="624" t="str">
        <f t="shared" si="165"/>
        <v/>
      </c>
      <c r="L209" s="624" t="str">
        <f t="shared" si="165"/>
        <v/>
      </c>
      <c r="M209" s="624" t="str">
        <f t="shared" si="165"/>
        <v/>
      </c>
      <c r="N209" s="624" t="str">
        <f t="shared" si="165"/>
        <v/>
      </c>
      <c r="O209" s="632" t="str">
        <f t="shared" si="165"/>
        <v/>
      </c>
      <c r="P209" s="512" t="str">
        <f t="shared" si="140"/>
        <v>-</v>
      </c>
      <c r="Q209" s="4" t="str">
        <f t="shared" si="152"/>
        <v>-</v>
      </c>
    </row>
    <row r="210" spans="1:17" ht="15.75" x14ac:dyDescent="0.25">
      <c r="A210" s="915"/>
      <c r="B210" s="824"/>
      <c r="C210" s="17" t="s">
        <v>22</v>
      </c>
      <c r="D210" s="681" t="str">
        <f t="shared" si="165"/>
        <v/>
      </c>
      <c r="E210" s="681" t="str">
        <f t="shared" si="165"/>
        <v/>
      </c>
      <c r="F210" s="681" t="str">
        <f t="shared" si="165"/>
        <v/>
      </c>
      <c r="G210" s="681" t="str">
        <f t="shared" si="165"/>
        <v/>
      </c>
      <c r="H210" s="681" t="str">
        <f t="shared" si="165"/>
        <v/>
      </c>
      <c r="I210" s="681" t="str">
        <f t="shared" si="165"/>
        <v/>
      </c>
      <c r="J210" s="681" t="str">
        <f t="shared" si="165"/>
        <v/>
      </c>
      <c r="K210" s="681" t="str">
        <f t="shared" si="165"/>
        <v/>
      </c>
      <c r="L210" s="681" t="str">
        <f t="shared" si="165"/>
        <v/>
      </c>
      <c r="M210" s="681" t="str">
        <f t="shared" si="165"/>
        <v/>
      </c>
      <c r="N210" s="681" t="str">
        <f t="shared" si="165"/>
        <v/>
      </c>
      <c r="O210" s="682" t="str">
        <f t="shared" si="165"/>
        <v/>
      </c>
      <c r="P210" s="511" t="str">
        <f t="shared" si="140"/>
        <v>-</v>
      </c>
      <c r="Q210" s="6" t="str">
        <f t="shared" si="152"/>
        <v>-</v>
      </c>
    </row>
    <row r="211" spans="1:17" ht="15.75" x14ac:dyDescent="0.25">
      <c r="A211" s="915"/>
      <c r="B211" s="823" t="s">
        <v>1</v>
      </c>
      <c r="C211" s="16" t="s">
        <v>21</v>
      </c>
      <c r="D211" s="624" t="str">
        <f t="shared" si="165"/>
        <v/>
      </c>
      <c r="E211" s="624" t="str">
        <f t="shared" si="165"/>
        <v/>
      </c>
      <c r="F211" s="624" t="str">
        <f t="shared" si="165"/>
        <v/>
      </c>
      <c r="G211" s="624" t="str">
        <f t="shared" si="165"/>
        <v/>
      </c>
      <c r="H211" s="624" t="str">
        <f t="shared" si="165"/>
        <v/>
      </c>
      <c r="I211" s="624" t="str">
        <f t="shared" si="165"/>
        <v/>
      </c>
      <c r="J211" s="624" t="str">
        <f t="shared" si="165"/>
        <v/>
      </c>
      <c r="K211" s="624" t="str">
        <f t="shared" si="165"/>
        <v/>
      </c>
      <c r="L211" s="624" t="str">
        <f t="shared" si="165"/>
        <v/>
      </c>
      <c r="M211" s="624" t="str">
        <f t="shared" si="165"/>
        <v/>
      </c>
      <c r="N211" s="624" t="str">
        <f t="shared" si="165"/>
        <v/>
      </c>
      <c r="O211" s="632" t="str">
        <f t="shared" si="165"/>
        <v/>
      </c>
      <c r="P211" s="512" t="str">
        <f t="shared" si="140"/>
        <v>-</v>
      </c>
      <c r="Q211" s="4" t="str">
        <f t="shared" si="152"/>
        <v>-</v>
      </c>
    </row>
    <row r="212" spans="1:17" ht="15.75" x14ac:dyDescent="0.25">
      <c r="A212" s="915"/>
      <c r="B212" s="824"/>
      <c r="C212" s="17" t="s">
        <v>22</v>
      </c>
      <c r="D212" s="681" t="str">
        <f t="shared" si="165"/>
        <v/>
      </c>
      <c r="E212" s="681" t="str">
        <f t="shared" si="165"/>
        <v/>
      </c>
      <c r="F212" s="681" t="str">
        <f t="shared" si="165"/>
        <v/>
      </c>
      <c r="G212" s="681" t="str">
        <f t="shared" si="165"/>
        <v/>
      </c>
      <c r="H212" s="681" t="str">
        <f t="shared" si="165"/>
        <v/>
      </c>
      <c r="I212" s="681" t="str">
        <f t="shared" si="165"/>
        <v/>
      </c>
      <c r="J212" s="681" t="str">
        <f t="shared" si="165"/>
        <v/>
      </c>
      <c r="K212" s="681" t="str">
        <f t="shared" si="165"/>
        <v/>
      </c>
      <c r="L212" s="681" t="str">
        <f t="shared" si="165"/>
        <v/>
      </c>
      <c r="M212" s="681" t="str">
        <f t="shared" si="165"/>
        <v/>
      </c>
      <c r="N212" s="681" t="str">
        <f t="shared" si="165"/>
        <v/>
      </c>
      <c r="O212" s="682" t="str">
        <f t="shared" si="165"/>
        <v/>
      </c>
      <c r="P212" s="511" t="str">
        <f t="shared" si="140"/>
        <v>-</v>
      </c>
      <c r="Q212" s="6" t="str">
        <f t="shared" si="152"/>
        <v>-</v>
      </c>
    </row>
    <row r="213" spans="1:17" ht="15.75" x14ac:dyDescent="0.25">
      <c r="A213" s="915"/>
      <c r="B213" s="823" t="str">
        <f>IF($B$28="OTHER (RENAME)","OTHER",$B$28)</f>
        <v>OTHER</v>
      </c>
      <c r="C213" s="18" t="s">
        <v>21</v>
      </c>
      <c r="D213" s="624" t="str">
        <f t="shared" si="165"/>
        <v/>
      </c>
      <c r="E213" s="624" t="str">
        <f t="shared" si="165"/>
        <v/>
      </c>
      <c r="F213" s="624" t="str">
        <f t="shared" si="165"/>
        <v/>
      </c>
      <c r="G213" s="624" t="str">
        <f t="shared" si="165"/>
        <v/>
      </c>
      <c r="H213" s="624" t="str">
        <f t="shared" si="165"/>
        <v/>
      </c>
      <c r="I213" s="624" t="str">
        <f t="shared" si="165"/>
        <v/>
      </c>
      <c r="J213" s="624" t="str">
        <f t="shared" si="165"/>
        <v/>
      </c>
      <c r="K213" s="624" t="str">
        <f t="shared" si="165"/>
        <v/>
      </c>
      <c r="L213" s="624" t="str">
        <f t="shared" si="165"/>
        <v/>
      </c>
      <c r="M213" s="624" t="str">
        <f t="shared" si="165"/>
        <v/>
      </c>
      <c r="N213" s="624" t="str">
        <f t="shared" si="165"/>
        <v/>
      </c>
      <c r="O213" s="632" t="str">
        <f t="shared" si="165"/>
        <v/>
      </c>
      <c r="P213" s="512" t="str">
        <f t="shared" si="140"/>
        <v>-</v>
      </c>
      <c r="Q213" s="4" t="str">
        <f t="shared" ref="Q213:Q214" si="166">IF(SUM(D213:O213)=0,"-",SUM(D213:O213))</f>
        <v>-</v>
      </c>
    </row>
    <row r="214" spans="1:17" ht="15.75" x14ac:dyDescent="0.25">
      <c r="A214" s="915"/>
      <c r="B214" s="824"/>
      <c r="C214" s="18" t="s">
        <v>22</v>
      </c>
      <c r="D214" s="681" t="str">
        <f t="shared" si="165"/>
        <v/>
      </c>
      <c r="E214" s="681" t="str">
        <f t="shared" si="165"/>
        <v/>
      </c>
      <c r="F214" s="681" t="str">
        <f t="shared" si="165"/>
        <v/>
      </c>
      <c r="G214" s="681" t="str">
        <f t="shared" si="165"/>
        <v/>
      </c>
      <c r="H214" s="681" t="str">
        <f t="shared" si="165"/>
        <v/>
      </c>
      <c r="I214" s="681" t="str">
        <f t="shared" si="165"/>
        <v/>
      </c>
      <c r="J214" s="681" t="str">
        <f t="shared" si="165"/>
        <v/>
      </c>
      <c r="K214" s="681" t="str">
        <f t="shared" si="165"/>
        <v/>
      </c>
      <c r="L214" s="681" t="str">
        <f t="shared" si="165"/>
        <v/>
      </c>
      <c r="M214" s="681" t="str">
        <f t="shared" si="165"/>
        <v/>
      </c>
      <c r="N214" s="681" t="str">
        <f t="shared" si="165"/>
        <v/>
      </c>
      <c r="O214" s="682" t="str">
        <f t="shared" si="165"/>
        <v/>
      </c>
      <c r="P214" s="511" t="str">
        <f t="shared" si="140"/>
        <v>-</v>
      </c>
      <c r="Q214" s="6" t="str">
        <f t="shared" si="166"/>
        <v>-</v>
      </c>
    </row>
    <row r="215" spans="1:17" ht="15.75" x14ac:dyDescent="0.25">
      <c r="A215" s="915"/>
      <c r="B215" s="823" t="str">
        <f>IF($B$30="OTHER (RENAME)","OTHER",$B$30)</f>
        <v>OTHER</v>
      </c>
      <c r="C215" s="16" t="s">
        <v>21</v>
      </c>
      <c r="D215" s="624" t="str">
        <f t="shared" si="165"/>
        <v/>
      </c>
      <c r="E215" s="624" t="str">
        <f t="shared" si="165"/>
        <v/>
      </c>
      <c r="F215" s="624" t="str">
        <f t="shared" si="165"/>
        <v/>
      </c>
      <c r="G215" s="624" t="str">
        <f t="shared" si="165"/>
        <v/>
      </c>
      <c r="H215" s="624" t="str">
        <f t="shared" si="165"/>
        <v/>
      </c>
      <c r="I215" s="624" t="str">
        <f t="shared" si="165"/>
        <v/>
      </c>
      <c r="J215" s="624" t="str">
        <f t="shared" si="165"/>
        <v/>
      </c>
      <c r="K215" s="624" t="str">
        <f t="shared" si="165"/>
        <v/>
      </c>
      <c r="L215" s="624" t="str">
        <f t="shared" si="165"/>
        <v/>
      </c>
      <c r="M215" s="624" t="str">
        <f t="shared" si="165"/>
        <v/>
      </c>
      <c r="N215" s="624" t="str">
        <f t="shared" si="165"/>
        <v/>
      </c>
      <c r="O215" s="632" t="str">
        <f t="shared" si="165"/>
        <v/>
      </c>
      <c r="P215" s="512" t="str">
        <f t="shared" si="140"/>
        <v>-</v>
      </c>
      <c r="Q215" s="4" t="str">
        <f t="shared" ref="Q215:Q220" si="167">IF(SUM(D215:O215)=0,"-",SUM(D215:O215))</f>
        <v>-</v>
      </c>
    </row>
    <row r="216" spans="1:17" ht="15.75" x14ac:dyDescent="0.25">
      <c r="A216" s="915"/>
      <c r="B216" s="824"/>
      <c r="C216" s="17" t="s">
        <v>22</v>
      </c>
      <c r="D216" s="681" t="str">
        <f t="shared" si="165"/>
        <v/>
      </c>
      <c r="E216" s="681" t="str">
        <f t="shared" si="165"/>
        <v/>
      </c>
      <c r="F216" s="681" t="str">
        <f t="shared" si="165"/>
        <v/>
      </c>
      <c r="G216" s="681" t="str">
        <f t="shared" si="165"/>
        <v/>
      </c>
      <c r="H216" s="681" t="str">
        <f t="shared" si="165"/>
        <v/>
      </c>
      <c r="I216" s="681" t="str">
        <f t="shared" si="165"/>
        <v/>
      </c>
      <c r="J216" s="681" t="str">
        <f t="shared" si="165"/>
        <v/>
      </c>
      <c r="K216" s="681" t="str">
        <f t="shared" si="165"/>
        <v/>
      </c>
      <c r="L216" s="681" t="str">
        <f t="shared" si="165"/>
        <v/>
      </c>
      <c r="M216" s="681" t="str">
        <f t="shared" si="165"/>
        <v/>
      </c>
      <c r="N216" s="681" t="str">
        <f t="shared" si="165"/>
        <v/>
      </c>
      <c r="O216" s="682" t="str">
        <f t="shared" si="165"/>
        <v/>
      </c>
      <c r="P216" s="511" t="str">
        <f t="shared" si="140"/>
        <v>-</v>
      </c>
      <c r="Q216" s="6" t="str">
        <f t="shared" si="167"/>
        <v>-</v>
      </c>
    </row>
    <row r="217" spans="1:17" ht="15.75" x14ac:dyDescent="0.25">
      <c r="A217" s="915"/>
      <c r="B217" s="823" t="str">
        <f>IF($B$32="OTHER (RENAME)","OTHER",$B$32)</f>
        <v>OTHER</v>
      </c>
      <c r="C217" s="16" t="s">
        <v>21</v>
      </c>
      <c r="D217" s="624" t="str">
        <f t="shared" si="165"/>
        <v/>
      </c>
      <c r="E217" s="624" t="str">
        <f t="shared" si="165"/>
        <v/>
      </c>
      <c r="F217" s="624" t="str">
        <f t="shared" si="165"/>
        <v/>
      </c>
      <c r="G217" s="624" t="str">
        <f t="shared" si="165"/>
        <v/>
      </c>
      <c r="H217" s="624" t="str">
        <f t="shared" si="165"/>
        <v/>
      </c>
      <c r="I217" s="624" t="str">
        <f t="shared" si="165"/>
        <v/>
      </c>
      <c r="J217" s="624" t="str">
        <f t="shared" si="165"/>
        <v/>
      </c>
      <c r="K217" s="624" t="str">
        <f t="shared" si="165"/>
        <v/>
      </c>
      <c r="L217" s="624" t="str">
        <f t="shared" si="165"/>
        <v/>
      </c>
      <c r="M217" s="624" t="str">
        <f t="shared" si="165"/>
        <v/>
      </c>
      <c r="N217" s="624" t="str">
        <f t="shared" si="165"/>
        <v/>
      </c>
      <c r="O217" s="632" t="str">
        <f t="shared" si="165"/>
        <v/>
      </c>
      <c r="P217" s="512" t="str">
        <f t="shared" si="140"/>
        <v>-</v>
      </c>
      <c r="Q217" s="4" t="str">
        <f t="shared" si="167"/>
        <v>-</v>
      </c>
    </row>
    <row r="218" spans="1:17" ht="15.75" x14ac:dyDescent="0.25">
      <c r="A218" s="915"/>
      <c r="B218" s="824"/>
      <c r="C218" s="17" t="s">
        <v>22</v>
      </c>
      <c r="D218" s="681" t="str">
        <f>IF(SUM(D33,D64,D95,D126,D157,D188)=0,"",SUM(D33,D64,D95,D126,D157,D188))</f>
        <v/>
      </c>
      <c r="E218" s="681" t="str">
        <f t="shared" si="165"/>
        <v/>
      </c>
      <c r="F218" s="681" t="str">
        <f t="shared" si="165"/>
        <v/>
      </c>
      <c r="G218" s="681" t="str">
        <f t="shared" si="165"/>
        <v/>
      </c>
      <c r="H218" s="681" t="str">
        <f t="shared" si="165"/>
        <v/>
      </c>
      <c r="I218" s="681" t="str">
        <f t="shared" si="165"/>
        <v/>
      </c>
      <c r="J218" s="681" t="str">
        <f t="shared" si="165"/>
        <v/>
      </c>
      <c r="K218" s="681" t="str">
        <f t="shared" si="165"/>
        <v/>
      </c>
      <c r="L218" s="681" t="str">
        <f t="shared" si="165"/>
        <v/>
      </c>
      <c r="M218" s="681" t="str">
        <f t="shared" si="165"/>
        <v/>
      </c>
      <c r="N218" s="681" t="str">
        <f t="shared" si="165"/>
        <v/>
      </c>
      <c r="O218" s="682" t="str">
        <f t="shared" si="165"/>
        <v/>
      </c>
      <c r="P218" s="511" t="str">
        <f t="shared" si="140"/>
        <v>-</v>
      </c>
      <c r="Q218" s="6" t="str">
        <f t="shared" si="167"/>
        <v>-</v>
      </c>
    </row>
    <row r="219" spans="1:17" ht="15.75" x14ac:dyDescent="0.25">
      <c r="A219" s="915"/>
      <c r="B219" s="823" t="str">
        <f>IF($B$34="OTHER (RENAME)","OTHER",$B$34)</f>
        <v>OTHER</v>
      </c>
      <c r="C219" s="16" t="s">
        <v>21</v>
      </c>
      <c r="D219" s="624" t="str">
        <f t="shared" si="165"/>
        <v/>
      </c>
      <c r="E219" s="624" t="str">
        <f t="shared" si="165"/>
        <v/>
      </c>
      <c r="F219" s="624" t="str">
        <f t="shared" si="165"/>
        <v/>
      </c>
      <c r="G219" s="624" t="str">
        <f t="shared" si="165"/>
        <v/>
      </c>
      <c r="H219" s="624" t="str">
        <f t="shared" si="165"/>
        <v/>
      </c>
      <c r="I219" s="624" t="str">
        <f t="shared" si="165"/>
        <v/>
      </c>
      <c r="J219" s="624" t="str">
        <f t="shared" si="165"/>
        <v/>
      </c>
      <c r="K219" s="624" t="str">
        <f t="shared" si="165"/>
        <v/>
      </c>
      <c r="L219" s="624" t="str">
        <f t="shared" si="165"/>
        <v/>
      </c>
      <c r="M219" s="624" t="str">
        <f t="shared" si="165"/>
        <v/>
      </c>
      <c r="N219" s="624" t="str">
        <f t="shared" si="165"/>
        <v/>
      </c>
      <c r="O219" s="632" t="str">
        <f t="shared" si="165"/>
        <v/>
      </c>
      <c r="P219" s="512" t="str">
        <f t="shared" si="140"/>
        <v>-</v>
      </c>
      <c r="Q219" s="4" t="str">
        <f t="shared" si="167"/>
        <v>-</v>
      </c>
    </row>
    <row r="220" spans="1:17" ht="15.75" x14ac:dyDescent="0.25">
      <c r="A220" s="915"/>
      <c r="B220" s="824"/>
      <c r="C220" s="17" t="s">
        <v>22</v>
      </c>
      <c r="D220" s="681" t="str">
        <f t="shared" si="165"/>
        <v/>
      </c>
      <c r="E220" s="681" t="str">
        <f t="shared" si="165"/>
        <v/>
      </c>
      <c r="F220" s="681" t="str">
        <f t="shared" si="165"/>
        <v/>
      </c>
      <c r="G220" s="681" t="str">
        <f t="shared" si="165"/>
        <v/>
      </c>
      <c r="H220" s="681" t="str">
        <f t="shared" si="165"/>
        <v/>
      </c>
      <c r="I220" s="681" t="str">
        <f t="shared" si="165"/>
        <v/>
      </c>
      <c r="J220" s="681" t="str">
        <f t="shared" si="165"/>
        <v/>
      </c>
      <c r="K220" s="681" t="str">
        <f t="shared" si="165"/>
        <v/>
      </c>
      <c r="L220" s="681" t="str">
        <f t="shared" si="165"/>
        <v/>
      </c>
      <c r="M220" s="681" t="str">
        <f t="shared" si="165"/>
        <v/>
      </c>
      <c r="N220" s="681" t="str">
        <f t="shared" si="165"/>
        <v/>
      </c>
      <c r="O220" s="682" t="str">
        <f t="shared" si="165"/>
        <v/>
      </c>
      <c r="P220" s="511" t="str">
        <f t="shared" si="140"/>
        <v>-</v>
      </c>
      <c r="Q220" s="6" t="str">
        <f t="shared" si="167"/>
        <v>-</v>
      </c>
    </row>
    <row r="221" spans="1:17" ht="15.75" x14ac:dyDescent="0.25">
      <c r="A221" s="915"/>
      <c r="B221" s="923" t="s">
        <v>172</v>
      </c>
      <c r="C221" s="924"/>
      <c r="D221" s="546" t="str">
        <f>IF(SUM(D193,D195)=0,"",SUM(D193,D195))</f>
        <v/>
      </c>
      <c r="E221" s="546" t="str">
        <f t="shared" ref="E221:O221" si="168">IF(SUM(E193,E195)=0,"",SUM(E193,E195))</f>
        <v/>
      </c>
      <c r="F221" s="546" t="str">
        <f t="shared" si="168"/>
        <v/>
      </c>
      <c r="G221" s="546" t="str">
        <f t="shared" si="168"/>
        <v/>
      </c>
      <c r="H221" s="546" t="str">
        <f t="shared" si="168"/>
        <v/>
      </c>
      <c r="I221" s="546" t="str">
        <f t="shared" si="168"/>
        <v/>
      </c>
      <c r="J221" s="546" t="str">
        <f t="shared" si="168"/>
        <v/>
      </c>
      <c r="K221" s="546" t="str">
        <f t="shared" si="168"/>
        <v/>
      </c>
      <c r="L221" s="546" t="str">
        <f t="shared" si="168"/>
        <v/>
      </c>
      <c r="M221" s="546" t="str">
        <f t="shared" si="168"/>
        <v/>
      </c>
      <c r="N221" s="546" t="str">
        <f t="shared" si="168"/>
        <v/>
      </c>
      <c r="O221" s="633" t="str">
        <f t="shared" si="168"/>
        <v/>
      </c>
      <c r="P221" s="512" t="str">
        <f t="shared" ref="P221:P222" si="169">IF(Q221="-","-",Q221/COUNTIF(D221:O221,"&gt;0"))</f>
        <v>-</v>
      </c>
      <c r="Q221" s="4" t="str">
        <f>IF(SUM(D221:O221)=0,"-",SUM(D221:O221))</f>
        <v>-</v>
      </c>
    </row>
    <row r="222" spans="1:17" ht="15.75" x14ac:dyDescent="0.25">
      <c r="A222" s="915"/>
      <c r="B222" s="923" t="s">
        <v>18</v>
      </c>
      <c r="C222" s="924"/>
      <c r="D222" s="546" t="str">
        <f t="shared" ref="D222:O222" si="170">IF(SUM(D36,D67,D98,D129,D160,D191)=0,"",SUM(D36,D67,D98,D129,D160,D191))</f>
        <v/>
      </c>
      <c r="E222" s="546" t="str">
        <f t="shared" si="170"/>
        <v/>
      </c>
      <c r="F222" s="546" t="str">
        <f t="shared" si="170"/>
        <v/>
      </c>
      <c r="G222" s="546" t="str">
        <f t="shared" si="170"/>
        <v/>
      </c>
      <c r="H222" s="546" t="str">
        <f t="shared" si="170"/>
        <v/>
      </c>
      <c r="I222" s="546" t="str">
        <f t="shared" si="170"/>
        <v/>
      </c>
      <c r="J222" s="546" t="str">
        <f t="shared" si="170"/>
        <v/>
      </c>
      <c r="K222" s="546" t="str">
        <f t="shared" si="170"/>
        <v/>
      </c>
      <c r="L222" s="546" t="str">
        <f t="shared" si="170"/>
        <v/>
      </c>
      <c r="M222" s="546" t="str">
        <f t="shared" si="170"/>
        <v/>
      </c>
      <c r="N222" s="546" t="str">
        <f t="shared" si="170"/>
        <v/>
      </c>
      <c r="O222" s="633" t="str">
        <f t="shared" si="170"/>
        <v/>
      </c>
      <c r="P222" s="512" t="str">
        <f t="shared" si="169"/>
        <v>-</v>
      </c>
      <c r="Q222" s="4" t="str">
        <f>IF(SUM(D222:O222)=0,"-",SUM(D222:O222))</f>
        <v>-</v>
      </c>
    </row>
    <row r="223" spans="1:17" ht="16.5" thickBot="1" x14ac:dyDescent="0.3">
      <c r="A223" s="916"/>
      <c r="B223" s="925" t="s">
        <v>17</v>
      </c>
      <c r="C223" s="926"/>
      <c r="D223" s="697" t="str">
        <f t="shared" ref="D223:O223" si="171">IF(SUM(D192,D161,D130,D99,D68,D37)=0,"",SUM(D192,D161,D130,D99,D68,D37))</f>
        <v/>
      </c>
      <c r="E223" s="697" t="str">
        <f t="shared" si="171"/>
        <v/>
      </c>
      <c r="F223" s="697" t="str">
        <f t="shared" si="171"/>
        <v/>
      </c>
      <c r="G223" s="697" t="str">
        <f t="shared" si="171"/>
        <v/>
      </c>
      <c r="H223" s="697" t="str">
        <f t="shared" si="171"/>
        <v/>
      </c>
      <c r="I223" s="697" t="str">
        <f t="shared" si="171"/>
        <v/>
      </c>
      <c r="J223" s="697" t="str">
        <f t="shared" si="171"/>
        <v/>
      </c>
      <c r="K223" s="697" t="str">
        <f t="shared" si="171"/>
        <v/>
      </c>
      <c r="L223" s="697" t="str">
        <f t="shared" si="171"/>
        <v/>
      </c>
      <c r="M223" s="697" t="str">
        <f t="shared" si="171"/>
        <v/>
      </c>
      <c r="N223" s="697" t="str">
        <f t="shared" si="171"/>
        <v/>
      </c>
      <c r="O223" s="698" t="str">
        <f t="shared" si="171"/>
        <v/>
      </c>
      <c r="P223" s="631" t="str">
        <f>IF(Q223="-","-",Q223/COUNTIF(D223:O223,"&gt;0"))</f>
        <v>-</v>
      </c>
      <c r="Q223" s="629" t="str">
        <f>IF(SUM(D223:O223)=0,"-",SUM(D223:O223))</f>
        <v>-</v>
      </c>
    </row>
    <row r="224" spans="1:17" ht="15.75" customHeight="1" x14ac:dyDescent="0.25">
      <c r="A224" s="838" t="s">
        <v>181</v>
      </c>
      <c r="B224" s="841" t="s">
        <v>179</v>
      </c>
      <c r="C224" s="745" t="s">
        <v>175</v>
      </c>
      <c r="D224" s="751"/>
      <c r="E224" s="751"/>
      <c r="F224" s="751"/>
      <c r="G224" s="751"/>
      <c r="H224" s="751"/>
      <c r="I224" s="751"/>
      <c r="J224" s="751"/>
      <c r="K224" s="751"/>
      <c r="L224" s="751"/>
      <c r="M224" s="751"/>
      <c r="N224" s="751"/>
      <c r="O224" s="752"/>
      <c r="P224" s="928"/>
      <c r="Q224" s="929"/>
    </row>
    <row r="225" spans="1:17" ht="15.75" customHeight="1" x14ac:dyDescent="0.25">
      <c r="A225" s="839"/>
      <c r="B225" s="790"/>
      <c r="C225" s="744" t="s">
        <v>176</v>
      </c>
      <c r="D225" s="753"/>
      <c r="E225" s="753"/>
      <c r="F225" s="753"/>
      <c r="G225" s="753"/>
      <c r="H225" s="753"/>
      <c r="I225" s="753"/>
      <c r="J225" s="753"/>
      <c r="K225" s="753"/>
      <c r="L225" s="753"/>
      <c r="M225" s="753"/>
      <c r="N225" s="753"/>
      <c r="O225" s="754"/>
      <c r="P225" s="930"/>
      <c r="Q225" s="931"/>
    </row>
    <row r="226" spans="1:17" ht="30" x14ac:dyDescent="0.25">
      <c r="A226" s="839"/>
      <c r="B226" s="761" t="str">
        <f>'2024'!O226</f>
        <v>0:00</v>
      </c>
      <c r="C226" s="755" t="s">
        <v>177</v>
      </c>
      <c r="D226" s="749" t="str">
        <f>IF(B226-B227+D224-D225&lt;=0,"0:00",B226+D224-D225)</f>
        <v>0:00</v>
      </c>
      <c r="E226" s="749" t="str">
        <f>IF(D226-D227+E224-E225&lt;=0,"0:00",D226-D227+E224-E225)</f>
        <v>0:00</v>
      </c>
      <c r="F226" s="749" t="str">
        <f t="shared" ref="F226:O226" si="172">IF(E226-E227+F224-F225&lt;=0,"0:00",E226-E227+F224-F225)</f>
        <v>0:00</v>
      </c>
      <c r="G226" s="749" t="str">
        <f t="shared" si="172"/>
        <v>0:00</v>
      </c>
      <c r="H226" s="749" t="str">
        <f t="shared" si="172"/>
        <v>0:00</v>
      </c>
      <c r="I226" s="749" t="str">
        <f t="shared" si="172"/>
        <v>0:00</v>
      </c>
      <c r="J226" s="749" t="str">
        <f t="shared" si="172"/>
        <v>0:00</v>
      </c>
      <c r="K226" s="749" t="str">
        <f t="shared" si="172"/>
        <v>0:00</v>
      </c>
      <c r="L226" s="749" t="str">
        <f t="shared" si="172"/>
        <v>0:00</v>
      </c>
      <c r="M226" s="749" t="str">
        <f t="shared" si="172"/>
        <v>0:00</v>
      </c>
      <c r="N226" s="749" t="str">
        <f t="shared" si="172"/>
        <v>0:00</v>
      </c>
      <c r="O226" s="750" t="str">
        <f t="shared" si="172"/>
        <v>0:00</v>
      </c>
      <c r="P226" s="930"/>
      <c r="Q226" s="931"/>
    </row>
    <row r="227" spans="1:17" ht="30" x14ac:dyDescent="0.25">
      <c r="A227" s="839"/>
      <c r="B227" s="762" t="str">
        <f>'2024'!O227</f>
        <v>0:00</v>
      </c>
      <c r="C227" s="756" t="s">
        <v>178</v>
      </c>
      <c r="D227" s="757" t="str">
        <f>IF(B227-B226-D224+D225&lt;=0,"0:00",B227-D224+D225)</f>
        <v>0:00</v>
      </c>
      <c r="E227" s="757" t="str">
        <f>IF(D227-D226-E224+E225&lt;=0,"0:00",D227-D226-E224+E225)</f>
        <v>0:00</v>
      </c>
      <c r="F227" s="757" t="str">
        <f>IF(E227-E226-F224+F225&lt;=0,"0:00",E227-E226-F224+F225)</f>
        <v>0:00</v>
      </c>
      <c r="G227" s="757" t="str">
        <f t="shared" ref="G227:O227" si="173">IF(F227-F226-G224+G225&lt;=0,"0:00",F227-F226-G224+G225)</f>
        <v>0:00</v>
      </c>
      <c r="H227" s="757" t="str">
        <f t="shared" si="173"/>
        <v>0:00</v>
      </c>
      <c r="I227" s="757" t="str">
        <f t="shared" si="173"/>
        <v>0:00</v>
      </c>
      <c r="J227" s="757" t="str">
        <f t="shared" si="173"/>
        <v>0:00</v>
      </c>
      <c r="K227" s="757" t="str">
        <f t="shared" si="173"/>
        <v>0:00</v>
      </c>
      <c r="L227" s="757" t="str">
        <f t="shared" si="173"/>
        <v>0:00</v>
      </c>
      <c r="M227" s="757" t="str">
        <f t="shared" si="173"/>
        <v>0:00</v>
      </c>
      <c r="N227" s="757" t="str">
        <f t="shared" si="173"/>
        <v>0:00</v>
      </c>
      <c r="O227" s="759" t="str">
        <f t="shared" si="173"/>
        <v>0:00</v>
      </c>
      <c r="P227" s="930"/>
      <c r="Q227" s="931"/>
    </row>
    <row r="228" spans="1:17" ht="15.75" customHeight="1" thickBot="1" x14ac:dyDescent="0.3">
      <c r="A228" s="840"/>
      <c r="B228" s="934" t="s">
        <v>174</v>
      </c>
      <c r="C228" s="935"/>
      <c r="D228" s="758" t="str">
        <f>IF(SUM(D224:D225)=0,"",(D225-D224)*MAX(D$7,D$38,D$69,D$100,D$131,D$162)*24)</f>
        <v/>
      </c>
      <c r="E228" s="758" t="str">
        <f t="shared" ref="E228:O228" si="174">IF(SUM(E224:E225)=0,"",(E225-E224)*MAX(E$7,E$38,E$69,E$100,E$131,E$162)*24)</f>
        <v/>
      </c>
      <c r="F228" s="758" t="str">
        <f t="shared" si="174"/>
        <v/>
      </c>
      <c r="G228" s="758" t="str">
        <f t="shared" si="174"/>
        <v/>
      </c>
      <c r="H228" s="758" t="str">
        <f t="shared" si="174"/>
        <v/>
      </c>
      <c r="I228" s="758" t="str">
        <f t="shared" si="174"/>
        <v/>
      </c>
      <c r="J228" s="758" t="str">
        <f t="shared" si="174"/>
        <v/>
      </c>
      <c r="K228" s="758" t="str">
        <f t="shared" si="174"/>
        <v/>
      </c>
      <c r="L228" s="758" t="str">
        <f t="shared" si="174"/>
        <v/>
      </c>
      <c r="M228" s="758" t="str">
        <f t="shared" si="174"/>
        <v/>
      </c>
      <c r="N228" s="758" t="str">
        <f t="shared" si="174"/>
        <v/>
      </c>
      <c r="O228" s="760" t="str">
        <f t="shared" si="174"/>
        <v/>
      </c>
      <c r="P228" s="932"/>
      <c r="Q228" s="933"/>
    </row>
    <row r="229" spans="1:17" ht="15.75" customHeight="1" x14ac:dyDescent="0.25">
      <c r="A229" s="985" t="s">
        <v>14</v>
      </c>
      <c r="B229" s="748" t="s">
        <v>150</v>
      </c>
      <c r="C229" s="735">
        <v>2.85</v>
      </c>
      <c r="D229" s="736"/>
      <c r="E229" s="736"/>
      <c r="F229" s="736"/>
      <c r="G229" s="736"/>
      <c r="H229" s="736"/>
      <c r="I229" s="736"/>
      <c r="J229" s="736"/>
      <c r="K229" s="736"/>
      <c r="L229" s="736"/>
      <c r="M229" s="736"/>
      <c r="N229" s="736"/>
      <c r="O229" s="737"/>
      <c r="P229" s="738" t="str">
        <f t="shared" ref="P229:P275" si="175">IF(Q229="-","-",Q229/COUNTIF(D229:O229,"&gt;0"))</f>
        <v>-</v>
      </c>
      <c r="Q229" s="739" t="str">
        <f t="shared" ref="Q229:Q275" si="176">IF(SUM(D229:O229)=0,"-",SUM(D229:O229))</f>
        <v>-</v>
      </c>
    </row>
    <row r="230" spans="1:17" ht="15.75" customHeight="1" x14ac:dyDescent="0.25">
      <c r="A230" s="790"/>
      <c r="B230" s="746" t="s">
        <v>151</v>
      </c>
      <c r="C230" s="625">
        <v>3.35</v>
      </c>
      <c r="D230" s="549"/>
      <c r="E230" s="549"/>
      <c r="F230" s="549"/>
      <c r="G230" s="549"/>
      <c r="H230" s="549"/>
      <c r="I230" s="549"/>
      <c r="J230" s="549"/>
      <c r="K230" s="549"/>
      <c r="L230" s="549"/>
      <c r="M230" s="549"/>
      <c r="N230" s="549"/>
      <c r="O230" s="550"/>
      <c r="P230" s="635" t="str">
        <f t="shared" si="175"/>
        <v>-</v>
      </c>
      <c r="Q230" s="636" t="str">
        <f t="shared" si="176"/>
        <v>-</v>
      </c>
    </row>
    <row r="231" spans="1:17" ht="15.75" customHeight="1" x14ac:dyDescent="0.25">
      <c r="A231" s="790"/>
      <c r="B231" s="747" t="s">
        <v>27</v>
      </c>
      <c r="C231" s="17" t="s">
        <v>22</v>
      </c>
      <c r="D231" s="677" t="str">
        <f>IF(((D229)+(D230))*24=0,"",((D229*$C$229)+(D230*$C$230))*24)</f>
        <v/>
      </c>
      <c r="E231" s="677" t="str">
        <f t="shared" ref="E231:O231" si="177">IF(((E229)+(E230))*24=0,"",((E229*$C$229)+(E230*$C$230))*24)</f>
        <v/>
      </c>
      <c r="F231" s="677" t="str">
        <f t="shared" si="177"/>
        <v/>
      </c>
      <c r="G231" s="677" t="str">
        <f t="shared" si="177"/>
        <v/>
      </c>
      <c r="H231" s="677" t="str">
        <f t="shared" si="177"/>
        <v/>
      </c>
      <c r="I231" s="677" t="str">
        <f t="shared" si="177"/>
        <v/>
      </c>
      <c r="J231" s="677" t="str">
        <f t="shared" si="177"/>
        <v/>
      </c>
      <c r="K231" s="677" t="str">
        <f t="shared" si="177"/>
        <v/>
      </c>
      <c r="L231" s="677" t="str">
        <f t="shared" si="177"/>
        <v/>
      </c>
      <c r="M231" s="677" t="str">
        <f t="shared" si="177"/>
        <v/>
      </c>
      <c r="N231" s="677" t="str">
        <f t="shared" si="177"/>
        <v/>
      </c>
      <c r="O231" s="678" t="str">
        <f t="shared" si="177"/>
        <v/>
      </c>
      <c r="P231" s="631" t="str">
        <f t="shared" si="175"/>
        <v>-</v>
      </c>
      <c r="Q231" s="629" t="str">
        <f t="shared" si="176"/>
        <v>-</v>
      </c>
    </row>
    <row r="232" spans="1:17" ht="15.75" customHeight="1" x14ac:dyDescent="0.25">
      <c r="A232" s="790" t="s">
        <v>25</v>
      </c>
      <c r="B232" s="790"/>
      <c r="C232" s="89" t="s">
        <v>21</v>
      </c>
      <c r="D232" s="740"/>
      <c r="E232" s="740"/>
      <c r="F232" s="740"/>
      <c r="G232" s="740"/>
      <c r="H232" s="740"/>
      <c r="I232" s="740"/>
      <c r="J232" s="740"/>
      <c r="K232" s="740"/>
      <c r="L232" s="740"/>
      <c r="M232" s="740"/>
      <c r="N232" s="740"/>
      <c r="O232" s="741"/>
      <c r="P232" s="635" t="str">
        <f t="shared" si="175"/>
        <v>-</v>
      </c>
      <c r="Q232" s="636" t="str">
        <f t="shared" si="176"/>
        <v>-</v>
      </c>
    </row>
    <row r="233" spans="1:17" ht="15.75" customHeight="1" x14ac:dyDescent="0.25">
      <c r="A233" s="790"/>
      <c r="B233" s="790"/>
      <c r="C233" s="17" t="s">
        <v>22</v>
      </c>
      <c r="D233" s="677" t="str">
        <f t="shared" ref="D233:O233" si="178">IF(D232*MAX(D$7,D$38,D$69,D$100,D$131,D$162)*24=0,"",D232*MAX(D$7,D$38,D$69,D$100,D$131,D$162)*24)</f>
        <v/>
      </c>
      <c r="E233" s="677" t="str">
        <f t="shared" si="178"/>
        <v/>
      </c>
      <c r="F233" s="677" t="str">
        <f t="shared" si="178"/>
        <v/>
      </c>
      <c r="G233" s="677" t="str">
        <f t="shared" si="178"/>
        <v/>
      </c>
      <c r="H233" s="677" t="str">
        <f t="shared" si="178"/>
        <v/>
      </c>
      <c r="I233" s="677" t="str">
        <f t="shared" si="178"/>
        <v/>
      </c>
      <c r="J233" s="677" t="str">
        <f t="shared" si="178"/>
        <v/>
      </c>
      <c r="K233" s="677" t="str">
        <f t="shared" si="178"/>
        <v/>
      </c>
      <c r="L233" s="677" t="str">
        <f t="shared" si="178"/>
        <v/>
      </c>
      <c r="M233" s="677" t="str">
        <f t="shared" si="178"/>
        <v/>
      </c>
      <c r="N233" s="677" t="str">
        <f t="shared" si="178"/>
        <v/>
      </c>
      <c r="O233" s="678" t="str">
        <f t="shared" si="178"/>
        <v/>
      </c>
      <c r="P233" s="631" t="str">
        <f t="shared" si="175"/>
        <v>-</v>
      </c>
      <c r="Q233" s="629" t="str">
        <f t="shared" si="176"/>
        <v>-</v>
      </c>
    </row>
    <row r="234" spans="1:17" ht="15.75" customHeight="1" x14ac:dyDescent="0.25">
      <c r="A234" s="791" t="s">
        <v>24</v>
      </c>
      <c r="B234" s="792"/>
      <c r="C234" s="16" t="s">
        <v>21</v>
      </c>
      <c r="D234" s="675"/>
      <c r="E234" s="675"/>
      <c r="F234" s="675"/>
      <c r="G234" s="675"/>
      <c r="H234" s="675"/>
      <c r="I234" s="675"/>
      <c r="J234" s="675"/>
      <c r="K234" s="675"/>
      <c r="L234" s="675"/>
      <c r="M234" s="675"/>
      <c r="N234" s="675"/>
      <c r="O234" s="676"/>
      <c r="P234" s="635" t="str">
        <f t="shared" si="175"/>
        <v>-</v>
      </c>
      <c r="Q234" s="636" t="str">
        <f t="shared" si="176"/>
        <v>-</v>
      </c>
    </row>
    <row r="235" spans="1:17" ht="15.75" customHeight="1" x14ac:dyDescent="0.25">
      <c r="A235" s="793"/>
      <c r="B235" s="794"/>
      <c r="C235" s="17" t="s">
        <v>22</v>
      </c>
      <c r="D235" s="1031"/>
      <c r="E235" s="1031"/>
      <c r="F235" s="1031"/>
      <c r="G235" s="1031"/>
      <c r="H235" s="1031"/>
      <c r="I235" s="1031"/>
      <c r="J235" s="1031"/>
      <c r="K235" s="1031"/>
      <c r="L235" s="1031"/>
      <c r="M235" s="1031"/>
      <c r="N235" s="1031"/>
      <c r="O235" s="1032"/>
      <c r="P235" s="631" t="str">
        <f t="shared" si="175"/>
        <v>-</v>
      </c>
      <c r="Q235" s="629" t="str">
        <f t="shared" si="176"/>
        <v>-</v>
      </c>
    </row>
    <row r="236" spans="1:17" ht="15.75" customHeight="1" x14ac:dyDescent="0.25">
      <c r="A236" s="795" t="s">
        <v>2</v>
      </c>
      <c r="B236" s="796"/>
      <c r="C236" s="16" t="s">
        <v>21</v>
      </c>
      <c r="D236" s="675"/>
      <c r="E236" s="675"/>
      <c r="F236" s="675"/>
      <c r="G236" s="675"/>
      <c r="H236" s="675"/>
      <c r="I236" s="675"/>
      <c r="J236" s="675"/>
      <c r="K236" s="675"/>
      <c r="L236" s="675"/>
      <c r="M236" s="675"/>
      <c r="N236" s="675"/>
      <c r="O236" s="676"/>
      <c r="P236" s="635" t="str">
        <f t="shared" si="175"/>
        <v>-</v>
      </c>
      <c r="Q236" s="636" t="str">
        <f t="shared" si="176"/>
        <v>-</v>
      </c>
    </row>
    <row r="237" spans="1:17" ht="15.75" customHeight="1" x14ac:dyDescent="0.25">
      <c r="A237" s="797"/>
      <c r="B237" s="798"/>
      <c r="C237" s="17" t="s">
        <v>22</v>
      </c>
      <c r="D237" s="677" t="str">
        <f t="shared" ref="D237:O237" si="179">IF(D236*MAX(D$7,D$38,D$69,D$100,D$131,D$162)*24=0,"",D236*MAX(D$7,D$38,D$69,D$100,D$131,D$162)*24)</f>
        <v/>
      </c>
      <c r="E237" s="677" t="str">
        <f t="shared" si="179"/>
        <v/>
      </c>
      <c r="F237" s="677" t="str">
        <f t="shared" si="179"/>
        <v/>
      </c>
      <c r="G237" s="677" t="str">
        <f t="shared" si="179"/>
        <v/>
      </c>
      <c r="H237" s="677" t="str">
        <f t="shared" si="179"/>
        <v/>
      </c>
      <c r="I237" s="677" t="str">
        <f t="shared" si="179"/>
        <v/>
      </c>
      <c r="J237" s="677" t="str">
        <f t="shared" si="179"/>
        <v/>
      </c>
      <c r="K237" s="677" t="str">
        <f t="shared" si="179"/>
        <v/>
      </c>
      <c r="L237" s="677" t="str">
        <f t="shared" si="179"/>
        <v/>
      </c>
      <c r="M237" s="677" t="str">
        <f t="shared" si="179"/>
        <v/>
      </c>
      <c r="N237" s="677" t="str">
        <f t="shared" si="179"/>
        <v/>
      </c>
      <c r="O237" s="678" t="str">
        <f t="shared" si="179"/>
        <v/>
      </c>
      <c r="P237" s="631" t="str">
        <f t="shared" si="175"/>
        <v>-</v>
      </c>
      <c r="Q237" s="629" t="str">
        <f t="shared" si="176"/>
        <v>-</v>
      </c>
    </row>
    <row r="238" spans="1:17" ht="15.75" customHeight="1" x14ac:dyDescent="0.25">
      <c r="A238" s="791" t="s">
        <v>23</v>
      </c>
      <c r="B238" s="792"/>
      <c r="C238" s="16" t="s">
        <v>21</v>
      </c>
      <c r="D238" s="675"/>
      <c r="E238" s="675"/>
      <c r="F238" s="675"/>
      <c r="G238" s="675"/>
      <c r="H238" s="675"/>
      <c r="I238" s="675"/>
      <c r="J238" s="675"/>
      <c r="K238" s="675"/>
      <c r="L238" s="675"/>
      <c r="M238" s="675"/>
      <c r="N238" s="675"/>
      <c r="O238" s="676"/>
      <c r="P238" s="635" t="str">
        <f t="shared" si="175"/>
        <v>-</v>
      </c>
      <c r="Q238" s="636" t="str">
        <f t="shared" si="176"/>
        <v>-</v>
      </c>
    </row>
    <row r="239" spans="1:17" ht="15.75" customHeight="1" x14ac:dyDescent="0.25">
      <c r="A239" s="793"/>
      <c r="B239" s="794"/>
      <c r="C239" s="89" t="s">
        <v>22</v>
      </c>
      <c r="D239" s="714" t="str">
        <f>IF(D238*MAX(D$7,D$38,D$69,D$100,D$131,D$162)*24=0,"",D238*MAX(D$7,D$38,D$69,D$100,D$131,D$162)*24)</f>
        <v/>
      </c>
      <c r="E239" s="714" t="str">
        <f t="shared" ref="E239:O239" si="180">IF(E238*MAX(E$7,E$38,E$69,E$100,E$131,E$162)*24=0,"",E238*MAX(E$7,E$38,E$69,E$100,E$131,E$162)*24)</f>
        <v/>
      </c>
      <c r="F239" s="714" t="str">
        <f t="shared" si="180"/>
        <v/>
      </c>
      <c r="G239" s="714" t="str">
        <f t="shared" si="180"/>
        <v/>
      </c>
      <c r="H239" s="714" t="str">
        <f t="shared" si="180"/>
        <v/>
      </c>
      <c r="I239" s="714" t="str">
        <f t="shared" si="180"/>
        <v/>
      </c>
      <c r="J239" s="714" t="str">
        <f t="shared" si="180"/>
        <v/>
      </c>
      <c r="K239" s="714" t="str">
        <f t="shared" si="180"/>
        <v/>
      </c>
      <c r="L239" s="714" t="str">
        <f t="shared" si="180"/>
        <v/>
      </c>
      <c r="M239" s="714" t="str">
        <f t="shared" si="180"/>
        <v/>
      </c>
      <c r="N239" s="714" t="str">
        <f t="shared" si="180"/>
        <v/>
      </c>
      <c r="O239" s="715" t="str">
        <f t="shared" si="180"/>
        <v/>
      </c>
      <c r="P239" s="631" t="str">
        <f t="shared" si="175"/>
        <v>-</v>
      </c>
      <c r="Q239" s="629" t="str">
        <f t="shared" si="176"/>
        <v>-</v>
      </c>
    </row>
    <row r="240" spans="1:17" ht="15.75" customHeight="1" x14ac:dyDescent="0.25">
      <c r="A240" s="799" t="s">
        <v>171</v>
      </c>
      <c r="B240" s="800"/>
      <c r="C240" s="16" t="s">
        <v>21</v>
      </c>
      <c r="D240" s="716"/>
      <c r="E240" s="675"/>
      <c r="F240" s="675"/>
      <c r="G240" s="675"/>
      <c r="H240" s="675"/>
      <c r="I240" s="675"/>
      <c r="J240" s="675"/>
      <c r="K240" s="675"/>
      <c r="L240" s="675"/>
      <c r="M240" s="675"/>
      <c r="N240" s="675"/>
      <c r="O240" s="676"/>
      <c r="P240" s="635" t="str">
        <f t="shared" si="175"/>
        <v>-</v>
      </c>
      <c r="Q240" s="636" t="str">
        <f t="shared" si="176"/>
        <v>-</v>
      </c>
    </row>
    <row r="241" spans="1:17" ht="15.75" customHeight="1" x14ac:dyDescent="0.25">
      <c r="A241" s="801"/>
      <c r="B241" s="802"/>
      <c r="C241" s="17" t="s">
        <v>22</v>
      </c>
      <c r="D241" s="717" t="str">
        <f t="shared" ref="D241:O241" si="181">IF(D240*MAX(D$7,D$38,D$69,D$100,D$131,D$162)*24=0,"",D240*MAX(D$7,D$38,D$69,D$100,D$131,D$162)*24)</f>
        <v/>
      </c>
      <c r="E241" s="677" t="str">
        <f t="shared" si="181"/>
        <v/>
      </c>
      <c r="F241" s="677" t="str">
        <f t="shared" si="181"/>
        <v/>
      </c>
      <c r="G241" s="677" t="str">
        <f t="shared" si="181"/>
        <v/>
      </c>
      <c r="H241" s="677" t="str">
        <f t="shared" si="181"/>
        <v/>
      </c>
      <c r="I241" s="677" t="str">
        <f t="shared" si="181"/>
        <v/>
      </c>
      <c r="J241" s="677" t="str">
        <f t="shared" si="181"/>
        <v/>
      </c>
      <c r="K241" s="677" t="str">
        <f t="shared" si="181"/>
        <v/>
      </c>
      <c r="L241" s="677" t="str">
        <f t="shared" si="181"/>
        <v/>
      </c>
      <c r="M241" s="677" t="str">
        <f t="shared" si="181"/>
        <v/>
      </c>
      <c r="N241" s="677" t="str">
        <f t="shared" si="181"/>
        <v/>
      </c>
      <c r="O241" s="678" t="str">
        <f t="shared" si="181"/>
        <v/>
      </c>
      <c r="P241" s="631" t="str">
        <f t="shared" si="175"/>
        <v>-</v>
      </c>
      <c r="Q241" s="629" t="str">
        <f t="shared" si="176"/>
        <v>-</v>
      </c>
    </row>
    <row r="242" spans="1:17" ht="15.75" x14ac:dyDescent="0.25">
      <c r="A242" s="799" t="s">
        <v>171</v>
      </c>
      <c r="B242" s="800"/>
      <c r="C242" s="16" t="s">
        <v>21</v>
      </c>
      <c r="D242" s="716"/>
      <c r="E242" s="675"/>
      <c r="F242" s="675"/>
      <c r="G242" s="675"/>
      <c r="H242" s="675"/>
      <c r="I242" s="675"/>
      <c r="J242" s="675"/>
      <c r="K242" s="675"/>
      <c r="L242" s="675"/>
      <c r="M242" s="675"/>
      <c r="N242" s="675"/>
      <c r="O242" s="676"/>
      <c r="P242" s="635" t="str">
        <f t="shared" si="175"/>
        <v>-</v>
      </c>
      <c r="Q242" s="636" t="str">
        <f t="shared" si="176"/>
        <v>-</v>
      </c>
    </row>
    <row r="243" spans="1:17" ht="15.75" customHeight="1" thickBot="1" x14ac:dyDescent="0.3">
      <c r="A243" s="803"/>
      <c r="B243" s="804"/>
      <c r="C243" s="527" t="s">
        <v>22</v>
      </c>
      <c r="D243" s="718" t="str">
        <f t="shared" ref="D243:O243" si="182">IF(D242*MAX(D$7,D$38,D$69,D$100,D$131,D$162)*24=0,"",D242*MAX(D$7,D$38,D$69,D$100,D$131,D$162)*24)</f>
        <v/>
      </c>
      <c r="E243" s="679" t="str">
        <f t="shared" si="182"/>
        <v/>
      </c>
      <c r="F243" s="679" t="str">
        <f t="shared" si="182"/>
        <v/>
      </c>
      <c r="G243" s="679" t="str">
        <f t="shared" si="182"/>
        <v/>
      </c>
      <c r="H243" s="679" t="str">
        <f t="shared" si="182"/>
        <v/>
      </c>
      <c r="I243" s="679" t="str">
        <f t="shared" si="182"/>
        <v/>
      </c>
      <c r="J243" s="679" t="str">
        <f t="shared" si="182"/>
        <v/>
      </c>
      <c r="K243" s="679" t="str">
        <f t="shared" si="182"/>
        <v/>
      </c>
      <c r="L243" s="679" t="str">
        <f t="shared" si="182"/>
        <v/>
      </c>
      <c r="M243" s="679" t="str">
        <f t="shared" si="182"/>
        <v/>
      </c>
      <c r="N243" s="679" t="str">
        <f t="shared" si="182"/>
        <v/>
      </c>
      <c r="O243" s="680" t="str">
        <f t="shared" si="182"/>
        <v/>
      </c>
      <c r="P243" s="525" t="str">
        <f t="shared" si="175"/>
        <v>-</v>
      </c>
      <c r="Q243" s="7" t="str">
        <f t="shared" si="176"/>
        <v>-</v>
      </c>
    </row>
    <row r="244" spans="1:17" ht="23.1" customHeight="1" x14ac:dyDescent="0.25">
      <c r="A244" s="842" t="s">
        <v>18</v>
      </c>
      <c r="B244" s="843"/>
      <c r="C244" s="844"/>
      <c r="D244" s="721" t="str">
        <f>IF(SUM(D222,D224,D232,D234,D236,D238,D240,D242)-D225=0,"",SUM(D222,D225,D232,D234,D236,D238,D240,D242)-D224)</f>
        <v/>
      </c>
      <c r="E244" s="721" t="str">
        <f t="shared" ref="E244:O244" si="183">IF(SUM(E222,E224,E232,E234,E236,E238,E240,E242)-E225=0,"",SUM(E222,E225,E232,E234,E236,E238,E240,E242)-E224)</f>
        <v/>
      </c>
      <c r="F244" s="721" t="str">
        <f t="shared" si="183"/>
        <v/>
      </c>
      <c r="G244" s="721" t="str">
        <f t="shared" si="183"/>
        <v/>
      </c>
      <c r="H244" s="721" t="str">
        <f t="shared" si="183"/>
        <v/>
      </c>
      <c r="I244" s="721" t="str">
        <f t="shared" si="183"/>
        <v/>
      </c>
      <c r="J244" s="721" t="str">
        <f t="shared" si="183"/>
        <v/>
      </c>
      <c r="K244" s="721" t="str">
        <f t="shared" si="183"/>
        <v/>
      </c>
      <c r="L244" s="721" t="str">
        <f t="shared" si="183"/>
        <v/>
      </c>
      <c r="M244" s="721" t="str">
        <f t="shared" si="183"/>
        <v/>
      </c>
      <c r="N244" s="721" t="str">
        <f t="shared" si="183"/>
        <v/>
      </c>
      <c r="O244" s="722" t="str">
        <f t="shared" si="183"/>
        <v/>
      </c>
      <c r="P244" s="544" t="str">
        <f t="shared" si="175"/>
        <v>-</v>
      </c>
      <c r="Q244" s="634" t="str">
        <f t="shared" si="176"/>
        <v>-</v>
      </c>
    </row>
    <row r="245" spans="1:17" ht="23.1" customHeight="1" thickBot="1" x14ac:dyDescent="0.3">
      <c r="A245" s="845" t="s">
        <v>26</v>
      </c>
      <c r="B245" s="846"/>
      <c r="C245" s="847"/>
      <c r="D245" s="528" t="str">
        <f>IF(SUM(D223,D228,D231,D233,D235,D237,D239,D241,D243)=0,"",SUM(D223,D228,D231,D233,D235,D237,D239,D241,D243))</f>
        <v/>
      </c>
      <c r="E245" s="528" t="str">
        <f t="shared" ref="E245:O245" si="184">IF(SUM(E223,E228,E231,E233,E235,E237,E239,E241,E243)=0,"",SUM(E223,E228,E231,E233,E235,E237,E239,E241,E243))</f>
        <v/>
      </c>
      <c r="F245" s="528" t="str">
        <f t="shared" si="184"/>
        <v/>
      </c>
      <c r="G245" s="528" t="str">
        <f t="shared" si="184"/>
        <v/>
      </c>
      <c r="H245" s="528" t="str">
        <f t="shared" si="184"/>
        <v/>
      </c>
      <c r="I245" s="528" t="str">
        <f t="shared" si="184"/>
        <v/>
      </c>
      <c r="J245" s="528" t="str">
        <f t="shared" si="184"/>
        <v/>
      </c>
      <c r="K245" s="528" t="str">
        <f t="shared" si="184"/>
        <v/>
      </c>
      <c r="L245" s="528" t="str">
        <f t="shared" si="184"/>
        <v/>
      </c>
      <c r="M245" s="528" t="str">
        <f t="shared" si="184"/>
        <v/>
      </c>
      <c r="N245" s="528" t="str">
        <f t="shared" si="184"/>
        <v/>
      </c>
      <c r="O245" s="545" t="str">
        <f t="shared" si="184"/>
        <v/>
      </c>
      <c r="P245" s="657" t="str">
        <f t="shared" si="175"/>
        <v>-</v>
      </c>
      <c r="Q245" s="723" t="str">
        <f t="shared" si="176"/>
        <v>-</v>
      </c>
    </row>
    <row r="246" spans="1:17" ht="27" thickBot="1" x14ac:dyDescent="0.3">
      <c r="A246" s="888" t="s">
        <v>28</v>
      </c>
      <c r="B246" s="889"/>
      <c r="C246" s="889"/>
      <c r="D246" s="889"/>
      <c r="E246" s="889"/>
      <c r="F246" s="889"/>
      <c r="G246" s="889"/>
      <c r="H246" s="889"/>
      <c r="I246" s="889"/>
      <c r="J246" s="889"/>
      <c r="K246" s="889"/>
      <c r="L246" s="889"/>
      <c r="M246" s="889"/>
      <c r="N246" s="889"/>
      <c r="O246" s="889"/>
      <c r="P246" s="889"/>
      <c r="Q246" s="890"/>
    </row>
    <row r="247" spans="1:17" ht="15.75" customHeight="1" x14ac:dyDescent="0.25">
      <c r="A247" s="917" t="s">
        <v>29</v>
      </c>
      <c r="B247" s="918"/>
      <c r="C247" s="541" t="s">
        <v>30</v>
      </c>
      <c r="D247" s="606"/>
      <c r="E247" s="606"/>
      <c r="F247" s="606"/>
      <c r="G247" s="606"/>
      <c r="H247" s="606"/>
      <c r="I247" s="606"/>
      <c r="J247" s="606"/>
      <c r="K247" s="606"/>
      <c r="L247" s="606"/>
      <c r="M247" s="606"/>
      <c r="N247" s="606"/>
      <c r="O247" s="607"/>
      <c r="P247" s="637" t="str">
        <f t="shared" si="175"/>
        <v>-</v>
      </c>
      <c r="Q247" s="638" t="str">
        <f t="shared" si="176"/>
        <v>-</v>
      </c>
    </row>
    <row r="248" spans="1:17" ht="15.75" customHeight="1" x14ac:dyDescent="0.25">
      <c r="A248" s="919"/>
      <c r="B248" s="920"/>
      <c r="C248" s="8" t="s">
        <v>31</v>
      </c>
      <c r="D248" s="608"/>
      <c r="E248" s="608"/>
      <c r="F248" s="608"/>
      <c r="G248" s="608"/>
      <c r="H248" s="608"/>
      <c r="I248" s="608"/>
      <c r="J248" s="608"/>
      <c r="K248" s="608"/>
      <c r="L248" s="608"/>
      <c r="M248" s="608"/>
      <c r="N248" s="608"/>
      <c r="O248" s="609"/>
      <c r="P248" s="639" t="str">
        <f t="shared" si="175"/>
        <v>-</v>
      </c>
      <c r="Q248" s="640" t="str">
        <f t="shared" si="176"/>
        <v>-</v>
      </c>
    </row>
    <row r="249" spans="1:17" ht="15.75" customHeight="1" x14ac:dyDescent="0.25">
      <c r="A249" s="919"/>
      <c r="B249" s="920"/>
      <c r="C249" s="8" t="s">
        <v>56</v>
      </c>
      <c r="D249" s="608"/>
      <c r="E249" s="608"/>
      <c r="F249" s="608"/>
      <c r="G249" s="608"/>
      <c r="H249" s="608"/>
      <c r="I249" s="608"/>
      <c r="J249" s="608"/>
      <c r="K249" s="608"/>
      <c r="L249" s="608"/>
      <c r="M249" s="608"/>
      <c r="N249" s="608"/>
      <c r="O249" s="609"/>
      <c r="P249" s="639" t="str">
        <f t="shared" si="175"/>
        <v>-</v>
      </c>
      <c r="Q249" s="640" t="str">
        <f t="shared" si="176"/>
        <v>-</v>
      </c>
    </row>
    <row r="250" spans="1:17" ht="19.5" thickBot="1" x14ac:dyDescent="0.3">
      <c r="A250" s="921"/>
      <c r="B250" s="922"/>
      <c r="C250" s="628" t="s">
        <v>5</v>
      </c>
      <c r="D250" s="542">
        <f>IF(SUM(D247,D248,D249)=0,0,SUM(D247,D248,D249))</f>
        <v>0</v>
      </c>
      <c r="E250" s="542">
        <f t="shared" ref="E250:O250" si="185">IF(SUM(E247,E248,E249)=0,0,SUM(E247,E248,E249))</f>
        <v>0</v>
      </c>
      <c r="F250" s="542">
        <f t="shared" si="185"/>
        <v>0</v>
      </c>
      <c r="G250" s="542">
        <f t="shared" si="185"/>
        <v>0</v>
      </c>
      <c r="H250" s="542">
        <f t="shared" si="185"/>
        <v>0</v>
      </c>
      <c r="I250" s="542">
        <f t="shared" si="185"/>
        <v>0</v>
      </c>
      <c r="J250" s="542">
        <f t="shared" si="185"/>
        <v>0</v>
      </c>
      <c r="K250" s="542">
        <f t="shared" si="185"/>
        <v>0</v>
      </c>
      <c r="L250" s="542">
        <f t="shared" si="185"/>
        <v>0</v>
      </c>
      <c r="M250" s="542">
        <f t="shared" si="185"/>
        <v>0</v>
      </c>
      <c r="N250" s="542">
        <f t="shared" si="185"/>
        <v>0</v>
      </c>
      <c r="O250" s="543">
        <f t="shared" si="185"/>
        <v>0</v>
      </c>
      <c r="P250" s="641" t="str">
        <f>IF(Q250="-","-",Q250/COUNTIF(D250:O250,"&gt;0"))</f>
        <v>-</v>
      </c>
      <c r="Q250" s="642" t="str">
        <f t="shared" si="176"/>
        <v>-</v>
      </c>
    </row>
    <row r="251" spans="1:17" ht="15.75" customHeight="1" x14ac:dyDescent="0.25">
      <c r="A251" s="848" t="s">
        <v>32</v>
      </c>
      <c r="B251" s="849"/>
      <c r="C251" s="537" t="s">
        <v>30</v>
      </c>
      <c r="D251" s="606"/>
      <c r="E251" s="606"/>
      <c r="F251" s="606"/>
      <c r="G251" s="606"/>
      <c r="H251" s="606"/>
      <c r="I251" s="606"/>
      <c r="J251" s="606"/>
      <c r="K251" s="606"/>
      <c r="L251" s="606"/>
      <c r="M251" s="606"/>
      <c r="N251" s="606"/>
      <c r="O251" s="607"/>
      <c r="P251" s="643" t="str">
        <f t="shared" si="175"/>
        <v>-</v>
      </c>
      <c r="Q251" s="644" t="str">
        <f t="shared" si="176"/>
        <v>-</v>
      </c>
    </row>
    <row r="252" spans="1:17" ht="15.75" customHeight="1" x14ac:dyDescent="0.25">
      <c r="A252" s="850"/>
      <c r="B252" s="851"/>
      <c r="C252" s="9" t="s">
        <v>31</v>
      </c>
      <c r="D252" s="608"/>
      <c r="E252" s="608"/>
      <c r="F252" s="608"/>
      <c r="G252" s="608"/>
      <c r="H252" s="608"/>
      <c r="I252" s="608"/>
      <c r="J252" s="608"/>
      <c r="K252" s="608"/>
      <c r="L252" s="608"/>
      <c r="M252" s="608"/>
      <c r="N252" s="608"/>
      <c r="O252" s="609"/>
      <c r="P252" s="645" t="str">
        <f t="shared" si="175"/>
        <v>-</v>
      </c>
      <c r="Q252" s="646" t="str">
        <f t="shared" si="176"/>
        <v>-</v>
      </c>
    </row>
    <row r="253" spans="1:17" ht="15.75" customHeight="1" x14ac:dyDescent="0.25">
      <c r="A253" s="850"/>
      <c r="B253" s="851"/>
      <c r="C253" s="9" t="s">
        <v>56</v>
      </c>
      <c r="D253" s="608"/>
      <c r="E253" s="608"/>
      <c r="F253" s="608"/>
      <c r="G253" s="608"/>
      <c r="H253" s="608"/>
      <c r="I253" s="608"/>
      <c r="J253" s="608"/>
      <c r="K253" s="608"/>
      <c r="L253" s="608"/>
      <c r="M253" s="608"/>
      <c r="N253" s="608"/>
      <c r="O253" s="609"/>
      <c r="P253" s="645" t="str">
        <f t="shared" si="175"/>
        <v>-</v>
      </c>
      <c r="Q253" s="646" t="str">
        <f t="shared" si="176"/>
        <v>-</v>
      </c>
    </row>
    <row r="254" spans="1:17" ht="15.75" customHeight="1" thickBot="1" x14ac:dyDescent="0.3">
      <c r="A254" s="852"/>
      <c r="B254" s="853"/>
      <c r="C254" s="538" t="s">
        <v>5</v>
      </c>
      <c r="D254" s="539">
        <f>IF(SUM(D251,D252,D253)=0,0,SUM(D251,D252,D253))</f>
        <v>0</v>
      </c>
      <c r="E254" s="539">
        <f t="shared" ref="E254:O254" si="186">IF(SUM(E251,E252,E253)=0,0,SUM(E251,E252,E253))</f>
        <v>0</v>
      </c>
      <c r="F254" s="539">
        <f t="shared" si="186"/>
        <v>0</v>
      </c>
      <c r="G254" s="539">
        <f t="shared" si="186"/>
        <v>0</v>
      </c>
      <c r="H254" s="539">
        <f t="shared" si="186"/>
        <v>0</v>
      </c>
      <c r="I254" s="539">
        <f t="shared" si="186"/>
        <v>0</v>
      </c>
      <c r="J254" s="539">
        <f t="shared" si="186"/>
        <v>0</v>
      </c>
      <c r="K254" s="539">
        <f t="shared" si="186"/>
        <v>0</v>
      </c>
      <c r="L254" s="539">
        <f t="shared" si="186"/>
        <v>0</v>
      </c>
      <c r="M254" s="539">
        <f t="shared" si="186"/>
        <v>0</v>
      </c>
      <c r="N254" s="539">
        <f t="shared" si="186"/>
        <v>0</v>
      </c>
      <c r="O254" s="540">
        <f t="shared" si="186"/>
        <v>0</v>
      </c>
      <c r="P254" s="647" t="str">
        <f>IF(Q254="-","-",Q254/COUNTIF(D254:O254,"&gt;0"))</f>
        <v>-</v>
      </c>
      <c r="Q254" s="648" t="str">
        <f t="shared" si="176"/>
        <v>-</v>
      </c>
    </row>
    <row r="255" spans="1:17" ht="15.75" customHeight="1" x14ac:dyDescent="0.25">
      <c r="A255" s="848" t="s">
        <v>33</v>
      </c>
      <c r="B255" s="849"/>
      <c r="C255" s="535" t="s">
        <v>30</v>
      </c>
      <c r="D255" s="606"/>
      <c r="E255" s="606"/>
      <c r="F255" s="606"/>
      <c r="G255" s="606"/>
      <c r="H255" s="606"/>
      <c r="I255" s="606"/>
      <c r="J255" s="606"/>
      <c r="K255" s="606"/>
      <c r="L255" s="606"/>
      <c r="M255" s="606"/>
      <c r="N255" s="606"/>
      <c r="O255" s="607"/>
      <c r="P255" s="643" t="str">
        <f t="shared" si="175"/>
        <v>-</v>
      </c>
      <c r="Q255" s="644" t="str">
        <f t="shared" si="176"/>
        <v>-</v>
      </c>
    </row>
    <row r="256" spans="1:17" ht="15.75" customHeight="1" x14ac:dyDescent="0.25">
      <c r="A256" s="850"/>
      <c r="B256" s="851"/>
      <c r="C256" s="10" t="s">
        <v>31</v>
      </c>
      <c r="D256" s="608"/>
      <c r="E256" s="608"/>
      <c r="F256" s="608"/>
      <c r="G256" s="608"/>
      <c r="H256" s="608"/>
      <c r="I256" s="608"/>
      <c r="J256" s="608"/>
      <c r="K256" s="608"/>
      <c r="L256" s="608"/>
      <c r="M256" s="608"/>
      <c r="N256" s="608"/>
      <c r="O256" s="609"/>
      <c r="P256" s="649" t="str">
        <f t="shared" si="175"/>
        <v>-</v>
      </c>
      <c r="Q256" s="650" t="str">
        <f t="shared" si="176"/>
        <v>-</v>
      </c>
    </row>
    <row r="257" spans="1:17" ht="15.75" customHeight="1" x14ac:dyDescent="0.25">
      <c r="A257" s="850"/>
      <c r="B257" s="851"/>
      <c r="C257" s="10" t="s">
        <v>56</v>
      </c>
      <c r="D257" s="608"/>
      <c r="E257" s="608"/>
      <c r="F257" s="608"/>
      <c r="G257" s="608"/>
      <c r="H257" s="608"/>
      <c r="I257" s="608"/>
      <c r="J257" s="608"/>
      <c r="K257" s="608"/>
      <c r="L257" s="608"/>
      <c r="M257" s="608"/>
      <c r="N257" s="608"/>
      <c r="O257" s="609"/>
      <c r="P257" s="649" t="str">
        <f t="shared" si="175"/>
        <v>-</v>
      </c>
      <c r="Q257" s="650" t="str">
        <f t="shared" si="176"/>
        <v>-</v>
      </c>
    </row>
    <row r="258" spans="1:17" ht="15.75" customHeight="1" thickBot="1" x14ac:dyDescent="0.3">
      <c r="A258" s="852"/>
      <c r="B258" s="853"/>
      <c r="C258" s="536" t="s">
        <v>5</v>
      </c>
      <c r="D258" s="539">
        <f>IF(SUM(D255,D256,D257)=0,0,SUM(D255,D256,D257))</f>
        <v>0</v>
      </c>
      <c r="E258" s="539">
        <f t="shared" ref="E258:O258" si="187">IF(SUM(E255,E256,E257)=0,0,SUM(E255,E256,E257))</f>
        <v>0</v>
      </c>
      <c r="F258" s="539">
        <f t="shared" si="187"/>
        <v>0</v>
      </c>
      <c r="G258" s="539">
        <f t="shared" si="187"/>
        <v>0</v>
      </c>
      <c r="H258" s="539">
        <f t="shared" si="187"/>
        <v>0</v>
      </c>
      <c r="I258" s="539">
        <f t="shared" si="187"/>
        <v>0</v>
      </c>
      <c r="J258" s="539">
        <f t="shared" si="187"/>
        <v>0</v>
      </c>
      <c r="K258" s="539">
        <f t="shared" si="187"/>
        <v>0</v>
      </c>
      <c r="L258" s="539">
        <f t="shared" si="187"/>
        <v>0</v>
      </c>
      <c r="M258" s="539">
        <f t="shared" si="187"/>
        <v>0</v>
      </c>
      <c r="N258" s="539">
        <f t="shared" si="187"/>
        <v>0</v>
      </c>
      <c r="O258" s="540">
        <f t="shared" si="187"/>
        <v>0</v>
      </c>
      <c r="P258" s="651" t="str">
        <f>IF(Q258="-","-",Q258/COUNTIF(D258:O258,"&gt;0"))</f>
        <v>-</v>
      </c>
      <c r="Q258" s="652" t="str">
        <f t="shared" si="176"/>
        <v>-</v>
      </c>
    </row>
    <row r="259" spans="1:17" ht="15.75" customHeight="1" x14ac:dyDescent="0.25">
      <c r="A259" s="805" t="s">
        <v>34</v>
      </c>
      <c r="B259" s="806"/>
      <c r="C259" s="626" t="s">
        <v>30</v>
      </c>
      <c r="D259" s="710" t="str">
        <f>IF(D247-D251-D255=0, "",D247-D251-D255)</f>
        <v/>
      </c>
      <c r="E259" s="710" t="str">
        <f t="shared" ref="E259:O259" si="188">IF(E247-E251-E255=0, "",E247-E251-E255)</f>
        <v/>
      </c>
      <c r="F259" s="710" t="str">
        <f t="shared" si="188"/>
        <v/>
      </c>
      <c r="G259" s="710" t="str">
        <f t="shared" si="188"/>
        <v/>
      </c>
      <c r="H259" s="710" t="str">
        <f t="shared" si="188"/>
        <v/>
      </c>
      <c r="I259" s="710" t="str">
        <f t="shared" si="188"/>
        <v/>
      </c>
      <c r="J259" s="710" t="str">
        <f t="shared" si="188"/>
        <v/>
      </c>
      <c r="K259" s="710" t="str">
        <f t="shared" si="188"/>
        <v/>
      </c>
      <c r="L259" s="710" t="str">
        <f t="shared" si="188"/>
        <v/>
      </c>
      <c r="M259" s="710" t="str">
        <f t="shared" si="188"/>
        <v/>
      </c>
      <c r="N259" s="710" t="str">
        <f t="shared" si="188"/>
        <v/>
      </c>
      <c r="O259" s="711" t="str">
        <f t="shared" si="188"/>
        <v/>
      </c>
      <c r="P259" s="653" t="str">
        <f t="shared" si="175"/>
        <v>-</v>
      </c>
      <c r="Q259" s="654" t="str">
        <f t="shared" si="176"/>
        <v>-</v>
      </c>
    </row>
    <row r="260" spans="1:17" ht="15.75" customHeight="1" x14ac:dyDescent="0.25">
      <c r="A260" s="807"/>
      <c r="B260" s="808"/>
      <c r="C260" s="627" t="s">
        <v>31</v>
      </c>
      <c r="D260" s="712" t="str">
        <f t="shared" ref="D260:O261" si="189">IF(D248-D252-D256=0, "",D248-D252-D256)</f>
        <v/>
      </c>
      <c r="E260" s="712" t="str">
        <f t="shared" si="189"/>
        <v/>
      </c>
      <c r="F260" s="712" t="str">
        <f t="shared" si="189"/>
        <v/>
      </c>
      <c r="G260" s="712" t="str">
        <f t="shared" si="189"/>
        <v/>
      </c>
      <c r="H260" s="712" t="str">
        <f t="shared" si="189"/>
        <v/>
      </c>
      <c r="I260" s="712" t="str">
        <f t="shared" si="189"/>
        <v/>
      </c>
      <c r="J260" s="712" t="str">
        <f t="shared" si="189"/>
        <v/>
      </c>
      <c r="K260" s="712" t="str">
        <f t="shared" si="189"/>
        <v/>
      </c>
      <c r="L260" s="712" t="str">
        <f t="shared" si="189"/>
        <v/>
      </c>
      <c r="M260" s="712" t="str">
        <f t="shared" si="189"/>
        <v/>
      </c>
      <c r="N260" s="712" t="str">
        <f t="shared" si="189"/>
        <v/>
      </c>
      <c r="O260" s="713" t="str">
        <f t="shared" si="189"/>
        <v/>
      </c>
      <c r="P260" s="655" t="str">
        <f t="shared" si="175"/>
        <v>-</v>
      </c>
      <c r="Q260" s="656" t="str">
        <f t="shared" si="176"/>
        <v>-</v>
      </c>
    </row>
    <row r="261" spans="1:17" ht="15.75" customHeight="1" x14ac:dyDescent="0.25">
      <c r="A261" s="807"/>
      <c r="B261" s="808"/>
      <c r="C261" s="627" t="s">
        <v>56</v>
      </c>
      <c r="D261" s="712" t="str">
        <f t="shared" si="189"/>
        <v/>
      </c>
      <c r="E261" s="712" t="str">
        <f t="shared" si="189"/>
        <v/>
      </c>
      <c r="F261" s="712" t="str">
        <f t="shared" si="189"/>
        <v/>
      </c>
      <c r="G261" s="712" t="str">
        <f t="shared" si="189"/>
        <v/>
      </c>
      <c r="H261" s="712" t="str">
        <f t="shared" si="189"/>
        <v/>
      </c>
      <c r="I261" s="712" t="str">
        <f t="shared" si="189"/>
        <v/>
      </c>
      <c r="J261" s="712" t="str">
        <f t="shared" si="189"/>
        <v/>
      </c>
      <c r="K261" s="712" t="str">
        <f t="shared" si="189"/>
        <v/>
      </c>
      <c r="L261" s="712" t="str">
        <f t="shared" si="189"/>
        <v/>
      </c>
      <c r="M261" s="712" t="str">
        <f t="shared" si="189"/>
        <v/>
      </c>
      <c r="N261" s="712" t="str">
        <f t="shared" si="189"/>
        <v/>
      </c>
      <c r="O261" s="713" t="str">
        <f t="shared" si="189"/>
        <v/>
      </c>
      <c r="P261" s="655" t="str">
        <f t="shared" si="175"/>
        <v>-</v>
      </c>
      <c r="Q261" s="656" t="str">
        <f t="shared" si="176"/>
        <v>-</v>
      </c>
    </row>
    <row r="262" spans="1:17" ht="19.5" thickBot="1" x14ac:dyDescent="0.3">
      <c r="A262" s="809"/>
      <c r="B262" s="810"/>
      <c r="C262" s="530" t="s">
        <v>5</v>
      </c>
      <c r="D262" s="528">
        <f>IF(SUM(D259:D261)=0,0,SUM(D259:D261))</f>
        <v>0</v>
      </c>
      <c r="E262" s="528">
        <f t="shared" ref="E262:O262" si="190">IF(SUM(E259:E261)=0,0,SUM(E259:E261))</f>
        <v>0</v>
      </c>
      <c r="F262" s="528">
        <f t="shared" si="190"/>
        <v>0</v>
      </c>
      <c r="G262" s="528">
        <f t="shared" si="190"/>
        <v>0</v>
      </c>
      <c r="H262" s="528">
        <f t="shared" si="190"/>
        <v>0</v>
      </c>
      <c r="I262" s="528">
        <f t="shared" si="190"/>
        <v>0</v>
      </c>
      <c r="J262" s="528">
        <f t="shared" si="190"/>
        <v>0</v>
      </c>
      <c r="K262" s="528">
        <f t="shared" si="190"/>
        <v>0</v>
      </c>
      <c r="L262" s="528">
        <f t="shared" si="190"/>
        <v>0</v>
      </c>
      <c r="M262" s="528">
        <f t="shared" si="190"/>
        <v>0</v>
      </c>
      <c r="N262" s="528">
        <f t="shared" si="190"/>
        <v>0</v>
      </c>
      <c r="O262" s="545">
        <f t="shared" si="190"/>
        <v>0</v>
      </c>
      <c r="P262" s="657" t="str">
        <f>IF(Q262="-","-",Q262/COUNTIF(D262:O262,"&gt;0"))</f>
        <v>-</v>
      </c>
      <c r="Q262" s="658" t="str">
        <f t="shared" si="176"/>
        <v>-</v>
      </c>
    </row>
    <row r="263" spans="1:17" ht="39" customHeight="1" thickBot="1" x14ac:dyDescent="0.3">
      <c r="A263" s="875" t="s">
        <v>186</v>
      </c>
      <c r="B263" s="876"/>
      <c r="C263" s="877"/>
      <c r="D263" s="532">
        <f>IF(SUM(D245,D250)=0,0,D247+D248-D245-D267-D268)</f>
        <v>0</v>
      </c>
      <c r="E263" s="532">
        <f t="shared" ref="E263:O263" si="191">IF(SUM(E245,E250)=0,0,E247+E248-E245-E267-E268)</f>
        <v>0</v>
      </c>
      <c r="F263" s="532">
        <f t="shared" si="191"/>
        <v>0</v>
      </c>
      <c r="G263" s="532">
        <f t="shared" si="191"/>
        <v>0</v>
      </c>
      <c r="H263" s="532">
        <f t="shared" si="191"/>
        <v>0</v>
      </c>
      <c r="I263" s="532">
        <f t="shared" si="191"/>
        <v>0</v>
      </c>
      <c r="J263" s="532">
        <f t="shared" si="191"/>
        <v>0</v>
      </c>
      <c r="K263" s="532">
        <f t="shared" si="191"/>
        <v>0</v>
      </c>
      <c r="L263" s="532">
        <f t="shared" si="191"/>
        <v>0</v>
      </c>
      <c r="M263" s="532">
        <f t="shared" si="191"/>
        <v>0</v>
      </c>
      <c r="N263" s="532">
        <f t="shared" si="191"/>
        <v>0</v>
      </c>
      <c r="O263" s="533">
        <f t="shared" si="191"/>
        <v>0</v>
      </c>
      <c r="P263" s="659" t="str">
        <f>IF(Q263="-","-",Q263/COUNTIF(D263:O263,"&lt;&gt;0"))</f>
        <v>-</v>
      </c>
      <c r="Q263" s="660" t="str">
        <f t="shared" si="176"/>
        <v>-</v>
      </c>
    </row>
    <row r="264" spans="1:17" ht="15.75" customHeight="1" x14ac:dyDescent="0.25">
      <c r="A264" s="811" t="s">
        <v>35</v>
      </c>
      <c r="B264" s="812"/>
      <c r="C264" s="529" t="s">
        <v>30</v>
      </c>
      <c r="D264" s="606"/>
      <c r="E264" s="606"/>
      <c r="F264" s="606"/>
      <c r="G264" s="606"/>
      <c r="H264" s="606"/>
      <c r="I264" s="606"/>
      <c r="J264" s="606"/>
      <c r="K264" s="606"/>
      <c r="L264" s="606"/>
      <c r="M264" s="606"/>
      <c r="N264" s="606"/>
      <c r="O264" s="607"/>
      <c r="P264" s="637" t="str">
        <f t="shared" ref="P264:P273" si="192">IF(Q264="-","-",Q264/COUNTIF(D264:O264,"&lt;&gt;"))</f>
        <v>-</v>
      </c>
      <c r="Q264" s="638" t="str">
        <f t="shared" si="176"/>
        <v>-</v>
      </c>
    </row>
    <row r="265" spans="1:17" ht="15.75" customHeight="1" x14ac:dyDescent="0.25">
      <c r="A265" s="813"/>
      <c r="B265" s="814"/>
      <c r="C265" s="11" t="s">
        <v>31</v>
      </c>
      <c r="D265" s="608"/>
      <c r="E265" s="610"/>
      <c r="F265" s="610"/>
      <c r="G265" s="610"/>
      <c r="H265" s="610"/>
      <c r="I265" s="610"/>
      <c r="J265" s="610"/>
      <c r="K265" s="610"/>
      <c r="L265" s="610"/>
      <c r="M265" s="610"/>
      <c r="N265" s="610"/>
      <c r="O265" s="611"/>
      <c r="P265" s="661" t="str">
        <f t="shared" si="192"/>
        <v>-</v>
      </c>
      <c r="Q265" s="662" t="str">
        <f t="shared" si="176"/>
        <v>-</v>
      </c>
    </row>
    <row r="266" spans="1:17" ht="15.75" customHeight="1" x14ac:dyDescent="0.25">
      <c r="A266" s="813"/>
      <c r="B266" s="814"/>
      <c r="C266" s="8" t="s">
        <v>56</v>
      </c>
      <c r="D266" s="608"/>
      <c r="E266" s="608"/>
      <c r="F266" s="608"/>
      <c r="G266" s="608"/>
      <c r="H266" s="608"/>
      <c r="I266" s="608"/>
      <c r="J266" s="608"/>
      <c r="K266" s="608"/>
      <c r="L266" s="608"/>
      <c r="M266" s="608"/>
      <c r="N266" s="608"/>
      <c r="O266" s="611"/>
      <c r="P266" s="639" t="str">
        <f t="shared" si="192"/>
        <v>-</v>
      </c>
      <c r="Q266" s="640" t="str">
        <f t="shared" si="176"/>
        <v>-</v>
      </c>
    </row>
    <row r="267" spans="1:17" ht="15.75" customHeight="1" x14ac:dyDescent="0.25">
      <c r="A267" s="813"/>
      <c r="B267" s="814"/>
      <c r="C267" s="8" t="s">
        <v>57</v>
      </c>
      <c r="D267" s="608"/>
      <c r="E267" s="608"/>
      <c r="F267" s="608"/>
      <c r="G267" s="608"/>
      <c r="H267" s="608"/>
      <c r="I267" s="608"/>
      <c r="J267" s="608"/>
      <c r="K267" s="608"/>
      <c r="L267" s="608"/>
      <c r="M267" s="608"/>
      <c r="N267" s="608"/>
      <c r="O267" s="611"/>
      <c r="P267" s="639" t="str">
        <f>IF(Q267=0,"-",Q267/COUNTIF(D267:O267,"&lt;&gt;"))</f>
        <v>-</v>
      </c>
      <c r="Q267" s="640">
        <f>IF(SUM(D267:O267)=0,0,SUM(D267:O267))</f>
        <v>0</v>
      </c>
    </row>
    <row r="268" spans="1:17" ht="15.75" customHeight="1" x14ac:dyDescent="0.25">
      <c r="A268" s="813"/>
      <c r="B268" s="814"/>
      <c r="C268" s="8" t="s">
        <v>58</v>
      </c>
      <c r="D268" s="608"/>
      <c r="E268" s="608"/>
      <c r="F268" s="608"/>
      <c r="G268" s="608"/>
      <c r="H268" s="608"/>
      <c r="I268" s="608"/>
      <c r="J268" s="608"/>
      <c r="K268" s="608"/>
      <c r="L268" s="608"/>
      <c r="M268" s="608"/>
      <c r="N268" s="608"/>
      <c r="O268" s="611"/>
      <c r="P268" s="639" t="str">
        <f>IF(Q268=0,"-",Q268/COUNTIF(D268:O268,"&lt;&gt;"))</f>
        <v>-</v>
      </c>
      <c r="Q268" s="640">
        <f>IF(SUM(D268:O268)=0,0,SUM(D268:O268))</f>
        <v>0</v>
      </c>
    </row>
    <row r="269" spans="1:17" ht="15.75" customHeight="1" thickBot="1" x14ac:dyDescent="0.3">
      <c r="A269" s="815"/>
      <c r="B269" s="816"/>
      <c r="C269" s="530" t="s">
        <v>5</v>
      </c>
      <c r="D269" s="531">
        <f>IF(SUM(D264:D268)=0,,SUM(D264:D268))</f>
        <v>0</v>
      </c>
      <c r="E269" s="531">
        <f>IF(SUM(E264:E268)=0,,SUM(E264:E268))</f>
        <v>0</v>
      </c>
      <c r="F269" s="531">
        <f t="shared" ref="F269:O269" si="193">IF(SUM(F264:F268)=0,,SUM(F264:F268))</f>
        <v>0</v>
      </c>
      <c r="G269" s="531">
        <f t="shared" si="193"/>
        <v>0</v>
      </c>
      <c r="H269" s="531">
        <f t="shared" si="193"/>
        <v>0</v>
      </c>
      <c r="I269" s="531">
        <f t="shared" si="193"/>
        <v>0</v>
      </c>
      <c r="J269" s="531">
        <f t="shared" si="193"/>
        <v>0</v>
      </c>
      <c r="K269" s="531">
        <f t="shared" si="193"/>
        <v>0</v>
      </c>
      <c r="L269" s="531">
        <f t="shared" si="193"/>
        <v>0</v>
      </c>
      <c r="M269" s="531">
        <f t="shared" si="193"/>
        <v>0</v>
      </c>
      <c r="N269" s="531">
        <f t="shared" si="193"/>
        <v>0</v>
      </c>
      <c r="O269" s="534">
        <f t="shared" si="193"/>
        <v>0</v>
      </c>
      <c r="P269" s="657" t="str">
        <f>IF(Q269="-","-",Q269/COUNTIF(D269:O269,"&gt;0"))</f>
        <v>-</v>
      </c>
      <c r="Q269" s="658" t="str">
        <f t="shared" si="176"/>
        <v>-</v>
      </c>
    </row>
    <row r="270" spans="1:17" ht="15.75" customHeight="1" x14ac:dyDescent="0.25">
      <c r="A270" s="817" t="s">
        <v>59</v>
      </c>
      <c r="B270" s="818"/>
      <c r="C270" s="819"/>
      <c r="D270" s="612"/>
      <c r="E270" s="612"/>
      <c r="F270" s="612"/>
      <c r="G270" s="612"/>
      <c r="H270" s="612"/>
      <c r="I270" s="612"/>
      <c r="J270" s="612"/>
      <c r="K270" s="612"/>
      <c r="L270" s="612"/>
      <c r="M270" s="612"/>
      <c r="N270" s="612"/>
      <c r="O270" s="613"/>
      <c r="P270" s="663" t="str">
        <f t="shared" si="192"/>
        <v>-</v>
      </c>
      <c r="Q270" s="664" t="str">
        <f t="shared" si="176"/>
        <v>-</v>
      </c>
    </row>
    <row r="271" spans="1:17" ht="15.75" customHeight="1" x14ac:dyDescent="0.25">
      <c r="A271" s="854" t="s">
        <v>6</v>
      </c>
      <c r="B271" s="855"/>
      <c r="C271" s="856"/>
      <c r="D271" s="614"/>
      <c r="E271" s="614"/>
      <c r="F271" s="614"/>
      <c r="G271" s="614"/>
      <c r="H271" s="614"/>
      <c r="I271" s="614"/>
      <c r="J271" s="614"/>
      <c r="K271" s="614"/>
      <c r="L271" s="614"/>
      <c r="M271" s="614"/>
      <c r="N271" s="614"/>
      <c r="O271" s="615"/>
      <c r="P271" s="665" t="str">
        <f t="shared" si="192"/>
        <v>-</v>
      </c>
      <c r="Q271" s="666" t="str">
        <f t="shared" si="176"/>
        <v>-</v>
      </c>
    </row>
    <row r="272" spans="1:17" ht="15.75" customHeight="1" x14ac:dyDescent="0.25">
      <c r="A272" s="857" t="s">
        <v>36</v>
      </c>
      <c r="B272" s="858"/>
      <c r="C272" s="859"/>
      <c r="D272" s="614"/>
      <c r="E272" s="614"/>
      <c r="F272" s="614"/>
      <c r="G272" s="614"/>
      <c r="H272" s="614"/>
      <c r="I272" s="614"/>
      <c r="J272" s="614"/>
      <c r="K272" s="614"/>
      <c r="L272" s="614"/>
      <c r="M272" s="614"/>
      <c r="N272" s="614"/>
      <c r="O272" s="615"/>
      <c r="P272" s="665" t="str">
        <f t="shared" si="192"/>
        <v>-</v>
      </c>
      <c r="Q272" s="666" t="str">
        <f t="shared" si="176"/>
        <v>-</v>
      </c>
    </row>
    <row r="273" spans="1:17" ht="15.75" customHeight="1" x14ac:dyDescent="0.25">
      <c r="A273" s="857" t="s">
        <v>19</v>
      </c>
      <c r="B273" s="858"/>
      <c r="C273" s="859"/>
      <c r="D273" s="614"/>
      <c r="E273" s="614"/>
      <c r="F273" s="614"/>
      <c r="G273" s="614"/>
      <c r="H273" s="614"/>
      <c r="I273" s="614"/>
      <c r="J273" s="614"/>
      <c r="K273" s="614"/>
      <c r="L273" s="614"/>
      <c r="M273" s="614"/>
      <c r="N273" s="614"/>
      <c r="O273" s="615"/>
      <c r="P273" s="665" t="str">
        <f t="shared" si="192"/>
        <v>-</v>
      </c>
      <c r="Q273" s="667" t="str">
        <f t="shared" si="176"/>
        <v>-</v>
      </c>
    </row>
    <row r="274" spans="1:17" ht="15.75" customHeight="1" x14ac:dyDescent="0.25">
      <c r="A274" s="857" t="s">
        <v>154</v>
      </c>
      <c r="B274" s="858"/>
      <c r="C274" s="859"/>
      <c r="D274" s="616" t="str">
        <f>IF(D272+D271=0,"",(SUM(D250,D269,D275))/(D272+D271))</f>
        <v/>
      </c>
      <c r="E274" s="616" t="str">
        <f t="shared" ref="E274:O274" si="194">IF(E272+E271=0,"",(SUM(E250,E269,E275))/(E272+E271))</f>
        <v/>
      </c>
      <c r="F274" s="616" t="str">
        <f t="shared" si="194"/>
        <v/>
      </c>
      <c r="G274" s="616" t="str">
        <f t="shared" si="194"/>
        <v/>
      </c>
      <c r="H274" s="616" t="str">
        <f t="shared" si="194"/>
        <v/>
      </c>
      <c r="I274" s="616" t="str">
        <f t="shared" si="194"/>
        <v/>
      </c>
      <c r="J274" s="616" t="str">
        <f t="shared" si="194"/>
        <v/>
      </c>
      <c r="K274" s="616" t="str">
        <f t="shared" si="194"/>
        <v/>
      </c>
      <c r="L274" s="616" t="str">
        <f t="shared" si="194"/>
        <v/>
      </c>
      <c r="M274" s="616" t="str">
        <f t="shared" si="194"/>
        <v/>
      </c>
      <c r="N274" s="616" t="str">
        <f t="shared" si="194"/>
        <v/>
      </c>
      <c r="O274" s="616" t="str">
        <f t="shared" si="194"/>
        <v/>
      </c>
      <c r="P274" s="668" t="str">
        <f>IF(SUM(D274:N274)=0,"-",(SUM(D274:N274))/COUNTIF(D274:O274,"&lt;&gt;"))</f>
        <v>-</v>
      </c>
      <c r="Q274" s="669"/>
    </row>
    <row r="275" spans="1:17" ht="15.75" customHeight="1" thickBot="1" x14ac:dyDescent="0.3">
      <c r="A275" s="673" t="s">
        <v>146</v>
      </c>
      <c r="B275" s="674" t="s">
        <v>147</v>
      </c>
      <c r="C275" s="618"/>
      <c r="D275" s="617" t="str">
        <f>IF(D271=0,"",D271*$C$275)</f>
        <v/>
      </c>
      <c r="E275" s="617" t="str">
        <f t="shared" ref="E275:O275" si="195">IF(E271=0,"",E271*$C$275)</f>
        <v/>
      </c>
      <c r="F275" s="617" t="str">
        <f t="shared" si="195"/>
        <v/>
      </c>
      <c r="G275" s="617" t="str">
        <f t="shared" si="195"/>
        <v/>
      </c>
      <c r="H275" s="617" t="str">
        <f t="shared" si="195"/>
        <v/>
      </c>
      <c r="I275" s="617" t="str">
        <f t="shared" si="195"/>
        <v/>
      </c>
      <c r="J275" s="617" t="str">
        <f t="shared" si="195"/>
        <v/>
      </c>
      <c r="K275" s="617" t="str">
        <f t="shared" si="195"/>
        <v/>
      </c>
      <c r="L275" s="617" t="str">
        <f t="shared" si="195"/>
        <v/>
      </c>
      <c r="M275" s="617" t="str">
        <f t="shared" si="195"/>
        <v/>
      </c>
      <c r="N275" s="617" t="str">
        <f t="shared" si="195"/>
        <v/>
      </c>
      <c r="O275" s="617" t="str">
        <f t="shared" si="195"/>
        <v/>
      </c>
      <c r="P275" s="670" t="str">
        <f t="shared" si="175"/>
        <v>-</v>
      </c>
      <c r="Q275" s="671" t="str">
        <f t="shared" si="176"/>
        <v>-</v>
      </c>
    </row>
    <row r="276" spans="1:17" ht="36.75" thickBot="1" x14ac:dyDescent="0.3">
      <c r="A276" s="860" t="s">
        <v>152</v>
      </c>
      <c r="B276" s="861"/>
      <c r="C276" s="861"/>
      <c r="D276" s="861"/>
      <c r="E276" s="861"/>
      <c r="F276" s="861"/>
      <c r="G276" s="861"/>
      <c r="H276" s="861"/>
      <c r="I276" s="861"/>
      <c r="J276" s="861"/>
      <c r="K276" s="861"/>
      <c r="L276" s="861"/>
      <c r="M276" s="861"/>
      <c r="N276" s="861"/>
      <c r="O276" s="861"/>
      <c r="P276" s="862"/>
      <c r="Q276" s="12" t="str">
        <f>IF(Q250="-","-",Q250+Q269+Q275-Q267-Q268)</f>
        <v>-</v>
      </c>
    </row>
  </sheetData>
  <sheetProtection sheet="1" objects="1" scenarios="1" selectLockedCells="1"/>
  <mergeCells count="164">
    <mergeCell ref="A245:C245"/>
    <mergeCell ref="A246:Q246"/>
    <mergeCell ref="A273:C273"/>
    <mergeCell ref="A274:C274"/>
    <mergeCell ref="A276:P276"/>
    <mergeCell ref="A247:B250"/>
    <mergeCell ref="A251:B254"/>
    <mergeCell ref="A255:B258"/>
    <mergeCell ref="A259:B262"/>
    <mergeCell ref="A263:C263"/>
    <mergeCell ref="A264:B269"/>
    <mergeCell ref="A270:C270"/>
    <mergeCell ref="A271:C271"/>
    <mergeCell ref="A272:C272"/>
    <mergeCell ref="B223:C223"/>
    <mergeCell ref="A193:A223"/>
    <mergeCell ref="B193:B194"/>
    <mergeCell ref="B195:B196"/>
    <mergeCell ref="B197:B198"/>
    <mergeCell ref="B199:B200"/>
    <mergeCell ref="B201:B202"/>
    <mergeCell ref="B203:B204"/>
    <mergeCell ref="B205:B206"/>
    <mergeCell ref="B207:B208"/>
    <mergeCell ref="B209:B210"/>
    <mergeCell ref="P131:Q131"/>
    <mergeCell ref="B132:B133"/>
    <mergeCell ref="B211:B212"/>
    <mergeCell ref="B213:B214"/>
    <mergeCell ref="B215:B216"/>
    <mergeCell ref="B217:B218"/>
    <mergeCell ref="B219:B220"/>
    <mergeCell ref="B221:C221"/>
    <mergeCell ref="B222:C222"/>
    <mergeCell ref="B156:B157"/>
    <mergeCell ref="B158:B159"/>
    <mergeCell ref="B160:C160"/>
    <mergeCell ref="B161:C161"/>
    <mergeCell ref="B140:B141"/>
    <mergeCell ref="B134:B135"/>
    <mergeCell ref="B136:B137"/>
    <mergeCell ref="B138:B139"/>
    <mergeCell ref="A162:A192"/>
    <mergeCell ref="B162:C162"/>
    <mergeCell ref="P162:Q162"/>
    <mergeCell ref="B179:B180"/>
    <mergeCell ref="B181:B182"/>
    <mergeCell ref="B183:B184"/>
    <mergeCell ref="B185:B186"/>
    <mergeCell ref="B187:B188"/>
    <mergeCell ref="B189:B190"/>
    <mergeCell ref="B191:C191"/>
    <mergeCell ref="B192:C192"/>
    <mergeCell ref="B165:B166"/>
    <mergeCell ref="B167:B168"/>
    <mergeCell ref="B169:B170"/>
    <mergeCell ref="B171:B172"/>
    <mergeCell ref="B173:B174"/>
    <mergeCell ref="B175:B176"/>
    <mergeCell ref="B177:B178"/>
    <mergeCell ref="B163:B164"/>
    <mergeCell ref="B111:B112"/>
    <mergeCell ref="B113:B114"/>
    <mergeCell ref="B115:B116"/>
    <mergeCell ref="B117:B118"/>
    <mergeCell ref="B119:B120"/>
    <mergeCell ref="B101:B102"/>
    <mergeCell ref="B103:B104"/>
    <mergeCell ref="A131:A161"/>
    <mergeCell ref="A69:A99"/>
    <mergeCell ref="B69:C69"/>
    <mergeCell ref="B142:B143"/>
    <mergeCell ref="B144:B145"/>
    <mergeCell ref="B146:B147"/>
    <mergeCell ref="B148:B149"/>
    <mergeCell ref="B150:B151"/>
    <mergeCell ref="B152:B153"/>
    <mergeCell ref="B154:B155"/>
    <mergeCell ref="A100:A130"/>
    <mergeCell ref="B100:C100"/>
    <mergeCell ref="B121:B122"/>
    <mergeCell ref="B123:B124"/>
    <mergeCell ref="B125:B126"/>
    <mergeCell ref="B127:B128"/>
    <mergeCell ref="B129:C129"/>
    <mergeCell ref="B26:B27"/>
    <mergeCell ref="P38:Q38"/>
    <mergeCell ref="A38:A68"/>
    <mergeCell ref="B38:C38"/>
    <mergeCell ref="B55:B56"/>
    <mergeCell ref="P100:Q100"/>
    <mergeCell ref="B105:B106"/>
    <mergeCell ref="B107:B108"/>
    <mergeCell ref="B109:B110"/>
    <mergeCell ref="B67:C67"/>
    <mergeCell ref="B68:C68"/>
    <mergeCell ref="B76:B77"/>
    <mergeCell ref="B34:B35"/>
    <mergeCell ref="B36:C36"/>
    <mergeCell ref="B37:C37"/>
    <mergeCell ref="P69:Q69"/>
    <mergeCell ref="B72:B73"/>
    <mergeCell ref="B74:B75"/>
    <mergeCell ref="B78:B79"/>
    <mergeCell ref="A1:C1"/>
    <mergeCell ref="A6:Q6"/>
    <mergeCell ref="P2:Q5"/>
    <mergeCell ref="A3:C3"/>
    <mergeCell ref="A4:C4"/>
    <mergeCell ref="A5:C5"/>
    <mergeCell ref="B41:B42"/>
    <mergeCell ref="B43:B44"/>
    <mergeCell ref="B7:C7"/>
    <mergeCell ref="B8:B9"/>
    <mergeCell ref="B10:B11"/>
    <mergeCell ref="B12:B13"/>
    <mergeCell ref="B14:B15"/>
    <mergeCell ref="B16:B17"/>
    <mergeCell ref="B18:B19"/>
    <mergeCell ref="B20:B21"/>
    <mergeCell ref="B39:B40"/>
    <mergeCell ref="B22:B23"/>
    <mergeCell ref="B24:B25"/>
    <mergeCell ref="A2:C2"/>
    <mergeCell ref="B28:B29"/>
    <mergeCell ref="A7:A37"/>
    <mergeCell ref="B30:B31"/>
    <mergeCell ref="B32:B33"/>
    <mergeCell ref="B130:C130"/>
    <mergeCell ref="B131:C131"/>
    <mergeCell ref="B57:B58"/>
    <mergeCell ref="B96:B97"/>
    <mergeCell ref="B98:C98"/>
    <mergeCell ref="B99:C99"/>
    <mergeCell ref="B51:B52"/>
    <mergeCell ref="B53:B54"/>
    <mergeCell ref="B45:B46"/>
    <mergeCell ref="B47:B48"/>
    <mergeCell ref="B49:B50"/>
    <mergeCell ref="B59:B60"/>
    <mergeCell ref="B61:B62"/>
    <mergeCell ref="B63:B64"/>
    <mergeCell ref="B65:B66"/>
    <mergeCell ref="B80:B81"/>
    <mergeCell ref="B82:B83"/>
    <mergeCell ref="B84:B85"/>
    <mergeCell ref="B86:B87"/>
    <mergeCell ref="B88:B89"/>
    <mergeCell ref="B90:B91"/>
    <mergeCell ref="B92:B93"/>
    <mergeCell ref="B94:B95"/>
    <mergeCell ref="B70:B71"/>
    <mergeCell ref="P224:Q228"/>
    <mergeCell ref="A229:A231"/>
    <mergeCell ref="A232:B233"/>
    <mergeCell ref="A234:B235"/>
    <mergeCell ref="A236:B237"/>
    <mergeCell ref="A238:B239"/>
    <mergeCell ref="A240:B241"/>
    <mergeCell ref="A242:B243"/>
    <mergeCell ref="A244:C244"/>
    <mergeCell ref="A224:A228"/>
    <mergeCell ref="B224:B225"/>
    <mergeCell ref="B228:C228"/>
  </mergeCells>
  <pageMargins left="0.7" right="0.7" top="0.75" bottom="0.75" header="0.3" footer="0.3"/>
  <ignoredErrors>
    <ignoredError sqref="P229:Q230" formulaRange="1"/>
    <ignoredError sqref="D164:E165 B226:B227 D167:E190" unlockedFormula="1"/>
    <ignoredError sqref="P269" formula="1"/>
  </ignoredErrors>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9873AA2F-8D5A-4579-AC12-41ECDC2B78F1}">
          <x14:formula1>
            <xm:f>DATA!$A$1:$A$3</xm:f>
          </x14:formula1>
          <xm:sqref>D4:O4</xm:sqref>
        </x14:dataValidation>
        <x14:dataValidation type="list" allowBlank="1" showInputMessage="1" showErrorMessage="1" xr:uid="{B3F474A0-0092-47C7-A82B-43D11B094EBD}">
          <x14:formula1>
            <xm:f>DATA!$E$1:$E$3</xm:f>
          </x14:formula1>
          <xm:sqref>D5:O6</xm:sqref>
        </x14:dataValidation>
        <x14:dataValidation type="list" allowBlank="1" showInputMessage="1" showErrorMessage="1" xr:uid="{1B93F1D0-F587-458D-80D6-183246B16DA1}">
          <x14:formula1>
            <xm:f>DATA!$B$1:$B$9</xm:f>
          </x14:formula1>
          <xm:sqref>D3:O3</xm:sqref>
        </x14:dataValidation>
        <x14:dataValidation type="list" allowBlank="1" showInputMessage="1" showErrorMessage="1" xr:uid="{9E4A07AB-6E84-4CB8-AF3F-2191EBCDA977}">
          <x14:formula1>
            <xm:f>DATA!$C$1:$C$19</xm:f>
          </x14:formula1>
          <xm:sqref>A69 A7:A38 A100 A131 A162 A61:A66 A92:A97 A123:A128 A154:A159 A185:A190 A215:A220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9839A-D033-4089-8EB3-0EDF709D95EA}">
  <dimension ref="A1:Q276"/>
  <sheetViews>
    <sheetView showGridLines="0" showRowColHeaders="0" workbookViewId="0">
      <pane ySplit="1" topLeftCell="A2" activePane="bottomLeft" state="frozen"/>
      <selection activeCell="D4" sqref="D4"/>
      <selection pane="bottomLeft" activeCell="A7" sqref="A7:A37"/>
    </sheetView>
  </sheetViews>
  <sheetFormatPr defaultRowHeight="15" x14ac:dyDescent="0.25"/>
  <cols>
    <col min="1" max="1" width="17.42578125" bestFit="1" customWidth="1"/>
    <col min="2" max="2" width="19.7109375" bestFit="1" customWidth="1"/>
    <col min="3" max="3" width="8.5703125" customWidth="1"/>
    <col min="4" max="15" width="12.28515625" customWidth="1"/>
    <col min="16" max="16" width="12.140625" customWidth="1"/>
    <col min="17" max="17" width="24.85546875" customWidth="1"/>
    <col min="23" max="23" width="9.7109375" customWidth="1"/>
  </cols>
  <sheetData>
    <row r="1" spans="1:17" ht="36.75" thickBot="1" x14ac:dyDescent="0.6">
      <c r="A1" s="961">
        <v>2026</v>
      </c>
      <c r="B1" s="962"/>
      <c r="C1" s="963"/>
      <c r="D1" s="49">
        <v>46023</v>
      </c>
      <c r="E1" s="49">
        <v>46054</v>
      </c>
      <c r="F1" s="49">
        <v>46082</v>
      </c>
      <c r="G1" s="49">
        <v>46113</v>
      </c>
      <c r="H1" s="49">
        <v>46143</v>
      </c>
      <c r="I1" s="49">
        <v>46174</v>
      </c>
      <c r="J1" s="49">
        <v>46204</v>
      </c>
      <c r="K1" s="49">
        <v>46235</v>
      </c>
      <c r="L1" s="49">
        <v>46266</v>
      </c>
      <c r="M1" s="49">
        <v>46296</v>
      </c>
      <c r="N1" s="49">
        <v>46327</v>
      </c>
      <c r="O1" s="49">
        <v>46357</v>
      </c>
      <c r="P1" s="14" t="s">
        <v>0</v>
      </c>
      <c r="Q1" s="15" t="s">
        <v>5</v>
      </c>
    </row>
    <row r="2" spans="1:17" ht="21" customHeight="1" x14ac:dyDescent="0.25">
      <c r="A2" s="902" t="s">
        <v>148</v>
      </c>
      <c r="B2" s="903"/>
      <c r="C2" s="904"/>
      <c r="D2" s="66" t="str">
        <f>IF(OR(WELCOME!$B$2&gt;'2026'!D1, ISBLANK(WELCOME!$B$2)),"",MIN(12,(DATEDIF(WELCOME!$B$2,D1,"Y")+1)))</f>
        <v/>
      </c>
      <c r="E2" s="66" t="str">
        <f>IF(OR(WELCOME!$B$2&gt;'2026'!E1, ISBLANK(WELCOME!$B$2)),"",MIN(12,(DATEDIF(WELCOME!$B$2,E1,"Y")+1)))</f>
        <v/>
      </c>
      <c r="F2" s="66" t="str">
        <f>IF(OR(WELCOME!$B$2&gt;'2026'!F1, ISBLANK(WELCOME!$B$2)),"",MIN(12,(DATEDIF(WELCOME!$B$2,F1,"Y")+1)))</f>
        <v/>
      </c>
      <c r="G2" s="66" t="str">
        <f>IF(OR(WELCOME!$B$2&gt;'2026'!G1, ISBLANK(WELCOME!$B$2)),"",MIN(12,(DATEDIF(WELCOME!$B$2,G1,"Y")+1)))</f>
        <v/>
      </c>
      <c r="H2" s="66" t="str">
        <f>IF(OR(WELCOME!$B$2&gt;'2026'!H1, ISBLANK(WELCOME!$B$2)),"",MIN(12,(DATEDIF(WELCOME!$B$2,H1,"Y")+1)))</f>
        <v/>
      </c>
      <c r="I2" s="66" t="str">
        <f>IF(OR(WELCOME!$B$2&gt;'2026'!I1, ISBLANK(WELCOME!$B$2)),"",MIN(12,(DATEDIF(WELCOME!$B$2,I1,"Y")+1)))</f>
        <v/>
      </c>
      <c r="J2" s="66" t="str">
        <f>IF(OR(WELCOME!$B$2&gt;'2026'!J1, ISBLANK(WELCOME!$B$2)),"",MIN(12,(DATEDIF(WELCOME!$B$2,J1,"Y")+1)))</f>
        <v/>
      </c>
      <c r="K2" s="66" t="str">
        <f>IF(OR(WELCOME!$B$2&gt;'2026'!K1, ISBLANK(WELCOME!$B$2)),"",MIN(12,(DATEDIF(WELCOME!$B$2,K1,"Y")+1)))</f>
        <v/>
      </c>
      <c r="L2" s="66" t="str">
        <f>IF(OR(WELCOME!$B$2&gt;'2026'!L1, ISBLANK(WELCOME!$B$2)),"",MIN(12,(DATEDIF(WELCOME!$B$2,L1,"Y")+1)))</f>
        <v/>
      </c>
      <c r="M2" s="66" t="str">
        <f>IF(OR(WELCOME!$B$2&gt;'2026'!M1, ISBLANK(WELCOME!$B$2)),"",MIN(12,(DATEDIF(WELCOME!$B$2,M1,"Y")+1)))</f>
        <v/>
      </c>
      <c r="N2" s="66" t="str">
        <f>IF(OR(WELCOME!$B$2&gt;'2026'!N1, ISBLANK(WELCOME!$B$2)),"",MIN(12,(DATEDIF(WELCOME!$B$2,N1,"Y")+1)))</f>
        <v/>
      </c>
      <c r="O2" s="724" t="str">
        <f>IF(OR(WELCOME!$B$2&gt;'2026'!O1, ISBLANK(WELCOME!$B$2)),"",MIN(12,(DATEDIF(WELCOME!$B$2,O1,"Y")+1)))</f>
        <v/>
      </c>
      <c r="P2" s="964"/>
      <c r="Q2" s="965"/>
    </row>
    <row r="3" spans="1:17" ht="20.25" customHeight="1" x14ac:dyDescent="0.25">
      <c r="A3" s="968" t="s">
        <v>76</v>
      </c>
      <c r="B3" s="969"/>
      <c r="C3" s="970"/>
      <c r="D3" s="67"/>
      <c r="E3" s="67"/>
      <c r="F3" s="67"/>
      <c r="G3" s="67"/>
      <c r="H3" s="67"/>
      <c r="I3" s="67"/>
      <c r="J3" s="67"/>
      <c r="K3" s="67"/>
      <c r="L3" s="67"/>
      <c r="M3" s="67"/>
      <c r="N3" s="67"/>
      <c r="O3" s="68"/>
      <c r="P3" s="898"/>
      <c r="Q3" s="899"/>
    </row>
    <row r="4" spans="1:17" ht="19.5" customHeight="1" x14ac:dyDescent="0.25">
      <c r="A4" s="968" t="s">
        <v>77</v>
      </c>
      <c r="B4" s="969"/>
      <c r="C4" s="970"/>
      <c r="D4" s="67"/>
      <c r="E4" s="67"/>
      <c r="F4" s="67"/>
      <c r="G4" s="67"/>
      <c r="H4" s="67"/>
      <c r="I4" s="67"/>
      <c r="J4" s="67"/>
      <c r="K4" s="67"/>
      <c r="L4" s="67"/>
      <c r="M4" s="67"/>
      <c r="N4" s="67"/>
      <c r="O4" s="68"/>
      <c r="P4" s="898"/>
      <c r="Q4" s="899"/>
    </row>
    <row r="5" spans="1:17" ht="19.5" customHeight="1" thickBot="1" x14ac:dyDescent="0.3">
      <c r="A5" s="971" t="s">
        <v>4</v>
      </c>
      <c r="B5" s="972"/>
      <c r="C5" s="973"/>
      <c r="D5" s="699"/>
      <c r="E5" s="699"/>
      <c r="F5" s="699"/>
      <c r="G5" s="699"/>
      <c r="H5" s="699"/>
      <c r="I5" s="699"/>
      <c r="J5" s="699"/>
      <c r="K5" s="699"/>
      <c r="L5" s="699"/>
      <c r="M5" s="699"/>
      <c r="N5" s="699"/>
      <c r="O5" s="700"/>
      <c r="P5" s="966"/>
      <c r="Q5" s="967"/>
    </row>
    <row r="6" spans="1:17" ht="27" thickBot="1" x14ac:dyDescent="0.3">
      <c r="A6" s="888" t="s">
        <v>37</v>
      </c>
      <c r="B6" s="889"/>
      <c r="C6" s="889"/>
      <c r="D6" s="889"/>
      <c r="E6" s="889"/>
      <c r="F6" s="889"/>
      <c r="G6" s="889"/>
      <c r="H6" s="889"/>
      <c r="I6" s="889"/>
      <c r="J6" s="889"/>
      <c r="K6" s="889"/>
      <c r="L6" s="889"/>
      <c r="M6" s="889"/>
      <c r="N6" s="889"/>
      <c r="O6" s="889"/>
      <c r="P6" s="889"/>
      <c r="Q6" s="890"/>
    </row>
    <row r="7" spans="1:17" ht="15" customHeight="1" x14ac:dyDescent="0.25">
      <c r="A7" s="893" t="s">
        <v>173</v>
      </c>
      <c r="B7" s="878" t="s">
        <v>3</v>
      </c>
      <c r="C7" s="879"/>
      <c r="D7" s="547" t="str">
        <f>IF('2026DATA'!R3=0,"",'2026DATA'!R3)</f>
        <v/>
      </c>
      <c r="E7" s="547" t="str">
        <f>IF('2026DATA'!S3=0,"",'2026DATA'!S3)</f>
        <v/>
      </c>
      <c r="F7" s="547" t="str">
        <f>IF('2026DATA'!T3=0,"",'2026DATA'!T3)</f>
        <v/>
      </c>
      <c r="G7" s="547" t="str">
        <f>IF('2026DATA'!U3=0,"",'2026DATA'!U3)</f>
        <v/>
      </c>
      <c r="H7" s="547" t="str">
        <f>IF('2026DATA'!V3=0,"",'2026DATA'!V3)</f>
        <v/>
      </c>
      <c r="I7" s="547" t="str">
        <f>IF('2026DATA'!W3=0,"",'2026DATA'!W3)</f>
        <v/>
      </c>
      <c r="J7" s="547" t="str">
        <f>IF('2026DATA'!X3=0,"",'2026DATA'!X3)</f>
        <v/>
      </c>
      <c r="K7" s="547" t="str">
        <f>IF('2026DATA'!Y3=0,"",'2026DATA'!Y3)</f>
        <v/>
      </c>
      <c r="L7" s="547" t="str">
        <f>IF('2026DATA'!Z3=0,"",'2026DATA'!Z3)</f>
        <v/>
      </c>
      <c r="M7" s="547" t="str">
        <f>IF('2026DATA'!AA3=0,"",'2026DATA'!AA3)</f>
        <v/>
      </c>
      <c r="N7" s="547" t="str">
        <f>IF('2026DATA'!AB3=0,"",'2026DATA'!AB3)</f>
        <v/>
      </c>
      <c r="O7" s="548" t="str">
        <f>IF('2026DATA'!AC3=0,"",'2026DATA'!AC3)</f>
        <v/>
      </c>
      <c r="P7" s="524"/>
      <c r="Q7" s="63"/>
    </row>
    <row r="8" spans="1:17" ht="15.75" customHeight="1" x14ac:dyDescent="0.25">
      <c r="A8" s="894"/>
      <c r="B8" s="823" t="s">
        <v>7</v>
      </c>
      <c r="C8" s="19" t="s">
        <v>21</v>
      </c>
      <c r="D8" s="549"/>
      <c r="E8" s="549"/>
      <c r="F8" s="549"/>
      <c r="G8" s="549"/>
      <c r="H8" s="549"/>
      <c r="I8" s="549"/>
      <c r="J8" s="549"/>
      <c r="K8" s="549"/>
      <c r="L8" s="549"/>
      <c r="M8" s="549"/>
      <c r="N8" s="549"/>
      <c r="O8" s="550"/>
      <c r="P8" s="512" t="str">
        <f t="shared" ref="P8:P37" si="0">IF(Q8="-","-",Q8/12)</f>
        <v>-</v>
      </c>
      <c r="Q8" s="4" t="str">
        <f t="shared" ref="Q8:Q37" si="1">IF(SUM(D8:O8)=0,"-",SUM(D8:O8))</f>
        <v>-</v>
      </c>
    </row>
    <row r="9" spans="1:17" ht="15.75" customHeight="1" x14ac:dyDescent="0.25">
      <c r="A9" s="894"/>
      <c r="B9" s="824"/>
      <c r="C9" s="20" t="s">
        <v>22</v>
      </c>
      <c r="D9" s="683" t="str">
        <f>IF(D8=0,"",D$7*D8*24)</f>
        <v/>
      </c>
      <c r="E9" s="683" t="str">
        <f t="shared" ref="E9:O9" si="2">IF(E8=0,"",E$7*E8*24)</f>
        <v/>
      </c>
      <c r="F9" s="683" t="str">
        <f t="shared" si="2"/>
        <v/>
      </c>
      <c r="G9" s="683" t="str">
        <f t="shared" si="2"/>
        <v/>
      </c>
      <c r="H9" s="683" t="str">
        <f t="shared" si="2"/>
        <v/>
      </c>
      <c r="I9" s="683" t="str">
        <f t="shared" si="2"/>
        <v/>
      </c>
      <c r="J9" s="683" t="str">
        <f t="shared" si="2"/>
        <v/>
      </c>
      <c r="K9" s="683" t="str">
        <f t="shared" si="2"/>
        <v/>
      </c>
      <c r="L9" s="683" t="str">
        <f t="shared" si="2"/>
        <v/>
      </c>
      <c r="M9" s="683" t="str">
        <f t="shared" si="2"/>
        <v/>
      </c>
      <c r="N9" s="683" t="str">
        <f t="shared" si="2"/>
        <v/>
      </c>
      <c r="O9" s="686" t="str">
        <f t="shared" si="2"/>
        <v/>
      </c>
      <c r="P9" s="511" t="str">
        <f t="shared" si="0"/>
        <v>-</v>
      </c>
      <c r="Q9" s="6" t="str">
        <f t="shared" si="1"/>
        <v>-</v>
      </c>
    </row>
    <row r="10" spans="1:17" ht="15.75" customHeight="1" x14ac:dyDescent="0.25">
      <c r="A10" s="894"/>
      <c r="B10" s="823" t="s">
        <v>8</v>
      </c>
      <c r="C10" s="775" t="s">
        <v>21</v>
      </c>
      <c r="D10" s="549"/>
      <c r="E10" s="549"/>
      <c r="F10" s="549"/>
      <c r="G10" s="549"/>
      <c r="H10" s="549"/>
      <c r="I10" s="549"/>
      <c r="J10" s="549"/>
      <c r="K10" s="549"/>
      <c r="L10" s="549"/>
      <c r="M10" s="549"/>
      <c r="N10" s="549"/>
      <c r="O10" s="550"/>
      <c r="P10" s="512" t="str">
        <f t="shared" si="0"/>
        <v>-</v>
      </c>
      <c r="Q10" s="4" t="str">
        <f t="shared" si="1"/>
        <v>-</v>
      </c>
    </row>
    <row r="11" spans="1:17" ht="15.75" customHeight="1" x14ac:dyDescent="0.25">
      <c r="A11" s="894"/>
      <c r="B11" s="824"/>
      <c r="C11" s="775" t="s">
        <v>22</v>
      </c>
      <c r="D11" s="683" t="str">
        <f>IF(D10=0,"",(D7+IF(D$4="CA",DATA!$B$22,DATA!$B$23))*D10*24)</f>
        <v/>
      </c>
      <c r="E11" s="683" t="str">
        <f>IF(E10=0,"",(E7+IF(E$4="CA",DATA!$B$22,DATA!$B$23))*E10*24)</f>
        <v/>
      </c>
      <c r="F11" s="683" t="str">
        <f>IF(F10=0,"",(F7+IF(F$4="CA",DATA!$B$22,DATA!$B$23))*F10*24)</f>
        <v/>
      </c>
      <c r="G11" s="683" t="str">
        <f>IF(G10=0,"",(G7+IF(G$4="CA",DATA!$B$22,DATA!$B$23))*G10*24)</f>
        <v/>
      </c>
      <c r="H11" s="683" t="str">
        <f>IF(H10=0,"",(H7+IF(H$4="CA",DATA!$B$22,DATA!$B$23))*H10*24)</f>
        <v/>
      </c>
      <c r="I11" s="683" t="str">
        <f>IF(I10=0,"",(I7+IF(I$4="CA",DATA!$B$22,DATA!$B$23))*I10*24)</f>
        <v/>
      </c>
      <c r="J11" s="683" t="str">
        <f>IF(J10=0,"",(J7+IF(J$4="CA",DATA!$B$22,DATA!$B$23))*J10*24)</f>
        <v/>
      </c>
      <c r="K11" s="683" t="str">
        <f>IF(K10=0,"",(K7+IF(K$4="CA",DATA!$B$22,DATA!$B$23))*K10*24)</f>
        <v/>
      </c>
      <c r="L11" s="683" t="str">
        <f>IF(L10=0,"",(L7+IF(L$4="CA",DATA!$B$22,DATA!$B$23))*L10*24)</f>
        <v/>
      </c>
      <c r="M11" s="683" t="str">
        <f>IF(M10=0,"",(M7+IF(M$4="CA",DATA!$B$22,DATA!$B$23))*M10*24)</f>
        <v/>
      </c>
      <c r="N11" s="683" t="str">
        <f>IF(N10=0,"",(N7+IF(N$4="CA",DATA!$B$22,DATA!$B$23))*N10*24)</f>
        <v/>
      </c>
      <c r="O11" s="686" t="str">
        <f>IF(O10=0,"",(O7+IF(O$4="CA",DATA!$B$22,DATA!$B$23))*O10*24)</f>
        <v/>
      </c>
      <c r="P11" s="511" t="str">
        <f t="shared" si="0"/>
        <v>-</v>
      </c>
      <c r="Q11" s="6" t="str">
        <f t="shared" si="1"/>
        <v>-</v>
      </c>
    </row>
    <row r="12" spans="1:17" ht="15.75" customHeight="1" x14ac:dyDescent="0.25">
      <c r="A12" s="894"/>
      <c r="B12" s="823" t="s">
        <v>9</v>
      </c>
      <c r="C12" s="19" t="s">
        <v>21</v>
      </c>
      <c r="D12" s="549"/>
      <c r="E12" s="549"/>
      <c r="F12" s="549"/>
      <c r="G12" s="549"/>
      <c r="H12" s="549"/>
      <c r="I12" s="549"/>
      <c r="J12" s="549"/>
      <c r="K12" s="549"/>
      <c r="L12" s="549"/>
      <c r="M12" s="549"/>
      <c r="N12" s="549"/>
      <c r="O12" s="550"/>
      <c r="P12" s="512" t="str">
        <f t="shared" si="0"/>
        <v>-</v>
      </c>
      <c r="Q12" s="4" t="str">
        <f t="shared" si="1"/>
        <v>-</v>
      </c>
    </row>
    <row r="13" spans="1:17" ht="15.75" customHeight="1" x14ac:dyDescent="0.25">
      <c r="A13" s="894"/>
      <c r="B13" s="824"/>
      <c r="C13" s="20" t="s">
        <v>22</v>
      </c>
      <c r="D13" s="683" t="str">
        <f>IF(D12=0,"",D$7*D12*24)</f>
        <v/>
      </c>
      <c r="E13" s="683" t="str">
        <f t="shared" ref="E13:O13" si="3">IF(E12=0,"",E$7*E12*24)</f>
        <v/>
      </c>
      <c r="F13" s="683" t="str">
        <f t="shared" si="3"/>
        <v/>
      </c>
      <c r="G13" s="683" t="str">
        <f t="shared" si="3"/>
        <v/>
      </c>
      <c r="H13" s="683" t="str">
        <f t="shared" si="3"/>
        <v/>
      </c>
      <c r="I13" s="683" t="str">
        <f t="shared" si="3"/>
        <v/>
      </c>
      <c r="J13" s="683" t="str">
        <f t="shared" si="3"/>
        <v/>
      </c>
      <c r="K13" s="683" t="str">
        <f t="shared" si="3"/>
        <v/>
      </c>
      <c r="L13" s="683" t="str">
        <f t="shared" si="3"/>
        <v/>
      </c>
      <c r="M13" s="683" t="str">
        <f t="shared" si="3"/>
        <v/>
      </c>
      <c r="N13" s="683" t="str">
        <f t="shared" si="3"/>
        <v/>
      </c>
      <c r="O13" s="686" t="str">
        <f t="shared" si="3"/>
        <v/>
      </c>
      <c r="P13" s="511" t="str">
        <f t="shared" si="0"/>
        <v>-</v>
      </c>
      <c r="Q13" s="6" t="str">
        <f t="shared" si="1"/>
        <v>-</v>
      </c>
    </row>
    <row r="14" spans="1:17" ht="15.75" customHeight="1" x14ac:dyDescent="0.25">
      <c r="A14" s="894"/>
      <c r="B14" s="823" t="s">
        <v>10</v>
      </c>
      <c r="C14" s="775" t="s">
        <v>21</v>
      </c>
      <c r="D14" s="549"/>
      <c r="E14" s="549"/>
      <c r="F14" s="549"/>
      <c r="G14" s="549"/>
      <c r="H14" s="549"/>
      <c r="I14" s="549"/>
      <c r="J14" s="549"/>
      <c r="K14" s="549"/>
      <c r="L14" s="549"/>
      <c r="M14" s="549"/>
      <c r="N14" s="549"/>
      <c r="O14" s="550"/>
      <c r="P14" s="512" t="str">
        <f t="shared" si="0"/>
        <v>-</v>
      </c>
      <c r="Q14" s="4" t="str">
        <f t="shared" si="1"/>
        <v>-</v>
      </c>
    </row>
    <row r="15" spans="1:17" ht="15.75" customHeight="1" x14ac:dyDescent="0.25">
      <c r="A15" s="894"/>
      <c r="B15" s="824"/>
      <c r="C15" s="775" t="s">
        <v>22</v>
      </c>
      <c r="D15" s="683" t="str">
        <f>IF(D14=0,"",D$7*D14*24)</f>
        <v/>
      </c>
      <c r="E15" s="683" t="str">
        <f t="shared" ref="E15:O15" si="4">IF(E14=0,"",E$7*E14*24)</f>
        <v/>
      </c>
      <c r="F15" s="683" t="str">
        <f t="shared" si="4"/>
        <v/>
      </c>
      <c r="G15" s="683" t="str">
        <f t="shared" si="4"/>
        <v/>
      </c>
      <c r="H15" s="683" t="str">
        <f t="shared" si="4"/>
        <v/>
      </c>
      <c r="I15" s="683" t="str">
        <f t="shared" si="4"/>
        <v/>
      </c>
      <c r="J15" s="683" t="str">
        <f t="shared" si="4"/>
        <v/>
      </c>
      <c r="K15" s="683" t="str">
        <f t="shared" si="4"/>
        <v/>
      </c>
      <c r="L15" s="683" t="str">
        <f t="shared" si="4"/>
        <v/>
      </c>
      <c r="M15" s="683" t="str">
        <f t="shared" si="4"/>
        <v/>
      </c>
      <c r="N15" s="683" t="str">
        <f t="shared" si="4"/>
        <v/>
      </c>
      <c r="O15" s="686" t="str">
        <f t="shared" si="4"/>
        <v/>
      </c>
      <c r="P15" s="511" t="str">
        <f t="shared" si="0"/>
        <v>-</v>
      </c>
      <c r="Q15" s="6" t="str">
        <f t="shared" si="1"/>
        <v>-</v>
      </c>
    </row>
    <row r="16" spans="1:17" ht="15.75" customHeight="1" x14ac:dyDescent="0.25">
      <c r="A16" s="894"/>
      <c r="B16" s="823" t="s">
        <v>11</v>
      </c>
      <c r="C16" s="19" t="s">
        <v>21</v>
      </c>
      <c r="D16" s="549"/>
      <c r="E16" s="549"/>
      <c r="F16" s="549"/>
      <c r="G16" s="549"/>
      <c r="H16" s="549"/>
      <c r="I16" s="549"/>
      <c r="J16" s="549"/>
      <c r="K16" s="549"/>
      <c r="L16" s="549"/>
      <c r="M16" s="549"/>
      <c r="N16" s="549"/>
      <c r="O16" s="550"/>
      <c r="P16" s="512" t="str">
        <f t="shared" si="0"/>
        <v>-</v>
      </c>
      <c r="Q16" s="4" t="str">
        <f t="shared" si="1"/>
        <v>-</v>
      </c>
    </row>
    <row r="17" spans="1:17" ht="15.75" customHeight="1" x14ac:dyDescent="0.25">
      <c r="A17" s="894"/>
      <c r="B17" s="824"/>
      <c r="C17" s="20" t="s">
        <v>22</v>
      </c>
      <c r="D17" s="683" t="str">
        <f>IF(D16=0,"",D$7*D16*24)</f>
        <v/>
      </c>
      <c r="E17" s="683" t="str">
        <f t="shared" ref="E17:O17" si="5">IF(E16=0,"",E$7*E16*24)</f>
        <v/>
      </c>
      <c r="F17" s="683" t="str">
        <f t="shared" si="5"/>
        <v/>
      </c>
      <c r="G17" s="683" t="str">
        <f t="shared" si="5"/>
        <v/>
      </c>
      <c r="H17" s="683" t="str">
        <f t="shared" si="5"/>
        <v/>
      </c>
      <c r="I17" s="683" t="str">
        <f t="shared" si="5"/>
        <v/>
      </c>
      <c r="J17" s="683" t="str">
        <f t="shared" si="5"/>
        <v/>
      </c>
      <c r="K17" s="683" t="str">
        <f t="shared" si="5"/>
        <v/>
      </c>
      <c r="L17" s="683" t="str">
        <f t="shared" si="5"/>
        <v/>
      </c>
      <c r="M17" s="683" t="str">
        <f t="shared" si="5"/>
        <v/>
      </c>
      <c r="N17" s="683" t="str">
        <f t="shared" si="5"/>
        <v/>
      </c>
      <c r="O17" s="686" t="str">
        <f t="shared" si="5"/>
        <v/>
      </c>
      <c r="P17" s="511" t="str">
        <f t="shared" si="0"/>
        <v>-</v>
      </c>
      <c r="Q17" s="6" t="str">
        <f t="shared" si="1"/>
        <v>-</v>
      </c>
    </row>
    <row r="18" spans="1:17" ht="15.75" customHeight="1" x14ac:dyDescent="0.25">
      <c r="A18" s="894"/>
      <c r="B18" s="823" t="s">
        <v>12</v>
      </c>
      <c r="C18" s="775" t="s">
        <v>21</v>
      </c>
      <c r="D18" s="549"/>
      <c r="E18" s="549"/>
      <c r="F18" s="549"/>
      <c r="G18" s="549"/>
      <c r="H18" s="549"/>
      <c r="I18" s="549"/>
      <c r="J18" s="549"/>
      <c r="K18" s="549"/>
      <c r="L18" s="549"/>
      <c r="M18" s="549"/>
      <c r="N18" s="549"/>
      <c r="O18" s="550"/>
      <c r="P18" s="512" t="str">
        <f t="shared" si="0"/>
        <v>-</v>
      </c>
      <c r="Q18" s="4" t="str">
        <f t="shared" si="1"/>
        <v>-</v>
      </c>
    </row>
    <row r="19" spans="1:17" ht="15.75" customHeight="1" x14ac:dyDescent="0.25">
      <c r="A19" s="894"/>
      <c r="B19" s="824"/>
      <c r="C19" s="775" t="s">
        <v>22</v>
      </c>
      <c r="D19" s="683" t="str">
        <f>IF(D18=0,"",D$7*D18*24)</f>
        <v/>
      </c>
      <c r="E19" s="683" t="str">
        <f t="shared" ref="E19:O19" si="6">IF(E18=0,"",E$7*E18*24)</f>
        <v/>
      </c>
      <c r="F19" s="683" t="str">
        <f t="shared" si="6"/>
        <v/>
      </c>
      <c r="G19" s="683" t="str">
        <f t="shared" si="6"/>
        <v/>
      </c>
      <c r="H19" s="683" t="str">
        <f t="shared" si="6"/>
        <v/>
      </c>
      <c r="I19" s="683" t="str">
        <f t="shared" si="6"/>
        <v/>
      </c>
      <c r="J19" s="683" t="str">
        <f t="shared" si="6"/>
        <v/>
      </c>
      <c r="K19" s="683" t="str">
        <f t="shared" si="6"/>
        <v/>
      </c>
      <c r="L19" s="683" t="str">
        <f t="shared" si="6"/>
        <v/>
      </c>
      <c r="M19" s="683" t="str">
        <f t="shared" si="6"/>
        <v/>
      </c>
      <c r="N19" s="683" t="str">
        <f t="shared" si="6"/>
        <v/>
      </c>
      <c r="O19" s="686" t="str">
        <f t="shared" si="6"/>
        <v/>
      </c>
      <c r="P19" s="511" t="str">
        <f t="shared" si="0"/>
        <v>-</v>
      </c>
      <c r="Q19" s="6" t="str">
        <f t="shared" si="1"/>
        <v>-</v>
      </c>
    </row>
    <row r="20" spans="1:17" ht="15.75" customHeight="1" x14ac:dyDescent="0.25">
      <c r="A20" s="894"/>
      <c r="B20" s="823" t="s">
        <v>15</v>
      </c>
      <c r="C20" s="19" t="s">
        <v>21</v>
      </c>
      <c r="D20" s="549"/>
      <c r="E20" s="549"/>
      <c r="F20" s="549"/>
      <c r="G20" s="549"/>
      <c r="H20" s="549"/>
      <c r="I20" s="549"/>
      <c r="J20" s="549"/>
      <c r="K20" s="549"/>
      <c r="L20" s="549"/>
      <c r="M20" s="549"/>
      <c r="N20" s="549"/>
      <c r="O20" s="550"/>
      <c r="P20" s="512" t="str">
        <f t="shared" si="0"/>
        <v>-</v>
      </c>
      <c r="Q20" s="4" t="str">
        <f t="shared" si="1"/>
        <v>-</v>
      </c>
    </row>
    <row r="21" spans="1:17" ht="15.75" customHeight="1" x14ac:dyDescent="0.25">
      <c r="A21" s="894"/>
      <c r="B21" s="824"/>
      <c r="C21" s="20" t="s">
        <v>22</v>
      </c>
      <c r="D21" s="683" t="str">
        <f>IF(D20=0,"",D$7*D20*24)</f>
        <v/>
      </c>
      <c r="E21" s="683" t="str">
        <f t="shared" ref="E21:O21" si="7">IF(E20=0,"",E$7*E20*24)</f>
        <v/>
      </c>
      <c r="F21" s="683" t="str">
        <f t="shared" si="7"/>
        <v/>
      </c>
      <c r="G21" s="683" t="str">
        <f t="shared" si="7"/>
        <v/>
      </c>
      <c r="H21" s="683" t="str">
        <f t="shared" si="7"/>
        <v/>
      </c>
      <c r="I21" s="683" t="str">
        <f t="shared" si="7"/>
        <v/>
      </c>
      <c r="J21" s="683" t="str">
        <f t="shared" si="7"/>
        <v/>
      </c>
      <c r="K21" s="683" t="str">
        <f t="shared" si="7"/>
        <v/>
      </c>
      <c r="L21" s="683" t="str">
        <f t="shared" si="7"/>
        <v/>
      </c>
      <c r="M21" s="683" t="str">
        <f t="shared" si="7"/>
        <v/>
      </c>
      <c r="N21" s="683" t="str">
        <f t="shared" si="7"/>
        <v/>
      </c>
      <c r="O21" s="686" t="str">
        <f t="shared" si="7"/>
        <v/>
      </c>
      <c r="P21" s="511" t="str">
        <f t="shared" si="0"/>
        <v>-</v>
      </c>
      <c r="Q21" s="6" t="str">
        <f t="shared" si="1"/>
        <v>-</v>
      </c>
    </row>
    <row r="22" spans="1:17" ht="15.75" customHeight="1" x14ac:dyDescent="0.25">
      <c r="A22" s="894"/>
      <c r="B22" s="823" t="s">
        <v>13</v>
      </c>
      <c r="C22" s="775" t="s">
        <v>21</v>
      </c>
      <c r="D22" s="549"/>
      <c r="E22" s="549"/>
      <c r="F22" s="549"/>
      <c r="G22" s="549"/>
      <c r="H22" s="549"/>
      <c r="I22" s="549"/>
      <c r="J22" s="549"/>
      <c r="K22" s="549"/>
      <c r="L22" s="549"/>
      <c r="M22" s="549"/>
      <c r="N22" s="549"/>
      <c r="O22" s="550"/>
      <c r="P22" s="512" t="str">
        <f t="shared" si="0"/>
        <v>-</v>
      </c>
      <c r="Q22" s="4" t="str">
        <f t="shared" si="1"/>
        <v>-</v>
      </c>
    </row>
    <row r="23" spans="1:17" ht="15.75" customHeight="1" x14ac:dyDescent="0.25">
      <c r="A23" s="894"/>
      <c r="B23" s="824"/>
      <c r="C23" s="775" t="s">
        <v>22</v>
      </c>
      <c r="D23" s="683" t="str">
        <f>IF(D22=0,"",D$7*D22*24)</f>
        <v/>
      </c>
      <c r="E23" s="683" t="str">
        <f t="shared" ref="E23:O23" si="8">IF(E22=0,"",E$7*E22*24)</f>
        <v/>
      </c>
      <c r="F23" s="683" t="str">
        <f t="shared" si="8"/>
        <v/>
      </c>
      <c r="G23" s="683" t="str">
        <f t="shared" si="8"/>
        <v/>
      </c>
      <c r="H23" s="683" t="str">
        <f t="shared" si="8"/>
        <v/>
      </c>
      <c r="I23" s="683" t="str">
        <f t="shared" si="8"/>
        <v/>
      </c>
      <c r="J23" s="683" t="str">
        <f t="shared" si="8"/>
        <v/>
      </c>
      <c r="K23" s="683" t="str">
        <f t="shared" si="8"/>
        <v/>
      </c>
      <c r="L23" s="683" t="str">
        <f t="shared" si="8"/>
        <v/>
      </c>
      <c r="M23" s="683" t="str">
        <f t="shared" si="8"/>
        <v/>
      </c>
      <c r="N23" s="683" t="str">
        <f t="shared" si="8"/>
        <v/>
      </c>
      <c r="O23" s="686" t="str">
        <f t="shared" si="8"/>
        <v/>
      </c>
      <c r="P23" s="511" t="str">
        <f t="shared" si="0"/>
        <v>-</v>
      </c>
      <c r="Q23" s="6" t="str">
        <f t="shared" si="1"/>
        <v>-</v>
      </c>
    </row>
    <row r="24" spans="1:17" ht="15.75" customHeight="1" x14ac:dyDescent="0.25">
      <c r="A24" s="894"/>
      <c r="B24" s="823" t="s">
        <v>20</v>
      </c>
      <c r="C24" s="19" t="s">
        <v>21</v>
      </c>
      <c r="D24" s="549"/>
      <c r="E24" s="549"/>
      <c r="F24" s="549"/>
      <c r="G24" s="549"/>
      <c r="H24" s="549"/>
      <c r="I24" s="549"/>
      <c r="J24" s="549"/>
      <c r="K24" s="549"/>
      <c r="L24" s="549"/>
      <c r="M24" s="549"/>
      <c r="N24" s="549"/>
      <c r="O24" s="550"/>
      <c r="P24" s="512" t="str">
        <f t="shared" si="0"/>
        <v>-</v>
      </c>
      <c r="Q24" s="4" t="str">
        <f t="shared" si="1"/>
        <v>-</v>
      </c>
    </row>
    <row r="25" spans="1:17" ht="15.75" customHeight="1" x14ac:dyDescent="0.25">
      <c r="A25" s="894"/>
      <c r="B25" s="824"/>
      <c r="C25" s="20" t="s">
        <v>22</v>
      </c>
      <c r="D25" s="683" t="str">
        <f>IF(D24=0,"",D$7*D24*24)</f>
        <v/>
      </c>
      <c r="E25" s="683" t="str">
        <f t="shared" ref="E25:O25" si="9">IF(E24=0,"",E$7*E24*24)</f>
        <v/>
      </c>
      <c r="F25" s="683" t="str">
        <f t="shared" si="9"/>
        <v/>
      </c>
      <c r="G25" s="683" t="str">
        <f t="shared" si="9"/>
        <v/>
      </c>
      <c r="H25" s="683" t="str">
        <f t="shared" si="9"/>
        <v/>
      </c>
      <c r="I25" s="683" t="str">
        <f t="shared" si="9"/>
        <v/>
      </c>
      <c r="J25" s="683" t="str">
        <f t="shared" si="9"/>
        <v/>
      </c>
      <c r="K25" s="683" t="str">
        <f t="shared" si="9"/>
        <v/>
      </c>
      <c r="L25" s="683" t="str">
        <f t="shared" si="9"/>
        <v/>
      </c>
      <c r="M25" s="683" t="str">
        <f t="shared" si="9"/>
        <v/>
      </c>
      <c r="N25" s="683" t="str">
        <f t="shared" si="9"/>
        <v/>
      </c>
      <c r="O25" s="686" t="str">
        <f t="shared" si="9"/>
        <v/>
      </c>
      <c r="P25" s="511" t="str">
        <f t="shared" si="0"/>
        <v>-</v>
      </c>
      <c r="Q25" s="6" t="str">
        <f t="shared" si="1"/>
        <v>-</v>
      </c>
    </row>
    <row r="26" spans="1:17" ht="15.75" customHeight="1" x14ac:dyDescent="0.25">
      <c r="A26" s="894"/>
      <c r="B26" s="823" t="s">
        <v>1</v>
      </c>
      <c r="C26" s="775" t="s">
        <v>21</v>
      </c>
      <c r="D26" s="549"/>
      <c r="E26" s="549"/>
      <c r="F26" s="549"/>
      <c r="G26" s="549"/>
      <c r="H26" s="549"/>
      <c r="I26" s="549"/>
      <c r="J26" s="549"/>
      <c r="K26" s="549"/>
      <c r="L26" s="549"/>
      <c r="M26" s="549"/>
      <c r="N26" s="549"/>
      <c r="O26" s="550"/>
      <c r="P26" s="512" t="str">
        <f t="shared" si="0"/>
        <v>-</v>
      </c>
      <c r="Q26" s="4" t="str">
        <f t="shared" si="1"/>
        <v>-</v>
      </c>
    </row>
    <row r="27" spans="1:17" ht="15.75" customHeight="1" x14ac:dyDescent="0.25">
      <c r="A27" s="894"/>
      <c r="B27" s="824"/>
      <c r="C27" s="775" t="s">
        <v>22</v>
      </c>
      <c r="D27" s="683" t="str">
        <f>IF(D26=0,"",D$7*D26*24)</f>
        <v/>
      </c>
      <c r="E27" s="683" t="str">
        <f t="shared" ref="E27:O27" si="10">IF(E26=0,"",E$7*E26*24)</f>
        <v/>
      </c>
      <c r="F27" s="683" t="str">
        <f t="shared" si="10"/>
        <v/>
      </c>
      <c r="G27" s="683" t="str">
        <f t="shared" si="10"/>
        <v/>
      </c>
      <c r="H27" s="683" t="str">
        <f t="shared" si="10"/>
        <v/>
      </c>
      <c r="I27" s="683" t="str">
        <f t="shared" si="10"/>
        <v/>
      </c>
      <c r="J27" s="683" t="str">
        <f t="shared" si="10"/>
        <v/>
      </c>
      <c r="K27" s="683" t="str">
        <f t="shared" si="10"/>
        <v/>
      </c>
      <c r="L27" s="683" t="str">
        <f t="shared" si="10"/>
        <v/>
      </c>
      <c r="M27" s="683" t="str">
        <f t="shared" si="10"/>
        <v/>
      </c>
      <c r="N27" s="683" t="str">
        <f t="shared" si="10"/>
        <v/>
      </c>
      <c r="O27" s="686" t="str">
        <f t="shared" si="10"/>
        <v/>
      </c>
      <c r="P27" s="511" t="str">
        <f t="shared" si="0"/>
        <v>-</v>
      </c>
      <c r="Q27" s="6" t="str">
        <f t="shared" si="1"/>
        <v>-</v>
      </c>
    </row>
    <row r="28" spans="1:17" ht="15.75" customHeight="1" x14ac:dyDescent="0.25">
      <c r="A28" s="894"/>
      <c r="B28" s="900" t="s">
        <v>171</v>
      </c>
      <c r="C28" s="16" t="s">
        <v>21</v>
      </c>
      <c r="D28" s="549"/>
      <c r="E28" s="549"/>
      <c r="F28" s="549"/>
      <c r="G28" s="549"/>
      <c r="H28" s="549"/>
      <c r="I28" s="549"/>
      <c r="J28" s="549"/>
      <c r="K28" s="549"/>
      <c r="L28" s="549"/>
      <c r="M28" s="549"/>
      <c r="N28" s="549"/>
      <c r="O28" s="550"/>
      <c r="P28" s="512" t="str">
        <f t="shared" si="0"/>
        <v>-</v>
      </c>
      <c r="Q28" s="4" t="str">
        <f t="shared" si="1"/>
        <v>-</v>
      </c>
    </row>
    <row r="29" spans="1:17" ht="15.75" customHeight="1" x14ac:dyDescent="0.25">
      <c r="A29" s="894"/>
      <c r="B29" s="901"/>
      <c r="C29" s="17" t="s">
        <v>22</v>
      </c>
      <c r="D29" s="687" t="str">
        <f>IF(D28=0,"",D$7*D28*24)</f>
        <v/>
      </c>
      <c r="E29" s="687" t="str">
        <f t="shared" ref="E29:O29" si="11">IF(E28=0,"",E$7*E28*24)</f>
        <v/>
      </c>
      <c r="F29" s="687" t="str">
        <f t="shared" si="11"/>
        <v/>
      </c>
      <c r="G29" s="687" t="str">
        <f t="shared" si="11"/>
        <v/>
      </c>
      <c r="H29" s="687" t="str">
        <f t="shared" si="11"/>
        <v/>
      </c>
      <c r="I29" s="687" t="str">
        <f t="shared" si="11"/>
        <v/>
      </c>
      <c r="J29" s="687" t="str">
        <f t="shared" si="11"/>
        <v/>
      </c>
      <c r="K29" s="687" t="str">
        <f t="shared" si="11"/>
        <v/>
      </c>
      <c r="L29" s="687" t="str">
        <f t="shared" si="11"/>
        <v/>
      </c>
      <c r="M29" s="687" t="str">
        <f t="shared" si="11"/>
        <v/>
      </c>
      <c r="N29" s="687" t="str">
        <f t="shared" si="11"/>
        <v/>
      </c>
      <c r="O29" s="688" t="str">
        <f t="shared" si="11"/>
        <v/>
      </c>
      <c r="P29" s="511" t="str">
        <f t="shared" si="0"/>
        <v>-</v>
      </c>
      <c r="Q29" s="6" t="str">
        <f t="shared" si="1"/>
        <v>-</v>
      </c>
    </row>
    <row r="30" spans="1:17" ht="15.75" customHeight="1" x14ac:dyDescent="0.25">
      <c r="A30" s="894"/>
      <c r="B30" s="900" t="s">
        <v>171</v>
      </c>
      <c r="C30" s="16" t="s">
        <v>21</v>
      </c>
      <c r="D30" s="549"/>
      <c r="E30" s="549"/>
      <c r="F30" s="549"/>
      <c r="G30" s="549"/>
      <c r="H30" s="549"/>
      <c r="I30" s="549"/>
      <c r="J30" s="549"/>
      <c r="K30" s="549"/>
      <c r="L30" s="549"/>
      <c r="M30" s="549"/>
      <c r="N30" s="549"/>
      <c r="O30" s="550"/>
      <c r="P30" s="512" t="str">
        <f t="shared" si="0"/>
        <v>-</v>
      </c>
      <c r="Q30" s="4" t="str">
        <f t="shared" si="1"/>
        <v>-</v>
      </c>
    </row>
    <row r="31" spans="1:17" ht="15.75" customHeight="1" x14ac:dyDescent="0.25">
      <c r="A31" s="894"/>
      <c r="B31" s="901"/>
      <c r="C31" s="17" t="s">
        <v>22</v>
      </c>
      <c r="D31" s="687" t="str">
        <f>IF(D30=0,"",D$7*D30*24)</f>
        <v/>
      </c>
      <c r="E31" s="687" t="str">
        <f t="shared" ref="E31:O31" si="12">IF(E30=0,"",E$7*E30*24)</f>
        <v/>
      </c>
      <c r="F31" s="687" t="str">
        <f t="shared" si="12"/>
        <v/>
      </c>
      <c r="G31" s="687" t="str">
        <f t="shared" si="12"/>
        <v/>
      </c>
      <c r="H31" s="687" t="str">
        <f t="shared" si="12"/>
        <v/>
      </c>
      <c r="I31" s="687" t="str">
        <f t="shared" si="12"/>
        <v/>
      </c>
      <c r="J31" s="687" t="str">
        <f t="shared" si="12"/>
        <v/>
      </c>
      <c r="K31" s="687" t="str">
        <f t="shared" si="12"/>
        <v/>
      </c>
      <c r="L31" s="687" t="str">
        <f t="shared" si="12"/>
        <v/>
      </c>
      <c r="M31" s="687" t="str">
        <f t="shared" si="12"/>
        <v/>
      </c>
      <c r="N31" s="687" t="str">
        <f t="shared" si="12"/>
        <v/>
      </c>
      <c r="O31" s="688" t="str">
        <f t="shared" si="12"/>
        <v/>
      </c>
      <c r="P31" s="511" t="str">
        <f t="shared" si="0"/>
        <v>-</v>
      </c>
      <c r="Q31" s="6" t="str">
        <f t="shared" si="1"/>
        <v>-</v>
      </c>
    </row>
    <row r="32" spans="1:17" ht="15.75" customHeight="1" x14ac:dyDescent="0.25">
      <c r="A32" s="894"/>
      <c r="B32" s="900" t="s">
        <v>171</v>
      </c>
      <c r="C32" s="16" t="s">
        <v>21</v>
      </c>
      <c r="D32" s="549"/>
      <c r="E32" s="549"/>
      <c r="F32" s="549"/>
      <c r="G32" s="549"/>
      <c r="H32" s="549"/>
      <c r="I32" s="549"/>
      <c r="J32" s="549"/>
      <c r="K32" s="549"/>
      <c r="L32" s="549"/>
      <c r="M32" s="549"/>
      <c r="N32" s="549"/>
      <c r="O32" s="550"/>
      <c r="P32" s="512" t="str">
        <f t="shared" si="0"/>
        <v>-</v>
      </c>
      <c r="Q32" s="4" t="str">
        <f t="shared" si="1"/>
        <v>-</v>
      </c>
    </row>
    <row r="33" spans="1:17" ht="15.75" customHeight="1" x14ac:dyDescent="0.25">
      <c r="A33" s="894"/>
      <c r="B33" s="901"/>
      <c r="C33" s="17" t="s">
        <v>22</v>
      </c>
      <c r="D33" s="687" t="str">
        <f>IF(D32=0,"",D$7*D32*24)</f>
        <v/>
      </c>
      <c r="E33" s="687" t="str">
        <f t="shared" ref="E33:O33" si="13">IF(E32=0,"",E$7*E32*24)</f>
        <v/>
      </c>
      <c r="F33" s="687" t="str">
        <f t="shared" si="13"/>
        <v/>
      </c>
      <c r="G33" s="687" t="str">
        <f t="shared" si="13"/>
        <v/>
      </c>
      <c r="H33" s="687" t="str">
        <f t="shared" si="13"/>
        <v/>
      </c>
      <c r="I33" s="687" t="str">
        <f t="shared" si="13"/>
        <v/>
      </c>
      <c r="J33" s="687" t="str">
        <f t="shared" si="13"/>
        <v/>
      </c>
      <c r="K33" s="687" t="str">
        <f t="shared" si="13"/>
        <v/>
      </c>
      <c r="L33" s="687" t="str">
        <f t="shared" si="13"/>
        <v/>
      </c>
      <c r="M33" s="687" t="str">
        <f t="shared" si="13"/>
        <v/>
      </c>
      <c r="N33" s="687" t="str">
        <f t="shared" si="13"/>
        <v/>
      </c>
      <c r="O33" s="688" t="str">
        <f t="shared" si="13"/>
        <v/>
      </c>
      <c r="P33" s="511" t="str">
        <f t="shared" si="0"/>
        <v>-</v>
      </c>
      <c r="Q33" s="6" t="str">
        <f t="shared" si="1"/>
        <v>-</v>
      </c>
    </row>
    <row r="34" spans="1:17" ht="15.75" customHeight="1" x14ac:dyDescent="0.25">
      <c r="A34" s="894"/>
      <c r="B34" s="900" t="s">
        <v>171</v>
      </c>
      <c r="C34" s="16" t="s">
        <v>21</v>
      </c>
      <c r="D34" s="549"/>
      <c r="E34" s="549"/>
      <c r="F34" s="549"/>
      <c r="G34" s="549"/>
      <c r="H34" s="549"/>
      <c r="I34" s="549"/>
      <c r="J34" s="549"/>
      <c r="K34" s="549"/>
      <c r="L34" s="549"/>
      <c r="M34" s="549"/>
      <c r="N34" s="549"/>
      <c r="O34" s="550"/>
      <c r="P34" s="512" t="str">
        <f t="shared" si="0"/>
        <v>-</v>
      </c>
      <c r="Q34" s="4" t="str">
        <f t="shared" si="1"/>
        <v>-</v>
      </c>
    </row>
    <row r="35" spans="1:17" ht="15.75" customHeight="1" x14ac:dyDescent="0.25">
      <c r="A35" s="894"/>
      <c r="B35" s="901"/>
      <c r="C35" s="17" t="s">
        <v>22</v>
      </c>
      <c r="D35" s="687" t="str">
        <f>IF(D34=0,"",D$7*D34*24)</f>
        <v/>
      </c>
      <c r="E35" s="687" t="str">
        <f t="shared" ref="E35:O35" si="14">IF(E34=0,"",E$7*E34*24)</f>
        <v/>
      </c>
      <c r="F35" s="687" t="str">
        <f t="shared" si="14"/>
        <v/>
      </c>
      <c r="G35" s="687" t="str">
        <f t="shared" si="14"/>
        <v/>
      </c>
      <c r="H35" s="687" t="str">
        <f t="shared" si="14"/>
        <v/>
      </c>
      <c r="I35" s="687" t="str">
        <f t="shared" si="14"/>
        <v/>
      </c>
      <c r="J35" s="687" t="str">
        <f t="shared" si="14"/>
        <v/>
      </c>
      <c r="K35" s="687" t="str">
        <f t="shared" si="14"/>
        <v/>
      </c>
      <c r="L35" s="687" t="str">
        <f t="shared" si="14"/>
        <v/>
      </c>
      <c r="M35" s="687" t="str">
        <f t="shared" si="14"/>
        <v/>
      </c>
      <c r="N35" s="687" t="str">
        <f t="shared" si="14"/>
        <v/>
      </c>
      <c r="O35" s="688" t="str">
        <f t="shared" si="14"/>
        <v/>
      </c>
      <c r="P35" s="511" t="str">
        <f t="shared" si="0"/>
        <v>-</v>
      </c>
      <c r="Q35" s="6" t="str">
        <f t="shared" si="1"/>
        <v>-</v>
      </c>
    </row>
    <row r="36" spans="1:17" ht="15.75" customHeight="1" x14ac:dyDescent="0.25">
      <c r="A36" s="894"/>
      <c r="B36" s="884" t="s">
        <v>18</v>
      </c>
      <c r="C36" s="885"/>
      <c r="D36" s="689" t="str">
        <f>IF(SUM(D8,D10,D12,D14,D16,D18,D20,D22,D24,D26,D28,D30,D32,D34)=0,"",SUM(D8,D10,D12,D14,D16,D18,D20,D22,D24,D26,D28,D30,D32,D34))</f>
        <v/>
      </c>
      <c r="E36" s="689" t="str">
        <f t="shared" ref="E36:O36" si="15">IF(SUM(E8,E10,E12,E14,E16,E18,E20,E22,E24,E26,E28,E30,E32,E34)=0,"",SUM(E8,E10,E12,E14,E16,E18,E20,E22,E24,E26,E28,E30,E32,E34))</f>
        <v/>
      </c>
      <c r="F36" s="689" t="str">
        <f t="shared" si="15"/>
        <v/>
      </c>
      <c r="G36" s="689" t="str">
        <f t="shared" si="15"/>
        <v/>
      </c>
      <c r="H36" s="689" t="str">
        <f t="shared" si="15"/>
        <v/>
      </c>
      <c r="I36" s="689" t="str">
        <f t="shared" si="15"/>
        <v/>
      </c>
      <c r="J36" s="689" t="str">
        <f t="shared" si="15"/>
        <v/>
      </c>
      <c r="K36" s="689" t="str">
        <f t="shared" si="15"/>
        <v/>
      </c>
      <c r="L36" s="689" t="str">
        <f t="shared" si="15"/>
        <v/>
      </c>
      <c r="M36" s="689" t="str">
        <f t="shared" si="15"/>
        <v/>
      </c>
      <c r="N36" s="689" t="str">
        <f t="shared" si="15"/>
        <v/>
      </c>
      <c r="O36" s="690" t="str">
        <f t="shared" si="15"/>
        <v/>
      </c>
      <c r="P36" s="512" t="str">
        <f t="shared" si="0"/>
        <v>-</v>
      </c>
      <c r="Q36" s="4" t="str">
        <f t="shared" si="1"/>
        <v>-</v>
      </c>
    </row>
    <row r="37" spans="1:17" ht="15.75" customHeight="1" thickBot="1" x14ac:dyDescent="0.3">
      <c r="A37" s="895"/>
      <c r="B37" s="905" t="s">
        <v>17</v>
      </c>
      <c r="C37" s="906"/>
      <c r="D37" s="731" t="str">
        <f>IF(D36="","",SUM(D9,D11,D13,D15,D17,D19,D21,D23,D25,D27,D29,D31,D33,D35))</f>
        <v/>
      </c>
      <c r="E37" s="731" t="str">
        <f t="shared" ref="E37:O37" si="16">IF(E36="","",SUM(E9,E11,E13,E15,E17,E19,E21,E23,E25,E27,E29,E31,E33,E35))</f>
        <v/>
      </c>
      <c r="F37" s="731" t="str">
        <f t="shared" si="16"/>
        <v/>
      </c>
      <c r="G37" s="731" t="str">
        <f t="shared" si="16"/>
        <v/>
      </c>
      <c r="H37" s="731" t="str">
        <f t="shared" si="16"/>
        <v/>
      </c>
      <c r="I37" s="731" t="str">
        <f t="shared" si="16"/>
        <v/>
      </c>
      <c r="J37" s="731" t="str">
        <f t="shared" si="16"/>
        <v/>
      </c>
      <c r="K37" s="731" t="str">
        <f t="shared" si="16"/>
        <v/>
      </c>
      <c r="L37" s="731" t="str">
        <f t="shared" si="16"/>
        <v/>
      </c>
      <c r="M37" s="731" t="str">
        <f t="shared" si="16"/>
        <v/>
      </c>
      <c r="N37" s="731" t="str">
        <f t="shared" si="16"/>
        <v/>
      </c>
      <c r="O37" s="732" t="str">
        <f t="shared" si="16"/>
        <v/>
      </c>
      <c r="P37" s="525" t="str">
        <f t="shared" si="0"/>
        <v>-</v>
      </c>
      <c r="Q37" s="7" t="str">
        <f t="shared" si="1"/>
        <v>-</v>
      </c>
    </row>
    <row r="38" spans="1:17" ht="15.75" x14ac:dyDescent="0.25">
      <c r="A38" s="907" t="s">
        <v>111</v>
      </c>
      <c r="B38" s="878" t="s">
        <v>3</v>
      </c>
      <c r="C38" s="879"/>
      <c r="D38" s="547" t="str">
        <f>IF('2026DATA'!AF3=0,"",'2026DATA'!AF3)</f>
        <v/>
      </c>
      <c r="E38" s="547" t="str">
        <f>IF('2026DATA'!AG3=0,"",'2026DATA'!AG3)</f>
        <v/>
      </c>
      <c r="F38" s="547" t="str">
        <f>IF('2026DATA'!AH3=0,"",'2026DATA'!AH3)</f>
        <v/>
      </c>
      <c r="G38" s="547" t="str">
        <f>IF('2026DATA'!AI3=0,"",'2026DATA'!AI3)</f>
        <v/>
      </c>
      <c r="H38" s="547" t="str">
        <f>IF('2026DATA'!AJ3=0,"",'2026DATA'!AJ3)</f>
        <v/>
      </c>
      <c r="I38" s="547" t="str">
        <f>IF('2026DATA'!AK3=0,"",'2026DATA'!AK3)</f>
        <v/>
      </c>
      <c r="J38" s="547" t="str">
        <f>IF('2026DATA'!AL3=0,"",'2026DATA'!AL3)</f>
        <v/>
      </c>
      <c r="K38" s="547" t="str">
        <f>IF('2026DATA'!AM3=0,"",'2026DATA'!AM3)</f>
        <v/>
      </c>
      <c r="L38" s="547" t="str">
        <f>IF('2026DATA'!AN3=0,"",'2026DATA'!AN3)</f>
        <v/>
      </c>
      <c r="M38" s="547" t="str">
        <f>IF('2026DATA'!AO3=0,"",'2026DATA'!AO3)</f>
        <v/>
      </c>
      <c r="N38" s="547" t="str">
        <f>IF('2026DATA'!AP3=0,"",'2026DATA'!AP3)</f>
        <v/>
      </c>
      <c r="O38" s="548" t="str">
        <f>IF('2026DATA'!AQ3=0,"",'2026DATA'!AQ3)</f>
        <v/>
      </c>
      <c r="P38" s="880"/>
      <c r="Q38" s="881"/>
    </row>
    <row r="39" spans="1:17" ht="15.75" x14ac:dyDescent="0.25">
      <c r="A39" s="908"/>
      <c r="B39" s="823" t="s">
        <v>7</v>
      </c>
      <c r="C39" s="16" t="s">
        <v>21</v>
      </c>
      <c r="D39" s="549"/>
      <c r="E39" s="549"/>
      <c r="F39" s="549"/>
      <c r="G39" s="549"/>
      <c r="H39" s="549"/>
      <c r="I39" s="549"/>
      <c r="J39" s="549"/>
      <c r="K39" s="549"/>
      <c r="L39" s="549"/>
      <c r="M39" s="549"/>
      <c r="N39" s="549"/>
      <c r="O39" s="550"/>
      <c r="P39" s="512" t="str">
        <f t="shared" ref="P39:P66" si="17">IF(Q39="-","-",Q39/12)</f>
        <v>-</v>
      </c>
      <c r="Q39" s="4" t="str">
        <f t="shared" ref="Q39:Q60" si="18">IF(SUM(D39:O39)=0,"-",SUM(D39:O39))</f>
        <v>-</v>
      </c>
    </row>
    <row r="40" spans="1:17" ht="15.75" x14ac:dyDescent="0.25">
      <c r="A40" s="908"/>
      <c r="B40" s="824"/>
      <c r="C40" s="17" t="s">
        <v>22</v>
      </c>
      <c r="D40" s="683" t="str">
        <f>IF(D39=0,"",D$38*D39*24)</f>
        <v/>
      </c>
      <c r="E40" s="683" t="str">
        <f t="shared" ref="E40:O40" si="19">IF(E39=0,"",E$38*E39*24)</f>
        <v/>
      </c>
      <c r="F40" s="683" t="str">
        <f t="shared" si="19"/>
        <v/>
      </c>
      <c r="G40" s="683" t="str">
        <f t="shared" si="19"/>
        <v/>
      </c>
      <c r="H40" s="683" t="str">
        <f t="shared" si="19"/>
        <v/>
      </c>
      <c r="I40" s="683" t="str">
        <f t="shared" si="19"/>
        <v/>
      </c>
      <c r="J40" s="683" t="str">
        <f t="shared" si="19"/>
        <v/>
      </c>
      <c r="K40" s="683" t="str">
        <f t="shared" si="19"/>
        <v/>
      </c>
      <c r="L40" s="683" t="str">
        <f t="shared" si="19"/>
        <v/>
      </c>
      <c r="M40" s="683" t="str">
        <f t="shared" si="19"/>
        <v/>
      </c>
      <c r="N40" s="683" t="str">
        <f t="shared" si="19"/>
        <v/>
      </c>
      <c r="O40" s="686" t="str">
        <f t="shared" si="19"/>
        <v/>
      </c>
      <c r="P40" s="511" t="str">
        <f t="shared" si="17"/>
        <v>-</v>
      </c>
      <c r="Q40" s="6" t="str">
        <f t="shared" si="18"/>
        <v>-</v>
      </c>
    </row>
    <row r="41" spans="1:17" ht="15.75" x14ac:dyDescent="0.25">
      <c r="A41" s="908"/>
      <c r="B41" s="823" t="s">
        <v>8</v>
      </c>
      <c r="C41" s="18" t="s">
        <v>21</v>
      </c>
      <c r="D41" s="549"/>
      <c r="E41" s="549"/>
      <c r="F41" s="549"/>
      <c r="G41" s="549"/>
      <c r="H41" s="549"/>
      <c r="I41" s="549"/>
      <c r="J41" s="549"/>
      <c r="K41" s="549"/>
      <c r="L41" s="549"/>
      <c r="M41" s="549"/>
      <c r="N41" s="549"/>
      <c r="O41" s="550"/>
      <c r="P41" s="512" t="str">
        <f t="shared" si="17"/>
        <v>-</v>
      </c>
      <c r="Q41" s="4" t="str">
        <f t="shared" si="18"/>
        <v>-</v>
      </c>
    </row>
    <row r="42" spans="1:17" ht="15.75" x14ac:dyDescent="0.25">
      <c r="A42" s="908"/>
      <c r="B42" s="824"/>
      <c r="C42" s="18" t="s">
        <v>22</v>
      </c>
      <c r="D42" s="683" t="str">
        <f>IF(D41=0,"",(D38+IF(D$4="CA",DATA!$B$22,DATA!$B$23))*D41*24)</f>
        <v/>
      </c>
      <c r="E42" s="683" t="str">
        <f>IF(E41=0,"",(E38+IF(E$4="CA",DATA!$B$22,DATA!$B$23))*E41*24)</f>
        <v/>
      </c>
      <c r="F42" s="683" t="str">
        <f>IF(F41=0,"",(F38+IF(F$4="CA",DATA!$B$22,DATA!$B$23))*F41*24)</f>
        <v/>
      </c>
      <c r="G42" s="683" t="str">
        <f>IF(G41=0,"",(G38+IF(G$4="CA",DATA!$B$22,DATA!$B$23))*G41*24)</f>
        <v/>
      </c>
      <c r="H42" s="683" t="str">
        <f>IF(H41=0,"",(H38+IF(H$4="CA",DATA!$B$22,DATA!$B$23))*H41*24)</f>
        <v/>
      </c>
      <c r="I42" s="683" t="str">
        <f>IF(I41=0,"",(I38+IF(I$4="CA",DATA!$B$22,DATA!$B$23))*I41*24)</f>
        <v/>
      </c>
      <c r="J42" s="683" t="str">
        <f>IF(J41=0,"",(J38+IF(J$4="CA",DATA!$B$22,DATA!$B$23))*J41*24)</f>
        <v/>
      </c>
      <c r="K42" s="683" t="str">
        <f>IF(K41=0,"",(K38+IF(K$4="CA",DATA!$B$22,DATA!$B$23))*K41*24)</f>
        <v/>
      </c>
      <c r="L42" s="683" t="str">
        <f>IF(L41=0,"",(L38+IF(L$4="CA",DATA!$B$22,DATA!$B$23))*L41*24)</f>
        <v/>
      </c>
      <c r="M42" s="683" t="str">
        <f>IF(M41=0,"",(M38+IF(M$4="CA",DATA!$B$22,DATA!$B$23))*M41*24)</f>
        <v/>
      </c>
      <c r="N42" s="683" t="str">
        <f>IF(N41=0,"",(N38+IF(N$4="CA",DATA!$B$22,DATA!$B$23))*N41*24)</f>
        <v/>
      </c>
      <c r="O42" s="686" t="str">
        <f>IF(O41=0,"",(O38+IF(O$4="CA",DATA!$B$22,DATA!$B$23))*O41*24)</f>
        <v/>
      </c>
      <c r="P42" s="511" t="str">
        <f t="shared" si="17"/>
        <v>-</v>
      </c>
      <c r="Q42" s="6" t="str">
        <f t="shared" si="18"/>
        <v>-</v>
      </c>
    </row>
    <row r="43" spans="1:17" ht="15.75" x14ac:dyDescent="0.25">
      <c r="A43" s="908"/>
      <c r="B43" s="823" t="s">
        <v>9</v>
      </c>
      <c r="C43" s="16" t="s">
        <v>21</v>
      </c>
      <c r="D43" s="549"/>
      <c r="E43" s="549"/>
      <c r="F43" s="549"/>
      <c r="G43" s="549"/>
      <c r="H43" s="549"/>
      <c r="I43" s="549"/>
      <c r="J43" s="549"/>
      <c r="K43" s="549"/>
      <c r="L43" s="549"/>
      <c r="M43" s="549"/>
      <c r="N43" s="549"/>
      <c r="O43" s="550"/>
      <c r="P43" s="512" t="str">
        <f t="shared" si="17"/>
        <v>-</v>
      </c>
      <c r="Q43" s="4" t="str">
        <f t="shared" si="18"/>
        <v>-</v>
      </c>
    </row>
    <row r="44" spans="1:17" ht="15.75" x14ac:dyDescent="0.25">
      <c r="A44" s="908"/>
      <c r="B44" s="824"/>
      <c r="C44" s="17" t="s">
        <v>22</v>
      </c>
      <c r="D44" s="683" t="str">
        <f>IF(D43=0,"",D$38*D43*24)</f>
        <v/>
      </c>
      <c r="E44" s="683" t="str">
        <f t="shared" ref="E44:O44" si="20">IF(E43=0,"",E$38*E43*24)</f>
        <v/>
      </c>
      <c r="F44" s="683" t="str">
        <f t="shared" si="20"/>
        <v/>
      </c>
      <c r="G44" s="683" t="str">
        <f t="shared" si="20"/>
        <v/>
      </c>
      <c r="H44" s="683" t="str">
        <f t="shared" si="20"/>
        <v/>
      </c>
      <c r="I44" s="683" t="str">
        <f t="shared" si="20"/>
        <v/>
      </c>
      <c r="J44" s="683" t="str">
        <f t="shared" si="20"/>
        <v/>
      </c>
      <c r="K44" s="683" t="str">
        <f t="shared" si="20"/>
        <v/>
      </c>
      <c r="L44" s="683" t="str">
        <f t="shared" si="20"/>
        <v/>
      </c>
      <c r="M44" s="683" t="str">
        <f t="shared" si="20"/>
        <v/>
      </c>
      <c r="N44" s="683" t="str">
        <f t="shared" si="20"/>
        <v/>
      </c>
      <c r="O44" s="686" t="str">
        <f t="shared" si="20"/>
        <v/>
      </c>
      <c r="P44" s="511" t="str">
        <f t="shared" si="17"/>
        <v>-</v>
      </c>
      <c r="Q44" s="6" t="str">
        <f t="shared" si="18"/>
        <v>-</v>
      </c>
    </row>
    <row r="45" spans="1:17" ht="15.75" x14ac:dyDescent="0.25">
      <c r="A45" s="908"/>
      <c r="B45" s="823" t="s">
        <v>10</v>
      </c>
      <c r="C45" s="18" t="s">
        <v>21</v>
      </c>
      <c r="D45" s="549"/>
      <c r="E45" s="549"/>
      <c r="F45" s="549"/>
      <c r="G45" s="549"/>
      <c r="H45" s="549"/>
      <c r="I45" s="549"/>
      <c r="J45" s="549"/>
      <c r="K45" s="549"/>
      <c r="L45" s="549"/>
      <c r="M45" s="549"/>
      <c r="N45" s="549"/>
      <c r="O45" s="550"/>
      <c r="P45" s="512" t="str">
        <f t="shared" si="17"/>
        <v>-</v>
      </c>
      <c r="Q45" s="4" t="str">
        <f t="shared" si="18"/>
        <v>-</v>
      </c>
    </row>
    <row r="46" spans="1:17" ht="15.75" x14ac:dyDescent="0.25">
      <c r="A46" s="908"/>
      <c r="B46" s="824"/>
      <c r="C46" s="18" t="s">
        <v>22</v>
      </c>
      <c r="D46" s="683" t="str">
        <f>IF(D45=0,"",D$38*D45*24)</f>
        <v/>
      </c>
      <c r="E46" s="683" t="str">
        <f t="shared" ref="E46:O46" si="21">IF(E45=0,"",E$38*E45*24)</f>
        <v/>
      </c>
      <c r="F46" s="683" t="str">
        <f t="shared" si="21"/>
        <v/>
      </c>
      <c r="G46" s="683" t="str">
        <f t="shared" si="21"/>
        <v/>
      </c>
      <c r="H46" s="683" t="str">
        <f t="shared" si="21"/>
        <v/>
      </c>
      <c r="I46" s="683" t="str">
        <f t="shared" si="21"/>
        <v/>
      </c>
      <c r="J46" s="683" t="str">
        <f t="shared" si="21"/>
        <v/>
      </c>
      <c r="K46" s="683" t="str">
        <f t="shared" si="21"/>
        <v/>
      </c>
      <c r="L46" s="683" t="str">
        <f t="shared" si="21"/>
        <v/>
      </c>
      <c r="M46" s="683" t="str">
        <f t="shared" si="21"/>
        <v/>
      </c>
      <c r="N46" s="683" t="str">
        <f t="shared" si="21"/>
        <v/>
      </c>
      <c r="O46" s="686" t="str">
        <f t="shared" si="21"/>
        <v/>
      </c>
      <c r="P46" s="511" t="str">
        <f t="shared" si="17"/>
        <v>-</v>
      </c>
      <c r="Q46" s="6" t="str">
        <f t="shared" si="18"/>
        <v>-</v>
      </c>
    </row>
    <row r="47" spans="1:17" ht="15.75" x14ac:dyDescent="0.25">
      <c r="A47" s="908"/>
      <c r="B47" s="823" t="s">
        <v>11</v>
      </c>
      <c r="C47" s="16" t="s">
        <v>21</v>
      </c>
      <c r="D47" s="549"/>
      <c r="E47" s="549"/>
      <c r="F47" s="549"/>
      <c r="G47" s="549"/>
      <c r="H47" s="549"/>
      <c r="I47" s="549"/>
      <c r="J47" s="549"/>
      <c r="K47" s="549"/>
      <c r="L47" s="549"/>
      <c r="M47" s="549"/>
      <c r="N47" s="549"/>
      <c r="O47" s="550"/>
      <c r="P47" s="512" t="str">
        <f t="shared" si="17"/>
        <v>-</v>
      </c>
      <c r="Q47" s="4" t="str">
        <f t="shared" si="18"/>
        <v>-</v>
      </c>
    </row>
    <row r="48" spans="1:17" ht="15.75" x14ac:dyDescent="0.25">
      <c r="A48" s="908"/>
      <c r="B48" s="824"/>
      <c r="C48" s="17" t="s">
        <v>22</v>
      </c>
      <c r="D48" s="683" t="str">
        <f>IF(D47=0,"",D$38*D47*24)</f>
        <v/>
      </c>
      <c r="E48" s="683" t="str">
        <f t="shared" ref="E48:O48" si="22">IF(E47=0,"",E$38*E47*24)</f>
        <v/>
      </c>
      <c r="F48" s="683" t="str">
        <f t="shared" si="22"/>
        <v/>
      </c>
      <c r="G48" s="683" t="str">
        <f t="shared" si="22"/>
        <v/>
      </c>
      <c r="H48" s="683" t="str">
        <f t="shared" si="22"/>
        <v/>
      </c>
      <c r="I48" s="683" t="str">
        <f t="shared" si="22"/>
        <v/>
      </c>
      <c r="J48" s="683" t="str">
        <f t="shared" si="22"/>
        <v/>
      </c>
      <c r="K48" s="683" t="str">
        <f t="shared" si="22"/>
        <v/>
      </c>
      <c r="L48" s="683" t="str">
        <f t="shared" si="22"/>
        <v/>
      </c>
      <c r="M48" s="683" t="str">
        <f t="shared" si="22"/>
        <v/>
      </c>
      <c r="N48" s="683" t="str">
        <f t="shared" si="22"/>
        <v/>
      </c>
      <c r="O48" s="686" t="str">
        <f t="shared" si="22"/>
        <v/>
      </c>
      <c r="P48" s="511" t="str">
        <f t="shared" si="17"/>
        <v>-</v>
      </c>
      <c r="Q48" s="6" t="str">
        <f t="shared" si="18"/>
        <v>-</v>
      </c>
    </row>
    <row r="49" spans="1:17" ht="15.75" customHeight="1" x14ac:dyDescent="0.25">
      <c r="A49" s="908"/>
      <c r="B49" s="823" t="s">
        <v>12</v>
      </c>
      <c r="C49" s="18" t="s">
        <v>21</v>
      </c>
      <c r="D49" s="549"/>
      <c r="E49" s="549"/>
      <c r="F49" s="549"/>
      <c r="G49" s="549"/>
      <c r="H49" s="549"/>
      <c r="I49" s="549"/>
      <c r="J49" s="549"/>
      <c r="K49" s="549"/>
      <c r="L49" s="549"/>
      <c r="M49" s="549"/>
      <c r="N49" s="549"/>
      <c r="O49" s="550"/>
      <c r="P49" s="512" t="str">
        <f t="shared" si="17"/>
        <v>-</v>
      </c>
      <c r="Q49" s="4" t="str">
        <f t="shared" si="18"/>
        <v>-</v>
      </c>
    </row>
    <row r="50" spans="1:17" ht="15.75" customHeight="1" x14ac:dyDescent="0.25">
      <c r="A50" s="908"/>
      <c r="B50" s="824"/>
      <c r="C50" s="18" t="s">
        <v>22</v>
      </c>
      <c r="D50" s="683" t="str">
        <f>IF(D49=0,"",D$38*D49*24)</f>
        <v/>
      </c>
      <c r="E50" s="683" t="str">
        <f t="shared" ref="E50:O50" si="23">IF(E49=0,"",E$38*E49*24)</f>
        <v/>
      </c>
      <c r="F50" s="683" t="str">
        <f t="shared" si="23"/>
        <v/>
      </c>
      <c r="G50" s="683" t="str">
        <f t="shared" si="23"/>
        <v/>
      </c>
      <c r="H50" s="683" t="str">
        <f t="shared" si="23"/>
        <v/>
      </c>
      <c r="I50" s="683" t="str">
        <f t="shared" si="23"/>
        <v/>
      </c>
      <c r="J50" s="683" t="str">
        <f t="shared" si="23"/>
        <v/>
      </c>
      <c r="K50" s="683" t="str">
        <f t="shared" si="23"/>
        <v/>
      </c>
      <c r="L50" s="683" t="str">
        <f t="shared" si="23"/>
        <v/>
      </c>
      <c r="M50" s="683" t="str">
        <f t="shared" si="23"/>
        <v/>
      </c>
      <c r="N50" s="683" t="str">
        <f t="shared" si="23"/>
        <v/>
      </c>
      <c r="O50" s="686" t="str">
        <f t="shared" si="23"/>
        <v/>
      </c>
      <c r="P50" s="511" t="str">
        <f t="shared" si="17"/>
        <v>-</v>
      </c>
      <c r="Q50" s="6" t="str">
        <f t="shared" si="18"/>
        <v>-</v>
      </c>
    </row>
    <row r="51" spans="1:17" ht="15.75" customHeight="1" x14ac:dyDescent="0.25">
      <c r="A51" s="908"/>
      <c r="B51" s="823" t="s">
        <v>15</v>
      </c>
      <c r="C51" s="16" t="s">
        <v>21</v>
      </c>
      <c r="D51" s="549"/>
      <c r="E51" s="549"/>
      <c r="F51" s="549"/>
      <c r="G51" s="549"/>
      <c r="H51" s="549"/>
      <c r="I51" s="549"/>
      <c r="J51" s="549"/>
      <c r="K51" s="549"/>
      <c r="L51" s="549"/>
      <c r="M51" s="549"/>
      <c r="N51" s="549"/>
      <c r="O51" s="550"/>
      <c r="P51" s="512" t="str">
        <f t="shared" si="17"/>
        <v>-</v>
      </c>
      <c r="Q51" s="4" t="str">
        <f t="shared" si="18"/>
        <v>-</v>
      </c>
    </row>
    <row r="52" spans="1:17" ht="15.75" customHeight="1" x14ac:dyDescent="0.25">
      <c r="A52" s="908"/>
      <c r="B52" s="824"/>
      <c r="C52" s="17" t="s">
        <v>22</v>
      </c>
      <c r="D52" s="683" t="str">
        <f>IF(D51=0,"",D$38*D51*24)</f>
        <v/>
      </c>
      <c r="E52" s="683" t="str">
        <f t="shared" ref="E52:O52" si="24">IF(E51=0,"",E$38*E51*24)</f>
        <v/>
      </c>
      <c r="F52" s="683" t="str">
        <f t="shared" si="24"/>
        <v/>
      </c>
      <c r="G52" s="683" t="str">
        <f t="shared" si="24"/>
        <v/>
      </c>
      <c r="H52" s="683" t="str">
        <f t="shared" si="24"/>
        <v/>
      </c>
      <c r="I52" s="683" t="str">
        <f t="shared" si="24"/>
        <v/>
      </c>
      <c r="J52" s="683" t="str">
        <f t="shared" si="24"/>
        <v/>
      </c>
      <c r="K52" s="683" t="str">
        <f t="shared" si="24"/>
        <v/>
      </c>
      <c r="L52" s="683" t="str">
        <f t="shared" si="24"/>
        <v/>
      </c>
      <c r="M52" s="683" t="str">
        <f t="shared" si="24"/>
        <v/>
      </c>
      <c r="N52" s="683" t="str">
        <f t="shared" si="24"/>
        <v/>
      </c>
      <c r="O52" s="686" t="str">
        <f t="shared" si="24"/>
        <v/>
      </c>
      <c r="P52" s="511" t="str">
        <f t="shared" si="17"/>
        <v>-</v>
      </c>
      <c r="Q52" s="6" t="str">
        <f t="shared" si="18"/>
        <v>-</v>
      </c>
    </row>
    <row r="53" spans="1:17" ht="15.75" customHeight="1" x14ac:dyDescent="0.25">
      <c r="A53" s="908"/>
      <c r="B53" s="823" t="s">
        <v>13</v>
      </c>
      <c r="C53" s="16" t="s">
        <v>21</v>
      </c>
      <c r="D53" s="549"/>
      <c r="E53" s="549"/>
      <c r="F53" s="549"/>
      <c r="G53" s="549"/>
      <c r="H53" s="549"/>
      <c r="I53" s="549"/>
      <c r="J53" s="549"/>
      <c r="K53" s="549"/>
      <c r="L53" s="549"/>
      <c r="M53" s="549"/>
      <c r="N53" s="549"/>
      <c r="O53" s="550"/>
      <c r="P53" s="512" t="str">
        <f t="shared" si="17"/>
        <v>-</v>
      </c>
      <c r="Q53" s="4" t="str">
        <f t="shared" si="18"/>
        <v>-</v>
      </c>
    </row>
    <row r="54" spans="1:17" ht="15.75" customHeight="1" x14ac:dyDescent="0.25">
      <c r="A54" s="908"/>
      <c r="B54" s="824"/>
      <c r="C54" s="17" t="s">
        <v>22</v>
      </c>
      <c r="D54" s="683" t="str">
        <f>IF(D53=0,"",D$38*D53*24)</f>
        <v/>
      </c>
      <c r="E54" s="683" t="str">
        <f t="shared" ref="E54:O54" si="25">IF(E53=0,"",E$38*E53*24)</f>
        <v/>
      </c>
      <c r="F54" s="683" t="str">
        <f t="shared" si="25"/>
        <v/>
      </c>
      <c r="G54" s="683" t="str">
        <f t="shared" si="25"/>
        <v/>
      </c>
      <c r="H54" s="683" t="str">
        <f t="shared" si="25"/>
        <v/>
      </c>
      <c r="I54" s="683" t="str">
        <f t="shared" si="25"/>
        <v/>
      </c>
      <c r="J54" s="683" t="str">
        <f t="shared" si="25"/>
        <v/>
      </c>
      <c r="K54" s="683" t="str">
        <f t="shared" si="25"/>
        <v/>
      </c>
      <c r="L54" s="683" t="str">
        <f t="shared" si="25"/>
        <v/>
      </c>
      <c r="M54" s="683" t="str">
        <f t="shared" si="25"/>
        <v/>
      </c>
      <c r="N54" s="683" t="str">
        <f t="shared" si="25"/>
        <v/>
      </c>
      <c r="O54" s="686" t="str">
        <f t="shared" si="25"/>
        <v/>
      </c>
      <c r="P54" s="511" t="str">
        <f t="shared" si="17"/>
        <v>-</v>
      </c>
      <c r="Q54" s="6" t="str">
        <f t="shared" si="18"/>
        <v>-</v>
      </c>
    </row>
    <row r="55" spans="1:17" ht="15.75" customHeight="1" x14ac:dyDescent="0.25">
      <c r="A55" s="908"/>
      <c r="B55" s="823" t="s">
        <v>20</v>
      </c>
      <c r="C55" s="16" t="s">
        <v>21</v>
      </c>
      <c r="D55" s="549"/>
      <c r="E55" s="549"/>
      <c r="F55" s="549"/>
      <c r="G55" s="549"/>
      <c r="H55" s="549"/>
      <c r="I55" s="549"/>
      <c r="J55" s="549"/>
      <c r="K55" s="549"/>
      <c r="L55" s="549"/>
      <c r="M55" s="549"/>
      <c r="N55" s="549"/>
      <c r="O55" s="550"/>
      <c r="P55" s="512" t="str">
        <f t="shared" si="17"/>
        <v>-</v>
      </c>
      <c r="Q55" s="4" t="str">
        <f t="shared" si="18"/>
        <v>-</v>
      </c>
    </row>
    <row r="56" spans="1:17" ht="15.75" customHeight="1" x14ac:dyDescent="0.25">
      <c r="A56" s="908"/>
      <c r="B56" s="824"/>
      <c r="C56" s="17" t="s">
        <v>22</v>
      </c>
      <c r="D56" s="683" t="str">
        <f>IF(D55=0,"",D$38*D55*24)</f>
        <v/>
      </c>
      <c r="E56" s="683" t="str">
        <f t="shared" ref="E56:O56" si="26">IF(E55=0,"",E$38*E55*24)</f>
        <v/>
      </c>
      <c r="F56" s="683" t="str">
        <f t="shared" si="26"/>
        <v/>
      </c>
      <c r="G56" s="683" t="str">
        <f t="shared" si="26"/>
        <v/>
      </c>
      <c r="H56" s="683" t="str">
        <f t="shared" si="26"/>
        <v/>
      </c>
      <c r="I56" s="683" t="str">
        <f t="shared" si="26"/>
        <v/>
      </c>
      <c r="J56" s="683" t="str">
        <f t="shared" si="26"/>
        <v/>
      </c>
      <c r="K56" s="683" t="str">
        <f t="shared" si="26"/>
        <v/>
      </c>
      <c r="L56" s="683" t="str">
        <f t="shared" si="26"/>
        <v/>
      </c>
      <c r="M56" s="683" t="str">
        <f t="shared" si="26"/>
        <v/>
      </c>
      <c r="N56" s="683" t="str">
        <f t="shared" si="26"/>
        <v/>
      </c>
      <c r="O56" s="686" t="str">
        <f t="shared" si="26"/>
        <v/>
      </c>
      <c r="P56" s="511" t="str">
        <f t="shared" si="17"/>
        <v>-</v>
      </c>
      <c r="Q56" s="6" t="str">
        <f t="shared" si="18"/>
        <v>-</v>
      </c>
    </row>
    <row r="57" spans="1:17" ht="15.75" x14ac:dyDescent="0.25">
      <c r="A57" s="908"/>
      <c r="B57" s="823" t="s">
        <v>1</v>
      </c>
      <c r="C57" s="18" t="s">
        <v>21</v>
      </c>
      <c r="D57" s="549"/>
      <c r="E57" s="549"/>
      <c r="F57" s="549"/>
      <c r="G57" s="549"/>
      <c r="H57" s="549"/>
      <c r="I57" s="549"/>
      <c r="J57" s="549"/>
      <c r="K57" s="549"/>
      <c r="L57" s="549"/>
      <c r="M57" s="549"/>
      <c r="N57" s="549"/>
      <c r="O57" s="550"/>
      <c r="P57" s="512" t="str">
        <f t="shared" si="17"/>
        <v>-</v>
      </c>
      <c r="Q57" s="4" t="str">
        <f t="shared" si="18"/>
        <v>-</v>
      </c>
    </row>
    <row r="58" spans="1:17" ht="15.75" customHeight="1" x14ac:dyDescent="0.25">
      <c r="A58" s="908"/>
      <c r="B58" s="824"/>
      <c r="C58" s="18" t="s">
        <v>22</v>
      </c>
      <c r="D58" s="683" t="str">
        <f>IF(D57=0,"",D$38*D57*24)</f>
        <v/>
      </c>
      <c r="E58" s="683" t="str">
        <f t="shared" ref="E58:O58" si="27">IF(E57=0,"",E$38*E57*24)</f>
        <v/>
      </c>
      <c r="F58" s="683" t="str">
        <f t="shared" si="27"/>
        <v/>
      </c>
      <c r="G58" s="683" t="str">
        <f t="shared" si="27"/>
        <v/>
      </c>
      <c r="H58" s="683" t="str">
        <f t="shared" si="27"/>
        <v/>
      </c>
      <c r="I58" s="683" t="str">
        <f t="shared" si="27"/>
        <v/>
      </c>
      <c r="J58" s="683" t="str">
        <f t="shared" si="27"/>
        <v/>
      </c>
      <c r="K58" s="683" t="str">
        <f t="shared" si="27"/>
        <v/>
      </c>
      <c r="L58" s="683" t="str">
        <f t="shared" si="27"/>
        <v/>
      </c>
      <c r="M58" s="683" t="str">
        <f t="shared" si="27"/>
        <v/>
      </c>
      <c r="N58" s="683" t="str">
        <f t="shared" si="27"/>
        <v/>
      </c>
      <c r="O58" s="686" t="str">
        <f t="shared" si="27"/>
        <v/>
      </c>
      <c r="P58" s="511" t="str">
        <f t="shared" si="17"/>
        <v>-</v>
      </c>
      <c r="Q58" s="6" t="str">
        <f t="shared" si="18"/>
        <v>-</v>
      </c>
    </row>
    <row r="59" spans="1:17" ht="15.75" customHeight="1" x14ac:dyDescent="0.25">
      <c r="A59" s="908"/>
      <c r="B59" s="823" t="str">
        <f>IF($B$28="OTHER (RENAME)","OTHER",$B$28)</f>
        <v>OTHER</v>
      </c>
      <c r="C59" s="19" t="s">
        <v>21</v>
      </c>
      <c r="D59" s="549"/>
      <c r="E59" s="549"/>
      <c r="F59" s="549"/>
      <c r="G59" s="549"/>
      <c r="H59" s="549"/>
      <c r="I59" s="549"/>
      <c r="J59" s="549"/>
      <c r="K59" s="549"/>
      <c r="L59" s="549"/>
      <c r="M59" s="549"/>
      <c r="N59" s="549"/>
      <c r="O59" s="550"/>
      <c r="P59" s="512" t="str">
        <f t="shared" si="17"/>
        <v>-</v>
      </c>
      <c r="Q59" s="4" t="str">
        <f t="shared" si="18"/>
        <v>-</v>
      </c>
    </row>
    <row r="60" spans="1:17" ht="15.75" customHeight="1" x14ac:dyDescent="0.25">
      <c r="A60" s="908"/>
      <c r="B60" s="824"/>
      <c r="C60" s="20" t="s">
        <v>22</v>
      </c>
      <c r="D60" s="687" t="str">
        <f>IF(D59=0,"",D$38*D59*24)</f>
        <v/>
      </c>
      <c r="E60" s="687" t="str">
        <f t="shared" ref="E60:O60" si="28">IF(E59=0,"",E$38*E59*24)</f>
        <v/>
      </c>
      <c r="F60" s="687" t="str">
        <f t="shared" si="28"/>
        <v/>
      </c>
      <c r="G60" s="687" t="str">
        <f t="shared" si="28"/>
        <v/>
      </c>
      <c r="H60" s="687" t="str">
        <f t="shared" si="28"/>
        <v/>
      </c>
      <c r="I60" s="687" t="str">
        <f t="shared" si="28"/>
        <v/>
      </c>
      <c r="J60" s="687" t="str">
        <f t="shared" si="28"/>
        <v/>
      </c>
      <c r="K60" s="687" t="str">
        <f t="shared" si="28"/>
        <v/>
      </c>
      <c r="L60" s="687" t="str">
        <f t="shared" si="28"/>
        <v/>
      </c>
      <c r="M60" s="687" t="str">
        <f t="shared" si="28"/>
        <v/>
      </c>
      <c r="N60" s="687" t="str">
        <f t="shared" si="28"/>
        <v/>
      </c>
      <c r="O60" s="688" t="str">
        <f t="shared" si="28"/>
        <v/>
      </c>
      <c r="P60" s="511" t="str">
        <f t="shared" si="17"/>
        <v>-</v>
      </c>
      <c r="Q60" s="6" t="str">
        <f t="shared" si="18"/>
        <v>-</v>
      </c>
    </row>
    <row r="61" spans="1:17" ht="15.75" x14ac:dyDescent="0.25">
      <c r="A61" s="908"/>
      <c r="B61" s="823" t="str">
        <f>IF($B$30="OTHER (RENAME)","OTHER",$B$30)</f>
        <v>OTHER</v>
      </c>
      <c r="C61" s="16" t="s">
        <v>21</v>
      </c>
      <c r="D61" s="549"/>
      <c r="E61" s="549"/>
      <c r="F61" s="549"/>
      <c r="G61" s="549"/>
      <c r="H61" s="549"/>
      <c r="I61" s="549"/>
      <c r="J61" s="549"/>
      <c r="K61" s="549"/>
      <c r="L61" s="549"/>
      <c r="M61" s="549"/>
      <c r="N61" s="549"/>
      <c r="O61" s="550"/>
      <c r="P61" s="512" t="str">
        <f t="shared" si="17"/>
        <v>-</v>
      </c>
      <c r="Q61" s="4" t="str">
        <f t="shared" ref="Q61:Q66" si="29">IF(SUM(D61:O61)=0,"-",SUM(D61:O61))</f>
        <v>-</v>
      </c>
    </row>
    <row r="62" spans="1:17" ht="15.75" x14ac:dyDescent="0.25">
      <c r="A62" s="908"/>
      <c r="B62" s="824"/>
      <c r="C62" s="17" t="s">
        <v>22</v>
      </c>
      <c r="D62" s="687" t="str">
        <f>IF(D61=0,"",D$38*D61*24)</f>
        <v/>
      </c>
      <c r="E62" s="687" t="str">
        <f t="shared" ref="E62:O62" si="30">IF(E61=0,"",E$38*E61*24)</f>
        <v/>
      </c>
      <c r="F62" s="687" t="str">
        <f t="shared" si="30"/>
        <v/>
      </c>
      <c r="G62" s="687" t="str">
        <f t="shared" si="30"/>
        <v/>
      </c>
      <c r="H62" s="687" t="str">
        <f t="shared" si="30"/>
        <v/>
      </c>
      <c r="I62" s="687" t="str">
        <f t="shared" si="30"/>
        <v/>
      </c>
      <c r="J62" s="687" t="str">
        <f t="shared" si="30"/>
        <v/>
      </c>
      <c r="K62" s="687" t="str">
        <f t="shared" si="30"/>
        <v/>
      </c>
      <c r="L62" s="687" t="str">
        <f t="shared" si="30"/>
        <v/>
      </c>
      <c r="M62" s="687" t="str">
        <f t="shared" si="30"/>
        <v/>
      </c>
      <c r="N62" s="687" t="str">
        <f t="shared" si="30"/>
        <v/>
      </c>
      <c r="O62" s="688" t="str">
        <f t="shared" si="30"/>
        <v/>
      </c>
      <c r="P62" s="511" t="str">
        <f t="shared" si="17"/>
        <v>-</v>
      </c>
      <c r="Q62" s="6" t="str">
        <f t="shared" si="29"/>
        <v>-</v>
      </c>
    </row>
    <row r="63" spans="1:17" ht="15.75" x14ac:dyDescent="0.25">
      <c r="A63" s="908"/>
      <c r="B63" s="823" t="str">
        <f>IF($B$32="OTHER (RENAME)","OTHER",$B$32)</f>
        <v>OTHER</v>
      </c>
      <c r="C63" s="16" t="s">
        <v>21</v>
      </c>
      <c r="D63" s="549"/>
      <c r="E63" s="549"/>
      <c r="F63" s="549"/>
      <c r="G63" s="549"/>
      <c r="H63" s="549"/>
      <c r="I63" s="549"/>
      <c r="J63" s="549"/>
      <c r="K63" s="549"/>
      <c r="L63" s="549"/>
      <c r="M63" s="549"/>
      <c r="N63" s="549"/>
      <c r="O63" s="550"/>
      <c r="P63" s="512" t="str">
        <f t="shared" si="17"/>
        <v>-</v>
      </c>
      <c r="Q63" s="4" t="str">
        <f t="shared" si="29"/>
        <v>-</v>
      </c>
    </row>
    <row r="64" spans="1:17" ht="15.75" x14ac:dyDescent="0.25">
      <c r="A64" s="908"/>
      <c r="B64" s="824"/>
      <c r="C64" s="17" t="s">
        <v>22</v>
      </c>
      <c r="D64" s="687" t="str">
        <f>IF(D63=0,"",D$38*D63*24)</f>
        <v/>
      </c>
      <c r="E64" s="687" t="str">
        <f t="shared" ref="E64:O64" si="31">IF(E63=0,"",E$38*E63*24)</f>
        <v/>
      </c>
      <c r="F64" s="687" t="str">
        <f t="shared" si="31"/>
        <v/>
      </c>
      <c r="G64" s="687" t="str">
        <f t="shared" si="31"/>
        <v/>
      </c>
      <c r="H64" s="687" t="str">
        <f t="shared" si="31"/>
        <v/>
      </c>
      <c r="I64" s="687" t="str">
        <f t="shared" si="31"/>
        <v/>
      </c>
      <c r="J64" s="687" t="str">
        <f t="shared" si="31"/>
        <v/>
      </c>
      <c r="K64" s="687" t="str">
        <f t="shared" si="31"/>
        <v/>
      </c>
      <c r="L64" s="687" t="str">
        <f t="shared" si="31"/>
        <v/>
      </c>
      <c r="M64" s="687" t="str">
        <f t="shared" si="31"/>
        <v/>
      </c>
      <c r="N64" s="687" t="str">
        <f t="shared" si="31"/>
        <v/>
      </c>
      <c r="O64" s="688" t="str">
        <f t="shared" si="31"/>
        <v/>
      </c>
      <c r="P64" s="511" t="str">
        <f t="shared" si="17"/>
        <v>-</v>
      </c>
      <c r="Q64" s="6" t="str">
        <f t="shared" si="29"/>
        <v>-</v>
      </c>
    </row>
    <row r="65" spans="1:17" ht="15.75" x14ac:dyDescent="0.25">
      <c r="A65" s="908"/>
      <c r="B65" s="823" t="str">
        <f>IF($B$34="OTHER (RENAME)","OTHER",$B$34)</f>
        <v>OTHER</v>
      </c>
      <c r="C65" s="16" t="s">
        <v>21</v>
      </c>
      <c r="D65" s="549"/>
      <c r="E65" s="549"/>
      <c r="F65" s="549"/>
      <c r="G65" s="549"/>
      <c r="H65" s="549"/>
      <c r="I65" s="549"/>
      <c r="J65" s="549"/>
      <c r="K65" s="549"/>
      <c r="L65" s="549"/>
      <c r="M65" s="549"/>
      <c r="N65" s="549"/>
      <c r="O65" s="550"/>
      <c r="P65" s="512" t="str">
        <f t="shared" si="17"/>
        <v>-</v>
      </c>
      <c r="Q65" s="4" t="str">
        <f t="shared" si="29"/>
        <v>-</v>
      </c>
    </row>
    <row r="66" spans="1:17" ht="15.75" x14ac:dyDescent="0.25">
      <c r="A66" s="908"/>
      <c r="B66" s="824"/>
      <c r="C66" s="17" t="s">
        <v>22</v>
      </c>
      <c r="D66" s="687" t="str">
        <f>IF(D65=0,"",D$38*D65*24)</f>
        <v/>
      </c>
      <c r="E66" s="687" t="str">
        <f t="shared" ref="E66:O66" si="32">IF(E65=0,"",E$38*E65*24)</f>
        <v/>
      </c>
      <c r="F66" s="687" t="str">
        <f t="shared" si="32"/>
        <v/>
      </c>
      <c r="G66" s="687" t="str">
        <f t="shared" si="32"/>
        <v/>
      </c>
      <c r="H66" s="687" t="str">
        <f t="shared" si="32"/>
        <v/>
      </c>
      <c r="I66" s="687" t="str">
        <f t="shared" si="32"/>
        <v/>
      </c>
      <c r="J66" s="687" t="str">
        <f t="shared" si="32"/>
        <v/>
      </c>
      <c r="K66" s="687" t="str">
        <f t="shared" si="32"/>
        <v/>
      </c>
      <c r="L66" s="687" t="str">
        <f t="shared" si="32"/>
        <v/>
      </c>
      <c r="M66" s="687" t="str">
        <f t="shared" si="32"/>
        <v/>
      </c>
      <c r="N66" s="687" t="str">
        <f t="shared" si="32"/>
        <v/>
      </c>
      <c r="O66" s="688" t="str">
        <f t="shared" si="32"/>
        <v/>
      </c>
      <c r="P66" s="511" t="str">
        <f t="shared" si="17"/>
        <v>-</v>
      </c>
      <c r="Q66" s="6" t="str">
        <f t="shared" si="29"/>
        <v>-</v>
      </c>
    </row>
    <row r="67" spans="1:17" ht="15.75" x14ac:dyDescent="0.25">
      <c r="A67" s="908"/>
      <c r="B67" s="825" t="s">
        <v>16</v>
      </c>
      <c r="C67" s="826"/>
      <c r="D67" s="551" t="str">
        <f>IF(SUM(D39,D41,D43,D45,D47,D49,D51,D53,D55,D57,D59,D61,D63,D65)=0,"",SUM(D39,D41,D43,D45,D47,D49,D51,D53,D55,D57,D59,D61,D63,D65))</f>
        <v/>
      </c>
      <c r="E67" s="551" t="str">
        <f t="shared" ref="E67:O67" si="33">IF(SUM(E39,E41,E43,E45,E47,E49,E51,E53,E55,E57,E59,E61,E63,E65)=0,"",SUM(E39,E41,E43,E45,E47,E49,E51,E53,E55,E57,E59,E61,E63,E65))</f>
        <v/>
      </c>
      <c r="F67" s="551" t="str">
        <f t="shared" si="33"/>
        <v/>
      </c>
      <c r="G67" s="551" t="str">
        <f t="shared" si="33"/>
        <v/>
      </c>
      <c r="H67" s="551" t="str">
        <f t="shared" si="33"/>
        <v/>
      </c>
      <c r="I67" s="551" t="str">
        <f t="shared" si="33"/>
        <v/>
      </c>
      <c r="J67" s="551" t="str">
        <f t="shared" si="33"/>
        <v/>
      </c>
      <c r="K67" s="551" t="str">
        <f t="shared" si="33"/>
        <v/>
      </c>
      <c r="L67" s="551" t="str">
        <f t="shared" si="33"/>
        <v/>
      </c>
      <c r="M67" s="551" t="str">
        <f t="shared" si="33"/>
        <v/>
      </c>
      <c r="N67" s="551" t="str">
        <f t="shared" si="33"/>
        <v/>
      </c>
      <c r="O67" s="552" t="str">
        <f t="shared" si="33"/>
        <v/>
      </c>
      <c r="P67" s="512" t="str">
        <f>IF(Q67="-","-",Q67/12)</f>
        <v>-</v>
      </c>
      <c r="Q67" s="4" t="str">
        <f>IF(SUM(D67:O67)=0,"-",SUM(D67:O67))</f>
        <v>-</v>
      </c>
    </row>
    <row r="68" spans="1:17" ht="16.5" thickBot="1" x14ac:dyDescent="0.3">
      <c r="A68" s="909"/>
      <c r="B68" s="820" t="s">
        <v>17</v>
      </c>
      <c r="C68" s="821"/>
      <c r="D68" s="733" t="str">
        <f>IF(D67="","",SUM(D40,D42,D44,D46,D48,D50,D52,D54,D56,D58,D60,D62,D64,D66))</f>
        <v/>
      </c>
      <c r="E68" s="733" t="str">
        <f t="shared" ref="E68" si="34">IF(E67="","",SUM(E40,E42,E44,E46,E48,E50,E52,E54,E56,E58,E60,E62,E64,E66))</f>
        <v/>
      </c>
      <c r="F68" s="733" t="str">
        <f t="shared" ref="F68" si="35">IF(F67="","",SUM(F40,F42,F44,F46,F48,F50,F52,F54,F56,F58,F60,F62,F64,F66))</f>
        <v/>
      </c>
      <c r="G68" s="733" t="str">
        <f t="shared" ref="G68" si="36">IF(G67="","",SUM(G40,G42,G44,G46,G48,G50,G52,G54,G56,G58,G60,G62,G64,G66))</f>
        <v/>
      </c>
      <c r="H68" s="733" t="str">
        <f t="shared" ref="H68" si="37">IF(H67="","",SUM(H40,H42,H44,H46,H48,H50,H52,H54,H56,H58,H60,H62,H64,H66))</f>
        <v/>
      </c>
      <c r="I68" s="733" t="str">
        <f t="shared" ref="I68" si="38">IF(I67="","",SUM(I40,I42,I44,I46,I48,I50,I52,I54,I56,I58,I60,I62,I64,I66))</f>
        <v/>
      </c>
      <c r="J68" s="733" t="str">
        <f t="shared" ref="J68" si="39">IF(J67="","",SUM(J40,J42,J44,J46,J48,J50,J52,J54,J56,J58,J60,J62,J64,J66))</f>
        <v/>
      </c>
      <c r="K68" s="733" t="str">
        <f t="shared" ref="K68" si="40">IF(K67="","",SUM(K40,K42,K44,K46,K48,K50,K52,K54,K56,K58,K60,K62,K64,K66))</f>
        <v/>
      </c>
      <c r="L68" s="733" t="str">
        <f t="shared" ref="L68" si="41">IF(L67="","",SUM(L40,L42,L44,L46,L48,L50,L52,L54,L56,L58,L60,L62,L64,L66))</f>
        <v/>
      </c>
      <c r="M68" s="733" t="str">
        <f t="shared" ref="M68" si="42">IF(M67="","",SUM(M40,M42,M44,M46,M48,M50,M52,M54,M56,M58,M60,M62,M64,M66))</f>
        <v/>
      </c>
      <c r="N68" s="733" t="str">
        <f t="shared" ref="N68" si="43">IF(N67="","",SUM(N40,N42,N44,N46,N48,N50,N52,N54,N56,N58,N60,N62,N64,N66))</f>
        <v/>
      </c>
      <c r="O68" s="734" t="str">
        <f t="shared" ref="O68" si="44">IF(O67="","",SUM(O40,O42,O44,O46,O48,O50,O52,O54,O56,O58,O60,O62,O64,O66))</f>
        <v/>
      </c>
      <c r="P68" s="525" t="str">
        <f>IF(Q68="-","-",Q68/12)</f>
        <v>-</v>
      </c>
      <c r="Q68" s="7" t="str">
        <f>IF(SUM(D68:O68)=0,"-",SUM(D68:O68))</f>
        <v>-</v>
      </c>
    </row>
    <row r="69" spans="1:17" ht="15.75" x14ac:dyDescent="0.25">
      <c r="A69" s="863" t="s">
        <v>111</v>
      </c>
      <c r="B69" s="878" t="s">
        <v>3</v>
      </c>
      <c r="C69" s="879"/>
      <c r="D69" s="547" t="str">
        <f>IF('2026DATA'!AT3=0,"",'2026DATA'!AT3)</f>
        <v/>
      </c>
      <c r="E69" s="547" t="str">
        <f>IF('2026DATA'!AU3=0,"",'2026DATA'!AU3)</f>
        <v/>
      </c>
      <c r="F69" s="547" t="str">
        <f>IF('2026DATA'!AV3=0,"",'2026DATA'!AV3)</f>
        <v/>
      </c>
      <c r="G69" s="547" t="str">
        <f>IF('2026DATA'!AW3=0,"",'2026DATA'!AW3)</f>
        <v/>
      </c>
      <c r="H69" s="547" t="str">
        <f>IF('2026DATA'!AX3=0,"",'2026DATA'!AX3)</f>
        <v/>
      </c>
      <c r="I69" s="547" t="str">
        <f>IF('2026DATA'!AY3=0,"",'2026DATA'!AY3)</f>
        <v/>
      </c>
      <c r="J69" s="547" t="str">
        <f>IF('2026DATA'!AZ3=0,"",'2026DATA'!AZ3)</f>
        <v/>
      </c>
      <c r="K69" s="547" t="str">
        <f>IF('2026DATA'!BA3=0,"",'2026DATA'!BA3)</f>
        <v/>
      </c>
      <c r="L69" s="547" t="str">
        <f>IF('2026DATA'!BB3=0,"",'2026DATA'!BB3)</f>
        <v/>
      </c>
      <c r="M69" s="547" t="str">
        <f>IF('2026DATA'!BC3=0,"",'2026DATA'!BC3)</f>
        <v/>
      </c>
      <c r="N69" s="547" t="str">
        <f>IF('2026DATA'!BD3=0,"",'2026DATA'!BD3)</f>
        <v/>
      </c>
      <c r="O69" s="548" t="str">
        <f>IF('2026DATA'!BE3=0,"",'2026DATA'!BE3)</f>
        <v/>
      </c>
      <c r="P69" s="880"/>
      <c r="Q69" s="881"/>
    </row>
    <row r="70" spans="1:17" ht="15.75" x14ac:dyDescent="0.25">
      <c r="A70" s="864"/>
      <c r="B70" s="823" t="s">
        <v>7</v>
      </c>
      <c r="C70" s="513" t="s">
        <v>21</v>
      </c>
      <c r="D70" s="549"/>
      <c r="E70" s="549"/>
      <c r="F70" s="549"/>
      <c r="G70" s="549"/>
      <c r="H70" s="549"/>
      <c r="I70" s="549"/>
      <c r="J70" s="549"/>
      <c r="K70" s="549"/>
      <c r="L70" s="549"/>
      <c r="M70" s="549"/>
      <c r="N70" s="549"/>
      <c r="O70" s="550"/>
      <c r="P70" s="512" t="str">
        <f t="shared" ref="P70:P99" si="45">IF(Q70="-","-",Q70/12)</f>
        <v>-</v>
      </c>
      <c r="Q70" s="4" t="str">
        <f t="shared" ref="Q70:Q89" si="46">IF(SUM(D70:O70)=0,"-",SUM(D70:O70))</f>
        <v>-</v>
      </c>
    </row>
    <row r="71" spans="1:17" ht="15.75" x14ac:dyDescent="0.25">
      <c r="A71" s="864"/>
      <c r="B71" s="824"/>
      <c r="C71" s="18" t="s">
        <v>22</v>
      </c>
      <c r="D71" s="683" t="str">
        <f>IF(D70="","",D$69*D70*24)</f>
        <v/>
      </c>
      <c r="E71" s="683" t="str">
        <f t="shared" ref="E71:O71" si="47">IF(E70="","",E$69*E70*24)</f>
        <v/>
      </c>
      <c r="F71" s="683" t="str">
        <f t="shared" si="47"/>
        <v/>
      </c>
      <c r="G71" s="683" t="str">
        <f t="shared" si="47"/>
        <v/>
      </c>
      <c r="H71" s="683" t="str">
        <f t="shared" si="47"/>
        <v/>
      </c>
      <c r="I71" s="683" t="str">
        <f t="shared" si="47"/>
        <v/>
      </c>
      <c r="J71" s="683" t="str">
        <f t="shared" si="47"/>
        <v/>
      </c>
      <c r="K71" s="683" t="str">
        <f t="shared" si="47"/>
        <v/>
      </c>
      <c r="L71" s="683" t="str">
        <f t="shared" si="47"/>
        <v/>
      </c>
      <c r="M71" s="683" t="str">
        <f t="shared" si="47"/>
        <v/>
      </c>
      <c r="N71" s="683" t="str">
        <f t="shared" si="47"/>
        <v/>
      </c>
      <c r="O71" s="686" t="str">
        <f t="shared" si="47"/>
        <v/>
      </c>
      <c r="P71" s="511" t="str">
        <f t="shared" si="45"/>
        <v>-</v>
      </c>
      <c r="Q71" s="6" t="str">
        <f t="shared" si="46"/>
        <v>-</v>
      </c>
    </row>
    <row r="72" spans="1:17" ht="15.75" x14ac:dyDescent="0.25">
      <c r="A72" s="864"/>
      <c r="B72" s="823" t="s">
        <v>8</v>
      </c>
      <c r="C72" s="16" t="s">
        <v>21</v>
      </c>
      <c r="D72" s="549"/>
      <c r="E72" s="549"/>
      <c r="F72" s="549"/>
      <c r="G72" s="549"/>
      <c r="H72" s="549"/>
      <c r="I72" s="549"/>
      <c r="J72" s="549"/>
      <c r="K72" s="549"/>
      <c r="L72" s="549"/>
      <c r="M72" s="549"/>
      <c r="N72" s="549"/>
      <c r="O72" s="550"/>
      <c r="P72" s="512" t="str">
        <f t="shared" si="45"/>
        <v>-</v>
      </c>
      <c r="Q72" s="4" t="str">
        <f t="shared" si="46"/>
        <v>-</v>
      </c>
    </row>
    <row r="73" spans="1:17" ht="15.75" x14ac:dyDescent="0.25">
      <c r="A73" s="864"/>
      <c r="B73" s="824"/>
      <c r="C73" s="17" t="s">
        <v>22</v>
      </c>
      <c r="D73" s="683" t="str">
        <f>IF(D72=0,"",(D69+IF(D$4="CA",DATA!$B$22,DATA!$B$23))*D72*24)</f>
        <v/>
      </c>
      <c r="E73" s="683" t="str">
        <f>IF(E72=0,"",(E69+IF(E$4="CA",DATA!$B$22,DATA!$B$23))*E72*24)</f>
        <v/>
      </c>
      <c r="F73" s="683" t="str">
        <f>IF(F72=0,"",(F69+IF(F$4="CA",DATA!$B$22,DATA!$B$23))*F72*24)</f>
        <v/>
      </c>
      <c r="G73" s="683" t="str">
        <f>IF(G72=0,"",(G69+IF(G$4="CA",DATA!$B$22,DATA!$B$23))*G72*24)</f>
        <v/>
      </c>
      <c r="H73" s="683" t="str">
        <f>IF(H72=0,"",(H69+IF(H$4="CA",DATA!$B$22,DATA!$B$23))*H72*24)</f>
        <v/>
      </c>
      <c r="I73" s="683" t="str">
        <f>IF(I72=0,"",(I69+IF(I$4="CA",DATA!$B$22,DATA!$B$23))*I72*24)</f>
        <v/>
      </c>
      <c r="J73" s="683" t="str">
        <f>IF(J72=0,"",(J69+IF(J$4="CA",DATA!$B$22,DATA!$B$23))*J72*24)</f>
        <v/>
      </c>
      <c r="K73" s="683" t="str">
        <f>IF(K72=0,"",(K69+IF(K$4="CA",DATA!$B$22,DATA!$B$23))*K72*24)</f>
        <v/>
      </c>
      <c r="L73" s="683" t="str">
        <f>IF(L72=0,"",(L69+IF(L$4="CA",DATA!$B$22,DATA!$B$23))*L72*24)</f>
        <v/>
      </c>
      <c r="M73" s="683" t="str">
        <f>IF(M72=0,"",(M69+IF(M$4="CA",DATA!$B$22,DATA!$B$23))*M72*24)</f>
        <v/>
      </c>
      <c r="N73" s="683" t="str">
        <f>IF(N72=0,"",(N69+IF(N$4="CA",DATA!$B$22,DATA!$B$23))*N72*24)</f>
        <v/>
      </c>
      <c r="O73" s="686" t="str">
        <f>IF(O72=0,"",(O69+IF(O$4="CA",DATA!$B$22,DATA!$B$23))*O72*24)</f>
        <v/>
      </c>
      <c r="P73" s="511" t="str">
        <f t="shared" si="45"/>
        <v>-</v>
      </c>
      <c r="Q73" s="6" t="str">
        <f t="shared" si="46"/>
        <v>-</v>
      </c>
    </row>
    <row r="74" spans="1:17" ht="15.75" x14ac:dyDescent="0.25">
      <c r="A74" s="864"/>
      <c r="B74" s="823" t="s">
        <v>9</v>
      </c>
      <c r="C74" s="18" t="s">
        <v>21</v>
      </c>
      <c r="D74" s="549"/>
      <c r="E74" s="549"/>
      <c r="F74" s="549"/>
      <c r="G74" s="549"/>
      <c r="H74" s="549"/>
      <c r="I74" s="549"/>
      <c r="J74" s="549"/>
      <c r="K74" s="549"/>
      <c r="L74" s="549"/>
      <c r="M74" s="549"/>
      <c r="N74" s="549"/>
      <c r="O74" s="550"/>
      <c r="P74" s="512" t="str">
        <f t="shared" si="45"/>
        <v>-</v>
      </c>
      <c r="Q74" s="4" t="str">
        <f t="shared" si="46"/>
        <v>-</v>
      </c>
    </row>
    <row r="75" spans="1:17" ht="15.75" x14ac:dyDescent="0.25">
      <c r="A75" s="864"/>
      <c r="B75" s="824"/>
      <c r="C75" s="18" t="s">
        <v>22</v>
      </c>
      <c r="D75" s="683" t="str">
        <f>IF(D74="","",D$69*D74*24)</f>
        <v/>
      </c>
      <c r="E75" s="683" t="str">
        <f t="shared" ref="E75:O75" si="48">IF(E74="","",E$69*E74*24)</f>
        <v/>
      </c>
      <c r="F75" s="684" t="str">
        <f t="shared" si="48"/>
        <v/>
      </c>
      <c r="G75" s="683" t="str">
        <f t="shared" si="48"/>
        <v/>
      </c>
      <c r="H75" s="683" t="str">
        <f t="shared" si="48"/>
        <v/>
      </c>
      <c r="I75" s="683" t="str">
        <f t="shared" si="48"/>
        <v/>
      </c>
      <c r="J75" s="683" t="str">
        <f t="shared" si="48"/>
        <v/>
      </c>
      <c r="K75" s="683" t="str">
        <f t="shared" si="48"/>
        <v/>
      </c>
      <c r="L75" s="683" t="str">
        <f t="shared" si="48"/>
        <v/>
      </c>
      <c r="M75" s="683" t="str">
        <f t="shared" si="48"/>
        <v/>
      </c>
      <c r="N75" s="683" t="str">
        <f t="shared" si="48"/>
        <v/>
      </c>
      <c r="O75" s="685" t="str">
        <f t="shared" si="48"/>
        <v/>
      </c>
      <c r="P75" s="511" t="str">
        <f t="shared" si="45"/>
        <v>-</v>
      </c>
      <c r="Q75" s="6" t="str">
        <f t="shared" si="46"/>
        <v>-</v>
      </c>
    </row>
    <row r="76" spans="1:17" ht="15.75" x14ac:dyDescent="0.25">
      <c r="A76" s="864"/>
      <c r="B76" s="823" t="s">
        <v>10</v>
      </c>
      <c r="C76" s="16" t="s">
        <v>21</v>
      </c>
      <c r="D76" s="549"/>
      <c r="E76" s="549"/>
      <c r="F76" s="549"/>
      <c r="G76" s="549"/>
      <c r="H76" s="549"/>
      <c r="I76" s="549"/>
      <c r="J76" s="549"/>
      <c r="K76" s="549"/>
      <c r="L76" s="549"/>
      <c r="M76" s="549"/>
      <c r="N76" s="549"/>
      <c r="O76" s="550"/>
      <c r="P76" s="512" t="str">
        <f t="shared" si="45"/>
        <v>-</v>
      </c>
      <c r="Q76" s="4" t="str">
        <f t="shared" si="46"/>
        <v>-</v>
      </c>
    </row>
    <row r="77" spans="1:17" ht="15.75" x14ac:dyDescent="0.25">
      <c r="A77" s="864"/>
      <c r="B77" s="824"/>
      <c r="C77" s="17" t="s">
        <v>22</v>
      </c>
      <c r="D77" s="683" t="str">
        <f>IF(D76="","",D$69*D76*24)</f>
        <v/>
      </c>
      <c r="E77" s="683" t="str">
        <f t="shared" ref="E77:O77" si="49">IF(E76="","",E$69*E76*24)</f>
        <v/>
      </c>
      <c r="F77" s="684" t="str">
        <f t="shared" si="49"/>
        <v/>
      </c>
      <c r="G77" s="683" t="str">
        <f t="shared" si="49"/>
        <v/>
      </c>
      <c r="H77" s="683" t="str">
        <f t="shared" si="49"/>
        <v/>
      </c>
      <c r="I77" s="683" t="str">
        <f t="shared" si="49"/>
        <v/>
      </c>
      <c r="J77" s="683" t="str">
        <f t="shared" si="49"/>
        <v/>
      </c>
      <c r="K77" s="683" t="str">
        <f t="shared" si="49"/>
        <v/>
      </c>
      <c r="L77" s="683" t="str">
        <f t="shared" si="49"/>
        <v/>
      </c>
      <c r="M77" s="683" t="str">
        <f t="shared" si="49"/>
        <v/>
      </c>
      <c r="N77" s="683" t="str">
        <f t="shared" si="49"/>
        <v/>
      </c>
      <c r="O77" s="685" t="str">
        <f t="shared" si="49"/>
        <v/>
      </c>
      <c r="P77" s="511" t="str">
        <f t="shared" si="45"/>
        <v>-</v>
      </c>
      <c r="Q77" s="6" t="str">
        <f t="shared" si="46"/>
        <v>-</v>
      </c>
    </row>
    <row r="78" spans="1:17" ht="15.75" x14ac:dyDescent="0.25">
      <c r="A78" s="864"/>
      <c r="B78" s="823" t="s">
        <v>11</v>
      </c>
      <c r="C78" s="18" t="s">
        <v>21</v>
      </c>
      <c r="D78" s="549"/>
      <c r="E78" s="549"/>
      <c r="F78" s="549"/>
      <c r="G78" s="549"/>
      <c r="H78" s="549"/>
      <c r="I78" s="549"/>
      <c r="J78" s="549"/>
      <c r="K78" s="549"/>
      <c r="L78" s="549"/>
      <c r="M78" s="549"/>
      <c r="N78" s="549"/>
      <c r="O78" s="550"/>
      <c r="P78" s="512" t="str">
        <f t="shared" si="45"/>
        <v>-</v>
      </c>
      <c r="Q78" s="4" t="str">
        <f t="shared" si="46"/>
        <v>-</v>
      </c>
    </row>
    <row r="79" spans="1:17" ht="15.75" x14ac:dyDescent="0.25">
      <c r="A79" s="864"/>
      <c r="B79" s="824"/>
      <c r="C79" s="18" t="s">
        <v>22</v>
      </c>
      <c r="D79" s="683" t="str">
        <f>IF(D78="","",D$69*D78*24)</f>
        <v/>
      </c>
      <c r="E79" s="683" t="str">
        <f t="shared" ref="E79:O79" si="50">IF(E78="","",E$69*E78*24)</f>
        <v/>
      </c>
      <c r="F79" s="684" t="str">
        <f t="shared" si="50"/>
        <v/>
      </c>
      <c r="G79" s="683" t="str">
        <f t="shared" si="50"/>
        <v/>
      </c>
      <c r="H79" s="683" t="str">
        <f t="shared" si="50"/>
        <v/>
      </c>
      <c r="I79" s="683" t="str">
        <f t="shared" si="50"/>
        <v/>
      </c>
      <c r="J79" s="683" t="str">
        <f t="shared" si="50"/>
        <v/>
      </c>
      <c r="K79" s="683" t="str">
        <f t="shared" si="50"/>
        <v/>
      </c>
      <c r="L79" s="683" t="str">
        <f t="shared" si="50"/>
        <v/>
      </c>
      <c r="M79" s="683" t="str">
        <f t="shared" si="50"/>
        <v/>
      </c>
      <c r="N79" s="683" t="str">
        <f t="shared" si="50"/>
        <v/>
      </c>
      <c r="O79" s="685" t="str">
        <f t="shared" si="50"/>
        <v/>
      </c>
      <c r="P79" s="511" t="str">
        <f t="shared" si="45"/>
        <v>-</v>
      </c>
      <c r="Q79" s="6" t="str">
        <f t="shared" si="46"/>
        <v>-</v>
      </c>
    </row>
    <row r="80" spans="1:17" ht="15.75" x14ac:dyDescent="0.25">
      <c r="A80" s="864"/>
      <c r="B80" s="823" t="s">
        <v>12</v>
      </c>
      <c r="C80" s="16" t="s">
        <v>21</v>
      </c>
      <c r="D80" s="549"/>
      <c r="E80" s="549"/>
      <c r="F80" s="549"/>
      <c r="G80" s="549"/>
      <c r="H80" s="549"/>
      <c r="I80" s="549"/>
      <c r="J80" s="549"/>
      <c r="K80" s="549"/>
      <c r="L80" s="549"/>
      <c r="M80" s="549"/>
      <c r="N80" s="549"/>
      <c r="O80" s="550"/>
      <c r="P80" s="512" t="str">
        <f t="shared" si="45"/>
        <v>-</v>
      </c>
      <c r="Q80" s="4" t="str">
        <f t="shared" si="46"/>
        <v>-</v>
      </c>
    </row>
    <row r="81" spans="1:17" ht="15.75" x14ac:dyDescent="0.25">
      <c r="A81" s="864"/>
      <c r="B81" s="824"/>
      <c r="C81" s="17" t="s">
        <v>22</v>
      </c>
      <c r="D81" s="683" t="str">
        <f>IF(D80="","",D$69*D80*24)</f>
        <v/>
      </c>
      <c r="E81" s="683" t="str">
        <f t="shared" ref="E81:O81" si="51">IF(E80="","",E$69*E80*24)</f>
        <v/>
      </c>
      <c r="F81" s="684" t="str">
        <f t="shared" si="51"/>
        <v/>
      </c>
      <c r="G81" s="683" t="str">
        <f t="shared" si="51"/>
        <v/>
      </c>
      <c r="H81" s="683" t="str">
        <f t="shared" si="51"/>
        <v/>
      </c>
      <c r="I81" s="683" t="str">
        <f t="shared" si="51"/>
        <v/>
      </c>
      <c r="J81" s="683" t="str">
        <f t="shared" si="51"/>
        <v/>
      </c>
      <c r="K81" s="683" t="str">
        <f t="shared" si="51"/>
        <v/>
      </c>
      <c r="L81" s="683" t="str">
        <f t="shared" si="51"/>
        <v/>
      </c>
      <c r="M81" s="683" t="str">
        <f t="shared" si="51"/>
        <v/>
      </c>
      <c r="N81" s="683" t="str">
        <f t="shared" si="51"/>
        <v/>
      </c>
      <c r="O81" s="685" t="str">
        <f t="shared" si="51"/>
        <v/>
      </c>
      <c r="P81" s="511" t="str">
        <f t="shared" si="45"/>
        <v>-</v>
      </c>
      <c r="Q81" s="6" t="str">
        <f t="shared" si="46"/>
        <v>-</v>
      </c>
    </row>
    <row r="82" spans="1:17" ht="15.75" x14ac:dyDescent="0.25">
      <c r="A82" s="864"/>
      <c r="B82" s="823" t="s">
        <v>15</v>
      </c>
      <c r="C82" s="18" t="s">
        <v>21</v>
      </c>
      <c r="D82" s="549"/>
      <c r="E82" s="549"/>
      <c r="F82" s="549"/>
      <c r="G82" s="549"/>
      <c r="H82" s="549"/>
      <c r="I82" s="549"/>
      <c r="J82" s="549"/>
      <c r="K82" s="549"/>
      <c r="L82" s="549"/>
      <c r="M82" s="549"/>
      <c r="N82" s="549"/>
      <c r="O82" s="550"/>
      <c r="P82" s="512" t="str">
        <f t="shared" si="45"/>
        <v>-</v>
      </c>
      <c r="Q82" s="4" t="str">
        <f t="shared" si="46"/>
        <v>-</v>
      </c>
    </row>
    <row r="83" spans="1:17" ht="15.75" x14ac:dyDescent="0.25">
      <c r="A83" s="864"/>
      <c r="B83" s="824"/>
      <c r="C83" s="18" t="s">
        <v>22</v>
      </c>
      <c r="D83" s="683" t="str">
        <f>IF(D82="","",D$69*D82*24)</f>
        <v/>
      </c>
      <c r="E83" s="683" t="str">
        <f t="shared" ref="E83:O83" si="52">IF(E82="","",E$69*E82*24)</f>
        <v/>
      </c>
      <c r="F83" s="684" t="str">
        <f t="shared" si="52"/>
        <v/>
      </c>
      <c r="G83" s="683" t="str">
        <f t="shared" si="52"/>
        <v/>
      </c>
      <c r="H83" s="683" t="str">
        <f t="shared" si="52"/>
        <v/>
      </c>
      <c r="I83" s="683" t="str">
        <f t="shared" si="52"/>
        <v/>
      </c>
      <c r="J83" s="683" t="str">
        <f t="shared" si="52"/>
        <v/>
      </c>
      <c r="K83" s="683" t="str">
        <f t="shared" si="52"/>
        <v/>
      </c>
      <c r="L83" s="683" t="str">
        <f t="shared" si="52"/>
        <v/>
      </c>
      <c r="M83" s="683" t="str">
        <f t="shared" si="52"/>
        <v/>
      </c>
      <c r="N83" s="683" t="str">
        <f t="shared" si="52"/>
        <v/>
      </c>
      <c r="O83" s="685" t="str">
        <f t="shared" si="52"/>
        <v/>
      </c>
      <c r="P83" s="511" t="str">
        <f t="shared" si="45"/>
        <v>-</v>
      </c>
      <c r="Q83" s="6" t="str">
        <f t="shared" si="46"/>
        <v>-</v>
      </c>
    </row>
    <row r="84" spans="1:17" ht="15.75" x14ac:dyDescent="0.25">
      <c r="A84" s="864"/>
      <c r="B84" s="823" t="s">
        <v>13</v>
      </c>
      <c r="C84" s="16" t="s">
        <v>21</v>
      </c>
      <c r="D84" s="549"/>
      <c r="E84" s="549"/>
      <c r="F84" s="549"/>
      <c r="G84" s="549"/>
      <c r="H84" s="549"/>
      <c r="I84" s="549"/>
      <c r="J84" s="549"/>
      <c r="K84" s="549"/>
      <c r="L84" s="549"/>
      <c r="M84" s="549"/>
      <c r="N84" s="549"/>
      <c r="O84" s="550"/>
      <c r="P84" s="512" t="str">
        <f t="shared" si="45"/>
        <v>-</v>
      </c>
      <c r="Q84" s="4" t="str">
        <f t="shared" si="46"/>
        <v>-</v>
      </c>
    </row>
    <row r="85" spans="1:17" ht="15.75" x14ac:dyDescent="0.25">
      <c r="A85" s="864"/>
      <c r="B85" s="824"/>
      <c r="C85" s="17" t="s">
        <v>22</v>
      </c>
      <c r="D85" s="683" t="str">
        <f>IF(D84="","",D$69*D84*24)</f>
        <v/>
      </c>
      <c r="E85" s="683" t="str">
        <f t="shared" ref="E85:O85" si="53">IF(E84="","",E$69*E84*24)</f>
        <v/>
      </c>
      <c r="F85" s="684" t="str">
        <f t="shared" si="53"/>
        <v/>
      </c>
      <c r="G85" s="683" t="str">
        <f t="shared" si="53"/>
        <v/>
      </c>
      <c r="H85" s="683" t="str">
        <f t="shared" si="53"/>
        <v/>
      </c>
      <c r="I85" s="683" t="str">
        <f t="shared" si="53"/>
        <v/>
      </c>
      <c r="J85" s="683" t="str">
        <f t="shared" si="53"/>
        <v/>
      </c>
      <c r="K85" s="683" t="str">
        <f t="shared" si="53"/>
        <v/>
      </c>
      <c r="L85" s="683" t="str">
        <f t="shared" si="53"/>
        <v/>
      </c>
      <c r="M85" s="683" t="str">
        <f t="shared" si="53"/>
        <v/>
      </c>
      <c r="N85" s="683" t="str">
        <f t="shared" si="53"/>
        <v/>
      </c>
      <c r="O85" s="685" t="str">
        <f t="shared" si="53"/>
        <v/>
      </c>
      <c r="P85" s="511" t="str">
        <f t="shared" si="45"/>
        <v>-</v>
      </c>
      <c r="Q85" s="6" t="str">
        <f t="shared" si="46"/>
        <v>-</v>
      </c>
    </row>
    <row r="86" spans="1:17" ht="15.75" x14ac:dyDescent="0.25">
      <c r="A86" s="864"/>
      <c r="B86" s="823" t="s">
        <v>20</v>
      </c>
      <c r="C86" s="18" t="s">
        <v>21</v>
      </c>
      <c r="D86" s="549"/>
      <c r="E86" s="549"/>
      <c r="F86" s="549"/>
      <c r="G86" s="549"/>
      <c r="H86" s="549"/>
      <c r="I86" s="549"/>
      <c r="J86" s="549"/>
      <c r="K86" s="549"/>
      <c r="L86" s="549"/>
      <c r="M86" s="549"/>
      <c r="N86" s="549"/>
      <c r="O86" s="550"/>
      <c r="P86" s="512" t="str">
        <f t="shared" si="45"/>
        <v>-</v>
      </c>
      <c r="Q86" s="4" t="str">
        <f t="shared" si="46"/>
        <v>-</v>
      </c>
    </row>
    <row r="87" spans="1:17" ht="15.75" x14ac:dyDescent="0.25">
      <c r="A87" s="864"/>
      <c r="B87" s="824"/>
      <c r="C87" s="18" t="s">
        <v>22</v>
      </c>
      <c r="D87" s="683" t="str">
        <f>IF(D86="","",D$69*D86*24)</f>
        <v/>
      </c>
      <c r="E87" s="683" t="str">
        <f t="shared" ref="E87:O87" si="54">IF(E86="","",E$69*E86*24)</f>
        <v/>
      </c>
      <c r="F87" s="684" t="str">
        <f t="shared" si="54"/>
        <v/>
      </c>
      <c r="G87" s="683" t="str">
        <f t="shared" si="54"/>
        <v/>
      </c>
      <c r="H87" s="683" t="str">
        <f t="shared" si="54"/>
        <v/>
      </c>
      <c r="I87" s="683" t="str">
        <f t="shared" si="54"/>
        <v/>
      </c>
      <c r="J87" s="683" t="str">
        <f t="shared" si="54"/>
        <v/>
      </c>
      <c r="K87" s="683" t="str">
        <f t="shared" si="54"/>
        <v/>
      </c>
      <c r="L87" s="683" t="str">
        <f t="shared" si="54"/>
        <v/>
      </c>
      <c r="M87" s="683" t="str">
        <f t="shared" si="54"/>
        <v/>
      </c>
      <c r="N87" s="683" t="str">
        <f t="shared" si="54"/>
        <v/>
      </c>
      <c r="O87" s="685" t="str">
        <f t="shared" si="54"/>
        <v/>
      </c>
      <c r="P87" s="511" t="str">
        <f t="shared" si="45"/>
        <v>-</v>
      </c>
      <c r="Q87" s="6" t="str">
        <f t="shared" si="46"/>
        <v>-</v>
      </c>
    </row>
    <row r="88" spans="1:17" ht="15.75" x14ac:dyDescent="0.25">
      <c r="A88" s="864"/>
      <c r="B88" s="823" t="s">
        <v>1</v>
      </c>
      <c r="C88" s="16" t="s">
        <v>21</v>
      </c>
      <c r="D88" s="549"/>
      <c r="E88" s="549"/>
      <c r="F88" s="549"/>
      <c r="G88" s="549"/>
      <c r="H88" s="549"/>
      <c r="I88" s="549"/>
      <c r="J88" s="549"/>
      <c r="K88" s="549"/>
      <c r="L88" s="549"/>
      <c r="M88" s="549"/>
      <c r="N88" s="549"/>
      <c r="O88" s="550"/>
      <c r="P88" s="512" t="str">
        <f t="shared" si="45"/>
        <v>-</v>
      </c>
      <c r="Q88" s="4" t="str">
        <f t="shared" si="46"/>
        <v>-</v>
      </c>
    </row>
    <row r="89" spans="1:17" ht="15.75" x14ac:dyDescent="0.25">
      <c r="A89" s="864"/>
      <c r="B89" s="824"/>
      <c r="C89" s="17" t="s">
        <v>22</v>
      </c>
      <c r="D89" s="683" t="str">
        <f>IF(D88="","",D$69*D88*24)</f>
        <v/>
      </c>
      <c r="E89" s="683" t="str">
        <f t="shared" ref="E89:O89" si="55">IF(E88="","",E$69*E88*24)</f>
        <v/>
      </c>
      <c r="F89" s="684" t="str">
        <f t="shared" si="55"/>
        <v/>
      </c>
      <c r="G89" s="683" t="str">
        <f t="shared" si="55"/>
        <v/>
      </c>
      <c r="H89" s="683" t="str">
        <f t="shared" si="55"/>
        <v/>
      </c>
      <c r="I89" s="683" t="str">
        <f t="shared" si="55"/>
        <v/>
      </c>
      <c r="J89" s="683" t="str">
        <f t="shared" si="55"/>
        <v/>
      </c>
      <c r="K89" s="683" t="str">
        <f t="shared" si="55"/>
        <v/>
      </c>
      <c r="L89" s="683" t="str">
        <f t="shared" si="55"/>
        <v/>
      </c>
      <c r="M89" s="683" t="str">
        <f t="shared" si="55"/>
        <v/>
      </c>
      <c r="N89" s="683" t="str">
        <f t="shared" si="55"/>
        <v/>
      </c>
      <c r="O89" s="685" t="str">
        <f t="shared" si="55"/>
        <v/>
      </c>
      <c r="P89" s="511" t="str">
        <f t="shared" si="45"/>
        <v>-</v>
      </c>
      <c r="Q89" s="6" t="str">
        <f t="shared" si="46"/>
        <v>-</v>
      </c>
    </row>
    <row r="90" spans="1:17" ht="15.75" x14ac:dyDescent="0.25">
      <c r="A90" s="864"/>
      <c r="B90" s="823" t="str">
        <f>IF($B$28="OTHER (RENAME)","OTHER",$B$28)</f>
        <v>OTHER</v>
      </c>
      <c r="C90" s="19" t="s">
        <v>21</v>
      </c>
      <c r="D90" s="549"/>
      <c r="E90" s="549"/>
      <c r="F90" s="549"/>
      <c r="G90" s="549"/>
      <c r="H90" s="549"/>
      <c r="I90" s="549"/>
      <c r="J90" s="549"/>
      <c r="K90" s="549"/>
      <c r="L90" s="549"/>
      <c r="M90" s="549"/>
      <c r="N90" s="549"/>
      <c r="O90" s="550"/>
      <c r="P90" s="512" t="str">
        <f t="shared" si="45"/>
        <v>-</v>
      </c>
      <c r="Q90" s="4" t="str">
        <f t="shared" ref="Q90:Q91" si="56">IF(SUM(D90:O90)=0,"-",SUM(D90:O90))</f>
        <v>-</v>
      </c>
    </row>
    <row r="91" spans="1:17" ht="15.75" x14ac:dyDescent="0.25">
      <c r="A91" s="864"/>
      <c r="B91" s="824"/>
      <c r="C91" s="20" t="s">
        <v>22</v>
      </c>
      <c r="D91" s="687" t="str">
        <f>IF(D90="","",D$69*D90*24)</f>
        <v/>
      </c>
      <c r="E91" s="687" t="str">
        <f t="shared" ref="E91:O91" si="57">IF(E90="","",E$69*E90*24)</f>
        <v/>
      </c>
      <c r="F91" s="687" t="str">
        <f t="shared" si="57"/>
        <v/>
      </c>
      <c r="G91" s="687" t="str">
        <f t="shared" si="57"/>
        <v/>
      </c>
      <c r="H91" s="687" t="str">
        <f t="shared" si="57"/>
        <v/>
      </c>
      <c r="I91" s="687" t="str">
        <f t="shared" si="57"/>
        <v/>
      </c>
      <c r="J91" s="687" t="str">
        <f t="shared" si="57"/>
        <v/>
      </c>
      <c r="K91" s="687" t="str">
        <f t="shared" si="57"/>
        <v/>
      </c>
      <c r="L91" s="687" t="str">
        <f t="shared" si="57"/>
        <v/>
      </c>
      <c r="M91" s="687" t="str">
        <f t="shared" si="57"/>
        <v/>
      </c>
      <c r="N91" s="687" t="str">
        <f t="shared" si="57"/>
        <v/>
      </c>
      <c r="O91" s="688" t="str">
        <f t="shared" si="57"/>
        <v/>
      </c>
      <c r="P91" s="511" t="str">
        <f t="shared" si="45"/>
        <v>-</v>
      </c>
      <c r="Q91" s="6" t="str">
        <f t="shared" si="56"/>
        <v>-</v>
      </c>
    </row>
    <row r="92" spans="1:17" ht="15.75" x14ac:dyDescent="0.25">
      <c r="A92" s="864"/>
      <c r="B92" s="823" t="str">
        <f>IF($B$30="OTHER (RENAME)","OTHER",$B$30)</f>
        <v>OTHER</v>
      </c>
      <c r="C92" s="16" t="s">
        <v>21</v>
      </c>
      <c r="D92" s="549"/>
      <c r="E92" s="549"/>
      <c r="F92" s="549"/>
      <c r="G92" s="549"/>
      <c r="H92" s="549"/>
      <c r="I92" s="549"/>
      <c r="J92" s="549"/>
      <c r="K92" s="549"/>
      <c r="L92" s="549"/>
      <c r="M92" s="549"/>
      <c r="N92" s="549"/>
      <c r="O92" s="550"/>
      <c r="P92" s="512" t="str">
        <f t="shared" si="45"/>
        <v>-</v>
      </c>
      <c r="Q92" s="4" t="str">
        <f t="shared" ref="Q92:Q97" si="58">IF(SUM(D92:O92)=0,"-",SUM(D92:O92))</f>
        <v>-</v>
      </c>
    </row>
    <row r="93" spans="1:17" ht="15.75" x14ac:dyDescent="0.25">
      <c r="A93" s="864"/>
      <c r="B93" s="824"/>
      <c r="C93" s="17" t="s">
        <v>22</v>
      </c>
      <c r="D93" s="687" t="str">
        <f>IF(D92="","",D$69*D92*24)</f>
        <v/>
      </c>
      <c r="E93" s="687" t="str">
        <f t="shared" ref="E93:O93" si="59">IF(E92="","",E$69*E92*24)</f>
        <v/>
      </c>
      <c r="F93" s="687" t="str">
        <f t="shared" si="59"/>
        <v/>
      </c>
      <c r="G93" s="687" t="str">
        <f t="shared" si="59"/>
        <v/>
      </c>
      <c r="H93" s="687" t="str">
        <f t="shared" si="59"/>
        <v/>
      </c>
      <c r="I93" s="687" t="str">
        <f t="shared" si="59"/>
        <v/>
      </c>
      <c r="J93" s="687" t="str">
        <f t="shared" si="59"/>
        <v/>
      </c>
      <c r="K93" s="687" t="str">
        <f t="shared" si="59"/>
        <v/>
      </c>
      <c r="L93" s="687" t="str">
        <f t="shared" si="59"/>
        <v/>
      </c>
      <c r="M93" s="687" t="str">
        <f t="shared" si="59"/>
        <v/>
      </c>
      <c r="N93" s="687" t="str">
        <f t="shared" si="59"/>
        <v/>
      </c>
      <c r="O93" s="688" t="str">
        <f t="shared" si="59"/>
        <v/>
      </c>
      <c r="P93" s="511" t="str">
        <f t="shared" si="45"/>
        <v>-</v>
      </c>
      <c r="Q93" s="6" t="str">
        <f t="shared" si="58"/>
        <v>-</v>
      </c>
    </row>
    <row r="94" spans="1:17" ht="15.75" x14ac:dyDescent="0.25">
      <c r="A94" s="864"/>
      <c r="B94" s="823" t="str">
        <f>IF($B$32="OTHER (RENAME)","OTHER",$B$32)</f>
        <v>OTHER</v>
      </c>
      <c r="C94" s="16" t="s">
        <v>21</v>
      </c>
      <c r="D94" s="549"/>
      <c r="E94" s="549"/>
      <c r="F94" s="549"/>
      <c r="G94" s="549"/>
      <c r="H94" s="549"/>
      <c r="I94" s="549"/>
      <c r="J94" s="549"/>
      <c r="K94" s="549"/>
      <c r="L94" s="549"/>
      <c r="M94" s="549"/>
      <c r="N94" s="549"/>
      <c r="O94" s="550"/>
      <c r="P94" s="512" t="str">
        <f t="shared" si="45"/>
        <v>-</v>
      </c>
      <c r="Q94" s="4" t="str">
        <f t="shared" si="58"/>
        <v>-</v>
      </c>
    </row>
    <row r="95" spans="1:17" ht="15.75" x14ac:dyDescent="0.25">
      <c r="A95" s="864"/>
      <c r="B95" s="824"/>
      <c r="C95" s="17" t="s">
        <v>22</v>
      </c>
      <c r="D95" s="687" t="str">
        <f>IF(D94="","",D$69*D94*24)</f>
        <v/>
      </c>
      <c r="E95" s="687" t="str">
        <f t="shared" ref="E95:O95" si="60">IF(E94="","",E$69*E94*24)</f>
        <v/>
      </c>
      <c r="F95" s="687" t="str">
        <f t="shared" si="60"/>
        <v/>
      </c>
      <c r="G95" s="687" t="str">
        <f t="shared" si="60"/>
        <v/>
      </c>
      <c r="H95" s="687" t="str">
        <f t="shared" si="60"/>
        <v/>
      </c>
      <c r="I95" s="687" t="str">
        <f t="shared" si="60"/>
        <v/>
      </c>
      <c r="J95" s="687" t="str">
        <f t="shared" si="60"/>
        <v/>
      </c>
      <c r="K95" s="687" t="str">
        <f t="shared" si="60"/>
        <v/>
      </c>
      <c r="L95" s="687" t="str">
        <f t="shared" si="60"/>
        <v/>
      </c>
      <c r="M95" s="687" t="str">
        <f t="shared" si="60"/>
        <v/>
      </c>
      <c r="N95" s="687" t="str">
        <f t="shared" si="60"/>
        <v/>
      </c>
      <c r="O95" s="688" t="str">
        <f t="shared" si="60"/>
        <v/>
      </c>
      <c r="P95" s="511" t="str">
        <f t="shared" si="45"/>
        <v>-</v>
      </c>
      <c r="Q95" s="6" t="str">
        <f t="shared" si="58"/>
        <v>-</v>
      </c>
    </row>
    <row r="96" spans="1:17" ht="15.75" x14ac:dyDescent="0.25">
      <c r="A96" s="864"/>
      <c r="B96" s="823" t="str">
        <f>IF($B$34="OTHER (RENAME)","OTHER",$B$34)</f>
        <v>OTHER</v>
      </c>
      <c r="C96" s="16" t="s">
        <v>21</v>
      </c>
      <c r="D96" s="549"/>
      <c r="E96" s="549"/>
      <c r="F96" s="549"/>
      <c r="G96" s="549"/>
      <c r="H96" s="549"/>
      <c r="I96" s="549"/>
      <c r="J96" s="549"/>
      <c r="K96" s="549"/>
      <c r="L96" s="549"/>
      <c r="M96" s="549"/>
      <c r="N96" s="549"/>
      <c r="O96" s="550"/>
      <c r="P96" s="512" t="str">
        <f t="shared" si="45"/>
        <v>-</v>
      </c>
      <c r="Q96" s="4" t="str">
        <f t="shared" si="58"/>
        <v>-</v>
      </c>
    </row>
    <row r="97" spans="1:17" ht="15.75" x14ac:dyDescent="0.25">
      <c r="A97" s="864"/>
      <c r="B97" s="824"/>
      <c r="C97" s="17" t="s">
        <v>22</v>
      </c>
      <c r="D97" s="687" t="str">
        <f>IF(D96="","",D$69*D96*24)</f>
        <v/>
      </c>
      <c r="E97" s="687" t="str">
        <f t="shared" ref="E97:O97" si="61">IF(E96="","",E$69*E96*24)</f>
        <v/>
      </c>
      <c r="F97" s="687" t="str">
        <f t="shared" si="61"/>
        <v/>
      </c>
      <c r="G97" s="687" t="str">
        <f t="shared" si="61"/>
        <v/>
      </c>
      <c r="H97" s="687" t="str">
        <f t="shared" si="61"/>
        <v/>
      </c>
      <c r="I97" s="687" t="str">
        <f t="shared" si="61"/>
        <v/>
      </c>
      <c r="J97" s="687" t="str">
        <f t="shared" si="61"/>
        <v/>
      </c>
      <c r="K97" s="687" t="str">
        <f t="shared" si="61"/>
        <v/>
      </c>
      <c r="L97" s="687" t="str">
        <f t="shared" si="61"/>
        <v/>
      </c>
      <c r="M97" s="687" t="str">
        <f t="shared" si="61"/>
        <v/>
      </c>
      <c r="N97" s="687" t="str">
        <f t="shared" si="61"/>
        <v/>
      </c>
      <c r="O97" s="688" t="str">
        <f t="shared" si="61"/>
        <v/>
      </c>
      <c r="P97" s="511" t="str">
        <f t="shared" si="45"/>
        <v>-</v>
      </c>
      <c r="Q97" s="6" t="str">
        <f t="shared" si="58"/>
        <v>-</v>
      </c>
    </row>
    <row r="98" spans="1:17" ht="15.75" x14ac:dyDescent="0.25">
      <c r="A98" s="864"/>
      <c r="B98" s="975" t="s">
        <v>16</v>
      </c>
      <c r="C98" s="976"/>
      <c r="D98" s="553" t="str">
        <f>IF(SUM(D70,D72,D74,D76,D78,D80,D82,D84,D86,D88,D90,D92,D94,D96)=0,"",SUM(D70,D72,D74,D76,D78,D80,D82,D84,D86,D88,D90,D92,D94,D96))</f>
        <v/>
      </c>
      <c r="E98" s="553" t="str">
        <f t="shared" ref="E98:O98" si="62">IF(SUM(E70,E72,E74,E76,E78,E80,E82,E84,E86,E88,E90,E92,E94,E96)=0,"",SUM(E70,E72,E74,E76,E78,E80,E82,E84,E86,E88,E90,E92,E94,E96))</f>
        <v/>
      </c>
      <c r="F98" s="553" t="str">
        <f t="shared" si="62"/>
        <v/>
      </c>
      <c r="G98" s="553" t="str">
        <f t="shared" si="62"/>
        <v/>
      </c>
      <c r="H98" s="553" t="str">
        <f t="shared" si="62"/>
        <v/>
      </c>
      <c r="I98" s="553" t="str">
        <f t="shared" si="62"/>
        <v/>
      </c>
      <c r="J98" s="553" t="str">
        <f t="shared" si="62"/>
        <v/>
      </c>
      <c r="K98" s="553" t="str">
        <f t="shared" si="62"/>
        <v/>
      </c>
      <c r="L98" s="553" t="str">
        <f t="shared" si="62"/>
        <v/>
      </c>
      <c r="M98" s="553" t="str">
        <f t="shared" si="62"/>
        <v/>
      </c>
      <c r="N98" s="553" t="str">
        <f t="shared" si="62"/>
        <v/>
      </c>
      <c r="O98" s="554" t="str">
        <f t="shared" si="62"/>
        <v/>
      </c>
      <c r="P98" s="512" t="str">
        <f t="shared" si="45"/>
        <v>-</v>
      </c>
      <c r="Q98" s="4" t="str">
        <f>IF(SUM(D98:O98)=0,"-",SUM(D98:O98))</f>
        <v>-</v>
      </c>
    </row>
    <row r="99" spans="1:17" ht="16.5" thickBot="1" x14ac:dyDescent="0.3">
      <c r="A99" s="865"/>
      <c r="B99" s="977" t="s">
        <v>17</v>
      </c>
      <c r="C99" s="978"/>
      <c r="D99" s="691" t="str">
        <f>IF(D98="","",SUM(D71,D73,D75,D77,D79,D81,D83,D85,D87,D89,D91,D93,D95,D97))</f>
        <v/>
      </c>
      <c r="E99" s="691" t="str">
        <f t="shared" ref="E99" si="63">IF(E98="","",SUM(E71,E73,E75,E77,E79,E81,E83,E85,E87,E89,E91,E93,E95,E97))</f>
        <v/>
      </c>
      <c r="F99" s="692" t="str">
        <f t="shared" ref="F99" si="64">IF(F98="","",SUM(F71,F73,F75,F77,F79,F81,F83,F85,F87,F89,F91,F93,F95,F97))</f>
        <v/>
      </c>
      <c r="G99" s="691" t="str">
        <f t="shared" ref="G99" si="65">IF(G98="","",SUM(G71,G73,G75,G77,G79,G81,G83,G85,G87,G89,G91,G93,G95,G97))</f>
        <v/>
      </c>
      <c r="H99" s="691" t="str">
        <f t="shared" ref="H99" si="66">IF(H98="","",SUM(H71,H73,H75,H77,H79,H81,H83,H85,H87,H89,H91,H93,H95,H97))</f>
        <v/>
      </c>
      <c r="I99" s="691" t="str">
        <f t="shared" ref="I99" si="67">IF(I98="","",SUM(I71,I73,I75,I77,I79,I81,I83,I85,I87,I89,I91,I93,I95,I97))</f>
        <v/>
      </c>
      <c r="J99" s="691" t="str">
        <f t="shared" ref="J99" si="68">IF(J98="","",SUM(J71,J73,J75,J77,J79,J81,J83,J85,J87,J89,J91,J93,J95,J97))</f>
        <v/>
      </c>
      <c r="K99" s="691" t="str">
        <f t="shared" ref="K99" si="69">IF(K98="","",SUM(K71,K73,K75,K77,K79,K81,K83,K85,K87,K89,K91,K93,K95,K97))</f>
        <v/>
      </c>
      <c r="L99" s="691" t="str">
        <f t="shared" ref="L99" si="70">IF(L98="","",SUM(L71,L73,L75,L77,L79,L81,L83,L85,L87,L89,L91,L93,L95,L97))</f>
        <v/>
      </c>
      <c r="M99" s="691" t="str">
        <f t="shared" ref="M99" si="71">IF(M98="","",SUM(M71,M73,M75,M77,M79,M81,M83,M85,M87,M89,M91,M93,M95,M97))</f>
        <v/>
      </c>
      <c r="N99" s="691" t="str">
        <f t="shared" ref="N99" si="72">IF(N98="","",SUM(N71,N73,N75,N77,N79,N81,N83,N85,N87,N89,N91,N93,N95,N97))</f>
        <v/>
      </c>
      <c r="O99" s="693" t="str">
        <f t="shared" ref="O99" si="73">IF(O98="","",SUM(O71,O73,O75,O77,O79,O81,O83,O85,O87,O89,O91,O93,O95,O97))</f>
        <v/>
      </c>
      <c r="P99" s="525" t="str">
        <f t="shared" si="45"/>
        <v>-</v>
      </c>
      <c r="Q99" s="7" t="str">
        <f>IF(SUM(D99:O99)=0,"-",SUM(D99:O99))</f>
        <v>-</v>
      </c>
    </row>
    <row r="100" spans="1:17" ht="15.75" x14ac:dyDescent="0.25">
      <c r="A100" s="872" t="s">
        <v>111</v>
      </c>
      <c r="B100" s="878" t="s">
        <v>3</v>
      </c>
      <c r="C100" s="879"/>
      <c r="D100" s="547" t="str">
        <f>IF('2026DATA'!BH3=0,"",'2026DATA'!BH3)</f>
        <v/>
      </c>
      <c r="E100" s="547" t="str">
        <f>IF('2026DATA'!BI3=0,"",'2026DATA'!BI3)</f>
        <v/>
      </c>
      <c r="F100" s="547" t="str">
        <f>IF('2026DATA'!BJ3=0,"",'2026DATA'!BJ3)</f>
        <v/>
      </c>
      <c r="G100" s="547" t="str">
        <f>IF('2026DATA'!BK3=0,"",'2026DATA'!BK3)</f>
        <v/>
      </c>
      <c r="H100" s="547" t="str">
        <f>IF('2026DATA'!BL3=0,"",'2026DATA'!BL3)</f>
        <v/>
      </c>
      <c r="I100" s="547" t="str">
        <f>IF('2026DATA'!BM3=0,"",'2026DATA'!BM3)</f>
        <v/>
      </c>
      <c r="J100" s="547" t="str">
        <f>IF('2026DATA'!BN3=0,"",'2026DATA'!BN3)</f>
        <v/>
      </c>
      <c r="K100" s="547" t="str">
        <f>IF('2026DATA'!BO3=0,"",'2026DATA'!BO3)</f>
        <v/>
      </c>
      <c r="L100" s="547" t="str">
        <f>IF('2026DATA'!BP3=0,"",'2026DATA'!BP3)</f>
        <v/>
      </c>
      <c r="M100" s="547" t="str">
        <f>IF('2026DATA'!BQ3=0,"",'2026DATA'!BQ3)</f>
        <v/>
      </c>
      <c r="N100" s="547" t="str">
        <f>IF('2026DATA'!BR3=0,"",'2026DATA'!BR3)</f>
        <v/>
      </c>
      <c r="O100" s="548" t="str">
        <f>IF('2026DATA'!BS3=0,"",'2026DATA'!BS3)</f>
        <v/>
      </c>
      <c r="P100" s="880"/>
      <c r="Q100" s="881"/>
    </row>
    <row r="101" spans="1:17" ht="15.75" x14ac:dyDescent="0.25">
      <c r="A101" s="873"/>
      <c r="B101" s="823" t="s">
        <v>7</v>
      </c>
      <c r="C101" s="16" t="s">
        <v>21</v>
      </c>
      <c r="D101" s="549"/>
      <c r="E101" s="549"/>
      <c r="F101" s="549"/>
      <c r="G101" s="549"/>
      <c r="H101" s="549"/>
      <c r="I101" s="549"/>
      <c r="J101" s="549"/>
      <c r="K101" s="549"/>
      <c r="L101" s="549"/>
      <c r="M101" s="549"/>
      <c r="N101" s="549"/>
      <c r="O101" s="550"/>
      <c r="P101" s="512" t="str">
        <f t="shared" ref="P101:P130" si="74">IF(Q101="-","-",Q101/12)</f>
        <v>-</v>
      </c>
      <c r="Q101" s="4" t="str">
        <f t="shared" ref="Q101:Q120" si="75">IF(SUM(D101:O101)=0,"-",SUM(D101:O101))</f>
        <v>-</v>
      </c>
    </row>
    <row r="102" spans="1:17" ht="15.75" x14ac:dyDescent="0.25">
      <c r="A102" s="873"/>
      <c r="B102" s="824"/>
      <c r="C102" s="17" t="s">
        <v>22</v>
      </c>
      <c r="D102" s="683" t="str">
        <f>IF(D101="","",D$100*D101*24)</f>
        <v/>
      </c>
      <c r="E102" s="683" t="str">
        <f t="shared" ref="E102:O102" si="76">IF(E101="","",E$100*E101*24)</f>
        <v/>
      </c>
      <c r="F102" s="683" t="str">
        <f t="shared" si="76"/>
        <v/>
      </c>
      <c r="G102" s="683" t="str">
        <f t="shared" si="76"/>
        <v/>
      </c>
      <c r="H102" s="683" t="str">
        <f t="shared" si="76"/>
        <v/>
      </c>
      <c r="I102" s="683" t="str">
        <f t="shared" si="76"/>
        <v/>
      </c>
      <c r="J102" s="683" t="str">
        <f t="shared" si="76"/>
        <v/>
      </c>
      <c r="K102" s="683" t="str">
        <f t="shared" si="76"/>
        <v/>
      </c>
      <c r="L102" s="683" t="str">
        <f t="shared" si="76"/>
        <v/>
      </c>
      <c r="M102" s="683" t="str">
        <f t="shared" si="76"/>
        <v/>
      </c>
      <c r="N102" s="683" t="str">
        <f t="shared" si="76"/>
        <v/>
      </c>
      <c r="O102" s="686" t="str">
        <f t="shared" si="76"/>
        <v/>
      </c>
      <c r="P102" s="511" t="str">
        <f t="shared" si="74"/>
        <v>-</v>
      </c>
      <c r="Q102" s="6" t="str">
        <f t="shared" si="75"/>
        <v>-</v>
      </c>
    </row>
    <row r="103" spans="1:17" ht="15.75" x14ac:dyDescent="0.25">
      <c r="A103" s="873"/>
      <c r="B103" s="823" t="s">
        <v>8</v>
      </c>
      <c r="C103" s="18" t="s">
        <v>21</v>
      </c>
      <c r="D103" s="549"/>
      <c r="E103" s="549"/>
      <c r="F103" s="549"/>
      <c r="G103" s="549"/>
      <c r="H103" s="549"/>
      <c r="I103" s="549"/>
      <c r="J103" s="549"/>
      <c r="K103" s="549"/>
      <c r="L103" s="549"/>
      <c r="M103" s="549"/>
      <c r="N103" s="549"/>
      <c r="O103" s="550"/>
      <c r="P103" s="512" t="str">
        <f t="shared" si="74"/>
        <v>-</v>
      </c>
      <c r="Q103" s="4" t="str">
        <f t="shared" si="75"/>
        <v>-</v>
      </c>
    </row>
    <row r="104" spans="1:17" ht="15.75" x14ac:dyDescent="0.25">
      <c r="A104" s="873"/>
      <c r="B104" s="824"/>
      <c r="C104" s="18" t="s">
        <v>22</v>
      </c>
      <c r="D104" s="683" t="str">
        <f>IF(D103=0,"",(D100+IF(D$4="CA",DATA!$B$22,DATA!$B$23))*D103*24)</f>
        <v/>
      </c>
      <c r="E104" s="683" t="str">
        <f>IF(E103=0,"",(E100+IF(E$4="CA",DATA!$B$22,DATA!$B$23))*E103*24)</f>
        <v/>
      </c>
      <c r="F104" s="683" t="str">
        <f>IF(F103=0,"",(F100+IF(F$4="CA",DATA!$B$22,DATA!$B$23))*F103*24)</f>
        <v/>
      </c>
      <c r="G104" s="683" t="str">
        <f>IF(G103=0,"",(G100+IF(G$4="CA",DATA!$B$22,DATA!$B$23))*G103*24)</f>
        <v/>
      </c>
      <c r="H104" s="683" t="str">
        <f>IF(H103=0,"",(H100+IF(H$4="CA",DATA!$B$22,DATA!$B$23))*H103*24)</f>
        <v/>
      </c>
      <c r="I104" s="683" t="str">
        <f>IF(I103=0,"",(I100+IF(I$4="CA",DATA!$B$22,DATA!$B$23))*I103*24)</f>
        <v/>
      </c>
      <c r="J104" s="683" t="str">
        <f>IF(J103=0,"",(J100+IF(J$4="CA",DATA!$B$22,DATA!$B$23))*J103*24)</f>
        <v/>
      </c>
      <c r="K104" s="683" t="str">
        <f>IF(K103=0,"",(K100+IF(K$4="CA",DATA!$B$22,DATA!$B$23))*K103*24)</f>
        <v/>
      </c>
      <c r="L104" s="683" t="str">
        <f>IF(L103=0,"",(L100+IF(L$4="CA",DATA!$B$22,DATA!$B$23))*L103*24)</f>
        <v/>
      </c>
      <c r="M104" s="683" t="str">
        <f>IF(M103=0,"",(M100+IF(M$4="CA",DATA!$B$22,DATA!$B$23))*M103*24)</f>
        <v/>
      </c>
      <c r="N104" s="683" t="str">
        <f>IF(N103=0,"",(N100+IF(N$4="CA",DATA!$B$22,DATA!$B$23))*N103*24)</f>
        <v/>
      </c>
      <c r="O104" s="686" t="str">
        <f>IF(O103=0,"",(O100+IF(O$4="CA",DATA!$B$22,DATA!$B$23))*O103*24)</f>
        <v/>
      </c>
      <c r="P104" s="511" t="str">
        <f t="shared" si="74"/>
        <v>-</v>
      </c>
      <c r="Q104" s="6" t="str">
        <f t="shared" si="75"/>
        <v>-</v>
      </c>
    </row>
    <row r="105" spans="1:17" ht="15.75" x14ac:dyDescent="0.25">
      <c r="A105" s="873"/>
      <c r="B105" s="823" t="s">
        <v>9</v>
      </c>
      <c r="C105" s="16" t="s">
        <v>21</v>
      </c>
      <c r="D105" s="549"/>
      <c r="E105" s="549"/>
      <c r="F105" s="549"/>
      <c r="G105" s="549"/>
      <c r="H105" s="549"/>
      <c r="I105" s="549"/>
      <c r="J105" s="549"/>
      <c r="K105" s="549"/>
      <c r="L105" s="549"/>
      <c r="M105" s="549"/>
      <c r="N105" s="549"/>
      <c r="O105" s="550"/>
      <c r="P105" s="512" t="str">
        <f t="shared" si="74"/>
        <v>-</v>
      </c>
      <c r="Q105" s="4" t="str">
        <f t="shared" si="75"/>
        <v>-</v>
      </c>
    </row>
    <row r="106" spans="1:17" ht="15.75" x14ac:dyDescent="0.25">
      <c r="A106" s="873"/>
      <c r="B106" s="824"/>
      <c r="C106" s="17" t="s">
        <v>22</v>
      </c>
      <c r="D106" s="683" t="str">
        <f>IF(D105="","",D$100*D105*24)</f>
        <v/>
      </c>
      <c r="E106" s="683" t="str">
        <f t="shared" ref="E106:O106" si="77">IF(E105="","",E$100*E105*24)</f>
        <v/>
      </c>
      <c r="F106" s="684" t="str">
        <f t="shared" si="77"/>
        <v/>
      </c>
      <c r="G106" s="683" t="str">
        <f t="shared" si="77"/>
        <v/>
      </c>
      <c r="H106" s="683" t="str">
        <f t="shared" si="77"/>
        <v/>
      </c>
      <c r="I106" s="683" t="str">
        <f t="shared" si="77"/>
        <v/>
      </c>
      <c r="J106" s="683" t="str">
        <f t="shared" si="77"/>
        <v/>
      </c>
      <c r="K106" s="683" t="str">
        <f t="shared" si="77"/>
        <v/>
      </c>
      <c r="L106" s="683" t="str">
        <f t="shared" si="77"/>
        <v/>
      </c>
      <c r="M106" s="683" t="str">
        <f t="shared" si="77"/>
        <v/>
      </c>
      <c r="N106" s="683" t="str">
        <f t="shared" si="77"/>
        <v/>
      </c>
      <c r="O106" s="685" t="str">
        <f t="shared" si="77"/>
        <v/>
      </c>
      <c r="P106" s="511" t="str">
        <f t="shared" si="74"/>
        <v>-</v>
      </c>
      <c r="Q106" s="6" t="str">
        <f t="shared" si="75"/>
        <v>-</v>
      </c>
    </row>
    <row r="107" spans="1:17" ht="15.75" x14ac:dyDescent="0.25">
      <c r="A107" s="873"/>
      <c r="B107" s="823" t="s">
        <v>10</v>
      </c>
      <c r="C107" s="18" t="s">
        <v>21</v>
      </c>
      <c r="D107" s="549"/>
      <c r="E107" s="549"/>
      <c r="F107" s="549"/>
      <c r="G107" s="549"/>
      <c r="H107" s="549"/>
      <c r="I107" s="549"/>
      <c r="J107" s="549"/>
      <c r="K107" s="549"/>
      <c r="L107" s="549"/>
      <c r="M107" s="549"/>
      <c r="N107" s="549"/>
      <c r="O107" s="550"/>
      <c r="P107" s="512" t="str">
        <f t="shared" si="74"/>
        <v>-</v>
      </c>
      <c r="Q107" s="4" t="str">
        <f t="shared" si="75"/>
        <v>-</v>
      </c>
    </row>
    <row r="108" spans="1:17" ht="15.75" x14ac:dyDescent="0.25">
      <c r="A108" s="873"/>
      <c r="B108" s="824"/>
      <c r="C108" s="18" t="s">
        <v>22</v>
      </c>
      <c r="D108" s="683" t="str">
        <f>IF(D107="","",D$100*D107*24)</f>
        <v/>
      </c>
      <c r="E108" s="683" t="str">
        <f t="shared" ref="E108:O108" si="78">IF(E107="","",E$100*E107*24)</f>
        <v/>
      </c>
      <c r="F108" s="684" t="str">
        <f t="shared" si="78"/>
        <v/>
      </c>
      <c r="G108" s="683" t="str">
        <f t="shared" si="78"/>
        <v/>
      </c>
      <c r="H108" s="683" t="str">
        <f t="shared" si="78"/>
        <v/>
      </c>
      <c r="I108" s="683" t="str">
        <f t="shared" si="78"/>
        <v/>
      </c>
      <c r="J108" s="683" t="str">
        <f t="shared" si="78"/>
        <v/>
      </c>
      <c r="K108" s="683" t="str">
        <f t="shared" si="78"/>
        <v/>
      </c>
      <c r="L108" s="683" t="str">
        <f t="shared" si="78"/>
        <v/>
      </c>
      <c r="M108" s="683" t="str">
        <f t="shared" si="78"/>
        <v/>
      </c>
      <c r="N108" s="683" t="str">
        <f t="shared" si="78"/>
        <v/>
      </c>
      <c r="O108" s="685" t="str">
        <f t="shared" si="78"/>
        <v/>
      </c>
      <c r="P108" s="511" t="str">
        <f t="shared" si="74"/>
        <v>-</v>
      </c>
      <c r="Q108" s="6" t="str">
        <f t="shared" si="75"/>
        <v>-</v>
      </c>
    </row>
    <row r="109" spans="1:17" ht="15.75" x14ac:dyDescent="0.25">
      <c r="A109" s="873"/>
      <c r="B109" s="823" t="s">
        <v>11</v>
      </c>
      <c r="C109" s="16" t="s">
        <v>21</v>
      </c>
      <c r="D109" s="549"/>
      <c r="E109" s="549"/>
      <c r="F109" s="549"/>
      <c r="G109" s="549"/>
      <c r="H109" s="549"/>
      <c r="I109" s="549"/>
      <c r="J109" s="549"/>
      <c r="K109" s="549"/>
      <c r="L109" s="549"/>
      <c r="M109" s="549"/>
      <c r="N109" s="549"/>
      <c r="O109" s="550"/>
      <c r="P109" s="512" t="str">
        <f t="shared" si="74"/>
        <v>-</v>
      </c>
      <c r="Q109" s="4" t="str">
        <f t="shared" si="75"/>
        <v>-</v>
      </c>
    </row>
    <row r="110" spans="1:17" ht="15.75" x14ac:dyDescent="0.25">
      <c r="A110" s="873"/>
      <c r="B110" s="824"/>
      <c r="C110" s="17" t="s">
        <v>22</v>
      </c>
      <c r="D110" s="683" t="str">
        <f>IF(D109="","",D$100*D109*24)</f>
        <v/>
      </c>
      <c r="E110" s="683" t="str">
        <f t="shared" ref="E110:O110" si="79">IF(E109="","",E$100*E109*24)</f>
        <v/>
      </c>
      <c r="F110" s="684" t="str">
        <f t="shared" si="79"/>
        <v/>
      </c>
      <c r="G110" s="683" t="str">
        <f t="shared" si="79"/>
        <v/>
      </c>
      <c r="H110" s="683" t="str">
        <f t="shared" si="79"/>
        <v/>
      </c>
      <c r="I110" s="683" t="str">
        <f t="shared" si="79"/>
        <v/>
      </c>
      <c r="J110" s="683" t="str">
        <f t="shared" si="79"/>
        <v/>
      </c>
      <c r="K110" s="683" t="str">
        <f t="shared" si="79"/>
        <v/>
      </c>
      <c r="L110" s="683" t="str">
        <f t="shared" si="79"/>
        <v/>
      </c>
      <c r="M110" s="683" t="str">
        <f t="shared" si="79"/>
        <v/>
      </c>
      <c r="N110" s="683" t="str">
        <f t="shared" si="79"/>
        <v/>
      </c>
      <c r="O110" s="685" t="str">
        <f t="shared" si="79"/>
        <v/>
      </c>
      <c r="P110" s="511" t="str">
        <f t="shared" si="74"/>
        <v>-</v>
      </c>
      <c r="Q110" s="6" t="str">
        <f t="shared" si="75"/>
        <v>-</v>
      </c>
    </row>
    <row r="111" spans="1:17" ht="15.75" x14ac:dyDescent="0.25">
      <c r="A111" s="873"/>
      <c r="B111" s="823" t="s">
        <v>12</v>
      </c>
      <c r="C111" s="18" t="s">
        <v>21</v>
      </c>
      <c r="D111" s="549"/>
      <c r="E111" s="549"/>
      <c r="F111" s="549"/>
      <c r="G111" s="549"/>
      <c r="H111" s="549"/>
      <c r="I111" s="549"/>
      <c r="J111" s="549"/>
      <c r="K111" s="549"/>
      <c r="L111" s="549"/>
      <c r="M111" s="549"/>
      <c r="N111" s="549"/>
      <c r="O111" s="550"/>
      <c r="P111" s="512" t="str">
        <f t="shared" si="74"/>
        <v>-</v>
      </c>
      <c r="Q111" s="4" t="str">
        <f t="shared" si="75"/>
        <v>-</v>
      </c>
    </row>
    <row r="112" spans="1:17" ht="15.75" x14ac:dyDescent="0.25">
      <c r="A112" s="873"/>
      <c r="B112" s="824"/>
      <c r="C112" s="18" t="s">
        <v>22</v>
      </c>
      <c r="D112" s="683" t="str">
        <f>IF(D111="","",D$100*D111*24)</f>
        <v/>
      </c>
      <c r="E112" s="683" t="str">
        <f t="shared" ref="E112:O112" si="80">IF(E111="","",E$100*E111*24)</f>
        <v/>
      </c>
      <c r="F112" s="684" t="str">
        <f t="shared" si="80"/>
        <v/>
      </c>
      <c r="G112" s="683" t="str">
        <f t="shared" si="80"/>
        <v/>
      </c>
      <c r="H112" s="683" t="str">
        <f t="shared" si="80"/>
        <v/>
      </c>
      <c r="I112" s="683" t="str">
        <f t="shared" si="80"/>
        <v/>
      </c>
      <c r="J112" s="683" t="str">
        <f t="shared" si="80"/>
        <v/>
      </c>
      <c r="K112" s="683" t="str">
        <f t="shared" si="80"/>
        <v/>
      </c>
      <c r="L112" s="683" t="str">
        <f t="shared" si="80"/>
        <v/>
      </c>
      <c r="M112" s="683" t="str">
        <f t="shared" si="80"/>
        <v/>
      </c>
      <c r="N112" s="683" t="str">
        <f t="shared" si="80"/>
        <v/>
      </c>
      <c r="O112" s="685" t="str">
        <f t="shared" si="80"/>
        <v/>
      </c>
      <c r="P112" s="511" t="str">
        <f t="shared" si="74"/>
        <v>-</v>
      </c>
      <c r="Q112" s="6" t="str">
        <f t="shared" si="75"/>
        <v>-</v>
      </c>
    </row>
    <row r="113" spans="1:17" ht="15.75" x14ac:dyDescent="0.25">
      <c r="A113" s="873"/>
      <c r="B113" s="823" t="s">
        <v>15</v>
      </c>
      <c r="C113" s="16" t="s">
        <v>21</v>
      </c>
      <c r="D113" s="549"/>
      <c r="E113" s="549"/>
      <c r="F113" s="549"/>
      <c r="G113" s="549"/>
      <c r="H113" s="549"/>
      <c r="I113" s="549"/>
      <c r="J113" s="549"/>
      <c r="K113" s="549"/>
      <c r="L113" s="549"/>
      <c r="M113" s="549"/>
      <c r="N113" s="549"/>
      <c r="O113" s="550"/>
      <c r="P113" s="512" t="str">
        <f t="shared" si="74"/>
        <v>-</v>
      </c>
      <c r="Q113" s="4" t="str">
        <f t="shared" si="75"/>
        <v>-</v>
      </c>
    </row>
    <row r="114" spans="1:17" ht="15.75" x14ac:dyDescent="0.25">
      <c r="A114" s="873"/>
      <c r="B114" s="824"/>
      <c r="C114" s="17" t="s">
        <v>22</v>
      </c>
      <c r="D114" s="683" t="str">
        <f>IF(D113="","",D$100*D113*24)</f>
        <v/>
      </c>
      <c r="E114" s="683" t="str">
        <f t="shared" ref="E114:O114" si="81">IF(E113="","",E$100*E113*24)</f>
        <v/>
      </c>
      <c r="F114" s="684" t="str">
        <f t="shared" si="81"/>
        <v/>
      </c>
      <c r="G114" s="683" t="str">
        <f t="shared" si="81"/>
        <v/>
      </c>
      <c r="H114" s="683" t="str">
        <f t="shared" si="81"/>
        <v/>
      </c>
      <c r="I114" s="683" t="str">
        <f t="shared" si="81"/>
        <v/>
      </c>
      <c r="J114" s="683" t="str">
        <f t="shared" si="81"/>
        <v/>
      </c>
      <c r="K114" s="683" t="str">
        <f t="shared" si="81"/>
        <v/>
      </c>
      <c r="L114" s="683" t="str">
        <f t="shared" si="81"/>
        <v/>
      </c>
      <c r="M114" s="683" t="str">
        <f t="shared" si="81"/>
        <v/>
      </c>
      <c r="N114" s="683" t="str">
        <f t="shared" si="81"/>
        <v/>
      </c>
      <c r="O114" s="685" t="str">
        <f t="shared" si="81"/>
        <v/>
      </c>
      <c r="P114" s="511" t="str">
        <f t="shared" si="74"/>
        <v>-</v>
      </c>
      <c r="Q114" s="6" t="str">
        <f t="shared" si="75"/>
        <v>-</v>
      </c>
    </row>
    <row r="115" spans="1:17" ht="15.75" x14ac:dyDescent="0.25">
      <c r="A115" s="873"/>
      <c r="B115" s="823" t="s">
        <v>13</v>
      </c>
      <c r="C115" s="18" t="s">
        <v>21</v>
      </c>
      <c r="D115" s="549"/>
      <c r="E115" s="549"/>
      <c r="F115" s="549"/>
      <c r="G115" s="549"/>
      <c r="H115" s="549"/>
      <c r="I115" s="549"/>
      <c r="J115" s="549"/>
      <c r="K115" s="549"/>
      <c r="L115" s="549"/>
      <c r="M115" s="549"/>
      <c r="N115" s="549"/>
      <c r="O115" s="550"/>
      <c r="P115" s="512" t="str">
        <f t="shared" si="74"/>
        <v>-</v>
      </c>
      <c r="Q115" s="4" t="str">
        <f t="shared" si="75"/>
        <v>-</v>
      </c>
    </row>
    <row r="116" spans="1:17" ht="15.75" x14ac:dyDescent="0.25">
      <c r="A116" s="873"/>
      <c r="B116" s="824"/>
      <c r="C116" s="18" t="s">
        <v>22</v>
      </c>
      <c r="D116" s="683" t="str">
        <f>IF(D115="","",D$100*D115*24)</f>
        <v/>
      </c>
      <c r="E116" s="683" t="str">
        <f t="shared" ref="E116:O116" si="82">IF(E115="","",E$100*E115*24)</f>
        <v/>
      </c>
      <c r="F116" s="684" t="str">
        <f t="shared" si="82"/>
        <v/>
      </c>
      <c r="G116" s="683" t="str">
        <f t="shared" si="82"/>
        <v/>
      </c>
      <c r="H116" s="683" t="str">
        <f t="shared" si="82"/>
        <v/>
      </c>
      <c r="I116" s="683" t="str">
        <f t="shared" si="82"/>
        <v/>
      </c>
      <c r="J116" s="683" t="str">
        <f t="shared" si="82"/>
        <v/>
      </c>
      <c r="K116" s="683" t="str">
        <f t="shared" si="82"/>
        <v/>
      </c>
      <c r="L116" s="683" t="str">
        <f t="shared" si="82"/>
        <v/>
      </c>
      <c r="M116" s="683" t="str">
        <f t="shared" si="82"/>
        <v/>
      </c>
      <c r="N116" s="683" t="str">
        <f t="shared" si="82"/>
        <v/>
      </c>
      <c r="O116" s="685" t="str">
        <f t="shared" si="82"/>
        <v/>
      </c>
      <c r="P116" s="511" t="str">
        <f t="shared" si="74"/>
        <v>-</v>
      </c>
      <c r="Q116" s="6" t="str">
        <f t="shared" si="75"/>
        <v>-</v>
      </c>
    </row>
    <row r="117" spans="1:17" ht="15.75" x14ac:dyDescent="0.25">
      <c r="A117" s="873"/>
      <c r="B117" s="823" t="s">
        <v>20</v>
      </c>
      <c r="C117" s="16" t="s">
        <v>21</v>
      </c>
      <c r="D117" s="549"/>
      <c r="E117" s="549"/>
      <c r="F117" s="549"/>
      <c r="G117" s="549"/>
      <c r="H117" s="549"/>
      <c r="I117" s="549"/>
      <c r="J117" s="549"/>
      <c r="K117" s="549"/>
      <c r="L117" s="549"/>
      <c r="M117" s="549"/>
      <c r="N117" s="549"/>
      <c r="O117" s="550"/>
      <c r="P117" s="512" t="str">
        <f t="shared" si="74"/>
        <v>-</v>
      </c>
      <c r="Q117" s="4" t="str">
        <f t="shared" si="75"/>
        <v>-</v>
      </c>
    </row>
    <row r="118" spans="1:17" ht="15.75" x14ac:dyDescent="0.25">
      <c r="A118" s="873"/>
      <c r="B118" s="824"/>
      <c r="C118" s="17" t="s">
        <v>22</v>
      </c>
      <c r="D118" s="683" t="str">
        <f>IF(D117="","",D$100*D117*24)</f>
        <v/>
      </c>
      <c r="E118" s="683" t="str">
        <f t="shared" ref="E118:O118" si="83">IF(E117="","",E$100*E117*24)</f>
        <v/>
      </c>
      <c r="F118" s="684" t="str">
        <f t="shared" si="83"/>
        <v/>
      </c>
      <c r="G118" s="683" t="str">
        <f t="shared" si="83"/>
        <v/>
      </c>
      <c r="H118" s="683" t="str">
        <f t="shared" si="83"/>
        <v/>
      </c>
      <c r="I118" s="683" t="str">
        <f t="shared" si="83"/>
        <v/>
      </c>
      <c r="J118" s="683" t="str">
        <f t="shared" si="83"/>
        <v/>
      </c>
      <c r="K118" s="683" t="str">
        <f t="shared" si="83"/>
        <v/>
      </c>
      <c r="L118" s="683" t="str">
        <f t="shared" si="83"/>
        <v/>
      </c>
      <c r="M118" s="683" t="str">
        <f t="shared" si="83"/>
        <v/>
      </c>
      <c r="N118" s="683" t="str">
        <f t="shared" si="83"/>
        <v/>
      </c>
      <c r="O118" s="685" t="str">
        <f t="shared" si="83"/>
        <v/>
      </c>
      <c r="P118" s="511" t="str">
        <f t="shared" si="74"/>
        <v>-</v>
      </c>
      <c r="Q118" s="6" t="str">
        <f t="shared" si="75"/>
        <v>-</v>
      </c>
    </row>
    <row r="119" spans="1:17" ht="15.75" x14ac:dyDescent="0.25">
      <c r="A119" s="873"/>
      <c r="B119" s="823" t="s">
        <v>1</v>
      </c>
      <c r="C119" s="18" t="s">
        <v>21</v>
      </c>
      <c r="D119" s="549"/>
      <c r="E119" s="549"/>
      <c r="F119" s="549"/>
      <c r="G119" s="549"/>
      <c r="H119" s="549"/>
      <c r="I119" s="549"/>
      <c r="J119" s="549"/>
      <c r="K119" s="549"/>
      <c r="L119" s="549"/>
      <c r="M119" s="549"/>
      <c r="N119" s="549"/>
      <c r="O119" s="550"/>
      <c r="P119" s="512" t="str">
        <f t="shared" si="74"/>
        <v>-</v>
      </c>
      <c r="Q119" s="4" t="str">
        <f t="shared" si="75"/>
        <v>-</v>
      </c>
    </row>
    <row r="120" spans="1:17" ht="15.75" x14ac:dyDescent="0.25">
      <c r="A120" s="873"/>
      <c r="B120" s="824"/>
      <c r="C120" s="18" t="s">
        <v>22</v>
      </c>
      <c r="D120" s="683" t="str">
        <f>IF(D119="","",D$100*D119*24)</f>
        <v/>
      </c>
      <c r="E120" s="683" t="str">
        <f t="shared" ref="E120:O120" si="84">IF(E119="","",E$100*E119*24)</f>
        <v/>
      </c>
      <c r="F120" s="684" t="str">
        <f t="shared" si="84"/>
        <v/>
      </c>
      <c r="G120" s="683" t="str">
        <f t="shared" si="84"/>
        <v/>
      </c>
      <c r="H120" s="683" t="str">
        <f t="shared" si="84"/>
        <v/>
      </c>
      <c r="I120" s="683" t="str">
        <f t="shared" si="84"/>
        <v/>
      </c>
      <c r="J120" s="683" t="str">
        <f t="shared" si="84"/>
        <v/>
      </c>
      <c r="K120" s="683" t="str">
        <f t="shared" si="84"/>
        <v/>
      </c>
      <c r="L120" s="683" t="str">
        <f t="shared" si="84"/>
        <v/>
      </c>
      <c r="M120" s="683" t="str">
        <f t="shared" si="84"/>
        <v/>
      </c>
      <c r="N120" s="683" t="str">
        <f t="shared" si="84"/>
        <v/>
      </c>
      <c r="O120" s="685" t="str">
        <f t="shared" si="84"/>
        <v/>
      </c>
      <c r="P120" s="511" t="str">
        <f t="shared" si="74"/>
        <v>-</v>
      </c>
      <c r="Q120" s="6" t="str">
        <f t="shared" si="75"/>
        <v>-</v>
      </c>
    </row>
    <row r="121" spans="1:17" ht="15.75" x14ac:dyDescent="0.25">
      <c r="A121" s="873"/>
      <c r="B121" s="823" t="str">
        <f>IF($B$28="OTHER (RENAME)","OTHER",$B$28)</f>
        <v>OTHER</v>
      </c>
      <c r="C121" s="19" t="s">
        <v>21</v>
      </c>
      <c r="D121" s="549"/>
      <c r="E121" s="549"/>
      <c r="F121" s="549"/>
      <c r="G121" s="549"/>
      <c r="H121" s="549"/>
      <c r="I121" s="549"/>
      <c r="J121" s="549"/>
      <c r="K121" s="549"/>
      <c r="L121" s="549"/>
      <c r="M121" s="549"/>
      <c r="N121" s="549"/>
      <c r="O121" s="550"/>
      <c r="P121" s="512" t="str">
        <f t="shared" si="74"/>
        <v>-</v>
      </c>
      <c r="Q121" s="4" t="str">
        <f t="shared" ref="Q121:Q122" si="85">IF(SUM(D121:O121)=0,"-",SUM(D121:O121))</f>
        <v>-</v>
      </c>
    </row>
    <row r="122" spans="1:17" ht="15.75" x14ac:dyDescent="0.25">
      <c r="A122" s="873"/>
      <c r="B122" s="824"/>
      <c r="C122" s="20" t="s">
        <v>22</v>
      </c>
      <c r="D122" s="687" t="str">
        <f>IF(D121="","",D$100*D121*24)</f>
        <v/>
      </c>
      <c r="E122" s="687" t="str">
        <f t="shared" ref="E122:O122" si="86">IF(E121="","",E$100*E121*24)</f>
        <v/>
      </c>
      <c r="F122" s="687" t="str">
        <f t="shared" si="86"/>
        <v/>
      </c>
      <c r="G122" s="687" t="str">
        <f t="shared" si="86"/>
        <v/>
      </c>
      <c r="H122" s="687" t="str">
        <f t="shared" si="86"/>
        <v/>
      </c>
      <c r="I122" s="687" t="str">
        <f t="shared" si="86"/>
        <v/>
      </c>
      <c r="J122" s="687" t="str">
        <f t="shared" si="86"/>
        <v/>
      </c>
      <c r="K122" s="687" t="str">
        <f t="shared" si="86"/>
        <v/>
      </c>
      <c r="L122" s="687" t="str">
        <f t="shared" si="86"/>
        <v/>
      </c>
      <c r="M122" s="687" t="str">
        <f t="shared" si="86"/>
        <v/>
      </c>
      <c r="N122" s="687" t="str">
        <f t="shared" si="86"/>
        <v/>
      </c>
      <c r="O122" s="688" t="str">
        <f t="shared" si="86"/>
        <v/>
      </c>
      <c r="P122" s="511" t="str">
        <f t="shared" si="74"/>
        <v>-</v>
      </c>
      <c r="Q122" s="6" t="str">
        <f t="shared" si="85"/>
        <v>-</v>
      </c>
    </row>
    <row r="123" spans="1:17" ht="15.75" x14ac:dyDescent="0.25">
      <c r="A123" s="873"/>
      <c r="B123" s="823" t="str">
        <f>IF($B$30="OTHER (RENAME)","OTHER",$B$30)</f>
        <v>OTHER</v>
      </c>
      <c r="C123" s="16" t="s">
        <v>21</v>
      </c>
      <c r="D123" s="549"/>
      <c r="E123" s="549"/>
      <c r="F123" s="549"/>
      <c r="G123" s="549"/>
      <c r="H123" s="549"/>
      <c r="I123" s="549"/>
      <c r="J123" s="549"/>
      <c r="K123" s="549"/>
      <c r="L123" s="549"/>
      <c r="M123" s="549"/>
      <c r="N123" s="549"/>
      <c r="O123" s="550"/>
      <c r="P123" s="512" t="str">
        <f t="shared" si="74"/>
        <v>-</v>
      </c>
      <c r="Q123" s="4" t="str">
        <f t="shared" ref="Q123:Q128" si="87">IF(SUM(D123:O123)=0,"-",SUM(D123:O123))</f>
        <v>-</v>
      </c>
    </row>
    <row r="124" spans="1:17" ht="15.75" x14ac:dyDescent="0.25">
      <c r="A124" s="873"/>
      <c r="B124" s="824"/>
      <c r="C124" s="17" t="s">
        <v>22</v>
      </c>
      <c r="D124" s="687" t="str">
        <f>IF(D123="","",D$100*D123*24)</f>
        <v/>
      </c>
      <c r="E124" s="687" t="str">
        <f t="shared" ref="E124:O124" si="88">IF(E123="","",E$100*E123*24)</f>
        <v/>
      </c>
      <c r="F124" s="687" t="str">
        <f t="shared" si="88"/>
        <v/>
      </c>
      <c r="G124" s="687" t="str">
        <f t="shared" si="88"/>
        <v/>
      </c>
      <c r="H124" s="687" t="str">
        <f t="shared" si="88"/>
        <v/>
      </c>
      <c r="I124" s="687" t="str">
        <f t="shared" si="88"/>
        <v/>
      </c>
      <c r="J124" s="687" t="str">
        <f t="shared" si="88"/>
        <v/>
      </c>
      <c r="K124" s="687" t="str">
        <f t="shared" si="88"/>
        <v/>
      </c>
      <c r="L124" s="687" t="str">
        <f t="shared" si="88"/>
        <v/>
      </c>
      <c r="M124" s="687" t="str">
        <f t="shared" si="88"/>
        <v/>
      </c>
      <c r="N124" s="687" t="str">
        <f t="shared" si="88"/>
        <v/>
      </c>
      <c r="O124" s="688" t="str">
        <f t="shared" si="88"/>
        <v/>
      </c>
      <c r="P124" s="511" t="str">
        <f t="shared" si="74"/>
        <v>-</v>
      </c>
      <c r="Q124" s="6" t="str">
        <f t="shared" si="87"/>
        <v>-</v>
      </c>
    </row>
    <row r="125" spans="1:17" ht="15.75" x14ac:dyDescent="0.25">
      <c r="A125" s="873"/>
      <c r="B125" s="823" t="str">
        <f>IF($B$32="OTHER (RENAME)","OTHER",$B$32)</f>
        <v>OTHER</v>
      </c>
      <c r="C125" s="16" t="s">
        <v>21</v>
      </c>
      <c r="D125" s="549"/>
      <c r="E125" s="549"/>
      <c r="F125" s="549"/>
      <c r="G125" s="549"/>
      <c r="H125" s="549"/>
      <c r="I125" s="549"/>
      <c r="J125" s="549"/>
      <c r="K125" s="549"/>
      <c r="L125" s="549"/>
      <c r="M125" s="549"/>
      <c r="N125" s="549"/>
      <c r="O125" s="550"/>
      <c r="P125" s="512" t="str">
        <f t="shared" si="74"/>
        <v>-</v>
      </c>
      <c r="Q125" s="4" t="str">
        <f t="shared" si="87"/>
        <v>-</v>
      </c>
    </row>
    <row r="126" spans="1:17" ht="15.75" x14ac:dyDescent="0.25">
      <c r="A126" s="873"/>
      <c r="B126" s="824"/>
      <c r="C126" s="17" t="s">
        <v>22</v>
      </c>
      <c r="D126" s="687" t="str">
        <f>IF(D125="","",D$100*D125*24)</f>
        <v/>
      </c>
      <c r="E126" s="687" t="str">
        <f t="shared" ref="E126:O126" si="89">IF(E125="","",E$100*E125*24)</f>
        <v/>
      </c>
      <c r="F126" s="687" t="str">
        <f t="shared" si="89"/>
        <v/>
      </c>
      <c r="G126" s="687" t="str">
        <f t="shared" si="89"/>
        <v/>
      </c>
      <c r="H126" s="687" t="str">
        <f t="shared" si="89"/>
        <v/>
      </c>
      <c r="I126" s="687" t="str">
        <f t="shared" si="89"/>
        <v/>
      </c>
      <c r="J126" s="687" t="str">
        <f t="shared" si="89"/>
        <v/>
      </c>
      <c r="K126" s="687" t="str">
        <f t="shared" si="89"/>
        <v/>
      </c>
      <c r="L126" s="687" t="str">
        <f t="shared" si="89"/>
        <v/>
      </c>
      <c r="M126" s="687" t="str">
        <f t="shared" si="89"/>
        <v/>
      </c>
      <c r="N126" s="687" t="str">
        <f t="shared" si="89"/>
        <v/>
      </c>
      <c r="O126" s="688" t="str">
        <f t="shared" si="89"/>
        <v/>
      </c>
      <c r="P126" s="511" t="str">
        <f t="shared" si="74"/>
        <v>-</v>
      </c>
      <c r="Q126" s="6" t="str">
        <f t="shared" si="87"/>
        <v>-</v>
      </c>
    </row>
    <row r="127" spans="1:17" ht="15.75" x14ac:dyDescent="0.25">
      <c r="A127" s="873"/>
      <c r="B127" s="823" t="str">
        <f>IF($B$34="OTHER (RENAME)","OTHER",$B$34)</f>
        <v>OTHER</v>
      </c>
      <c r="C127" s="16" t="s">
        <v>21</v>
      </c>
      <c r="D127" s="549"/>
      <c r="E127" s="549"/>
      <c r="F127" s="549"/>
      <c r="G127" s="549"/>
      <c r="H127" s="549"/>
      <c r="I127" s="549"/>
      <c r="J127" s="549"/>
      <c r="K127" s="549"/>
      <c r="L127" s="549"/>
      <c r="M127" s="549"/>
      <c r="N127" s="549"/>
      <c r="O127" s="550"/>
      <c r="P127" s="512" t="str">
        <f t="shared" si="74"/>
        <v>-</v>
      </c>
      <c r="Q127" s="4" t="str">
        <f t="shared" si="87"/>
        <v>-</v>
      </c>
    </row>
    <row r="128" spans="1:17" ht="15.75" x14ac:dyDescent="0.25">
      <c r="A128" s="873"/>
      <c r="B128" s="824"/>
      <c r="C128" s="17" t="s">
        <v>22</v>
      </c>
      <c r="D128" s="687" t="str">
        <f>IF(D127="","",D$100*D127*24)</f>
        <v/>
      </c>
      <c r="E128" s="687" t="str">
        <f t="shared" ref="E128:O128" si="90">IF(E127="","",E$100*E127*24)</f>
        <v/>
      </c>
      <c r="F128" s="687" t="str">
        <f t="shared" si="90"/>
        <v/>
      </c>
      <c r="G128" s="687" t="str">
        <f t="shared" si="90"/>
        <v/>
      </c>
      <c r="H128" s="687" t="str">
        <f t="shared" si="90"/>
        <v/>
      </c>
      <c r="I128" s="687" t="str">
        <f t="shared" si="90"/>
        <v/>
      </c>
      <c r="J128" s="687" t="str">
        <f t="shared" si="90"/>
        <v/>
      </c>
      <c r="K128" s="687" t="str">
        <f t="shared" si="90"/>
        <v/>
      </c>
      <c r="L128" s="687" t="str">
        <f t="shared" si="90"/>
        <v/>
      </c>
      <c r="M128" s="687" t="str">
        <f t="shared" si="90"/>
        <v/>
      </c>
      <c r="N128" s="687" t="str">
        <f t="shared" si="90"/>
        <v/>
      </c>
      <c r="O128" s="688" t="str">
        <f t="shared" si="90"/>
        <v/>
      </c>
      <c r="P128" s="511" t="str">
        <f t="shared" si="74"/>
        <v>-</v>
      </c>
      <c r="Q128" s="6" t="str">
        <f t="shared" si="87"/>
        <v>-</v>
      </c>
    </row>
    <row r="129" spans="1:17" ht="15.75" x14ac:dyDescent="0.25">
      <c r="A129" s="873"/>
      <c r="B129" s="974" t="s">
        <v>16</v>
      </c>
      <c r="C129" s="911"/>
      <c r="D129" s="555" t="str">
        <f>IF(SUM(D101,D103,D105,D107,D109,D111,D113,D115,D117,D119,D121,D123,D125,D127)=0,"",SUM(D101,D103,D105,D107,D109,D111,D113,D115,D117,D119,D121,D123,D125,D127))</f>
        <v/>
      </c>
      <c r="E129" s="555" t="str">
        <f t="shared" ref="E129:O129" si="91">IF(SUM(E101,E103,E105,E107,E109,E111,E113,E115,E117,E119,E121,E123,E125,E127)=0,"",SUM(E101,E103,E105,E107,E109,E111,E113,E115,E117,E119,E121,E123,E125,E127))</f>
        <v/>
      </c>
      <c r="F129" s="555" t="str">
        <f t="shared" si="91"/>
        <v/>
      </c>
      <c r="G129" s="555" t="str">
        <f t="shared" si="91"/>
        <v/>
      </c>
      <c r="H129" s="555" t="str">
        <f t="shared" si="91"/>
        <v/>
      </c>
      <c r="I129" s="555" t="str">
        <f t="shared" si="91"/>
        <v/>
      </c>
      <c r="J129" s="555" t="str">
        <f t="shared" si="91"/>
        <v/>
      </c>
      <c r="K129" s="555" t="str">
        <f t="shared" si="91"/>
        <v/>
      </c>
      <c r="L129" s="555" t="str">
        <f t="shared" si="91"/>
        <v/>
      </c>
      <c r="M129" s="555" t="str">
        <f t="shared" si="91"/>
        <v/>
      </c>
      <c r="N129" s="555" t="str">
        <f t="shared" si="91"/>
        <v/>
      </c>
      <c r="O129" s="556" t="str">
        <f t="shared" si="91"/>
        <v/>
      </c>
      <c r="P129" s="512" t="str">
        <f t="shared" si="74"/>
        <v>-</v>
      </c>
      <c r="Q129" s="4" t="str">
        <f>IF(SUM(D129:O129)=0,"-",SUM(D129:O129))</f>
        <v>-</v>
      </c>
    </row>
    <row r="130" spans="1:17" ht="16.5" thickBot="1" x14ac:dyDescent="0.3">
      <c r="A130" s="874"/>
      <c r="B130" s="959" t="s">
        <v>17</v>
      </c>
      <c r="C130" s="913"/>
      <c r="D130" s="694" t="str">
        <f>IF(D129="","",SUM(D102,D104,D106,D108,D110,D112,D114,D116,D118,D120,D122,D124,D126,D128))</f>
        <v/>
      </c>
      <c r="E130" s="694" t="str">
        <f t="shared" ref="E130" si="92">IF(E129="","",SUM(E102,E104,E106,E108,E110,E112,E114,E116,E118,E120,E122,E124,E126,E128))</f>
        <v/>
      </c>
      <c r="F130" s="695" t="str">
        <f t="shared" ref="F130" si="93">IF(F129="","",SUM(F102,F104,F106,F108,F110,F112,F114,F116,F118,F120,F122,F124,F126,F128))</f>
        <v/>
      </c>
      <c r="G130" s="694" t="str">
        <f t="shared" ref="G130" si="94">IF(G129="","",SUM(G102,G104,G106,G108,G110,G112,G114,G116,G118,G120,G122,G124,G126,G128))</f>
        <v/>
      </c>
      <c r="H130" s="694" t="str">
        <f t="shared" ref="H130" si="95">IF(H129="","",SUM(H102,H104,H106,H108,H110,H112,H114,H116,H118,H120,H122,H124,H126,H128))</f>
        <v/>
      </c>
      <c r="I130" s="694" t="str">
        <f t="shared" ref="I130" si="96">IF(I129="","",SUM(I102,I104,I106,I108,I110,I112,I114,I116,I118,I120,I122,I124,I126,I128))</f>
        <v/>
      </c>
      <c r="J130" s="694" t="str">
        <f t="shared" ref="J130" si="97">IF(J129="","",SUM(J102,J104,J106,J108,J110,J112,J114,J116,J118,J120,J122,J124,J126,J128))</f>
        <v/>
      </c>
      <c r="K130" s="694" t="str">
        <f t="shared" ref="K130" si="98">IF(K129="","",SUM(K102,K104,K106,K108,K110,K112,K114,K116,K118,K120,K122,K124,K126,K128))</f>
        <v/>
      </c>
      <c r="L130" s="694" t="str">
        <f t="shared" ref="L130" si="99">IF(L129="","",SUM(L102,L104,L106,L108,L110,L112,L114,L116,L118,L120,L122,L124,L126,L128))</f>
        <v/>
      </c>
      <c r="M130" s="694" t="str">
        <f t="shared" ref="M130" si="100">IF(M129="","",SUM(M102,M104,M106,M108,M110,M112,M114,M116,M118,M120,M122,M124,M126,M128))</f>
        <v/>
      </c>
      <c r="N130" s="694" t="str">
        <f t="shared" ref="N130" si="101">IF(N129="","",SUM(N102,N104,N106,N108,N110,N112,N114,N116,N118,N120,N122,N124,N126,N128))</f>
        <v/>
      </c>
      <c r="O130" s="696" t="str">
        <f t="shared" ref="O130" si="102">IF(O129="","",SUM(O102,O104,O106,O108,O110,O112,O114,O116,O118,O120,O122,O124,O126,O128))</f>
        <v/>
      </c>
      <c r="P130" s="525" t="str">
        <f t="shared" si="74"/>
        <v>-</v>
      </c>
      <c r="Q130" s="7" t="str">
        <f>IF(SUM(D130:O130)=0,"-",SUM(D130:O130))</f>
        <v>-</v>
      </c>
    </row>
    <row r="131" spans="1:17" ht="15.75" x14ac:dyDescent="0.25">
      <c r="A131" s="869" t="s">
        <v>111</v>
      </c>
      <c r="B131" s="878" t="s">
        <v>3</v>
      </c>
      <c r="C131" s="879"/>
      <c r="D131" s="547" t="str">
        <f>IF('2026DATA'!BV3=0,"",'2026DATA'!BV3)</f>
        <v/>
      </c>
      <c r="E131" s="547" t="str">
        <f>IF('2026DATA'!BW3=0,"",'2026DATA'!BW3)</f>
        <v/>
      </c>
      <c r="F131" s="547" t="str">
        <f>IF('2026DATA'!BX3=0,"",'2026DATA'!BX3)</f>
        <v/>
      </c>
      <c r="G131" s="547" t="str">
        <f>IF('2026DATA'!BY3=0,"",'2026DATA'!BY3)</f>
        <v/>
      </c>
      <c r="H131" s="547" t="str">
        <f>IF('2026DATA'!BZ3=0,"",'2026DATA'!BZ3)</f>
        <v/>
      </c>
      <c r="I131" s="547" t="str">
        <f>IF('2026DATA'!CA3=0,"",'2026DATA'!CA3)</f>
        <v/>
      </c>
      <c r="J131" s="547" t="str">
        <f>IF('2026DATA'!CB3=0,"",'2026DATA'!CB3)</f>
        <v/>
      </c>
      <c r="K131" s="547" t="str">
        <f>IF('2026DATA'!CC3=0,"",'2026DATA'!CC3)</f>
        <v/>
      </c>
      <c r="L131" s="547" t="str">
        <f>IF('2026DATA'!CD3=0,"",'2026DATA'!CD3)</f>
        <v/>
      </c>
      <c r="M131" s="547" t="str">
        <f>IF('2026DATA'!CE3=0,"",'2026DATA'!CE3)</f>
        <v/>
      </c>
      <c r="N131" s="547" t="str">
        <f>IF('2026DATA'!CF3=0,"",'2026DATA'!CF3)</f>
        <v/>
      </c>
      <c r="O131" s="548" t="str">
        <f>IF('2026DATA'!CG3=0,"",'2026DATA'!CG3)</f>
        <v/>
      </c>
      <c r="P131" s="880"/>
      <c r="Q131" s="881"/>
    </row>
    <row r="132" spans="1:17" ht="15.75" x14ac:dyDescent="0.25">
      <c r="A132" s="870"/>
      <c r="B132" s="823" t="s">
        <v>7</v>
      </c>
      <c r="C132" s="16" t="s">
        <v>21</v>
      </c>
      <c r="D132" s="549"/>
      <c r="E132" s="549"/>
      <c r="F132" s="549"/>
      <c r="G132" s="549"/>
      <c r="H132" s="549"/>
      <c r="I132" s="549"/>
      <c r="J132" s="549"/>
      <c r="K132" s="549"/>
      <c r="L132" s="549"/>
      <c r="M132" s="549"/>
      <c r="N132" s="549"/>
      <c r="O132" s="550"/>
      <c r="P132" s="512" t="str">
        <f t="shared" ref="P132:P141" si="103">IF(Q132="-","-",Q132/12)</f>
        <v>-</v>
      </c>
      <c r="Q132" s="4" t="str">
        <f t="shared" ref="Q132:Q151" si="104">IF(SUM(D132:O132)=0,"-",SUM(D132:O132))</f>
        <v>-</v>
      </c>
    </row>
    <row r="133" spans="1:17" ht="15.75" x14ac:dyDescent="0.25">
      <c r="A133" s="870"/>
      <c r="B133" s="824"/>
      <c r="C133" s="17" t="s">
        <v>22</v>
      </c>
      <c r="D133" s="683" t="str">
        <f>IF(D132="","",D$131*D132*24)</f>
        <v/>
      </c>
      <c r="E133" s="683" t="str">
        <f t="shared" ref="E133:O133" si="105">IF(E132="","",E$131*E132*24)</f>
        <v/>
      </c>
      <c r="F133" s="683" t="str">
        <f t="shared" si="105"/>
        <v/>
      </c>
      <c r="G133" s="683" t="str">
        <f t="shared" si="105"/>
        <v/>
      </c>
      <c r="H133" s="683" t="str">
        <f t="shared" si="105"/>
        <v/>
      </c>
      <c r="I133" s="683" t="str">
        <f t="shared" si="105"/>
        <v/>
      </c>
      <c r="J133" s="683" t="str">
        <f t="shared" si="105"/>
        <v/>
      </c>
      <c r="K133" s="683" t="str">
        <f t="shared" si="105"/>
        <v/>
      </c>
      <c r="L133" s="683" t="str">
        <f t="shared" si="105"/>
        <v/>
      </c>
      <c r="M133" s="683" t="str">
        <f t="shared" si="105"/>
        <v/>
      </c>
      <c r="N133" s="683" t="str">
        <f t="shared" si="105"/>
        <v/>
      </c>
      <c r="O133" s="686" t="str">
        <f t="shared" si="105"/>
        <v/>
      </c>
      <c r="P133" s="511" t="str">
        <f>IF(Q133="-","-",Q133/12)</f>
        <v>-</v>
      </c>
      <c r="Q133" s="6" t="str">
        <f>IF(SUM(D133:O133)=0,"-",SUM(D133:O133))</f>
        <v>-</v>
      </c>
    </row>
    <row r="134" spans="1:17" ht="15.75" x14ac:dyDescent="0.25">
      <c r="A134" s="870"/>
      <c r="B134" s="823" t="s">
        <v>8</v>
      </c>
      <c r="C134" s="18" t="s">
        <v>21</v>
      </c>
      <c r="D134" s="549"/>
      <c r="E134" s="549"/>
      <c r="F134" s="549"/>
      <c r="G134" s="549"/>
      <c r="H134" s="549"/>
      <c r="I134" s="549"/>
      <c r="J134" s="549"/>
      <c r="K134" s="549"/>
      <c r="L134" s="549"/>
      <c r="M134" s="549"/>
      <c r="N134" s="549"/>
      <c r="O134" s="550"/>
      <c r="P134" s="512" t="str">
        <f t="shared" si="103"/>
        <v>-</v>
      </c>
      <c r="Q134" s="4" t="str">
        <f t="shared" si="104"/>
        <v>-</v>
      </c>
    </row>
    <row r="135" spans="1:17" ht="15.75" x14ac:dyDescent="0.25">
      <c r="A135" s="870"/>
      <c r="B135" s="824"/>
      <c r="C135" s="18" t="s">
        <v>22</v>
      </c>
      <c r="D135" s="683" t="str">
        <f>IF(D134=0,"",(D131+IF(D$4="CA",DATA!$B$22,DATA!$B$23))*D134*24)</f>
        <v/>
      </c>
      <c r="E135" s="683" t="str">
        <f>IF(E134=0,"",(E131+IF(E$4="CA",DATA!$B$22,DATA!$B$23))*E134*24)</f>
        <v/>
      </c>
      <c r="F135" s="683" t="str">
        <f>IF(F134=0,"",(F131+IF(F$4="CA",DATA!$B$22,DATA!$B$23))*F134*24)</f>
        <v/>
      </c>
      <c r="G135" s="683" t="str">
        <f>IF(G134=0,"",(G131+IF(G$4="CA",DATA!$B$22,DATA!$B$23))*G134*24)</f>
        <v/>
      </c>
      <c r="H135" s="683" t="str">
        <f>IF(H134=0,"",(H131+IF(H$4="CA",DATA!$B$22,DATA!$B$23))*H134*24)</f>
        <v/>
      </c>
      <c r="I135" s="683" t="str">
        <f>IF(I134=0,"",(I131+IF(I$4="CA",DATA!$B$22,DATA!$B$23))*I134*24)</f>
        <v/>
      </c>
      <c r="J135" s="683" t="str">
        <f>IF(J134=0,"",(J131+IF(J$4="CA",DATA!$B$22,DATA!$B$23))*J134*24)</f>
        <v/>
      </c>
      <c r="K135" s="683" t="str">
        <f>IF(K134=0,"",(K131+IF(K$4="CA",DATA!$B$22,DATA!$B$23))*K134*24)</f>
        <v/>
      </c>
      <c r="L135" s="683" t="str">
        <f>IF(L134=0,"",(L131+IF(L$4="CA",DATA!$B$22,DATA!$B$23))*L134*24)</f>
        <v/>
      </c>
      <c r="M135" s="683" t="str">
        <f>IF(M134=0,"",(M131+IF(M$4="CA",DATA!$B$22,DATA!$B$23))*M134*24)</f>
        <v/>
      </c>
      <c r="N135" s="683" t="str">
        <f>IF(N134=0,"",(N131+IF(N$4="CA",DATA!$B$22,DATA!$B$23))*N134*24)</f>
        <v/>
      </c>
      <c r="O135" s="686" t="str">
        <f>IF(O134=0,"",(O131+IF(O$4="CA",DATA!$B$22,DATA!$B$23))*O134*24)</f>
        <v/>
      </c>
      <c r="P135" s="511" t="str">
        <f t="shared" si="103"/>
        <v>-</v>
      </c>
      <c r="Q135" s="6" t="str">
        <f t="shared" si="104"/>
        <v>-</v>
      </c>
    </row>
    <row r="136" spans="1:17" ht="15.75" x14ac:dyDescent="0.25">
      <c r="A136" s="870"/>
      <c r="B136" s="823" t="s">
        <v>9</v>
      </c>
      <c r="C136" s="16" t="s">
        <v>21</v>
      </c>
      <c r="D136" s="549"/>
      <c r="E136" s="549"/>
      <c r="F136" s="549"/>
      <c r="G136" s="549"/>
      <c r="H136" s="549"/>
      <c r="I136" s="549"/>
      <c r="J136" s="549"/>
      <c r="K136" s="549"/>
      <c r="L136" s="549"/>
      <c r="M136" s="549"/>
      <c r="N136" s="549"/>
      <c r="O136" s="550"/>
      <c r="P136" s="512" t="str">
        <f t="shared" si="103"/>
        <v>-</v>
      </c>
      <c r="Q136" s="4" t="str">
        <f t="shared" si="104"/>
        <v>-</v>
      </c>
    </row>
    <row r="137" spans="1:17" ht="15.75" x14ac:dyDescent="0.25">
      <c r="A137" s="870"/>
      <c r="B137" s="824"/>
      <c r="C137" s="17" t="s">
        <v>22</v>
      </c>
      <c r="D137" s="683" t="str">
        <f>IF(D136="","",D$131*D136*24)</f>
        <v/>
      </c>
      <c r="E137" s="683" t="str">
        <f t="shared" ref="E137:O137" si="106">IF(E136="","",E$131*E136*24)</f>
        <v/>
      </c>
      <c r="F137" s="684" t="str">
        <f t="shared" si="106"/>
        <v/>
      </c>
      <c r="G137" s="683" t="str">
        <f t="shared" si="106"/>
        <v/>
      </c>
      <c r="H137" s="683" t="str">
        <f t="shared" si="106"/>
        <v/>
      </c>
      <c r="I137" s="683" t="str">
        <f t="shared" si="106"/>
        <v/>
      </c>
      <c r="J137" s="683" t="str">
        <f t="shared" si="106"/>
        <v/>
      </c>
      <c r="K137" s="683" t="str">
        <f t="shared" si="106"/>
        <v/>
      </c>
      <c r="L137" s="683" t="str">
        <f t="shared" si="106"/>
        <v/>
      </c>
      <c r="M137" s="683" t="str">
        <f t="shared" si="106"/>
        <v/>
      </c>
      <c r="N137" s="683" t="str">
        <f t="shared" si="106"/>
        <v/>
      </c>
      <c r="O137" s="685" t="str">
        <f t="shared" si="106"/>
        <v/>
      </c>
      <c r="P137" s="511" t="str">
        <f t="shared" si="103"/>
        <v>-</v>
      </c>
      <c r="Q137" s="6" t="str">
        <f t="shared" si="104"/>
        <v>-</v>
      </c>
    </row>
    <row r="138" spans="1:17" ht="15.75" x14ac:dyDescent="0.25">
      <c r="A138" s="870"/>
      <c r="B138" s="823" t="s">
        <v>10</v>
      </c>
      <c r="C138" s="18" t="s">
        <v>21</v>
      </c>
      <c r="D138" s="549"/>
      <c r="E138" s="549"/>
      <c r="F138" s="549"/>
      <c r="G138" s="549"/>
      <c r="H138" s="549"/>
      <c r="I138" s="549"/>
      <c r="J138" s="549"/>
      <c r="K138" s="549"/>
      <c r="L138" s="549"/>
      <c r="M138" s="549"/>
      <c r="N138" s="549"/>
      <c r="O138" s="550"/>
      <c r="P138" s="512" t="str">
        <f t="shared" si="103"/>
        <v>-</v>
      </c>
      <c r="Q138" s="4" t="str">
        <f t="shared" si="104"/>
        <v>-</v>
      </c>
    </row>
    <row r="139" spans="1:17" ht="15.75" x14ac:dyDescent="0.25">
      <c r="A139" s="870"/>
      <c r="B139" s="824"/>
      <c r="C139" s="18" t="s">
        <v>22</v>
      </c>
      <c r="D139" s="683" t="str">
        <f>IF(D138="","",D$131*D138*24)</f>
        <v/>
      </c>
      <c r="E139" s="683" t="str">
        <f t="shared" ref="E139:O139" si="107">IF(E138="","",E$131*E138*24)</f>
        <v/>
      </c>
      <c r="F139" s="684" t="str">
        <f t="shared" si="107"/>
        <v/>
      </c>
      <c r="G139" s="683" t="str">
        <f t="shared" si="107"/>
        <v/>
      </c>
      <c r="H139" s="683" t="str">
        <f t="shared" si="107"/>
        <v/>
      </c>
      <c r="I139" s="683" t="str">
        <f t="shared" si="107"/>
        <v/>
      </c>
      <c r="J139" s="683" t="str">
        <f t="shared" si="107"/>
        <v/>
      </c>
      <c r="K139" s="683" t="str">
        <f t="shared" si="107"/>
        <v/>
      </c>
      <c r="L139" s="683" t="str">
        <f t="shared" si="107"/>
        <v/>
      </c>
      <c r="M139" s="683" t="str">
        <f t="shared" si="107"/>
        <v/>
      </c>
      <c r="N139" s="683" t="str">
        <f t="shared" si="107"/>
        <v/>
      </c>
      <c r="O139" s="685" t="str">
        <f t="shared" si="107"/>
        <v/>
      </c>
      <c r="P139" s="511" t="str">
        <f t="shared" si="103"/>
        <v>-</v>
      </c>
      <c r="Q139" s="6" t="str">
        <f t="shared" si="104"/>
        <v>-</v>
      </c>
    </row>
    <row r="140" spans="1:17" ht="15.75" x14ac:dyDescent="0.25">
      <c r="A140" s="870"/>
      <c r="B140" s="823" t="s">
        <v>11</v>
      </c>
      <c r="C140" s="16" t="s">
        <v>21</v>
      </c>
      <c r="D140" s="549"/>
      <c r="E140" s="549"/>
      <c r="F140" s="549"/>
      <c r="G140" s="549"/>
      <c r="H140" s="549"/>
      <c r="I140" s="549"/>
      <c r="J140" s="549"/>
      <c r="K140" s="549"/>
      <c r="L140" s="549"/>
      <c r="M140" s="549"/>
      <c r="N140" s="549"/>
      <c r="O140" s="550"/>
      <c r="P140" s="512" t="str">
        <f t="shared" si="103"/>
        <v>-</v>
      </c>
      <c r="Q140" s="4" t="str">
        <f t="shared" si="104"/>
        <v>-</v>
      </c>
    </row>
    <row r="141" spans="1:17" ht="15.75" x14ac:dyDescent="0.25">
      <c r="A141" s="870"/>
      <c r="B141" s="824"/>
      <c r="C141" s="17" t="s">
        <v>22</v>
      </c>
      <c r="D141" s="683" t="str">
        <f>IF(D140="","",D$131*D140*24)</f>
        <v/>
      </c>
      <c r="E141" s="683" t="str">
        <f t="shared" ref="E141:O141" si="108">IF(E140="","",E$131*E140*24)</f>
        <v/>
      </c>
      <c r="F141" s="684" t="str">
        <f t="shared" si="108"/>
        <v/>
      </c>
      <c r="G141" s="683" t="str">
        <f t="shared" si="108"/>
        <v/>
      </c>
      <c r="H141" s="683" t="str">
        <f t="shared" si="108"/>
        <v/>
      </c>
      <c r="I141" s="683" t="str">
        <f t="shared" si="108"/>
        <v/>
      </c>
      <c r="J141" s="683" t="str">
        <f t="shared" si="108"/>
        <v/>
      </c>
      <c r="K141" s="683" t="str">
        <f t="shared" si="108"/>
        <v/>
      </c>
      <c r="L141" s="683" t="str">
        <f t="shared" si="108"/>
        <v/>
      </c>
      <c r="M141" s="683" t="str">
        <f t="shared" si="108"/>
        <v/>
      </c>
      <c r="N141" s="683" t="str">
        <f t="shared" si="108"/>
        <v/>
      </c>
      <c r="O141" s="685" t="str">
        <f t="shared" si="108"/>
        <v/>
      </c>
      <c r="P141" s="511" t="str">
        <f t="shared" si="103"/>
        <v>-</v>
      </c>
      <c r="Q141" s="6" t="str">
        <f t="shared" si="104"/>
        <v>-</v>
      </c>
    </row>
    <row r="142" spans="1:17" ht="15.75" x14ac:dyDescent="0.25">
      <c r="A142" s="870"/>
      <c r="B142" s="823" t="s">
        <v>12</v>
      </c>
      <c r="C142" s="18" t="s">
        <v>21</v>
      </c>
      <c r="D142" s="549"/>
      <c r="E142" s="549"/>
      <c r="F142" s="549"/>
      <c r="G142" s="549"/>
      <c r="H142" s="549"/>
      <c r="I142" s="549"/>
      <c r="J142" s="549"/>
      <c r="K142" s="549"/>
      <c r="L142" s="549"/>
      <c r="M142" s="549"/>
      <c r="N142" s="549"/>
      <c r="O142" s="550"/>
      <c r="P142" s="512" t="str">
        <f>IF(Q142="-","-",Q142/12)</f>
        <v>-</v>
      </c>
      <c r="Q142" s="4" t="str">
        <f t="shared" si="104"/>
        <v>-</v>
      </c>
    </row>
    <row r="143" spans="1:17" ht="15.75" x14ac:dyDescent="0.25">
      <c r="A143" s="870"/>
      <c r="B143" s="824"/>
      <c r="C143" s="18" t="s">
        <v>22</v>
      </c>
      <c r="D143" s="683" t="str">
        <f>IF(D142="","",D$131*D142*24)</f>
        <v/>
      </c>
      <c r="E143" s="683" t="str">
        <f t="shared" ref="E143:O143" si="109">IF(E142="","",E$131*E142*24)</f>
        <v/>
      </c>
      <c r="F143" s="684" t="str">
        <f t="shared" si="109"/>
        <v/>
      </c>
      <c r="G143" s="683" t="str">
        <f t="shared" si="109"/>
        <v/>
      </c>
      <c r="H143" s="683" t="str">
        <f t="shared" si="109"/>
        <v/>
      </c>
      <c r="I143" s="683" t="str">
        <f t="shared" si="109"/>
        <v/>
      </c>
      <c r="J143" s="683" t="str">
        <f t="shared" si="109"/>
        <v/>
      </c>
      <c r="K143" s="683" t="str">
        <f t="shared" si="109"/>
        <v/>
      </c>
      <c r="L143" s="683" t="str">
        <f t="shared" si="109"/>
        <v/>
      </c>
      <c r="M143" s="683" t="str">
        <f t="shared" si="109"/>
        <v/>
      </c>
      <c r="N143" s="683" t="str">
        <f t="shared" si="109"/>
        <v/>
      </c>
      <c r="O143" s="685" t="str">
        <f t="shared" si="109"/>
        <v/>
      </c>
      <c r="P143" s="511" t="str">
        <f t="shared" ref="P143:P161" si="110">IF(Q143="-","-",Q143/12)</f>
        <v>-</v>
      </c>
      <c r="Q143" s="6" t="str">
        <f t="shared" si="104"/>
        <v>-</v>
      </c>
    </row>
    <row r="144" spans="1:17" ht="15.75" x14ac:dyDescent="0.25">
      <c r="A144" s="870"/>
      <c r="B144" s="823" t="s">
        <v>15</v>
      </c>
      <c r="C144" s="16" t="s">
        <v>21</v>
      </c>
      <c r="D144" s="549"/>
      <c r="E144" s="549"/>
      <c r="F144" s="549"/>
      <c r="G144" s="549"/>
      <c r="H144" s="549"/>
      <c r="I144" s="549"/>
      <c r="J144" s="549"/>
      <c r="K144" s="549"/>
      <c r="L144" s="549"/>
      <c r="M144" s="549"/>
      <c r="N144" s="549"/>
      <c r="O144" s="550"/>
      <c r="P144" s="512" t="str">
        <f t="shared" si="110"/>
        <v>-</v>
      </c>
      <c r="Q144" s="4" t="str">
        <f t="shared" si="104"/>
        <v>-</v>
      </c>
    </row>
    <row r="145" spans="1:17" ht="15.75" x14ac:dyDescent="0.25">
      <c r="A145" s="870"/>
      <c r="B145" s="824"/>
      <c r="C145" s="17" t="s">
        <v>22</v>
      </c>
      <c r="D145" s="683" t="str">
        <f>IF(D144="","",D$131*D144*24)</f>
        <v/>
      </c>
      <c r="E145" s="683" t="str">
        <f t="shared" ref="E145:O145" si="111">IF(E144="","",E$131*E144*24)</f>
        <v/>
      </c>
      <c r="F145" s="684" t="str">
        <f t="shared" si="111"/>
        <v/>
      </c>
      <c r="G145" s="683" t="str">
        <f t="shared" si="111"/>
        <v/>
      </c>
      <c r="H145" s="683" t="str">
        <f t="shared" si="111"/>
        <v/>
      </c>
      <c r="I145" s="683" t="str">
        <f t="shared" si="111"/>
        <v/>
      </c>
      <c r="J145" s="683" t="str">
        <f t="shared" si="111"/>
        <v/>
      </c>
      <c r="K145" s="683" t="str">
        <f t="shared" si="111"/>
        <v/>
      </c>
      <c r="L145" s="683" t="str">
        <f t="shared" si="111"/>
        <v/>
      </c>
      <c r="M145" s="683" t="str">
        <f t="shared" si="111"/>
        <v/>
      </c>
      <c r="N145" s="683" t="str">
        <f t="shared" si="111"/>
        <v/>
      </c>
      <c r="O145" s="685" t="str">
        <f t="shared" si="111"/>
        <v/>
      </c>
      <c r="P145" s="511" t="str">
        <f t="shared" si="110"/>
        <v>-</v>
      </c>
      <c r="Q145" s="6" t="str">
        <f t="shared" si="104"/>
        <v>-</v>
      </c>
    </row>
    <row r="146" spans="1:17" ht="15.75" x14ac:dyDescent="0.25">
      <c r="A146" s="870"/>
      <c r="B146" s="823" t="s">
        <v>13</v>
      </c>
      <c r="C146" s="18" t="s">
        <v>21</v>
      </c>
      <c r="D146" s="549"/>
      <c r="E146" s="549"/>
      <c r="F146" s="549"/>
      <c r="G146" s="549"/>
      <c r="H146" s="549"/>
      <c r="I146" s="549"/>
      <c r="J146" s="549"/>
      <c r="K146" s="549"/>
      <c r="L146" s="549"/>
      <c r="M146" s="549"/>
      <c r="N146" s="549"/>
      <c r="O146" s="550"/>
      <c r="P146" s="512" t="str">
        <f t="shared" si="110"/>
        <v>-</v>
      </c>
      <c r="Q146" s="4" t="str">
        <f t="shared" si="104"/>
        <v>-</v>
      </c>
    </row>
    <row r="147" spans="1:17" ht="15.75" x14ac:dyDescent="0.25">
      <c r="A147" s="870"/>
      <c r="B147" s="824"/>
      <c r="C147" s="18" t="s">
        <v>22</v>
      </c>
      <c r="D147" s="683" t="str">
        <f>IF(D146="","",D$131*D146*24)</f>
        <v/>
      </c>
      <c r="E147" s="683" t="str">
        <f t="shared" ref="E147:O147" si="112">IF(E146="","",E$131*E146*24)</f>
        <v/>
      </c>
      <c r="F147" s="684" t="str">
        <f t="shared" si="112"/>
        <v/>
      </c>
      <c r="G147" s="683" t="str">
        <f t="shared" si="112"/>
        <v/>
      </c>
      <c r="H147" s="683" t="str">
        <f t="shared" si="112"/>
        <v/>
      </c>
      <c r="I147" s="683" t="str">
        <f t="shared" si="112"/>
        <v/>
      </c>
      <c r="J147" s="683" t="str">
        <f t="shared" si="112"/>
        <v/>
      </c>
      <c r="K147" s="683" t="str">
        <f t="shared" si="112"/>
        <v/>
      </c>
      <c r="L147" s="683" t="str">
        <f t="shared" si="112"/>
        <v/>
      </c>
      <c r="M147" s="683" t="str">
        <f t="shared" si="112"/>
        <v/>
      </c>
      <c r="N147" s="683" t="str">
        <f t="shared" si="112"/>
        <v/>
      </c>
      <c r="O147" s="685" t="str">
        <f t="shared" si="112"/>
        <v/>
      </c>
      <c r="P147" s="511" t="str">
        <f t="shared" si="110"/>
        <v>-</v>
      </c>
      <c r="Q147" s="6" t="str">
        <f t="shared" si="104"/>
        <v>-</v>
      </c>
    </row>
    <row r="148" spans="1:17" ht="15.75" x14ac:dyDescent="0.25">
      <c r="A148" s="870"/>
      <c r="B148" s="823" t="s">
        <v>20</v>
      </c>
      <c r="C148" s="16" t="s">
        <v>21</v>
      </c>
      <c r="D148" s="549"/>
      <c r="E148" s="549"/>
      <c r="F148" s="549"/>
      <c r="G148" s="549"/>
      <c r="H148" s="549"/>
      <c r="I148" s="549"/>
      <c r="J148" s="549"/>
      <c r="K148" s="549"/>
      <c r="L148" s="549"/>
      <c r="M148" s="549"/>
      <c r="N148" s="549"/>
      <c r="O148" s="550"/>
      <c r="P148" s="512" t="str">
        <f t="shared" si="110"/>
        <v>-</v>
      </c>
      <c r="Q148" s="4" t="str">
        <f t="shared" si="104"/>
        <v>-</v>
      </c>
    </row>
    <row r="149" spans="1:17" ht="15.75" x14ac:dyDescent="0.25">
      <c r="A149" s="870"/>
      <c r="B149" s="824"/>
      <c r="C149" s="17" t="s">
        <v>22</v>
      </c>
      <c r="D149" s="683" t="str">
        <f>IF(D148="","",D$131*D148*24)</f>
        <v/>
      </c>
      <c r="E149" s="683" t="str">
        <f t="shared" ref="E149:O149" si="113">IF(E148="","",E$131*E148*24)</f>
        <v/>
      </c>
      <c r="F149" s="684" t="str">
        <f t="shared" si="113"/>
        <v/>
      </c>
      <c r="G149" s="683" t="str">
        <f t="shared" si="113"/>
        <v/>
      </c>
      <c r="H149" s="683" t="str">
        <f t="shared" si="113"/>
        <v/>
      </c>
      <c r="I149" s="683" t="str">
        <f t="shared" si="113"/>
        <v/>
      </c>
      <c r="J149" s="683" t="str">
        <f t="shared" si="113"/>
        <v/>
      </c>
      <c r="K149" s="683" t="str">
        <f t="shared" si="113"/>
        <v/>
      </c>
      <c r="L149" s="683" t="str">
        <f t="shared" si="113"/>
        <v/>
      </c>
      <c r="M149" s="683" t="str">
        <f t="shared" si="113"/>
        <v/>
      </c>
      <c r="N149" s="683" t="str">
        <f t="shared" si="113"/>
        <v/>
      </c>
      <c r="O149" s="685" t="str">
        <f t="shared" si="113"/>
        <v/>
      </c>
      <c r="P149" s="511" t="str">
        <f t="shared" si="110"/>
        <v>-</v>
      </c>
      <c r="Q149" s="6" t="str">
        <f t="shared" si="104"/>
        <v>-</v>
      </c>
    </row>
    <row r="150" spans="1:17" ht="15.75" x14ac:dyDescent="0.25">
      <c r="A150" s="870"/>
      <c r="B150" s="823" t="s">
        <v>1</v>
      </c>
      <c r="C150" s="18" t="s">
        <v>21</v>
      </c>
      <c r="D150" s="549"/>
      <c r="E150" s="549"/>
      <c r="F150" s="549"/>
      <c r="G150" s="549"/>
      <c r="H150" s="549"/>
      <c r="I150" s="549"/>
      <c r="J150" s="549"/>
      <c r="K150" s="549"/>
      <c r="L150" s="549"/>
      <c r="M150" s="549"/>
      <c r="N150" s="549"/>
      <c r="O150" s="550"/>
      <c r="P150" s="512" t="str">
        <f t="shared" si="110"/>
        <v>-</v>
      </c>
      <c r="Q150" s="4" t="str">
        <f t="shared" si="104"/>
        <v>-</v>
      </c>
    </row>
    <row r="151" spans="1:17" ht="15.75" customHeight="1" x14ac:dyDescent="0.25">
      <c r="A151" s="870"/>
      <c r="B151" s="824"/>
      <c r="C151" s="18" t="s">
        <v>22</v>
      </c>
      <c r="D151" s="683" t="str">
        <f>IF(D150="","",D$131*D150*24)</f>
        <v/>
      </c>
      <c r="E151" s="683" t="str">
        <f t="shared" ref="E151:O151" si="114">IF(E150="","",E$131*E150*24)</f>
        <v/>
      </c>
      <c r="F151" s="684" t="str">
        <f t="shared" si="114"/>
        <v/>
      </c>
      <c r="G151" s="683" t="str">
        <f t="shared" si="114"/>
        <v/>
      </c>
      <c r="H151" s="683" t="str">
        <f t="shared" si="114"/>
        <v/>
      </c>
      <c r="I151" s="683" t="str">
        <f t="shared" si="114"/>
        <v/>
      </c>
      <c r="J151" s="683" t="str">
        <f t="shared" si="114"/>
        <v/>
      </c>
      <c r="K151" s="683" t="str">
        <f t="shared" si="114"/>
        <v/>
      </c>
      <c r="L151" s="683" t="str">
        <f t="shared" si="114"/>
        <v/>
      </c>
      <c r="M151" s="683" t="str">
        <f t="shared" si="114"/>
        <v/>
      </c>
      <c r="N151" s="683" t="str">
        <f t="shared" si="114"/>
        <v/>
      </c>
      <c r="O151" s="685" t="str">
        <f t="shared" si="114"/>
        <v/>
      </c>
      <c r="P151" s="511" t="str">
        <f t="shared" si="110"/>
        <v>-</v>
      </c>
      <c r="Q151" s="6" t="str">
        <f t="shared" si="104"/>
        <v>-</v>
      </c>
    </row>
    <row r="152" spans="1:17" ht="15.75" customHeight="1" x14ac:dyDescent="0.25">
      <c r="A152" s="870"/>
      <c r="B152" s="823" t="str">
        <f>IF($B$28="OTHER (RENAME)","OTHER",$B$28)</f>
        <v>OTHER</v>
      </c>
      <c r="C152" s="19" t="s">
        <v>21</v>
      </c>
      <c r="D152" s="549"/>
      <c r="E152" s="549"/>
      <c r="F152" s="549"/>
      <c r="G152" s="549"/>
      <c r="H152" s="549"/>
      <c r="I152" s="549"/>
      <c r="J152" s="549"/>
      <c r="K152" s="549"/>
      <c r="L152" s="549"/>
      <c r="M152" s="549"/>
      <c r="N152" s="549"/>
      <c r="O152" s="550"/>
      <c r="P152" s="512" t="str">
        <f t="shared" si="110"/>
        <v>-</v>
      </c>
      <c r="Q152" s="4" t="str">
        <f t="shared" ref="Q152:Q153" si="115">IF(SUM(D152:O152)=0,"-",SUM(D152:O152))</f>
        <v>-</v>
      </c>
    </row>
    <row r="153" spans="1:17" ht="15.75" customHeight="1" x14ac:dyDescent="0.25">
      <c r="A153" s="870"/>
      <c r="B153" s="824"/>
      <c r="C153" s="20" t="s">
        <v>22</v>
      </c>
      <c r="D153" s="687" t="str">
        <f>IF(D152="","",D$131*D152*24)</f>
        <v/>
      </c>
      <c r="E153" s="687" t="str">
        <f t="shared" ref="E153:O153" si="116">IF(E152="","",E$131*E152*24)</f>
        <v/>
      </c>
      <c r="F153" s="687" t="str">
        <f t="shared" si="116"/>
        <v/>
      </c>
      <c r="G153" s="687" t="str">
        <f t="shared" si="116"/>
        <v/>
      </c>
      <c r="H153" s="687" t="str">
        <f t="shared" si="116"/>
        <v/>
      </c>
      <c r="I153" s="687" t="str">
        <f t="shared" si="116"/>
        <v/>
      </c>
      <c r="J153" s="687" t="str">
        <f t="shared" si="116"/>
        <v/>
      </c>
      <c r="K153" s="687" t="str">
        <f t="shared" si="116"/>
        <v/>
      </c>
      <c r="L153" s="687" t="str">
        <f t="shared" si="116"/>
        <v/>
      </c>
      <c r="M153" s="687" t="str">
        <f t="shared" si="116"/>
        <v/>
      </c>
      <c r="N153" s="687" t="str">
        <f t="shared" si="116"/>
        <v/>
      </c>
      <c r="O153" s="688" t="str">
        <f t="shared" si="116"/>
        <v/>
      </c>
      <c r="P153" s="511" t="str">
        <f t="shared" si="110"/>
        <v>-</v>
      </c>
      <c r="Q153" s="6" t="str">
        <f t="shared" si="115"/>
        <v>-</v>
      </c>
    </row>
    <row r="154" spans="1:17" ht="15.75" x14ac:dyDescent="0.25">
      <c r="A154" s="870"/>
      <c r="B154" s="823" t="str">
        <f>IF($B$30="OTHER (RENAME)","OTHER",$B$30)</f>
        <v>OTHER</v>
      </c>
      <c r="C154" s="16" t="s">
        <v>21</v>
      </c>
      <c r="D154" s="549"/>
      <c r="E154" s="549"/>
      <c r="F154" s="549"/>
      <c r="G154" s="549"/>
      <c r="H154" s="549"/>
      <c r="I154" s="549"/>
      <c r="J154" s="549"/>
      <c r="K154" s="549"/>
      <c r="L154" s="549"/>
      <c r="M154" s="549"/>
      <c r="N154" s="549"/>
      <c r="O154" s="550"/>
      <c r="P154" s="512" t="str">
        <f t="shared" si="110"/>
        <v>-</v>
      </c>
      <c r="Q154" s="4" t="str">
        <f t="shared" ref="Q154:Q159" si="117">IF(SUM(D154:O154)=0,"-",SUM(D154:O154))</f>
        <v>-</v>
      </c>
    </row>
    <row r="155" spans="1:17" ht="15.75" x14ac:dyDescent="0.25">
      <c r="A155" s="870"/>
      <c r="B155" s="824"/>
      <c r="C155" s="17" t="s">
        <v>22</v>
      </c>
      <c r="D155" s="687" t="str">
        <f>IF(D154="","",D$131*D154*24)</f>
        <v/>
      </c>
      <c r="E155" s="687" t="str">
        <f t="shared" ref="E155:O155" si="118">IF(E154="","",E$131*E154*24)</f>
        <v/>
      </c>
      <c r="F155" s="687" t="str">
        <f t="shared" si="118"/>
        <v/>
      </c>
      <c r="G155" s="687" t="str">
        <f t="shared" si="118"/>
        <v/>
      </c>
      <c r="H155" s="687" t="str">
        <f t="shared" si="118"/>
        <v/>
      </c>
      <c r="I155" s="687" t="str">
        <f t="shared" si="118"/>
        <v/>
      </c>
      <c r="J155" s="687" t="str">
        <f t="shared" si="118"/>
        <v/>
      </c>
      <c r="K155" s="687" t="str">
        <f t="shared" si="118"/>
        <v/>
      </c>
      <c r="L155" s="687" t="str">
        <f t="shared" si="118"/>
        <v/>
      </c>
      <c r="M155" s="687" t="str">
        <f t="shared" si="118"/>
        <v/>
      </c>
      <c r="N155" s="687" t="str">
        <f t="shared" si="118"/>
        <v/>
      </c>
      <c r="O155" s="688" t="str">
        <f t="shared" si="118"/>
        <v/>
      </c>
      <c r="P155" s="511" t="str">
        <f t="shared" si="110"/>
        <v>-</v>
      </c>
      <c r="Q155" s="6" t="str">
        <f t="shared" si="117"/>
        <v>-</v>
      </c>
    </row>
    <row r="156" spans="1:17" ht="15.75" x14ac:dyDescent="0.25">
      <c r="A156" s="870"/>
      <c r="B156" s="823" t="str">
        <f>IF($B$32="OTHER (RENAME)","OTHER",$B$32)</f>
        <v>OTHER</v>
      </c>
      <c r="C156" s="16" t="s">
        <v>21</v>
      </c>
      <c r="D156" s="549"/>
      <c r="E156" s="549"/>
      <c r="F156" s="549"/>
      <c r="G156" s="549"/>
      <c r="H156" s="549"/>
      <c r="I156" s="549"/>
      <c r="J156" s="549"/>
      <c r="K156" s="549"/>
      <c r="L156" s="549"/>
      <c r="M156" s="549"/>
      <c r="N156" s="549"/>
      <c r="O156" s="550"/>
      <c r="P156" s="512" t="str">
        <f t="shared" si="110"/>
        <v>-</v>
      </c>
      <c r="Q156" s="4" t="str">
        <f t="shared" si="117"/>
        <v>-</v>
      </c>
    </row>
    <row r="157" spans="1:17" ht="15.75" x14ac:dyDescent="0.25">
      <c r="A157" s="870"/>
      <c r="B157" s="824"/>
      <c r="C157" s="17" t="s">
        <v>22</v>
      </c>
      <c r="D157" s="687" t="str">
        <f>IF(D156="","",D$131*D156*24)</f>
        <v/>
      </c>
      <c r="E157" s="687" t="str">
        <f t="shared" ref="E157:O157" si="119">IF(E156="","",E$131*E156*24)</f>
        <v/>
      </c>
      <c r="F157" s="687" t="str">
        <f t="shared" si="119"/>
        <v/>
      </c>
      <c r="G157" s="687" t="str">
        <f t="shared" si="119"/>
        <v/>
      </c>
      <c r="H157" s="687" t="str">
        <f t="shared" si="119"/>
        <v/>
      </c>
      <c r="I157" s="687" t="str">
        <f t="shared" si="119"/>
        <v/>
      </c>
      <c r="J157" s="687" t="str">
        <f t="shared" si="119"/>
        <v/>
      </c>
      <c r="K157" s="687" t="str">
        <f t="shared" si="119"/>
        <v/>
      </c>
      <c r="L157" s="687" t="str">
        <f t="shared" si="119"/>
        <v/>
      </c>
      <c r="M157" s="687" t="str">
        <f t="shared" si="119"/>
        <v/>
      </c>
      <c r="N157" s="687" t="str">
        <f t="shared" si="119"/>
        <v/>
      </c>
      <c r="O157" s="688" t="str">
        <f t="shared" si="119"/>
        <v/>
      </c>
      <c r="P157" s="511" t="str">
        <f t="shared" si="110"/>
        <v>-</v>
      </c>
      <c r="Q157" s="6" t="str">
        <f t="shared" si="117"/>
        <v>-</v>
      </c>
    </row>
    <row r="158" spans="1:17" ht="15.75" x14ac:dyDescent="0.25">
      <c r="A158" s="870"/>
      <c r="B158" s="823" t="str">
        <f>IF($B$34="OTHER (RENAME)","OTHER",$B$34)</f>
        <v>OTHER</v>
      </c>
      <c r="C158" s="16" t="s">
        <v>21</v>
      </c>
      <c r="D158" s="549"/>
      <c r="E158" s="549"/>
      <c r="F158" s="549"/>
      <c r="G158" s="549"/>
      <c r="H158" s="549"/>
      <c r="I158" s="549"/>
      <c r="J158" s="549"/>
      <c r="K158" s="549"/>
      <c r="L158" s="549"/>
      <c r="M158" s="549"/>
      <c r="N158" s="549"/>
      <c r="O158" s="550"/>
      <c r="P158" s="512" t="str">
        <f t="shared" si="110"/>
        <v>-</v>
      </c>
      <c r="Q158" s="4" t="str">
        <f t="shared" si="117"/>
        <v>-</v>
      </c>
    </row>
    <row r="159" spans="1:17" ht="15.75" x14ac:dyDescent="0.25">
      <c r="A159" s="870"/>
      <c r="B159" s="824"/>
      <c r="C159" s="17" t="s">
        <v>22</v>
      </c>
      <c r="D159" s="687" t="str">
        <f>IF(D158="","",D$131*D158*24)</f>
        <v/>
      </c>
      <c r="E159" s="687" t="str">
        <f t="shared" ref="E159:O159" si="120">IF(E158="","",E$131*E158*24)</f>
        <v/>
      </c>
      <c r="F159" s="687" t="str">
        <f t="shared" si="120"/>
        <v/>
      </c>
      <c r="G159" s="687" t="str">
        <f t="shared" si="120"/>
        <v/>
      </c>
      <c r="H159" s="687" t="str">
        <f t="shared" si="120"/>
        <v/>
      </c>
      <c r="I159" s="687" t="str">
        <f t="shared" si="120"/>
        <v/>
      </c>
      <c r="J159" s="687" t="str">
        <f t="shared" si="120"/>
        <v/>
      </c>
      <c r="K159" s="687" t="str">
        <f t="shared" si="120"/>
        <v/>
      </c>
      <c r="L159" s="687" t="str">
        <f t="shared" si="120"/>
        <v/>
      </c>
      <c r="M159" s="687" t="str">
        <f t="shared" si="120"/>
        <v/>
      </c>
      <c r="N159" s="687" t="str">
        <f t="shared" si="120"/>
        <v/>
      </c>
      <c r="O159" s="688" t="str">
        <f t="shared" si="120"/>
        <v/>
      </c>
      <c r="P159" s="511" t="str">
        <f t="shared" si="110"/>
        <v>-</v>
      </c>
      <c r="Q159" s="6" t="str">
        <f t="shared" si="117"/>
        <v>-</v>
      </c>
    </row>
    <row r="160" spans="1:17" ht="15.75" customHeight="1" x14ac:dyDescent="0.25">
      <c r="A160" s="870"/>
      <c r="B160" s="979" t="s">
        <v>16</v>
      </c>
      <c r="C160" s="833"/>
      <c r="D160" s="765" t="str">
        <f>IF(SUM(D132,D134,D136,D138,D140,D142,D144,D146,D148,D150,D152,D154,D156,D158)=0,"",SUM(D132,D134,D136,D138,D140,D142,D144,D146,D148,D150,D152,D154,D156,D158))</f>
        <v/>
      </c>
      <c r="E160" s="765" t="str">
        <f t="shared" ref="E160:O160" si="121">IF(SUM(E132,E134,E136,E138,E140,E142,E144,E146,E148,E150,E152,E154,E156,E158)=0,"",SUM(E132,E134,E136,E138,E140,E142,E144,E146,E148,E150,E152,E154,E156,E158))</f>
        <v/>
      </c>
      <c r="F160" s="765" t="str">
        <f t="shared" si="121"/>
        <v/>
      </c>
      <c r="G160" s="765" t="str">
        <f t="shared" si="121"/>
        <v/>
      </c>
      <c r="H160" s="765" t="str">
        <f t="shared" si="121"/>
        <v/>
      </c>
      <c r="I160" s="765" t="str">
        <f t="shared" si="121"/>
        <v/>
      </c>
      <c r="J160" s="765" t="str">
        <f t="shared" si="121"/>
        <v/>
      </c>
      <c r="K160" s="765" t="str">
        <f t="shared" si="121"/>
        <v/>
      </c>
      <c r="L160" s="765" t="str">
        <f t="shared" si="121"/>
        <v/>
      </c>
      <c r="M160" s="765" t="str">
        <f t="shared" si="121"/>
        <v/>
      </c>
      <c r="N160" s="765" t="str">
        <f t="shared" si="121"/>
        <v/>
      </c>
      <c r="O160" s="766" t="str">
        <f t="shared" si="121"/>
        <v/>
      </c>
      <c r="P160" s="512" t="str">
        <f t="shared" si="110"/>
        <v>-</v>
      </c>
      <c r="Q160" s="4" t="str">
        <f>IF(SUM(D160:O160)=0,"-",SUM(D160:O160))</f>
        <v>-</v>
      </c>
    </row>
    <row r="161" spans="1:17" ht="15.75" customHeight="1" thickBot="1" x14ac:dyDescent="0.3">
      <c r="A161" s="871"/>
      <c r="B161" s="980" t="s">
        <v>17</v>
      </c>
      <c r="C161" s="835"/>
      <c r="D161" s="767" t="str">
        <f>IF(D160="","",SUM(D133,D135,D137,D139,D141,D143,D145,D147,D149,D151,D153,D155,D157,D159))</f>
        <v/>
      </c>
      <c r="E161" s="767" t="str">
        <f t="shared" ref="E161" si="122">IF(E160="","",SUM(E133,E135,E137,E139,E141,E143,E145,E147,E149,E151,E153,E155,E157,E159))</f>
        <v/>
      </c>
      <c r="F161" s="768" t="str">
        <f t="shared" ref="F161" si="123">IF(F160="","",SUM(F133,F135,F137,F139,F141,F143,F145,F147,F149,F151,F153,F155,F157,F159))</f>
        <v/>
      </c>
      <c r="G161" s="767" t="str">
        <f t="shared" ref="G161" si="124">IF(G160="","",SUM(G133,G135,G137,G139,G141,G143,G145,G147,G149,G151,G153,G155,G157,G159))</f>
        <v/>
      </c>
      <c r="H161" s="767" t="str">
        <f t="shared" ref="H161" si="125">IF(H160="","",SUM(H133,H135,H137,H139,H141,H143,H145,H147,H149,H151,H153,H155,H157,H159))</f>
        <v/>
      </c>
      <c r="I161" s="767" t="str">
        <f t="shared" ref="I161" si="126">IF(I160="","",SUM(I133,I135,I137,I139,I141,I143,I145,I147,I149,I151,I153,I155,I157,I159))</f>
        <v/>
      </c>
      <c r="J161" s="767" t="str">
        <f t="shared" ref="J161" si="127">IF(J160="","",SUM(J133,J135,J137,J139,J141,J143,J145,J147,J149,J151,J153,J155,J157,J159))</f>
        <v/>
      </c>
      <c r="K161" s="767" t="str">
        <f t="shared" ref="K161" si="128">IF(K160="","",SUM(K133,K135,K137,K139,K141,K143,K145,K147,K149,K151,K153,K155,K157,K159))</f>
        <v/>
      </c>
      <c r="L161" s="767" t="str">
        <f t="shared" ref="L161" si="129">IF(L160="","",SUM(L133,L135,L137,L139,L141,L143,L145,L147,L149,L151,L153,L155,L157,L159))</f>
        <v/>
      </c>
      <c r="M161" s="767" t="str">
        <f t="shared" ref="M161" si="130">IF(M160="","",SUM(M133,M135,M137,M139,M141,M143,M145,M147,M149,M151,M153,M155,M157,M159))</f>
        <v/>
      </c>
      <c r="N161" s="767" t="str">
        <f t="shared" ref="N161" si="131">IF(N160="","",SUM(N133,N135,N137,N139,N141,N143,N145,N147,N149,N151,N153,N155,N157,N159))</f>
        <v/>
      </c>
      <c r="O161" s="769" t="str">
        <f t="shared" ref="O161" si="132">IF(O160="","",SUM(O133,O135,O137,O139,O141,O143,O145,O147,O149,O151,O153,O155,O157,O159))</f>
        <v/>
      </c>
      <c r="P161" s="525" t="str">
        <f t="shared" si="110"/>
        <v>-</v>
      </c>
      <c r="Q161" s="7" t="str">
        <f>IF(SUM(D161:O161)=0,"-",SUM(D161:O161))</f>
        <v>-</v>
      </c>
    </row>
    <row r="162" spans="1:17" ht="15.75" customHeight="1" x14ac:dyDescent="0.25">
      <c r="A162" s="866" t="s">
        <v>111</v>
      </c>
      <c r="B162" s="878" t="s">
        <v>3</v>
      </c>
      <c r="C162" s="879"/>
      <c r="D162" s="547" t="str">
        <f>IF('2026DATA'!CJ3=0,"",'2026DATA'!CJ3)</f>
        <v/>
      </c>
      <c r="E162" s="547" t="str">
        <f>IF('2026DATA'!CK3=0,"",'2026DATA'!CK3)</f>
        <v/>
      </c>
      <c r="F162" s="547" t="str">
        <f>IF('2026DATA'!CL3=0,"",'2026DATA'!CL3)</f>
        <v/>
      </c>
      <c r="G162" s="547" t="str">
        <f>IF('2026DATA'!CM3=0,"",'2026DATA'!CM3)</f>
        <v/>
      </c>
      <c r="H162" s="547" t="str">
        <f>IF('2026DATA'!CN3=0,"",'2026DATA'!CN3)</f>
        <v/>
      </c>
      <c r="I162" s="547" t="str">
        <f>IF('2026DATA'!CO3=0,"",'2026DATA'!CO3)</f>
        <v/>
      </c>
      <c r="J162" s="547" t="str">
        <f>IF('2026DATA'!CP3=0,"",'2026DATA'!CP3)</f>
        <v/>
      </c>
      <c r="K162" s="547" t="str">
        <f>IF('2026DATA'!CQ3=0,"",'2026DATA'!CQ3)</f>
        <v/>
      </c>
      <c r="L162" s="547" t="str">
        <f>IF('2026DATA'!CR3=0,"",'2026DATA'!CR3)</f>
        <v/>
      </c>
      <c r="M162" s="547" t="str">
        <f>IF('2026DATA'!CS3=0,"",'2026DATA'!CS3)</f>
        <v/>
      </c>
      <c r="N162" s="547" t="str">
        <f>IF('2026DATA'!CT3=0,"",'2026DATA'!CT3)</f>
        <v/>
      </c>
      <c r="O162" s="548" t="str">
        <f>IF('2026DATA'!CU3=0,"",'2026DATA'!CU3)</f>
        <v/>
      </c>
      <c r="P162" s="880"/>
      <c r="Q162" s="881"/>
    </row>
    <row r="163" spans="1:17" ht="15.75" customHeight="1" x14ac:dyDescent="0.25">
      <c r="A163" s="867"/>
      <c r="B163" s="823" t="s">
        <v>7</v>
      </c>
      <c r="C163" s="16" t="s">
        <v>21</v>
      </c>
      <c r="D163" s="549"/>
      <c r="E163" s="549"/>
      <c r="F163" s="549"/>
      <c r="G163" s="549"/>
      <c r="H163" s="549"/>
      <c r="I163" s="549"/>
      <c r="J163" s="549"/>
      <c r="K163" s="549"/>
      <c r="L163" s="549"/>
      <c r="M163" s="549"/>
      <c r="N163" s="549"/>
      <c r="O163" s="550"/>
      <c r="P163" s="512" t="str">
        <f t="shared" ref="P163:P172" si="133">IF(Q163="-","-",Q163/12)</f>
        <v>-</v>
      </c>
      <c r="Q163" s="4" t="str">
        <f t="shared" ref="Q163:Q182" si="134">IF(SUM(D163:O163)=0,"-",SUM(D163:O163))</f>
        <v>-</v>
      </c>
    </row>
    <row r="164" spans="1:17" ht="15.75" customHeight="1" x14ac:dyDescent="0.25">
      <c r="A164" s="867"/>
      <c r="B164" s="824"/>
      <c r="C164" s="17" t="s">
        <v>22</v>
      </c>
      <c r="D164" s="683" t="str">
        <f>IF(D162="","",D$162*D163*24)</f>
        <v/>
      </c>
      <c r="E164" s="683" t="str">
        <f t="shared" ref="E164:O164" si="135">IF(E162="","",E$162*E163*24)</f>
        <v/>
      </c>
      <c r="F164" s="683" t="str">
        <f t="shared" si="135"/>
        <v/>
      </c>
      <c r="G164" s="683" t="str">
        <f t="shared" si="135"/>
        <v/>
      </c>
      <c r="H164" s="683" t="str">
        <f t="shared" si="135"/>
        <v/>
      </c>
      <c r="I164" s="683" t="str">
        <f t="shared" si="135"/>
        <v/>
      </c>
      <c r="J164" s="683" t="str">
        <f t="shared" si="135"/>
        <v/>
      </c>
      <c r="K164" s="683" t="str">
        <f t="shared" si="135"/>
        <v/>
      </c>
      <c r="L164" s="683" t="str">
        <f t="shared" si="135"/>
        <v/>
      </c>
      <c r="M164" s="683" t="str">
        <f t="shared" si="135"/>
        <v/>
      </c>
      <c r="N164" s="683" t="str">
        <f t="shared" si="135"/>
        <v/>
      </c>
      <c r="O164" s="686" t="str">
        <f t="shared" si="135"/>
        <v/>
      </c>
      <c r="P164" s="511" t="str">
        <f t="shared" si="133"/>
        <v>-</v>
      </c>
      <c r="Q164" s="6" t="str">
        <f t="shared" si="134"/>
        <v>-</v>
      </c>
    </row>
    <row r="165" spans="1:17" ht="15.75" customHeight="1" x14ac:dyDescent="0.25">
      <c r="A165" s="867"/>
      <c r="B165" s="823" t="s">
        <v>8</v>
      </c>
      <c r="C165" s="18" t="s">
        <v>21</v>
      </c>
      <c r="D165" s="549"/>
      <c r="E165" s="549"/>
      <c r="F165" s="549"/>
      <c r="G165" s="549"/>
      <c r="H165" s="549"/>
      <c r="I165" s="549"/>
      <c r="J165" s="549"/>
      <c r="K165" s="549"/>
      <c r="L165" s="549"/>
      <c r="M165" s="549"/>
      <c r="N165" s="549"/>
      <c r="O165" s="550"/>
      <c r="P165" s="512" t="str">
        <f t="shared" si="133"/>
        <v>-</v>
      </c>
      <c r="Q165" s="4" t="str">
        <f t="shared" si="134"/>
        <v>-</v>
      </c>
    </row>
    <row r="166" spans="1:17" ht="15.75" customHeight="1" x14ac:dyDescent="0.25">
      <c r="A166" s="867"/>
      <c r="B166" s="824"/>
      <c r="C166" s="18" t="s">
        <v>22</v>
      </c>
      <c r="D166" s="683" t="str">
        <f>IF(D165=0,"",(D162+IF(D$4="CA",DATA!$B$22,DATA!$B$23))*D165*24)</f>
        <v/>
      </c>
      <c r="E166" s="683" t="str">
        <f>IF(E165=0,"",(E162+IF(E$4="CA",DATA!$B$22,DATA!$B$23))*E165*24)</f>
        <v/>
      </c>
      <c r="F166" s="683" t="str">
        <f>IF(F165=0,"",(F162+IF(F$4="CA",DATA!$B$22,DATA!$B$23))*F165*24)</f>
        <v/>
      </c>
      <c r="G166" s="683" t="str">
        <f>IF(G165=0,"",(G162+IF(G$4="CA",DATA!$B$22,DATA!$B$23))*G165*24)</f>
        <v/>
      </c>
      <c r="H166" s="683" t="str">
        <f>IF(H165=0,"",(H162+IF(H$4="CA",DATA!$B$22,DATA!$B$23))*H165*24)</f>
        <v/>
      </c>
      <c r="I166" s="683" t="str">
        <f>IF(I165=0,"",(I162+IF(I$4="CA",DATA!$B$22,DATA!$B$23))*I165*24)</f>
        <v/>
      </c>
      <c r="J166" s="683" t="str">
        <f>IF(J165=0,"",(J162+IF(J$4="CA",DATA!$B$22,DATA!$B$23))*J165*24)</f>
        <v/>
      </c>
      <c r="K166" s="683" t="str">
        <f>IF(K165=0,"",(K162+IF(K$4="CA",DATA!$B$22,DATA!$B$23))*K165*24)</f>
        <v/>
      </c>
      <c r="L166" s="683" t="str">
        <f>IF(L165=0,"",(L162+IF(L$4="CA",DATA!$B$22,DATA!$B$23))*L165*24)</f>
        <v/>
      </c>
      <c r="M166" s="683" t="str">
        <f>IF(M165=0,"",(M162+IF(M$4="CA",DATA!$B$22,DATA!$B$23))*M165*24)</f>
        <v/>
      </c>
      <c r="N166" s="683" t="str">
        <f>IF(N165=0,"",(N162+IF(N$4="CA",DATA!$B$22,DATA!$B$23))*N165*24)</f>
        <v/>
      </c>
      <c r="O166" s="686" t="str">
        <f>IF(O165=0,"",(O162+IF(O$4="CA",DATA!$B$22,DATA!$B$23))*O165*24)</f>
        <v/>
      </c>
      <c r="P166" s="511" t="str">
        <f t="shared" si="133"/>
        <v>-</v>
      </c>
      <c r="Q166" s="6" t="str">
        <f t="shared" si="134"/>
        <v>-</v>
      </c>
    </row>
    <row r="167" spans="1:17" ht="15.75" customHeight="1" x14ac:dyDescent="0.25">
      <c r="A167" s="867"/>
      <c r="B167" s="823" t="s">
        <v>9</v>
      </c>
      <c r="C167" s="16" t="s">
        <v>21</v>
      </c>
      <c r="D167" s="549"/>
      <c r="E167" s="549"/>
      <c r="F167" s="549"/>
      <c r="G167" s="549"/>
      <c r="H167" s="549"/>
      <c r="I167" s="549"/>
      <c r="J167" s="549"/>
      <c r="K167" s="549"/>
      <c r="L167" s="549"/>
      <c r="M167" s="549"/>
      <c r="N167" s="549"/>
      <c r="O167" s="550"/>
      <c r="P167" s="512" t="str">
        <f t="shared" si="133"/>
        <v>-</v>
      </c>
      <c r="Q167" s="4" t="str">
        <f t="shared" si="134"/>
        <v>-</v>
      </c>
    </row>
    <row r="168" spans="1:17" ht="15.75" customHeight="1" x14ac:dyDescent="0.25">
      <c r="A168" s="867"/>
      <c r="B168" s="824"/>
      <c r="C168" s="17" t="s">
        <v>22</v>
      </c>
      <c r="D168" s="683" t="str">
        <f>IF(D166="","",D$162*D167*24)</f>
        <v/>
      </c>
      <c r="E168" s="683" t="str">
        <f t="shared" ref="E168:O168" si="136">IF(E166="","",E$162*E167*24)</f>
        <v/>
      </c>
      <c r="F168" s="683" t="str">
        <f t="shared" si="136"/>
        <v/>
      </c>
      <c r="G168" s="683" t="str">
        <f t="shared" si="136"/>
        <v/>
      </c>
      <c r="H168" s="683" t="str">
        <f t="shared" si="136"/>
        <v/>
      </c>
      <c r="I168" s="683" t="str">
        <f t="shared" si="136"/>
        <v/>
      </c>
      <c r="J168" s="683" t="str">
        <f t="shared" si="136"/>
        <v/>
      </c>
      <c r="K168" s="683" t="str">
        <f t="shared" si="136"/>
        <v/>
      </c>
      <c r="L168" s="683" t="str">
        <f t="shared" si="136"/>
        <v/>
      </c>
      <c r="M168" s="683" t="str">
        <f t="shared" si="136"/>
        <v/>
      </c>
      <c r="N168" s="683" t="str">
        <f t="shared" si="136"/>
        <v/>
      </c>
      <c r="O168" s="686" t="str">
        <f t="shared" si="136"/>
        <v/>
      </c>
      <c r="P168" s="511" t="str">
        <f t="shared" si="133"/>
        <v>-</v>
      </c>
      <c r="Q168" s="6" t="str">
        <f t="shared" si="134"/>
        <v>-</v>
      </c>
    </row>
    <row r="169" spans="1:17" ht="15.75" customHeight="1" x14ac:dyDescent="0.25">
      <c r="A169" s="867"/>
      <c r="B169" s="823" t="s">
        <v>10</v>
      </c>
      <c r="C169" s="18" t="s">
        <v>21</v>
      </c>
      <c r="D169" s="549"/>
      <c r="E169" s="549"/>
      <c r="F169" s="549"/>
      <c r="G169" s="549"/>
      <c r="H169" s="549"/>
      <c r="I169" s="549"/>
      <c r="J169" s="549"/>
      <c r="K169" s="549"/>
      <c r="L169" s="549"/>
      <c r="M169" s="549"/>
      <c r="N169" s="549"/>
      <c r="O169" s="550"/>
      <c r="P169" s="512" t="str">
        <f t="shared" si="133"/>
        <v>-</v>
      </c>
      <c r="Q169" s="4" t="str">
        <f t="shared" si="134"/>
        <v>-</v>
      </c>
    </row>
    <row r="170" spans="1:17" ht="15.75" customHeight="1" x14ac:dyDescent="0.25">
      <c r="A170" s="867"/>
      <c r="B170" s="824"/>
      <c r="C170" s="18" t="s">
        <v>22</v>
      </c>
      <c r="D170" s="683" t="str">
        <f>IF(D168="","",D$162*D169*24)</f>
        <v/>
      </c>
      <c r="E170" s="683" t="str">
        <f t="shared" ref="E170:O170" si="137">IF(E168="","",E$162*E169*24)</f>
        <v/>
      </c>
      <c r="F170" s="683" t="str">
        <f t="shared" si="137"/>
        <v/>
      </c>
      <c r="G170" s="683" t="str">
        <f t="shared" si="137"/>
        <v/>
      </c>
      <c r="H170" s="683" t="str">
        <f t="shared" si="137"/>
        <v/>
      </c>
      <c r="I170" s="683" t="str">
        <f t="shared" si="137"/>
        <v/>
      </c>
      <c r="J170" s="683" t="str">
        <f t="shared" si="137"/>
        <v/>
      </c>
      <c r="K170" s="683" t="str">
        <f t="shared" si="137"/>
        <v/>
      </c>
      <c r="L170" s="683" t="str">
        <f t="shared" si="137"/>
        <v/>
      </c>
      <c r="M170" s="683" t="str">
        <f t="shared" si="137"/>
        <v/>
      </c>
      <c r="N170" s="683" t="str">
        <f t="shared" si="137"/>
        <v/>
      </c>
      <c r="O170" s="686" t="str">
        <f t="shared" si="137"/>
        <v/>
      </c>
      <c r="P170" s="511" t="str">
        <f t="shared" si="133"/>
        <v>-</v>
      </c>
      <c r="Q170" s="6" t="str">
        <f t="shared" si="134"/>
        <v>-</v>
      </c>
    </row>
    <row r="171" spans="1:17" ht="15.75" customHeight="1" x14ac:dyDescent="0.25">
      <c r="A171" s="867"/>
      <c r="B171" s="823" t="s">
        <v>11</v>
      </c>
      <c r="C171" s="16" t="s">
        <v>21</v>
      </c>
      <c r="D171" s="549"/>
      <c r="E171" s="549"/>
      <c r="F171" s="549"/>
      <c r="G171" s="549"/>
      <c r="H171" s="549"/>
      <c r="I171" s="549"/>
      <c r="J171" s="549"/>
      <c r="K171" s="549"/>
      <c r="L171" s="549"/>
      <c r="M171" s="549"/>
      <c r="N171" s="549"/>
      <c r="O171" s="550"/>
      <c r="P171" s="512" t="str">
        <f t="shared" si="133"/>
        <v>-</v>
      </c>
      <c r="Q171" s="4" t="str">
        <f t="shared" si="134"/>
        <v>-</v>
      </c>
    </row>
    <row r="172" spans="1:17" ht="15.75" customHeight="1" x14ac:dyDescent="0.25">
      <c r="A172" s="867"/>
      <c r="B172" s="824"/>
      <c r="C172" s="17" t="s">
        <v>22</v>
      </c>
      <c r="D172" s="683" t="str">
        <f>IF(D170="","",D$162*D171*24)</f>
        <v/>
      </c>
      <c r="E172" s="683" t="str">
        <f t="shared" ref="E172:O172" si="138">IF(E170="","",E$162*E171*24)</f>
        <v/>
      </c>
      <c r="F172" s="683" t="str">
        <f t="shared" si="138"/>
        <v/>
      </c>
      <c r="G172" s="683" t="str">
        <f t="shared" si="138"/>
        <v/>
      </c>
      <c r="H172" s="683" t="str">
        <f t="shared" si="138"/>
        <v/>
      </c>
      <c r="I172" s="683" t="str">
        <f t="shared" si="138"/>
        <v/>
      </c>
      <c r="J172" s="683" t="str">
        <f t="shared" si="138"/>
        <v/>
      </c>
      <c r="K172" s="683" t="str">
        <f t="shared" si="138"/>
        <v/>
      </c>
      <c r="L172" s="683" t="str">
        <f t="shared" si="138"/>
        <v/>
      </c>
      <c r="M172" s="683" t="str">
        <f t="shared" si="138"/>
        <v/>
      </c>
      <c r="N172" s="683" t="str">
        <f t="shared" si="138"/>
        <v/>
      </c>
      <c r="O172" s="686" t="str">
        <f t="shared" si="138"/>
        <v/>
      </c>
      <c r="P172" s="511" t="str">
        <f t="shared" si="133"/>
        <v>-</v>
      </c>
      <c r="Q172" s="6" t="str">
        <f t="shared" si="134"/>
        <v>-</v>
      </c>
    </row>
    <row r="173" spans="1:17" ht="15.75" customHeight="1" x14ac:dyDescent="0.25">
      <c r="A173" s="867"/>
      <c r="B173" s="823" t="s">
        <v>12</v>
      </c>
      <c r="C173" s="18" t="s">
        <v>21</v>
      </c>
      <c r="D173" s="549"/>
      <c r="E173" s="549"/>
      <c r="F173" s="549"/>
      <c r="G173" s="549"/>
      <c r="H173" s="549"/>
      <c r="I173" s="549"/>
      <c r="J173" s="549"/>
      <c r="K173" s="549"/>
      <c r="L173" s="549"/>
      <c r="M173" s="549"/>
      <c r="N173" s="549"/>
      <c r="O173" s="550"/>
      <c r="P173" s="512" t="str">
        <f>IF(Q173="-","-",Q173/12)</f>
        <v>-</v>
      </c>
      <c r="Q173" s="4" t="str">
        <f t="shared" si="134"/>
        <v>-</v>
      </c>
    </row>
    <row r="174" spans="1:17" ht="15.75" customHeight="1" x14ac:dyDescent="0.25">
      <c r="A174" s="867"/>
      <c r="B174" s="824"/>
      <c r="C174" s="18" t="s">
        <v>22</v>
      </c>
      <c r="D174" s="683" t="str">
        <f>IF(D172="","",D$162*D173*24)</f>
        <v/>
      </c>
      <c r="E174" s="683" t="str">
        <f t="shared" ref="E174:O174" si="139">IF(E172="","",E$162*E173*24)</f>
        <v/>
      </c>
      <c r="F174" s="683" t="str">
        <f t="shared" si="139"/>
        <v/>
      </c>
      <c r="G174" s="683" t="str">
        <f t="shared" si="139"/>
        <v/>
      </c>
      <c r="H174" s="683" t="str">
        <f t="shared" si="139"/>
        <v/>
      </c>
      <c r="I174" s="683" t="str">
        <f t="shared" si="139"/>
        <v/>
      </c>
      <c r="J174" s="683" t="str">
        <f t="shared" si="139"/>
        <v/>
      </c>
      <c r="K174" s="683" t="str">
        <f t="shared" si="139"/>
        <v/>
      </c>
      <c r="L174" s="683" t="str">
        <f t="shared" si="139"/>
        <v/>
      </c>
      <c r="M174" s="683" t="str">
        <f t="shared" si="139"/>
        <v/>
      </c>
      <c r="N174" s="683" t="str">
        <f t="shared" si="139"/>
        <v/>
      </c>
      <c r="O174" s="686" t="str">
        <f t="shared" si="139"/>
        <v/>
      </c>
      <c r="P174" s="511" t="str">
        <f t="shared" ref="P174:P220" si="140">IF(Q174="-","-",Q174/12)</f>
        <v>-</v>
      </c>
      <c r="Q174" s="6" t="str">
        <f t="shared" si="134"/>
        <v>-</v>
      </c>
    </row>
    <row r="175" spans="1:17" ht="15.75" customHeight="1" x14ac:dyDescent="0.25">
      <c r="A175" s="867"/>
      <c r="B175" s="823" t="s">
        <v>15</v>
      </c>
      <c r="C175" s="16" t="s">
        <v>21</v>
      </c>
      <c r="D175" s="549"/>
      <c r="E175" s="549"/>
      <c r="F175" s="549"/>
      <c r="G175" s="549"/>
      <c r="H175" s="549"/>
      <c r="I175" s="549"/>
      <c r="J175" s="549"/>
      <c r="K175" s="549"/>
      <c r="L175" s="549"/>
      <c r="M175" s="549"/>
      <c r="N175" s="549"/>
      <c r="O175" s="550"/>
      <c r="P175" s="512" t="str">
        <f t="shared" si="140"/>
        <v>-</v>
      </c>
      <c r="Q175" s="4" t="str">
        <f t="shared" si="134"/>
        <v>-</v>
      </c>
    </row>
    <row r="176" spans="1:17" ht="15.75" customHeight="1" x14ac:dyDescent="0.25">
      <c r="A176" s="867"/>
      <c r="B176" s="824"/>
      <c r="C176" s="17" t="s">
        <v>22</v>
      </c>
      <c r="D176" s="683" t="str">
        <f>IF(D174="","",D$162*D175*24)</f>
        <v/>
      </c>
      <c r="E176" s="683" t="str">
        <f t="shared" ref="E176:O176" si="141">IF(E174="","",E$162*E175*24)</f>
        <v/>
      </c>
      <c r="F176" s="683" t="str">
        <f t="shared" si="141"/>
        <v/>
      </c>
      <c r="G176" s="683" t="str">
        <f t="shared" si="141"/>
        <v/>
      </c>
      <c r="H176" s="683" t="str">
        <f t="shared" si="141"/>
        <v/>
      </c>
      <c r="I176" s="683" t="str">
        <f t="shared" si="141"/>
        <v/>
      </c>
      <c r="J176" s="683" t="str">
        <f t="shared" si="141"/>
        <v/>
      </c>
      <c r="K176" s="683" t="str">
        <f t="shared" si="141"/>
        <v/>
      </c>
      <c r="L176" s="683" t="str">
        <f t="shared" si="141"/>
        <v/>
      </c>
      <c r="M176" s="683" t="str">
        <f t="shared" si="141"/>
        <v/>
      </c>
      <c r="N176" s="683" t="str">
        <f t="shared" si="141"/>
        <v/>
      </c>
      <c r="O176" s="686" t="str">
        <f t="shared" si="141"/>
        <v/>
      </c>
      <c r="P176" s="511" t="str">
        <f t="shared" si="140"/>
        <v>-</v>
      </c>
      <c r="Q176" s="6" t="str">
        <f t="shared" si="134"/>
        <v>-</v>
      </c>
    </row>
    <row r="177" spans="1:17" ht="15.75" customHeight="1" x14ac:dyDescent="0.25">
      <c r="A177" s="867"/>
      <c r="B177" s="823" t="s">
        <v>13</v>
      </c>
      <c r="C177" s="18" t="s">
        <v>21</v>
      </c>
      <c r="D177" s="549"/>
      <c r="E177" s="549"/>
      <c r="F177" s="549"/>
      <c r="G177" s="549"/>
      <c r="H177" s="549"/>
      <c r="I177" s="549"/>
      <c r="J177" s="549"/>
      <c r="K177" s="549"/>
      <c r="L177" s="549"/>
      <c r="M177" s="549"/>
      <c r="N177" s="549"/>
      <c r="O177" s="550"/>
      <c r="P177" s="512" t="str">
        <f t="shared" si="140"/>
        <v>-</v>
      </c>
      <c r="Q177" s="4" t="str">
        <f t="shared" si="134"/>
        <v>-</v>
      </c>
    </row>
    <row r="178" spans="1:17" ht="15.75" customHeight="1" x14ac:dyDescent="0.25">
      <c r="A178" s="867"/>
      <c r="B178" s="824"/>
      <c r="C178" s="18" t="s">
        <v>22</v>
      </c>
      <c r="D178" s="683" t="str">
        <f>IF(D176="","",D$162*D177*24)</f>
        <v/>
      </c>
      <c r="E178" s="683" t="str">
        <f t="shared" ref="E178:O178" si="142">IF(E176="","",E$162*E177*24)</f>
        <v/>
      </c>
      <c r="F178" s="683" t="str">
        <f t="shared" si="142"/>
        <v/>
      </c>
      <c r="G178" s="683" t="str">
        <f t="shared" si="142"/>
        <v/>
      </c>
      <c r="H178" s="683" t="str">
        <f t="shared" si="142"/>
        <v/>
      </c>
      <c r="I178" s="683" t="str">
        <f t="shared" si="142"/>
        <v/>
      </c>
      <c r="J178" s="683" t="str">
        <f t="shared" si="142"/>
        <v/>
      </c>
      <c r="K178" s="683" t="str">
        <f t="shared" si="142"/>
        <v/>
      </c>
      <c r="L178" s="683" t="str">
        <f t="shared" si="142"/>
        <v/>
      </c>
      <c r="M178" s="683" t="str">
        <f t="shared" si="142"/>
        <v/>
      </c>
      <c r="N178" s="683" t="str">
        <f t="shared" si="142"/>
        <v/>
      </c>
      <c r="O178" s="686" t="str">
        <f t="shared" si="142"/>
        <v/>
      </c>
      <c r="P178" s="511" t="str">
        <f t="shared" si="140"/>
        <v>-</v>
      </c>
      <c r="Q178" s="6" t="str">
        <f t="shared" si="134"/>
        <v>-</v>
      </c>
    </row>
    <row r="179" spans="1:17" ht="15.75" customHeight="1" x14ac:dyDescent="0.25">
      <c r="A179" s="867"/>
      <c r="B179" s="823" t="s">
        <v>20</v>
      </c>
      <c r="C179" s="16" t="s">
        <v>21</v>
      </c>
      <c r="D179" s="549"/>
      <c r="E179" s="549"/>
      <c r="F179" s="549"/>
      <c r="G179" s="549"/>
      <c r="H179" s="549"/>
      <c r="I179" s="549"/>
      <c r="J179" s="549"/>
      <c r="K179" s="549"/>
      <c r="L179" s="549"/>
      <c r="M179" s="549"/>
      <c r="N179" s="549"/>
      <c r="O179" s="550"/>
      <c r="P179" s="512" t="str">
        <f t="shared" si="140"/>
        <v>-</v>
      </c>
      <c r="Q179" s="4" t="str">
        <f t="shared" si="134"/>
        <v>-</v>
      </c>
    </row>
    <row r="180" spans="1:17" ht="15.75" customHeight="1" x14ac:dyDescent="0.25">
      <c r="A180" s="867"/>
      <c r="B180" s="824"/>
      <c r="C180" s="17" t="s">
        <v>22</v>
      </c>
      <c r="D180" s="683" t="str">
        <f>IF(D178="","",D$162*D179*24)</f>
        <v/>
      </c>
      <c r="E180" s="683" t="str">
        <f t="shared" ref="E180:O180" si="143">IF(E178="","",E$162*E179*24)</f>
        <v/>
      </c>
      <c r="F180" s="683" t="str">
        <f t="shared" si="143"/>
        <v/>
      </c>
      <c r="G180" s="683" t="str">
        <f t="shared" si="143"/>
        <v/>
      </c>
      <c r="H180" s="683" t="str">
        <f t="shared" si="143"/>
        <v/>
      </c>
      <c r="I180" s="683" t="str">
        <f t="shared" si="143"/>
        <v/>
      </c>
      <c r="J180" s="683" t="str">
        <f t="shared" si="143"/>
        <v/>
      </c>
      <c r="K180" s="683" t="str">
        <f t="shared" si="143"/>
        <v/>
      </c>
      <c r="L180" s="683" t="str">
        <f t="shared" si="143"/>
        <v/>
      </c>
      <c r="M180" s="683" t="str">
        <f t="shared" si="143"/>
        <v/>
      </c>
      <c r="N180" s="683" t="str">
        <f t="shared" si="143"/>
        <v/>
      </c>
      <c r="O180" s="686" t="str">
        <f t="shared" si="143"/>
        <v/>
      </c>
      <c r="P180" s="511" t="str">
        <f t="shared" si="140"/>
        <v>-</v>
      </c>
      <c r="Q180" s="6" t="str">
        <f t="shared" si="134"/>
        <v>-</v>
      </c>
    </row>
    <row r="181" spans="1:17" ht="15.75" customHeight="1" x14ac:dyDescent="0.25">
      <c r="A181" s="867"/>
      <c r="B181" s="823" t="s">
        <v>1</v>
      </c>
      <c r="C181" s="18" t="s">
        <v>21</v>
      </c>
      <c r="D181" s="549"/>
      <c r="E181" s="549"/>
      <c r="F181" s="549"/>
      <c r="G181" s="549"/>
      <c r="H181" s="549"/>
      <c r="I181" s="549"/>
      <c r="J181" s="549"/>
      <c r="K181" s="549"/>
      <c r="L181" s="549"/>
      <c r="M181" s="549"/>
      <c r="N181" s="549"/>
      <c r="O181" s="550"/>
      <c r="P181" s="512" t="str">
        <f t="shared" si="140"/>
        <v>-</v>
      </c>
      <c r="Q181" s="4" t="str">
        <f t="shared" si="134"/>
        <v>-</v>
      </c>
    </row>
    <row r="182" spans="1:17" ht="15.75" customHeight="1" x14ac:dyDescent="0.25">
      <c r="A182" s="867"/>
      <c r="B182" s="824"/>
      <c r="C182" s="18" t="s">
        <v>22</v>
      </c>
      <c r="D182" s="683" t="str">
        <f>IF(D180="","",D$162*D181*24)</f>
        <v/>
      </c>
      <c r="E182" s="683" t="str">
        <f t="shared" ref="E182:O182" si="144">IF(E180="","",E$162*E181*24)</f>
        <v/>
      </c>
      <c r="F182" s="683" t="str">
        <f t="shared" si="144"/>
        <v/>
      </c>
      <c r="G182" s="683" t="str">
        <f t="shared" si="144"/>
        <v/>
      </c>
      <c r="H182" s="683" t="str">
        <f t="shared" si="144"/>
        <v/>
      </c>
      <c r="I182" s="683" t="str">
        <f t="shared" si="144"/>
        <v/>
      </c>
      <c r="J182" s="683" t="str">
        <f t="shared" si="144"/>
        <v/>
      </c>
      <c r="K182" s="683" t="str">
        <f t="shared" si="144"/>
        <v/>
      </c>
      <c r="L182" s="683" t="str">
        <f t="shared" si="144"/>
        <v/>
      </c>
      <c r="M182" s="683" t="str">
        <f t="shared" si="144"/>
        <v/>
      </c>
      <c r="N182" s="683" t="str">
        <f t="shared" si="144"/>
        <v/>
      </c>
      <c r="O182" s="686" t="str">
        <f t="shared" si="144"/>
        <v/>
      </c>
      <c r="P182" s="511" t="str">
        <f t="shared" si="140"/>
        <v>-</v>
      </c>
      <c r="Q182" s="6" t="str">
        <f t="shared" si="134"/>
        <v>-</v>
      </c>
    </row>
    <row r="183" spans="1:17" ht="15.75" customHeight="1" x14ac:dyDescent="0.25">
      <c r="A183" s="867"/>
      <c r="B183" s="823" t="str">
        <f>IF($B$28="OTHER (RENAME)","OTHER",$B$28)</f>
        <v>OTHER</v>
      </c>
      <c r="C183" s="19" t="s">
        <v>21</v>
      </c>
      <c r="D183" s="549"/>
      <c r="E183" s="549"/>
      <c r="F183" s="549"/>
      <c r="G183" s="549"/>
      <c r="H183" s="549"/>
      <c r="I183" s="549"/>
      <c r="J183" s="549"/>
      <c r="K183" s="549"/>
      <c r="L183" s="549"/>
      <c r="M183" s="549"/>
      <c r="N183" s="549"/>
      <c r="O183" s="550"/>
      <c r="P183" s="512" t="str">
        <f t="shared" si="140"/>
        <v>-</v>
      </c>
      <c r="Q183" s="4" t="str">
        <f t="shared" ref="Q183:Q184" si="145">IF(SUM(D183:O183)=0,"-",SUM(D183:O183))</f>
        <v>-</v>
      </c>
    </row>
    <row r="184" spans="1:17" ht="15.75" customHeight="1" x14ac:dyDescent="0.25">
      <c r="A184" s="867"/>
      <c r="B184" s="824"/>
      <c r="C184" s="20" t="s">
        <v>22</v>
      </c>
      <c r="D184" s="687" t="str">
        <f>IF(D182="","",D$162*D183*24)</f>
        <v/>
      </c>
      <c r="E184" s="687" t="str">
        <f t="shared" ref="E184:O184" si="146">IF(E182="","",E$162*E183*24)</f>
        <v/>
      </c>
      <c r="F184" s="687" t="str">
        <f t="shared" si="146"/>
        <v/>
      </c>
      <c r="G184" s="687" t="str">
        <f t="shared" si="146"/>
        <v/>
      </c>
      <c r="H184" s="687" t="str">
        <f t="shared" si="146"/>
        <v/>
      </c>
      <c r="I184" s="687" t="str">
        <f t="shared" si="146"/>
        <v/>
      </c>
      <c r="J184" s="687" t="str">
        <f t="shared" si="146"/>
        <v/>
      </c>
      <c r="K184" s="687" t="str">
        <f t="shared" si="146"/>
        <v/>
      </c>
      <c r="L184" s="687" t="str">
        <f t="shared" si="146"/>
        <v/>
      </c>
      <c r="M184" s="687" t="str">
        <f t="shared" si="146"/>
        <v/>
      </c>
      <c r="N184" s="687" t="str">
        <f t="shared" si="146"/>
        <v/>
      </c>
      <c r="O184" s="688" t="str">
        <f t="shared" si="146"/>
        <v/>
      </c>
      <c r="P184" s="511" t="str">
        <f t="shared" si="140"/>
        <v>-</v>
      </c>
      <c r="Q184" s="6" t="str">
        <f t="shared" si="145"/>
        <v>-</v>
      </c>
    </row>
    <row r="185" spans="1:17" ht="15.75" x14ac:dyDescent="0.25">
      <c r="A185" s="867"/>
      <c r="B185" s="823" t="str">
        <f>IF($B$30="OTHER (RENAME)","OTHER",$B$30)</f>
        <v>OTHER</v>
      </c>
      <c r="C185" s="16" t="s">
        <v>21</v>
      </c>
      <c r="D185" s="549"/>
      <c r="E185" s="549"/>
      <c r="F185" s="549"/>
      <c r="G185" s="549"/>
      <c r="H185" s="549"/>
      <c r="I185" s="549"/>
      <c r="J185" s="549"/>
      <c r="K185" s="549"/>
      <c r="L185" s="549"/>
      <c r="M185" s="549"/>
      <c r="N185" s="549"/>
      <c r="O185" s="550"/>
      <c r="P185" s="512" t="str">
        <f t="shared" si="140"/>
        <v>-</v>
      </c>
      <c r="Q185" s="4" t="str">
        <f t="shared" ref="Q185:Q190" si="147">IF(SUM(D185:O185)=0,"-",SUM(D185:O185))</f>
        <v>-</v>
      </c>
    </row>
    <row r="186" spans="1:17" ht="15.75" x14ac:dyDescent="0.25">
      <c r="A186" s="867"/>
      <c r="B186" s="824"/>
      <c r="C186" s="17" t="s">
        <v>22</v>
      </c>
      <c r="D186" s="687" t="str">
        <f>IF(D184="","",D$162*D185*24)</f>
        <v/>
      </c>
      <c r="E186" s="687" t="str">
        <f t="shared" ref="E186:O186" si="148">IF(E184="","",E$162*E185*24)</f>
        <v/>
      </c>
      <c r="F186" s="687" t="str">
        <f t="shared" si="148"/>
        <v/>
      </c>
      <c r="G186" s="687" t="str">
        <f t="shared" si="148"/>
        <v/>
      </c>
      <c r="H186" s="687" t="str">
        <f t="shared" si="148"/>
        <v/>
      </c>
      <c r="I186" s="687" t="str">
        <f t="shared" si="148"/>
        <v/>
      </c>
      <c r="J186" s="687" t="str">
        <f t="shared" si="148"/>
        <v/>
      </c>
      <c r="K186" s="687" t="str">
        <f t="shared" si="148"/>
        <v/>
      </c>
      <c r="L186" s="687" t="str">
        <f t="shared" si="148"/>
        <v/>
      </c>
      <c r="M186" s="687" t="str">
        <f t="shared" si="148"/>
        <v/>
      </c>
      <c r="N186" s="687" t="str">
        <f t="shared" si="148"/>
        <v/>
      </c>
      <c r="O186" s="688" t="str">
        <f t="shared" si="148"/>
        <v/>
      </c>
      <c r="P186" s="511" t="str">
        <f t="shared" si="140"/>
        <v>-</v>
      </c>
      <c r="Q186" s="6" t="str">
        <f t="shared" si="147"/>
        <v>-</v>
      </c>
    </row>
    <row r="187" spans="1:17" ht="15.75" x14ac:dyDescent="0.25">
      <c r="A187" s="867"/>
      <c r="B187" s="823" t="str">
        <f>IF($B$32="OTHER (RENAME)","OTHER",$B$32)</f>
        <v>OTHER</v>
      </c>
      <c r="C187" s="16" t="s">
        <v>21</v>
      </c>
      <c r="D187" s="549"/>
      <c r="E187" s="549"/>
      <c r="F187" s="549"/>
      <c r="G187" s="549"/>
      <c r="H187" s="549"/>
      <c r="I187" s="549"/>
      <c r="J187" s="549"/>
      <c r="K187" s="549"/>
      <c r="L187" s="549"/>
      <c r="M187" s="549"/>
      <c r="N187" s="549"/>
      <c r="O187" s="550"/>
      <c r="P187" s="512" t="str">
        <f t="shared" si="140"/>
        <v>-</v>
      </c>
      <c r="Q187" s="4" t="str">
        <f t="shared" si="147"/>
        <v>-</v>
      </c>
    </row>
    <row r="188" spans="1:17" ht="15.75" x14ac:dyDescent="0.25">
      <c r="A188" s="867"/>
      <c r="B188" s="824"/>
      <c r="C188" s="17" t="s">
        <v>22</v>
      </c>
      <c r="D188" s="687" t="str">
        <f>IF(D186="","",D$162*D187*24)</f>
        <v/>
      </c>
      <c r="E188" s="687" t="str">
        <f t="shared" ref="E188:O188" si="149">IF(E186="","",E$162*E187*24)</f>
        <v/>
      </c>
      <c r="F188" s="687" t="str">
        <f t="shared" si="149"/>
        <v/>
      </c>
      <c r="G188" s="687" t="str">
        <f t="shared" si="149"/>
        <v/>
      </c>
      <c r="H188" s="687" t="str">
        <f t="shared" si="149"/>
        <v/>
      </c>
      <c r="I188" s="687" t="str">
        <f t="shared" si="149"/>
        <v/>
      </c>
      <c r="J188" s="687" t="str">
        <f t="shared" si="149"/>
        <v/>
      </c>
      <c r="K188" s="687" t="str">
        <f t="shared" si="149"/>
        <v/>
      </c>
      <c r="L188" s="687" t="str">
        <f t="shared" si="149"/>
        <v/>
      </c>
      <c r="M188" s="687" t="str">
        <f t="shared" si="149"/>
        <v/>
      </c>
      <c r="N188" s="687" t="str">
        <f t="shared" si="149"/>
        <v/>
      </c>
      <c r="O188" s="688" t="str">
        <f t="shared" si="149"/>
        <v/>
      </c>
      <c r="P188" s="511" t="str">
        <f t="shared" si="140"/>
        <v>-</v>
      </c>
      <c r="Q188" s="6" t="str">
        <f t="shared" si="147"/>
        <v>-</v>
      </c>
    </row>
    <row r="189" spans="1:17" ht="15.75" x14ac:dyDescent="0.25">
      <c r="A189" s="867"/>
      <c r="B189" s="823" t="str">
        <f>IF($B$34="OTHER (RENAME)","OTHER",$B$34)</f>
        <v>OTHER</v>
      </c>
      <c r="C189" s="16" t="s">
        <v>21</v>
      </c>
      <c r="D189" s="549"/>
      <c r="E189" s="549"/>
      <c r="F189" s="549"/>
      <c r="G189" s="549"/>
      <c r="H189" s="549"/>
      <c r="I189" s="549"/>
      <c r="J189" s="549"/>
      <c r="K189" s="549"/>
      <c r="L189" s="549"/>
      <c r="M189" s="549"/>
      <c r="N189" s="549"/>
      <c r="O189" s="550"/>
      <c r="P189" s="512" t="str">
        <f t="shared" si="140"/>
        <v>-</v>
      </c>
      <c r="Q189" s="4" t="str">
        <f t="shared" si="147"/>
        <v>-</v>
      </c>
    </row>
    <row r="190" spans="1:17" ht="15.75" x14ac:dyDescent="0.25">
      <c r="A190" s="867"/>
      <c r="B190" s="824"/>
      <c r="C190" s="17" t="s">
        <v>22</v>
      </c>
      <c r="D190" s="687" t="str">
        <f>IF(D188="","",D$162*D189*24)</f>
        <v/>
      </c>
      <c r="E190" s="687" t="str">
        <f t="shared" ref="E190:O190" si="150">IF(E188="","",E$162*E189*24)</f>
        <v/>
      </c>
      <c r="F190" s="687" t="str">
        <f t="shared" si="150"/>
        <v/>
      </c>
      <c r="G190" s="687" t="str">
        <f t="shared" si="150"/>
        <v/>
      </c>
      <c r="H190" s="687" t="str">
        <f t="shared" si="150"/>
        <v/>
      </c>
      <c r="I190" s="687" t="str">
        <f t="shared" si="150"/>
        <v/>
      </c>
      <c r="J190" s="687" t="str">
        <f t="shared" si="150"/>
        <v/>
      </c>
      <c r="K190" s="687" t="str">
        <f t="shared" si="150"/>
        <v/>
      </c>
      <c r="L190" s="687" t="str">
        <f t="shared" si="150"/>
        <v/>
      </c>
      <c r="M190" s="687" t="str">
        <f t="shared" si="150"/>
        <v/>
      </c>
      <c r="N190" s="687" t="str">
        <f t="shared" si="150"/>
        <v/>
      </c>
      <c r="O190" s="688" t="str">
        <f t="shared" si="150"/>
        <v/>
      </c>
      <c r="P190" s="511" t="str">
        <f t="shared" si="140"/>
        <v>-</v>
      </c>
      <c r="Q190" s="6" t="str">
        <f t="shared" si="147"/>
        <v>-</v>
      </c>
    </row>
    <row r="191" spans="1:17" ht="15.75" customHeight="1" x14ac:dyDescent="0.25">
      <c r="A191" s="867"/>
      <c r="B191" s="981" t="s">
        <v>16</v>
      </c>
      <c r="C191" s="939"/>
      <c r="D191" s="770" t="str">
        <f>IF(SUM(D163,D165,D167,D169,D171,D173,D175,D177,D179,D181,D183,D185,D187,D189)=0,"",SUM(D163,D165,D167,D169,D171,D173,D175,D177,D179,D181,D183,D185,D187,D189))</f>
        <v/>
      </c>
      <c r="E191" s="770" t="str">
        <f t="shared" ref="E191:O191" si="151">IF(SUM(E163,E165,E167,E169,E171,E173,E175,E177,E179,E181,E183,E185,E187,E189)=0,"",SUM(E163,E165,E167,E169,E171,E173,E175,E177,E179,E181,E183,E185,E187,E189))</f>
        <v/>
      </c>
      <c r="F191" s="770" t="str">
        <f t="shared" si="151"/>
        <v/>
      </c>
      <c r="G191" s="770" t="str">
        <f t="shared" si="151"/>
        <v/>
      </c>
      <c r="H191" s="770" t="str">
        <f t="shared" si="151"/>
        <v/>
      </c>
      <c r="I191" s="770" t="str">
        <f t="shared" si="151"/>
        <v/>
      </c>
      <c r="J191" s="770" t="str">
        <f t="shared" si="151"/>
        <v/>
      </c>
      <c r="K191" s="770" t="str">
        <f t="shared" si="151"/>
        <v/>
      </c>
      <c r="L191" s="770" t="str">
        <f t="shared" si="151"/>
        <v/>
      </c>
      <c r="M191" s="770" t="str">
        <f t="shared" si="151"/>
        <v/>
      </c>
      <c r="N191" s="770" t="str">
        <f t="shared" si="151"/>
        <v/>
      </c>
      <c r="O191" s="771" t="str">
        <f t="shared" si="151"/>
        <v/>
      </c>
      <c r="P191" s="512" t="str">
        <f t="shared" si="140"/>
        <v>-</v>
      </c>
      <c r="Q191" s="4" t="str">
        <f t="shared" ref="Q191:Q212" si="152">IF(SUM(D191:O191)=0,"-",SUM(D191:O191))</f>
        <v>-</v>
      </c>
    </row>
    <row r="192" spans="1:17" ht="15.75" customHeight="1" thickBot="1" x14ac:dyDescent="0.3">
      <c r="A192" s="868"/>
      <c r="B192" s="982" t="s">
        <v>17</v>
      </c>
      <c r="C192" s="937"/>
      <c r="D192" s="772" t="str">
        <f>IF(D191="","",SUM(D164,D166,D168,D170,D172,D174,D176,D178,D180,D182,D184,D186,D188,D190))</f>
        <v/>
      </c>
      <c r="E192" s="772" t="str">
        <f t="shared" ref="E192" si="153">IF(E191="","",SUM(E164,E166,E168,E170,E172,E174,E176,E178,E180,E182,E184,E186,E188,E190))</f>
        <v/>
      </c>
      <c r="F192" s="773" t="str">
        <f t="shared" ref="F192" si="154">IF(F191="","",SUM(F164,F166,F168,F170,F172,F174,F176,F178,F180,F182,F184,F186,F188,F190))</f>
        <v/>
      </c>
      <c r="G192" s="772" t="str">
        <f t="shared" ref="G192" si="155">IF(G191="","",SUM(G164,G166,G168,G170,G172,G174,G176,G178,G180,G182,G184,G186,G188,G190))</f>
        <v/>
      </c>
      <c r="H192" s="772" t="str">
        <f t="shared" ref="H192" si="156">IF(H191="","",SUM(H164,H166,H168,H170,H172,H174,H176,H178,H180,H182,H184,H186,H188,H190))</f>
        <v/>
      </c>
      <c r="I192" s="772" t="str">
        <f t="shared" ref="I192" si="157">IF(I191="","",SUM(I164,I166,I168,I170,I172,I174,I176,I178,I180,I182,I184,I186,I188,I190))</f>
        <v/>
      </c>
      <c r="J192" s="772" t="str">
        <f t="shared" ref="J192" si="158">IF(J191="","",SUM(J164,J166,J168,J170,J172,J174,J176,J178,J180,J182,J184,J186,J188,J190))</f>
        <v/>
      </c>
      <c r="K192" s="772" t="str">
        <f t="shared" ref="K192" si="159">IF(K191="","",SUM(K164,K166,K168,K170,K172,K174,K176,K178,K180,K182,K184,K186,K188,K190))</f>
        <v/>
      </c>
      <c r="L192" s="772" t="str">
        <f t="shared" ref="L192" si="160">IF(L191="","",SUM(L164,L166,L168,L170,L172,L174,L176,L178,L180,L182,L184,L186,L188,L190))</f>
        <v/>
      </c>
      <c r="M192" s="772" t="str">
        <f t="shared" ref="M192" si="161">IF(M191="","",SUM(M164,M166,M168,M170,M172,M174,M176,M178,M180,M182,M184,M186,M188,M190))</f>
        <v/>
      </c>
      <c r="N192" s="772" t="str">
        <f t="shared" ref="N192" si="162">IF(N191="","",SUM(N164,N166,N168,N170,N172,N174,N176,N178,N180,N182,N184,N186,N188,N190))</f>
        <v/>
      </c>
      <c r="O192" s="774" t="str">
        <f t="shared" ref="O192" si="163">IF(O191="","",SUM(O164,O166,O168,O170,O172,O174,O176,O178,O180,O182,O184,O186,O188,O190))</f>
        <v/>
      </c>
      <c r="P192" s="525" t="str">
        <f t="shared" si="140"/>
        <v>-</v>
      </c>
      <c r="Q192" s="7" t="str">
        <f t="shared" si="152"/>
        <v>-</v>
      </c>
    </row>
    <row r="193" spans="1:17" ht="15" customHeight="1" collapsed="1" x14ac:dyDescent="0.25">
      <c r="A193" s="914" t="s">
        <v>155</v>
      </c>
      <c r="B193" s="960" t="s">
        <v>7</v>
      </c>
      <c r="C193" s="526" t="s">
        <v>21</v>
      </c>
      <c r="D193" s="719" t="str">
        <f>IF(SUM(D8,D39,D70,D101,D132,D163)=0,"",SUM(D8,D39,D70,D101,D132,D163))</f>
        <v/>
      </c>
      <c r="E193" s="719" t="str">
        <f t="shared" ref="D193:O208" si="164">IF(SUM(E8,E39,E70,E101,E132,E163)=0,"",SUM(E8,E39,E70,E101,E132,E163))</f>
        <v/>
      </c>
      <c r="F193" s="719" t="str">
        <f t="shared" si="164"/>
        <v/>
      </c>
      <c r="G193" s="719" t="str">
        <f t="shared" si="164"/>
        <v/>
      </c>
      <c r="H193" s="719" t="str">
        <f t="shared" si="164"/>
        <v/>
      </c>
      <c r="I193" s="719" t="str">
        <f t="shared" si="164"/>
        <v/>
      </c>
      <c r="J193" s="719" t="str">
        <f t="shared" si="164"/>
        <v/>
      </c>
      <c r="K193" s="719" t="str">
        <f t="shared" si="164"/>
        <v/>
      </c>
      <c r="L193" s="719" t="str">
        <f t="shared" si="164"/>
        <v/>
      </c>
      <c r="M193" s="719" t="str">
        <f t="shared" si="164"/>
        <v/>
      </c>
      <c r="N193" s="719" t="str">
        <f t="shared" si="164"/>
        <v/>
      </c>
      <c r="O193" s="720" t="str">
        <f t="shared" si="164"/>
        <v/>
      </c>
      <c r="P193" s="630" t="str">
        <f t="shared" si="140"/>
        <v>-</v>
      </c>
      <c r="Q193" s="5" t="str">
        <f t="shared" si="152"/>
        <v>-</v>
      </c>
    </row>
    <row r="194" spans="1:17" ht="15" customHeight="1" x14ac:dyDescent="0.25">
      <c r="A194" s="915"/>
      <c r="B194" s="824"/>
      <c r="C194" s="17" t="s">
        <v>22</v>
      </c>
      <c r="D194" s="681" t="str">
        <f>IF(SUM(D9,D40,D71,D102,D133,D164)=0,"",SUM(D9,D40,D71,D102,D133,D164))</f>
        <v/>
      </c>
      <c r="E194" s="681" t="str">
        <f t="shared" si="164"/>
        <v/>
      </c>
      <c r="F194" s="681" t="str">
        <f t="shared" si="164"/>
        <v/>
      </c>
      <c r="G194" s="681" t="str">
        <f t="shared" si="164"/>
        <v/>
      </c>
      <c r="H194" s="681" t="str">
        <f t="shared" si="164"/>
        <v/>
      </c>
      <c r="I194" s="681" t="str">
        <f t="shared" si="164"/>
        <v/>
      </c>
      <c r="J194" s="681" t="str">
        <f t="shared" si="164"/>
        <v/>
      </c>
      <c r="K194" s="681" t="str">
        <f t="shared" si="164"/>
        <v/>
      </c>
      <c r="L194" s="681" t="str">
        <f t="shared" si="164"/>
        <v/>
      </c>
      <c r="M194" s="681" t="str">
        <f t="shared" si="164"/>
        <v/>
      </c>
      <c r="N194" s="681" t="str">
        <f t="shared" si="164"/>
        <v/>
      </c>
      <c r="O194" s="682" t="str">
        <f t="shared" si="164"/>
        <v/>
      </c>
      <c r="P194" s="511" t="str">
        <f t="shared" si="140"/>
        <v>-</v>
      </c>
      <c r="Q194" s="6" t="str">
        <f t="shared" si="152"/>
        <v>-</v>
      </c>
    </row>
    <row r="195" spans="1:17" ht="15.75" customHeight="1" x14ac:dyDescent="0.25">
      <c r="A195" s="915"/>
      <c r="B195" s="823" t="s">
        <v>8</v>
      </c>
      <c r="C195" s="16" t="s">
        <v>21</v>
      </c>
      <c r="D195" s="624" t="str">
        <f t="shared" si="164"/>
        <v/>
      </c>
      <c r="E195" s="624" t="str">
        <f t="shared" si="164"/>
        <v/>
      </c>
      <c r="F195" s="624" t="str">
        <f t="shared" si="164"/>
        <v/>
      </c>
      <c r="G195" s="624" t="str">
        <f t="shared" si="164"/>
        <v/>
      </c>
      <c r="H195" s="624" t="str">
        <f t="shared" si="164"/>
        <v/>
      </c>
      <c r="I195" s="624" t="str">
        <f t="shared" si="164"/>
        <v/>
      </c>
      <c r="J195" s="624" t="str">
        <f t="shared" si="164"/>
        <v/>
      </c>
      <c r="K195" s="624" t="str">
        <f t="shared" si="164"/>
        <v/>
      </c>
      <c r="L195" s="624" t="str">
        <f t="shared" si="164"/>
        <v/>
      </c>
      <c r="M195" s="624" t="str">
        <f t="shared" si="164"/>
        <v/>
      </c>
      <c r="N195" s="624" t="str">
        <f t="shared" si="164"/>
        <v/>
      </c>
      <c r="O195" s="632" t="str">
        <f t="shared" si="164"/>
        <v/>
      </c>
      <c r="P195" s="512" t="str">
        <f t="shared" si="140"/>
        <v>-</v>
      </c>
      <c r="Q195" s="4" t="str">
        <f t="shared" si="152"/>
        <v>-</v>
      </c>
    </row>
    <row r="196" spans="1:17" ht="15.75" customHeight="1" x14ac:dyDescent="0.25">
      <c r="A196" s="915"/>
      <c r="B196" s="824"/>
      <c r="C196" s="17" t="s">
        <v>22</v>
      </c>
      <c r="D196" s="681" t="str">
        <f t="shared" si="164"/>
        <v/>
      </c>
      <c r="E196" s="681" t="str">
        <f t="shared" si="164"/>
        <v/>
      </c>
      <c r="F196" s="681" t="str">
        <f t="shared" si="164"/>
        <v/>
      </c>
      <c r="G196" s="681" t="str">
        <f t="shared" si="164"/>
        <v/>
      </c>
      <c r="H196" s="681" t="str">
        <f t="shared" si="164"/>
        <v/>
      </c>
      <c r="I196" s="681" t="str">
        <f t="shared" si="164"/>
        <v/>
      </c>
      <c r="J196" s="681" t="str">
        <f t="shared" si="164"/>
        <v/>
      </c>
      <c r="K196" s="681" t="str">
        <f t="shared" si="164"/>
        <v/>
      </c>
      <c r="L196" s="681" t="str">
        <f t="shared" si="164"/>
        <v/>
      </c>
      <c r="M196" s="681" t="str">
        <f t="shared" si="164"/>
        <v/>
      </c>
      <c r="N196" s="681" t="str">
        <f t="shared" si="164"/>
        <v/>
      </c>
      <c r="O196" s="682" t="str">
        <f t="shared" si="164"/>
        <v/>
      </c>
      <c r="P196" s="511" t="str">
        <f t="shared" si="140"/>
        <v>-</v>
      </c>
      <c r="Q196" s="6" t="str">
        <f t="shared" si="152"/>
        <v>-</v>
      </c>
    </row>
    <row r="197" spans="1:17" ht="15.75" customHeight="1" x14ac:dyDescent="0.25">
      <c r="A197" s="915"/>
      <c r="B197" s="823" t="s">
        <v>9</v>
      </c>
      <c r="C197" s="16" t="s">
        <v>21</v>
      </c>
      <c r="D197" s="624" t="str">
        <f t="shared" si="164"/>
        <v/>
      </c>
      <c r="E197" s="624" t="str">
        <f t="shared" si="164"/>
        <v/>
      </c>
      <c r="F197" s="624" t="str">
        <f t="shared" si="164"/>
        <v/>
      </c>
      <c r="G197" s="624" t="str">
        <f t="shared" si="164"/>
        <v/>
      </c>
      <c r="H197" s="624" t="str">
        <f t="shared" si="164"/>
        <v/>
      </c>
      <c r="I197" s="624" t="str">
        <f t="shared" si="164"/>
        <v/>
      </c>
      <c r="J197" s="624" t="str">
        <f t="shared" si="164"/>
        <v/>
      </c>
      <c r="K197" s="624" t="str">
        <f t="shared" si="164"/>
        <v/>
      </c>
      <c r="L197" s="624" t="str">
        <f t="shared" si="164"/>
        <v/>
      </c>
      <c r="M197" s="624" t="str">
        <f t="shared" si="164"/>
        <v/>
      </c>
      <c r="N197" s="624" t="str">
        <f t="shared" si="164"/>
        <v/>
      </c>
      <c r="O197" s="632" t="str">
        <f t="shared" si="164"/>
        <v/>
      </c>
      <c r="P197" s="512" t="str">
        <f t="shared" si="140"/>
        <v>-</v>
      </c>
      <c r="Q197" s="4" t="str">
        <f t="shared" si="152"/>
        <v>-</v>
      </c>
    </row>
    <row r="198" spans="1:17" ht="15.75" x14ac:dyDescent="0.25">
      <c r="A198" s="915"/>
      <c r="B198" s="824"/>
      <c r="C198" s="17" t="s">
        <v>22</v>
      </c>
      <c r="D198" s="681" t="str">
        <f t="shared" si="164"/>
        <v/>
      </c>
      <c r="E198" s="681" t="str">
        <f t="shared" si="164"/>
        <v/>
      </c>
      <c r="F198" s="681" t="str">
        <f t="shared" si="164"/>
        <v/>
      </c>
      <c r="G198" s="681" t="str">
        <f t="shared" si="164"/>
        <v/>
      </c>
      <c r="H198" s="681" t="str">
        <f t="shared" si="164"/>
        <v/>
      </c>
      <c r="I198" s="681" t="str">
        <f t="shared" si="164"/>
        <v/>
      </c>
      <c r="J198" s="681" t="str">
        <f t="shared" si="164"/>
        <v/>
      </c>
      <c r="K198" s="681" t="str">
        <f t="shared" si="164"/>
        <v/>
      </c>
      <c r="L198" s="681" t="str">
        <f t="shared" si="164"/>
        <v/>
      </c>
      <c r="M198" s="681" t="str">
        <f t="shared" si="164"/>
        <v/>
      </c>
      <c r="N198" s="681" t="str">
        <f t="shared" si="164"/>
        <v/>
      </c>
      <c r="O198" s="682" t="str">
        <f t="shared" si="164"/>
        <v/>
      </c>
      <c r="P198" s="511" t="str">
        <f t="shared" si="140"/>
        <v>-</v>
      </c>
      <c r="Q198" s="6" t="str">
        <f t="shared" si="152"/>
        <v>-</v>
      </c>
    </row>
    <row r="199" spans="1:17" ht="15.75" x14ac:dyDescent="0.25">
      <c r="A199" s="915"/>
      <c r="B199" s="823" t="s">
        <v>10</v>
      </c>
      <c r="C199" s="16" t="s">
        <v>21</v>
      </c>
      <c r="D199" s="624" t="str">
        <f t="shared" si="164"/>
        <v/>
      </c>
      <c r="E199" s="624" t="str">
        <f t="shared" si="164"/>
        <v/>
      </c>
      <c r="F199" s="624" t="str">
        <f t="shared" si="164"/>
        <v/>
      </c>
      <c r="G199" s="624" t="str">
        <f t="shared" si="164"/>
        <v/>
      </c>
      <c r="H199" s="624" t="str">
        <f t="shared" si="164"/>
        <v/>
      </c>
      <c r="I199" s="624" t="str">
        <f t="shared" si="164"/>
        <v/>
      </c>
      <c r="J199" s="624" t="str">
        <f t="shared" si="164"/>
        <v/>
      </c>
      <c r="K199" s="624" t="str">
        <f t="shared" si="164"/>
        <v/>
      </c>
      <c r="L199" s="624" t="str">
        <f t="shared" si="164"/>
        <v/>
      </c>
      <c r="M199" s="624" t="str">
        <f t="shared" si="164"/>
        <v/>
      </c>
      <c r="N199" s="624" t="str">
        <f t="shared" si="164"/>
        <v/>
      </c>
      <c r="O199" s="632" t="str">
        <f t="shared" si="164"/>
        <v/>
      </c>
      <c r="P199" s="512" t="str">
        <f t="shared" si="140"/>
        <v>-</v>
      </c>
      <c r="Q199" s="4" t="str">
        <f t="shared" si="152"/>
        <v>-</v>
      </c>
    </row>
    <row r="200" spans="1:17" ht="15" customHeight="1" x14ac:dyDescent="0.25">
      <c r="A200" s="915"/>
      <c r="B200" s="824"/>
      <c r="C200" s="17" t="s">
        <v>22</v>
      </c>
      <c r="D200" s="681" t="str">
        <f t="shared" si="164"/>
        <v/>
      </c>
      <c r="E200" s="681" t="str">
        <f t="shared" si="164"/>
        <v/>
      </c>
      <c r="F200" s="681" t="str">
        <f t="shared" si="164"/>
        <v/>
      </c>
      <c r="G200" s="681" t="str">
        <f t="shared" si="164"/>
        <v/>
      </c>
      <c r="H200" s="681" t="str">
        <f t="shared" si="164"/>
        <v/>
      </c>
      <c r="I200" s="681" t="str">
        <f t="shared" si="164"/>
        <v/>
      </c>
      <c r="J200" s="681" t="str">
        <f t="shared" si="164"/>
        <v/>
      </c>
      <c r="K200" s="681" t="str">
        <f t="shared" si="164"/>
        <v/>
      </c>
      <c r="L200" s="681" t="str">
        <f t="shared" si="164"/>
        <v/>
      </c>
      <c r="M200" s="681" t="str">
        <f t="shared" si="164"/>
        <v/>
      </c>
      <c r="N200" s="681" t="str">
        <f t="shared" si="164"/>
        <v/>
      </c>
      <c r="O200" s="682" t="str">
        <f t="shared" si="164"/>
        <v/>
      </c>
      <c r="P200" s="511" t="str">
        <f t="shared" si="140"/>
        <v>-</v>
      </c>
      <c r="Q200" s="6" t="str">
        <f t="shared" si="152"/>
        <v>-</v>
      </c>
    </row>
    <row r="201" spans="1:17" ht="15" customHeight="1" x14ac:dyDescent="0.25">
      <c r="A201" s="915"/>
      <c r="B201" s="823" t="s">
        <v>11</v>
      </c>
      <c r="C201" s="16" t="s">
        <v>21</v>
      </c>
      <c r="D201" s="624" t="str">
        <f t="shared" si="164"/>
        <v/>
      </c>
      <c r="E201" s="624" t="str">
        <f t="shared" si="164"/>
        <v/>
      </c>
      <c r="F201" s="624" t="str">
        <f t="shared" si="164"/>
        <v/>
      </c>
      <c r="G201" s="624" t="str">
        <f t="shared" si="164"/>
        <v/>
      </c>
      <c r="H201" s="624" t="str">
        <f t="shared" si="164"/>
        <v/>
      </c>
      <c r="I201" s="624" t="str">
        <f t="shared" si="164"/>
        <v/>
      </c>
      <c r="J201" s="624" t="str">
        <f t="shared" si="164"/>
        <v/>
      </c>
      <c r="K201" s="624" t="str">
        <f t="shared" si="164"/>
        <v/>
      </c>
      <c r="L201" s="624" t="str">
        <f t="shared" si="164"/>
        <v/>
      </c>
      <c r="M201" s="624" t="str">
        <f t="shared" si="164"/>
        <v/>
      </c>
      <c r="N201" s="624" t="str">
        <f t="shared" si="164"/>
        <v/>
      </c>
      <c r="O201" s="632" t="str">
        <f t="shared" si="164"/>
        <v/>
      </c>
      <c r="P201" s="512" t="str">
        <f t="shared" si="140"/>
        <v>-</v>
      </c>
      <c r="Q201" s="4" t="str">
        <f t="shared" si="152"/>
        <v>-</v>
      </c>
    </row>
    <row r="202" spans="1:17" ht="15" customHeight="1" x14ac:dyDescent="0.25">
      <c r="A202" s="915"/>
      <c r="B202" s="824"/>
      <c r="C202" s="17" t="s">
        <v>22</v>
      </c>
      <c r="D202" s="681" t="str">
        <f t="shared" si="164"/>
        <v/>
      </c>
      <c r="E202" s="681" t="str">
        <f t="shared" si="164"/>
        <v/>
      </c>
      <c r="F202" s="681" t="str">
        <f t="shared" si="164"/>
        <v/>
      </c>
      <c r="G202" s="681" t="str">
        <f t="shared" si="164"/>
        <v/>
      </c>
      <c r="H202" s="681" t="str">
        <f t="shared" si="164"/>
        <v/>
      </c>
      <c r="I202" s="681" t="str">
        <f t="shared" si="164"/>
        <v/>
      </c>
      <c r="J202" s="681" t="str">
        <f t="shared" si="164"/>
        <v/>
      </c>
      <c r="K202" s="681" t="str">
        <f t="shared" si="164"/>
        <v/>
      </c>
      <c r="L202" s="681" t="str">
        <f t="shared" si="164"/>
        <v/>
      </c>
      <c r="M202" s="681" t="str">
        <f t="shared" si="164"/>
        <v/>
      </c>
      <c r="N202" s="681" t="str">
        <f t="shared" si="164"/>
        <v/>
      </c>
      <c r="O202" s="682" t="str">
        <f t="shared" si="164"/>
        <v/>
      </c>
      <c r="P202" s="511" t="str">
        <f t="shared" si="140"/>
        <v>-</v>
      </c>
      <c r="Q202" s="6" t="str">
        <f t="shared" si="152"/>
        <v>-</v>
      </c>
    </row>
    <row r="203" spans="1:17" ht="15" customHeight="1" x14ac:dyDescent="0.25">
      <c r="A203" s="915"/>
      <c r="B203" s="823" t="s">
        <v>12</v>
      </c>
      <c r="C203" s="16" t="s">
        <v>21</v>
      </c>
      <c r="D203" s="624" t="str">
        <f t="shared" si="164"/>
        <v/>
      </c>
      <c r="E203" s="624" t="str">
        <f t="shared" si="164"/>
        <v/>
      </c>
      <c r="F203" s="624" t="str">
        <f t="shared" si="164"/>
        <v/>
      </c>
      <c r="G203" s="624" t="str">
        <f t="shared" si="164"/>
        <v/>
      </c>
      <c r="H203" s="624" t="str">
        <f t="shared" si="164"/>
        <v/>
      </c>
      <c r="I203" s="624" t="str">
        <f t="shared" si="164"/>
        <v/>
      </c>
      <c r="J203" s="624" t="str">
        <f t="shared" si="164"/>
        <v/>
      </c>
      <c r="K203" s="624" t="str">
        <f t="shared" si="164"/>
        <v/>
      </c>
      <c r="L203" s="624" t="str">
        <f t="shared" si="164"/>
        <v/>
      </c>
      <c r="M203" s="624" t="str">
        <f t="shared" si="164"/>
        <v/>
      </c>
      <c r="N203" s="624" t="str">
        <f t="shared" si="164"/>
        <v/>
      </c>
      <c r="O203" s="632" t="str">
        <f t="shared" si="164"/>
        <v/>
      </c>
      <c r="P203" s="512" t="str">
        <f t="shared" si="140"/>
        <v>-</v>
      </c>
      <c r="Q203" s="4" t="str">
        <f t="shared" si="152"/>
        <v>-</v>
      </c>
    </row>
    <row r="204" spans="1:17" ht="15" customHeight="1" x14ac:dyDescent="0.25">
      <c r="A204" s="915"/>
      <c r="B204" s="824"/>
      <c r="C204" s="17" t="s">
        <v>22</v>
      </c>
      <c r="D204" s="681" t="str">
        <f t="shared" si="164"/>
        <v/>
      </c>
      <c r="E204" s="681" t="str">
        <f t="shared" si="164"/>
        <v/>
      </c>
      <c r="F204" s="681" t="str">
        <f t="shared" si="164"/>
        <v/>
      </c>
      <c r="G204" s="681" t="str">
        <f t="shared" si="164"/>
        <v/>
      </c>
      <c r="H204" s="681" t="str">
        <f t="shared" si="164"/>
        <v/>
      </c>
      <c r="I204" s="681" t="str">
        <f t="shared" si="164"/>
        <v/>
      </c>
      <c r="J204" s="681" t="str">
        <f t="shared" si="164"/>
        <v/>
      </c>
      <c r="K204" s="681" t="str">
        <f t="shared" si="164"/>
        <v/>
      </c>
      <c r="L204" s="681" t="str">
        <f t="shared" si="164"/>
        <v/>
      </c>
      <c r="M204" s="681" t="str">
        <f t="shared" si="164"/>
        <v/>
      </c>
      <c r="N204" s="681" t="str">
        <f t="shared" si="164"/>
        <v/>
      </c>
      <c r="O204" s="682" t="str">
        <f t="shared" si="164"/>
        <v/>
      </c>
      <c r="P204" s="511" t="str">
        <f t="shared" si="140"/>
        <v>-</v>
      </c>
      <c r="Q204" s="6" t="str">
        <f t="shared" si="152"/>
        <v>-</v>
      </c>
    </row>
    <row r="205" spans="1:17" ht="15.75" x14ac:dyDescent="0.25">
      <c r="A205" s="915"/>
      <c r="B205" s="823" t="s">
        <v>15</v>
      </c>
      <c r="C205" s="16" t="s">
        <v>21</v>
      </c>
      <c r="D205" s="624" t="str">
        <f t="shared" si="164"/>
        <v/>
      </c>
      <c r="E205" s="624" t="str">
        <f t="shared" si="164"/>
        <v/>
      </c>
      <c r="F205" s="624" t="str">
        <f t="shared" si="164"/>
        <v/>
      </c>
      <c r="G205" s="624" t="str">
        <f t="shared" si="164"/>
        <v/>
      </c>
      <c r="H205" s="624" t="str">
        <f t="shared" si="164"/>
        <v/>
      </c>
      <c r="I205" s="624" t="str">
        <f t="shared" si="164"/>
        <v/>
      </c>
      <c r="J205" s="624" t="str">
        <f t="shared" si="164"/>
        <v/>
      </c>
      <c r="K205" s="624" t="str">
        <f t="shared" si="164"/>
        <v/>
      </c>
      <c r="L205" s="624" t="str">
        <f t="shared" si="164"/>
        <v/>
      </c>
      <c r="M205" s="624" t="str">
        <f t="shared" si="164"/>
        <v/>
      </c>
      <c r="N205" s="624" t="str">
        <f t="shared" si="164"/>
        <v/>
      </c>
      <c r="O205" s="632" t="str">
        <f t="shared" si="164"/>
        <v/>
      </c>
      <c r="P205" s="512" t="str">
        <f t="shared" si="140"/>
        <v>-</v>
      </c>
      <c r="Q205" s="4" t="str">
        <f t="shared" si="152"/>
        <v>-</v>
      </c>
    </row>
    <row r="206" spans="1:17" ht="15.75" x14ac:dyDescent="0.25">
      <c r="A206" s="915"/>
      <c r="B206" s="824"/>
      <c r="C206" s="17" t="s">
        <v>22</v>
      </c>
      <c r="D206" s="681" t="str">
        <f t="shared" si="164"/>
        <v/>
      </c>
      <c r="E206" s="681" t="str">
        <f t="shared" si="164"/>
        <v/>
      </c>
      <c r="F206" s="681" t="str">
        <f t="shared" si="164"/>
        <v/>
      </c>
      <c r="G206" s="681" t="str">
        <f t="shared" si="164"/>
        <v/>
      </c>
      <c r="H206" s="681" t="str">
        <f t="shared" si="164"/>
        <v/>
      </c>
      <c r="I206" s="681" t="str">
        <f t="shared" si="164"/>
        <v/>
      </c>
      <c r="J206" s="681" t="str">
        <f t="shared" si="164"/>
        <v/>
      </c>
      <c r="K206" s="681" t="str">
        <f t="shared" si="164"/>
        <v/>
      </c>
      <c r="L206" s="681" t="str">
        <f t="shared" si="164"/>
        <v/>
      </c>
      <c r="M206" s="681" t="str">
        <f t="shared" si="164"/>
        <v/>
      </c>
      <c r="N206" s="681" t="str">
        <f t="shared" si="164"/>
        <v/>
      </c>
      <c r="O206" s="682" t="str">
        <f t="shared" si="164"/>
        <v/>
      </c>
      <c r="P206" s="511" t="str">
        <f t="shared" si="140"/>
        <v>-</v>
      </c>
      <c r="Q206" s="6" t="str">
        <f t="shared" si="152"/>
        <v>-</v>
      </c>
    </row>
    <row r="207" spans="1:17" ht="15.75" x14ac:dyDescent="0.25">
      <c r="A207" s="915"/>
      <c r="B207" s="823" t="s">
        <v>13</v>
      </c>
      <c r="C207" s="16" t="s">
        <v>21</v>
      </c>
      <c r="D207" s="624" t="str">
        <f t="shared" si="164"/>
        <v/>
      </c>
      <c r="E207" s="624" t="str">
        <f t="shared" si="164"/>
        <v/>
      </c>
      <c r="F207" s="624" t="str">
        <f t="shared" si="164"/>
        <v/>
      </c>
      <c r="G207" s="624" t="str">
        <f t="shared" si="164"/>
        <v/>
      </c>
      <c r="H207" s="624" t="str">
        <f t="shared" si="164"/>
        <v/>
      </c>
      <c r="I207" s="624" t="str">
        <f t="shared" si="164"/>
        <v/>
      </c>
      <c r="J207" s="624" t="str">
        <f t="shared" si="164"/>
        <v/>
      </c>
      <c r="K207" s="624" t="str">
        <f t="shared" si="164"/>
        <v/>
      </c>
      <c r="L207" s="624" t="str">
        <f t="shared" si="164"/>
        <v/>
      </c>
      <c r="M207" s="624" t="str">
        <f t="shared" si="164"/>
        <v/>
      </c>
      <c r="N207" s="624" t="str">
        <f t="shared" si="164"/>
        <v/>
      </c>
      <c r="O207" s="632" t="str">
        <f t="shared" si="164"/>
        <v/>
      </c>
      <c r="P207" s="512" t="str">
        <f t="shared" si="140"/>
        <v>-</v>
      </c>
      <c r="Q207" s="4" t="str">
        <f t="shared" si="152"/>
        <v>-</v>
      </c>
    </row>
    <row r="208" spans="1:17" ht="15.75" x14ac:dyDescent="0.25">
      <c r="A208" s="915"/>
      <c r="B208" s="824"/>
      <c r="C208" s="17" t="s">
        <v>22</v>
      </c>
      <c r="D208" s="681" t="str">
        <f t="shared" si="164"/>
        <v/>
      </c>
      <c r="E208" s="681" t="str">
        <f t="shared" si="164"/>
        <v/>
      </c>
      <c r="F208" s="681" t="str">
        <f t="shared" si="164"/>
        <v/>
      </c>
      <c r="G208" s="681" t="str">
        <f t="shared" si="164"/>
        <v/>
      </c>
      <c r="H208" s="681" t="str">
        <f t="shared" si="164"/>
        <v/>
      </c>
      <c r="I208" s="681" t="str">
        <f t="shared" si="164"/>
        <v/>
      </c>
      <c r="J208" s="681" t="str">
        <f t="shared" si="164"/>
        <v/>
      </c>
      <c r="K208" s="681" t="str">
        <f t="shared" si="164"/>
        <v/>
      </c>
      <c r="L208" s="681" t="str">
        <f t="shared" si="164"/>
        <v/>
      </c>
      <c r="M208" s="681" t="str">
        <f t="shared" si="164"/>
        <v/>
      </c>
      <c r="N208" s="681" t="str">
        <f t="shared" si="164"/>
        <v/>
      </c>
      <c r="O208" s="682" t="str">
        <f t="shared" si="164"/>
        <v/>
      </c>
      <c r="P208" s="511" t="str">
        <f t="shared" si="140"/>
        <v>-</v>
      </c>
      <c r="Q208" s="6" t="str">
        <f t="shared" si="152"/>
        <v>-</v>
      </c>
    </row>
    <row r="209" spans="1:17" ht="15.75" x14ac:dyDescent="0.25">
      <c r="A209" s="915"/>
      <c r="B209" s="823" t="s">
        <v>20</v>
      </c>
      <c r="C209" s="16" t="s">
        <v>21</v>
      </c>
      <c r="D209" s="624" t="str">
        <f t="shared" ref="D209:O220" si="165">IF(SUM(D24,D55,D86,D117,D148,D179)=0,"",SUM(D24,D55,D86,D117,D148,D179))</f>
        <v/>
      </c>
      <c r="E209" s="624" t="str">
        <f t="shared" si="165"/>
        <v/>
      </c>
      <c r="F209" s="624" t="str">
        <f t="shared" si="165"/>
        <v/>
      </c>
      <c r="G209" s="624" t="str">
        <f t="shared" si="165"/>
        <v/>
      </c>
      <c r="H209" s="624" t="str">
        <f t="shared" si="165"/>
        <v/>
      </c>
      <c r="I209" s="624" t="str">
        <f t="shared" si="165"/>
        <v/>
      </c>
      <c r="J209" s="624" t="str">
        <f t="shared" si="165"/>
        <v/>
      </c>
      <c r="K209" s="624" t="str">
        <f t="shared" si="165"/>
        <v/>
      </c>
      <c r="L209" s="624" t="str">
        <f t="shared" si="165"/>
        <v/>
      </c>
      <c r="M209" s="624" t="str">
        <f t="shared" si="165"/>
        <v/>
      </c>
      <c r="N209" s="624" t="str">
        <f t="shared" si="165"/>
        <v/>
      </c>
      <c r="O209" s="632" t="str">
        <f t="shared" si="165"/>
        <v/>
      </c>
      <c r="P209" s="512" t="str">
        <f t="shared" si="140"/>
        <v>-</v>
      </c>
      <c r="Q209" s="4" t="str">
        <f t="shared" si="152"/>
        <v>-</v>
      </c>
    </row>
    <row r="210" spans="1:17" ht="15.75" x14ac:dyDescent="0.25">
      <c r="A210" s="915"/>
      <c r="B210" s="824"/>
      <c r="C210" s="17" t="s">
        <v>22</v>
      </c>
      <c r="D210" s="681" t="str">
        <f t="shared" si="165"/>
        <v/>
      </c>
      <c r="E210" s="681" t="str">
        <f t="shared" si="165"/>
        <v/>
      </c>
      <c r="F210" s="681" t="str">
        <f t="shared" si="165"/>
        <v/>
      </c>
      <c r="G210" s="681" t="str">
        <f t="shared" si="165"/>
        <v/>
      </c>
      <c r="H210" s="681" t="str">
        <f t="shared" si="165"/>
        <v/>
      </c>
      <c r="I210" s="681" t="str">
        <f t="shared" si="165"/>
        <v/>
      </c>
      <c r="J210" s="681" t="str">
        <f t="shared" si="165"/>
        <v/>
      </c>
      <c r="K210" s="681" t="str">
        <f t="shared" si="165"/>
        <v/>
      </c>
      <c r="L210" s="681" t="str">
        <f t="shared" si="165"/>
        <v/>
      </c>
      <c r="M210" s="681" t="str">
        <f t="shared" si="165"/>
        <v/>
      </c>
      <c r="N210" s="681" t="str">
        <f t="shared" si="165"/>
        <v/>
      </c>
      <c r="O210" s="682" t="str">
        <f t="shared" si="165"/>
        <v/>
      </c>
      <c r="P210" s="511" t="str">
        <f t="shared" si="140"/>
        <v>-</v>
      </c>
      <c r="Q210" s="6" t="str">
        <f t="shared" si="152"/>
        <v>-</v>
      </c>
    </row>
    <row r="211" spans="1:17" ht="15.75" x14ac:dyDescent="0.25">
      <c r="A211" s="915"/>
      <c r="B211" s="823" t="s">
        <v>1</v>
      </c>
      <c r="C211" s="16" t="s">
        <v>21</v>
      </c>
      <c r="D211" s="624" t="str">
        <f t="shared" si="165"/>
        <v/>
      </c>
      <c r="E211" s="624" t="str">
        <f t="shared" si="165"/>
        <v/>
      </c>
      <c r="F211" s="624" t="str">
        <f t="shared" si="165"/>
        <v/>
      </c>
      <c r="G211" s="624" t="str">
        <f t="shared" si="165"/>
        <v/>
      </c>
      <c r="H211" s="624" t="str">
        <f t="shared" si="165"/>
        <v/>
      </c>
      <c r="I211" s="624" t="str">
        <f t="shared" si="165"/>
        <v/>
      </c>
      <c r="J211" s="624" t="str">
        <f t="shared" si="165"/>
        <v/>
      </c>
      <c r="K211" s="624" t="str">
        <f t="shared" si="165"/>
        <v/>
      </c>
      <c r="L211" s="624" t="str">
        <f t="shared" si="165"/>
        <v/>
      </c>
      <c r="M211" s="624" t="str">
        <f t="shared" si="165"/>
        <v/>
      </c>
      <c r="N211" s="624" t="str">
        <f t="shared" si="165"/>
        <v/>
      </c>
      <c r="O211" s="632" t="str">
        <f t="shared" si="165"/>
        <v/>
      </c>
      <c r="P211" s="512" t="str">
        <f t="shared" si="140"/>
        <v>-</v>
      </c>
      <c r="Q211" s="4" t="str">
        <f t="shared" si="152"/>
        <v>-</v>
      </c>
    </row>
    <row r="212" spans="1:17" ht="15.75" x14ac:dyDescent="0.25">
      <c r="A212" s="915"/>
      <c r="B212" s="824"/>
      <c r="C212" s="17" t="s">
        <v>22</v>
      </c>
      <c r="D212" s="681" t="str">
        <f t="shared" si="165"/>
        <v/>
      </c>
      <c r="E212" s="681" t="str">
        <f t="shared" si="165"/>
        <v/>
      </c>
      <c r="F212" s="681" t="str">
        <f t="shared" si="165"/>
        <v/>
      </c>
      <c r="G212" s="681" t="str">
        <f t="shared" si="165"/>
        <v/>
      </c>
      <c r="H212" s="681" t="str">
        <f t="shared" si="165"/>
        <v/>
      </c>
      <c r="I212" s="681" t="str">
        <f t="shared" si="165"/>
        <v/>
      </c>
      <c r="J212" s="681" t="str">
        <f t="shared" si="165"/>
        <v/>
      </c>
      <c r="K212" s="681" t="str">
        <f t="shared" si="165"/>
        <v/>
      </c>
      <c r="L212" s="681" t="str">
        <f t="shared" si="165"/>
        <v/>
      </c>
      <c r="M212" s="681" t="str">
        <f t="shared" si="165"/>
        <v/>
      </c>
      <c r="N212" s="681" t="str">
        <f t="shared" si="165"/>
        <v/>
      </c>
      <c r="O212" s="682" t="str">
        <f t="shared" si="165"/>
        <v/>
      </c>
      <c r="P212" s="511" t="str">
        <f t="shared" si="140"/>
        <v>-</v>
      </c>
      <c r="Q212" s="6" t="str">
        <f t="shared" si="152"/>
        <v>-</v>
      </c>
    </row>
    <row r="213" spans="1:17" ht="15.75" x14ac:dyDescent="0.25">
      <c r="A213" s="915"/>
      <c r="B213" s="823" t="str">
        <f>IF($B$28="OTHER (RENAME)","OTHER",$B$28)</f>
        <v>OTHER</v>
      </c>
      <c r="C213" s="18" t="s">
        <v>21</v>
      </c>
      <c r="D213" s="624" t="str">
        <f t="shared" si="165"/>
        <v/>
      </c>
      <c r="E213" s="624" t="str">
        <f t="shared" si="165"/>
        <v/>
      </c>
      <c r="F213" s="624" t="str">
        <f t="shared" si="165"/>
        <v/>
      </c>
      <c r="G213" s="624" t="str">
        <f t="shared" si="165"/>
        <v/>
      </c>
      <c r="H213" s="624" t="str">
        <f t="shared" si="165"/>
        <v/>
      </c>
      <c r="I213" s="624" t="str">
        <f t="shared" si="165"/>
        <v/>
      </c>
      <c r="J213" s="624" t="str">
        <f t="shared" si="165"/>
        <v/>
      </c>
      <c r="K213" s="624" t="str">
        <f t="shared" si="165"/>
        <v/>
      </c>
      <c r="L213" s="624" t="str">
        <f t="shared" si="165"/>
        <v/>
      </c>
      <c r="M213" s="624" t="str">
        <f t="shared" si="165"/>
        <v/>
      </c>
      <c r="N213" s="624" t="str">
        <f t="shared" si="165"/>
        <v/>
      </c>
      <c r="O213" s="632" t="str">
        <f t="shared" si="165"/>
        <v/>
      </c>
      <c r="P213" s="512" t="str">
        <f t="shared" si="140"/>
        <v>-</v>
      </c>
      <c r="Q213" s="4" t="str">
        <f t="shared" ref="Q213:Q214" si="166">IF(SUM(D213:O213)=0,"-",SUM(D213:O213))</f>
        <v>-</v>
      </c>
    </row>
    <row r="214" spans="1:17" ht="15.75" x14ac:dyDescent="0.25">
      <c r="A214" s="915"/>
      <c r="B214" s="824"/>
      <c r="C214" s="18" t="s">
        <v>22</v>
      </c>
      <c r="D214" s="681" t="str">
        <f t="shared" si="165"/>
        <v/>
      </c>
      <c r="E214" s="681" t="str">
        <f t="shared" si="165"/>
        <v/>
      </c>
      <c r="F214" s="681" t="str">
        <f t="shared" si="165"/>
        <v/>
      </c>
      <c r="G214" s="681" t="str">
        <f t="shared" si="165"/>
        <v/>
      </c>
      <c r="H214" s="681" t="str">
        <f t="shared" si="165"/>
        <v/>
      </c>
      <c r="I214" s="681" t="str">
        <f t="shared" si="165"/>
        <v/>
      </c>
      <c r="J214" s="681" t="str">
        <f t="shared" si="165"/>
        <v/>
      </c>
      <c r="K214" s="681" t="str">
        <f t="shared" si="165"/>
        <v/>
      </c>
      <c r="L214" s="681" t="str">
        <f t="shared" si="165"/>
        <v/>
      </c>
      <c r="M214" s="681" t="str">
        <f t="shared" si="165"/>
        <v/>
      </c>
      <c r="N214" s="681" t="str">
        <f t="shared" si="165"/>
        <v/>
      </c>
      <c r="O214" s="682" t="str">
        <f t="shared" si="165"/>
        <v/>
      </c>
      <c r="P214" s="511" t="str">
        <f t="shared" si="140"/>
        <v>-</v>
      </c>
      <c r="Q214" s="6" t="str">
        <f t="shared" si="166"/>
        <v>-</v>
      </c>
    </row>
    <row r="215" spans="1:17" ht="15.75" x14ac:dyDescent="0.25">
      <c r="A215" s="915"/>
      <c r="B215" s="823" t="str">
        <f>IF($B$30="OTHER (RENAME)","OTHER",$B$30)</f>
        <v>OTHER</v>
      </c>
      <c r="C215" s="16" t="s">
        <v>21</v>
      </c>
      <c r="D215" s="624" t="str">
        <f t="shared" si="165"/>
        <v/>
      </c>
      <c r="E215" s="624" t="str">
        <f t="shared" si="165"/>
        <v/>
      </c>
      <c r="F215" s="624" t="str">
        <f t="shared" si="165"/>
        <v/>
      </c>
      <c r="G215" s="624" t="str">
        <f t="shared" si="165"/>
        <v/>
      </c>
      <c r="H215" s="624" t="str">
        <f t="shared" si="165"/>
        <v/>
      </c>
      <c r="I215" s="624" t="str">
        <f t="shared" si="165"/>
        <v/>
      </c>
      <c r="J215" s="624" t="str">
        <f t="shared" si="165"/>
        <v/>
      </c>
      <c r="K215" s="624" t="str">
        <f t="shared" si="165"/>
        <v/>
      </c>
      <c r="L215" s="624" t="str">
        <f t="shared" si="165"/>
        <v/>
      </c>
      <c r="M215" s="624" t="str">
        <f t="shared" si="165"/>
        <v/>
      </c>
      <c r="N215" s="624" t="str">
        <f t="shared" si="165"/>
        <v/>
      </c>
      <c r="O215" s="632" t="str">
        <f t="shared" si="165"/>
        <v/>
      </c>
      <c r="P215" s="512" t="str">
        <f t="shared" si="140"/>
        <v>-</v>
      </c>
      <c r="Q215" s="4" t="str">
        <f t="shared" ref="Q215:Q220" si="167">IF(SUM(D215:O215)=0,"-",SUM(D215:O215))</f>
        <v>-</v>
      </c>
    </row>
    <row r="216" spans="1:17" ht="15.75" x14ac:dyDescent="0.25">
      <c r="A216" s="915"/>
      <c r="B216" s="824"/>
      <c r="C216" s="17" t="s">
        <v>22</v>
      </c>
      <c r="D216" s="681" t="str">
        <f t="shared" si="165"/>
        <v/>
      </c>
      <c r="E216" s="681" t="str">
        <f t="shared" si="165"/>
        <v/>
      </c>
      <c r="F216" s="681" t="str">
        <f t="shared" si="165"/>
        <v/>
      </c>
      <c r="G216" s="681" t="str">
        <f t="shared" si="165"/>
        <v/>
      </c>
      <c r="H216" s="681" t="str">
        <f t="shared" si="165"/>
        <v/>
      </c>
      <c r="I216" s="681" t="str">
        <f t="shared" si="165"/>
        <v/>
      </c>
      <c r="J216" s="681" t="str">
        <f t="shared" si="165"/>
        <v/>
      </c>
      <c r="K216" s="681" t="str">
        <f t="shared" si="165"/>
        <v/>
      </c>
      <c r="L216" s="681" t="str">
        <f t="shared" si="165"/>
        <v/>
      </c>
      <c r="M216" s="681" t="str">
        <f t="shared" si="165"/>
        <v/>
      </c>
      <c r="N216" s="681" t="str">
        <f t="shared" si="165"/>
        <v/>
      </c>
      <c r="O216" s="682" t="str">
        <f t="shared" si="165"/>
        <v/>
      </c>
      <c r="P216" s="511" t="str">
        <f t="shared" si="140"/>
        <v>-</v>
      </c>
      <c r="Q216" s="6" t="str">
        <f t="shared" si="167"/>
        <v>-</v>
      </c>
    </row>
    <row r="217" spans="1:17" ht="15.75" x14ac:dyDescent="0.25">
      <c r="A217" s="915"/>
      <c r="B217" s="823" t="str">
        <f>IF($B$32="OTHER (RENAME)","OTHER",$B$32)</f>
        <v>OTHER</v>
      </c>
      <c r="C217" s="16" t="s">
        <v>21</v>
      </c>
      <c r="D217" s="624" t="str">
        <f t="shared" si="165"/>
        <v/>
      </c>
      <c r="E217" s="624" t="str">
        <f t="shared" si="165"/>
        <v/>
      </c>
      <c r="F217" s="624" t="str">
        <f t="shared" si="165"/>
        <v/>
      </c>
      <c r="G217" s="624" t="str">
        <f t="shared" si="165"/>
        <v/>
      </c>
      <c r="H217" s="624" t="str">
        <f t="shared" si="165"/>
        <v/>
      </c>
      <c r="I217" s="624" t="str">
        <f t="shared" si="165"/>
        <v/>
      </c>
      <c r="J217" s="624" t="str">
        <f t="shared" si="165"/>
        <v/>
      </c>
      <c r="K217" s="624" t="str">
        <f t="shared" si="165"/>
        <v/>
      </c>
      <c r="L217" s="624" t="str">
        <f t="shared" si="165"/>
        <v/>
      </c>
      <c r="M217" s="624" t="str">
        <f t="shared" si="165"/>
        <v/>
      </c>
      <c r="N217" s="624" t="str">
        <f t="shared" si="165"/>
        <v/>
      </c>
      <c r="O217" s="632" t="str">
        <f t="shared" si="165"/>
        <v/>
      </c>
      <c r="P217" s="512" t="str">
        <f t="shared" si="140"/>
        <v>-</v>
      </c>
      <c r="Q217" s="4" t="str">
        <f t="shared" si="167"/>
        <v>-</v>
      </c>
    </row>
    <row r="218" spans="1:17" ht="15.75" x14ac:dyDescent="0.25">
      <c r="A218" s="915"/>
      <c r="B218" s="824"/>
      <c r="C218" s="17" t="s">
        <v>22</v>
      </c>
      <c r="D218" s="681" t="str">
        <f>IF(SUM(D33,D64,D95,D126,D157,D188)=0,"",SUM(D33,D64,D95,D126,D157,D188))</f>
        <v/>
      </c>
      <c r="E218" s="681" t="str">
        <f t="shared" si="165"/>
        <v/>
      </c>
      <c r="F218" s="681" t="str">
        <f t="shared" si="165"/>
        <v/>
      </c>
      <c r="G218" s="681" t="str">
        <f t="shared" si="165"/>
        <v/>
      </c>
      <c r="H218" s="681" t="str">
        <f t="shared" si="165"/>
        <v/>
      </c>
      <c r="I218" s="681" t="str">
        <f t="shared" si="165"/>
        <v/>
      </c>
      <c r="J218" s="681" t="str">
        <f t="shared" si="165"/>
        <v/>
      </c>
      <c r="K218" s="681" t="str">
        <f t="shared" si="165"/>
        <v/>
      </c>
      <c r="L218" s="681" t="str">
        <f t="shared" si="165"/>
        <v/>
      </c>
      <c r="M218" s="681" t="str">
        <f t="shared" si="165"/>
        <v/>
      </c>
      <c r="N218" s="681" t="str">
        <f t="shared" si="165"/>
        <v/>
      </c>
      <c r="O218" s="682" t="str">
        <f t="shared" si="165"/>
        <v/>
      </c>
      <c r="P218" s="511" t="str">
        <f t="shared" si="140"/>
        <v>-</v>
      </c>
      <c r="Q218" s="6" t="str">
        <f t="shared" si="167"/>
        <v>-</v>
      </c>
    </row>
    <row r="219" spans="1:17" ht="15.75" x14ac:dyDescent="0.25">
      <c r="A219" s="915"/>
      <c r="B219" s="823" t="str">
        <f>IF($B$34="OTHER (RENAME)","OTHER",$B$34)</f>
        <v>OTHER</v>
      </c>
      <c r="C219" s="16" t="s">
        <v>21</v>
      </c>
      <c r="D219" s="624" t="str">
        <f t="shared" si="165"/>
        <v/>
      </c>
      <c r="E219" s="624" t="str">
        <f t="shared" si="165"/>
        <v/>
      </c>
      <c r="F219" s="624" t="str">
        <f t="shared" si="165"/>
        <v/>
      </c>
      <c r="G219" s="624" t="str">
        <f t="shared" si="165"/>
        <v/>
      </c>
      <c r="H219" s="624" t="str">
        <f t="shared" si="165"/>
        <v/>
      </c>
      <c r="I219" s="624" t="str">
        <f t="shared" si="165"/>
        <v/>
      </c>
      <c r="J219" s="624" t="str">
        <f t="shared" si="165"/>
        <v/>
      </c>
      <c r="K219" s="624" t="str">
        <f t="shared" si="165"/>
        <v/>
      </c>
      <c r="L219" s="624" t="str">
        <f t="shared" si="165"/>
        <v/>
      </c>
      <c r="M219" s="624" t="str">
        <f t="shared" si="165"/>
        <v/>
      </c>
      <c r="N219" s="624" t="str">
        <f t="shared" si="165"/>
        <v/>
      </c>
      <c r="O219" s="632" t="str">
        <f t="shared" si="165"/>
        <v/>
      </c>
      <c r="P219" s="512" t="str">
        <f t="shared" si="140"/>
        <v>-</v>
      </c>
      <c r="Q219" s="4" t="str">
        <f t="shared" si="167"/>
        <v>-</v>
      </c>
    </row>
    <row r="220" spans="1:17" ht="15.75" x14ac:dyDescent="0.25">
      <c r="A220" s="915"/>
      <c r="B220" s="824"/>
      <c r="C220" s="17" t="s">
        <v>22</v>
      </c>
      <c r="D220" s="681" t="str">
        <f t="shared" si="165"/>
        <v/>
      </c>
      <c r="E220" s="681" t="str">
        <f t="shared" si="165"/>
        <v/>
      </c>
      <c r="F220" s="681" t="str">
        <f t="shared" si="165"/>
        <v/>
      </c>
      <c r="G220" s="681" t="str">
        <f t="shared" si="165"/>
        <v/>
      </c>
      <c r="H220" s="681" t="str">
        <f t="shared" si="165"/>
        <v/>
      </c>
      <c r="I220" s="681" t="str">
        <f t="shared" si="165"/>
        <v/>
      </c>
      <c r="J220" s="681" t="str">
        <f t="shared" si="165"/>
        <v/>
      </c>
      <c r="K220" s="681" t="str">
        <f t="shared" si="165"/>
        <v/>
      </c>
      <c r="L220" s="681" t="str">
        <f t="shared" si="165"/>
        <v/>
      </c>
      <c r="M220" s="681" t="str">
        <f t="shared" si="165"/>
        <v/>
      </c>
      <c r="N220" s="681" t="str">
        <f t="shared" si="165"/>
        <v/>
      </c>
      <c r="O220" s="682" t="str">
        <f t="shared" si="165"/>
        <v/>
      </c>
      <c r="P220" s="511" t="str">
        <f t="shared" si="140"/>
        <v>-</v>
      </c>
      <c r="Q220" s="6" t="str">
        <f t="shared" si="167"/>
        <v>-</v>
      </c>
    </row>
    <row r="221" spans="1:17" ht="15.75" x14ac:dyDescent="0.25">
      <c r="A221" s="915"/>
      <c r="B221" s="923" t="s">
        <v>172</v>
      </c>
      <c r="C221" s="924"/>
      <c r="D221" s="546" t="str">
        <f>IF(SUM(D193,D195)=0,"",SUM(D193,D195))</f>
        <v/>
      </c>
      <c r="E221" s="546" t="str">
        <f t="shared" ref="E221:O221" si="168">IF(SUM(E193,E195)=0,"",SUM(E193,E195))</f>
        <v/>
      </c>
      <c r="F221" s="546" t="str">
        <f t="shared" si="168"/>
        <v/>
      </c>
      <c r="G221" s="546" t="str">
        <f t="shared" si="168"/>
        <v/>
      </c>
      <c r="H221" s="546" t="str">
        <f t="shared" si="168"/>
        <v/>
      </c>
      <c r="I221" s="546" t="str">
        <f t="shared" si="168"/>
        <v/>
      </c>
      <c r="J221" s="546" t="str">
        <f t="shared" si="168"/>
        <v/>
      </c>
      <c r="K221" s="546" t="str">
        <f t="shared" si="168"/>
        <v/>
      </c>
      <c r="L221" s="546" t="str">
        <f t="shared" si="168"/>
        <v/>
      </c>
      <c r="M221" s="546" t="str">
        <f t="shared" si="168"/>
        <v/>
      </c>
      <c r="N221" s="546" t="str">
        <f t="shared" si="168"/>
        <v/>
      </c>
      <c r="O221" s="633" t="str">
        <f t="shared" si="168"/>
        <v/>
      </c>
      <c r="P221" s="512" t="str">
        <f t="shared" ref="P221:P222" si="169">IF(Q221="-","-",Q221/COUNTIF(D221:O221,"&gt;0"))</f>
        <v>-</v>
      </c>
      <c r="Q221" s="4" t="str">
        <f>IF(SUM(D221:O221)=0,"-",SUM(D221:O221))</f>
        <v>-</v>
      </c>
    </row>
    <row r="222" spans="1:17" ht="15.75" x14ac:dyDescent="0.25">
      <c r="A222" s="915"/>
      <c r="B222" s="923" t="s">
        <v>18</v>
      </c>
      <c r="C222" s="924"/>
      <c r="D222" s="546" t="str">
        <f t="shared" ref="D222:O222" si="170">IF(SUM(D36,D67,D98,D129,D160,D191)=0,"",SUM(D36,D67,D98,D129,D160,D191))</f>
        <v/>
      </c>
      <c r="E222" s="546" t="str">
        <f t="shared" si="170"/>
        <v/>
      </c>
      <c r="F222" s="546" t="str">
        <f t="shared" si="170"/>
        <v/>
      </c>
      <c r="G222" s="546" t="str">
        <f t="shared" si="170"/>
        <v/>
      </c>
      <c r="H222" s="546" t="str">
        <f t="shared" si="170"/>
        <v/>
      </c>
      <c r="I222" s="546" t="str">
        <f t="shared" si="170"/>
        <v/>
      </c>
      <c r="J222" s="546" t="str">
        <f t="shared" si="170"/>
        <v/>
      </c>
      <c r="K222" s="546" t="str">
        <f t="shared" si="170"/>
        <v/>
      </c>
      <c r="L222" s="546" t="str">
        <f t="shared" si="170"/>
        <v/>
      </c>
      <c r="M222" s="546" t="str">
        <f t="shared" si="170"/>
        <v/>
      </c>
      <c r="N222" s="546" t="str">
        <f t="shared" si="170"/>
        <v/>
      </c>
      <c r="O222" s="633" t="str">
        <f t="shared" si="170"/>
        <v/>
      </c>
      <c r="P222" s="512" t="str">
        <f t="shared" si="169"/>
        <v>-</v>
      </c>
      <c r="Q222" s="4" t="str">
        <f>IF(SUM(D222:O222)=0,"-",SUM(D222:O222))</f>
        <v>-</v>
      </c>
    </row>
    <row r="223" spans="1:17" ht="16.5" thickBot="1" x14ac:dyDescent="0.3">
      <c r="A223" s="916"/>
      <c r="B223" s="925" t="s">
        <v>17</v>
      </c>
      <c r="C223" s="926"/>
      <c r="D223" s="697" t="str">
        <f t="shared" ref="D223:O223" si="171">IF(SUM(D192,D161,D130,D99,D68,D37)=0,"",SUM(D192,D161,D130,D99,D68,D37))</f>
        <v/>
      </c>
      <c r="E223" s="697" t="str">
        <f t="shared" si="171"/>
        <v/>
      </c>
      <c r="F223" s="697" t="str">
        <f t="shared" si="171"/>
        <v/>
      </c>
      <c r="G223" s="697" t="str">
        <f t="shared" si="171"/>
        <v/>
      </c>
      <c r="H223" s="697" t="str">
        <f t="shared" si="171"/>
        <v/>
      </c>
      <c r="I223" s="697" t="str">
        <f t="shared" si="171"/>
        <v/>
      </c>
      <c r="J223" s="697" t="str">
        <f t="shared" si="171"/>
        <v/>
      </c>
      <c r="K223" s="697" t="str">
        <f t="shared" si="171"/>
        <v/>
      </c>
      <c r="L223" s="697" t="str">
        <f t="shared" si="171"/>
        <v/>
      </c>
      <c r="M223" s="697" t="str">
        <f t="shared" si="171"/>
        <v/>
      </c>
      <c r="N223" s="697" t="str">
        <f t="shared" si="171"/>
        <v/>
      </c>
      <c r="O223" s="698" t="str">
        <f t="shared" si="171"/>
        <v/>
      </c>
      <c r="P223" s="525" t="str">
        <f>IF(Q223="-","-",Q223/COUNTIF(D223:O223,"&gt;0"))</f>
        <v>-</v>
      </c>
      <c r="Q223" s="7" t="str">
        <f>IF(SUM(D223:O223)=0,"-",SUM(D223:O223))</f>
        <v>-</v>
      </c>
    </row>
    <row r="224" spans="1:17" ht="15" customHeight="1" x14ac:dyDescent="0.25">
      <c r="A224" s="838" t="s">
        <v>181</v>
      </c>
      <c r="B224" s="841" t="s">
        <v>179</v>
      </c>
      <c r="C224" s="745" t="s">
        <v>175</v>
      </c>
      <c r="D224" s="751"/>
      <c r="E224" s="751"/>
      <c r="F224" s="751"/>
      <c r="G224" s="751"/>
      <c r="H224" s="751"/>
      <c r="I224" s="751"/>
      <c r="J224" s="751"/>
      <c r="K224" s="751"/>
      <c r="L224" s="751"/>
      <c r="M224" s="751"/>
      <c r="N224" s="751"/>
      <c r="O224" s="752"/>
      <c r="P224" s="928"/>
      <c r="Q224" s="929"/>
    </row>
    <row r="225" spans="1:17" ht="15" customHeight="1" x14ac:dyDescent="0.25">
      <c r="A225" s="839"/>
      <c r="B225" s="790"/>
      <c r="C225" s="744" t="s">
        <v>176</v>
      </c>
      <c r="D225" s="753"/>
      <c r="E225" s="753"/>
      <c r="F225" s="753"/>
      <c r="G225" s="753"/>
      <c r="H225" s="753"/>
      <c r="I225" s="753"/>
      <c r="J225" s="753"/>
      <c r="K225" s="753"/>
      <c r="L225" s="753"/>
      <c r="M225" s="753"/>
      <c r="N225" s="753"/>
      <c r="O225" s="754"/>
      <c r="P225" s="930"/>
      <c r="Q225" s="931"/>
    </row>
    <row r="226" spans="1:17" ht="30" x14ac:dyDescent="0.25">
      <c r="A226" s="839"/>
      <c r="B226" s="761" t="str">
        <f>'2025'!O226</f>
        <v>0:00</v>
      </c>
      <c r="C226" s="755" t="s">
        <v>177</v>
      </c>
      <c r="D226" s="749" t="str">
        <f>IF(B226-B227+D224-D225&lt;=0,"0:00",B226+D224-D225)</f>
        <v>0:00</v>
      </c>
      <c r="E226" s="749" t="str">
        <f>IF(D226-D227+E224-E225&lt;=0,"0:00",D226-D227+E224-E225)</f>
        <v>0:00</v>
      </c>
      <c r="F226" s="749" t="str">
        <f t="shared" ref="F226:O226" si="172">IF(E226-E227+F224-F225&lt;=0,"0:00",E226-E227+F224-F225)</f>
        <v>0:00</v>
      </c>
      <c r="G226" s="749" t="str">
        <f t="shared" si="172"/>
        <v>0:00</v>
      </c>
      <c r="H226" s="749" t="str">
        <f t="shared" si="172"/>
        <v>0:00</v>
      </c>
      <c r="I226" s="749" t="str">
        <f t="shared" si="172"/>
        <v>0:00</v>
      </c>
      <c r="J226" s="749" t="str">
        <f t="shared" si="172"/>
        <v>0:00</v>
      </c>
      <c r="K226" s="749" t="str">
        <f t="shared" si="172"/>
        <v>0:00</v>
      </c>
      <c r="L226" s="749" t="str">
        <f t="shared" si="172"/>
        <v>0:00</v>
      </c>
      <c r="M226" s="749" t="str">
        <f t="shared" si="172"/>
        <v>0:00</v>
      </c>
      <c r="N226" s="749" t="str">
        <f t="shared" si="172"/>
        <v>0:00</v>
      </c>
      <c r="O226" s="750" t="str">
        <f t="shared" si="172"/>
        <v>0:00</v>
      </c>
      <c r="P226" s="930"/>
      <c r="Q226" s="931"/>
    </row>
    <row r="227" spans="1:17" ht="30" x14ac:dyDescent="0.25">
      <c r="A227" s="839"/>
      <c r="B227" s="762" t="str">
        <f>'2025'!O227</f>
        <v>0:00</v>
      </c>
      <c r="C227" s="756" t="s">
        <v>178</v>
      </c>
      <c r="D227" s="757" t="str">
        <f>IF(B227-B226-D224+D225&lt;=0,"0:00",B227-D224+D225)</f>
        <v>0:00</v>
      </c>
      <c r="E227" s="757" t="str">
        <f>IF(D227-D226-E224+E225&lt;=0,"0:00",D227-D226-E224+E225)</f>
        <v>0:00</v>
      </c>
      <c r="F227" s="757" t="str">
        <f>IF(E227-E226-F224+F225&lt;=0,"0:00",E227-E226-F224+F225)</f>
        <v>0:00</v>
      </c>
      <c r="G227" s="757" t="str">
        <f t="shared" ref="G227:O227" si="173">IF(F227-F226-G224+G225&lt;=0,"0:00",F227-F226-G224+G225)</f>
        <v>0:00</v>
      </c>
      <c r="H227" s="757" t="str">
        <f t="shared" si="173"/>
        <v>0:00</v>
      </c>
      <c r="I227" s="757" t="str">
        <f t="shared" si="173"/>
        <v>0:00</v>
      </c>
      <c r="J227" s="757" t="str">
        <f t="shared" si="173"/>
        <v>0:00</v>
      </c>
      <c r="K227" s="757" t="str">
        <f t="shared" si="173"/>
        <v>0:00</v>
      </c>
      <c r="L227" s="757" t="str">
        <f t="shared" si="173"/>
        <v>0:00</v>
      </c>
      <c r="M227" s="757" t="str">
        <f t="shared" si="173"/>
        <v>0:00</v>
      </c>
      <c r="N227" s="757" t="str">
        <f t="shared" si="173"/>
        <v>0:00</v>
      </c>
      <c r="O227" s="759" t="str">
        <f t="shared" si="173"/>
        <v>0:00</v>
      </c>
      <c r="P227" s="930"/>
      <c r="Q227" s="931"/>
    </row>
    <row r="228" spans="1:17" ht="15.75" customHeight="1" thickBot="1" x14ac:dyDescent="0.3">
      <c r="A228" s="840"/>
      <c r="B228" s="934" t="s">
        <v>174</v>
      </c>
      <c r="C228" s="935"/>
      <c r="D228" s="758" t="str">
        <f>IF(SUM(D224:D225)=0,"",(D225-D224)*MAX(D$7,D$38,D$69,D$100,D$131,D$162)*24)</f>
        <v/>
      </c>
      <c r="E228" s="758" t="str">
        <f t="shared" ref="E228:O228" si="174">IF(SUM(E224:E225)=0,"",(E225-E224)*MAX(E$7,E$38,E$69,E$100,E$131,E$162)*24)</f>
        <v/>
      </c>
      <c r="F228" s="758" t="str">
        <f t="shared" si="174"/>
        <v/>
      </c>
      <c r="G228" s="758" t="str">
        <f t="shared" si="174"/>
        <v/>
      </c>
      <c r="H228" s="758" t="str">
        <f t="shared" si="174"/>
        <v/>
      </c>
      <c r="I228" s="758" t="str">
        <f t="shared" si="174"/>
        <v/>
      </c>
      <c r="J228" s="758" t="str">
        <f t="shared" si="174"/>
        <v/>
      </c>
      <c r="K228" s="758" t="str">
        <f t="shared" si="174"/>
        <v/>
      </c>
      <c r="L228" s="758" t="str">
        <f t="shared" si="174"/>
        <v/>
      </c>
      <c r="M228" s="758" t="str">
        <f t="shared" si="174"/>
        <v/>
      </c>
      <c r="N228" s="758" t="str">
        <f t="shared" si="174"/>
        <v/>
      </c>
      <c r="O228" s="760" t="str">
        <f t="shared" si="174"/>
        <v/>
      </c>
      <c r="P228" s="932"/>
      <c r="Q228" s="933"/>
    </row>
    <row r="229" spans="1:17" ht="15.75" customHeight="1" x14ac:dyDescent="0.25">
      <c r="A229" s="985" t="s">
        <v>14</v>
      </c>
      <c r="B229" s="748" t="s">
        <v>150</v>
      </c>
      <c r="C229" s="735">
        <v>2.85</v>
      </c>
      <c r="D229" s="736"/>
      <c r="E229" s="736"/>
      <c r="F229" s="736"/>
      <c r="G229" s="736"/>
      <c r="H229" s="736"/>
      <c r="I229" s="736"/>
      <c r="J229" s="736"/>
      <c r="K229" s="736"/>
      <c r="L229" s="736"/>
      <c r="M229" s="736"/>
      <c r="N229" s="736"/>
      <c r="O229" s="737"/>
      <c r="P229" s="738" t="str">
        <f t="shared" ref="P229:P275" si="175">IF(Q229="-","-",Q229/COUNTIF(D229:O229,"&gt;0"))</f>
        <v>-</v>
      </c>
      <c r="Q229" s="739" t="str">
        <f t="shared" ref="Q229:Q275" si="176">IF(SUM(D229:O229)=0,"-",SUM(D229:O229))</f>
        <v>-</v>
      </c>
    </row>
    <row r="230" spans="1:17" ht="15.75" x14ac:dyDescent="0.25">
      <c r="A230" s="790"/>
      <c r="B230" s="746" t="s">
        <v>151</v>
      </c>
      <c r="C230" s="625">
        <v>3.35</v>
      </c>
      <c r="D230" s="549"/>
      <c r="E230" s="549"/>
      <c r="F230" s="549"/>
      <c r="G230" s="549"/>
      <c r="H230" s="549"/>
      <c r="I230" s="549"/>
      <c r="J230" s="549"/>
      <c r="K230" s="549"/>
      <c r="L230" s="549"/>
      <c r="M230" s="549"/>
      <c r="N230" s="549"/>
      <c r="O230" s="550"/>
      <c r="P230" s="635" t="str">
        <f t="shared" si="175"/>
        <v>-</v>
      </c>
      <c r="Q230" s="636" t="str">
        <f t="shared" si="176"/>
        <v>-</v>
      </c>
    </row>
    <row r="231" spans="1:17" ht="15.75" x14ac:dyDescent="0.25">
      <c r="A231" s="790"/>
      <c r="B231" s="747" t="s">
        <v>27</v>
      </c>
      <c r="C231" s="17" t="s">
        <v>22</v>
      </c>
      <c r="D231" s="677" t="str">
        <f>IF(((D229)+(D230))*24=0,"",((D229*$C$229)+(D230*$C$230))*24)</f>
        <v/>
      </c>
      <c r="E231" s="677" t="str">
        <f t="shared" ref="E231:O231" si="177">IF(((E229)+(E230))*24=0,"",((E229*$C$229)+(E230*$C$230))*24)</f>
        <v/>
      </c>
      <c r="F231" s="677" t="str">
        <f t="shared" si="177"/>
        <v/>
      </c>
      <c r="G231" s="677" t="str">
        <f t="shared" si="177"/>
        <v/>
      </c>
      <c r="H231" s="677" t="str">
        <f t="shared" si="177"/>
        <v/>
      </c>
      <c r="I231" s="677" t="str">
        <f t="shared" si="177"/>
        <v/>
      </c>
      <c r="J231" s="677" t="str">
        <f t="shared" si="177"/>
        <v/>
      </c>
      <c r="K231" s="677" t="str">
        <f t="shared" si="177"/>
        <v/>
      </c>
      <c r="L231" s="677" t="str">
        <f t="shared" si="177"/>
        <v/>
      </c>
      <c r="M231" s="677" t="str">
        <f t="shared" si="177"/>
        <v/>
      </c>
      <c r="N231" s="677" t="str">
        <f t="shared" si="177"/>
        <v/>
      </c>
      <c r="O231" s="678" t="str">
        <f t="shared" si="177"/>
        <v/>
      </c>
      <c r="P231" s="631" t="str">
        <f t="shared" si="175"/>
        <v>-</v>
      </c>
      <c r="Q231" s="629" t="str">
        <f t="shared" si="176"/>
        <v>-</v>
      </c>
    </row>
    <row r="232" spans="1:17" ht="15.75" x14ac:dyDescent="0.25">
      <c r="A232" s="790" t="s">
        <v>25</v>
      </c>
      <c r="B232" s="790"/>
      <c r="C232" s="89" t="s">
        <v>21</v>
      </c>
      <c r="D232" s="740"/>
      <c r="E232" s="740"/>
      <c r="F232" s="740"/>
      <c r="G232" s="740"/>
      <c r="H232" s="740"/>
      <c r="I232" s="740"/>
      <c r="J232" s="740"/>
      <c r="K232" s="740"/>
      <c r="L232" s="740"/>
      <c r="M232" s="740"/>
      <c r="N232" s="740"/>
      <c r="O232" s="741"/>
      <c r="P232" s="635" t="str">
        <f t="shared" si="175"/>
        <v>-</v>
      </c>
      <c r="Q232" s="636" t="str">
        <f t="shared" si="176"/>
        <v>-</v>
      </c>
    </row>
    <row r="233" spans="1:17" ht="15.75" x14ac:dyDescent="0.25">
      <c r="A233" s="790"/>
      <c r="B233" s="790"/>
      <c r="C233" s="17" t="s">
        <v>22</v>
      </c>
      <c r="D233" s="677" t="str">
        <f t="shared" ref="D233:O233" si="178">IF(D232*MAX(D$7,D$38,D$69,D$100,D$131,D$162)*24=0,"",D232*MAX(D$7,D$38,D$69,D$100,D$131,D$162)*24)</f>
        <v/>
      </c>
      <c r="E233" s="677" t="str">
        <f t="shared" si="178"/>
        <v/>
      </c>
      <c r="F233" s="677" t="str">
        <f t="shared" si="178"/>
        <v/>
      </c>
      <c r="G233" s="677" t="str">
        <f t="shared" si="178"/>
        <v/>
      </c>
      <c r="H233" s="677" t="str">
        <f t="shared" si="178"/>
        <v/>
      </c>
      <c r="I233" s="677" t="str">
        <f t="shared" si="178"/>
        <v/>
      </c>
      <c r="J233" s="677" t="str">
        <f t="shared" si="178"/>
        <v/>
      </c>
      <c r="K233" s="677" t="str">
        <f t="shared" si="178"/>
        <v/>
      </c>
      <c r="L233" s="677" t="str">
        <f t="shared" si="178"/>
        <v/>
      </c>
      <c r="M233" s="677" t="str">
        <f t="shared" si="178"/>
        <v/>
      </c>
      <c r="N233" s="677" t="str">
        <f t="shared" si="178"/>
        <v/>
      </c>
      <c r="O233" s="678" t="str">
        <f t="shared" si="178"/>
        <v/>
      </c>
      <c r="P233" s="631" t="str">
        <f t="shared" si="175"/>
        <v>-</v>
      </c>
      <c r="Q233" s="629" t="str">
        <f t="shared" si="176"/>
        <v>-</v>
      </c>
    </row>
    <row r="234" spans="1:17" ht="15.75" customHeight="1" x14ac:dyDescent="0.25">
      <c r="A234" s="791" t="s">
        <v>24</v>
      </c>
      <c r="B234" s="792"/>
      <c r="C234" s="16" t="s">
        <v>21</v>
      </c>
      <c r="D234" s="675"/>
      <c r="E234" s="675"/>
      <c r="F234" s="675"/>
      <c r="G234" s="675"/>
      <c r="H234" s="675"/>
      <c r="I234" s="675"/>
      <c r="J234" s="675"/>
      <c r="K234" s="675"/>
      <c r="L234" s="675"/>
      <c r="M234" s="675"/>
      <c r="N234" s="675"/>
      <c r="O234" s="676"/>
      <c r="P234" s="635" t="str">
        <f t="shared" si="175"/>
        <v>-</v>
      </c>
      <c r="Q234" s="636" t="str">
        <f t="shared" si="176"/>
        <v>-</v>
      </c>
    </row>
    <row r="235" spans="1:17" ht="15.75" x14ac:dyDescent="0.25">
      <c r="A235" s="793"/>
      <c r="B235" s="794"/>
      <c r="C235" s="17" t="s">
        <v>22</v>
      </c>
      <c r="D235" s="1031"/>
      <c r="E235" s="1031"/>
      <c r="F235" s="1031"/>
      <c r="G235" s="1031"/>
      <c r="H235" s="1031"/>
      <c r="I235" s="1031"/>
      <c r="J235" s="1031"/>
      <c r="K235" s="1031"/>
      <c r="L235" s="1031"/>
      <c r="M235" s="1031"/>
      <c r="N235" s="1031"/>
      <c r="O235" s="1032"/>
      <c r="P235" s="631" t="str">
        <f t="shared" si="175"/>
        <v>-</v>
      </c>
      <c r="Q235" s="629" t="str">
        <f t="shared" si="176"/>
        <v>-</v>
      </c>
    </row>
    <row r="236" spans="1:17" ht="15.75" x14ac:dyDescent="0.25">
      <c r="A236" s="795" t="s">
        <v>2</v>
      </c>
      <c r="B236" s="796"/>
      <c r="C236" s="16" t="s">
        <v>21</v>
      </c>
      <c r="D236" s="675"/>
      <c r="E236" s="675"/>
      <c r="F236" s="675"/>
      <c r="G236" s="675"/>
      <c r="H236" s="675"/>
      <c r="I236" s="675"/>
      <c r="J236" s="675"/>
      <c r="K236" s="675"/>
      <c r="L236" s="675"/>
      <c r="M236" s="675"/>
      <c r="N236" s="675"/>
      <c r="O236" s="676"/>
      <c r="P236" s="635" t="str">
        <f t="shared" si="175"/>
        <v>-</v>
      </c>
      <c r="Q236" s="636" t="str">
        <f t="shared" si="176"/>
        <v>-</v>
      </c>
    </row>
    <row r="237" spans="1:17" ht="15.75" x14ac:dyDescent="0.25">
      <c r="A237" s="797"/>
      <c r="B237" s="798"/>
      <c r="C237" s="17" t="s">
        <v>22</v>
      </c>
      <c r="D237" s="677" t="str">
        <f t="shared" ref="D237:O237" si="179">IF(D236*MAX(D$7,D$38,D$69,D$100,D$131,D$162)*24=0,"",D236*MAX(D$7,D$38,D$69,D$100,D$131,D$162)*24)</f>
        <v/>
      </c>
      <c r="E237" s="677" t="str">
        <f t="shared" si="179"/>
        <v/>
      </c>
      <c r="F237" s="677" t="str">
        <f t="shared" si="179"/>
        <v/>
      </c>
      <c r="G237" s="677" t="str">
        <f t="shared" si="179"/>
        <v/>
      </c>
      <c r="H237" s="677" t="str">
        <f t="shared" si="179"/>
        <v/>
      </c>
      <c r="I237" s="677" t="str">
        <f t="shared" si="179"/>
        <v/>
      </c>
      <c r="J237" s="677" t="str">
        <f t="shared" si="179"/>
        <v/>
      </c>
      <c r="K237" s="677" t="str">
        <f t="shared" si="179"/>
        <v/>
      </c>
      <c r="L237" s="677" t="str">
        <f t="shared" si="179"/>
        <v/>
      </c>
      <c r="M237" s="677" t="str">
        <f t="shared" si="179"/>
        <v/>
      </c>
      <c r="N237" s="677" t="str">
        <f t="shared" si="179"/>
        <v/>
      </c>
      <c r="O237" s="678" t="str">
        <f t="shared" si="179"/>
        <v/>
      </c>
      <c r="P237" s="631" t="str">
        <f t="shared" si="175"/>
        <v>-</v>
      </c>
      <c r="Q237" s="629" t="str">
        <f t="shared" si="176"/>
        <v>-</v>
      </c>
    </row>
    <row r="238" spans="1:17" ht="15.75" x14ac:dyDescent="0.25">
      <c r="A238" s="791" t="s">
        <v>23</v>
      </c>
      <c r="B238" s="792"/>
      <c r="C238" s="16" t="s">
        <v>21</v>
      </c>
      <c r="D238" s="675"/>
      <c r="E238" s="675"/>
      <c r="F238" s="675"/>
      <c r="G238" s="675"/>
      <c r="H238" s="675"/>
      <c r="I238" s="675"/>
      <c r="J238" s="675"/>
      <c r="K238" s="675"/>
      <c r="L238" s="675"/>
      <c r="M238" s="675"/>
      <c r="N238" s="675"/>
      <c r="O238" s="676"/>
      <c r="P238" s="635" t="str">
        <f t="shared" si="175"/>
        <v>-</v>
      </c>
      <c r="Q238" s="636" t="str">
        <f t="shared" si="176"/>
        <v>-</v>
      </c>
    </row>
    <row r="239" spans="1:17" ht="15.75" x14ac:dyDescent="0.25">
      <c r="A239" s="793"/>
      <c r="B239" s="794"/>
      <c r="C239" s="89" t="s">
        <v>22</v>
      </c>
      <c r="D239" s="714" t="str">
        <f>IF(D238*MAX(D$7,D$38,D$69,D$100,D$131,D$162)*24=0,"",D238*MAX(D$7,D$38,D$69,D$100,D$131,D$162)*24)</f>
        <v/>
      </c>
      <c r="E239" s="714" t="str">
        <f t="shared" ref="E239:O239" si="180">IF(E238*MAX(E$7,E$38,E$69,E$100,E$131,E$162)*24=0,"",E238*MAX(E$7,E$38,E$69,E$100,E$131,E$162)*24)</f>
        <v/>
      </c>
      <c r="F239" s="714" t="str">
        <f t="shared" si="180"/>
        <v/>
      </c>
      <c r="G239" s="714" t="str">
        <f t="shared" si="180"/>
        <v/>
      </c>
      <c r="H239" s="714" t="str">
        <f t="shared" si="180"/>
        <v/>
      </c>
      <c r="I239" s="714" t="str">
        <f t="shared" si="180"/>
        <v/>
      </c>
      <c r="J239" s="714" t="str">
        <f t="shared" si="180"/>
        <v/>
      </c>
      <c r="K239" s="714" t="str">
        <f t="shared" si="180"/>
        <v/>
      </c>
      <c r="L239" s="714" t="str">
        <f t="shared" si="180"/>
        <v/>
      </c>
      <c r="M239" s="714" t="str">
        <f t="shared" si="180"/>
        <v/>
      </c>
      <c r="N239" s="714" t="str">
        <f t="shared" si="180"/>
        <v/>
      </c>
      <c r="O239" s="715" t="str">
        <f t="shared" si="180"/>
        <v/>
      </c>
      <c r="P239" s="631" t="str">
        <f t="shared" si="175"/>
        <v>-</v>
      </c>
      <c r="Q239" s="629" t="str">
        <f t="shared" si="176"/>
        <v>-</v>
      </c>
    </row>
    <row r="240" spans="1:17" ht="15.75" x14ac:dyDescent="0.25">
      <c r="A240" s="799" t="s">
        <v>171</v>
      </c>
      <c r="B240" s="800"/>
      <c r="C240" s="16" t="s">
        <v>21</v>
      </c>
      <c r="D240" s="716"/>
      <c r="E240" s="675"/>
      <c r="F240" s="675"/>
      <c r="G240" s="675"/>
      <c r="H240" s="675"/>
      <c r="I240" s="675"/>
      <c r="J240" s="675"/>
      <c r="K240" s="675"/>
      <c r="L240" s="675"/>
      <c r="M240" s="675"/>
      <c r="N240" s="675"/>
      <c r="O240" s="676"/>
      <c r="P240" s="635" t="str">
        <f t="shared" si="175"/>
        <v>-</v>
      </c>
      <c r="Q240" s="636" t="str">
        <f t="shared" si="176"/>
        <v>-</v>
      </c>
    </row>
    <row r="241" spans="1:17" ht="15.75" x14ac:dyDescent="0.25">
      <c r="A241" s="801"/>
      <c r="B241" s="802"/>
      <c r="C241" s="17" t="s">
        <v>22</v>
      </c>
      <c r="D241" s="717" t="str">
        <f t="shared" ref="D241:O241" si="181">IF(D240*MAX(D$7,D$38,D$69,D$100,D$131,D$162)*24=0,"",D240*MAX(D$7,D$38,D$69,D$100,D$131,D$162)*24)</f>
        <v/>
      </c>
      <c r="E241" s="677" t="str">
        <f t="shared" si="181"/>
        <v/>
      </c>
      <c r="F241" s="677" t="str">
        <f t="shared" si="181"/>
        <v/>
      </c>
      <c r="G241" s="677" t="str">
        <f t="shared" si="181"/>
        <v/>
      </c>
      <c r="H241" s="677" t="str">
        <f t="shared" si="181"/>
        <v/>
      </c>
      <c r="I241" s="677" t="str">
        <f t="shared" si="181"/>
        <v/>
      </c>
      <c r="J241" s="677" t="str">
        <f t="shared" si="181"/>
        <v/>
      </c>
      <c r="K241" s="677" t="str">
        <f t="shared" si="181"/>
        <v/>
      </c>
      <c r="L241" s="677" t="str">
        <f t="shared" si="181"/>
        <v/>
      </c>
      <c r="M241" s="677" t="str">
        <f t="shared" si="181"/>
        <v/>
      </c>
      <c r="N241" s="677" t="str">
        <f t="shared" si="181"/>
        <v/>
      </c>
      <c r="O241" s="678" t="str">
        <f t="shared" si="181"/>
        <v/>
      </c>
      <c r="P241" s="631" t="str">
        <f t="shared" si="175"/>
        <v>-</v>
      </c>
      <c r="Q241" s="629" t="str">
        <f t="shared" si="176"/>
        <v>-</v>
      </c>
    </row>
    <row r="242" spans="1:17" ht="15.75" customHeight="1" x14ac:dyDescent="0.25">
      <c r="A242" s="799" t="s">
        <v>171</v>
      </c>
      <c r="B242" s="800"/>
      <c r="C242" s="16" t="s">
        <v>21</v>
      </c>
      <c r="D242" s="716"/>
      <c r="E242" s="675"/>
      <c r="F242" s="675"/>
      <c r="G242" s="675"/>
      <c r="H242" s="675"/>
      <c r="I242" s="675"/>
      <c r="J242" s="675"/>
      <c r="K242" s="675"/>
      <c r="L242" s="675"/>
      <c r="M242" s="675"/>
      <c r="N242" s="675"/>
      <c r="O242" s="676"/>
      <c r="P242" s="635" t="str">
        <f t="shared" si="175"/>
        <v>-</v>
      </c>
      <c r="Q242" s="636" t="str">
        <f t="shared" si="176"/>
        <v>-</v>
      </c>
    </row>
    <row r="243" spans="1:17" ht="15.75" customHeight="1" thickBot="1" x14ac:dyDescent="0.3">
      <c r="A243" s="803"/>
      <c r="B243" s="804"/>
      <c r="C243" s="527" t="s">
        <v>22</v>
      </c>
      <c r="D243" s="718" t="str">
        <f t="shared" ref="D243:O243" si="182">IF(D242*MAX(D$7,D$38,D$69,D$100,D$131,D$162)*24=0,"",D242*MAX(D$7,D$38,D$69,D$100,D$131,D$162)*24)</f>
        <v/>
      </c>
      <c r="E243" s="679" t="str">
        <f t="shared" si="182"/>
        <v/>
      </c>
      <c r="F243" s="679" t="str">
        <f t="shared" si="182"/>
        <v/>
      </c>
      <c r="G243" s="679" t="str">
        <f t="shared" si="182"/>
        <v/>
      </c>
      <c r="H243" s="679" t="str">
        <f t="shared" si="182"/>
        <v/>
      </c>
      <c r="I243" s="679" t="str">
        <f t="shared" si="182"/>
        <v/>
      </c>
      <c r="J243" s="679" t="str">
        <f t="shared" si="182"/>
        <v/>
      </c>
      <c r="K243" s="679" t="str">
        <f t="shared" si="182"/>
        <v/>
      </c>
      <c r="L243" s="679" t="str">
        <f t="shared" si="182"/>
        <v/>
      </c>
      <c r="M243" s="679" t="str">
        <f t="shared" si="182"/>
        <v/>
      </c>
      <c r="N243" s="679" t="str">
        <f t="shared" si="182"/>
        <v/>
      </c>
      <c r="O243" s="680" t="str">
        <f t="shared" si="182"/>
        <v/>
      </c>
      <c r="P243" s="525" t="str">
        <f t="shared" si="175"/>
        <v>-</v>
      </c>
      <c r="Q243" s="7" t="str">
        <f t="shared" si="176"/>
        <v>-</v>
      </c>
    </row>
    <row r="244" spans="1:17" ht="23.1" customHeight="1" x14ac:dyDescent="0.25">
      <c r="A244" s="842" t="s">
        <v>18</v>
      </c>
      <c r="B244" s="843"/>
      <c r="C244" s="844"/>
      <c r="D244" s="721" t="str">
        <f>IF(SUM(D222,D224,D232,D234,D236,D238,D240,D242)-D225=0,"",SUM(D222,D225,D232,D234,D236,D238,D240,D242)-D224)</f>
        <v/>
      </c>
      <c r="E244" s="721" t="str">
        <f t="shared" ref="E244:O244" si="183">IF(SUM(E222,E224,E232,E234,E236,E238,E240,E242)-E225=0,"",SUM(E222,E225,E232,E234,E236,E238,E240,E242)-E224)</f>
        <v/>
      </c>
      <c r="F244" s="721" t="str">
        <f t="shared" si="183"/>
        <v/>
      </c>
      <c r="G244" s="721" t="str">
        <f t="shared" si="183"/>
        <v/>
      </c>
      <c r="H244" s="721" t="str">
        <f t="shared" si="183"/>
        <v/>
      </c>
      <c r="I244" s="721" t="str">
        <f t="shared" si="183"/>
        <v/>
      </c>
      <c r="J244" s="721" t="str">
        <f t="shared" si="183"/>
        <v/>
      </c>
      <c r="K244" s="721" t="str">
        <f t="shared" si="183"/>
        <v/>
      </c>
      <c r="L244" s="721" t="str">
        <f t="shared" si="183"/>
        <v/>
      </c>
      <c r="M244" s="721" t="str">
        <f t="shared" si="183"/>
        <v/>
      </c>
      <c r="N244" s="721" t="str">
        <f t="shared" si="183"/>
        <v/>
      </c>
      <c r="O244" s="722" t="str">
        <f t="shared" si="183"/>
        <v/>
      </c>
      <c r="P244" s="544" t="str">
        <f t="shared" si="175"/>
        <v>-</v>
      </c>
      <c r="Q244" s="634" t="str">
        <f t="shared" si="176"/>
        <v>-</v>
      </c>
    </row>
    <row r="245" spans="1:17" ht="23.1" customHeight="1" thickBot="1" x14ac:dyDescent="0.3">
      <c r="A245" s="845" t="s">
        <v>26</v>
      </c>
      <c r="B245" s="846"/>
      <c r="C245" s="847"/>
      <c r="D245" s="528" t="str">
        <f>IF(SUM(D223,D228,D231,D233,D235,D237,D239,D241,D243)=0,"",SUM(D223,D228,D231,D233,D235,D237,D239,D241,D243))</f>
        <v/>
      </c>
      <c r="E245" s="528" t="str">
        <f t="shared" ref="E245:O245" si="184">IF(SUM(E223,E228,E231,E233,E235,E237,E239,E241,E243)=0,"",SUM(E223,E228,E231,E233,E235,E237,E239,E241,E243))</f>
        <v/>
      </c>
      <c r="F245" s="528" t="str">
        <f t="shared" si="184"/>
        <v/>
      </c>
      <c r="G245" s="528" t="str">
        <f t="shared" si="184"/>
        <v/>
      </c>
      <c r="H245" s="528" t="str">
        <f t="shared" si="184"/>
        <v/>
      </c>
      <c r="I245" s="528" t="str">
        <f t="shared" si="184"/>
        <v/>
      </c>
      <c r="J245" s="528" t="str">
        <f t="shared" si="184"/>
        <v/>
      </c>
      <c r="K245" s="528" t="str">
        <f t="shared" si="184"/>
        <v/>
      </c>
      <c r="L245" s="528" t="str">
        <f t="shared" si="184"/>
        <v/>
      </c>
      <c r="M245" s="528" t="str">
        <f t="shared" si="184"/>
        <v/>
      </c>
      <c r="N245" s="528" t="str">
        <f t="shared" si="184"/>
        <v/>
      </c>
      <c r="O245" s="545" t="str">
        <f t="shared" si="184"/>
        <v/>
      </c>
      <c r="P245" s="657" t="str">
        <f t="shared" si="175"/>
        <v>-</v>
      </c>
      <c r="Q245" s="723" t="str">
        <f t="shared" si="176"/>
        <v>-</v>
      </c>
    </row>
    <row r="246" spans="1:17" ht="27" thickBot="1" x14ac:dyDescent="0.3">
      <c r="A246" s="888" t="s">
        <v>28</v>
      </c>
      <c r="B246" s="889"/>
      <c r="C246" s="889"/>
      <c r="D246" s="889"/>
      <c r="E246" s="889"/>
      <c r="F246" s="889"/>
      <c r="G246" s="889"/>
      <c r="H246" s="889"/>
      <c r="I246" s="889"/>
      <c r="J246" s="889"/>
      <c r="K246" s="889"/>
      <c r="L246" s="889"/>
      <c r="M246" s="889"/>
      <c r="N246" s="889"/>
      <c r="O246" s="889"/>
      <c r="P246" s="889"/>
      <c r="Q246" s="890"/>
    </row>
    <row r="247" spans="1:17" ht="15.75" customHeight="1" x14ac:dyDescent="0.25">
      <c r="A247" s="917" t="s">
        <v>29</v>
      </c>
      <c r="B247" s="918"/>
      <c r="C247" s="541" t="s">
        <v>30</v>
      </c>
      <c r="D247" s="606"/>
      <c r="E247" s="606"/>
      <c r="F247" s="606"/>
      <c r="G247" s="606"/>
      <c r="H247" s="606"/>
      <c r="I247" s="606"/>
      <c r="J247" s="606"/>
      <c r="K247" s="606"/>
      <c r="L247" s="606"/>
      <c r="M247" s="606"/>
      <c r="N247" s="606"/>
      <c r="O247" s="607"/>
      <c r="P247" s="637" t="str">
        <f t="shared" si="175"/>
        <v>-</v>
      </c>
      <c r="Q247" s="638" t="str">
        <f t="shared" si="176"/>
        <v>-</v>
      </c>
    </row>
    <row r="248" spans="1:17" ht="15.75" customHeight="1" x14ac:dyDescent="0.25">
      <c r="A248" s="919"/>
      <c r="B248" s="920"/>
      <c r="C248" s="8" t="s">
        <v>31</v>
      </c>
      <c r="D248" s="608"/>
      <c r="E248" s="608"/>
      <c r="F248" s="608"/>
      <c r="G248" s="608"/>
      <c r="H248" s="608"/>
      <c r="I248" s="608"/>
      <c r="J248" s="608"/>
      <c r="K248" s="608"/>
      <c r="L248" s="608"/>
      <c r="M248" s="608"/>
      <c r="N248" s="608"/>
      <c r="O248" s="609"/>
      <c r="P248" s="639" t="str">
        <f t="shared" si="175"/>
        <v>-</v>
      </c>
      <c r="Q248" s="640" t="str">
        <f t="shared" si="176"/>
        <v>-</v>
      </c>
    </row>
    <row r="249" spans="1:17" ht="15.75" customHeight="1" x14ac:dyDescent="0.25">
      <c r="A249" s="919"/>
      <c r="B249" s="920"/>
      <c r="C249" s="8" t="s">
        <v>56</v>
      </c>
      <c r="D249" s="608"/>
      <c r="E249" s="608"/>
      <c r="F249" s="608"/>
      <c r="G249" s="608"/>
      <c r="H249" s="608"/>
      <c r="I249" s="608"/>
      <c r="J249" s="608"/>
      <c r="K249" s="608"/>
      <c r="L249" s="608"/>
      <c r="M249" s="608"/>
      <c r="N249" s="608"/>
      <c r="O249" s="609"/>
      <c r="P249" s="639" t="str">
        <f t="shared" si="175"/>
        <v>-</v>
      </c>
      <c r="Q249" s="640" t="str">
        <f t="shared" si="176"/>
        <v>-</v>
      </c>
    </row>
    <row r="250" spans="1:17" ht="19.5" thickBot="1" x14ac:dyDescent="0.3">
      <c r="A250" s="921"/>
      <c r="B250" s="922"/>
      <c r="C250" s="628" t="s">
        <v>5</v>
      </c>
      <c r="D250" s="542">
        <f>IF(SUM(D247,D248,D249)=0,0,SUM(D247,D248,D249))</f>
        <v>0</v>
      </c>
      <c r="E250" s="542">
        <f t="shared" ref="E250:O250" si="185">IF(SUM(E247,E248,E249)=0,0,SUM(E247,E248,E249))</f>
        <v>0</v>
      </c>
      <c r="F250" s="542">
        <f t="shared" si="185"/>
        <v>0</v>
      </c>
      <c r="G250" s="542">
        <f t="shared" si="185"/>
        <v>0</v>
      </c>
      <c r="H250" s="542">
        <f t="shared" si="185"/>
        <v>0</v>
      </c>
      <c r="I250" s="542">
        <f t="shared" si="185"/>
        <v>0</v>
      </c>
      <c r="J250" s="542">
        <f t="shared" si="185"/>
        <v>0</v>
      </c>
      <c r="K250" s="542">
        <f t="shared" si="185"/>
        <v>0</v>
      </c>
      <c r="L250" s="542">
        <f t="shared" si="185"/>
        <v>0</v>
      </c>
      <c r="M250" s="542">
        <f t="shared" si="185"/>
        <v>0</v>
      </c>
      <c r="N250" s="542">
        <f t="shared" si="185"/>
        <v>0</v>
      </c>
      <c r="O250" s="543">
        <f t="shared" si="185"/>
        <v>0</v>
      </c>
      <c r="P250" s="641" t="str">
        <f>IF(Q250="-","-",Q250/COUNTIF(D250:O250,"&gt;0"))</f>
        <v>-</v>
      </c>
      <c r="Q250" s="642" t="str">
        <f t="shared" si="176"/>
        <v>-</v>
      </c>
    </row>
    <row r="251" spans="1:17" ht="15.75" customHeight="1" x14ac:dyDescent="0.25">
      <c r="A251" s="848" t="s">
        <v>32</v>
      </c>
      <c r="B251" s="849"/>
      <c r="C251" s="537" t="s">
        <v>30</v>
      </c>
      <c r="D251" s="606"/>
      <c r="E251" s="606"/>
      <c r="F251" s="606"/>
      <c r="G251" s="606"/>
      <c r="H251" s="606"/>
      <c r="I251" s="606"/>
      <c r="J251" s="606"/>
      <c r="K251" s="606"/>
      <c r="L251" s="606"/>
      <c r="M251" s="606"/>
      <c r="N251" s="606"/>
      <c r="O251" s="607"/>
      <c r="P251" s="643" t="str">
        <f t="shared" si="175"/>
        <v>-</v>
      </c>
      <c r="Q251" s="644" t="str">
        <f t="shared" si="176"/>
        <v>-</v>
      </c>
    </row>
    <row r="252" spans="1:17" ht="15.75" customHeight="1" x14ac:dyDescent="0.25">
      <c r="A252" s="850"/>
      <c r="B252" s="851"/>
      <c r="C252" s="9" t="s">
        <v>31</v>
      </c>
      <c r="D252" s="608"/>
      <c r="E252" s="608"/>
      <c r="F252" s="608"/>
      <c r="G252" s="608"/>
      <c r="H252" s="608"/>
      <c r="I252" s="608"/>
      <c r="J252" s="608"/>
      <c r="K252" s="608"/>
      <c r="L252" s="608"/>
      <c r="M252" s="608"/>
      <c r="N252" s="608"/>
      <c r="O252" s="609"/>
      <c r="P252" s="645" t="str">
        <f t="shared" si="175"/>
        <v>-</v>
      </c>
      <c r="Q252" s="646" t="str">
        <f t="shared" si="176"/>
        <v>-</v>
      </c>
    </row>
    <row r="253" spans="1:17" ht="15.75" customHeight="1" x14ac:dyDescent="0.25">
      <c r="A253" s="850"/>
      <c r="B253" s="851"/>
      <c r="C253" s="9" t="s">
        <v>56</v>
      </c>
      <c r="D253" s="608"/>
      <c r="E253" s="608"/>
      <c r="F253" s="608"/>
      <c r="G253" s="608"/>
      <c r="H253" s="608"/>
      <c r="I253" s="608"/>
      <c r="J253" s="608"/>
      <c r="K253" s="608"/>
      <c r="L253" s="608"/>
      <c r="M253" s="608"/>
      <c r="N253" s="608"/>
      <c r="O253" s="609"/>
      <c r="P253" s="645" t="str">
        <f t="shared" si="175"/>
        <v>-</v>
      </c>
      <c r="Q253" s="646" t="str">
        <f t="shared" si="176"/>
        <v>-</v>
      </c>
    </row>
    <row r="254" spans="1:17" ht="15.75" customHeight="1" thickBot="1" x14ac:dyDescent="0.3">
      <c r="A254" s="852"/>
      <c r="B254" s="853"/>
      <c r="C254" s="538" t="s">
        <v>5</v>
      </c>
      <c r="D254" s="539">
        <f>IF(SUM(D251,D252,D253)=0,0,SUM(D251,D252,D253))</f>
        <v>0</v>
      </c>
      <c r="E254" s="539">
        <f t="shared" ref="E254:O254" si="186">IF(SUM(E251,E252,E253)=0,0,SUM(E251,E252,E253))</f>
        <v>0</v>
      </c>
      <c r="F254" s="539">
        <f t="shared" si="186"/>
        <v>0</v>
      </c>
      <c r="G254" s="539">
        <f t="shared" si="186"/>
        <v>0</v>
      </c>
      <c r="H254" s="539">
        <f t="shared" si="186"/>
        <v>0</v>
      </c>
      <c r="I254" s="539">
        <f t="shared" si="186"/>
        <v>0</v>
      </c>
      <c r="J254" s="539">
        <f t="shared" si="186"/>
        <v>0</v>
      </c>
      <c r="K254" s="539">
        <f t="shared" si="186"/>
        <v>0</v>
      </c>
      <c r="L254" s="539">
        <f t="shared" si="186"/>
        <v>0</v>
      </c>
      <c r="M254" s="539">
        <f t="shared" si="186"/>
        <v>0</v>
      </c>
      <c r="N254" s="539">
        <f t="shared" si="186"/>
        <v>0</v>
      </c>
      <c r="O254" s="540">
        <f t="shared" si="186"/>
        <v>0</v>
      </c>
      <c r="P254" s="647" t="str">
        <f>IF(Q254="-","-",Q254/COUNTIF(D254:O254,"&gt;0"))</f>
        <v>-</v>
      </c>
      <c r="Q254" s="648" t="str">
        <f t="shared" si="176"/>
        <v>-</v>
      </c>
    </row>
    <row r="255" spans="1:17" ht="15.75" customHeight="1" x14ac:dyDescent="0.25">
      <c r="A255" s="848" t="s">
        <v>33</v>
      </c>
      <c r="B255" s="849"/>
      <c r="C255" s="535" t="s">
        <v>30</v>
      </c>
      <c r="D255" s="606"/>
      <c r="E255" s="606"/>
      <c r="F255" s="606"/>
      <c r="G255" s="606"/>
      <c r="H255" s="606"/>
      <c r="I255" s="606"/>
      <c r="J255" s="606"/>
      <c r="K255" s="606"/>
      <c r="L255" s="606"/>
      <c r="M255" s="606"/>
      <c r="N255" s="606"/>
      <c r="O255" s="607"/>
      <c r="P255" s="643" t="str">
        <f t="shared" si="175"/>
        <v>-</v>
      </c>
      <c r="Q255" s="644" t="str">
        <f t="shared" si="176"/>
        <v>-</v>
      </c>
    </row>
    <row r="256" spans="1:17" ht="15.75" customHeight="1" x14ac:dyDescent="0.25">
      <c r="A256" s="850"/>
      <c r="B256" s="851"/>
      <c r="C256" s="10" t="s">
        <v>31</v>
      </c>
      <c r="D256" s="608"/>
      <c r="E256" s="608"/>
      <c r="F256" s="608"/>
      <c r="G256" s="608"/>
      <c r="H256" s="608"/>
      <c r="I256" s="608"/>
      <c r="J256" s="608"/>
      <c r="K256" s="608"/>
      <c r="L256" s="608"/>
      <c r="M256" s="608"/>
      <c r="N256" s="608"/>
      <c r="O256" s="609"/>
      <c r="P256" s="649" t="str">
        <f t="shared" si="175"/>
        <v>-</v>
      </c>
      <c r="Q256" s="650" t="str">
        <f t="shared" si="176"/>
        <v>-</v>
      </c>
    </row>
    <row r="257" spans="1:17" ht="15.75" customHeight="1" x14ac:dyDescent="0.25">
      <c r="A257" s="850"/>
      <c r="B257" s="851"/>
      <c r="C257" s="10" t="s">
        <v>56</v>
      </c>
      <c r="D257" s="608"/>
      <c r="E257" s="608"/>
      <c r="F257" s="608"/>
      <c r="G257" s="608"/>
      <c r="H257" s="608"/>
      <c r="I257" s="608"/>
      <c r="J257" s="608"/>
      <c r="K257" s="608"/>
      <c r="L257" s="608"/>
      <c r="M257" s="608"/>
      <c r="N257" s="608"/>
      <c r="O257" s="609"/>
      <c r="P257" s="649" t="str">
        <f t="shared" si="175"/>
        <v>-</v>
      </c>
      <c r="Q257" s="650" t="str">
        <f t="shared" si="176"/>
        <v>-</v>
      </c>
    </row>
    <row r="258" spans="1:17" ht="15.75" customHeight="1" thickBot="1" x14ac:dyDescent="0.3">
      <c r="A258" s="852"/>
      <c r="B258" s="853"/>
      <c r="C258" s="536" t="s">
        <v>5</v>
      </c>
      <c r="D258" s="539">
        <f>IF(SUM(D255,D256,D257)=0,0,SUM(D255,D256,D257))</f>
        <v>0</v>
      </c>
      <c r="E258" s="539">
        <f t="shared" ref="E258:O258" si="187">IF(SUM(E255,E256,E257)=0,0,SUM(E255,E256,E257))</f>
        <v>0</v>
      </c>
      <c r="F258" s="539">
        <f t="shared" si="187"/>
        <v>0</v>
      </c>
      <c r="G258" s="539">
        <f t="shared" si="187"/>
        <v>0</v>
      </c>
      <c r="H258" s="539">
        <f t="shared" si="187"/>
        <v>0</v>
      </c>
      <c r="I258" s="539">
        <f t="shared" si="187"/>
        <v>0</v>
      </c>
      <c r="J258" s="539">
        <f t="shared" si="187"/>
        <v>0</v>
      </c>
      <c r="K258" s="539">
        <f t="shared" si="187"/>
        <v>0</v>
      </c>
      <c r="L258" s="539">
        <f t="shared" si="187"/>
        <v>0</v>
      </c>
      <c r="M258" s="539">
        <f t="shared" si="187"/>
        <v>0</v>
      </c>
      <c r="N258" s="539">
        <f t="shared" si="187"/>
        <v>0</v>
      </c>
      <c r="O258" s="540">
        <f t="shared" si="187"/>
        <v>0</v>
      </c>
      <c r="P258" s="651" t="str">
        <f>IF(Q258="-","-",Q258/COUNTIF(D258:O258,"&gt;0"))</f>
        <v>-</v>
      </c>
      <c r="Q258" s="652" t="str">
        <f t="shared" si="176"/>
        <v>-</v>
      </c>
    </row>
    <row r="259" spans="1:17" ht="15.75" customHeight="1" x14ac:dyDescent="0.25">
      <c r="A259" s="805" t="s">
        <v>34</v>
      </c>
      <c r="B259" s="806"/>
      <c r="C259" s="626" t="s">
        <v>30</v>
      </c>
      <c r="D259" s="710" t="str">
        <f>IF(D247-D251-D255=0, "",D247-D251-D255)</f>
        <v/>
      </c>
      <c r="E259" s="710" t="str">
        <f t="shared" ref="E259:O259" si="188">IF(E247-E251-E255=0, "",E247-E251-E255)</f>
        <v/>
      </c>
      <c r="F259" s="710" t="str">
        <f t="shared" si="188"/>
        <v/>
      </c>
      <c r="G259" s="710" t="str">
        <f t="shared" si="188"/>
        <v/>
      </c>
      <c r="H259" s="710" t="str">
        <f t="shared" si="188"/>
        <v/>
      </c>
      <c r="I259" s="710" t="str">
        <f t="shared" si="188"/>
        <v/>
      </c>
      <c r="J259" s="710" t="str">
        <f t="shared" si="188"/>
        <v/>
      </c>
      <c r="K259" s="710" t="str">
        <f t="shared" si="188"/>
        <v/>
      </c>
      <c r="L259" s="710" t="str">
        <f t="shared" si="188"/>
        <v/>
      </c>
      <c r="M259" s="710" t="str">
        <f t="shared" si="188"/>
        <v/>
      </c>
      <c r="N259" s="710" t="str">
        <f t="shared" si="188"/>
        <v/>
      </c>
      <c r="O259" s="711" t="str">
        <f t="shared" si="188"/>
        <v/>
      </c>
      <c r="P259" s="653" t="str">
        <f t="shared" si="175"/>
        <v>-</v>
      </c>
      <c r="Q259" s="654" t="str">
        <f t="shared" si="176"/>
        <v>-</v>
      </c>
    </row>
    <row r="260" spans="1:17" ht="15.75" customHeight="1" x14ac:dyDescent="0.25">
      <c r="A260" s="807"/>
      <c r="B260" s="808"/>
      <c r="C260" s="627" t="s">
        <v>31</v>
      </c>
      <c r="D260" s="712" t="str">
        <f t="shared" ref="D260:O261" si="189">IF(D248-D252-D256=0, "",D248-D252-D256)</f>
        <v/>
      </c>
      <c r="E260" s="712" t="str">
        <f t="shared" si="189"/>
        <v/>
      </c>
      <c r="F260" s="712" t="str">
        <f t="shared" si="189"/>
        <v/>
      </c>
      <c r="G260" s="712" t="str">
        <f t="shared" si="189"/>
        <v/>
      </c>
      <c r="H260" s="712" t="str">
        <f t="shared" si="189"/>
        <v/>
      </c>
      <c r="I260" s="712" t="str">
        <f t="shared" si="189"/>
        <v/>
      </c>
      <c r="J260" s="712" t="str">
        <f t="shared" si="189"/>
        <v/>
      </c>
      <c r="K260" s="712" t="str">
        <f t="shared" si="189"/>
        <v/>
      </c>
      <c r="L260" s="712" t="str">
        <f t="shared" si="189"/>
        <v/>
      </c>
      <c r="M260" s="712" t="str">
        <f t="shared" si="189"/>
        <v/>
      </c>
      <c r="N260" s="712" t="str">
        <f t="shared" si="189"/>
        <v/>
      </c>
      <c r="O260" s="713" t="str">
        <f t="shared" si="189"/>
        <v/>
      </c>
      <c r="P260" s="655" t="str">
        <f t="shared" si="175"/>
        <v>-</v>
      </c>
      <c r="Q260" s="656" t="str">
        <f t="shared" si="176"/>
        <v>-</v>
      </c>
    </row>
    <row r="261" spans="1:17" ht="15.75" customHeight="1" x14ac:dyDescent="0.25">
      <c r="A261" s="807"/>
      <c r="B261" s="808"/>
      <c r="C261" s="627" t="s">
        <v>56</v>
      </c>
      <c r="D261" s="712" t="str">
        <f t="shared" si="189"/>
        <v/>
      </c>
      <c r="E261" s="712" t="str">
        <f t="shared" si="189"/>
        <v/>
      </c>
      <c r="F261" s="712" t="str">
        <f t="shared" si="189"/>
        <v/>
      </c>
      <c r="G261" s="712" t="str">
        <f t="shared" si="189"/>
        <v/>
      </c>
      <c r="H261" s="712" t="str">
        <f t="shared" si="189"/>
        <v/>
      </c>
      <c r="I261" s="712" t="str">
        <f t="shared" si="189"/>
        <v/>
      </c>
      <c r="J261" s="712" t="str">
        <f t="shared" si="189"/>
        <v/>
      </c>
      <c r="K261" s="712" t="str">
        <f t="shared" si="189"/>
        <v/>
      </c>
      <c r="L261" s="712" t="str">
        <f t="shared" si="189"/>
        <v/>
      </c>
      <c r="M261" s="712" t="str">
        <f t="shared" si="189"/>
        <v/>
      </c>
      <c r="N261" s="712" t="str">
        <f t="shared" si="189"/>
        <v/>
      </c>
      <c r="O261" s="713" t="str">
        <f t="shared" si="189"/>
        <v/>
      </c>
      <c r="P261" s="655" t="str">
        <f t="shared" si="175"/>
        <v>-</v>
      </c>
      <c r="Q261" s="656" t="str">
        <f t="shared" si="176"/>
        <v>-</v>
      </c>
    </row>
    <row r="262" spans="1:17" ht="19.5" thickBot="1" x14ac:dyDescent="0.3">
      <c r="A262" s="809"/>
      <c r="B262" s="810"/>
      <c r="C262" s="530" t="s">
        <v>5</v>
      </c>
      <c r="D262" s="528">
        <f>IF(SUM(D259:D261)=0,0,SUM(D259:D261))</f>
        <v>0</v>
      </c>
      <c r="E262" s="528">
        <f t="shared" ref="E262:O262" si="190">IF(SUM(E259:E261)=0,0,SUM(E259:E261))</f>
        <v>0</v>
      </c>
      <c r="F262" s="528">
        <f t="shared" si="190"/>
        <v>0</v>
      </c>
      <c r="G262" s="528">
        <f t="shared" si="190"/>
        <v>0</v>
      </c>
      <c r="H262" s="528">
        <f t="shared" si="190"/>
        <v>0</v>
      </c>
      <c r="I262" s="528">
        <f t="shared" si="190"/>
        <v>0</v>
      </c>
      <c r="J262" s="528">
        <f t="shared" si="190"/>
        <v>0</v>
      </c>
      <c r="K262" s="528">
        <f t="shared" si="190"/>
        <v>0</v>
      </c>
      <c r="L262" s="528">
        <f t="shared" si="190"/>
        <v>0</v>
      </c>
      <c r="M262" s="528">
        <f t="shared" si="190"/>
        <v>0</v>
      </c>
      <c r="N262" s="528">
        <f t="shared" si="190"/>
        <v>0</v>
      </c>
      <c r="O262" s="545">
        <f t="shared" si="190"/>
        <v>0</v>
      </c>
      <c r="P262" s="657" t="str">
        <f>IF(Q262="-","-",Q262/COUNTIF(D262:O262,"&gt;0"))</f>
        <v>-</v>
      </c>
      <c r="Q262" s="658" t="str">
        <f t="shared" si="176"/>
        <v>-</v>
      </c>
    </row>
    <row r="263" spans="1:17" ht="39" customHeight="1" thickBot="1" x14ac:dyDescent="0.3">
      <c r="A263" s="875" t="s">
        <v>186</v>
      </c>
      <c r="B263" s="876"/>
      <c r="C263" s="877"/>
      <c r="D263" s="532">
        <f>IF(SUM(D245,D250)=0,0,D247+D248-D245-D267-D268)</f>
        <v>0</v>
      </c>
      <c r="E263" s="532">
        <f t="shared" ref="E263:O263" si="191">IF(SUM(E245,E250)=0,0,E247+E248-E245-E267-E268)</f>
        <v>0</v>
      </c>
      <c r="F263" s="532">
        <f t="shared" si="191"/>
        <v>0</v>
      </c>
      <c r="G263" s="532">
        <f t="shared" si="191"/>
        <v>0</v>
      </c>
      <c r="H263" s="532">
        <f t="shared" si="191"/>
        <v>0</v>
      </c>
      <c r="I263" s="532">
        <f t="shared" si="191"/>
        <v>0</v>
      </c>
      <c r="J263" s="532">
        <f t="shared" si="191"/>
        <v>0</v>
      </c>
      <c r="K263" s="532">
        <f t="shared" si="191"/>
        <v>0</v>
      </c>
      <c r="L263" s="532">
        <f t="shared" si="191"/>
        <v>0</v>
      </c>
      <c r="M263" s="532">
        <f t="shared" si="191"/>
        <v>0</v>
      </c>
      <c r="N263" s="532">
        <f t="shared" si="191"/>
        <v>0</v>
      </c>
      <c r="O263" s="533">
        <f t="shared" si="191"/>
        <v>0</v>
      </c>
      <c r="P263" s="659" t="str">
        <f>IF(Q263="-","-",Q263/COUNTIF(D263:O263,"&lt;&gt;0"))</f>
        <v>-</v>
      </c>
      <c r="Q263" s="660" t="str">
        <f t="shared" si="176"/>
        <v>-</v>
      </c>
    </row>
    <row r="264" spans="1:17" ht="15.75" customHeight="1" x14ac:dyDescent="0.25">
      <c r="A264" s="811" t="s">
        <v>35</v>
      </c>
      <c r="B264" s="812"/>
      <c r="C264" s="529" t="s">
        <v>30</v>
      </c>
      <c r="D264" s="606"/>
      <c r="E264" s="606"/>
      <c r="F264" s="606"/>
      <c r="G264" s="606"/>
      <c r="H264" s="606"/>
      <c r="I264" s="606"/>
      <c r="J264" s="606"/>
      <c r="K264" s="606"/>
      <c r="L264" s="606"/>
      <c r="M264" s="606"/>
      <c r="N264" s="606"/>
      <c r="O264" s="607"/>
      <c r="P264" s="637" t="str">
        <f t="shared" ref="P264:P273" si="192">IF(Q264="-","-",Q264/COUNTIF(D264:O264,"&lt;&gt;"))</f>
        <v>-</v>
      </c>
      <c r="Q264" s="638" t="str">
        <f t="shared" si="176"/>
        <v>-</v>
      </c>
    </row>
    <row r="265" spans="1:17" ht="15.75" customHeight="1" x14ac:dyDescent="0.25">
      <c r="A265" s="813"/>
      <c r="B265" s="814"/>
      <c r="C265" s="11" t="s">
        <v>31</v>
      </c>
      <c r="D265" s="608"/>
      <c r="E265" s="610"/>
      <c r="F265" s="610"/>
      <c r="G265" s="610"/>
      <c r="H265" s="610"/>
      <c r="I265" s="610"/>
      <c r="J265" s="610"/>
      <c r="K265" s="610"/>
      <c r="L265" s="610"/>
      <c r="M265" s="610"/>
      <c r="N265" s="610"/>
      <c r="O265" s="611"/>
      <c r="P265" s="661" t="str">
        <f t="shared" si="192"/>
        <v>-</v>
      </c>
      <c r="Q265" s="662" t="str">
        <f t="shared" si="176"/>
        <v>-</v>
      </c>
    </row>
    <row r="266" spans="1:17" ht="15.75" customHeight="1" x14ac:dyDescent="0.25">
      <c r="A266" s="813"/>
      <c r="B266" s="814"/>
      <c r="C266" s="8" t="s">
        <v>56</v>
      </c>
      <c r="D266" s="608"/>
      <c r="E266" s="608"/>
      <c r="F266" s="608"/>
      <c r="G266" s="608"/>
      <c r="H266" s="608"/>
      <c r="I266" s="608"/>
      <c r="J266" s="608"/>
      <c r="K266" s="608"/>
      <c r="L266" s="608"/>
      <c r="M266" s="608"/>
      <c r="N266" s="608"/>
      <c r="O266" s="611"/>
      <c r="P266" s="639" t="str">
        <f t="shared" si="192"/>
        <v>-</v>
      </c>
      <c r="Q266" s="640" t="str">
        <f t="shared" si="176"/>
        <v>-</v>
      </c>
    </row>
    <row r="267" spans="1:17" ht="15.75" customHeight="1" x14ac:dyDescent="0.25">
      <c r="A267" s="813"/>
      <c r="B267" s="814"/>
      <c r="C267" s="8" t="s">
        <v>57</v>
      </c>
      <c r="D267" s="608"/>
      <c r="E267" s="608"/>
      <c r="F267" s="608"/>
      <c r="G267" s="608"/>
      <c r="H267" s="608"/>
      <c r="I267" s="608"/>
      <c r="J267" s="608"/>
      <c r="K267" s="608"/>
      <c r="L267" s="608"/>
      <c r="M267" s="608"/>
      <c r="N267" s="608"/>
      <c r="O267" s="611"/>
      <c r="P267" s="639" t="str">
        <f>IF(Q267=0,"-",Q267/COUNTIF(D267:O267,"&lt;&gt;"))</f>
        <v>-</v>
      </c>
      <c r="Q267" s="640">
        <f>IF(SUM(D267:O267)=0,0,SUM(D267:O267))</f>
        <v>0</v>
      </c>
    </row>
    <row r="268" spans="1:17" ht="15.75" customHeight="1" x14ac:dyDescent="0.25">
      <c r="A268" s="813"/>
      <c r="B268" s="814"/>
      <c r="C268" s="8" t="s">
        <v>58</v>
      </c>
      <c r="D268" s="608"/>
      <c r="E268" s="608"/>
      <c r="F268" s="608"/>
      <c r="G268" s="608"/>
      <c r="H268" s="608"/>
      <c r="I268" s="608"/>
      <c r="J268" s="608"/>
      <c r="K268" s="608"/>
      <c r="L268" s="608"/>
      <c r="M268" s="608"/>
      <c r="N268" s="608"/>
      <c r="O268" s="611"/>
      <c r="P268" s="639" t="str">
        <f>IF(Q268=0,"-",Q268/COUNTIF(D268:O268,"&lt;&gt;"))</f>
        <v>-</v>
      </c>
      <c r="Q268" s="640">
        <f>IF(SUM(D268:O268)=0,0,SUM(D268:O268))</f>
        <v>0</v>
      </c>
    </row>
    <row r="269" spans="1:17" ht="15.75" customHeight="1" thickBot="1" x14ac:dyDescent="0.3">
      <c r="A269" s="815"/>
      <c r="B269" s="816"/>
      <c r="C269" s="530" t="s">
        <v>5</v>
      </c>
      <c r="D269" s="531">
        <f>IF(SUM(D264:D268)=0,,SUM(D264:D268))</f>
        <v>0</v>
      </c>
      <c r="E269" s="531">
        <f>IF(SUM(E264:E268)=0,,SUM(E264:E268))</f>
        <v>0</v>
      </c>
      <c r="F269" s="531">
        <f t="shared" ref="F269:O269" si="193">IF(SUM(F264:F268)=0,,SUM(F264:F268))</f>
        <v>0</v>
      </c>
      <c r="G269" s="531">
        <f t="shared" si="193"/>
        <v>0</v>
      </c>
      <c r="H269" s="531">
        <f t="shared" si="193"/>
        <v>0</v>
      </c>
      <c r="I269" s="531">
        <f t="shared" si="193"/>
        <v>0</v>
      </c>
      <c r="J269" s="531">
        <f t="shared" si="193"/>
        <v>0</v>
      </c>
      <c r="K269" s="531">
        <f t="shared" si="193"/>
        <v>0</v>
      </c>
      <c r="L269" s="531">
        <f t="shared" si="193"/>
        <v>0</v>
      </c>
      <c r="M269" s="531">
        <f t="shared" si="193"/>
        <v>0</v>
      </c>
      <c r="N269" s="531">
        <f t="shared" si="193"/>
        <v>0</v>
      </c>
      <c r="O269" s="534">
        <f t="shared" si="193"/>
        <v>0</v>
      </c>
      <c r="P269" s="657" t="str">
        <f>IF(Q269="-","-",Q269/COUNTIF(D269:O269,"&gt;0"))</f>
        <v>-</v>
      </c>
      <c r="Q269" s="658" t="str">
        <f t="shared" si="176"/>
        <v>-</v>
      </c>
    </row>
    <row r="270" spans="1:17" ht="15.75" customHeight="1" x14ac:dyDescent="0.25">
      <c r="A270" s="817" t="s">
        <v>59</v>
      </c>
      <c r="B270" s="818"/>
      <c r="C270" s="819"/>
      <c r="D270" s="612"/>
      <c r="E270" s="612"/>
      <c r="F270" s="612"/>
      <c r="G270" s="612"/>
      <c r="H270" s="612"/>
      <c r="I270" s="612"/>
      <c r="J270" s="612"/>
      <c r="K270" s="612"/>
      <c r="L270" s="612"/>
      <c r="M270" s="612"/>
      <c r="N270" s="612"/>
      <c r="O270" s="613"/>
      <c r="P270" s="663" t="str">
        <f t="shared" si="192"/>
        <v>-</v>
      </c>
      <c r="Q270" s="664" t="str">
        <f t="shared" si="176"/>
        <v>-</v>
      </c>
    </row>
    <row r="271" spans="1:17" ht="15.75" customHeight="1" x14ac:dyDescent="0.25">
      <c r="A271" s="854" t="s">
        <v>6</v>
      </c>
      <c r="B271" s="855"/>
      <c r="C271" s="856"/>
      <c r="D271" s="614"/>
      <c r="E271" s="614"/>
      <c r="F271" s="614"/>
      <c r="G271" s="614"/>
      <c r="H271" s="614"/>
      <c r="I271" s="614"/>
      <c r="J271" s="614"/>
      <c r="K271" s="614"/>
      <c r="L271" s="614"/>
      <c r="M271" s="614"/>
      <c r="N271" s="614"/>
      <c r="O271" s="615"/>
      <c r="P271" s="665" t="str">
        <f t="shared" si="192"/>
        <v>-</v>
      </c>
      <c r="Q271" s="666" t="str">
        <f t="shared" si="176"/>
        <v>-</v>
      </c>
    </row>
    <row r="272" spans="1:17" ht="15.75" customHeight="1" x14ac:dyDescent="0.25">
      <c r="A272" s="857" t="s">
        <v>36</v>
      </c>
      <c r="B272" s="858"/>
      <c r="C272" s="859"/>
      <c r="D272" s="614"/>
      <c r="E272" s="614"/>
      <c r="F272" s="614"/>
      <c r="G272" s="614"/>
      <c r="H272" s="614"/>
      <c r="I272" s="614"/>
      <c r="J272" s="614"/>
      <c r="K272" s="614"/>
      <c r="L272" s="614"/>
      <c r="M272" s="614"/>
      <c r="N272" s="614"/>
      <c r="O272" s="615"/>
      <c r="P272" s="665" t="str">
        <f t="shared" si="192"/>
        <v>-</v>
      </c>
      <c r="Q272" s="666" t="str">
        <f t="shared" si="176"/>
        <v>-</v>
      </c>
    </row>
    <row r="273" spans="1:17" ht="15.75" customHeight="1" x14ac:dyDescent="0.25">
      <c r="A273" s="857" t="s">
        <v>19</v>
      </c>
      <c r="B273" s="858"/>
      <c r="C273" s="859"/>
      <c r="D273" s="614"/>
      <c r="E273" s="614"/>
      <c r="F273" s="614"/>
      <c r="G273" s="614"/>
      <c r="H273" s="614"/>
      <c r="I273" s="614"/>
      <c r="J273" s="614"/>
      <c r="K273" s="614"/>
      <c r="L273" s="614"/>
      <c r="M273" s="614"/>
      <c r="N273" s="614"/>
      <c r="O273" s="615"/>
      <c r="P273" s="665" t="str">
        <f t="shared" si="192"/>
        <v>-</v>
      </c>
      <c r="Q273" s="667" t="str">
        <f t="shared" si="176"/>
        <v>-</v>
      </c>
    </row>
    <row r="274" spans="1:17" ht="15.75" customHeight="1" x14ac:dyDescent="0.25">
      <c r="A274" s="857" t="s">
        <v>154</v>
      </c>
      <c r="B274" s="858"/>
      <c r="C274" s="859"/>
      <c r="D274" s="616" t="str">
        <f>IF(D272+D271=0,"",(SUM(D250,D269,D275))/(D272+D271))</f>
        <v/>
      </c>
      <c r="E274" s="616" t="str">
        <f t="shared" ref="E274:O274" si="194">IF(E272+E271=0,"",(SUM(E250,E269,E275))/(E272+E271))</f>
        <v/>
      </c>
      <c r="F274" s="616" t="str">
        <f t="shared" si="194"/>
        <v/>
      </c>
      <c r="G274" s="616" t="str">
        <f t="shared" si="194"/>
        <v/>
      </c>
      <c r="H274" s="616" t="str">
        <f t="shared" si="194"/>
        <v/>
      </c>
      <c r="I274" s="616" t="str">
        <f t="shared" si="194"/>
        <v/>
      </c>
      <c r="J274" s="616" t="str">
        <f t="shared" si="194"/>
        <v/>
      </c>
      <c r="K274" s="616" t="str">
        <f t="shared" si="194"/>
        <v/>
      </c>
      <c r="L274" s="616" t="str">
        <f t="shared" si="194"/>
        <v/>
      </c>
      <c r="M274" s="616" t="str">
        <f t="shared" si="194"/>
        <v/>
      </c>
      <c r="N274" s="616" t="str">
        <f t="shared" si="194"/>
        <v/>
      </c>
      <c r="O274" s="616" t="str">
        <f t="shared" si="194"/>
        <v/>
      </c>
      <c r="P274" s="668" t="str">
        <f>IF(SUM(D274:N274)=0,"-",(SUM(D274:N274))/COUNTIF(D274:O274,"&lt;&gt;"))</f>
        <v>-</v>
      </c>
      <c r="Q274" s="669"/>
    </row>
    <row r="275" spans="1:17" ht="15.75" customHeight="1" thickBot="1" x14ac:dyDescent="0.3">
      <c r="A275" s="673" t="s">
        <v>146</v>
      </c>
      <c r="B275" s="674" t="s">
        <v>147</v>
      </c>
      <c r="C275" s="618"/>
      <c r="D275" s="617" t="str">
        <f>IF(D271=0,"",D271*$C$275)</f>
        <v/>
      </c>
      <c r="E275" s="617" t="str">
        <f t="shared" ref="E275:O275" si="195">IF(E271=0,"",E271*$C$275)</f>
        <v/>
      </c>
      <c r="F275" s="617" t="str">
        <f t="shared" si="195"/>
        <v/>
      </c>
      <c r="G275" s="617" t="str">
        <f t="shared" si="195"/>
        <v/>
      </c>
      <c r="H275" s="617" t="str">
        <f t="shared" si="195"/>
        <v/>
      </c>
      <c r="I275" s="617" t="str">
        <f t="shared" si="195"/>
        <v/>
      </c>
      <c r="J275" s="617" t="str">
        <f t="shared" si="195"/>
        <v/>
      </c>
      <c r="K275" s="617" t="str">
        <f t="shared" si="195"/>
        <v/>
      </c>
      <c r="L275" s="617" t="str">
        <f t="shared" si="195"/>
        <v/>
      </c>
      <c r="M275" s="617" t="str">
        <f t="shared" si="195"/>
        <v/>
      </c>
      <c r="N275" s="617" t="str">
        <f t="shared" si="195"/>
        <v/>
      </c>
      <c r="O275" s="617" t="str">
        <f t="shared" si="195"/>
        <v/>
      </c>
      <c r="P275" s="670" t="str">
        <f t="shared" si="175"/>
        <v>-</v>
      </c>
      <c r="Q275" s="671" t="str">
        <f t="shared" si="176"/>
        <v>-</v>
      </c>
    </row>
    <row r="276" spans="1:17" ht="36.75" thickBot="1" x14ac:dyDescent="0.3">
      <c r="A276" s="860" t="s">
        <v>152</v>
      </c>
      <c r="B276" s="861"/>
      <c r="C276" s="861"/>
      <c r="D276" s="861"/>
      <c r="E276" s="861"/>
      <c r="F276" s="861"/>
      <c r="G276" s="861"/>
      <c r="H276" s="861"/>
      <c r="I276" s="861"/>
      <c r="J276" s="861"/>
      <c r="K276" s="861"/>
      <c r="L276" s="861"/>
      <c r="M276" s="861"/>
      <c r="N276" s="861"/>
      <c r="O276" s="861"/>
      <c r="P276" s="862"/>
      <c r="Q276" s="12" t="str">
        <f>IF(Q250="-","-",Q250+Q269+Q275-Q267-Q268)</f>
        <v>-</v>
      </c>
    </row>
  </sheetData>
  <sheetProtection sheet="1" objects="1" scenarios="1" selectLockedCells="1"/>
  <dataConsolidate/>
  <mergeCells count="164">
    <mergeCell ref="A244:C244"/>
    <mergeCell ref="A245:C245"/>
    <mergeCell ref="A246:Q246"/>
    <mergeCell ref="A273:C273"/>
    <mergeCell ref="A274:C274"/>
    <mergeCell ref="A276:P276"/>
    <mergeCell ref="A247:B250"/>
    <mergeCell ref="A251:B254"/>
    <mergeCell ref="A255:B258"/>
    <mergeCell ref="A259:B262"/>
    <mergeCell ref="A263:C263"/>
    <mergeCell ref="A264:B269"/>
    <mergeCell ref="A270:C270"/>
    <mergeCell ref="A271:C271"/>
    <mergeCell ref="A272:C272"/>
    <mergeCell ref="B223:C223"/>
    <mergeCell ref="A193:A223"/>
    <mergeCell ref="B193:B194"/>
    <mergeCell ref="B195:B196"/>
    <mergeCell ref="B197:B198"/>
    <mergeCell ref="B199:B200"/>
    <mergeCell ref="B201:B202"/>
    <mergeCell ref="B203:B204"/>
    <mergeCell ref="B205:B206"/>
    <mergeCell ref="B207:B208"/>
    <mergeCell ref="B209:B210"/>
    <mergeCell ref="P131:Q131"/>
    <mergeCell ref="B132:B133"/>
    <mergeCell ref="B211:B212"/>
    <mergeCell ref="B213:B214"/>
    <mergeCell ref="B215:B216"/>
    <mergeCell ref="B217:B218"/>
    <mergeCell ref="B219:B220"/>
    <mergeCell ref="B221:C221"/>
    <mergeCell ref="B222:C222"/>
    <mergeCell ref="B156:B157"/>
    <mergeCell ref="B158:B159"/>
    <mergeCell ref="B160:C160"/>
    <mergeCell ref="B161:C161"/>
    <mergeCell ref="B140:B141"/>
    <mergeCell ref="B134:B135"/>
    <mergeCell ref="B136:B137"/>
    <mergeCell ref="B138:B139"/>
    <mergeCell ref="A162:A192"/>
    <mergeCell ref="B162:C162"/>
    <mergeCell ref="P162:Q162"/>
    <mergeCell ref="B179:B180"/>
    <mergeCell ref="B181:B182"/>
    <mergeCell ref="B183:B184"/>
    <mergeCell ref="B185:B186"/>
    <mergeCell ref="B187:B188"/>
    <mergeCell ref="B189:B190"/>
    <mergeCell ref="B191:C191"/>
    <mergeCell ref="B192:C192"/>
    <mergeCell ref="B165:B166"/>
    <mergeCell ref="B167:B168"/>
    <mergeCell ref="B169:B170"/>
    <mergeCell ref="B171:B172"/>
    <mergeCell ref="B173:B174"/>
    <mergeCell ref="B175:B176"/>
    <mergeCell ref="B177:B178"/>
    <mergeCell ref="B163:B164"/>
    <mergeCell ref="B111:B112"/>
    <mergeCell ref="B113:B114"/>
    <mergeCell ref="B115:B116"/>
    <mergeCell ref="B117:B118"/>
    <mergeCell ref="B119:B120"/>
    <mergeCell ref="B101:B102"/>
    <mergeCell ref="B103:B104"/>
    <mergeCell ref="A131:A161"/>
    <mergeCell ref="A69:A99"/>
    <mergeCell ref="B69:C69"/>
    <mergeCell ref="B142:B143"/>
    <mergeCell ref="B144:B145"/>
    <mergeCell ref="B146:B147"/>
    <mergeCell ref="B148:B149"/>
    <mergeCell ref="B150:B151"/>
    <mergeCell ref="B152:B153"/>
    <mergeCell ref="B154:B155"/>
    <mergeCell ref="A100:A130"/>
    <mergeCell ref="B100:C100"/>
    <mergeCell ref="B121:B122"/>
    <mergeCell ref="B123:B124"/>
    <mergeCell ref="B125:B126"/>
    <mergeCell ref="B127:B128"/>
    <mergeCell ref="B129:C129"/>
    <mergeCell ref="B26:B27"/>
    <mergeCell ref="P38:Q38"/>
    <mergeCell ref="A38:A68"/>
    <mergeCell ref="B38:C38"/>
    <mergeCell ref="B55:B56"/>
    <mergeCell ref="P100:Q100"/>
    <mergeCell ref="B105:B106"/>
    <mergeCell ref="B107:B108"/>
    <mergeCell ref="B109:B110"/>
    <mergeCell ref="B67:C67"/>
    <mergeCell ref="B68:C68"/>
    <mergeCell ref="B76:B77"/>
    <mergeCell ref="B34:B35"/>
    <mergeCell ref="B36:C36"/>
    <mergeCell ref="B37:C37"/>
    <mergeCell ref="P69:Q69"/>
    <mergeCell ref="B72:B73"/>
    <mergeCell ref="B74:B75"/>
    <mergeCell ref="B78:B79"/>
    <mergeCell ref="A1:C1"/>
    <mergeCell ref="A6:Q6"/>
    <mergeCell ref="P2:Q5"/>
    <mergeCell ref="A3:C3"/>
    <mergeCell ref="A4:C4"/>
    <mergeCell ref="A5:C5"/>
    <mergeCell ref="B41:B42"/>
    <mergeCell ref="B43:B44"/>
    <mergeCell ref="B7:C7"/>
    <mergeCell ref="B8:B9"/>
    <mergeCell ref="B10:B11"/>
    <mergeCell ref="B12:B13"/>
    <mergeCell ref="B14:B15"/>
    <mergeCell ref="B16:B17"/>
    <mergeCell ref="B18:B19"/>
    <mergeCell ref="B20:B21"/>
    <mergeCell ref="B39:B40"/>
    <mergeCell ref="B22:B23"/>
    <mergeCell ref="B24:B25"/>
    <mergeCell ref="A2:C2"/>
    <mergeCell ref="B28:B29"/>
    <mergeCell ref="A7:A37"/>
    <mergeCell ref="B30:B31"/>
    <mergeCell ref="B32:B33"/>
    <mergeCell ref="B130:C130"/>
    <mergeCell ref="B131:C131"/>
    <mergeCell ref="B57:B58"/>
    <mergeCell ref="B96:B97"/>
    <mergeCell ref="B98:C98"/>
    <mergeCell ref="B99:C99"/>
    <mergeCell ref="B51:B52"/>
    <mergeCell ref="B53:B54"/>
    <mergeCell ref="B45:B46"/>
    <mergeCell ref="B47:B48"/>
    <mergeCell ref="B49:B50"/>
    <mergeCell ref="B59:B60"/>
    <mergeCell ref="B61:B62"/>
    <mergeCell ref="B63:B64"/>
    <mergeCell ref="B65:B66"/>
    <mergeCell ref="B80:B81"/>
    <mergeCell ref="B82:B83"/>
    <mergeCell ref="B84:B85"/>
    <mergeCell ref="B86:B87"/>
    <mergeCell ref="B88:B89"/>
    <mergeCell ref="B90:B91"/>
    <mergeCell ref="B92:B93"/>
    <mergeCell ref="B94:B95"/>
    <mergeCell ref="B70:B71"/>
    <mergeCell ref="P224:Q228"/>
    <mergeCell ref="B228:C228"/>
    <mergeCell ref="A229:A231"/>
    <mergeCell ref="A232:B233"/>
    <mergeCell ref="A234:B235"/>
    <mergeCell ref="A236:B237"/>
    <mergeCell ref="A238:B239"/>
    <mergeCell ref="A240:B241"/>
    <mergeCell ref="A242:B243"/>
    <mergeCell ref="A224:A228"/>
    <mergeCell ref="B224:B225"/>
  </mergeCells>
  <pageMargins left="0.7" right="0.7" top="0.75" bottom="0.75" header="0.3" footer="0.3"/>
  <ignoredErrors>
    <ignoredError sqref="P269" formula="1"/>
    <ignoredError sqref="P229:Q230" formulaRange="1"/>
    <ignoredError sqref="B226:B227" unlockedFormula="1"/>
  </ignoredErrors>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97561CDD-9133-4927-8A5E-D0D45D1EEA84}">
          <x14:formula1>
            <xm:f>DATA!$B$1:$B$9</xm:f>
          </x14:formula1>
          <xm:sqref>D3:O3</xm:sqref>
        </x14:dataValidation>
        <x14:dataValidation type="list" allowBlank="1" showInputMessage="1" showErrorMessage="1" xr:uid="{676A0B01-3886-460E-8EA8-128DDDDB3DFD}">
          <x14:formula1>
            <xm:f>DATA!$E$1:$E$3</xm:f>
          </x14:formula1>
          <xm:sqref>D5:O6</xm:sqref>
        </x14:dataValidation>
        <x14:dataValidation type="list" allowBlank="1" showInputMessage="1" showErrorMessage="1" xr:uid="{1C1303F2-3534-46E9-8758-A0623326F88D}">
          <x14:formula1>
            <xm:f>DATA!$A$1:$A$3</xm:f>
          </x14:formula1>
          <xm:sqref>D4:O4</xm:sqref>
        </x14:dataValidation>
        <x14:dataValidation type="list" allowBlank="1" showInputMessage="1" showErrorMessage="1" xr:uid="{F82CBCBA-CFFC-448B-B3BF-EF5684D70671}">
          <x14:formula1>
            <xm:f>DATA!$C$1:$C$19</xm:f>
          </x14:formula1>
          <xm:sqref>A69 A7:A38 A100 A131 A162 A61:A66 A92:A97 A123:A128 A154:A159 A185:A190 A215:A220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E870E-F947-4A07-8254-F53072654BA1}">
  <dimension ref="A1:CU459"/>
  <sheetViews>
    <sheetView zoomScaleNormal="100" workbookViewId="0">
      <selection activeCell="AK154" sqref="AK154"/>
    </sheetView>
  </sheetViews>
  <sheetFormatPr defaultRowHeight="15" x14ac:dyDescent="0.25"/>
  <cols>
    <col min="1" max="1" width="11.7109375" bestFit="1" customWidth="1"/>
    <col min="2" max="2" width="3.42578125" bestFit="1" customWidth="1"/>
    <col min="3" max="14" width="6.5703125" bestFit="1" customWidth="1"/>
    <col min="15" max="15" width="3.7109375" customWidth="1"/>
    <col min="16" max="16" width="11.7109375" bestFit="1" customWidth="1"/>
    <col min="17" max="17" width="7" bestFit="1" customWidth="1"/>
    <col min="18" max="29" width="6.5703125" bestFit="1" customWidth="1"/>
    <col min="30" max="30" width="11.7109375" bestFit="1" customWidth="1"/>
    <col min="31" max="31" width="7" bestFit="1" customWidth="1"/>
    <col min="32" max="43" width="6.5703125" bestFit="1" customWidth="1"/>
    <col min="44" max="44" width="11.7109375" bestFit="1" customWidth="1"/>
    <col min="45" max="45" width="7" bestFit="1" customWidth="1"/>
    <col min="46" max="57" width="6.5703125" bestFit="1" customWidth="1"/>
    <col min="58" max="58" width="11.7109375" bestFit="1" customWidth="1"/>
    <col min="59" max="59" width="7" bestFit="1" customWidth="1"/>
    <col min="60" max="71" width="6.5703125" bestFit="1" customWidth="1"/>
    <col min="72" max="72" width="11.7109375" bestFit="1" customWidth="1"/>
    <col min="73" max="73" width="7" bestFit="1" customWidth="1"/>
    <col min="74" max="85" width="6.5703125" bestFit="1" customWidth="1"/>
    <col min="86" max="86" width="11.7109375" bestFit="1" customWidth="1"/>
    <col min="87" max="87" width="7" bestFit="1" customWidth="1"/>
    <col min="88" max="99" width="6.5703125" bestFit="1" customWidth="1"/>
  </cols>
  <sheetData>
    <row r="1" spans="1:99" ht="33.75" customHeight="1" x14ac:dyDescent="0.25">
      <c r="A1" s="986" t="s">
        <v>78</v>
      </c>
      <c r="B1" s="986"/>
      <c r="C1" s="986"/>
      <c r="D1" s="986"/>
      <c r="E1" s="986"/>
      <c r="F1" s="986"/>
      <c r="G1" s="986"/>
      <c r="H1" s="986"/>
      <c r="I1" s="986"/>
      <c r="J1" s="986"/>
      <c r="K1" s="986"/>
      <c r="L1" s="986"/>
      <c r="M1" s="986"/>
      <c r="N1" s="986"/>
      <c r="P1" s="949" t="s">
        <v>97</v>
      </c>
      <c r="Q1" s="950"/>
      <c r="R1" s="950"/>
      <c r="S1" s="950"/>
      <c r="T1" s="950"/>
      <c r="U1" s="950"/>
      <c r="V1" s="950"/>
      <c r="W1" s="950"/>
      <c r="X1" s="950"/>
      <c r="Y1" s="950"/>
      <c r="Z1" s="950"/>
      <c r="AA1" s="950"/>
      <c r="AB1" s="950"/>
      <c r="AC1" s="951"/>
      <c r="AD1" s="949" t="s">
        <v>99</v>
      </c>
      <c r="AE1" s="950"/>
      <c r="AF1" s="950"/>
      <c r="AG1" s="950"/>
      <c r="AH1" s="950"/>
      <c r="AI1" s="950"/>
      <c r="AJ1" s="950"/>
      <c r="AK1" s="950"/>
      <c r="AL1" s="950"/>
      <c r="AM1" s="950"/>
      <c r="AN1" s="950"/>
      <c r="AO1" s="950"/>
      <c r="AP1" s="950"/>
      <c r="AQ1" s="951"/>
      <c r="AR1" s="949" t="s">
        <v>98</v>
      </c>
      <c r="AS1" s="950"/>
      <c r="AT1" s="950"/>
      <c r="AU1" s="950"/>
      <c r="AV1" s="950"/>
      <c r="AW1" s="950"/>
      <c r="AX1" s="950"/>
      <c r="AY1" s="950"/>
      <c r="AZ1" s="950"/>
      <c r="BA1" s="950"/>
      <c r="BB1" s="950"/>
      <c r="BC1" s="950"/>
      <c r="BD1" s="950"/>
      <c r="BE1" s="951"/>
      <c r="BF1" s="949" t="s">
        <v>100</v>
      </c>
      <c r="BG1" s="950"/>
      <c r="BH1" s="950"/>
      <c r="BI1" s="950"/>
      <c r="BJ1" s="950"/>
      <c r="BK1" s="950"/>
      <c r="BL1" s="950"/>
      <c r="BM1" s="950"/>
      <c r="BN1" s="950"/>
      <c r="BO1" s="950"/>
      <c r="BP1" s="950"/>
      <c r="BQ1" s="950"/>
      <c r="BR1" s="950"/>
      <c r="BS1" s="951"/>
      <c r="BT1" s="949" t="s">
        <v>101</v>
      </c>
      <c r="BU1" s="950"/>
      <c r="BV1" s="950"/>
      <c r="BW1" s="950"/>
      <c r="BX1" s="950"/>
      <c r="BY1" s="950"/>
      <c r="BZ1" s="950"/>
      <c r="CA1" s="950"/>
      <c r="CB1" s="950"/>
      <c r="CC1" s="950"/>
      <c r="CD1" s="950"/>
      <c r="CE1" s="950"/>
      <c r="CF1" s="950"/>
      <c r="CG1" s="951"/>
      <c r="CH1" s="949" t="s">
        <v>102</v>
      </c>
      <c r="CI1" s="950"/>
      <c r="CJ1" s="950"/>
      <c r="CK1" s="950"/>
      <c r="CL1" s="950"/>
      <c r="CM1" s="950"/>
      <c r="CN1" s="950"/>
      <c r="CO1" s="950"/>
      <c r="CP1" s="950"/>
      <c r="CQ1" s="950"/>
      <c r="CR1" s="950"/>
      <c r="CS1" s="950"/>
      <c r="CT1" s="950"/>
      <c r="CU1" s="951"/>
    </row>
    <row r="2" spans="1:99" ht="15.75" thickBot="1" x14ac:dyDescent="0.3">
      <c r="C2" s="65">
        <v>12</v>
      </c>
      <c r="D2" s="65">
        <v>11</v>
      </c>
      <c r="E2" s="65">
        <v>10</v>
      </c>
      <c r="F2" s="65">
        <v>9</v>
      </c>
      <c r="G2" s="65">
        <v>8</v>
      </c>
      <c r="H2" s="65">
        <v>7</v>
      </c>
      <c r="I2" s="65">
        <v>6</v>
      </c>
      <c r="J2" s="65">
        <v>5</v>
      </c>
      <c r="K2" s="65">
        <v>4</v>
      </c>
      <c r="L2" s="65">
        <v>3</v>
      </c>
      <c r="M2" s="65">
        <v>2</v>
      </c>
      <c r="N2" s="65">
        <v>1</v>
      </c>
      <c r="P2" s="952"/>
      <c r="Q2" s="828"/>
      <c r="R2" s="557">
        <v>1</v>
      </c>
      <c r="S2" s="571">
        <v>2</v>
      </c>
      <c r="T2" s="559">
        <v>3</v>
      </c>
      <c r="U2" s="561">
        <v>4</v>
      </c>
      <c r="V2" s="563">
        <v>5</v>
      </c>
      <c r="W2" s="579">
        <v>6</v>
      </c>
      <c r="X2" s="565">
        <v>7</v>
      </c>
      <c r="Y2" s="577">
        <v>8</v>
      </c>
      <c r="Z2" s="567">
        <v>9</v>
      </c>
      <c r="AA2" s="569">
        <v>10</v>
      </c>
      <c r="AB2" s="575">
        <v>11</v>
      </c>
      <c r="AC2" s="573">
        <v>12</v>
      </c>
      <c r="AD2" s="952"/>
      <c r="AE2" s="828"/>
      <c r="AF2" s="557">
        <v>1</v>
      </c>
      <c r="AG2" s="571">
        <v>2</v>
      </c>
      <c r="AH2" s="559">
        <v>3</v>
      </c>
      <c r="AI2" s="561">
        <v>4</v>
      </c>
      <c r="AJ2" s="563">
        <v>5</v>
      </c>
      <c r="AK2" s="579">
        <v>6</v>
      </c>
      <c r="AL2" s="565">
        <v>7</v>
      </c>
      <c r="AM2" s="577">
        <v>8</v>
      </c>
      <c r="AN2" s="567">
        <v>9</v>
      </c>
      <c r="AO2" s="569">
        <v>10</v>
      </c>
      <c r="AP2" s="575">
        <v>11</v>
      </c>
      <c r="AQ2" s="573">
        <v>12</v>
      </c>
      <c r="AR2" s="952"/>
      <c r="AS2" s="828"/>
      <c r="AT2" s="557">
        <v>1</v>
      </c>
      <c r="AU2" s="571">
        <v>2</v>
      </c>
      <c r="AV2" s="559">
        <v>3</v>
      </c>
      <c r="AW2" s="561">
        <v>4</v>
      </c>
      <c r="AX2" s="563">
        <v>5</v>
      </c>
      <c r="AY2" s="579">
        <v>6</v>
      </c>
      <c r="AZ2" s="565">
        <v>7</v>
      </c>
      <c r="BA2" s="577">
        <v>8</v>
      </c>
      <c r="BB2" s="567">
        <v>9</v>
      </c>
      <c r="BC2" s="569">
        <v>10</v>
      </c>
      <c r="BD2" s="575">
        <v>11</v>
      </c>
      <c r="BE2" s="573">
        <v>12</v>
      </c>
      <c r="BF2" s="952"/>
      <c r="BG2" s="828"/>
      <c r="BH2" s="557">
        <v>1</v>
      </c>
      <c r="BI2" s="571">
        <v>2</v>
      </c>
      <c r="BJ2" s="559">
        <v>3</v>
      </c>
      <c r="BK2" s="561">
        <v>4</v>
      </c>
      <c r="BL2" s="563">
        <v>5</v>
      </c>
      <c r="BM2" s="579">
        <v>6</v>
      </c>
      <c r="BN2" s="565">
        <v>7</v>
      </c>
      <c r="BO2" s="577">
        <v>8</v>
      </c>
      <c r="BP2" s="567">
        <v>9</v>
      </c>
      <c r="BQ2" s="569">
        <v>10</v>
      </c>
      <c r="BR2" s="575">
        <v>11</v>
      </c>
      <c r="BS2" s="573">
        <v>12</v>
      </c>
      <c r="BT2" s="952"/>
      <c r="BU2" s="828"/>
      <c r="BV2" s="557">
        <v>1</v>
      </c>
      <c r="BW2" s="571">
        <v>2</v>
      </c>
      <c r="BX2" s="559">
        <v>3</v>
      </c>
      <c r="BY2" s="561">
        <v>4</v>
      </c>
      <c r="BZ2" s="563">
        <v>5</v>
      </c>
      <c r="CA2" s="579">
        <v>6</v>
      </c>
      <c r="CB2" s="565">
        <v>7</v>
      </c>
      <c r="CC2" s="577">
        <v>8</v>
      </c>
      <c r="CD2" s="567">
        <v>9</v>
      </c>
      <c r="CE2" s="569">
        <v>10</v>
      </c>
      <c r="CF2" s="575">
        <v>11</v>
      </c>
      <c r="CG2" s="573">
        <v>12</v>
      </c>
      <c r="CH2" s="952"/>
      <c r="CI2" s="828"/>
      <c r="CJ2" s="557">
        <v>1</v>
      </c>
      <c r="CK2" s="571">
        <v>2</v>
      </c>
      <c r="CL2" s="559">
        <v>3</v>
      </c>
      <c r="CM2" s="561">
        <v>4</v>
      </c>
      <c r="CN2" s="563">
        <v>5</v>
      </c>
      <c r="CO2" s="579">
        <v>6</v>
      </c>
      <c r="CP2" s="565">
        <v>7</v>
      </c>
      <c r="CQ2" s="577">
        <v>8</v>
      </c>
      <c r="CR2" s="567">
        <v>9</v>
      </c>
      <c r="CS2" s="569">
        <v>10</v>
      </c>
      <c r="CT2" s="575">
        <v>11</v>
      </c>
      <c r="CU2" s="573">
        <v>12</v>
      </c>
    </row>
    <row r="3" spans="1:99" ht="15.75" thickBot="1" x14ac:dyDescent="0.3">
      <c r="A3" s="987" t="s">
        <v>39</v>
      </c>
      <c r="B3" s="64" t="s">
        <v>61</v>
      </c>
      <c r="C3" s="515">
        <v>447.24</v>
      </c>
      <c r="D3" s="516">
        <v>443.87</v>
      </c>
      <c r="E3" s="516">
        <v>440.53</v>
      </c>
      <c r="F3" s="516">
        <v>437.19</v>
      </c>
      <c r="G3" s="516">
        <v>433.83</v>
      </c>
      <c r="H3" s="516">
        <v>430.51</v>
      </c>
      <c r="I3" s="516">
        <v>427.14</v>
      </c>
      <c r="J3" s="516">
        <v>423.82</v>
      </c>
      <c r="K3" s="516">
        <v>420.44</v>
      </c>
      <c r="L3" s="516">
        <v>417.09</v>
      </c>
      <c r="M3" s="516">
        <v>413.7</v>
      </c>
      <c r="N3" s="517">
        <v>410.37</v>
      </c>
      <c r="P3" s="953"/>
      <c r="Q3" s="954"/>
      <c r="R3" s="558">
        <f>Q5</f>
        <v>0</v>
      </c>
      <c r="S3" s="572">
        <f>Q43</f>
        <v>0</v>
      </c>
      <c r="T3" s="560">
        <f>Q81</f>
        <v>0</v>
      </c>
      <c r="U3" s="562">
        <f>Q119</f>
        <v>0</v>
      </c>
      <c r="V3" s="564">
        <f>Q157</f>
        <v>0</v>
      </c>
      <c r="W3" s="580">
        <f>Q195</f>
        <v>0</v>
      </c>
      <c r="X3" s="566">
        <f>Q233</f>
        <v>0</v>
      </c>
      <c r="Y3" s="578">
        <f>Q271</f>
        <v>0</v>
      </c>
      <c r="Z3" s="568">
        <f>Q309</f>
        <v>0</v>
      </c>
      <c r="AA3" s="570">
        <f>Q347</f>
        <v>0</v>
      </c>
      <c r="AB3" s="576">
        <f>Q385</f>
        <v>0</v>
      </c>
      <c r="AC3" s="574">
        <f>Q423</f>
        <v>0</v>
      </c>
      <c r="AD3" s="953"/>
      <c r="AE3" s="954"/>
      <c r="AF3" s="558">
        <f>AE5</f>
        <v>0</v>
      </c>
      <c r="AG3" s="572">
        <f>AE43</f>
        <v>0</v>
      </c>
      <c r="AH3" s="560">
        <f>AE81</f>
        <v>0</v>
      </c>
      <c r="AI3" s="562">
        <f>AE119</f>
        <v>0</v>
      </c>
      <c r="AJ3" s="564">
        <f>AE157</f>
        <v>0</v>
      </c>
      <c r="AK3" s="580">
        <f>AE195</f>
        <v>0</v>
      </c>
      <c r="AL3" s="566">
        <f>AE233</f>
        <v>0</v>
      </c>
      <c r="AM3" s="578">
        <f>AE271</f>
        <v>0</v>
      </c>
      <c r="AN3" s="568">
        <f>AE309</f>
        <v>0</v>
      </c>
      <c r="AO3" s="570">
        <f>AE347</f>
        <v>0</v>
      </c>
      <c r="AP3" s="576">
        <f>AE385</f>
        <v>0</v>
      </c>
      <c r="AQ3" s="574">
        <f>AE423</f>
        <v>0</v>
      </c>
      <c r="AR3" s="953"/>
      <c r="AS3" s="954"/>
      <c r="AT3" s="558">
        <f>AS5</f>
        <v>0</v>
      </c>
      <c r="AU3" s="572">
        <f>AS43</f>
        <v>0</v>
      </c>
      <c r="AV3" s="560">
        <f>AS81</f>
        <v>0</v>
      </c>
      <c r="AW3" s="562">
        <f>AS119</f>
        <v>0</v>
      </c>
      <c r="AX3" s="564">
        <f>AS157</f>
        <v>0</v>
      </c>
      <c r="AY3" s="580">
        <f>AS195</f>
        <v>0</v>
      </c>
      <c r="AZ3" s="566">
        <f>AS233</f>
        <v>0</v>
      </c>
      <c r="BA3" s="578">
        <f>AS271</f>
        <v>0</v>
      </c>
      <c r="BB3" s="568">
        <f>AS309</f>
        <v>0</v>
      </c>
      <c r="BC3" s="570">
        <f>AS347</f>
        <v>0</v>
      </c>
      <c r="BD3" s="576">
        <f>AS385</f>
        <v>0</v>
      </c>
      <c r="BE3" s="574">
        <f>AS423</f>
        <v>0</v>
      </c>
      <c r="BF3" s="953"/>
      <c r="BG3" s="954"/>
      <c r="BH3" s="558">
        <f>BG5</f>
        <v>0</v>
      </c>
      <c r="BI3" s="572">
        <f>BG43</f>
        <v>0</v>
      </c>
      <c r="BJ3" s="560">
        <f>BG81</f>
        <v>0</v>
      </c>
      <c r="BK3" s="562">
        <f>BG119</f>
        <v>0</v>
      </c>
      <c r="BL3" s="564">
        <f>BG157</f>
        <v>0</v>
      </c>
      <c r="BM3" s="580">
        <f>BG195</f>
        <v>0</v>
      </c>
      <c r="BN3" s="566">
        <f>BG233</f>
        <v>0</v>
      </c>
      <c r="BO3" s="578">
        <f>BG271</f>
        <v>0</v>
      </c>
      <c r="BP3" s="568">
        <f>BG309</f>
        <v>0</v>
      </c>
      <c r="BQ3" s="570">
        <f>BG347</f>
        <v>0</v>
      </c>
      <c r="BR3" s="576">
        <f>BG385</f>
        <v>0</v>
      </c>
      <c r="BS3" s="574">
        <f>BG423</f>
        <v>0</v>
      </c>
      <c r="BT3" s="953"/>
      <c r="BU3" s="954"/>
      <c r="BV3" s="558">
        <f>BU5</f>
        <v>0</v>
      </c>
      <c r="BW3" s="572">
        <f>BU43</f>
        <v>0</v>
      </c>
      <c r="BX3" s="560">
        <f>BU81</f>
        <v>0</v>
      </c>
      <c r="BY3" s="562">
        <f>BU119</f>
        <v>0</v>
      </c>
      <c r="BZ3" s="564">
        <f>BU157</f>
        <v>0</v>
      </c>
      <c r="CA3" s="580">
        <f>BU195</f>
        <v>0</v>
      </c>
      <c r="CB3" s="566">
        <f>BU233</f>
        <v>0</v>
      </c>
      <c r="CC3" s="578">
        <f>BU271</f>
        <v>0</v>
      </c>
      <c r="CD3" s="568">
        <f>BU309</f>
        <v>0</v>
      </c>
      <c r="CE3" s="570">
        <f>BU347</f>
        <v>0</v>
      </c>
      <c r="CF3" s="576">
        <f>BU385</f>
        <v>0</v>
      </c>
      <c r="CG3" s="574">
        <f>BU423</f>
        <v>0</v>
      </c>
      <c r="CH3" s="953"/>
      <c r="CI3" s="954"/>
      <c r="CJ3" s="558">
        <f>CI5</f>
        <v>0</v>
      </c>
      <c r="CK3" s="572">
        <f>CI43</f>
        <v>0</v>
      </c>
      <c r="CL3" s="560">
        <f>CI81</f>
        <v>0</v>
      </c>
      <c r="CM3" s="562">
        <f>CI119</f>
        <v>0</v>
      </c>
      <c r="CN3" s="564">
        <f>CI157</f>
        <v>0</v>
      </c>
      <c r="CO3" s="580">
        <f>CI195</f>
        <v>0</v>
      </c>
      <c r="CP3" s="566">
        <f>CI233</f>
        <v>0</v>
      </c>
      <c r="CQ3" s="578">
        <f>CI271</f>
        <v>0</v>
      </c>
      <c r="CR3" s="568">
        <f>CI309</f>
        <v>0</v>
      </c>
      <c r="CS3" s="570">
        <f>CI347</f>
        <v>0</v>
      </c>
      <c r="CT3" s="576">
        <f>CI385</f>
        <v>0</v>
      </c>
      <c r="CU3" s="574">
        <f>CI423</f>
        <v>0</v>
      </c>
    </row>
    <row r="4" spans="1:99" x14ac:dyDescent="0.25">
      <c r="A4" s="987"/>
      <c r="B4" s="64" t="s">
        <v>62</v>
      </c>
      <c r="C4" s="494">
        <v>305.5</v>
      </c>
      <c r="D4" s="473">
        <v>302.72000000000003</v>
      </c>
      <c r="E4" s="473">
        <v>300.04000000000002</v>
      </c>
      <c r="F4" s="473">
        <v>296.02</v>
      </c>
      <c r="G4" s="473">
        <v>292.82</v>
      </c>
      <c r="H4" s="473">
        <v>286.26</v>
      </c>
      <c r="I4" s="473">
        <v>278.51</v>
      </c>
      <c r="J4" s="473">
        <v>271.63</v>
      </c>
      <c r="K4" s="473">
        <v>265.29000000000002</v>
      </c>
      <c r="L4" s="473">
        <v>259.02</v>
      </c>
      <c r="M4" s="473">
        <v>221.35</v>
      </c>
      <c r="N4" s="495">
        <v>116.05</v>
      </c>
      <c r="P4" s="943" t="s">
        <v>103</v>
      </c>
      <c r="Q4" s="944"/>
      <c r="R4" s="944"/>
      <c r="S4" s="944"/>
      <c r="T4" s="944"/>
      <c r="U4" s="944"/>
      <c r="V4" s="944"/>
      <c r="W4" s="944"/>
      <c r="X4" s="944"/>
      <c r="Y4" s="944"/>
      <c r="Z4" s="944"/>
      <c r="AA4" s="944"/>
      <c r="AB4" s="944"/>
      <c r="AC4" s="945"/>
      <c r="AD4" s="943" t="s">
        <v>104</v>
      </c>
      <c r="AE4" s="944"/>
      <c r="AF4" s="944"/>
      <c r="AG4" s="944"/>
      <c r="AH4" s="944"/>
      <c r="AI4" s="944"/>
      <c r="AJ4" s="944"/>
      <c r="AK4" s="944"/>
      <c r="AL4" s="944"/>
      <c r="AM4" s="944"/>
      <c r="AN4" s="944"/>
      <c r="AO4" s="944"/>
      <c r="AP4" s="944"/>
      <c r="AQ4" s="945"/>
      <c r="AR4" s="943" t="s">
        <v>105</v>
      </c>
      <c r="AS4" s="944"/>
      <c r="AT4" s="944"/>
      <c r="AU4" s="944"/>
      <c r="AV4" s="944"/>
      <c r="AW4" s="944"/>
      <c r="AX4" s="944"/>
      <c r="AY4" s="944"/>
      <c r="AZ4" s="944"/>
      <c r="BA4" s="944"/>
      <c r="BB4" s="944"/>
      <c r="BC4" s="944"/>
      <c r="BD4" s="944"/>
      <c r="BE4" s="945"/>
      <c r="BF4" s="943" t="s">
        <v>106</v>
      </c>
      <c r="BG4" s="944"/>
      <c r="BH4" s="944"/>
      <c r="BI4" s="944"/>
      <c r="BJ4" s="944"/>
      <c r="BK4" s="944"/>
      <c r="BL4" s="944"/>
      <c r="BM4" s="944"/>
      <c r="BN4" s="944"/>
      <c r="BO4" s="944"/>
      <c r="BP4" s="944"/>
      <c r="BQ4" s="944"/>
      <c r="BR4" s="944"/>
      <c r="BS4" s="945"/>
      <c r="BT4" s="943" t="s">
        <v>107</v>
      </c>
      <c r="BU4" s="944"/>
      <c r="BV4" s="944"/>
      <c r="BW4" s="944"/>
      <c r="BX4" s="944"/>
      <c r="BY4" s="944"/>
      <c r="BZ4" s="944"/>
      <c r="CA4" s="944"/>
      <c r="CB4" s="944"/>
      <c r="CC4" s="944"/>
      <c r="CD4" s="944"/>
      <c r="CE4" s="944"/>
      <c r="CF4" s="944"/>
      <c r="CG4" s="945"/>
      <c r="CH4" s="943" t="s">
        <v>108</v>
      </c>
      <c r="CI4" s="944"/>
      <c r="CJ4" s="944"/>
      <c r="CK4" s="944"/>
      <c r="CL4" s="944"/>
      <c r="CM4" s="944"/>
      <c r="CN4" s="944"/>
      <c r="CO4" s="944"/>
      <c r="CP4" s="944"/>
      <c r="CQ4" s="944"/>
      <c r="CR4" s="944"/>
      <c r="CS4" s="944"/>
      <c r="CT4" s="944"/>
      <c r="CU4" s="945"/>
    </row>
    <row r="5" spans="1:99" x14ac:dyDescent="0.25">
      <c r="A5" s="987" t="s">
        <v>65</v>
      </c>
      <c r="B5" s="64" t="s">
        <v>61</v>
      </c>
      <c r="C5" s="494">
        <v>447.24</v>
      </c>
      <c r="D5" s="473">
        <v>443.87</v>
      </c>
      <c r="E5" s="473">
        <v>440.53</v>
      </c>
      <c r="F5" s="473">
        <v>437.19</v>
      </c>
      <c r="G5" s="473">
        <v>433.83</v>
      </c>
      <c r="H5" s="473">
        <v>430.51</v>
      </c>
      <c r="I5" s="473">
        <v>427.14</v>
      </c>
      <c r="J5" s="473">
        <v>423.82</v>
      </c>
      <c r="K5" s="473">
        <v>420.44</v>
      </c>
      <c r="L5" s="473">
        <v>417.09</v>
      </c>
      <c r="M5" s="473">
        <v>413.7</v>
      </c>
      <c r="N5" s="495">
        <v>410.37</v>
      </c>
      <c r="P5" s="586">
        <v>1</v>
      </c>
      <c r="Q5" s="557">
        <f>SUM(R6:AC41)</f>
        <v>0</v>
      </c>
      <c r="R5" s="3">
        <v>12</v>
      </c>
      <c r="S5" s="3">
        <v>11</v>
      </c>
      <c r="T5" s="3">
        <v>10</v>
      </c>
      <c r="U5" s="3">
        <v>9</v>
      </c>
      <c r="V5" s="3">
        <v>8</v>
      </c>
      <c r="W5" s="3">
        <v>7</v>
      </c>
      <c r="X5" s="3">
        <v>6</v>
      </c>
      <c r="Y5" s="3">
        <v>5</v>
      </c>
      <c r="Z5" s="3">
        <v>4</v>
      </c>
      <c r="AA5" s="3">
        <v>3</v>
      </c>
      <c r="AB5" s="3">
        <v>2</v>
      </c>
      <c r="AC5" s="519">
        <v>1</v>
      </c>
      <c r="AD5" s="557">
        <v>1</v>
      </c>
      <c r="AE5" s="557">
        <f>SUM(AF6:AQ41)</f>
        <v>0</v>
      </c>
      <c r="AF5" s="3">
        <v>12</v>
      </c>
      <c r="AG5" s="3">
        <v>11</v>
      </c>
      <c r="AH5" s="3">
        <v>10</v>
      </c>
      <c r="AI5" s="3">
        <v>9</v>
      </c>
      <c r="AJ5" s="3">
        <v>8</v>
      </c>
      <c r="AK5" s="3">
        <v>7</v>
      </c>
      <c r="AL5" s="3">
        <v>6</v>
      </c>
      <c r="AM5" s="3">
        <v>5</v>
      </c>
      <c r="AN5" s="3">
        <v>4</v>
      </c>
      <c r="AO5" s="3">
        <v>3</v>
      </c>
      <c r="AP5" s="3">
        <v>2</v>
      </c>
      <c r="AQ5" s="519">
        <v>1</v>
      </c>
      <c r="AR5" s="557">
        <v>1</v>
      </c>
      <c r="AS5" s="557">
        <f>SUM(AT6:BE41)</f>
        <v>0</v>
      </c>
      <c r="AT5" s="3">
        <v>12</v>
      </c>
      <c r="AU5" s="3">
        <v>11</v>
      </c>
      <c r="AV5" s="3">
        <v>10</v>
      </c>
      <c r="AW5" s="3">
        <v>9</v>
      </c>
      <c r="AX5" s="3">
        <v>8</v>
      </c>
      <c r="AY5" s="3">
        <v>7</v>
      </c>
      <c r="AZ5" s="3">
        <v>6</v>
      </c>
      <c r="BA5" s="3">
        <v>5</v>
      </c>
      <c r="BB5" s="3">
        <v>4</v>
      </c>
      <c r="BC5" s="3">
        <v>3</v>
      </c>
      <c r="BD5" s="3">
        <v>2</v>
      </c>
      <c r="BE5" s="519">
        <v>1</v>
      </c>
      <c r="BF5" s="557">
        <v>1</v>
      </c>
      <c r="BG5" s="557">
        <f>SUM(BH6:BS41)</f>
        <v>0</v>
      </c>
      <c r="BH5" s="3">
        <v>12</v>
      </c>
      <c r="BI5" s="3">
        <v>11</v>
      </c>
      <c r="BJ5" s="3">
        <v>10</v>
      </c>
      <c r="BK5" s="3">
        <v>9</v>
      </c>
      <c r="BL5" s="3">
        <v>8</v>
      </c>
      <c r="BM5" s="3">
        <v>7</v>
      </c>
      <c r="BN5" s="3">
        <v>6</v>
      </c>
      <c r="BO5" s="3">
        <v>5</v>
      </c>
      <c r="BP5" s="3">
        <v>4</v>
      </c>
      <c r="BQ5" s="3">
        <v>3</v>
      </c>
      <c r="BR5" s="3">
        <v>2</v>
      </c>
      <c r="BS5" s="519">
        <v>1</v>
      </c>
      <c r="BT5" s="557">
        <v>1</v>
      </c>
      <c r="BU5" s="557">
        <f>SUM(BV6:CG41)</f>
        <v>0</v>
      </c>
      <c r="BV5" s="3">
        <v>12</v>
      </c>
      <c r="BW5" s="3">
        <v>11</v>
      </c>
      <c r="BX5" s="3">
        <v>10</v>
      </c>
      <c r="BY5" s="3">
        <v>9</v>
      </c>
      <c r="BZ5" s="3">
        <v>8</v>
      </c>
      <c r="CA5" s="3">
        <v>7</v>
      </c>
      <c r="CB5" s="3">
        <v>6</v>
      </c>
      <c r="CC5" s="3">
        <v>5</v>
      </c>
      <c r="CD5" s="3">
        <v>4</v>
      </c>
      <c r="CE5" s="3">
        <v>3</v>
      </c>
      <c r="CF5" s="3">
        <v>2</v>
      </c>
      <c r="CG5" s="519">
        <v>1</v>
      </c>
      <c r="CH5" s="557">
        <v>1</v>
      </c>
      <c r="CI5" s="557">
        <f>SUM(CJ6:CU41)</f>
        <v>0</v>
      </c>
      <c r="CJ5" s="3">
        <v>12</v>
      </c>
      <c r="CK5" s="3">
        <v>11</v>
      </c>
      <c r="CL5" s="3">
        <v>10</v>
      </c>
      <c r="CM5" s="3">
        <v>9</v>
      </c>
      <c r="CN5" s="3">
        <v>8</v>
      </c>
      <c r="CO5" s="3">
        <v>7</v>
      </c>
      <c r="CP5" s="3">
        <v>6</v>
      </c>
      <c r="CQ5" s="3">
        <v>5</v>
      </c>
      <c r="CR5" s="3">
        <v>4</v>
      </c>
      <c r="CS5" s="3">
        <v>3</v>
      </c>
      <c r="CT5" s="3">
        <v>2</v>
      </c>
      <c r="CU5" s="519">
        <v>1</v>
      </c>
    </row>
    <row r="6" spans="1:99" x14ac:dyDescent="0.25">
      <c r="A6" s="987"/>
      <c r="B6" s="64" t="s">
        <v>62</v>
      </c>
      <c r="C6" s="494">
        <v>305.5</v>
      </c>
      <c r="D6" s="473">
        <v>302.72000000000003</v>
      </c>
      <c r="E6" s="473">
        <v>300.04000000000002</v>
      </c>
      <c r="F6" s="473">
        <v>296.02</v>
      </c>
      <c r="G6" s="473">
        <v>292.82</v>
      </c>
      <c r="H6" s="473">
        <v>286.26</v>
      </c>
      <c r="I6" s="473">
        <v>278.51</v>
      </c>
      <c r="J6" s="473">
        <v>271.63</v>
      </c>
      <c r="K6" s="473">
        <v>265.29000000000002</v>
      </c>
      <c r="L6" s="473">
        <v>259.02</v>
      </c>
      <c r="M6" s="473">
        <v>221.35</v>
      </c>
      <c r="N6" s="495">
        <v>116.05</v>
      </c>
      <c r="P6" s="940" t="s">
        <v>39</v>
      </c>
      <c r="Q6" s="13" t="s">
        <v>61</v>
      </c>
      <c r="R6" s="518" t="str">
        <f>IF(AND(_A="A-350",'2024'!$D$4="CA",'2024'!$D$2=R5),'2024DATA'!$C$3,"")</f>
        <v/>
      </c>
      <c r="S6" s="518" t="str">
        <f>IF(AND(_A="A-350",'2024'!$D$4="CA",'2024'!$D$2=S5),'2024DATA'!$D$3,"")</f>
        <v/>
      </c>
      <c r="T6" s="518" t="str">
        <f>IF(AND(_A="A-350",'2024'!$D$4="CA",'2024'!$D$2=T5),'2024DATA'!$E$3,"")</f>
        <v/>
      </c>
      <c r="U6" s="518" t="str">
        <f>IF(AND(_A="A-350",'2024'!$D$4="CA",'2024'!$D$2=U5),'2024DATA'!$F$3,"")</f>
        <v/>
      </c>
      <c r="V6" s="518" t="str">
        <f>IF(AND(_A="A-350",'2024'!$D$4="CA",'2024'!$D$2=V5),'2024DATA'!$G$3,"")</f>
        <v/>
      </c>
      <c r="W6" s="518" t="str">
        <f>IF(AND(_A="A-350",'2024'!$D$4="CA",'2024'!$D$2=W5),'2024DATA'!$H$3,"")</f>
        <v/>
      </c>
      <c r="X6" s="518" t="str">
        <f>IF(AND(_A="A-350",'2024'!$D$4="CA",'2024'!$D$2=X5),'2024DATA'!$I$3,"")</f>
        <v/>
      </c>
      <c r="Y6" s="518" t="str">
        <f>IF(AND(_A="A-350",'2024'!$D$4="CA",'2024'!$D$2=Y5),'2024DATA'!$J$3,"")</f>
        <v/>
      </c>
      <c r="Z6" s="518" t="str">
        <f>IF(AND(_A="A-350",'2024'!$D$4="CA",'2024'!$D$2=Z5),'2024DATA'!$K$3,"")</f>
        <v/>
      </c>
      <c r="AA6" s="518" t="str">
        <f>IF(AND(_A="A-350",'2024'!$D$4="CA",'2024'!$D$2=AA5),'2024DATA'!$L$3,"")</f>
        <v/>
      </c>
      <c r="AB6" s="518" t="str">
        <f>IF(AND(_A="A-350",'2024'!$D$4="CA",'2024'!$D$2=AB5),'2024DATA'!$M$3,"")</f>
        <v/>
      </c>
      <c r="AC6" s="520" t="str">
        <f>IF(AND(_A="A-350",'2024'!$D$4="CA",'2024'!$D$2=AC5),'2024DATA'!$N$3,"")</f>
        <v/>
      </c>
      <c r="AD6" s="940" t="s">
        <v>39</v>
      </c>
      <c r="AE6" s="13" t="s">
        <v>61</v>
      </c>
      <c r="AF6" s="518" t="str">
        <f>IF(AND(_B="A-350",'2024'!$D$4="CA",'2024'!$D$2=AF5),'2024DATA'!$C$3,"")</f>
        <v/>
      </c>
      <c r="AG6" s="518" t="str">
        <f>IF(AND(_B="A-350",'2024'!$D$4="CA",'2024'!$D$2=AG5),'2024DATA'!$D$3,"")</f>
        <v/>
      </c>
      <c r="AH6" s="518" t="str">
        <f>IF(AND(_B="A-350",'2024'!$D$4="CA",'2024'!$D$2=AH5),'2024DATA'!$E$3,"")</f>
        <v/>
      </c>
      <c r="AI6" s="518" t="str">
        <f>IF(AND(_B="A-350",'2024'!$D$4="CA",'2024'!$D$2=AI5),'2024DATA'!$F$3,"")</f>
        <v/>
      </c>
      <c r="AJ6" s="518" t="str">
        <f>IF(AND(_B="A-350",'2024'!$D$4="CA",'2024'!$D$2=AJ5),'2024DATA'!$G$3,"")</f>
        <v/>
      </c>
      <c r="AK6" s="518" t="str">
        <f>IF(AND(_B="A-350",'2024'!$D$4="CA",'2024'!$D$2=AK5),'2024DATA'!$H$3,"")</f>
        <v/>
      </c>
      <c r="AL6" s="518" t="str">
        <f>IF(AND(_B="A-350",'2024'!$D$4="CA",'2024'!$D$2=AL5),'2024DATA'!$I$3,"")</f>
        <v/>
      </c>
      <c r="AM6" s="518" t="str">
        <f>IF(AND(_B="A-350",'2024'!$D$4="CA",'2024'!$D$2=AM5),'2024DATA'!$J$3,"")</f>
        <v/>
      </c>
      <c r="AN6" s="518" t="str">
        <f>IF(AND(_B="A-350",'2024'!$D$4="CA",'2024'!$D$2=AN5),'2024DATA'!$K$3,"")</f>
        <v/>
      </c>
      <c r="AO6" s="518" t="str">
        <f>IF(AND(_B="A-350",'2024'!$D$4="CA",'2024'!$D$2=AO5),'2024DATA'!$L$3,"")</f>
        <v/>
      </c>
      <c r="AP6" s="518" t="str">
        <f>IF(AND(_B="A-350",'2024'!$D$4="CA",'2024'!$D$2=AP5),'2024DATA'!$M$3,"")</f>
        <v/>
      </c>
      <c r="AQ6" s="520" t="str">
        <f>IF(AND(_B="A-350",'2024'!$D$4="CA",'2024'!$D$2=AQ5),'2024DATA'!$N$3,"")</f>
        <v/>
      </c>
      <c r="AR6" s="940" t="s">
        <v>39</v>
      </c>
      <c r="AS6" s="13" t="s">
        <v>61</v>
      </c>
      <c r="AT6" s="518" t="str">
        <f>IF(AND(_C="A-350",'2024'!$D$4="CA",'2024'!$D$2=AT5),'2024DATA'!$C$3,"")</f>
        <v/>
      </c>
      <c r="AU6" s="518" t="str">
        <f>IF(AND(_C="A-350",'2024'!$D$4="CA",'2024'!$D$2=AU5),'2024DATA'!$D$3,"")</f>
        <v/>
      </c>
      <c r="AV6" s="518" t="str">
        <f>IF(AND(_C="A-350",'2024'!$D$4="CA",'2024'!$D$2=AV5),'2024DATA'!$E$3,"")</f>
        <v/>
      </c>
      <c r="AW6" s="518" t="str">
        <f>IF(AND(_C="A-350",'2024'!$D$4="CA",'2024'!$D$2=AW5),'2024DATA'!$F$3,"")</f>
        <v/>
      </c>
      <c r="AX6" s="518" t="str">
        <f>IF(AND(_C="A-350",'2024'!$D$4="CA",'2024'!$D$2=AX5),'2024DATA'!$G$3,"")</f>
        <v/>
      </c>
      <c r="AY6" s="518" t="str">
        <f>IF(AND(_C="A-350",'2024'!$D$4="CA",'2024'!$D$2=AY5),'2024DATA'!$H$3,"")</f>
        <v/>
      </c>
      <c r="AZ6" s="518" t="str">
        <f>IF(AND(_C="A-350",'2024'!$D$4="CA",'2024'!$D$2=AZ5),'2024DATA'!$I$3,"")</f>
        <v/>
      </c>
      <c r="BA6" s="518" t="str">
        <f>IF(AND(_C="A-350",'2024'!$D$4="CA",'2024'!$D$2=BA5),'2024DATA'!$J$3,"")</f>
        <v/>
      </c>
      <c r="BB6" s="518" t="str">
        <f>IF(AND(_C="A-350",'2024'!$D$4="CA",'2024'!$D$2=BB5),'2024DATA'!$K$3,"")</f>
        <v/>
      </c>
      <c r="BC6" s="518" t="str">
        <f>IF(AND(_C="A-350",'2024'!$D$4="CA",'2024'!$D$2=BC5),'2024DATA'!$L$3,"")</f>
        <v/>
      </c>
      <c r="BD6" s="518" t="str">
        <f>IF(AND(_C="A-350",'2024'!$D$4="CA",'2024'!$D$2=BD5),'2024DATA'!$M$3,"")</f>
        <v/>
      </c>
      <c r="BE6" s="520" t="str">
        <f>IF(AND(_C="A-350",'2024'!$D$4="CA",'2024'!$D$2=BE5),'2024DATA'!$N$3,"")</f>
        <v/>
      </c>
      <c r="BF6" s="940" t="s">
        <v>39</v>
      </c>
      <c r="BG6" s="13" t="s">
        <v>61</v>
      </c>
      <c r="BH6" s="518" t="str">
        <f>IF(AND(_D="A-350",'2024'!$D$4="CA",'2024'!$D$2=BH5),'2024DATA'!$C$3,"")</f>
        <v/>
      </c>
      <c r="BI6" s="518" t="str">
        <f>IF(AND(_D="A-350",'2024'!$D$4="CA",'2024'!$D$2=BI5),'2024DATA'!$D$3,"")</f>
        <v/>
      </c>
      <c r="BJ6" s="518" t="str">
        <f>IF(AND(_D="A-350",'2024'!$D$4="CA",'2024'!$D$2=BJ5),'2024DATA'!$E$3,"")</f>
        <v/>
      </c>
      <c r="BK6" s="518" t="str">
        <f>IF(AND(_D="A-350",'2024'!$D$4="CA",'2024'!$D$2=BK5),'2024DATA'!$F$3,"")</f>
        <v/>
      </c>
      <c r="BL6" s="518" t="str">
        <f>IF(AND(_D="A-350",'2024'!$D$4="CA",'2024'!$D$2=BL5),'2024DATA'!$G$3,"")</f>
        <v/>
      </c>
      <c r="BM6" s="518" t="str">
        <f>IF(AND(_D="A-350",'2024'!$D$4="CA",'2024'!$D$2=BM5),'2024DATA'!$H$3,"")</f>
        <v/>
      </c>
      <c r="BN6" s="518" t="str">
        <f>IF(AND(_D="A-350",'2024'!$D$4="CA",'2024'!$D$2=BN5),'2024DATA'!$I$3,"")</f>
        <v/>
      </c>
      <c r="BO6" s="518" t="str">
        <f>IF(AND(_D="A-350",'2024'!$D$4="CA",'2024'!$D$2=BO5),'2024DATA'!$J$3,"")</f>
        <v/>
      </c>
      <c r="BP6" s="518" t="str">
        <f>IF(AND(_D="A-350",'2024'!$D$4="CA",'2024'!$D$2=BP5),'2024DATA'!$K$3,"")</f>
        <v/>
      </c>
      <c r="BQ6" s="518" t="str">
        <f>IF(AND(_D="A-350",'2024'!$D$4="CA",'2024'!$D$2=BQ5),'2024DATA'!$L$3,"")</f>
        <v/>
      </c>
      <c r="BR6" s="518" t="str">
        <f>IF(AND(_D="A-350",'2024'!$D$4="CA",'2024'!$D$2=BR5),'2024DATA'!$M$3,"")</f>
        <v/>
      </c>
      <c r="BS6" s="520" t="str">
        <f>IF(AND(_D="A-350",'2024'!$D$4="CA",'2024'!$D$2=BS5),'2024DATA'!$N$3,"")</f>
        <v/>
      </c>
      <c r="BT6" s="940" t="s">
        <v>39</v>
      </c>
      <c r="BU6" s="13" t="s">
        <v>61</v>
      </c>
      <c r="BV6" s="518" t="str">
        <f>IF(AND(_E="A-350",'2024'!$D$4="CA",'2024'!$D$2=BV5),'2024DATA'!$C$3,"")</f>
        <v/>
      </c>
      <c r="BW6" s="518" t="str">
        <f>IF(AND(_E="A-350",'2024'!$D$4="CA",'2024'!$D$2=BW5),'2024DATA'!$D$3,"")</f>
        <v/>
      </c>
      <c r="BX6" s="518" t="str">
        <f>IF(AND(_E="A-350",'2024'!$D$4="CA",'2024'!$D$2=BX5),'2024DATA'!$E$3,"")</f>
        <v/>
      </c>
      <c r="BY6" s="518" t="str">
        <f>IF(AND(_E="A-350",'2024'!$D$4="CA",'2024'!$D$2=BY5),'2024DATA'!$F$3,"")</f>
        <v/>
      </c>
      <c r="BZ6" s="518" t="str">
        <f>IF(AND(_E="A-350",'2024'!$D$4="CA",'2024'!$D$2=BZ5),'2024DATA'!$G$3,"")</f>
        <v/>
      </c>
      <c r="CA6" s="518" t="str">
        <f>IF(AND(_E="A-350",'2024'!$D$4="CA",'2024'!$D$2=CA5),'2024DATA'!$H$3,"")</f>
        <v/>
      </c>
      <c r="CB6" s="518" t="str">
        <f>IF(AND(_E="A-350",'2024'!$D$4="CA",'2024'!$D$2=CB5),'2024DATA'!$I$3,"")</f>
        <v/>
      </c>
      <c r="CC6" s="518" t="str">
        <f>IF(AND(_E="A-350",'2024'!$D$4="CA",'2024'!$D$2=CC5),'2024DATA'!$J$3,"")</f>
        <v/>
      </c>
      <c r="CD6" s="518" t="str">
        <f>IF(AND(_E="A-350",'2024'!$D$4="CA",'2024'!$D$2=CD5),'2024DATA'!$K$3,"")</f>
        <v/>
      </c>
      <c r="CE6" s="518" t="str">
        <f>IF(AND(_E="A-350",'2024'!$D$4="CA",'2024'!$D$2=CE5),'2024DATA'!$L$3,"")</f>
        <v/>
      </c>
      <c r="CF6" s="518" t="str">
        <f>IF(AND(_E="A-350",'2024'!$D$4="CA",'2024'!$D$2=CF5),'2024DATA'!$M$3,"")</f>
        <v/>
      </c>
      <c r="CG6" s="520" t="str">
        <f>IF(AND(_E="A-350",'2024'!$D$4="CA",'2024'!$D$2=CG5),'2024DATA'!$N$3,"")</f>
        <v/>
      </c>
      <c r="CH6" s="940" t="s">
        <v>39</v>
      </c>
      <c r="CI6" s="13" t="s">
        <v>61</v>
      </c>
      <c r="CJ6" s="518" t="str">
        <f>IF(AND(_F="A-350",'2024'!$D$4="CA",'2024'!$D$2=CJ5),'2024DATA'!$C$3,"")</f>
        <v/>
      </c>
      <c r="CK6" s="518" t="str">
        <f>IF(AND(_F="A-350",'2024'!$D$4="CA",'2024'!$D$2=CK5),'2024DATA'!$D$3,"")</f>
        <v/>
      </c>
      <c r="CL6" s="518" t="str">
        <f>IF(AND(_F="A-350",'2024'!$D$4="CA",'2024'!$D$2=CL5),'2024DATA'!$E$3,"")</f>
        <v/>
      </c>
      <c r="CM6" s="518" t="str">
        <f>IF(AND(_F="A-350",'2024'!$D$4="CA",'2024'!$D$2=CM5),'2024DATA'!$F$3,"")</f>
        <v/>
      </c>
      <c r="CN6" s="518" t="str">
        <f>IF(AND(_F="A-350",'2024'!$D$4="CA",'2024'!$D$2=CN5),'2024DATA'!$G$3,"")</f>
        <v/>
      </c>
      <c r="CO6" s="518" t="str">
        <f>IF(AND(_F="A-350",'2024'!$D$4="CA",'2024'!$D$2=CO5),'2024DATA'!$H$3,"")</f>
        <v/>
      </c>
      <c r="CP6" s="518" t="str">
        <f>IF(AND(_F="A-350",'2024'!$D$4="CA",'2024'!$D$2=CP5),'2024DATA'!$I$3,"")</f>
        <v/>
      </c>
      <c r="CQ6" s="518" t="str">
        <f>IF(AND(_F="A-350",'2024'!$D$4="CA",'2024'!$D$2=CQ5),'2024DATA'!$J$3,"")</f>
        <v/>
      </c>
      <c r="CR6" s="518" t="str">
        <f>IF(AND(_F="A-350",'2024'!$D$4="CA",'2024'!$D$2=CR5),'2024DATA'!$K$3,"")</f>
        <v/>
      </c>
      <c r="CS6" s="518" t="str">
        <f>IF(AND(_F="A-350",'2024'!$D$4="CA",'2024'!$D$2=CS5),'2024DATA'!$L$3,"")</f>
        <v/>
      </c>
      <c r="CT6" s="518" t="str">
        <f>IF(AND(_F="A-350",'2024'!$D$4="CA",'2024'!$D$2=CT5),'2024DATA'!$M$3,"")</f>
        <v/>
      </c>
      <c r="CU6" s="520" t="str">
        <f>IF(AND(_F="A-350",'2024'!$D$4="CA",'2024'!$D$2=CU5),'2024DATA'!$N$3,"")</f>
        <v/>
      </c>
    </row>
    <row r="7" spans="1:99" x14ac:dyDescent="0.25">
      <c r="A7" s="987" t="s">
        <v>64</v>
      </c>
      <c r="B7" s="64" t="s">
        <v>61</v>
      </c>
      <c r="C7" s="494">
        <v>447.24</v>
      </c>
      <c r="D7" s="473">
        <v>443.87</v>
      </c>
      <c r="E7" s="473">
        <v>440.53</v>
      </c>
      <c r="F7" s="473">
        <v>437.19</v>
      </c>
      <c r="G7" s="473">
        <v>433.83</v>
      </c>
      <c r="H7" s="473">
        <v>430.51</v>
      </c>
      <c r="I7" s="473">
        <v>427.14</v>
      </c>
      <c r="J7" s="473">
        <v>423.82</v>
      </c>
      <c r="K7" s="473">
        <v>420.44</v>
      </c>
      <c r="L7" s="473">
        <v>417.09</v>
      </c>
      <c r="M7" s="473">
        <v>413.7</v>
      </c>
      <c r="N7" s="495">
        <v>410.37</v>
      </c>
      <c r="P7" s="940"/>
      <c r="Q7" s="13" t="s">
        <v>62</v>
      </c>
      <c r="R7" s="518" t="str">
        <f>IF(AND(_A="A-350",'2024'!$D$4="FO",'2024'!$D$2=R5),'2024DATA'!$C$4,"")</f>
        <v/>
      </c>
      <c r="S7" s="518" t="str">
        <f>IF(AND(_A="A-350",'2024'!$D$4="FO",'2024'!$D$2=S5),'2024DATA'!$D$4,"")</f>
        <v/>
      </c>
      <c r="T7" s="518" t="str">
        <f>IF(AND(_A="A-350",'2024'!$D$4="FO",'2024'!$D$2=T5),'2024DATA'!$E$4,"")</f>
        <v/>
      </c>
      <c r="U7" s="518" t="str">
        <f>IF(AND(_A="A-350",'2024'!$D$4="FO",'2024'!$D$2=U5),'2024DATA'!$F$4,"")</f>
        <v/>
      </c>
      <c r="V7" s="518" t="str">
        <f>IF(AND(_A="A-350",'2024'!$D$4="FO",'2024'!$D$2=V5),'2024DATA'!$G$4,"")</f>
        <v/>
      </c>
      <c r="W7" s="518" t="str">
        <f>IF(AND(_A="A-350",'2024'!$D$4="FO",'2024'!$D$2=W5),'2024DATA'!$H$4,"")</f>
        <v/>
      </c>
      <c r="X7" s="518" t="str">
        <f>IF(AND(_A="A-350",'2024'!$D$4="FO",'2024'!$D$2=X5),'2024DATA'!$I$4,"")</f>
        <v/>
      </c>
      <c r="Y7" s="518" t="str">
        <f>IF(AND(_A="A-350",'2024'!$D$4="FO",'2024'!$D$2=Y5),'2024DATA'!$J$4,"")</f>
        <v/>
      </c>
      <c r="Z7" s="518" t="str">
        <f>IF(AND(_A="A-350",'2024'!$D$4="FO",'2024'!$D$2=Z5),'2024DATA'!$K$4,"")</f>
        <v/>
      </c>
      <c r="AA7" s="518" t="str">
        <f>IF(AND(_A="A-350",'2024'!$D$4="FO",'2024'!$D$2=AA5),'2024DATA'!$L$4,"")</f>
        <v/>
      </c>
      <c r="AB7" s="518" t="str">
        <f>IF(AND(_A="A-350",'2024'!$D$4="FO",'2024'!$D$2=AB5),'2024DATA'!$M$4,"")</f>
        <v/>
      </c>
      <c r="AC7" s="520" t="str">
        <f>IF(AND(_A="A-350",'2024'!$D$4="FO",'2024'!$D$2=AC5),'2024DATA'!$N$4,"")</f>
        <v/>
      </c>
      <c r="AD7" s="940"/>
      <c r="AE7" s="13" t="s">
        <v>62</v>
      </c>
      <c r="AF7" s="518" t="str">
        <f>IF(AND(_B="A-350",'2024'!$D$4="FO",'2024'!$D$2=AF5),'2024DATA'!$C$4,"")</f>
        <v/>
      </c>
      <c r="AG7" s="518" t="str">
        <f>IF(AND(_B="A-350",'2024'!$D$4="FO",'2024'!$D$2=AG5),'2024DATA'!$D$4,"")</f>
        <v/>
      </c>
      <c r="AH7" s="518" t="str">
        <f>IF(AND(_B="A-350",'2024'!$D$4="FO",'2024'!$D$2=AH5),'2024DATA'!$E$4,"")</f>
        <v/>
      </c>
      <c r="AI7" s="518" t="str">
        <f>IF(AND(_B="A-350",'2024'!$D$4="FO",'2024'!$D$2=AI5),'2024DATA'!$F$4,"")</f>
        <v/>
      </c>
      <c r="AJ7" s="518" t="str">
        <f>IF(AND(_B="A-350",'2024'!$D$4="FO",'2024'!$D$2=AJ5),'2024DATA'!$G$4,"")</f>
        <v/>
      </c>
      <c r="AK7" s="518" t="str">
        <f>IF(AND(_B="A-350",'2024'!$D$4="FO",'2024'!$D$2=AK5),'2024DATA'!$H$4,"")</f>
        <v/>
      </c>
      <c r="AL7" s="518" t="str">
        <f>IF(AND(_B="A-350",'2024'!$D$4="FO",'2024'!$D$2=AL5),'2024DATA'!$I$4,"")</f>
        <v/>
      </c>
      <c r="AM7" s="518" t="str">
        <f>IF(AND(_B="A-350",'2024'!$D$4="FO",'2024'!$D$2=AM5),'2024DATA'!$J$4,"")</f>
        <v/>
      </c>
      <c r="AN7" s="518" t="str">
        <f>IF(AND(_B="A-350",'2024'!$D$4="FO",'2024'!$D$2=AN5),'2024DATA'!$K$4,"")</f>
        <v/>
      </c>
      <c r="AO7" s="518" t="str">
        <f>IF(AND(_B="A-350",'2024'!$D$4="FO",'2024'!$D$2=AO5),'2024DATA'!$L$4,"")</f>
        <v/>
      </c>
      <c r="AP7" s="518" t="str">
        <f>IF(AND(_B="A-350",'2024'!$D$4="FO",'2024'!$D$2=AP5),'2024DATA'!$M$4,"")</f>
        <v/>
      </c>
      <c r="AQ7" s="520" t="str">
        <f>IF(AND(_B="A-350",'2024'!$D$4="FO",'2024'!$D$2=AQ5),'2024DATA'!$N$4,"")</f>
        <v/>
      </c>
      <c r="AR7" s="940"/>
      <c r="AS7" s="13" t="s">
        <v>62</v>
      </c>
      <c r="AT7" s="518" t="str">
        <f>IF(AND(_C="A-350",'2024'!$D$4="FO",'2024'!$D$2=AT5),'2024DATA'!$C$4,"")</f>
        <v/>
      </c>
      <c r="AU7" s="518" t="str">
        <f>IF(AND(_C="A-350",'2024'!$D$4="FO",'2024'!$D$2=AU5),'2024DATA'!$D$4,"")</f>
        <v/>
      </c>
      <c r="AV7" s="518" t="str">
        <f>IF(AND(_C="A-350",'2024'!$D$4="FO",'2024'!$D$2=AV5),'2024DATA'!$E$4,"")</f>
        <v/>
      </c>
      <c r="AW7" s="518" t="str">
        <f>IF(AND(_C="A-350",'2024'!$D$4="FO",'2024'!$D$2=AW5),'2024DATA'!$F$4,"")</f>
        <v/>
      </c>
      <c r="AX7" s="518" t="str">
        <f>IF(AND(_C="A-350",'2024'!$D$4="FO",'2024'!$D$2=AX5),'2024DATA'!$G$4,"")</f>
        <v/>
      </c>
      <c r="AY7" s="518" t="str">
        <f>IF(AND(_C="A-350",'2024'!$D$4="FO",'2024'!$D$2=AY5),'2024DATA'!$H$4,"")</f>
        <v/>
      </c>
      <c r="AZ7" s="518" t="str">
        <f>IF(AND(_C="A-350",'2024'!$D$4="FO",'2024'!$D$2=AZ5),'2024DATA'!$I$4,"")</f>
        <v/>
      </c>
      <c r="BA7" s="518" t="str">
        <f>IF(AND(_C="A-350",'2024'!$D$4="FO",'2024'!$D$2=BA5),'2024DATA'!$J$4,"")</f>
        <v/>
      </c>
      <c r="BB7" s="518" t="str">
        <f>IF(AND(_C="A-350",'2024'!$D$4="FO",'2024'!$D$2=BB5),'2024DATA'!$K$4,"")</f>
        <v/>
      </c>
      <c r="BC7" s="518" t="str">
        <f>IF(AND(_C="A-350",'2024'!$D$4="FO",'2024'!$D$2=BC5),'2024DATA'!$L$4,"")</f>
        <v/>
      </c>
      <c r="BD7" s="518" t="str">
        <f>IF(AND(_C="A-350",'2024'!$D$4="FO",'2024'!$D$2=BD5),'2024DATA'!$M$4,"")</f>
        <v/>
      </c>
      <c r="BE7" s="520" t="str">
        <f>IF(AND(_C="A-350",'2024'!$D$4="FO",'2024'!$D$2=BE5),'2024DATA'!$N$4,"")</f>
        <v/>
      </c>
      <c r="BF7" s="940"/>
      <c r="BG7" s="13" t="s">
        <v>62</v>
      </c>
      <c r="BH7" s="518" t="str">
        <f>IF(AND(_D="A-350",'2024'!$D$4="FO",'2024'!$D$2=BH5),'2024DATA'!$C$4,"")</f>
        <v/>
      </c>
      <c r="BI7" s="518" t="str">
        <f>IF(AND(_D="A-350",'2024'!$D$4="FO",'2024'!$D$2=BI5),'2024DATA'!$D$4,"")</f>
        <v/>
      </c>
      <c r="BJ7" s="518" t="str">
        <f>IF(AND(_D="A-350",'2024'!$D$4="FO",'2024'!$D$2=BJ5),'2024DATA'!$E$4,"")</f>
        <v/>
      </c>
      <c r="BK7" s="518" t="str">
        <f>IF(AND(_D="A-350",'2024'!$D$4="FO",'2024'!$D$2=BK5),'2024DATA'!$F$4,"")</f>
        <v/>
      </c>
      <c r="BL7" s="518" t="str">
        <f>IF(AND(_D="A-350",'2024'!$D$4="FO",'2024'!$D$2=BL5),'2024DATA'!$G$4,"")</f>
        <v/>
      </c>
      <c r="BM7" s="518" t="str">
        <f>IF(AND(_D="A-350",'2024'!$D$4="FO",'2024'!$D$2=BM5),'2024DATA'!$H$4,"")</f>
        <v/>
      </c>
      <c r="BN7" s="518" t="str">
        <f>IF(AND(_D="A-350",'2024'!$D$4="FO",'2024'!$D$2=BN5),'2024DATA'!$I$4,"")</f>
        <v/>
      </c>
      <c r="BO7" s="518" t="str">
        <f>IF(AND(_D="A-350",'2024'!$D$4="FO",'2024'!$D$2=BO5),'2024DATA'!$J$4,"")</f>
        <v/>
      </c>
      <c r="BP7" s="518" t="str">
        <f>IF(AND(_D="A-350",'2024'!$D$4="FO",'2024'!$D$2=BP5),'2024DATA'!$K$4,"")</f>
        <v/>
      </c>
      <c r="BQ7" s="518" t="str">
        <f>IF(AND(_D="A-350",'2024'!$D$4="FO",'2024'!$D$2=BQ5),'2024DATA'!$L$4,"")</f>
        <v/>
      </c>
      <c r="BR7" s="518" t="str">
        <f>IF(AND(_D="A-350",'2024'!$D$4="FO",'2024'!$D$2=BR5),'2024DATA'!$M$4,"")</f>
        <v/>
      </c>
      <c r="BS7" s="520" t="str">
        <f>IF(AND(_D="A-350",'2024'!$D$4="FO",'2024'!$D$2=BS5),'2024DATA'!$N$4,"")</f>
        <v/>
      </c>
      <c r="BT7" s="940"/>
      <c r="BU7" s="13" t="s">
        <v>62</v>
      </c>
      <c r="BV7" s="518" t="str">
        <f>IF(AND(_E="A-350",'2024'!$D$4="FO",'2024'!$D$2=BV5),'2024DATA'!$C$4,"")</f>
        <v/>
      </c>
      <c r="BW7" s="518" t="str">
        <f>IF(AND(_E="A-350",'2024'!$D$4="FO",'2024'!$D$2=BW5),'2024DATA'!$D$4,"")</f>
        <v/>
      </c>
      <c r="BX7" s="518" t="str">
        <f>IF(AND(_E="A-350",'2024'!$D$4="FO",'2024'!$D$2=BX5),'2024DATA'!$E$4,"")</f>
        <v/>
      </c>
      <c r="BY7" s="518" t="str">
        <f>IF(AND(_E="A-350",'2024'!$D$4="FO",'2024'!$D$2=BY5),'2024DATA'!$F$4,"")</f>
        <v/>
      </c>
      <c r="BZ7" s="518" t="str">
        <f>IF(AND(_E="A-350",'2024'!$D$4="FO",'2024'!$D$2=BZ5),'2024DATA'!$G$4,"")</f>
        <v/>
      </c>
      <c r="CA7" s="518" t="str">
        <f>IF(AND(_E="A-350",'2024'!$D$4="FO",'2024'!$D$2=CA5),'2024DATA'!$H$4,"")</f>
        <v/>
      </c>
      <c r="CB7" s="518" t="str">
        <f>IF(AND(_E="A-350",'2024'!$D$4="FO",'2024'!$D$2=CB5),'2024DATA'!$I$4,"")</f>
        <v/>
      </c>
      <c r="CC7" s="518" t="str">
        <f>IF(AND(_E="A-350",'2024'!$D$4="FO",'2024'!$D$2=CC5),'2024DATA'!$J$4,"")</f>
        <v/>
      </c>
      <c r="CD7" s="518" t="str">
        <f>IF(AND(_E="A-350",'2024'!$D$4="FO",'2024'!$D$2=CD5),'2024DATA'!$K$4,"")</f>
        <v/>
      </c>
      <c r="CE7" s="518" t="str">
        <f>IF(AND(_E="A-350",'2024'!$D$4="FO",'2024'!$D$2=CE5),'2024DATA'!$L$4,"")</f>
        <v/>
      </c>
      <c r="CF7" s="518" t="str">
        <f>IF(AND(_E="A-350",'2024'!$D$4="FO",'2024'!$D$2=CF5),'2024DATA'!$M$4,"")</f>
        <v/>
      </c>
      <c r="CG7" s="520" t="str">
        <f>IF(AND(_E="A-350",'2024'!$D$4="FO",'2024'!$D$2=CG5),'2024DATA'!$N$4,"")</f>
        <v/>
      </c>
      <c r="CH7" s="940"/>
      <c r="CI7" s="13" t="s">
        <v>62</v>
      </c>
      <c r="CJ7" s="518" t="str">
        <f>IF(AND(_F="A-350",'2024'!$D$4="FO",'2024'!$D$2=CJ5),'2024DATA'!$C$4,"")</f>
        <v/>
      </c>
      <c r="CK7" s="518" t="str">
        <f>IF(AND(_F="A-350",'2024'!$D$4="FO",'2024'!$D$2=CK5),'2024DATA'!$D$4,"")</f>
        <v/>
      </c>
      <c r="CL7" s="518" t="str">
        <f>IF(AND(_F="A-350",'2024'!$D$4="FO",'2024'!$D$2=CL5),'2024DATA'!$E$4,"")</f>
        <v/>
      </c>
      <c r="CM7" s="518" t="str">
        <f>IF(AND(_F="A-350",'2024'!$D$4="FO",'2024'!$D$2=CM5),'2024DATA'!$F$4,"")</f>
        <v/>
      </c>
      <c r="CN7" s="518" t="str">
        <f>IF(AND(_F="A-350",'2024'!$D$4="FO",'2024'!$D$2=CN5),'2024DATA'!$G$4,"")</f>
        <v/>
      </c>
      <c r="CO7" s="518" t="str">
        <f>IF(AND(_F="A-350",'2024'!$D$4="FO",'2024'!$D$2=CO5),'2024DATA'!$H$4,"")</f>
        <v/>
      </c>
      <c r="CP7" s="518" t="str">
        <f>IF(AND(_F="A-350",'2024'!$D$4="FO",'2024'!$D$2=CP5),'2024DATA'!$I$4,"")</f>
        <v/>
      </c>
      <c r="CQ7" s="518" t="str">
        <f>IF(AND(_F="A-350",'2024'!$D$4="FO",'2024'!$D$2=CQ5),'2024DATA'!$J$4,"")</f>
        <v/>
      </c>
      <c r="CR7" s="518" t="str">
        <f>IF(AND(_F="A-350",'2024'!$D$4="FO",'2024'!$D$2=CR5),'2024DATA'!$K$4,"")</f>
        <v/>
      </c>
      <c r="CS7" s="518" t="str">
        <f>IF(AND(_F="A-350",'2024'!$D$4="FO",'2024'!$D$2=CS5),'2024DATA'!$L$4,"")</f>
        <v/>
      </c>
      <c r="CT7" s="518" t="str">
        <f>IF(AND(_F="A-350",'2024'!$D$4="FO",'2024'!$D$2=CT5),'2024DATA'!$M$4,"")</f>
        <v/>
      </c>
      <c r="CU7" s="520" t="str">
        <f>IF(AND(_F="A-350",'2024'!$D$4="FO",'2024'!$D$2=CU5),'2024DATA'!$N$4,"")</f>
        <v/>
      </c>
    </row>
    <row r="8" spans="1:99" x14ac:dyDescent="0.25">
      <c r="A8" s="987"/>
      <c r="B8" s="64" t="s">
        <v>62</v>
      </c>
      <c r="C8" s="494">
        <v>305.5</v>
      </c>
      <c r="D8" s="473">
        <v>302.72000000000003</v>
      </c>
      <c r="E8" s="473">
        <v>300.04000000000002</v>
      </c>
      <c r="F8" s="473">
        <v>296.02</v>
      </c>
      <c r="G8" s="473">
        <v>292.82</v>
      </c>
      <c r="H8" s="473">
        <v>286.26</v>
      </c>
      <c r="I8" s="473">
        <v>278.51</v>
      </c>
      <c r="J8" s="473">
        <v>271.63</v>
      </c>
      <c r="K8" s="473">
        <v>265.29000000000002</v>
      </c>
      <c r="L8" s="473">
        <v>259.02</v>
      </c>
      <c r="M8" s="473">
        <v>221.35</v>
      </c>
      <c r="N8" s="495">
        <v>116.05</v>
      </c>
      <c r="P8" s="940" t="s">
        <v>65</v>
      </c>
      <c r="Q8" s="13" t="s">
        <v>61</v>
      </c>
      <c r="R8" s="518" t="str">
        <f>IF(AND(_A="A-330-900",'2024'!$D$4="CA",'2024'!$D$2=R5),'2024DATA'!$C$5,"")</f>
        <v/>
      </c>
      <c r="S8" s="518" t="str">
        <f>IF(AND(_A="A-330-900",'2024'!$D$4="CA",'2024'!$D$2=S5),'2024DATA'!$D$5,"")</f>
        <v/>
      </c>
      <c r="T8" s="518" t="str">
        <f>IF(AND(_A="A-330-900",'2024'!$D$4="CA",'2024'!$D$2=T5),'2024DATA'!$E$5,"")</f>
        <v/>
      </c>
      <c r="U8" s="518" t="str">
        <f>IF(AND(_A="A-330-900",'2024'!$D$4="CA",'2024'!$D$2=U5),'2024DATA'!$F$5,"")</f>
        <v/>
      </c>
      <c r="V8" s="518" t="str">
        <f>IF(AND(_A="A-330-900",'2024'!$D$4="CA",'2024'!$D$2=V5),'2024DATA'!$G$5,"")</f>
        <v/>
      </c>
      <c r="W8" s="518" t="str">
        <f>IF(AND(_A="A-330-900",'2024'!$D$4="CA",'2024'!$D$2=W5),'2024DATA'!$H$5,"")</f>
        <v/>
      </c>
      <c r="X8" s="518" t="str">
        <f>IF(AND(_A="A-330-900",'2024'!$D$4="CA",'2024'!$D$2=X5),'2024DATA'!$I$5,"")</f>
        <v/>
      </c>
      <c r="Y8" s="518" t="str">
        <f>IF(AND(_A="A-330-900",'2024'!$D$4="CA",'2024'!$D$2=Y5),'2024DATA'!$J$5,"")</f>
        <v/>
      </c>
      <c r="Z8" s="518" t="str">
        <f>IF(AND(_A="A-330-900",'2024'!$D$4="CA",'2024'!$D$2=Z5),'2024DATA'!$K$5,"")</f>
        <v/>
      </c>
      <c r="AA8" s="518" t="str">
        <f>IF(AND(_A="A-330-900",'2024'!$D$4="CA",'2024'!$D$2=AA5),'2024DATA'!$L$5,"")</f>
        <v/>
      </c>
      <c r="AB8" s="518" t="str">
        <f>IF(AND(_A="A-330-900",'2024'!$D$4="CA",'2024'!$D$2=AB5),'2024DATA'!$M$5,"")</f>
        <v/>
      </c>
      <c r="AC8" s="520" t="str">
        <f>IF(AND(_A="A-330-900",'2024'!$D$4="CA",'2024'!$D$2=AC5),'2024DATA'!$N$5,"")</f>
        <v/>
      </c>
      <c r="AD8" s="940" t="s">
        <v>65</v>
      </c>
      <c r="AE8" s="13" t="s">
        <v>61</v>
      </c>
      <c r="AF8" s="518" t="str">
        <f>IF(AND(_B="A-330-900",'2024'!$D$4="CA",'2024'!$D$2=AF5),'2024DATA'!$C$5,"")</f>
        <v/>
      </c>
      <c r="AG8" s="518" t="str">
        <f>IF(AND(_B="A-330-900",'2024'!$D$4="CA",'2024'!$D$2=AG5),'2024DATA'!$D$5,"")</f>
        <v/>
      </c>
      <c r="AH8" s="518" t="str">
        <f>IF(AND(_B="A-330-900",'2024'!$D$4="CA",'2024'!$D$2=AH5),'2024DATA'!$E$5,"")</f>
        <v/>
      </c>
      <c r="AI8" s="518" t="str">
        <f>IF(AND(_B="A-330-900",'2024'!$D$4="CA",'2024'!$D$2=AI5),'2024DATA'!$F$5,"")</f>
        <v/>
      </c>
      <c r="AJ8" s="518" t="str">
        <f>IF(AND(_B="A-330-900",'2024'!$D$4="CA",'2024'!$D$2=AJ5),'2024DATA'!$G$5,"")</f>
        <v/>
      </c>
      <c r="AK8" s="518" t="str">
        <f>IF(AND(_B="A-330-900",'2024'!$D$4="CA",'2024'!$D$2=AK5),'2024DATA'!$H$5,"")</f>
        <v/>
      </c>
      <c r="AL8" s="518" t="str">
        <f>IF(AND(_B="A-330-900",'2024'!$D$4="CA",'2024'!$D$2=AL5),'2024DATA'!$I$5,"")</f>
        <v/>
      </c>
      <c r="AM8" s="518" t="str">
        <f>IF(AND(_B="A-330-900",'2024'!$D$4="CA",'2024'!$D$2=AM5),'2024DATA'!$J$5,"")</f>
        <v/>
      </c>
      <c r="AN8" s="518" t="str">
        <f>IF(AND(_B="A-330-900",'2024'!$D$4="CA",'2024'!$D$2=AN5),'2024DATA'!$K$5,"")</f>
        <v/>
      </c>
      <c r="AO8" s="518" t="str">
        <f>IF(AND(_B="A-330-900",'2024'!$D$4="CA",'2024'!$D$2=AO5),'2024DATA'!$L$5,"")</f>
        <v/>
      </c>
      <c r="AP8" s="518" t="str">
        <f>IF(AND(_B="A-330-900",'2024'!$D$4="CA",'2024'!$D$2=AP5),'2024DATA'!$M$5,"")</f>
        <v/>
      </c>
      <c r="AQ8" s="520" t="str">
        <f>IF(AND(_B="A-330-900",'2024'!$D$4="CA",'2024'!$D$2=AQ5),'2024DATA'!$N$5,"")</f>
        <v/>
      </c>
      <c r="AR8" s="940" t="s">
        <v>65</v>
      </c>
      <c r="AS8" s="13" t="s">
        <v>61</v>
      </c>
      <c r="AT8" s="518" t="str">
        <f>IF(AND(_C="A-330-900",'2024'!$D$4="CA",'2024'!$D$2=AT5),'2024DATA'!$C$5,"")</f>
        <v/>
      </c>
      <c r="AU8" s="518" t="str">
        <f>IF(AND(_C="A-330-900",'2024'!$D$4="CA",'2024'!$D$2=AU5),'2024DATA'!$D$5,"")</f>
        <v/>
      </c>
      <c r="AV8" s="518" t="str">
        <f>IF(AND(_C="A-330-900",'2024'!$D$4="CA",'2024'!$D$2=AV5),'2024DATA'!$E$5,"")</f>
        <v/>
      </c>
      <c r="AW8" s="518" t="str">
        <f>IF(AND(_C="A-330-900",'2024'!$D$4="CA",'2024'!$D$2=AW5),'2024DATA'!$F$5,"")</f>
        <v/>
      </c>
      <c r="AX8" s="518" t="str">
        <f>IF(AND(_C="A-330-900",'2024'!$D$4="CA",'2024'!$D$2=AX5),'2024DATA'!$G$5,"")</f>
        <v/>
      </c>
      <c r="AY8" s="518" t="str">
        <f>IF(AND(_C="A-330-900",'2024'!$D$4="CA",'2024'!$D$2=AY5),'2024DATA'!$H$5,"")</f>
        <v/>
      </c>
      <c r="AZ8" s="518" t="str">
        <f>IF(AND(_C="A-330-900",'2024'!$D$4="CA",'2024'!$D$2=AZ5),'2024DATA'!$I$5,"")</f>
        <v/>
      </c>
      <c r="BA8" s="518" t="str">
        <f>IF(AND(_C="A-330-900",'2024'!$D$4="CA",'2024'!$D$2=BA5),'2024DATA'!$J$5,"")</f>
        <v/>
      </c>
      <c r="BB8" s="518" t="str">
        <f>IF(AND(_C="A-330-900",'2024'!$D$4="CA",'2024'!$D$2=BB5),'2024DATA'!$K$5,"")</f>
        <v/>
      </c>
      <c r="BC8" s="518" t="str">
        <f>IF(AND(_C="A-330-900",'2024'!$D$4="CA",'2024'!$D$2=BC5),'2024DATA'!$L$5,"")</f>
        <v/>
      </c>
      <c r="BD8" s="518" t="str">
        <f>IF(AND(_C="A-330-900",'2024'!$D$4="CA",'2024'!$D$2=BD5),'2024DATA'!$M$5,"")</f>
        <v/>
      </c>
      <c r="BE8" s="520" t="str">
        <f>IF(AND(_C="A-330-900",'2024'!$D$4="CA",'2024'!$D$2=BE5),'2024DATA'!$N$5,"")</f>
        <v/>
      </c>
      <c r="BF8" s="940" t="s">
        <v>65</v>
      </c>
      <c r="BG8" s="13" t="s">
        <v>61</v>
      </c>
      <c r="BH8" s="518" t="str">
        <f>IF(AND(_D="A-330-900",'2024'!$D$4="CA",'2024'!$D$2=BH5),'2024DATA'!$C$5,"")</f>
        <v/>
      </c>
      <c r="BI8" s="518" t="str">
        <f>IF(AND(_D="A-330-900",'2024'!$D$4="CA",'2024'!$D$2=BI5),'2024DATA'!$D$5,"")</f>
        <v/>
      </c>
      <c r="BJ8" s="518" t="str">
        <f>IF(AND(_D="A-330-900",'2024'!$D$4="CA",'2024'!$D$2=BJ5),'2024DATA'!$E$5,"")</f>
        <v/>
      </c>
      <c r="BK8" s="518" t="str">
        <f>IF(AND(_D="A-330-900",'2024'!$D$4="CA",'2024'!$D$2=BK5),'2024DATA'!$F$5,"")</f>
        <v/>
      </c>
      <c r="BL8" s="518" t="str">
        <f>IF(AND(_D="A-330-900",'2024'!$D$4="CA",'2024'!$D$2=BL5),'2024DATA'!$G$5,"")</f>
        <v/>
      </c>
      <c r="BM8" s="518" t="str">
        <f>IF(AND(_D="A-330-900",'2024'!$D$4="CA",'2024'!$D$2=BM5),'2024DATA'!$H$5,"")</f>
        <v/>
      </c>
      <c r="BN8" s="518" t="str">
        <f>IF(AND(_D="A-330-900",'2024'!$D$4="CA",'2024'!$D$2=BN5),'2024DATA'!$I$5,"")</f>
        <v/>
      </c>
      <c r="BO8" s="518" t="str">
        <f>IF(AND(_D="A-330-900",'2024'!$D$4="CA",'2024'!$D$2=BO5),'2024DATA'!$J$5,"")</f>
        <v/>
      </c>
      <c r="BP8" s="518" t="str">
        <f>IF(AND(_D="A-330-900",'2024'!$D$4="CA",'2024'!$D$2=BP5),'2024DATA'!$K$5,"")</f>
        <v/>
      </c>
      <c r="BQ8" s="518" t="str">
        <f>IF(AND(_D="A-330-900",'2024'!$D$4="CA",'2024'!$D$2=BQ5),'2024DATA'!$L$5,"")</f>
        <v/>
      </c>
      <c r="BR8" s="518" t="str">
        <f>IF(AND(_D="A-330-900",'2024'!$D$4="CA",'2024'!$D$2=BR5),'2024DATA'!$M$5,"")</f>
        <v/>
      </c>
      <c r="BS8" s="520" t="str">
        <f>IF(AND(_D="A-330-900",'2024'!$D$4="CA",'2024'!$D$2=BS5),'2024DATA'!$N$5,"")</f>
        <v/>
      </c>
      <c r="BT8" s="940" t="s">
        <v>65</v>
      </c>
      <c r="BU8" s="13" t="s">
        <v>61</v>
      </c>
      <c r="BV8" s="518" t="str">
        <f>IF(AND(_E="A-330-900",'2024'!$D$4="CA",'2024'!$D$2=BV5),'2024DATA'!$C$5,"")</f>
        <v/>
      </c>
      <c r="BW8" s="518" t="str">
        <f>IF(AND(_E="A-330-900",'2024'!$D$4="CA",'2024'!$D$2=BW5),'2024DATA'!$D$5,"")</f>
        <v/>
      </c>
      <c r="BX8" s="518" t="str">
        <f>IF(AND(_E="A-330-900",'2024'!$D$4="CA",'2024'!$D$2=BX5),'2024DATA'!$E$5,"")</f>
        <v/>
      </c>
      <c r="BY8" s="518" t="str">
        <f>IF(AND(_E="A-330-900",'2024'!$D$4="CA",'2024'!$D$2=BY5),'2024DATA'!$F$5,"")</f>
        <v/>
      </c>
      <c r="BZ8" s="518" t="str">
        <f>IF(AND(_E="A-330-900",'2024'!$D$4="CA",'2024'!$D$2=BZ5),'2024DATA'!$G$5,"")</f>
        <v/>
      </c>
      <c r="CA8" s="518" t="str">
        <f>IF(AND(_E="A-330-900",'2024'!$D$4="CA",'2024'!$D$2=CA5),'2024DATA'!$H$5,"")</f>
        <v/>
      </c>
      <c r="CB8" s="518" t="str">
        <f>IF(AND(_E="A-330-900",'2024'!$D$4="CA",'2024'!$D$2=CB5),'2024DATA'!$I$5,"")</f>
        <v/>
      </c>
      <c r="CC8" s="518" t="str">
        <f>IF(AND(_E="A-330-900",'2024'!$D$4="CA",'2024'!$D$2=CC5),'2024DATA'!$J$5,"")</f>
        <v/>
      </c>
      <c r="CD8" s="518" t="str">
        <f>IF(AND(_E="A-330-900",'2024'!$D$4="CA",'2024'!$D$2=CD5),'2024DATA'!$K$5,"")</f>
        <v/>
      </c>
      <c r="CE8" s="518" t="str">
        <f>IF(AND(_E="A-330-900",'2024'!$D$4="CA",'2024'!$D$2=CE5),'2024DATA'!$L$5,"")</f>
        <v/>
      </c>
      <c r="CF8" s="518" t="str">
        <f>IF(AND(_E="A-330-900",'2024'!$D$4="CA",'2024'!$D$2=CF5),'2024DATA'!$M$5,"")</f>
        <v/>
      </c>
      <c r="CG8" s="520" t="str">
        <f>IF(AND(_E="A-330-900",'2024'!$D$4="CA",'2024'!$D$2=CG5),'2024DATA'!$N$5,"")</f>
        <v/>
      </c>
      <c r="CH8" s="940" t="s">
        <v>65</v>
      </c>
      <c r="CI8" s="13" t="s">
        <v>61</v>
      </c>
      <c r="CJ8" s="518" t="str">
        <f>IF(AND(_F="A-330-900",'2024'!$D$4="CA",'2024'!$D$2=CJ5),'2024DATA'!$C$5,"")</f>
        <v/>
      </c>
      <c r="CK8" s="518" t="str">
        <f>IF(AND(_F="A-330-900",'2024'!$D$4="CA",'2024'!$D$2=CK5),'2024DATA'!$D$5,"")</f>
        <v/>
      </c>
      <c r="CL8" s="518" t="str">
        <f>IF(AND(_F="A-330-900",'2024'!$D$4="CA",'2024'!$D$2=CL5),'2024DATA'!$E$5,"")</f>
        <v/>
      </c>
      <c r="CM8" s="518" t="str">
        <f>IF(AND(_F="A-330-900",'2024'!$D$4="CA",'2024'!$D$2=CM5),'2024DATA'!$F$5,"")</f>
        <v/>
      </c>
      <c r="CN8" s="518" t="str">
        <f>IF(AND(_F="A-330-900",'2024'!$D$4="CA",'2024'!$D$2=CN5),'2024DATA'!$G$5,"")</f>
        <v/>
      </c>
      <c r="CO8" s="518" t="str">
        <f>IF(AND(_F="A-330-900",'2024'!$D$4="CA",'2024'!$D$2=CO5),'2024DATA'!$H$5,"")</f>
        <v/>
      </c>
      <c r="CP8" s="518" t="str">
        <f>IF(AND(_F="A-330-900",'2024'!$D$4="CA",'2024'!$D$2=CP5),'2024DATA'!$I$5,"")</f>
        <v/>
      </c>
      <c r="CQ8" s="518" t="str">
        <f>IF(AND(_F="A-330-900",'2024'!$D$4="CA",'2024'!$D$2=CQ5),'2024DATA'!$J$5,"")</f>
        <v/>
      </c>
      <c r="CR8" s="518" t="str">
        <f>IF(AND(_F="A-330-900",'2024'!$D$4="CA",'2024'!$D$2=CR5),'2024DATA'!$K$5,"")</f>
        <v/>
      </c>
      <c r="CS8" s="518" t="str">
        <f>IF(AND(_F="A-330-900",'2024'!$D$4="CA",'2024'!$D$2=CS5),'2024DATA'!$L$5,"")</f>
        <v/>
      </c>
      <c r="CT8" s="518" t="str">
        <f>IF(AND(_F="A-330-900",'2024'!$D$4="CA",'2024'!$D$2=CT5),'2024DATA'!$M$5,"")</f>
        <v/>
      </c>
      <c r="CU8" s="520" t="str">
        <f>IF(AND(_F="A-330-900",'2024'!$D$4="CA",'2024'!$D$2=CU5),'2024DATA'!$N$5,"")</f>
        <v/>
      </c>
    </row>
    <row r="9" spans="1:99" x14ac:dyDescent="0.25">
      <c r="A9" s="987" t="s">
        <v>66</v>
      </c>
      <c r="B9" s="64" t="s">
        <v>61</v>
      </c>
      <c r="C9" s="494">
        <v>447.24</v>
      </c>
      <c r="D9" s="473">
        <v>443.87</v>
      </c>
      <c r="E9" s="473">
        <v>440.53</v>
      </c>
      <c r="F9" s="473">
        <v>437.19</v>
      </c>
      <c r="G9" s="473">
        <v>433.83</v>
      </c>
      <c r="H9" s="473">
        <v>430.51</v>
      </c>
      <c r="I9" s="473">
        <v>427.14</v>
      </c>
      <c r="J9" s="473">
        <v>423.82</v>
      </c>
      <c r="K9" s="473">
        <v>420.44</v>
      </c>
      <c r="L9" s="473">
        <v>417.09</v>
      </c>
      <c r="M9" s="473">
        <v>413.7</v>
      </c>
      <c r="N9" s="495">
        <v>410.37</v>
      </c>
      <c r="P9" s="940"/>
      <c r="Q9" s="13" t="s">
        <v>62</v>
      </c>
      <c r="R9" s="518" t="str">
        <f>IF(AND(_A="A-330-900",'2024'!$D$4="FO",'2024'!$D$2=R5),'2024DATA'!$C$6,"")</f>
        <v/>
      </c>
      <c r="S9" s="518" t="str">
        <f>IF(AND(_A="A-330-900",'2024'!$D$4="FO",'2024'!$D$2=S5),'2024DATA'!$D$6,"")</f>
        <v/>
      </c>
      <c r="T9" s="518" t="str">
        <f>IF(AND(_A="A-330-900",'2024'!$D$4="FO",'2024'!$D$2=T5),'2024DATA'!$E$6,"")</f>
        <v/>
      </c>
      <c r="U9" s="518" t="str">
        <f>IF(AND(_A="A-330-900",'2024'!$D$4="FO",'2024'!$D$2=U5),'2024DATA'!$F$6,"")</f>
        <v/>
      </c>
      <c r="V9" s="518" t="str">
        <f>IF(AND(_A="A-330-900",'2024'!$D$4="FO",'2024'!$D$2=V5),'2024DATA'!$G$6,"")</f>
        <v/>
      </c>
      <c r="W9" s="518" t="str">
        <f>IF(AND(_A="A-330-900",'2024'!$D$4="FO",'2024'!$D$2=W5),'2024DATA'!$H$6,"")</f>
        <v/>
      </c>
      <c r="X9" s="518" t="str">
        <f>IF(AND(_A="A-330-900",'2024'!$D$4="FO",'2024'!$D$2=X5),'2024DATA'!$I$6,"")</f>
        <v/>
      </c>
      <c r="Y9" s="518" t="str">
        <f>IF(AND(_A="A-330-900",'2024'!$D$4="FO",'2024'!$D$2=Y5),'2024DATA'!$J$6,"")</f>
        <v/>
      </c>
      <c r="Z9" s="518" t="str">
        <f>IF(AND(_A="A-330-900",'2024'!$D$4="FO",'2024'!$D$2=Z5),'2024DATA'!$K$6,"")</f>
        <v/>
      </c>
      <c r="AA9" s="518" t="str">
        <f>IF(AND(_A="A-330-900",'2024'!$D$4="FO",'2024'!$D$2=AA5),'2024DATA'!$L$6,"")</f>
        <v/>
      </c>
      <c r="AB9" s="518" t="str">
        <f>IF(AND(_A="A-330-900",'2024'!$D$4="FO",'2024'!$D$2=AB5),'2024DATA'!$M$6,"")</f>
        <v/>
      </c>
      <c r="AC9" s="520" t="str">
        <f>IF(AND(_A="A-330-900",'2024'!$D$4="FO",'2024'!$D$2=AC5),'2024DATA'!$N$6,"")</f>
        <v/>
      </c>
      <c r="AD9" s="940"/>
      <c r="AE9" s="13" t="s">
        <v>62</v>
      </c>
      <c r="AF9" s="518" t="str">
        <f>IF(AND(_B="A-330-900",'2024'!$D$4="FO",'2024'!$D$2=AF5),'2024DATA'!$C$6,"")</f>
        <v/>
      </c>
      <c r="AG9" s="518" t="str">
        <f>IF(AND(_B="A-330-900",'2024'!$D$4="FO",'2024'!$D$2=AG5),'2024DATA'!$D$6,"")</f>
        <v/>
      </c>
      <c r="AH9" s="518" t="str">
        <f>IF(AND(_B="A-330-900",'2024'!$D$4="FO",'2024'!$D$2=AH5),'2024DATA'!$E$6,"")</f>
        <v/>
      </c>
      <c r="AI9" s="518" t="str">
        <f>IF(AND(_B="A-330-900",'2024'!$D$4="FO",'2024'!$D$2=AI5),'2024DATA'!$F$6,"")</f>
        <v/>
      </c>
      <c r="AJ9" s="518" t="str">
        <f>IF(AND(_B="A-330-900",'2024'!$D$4="FO",'2024'!$D$2=AJ5),'2024DATA'!$G$6,"")</f>
        <v/>
      </c>
      <c r="AK9" s="518" t="str">
        <f>IF(AND(_B="A-330-900",'2024'!$D$4="FO",'2024'!$D$2=AK5),'2024DATA'!$H$6,"")</f>
        <v/>
      </c>
      <c r="AL9" s="518" t="str">
        <f>IF(AND(_B="A-330-900",'2024'!$D$4="FO",'2024'!$D$2=AL5),'2024DATA'!$I$6,"")</f>
        <v/>
      </c>
      <c r="AM9" s="518" t="str">
        <f>IF(AND(_B="A-330-900",'2024'!$D$4="FO",'2024'!$D$2=AM5),'2024DATA'!$J$6,"")</f>
        <v/>
      </c>
      <c r="AN9" s="518" t="str">
        <f>IF(AND(_B="A-330-900",'2024'!$D$4="FO",'2024'!$D$2=AN5),'2024DATA'!$K$6,"")</f>
        <v/>
      </c>
      <c r="AO9" s="518" t="str">
        <f>IF(AND(_B="A-330-900",'2024'!$D$4="FO",'2024'!$D$2=AO5),'2024DATA'!$L$6,"")</f>
        <v/>
      </c>
      <c r="AP9" s="518" t="str">
        <f>IF(AND(_B="A-330-900",'2024'!$D$4="FO",'2024'!$D$2=AP5),'2024DATA'!$M$6,"")</f>
        <v/>
      </c>
      <c r="AQ9" s="520" t="str">
        <f>IF(AND(_B="A-330-900",'2024'!$D$4="FO",'2024'!$D$2=AQ5),'2024DATA'!$N$6,"")</f>
        <v/>
      </c>
      <c r="AR9" s="940"/>
      <c r="AS9" s="13" t="s">
        <v>62</v>
      </c>
      <c r="AT9" s="518" t="str">
        <f>IF(AND(_C="A-330-900",'2024'!$D$4="FO",'2024'!$D$2=AT5),'2024DATA'!$C$6,"")</f>
        <v/>
      </c>
      <c r="AU9" s="518" t="str">
        <f>IF(AND(_C="A-330-900",'2024'!$D$4="FO",'2024'!$D$2=AU5),'2024DATA'!$D$6,"")</f>
        <v/>
      </c>
      <c r="AV9" s="518" t="str">
        <f>IF(AND(_C="A-330-900",'2024'!$D$4="FO",'2024'!$D$2=AV5),'2024DATA'!$E$6,"")</f>
        <v/>
      </c>
      <c r="AW9" s="518" t="str">
        <f>IF(AND(_C="A-330-900",'2024'!$D$4="FO",'2024'!$D$2=AW5),'2024DATA'!$F$6,"")</f>
        <v/>
      </c>
      <c r="AX9" s="518" t="str">
        <f>IF(AND(_C="A-330-900",'2024'!$D$4="FO",'2024'!$D$2=AX5),'2024DATA'!$G$6,"")</f>
        <v/>
      </c>
      <c r="AY9" s="518" t="str">
        <f>IF(AND(_C="A-330-900",'2024'!$D$4="FO",'2024'!$D$2=AY5),'2024DATA'!$H$6,"")</f>
        <v/>
      </c>
      <c r="AZ9" s="518" t="str">
        <f>IF(AND(_C="A-330-900",'2024'!$D$4="FO",'2024'!$D$2=AZ5),'2024DATA'!$I$6,"")</f>
        <v/>
      </c>
      <c r="BA9" s="518" t="str">
        <f>IF(AND(_C="A-330-900",'2024'!$D$4="FO",'2024'!$D$2=BA5),'2024DATA'!$J$6,"")</f>
        <v/>
      </c>
      <c r="BB9" s="518" t="str">
        <f>IF(AND(_C="A-330-900",'2024'!$D$4="FO",'2024'!$D$2=BB5),'2024DATA'!$K$6,"")</f>
        <v/>
      </c>
      <c r="BC9" s="518" t="str">
        <f>IF(AND(_C="A-330-900",'2024'!$D$4="FO",'2024'!$D$2=BC5),'2024DATA'!$L$6,"")</f>
        <v/>
      </c>
      <c r="BD9" s="518" t="str">
        <f>IF(AND(_C="A-330-900",'2024'!$D$4="FO",'2024'!$D$2=BD5),'2024DATA'!$M$6,"")</f>
        <v/>
      </c>
      <c r="BE9" s="520" t="str">
        <f>IF(AND(_C="A-330-900",'2024'!$D$4="FO",'2024'!$D$2=BE5),'2024DATA'!$N$6,"")</f>
        <v/>
      </c>
      <c r="BF9" s="940"/>
      <c r="BG9" s="13" t="s">
        <v>62</v>
      </c>
      <c r="BH9" s="518" t="str">
        <f>IF(AND(_D="A-330-900",'2024'!$D$4="FO",'2024'!$D$2=BH5),'2024DATA'!$C$6,"")</f>
        <v/>
      </c>
      <c r="BI9" s="518" t="str">
        <f>IF(AND(_D="A-330-900",'2024'!$D$4="FO",'2024'!$D$2=BI5),'2024DATA'!$D$6,"")</f>
        <v/>
      </c>
      <c r="BJ9" s="518" t="str">
        <f>IF(AND(_D="A-330-900",'2024'!$D$4="FO",'2024'!$D$2=BJ5),'2024DATA'!$E$6,"")</f>
        <v/>
      </c>
      <c r="BK9" s="518" t="str">
        <f>IF(AND(_D="A-330-900",'2024'!$D$4="FO",'2024'!$D$2=BK5),'2024DATA'!$F$6,"")</f>
        <v/>
      </c>
      <c r="BL9" s="518" t="str">
        <f>IF(AND(_D="A-330-900",'2024'!$D$4="FO",'2024'!$D$2=BL5),'2024DATA'!$G$6,"")</f>
        <v/>
      </c>
      <c r="BM9" s="518" t="str">
        <f>IF(AND(_D="A-330-900",'2024'!$D$4="FO",'2024'!$D$2=BM5),'2024DATA'!$H$6,"")</f>
        <v/>
      </c>
      <c r="BN9" s="518" t="str">
        <f>IF(AND(_D="A-330-900",'2024'!$D$4="FO",'2024'!$D$2=BN5),'2024DATA'!$I$6,"")</f>
        <v/>
      </c>
      <c r="BO9" s="518" t="str">
        <f>IF(AND(_D="A-330-900",'2024'!$D$4="FO",'2024'!$D$2=BO5),'2024DATA'!$J$6,"")</f>
        <v/>
      </c>
      <c r="BP9" s="518" t="str">
        <f>IF(AND(_D="A-330-900",'2024'!$D$4="FO",'2024'!$D$2=BP5),'2024DATA'!$K$6,"")</f>
        <v/>
      </c>
      <c r="BQ9" s="518" t="str">
        <f>IF(AND(_D="A-330-900",'2024'!$D$4="FO",'2024'!$D$2=BQ5),'2024DATA'!$L$6,"")</f>
        <v/>
      </c>
      <c r="BR9" s="518" t="str">
        <f>IF(AND(_D="A-330-900",'2024'!$D$4="FO",'2024'!$D$2=BR5),'2024DATA'!$M$6,"")</f>
        <v/>
      </c>
      <c r="BS9" s="520" t="str">
        <f>IF(AND(_D="A-330-900",'2024'!$D$4="FO",'2024'!$D$2=BS5),'2024DATA'!$N$6,"")</f>
        <v/>
      </c>
      <c r="BT9" s="940"/>
      <c r="BU9" s="13" t="s">
        <v>62</v>
      </c>
      <c r="BV9" s="518" t="str">
        <f>IF(AND(_E="A-330-900",'2024'!$D$4="FO",'2024'!$D$2=BV5),'2024DATA'!$C$6,"")</f>
        <v/>
      </c>
      <c r="BW9" s="518" t="str">
        <f>IF(AND(_E="A-330-900",'2024'!$D$4="FO",'2024'!$D$2=BW5),'2024DATA'!$D$6,"")</f>
        <v/>
      </c>
      <c r="BX9" s="518" t="str">
        <f>IF(AND(_E="A-330-900",'2024'!$D$4="FO",'2024'!$D$2=BX5),'2024DATA'!$E$6,"")</f>
        <v/>
      </c>
      <c r="BY9" s="518" t="str">
        <f>IF(AND(_E="A-330-900",'2024'!$D$4="FO",'2024'!$D$2=BY5),'2024DATA'!$F$6,"")</f>
        <v/>
      </c>
      <c r="BZ9" s="518" t="str">
        <f>IF(AND(_E="A-330-900",'2024'!$D$4="FO",'2024'!$D$2=BZ5),'2024DATA'!$G$6,"")</f>
        <v/>
      </c>
      <c r="CA9" s="518" t="str">
        <f>IF(AND(_E="A-330-900",'2024'!$D$4="FO",'2024'!$D$2=CA5),'2024DATA'!$H$6,"")</f>
        <v/>
      </c>
      <c r="CB9" s="518" t="str">
        <f>IF(AND(_E="A-330-900",'2024'!$D$4="FO",'2024'!$D$2=CB5),'2024DATA'!$I$6,"")</f>
        <v/>
      </c>
      <c r="CC9" s="518" t="str">
        <f>IF(AND(_E="A-330-900",'2024'!$D$4="FO",'2024'!$D$2=CC5),'2024DATA'!$J$6,"")</f>
        <v/>
      </c>
      <c r="CD9" s="518" t="str">
        <f>IF(AND(_E="A-330-900",'2024'!$D$4="FO",'2024'!$D$2=CD5),'2024DATA'!$K$6,"")</f>
        <v/>
      </c>
      <c r="CE9" s="518" t="str">
        <f>IF(AND(_E="A-330-900",'2024'!$D$4="FO",'2024'!$D$2=CE5),'2024DATA'!$L$6,"")</f>
        <v/>
      </c>
      <c r="CF9" s="518" t="str">
        <f>IF(AND(_E="A-330-900",'2024'!$D$4="FO",'2024'!$D$2=CF5),'2024DATA'!$M$6,"")</f>
        <v/>
      </c>
      <c r="CG9" s="520" t="str">
        <f>IF(AND(_E="A-330-900",'2024'!$D$4="FO",'2024'!$D$2=CG5),'2024DATA'!$N$6,"")</f>
        <v/>
      </c>
      <c r="CH9" s="940"/>
      <c r="CI9" s="13" t="s">
        <v>62</v>
      </c>
      <c r="CJ9" s="518" t="str">
        <f>IF(AND(_F="A-330-900",'2024'!$D$4="FO",'2024'!$D$2=CJ5),'2024DATA'!$C$6,"")</f>
        <v/>
      </c>
      <c r="CK9" s="518" t="str">
        <f>IF(AND(_F="A-330-900",'2024'!$D$4="FO",'2024'!$D$2=CK5),'2024DATA'!$D$6,"")</f>
        <v/>
      </c>
      <c r="CL9" s="518" t="str">
        <f>IF(AND(_F="A-330-900",'2024'!$D$4="FO",'2024'!$D$2=CL5),'2024DATA'!$E$6,"")</f>
        <v/>
      </c>
      <c r="CM9" s="518" t="str">
        <f>IF(AND(_F="A-330-900",'2024'!$D$4="FO",'2024'!$D$2=CM5),'2024DATA'!$F$6,"")</f>
        <v/>
      </c>
      <c r="CN9" s="518" t="str">
        <f>IF(AND(_F="A-330-900",'2024'!$D$4="FO",'2024'!$D$2=CN5),'2024DATA'!$G$6,"")</f>
        <v/>
      </c>
      <c r="CO9" s="518" t="str">
        <f>IF(AND(_F="A-330-900",'2024'!$D$4="FO",'2024'!$D$2=CO5),'2024DATA'!$H$6,"")</f>
        <v/>
      </c>
      <c r="CP9" s="518" t="str">
        <f>IF(AND(_F="A-330-900",'2024'!$D$4="FO",'2024'!$D$2=CP5),'2024DATA'!$I$6,"")</f>
        <v/>
      </c>
      <c r="CQ9" s="518" t="str">
        <f>IF(AND(_F="A-330-900",'2024'!$D$4="FO",'2024'!$D$2=CQ5),'2024DATA'!$J$6,"")</f>
        <v/>
      </c>
      <c r="CR9" s="518" t="str">
        <f>IF(AND(_F="A-330-900",'2024'!$D$4="FO",'2024'!$D$2=CR5),'2024DATA'!$K$6,"")</f>
        <v/>
      </c>
      <c r="CS9" s="518" t="str">
        <f>IF(AND(_F="A-330-900",'2024'!$D$4="FO",'2024'!$D$2=CS5),'2024DATA'!$L$6,"")</f>
        <v/>
      </c>
      <c r="CT9" s="518" t="str">
        <f>IF(AND(_F="A-330-900",'2024'!$D$4="FO",'2024'!$D$2=CT5),'2024DATA'!$M$6,"")</f>
        <v/>
      </c>
      <c r="CU9" s="520" t="str">
        <f>IF(AND(_F="A-330-900",'2024'!$D$4="FO",'2024'!$D$2=CU5),'2024DATA'!$N$6,"")</f>
        <v/>
      </c>
    </row>
    <row r="10" spans="1:99" x14ac:dyDescent="0.25">
      <c r="A10" s="987"/>
      <c r="B10" s="64" t="s">
        <v>62</v>
      </c>
      <c r="C10" s="494">
        <v>305.5</v>
      </c>
      <c r="D10" s="473">
        <v>302.72000000000003</v>
      </c>
      <c r="E10" s="473">
        <v>300.04000000000002</v>
      </c>
      <c r="F10" s="473">
        <v>296.02</v>
      </c>
      <c r="G10" s="473">
        <v>292.82</v>
      </c>
      <c r="H10" s="473">
        <v>286.26</v>
      </c>
      <c r="I10" s="473">
        <v>278.51</v>
      </c>
      <c r="J10" s="473">
        <v>271.63</v>
      </c>
      <c r="K10" s="473">
        <v>265.29000000000002</v>
      </c>
      <c r="L10" s="473">
        <v>259.02</v>
      </c>
      <c r="M10" s="473">
        <v>221.35</v>
      </c>
      <c r="N10" s="495">
        <v>116.05</v>
      </c>
      <c r="P10" s="940" t="s">
        <v>64</v>
      </c>
      <c r="Q10" s="13" t="s">
        <v>61</v>
      </c>
      <c r="R10" s="518" t="str">
        <f>IF(AND(_A="A-330-300",'2024'!$D$4="CA",'2024'!$D$2=R5),'2024DATA'!$C$7,"")</f>
        <v/>
      </c>
      <c r="S10" s="518" t="str">
        <f>IF(AND(_A="A-330-300",'2024'!$D$4="CA",'2024'!$D$2=S5),'2024DATA'!$D$7,"")</f>
        <v/>
      </c>
      <c r="T10" s="518" t="str">
        <f>IF(AND(_A="A-330-300",'2024'!$D$4="CA",'2024'!$D$2=T5),'2024DATA'!$E$7,"")</f>
        <v/>
      </c>
      <c r="U10" s="518" t="str">
        <f>IF(AND(_A="A-330-300",'2024'!$D$4="CA",'2024'!$D$2=U5),'2024DATA'!$F$7,"")</f>
        <v/>
      </c>
      <c r="V10" s="518" t="str">
        <f>IF(AND(_A="A-330-300",'2024'!$D$4="CA",'2024'!$D$2=V5),'2024DATA'!$G$7,"")</f>
        <v/>
      </c>
      <c r="W10" s="518" t="str">
        <f>IF(AND(_A="A-330-300",'2024'!$D$4="CA",'2024'!$D$2=W5),'2024DATA'!$H$7,"")</f>
        <v/>
      </c>
      <c r="X10" s="518" t="str">
        <f>IF(AND(_A="A-330-300",'2024'!$D$4="CA",'2024'!$D$2=X5),'2024DATA'!$I$7,"")</f>
        <v/>
      </c>
      <c r="Y10" s="518" t="str">
        <f>IF(AND(_A="A-330-300",'2024'!$D$4="CA",'2024'!$D$2=Y5),'2024DATA'!$J$7,"")</f>
        <v/>
      </c>
      <c r="Z10" s="518" t="str">
        <f>IF(AND(_A="A-330-300",'2024'!$D$4="CA",'2024'!$D$2=Z5),'2024DATA'!$K$7,"")</f>
        <v/>
      </c>
      <c r="AA10" s="518" t="str">
        <f>IF(AND(_A="A-330-300",'2024'!$D$4="CA",'2024'!$D$2=AA5),'2024DATA'!$L$7,"")</f>
        <v/>
      </c>
      <c r="AB10" s="518" t="str">
        <f>IF(AND(_A="A-330-300",'2024'!$D$4="CA",'2024'!$D$2=AB5),'2024DATA'!$M$7,"")</f>
        <v/>
      </c>
      <c r="AC10" s="520" t="str">
        <f>IF(AND(_A="A-330-300",'2024'!$D$4="CA",'2024'!$D$2=AC5),'2024DATA'!$N$7,"")</f>
        <v/>
      </c>
      <c r="AD10" s="940" t="s">
        <v>64</v>
      </c>
      <c r="AE10" s="13" t="s">
        <v>61</v>
      </c>
      <c r="AF10" s="518" t="str">
        <f>IF(AND(_B="A-330-300",'2024'!$D$4="CA",'2024'!$D$2=AF5),'2024DATA'!$C$7,"")</f>
        <v/>
      </c>
      <c r="AG10" s="518" t="str">
        <f>IF(AND(_B="A-330-300",'2024'!$D$4="CA",'2024'!$D$2=AG5),'2024DATA'!$D$7,"")</f>
        <v/>
      </c>
      <c r="AH10" s="518" t="str">
        <f>IF(AND(_B="A-330-300",'2024'!$D$4="CA",'2024'!$D$2=AH5),'2024DATA'!$E$7,"")</f>
        <v/>
      </c>
      <c r="AI10" s="518" t="str">
        <f>IF(AND(_B="A-330-300",'2024'!$D$4="CA",'2024'!$D$2=AI5),'2024DATA'!$F$7,"")</f>
        <v/>
      </c>
      <c r="AJ10" s="518" t="str">
        <f>IF(AND(_B="A-330-300",'2024'!$D$4="CA",'2024'!$D$2=AJ5),'2024DATA'!$G$7,"")</f>
        <v/>
      </c>
      <c r="AK10" s="518" t="str">
        <f>IF(AND(_B="A-330-300",'2024'!$D$4="CA",'2024'!$D$2=AK5),'2024DATA'!$H$7,"")</f>
        <v/>
      </c>
      <c r="AL10" s="518" t="str">
        <f>IF(AND(_B="A-330-300",'2024'!$D$4="CA",'2024'!$D$2=AL5),'2024DATA'!$I$7,"")</f>
        <v/>
      </c>
      <c r="AM10" s="518" t="str">
        <f>IF(AND(_B="A-330-300",'2024'!$D$4="CA",'2024'!$D$2=AM5),'2024DATA'!$J$7,"")</f>
        <v/>
      </c>
      <c r="AN10" s="518" t="str">
        <f>IF(AND(_B="A-330-300",'2024'!$D$4="CA",'2024'!$D$2=AN5),'2024DATA'!$K$7,"")</f>
        <v/>
      </c>
      <c r="AO10" s="518" t="str">
        <f>IF(AND(_B="A-330-300",'2024'!$D$4="CA",'2024'!$D$2=AO5),'2024DATA'!$L$7,"")</f>
        <v/>
      </c>
      <c r="AP10" s="518" t="str">
        <f>IF(AND(_B="A-330-300",'2024'!$D$4="CA",'2024'!$D$2=AP5),'2024DATA'!$M$7,"")</f>
        <v/>
      </c>
      <c r="AQ10" s="520" t="str">
        <f>IF(AND(_B="A-330-300",'2024'!$D$4="CA",'2024'!$D$2=AQ5),'2024DATA'!$N$7,"")</f>
        <v/>
      </c>
      <c r="AR10" s="940" t="s">
        <v>64</v>
      </c>
      <c r="AS10" s="13" t="s">
        <v>61</v>
      </c>
      <c r="AT10" s="518" t="str">
        <f>IF(AND(_C="A-330-300",'2024'!$D$4="CA",'2024'!$D$2=AT5),'2024DATA'!$C$7,"")</f>
        <v/>
      </c>
      <c r="AU10" s="518" t="str">
        <f>IF(AND(_C="A-330-300",'2024'!$D$4="CA",'2024'!$D$2=AU5),'2024DATA'!$D$7,"")</f>
        <v/>
      </c>
      <c r="AV10" s="518" t="str">
        <f>IF(AND(_C="A-330-300",'2024'!$D$4="CA",'2024'!$D$2=AV5),'2024DATA'!$E$7,"")</f>
        <v/>
      </c>
      <c r="AW10" s="518" t="str">
        <f>IF(AND(_C="A-330-300",'2024'!$D$4="CA",'2024'!$D$2=AW5),'2024DATA'!$F$7,"")</f>
        <v/>
      </c>
      <c r="AX10" s="518" t="str">
        <f>IF(AND(_C="A-330-300",'2024'!$D$4="CA",'2024'!$D$2=AX5),'2024DATA'!$G$7,"")</f>
        <v/>
      </c>
      <c r="AY10" s="518" t="str">
        <f>IF(AND(_C="A-330-300",'2024'!$D$4="CA",'2024'!$D$2=AY5),'2024DATA'!$H$7,"")</f>
        <v/>
      </c>
      <c r="AZ10" s="518" t="str">
        <f>IF(AND(_C="A-330-300",'2024'!$D$4="CA",'2024'!$D$2=AZ5),'2024DATA'!$I$7,"")</f>
        <v/>
      </c>
      <c r="BA10" s="518" t="str">
        <f>IF(AND(_C="A-330-300",'2024'!$D$4="CA",'2024'!$D$2=BA5),'2024DATA'!$J$7,"")</f>
        <v/>
      </c>
      <c r="BB10" s="518" t="str">
        <f>IF(AND(_C="A-330-300",'2024'!$D$4="CA",'2024'!$D$2=BB5),'2024DATA'!$K$7,"")</f>
        <v/>
      </c>
      <c r="BC10" s="518" t="str">
        <f>IF(AND(_C="A-330-300",'2024'!$D$4="CA",'2024'!$D$2=BC5),'2024DATA'!$L$7,"")</f>
        <v/>
      </c>
      <c r="BD10" s="518" t="str">
        <f>IF(AND(_C="A-330-300",'2024'!$D$4="CA",'2024'!$D$2=BD5),'2024DATA'!$M$7,"")</f>
        <v/>
      </c>
      <c r="BE10" s="520" t="str">
        <f>IF(AND(_C="A-330-300",'2024'!$D$4="CA",'2024'!$D$2=BE5),'2024DATA'!$N$7,"")</f>
        <v/>
      </c>
      <c r="BF10" s="940" t="s">
        <v>64</v>
      </c>
      <c r="BG10" s="13" t="s">
        <v>61</v>
      </c>
      <c r="BH10" s="518" t="str">
        <f>IF(AND(_D="A-330-300",'2024'!$D$4="CA",'2024'!$D$2=BH5),'2024DATA'!$C$7,"")</f>
        <v/>
      </c>
      <c r="BI10" s="518" t="str">
        <f>IF(AND(_D="A-330-300",'2024'!$D$4="CA",'2024'!$D$2=BI5),'2024DATA'!$D$7,"")</f>
        <v/>
      </c>
      <c r="BJ10" s="518" t="str">
        <f>IF(AND(_D="A-330-300",'2024'!$D$4="CA",'2024'!$D$2=BJ5),'2024DATA'!$E$7,"")</f>
        <v/>
      </c>
      <c r="BK10" s="518" t="str">
        <f>IF(AND(_D="A-330-300",'2024'!$D$4="CA",'2024'!$D$2=BK5),'2024DATA'!$F$7,"")</f>
        <v/>
      </c>
      <c r="BL10" s="518" t="str">
        <f>IF(AND(_D="A-330-300",'2024'!$D$4="CA",'2024'!$D$2=BL5),'2024DATA'!$G$7,"")</f>
        <v/>
      </c>
      <c r="BM10" s="518" t="str">
        <f>IF(AND(_D="A-330-300",'2024'!$D$4="CA",'2024'!$D$2=BM5),'2024DATA'!$H$7,"")</f>
        <v/>
      </c>
      <c r="BN10" s="518" t="str">
        <f>IF(AND(_D="A-330-300",'2024'!$D$4="CA",'2024'!$D$2=BN5),'2024DATA'!$I$7,"")</f>
        <v/>
      </c>
      <c r="BO10" s="518" t="str">
        <f>IF(AND(_D="A-330-300",'2024'!$D$4="CA",'2024'!$D$2=BO5),'2024DATA'!$J$7,"")</f>
        <v/>
      </c>
      <c r="BP10" s="518" t="str">
        <f>IF(AND(_D="A-330-300",'2024'!$D$4="CA",'2024'!$D$2=BP5),'2024DATA'!$K$7,"")</f>
        <v/>
      </c>
      <c r="BQ10" s="518" t="str">
        <f>IF(AND(_D="A-330-300",'2024'!$D$4="CA",'2024'!$D$2=BQ5),'2024DATA'!$L$7,"")</f>
        <v/>
      </c>
      <c r="BR10" s="518" t="str">
        <f>IF(AND(_D="A-330-300",'2024'!$D$4="CA",'2024'!$D$2=BR5),'2024DATA'!$M$7,"")</f>
        <v/>
      </c>
      <c r="BS10" s="520" t="str">
        <f>IF(AND(_D="A-330-300",'2024'!$D$4="CA",'2024'!$D$2=BS5),'2024DATA'!$N$7,"")</f>
        <v/>
      </c>
      <c r="BT10" s="940" t="s">
        <v>64</v>
      </c>
      <c r="BU10" s="13" t="s">
        <v>61</v>
      </c>
      <c r="BV10" s="518" t="str">
        <f>IF(AND(_E="A-330-300",'2024'!$D$4="CA",'2024'!$D$2=BV5),'2024DATA'!$C$7,"")</f>
        <v/>
      </c>
      <c r="BW10" s="518" t="str">
        <f>IF(AND(_E="A-330-300",'2024'!$D$4="CA",'2024'!$D$2=BW5),'2024DATA'!$D$7,"")</f>
        <v/>
      </c>
      <c r="BX10" s="518" t="str">
        <f>IF(AND(_E="A-330-300",'2024'!$D$4="CA",'2024'!$D$2=BX5),'2024DATA'!$E$7,"")</f>
        <v/>
      </c>
      <c r="BY10" s="518" t="str">
        <f>IF(AND(_E="A-330-300",'2024'!$D$4="CA",'2024'!$D$2=BY5),'2024DATA'!$F$7,"")</f>
        <v/>
      </c>
      <c r="BZ10" s="518" t="str">
        <f>IF(AND(_E="A-330-300",'2024'!$D$4="CA",'2024'!$D$2=BZ5),'2024DATA'!$G$7,"")</f>
        <v/>
      </c>
      <c r="CA10" s="518" t="str">
        <f>IF(AND(_E="A-330-300",'2024'!$D$4="CA",'2024'!$D$2=CA5),'2024DATA'!$H$7,"")</f>
        <v/>
      </c>
      <c r="CB10" s="518" t="str">
        <f>IF(AND(_E="A-330-300",'2024'!$D$4="CA",'2024'!$D$2=CB5),'2024DATA'!$I$7,"")</f>
        <v/>
      </c>
      <c r="CC10" s="518" t="str">
        <f>IF(AND(_E="A-330-300",'2024'!$D$4="CA",'2024'!$D$2=CC5),'2024DATA'!$J$7,"")</f>
        <v/>
      </c>
      <c r="CD10" s="518" t="str">
        <f>IF(AND(_E="A-330-300",'2024'!$D$4="CA",'2024'!$D$2=CD5),'2024DATA'!$K$7,"")</f>
        <v/>
      </c>
      <c r="CE10" s="518" t="str">
        <f>IF(AND(_E="A-330-300",'2024'!$D$4="CA",'2024'!$D$2=CE5),'2024DATA'!$L$7,"")</f>
        <v/>
      </c>
      <c r="CF10" s="518" t="str">
        <f>IF(AND(_E="A-330-300",'2024'!$D$4="CA",'2024'!$D$2=CF5),'2024DATA'!$M$7,"")</f>
        <v/>
      </c>
      <c r="CG10" s="520" t="str">
        <f>IF(AND(_E="A-330-300",'2024'!$D$4="CA",'2024'!$D$2=CG5),'2024DATA'!$N$7,"")</f>
        <v/>
      </c>
      <c r="CH10" s="940" t="s">
        <v>64</v>
      </c>
      <c r="CI10" s="13" t="s">
        <v>61</v>
      </c>
      <c r="CJ10" s="518" t="str">
        <f>IF(AND(_F="A-330-300",'2024'!$D$4="CA",'2024'!$D$2=CJ5),'2024DATA'!$C$7,"")</f>
        <v/>
      </c>
      <c r="CK10" s="518" t="str">
        <f>IF(AND(_F="A-330-300",'2024'!$D$4="CA",'2024'!$D$2=CK5),'2024DATA'!$D$7,"")</f>
        <v/>
      </c>
      <c r="CL10" s="518" t="str">
        <f>IF(AND(_F="A-330-300",'2024'!$D$4="CA",'2024'!$D$2=CL5),'2024DATA'!$E$7,"")</f>
        <v/>
      </c>
      <c r="CM10" s="518" t="str">
        <f>IF(AND(_F="A-330-300",'2024'!$D$4="CA",'2024'!$D$2=CM5),'2024DATA'!$F$7,"")</f>
        <v/>
      </c>
      <c r="CN10" s="518" t="str">
        <f>IF(AND(_F="A-330-300",'2024'!$D$4="CA",'2024'!$D$2=CN5),'2024DATA'!$G$7,"")</f>
        <v/>
      </c>
      <c r="CO10" s="518" t="str">
        <f>IF(AND(_F="A-330-300",'2024'!$D$4="CA",'2024'!$D$2=CO5),'2024DATA'!$H$7,"")</f>
        <v/>
      </c>
      <c r="CP10" s="518" t="str">
        <f>IF(AND(_F="A-330-300",'2024'!$D$4="CA",'2024'!$D$2=CP5),'2024DATA'!$I$7,"")</f>
        <v/>
      </c>
      <c r="CQ10" s="518" t="str">
        <f>IF(AND(_F="A-330-300",'2024'!$D$4="CA",'2024'!$D$2=CQ5),'2024DATA'!$J$7,"")</f>
        <v/>
      </c>
      <c r="CR10" s="518" t="str">
        <f>IF(AND(_F="A-330-300",'2024'!$D$4="CA",'2024'!$D$2=CR5),'2024DATA'!$K$7,"")</f>
        <v/>
      </c>
      <c r="CS10" s="518" t="str">
        <f>IF(AND(_F="A-330-300",'2024'!$D$4="CA",'2024'!$D$2=CS5),'2024DATA'!$L$7,"")</f>
        <v/>
      </c>
      <c r="CT10" s="518" t="str">
        <f>IF(AND(_F="A-330-300",'2024'!$D$4="CA",'2024'!$D$2=CT5),'2024DATA'!$M$7,"")</f>
        <v/>
      </c>
      <c r="CU10" s="520" t="str">
        <f>IF(AND(_F="A-330-300",'2024'!$D$4="CA",'2024'!$D$2=CU5),'2024DATA'!$N$7,"")</f>
        <v/>
      </c>
    </row>
    <row r="11" spans="1:99" x14ac:dyDescent="0.25">
      <c r="A11" s="987" t="s">
        <v>42</v>
      </c>
      <c r="B11" s="64" t="s">
        <v>61</v>
      </c>
      <c r="C11" s="494">
        <v>447.24</v>
      </c>
      <c r="D11" s="473">
        <v>443.87</v>
      </c>
      <c r="E11" s="473">
        <v>440.53</v>
      </c>
      <c r="F11" s="473">
        <v>437.19</v>
      </c>
      <c r="G11" s="473">
        <v>433.83</v>
      </c>
      <c r="H11" s="473">
        <v>430.51</v>
      </c>
      <c r="I11" s="473">
        <v>427.14</v>
      </c>
      <c r="J11" s="473">
        <v>423.82</v>
      </c>
      <c r="K11" s="473">
        <v>420.44</v>
      </c>
      <c r="L11" s="473">
        <v>417.09</v>
      </c>
      <c r="M11" s="473">
        <v>413.7</v>
      </c>
      <c r="N11" s="495">
        <v>410.37</v>
      </c>
      <c r="P11" s="940"/>
      <c r="Q11" s="13" t="s">
        <v>62</v>
      </c>
      <c r="R11" s="518" t="str">
        <f>IF(AND(_A="A-330-300",'2024'!$D$4="FO",'2024'!$D$2=R5),'2024DATA'!$C$8,"")</f>
        <v/>
      </c>
      <c r="S11" s="518" t="str">
        <f>IF(AND(_A="A-330-300",'2024'!$D$4="FO",'2024'!$D$2=S5),'2024DATA'!$D$8,"")</f>
        <v/>
      </c>
      <c r="T11" s="518" t="str">
        <f>IF(AND(_A="A-330-300",'2024'!$D$4="FO",'2024'!$D$2=T5),'2024DATA'!$E$8,"")</f>
        <v/>
      </c>
      <c r="U11" s="518" t="str">
        <f>IF(AND(_A="A-330-300",'2024'!$D$4="FO",'2024'!$D$2=U5),'2024DATA'!$F$8,"")</f>
        <v/>
      </c>
      <c r="V11" s="518" t="str">
        <f>IF(AND(_A="A-330-300",'2024'!$D$4="FO",'2024'!$D$2=V5),'2024DATA'!$G$8,"")</f>
        <v/>
      </c>
      <c r="W11" s="518" t="str">
        <f>IF(AND(_A="A-330-300",'2024'!$D$4="FO",'2024'!$D$2=W5),'2024DATA'!$H$8,"")</f>
        <v/>
      </c>
      <c r="X11" s="518" t="str">
        <f>IF(AND(_A="A-330-300",'2024'!$D$4="FO",'2024'!$D$2=X5),'2024DATA'!$I$8,"")</f>
        <v/>
      </c>
      <c r="Y11" s="518" t="str">
        <f>IF(AND(_A="A-330-300",'2024'!$D$4="FO",'2024'!$D$2=Y5),'2024DATA'!$J$8,"")</f>
        <v/>
      </c>
      <c r="Z11" s="518" t="str">
        <f>IF(AND(_A="A-330-300",'2024'!$D$4="FO",'2024'!$D$2=Z5),'2024DATA'!$K$8,"")</f>
        <v/>
      </c>
      <c r="AA11" s="518" t="str">
        <f>IF(AND(_A="A-330-300",'2024'!$D$4="FO",'2024'!$D$2=AA5),'2024DATA'!$L$8,"")</f>
        <v/>
      </c>
      <c r="AB11" s="518" t="str">
        <f>IF(AND(_A="A-330-300",'2024'!$D$4="FO",'2024'!$D$2=AB5),'2024DATA'!$M$8,"")</f>
        <v/>
      </c>
      <c r="AC11" s="520" t="str">
        <f>IF(AND(_A="A-330-300",'2024'!$D$4="FO",'2024'!$D$2=AC5),'2024DATA'!$N$8,"")</f>
        <v/>
      </c>
      <c r="AD11" s="940"/>
      <c r="AE11" s="13" t="s">
        <v>62</v>
      </c>
      <c r="AF11" s="518" t="str">
        <f>IF(AND(_B="A-330-300",'2024'!$D$4="FO",'2024'!$D$2=AF5),'2024DATA'!$C$8,"")</f>
        <v/>
      </c>
      <c r="AG11" s="518" t="str">
        <f>IF(AND(_B="A-330-300",'2024'!$D$4="FO",'2024'!$D$2=AG5),'2024DATA'!$D$8,"")</f>
        <v/>
      </c>
      <c r="AH11" s="518" t="str">
        <f>IF(AND(_B="A-330-300",'2024'!$D$4="FO",'2024'!$D$2=AH5),'2024DATA'!$E$8,"")</f>
        <v/>
      </c>
      <c r="AI11" s="518" t="str">
        <f>IF(AND(_B="A-330-300",'2024'!$D$4="FO",'2024'!$D$2=AI5),'2024DATA'!$F$8,"")</f>
        <v/>
      </c>
      <c r="AJ11" s="518" t="str">
        <f>IF(AND(_B="A-330-300",'2024'!$D$4="FO",'2024'!$D$2=AJ5),'2024DATA'!$G$8,"")</f>
        <v/>
      </c>
      <c r="AK11" s="518" t="str">
        <f>IF(AND(_B="A-330-300",'2024'!$D$4="FO",'2024'!$D$2=AK5),'2024DATA'!$H$8,"")</f>
        <v/>
      </c>
      <c r="AL11" s="518" t="str">
        <f>IF(AND(_B="A-330-300",'2024'!$D$4="FO",'2024'!$D$2=AL5),'2024DATA'!$I$8,"")</f>
        <v/>
      </c>
      <c r="AM11" s="518" t="str">
        <f>IF(AND(_B="A-330-300",'2024'!$D$4="FO",'2024'!$D$2=AM5),'2024DATA'!$J$8,"")</f>
        <v/>
      </c>
      <c r="AN11" s="518" t="str">
        <f>IF(AND(_B="A-330-300",'2024'!$D$4="FO",'2024'!$D$2=AN5),'2024DATA'!$K$8,"")</f>
        <v/>
      </c>
      <c r="AO11" s="518" t="str">
        <f>IF(AND(_B="A-330-300",'2024'!$D$4="FO",'2024'!$D$2=AO5),'2024DATA'!$L$8,"")</f>
        <v/>
      </c>
      <c r="AP11" s="518" t="str">
        <f>IF(AND(_B="A-330-300",'2024'!$D$4="FO",'2024'!$D$2=AP5),'2024DATA'!$M$8,"")</f>
        <v/>
      </c>
      <c r="AQ11" s="520" t="str">
        <f>IF(AND(_B="A-330-300",'2024'!$D$4="FO",'2024'!$D$2=AQ5),'2024DATA'!$N$8,"")</f>
        <v/>
      </c>
      <c r="AR11" s="940"/>
      <c r="AS11" s="13" t="s">
        <v>62</v>
      </c>
      <c r="AT11" s="518" t="str">
        <f>IF(AND(_C="A-330-300",'2024'!$D$4="FO",'2024'!$D$2=AT5),'2024DATA'!$C$8,"")</f>
        <v/>
      </c>
      <c r="AU11" s="518" t="str">
        <f>IF(AND(_C="A-330-300",'2024'!$D$4="FO",'2024'!$D$2=AU5),'2024DATA'!$D$8,"")</f>
        <v/>
      </c>
      <c r="AV11" s="518" t="str">
        <f>IF(AND(_C="A-330-300",'2024'!$D$4="FO",'2024'!$D$2=AV5),'2024DATA'!$E$8,"")</f>
        <v/>
      </c>
      <c r="AW11" s="518" t="str">
        <f>IF(AND(_C="A-330-300",'2024'!$D$4="FO",'2024'!$D$2=AW5),'2024DATA'!$F$8,"")</f>
        <v/>
      </c>
      <c r="AX11" s="518" t="str">
        <f>IF(AND(_C="A-330-300",'2024'!$D$4="FO",'2024'!$D$2=AX5),'2024DATA'!$G$8,"")</f>
        <v/>
      </c>
      <c r="AY11" s="518" t="str">
        <f>IF(AND(_C="A-330-300",'2024'!$D$4="FO",'2024'!$D$2=AY5),'2024DATA'!$H$8,"")</f>
        <v/>
      </c>
      <c r="AZ11" s="518" t="str">
        <f>IF(AND(_C="A-330-300",'2024'!$D$4="FO",'2024'!$D$2=AZ5),'2024DATA'!$I$8,"")</f>
        <v/>
      </c>
      <c r="BA11" s="518" t="str">
        <f>IF(AND(_C="A-330-300",'2024'!$D$4="FO",'2024'!$D$2=BA5),'2024DATA'!$J$8,"")</f>
        <v/>
      </c>
      <c r="BB11" s="518" t="str">
        <f>IF(AND(_C="A-330-300",'2024'!$D$4="FO",'2024'!$D$2=BB5),'2024DATA'!$K$8,"")</f>
        <v/>
      </c>
      <c r="BC11" s="518" t="str">
        <f>IF(AND(_C="A-330-300",'2024'!$D$4="FO",'2024'!$D$2=BC5),'2024DATA'!$L$8,"")</f>
        <v/>
      </c>
      <c r="BD11" s="518" t="str">
        <f>IF(AND(_C="A-330-300",'2024'!$D$4="FO",'2024'!$D$2=BD5),'2024DATA'!$M$8,"")</f>
        <v/>
      </c>
      <c r="BE11" s="520" t="str">
        <f>IF(AND(_C="A-330-300",'2024'!$D$4="FO",'2024'!$D$2=BE5),'2024DATA'!$N$8,"")</f>
        <v/>
      </c>
      <c r="BF11" s="940"/>
      <c r="BG11" s="13" t="s">
        <v>62</v>
      </c>
      <c r="BH11" s="518" t="str">
        <f>IF(AND(_D="A-330-300",'2024'!$D$4="FO",'2024'!$D$2=BH5),'2024DATA'!$C$8,"")</f>
        <v/>
      </c>
      <c r="BI11" s="518" t="str">
        <f>IF(AND(_D="A-330-300",'2024'!$D$4="FO",'2024'!$D$2=BI5),'2024DATA'!$D$8,"")</f>
        <v/>
      </c>
      <c r="BJ11" s="518" t="str">
        <f>IF(AND(_D="A-330-300",'2024'!$D$4="FO",'2024'!$D$2=BJ5),'2024DATA'!$E$8,"")</f>
        <v/>
      </c>
      <c r="BK11" s="518" t="str">
        <f>IF(AND(_D="A-330-300",'2024'!$D$4="FO",'2024'!$D$2=BK5),'2024DATA'!$F$8,"")</f>
        <v/>
      </c>
      <c r="BL11" s="518" t="str">
        <f>IF(AND(_D="A-330-300",'2024'!$D$4="FO",'2024'!$D$2=BL5),'2024DATA'!$G$8,"")</f>
        <v/>
      </c>
      <c r="BM11" s="518" t="str">
        <f>IF(AND(_D="A-330-300",'2024'!$D$4="FO",'2024'!$D$2=BM5),'2024DATA'!$H$8,"")</f>
        <v/>
      </c>
      <c r="BN11" s="518" t="str">
        <f>IF(AND(_D="A-330-300",'2024'!$D$4="FO",'2024'!$D$2=BN5),'2024DATA'!$I$8,"")</f>
        <v/>
      </c>
      <c r="BO11" s="518" t="str">
        <f>IF(AND(_D="A-330-300",'2024'!$D$4="FO",'2024'!$D$2=BO5),'2024DATA'!$J$8,"")</f>
        <v/>
      </c>
      <c r="BP11" s="518" t="str">
        <f>IF(AND(_D="A-330-300",'2024'!$D$4="FO",'2024'!$D$2=BP5),'2024DATA'!$K$8,"")</f>
        <v/>
      </c>
      <c r="BQ11" s="518" t="str">
        <f>IF(AND(_D="A-330-300",'2024'!$D$4="FO",'2024'!$D$2=BQ5),'2024DATA'!$L$8,"")</f>
        <v/>
      </c>
      <c r="BR11" s="518" t="str">
        <f>IF(AND(_D="A-330-300",'2024'!$D$4="FO",'2024'!$D$2=BR5),'2024DATA'!$M$8,"")</f>
        <v/>
      </c>
      <c r="BS11" s="520" t="str">
        <f>IF(AND(_D="A-330-300",'2024'!$D$4="FO",'2024'!$D$2=BS5),'2024DATA'!$N$8,"")</f>
        <v/>
      </c>
      <c r="BT11" s="940"/>
      <c r="BU11" s="13" t="s">
        <v>62</v>
      </c>
      <c r="BV11" s="518" t="str">
        <f>IF(AND(_E="A-330-300",'2024'!$D$4="FO",'2024'!$D$2=BV5),'2024DATA'!$C$8,"")</f>
        <v/>
      </c>
      <c r="BW11" s="518" t="str">
        <f>IF(AND(_E="A-330-300",'2024'!$D$4="FO",'2024'!$D$2=BW5),'2024DATA'!$D$8,"")</f>
        <v/>
      </c>
      <c r="BX11" s="518" t="str">
        <f>IF(AND(_E="A-330-300",'2024'!$D$4="FO",'2024'!$D$2=BX5),'2024DATA'!$E$8,"")</f>
        <v/>
      </c>
      <c r="BY11" s="518" t="str">
        <f>IF(AND(_E="A-330-300",'2024'!$D$4="FO",'2024'!$D$2=BY5),'2024DATA'!$F$8,"")</f>
        <v/>
      </c>
      <c r="BZ11" s="518" t="str">
        <f>IF(AND(_E="A-330-300",'2024'!$D$4="FO",'2024'!$D$2=BZ5),'2024DATA'!$G$8,"")</f>
        <v/>
      </c>
      <c r="CA11" s="518" t="str">
        <f>IF(AND(_E="A-330-300",'2024'!$D$4="FO",'2024'!$D$2=CA5),'2024DATA'!$H$8,"")</f>
        <v/>
      </c>
      <c r="CB11" s="518" t="str">
        <f>IF(AND(_E="A-330-300",'2024'!$D$4="FO",'2024'!$D$2=CB5),'2024DATA'!$I$8,"")</f>
        <v/>
      </c>
      <c r="CC11" s="518" t="str">
        <f>IF(AND(_E="A-330-300",'2024'!$D$4="FO",'2024'!$D$2=CC5),'2024DATA'!$J$8,"")</f>
        <v/>
      </c>
      <c r="CD11" s="518" t="str">
        <f>IF(AND(_E="A-330-300",'2024'!$D$4="FO",'2024'!$D$2=CD5),'2024DATA'!$K$8,"")</f>
        <v/>
      </c>
      <c r="CE11" s="518" t="str">
        <f>IF(AND(_E="A-330-300",'2024'!$D$4="FO",'2024'!$D$2=CE5),'2024DATA'!$L$8,"")</f>
        <v/>
      </c>
      <c r="CF11" s="518" t="str">
        <f>IF(AND(_E="A-330-300",'2024'!$D$4="FO",'2024'!$D$2=CF5),'2024DATA'!$M$8,"")</f>
        <v/>
      </c>
      <c r="CG11" s="520" t="str">
        <f>IF(AND(_E="A-330-300",'2024'!$D$4="FO",'2024'!$D$2=CG5),'2024DATA'!$N$8,"")</f>
        <v/>
      </c>
      <c r="CH11" s="940"/>
      <c r="CI11" s="13" t="s">
        <v>62</v>
      </c>
      <c r="CJ11" s="518" t="str">
        <f>IF(AND(_F="A-330-300",'2024'!$D$4="FO",'2024'!$D$2=CJ5),'2024DATA'!$C$8,"")</f>
        <v/>
      </c>
      <c r="CK11" s="518" t="str">
        <f>IF(AND(_F="A-330-300",'2024'!$D$4="FO",'2024'!$D$2=CK5),'2024DATA'!$D$8,"")</f>
        <v/>
      </c>
      <c r="CL11" s="518" t="str">
        <f>IF(AND(_F="A-330-300",'2024'!$D$4="FO",'2024'!$D$2=CL5),'2024DATA'!$E$8,"")</f>
        <v/>
      </c>
      <c r="CM11" s="518" t="str">
        <f>IF(AND(_F="A-330-300",'2024'!$D$4="FO",'2024'!$D$2=CM5),'2024DATA'!$F$8,"")</f>
        <v/>
      </c>
      <c r="CN11" s="518" t="str">
        <f>IF(AND(_F="A-330-300",'2024'!$D$4="FO",'2024'!$D$2=CN5),'2024DATA'!$G$8,"")</f>
        <v/>
      </c>
      <c r="CO11" s="518" t="str">
        <f>IF(AND(_F="A-330-300",'2024'!$D$4="FO",'2024'!$D$2=CO5),'2024DATA'!$H$8,"")</f>
        <v/>
      </c>
      <c r="CP11" s="518" t="str">
        <f>IF(AND(_F="A-330-300",'2024'!$D$4="FO",'2024'!$D$2=CP5),'2024DATA'!$I$8,"")</f>
        <v/>
      </c>
      <c r="CQ11" s="518" t="str">
        <f>IF(AND(_F="A-330-300",'2024'!$D$4="FO",'2024'!$D$2=CQ5),'2024DATA'!$J$8,"")</f>
        <v/>
      </c>
      <c r="CR11" s="518" t="str">
        <f>IF(AND(_F="A-330-300",'2024'!$D$4="FO",'2024'!$D$2=CR5),'2024DATA'!$K$8,"")</f>
        <v/>
      </c>
      <c r="CS11" s="518" t="str">
        <f>IF(AND(_F="A-330-300",'2024'!$D$4="FO",'2024'!$D$2=CS5),'2024DATA'!$L$8,"")</f>
        <v/>
      </c>
      <c r="CT11" s="518" t="str">
        <f>IF(AND(_F="A-330-300",'2024'!$D$4="FO",'2024'!$D$2=CT5),'2024DATA'!$M$8,"")</f>
        <v/>
      </c>
      <c r="CU11" s="520" t="str">
        <f>IF(AND(_F="A-330-300",'2024'!$D$4="FO",'2024'!$D$2=CU5),'2024DATA'!$N$8,"")</f>
        <v/>
      </c>
    </row>
    <row r="12" spans="1:99" x14ac:dyDescent="0.25">
      <c r="A12" s="987"/>
      <c r="B12" s="64" t="s">
        <v>62</v>
      </c>
      <c r="C12" s="494">
        <v>305.5</v>
      </c>
      <c r="D12" s="473">
        <v>302.72000000000003</v>
      </c>
      <c r="E12" s="473">
        <v>300.04000000000002</v>
      </c>
      <c r="F12" s="473">
        <v>296.02</v>
      </c>
      <c r="G12" s="473">
        <v>292.82</v>
      </c>
      <c r="H12" s="473">
        <v>286.26</v>
      </c>
      <c r="I12" s="473">
        <v>278.51</v>
      </c>
      <c r="J12" s="473">
        <v>271.63</v>
      </c>
      <c r="K12" s="473">
        <v>265.29000000000002</v>
      </c>
      <c r="L12" s="473">
        <v>259.02</v>
      </c>
      <c r="M12" s="473">
        <v>221.35</v>
      </c>
      <c r="N12" s="495">
        <v>116.05</v>
      </c>
      <c r="P12" s="940" t="s">
        <v>66</v>
      </c>
      <c r="Q12" s="13" t="s">
        <v>61</v>
      </c>
      <c r="R12" s="518" t="str">
        <f>IF(AND(_A="A-330-200",'2024'!$D$4="CA",'2024'!$D$2=R5),'2024DATA'!$C$9,"")</f>
        <v/>
      </c>
      <c r="S12" s="518" t="str">
        <f>IF(AND(_A="A-330-200",'2024'!$D$4="CA",'2024'!$D$2=S5),'2024DATA'!$D$9,"")</f>
        <v/>
      </c>
      <c r="T12" s="518" t="str">
        <f>IF(AND(_A="A-330-200",'2024'!$D$4="CA",'2024'!$D$2=T5),'2024DATA'!$E$9,"")</f>
        <v/>
      </c>
      <c r="U12" s="518" t="str">
        <f>IF(AND(_A="A-330-200",'2024'!$D$4="CA",'2024'!$D$2=U5),'2024DATA'!$F$9,"")</f>
        <v/>
      </c>
      <c r="V12" s="518" t="str">
        <f>IF(AND(_A="A-330-200",'2024'!$D$4="CA",'2024'!$D$2=V5),'2024DATA'!$G$9,"")</f>
        <v/>
      </c>
      <c r="W12" s="518" t="str">
        <f>IF(AND(_A="A-330-200",'2024'!$D$4="CA",'2024'!$D$2=W5),'2024DATA'!$H$9,"")</f>
        <v/>
      </c>
      <c r="X12" s="518" t="str">
        <f>IF(AND(_A="A-330-200",'2024'!$D$4="CA",'2024'!$D$2=X5),'2024DATA'!$I$9,"")</f>
        <v/>
      </c>
      <c r="Y12" s="518" t="str">
        <f>IF(AND(_A="A-330-200",'2024'!$D$4="CA",'2024'!$D$2=Y5),'2024DATA'!$J$9,"")</f>
        <v/>
      </c>
      <c r="Z12" s="518" t="str">
        <f>IF(AND(_A="A-330-200",'2024'!$D$4="CA",'2024'!$D$2=Z5),'2024DATA'!$K$9,"")</f>
        <v/>
      </c>
      <c r="AA12" s="518" t="str">
        <f>IF(AND(_A="A-330-200",'2024'!$D$4="CA",'2024'!$D$2=AA5),'2024DATA'!$L$9,"")</f>
        <v/>
      </c>
      <c r="AB12" s="518" t="str">
        <f>IF(AND(_A="A-330-200",'2024'!$D$4="CA",'2024'!$D$2=AB5),'2024DATA'!$M$9,"")</f>
        <v/>
      </c>
      <c r="AC12" s="520" t="str">
        <f>IF(AND(_A="A-330-200",'2024'!$D$4="CA",'2024'!$D$2=AC5),'2024DATA'!$N$9,"")</f>
        <v/>
      </c>
      <c r="AD12" s="940" t="s">
        <v>66</v>
      </c>
      <c r="AE12" s="13" t="s">
        <v>61</v>
      </c>
      <c r="AF12" s="518" t="str">
        <f>IF(AND(_B="A-330-200",'2024'!$D$4="CA",'2024'!$D$2=AF5),'2024DATA'!$C$9,"")</f>
        <v/>
      </c>
      <c r="AG12" s="518" t="str">
        <f>IF(AND(_B="A-330-200",'2024'!$D$4="CA",'2024'!$D$2=AG5),'2024DATA'!$D$9,"")</f>
        <v/>
      </c>
      <c r="AH12" s="518" t="str">
        <f>IF(AND(_B="A-330-200",'2024'!$D$4="CA",'2024'!$D$2=AH5),'2024DATA'!$E$9,"")</f>
        <v/>
      </c>
      <c r="AI12" s="518" t="str">
        <f>IF(AND(_B="A-330-200",'2024'!$D$4="CA",'2024'!$D$2=AI5),'2024DATA'!$F$9,"")</f>
        <v/>
      </c>
      <c r="AJ12" s="518" t="str">
        <f>IF(AND(_B="A-330-200",'2024'!$D$4="CA",'2024'!$D$2=AJ5),'2024DATA'!$G$9,"")</f>
        <v/>
      </c>
      <c r="AK12" s="518" t="str">
        <f>IF(AND(_B="A-330-200",'2024'!$D$4="CA",'2024'!$D$2=AK5),'2024DATA'!$H$9,"")</f>
        <v/>
      </c>
      <c r="AL12" s="518" t="str">
        <f>IF(AND(_B="A-330-200",'2024'!$D$4="CA",'2024'!$D$2=AL5),'2024DATA'!$I$9,"")</f>
        <v/>
      </c>
      <c r="AM12" s="518" t="str">
        <f>IF(AND(_B="A-330-200",'2024'!$D$4="CA",'2024'!$D$2=AM5),'2024DATA'!$J$9,"")</f>
        <v/>
      </c>
      <c r="AN12" s="518" t="str">
        <f>IF(AND(_B="A-330-200",'2024'!$D$4="CA",'2024'!$D$2=AN5),'2024DATA'!$K$9,"")</f>
        <v/>
      </c>
      <c r="AO12" s="518" t="str">
        <f>IF(AND(_B="A-330-200",'2024'!$D$4="CA",'2024'!$D$2=AO5),'2024DATA'!$L$9,"")</f>
        <v/>
      </c>
      <c r="AP12" s="518" t="str">
        <f>IF(AND(_B="A-330-200",'2024'!$D$4="CA",'2024'!$D$2=AP5),'2024DATA'!$M$9,"")</f>
        <v/>
      </c>
      <c r="AQ12" s="520" t="str">
        <f>IF(AND(_B="A-330-200",'2024'!$D$4="CA",'2024'!$D$2=AQ5),'2024DATA'!$N$9,"")</f>
        <v/>
      </c>
      <c r="AR12" s="940" t="s">
        <v>66</v>
      </c>
      <c r="AS12" s="13" t="s">
        <v>61</v>
      </c>
      <c r="AT12" s="518" t="str">
        <f>IF(AND(_C="A-330-200",'2024'!$D$4="CA",'2024'!$D$2=AT5),'2024DATA'!$C$9,"")</f>
        <v/>
      </c>
      <c r="AU12" s="518" t="str">
        <f>IF(AND(_C="A-330-200",'2024'!$D$4="CA",'2024'!$D$2=AU5),'2024DATA'!$D$9,"")</f>
        <v/>
      </c>
      <c r="AV12" s="518" t="str">
        <f>IF(AND(_C="A-330-200",'2024'!$D$4="CA",'2024'!$D$2=AV5),'2024DATA'!$E$9,"")</f>
        <v/>
      </c>
      <c r="AW12" s="518" t="str">
        <f>IF(AND(_C="A-330-200",'2024'!$D$4="CA",'2024'!$D$2=AW5),'2024DATA'!$F$9,"")</f>
        <v/>
      </c>
      <c r="AX12" s="518" t="str">
        <f>IF(AND(_C="A-330-200",'2024'!$D$4="CA",'2024'!$D$2=AX5),'2024DATA'!$G$9,"")</f>
        <v/>
      </c>
      <c r="AY12" s="518" t="str">
        <f>IF(AND(_C="A-330-200",'2024'!$D$4="CA",'2024'!$D$2=AY5),'2024DATA'!$H$9,"")</f>
        <v/>
      </c>
      <c r="AZ12" s="518" t="str">
        <f>IF(AND(_C="A-330-200",'2024'!$D$4="CA",'2024'!$D$2=AZ5),'2024DATA'!$I$9,"")</f>
        <v/>
      </c>
      <c r="BA12" s="518" t="str">
        <f>IF(AND(_C="A-330-200",'2024'!$D$4="CA",'2024'!$D$2=BA5),'2024DATA'!$J$9,"")</f>
        <v/>
      </c>
      <c r="BB12" s="518" t="str">
        <f>IF(AND(_C="A-330-200",'2024'!$D$4="CA",'2024'!$D$2=BB5),'2024DATA'!$K$9,"")</f>
        <v/>
      </c>
      <c r="BC12" s="518" t="str">
        <f>IF(AND(_C="A-330-200",'2024'!$D$4="CA",'2024'!$D$2=BC5),'2024DATA'!$L$9,"")</f>
        <v/>
      </c>
      <c r="BD12" s="518" t="str">
        <f>IF(AND(_C="A-330-200",'2024'!$D$4="CA",'2024'!$D$2=BD5),'2024DATA'!$M$9,"")</f>
        <v/>
      </c>
      <c r="BE12" s="520" t="str">
        <f>IF(AND(_C="A-330-200",'2024'!$D$4="CA",'2024'!$D$2=BE5),'2024DATA'!$N$9,"")</f>
        <v/>
      </c>
      <c r="BF12" s="940" t="s">
        <v>66</v>
      </c>
      <c r="BG12" s="13" t="s">
        <v>61</v>
      </c>
      <c r="BH12" s="518" t="str">
        <f>IF(AND(_D="A-330-200",'2024'!$D$4="CA",'2024'!$D$2=BH5),'2024DATA'!$C$9,"")</f>
        <v/>
      </c>
      <c r="BI12" s="518" t="str">
        <f>IF(AND(_D="A-330-200",'2024'!$D$4="CA",'2024'!$D$2=BI5),'2024DATA'!$D$9,"")</f>
        <v/>
      </c>
      <c r="BJ12" s="518" t="str">
        <f>IF(AND(_D="A-330-200",'2024'!$D$4="CA",'2024'!$D$2=BJ5),'2024DATA'!$E$9,"")</f>
        <v/>
      </c>
      <c r="BK12" s="518" t="str">
        <f>IF(AND(_D="A-330-200",'2024'!$D$4="CA",'2024'!$D$2=BK5),'2024DATA'!$F$9,"")</f>
        <v/>
      </c>
      <c r="BL12" s="518" t="str">
        <f>IF(AND(_D="A-330-200",'2024'!$D$4="CA",'2024'!$D$2=BL5),'2024DATA'!$G$9,"")</f>
        <v/>
      </c>
      <c r="BM12" s="518" t="str">
        <f>IF(AND(_D="A-330-200",'2024'!$D$4="CA",'2024'!$D$2=BM5),'2024DATA'!$H$9,"")</f>
        <v/>
      </c>
      <c r="BN12" s="518" t="str">
        <f>IF(AND(_D="A-330-200",'2024'!$D$4="CA",'2024'!$D$2=BN5),'2024DATA'!$I$9,"")</f>
        <v/>
      </c>
      <c r="BO12" s="518" t="str">
        <f>IF(AND(_D="A-330-200",'2024'!$D$4="CA",'2024'!$D$2=BO5),'2024DATA'!$J$9,"")</f>
        <v/>
      </c>
      <c r="BP12" s="518" t="str">
        <f>IF(AND(_D="A-330-200",'2024'!$D$4="CA",'2024'!$D$2=BP5),'2024DATA'!$K$9,"")</f>
        <v/>
      </c>
      <c r="BQ12" s="518" t="str">
        <f>IF(AND(_D="A-330-200",'2024'!$D$4="CA",'2024'!$D$2=BQ5),'2024DATA'!$L$9,"")</f>
        <v/>
      </c>
      <c r="BR12" s="518" t="str">
        <f>IF(AND(_D="A-330-200",'2024'!$D$4="CA",'2024'!$D$2=BR5),'2024DATA'!$M$9,"")</f>
        <v/>
      </c>
      <c r="BS12" s="520" t="str">
        <f>IF(AND(_D="A-330-200",'2024'!$D$4="CA",'2024'!$D$2=BS5),'2024DATA'!$N$9,"")</f>
        <v/>
      </c>
      <c r="BT12" s="940" t="s">
        <v>66</v>
      </c>
      <c r="BU12" s="13" t="s">
        <v>61</v>
      </c>
      <c r="BV12" s="518" t="str">
        <f>IF(AND(_E="A-330-200",'2024'!$D$4="CA",'2024'!$D$2=BV5),'2024DATA'!$C$9,"")</f>
        <v/>
      </c>
      <c r="BW12" s="518" t="str">
        <f>IF(AND(_E="A-330-200",'2024'!$D$4="CA",'2024'!$D$2=BW5),'2024DATA'!$D$9,"")</f>
        <v/>
      </c>
      <c r="BX12" s="518" t="str">
        <f>IF(AND(_E="A-330-200",'2024'!$D$4="CA",'2024'!$D$2=BX5),'2024DATA'!$E$9,"")</f>
        <v/>
      </c>
      <c r="BY12" s="518" t="str">
        <f>IF(AND(_E="A-330-200",'2024'!$D$4="CA",'2024'!$D$2=BY5),'2024DATA'!$F$9,"")</f>
        <v/>
      </c>
      <c r="BZ12" s="518" t="str">
        <f>IF(AND(_E="A-330-200",'2024'!$D$4="CA",'2024'!$D$2=BZ5),'2024DATA'!$G$9,"")</f>
        <v/>
      </c>
      <c r="CA12" s="518" t="str">
        <f>IF(AND(_E="A-330-200",'2024'!$D$4="CA",'2024'!$D$2=CA5),'2024DATA'!$H$9,"")</f>
        <v/>
      </c>
      <c r="CB12" s="518" t="str">
        <f>IF(AND(_E="A-330-200",'2024'!$D$4="CA",'2024'!$D$2=CB5),'2024DATA'!$I$9,"")</f>
        <v/>
      </c>
      <c r="CC12" s="518" t="str">
        <f>IF(AND(_E="A-330-200",'2024'!$D$4="CA",'2024'!$D$2=CC5),'2024DATA'!$J$9,"")</f>
        <v/>
      </c>
      <c r="CD12" s="518" t="str">
        <f>IF(AND(_E="A-330-200",'2024'!$D$4="CA",'2024'!$D$2=CD5),'2024DATA'!$K$9,"")</f>
        <v/>
      </c>
      <c r="CE12" s="518" t="str">
        <f>IF(AND(_E="A-330-200",'2024'!$D$4="CA",'2024'!$D$2=CE5),'2024DATA'!$L$9,"")</f>
        <v/>
      </c>
      <c r="CF12" s="518" t="str">
        <f>IF(AND(_E="A-330-200",'2024'!$D$4="CA",'2024'!$D$2=CF5),'2024DATA'!$M$9,"")</f>
        <v/>
      </c>
      <c r="CG12" s="520" t="str">
        <f>IF(AND(_E="A-330-200",'2024'!$D$4="CA",'2024'!$D$2=CG5),'2024DATA'!$N$9,"")</f>
        <v/>
      </c>
      <c r="CH12" s="940" t="s">
        <v>66</v>
      </c>
      <c r="CI12" s="13" t="s">
        <v>61</v>
      </c>
      <c r="CJ12" s="518" t="str">
        <f>IF(AND(_F="A-330-200",'2024'!$D$4="CA",'2024'!$D$2=CJ5),'2024DATA'!$C$9,"")</f>
        <v/>
      </c>
      <c r="CK12" s="518" t="str">
        <f>IF(AND(_F="A-330-200",'2024'!$D$4="CA",'2024'!$D$2=CK5),'2024DATA'!$D$9,"")</f>
        <v/>
      </c>
      <c r="CL12" s="518" t="str">
        <f>IF(AND(_F="A-330-200",'2024'!$D$4="CA",'2024'!$D$2=CL5),'2024DATA'!$E$9,"")</f>
        <v/>
      </c>
      <c r="CM12" s="518" t="str">
        <f>IF(AND(_F="A-330-200",'2024'!$D$4="CA",'2024'!$D$2=CM5),'2024DATA'!$F$9,"")</f>
        <v/>
      </c>
      <c r="CN12" s="518" t="str">
        <f>IF(AND(_F="A-330-200",'2024'!$D$4="CA",'2024'!$D$2=CN5),'2024DATA'!$G$9,"")</f>
        <v/>
      </c>
      <c r="CO12" s="518" t="str">
        <f>IF(AND(_F="A-330-200",'2024'!$D$4="CA",'2024'!$D$2=CO5),'2024DATA'!$H$9,"")</f>
        <v/>
      </c>
      <c r="CP12" s="518" t="str">
        <f>IF(AND(_F="A-330-200",'2024'!$D$4="CA",'2024'!$D$2=CP5),'2024DATA'!$I$9,"")</f>
        <v/>
      </c>
      <c r="CQ12" s="518" t="str">
        <f>IF(AND(_F="A-330-200",'2024'!$D$4="CA",'2024'!$D$2=CQ5),'2024DATA'!$J$9,"")</f>
        <v/>
      </c>
      <c r="CR12" s="518" t="str">
        <f>IF(AND(_F="A-330-200",'2024'!$D$4="CA",'2024'!$D$2=CR5),'2024DATA'!$K$9,"")</f>
        <v/>
      </c>
      <c r="CS12" s="518" t="str">
        <f>IF(AND(_F="A-330-200",'2024'!$D$4="CA",'2024'!$D$2=CS5),'2024DATA'!$L$9,"")</f>
        <v/>
      </c>
      <c r="CT12" s="518" t="str">
        <f>IF(AND(_F="A-330-200",'2024'!$D$4="CA",'2024'!$D$2=CT5),'2024DATA'!$M$9,"")</f>
        <v/>
      </c>
      <c r="CU12" s="520" t="str">
        <f>IF(AND(_F="A-330-200",'2024'!$D$4="CA",'2024'!$D$2=CU5),'2024DATA'!$N$9,"")</f>
        <v/>
      </c>
    </row>
    <row r="13" spans="1:99" x14ac:dyDescent="0.25">
      <c r="A13" s="987" t="s">
        <v>43</v>
      </c>
      <c r="B13" s="64" t="s">
        <v>61</v>
      </c>
      <c r="C13" s="494">
        <v>374.36</v>
      </c>
      <c r="D13" s="473">
        <v>370.54</v>
      </c>
      <c r="E13" s="473">
        <v>366.59</v>
      </c>
      <c r="F13" s="473">
        <v>362.69</v>
      </c>
      <c r="G13" s="473">
        <v>360.13</v>
      </c>
      <c r="H13" s="473">
        <v>357.17</v>
      </c>
      <c r="I13" s="473">
        <v>354.55</v>
      </c>
      <c r="J13" s="473">
        <v>351.81</v>
      </c>
      <c r="K13" s="473">
        <v>348.84</v>
      </c>
      <c r="L13" s="473">
        <v>346.03</v>
      </c>
      <c r="M13" s="473">
        <v>343.25</v>
      </c>
      <c r="N13" s="495">
        <v>340.36</v>
      </c>
      <c r="P13" s="940"/>
      <c r="Q13" s="13" t="s">
        <v>62</v>
      </c>
      <c r="R13" s="518" t="str">
        <f>IF(AND(_A="A-330-200",'2024'!$D$4="FO",'2024'!$D$2=R5),'2024DATA'!$C$10,"")</f>
        <v/>
      </c>
      <c r="S13" s="518" t="str">
        <f>IF(AND(_A="A-330-200",'2024'!$D$4="FO",'2024'!$D$2=S5),'2024DATA'!$D$10,"")</f>
        <v/>
      </c>
      <c r="T13" s="518" t="str">
        <f>IF(AND(_A="A-330-200",'2024'!$D$4="FO",'2024'!$D$2=T5),'2024DATA'!$E$10,"")</f>
        <v/>
      </c>
      <c r="U13" s="518" t="str">
        <f>IF(AND(_A="A-330-200",'2024'!$D$4="FO",'2024'!$D$2=U5),'2024DATA'!$F$10,"")</f>
        <v/>
      </c>
      <c r="V13" s="518" t="str">
        <f>IF(AND(_A="A-330-200",'2024'!$D$4="FO",'2024'!$D$2=V5),'2024DATA'!$G$10,"")</f>
        <v/>
      </c>
      <c r="W13" s="518" t="str">
        <f>IF(AND(_A="A-330-200",'2024'!$D$4="FO",'2024'!$D$2=W5),'2024DATA'!$H$10,"")</f>
        <v/>
      </c>
      <c r="X13" s="518" t="str">
        <f>IF(AND(_A="A-330-200",'2024'!$D$4="FO",'2024'!$D$2=X5),'2024DATA'!$I$10,"")</f>
        <v/>
      </c>
      <c r="Y13" s="518" t="str">
        <f>IF(AND(_A="A-330-200",'2024'!$D$4="FO",'2024'!$D$2=Y5),'2024DATA'!$J$10,"")</f>
        <v/>
      </c>
      <c r="Z13" s="518" t="str">
        <f>IF(AND(_A="A-330-200",'2024'!$D$4="FO",'2024'!$D$2=Z5),'2024DATA'!$K$10,"")</f>
        <v/>
      </c>
      <c r="AA13" s="518" t="str">
        <f>IF(AND(_A="A-330-200",'2024'!$D$4="FO",'2024'!$D$2=AA5),'2024DATA'!$L$10,"")</f>
        <v/>
      </c>
      <c r="AB13" s="518" t="str">
        <f>IF(AND(_A="A-330-200",'2024'!$D$4="FO",'2024'!$D$2=AB5),'2024DATA'!$M$10,"")</f>
        <v/>
      </c>
      <c r="AC13" s="520" t="str">
        <f>IF(AND(_A="A-330-200",'2024'!$D$4="FO",'2024'!$D$2=AC5),'2024DATA'!$N$10,"")</f>
        <v/>
      </c>
      <c r="AD13" s="940"/>
      <c r="AE13" s="13" t="s">
        <v>62</v>
      </c>
      <c r="AF13" s="518" t="str">
        <f>IF(AND(_B="A-330-200",'2024'!$D$4="FO",'2024'!$D$2=AF5),'2024DATA'!$C$10,"")</f>
        <v/>
      </c>
      <c r="AG13" s="518" t="str">
        <f>IF(AND(_B="A-330-200",'2024'!$D$4="FO",'2024'!$D$2=AG5),'2024DATA'!$D$10,"")</f>
        <v/>
      </c>
      <c r="AH13" s="518" t="str">
        <f>IF(AND(_B="A-330-200",'2024'!$D$4="FO",'2024'!$D$2=AH5),'2024DATA'!$E$10,"")</f>
        <v/>
      </c>
      <c r="AI13" s="518" t="str">
        <f>IF(AND(_B="A-330-200",'2024'!$D$4="FO",'2024'!$D$2=AI5),'2024DATA'!$F$10,"")</f>
        <v/>
      </c>
      <c r="AJ13" s="518" t="str">
        <f>IF(AND(_B="A-330-200",'2024'!$D$4="FO",'2024'!$D$2=AJ5),'2024DATA'!$G$10,"")</f>
        <v/>
      </c>
      <c r="AK13" s="518" t="str">
        <f>IF(AND(_B="A-330-200",'2024'!$D$4="FO",'2024'!$D$2=AK5),'2024DATA'!$H$10,"")</f>
        <v/>
      </c>
      <c r="AL13" s="518" t="str">
        <f>IF(AND(_B="A-330-200",'2024'!$D$4="FO",'2024'!$D$2=AL5),'2024DATA'!$I$10,"")</f>
        <v/>
      </c>
      <c r="AM13" s="518" t="str">
        <f>IF(AND(_B="A-330-200",'2024'!$D$4="FO",'2024'!$D$2=AM5),'2024DATA'!$J$10,"")</f>
        <v/>
      </c>
      <c r="AN13" s="518" t="str">
        <f>IF(AND(_B="A-330-200",'2024'!$D$4="FO",'2024'!$D$2=AN5),'2024DATA'!$K$10,"")</f>
        <v/>
      </c>
      <c r="AO13" s="518" t="str">
        <f>IF(AND(_B="A-330-200",'2024'!$D$4="FO",'2024'!$D$2=AO5),'2024DATA'!$L$10,"")</f>
        <v/>
      </c>
      <c r="AP13" s="518" t="str">
        <f>IF(AND(_B="A-330-200",'2024'!$D$4="FO",'2024'!$D$2=AP5),'2024DATA'!$M$10,"")</f>
        <v/>
      </c>
      <c r="AQ13" s="520" t="str">
        <f>IF(AND(_B="A-330-200",'2024'!$D$4="FO",'2024'!$D$2=AQ5),'2024DATA'!$N$10,"")</f>
        <v/>
      </c>
      <c r="AR13" s="940"/>
      <c r="AS13" s="13" t="s">
        <v>62</v>
      </c>
      <c r="AT13" s="518" t="str">
        <f>IF(AND(_C="A-330-200",'2024'!$D$4="FO",'2024'!$D$2=AT5),'2024DATA'!$C$10,"")</f>
        <v/>
      </c>
      <c r="AU13" s="518" t="str">
        <f>IF(AND(_C="A-330-200",'2024'!$D$4="FO",'2024'!$D$2=AU5),'2024DATA'!$D$10,"")</f>
        <v/>
      </c>
      <c r="AV13" s="518" t="str">
        <f>IF(AND(_C="A-330-200",'2024'!$D$4="FO",'2024'!$D$2=AV5),'2024DATA'!$E$10,"")</f>
        <v/>
      </c>
      <c r="AW13" s="518" t="str">
        <f>IF(AND(_C="A-330-200",'2024'!$D$4="FO",'2024'!$D$2=AW5),'2024DATA'!$F$10,"")</f>
        <v/>
      </c>
      <c r="AX13" s="518" t="str">
        <f>IF(AND(_C="A-330-200",'2024'!$D$4="FO",'2024'!$D$2=AX5),'2024DATA'!$G$10,"")</f>
        <v/>
      </c>
      <c r="AY13" s="518" t="str">
        <f>IF(AND(_C="A-330-200",'2024'!$D$4="FO",'2024'!$D$2=AY5),'2024DATA'!$H$10,"")</f>
        <v/>
      </c>
      <c r="AZ13" s="518" t="str">
        <f>IF(AND(_C="A-330-200",'2024'!$D$4="FO",'2024'!$D$2=AZ5),'2024DATA'!$I$10,"")</f>
        <v/>
      </c>
      <c r="BA13" s="518" t="str">
        <f>IF(AND(_C="A-330-200",'2024'!$D$4="FO",'2024'!$D$2=BA5),'2024DATA'!$J$10,"")</f>
        <v/>
      </c>
      <c r="BB13" s="518" t="str">
        <f>IF(AND(_C="A-330-200",'2024'!$D$4="FO",'2024'!$D$2=BB5),'2024DATA'!$K$10,"")</f>
        <v/>
      </c>
      <c r="BC13" s="518" t="str">
        <f>IF(AND(_C="A-330-200",'2024'!$D$4="FO",'2024'!$D$2=BC5),'2024DATA'!$L$10,"")</f>
        <v/>
      </c>
      <c r="BD13" s="518" t="str">
        <f>IF(AND(_C="A-330-200",'2024'!$D$4="FO",'2024'!$D$2=BD5),'2024DATA'!$M$10,"")</f>
        <v/>
      </c>
      <c r="BE13" s="520" t="str">
        <f>IF(AND(_C="A-330-200",'2024'!$D$4="FO",'2024'!$D$2=BE5),'2024DATA'!$N$10,"")</f>
        <v/>
      </c>
      <c r="BF13" s="940"/>
      <c r="BG13" s="13" t="s">
        <v>62</v>
      </c>
      <c r="BH13" s="518" t="str">
        <f>IF(AND(_D="A-330-200",'2024'!$D$4="FO",'2024'!$D$2=BH5),'2024DATA'!$C$10,"")</f>
        <v/>
      </c>
      <c r="BI13" s="518" t="str">
        <f>IF(AND(_D="A-330-200",'2024'!$D$4="FO",'2024'!$D$2=BI5),'2024DATA'!$D$10,"")</f>
        <v/>
      </c>
      <c r="BJ13" s="518" t="str">
        <f>IF(AND(_D="A-330-200",'2024'!$D$4="FO",'2024'!$D$2=BJ5),'2024DATA'!$E$10,"")</f>
        <v/>
      </c>
      <c r="BK13" s="518" t="str">
        <f>IF(AND(_D="A-330-200",'2024'!$D$4="FO",'2024'!$D$2=BK5),'2024DATA'!$F$10,"")</f>
        <v/>
      </c>
      <c r="BL13" s="518" t="str">
        <f>IF(AND(_D="A-330-200",'2024'!$D$4="FO",'2024'!$D$2=BL5),'2024DATA'!$G$10,"")</f>
        <v/>
      </c>
      <c r="BM13" s="518" t="str">
        <f>IF(AND(_D="A-330-200",'2024'!$D$4="FO",'2024'!$D$2=BM5),'2024DATA'!$H$10,"")</f>
        <v/>
      </c>
      <c r="BN13" s="518" t="str">
        <f>IF(AND(_D="A-330-200",'2024'!$D$4="FO",'2024'!$D$2=BN5),'2024DATA'!$I$10,"")</f>
        <v/>
      </c>
      <c r="BO13" s="518" t="str">
        <f>IF(AND(_D="A-330-200",'2024'!$D$4="FO",'2024'!$D$2=BO5),'2024DATA'!$J$10,"")</f>
        <v/>
      </c>
      <c r="BP13" s="518" t="str">
        <f>IF(AND(_D="A-330-200",'2024'!$D$4="FO",'2024'!$D$2=BP5),'2024DATA'!$K$10,"")</f>
        <v/>
      </c>
      <c r="BQ13" s="518" t="str">
        <f>IF(AND(_D="A-330-200",'2024'!$D$4="FO",'2024'!$D$2=BQ5),'2024DATA'!$L$10,"")</f>
        <v/>
      </c>
      <c r="BR13" s="518" t="str">
        <f>IF(AND(_D="A-330-200",'2024'!$D$4="FO",'2024'!$D$2=BR5),'2024DATA'!$M$10,"")</f>
        <v/>
      </c>
      <c r="BS13" s="520" t="str">
        <f>IF(AND(_D="A-330-200",'2024'!$D$4="FO",'2024'!$D$2=BS5),'2024DATA'!$N$10,"")</f>
        <v/>
      </c>
      <c r="BT13" s="940"/>
      <c r="BU13" s="13" t="s">
        <v>62</v>
      </c>
      <c r="BV13" s="518" t="str">
        <f>IF(AND(_E="A-330-200",'2024'!$D$4="FO",'2024'!$D$2=BV5),'2024DATA'!$C$10,"")</f>
        <v/>
      </c>
      <c r="BW13" s="518" t="str">
        <f>IF(AND(_E="A-330-200",'2024'!$D$4="FO",'2024'!$D$2=BW5),'2024DATA'!$D$10,"")</f>
        <v/>
      </c>
      <c r="BX13" s="518" t="str">
        <f>IF(AND(_E="A-330-200",'2024'!$D$4="FO",'2024'!$D$2=BX5),'2024DATA'!$E$10,"")</f>
        <v/>
      </c>
      <c r="BY13" s="518" t="str">
        <f>IF(AND(_E="A-330-200",'2024'!$D$4="FO",'2024'!$D$2=BY5),'2024DATA'!$F$10,"")</f>
        <v/>
      </c>
      <c r="BZ13" s="518" t="str">
        <f>IF(AND(_E="A-330-200",'2024'!$D$4="FO",'2024'!$D$2=BZ5),'2024DATA'!$G$10,"")</f>
        <v/>
      </c>
      <c r="CA13" s="518" t="str">
        <f>IF(AND(_E="A-330-200",'2024'!$D$4="FO",'2024'!$D$2=CA5),'2024DATA'!$H$10,"")</f>
        <v/>
      </c>
      <c r="CB13" s="518" t="str">
        <f>IF(AND(_E="A-330-200",'2024'!$D$4="FO",'2024'!$D$2=CB5),'2024DATA'!$I$10,"")</f>
        <v/>
      </c>
      <c r="CC13" s="518" t="str">
        <f>IF(AND(_E="A-330-200",'2024'!$D$4="FO",'2024'!$D$2=CC5),'2024DATA'!$J$10,"")</f>
        <v/>
      </c>
      <c r="CD13" s="518" t="str">
        <f>IF(AND(_E="A-330-200",'2024'!$D$4="FO",'2024'!$D$2=CD5),'2024DATA'!$K$10,"")</f>
        <v/>
      </c>
      <c r="CE13" s="518" t="str">
        <f>IF(AND(_E="A-330-200",'2024'!$D$4="FO",'2024'!$D$2=CE5),'2024DATA'!$L$10,"")</f>
        <v/>
      </c>
      <c r="CF13" s="518" t="str">
        <f>IF(AND(_E="A-330-200",'2024'!$D$4="FO",'2024'!$D$2=CF5),'2024DATA'!$M$10,"")</f>
        <v/>
      </c>
      <c r="CG13" s="520" t="str">
        <f>IF(AND(_E="A-330-200",'2024'!$D$4="FO",'2024'!$D$2=CG5),'2024DATA'!$N$10,"")</f>
        <v/>
      </c>
      <c r="CH13" s="940"/>
      <c r="CI13" s="13" t="s">
        <v>62</v>
      </c>
      <c r="CJ13" s="518" t="str">
        <f>IF(AND(_F="A-330-200",'2024'!$D$4="FO",'2024'!$D$2=CJ5),'2024DATA'!$C$10,"")</f>
        <v/>
      </c>
      <c r="CK13" s="518" t="str">
        <f>IF(AND(_F="A-330-200",'2024'!$D$4="FO",'2024'!$D$2=CK5),'2024DATA'!$D$10,"")</f>
        <v/>
      </c>
      <c r="CL13" s="518" t="str">
        <f>IF(AND(_F="A-330-200",'2024'!$D$4="FO",'2024'!$D$2=CL5),'2024DATA'!$E$10,"")</f>
        <v/>
      </c>
      <c r="CM13" s="518" t="str">
        <f>IF(AND(_F="A-330-200",'2024'!$D$4="FO",'2024'!$D$2=CM5),'2024DATA'!$F$10,"")</f>
        <v/>
      </c>
      <c r="CN13" s="518" t="str">
        <f>IF(AND(_F="A-330-200",'2024'!$D$4="FO",'2024'!$D$2=CN5),'2024DATA'!$G$10,"")</f>
        <v/>
      </c>
      <c r="CO13" s="518" t="str">
        <f>IF(AND(_F="A-330-200",'2024'!$D$4="FO",'2024'!$D$2=CO5),'2024DATA'!$H$10,"")</f>
        <v/>
      </c>
      <c r="CP13" s="518" t="str">
        <f>IF(AND(_F="A-330-200",'2024'!$D$4="FO",'2024'!$D$2=CP5),'2024DATA'!$I$10,"")</f>
        <v/>
      </c>
      <c r="CQ13" s="518" t="str">
        <f>IF(AND(_F="A-330-200",'2024'!$D$4="FO",'2024'!$D$2=CQ5),'2024DATA'!$J$10,"")</f>
        <v/>
      </c>
      <c r="CR13" s="518" t="str">
        <f>IF(AND(_F="A-330-200",'2024'!$D$4="FO",'2024'!$D$2=CR5),'2024DATA'!$K$10,"")</f>
        <v/>
      </c>
      <c r="CS13" s="518" t="str">
        <f>IF(AND(_F="A-330-200",'2024'!$D$4="FO",'2024'!$D$2=CS5),'2024DATA'!$L$10,"")</f>
        <v/>
      </c>
      <c r="CT13" s="518" t="str">
        <f>IF(AND(_F="A-330-200",'2024'!$D$4="FO",'2024'!$D$2=CT5),'2024DATA'!$M$10,"")</f>
        <v/>
      </c>
      <c r="CU13" s="520" t="str">
        <f>IF(AND(_F="A-330-200",'2024'!$D$4="FO",'2024'!$D$2=CU5),'2024DATA'!$N$10,"")</f>
        <v/>
      </c>
    </row>
    <row r="14" spans="1:99" x14ac:dyDescent="0.25">
      <c r="A14" s="987"/>
      <c r="B14" s="64" t="s">
        <v>62</v>
      </c>
      <c r="C14" s="494">
        <v>255.69</v>
      </c>
      <c r="D14" s="473">
        <v>252.71</v>
      </c>
      <c r="E14" s="473">
        <v>249.64</v>
      </c>
      <c r="F14" s="473">
        <v>245.56</v>
      </c>
      <c r="G14" s="473">
        <v>243.1</v>
      </c>
      <c r="H14" s="473">
        <v>237.53</v>
      </c>
      <c r="I14" s="473">
        <v>231.16</v>
      </c>
      <c r="J14" s="473">
        <v>225.52</v>
      </c>
      <c r="K14" s="473">
        <v>220.13</v>
      </c>
      <c r="L14" s="473">
        <v>214.89</v>
      </c>
      <c r="M14" s="473">
        <v>183.63</v>
      </c>
      <c r="N14" s="495">
        <v>116.05</v>
      </c>
      <c r="P14" s="940" t="s">
        <v>42</v>
      </c>
      <c r="Q14" s="13" t="s">
        <v>61</v>
      </c>
      <c r="R14" s="518" t="str">
        <f>IF(AND(_A="B-767-400ER",'2024'!$D$4="CA",'2024'!$D$2=R5),'2024DATA'!$C$11,"")</f>
        <v/>
      </c>
      <c r="S14" s="518" t="str">
        <f>IF(AND(_A="B-767-400ER",'2024'!$D$4="CA",'2024'!$D$2=S5),'2024DATA'!$D$11,"")</f>
        <v/>
      </c>
      <c r="T14" s="518" t="str">
        <f>IF(AND(_A="B-767-400ER",'2024'!$D$4="CA",'2024'!$D$2=T5),'2024DATA'!$E$11,"")</f>
        <v/>
      </c>
      <c r="U14" s="518" t="str">
        <f>IF(AND(_A="B-767-400ER",'2024'!$D$4="CA",'2024'!$D$2=U5),'2024DATA'!$F$11,"")</f>
        <v/>
      </c>
      <c r="V14" s="518" t="str">
        <f>IF(AND(_A="B-767-400ER",'2024'!$D$4="CA",'2024'!$D$2=V5),'2024DATA'!$G$11,"")</f>
        <v/>
      </c>
      <c r="W14" s="518" t="str">
        <f>IF(AND(_A="B-767-400ER",'2024'!$D$4="CA",'2024'!$D$2=W5),'2024DATA'!$H$11,"")</f>
        <v/>
      </c>
      <c r="X14" s="518" t="str">
        <f>IF(AND(_A="B-767-400ER",'2024'!$D$4="CA",'2024'!$D$2=X5),'2024DATA'!$I$11,"")</f>
        <v/>
      </c>
      <c r="Y14" s="518" t="str">
        <f>IF(AND(_A="B-767-400ER",'2024'!$D$4="CA",'2024'!$D$2=Y5),'2024DATA'!$J$11,"")</f>
        <v/>
      </c>
      <c r="Z14" s="518" t="str">
        <f>IF(AND(_A="B-767-400ER",'2024'!$D$4="CA",'2024'!$D$2=Z5),'2024DATA'!$K$11,"")</f>
        <v/>
      </c>
      <c r="AA14" s="518" t="str">
        <f>IF(AND(_A="B-767-400ER",'2024'!$D$4="CA",'2024'!$D$2=AA5),'2024DATA'!$L$11,"")</f>
        <v/>
      </c>
      <c r="AB14" s="518" t="str">
        <f>IF(AND(_A="B-767-400ER",'2024'!$D$4="CA",'2024'!$D$2=AB5),'2024DATA'!$M$11,"")</f>
        <v/>
      </c>
      <c r="AC14" s="520" t="str">
        <f>IF(AND(_A="B-767-400ER",'2024'!$D$4="CA",'2024'!$D$2=AC5),'2024DATA'!$N$11,"")</f>
        <v/>
      </c>
      <c r="AD14" s="940" t="s">
        <v>42</v>
      </c>
      <c r="AE14" s="13" t="s">
        <v>61</v>
      </c>
      <c r="AF14" s="518" t="str">
        <f>IF(AND(_B="B-767-400ER",'2024'!$D$4="CA",'2024'!$D$2=AF5),'2024DATA'!$C$11,"")</f>
        <v/>
      </c>
      <c r="AG14" s="518" t="str">
        <f>IF(AND(_B="B-767-400ER",'2024'!$D$4="CA",'2024'!$D$2=AG5),'2024DATA'!$D$11,"")</f>
        <v/>
      </c>
      <c r="AH14" s="518" t="str">
        <f>IF(AND(_B="B-767-400ER",'2024'!$D$4="CA",'2024'!$D$2=AH5),'2024DATA'!$E$11,"")</f>
        <v/>
      </c>
      <c r="AI14" s="518" t="str">
        <f>IF(AND(_B="B-767-400ER",'2024'!$D$4="CA",'2024'!$D$2=AI5),'2024DATA'!$F$11,"")</f>
        <v/>
      </c>
      <c r="AJ14" s="518" t="str">
        <f>IF(AND(_B="B-767-400ER",'2024'!$D$4="CA",'2024'!$D$2=AJ5),'2024DATA'!$G$11,"")</f>
        <v/>
      </c>
      <c r="AK14" s="518" t="str">
        <f>IF(AND(_B="B-767-400ER",'2024'!$D$4="CA",'2024'!$D$2=AK5),'2024DATA'!$H$11,"")</f>
        <v/>
      </c>
      <c r="AL14" s="518" t="str">
        <f>IF(AND(_B="B-767-400ER",'2024'!$D$4="CA",'2024'!$D$2=AL5),'2024DATA'!$I$11,"")</f>
        <v/>
      </c>
      <c r="AM14" s="518" t="str">
        <f>IF(AND(_B="B-767-400ER",'2024'!$D$4="CA",'2024'!$D$2=AM5),'2024DATA'!$J$11,"")</f>
        <v/>
      </c>
      <c r="AN14" s="518" t="str">
        <f>IF(AND(_B="B-767-400ER",'2024'!$D$4="CA",'2024'!$D$2=AN5),'2024DATA'!$K$11,"")</f>
        <v/>
      </c>
      <c r="AO14" s="518" t="str">
        <f>IF(AND(_B="B-767-400ER",'2024'!$D$4="CA",'2024'!$D$2=AO5),'2024DATA'!$L$11,"")</f>
        <v/>
      </c>
      <c r="AP14" s="518" t="str">
        <f>IF(AND(_B="B-767-400ER",'2024'!$D$4="CA",'2024'!$D$2=AP5),'2024DATA'!$M$11,"")</f>
        <v/>
      </c>
      <c r="AQ14" s="520" t="str">
        <f>IF(AND(_B="B-767-400ER",'2024'!$D$4="CA",'2024'!$D$2=AQ5),'2024DATA'!$N$11,"")</f>
        <v/>
      </c>
      <c r="AR14" s="940" t="s">
        <v>42</v>
      </c>
      <c r="AS14" s="13" t="s">
        <v>61</v>
      </c>
      <c r="AT14" s="518" t="str">
        <f>IF(AND(_C="B-767-400ER",'2024'!$D$4="CA",'2024'!$D$2=AT5),'2024DATA'!$C$11,"")</f>
        <v/>
      </c>
      <c r="AU14" s="518" t="str">
        <f>IF(AND(_C="B-767-400ER",'2024'!$D$4="CA",'2024'!$D$2=AU5),'2024DATA'!$D$11,"")</f>
        <v/>
      </c>
      <c r="AV14" s="518" t="str">
        <f>IF(AND(_C="B-767-400ER",'2024'!$D$4="CA",'2024'!$D$2=AV5),'2024DATA'!$E$11,"")</f>
        <v/>
      </c>
      <c r="AW14" s="518" t="str">
        <f>IF(AND(_C="B-767-400ER",'2024'!$D$4="CA",'2024'!$D$2=AW5),'2024DATA'!$F$11,"")</f>
        <v/>
      </c>
      <c r="AX14" s="518" t="str">
        <f>IF(AND(_C="B-767-400ER",'2024'!$D$4="CA",'2024'!$D$2=AX5),'2024DATA'!$G$11,"")</f>
        <v/>
      </c>
      <c r="AY14" s="518" t="str">
        <f>IF(AND(_C="B-767-400ER",'2024'!$D$4="CA",'2024'!$D$2=AY5),'2024DATA'!$H$11,"")</f>
        <v/>
      </c>
      <c r="AZ14" s="518" t="str">
        <f>IF(AND(_C="B-767-400ER",'2024'!$D$4="CA",'2024'!$D$2=AZ5),'2024DATA'!$I$11,"")</f>
        <v/>
      </c>
      <c r="BA14" s="518" t="str">
        <f>IF(AND(_C="B-767-400ER",'2024'!$D$4="CA",'2024'!$D$2=BA5),'2024DATA'!$J$11,"")</f>
        <v/>
      </c>
      <c r="BB14" s="518" t="str">
        <f>IF(AND(_C="B-767-400ER",'2024'!$D$4="CA",'2024'!$D$2=BB5),'2024DATA'!$K$11,"")</f>
        <v/>
      </c>
      <c r="BC14" s="518" t="str">
        <f>IF(AND(_C="B-767-400ER",'2024'!$D$4="CA",'2024'!$D$2=BC5),'2024DATA'!$L$11,"")</f>
        <v/>
      </c>
      <c r="BD14" s="518" t="str">
        <f>IF(AND(_C="B-767-400ER",'2024'!$D$4="CA",'2024'!$D$2=BD5),'2024DATA'!$M$11,"")</f>
        <v/>
      </c>
      <c r="BE14" s="520" t="str">
        <f>IF(AND(_C="B-767-400ER",'2024'!$D$4="CA",'2024'!$D$2=BE5),'2024DATA'!$N$11,"")</f>
        <v/>
      </c>
      <c r="BF14" s="940" t="s">
        <v>42</v>
      </c>
      <c r="BG14" s="13" t="s">
        <v>61</v>
      </c>
      <c r="BH14" s="518" t="str">
        <f>IF(AND(_D="B-767-400ER",'2024'!$D$4="CA",'2024'!$D$2=BH5),'2024DATA'!$C$11,"")</f>
        <v/>
      </c>
      <c r="BI14" s="518" t="str">
        <f>IF(AND(_D="B-767-400ER",'2024'!$D$4="CA",'2024'!$D$2=BI5),'2024DATA'!$D$11,"")</f>
        <v/>
      </c>
      <c r="BJ14" s="518" t="str">
        <f>IF(AND(_D="B-767-400ER",'2024'!$D$4="CA",'2024'!$D$2=BJ5),'2024DATA'!$E$11,"")</f>
        <v/>
      </c>
      <c r="BK14" s="518" t="str">
        <f>IF(AND(_D="B-767-400ER",'2024'!$D$4="CA",'2024'!$D$2=BK5),'2024DATA'!$F$11,"")</f>
        <v/>
      </c>
      <c r="BL14" s="518" t="str">
        <f>IF(AND(_D="B-767-400ER",'2024'!$D$4="CA",'2024'!$D$2=BL5),'2024DATA'!$G$11,"")</f>
        <v/>
      </c>
      <c r="BM14" s="518" t="str">
        <f>IF(AND(_D="B-767-400ER",'2024'!$D$4="CA",'2024'!$D$2=BM5),'2024DATA'!$H$11,"")</f>
        <v/>
      </c>
      <c r="BN14" s="518" t="str">
        <f>IF(AND(_D="B-767-400ER",'2024'!$D$4="CA",'2024'!$D$2=BN5),'2024DATA'!$I$11,"")</f>
        <v/>
      </c>
      <c r="BO14" s="518" t="str">
        <f>IF(AND(_D="B-767-400ER",'2024'!$D$4="CA",'2024'!$D$2=BO5),'2024DATA'!$J$11,"")</f>
        <v/>
      </c>
      <c r="BP14" s="518" t="str">
        <f>IF(AND(_D="B-767-400ER",'2024'!$D$4="CA",'2024'!$D$2=BP5),'2024DATA'!$K$11,"")</f>
        <v/>
      </c>
      <c r="BQ14" s="518" t="str">
        <f>IF(AND(_D="B-767-400ER",'2024'!$D$4="CA",'2024'!$D$2=BQ5),'2024DATA'!$L$11,"")</f>
        <v/>
      </c>
      <c r="BR14" s="518" t="str">
        <f>IF(AND(_D="B-767-400ER",'2024'!$D$4="CA",'2024'!$D$2=BR5),'2024DATA'!$M$11,"")</f>
        <v/>
      </c>
      <c r="BS14" s="520" t="str">
        <f>IF(AND(_D="B-767-400ER",'2024'!$D$4="CA",'2024'!$D$2=BS5),'2024DATA'!$N$11,"")</f>
        <v/>
      </c>
      <c r="BT14" s="940" t="s">
        <v>42</v>
      </c>
      <c r="BU14" s="13" t="s">
        <v>61</v>
      </c>
      <c r="BV14" s="518" t="str">
        <f>IF(AND(_E="B-767-400ER",'2024'!$D$4="CA",'2024'!$D$2=BV5),'2024DATA'!$C$11,"")</f>
        <v/>
      </c>
      <c r="BW14" s="518" t="str">
        <f>IF(AND(_E="B-767-400ER",'2024'!$D$4="CA",'2024'!$D$2=BW5),'2024DATA'!$D$11,"")</f>
        <v/>
      </c>
      <c r="BX14" s="518" t="str">
        <f>IF(AND(_E="B-767-400ER",'2024'!$D$4="CA",'2024'!$D$2=BX5),'2024DATA'!$E$11,"")</f>
        <v/>
      </c>
      <c r="BY14" s="518" t="str">
        <f>IF(AND(_E="B-767-400ER",'2024'!$D$4="CA",'2024'!$D$2=BY5),'2024DATA'!$F$11,"")</f>
        <v/>
      </c>
      <c r="BZ14" s="518" t="str">
        <f>IF(AND(_E="B-767-400ER",'2024'!$D$4="CA",'2024'!$D$2=BZ5),'2024DATA'!$G$11,"")</f>
        <v/>
      </c>
      <c r="CA14" s="518" t="str">
        <f>IF(AND(_E="B-767-400ER",'2024'!$D$4="CA",'2024'!$D$2=CA5),'2024DATA'!$H$11,"")</f>
        <v/>
      </c>
      <c r="CB14" s="518" t="str">
        <f>IF(AND(_E="B-767-400ER",'2024'!$D$4="CA",'2024'!$D$2=CB5),'2024DATA'!$I$11,"")</f>
        <v/>
      </c>
      <c r="CC14" s="518" t="str">
        <f>IF(AND(_E="B-767-400ER",'2024'!$D$4="CA",'2024'!$D$2=CC5),'2024DATA'!$J$11,"")</f>
        <v/>
      </c>
      <c r="CD14" s="518" t="str">
        <f>IF(AND(_E="B-767-400ER",'2024'!$D$4="CA",'2024'!$D$2=CD5),'2024DATA'!$K$11,"")</f>
        <v/>
      </c>
      <c r="CE14" s="518" t="str">
        <f>IF(AND(_E="B-767-400ER",'2024'!$D$4="CA",'2024'!$D$2=CE5),'2024DATA'!$L$11,"")</f>
        <v/>
      </c>
      <c r="CF14" s="518" t="str">
        <f>IF(AND(_E="B-767-400ER",'2024'!$D$4="CA",'2024'!$D$2=CF5),'2024DATA'!$M$11,"")</f>
        <v/>
      </c>
      <c r="CG14" s="520" t="str">
        <f>IF(AND(_E="B-767-400ER",'2024'!$D$4="CA",'2024'!$D$2=CG5),'2024DATA'!$N$11,"")</f>
        <v/>
      </c>
      <c r="CH14" s="940" t="s">
        <v>42</v>
      </c>
      <c r="CI14" s="13" t="s">
        <v>61</v>
      </c>
      <c r="CJ14" s="518" t="str">
        <f>IF(AND(_F="B-767-400ER",'2024'!$D$4="CA",'2024'!$D$2=CJ5),'2024DATA'!$C$11,"")</f>
        <v/>
      </c>
      <c r="CK14" s="518" t="str">
        <f>IF(AND(_F="B-767-400ER",'2024'!$D$4="CA",'2024'!$D$2=CK5),'2024DATA'!$D$11,"")</f>
        <v/>
      </c>
      <c r="CL14" s="518" t="str">
        <f>IF(AND(_F="B-767-400ER",'2024'!$D$4="CA",'2024'!$D$2=CL5),'2024DATA'!$E$11,"")</f>
        <v/>
      </c>
      <c r="CM14" s="518" t="str">
        <f>IF(AND(_F="B-767-400ER",'2024'!$D$4="CA",'2024'!$D$2=CM5),'2024DATA'!$F$11,"")</f>
        <v/>
      </c>
      <c r="CN14" s="518" t="str">
        <f>IF(AND(_F="B-767-400ER",'2024'!$D$4="CA",'2024'!$D$2=CN5),'2024DATA'!$G$11,"")</f>
        <v/>
      </c>
      <c r="CO14" s="518" t="str">
        <f>IF(AND(_F="B-767-400ER",'2024'!$D$4="CA",'2024'!$D$2=CO5),'2024DATA'!$H$11,"")</f>
        <v/>
      </c>
      <c r="CP14" s="518" t="str">
        <f>IF(AND(_F="B-767-400ER",'2024'!$D$4="CA",'2024'!$D$2=CP5),'2024DATA'!$I$11,"")</f>
        <v/>
      </c>
      <c r="CQ14" s="518" t="str">
        <f>IF(AND(_F="B-767-400ER",'2024'!$D$4="CA",'2024'!$D$2=CQ5),'2024DATA'!$J$11,"")</f>
        <v/>
      </c>
      <c r="CR14" s="518" t="str">
        <f>IF(AND(_F="B-767-400ER",'2024'!$D$4="CA",'2024'!$D$2=CR5),'2024DATA'!$K$11,"")</f>
        <v/>
      </c>
      <c r="CS14" s="518" t="str">
        <f>IF(AND(_F="B-767-400ER",'2024'!$D$4="CA",'2024'!$D$2=CS5),'2024DATA'!$L$11,"")</f>
        <v/>
      </c>
      <c r="CT14" s="518" t="str">
        <f>IF(AND(_F="B-767-400ER",'2024'!$D$4="CA",'2024'!$D$2=CT5),'2024DATA'!$M$11,"")</f>
        <v/>
      </c>
      <c r="CU14" s="520" t="str">
        <f>IF(AND(_F="B-767-400ER",'2024'!$D$4="CA",'2024'!$D$2=CU5),'2024DATA'!$N$11,"")</f>
        <v/>
      </c>
    </row>
    <row r="15" spans="1:99" x14ac:dyDescent="0.25">
      <c r="A15" s="987" t="s">
        <v>67</v>
      </c>
      <c r="B15" s="64" t="s">
        <v>61</v>
      </c>
      <c r="C15" s="494">
        <v>374.36</v>
      </c>
      <c r="D15" s="473">
        <v>370.54</v>
      </c>
      <c r="E15" s="473">
        <v>366.59</v>
      </c>
      <c r="F15" s="473">
        <v>362.69</v>
      </c>
      <c r="G15" s="473">
        <v>360.13</v>
      </c>
      <c r="H15" s="473">
        <v>357.17</v>
      </c>
      <c r="I15" s="473">
        <v>354.55</v>
      </c>
      <c r="J15" s="473">
        <v>351.81</v>
      </c>
      <c r="K15" s="473">
        <v>348.84</v>
      </c>
      <c r="L15" s="473">
        <v>346.03</v>
      </c>
      <c r="M15" s="473">
        <v>343.25</v>
      </c>
      <c r="N15" s="495">
        <v>340.36</v>
      </c>
      <c r="P15" s="940"/>
      <c r="Q15" s="13" t="s">
        <v>62</v>
      </c>
      <c r="R15" s="518" t="str">
        <f>IF(AND(_A="B-767-400ER",'2024'!$D$4="FO",'2024'!$D$2=R5),'2024DATA'!$C$12,"")</f>
        <v/>
      </c>
      <c r="S15" s="518" t="str">
        <f>IF(AND(_A="B-767-400ER",'2024'!$D$4="FO",'2024'!$D$2=S5),'2024DATA'!$D$12,"")</f>
        <v/>
      </c>
      <c r="T15" s="518" t="str">
        <f>IF(AND(_A="B-767-400ER",'2024'!$D$4="FO",'2024'!$D$2=T5),'2024DATA'!$E$12,"")</f>
        <v/>
      </c>
      <c r="U15" s="518" t="str">
        <f>IF(AND(_A="B-767-400ER",'2024'!$D$4="FO",'2024'!$D$2=U5),'2024DATA'!$F$12,"")</f>
        <v/>
      </c>
      <c r="V15" s="518" t="str">
        <f>IF(AND(_A="B-767-400ER",'2024'!$D$4="FO",'2024'!$D$2=V5),'2024DATA'!$G$12,"")</f>
        <v/>
      </c>
      <c r="W15" s="518" t="str">
        <f>IF(AND(_A="B-767-400ER",'2024'!$D$4="FO",'2024'!$D$2=W5),'2024DATA'!$H$12,"")</f>
        <v/>
      </c>
      <c r="X15" s="518" t="str">
        <f>IF(AND(_A="B-767-400ER",'2024'!$D$4="FO",'2024'!$D$2=X5),'2024DATA'!$I$12,"")</f>
        <v/>
      </c>
      <c r="Y15" s="518" t="str">
        <f>IF(AND(_A="B-767-400ER",'2024'!$D$4="FO",'2024'!$D$2=Y5),'2024DATA'!$J$12,"")</f>
        <v/>
      </c>
      <c r="Z15" s="518" t="str">
        <f>IF(AND(_A="B-767-400ER",'2024'!$D$4="FO",'2024'!$D$2=Z5),'2024DATA'!$K$12,"")</f>
        <v/>
      </c>
      <c r="AA15" s="518" t="str">
        <f>IF(AND(_A="B-767-400ER",'2024'!$D$4="FO",'2024'!$D$2=AA5),'2024DATA'!$L$12,"")</f>
        <v/>
      </c>
      <c r="AB15" s="518" t="str">
        <f>IF(AND(_A="B-767-400ER",'2024'!$D$4="FO",'2024'!$D$2=AB5),'2024DATA'!$M$12,"")</f>
        <v/>
      </c>
      <c r="AC15" s="520" t="str">
        <f>IF(AND(_A="B-767-400ER",'2024'!$D$4="FO",'2024'!$D$2=AC5),'2024DATA'!$N$12,"")</f>
        <v/>
      </c>
      <c r="AD15" s="940"/>
      <c r="AE15" s="13" t="s">
        <v>62</v>
      </c>
      <c r="AF15" s="518" t="str">
        <f>IF(AND(_B="B-767-400ER",'2024'!$D$4="FO",'2024'!$D$2=AF5),'2024DATA'!$C$12,"")</f>
        <v/>
      </c>
      <c r="AG15" s="518" t="str">
        <f>IF(AND(_B="B-767-400ER",'2024'!$D$4="FO",'2024'!$D$2=AG5),'2024DATA'!$D$12,"")</f>
        <v/>
      </c>
      <c r="AH15" s="518" t="str">
        <f>IF(AND(_B="B-767-400ER",'2024'!$D$4="FO",'2024'!$D$2=AH5),'2024DATA'!$E$12,"")</f>
        <v/>
      </c>
      <c r="AI15" s="518" t="str">
        <f>IF(AND(_B="B-767-400ER",'2024'!$D$4="FO",'2024'!$D$2=AI5),'2024DATA'!$F$12,"")</f>
        <v/>
      </c>
      <c r="AJ15" s="518" t="str">
        <f>IF(AND(_B="B-767-400ER",'2024'!$D$4="FO",'2024'!$D$2=AJ5),'2024DATA'!$G$12,"")</f>
        <v/>
      </c>
      <c r="AK15" s="518" t="str">
        <f>IF(AND(_B="B-767-400ER",'2024'!$D$4="FO",'2024'!$D$2=AK5),'2024DATA'!$H$12,"")</f>
        <v/>
      </c>
      <c r="AL15" s="518" t="str">
        <f>IF(AND(_B="B-767-400ER",'2024'!$D$4="FO",'2024'!$D$2=AL5),'2024DATA'!$I$12,"")</f>
        <v/>
      </c>
      <c r="AM15" s="518" t="str">
        <f>IF(AND(_B="B-767-400ER",'2024'!$D$4="FO",'2024'!$D$2=AM5),'2024DATA'!$J$12,"")</f>
        <v/>
      </c>
      <c r="AN15" s="518" t="str">
        <f>IF(AND(_B="B-767-400ER",'2024'!$D$4="FO",'2024'!$D$2=AN5),'2024DATA'!$K$12,"")</f>
        <v/>
      </c>
      <c r="AO15" s="518" t="str">
        <f>IF(AND(_B="B-767-400ER",'2024'!$D$4="FO",'2024'!$D$2=AO5),'2024DATA'!$L$12,"")</f>
        <v/>
      </c>
      <c r="AP15" s="518" t="str">
        <f>IF(AND(_B="B-767-400ER",'2024'!$D$4="FO",'2024'!$D$2=AP5),'2024DATA'!$M$12,"")</f>
        <v/>
      </c>
      <c r="AQ15" s="520" t="str">
        <f>IF(AND(_B="B-767-400ER",'2024'!$D$4="FO",'2024'!$D$2=AQ5),'2024DATA'!$N$12,"")</f>
        <v/>
      </c>
      <c r="AR15" s="940"/>
      <c r="AS15" s="13" t="s">
        <v>62</v>
      </c>
      <c r="AT15" s="518" t="str">
        <f>IF(AND(_C="B-767-400ER",'2024'!$D$4="FO",'2024'!$D$2=AT5),'2024DATA'!$C$12,"")</f>
        <v/>
      </c>
      <c r="AU15" s="518" t="str">
        <f>IF(AND(_C="B-767-400ER",'2024'!$D$4="FO",'2024'!$D$2=AU5),'2024DATA'!$D$12,"")</f>
        <v/>
      </c>
      <c r="AV15" s="518" t="str">
        <f>IF(AND(_C="B-767-400ER",'2024'!$D$4="FO",'2024'!$D$2=AV5),'2024DATA'!$E$12,"")</f>
        <v/>
      </c>
      <c r="AW15" s="518" t="str">
        <f>IF(AND(_C="B-767-400ER",'2024'!$D$4="FO",'2024'!$D$2=AW5),'2024DATA'!$F$12,"")</f>
        <v/>
      </c>
      <c r="AX15" s="518" t="str">
        <f>IF(AND(_C="B-767-400ER",'2024'!$D$4="FO",'2024'!$D$2=AX5),'2024DATA'!$G$12,"")</f>
        <v/>
      </c>
      <c r="AY15" s="518" t="str">
        <f>IF(AND(_C="B-767-400ER",'2024'!$D$4="FO",'2024'!$D$2=AY5),'2024DATA'!$H$12,"")</f>
        <v/>
      </c>
      <c r="AZ15" s="518" t="str">
        <f>IF(AND(_C="B-767-400ER",'2024'!$D$4="FO",'2024'!$D$2=AZ5),'2024DATA'!$I$12,"")</f>
        <v/>
      </c>
      <c r="BA15" s="518" t="str">
        <f>IF(AND(_C="B-767-400ER",'2024'!$D$4="FO",'2024'!$D$2=BA5),'2024DATA'!$J$12,"")</f>
        <v/>
      </c>
      <c r="BB15" s="518" t="str">
        <f>IF(AND(_C="B-767-400ER",'2024'!$D$4="FO",'2024'!$D$2=BB5),'2024DATA'!$K$12,"")</f>
        <v/>
      </c>
      <c r="BC15" s="518" t="str">
        <f>IF(AND(_C="B-767-400ER",'2024'!$D$4="FO",'2024'!$D$2=BC5),'2024DATA'!$L$12,"")</f>
        <v/>
      </c>
      <c r="BD15" s="518" t="str">
        <f>IF(AND(_C="B-767-400ER",'2024'!$D$4="FO",'2024'!$D$2=BD5),'2024DATA'!$M$12,"")</f>
        <v/>
      </c>
      <c r="BE15" s="520" t="str">
        <f>IF(AND(_C="B-767-400ER",'2024'!$D$4="FO",'2024'!$D$2=BE5),'2024DATA'!$N$12,"")</f>
        <v/>
      </c>
      <c r="BF15" s="940"/>
      <c r="BG15" s="13" t="s">
        <v>62</v>
      </c>
      <c r="BH15" s="518" t="str">
        <f>IF(AND(_D="B-767-400ER",'2024'!$D$4="FO",'2024'!$D$2=BH5),'2024DATA'!$C$12,"")</f>
        <v/>
      </c>
      <c r="BI15" s="518" t="str">
        <f>IF(AND(_D="B-767-400ER",'2024'!$D$4="FO",'2024'!$D$2=BI5),'2024DATA'!$D$12,"")</f>
        <v/>
      </c>
      <c r="BJ15" s="518" t="str">
        <f>IF(AND(_D="B-767-400ER",'2024'!$D$4="FO",'2024'!$D$2=BJ5),'2024DATA'!$E$12,"")</f>
        <v/>
      </c>
      <c r="BK15" s="518" t="str">
        <f>IF(AND(_D="B-767-400ER",'2024'!$D$4="FO",'2024'!$D$2=BK5),'2024DATA'!$F$12,"")</f>
        <v/>
      </c>
      <c r="BL15" s="518" t="str">
        <f>IF(AND(_D="B-767-400ER",'2024'!$D$4="FO",'2024'!$D$2=BL5),'2024DATA'!$G$12,"")</f>
        <v/>
      </c>
      <c r="BM15" s="518" t="str">
        <f>IF(AND(_D="B-767-400ER",'2024'!$D$4="FO",'2024'!$D$2=BM5),'2024DATA'!$H$12,"")</f>
        <v/>
      </c>
      <c r="BN15" s="518" t="str">
        <f>IF(AND(_D="B-767-400ER",'2024'!$D$4="FO",'2024'!$D$2=BN5),'2024DATA'!$I$12,"")</f>
        <v/>
      </c>
      <c r="BO15" s="518" t="str">
        <f>IF(AND(_D="B-767-400ER",'2024'!$D$4="FO",'2024'!$D$2=BO5),'2024DATA'!$J$12,"")</f>
        <v/>
      </c>
      <c r="BP15" s="518" t="str">
        <f>IF(AND(_D="B-767-400ER",'2024'!$D$4="FO",'2024'!$D$2=BP5),'2024DATA'!$K$12,"")</f>
        <v/>
      </c>
      <c r="BQ15" s="518" t="str">
        <f>IF(AND(_D="B-767-400ER",'2024'!$D$4="FO",'2024'!$D$2=BQ5),'2024DATA'!$L$12,"")</f>
        <v/>
      </c>
      <c r="BR15" s="518" t="str">
        <f>IF(AND(_D="B-767-400ER",'2024'!$D$4="FO",'2024'!$D$2=BR5),'2024DATA'!$M$12,"")</f>
        <v/>
      </c>
      <c r="BS15" s="520" t="str">
        <f>IF(AND(_D="B-767-400ER",'2024'!$D$4="FO",'2024'!$D$2=BS5),'2024DATA'!$N$12,"")</f>
        <v/>
      </c>
      <c r="BT15" s="940"/>
      <c r="BU15" s="13" t="s">
        <v>62</v>
      </c>
      <c r="BV15" s="518" t="str">
        <f>IF(AND(_E="B-767-400ER",'2024'!$D$4="FO",'2024'!$D$2=BV5),'2024DATA'!$C$12,"")</f>
        <v/>
      </c>
      <c r="BW15" s="518" t="str">
        <f>IF(AND(_E="B-767-400ER",'2024'!$D$4="FO",'2024'!$D$2=BW5),'2024DATA'!$D$12,"")</f>
        <v/>
      </c>
      <c r="BX15" s="518" t="str">
        <f>IF(AND(_E="B-767-400ER",'2024'!$D$4="FO",'2024'!$D$2=BX5),'2024DATA'!$E$12,"")</f>
        <v/>
      </c>
      <c r="BY15" s="518" t="str">
        <f>IF(AND(_E="B-767-400ER",'2024'!$D$4="FO",'2024'!$D$2=BY5),'2024DATA'!$F$12,"")</f>
        <v/>
      </c>
      <c r="BZ15" s="518" t="str">
        <f>IF(AND(_E="B-767-400ER",'2024'!$D$4="FO",'2024'!$D$2=BZ5),'2024DATA'!$G$12,"")</f>
        <v/>
      </c>
      <c r="CA15" s="518" t="str">
        <f>IF(AND(_E="B-767-400ER",'2024'!$D$4="FO",'2024'!$D$2=CA5),'2024DATA'!$H$12,"")</f>
        <v/>
      </c>
      <c r="CB15" s="518" t="str">
        <f>IF(AND(_E="B-767-400ER",'2024'!$D$4="FO",'2024'!$D$2=CB5),'2024DATA'!$I$12,"")</f>
        <v/>
      </c>
      <c r="CC15" s="518" t="str">
        <f>IF(AND(_E="B-767-400ER",'2024'!$D$4="FO",'2024'!$D$2=CC5),'2024DATA'!$J$12,"")</f>
        <v/>
      </c>
      <c r="CD15" s="518" t="str">
        <f>IF(AND(_E="B-767-400ER",'2024'!$D$4="FO",'2024'!$D$2=CD5),'2024DATA'!$K$12,"")</f>
        <v/>
      </c>
      <c r="CE15" s="518" t="str">
        <f>IF(AND(_E="B-767-400ER",'2024'!$D$4="FO",'2024'!$D$2=CE5),'2024DATA'!$L$12,"")</f>
        <v/>
      </c>
      <c r="CF15" s="518" t="str">
        <f>IF(AND(_E="B-767-400ER",'2024'!$D$4="FO",'2024'!$D$2=CF5),'2024DATA'!$M$12,"")</f>
        <v/>
      </c>
      <c r="CG15" s="520" t="str">
        <f>IF(AND(_E="B-767-400ER",'2024'!$D$4="FO",'2024'!$D$2=CG5),'2024DATA'!$N$12,"")</f>
        <v/>
      </c>
      <c r="CH15" s="940"/>
      <c r="CI15" s="13" t="s">
        <v>62</v>
      </c>
      <c r="CJ15" s="518" t="str">
        <f>IF(AND(_F="B-767-400ER",'2024'!$D$4="FO",'2024'!$D$2=CJ5),'2024DATA'!$C$12,"")</f>
        <v/>
      </c>
      <c r="CK15" s="518" t="str">
        <f>IF(AND(_F="B-767-400ER",'2024'!$D$4="FO",'2024'!$D$2=CK5),'2024DATA'!$D$12,"")</f>
        <v/>
      </c>
      <c r="CL15" s="518" t="str">
        <f>IF(AND(_F="B-767-400ER",'2024'!$D$4="FO",'2024'!$D$2=CL5),'2024DATA'!$E$12,"")</f>
        <v/>
      </c>
      <c r="CM15" s="518" t="str">
        <f>IF(AND(_F="B-767-400ER",'2024'!$D$4="FO",'2024'!$D$2=CM5),'2024DATA'!$F$12,"")</f>
        <v/>
      </c>
      <c r="CN15" s="518" t="str">
        <f>IF(AND(_F="B-767-400ER",'2024'!$D$4="FO",'2024'!$D$2=CN5),'2024DATA'!$G$12,"")</f>
        <v/>
      </c>
      <c r="CO15" s="518" t="str">
        <f>IF(AND(_F="B-767-400ER",'2024'!$D$4="FO",'2024'!$D$2=CO5),'2024DATA'!$H$12,"")</f>
        <v/>
      </c>
      <c r="CP15" s="518" t="str">
        <f>IF(AND(_F="B-767-400ER",'2024'!$D$4="FO",'2024'!$D$2=CP5),'2024DATA'!$I$12,"")</f>
        <v/>
      </c>
      <c r="CQ15" s="518" t="str">
        <f>IF(AND(_F="B-767-400ER",'2024'!$D$4="FO",'2024'!$D$2=CQ5),'2024DATA'!$J$12,"")</f>
        <v/>
      </c>
      <c r="CR15" s="518" t="str">
        <f>IF(AND(_F="B-767-400ER",'2024'!$D$4="FO",'2024'!$D$2=CR5),'2024DATA'!$K$12,"")</f>
        <v/>
      </c>
      <c r="CS15" s="518" t="str">
        <f>IF(AND(_F="B-767-400ER",'2024'!$D$4="FO",'2024'!$D$2=CS5),'2024DATA'!$L$12,"")</f>
        <v/>
      </c>
      <c r="CT15" s="518" t="str">
        <f>IF(AND(_F="B-767-400ER",'2024'!$D$4="FO",'2024'!$D$2=CT5),'2024DATA'!$M$12,"")</f>
        <v/>
      </c>
      <c r="CU15" s="520" t="str">
        <f>IF(AND(_F="B-767-400ER",'2024'!$D$4="FO",'2024'!$D$2=CU5),'2024DATA'!$N$12,"")</f>
        <v/>
      </c>
    </row>
    <row r="16" spans="1:99" x14ac:dyDescent="0.25">
      <c r="A16" s="987"/>
      <c r="B16" s="64" t="s">
        <v>62</v>
      </c>
      <c r="C16" s="494">
        <v>255.69</v>
      </c>
      <c r="D16" s="473">
        <v>252.71</v>
      </c>
      <c r="E16" s="473">
        <v>249.64</v>
      </c>
      <c r="F16" s="473">
        <v>245.56</v>
      </c>
      <c r="G16" s="473">
        <v>243.1</v>
      </c>
      <c r="H16" s="473">
        <v>237.53</v>
      </c>
      <c r="I16" s="473">
        <v>231.16</v>
      </c>
      <c r="J16" s="473">
        <v>225.52</v>
      </c>
      <c r="K16" s="473">
        <v>220.13</v>
      </c>
      <c r="L16" s="473">
        <v>214.89</v>
      </c>
      <c r="M16" s="473">
        <v>183.63</v>
      </c>
      <c r="N16" s="495">
        <v>116.05</v>
      </c>
      <c r="P16" s="940" t="s">
        <v>43</v>
      </c>
      <c r="Q16" s="13" t="s">
        <v>61</v>
      </c>
      <c r="R16" s="518" t="str">
        <f>IF(AND(_A="B-767-300ER",'2024'!$D$4="CA",'2024'!$D$2=R5),'2024DATA'!$C$13,"")</f>
        <v/>
      </c>
      <c r="S16" s="518" t="str">
        <f>IF(AND(_A="B-767-300ER",'2024'!$D$4="CA",'2024'!$D$2=S5),'2024DATA'!$D$13,"")</f>
        <v/>
      </c>
      <c r="T16" s="518" t="str">
        <f>IF(AND(_A="B-767-300ER",'2024'!$D$4="CA",'2024'!$D$2=T5),'2024DATA'!$E$13,"")</f>
        <v/>
      </c>
      <c r="U16" s="518" t="str">
        <f>IF(AND(_A="B-767-300ER",'2024'!$D$4="CA",'2024'!$D$2=U5),'2024DATA'!$F$13,"")</f>
        <v/>
      </c>
      <c r="V16" s="518" t="str">
        <f>IF(AND(_A="B-767-300ER",'2024'!$D$4="CA",'2024'!$D$2=V5),'2024DATA'!$G$13,"")</f>
        <v/>
      </c>
      <c r="W16" s="518" t="str">
        <f>IF(AND(_A="B-767-300ER",'2024'!$D$4="CA",'2024'!$D$2=W5),'2024DATA'!$H$13,"")</f>
        <v/>
      </c>
      <c r="X16" s="518" t="str">
        <f>IF(AND(_A="B-767-300ER",'2024'!$D$4="CA",'2024'!$D$2=X5),'2024DATA'!$I$13,"")</f>
        <v/>
      </c>
      <c r="Y16" s="518" t="str">
        <f>IF(AND(_A="B-767-300ER",'2024'!$D$4="CA",'2024'!$D$2=Y5),'2024DATA'!$J$13,"")</f>
        <v/>
      </c>
      <c r="Z16" s="518" t="str">
        <f>IF(AND(_A="B-767-300ER",'2024'!$D$4="CA",'2024'!$D$2=Z5),'2024DATA'!$K$13,"")</f>
        <v/>
      </c>
      <c r="AA16" s="518" t="str">
        <f>IF(AND(_A="B-767-300ER",'2024'!$D$4="CA",'2024'!$D$2=AA5),'2024DATA'!$L$13,"")</f>
        <v/>
      </c>
      <c r="AB16" s="518" t="str">
        <f>IF(AND(_A="B-767-300ER",'2024'!$D$4="CA",'2024'!$D$2=AB5),'2024DATA'!$M$13,"")</f>
        <v/>
      </c>
      <c r="AC16" s="520" t="str">
        <f>IF(AND(_A="B-767-300ER",'2024'!$D$4="CA",'2024'!$D$2=AC5),'2024DATA'!$N$13,"")</f>
        <v/>
      </c>
      <c r="AD16" s="940" t="s">
        <v>43</v>
      </c>
      <c r="AE16" s="13" t="s">
        <v>61</v>
      </c>
      <c r="AF16" s="518" t="str">
        <f>IF(AND(_B="B-767-300ER",'2024'!$D$4="CA",'2024'!$D$2=AF5),'2024DATA'!$C$13,"")</f>
        <v/>
      </c>
      <c r="AG16" s="518" t="str">
        <f>IF(AND(_B="B-767-300ER",'2024'!$D$4="CA",'2024'!$D$2=AG5),'2024DATA'!$D$13,"")</f>
        <v/>
      </c>
      <c r="AH16" s="518" t="str">
        <f>IF(AND(_B="B-767-300ER",'2024'!$D$4="CA",'2024'!$D$2=AH5),'2024DATA'!$E$13,"")</f>
        <v/>
      </c>
      <c r="AI16" s="518" t="str">
        <f>IF(AND(_B="B-767-300ER",'2024'!$D$4="CA",'2024'!$D$2=AI5),'2024DATA'!$F$13,"")</f>
        <v/>
      </c>
      <c r="AJ16" s="518" t="str">
        <f>IF(AND(_B="B-767-300ER",'2024'!$D$4="CA",'2024'!$D$2=AJ5),'2024DATA'!$G$13,"")</f>
        <v/>
      </c>
      <c r="AK16" s="518" t="str">
        <f>IF(AND(_B="B-767-300ER",'2024'!$D$4="CA",'2024'!$D$2=AK5),'2024DATA'!$H$13,"")</f>
        <v/>
      </c>
      <c r="AL16" s="518" t="str">
        <f>IF(AND(_B="B-767-300ER",'2024'!$D$4="CA",'2024'!$D$2=AL5),'2024DATA'!$I$13,"")</f>
        <v/>
      </c>
      <c r="AM16" s="518" t="str">
        <f>IF(AND(_B="B-767-300ER",'2024'!$D$4="CA",'2024'!$D$2=AM5),'2024DATA'!$J$13,"")</f>
        <v/>
      </c>
      <c r="AN16" s="518" t="str">
        <f>IF(AND(_B="B-767-300ER",'2024'!$D$4="CA",'2024'!$D$2=AN5),'2024DATA'!$K$13,"")</f>
        <v/>
      </c>
      <c r="AO16" s="518" t="str">
        <f>IF(AND(_B="B-767-300ER",'2024'!$D$4="CA",'2024'!$D$2=AO5),'2024DATA'!$L$13,"")</f>
        <v/>
      </c>
      <c r="AP16" s="518" t="str">
        <f>IF(AND(_B="B-767-300ER",'2024'!$D$4="CA",'2024'!$D$2=AP5),'2024DATA'!$M$13,"")</f>
        <v/>
      </c>
      <c r="AQ16" s="520" t="str">
        <f>IF(AND(_B="B-767-300ER",'2024'!$D$4="CA",'2024'!$D$2=AQ5),'2024DATA'!$N$13,"")</f>
        <v/>
      </c>
      <c r="AR16" s="940" t="s">
        <v>43</v>
      </c>
      <c r="AS16" s="13" t="s">
        <v>61</v>
      </c>
      <c r="AT16" s="518" t="str">
        <f>IF(AND(_C="B-767-300ER",'2024'!$D$4="CA",'2024'!$D$2=AT5),'2024DATA'!$C$13,"")</f>
        <v/>
      </c>
      <c r="AU16" s="518" t="str">
        <f>IF(AND(_C="B-767-300ER",'2024'!$D$4="CA",'2024'!$D$2=AU5),'2024DATA'!$D$13,"")</f>
        <v/>
      </c>
      <c r="AV16" s="518" t="str">
        <f>IF(AND(_C="B-767-300ER",'2024'!$D$4="CA",'2024'!$D$2=AV5),'2024DATA'!$E$13,"")</f>
        <v/>
      </c>
      <c r="AW16" s="518" t="str">
        <f>IF(AND(_C="B-767-300ER",'2024'!$D$4="CA",'2024'!$D$2=AW5),'2024DATA'!$F$13,"")</f>
        <v/>
      </c>
      <c r="AX16" s="518" t="str">
        <f>IF(AND(_C="B-767-300ER",'2024'!$D$4="CA",'2024'!$D$2=AX5),'2024DATA'!$G$13,"")</f>
        <v/>
      </c>
      <c r="AY16" s="518" t="str">
        <f>IF(AND(_C="B-767-300ER",'2024'!$D$4="CA",'2024'!$D$2=AY5),'2024DATA'!$H$13,"")</f>
        <v/>
      </c>
      <c r="AZ16" s="518" t="str">
        <f>IF(AND(_C="B-767-300ER",'2024'!$D$4="CA",'2024'!$D$2=AZ5),'2024DATA'!$I$13,"")</f>
        <v/>
      </c>
      <c r="BA16" s="518" t="str">
        <f>IF(AND(_C="B-767-300ER",'2024'!$D$4="CA",'2024'!$D$2=BA5),'2024DATA'!$J$13,"")</f>
        <v/>
      </c>
      <c r="BB16" s="518" t="str">
        <f>IF(AND(_C="B-767-300ER",'2024'!$D$4="CA",'2024'!$D$2=BB5),'2024DATA'!$K$13,"")</f>
        <v/>
      </c>
      <c r="BC16" s="518" t="str">
        <f>IF(AND(_C="B-767-300ER",'2024'!$D$4="CA",'2024'!$D$2=BC5),'2024DATA'!$L$13,"")</f>
        <v/>
      </c>
      <c r="BD16" s="518" t="str">
        <f>IF(AND(_C="B-767-300ER",'2024'!$D$4="CA",'2024'!$D$2=BD5),'2024DATA'!$M$13,"")</f>
        <v/>
      </c>
      <c r="BE16" s="520" t="str">
        <f>IF(AND(_C="B-767-300ER",'2024'!$D$4="CA",'2024'!$D$2=BE5),'2024DATA'!$N$13,"")</f>
        <v/>
      </c>
      <c r="BF16" s="940" t="s">
        <v>43</v>
      </c>
      <c r="BG16" s="13" t="s">
        <v>61</v>
      </c>
      <c r="BH16" s="518" t="str">
        <f>IF(AND(_D="B-767-300ER",'2024'!$D$4="CA",'2024'!$D$2=BH5),'2024DATA'!$C$13,"")</f>
        <v/>
      </c>
      <c r="BI16" s="518" t="str">
        <f>IF(AND(_D="B-767-300ER",'2024'!$D$4="CA",'2024'!$D$2=BI5),'2024DATA'!$D$13,"")</f>
        <v/>
      </c>
      <c r="BJ16" s="518" t="str">
        <f>IF(AND(_D="B-767-300ER",'2024'!$D$4="CA",'2024'!$D$2=BJ5),'2024DATA'!$E$13,"")</f>
        <v/>
      </c>
      <c r="BK16" s="518" t="str">
        <f>IF(AND(_D="B-767-300ER",'2024'!$D$4="CA",'2024'!$D$2=BK5),'2024DATA'!$F$13,"")</f>
        <v/>
      </c>
      <c r="BL16" s="518" t="str">
        <f>IF(AND(_D="B-767-300ER",'2024'!$D$4="CA",'2024'!$D$2=BL5),'2024DATA'!$G$13,"")</f>
        <v/>
      </c>
      <c r="BM16" s="518" t="str">
        <f>IF(AND(_D="B-767-300ER",'2024'!$D$4="CA",'2024'!$D$2=BM5),'2024DATA'!$H$13,"")</f>
        <v/>
      </c>
      <c r="BN16" s="518" t="str">
        <f>IF(AND(_D="B-767-300ER",'2024'!$D$4="CA",'2024'!$D$2=BN5),'2024DATA'!$I$13,"")</f>
        <v/>
      </c>
      <c r="BO16" s="518" t="str">
        <f>IF(AND(_D="B-767-300ER",'2024'!$D$4="CA",'2024'!$D$2=BO5),'2024DATA'!$J$13,"")</f>
        <v/>
      </c>
      <c r="BP16" s="518" t="str">
        <f>IF(AND(_D="B-767-300ER",'2024'!$D$4="CA",'2024'!$D$2=BP5),'2024DATA'!$K$13,"")</f>
        <v/>
      </c>
      <c r="BQ16" s="518" t="str">
        <f>IF(AND(_D="B-767-300ER",'2024'!$D$4="CA",'2024'!$D$2=BQ5),'2024DATA'!$L$13,"")</f>
        <v/>
      </c>
      <c r="BR16" s="518" t="str">
        <f>IF(AND(_D="B-767-300ER",'2024'!$D$4="CA",'2024'!$D$2=BR5),'2024DATA'!$M$13,"")</f>
        <v/>
      </c>
      <c r="BS16" s="520" t="str">
        <f>IF(AND(_D="B-767-300ER",'2024'!$D$4="CA",'2024'!$D$2=BS5),'2024DATA'!$N$13,"")</f>
        <v/>
      </c>
      <c r="BT16" s="940" t="s">
        <v>43</v>
      </c>
      <c r="BU16" s="13" t="s">
        <v>61</v>
      </c>
      <c r="BV16" s="518" t="str">
        <f>IF(AND(_E="B-767-300ER",'2024'!$D$4="CA",'2024'!$D$2=BV5),'2024DATA'!$C$13,"")</f>
        <v/>
      </c>
      <c r="BW16" s="518" t="str">
        <f>IF(AND(_E="B-767-300ER",'2024'!$D$4="CA",'2024'!$D$2=BW5),'2024DATA'!$D$13,"")</f>
        <v/>
      </c>
      <c r="BX16" s="518" t="str">
        <f>IF(AND(_E="B-767-300ER",'2024'!$D$4="CA",'2024'!$D$2=BX5),'2024DATA'!$E$13,"")</f>
        <v/>
      </c>
      <c r="BY16" s="518" t="str">
        <f>IF(AND(_E="B-767-300ER",'2024'!$D$4="CA",'2024'!$D$2=BY5),'2024DATA'!$F$13,"")</f>
        <v/>
      </c>
      <c r="BZ16" s="518" t="str">
        <f>IF(AND(_E="B-767-300ER",'2024'!$D$4="CA",'2024'!$D$2=BZ5),'2024DATA'!$G$13,"")</f>
        <v/>
      </c>
      <c r="CA16" s="518" t="str">
        <f>IF(AND(_E="B-767-300ER",'2024'!$D$4="CA",'2024'!$D$2=CA5),'2024DATA'!$H$13,"")</f>
        <v/>
      </c>
      <c r="CB16" s="518" t="str">
        <f>IF(AND(_E="B-767-300ER",'2024'!$D$4="CA",'2024'!$D$2=CB5),'2024DATA'!$I$13,"")</f>
        <v/>
      </c>
      <c r="CC16" s="518" t="str">
        <f>IF(AND(_E="B-767-300ER",'2024'!$D$4="CA",'2024'!$D$2=CC5),'2024DATA'!$J$13,"")</f>
        <v/>
      </c>
      <c r="CD16" s="518" t="str">
        <f>IF(AND(_E="B-767-300ER",'2024'!$D$4="CA",'2024'!$D$2=CD5),'2024DATA'!$K$13,"")</f>
        <v/>
      </c>
      <c r="CE16" s="518" t="str">
        <f>IF(AND(_E="B-767-300ER",'2024'!$D$4="CA",'2024'!$D$2=CE5),'2024DATA'!$L$13,"")</f>
        <v/>
      </c>
      <c r="CF16" s="518" t="str">
        <f>IF(AND(_E="B-767-300ER",'2024'!$D$4="CA",'2024'!$D$2=CF5),'2024DATA'!$M$13,"")</f>
        <v/>
      </c>
      <c r="CG16" s="520" t="str">
        <f>IF(AND(_E="B-767-300ER",'2024'!$D$4="CA",'2024'!$D$2=CG5),'2024DATA'!$N$13,"")</f>
        <v/>
      </c>
      <c r="CH16" s="940" t="s">
        <v>43</v>
      </c>
      <c r="CI16" s="13" t="s">
        <v>61</v>
      </c>
      <c r="CJ16" s="518" t="str">
        <f>IF(AND(_F="B-767-300ER",'2024'!$D$4="CA",'2024'!$D$2=CJ5),'2024DATA'!$C$13,"")</f>
        <v/>
      </c>
      <c r="CK16" s="518" t="str">
        <f>IF(AND(_F="B-767-300ER",'2024'!$D$4="CA",'2024'!$D$2=CK5),'2024DATA'!$D$13,"")</f>
        <v/>
      </c>
      <c r="CL16" s="518" t="str">
        <f>IF(AND(_F="B-767-300ER",'2024'!$D$4="CA",'2024'!$D$2=CL5),'2024DATA'!$E$13,"")</f>
        <v/>
      </c>
      <c r="CM16" s="518" t="str">
        <f>IF(AND(_F="B-767-300ER",'2024'!$D$4="CA",'2024'!$D$2=CM5),'2024DATA'!$F$13,"")</f>
        <v/>
      </c>
      <c r="CN16" s="518" t="str">
        <f>IF(AND(_F="B-767-300ER",'2024'!$D$4="CA",'2024'!$D$2=CN5),'2024DATA'!$G$13,"")</f>
        <v/>
      </c>
      <c r="CO16" s="518" t="str">
        <f>IF(AND(_F="B-767-300ER",'2024'!$D$4="CA",'2024'!$D$2=CO5),'2024DATA'!$H$13,"")</f>
        <v/>
      </c>
      <c r="CP16" s="518" t="str">
        <f>IF(AND(_F="B-767-300ER",'2024'!$D$4="CA",'2024'!$D$2=CP5),'2024DATA'!$I$13,"")</f>
        <v/>
      </c>
      <c r="CQ16" s="518" t="str">
        <f>IF(AND(_F="B-767-300ER",'2024'!$D$4="CA",'2024'!$D$2=CQ5),'2024DATA'!$J$13,"")</f>
        <v/>
      </c>
      <c r="CR16" s="518" t="str">
        <f>IF(AND(_F="B-767-300ER",'2024'!$D$4="CA",'2024'!$D$2=CR5),'2024DATA'!$K$13,"")</f>
        <v/>
      </c>
      <c r="CS16" s="518" t="str">
        <f>IF(AND(_F="B-767-300ER",'2024'!$D$4="CA",'2024'!$D$2=CS5),'2024DATA'!$L$13,"")</f>
        <v/>
      </c>
      <c r="CT16" s="518" t="str">
        <f>IF(AND(_F="B-767-300ER",'2024'!$D$4="CA",'2024'!$D$2=CT5),'2024DATA'!$M$13,"")</f>
        <v/>
      </c>
      <c r="CU16" s="520" t="str">
        <f>IF(AND(_F="B-767-300ER",'2024'!$D$4="CA",'2024'!$D$2=CU5),'2024DATA'!$N$13,"")</f>
        <v/>
      </c>
    </row>
    <row r="17" spans="1:99" x14ac:dyDescent="0.25">
      <c r="A17" s="987" t="s">
        <v>68</v>
      </c>
      <c r="B17" s="64" t="s">
        <v>61</v>
      </c>
      <c r="C17" s="494">
        <v>374.36</v>
      </c>
      <c r="D17" s="473">
        <v>370.54</v>
      </c>
      <c r="E17" s="473">
        <v>366.59</v>
      </c>
      <c r="F17" s="473">
        <v>362.69</v>
      </c>
      <c r="G17" s="473">
        <v>360.13</v>
      </c>
      <c r="H17" s="473">
        <v>357.17</v>
      </c>
      <c r="I17" s="473">
        <v>354.55</v>
      </c>
      <c r="J17" s="473">
        <v>351.81</v>
      </c>
      <c r="K17" s="473">
        <v>348.84</v>
      </c>
      <c r="L17" s="473">
        <v>346.03</v>
      </c>
      <c r="M17" s="473">
        <v>343.25</v>
      </c>
      <c r="N17" s="495">
        <v>340.36</v>
      </c>
      <c r="P17" s="940"/>
      <c r="Q17" s="13" t="s">
        <v>62</v>
      </c>
      <c r="R17" s="518" t="str">
        <f>IF(AND(_A="B-767-300ER",'2024'!$D$4="FO",'2024'!$D$2=R5),'2024DATA'!$C$14,"")</f>
        <v/>
      </c>
      <c r="S17" s="518" t="str">
        <f>IF(AND(_A="B-767-300ER",'2024'!$D$4="FO",'2024'!$D$2=S5),'2024DATA'!$D$14,"")</f>
        <v/>
      </c>
      <c r="T17" s="518" t="str">
        <f>IF(AND(_A="B-767-300ER",'2024'!$D$4="FO",'2024'!$D$2=T5),'2024DATA'!$E$14,"")</f>
        <v/>
      </c>
      <c r="U17" s="518" t="str">
        <f>IF(AND(_A="B-767-300ER",'2024'!$D$4="FO",'2024'!$D$2=U5),'2024DATA'!$F$14,"")</f>
        <v/>
      </c>
      <c r="V17" s="518" t="str">
        <f>IF(AND(_A="B-767-300ER",'2024'!$D$4="FO",'2024'!$D$2=V5),'2024DATA'!$G$14,"")</f>
        <v/>
      </c>
      <c r="W17" s="518" t="str">
        <f>IF(AND(_A="B-767-300ER",'2024'!$D$4="FO",'2024'!$D$2=W5),'2024DATA'!$H$14,"")</f>
        <v/>
      </c>
      <c r="X17" s="518" t="str">
        <f>IF(AND(_A="B-767-300ER",'2024'!$D$4="FO",'2024'!$D$2=X5),'2024DATA'!$I$14,"")</f>
        <v/>
      </c>
      <c r="Y17" s="518" t="str">
        <f>IF(AND(_A="B-767-300ER",'2024'!$D$4="FO",'2024'!$D$2=Y5),'2024DATA'!$J$14,"")</f>
        <v/>
      </c>
      <c r="Z17" s="518" t="str">
        <f>IF(AND(_A="B-767-300ER",'2024'!$D$4="FO",'2024'!$D$2=Z5),'2024DATA'!$K$14,"")</f>
        <v/>
      </c>
      <c r="AA17" s="518" t="str">
        <f>IF(AND(_A="B-767-300ER",'2024'!$D$4="FO",'2024'!$D$2=AA5),'2024DATA'!$L$14,"")</f>
        <v/>
      </c>
      <c r="AB17" s="518" t="str">
        <f>IF(AND(_A="B-767-300ER",'2024'!$D$4="FO",'2024'!$D$2=AB5),'2024DATA'!$M$14,"")</f>
        <v/>
      </c>
      <c r="AC17" s="520" t="str">
        <f>IF(AND(_A="B-767-300ER",'2024'!$D$4="FO",'2024'!$D$2=AC5),'2024DATA'!$N$14,"")</f>
        <v/>
      </c>
      <c r="AD17" s="940"/>
      <c r="AE17" s="13" t="s">
        <v>62</v>
      </c>
      <c r="AF17" s="518" t="str">
        <f>IF(AND(_B="B-767-300ER",'2024'!$D$4="FO",'2024'!$D$2=AF5),'2024DATA'!$C$14,"")</f>
        <v/>
      </c>
      <c r="AG17" s="518" t="str">
        <f>IF(AND(_B="B-767-300ER",'2024'!$D$4="FO",'2024'!$D$2=AG5),'2024DATA'!$D$14,"")</f>
        <v/>
      </c>
      <c r="AH17" s="518" t="str">
        <f>IF(AND(_B="B-767-300ER",'2024'!$D$4="FO",'2024'!$D$2=AH5),'2024DATA'!$E$14,"")</f>
        <v/>
      </c>
      <c r="AI17" s="518" t="str">
        <f>IF(AND(_B="B-767-300ER",'2024'!$D$4="FO",'2024'!$D$2=AI5),'2024DATA'!$F$14,"")</f>
        <v/>
      </c>
      <c r="AJ17" s="518" t="str">
        <f>IF(AND(_B="B-767-300ER",'2024'!$D$4="FO",'2024'!$D$2=AJ5),'2024DATA'!$G$14,"")</f>
        <v/>
      </c>
      <c r="AK17" s="518" t="str">
        <f>IF(AND(_B="B-767-300ER",'2024'!$D$4="FO",'2024'!$D$2=AK5),'2024DATA'!$H$14,"")</f>
        <v/>
      </c>
      <c r="AL17" s="518" t="str">
        <f>IF(AND(_B="B-767-300ER",'2024'!$D$4="FO",'2024'!$D$2=AL5),'2024DATA'!$I$14,"")</f>
        <v/>
      </c>
      <c r="AM17" s="518" t="str">
        <f>IF(AND(_B="B-767-300ER",'2024'!$D$4="FO",'2024'!$D$2=AM5),'2024DATA'!$J$14,"")</f>
        <v/>
      </c>
      <c r="AN17" s="518" t="str">
        <f>IF(AND(_B="B-767-300ER",'2024'!$D$4="FO",'2024'!$D$2=AN5),'2024DATA'!$K$14,"")</f>
        <v/>
      </c>
      <c r="AO17" s="518" t="str">
        <f>IF(AND(_B="B-767-300ER",'2024'!$D$4="FO",'2024'!$D$2=AO5),'2024DATA'!$L$14,"")</f>
        <v/>
      </c>
      <c r="AP17" s="518" t="str">
        <f>IF(AND(_B="B-767-300ER",'2024'!$D$4="FO",'2024'!$D$2=AP5),'2024DATA'!$M$14,"")</f>
        <v/>
      </c>
      <c r="AQ17" s="520" t="str">
        <f>IF(AND(_B="B-767-300ER",'2024'!$D$4="FO",'2024'!$D$2=AQ5),'2024DATA'!$N$14,"")</f>
        <v/>
      </c>
      <c r="AR17" s="940"/>
      <c r="AS17" s="13" t="s">
        <v>62</v>
      </c>
      <c r="AT17" s="518" t="str">
        <f>IF(AND(_C="B-767-300ER",'2024'!$D$4="FO",'2024'!$D$2=AT5),'2024DATA'!$C$14,"")</f>
        <v/>
      </c>
      <c r="AU17" s="518" t="str">
        <f>IF(AND(_C="B-767-300ER",'2024'!$D$4="FO",'2024'!$D$2=AU5),'2024DATA'!$D$14,"")</f>
        <v/>
      </c>
      <c r="AV17" s="518" t="str">
        <f>IF(AND(_C="B-767-300ER",'2024'!$D$4="FO",'2024'!$D$2=AV5),'2024DATA'!$E$14,"")</f>
        <v/>
      </c>
      <c r="AW17" s="518" t="str">
        <f>IF(AND(_C="B-767-300ER",'2024'!$D$4="FO",'2024'!$D$2=AW5),'2024DATA'!$F$14,"")</f>
        <v/>
      </c>
      <c r="AX17" s="518" t="str">
        <f>IF(AND(_C="B-767-300ER",'2024'!$D$4="FO",'2024'!$D$2=AX5),'2024DATA'!$G$14,"")</f>
        <v/>
      </c>
      <c r="AY17" s="518" t="str">
        <f>IF(AND(_C="B-767-300ER",'2024'!$D$4="FO",'2024'!$D$2=AY5),'2024DATA'!$H$14,"")</f>
        <v/>
      </c>
      <c r="AZ17" s="518" t="str">
        <f>IF(AND(_C="B-767-300ER",'2024'!$D$4="FO",'2024'!$D$2=AZ5),'2024DATA'!$I$14,"")</f>
        <v/>
      </c>
      <c r="BA17" s="518" t="str">
        <f>IF(AND(_C="B-767-300ER",'2024'!$D$4="FO",'2024'!$D$2=BA5),'2024DATA'!$J$14,"")</f>
        <v/>
      </c>
      <c r="BB17" s="518" t="str">
        <f>IF(AND(_C="B-767-300ER",'2024'!$D$4="FO",'2024'!$D$2=BB5),'2024DATA'!$K$14,"")</f>
        <v/>
      </c>
      <c r="BC17" s="518" t="str">
        <f>IF(AND(_C="B-767-300ER",'2024'!$D$4="FO",'2024'!$D$2=BC5),'2024DATA'!$L$14,"")</f>
        <v/>
      </c>
      <c r="BD17" s="518" t="str">
        <f>IF(AND(_C="B-767-300ER",'2024'!$D$4="FO",'2024'!$D$2=BD5),'2024DATA'!$M$14,"")</f>
        <v/>
      </c>
      <c r="BE17" s="520" t="str">
        <f>IF(AND(_C="B-767-300ER",'2024'!$D$4="FO",'2024'!$D$2=BE5),'2024DATA'!$N$14,"")</f>
        <v/>
      </c>
      <c r="BF17" s="940"/>
      <c r="BG17" s="13" t="s">
        <v>62</v>
      </c>
      <c r="BH17" s="518" t="str">
        <f>IF(AND(_D="B-767-300ER",'2024'!$D$4="FO",'2024'!$D$2=BH5),'2024DATA'!$C$14,"")</f>
        <v/>
      </c>
      <c r="BI17" s="518" t="str">
        <f>IF(AND(_D="B-767-300ER",'2024'!$D$4="FO",'2024'!$D$2=BI5),'2024DATA'!$D$14,"")</f>
        <v/>
      </c>
      <c r="BJ17" s="518" t="str">
        <f>IF(AND(_D="B-767-300ER",'2024'!$D$4="FO",'2024'!$D$2=BJ5),'2024DATA'!$E$14,"")</f>
        <v/>
      </c>
      <c r="BK17" s="518" t="str">
        <f>IF(AND(_D="B-767-300ER",'2024'!$D$4="FO",'2024'!$D$2=BK5),'2024DATA'!$F$14,"")</f>
        <v/>
      </c>
      <c r="BL17" s="518" t="str">
        <f>IF(AND(_D="B-767-300ER",'2024'!$D$4="FO",'2024'!$D$2=BL5),'2024DATA'!$G$14,"")</f>
        <v/>
      </c>
      <c r="BM17" s="518" t="str">
        <f>IF(AND(_D="B-767-300ER",'2024'!$D$4="FO",'2024'!$D$2=BM5),'2024DATA'!$H$14,"")</f>
        <v/>
      </c>
      <c r="BN17" s="518" t="str">
        <f>IF(AND(_D="B-767-300ER",'2024'!$D$4="FO",'2024'!$D$2=BN5),'2024DATA'!$I$14,"")</f>
        <v/>
      </c>
      <c r="BO17" s="518" t="str">
        <f>IF(AND(_D="B-767-300ER",'2024'!$D$4="FO",'2024'!$D$2=BO5),'2024DATA'!$J$14,"")</f>
        <v/>
      </c>
      <c r="BP17" s="518" t="str">
        <f>IF(AND(_D="B-767-300ER",'2024'!$D$4="FO",'2024'!$D$2=BP5),'2024DATA'!$K$14,"")</f>
        <v/>
      </c>
      <c r="BQ17" s="518" t="str">
        <f>IF(AND(_D="B-767-300ER",'2024'!$D$4="FO",'2024'!$D$2=BQ5),'2024DATA'!$L$14,"")</f>
        <v/>
      </c>
      <c r="BR17" s="518" t="str">
        <f>IF(AND(_D="B-767-300ER",'2024'!$D$4="FO",'2024'!$D$2=BR5),'2024DATA'!$M$14,"")</f>
        <v/>
      </c>
      <c r="BS17" s="520" t="str">
        <f>IF(AND(_D="B-767-300ER",'2024'!$D$4="FO",'2024'!$D$2=BS5),'2024DATA'!$N$14,"")</f>
        <v/>
      </c>
      <c r="BT17" s="940"/>
      <c r="BU17" s="13" t="s">
        <v>62</v>
      </c>
      <c r="BV17" s="518" t="str">
        <f>IF(AND(_E="B-767-300ER",'2024'!$D$4="FO",'2024'!$D$2=BV5),'2024DATA'!$C$14,"")</f>
        <v/>
      </c>
      <c r="BW17" s="518" t="str">
        <f>IF(AND(_E="B-767-300ER",'2024'!$D$4="FO",'2024'!$D$2=BW5),'2024DATA'!$D$14,"")</f>
        <v/>
      </c>
      <c r="BX17" s="518" t="str">
        <f>IF(AND(_E="B-767-300ER",'2024'!$D$4="FO",'2024'!$D$2=BX5),'2024DATA'!$E$14,"")</f>
        <v/>
      </c>
      <c r="BY17" s="518" t="str">
        <f>IF(AND(_E="B-767-300ER",'2024'!$D$4="FO",'2024'!$D$2=BY5),'2024DATA'!$F$14,"")</f>
        <v/>
      </c>
      <c r="BZ17" s="518" t="str">
        <f>IF(AND(_E="B-767-300ER",'2024'!$D$4="FO",'2024'!$D$2=BZ5),'2024DATA'!$G$14,"")</f>
        <v/>
      </c>
      <c r="CA17" s="518" t="str">
        <f>IF(AND(_E="B-767-300ER",'2024'!$D$4="FO",'2024'!$D$2=CA5),'2024DATA'!$H$14,"")</f>
        <v/>
      </c>
      <c r="CB17" s="518" t="str">
        <f>IF(AND(_E="B-767-300ER",'2024'!$D$4="FO",'2024'!$D$2=CB5),'2024DATA'!$I$14,"")</f>
        <v/>
      </c>
      <c r="CC17" s="518" t="str">
        <f>IF(AND(_E="B-767-300ER",'2024'!$D$4="FO",'2024'!$D$2=CC5),'2024DATA'!$J$14,"")</f>
        <v/>
      </c>
      <c r="CD17" s="518" t="str">
        <f>IF(AND(_E="B-767-300ER",'2024'!$D$4="FO",'2024'!$D$2=CD5),'2024DATA'!$K$14,"")</f>
        <v/>
      </c>
      <c r="CE17" s="518" t="str">
        <f>IF(AND(_E="B-767-300ER",'2024'!$D$4="FO",'2024'!$D$2=CE5),'2024DATA'!$L$14,"")</f>
        <v/>
      </c>
      <c r="CF17" s="518" t="str">
        <f>IF(AND(_E="B-767-300ER",'2024'!$D$4="FO",'2024'!$D$2=CF5),'2024DATA'!$M$14,"")</f>
        <v/>
      </c>
      <c r="CG17" s="520" t="str">
        <f>IF(AND(_E="B-767-300ER",'2024'!$D$4="FO",'2024'!$D$2=CG5),'2024DATA'!$N$14,"")</f>
        <v/>
      </c>
      <c r="CH17" s="940"/>
      <c r="CI17" s="13" t="s">
        <v>62</v>
      </c>
      <c r="CJ17" s="518" t="str">
        <f>IF(AND(_F="B-767-300ER",'2024'!$D$4="FO",'2024'!$D$2=CJ5),'2024DATA'!$C$14,"")</f>
        <v/>
      </c>
      <c r="CK17" s="518" t="str">
        <f>IF(AND(_F="B-767-300ER",'2024'!$D$4="FO",'2024'!$D$2=CK5),'2024DATA'!$D$14,"")</f>
        <v/>
      </c>
      <c r="CL17" s="518" t="str">
        <f>IF(AND(_F="B-767-300ER",'2024'!$D$4="FO",'2024'!$D$2=CL5),'2024DATA'!$E$14,"")</f>
        <v/>
      </c>
      <c r="CM17" s="518" t="str">
        <f>IF(AND(_F="B-767-300ER",'2024'!$D$4="FO",'2024'!$D$2=CM5),'2024DATA'!$F$14,"")</f>
        <v/>
      </c>
      <c r="CN17" s="518" t="str">
        <f>IF(AND(_F="B-767-300ER",'2024'!$D$4="FO",'2024'!$D$2=CN5),'2024DATA'!$G$14,"")</f>
        <v/>
      </c>
      <c r="CO17" s="518" t="str">
        <f>IF(AND(_F="B-767-300ER",'2024'!$D$4="FO",'2024'!$D$2=CO5),'2024DATA'!$H$14,"")</f>
        <v/>
      </c>
      <c r="CP17" s="518" t="str">
        <f>IF(AND(_F="B-767-300ER",'2024'!$D$4="FO",'2024'!$D$2=CP5),'2024DATA'!$I$14,"")</f>
        <v/>
      </c>
      <c r="CQ17" s="518" t="str">
        <f>IF(AND(_F="B-767-300ER",'2024'!$D$4="FO",'2024'!$D$2=CQ5),'2024DATA'!$J$14,"")</f>
        <v/>
      </c>
      <c r="CR17" s="518" t="str">
        <f>IF(AND(_F="B-767-300ER",'2024'!$D$4="FO",'2024'!$D$2=CR5),'2024DATA'!$K$14,"")</f>
        <v/>
      </c>
      <c r="CS17" s="518" t="str">
        <f>IF(AND(_F="B-767-300ER",'2024'!$D$4="FO",'2024'!$D$2=CS5),'2024DATA'!$L$14,"")</f>
        <v/>
      </c>
      <c r="CT17" s="518" t="str">
        <f>IF(AND(_F="B-767-300ER",'2024'!$D$4="FO",'2024'!$D$2=CT5),'2024DATA'!$M$14,"")</f>
        <v/>
      </c>
      <c r="CU17" s="520" t="str">
        <f>IF(AND(_F="B-767-300ER",'2024'!$D$4="FO",'2024'!$D$2=CU5),'2024DATA'!$N$14,"")</f>
        <v/>
      </c>
    </row>
    <row r="18" spans="1:99" x14ac:dyDescent="0.25">
      <c r="A18" s="987"/>
      <c r="B18" s="64" t="s">
        <v>62</v>
      </c>
      <c r="C18" s="494">
        <v>255.69</v>
      </c>
      <c r="D18" s="473">
        <v>252.71</v>
      </c>
      <c r="E18" s="473">
        <v>249.64</v>
      </c>
      <c r="F18" s="473">
        <v>245.56</v>
      </c>
      <c r="G18" s="473">
        <v>243.1</v>
      </c>
      <c r="H18" s="473">
        <v>237.53</v>
      </c>
      <c r="I18" s="473">
        <v>231.16</v>
      </c>
      <c r="J18" s="473">
        <v>225.52</v>
      </c>
      <c r="K18" s="473">
        <v>220.13</v>
      </c>
      <c r="L18" s="473">
        <v>214.89</v>
      </c>
      <c r="M18" s="473">
        <v>183.63</v>
      </c>
      <c r="N18" s="495">
        <v>116.05</v>
      </c>
      <c r="P18" s="940" t="s">
        <v>67</v>
      </c>
      <c r="Q18" s="13" t="s">
        <v>61</v>
      </c>
      <c r="R18" s="518" t="str">
        <f>IF(AND(_A="B-767-300",'2024'!$D$4="CA",'2024'!$D$2=R5),'2024DATA'!$C$15,"")</f>
        <v/>
      </c>
      <c r="S18" s="518" t="str">
        <f>IF(AND(_A="B-767-300",'2024'!$D$4="CA",'2024'!$D$2=S5),'2024DATA'!$D$15,"")</f>
        <v/>
      </c>
      <c r="T18" s="518" t="str">
        <f>IF(AND(_A="B-767-300",'2024'!$D$4="CA",'2024'!$D$2=T5),'2024DATA'!$E$15,"")</f>
        <v/>
      </c>
      <c r="U18" s="518" t="str">
        <f>IF(AND(_A="B-767-300",'2024'!$D$4="CA",'2024'!$D$2=U5),'2024DATA'!$F$15,"")</f>
        <v/>
      </c>
      <c r="V18" s="518" t="str">
        <f>IF(AND(_A="B-767-300",'2024'!$D$4="CA",'2024'!$D$2=V5),'2024DATA'!$G$15,"")</f>
        <v/>
      </c>
      <c r="W18" s="518" t="str">
        <f>IF(AND(_A="B-767-300",'2024'!$D$4="CA",'2024'!$D$2=W5),'2024DATA'!$H$15,"")</f>
        <v/>
      </c>
      <c r="X18" s="518" t="str">
        <f>IF(AND(_A="B-767-300",'2024'!$D$4="CA",'2024'!$D$2=X5),'2024DATA'!$I$15,"")</f>
        <v/>
      </c>
      <c r="Y18" s="518" t="str">
        <f>IF(AND(_A="B-767-300",'2024'!$D$4="CA",'2024'!$D$2=Y5),'2024DATA'!$J$15,"")</f>
        <v/>
      </c>
      <c r="Z18" s="518" t="str">
        <f>IF(AND(_A="B-767-300",'2024'!$D$4="CA",'2024'!$D$2=Z5),'2024DATA'!$K$15,"")</f>
        <v/>
      </c>
      <c r="AA18" s="518" t="str">
        <f>IF(AND(_A="B-767-300",'2024'!$D$4="CA",'2024'!$D$2=AA5),'2024DATA'!$L$15,"")</f>
        <v/>
      </c>
      <c r="AB18" s="518" t="str">
        <f>IF(AND(_A="B-767-300",'2024'!$D$4="CA",'2024'!$D$2=AB5),'2024DATA'!$M$15,"")</f>
        <v/>
      </c>
      <c r="AC18" s="520" t="str">
        <f>IF(AND(_A="B-767-300",'2024'!$D$4="CA",'2024'!$D$2=AC5),'2024DATA'!$N$15,"")</f>
        <v/>
      </c>
      <c r="AD18" s="940" t="s">
        <v>67</v>
      </c>
      <c r="AE18" s="13" t="s">
        <v>61</v>
      </c>
      <c r="AF18" s="518" t="str">
        <f>IF(AND(_B="B-767-300",'2024'!$D$4="CA",'2024'!$D$2=AF5),'2024DATA'!$C$15,"")</f>
        <v/>
      </c>
      <c r="AG18" s="518" t="str">
        <f>IF(AND(_B="B-767-300",'2024'!$D$4="CA",'2024'!$D$2=AG5),'2024DATA'!$D$15,"")</f>
        <v/>
      </c>
      <c r="AH18" s="518" t="str">
        <f>IF(AND(_B="B-767-300",'2024'!$D$4="CA",'2024'!$D$2=AH5),'2024DATA'!$E$15,"")</f>
        <v/>
      </c>
      <c r="AI18" s="518" t="str">
        <f>IF(AND(_B="B-767-300",'2024'!$D$4="CA",'2024'!$D$2=AI5),'2024DATA'!$F$15,"")</f>
        <v/>
      </c>
      <c r="AJ18" s="518" t="str">
        <f>IF(AND(_B="B-767-300",'2024'!$D$4="CA",'2024'!$D$2=AJ5),'2024DATA'!$G$15,"")</f>
        <v/>
      </c>
      <c r="AK18" s="518" t="str">
        <f>IF(AND(_B="B-767-300",'2024'!$D$4="CA",'2024'!$D$2=AK5),'2024DATA'!$H$15,"")</f>
        <v/>
      </c>
      <c r="AL18" s="518" t="str">
        <f>IF(AND(_B="B-767-300",'2024'!$D$4="CA",'2024'!$D$2=AL5),'2024DATA'!$I$15,"")</f>
        <v/>
      </c>
      <c r="AM18" s="518" t="str">
        <f>IF(AND(_B="B-767-300",'2024'!$D$4="CA",'2024'!$D$2=AM5),'2024DATA'!$J$15,"")</f>
        <v/>
      </c>
      <c r="AN18" s="518" t="str">
        <f>IF(AND(_B="B-767-300",'2024'!$D$4="CA",'2024'!$D$2=AN5),'2024DATA'!$K$15,"")</f>
        <v/>
      </c>
      <c r="AO18" s="518" t="str">
        <f>IF(AND(_B="B-767-300",'2024'!$D$4="CA",'2024'!$D$2=AO5),'2024DATA'!$L$15,"")</f>
        <v/>
      </c>
      <c r="AP18" s="518" t="str">
        <f>IF(AND(_B="B-767-300",'2024'!$D$4="CA",'2024'!$D$2=AP5),'2024DATA'!$M$15,"")</f>
        <v/>
      </c>
      <c r="AQ18" s="520" t="str">
        <f>IF(AND(_B="B-767-300",'2024'!$D$4="CA",'2024'!$D$2=AQ5),'2024DATA'!$N$15,"")</f>
        <v/>
      </c>
      <c r="AR18" s="940" t="s">
        <v>67</v>
      </c>
      <c r="AS18" s="13" t="s">
        <v>61</v>
      </c>
      <c r="AT18" s="518" t="str">
        <f>IF(AND(_C="B-767-300",'2024'!$D$4="CA",'2024'!$D$2=AT5),'2024DATA'!$C$15,"")</f>
        <v/>
      </c>
      <c r="AU18" s="518" t="str">
        <f>IF(AND(_C="B-767-300",'2024'!$D$4="CA",'2024'!$D$2=AU5),'2024DATA'!$D$15,"")</f>
        <v/>
      </c>
      <c r="AV18" s="518" t="str">
        <f>IF(AND(_C="B-767-300",'2024'!$D$4="CA",'2024'!$D$2=AV5),'2024DATA'!$E$15,"")</f>
        <v/>
      </c>
      <c r="AW18" s="518" t="str">
        <f>IF(AND(_C="B-767-300",'2024'!$D$4="CA",'2024'!$D$2=AW5),'2024DATA'!$F$15,"")</f>
        <v/>
      </c>
      <c r="AX18" s="518" t="str">
        <f>IF(AND(_C="B-767-300",'2024'!$D$4="CA",'2024'!$D$2=AX5),'2024DATA'!$G$15,"")</f>
        <v/>
      </c>
      <c r="AY18" s="518" t="str">
        <f>IF(AND(_C="B-767-300",'2024'!$D$4="CA",'2024'!$D$2=AY5),'2024DATA'!$H$15,"")</f>
        <v/>
      </c>
      <c r="AZ18" s="518" t="str">
        <f>IF(AND(_C="B-767-300",'2024'!$D$4="CA",'2024'!$D$2=AZ5),'2024DATA'!$I$15,"")</f>
        <v/>
      </c>
      <c r="BA18" s="518" t="str">
        <f>IF(AND(_C="B-767-300",'2024'!$D$4="CA",'2024'!$D$2=BA5),'2024DATA'!$J$15,"")</f>
        <v/>
      </c>
      <c r="BB18" s="518" t="str">
        <f>IF(AND(_C="B-767-300",'2024'!$D$4="CA",'2024'!$D$2=BB5),'2024DATA'!$K$15,"")</f>
        <v/>
      </c>
      <c r="BC18" s="518" t="str">
        <f>IF(AND(_C="B-767-300",'2024'!$D$4="CA",'2024'!$D$2=BC5),'2024DATA'!$L$15,"")</f>
        <v/>
      </c>
      <c r="BD18" s="518" t="str">
        <f>IF(AND(_C="B-767-300",'2024'!$D$4="CA",'2024'!$D$2=BD5),'2024DATA'!$M$15,"")</f>
        <v/>
      </c>
      <c r="BE18" s="520" t="str">
        <f>IF(AND(_C="B-767-300",'2024'!$D$4="CA",'2024'!$D$2=BE5),'2024DATA'!$N$15,"")</f>
        <v/>
      </c>
      <c r="BF18" s="940" t="s">
        <v>67</v>
      </c>
      <c r="BG18" s="13" t="s">
        <v>61</v>
      </c>
      <c r="BH18" s="518" t="str">
        <f>IF(AND(_D="B-767-300",'2024'!$D$4="CA",'2024'!$D$2=BH5),'2024DATA'!$C$15,"")</f>
        <v/>
      </c>
      <c r="BI18" s="518" t="str">
        <f>IF(AND(_D="B-767-300",'2024'!$D$4="CA",'2024'!$D$2=BI5),'2024DATA'!$D$15,"")</f>
        <v/>
      </c>
      <c r="BJ18" s="518" t="str">
        <f>IF(AND(_D="B-767-300",'2024'!$D$4="CA",'2024'!$D$2=BJ5),'2024DATA'!$E$15,"")</f>
        <v/>
      </c>
      <c r="BK18" s="518" t="str">
        <f>IF(AND(_D="B-767-300",'2024'!$D$4="CA",'2024'!$D$2=BK5),'2024DATA'!$F$15,"")</f>
        <v/>
      </c>
      <c r="BL18" s="518" t="str">
        <f>IF(AND(_D="B-767-300",'2024'!$D$4="CA",'2024'!$D$2=BL5),'2024DATA'!$G$15,"")</f>
        <v/>
      </c>
      <c r="BM18" s="518" t="str">
        <f>IF(AND(_D="B-767-300",'2024'!$D$4="CA",'2024'!$D$2=BM5),'2024DATA'!$H$15,"")</f>
        <v/>
      </c>
      <c r="BN18" s="518" t="str">
        <f>IF(AND(_D="B-767-300",'2024'!$D$4="CA",'2024'!$D$2=BN5),'2024DATA'!$I$15,"")</f>
        <v/>
      </c>
      <c r="BO18" s="518" t="str">
        <f>IF(AND(_D="B-767-300",'2024'!$D$4="CA",'2024'!$D$2=BO5),'2024DATA'!$J$15,"")</f>
        <v/>
      </c>
      <c r="BP18" s="518" t="str">
        <f>IF(AND(_D="B-767-300",'2024'!$D$4="CA",'2024'!$D$2=BP5),'2024DATA'!$K$15,"")</f>
        <v/>
      </c>
      <c r="BQ18" s="518" t="str">
        <f>IF(AND(_D="B-767-300",'2024'!$D$4="CA",'2024'!$D$2=BQ5),'2024DATA'!$L$15,"")</f>
        <v/>
      </c>
      <c r="BR18" s="518" t="str">
        <f>IF(AND(_D="B-767-300",'2024'!$D$4="CA",'2024'!$D$2=BR5),'2024DATA'!$M$15,"")</f>
        <v/>
      </c>
      <c r="BS18" s="520" t="str">
        <f>IF(AND(_D="B-767-300",'2024'!$D$4="CA",'2024'!$D$2=BS5),'2024DATA'!$N$15,"")</f>
        <v/>
      </c>
      <c r="BT18" s="940" t="s">
        <v>67</v>
      </c>
      <c r="BU18" s="13" t="s">
        <v>61</v>
      </c>
      <c r="BV18" s="518" t="str">
        <f>IF(AND(_E="B-767-300",'2024'!$D$4="CA",'2024'!$D$2=BV5),'2024DATA'!$C$15,"")</f>
        <v/>
      </c>
      <c r="BW18" s="518" t="str">
        <f>IF(AND(_E="B-767-300",'2024'!$D$4="CA",'2024'!$D$2=BW5),'2024DATA'!$D$15,"")</f>
        <v/>
      </c>
      <c r="BX18" s="518" t="str">
        <f>IF(AND(_E="B-767-300",'2024'!$D$4="CA",'2024'!$D$2=BX5),'2024DATA'!$E$15,"")</f>
        <v/>
      </c>
      <c r="BY18" s="518" t="str">
        <f>IF(AND(_E="B-767-300",'2024'!$D$4="CA",'2024'!$D$2=BY5),'2024DATA'!$F$15,"")</f>
        <v/>
      </c>
      <c r="BZ18" s="518" t="str">
        <f>IF(AND(_E="B-767-300",'2024'!$D$4="CA",'2024'!$D$2=BZ5),'2024DATA'!$G$15,"")</f>
        <v/>
      </c>
      <c r="CA18" s="518" t="str">
        <f>IF(AND(_E="B-767-300",'2024'!$D$4="CA",'2024'!$D$2=CA5),'2024DATA'!$H$15,"")</f>
        <v/>
      </c>
      <c r="CB18" s="518" t="str">
        <f>IF(AND(_E="B-767-300",'2024'!$D$4="CA",'2024'!$D$2=CB5),'2024DATA'!$I$15,"")</f>
        <v/>
      </c>
      <c r="CC18" s="518" t="str">
        <f>IF(AND(_E="B-767-300",'2024'!$D$4="CA",'2024'!$D$2=CC5),'2024DATA'!$J$15,"")</f>
        <v/>
      </c>
      <c r="CD18" s="518" t="str">
        <f>IF(AND(_E="B-767-300",'2024'!$D$4="CA",'2024'!$D$2=CD5),'2024DATA'!$K$15,"")</f>
        <v/>
      </c>
      <c r="CE18" s="518" t="str">
        <f>IF(AND(_E="B-767-300",'2024'!$D$4="CA",'2024'!$D$2=CE5),'2024DATA'!$L$15,"")</f>
        <v/>
      </c>
      <c r="CF18" s="518" t="str">
        <f>IF(AND(_E="B-767-300",'2024'!$D$4="CA",'2024'!$D$2=CF5),'2024DATA'!$M$15,"")</f>
        <v/>
      </c>
      <c r="CG18" s="520" t="str">
        <f>IF(AND(_E="B-767-300",'2024'!$D$4="CA",'2024'!$D$2=CG5),'2024DATA'!$N$15,"")</f>
        <v/>
      </c>
      <c r="CH18" s="940" t="s">
        <v>67</v>
      </c>
      <c r="CI18" s="13" t="s">
        <v>61</v>
      </c>
      <c r="CJ18" s="518" t="str">
        <f>IF(AND(_F="B-767-300",'2024'!$D$4="CA",'2024'!$D$2=CJ5),'2024DATA'!$C$15,"")</f>
        <v/>
      </c>
      <c r="CK18" s="518" t="str">
        <f>IF(AND(_F="B-767-300",'2024'!$D$4="CA",'2024'!$D$2=CK5),'2024DATA'!$D$15,"")</f>
        <v/>
      </c>
      <c r="CL18" s="518" t="str">
        <f>IF(AND(_F="B-767-300",'2024'!$D$4="CA",'2024'!$D$2=CL5),'2024DATA'!$E$15,"")</f>
        <v/>
      </c>
      <c r="CM18" s="518" t="str">
        <f>IF(AND(_F="B-767-300",'2024'!$D$4="CA",'2024'!$D$2=CM5),'2024DATA'!$F$15,"")</f>
        <v/>
      </c>
      <c r="CN18" s="518" t="str">
        <f>IF(AND(_F="B-767-300",'2024'!$D$4="CA",'2024'!$D$2=CN5),'2024DATA'!$G$15,"")</f>
        <v/>
      </c>
      <c r="CO18" s="518" t="str">
        <f>IF(AND(_F="B-767-300",'2024'!$D$4="CA",'2024'!$D$2=CO5),'2024DATA'!$H$15,"")</f>
        <v/>
      </c>
      <c r="CP18" s="518" t="str">
        <f>IF(AND(_F="B-767-300",'2024'!$D$4="CA",'2024'!$D$2=CP5),'2024DATA'!$I$15,"")</f>
        <v/>
      </c>
      <c r="CQ18" s="518" t="str">
        <f>IF(AND(_F="B-767-300",'2024'!$D$4="CA",'2024'!$D$2=CQ5),'2024DATA'!$J$15,"")</f>
        <v/>
      </c>
      <c r="CR18" s="518" t="str">
        <f>IF(AND(_F="B-767-300",'2024'!$D$4="CA",'2024'!$D$2=CR5),'2024DATA'!$K$15,"")</f>
        <v/>
      </c>
      <c r="CS18" s="518" t="str">
        <f>IF(AND(_F="B-767-300",'2024'!$D$4="CA",'2024'!$D$2=CS5),'2024DATA'!$L$15,"")</f>
        <v/>
      </c>
      <c r="CT18" s="518" t="str">
        <f>IF(AND(_F="B-767-300",'2024'!$D$4="CA",'2024'!$D$2=CT5),'2024DATA'!$M$15,"")</f>
        <v/>
      </c>
      <c r="CU18" s="520" t="str">
        <f>IF(AND(_F="B-767-300",'2024'!$D$4="CA",'2024'!$D$2=CU5),'2024DATA'!$N$15,"")</f>
        <v/>
      </c>
    </row>
    <row r="19" spans="1:99" x14ac:dyDescent="0.25">
      <c r="A19" s="987" t="s">
        <v>45</v>
      </c>
      <c r="B19" s="64" t="s">
        <v>61</v>
      </c>
      <c r="C19" s="494">
        <v>374.36</v>
      </c>
      <c r="D19" s="473">
        <v>370.54</v>
      </c>
      <c r="E19" s="473">
        <v>366.59</v>
      </c>
      <c r="F19" s="473">
        <v>362.69</v>
      </c>
      <c r="G19" s="473">
        <v>360.13</v>
      </c>
      <c r="H19" s="473">
        <v>357.17</v>
      </c>
      <c r="I19" s="473">
        <v>354.55</v>
      </c>
      <c r="J19" s="473">
        <v>351.81</v>
      </c>
      <c r="K19" s="473">
        <v>348.84</v>
      </c>
      <c r="L19" s="473">
        <v>346.03</v>
      </c>
      <c r="M19" s="473">
        <v>343.25</v>
      </c>
      <c r="N19" s="495">
        <v>340.36</v>
      </c>
      <c r="P19" s="940"/>
      <c r="Q19" s="13" t="s">
        <v>62</v>
      </c>
      <c r="R19" s="518" t="str">
        <f>IF(AND(_A="B-767-300",'2024'!$D$4="FO",'2024'!$D$2=R5),'2024DATA'!$C$16,"")</f>
        <v/>
      </c>
      <c r="S19" s="518" t="str">
        <f>IF(AND(_A="B-767-300",'2024'!$D$4="FO",'2024'!$D$2=S5),'2024DATA'!$D$16,"")</f>
        <v/>
      </c>
      <c r="T19" s="518" t="str">
        <f>IF(AND(_A="B-767-300",'2024'!$D$4="FO",'2024'!$D$2=T5),'2024DATA'!$E$16,"")</f>
        <v/>
      </c>
      <c r="U19" s="518" t="str">
        <f>IF(AND(_A="B-767-300",'2024'!$D$4="FO",'2024'!$D$2=U5),'2024DATA'!$F$16,"")</f>
        <v/>
      </c>
      <c r="V19" s="518" t="str">
        <f>IF(AND(_A="B-767-300",'2024'!$D$4="FO",'2024'!$D$2=V5),'2024DATA'!$G$16,"")</f>
        <v/>
      </c>
      <c r="W19" s="518" t="str">
        <f>IF(AND(_A="B-767-300",'2024'!$D$4="FO",'2024'!$D$2=W5),'2024DATA'!$H$16,"")</f>
        <v/>
      </c>
      <c r="X19" s="518" t="str">
        <f>IF(AND(_A="B-767-300",'2024'!$D$4="FO",'2024'!$D$2=X5),'2024DATA'!$I$16,"")</f>
        <v/>
      </c>
      <c r="Y19" s="518" t="str">
        <f>IF(AND(_A="B-767-300",'2024'!$D$4="FO",'2024'!$D$2=Y5),'2024DATA'!$J$16,"")</f>
        <v/>
      </c>
      <c r="Z19" s="518" t="str">
        <f>IF(AND(_A="B-767-300",'2024'!$D$4="FO",'2024'!$D$2=Z5),'2024DATA'!$K$16,"")</f>
        <v/>
      </c>
      <c r="AA19" s="518" t="str">
        <f>IF(AND(_A="B-767-300",'2024'!$D$4="FO",'2024'!$D$2=AA5),'2024DATA'!$L$16,"")</f>
        <v/>
      </c>
      <c r="AB19" s="518" t="str">
        <f>IF(AND(_A="B-767-300",'2024'!$D$4="FO",'2024'!$D$2=AB5),'2024DATA'!$M$16,"")</f>
        <v/>
      </c>
      <c r="AC19" s="520" t="str">
        <f>IF(AND(_A="B-767-300",'2024'!$D$4="FO",'2024'!$D$2=AC5),'2024DATA'!$N$16,"")</f>
        <v/>
      </c>
      <c r="AD19" s="940"/>
      <c r="AE19" s="13" t="s">
        <v>62</v>
      </c>
      <c r="AF19" s="518" t="str">
        <f>IF(AND(_B="B-767-300",'2024'!$D$4="FO",'2024'!$D$2=AF5),'2024DATA'!$C$16,"")</f>
        <v/>
      </c>
      <c r="AG19" s="518" t="str">
        <f>IF(AND(_B="B-767-300",'2024'!$D$4="FO",'2024'!$D$2=AG5),'2024DATA'!$D$16,"")</f>
        <v/>
      </c>
      <c r="AH19" s="518" t="str">
        <f>IF(AND(_B="B-767-300",'2024'!$D$4="FO",'2024'!$D$2=AH5),'2024DATA'!$E$16,"")</f>
        <v/>
      </c>
      <c r="AI19" s="518" t="str">
        <f>IF(AND(_B="B-767-300",'2024'!$D$4="FO",'2024'!$D$2=AI5),'2024DATA'!$F$16,"")</f>
        <v/>
      </c>
      <c r="AJ19" s="518" t="str">
        <f>IF(AND(_B="B-767-300",'2024'!$D$4="FO",'2024'!$D$2=AJ5),'2024DATA'!$G$16,"")</f>
        <v/>
      </c>
      <c r="AK19" s="518" t="str">
        <f>IF(AND(_B="B-767-300",'2024'!$D$4="FO",'2024'!$D$2=AK5),'2024DATA'!$H$16,"")</f>
        <v/>
      </c>
      <c r="AL19" s="518" t="str">
        <f>IF(AND(_B="B-767-300",'2024'!$D$4="FO",'2024'!$D$2=AL5),'2024DATA'!$I$16,"")</f>
        <v/>
      </c>
      <c r="AM19" s="518" t="str">
        <f>IF(AND(_B="B-767-300",'2024'!$D$4="FO",'2024'!$D$2=AM5),'2024DATA'!$J$16,"")</f>
        <v/>
      </c>
      <c r="AN19" s="518" t="str">
        <f>IF(AND(_B="B-767-300",'2024'!$D$4="FO",'2024'!$D$2=AN5),'2024DATA'!$K$16,"")</f>
        <v/>
      </c>
      <c r="AO19" s="518" t="str">
        <f>IF(AND(_B="B-767-300",'2024'!$D$4="FO",'2024'!$D$2=AO5),'2024DATA'!$L$16,"")</f>
        <v/>
      </c>
      <c r="AP19" s="518" t="str">
        <f>IF(AND(_B="B-767-300",'2024'!$D$4="FO",'2024'!$D$2=AP5),'2024DATA'!$M$16,"")</f>
        <v/>
      </c>
      <c r="AQ19" s="520" t="str">
        <f>IF(AND(_B="B-767-300",'2024'!$D$4="FO",'2024'!$D$2=AQ5),'2024DATA'!$N$16,"")</f>
        <v/>
      </c>
      <c r="AR19" s="940"/>
      <c r="AS19" s="13" t="s">
        <v>62</v>
      </c>
      <c r="AT19" s="518" t="str">
        <f>IF(AND(_C="B-767-300",'2024'!$D$4="FO",'2024'!$D$2=AT5),'2024DATA'!$C$16,"")</f>
        <v/>
      </c>
      <c r="AU19" s="518" t="str">
        <f>IF(AND(_C="B-767-300",'2024'!$D$4="FO",'2024'!$D$2=AU5),'2024DATA'!$D$16,"")</f>
        <v/>
      </c>
      <c r="AV19" s="518" t="str">
        <f>IF(AND(_C="B-767-300",'2024'!$D$4="FO",'2024'!$D$2=AV5),'2024DATA'!$E$16,"")</f>
        <v/>
      </c>
      <c r="AW19" s="518" t="str">
        <f>IF(AND(_C="B-767-300",'2024'!$D$4="FO",'2024'!$D$2=AW5),'2024DATA'!$F$16,"")</f>
        <v/>
      </c>
      <c r="AX19" s="518" t="str">
        <f>IF(AND(_C="B-767-300",'2024'!$D$4="FO",'2024'!$D$2=AX5),'2024DATA'!$G$16,"")</f>
        <v/>
      </c>
      <c r="AY19" s="518" t="str">
        <f>IF(AND(_C="B-767-300",'2024'!$D$4="FO",'2024'!$D$2=AY5),'2024DATA'!$H$16,"")</f>
        <v/>
      </c>
      <c r="AZ19" s="518" t="str">
        <f>IF(AND(_C="B-767-300",'2024'!$D$4="FO",'2024'!$D$2=AZ5),'2024DATA'!$I$16,"")</f>
        <v/>
      </c>
      <c r="BA19" s="518" t="str">
        <f>IF(AND(_C="B-767-300",'2024'!$D$4="FO",'2024'!$D$2=BA5),'2024DATA'!$J$16,"")</f>
        <v/>
      </c>
      <c r="BB19" s="518" t="str">
        <f>IF(AND(_C="B-767-300",'2024'!$D$4="FO",'2024'!$D$2=BB5),'2024DATA'!$K$16,"")</f>
        <v/>
      </c>
      <c r="BC19" s="518" t="str">
        <f>IF(AND(_C="B-767-300",'2024'!$D$4="FO",'2024'!$D$2=BC5),'2024DATA'!$L$16,"")</f>
        <v/>
      </c>
      <c r="BD19" s="518" t="str">
        <f>IF(AND(_C="B-767-300",'2024'!$D$4="FO",'2024'!$D$2=BD5),'2024DATA'!$M$16,"")</f>
        <v/>
      </c>
      <c r="BE19" s="520" t="str">
        <f>IF(AND(_C="B-767-300",'2024'!$D$4="FO",'2024'!$D$2=BE5),'2024DATA'!$N$16,"")</f>
        <v/>
      </c>
      <c r="BF19" s="940"/>
      <c r="BG19" s="13" t="s">
        <v>62</v>
      </c>
      <c r="BH19" s="518" t="str">
        <f>IF(AND(_D="B-767-300",'2024'!$D$4="FO",'2024'!$D$2=BH5),'2024DATA'!$C$16,"")</f>
        <v/>
      </c>
      <c r="BI19" s="518" t="str">
        <f>IF(AND(_D="B-767-300",'2024'!$D$4="FO",'2024'!$D$2=BI5),'2024DATA'!$D$16,"")</f>
        <v/>
      </c>
      <c r="BJ19" s="518" t="str">
        <f>IF(AND(_D="B-767-300",'2024'!$D$4="FO",'2024'!$D$2=BJ5),'2024DATA'!$E$16,"")</f>
        <v/>
      </c>
      <c r="BK19" s="518" t="str">
        <f>IF(AND(_D="B-767-300",'2024'!$D$4="FO",'2024'!$D$2=BK5),'2024DATA'!$F$16,"")</f>
        <v/>
      </c>
      <c r="BL19" s="518" t="str">
        <f>IF(AND(_D="B-767-300",'2024'!$D$4="FO",'2024'!$D$2=BL5),'2024DATA'!$G$16,"")</f>
        <v/>
      </c>
      <c r="BM19" s="518" t="str">
        <f>IF(AND(_D="B-767-300",'2024'!$D$4="FO",'2024'!$D$2=BM5),'2024DATA'!$H$16,"")</f>
        <v/>
      </c>
      <c r="BN19" s="518" t="str">
        <f>IF(AND(_D="B-767-300",'2024'!$D$4="FO",'2024'!$D$2=BN5),'2024DATA'!$I$16,"")</f>
        <v/>
      </c>
      <c r="BO19" s="518" t="str">
        <f>IF(AND(_D="B-767-300",'2024'!$D$4="FO",'2024'!$D$2=BO5),'2024DATA'!$J$16,"")</f>
        <v/>
      </c>
      <c r="BP19" s="518" t="str">
        <f>IF(AND(_D="B-767-300",'2024'!$D$4="FO",'2024'!$D$2=BP5),'2024DATA'!$K$16,"")</f>
        <v/>
      </c>
      <c r="BQ19" s="518" t="str">
        <f>IF(AND(_D="B-767-300",'2024'!$D$4="FO",'2024'!$D$2=BQ5),'2024DATA'!$L$16,"")</f>
        <v/>
      </c>
      <c r="BR19" s="518" t="str">
        <f>IF(AND(_D="B-767-300",'2024'!$D$4="FO",'2024'!$D$2=BR5),'2024DATA'!$M$16,"")</f>
        <v/>
      </c>
      <c r="BS19" s="520" t="str">
        <f>IF(AND(_D="B-767-300",'2024'!$D$4="FO",'2024'!$D$2=BS5),'2024DATA'!$N$16,"")</f>
        <v/>
      </c>
      <c r="BT19" s="940"/>
      <c r="BU19" s="13" t="s">
        <v>62</v>
      </c>
      <c r="BV19" s="518" t="str">
        <f>IF(AND(_E="B-767-300",'2024'!$D$4="FO",'2024'!$D$2=BV5),'2024DATA'!$C$16,"")</f>
        <v/>
      </c>
      <c r="BW19" s="518" t="str">
        <f>IF(AND(_E="B-767-300",'2024'!$D$4="FO",'2024'!$D$2=BW5),'2024DATA'!$D$16,"")</f>
        <v/>
      </c>
      <c r="BX19" s="518" t="str">
        <f>IF(AND(_E="B-767-300",'2024'!$D$4="FO",'2024'!$D$2=BX5),'2024DATA'!$E$16,"")</f>
        <v/>
      </c>
      <c r="BY19" s="518" t="str">
        <f>IF(AND(_E="B-767-300",'2024'!$D$4="FO",'2024'!$D$2=BY5),'2024DATA'!$F$16,"")</f>
        <v/>
      </c>
      <c r="BZ19" s="518" t="str">
        <f>IF(AND(_E="B-767-300",'2024'!$D$4="FO",'2024'!$D$2=BZ5),'2024DATA'!$G$16,"")</f>
        <v/>
      </c>
      <c r="CA19" s="518" t="str">
        <f>IF(AND(_E="B-767-300",'2024'!$D$4="FO",'2024'!$D$2=CA5),'2024DATA'!$H$16,"")</f>
        <v/>
      </c>
      <c r="CB19" s="518" t="str">
        <f>IF(AND(_E="B-767-300",'2024'!$D$4="FO",'2024'!$D$2=CB5),'2024DATA'!$I$16,"")</f>
        <v/>
      </c>
      <c r="CC19" s="518" t="str">
        <f>IF(AND(_E="B-767-300",'2024'!$D$4="FO",'2024'!$D$2=CC5),'2024DATA'!$J$16,"")</f>
        <v/>
      </c>
      <c r="CD19" s="518" t="str">
        <f>IF(AND(_E="B-767-300",'2024'!$D$4="FO",'2024'!$D$2=CD5),'2024DATA'!$K$16,"")</f>
        <v/>
      </c>
      <c r="CE19" s="518" t="str">
        <f>IF(AND(_E="B-767-300",'2024'!$D$4="FO",'2024'!$D$2=CE5),'2024DATA'!$L$16,"")</f>
        <v/>
      </c>
      <c r="CF19" s="518" t="str">
        <f>IF(AND(_E="B-767-300",'2024'!$D$4="FO",'2024'!$D$2=CF5),'2024DATA'!$M$16,"")</f>
        <v/>
      </c>
      <c r="CG19" s="520" t="str">
        <f>IF(AND(_E="B-767-300",'2024'!$D$4="FO",'2024'!$D$2=CG5),'2024DATA'!$N$16,"")</f>
        <v/>
      </c>
      <c r="CH19" s="940"/>
      <c r="CI19" s="13" t="s">
        <v>62</v>
      </c>
      <c r="CJ19" s="518" t="str">
        <f>IF(AND(_F="B-767-300",'2024'!$D$4="FO",'2024'!$D$2=CJ5),'2024DATA'!$C$16,"")</f>
        <v/>
      </c>
      <c r="CK19" s="518" t="str">
        <f>IF(AND(_F="B-767-300",'2024'!$D$4="FO",'2024'!$D$2=CK5),'2024DATA'!$D$16,"")</f>
        <v/>
      </c>
      <c r="CL19" s="518" t="str">
        <f>IF(AND(_F="B-767-300",'2024'!$D$4="FO",'2024'!$D$2=CL5),'2024DATA'!$E$16,"")</f>
        <v/>
      </c>
      <c r="CM19" s="518" t="str">
        <f>IF(AND(_F="B-767-300",'2024'!$D$4="FO",'2024'!$D$2=CM5),'2024DATA'!$F$16,"")</f>
        <v/>
      </c>
      <c r="CN19" s="518" t="str">
        <f>IF(AND(_F="B-767-300",'2024'!$D$4="FO",'2024'!$D$2=CN5),'2024DATA'!$G$16,"")</f>
        <v/>
      </c>
      <c r="CO19" s="518" t="str">
        <f>IF(AND(_F="B-767-300",'2024'!$D$4="FO",'2024'!$D$2=CO5),'2024DATA'!$H$16,"")</f>
        <v/>
      </c>
      <c r="CP19" s="518" t="str">
        <f>IF(AND(_F="B-767-300",'2024'!$D$4="FO",'2024'!$D$2=CP5),'2024DATA'!$I$16,"")</f>
        <v/>
      </c>
      <c r="CQ19" s="518" t="str">
        <f>IF(AND(_F="B-767-300",'2024'!$D$4="FO",'2024'!$D$2=CQ5),'2024DATA'!$J$16,"")</f>
        <v/>
      </c>
      <c r="CR19" s="518" t="str">
        <f>IF(AND(_F="B-767-300",'2024'!$D$4="FO",'2024'!$D$2=CR5),'2024DATA'!$K$16,"")</f>
        <v/>
      </c>
      <c r="CS19" s="518" t="str">
        <f>IF(AND(_F="B-767-300",'2024'!$D$4="FO",'2024'!$D$2=CS5),'2024DATA'!$L$16,"")</f>
        <v/>
      </c>
      <c r="CT19" s="518" t="str">
        <f>IF(AND(_F="B-767-300",'2024'!$D$4="FO",'2024'!$D$2=CT5),'2024DATA'!$M$16,"")</f>
        <v/>
      </c>
      <c r="CU19" s="520" t="str">
        <f>IF(AND(_F="B-767-300",'2024'!$D$4="FO",'2024'!$D$2=CU5),'2024DATA'!$N$16,"")</f>
        <v/>
      </c>
    </row>
    <row r="20" spans="1:99" x14ac:dyDescent="0.25">
      <c r="A20" s="987"/>
      <c r="B20" s="64" t="s">
        <v>62</v>
      </c>
      <c r="C20" s="494">
        <v>255.69</v>
      </c>
      <c r="D20" s="473">
        <v>252.71</v>
      </c>
      <c r="E20" s="473">
        <v>249.64</v>
      </c>
      <c r="F20" s="473">
        <v>245.56</v>
      </c>
      <c r="G20" s="473">
        <v>243.1</v>
      </c>
      <c r="H20" s="473">
        <v>237.53</v>
      </c>
      <c r="I20" s="473">
        <v>231.16</v>
      </c>
      <c r="J20" s="473">
        <v>225.52</v>
      </c>
      <c r="K20" s="473">
        <v>220.13</v>
      </c>
      <c r="L20" s="473">
        <v>214.89</v>
      </c>
      <c r="M20" s="473">
        <v>183.63</v>
      </c>
      <c r="N20" s="495">
        <v>116.05</v>
      </c>
      <c r="P20" s="940" t="s">
        <v>68</v>
      </c>
      <c r="Q20" s="13" t="s">
        <v>61</v>
      </c>
      <c r="R20" s="518" t="str">
        <f>IF(AND(_A="B-767-200",'2024'!$D$4="CA",'2024'!$D$2=R5),'2024DATA'!$C$17,"")</f>
        <v/>
      </c>
      <c r="S20" s="518" t="str">
        <f>IF(AND(_A="B-767-200",'2024'!$D$4="CA",'2024'!$D$2=S5),'2024DATA'!$D$17,"")</f>
        <v/>
      </c>
      <c r="T20" s="518" t="str">
        <f>IF(AND(_A="B-767-200",'2024'!$D$4="CA",'2024'!$D$2=T5),'2024DATA'!$E$17,"")</f>
        <v/>
      </c>
      <c r="U20" s="518" t="str">
        <f>IF(AND(_A="B-767-200",'2024'!$D$4="CA",'2024'!$D$2=U5),'2024DATA'!$F$17,"")</f>
        <v/>
      </c>
      <c r="V20" s="518" t="str">
        <f>IF(AND(_A="B-767-200",'2024'!$D$4="CA",'2024'!$D$2=V5),'2024DATA'!$G$17,"")</f>
        <v/>
      </c>
      <c r="W20" s="518" t="str">
        <f>IF(AND(_A="B-767-200",'2024'!$D$4="CA",'2024'!$D$2=W5),'2024DATA'!$H$17,"")</f>
        <v/>
      </c>
      <c r="X20" s="518" t="str">
        <f>IF(AND(_A="B-767-200",'2024'!$D$4="CA",'2024'!$D$2=X5),'2024DATA'!$I$17,"")</f>
        <v/>
      </c>
      <c r="Y20" s="518" t="str">
        <f>IF(AND(_A="B-767-200",'2024'!$D$4="CA",'2024'!$D$2=Y5),'2024DATA'!$J$17,"")</f>
        <v/>
      </c>
      <c r="Z20" s="518" t="str">
        <f>IF(AND(_A="B-767-200",'2024'!$D$4="CA",'2024'!$D$2=Z5),'2024DATA'!$K$17,"")</f>
        <v/>
      </c>
      <c r="AA20" s="518" t="str">
        <f>IF(AND(_A="B-767-200",'2024'!$D$4="CA",'2024'!$D$2=AA5),'2024DATA'!$L$17,"")</f>
        <v/>
      </c>
      <c r="AB20" s="518" t="str">
        <f>IF(AND(_A="B-767-200",'2024'!$D$4="CA",'2024'!$D$2=AB5),'2024DATA'!$M$17,"")</f>
        <v/>
      </c>
      <c r="AC20" s="520" t="str">
        <f>IF(AND(_A="B-767-200",'2024'!$D$4="CA",'2024'!$D$2=AC5),'2024DATA'!$N$17,"")</f>
        <v/>
      </c>
      <c r="AD20" s="940" t="s">
        <v>68</v>
      </c>
      <c r="AE20" s="13" t="s">
        <v>61</v>
      </c>
      <c r="AF20" s="518" t="str">
        <f>IF(AND(_B="B-767-200",'2024'!$D$4="CA",'2024'!$D$2=AF5),'2024DATA'!$C$17,"")</f>
        <v/>
      </c>
      <c r="AG20" s="518" t="str">
        <f>IF(AND(_B="B-767-200",'2024'!$D$4="CA",'2024'!$D$2=AG5),'2024DATA'!$D$17,"")</f>
        <v/>
      </c>
      <c r="AH20" s="518" t="str">
        <f>IF(AND(_B="B-767-200",'2024'!$D$4="CA",'2024'!$D$2=AH5),'2024DATA'!$E$17,"")</f>
        <v/>
      </c>
      <c r="AI20" s="518" t="str">
        <f>IF(AND(_B="B-767-200",'2024'!$D$4="CA",'2024'!$D$2=AI5),'2024DATA'!$F$17,"")</f>
        <v/>
      </c>
      <c r="AJ20" s="518" t="str">
        <f>IF(AND(_B="B-767-200",'2024'!$D$4="CA",'2024'!$D$2=AJ5),'2024DATA'!$G$17,"")</f>
        <v/>
      </c>
      <c r="AK20" s="518" t="str">
        <f>IF(AND(_B="B-767-200",'2024'!$D$4="CA",'2024'!$D$2=AK5),'2024DATA'!$H$17,"")</f>
        <v/>
      </c>
      <c r="AL20" s="518" t="str">
        <f>IF(AND(_B="B-767-200",'2024'!$D$4="CA",'2024'!$D$2=AL5),'2024DATA'!$I$17,"")</f>
        <v/>
      </c>
      <c r="AM20" s="518" t="str">
        <f>IF(AND(_B="B-767-200",'2024'!$D$4="CA",'2024'!$D$2=AM5),'2024DATA'!$J$17,"")</f>
        <v/>
      </c>
      <c r="AN20" s="518" t="str">
        <f>IF(AND(_B="B-767-200",'2024'!$D$4="CA",'2024'!$D$2=AN5),'2024DATA'!$K$17,"")</f>
        <v/>
      </c>
      <c r="AO20" s="518" t="str">
        <f>IF(AND(_B="B-767-200",'2024'!$D$4="CA",'2024'!$D$2=AO5),'2024DATA'!$L$17,"")</f>
        <v/>
      </c>
      <c r="AP20" s="518" t="str">
        <f>IF(AND(_B="B-767-200",'2024'!$D$4="CA",'2024'!$D$2=AP5),'2024DATA'!$M$17,"")</f>
        <v/>
      </c>
      <c r="AQ20" s="520" t="str">
        <f>IF(AND(_B="B-767-200",'2024'!$D$4="CA",'2024'!$D$2=AQ5),'2024DATA'!$N$17,"")</f>
        <v/>
      </c>
      <c r="AR20" s="940" t="s">
        <v>68</v>
      </c>
      <c r="AS20" s="13" t="s">
        <v>61</v>
      </c>
      <c r="AT20" s="518" t="str">
        <f>IF(AND(_C="B-767-200",'2024'!$D$4="CA",'2024'!$D$2=AT5),'2024DATA'!$C$17,"")</f>
        <v/>
      </c>
      <c r="AU20" s="518" t="str">
        <f>IF(AND(_C="B-767-200",'2024'!$D$4="CA",'2024'!$D$2=AU5),'2024DATA'!$D$17,"")</f>
        <v/>
      </c>
      <c r="AV20" s="518" t="str">
        <f>IF(AND(_C="B-767-200",'2024'!$D$4="CA",'2024'!$D$2=AV5),'2024DATA'!$E$17,"")</f>
        <v/>
      </c>
      <c r="AW20" s="518" t="str">
        <f>IF(AND(_C="B-767-200",'2024'!$D$4="CA",'2024'!$D$2=AW5),'2024DATA'!$F$17,"")</f>
        <v/>
      </c>
      <c r="AX20" s="518" t="str">
        <f>IF(AND(_C="B-767-200",'2024'!$D$4="CA",'2024'!$D$2=AX5),'2024DATA'!$G$17,"")</f>
        <v/>
      </c>
      <c r="AY20" s="518" t="str">
        <f>IF(AND(_C="B-767-200",'2024'!$D$4="CA",'2024'!$D$2=AY5),'2024DATA'!$H$17,"")</f>
        <v/>
      </c>
      <c r="AZ20" s="518" t="str">
        <f>IF(AND(_C="B-767-200",'2024'!$D$4="CA",'2024'!$D$2=AZ5),'2024DATA'!$I$17,"")</f>
        <v/>
      </c>
      <c r="BA20" s="518" t="str">
        <f>IF(AND(_C="B-767-200",'2024'!$D$4="CA",'2024'!$D$2=BA5),'2024DATA'!$J$17,"")</f>
        <v/>
      </c>
      <c r="BB20" s="518" t="str">
        <f>IF(AND(_C="B-767-200",'2024'!$D$4="CA",'2024'!$D$2=BB5),'2024DATA'!$K$17,"")</f>
        <v/>
      </c>
      <c r="BC20" s="518" t="str">
        <f>IF(AND(_C="B-767-200",'2024'!$D$4="CA",'2024'!$D$2=BC5),'2024DATA'!$L$17,"")</f>
        <v/>
      </c>
      <c r="BD20" s="518" t="str">
        <f>IF(AND(_C="B-767-200",'2024'!$D$4="CA",'2024'!$D$2=BD5),'2024DATA'!$M$17,"")</f>
        <v/>
      </c>
      <c r="BE20" s="520" t="str">
        <f>IF(AND(_C="B-767-200",'2024'!$D$4="CA",'2024'!$D$2=BE5),'2024DATA'!$N$17,"")</f>
        <v/>
      </c>
      <c r="BF20" s="940" t="s">
        <v>68</v>
      </c>
      <c r="BG20" s="13" t="s">
        <v>61</v>
      </c>
      <c r="BH20" s="518" t="str">
        <f>IF(AND(_D="B-767-200",'2024'!$D$4="CA",'2024'!$D$2=BH5),'2024DATA'!$C$17,"")</f>
        <v/>
      </c>
      <c r="BI20" s="518" t="str">
        <f>IF(AND(_D="B-767-200",'2024'!$D$4="CA",'2024'!$D$2=BI5),'2024DATA'!$D$17,"")</f>
        <v/>
      </c>
      <c r="BJ20" s="518" t="str">
        <f>IF(AND(_D="B-767-200",'2024'!$D$4="CA",'2024'!$D$2=BJ5),'2024DATA'!$E$17,"")</f>
        <v/>
      </c>
      <c r="BK20" s="518" t="str">
        <f>IF(AND(_D="B-767-200",'2024'!$D$4="CA",'2024'!$D$2=BK5),'2024DATA'!$F$17,"")</f>
        <v/>
      </c>
      <c r="BL20" s="518" t="str">
        <f>IF(AND(_D="B-767-200",'2024'!$D$4="CA",'2024'!$D$2=BL5),'2024DATA'!$G$17,"")</f>
        <v/>
      </c>
      <c r="BM20" s="518" t="str">
        <f>IF(AND(_D="B-767-200",'2024'!$D$4="CA",'2024'!$D$2=BM5),'2024DATA'!$H$17,"")</f>
        <v/>
      </c>
      <c r="BN20" s="518" t="str">
        <f>IF(AND(_D="B-767-200",'2024'!$D$4="CA",'2024'!$D$2=BN5),'2024DATA'!$I$17,"")</f>
        <v/>
      </c>
      <c r="BO20" s="518" t="str">
        <f>IF(AND(_D="B-767-200",'2024'!$D$4="CA",'2024'!$D$2=BO5),'2024DATA'!$J$17,"")</f>
        <v/>
      </c>
      <c r="BP20" s="518" t="str">
        <f>IF(AND(_D="B-767-200",'2024'!$D$4="CA",'2024'!$D$2=BP5),'2024DATA'!$K$17,"")</f>
        <v/>
      </c>
      <c r="BQ20" s="518" t="str">
        <f>IF(AND(_D="B-767-200",'2024'!$D$4="CA",'2024'!$D$2=BQ5),'2024DATA'!$L$17,"")</f>
        <v/>
      </c>
      <c r="BR20" s="518" t="str">
        <f>IF(AND(_D="B-767-200",'2024'!$D$4="CA",'2024'!$D$2=BR5),'2024DATA'!$M$17,"")</f>
        <v/>
      </c>
      <c r="BS20" s="520" t="str">
        <f>IF(AND(_D="B-767-200",'2024'!$D$4="CA",'2024'!$D$2=BS5),'2024DATA'!$N$17,"")</f>
        <v/>
      </c>
      <c r="BT20" s="940" t="s">
        <v>68</v>
      </c>
      <c r="BU20" s="13" t="s">
        <v>61</v>
      </c>
      <c r="BV20" s="518" t="str">
        <f>IF(AND(_E="B-767-200",'2024'!$D$4="CA",'2024'!$D$2=BV5),'2024DATA'!$C$17,"")</f>
        <v/>
      </c>
      <c r="BW20" s="518" t="str">
        <f>IF(AND(_E="B-767-200",'2024'!$D$4="CA",'2024'!$D$2=BW5),'2024DATA'!$D$17,"")</f>
        <v/>
      </c>
      <c r="BX20" s="518" t="str">
        <f>IF(AND(_E="B-767-200",'2024'!$D$4="CA",'2024'!$D$2=BX5),'2024DATA'!$E$17,"")</f>
        <v/>
      </c>
      <c r="BY20" s="518" t="str">
        <f>IF(AND(_E="B-767-200",'2024'!$D$4="CA",'2024'!$D$2=BY5),'2024DATA'!$F$17,"")</f>
        <v/>
      </c>
      <c r="BZ20" s="518" t="str">
        <f>IF(AND(_E="B-767-200",'2024'!$D$4="CA",'2024'!$D$2=BZ5),'2024DATA'!$G$17,"")</f>
        <v/>
      </c>
      <c r="CA20" s="518" t="str">
        <f>IF(AND(_E="B-767-200",'2024'!$D$4="CA",'2024'!$D$2=CA5),'2024DATA'!$H$17,"")</f>
        <v/>
      </c>
      <c r="CB20" s="518" t="str">
        <f>IF(AND(_E="B-767-200",'2024'!$D$4="CA",'2024'!$D$2=CB5),'2024DATA'!$I$17,"")</f>
        <v/>
      </c>
      <c r="CC20" s="518" t="str">
        <f>IF(AND(_E="B-767-200",'2024'!$D$4="CA",'2024'!$D$2=CC5),'2024DATA'!$J$17,"")</f>
        <v/>
      </c>
      <c r="CD20" s="518" t="str">
        <f>IF(AND(_E="B-767-200",'2024'!$D$4="CA",'2024'!$D$2=CD5),'2024DATA'!$K$17,"")</f>
        <v/>
      </c>
      <c r="CE20" s="518" t="str">
        <f>IF(AND(_E="B-767-200",'2024'!$D$4="CA",'2024'!$D$2=CE5),'2024DATA'!$L$17,"")</f>
        <v/>
      </c>
      <c r="CF20" s="518" t="str">
        <f>IF(AND(_E="B-767-200",'2024'!$D$4="CA",'2024'!$D$2=CF5),'2024DATA'!$M$17,"")</f>
        <v/>
      </c>
      <c r="CG20" s="520" t="str">
        <f>IF(AND(_E="B-767-200",'2024'!$D$4="CA",'2024'!$D$2=CG5),'2024DATA'!$N$17,"")</f>
        <v/>
      </c>
      <c r="CH20" s="940" t="s">
        <v>68</v>
      </c>
      <c r="CI20" s="13" t="s">
        <v>61</v>
      </c>
      <c r="CJ20" s="518" t="str">
        <f>IF(AND(_F="B-767-200",'2024'!$D$4="CA",'2024'!$D$2=CJ5),'2024DATA'!$C$17,"")</f>
        <v/>
      </c>
      <c r="CK20" s="518" t="str">
        <f>IF(AND(_F="B-767-200",'2024'!$D$4="CA",'2024'!$D$2=CK5),'2024DATA'!$D$17,"")</f>
        <v/>
      </c>
      <c r="CL20" s="518" t="str">
        <f>IF(AND(_F="B-767-200",'2024'!$D$4="CA",'2024'!$D$2=CL5),'2024DATA'!$E$17,"")</f>
        <v/>
      </c>
      <c r="CM20" s="518" t="str">
        <f>IF(AND(_F="B-767-200",'2024'!$D$4="CA",'2024'!$D$2=CM5),'2024DATA'!$F$17,"")</f>
        <v/>
      </c>
      <c r="CN20" s="518" t="str">
        <f>IF(AND(_F="B-767-200",'2024'!$D$4="CA",'2024'!$D$2=CN5),'2024DATA'!$G$17,"")</f>
        <v/>
      </c>
      <c r="CO20" s="518" t="str">
        <f>IF(AND(_F="B-767-200",'2024'!$D$4="CA",'2024'!$D$2=CO5),'2024DATA'!$H$17,"")</f>
        <v/>
      </c>
      <c r="CP20" s="518" t="str">
        <f>IF(AND(_F="B-767-200",'2024'!$D$4="CA",'2024'!$D$2=CP5),'2024DATA'!$I$17,"")</f>
        <v/>
      </c>
      <c r="CQ20" s="518" t="str">
        <f>IF(AND(_F="B-767-200",'2024'!$D$4="CA",'2024'!$D$2=CQ5),'2024DATA'!$J$17,"")</f>
        <v/>
      </c>
      <c r="CR20" s="518" t="str">
        <f>IF(AND(_F="B-767-200",'2024'!$D$4="CA",'2024'!$D$2=CR5),'2024DATA'!$K$17,"")</f>
        <v/>
      </c>
      <c r="CS20" s="518" t="str">
        <f>IF(AND(_F="B-767-200",'2024'!$D$4="CA",'2024'!$D$2=CS5),'2024DATA'!$L$17,"")</f>
        <v/>
      </c>
      <c r="CT20" s="518" t="str">
        <f>IF(AND(_F="B-767-200",'2024'!$D$4="CA",'2024'!$D$2=CT5),'2024DATA'!$M$17,"")</f>
        <v/>
      </c>
      <c r="CU20" s="520" t="str">
        <f>IF(AND(_F="B-767-200",'2024'!$D$4="CA",'2024'!$D$2=CU5),'2024DATA'!$N$17,"")</f>
        <v/>
      </c>
    </row>
    <row r="21" spans="1:99" x14ac:dyDescent="0.25">
      <c r="A21" s="987" t="s">
        <v>47</v>
      </c>
      <c r="B21" s="64" t="s">
        <v>61</v>
      </c>
      <c r="C21" s="494">
        <v>360.85</v>
      </c>
      <c r="D21" s="473">
        <v>358.06</v>
      </c>
      <c r="E21" s="473">
        <v>355.28</v>
      </c>
      <c r="F21" s="473">
        <v>352.65</v>
      </c>
      <c r="G21" s="473">
        <v>349.87</v>
      </c>
      <c r="H21" s="473">
        <v>347.16</v>
      </c>
      <c r="I21" s="473">
        <v>344.44</v>
      </c>
      <c r="J21" s="473">
        <v>341.71</v>
      </c>
      <c r="K21" s="473">
        <v>338.95</v>
      </c>
      <c r="L21" s="473">
        <v>336.23</v>
      </c>
      <c r="M21" s="473">
        <v>333.61</v>
      </c>
      <c r="N21" s="495">
        <v>331.01</v>
      </c>
      <c r="P21" s="940"/>
      <c r="Q21" s="13" t="s">
        <v>62</v>
      </c>
      <c r="R21" s="518" t="str">
        <f>IF(AND(_A="B-767-200",'2024'!$D$4="FO",'2024'!$D$2=R5),'2024DATA'!$C$18,"")</f>
        <v/>
      </c>
      <c r="S21" s="518" t="str">
        <f>IF(AND(_A="B-767-200",'2024'!$D$4="FO",'2024'!$D$2=S5),'2024DATA'!$D$18,"")</f>
        <v/>
      </c>
      <c r="T21" s="518" t="str">
        <f>IF(AND(_A="B-767-200",'2024'!$D$4="FO",'2024'!$D$2=T5),'2024DATA'!$E$18,"")</f>
        <v/>
      </c>
      <c r="U21" s="518" t="str">
        <f>IF(AND(_A="B-767-200",'2024'!$D$4="FO",'2024'!$D$2=U5),'2024DATA'!$F$18,"")</f>
        <v/>
      </c>
      <c r="V21" s="518" t="str">
        <f>IF(AND(_A="B-767-200",'2024'!$D$4="FO",'2024'!$D$2=V5),'2024DATA'!$G$18,"")</f>
        <v/>
      </c>
      <c r="W21" s="518" t="str">
        <f>IF(AND(_A="B-767-200",'2024'!$D$4="FO",'2024'!$D$2=W5),'2024DATA'!$H$18,"")</f>
        <v/>
      </c>
      <c r="X21" s="518" t="str">
        <f>IF(AND(_A="B-767-200",'2024'!$D$4="FO",'2024'!$D$2=X5),'2024DATA'!$I$18,"")</f>
        <v/>
      </c>
      <c r="Y21" s="518" t="str">
        <f>IF(AND(_A="B-767-200",'2024'!$D$4="FO",'2024'!$D$2=Y5),'2024DATA'!$J$18,"")</f>
        <v/>
      </c>
      <c r="Z21" s="518" t="str">
        <f>IF(AND(_A="B-767-200",'2024'!$D$4="FO",'2024'!$D$2=Z5),'2024DATA'!$K$18,"")</f>
        <v/>
      </c>
      <c r="AA21" s="518" t="str">
        <f>IF(AND(_A="B-767-200",'2024'!$D$4="FO",'2024'!$D$2=AA5),'2024DATA'!$L$18,"")</f>
        <v/>
      </c>
      <c r="AB21" s="518" t="str">
        <f>IF(AND(_A="B-767-200",'2024'!$D$4="FO",'2024'!$D$2=AB5),'2024DATA'!$M$18,"")</f>
        <v/>
      </c>
      <c r="AC21" s="520" t="str">
        <f>IF(AND(_A="B-767-200",'2024'!$D$4="FO",'2024'!$D$2=AC5),'2024DATA'!$N$18,"")</f>
        <v/>
      </c>
      <c r="AD21" s="940"/>
      <c r="AE21" s="13" t="s">
        <v>62</v>
      </c>
      <c r="AF21" s="518" t="str">
        <f>IF(AND(_B="B-767-200",'2024'!$D$4="FO",'2024'!$D$2=AF5),'2024DATA'!$C$18,"")</f>
        <v/>
      </c>
      <c r="AG21" s="518" t="str">
        <f>IF(AND(_B="B-767-200",'2024'!$D$4="FO",'2024'!$D$2=AG5),'2024DATA'!$D$18,"")</f>
        <v/>
      </c>
      <c r="AH21" s="518" t="str">
        <f>IF(AND(_B="B-767-200",'2024'!$D$4="FO",'2024'!$D$2=AH5),'2024DATA'!$E$18,"")</f>
        <v/>
      </c>
      <c r="AI21" s="518" t="str">
        <f>IF(AND(_B="B-767-200",'2024'!$D$4="FO",'2024'!$D$2=AI5),'2024DATA'!$F$18,"")</f>
        <v/>
      </c>
      <c r="AJ21" s="518" t="str">
        <f>IF(AND(_B="B-767-200",'2024'!$D$4="FO",'2024'!$D$2=AJ5),'2024DATA'!$G$18,"")</f>
        <v/>
      </c>
      <c r="AK21" s="518" t="str">
        <f>IF(AND(_B="B-767-200",'2024'!$D$4="FO",'2024'!$D$2=AK5),'2024DATA'!$H$18,"")</f>
        <v/>
      </c>
      <c r="AL21" s="518" t="str">
        <f>IF(AND(_B="B-767-200",'2024'!$D$4="FO",'2024'!$D$2=AL5),'2024DATA'!$I$18,"")</f>
        <v/>
      </c>
      <c r="AM21" s="518" t="str">
        <f>IF(AND(_B="B-767-200",'2024'!$D$4="FO",'2024'!$D$2=AM5),'2024DATA'!$J$18,"")</f>
        <v/>
      </c>
      <c r="AN21" s="518" t="str">
        <f>IF(AND(_B="B-767-200",'2024'!$D$4="FO",'2024'!$D$2=AN5),'2024DATA'!$K$18,"")</f>
        <v/>
      </c>
      <c r="AO21" s="518" t="str">
        <f>IF(AND(_B="B-767-200",'2024'!$D$4="FO",'2024'!$D$2=AO5),'2024DATA'!$L$18,"")</f>
        <v/>
      </c>
      <c r="AP21" s="518" t="str">
        <f>IF(AND(_B="B-767-200",'2024'!$D$4="FO",'2024'!$D$2=AP5),'2024DATA'!$M$18,"")</f>
        <v/>
      </c>
      <c r="AQ21" s="520" t="str">
        <f>IF(AND(_B="B-767-200",'2024'!$D$4="FO",'2024'!$D$2=AQ5),'2024DATA'!$N$18,"")</f>
        <v/>
      </c>
      <c r="AR21" s="940"/>
      <c r="AS21" s="13" t="s">
        <v>62</v>
      </c>
      <c r="AT21" s="518" t="str">
        <f>IF(AND(_C="B-767-200",'2024'!$D$4="FO",'2024'!$D$2=AT5),'2024DATA'!$C$18,"")</f>
        <v/>
      </c>
      <c r="AU21" s="518" t="str">
        <f>IF(AND(_C="B-767-200",'2024'!$D$4="FO",'2024'!$D$2=AU5),'2024DATA'!$D$18,"")</f>
        <v/>
      </c>
      <c r="AV21" s="518" t="str">
        <f>IF(AND(_C="B-767-200",'2024'!$D$4="FO",'2024'!$D$2=AV5),'2024DATA'!$E$18,"")</f>
        <v/>
      </c>
      <c r="AW21" s="518" t="str">
        <f>IF(AND(_C="B-767-200",'2024'!$D$4="FO",'2024'!$D$2=AW5),'2024DATA'!$F$18,"")</f>
        <v/>
      </c>
      <c r="AX21" s="518" t="str">
        <f>IF(AND(_C="B-767-200",'2024'!$D$4="FO",'2024'!$D$2=AX5),'2024DATA'!$G$18,"")</f>
        <v/>
      </c>
      <c r="AY21" s="518" t="str">
        <f>IF(AND(_C="B-767-200",'2024'!$D$4="FO",'2024'!$D$2=AY5),'2024DATA'!$H$18,"")</f>
        <v/>
      </c>
      <c r="AZ21" s="518" t="str">
        <f>IF(AND(_C="B-767-200",'2024'!$D$4="FO",'2024'!$D$2=AZ5),'2024DATA'!$I$18,"")</f>
        <v/>
      </c>
      <c r="BA21" s="518" t="str">
        <f>IF(AND(_C="B-767-200",'2024'!$D$4="FO",'2024'!$D$2=BA5),'2024DATA'!$J$18,"")</f>
        <v/>
      </c>
      <c r="BB21" s="518" t="str">
        <f>IF(AND(_C="B-767-200",'2024'!$D$4="FO",'2024'!$D$2=BB5),'2024DATA'!$K$18,"")</f>
        <v/>
      </c>
      <c r="BC21" s="518" t="str">
        <f>IF(AND(_C="B-767-200",'2024'!$D$4="FO",'2024'!$D$2=BC5),'2024DATA'!$L$18,"")</f>
        <v/>
      </c>
      <c r="BD21" s="518" t="str">
        <f>IF(AND(_C="B-767-200",'2024'!$D$4="FO",'2024'!$D$2=BD5),'2024DATA'!$M$18,"")</f>
        <v/>
      </c>
      <c r="BE21" s="520" t="str">
        <f>IF(AND(_C="B-767-200",'2024'!$D$4="FO",'2024'!$D$2=BE5),'2024DATA'!$N$18,"")</f>
        <v/>
      </c>
      <c r="BF21" s="940"/>
      <c r="BG21" s="13" t="s">
        <v>62</v>
      </c>
      <c r="BH21" s="518" t="str">
        <f>IF(AND(_D="B-767-200",'2024'!$D$4="FO",'2024'!$D$2=BH5),'2024DATA'!$C$18,"")</f>
        <v/>
      </c>
      <c r="BI21" s="518" t="str">
        <f>IF(AND(_D="B-767-200",'2024'!$D$4="FO",'2024'!$D$2=BI5),'2024DATA'!$D$18,"")</f>
        <v/>
      </c>
      <c r="BJ21" s="518" t="str">
        <f>IF(AND(_D="B-767-200",'2024'!$D$4="FO",'2024'!$D$2=BJ5),'2024DATA'!$E$18,"")</f>
        <v/>
      </c>
      <c r="BK21" s="518" t="str">
        <f>IF(AND(_D="B-767-200",'2024'!$D$4="FO",'2024'!$D$2=BK5),'2024DATA'!$F$18,"")</f>
        <v/>
      </c>
      <c r="BL21" s="518" t="str">
        <f>IF(AND(_D="B-767-200",'2024'!$D$4="FO",'2024'!$D$2=BL5),'2024DATA'!$G$18,"")</f>
        <v/>
      </c>
      <c r="BM21" s="518" t="str">
        <f>IF(AND(_D="B-767-200",'2024'!$D$4="FO",'2024'!$D$2=BM5),'2024DATA'!$H$18,"")</f>
        <v/>
      </c>
      <c r="BN21" s="518" t="str">
        <f>IF(AND(_D="B-767-200",'2024'!$D$4="FO",'2024'!$D$2=BN5),'2024DATA'!$I$18,"")</f>
        <v/>
      </c>
      <c r="BO21" s="518" t="str">
        <f>IF(AND(_D="B-767-200",'2024'!$D$4="FO",'2024'!$D$2=BO5),'2024DATA'!$J$18,"")</f>
        <v/>
      </c>
      <c r="BP21" s="518" t="str">
        <f>IF(AND(_D="B-767-200",'2024'!$D$4="FO",'2024'!$D$2=BP5),'2024DATA'!$K$18,"")</f>
        <v/>
      </c>
      <c r="BQ21" s="518" t="str">
        <f>IF(AND(_D="B-767-200",'2024'!$D$4="FO",'2024'!$D$2=BQ5),'2024DATA'!$L$18,"")</f>
        <v/>
      </c>
      <c r="BR21" s="518" t="str">
        <f>IF(AND(_D="B-767-200",'2024'!$D$4="FO",'2024'!$D$2=BR5),'2024DATA'!$M$18,"")</f>
        <v/>
      </c>
      <c r="BS21" s="520" t="str">
        <f>IF(AND(_D="B-767-200",'2024'!$D$4="FO",'2024'!$D$2=BS5),'2024DATA'!$N$18,"")</f>
        <v/>
      </c>
      <c r="BT21" s="940"/>
      <c r="BU21" s="13" t="s">
        <v>62</v>
      </c>
      <c r="BV21" s="518" t="str">
        <f>IF(AND(_E="B-767-200",'2024'!$D$4="FO",'2024'!$D$2=BV5),'2024DATA'!$C$18,"")</f>
        <v/>
      </c>
      <c r="BW21" s="518" t="str">
        <f>IF(AND(_E="B-767-200",'2024'!$D$4="FO",'2024'!$D$2=BW5),'2024DATA'!$D$18,"")</f>
        <v/>
      </c>
      <c r="BX21" s="518" t="str">
        <f>IF(AND(_E="B-767-200",'2024'!$D$4="FO",'2024'!$D$2=BX5),'2024DATA'!$E$18,"")</f>
        <v/>
      </c>
      <c r="BY21" s="518" t="str">
        <f>IF(AND(_E="B-767-200",'2024'!$D$4="FO",'2024'!$D$2=BY5),'2024DATA'!$F$18,"")</f>
        <v/>
      </c>
      <c r="BZ21" s="518" t="str">
        <f>IF(AND(_E="B-767-200",'2024'!$D$4="FO",'2024'!$D$2=BZ5),'2024DATA'!$G$18,"")</f>
        <v/>
      </c>
      <c r="CA21" s="518" t="str">
        <f>IF(AND(_E="B-767-200",'2024'!$D$4="FO",'2024'!$D$2=CA5),'2024DATA'!$H$18,"")</f>
        <v/>
      </c>
      <c r="CB21" s="518" t="str">
        <f>IF(AND(_E="B-767-200",'2024'!$D$4="FO",'2024'!$D$2=CB5),'2024DATA'!$I$18,"")</f>
        <v/>
      </c>
      <c r="CC21" s="518" t="str">
        <f>IF(AND(_E="B-767-200",'2024'!$D$4="FO",'2024'!$D$2=CC5),'2024DATA'!$J$18,"")</f>
        <v/>
      </c>
      <c r="CD21" s="518" t="str">
        <f>IF(AND(_E="B-767-200",'2024'!$D$4="FO",'2024'!$D$2=CD5),'2024DATA'!$K$18,"")</f>
        <v/>
      </c>
      <c r="CE21" s="518" t="str">
        <f>IF(AND(_E="B-767-200",'2024'!$D$4="FO",'2024'!$D$2=CE5),'2024DATA'!$L$18,"")</f>
        <v/>
      </c>
      <c r="CF21" s="518" t="str">
        <f>IF(AND(_E="B-767-200",'2024'!$D$4="FO",'2024'!$D$2=CF5),'2024DATA'!$M$18,"")</f>
        <v/>
      </c>
      <c r="CG21" s="520" t="str">
        <f>IF(AND(_E="B-767-200",'2024'!$D$4="FO",'2024'!$D$2=CG5),'2024DATA'!$N$18,"")</f>
        <v/>
      </c>
      <c r="CH21" s="940"/>
      <c r="CI21" s="13" t="s">
        <v>62</v>
      </c>
      <c r="CJ21" s="518" t="str">
        <f>IF(AND(_F="B-767-200",'2024'!$D$4="FO",'2024'!$D$2=CJ5),'2024DATA'!$C$18,"")</f>
        <v/>
      </c>
      <c r="CK21" s="518" t="str">
        <f>IF(AND(_F="B-767-200",'2024'!$D$4="FO",'2024'!$D$2=CK5),'2024DATA'!$D$18,"")</f>
        <v/>
      </c>
      <c r="CL21" s="518" t="str">
        <f>IF(AND(_F="B-767-200",'2024'!$D$4="FO",'2024'!$D$2=CL5),'2024DATA'!$E$18,"")</f>
        <v/>
      </c>
      <c r="CM21" s="518" t="str">
        <f>IF(AND(_F="B-767-200",'2024'!$D$4="FO",'2024'!$D$2=CM5),'2024DATA'!$F$18,"")</f>
        <v/>
      </c>
      <c r="CN21" s="518" t="str">
        <f>IF(AND(_F="B-767-200",'2024'!$D$4="FO",'2024'!$D$2=CN5),'2024DATA'!$G$18,"")</f>
        <v/>
      </c>
      <c r="CO21" s="518" t="str">
        <f>IF(AND(_F="B-767-200",'2024'!$D$4="FO",'2024'!$D$2=CO5),'2024DATA'!$H$18,"")</f>
        <v/>
      </c>
      <c r="CP21" s="518" t="str">
        <f>IF(AND(_F="B-767-200",'2024'!$D$4="FO",'2024'!$D$2=CP5),'2024DATA'!$I$18,"")</f>
        <v/>
      </c>
      <c r="CQ21" s="518" t="str">
        <f>IF(AND(_F="B-767-200",'2024'!$D$4="FO",'2024'!$D$2=CQ5),'2024DATA'!$J$18,"")</f>
        <v/>
      </c>
      <c r="CR21" s="518" t="str">
        <f>IF(AND(_F="B-767-200",'2024'!$D$4="FO",'2024'!$D$2=CR5),'2024DATA'!$K$18,"")</f>
        <v/>
      </c>
      <c r="CS21" s="518" t="str">
        <f>IF(AND(_F="B-767-200",'2024'!$D$4="FO",'2024'!$D$2=CS5),'2024DATA'!$L$18,"")</f>
        <v/>
      </c>
      <c r="CT21" s="518" t="str">
        <f>IF(AND(_F="B-767-200",'2024'!$D$4="FO",'2024'!$D$2=CT5),'2024DATA'!$M$18,"")</f>
        <v/>
      </c>
      <c r="CU21" s="520" t="str">
        <f>IF(AND(_F="B-767-200",'2024'!$D$4="FO",'2024'!$D$2=CU5),'2024DATA'!$N$18,"")</f>
        <v/>
      </c>
    </row>
    <row r="22" spans="1:99" x14ac:dyDescent="0.25">
      <c r="A22" s="987"/>
      <c r="B22" s="64" t="s">
        <v>62</v>
      </c>
      <c r="C22" s="494">
        <v>246.47</v>
      </c>
      <c r="D22" s="473">
        <v>244.2</v>
      </c>
      <c r="E22" s="473">
        <v>241.98</v>
      </c>
      <c r="F22" s="473">
        <v>238.73</v>
      </c>
      <c r="G22" s="473">
        <v>236.2</v>
      </c>
      <c r="H22" s="473">
        <v>230.87</v>
      </c>
      <c r="I22" s="473">
        <v>224.58</v>
      </c>
      <c r="J22" s="473">
        <v>219.01</v>
      </c>
      <c r="K22" s="473">
        <v>213.87</v>
      </c>
      <c r="L22" s="473">
        <v>208.82</v>
      </c>
      <c r="M22" s="473">
        <v>178.45</v>
      </c>
      <c r="N22" s="495">
        <v>116.05</v>
      </c>
      <c r="P22" s="940" t="s">
        <v>45</v>
      </c>
      <c r="Q22" s="13" t="s">
        <v>61</v>
      </c>
      <c r="R22" s="518" t="str">
        <f>IF(AND(_A="B-757",'2024'!$D$4="CA",'2024'!$D$2=R5),'2024DATA'!$C$19,"")</f>
        <v/>
      </c>
      <c r="S22" s="518" t="str">
        <f>IF(AND(_A="B-757",'2024'!$D$4="CA",'2024'!$D$2=S5),'2024DATA'!$D$19,"")</f>
        <v/>
      </c>
      <c r="T22" s="518" t="str">
        <f>IF(AND(_A="B-757",'2024'!$D$4="CA",'2024'!$D$2=T5),'2024DATA'!$E$19,"")</f>
        <v/>
      </c>
      <c r="U22" s="518" t="str">
        <f>IF(AND(_A="B-757",'2024'!$D$4="CA",'2024'!$D$2=U5),'2024DATA'!$F$19,"")</f>
        <v/>
      </c>
      <c r="V22" s="518" t="str">
        <f>IF(AND(_A="B-757",'2024'!$D$4="CA",'2024'!$D$2=V5),'2024DATA'!$G$19,"")</f>
        <v/>
      </c>
      <c r="W22" s="518" t="str">
        <f>IF(AND(_A="B-757",'2024'!$D$4="CA",'2024'!$D$2=W5),'2024DATA'!$H$19,"")</f>
        <v/>
      </c>
      <c r="X22" s="518" t="str">
        <f>IF(AND(_A="B-757",'2024'!$D$4="CA",'2024'!$D$2=X5),'2024DATA'!$I$19,"")</f>
        <v/>
      </c>
      <c r="Y22" s="518" t="str">
        <f>IF(AND(_A="B-757",'2024'!$D$4="CA",'2024'!$D$2=Y5),'2024DATA'!$J$19,"")</f>
        <v/>
      </c>
      <c r="Z22" s="518" t="str">
        <f>IF(AND(_A="B-757",'2024'!$D$4="CA",'2024'!$D$2=Z5),'2024DATA'!$K$19,"")</f>
        <v/>
      </c>
      <c r="AA22" s="518" t="str">
        <f>IF(AND(_A="B-757",'2024'!$D$4="CA",'2024'!$D$2=AA5),'2024DATA'!$L$19,"")</f>
        <v/>
      </c>
      <c r="AB22" s="518" t="str">
        <f>IF(AND(_A="B-757",'2024'!$D$4="CA",'2024'!$D$2=AB5),'2024DATA'!$M$19,"")</f>
        <v/>
      </c>
      <c r="AC22" s="520" t="str">
        <f>IF(AND(_A="B-757",'2024'!$D$4="CA",'2024'!$D$2=AC5),'2024DATA'!$N$19,"")</f>
        <v/>
      </c>
      <c r="AD22" s="940" t="s">
        <v>45</v>
      </c>
      <c r="AE22" s="13" t="s">
        <v>61</v>
      </c>
      <c r="AF22" s="518" t="str">
        <f>IF(AND(_B="B-757",'2024'!$D$4="CA",'2024'!$D$2=AF5),'2024DATA'!$C$19,"")</f>
        <v/>
      </c>
      <c r="AG22" s="518" t="str">
        <f>IF(AND(_B="B-757",'2024'!$D$4="CA",'2024'!$D$2=AG5),'2024DATA'!$D$19,"")</f>
        <v/>
      </c>
      <c r="AH22" s="518" t="str">
        <f>IF(AND(_B="B-757",'2024'!$D$4="CA",'2024'!$D$2=AH5),'2024DATA'!$E$19,"")</f>
        <v/>
      </c>
      <c r="AI22" s="518" t="str">
        <f>IF(AND(_B="B-757",'2024'!$D$4="CA",'2024'!$D$2=AI5),'2024DATA'!$F$19,"")</f>
        <v/>
      </c>
      <c r="AJ22" s="518" t="str">
        <f>IF(AND(_B="B-757",'2024'!$D$4="CA",'2024'!$D$2=AJ5),'2024DATA'!$G$19,"")</f>
        <v/>
      </c>
      <c r="AK22" s="518" t="str">
        <f>IF(AND(_B="B-757",'2024'!$D$4="CA",'2024'!$D$2=AK5),'2024DATA'!$H$19,"")</f>
        <v/>
      </c>
      <c r="AL22" s="518" t="str">
        <f>IF(AND(_B="B-757",'2024'!$D$4="CA",'2024'!$D$2=AL5),'2024DATA'!$I$19,"")</f>
        <v/>
      </c>
      <c r="AM22" s="518" t="str">
        <f>IF(AND(_B="B-757",'2024'!$D$4="CA",'2024'!$D$2=AM5),'2024DATA'!$J$19,"")</f>
        <v/>
      </c>
      <c r="AN22" s="518" t="str">
        <f>IF(AND(_B="B-757",'2024'!$D$4="CA",'2024'!$D$2=AN5),'2024DATA'!$K$19,"")</f>
        <v/>
      </c>
      <c r="AO22" s="518" t="str">
        <f>IF(AND(_B="B-757",'2024'!$D$4="CA",'2024'!$D$2=AO5),'2024DATA'!$L$19,"")</f>
        <v/>
      </c>
      <c r="AP22" s="518" t="str">
        <f>IF(AND(_B="B-757",'2024'!$D$4="CA",'2024'!$D$2=AP5),'2024DATA'!$M$19,"")</f>
        <v/>
      </c>
      <c r="AQ22" s="520" t="str">
        <f>IF(AND(_B="B-757",'2024'!$D$4="CA",'2024'!$D$2=AQ5),'2024DATA'!$N$19,"")</f>
        <v/>
      </c>
      <c r="AR22" s="940" t="s">
        <v>45</v>
      </c>
      <c r="AS22" s="13" t="s">
        <v>61</v>
      </c>
      <c r="AT22" s="518" t="str">
        <f>IF(AND(_C="B-757",'2024'!$D$4="CA",'2024'!$D$2=AT5),'2024DATA'!$C$19,"")</f>
        <v/>
      </c>
      <c r="AU22" s="518" t="str">
        <f>IF(AND(_C="B-757",'2024'!$D$4="CA",'2024'!$D$2=AU5),'2024DATA'!$D$19,"")</f>
        <v/>
      </c>
      <c r="AV22" s="518" t="str">
        <f>IF(AND(_C="B-757",'2024'!$D$4="CA",'2024'!$D$2=AV5),'2024DATA'!$E$19,"")</f>
        <v/>
      </c>
      <c r="AW22" s="518" t="str">
        <f>IF(AND(_C="B-757",'2024'!$D$4="CA",'2024'!$D$2=AW5),'2024DATA'!$F$19,"")</f>
        <v/>
      </c>
      <c r="AX22" s="518" t="str">
        <f>IF(AND(_C="B-757",'2024'!$D$4="CA",'2024'!$D$2=AX5),'2024DATA'!$G$19,"")</f>
        <v/>
      </c>
      <c r="AY22" s="518" t="str">
        <f>IF(AND(_C="B-757",'2024'!$D$4="CA",'2024'!$D$2=AY5),'2024DATA'!$H$19,"")</f>
        <v/>
      </c>
      <c r="AZ22" s="518" t="str">
        <f>IF(AND(_C="B-757",'2024'!$D$4="CA",'2024'!$D$2=AZ5),'2024DATA'!$I$19,"")</f>
        <v/>
      </c>
      <c r="BA22" s="518" t="str">
        <f>IF(AND(_C="B-757",'2024'!$D$4="CA",'2024'!$D$2=BA5),'2024DATA'!$J$19,"")</f>
        <v/>
      </c>
      <c r="BB22" s="518" t="str">
        <f>IF(AND(_C="B-757",'2024'!$D$4="CA",'2024'!$D$2=BB5),'2024DATA'!$K$19,"")</f>
        <v/>
      </c>
      <c r="BC22" s="518" t="str">
        <f>IF(AND(_C="B-757",'2024'!$D$4="CA",'2024'!$D$2=BC5),'2024DATA'!$L$19,"")</f>
        <v/>
      </c>
      <c r="BD22" s="518" t="str">
        <f>IF(AND(_C="B-757",'2024'!$D$4="CA",'2024'!$D$2=BD5),'2024DATA'!$M$19,"")</f>
        <v/>
      </c>
      <c r="BE22" s="520" t="str">
        <f>IF(AND(_C="B-757",'2024'!$D$4="CA",'2024'!$D$2=BE5),'2024DATA'!$N$19,"")</f>
        <v/>
      </c>
      <c r="BF22" s="940" t="s">
        <v>45</v>
      </c>
      <c r="BG22" s="13" t="s">
        <v>61</v>
      </c>
      <c r="BH22" s="518" t="str">
        <f>IF(AND(_D="B-757",'2024'!$D$4="CA",'2024'!$D$2=BH5),'2024DATA'!$C$19,"")</f>
        <v/>
      </c>
      <c r="BI22" s="518" t="str">
        <f>IF(AND(_D="B-757",'2024'!$D$4="CA",'2024'!$D$2=BI5),'2024DATA'!$D$19,"")</f>
        <v/>
      </c>
      <c r="BJ22" s="518" t="str">
        <f>IF(AND(_D="B-757",'2024'!$D$4="CA",'2024'!$D$2=BJ5),'2024DATA'!$E$19,"")</f>
        <v/>
      </c>
      <c r="BK22" s="518" t="str">
        <f>IF(AND(_D="B-757",'2024'!$D$4="CA",'2024'!$D$2=BK5),'2024DATA'!$F$19,"")</f>
        <v/>
      </c>
      <c r="BL22" s="518" t="str">
        <f>IF(AND(_D="B-757",'2024'!$D$4="CA",'2024'!$D$2=BL5),'2024DATA'!$G$19,"")</f>
        <v/>
      </c>
      <c r="BM22" s="518" t="str">
        <f>IF(AND(_D="B-757",'2024'!$D$4="CA",'2024'!$D$2=BM5),'2024DATA'!$H$19,"")</f>
        <v/>
      </c>
      <c r="BN22" s="518" t="str">
        <f>IF(AND(_D="B-757",'2024'!$D$4="CA",'2024'!$D$2=BN5),'2024DATA'!$I$19,"")</f>
        <v/>
      </c>
      <c r="BO22" s="518" t="str">
        <f>IF(AND(_D="B-757",'2024'!$D$4="CA",'2024'!$D$2=BO5),'2024DATA'!$J$19,"")</f>
        <v/>
      </c>
      <c r="BP22" s="518" t="str">
        <f>IF(AND(_D="B-757",'2024'!$D$4="CA",'2024'!$D$2=BP5),'2024DATA'!$K$19,"")</f>
        <v/>
      </c>
      <c r="BQ22" s="518" t="str">
        <f>IF(AND(_D="B-757",'2024'!$D$4="CA",'2024'!$D$2=BQ5),'2024DATA'!$L$19,"")</f>
        <v/>
      </c>
      <c r="BR22" s="518" t="str">
        <f>IF(AND(_D="B-757",'2024'!$D$4="CA",'2024'!$D$2=BR5),'2024DATA'!$M$19,"")</f>
        <v/>
      </c>
      <c r="BS22" s="520" t="str">
        <f>IF(AND(_D="B-757",'2024'!$D$4="CA",'2024'!$D$2=BS5),'2024DATA'!$N$19,"")</f>
        <v/>
      </c>
      <c r="BT22" s="940" t="s">
        <v>45</v>
      </c>
      <c r="BU22" s="13" t="s">
        <v>61</v>
      </c>
      <c r="BV22" s="518" t="str">
        <f>IF(AND(_E="B-757",'2024'!$D$4="CA",'2024'!$D$2=BV5),'2024DATA'!$C$19,"")</f>
        <v/>
      </c>
      <c r="BW22" s="518" t="str">
        <f>IF(AND(_E="B-757",'2024'!$D$4="CA",'2024'!$D$2=BW5),'2024DATA'!$D$19,"")</f>
        <v/>
      </c>
      <c r="BX22" s="518" t="str">
        <f>IF(AND(_E="B-757",'2024'!$D$4="CA",'2024'!$D$2=BX5),'2024DATA'!$E$19,"")</f>
        <v/>
      </c>
      <c r="BY22" s="518" t="str">
        <f>IF(AND(_E="B-757",'2024'!$D$4="CA",'2024'!$D$2=BY5),'2024DATA'!$F$19,"")</f>
        <v/>
      </c>
      <c r="BZ22" s="518" t="str">
        <f>IF(AND(_E="B-757",'2024'!$D$4="CA",'2024'!$D$2=BZ5),'2024DATA'!$G$19,"")</f>
        <v/>
      </c>
      <c r="CA22" s="518" t="str">
        <f>IF(AND(_E="B-757",'2024'!$D$4="CA",'2024'!$D$2=CA5),'2024DATA'!$H$19,"")</f>
        <v/>
      </c>
      <c r="CB22" s="518" t="str">
        <f>IF(AND(_E="B-757",'2024'!$D$4="CA",'2024'!$D$2=CB5),'2024DATA'!$I$19,"")</f>
        <v/>
      </c>
      <c r="CC22" s="518" t="str">
        <f>IF(AND(_E="B-757",'2024'!$D$4="CA",'2024'!$D$2=CC5),'2024DATA'!$J$19,"")</f>
        <v/>
      </c>
      <c r="CD22" s="518" t="str">
        <f>IF(AND(_E="B-757",'2024'!$D$4="CA",'2024'!$D$2=CD5),'2024DATA'!$K$19,"")</f>
        <v/>
      </c>
      <c r="CE22" s="518" t="str">
        <f>IF(AND(_E="B-757",'2024'!$D$4="CA",'2024'!$D$2=CE5),'2024DATA'!$L$19,"")</f>
        <v/>
      </c>
      <c r="CF22" s="518" t="str">
        <f>IF(AND(_E="B-757",'2024'!$D$4="CA",'2024'!$D$2=CF5),'2024DATA'!$M$19,"")</f>
        <v/>
      </c>
      <c r="CG22" s="520" t="str">
        <f>IF(AND(_E="B-757",'2024'!$D$4="CA",'2024'!$D$2=CG5),'2024DATA'!$N$19,"")</f>
        <v/>
      </c>
      <c r="CH22" s="940" t="s">
        <v>45</v>
      </c>
      <c r="CI22" s="13" t="s">
        <v>61</v>
      </c>
      <c r="CJ22" s="518" t="str">
        <f>IF(AND(_F="B-757",'2024'!$D$4="CA",'2024'!$D$2=CJ5),'2024DATA'!$C$19,"")</f>
        <v/>
      </c>
      <c r="CK22" s="518" t="str">
        <f>IF(AND(_F="B-757",'2024'!$D$4="CA",'2024'!$D$2=CK5),'2024DATA'!$D$19,"")</f>
        <v/>
      </c>
      <c r="CL22" s="518" t="str">
        <f>IF(AND(_F="B-757",'2024'!$D$4="CA",'2024'!$D$2=CL5),'2024DATA'!$E$19,"")</f>
        <v/>
      </c>
      <c r="CM22" s="518" t="str">
        <f>IF(AND(_F="B-757",'2024'!$D$4="CA",'2024'!$D$2=CM5),'2024DATA'!$F$19,"")</f>
        <v/>
      </c>
      <c r="CN22" s="518" t="str">
        <f>IF(AND(_F="B-757",'2024'!$D$4="CA",'2024'!$D$2=CN5),'2024DATA'!$G$19,"")</f>
        <v/>
      </c>
      <c r="CO22" s="518" t="str">
        <f>IF(AND(_F="B-757",'2024'!$D$4="CA",'2024'!$D$2=CO5),'2024DATA'!$H$19,"")</f>
        <v/>
      </c>
      <c r="CP22" s="518" t="str">
        <f>IF(AND(_F="B-757",'2024'!$D$4="CA",'2024'!$D$2=CP5),'2024DATA'!$I$19,"")</f>
        <v/>
      </c>
      <c r="CQ22" s="518" t="str">
        <f>IF(AND(_F="B-757",'2024'!$D$4="CA",'2024'!$D$2=CQ5),'2024DATA'!$J$19,"")</f>
        <v/>
      </c>
      <c r="CR22" s="518" t="str">
        <f>IF(AND(_F="B-757",'2024'!$D$4="CA",'2024'!$D$2=CR5),'2024DATA'!$K$19,"")</f>
        <v/>
      </c>
      <c r="CS22" s="518" t="str">
        <f>IF(AND(_F="B-757",'2024'!$D$4="CA",'2024'!$D$2=CS5),'2024DATA'!$L$19,"")</f>
        <v/>
      </c>
      <c r="CT22" s="518" t="str">
        <f>IF(AND(_F="B-757",'2024'!$D$4="CA",'2024'!$D$2=CT5),'2024DATA'!$M$19,"")</f>
        <v/>
      </c>
      <c r="CU22" s="520" t="str">
        <f>IF(AND(_F="B-757",'2024'!$D$4="CA",'2024'!$D$2=CU5),'2024DATA'!$N$19,"")</f>
        <v/>
      </c>
    </row>
    <row r="23" spans="1:99" x14ac:dyDescent="0.25">
      <c r="A23" s="987" t="s">
        <v>69</v>
      </c>
      <c r="B23" s="64" t="s">
        <v>61</v>
      </c>
      <c r="C23" s="494">
        <v>358.97</v>
      </c>
      <c r="D23" s="473">
        <v>356.33</v>
      </c>
      <c r="E23" s="473">
        <v>353.61</v>
      </c>
      <c r="F23" s="473">
        <v>350.95</v>
      </c>
      <c r="G23" s="473">
        <v>348.24</v>
      </c>
      <c r="H23" s="473">
        <v>345.53</v>
      </c>
      <c r="I23" s="473">
        <v>342.87</v>
      </c>
      <c r="J23" s="473">
        <v>340.19</v>
      </c>
      <c r="K23" s="473">
        <v>337.47</v>
      </c>
      <c r="L23" s="473">
        <v>334.75</v>
      </c>
      <c r="M23" s="473">
        <v>332.14</v>
      </c>
      <c r="N23" s="495">
        <v>329.57</v>
      </c>
      <c r="P23" s="940"/>
      <c r="Q23" s="13" t="s">
        <v>62</v>
      </c>
      <c r="R23" s="518" t="str">
        <f>IF(AND(_A="B-757",'2024'!$D$4="FO",'2024'!$D$2=R5),'2024DATA'!$C$20,"")</f>
        <v/>
      </c>
      <c r="S23" s="518" t="str">
        <f>IF(AND(_A="B-757",'2024'!$D$4="FO",'2024'!$D$2=S5),'2024DATA'!$D$20,"")</f>
        <v/>
      </c>
      <c r="T23" s="518" t="str">
        <f>IF(AND(_A="B-757",'2024'!$D$4="FO",'2024'!$D$2=T5),'2024DATA'!$E$20,"")</f>
        <v/>
      </c>
      <c r="U23" s="518" t="str">
        <f>IF(AND(_A="B-757",'2024'!$D$4="FO",'2024'!$D$2=U5),'2024DATA'!$F$20,"")</f>
        <v/>
      </c>
      <c r="V23" s="518" t="str">
        <f>IF(AND(_A="B-757",'2024'!$D$4="FO",'2024'!$D$2=V5),'2024DATA'!$G$20,"")</f>
        <v/>
      </c>
      <c r="W23" s="518" t="str">
        <f>IF(AND(_A="B-757",'2024'!$D$4="FO",'2024'!$D$2=W5),'2024DATA'!$H$20,"")</f>
        <v/>
      </c>
      <c r="X23" s="518" t="str">
        <f>IF(AND(_A="B-757",'2024'!$D$4="FO",'2024'!$D$2=X5),'2024DATA'!$I$20,"")</f>
        <v/>
      </c>
      <c r="Y23" s="518" t="str">
        <f>IF(AND(_A="B-757",'2024'!$D$4="FO",'2024'!$D$2=Y5),'2024DATA'!$J$20,"")</f>
        <v/>
      </c>
      <c r="Z23" s="518" t="str">
        <f>IF(AND(_A="B-757",'2024'!$D$4="FO",'2024'!$D$2=Z5),'2024DATA'!$K$20,"")</f>
        <v/>
      </c>
      <c r="AA23" s="518" t="str">
        <f>IF(AND(_A="B-757",'2024'!$D$4="FO",'2024'!$D$2=AA5),'2024DATA'!$L$20,"")</f>
        <v/>
      </c>
      <c r="AB23" s="518" t="str">
        <f>IF(AND(_A="B-757",'2024'!$D$4="FO",'2024'!$D$2=AB5),'2024DATA'!$M$20,"")</f>
        <v/>
      </c>
      <c r="AC23" s="520" t="str">
        <f>IF(AND(_A="B-757",'2024'!$D$4="FO",'2024'!$D$2=AC5),'2024DATA'!$N$20,"")</f>
        <v/>
      </c>
      <c r="AD23" s="940"/>
      <c r="AE23" s="13" t="s">
        <v>62</v>
      </c>
      <c r="AF23" s="518" t="str">
        <f>IF(AND(_B="B-757",'2024'!$D$4="FO",'2024'!$D$2=AF5),'2024DATA'!$C$20,"")</f>
        <v/>
      </c>
      <c r="AG23" s="518" t="str">
        <f>IF(AND(_B="B-757",'2024'!$D$4="FO",'2024'!$D$2=AG5),'2024DATA'!$D$20,"")</f>
        <v/>
      </c>
      <c r="AH23" s="518" t="str">
        <f>IF(AND(_B="B-757",'2024'!$D$4="FO",'2024'!$D$2=AH5),'2024DATA'!$E$20,"")</f>
        <v/>
      </c>
      <c r="AI23" s="518" t="str">
        <f>IF(AND(_B="B-757",'2024'!$D$4="FO",'2024'!$D$2=AI5),'2024DATA'!$F$20,"")</f>
        <v/>
      </c>
      <c r="AJ23" s="518" t="str">
        <f>IF(AND(_B="B-757",'2024'!$D$4="FO",'2024'!$D$2=AJ5),'2024DATA'!$G$20,"")</f>
        <v/>
      </c>
      <c r="AK23" s="518" t="str">
        <f>IF(AND(_B="B-757",'2024'!$D$4="FO",'2024'!$D$2=AK5),'2024DATA'!$H$20,"")</f>
        <v/>
      </c>
      <c r="AL23" s="518" t="str">
        <f>IF(AND(_B="B-757",'2024'!$D$4="FO",'2024'!$D$2=AL5),'2024DATA'!$I$20,"")</f>
        <v/>
      </c>
      <c r="AM23" s="518" t="str">
        <f>IF(AND(_B="B-757",'2024'!$D$4="FO",'2024'!$D$2=AM5),'2024DATA'!$J$20,"")</f>
        <v/>
      </c>
      <c r="AN23" s="518" t="str">
        <f>IF(AND(_B="B-757",'2024'!$D$4="FO",'2024'!$D$2=AN5),'2024DATA'!$K$20,"")</f>
        <v/>
      </c>
      <c r="AO23" s="518" t="str">
        <f>IF(AND(_B="B-757",'2024'!$D$4="FO",'2024'!$D$2=AO5),'2024DATA'!$L$20,"")</f>
        <v/>
      </c>
      <c r="AP23" s="518" t="str">
        <f>IF(AND(_B="B-757",'2024'!$D$4="FO",'2024'!$D$2=AP5),'2024DATA'!$M$20,"")</f>
        <v/>
      </c>
      <c r="AQ23" s="520" t="str">
        <f>IF(AND(_B="B-757",'2024'!$D$4="FO",'2024'!$D$2=AQ5),'2024DATA'!$N$20,"")</f>
        <v/>
      </c>
      <c r="AR23" s="940"/>
      <c r="AS23" s="13" t="s">
        <v>62</v>
      </c>
      <c r="AT23" s="518" t="str">
        <f>IF(AND(_C="B-757",'2024'!$D$4="FO",'2024'!$D$2=AT5),'2024DATA'!$C$20,"")</f>
        <v/>
      </c>
      <c r="AU23" s="518" t="str">
        <f>IF(AND(_C="B-757",'2024'!$D$4="FO",'2024'!$D$2=AU5),'2024DATA'!$D$20,"")</f>
        <v/>
      </c>
      <c r="AV23" s="518" t="str">
        <f>IF(AND(_C="B-757",'2024'!$D$4="FO",'2024'!$D$2=AV5),'2024DATA'!$E$20,"")</f>
        <v/>
      </c>
      <c r="AW23" s="518" t="str">
        <f>IF(AND(_C="B-757",'2024'!$D$4="FO",'2024'!$D$2=AW5),'2024DATA'!$F$20,"")</f>
        <v/>
      </c>
      <c r="AX23" s="518" t="str">
        <f>IF(AND(_C="B-757",'2024'!$D$4="FO",'2024'!$D$2=AX5),'2024DATA'!$G$20,"")</f>
        <v/>
      </c>
      <c r="AY23" s="518" t="str">
        <f>IF(AND(_C="B-757",'2024'!$D$4="FO",'2024'!$D$2=AY5),'2024DATA'!$H$20,"")</f>
        <v/>
      </c>
      <c r="AZ23" s="518" t="str">
        <f>IF(AND(_C="B-757",'2024'!$D$4="FO",'2024'!$D$2=AZ5),'2024DATA'!$I$20,"")</f>
        <v/>
      </c>
      <c r="BA23" s="518" t="str">
        <f>IF(AND(_C="B-757",'2024'!$D$4="FO",'2024'!$D$2=BA5),'2024DATA'!$J$20,"")</f>
        <v/>
      </c>
      <c r="BB23" s="518" t="str">
        <f>IF(AND(_C="B-757",'2024'!$D$4="FO",'2024'!$D$2=BB5),'2024DATA'!$K$20,"")</f>
        <v/>
      </c>
      <c r="BC23" s="518" t="str">
        <f>IF(AND(_C="B-757",'2024'!$D$4="FO",'2024'!$D$2=BC5),'2024DATA'!$L$20,"")</f>
        <v/>
      </c>
      <c r="BD23" s="518" t="str">
        <f>IF(AND(_C="B-757",'2024'!$D$4="FO",'2024'!$D$2=BD5),'2024DATA'!$M$20,"")</f>
        <v/>
      </c>
      <c r="BE23" s="520" t="str">
        <f>IF(AND(_C="B-757",'2024'!$D$4="FO",'2024'!$D$2=BE5),'2024DATA'!$N$20,"")</f>
        <v/>
      </c>
      <c r="BF23" s="940"/>
      <c r="BG23" s="13" t="s">
        <v>62</v>
      </c>
      <c r="BH23" s="518" t="str">
        <f>IF(AND(_D="B-757",'2024'!$D$4="FO",'2024'!$D$2=BH5),'2024DATA'!$C$20,"")</f>
        <v/>
      </c>
      <c r="BI23" s="518" t="str">
        <f>IF(AND(_D="B-757",'2024'!$D$4="FO",'2024'!$D$2=BI5),'2024DATA'!$D$20,"")</f>
        <v/>
      </c>
      <c r="BJ23" s="518" t="str">
        <f>IF(AND(_D="B-757",'2024'!$D$4="FO",'2024'!$D$2=BJ5),'2024DATA'!$E$20,"")</f>
        <v/>
      </c>
      <c r="BK23" s="518" t="str">
        <f>IF(AND(_D="B-757",'2024'!$D$4="FO",'2024'!$D$2=BK5),'2024DATA'!$F$20,"")</f>
        <v/>
      </c>
      <c r="BL23" s="518" t="str">
        <f>IF(AND(_D="B-757",'2024'!$D$4="FO",'2024'!$D$2=BL5),'2024DATA'!$G$20,"")</f>
        <v/>
      </c>
      <c r="BM23" s="518" t="str">
        <f>IF(AND(_D="B-757",'2024'!$D$4="FO",'2024'!$D$2=BM5),'2024DATA'!$H$20,"")</f>
        <v/>
      </c>
      <c r="BN23" s="518" t="str">
        <f>IF(AND(_D="B-757",'2024'!$D$4="FO",'2024'!$D$2=BN5),'2024DATA'!$I$20,"")</f>
        <v/>
      </c>
      <c r="BO23" s="518" t="str">
        <f>IF(AND(_D="B-757",'2024'!$D$4="FO",'2024'!$D$2=BO5),'2024DATA'!$J$20,"")</f>
        <v/>
      </c>
      <c r="BP23" s="518" t="str">
        <f>IF(AND(_D="B-757",'2024'!$D$4="FO",'2024'!$D$2=BP5),'2024DATA'!$K$20,"")</f>
        <v/>
      </c>
      <c r="BQ23" s="518" t="str">
        <f>IF(AND(_D="B-757",'2024'!$D$4="FO",'2024'!$D$2=BQ5),'2024DATA'!$L$20,"")</f>
        <v/>
      </c>
      <c r="BR23" s="518" t="str">
        <f>IF(AND(_D="B-757",'2024'!$D$4="FO",'2024'!$D$2=BR5),'2024DATA'!$M$20,"")</f>
        <v/>
      </c>
      <c r="BS23" s="520" t="str">
        <f>IF(AND(_D="B-757",'2024'!$D$4="FO",'2024'!$D$2=BS5),'2024DATA'!$N$20,"")</f>
        <v/>
      </c>
      <c r="BT23" s="940"/>
      <c r="BU23" s="13" t="s">
        <v>62</v>
      </c>
      <c r="BV23" s="518" t="str">
        <f>IF(AND(_E="B-757",'2024'!$D$4="FO",'2024'!$D$2=BV5),'2024DATA'!$C$20,"")</f>
        <v/>
      </c>
      <c r="BW23" s="518" t="str">
        <f>IF(AND(_E="B-757",'2024'!$D$4="FO",'2024'!$D$2=BW5),'2024DATA'!$D$20,"")</f>
        <v/>
      </c>
      <c r="BX23" s="518" t="str">
        <f>IF(AND(_E="B-757",'2024'!$D$4="FO",'2024'!$D$2=BX5),'2024DATA'!$E$20,"")</f>
        <v/>
      </c>
      <c r="BY23" s="518" t="str">
        <f>IF(AND(_E="B-757",'2024'!$D$4="FO",'2024'!$D$2=BY5),'2024DATA'!$F$20,"")</f>
        <v/>
      </c>
      <c r="BZ23" s="518" t="str">
        <f>IF(AND(_E="B-757",'2024'!$D$4="FO",'2024'!$D$2=BZ5),'2024DATA'!$G$20,"")</f>
        <v/>
      </c>
      <c r="CA23" s="518" t="str">
        <f>IF(AND(_E="B-757",'2024'!$D$4="FO",'2024'!$D$2=CA5),'2024DATA'!$H$20,"")</f>
        <v/>
      </c>
      <c r="CB23" s="518" t="str">
        <f>IF(AND(_E="B-757",'2024'!$D$4="FO",'2024'!$D$2=CB5),'2024DATA'!$I$20,"")</f>
        <v/>
      </c>
      <c r="CC23" s="518" t="str">
        <f>IF(AND(_E="B-757",'2024'!$D$4="FO",'2024'!$D$2=CC5),'2024DATA'!$J$20,"")</f>
        <v/>
      </c>
      <c r="CD23" s="518" t="str">
        <f>IF(AND(_E="B-757",'2024'!$D$4="FO",'2024'!$D$2=CD5),'2024DATA'!$K$20,"")</f>
        <v/>
      </c>
      <c r="CE23" s="518" t="str">
        <f>IF(AND(_E="B-757",'2024'!$D$4="FO",'2024'!$D$2=CE5),'2024DATA'!$L$20,"")</f>
        <v/>
      </c>
      <c r="CF23" s="518" t="str">
        <f>IF(AND(_E="B-757",'2024'!$D$4="FO",'2024'!$D$2=CF5),'2024DATA'!$M$20,"")</f>
        <v/>
      </c>
      <c r="CG23" s="520" t="str">
        <f>IF(AND(_E="B-757",'2024'!$D$4="FO",'2024'!$D$2=CG5),'2024DATA'!$N$20,"")</f>
        <v/>
      </c>
      <c r="CH23" s="940"/>
      <c r="CI23" s="13" t="s">
        <v>62</v>
      </c>
      <c r="CJ23" s="518" t="str">
        <f>IF(AND(_F="B-757",'2024'!$D$4="FO",'2024'!$D$2=CJ5),'2024DATA'!$C$20,"")</f>
        <v/>
      </c>
      <c r="CK23" s="518" t="str">
        <f>IF(AND(_F="B-757",'2024'!$D$4="FO",'2024'!$D$2=CK5),'2024DATA'!$D$20,"")</f>
        <v/>
      </c>
      <c r="CL23" s="518" t="str">
        <f>IF(AND(_F="B-757",'2024'!$D$4="FO",'2024'!$D$2=CL5),'2024DATA'!$E$20,"")</f>
        <v/>
      </c>
      <c r="CM23" s="518" t="str">
        <f>IF(AND(_F="B-757",'2024'!$D$4="FO",'2024'!$D$2=CM5),'2024DATA'!$F$20,"")</f>
        <v/>
      </c>
      <c r="CN23" s="518" t="str">
        <f>IF(AND(_F="B-757",'2024'!$D$4="FO",'2024'!$D$2=CN5),'2024DATA'!$G$20,"")</f>
        <v/>
      </c>
      <c r="CO23" s="518" t="str">
        <f>IF(AND(_F="B-757",'2024'!$D$4="FO",'2024'!$D$2=CO5),'2024DATA'!$H$20,"")</f>
        <v/>
      </c>
      <c r="CP23" s="518" t="str">
        <f>IF(AND(_F="B-757",'2024'!$D$4="FO",'2024'!$D$2=CP5),'2024DATA'!$I$20,"")</f>
        <v/>
      </c>
      <c r="CQ23" s="518" t="str">
        <f>IF(AND(_F="B-757",'2024'!$D$4="FO",'2024'!$D$2=CQ5),'2024DATA'!$J$20,"")</f>
        <v/>
      </c>
      <c r="CR23" s="518" t="str">
        <f>IF(AND(_F="B-757",'2024'!$D$4="FO",'2024'!$D$2=CR5),'2024DATA'!$K$20,"")</f>
        <v/>
      </c>
      <c r="CS23" s="518" t="str">
        <f>IF(AND(_F="B-757",'2024'!$D$4="FO",'2024'!$D$2=CS5),'2024DATA'!$L$20,"")</f>
        <v/>
      </c>
      <c r="CT23" s="518" t="str">
        <f>IF(AND(_F="B-757",'2024'!$D$4="FO",'2024'!$D$2=CT5),'2024DATA'!$M$20,"")</f>
        <v/>
      </c>
      <c r="CU23" s="520" t="str">
        <f>IF(AND(_F="B-757",'2024'!$D$4="FO",'2024'!$D$2=CU5),'2024DATA'!$N$20,"")</f>
        <v/>
      </c>
    </row>
    <row r="24" spans="1:99" x14ac:dyDescent="0.25">
      <c r="A24" s="987"/>
      <c r="B24" s="64" t="s">
        <v>62</v>
      </c>
      <c r="C24" s="494">
        <v>245.19</v>
      </c>
      <c r="D24" s="473">
        <v>243</v>
      </c>
      <c r="E24" s="473">
        <v>240.79</v>
      </c>
      <c r="F24" s="473">
        <v>237.58</v>
      </c>
      <c r="G24" s="473">
        <v>235.07</v>
      </c>
      <c r="H24" s="473">
        <v>229.76</v>
      </c>
      <c r="I24" s="473">
        <v>223.52</v>
      </c>
      <c r="J24" s="473">
        <v>218.07</v>
      </c>
      <c r="K24" s="473">
        <v>212.95</v>
      </c>
      <c r="L24" s="473">
        <v>207.89</v>
      </c>
      <c r="M24" s="473">
        <v>177.71</v>
      </c>
      <c r="N24" s="495">
        <v>116.05</v>
      </c>
      <c r="P24" s="940" t="s">
        <v>47</v>
      </c>
      <c r="Q24" s="13" t="s">
        <v>61</v>
      </c>
      <c r="R24" s="518" t="str">
        <f>IF(AND(_A="B-737-900",'2024'!$D$4="CA",'2024'!$D$2=R5),'2024DATA'!$C$21,"")</f>
        <v/>
      </c>
      <c r="S24" s="518" t="str">
        <f>IF(AND(_A="B-737-900",'2024'!$D$4="CA",'2024'!$D$2=S5),'2024DATA'!$D$21,"")</f>
        <v/>
      </c>
      <c r="T24" s="518" t="str">
        <f>IF(AND(_A="B-737-900",'2024'!$D$4="CA",'2024'!$D$2=T5),'2024DATA'!$E$21,"")</f>
        <v/>
      </c>
      <c r="U24" s="518" t="str">
        <f>IF(AND(_A="B-737-900",'2024'!$D$4="CA",'2024'!$D$2=U5),'2024DATA'!$F$21,"")</f>
        <v/>
      </c>
      <c r="V24" s="518" t="str">
        <f>IF(AND(_A="B-737-900",'2024'!$D$4="CA",'2024'!$D$2=V5),'2024DATA'!$G$21,"")</f>
        <v/>
      </c>
      <c r="W24" s="518" t="str">
        <f>IF(AND(_A="B-737-900",'2024'!$D$4="CA",'2024'!$D$2=W5),'2024DATA'!$H$21,"")</f>
        <v/>
      </c>
      <c r="X24" s="518" t="str">
        <f>IF(AND(_A="B-737-900",'2024'!$D$4="CA",'2024'!$D$2=X5),'2024DATA'!$I$21,"")</f>
        <v/>
      </c>
      <c r="Y24" s="518" t="str">
        <f>IF(AND(_A="B-737-900",'2024'!$D$4="CA",'2024'!$D$2=Y5),'2024DATA'!$J$21,"")</f>
        <v/>
      </c>
      <c r="Z24" s="518" t="str">
        <f>IF(AND(_A="B-737-900",'2024'!$D$4="CA",'2024'!$D$2=Z5),'2024DATA'!$K$21,"")</f>
        <v/>
      </c>
      <c r="AA24" s="518" t="str">
        <f>IF(AND(_A="B-737-900",'2024'!$D$4="CA",'2024'!$D$2=AA5),'2024DATA'!$L$21,"")</f>
        <v/>
      </c>
      <c r="AB24" s="518" t="str">
        <f>IF(AND(_A="B-737-900",'2024'!$D$4="CA",'2024'!$D$2=AB5),'2024DATA'!$M$21,"")</f>
        <v/>
      </c>
      <c r="AC24" s="520" t="str">
        <f>IF(AND(_A="B-737-900",'2024'!$D$4="CA",'2024'!$D$2=AC5),'2024DATA'!$N$21,"")</f>
        <v/>
      </c>
      <c r="AD24" s="940" t="s">
        <v>47</v>
      </c>
      <c r="AE24" s="13" t="s">
        <v>61</v>
      </c>
      <c r="AF24" s="518" t="str">
        <f>IF(AND(_B="B-737-900",'2024'!$D$4="CA",'2024'!$D$2=AF5),'2024DATA'!$C$21,"")</f>
        <v/>
      </c>
      <c r="AG24" s="518" t="str">
        <f>IF(AND(_B="B-737-900",'2024'!$D$4="CA",'2024'!$D$2=AG5),'2024DATA'!$D$21,"")</f>
        <v/>
      </c>
      <c r="AH24" s="518" t="str">
        <f>IF(AND(_B="B-737-900",'2024'!$D$4="CA",'2024'!$D$2=AH5),'2024DATA'!$E$21,"")</f>
        <v/>
      </c>
      <c r="AI24" s="518" t="str">
        <f>IF(AND(_B="B-737-900",'2024'!$D$4="CA",'2024'!$D$2=AI5),'2024DATA'!$F$21,"")</f>
        <v/>
      </c>
      <c r="AJ24" s="518" t="str">
        <f>IF(AND(_B="B-737-900",'2024'!$D$4="CA",'2024'!$D$2=AJ5),'2024DATA'!$G$21,"")</f>
        <v/>
      </c>
      <c r="AK24" s="518" t="str">
        <f>IF(AND(_B="B-737-900",'2024'!$D$4="CA",'2024'!$D$2=AK5),'2024DATA'!$H$21,"")</f>
        <v/>
      </c>
      <c r="AL24" s="518" t="str">
        <f>IF(AND(_B="B-737-900",'2024'!$D$4="CA",'2024'!$D$2=AL5),'2024DATA'!$I$21,"")</f>
        <v/>
      </c>
      <c r="AM24" s="518" t="str">
        <f>IF(AND(_B="B-737-900",'2024'!$D$4="CA",'2024'!$D$2=AM5),'2024DATA'!$J$21,"")</f>
        <v/>
      </c>
      <c r="AN24" s="518" t="str">
        <f>IF(AND(_B="B-737-900",'2024'!$D$4="CA",'2024'!$D$2=AN5),'2024DATA'!$K$21,"")</f>
        <v/>
      </c>
      <c r="AO24" s="518" t="str">
        <f>IF(AND(_B="B-737-900",'2024'!$D$4="CA",'2024'!$D$2=AO5),'2024DATA'!$L$21,"")</f>
        <v/>
      </c>
      <c r="AP24" s="518" t="str">
        <f>IF(AND(_B="B-737-900",'2024'!$D$4="CA",'2024'!$D$2=AP5),'2024DATA'!$M$21,"")</f>
        <v/>
      </c>
      <c r="AQ24" s="520" t="str">
        <f>IF(AND(_B="B-737-900",'2024'!$D$4="CA",'2024'!$D$2=AQ5),'2024DATA'!$N$21,"")</f>
        <v/>
      </c>
      <c r="AR24" s="940" t="s">
        <v>47</v>
      </c>
      <c r="AS24" s="13" t="s">
        <v>61</v>
      </c>
      <c r="AT24" s="518" t="str">
        <f>IF(AND(_C="B-737-900",'2024'!$D$4="CA",'2024'!$D$2=AT5),'2024DATA'!$C$21,"")</f>
        <v/>
      </c>
      <c r="AU24" s="518" t="str">
        <f>IF(AND(_C="B-737-900",'2024'!$D$4="CA",'2024'!$D$2=AU5),'2024DATA'!$D$21,"")</f>
        <v/>
      </c>
      <c r="AV24" s="518" t="str">
        <f>IF(AND(_C="B-737-900",'2024'!$D$4="CA",'2024'!$D$2=AV5),'2024DATA'!$E$21,"")</f>
        <v/>
      </c>
      <c r="AW24" s="518" t="str">
        <f>IF(AND(_C="B-737-900",'2024'!$D$4="CA",'2024'!$D$2=AW5),'2024DATA'!$F$21,"")</f>
        <v/>
      </c>
      <c r="AX24" s="518" t="str">
        <f>IF(AND(_C="B-737-900",'2024'!$D$4="CA",'2024'!$D$2=AX5),'2024DATA'!$G$21,"")</f>
        <v/>
      </c>
      <c r="AY24" s="518" t="str">
        <f>IF(AND(_C="B-737-900",'2024'!$D$4="CA",'2024'!$D$2=AY5),'2024DATA'!$H$21,"")</f>
        <v/>
      </c>
      <c r="AZ24" s="518" t="str">
        <f>IF(AND(_C="B-737-900",'2024'!$D$4="CA",'2024'!$D$2=AZ5),'2024DATA'!$I$21,"")</f>
        <v/>
      </c>
      <c r="BA24" s="518" t="str">
        <f>IF(AND(_C="B-737-900",'2024'!$D$4="CA",'2024'!$D$2=BA5),'2024DATA'!$J$21,"")</f>
        <v/>
      </c>
      <c r="BB24" s="518" t="str">
        <f>IF(AND(_C="B-737-900",'2024'!$D$4="CA",'2024'!$D$2=BB5),'2024DATA'!$K$21,"")</f>
        <v/>
      </c>
      <c r="BC24" s="518" t="str">
        <f>IF(AND(_C="B-737-900",'2024'!$D$4="CA",'2024'!$D$2=BC5),'2024DATA'!$L$21,"")</f>
        <v/>
      </c>
      <c r="BD24" s="518" t="str">
        <f>IF(AND(_C="B-737-900",'2024'!$D$4="CA",'2024'!$D$2=BD5),'2024DATA'!$M$21,"")</f>
        <v/>
      </c>
      <c r="BE24" s="520" t="str">
        <f>IF(AND(_C="B-737-900",'2024'!$D$4="CA",'2024'!$D$2=BE5),'2024DATA'!$N$21,"")</f>
        <v/>
      </c>
      <c r="BF24" s="940" t="s">
        <v>47</v>
      </c>
      <c r="BG24" s="13" t="s">
        <v>61</v>
      </c>
      <c r="BH24" s="518" t="str">
        <f>IF(AND(_D="B-737-900",'2024'!$D$4="CA",'2024'!$D$2=BH5),'2024DATA'!$C$21,"")</f>
        <v/>
      </c>
      <c r="BI24" s="518" t="str">
        <f>IF(AND(_D="B-737-900",'2024'!$D$4="CA",'2024'!$D$2=BI5),'2024DATA'!$D$21,"")</f>
        <v/>
      </c>
      <c r="BJ24" s="518" t="str">
        <f>IF(AND(_D="B-737-900",'2024'!$D$4="CA",'2024'!$D$2=BJ5),'2024DATA'!$E$21,"")</f>
        <v/>
      </c>
      <c r="BK24" s="518" t="str">
        <f>IF(AND(_D="B-737-900",'2024'!$D$4="CA",'2024'!$D$2=BK5),'2024DATA'!$F$21,"")</f>
        <v/>
      </c>
      <c r="BL24" s="518" t="str">
        <f>IF(AND(_D="B-737-900",'2024'!$D$4="CA",'2024'!$D$2=BL5),'2024DATA'!$G$21,"")</f>
        <v/>
      </c>
      <c r="BM24" s="518" t="str">
        <f>IF(AND(_D="B-737-900",'2024'!$D$4="CA",'2024'!$D$2=BM5),'2024DATA'!$H$21,"")</f>
        <v/>
      </c>
      <c r="BN24" s="518" t="str">
        <f>IF(AND(_D="B-737-900",'2024'!$D$4="CA",'2024'!$D$2=BN5),'2024DATA'!$I$21,"")</f>
        <v/>
      </c>
      <c r="BO24" s="518" t="str">
        <f>IF(AND(_D="B-737-900",'2024'!$D$4="CA",'2024'!$D$2=BO5),'2024DATA'!$J$21,"")</f>
        <v/>
      </c>
      <c r="BP24" s="518" t="str">
        <f>IF(AND(_D="B-737-900",'2024'!$D$4="CA",'2024'!$D$2=BP5),'2024DATA'!$K$21,"")</f>
        <v/>
      </c>
      <c r="BQ24" s="518" t="str">
        <f>IF(AND(_D="B-737-900",'2024'!$D$4="CA",'2024'!$D$2=BQ5),'2024DATA'!$L$21,"")</f>
        <v/>
      </c>
      <c r="BR24" s="518" t="str">
        <f>IF(AND(_D="B-737-900",'2024'!$D$4="CA",'2024'!$D$2=BR5),'2024DATA'!$M$21,"")</f>
        <v/>
      </c>
      <c r="BS24" s="520" t="str">
        <f>IF(AND(_D="B-737-900",'2024'!$D$4="CA",'2024'!$D$2=BS5),'2024DATA'!$N$21,"")</f>
        <v/>
      </c>
      <c r="BT24" s="940" t="s">
        <v>47</v>
      </c>
      <c r="BU24" s="13" t="s">
        <v>61</v>
      </c>
      <c r="BV24" s="518" t="str">
        <f>IF(AND(_E="B-737-900",'2024'!$D$4="CA",'2024'!$D$2=BV5),'2024DATA'!$C$21,"")</f>
        <v/>
      </c>
      <c r="BW24" s="518" t="str">
        <f>IF(AND(_E="B-737-900",'2024'!$D$4="CA",'2024'!$D$2=BW5),'2024DATA'!$D$21,"")</f>
        <v/>
      </c>
      <c r="BX24" s="518" t="str">
        <f>IF(AND(_E="B-737-900",'2024'!$D$4="CA",'2024'!$D$2=BX5),'2024DATA'!$E$21,"")</f>
        <v/>
      </c>
      <c r="BY24" s="518" t="str">
        <f>IF(AND(_E="B-737-900",'2024'!$D$4="CA",'2024'!$D$2=BY5),'2024DATA'!$F$21,"")</f>
        <v/>
      </c>
      <c r="BZ24" s="518" t="str">
        <f>IF(AND(_E="B-737-900",'2024'!$D$4="CA",'2024'!$D$2=BZ5),'2024DATA'!$G$21,"")</f>
        <v/>
      </c>
      <c r="CA24" s="518" t="str">
        <f>IF(AND(_E="B-737-900",'2024'!$D$4="CA",'2024'!$D$2=CA5),'2024DATA'!$H$21,"")</f>
        <v/>
      </c>
      <c r="CB24" s="518" t="str">
        <f>IF(AND(_E="B-737-900",'2024'!$D$4="CA",'2024'!$D$2=CB5),'2024DATA'!$I$21,"")</f>
        <v/>
      </c>
      <c r="CC24" s="518" t="str">
        <f>IF(AND(_E="B-737-900",'2024'!$D$4="CA",'2024'!$D$2=CC5),'2024DATA'!$J$21,"")</f>
        <v/>
      </c>
      <c r="CD24" s="518" t="str">
        <f>IF(AND(_E="B-737-900",'2024'!$D$4="CA",'2024'!$D$2=CD5),'2024DATA'!$K$21,"")</f>
        <v/>
      </c>
      <c r="CE24" s="518" t="str">
        <f>IF(AND(_E="B-737-900",'2024'!$D$4="CA",'2024'!$D$2=CE5),'2024DATA'!$L$21,"")</f>
        <v/>
      </c>
      <c r="CF24" s="518" t="str">
        <f>IF(AND(_E="B-737-900",'2024'!$D$4="CA",'2024'!$D$2=CF5),'2024DATA'!$M$21,"")</f>
        <v/>
      </c>
      <c r="CG24" s="520" t="str">
        <f>IF(AND(_E="B-737-900",'2024'!$D$4="CA",'2024'!$D$2=CG5),'2024DATA'!$N$21,"")</f>
        <v/>
      </c>
      <c r="CH24" s="940" t="s">
        <v>47</v>
      </c>
      <c r="CI24" s="13" t="s">
        <v>61</v>
      </c>
      <c r="CJ24" s="518" t="str">
        <f>IF(AND(_F="B-737-900",'2024'!$D$4="CA",'2024'!$D$2=CJ5),'2024DATA'!$C$21,"")</f>
        <v/>
      </c>
      <c r="CK24" s="518" t="str">
        <f>IF(AND(_F="B-737-900",'2024'!$D$4="CA",'2024'!$D$2=CK5),'2024DATA'!$D$21,"")</f>
        <v/>
      </c>
      <c r="CL24" s="518" t="str">
        <f>IF(AND(_F="B-737-900",'2024'!$D$4="CA",'2024'!$D$2=CL5),'2024DATA'!$E$21,"")</f>
        <v/>
      </c>
      <c r="CM24" s="518" t="str">
        <f>IF(AND(_F="B-737-900",'2024'!$D$4="CA",'2024'!$D$2=CM5),'2024DATA'!$F$21,"")</f>
        <v/>
      </c>
      <c r="CN24" s="518" t="str">
        <f>IF(AND(_F="B-737-900",'2024'!$D$4="CA",'2024'!$D$2=CN5),'2024DATA'!$G$21,"")</f>
        <v/>
      </c>
      <c r="CO24" s="518" t="str">
        <f>IF(AND(_F="B-737-900",'2024'!$D$4="CA",'2024'!$D$2=CO5),'2024DATA'!$H$21,"")</f>
        <v/>
      </c>
      <c r="CP24" s="518" t="str">
        <f>IF(AND(_F="B-737-900",'2024'!$D$4="CA",'2024'!$D$2=CP5),'2024DATA'!$I$21,"")</f>
        <v/>
      </c>
      <c r="CQ24" s="518" t="str">
        <f>IF(AND(_F="B-737-900",'2024'!$D$4="CA",'2024'!$D$2=CQ5),'2024DATA'!$J$21,"")</f>
        <v/>
      </c>
      <c r="CR24" s="518" t="str">
        <f>IF(AND(_F="B-737-900",'2024'!$D$4="CA",'2024'!$D$2=CR5),'2024DATA'!$K$21,"")</f>
        <v/>
      </c>
      <c r="CS24" s="518" t="str">
        <f>IF(AND(_F="B-737-900",'2024'!$D$4="CA",'2024'!$D$2=CS5),'2024DATA'!$L$21,"")</f>
        <v/>
      </c>
      <c r="CT24" s="518" t="str">
        <f>IF(AND(_F="B-737-900",'2024'!$D$4="CA",'2024'!$D$2=CT5),'2024DATA'!$M$21,"")</f>
        <v/>
      </c>
      <c r="CU24" s="520" t="str">
        <f>IF(AND(_F="B-737-900",'2024'!$D$4="CA",'2024'!$D$2=CU5),'2024DATA'!$N$21,"")</f>
        <v/>
      </c>
    </row>
    <row r="25" spans="1:99" x14ac:dyDescent="0.25">
      <c r="A25" s="987" t="s">
        <v>46</v>
      </c>
      <c r="B25" s="64" t="s">
        <v>61</v>
      </c>
      <c r="C25" s="494">
        <v>374.36</v>
      </c>
      <c r="D25" s="473">
        <v>370.54</v>
      </c>
      <c r="E25" s="473">
        <v>366.59</v>
      </c>
      <c r="F25" s="473">
        <v>362.69</v>
      </c>
      <c r="G25" s="473">
        <v>360.13</v>
      </c>
      <c r="H25" s="473">
        <v>357.17</v>
      </c>
      <c r="I25" s="473">
        <v>354.55</v>
      </c>
      <c r="J25" s="473">
        <v>351.81</v>
      </c>
      <c r="K25" s="473">
        <v>348.84</v>
      </c>
      <c r="L25" s="473">
        <v>346.03</v>
      </c>
      <c r="M25" s="473">
        <v>343.25</v>
      </c>
      <c r="N25" s="495">
        <v>340.36</v>
      </c>
      <c r="P25" s="940"/>
      <c r="Q25" s="13" t="s">
        <v>62</v>
      </c>
      <c r="R25" s="518" t="str">
        <f>IF(AND(_A="B-737-900",'2024'!$D$4="FO",'2024'!$D$2=R5),'2024DATA'!$C$22,"")</f>
        <v/>
      </c>
      <c r="S25" s="518" t="str">
        <f>IF(AND(_A="B-737-900",'2024'!$D$4="FO",'2024'!$D$2=S5),'2024DATA'!$D$22,"")</f>
        <v/>
      </c>
      <c r="T25" s="518" t="str">
        <f>IF(AND(_A="B-737-900",'2024'!$D$4="FO",'2024'!$D$2=T5),'2024DATA'!$E$22,"")</f>
        <v/>
      </c>
      <c r="U25" s="518" t="str">
        <f>IF(AND(_A="B-737-900",'2024'!$D$4="FO",'2024'!$D$2=U5),'2024DATA'!$F$22,"")</f>
        <v/>
      </c>
      <c r="V25" s="518" t="str">
        <f>IF(AND(_A="B-737-900",'2024'!$D$4="FO",'2024'!$D$2=V5),'2024DATA'!$G$22,"")</f>
        <v/>
      </c>
      <c r="W25" s="518" t="str">
        <f>IF(AND(_A="B-737-900",'2024'!$D$4="FO",'2024'!$D$2=W5),'2024DATA'!$H$22,"")</f>
        <v/>
      </c>
      <c r="X25" s="518" t="str">
        <f>IF(AND(_A="B-737-900",'2024'!$D$4="FO",'2024'!$D$2=X5),'2024DATA'!$I$22,"")</f>
        <v/>
      </c>
      <c r="Y25" s="518" t="str">
        <f>IF(AND(_A="B-737-900",'2024'!$D$4="FO",'2024'!$D$2=Y5),'2024DATA'!$J$22,"")</f>
        <v/>
      </c>
      <c r="Z25" s="518" t="str">
        <f>IF(AND(_A="B-737-900",'2024'!$D$4="FO",'2024'!$D$2=Z5),'2024DATA'!$K$22,"")</f>
        <v/>
      </c>
      <c r="AA25" s="518" t="str">
        <f>IF(AND(_A="B-737-900",'2024'!$D$4="FO",'2024'!$D$2=AA5),'2024DATA'!$L$22,"")</f>
        <v/>
      </c>
      <c r="AB25" s="518" t="str">
        <f>IF(AND(_A="B-737-900",'2024'!$D$4="FO",'2024'!$D$2=AB5),'2024DATA'!$M$22,"")</f>
        <v/>
      </c>
      <c r="AC25" s="520" t="str">
        <f>IF(AND(_A="B-737-900",'2024'!$D$4="FO",'2024'!$D$2=AC5),'2024DATA'!$N$22,"")</f>
        <v/>
      </c>
      <c r="AD25" s="940"/>
      <c r="AE25" s="13" t="s">
        <v>62</v>
      </c>
      <c r="AF25" s="518" t="str">
        <f>IF(AND(_B="B-737-900",'2024'!$D$4="FO",'2024'!$D$2=AF5),'2024DATA'!$C$22,"")</f>
        <v/>
      </c>
      <c r="AG25" s="518" t="str">
        <f>IF(AND(_B="B-737-900",'2024'!$D$4="FO",'2024'!$D$2=AG5),'2024DATA'!$D$22,"")</f>
        <v/>
      </c>
      <c r="AH25" s="518" t="str">
        <f>IF(AND(_B="B-737-900",'2024'!$D$4="FO",'2024'!$D$2=AH5),'2024DATA'!$E$22,"")</f>
        <v/>
      </c>
      <c r="AI25" s="518" t="str">
        <f>IF(AND(_B="B-737-900",'2024'!$D$4="FO",'2024'!$D$2=AI5),'2024DATA'!$F$22,"")</f>
        <v/>
      </c>
      <c r="AJ25" s="518" t="str">
        <f>IF(AND(_B="B-737-900",'2024'!$D$4="FO",'2024'!$D$2=AJ5),'2024DATA'!$G$22,"")</f>
        <v/>
      </c>
      <c r="AK25" s="518" t="str">
        <f>IF(AND(_B="B-737-900",'2024'!$D$4="FO",'2024'!$D$2=AK5),'2024DATA'!$H$22,"")</f>
        <v/>
      </c>
      <c r="AL25" s="518" t="str">
        <f>IF(AND(_B="B-737-900",'2024'!$D$4="FO",'2024'!$D$2=AL5),'2024DATA'!$I$22,"")</f>
        <v/>
      </c>
      <c r="AM25" s="518" t="str">
        <f>IF(AND(_B="B-737-900",'2024'!$D$4="FO",'2024'!$D$2=AM5),'2024DATA'!$J$22,"")</f>
        <v/>
      </c>
      <c r="AN25" s="518" t="str">
        <f>IF(AND(_B="B-737-900",'2024'!$D$4="FO",'2024'!$D$2=AN5),'2024DATA'!$K$22,"")</f>
        <v/>
      </c>
      <c r="AO25" s="518" t="str">
        <f>IF(AND(_B="B-737-900",'2024'!$D$4="FO",'2024'!$D$2=AO5),'2024DATA'!$L$22,"")</f>
        <v/>
      </c>
      <c r="AP25" s="518" t="str">
        <f>IF(AND(_B="B-737-900",'2024'!$D$4="FO",'2024'!$D$2=AP5),'2024DATA'!$M$22,"")</f>
        <v/>
      </c>
      <c r="AQ25" s="520" t="str">
        <f>IF(AND(_B="B-737-900",'2024'!$D$4="FO",'2024'!$D$2=AQ5),'2024DATA'!$N$22,"")</f>
        <v/>
      </c>
      <c r="AR25" s="940"/>
      <c r="AS25" s="13" t="s">
        <v>62</v>
      </c>
      <c r="AT25" s="518" t="str">
        <f>IF(AND(_C="B-737-900",'2024'!$D$4="FO",'2024'!$D$2=AT5),'2024DATA'!$C$22,"")</f>
        <v/>
      </c>
      <c r="AU25" s="518" t="str">
        <f>IF(AND(_C="B-737-900",'2024'!$D$4="FO",'2024'!$D$2=AU5),'2024DATA'!$D$22,"")</f>
        <v/>
      </c>
      <c r="AV25" s="518" t="str">
        <f>IF(AND(_C="B-737-900",'2024'!$D$4="FO",'2024'!$D$2=AV5),'2024DATA'!$E$22,"")</f>
        <v/>
      </c>
      <c r="AW25" s="518" t="str">
        <f>IF(AND(_C="B-737-900",'2024'!$D$4="FO",'2024'!$D$2=AW5),'2024DATA'!$F$22,"")</f>
        <v/>
      </c>
      <c r="AX25" s="518" t="str">
        <f>IF(AND(_C="B-737-900",'2024'!$D$4="FO",'2024'!$D$2=AX5),'2024DATA'!$G$22,"")</f>
        <v/>
      </c>
      <c r="AY25" s="518" t="str">
        <f>IF(AND(_C="B-737-900",'2024'!$D$4="FO",'2024'!$D$2=AY5),'2024DATA'!$H$22,"")</f>
        <v/>
      </c>
      <c r="AZ25" s="518" t="str">
        <f>IF(AND(_C="B-737-900",'2024'!$D$4="FO",'2024'!$D$2=AZ5),'2024DATA'!$I$22,"")</f>
        <v/>
      </c>
      <c r="BA25" s="518" t="str">
        <f>IF(AND(_C="B-737-900",'2024'!$D$4="FO",'2024'!$D$2=BA5),'2024DATA'!$J$22,"")</f>
        <v/>
      </c>
      <c r="BB25" s="518" t="str">
        <f>IF(AND(_C="B-737-900",'2024'!$D$4="FO",'2024'!$D$2=BB5),'2024DATA'!$K$22,"")</f>
        <v/>
      </c>
      <c r="BC25" s="518" t="str">
        <f>IF(AND(_C="B-737-900",'2024'!$D$4="FO",'2024'!$D$2=BC5),'2024DATA'!$L$22,"")</f>
        <v/>
      </c>
      <c r="BD25" s="518" t="str">
        <f>IF(AND(_C="B-737-900",'2024'!$D$4="FO",'2024'!$D$2=BD5),'2024DATA'!$M$22,"")</f>
        <v/>
      </c>
      <c r="BE25" s="520" t="str">
        <f>IF(AND(_C="B-737-900",'2024'!$D$4="FO",'2024'!$D$2=BE5),'2024DATA'!$N$22,"")</f>
        <v/>
      </c>
      <c r="BF25" s="940"/>
      <c r="BG25" s="13" t="s">
        <v>62</v>
      </c>
      <c r="BH25" s="518" t="str">
        <f>IF(AND(_D="B-737-900",'2024'!$D$4="FO",'2024'!$D$2=BH5),'2024DATA'!$C$22,"")</f>
        <v/>
      </c>
      <c r="BI25" s="518" t="str">
        <f>IF(AND(_D="B-737-900",'2024'!$D$4="FO",'2024'!$D$2=BI5),'2024DATA'!$D$22,"")</f>
        <v/>
      </c>
      <c r="BJ25" s="518" t="str">
        <f>IF(AND(_D="B-737-900",'2024'!$D$4="FO",'2024'!$D$2=BJ5),'2024DATA'!$E$22,"")</f>
        <v/>
      </c>
      <c r="BK25" s="518" t="str">
        <f>IF(AND(_D="B-737-900",'2024'!$D$4="FO",'2024'!$D$2=BK5),'2024DATA'!$F$22,"")</f>
        <v/>
      </c>
      <c r="BL25" s="518" t="str">
        <f>IF(AND(_D="B-737-900",'2024'!$D$4="FO",'2024'!$D$2=BL5),'2024DATA'!$G$22,"")</f>
        <v/>
      </c>
      <c r="BM25" s="518" t="str">
        <f>IF(AND(_D="B-737-900",'2024'!$D$4="FO",'2024'!$D$2=BM5),'2024DATA'!$H$22,"")</f>
        <v/>
      </c>
      <c r="BN25" s="518" t="str">
        <f>IF(AND(_D="B-737-900",'2024'!$D$4="FO",'2024'!$D$2=BN5),'2024DATA'!$I$22,"")</f>
        <v/>
      </c>
      <c r="BO25" s="518" t="str">
        <f>IF(AND(_D="B-737-900",'2024'!$D$4="FO",'2024'!$D$2=BO5),'2024DATA'!$J$22,"")</f>
        <v/>
      </c>
      <c r="BP25" s="518" t="str">
        <f>IF(AND(_D="B-737-900",'2024'!$D$4="FO",'2024'!$D$2=BP5),'2024DATA'!$K$22,"")</f>
        <v/>
      </c>
      <c r="BQ25" s="518" t="str">
        <f>IF(AND(_D="B-737-900",'2024'!$D$4="FO",'2024'!$D$2=BQ5),'2024DATA'!$L$22,"")</f>
        <v/>
      </c>
      <c r="BR25" s="518" t="str">
        <f>IF(AND(_D="B-737-900",'2024'!$D$4="FO",'2024'!$D$2=BR5),'2024DATA'!$M$22,"")</f>
        <v/>
      </c>
      <c r="BS25" s="520" t="str">
        <f>IF(AND(_D="B-737-900",'2024'!$D$4="FO",'2024'!$D$2=BS5),'2024DATA'!$N$22,"")</f>
        <v/>
      </c>
      <c r="BT25" s="940"/>
      <c r="BU25" s="13" t="s">
        <v>62</v>
      </c>
      <c r="BV25" s="518" t="str">
        <f>IF(AND(_E="B-737-900",'2024'!$D$4="FO",'2024'!$D$2=BV5),'2024DATA'!$C$22,"")</f>
        <v/>
      </c>
      <c r="BW25" s="518" t="str">
        <f>IF(AND(_E="B-737-900",'2024'!$D$4="FO",'2024'!$D$2=BW5),'2024DATA'!$D$22,"")</f>
        <v/>
      </c>
      <c r="BX25" s="518" t="str">
        <f>IF(AND(_E="B-737-900",'2024'!$D$4="FO",'2024'!$D$2=BX5),'2024DATA'!$E$22,"")</f>
        <v/>
      </c>
      <c r="BY25" s="518" t="str">
        <f>IF(AND(_E="B-737-900",'2024'!$D$4="FO",'2024'!$D$2=BY5),'2024DATA'!$F$22,"")</f>
        <v/>
      </c>
      <c r="BZ25" s="518" t="str">
        <f>IF(AND(_E="B-737-900",'2024'!$D$4="FO",'2024'!$D$2=BZ5),'2024DATA'!$G$22,"")</f>
        <v/>
      </c>
      <c r="CA25" s="518" t="str">
        <f>IF(AND(_E="B-737-900",'2024'!$D$4="FO",'2024'!$D$2=CA5),'2024DATA'!$H$22,"")</f>
        <v/>
      </c>
      <c r="CB25" s="518" t="str">
        <f>IF(AND(_E="B-737-900",'2024'!$D$4="FO",'2024'!$D$2=CB5),'2024DATA'!$I$22,"")</f>
        <v/>
      </c>
      <c r="CC25" s="518" t="str">
        <f>IF(AND(_E="B-737-900",'2024'!$D$4="FO",'2024'!$D$2=CC5),'2024DATA'!$J$22,"")</f>
        <v/>
      </c>
      <c r="CD25" s="518" t="str">
        <f>IF(AND(_E="B-737-900",'2024'!$D$4="FO",'2024'!$D$2=CD5),'2024DATA'!$K$22,"")</f>
        <v/>
      </c>
      <c r="CE25" s="518" t="str">
        <f>IF(AND(_E="B-737-900",'2024'!$D$4="FO",'2024'!$D$2=CE5),'2024DATA'!$L$22,"")</f>
        <v/>
      </c>
      <c r="CF25" s="518" t="str">
        <f>IF(AND(_E="B-737-900",'2024'!$D$4="FO",'2024'!$D$2=CF5),'2024DATA'!$M$22,"")</f>
        <v/>
      </c>
      <c r="CG25" s="520" t="str">
        <f>IF(AND(_E="B-737-900",'2024'!$D$4="FO",'2024'!$D$2=CG5),'2024DATA'!$N$22,"")</f>
        <v/>
      </c>
      <c r="CH25" s="940"/>
      <c r="CI25" s="13" t="s">
        <v>62</v>
      </c>
      <c r="CJ25" s="518" t="str">
        <f>IF(AND(_F="B-737-900",'2024'!$D$4="FO",'2024'!$D$2=CJ5),'2024DATA'!$C$22,"")</f>
        <v/>
      </c>
      <c r="CK25" s="518" t="str">
        <f>IF(AND(_F="B-737-900",'2024'!$D$4="FO",'2024'!$D$2=CK5),'2024DATA'!$D$22,"")</f>
        <v/>
      </c>
      <c r="CL25" s="518" t="str">
        <f>IF(AND(_F="B-737-900",'2024'!$D$4="FO",'2024'!$D$2=CL5),'2024DATA'!$E$22,"")</f>
        <v/>
      </c>
      <c r="CM25" s="518" t="str">
        <f>IF(AND(_F="B-737-900",'2024'!$D$4="FO",'2024'!$D$2=CM5),'2024DATA'!$F$22,"")</f>
        <v/>
      </c>
      <c r="CN25" s="518" t="str">
        <f>IF(AND(_F="B-737-900",'2024'!$D$4="FO",'2024'!$D$2=CN5),'2024DATA'!$G$22,"")</f>
        <v/>
      </c>
      <c r="CO25" s="518" t="str">
        <f>IF(AND(_F="B-737-900",'2024'!$D$4="FO",'2024'!$D$2=CO5),'2024DATA'!$H$22,"")</f>
        <v/>
      </c>
      <c r="CP25" s="518" t="str">
        <f>IF(AND(_F="B-737-900",'2024'!$D$4="FO",'2024'!$D$2=CP5),'2024DATA'!$I$22,"")</f>
        <v/>
      </c>
      <c r="CQ25" s="518" t="str">
        <f>IF(AND(_F="B-737-900",'2024'!$D$4="FO",'2024'!$D$2=CQ5),'2024DATA'!$J$22,"")</f>
        <v/>
      </c>
      <c r="CR25" s="518" t="str">
        <f>IF(AND(_F="B-737-900",'2024'!$D$4="FO",'2024'!$D$2=CR5),'2024DATA'!$K$22,"")</f>
        <v/>
      </c>
      <c r="CS25" s="518" t="str">
        <f>IF(AND(_F="B-737-900",'2024'!$D$4="FO",'2024'!$D$2=CS5),'2024DATA'!$L$22,"")</f>
        <v/>
      </c>
      <c r="CT25" s="518" t="str">
        <f>IF(AND(_F="B-737-900",'2024'!$D$4="FO",'2024'!$D$2=CT5),'2024DATA'!$M$22,"")</f>
        <v/>
      </c>
      <c r="CU25" s="520" t="str">
        <f>IF(AND(_F="B-737-900",'2024'!$D$4="FO",'2024'!$D$2=CU5),'2024DATA'!$N$22,"")</f>
        <v/>
      </c>
    </row>
    <row r="26" spans="1:99" x14ac:dyDescent="0.25">
      <c r="A26" s="987"/>
      <c r="B26" s="64" t="s">
        <v>62</v>
      </c>
      <c r="C26" s="494">
        <v>255.69</v>
      </c>
      <c r="D26" s="473">
        <v>252.71</v>
      </c>
      <c r="E26" s="473">
        <v>249.64</v>
      </c>
      <c r="F26" s="473">
        <v>245.56</v>
      </c>
      <c r="G26" s="473">
        <v>243.1</v>
      </c>
      <c r="H26" s="473">
        <v>237.53</v>
      </c>
      <c r="I26" s="473">
        <v>231.16</v>
      </c>
      <c r="J26" s="473">
        <v>225.52</v>
      </c>
      <c r="K26" s="473">
        <v>220.13</v>
      </c>
      <c r="L26" s="473">
        <v>214.89</v>
      </c>
      <c r="M26" s="473">
        <v>183.63</v>
      </c>
      <c r="N26" s="495">
        <v>116.05</v>
      </c>
      <c r="P26" s="940" t="s">
        <v>69</v>
      </c>
      <c r="Q26" s="13" t="s">
        <v>61</v>
      </c>
      <c r="R26" s="518" t="str">
        <f>IF(AND(_A="B-737-800",'2024'!$D$4="CA",'2024'!$D$2=R5),'2024DATA'!$C$23,"")</f>
        <v/>
      </c>
      <c r="S26" s="518" t="str">
        <f>IF(AND(_A="B-737-800",'2024'!$D$4="CA",'2024'!$D$2=S5),'2024DATA'!$D$23,"")</f>
        <v/>
      </c>
      <c r="T26" s="518" t="str">
        <f>IF(AND(_A="B-737-800",'2024'!$D$4="CA",'2024'!$D$2=T5),'2024DATA'!$E$23,"")</f>
        <v/>
      </c>
      <c r="U26" s="518" t="str">
        <f>IF(AND(_A="B-737-800",'2024'!$D$4="CA",'2024'!$D$2=U5),'2024DATA'!$F$23,"")</f>
        <v/>
      </c>
      <c r="V26" s="518" t="str">
        <f>IF(AND(_A="B-737-800",'2024'!$D$4="CA",'2024'!$D$2=V5),'2024DATA'!$G$23,"")</f>
        <v/>
      </c>
      <c r="W26" s="518" t="str">
        <f>IF(AND(_A="B-737-800",'2024'!$D$4="CA",'2024'!$D$2=W5),'2024DATA'!$H$23,"")</f>
        <v/>
      </c>
      <c r="X26" s="518" t="str">
        <f>IF(AND(_A="B-737-800",'2024'!$D$4="CA",'2024'!$D$2=X5),'2024DATA'!$I$23,"")</f>
        <v/>
      </c>
      <c r="Y26" s="518" t="str">
        <f>IF(AND(_A="B-737-800",'2024'!$D$4="CA",'2024'!$D$2=Y5),'2024DATA'!$J$23,"")</f>
        <v/>
      </c>
      <c r="Z26" s="518" t="str">
        <f>IF(AND(_A="B-737-800",'2024'!$D$4="CA",'2024'!$D$2=Z5),'2024DATA'!$K$23,"")</f>
        <v/>
      </c>
      <c r="AA26" s="518" t="str">
        <f>IF(AND(_A="B-737-800",'2024'!$D$4="CA",'2024'!$D$2=AA5),'2024DATA'!$L$23,"")</f>
        <v/>
      </c>
      <c r="AB26" s="518" t="str">
        <f>IF(AND(_A="B-737-800",'2024'!$D$4="CA",'2024'!$D$2=AB5),'2024DATA'!$M$23,"")</f>
        <v/>
      </c>
      <c r="AC26" s="520" t="str">
        <f>IF(AND(_A="B-737-800",'2024'!$D$4="CA",'2024'!$D$2=AC5),'2024DATA'!$N$23,"")</f>
        <v/>
      </c>
      <c r="AD26" s="940" t="s">
        <v>69</v>
      </c>
      <c r="AE26" s="13" t="s">
        <v>61</v>
      </c>
      <c r="AF26" s="518" t="str">
        <f>IF(AND(_B="B-737-800",'2024'!$D$4="CA",'2024'!$D$2=AF5),'2024DATA'!$C$23,"")</f>
        <v/>
      </c>
      <c r="AG26" s="518" t="str">
        <f>IF(AND(_B="B-737-800",'2024'!$D$4="CA",'2024'!$D$2=AG5),'2024DATA'!$D$23,"")</f>
        <v/>
      </c>
      <c r="AH26" s="518" t="str">
        <f>IF(AND(_B="B-737-800",'2024'!$D$4="CA",'2024'!$D$2=AH5),'2024DATA'!$E$23,"")</f>
        <v/>
      </c>
      <c r="AI26" s="518" t="str">
        <f>IF(AND(_B="B-737-800",'2024'!$D$4="CA",'2024'!$D$2=AI5),'2024DATA'!$F$23,"")</f>
        <v/>
      </c>
      <c r="AJ26" s="518" t="str">
        <f>IF(AND(_B="B-737-800",'2024'!$D$4="CA",'2024'!$D$2=AJ5),'2024DATA'!$G$23,"")</f>
        <v/>
      </c>
      <c r="AK26" s="518" t="str">
        <f>IF(AND(_B="B-737-800",'2024'!$D$4="CA",'2024'!$D$2=AK5),'2024DATA'!$H$23,"")</f>
        <v/>
      </c>
      <c r="AL26" s="518" t="str">
        <f>IF(AND(_B="B-737-800",'2024'!$D$4="CA",'2024'!$D$2=AL5),'2024DATA'!$I$23,"")</f>
        <v/>
      </c>
      <c r="AM26" s="518" t="str">
        <f>IF(AND(_B="B-737-800",'2024'!$D$4="CA",'2024'!$D$2=AM5),'2024DATA'!$J$23,"")</f>
        <v/>
      </c>
      <c r="AN26" s="518" t="str">
        <f>IF(AND(_B="B-737-800",'2024'!$D$4="CA",'2024'!$D$2=AN5),'2024DATA'!$K$23,"")</f>
        <v/>
      </c>
      <c r="AO26" s="518" t="str">
        <f>IF(AND(_B="B-737-800",'2024'!$D$4="CA",'2024'!$D$2=AO5),'2024DATA'!$L$23,"")</f>
        <v/>
      </c>
      <c r="AP26" s="518" t="str">
        <f>IF(AND(_B="B-737-800",'2024'!$D$4="CA",'2024'!$D$2=AP5),'2024DATA'!$M$23,"")</f>
        <v/>
      </c>
      <c r="AQ26" s="520" t="str">
        <f>IF(AND(_B="B-737-800",'2024'!$D$4="CA",'2024'!$D$2=AQ5),'2024DATA'!$N$23,"")</f>
        <v/>
      </c>
      <c r="AR26" s="940" t="s">
        <v>69</v>
      </c>
      <c r="AS26" s="13" t="s">
        <v>61</v>
      </c>
      <c r="AT26" s="518" t="str">
        <f>IF(AND(_C="B-737-800",'2024'!$D$4="CA",'2024'!$D$2=AT5),'2024DATA'!$C$23,"")</f>
        <v/>
      </c>
      <c r="AU26" s="518" t="str">
        <f>IF(AND(_C="B-737-800",'2024'!$D$4="CA",'2024'!$D$2=AU5),'2024DATA'!$D$23,"")</f>
        <v/>
      </c>
      <c r="AV26" s="518" t="str">
        <f>IF(AND(_C="B-737-800",'2024'!$D$4="CA",'2024'!$D$2=AV5),'2024DATA'!$E$23,"")</f>
        <v/>
      </c>
      <c r="AW26" s="518" t="str">
        <f>IF(AND(_C="B-737-800",'2024'!$D$4="CA",'2024'!$D$2=AW5),'2024DATA'!$F$23,"")</f>
        <v/>
      </c>
      <c r="AX26" s="518" t="str">
        <f>IF(AND(_C="B-737-800",'2024'!$D$4="CA",'2024'!$D$2=AX5),'2024DATA'!$G$23,"")</f>
        <v/>
      </c>
      <c r="AY26" s="518" t="str">
        <f>IF(AND(_C="B-737-800",'2024'!$D$4="CA",'2024'!$D$2=AY5),'2024DATA'!$H$23,"")</f>
        <v/>
      </c>
      <c r="AZ26" s="518" t="str">
        <f>IF(AND(_C="B-737-800",'2024'!$D$4="CA",'2024'!$D$2=AZ5),'2024DATA'!$I$23,"")</f>
        <v/>
      </c>
      <c r="BA26" s="518" t="str">
        <f>IF(AND(_C="B-737-800",'2024'!$D$4="CA",'2024'!$D$2=BA5),'2024DATA'!$J$23,"")</f>
        <v/>
      </c>
      <c r="BB26" s="518" t="str">
        <f>IF(AND(_C="B-737-800",'2024'!$D$4="CA",'2024'!$D$2=BB5),'2024DATA'!$K$23,"")</f>
        <v/>
      </c>
      <c r="BC26" s="518" t="str">
        <f>IF(AND(_C="B-737-800",'2024'!$D$4="CA",'2024'!$D$2=BC5),'2024DATA'!$L$23,"")</f>
        <v/>
      </c>
      <c r="BD26" s="518" t="str">
        <f>IF(AND(_C="B-737-800",'2024'!$D$4="CA",'2024'!$D$2=BD5),'2024DATA'!$M$23,"")</f>
        <v/>
      </c>
      <c r="BE26" s="520" t="str">
        <f>IF(AND(_C="B-737-800",'2024'!$D$4="CA",'2024'!$D$2=BE5),'2024DATA'!$N$23,"")</f>
        <v/>
      </c>
      <c r="BF26" s="940" t="s">
        <v>69</v>
      </c>
      <c r="BG26" s="13" t="s">
        <v>61</v>
      </c>
      <c r="BH26" s="518" t="str">
        <f>IF(AND(_D="B-737-800",'2024'!$D$4="CA",'2024'!$D$2=BH5),'2024DATA'!$C$23,"")</f>
        <v/>
      </c>
      <c r="BI26" s="518" t="str">
        <f>IF(AND(_D="B-737-800",'2024'!$D$4="CA",'2024'!$D$2=BI5),'2024DATA'!$D$23,"")</f>
        <v/>
      </c>
      <c r="BJ26" s="518" t="str">
        <f>IF(AND(_D="B-737-800",'2024'!$D$4="CA",'2024'!$D$2=BJ5),'2024DATA'!$E$23,"")</f>
        <v/>
      </c>
      <c r="BK26" s="518" t="str">
        <f>IF(AND(_D="B-737-800",'2024'!$D$4="CA",'2024'!$D$2=BK5),'2024DATA'!$F$23,"")</f>
        <v/>
      </c>
      <c r="BL26" s="518" t="str">
        <f>IF(AND(_D="B-737-800",'2024'!$D$4="CA",'2024'!$D$2=BL5),'2024DATA'!$G$23,"")</f>
        <v/>
      </c>
      <c r="BM26" s="518" t="str">
        <f>IF(AND(_D="B-737-800",'2024'!$D$4="CA",'2024'!$D$2=BM5),'2024DATA'!$H$23,"")</f>
        <v/>
      </c>
      <c r="BN26" s="518" t="str">
        <f>IF(AND(_D="B-737-800",'2024'!$D$4="CA",'2024'!$D$2=BN5),'2024DATA'!$I$23,"")</f>
        <v/>
      </c>
      <c r="BO26" s="518" t="str">
        <f>IF(AND(_D="B-737-800",'2024'!$D$4="CA",'2024'!$D$2=BO5),'2024DATA'!$J$23,"")</f>
        <v/>
      </c>
      <c r="BP26" s="518" t="str">
        <f>IF(AND(_D="B-737-800",'2024'!$D$4="CA",'2024'!$D$2=BP5),'2024DATA'!$K$23,"")</f>
        <v/>
      </c>
      <c r="BQ26" s="518" t="str">
        <f>IF(AND(_D="B-737-800",'2024'!$D$4="CA",'2024'!$D$2=BQ5),'2024DATA'!$L$23,"")</f>
        <v/>
      </c>
      <c r="BR26" s="518" t="str">
        <f>IF(AND(_D="B-737-800",'2024'!$D$4="CA",'2024'!$D$2=BR5),'2024DATA'!$M$23,"")</f>
        <v/>
      </c>
      <c r="BS26" s="520" t="str">
        <f>IF(AND(_D="B-737-800",'2024'!$D$4="CA",'2024'!$D$2=BS5),'2024DATA'!$N$23,"")</f>
        <v/>
      </c>
      <c r="BT26" s="940" t="s">
        <v>69</v>
      </c>
      <c r="BU26" s="13" t="s">
        <v>61</v>
      </c>
      <c r="BV26" s="518" t="str">
        <f>IF(AND(_E="B-737-800",'2024'!$D$4="CA",'2024'!$D$2=BV5),'2024DATA'!$C$23,"")</f>
        <v/>
      </c>
      <c r="BW26" s="518" t="str">
        <f>IF(AND(_E="B-737-800",'2024'!$D$4="CA",'2024'!$D$2=BW5),'2024DATA'!$D$23,"")</f>
        <v/>
      </c>
      <c r="BX26" s="518" t="str">
        <f>IF(AND(_E="B-737-800",'2024'!$D$4="CA",'2024'!$D$2=BX5),'2024DATA'!$E$23,"")</f>
        <v/>
      </c>
      <c r="BY26" s="518" t="str">
        <f>IF(AND(_E="B-737-800",'2024'!$D$4="CA",'2024'!$D$2=BY5),'2024DATA'!$F$23,"")</f>
        <v/>
      </c>
      <c r="BZ26" s="518" t="str">
        <f>IF(AND(_E="B-737-800",'2024'!$D$4="CA",'2024'!$D$2=BZ5),'2024DATA'!$G$23,"")</f>
        <v/>
      </c>
      <c r="CA26" s="518" t="str">
        <f>IF(AND(_E="B-737-800",'2024'!$D$4="CA",'2024'!$D$2=CA5),'2024DATA'!$H$23,"")</f>
        <v/>
      </c>
      <c r="CB26" s="518" t="str">
        <f>IF(AND(_E="B-737-800",'2024'!$D$4="CA",'2024'!$D$2=CB5),'2024DATA'!$I$23,"")</f>
        <v/>
      </c>
      <c r="CC26" s="518" t="str">
        <f>IF(AND(_E="B-737-800",'2024'!$D$4="CA",'2024'!$D$2=CC5),'2024DATA'!$J$23,"")</f>
        <v/>
      </c>
      <c r="CD26" s="518" t="str">
        <f>IF(AND(_E="B-737-800",'2024'!$D$4="CA",'2024'!$D$2=CD5),'2024DATA'!$K$23,"")</f>
        <v/>
      </c>
      <c r="CE26" s="518" t="str">
        <f>IF(AND(_E="B-737-800",'2024'!$D$4="CA",'2024'!$D$2=CE5),'2024DATA'!$L$23,"")</f>
        <v/>
      </c>
      <c r="CF26" s="518" t="str">
        <f>IF(AND(_E="B-737-800",'2024'!$D$4="CA",'2024'!$D$2=CF5),'2024DATA'!$M$23,"")</f>
        <v/>
      </c>
      <c r="CG26" s="520" t="str">
        <f>IF(AND(_E="B-737-800",'2024'!$D$4="CA",'2024'!$D$2=CG5),'2024DATA'!$N$23,"")</f>
        <v/>
      </c>
      <c r="CH26" s="940" t="s">
        <v>69</v>
      </c>
      <c r="CI26" s="13" t="s">
        <v>61</v>
      </c>
      <c r="CJ26" s="518" t="str">
        <f>IF(AND(_F="B-737-800",'2024'!$D$4="CA",'2024'!$D$2=CJ5),'2024DATA'!$C$23,"")</f>
        <v/>
      </c>
      <c r="CK26" s="518" t="str">
        <f>IF(AND(_F="B-737-800",'2024'!$D$4="CA",'2024'!$D$2=CK5),'2024DATA'!$D$23,"")</f>
        <v/>
      </c>
      <c r="CL26" s="518" t="str">
        <f>IF(AND(_F="B-737-800",'2024'!$D$4="CA",'2024'!$D$2=CL5),'2024DATA'!$E$23,"")</f>
        <v/>
      </c>
      <c r="CM26" s="518" t="str">
        <f>IF(AND(_F="B-737-800",'2024'!$D$4="CA",'2024'!$D$2=CM5),'2024DATA'!$F$23,"")</f>
        <v/>
      </c>
      <c r="CN26" s="518" t="str">
        <f>IF(AND(_F="B-737-800",'2024'!$D$4="CA",'2024'!$D$2=CN5),'2024DATA'!$G$23,"")</f>
        <v/>
      </c>
      <c r="CO26" s="518" t="str">
        <f>IF(AND(_F="B-737-800",'2024'!$D$4="CA",'2024'!$D$2=CO5),'2024DATA'!$H$23,"")</f>
        <v/>
      </c>
      <c r="CP26" s="518" t="str">
        <f>IF(AND(_F="B-737-800",'2024'!$D$4="CA",'2024'!$D$2=CP5),'2024DATA'!$I$23,"")</f>
        <v/>
      </c>
      <c r="CQ26" s="518" t="str">
        <f>IF(AND(_F="B-737-800",'2024'!$D$4="CA",'2024'!$D$2=CQ5),'2024DATA'!$J$23,"")</f>
        <v/>
      </c>
      <c r="CR26" s="518" t="str">
        <f>IF(AND(_F="B-737-800",'2024'!$D$4="CA",'2024'!$D$2=CR5),'2024DATA'!$K$23,"")</f>
        <v/>
      </c>
      <c r="CS26" s="518" t="str">
        <f>IF(AND(_F="B-737-800",'2024'!$D$4="CA",'2024'!$D$2=CS5),'2024DATA'!$L$23,"")</f>
        <v/>
      </c>
      <c r="CT26" s="518" t="str">
        <f>IF(AND(_F="B-737-800",'2024'!$D$4="CA",'2024'!$D$2=CT5),'2024DATA'!$M$23,"")</f>
        <v/>
      </c>
      <c r="CU26" s="520" t="str">
        <f>IF(AND(_F="B-737-800",'2024'!$D$4="CA",'2024'!$D$2=CU5),'2024DATA'!$N$23,"")</f>
        <v/>
      </c>
    </row>
    <row r="27" spans="1:99" x14ac:dyDescent="0.25">
      <c r="A27" s="987" t="s">
        <v>48</v>
      </c>
      <c r="B27" s="64" t="s">
        <v>61</v>
      </c>
      <c r="C27" s="494">
        <v>360.85</v>
      </c>
      <c r="D27" s="473">
        <v>358.06</v>
      </c>
      <c r="E27" s="473">
        <v>355.28</v>
      </c>
      <c r="F27" s="473">
        <v>352.65</v>
      </c>
      <c r="G27" s="473">
        <v>349.87</v>
      </c>
      <c r="H27" s="473">
        <v>347.16</v>
      </c>
      <c r="I27" s="473">
        <v>344.44</v>
      </c>
      <c r="J27" s="473">
        <v>341.71</v>
      </c>
      <c r="K27" s="473">
        <v>338.95</v>
      </c>
      <c r="L27" s="473">
        <v>336.23</v>
      </c>
      <c r="M27" s="473">
        <v>333.61</v>
      </c>
      <c r="N27" s="495">
        <v>331.01</v>
      </c>
      <c r="P27" s="940"/>
      <c r="Q27" s="13" t="s">
        <v>62</v>
      </c>
      <c r="R27" s="518" t="str">
        <f>IF(AND(_A="B-737-800",'2024'!$D$4="FO",'2024'!$D$2=R5),'2024DATA'!$C$24,"")</f>
        <v/>
      </c>
      <c r="S27" s="518" t="str">
        <f>IF(AND(_A="B-737-800",'2024'!$D$4="FO",'2024'!$D$2=S5),'2024DATA'!$D$24,"")</f>
        <v/>
      </c>
      <c r="T27" s="518" t="str">
        <f>IF(AND(_A="B-737-800",'2024'!$D$4="FO",'2024'!$D$2=T5),'2024DATA'!$E$24,"")</f>
        <v/>
      </c>
      <c r="U27" s="518" t="str">
        <f>IF(AND(_A="B-737-800",'2024'!$D$4="FO",'2024'!$D$2=U5),'2024DATA'!$F$24,"")</f>
        <v/>
      </c>
      <c r="V27" s="518" t="str">
        <f>IF(AND(_A="B-737-800",'2024'!$D$4="FO",'2024'!$D$2=V5),'2024DATA'!$G$24,"")</f>
        <v/>
      </c>
      <c r="W27" s="518" t="str">
        <f>IF(AND(_A="B-737-800",'2024'!$D$4="FO",'2024'!$D$2=W5),'2024DATA'!$H$24,"")</f>
        <v/>
      </c>
      <c r="X27" s="518" t="str">
        <f>IF(AND(_A="B-737-800",'2024'!$D$4="FO",'2024'!$D$2=X5),'2024DATA'!$I$24,"")</f>
        <v/>
      </c>
      <c r="Y27" s="518" t="str">
        <f>IF(AND(_A="B-737-800",'2024'!$D$4="FO",'2024'!$D$2=Y5),'2024DATA'!$J$24,"")</f>
        <v/>
      </c>
      <c r="Z27" s="518" t="str">
        <f>IF(AND(_A="B-737-800",'2024'!$D$4="FO",'2024'!$D$2=Z5),'2024DATA'!$K$24,"")</f>
        <v/>
      </c>
      <c r="AA27" s="518" t="str">
        <f>IF(AND(_A="B-737-800",'2024'!$D$4="FO",'2024'!$D$2=AA5),'2024DATA'!$L$24,"")</f>
        <v/>
      </c>
      <c r="AB27" s="518" t="str">
        <f>IF(AND(_A="B-737-800",'2024'!$D$4="FO",'2024'!$D$2=AB5),'2024DATA'!$M$24,"")</f>
        <v/>
      </c>
      <c r="AC27" s="520" t="str">
        <f>IF(AND(_A="B-737-800",'2024'!$D$4="FO",'2024'!$D$2=AC5),'2024DATA'!$N$24,"")</f>
        <v/>
      </c>
      <c r="AD27" s="940"/>
      <c r="AE27" s="13" t="s">
        <v>62</v>
      </c>
      <c r="AF27" s="518" t="str">
        <f>IF(AND(_B="B-737-800",'2024'!$D$4="FO",'2024'!$D$2=AF5),'2024DATA'!$C$24,"")</f>
        <v/>
      </c>
      <c r="AG27" s="518" t="str">
        <f>IF(AND(_B="B-737-800",'2024'!$D$4="FO",'2024'!$D$2=AG5),'2024DATA'!$D$24,"")</f>
        <v/>
      </c>
      <c r="AH27" s="518" t="str">
        <f>IF(AND(_B="B-737-800",'2024'!$D$4="FO",'2024'!$D$2=AH5),'2024DATA'!$E$24,"")</f>
        <v/>
      </c>
      <c r="AI27" s="518" t="str">
        <f>IF(AND(_B="B-737-800",'2024'!$D$4="FO",'2024'!$D$2=AI5),'2024DATA'!$F$24,"")</f>
        <v/>
      </c>
      <c r="AJ27" s="518" t="str">
        <f>IF(AND(_B="B-737-800",'2024'!$D$4="FO",'2024'!$D$2=AJ5),'2024DATA'!$G$24,"")</f>
        <v/>
      </c>
      <c r="AK27" s="518" t="str">
        <f>IF(AND(_B="B-737-800",'2024'!$D$4="FO",'2024'!$D$2=AK5),'2024DATA'!$H$24,"")</f>
        <v/>
      </c>
      <c r="AL27" s="518" t="str">
        <f>IF(AND(_B="B-737-800",'2024'!$D$4="FO",'2024'!$D$2=AL5),'2024DATA'!$I$24,"")</f>
        <v/>
      </c>
      <c r="AM27" s="518" t="str">
        <f>IF(AND(_B="B-737-800",'2024'!$D$4="FO",'2024'!$D$2=AM5),'2024DATA'!$J$24,"")</f>
        <v/>
      </c>
      <c r="AN27" s="518" t="str">
        <f>IF(AND(_B="B-737-800",'2024'!$D$4="FO",'2024'!$D$2=AN5),'2024DATA'!$K$24,"")</f>
        <v/>
      </c>
      <c r="AO27" s="518" t="str">
        <f>IF(AND(_B="B-737-800",'2024'!$D$4="FO",'2024'!$D$2=AO5),'2024DATA'!$L$24,"")</f>
        <v/>
      </c>
      <c r="AP27" s="518" t="str">
        <f>IF(AND(_B="B-737-800",'2024'!$D$4="FO",'2024'!$D$2=AP5),'2024DATA'!$M$24,"")</f>
        <v/>
      </c>
      <c r="AQ27" s="520" t="str">
        <f>IF(AND(_B="B-737-800",'2024'!$D$4="FO",'2024'!$D$2=AQ5),'2024DATA'!$N$24,"")</f>
        <v/>
      </c>
      <c r="AR27" s="940"/>
      <c r="AS27" s="13" t="s">
        <v>62</v>
      </c>
      <c r="AT27" s="518" t="str">
        <f>IF(AND(_C="B-737-800",'2024'!$D$4="FO",'2024'!$D$2=AT5),'2024DATA'!$C$24,"")</f>
        <v/>
      </c>
      <c r="AU27" s="518" t="str">
        <f>IF(AND(_C="B-737-800",'2024'!$D$4="FO",'2024'!$D$2=AU5),'2024DATA'!$D$24,"")</f>
        <v/>
      </c>
      <c r="AV27" s="518" t="str">
        <f>IF(AND(_C="B-737-800",'2024'!$D$4="FO",'2024'!$D$2=AV5),'2024DATA'!$E$24,"")</f>
        <v/>
      </c>
      <c r="AW27" s="518" t="str">
        <f>IF(AND(_C="B-737-800",'2024'!$D$4="FO",'2024'!$D$2=AW5),'2024DATA'!$F$24,"")</f>
        <v/>
      </c>
      <c r="AX27" s="518" t="str">
        <f>IF(AND(_C="B-737-800",'2024'!$D$4="FO",'2024'!$D$2=AX5),'2024DATA'!$G$24,"")</f>
        <v/>
      </c>
      <c r="AY27" s="518" t="str">
        <f>IF(AND(_C="B-737-800",'2024'!$D$4="FO",'2024'!$D$2=AY5),'2024DATA'!$H$24,"")</f>
        <v/>
      </c>
      <c r="AZ27" s="518" t="str">
        <f>IF(AND(_C="B-737-800",'2024'!$D$4="FO",'2024'!$D$2=AZ5),'2024DATA'!$I$24,"")</f>
        <v/>
      </c>
      <c r="BA27" s="518" t="str">
        <f>IF(AND(_C="B-737-800",'2024'!$D$4="FO",'2024'!$D$2=BA5),'2024DATA'!$J$24,"")</f>
        <v/>
      </c>
      <c r="BB27" s="518" t="str">
        <f>IF(AND(_C="B-737-800",'2024'!$D$4="FO",'2024'!$D$2=BB5),'2024DATA'!$K$24,"")</f>
        <v/>
      </c>
      <c r="BC27" s="518" t="str">
        <f>IF(AND(_C="B-737-800",'2024'!$D$4="FO",'2024'!$D$2=BC5),'2024DATA'!$L$24,"")</f>
        <v/>
      </c>
      <c r="BD27" s="518" t="str">
        <f>IF(AND(_C="B-737-800",'2024'!$D$4="FO",'2024'!$D$2=BD5),'2024DATA'!$M$24,"")</f>
        <v/>
      </c>
      <c r="BE27" s="520" t="str">
        <f>IF(AND(_C="B-737-800",'2024'!$D$4="FO",'2024'!$D$2=BE5),'2024DATA'!$N$24,"")</f>
        <v/>
      </c>
      <c r="BF27" s="940"/>
      <c r="BG27" s="13" t="s">
        <v>62</v>
      </c>
      <c r="BH27" s="518" t="str">
        <f>IF(AND(_D="B-737-800",'2024'!$D$4="FO",'2024'!$D$2=BH5),'2024DATA'!$C$24,"")</f>
        <v/>
      </c>
      <c r="BI27" s="518" t="str">
        <f>IF(AND(_D="B-737-800",'2024'!$D$4="FO",'2024'!$D$2=BI5),'2024DATA'!$D$24,"")</f>
        <v/>
      </c>
      <c r="BJ27" s="518" t="str">
        <f>IF(AND(_D="B-737-800",'2024'!$D$4="FO",'2024'!$D$2=BJ5),'2024DATA'!$E$24,"")</f>
        <v/>
      </c>
      <c r="BK27" s="518" t="str">
        <f>IF(AND(_D="B-737-800",'2024'!$D$4="FO",'2024'!$D$2=BK5),'2024DATA'!$F$24,"")</f>
        <v/>
      </c>
      <c r="BL27" s="518" t="str">
        <f>IF(AND(_D="B-737-800",'2024'!$D$4="FO",'2024'!$D$2=BL5),'2024DATA'!$G$24,"")</f>
        <v/>
      </c>
      <c r="BM27" s="518" t="str">
        <f>IF(AND(_D="B-737-800",'2024'!$D$4="FO",'2024'!$D$2=BM5),'2024DATA'!$H$24,"")</f>
        <v/>
      </c>
      <c r="BN27" s="518" t="str">
        <f>IF(AND(_D="B-737-800",'2024'!$D$4="FO",'2024'!$D$2=BN5),'2024DATA'!$I$24,"")</f>
        <v/>
      </c>
      <c r="BO27" s="518" t="str">
        <f>IF(AND(_D="B-737-800",'2024'!$D$4="FO",'2024'!$D$2=BO5),'2024DATA'!$J$24,"")</f>
        <v/>
      </c>
      <c r="BP27" s="518" t="str">
        <f>IF(AND(_D="B-737-800",'2024'!$D$4="FO",'2024'!$D$2=BP5),'2024DATA'!$K$24,"")</f>
        <v/>
      </c>
      <c r="BQ27" s="518" t="str">
        <f>IF(AND(_D="B-737-800",'2024'!$D$4="FO",'2024'!$D$2=BQ5),'2024DATA'!$L$24,"")</f>
        <v/>
      </c>
      <c r="BR27" s="518" t="str">
        <f>IF(AND(_D="B-737-800",'2024'!$D$4="FO",'2024'!$D$2=BR5),'2024DATA'!$M$24,"")</f>
        <v/>
      </c>
      <c r="BS27" s="520" t="str">
        <f>IF(AND(_D="B-737-800",'2024'!$D$4="FO",'2024'!$D$2=BS5),'2024DATA'!$N$24,"")</f>
        <v/>
      </c>
      <c r="BT27" s="940"/>
      <c r="BU27" s="13" t="s">
        <v>62</v>
      </c>
      <c r="BV27" s="518" t="str">
        <f>IF(AND(_E="B-737-800",'2024'!$D$4="FO",'2024'!$D$2=BV5),'2024DATA'!$C$24,"")</f>
        <v/>
      </c>
      <c r="BW27" s="518" t="str">
        <f>IF(AND(_E="B-737-800",'2024'!$D$4="FO",'2024'!$D$2=BW5),'2024DATA'!$D$24,"")</f>
        <v/>
      </c>
      <c r="BX27" s="518" t="str">
        <f>IF(AND(_E="B-737-800",'2024'!$D$4="FO",'2024'!$D$2=BX5),'2024DATA'!$E$24,"")</f>
        <v/>
      </c>
      <c r="BY27" s="518" t="str">
        <f>IF(AND(_E="B-737-800",'2024'!$D$4="FO",'2024'!$D$2=BY5),'2024DATA'!$F$24,"")</f>
        <v/>
      </c>
      <c r="BZ27" s="518" t="str">
        <f>IF(AND(_E="B-737-800",'2024'!$D$4="FO",'2024'!$D$2=BZ5),'2024DATA'!$G$24,"")</f>
        <v/>
      </c>
      <c r="CA27" s="518" t="str">
        <f>IF(AND(_E="B-737-800",'2024'!$D$4="FO",'2024'!$D$2=CA5),'2024DATA'!$H$24,"")</f>
        <v/>
      </c>
      <c r="CB27" s="518" t="str">
        <f>IF(AND(_E="B-737-800",'2024'!$D$4="FO",'2024'!$D$2=CB5),'2024DATA'!$I$24,"")</f>
        <v/>
      </c>
      <c r="CC27" s="518" t="str">
        <f>IF(AND(_E="B-737-800",'2024'!$D$4="FO",'2024'!$D$2=CC5),'2024DATA'!$J$24,"")</f>
        <v/>
      </c>
      <c r="CD27" s="518" t="str">
        <f>IF(AND(_E="B-737-800",'2024'!$D$4="FO",'2024'!$D$2=CD5),'2024DATA'!$K$24,"")</f>
        <v/>
      </c>
      <c r="CE27" s="518" t="str">
        <f>IF(AND(_E="B-737-800",'2024'!$D$4="FO",'2024'!$D$2=CE5),'2024DATA'!$L$24,"")</f>
        <v/>
      </c>
      <c r="CF27" s="518" t="str">
        <f>IF(AND(_E="B-737-800",'2024'!$D$4="FO",'2024'!$D$2=CF5),'2024DATA'!$M$24,"")</f>
        <v/>
      </c>
      <c r="CG27" s="520" t="str">
        <f>IF(AND(_E="B-737-800",'2024'!$D$4="FO",'2024'!$D$2=CG5),'2024DATA'!$N$24,"")</f>
        <v/>
      </c>
      <c r="CH27" s="940"/>
      <c r="CI27" s="13" t="s">
        <v>62</v>
      </c>
      <c r="CJ27" s="518" t="str">
        <f>IF(AND(_F="B-737-800",'2024'!$D$4="FO",'2024'!$D$2=CJ5),'2024DATA'!$C$24,"")</f>
        <v/>
      </c>
      <c r="CK27" s="518" t="str">
        <f>IF(AND(_F="B-737-800",'2024'!$D$4="FO",'2024'!$D$2=CK5),'2024DATA'!$D$24,"")</f>
        <v/>
      </c>
      <c r="CL27" s="518" t="str">
        <f>IF(AND(_F="B-737-800",'2024'!$D$4="FO",'2024'!$D$2=CL5),'2024DATA'!$E$24,"")</f>
        <v/>
      </c>
      <c r="CM27" s="518" t="str">
        <f>IF(AND(_F="B-737-800",'2024'!$D$4="FO",'2024'!$D$2=CM5),'2024DATA'!$F$24,"")</f>
        <v/>
      </c>
      <c r="CN27" s="518" t="str">
        <f>IF(AND(_F="B-737-800",'2024'!$D$4="FO",'2024'!$D$2=CN5),'2024DATA'!$G$24,"")</f>
        <v/>
      </c>
      <c r="CO27" s="518" t="str">
        <f>IF(AND(_F="B-737-800",'2024'!$D$4="FO",'2024'!$D$2=CO5),'2024DATA'!$H$24,"")</f>
        <v/>
      </c>
      <c r="CP27" s="518" t="str">
        <f>IF(AND(_F="B-737-800",'2024'!$D$4="FO",'2024'!$D$2=CP5),'2024DATA'!$I$24,"")</f>
        <v/>
      </c>
      <c r="CQ27" s="518" t="str">
        <f>IF(AND(_F="B-737-800",'2024'!$D$4="FO",'2024'!$D$2=CQ5),'2024DATA'!$J$24,"")</f>
        <v/>
      </c>
      <c r="CR27" s="518" t="str">
        <f>IF(AND(_F="B-737-800",'2024'!$D$4="FO",'2024'!$D$2=CR5),'2024DATA'!$K$24,"")</f>
        <v/>
      </c>
      <c r="CS27" s="518" t="str">
        <f>IF(AND(_F="B-737-800",'2024'!$D$4="FO",'2024'!$D$2=CS5),'2024DATA'!$L$24,"")</f>
        <v/>
      </c>
      <c r="CT27" s="518" t="str">
        <f>IF(AND(_F="B-737-800",'2024'!$D$4="FO",'2024'!$D$2=CT5),'2024DATA'!$M$24,"")</f>
        <v/>
      </c>
      <c r="CU27" s="520" t="str">
        <f>IF(AND(_F="B-737-800",'2024'!$D$4="FO",'2024'!$D$2=CU5),'2024DATA'!$N$24,"")</f>
        <v/>
      </c>
    </row>
    <row r="28" spans="1:99" x14ac:dyDescent="0.25">
      <c r="A28" s="987"/>
      <c r="B28" s="64" t="s">
        <v>62</v>
      </c>
      <c r="C28" s="494">
        <v>246.47</v>
      </c>
      <c r="D28" s="473">
        <v>244.2</v>
      </c>
      <c r="E28" s="473">
        <v>241.98</v>
      </c>
      <c r="F28" s="473">
        <v>238.73</v>
      </c>
      <c r="G28" s="473">
        <v>236.2</v>
      </c>
      <c r="H28" s="473">
        <v>230.87</v>
      </c>
      <c r="I28" s="473">
        <v>224.58</v>
      </c>
      <c r="J28" s="473">
        <v>219.01</v>
      </c>
      <c r="K28" s="473">
        <v>213.87</v>
      </c>
      <c r="L28" s="473">
        <v>208.82</v>
      </c>
      <c r="M28" s="473">
        <v>178.45</v>
      </c>
      <c r="N28" s="495">
        <v>116.05</v>
      </c>
      <c r="P28" s="940" t="s">
        <v>46</v>
      </c>
      <c r="Q28" s="13" t="s">
        <v>61</v>
      </c>
      <c r="R28" s="518" t="str">
        <f>IF(AND(_A="A-321N",'2024'!$D$4="CA",'2024'!$D$2=R5),'2024DATA'!$C$25,"")</f>
        <v/>
      </c>
      <c r="S28" s="518" t="str">
        <f>IF(AND(_A="A-321N",'2024'!$D$4="CA",'2024'!$D$2=S5),'2024DATA'!$D$25,"")</f>
        <v/>
      </c>
      <c r="T28" s="518" t="str">
        <f>IF(AND(_A="A-321N",'2024'!$D$4="CA",'2024'!$D$2=T5),'2024DATA'!$E$25,"")</f>
        <v/>
      </c>
      <c r="U28" s="518" t="str">
        <f>IF(AND(_A="A-321N",'2024'!$D$4="CA",'2024'!$D$2=U5),'2024DATA'!$F$25,"")</f>
        <v/>
      </c>
      <c r="V28" s="518" t="str">
        <f>IF(AND(_A="A-321N",'2024'!$D$4="CA",'2024'!$D$2=V5),'2024DATA'!$G$25,"")</f>
        <v/>
      </c>
      <c r="W28" s="518" t="str">
        <f>IF(AND(_A="A-321N",'2024'!$D$4="CA",'2024'!$D$2=W5),'2024DATA'!$H$25,"")</f>
        <v/>
      </c>
      <c r="X28" s="518" t="str">
        <f>IF(AND(_A="A-321N",'2024'!$D$4="CA",'2024'!$D$2=X5),'2024DATA'!$I$25,"")</f>
        <v/>
      </c>
      <c r="Y28" s="518" t="str">
        <f>IF(AND(_A="A-321N",'2024'!$D$4="CA",'2024'!$D$2=Y5),'2024DATA'!$J$25,"")</f>
        <v/>
      </c>
      <c r="Z28" s="518" t="str">
        <f>IF(AND(_A="A-321N",'2024'!$D$4="CA",'2024'!$D$2=Z5),'2024DATA'!$K$25,"")</f>
        <v/>
      </c>
      <c r="AA28" s="518" t="str">
        <f>IF(AND(_A="A-321N",'2024'!$D$4="CA",'2024'!$D$2=AA5),'2024DATA'!$L$25,"")</f>
        <v/>
      </c>
      <c r="AB28" s="518" t="str">
        <f>IF(AND(_A="A-321N",'2024'!$D$4="CA",'2024'!$D$2=AB5),'2024DATA'!$M$25,"")</f>
        <v/>
      </c>
      <c r="AC28" s="520" t="str">
        <f>IF(AND(_A="A-321N",'2024'!$D$4="CA",'2024'!$D$2=AC5),'2024DATA'!$N$25,"")</f>
        <v/>
      </c>
      <c r="AD28" s="940" t="s">
        <v>46</v>
      </c>
      <c r="AE28" s="13" t="s">
        <v>61</v>
      </c>
      <c r="AF28" s="518" t="str">
        <f>IF(AND(_B="A-321N",'2024'!$D$4="CA",'2024'!$D$2=AF5),'2024DATA'!$C$25,"")</f>
        <v/>
      </c>
      <c r="AG28" s="518" t="str">
        <f>IF(AND(_B="A-321N",'2024'!$D$4="CA",'2024'!$D$2=AG5),'2024DATA'!$D$25,"")</f>
        <v/>
      </c>
      <c r="AH28" s="518" t="str">
        <f>IF(AND(_B="A-321N",'2024'!$D$4="CA",'2024'!$D$2=AH5),'2024DATA'!$E$25,"")</f>
        <v/>
      </c>
      <c r="AI28" s="518" t="str">
        <f>IF(AND(_B="A-321N",'2024'!$D$4="CA",'2024'!$D$2=AI5),'2024DATA'!$F$25,"")</f>
        <v/>
      </c>
      <c r="AJ28" s="518" t="str">
        <f>IF(AND(_B="A-321N",'2024'!$D$4="CA",'2024'!$D$2=AJ5),'2024DATA'!$G$25,"")</f>
        <v/>
      </c>
      <c r="AK28" s="518" t="str">
        <f>IF(AND(_B="A-321N",'2024'!$D$4="CA",'2024'!$D$2=AK5),'2024DATA'!$H$25,"")</f>
        <v/>
      </c>
      <c r="AL28" s="518" t="str">
        <f>IF(AND(_B="A-321N",'2024'!$D$4="CA",'2024'!$D$2=AL5),'2024DATA'!$I$25,"")</f>
        <v/>
      </c>
      <c r="AM28" s="518" t="str">
        <f>IF(AND(_B="A-321N",'2024'!$D$4="CA",'2024'!$D$2=AM5),'2024DATA'!$J$25,"")</f>
        <v/>
      </c>
      <c r="AN28" s="518" t="str">
        <f>IF(AND(_B="A-321N",'2024'!$D$4="CA",'2024'!$D$2=AN5),'2024DATA'!$K$25,"")</f>
        <v/>
      </c>
      <c r="AO28" s="518" t="str">
        <f>IF(AND(_B="A-321N",'2024'!$D$4="CA",'2024'!$D$2=AO5),'2024DATA'!$L$25,"")</f>
        <v/>
      </c>
      <c r="AP28" s="518" t="str">
        <f>IF(AND(_B="A-321N",'2024'!$D$4="CA",'2024'!$D$2=AP5),'2024DATA'!$M$25,"")</f>
        <v/>
      </c>
      <c r="AQ28" s="520" t="str">
        <f>IF(AND(_B="A-321N",'2024'!$D$4="CA",'2024'!$D$2=AQ5),'2024DATA'!$N$25,"")</f>
        <v/>
      </c>
      <c r="AR28" s="940" t="s">
        <v>46</v>
      </c>
      <c r="AS28" s="13" t="s">
        <v>61</v>
      </c>
      <c r="AT28" s="518" t="str">
        <f>IF(AND(_C="A-321N",'2024'!$D$4="CA",'2024'!$D$2=AT5),'2024DATA'!$C$25,"")</f>
        <v/>
      </c>
      <c r="AU28" s="518" t="str">
        <f>IF(AND(_C="A-321N",'2024'!$D$4="CA",'2024'!$D$2=AU5),'2024DATA'!$D$25,"")</f>
        <v/>
      </c>
      <c r="AV28" s="518" t="str">
        <f>IF(AND(_C="A-321N",'2024'!$D$4="CA",'2024'!$D$2=AV5),'2024DATA'!$E$25,"")</f>
        <v/>
      </c>
      <c r="AW28" s="518" t="str">
        <f>IF(AND(_C="A-321N",'2024'!$D$4="CA",'2024'!$D$2=AW5),'2024DATA'!$F$25,"")</f>
        <v/>
      </c>
      <c r="AX28" s="518" t="str">
        <f>IF(AND(_C="A-321N",'2024'!$D$4="CA",'2024'!$D$2=AX5),'2024DATA'!$G$25,"")</f>
        <v/>
      </c>
      <c r="AY28" s="518" t="str">
        <f>IF(AND(_C="A-321N",'2024'!$D$4="CA",'2024'!$D$2=AY5),'2024DATA'!$H$25,"")</f>
        <v/>
      </c>
      <c r="AZ28" s="518" t="str">
        <f>IF(AND(_C="A-321N",'2024'!$D$4="CA",'2024'!$D$2=AZ5),'2024DATA'!$I$25,"")</f>
        <v/>
      </c>
      <c r="BA28" s="518" t="str">
        <f>IF(AND(_C="A-321N",'2024'!$D$4="CA",'2024'!$D$2=BA5),'2024DATA'!$J$25,"")</f>
        <v/>
      </c>
      <c r="BB28" s="518" t="str">
        <f>IF(AND(_C="A-321N",'2024'!$D$4="CA",'2024'!$D$2=BB5),'2024DATA'!$K$25,"")</f>
        <v/>
      </c>
      <c r="BC28" s="518" t="str">
        <f>IF(AND(_C="A-321N",'2024'!$D$4="CA",'2024'!$D$2=BC5),'2024DATA'!$L$25,"")</f>
        <v/>
      </c>
      <c r="BD28" s="518" t="str">
        <f>IF(AND(_C="A-321N",'2024'!$D$4="CA",'2024'!$D$2=BD5),'2024DATA'!$M$25,"")</f>
        <v/>
      </c>
      <c r="BE28" s="520" t="str">
        <f>IF(AND(_C="A-321N",'2024'!$D$4="CA",'2024'!$D$2=BE5),'2024DATA'!$N$25,"")</f>
        <v/>
      </c>
      <c r="BF28" s="940" t="s">
        <v>46</v>
      </c>
      <c r="BG28" s="13" t="s">
        <v>61</v>
      </c>
      <c r="BH28" s="518" t="str">
        <f>IF(AND(_D="A-321N",'2024'!$D$4="CA",'2024'!$D$2=BH5),'2024DATA'!$C$25,"")</f>
        <v/>
      </c>
      <c r="BI28" s="518" t="str">
        <f>IF(AND(_D="A-321N",'2024'!$D$4="CA",'2024'!$D$2=BI5),'2024DATA'!$D$25,"")</f>
        <v/>
      </c>
      <c r="BJ28" s="518" t="str">
        <f>IF(AND(_D="A-321N",'2024'!$D$4="CA",'2024'!$D$2=BJ5),'2024DATA'!$E$25,"")</f>
        <v/>
      </c>
      <c r="BK28" s="518" t="str">
        <f>IF(AND(_D="A-321N",'2024'!$D$4="CA",'2024'!$D$2=BK5),'2024DATA'!$F$25,"")</f>
        <v/>
      </c>
      <c r="BL28" s="518" t="str">
        <f>IF(AND(_D="A-321N",'2024'!$D$4="CA",'2024'!$D$2=BL5),'2024DATA'!$G$25,"")</f>
        <v/>
      </c>
      <c r="BM28" s="518" t="str">
        <f>IF(AND(_D="A-321N",'2024'!$D$4="CA",'2024'!$D$2=BM5),'2024DATA'!$H$25,"")</f>
        <v/>
      </c>
      <c r="BN28" s="518" t="str">
        <f>IF(AND(_D="A-321N",'2024'!$D$4="CA",'2024'!$D$2=BN5),'2024DATA'!$I$25,"")</f>
        <v/>
      </c>
      <c r="BO28" s="518" t="str">
        <f>IF(AND(_D="A-321N",'2024'!$D$4="CA",'2024'!$D$2=BO5),'2024DATA'!$J$25,"")</f>
        <v/>
      </c>
      <c r="BP28" s="518" t="str">
        <f>IF(AND(_D="A-321N",'2024'!$D$4="CA",'2024'!$D$2=BP5),'2024DATA'!$K$25,"")</f>
        <v/>
      </c>
      <c r="BQ28" s="518" t="str">
        <f>IF(AND(_D="A-321N",'2024'!$D$4="CA",'2024'!$D$2=BQ5),'2024DATA'!$L$25,"")</f>
        <v/>
      </c>
      <c r="BR28" s="518" t="str">
        <f>IF(AND(_D="A-321N",'2024'!$D$4="CA",'2024'!$D$2=BR5),'2024DATA'!$M$25,"")</f>
        <v/>
      </c>
      <c r="BS28" s="520" t="str">
        <f>IF(AND(_D="A-321N",'2024'!$D$4="CA",'2024'!$D$2=BS5),'2024DATA'!$N$25,"")</f>
        <v/>
      </c>
      <c r="BT28" s="940" t="s">
        <v>46</v>
      </c>
      <c r="BU28" s="13" t="s">
        <v>61</v>
      </c>
      <c r="BV28" s="518" t="str">
        <f>IF(AND(_E="A-321N",'2024'!$D$4="CA",'2024'!$D$2=BV5),'2024DATA'!$C$25,"")</f>
        <v/>
      </c>
      <c r="BW28" s="518" t="str">
        <f>IF(AND(_E="A-321N",'2024'!$D$4="CA",'2024'!$D$2=BW5),'2024DATA'!$D$25,"")</f>
        <v/>
      </c>
      <c r="BX28" s="518" t="str">
        <f>IF(AND(_E="A-321N",'2024'!$D$4="CA",'2024'!$D$2=BX5),'2024DATA'!$E$25,"")</f>
        <v/>
      </c>
      <c r="BY28" s="518" t="str">
        <f>IF(AND(_E="A-321N",'2024'!$D$4="CA",'2024'!$D$2=BY5),'2024DATA'!$F$25,"")</f>
        <v/>
      </c>
      <c r="BZ28" s="518" t="str">
        <f>IF(AND(_E="A-321N",'2024'!$D$4="CA",'2024'!$D$2=BZ5),'2024DATA'!$G$25,"")</f>
        <v/>
      </c>
      <c r="CA28" s="518" t="str">
        <f>IF(AND(_E="A-321N",'2024'!$D$4="CA",'2024'!$D$2=CA5),'2024DATA'!$H$25,"")</f>
        <v/>
      </c>
      <c r="CB28" s="518" t="str">
        <f>IF(AND(_E="A-321N",'2024'!$D$4="CA",'2024'!$D$2=CB5),'2024DATA'!$I$25,"")</f>
        <v/>
      </c>
      <c r="CC28" s="518" t="str">
        <f>IF(AND(_E="A-321N",'2024'!$D$4="CA",'2024'!$D$2=CC5),'2024DATA'!$J$25,"")</f>
        <v/>
      </c>
      <c r="CD28" s="518" t="str">
        <f>IF(AND(_E="A-321N",'2024'!$D$4="CA",'2024'!$D$2=CD5),'2024DATA'!$K$25,"")</f>
        <v/>
      </c>
      <c r="CE28" s="518" t="str">
        <f>IF(AND(_E="A-321N",'2024'!$D$4="CA",'2024'!$D$2=CE5),'2024DATA'!$L$25,"")</f>
        <v/>
      </c>
      <c r="CF28" s="518" t="str">
        <f>IF(AND(_E="A-321N",'2024'!$D$4="CA",'2024'!$D$2=CF5),'2024DATA'!$M$25,"")</f>
        <v/>
      </c>
      <c r="CG28" s="520" t="str">
        <f>IF(AND(_E="A-321N",'2024'!$D$4="CA",'2024'!$D$2=CG5),'2024DATA'!$N$25,"")</f>
        <v/>
      </c>
      <c r="CH28" s="940" t="s">
        <v>46</v>
      </c>
      <c r="CI28" s="13" t="s">
        <v>61</v>
      </c>
      <c r="CJ28" s="518" t="str">
        <f>IF(AND(_F="A-321N",'2024'!$D$4="CA",'2024'!$D$2=CJ5),'2024DATA'!$C$25,"")</f>
        <v/>
      </c>
      <c r="CK28" s="518" t="str">
        <f>IF(AND(_F="A-321N",'2024'!$D$4="CA",'2024'!$D$2=CK5),'2024DATA'!$D$25,"")</f>
        <v/>
      </c>
      <c r="CL28" s="518" t="str">
        <f>IF(AND(_F="A-321N",'2024'!$D$4="CA",'2024'!$D$2=CL5),'2024DATA'!$E$25,"")</f>
        <v/>
      </c>
      <c r="CM28" s="518" t="str">
        <f>IF(AND(_F="A-321N",'2024'!$D$4="CA",'2024'!$D$2=CM5),'2024DATA'!$F$25,"")</f>
        <v/>
      </c>
      <c r="CN28" s="518" t="str">
        <f>IF(AND(_F="A-321N",'2024'!$D$4="CA",'2024'!$D$2=CN5),'2024DATA'!$G$25,"")</f>
        <v/>
      </c>
      <c r="CO28" s="518" t="str">
        <f>IF(AND(_F="A-321N",'2024'!$D$4="CA",'2024'!$D$2=CO5),'2024DATA'!$H$25,"")</f>
        <v/>
      </c>
      <c r="CP28" s="518" t="str">
        <f>IF(AND(_F="A-321N",'2024'!$D$4="CA",'2024'!$D$2=CP5),'2024DATA'!$I$25,"")</f>
        <v/>
      </c>
      <c r="CQ28" s="518" t="str">
        <f>IF(AND(_F="A-321N",'2024'!$D$4="CA",'2024'!$D$2=CQ5),'2024DATA'!$J$25,"")</f>
        <v/>
      </c>
      <c r="CR28" s="518" t="str">
        <f>IF(AND(_F="A-321N",'2024'!$D$4="CA",'2024'!$D$2=CR5),'2024DATA'!$K$25,"")</f>
        <v/>
      </c>
      <c r="CS28" s="518" t="str">
        <f>IF(AND(_F="A-321N",'2024'!$D$4="CA",'2024'!$D$2=CS5),'2024DATA'!$L$25,"")</f>
        <v/>
      </c>
      <c r="CT28" s="518" t="str">
        <f>IF(AND(_F="A-321N",'2024'!$D$4="CA",'2024'!$D$2=CT5),'2024DATA'!$M$25,"")</f>
        <v/>
      </c>
      <c r="CU28" s="520" t="str">
        <f>IF(AND(_F="A-321N",'2024'!$D$4="CA",'2024'!$D$2=CU5),'2024DATA'!$N$25,"")</f>
        <v/>
      </c>
    </row>
    <row r="29" spans="1:99" x14ac:dyDescent="0.25">
      <c r="A29" s="987" t="s">
        <v>70</v>
      </c>
      <c r="B29" s="64" t="s">
        <v>61</v>
      </c>
      <c r="C29" s="494">
        <v>358.97</v>
      </c>
      <c r="D29" s="473">
        <v>356.33</v>
      </c>
      <c r="E29" s="473">
        <v>353.61</v>
      </c>
      <c r="F29" s="473">
        <v>350.95</v>
      </c>
      <c r="G29" s="473">
        <v>348.24</v>
      </c>
      <c r="H29" s="473">
        <v>345.53</v>
      </c>
      <c r="I29" s="473">
        <v>342.87</v>
      </c>
      <c r="J29" s="473">
        <v>340.19</v>
      </c>
      <c r="K29" s="473">
        <v>337.47</v>
      </c>
      <c r="L29" s="473">
        <v>334.75</v>
      </c>
      <c r="M29" s="473">
        <v>332.14</v>
      </c>
      <c r="N29" s="495">
        <v>329.57</v>
      </c>
      <c r="P29" s="940"/>
      <c r="Q29" s="13" t="s">
        <v>62</v>
      </c>
      <c r="R29" s="518" t="str">
        <f>IF(AND(_A="A-321N",'2024'!$D$4="FO",'2024'!$D$2=R5),'2024DATA'!$C$26,"")</f>
        <v/>
      </c>
      <c r="S29" s="518" t="str">
        <f>IF(AND(_A="A-321N",'2024'!$D$4="FO",'2024'!$D$2=S5),'2024DATA'!$D$26,"")</f>
        <v/>
      </c>
      <c r="T29" s="518" t="str">
        <f>IF(AND(_A="A-321N",'2024'!$D$4="FO",'2024'!$D$2=T5),'2024DATA'!$E$26,"")</f>
        <v/>
      </c>
      <c r="U29" s="518" t="str">
        <f>IF(AND(_A="A-321N",'2024'!$D$4="FO",'2024'!$D$2=U5),'2024DATA'!$F$26,"")</f>
        <v/>
      </c>
      <c r="V29" s="518" t="str">
        <f>IF(AND(_A="A-321N",'2024'!$D$4="FO",'2024'!$D$2=V5),'2024DATA'!$G$26,"")</f>
        <v/>
      </c>
      <c r="W29" s="518" t="str">
        <f>IF(AND(_A="A-321N",'2024'!$D$4="FO",'2024'!$D$2=W5),'2024DATA'!$H$26,"")</f>
        <v/>
      </c>
      <c r="X29" s="518" t="str">
        <f>IF(AND(_A="A-321N",'2024'!$D$4="FO",'2024'!$D$2=X5),'2024DATA'!$I$26,"")</f>
        <v/>
      </c>
      <c r="Y29" s="518" t="str">
        <f>IF(AND(_A="A-321N",'2024'!$D$4="FO",'2024'!$D$2=Y5),'2024DATA'!$J$26,"")</f>
        <v/>
      </c>
      <c r="Z29" s="518" t="str">
        <f>IF(AND(_A="A-321N",'2024'!$D$4="FO",'2024'!$D$2=Z5),'2024DATA'!$K$26,"")</f>
        <v/>
      </c>
      <c r="AA29" s="518" t="str">
        <f>IF(AND(_A="A-321N",'2024'!$D$4="FO",'2024'!$D$2=AA5),'2024DATA'!$L$26,"")</f>
        <v/>
      </c>
      <c r="AB29" s="518" t="str">
        <f>IF(AND(_A="A-321N",'2024'!$D$4="FO",'2024'!$D$2=AB5),'2024DATA'!$M$26,"")</f>
        <v/>
      </c>
      <c r="AC29" s="520" t="str">
        <f>IF(AND(_A="A-321N",'2024'!$D$4="FO",'2024'!$D$2=AC5),'2024DATA'!$N$26,"")</f>
        <v/>
      </c>
      <c r="AD29" s="940"/>
      <c r="AE29" s="13" t="s">
        <v>62</v>
      </c>
      <c r="AF29" s="518" t="str">
        <f>IF(AND(_B="A-321N",'2024'!$D$4="FO",'2024'!$D$2=AF5),'2024DATA'!$C$26,"")</f>
        <v/>
      </c>
      <c r="AG29" s="518" t="str">
        <f>IF(AND(_B="A-321N",'2024'!$D$4="FO",'2024'!$D$2=AG5),'2024DATA'!$D$26,"")</f>
        <v/>
      </c>
      <c r="AH29" s="518" t="str">
        <f>IF(AND(_B="A-321N",'2024'!$D$4="FO",'2024'!$D$2=AH5),'2024DATA'!$E$26,"")</f>
        <v/>
      </c>
      <c r="AI29" s="518" t="str">
        <f>IF(AND(_B="A-321N",'2024'!$D$4="FO",'2024'!$D$2=AI5),'2024DATA'!$F$26,"")</f>
        <v/>
      </c>
      <c r="AJ29" s="518" t="str">
        <f>IF(AND(_B="A-321N",'2024'!$D$4="FO",'2024'!$D$2=AJ5),'2024DATA'!$G$26,"")</f>
        <v/>
      </c>
      <c r="AK29" s="518" t="str">
        <f>IF(AND(_B="A-321N",'2024'!$D$4="FO",'2024'!$D$2=AK5),'2024DATA'!$H$26,"")</f>
        <v/>
      </c>
      <c r="AL29" s="518" t="str">
        <f>IF(AND(_B="A-321N",'2024'!$D$4="FO",'2024'!$D$2=AL5),'2024DATA'!$I$26,"")</f>
        <v/>
      </c>
      <c r="AM29" s="518" t="str">
        <f>IF(AND(_B="A-321N",'2024'!$D$4="FO",'2024'!$D$2=AM5),'2024DATA'!$J$26,"")</f>
        <v/>
      </c>
      <c r="AN29" s="518" t="str">
        <f>IF(AND(_B="A-321N",'2024'!$D$4="FO",'2024'!$D$2=AN5),'2024DATA'!$K$26,"")</f>
        <v/>
      </c>
      <c r="AO29" s="518" t="str">
        <f>IF(AND(_B="A-321N",'2024'!$D$4="FO",'2024'!$D$2=AO5),'2024DATA'!$L$26,"")</f>
        <v/>
      </c>
      <c r="AP29" s="518" t="str">
        <f>IF(AND(_B="A-321N",'2024'!$D$4="FO",'2024'!$D$2=AP5),'2024DATA'!$M$26,"")</f>
        <v/>
      </c>
      <c r="AQ29" s="520" t="str">
        <f>IF(AND(_B="A-321N",'2024'!$D$4="FO",'2024'!$D$2=AQ5),'2024DATA'!$N$26,"")</f>
        <v/>
      </c>
      <c r="AR29" s="940"/>
      <c r="AS29" s="13" t="s">
        <v>62</v>
      </c>
      <c r="AT29" s="518" t="str">
        <f>IF(AND(_C="A-321N",'2024'!$D$4="FO",'2024'!$D$2=AT5),'2024DATA'!$C$26,"")</f>
        <v/>
      </c>
      <c r="AU29" s="518" t="str">
        <f>IF(AND(_C="A-321N",'2024'!$D$4="FO",'2024'!$D$2=AU5),'2024DATA'!$D$26,"")</f>
        <v/>
      </c>
      <c r="AV29" s="518" t="str">
        <f>IF(AND(_C="A-321N",'2024'!$D$4="FO",'2024'!$D$2=AV5),'2024DATA'!$E$26,"")</f>
        <v/>
      </c>
      <c r="AW29" s="518" t="str">
        <f>IF(AND(_C="A-321N",'2024'!$D$4="FO",'2024'!$D$2=AW5),'2024DATA'!$F$26,"")</f>
        <v/>
      </c>
      <c r="AX29" s="518" t="str">
        <f>IF(AND(_C="A-321N",'2024'!$D$4="FO",'2024'!$D$2=AX5),'2024DATA'!$G$26,"")</f>
        <v/>
      </c>
      <c r="AY29" s="518" t="str">
        <f>IF(AND(_C="A-321N",'2024'!$D$4="FO",'2024'!$D$2=AY5),'2024DATA'!$H$26,"")</f>
        <v/>
      </c>
      <c r="AZ29" s="518" t="str">
        <f>IF(AND(_C="A-321N",'2024'!$D$4="FO",'2024'!$D$2=AZ5),'2024DATA'!$I$26,"")</f>
        <v/>
      </c>
      <c r="BA29" s="518" t="str">
        <f>IF(AND(_C="A-321N",'2024'!$D$4="FO",'2024'!$D$2=BA5),'2024DATA'!$J$26,"")</f>
        <v/>
      </c>
      <c r="BB29" s="518" t="str">
        <f>IF(AND(_C="A-321N",'2024'!$D$4="FO",'2024'!$D$2=BB5),'2024DATA'!$K$26,"")</f>
        <v/>
      </c>
      <c r="BC29" s="518" t="str">
        <f>IF(AND(_C="A-321N",'2024'!$D$4="FO",'2024'!$D$2=BC5),'2024DATA'!$L$26,"")</f>
        <v/>
      </c>
      <c r="BD29" s="518" t="str">
        <f>IF(AND(_C="A-321N",'2024'!$D$4="FO",'2024'!$D$2=BD5),'2024DATA'!$M$26,"")</f>
        <v/>
      </c>
      <c r="BE29" s="520" t="str">
        <f>IF(AND(_C="A-321N",'2024'!$D$4="FO",'2024'!$D$2=BE5),'2024DATA'!$N$26,"")</f>
        <v/>
      </c>
      <c r="BF29" s="940"/>
      <c r="BG29" s="13" t="s">
        <v>62</v>
      </c>
      <c r="BH29" s="518" t="str">
        <f>IF(AND(_D="A-321N",'2024'!$D$4="FO",'2024'!$D$2=BH5),'2024DATA'!$C$26,"")</f>
        <v/>
      </c>
      <c r="BI29" s="518" t="str">
        <f>IF(AND(_D="A-321N",'2024'!$D$4="FO",'2024'!$D$2=BI5),'2024DATA'!$D$26,"")</f>
        <v/>
      </c>
      <c r="BJ29" s="518" t="str">
        <f>IF(AND(_D="A-321N",'2024'!$D$4="FO",'2024'!$D$2=BJ5),'2024DATA'!$E$26,"")</f>
        <v/>
      </c>
      <c r="BK29" s="518" t="str">
        <f>IF(AND(_D="A-321N",'2024'!$D$4="FO",'2024'!$D$2=BK5),'2024DATA'!$F$26,"")</f>
        <v/>
      </c>
      <c r="BL29" s="518" t="str">
        <f>IF(AND(_D="A-321N",'2024'!$D$4="FO",'2024'!$D$2=BL5),'2024DATA'!$G$26,"")</f>
        <v/>
      </c>
      <c r="BM29" s="518" t="str">
        <f>IF(AND(_D="A-321N",'2024'!$D$4="FO",'2024'!$D$2=BM5),'2024DATA'!$H$26,"")</f>
        <v/>
      </c>
      <c r="BN29" s="518" t="str">
        <f>IF(AND(_D="A-321N",'2024'!$D$4="FO",'2024'!$D$2=BN5),'2024DATA'!$I$26,"")</f>
        <v/>
      </c>
      <c r="BO29" s="518" t="str">
        <f>IF(AND(_D="A-321N",'2024'!$D$4="FO",'2024'!$D$2=BO5),'2024DATA'!$J$26,"")</f>
        <v/>
      </c>
      <c r="BP29" s="518" t="str">
        <f>IF(AND(_D="A-321N",'2024'!$D$4="FO",'2024'!$D$2=BP5),'2024DATA'!$K$26,"")</f>
        <v/>
      </c>
      <c r="BQ29" s="518" t="str">
        <f>IF(AND(_D="A-321N",'2024'!$D$4="FO",'2024'!$D$2=BQ5),'2024DATA'!$L$26,"")</f>
        <v/>
      </c>
      <c r="BR29" s="518" t="str">
        <f>IF(AND(_D="A-321N",'2024'!$D$4="FO",'2024'!$D$2=BR5),'2024DATA'!$M$26,"")</f>
        <v/>
      </c>
      <c r="BS29" s="520" t="str">
        <f>IF(AND(_D="A-321N",'2024'!$D$4="FO",'2024'!$D$2=BS5),'2024DATA'!$N$26,"")</f>
        <v/>
      </c>
      <c r="BT29" s="940"/>
      <c r="BU29" s="13" t="s">
        <v>62</v>
      </c>
      <c r="BV29" s="518" t="str">
        <f>IF(AND(_E="A-321N",'2024'!$D$4="FO",'2024'!$D$2=BV5),'2024DATA'!$C$26,"")</f>
        <v/>
      </c>
      <c r="BW29" s="518" t="str">
        <f>IF(AND(_E="A-321N",'2024'!$D$4="FO",'2024'!$D$2=BW5),'2024DATA'!$D$26,"")</f>
        <v/>
      </c>
      <c r="BX29" s="518" t="str">
        <f>IF(AND(_E="A-321N",'2024'!$D$4="FO",'2024'!$D$2=BX5),'2024DATA'!$E$26,"")</f>
        <v/>
      </c>
      <c r="BY29" s="518" t="str">
        <f>IF(AND(_E="A-321N",'2024'!$D$4="FO",'2024'!$D$2=BY5),'2024DATA'!$F$26,"")</f>
        <v/>
      </c>
      <c r="BZ29" s="518" t="str">
        <f>IF(AND(_E="A-321N",'2024'!$D$4="FO",'2024'!$D$2=BZ5),'2024DATA'!$G$26,"")</f>
        <v/>
      </c>
      <c r="CA29" s="518" t="str">
        <f>IF(AND(_E="A-321N",'2024'!$D$4="FO",'2024'!$D$2=CA5),'2024DATA'!$H$26,"")</f>
        <v/>
      </c>
      <c r="CB29" s="518" t="str">
        <f>IF(AND(_E="A-321N",'2024'!$D$4="FO",'2024'!$D$2=CB5),'2024DATA'!$I$26,"")</f>
        <v/>
      </c>
      <c r="CC29" s="518" t="str">
        <f>IF(AND(_E="A-321N",'2024'!$D$4="FO",'2024'!$D$2=CC5),'2024DATA'!$J$26,"")</f>
        <v/>
      </c>
      <c r="CD29" s="518" t="str">
        <f>IF(AND(_E="A-321N",'2024'!$D$4="FO",'2024'!$D$2=CD5),'2024DATA'!$K$26,"")</f>
        <v/>
      </c>
      <c r="CE29" s="518" t="str">
        <f>IF(AND(_E="A-321N",'2024'!$D$4="FO",'2024'!$D$2=CE5),'2024DATA'!$L$26,"")</f>
        <v/>
      </c>
      <c r="CF29" s="518" t="str">
        <f>IF(AND(_E="A-321N",'2024'!$D$4="FO",'2024'!$D$2=CF5),'2024DATA'!$M$26,"")</f>
        <v/>
      </c>
      <c r="CG29" s="520" t="str">
        <f>IF(AND(_E="A-321N",'2024'!$D$4="FO",'2024'!$D$2=CG5),'2024DATA'!$N$26,"")</f>
        <v/>
      </c>
      <c r="CH29" s="940"/>
      <c r="CI29" s="13" t="s">
        <v>62</v>
      </c>
      <c r="CJ29" s="518" t="str">
        <f>IF(AND(_F="A-321N",'2024'!$D$4="FO",'2024'!$D$2=CJ5),'2024DATA'!$C$26,"")</f>
        <v/>
      </c>
      <c r="CK29" s="518" t="str">
        <f>IF(AND(_F="A-321N",'2024'!$D$4="FO",'2024'!$D$2=CK5),'2024DATA'!$D$26,"")</f>
        <v/>
      </c>
      <c r="CL29" s="518" t="str">
        <f>IF(AND(_F="A-321N",'2024'!$D$4="FO",'2024'!$D$2=CL5),'2024DATA'!$E$26,"")</f>
        <v/>
      </c>
      <c r="CM29" s="518" t="str">
        <f>IF(AND(_F="A-321N",'2024'!$D$4="FO",'2024'!$D$2=CM5),'2024DATA'!$F$26,"")</f>
        <v/>
      </c>
      <c r="CN29" s="518" t="str">
        <f>IF(AND(_F="A-321N",'2024'!$D$4="FO",'2024'!$D$2=CN5),'2024DATA'!$G$26,"")</f>
        <v/>
      </c>
      <c r="CO29" s="518" t="str">
        <f>IF(AND(_F="A-321N",'2024'!$D$4="FO",'2024'!$D$2=CO5),'2024DATA'!$H$26,"")</f>
        <v/>
      </c>
      <c r="CP29" s="518" t="str">
        <f>IF(AND(_F="A-321N",'2024'!$D$4="FO",'2024'!$D$2=CP5),'2024DATA'!$I$26,"")</f>
        <v/>
      </c>
      <c r="CQ29" s="518" t="str">
        <f>IF(AND(_F="A-321N",'2024'!$D$4="FO",'2024'!$D$2=CQ5),'2024DATA'!$J$26,"")</f>
        <v/>
      </c>
      <c r="CR29" s="518" t="str">
        <f>IF(AND(_F="A-321N",'2024'!$D$4="FO",'2024'!$D$2=CR5),'2024DATA'!$K$26,"")</f>
        <v/>
      </c>
      <c r="CS29" s="518" t="str">
        <f>IF(AND(_F="A-321N",'2024'!$D$4="FO",'2024'!$D$2=CS5),'2024DATA'!$L$26,"")</f>
        <v/>
      </c>
      <c r="CT29" s="518" t="str">
        <f>IF(AND(_F="A-321N",'2024'!$D$4="FO",'2024'!$D$2=CT5),'2024DATA'!$M$26,"")</f>
        <v/>
      </c>
      <c r="CU29" s="520" t="str">
        <f>IF(AND(_F="A-321N",'2024'!$D$4="FO",'2024'!$D$2=CU5),'2024DATA'!$N$26,"")</f>
        <v/>
      </c>
    </row>
    <row r="30" spans="1:99" x14ac:dyDescent="0.25">
      <c r="A30" s="987"/>
      <c r="B30" s="64" t="s">
        <v>62</v>
      </c>
      <c r="C30" s="494">
        <v>245.19</v>
      </c>
      <c r="D30" s="473">
        <v>243</v>
      </c>
      <c r="E30" s="473">
        <v>240.79</v>
      </c>
      <c r="F30" s="473">
        <v>237.58</v>
      </c>
      <c r="G30" s="473">
        <v>235.07</v>
      </c>
      <c r="H30" s="473">
        <v>229.76</v>
      </c>
      <c r="I30" s="473">
        <v>223.52</v>
      </c>
      <c r="J30" s="473">
        <v>218.07</v>
      </c>
      <c r="K30" s="473">
        <v>212.95</v>
      </c>
      <c r="L30" s="473">
        <v>207.89</v>
      </c>
      <c r="M30" s="473">
        <v>177.71</v>
      </c>
      <c r="N30" s="495">
        <v>116.05</v>
      </c>
      <c r="P30" s="940" t="s">
        <v>48</v>
      </c>
      <c r="Q30" s="13" t="s">
        <v>61</v>
      </c>
      <c r="R30" s="518" t="str">
        <f>IF(AND(_A="A-321",'2024'!$D$4="CA",'2024'!$D$2=R5),'2024DATA'!$C$27,"")</f>
        <v/>
      </c>
      <c r="S30" s="518" t="str">
        <f>IF(AND(_A="A-321",'2024'!$D$4="CA",'2024'!$D$2=S5),'2024DATA'!$D$27,"")</f>
        <v/>
      </c>
      <c r="T30" s="518" t="str">
        <f>IF(AND(_A="A-321",'2024'!$D$4="CA",'2024'!$D$2=T5),'2024DATA'!$E$27,"")</f>
        <v/>
      </c>
      <c r="U30" s="518" t="str">
        <f>IF(AND(_A="A-321",'2024'!$D$4="CA",'2024'!$D$2=U5),'2024DATA'!$F$27,"")</f>
        <v/>
      </c>
      <c r="V30" s="518" t="str">
        <f>IF(AND(_A="A-321",'2024'!$D$4="CA",'2024'!$D$2=V5),'2024DATA'!$G$27,"")</f>
        <v/>
      </c>
      <c r="W30" s="518" t="str">
        <f>IF(AND(_A="A-321",'2024'!$D$4="CA",'2024'!$D$2=W5),'2024DATA'!$H$27,"")</f>
        <v/>
      </c>
      <c r="X30" s="518" t="str">
        <f>IF(AND(_A="A-321",'2024'!$D$4="CA",'2024'!$D$2=X5),'2024DATA'!$I$27,"")</f>
        <v/>
      </c>
      <c r="Y30" s="518" t="str">
        <f>IF(AND(_A="A-321",'2024'!$D$4="CA",'2024'!$D$2=Y5),'2024DATA'!$J$27,"")</f>
        <v/>
      </c>
      <c r="Z30" s="518" t="str">
        <f>IF(AND(_A="A-321",'2024'!$D$4="CA",'2024'!$D$2=Z5),'2024DATA'!$K$27,"")</f>
        <v/>
      </c>
      <c r="AA30" s="518" t="str">
        <f>IF(AND(_A="A-321",'2024'!$D$4="CA",'2024'!$D$2=AA5),'2024DATA'!$L$27,"")</f>
        <v/>
      </c>
      <c r="AB30" s="518" t="str">
        <f>IF(AND(_A="A-321",'2024'!$D$4="CA",'2024'!$D$2=AB5),'2024DATA'!$M$27,"")</f>
        <v/>
      </c>
      <c r="AC30" s="520" t="str">
        <f>IF(AND(_A="A-321",'2024'!$D$4="CA",'2024'!$D$2=AC5),'2024DATA'!$N$27,"")</f>
        <v/>
      </c>
      <c r="AD30" s="940" t="s">
        <v>48</v>
      </c>
      <c r="AE30" s="13" t="s">
        <v>61</v>
      </c>
      <c r="AF30" s="518" t="str">
        <f>IF(AND(_B="A-321",'2024'!$D$4="CA",'2024'!$D$2=AF5),'2024DATA'!$C$27,"")</f>
        <v/>
      </c>
      <c r="AG30" s="518" t="str">
        <f>IF(AND(_B="A-321",'2024'!$D$4="CA",'2024'!$D$2=AG5),'2024DATA'!$D$27,"")</f>
        <v/>
      </c>
      <c r="AH30" s="518" t="str">
        <f>IF(AND(_B="A-321",'2024'!$D$4="CA",'2024'!$D$2=AH5),'2024DATA'!$E$27,"")</f>
        <v/>
      </c>
      <c r="AI30" s="518" t="str">
        <f>IF(AND(_B="A-321",'2024'!$D$4="CA",'2024'!$D$2=AI5),'2024DATA'!$F$27,"")</f>
        <v/>
      </c>
      <c r="AJ30" s="518" t="str">
        <f>IF(AND(_B="A-321",'2024'!$D$4="CA",'2024'!$D$2=AJ5),'2024DATA'!$G$27,"")</f>
        <v/>
      </c>
      <c r="AK30" s="518" t="str">
        <f>IF(AND(_B="A-321",'2024'!$D$4="CA",'2024'!$D$2=AK5),'2024DATA'!$H$27,"")</f>
        <v/>
      </c>
      <c r="AL30" s="518" t="str">
        <f>IF(AND(_B="A-321",'2024'!$D$4="CA",'2024'!$D$2=AL5),'2024DATA'!$I$27,"")</f>
        <v/>
      </c>
      <c r="AM30" s="518" t="str">
        <f>IF(AND(_B="A-321",'2024'!$D$4="CA",'2024'!$D$2=AM5),'2024DATA'!$J$27,"")</f>
        <v/>
      </c>
      <c r="AN30" s="518" t="str">
        <f>IF(AND(_B="A-321",'2024'!$D$4="CA",'2024'!$D$2=AN5),'2024DATA'!$K$27,"")</f>
        <v/>
      </c>
      <c r="AO30" s="518" t="str">
        <f>IF(AND(_B="A-321",'2024'!$D$4="CA",'2024'!$D$2=AO5),'2024DATA'!$L$27,"")</f>
        <v/>
      </c>
      <c r="AP30" s="518" t="str">
        <f>IF(AND(_B="A-321",'2024'!$D$4="CA",'2024'!$D$2=AP5),'2024DATA'!$M$27,"")</f>
        <v/>
      </c>
      <c r="AQ30" s="520" t="str">
        <f>IF(AND(_B="A-321",'2024'!$D$4="CA",'2024'!$D$2=AQ5),'2024DATA'!$N$27,"")</f>
        <v/>
      </c>
      <c r="AR30" s="940" t="s">
        <v>48</v>
      </c>
      <c r="AS30" s="13" t="s">
        <v>61</v>
      </c>
      <c r="AT30" s="518" t="str">
        <f>IF(AND(_C="A-321",'2024'!$D$4="CA",'2024'!$D$2=AT5),'2024DATA'!$C$27,"")</f>
        <v/>
      </c>
      <c r="AU30" s="518" t="str">
        <f>IF(AND(_C="A-321",'2024'!$D$4="CA",'2024'!$D$2=AU5),'2024DATA'!$D$27,"")</f>
        <v/>
      </c>
      <c r="AV30" s="518" t="str">
        <f>IF(AND(_C="A-321",'2024'!$D$4="CA",'2024'!$D$2=AV5),'2024DATA'!$E$27,"")</f>
        <v/>
      </c>
      <c r="AW30" s="518" t="str">
        <f>IF(AND(_C="A-321",'2024'!$D$4="CA",'2024'!$D$2=AW5),'2024DATA'!$F$27,"")</f>
        <v/>
      </c>
      <c r="AX30" s="518" t="str">
        <f>IF(AND(_C="A-321",'2024'!$D$4="CA",'2024'!$D$2=AX5),'2024DATA'!$G$27,"")</f>
        <v/>
      </c>
      <c r="AY30" s="518" t="str">
        <f>IF(AND(_C="A-321",'2024'!$D$4="CA",'2024'!$D$2=AY5),'2024DATA'!$H$27,"")</f>
        <v/>
      </c>
      <c r="AZ30" s="518" t="str">
        <f>IF(AND(_C="A-321",'2024'!$D$4="CA",'2024'!$D$2=AZ5),'2024DATA'!$I$27,"")</f>
        <v/>
      </c>
      <c r="BA30" s="518" t="str">
        <f>IF(AND(_C="A-321",'2024'!$D$4="CA",'2024'!$D$2=BA5),'2024DATA'!$J$27,"")</f>
        <v/>
      </c>
      <c r="BB30" s="518" t="str">
        <f>IF(AND(_C="A-321",'2024'!$D$4="CA",'2024'!$D$2=BB5),'2024DATA'!$K$27,"")</f>
        <v/>
      </c>
      <c r="BC30" s="518" t="str">
        <f>IF(AND(_C="A-321",'2024'!$D$4="CA",'2024'!$D$2=BC5),'2024DATA'!$L$27,"")</f>
        <v/>
      </c>
      <c r="BD30" s="518" t="str">
        <f>IF(AND(_C="A-321",'2024'!$D$4="CA",'2024'!$D$2=BD5),'2024DATA'!$M$27,"")</f>
        <v/>
      </c>
      <c r="BE30" s="520" t="str">
        <f>IF(AND(_C="A-321",'2024'!$D$4="CA",'2024'!$D$2=BE5),'2024DATA'!$N$27,"")</f>
        <v/>
      </c>
      <c r="BF30" s="940" t="s">
        <v>48</v>
      </c>
      <c r="BG30" s="13" t="s">
        <v>61</v>
      </c>
      <c r="BH30" s="518" t="str">
        <f>IF(AND(_D="A-321",'2024'!$D$4="CA",'2024'!$D$2=BH5),'2024DATA'!$C$27,"")</f>
        <v/>
      </c>
      <c r="BI30" s="518" t="str">
        <f>IF(AND(_D="A-321",'2024'!$D$4="CA",'2024'!$D$2=BI5),'2024DATA'!$D$27,"")</f>
        <v/>
      </c>
      <c r="BJ30" s="518" t="str">
        <f>IF(AND(_D="A-321",'2024'!$D$4="CA",'2024'!$D$2=BJ5),'2024DATA'!$E$27,"")</f>
        <v/>
      </c>
      <c r="BK30" s="518" t="str">
        <f>IF(AND(_D="A-321",'2024'!$D$4="CA",'2024'!$D$2=BK5),'2024DATA'!$F$27,"")</f>
        <v/>
      </c>
      <c r="BL30" s="518" t="str">
        <f>IF(AND(_D="A-321",'2024'!$D$4="CA",'2024'!$D$2=BL5),'2024DATA'!$G$27,"")</f>
        <v/>
      </c>
      <c r="BM30" s="518" t="str">
        <f>IF(AND(_D="A-321",'2024'!$D$4="CA",'2024'!$D$2=BM5),'2024DATA'!$H$27,"")</f>
        <v/>
      </c>
      <c r="BN30" s="518" t="str">
        <f>IF(AND(_D="A-321",'2024'!$D$4="CA",'2024'!$D$2=BN5),'2024DATA'!$I$27,"")</f>
        <v/>
      </c>
      <c r="BO30" s="518" t="str">
        <f>IF(AND(_D="A-321",'2024'!$D$4="CA",'2024'!$D$2=BO5),'2024DATA'!$J$27,"")</f>
        <v/>
      </c>
      <c r="BP30" s="518" t="str">
        <f>IF(AND(_D="A-321",'2024'!$D$4="CA",'2024'!$D$2=BP5),'2024DATA'!$K$27,"")</f>
        <v/>
      </c>
      <c r="BQ30" s="518" t="str">
        <f>IF(AND(_D="A-321",'2024'!$D$4="CA",'2024'!$D$2=BQ5),'2024DATA'!$L$27,"")</f>
        <v/>
      </c>
      <c r="BR30" s="518" t="str">
        <f>IF(AND(_D="A-321",'2024'!$D$4="CA",'2024'!$D$2=BR5),'2024DATA'!$M$27,"")</f>
        <v/>
      </c>
      <c r="BS30" s="520" t="str">
        <f>IF(AND(_D="A-321",'2024'!$D$4="CA",'2024'!$D$2=BS5),'2024DATA'!$N$27,"")</f>
        <v/>
      </c>
      <c r="BT30" s="940" t="s">
        <v>48</v>
      </c>
      <c r="BU30" s="13" t="s">
        <v>61</v>
      </c>
      <c r="BV30" s="518" t="str">
        <f>IF(AND(_E="A-321",'2024'!$D$4="CA",'2024'!$D$2=BV5),'2024DATA'!$C$27,"")</f>
        <v/>
      </c>
      <c r="BW30" s="518" t="str">
        <f>IF(AND(_E="A-321",'2024'!$D$4="CA",'2024'!$D$2=BW5),'2024DATA'!$D$27,"")</f>
        <v/>
      </c>
      <c r="BX30" s="518" t="str">
        <f>IF(AND(_E="A-321",'2024'!$D$4="CA",'2024'!$D$2=BX5),'2024DATA'!$E$27,"")</f>
        <v/>
      </c>
      <c r="BY30" s="518" t="str">
        <f>IF(AND(_E="A-321",'2024'!$D$4="CA",'2024'!$D$2=BY5),'2024DATA'!$F$27,"")</f>
        <v/>
      </c>
      <c r="BZ30" s="518" t="str">
        <f>IF(AND(_E="A-321",'2024'!$D$4="CA",'2024'!$D$2=BZ5),'2024DATA'!$G$27,"")</f>
        <v/>
      </c>
      <c r="CA30" s="518" t="str">
        <f>IF(AND(_E="A-321",'2024'!$D$4="CA",'2024'!$D$2=CA5),'2024DATA'!$H$27,"")</f>
        <v/>
      </c>
      <c r="CB30" s="518" t="str">
        <f>IF(AND(_E="A-321",'2024'!$D$4="CA",'2024'!$D$2=CB5),'2024DATA'!$I$27,"")</f>
        <v/>
      </c>
      <c r="CC30" s="518" t="str">
        <f>IF(AND(_E="A-321",'2024'!$D$4="CA",'2024'!$D$2=CC5),'2024DATA'!$J$27,"")</f>
        <v/>
      </c>
      <c r="CD30" s="518" t="str">
        <f>IF(AND(_E="A-321",'2024'!$D$4="CA",'2024'!$D$2=CD5),'2024DATA'!$K$27,"")</f>
        <v/>
      </c>
      <c r="CE30" s="518" t="str">
        <f>IF(AND(_E="A-321",'2024'!$D$4="CA",'2024'!$D$2=CE5),'2024DATA'!$L$27,"")</f>
        <v/>
      </c>
      <c r="CF30" s="518" t="str">
        <f>IF(AND(_E="A-321",'2024'!$D$4="CA",'2024'!$D$2=CF5),'2024DATA'!$M$27,"")</f>
        <v/>
      </c>
      <c r="CG30" s="520" t="str">
        <f>IF(AND(_E="A-321",'2024'!$D$4="CA",'2024'!$D$2=CG5),'2024DATA'!$N$27,"")</f>
        <v/>
      </c>
      <c r="CH30" s="940" t="s">
        <v>48</v>
      </c>
      <c r="CI30" s="13" t="s">
        <v>61</v>
      </c>
      <c r="CJ30" s="518" t="str">
        <f>IF(AND(_F="A-321",'2024'!$D$4="CA",'2024'!$D$2=CJ5),'2024DATA'!$C$27,"")</f>
        <v/>
      </c>
      <c r="CK30" s="518" t="str">
        <f>IF(AND(_F="A-321",'2024'!$D$4="CA",'2024'!$D$2=CK5),'2024DATA'!$D$27,"")</f>
        <v/>
      </c>
      <c r="CL30" s="518" t="str">
        <f>IF(AND(_F="A-321",'2024'!$D$4="CA",'2024'!$D$2=CL5),'2024DATA'!$E$27,"")</f>
        <v/>
      </c>
      <c r="CM30" s="518" t="str">
        <f>IF(AND(_F="A-321",'2024'!$D$4="CA",'2024'!$D$2=CM5),'2024DATA'!$F$27,"")</f>
        <v/>
      </c>
      <c r="CN30" s="518" t="str">
        <f>IF(AND(_F="A-321",'2024'!$D$4="CA",'2024'!$D$2=CN5),'2024DATA'!$G$27,"")</f>
        <v/>
      </c>
      <c r="CO30" s="518" t="str">
        <f>IF(AND(_F="A-321",'2024'!$D$4="CA",'2024'!$D$2=CO5),'2024DATA'!$H$27,"")</f>
        <v/>
      </c>
      <c r="CP30" s="518" t="str">
        <f>IF(AND(_F="A-321",'2024'!$D$4="CA",'2024'!$D$2=CP5),'2024DATA'!$I$27,"")</f>
        <v/>
      </c>
      <c r="CQ30" s="518" t="str">
        <f>IF(AND(_F="A-321",'2024'!$D$4="CA",'2024'!$D$2=CQ5),'2024DATA'!$J$27,"")</f>
        <v/>
      </c>
      <c r="CR30" s="518" t="str">
        <f>IF(AND(_F="A-321",'2024'!$D$4="CA",'2024'!$D$2=CR5),'2024DATA'!$K$27,"")</f>
        <v/>
      </c>
      <c r="CS30" s="518" t="str">
        <f>IF(AND(_F="A-321",'2024'!$D$4="CA",'2024'!$D$2=CS5),'2024DATA'!$L$27,"")</f>
        <v/>
      </c>
      <c r="CT30" s="518" t="str">
        <f>IF(AND(_F="A-321",'2024'!$D$4="CA",'2024'!$D$2=CT5),'2024DATA'!$M$27,"")</f>
        <v/>
      </c>
      <c r="CU30" s="520" t="str">
        <f>IF(AND(_F="A-321",'2024'!$D$4="CA",'2024'!$D$2=CU5),'2024DATA'!$N$27,"")</f>
        <v/>
      </c>
    </row>
    <row r="31" spans="1:99" x14ac:dyDescent="0.25">
      <c r="A31" s="987" t="s">
        <v>71</v>
      </c>
      <c r="B31" s="64" t="s">
        <v>61</v>
      </c>
      <c r="C31" s="494">
        <v>358.97</v>
      </c>
      <c r="D31" s="473">
        <v>356.33</v>
      </c>
      <c r="E31" s="473">
        <v>353.61</v>
      </c>
      <c r="F31" s="473">
        <v>350.95</v>
      </c>
      <c r="G31" s="473">
        <v>348.24</v>
      </c>
      <c r="H31" s="473">
        <v>345.53</v>
      </c>
      <c r="I31" s="473">
        <v>342.87</v>
      </c>
      <c r="J31" s="473">
        <v>340.19</v>
      </c>
      <c r="K31" s="473">
        <v>337.47</v>
      </c>
      <c r="L31" s="473">
        <v>334.75</v>
      </c>
      <c r="M31" s="473">
        <v>332.14</v>
      </c>
      <c r="N31" s="495">
        <v>329.57</v>
      </c>
      <c r="P31" s="940"/>
      <c r="Q31" s="13" t="s">
        <v>62</v>
      </c>
      <c r="R31" s="518" t="str">
        <f>IF(AND(_A="A-321",'2024'!$D$4="FO",'2024'!$D$2=R5),'2024DATA'!$C$28,"")</f>
        <v/>
      </c>
      <c r="S31" s="518" t="str">
        <f>IF(AND(_A="A-321",'2024'!$D$4="FO",'2024'!$D$2=S5),'2024DATA'!$D$28,"")</f>
        <v/>
      </c>
      <c r="T31" s="518" t="str">
        <f>IF(AND(_A="A-321",'2024'!$D$4="FO",'2024'!$D$2=T5),'2024DATA'!$E$28,"")</f>
        <v/>
      </c>
      <c r="U31" s="518" t="str">
        <f>IF(AND(_A="A-321",'2024'!$D$4="FO",'2024'!$D$2=U5),'2024DATA'!$F$28,"")</f>
        <v/>
      </c>
      <c r="V31" s="518" t="str">
        <f>IF(AND(_A="A-321",'2024'!$D$4="FO",'2024'!$D$2=V5),'2024DATA'!$G$28,"")</f>
        <v/>
      </c>
      <c r="W31" s="518" t="str">
        <f>IF(AND(_A="A-321",'2024'!$D$4="FO",'2024'!$D$2=W5),'2024DATA'!$H$28,"")</f>
        <v/>
      </c>
      <c r="X31" s="518" t="str">
        <f>IF(AND(_A="A-321",'2024'!$D$4="FO",'2024'!$D$2=X5),'2024DATA'!$I$28,"")</f>
        <v/>
      </c>
      <c r="Y31" s="518" t="str">
        <f>IF(AND(_A="A-321",'2024'!$D$4="FO",'2024'!$D$2=Y5),'2024DATA'!$J$28,"")</f>
        <v/>
      </c>
      <c r="Z31" s="518" t="str">
        <f>IF(AND(_A="A-321",'2024'!$D$4="FO",'2024'!$D$2=Z5),'2024DATA'!$K$28,"")</f>
        <v/>
      </c>
      <c r="AA31" s="518" t="str">
        <f>IF(AND(_A="A-321",'2024'!$D$4="FO",'2024'!$D$2=AA5),'2024DATA'!$L$28,"")</f>
        <v/>
      </c>
      <c r="AB31" s="518" t="str">
        <f>IF(AND(_A="A-321",'2024'!$D$4="FO",'2024'!$D$2=AB5),'2024DATA'!$M$28,"")</f>
        <v/>
      </c>
      <c r="AC31" s="520" t="str">
        <f>IF(AND(_A="A-321",'2024'!$D$4="FO",'2024'!$D$2=AC5),'2024DATA'!$N$28,"")</f>
        <v/>
      </c>
      <c r="AD31" s="940"/>
      <c r="AE31" s="13" t="s">
        <v>62</v>
      </c>
      <c r="AF31" s="518" t="str">
        <f>IF(AND(_B="A-321",'2024'!$D$4="FO",'2024'!$D$2=AF5),'2024DATA'!$C$28,"")</f>
        <v/>
      </c>
      <c r="AG31" s="518" t="str">
        <f>IF(AND(_B="A-321",'2024'!$D$4="FO",'2024'!$D$2=AG5),'2024DATA'!$D$28,"")</f>
        <v/>
      </c>
      <c r="AH31" s="518" t="str">
        <f>IF(AND(_B="A-321",'2024'!$D$4="FO",'2024'!$D$2=AH5),'2024DATA'!$E$28,"")</f>
        <v/>
      </c>
      <c r="AI31" s="518" t="str">
        <f>IF(AND(_B="A-321",'2024'!$D$4="FO",'2024'!$D$2=AI5),'2024DATA'!$F$28,"")</f>
        <v/>
      </c>
      <c r="AJ31" s="518" t="str">
        <f>IF(AND(_B="A-321",'2024'!$D$4="FO",'2024'!$D$2=AJ5),'2024DATA'!$G$28,"")</f>
        <v/>
      </c>
      <c r="AK31" s="518" t="str">
        <f>IF(AND(_B="A-321",'2024'!$D$4="FO",'2024'!$D$2=AK5),'2024DATA'!$H$28,"")</f>
        <v/>
      </c>
      <c r="AL31" s="518" t="str">
        <f>IF(AND(_B="A-321",'2024'!$D$4="FO",'2024'!$D$2=AL5),'2024DATA'!$I$28,"")</f>
        <v/>
      </c>
      <c r="AM31" s="518" t="str">
        <f>IF(AND(_B="A-321",'2024'!$D$4="FO",'2024'!$D$2=AM5),'2024DATA'!$J$28,"")</f>
        <v/>
      </c>
      <c r="AN31" s="518" t="str">
        <f>IF(AND(_B="A-321",'2024'!$D$4="FO",'2024'!$D$2=AN5),'2024DATA'!$K$28,"")</f>
        <v/>
      </c>
      <c r="AO31" s="518" t="str">
        <f>IF(AND(_B="A-321",'2024'!$D$4="FO",'2024'!$D$2=AO5),'2024DATA'!$L$28,"")</f>
        <v/>
      </c>
      <c r="AP31" s="518" t="str">
        <f>IF(AND(_B="A-321",'2024'!$D$4="FO",'2024'!$D$2=AP5),'2024DATA'!$M$28,"")</f>
        <v/>
      </c>
      <c r="AQ31" s="520" t="str">
        <f>IF(AND(_B="A-321",'2024'!$D$4="FO",'2024'!$D$2=AQ5),'2024DATA'!$N$28,"")</f>
        <v/>
      </c>
      <c r="AR31" s="940"/>
      <c r="AS31" s="13" t="s">
        <v>62</v>
      </c>
      <c r="AT31" s="518" t="str">
        <f>IF(AND(_C="A-321",'2024'!$D$4="FO",'2024'!$D$2=AT5),'2024DATA'!$C$28,"")</f>
        <v/>
      </c>
      <c r="AU31" s="518" t="str">
        <f>IF(AND(_C="A-321",'2024'!$D$4="FO",'2024'!$D$2=AU5),'2024DATA'!$D$28,"")</f>
        <v/>
      </c>
      <c r="AV31" s="518" t="str">
        <f>IF(AND(_C="A-321",'2024'!$D$4="FO",'2024'!$D$2=AV5),'2024DATA'!$E$28,"")</f>
        <v/>
      </c>
      <c r="AW31" s="518" t="str">
        <f>IF(AND(_C="A-321",'2024'!$D$4="FO",'2024'!$D$2=AW5),'2024DATA'!$F$28,"")</f>
        <v/>
      </c>
      <c r="AX31" s="518" t="str">
        <f>IF(AND(_C="A-321",'2024'!$D$4="FO",'2024'!$D$2=AX5),'2024DATA'!$G$28,"")</f>
        <v/>
      </c>
      <c r="AY31" s="518" t="str">
        <f>IF(AND(_C="A-321",'2024'!$D$4="FO",'2024'!$D$2=AY5),'2024DATA'!$H$28,"")</f>
        <v/>
      </c>
      <c r="AZ31" s="518" t="str">
        <f>IF(AND(_C="A-321",'2024'!$D$4="FO",'2024'!$D$2=AZ5),'2024DATA'!$I$28,"")</f>
        <v/>
      </c>
      <c r="BA31" s="518" t="str">
        <f>IF(AND(_C="A-321",'2024'!$D$4="FO",'2024'!$D$2=BA5),'2024DATA'!$J$28,"")</f>
        <v/>
      </c>
      <c r="BB31" s="518" t="str">
        <f>IF(AND(_C="A-321",'2024'!$D$4="FO",'2024'!$D$2=BB5),'2024DATA'!$K$28,"")</f>
        <v/>
      </c>
      <c r="BC31" s="518" t="str">
        <f>IF(AND(_C="A-321",'2024'!$D$4="FO",'2024'!$D$2=BC5),'2024DATA'!$L$28,"")</f>
        <v/>
      </c>
      <c r="BD31" s="518" t="str">
        <f>IF(AND(_C="A-321",'2024'!$D$4="FO",'2024'!$D$2=BD5),'2024DATA'!$M$28,"")</f>
        <v/>
      </c>
      <c r="BE31" s="520" t="str">
        <f>IF(AND(_C="A-321",'2024'!$D$4="FO",'2024'!$D$2=BE5),'2024DATA'!$N$28,"")</f>
        <v/>
      </c>
      <c r="BF31" s="940"/>
      <c r="BG31" s="13" t="s">
        <v>62</v>
      </c>
      <c r="BH31" s="518" t="str">
        <f>IF(AND(_D="A-321",'2024'!$D$4="FO",'2024'!$D$2=BH5),'2024DATA'!$C$28,"")</f>
        <v/>
      </c>
      <c r="BI31" s="518" t="str">
        <f>IF(AND(_D="A-321",'2024'!$D$4="FO",'2024'!$D$2=BI5),'2024DATA'!$D$28,"")</f>
        <v/>
      </c>
      <c r="BJ31" s="518" t="str">
        <f>IF(AND(_D="A-321",'2024'!$D$4="FO",'2024'!$D$2=BJ5),'2024DATA'!$E$28,"")</f>
        <v/>
      </c>
      <c r="BK31" s="518" t="str">
        <f>IF(AND(_D="A-321",'2024'!$D$4="FO",'2024'!$D$2=BK5),'2024DATA'!$F$28,"")</f>
        <v/>
      </c>
      <c r="BL31" s="518" t="str">
        <f>IF(AND(_D="A-321",'2024'!$D$4="FO",'2024'!$D$2=BL5),'2024DATA'!$G$28,"")</f>
        <v/>
      </c>
      <c r="BM31" s="518" t="str">
        <f>IF(AND(_D="A-321",'2024'!$D$4="FO",'2024'!$D$2=BM5),'2024DATA'!$H$28,"")</f>
        <v/>
      </c>
      <c r="BN31" s="518" t="str">
        <f>IF(AND(_D="A-321",'2024'!$D$4="FO",'2024'!$D$2=BN5),'2024DATA'!$I$28,"")</f>
        <v/>
      </c>
      <c r="BO31" s="518" t="str">
        <f>IF(AND(_D="A-321",'2024'!$D$4="FO",'2024'!$D$2=BO5),'2024DATA'!$J$28,"")</f>
        <v/>
      </c>
      <c r="BP31" s="518" t="str">
        <f>IF(AND(_D="A-321",'2024'!$D$4="FO",'2024'!$D$2=BP5),'2024DATA'!$K$28,"")</f>
        <v/>
      </c>
      <c r="BQ31" s="518" t="str">
        <f>IF(AND(_D="A-321",'2024'!$D$4="FO",'2024'!$D$2=BQ5),'2024DATA'!$L$28,"")</f>
        <v/>
      </c>
      <c r="BR31" s="518" t="str">
        <f>IF(AND(_D="A-321",'2024'!$D$4="FO",'2024'!$D$2=BR5),'2024DATA'!$M$28,"")</f>
        <v/>
      </c>
      <c r="BS31" s="520" t="str">
        <f>IF(AND(_D="A-321",'2024'!$D$4="FO",'2024'!$D$2=BS5),'2024DATA'!$N$28,"")</f>
        <v/>
      </c>
      <c r="BT31" s="940"/>
      <c r="BU31" s="13" t="s">
        <v>62</v>
      </c>
      <c r="BV31" s="518" t="str">
        <f>IF(AND(_E="A-321",'2024'!$D$4="FO",'2024'!$D$2=BV5),'2024DATA'!$C$28,"")</f>
        <v/>
      </c>
      <c r="BW31" s="518" t="str">
        <f>IF(AND(_E="A-321",'2024'!$D$4="FO",'2024'!$D$2=BW5),'2024DATA'!$D$28,"")</f>
        <v/>
      </c>
      <c r="BX31" s="518" t="str">
        <f>IF(AND(_E="A-321",'2024'!$D$4="FO",'2024'!$D$2=BX5),'2024DATA'!$E$28,"")</f>
        <v/>
      </c>
      <c r="BY31" s="518" t="str">
        <f>IF(AND(_E="A-321",'2024'!$D$4="FO",'2024'!$D$2=BY5),'2024DATA'!$F$28,"")</f>
        <v/>
      </c>
      <c r="BZ31" s="518" t="str">
        <f>IF(AND(_E="A-321",'2024'!$D$4="FO",'2024'!$D$2=BZ5),'2024DATA'!$G$28,"")</f>
        <v/>
      </c>
      <c r="CA31" s="518" t="str">
        <f>IF(AND(_E="A-321",'2024'!$D$4="FO",'2024'!$D$2=CA5),'2024DATA'!$H$28,"")</f>
        <v/>
      </c>
      <c r="CB31" s="518" t="str">
        <f>IF(AND(_E="A-321",'2024'!$D$4="FO",'2024'!$D$2=CB5),'2024DATA'!$I$28,"")</f>
        <v/>
      </c>
      <c r="CC31" s="518" t="str">
        <f>IF(AND(_E="A-321",'2024'!$D$4="FO",'2024'!$D$2=CC5),'2024DATA'!$J$28,"")</f>
        <v/>
      </c>
      <c r="CD31" s="518" t="str">
        <f>IF(AND(_E="A-321",'2024'!$D$4="FO",'2024'!$D$2=CD5),'2024DATA'!$K$28,"")</f>
        <v/>
      </c>
      <c r="CE31" s="518" t="str">
        <f>IF(AND(_E="A-321",'2024'!$D$4="FO",'2024'!$D$2=CE5),'2024DATA'!$L$28,"")</f>
        <v/>
      </c>
      <c r="CF31" s="518" t="str">
        <f>IF(AND(_E="A-321",'2024'!$D$4="FO",'2024'!$D$2=CF5),'2024DATA'!$M$28,"")</f>
        <v/>
      </c>
      <c r="CG31" s="520" t="str">
        <f>IF(AND(_E="A-321",'2024'!$D$4="FO",'2024'!$D$2=CG5),'2024DATA'!$N$28,"")</f>
        <v/>
      </c>
      <c r="CH31" s="940"/>
      <c r="CI31" s="13" t="s">
        <v>62</v>
      </c>
      <c r="CJ31" s="518" t="str">
        <f>IF(AND(_F="A-321",'2024'!$D$4="FO",'2024'!$D$2=CJ5),'2024DATA'!$C$28,"")</f>
        <v/>
      </c>
      <c r="CK31" s="518" t="str">
        <f>IF(AND(_F="A-321",'2024'!$D$4="FO",'2024'!$D$2=CK5),'2024DATA'!$D$28,"")</f>
        <v/>
      </c>
      <c r="CL31" s="518" t="str">
        <f>IF(AND(_F="A-321",'2024'!$D$4="FO",'2024'!$D$2=CL5),'2024DATA'!$E$28,"")</f>
        <v/>
      </c>
      <c r="CM31" s="518" t="str">
        <f>IF(AND(_F="A-321",'2024'!$D$4="FO",'2024'!$D$2=CM5),'2024DATA'!$F$28,"")</f>
        <v/>
      </c>
      <c r="CN31" s="518" t="str">
        <f>IF(AND(_F="A-321",'2024'!$D$4="FO",'2024'!$D$2=CN5),'2024DATA'!$G$28,"")</f>
        <v/>
      </c>
      <c r="CO31" s="518" t="str">
        <f>IF(AND(_F="A-321",'2024'!$D$4="FO",'2024'!$D$2=CO5),'2024DATA'!$H$28,"")</f>
        <v/>
      </c>
      <c r="CP31" s="518" t="str">
        <f>IF(AND(_F="A-321",'2024'!$D$4="FO",'2024'!$D$2=CP5),'2024DATA'!$I$28,"")</f>
        <v/>
      </c>
      <c r="CQ31" s="518" t="str">
        <f>IF(AND(_F="A-321",'2024'!$D$4="FO",'2024'!$D$2=CQ5),'2024DATA'!$J$28,"")</f>
        <v/>
      </c>
      <c r="CR31" s="518" t="str">
        <f>IF(AND(_F="A-321",'2024'!$D$4="FO",'2024'!$D$2=CR5),'2024DATA'!$K$28,"")</f>
        <v/>
      </c>
      <c r="CS31" s="518" t="str">
        <f>IF(AND(_F="A-321",'2024'!$D$4="FO",'2024'!$D$2=CS5),'2024DATA'!$L$28,"")</f>
        <v/>
      </c>
      <c r="CT31" s="518" t="str">
        <f>IF(AND(_F="A-321",'2024'!$D$4="FO",'2024'!$D$2=CT5),'2024DATA'!$M$28,"")</f>
        <v/>
      </c>
      <c r="CU31" s="520" t="str">
        <f>IF(AND(_F="A-321",'2024'!$D$4="FO",'2024'!$D$2=CU5),'2024DATA'!$N$28,"")</f>
        <v/>
      </c>
    </row>
    <row r="32" spans="1:99" x14ac:dyDescent="0.25">
      <c r="A32" s="987"/>
      <c r="B32" s="64" t="s">
        <v>62</v>
      </c>
      <c r="C32" s="494">
        <v>245.19</v>
      </c>
      <c r="D32" s="473">
        <v>243</v>
      </c>
      <c r="E32" s="473">
        <v>240.79</v>
      </c>
      <c r="F32" s="473">
        <v>237.58</v>
      </c>
      <c r="G32" s="473">
        <v>235.07</v>
      </c>
      <c r="H32" s="473">
        <v>229.76</v>
      </c>
      <c r="I32" s="473">
        <v>223.52</v>
      </c>
      <c r="J32" s="473">
        <v>218.07</v>
      </c>
      <c r="K32" s="473">
        <v>212.95</v>
      </c>
      <c r="L32" s="473">
        <v>207.89</v>
      </c>
      <c r="M32" s="473">
        <v>177.71</v>
      </c>
      <c r="N32" s="495">
        <v>116.05</v>
      </c>
      <c r="P32" s="940" t="s">
        <v>70</v>
      </c>
      <c r="Q32" s="13" t="s">
        <v>61</v>
      </c>
      <c r="R32" s="518" t="str">
        <f>IF(AND(_A="A-320",'2024'!$D$4="CA",'2024'!$D$2=R5),'2024DATA'!$C$29,"")</f>
        <v/>
      </c>
      <c r="S32" s="518" t="str">
        <f>IF(AND(_A="A-320",'2024'!$D$4="CA",'2024'!$D$2=S5),'2024DATA'!$D$29,"")</f>
        <v/>
      </c>
      <c r="T32" s="518" t="str">
        <f>IF(AND(_A="A-320",'2024'!$D$4="CA",'2024'!$D$2=T5),'2024DATA'!$E$29,"")</f>
        <v/>
      </c>
      <c r="U32" s="518" t="str">
        <f>IF(AND(_A="A-320",'2024'!$D$4="CA",'2024'!$D$2=U5),'2024DATA'!$F$29,"")</f>
        <v/>
      </c>
      <c r="V32" s="518" t="str">
        <f>IF(AND(_A="A-320",'2024'!$D$4="CA",'2024'!$D$2=V5),'2024DATA'!$G$29,"")</f>
        <v/>
      </c>
      <c r="W32" s="518" t="str">
        <f>IF(AND(_A="A-320",'2024'!$D$4="CA",'2024'!$D$2=W5),'2024DATA'!$H$29,"")</f>
        <v/>
      </c>
      <c r="X32" s="518" t="str">
        <f>IF(AND(_A="A-320",'2024'!$D$4="CA",'2024'!$D$2=X5),'2024DATA'!$I$29,"")</f>
        <v/>
      </c>
      <c r="Y32" s="518" t="str">
        <f>IF(AND(_A="A-320",'2024'!$D$4="CA",'2024'!$D$2=Y5),'2024DATA'!$J$29,"")</f>
        <v/>
      </c>
      <c r="Z32" s="518" t="str">
        <f>IF(AND(_A="A-320",'2024'!$D$4="CA",'2024'!$D$2=Z5),'2024DATA'!$K$29,"")</f>
        <v/>
      </c>
      <c r="AA32" s="518" t="str">
        <f>IF(AND(_A="A-320",'2024'!$D$4="CA",'2024'!$D$2=AA5),'2024DATA'!$L$29,"")</f>
        <v/>
      </c>
      <c r="AB32" s="518" t="str">
        <f>IF(AND(_A="A-320",'2024'!$D$4="CA",'2024'!$D$2=AB5),'2024DATA'!$M$29,"")</f>
        <v/>
      </c>
      <c r="AC32" s="520" t="str">
        <f>IF(AND(_A="A-320",'2024'!$D$4="CA",'2024'!$D$2=AC5),'2024DATA'!$N$29,"")</f>
        <v/>
      </c>
      <c r="AD32" s="940" t="s">
        <v>70</v>
      </c>
      <c r="AE32" s="13" t="s">
        <v>61</v>
      </c>
      <c r="AF32" s="518" t="str">
        <f>IF(AND(_B="A-320",'2024'!$D$4="CA",'2024'!$D$2=AF5),'2024DATA'!$C$29,"")</f>
        <v/>
      </c>
      <c r="AG32" s="518" t="str">
        <f>IF(AND(_B="A-320",'2024'!$D$4="CA",'2024'!$D$2=AG5),'2024DATA'!$D$29,"")</f>
        <v/>
      </c>
      <c r="AH32" s="518" t="str">
        <f>IF(AND(_B="A-320",'2024'!$D$4="CA",'2024'!$D$2=AH5),'2024DATA'!$E$29,"")</f>
        <v/>
      </c>
      <c r="AI32" s="518" t="str">
        <f>IF(AND(_B="A-320",'2024'!$D$4="CA",'2024'!$D$2=AI5),'2024DATA'!$F$29,"")</f>
        <v/>
      </c>
      <c r="AJ32" s="518" t="str">
        <f>IF(AND(_B="A-320",'2024'!$D$4="CA",'2024'!$D$2=AJ5),'2024DATA'!$G$29,"")</f>
        <v/>
      </c>
      <c r="AK32" s="518" t="str">
        <f>IF(AND(_B="A-320",'2024'!$D$4="CA",'2024'!$D$2=AK5),'2024DATA'!$H$29,"")</f>
        <v/>
      </c>
      <c r="AL32" s="518" t="str">
        <f>IF(AND(_B="A-320",'2024'!$D$4="CA",'2024'!$D$2=AL5),'2024DATA'!$I$29,"")</f>
        <v/>
      </c>
      <c r="AM32" s="518" t="str">
        <f>IF(AND(_B="A-320",'2024'!$D$4="CA",'2024'!$D$2=AM5),'2024DATA'!$J$29,"")</f>
        <v/>
      </c>
      <c r="AN32" s="518" t="str">
        <f>IF(AND(_B="A-320",'2024'!$D$4="CA",'2024'!$D$2=AN5),'2024DATA'!$K$29,"")</f>
        <v/>
      </c>
      <c r="AO32" s="518" t="str">
        <f>IF(AND(_B="A-320",'2024'!$D$4="CA",'2024'!$D$2=AO5),'2024DATA'!$L$29,"")</f>
        <v/>
      </c>
      <c r="AP32" s="518" t="str">
        <f>IF(AND(_B="A-320",'2024'!$D$4="CA",'2024'!$D$2=AP5),'2024DATA'!$M$29,"")</f>
        <v/>
      </c>
      <c r="AQ32" s="520" t="str">
        <f>IF(AND(_B="A-320",'2024'!$D$4="CA",'2024'!$D$2=AQ5),'2024DATA'!$N$29,"")</f>
        <v/>
      </c>
      <c r="AR32" s="940" t="s">
        <v>70</v>
      </c>
      <c r="AS32" s="13" t="s">
        <v>61</v>
      </c>
      <c r="AT32" s="518" t="str">
        <f>IF(AND(_C="A-320",'2024'!$D$4="CA",'2024'!$D$2=AT5),'2024DATA'!$C$29,"")</f>
        <v/>
      </c>
      <c r="AU32" s="518" t="str">
        <f>IF(AND(_C="A-320",'2024'!$D$4="CA",'2024'!$D$2=AU5),'2024DATA'!$D$29,"")</f>
        <v/>
      </c>
      <c r="AV32" s="518" t="str">
        <f>IF(AND(_C="A-320",'2024'!$D$4="CA",'2024'!$D$2=AV5),'2024DATA'!$E$29,"")</f>
        <v/>
      </c>
      <c r="AW32" s="518" t="str">
        <f>IF(AND(_C="A-320",'2024'!$D$4="CA",'2024'!$D$2=AW5),'2024DATA'!$F$29,"")</f>
        <v/>
      </c>
      <c r="AX32" s="518" t="str">
        <f>IF(AND(_C="A-320",'2024'!$D$4="CA",'2024'!$D$2=AX5),'2024DATA'!$G$29,"")</f>
        <v/>
      </c>
      <c r="AY32" s="518" t="str">
        <f>IF(AND(_C="A-320",'2024'!$D$4="CA",'2024'!$D$2=AY5),'2024DATA'!$H$29,"")</f>
        <v/>
      </c>
      <c r="AZ32" s="518" t="str">
        <f>IF(AND(_C="A-320",'2024'!$D$4="CA",'2024'!$D$2=AZ5),'2024DATA'!$I$29,"")</f>
        <v/>
      </c>
      <c r="BA32" s="518" t="str">
        <f>IF(AND(_C="A-320",'2024'!$D$4="CA",'2024'!$D$2=BA5),'2024DATA'!$J$29,"")</f>
        <v/>
      </c>
      <c r="BB32" s="518" t="str">
        <f>IF(AND(_C="A-320",'2024'!$D$4="CA",'2024'!$D$2=BB5),'2024DATA'!$K$29,"")</f>
        <v/>
      </c>
      <c r="BC32" s="518" t="str">
        <f>IF(AND(_C="A-320",'2024'!$D$4="CA",'2024'!$D$2=BC5),'2024DATA'!$L$29,"")</f>
        <v/>
      </c>
      <c r="BD32" s="518" t="str">
        <f>IF(AND(_C="A-320",'2024'!$D$4="CA",'2024'!$D$2=BD5),'2024DATA'!$M$29,"")</f>
        <v/>
      </c>
      <c r="BE32" s="520" t="str">
        <f>IF(AND(_C="A-320",'2024'!$D$4="CA",'2024'!$D$2=BE5),'2024DATA'!$N$29,"")</f>
        <v/>
      </c>
      <c r="BF32" s="940" t="s">
        <v>70</v>
      </c>
      <c r="BG32" s="13" t="s">
        <v>61</v>
      </c>
      <c r="BH32" s="518" t="str">
        <f>IF(AND(_D="A-320",'2024'!$D$4="CA",'2024'!$D$2=BH5),'2024DATA'!$C$29,"")</f>
        <v/>
      </c>
      <c r="BI32" s="518" t="str">
        <f>IF(AND(_D="A-320",'2024'!$D$4="CA",'2024'!$D$2=BI5),'2024DATA'!$D$29,"")</f>
        <v/>
      </c>
      <c r="BJ32" s="518" t="str">
        <f>IF(AND(_D="A-320",'2024'!$D$4="CA",'2024'!$D$2=BJ5),'2024DATA'!$E$29,"")</f>
        <v/>
      </c>
      <c r="BK32" s="518" t="str">
        <f>IF(AND(_D="A-320",'2024'!$D$4="CA",'2024'!$D$2=BK5),'2024DATA'!$F$29,"")</f>
        <v/>
      </c>
      <c r="BL32" s="518" t="str">
        <f>IF(AND(_D="A-320",'2024'!$D$4="CA",'2024'!$D$2=BL5),'2024DATA'!$G$29,"")</f>
        <v/>
      </c>
      <c r="BM32" s="518" t="str">
        <f>IF(AND(_D="A-320",'2024'!$D$4="CA",'2024'!$D$2=BM5),'2024DATA'!$H$29,"")</f>
        <v/>
      </c>
      <c r="BN32" s="518" t="str">
        <f>IF(AND(_D="A-320",'2024'!$D$4="CA",'2024'!$D$2=BN5),'2024DATA'!$I$29,"")</f>
        <v/>
      </c>
      <c r="BO32" s="518" t="str">
        <f>IF(AND(_D="A-320",'2024'!$D$4="CA",'2024'!$D$2=BO5),'2024DATA'!$J$29,"")</f>
        <v/>
      </c>
      <c r="BP32" s="518" t="str">
        <f>IF(AND(_D="A-320",'2024'!$D$4="CA",'2024'!$D$2=BP5),'2024DATA'!$K$29,"")</f>
        <v/>
      </c>
      <c r="BQ32" s="518" t="str">
        <f>IF(AND(_D="A-320",'2024'!$D$4="CA",'2024'!$D$2=BQ5),'2024DATA'!$L$29,"")</f>
        <v/>
      </c>
      <c r="BR32" s="518" t="str">
        <f>IF(AND(_D="A-320",'2024'!$D$4="CA",'2024'!$D$2=BR5),'2024DATA'!$M$29,"")</f>
        <v/>
      </c>
      <c r="BS32" s="520" t="str">
        <f>IF(AND(_D="A-320",'2024'!$D$4="CA",'2024'!$D$2=BS5),'2024DATA'!$N$29,"")</f>
        <v/>
      </c>
      <c r="BT32" s="940" t="s">
        <v>70</v>
      </c>
      <c r="BU32" s="13" t="s">
        <v>61</v>
      </c>
      <c r="BV32" s="518" t="str">
        <f>IF(AND(_E="A-320",'2024'!$D$4="CA",'2024'!$D$2=BV5),'2024DATA'!$C$29,"")</f>
        <v/>
      </c>
      <c r="BW32" s="518" t="str">
        <f>IF(AND(_E="A-320",'2024'!$D$4="CA",'2024'!$D$2=BW5),'2024DATA'!$D$29,"")</f>
        <v/>
      </c>
      <c r="BX32" s="518" t="str">
        <f>IF(AND(_E="A-320",'2024'!$D$4="CA",'2024'!$D$2=BX5),'2024DATA'!$E$29,"")</f>
        <v/>
      </c>
      <c r="BY32" s="518" t="str">
        <f>IF(AND(_E="A-320",'2024'!$D$4="CA",'2024'!$D$2=BY5),'2024DATA'!$F$29,"")</f>
        <v/>
      </c>
      <c r="BZ32" s="518" t="str">
        <f>IF(AND(_E="A-320",'2024'!$D$4="CA",'2024'!$D$2=BZ5),'2024DATA'!$G$29,"")</f>
        <v/>
      </c>
      <c r="CA32" s="518" t="str">
        <f>IF(AND(_E="A-320",'2024'!$D$4="CA",'2024'!$D$2=CA5),'2024DATA'!$H$29,"")</f>
        <v/>
      </c>
      <c r="CB32" s="518" t="str">
        <f>IF(AND(_E="A-320",'2024'!$D$4="CA",'2024'!$D$2=CB5),'2024DATA'!$I$29,"")</f>
        <v/>
      </c>
      <c r="CC32" s="518" t="str">
        <f>IF(AND(_E="A-320",'2024'!$D$4="CA",'2024'!$D$2=CC5),'2024DATA'!$J$29,"")</f>
        <v/>
      </c>
      <c r="CD32" s="518" t="str">
        <f>IF(AND(_E="A-320",'2024'!$D$4="CA",'2024'!$D$2=CD5),'2024DATA'!$K$29,"")</f>
        <v/>
      </c>
      <c r="CE32" s="518" t="str">
        <f>IF(AND(_E="A-320",'2024'!$D$4="CA",'2024'!$D$2=CE5),'2024DATA'!$L$29,"")</f>
        <v/>
      </c>
      <c r="CF32" s="518" t="str">
        <f>IF(AND(_E="A-320",'2024'!$D$4="CA",'2024'!$D$2=CF5),'2024DATA'!$M$29,"")</f>
        <v/>
      </c>
      <c r="CG32" s="520" t="str">
        <f>IF(AND(_E="A-320",'2024'!$D$4="CA",'2024'!$D$2=CG5),'2024DATA'!$N$29,"")</f>
        <v/>
      </c>
      <c r="CH32" s="940" t="s">
        <v>70</v>
      </c>
      <c r="CI32" s="13" t="s">
        <v>61</v>
      </c>
      <c r="CJ32" s="518" t="str">
        <f>IF(AND(_F="A-320",'2024'!$D$4="CA",'2024'!$D$2=CJ5),'2024DATA'!$C$29,"")</f>
        <v/>
      </c>
      <c r="CK32" s="518" t="str">
        <f>IF(AND(_F="A-320",'2024'!$D$4="CA",'2024'!$D$2=CK5),'2024DATA'!$D$29,"")</f>
        <v/>
      </c>
      <c r="CL32" s="518" t="str">
        <f>IF(AND(_F="A-320",'2024'!$D$4="CA",'2024'!$D$2=CL5),'2024DATA'!$E$29,"")</f>
        <v/>
      </c>
      <c r="CM32" s="518" t="str">
        <f>IF(AND(_F="A-320",'2024'!$D$4="CA",'2024'!$D$2=CM5),'2024DATA'!$F$29,"")</f>
        <v/>
      </c>
      <c r="CN32" s="518" t="str">
        <f>IF(AND(_F="A-320",'2024'!$D$4="CA",'2024'!$D$2=CN5),'2024DATA'!$G$29,"")</f>
        <v/>
      </c>
      <c r="CO32" s="518" t="str">
        <f>IF(AND(_F="A-320",'2024'!$D$4="CA",'2024'!$D$2=CO5),'2024DATA'!$H$29,"")</f>
        <v/>
      </c>
      <c r="CP32" s="518" t="str">
        <f>IF(AND(_F="A-320",'2024'!$D$4="CA",'2024'!$D$2=CP5),'2024DATA'!$I$29,"")</f>
        <v/>
      </c>
      <c r="CQ32" s="518" t="str">
        <f>IF(AND(_F="A-320",'2024'!$D$4="CA",'2024'!$D$2=CQ5),'2024DATA'!$J$29,"")</f>
        <v/>
      </c>
      <c r="CR32" s="518" t="str">
        <f>IF(AND(_F="A-320",'2024'!$D$4="CA",'2024'!$D$2=CR5),'2024DATA'!$K$29,"")</f>
        <v/>
      </c>
      <c r="CS32" s="518" t="str">
        <f>IF(AND(_F="A-320",'2024'!$D$4="CA",'2024'!$D$2=CS5),'2024DATA'!$L$29,"")</f>
        <v/>
      </c>
      <c r="CT32" s="518" t="str">
        <f>IF(AND(_F="A-320",'2024'!$D$4="CA",'2024'!$D$2=CT5),'2024DATA'!$M$29,"")</f>
        <v/>
      </c>
      <c r="CU32" s="520" t="str">
        <f>IF(AND(_F="A-320",'2024'!$D$4="CA",'2024'!$D$2=CU5),'2024DATA'!$N$29,"")</f>
        <v/>
      </c>
    </row>
    <row r="33" spans="1:99" x14ac:dyDescent="0.25">
      <c r="A33" s="987" t="s">
        <v>51</v>
      </c>
      <c r="B33" s="64" t="s">
        <v>61</v>
      </c>
      <c r="C33" s="494">
        <v>346.39</v>
      </c>
      <c r="D33" s="473">
        <v>343.77</v>
      </c>
      <c r="E33" s="473">
        <v>341.12</v>
      </c>
      <c r="F33" s="473">
        <v>338.5</v>
      </c>
      <c r="G33" s="473">
        <v>335.9</v>
      </c>
      <c r="H33" s="473">
        <v>333.3</v>
      </c>
      <c r="I33" s="473">
        <v>330.7</v>
      </c>
      <c r="J33" s="473">
        <v>328.05</v>
      </c>
      <c r="K33" s="473">
        <v>325.42</v>
      </c>
      <c r="L33" s="473">
        <v>322.81</v>
      </c>
      <c r="M33" s="473">
        <v>320.23</v>
      </c>
      <c r="N33" s="495">
        <v>317.60000000000002</v>
      </c>
      <c r="P33" s="940"/>
      <c r="Q33" s="13" t="s">
        <v>62</v>
      </c>
      <c r="R33" s="518" t="str">
        <f>IF(AND(_A="A-320",'2024'!$D$4="FO",'2024'!$D$2=R5),'2024DATA'!$C$30,"")</f>
        <v/>
      </c>
      <c r="S33" s="518" t="str">
        <f>IF(AND(_A="A-320",'2024'!$D$4="FO",'2024'!$D$2=S5),'2024DATA'!$D$30,"")</f>
        <v/>
      </c>
      <c r="T33" s="518" t="str">
        <f>IF(AND(_A="A-320",'2024'!$D$4="FO",'2024'!$D$2=T5),'2024DATA'!$E$30,"")</f>
        <v/>
      </c>
      <c r="U33" s="518" t="str">
        <f>IF(AND(_A="A-320",'2024'!$D$4="FO",'2024'!$D$2=U5),'2024DATA'!$F$30,"")</f>
        <v/>
      </c>
      <c r="V33" s="518" t="str">
        <f>IF(AND(_A="A-320",'2024'!$D$4="FO",'2024'!$D$2=V5),'2024DATA'!$G$30,"")</f>
        <v/>
      </c>
      <c r="W33" s="518" t="str">
        <f>IF(AND(_A="A-320",'2024'!$D$4="FO",'2024'!$D$2=W5),'2024DATA'!$H$30,"")</f>
        <v/>
      </c>
      <c r="X33" s="518" t="str">
        <f>IF(AND(_A="A-320",'2024'!$D$4="FO",'2024'!$D$2=X5),'2024DATA'!$I$30,"")</f>
        <v/>
      </c>
      <c r="Y33" s="518" t="str">
        <f>IF(AND(_A="A-320",'2024'!$D$4="FO",'2024'!$D$2=Y5),'2024DATA'!$J$30,"")</f>
        <v/>
      </c>
      <c r="Z33" s="518" t="str">
        <f>IF(AND(_A="A-320",'2024'!$D$4="FO",'2024'!$D$2=Z5),'2024DATA'!$K$30,"")</f>
        <v/>
      </c>
      <c r="AA33" s="518" t="str">
        <f>IF(AND(_A="A-320",'2024'!$D$4="FO",'2024'!$D$2=AA5),'2024DATA'!$L$30,"")</f>
        <v/>
      </c>
      <c r="AB33" s="518" t="str">
        <f>IF(AND(_A="A-320",'2024'!$D$4="FO",'2024'!$D$2=AB5),'2024DATA'!$M$30,"")</f>
        <v/>
      </c>
      <c r="AC33" s="520" t="str">
        <f>IF(AND(_A="A-320",'2024'!$D$4="FO",'2024'!$D$2=AC5),'2024DATA'!$N$30,"")</f>
        <v/>
      </c>
      <c r="AD33" s="940"/>
      <c r="AE33" s="13" t="s">
        <v>62</v>
      </c>
      <c r="AF33" s="518" t="str">
        <f>IF(AND(_B="A-320",'2024'!$D$4="FO",'2024'!$D$2=AF5),'2024DATA'!$C$30,"")</f>
        <v/>
      </c>
      <c r="AG33" s="518" t="str">
        <f>IF(AND(_B="A-320",'2024'!$D$4="FO",'2024'!$D$2=AG5),'2024DATA'!$D$30,"")</f>
        <v/>
      </c>
      <c r="AH33" s="518" t="str">
        <f>IF(AND(_B="A-320",'2024'!$D$4="FO",'2024'!$D$2=AH5),'2024DATA'!$E$30,"")</f>
        <v/>
      </c>
      <c r="AI33" s="518" t="str">
        <f>IF(AND(_B="A-320",'2024'!$D$4="FO",'2024'!$D$2=AI5),'2024DATA'!$F$30,"")</f>
        <v/>
      </c>
      <c r="AJ33" s="518" t="str">
        <f>IF(AND(_B="A-320",'2024'!$D$4="FO",'2024'!$D$2=AJ5),'2024DATA'!$G$30,"")</f>
        <v/>
      </c>
      <c r="AK33" s="518" t="str">
        <f>IF(AND(_B="A-320",'2024'!$D$4="FO",'2024'!$D$2=AK5),'2024DATA'!$H$30,"")</f>
        <v/>
      </c>
      <c r="AL33" s="518" t="str">
        <f>IF(AND(_B="A-320",'2024'!$D$4="FO",'2024'!$D$2=AL5),'2024DATA'!$I$30,"")</f>
        <v/>
      </c>
      <c r="AM33" s="518" t="str">
        <f>IF(AND(_B="A-320",'2024'!$D$4="FO",'2024'!$D$2=AM5),'2024DATA'!$J$30,"")</f>
        <v/>
      </c>
      <c r="AN33" s="518" t="str">
        <f>IF(AND(_B="A-320",'2024'!$D$4="FO",'2024'!$D$2=AN5),'2024DATA'!$K$30,"")</f>
        <v/>
      </c>
      <c r="AO33" s="518" t="str">
        <f>IF(AND(_B="A-320",'2024'!$D$4="FO",'2024'!$D$2=AO5),'2024DATA'!$L$30,"")</f>
        <v/>
      </c>
      <c r="AP33" s="518" t="str">
        <f>IF(AND(_B="A-320",'2024'!$D$4="FO",'2024'!$D$2=AP5),'2024DATA'!$M$30,"")</f>
        <v/>
      </c>
      <c r="AQ33" s="520" t="str">
        <f>IF(AND(_B="A-320",'2024'!$D$4="FO",'2024'!$D$2=AQ5),'2024DATA'!$N$30,"")</f>
        <v/>
      </c>
      <c r="AR33" s="940"/>
      <c r="AS33" s="13" t="s">
        <v>62</v>
      </c>
      <c r="AT33" s="518" t="str">
        <f>IF(AND(_C="A-320",'2024'!$D$4="FO",'2024'!$D$2=AT5),'2024DATA'!$C$30,"")</f>
        <v/>
      </c>
      <c r="AU33" s="518" t="str">
        <f>IF(AND(_C="A-320",'2024'!$D$4="FO",'2024'!$D$2=AU5),'2024DATA'!$D$30,"")</f>
        <v/>
      </c>
      <c r="AV33" s="518" t="str">
        <f>IF(AND(_C="A-320",'2024'!$D$4="FO",'2024'!$D$2=AV5),'2024DATA'!$E$30,"")</f>
        <v/>
      </c>
      <c r="AW33" s="518" t="str">
        <f>IF(AND(_C="A-320",'2024'!$D$4="FO",'2024'!$D$2=AW5),'2024DATA'!$F$30,"")</f>
        <v/>
      </c>
      <c r="AX33" s="518" t="str">
        <f>IF(AND(_C="A-320",'2024'!$D$4="FO",'2024'!$D$2=AX5),'2024DATA'!$G$30,"")</f>
        <v/>
      </c>
      <c r="AY33" s="518" t="str">
        <f>IF(AND(_C="A-320",'2024'!$D$4="FO",'2024'!$D$2=AY5),'2024DATA'!$H$30,"")</f>
        <v/>
      </c>
      <c r="AZ33" s="518" t="str">
        <f>IF(AND(_C="A-320",'2024'!$D$4="FO",'2024'!$D$2=AZ5),'2024DATA'!$I$30,"")</f>
        <v/>
      </c>
      <c r="BA33" s="518" t="str">
        <f>IF(AND(_C="A-320",'2024'!$D$4="FO",'2024'!$D$2=BA5),'2024DATA'!$J$30,"")</f>
        <v/>
      </c>
      <c r="BB33" s="518" t="str">
        <f>IF(AND(_C="A-320",'2024'!$D$4="FO",'2024'!$D$2=BB5),'2024DATA'!$K$30,"")</f>
        <v/>
      </c>
      <c r="BC33" s="518" t="str">
        <f>IF(AND(_C="A-320",'2024'!$D$4="FO",'2024'!$D$2=BC5),'2024DATA'!$L$30,"")</f>
        <v/>
      </c>
      <c r="BD33" s="518" t="str">
        <f>IF(AND(_C="A-320",'2024'!$D$4="FO",'2024'!$D$2=BD5),'2024DATA'!$M$30,"")</f>
        <v/>
      </c>
      <c r="BE33" s="520" t="str">
        <f>IF(AND(_C="A-320",'2024'!$D$4="FO",'2024'!$D$2=BE5),'2024DATA'!$N$30,"")</f>
        <v/>
      </c>
      <c r="BF33" s="940"/>
      <c r="BG33" s="13" t="s">
        <v>62</v>
      </c>
      <c r="BH33" s="518" t="str">
        <f>IF(AND(_D="A-320",'2024'!$D$4="FO",'2024'!$D$2=BH5),'2024DATA'!$C$30,"")</f>
        <v/>
      </c>
      <c r="BI33" s="518" t="str">
        <f>IF(AND(_D="A-320",'2024'!$D$4="FO",'2024'!$D$2=BI5),'2024DATA'!$D$30,"")</f>
        <v/>
      </c>
      <c r="BJ33" s="518" t="str">
        <f>IF(AND(_D="A-320",'2024'!$D$4="FO",'2024'!$D$2=BJ5),'2024DATA'!$E$30,"")</f>
        <v/>
      </c>
      <c r="BK33" s="518" t="str">
        <f>IF(AND(_D="A-320",'2024'!$D$4="FO",'2024'!$D$2=BK5),'2024DATA'!$F$30,"")</f>
        <v/>
      </c>
      <c r="BL33" s="518" t="str">
        <f>IF(AND(_D="A-320",'2024'!$D$4="FO",'2024'!$D$2=BL5),'2024DATA'!$G$30,"")</f>
        <v/>
      </c>
      <c r="BM33" s="518" t="str">
        <f>IF(AND(_D="A-320",'2024'!$D$4="FO",'2024'!$D$2=BM5),'2024DATA'!$H$30,"")</f>
        <v/>
      </c>
      <c r="BN33" s="518" t="str">
        <f>IF(AND(_D="A-320",'2024'!$D$4="FO",'2024'!$D$2=BN5),'2024DATA'!$I$30,"")</f>
        <v/>
      </c>
      <c r="BO33" s="518" t="str">
        <f>IF(AND(_D="A-320",'2024'!$D$4="FO",'2024'!$D$2=BO5),'2024DATA'!$J$30,"")</f>
        <v/>
      </c>
      <c r="BP33" s="518" t="str">
        <f>IF(AND(_D="A-320",'2024'!$D$4="FO",'2024'!$D$2=BP5),'2024DATA'!$K$30,"")</f>
        <v/>
      </c>
      <c r="BQ33" s="518" t="str">
        <f>IF(AND(_D="A-320",'2024'!$D$4="FO",'2024'!$D$2=BQ5),'2024DATA'!$L$30,"")</f>
        <v/>
      </c>
      <c r="BR33" s="518" t="str">
        <f>IF(AND(_D="A-320",'2024'!$D$4="FO",'2024'!$D$2=BR5),'2024DATA'!$M$30,"")</f>
        <v/>
      </c>
      <c r="BS33" s="520" t="str">
        <f>IF(AND(_D="A-320",'2024'!$D$4="FO",'2024'!$D$2=BS5),'2024DATA'!$N$30,"")</f>
        <v/>
      </c>
      <c r="BT33" s="940"/>
      <c r="BU33" s="13" t="s">
        <v>62</v>
      </c>
      <c r="BV33" s="518" t="str">
        <f>IF(AND(_E="A-320",'2024'!$D$4="FO",'2024'!$D$2=BV5),'2024DATA'!$C$30,"")</f>
        <v/>
      </c>
      <c r="BW33" s="518" t="str">
        <f>IF(AND(_E="A-320",'2024'!$D$4="FO",'2024'!$D$2=BW5),'2024DATA'!$D$30,"")</f>
        <v/>
      </c>
      <c r="BX33" s="518" t="str">
        <f>IF(AND(_E="A-320",'2024'!$D$4="FO",'2024'!$D$2=BX5),'2024DATA'!$E$30,"")</f>
        <v/>
      </c>
      <c r="BY33" s="518" t="str">
        <f>IF(AND(_E="A-320",'2024'!$D$4="FO",'2024'!$D$2=BY5),'2024DATA'!$F$30,"")</f>
        <v/>
      </c>
      <c r="BZ33" s="518" t="str">
        <f>IF(AND(_E="A-320",'2024'!$D$4="FO",'2024'!$D$2=BZ5),'2024DATA'!$G$30,"")</f>
        <v/>
      </c>
      <c r="CA33" s="518" t="str">
        <f>IF(AND(_E="A-320",'2024'!$D$4="FO",'2024'!$D$2=CA5),'2024DATA'!$H$30,"")</f>
        <v/>
      </c>
      <c r="CB33" s="518" t="str">
        <f>IF(AND(_E="A-320",'2024'!$D$4="FO",'2024'!$D$2=CB5),'2024DATA'!$I$30,"")</f>
        <v/>
      </c>
      <c r="CC33" s="518" t="str">
        <f>IF(AND(_E="A-320",'2024'!$D$4="FO",'2024'!$D$2=CC5),'2024DATA'!$J$30,"")</f>
        <v/>
      </c>
      <c r="CD33" s="518" t="str">
        <f>IF(AND(_E="A-320",'2024'!$D$4="FO",'2024'!$D$2=CD5),'2024DATA'!$K$30,"")</f>
        <v/>
      </c>
      <c r="CE33" s="518" t="str">
        <f>IF(AND(_E="A-320",'2024'!$D$4="FO",'2024'!$D$2=CE5),'2024DATA'!$L$30,"")</f>
        <v/>
      </c>
      <c r="CF33" s="518" t="str">
        <f>IF(AND(_E="A-320",'2024'!$D$4="FO",'2024'!$D$2=CF5),'2024DATA'!$M$30,"")</f>
        <v/>
      </c>
      <c r="CG33" s="520" t="str">
        <f>IF(AND(_E="A-320",'2024'!$D$4="FO",'2024'!$D$2=CG5),'2024DATA'!$N$30,"")</f>
        <v/>
      </c>
      <c r="CH33" s="940"/>
      <c r="CI33" s="13" t="s">
        <v>62</v>
      </c>
      <c r="CJ33" s="518" t="str">
        <f>IF(AND(_F="A-320",'2024'!$D$4="FO",'2024'!$D$2=CJ5),'2024DATA'!$C$30,"")</f>
        <v/>
      </c>
      <c r="CK33" s="518" t="str">
        <f>IF(AND(_F="A-320",'2024'!$D$4="FO",'2024'!$D$2=CK5),'2024DATA'!$D$30,"")</f>
        <v/>
      </c>
      <c r="CL33" s="518" t="str">
        <f>IF(AND(_F="A-320",'2024'!$D$4="FO",'2024'!$D$2=CL5),'2024DATA'!$E$30,"")</f>
        <v/>
      </c>
      <c r="CM33" s="518" t="str">
        <f>IF(AND(_F="A-320",'2024'!$D$4="FO",'2024'!$D$2=CM5),'2024DATA'!$F$30,"")</f>
        <v/>
      </c>
      <c r="CN33" s="518" t="str">
        <f>IF(AND(_F="A-320",'2024'!$D$4="FO",'2024'!$D$2=CN5),'2024DATA'!$G$30,"")</f>
        <v/>
      </c>
      <c r="CO33" s="518" t="str">
        <f>IF(AND(_F="A-320",'2024'!$D$4="FO",'2024'!$D$2=CO5),'2024DATA'!$H$30,"")</f>
        <v/>
      </c>
      <c r="CP33" s="518" t="str">
        <f>IF(AND(_F="A-320",'2024'!$D$4="FO",'2024'!$D$2=CP5),'2024DATA'!$I$30,"")</f>
        <v/>
      </c>
      <c r="CQ33" s="518" t="str">
        <f>IF(AND(_F="A-320",'2024'!$D$4="FO",'2024'!$D$2=CQ5),'2024DATA'!$J$30,"")</f>
        <v/>
      </c>
      <c r="CR33" s="518" t="str">
        <f>IF(AND(_F="A-320",'2024'!$D$4="FO",'2024'!$D$2=CR5),'2024DATA'!$K$30,"")</f>
        <v/>
      </c>
      <c r="CS33" s="518" t="str">
        <f>IF(AND(_F="A-320",'2024'!$D$4="FO",'2024'!$D$2=CS5),'2024DATA'!$L$30,"")</f>
        <v/>
      </c>
      <c r="CT33" s="518" t="str">
        <f>IF(AND(_F="A-320",'2024'!$D$4="FO",'2024'!$D$2=CT5),'2024DATA'!$M$30,"")</f>
        <v/>
      </c>
      <c r="CU33" s="520" t="str">
        <f>IF(AND(_F="A-320",'2024'!$D$4="FO",'2024'!$D$2=CU5),'2024DATA'!$N$30,"")</f>
        <v/>
      </c>
    </row>
    <row r="34" spans="1:99" x14ac:dyDescent="0.25">
      <c r="A34" s="987"/>
      <c r="B34" s="64" t="s">
        <v>62</v>
      </c>
      <c r="C34" s="494">
        <v>236.59</v>
      </c>
      <c r="D34" s="473">
        <v>234.45</v>
      </c>
      <c r="E34" s="473">
        <v>232.33</v>
      </c>
      <c r="F34" s="473">
        <v>229.19</v>
      </c>
      <c r="G34" s="473">
        <v>226.73</v>
      </c>
      <c r="H34" s="473">
        <v>221.63</v>
      </c>
      <c r="I34" s="473">
        <v>215.59</v>
      </c>
      <c r="J34" s="473">
        <v>210.29</v>
      </c>
      <c r="K34" s="473">
        <v>205.34</v>
      </c>
      <c r="L34" s="473">
        <v>200.48</v>
      </c>
      <c r="M34" s="473">
        <v>171.33</v>
      </c>
      <c r="N34" s="495">
        <v>116.05</v>
      </c>
      <c r="P34" s="940" t="s">
        <v>71</v>
      </c>
      <c r="Q34" s="13" t="s">
        <v>61</v>
      </c>
      <c r="R34" s="518" t="str">
        <f>IF(AND(_A="A-319",'2024'!$D$4="CA",'2024'!$D$2=R5),'2024DATA'!$C$31,"")</f>
        <v/>
      </c>
      <c r="S34" s="518" t="str">
        <f>IF(AND(_A="A-319",'2024'!$D$4="CA",'2024'!$D$2=S5),'2024DATA'!$D$31,"")</f>
        <v/>
      </c>
      <c r="T34" s="518" t="str">
        <f>IF(AND(_A="A-319",'2024'!$D$4="CA",'2024'!$D$2=T5),'2024DATA'!$E$31,"")</f>
        <v/>
      </c>
      <c r="U34" s="518" t="str">
        <f>IF(AND(_A="A-319",'2024'!$D$4="CA",'2024'!$D$2=U5),'2024DATA'!$F$31,"")</f>
        <v/>
      </c>
      <c r="V34" s="518" t="str">
        <f>IF(AND(_A="A-319",'2024'!$D$4="CA",'2024'!$D$2=V5),'2024DATA'!$G$31,"")</f>
        <v/>
      </c>
      <c r="W34" s="518" t="str">
        <f>IF(AND(_A="A-319",'2024'!$D$4="CA",'2024'!$D$2=W5),'2024DATA'!$H$31,"")</f>
        <v/>
      </c>
      <c r="X34" s="518" t="str">
        <f>IF(AND(_A="A-319",'2024'!$D$4="CA",'2024'!$D$2=X5),'2024DATA'!$I$31,"")</f>
        <v/>
      </c>
      <c r="Y34" s="518" t="str">
        <f>IF(AND(_A="A-319",'2024'!$D$4="CA",'2024'!$D$2=Y5),'2024DATA'!$J$31,"")</f>
        <v/>
      </c>
      <c r="Z34" s="518" t="str">
        <f>IF(AND(_A="A-319",'2024'!$D$4="CA",'2024'!$D$2=Z5),'2024DATA'!$K$31,"")</f>
        <v/>
      </c>
      <c r="AA34" s="518" t="str">
        <f>IF(AND(_A="A-319",'2024'!$D$4="CA",'2024'!$D$2=AA5),'2024DATA'!$L$31,"")</f>
        <v/>
      </c>
      <c r="AB34" s="518" t="str">
        <f>IF(AND(_A="A-319",'2024'!$D$4="CA",'2024'!$D$2=AB5),'2024DATA'!$M$31,"")</f>
        <v/>
      </c>
      <c r="AC34" s="520" t="str">
        <f>IF(AND(_A="A-319",'2024'!$D$4="CA",'2024'!$D$2=AC5),'2024DATA'!$N$31,"")</f>
        <v/>
      </c>
      <c r="AD34" s="940" t="s">
        <v>71</v>
      </c>
      <c r="AE34" s="13" t="s">
        <v>61</v>
      </c>
      <c r="AF34" s="518" t="str">
        <f>IF(AND(_B="A-319",'2024'!$D$4="CA",'2024'!$D$2=AF5),'2024DATA'!$C$31,"")</f>
        <v/>
      </c>
      <c r="AG34" s="518" t="str">
        <f>IF(AND(_B="A-319",'2024'!$D$4="CA",'2024'!$D$2=AG5),'2024DATA'!$D$31,"")</f>
        <v/>
      </c>
      <c r="AH34" s="518" t="str">
        <f>IF(AND(_B="A-319",'2024'!$D$4="CA",'2024'!$D$2=AH5),'2024DATA'!$E$31,"")</f>
        <v/>
      </c>
      <c r="AI34" s="518" t="str">
        <f>IF(AND(_B="A-319",'2024'!$D$4="CA",'2024'!$D$2=AI5),'2024DATA'!$F$31,"")</f>
        <v/>
      </c>
      <c r="AJ34" s="518" t="str">
        <f>IF(AND(_B="A-319",'2024'!$D$4="CA",'2024'!$D$2=AJ5),'2024DATA'!$G$31,"")</f>
        <v/>
      </c>
      <c r="AK34" s="518" t="str">
        <f>IF(AND(_B="A-319",'2024'!$D$4="CA",'2024'!$D$2=AK5),'2024DATA'!$H$31,"")</f>
        <v/>
      </c>
      <c r="AL34" s="518" t="str">
        <f>IF(AND(_B="A-319",'2024'!$D$4="CA",'2024'!$D$2=AL5),'2024DATA'!$I$31,"")</f>
        <v/>
      </c>
      <c r="AM34" s="518" t="str">
        <f>IF(AND(_B="A-319",'2024'!$D$4="CA",'2024'!$D$2=AM5),'2024DATA'!$J$31,"")</f>
        <v/>
      </c>
      <c r="AN34" s="518" t="str">
        <f>IF(AND(_B="A-319",'2024'!$D$4="CA",'2024'!$D$2=AN5),'2024DATA'!$K$31,"")</f>
        <v/>
      </c>
      <c r="AO34" s="518" t="str">
        <f>IF(AND(_B="A-319",'2024'!$D$4="CA",'2024'!$D$2=AO5),'2024DATA'!$L$31,"")</f>
        <v/>
      </c>
      <c r="AP34" s="518" t="str">
        <f>IF(AND(_B="A-319",'2024'!$D$4="CA",'2024'!$D$2=AP5),'2024DATA'!$M$31,"")</f>
        <v/>
      </c>
      <c r="AQ34" s="520" t="str">
        <f>IF(AND(_B="A-319",'2024'!$D$4="CA",'2024'!$D$2=AQ5),'2024DATA'!$N$31,"")</f>
        <v/>
      </c>
      <c r="AR34" s="940" t="s">
        <v>71</v>
      </c>
      <c r="AS34" s="13" t="s">
        <v>61</v>
      </c>
      <c r="AT34" s="518" t="str">
        <f>IF(AND(_C="A-319",'2024'!$D$4="CA",'2024'!$D$2=AT5),'2024DATA'!$C$31,"")</f>
        <v/>
      </c>
      <c r="AU34" s="518" t="str">
        <f>IF(AND(_C="A-319",'2024'!$D$4="CA",'2024'!$D$2=AU5),'2024DATA'!$D$31,"")</f>
        <v/>
      </c>
      <c r="AV34" s="518" t="str">
        <f>IF(AND(_C="A-319",'2024'!$D$4="CA",'2024'!$D$2=AV5),'2024DATA'!$E$31,"")</f>
        <v/>
      </c>
      <c r="AW34" s="518" t="str">
        <f>IF(AND(_C="A-319",'2024'!$D$4="CA",'2024'!$D$2=AW5),'2024DATA'!$F$31,"")</f>
        <v/>
      </c>
      <c r="AX34" s="518" t="str">
        <f>IF(AND(_C="A-319",'2024'!$D$4="CA",'2024'!$D$2=AX5),'2024DATA'!$G$31,"")</f>
        <v/>
      </c>
      <c r="AY34" s="518" t="str">
        <f>IF(AND(_C="A-319",'2024'!$D$4="CA",'2024'!$D$2=AY5),'2024DATA'!$H$31,"")</f>
        <v/>
      </c>
      <c r="AZ34" s="518" t="str">
        <f>IF(AND(_C="A-319",'2024'!$D$4="CA",'2024'!$D$2=AZ5),'2024DATA'!$I$31,"")</f>
        <v/>
      </c>
      <c r="BA34" s="518" t="str">
        <f>IF(AND(_C="A-319",'2024'!$D$4="CA",'2024'!$D$2=BA5),'2024DATA'!$J$31,"")</f>
        <v/>
      </c>
      <c r="BB34" s="518" t="str">
        <f>IF(AND(_C="A-319",'2024'!$D$4="CA",'2024'!$D$2=BB5),'2024DATA'!$K$31,"")</f>
        <v/>
      </c>
      <c r="BC34" s="518" t="str">
        <f>IF(AND(_C="A-319",'2024'!$D$4="CA",'2024'!$D$2=BC5),'2024DATA'!$L$31,"")</f>
        <v/>
      </c>
      <c r="BD34" s="518" t="str">
        <f>IF(AND(_C="A-319",'2024'!$D$4="CA",'2024'!$D$2=BD5),'2024DATA'!$M$31,"")</f>
        <v/>
      </c>
      <c r="BE34" s="520" t="str">
        <f>IF(AND(_C="A-319",'2024'!$D$4="CA",'2024'!$D$2=BE5),'2024DATA'!$N$31,"")</f>
        <v/>
      </c>
      <c r="BF34" s="940" t="s">
        <v>71</v>
      </c>
      <c r="BG34" s="13" t="s">
        <v>61</v>
      </c>
      <c r="BH34" s="518" t="str">
        <f>IF(AND(_D="A-319",'2024'!$D$4="CA",'2024'!$D$2=BH5),'2024DATA'!$C$31,"")</f>
        <v/>
      </c>
      <c r="BI34" s="518" t="str">
        <f>IF(AND(_D="A-319",'2024'!$D$4="CA",'2024'!$D$2=BI5),'2024DATA'!$D$31,"")</f>
        <v/>
      </c>
      <c r="BJ34" s="518" t="str">
        <f>IF(AND(_D="A-319",'2024'!$D$4="CA",'2024'!$D$2=BJ5),'2024DATA'!$E$31,"")</f>
        <v/>
      </c>
      <c r="BK34" s="518" t="str">
        <f>IF(AND(_D="A-319",'2024'!$D$4="CA",'2024'!$D$2=BK5),'2024DATA'!$F$31,"")</f>
        <v/>
      </c>
      <c r="BL34" s="518" t="str">
        <f>IF(AND(_D="A-319",'2024'!$D$4="CA",'2024'!$D$2=BL5),'2024DATA'!$G$31,"")</f>
        <v/>
      </c>
      <c r="BM34" s="518" t="str">
        <f>IF(AND(_D="A-319",'2024'!$D$4="CA",'2024'!$D$2=BM5),'2024DATA'!$H$31,"")</f>
        <v/>
      </c>
      <c r="BN34" s="518" t="str">
        <f>IF(AND(_D="A-319",'2024'!$D$4="CA",'2024'!$D$2=BN5),'2024DATA'!$I$31,"")</f>
        <v/>
      </c>
      <c r="BO34" s="518" t="str">
        <f>IF(AND(_D="A-319",'2024'!$D$4="CA",'2024'!$D$2=BO5),'2024DATA'!$J$31,"")</f>
        <v/>
      </c>
      <c r="BP34" s="518" t="str">
        <f>IF(AND(_D="A-319",'2024'!$D$4="CA",'2024'!$D$2=BP5),'2024DATA'!$K$31,"")</f>
        <v/>
      </c>
      <c r="BQ34" s="518" t="str">
        <f>IF(AND(_D="A-319",'2024'!$D$4="CA",'2024'!$D$2=BQ5),'2024DATA'!$L$31,"")</f>
        <v/>
      </c>
      <c r="BR34" s="518" t="str">
        <f>IF(AND(_D="A-319",'2024'!$D$4="CA",'2024'!$D$2=BR5),'2024DATA'!$M$31,"")</f>
        <v/>
      </c>
      <c r="BS34" s="520" t="str">
        <f>IF(AND(_D="A-319",'2024'!$D$4="CA",'2024'!$D$2=BS5),'2024DATA'!$N$31,"")</f>
        <v/>
      </c>
      <c r="BT34" s="940" t="s">
        <v>71</v>
      </c>
      <c r="BU34" s="13" t="s">
        <v>61</v>
      </c>
      <c r="BV34" s="518" t="str">
        <f>IF(AND(_E="A-319",'2024'!$D$4="CA",'2024'!$D$2=BV5),'2024DATA'!$C$31,"")</f>
        <v/>
      </c>
      <c r="BW34" s="518" t="str">
        <f>IF(AND(_E="A-319",'2024'!$D$4="CA",'2024'!$D$2=BW5),'2024DATA'!$D$31,"")</f>
        <v/>
      </c>
      <c r="BX34" s="518" t="str">
        <f>IF(AND(_E="A-319",'2024'!$D$4="CA",'2024'!$D$2=BX5),'2024DATA'!$E$31,"")</f>
        <v/>
      </c>
      <c r="BY34" s="518" t="str">
        <f>IF(AND(_E="A-319",'2024'!$D$4="CA",'2024'!$D$2=BY5),'2024DATA'!$F$31,"")</f>
        <v/>
      </c>
      <c r="BZ34" s="518" t="str">
        <f>IF(AND(_E="A-319",'2024'!$D$4="CA",'2024'!$D$2=BZ5),'2024DATA'!$G$31,"")</f>
        <v/>
      </c>
      <c r="CA34" s="518" t="str">
        <f>IF(AND(_E="A-319",'2024'!$D$4="CA",'2024'!$D$2=CA5),'2024DATA'!$H$31,"")</f>
        <v/>
      </c>
      <c r="CB34" s="518" t="str">
        <f>IF(AND(_E="A-319",'2024'!$D$4="CA",'2024'!$D$2=CB5),'2024DATA'!$I$31,"")</f>
        <v/>
      </c>
      <c r="CC34" s="518" t="str">
        <f>IF(AND(_E="A-319",'2024'!$D$4="CA",'2024'!$D$2=CC5),'2024DATA'!$J$31,"")</f>
        <v/>
      </c>
      <c r="CD34" s="518" t="str">
        <f>IF(AND(_E="A-319",'2024'!$D$4="CA",'2024'!$D$2=CD5),'2024DATA'!$K$31,"")</f>
        <v/>
      </c>
      <c r="CE34" s="518" t="str">
        <f>IF(AND(_E="A-319",'2024'!$D$4="CA",'2024'!$D$2=CE5),'2024DATA'!$L$31,"")</f>
        <v/>
      </c>
      <c r="CF34" s="518" t="str">
        <f>IF(AND(_E="A-319",'2024'!$D$4="CA",'2024'!$D$2=CF5),'2024DATA'!$M$31,"")</f>
        <v/>
      </c>
      <c r="CG34" s="520" t="str">
        <f>IF(AND(_E="A-319",'2024'!$D$4="CA",'2024'!$D$2=CG5),'2024DATA'!$N$31,"")</f>
        <v/>
      </c>
      <c r="CH34" s="940" t="s">
        <v>71</v>
      </c>
      <c r="CI34" s="13" t="s">
        <v>61</v>
      </c>
      <c r="CJ34" s="518" t="str">
        <f>IF(AND(_F="A-319",'2024'!$D$4="CA",'2024'!$D$2=CJ5),'2024DATA'!$C$31,"")</f>
        <v/>
      </c>
      <c r="CK34" s="518" t="str">
        <f>IF(AND(_F="A-319",'2024'!$D$4="CA",'2024'!$D$2=CK5),'2024DATA'!$D$31,"")</f>
        <v/>
      </c>
      <c r="CL34" s="518" t="str">
        <f>IF(AND(_F="A-319",'2024'!$D$4="CA",'2024'!$D$2=CL5),'2024DATA'!$E$31,"")</f>
        <v/>
      </c>
      <c r="CM34" s="518" t="str">
        <f>IF(AND(_F="A-319",'2024'!$D$4="CA",'2024'!$D$2=CM5),'2024DATA'!$F$31,"")</f>
        <v/>
      </c>
      <c r="CN34" s="518" t="str">
        <f>IF(AND(_F="A-319",'2024'!$D$4="CA",'2024'!$D$2=CN5),'2024DATA'!$G$31,"")</f>
        <v/>
      </c>
      <c r="CO34" s="518" t="str">
        <f>IF(AND(_F="A-319",'2024'!$D$4="CA",'2024'!$D$2=CO5),'2024DATA'!$H$31,"")</f>
        <v/>
      </c>
      <c r="CP34" s="518" t="str">
        <f>IF(AND(_F="A-319",'2024'!$D$4="CA",'2024'!$D$2=CP5),'2024DATA'!$I$31,"")</f>
        <v/>
      </c>
      <c r="CQ34" s="518" t="str">
        <f>IF(AND(_F="A-319",'2024'!$D$4="CA",'2024'!$D$2=CQ5),'2024DATA'!$J$31,"")</f>
        <v/>
      </c>
      <c r="CR34" s="518" t="str">
        <f>IF(AND(_F="A-319",'2024'!$D$4="CA",'2024'!$D$2=CR5),'2024DATA'!$K$31,"")</f>
        <v/>
      </c>
      <c r="CS34" s="518" t="str">
        <f>IF(AND(_F="A-319",'2024'!$D$4="CA",'2024'!$D$2=CS5),'2024DATA'!$L$31,"")</f>
        <v/>
      </c>
      <c r="CT34" s="518" t="str">
        <f>IF(AND(_F="A-319",'2024'!$D$4="CA",'2024'!$D$2=CT5),'2024DATA'!$M$31,"")</f>
        <v/>
      </c>
      <c r="CU34" s="520" t="str">
        <f>IF(AND(_F="A-319",'2024'!$D$4="CA",'2024'!$D$2=CU5),'2024DATA'!$N$31,"")</f>
        <v/>
      </c>
    </row>
    <row r="35" spans="1:99" x14ac:dyDescent="0.25">
      <c r="A35" s="987" t="s">
        <v>52</v>
      </c>
      <c r="B35" s="64" t="s">
        <v>61</v>
      </c>
      <c r="C35" s="494">
        <v>332.21</v>
      </c>
      <c r="D35" s="473">
        <v>329.69</v>
      </c>
      <c r="E35" s="473">
        <v>327.14999999999998</v>
      </c>
      <c r="F35" s="473">
        <v>324.63</v>
      </c>
      <c r="G35" s="473">
        <v>322.14999999999998</v>
      </c>
      <c r="H35" s="473">
        <v>319.64</v>
      </c>
      <c r="I35" s="473">
        <v>317.16000000000003</v>
      </c>
      <c r="J35" s="473">
        <v>314.62</v>
      </c>
      <c r="K35" s="473">
        <v>312.11</v>
      </c>
      <c r="L35" s="473">
        <v>309.58999999999997</v>
      </c>
      <c r="M35" s="473">
        <v>307.13</v>
      </c>
      <c r="N35" s="495">
        <v>304.60000000000002</v>
      </c>
      <c r="P35" s="940"/>
      <c r="Q35" s="13" t="s">
        <v>62</v>
      </c>
      <c r="R35" s="518" t="str">
        <f>IF(AND(_A="A-319",'2024'!$D$4="FO",'2024'!$D$2=R5),'2024DATA'!$C$32,"")</f>
        <v/>
      </c>
      <c r="S35" s="518" t="str">
        <f>IF(AND(_A="A-319",'2024'!$D$4="FO",'2024'!$D$2=S5),'2024DATA'!$D$32,"")</f>
        <v/>
      </c>
      <c r="T35" s="518" t="str">
        <f>IF(AND(_A="A-319",'2024'!$D$4="FO",'2024'!$D$2=T5),'2024DATA'!$E$32,"")</f>
        <v/>
      </c>
      <c r="U35" s="518" t="str">
        <f>IF(AND(_A="A-319",'2024'!$D$4="FO",'2024'!$D$2=U5),'2024DATA'!$F$32,"")</f>
        <v/>
      </c>
      <c r="V35" s="518" t="str">
        <f>IF(AND(_A="A-319",'2024'!$D$4="FO",'2024'!$D$2=V5),'2024DATA'!$G$32,"")</f>
        <v/>
      </c>
      <c r="W35" s="518" t="str">
        <f>IF(AND(_A="A-319",'2024'!$D$4="FO",'2024'!$D$2=W5),'2024DATA'!$H$32,"")</f>
        <v/>
      </c>
      <c r="X35" s="518" t="str">
        <f>IF(AND(_A="A-319",'2024'!$D$4="FO",'2024'!$D$2=X5),'2024DATA'!$I$32,"")</f>
        <v/>
      </c>
      <c r="Y35" s="518" t="str">
        <f>IF(AND(_A="A-319",'2024'!$D$4="FO",'2024'!$D$2=Y5),'2024DATA'!$J$32,"")</f>
        <v/>
      </c>
      <c r="Z35" s="518" t="str">
        <f>IF(AND(_A="A-319",'2024'!$D$4="FO",'2024'!$D$2=Z5),'2024DATA'!$K$32,"")</f>
        <v/>
      </c>
      <c r="AA35" s="518" t="str">
        <f>IF(AND(_A="A-319",'2024'!$D$4="FO",'2024'!$D$2=AA5),'2024DATA'!$L$32,"")</f>
        <v/>
      </c>
      <c r="AB35" s="518" t="str">
        <f>IF(AND(_A="A-319",'2024'!$D$4="FO",'2024'!$D$2=AB5),'2024DATA'!$M$32,"")</f>
        <v/>
      </c>
      <c r="AC35" s="520" t="str">
        <f>IF(AND(_A="A-319",'2024'!$D$4="FO",'2024'!$D$2=AC5),'2024DATA'!$N$32,"")</f>
        <v/>
      </c>
      <c r="AD35" s="940"/>
      <c r="AE35" s="13" t="s">
        <v>62</v>
      </c>
      <c r="AF35" s="518" t="str">
        <f>IF(AND(_B="A-319",'2024'!$D$4="FO",'2024'!$D$2=AF5),'2024DATA'!$C$32,"")</f>
        <v/>
      </c>
      <c r="AG35" s="518" t="str">
        <f>IF(AND(_B="A-319",'2024'!$D$4="FO",'2024'!$D$2=AG5),'2024DATA'!$D$32,"")</f>
        <v/>
      </c>
      <c r="AH35" s="518" t="str">
        <f>IF(AND(_B="A-319",'2024'!$D$4="FO",'2024'!$D$2=AH5),'2024DATA'!$E$32,"")</f>
        <v/>
      </c>
      <c r="AI35" s="518" t="str">
        <f>IF(AND(_B="A-319",'2024'!$D$4="FO",'2024'!$D$2=AI5),'2024DATA'!$F$32,"")</f>
        <v/>
      </c>
      <c r="AJ35" s="518" t="str">
        <f>IF(AND(_B="A-319",'2024'!$D$4="FO",'2024'!$D$2=AJ5),'2024DATA'!$G$32,"")</f>
        <v/>
      </c>
      <c r="AK35" s="518" t="str">
        <f>IF(AND(_B="A-319",'2024'!$D$4="FO",'2024'!$D$2=AK5),'2024DATA'!$H$32,"")</f>
        <v/>
      </c>
      <c r="AL35" s="518" t="str">
        <f>IF(AND(_B="A-319",'2024'!$D$4="FO",'2024'!$D$2=AL5),'2024DATA'!$I$32,"")</f>
        <v/>
      </c>
      <c r="AM35" s="518" t="str">
        <f>IF(AND(_B="A-319",'2024'!$D$4="FO",'2024'!$D$2=AM5),'2024DATA'!$J$32,"")</f>
        <v/>
      </c>
      <c r="AN35" s="518" t="str">
        <f>IF(AND(_B="A-319",'2024'!$D$4="FO",'2024'!$D$2=AN5),'2024DATA'!$K$32,"")</f>
        <v/>
      </c>
      <c r="AO35" s="518" t="str">
        <f>IF(AND(_B="A-319",'2024'!$D$4="FO",'2024'!$D$2=AO5),'2024DATA'!$L$32,"")</f>
        <v/>
      </c>
      <c r="AP35" s="518" t="str">
        <f>IF(AND(_B="A-319",'2024'!$D$4="FO",'2024'!$D$2=AP5),'2024DATA'!$M$32,"")</f>
        <v/>
      </c>
      <c r="AQ35" s="520" t="str">
        <f>IF(AND(_B="A-319",'2024'!$D$4="FO",'2024'!$D$2=AQ5),'2024DATA'!$N$32,"")</f>
        <v/>
      </c>
      <c r="AR35" s="940"/>
      <c r="AS35" s="13" t="s">
        <v>62</v>
      </c>
      <c r="AT35" s="518" t="str">
        <f>IF(AND(_C="A-319",'2024'!$D$4="FO",'2024'!$D$2=AT5),'2024DATA'!$C$32,"")</f>
        <v/>
      </c>
      <c r="AU35" s="518" t="str">
        <f>IF(AND(_C="A-319",'2024'!$D$4="FO",'2024'!$D$2=AU5),'2024DATA'!$D$32,"")</f>
        <v/>
      </c>
      <c r="AV35" s="518" t="str">
        <f>IF(AND(_C="A-319",'2024'!$D$4="FO",'2024'!$D$2=AV5),'2024DATA'!$E$32,"")</f>
        <v/>
      </c>
      <c r="AW35" s="518" t="str">
        <f>IF(AND(_C="A-319",'2024'!$D$4="FO",'2024'!$D$2=AW5),'2024DATA'!$F$32,"")</f>
        <v/>
      </c>
      <c r="AX35" s="518" t="str">
        <f>IF(AND(_C="A-319",'2024'!$D$4="FO",'2024'!$D$2=AX5),'2024DATA'!$G$32,"")</f>
        <v/>
      </c>
      <c r="AY35" s="518" t="str">
        <f>IF(AND(_C="A-319",'2024'!$D$4="FO",'2024'!$D$2=AY5),'2024DATA'!$H$32,"")</f>
        <v/>
      </c>
      <c r="AZ35" s="518" t="str">
        <f>IF(AND(_C="A-319",'2024'!$D$4="FO",'2024'!$D$2=AZ5),'2024DATA'!$I$32,"")</f>
        <v/>
      </c>
      <c r="BA35" s="518" t="str">
        <f>IF(AND(_C="A-319",'2024'!$D$4="FO",'2024'!$D$2=BA5),'2024DATA'!$J$32,"")</f>
        <v/>
      </c>
      <c r="BB35" s="518" t="str">
        <f>IF(AND(_C="A-319",'2024'!$D$4="FO",'2024'!$D$2=BB5),'2024DATA'!$K$32,"")</f>
        <v/>
      </c>
      <c r="BC35" s="518" t="str">
        <f>IF(AND(_C="A-319",'2024'!$D$4="FO",'2024'!$D$2=BC5),'2024DATA'!$L$32,"")</f>
        <v/>
      </c>
      <c r="BD35" s="518" t="str">
        <f>IF(AND(_C="A-319",'2024'!$D$4="FO",'2024'!$D$2=BD5),'2024DATA'!$M$32,"")</f>
        <v/>
      </c>
      <c r="BE35" s="520" t="str">
        <f>IF(AND(_C="A-319",'2024'!$D$4="FO",'2024'!$D$2=BE5),'2024DATA'!$N$32,"")</f>
        <v/>
      </c>
      <c r="BF35" s="940"/>
      <c r="BG35" s="13" t="s">
        <v>62</v>
      </c>
      <c r="BH35" s="518" t="str">
        <f>IF(AND(_D="A-319",'2024'!$D$4="FO",'2024'!$D$2=BH5),'2024DATA'!$C$32,"")</f>
        <v/>
      </c>
      <c r="BI35" s="518" t="str">
        <f>IF(AND(_D="A-319",'2024'!$D$4="FO",'2024'!$D$2=BI5),'2024DATA'!$D$32,"")</f>
        <v/>
      </c>
      <c r="BJ35" s="518" t="str">
        <f>IF(AND(_D="A-319",'2024'!$D$4="FO",'2024'!$D$2=BJ5),'2024DATA'!$E$32,"")</f>
        <v/>
      </c>
      <c r="BK35" s="518" t="str">
        <f>IF(AND(_D="A-319",'2024'!$D$4="FO",'2024'!$D$2=BK5),'2024DATA'!$F$32,"")</f>
        <v/>
      </c>
      <c r="BL35" s="518" t="str">
        <f>IF(AND(_D="A-319",'2024'!$D$4="FO",'2024'!$D$2=BL5),'2024DATA'!$G$32,"")</f>
        <v/>
      </c>
      <c r="BM35" s="518" t="str">
        <f>IF(AND(_D="A-319",'2024'!$D$4="FO",'2024'!$D$2=BM5),'2024DATA'!$H$32,"")</f>
        <v/>
      </c>
      <c r="BN35" s="518" t="str">
        <f>IF(AND(_D="A-319",'2024'!$D$4="FO",'2024'!$D$2=BN5),'2024DATA'!$I$32,"")</f>
        <v/>
      </c>
      <c r="BO35" s="518" t="str">
        <f>IF(AND(_D="A-319",'2024'!$D$4="FO",'2024'!$D$2=BO5),'2024DATA'!$J$32,"")</f>
        <v/>
      </c>
      <c r="BP35" s="518" t="str">
        <f>IF(AND(_D="A-319",'2024'!$D$4="FO",'2024'!$D$2=BP5),'2024DATA'!$K$32,"")</f>
        <v/>
      </c>
      <c r="BQ35" s="518" t="str">
        <f>IF(AND(_D="A-319",'2024'!$D$4="FO",'2024'!$D$2=BQ5),'2024DATA'!$L$32,"")</f>
        <v/>
      </c>
      <c r="BR35" s="518" t="str">
        <f>IF(AND(_D="A-319",'2024'!$D$4="FO",'2024'!$D$2=BR5),'2024DATA'!$M$32,"")</f>
        <v/>
      </c>
      <c r="BS35" s="520" t="str">
        <f>IF(AND(_D="A-319",'2024'!$D$4="FO",'2024'!$D$2=BS5),'2024DATA'!$N$32,"")</f>
        <v/>
      </c>
      <c r="BT35" s="940"/>
      <c r="BU35" s="13" t="s">
        <v>62</v>
      </c>
      <c r="BV35" s="518" t="str">
        <f>IF(AND(_E="A-319",'2024'!$D$4="FO",'2024'!$D$2=BV5),'2024DATA'!$C$32,"")</f>
        <v/>
      </c>
      <c r="BW35" s="518" t="str">
        <f>IF(AND(_E="A-319",'2024'!$D$4="FO",'2024'!$D$2=BW5),'2024DATA'!$D$32,"")</f>
        <v/>
      </c>
      <c r="BX35" s="518" t="str">
        <f>IF(AND(_E="A-319",'2024'!$D$4="FO",'2024'!$D$2=BX5),'2024DATA'!$E$32,"")</f>
        <v/>
      </c>
      <c r="BY35" s="518" t="str">
        <f>IF(AND(_E="A-319",'2024'!$D$4="FO",'2024'!$D$2=BY5),'2024DATA'!$F$32,"")</f>
        <v/>
      </c>
      <c r="BZ35" s="518" t="str">
        <f>IF(AND(_E="A-319",'2024'!$D$4="FO",'2024'!$D$2=BZ5),'2024DATA'!$G$32,"")</f>
        <v/>
      </c>
      <c r="CA35" s="518" t="str">
        <f>IF(AND(_E="A-319",'2024'!$D$4="FO",'2024'!$D$2=CA5),'2024DATA'!$H$32,"")</f>
        <v/>
      </c>
      <c r="CB35" s="518" t="str">
        <f>IF(AND(_E="A-319",'2024'!$D$4="FO",'2024'!$D$2=CB5),'2024DATA'!$I$32,"")</f>
        <v/>
      </c>
      <c r="CC35" s="518" t="str">
        <f>IF(AND(_E="A-319",'2024'!$D$4="FO",'2024'!$D$2=CC5),'2024DATA'!$J$32,"")</f>
        <v/>
      </c>
      <c r="CD35" s="518" t="str">
        <f>IF(AND(_E="A-319",'2024'!$D$4="FO",'2024'!$D$2=CD5),'2024DATA'!$K$32,"")</f>
        <v/>
      </c>
      <c r="CE35" s="518" t="str">
        <f>IF(AND(_E="A-319",'2024'!$D$4="FO",'2024'!$D$2=CE5),'2024DATA'!$L$32,"")</f>
        <v/>
      </c>
      <c r="CF35" s="518" t="str">
        <f>IF(AND(_E="A-319",'2024'!$D$4="FO",'2024'!$D$2=CF5),'2024DATA'!$M$32,"")</f>
        <v/>
      </c>
      <c r="CG35" s="520" t="str">
        <f>IF(AND(_E="A-319",'2024'!$D$4="FO",'2024'!$D$2=CG5),'2024DATA'!$N$32,"")</f>
        <v/>
      </c>
      <c r="CH35" s="940"/>
      <c r="CI35" s="13" t="s">
        <v>62</v>
      </c>
      <c r="CJ35" s="518" t="str">
        <f>IF(AND(_F="A-319",'2024'!$D$4="FO",'2024'!$D$2=CJ5),'2024DATA'!$C$32,"")</f>
        <v/>
      </c>
      <c r="CK35" s="518" t="str">
        <f>IF(AND(_F="A-319",'2024'!$D$4="FO",'2024'!$D$2=CK5),'2024DATA'!$D$32,"")</f>
        <v/>
      </c>
      <c r="CL35" s="518" t="str">
        <f>IF(AND(_F="A-319",'2024'!$D$4="FO",'2024'!$D$2=CL5),'2024DATA'!$E$32,"")</f>
        <v/>
      </c>
      <c r="CM35" s="518" t="str">
        <f>IF(AND(_F="A-319",'2024'!$D$4="FO",'2024'!$D$2=CM5),'2024DATA'!$F$32,"")</f>
        <v/>
      </c>
      <c r="CN35" s="518" t="str">
        <f>IF(AND(_F="A-319",'2024'!$D$4="FO",'2024'!$D$2=CN5),'2024DATA'!$G$32,"")</f>
        <v/>
      </c>
      <c r="CO35" s="518" t="str">
        <f>IF(AND(_F="A-319",'2024'!$D$4="FO",'2024'!$D$2=CO5),'2024DATA'!$H$32,"")</f>
        <v/>
      </c>
      <c r="CP35" s="518" t="str">
        <f>IF(AND(_F="A-319",'2024'!$D$4="FO",'2024'!$D$2=CP5),'2024DATA'!$I$32,"")</f>
        <v/>
      </c>
      <c r="CQ35" s="518" t="str">
        <f>IF(AND(_F="A-319",'2024'!$D$4="FO",'2024'!$D$2=CQ5),'2024DATA'!$J$32,"")</f>
        <v/>
      </c>
      <c r="CR35" s="518" t="str">
        <f>IF(AND(_F="A-319",'2024'!$D$4="FO",'2024'!$D$2=CR5),'2024DATA'!$K$32,"")</f>
        <v/>
      </c>
      <c r="CS35" s="518" t="str">
        <f>IF(AND(_F="A-319",'2024'!$D$4="FO",'2024'!$D$2=CS5),'2024DATA'!$L$32,"")</f>
        <v/>
      </c>
      <c r="CT35" s="518" t="str">
        <f>IF(AND(_F="A-319",'2024'!$D$4="FO",'2024'!$D$2=CT5),'2024DATA'!$M$32,"")</f>
        <v/>
      </c>
      <c r="CU35" s="520" t="str">
        <f>IF(AND(_F="A-319",'2024'!$D$4="FO",'2024'!$D$2=CU5),'2024DATA'!$N$32,"")</f>
        <v/>
      </c>
    </row>
    <row r="36" spans="1:99" x14ac:dyDescent="0.25">
      <c r="A36" s="987"/>
      <c r="B36" s="64" t="s">
        <v>62</v>
      </c>
      <c r="C36" s="494">
        <v>226.89</v>
      </c>
      <c r="D36" s="473">
        <v>224.85</v>
      </c>
      <c r="E36" s="473">
        <v>222.8</v>
      </c>
      <c r="F36" s="473">
        <v>219.79</v>
      </c>
      <c r="G36" s="473">
        <v>217.45</v>
      </c>
      <c r="H36" s="473">
        <v>212.55</v>
      </c>
      <c r="I36" s="473">
        <v>206.77</v>
      </c>
      <c r="J36" s="473">
        <v>201.66</v>
      </c>
      <c r="K36" s="473">
        <v>196.91</v>
      </c>
      <c r="L36" s="473">
        <v>192.27</v>
      </c>
      <c r="M36" s="473">
        <v>164.31</v>
      </c>
      <c r="N36" s="495">
        <v>116.05</v>
      </c>
      <c r="P36" s="940" t="s">
        <v>51</v>
      </c>
      <c r="Q36" s="13" t="s">
        <v>61</v>
      </c>
      <c r="R36" s="518" t="str">
        <f>IF(AND(_A="A-220-300",'2024'!$D$4="CA",'2024'!$D$2=R5),'2024DATA'!$C$33,"")</f>
        <v/>
      </c>
      <c r="S36" s="518" t="str">
        <f>IF(AND(_A="A-220-300",'2024'!$D$4="CA",'2024'!$D$2=S5),'2024DATA'!$D$33,"")</f>
        <v/>
      </c>
      <c r="T36" s="518" t="str">
        <f>IF(AND(_A="A-220-300",'2024'!$D$4="CA",'2024'!$D$2=T5),'2024DATA'!$E$33,"")</f>
        <v/>
      </c>
      <c r="U36" s="518" t="str">
        <f>IF(AND(_A="A-220-300",'2024'!$D$4="CA",'2024'!$D$2=U5),'2024DATA'!$F$33,"")</f>
        <v/>
      </c>
      <c r="V36" s="518" t="str">
        <f>IF(AND(_A="A-220-300",'2024'!$D$4="CA",'2024'!$D$2=V5),'2024DATA'!$G$33,"")</f>
        <v/>
      </c>
      <c r="W36" s="518" t="str">
        <f>IF(AND(_A="A-220-300",'2024'!$D$4="CA",'2024'!$D$2=W5),'2024DATA'!$H$33,"")</f>
        <v/>
      </c>
      <c r="X36" s="518" t="str">
        <f>IF(AND(_A="A-220-300",'2024'!$D$4="CA",'2024'!$D$2=X5),'2024DATA'!$I$33,"")</f>
        <v/>
      </c>
      <c r="Y36" s="518" t="str">
        <f>IF(AND(_A="A-220-300",'2024'!$D$4="CA",'2024'!$D$2=Y5),'2024DATA'!$J$33,"")</f>
        <v/>
      </c>
      <c r="Z36" s="518" t="str">
        <f>IF(AND(_A="A-220-300",'2024'!$D$4="CA",'2024'!$D$2=Z5),'2024DATA'!$K$33,"")</f>
        <v/>
      </c>
      <c r="AA36" s="518" t="str">
        <f>IF(AND(_A="A-220-300",'2024'!$D$4="CA",'2024'!$D$2=AA5),'2024DATA'!$L$33,"")</f>
        <v/>
      </c>
      <c r="AB36" s="518" t="str">
        <f>IF(AND(_A="A-220-300",'2024'!$D$4="CA",'2024'!$D$2=AB5),'2024DATA'!$M$33,"")</f>
        <v/>
      </c>
      <c r="AC36" s="520" t="str">
        <f>IF(AND(_A="A-220-300",'2024'!$D$4="CA",'2024'!$D$2=AC5),'2024DATA'!$N$33,"")</f>
        <v/>
      </c>
      <c r="AD36" s="940" t="s">
        <v>51</v>
      </c>
      <c r="AE36" s="13" t="s">
        <v>61</v>
      </c>
      <c r="AF36" s="518" t="str">
        <f>IF(AND(_B="A-220-300",'2024'!$D$4="CA",'2024'!$D$2=AF5),'2024DATA'!$C$33,"")</f>
        <v/>
      </c>
      <c r="AG36" s="518" t="str">
        <f>IF(AND(_B="A-220-300",'2024'!$D$4="CA",'2024'!$D$2=AG5),'2024DATA'!$D$33,"")</f>
        <v/>
      </c>
      <c r="AH36" s="518" t="str">
        <f>IF(AND(_B="A-220-300",'2024'!$D$4="CA",'2024'!$D$2=AH5),'2024DATA'!$E$33,"")</f>
        <v/>
      </c>
      <c r="AI36" s="518" t="str">
        <f>IF(AND(_B="A-220-300",'2024'!$D$4="CA",'2024'!$D$2=AI5),'2024DATA'!$F$33,"")</f>
        <v/>
      </c>
      <c r="AJ36" s="518" t="str">
        <f>IF(AND(_B="A-220-300",'2024'!$D$4="CA",'2024'!$D$2=AJ5),'2024DATA'!$G$33,"")</f>
        <v/>
      </c>
      <c r="AK36" s="518" t="str">
        <f>IF(AND(_B="A-220-300",'2024'!$D$4="CA",'2024'!$D$2=AK5),'2024DATA'!$H$33,"")</f>
        <v/>
      </c>
      <c r="AL36" s="518" t="str">
        <f>IF(AND(_B="A-220-300",'2024'!$D$4="CA",'2024'!$D$2=AL5),'2024DATA'!$I$33,"")</f>
        <v/>
      </c>
      <c r="AM36" s="518" t="str">
        <f>IF(AND(_B="A-220-300",'2024'!$D$4="CA",'2024'!$D$2=AM5),'2024DATA'!$J$33,"")</f>
        <v/>
      </c>
      <c r="AN36" s="518" t="str">
        <f>IF(AND(_B="A-220-300",'2024'!$D$4="CA",'2024'!$D$2=AN5),'2024DATA'!$K$33,"")</f>
        <v/>
      </c>
      <c r="AO36" s="518" t="str">
        <f>IF(AND(_B="A-220-300",'2024'!$D$4="CA",'2024'!$D$2=AO5),'2024DATA'!$L$33,"")</f>
        <v/>
      </c>
      <c r="AP36" s="518" t="str">
        <f>IF(AND(_B="A-220-300",'2024'!$D$4="CA",'2024'!$D$2=AP5),'2024DATA'!$M$33,"")</f>
        <v/>
      </c>
      <c r="AQ36" s="520" t="str">
        <f>IF(AND(_B="A-220-300",'2024'!$D$4="CA",'2024'!$D$2=AQ5),'2024DATA'!$N$33,"")</f>
        <v/>
      </c>
      <c r="AR36" s="940" t="s">
        <v>51</v>
      </c>
      <c r="AS36" s="13" t="s">
        <v>61</v>
      </c>
      <c r="AT36" s="518" t="str">
        <f>IF(AND(_C="A-220-300",'2024'!$D$4="CA",'2024'!$D$2=AT5),'2024DATA'!$C$33,"")</f>
        <v/>
      </c>
      <c r="AU36" s="518" t="str">
        <f>IF(AND(_C="A-220-300",'2024'!$D$4="CA",'2024'!$D$2=AU5),'2024DATA'!$D$33,"")</f>
        <v/>
      </c>
      <c r="AV36" s="518" t="str">
        <f>IF(AND(_C="A-220-300",'2024'!$D$4="CA",'2024'!$D$2=AV5),'2024DATA'!$E$33,"")</f>
        <v/>
      </c>
      <c r="AW36" s="518" t="str">
        <f>IF(AND(_C="A-220-300",'2024'!$D$4="CA",'2024'!$D$2=AW5),'2024DATA'!$F$33,"")</f>
        <v/>
      </c>
      <c r="AX36" s="518" t="str">
        <f>IF(AND(_C="A-220-300",'2024'!$D$4="CA",'2024'!$D$2=AX5),'2024DATA'!$G$33,"")</f>
        <v/>
      </c>
      <c r="AY36" s="518" t="str">
        <f>IF(AND(_C="A-220-300",'2024'!$D$4="CA",'2024'!$D$2=AY5),'2024DATA'!$H$33,"")</f>
        <v/>
      </c>
      <c r="AZ36" s="518" t="str">
        <f>IF(AND(_C="A-220-300",'2024'!$D$4="CA",'2024'!$D$2=AZ5),'2024DATA'!$I$33,"")</f>
        <v/>
      </c>
      <c r="BA36" s="518" t="str">
        <f>IF(AND(_C="A-220-300",'2024'!$D$4="CA",'2024'!$D$2=BA5),'2024DATA'!$J$33,"")</f>
        <v/>
      </c>
      <c r="BB36" s="518" t="str">
        <f>IF(AND(_C="A-220-300",'2024'!$D$4="CA",'2024'!$D$2=BB5),'2024DATA'!$K$33,"")</f>
        <v/>
      </c>
      <c r="BC36" s="518" t="str">
        <f>IF(AND(_C="A-220-300",'2024'!$D$4="CA",'2024'!$D$2=BC5),'2024DATA'!$L$33,"")</f>
        <v/>
      </c>
      <c r="BD36" s="518" t="str">
        <f>IF(AND(_C="A-220-300",'2024'!$D$4="CA",'2024'!$D$2=BD5),'2024DATA'!$M$33,"")</f>
        <v/>
      </c>
      <c r="BE36" s="520" t="str">
        <f>IF(AND(_C="A-220-300",'2024'!$D$4="CA",'2024'!$D$2=BE5),'2024DATA'!$N$33,"")</f>
        <v/>
      </c>
      <c r="BF36" s="940" t="s">
        <v>51</v>
      </c>
      <c r="BG36" s="13" t="s">
        <v>61</v>
      </c>
      <c r="BH36" s="518" t="str">
        <f>IF(AND(_D="A-220-300",'2024'!$D$4="CA",'2024'!$D$2=BH5),'2024DATA'!$C$33,"")</f>
        <v/>
      </c>
      <c r="BI36" s="518" t="str">
        <f>IF(AND(_D="A-220-300",'2024'!$D$4="CA",'2024'!$D$2=BI5),'2024DATA'!$D$33,"")</f>
        <v/>
      </c>
      <c r="BJ36" s="518" t="str">
        <f>IF(AND(_D="A-220-300",'2024'!$D$4="CA",'2024'!$D$2=BJ5),'2024DATA'!$E$33,"")</f>
        <v/>
      </c>
      <c r="BK36" s="518" t="str">
        <f>IF(AND(_D="A-220-300",'2024'!$D$4="CA",'2024'!$D$2=BK5),'2024DATA'!$F$33,"")</f>
        <v/>
      </c>
      <c r="BL36" s="518" t="str">
        <f>IF(AND(_D="A-220-300",'2024'!$D$4="CA",'2024'!$D$2=BL5),'2024DATA'!$G$33,"")</f>
        <v/>
      </c>
      <c r="BM36" s="518" t="str">
        <f>IF(AND(_D="A-220-300",'2024'!$D$4="CA",'2024'!$D$2=BM5),'2024DATA'!$H$33,"")</f>
        <v/>
      </c>
      <c r="BN36" s="518" t="str">
        <f>IF(AND(_D="A-220-300",'2024'!$D$4="CA",'2024'!$D$2=BN5),'2024DATA'!$I$33,"")</f>
        <v/>
      </c>
      <c r="BO36" s="518" t="str">
        <f>IF(AND(_D="A-220-300",'2024'!$D$4="CA",'2024'!$D$2=BO5),'2024DATA'!$J$33,"")</f>
        <v/>
      </c>
      <c r="BP36" s="518" t="str">
        <f>IF(AND(_D="A-220-300",'2024'!$D$4="CA",'2024'!$D$2=BP5),'2024DATA'!$K$33,"")</f>
        <v/>
      </c>
      <c r="BQ36" s="518" t="str">
        <f>IF(AND(_D="A-220-300",'2024'!$D$4="CA",'2024'!$D$2=BQ5),'2024DATA'!$L$33,"")</f>
        <v/>
      </c>
      <c r="BR36" s="518" t="str">
        <f>IF(AND(_D="A-220-300",'2024'!$D$4="CA",'2024'!$D$2=BR5),'2024DATA'!$M$33,"")</f>
        <v/>
      </c>
      <c r="BS36" s="520" t="str">
        <f>IF(AND(_D="A-220-300",'2024'!$D$4="CA",'2024'!$D$2=BS5),'2024DATA'!$N$33,"")</f>
        <v/>
      </c>
      <c r="BT36" s="940" t="s">
        <v>51</v>
      </c>
      <c r="BU36" s="13" t="s">
        <v>61</v>
      </c>
      <c r="BV36" s="518" t="str">
        <f>IF(AND(_E="A-220-300",'2024'!$D$4="CA",'2024'!$D$2=BV5),'2024DATA'!$C$33,"")</f>
        <v/>
      </c>
      <c r="BW36" s="518" t="str">
        <f>IF(AND(_E="A-220-300",'2024'!$D$4="CA",'2024'!$D$2=BW5),'2024DATA'!$D$33,"")</f>
        <v/>
      </c>
      <c r="BX36" s="518" t="str">
        <f>IF(AND(_E="A-220-300",'2024'!$D$4="CA",'2024'!$D$2=BX5),'2024DATA'!$E$33,"")</f>
        <v/>
      </c>
      <c r="BY36" s="518" t="str">
        <f>IF(AND(_E="A-220-300",'2024'!$D$4="CA",'2024'!$D$2=BY5),'2024DATA'!$F$33,"")</f>
        <v/>
      </c>
      <c r="BZ36" s="518" t="str">
        <f>IF(AND(_E="A-220-300",'2024'!$D$4="CA",'2024'!$D$2=BZ5),'2024DATA'!$G$33,"")</f>
        <v/>
      </c>
      <c r="CA36" s="518" t="str">
        <f>IF(AND(_E="A-220-300",'2024'!$D$4="CA",'2024'!$D$2=CA5),'2024DATA'!$H$33,"")</f>
        <v/>
      </c>
      <c r="CB36" s="518" t="str">
        <f>IF(AND(_E="A-220-300",'2024'!$D$4="CA",'2024'!$D$2=CB5),'2024DATA'!$I$33,"")</f>
        <v/>
      </c>
      <c r="CC36" s="518" t="str">
        <f>IF(AND(_E="A-220-300",'2024'!$D$4="CA",'2024'!$D$2=CC5),'2024DATA'!$J$33,"")</f>
        <v/>
      </c>
      <c r="CD36" s="518" t="str">
        <f>IF(AND(_E="A-220-300",'2024'!$D$4="CA",'2024'!$D$2=CD5),'2024DATA'!$K$33,"")</f>
        <v/>
      </c>
      <c r="CE36" s="518" t="str">
        <f>IF(AND(_E="A-220-300",'2024'!$D$4="CA",'2024'!$D$2=CE5),'2024DATA'!$L$33,"")</f>
        <v/>
      </c>
      <c r="CF36" s="518" t="str">
        <f>IF(AND(_E="A-220-300",'2024'!$D$4="CA",'2024'!$D$2=CF5),'2024DATA'!$M$33,"")</f>
        <v/>
      </c>
      <c r="CG36" s="520" t="str">
        <f>IF(AND(_E="A-220-300",'2024'!$D$4="CA",'2024'!$D$2=CG5),'2024DATA'!$N$33,"")</f>
        <v/>
      </c>
      <c r="CH36" s="940" t="s">
        <v>51</v>
      </c>
      <c r="CI36" s="13" t="s">
        <v>61</v>
      </c>
      <c r="CJ36" s="518" t="str">
        <f>IF(AND(_F="A-220-300",'2024'!$D$4="CA",'2024'!$D$2=CJ5),'2024DATA'!$C$33,"")</f>
        <v/>
      </c>
      <c r="CK36" s="518" t="str">
        <f>IF(AND(_F="A-220-300",'2024'!$D$4="CA",'2024'!$D$2=CK5),'2024DATA'!$D$33,"")</f>
        <v/>
      </c>
      <c r="CL36" s="518" t="str">
        <f>IF(AND(_F="A-220-300",'2024'!$D$4="CA",'2024'!$D$2=CL5),'2024DATA'!$E$33,"")</f>
        <v/>
      </c>
      <c r="CM36" s="518" t="str">
        <f>IF(AND(_F="A-220-300",'2024'!$D$4="CA",'2024'!$D$2=CM5),'2024DATA'!$F$33,"")</f>
        <v/>
      </c>
      <c r="CN36" s="518" t="str">
        <f>IF(AND(_F="A-220-300",'2024'!$D$4="CA",'2024'!$D$2=CN5),'2024DATA'!$G$33,"")</f>
        <v/>
      </c>
      <c r="CO36" s="518" t="str">
        <f>IF(AND(_F="A-220-300",'2024'!$D$4="CA",'2024'!$D$2=CO5),'2024DATA'!$H$33,"")</f>
        <v/>
      </c>
      <c r="CP36" s="518" t="str">
        <f>IF(AND(_F="A-220-300",'2024'!$D$4="CA",'2024'!$D$2=CP5),'2024DATA'!$I$33,"")</f>
        <v/>
      </c>
      <c r="CQ36" s="518" t="str">
        <f>IF(AND(_F="A-220-300",'2024'!$D$4="CA",'2024'!$D$2=CQ5),'2024DATA'!$J$33,"")</f>
        <v/>
      </c>
      <c r="CR36" s="518" t="str">
        <f>IF(AND(_F="A-220-300",'2024'!$D$4="CA",'2024'!$D$2=CR5),'2024DATA'!$K$33,"")</f>
        <v/>
      </c>
      <c r="CS36" s="518" t="str">
        <f>IF(AND(_F="A-220-300",'2024'!$D$4="CA",'2024'!$D$2=CS5),'2024DATA'!$L$33,"")</f>
        <v/>
      </c>
      <c r="CT36" s="518" t="str">
        <f>IF(AND(_F="A-220-300",'2024'!$D$4="CA",'2024'!$D$2=CT5),'2024DATA'!$M$33,"")</f>
        <v/>
      </c>
      <c r="CU36" s="520" t="str">
        <f>IF(AND(_F="A-220-300",'2024'!$D$4="CA",'2024'!$D$2=CU5),'2024DATA'!$N$33,"")</f>
        <v/>
      </c>
    </row>
    <row r="37" spans="1:99" x14ac:dyDescent="0.25">
      <c r="A37" s="987" t="s">
        <v>53</v>
      </c>
      <c r="B37" s="64" t="s">
        <v>61</v>
      </c>
      <c r="C37" s="494">
        <v>323.02</v>
      </c>
      <c r="D37" s="473">
        <v>320.69</v>
      </c>
      <c r="E37" s="473">
        <v>318.20999999999998</v>
      </c>
      <c r="F37" s="473">
        <v>315.75</v>
      </c>
      <c r="G37" s="473">
        <v>313.32</v>
      </c>
      <c r="H37" s="473">
        <v>310.88</v>
      </c>
      <c r="I37" s="473">
        <v>308.52999999999997</v>
      </c>
      <c r="J37" s="473">
        <v>306</v>
      </c>
      <c r="K37" s="473">
        <v>303.68</v>
      </c>
      <c r="L37" s="473">
        <v>301.23</v>
      </c>
      <c r="M37" s="473">
        <v>298.77999999999997</v>
      </c>
      <c r="N37" s="495">
        <v>296.60000000000002</v>
      </c>
      <c r="P37" s="940"/>
      <c r="Q37" s="13" t="s">
        <v>62</v>
      </c>
      <c r="R37" s="518" t="str">
        <f>IF(AND(_A="A-220-300",'2024'!$D$4="FO",'2024'!$D$2=R5),'2024DATA'!$C$34,"")</f>
        <v/>
      </c>
      <c r="S37" s="518" t="str">
        <f>IF(AND(_A="A-220-300",'2024'!$D$4="FO",'2024'!$D$2=S5),'2024DATA'!$D$34,"")</f>
        <v/>
      </c>
      <c r="T37" s="518" t="str">
        <f>IF(AND(_A="A-220-300",'2024'!$D$4="FO",'2024'!$D$2=T5),'2024DATA'!$E$34,"")</f>
        <v/>
      </c>
      <c r="U37" s="518" t="str">
        <f>IF(AND(_A="A-220-300",'2024'!$D$4="FO",'2024'!$D$2=U5),'2024DATA'!$F$34,"")</f>
        <v/>
      </c>
      <c r="V37" s="518" t="str">
        <f>IF(AND(_A="A-220-300",'2024'!$D$4="FO",'2024'!$D$2=V5),'2024DATA'!$G$34,"")</f>
        <v/>
      </c>
      <c r="W37" s="518" t="str">
        <f>IF(AND(_A="A-220-300",'2024'!$D$4="FO",'2024'!$D$2=W5),'2024DATA'!$H$34,"")</f>
        <v/>
      </c>
      <c r="X37" s="518" t="str">
        <f>IF(AND(_A="A-220-300",'2024'!$D$4="FO",'2024'!$D$2=X5),'2024DATA'!$I$34,"")</f>
        <v/>
      </c>
      <c r="Y37" s="518" t="str">
        <f>IF(AND(_A="A-220-300",'2024'!$D$4="FO",'2024'!$D$2=Y5),'2024DATA'!$J$34,"")</f>
        <v/>
      </c>
      <c r="Z37" s="518" t="str">
        <f>IF(AND(_A="A-220-300",'2024'!$D$4="FO",'2024'!$D$2=Z5),'2024DATA'!$K$34,"")</f>
        <v/>
      </c>
      <c r="AA37" s="518" t="str">
        <f>IF(AND(_A="A-220-300",'2024'!$D$4="FO",'2024'!$D$2=AA5),'2024DATA'!$L$34,"")</f>
        <v/>
      </c>
      <c r="AB37" s="518" t="str">
        <f>IF(AND(_A="A-220-300",'2024'!$D$4="FO",'2024'!$D$2=AB5),'2024DATA'!$M$34,"")</f>
        <v/>
      </c>
      <c r="AC37" s="520" t="str">
        <f>IF(AND(_A="A-220-300",'2024'!$D$4="FO",'2024'!$D$2=AC5),'2024DATA'!$N$34,"")</f>
        <v/>
      </c>
      <c r="AD37" s="940"/>
      <c r="AE37" s="13" t="s">
        <v>62</v>
      </c>
      <c r="AF37" s="518" t="str">
        <f>IF(AND(_B="A-220-300",'2024'!$D$4="FO",'2024'!$D$2=AF5),'2024DATA'!$C$34,"")</f>
        <v/>
      </c>
      <c r="AG37" s="518" t="str">
        <f>IF(AND(_B="A-220-300",'2024'!$D$4="FO",'2024'!$D$2=AG5),'2024DATA'!$D$34,"")</f>
        <v/>
      </c>
      <c r="AH37" s="518" t="str">
        <f>IF(AND(_B="A-220-300",'2024'!$D$4="FO",'2024'!$D$2=AH5),'2024DATA'!$E$34,"")</f>
        <v/>
      </c>
      <c r="AI37" s="518" t="str">
        <f>IF(AND(_B="A-220-300",'2024'!$D$4="FO",'2024'!$D$2=AI5),'2024DATA'!$F$34,"")</f>
        <v/>
      </c>
      <c r="AJ37" s="518" t="str">
        <f>IF(AND(_B="A-220-300",'2024'!$D$4="FO",'2024'!$D$2=AJ5),'2024DATA'!$G$34,"")</f>
        <v/>
      </c>
      <c r="AK37" s="518" t="str">
        <f>IF(AND(_B="A-220-300",'2024'!$D$4="FO",'2024'!$D$2=AK5),'2024DATA'!$H$34,"")</f>
        <v/>
      </c>
      <c r="AL37" s="518" t="str">
        <f>IF(AND(_B="A-220-300",'2024'!$D$4="FO",'2024'!$D$2=AL5),'2024DATA'!$I$34,"")</f>
        <v/>
      </c>
      <c r="AM37" s="518" t="str">
        <f>IF(AND(_B="A-220-300",'2024'!$D$4="FO",'2024'!$D$2=AM5),'2024DATA'!$J$34,"")</f>
        <v/>
      </c>
      <c r="AN37" s="518" t="str">
        <f>IF(AND(_B="A-220-300",'2024'!$D$4="FO",'2024'!$D$2=AN5),'2024DATA'!$K$34,"")</f>
        <v/>
      </c>
      <c r="AO37" s="518" t="str">
        <f>IF(AND(_B="A-220-300",'2024'!$D$4="FO",'2024'!$D$2=AO5),'2024DATA'!$L$34,"")</f>
        <v/>
      </c>
      <c r="AP37" s="518" t="str">
        <f>IF(AND(_B="A-220-300",'2024'!$D$4="FO",'2024'!$D$2=AP5),'2024DATA'!$M$34,"")</f>
        <v/>
      </c>
      <c r="AQ37" s="520" t="str">
        <f>IF(AND(_B="A-220-300",'2024'!$D$4="FO",'2024'!$D$2=AQ5),'2024DATA'!$N$34,"")</f>
        <v/>
      </c>
      <c r="AR37" s="940"/>
      <c r="AS37" s="13" t="s">
        <v>62</v>
      </c>
      <c r="AT37" s="518" t="str">
        <f>IF(AND(_C="A-220-300",'2024'!$D$4="FO",'2024'!$D$2=AT5),'2024DATA'!$C$34,"")</f>
        <v/>
      </c>
      <c r="AU37" s="518" t="str">
        <f>IF(AND(_C="A-220-300",'2024'!$D$4="FO",'2024'!$D$2=AU5),'2024DATA'!$D$34,"")</f>
        <v/>
      </c>
      <c r="AV37" s="518" t="str">
        <f>IF(AND(_C="A-220-300",'2024'!$D$4="FO",'2024'!$D$2=AV5),'2024DATA'!$E$34,"")</f>
        <v/>
      </c>
      <c r="AW37" s="518" t="str">
        <f>IF(AND(_C="A-220-300",'2024'!$D$4="FO",'2024'!$D$2=AW5),'2024DATA'!$F$34,"")</f>
        <v/>
      </c>
      <c r="AX37" s="518" t="str">
        <f>IF(AND(_C="A-220-300",'2024'!$D$4="FO",'2024'!$D$2=AX5),'2024DATA'!$G$34,"")</f>
        <v/>
      </c>
      <c r="AY37" s="518" t="str">
        <f>IF(AND(_C="A-220-300",'2024'!$D$4="FO",'2024'!$D$2=AY5),'2024DATA'!$H$34,"")</f>
        <v/>
      </c>
      <c r="AZ37" s="518" t="str">
        <f>IF(AND(_C="A-220-300",'2024'!$D$4="FO",'2024'!$D$2=AZ5),'2024DATA'!$I$34,"")</f>
        <v/>
      </c>
      <c r="BA37" s="518" t="str">
        <f>IF(AND(_C="A-220-300",'2024'!$D$4="FO",'2024'!$D$2=BA5),'2024DATA'!$J$34,"")</f>
        <v/>
      </c>
      <c r="BB37" s="518" t="str">
        <f>IF(AND(_C="A-220-300",'2024'!$D$4="FO",'2024'!$D$2=BB5),'2024DATA'!$K$34,"")</f>
        <v/>
      </c>
      <c r="BC37" s="518" t="str">
        <f>IF(AND(_C="A-220-300",'2024'!$D$4="FO",'2024'!$D$2=BC5),'2024DATA'!$L$34,"")</f>
        <v/>
      </c>
      <c r="BD37" s="518" t="str">
        <f>IF(AND(_C="A-220-300",'2024'!$D$4="FO",'2024'!$D$2=BD5),'2024DATA'!$M$34,"")</f>
        <v/>
      </c>
      <c r="BE37" s="520" t="str">
        <f>IF(AND(_C="A-220-300",'2024'!$D$4="FO",'2024'!$D$2=BE5),'2024DATA'!$N$34,"")</f>
        <v/>
      </c>
      <c r="BF37" s="940"/>
      <c r="BG37" s="13" t="s">
        <v>62</v>
      </c>
      <c r="BH37" s="518" t="str">
        <f>IF(AND(_D="A-220-300",'2024'!$D$4="FO",'2024'!$D$2=BH5),'2024DATA'!$C$34,"")</f>
        <v/>
      </c>
      <c r="BI37" s="518" t="str">
        <f>IF(AND(_D="A-220-300",'2024'!$D$4="FO",'2024'!$D$2=BI5),'2024DATA'!$D$34,"")</f>
        <v/>
      </c>
      <c r="BJ37" s="518" t="str">
        <f>IF(AND(_D="A-220-300",'2024'!$D$4="FO",'2024'!$D$2=BJ5),'2024DATA'!$E$34,"")</f>
        <v/>
      </c>
      <c r="BK37" s="518" t="str">
        <f>IF(AND(_D="A-220-300",'2024'!$D$4="FO",'2024'!$D$2=BK5),'2024DATA'!$F$34,"")</f>
        <v/>
      </c>
      <c r="BL37" s="518" t="str">
        <f>IF(AND(_D="A-220-300",'2024'!$D$4="FO",'2024'!$D$2=BL5),'2024DATA'!$G$34,"")</f>
        <v/>
      </c>
      <c r="BM37" s="518" t="str">
        <f>IF(AND(_D="A-220-300",'2024'!$D$4="FO",'2024'!$D$2=BM5),'2024DATA'!$H$34,"")</f>
        <v/>
      </c>
      <c r="BN37" s="518" t="str">
        <f>IF(AND(_D="A-220-300",'2024'!$D$4="FO",'2024'!$D$2=BN5),'2024DATA'!$I$34,"")</f>
        <v/>
      </c>
      <c r="BO37" s="518" t="str">
        <f>IF(AND(_D="A-220-300",'2024'!$D$4="FO",'2024'!$D$2=BO5),'2024DATA'!$J$34,"")</f>
        <v/>
      </c>
      <c r="BP37" s="518" t="str">
        <f>IF(AND(_D="A-220-300",'2024'!$D$4="FO",'2024'!$D$2=BP5),'2024DATA'!$K$34,"")</f>
        <v/>
      </c>
      <c r="BQ37" s="518" t="str">
        <f>IF(AND(_D="A-220-300",'2024'!$D$4="FO",'2024'!$D$2=BQ5),'2024DATA'!$L$34,"")</f>
        <v/>
      </c>
      <c r="BR37" s="518" t="str">
        <f>IF(AND(_D="A-220-300",'2024'!$D$4="FO",'2024'!$D$2=BR5),'2024DATA'!$M$34,"")</f>
        <v/>
      </c>
      <c r="BS37" s="520" t="str">
        <f>IF(AND(_D="A-220-300",'2024'!$D$4="FO",'2024'!$D$2=BS5),'2024DATA'!$N$34,"")</f>
        <v/>
      </c>
      <c r="BT37" s="940"/>
      <c r="BU37" s="13" t="s">
        <v>62</v>
      </c>
      <c r="BV37" s="518" t="str">
        <f>IF(AND(_E="A-220-300",'2024'!$D$4="FO",'2024'!$D$2=BV5),'2024DATA'!$C$34,"")</f>
        <v/>
      </c>
      <c r="BW37" s="518" t="str">
        <f>IF(AND(_E="A-220-300",'2024'!$D$4="FO",'2024'!$D$2=BW5),'2024DATA'!$D$34,"")</f>
        <v/>
      </c>
      <c r="BX37" s="518" t="str">
        <f>IF(AND(_E="A-220-300",'2024'!$D$4="FO",'2024'!$D$2=BX5),'2024DATA'!$E$34,"")</f>
        <v/>
      </c>
      <c r="BY37" s="518" t="str">
        <f>IF(AND(_E="A-220-300",'2024'!$D$4="FO",'2024'!$D$2=BY5),'2024DATA'!$F$34,"")</f>
        <v/>
      </c>
      <c r="BZ37" s="518" t="str">
        <f>IF(AND(_E="A-220-300",'2024'!$D$4="FO",'2024'!$D$2=BZ5),'2024DATA'!$G$34,"")</f>
        <v/>
      </c>
      <c r="CA37" s="518" t="str">
        <f>IF(AND(_E="A-220-300",'2024'!$D$4="FO",'2024'!$D$2=CA5),'2024DATA'!$H$34,"")</f>
        <v/>
      </c>
      <c r="CB37" s="518" t="str">
        <f>IF(AND(_E="A-220-300",'2024'!$D$4="FO",'2024'!$D$2=CB5),'2024DATA'!$I$34,"")</f>
        <v/>
      </c>
      <c r="CC37" s="518" t="str">
        <f>IF(AND(_E="A-220-300",'2024'!$D$4="FO",'2024'!$D$2=CC5),'2024DATA'!$J$34,"")</f>
        <v/>
      </c>
      <c r="CD37" s="518" t="str">
        <f>IF(AND(_E="A-220-300",'2024'!$D$4="FO",'2024'!$D$2=CD5),'2024DATA'!$K$34,"")</f>
        <v/>
      </c>
      <c r="CE37" s="518" t="str">
        <f>IF(AND(_E="A-220-300",'2024'!$D$4="FO",'2024'!$D$2=CE5),'2024DATA'!$L$34,"")</f>
        <v/>
      </c>
      <c r="CF37" s="518" t="str">
        <f>IF(AND(_E="A-220-300",'2024'!$D$4="FO",'2024'!$D$2=CF5),'2024DATA'!$M$34,"")</f>
        <v/>
      </c>
      <c r="CG37" s="520" t="str">
        <f>IF(AND(_E="A-220-300",'2024'!$D$4="FO",'2024'!$D$2=CG5),'2024DATA'!$N$34,"")</f>
        <v/>
      </c>
      <c r="CH37" s="940"/>
      <c r="CI37" s="13" t="s">
        <v>62</v>
      </c>
      <c r="CJ37" s="518" t="str">
        <f>IF(AND(_F="A-220-300",'2024'!$D$4="FO",'2024'!$D$2=CJ5),'2024DATA'!$C$34,"")</f>
        <v/>
      </c>
      <c r="CK37" s="518" t="str">
        <f>IF(AND(_F="A-220-300",'2024'!$D$4="FO",'2024'!$D$2=CK5),'2024DATA'!$D$34,"")</f>
        <v/>
      </c>
      <c r="CL37" s="518" t="str">
        <f>IF(AND(_F="A-220-300",'2024'!$D$4="FO",'2024'!$D$2=CL5),'2024DATA'!$E$34,"")</f>
        <v/>
      </c>
      <c r="CM37" s="518" t="str">
        <f>IF(AND(_F="A-220-300",'2024'!$D$4="FO",'2024'!$D$2=CM5),'2024DATA'!$F$34,"")</f>
        <v/>
      </c>
      <c r="CN37" s="518" t="str">
        <f>IF(AND(_F="A-220-300",'2024'!$D$4="FO",'2024'!$D$2=CN5),'2024DATA'!$G$34,"")</f>
        <v/>
      </c>
      <c r="CO37" s="518" t="str">
        <f>IF(AND(_F="A-220-300",'2024'!$D$4="FO",'2024'!$D$2=CO5),'2024DATA'!$H$34,"")</f>
        <v/>
      </c>
      <c r="CP37" s="518" t="str">
        <f>IF(AND(_F="A-220-300",'2024'!$D$4="FO",'2024'!$D$2=CP5),'2024DATA'!$I$34,"")</f>
        <v/>
      </c>
      <c r="CQ37" s="518" t="str">
        <f>IF(AND(_F="A-220-300",'2024'!$D$4="FO",'2024'!$D$2=CQ5),'2024DATA'!$J$34,"")</f>
        <v/>
      </c>
      <c r="CR37" s="518" t="str">
        <f>IF(AND(_F="A-220-300",'2024'!$D$4="FO",'2024'!$D$2=CR5),'2024DATA'!$K$34,"")</f>
        <v/>
      </c>
      <c r="CS37" s="518" t="str">
        <f>IF(AND(_F="A-220-300",'2024'!$D$4="FO",'2024'!$D$2=CS5),'2024DATA'!$L$34,"")</f>
        <v/>
      </c>
      <c r="CT37" s="518" t="str">
        <f>IF(AND(_F="A-220-300",'2024'!$D$4="FO",'2024'!$D$2=CT5),'2024DATA'!$M$34,"")</f>
        <v/>
      </c>
      <c r="CU37" s="520" t="str">
        <f>IF(AND(_F="A-220-300",'2024'!$D$4="FO",'2024'!$D$2=CU5),'2024DATA'!$N$34,"")</f>
        <v/>
      </c>
    </row>
    <row r="38" spans="1:99" ht="15.75" thickBot="1" x14ac:dyDescent="0.3">
      <c r="A38" s="987"/>
      <c r="B38" s="64" t="s">
        <v>62</v>
      </c>
      <c r="C38" s="496">
        <v>220.61</v>
      </c>
      <c r="D38" s="497">
        <v>218.75</v>
      </c>
      <c r="E38" s="497">
        <v>216.69</v>
      </c>
      <c r="F38" s="497">
        <v>213.76</v>
      </c>
      <c r="G38" s="497">
        <v>211.51</v>
      </c>
      <c r="H38" s="497">
        <v>206.73</v>
      </c>
      <c r="I38" s="497">
        <v>201.16</v>
      </c>
      <c r="J38" s="497">
        <v>196.14</v>
      </c>
      <c r="K38" s="497">
        <v>191.61</v>
      </c>
      <c r="L38" s="497">
        <v>187.05</v>
      </c>
      <c r="M38" s="497">
        <v>159.82</v>
      </c>
      <c r="N38" s="498">
        <v>116.05</v>
      </c>
      <c r="P38" s="940" t="s">
        <v>52</v>
      </c>
      <c r="Q38" s="13" t="s">
        <v>61</v>
      </c>
      <c r="R38" s="518" t="str">
        <f>IF(AND(_A="A-220-100",'2024'!$D$4="CA",'2024'!$D$2=R5),'2024DATA'!$C$35,"")</f>
        <v/>
      </c>
      <c r="S38" s="518" t="str">
        <f>IF(AND(_A="A-220-100",'2024'!$D$4="CA",'2024'!$D$2=S5),'2024DATA'!$D$35,"")</f>
        <v/>
      </c>
      <c r="T38" s="518" t="str">
        <f>IF(AND(_A="A-220-100",'2024'!$D$4="CA",'2024'!$D$2=T5),'2024DATA'!$E$35,"")</f>
        <v/>
      </c>
      <c r="U38" s="518" t="str">
        <f>IF(AND(_A="A-220-100",'2024'!$D$4="CA",'2024'!$D$2=U5),'2024DATA'!$F$35,"")</f>
        <v/>
      </c>
      <c r="V38" s="518" t="str">
        <f>IF(AND(_A="A-220-100",'2024'!$D$4="CA",'2024'!$D$2=V5),'2024DATA'!$G$35,"")</f>
        <v/>
      </c>
      <c r="W38" s="518" t="str">
        <f>IF(AND(_A="A-220-100",'2024'!$D$4="CA",'2024'!$D$2=W5),'2024DATA'!$H$35,"")</f>
        <v/>
      </c>
      <c r="X38" s="518" t="str">
        <f>IF(AND(_A="A-220-100",'2024'!$D$4="CA",'2024'!$D$2=X5),'2024DATA'!$I$35,"")</f>
        <v/>
      </c>
      <c r="Y38" s="518" t="str">
        <f>IF(AND(_A="A-220-100",'2024'!$D$4="CA",'2024'!$D$2=Y5),'2024DATA'!$J$35,"")</f>
        <v/>
      </c>
      <c r="Z38" s="518" t="str">
        <f>IF(AND(_A="A-220-100",'2024'!$D$4="CA",'2024'!$D$2=Z5),'2024DATA'!$K$35,"")</f>
        <v/>
      </c>
      <c r="AA38" s="518" t="str">
        <f>IF(AND(_A="A-220-100",'2024'!$D$4="CA",'2024'!$D$2=AA5),'2024DATA'!$L$35,"")</f>
        <v/>
      </c>
      <c r="AB38" s="518" t="str">
        <f>IF(AND(_A="A-220-100",'2024'!$D$4="CA",'2024'!$D$2=AB5),'2024DATA'!$M$35,"")</f>
        <v/>
      </c>
      <c r="AC38" s="520" t="str">
        <f>IF(AND(_A="A-220-100",'2024'!$D$4="CA",'2024'!$D$2=AC5),'2024DATA'!$N$35,"")</f>
        <v/>
      </c>
      <c r="AD38" s="940" t="s">
        <v>52</v>
      </c>
      <c r="AE38" s="13" t="s">
        <v>61</v>
      </c>
      <c r="AF38" s="518" t="str">
        <f>IF(AND(_B="A-220-100",'2024'!$D$4="CA",'2024'!$D$2=AF5),'2024DATA'!$C$35,"")</f>
        <v/>
      </c>
      <c r="AG38" s="518" t="str">
        <f>IF(AND(_B="A-220-100",'2024'!$D$4="CA",'2024'!$D$2=AG5),'2024DATA'!$D$35,"")</f>
        <v/>
      </c>
      <c r="AH38" s="518" t="str">
        <f>IF(AND(_B="A-220-100",'2024'!$D$4="CA",'2024'!$D$2=AH5),'2024DATA'!$E$35,"")</f>
        <v/>
      </c>
      <c r="AI38" s="518" t="str">
        <f>IF(AND(_B="A-220-100",'2024'!$D$4="CA",'2024'!$D$2=AI5),'2024DATA'!$F$35,"")</f>
        <v/>
      </c>
      <c r="AJ38" s="518" t="str">
        <f>IF(AND(_B="A-220-100",'2024'!$D$4="CA",'2024'!$D$2=AJ5),'2024DATA'!$G$35,"")</f>
        <v/>
      </c>
      <c r="AK38" s="518" t="str">
        <f>IF(AND(_B="A-220-100",'2024'!$D$4="CA",'2024'!$D$2=AK5),'2024DATA'!$H$35,"")</f>
        <v/>
      </c>
      <c r="AL38" s="518" t="str">
        <f>IF(AND(_B="A-220-100",'2024'!$D$4="CA",'2024'!$D$2=AL5),'2024DATA'!$I$35,"")</f>
        <v/>
      </c>
      <c r="AM38" s="518" t="str">
        <f>IF(AND(_B="A-220-100",'2024'!$D$4="CA",'2024'!$D$2=AM5),'2024DATA'!$J$35,"")</f>
        <v/>
      </c>
      <c r="AN38" s="518" t="str">
        <f>IF(AND(_B="A-220-100",'2024'!$D$4="CA",'2024'!$D$2=AN5),'2024DATA'!$K$35,"")</f>
        <v/>
      </c>
      <c r="AO38" s="518" t="str">
        <f>IF(AND(_B="A-220-100",'2024'!$D$4="CA",'2024'!$D$2=AO5),'2024DATA'!$L$35,"")</f>
        <v/>
      </c>
      <c r="AP38" s="518" t="str">
        <f>IF(AND(_B="A-220-100",'2024'!$D$4="CA",'2024'!$D$2=AP5),'2024DATA'!$M$35,"")</f>
        <v/>
      </c>
      <c r="AQ38" s="520" t="str">
        <f>IF(AND(_B="A-220-100",'2024'!$D$4="CA",'2024'!$D$2=AQ5),'2024DATA'!$N$35,"")</f>
        <v/>
      </c>
      <c r="AR38" s="940" t="s">
        <v>52</v>
      </c>
      <c r="AS38" s="13" t="s">
        <v>61</v>
      </c>
      <c r="AT38" s="518" t="str">
        <f>IF(AND(_C="A-220-100",'2024'!$D$4="CA",'2024'!$D$2=AT5),'2024DATA'!$C$35,"")</f>
        <v/>
      </c>
      <c r="AU38" s="518" t="str">
        <f>IF(AND(_C="A-220-100",'2024'!$D$4="CA",'2024'!$D$2=AU5),'2024DATA'!$D$35,"")</f>
        <v/>
      </c>
      <c r="AV38" s="518" t="str">
        <f>IF(AND(_C="A-220-100",'2024'!$D$4="CA",'2024'!$D$2=AV5),'2024DATA'!$E$35,"")</f>
        <v/>
      </c>
      <c r="AW38" s="518" t="str">
        <f>IF(AND(_C="A-220-100",'2024'!$D$4="CA",'2024'!$D$2=AW5),'2024DATA'!$F$35,"")</f>
        <v/>
      </c>
      <c r="AX38" s="518" t="str">
        <f>IF(AND(_C="A-220-100",'2024'!$D$4="CA",'2024'!$D$2=AX5),'2024DATA'!$G$35,"")</f>
        <v/>
      </c>
      <c r="AY38" s="518" t="str">
        <f>IF(AND(_C="A-220-100",'2024'!$D$4="CA",'2024'!$D$2=AY5),'2024DATA'!$H$35,"")</f>
        <v/>
      </c>
      <c r="AZ38" s="518" t="str">
        <f>IF(AND(_C="A-220-100",'2024'!$D$4="CA",'2024'!$D$2=AZ5),'2024DATA'!$I$35,"")</f>
        <v/>
      </c>
      <c r="BA38" s="518" t="str">
        <f>IF(AND(_C="A-220-100",'2024'!$D$4="CA",'2024'!$D$2=BA5),'2024DATA'!$J$35,"")</f>
        <v/>
      </c>
      <c r="BB38" s="518" t="str">
        <f>IF(AND(_C="A-220-100",'2024'!$D$4="CA",'2024'!$D$2=BB5),'2024DATA'!$K$35,"")</f>
        <v/>
      </c>
      <c r="BC38" s="518" t="str">
        <f>IF(AND(_C="A-220-100",'2024'!$D$4="CA",'2024'!$D$2=BC5),'2024DATA'!$L$35,"")</f>
        <v/>
      </c>
      <c r="BD38" s="518" t="str">
        <f>IF(AND(_C="A-220-100",'2024'!$D$4="CA",'2024'!$D$2=BD5),'2024DATA'!$M$35,"")</f>
        <v/>
      </c>
      <c r="BE38" s="520" t="str">
        <f>IF(AND(_C="A-220-100",'2024'!$D$4="CA",'2024'!$D$2=BE5),'2024DATA'!$N$35,"")</f>
        <v/>
      </c>
      <c r="BF38" s="940" t="s">
        <v>52</v>
      </c>
      <c r="BG38" s="13" t="s">
        <v>61</v>
      </c>
      <c r="BH38" s="518" t="str">
        <f>IF(AND(_D="A-220-100",'2024'!$D$4="CA",'2024'!$D$2=BH5),'2024DATA'!$C$35,"")</f>
        <v/>
      </c>
      <c r="BI38" s="518" t="str">
        <f>IF(AND(_D="A-220-100",'2024'!$D$4="CA",'2024'!$D$2=BI5),'2024DATA'!$D$35,"")</f>
        <v/>
      </c>
      <c r="BJ38" s="518" t="str">
        <f>IF(AND(_D="A-220-100",'2024'!$D$4="CA",'2024'!$D$2=BJ5),'2024DATA'!$E$35,"")</f>
        <v/>
      </c>
      <c r="BK38" s="518" t="str">
        <f>IF(AND(_D="A-220-100",'2024'!$D$4="CA",'2024'!$D$2=BK5),'2024DATA'!$F$35,"")</f>
        <v/>
      </c>
      <c r="BL38" s="518" t="str">
        <f>IF(AND(_D="A-220-100",'2024'!$D$4="CA",'2024'!$D$2=BL5),'2024DATA'!$G$35,"")</f>
        <v/>
      </c>
      <c r="BM38" s="518" t="str">
        <f>IF(AND(_D="A-220-100",'2024'!$D$4="CA",'2024'!$D$2=BM5),'2024DATA'!$H$35,"")</f>
        <v/>
      </c>
      <c r="BN38" s="518" t="str">
        <f>IF(AND(_D="A-220-100",'2024'!$D$4="CA",'2024'!$D$2=BN5),'2024DATA'!$I$35,"")</f>
        <v/>
      </c>
      <c r="BO38" s="518" t="str">
        <f>IF(AND(_D="A-220-100",'2024'!$D$4="CA",'2024'!$D$2=BO5),'2024DATA'!$J$35,"")</f>
        <v/>
      </c>
      <c r="BP38" s="518" t="str">
        <f>IF(AND(_D="A-220-100",'2024'!$D$4="CA",'2024'!$D$2=BP5),'2024DATA'!$K$35,"")</f>
        <v/>
      </c>
      <c r="BQ38" s="518" t="str">
        <f>IF(AND(_D="A-220-100",'2024'!$D$4="CA",'2024'!$D$2=BQ5),'2024DATA'!$L$35,"")</f>
        <v/>
      </c>
      <c r="BR38" s="518" t="str">
        <f>IF(AND(_D="A-220-100",'2024'!$D$4="CA",'2024'!$D$2=BR5),'2024DATA'!$M$35,"")</f>
        <v/>
      </c>
      <c r="BS38" s="520" t="str">
        <f>IF(AND(_D="A-220-100",'2024'!$D$4="CA",'2024'!$D$2=BS5),'2024DATA'!$N$35,"")</f>
        <v/>
      </c>
      <c r="BT38" s="940" t="s">
        <v>52</v>
      </c>
      <c r="BU38" s="13" t="s">
        <v>61</v>
      </c>
      <c r="BV38" s="518" t="str">
        <f>IF(AND(_E="A-220-100",'2024'!$D$4="CA",'2024'!$D$2=BV5),'2024DATA'!$C$35,"")</f>
        <v/>
      </c>
      <c r="BW38" s="518" t="str">
        <f>IF(AND(_E="A-220-100",'2024'!$D$4="CA",'2024'!$D$2=BW5),'2024DATA'!$D$35,"")</f>
        <v/>
      </c>
      <c r="BX38" s="518" t="str">
        <f>IF(AND(_E="A-220-100",'2024'!$D$4="CA",'2024'!$D$2=BX5),'2024DATA'!$E$35,"")</f>
        <v/>
      </c>
      <c r="BY38" s="518" t="str">
        <f>IF(AND(_E="A-220-100",'2024'!$D$4="CA",'2024'!$D$2=BY5),'2024DATA'!$F$35,"")</f>
        <v/>
      </c>
      <c r="BZ38" s="518" t="str">
        <f>IF(AND(_E="A-220-100",'2024'!$D$4="CA",'2024'!$D$2=BZ5),'2024DATA'!$G$35,"")</f>
        <v/>
      </c>
      <c r="CA38" s="518" t="str">
        <f>IF(AND(_E="A-220-100",'2024'!$D$4="CA",'2024'!$D$2=CA5),'2024DATA'!$H$35,"")</f>
        <v/>
      </c>
      <c r="CB38" s="518" t="str">
        <f>IF(AND(_E="A-220-100",'2024'!$D$4="CA",'2024'!$D$2=CB5),'2024DATA'!$I$35,"")</f>
        <v/>
      </c>
      <c r="CC38" s="518" t="str">
        <f>IF(AND(_E="A-220-100",'2024'!$D$4="CA",'2024'!$D$2=CC5),'2024DATA'!$J$35,"")</f>
        <v/>
      </c>
      <c r="CD38" s="518" t="str">
        <f>IF(AND(_E="A-220-100",'2024'!$D$4="CA",'2024'!$D$2=CD5),'2024DATA'!$K$35,"")</f>
        <v/>
      </c>
      <c r="CE38" s="518" t="str">
        <f>IF(AND(_E="A-220-100",'2024'!$D$4="CA",'2024'!$D$2=CE5),'2024DATA'!$L$35,"")</f>
        <v/>
      </c>
      <c r="CF38" s="518" t="str">
        <f>IF(AND(_E="A-220-100",'2024'!$D$4="CA",'2024'!$D$2=CF5),'2024DATA'!$M$35,"")</f>
        <v/>
      </c>
      <c r="CG38" s="520" t="str">
        <f>IF(AND(_E="A-220-100",'2024'!$D$4="CA",'2024'!$D$2=CG5),'2024DATA'!$N$35,"")</f>
        <v/>
      </c>
      <c r="CH38" s="940" t="s">
        <v>52</v>
      </c>
      <c r="CI38" s="13" t="s">
        <v>61</v>
      </c>
      <c r="CJ38" s="518" t="str">
        <f>IF(AND(_F="A-220-100",'2024'!$D$4="CA",'2024'!$D$2=CJ5),'2024DATA'!$C$35,"")</f>
        <v/>
      </c>
      <c r="CK38" s="518" t="str">
        <f>IF(AND(_F="A-220-100",'2024'!$D$4="CA",'2024'!$D$2=CK5),'2024DATA'!$D$35,"")</f>
        <v/>
      </c>
      <c r="CL38" s="518" t="str">
        <f>IF(AND(_F="A-220-100",'2024'!$D$4="CA",'2024'!$D$2=CL5),'2024DATA'!$E$35,"")</f>
        <v/>
      </c>
      <c r="CM38" s="518" t="str">
        <f>IF(AND(_F="A-220-100",'2024'!$D$4="CA",'2024'!$D$2=CM5),'2024DATA'!$F$35,"")</f>
        <v/>
      </c>
      <c r="CN38" s="518" t="str">
        <f>IF(AND(_F="A-220-100",'2024'!$D$4="CA",'2024'!$D$2=CN5),'2024DATA'!$G$35,"")</f>
        <v/>
      </c>
      <c r="CO38" s="518" t="str">
        <f>IF(AND(_F="A-220-100",'2024'!$D$4="CA",'2024'!$D$2=CO5),'2024DATA'!$H$35,"")</f>
        <v/>
      </c>
      <c r="CP38" s="518" t="str">
        <f>IF(AND(_F="A-220-100",'2024'!$D$4="CA",'2024'!$D$2=CP5),'2024DATA'!$I$35,"")</f>
        <v/>
      </c>
      <c r="CQ38" s="518" t="str">
        <f>IF(AND(_F="A-220-100",'2024'!$D$4="CA",'2024'!$D$2=CQ5),'2024DATA'!$J$35,"")</f>
        <v/>
      </c>
      <c r="CR38" s="518" t="str">
        <f>IF(AND(_F="A-220-100",'2024'!$D$4="CA",'2024'!$D$2=CR5),'2024DATA'!$K$35,"")</f>
        <v/>
      </c>
      <c r="CS38" s="518" t="str">
        <f>IF(AND(_F="A-220-100",'2024'!$D$4="CA",'2024'!$D$2=CS5),'2024DATA'!$L$35,"")</f>
        <v/>
      </c>
      <c r="CT38" s="518" t="str">
        <f>IF(AND(_F="A-220-100",'2024'!$D$4="CA",'2024'!$D$2=CT5),'2024DATA'!$M$35,"")</f>
        <v/>
      </c>
      <c r="CU38" s="520" t="str">
        <f>IF(AND(_F="A-220-100",'2024'!$D$4="CA",'2024'!$D$2=CU5),'2024DATA'!$N$35,"")</f>
        <v/>
      </c>
    </row>
    <row r="39" spans="1:99" x14ac:dyDescent="0.25">
      <c r="P39" s="940"/>
      <c r="Q39" s="13" t="s">
        <v>62</v>
      </c>
      <c r="R39" s="518" t="str">
        <f>IF(AND(_A="A-220-100",'2024'!$D$4="FO",'2024'!$D$2=R5),'2024DATA'!$C$36,"")</f>
        <v/>
      </c>
      <c r="S39" s="518" t="str">
        <f>IF(AND(_A="A-220-100",'2024'!$D$4="FO",'2024'!$D$2=S5),'2024DATA'!$D$36,"")</f>
        <v/>
      </c>
      <c r="T39" s="518" t="str">
        <f>IF(AND(_A="A-220-100",'2024'!$D$4="FO",'2024'!$D$2=T5),'2024DATA'!$E$36,"")</f>
        <v/>
      </c>
      <c r="U39" s="518" t="str">
        <f>IF(AND(_A="A-220-100",'2024'!$D$4="FO",'2024'!$D$2=U5),'2024DATA'!$F$36,"")</f>
        <v/>
      </c>
      <c r="V39" s="518" t="str">
        <f>IF(AND(_A="A-220-100",'2024'!$D$4="FO",'2024'!$D$2=V5),'2024DATA'!$G$36,"")</f>
        <v/>
      </c>
      <c r="W39" s="518" t="str">
        <f>IF(AND(_A="A-220-100",'2024'!$D$4="FO",'2024'!$D$2=W5),'2024DATA'!$H$36,"")</f>
        <v/>
      </c>
      <c r="X39" s="518" t="str">
        <f>IF(AND(_A="A-220-100",'2024'!$D$4="FO",'2024'!$D$2=X5),'2024DATA'!$I$36,"")</f>
        <v/>
      </c>
      <c r="Y39" s="518" t="str">
        <f>IF(AND(_A="A-220-100",'2024'!$D$4="FO",'2024'!$D$2=Y5),'2024DATA'!$J$36,"")</f>
        <v/>
      </c>
      <c r="Z39" s="518" t="str">
        <f>IF(AND(_A="A-220-100",'2024'!$D$4="FO",'2024'!$D$2=Z5),'2024DATA'!$K$36,"")</f>
        <v/>
      </c>
      <c r="AA39" s="518" t="str">
        <f>IF(AND(_A="A-220-100",'2024'!$D$4="FO",'2024'!$D$2=AA5),'2024DATA'!$L$36,"")</f>
        <v/>
      </c>
      <c r="AB39" s="518" t="str">
        <f>IF(AND(_A="A-220-100",'2024'!$D$4="FO",'2024'!$D$2=AB5),'2024DATA'!$M$36,"")</f>
        <v/>
      </c>
      <c r="AC39" s="520" t="str">
        <f>IF(AND(_A="A-220-100",'2024'!$D$4="FO",'2024'!$D$2=AC5),'2024DATA'!$N$36,"")</f>
        <v/>
      </c>
      <c r="AD39" s="940"/>
      <c r="AE39" s="13" t="s">
        <v>62</v>
      </c>
      <c r="AF39" s="518" t="str">
        <f>IF(AND(_B="A-220-100",'2024'!$D$4="FO",'2024'!$D$2=AF5),'2024DATA'!$C$36,"")</f>
        <v/>
      </c>
      <c r="AG39" s="518" t="str">
        <f>IF(AND(_B="A-220-100",'2024'!$D$4="FO",'2024'!$D$2=AG5),'2024DATA'!$D$36,"")</f>
        <v/>
      </c>
      <c r="AH39" s="518" t="str">
        <f>IF(AND(_B="A-220-100",'2024'!$D$4="FO",'2024'!$D$2=AH5),'2024DATA'!$E$36,"")</f>
        <v/>
      </c>
      <c r="AI39" s="518" t="str">
        <f>IF(AND(_B="A-220-100",'2024'!$D$4="FO",'2024'!$D$2=AI5),'2024DATA'!$F$36,"")</f>
        <v/>
      </c>
      <c r="AJ39" s="518" t="str">
        <f>IF(AND(_B="A-220-100",'2024'!$D$4="FO",'2024'!$D$2=AJ5),'2024DATA'!$G$36,"")</f>
        <v/>
      </c>
      <c r="AK39" s="518" t="str">
        <f>IF(AND(_B="A-220-100",'2024'!$D$4="FO",'2024'!$D$2=AK5),'2024DATA'!$H$36,"")</f>
        <v/>
      </c>
      <c r="AL39" s="518" t="str">
        <f>IF(AND(_B="A-220-100",'2024'!$D$4="FO",'2024'!$D$2=AL5),'2024DATA'!$I$36,"")</f>
        <v/>
      </c>
      <c r="AM39" s="518" t="str">
        <f>IF(AND(_B="A-220-100",'2024'!$D$4="FO",'2024'!$D$2=AM5),'2024DATA'!$J$36,"")</f>
        <v/>
      </c>
      <c r="AN39" s="518" t="str">
        <f>IF(AND(_B="A-220-100",'2024'!$D$4="FO",'2024'!$D$2=AN5),'2024DATA'!$K$36,"")</f>
        <v/>
      </c>
      <c r="AO39" s="518" t="str">
        <f>IF(AND(_B="A-220-100",'2024'!$D$4="FO",'2024'!$D$2=AO5),'2024DATA'!$L$36,"")</f>
        <v/>
      </c>
      <c r="AP39" s="518" t="str">
        <f>IF(AND(_B="A-220-100",'2024'!$D$4="FO",'2024'!$D$2=AP5),'2024DATA'!$M$36,"")</f>
        <v/>
      </c>
      <c r="AQ39" s="520" t="str">
        <f>IF(AND(_B="A-220-100",'2024'!$D$4="FO",'2024'!$D$2=AQ5),'2024DATA'!$N$36,"")</f>
        <v/>
      </c>
      <c r="AR39" s="940"/>
      <c r="AS39" s="13" t="s">
        <v>62</v>
      </c>
      <c r="AT39" s="518" t="str">
        <f>IF(AND(_C="A-220-100",'2024'!$D$4="FO",'2024'!$D$2=AT5),'2024DATA'!$C$36,"")</f>
        <v/>
      </c>
      <c r="AU39" s="518" t="str">
        <f>IF(AND(_C="A-220-100",'2024'!$D$4="FO",'2024'!$D$2=AU5),'2024DATA'!$D$36,"")</f>
        <v/>
      </c>
      <c r="AV39" s="518" t="str">
        <f>IF(AND(_C="A-220-100",'2024'!$D$4="FO",'2024'!$D$2=AV5),'2024DATA'!$E$36,"")</f>
        <v/>
      </c>
      <c r="AW39" s="518" t="str">
        <f>IF(AND(_C="A-220-100",'2024'!$D$4="FO",'2024'!$D$2=AW5),'2024DATA'!$F$36,"")</f>
        <v/>
      </c>
      <c r="AX39" s="518" t="str">
        <f>IF(AND(_C="A-220-100",'2024'!$D$4="FO",'2024'!$D$2=AX5),'2024DATA'!$G$36,"")</f>
        <v/>
      </c>
      <c r="AY39" s="518" t="str">
        <f>IF(AND(_C="A-220-100",'2024'!$D$4="FO",'2024'!$D$2=AY5),'2024DATA'!$H$36,"")</f>
        <v/>
      </c>
      <c r="AZ39" s="518" t="str">
        <f>IF(AND(_C="A-220-100",'2024'!$D$4="FO",'2024'!$D$2=AZ5),'2024DATA'!$I$36,"")</f>
        <v/>
      </c>
      <c r="BA39" s="518" t="str">
        <f>IF(AND(_C="A-220-100",'2024'!$D$4="FO",'2024'!$D$2=BA5),'2024DATA'!$J$36,"")</f>
        <v/>
      </c>
      <c r="BB39" s="518" t="str">
        <f>IF(AND(_C="A-220-100",'2024'!$D$4="FO",'2024'!$D$2=BB5),'2024DATA'!$K$36,"")</f>
        <v/>
      </c>
      <c r="BC39" s="518" t="str">
        <f>IF(AND(_C="A-220-100",'2024'!$D$4="FO",'2024'!$D$2=BC5),'2024DATA'!$L$36,"")</f>
        <v/>
      </c>
      <c r="BD39" s="518" t="str">
        <f>IF(AND(_C="A-220-100",'2024'!$D$4="FO",'2024'!$D$2=BD5),'2024DATA'!$M$36,"")</f>
        <v/>
      </c>
      <c r="BE39" s="520" t="str">
        <f>IF(AND(_C="A-220-100",'2024'!$D$4="FO",'2024'!$D$2=BE5),'2024DATA'!$N$36,"")</f>
        <v/>
      </c>
      <c r="BF39" s="940"/>
      <c r="BG39" s="13" t="s">
        <v>62</v>
      </c>
      <c r="BH39" s="518" t="str">
        <f>IF(AND(_D="A-220-100",'2024'!$D$4="FO",'2024'!$D$2=BH5),'2024DATA'!$C$36,"")</f>
        <v/>
      </c>
      <c r="BI39" s="518" t="str">
        <f>IF(AND(_D="A-220-100",'2024'!$D$4="FO",'2024'!$D$2=BI5),'2024DATA'!$D$36,"")</f>
        <v/>
      </c>
      <c r="BJ39" s="518" t="str">
        <f>IF(AND(_D="A-220-100",'2024'!$D$4="FO",'2024'!$D$2=BJ5),'2024DATA'!$E$36,"")</f>
        <v/>
      </c>
      <c r="BK39" s="518" t="str">
        <f>IF(AND(_D="A-220-100",'2024'!$D$4="FO",'2024'!$D$2=BK5),'2024DATA'!$F$36,"")</f>
        <v/>
      </c>
      <c r="BL39" s="518" t="str">
        <f>IF(AND(_D="A-220-100",'2024'!$D$4="FO",'2024'!$D$2=BL5),'2024DATA'!$G$36,"")</f>
        <v/>
      </c>
      <c r="BM39" s="518" t="str">
        <f>IF(AND(_D="A-220-100",'2024'!$D$4="FO",'2024'!$D$2=BM5),'2024DATA'!$H$36,"")</f>
        <v/>
      </c>
      <c r="BN39" s="518" t="str">
        <f>IF(AND(_D="A-220-100",'2024'!$D$4="FO",'2024'!$D$2=BN5),'2024DATA'!$I$36,"")</f>
        <v/>
      </c>
      <c r="BO39" s="518" t="str">
        <f>IF(AND(_D="A-220-100",'2024'!$D$4="FO",'2024'!$D$2=BO5),'2024DATA'!$J$36,"")</f>
        <v/>
      </c>
      <c r="BP39" s="518" t="str">
        <f>IF(AND(_D="A-220-100",'2024'!$D$4="FO",'2024'!$D$2=BP5),'2024DATA'!$K$36,"")</f>
        <v/>
      </c>
      <c r="BQ39" s="518" t="str">
        <f>IF(AND(_D="A-220-100",'2024'!$D$4="FO",'2024'!$D$2=BQ5),'2024DATA'!$L$36,"")</f>
        <v/>
      </c>
      <c r="BR39" s="518" t="str">
        <f>IF(AND(_D="A-220-100",'2024'!$D$4="FO",'2024'!$D$2=BR5),'2024DATA'!$M$36,"")</f>
        <v/>
      </c>
      <c r="BS39" s="520" t="str">
        <f>IF(AND(_D="A-220-100",'2024'!$D$4="FO",'2024'!$D$2=BS5),'2024DATA'!$N$36,"")</f>
        <v/>
      </c>
      <c r="BT39" s="940"/>
      <c r="BU39" s="13" t="s">
        <v>62</v>
      </c>
      <c r="BV39" s="518" t="str">
        <f>IF(AND(_E="A-220-100",'2024'!$D$4="FO",'2024'!$D$2=BV5),'2024DATA'!$C$36,"")</f>
        <v/>
      </c>
      <c r="BW39" s="518" t="str">
        <f>IF(AND(_E="A-220-100",'2024'!$D$4="FO",'2024'!$D$2=BW5),'2024DATA'!$D$36,"")</f>
        <v/>
      </c>
      <c r="BX39" s="518" t="str">
        <f>IF(AND(_E="A-220-100",'2024'!$D$4="FO",'2024'!$D$2=BX5),'2024DATA'!$E$36,"")</f>
        <v/>
      </c>
      <c r="BY39" s="518" t="str">
        <f>IF(AND(_E="A-220-100",'2024'!$D$4="FO",'2024'!$D$2=BY5),'2024DATA'!$F$36,"")</f>
        <v/>
      </c>
      <c r="BZ39" s="518" t="str">
        <f>IF(AND(_E="A-220-100",'2024'!$D$4="FO",'2024'!$D$2=BZ5),'2024DATA'!$G$36,"")</f>
        <v/>
      </c>
      <c r="CA39" s="518" t="str">
        <f>IF(AND(_E="A-220-100",'2024'!$D$4="FO",'2024'!$D$2=CA5),'2024DATA'!$H$36,"")</f>
        <v/>
      </c>
      <c r="CB39" s="518" t="str">
        <f>IF(AND(_E="A-220-100",'2024'!$D$4="FO",'2024'!$D$2=CB5),'2024DATA'!$I$36,"")</f>
        <v/>
      </c>
      <c r="CC39" s="518" t="str">
        <f>IF(AND(_E="A-220-100",'2024'!$D$4="FO",'2024'!$D$2=CC5),'2024DATA'!$J$36,"")</f>
        <v/>
      </c>
      <c r="CD39" s="518" t="str">
        <f>IF(AND(_E="A-220-100",'2024'!$D$4="FO",'2024'!$D$2=CD5),'2024DATA'!$K$36,"")</f>
        <v/>
      </c>
      <c r="CE39" s="518" t="str">
        <f>IF(AND(_E="A-220-100",'2024'!$D$4="FO",'2024'!$D$2=CE5),'2024DATA'!$L$36,"")</f>
        <v/>
      </c>
      <c r="CF39" s="518" t="str">
        <f>IF(AND(_E="A-220-100",'2024'!$D$4="FO",'2024'!$D$2=CF5),'2024DATA'!$M$36,"")</f>
        <v/>
      </c>
      <c r="CG39" s="520" t="str">
        <f>IF(AND(_E="A-220-100",'2024'!$D$4="FO",'2024'!$D$2=CG5),'2024DATA'!$N$36,"")</f>
        <v/>
      </c>
      <c r="CH39" s="940"/>
      <c r="CI39" s="13" t="s">
        <v>62</v>
      </c>
      <c r="CJ39" s="518" t="str">
        <f>IF(AND(_F="A-220-100",'2024'!$D$4="FO",'2024'!$D$2=CJ5),'2024DATA'!$C$36,"")</f>
        <v/>
      </c>
      <c r="CK39" s="518" t="str">
        <f>IF(AND(_F="A-220-100",'2024'!$D$4="FO",'2024'!$D$2=CK5),'2024DATA'!$D$36,"")</f>
        <v/>
      </c>
      <c r="CL39" s="518" t="str">
        <f>IF(AND(_F="A-220-100",'2024'!$D$4="FO",'2024'!$D$2=CL5),'2024DATA'!$E$36,"")</f>
        <v/>
      </c>
      <c r="CM39" s="518" t="str">
        <f>IF(AND(_F="A-220-100",'2024'!$D$4="FO",'2024'!$D$2=CM5),'2024DATA'!$F$36,"")</f>
        <v/>
      </c>
      <c r="CN39" s="518" t="str">
        <f>IF(AND(_F="A-220-100",'2024'!$D$4="FO",'2024'!$D$2=CN5),'2024DATA'!$G$36,"")</f>
        <v/>
      </c>
      <c r="CO39" s="518" t="str">
        <f>IF(AND(_F="A-220-100",'2024'!$D$4="FO",'2024'!$D$2=CO5),'2024DATA'!$H$36,"")</f>
        <v/>
      </c>
      <c r="CP39" s="518" t="str">
        <f>IF(AND(_F="A-220-100",'2024'!$D$4="FO",'2024'!$D$2=CP5),'2024DATA'!$I$36,"")</f>
        <v/>
      </c>
      <c r="CQ39" s="518" t="str">
        <f>IF(AND(_F="A-220-100",'2024'!$D$4="FO",'2024'!$D$2=CQ5),'2024DATA'!$J$36,"")</f>
        <v/>
      </c>
      <c r="CR39" s="518" t="str">
        <f>IF(AND(_F="A-220-100",'2024'!$D$4="FO",'2024'!$D$2=CR5),'2024DATA'!$K$36,"")</f>
        <v/>
      </c>
      <c r="CS39" s="518" t="str">
        <f>IF(AND(_F="A-220-100",'2024'!$D$4="FO",'2024'!$D$2=CS5),'2024DATA'!$L$36,"")</f>
        <v/>
      </c>
      <c r="CT39" s="518" t="str">
        <f>IF(AND(_F="A-220-100",'2024'!$D$4="FO",'2024'!$D$2=CT5),'2024DATA'!$M$36,"")</f>
        <v/>
      </c>
      <c r="CU39" s="520" t="str">
        <f>IF(AND(_F="A-220-100",'2024'!$D$4="FO",'2024'!$D$2=CU5),'2024DATA'!$N$36,"")</f>
        <v/>
      </c>
    </row>
    <row r="40" spans="1:99" x14ac:dyDescent="0.25">
      <c r="P40" s="940" t="s">
        <v>53</v>
      </c>
      <c r="Q40" s="13" t="s">
        <v>61</v>
      </c>
      <c r="R40" s="518" t="str">
        <f>IF(AND(_A="B-717",'2024'!$D$4="CA",'2024'!$D$2=R5),'2024DATA'!$C$37,"")</f>
        <v/>
      </c>
      <c r="S40" s="518" t="str">
        <f>IF(AND(_A="B-717",'2024'!$D$4="CA",'2024'!$D$2=S5),'2024DATA'!$D$37,"")</f>
        <v/>
      </c>
      <c r="T40" s="518" t="str">
        <f>IF(AND(_A="B-717",'2024'!$D$4="CA",'2024'!$D$2=T5),'2024DATA'!$E$37,"")</f>
        <v/>
      </c>
      <c r="U40" s="518" t="str">
        <f>IF(AND(_A="B-717",'2024'!$D$4="CA",'2024'!$D$2=U5),'2024DATA'!$F$37,"")</f>
        <v/>
      </c>
      <c r="V40" s="518" t="str">
        <f>IF(AND(_A="B-717",'2024'!$D$4="CA",'2024'!$D$2=V5),'2024DATA'!$G$37,"")</f>
        <v/>
      </c>
      <c r="W40" s="518" t="str">
        <f>IF(AND(_A="B-717",'2024'!$D$4="CA",'2024'!$D$2=W5),'2024DATA'!$H$37,"")</f>
        <v/>
      </c>
      <c r="X40" s="518" t="str">
        <f>IF(AND(_A="B-717",'2024'!$D$4="CA",'2024'!$D$2=X5),'2024DATA'!$I$37,"")</f>
        <v/>
      </c>
      <c r="Y40" s="518" t="str">
        <f>IF(AND(_A="B-717",'2024'!$D$4="CA",'2024'!$D$2=Y5),'2024DATA'!$J$37,"")</f>
        <v/>
      </c>
      <c r="Z40" s="518" t="str">
        <f>IF(AND(_A="B-717",'2024'!$D$4="CA",'2024'!$D$2=Z5),'2024DATA'!$K$37,"")</f>
        <v/>
      </c>
      <c r="AA40" s="518" t="str">
        <f>IF(AND(_A="B-717",'2024'!$D$4="CA",'2024'!$D$2=AA5),'2024DATA'!$L$37,"")</f>
        <v/>
      </c>
      <c r="AB40" s="518" t="str">
        <f>IF(AND(_A="B-717",'2024'!$D$4="CA",'2024'!$D$2=AB5),'2024DATA'!$M$37,"")</f>
        <v/>
      </c>
      <c r="AC40" s="520" t="str">
        <f>IF(AND(_A="B-717",'2024'!$D$4="CA",'2024'!$D$2=AC5),'2024DATA'!$N$37,"")</f>
        <v/>
      </c>
      <c r="AD40" s="940" t="s">
        <v>53</v>
      </c>
      <c r="AE40" s="13" t="s">
        <v>61</v>
      </c>
      <c r="AF40" s="518" t="str">
        <f>IF(AND(_B="B-717",'2024'!$D$4="CA",'2024'!$D$2=AF5),'2024DATA'!$C$37,"")</f>
        <v/>
      </c>
      <c r="AG40" s="518" t="str">
        <f>IF(AND(_B="B-717",'2024'!$D$4="CA",'2024'!$D$2=AG5),'2024DATA'!$D$37,"")</f>
        <v/>
      </c>
      <c r="AH40" s="518" t="str">
        <f>IF(AND(_B="B-717",'2024'!$D$4="CA",'2024'!$D$2=AH5),'2024DATA'!$E$37,"")</f>
        <v/>
      </c>
      <c r="AI40" s="518" t="str">
        <f>IF(AND(_B="B-717",'2024'!$D$4="CA",'2024'!$D$2=AI5),'2024DATA'!$F$37,"")</f>
        <v/>
      </c>
      <c r="AJ40" s="518" t="str">
        <f>IF(AND(_B="B-717",'2024'!$D$4="CA",'2024'!$D$2=AJ5),'2024DATA'!$G$37,"")</f>
        <v/>
      </c>
      <c r="AK40" s="518" t="str">
        <f>IF(AND(_B="B-717",'2024'!$D$4="CA",'2024'!$D$2=AK5),'2024DATA'!$H$37,"")</f>
        <v/>
      </c>
      <c r="AL40" s="518" t="str">
        <f>IF(AND(_B="B-717",'2024'!$D$4="CA",'2024'!$D$2=AL5),'2024DATA'!$I$37,"")</f>
        <v/>
      </c>
      <c r="AM40" s="518" t="str">
        <f>IF(AND(_B="B-717",'2024'!$D$4="CA",'2024'!$D$2=AM5),'2024DATA'!$J$37,"")</f>
        <v/>
      </c>
      <c r="AN40" s="518" t="str">
        <f>IF(AND(_B="B-717",'2024'!$D$4="CA",'2024'!$D$2=AN5),'2024DATA'!$K$37,"")</f>
        <v/>
      </c>
      <c r="AO40" s="518" t="str">
        <f>IF(AND(_B="B-717",'2024'!$D$4="CA",'2024'!$D$2=AO5),'2024DATA'!$L$37,"")</f>
        <v/>
      </c>
      <c r="AP40" s="518" t="str">
        <f>IF(AND(_B="B-717",'2024'!$D$4="CA",'2024'!$D$2=AP5),'2024DATA'!$M$37,"")</f>
        <v/>
      </c>
      <c r="AQ40" s="520" t="str">
        <f>IF(AND(_B="B-717",'2024'!$D$4="CA",'2024'!$D$2=AQ5),'2024DATA'!$N$37,"")</f>
        <v/>
      </c>
      <c r="AR40" s="940" t="s">
        <v>53</v>
      </c>
      <c r="AS40" s="13" t="s">
        <v>61</v>
      </c>
      <c r="AT40" s="518" t="str">
        <f>IF(AND(_C="B-717",'2024'!$D$4="CA",'2024'!$D$2=AT5),'2024DATA'!$C$37,"")</f>
        <v/>
      </c>
      <c r="AU40" s="518" t="str">
        <f>IF(AND(_C="B-717",'2024'!$D$4="CA",'2024'!$D$2=AU5),'2024DATA'!$D$37,"")</f>
        <v/>
      </c>
      <c r="AV40" s="518" t="str">
        <f>IF(AND(_C="B-717",'2024'!$D$4="CA",'2024'!$D$2=AV5),'2024DATA'!$E$37,"")</f>
        <v/>
      </c>
      <c r="AW40" s="518" t="str">
        <f>IF(AND(_C="B-717",'2024'!$D$4="CA",'2024'!$D$2=AW5),'2024DATA'!$F$37,"")</f>
        <v/>
      </c>
      <c r="AX40" s="518" t="str">
        <f>IF(AND(_C="B-717",'2024'!$D$4="CA",'2024'!$D$2=AX5),'2024DATA'!$G$37,"")</f>
        <v/>
      </c>
      <c r="AY40" s="518" t="str">
        <f>IF(AND(_C="B-717",'2024'!$D$4="CA",'2024'!$D$2=AY5),'2024DATA'!$H$37,"")</f>
        <v/>
      </c>
      <c r="AZ40" s="518" t="str">
        <f>IF(AND(_C="B-717",'2024'!$D$4="CA",'2024'!$D$2=AZ5),'2024DATA'!$I$37,"")</f>
        <v/>
      </c>
      <c r="BA40" s="518" t="str">
        <f>IF(AND(_C="B-717",'2024'!$D$4="CA",'2024'!$D$2=BA5),'2024DATA'!$J$37,"")</f>
        <v/>
      </c>
      <c r="BB40" s="518" t="str">
        <f>IF(AND(_C="B-717",'2024'!$D$4="CA",'2024'!$D$2=BB5),'2024DATA'!$K$37,"")</f>
        <v/>
      </c>
      <c r="BC40" s="518" t="str">
        <f>IF(AND(_C="B-717",'2024'!$D$4="CA",'2024'!$D$2=BC5),'2024DATA'!$L$37,"")</f>
        <v/>
      </c>
      <c r="BD40" s="518" t="str">
        <f>IF(AND(_C="B-717",'2024'!$D$4="CA",'2024'!$D$2=BD5),'2024DATA'!$M$37,"")</f>
        <v/>
      </c>
      <c r="BE40" s="520" t="str">
        <f>IF(AND(_C="B-717",'2024'!$D$4="CA",'2024'!$D$2=BE5),'2024DATA'!$N$37,"")</f>
        <v/>
      </c>
      <c r="BF40" s="940" t="s">
        <v>53</v>
      </c>
      <c r="BG40" s="13" t="s">
        <v>61</v>
      </c>
      <c r="BH40" s="518" t="str">
        <f>IF(AND(_D="B-717",'2024'!$D$4="CA",'2024'!$D$2=BH5),'2024DATA'!$C$37,"")</f>
        <v/>
      </c>
      <c r="BI40" s="518" t="str">
        <f>IF(AND(_D="B-717",'2024'!$D$4="CA",'2024'!$D$2=BI5),'2024DATA'!$D$37,"")</f>
        <v/>
      </c>
      <c r="BJ40" s="518" t="str">
        <f>IF(AND(_D="B-717",'2024'!$D$4="CA",'2024'!$D$2=BJ5),'2024DATA'!$E$37,"")</f>
        <v/>
      </c>
      <c r="BK40" s="518" t="str">
        <f>IF(AND(_D="B-717",'2024'!$D$4="CA",'2024'!$D$2=BK5),'2024DATA'!$F$37,"")</f>
        <v/>
      </c>
      <c r="BL40" s="518" t="str">
        <f>IF(AND(_D="B-717",'2024'!$D$4="CA",'2024'!$D$2=BL5),'2024DATA'!$G$37,"")</f>
        <v/>
      </c>
      <c r="BM40" s="518" t="str">
        <f>IF(AND(_D="B-717",'2024'!$D$4="CA",'2024'!$D$2=BM5),'2024DATA'!$H$37,"")</f>
        <v/>
      </c>
      <c r="BN40" s="518" t="str">
        <f>IF(AND(_D="B-717",'2024'!$D$4="CA",'2024'!$D$2=BN5),'2024DATA'!$I$37,"")</f>
        <v/>
      </c>
      <c r="BO40" s="518" t="str">
        <f>IF(AND(_D="B-717",'2024'!$D$4="CA",'2024'!$D$2=BO5),'2024DATA'!$J$37,"")</f>
        <v/>
      </c>
      <c r="BP40" s="518" t="str">
        <f>IF(AND(_D="B-717",'2024'!$D$4="CA",'2024'!$D$2=BP5),'2024DATA'!$K$37,"")</f>
        <v/>
      </c>
      <c r="BQ40" s="518" t="str">
        <f>IF(AND(_D="B-717",'2024'!$D$4="CA",'2024'!$D$2=BQ5),'2024DATA'!$L$37,"")</f>
        <v/>
      </c>
      <c r="BR40" s="518" t="str">
        <f>IF(AND(_D="B-717",'2024'!$D$4="CA",'2024'!$D$2=BR5),'2024DATA'!$M$37,"")</f>
        <v/>
      </c>
      <c r="BS40" s="520" t="str">
        <f>IF(AND(_D="B-717",'2024'!$D$4="CA",'2024'!$D$2=BS5),'2024DATA'!$N$37,"")</f>
        <v/>
      </c>
      <c r="BT40" s="940" t="s">
        <v>53</v>
      </c>
      <c r="BU40" s="13" t="s">
        <v>61</v>
      </c>
      <c r="BV40" s="518" t="str">
        <f>IF(AND(_E="B-717",'2024'!$D$4="CA",'2024'!$D$2=BV5),'2024DATA'!$C$37,"")</f>
        <v/>
      </c>
      <c r="BW40" s="518" t="str">
        <f>IF(AND(_E="B-717",'2024'!$D$4="CA",'2024'!$D$2=BW5),'2024DATA'!$D$37,"")</f>
        <v/>
      </c>
      <c r="BX40" s="518" t="str">
        <f>IF(AND(_E="B-717",'2024'!$D$4="CA",'2024'!$D$2=BX5),'2024DATA'!$E$37,"")</f>
        <v/>
      </c>
      <c r="BY40" s="518" t="str">
        <f>IF(AND(_E="B-717",'2024'!$D$4="CA",'2024'!$D$2=BY5),'2024DATA'!$F$37,"")</f>
        <v/>
      </c>
      <c r="BZ40" s="518" t="str">
        <f>IF(AND(_E="B-717",'2024'!$D$4="CA",'2024'!$D$2=BZ5),'2024DATA'!$G$37,"")</f>
        <v/>
      </c>
      <c r="CA40" s="518" t="str">
        <f>IF(AND(_E="B-717",'2024'!$D$4="CA",'2024'!$D$2=CA5),'2024DATA'!$H$37,"")</f>
        <v/>
      </c>
      <c r="CB40" s="518" t="str">
        <f>IF(AND(_E="B-717",'2024'!$D$4="CA",'2024'!$D$2=CB5),'2024DATA'!$I$37,"")</f>
        <v/>
      </c>
      <c r="CC40" s="518" t="str">
        <f>IF(AND(_E="B-717",'2024'!$D$4="CA",'2024'!$D$2=CC5),'2024DATA'!$J$37,"")</f>
        <v/>
      </c>
      <c r="CD40" s="518" t="str">
        <f>IF(AND(_E="B-717",'2024'!$D$4="CA",'2024'!$D$2=CD5),'2024DATA'!$K$37,"")</f>
        <v/>
      </c>
      <c r="CE40" s="518" t="str">
        <f>IF(AND(_E="B-717",'2024'!$D$4="CA",'2024'!$D$2=CE5),'2024DATA'!$L$37,"")</f>
        <v/>
      </c>
      <c r="CF40" s="518" t="str">
        <f>IF(AND(_E="B-717",'2024'!$D$4="CA",'2024'!$D$2=CF5),'2024DATA'!$M$37,"")</f>
        <v/>
      </c>
      <c r="CG40" s="520" t="str">
        <f>IF(AND(_E="B-717",'2024'!$D$4="CA",'2024'!$D$2=CG5),'2024DATA'!$N$37,"")</f>
        <v/>
      </c>
      <c r="CH40" s="940" t="s">
        <v>53</v>
      </c>
      <c r="CI40" s="13" t="s">
        <v>61</v>
      </c>
      <c r="CJ40" s="518" t="str">
        <f>IF(AND(_F="B-717",'2024'!$D$4="CA",'2024'!$D$2=CJ5),'2024DATA'!$C$37,"")</f>
        <v/>
      </c>
      <c r="CK40" s="518" t="str">
        <f>IF(AND(_F="B-717",'2024'!$D$4="CA",'2024'!$D$2=CK5),'2024DATA'!$D$37,"")</f>
        <v/>
      </c>
      <c r="CL40" s="518" t="str">
        <f>IF(AND(_F="B-717",'2024'!$D$4="CA",'2024'!$D$2=CL5),'2024DATA'!$E$37,"")</f>
        <v/>
      </c>
      <c r="CM40" s="518" t="str">
        <f>IF(AND(_F="B-717",'2024'!$D$4="CA",'2024'!$D$2=CM5),'2024DATA'!$F$37,"")</f>
        <v/>
      </c>
      <c r="CN40" s="518" t="str">
        <f>IF(AND(_F="B-717",'2024'!$D$4="CA",'2024'!$D$2=CN5),'2024DATA'!$G$37,"")</f>
        <v/>
      </c>
      <c r="CO40" s="518" t="str">
        <f>IF(AND(_F="B-717",'2024'!$D$4="CA",'2024'!$D$2=CO5),'2024DATA'!$H$37,"")</f>
        <v/>
      </c>
      <c r="CP40" s="518" t="str">
        <f>IF(AND(_F="B-717",'2024'!$D$4="CA",'2024'!$D$2=CP5),'2024DATA'!$I$37,"")</f>
        <v/>
      </c>
      <c r="CQ40" s="518" t="str">
        <f>IF(AND(_F="B-717",'2024'!$D$4="CA",'2024'!$D$2=CQ5),'2024DATA'!$J$37,"")</f>
        <v/>
      </c>
      <c r="CR40" s="518" t="str">
        <f>IF(AND(_F="B-717",'2024'!$D$4="CA",'2024'!$D$2=CR5),'2024DATA'!$K$37,"")</f>
        <v/>
      </c>
      <c r="CS40" s="518" t="str">
        <f>IF(AND(_F="B-717",'2024'!$D$4="CA",'2024'!$D$2=CS5),'2024DATA'!$L$37,"")</f>
        <v/>
      </c>
      <c r="CT40" s="518" t="str">
        <f>IF(AND(_F="B-717",'2024'!$D$4="CA",'2024'!$D$2=CT5),'2024DATA'!$M$37,"")</f>
        <v/>
      </c>
      <c r="CU40" s="520" t="str">
        <f>IF(AND(_F="B-717",'2024'!$D$4="CA",'2024'!$D$2=CU5),'2024DATA'!$N$37,"")</f>
        <v/>
      </c>
    </row>
    <row r="41" spans="1:99" ht="15.75" thickBot="1" x14ac:dyDescent="0.3">
      <c r="P41" s="941"/>
      <c r="Q41" s="521" t="s">
        <v>62</v>
      </c>
      <c r="R41" s="522" t="str">
        <f>IF(AND(_A="B-717",'2024'!$D$4="FO",'2024'!$D$2=R5),'2024DATA'!$C$38,"")</f>
        <v/>
      </c>
      <c r="S41" s="522" t="str">
        <f>IF(AND(_A="B-717",'2024'!$D$4="FO",'2024'!$D$2=S5),'2024DATA'!$D$38,"")</f>
        <v/>
      </c>
      <c r="T41" s="522" t="str">
        <f>IF(AND(_A="B-717",'2024'!$D$4="FO",'2024'!$D$2=T5),'2024DATA'!$E$38,"")</f>
        <v/>
      </c>
      <c r="U41" s="522" t="str">
        <f>IF(AND(_A="B-717",'2024'!$D$4="FO",'2024'!$D$2=U5),'2024DATA'!$F$38,"")</f>
        <v/>
      </c>
      <c r="V41" s="522" t="str">
        <f>IF(AND(_A="B-717",'2024'!$D$4="FO",'2024'!$D$2=V5),'2024DATA'!$G$38,"")</f>
        <v/>
      </c>
      <c r="W41" s="522" t="str">
        <f>IF(AND(_A="B-717",'2024'!$D$4="FO",'2024'!$D$2=W5),'2024DATA'!$H$38,"")</f>
        <v/>
      </c>
      <c r="X41" s="522" t="str">
        <f>IF(AND(_A="B-717",'2024'!$D$4="FO",'2024'!$D$2=X5),'2024DATA'!$I$38,"")</f>
        <v/>
      </c>
      <c r="Y41" s="522" t="str">
        <f>IF(AND(_A="B-717",'2024'!$D$4="FO",'2024'!$D$2=Y5),'2024DATA'!$J$38,"")</f>
        <v/>
      </c>
      <c r="Z41" s="522" t="str">
        <f>IF(AND(_A="B-717",'2024'!$D$4="FO",'2024'!$D$2=Z5),'2024DATA'!$K$38,"")</f>
        <v/>
      </c>
      <c r="AA41" s="522" t="str">
        <f>IF(AND(_A="B-717",'2024'!$D$4="FO",'2024'!$D$2=AA5),'2024DATA'!$L$38,"")</f>
        <v/>
      </c>
      <c r="AB41" s="522" t="str">
        <f>IF(AND(_A="B-717",'2024'!$D$4="FO",'2024'!$D$2=AB5),'2024DATA'!$M$38,"")</f>
        <v/>
      </c>
      <c r="AC41" s="523" t="str">
        <f>IF(AND(_A="B-717",'2024'!$D$4="FO",'2024'!$D$2=AC5),'2024DATA'!$N$38,"")</f>
        <v/>
      </c>
      <c r="AD41" s="940"/>
      <c r="AE41" s="13" t="s">
        <v>62</v>
      </c>
      <c r="AF41" s="518" t="str">
        <f>IF(AND(_B="B-717",'2024'!$D$4="FO",'2024'!$D$2=AF5),'2024DATA'!$C$38,"")</f>
        <v/>
      </c>
      <c r="AG41" s="518" t="str">
        <f>IF(AND(_B="B-717",'2024'!$D$4="FO",'2024'!$D$2=AG5),'2024DATA'!$D$38,"")</f>
        <v/>
      </c>
      <c r="AH41" s="518" t="str">
        <f>IF(AND(_B="B-717",'2024'!$D$4="FO",'2024'!$D$2=AH5),'2024DATA'!$E$38,"")</f>
        <v/>
      </c>
      <c r="AI41" s="518" t="str">
        <f>IF(AND(_B="B-717",'2024'!$D$4="FO",'2024'!$D$2=AI5),'2024DATA'!$F$38,"")</f>
        <v/>
      </c>
      <c r="AJ41" s="518" t="str">
        <f>IF(AND(_B="B-717",'2024'!$D$4="FO",'2024'!$D$2=AJ5),'2024DATA'!$G$38,"")</f>
        <v/>
      </c>
      <c r="AK41" s="518" t="str">
        <f>IF(AND(_B="B-717",'2024'!$D$4="FO",'2024'!$D$2=AK5),'2024DATA'!$H$38,"")</f>
        <v/>
      </c>
      <c r="AL41" s="518" t="str">
        <f>IF(AND(_B="B-717",'2024'!$D$4="FO",'2024'!$D$2=AL5),'2024DATA'!$I$38,"")</f>
        <v/>
      </c>
      <c r="AM41" s="518" t="str">
        <f>IF(AND(_B="B-717",'2024'!$D$4="FO",'2024'!$D$2=AM5),'2024DATA'!$J$38,"")</f>
        <v/>
      </c>
      <c r="AN41" s="518" t="str">
        <f>IF(AND(_B="B-717",'2024'!$D$4="FO",'2024'!$D$2=AN5),'2024DATA'!$K$38,"")</f>
        <v/>
      </c>
      <c r="AO41" s="518" t="str">
        <f>IF(AND(_B="B-717",'2024'!$D$4="FO",'2024'!$D$2=AO5),'2024DATA'!$L$38,"")</f>
        <v/>
      </c>
      <c r="AP41" s="518" t="str">
        <f>IF(AND(_B="B-717",'2024'!$D$4="FO",'2024'!$D$2=AP5),'2024DATA'!$M$38,"")</f>
        <v/>
      </c>
      <c r="AQ41" s="520" t="str">
        <f>IF(AND(_B="B-717",'2024'!$D$4="FO",'2024'!$D$2=AQ5),'2024DATA'!$N$38,"")</f>
        <v/>
      </c>
      <c r="AR41" s="940"/>
      <c r="AS41" s="13" t="s">
        <v>62</v>
      </c>
      <c r="AT41" s="518" t="str">
        <f>IF(AND(_C="B-717",'2024'!$D$4="FO",'2024'!$D$2=AT5),'2024DATA'!$C$38,"")</f>
        <v/>
      </c>
      <c r="AU41" s="518" t="str">
        <f>IF(AND(_C="B-717",'2024'!$D$4="FO",'2024'!$D$2=AU5),'2024DATA'!$D$38,"")</f>
        <v/>
      </c>
      <c r="AV41" s="518" t="str">
        <f>IF(AND(_C="B-717",'2024'!$D$4="FO",'2024'!$D$2=AV5),'2024DATA'!$E$38,"")</f>
        <v/>
      </c>
      <c r="AW41" s="518" t="str">
        <f>IF(AND(_C="B-717",'2024'!$D$4="FO",'2024'!$D$2=AW5),'2024DATA'!$F$38,"")</f>
        <v/>
      </c>
      <c r="AX41" s="518" t="str">
        <f>IF(AND(_C="B-717",'2024'!$D$4="FO",'2024'!$D$2=AX5),'2024DATA'!$G$38,"")</f>
        <v/>
      </c>
      <c r="AY41" s="518" t="str">
        <f>IF(AND(_C="B-717",'2024'!$D$4="FO",'2024'!$D$2=AY5),'2024DATA'!$H$38,"")</f>
        <v/>
      </c>
      <c r="AZ41" s="518" t="str">
        <f>IF(AND(_C="B-717",'2024'!$D$4="FO",'2024'!$D$2=AZ5),'2024DATA'!$I$38,"")</f>
        <v/>
      </c>
      <c r="BA41" s="518" t="str">
        <f>IF(AND(_C="B-717",'2024'!$D$4="FO",'2024'!$D$2=BA5),'2024DATA'!$J$38,"")</f>
        <v/>
      </c>
      <c r="BB41" s="518" t="str">
        <f>IF(AND(_C="B-717",'2024'!$D$4="FO",'2024'!$D$2=BB5),'2024DATA'!$K$38,"")</f>
        <v/>
      </c>
      <c r="BC41" s="518" t="str">
        <f>IF(AND(_C="B-717",'2024'!$D$4="FO",'2024'!$D$2=BC5),'2024DATA'!$L$38,"")</f>
        <v/>
      </c>
      <c r="BD41" s="518" t="str">
        <f>IF(AND(_C="B-717",'2024'!$D$4="FO",'2024'!$D$2=BD5),'2024DATA'!$M$38,"")</f>
        <v/>
      </c>
      <c r="BE41" s="520" t="str">
        <f>IF(AND(_C="B-717",'2024'!$D$4="FO",'2024'!$D$2=BE5),'2024DATA'!$N$38,"")</f>
        <v/>
      </c>
      <c r="BF41" s="940"/>
      <c r="BG41" s="13" t="s">
        <v>62</v>
      </c>
      <c r="BH41" s="518" t="str">
        <f>IF(AND(_D="B-717",'2024'!$D$4="FO",'2024'!$D$2=BH5),'2024DATA'!$C$38,"")</f>
        <v/>
      </c>
      <c r="BI41" s="518" t="str">
        <f>IF(AND(_D="B-717",'2024'!$D$4="FO",'2024'!$D$2=BI5),'2024DATA'!$D$38,"")</f>
        <v/>
      </c>
      <c r="BJ41" s="518" t="str">
        <f>IF(AND(_D="B-717",'2024'!$D$4="FO",'2024'!$D$2=BJ5),'2024DATA'!$E$38,"")</f>
        <v/>
      </c>
      <c r="BK41" s="518" t="str">
        <f>IF(AND(_D="B-717",'2024'!$D$4="FO",'2024'!$D$2=BK5),'2024DATA'!$F$38,"")</f>
        <v/>
      </c>
      <c r="BL41" s="518" t="str">
        <f>IF(AND(_D="B-717",'2024'!$D$4="FO",'2024'!$D$2=BL5),'2024DATA'!$G$38,"")</f>
        <v/>
      </c>
      <c r="BM41" s="518" t="str">
        <f>IF(AND(_D="B-717",'2024'!$D$4="FO",'2024'!$D$2=BM5),'2024DATA'!$H$38,"")</f>
        <v/>
      </c>
      <c r="BN41" s="518" t="str">
        <f>IF(AND(_D="B-717",'2024'!$D$4="FO",'2024'!$D$2=BN5),'2024DATA'!$I$38,"")</f>
        <v/>
      </c>
      <c r="BO41" s="518" t="str">
        <f>IF(AND(_D="B-717",'2024'!$D$4="FO",'2024'!$D$2=BO5),'2024DATA'!$J$38,"")</f>
        <v/>
      </c>
      <c r="BP41" s="518" t="str">
        <f>IF(AND(_D="B-717",'2024'!$D$4="FO",'2024'!$D$2=BP5),'2024DATA'!$K$38,"")</f>
        <v/>
      </c>
      <c r="BQ41" s="518" t="str">
        <f>IF(AND(_D="B-717",'2024'!$D$4="FO",'2024'!$D$2=BQ5),'2024DATA'!$L$38,"")</f>
        <v/>
      </c>
      <c r="BR41" s="518" t="str">
        <f>IF(AND(_D="B-717",'2024'!$D$4="FO",'2024'!$D$2=BR5),'2024DATA'!$M$38,"")</f>
        <v/>
      </c>
      <c r="BS41" s="520" t="str">
        <f>IF(AND(_D="B-717",'2024'!$D$4="FO",'2024'!$D$2=BS5),'2024DATA'!$N$38,"")</f>
        <v/>
      </c>
      <c r="BT41" s="940"/>
      <c r="BU41" s="13" t="s">
        <v>62</v>
      </c>
      <c r="BV41" s="518" t="str">
        <f>IF(AND(_E="B-717",'2024'!$D$4="FO",'2024'!$D$2=BV5),'2024DATA'!$C$38,"")</f>
        <v/>
      </c>
      <c r="BW41" s="518" t="str">
        <f>IF(AND(_E="B-717",'2024'!$D$4="FO",'2024'!$D$2=BW5),'2024DATA'!$D$38,"")</f>
        <v/>
      </c>
      <c r="BX41" s="518" t="str">
        <f>IF(AND(_E="B-717",'2024'!$D$4="FO",'2024'!$D$2=BX5),'2024DATA'!$E$38,"")</f>
        <v/>
      </c>
      <c r="BY41" s="518" t="str">
        <f>IF(AND(_E="B-717",'2024'!$D$4="FO",'2024'!$D$2=BY5),'2024DATA'!$F$38,"")</f>
        <v/>
      </c>
      <c r="BZ41" s="518" t="str">
        <f>IF(AND(_E="B-717",'2024'!$D$4="FO",'2024'!$D$2=BZ5),'2024DATA'!$G$38,"")</f>
        <v/>
      </c>
      <c r="CA41" s="518" t="str">
        <f>IF(AND(_E="B-717",'2024'!$D$4="FO",'2024'!$D$2=CA5),'2024DATA'!$H$38,"")</f>
        <v/>
      </c>
      <c r="CB41" s="518" t="str">
        <f>IF(AND(_E="B-717",'2024'!$D$4="FO",'2024'!$D$2=CB5),'2024DATA'!$I$38,"")</f>
        <v/>
      </c>
      <c r="CC41" s="518" t="str">
        <f>IF(AND(_E="B-717",'2024'!$D$4="FO",'2024'!$D$2=CC5),'2024DATA'!$J$38,"")</f>
        <v/>
      </c>
      <c r="CD41" s="518" t="str">
        <f>IF(AND(_E="B-717",'2024'!$D$4="FO",'2024'!$D$2=CD5),'2024DATA'!$K$38,"")</f>
        <v/>
      </c>
      <c r="CE41" s="518" t="str">
        <f>IF(AND(_E="B-717",'2024'!$D$4="FO",'2024'!$D$2=CE5),'2024DATA'!$L$38,"")</f>
        <v/>
      </c>
      <c r="CF41" s="518" t="str">
        <f>IF(AND(_E="B-717",'2024'!$D$4="FO",'2024'!$D$2=CF5),'2024DATA'!$M$38,"")</f>
        <v/>
      </c>
      <c r="CG41" s="520" t="str">
        <f>IF(AND(_E="B-717",'2024'!$D$4="FO",'2024'!$D$2=CG5),'2024DATA'!$N$38,"")</f>
        <v/>
      </c>
      <c r="CH41" s="940"/>
      <c r="CI41" s="13" t="s">
        <v>62</v>
      </c>
      <c r="CJ41" s="518" t="str">
        <f>IF(AND(_F="B-717",'2024'!$D$4="FO",'2024'!$D$2=CJ5),'2024DATA'!$C$38,"")</f>
        <v/>
      </c>
      <c r="CK41" s="518" t="str">
        <f>IF(AND(_F="B-717",'2024'!$D$4="FO",'2024'!$D$2=CK5),'2024DATA'!$D$38,"")</f>
        <v/>
      </c>
      <c r="CL41" s="518" t="str">
        <f>IF(AND(_F="B-717",'2024'!$D$4="FO",'2024'!$D$2=CL5),'2024DATA'!$E$38,"")</f>
        <v/>
      </c>
      <c r="CM41" s="518" t="str">
        <f>IF(AND(_F="B-717",'2024'!$D$4="FO",'2024'!$D$2=CM5),'2024DATA'!$F$38,"")</f>
        <v/>
      </c>
      <c r="CN41" s="518" t="str">
        <f>IF(AND(_F="B-717",'2024'!$D$4="FO",'2024'!$D$2=CN5),'2024DATA'!$G$38,"")</f>
        <v/>
      </c>
      <c r="CO41" s="518" t="str">
        <f>IF(AND(_F="B-717",'2024'!$D$4="FO",'2024'!$D$2=CO5),'2024DATA'!$H$38,"")</f>
        <v/>
      </c>
      <c r="CP41" s="518" t="str">
        <f>IF(AND(_F="B-717",'2024'!$D$4="FO",'2024'!$D$2=CP5),'2024DATA'!$I$38,"")</f>
        <v/>
      </c>
      <c r="CQ41" s="518" t="str">
        <f>IF(AND(_F="B-717",'2024'!$D$4="FO",'2024'!$D$2=CQ5),'2024DATA'!$J$38,"")</f>
        <v/>
      </c>
      <c r="CR41" s="518" t="str">
        <f>IF(AND(_F="B-717",'2024'!$D$4="FO",'2024'!$D$2=CR5),'2024DATA'!$K$38,"")</f>
        <v/>
      </c>
      <c r="CS41" s="518" t="str">
        <f>IF(AND(_F="B-717",'2024'!$D$4="FO",'2024'!$D$2=CS5),'2024DATA'!$L$38,"")</f>
        <v/>
      </c>
      <c r="CT41" s="518" t="str">
        <f>IF(AND(_F="B-717",'2024'!$D$4="FO",'2024'!$D$2=CT5),'2024DATA'!$M$38,"")</f>
        <v/>
      </c>
      <c r="CU41" s="520" t="str">
        <f>IF(AND(_F="B-717",'2024'!$D$4="FO",'2024'!$D$2=CU5),'2024DATA'!$N$38,"")</f>
        <v/>
      </c>
    </row>
    <row r="42" spans="1:99" x14ac:dyDescent="0.25">
      <c r="P42" s="943" t="s">
        <v>103</v>
      </c>
      <c r="Q42" s="944"/>
      <c r="R42" s="944"/>
      <c r="S42" s="944"/>
      <c r="T42" s="944"/>
      <c r="U42" s="944"/>
      <c r="V42" s="944"/>
      <c r="W42" s="944"/>
      <c r="X42" s="944"/>
      <c r="Y42" s="944"/>
      <c r="Z42" s="944"/>
      <c r="AA42" s="944"/>
      <c r="AB42" s="944"/>
      <c r="AC42" s="945"/>
      <c r="AD42" s="943" t="s">
        <v>104</v>
      </c>
      <c r="AE42" s="944"/>
      <c r="AF42" s="944"/>
      <c r="AG42" s="944"/>
      <c r="AH42" s="944"/>
      <c r="AI42" s="944"/>
      <c r="AJ42" s="944"/>
      <c r="AK42" s="944"/>
      <c r="AL42" s="944"/>
      <c r="AM42" s="944"/>
      <c r="AN42" s="944"/>
      <c r="AO42" s="944"/>
      <c r="AP42" s="944"/>
      <c r="AQ42" s="945"/>
      <c r="AR42" s="943" t="s">
        <v>105</v>
      </c>
      <c r="AS42" s="944"/>
      <c r="AT42" s="944"/>
      <c r="AU42" s="944"/>
      <c r="AV42" s="944"/>
      <c r="AW42" s="944"/>
      <c r="AX42" s="944"/>
      <c r="AY42" s="944"/>
      <c r="AZ42" s="944"/>
      <c r="BA42" s="944"/>
      <c r="BB42" s="944"/>
      <c r="BC42" s="944"/>
      <c r="BD42" s="944"/>
      <c r="BE42" s="945"/>
      <c r="BF42" s="943" t="s">
        <v>106</v>
      </c>
      <c r="BG42" s="944"/>
      <c r="BH42" s="944"/>
      <c r="BI42" s="944"/>
      <c r="BJ42" s="944"/>
      <c r="BK42" s="944"/>
      <c r="BL42" s="944"/>
      <c r="BM42" s="944"/>
      <c r="BN42" s="944"/>
      <c r="BO42" s="944"/>
      <c r="BP42" s="944"/>
      <c r="BQ42" s="944"/>
      <c r="BR42" s="944"/>
      <c r="BS42" s="945"/>
      <c r="BT42" s="943" t="s">
        <v>107</v>
      </c>
      <c r="BU42" s="944"/>
      <c r="BV42" s="944"/>
      <c r="BW42" s="944"/>
      <c r="BX42" s="944"/>
      <c r="BY42" s="944"/>
      <c r="BZ42" s="944"/>
      <c r="CA42" s="944"/>
      <c r="CB42" s="944"/>
      <c r="CC42" s="944"/>
      <c r="CD42" s="944"/>
      <c r="CE42" s="944"/>
      <c r="CF42" s="944"/>
      <c r="CG42" s="945"/>
      <c r="CH42" s="943" t="s">
        <v>108</v>
      </c>
      <c r="CI42" s="944"/>
      <c r="CJ42" s="944"/>
      <c r="CK42" s="944"/>
      <c r="CL42" s="944"/>
      <c r="CM42" s="944"/>
      <c r="CN42" s="944"/>
      <c r="CO42" s="944"/>
      <c r="CP42" s="944"/>
      <c r="CQ42" s="944"/>
      <c r="CR42" s="944"/>
      <c r="CS42" s="944"/>
      <c r="CT42" s="944"/>
      <c r="CU42" s="945"/>
    </row>
    <row r="43" spans="1:99" x14ac:dyDescent="0.25">
      <c r="P43" s="581">
        <v>2</v>
      </c>
      <c r="Q43" s="571">
        <f>SUM(R44:AC79)</f>
        <v>0</v>
      </c>
      <c r="R43" s="3">
        <v>12</v>
      </c>
      <c r="S43" s="3">
        <v>11</v>
      </c>
      <c r="T43" s="3">
        <v>10</v>
      </c>
      <c r="U43" s="3">
        <v>9</v>
      </c>
      <c r="V43" s="3">
        <v>8</v>
      </c>
      <c r="W43" s="3">
        <v>7</v>
      </c>
      <c r="X43" s="3">
        <v>6</v>
      </c>
      <c r="Y43" s="3">
        <v>5</v>
      </c>
      <c r="Z43" s="3">
        <v>4</v>
      </c>
      <c r="AA43" s="3">
        <v>3</v>
      </c>
      <c r="AB43" s="3">
        <v>2</v>
      </c>
      <c r="AC43" s="519">
        <v>1</v>
      </c>
      <c r="AD43" s="571">
        <v>2</v>
      </c>
      <c r="AE43" s="571">
        <f>SUM(AF44:AQ79)</f>
        <v>0</v>
      </c>
      <c r="AF43" s="3">
        <v>12</v>
      </c>
      <c r="AG43" s="3">
        <v>11</v>
      </c>
      <c r="AH43" s="3">
        <v>10</v>
      </c>
      <c r="AI43" s="3">
        <v>9</v>
      </c>
      <c r="AJ43" s="3">
        <v>8</v>
      </c>
      <c r="AK43" s="3">
        <v>7</v>
      </c>
      <c r="AL43" s="3">
        <v>6</v>
      </c>
      <c r="AM43" s="3">
        <v>5</v>
      </c>
      <c r="AN43" s="3">
        <v>4</v>
      </c>
      <c r="AO43" s="3">
        <v>3</v>
      </c>
      <c r="AP43" s="3">
        <v>2</v>
      </c>
      <c r="AQ43" s="519">
        <v>1</v>
      </c>
      <c r="AR43" s="571">
        <v>2</v>
      </c>
      <c r="AS43" s="571">
        <f>SUM(AT44:BE79)</f>
        <v>0</v>
      </c>
      <c r="AT43" s="3">
        <v>12</v>
      </c>
      <c r="AU43" s="3">
        <v>11</v>
      </c>
      <c r="AV43" s="3">
        <v>10</v>
      </c>
      <c r="AW43" s="3">
        <v>9</v>
      </c>
      <c r="AX43" s="3">
        <v>8</v>
      </c>
      <c r="AY43" s="3">
        <v>7</v>
      </c>
      <c r="AZ43" s="3">
        <v>6</v>
      </c>
      <c r="BA43" s="3">
        <v>5</v>
      </c>
      <c r="BB43" s="3">
        <v>4</v>
      </c>
      <c r="BC43" s="3">
        <v>3</v>
      </c>
      <c r="BD43" s="3">
        <v>2</v>
      </c>
      <c r="BE43" s="519">
        <v>1</v>
      </c>
      <c r="BF43" s="571">
        <v>2</v>
      </c>
      <c r="BG43" s="571">
        <f>SUM(BH44:BS79)</f>
        <v>0</v>
      </c>
      <c r="BH43" s="3">
        <v>12</v>
      </c>
      <c r="BI43" s="3">
        <v>11</v>
      </c>
      <c r="BJ43" s="3">
        <v>10</v>
      </c>
      <c r="BK43" s="3">
        <v>9</v>
      </c>
      <c r="BL43" s="3">
        <v>8</v>
      </c>
      <c r="BM43" s="3">
        <v>7</v>
      </c>
      <c r="BN43" s="3">
        <v>6</v>
      </c>
      <c r="BO43" s="3">
        <v>5</v>
      </c>
      <c r="BP43" s="3">
        <v>4</v>
      </c>
      <c r="BQ43" s="3">
        <v>3</v>
      </c>
      <c r="BR43" s="3">
        <v>2</v>
      </c>
      <c r="BS43" s="519">
        <v>1</v>
      </c>
      <c r="BT43" s="571">
        <v>2</v>
      </c>
      <c r="BU43" s="571">
        <f>SUM(BV44:CG79)</f>
        <v>0</v>
      </c>
      <c r="BV43" s="3">
        <v>12</v>
      </c>
      <c r="BW43" s="3">
        <v>11</v>
      </c>
      <c r="BX43" s="3">
        <v>10</v>
      </c>
      <c r="BY43" s="3">
        <v>9</v>
      </c>
      <c r="BZ43" s="3">
        <v>8</v>
      </c>
      <c r="CA43" s="3">
        <v>7</v>
      </c>
      <c r="CB43" s="3">
        <v>6</v>
      </c>
      <c r="CC43" s="3">
        <v>5</v>
      </c>
      <c r="CD43" s="3">
        <v>4</v>
      </c>
      <c r="CE43" s="3">
        <v>3</v>
      </c>
      <c r="CF43" s="3">
        <v>2</v>
      </c>
      <c r="CG43" s="519">
        <v>1</v>
      </c>
      <c r="CH43" s="571">
        <v>2</v>
      </c>
      <c r="CI43" s="571">
        <f>SUM(CJ44:CU79)</f>
        <v>0</v>
      </c>
      <c r="CJ43" s="3">
        <v>12</v>
      </c>
      <c r="CK43" s="3">
        <v>11</v>
      </c>
      <c r="CL43" s="3">
        <v>10</v>
      </c>
      <c r="CM43" s="3">
        <v>9</v>
      </c>
      <c r="CN43" s="3">
        <v>8</v>
      </c>
      <c r="CO43" s="3">
        <v>7</v>
      </c>
      <c r="CP43" s="3">
        <v>6</v>
      </c>
      <c r="CQ43" s="3">
        <v>5</v>
      </c>
      <c r="CR43" s="3">
        <v>4</v>
      </c>
      <c r="CS43" s="3">
        <v>3</v>
      </c>
      <c r="CT43" s="3">
        <v>2</v>
      </c>
      <c r="CU43" s="519">
        <v>1</v>
      </c>
    </row>
    <row r="44" spans="1:99" x14ac:dyDescent="0.25">
      <c r="P44" s="940" t="s">
        <v>39</v>
      </c>
      <c r="Q44" s="13" t="s">
        <v>61</v>
      </c>
      <c r="R44" s="518" t="str">
        <f>IF(AND(_A="A-350",'2024'!$E$4="CA",'2024'!$E$2=R43),'2024DATA'!$C$3,"")</f>
        <v/>
      </c>
      <c r="S44" s="518" t="str">
        <f>IF(AND(_A="A-350",'2024'!$E$4="CA",'2024'!$E$2=S43),'2024DATA'!$D$3,"")</f>
        <v/>
      </c>
      <c r="T44" s="518" t="str">
        <f>IF(AND(_A="A-350",'2024'!$E$4="CA",'2024'!$E$2=T43),'2024DATA'!$E$3,"")</f>
        <v/>
      </c>
      <c r="U44" s="518" t="str">
        <f>IF(AND(_A="A-350",'2024'!$E$4="CA",'2024'!$E$2=U43),'2024DATA'!$F$3,"")</f>
        <v/>
      </c>
      <c r="V44" s="518" t="str">
        <f>IF(AND(_A="A-350",'2024'!$E$4="CA",'2024'!$E$2=V43),'2024DATA'!$G$3,"")</f>
        <v/>
      </c>
      <c r="W44" s="518" t="str">
        <f>IF(AND(_A="A-350",'2024'!$E$4="CA",'2024'!$E$2=W43),'2024DATA'!$H$3,"")</f>
        <v/>
      </c>
      <c r="X44" s="518" t="str">
        <f>IF(AND(_A="A-350",'2024'!$E$4="CA",'2024'!$E$2=X43),'2024DATA'!$I$3,"")</f>
        <v/>
      </c>
      <c r="Y44" s="518" t="str">
        <f>IF(AND(_A="A-350",'2024'!$E$4="CA",'2024'!$E$2=Y43),'2024DATA'!$J$3,"")</f>
        <v/>
      </c>
      <c r="Z44" s="518" t="str">
        <f>IF(AND(_A="A-350",'2024'!$E$4="CA",'2024'!$E$2=Z43),'2024DATA'!$K$3,"")</f>
        <v/>
      </c>
      <c r="AA44" s="518" t="str">
        <f>IF(AND(_A="A-350",'2024'!$E$4="CA",'2024'!$E$2=AA43),'2024DATA'!$L$3,"")</f>
        <v/>
      </c>
      <c r="AB44" s="518" t="str">
        <f>IF(AND(_A="A-350",'2024'!$E$4="CA",'2024'!$E$2=AB43),'2024DATA'!$M$3,"")</f>
        <v/>
      </c>
      <c r="AC44" s="520" t="str">
        <f>IF(AND(_A="A-350",'2024'!$E$4="CA",'2024'!$E$2=AC43),'2024DATA'!$N$3,"")</f>
        <v/>
      </c>
      <c r="AD44" s="940" t="s">
        <v>39</v>
      </c>
      <c r="AE44" s="13" t="s">
        <v>61</v>
      </c>
      <c r="AF44" s="518" t="str">
        <f>IF(AND(_B="A-350",'2024'!$E$4="CA",'2024'!$E$2=AF43),'2024DATA'!$C$3,"")</f>
        <v/>
      </c>
      <c r="AG44" s="518" t="str">
        <f>IF(AND(_B="A-350",'2024'!$E$4="CA",'2024'!$E$2=AG43),'2024DATA'!$D$3,"")</f>
        <v/>
      </c>
      <c r="AH44" s="518" t="str">
        <f>IF(AND(_B="A-350",'2024'!$E$4="CA",'2024'!$E$2=AH43),'2024DATA'!$E$3,"")</f>
        <v/>
      </c>
      <c r="AI44" s="518" t="str">
        <f>IF(AND(_B="A-350",'2024'!$E$4="CA",'2024'!$E$2=AI43),'2024DATA'!$F$3,"")</f>
        <v/>
      </c>
      <c r="AJ44" s="518" t="str">
        <f>IF(AND(_B="A-350",'2024'!$E$4="CA",'2024'!$E$2=AJ43),'2024DATA'!$G$3,"")</f>
        <v/>
      </c>
      <c r="AK44" s="518" t="str">
        <f>IF(AND(_B="A-350",'2024'!$E$4="CA",'2024'!$E$2=AK43),'2024DATA'!$H$3,"")</f>
        <v/>
      </c>
      <c r="AL44" s="518" t="str">
        <f>IF(AND(_B="A-350",'2024'!$E$4="CA",'2024'!$E$2=AL43),'2024DATA'!$I$3,"")</f>
        <v/>
      </c>
      <c r="AM44" s="518" t="str">
        <f>IF(AND(_B="A-350",'2024'!$E$4="CA",'2024'!$E$2=AM43),'2024DATA'!$J$3,"")</f>
        <v/>
      </c>
      <c r="AN44" s="518" t="str">
        <f>IF(AND(_B="A-350",'2024'!$E$4="CA",'2024'!$E$2=AN43),'2024DATA'!$K$3,"")</f>
        <v/>
      </c>
      <c r="AO44" s="518" t="str">
        <f>IF(AND(_B="A-350",'2024'!$E$4="CA",'2024'!$E$2=AO43),'2024DATA'!$L$3,"")</f>
        <v/>
      </c>
      <c r="AP44" s="518" t="str">
        <f>IF(AND(_B="A-350",'2024'!$E$4="CA",'2024'!$E$2=AP43),'2024DATA'!$M$3,"")</f>
        <v/>
      </c>
      <c r="AQ44" s="520" t="str">
        <f>IF(AND(_B="A-350",'2024'!$E$4="CA",'2024'!$E$2=AQ43),'2024DATA'!$N$3,"")</f>
        <v/>
      </c>
      <c r="AR44" s="940" t="s">
        <v>39</v>
      </c>
      <c r="AS44" s="13" t="s">
        <v>61</v>
      </c>
      <c r="AT44" s="518" t="str">
        <f>IF(AND(_C="A-350",'2024'!$E$4="CA",'2024'!$E$2=AT43),'2024DATA'!$C$3,"")</f>
        <v/>
      </c>
      <c r="AU44" s="518" t="str">
        <f>IF(AND(_C="A-350",'2024'!$E$4="CA",'2024'!$E$2=AU43),'2024DATA'!$D$3,"")</f>
        <v/>
      </c>
      <c r="AV44" s="518" t="str">
        <f>IF(AND(_C="A-350",'2024'!$E$4="CA",'2024'!$E$2=AV43),'2024DATA'!$E$3,"")</f>
        <v/>
      </c>
      <c r="AW44" s="518" t="str">
        <f>IF(AND(_C="A-350",'2024'!$E$4="CA",'2024'!$E$2=AW43),'2024DATA'!$F$3,"")</f>
        <v/>
      </c>
      <c r="AX44" s="518" t="str">
        <f>IF(AND(_C="A-350",'2024'!$E$4="CA",'2024'!$E$2=AX43),'2024DATA'!$G$3,"")</f>
        <v/>
      </c>
      <c r="AY44" s="518" t="str">
        <f>IF(AND(_C="A-350",'2024'!$E$4="CA",'2024'!$E$2=AY43),'2024DATA'!$H$3,"")</f>
        <v/>
      </c>
      <c r="AZ44" s="518" t="str">
        <f>IF(AND(_C="A-350",'2024'!$E$4="CA",'2024'!$E$2=AZ43),'2024DATA'!$I$3,"")</f>
        <v/>
      </c>
      <c r="BA44" s="518" t="str">
        <f>IF(AND(_C="A-350",'2024'!$E$4="CA",'2024'!$E$2=BA43),'2024DATA'!$J$3,"")</f>
        <v/>
      </c>
      <c r="BB44" s="518" t="str">
        <f>IF(AND(_C="A-350",'2024'!$E$4="CA",'2024'!$E$2=BB43),'2024DATA'!$K$3,"")</f>
        <v/>
      </c>
      <c r="BC44" s="518" t="str">
        <f>IF(AND(_C="A-350",'2024'!$E$4="CA",'2024'!$E$2=BC43),'2024DATA'!$L$3,"")</f>
        <v/>
      </c>
      <c r="BD44" s="518" t="str">
        <f>IF(AND(_C="A-350",'2024'!$E$4="CA",'2024'!$E$2=BD43),'2024DATA'!$M$3,"")</f>
        <v/>
      </c>
      <c r="BE44" s="520" t="str">
        <f>IF(AND(_C="A-350",'2024'!$E$4="CA",'2024'!$E$2=BE43),'2024DATA'!$N$3,"")</f>
        <v/>
      </c>
      <c r="BF44" s="940" t="s">
        <v>39</v>
      </c>
      <c r="BG44" s="13" t="s">
        <v>61</v>
      </c>
      <c r="BH44" s="518" t="str">
        <f>IF(AND(_D="A-350",'2024'!$E$4="CA",'2024'!$E$2=BH43),'2024DATA'!$C$3,"")</f>
        <v/>
      </c>
      <c r="BI44" s="518" t="str">
        <f>IF(AND(_D="A-350",'2024'!$E$4="CA",'2024'!$E$2=BI43),'2024DATA'!$D$3,"")</f>
        <v/>
      </c>
      <c r="BJ44" s="518" t="str">
        <f>IF(AND(_D="A-350",'2024'!$E$4="CA",'2024'!$E$2=BJ43),'2024DATA'!$E$3,"")</f>
        <v/>
      </c>
      <c r="BK44" s="518" t="str">
        <f>IF(AND(_D="A-350",'2024'!$E$4="CA",'2024'!$E$2=BK43),'2024DATA'!$F$3,"")</f>
        <v/>
      </c>
      <c r="BL44" s="518" t="str">
        <f>IF(AND(_D="A-350",'2024'!$E$4="CA",'2024'!$E$2=BL43),'2024DATA'!$G$3,"")</f>
        <v/>
      </c>
      <c r="BM44" s="518" t="str">
        <f>IF(AND(_D="A-350",'2024'!$E$4="CA",'2024'!$E$2=BM43),'2024DATA'!$H$3,"")</f>
        <v/>
      </c>
      <c r="BN44" s="518" t="str">
        <f>IF(AND(_D="A-350",'2024'!$E$4="CA",'2024'!$E$2=BN43),'2024DATA'!$I$3,"")</f>
        <v/>
      </c>
      <c r="BO44" s="518" t="str">
        <f>IF(AND(_D="A-350",'2024'!$E$4="CA",'2024'!$E$2=BO43),'2024DATA'!$J$3,"")</f>
        <v/>
      </c>
      <c r="BP44" s="518" t="str">
        <f>IF(AND(_D="A-350",'2024'!$E$4="CA",'2024'!$E$2=BP43),'2024DATA'!$K$3,"")</f>
        <v/>
      </c>
      <c r="BQ44" s="518" t="str">
        <f>IF(AND(_D="A-350",'2024'!$E$4="CA",'2024'!$E$2=BQ43),'2024DATA'!$L$3,"")</f>
        <v/>
      </c>
      <c r="BR44" s="518" t="str">
        <f>IF(AND(_D="A-350",'2024'!$E$4="CA",'2024'!$E$2=BR43),'2024DATA'!$M$3,"")</f>
        <v/>
      </c>
      <c r="BS44" s="520" t="str">
        <f>IF(AND(_D="A-350",'2024'!$E$4="CA",'2024'!$E$2=BS43),'2024DATA'!$N$3,"")</f>
        <v/>
      </c>
      <c r="BT44" s="940" t="s">
        <v>39</v>
      </c>
      <c r="BU44" s="13" t="s">
        <v>61</v>
      </c>
      <c r="BV44" s="518" t="str">
        <f>IF(AND(_E="A-350",'2024'!$E$4="CA",'2024'!$E$2=BV43),'2024DATA'!$C$3,"")</f>
        <v/>
      </c>
      <c r="BW44" s="518" t="str">
        <f>IF(AND(_E="A-350",'2024'!$E$4="CA",'2024'!$E$2=BW43),'2024DATA'!$D$3,"")</f>
        <v/>
      </c>
      <c r="BX44" s="518" t="str">
        <f>IF(AND(_E="A-350",'2024'!$E$4="CA",'2024'!$E$2=BX43),'2024DATA'!$E$3,"")</f>
        <v/>
      </c>
      <c r="BY44" s="518" t="str">
        <f>IF(AND(_E="A-350",'2024'!$E$4="CA",'2024'!$E$2=BY43),'2024DATA'!$F$3,"")</f>
        <v/>
      </c>
      <c r="BZ44" s="518" t="str">
        <f>IF(AND(_E="A-350",'2024'!$E$4="CA",'2024'!$E$2=BZ43),'2024DATA'!$G$3,"")</f>
        <v/>
      </c>
      <c r="CA44" s="518" t="str">
        <f>IF(AND(_E="A-350",'2024'!$E$4="CA",'2024'!$E$2=CA43),'2024DATA'!$H$3,"")</f>
        <v/>
      </c>
      <c r="CB44" s="518" t="str">
        <f>IF(AND(_E="A-350",'2024'!$E$4="CA",'2024'!$E$2=CB43),'2024DATA'!$I$3,"")</f>
        <v/>
      </c>
      <c r="CC44" s="518" t="str">
        <f>IF(AND(_E="A-350",'2024'!$E$4="CA",'2024'!$E$2=CC43),'2024DATA'!$J$3,"")</f>
        <v/>
      </c>
      <c r="CD44" s="518" t="str">
        <f>IF(AND(_E="A-350",'2024'!$E$4="CA",'2024'!$E$2=CD43),'2024DATA'!$K$3,"")</f>
        <v/>
      </c>
      <c r="CE44" s="518" t="str">
        <f>IF(AND(_E="A-350",'2024'!$E$4="CA",'2024'!$E$2=CE43),'2024DATA'!$L$3,"")</f>
        <v/>
      </c>
      <c r="CF44" s="518" t="str">
        <f>IF(AND(_E="A-350",'2024'!$E$4="CA",'2024'!$E$2=CF43),'2024DATA'!$M$3,"")</f>
        <v/>
      </c>
      <c r="CG44" s="520" t="str">
        <f>IF(AND(_E="A-350",'2024'!$E$4="CA",'2024'!$E$2=CG43),'2024DATA'!$N$3,"")</f>
        <v/>
      </c>
      <c r="CH44" s="940" t="s">
        <v>39</v>
      </c>
      <c r="CI44" s="13" t="s">
        <v>61</v>
      </c>
      <c r="CJ44" s="518" t="str">
        <f>IF(AND(_F="A-350",'2024'!$E$4="CA",'2024'!$E$2=CJ43),'2024DATA'!$C$3,"")</f>
        <v/>
      </c>
      <c r="CK44" s="518" t="str">
        <f>IF(AND(_F="A-350",'2024'!$E$4="CA",'2024'!$E$2=CK43),'2024DATA'!$D$3,"")</f>
        <v/>
      </c>
      <c r="CL44" s="518" t="str">
        <f>IF(AND(_F="A-350",'2024'!$E$4="CA",'2024'!$E$2=CL43),'2024DATA'!$E$3,"")</f>
        <v/>
      </c>
      <c r="CM44" s="518" t="str">
        <f>IF(AND(_F="A-350",'2024'!$E$4="CA",'2024'!$E$2=CM43),'2024DATA'!$F$3,"")</f>
        <v/>
      </c>
      <c r="CN44" s="518" t="str">
        <f>IF(AND(_F="A-350",'2024'!$E$4="CA",'2024'!$E$2=CN43),'2024DATA'!$G$3,"")</f>
        <v/>
      </c>
      <c r="CO44" s="518" t="str">
        <f>IF(AND(_F="A-350",'2024'!$E$4="CA",'2024'!$E$2=CO43),'2024DATA'!$H$3,"")</f>
        <v/>
      </c>
      <c r="CP44" s="518" t="str">
        <f>IF(AND(_F="A-350",'2024'!$E$4="CA",'2024'!$E$2=CP43),'2024DATA'!$I$3,"")</f>
        <v/>
      </c>
      <c r="CQ44" s="518" t="str">
        <f>IF(AND(_F="A-350",'2024'!$E$4="CA",'2024'!$E$2=CQ43),'2024DATA'!$J$3,"")</f>
        <v/>
      </c>
      <c r="CR44" s="518" t="str">
        <f>IF(AND(_F="A-350",'2024'!$E$4="CA",'2024'!$E$2=CR43),'2024DATA'!$K$3,"")</f>
        <v/>
      </c>
      <c r="CS44" s="518" t="str">
        <f>IF(AND(_F="A-350",'2024'!$E$4="CA",'2024'!$E$2=CS43),'2024DATA'!$L$3,"")</f>
        <v/>
      </c>
      <c r="CT44" s="518" t="str">
        <f>IF(AND(_F="A-350",'2024'!$E$4="CA",'2024'!$E$2=CT43),'2024DATA'!$M$3,"")</f>
        <v/>
      </c>
      <c r="CU44" s="520" t="str">
        <f>IF(AND(_F="A-350",'2024'!$E$4="CA",'2024'!$E$2=CU43),'2024DATA'!$N$3,"")</f>
        <v/>
      </c>
    </row>
    <row r="45" spans="1:99" x14ac:dyDescent="0.25">
      <c r="P45" s="940"/>
      <c r="Q45" s="13" t="s">
        <v>62</v>
      </c>
      <c r="R45" s="518" t="str">
        <f>IF(AND(_A="A-350",'2024'!$E$4="FO",'2024'!$E$2=R43),'2024DATA'!$C$4,"")</f>
        <v/>
      </c>
      <c r="S45" s="518" t="str">
        <f>IF(AND(_A="A-350",'2024'!$E$4="FO",'2024'!$E$2=S43),'2024DATA'!$D$4,"")</f>
        <v/>
      </c>
      <c r="T45" s="518" t="str">
        <f>IF(AND(_A="A-350",'2024'!$E$4="FO",'2024'!$E$2=T43),'2024DATA'!$E$4,"")</f>
        <v/>
      </c>
      <c r="U45" s="518" t="str">
        <f>IF(AND(_A="A-350",'2024'!$E$4="FO",'2024'!$E$2=U43),'2024DATA'!$F$4,"")</f>
        <v/>
      </c>
      <c r="V45" s="518" t="str">
        <f>IF(AND(_A="A-350",'2024'!$E$4="FO",'2024'!$E$2=V43),'2024DATA'!$G$4,"")</f>
        <v/>
      </c>
      <c r="W45" s="518" t="str">
        <f>IF(AND(_A="A-350",'2024'!$E$4="FO",'2024'!$E$2=W43),'2024DATA'!$H$4,"")</f>
        <v/>
      </c>
      <c r="X45" s="518" t="str">
        <f>IF(AND(_A="A-350",'2024'!$E$4="FO",'2024'!$E$2=X43),'2024DATA'!$I$4,"")</f>
        <v/>
      </c>
      <c r="Y45" s="518" t="str">
        <f>IF(AND(_A="A-350",'2024'!$E$4="FO",'2024'!$E$2=Y43),'2024DATA'!$J$4,"")</f>
        <v/>
      </c>
      <c r="Z45" s="518" t="str">
        <f>IF(AND(_A="A-350",'2024'!$E$4="FO",'2024'!$E$2=Z43),'2024DATA'!$K$4,"")</f>
        <v/>
      </c>
      <c r="AA45" s="518" t="str">
        <f>IF(AND(_A="A-350",'2024'!$E$4="FO",'2024'!$E$2=AA43),'2024DATA'!$L$4,"")</f>
        <v/>
      </c>
      <c r="AB45" s="518" t="str">
        <f>IF(AND(_A="A-350",'2024'!$E$4="FO",'2024'!$E$2=AB43),'2024DATA'!$M$4,"")</f>
        <v/>
      </c>
      <c r="AC45" s="520" t="str">
        <f>IF(AND(_A="A-350",'2024'!$E$4="FO",'2024'!$E$2=AC43),'2024DATA'!$N$4,"")</f>
        <v/>
      </c>
      <c r="AD45" s="940"/>
      <c r="AE45" s="13" t="s">
        <v>62</v>
      </c>
      <c r="AF45" s="518" t="str">
        <f>IF(AND(_B="A-350",'2024'!$E$4="FO",'2024'!$E$2=AF43),'2024DATA'!$C$4,"")</f>
        <v/>
      </c>
      <c r="AG45" s="518" t="str">
        <f>IF(AND(_B="A-350",'2024'!$E$4="FO",'2024'!$E$2=AG43),'2024DATA'!$D$4,"")</f>
        <v/>
      </c>
      <c r="AH45" s="518" t="str">
        <f>IF(AND(_B="A-350",'2024'!$E$4="FO",'2024'!$E$2=AH43),'2024DATA'!$E$4,"")</f>
        <v/>
      </c>
      <c r="AI45" s="518" t="str">
        <f>IF(AND(_B="A-350",'2024'!$E$4="FO",'2024'!$E$2=AI43),'2024DATA'!$F$4,"")</f>
        <v/>
      </c>
      <c r="AJ45" s="518" t="str">
        <f>IF(AND(_B="A-350",'2024'!$E$4="FO",'2024'!$E$2=AJ43),'2024DATA'!$G$4,"")</f>
        <v/>
      </c>
      <c r="AK45" s="518" t="str">
        <f>IF(AND(_B="A-350",'2024'!$E$4="FO",'2024'!$E$2=AK43),'2024DATA'!$H$4,"")</f>
        <v/>
      </c>
      <c r="AL45" s="518" t="str">
        <f>IF(AND(_B="A-350",'2024'!$E$4="FO",'2024'!$E$2=AL43),'2024DATA'!$I$4,"")</f>
        <v/>
      </c>
      <c r="AM45" s="518" t="str">
        <f>IF(AND(_B="A-350",'2024'!$E$4="FO",'2024'!$E$2=AM43),'2024DATA'!$J$4,"")</f>
        <v/>
      </c>
      <c r="AN45" s="518" t="str">
        <f>IF(AND(_B="A-350",'2024'!$E$4="FO",'2024'!$E$2=AN43),'2024DATA'!$K$4,"")</f>
        <v/>
      </c>
      <c r="AO45" s="518" t="str">
        <f>IF(AND(_B="A-350",'2024'!$E$4="FO",'2024'!$E$2=AO43),'2024DATA'!$L$4,"")</f>
        <v/>
      </c>
      <c r="AP45" s="518" t="str">
        <f>IF(AND(_B="A-350",'2024'!$E$4="FO",'2024'!$E$2=AP43),'2024DATA'!$M$4,"")</f>
        <v/>
      </c>
      <c r="AQ45" s="520" t="str">
        <f>IF(AND(_B="A-350",'2024'!$E$4="FO",'2024'!$E$2=AQ43),'2024DATA'!$N$4,"")</f>
        <v/>
      </c>
      <c r="AR45" s="940"/>
      <c r="AS45" s="13" t="s">
        <v>62</v>
      </c>
      <c r="AT45" s="518" t="str">
        <f>IF(AND(_C="A-350",'2024'!$E$4="FO",'2024'!$E$2=AT43),'2024DATA'!$C$4,"")</f>
        <v/>
      </c>
      <c r="AU45" s="518" t="str">
        <f>IF(AND(_C="A-350",'2024'!$E$4="FO",'2024'!$E$2=AU43),'2024DATA'!$D$4,"")</f>
        <v/>
      </c>
      <c r="AV45" s="518" t="str">
        <f>IF(AND(_C="A-350",'2024'!$E$4="FO",'2024'!$E$2=AV43),'2024DATA'!$E$4,"")</f>
        <v/>
      </c>
      <c r="AW45" s="518" t="str">
        <f>IF(AND(_C="A-350",'2024'!$E$4="FO",'2024'!$E$2=AW43),'2024DATA'!$F$4,"")</f>
        <v/>
      </c>
      <c r="AX45" s="518" t="str">
        <f>IF(AND(_C="A-350",'2024'!$E$4="FO",'2024'!$E$2=AX43),'2024DATA'!$G$4,"")</f>
        <v/>
      </c>
      <c r="AY45" s="518" t="str">
        <f>IF(AND(_C="A-350",'2024'!$E$4="FO",'2024'!$E$2=AY43),'2024DATA'!$H$4,"")</f>
        <v/>
      </c>
      <c r="AZ45" s="518" t="str">
        <f>IF(AND(_C="A-350",'2024'!$E$4="FO",'2024'!$E$2=AZ43),'2024DATA'!$I$4,"")</f>
        <v/>
      </c>
      <c r="BA45" s="518" t="str">
        <f>IF(AND(_C="A-350",'2024'!$E$4="FO",'2024'!$E$2=BA43),'2024DATA'!$J$4,"")</f>
        <v/>
      </c>
      <c r="BB45" s="518" t="str">
        <f>IF(AND(_C="A-350",'2024'!$E$4="FO",'2024'!$E$2=BB43),'2024DATA'!$K$4,"")</f>
        <v/>
      </c>
      <c r="BC45" s="518" t="str">
        <f>IF(AND(_C="A-350",'2024'!$E$4="FO",'2024'!$E$2=BC43),'2024DATA'!$L$4,"")</f>
        <v/>
      </c>
      <c r="BD45" s="518" t="str">
        <f>IF(AND(_C="A-350",'2024'!$E$4="FO",'2024'!$E$2=BD43),'2024DATA'!$M$4,"")</f>
        <v/>
      </c>
      <c r="BE45" s="520" t="str">
        <f>IF(AND(_C="A-350",'2024'!$E$4="FO",'2024'!$E$2=BE43),'2024DATA'!$N$4,"")</f>
        <v/>
      </c>
      <c r="BF45" s="940"/>
      <c r="BG45" s="13" t="s">
        <v>62</v>
      </c>
      <c r="BH45" s="518" t="str">
        <f>IF(AND(_D="A-350",'2024'!$E$4="FO",'2024'!$E$2=BH43),'2024DATA'!$C$4,"")</f>
        <v/>
      </c>
      <c r="BI45" s="518" t="str">
        <f>IF(AND(_D="A-350",'2024'!$E$4="FO",'2024'!$E$2=BI43),'2024DATA'!$D$4,"")</f>
        <v/>
      </c>
      <c r="BJ45" s="518" t="str">
        <f>IF(AND(_D="A-350",'2024'!$E$4="FO",'2024'!$E$2=BJ43),'2024DATA'!$E$4,"")</f>
        <v/>
      </c>
      <c r="BK45" s="518" t="str">
        <f>IF(AND(_D="A-350",'2024'!$E$4="FO",'2024'!$E$2=BK43),'2024DATA'!$F$4,"")</f>
        <v/>
      </c>
      <c r="BL45" s="518" t="str">
        <f>IF(AND(_D="A-350",'2024'!$E$4="FO",'2024'!$E$2=BL43),'2024DATA'!$G$4,"")</f>
        <v/>
      </c>
      <c r="BM45" s="518" t="str">
        <f>IF(AND(_D="A-350",'2024'!$E$4="FO",'2024'!$E$2=BM43),'2024DATA'!$H$4,"")</f>
        <v/>
      </c>
      <c r="BN45" s="518" t="str">
        <f>IF(AND(_D="A-350",'2024'!$E$4="FO",'2024'!$E$2=BN43),'2024DATA'!$I$4,"")</f>
        <v/>
      </c>
      <c r="BO45" s="518" t="str">
        <f>IF(AND(_D="A-350",'2024'!$E$4="FO",'2024'!$E$2=BO43),'2024DATA'!$J$4,"")</f>
        <v/>
      </c>
      <c r="BP45" s="518" t="str">
        <f>IF(AND(_D="A-350",'2024'!$E$4="FO",'2024'!$E$2=BP43),'2024DATA'!$K$4,"")</f>
        <v/>
      </c>
      <c r="BQ45" s="518" t="str">
        <f>IF(AND(_D="A-350",'2024'!$E$4="FO",'2024'!$E$2=BQ43),'2024DATA'!$L$4,"")</f>
        <v/>
      </c>
      <c r="BR45" s="518" t="str">
        <f>IF(AND(_D="A-350",'2024'!$E$4="FO",'2024'!$E$2=BR43),'2024DATA'!$M$4,"")</f>
        <v/>
      </c>
      <c r="BS45" s="520" t="str">
        <f>IF(AND(_D="A-350",'2024'!$E$4="FO",'2024'!$E$2=BS43),'2024DATA'!$N$4,"")</f>
        <v/>
      </c>
      <c r="BT45" s="940"/>
      <c r="BU45" s="13" t="s">
        <v>62</v>
      </c>
      <c r="BV45" s="518" t="str">
        <f>IF(AND(_E="A-350",'2024'!$E$4="FO",'2024'!$E$2=BV43),'2024DATA'!$C$4,"")</f>
        <v/>
      </c>
      <c r="BW45" s="518" t="str">
        <f>IF(AND(_E="A-350",'2024'!$E$4="FO",'2024'!$E$2=BW43),'2024DATA'!$D$4,"")</f>
        <v/>
      </c>
      <c r="BX45" s="518" t="str">
        <f>IF(AND(_E="A-350",'2024'!$E$4="FO",'2024'!$E$2=BX43),'2024DATA'!$E$4,"")</f>
        <v/>
      </c>
      <c r="BY45" s="518" t="str">
        <f>IF(AND(_E="A-350",'2024'!$E$4="FO",'2024'!$E$2=BY43),'2024DATA'!$F$4,"")</f>
        <v/>
      </c>
      <c r="BZ45" s="518" t="str">
        <f>IF(AND(_E="A-350",'2024'!$E$4="FO",'2024'!$E$2=BZ43),'2024DATA'!$G$4,"")</f>
        <v/>
      </c>
      <c r="CA45" s="518" t="str">
        <f>IF(AND(_E="A-350",'2024'!$E$4="FO",'2024'!$E$2=CA43),'2024DATA'!$H$4,"")</f>
        <v/>
      </c>
      <c r="CB45" s="518" t="str">
        <f>IF(AND(_E="A-350",'2024'!$E$4="FO",'2024'!$E$2=CB43),'2024DATA'!$I$4,"")</f>
        <v/>
      </c>
      <c r="CC45" s="518" t="str">
        <f>IF(AND(_E="A-350",'2024'!$E$4="FO",'2024'!$E$2=CC43),'2024DATA'!$J$4,"")</f>
        <v/>
      </c>
      <c r="CD45" s="518" t="str">
        <f>IF(AND(_E="A-350",'2024'!$E$4="FO",'2024'!$E$2=CD43),'2024DATA'!$K$4,"")</f>
        <v/>
      </c>
      <c r="CE45" s="518" t="str">
        <f>IF(AND(_E="A-350",'2024'!$E$4="FO",'2024'!$E$2=CE43),'2024DATA'!$L$4,"")</f>
        <v/>
      </c>
      <c r="CF45" s="518" t="str">
        <f>IF(AND(_E="A-350",'2024'!$E$4="FO",'2024'!$E$2=CF43),'2024DATA'!$M$4,"")</f>
        <v/>
      </c>
      <c r="CG45" s="520" t="str">
        <f>IF(AND(_E="A-350",'2024'!$E$4="FO",'2024'!$E$2=CG43),'2024DATA'!$N$4,"")</f>
        <v/>
      </c>
      <c r="CH45" s="940"/>
      <c r="CI45" s="13" t="s">
        <v>62</v>
      </c>
      <c r="CJ45" s="518" t="str">
        <f>IF(AND(_F="A-350",'2024'!$E$4="FO",'2024'!$E$2=CJ43),'2024DATA'!$C$4,"")</f>
        <v/>
      </c>
      <c r="CK45" s="518" t="str">
        <f>IF(AND(_F="A-350",'2024'!$E$4="FO",'2024'!$E$2=CK43),'2024DATA'!$D$4,"")</f>
        <v/>
      </c>
      <c r="CL45" s="518" t="str">
        <f>IF(AND(_F="A-350",'2024'!$E$4="FO",'2024'!$E$2=CL43),'2024DATA'!$E$4,"")</f>
        <v/>
      </c>
      <c r="CM45" s="518" t="str">
        <f>IF(AND(_F="A-350",'2024'!$E$4="FO",'2024'!$E$2=CM43),'2024DATA'!$F$4,"")</f>
        <v/>
      </c>
      <c r="CN45" s="518" t="str">
        <f>IF(AND(_F="A-350",'2024'!$E$4="FO",'2024'!$E$2=CN43),'2024DATA'!$G$4,"")</f>
        <v/>
      </c>
      <c r="CO45" s="518" t="str">
        <f>IF(AND(_F="A-350",'2024'!$E$4="FO",'2024'!$E$2=CO43),'2024DATA'!$H$4,"")</f>
        <v/>
      </c>
      <c r="CP45" s="518" t="str">
        <f>IF(AND(_F="A-350",'2024'!$E$4="FO",'2024'!$E$2=CP43),'2024DATA'!$I$4,"")</f>
        <v/>
      </c>
      <c r="CQ45" s="518" t="str">
        <f>IF(AND(_F="A-350",'2024'!$E$4="FO",'2024'!$E$2=CQ43),'2024DATA'!$J$4,"")</f>
        <v/>
      </c>
      <c r="CR45" s="518" t="str">
        <f>IF(AND(_F="A-350",'2024'!$E$4="FO",'2024'!$E$2=CR43),'2024DATA'!$K$4,"")</f>
        <v/>
      </c>
      <c r="CS45" s="518" t="str">
        <f>IF(AND(_F="A-350",'2024'!$E$4="FO",'2024'!$E$2=CS43),'2024DATA'!$L$4,"")</f>
        <v/>
      </c>
      <c r="CT45" s="518" t="str">
        <f>IF(AND(_F="A-350",'2024'!$E$4="FO",'2024'!$E$2=CT43),'2024DATA'!$M$4,"")</f>
        <v/>
      </c>
      <c r="CU45" s="520" t="str">
        <f>IF(AND(_F="A-350",'2024'!$E$4="FO",'2024'!$E$2=CU43),'2024DATA'!$N$4,"")</f>
        <v/>
      </c>
    </row>
    <row r="46" spans="1:99" x14ac:dyDescent="0.25">
      <c r="P46" s="940" t="s">
        <v>65</v>
      </c>
      <c r="Q46" s="13" t="s">
        <v>61</v>
      </c>
      <c r="R46" s="518" t="str">
        <f>IF(AND(_A="A-330-900",'2024'!$E$4="CA",'2024'!$E$2=R43),'2024DATA'!$C$5,"")</f>
        <v/>
      </c>
      <c r="S46" s="518" t="str">
        <f>IF(AND(_A="A-330-900",'2024'!$E$4="CA",'2024'!$E$2=S43),'2024DATA'!$D$5,"")</f>
        <v/>
      </c>
      <c r="T46" s="518" t="str">
        <f>IF(AND(_A="A-330-900",'2024'!$E$4="CA",'2024'!$E$2=T43),'2024DATA'!$E$5,"")</f>
        <v/>
      </c>
      <c r="U46" s="518" t="str">
        <f>IF(AND(_A="A-330-900",'2024'!$E$4="CA",'2024'!$E$2=U43),'2024DATA'!$F$5,"")</f>
        <v/>
      </c>
      <c r="V46" s="518" t="str">
        <f>IF(AND(_A="A-330-900",'2024'!$E$4="CA",'2024'!$E$2=V43),'2024DATA'!$G$5,"")</f>
        <v/>
      </c>
      <c r="W46" s="518" t="str">
        <f>IF(AND(_A="A-330-900",'2024'!$E$4="CA",'2024'!$E$2=W43),'2024DATA'!$H$5,"")</f>
        <v/>
      </c>
      <c r="X46" s="518" t="str">
        <f>IF(AND(_A="A-330-900",'2024'!$E$4="CA",'2024'!$E$2=X43),'2024DATA'!$I$5,"")</f>
        <v/>
      </c>
      <c r="Y46" s="518" t="str">
        <f>IF(AND(_A="A-330-900",'2024'!$E$4="CA",'2024'!$E$2=Y43),'2024DATA'!$J$5,"")</f>
        <v/>
      </c>
      <c r="Z46" s="518" t="str">
        <f>IF(AND(_A="A-330-900",'2024'!$E$4="CA",'2024'!$E$2=Z43),'2024DATA'!$K$5,"")</f>
        <v/>
      </c>
      <c r="AA46" s="518" t="str">
        <f>IF(AND(_A="A-330-900",'2024'!$E$4="CA",'2024'!$E$2=AA43),'2024DATA'!$L$5,"")</f>
        <v/>
      </c>
      <c r="AB46" s="518" t="str">
        <f>IF(AND(_A="A-330-900",'2024'!$E$4="CA",'2024'!$E$2=AB43),'2024DATA'!$M$5,"")</f>
        <v/>
      </c>
      <c r="AC46" s="520" t="str">
        <f>IF(AND(_A="A-330-900",'2024'!$E$4="CA",'2024'!$E$2=AC43),'2024DATA'!$N$5,"")</f>
        <v/>
      </c>
      <c r="AD46" s="940" t="s">
        <v>65</v>
      </c>
      <c r="AE46" s="13" t="s">
        <v>61</v>
      </c>
      <c r="AF46" s="518" t="str">
        <f>IF(AND(_B="A-330-900",'2024'!$E$4="CA",'2024'!$E$2=AF43),'2024DATA'!$C$5,"")</f>
        <v/>
      </c>
      <c r="AG46" s="518" t="str">
        <f>IF(AND(_B="A-330-900",'2024'!$E$4="CA",'2024'!$E$2=AG43),'2024DATA'!$D$5,"")</f>
        <v/>
      </c>
      <c r="AH46" s="518" t="str">
        <f>IF(AND(_B="A-330-900",'2024'!$E$4="CA",'2024'!$E$2=AH43),'2024DATA'!$E$5,"")</f>
        <v/>
      </c>
      <c r="AI46" s="518" t="str">
        <f>IF(AND(_B="A-330-900",'2024'!$E$4="CA",'2024'!$E$2=AI43),'2024DATA'!$F$5,"")</f>
        <v/>
      </c>
      <c r="AJ46" s="518" t="str">
        <f>IF(AND(_B="A-330-900",'2024'!$E$4="CA",'2024'!$E$2=AJ43),'2024DATA'!$G$5,"")</f>
        <v/>
      </c>
      <c r="AK46" s="518" t="str">
        <f>IF(AND(_B="A-330-900",'2024'!$E$4="CA",'2024'!$E$2=AK43),'2024DATA'!$H$5,"")</f>
        <v/>
      </c>
      <c r="AL46" s="518" t="str">
        <f>IF(AND(_B="A-330-900",'2024'!$E$4="CA",'2024'!$E$2=AL43),'2024DATA'!$I$5,"")</f>
        <v/>
      </c>
      <c r="AM46" s="518" t="str">
        <f>IF(AND(_B="A-330-900",'2024'!$E$4="CA",'2024'!$E$2=AM43),'2024DATA'!$J$5,"")</f>
        <v/>
      </c>
      <c r="AN46" s="518" t="str">
        <f>IF(AND(_B="A-330-900",'2024'!$E$4="CA",'2024'!$E$2=AN43),'2024DATA'!$K$5,"")</f>
        <v/>
      </c>
      <c r="AO46" s="518" t="str">
        <f>IF(AND(_B="A-330-900",'2024'!$E$4="CA",'2024'!$E$2=AO43),'2024DATA'!$L$5,"")</f>
        <v/>
      </c>
      <c r="AP46" s="518" t="str">
        <f>IF(AND(_B="A-330-900",'2024'!$E$4="CA",'2024'!$E$2=AP43),'2024DATA'!$M$5,"")</f>
        <v/>
      </c>
      <c r="AQ46" s="520" t="str">
        <f>IF(AND(_B="A-330-900",'2024'!$E$4="CA",'2024'!$E$2=AQ43),'2024DATA'!$N$5,"")</f>
        <v/>
      </c>
      <c r="AR46" s="940" t="s">
        <v>65</v>
      </c>
      <c r="AS46" s="13" t="s">
        <v>61</v>
      </c>
      <c r="AT46" s="518" t="str">
        <f>IF(AND(_C="A-330-900",'2024'!$E$4="CA",'2024'!$E$2=AT43),'2024DATA'!$C$5,"")</f>
        <v/>
      </c>
      <c r="AU46" s="518" t="str">
        <f>IF(AND(_C="A-330-900",'2024'!$E$4="CA",'2024'!$E$2=AU43),'2024DATA'!$D$5,"")</f>
        <v/>
      </c>
      <c r="AV46" s="518" t="str">
        <f>IF(AND(_C="A-330-900",'2024'!$E$4="CA",'2024'!$E$2=AV43),'2024DATA'!$E$5,"")</f>
        <v/>
      </c>
      <c r="AW46" s="518" t="str">
        <f>IF(AND(_C="A-330-900",'2024'!$E$4="CA",'2024'!$E$2=AW43),'2024DATA'!$F$5,"")</f>
        <v/>
      </c>
      <c r="AX46" s="518" t="str">
        <f>IF(AND(_C="A-330-900",'2024'!$E$4="CA",'2024'!$E$2=AX43),'2024DATA'!$G$5,"")</f>
        <v/>
      </c>
      <c r="AY46" s="518" t="str">
        <f>IF(AND(_C="A-330-900",'2024'!$E$4="CA",'2024'!$E$2=AY43),'2024DATA'!$H$5,"")</f>
        <v/>
      </c>
      <c r="AZ46" s="518" t="str">
        <f>IF(AND(_C="A-330-900",'2024'!$E$4="CA",'2024'!$E$2=AZ43),'2024DATA'!$I$5,"")</f>
        <v/>
      </c>
      <c r="BA46" s="518" t="str">
        <f>IF(AND(_C="A-330-900",'2024'!$E$4="CA",'2024'!$E$2=BA43),'2024DATA'!$J$5,"")</f>
        <v/>
      </c>
      <c r="BB46" s="518" t="str">
        <f>IF(AND(_C="A-330-900",'2024'!$E$4="CA",'2024'!$E$2=BB43),'2024DATA'!$K$5,"")</f>
        <v/>
      </c>
      <c r="BC46" s="518" t="str">
        <f>IF(AND(_C="A-330-900",'2024'!$E$4="CA",'2024'!$E$2=BC43),'2024DATA'!$L$5,"")</f>
        <v/>
      </c>
      <c r="BD46" s="518" t="str">
        <f>IF(AND(_C="A-330-900",'2024'!$E$4="CA",'2024'!$E$2=BD43),'2024DATA'!$M$5,"")</f>
        <v/>
      </c>
      <c r="BE46" s="520" t="str">
        <f>IF(AND(_C="A-330-900",'2024'!$E$4="CA",'2024'!$E$2=BE43),'2024DATA'!$N$5,"")</f>
        <v/>
      </c>
      <c r="BF46" s="940" t="s">
        <v>65</v>
      </c>
      <c r="BG46" s="13" t="s">
        <v>61</v>
      </c>
      <c r="BH46" s="518" t="str">
        <f>IF(AND(_D="A-330-900",'2024'!$E$4="CA",'2024'!$E$2=BH43),'2024DATA'!$C$5,"")</f>
        <v/>
      </c>
      <c r="BI46" s="518" t="str">
        <f>IF(AND(_D="A-330-900",'2024'!$E$4="CA",'2024'!$E$2=BI43),'2024DATA'!$D$5,"")</f>
        <v/>
      </c>
      <c r="BJ46" s="518" t="str">
        <f>IF(AND(_D="A-330-900",'2024'!$E$4="CA",'2024'!$E$2=BJ43),'2024DATA'!$E$5,"")</f>
        <v/>
      </c>
      <c r="BK46" s="518" t="str">
        <f>IF(AND(_D="A-330-900",'2024'!$E$4="CA",'2024'!$E$2=BK43),'2024DATA'!$F$5,"")</f>
        <v/>
      </c>
      <c r="BL46" s="518" t="str">
        <f>IF(AND(_D="A-330-900",'2024'!$E$4="CA",'2024'!$E$2=BL43),'2024DATA'!$G$5,"")</f>
        <v/>
      </c>
      <c r="BM46" s="518" t="str">
        <f>IF(AND(_D="A-330-900",'2024'!$E$4="CA",'2024'!$E$2=BM43),'2024DATA'!$H$5,"")</f>
        <v/>
      </c>
      <c r="BN46" s="518" t="str">
        <f>IF(AND(_D="A-330-900",'2024'!$E$4="CA",'2024'!$E$2=BN43),'2024DATA'!$I$5,"")</f>
        <v/>
      </c>
      <c r="BO46" s="518" t="str">
        <f>IF(AND(_D="A-330-900",'2024'!$E$4="CA",'2024'!$E$2=BO43),'2024DATA'!$J$5,"")</f>
        <v/>
      </c>
      <c r="BP46" s="518" t="str">
        <f>IF(AND(_D="A-330-900",'2024'!$E$4="CA",'2024'!$E$2=BP43),'2024DATA'!$K$5,"")</f>
        <v/>
      </c>
      <c r="BQ46" s="518" t="str">
        <f>IF(AND(_D="A-330-900",'2024'!$E$4="CA",'2024'!$E$2=BQ43),'2024DATA'!$L$5,"")</f>
        <v/>
      </c>
      <c r="BR46" s="518" t="str">
        <f>IF(AND(_D="A-330-900",'2024'!$E$4="CA",'2024'!$E$2=BR43),'2024DATA'!$M$5,"")</f>
        <v/>
      </c>
      <c r="BS46" s="520" t="str">
        <f>IF(AND(_D="A-330-900",'2024'!$E$4="CA",'2024'!$E$2=BS43),'2024DATA'!$N$5,"")</f>
        <v/>
      </c>
      <c r="BT46" s="940" t="s">
        <v>65</v>
      </c>
      <c r="BU46" s="13" t="s">
        <v>61</v>
      </c>
      <c r="BV46" s="518" t="str">
        <f>IF(AND(_E="A-330-900",'2024'!$E$4="CA",'2024'!$E$2=BV43),'2024DATA'!$C$5,"")</f>
        <v/>
      </c>
      <c r="BW46" s="518" t="str">
        <f>IF(AND(_E="A-330-900",'2024'!$E$4="CA",'2024'!$E$2=BW43),'2024DATA'!$D$5,"")</f>
        <v/>
      </c>
      <c r="BX46" s="518" t="str">
        <f>IF(AND(_E="A-330-900",'2024'!$E$4="CA",'2024'!$E$2=BX43),'2024DATA'!$E$5,"")</f>
        <v/>
      </c>
      <c r="BY46" s="518" t="str">
        <f>IF(AND(_E="A-330-900",'2024'!$E$4="CA",'2024'!$E$2=BY43),'2024DATA'!$F$5,"")</f>
        <v/>
      </c>
      <c r="BZ46" s="518" t="str">
        <f>IF(AND(_E="A-330-900",'2024'!$E$4="CA",'2024'!$E$2=BZ43),'2024DATA'!$G$5,"")</f>
        <v/>
      </c>
      <c r="CA46" s="518" t="str">
        <f>IF(AND(_E="A-330-900",'2024'!$E$4="CA",'2024'!$E$2=CA43),'2024DATA'!$H$5,"")</f>
        <v/>
      </c>
      <c r="CB46" s="518" t="str">
        <f>IF(AND(_E="A-330-900",'2024'!$E$4="CA",'2024'!$E$2=CB43),'2024DATA'!$I$5,"")</f>
        <v/>
      </c>
      <c r="CC46" s="518" t="str">
        <f>IF(AND(_E="A-330-900",'2024'!$E$4="CA",'2024'!$E$2=CC43),'2024DATA'!$J$5,"")</f>
        <v/>
      </c>
      <c r="CD46" s="518" t="str">
        <f>IF(AND(_E="A-330-900",'2024'!$E$4="CA",'2024'!$E$2=CD43),'2024DATA'!$K$5,"")</f>
        <v/>
      </c>
      <c r="CE46" s="518" t="str">
        <f>IF(AND(_E="A-330-900",'2024'!$E$4="CA",'2024'!$E$2=CE43),'2024DATA'!$L$5,"")</f>
        <v/>
      </c>
      <c r="CF46" s="518" t="str">
        <f>IF(AND(_E="A-330-900",'2024'!$E$4="CA",'2024'!$E$2=CF43),'2024DATA'!$M$5,"")</f>
        <v/>
      </c>
      <c r="CG46" s="520" t="str">
        <f>IF(AND(_E="A-330-900",'2024'!$E$4="CA",'2024'!$E$2=CG43),'2024DATA'!$N$5,"")</f>
        <v/>
      </c>
      <c r="CH46" s="940" t="s">
        <v>65</v>
      </c>
      <c r="CI46" s="13" t="s">
        <v>61</v>
      </c>
      <c r="CJ46" s="518" t="str">
        <f>IF(AND(_F="A-330-900",'2024'!$E$4="CA",'2024'!$E$2=CJ43),'2024DATA'!$C$5,"")</f>
        <v/>
      </c>
      <c r="CK46" s="518" t="str">
        <f>IF(AND(_F="A-330-900",'2024'!$E$4="CA",'2024'!$E$2=CK43),'2024DATA'!$D$5,"")</f>
        <v/>
      </c>
      <c r="CL46" s="518" t="str">
        <f>IF(AND(_F="A-330-900",'2024'!$E$4="CA",'2024'!$E$2=CL43),'2024DATA'!$E$5,"")</f>
        <v/>
      </c>
      <c r="CM46" s="518" t="str">
        <f>IF(AND(_F="A-330-900",'2024'!$E$4="CA",'2024'!$E$2=CM43),'2024DATA'!$F$5,"")</f>
        <v/>
      </c>
      <c r="CN46" s="518" t="str">
        <f>IF(AND(_F="A-330-900",'2024'!$E$4="CA",'2024'!$E$2=CN43),'2024DATA'!$G$5,"")</f>
        <v/>
      </c>
      <c r="CO46" s="518" t="str">
        <f>IF(AND(_F="A-330-900",'2024'!$E$4="CA",'2024'!$E$2=CO43),'2024DATA'!$H$5,"")</f>
        <v/>
      </c>
      <c r="CP46" s="518" t="str">
        <f>IF(AND(_F="A-330-900",'2024'!$E$4="CA",'2024'!$E$2=CP43),'2024DATA'!$I$5,"")</f>
        <v/>
      </c>
      <c r="CQ46" s="518" t="str">
        <f>IF(AND(_F="A-330-900",'2024'!$E$4="CA",'2024'!$E$2=CQ43),'2024DATA'!$J$5,"")</f>
        <v/>
      </c>
      <c r="CR46" s="518" t="str">
        <f>IF(AND(_F="A-330-900",'2024'!$E$4="CA",'2024'!$E$2=CR43),'2024DATA'!$K$5,"")</f>
        <v/>
      </c>
      <c r="CS46" s="518" t="str">
        <f>IF(AND(_F="A-330-900",'2024'!$E$4="CA",'2024'!$E$2=CS43),'2024DATA'!$L$5,"")</f>
        <v/>
      </c>
      <c r="CT46" s="518" t="str">
        <f>IF(AND(_F="A-330-900",'2024'!$E$4="CA",'2024'!$E$2=CT43),'2024DATA'!$M$5,"")</f>
        <v/>
      </c>
      <c r="CU46" s="520" t="str">
        <f>IF(AND(_F="A-330-900",'2024'!$E$4="CA",'2024'!$E$2=CU43),'2024DATA'!$N$5,"")</f>
        <v/>
      </c>
    </row>
    <row r="47" spans="1:99" x14ac:dyDescent="0.25">
      <c r="P47" s="940"/>
      <c r="Q47" s="13" t="s">
        <v>62</v>
      </c>
      <c r="R47" s="518" t="str">
        <f>IF(AND(_A="A-330-900",'2024'!$E$4="FO",'2024'!$E$2=R43),'2024DATA'!$C$6,"")</f>
        <v/>
      </c>
      <c r="S47" s="518" t="str">
        <f>IF(AND(_A="A-330-900",'2024'!$E$4="FO",'2024'!$E$2=S43),'2024DATA'!$D$6,"")</f>
        <v/>
      </c>
      <c r="T47" s="518" t="str">
        <f>IF(AND(_A="A-330-900",'2024'!$E$4="FO",'2024'!$E$2=T43),'2024DATA'!$E$6,"")</f>
        <v/>
      </c>
      <c r="U47" s="518" t="str">
        <f>IF(AND(_A="A-330-900",'2024'!$E$4="FO",'2024'!$E$2=U43),'2024DATA'!$F$6,"")</f>
        <v/>
      </c>
      <c r="V47" s="518" t="str">
        <f>IF(AND(_A="A-330-900",'2024'!$E$4="FO",'2024'!$E$2=V43),'2024DATA'!$G$6,"")</f>
        <v/>
      </c>
      <c r="W47" s="518" t="str">
        <f>IF(AND(_A="A-330-900",'2024'!$E$4="FO",'2024'!$E$2=W43),'2024DATA'!$H$6,"")</f>
        <v/>
      </c>
      <c r="X47" s="518" t="str">
        <f>IF(AND(_A="A-330-900",'2024'!$E$4="FO",'2024'!$E$2=X43),'2024DATA'!$I$6,"")</f>
        <v/>
      </c>
      <c r="Y47" s="518" t="str">
        <f>IF(AND(_A="A-330-900",'2024'!$E$4="FO",'2024'!$E$2=Y43),'2024DATA'!$J$6,"")</f>
        <v/>
      </c>
      <c r="Z47" s="518" t="str">
        <f>IF(AND(_A="A-330-900",'2024'!$E$4="FO",'2024'!$E$2=Z43),'2024DATA'!$K$6,"")</f>
        <v/>
      </c>
      <c r="AA47" s="518" t="str">
        <f>IF(AND(_A="A-330-900",'2024'!$E$4="FO",'2024'!$E$2=AA43),'2024DATA'!$L$6,"")</f>
        <v/>
      </c>
      <c r="AB47" s="518" t="str">
        <f>IF(AND(_A="A-330-900",'2024'!$E$4="FO",'2024'!$E$2=AB43),'2024DATA'!$M$6,"")</f>
        <v/>
      </c>
      <c r="AC47" s="520" t="str">
        <f>IF(AND(_A="A-330-900",'2024'!$E$4="FO",'2024'!$E$2=AC43),'2024DATA'!$N$6,"")</f>
        <v/>
      </c>
      <c r="AD47" s="940"/>
      <c r="AE47" s="13" t="s">
        <v>62</v>
      </c>
      <c r="AF47" s="518" t="str">
        <f>IF(AND(_B="A-330-900",'2024'!$E$4="FO",'2024'!$E$2=AF43),'2024DATA'!$C$6,"")</f>
        <v/>
      </c>
      <c r="AG47" s="518" t="str">
        <f>IF(AND(_B="A-330-900",'2024'!$E$4="FO",'2024'!$E$2=AG43),'2024DATA'!$D$6,"")</f>
        <v/>
      </c>
      <c r="AH47" s="518" t="str">
        <f>IF(AND(_B="A-330-900",'2024'!$E$4="FO",'2024'!$E$2=AH43),'2024DATA'!$E$6,"")</f>
        <v/>
      </c>
      <c r="AI47" s="518" t="str">
        <f>IF(AND(_B="A-330-900",'2024'!$E$4="FO",'2024'!$E$2=AI43),'2024DATA'!$F$6,"")</f>
        <v/>
      </c>
      <c r="AJ47" s="518" t="str">
        <f>IF(AND(_B="A-330-900",'2024'!$E$4="FO",'2024'!$E$2=AJ43),'2024DATA'!$G$6,"")</f>
        <v/>
      </c>
      <c r="AK47" s="518" t="str">
        <f>IF(AND(_B="A-330-900",'2024'!$E$4="FO",'2024'!$E$2=AK43),'2024DATA'!$H$6,"")</f>
        <v/>
      </c>
      <c r="AL47" s="518" t="str">
        <f>IF(AND(_B="A-330-900",'2024'!$E$4="FO",'2024'!$E$2=AL43),'2024DATA'!$I$6,"")</f>
        <v/>
      </c>
      <c r="AM47" s="518" t="str">
        <f>IF(AND(_B="A-330-900",'2024'!$E$4="FO",'2024'!$E$2=AM43),'2024DATA'!$J$6,"")</f>
        <v/>
      </c>
      <c r="AN47" s="518" t="str">
        <f>IF(AND(_B="A-330-900",'2024'!$E$4="FO",'2024'!$E$2=AN43),'2024DATA'!$K$6,"")</f>
        <v/>
      </c>
      <c r="AO47" s="518" t="str">
        <f>IF(AND(_B="A-330-900",'2024'!$E$4="FO",'2024'!$E$2=AO43),'2024DATA'!$L$6,"")</f>
        <v/>
      </c>
      <c r="AP47" s="518" t="str">
        <f>IF(AND(_B="A-330-900",'2024'!$E$4="FO",'2024'!$E$2=AP43),'2024DATA'!$M$6,"")</f>
        <v/>
      </c>
      <c r="AQ47" s="520" t="str">
        <f>IF(AND(_B="A-330-900",'2024'!$E$4="FO",'2024'!$E$2=AQ43),'2024DATA'!$N$6,"")</f>
        <v/>
      </c>
      <c r="AR47" s="940"/>
      <c r="AS47" s="13" t="s">
        <v>62</v>
      </c>
      <c r="AT47" s="518" t="str">
        <f>IF(AND(_C="A-330-900",'2024'!$E$4="FO",'2024'!$E$2=AT43),'2024DATA'!$C$6,"")</f>
        <v/>
      </c>
      <c r="AU47" s="518" t="str">
        <f>IF(AND(_C="A-330-900",'2024'!$E$4="FO",'2024'!$E$2=AU43),'2024DATA'!$D$6,"")</f>
        <v/>
      </c>
      <c r="AV47" s="518" t="str">
        <f>IF(AND(_C="A-330-900",'2024'!$E$4="FO",'2024'!$E$2=AV43),'2024DATA'!$E$6,"")</f>
        <v/>
      </c>
      <c r="AW47" s="518" t="str">
        <f>IF(AND(_C="A-330-900",'2024'!$E$4="FO",'2024'!$E$2=AW43),'2024DATA'!$F$6,"")</f>
        <v/>
      </c>
      <c r="AX47" s="518" t="str">
        <f>IF(AND(_C="A-330-900",'2024'!$E$4="FO",'2024'!$E$2=AX43),'2024DATA'!$G$6,"")</f>
        <v/>
      </c>
      <c r="AY47" s="518" t="str">
        <f>IF(AND(_C="A-330-900",'2024'!$E$4="FO",'2024'!$E$2=AY43),'2024DATA'!$H$6,"")</f>
        <v/>
      </c>
      <c r="AZ47" s="518" t="str">
        <f>IF(AND(_C="A-330-900",'2024'!$E$4="FO",'2024'!$E$2=AZ43),'2024DATA'!$I$6,"")</f>
        <v/>
      </c>
      <c r="BA47" s="518" t="str">
        <f>IF(AND(_C="A-330-900",'2024'!$E$4="FO",'2024'!$E$2=BA43),'2024DATA'!$J$6,"")</f>
        <v/>
      </c>
      <c r="BB47" s="518" t="str">
        <f>IF(AND(_C="A-330-900",'2024'!$E$4="FO",'2024'!$E$2=BB43),'2024DATA'!$K$6,"")</f>
        <v/>
      </c>
      <c r="BC47" s="518" t="str">
        <f>IF(AND(_C="A-330-900",'2024'!$E$4="FO",'2024'!$E$2=BC43),'2024DATA'!$L$6,"")</f>
        <v/>
      </c>
      <c r="BD47" s="518" t="str">
        <f>IF(AND(_C="A-330-900",'2024'!$E$4="FO",'2024'!$E$2=BD43),'2024DATA'!$M$6,"")</f>
        <v/>
      </c>
      <c r="BE47" s="520" t="str">
        <f>IF(AND(_C="A-330-900",'2024'!$E$4="FO",'2024'!$E$2=BE43),'2024DATA'!$N$6,"")</f>
        <v/>
      </c>
      <c r="BF47" s="940"/>
      <c r="BG47" s="13" t="s">
        <v>62</v>
      </c>
      <c r="BH47" s="518" t="str">
        <f>IF(AND(_D="A-330-900",'2024'!$E$4="FO",'2024'!$E$2=BH43),'2024DATA'!$C$6,"")</f>
        <v/>
      </c>
      <c r="BI47" s="518" t="str">
        <f>IF(AND(_D="A-330-900",'2024'!$E$4="FO",'2024'!$E$2=BI43),'2024DATA'!$D$6,"")</f>
        <v/>
      </c>
      <c r="BJ47" s="518" t="str">
        <f>IF(AND(_D="A-330-900",'2024'!$E$4="FO",'2024'!$E$2=BJ43),'2024DATA'!$E$6,"")</f>
        <v/>
      </c>
      <c r="BK47" s="518" t="str">
        <f>IF(AND(_D="A-330-900",'2024'!$E$4="FO",'2024'!$E$2=BK43),'2024DATA'!$F$6,"")</f>
        <v/>
      </c>
      <c r="BL47" s="518" t="str">
        <f>IF(AND(_D="A-330-900",'2024'!$E$4="FO",'2024'!$E$2=BL43),'2024DATA'!$G$6,"")</f>
        <v/>
      </c>
      <c r="BM47" s="518" t="str">
        <f>IF(AND(_D="A-330-900",'2024'!$E$4="FO",'2024'!$E$2=BM43),'2024DATA'!$H$6,"")</f>
        <v/>
      </c>
      <c r="BN47" s="518" t="str">
        <f>IF(AND(_D="A-330-900",'2024'!$E$4="FO",'2024'!$E$2=BN43),'2024DATA'!$I$6,"")</f>
        <v/>
      </c>
      <c r="BO47" s="518" t="str">
        <f>IF(AND(_D="A-330-900",'2024'!$E$4="FO",'2024'!$E$2=BO43),'2024DATA'!$J$6,"")</f>
        <v/>
      </c>
      <c r="BP47" s="518" t="str">
        <f>IF(AND(_D="A-330-900",'2024'!$E$4="FO",'2024'!$E$2=BP43),'2024DATA'!$K$6,"")</f>
        <v/>
      </c>
      <c r="BQ47" s="518" t="str">
        <f>IF(AND(_D="A-330-900",'2024'!$E$4="FO",'2024'!$E$2=BQ43),'2024DATA'!$L$6,"")</f>
        <v/>
      </c>
      <c r="BR47" s="518" t="str">
        <f>IF(AND(_D="A-330-900",'2024'!$E$4="FO",'2024'!$E$2=BR43),'2024DATA'!$M$6,"")</f>
        <v/>
      </c>
      <c r="BS47" s="520" t="str">
        <f>IF(AND(_D="A-330-900",'2024'!$E$4="FO",'2024'!$E$2=BS43),'2024DATA'!$N$6,"")</f>
        <v/>
      </c>
      <c r="BT47" s="940"/>
      <c r="BU47" s="13" t="s">
        <v>62</v>
      </c>
      <c r="BV47" s="518" t="str">
        <f>IF(AND(_E="A-330-900",'2024'!$E$4="FO",'2024'!$E$2=BV43),'2024DATA'!$C$6,"")</f>
        <v/>
      </c>
      <c r="BW47" s="518" t="str">
        <f>IF(AND(_E="A-330-900",'2024'!$E$4="FO",'2024'!$E$2=BW43),'2024DATA'!$D$6,"")</f>
        <v/>
      </c>
      <c r="BX47" s="518" t="str">
        <f>IF(AND(_E="A-330-900",'2024'!$E$4="FO",'2024'!$E$2=BX43),'2024DATA'!$E$6,"")</f>
        <v/>
      </c>
      <c r="BY47" s="518" t="str">
        <f>IF(AND(_E="A-330-900",'2024'!$E$4="FO",'2024'!$E$2=BY43),'2024DATA'!$F$6,"")</f>
        <v/>
      </c>
      <c r="BZ47" s="518" t="str">
        <f>IF(AND(_E="A-330-900",'2024'!$E$4="FO",'2024'!$E$2=BZ43),'2024DATA'!$G$6,"")</f>
        <v/>
      </c>
      <c r="CA47" s="518" t="str">
        <f>IF(AND(_E="A-330-900",'2024'!$E$4="FO",'2024'!$E$2=CA43),'2024DATA'!$H$6,"")</f>
        <v/>
      </c>
      <c r="CB47" s="518" t="str">
        <f>IF(AND(_E="A-330-900",'2024'!$E$4="FO",'2024'!$E$2=CB43),'2024DATA'!$I$6,"")</f>
        <v/>
      </c>
      <c r="CC47" s="518" t="str">
        <f>IF(AND(_E="A-330-900",'2024'!$E$4="FO",'2024'!$E$2=CC43),'2024DATA'!$J$6,"")</f>
        <v/>
      </c>
      <c r="CD47" s="518" t="str">
        <f>IF(AND(_E="A-330-900",'2024'!$E$4="FO",'2024'!$E$2=CD43),'2024DATA'!$K$6,"")</f>
        <v/>
      </c>
      <c r="CE47" s="518" t="str">
        <f>IF(AND(_E="A-330-900",'2024'!$E$4="FO",'2024'!$E$2=CE43),'2024DATA'!$L$6,"")</f>
        <v/>
      </c>
      <c r="CF47" s="518" t="str">
        <f>IF(AND(_E="A-330-900",'2024'!$E$4="FO",'2024'!$E$2=CF43),'2024DATA'!$M$6,"")</f>
        <v/>
      </c>
      <c r="CG47" s="520" t="str">
        <f>IF(AND(_E="A-330-900",'2024'!$E$4="FO",'2024'!$E$2=CG43),'2024DATA'!$N$6,"")</f>
        <v/>
      </c>
      <c r="CH47" s="940"/>
      <c r="CI47" s="13" t="s">
        <v>62</v>
      </c>
      <c r="CJ47" s="518" t="str">
        <f>IF(AND(_F="A-330-900",'2024'!$E$4="FO",'2024'!$E$2=CJ43),'2024DATA'!$C$6,"")</f>
        <v/>
      </c>
      <c r="CK47" s="518" t="str">
        <f>IF(AND(_F="A-330-900",'2024'!$E$4="FO",'2024'!$E$2=CK43),'2024DATA'!$D$6,"")</f>
        <v/>
      </c>
      <c r="CL47" s="518" t="str">
        <f>IF(AND(_F="A-330-900",'2024'!$E$4="FO",'2024'!$E$2=CL43),'2024DATA'!$E$6,"")</f>
        <v/>
      </c>
      <c r="CM47" s="518" t="str">
        <f>IF(AND(_F="A-330-900",'2024'!$E$4="FO",'2024'!$E$2=CM43),'2024DATA'!$F$6,"")</f>
        <v/>
      </c>
      <c r="CN47" s="518" t="str">
        <f>IF(AND(_F="A-330-900",'2024'!$E$4="FO",'2024'!$E$2=CN43),'2024DATA'!$G$6,"")</f>
        <v/>
      </c>
      <c r="CO47" s="518" t="str">
        <f>IF(AND(_F="A-330-900",'2024'!$E$4="FO",'2024'!$E$2=CO43),'2024DATA'!$H$6,"")</f>
        <v/>
      </c>
      <c r="CP47" s="518" t="str">
        <f>IF(AND(_F="A-330-900",'2024'!$E$4="FO",'2024'!$E$2=CP43),'2024DATA'!$I$6,"")</f>
        <v/>
      </c>
      <c r="CQ47" s="518" t="str">
        <f>IF(AND(_F="A-330-900",'2024'!$E$4="FO",'2024'!$E$2=CQ43),'2024DATA'!$J$6,"")</f>
        <v/>
      </c>
      <c r="CR47" s="518" t="str">
        <f>IF(AND(_F="A-330-900",'2024'!$E$4="FO",'2024'!$E$2=CR43),'2024DATA'!$K$6,"")</f>
        <v/>
      </c>
      <c r="CS47" s="518" t="str">
        <f>IF(AND(_F="A-330-900",'2024'!$E$4="FO",'2024'!$E$2=CS43),'2024DATA'!$L$6,"")</f>
        <v/>
      </c>
      <c r="CT47" s="518" t="str">
        <f>IF(AND(_F="A-330-900",'2024'!$E$4="FO",'2024'!$E$2=CT43),'2024DATA'!$M$6,"")</f>
        <v/>
      </c>
      <c r="CU47" s="520" t="str">
        <f>IF(AND(_F="A-330-900",'2024'!$E$4="FO",'2024'!$E$2=CU43),'2024DATA'!$N$6,"")</f>
        <v/>
      </c>
    </row>
    <row r="48" spans="1:99" x14ac:dyDescent="0.25">
      <c r="P48" s="940" t="s">
        <v>64</v>
      </c>
      <c r="Q48" s="13" t="s">
        <v>61</v>
      </c>
      <c r="R48" s="518" t="str">
        <f>IF(AND(_A="A-330-300",'2024'!$E$4="CA",'2024'!$E$2=R43),'2024DATA'!$C$7,"")</f>
        <v/>
      </c>
      <c r="S48" s="518" t="str">
        <f>IF(AND(_A="A-330-300",'2024'!$E$4="CA",'2024'!$E$2=S43),'2024DATA'!$D$7,"")</f>
        <v/>
      </c>
      <c r="T48" s="518" t="str">
        <f>IF(AND(_A="A-330-300",'2024'!$E$4="CA",'2024'!$E$2=T43),'2024DATA'!$E$7,"")</f>
        <v/>
      </c>
      <c r="U48" s="518" t="str">
        <f>IF(AND(_A="A-330-300",'2024'!$E$4="CA",'2024'!$E$2=U43),'2024DATA'!$F$7,"")</f>
        <v/>
      </c>
      <c r="V48" s="518" t="str">
        <f>IF(AND(_A="A-330-300",'2024'!$E$4="CA",'2024'!$E$2=V43),'2024DATA'!$G$7,"")</f>
        <v/>
      </c>
      <c r="W48" s="518" t="str">
        <f>IF(AND(_A="A-330-300",'2024'!$E$4="CA",'2024'!$E$2=W43),'2024DATA'!$H$7,"")</f>
        <v/>
      </c>
      <c r="X48" s="518" t="str">
        <f>IF(AND(_A="A-330-300",'2024'!$E$4="CA",'2024'!$E$2=X43),'2024DATA'!$I$7,"")</f>
        <v/>
      </c>
      <c r="Y48" s="518" t="str">
        <f>IF(AND(_A="A-330-300",'2024'!$E$4="CA",'2024'!$E$2=Y43),'2024DATA'!$J$7,"")</f>
        <v/>
      </c>
      <c r="Z48" s="518" t="str">
        <f>IF(AND(_A="A-330-300",'2024'!$E$4="CA",'2024'!$E$2=Z43),'2024DATA'!$K$7,"")</f>
        <v/>
      </c>
      <c r="AA48" s="518" t="str">
        <f>IF(AND(_A="A-330-300",'2024'!$E$4="CA",'2024'!$E$2=AA43),'2024DATA'!$L$7,"")</f>
        <v/>
      </c>
      <c r="AB48" s="518" t="str">
        <f>IF(AND(_A="A-330-300",'2024'!$E$4="CA",'2024'!$E$2=AB43),'2024DATA'!$M$7,"")</f>
        <v/>
      </c>
      <c r="AC48" s="520" t="str">
        <f>IF(AND(_A="A-330-300",'2024'!$E$4="CA",'2024'!$E$2=AC43),'2024DATA'!$N$7,"")</f>
        <v/>
      </c>
      <c r="AD48" s="940" t="s">
        <v>64</v>
      </c>
      <c r="AE48" s="13" t="s">
        <v>61</v>
      </c>
      <c r="AF48" s="518" t="str">
        <f>IF(AND(_B="A-330-300",'2024'!$E$4="CA",'2024'!$E$2=AF43),'2024DATA'!$C$7,"")</f>
        <v/>
      </c>
      <c r="AG48" s="518" t="str">
        <f>IF(AND(_B="A-330-300",'2024'!$E$4="CA",'2024'!$E$2=AG43),'2024DATA'!$D$7,"")</f>
        <v/>
      </c>
      <c r="AH48" s="518" t="str">
        <f>IF(AND(_B="A-330-300",'2024'!$E$4="CA",'2024'!$E$2=AH43),'2024DATA'!$E$7,"")</f>
        <v/>
      </c>
      <c r="AI48" s="518" t="str">
        <f>IF(AND(_B="A-330-300",'2024'!$E$4="CA",'2024'!$E$2=AI43),'2024DATA'!$F$7,"")</f>
        <v/>
      </c>
      <c r="AJ48" s="518" t="str">
        <f>IF(AND(_B="A-330-300",'2024'!$E$4="CA",'2024'!$E$2=AJ43),'2024DATA'!$G$7,"")</f>
        <v/>
      </c>
      <c r="AK48" s="518" t="str">
        <f>IF(AND(_B="A-330-300",'2024'!$E$4="CA",'2024'!$E$2=AK43),'2024DATA'!$H$7,"")</f>
        <v/>
      </c>
      <c r="AL48" s="518" t="str">
        <f>IF(AND(_B="A-330-300",'2024'!$E$4="CA",'2024'!$E$2=AL43),'2024DATA'!$I$7,"")</f>
        <v/>
      </c>
      <c r="AM48" s="518" t="str">
        <f>IF(AND(_B="A-330-300",'2024'!$E$4="CA",'2024'!$E$2=AM43),'2024DATA'!$J$7,"")</f>
        <v/>
      </c>
      <c r="AN48" s="518" t="str">
        <f>IF(AND(_B="A-330-300",'2024'!$E$4="CA",'2024'!$E$2=AN43),'2024DATA'!$K$7,"")</f>
        <v/>
      </c>
      <c r="AO48" s="518" t="str">
        <f>IF(AND(_B="A-330-300",'2024'!$E$4="CA",'2024'!$E$2=AO43),'2024DATA'!$L$7,"")</f>
        <v/>
      </c>
      <c r="AP48" s="518" t="str">
        <f>IF(AND(_B="A-330-300",'2024'!$E$4="CA",'2024'!$E$2=AP43),'2024DATA'!$M$7,"")</f>
        <v/>
      </c>
      <c r="AQ48" s="520" t="str">
        <f>IF(AND(_B="A-330-300",'2024'!$E$4="CA",'2024'!$E$2=AQ43),'2024DATA'!$N$7,"")</f>
        <v/>
      </c>
      <c r="AR48" s="940" t="s">
        <v>64</v>
      </c>
      <c r="AS48" s="13" t="s">
        <v>61</v>
      </c>
      <c r="AT48" s="518" t="str">
        <f>IF(AND(_C="A-330-300",'2024'!$E$4="CA",'2024'!$E$2=AT43),'2024DATA'!$C$7,"")</f>
        <v/>
      </c>
      <c r="AU48" s="518" t="str">
        <f>IF(AND(_C="A-330-300",'2024'!$E$4="CA",'2024'!$E$2=AU43),'2024DATA'!$D$7,"")</f>
        <v/>
      </c>
      <c r="AV48" s="518" t="str">
        <f>IF(AND(_C="A-330-300",'2024'!$E$4="CA",'2024'!$E$2=AV43),'2024DATA'!$E$7,"")</f>
        <v/>
      </c>
      <c r="AW48" s="518" t="str">
        <f>IF(AND(_C="A-330-300",'2024'!$E$4="CA",'2024'!$E$2=AW43),'2024DATA'!$F$7,"")</f>
        <v/>
      </c>
      <c r="AX48" s="518" t="str">
        <f>IF(AND(_C="A-330-300",'2024'!$E$4="CA",'2024'!$E$2=AX43),'2024DATA'!$G$7,"")</f>
        <v/>
      </c>
      <c r="AY48" s="518" t="str">
        <f>IF(AND(_C="A-330-300",'2024'!$E$4="CA",'2024'!$E$2=AY43),'2024DATA'!$H$7,"")</f>
        <v/>
      </c>
      <c r="AZ48" s="518" t="str">
        <f>IF(AND(_C="A-330-300",'2024'!$E$4="CA",'2024'!$E$2=AZ43),'2024DATA'!$I$7,"")</f>
        <v/>
      </c>
      <c r="BA48" s="518" t="str">
        <f>IF(AND(_C="A-330-300",'2024'!$E$4="CA",'2024'!$E$2=BA43),'2024DATA'!$J$7,"")</f>
        <v/>
      </c>
      <c r="BB48" s="518" t="str">
        <f>IF(AND(_C="A-330-300",'2024'!$E$4="CA",'2024'!$E$2=BB43),'2024DATA'!$K$7,"")</f>
        <v/>
      </c>
      <c r="BC48" s="518" t="str">
        <f>IF(AND(_C="A-330-300",'2024'!$E$4="CA",'2024'!$E$2=BC43),'2024DATA'!$L$7,"")</f>
        <v/>
      </c>
      <c r="BD48" s="518" t="str">
        <f>IF(AND(_C="A-330-300",'2024'!$E$4="CA",'2024'!$E$2=BD43),'2024DATA'!$M$7,"")</f>
        <v/>
      </c>
      <c r="BE48" s="520" t="str">
        <f>IF(AND(_C="A-330-300",'2024'!$E$4="CA",'2024'!$E$2=BE43),'2024DATA'!$N$7,"")</f>
        <v/>
      </c>
      <c r="BF48" s="940" t="s">
        <v>64</v>
      </c>
      <c r="BG48" s="13" t="s">
        <v>61</v>
      </c>
      <c r="BH48" s="518" t="str">
        <f>IF(AND(_D="A-330-300",'2024'!$E$4="CA",'2024'!$E$2=BH43),'2024DATA'!$C$7,"")</f>
        <v/>
      </c>
      <c r="BI48" s="518" t="str">
        <f>IF(AND(_D="A-330-300",'2024'!$E$4="CA",'2024'!$E$2=BI43),'2024DATA'!$D$7,"")</f>
        <v/>
      </c>
      <c r="BJ48" s="518" t="str">
        <f>IF(AND(_D="A-330-300",'2024'!$E$4="CA",'2024'!$E$2=BJ43),'2024DATA'!$E$7,"")</f>
        <v/>
      </c>
      <c r="BK48" s="518" t="str">
        <f>IF(AND(_D="A-330-300",'2024'!$E$4="CA",'2024'!$E$2=BK43),'2024DATA'!$F$7,"")</f>
        <v/>
      </c>
      <c r="BL48" s="518" t="str">
        <f>IF(AND(_D="A-330-300",'2024'!$E$4="CA",'2024'!$E$2=BL43),'2024DATA'!$G$7,"")</f>
        <v/>
      </c>
      <c r="BM48" s="518" t="str">
        <f>IF(AND(_D="A-330-300",'2024'!$E$4="CA",'2024'!$E$2=BM43),'2024DATA'!$H$7,"")</f>
        <v/>
      </c>
      <c r="BN48" s="518" t="str">
        <f>IF(AND(_D="A-330-300",'2024'!$E$4="CA",'2024'!$E$2=BN43),'2024DATA'!$I$7,"")</f>
        <v/>
      </c>
      <c r="BO48" s="518" t="str">
        <f>IF(AND(_D="A-330-300",'2024'!$E$4="CA",'2024'!$E$2=BO43),'2024DATA'!$J$7,"")</f>
        <v/>
      </c>
      <c r="BP48" s="518" t="str">
        <f>IF(AND(_D="A-330-300",'2024'!$E$4="CA",'2024'!$E$2=BP43),'2024DATA'!$K$7,"")</f>
        <v/>
      </c>
      <c r="BQ48" s="518" t="str">
        <f>IF(AND(_D="A-330-300",'2024'!$E$4="CA",'2024'!$E$2=BQ43),'2024DATA'!$L$7,"")</f>
        <v/>
      </c>
      <c r="BR48" s="518" t="str">
        <f>IF(AND(_D="A-330-300",'2024'!$E$4="CA",'2024'!$E$2=BR43),'2024DATA'!$M$7,"")</f>
        <v/>
      </c>
      <c r="BS48" s="520" t="str">
        <f>IF(AND(_D="A-330-300",'2024'!$E$4="CA",'2024'!$E$2=BS43),'2024DATA'!$N$7,"")</f>
        <v/>
      </c>
      <c r="BT48" s="940" t="s">
        <v>64</v>
      </c>
      <c r="BU48" s="13" t="s">
        <v>61</v>
      </c>
      <c r="BV48" s="518" t="str">
        <f>IF(AND(_E="A-330-300",'2024'!$E$4="CA",'2024'!$E$2=BV43),'2024DATA'!$C$7,"")</f>
        <v/>
      </c>
      <c r="BW48" s="518" t="str">
        <f>IF(AND(_E="A-330-300",'2024'!$E$4="CA",'2024'!$E$2=BW43),'2024DATA'!$D$7,"")</f>
        <v/>
      </c>
      <c r="BX48" s="518" t="str">
        <f>IF(AND(_E="A-330-300",'2024'!$E$4="CA",'2024'!$E$2=BX43),'2024DATA'!$E$7,"")</f>
        <v/>
      </c>
      <c r="BY48" s="518" t="str">
        <f>IF(AND(_E="A-330-300",'2024'!$E$4="CA",'2024'!$E$2=BY43),'2024DATA'!$F$7,"")</f>
        <v/>
      </c>
      <c r="BZ48" s="518" t="str">
        <f>IF(AND(_E="A-330-300",'2024'!$E$4="CA",'2024'!$E$2=BZ43),'2024DATA'!$G$7,"")</f>
        <v/>
      </c>
      <c r="CA48" s="518" t="str">
        <f>IF(AND(_E="A-330-300",'2024'!$E$4="CA",'2024'!$E$2=CA43),'2024DATA'!$H$7,"")</f>
        <v/>
      </c>
      <c r="CB48" s="518" t="str">
        <f>IF(AND(_E="A-330-300",'2024'!$E$4="CA",'2024'!$E$2=CB43),'2024DATA'!$I$7,"")</f>
        <v/>
      </c>
      <c r="CC48" s="518" t="str">
        <f>IF(AND(_E="A-330-300",'2024'!$E$4="CA",'2024'!$E$2=CC43),'2024DATA'!$J$7,"")</f>
        <v/>
      </c>
      <c r="CD48" s="518" t="str">
        <f>IF(AND(_E="A-330-300",'2024'!$E$4="CA",'2024'!$E$2=CD43),'2024DATA'!$K$7,"")</f>
        <v/>
      </c>
      <c r="CE48" s="518" t="str">
        <f>IF(AND(_E="A-330-300",'2024'!$E$4="CA",'2024'!$E$2=CE43),'2024DATA'!$L$7,"")</f>
        <v/>
      </c>
      <c r="CF48" s="518" t="str">
        <f>IF(AND(_E="A-330-300",'2024'!$E$4="CA",'2024'!$E$2=CF43),'2024DATA'!$M$7,"")</f>
        <v/>
      </c>
      <c r="CG48" s="520" t="str">
        <f>IF(AND(_E="A-330-300",'2024'!$E$4="CA",'2024'!$E$2=CG43),'2024DATA'!$N$7,"")</f>
        <v/>
      </c>
      <c r="CH48" s="940" t="s">
        <v>64</v>
      </c>
      <c r="CI48" s="13" t="s">
        <v>61</v>
      </c>
      <c r="CJ48" s="518" t="str">
        <f>IF(AND(_F="A-330-300",'2024'!$E$4="CA",'2024'!$E$2=CJ43),'2024DATA'!$C$7,"")</f>
        <v/>
      </c>
      <c r="CK48" s="518" t="str">
        <f>IF(AND(_F="A-330-300",'2024'!$E$4="CA",'2024'!$E$2=CK43),'2024DATA'!$D$7,"")</f>
        <v/>
      </c>
      <c r="CL48" s="518" t="str">
        <f>IF(AND(_F="A-330-300",'2024'!$E$4="CA",'2024'!$E$2=CL43),'2024DATA'!$E$7,"")</f>
        <v/>
      </c>
      <c r="CM48" s="518" t="str">
        <f>IF(AND(_F="A-330-300",'2024'!$E$4="CA",'2024'!$E$2=CM43),'2024DATA'!$F$7,"")</f>
        <v/>
      </c>
      <c r="CN48" s="518" t="str">
        <f>IF(AND(_F="A-330-300",'2024'!$E$4="CA",'2024'!$E$2=CN43),'2024DATA'!$G$7,"")</f>
        <v/>
      </c>
      <c r="CO48" s="518" t="str">
        <f>IF(AND(_F="A-330-300",'2024'!$E$4="CA",'2024'!$E$2=CO43),'2024DATA'!$H$7,"")</f>
        <v/>
      </c>
      <c r="CP48" s="518" t="str">
        <f>IF(AND(_F="A-330-300",'2024'!$E$4="CA",'2024'!$E$2=CP43),'2024DATA'!$I$7,"")</f>
        <v/>
      </c>
      <c r="CQ48" s="518" t="str">
        <f>IF(AND(_F="A-330-300",'2024'!$E$4="CA",'2024'!$E$2=CQ43),'2024DATA'!$J$7,"")</f>
        <v/>
      </c>
      <c r="CR48" s="518" t="str">
        <f>IF(AND(_F="A-330-300",'2024'!$E$4="CA",'2024'!$E$2=CR43),'2024DATA'!$K$7,"")</f>
        <v/>
      </c>
      <c r="CS48" s="518" t="str">
        <f>IF(AND(_F="A-330-300",'2024'!$E$4="CA",'2024'!$E$2=CS43),'2024DATA'!$L$7,"")</f>
        <v/>
      </c>
      <c r="CT48" s="518" t="str">
        <f>IF(AND(_F="A-330-300",'2024'!$E$4="CA",'2024'!$E$2=CT43),'2024DATA'!$M$7,"")</f>
        <v/>
      </c>
      <c r="CU48" s="520" t="str">
        <f>IF(AND(_F="A-330-300",'2024'!$E$4="CA",'2024'!$E$2=CU43),'2024DATA'!$N$7,"")</f>
        <v/>
      </c>
    </row>
    <row r="49" spans="16:99" x14ac:dyDescent="0.25">
      <c r="P49" s="940"/>
      <c r="Q49" s="13" t="s">
        <v>62</v>
      </c>
      <c r="R49" s="518" t="str">
        <f>IF(AND(_A="A-330-300",'2024'!$E$4="FO",'2024'!$E$2=R43),'2024DATA'!$C$8,"")</f>
        <v/>
      </c>
      <c r="S49" s="518" t="str">
        <f>IF(AND(_A="A-330-300",'2024'!$E$4="FO",'2024'!$E$2=S43),'2024DATA'!$D$8,"")</f>
        <v/>
      </c>
      <c r="T49" s="518" t="str">
        <f>IF(AND(_A="A-330-300",'2024'!$E$4="FO",'2024'!$E$2=T43),'2024DATA'!$E$8,"")</f>
        <v/>
      </c>
      <c r="U49" s="518" t="str">
        <f>IF(AND(_A="A-330-300",'2024'!$E$4="FO",'2024'!$E$2=U43),'2024DATA'!$F$8,"")</f>
        <v/>
      </c>
      <c r="V49" s="518" t="str">
        <f>IF(AND(_A="A-330-300",'2024'!$E$4="FO",'2024'!$E$2=V43),'2024DATA'!$G$8,"")</f>
        <v/>
      </c>
      <c r="W49" s="518" t="str">
        <f>IF(AND(_A="A-330-300",'2024'!$E$4="FO",'2024'!$E$2=W43),'2024DATA'!$H$8,"")</f>
        <v/>
      </c>
      <c r="X49" s="518" t="str">
        <f>IF(AND(_A="A-330-300",'2024'!$E$4="FO",'2024'!$E$2=X43),'2024DATA'!$I$8,"")</f>
        <v/>
      </c>
      <c r="Y49" s="518" t="str">
        <f>IF(AND(_A="A-330-300",'2024'!$E$4="FO",'2024'!$E$2=Y43),'2024DATA'!$J$8,"")</f>
        <v/>
      </c>
      <c r="Z49" s="518" t="str">
        <f>IF(AND(_A="A-330-300",'2024'!$E$4="FO",'2024'!$E$2=Z43),'2024DATA'!$K$8,"")</f>
        <v/>
      </c>
      <c r="AA49" s="518" t="str">
        <f>IF(AND(_A="A-330-300",'2024'!$E$4="FO",'2024'!$E$2=AA43),'2024DATA'!$L$8,"")</f>
        <v/>
      </c>
      <c r="AB49" s="518" t="str">
        <f>IF(AND(_A="A-330-300",'2024'!$E$4="FO",'2024'!$E$2=AB43),'2024DATA'!$M$8,"")</f>
        <v/>
      </c>
      <c r="AC49" s="520" t="str">
        <f>IF(AND(_A="A-330-300",'2024'!$E$4="FO",'2024'!$E$2=AC43),'2024DATA'!$N$8,"")</f>
        <v/>
      </c>
      <c r="AD49" s="940"/>
      <c r="AE49" s="13" t="s">
        <v>62</v>
      </c>
      <c r="AF49" s="518" t="str">
        <f>IF(AND(_B="A-330-300",'2024'!$E$4="FO",'2024'!$E$2=AF43),'2024DATA'!$C$8,"")</f>
        <v/>
      </c>
      <c r="AG49" s="518" t="str">
        <f>IF(AND(_B="A-330-300",'2024'!$E$4="FO",'2024'!$E$2=AG43),'2024DATA'!$D$8,"")</f>
        <v/>
      </c>
      <c r="AH49" s="518" t="str">
        <f>IF(AND(_B="A-330-300",'2024'!$E$4="FO",'2024'!$E$2=AH43),'2024DATA'!$E$8,"")</f>
        <v/>
      </c>
      <c r="AI49" s="518" t="str">
        <f>IF(AND(_B="A-330-300",'2024'!$E$4="FO",'2024'!$E$2=AI43),'2024DATA'!$F$8,"")</f>
        <v/>
      </c>
      <c r="AJ49" s="518" t="str">
        <f>IF(AND(_B="A-330-300",'2024'!$E$4="FO",'2024'!$E$2=AJ43),'2024DATA'!$G$8,"")</f>
        <v/>
      </c>
      <c r="AK49" s="518" t="str">
        <f>IF(AND(_B="A-330-300",'2024'!$E$4="FO",'2024'!$E$2=AK43),'2024DATA'!$H$8,"")</f>
        <v/>
      </c>
      <c r="AL49" s="518" t="str">
        <f>IF(AND(_B="A-330-300",'2024'!$E$4="FO",'2024'!$E$2=AL43),'2024DATA'!$I$8,"")</f>
        <v/>
      </c>
      <c r="AM49" s="518" t="str">
        <f>IF(AND(_B="A-330-300",'2024'!$E$4="FO",'2024'!$E$2=AM43),'2024DATA'!$J$8,"")</f>
        <v/>
      </c>
      <c r="AN49" s="518" t="str">
        <f>IF(AND(_B="A-330-300",'2024'!$E$4="FO",'2024'!$E$2=AN43),'2024DATA'!$K$8,"")</f>
        <v/>
      </c>
      <c r="AO49" s="518" t="str">
        <f>IF(AND(_B="A-330-300",'2024'!$E$4="FO",'2024'!$E$2=AO43),'2024DATA'!$L$8,"")</f>
        <v/>
      </c>
      <c r="AP49" s="518" t="str">
        <f>IF(AND(_B="A-330-300",'2024'!$E$4="FO",'2024'!$E$2=AP43),'2024DATA'!$M$8,"")</f>
        <v/>
      </c>
      <c r="AQ49" s="520" t="str">
        <f>IF(AND(_B="A-330-300",'2024'!$E$4="FO",'2024'!$E$2=AQ43),'2024DATA'!$N$8,"")</f>
        <v/>
      </c>
      <c r="AR49" s="940"/>
      <c r="AS49" s="13" t="s">
        <v>62</v>
      </c>
      <c r="AT49" s="518" t="str">
        <f>IF(AND(_C="A-330-300",'2024'!$E$4="FO",'2024'!$E$2=AT43),'2024DATA'!$C$8,"")</f>
        <v/>
      </c>
      <c r="AU49" s="518" t="str">
        <f>IF(AND(_C="A-330-300",'2024'!$E$4="FO",'2024'!$E$2=AU43),'2024DATA'!$D$8,"")</f>
        <v/>
      </c>
      <c r="AV49" s="518" t="str">
        <f>IF(AND(_C="A-330-300",'2024'!$E$4="FO",'2024'!$E$2=AV43),'2024DATA'!$E$8,"")</f>
        <v/>
      </c>
      <c r="AW49" s="518" t="str">
        <f>IF(AND(_C="A-330-300",'2024'!$E$4="FO",'2024'!$E$2=AW43),'2024DATA'!$F$8,"")</f>
        <v/>
      </c>
      <c r="AX49" s="518" t="str">
        <f>IF(AND(_C="A-330-300",'2024'!$E$4="FO",'2024'!$E$2=AX43),'2024DATA'!$G$8,"")</f>
        <v/>
      </c>
      <c r="AY49" s="518" t="str">
        <f>IF(AND(_C="A-330-300",'2024'!$E$4="FO",'2024'!$E$2=AY43),'2024DATA'!$H$8,"")</f>
        <v/>
      </c>
      <c r="AZ49" s="518" t="str">
        <f>IF(AND(_C="A-330-300",'2024'!$E$4="FO",'2024'!$E$2=AZ43),'2024DATA'!$I$8,"")</f>
        <v/>
      </c>
      <c r="BA49" s="518" t="str">
        <f>IF(AND(_C="A-330-300",'2024'!$E$4="FO",'2024'!$E$2=BA43),'2024DATA'!$J$8,"")</f>
        <v/>
      </c>
      <c r="BB49" s="518" t="str">
        <f>IF(AND(_C="A-330-300",'2024'!$E$4="FO",'2024'!$E$2=BB43),'2024DATA'!$K$8,"")</f>
        <v/>
      </c>
      <c r="BC49" s="518" t="str">
        <f>IF(AND(_C="A-330-300",'2024'!$E$4="FO",'2024'!$E$2=BC43),'2024DATA'!$L$8,"")</f>
        <v/>
      </c>
      <c r="BD49" s="518" t="str">
        <f>IF(AND(_C="A-330-300",'2024'!$E$4="FO",'2024'!$E$2=BD43),'2024DATA'!$M$8,"")</f>
        <v/>
      </c>
      <c r="BE49" s="520" t="str">
        <f>IF(AND(_C="A-330-300",'2024'!$E$4="FO",'2024'!$E$2=BE43),'2024DATA'!$N$8,"")</f>
        <v/>
      </c>
      <c r="BF49" s="940"/>
      <c r="BG49" s="13" t="s">
        <v>62</v>
      </c>
      <c r="BH49" s="518" t="str">
        <f>IF(AND(_D="A-330-300",'2024'!$E$4="FO",'2024'!$E$2=BH43),'2024DATA'!$C$8,"")</f>
        <v/>
      </c>
      <c r="BI49" s="518" t="str">
        <f>IF(AND(_D="A-330-300",'2024'!$E$4="FO",'2024'!$E$2=BI43),'2024DATA'!$D$8,"")</f>
        <v/>
      </c>
      <c r="BJ49" s="518" t="str">
        <f>IF(AND(_D="A-330-300",'2024'!$E$4="FO",'2024'!$E$2=BJ43),'2024DATA'!$E$8,"")</f>
        <v/>
      </c>
      <c r="BK49" s="518" t="str">
        <f>IF(AND(_D="A-330-300",'2024'!$E$4="FO",'2024'!$E$2=BK43),'2024DATA'!$F$8,"")</f>
        <v/>
      </c>
      <c r="BL49" s="518" t="str">
        <f>IF(AND(_D="A-330-300",'2024'!$E$4="FO",'2024'!$E$2=BL43),'2024DATA'!$G$8,"")</f>
        <v/>
      </c>
      <c r="BM49" s="518" t="str">
        <f>IF(AND(_D="A-330-300",'2024'!$E$4="FO",'2024'!$E$2=BM43),'2024DATA'!$H$8,"")</f>
        <v/>
      </c>
      <c r="BN49" s="518" t="str">
        <f>IF(AND(_D="A-330-300",'2024'!$E$4="FO",'2024'!$E$2=BN43),'2024DATA'!$I$8,"")</f>
        <v/>
      </c>
      <c r="BO49" s="518" t="str">
        <f>IF(AND(_D="A-330-300",'2024'!$E$4="FO",'2024'!$E$2=BO43),'2024DATA'!$J$8,"")</f>
        <v/>
      </c>
      <c r="BP49" s="518" t="str">
        <f>IF(AND(_D="A-330-300",'2024'!$E$4="FO",'2024'!$E$2=BP43),'2024DATA'!$K$8,"")</f>
        <v/>
      </c>
      <c r="BQ49" s="518" t="str">
        <f>IF(AND(_D="A-330-300",'2024'!$E$4="FO",'2024'!$E$2=BQ43),'2024DATA'!$L$8,"")</f>
        <v/>
      </c>
      <c r="BR49" s="518" t="str">
        <f>IF(AND(_D="A-330-300",'2024'!$E$4="FO",'2024'!$E$2=BR43),'2024DATA'!$M$8,"")</f>
        <v/>
      </c>
      <c r="BS49" s="520" t="str">
        <f>IF(AND(_D="A-330-300",'2024'!$E$4="FO",'2024'!$E$2=BS43),'2024DATA'!$N$8,"")</f>
        <v/>
      </c>
      <c r="BT49" s="940"/>
      <c r="BU49" s="13" t="s">
        <v>62</v>
      </c>
      <c r="BV49" s="518" t="str">
        <f>IF(AND(_E="A-330-300",'2024'!$E$4="FO",'2024'!$E$2=BV43),'2024DATA'!$C$8,"")</f>
        <v/>
      </c>
      <c r="BW49" s="518" t="str">
        <f>IF(AND(_E="A-330-300",'2024'!$E$4="FO",'2024'!$E$2=BW43),'2024DATA'!$D$8,"")</f>
        <v/>
      </c>
      <c r="BX49" s="518" t="str">
        <f>IF(AND(_E="A-330-300",'2024'!$E$4="FO",'2024'!$E$2=BX43),'2024DATA'!$E$8,"")</f>
        <v/>
      </c>
      <c r="BY49" s="518" t="str">
        <f>IF(AND(_E="A-330-300",'2024'!$E$4="FO",'2024'!$E$2=BY43),'2024DATA'!$F$8,"")</f>
        <v/>
      </c>
      <c r="BZ49" s="518" t="str">
        <f>IF(AND(_E="A-330-300",'2024'!$E$4="FO",'2024'!$E$2=BZ43),'2024DATA'!$G$8,"")</f>
        <v/>
      </c>
      <c r="CA49" s="518" t="str">
        <f>IF(AND(_E="A-330-300",'2024'!$E$4="FO",'2024'!$E$2=CA43),'2024DATA'!$H$8,"")</f>
        <v/>
      </c>
      <c r="CB49" s="518" t="str">
        <f>IF(AND(_E="A-330-300",'2024'!$E$4="FO",'2024'!$E$2=CB43),'2024DATA'!$I$8,"")</f>
        <v/>
      </c>
      <c r="CC49" s="518" t="str">
        <f>IF(AND(_E="A-330-300",'2024'!$E$4="FO",'2024'!$E$2=CC43),'2024DATA'!$J$8,"")</f>
        <v/>
      </c>
      <c r="CD49" s="518" t="str">
        <f>IF(AND(_E="A-330-300",'2024'!$E$4="FO",'2024'!$E$2=CD43),'2024DATA'!$K$8,"")</f>
        <v/>
      </c>
      <c r="CE49" s="518" t="str">
        <f>IF(AND(_E="A-330-300",'2024'!$E$4="FO",'2024'!$E$2=CE43),'2024DATA'!$L$8,"")</f>
        <v/>
      </c>
      <c r="CF49" s="518" t="str">
        <f>IF(AND(_E="A-330-300",'2024'!$E$4="FO",'2024'!$E$2=CF43),'2024DATA'!$M$8,"")</f>
        <v/>
      </c>
      <c r="CG49" s="520" t="str">
        <f>IF(AND(_E="A-330-300",'2024'!$E$4="FO",'2024'!$E$2=CG43),'2024DATA'!$N$8,"")</f>
        <v/>
      </c>
      <c r="CH49" s="940"/>
      <c r="CI49" s="13" t="s">
        <v>62</v>
      </c>
      <c r="CJ49" s="518" t="str">
        <f>IF(AND(_F="A-330-300",'2024'!$E$4="FO",'2024'!$E$2=CJ43),'2024DATA'!$C$8,"")</f>
        <v/>
      </c>
      <c r="CK49" s="518" t="str">
        <f>IF(AND(_F="A-330-300",'2024'!$E$4="FO",'2024'!$E$2=CK43),'2024DATA'!$D$8,"")</f>
        <v/>
      </c>
      <c r="CL49" s="518" t="str">
        <f>IF(AND(_F="A-330-300",'2024'!$E$4="FO",'2024'!$E$2=CL43),'2024DATA'!$E$8,"")</f>
        <v/>
      </c>
      <c r="CM49" s="518" t="str">
        <f>IF(AND(_F="A-330-300",'2024'!$E$4="FO",'2024'!$E$2=CM43),'2024DATA'!$F$8,"")</f>
        <v/>
      </c>
      <c r="CN49" s="518" t="str">
        <f>IF(AND(_F="A-330-300",'2024'!$E$4="FO",'2024'!$E$2=CN43),'2024DATA'!$G$8,"")</f>
        <v/>
      </c>
      <c r="CO49" s="518" t="str">
        <f>IF(AND(_F="A-330-300",'2024'!$E$4="FO",'2024'!$E$2=CO43),'2024DATA'!$H$8,"")</f>
        <v/>
      </c>
      <c r="CP49" s="518" t="str">
        <f>IF(AND(_F="A-330-300",'2024'!$E$4="FO",'2024'!$E$2=CP43),'2024DATA'!$I$8,"")</f>
        <v/>
      </c>
      <c r="CQ49" s="518" t="str">
        <f>IF(AND(_F="A-330-300",'2024'!$E$4="FO",'2024'!$E$2=CQ43),'2024DATA'!$J$8,"")</f>
        <v/>
      </c>
      <c r="CR49" s="518" t="str">
        <f>IF(AND(_F="A-330-300",'2024'!$E$4="FO",'2024'!$E$2=CR43),'2024DATA'!$K$8,"")</f>
        <v/>
      </c>
      <c r="CS49" s="518" t="str">
        <f>IF(AND(_F="A-330-300",'2024'!$E$4="FO",'2024'!$E$2=CS43),'2024DATA'!$L$8,"")</f>
        <v/>
      </c>
      <c r="CT49" s="518" t="str">
        <f>IF(AND(_F="A-330-300",'2024'!$E$4="FO",'2024'!$E$2=CT43),'2024DATA'!$M$8,"")</f>
        <v/>
      </c>
      <c r="CU49" s="520" t="str">
        <f>IF(AND(_F="A-330-300",'2024'!$E$4="FO",'2024'!$E$2=CU43),'2024DATA'!$N$8,"")</f>
        <v/>
      </c>
    </row>
    <row r="50" spans="16:99" x14ac:dyDescent="0.25">
      <c r="P50" s="940" t="s">
        <v>66</v>
      </c>
      <c r="Q50" s="13" t="s">
        <v>61</v>
      </c>
      <c r="R50" s="518" t="str">
        <f>IF(AND(_A="A-330-200",'2024'!$E$4="CA",'2024'!$E$2=R43),'2024DATA'!$C$9,"")</f>
        <v/>
      </c>
      <c r="S50" s="518" t="str">
        <f>IF(AND(_A="A-330-200",'2024'!$E$4="CA",'2024'!$E$2=S43),'2024DATA'!$D$9,"")</f>
        <v/>
      </c>
      <c r="T50" s="518" t="str">
        <f>IF(AND(_A="A-330-200",'2024'!$E$4="CA",'2024'!$E$2=T43),'2024DATA'!$E$9,"")</f>
        <v/>
      </c>
      <c r="U50" s="518" t="str">
        <f>IF(AND(_A="A-330-200",'2024'!$E$4="CA",'2024'!$E$2=U43),'2024DATA'!$F$9,"")</f>
        <v/>
      </c>
      <c r="V50" s="518" t="str">
        <f>IF(AND(_A="A-330-200",'2024'!$E$4="CA",'2024'!$E$2=V43),'2024DATA'!$G$9,"")</f>
        <v/>
      </c>
      <c r="W50" s="518" t="str">
        <f>IF(AND(_A="A-330-200",'2024'!$E$4="CA",'2024'!$E$2=W43),'2024DATA'!$H$9,"")</f>
        <v/>
      </c>
      <c r="X50" s="518" t="str">
        <f>IF(AND(_A="A-330-200",'2024'!$E$4="CA",'2024'!$E$2=X43),'2024DATA'!$I$9,"")</f>
        <v/>
      </c>
      <c r="Y50" s="518" t="str">
        <f>IF(AND(_A="A-330-200",'2024'!$E$4="CA",'2024'!$E$2=Y43),'2024DATA'!$J$9,"")</f>
        <v/>
      </c>
      <c r="Z50" s="518" t="str">
        <f>IF(AND(_A="A-330-200",'2024'!$E$4="CA",'2024'!$E$2=Z43),'2024DATA'!$K$9,"")</f>
        <v/>
      </c>
      <c r="AA50" s="518" t="str">
        <f>IF(AND(_A="A-330-200",'2024'!$E$4="CA",'2024'!$E$2=AA43),'2024DATA'!$L$9,"")</f>
        <v/>
      </c>
      <c r="AB50" s="518" t="str">
        <f>IF(AND(_A="A-330-200",'2024'!$E$4="CA",'2024'!$E$2=AB43),'2024DATA'!$M$9,"")</f>
        <v/>
      </c>
      <c r="AC50" s="520" t="str">
        <f>IF(AND(_A="A-330-200",'2024'!$E$4="CA",'2024'!$E$2=AC43),'2024DATA'!$N$9,"")</f>
        <v/>
      </c>
      <c r="AD50" s="940" t="s">
        <v>66</v>
      </c>
      <c r="AE50" s="13" t="s">
        <v>61</v>
      </c>
      <c r="AF50" s="518" t="str">
        <f>IF(AND(_B="A-330-200",'2024'!$E$4="CA",'2024'!$E$2=AF43),'2024DATA'!$C$9,"")</f>
        <v/>
      </c>
      <c r="AG50" s="518" t="str">
        <f>IF(AND(_B="A-330-200",'2024'!$E$4="CA",'2024'!$E$2=AG43),'2024DATA'!$D$9,"")</f>
        <v/>
      </c>
      <c r="AH50" s="518" t="str">
        <f>IF(AND(_B="A-330-200",'2024'!$E$4="CA",'2024'!$E$2=AH43),'2024DATA'!$E$9,"")</f>
        <v/>
      </c>
      <c r="AI50" s="518" t="str">
        <f>IF(AND(_B="A-330-200",'2024'!$E$4="CA",'2024'!$E$2=AI43),'2024DATA'!$F$9,"")</f>
        <v/>
      </c>
      <c r="AJ50" s="518" t="str">
        <f>IF(AND(_B="A-330-200",'2024'!$E$4="CA",'2024'!$E$2=AJ43),'2024DATA'!$G$9,"")</f>
        <v/>
      </c>
      <c r="AK50" s="518" t="str">
        <f>IF(AND(_B="A-330-200",'2024'!$E$4="CA",'2024'!$E$2=AK43),'2024DATA'!$H$9,"")</f>
        <v/>
      </c>
      <c r="AL50" s="518" t="str">
        <f>IF(AND(_B="A-330-200",'2024'!$E$4="CA",'2024'!$E$2=AL43),'2024DATA'!$I$9,"")</f>
        <v/>
      </c>
      <c r="AM50" s="518" t="str">
        <f>IF(AND(_B="A-330-200",'2024'!$E$4="CA",'2024'!$E$2=AM43),'2024DATA'!$J$9,"")</f>
        <v/>
      </c>
      <c r="AN50" s="518" t="str">
        <f>IF(AND(_B="A-330-200",'2024'!$E$4="CA",'2024'!$E$2=AN43),'2024DATA'!$K$9,"")</f>
        <v/>
      </c>
      <c r="AO50" s="518" t="str">
        <f>IF(AND(_B="A-330-200",'2024'!$E$4="CA",'2024'!$E$2=AO43),'2024DATA'!$L$9,"")</f>
        <v/>
      </c>
      <c r="AP50" s="518" t="str">
        <f>IF(AND(_B="A-330-200",'2024'!$E$4="CA",'2024'!$E$2=AP43),'2024DATA'!$M$9,"")</f>
        <v/>
      </c>
      <c r="AQ50" s="520" t="str">
        <f>IF(AND(_B="A-330-200",'2024'!$E$4="CA",'2024'!$E$2=AQ43),'2024DATA'!$N$9,"")</f>
        <v/>
      </c>
      <c r="AR50" s="940" t="s">
        <v>66</v>
      </c>
      <c r="AS50" s="13" t="s">
        <v>61</v>
      </c>
      <c r="AT50" s="518" t="str">
        <f>IF(AND(_C="A-330-200",'2024'!$E$4="CA",'2024'!$E$2=AT43),'2024DATA'!$C$9,"")</f>
        <v/>
      </c>
      <c r="AU50" s="518" t="str">
        <f>IF(AND(_C="A-330-200",'2024'!$E$4="CA",'2024'!$E$2=AU43),'2024DATA'!$D$9,"")</f>
        <v/>
      </c>
      <c r="AV50" s="518" t="str">
        <f>IF(AND(_C="A-330-200",'2024'!$E$4="CA",'2024'!$E$2=AV43),'2024DATA'!$E$9,"")</f>
        <v/>
      </c>
      <c r="AW50" s="518" t="str">
        <f>IF(AND(_C="A-330-200",'2024'!$E$4="CA",'2024'!$E$2=AW43),'2024DATA'!$F$9,"")</f>
        <v/>
      </c>
      <c r="AX50" s="518" t="str">
        <f>IF(AND(_C="A-330-200",'2024'!$E$4="CA",'2024'!$E$2=AX43),'2024DATA'!$G$9,"")</f>
        <v/>
      </c>
      <c r="AY50" s="518" t="str">
        <f>IF(AND(_C="A-330-200",'2024'!$E$4="CA",'2024'!$E$2=AY43),'2024DATA'!$H$9,"")</f>
        <v/>
      </c>
      <c r="AZ50" s="518" t="str">
        <f>IF(AND(_C="A-330-200",'2024'!$E$4="CA",'2024'!$E$2=AZ43),'2024DATA'!$I$9,"")</f>
        <v/>
      </c>
      <c r="BA50" s="518" t="str">
        <f>IF(AND(_C="A-330-200",'2024'!$E$4="CA",'2024'!$E$2=BA43),'2024DATA'!$J$9,"")</f>
        <v/>
      </c>
      <c r="BB50" s="518" t="str">
        <f>IF(AND(_C="A-330-200",'2024'!$E$4="CA",'2024'!$E$2=BB43),'2024DATA'!$K$9,"")</f>
        <v/>
      </c>
      <c r="BC50" s="518" t="str">
        <f>IF(AND(_C="A-330-200",'2024'!$E$4="CA",'2024'!$E$2=BC43),'2024DATA'!$L$9,"")</f>
        <v/>
      </c>
      <c r="BD50" s="518" t="str">
        <f>IF(AND(_C="A-330-200",'2024'!$E$4="CA",'2024'!$E$2=BD43),'2024DATA'!$M$9,"")</f>
        <v/>
      </c>
      <c r="BE50" s="520" t="str">
        <f>IF(AND(_C="A-330-200",'2024'!$E$4="CA",'2024'!$E$2=BE43),'2024DATA'!$N$9,"")</f>
        <v/>
      </c>
      <c r="BF50" s="940" t="s">
        <v>66</v>
      </c>
      <c r="BG50" s="13" t="s">
        <v>61</v>
      </c>
      <c r="BH50" s="518" t="str">
        <f>IF(AND(_D="A-330-200",'2024'!$E$4="CA",'2024'!$E$2=BH43),'2024DATA'!$C$9,"")</f>
        <v/>
      </c>
      <c r="BI50" s="518" t="str">
        <f>IF(AND(_D="A-330-200",'2024'!$E$4="CA",'2024'!$E$2=BI43),'2024DATA'!$D$9,"")</f>
        <v/>
      </c>
      <c r="BJ50" s="518" t="str">
        <f>IF(AND(_D="A-330-200",'2024'!$E$4="CA",'2024'!$E$2=BJ43),'2024DATA'!$E$9,"")</f>
        <v/>
      </c>
      <c r="BK50" s="518" t="str">
        <f>IF(AND(_D="A-330-200",'2024'!$E$4="CA",'2024'!$E$2=BK43),'2024DATA'!$F$9,"")</f>
        <v/>
      </c>
      <c r="BL50" s="518" t="str">
        <f>IF(AND(_D="A-330-200",'2024'!$E$4="CA",'2024'!$E$2=BL43),'2024DATA'!$G$9,"")</f>
        <v/>
      </c>
      <c r="BM50" s="518" t="str">
        <f>IF(AND(_D="A-330-200",'2024'!$E$4="CA",'2024'!$E$2=BM43),'2024DATA'!$H$9,"")</f>
        <v/>
      </c>
      <c r="BN50" s="518" t="str">
        <f>IF(AND(_D="A-330-200",'2024'!$E$4="CA",'2024'!$E$2=BN43),'2024DATA'!$I$9,"")</f>
        <v/>
      </c>
      <c r="BO50" s="518" t="str">
        <f>IF(AND(_D="A-330-200",'2024'!$E$4="CA",'2024'!$E$2=BO43),'2024DATA'!$J$9,"")</f>
        <v/>
      </c>
      <c r="BP50" s="518" t="str">
        <f>IF(AND(_D="A-330-200",'2024'!$E$4="CA",'2024'!$E$2=BP43),'2024DATA'!$K$9,"")</f>
        <v/>
      </c>
      <c r="BQ50" s="518" t="str">
        <f>IF(AND(_D="A-330-200",'2024'!$E$4="CA",'2024'!$E$2=BQ43),'2024DATA'!$L$9,"")</f>
        <v/>
      </c>
      <c r="BR50" s="518" t="str">
        <f>IF(AND(_D="A-330-200",'2024'!$E$4="CA",'2024'!$E$2=BR43),'2024DATA'!$M$9,"")</f>
        <v/>
      </c>
      <c r="BS50" s="520" t="str">
        <f>IF(AND(_D="A-330-200",'2024'!$E$4="CA",'2024'!$E$2=BS43),'2024DATA'!$N$9,"")</f>
        <v/>
      </c>
      <c r="BT50" s="940" t="s">
        <v>66</v>
      </c>
      <c r="BU50" s="13" t="s">
        <v>61</v>
      </c>
      <c r="BV50" s="518" t="str">
        <f>IF(AND(_E="A-330-200",'2024'!$E$4="CA",'2024'!$E$2=BV43),'2024DATA'!$C$9,"")</f>
        <v/>
      </c>
      <c r="BW50" s="518" t="str">
        <f>IF(AND(_E="A-330-200",'2024'!$E$4="CA",'2024'!$E$2=BW43),'2024DATA'!$D$9,"")</f>
        <v/>
      </c>
      <c r="BX50" s="518" t="str">
        <f>IF(AND(_E="A-330-200",'2024'!$E$4="CA",'2024'!$E$2=BX43),'2024DATA'!$E$9,"")</f>
        <v/>
      </c>
      <c r="BY50" s="518" t="str">
        <f>IF(AND(_E="A-330-200",'2024'!$E$4="CA",'2024'!$E$2=BY43),'2024DATA'!$F$9,"")</f>
        <v/>
      </c>
      <c r="BZ50" s="518" t="str">
        <f>IF(AND(_E="A-330-200",'2024'!$E$4="CA",'2024'!$E$2=BZ43),'2024DATA'!$G$9,"")</f>
        <v/>
      </c>
      <c r="CA50" s="518" t="str">
        <f>IF(AND(_E="A-330-200",'2024'!$E$4="CA",'2024'!$E$2=CA43),'2024DATA'!$H$9,"")</f>
        <v/>
      </c>
      <c r="CB50" s="518" t="str">
        <f>IF(AND(_E="A-330-200",'2024'!$E$4="CA",'2024'!$E$2=CB43),'2024DATA'!$I$9,"")</f>
        <v/>
      </c>
      <c r="CC50" s="518" t="str">
        <f>IF(AND(_E="A-330-200",'2024'!$E$4="CA",'2024'!$E$2=CC43),'2024DATA'!$J$9,"")</f>
        <v/>
      </c>
      <c r="CD50" s="518" t="str">
        <f>IF(AND(_E="A-330-200",'2024'!$E$4="CA",'2024'!$E$2=CD43),'2024DATA'!$K$9,"")</f>
        <v/>
      </c>
      <c r="CE50" s="518" t="str">
        <f>IF(AND(_E="A-330-200",'2024'!$E$4="CA",'2024'!$E$2=CE43),'2024DATA'!$L$9,"")</f>
        <v/>
      </c>
      <c r="CF50" s="518" t="str">
        <f>IF(AND(_E="A-330-200",'2024'!$E$4="CA",'2024'!$E$2=CF43),'2024DATA'!$M$9,"")</f>
        <v/>
      </c>
      <c r="CG50" s="520" t="str">
        <f>IF(AND(_E="A-330-200",'2024'!$E$4="CA",'2024'!$E$2=CG43),'2024DATA'!$N$9,"")</f>
        <v/>
      </c>
      <c r="CH50" s="940" t="s">
        <v>66</v>
      </c>
      <c r="CI50" s="13" t="s">
        <v>61</v>
      </c>
      <c r="CJ50" s="518" t="str">
        <f>IF(AND(_F="A-330-200",'2024'!$E$4="CA",'2024'!$E$2=CJ43),'2024DATA'!$C$9,"")</f>
        <v/>
      </c>
      <c r="CK50" s="518" t="str">
        <f>IF(AND(_F="A-330-200",'2024'!$E$4="CA",'2024'!$E$2=CK43),'2024DATA'!$D$9,"")</f>
        <v/>
      </c>
      <c r="CL50" s="518" t="str">
        <f>IF(AND(_F="A-330-200",'2024'!$E$4="CA",'2024'!$E$2=CL43),'2024DATA'!$E$9,"")</f>
        <v/>
      </c>
      <c r="CM50" s="518" t="str">
        <f>IF(AND(_F="A-330-200",'2024'!$E$4="CA",'2024'!$E$2=CM43),'2024DATA'!$F$9,"")</f>
        <v/>
      </c>
      <c r="CN50" s="518" t="str">
        <f>IF(AND(_F="A-330-200",'2024'!$E$4="CA",'2024'!$E$2=CN43),'2024DATA'!$G$9,"")</f>
        <v/>
      </c>
      <c r="CO50" s="518" t="str">
        <f>IF(AND(_F="A-330-200",'2024'!$E$4="CA",'2024'!$E$2=CO43),'2024DATA'!$H$9,"")</f>
        <v/>
      </c>
      <c r="CP50" s="518" t="str">
        <f>IF(AND(_F="A-330-200",'2024'!$E$4="CA",'2024'!$E$2=CP43),'2024DATA'!$I$9,"")</f>
        <v/>
      </c>
      <c r="CQ50" s="518" t="str">
        <f>IF(AND(_F="A-330-200",'2024'!$E$4="CA",'2024'!$E$2=CQ43),'2024DATA'!$J$9,"")</f>
        <v/>
      </c>
      <c r="CR50" s="518" t="str">
        <f>IF(AND(_F="A-330-200",'2024'!$E$4="CA",'2024'!$E$2=CR43),'2024DATA'!$K$9,"")</f>
        <v/>
      </c>
      <c r="CS50" s="518" t="str">
        <f>IF(AND(_F="A-330-200",'2024'!$E$4="CA",'2024'!$E$2=CS43),'2024DATA'!$L$9,"")</f>
        <v/>
      </c>
      <c r="CT50" s="518" t="str">
        <f>IF(AND(_F="A-330-200",'2024'!$E$4="CA",'2024'!$E$2=CT43),'2024DATA'!$M$9,"")</f>
        <v/>
      </c>
      <c r="CU50" s="520" t="str">
        <f>IF(AND(_F="A-330-200",'2024'!$E$4="CA",'2024'!$E$2=CU43),'2024DATA'!$N$9,"")</f>
        <v/>
      </c>
    </row>
    <row r="51" spans="16:99" x14ac:dyDescent="0.25">
      <c r="P51" s="940"/>
      <c r="Q51" s="13" t="s">
        <v>62</v>
      </c>
      <c r="R51" s="518" t="str">
        <f>IF(AND(_A="A-330-200",'2024'!$E$4="FO",'2024'!$E$2=R43),'2024DATA'!$C$10,"")</f>
        <v/>
      </c>
      <c r="S51" s="518" t="str">
        <f>IF(AND(_A="A-330-200",'2024'!$E$4="FO",'2024'!$E$2=S43),'2024DATA'!$D$10,"")</f>
        <v/>
      </c>
      <c r="T51" s="518" t="str">
        <f>IF(AND(_A="A-330-200",'2024'!$E$4="FO",'2024'!$E$2=T43),'2024DATA'!$E$10,"")</f>
        <v/>
      </c>
      <c r="U51" s="518" t="str">
        <f>IF(AND(_A="A-330-200",'2024'!$E$4="FO",'2024'!$E$2=U43),'2024DATA'!$F$10,"")</f>
        <v/>
      </c>
      <c r="V51" s="518" t="str">
        <f>IF(AND(_A="A-330-200",'2024'!$E$4="FO",'2024'!$E$2=V43),'2024DATA'!$G$10,"")</f>
        <v/>
      </c>
      <c r="W51" s="518" t="str">
        <f>IF(AND(_A="A-330-200",'2024'!$E$4="FO",'2024'!$E$2=W43),'2024DATA'!$H$10,"")</f>
        <v/>
      </c>
      <c r="X51" s="518" t="str">
        <f>IF(AND(_A="A-330-200",'2024'!$E$4="FO",'2024'!$E$2=X43),'2024DATA'!$I$10,"")</f>
        <v/>
      </c>
      <c r="Y51" s="518" t="str">
        <f>IF(AND(_A="A-330-200",'2024'!$E$4="FO",'2024'!$E$2=Y43),'2024DATA'!$J$10,"")</f>
        <v/>
      </c>
      <c r="Z51" s="518" t="str">
        <f>IF(AND(_A="A-330-200",'2024'!$E$4="FO",'2024'!$E$2=Z43),'2024DATA'!$K$10,"")</f>
        <v/>
      </c>
      <c r="AA51" s="518" t="str">
        <f>IF(AND(_A="A-330-200",'2024'!$E$4="FO",'2024'!$E$2=AA43),'2024DATA'!$L$10,"")</f>
        <v/>
      </c>
      <c r="AB51" s="518" t="str">
        <f>IF(AND(_A="A-330-200",'2024'!$E$4="FO",'2024'!$E$2=AB43),'2024DATA'!$M$10,"")</f>
        <v/>
      </c>
      <c r="AC51" s="520" t="str">
        <f>IF(AND(_A="A-330-200",'2024'!$E$4="FO",'2024'!$E$2=AC43),'2024DATA'!$N$10,"")</f>
        <v/>
      </c>
      <c r="AD51" s="940"/>
      <c r="AE51" s="13" t="s">
        <v>62</v>
      </c>
      <c r="AF51" s="518" t="str">
        <f>IF(AND(_B="A-330-200",'2024'!$E$4="FO",'2024'!$E$2=AF43),'2024DATA'!$C$10,"")</f>
        <v/>
      </c>
      <c r="AG51" s="518" t="str">
        <f>IF(AND(_B="A-330-200",'2024'!$E$4="FO",'2024'!$E$2=AG43),'2024DATA'!$D$10,"")</f>
        <v/>
      </c>
      <c r="AH51" s="518" t="str">
        <f>IF(AND(_B="A-330-200",'2024'!$E$4="FO",'2024'!$E$2=AH43),'2024DATA'!$E$10,"")</f>
        <v/>
      </c>
      <c r="AI51" s="518" t="str">
        <f>IF(AND(_B="A-330-200",'2024'!$E$4="FO",'2024'!$E$2=AI43),'2024DATA'!$F$10,"")</f>
        <v/>
      </c>
      <c r="AJ51" s="518" t="str">
        <f>IF(AND(_B="A-330-200",'2024'!$E$4="FO",'2024'!$E$2=AJ43),'2024DATA'!$G$10,"")</f>
        <v/>
      </c>
      <c r="AK51" s="518" t="str">
        <f>IF(AND(_B="A-330-200",'2024'!$E$4="FO",'2024'!$E$2=AK43),'2024DATA'!$H$10,"")</f>
        <v/>
      </c>
      <c r="AL51" s="518" t="str">
        <f>IF(AND(_B="A-330-200",'2024'!$E$4="FO",'2024'!$E$2=AL43),'2024DATA'!$I$10,"")</f>
        <v/>
      </c>
      <c r="AM51" s="518" t="str">
        <f>IF(AND(_B="A-330-200",'2024'!$E$4="FO",'2024'!$E$2=AM43),'2024DATA'!$J$10,"")</f>
        <v/>
      </c>
      <c r="AN51" s="518" t="str">
        <f>IF(AND(_B="A-330-200",'2024'!$E$4="FO",'2024'!$E$2=AN43),'2024DATA'!$K$10,"")</f>
        <v/>
      </c>
      <c r="AO51" s="518" t="str">
        <f>IF(AND(_B="A-330-200",'2024'!$E$4="FO",'2024'!$E$2=AO43),'2024DATA'!$L$10,"")</f>
        <v/>
      </c>
      <c r="AP51" s="518" t="str">
        <f>IF(AND(_B="A-330-200",'2024'!$E$4="FO",'2024'!$E$2=AP43),'2024DATA'!$M$10,"")</f>
        <v/>
      </c>
      <c r="AQ51" s="520" t="str">
        <f>IF(AND(_B="A-330-200",'2024'!$E$4="FO",'2024'!$E$2=AQ43),'2024DATA'!$N$10,"")</f>
        <v/>
      </c>
      <c r="AR51" s="940"/>
      <c r="AS51" s="13" t="s">
        <v>62</v>
      </c>
      <c r="AT51" s="518" t="str">
        <f>IF(AND(_C="A-330-200",'2024'!$E$4="FO",'2024'!$E$2=AT43),'2024DATA'!$C$10,"")</f>
        <v/>
      </c>
      <c r="AU51" s="518" t="str">
        <f>IF(AND(_C="A-330-200",'2024'!$E$4="FO",'2024'!$E$2=AU43),'2024DATA'!$D$10,"")</f>
        <v/>
      </c>
      <c r="AV51" s="518" t="str">
        <f>IF(AND(_C="A-330-200",'2024'!$E$4="FO",'2024'!$E$2=AV43),'2024DATA'!$E$10,"")</f>
        <v/>
      </c>
      <c r="AW51" s="518" t="str">
        <f>IF(AND(_C="A-330-200",'2024'!$E$4="FO",'2024'!$E$2=AW43),'2024DATA'!$F$10,"")</f>
        <v/>
      </c>
      <c r="AX51" s="518" t="str">
        <f>IF(AND(_C="A-330-200",'2024'!$E$4="FO",'2024'!$E$2=AX43),'2024DATA'!$G$10,"")</f>
        <v/>
      </c>
      <c r="AY51" s="518" t="str">
        <f>IF(AND(_C="A-330-200",'2024'!$E$4="FO",'2024'!$E$2=AY43),'2024DATA'!$H$10,"")</f>
        <v/>
      </c>
      <c r="AZ51" s="518" t="str">
        <f>IF(AND(_C="A-330-200",'2024'!$E$4="FO",'2024'!$E$2=AZ43),'2024DATA'!$I$10,"")</f>
        <v/>
      </c>
      <c r="BA51" s="518" t="str">
        <f>IF(AND(_C="A-330-200",'2024'!$E$4="FO",'2024'!$E$2=BA43),'2024DATA'!$J$10,"")</f>
        <v/>
      </c>
      <c r="BB51" s="518" t="str">
        <f>IF(AND(_C="A-330-200",'2024'!$E$4="FO",'2024'!$E$2=BB43),'2024DATA'!$K$10,"")</f>
        <v/>
      </c>
      <c r="BC51" s="518" t="str">
        <f>IF(AND(_C="A-330-200",'2024'!$E$4="FO",'2024'!$E$2=BC43),'2024DATA'!$L$10,"")</f>
        <v/>
      </c>
      <c r="BD51" s="518" t="str">
        <f>IF(AND(_C="A-330-200",'2024'!$E$4="FO",'2024'!$E$2=BD43),'2024DATA'!$M$10,"")</f>
        <v/>
      </c>
      <c r="BE51" s="520" t="str">
        <f>IF(AND(_C="A-330-200",'2024'!$E$4="FO",'2024'!$E$2=BE43),'2024DATA'!$N$10,"")</f>
        <v/>
      </c>
      <c r="BF51" s="940"/>
      <c r="BG51" s="13" t="s">
        <v>62</v>
      </c>
      <c r="BH51" s="518" t="str">
        <f>IF(AND(_D="A-330-200",'2024'!$E$4="FO",'2024'!$E$2=BH43),'2024DATA'!$C$10,"")</f>
        <v/>
      </c>
      <c r="BI51" s="518" t="str">
        <f>IF(AND(_D="A-330-200",'2024'!$E$4="FO",'2024'!$E$2=BI43),'2024DATA'!$D$10,"")</f>
        <v/>
      </c>
      <c r="BJ51" s="518" t="str">
        <f>IF(AND(_D="A-330-200",'2024'!$E$4="FO",'2024'!$E$2=BJ43),'2024DATA'!$E$10,"")</f>
        <v/>
      </c>
      <c r="BK51" s="518" t="str">
        <f>IF(AND(_D="A-330-200",'2024'!$E$4="FO",'2024'!$E$2=BK43),'2024DATA'!$F$10,"")</f>
        <v/>
      </c>
      <c r="BL51" s="518" t="str">
        <f>IF(AND(_D="A-330-200",'2024'!$E$4="FO",'2024'!$E$2=BL43),'2024DATA'!$G$10,"")</f>
        <v/>
      </c>
      <c r="BM51" s="518" t="str">
        <f>IF(AND(_D="A-330-200",'2024'!$E$4="FO",'2024'!$E$2=BM43),'2024DATA'!$H$10,"")</f>
        <v/>
      </c>
      <c r="BN51" s="518" t="str">
        <f>IF(AND(_D="A-330-200",'2024'!$E$4="FO",'2024'!$E$2=BN43),'2024DATA'!$I$10,"")</f>
        <v/>
      </c>
      <c r="BO51" s="518" t="str">
        <f>IF(AND(_D="A-330-200",'2024'!$E$4="FO",'2024'!$E$2=BO43),'2024DATA'!$J$10,"")</f>
        <v/>
      </c>
      <c r="BP51" s="518" t="str">
        <f>IF(AND(_D="A-330-200",'2024'!$E$4="FO",'2024'!$E$2=BP43),'2024DATA'!$K$10,"")</f>
        <v/>
      </c>
      <c r="BQ51" s="518" t="str">
        <f>IF(AND(_D="A-330-200",'2024'!$E$4="FO",'2024'!$E$2=BQ43),'2024DATA'!$L$10,"")</f>
        <v/>
      </c>
      <c r="BR51" s="518" t="str">
        <f>IF(AND(_D="A-330-200",'2024'!$E$4="FO",'2024'!$E$2=BR43),'2024DATA'!$M$10,"")</f>
        <v/>
      </c>
      <c r="BS51" s="520" t="str">
        <f>IF(AND(_D="A-330-200",'2024'!$E$4="FO",'2024'!$E$2=BS43),'2024DATA'!$N$10,"")</f>
        <v/>
      </c>
      <c r="BT51" s="940"/>
      <c r="BU51" s="13" t="s">
        <v>62</v>
      </c>
      <c r="BV51" s="518" t="str">
        <f>IF(AND(_E="A-330-200",'2024'!$E$4="FO",'2024'!$E$2=BV43),'2024DATA'!$C$10,"")</f>
        <v/>
      </c>
      <c r="BW51" s="518" t="str">
        <f>IF(AND(_E="A-330-200",'2024'!$E$4="FO",'2024'!$E$2=BW43),'2024DATA'!$D$10,"")</f>
        <v/>
      </c>
      <c r="BX51" s="518" t="str">
        <f>IF(AND(_E="A-330-200",'2024'!$E$4="FO",'2024'!$E$2=BX43),'2024DATA'!$E$10,"")</f>
        <v/>
      </c>
      <c r="BY51" s="518" t="str">
        <f>IF(AND(_E="A-330-200",'2024'!$E$4="FO",'2024'!$E$2=BY43),'2024DATA'!$F$10,"")</f>
        <v/>
      </c>
      <c r="BZ51" s="518" t="str">
        <f>IF(AND(_E="A-330-200",'2024'!$E$4="FO",'2024'!$E$2=BZ43),'2024DATA'!$G$10,"")</f>
        <v/>
      </c>
      <c r="CA51" s="518" t="str">
        <f>IF(AND(_E="A-330-200",'2024'!$E$4="FO",'2024'!$E$2=CA43),'2024DATA'!$H$10,"")</f>
        <v/>
      </c>
      <c r="CB51" s="518" t="str">
        <f>IF(AND(_E="A-330-200",'2024'!$E$4="FO",'2024'!$E$2=CB43),'2024DATA'!$I$10,"")</f>
        <v/>
      </c>
      <c r="CC51" s="518" t="str">
        <f>IF(AND(_E="A-330-200",'2024'!$E$4="FO",'2024'!$E$2=CC43),'2024DATA'!$J$10,"")</f>
        <v/>
      </c>
      <c r="CD51" s="518" t="str">
        <f>IF(AND(_E="A-330-200",'2024'!$E$4="FO",'2024'!$E$2=CD43),'2024DATA'!$K$10,"")</f>
        <v/>
      </c>
      <c r="CE51" s="518" t="str">
        <f>IF(AND(_E="A-330-200",'2024'!$E$4="FO",'2024'!$E$2=CE43),'2024DATA'!$L$10,"")</f>
        <v/>
      </c>
      <c r="CF51" s="518" t="str">
        <f>IF(AND(_E="A-330-200",'2024'!$E$4="FO",'2024'!$E$2=CF43),'2024DATA'!$M$10,"")</f>
        <v/>
      </c>
      <c r="CG51" s="520" t="str">
        <f>IF(AND(_E="A-330-200",'2024'!$E$4="FO",'2024'!$E$2=CG43),'2024DATA'!$N$10,"")</f>
        <v/>
      </c>
      <c r="CH51" s="940"/>
      <c r="CI51" s="13" t="s">
        <v>62</v>
      </c>
      <c r="CJ51" s="518" t="str">
        <f>IF(AND(_F="A-330-200",'2024'!$E$4="FO",'2024'!$E$2=CJ43),'2024DATA'!$C$10,"")</f>
        <v/>
      </c>
      <c r="CK51" s="518" t="str">
        <f>IF(AND(_F="A-330-200",'2024'!$E$4="FO",'2024'!$E$2=CK43),'2024DATA'!$D$10,"")</f>
        <v/>
      </c>
      <c r="CL51" s="518" t="str">
        <f>IF(AND(_F="A-330-200",'2024'!$E$4="FO",'2024'!$E$2=CL43),'2024DATA'!$E$10,"")</f>
        <v/>
      </c>
      <c r="CM51" s="518" t="str">
        <f>IF(AND(_F="A-330-200",'2024'!$E$4="FO",'2024'!$E$2=CM43),'2024DATA'!$F$10,"")</f>
        <v/>
      </c>
      <c r="CN51" s="518" t="str">
        <f>IF(AND(_F="A-330-200",'2024'!$E$4="FO",'2024'!$E$2=CN43),'2024DATA'!$G$10,"")</f>
        <v/>
      </c>
      <c r="CO51" s="518" t="str">
        <f>IF(AND(_F="A-330-200",'2024'!$E$4="FO",'2024'!$E$2=CO43),'2024DATA'!$H$10,"")</f>
        <v/>
      </c>
      <c r="CP51" s="518" t="str">
        <f>IF(AND(_F="A-330-200",'2024'!$E$4="FO",'2024'!$E$2=CP43),'2024DATA'!$I$10,"")</f>
        <v/>
      </c>
      <c r="CQ51" s="518" t="str">
        <f>IF(AND(_F="A-330-200",'2024'!$E$4="FO",'2024'!$E$2=CQ43),'2024DATA'!$J$10,"")</f>
        <v/>
      </c>
      <c r="CR51" s="518" t="str">
        <f>IF(AND(_F="A-330-200",'2024'!$E$4="FO",'2024'!$E$2=CR43),'2024DATA'!$K$10,"")</f>
        <v/>
      </c>
      <c r="CS51" s="518" t="str">
        <f>IF(AND(_F="A-330-200",'2024'!$E$4="FO",'2024'!$E$2=CS43),'2024DATA'!$L$10,"")</f>
        <v/>
      </c>
      <c r="CT51" s="518" t="str">
        <f>IF(AND(_F="A-330-200",'2024'!$E$4="FO",'2024'!$E$2=CT43),'2024DATA'!$M$10,"")</f>
        <v/>
      </c>
      <c r="CU51" s="520" t="str">
        <f>IF(AND(_F="A-330-200",'2024'!$E$4="FO",'2024'!$E$2=CU43),'2024DATA'!$N$10,"")</f>
        <v/>
      </c>
    </row>
    <row r="52" spans="16:99" x14ac:dyDescent="0.25">
      <c r="P52" s="940" t="s">
        <v>42</v>
      </c>
      <c r="Q52" s="13" t="s">
        <v>61</v>
      </c>
      <c r="R52" s="518" t="str">
        <f>IF(AND(_A="B-767-400ER",'2024'!$E$4="CA",'2024'!$E$2=R43),'2024DATA'!$C$11,"")</f>
        <v/>
      </c>
      <c r="S52" s="518" t="str">
        <f>IF(AND(_A="B-767-400ER",'2024'!$E$4="CA",'2024'!$E$2=S43),'2024DATA'!$D$11,"")</f>
        <v/>
      </c>
      <c r="T52" s="518" t="str">
        <f>IF(AND(_A="B-767-400ER",'2024'!$E$4="CA",'2024'!$E$2=T43),'2024DATA'!$E$11,"")</f>
        <v/>
      </c>
      <c r="U52" s="518" t="str">
        <f>IF(AND(_A="B-767-400ER",'2024'!$E$4="CA",'2024'!$E$2=U43),'2024DATA'!$F$11,"")</f>
        <v/>
      </c>
      <c r="V52" s="518" t="str">
        <f>IF(AND(_A="B-767-400ER",'2024'!$E$4="CA",'2024'!$E$2=V43),'2024DATA'!$G$11,"")</f>
        <v/>
      </c>
      <c r="W52" s="518" t="str">
        <f>IF(AND(_A="B-767-400ER",'2024'!$E$4="CA",'2024'!$E$2=W43),'2024DATA'!$H$11,"")</f>
        <v/>
      </c>
      <c r="X52" s="518" t="str">
        <f>IF(AND(_A="B-767-400ER",'2024'!$E$4="CA",'2024'!$E$2=X43),'2024DATA'!$I$11,"")</f>
        <v/>
      </c>
      <c r="Y52" s="518" t="str">
        <f>IF(AND(_A="B-767-400ER",'2024'!$E$4="CA",'2024'!$E$2=Y43),'2024DATA'!$J$11,"")</f>
        <v/>
      </c>
      <c r="Z52" s="518" t="str">
        <f>IF(AND(_A="B-767-400ER",'2024'!$E$4="CA",'2024'!$E$2=Z43),'2024DATA'!$K$11,"")</f>
        <v/>
      </c>
      <c r="AA52" s="518" t="str">
        <f>IF(AND(_A="B-767-400ER",'2024'!$E$4="CA",'2024'!$E$2=AA43),'2024DATA'!$L$11,"")</f>
        <v/>
      </c>
      <c r="AB52" s="518" t="str">
        <f>IF(AND(_A="B-767-400ER",'2024'!$E$4="CA",'2024'!$E$2=AB43),'2024DATA'!$M$11,"")</f>
        <v/>
      </c>
      <c r="AC52" s="520" t="str">
        <f>IF(AND(_A="B-767-400ER",'2024'!$E$4="CA",'2024'!$E$2=AC43),'2024DATA'!$N$11,"")</f>
        <v/>
      </c>
      <c r="AD52" s="940" t="s">
        <v>42</v>
      </c>
      <c r="AE52" s="13" t="s">
        <v>61</v>
      </c>
      <c r="AF52" s="518" t="str">
        <f>IF(AND(_B="B-767-400ER",'2024'!$E$4="CA",'2024'!$E$2=AF43),'2024DATA'!$C$11,"")</f>
        <v/>
      </c>
      <c r="AG52" s="518" t="str">
        <f>IF(AND(_B="B-767-400ER",'2024'!$E$4="CA",'2024'!$E$2=AG43),'2024DATA'!$D$11,"")</f>
        <v/>
      </c>
      <c r="AH52" s="518" t="str">
        <f>IF(AND(_B="B-767-400ER",'2024'!$E$4="CA",'2024'!$E$2=AH43),'2024DATA'!$E$11,"")</f>
        <v/>
      </c>
      <c r="AI52" s="518" t="str">
        <f>IF(AND(_B="B-767-400ER",'2024'!$E$4="CA",'2024'!$E$2=AI43),'2024DATA'!$F$11,"")</f>
        <v/>
      </c>
      <c r="AJ52" s="518" t="str">
        <f>IF(AND(_B="B-767-400ER",'2024'!$E$4="CA",'2024'!$E$2=AJ43),'2024DATA'!$G$11,"")</f>
        <v/>
      </c>
      <c r="AK52" s="518" t="str">
        <f>IF(AND(_B="B-767-400ER",'2024'!$E$4="CA",'2024'!$E$2=AK43),'2024DATA'!$H$11,"")</f>
        <v/>
      </c>
      <c r="AL52" s="518" t="str">
        <f>IF(AND(_B="B-767-400ER",'2024'!$E$4="CA",'2024'!$E$2=AL43),'2024DATA'!$I$11,"")</f>
        <v/>
      </c>
      <c r="AM52" s="518" t="str">
        <f>IF(AND(_B="B-767-400ER",'2024'!$E$4="CA",'2024'!$E$2=AM43),'2024DATA'!$J$11,"")</f>
        <v/>
      </c>
      <c r="AN52" s="518" t="str">
        <f>IF(AND(_B="B-767-400ER",'2024'!$E$4="CA",'2024'!$E$2=AN43),'2024DATA'!$K$11,"")</f>
        <v/>
      </c>
      <c r="AO52" s="518" t="str">
        <f>IF(AND(_B="B-767-400ER",'2024'!$E$4="CA",'2024'!$E$2=AO43),'2024DATA'!$L$11,"")</f>
        <v/>
      </c>
      <c r="AP52" s="518" t="str">
        <f>IF(AND(_B="B-767-400ER",'2024'!$E$4="CA",'2024'!$E$2=AP43),'2024DATA'!$M$11,"")</f>
        <v/>
      </c>
      <c r="AQ52" s="520" t="str">
        <f>IF(AND(_B="B-767-400ER",'2024'!$E$4="CA",'2024'!$E$2=AQ43),'2024DATA'!$N$11,"")</f>
        <v/>
      </c>
      <c r="AR52" s="940" t="s">
        <v>42</v>
      </c>
      <c r="AS52" s="13" t="s">
        <v>61</v>
      </c>
      <c r="AT52" s="518" t="str">
        <f>IF(AND(_C="B-767-400ER",'2024'!$E$4="CA",'2024'!$E$2=AT43),'2024DATA'!$C$11,"")</f>
        <v/>
      </c>
      <c r="AU52" s="518" t="str">
        <f>IF(AND(_C="B-767-400ER",'2024'!$E$4="CA",'2024'!$E$2=AU43),'2024DATA'!$D$11,"")</f>
        <v/>
      </c>
      <c r="AV52" s="518" t="str">
        <f>IF(AND(_C="B-767-400ER",'2024'!$E$4="CA",'2024'!$E$2=AV43),'2024DATA'!$E$11,"")</f>
        <v/>
      </c>
      <c r="AW52" s="518" t="str">
        <f>IF(AND(_C="B-767-400ER",'2024'!$E$4="CA",'2024'!$E$2=AW43),'2024DATA'!$F$11,"")</f>
        <v/>
      </c>
      <c r="AX52" s="518" t="str">
        <f>IF(AND(_C="B-767-400ER",'2024'!$E$4="CA",'2024'!$E$2=AX43),'2024DATA'!$G$11,"")</f>
        <v/>
      </c>
      <c r="AY52" s="518" t="str">
        <f>IF(AND(_C="B-767-400ER",'2024'!$E$4="CA",'2024'!$E$2=AY43),'2024DATA'!$H$11,"")</f>
        <v/>
      </c>
      <c r="AZ52" s="518" t="str">
        <f>IF(AND(_C="B-767-400ER",'2024'!$E$4="CA",'2024'!$E$2=AZ43),'2024DATA'!$I$11,"")</f>
        <v/>
      </c>
      <c r="BA52" s="518" t="str">
        <f>IF(AND(_C="B-767-400ER",'2024'!$E$4="CA",'2024'!$E$2=BA43),'2024DATA'!$J$11,"")</f>
        <v/>
      </c>
      <c r="BB52" s="518" t="str">
        <f>IF(AND(_C="B-767-400ER",'2024'!$E$4="CA",'2024'!$E$2=BB43),'2024DATA'!$K$11,"")</f>
        <v/>
      </c>
      <c r="BC52" s="518" t="str">
        <f>IF(AND(_C="B-767-400ER",'2024'!$E$4="CA",'2024'!$E$2=BC43),'2024DATA'!$L$11,"")</f>
        <v/>
      </c>
      <c r="BD52" s="518" t="str">
        <f>IF(AND(_C="B-767-400ER",'2024'!$E$4="CA",'2024'!$E$2=BD43),'2024DATA'!$M$11,"")</f>
        <v/>
      </c>
      <c r="BE52" s="520" t="str">
        <f>IF(AND(_C="B-767-400ER",'2024'!$E$4="CA",'2024'!$E$2=BE43),'2024DATA'!$N$11,"")</f>
        <v/>
      </c>
      <c r="BF52" s="940" t="s">
        <v>42</v>
      </c>
      <c r="BG52" s="13" t="s">
        <v>61</v>
      </c>
      <c r="BH52" s="518" t="str">
        <f>IF(AND(_D="B-767-400ER",'2024'!$E$4="CA",'2024'!$E$2=BH43),'2024DATA'!$C$11,"")</f>
        <v/>
      </c>
      <c r="BI52" s="518" t="str">
        <f>IF(AND(_D="B-767-400ER",'2024'!$E$4="CA",'2024'!$E$2=BI43),'2024DATA'!$D$11,"")</f>
        <v/>
      </c>
      <c r="BJ52" s="518" t="str">
        <f>IF(AND(_D="B-767-400ER",'2024'!$E$4="CA",'2024'!$E$2=BJ43),'2024DATA'!$E$11,"")</f>
        <v/>
      </c>
      <c r="BK52" s="518" t="str">
        <f>IF(AND(_D="B-767-400ER",'2024'!$E$4="CA",'2024'!$E$2=BK43),'2024DATA'!$F$11,"")</f>
        <v/>
      </c>
      <c r="BL52" s="518" t="str">
        <f>IF(AND(_D="B-767-400ER",'2024'!$E$4="CA",'2024'!$E$2=BL43),'2024DATA'!$G$11,"")</f>
        <v/>
      </c>
      <c r="BM52" s="518" t="str">
        <f>IF(AND(_D="B-767-400ER",'2024'!$E$4="CA",'2024'!$E$2=BM43),'2024DATA'!$H$11,"")</f>
        <v/>
      </c>
      <c r="BN52" s="518" t="str">
        <f>IF(AND(_D="B-767-400ER",'2024'!$E$4="CA",'2024'!$E$2=BN43),'2024DATA'!$I$11,"")</f>
        <v/>
      </c>
      <c r="BO52" s="518" t="str">
        <f>IF(AND(_D="B-767-400ER",'2024'!$E$4="CA",'2024'!$E$2=BO43),'2024DATA'!$J$11,"")</f>
        <v/>
      </c>
      <c r="BP52" s="518" t="str">
        <f>IF(AND(_D="B-767-400ER",'2024'!$E$4="CA",'2024'!$E$2=BP43),'2024DATA'!$K$11,"")</f>
        <v/>
      </c>
      <c r="BQ52" s="518" t="str">
        <f>IF(AND(_D="B-767-400ER",'2024'!$E$4="CA",'2024'!$E$2=BQ43),'2024DATA'!$L$11,"")</f>
        <v/>
      </c>
      <c r="BR52" s="518" t="str">
        <f>IF(AND(_D="B-767-400ER",'2024'!$E$4="CA",'2024'!$E$2=BR43),'2024DATA'!$M$11,"")</f>
        <v/>
      </c>
      <c r="BS52" s="520" t="str">
        <f>IF(AND(_D="B-767-400ER",'2024'!$E$4="CA",'2024'!$E$2=BS43),'2024DATA'!$N$11,"")</f>
        <v/>
      </c>
      <c r="BT52" s="940" t="s">
        <v>42</v>
      </c>
      <c r="BU52" s="13" t="s">
        <v>61</v>
      </c>
      <c r="BV52" s="518" t="str">
        <f>IF(AND(_E="B-767-400ER",'2024'!$E$4="CA",'2024'!$E$2=BV43),'2024DATA'!$C$11,"")</f>
        <v/>
      </c>
      <c r="BW52" s="518" t="str">
        <f>IF(AND(_E="B-767-400ER",'2024'!$E$4="CA",'2024'!$E$2=BW43),'2024DATA'!$D$11,"")</f>
        <v/>
      </c>
      <c r="BX52" s="518" t="str">
        <f>IF(AND(_E="B-767-400ER",'2024'!$E$4="CA",'2024'!$E$2=BX43),'2024DATA'!$E$11,"")</f>
        <v/>
      </c>
      <c r="BY52" s="518" t="str">
        <f>IF(AND(_E="B-767-400ER",'2024'!$E$4="CA",'2024'!$E$2=BY43),'2024DATA'!$F$11,"")</f>
        <v/>
      </c>
      <c r="BZ52" s="518" t="str">
        <f>IF(AND(_E="B-767-400ER",'2024'!$E$4="CA",'2024'!$E$2=BZ43),'2024DATA'!$G$11,"")</f>
        <v/>
      </c>
      <c r="CA52" s="518" t="str">
        <f>IF(AND(_E="B-767-400ER",'2024'!$E$4="CA",'2024'!$E$2=CA43),'2024DATA'!$H$11,"")</f>
        <v/>
      </c>
      <c r="CB52" s="518" t="str">
        <f>IF(AND(_E="B-767-400ER",'2024'!$E$4="CA",'2024'!$E$2=CB43),'2024DATA'!$I$11,"")</f>
        <v/>
      </c>
      <c r="CC52" s="518" t="str">
        <f>IF(AND(_E="B-767-400ER",'2024'!$E$4="CA",'2024'!$E$2=CC43),'2024DATA'!$J$11,"")</f>
        <v/>
      </c>
      <c r="CD52" s="518" t="str">
        <f>IF(AND(_E="B-767-400ER",'2024'!$E$4="CA",'2024'!$E$2=CD43),'2024DATA'!$K$11,"")</f>
        <v/>
      </c>
      <c r="CE52" s="518" t="str">
        <f>IF(AND(_E="B-767-400ER",'2024'!$E$4="CA",'2024'!$E$2=CE43),'2024DATA'!$L$11,"")</f>
        <v/>
      </c>
      <c r="CF52" s="518" t="str">
        <f>IF(AND(_E="B-767-400ER",'2024'!$E$4="CA",'2024'!$E$2=CF43),'2024DATA'!$M$11,"")</f>
        <v/>
      </c>
      <c r="CG52" s="520" t="str">
        <f>IF(AND(_E="B-767-400ER",'2024'!$E$4="CA",'2024'!$E$2=CG43),'2024DATA'!$N$11,"")</f>
        <v/>
      </c>
      <c r="CH52" s="940" t="s">
        <v>42</v>
      </c>
      <c r="CI52" s="13" t="s">
        <v>61</v>
      </c>
      <c r="CJ52" s="518" t="str">
        <f>IF(AND(_F="B-767-400ER",'2024'!$E$4="CA",'2024'!$E$2=CJ43),'2024DATA'!$C$11,"")</f>
        <v/>
      </c>
      <c r="CK52" s="518" t="str">
        <f>IF(AND(_F="B-767-400ER",'2024'!$E$4="CA",'2024'!$E$2=CK43),'2024DATA'!$D$11,"")</f>
        <v/>
      </c>
      <c r="CL52" s="518" t="str">
        <f>IF(AND(_F="B-767-400ER",'2024'!$E$4="CA",'2024'!$E$2=CL43),'2024DATA'!$E$11,"")</f>
        <v/>
      </c>
      <c r="CM52" s="518" t="str">
        <f>IF(AND(_F="B-767-400ER",'2024'!$E$4="CA",'2024'!$E$2=CM43),'2024DATA'!$F$11,"")</f>
        <v/>
      </c>
      <c r="CN52" s="518" t="str">
        <f>IF(AND(_F="B-767-400ER",'2024'!$E$4="CA",'2024'!$E$2=CN43),'2024DATA'!$G$11,"")</f>
        <v/>
      </c>
      <c r="CO52" s="518" t="str">
        <f>IF(AND(_F="B-767-400ER",'2024'!$E$4="CA",'2024'!$E$2=CO43),'2024DATA'!$H$11,"")</f>
        <v/>
      </c>
      <c r="CP52" s="518" t="str">
        <f>IF(AND(_F="B-767-400ER",'2024'!$E$4="CA",'2024'!$E$2=CP43),'2024DATA'!$I$11,"")</f>
        <v/>
      </c>
      <c r="CQ52" s="518" t="str">
        <f>IF(AND(_F="B-767-400ER",'2024'!$E$4="CA",'2024'!$E$2=CQ43),'2024DATA'!$J$11,"")</f>
        <v/>
      </c>
      <c r="CR52" s="518" t="str">
        <f>IF(AND(_F="B-767-400ER",'2024'!$E$4="CA",'2024'!$E$2=CR43),'2024DATA'!$K$11,"")</f>
        <v/>
      </c>
      <c r="CS52" s="518" t="str">
        <f>IF(AND(_F="B-767-400ER",'2024'!$E$4="CA",'2024'!$E$2=CS43),'2024DATA'!$L$11,"")</f>
        <v/>
      </c>
      <c r="CT52" s="518" t="str">
        <f>IF(AND(_F="B-767-400ER",'2024'!$E$4="CA",'2024'!$E$2=CT43),'2024DATA'!$M$11,"")</f>
        <v/>
      </c>
      <c r="CU52" s="520" t="str">
        <f>IF(AND(_F="B-767-400ER",'2024'!$E$4="CA",'2024'!$E$2=CU43),'2024DATA'!$N$11,"")</f>
        <v/>
      </c>
    </row>
    <row r="53" spans="16:99" x14ac:dyDescent="0.25">
      <c r="P53" s="940"/>
      <c r="Q53" s="13" t="s">
        <v>62</v>
      </c>
      <c r="R53" s="518" t="str">
        <f>IF(AND(_A="B-767-400ER",'2024'!$E$4="FO",'2024'!$E$2=R43),'2024DATA'!$C$12,"")</f>
        <v/>
      </c>
      <c r="S53" s="518" t="str">
        <f>IF(AND(_A="B-767-400ER",'2024'!$E$4="FO",'2024'!$E$2=S43),'2024DATA'!$D$12,"")</f>
        <v/>
      </c>
      <c r="T53" s="518" t="str">
        <f>IF(AND(_A="B-767-400ER",'2024'!$E$4="FO",'2024'!$E$2=T43),'2024DATA'!$E$12,"")</f>
        <v/>
      </c>
      <c r="U53" s="518" t="str">
        <f>IF(AND(_A="B-767-400ER",'2024'!$E$4="FO",'2024'!$E$2=U43),'2024DATA'!$F$12,"")</f>
        <v/>
      </c>
      <c r="V53" s="518" t="str">
        <f>IF(AND(_A="B-767-400ER",'2024'!$E$4="FO",'2024'!$E$2=V43),'2024DATA'!$G$12,"")</f>
        <v/>
      </c>
      <c r="W53" s="518" t="str">
        <f>IF(AND(_A="B-767-400ER",'2024'!$E$4="FO",'2024'!$E$2=W43),'2024DATA'!$H$12,"")</f>
        <v/>
      </c>
      <c r="X53" s="518" t="str">
        <f>IF(AND(_A="B-767-400ER",'2024'!$E$4="FO",'2024'!$E$2=X43),'2024DATA'!$I$12,"")</f>
        <v/>
      </c>
      <c r="Y53" s="518" t="str">
        <f>IF(AND(_A="B-767-400ER",'2024'!$E$4="FO",'2024'!$E$2=Y43),'2024DATA'!$J$12,"")</f>
        <v/>
      </c>
      <c r="Z53" s="518" t="str">
        <f>IF(AND(_A="B-767-400ER",'2024'!$E$4="FO",'2024'!$E$2=Z43),'2024DATA'!$K$12,"")</f>
        <v/>
      </c>
      <c r="AA53" s="518" t="str">
        <f>IF(AND(_A="B-767-400ER",'2024'!$E$4="FO",'2024'!$E$2=AA43),'2024DATA'!$L$12,"")</f>
        <v/>
      </c>
      <c r="AB53" s="518" t="str">
        <f>IF(AND(_A="B-767-400ER",'2024'!$E$4="FO",'2024'!$E$2=AB43),'2024DATA'!$M$12,"")</f>
        <v/>
      </c>
      <c r="AC53" s="520" t="str">
        <f>IF(AND(_A="B-767-400ER",'2024'!$E$4="FO",'2024'!$E$2=AC43),'2024DATA'!$N$12,"")</f>
        <v/>
      </c>
      <c r="AD53" s="940"/>
      <c r="AE53" s="13" t="s">
        <v>62</v>
      </c>
      <c r="AF53" s="518" t="str">
        <f>IF(AND(_B="B-767-400ER",'2024'!$E$4="FO",'2024'!$E$2=AF43),'2024DATA'!$C$12,"")</f>
        <v/>
      </c>
      <c r="AG53" s="518" t="str">
        <f>IF(AND(_B="B-767-400ER",'2024'!$E$4="FO",'2024'!$E$2=AG43),'2024DATA'!$D$12,"")</f>
        <v/>
      </c>
      <c r="AH53" s="518" t="str">
        <f>IF(AND(_B="B-767-400ER",'2024'!$E$4="FO",'2024'!$E$2=AH43),'2024DATA'!$E$12,"")</f>
        <v/>
      </c>
      <c r="AI53" s="518" t="str">
        <f>IF(AND(_B="B-767-400ER",'2024'!$E$4="FO",'2024'!$E$2=AI43),'2024DATA'!$F$12,"")</f>
        <v/>
      </c>
      <c r="AJ53" s="518" t="str">
        <f>IF(AND(_B="B-767-400ER",'2024'!$E$4="FO",'2024'!$E$2=AJ43),'2024DATA'!$G$12,"")</f>
        <v/>
      </c>
      <c r="AK53" s="518" t="str">
        <f>IF(AND(_B="B-767-400ER",'2024'!$E$4="FO",'2024'!$E$2=AK43),'2024DATA'!$H$12,"")</f>
        <v/>
      </c>
      <c r="AL53" s="518" t="str">
        <f>IF(AND(_B="B-767-400ER",'2024'!$E$4="FO",'2024'!$E$2=AL43),'2024DATA'!$I$12,"")</f>
        <v/>
      </c>
      <c r="AM53" s="518" t="str">
        <f>IF(AND(_B="B-767-400ER",'2024'!$E$4="FO",'2024'!$E$2=AM43),'2024DATA'!$J$12,"")</f>
        <v/>
      </c>
      <c r="AN53" s="518" t="str">
        <f>IF(AND(_B="B-767-400ER",'2024'!$E$4="FO",'2024'!$E$2=AN43),'2024DATA'!$K$12,"")</f>
        <v/>
      </c>
      <c r="AO53" s="518" t="str">
        <f>IF(AND(_B="B-767-400ER",'2024'!$E$4="FO",'2024'!$E$2=AO43),'2024DATA'!$L$12,"")</f>
        <v/>
      </c>
      <c r="AP53" s="518" t="str">
        <f>IF(AND(_B="B-767-400ER",'2024'!$E$4="FO",'2024'!$E$2=AP43),'2024DATA'!$M$12,"")</f>
        <v/>
      </c>
      <c r="AQ53" s="520" t="str">
        <f>IF(AND(_B="B-767-400ER",'2024'!$E$4="FO",'2024'!$E$2=AQ43),'2024DATA'!$N$12,"")</f>
        <v/>
      </c>
      <c r="AR53" s="940"/>
      <c r="AS53" s="13" t="s">
        <v>62</v>
      </c>
      <c r="AT53" s="518" t="str">
        <f>IF(AND(_C="B-767-400ER",'2024'!$E$4="FO",'2024'!$E$2=AT43),'2024DATA'!$C$12,"")</f>
        <v/>
      </c>
      <c r="AU53" s="518" t="str">
        <f>IF(AND(_C="B-767-400ER",'2024'!$E$4="FO",'2024'!$E$2=AU43),'2024DATA'!$D$12,"")</f>
        <v/>
      </c>
      <c r="AV53" s="518" t="str">
        <f>IF(AND(_C="B-767-400ER",'2024'!$E$4="FO",'2024'!$E$2=AV43),'2024DATA'!$E$12,"")</f>
        <v/>
      </c>
      <c r="AW53" s="518" t="str">
        <f>IF(AND(_C="B-767-400ER",'2024'!$E$4="FO",'2024'!$E$2=AW43),'2024DATA'!$F$12,"")</f>
        <v/>
      </c>
      <c r="AX53" s="518" t="str">
        <f>IF(AND(_C="B-767-400ER",'2024'!$E$4="FO",'2024'!$E$2=AX43),'2024DATA'!$G$12,"")</f>
        <v/>
      </c>
      <c r="AY53" s="518" t="str">
        <f>IF(AND(_C="B-767-400ER",'2024'!$E$4="FO",'2024'!$E$2=AY43),'2024DATA'!$H$12,"")</f>
        <v/>
      </c>
      <c r="AZ53" s="518" t="str">
        <f>IF(AND(_C="B-767-400ER",'2024'!$E$4="FO",'2024'!$E$2=AZ43),'2024DATA'!$I$12,"")</f>
        <v/>
      </c>
      <c r="BA53" s="518" t="str">
        <f>IF(AND(_C="B-767-400ER",'2024'!$E$4="FO",'2024'!$E$2=BA43),'2024DATA'!$J$12,"")</f>
        <v/>
      </c>
      <c r="BB53" s="518" t="str">
        <f>IF(AND(_C="B-767-400ER",'2024'!$E$4="FO",'2024'!$E$2=BB43),'2024DATA'!$K$12,"")</f>
        <v/>
      </c>
      <c r="BC53" s="518" t="str">
        <f>IF(AND(_C="B-767-400ER",'2024'!$E$4="FO",'2024'!$E$2=BC43),'2024DATA'!$L$12,"")</f>
        <v/>
      </c>
      <c r="BD53" s="518" t="str">
        <f>IF(AND(_C="B-767-400ER",'2024'!$E$4="FO",'2024'!$E$2=BD43),'2024DATA'!$M$12,"")</f>
        <v/>
      </c>
      <c r="BE53" s="520" t="str">
        <f>IF(AND(_C="B-767-400ER",'2024'!$E$4="FO",'2024'!$E$2=BE43),'2024DATA'!$N$12,"")</f>
        <v/>
      </c>
      <c r="BF53" s="940"/>
      <c r="BG53" s="13" t="s">
        <v>62</v>
      </c>
      <c r="BH53" s="518" t="str">
        <f>IF(AND(_D="B-767-400ER",'2024'!$E$4="FO",'2024'!$E$2=BH43),'2024DATA'!$C$12,"")</f>
        <v/>
      </c>
      <c r="BI53" s="518" t="str">
        <f>IF(AND(_D="B-767-400ER",'2024'!$E$4="FO",'2024'!$E$2=BI43),'2024DATA'!$D$12,"")</f>
        <v/>
      </c>
      <c r="BJ53" s="518" t="str">
        <f>IF(AND(_D="B-767-400ER",'2024'!$E$4="FO",'2024'!$E$2=BJ43),'2024DATA'!$E$12,"")</f>
        <v/>
      </c>
      <c r="BK53" s="518" t="str">
        <f>IF(AND(_D="B-767-400ER",'2024'!$E$4="FO",'2024'!$E$2=BK43),'2024DATA'!$F$12,"")</f>
        <v/>
      </c>
      <c r="BL53" s="518" t="str">
        <f>IF(AND(_D="B-767-400ER",'2024'!$E$4="FO",'2024'!$E$2=BL43),'2024DATA'!$G$12,"")</f>
        <v/>
      </c>
      <c r="BM53" s="518" t="str">
        <f>IF(AND(_D="B-767-400ER",'2024'!$E$4="FO",'2024'!$E$2=BM43),'2024DATA'!$H$12,"")</f>
        <v/>
      </c>
      <c r="BN53" s="518" t="str">
        <f>IF(AND(_D="B-767-400ER",'2024'!$E$4="FO",'2024'!$E$2=BN43),'2024DATA'!$I$12,"")</f>
        <v/>
      </c>
      <c r="BO53" s="518" t="str">
        <f>IF(AND(_D="B-767-400ER",'2024'!$E$4="FO",'2024'!$E$2=BO43),'2024DATA'!$J$12,"")</f>
        <v/>
      </c>
      <c r="BP53" s="518" t="str">
        <f>IF(AND(_D="B-767-400ER",'2024'!$E$4="FO",'2024'!$E$2=BP43),'2024DATA'!$K$12,"")</f>
        <v/>
      </c>
      <c r="BQ53" s="518" t="str">
        <f>IF(AND(_D="B-767-400ER",'2024'!$E$4="FO",'2024'!$E$2=BQ43),'2024DATA'!$L$12,"")</f>
        <v/>
      </c>
      <c r="BR53" s="518" t="str">
        <f>IF(AND(_D="B-767-400ER",'2024'!$E$4="FO",'2024'!$E$2=BR43),'2024DATA'!$M$12,"")</f>
        <v/>
      </c>
      <c r="BS53" s="520" t="str">
        <f>IF(AND(_D="B-767-400ER",'2024'!$E$4="FO",'2024'!$E$2=BS43),'2024DATA'!$N$12,"")</f>
        <v/>
      </c>
      <c r="BT53" s="940"/>
      <c r="BU53" s="13" t="s">
        <v>62</v>
      </c>
      <c r="BV53" s="518" t="str">
        <f>IF(AND(_E="B-767-400ER",'2024'!$E$4="FO",'2024'!$E$2=BV43),'2024DATA'!$C$12,"")</f>
        <v/>
      </c>
      <c r="BW53" s="518" t="str">
        <f>IF(AND(_E="B-767-400ER",'2024'!$E$4="FO",'2024'!$E$2=BW43),'2024DATA'!$D$12,"")</f>
        <v/>
      </c>
      <c r="BX53" s="518" t="str">
        <f>IF(AND(_E="B-767-400ER",'2024'!$E$4="FO",'2024'!$E$2=BX43),'2024DATA'!$E$12,"")</f>
        <v/>
      </c>
      <c r="BY53" s="518" t="str">
        <f>IF(AND(_E="B-767-400ER",'2024'!$E$4="FO",'2024'!$E$2=BY43),'2024DATA'!$F$12,"")</f>
        <v/>
      </c>
      <c r="BZ53" s="518" t="str">
        <f>IF(AND(_E="B-767-400ER",'2024'!$E$4="FO",'2024'!$E$2=BZ43),'2024DATA'!$G$12,"")</f>
        <v/>
      </c>
      <c r="CA53" s="518" t="str">
        <f>IF(AND(_E="B-767-400ER",'2024'!$E$4="FO",'2024'!$E$2=CA43),'2024DATA'!$H$12,"")</f>
        <v/>
      </c>
      <c r="CB53" s="518" t="str">
        <f>IF(AND(_E="B-767-400ER",'2024'!$E$4="FO",'2024'!$E$2=CB43),'2024DATA'!$I$12,"")</f>
        <v/>
      </c>
      <c r="CC53" s="518" t="str">
        <f>IF(AND(_E="B-767-400ER",'2024'!$E$4="FO",'2024'!$E$2=CC43),'2024DATA'!$J$12,"")</f>
        <v/>
      </c>
      <c r="CD53" s="518" t="str">
        <f>IF(AND(_E="B-767-400ER",'2024'!$E$4="FO",'2024'!$E$2=CD43),'2024DATA'!$K$12,"")</f>
        <v/>
      </c>
      <c r="CE53" s="518" t="str">
        <f>IF(AND(_E="B-767-400ER",'2024'!$E$4="FO",'2024'!$E$2=CE43),'2024DATA'!$L$12,"")</f>
        <v/>
      </c>
      <c r="CF53" s="518" t="str">
        <f>IF(AND(_E="B-767-400ER",'2024'!$E$4="FO",'2024'!$E$2=CF43),'2024DATA'!$M$12,"")</f>
        <v/>
      </c>
      <c r="CG53" s="520" t="str">
        <f>IF(AND(_E="B-767-400ER",'2024'!$E$4="FO",'2024'!$E$2=CG43),'2024DATA'!$N$12,"")</f>
        <v/>
      </c>
      <c r="CH53" s="940"/>
      <c r="CI53" s="13" t="s">
        <v>62</v>
      </c>
      <c r="CJ53" s="518" t="str">
        <f>IF(AND(_F="B-767-400ER",'2024'!$E$4="FO",'2024'!$E$2=CJ43),'2024DATA'!$C$12,"")</f>
        <v/>
      </c>
      <c r="CK53" s="518" t="str">
        <f>IF(AND(_F="B-767-400ER",'2024'!$E$4="FO",'2024'!$E$2=CK43),'2024DATA'!$D$12,"")</f>
        <v/>
      </c>
      <c r="CL53" s="518" t="str">
        <f>IF(AND(_F="B-767-400ER",'2024'!$E$4="FO",'2024'!$E$2=CL43),'2024DATA'!$E$12,"")</f>
        <v/>
      </c>
      <c r="CM53" s="518" t="str">
        <f>IF(AND(_F="B-767-400ER",'2024'!$E$4="FO",'2024'!$E$2=CM43),'2024DATA'!$F$12,"")</f>
        <v/>
      </c>
      <c r="CN53" s="518" t="str">
        <f>IF(AND(_F="B-767-400ER",'2024'!$E$4="FO",'2024'!$E$2=CN43),'2024DATA'!$G$12,"")</f>
        <v/>
      </c>
      <c r="CO53" s="518" t="str">
        <f>IF(AND(_F="B-767-400ER",'2024'!$E$4="FO",'2024'!$E$2=CO43),'2024DATA'!$H$12,"")</f>
        <v/>
      </c>
      <c r="CP53" s="518" t="str">
        <f>IF(AND(_F="B-767-400ER",'2024'!$E$4="FO",'2024'!$E$2=CP43),'2024DATA'!$I$12,"")</f>
        <v/>
      </c>
      <c r="CQ53" s="518" t="str">
        <f>IF(AND(_F="B-767-400ER",'2024'!$E$4="FO",'2024'!$E$2=CQ43),'2024DATA'!$J$12,"")</f>
        <v/>
      </c>
      <c r="CR53" s="518" t="str">
        <f>IF(AND(_F="B-767-400ER",'2024'!$E$4="FO",'2024'!$E$2=CR43),'2024DATA'!$K$12,"")</f>
        <v/>
      </c>
      <c r="CS53" s="518" t="str">
        <f>IF(AND(_F="B-767-400ER",'2024'!$E$4="FO",'2024'!$E$2=CS43),'2024DATA'!$L$12,"")</f>
        <v/>
      </c>
      <c r="CT53" s="518" t="str">
        <f>IF(AND(_F="B-767-400ER",'2024'!$E$4="FO",'2024'!$E$2=CT43),'2024DATA'!$M$12,"")</f>
        <v/>
      </c>
      <c r="CU53" s="520" t="str">
        <f>IF(AND(_F="B-767-400ER",'2024'!$E$4="FO",'2024'!$E$2=CU43),'2024DATA'!$N$12,"")</f>
        <v/>
      </c>
    </row>
    <row r="54" spans="16:99" x14ac:dyDescent="0.25">
      <c r="P54" s="940" t="s">
        <v>43</v>
      </c>
      <c r="Q54" s="13" t="s">
        <v>61</v>
      </c>
      <c r="R54" s="518" t="str">
        <f>IF(AND(_A="B-767-300ER",'2024'!$E$4="CA",'2024'!$E$2=R43),'2024DATA'!$C$13,"")</f>
        <v/>
      </c>
      <c r="S54" s="518" t="str">
        <f>IF(AND(_A="B-767-300ER",'2024'!$E$4="CA",'2024'!$E$2=S43),'2024DATA'!$D$13,"")</f>
        <v/>
      </c>
      <c r="T54" s="518" t="str">
        <f>IF(AND(_A="B-767-300ER",'2024'!$E$4="CA",'2024'!$E$2=T43),'2024DATA'!$E$13,"")</f>
        <v/>
      </c>
      <c r="U54" s="518" t="str">
        <f>IF(AND(_A="B-767-300ER",'2024'!$E$4="CA",'2024'!$E$2=U43),'2024DATA'!$F$13,"")</f>
        <v/>
      </c>
      <c r="V54" s="518" t="str">
        <f>IF(AND(_A="B-767-300ER",'2024'!$E$4="CA",'2024'!$E$2=V43),'2024DATA'!$G$13,"")</f>
        <v/>
      </c>
      <c r="W54" s="518" t="str">
        <f>IF(AND(_A="B-767-300ER",'2024'!$E$4="CA",'2024'!$E$2=W43),'2024DATA'!$H$13,"")</f>
        <v/>
      </c>
      <c r="X54" s="518" t="str">
        <f>IF(AND(_A="B-767-300ER",'2024'!$E$4="CA",'2024'!$E$2=X43),'2024DATA'!$I$13,"")</f>
        <v/>
      </c>
      <c r="Y54" s="518" t="str">
        <f>IF(AND(_A="B-767-300ER",'2024'!$E$4="CA",'2024'!$E$2=Y43),'2024DATA'!$J$13,"")</f>
        <v/>
      </c>
      <c r="Z54" s="518" t="str">
        <f>IF(AND(_A="B-767-300ER",'2024'!$E$4="CA",'2024'!$E$2=Z43),'2024DATA'!$K$13,"")</f>
        <v/>
      </c>
      <c r="AA54" s="518" t="str">
        <f>IF(AND(_A="B-767-300ER",'2024'!$E$4="CA",'2024'!$E$2=AA43),'2024DATA'!$L$13,"")</f>
        <v/>
      </c>
      <c r="AB54" s="518" t="str">
        <f>IF(AND(_A="B-767-300ER",'2024'!$E$4="CA",'2024'!$E$2=AB43),'2024DATA'!$M$13,"")</f>
        <v/>
      </c>
      <c r="AC54" s="520" t="str">
        <f>IF(AND(_A="B-767-300ER",'2024'!$E$4="CA",'2024'!$E$2=AC43),'2024DATA'!$N$13,"")</f>
        <v/>
      </c>
      <c r="AD54" s="940" t="s">
        <v>43</v>
      </c>
      <c r="AE54" s="13" t="s">
        <v>61</v>
      </c>
      <c r="AF54" s="518" t="str">
        <f>IF(AND(_B="B-767-300ER",'2024'!$E$4="CA",'2024'!$E$2=AF43),'2024DATA'!$C$13,"")</f>
        <v/>
      </c>
      <c r="AG54" s="518" t="str">
        <f>IF(AND(_B="B-767-300ER",'2024'!$E$4="CA",'2024'!$E$2=AG43),'2024DATA'!$D$13,"")</f>
        <v/>
      </c>
      <c r="AH54" s="518" t="str">
        <f>IF(AND(_B="B-767-300ER",'2024'!$E$4="CA",'2024'!$E$2=AH43),'2024DATA'!$E$13,"")</f>
        <v/>
      </c>
      <c r="AI54" s="518" t="str">
        <f>IF(AND(_B="B-767-300ER",'2024'!$E$4="CA",'2024'!$E$2=AI43),'2024DATA'!$F$13,"")</f>
        <v/>
      </c>
      <c r="AJ54" s="518" t="str">
        <f>IF(AND(_B="B-767-300ER",'2024'!$E$4="CA",'2024'!$E$2=AJ43),'2024DATA'!$G$13,"")</f>
        <v/>
      </c>
      <c r="AK54" s="518" t="str">
        <f>IF(AND(_B="B-767-300ER",'2024'!$E$4="CA",'2024'!$E$2=AK43),'2024DATA'!$H$13,"")</f>
        <v/>
      </c>
      <c r="AL54" s="518" t="str">
        <f>IF(AND(_B="B-767-300ER",'2024'!$E$4="CA",'2024'!$E$2=AL43),'2024DATA'!$I$13,"")</f>
        <v/>
      </c>
      <c r="AM54" s="518" t="str">
        <f>IF(AND(_B="B-767-300ER",'2024'!$E$4="CA",'2024'!$E$2=AM43),'2024DATA'!$J$13,"")</f>
        <v/>
      </c>
      <c r="AN54" s="518" t="str">
        <f>IF(AND(_B="B-767-300ER",'2024'!$E$4="CA",'2024'!$E$2=AN43),'2024DATA'!$K$13,"")</f>
        <v/>
      </c>
      <c r="AO54" s="518" t="str">
        <f>IF(AND(_B="B-767-300ER",'2024'!$E$4="CA",'2024'!$E$2=AO43),'2024DATA'!$L$13,"")</f>
        <v/>
      </c>
      <c r="AP54" s="518" t="str">
        <f>IF(AND(_B="B-767-300ER",'2024'!$E$4="CA",'2024'!$E$2=AP43),'2024DATA'!$M$13,"")</f>
        <v/>
      </c>
      <c r="AQ54" s="520" t="str">
        <f>IF(AND(_B="B-767-300ER",'2024'!$E$4="CA",'2024'!$E$2=AQ43),'2024DATA'!$N$13,"")</f>
        <v/>
      </c>
      <c r="AR54" s="940" t="s">
        <v>43</v>
      </c>
      <c r="AS54" s="13" t="s">
        <v>61</v>
      </c>
      <c r="AT54" s="518" t="str">
        <f>IF(AND(_C="B-767-300ER",'2024'!$E$4="CA",'2024'!$E$2=AT43),'2024DATA'!$C$13,"")</f>
        <v/>
      </c>
      <c r="AU54" s="518" t="str">
        <f>IF(AND(_C="B-767-300ER",'2024'!$E$4="CA",'2024'!$E$2=AU43),'2024DATA'!$D$13,"")</f>
        <v/>
      </c>
      <c r="AV54" s="518" t="str">
        <f>IF(AND(_C="B-767-300ER",'2024'!$E$4="CA",'2024'!$E$2=AV43),'2024DATA'!$E$13,"")</f>
        <v/>
      </c>
      <c r="AW54" s="518" t="str">
        <f>IF(AND(_C="B-767-300ER",'2024'!$E$4="CA",'2024'!$E$2=AW43),'2024DATA'!$F$13,"")</f>
        <v/>
      </c>
      <c r="AX54" s="518" t="str">
        <f>IF(AND(_C="B-767-300ER",'2024'!$E$4="CA",'2024'!$E$2=AX43),'2024DATA'!$G$13,"")</f>
        <v/>
      </c>
      <c r="AY54" s="518" t="str">
        <f>IF(AND(_C="B-767-300ER",'2024'!$E$4="CA",'2024'!$E$2=AY43),'2024DATA'!$H$13,"")</f>
        <v/>
      </c>
      <c r="AZ54" s="518" t="str">
        <f>IF(AND(_C="B-767-300ER",'2024'!$E$4="CA",'2024'!$E$2=AZ43),'2024DATA'!$I$13,"")</f>
        <v/>
      </c>
      <c r="BA54" s="518" t="str">
        <f>IF(AND(_C="B-767-300ER",'2024'!$E$4="CA",'2024'!$E$2=BA43),'2024DATA'!$J$13,"")</f>
        <v/>
      </c>
      <c r="BB54" s="518" t="str">
        <f>IF(AND(_C="B-767-300ER",'2024'!$E$4="CA",'2024'!$E$2=BB43),'2024DATA'!$K$13,"")</f>
        <v/>
      </c>
      <c r="BC54" s="518" t="str">
        <f>IF(AND(_C="B-767-300ER",'2024'!$E$4="CA",'2024'!$E$2=BC43),'2024DATA'!$L$13,"")</f>
        <v/>
      </c>
      <c r="BD54" s="518" t="str">
        <f>IF(AND(_C="B-767-300ER",'2024'!$E$4="CA",'2024'!$E$2=BD43),'2024DATA'!$M$13,"")</f>
        <v/>
      </c>
      <c r="BE54" s="520" t="str">
        <f>IF(AND(_C="B-767-300ER",'2024'!$E$4="CA",'2024'!$E$2=BE43),'2024DATA'!$N$13,"")</f>
        <v/>
      </c>
      <c r="BF54" s="940" t="s">
        <v>43</v>
      </c>
      <c r="BG54" s="13" t="s">
        <v>61</v>
      </c>
      <c r="BH54" s="518" t="str">
        <f>IF(AND(_D="B-767-300ER",'2024'!$E$4="CA",'2024'!$E$2=BH43),'2024DATA'!$C$13,"")</f>
        <v/>
      </c>
      <c r="BI54" s="518" t="str">
        <f>IF(AND(_D="B-767-300ER",'2024'!$E$4="CA",'2024'!$E$2=BI43),'2024DATA'!$D$13,"")</f>
        <v/>
      </c>
      <c r="BJ54" s="518" t="str">
        <f>IF(AND(_D="B-767-300ER",'2024'!$E$4="CA",'2024'!$E$2=BJ43),'2024DATA'!$E$13,"")</f>
        <v/>
      </c>
      <c r="BK54" s="518" t="str">
        <f>IF(AND(_D="B-767-300ER",'2024'!$E$4="CA",'2024'!$E$2=BK43),'2024DATA'!$F$13,"")</f>
        <v/>
      </c>
      <c r="BL54" s="518" t="str">
        <f>IF(AND(_D="B-767-300ER",'2024'!$E$4="CA",'2024'!$E$2=BL43),'2024DATA'!$G$13,"")</f>
        <v/>
      </c>
      <c r="BM54" s="518" t="str">
        <f>IF(AND(_D="B-767-300ER",'2024'!$E$4="CA",'2024'!$E$2=BM43),'2024DATA'!$H$13,"")</f>
        <v/>
      </c>
      <c r="BN54" s="518" t="str">
        <f>IF(AND(_D="B-767-300ER",'2024'!$E$4="CA",'2024'!$E$2=BN43),'2024DATA'!$I$13,"")</f>
        <v/>
      </c>
      <c r="BO54" s="518" t="str">
        <f>IF(AND(_D="B-767-300ER",'2024'!$E$4="CA",'2024'!$E$2=BO43),'2024DATA'!$J$13,"")</f>
        <v/>
      </c>
      <c r="BP54" s="518" t="str">
        <f>IF(AND(_D="B-767-300ER",'2024'!$E$4="CA",'2024'!$E$2=BP43),'2024DATA'!$K$13,"")</f>
        <v/>
      </c>
      <c r="BQ54" s="518" t="str">
        <f>IF(AND(_D="B-767-300ER",'2024'!$E$4="CA",'2024'!$E$2=BQ43),'2024DATA'!$L$13,"")</f>
        <v/>
      </c>
      <c r="BR54" s="518" t="str">
        <f>IF(AND(_D="B-767-300ER",'2024'!$E$4="CA",'2024'!$E$2=BR43),'2024DATA'!$M$13,"")</f>
        <v/>
      </c>
      <c r="BS54" s="520" t="str">
        <f>IF(AND(_D="B-767-300ER",'2024'!$E$4="CA",'2024'!$E$2=BS43),'2024DATA'!$N$13,"")</f>
        <v/>
      </c>
      <c r="BT54" s="940" t="s">
        <v>43</v>
      </c>
      <c r="BU54" s="13" t="s">
        <v>61</v>
      </c>
      <c r="BV54" s="518" t="str">
        <f>IF(AND(_E="B-767-300ER",'2024'!$E$4="CA",'2024'!$E$2=BV43),'2024DATA'!$C$13,"")</f>
        <v/>
      </c>
      <c r="BW54" s="518" t="str">
        <f>IF(AND(_E="B-767-300ER",'2024'!$E$4="CA",'2024'!$E$2=BW43),'2024DATA'!$D$13,"")</f>
        <v/>
      </c>
      <c r="BX54" s="518" t="str">
        <f>IF(AND(_E="B-767-300ER",'2024'!$E$4="CA",'2024'!$E$2=BX43),'2024DATA'!$E$13,"")</f>
        <v/>
      </c>
      <c r="BY54" s="518" t="str">
        <f>IF(AND(_E="B-767-300ER",'2024'!$E$4="CA",'2024'!$E$2=BY43),'2024DATA'!$F$13,"")</f>
        <v/>
      </c>
      <c r="BZ54" s="518" t="str">
        <f>IF(AND(_E="B-767-300ER",'2024'!$E$4="CA",'2024'!$E$2=BZ43),'2024DATA'!$G$13,"")</f>
        <v/>
      </c>
      <c r="CA54" s="518" t="str">
        <f>IF(AND(_E="B-767-300ER",'2024'!$E$4="CA",'2024'!$E$2=CA43),'2024DATA'!$H$13,"")</f>
        <v/>
      </c>
      <c r="CB54" s="518" t="str">
        <f>IF(AND(_E="B-767-300ER",'2024'!$E$4="CA",'2024'!$E$2=CB43),'2024DATA'!$I$13,"")</f>
        <v/>
      </c>
      <c r="CC54" s="518" t="str">
        <f>IF(AND(_E="B-767-300ER",'2024'!$E$4="CA",'2024'!$E$2=CC43),'2024DATA'!$J$13,"")</f>
        <v/>
      </c>
      <c r="CD54" s="518" t="str">
        <f>IF(AND(_E="B-767-300ER",'2024'!$E$4="CA",'2024'!$E$2=CD43),'2024DATA'!$K$13,"")</f>
        <v/>
      </c>
      <c r="CE54" s="518" t="str">
        <f>IF(AND(_E="B-767-300ER",'2024'!$E$4="CA",'2024'!$E$2=CE43),'2024DATA'!$L$13,"")</f>
        <v/>
      </c>
      <c r="CF54" s="518" t="str">
        <f>IF(AND(_E="B-767-300ER",'2024'!$E$4="CA",'2024'!$E$2=CF43),'2024DATA'!$M$13,"")</f>
        <v/>
      </c>
      <c r="CG54" s="520" t="str">
        <f>IF(AND(_E="B-767-300ER",'2024'!$E$4="CA",'2024'!$E$2=CG43),'2024DATA'!$N$13,"")</f>
        <v/>
      </c>
      <c r="CH54" s="940" t="s">
        <v>43</v>
      </c>
      <c r="CI54" s="13" t="s">
        <v>61</v>
      </c>
      <c r="CJ54" s="518" t="str">
        <f>IF(AND(_F="B-767-300ER",'2024'!$E$4="CA",'2024'!$E$2=CJ43),'2024DATA'!$C$13,"")</f>
        <v/>
      </c>
      <c r="CK54" s="518" t="str">
        <f>IF(AND(_F="B-767-300ER",'2024'!$E$4="CA",'2024'!$E$2=CK43),'2024DATA'!$D$13,"")</f>
        <v/>
      </c>
      <c r="CL54" s="518" t="str">
        <f>IF(AND(_F="B-767-300ER",'2024'!$E$4="CA",'2024'!$E$2=CL43),'2024DATA'!$E$13,"")</f>
        <v/>
      </c>
      <c r="CM54" s="518" t="str">
        <f>IF(AND(_F="B-767-300ER",'2024'!$E$4="CA",'2024'!$E$2=CM43),'2024DATA'!$F$13,"")</f>
        <v/>
      </c>
      <c r="CN54" s="518" t="str">
        <f>IF(AND(_F="B-767-300ER",'2024'!$E$4="CA",'2024'!$E$2=CN43),'2024DATA'!$G$13,"")</f>
        <v/>
      </c>
      <c r="CO54" s="518" t="str">
        <f>IF(AND(_F="B-767-300ER",'2024'!$E$4="CA",'2024'!$E$2=CO43),'2024DATA'!$H$13,"")</f>
        <v/>
      </c>
      <c r="CP54" s="518" t="str">
        <f>IF(AND(_F="B-767-300ER",'2024'!$E$4="CA",'2024'!$E$2=CP43),'2024DATA'!$I$13,"")</f>
        <v/>
      </c>
      <c r="CQ54" s="518" t="str">
        <f>IF(AND(_F="B-767-300ER",'2024'!$E$4="CA",'2024'!$E$2=CQ43),'2024DATA'!$J$13,"")</f>
        <v/>
      </c>
      <c r="CR54" s="518" t="str">
        <f>IF(AND(_F="B-767-300ER",'2024'!$E$4="CA",'2024'!$E$2=CR43),'2024DATA'!$K$13,"")</f>
        <v/>
      </c>
      <c r="CS54" s="518" t="str">
        <f>IF(AND(_F="B-767-300ER",'2024'!$E$4="CA",'2024'!$E$2=CS43),'2024DATA'!$L$13,"")</f>
        <v/>
      </c>
      <c r="CT54" s="518" t="str">
        <f>IF(AND(_F="B-767-300ER",'2024'!$E$4="CA",'2024'!$E$2=CT43),'2024DATA'!$M$13,"")</f>
        <v/>
      </c>
      <c r="CU54" s="520" t="str">
        <f>IF(AND(_F="B-767-300ER",'2024'!$E$4="CA",'2024'!$E$2=CU43),'2024DATA'!$N$13,"")</f>
        <v/>
      </c>
    </row>
    <row r="55" spans="16:99" x14ac:dyDescent="0.25">
      <c r="P55" s="940"/>
      <c r="Q55" s="13" t="s">
        <v>62</v>
      </c>
      <c r="R55" s="518" t="str">
        <f>IF(AND(_A="B-767-300ER",'2024'!$E$4="FO",'2024'!$E$2=R43),'2024DATA'!$C$14,"")</f>
        <v/>
      </c>
      <c r="S55" s="518" t="str">
        <f>IF(AND(_A="B-767-300ER",'2024'!$E$4="FO",'2024'!$E$2=S43),'2024DATA'!$D$14,"")</f>
        <v/>
      </c>
      <c r="T55" s="518" t="str">
        <f>IF(AND(_A="B-767-300ER",'2024'!$E$4="FO",'2024'!$E$2=T43),'2024DATA'!$E$14,"")</f>
        <v/>
      </c>
      <c r="U55" s="518" t="str">
        <f>IF(AND(_A="B-767-300ER",'2024'!$E$4="FO",'2024'!$E$2=U43),'2024DATA'!$F$14,"")</f>
        <v/>
      </c>
      <c r="V55" s="518" t="str">
        <f>IF(AND(_A="B-767-300ER",'2024'!$E$4="FO",'2024'!$E$2=V43),'2024DATA'!$G$14,"")</f>
        <v/>
      </c>
      <c r="W55" s="518" t="str">
        <f>IF(AND(_A="B-767-300ER",'2024'!$E$4="FO",'2024'!$E$2=W43),'2024DATA'!$H$14,"")</f>
        <v/>
      </c>
      <c r="X55" s="518" t="str">
        <f>IF(AND(_A="B-767-300ER",'2024'!$E$4="FO",'2024'!$E$2=X43),'2024DATA'!$I$14,"")</f>
        <v/>
      </c>
      <c r="Y55" s="518" t="str">
        <f>IF(AND(_A="B-767-300ER",'2024'!$E$4="FO",'2024'!$E$2=Y43),'2024DATA'!$J$14,"")</f>
        <v/>
      </c>
      <c r="Z55" s="518" t="str">
        <f>IF(AND(_A="B-767-300ER",'2024'!$E$4="FO",'2024'!$E$2=Z43),'2024DATA'!$K$14,"")</f>
        <v/>
      </c>
      <c r="AA55" s="518" t="str">
        <f>IF(AND(_A="B-767-300ER",'2024'!$E$4="FO",'2024'!$E$2=AA43),'2024DATA'!$L$14,"")</f>
        <v/>
      </c>
      <c r="AB55" s="518" t="str">
        <f>IF(AND(_A="B-767-300ER",'2024'!$E$4="FO",'2024'!$E$2=AB43),'2024DATA'!$M$14,"")</f>
        <v/>
      </c>
      <c r="AC55" s="520" t="str">
        <f>IF(AND(_A="B-767-300ER",'2024'!$E$4="FO",'2024'!$E$2=AC43),'2024DATA'!$N$14,"")</f>
        <v/>
      </c>
      <c r="AD55" s="940"/>
      <c r="AE55" s="13" t="s">
        <v>62</v>
      </c>
      <c r="AF55" s="518" t="str">
        <f>IF(AND(_B="B-767-300ER",'2024'!$E$4="FO",'2024'!$E$2=AF43),'2024DATA'!$C$14,"")</f>
        <v/>
      </c>
      <c r="AG55" s="518" t="str">
        <f>IF(AND(_B="B-767-300ER",'2024'!$E$4="FO",'2024'!$E$2=AG43),'2024DATA'!$D$14,"")</f>
        <v/>
      </c>
      <c r="AH55" s="518" t="str">
        <f>IF(AND(_B="B-767-300ER",'2024'!$E$4="FO",'2024'!$E$2=AH43),'2024DATA'!$E$14,"")</f>
        <v/>
      </c>
      <c r="AI55" s="518" t="str">
        <f>IF(AND(_B="B-767-300ER",'2024'!$E$4="FO",'2024'!$E$2=AI43),'2024DATA'!$F$14,"")</f>
        <v/>
      </c>
      <c r="AJ55" s="518" t="str">
        <f>IF(AND(_B="B-767-300ER",'2024'!$E$4="FO",'2024'!$E$2=AJ43),'2024DATA'!$G$14,"")</f>
        <v/>
      </c>
      <c r="AK55" s="518" t="str">
        <f>IF(AND(_B="B-767-300ER",'2024'!$E$4="FO",'2024'!$E$2=AK43),'2024DATA'!$H$14,"")</f>
        <v/>
      </c>
      <c r="AL55" s="518" t="str">
        <f>IF(AND(_B="B-767-300ER",'2024'!$E$4="FO",'2024'!$E$2=AL43),'2024DATA'!$I$14,"")</f>
        <v/>
      </c>
      <c r="AM55" s="518" t="str">
        <f>IF(AND(_B="B-767-300ER",'2024'!$E$4="FO",'2024'!$E$2=AM43),'2024DATA'!$J$14,"")</f>
        <v/>
      </c>
      <c r="AN55" s="518" t="str">
        <f>IF(AND(_B="B-767-300ER",'2024'!$E$4="FO",'2024'!$E$2=AN43),'2024DATA'!$K$14,"")</f>
        <v/>
      </c>
      <c r="AO55" s="518" t="str">
        <f>IF(AND(_B="B-767-300ER",'2024'!$E$4="FO",'2024'!$E$2=AO43),'2024DATA'!$L$14,"")</f>
        <v/>
      </c>
      <c r="AP55" s="518" t="str">
        <f>IF(AND(_B="B-767-300ER",'2024'!$E$4="FO",'2024'!$E$2=AP43),'2024DATA'!$M$14,"")</f>
        <v/>
      </c>
      <c r="AQ55" s="520" t="str">
        <f>IF(AND(_B="B-767-300ER",'2024'!$E$4="FO",'2024'!$E$2=AQ43),'2024DATA'!$N$14,"")</f>
        <v/>
      </c>
      <c r="AR55" s="940"/>
      <c r="AS55" s="13" t="s">
        <v>62</v>
      </c>
      <c r="AT55" s="518" t="str">
        <f>IF(AND(_C="B-767-300ER",'2024'!$E$4="FO",'2024'!$E$2=AT43),'2024DATA'!$C$14,"")</f>
        <v/>
      </c>
      <c r="AU55" s="518" t="str">
        <f>IF(AND(_C="B-767-300ER",'2024'!$E$4="FO",'2024'!$E$2=AU43),'2024DATA'!$D$14,"")</f>
        <v/>
      </c>
      <c r="AV55" s="518" t="str">
        <f>IF(AND(_C="B-767-300ER",'2024'!$E$4="FO",'2024'!$E$2=AV43),'2024DATA'!$E$14,"")</f>
        <v/>
      </c>
      <c r="AW55" s="518" t="str">
        <f>IF(AND(_C="B-767-300ER",'2024'!$E$4="FO",'2024'!$E$2=AW43),'2024DATA'!$F$14,"")</f>
        <v/>
      </c>
      <c r="AX55" s="518" t="str">
        <f>IF(AND(_C="B-767-300ER",'2024'!$E$4="FO",'2024'!$E$2=AX43),'2024DATA'!$G$14,"")</f>
        <v/>
      </c>
      <c r="AY55" s="518" t="str">
        <f>IF(AND(_C="B-767-300ER",'2024'!$E$4="FO",'2024'!$E$2=AY43),'2024DATA'!$H$14,"")</f>
        <v/>
      </c>
      <c r="AZ55" s="518" t="str">
        <f>IF(AND(_C="B-767-300ER",'2024'!$E$4="FO",'2024'!$E$2=AZ43),'2024DATA'!$I$14,"")</f>
        <v/>
      </c>
      <c r="BA55" s="518" t="str">
        <f>IF(AND(_C="B-767-300ER",'2024'!$E$4="FO",'2024'!$E$2=BA43),'2024DATA'!$J$14,"")</f>
        <v/>
      </c>
      <c r="BB55" s="518" t="str">
        <f>IF(AND(_C="B-767-300ER",'2024'!$E$4="FO",'2024'!$E$2=BB43),'2024DATA'!$K$14,"")</f>
        <v/>
      </c>
      <c r="BC55" s="518" t="str">
        <f>IF(AND(_C="B-767-300ER",'2024'!$E$4="FO",'2024'!$E$2=BC43),'2024DATA'!$L$14,"")</f>
        <v/>
      </c>
      <c r="BD55" s="518" t="str">
        <f>IF(AND(_C="B-767-300ER",'2024'!$E$4="FO",'2024'!$E$2=BD43),'2024DATA'!$M$14,"")</f>
        <v/>
      </c>
      <c r="BE55" s="520" t="str">
        <f>IF(AND(_C="B-767-300ER",'2024'!$E$4="FO",'2024'!$E$2=BE43),'2024DATA'!$N$14,"")</f>
        <v/>
      </c>
      <c r="BF55" s="940"/>
      <c r="BG55" s="13" t="s">
        <v>62</v>
      </c>
      <c r="BH55" s="518" t="str">
        <f>IF(AND(_D="B-767-300ER",'2024'!$E$4="FO",'2024'!$E$2=BH43),'2024DATA'!$C$14,"")</f>
        <v/>
      </c>
      <c r="BI55" s="518" t="str">
        <f>IF(AND(_D="B-767-300ER",'2024'!$E$4="FO",'2024'!$E$2=BI43),'2024DATA'!$D$14,"")</f>
        <v/>
      </c>
      <c r="BJ55" s="518" t="str">
        <f>IF(AND(_D="B-767-300ER",'2024'!$E$4="FO",'2024'!$E$2=BJ43),'2024DATA'!$E$14,"")</f>
        <v/>
      </c>
      <c r="BK55" s="518" t="str">
        <f>IF(AND(_D="B-767-300ER",'2024'!$E$4="FO",'2024'!$E$2=BK43),'2024DATA'!$F$14,"")</f>
        <v/>
      </c>
      <c r="BL55" s="518" t="str">
        <f>IF(AND(_D="B-767-300ER",'2024'!$E$4="FO",'2024'!$E$2=BL43),'2024DATA'!$G$14,"")</f>
        <v/>
      </c>
      <c r="BM55" s="518" t="str">
        <f>IF(AND(_D="B-767-300ER",'2024'!$E$4="FO",'2024'!$E$2=BM43),'2024DATA'!$H$14,"")</f>
        <v/>
      </c>
      <c r="BN55" s="518" t="str">
        <f>IF(AND(_D="B-767-300ER",'2024'!$E$4="FO",'2024'!$E$2=BN43),'2024DATA'!$I$14,"")</f>
        <v/>
      </c>
      <c r="BO55" s="518" t="str">
        <f>IF(AND(_D="B-767-300ER",'2024'!$E$4="FO",'2024'!$E$2=BO43),'2024DATA'!$J$14,"")</f>
        <v/>
      </c>
      <c r="BP55" s="518" t="str">
        <f>IF(AND(_D="B-767-300ER",'2024'!$E$4="FO",'2024'!$E$2=BP43),'2024DATA'!$K$14,"")</f>
        <v/>
      </c>
      <c r="BQ55" s="518" t="str">
        <f>IF(AND(_D="B-767-300ER",'2024'!$E$4="FO",'2024'!$E$2=BQ43),'2024DATA'!$L$14,"")</f>
        <v/>
      </c>
      <c r="BR55" s="518" t="str">
        <f>IF(AND(_D="B-767-300ER",'2024'!$E$4="FO",'2024'!$E$2=BR43),'2024DATA'!$M$14,"")</f>
        <v/>
      </c>
      <c r="BS55" s="520" t="str">
        <f>IF(AND(_D="B-767-300ER",'2024'!$E$4="FO",'2024'!$E$2=BS43),'2024DATA'!$N$14,"")</f>
        <v/>
      </c>
      <c r="BT55" s="940"/>
      <c r="BU55" s="13" t="s">
        <v>62</v>
      </c>
      <c r="BV55" s="518" t="str">
        <f>IF(AND(_E="B-767-300ER",'2024'!$E$4="FO",'2024'!$E$2=BV43),'2024DATA'!$C$14,"")</f>
        <v/>
      </c>
      <c r="BW55" s="518" t="str">
        <f>IF(AND(_E="B-767-300ER",'2024'!$E$4="FO",'2024'!$E$2=BW43),'2024DATA'!$D$14,"")</f>
        <v/>
      </c>
      <c r="BX55" s="518" t="str">
        <f>IF(AND(_E="B-767-300ER",'2024'!$E$4="FO",'2024'!$E$2=BX43),'2024DATA'!$E$14,"")</f>
        <v/>
      </c>
      <c r="BY55" s="518" t="str">
        <f>IF(AND(_E="B-767-300ER",'2024'!$E$4="FO",'2024'!$E$2=BY43),'2024DATA'!$F$14,"")</f>
        <v/>
      </c>
      <c r="BZ55" s="518" t="str">
        <f>IF(AND(_E="B-767-300ER",'2024'!$E$4="FO",'2024'!$E$2=BZ43),'2024DATA'!$G$14,"")</f>
        <v/>
      </c>
      <c r="CA55" s="518" t="str">
        <f>IF(AND(_E="B-767-300ER",'2024'!$E$4="FO",'2024'!$E$2=CA43),'2024DATA'!$H$14,"")</f>
        <v/>
      </c>
      <c r="CB55" s="518" t="str">
        <f>IF(AND(_E="B-767-300ER",'2024'!$E$4="FO",'2024'!$E$2=CB43),'2024DATA'!$I$14,"")</f>
        <v/>
      </c>
      <c r="CC55" s="518" t="str">
        <f>IF(AND(_E="B-767-300ER",'2024'!$E$4="FO",'2024'!$E$2=CC43),'2024DATA'!$J$14,"")</f>
        <v/>
      </c>
      <c r="CD55" s="518" t="str">
        <f>IF(AND(_E="B-767-300ER",'2024'!$E$4="FO",'2024'!$E$2=CD43),'2024DATA'!$K$14,"")</f>
        <v/>
      </c>
      <c r="CE55" s="518" t="str">
        <f>IF(AND(_E="B-767-300ER",'2024'!$E$4="FO",'2024'!$E$2=CE43),'2024DATA'!$L$14,"")</f>
        <v/>
      </c>
      <c r="CF55" s="518" t="str">
        <f>IF(AND(_E="B-767-300ER",'2024'!$E$4="FO",'2024'!$E$2=CF43),'2024DATA'!$M$14,"")</f>
        <v/>
      </c>
      <c r="CG55" s="520" t="str">
        <f>IF(AND(_E="B-767-300ER",'2024'!$E$4="FO",'2024'!$E$2=CG43),'2024DATA'!$N$14,"")</f>
        <v/>
      </c>
      <c r="CH55" s="940"/>
      <c r="CI55" s="13" t="s">
        <v>62</v>
      </c>
      <c r="CJ55" s="518" t="str">
        <f>IF(AND(_F="B-767-300ER",'2024'!$E$4="FO",'2024'!$E$2=CJ43),'2024DATA'!$C$14,"")</f>
        <v/>
      </c>
      <c r="CK55" s="518" t="str">
        <f>IF(AND(_F="B-767-300ER",'2024'!$E$4="FO",'2024'!$E$2=CK43),'2024DATA'!$D$14,"")</f>
        <v/>
      </c>
      <c r="CL55" s="518" t="str">
        <f>IF(AND(_F="B-767-300ER",'2024'!$E$4="FO",'2024'!$E$2=CL43),'2024DATA'!$E$14,"")</f>
        <v/>
      </c>
      <c r="CM55" s="518" t="str">
        <f>IF(AND(_F="B-767-300ER",'2024'!$E$4="FO",'2024'!$E$2=CM43),'2024DATA'!$F$14,"")</f>
        <v/>
      </c>
      <c r="CN55" s="518" t="str">
        <f>IF(AND(_F="B-767-300ER",'2024'!$E$4="FO",'2024'!$E$2=CN43),'2024DATA'!$G$14,"")</f>
        <v/>
      </c>
      <c r="CO55" s="518" t="str">
        <f>IF(AND(_F="B-767-300ER",'2024'!$E$4="FO",'2024'!$E$2=CO43),'2024DATA'!$H$14,"")</f>
        <v/>
      </c>
      <c r="CP55" s="518" t="str">
        <f>IF(AND(_F="B-767-300ER",'2024'!$E$4="FO",'2024'!$E$2=CP43),'2024DATA'!$I$14,"")</f>
        <v/>
      </c>
      <c r="CQ55" s="518" t="str">
        <f>IF(AND(_F="B-767-300ER",'2024'!$E$4="FO",'2024'!$E$2=CQ43),'2024DATA'!$J$14,"")</f>
        <v/>
      </c>
      <c r="CR55" s="518" t="str">
        <f>IF(AND(_F="B-767-300ER",'2024'!$E$4="FO",'2024'!$E$2=CR43),'2024DATA'!$K$14,"")</f>
        <v/>
      </c>
      <c r="CS55" s="518" t="str">
        <f>IF(AND(_F="B-767-300ER",'2024'!$E$4="FO",'2024'!$E$2=CS43),'2024DATA'!$L$14,"")</f>
        <v/>
      </c>
      <c r="CT55" s="518" t="str">
        <f>IF(AND(_F="B-767-300ER",'2024'!$E$4="FO",'2024'!$E$2=CT43),'2024DATA'!$M$14,"")</f>
        <v/>
      </c>
      <c r="CU55" s="520" t="str">
        <f>IF(AND(_F="B-767-300ER",'2024'!$E$4="FO",'2024'!$E$2=CU43),'2024DATA'!$N$14,"")</f>
        <v/>
      </c>
    </row>
    <row r="56" spans="16:99" x14ac:dyDescent="0.25">
      <c r="P56" s="940" t="s">
        <v>67</v>
      </c>
      <c r="Q56" s="13" t="s">
        <v>61</v>
      </c>
      <c r="R56" s="518" t="str">
        <f>IF(AND(_A="B-767-300",'2024'!$E$4="CA",'2024'!$E$2=R43),'2024DATA'!$C$15,"")</f>
        <v/>
      </c>
      <c r="S56" s="518" t="str">
        <f>IF(AND(_A="B-767-300",'2024'!$E$4="CA",'2024'!$E$2=S43),'2024DATA'!$D$15,"")</f>
        <v/>
      </c>
      <c r="T56" s="518" t="str">
        <f>IF(AND(_A="B-767-300",'2024'!$E$4="CA",'2024'!$E$2=T43),'2024DATA'!$E$15,"")</f>
        <v/>
      </c>
      <c r="U56" s="518" t="str">
        <f>IF(AND(_A="B-767-300",'2024'!$E$4="CA",'2024'!$E$2=U43),'2024DATA'!$F$15,"")</f>
        <v/>
      </c>
      <c r="V56" s="518" t="str">
        <f>IF(AND(_A="B-767-300",'2024'!$E$4="CA",'2024'!$E$2=V43),'2024DATA'!$G$15,"")</f>
        <v/>
      </c>
      <c r="W56" s="518" t="str">
        <f>IF(AND(_A="B-767-300",'2024'!$E$4="CA",'2024'!$E$2=W43),'2024DATA'!$H$15,"")</f>
        <v/>
      </c>
      <c r="X56" s="518" t="str">
        <f>IF(AND(_A="B-767-300",'2024'!$E$4="CA",'2024'!$E$2=X43),'2024DATA'!$I$15,"")</f>
        <v/>
      </c>
      <c r="Y56" s="518" t="str">
        <f>IF(AND(_A="B-767-300",'2024'!$E$4="CA",'2024'!$E$2=Y43),'2024DATA'!$J$15,"")</f>
        <v/>
      </c>
      <c r="Z56" s="518" t="str">
        <f>IF(AND(_A="B-767-300",'2024'!$E$4="CA",'2024'!$E$2=Z43),'2024DATA'!$K$15,"")</f>
        <v/>
      </c>
      <c r="AA56" s="518" t="str">
        <f>IF(AND(_A="B-767-300",'2024'!$E$4="CA",'2024'!$E$2=AA43),'2024DATA'!$L$15,"")</f>
        <v/>
      </c>
      <c r="AB56" s="518" t="str">
        <f>IF(AND(_A="B-767-300",'2024'!$E$4="CA",'2024'!$E$2=AB43),'2024DATA'!$M$15,"")</f>
        <v/>
      </c>
      <c r="AC56" s="520" t="str">
        <f>IF(AND(_A="B-767-300",'2024'!$E$4="CA",'2024'!$E$2=AC43),'2024DATA'!$N$15,"")</f>
        <v/>
      </c>
      <c r="AD56" s="940" t="s">
        <v>67</v>
      </c>
      <c r="AE56" s="13" t="s">
        <v>61</v>
      </c>
      <c r="AF56" s="518" t="str">
        <f>IF(AND(_B="B-767-300",'2024'!$E$4="CA",'2024'!$E$2=AF43),'2024DATA'!$C$15,"")</f>
        <v/>
      </c>
      <c r="AG56" s="518" t="str">
        <f>IF(AND(_B="B-767-300",'2024'!$E$4="CA",'2024'!$E$2=AG43),'2024DATA'!$D$15,"")</f>
        <v/>
      </c>
      <c r="AH56" s="518" t="str">
        <f>IF(AND(_B="B-767-300",'2024'!$E$4="CA",'2024'!$E$2=AH43),'2024DATA'!$E$15,"")</f>
        <v/>
      </c>
      <c r="AI56" s="518" t="str">
        <f>IF(AND(_B="B-767-300",'2024'!$E$4="CA",'2024'!$E$2=AI43),'2024DATA'!$F$15,"")</f>
        <v/>
      </c>
      <c r="AJ56" s="518" t="str">
        <f>IF(AND(_B="B-767-300",'2024'!$E$4="CA",'2024'!$E$2=AJ43),'2024DATA'!$G$15,"")</f>
        <v/>
      </c>
      <c r="AK56" s="518" t="str">
        <f>IF(AND(_B="B-767-300",'2024'!$E$4="CA",'2024'!$E$2=AK43),'2024DATA'!$H$15,"")</f>
        <v/>
      </c>
      <c r="AL56" s="518" t="str">
        <f>IF(AND(_B="B-767-300",'2024'!$E$4="CA",'2024'!$E$2=AL43),'2024DATA'!$I$15,"")</f>
        <v/>
      </c>
      <c r="AM56" s="518" t="str">
        <f>IF(AND(_B="B-767-300",'2024'!$E$4="CA",'2024'!$E$2=AM43),'2024DATA'!$J$15,"")</f>
        <v/>
      </c>
      <c r="AN56" s="518" t="str">
        <f>IF(AND(_B="B-767-300",'2024'!$E$4="CA",'2024'!$E$2=AN43),'2024DATA'!$K$15,"")</f>
        <v/>
      </c>
      <c r="AO56" s="518" t="str">
        <f>IF(AND(_B="B-767-300",'2024'!$E$4="CA",'2024'!$E$2=AO43),'2024DATA'!$L$15,"")</f>
        <v/>
      </c>
      <c r="AP56" s="518" t="str">
        <f>IF(AND(_B="B-767-300",'2024'!$E$4="CA",'2024'!$E$2=AP43),'2024DATA'!$M$15,"")</f>
        <v/>
      </c>
      <c r="AQ56" s="520" t="str">
        <f>IF(AND(_B="B-767-300",'2024'!$E$4="CA",'2024'!$E$2=AQ43),'2024DATA'!$N$15,"")</f>
        <v/>
      </c>
      <c r="AR56" s="940" t="s">
        <v>67</v>
      </c>
      <c r="AS56" s="13" t="s">
        <v>61</v>
      </c>
      <c r="AT56" s="518" t="str">
        <f>IF(AND(_C="B-767-300",'2024'!$E$4="CA",'2024'!$E$2=AT43),'2024DATA'!$C$15,"")</f>
        <v/>
      </c>
      <c r="AU56" s="518" t="str">
        <f>IF(AND(_C="B-767-300",'2024'!$E$4="CA",'2024'!$E$2=AU43),'2024DATA'!$D$15,"")</f>
        <v/>
      </c>
      <c r="AV56" s="518" t="str">
        <f>IF(AND(_C="B-767-300",'2024'!$E$4="CA",'2024'!$E$2=AV43),'2024DATA'!$E$15,"")</f>
        <v/>
      </c>
      <c r="AW56" s="518" t="str">
        <f>IF(AND(_C="B-767-300",'2024'!$E$4="CA",'2024'!$E$2=AW43),'2024DATA'!$F$15,"")</f>
        <v/>
      </c>
      <c r="AX56" s="518" t="str">
        <f>IF(AND(_C="B-767-300",'2024'!$E$4="CA",'2024'!$E$2=AX43),'2024DATA'!$G$15,"")</f>
        <v/>
      </c>
      <c r="AY56" s="518" t="str">
        <f>IF(AND(_C="B-767-300",'2024'!$E$4="CA",'2024'!$E$2=AY43),'2024DATA'!$H$15,"")</f>
        <v/>
      </c>
      <c r="AZ56" s="518" t="str">
        <f>IF(AND(_C="B-767-300",'2024'!$E$4="CA",'2024'!$E$2=AZ43),'2024DATA'!$I$15,"")</f>
        <v/>
      </c>
      <c r="BA56" s="518" t="str">
        <f>IF(AND(_C="B-767-300",'2024'!$E$4="CA",'2024'!$E$2=BA43),'2024DATA'!$J$15,"")</f>
        <v/>
      </c>
      <c r="BB56" s="518" t="str">
        <f>IF(AND(_C="B-767-300",'2024'!$E$4="CA",'2024'!$E$2=BB43),'2024DATA'!$K$15,"")</f>
        <v/>
      </c>
      <c r="BC56" s="518" t="str">
        <f>IF(AND(_C="B-767-300",'2024'!$E$4="CA",'2024'!$E$2=BC43),'2024DATA'!$L$15,"")</f>
        <v/>
      </c>
      <c r="BD56" s="518" t="str">
        <f>IF(AND(_C="B-767-300",'2024'!$E$4="CA",'2024'!$E$2=BD43),'2024DATA'!$M$15,"")</f>
        <v/>
      </c>
      <c r="BE56" s="520" t="str">
        <f>IF(AND(_C="B-767-300",'2024'!$E$4="CA",'2024'!$E$2=BE43),'2024DATA'!$N$15,"")</f>
        <v/>
      </c>
      <c r="BF56" s="940" t="s">
        <v>67</v>
      </c>
      <c r="BG56" s="13" t="s">
        <v>61</v>
      </c>
      <c r="BH56" s="518" t="str">
        <f>IF(AND(_D="B-767-300",'2024'!$E$4="CA",'2024'!$E$2=BH43),'2024DATA'!$C$15,"")</f>
        <v/>
      </c>
      <c r="BI56" s="518" t="str">
        <f>IF(AND(_D="B-767-300",'2024'!$E$4="CA",'2024'!$E$2=BI43),'2024DATA'!$D$15,"")</f>
        <v/>
      </c>
      <c r="BJ56" s="518" t="str">
        <f>IF(AND(_D="B-767-300",'2024'!$E$4="CA",'2024'!$E$2=BJ43),'2024DATA'!$E$15,"")</f>
        <v/>
      </c>
      <c r="BK56" s="518" t="str">
        <f>IF(AND(_D="B-767-300",'2024'!$E$4="CA",'2024'!$E$2=BK43),'2024DATA'!$F$15,"")</f>
        <v/>
      </c>
      <c r="BL56" s="518" t="str">
        <f>IF(AND(_D="B-767-300",'2024'!$E$4="CA",'2024'!$E$2=BL43),'2024DATA'!$G$15,"")</f>
        <v/>
      </c>
      <c r="BM56" s="518" t="str">
        <f>IF(AND(_D="B-767-300",'2024'!$E$4="CA",'2024'!$E$2=BM43),'2024DATA'!$H$15,"")</f>
        <v/>
      </c>
      <c r="BN56" s="518" t="str">
        <f>IF(AND(_D="B-767-300",'2024'!$E$4="CA",'2024'!$E$2=BN43),'2024DATA'!$I$15,"")</f>
        <v/>
      </c>
      <c r="BO56" s="518" t="str">
        <f>IF(AND(_D="B-767-300",'2024'!$E$4="CA",'2024'!$E$2=BO43),'2024DATA'!$J$15,"")</f>
        <v/>
      </c>
      <c r="BP56" s="518" t="str">
        <f>IF(AND(_D="B-767-300",'2024'!$E$4="CA",'2024'!$E$2=BP43),'2024DATA'!$K$15,"")</f>
        <v/>
      </c>
      <c r="BQ56" s="518" t="str">
        <f>IF(AND(_D="B-767-300",'2024'!$E$4="CA",'2024'!$E$2=BQ43),'2024DATA'!$L$15,"")</f>
        <v/>
      </c>
      <c r="BR56" s="518" t="str">
        <f>IF(AND(_D="B-767-300",'2024'!$E$4="CA",'2024'!$E$2=BR43),'2024DATA'!$M$15,"")</f>
        <v/>
      </c>
      <c r="BS56" s="520" t="str">
        <f>IF(AND(_D="B-767-300",'2024'!$E$4="CA",'2024'!$E$2=BS43),'2024DATA'!$N$15,"")</f>
        <v/>
      </c>
      <c r="BT56" s="940" t="s">
        <v>67</v>
      </c>
      <c r="BU56" s="13" t="s">
        <v>61</v>
      </c>
      <c r="BV56" s="518" t="str">
        <f>IF(AND(_E="B-767-300",'2024'!$E$4="CA",'2024'!$E$2=BV43),'2024DATA'!$C$15,"")</f>
        <v/>
      </c>
      <c r="BW56" s="518" t="str">
        <f>IF(AND(_E="B-767-300",'2024'!$E$4="CA",'2024'!$E$2=BW43),'2024DATA'!$D$15,"")</f>
        <v/>
      </c>
      <c r="BX56" s="518" t="str">
        <f>IF(AND(_E="B-767-300",'2024'!$E$4="CA",'2024'!$E$2=BX43),'2024DATA'!$E$15,"")</f>
        <v/>
      </c>
      <c r="BY56" s="518" t="str">
        <f>IF(AND(_E="B-767-300",'2024'!$E$4="CA",'2024'!$E$2=BY43),'2024DATA'!$F$15,"")</f>
        <v/>
      </c>
      <c r="BZ56" s="518" t="str">
        <f>IF(AND(_E="B-767-300",'2024'!$E$4="CA",'2024'!$E$2=BZ43),'2024DATA'!$G$15,"")</f>
        <v/>
      </c>
      <c r="CA56" s="518" t="str">
        <f>IF(AND(_E="B-767-300",'2024'!$E$4="CA",'2024'!$E$2=CA43),'2024DATA'!$H$15,"")</f>
        <v/>
      </c>
      <c r="CB56" s="518" t="str">
        <f>IF(AND(_E="B-767-300",'2024'!$E$4="CA",'2024'!$E$2=CB43),'2024DATA'!$I$15,"")</f>
        <v/>
      </c>
      <c r="CC56" s="518" t="str">
        <f>IF(AND(_E="B-767-300",'2024'!$E$4="CA",'2024'!$E$2=CC43),'2024DATA'!$J$15,"")</f>
        <v/>
      </c>
      <c r="CD56" s="518" t="str">
        <f>IF(AND(_E="B-767-300",'2024'!$E$4="CA",'2024'!$E$2=CD43),'2024DATA'!$K$15,"")</f>
        <v/>
      </c>
      <c r="CE56" s="518" t="str">
        <f>IF(AND(_E="B-767-300",'2024'!$E$4="CA",'2024'!$E$2=CE43),'2024DATA'!$L$15,"")</f>
        <v/>
      </c>
      <c r="CF56" s="518" t="str">
        <f>IF(AND(_E="B-767-300",'2024'!$E$4="CA",'2024'!$E$2=CF43),'2024DATA'!$M$15,"")</f>
        <v/>
      </c>
      <c r="CG56" s="520" t="str">
        <f>IF(AND(_E="B-767-300",'2024'!$E$4="CA",'2024'!$E$2=CG43),'2024DATA'!$N$15,"")</f>
        <v/>
      </c>
      <c r="CH56" s="940" t="s">
        <v>67</v>
      </c>
      <c r="CI56" s="13" t="s">
        <v>61</v>
      </c>
      <c r="CJ56" s="518" t="str">
        <f>IF(AND(_F="B-767-300",'2024'!$E$4="CA",'2024'!$E$2=CJ43),'2024DATA'!$C$15,"")</f>
        <v/>
      </c>
      <c r="CK56" s="518" t="str">
        <f>IF(AND(_F="B-767-300",'2024'!$E$4="CA",'2024'!$E$2=CK43),'2024DATA'!$D$15,"")</f>
        <v/>
      </c>
      <c r="CL56" s="518" t="str">
        <f>IF(AND(_F="B-767-300",'2024'!$E$4="CA",'2024'!$E$2=CL43),'2024DATA'!$E$15,"")</f>
        <v/>
      </c>
      <c r="CM56" s="518" t="str">
        <f>IF(AND(_F="B-767-300",'2024'!$E$4="CA",'2024'!$E$2=CM43),'2024DATA'!$F$15,"")</f>
        <v/>
      </c>
      <c r="CN56" s="518" t="str">
        <f>IF(AND(_F="B-767-300",'2024'!$E$4="CA",'2024'!$E$2=CN43),'2024DATA'!$G$15,"")</f>
        <v/>
      </c>
      <c r="CO56" s="518" t="str">
        <f>IF(AND(_F="B-767-300",'2024'!$E$4="CA",'2024'!$E$2=CO43),'2024DATA'!$H$15,"")</f>
        <v/>
      </c>
      <c r="CP56" s="518" t="str">
        <f>IF(AND(_F="B-767-300",'2024'!$E$4="CA",'2024'!$E$2=CP43),'2024DATA'!$I$15,"")</f>
        <v/>
      </c>
      <c r="CQ56" s="518" t="str">
        <f>IF(AND(_F="B-767-300",'2024'!$E$4="CA",'2024'!$E$2=CQ43),'2024DATA'!$J$15,"")</f>
        <v/>
      </c>
      <c r="CR56" s="518" t="str">
        <f>IF(AND(_F="B-767-300",'2024'!$E$4="CA",'2024'!$E$2=CR43),'2024DATA'!$K$15,"")</f>
        <v/>
      </c>
      <c r="CS56" s="518" t="str">
        <f>IF(AND(_F="B-767-300",'2024'!$E$4="CA",'2024'!$E$2=CS43),'2024DATA'!$L$15,"")</f>
        <v/>
      </c>
      <c r="CT56" s="518" t="str">
        <f>IF(AND(_F="B-767-300",'2024'!$E$4="CA",'2024'!$E$2=CT43),'2024DATA'!$M$15,"")</f>
        <v/>
      </c>
      <c r="CU56" s="520" t="str">
        <f>IF(AND(_F="B-767-300",'2024'!$E$4="CA",'2024'!$E$2=CU43),'2024DATA'!$N$15,"")</f>
        <v/>
      </c>
    </row>
    <row r="57" spans="16:99" x14ac:dyDescent="0.25">
      <c r="P57" s="940"/>
      <c r="Q57" s="13" t="s">
        <v>62</v>
      </c>
      <c r="R57" s="518" t="str">
        <f>IF(AND(_A="B-767-300",'2024'!$E$4="FO",'2024'!$E$2=R43),'2024DATA'!$C$16,"")</f>
        <v/>
      </c>
      <c r="S57" s="518" t="str">
        <f>IF(AND(_A="B-767-300",'2024'!$E$4="FO",'2024'!$E$2=S43),'2024DATA'!$D$16,"")</f>
        <v/>
      </c>
      <c r="T57" s="518" t="str">
        <f>IF(AND(_A="B-767-300",'2024'!$E$4="FO",'2024'!$E$2=T43),'2024DATA'!$E$16,"")</f>
        <v/>
      </c>
      <c r="U57" s="518" t="str">
        <f>IF(AND(_A="B-767-300",'2024'!$E$4="FO",'2024'!$E$2=U43),'2024DATA'!$F$16,"")</f>
        <v/>
      </c>
      <c r="V57" s="518" t="str">
        <f>IF(AND(_A="B-767-300",'2024'!$E$4="FO",'2024'!$E$2=V43),'2024DATA'!$G$16,"")</f>
        <v/>
      </c>
      <c r="W57" s="518" t="str">
        <f>IF(AND(_A="B-767-300",'2024'!$E$4="FO",'2024'!$E$2=W43),'2024DATA'!$H$16,"")</f>
        <v/>
      </c>
      <c r="X57" s="518" t="str">
        <f>IF(AND(_A="B-767-300",'2024'!$E$4="FO",'2024'!$E$2=X43),'2024DATA'!$I$16,"")</f>
        <v/>
      </c>
      <c r="Y57" s="518" t="str">
        <f>IF(AND(_A="B-767-300",'2024'!$E$4="FO",'2024'!$E$2=Y43),'2024DATA'!$J$16,"")</f>
        <v/>
      </c>
      <c r="Z57" s="518" t="str">
        <f>IF(AND(_A="B-767-300",'2024'!$E$4="FO",'2024'!$E$2=Z43),'2024DATA'!$K$16,"")</f>
        <v/>
      </c>
      <c r="AA57" s="518" t="str">
        <f>IF(AND(_A="B-767-300",'2024'!$E$4="FO",'2024'!$E$2=AA43),'2024DATA'!$L$16,"")</f>
        <v/>
      </c>
      <c r="AB57" s="518" t="str">
        <f>IF(AND(_A="B-767-300",'2024'!$E$4="FO",'2024'!$E$2=AB43),'2024DATA'!$M$16,"")</f>
        <v/>
      </c>
      <c r="AC57" s="520" t="str">
        <f>IF(AND(_A="B-767-300",'2024'!$E$4="FO",'2024'!$E$2=AC43),'2024DATA'!$N$16,"")</f>
        <v/>
      </c>
      <c r="AD57" s="940"/>
      <c r="AE57" s="13" t="s">
        <v>62</v>
      </c>
      <c r="AF57" s="518" t="str">
        <f>IF(AND(_B="B-767-300",'2024'!$E$4="FO",'2024'!$E$2=AF43),'2024DATA'!$C$16,"")</f>
        <v/>
      </c>
      <c r="AG57" s="518" t="str">
        <f>IF(AND(_B="B-767-300",'2024'!$E$4="FO",'2024'!$E$2=AG43),'2024DATA'!$D$16,"")</f>
        <v/>
      </c>
      <c r="AH57" s="518" t="str">
        <f>IF(AND(_B="B-767-300",'2024'!$E$4="FO",'2024'!$E$2=AH43),'2024DATA'!$E$16,"")</f>
        <v/>
      </c>
      <c r="AI57" s="518" t="str">
        <f>IF(AND(_B="B-767-300",'2024'!$E$4="FO",'2024'!$E$2=AI43),'2024DATA'!$F$16,"")</f>
        <v/>
      </c>
      <c r="AJ57" s="518" t="str">
        <f>IF(AND(_B="B-767-300",'2024'!$E$4="FO",'2024'!$E$2=AJ43),'2024DATA'!$G$16,"")</f>
        <v/>
      </c>
      <c r="AK57" s="518" t="str">
        <f>IF(AND(_B="B-767-300",'2024'!$E$4="FO",'2024'!$E$2=AK43),'2024DATA'!$H$16,"")</f>
        <v/>
      </c>
      <c r="AL57" s="518" t="str">
        <f>IF(AND(_B="B-767-300",'2024'!$E$4="FO",'2024'!$E$2=AL43),'2024DATA'!$I$16,"")</f>
        <v/>
      </c>
      <c r="AM57" s="518" t="str">
        <f>IF(AND(_B="B-767-300",'2024'!$E$4="FO",'2024'!$E$2=AM43),'2024DATA'!$J$16,"")</f>
        <v/>
      </c>
      <c r="AN57" s="518" t="str">
        <f>IF(AND(_B="B-767-300",'2024'!$E$4="FO",'2024'!$E$2=AN43),'2024DATA'!$K$16,"")</f>
        <v/>
      </c>
      <c r="AO57" s="518" t="str">
        <f>IF(AND(_B="B-767-300",'2024'!$E$4="FO",'2024'!$E$2=AO43),'2024DATA'!$L$16,"")</f>
        <v/>
      </c>
      <c r="AP57" s="518" t="str">
        <f>IF(AND(_B="B-767-300",'2024'!$E$4="FO",'2024'!$E$2=AP43),'2024DATA'!$M$16,"")</f>
        <v/>
      </c>
      <c r="AQ57" s="520" t="str">
        <f>IF(AND(_B="B-767-300",'2024'!$E$4="FO",'2024'!$E$2=AQ43),'2024DATA'!$N$16,"")</f>
        <v/>
      </c>
      <c r="AR57" s="940"/>
      <c r="AS57" s="13" t="s">
        <v>62</v>
      </c>
      <c r="AT57" s="518" t="str">
        <f>IF(AND(_C="B-767-300",'2024'!$E$4="FO",'2024'!$E$2=AT43),'2024DATA'!$C$16,"")</f>
        <v/>
      </c>
      <c r="AU57" s="518" t="str">
        <f>IF(AND(_C="B-767-300",'2024'!$E$4="FO",'2024'!$E$2=AU43),'2024DATA'!$D$16,"")</f>
        <v/>
      </c>
      <c r="AV57" s="518" t="str">
        <f>IF(AND(_C="B-767-300",'2024'!$E$4="FO",'2024'!$E$2=AV43),'2024DATA'!$E$16,"")</f>
        <v/>
      </c>
      <c r="AW57" s="518" t="str">
        <f>IF(AND(_C="B-767-300",'2024'!$E$4="FO",'2024'!$E$2=AW43),'2024DATA'!$F$16,"")</f>
        <v/>
      </c>
      <c r="AX57" s="518" t="str">
        <f>IF(AND(_C="B-767-300",'2024'!$E$4="FO",'2024'!$E$2=AX43),'2024DATA'!$G$16,"")</f>
        <v/>
      </c>
      <c r="AY57" s="518" t="str">
        <f>IF(AND(_C="B-767-300",'2024'!$E$4="FO",'2024'!$E$2=AY43),'2024DATA'!$H$16,"")</f>
        <v/>
      </c>
      <c r="AZ57" s="518" t="str">
        <f>IF(AND(_C="B-767-300",'2024'!$E$4="FO",'2024'!$E$2=AZ43),'2024DATA'!$I$16,"")</f>
        <v/>
      </c>
      <c r="BA57" s="518" t="str">
        <f>IF(AND(_C="B-767-300",'2024'!$E$4="FO",'2024'!$E$2=BA43),'2024DATA'!$J$16,"")</f>
        <v/>
      </c>
      <c r="BB57" s="518" t="str">
        <f>IF(AND(_C="B-767-300",'2024'!$E$4="FO",'2024'!$E$2=BB43),'2024DATA'!$K$16,"")</f>
        <v/>
      </c>
      <c r="BC57" s="518" t="str">
        <f>IF(AND(_C="B-767-300",'2024'!$E$4="FO",'2024'!$E$2=BC43),'2024DATA'!$L$16,"")</f>
        <v/>
      </c>
      <c r="BD57" s="518" t="str">
        <f>IF(AND(_C="B-767-300",'2024'!$E$4="FO",'2024'!$E$2=BD43),'2024DATA'!$M$16,"")</f>
        <v/>
      </c>
      <c r="BE57" s="520" t="str">
        <f>IF(AND(_C="B-767-300",'2024'!$E$4="FO",'2024'!$E$2=BE43),'2024DATA'!$N$16,"")</f>
        <v/>
      </c>
      <c r="BF57" s="940"/>
      <c r="BG57" s="13" t="s">
        <v>62</v>
      </c>
      <c r="BH57" s="518" t="str">
        <f>IF(AND(_D="B-767-300",'2024'!$E$4="FO",'2024'!$E$2=BH43),'2024DATA'!$C$16,"")</f>
        <v/>
      </c>
      <c r="BI57" s="518" t="str">
        <f>IF(AND(_D="B-767-300",'2024'!$E$4="FO",'2024'!$E$2=BI43),'2024DATA'!$D$16,"")</f>
        <v/>
      </c>
      <c r="BJ57" s="518" t="str">
        <f>IF(AND(_D="B-767-300",'2024'!$E$4="FO",'2024'!$E$2=BJ43),'2024DATA'!$E$16,"")</f>
        <v/>
      </c>
      <c r="BK57" s="518" t="str">
        <f>IF(AND(_D="B-767-300",'2024'!$E$4="FO",'2024'!$E$2=BK43),'2024DATA'!$F$16,"")</f>
        <v/>
      </c>
      <c r="BL57" s="518" t="str">
        <f>IF(AND(_D="B-767-300",'2024'!$E$4="FO",'2024'!$E$2=BL43),'2024DATA'!$G$16,"")</f>
        <v/>
      </c>
      <c r="BM57" s="518" t="str">
        <f>IF(AND(_D="B-767-300",'2024'!$E$4="FO",'2024'!$E$2=BM43),'2024DATA'!$H$16,"")</f>
        <v/>
      </c>
      <c r="BN57" s="518" t="str">
        <f>IF(AND(_D="B-767-300",'2024'!$E$4="FO",'2024'!$E$2=BN43),'2024DATA'!$I$16,"")</f>
        <v/>
      </c>
      <c r="BO57" s="518" t="str">
        <f>IF(AND(_D="B-767-300",'2024'!$E$4="FO",'2024'!$E$2=BO43),'2024DATA'!$J$16,"")</f>
        <v/>
      </c>
      <c r="BP57" s="518" t="str">
        <f>IF(AND(_D="B-767-300",'2024'!$E$4="FO",'2024'!$E$2=BP43),'2024DATA'!$K$16,"")</f>
        <v/>
      </c>
      <c r="BQ57" s="518" t="str">
        <f>IF(AND(_D="B-767-300",'2024'!$E$4="FO",'2024'!$E$2=BQ43),'2024DATA'!$L$16,"")</f>
        <v/>
      </c>
      <c r="BR57" s="518" t="str">
        <f>IF(AND(_D="B-767-300",'2024'!$E$4="FO",'2024'!$E$2=BR43),'2024DATA'!$M$16,"")</f>
        <v/>
      </c>
      <c r="BS57" s="520" t="str">
        <f>IF(AND(_D="B-767-300",'2024'!$E$4="FO",'2024'!$E$2=BS43),'2024DATA'!$N$16,"")</f>
        <v/>
      </c>
      <c r="BT57" s="940"/>
      <c r="BU57" s="13" t="s">
        <v>62</v>
      </c>
      <c r="BV57" s="518" t="str">
        <f>IF(AND(_E="B-767-300",'2024'!$E$4="FO",'2024'!$E$2=BV43),'2024DATA'!$C$16,"")</f>
        <v/>
      </c>
      <c r="BW57" s="518" t="str">
        <f>IF(AND(_E="B-767-300",'2024'!$E$4="FO",'2024'!$E$2=BW43),'2024DATA'!$D$16,"")</f>
        <v/>
      </c>
      <c r="BX57" s="518" t="str">
        <f>IF(AND(_E="B-767-300",'2024'!$E$4="FO",'2024'!$E$2=BX43),'2024DATA'!$E$16,"")</f>
        <v/>
      </c>
      <c r="BY57" s="518" t="str">
        <f>IF(AND(_E="B-767-300",'2024'!$E$4="FO",'2024'!$E$2=BY43),'2024DATA'!$F$16,"")</f>
        <v/>
      </c>
      <c r="BZ57" s="518" t="str">
        <f>IF(AND(_E="B-767-300",'2024'!$E$4="FO",'2024'!$E$2=BZ43),'2024DATA'!$G$16,"")</f>
        <v/>
      </c>
      <c r="CA57" s="518" t="str">
        <f>IF(AND(_E="B-767-300",'2024'!$E$4="FO",'2024'!$E$2=CA43),'2024DATA'!$H$16,"")</f>
        <v/>
      </c>
      <c r="CB57" s="518" t="str">
        <f>IF(AND(_E="B-767-300",'2024'!$E$4="FO",'2024'!$E$2=CB43),'2024DATA'!$I$16,"")</f>
        <v/>
      </c>
      <c r="CC57" s="518" t="str">
        <f>IF(AND(_E="B-767-300",'2024'!$E$4="FO",'2024'!$E$2=CC43),'2024DATA'!$J$16,"")</f>
        <v/>
      </c>
      <c r="CD57" s="518" t="str">
        <f>IF(AND(_E="B-767-300",'2024'!$E$4="FO",'2024'!$E$2=CD43),'2024DATA'!$K$16,"")</f>
        <v/>
      </c>
      <c r="CE57" s="518" t="str">
        <f>IF(AND(_E="B-767-300",'2024'!$E$4="FO",'2024'!$E$2=CE43),'2024DATA'!$L$16,"")</f>
        <v/>
      </c>
      <c r="CF57" s="518" t="str">
        <f>IF(AND(_E="B-767-300",'2024'!$E$4="FO",'2024'!$E$2=CF43),'2024DATA'!$M$16,"")</f>
        <v/>
      </c>
      <c r="CG57" s="520" t="str">
        <f>IF(AND(_E="B-767-300",'2024'!$E$4="FO",'2024'!$E$2=CG43),'2024DATA'!$N$16,"")</f>
        <v/>
      </c>
      <c r="CH57" s="940"/>
      <c r="CI57" s="13" t="s">
        <v>62</v>
      </c>
      <c r="CJ57" s="518" t="str">
        <f>IF(AND(_F="B-767-300",'2024'!$E$4="FO",'2024'!$E$2=CJ43),'2024DATA'!$C$16,"")</f>
        <v/>
      </c>
      <c r="CK57" s="518" t="str">
        <f>IF(AND(_F="B-767-300",'2024'!$E$4="FO",'2024'!$E$2=CK43),'2024DATA'!$D$16,"")</f>
        <v/>
      </c>
      <c r="CL57" s="518" t="str">
        <f>IF(AND(_F="B-767-300",'2024'!$E$4="FO",'2024'!$E$2=CL43),'2024DATA'!$E$16,"")</f>
        <v/>
      </c>
      <c r="CM57" s="518" t="str">
        <f>IF(AND(_F="B-767-300",'2024'!$E$4="FO",'2024'!$E$2=CM43),'2024DATA'!$F$16,"")</f>
        <v/>
      </c>
      <c r="CN57" s="518" t="str">
        <f>IF(AND(_F="B-767-300",'2024'!$E$4="FO",'2024'!$E$2=CN43),'2024DATA'!$G$16,"")</f>
        <v/>
      </c>
      <c r="CO57" s="518" t="str">
        <f>IF(AND(_F="B-767-300",'2024'!$E$4="FO",'2024'!$E$2=CO43),'2024DATA'!$H$16,"")</f>
        <v/>
      </c>
      <c r="CP57" s="518" t="str">
        <f>IF(AND(_F="B-767-300",'2024'!$E$4="FO",'2024'!$E$2=CP43),'2024DATA'!$I$16,"")</f>
        <v/>
      </c>
      <c r="CQ57" s="518" t="str">
        <f>IF(AND(_F="B-767-300",'2024'!$E$4="FO",'2024'!$E$2=CQ43),'2024DATA'!$J$16,"")</f>
        <v/>
      </c>
      <c r="CR57" s="518" t="str">
        <f>IF(AND(_F="B-767-300",'2024'!$E$4="FO",'2024'!$E$2=CR43),'2024DATA'!$K$16,"")</f>
        <v/>
      </c>
      <c r="CS57" s="518" t="str">
        <f>IF(AND(_F="B-767-300",'2024'!$E$4="FO",'2024'!$E$2=CS43),'2024DATA'!$L$16,"")</f>
        <v/>
      </c>
      <c r="CT57" s="518" t="str">
        <f>IF(AND(_F="B-767-300",'2024'!$E$4="FO",'2024'!$E$2=CT43),'2024DATA'!$M$16,"")</f>
        <v/>
      </c>
      <c r="CU57" s="520" t="str">
        <f>IF(AND(_F="B-767-300",'2024'!$E$4="FO",'2024'!$E$2=CU43),'2024DATA'!$N$16,"")</f>
        <v/>
      </c>
    </row>
    <row r="58" spans="16:99" x14ac:dyDescent="0.25">
      <c r="P58" s="940" t="s">
        <v>68</v>
      </c>
      <c r="Q58" s="13" t="s">
        <v>61</v>
      </c>
      <c r="R58" s="518" t="str">
        <f>IF(AND(_A="B-767-200",'2024'!$E$4="CA",'2024'!$E$2=R43),'2024DATA'!$C$17,"")</f>
        <v/>
      </c>
      <c r="S58" s="518" t="str">
        <f>IF(AND(_A="B-767-200",'2024'!$E$4="CA",'2024'!$E$2=S43),'2024DATA'!$D$17,"")</f>
        <v/>
      </c>
      <c r="T58" s="518" t="str">
        <f>IF(AND(_A="B-767-200",'2024'!$E$4="CA",'2024'!$E$2=T43),'2024DATA'!$E$17,"")</f>
        <v/>
      </c>
      <c r="U58" s="518" t="str">
        <f>IF(AND(_A="B-767-200",'2024'!$E$4="CA",'2024'!$E$2=U43),'2024DATA'!$F$17,"")</f>
        <v/>
      </c>
      <c r="V58" s="518" t="str">
        <f>IF(AND(_A="B-767-200",'2024'!$E$4="CA",'2024'!$E$2=V43),'2024DATA'!$G$17,"")</f>
        <v/>
      </c>
      <c r="W58" s="518" t="str">
        <f>IF(AND(_A="B-767-200",'2024'!$E$4="CA",'2024'!$E$2=W43),'2024DATA'!$H$17,"")</f>
        <v/>
      </c>
      <c r="X58" s="518" t="str">
        <f>IF(AND(_A="B-767-200",'2024'!$E$4="CA",'2024'!$E$2=X43),'2024DATA'!$I$17,"")</f>
        <v/>
      </c>
      <c r="Y58" s="518" t="str">
        <f>IF(AND(_A="B-767-200",'2024'!$E$4="CA",'2024'!$E$2=Y43),'2024DATA'!$J$17,"")</f>
        <v/>
      </c>
      <c r="Z58" s="518" t="str">
        <f>IF(AND(_A="B-767-200",'2024'!$E$4="CA",'2024'!$E$2=Z43),'2024DATA'!$K$17,"")</f>
        <v/>
      </c>
      <c r="AA58" s="518" t="str">
        <f>IF(AND(_A="B-767-200",'2024'!$E$4="CA",'2024'!$E$2=AA43),'2024DATA'!$L$17,"")</f>
        <v/>
      </c>
      <c r="AB58" s="518" t="str">
        <f>IF(AND(_A="B-767-200",'2024'!$E$4="CA",'2024'!$E$2=AB43),'2024DATA'!$M$17,"")</f>
        <v/>
      </c>
      <c r="AC58" s="520" t="str">
        <f>IF(AND(_A="B-767-200",'2024'!$E$4="CA",'2024'!$E$2=AC43),'2024DATA'!$N$17,"")</f>
        <v/>
      </c>
      <c r="AD58" s="940" t="s">
        <v>68</v>
      </c>
      <c r="AE58" s="13" t="s">
        <v>61</v>
      </c>
      <c r="AF58" s="518" t="str">
        <f>IF(AND(_B="B-767-200",'2024'!$E$4="CA",'2024'!$E$2=AF43),'2024DATA'!$C$17,"")</f>
        <v/>
      </c>
      <c r="AG58" s="518" t="str">
        <f>IF(AND(_B="B-767-200",'2024'!$E$4="CA",'2024'!$E$2=AG43),'2024DATA'!$D$17,"")</f>
        <v/>
      </c>
      <c r="AH58" s="518" t="str">
        <f>IF(AND(_B="B-767-200",'2024'!$E$4="CA",'2024'!$E$2=AH43),'2024DATA'!$E$17,"")</f>
        <v/>
      </c>
      <c r="AI58" s="518" t="str">
        <f>IF(AND(_B="B-767-200",'2024'!$E$4="CA",'2024'!$E$2=AI43),'2024DATA'!$F$17,"")</f>
        <v/>
      </c>
      <c r="AJ58" s="518" t="str">
        <f>IF(AND(_B="B-767-200",'2024'!$E$4="CA",'2024'!$E$2=AJ43),'2024DATA'!$G$17,"")</f>
        <v/>
      </c>
      <c r="AK58" s="518" t="str">
        <f>IF(AND(_B="B-767-200",'2024'!$E$4="CA",'2024'!$E$2=AK43),'2024DATA'!$H$17,"")</f>
        <v/>
      </c>
      <c r="AL58" s="518" t="str">
        <f>IF(AND(_B="B-767-200",'2024'!$E$4="CA",'2024'!$E$2=AL43),'2024DATA'!$I$17,"")</f>
        <v/>
      </c>
      <c r="AM58" s="518" t="str">
        <f>IF(AND(_B="B-767-200",'2024'!$E$4="CA",'2024'!$E$2=AM43),'2024DATA'!$J$17,"")</f>
        <v/>
      </c>
      <c r="AN58" s="518" t="str">
        <f>IF(AND(_B="B-767-200",'2024'!$E$4="CA",'2024'!$E$2=AN43),'2024DATA'!$K$17,"")</f>
        <v/>
      </c>
      <c r="AO58" s="518" t="str">
        <f>IF(AND(_B="B-767-200",'2024'!$E$4="CA",'2024'!$E$2=AO43),'2024DATA'!$L$17,"")</f>
        <v/>
      </c>
      <c r="AP58" s="518" t="str">
        <f>IF(AND(_B="B-767-200",'2024'!$E$4="CA",'2024'!$E$2=AP43),'2024DATA'!$M$17,"")</f>
        <v/>
      </c>
      <c r="AQ58" s="520" t="str">
        <f>IF(AND(_B="B-767-200",'2024'!$E$4="CA",'2024'!$E$2=AQ43),'2024DATA'!$N$17,"")</f>
        <v/>
      </c>
      <c r="AR58" s="940" t="s">
        <v>68</v>
      </c>
      <c r="AS58" s="13" t="s">
        <v>61</v>
      </c>
      <c r="AT58" s="518" t="str">
        <f>IF(AND(_C="B-767-200",'2024'!$E$4="CA",'2024'!$E$2=AT43),'2024DATA'!$C$17,"")</f>
        <v/>
      </c>
      <c r="AU58" s="518" t="str">
        <f>IF(AND(_C="B-767-200",'2024'!$E$4="CA",'2024'!$E$2=AU43),'2024DATA'!$D$17,"")</f>
        <v/>
      </c>
      <c r="AV58" s="518" t="str">
        <f>IF(AND(_C="B-767-200",'2024'!$E$4="CA",'2024'!$E$2=AV43),'2024DATA'!$E$17,"")</f>
        <v/>
      </c>
      <c r="AW58" s="518" t="str">
        <f>IF(AND(_C="B-767-200",'2024'!$E$4="CA",'2024'!$E$2=AW43),'2024DATA'!$F$17,"")</f>
        <v/>
      </c>
      <c r="AX58" s="518" t="str">
        <f>IF(AND(_C="B-767-200",'2024'!$E$4="CA",'2024'!$E$2=AX43),'2024DATA'!$G$17,"")</f>
        <v/>
      </c>
      <c r="AY58" s="518" t="str">
        <f>IF(AND(_C="B-767-200",'2024'!$E$4="CA",'2024'!$E$2=AY43),'2024DATA'!$H$17,"")</f>
        <v/>
      </c>
      <c r="AZ58" s="518" t="str">
        <f>IF(AND(_C="B-767-200",'2024'!$E$4="CA",'2024'!$E$2=AZ43),'2024DATA'!$I$17,"")</f>
        <v/>
      </c>
      <c r="BA58" s="518" t="str">
        <f>IF(AND(_C="B-767-200",'2024'!$E$4="CA",'2024'!$E$2=BA43),'2024DATA'!$J$17,"")</f>
        <v/>
      </c>
      <c r="BB58" s="518" t="str">
        <f>IF(AND(_C="B-767-200",'2024'!$E$4="CA",'2024'!$E$2=BB43),'2024DATA'!$K$17,"")</f>
        <v/>
      </c>
      <c r="BC58" s="518" t="str">
        <f>IF(AND(_C="B-767-200",'2024'!$E$4="CA",'2024'!$E$2=BC43),'2024DATA'!$L$17,"")</f>
        <v/>
      </c>
      <c r="BD58" s="518" t="str">
        <f>IF(AND(_C="B-767-200",'2024'!$E$4="CA",'2024'!$E$2=BD43),'2024DATA'!$M$17,"")</f>
        <v/>
      </c>
      <c r="BE58" s="520" t="str">
        <f>IF(AND(_C="B-767-200",'2024'!$E$4="CA",'2024'!$E$2=BE43),'2024DATA'!$N$17,"")</f>
        <v/>
      </c>
      <c r="BF58" s="940" t="s">
        <v>68</v>
      </c>
      <c r="BG58" s="13" t="s">
        <v>61</v>
      </c>
      <c r="BH58" s="518" t="str">
        <f>IF(AND(_D="B-767-200",'2024'!$E$4="CA",'2024'!$E$2=BH43),'2024DATA'!$C$17,"")</f>
        <v/>
      </c>
      <c r="BI58" s="518" t="str">
        <f>IF(AND(_D="B-767-200",'2024'!$E$4="CA",'2024'!$E$2=BI43),'2024DATA'!$D$17,"")</f>
        <v/>
      </c>
      <c r="BJ58" s="518" t="str">
        <f>IF(AND(_D="B-767-200",'2024'!$E$4="CA",'2024'!$E$2=BJ43),'2024DATA'!$E$17,"")</f>
        <v/>
      </c>
      <c r="BK58" s="518" t="str">
        <f>IF(AND(_D="B-767-200",'2024'!$E$4="CA",'2024'!$E$2=BK43),'2024DATA'!$F$17,"")</f>
        <v/>
      </c>
      <c r="BL58" s="518" t="str">
        <f>IF(AND(_D="B-767-200",'2024'!$E$4="CA",'2024'!$E$2=BL43),'2024DATA'!$G$17,"")</f>
        <v/>
      </c>
      <c r="BM58" s="518" t="str">
        <f>IF(AND(_D="B-767-200",'2024'!$E$4="CA",'2024'!$E$2=BM43),'2024DATA'!$H$17,"")</f>
        <v/>
      </c>
      <c r="BN58" s="518" t="str">
        <f>IF(AND(_D="B-767-200",'2024'!$E$4="CA",'2024'!$E$2=BN43),'2024DATA'!$I$17,"")</f>
        <v/>
      </c>
      <c r="BO58" s="518" t="str">
        <f>IF(AND(_D="B-767-200",'2024'!$E$4="CA",'2024'!$E$2=BO43),'2024DATA'!$J$17,"")</f>
        <v/>
      </c>
      <c r="BP58" s="518" t="str">
        <f>IF(AND(_D="B-767-200",'2024'!$E$4="CA",'2024'!$E$2=BP43),'2024DATA'!$K$17,"")</f>
        <v/>
      </c>
      <c r="BQ58" s="518" t="str">
        <f>IF(AND(_D="B-767-200",'2024'!$E$4="CA",'2024'!$E$2=BQ43),'2024DATA'!$L$17,"")</f>
        <v/>
      </c>
      <c r="BR58" s="518" t="str">
        <f>IF(AND(_D="B-767-200",'2024'!$E$4="CA",'2024'!$E$2=BR43),'2024DATA'!$M$17,"")</f>
        <v/>
      </c>
      <c r="BS58" s="520" t="str">
        <f>IF(AND(_D="B-767-200",'2024'!$E$4="CA",'2024'!$E$2=BS43),'2024DATA'!$N$17,"")</f>
        <v/>
      </c>
      <c r="BT58" s="940" t="s">
        <v>68</v>
      </c>
      <c r="BU58" s="13" t="s">
        <v>61</v>
      </c>
      <c r="BV58" s="518" t="str">
        <f>IF(AND(_E="B-767-200",'2024'!$E$4="CA",'2024'!$E$2=BV43),'2024DATA'!$C$17,"")</f>
        <v/>
      </c>
      <c r="BW58" s="518" t="str">
        <f>IF(AND(_E="B-767-200",'2024'!$E$4="CA",'2024'!$E$2=BW43),'2024DATA'!$D$17,"")</f>
        <v/>
      </c>
      <c r="BX58" s="518" t="str">
        <f>IF(AND(_E="B-767-200",'2024'!$E$4="CA",'2024'!$E$2=BX43),'2024DATA'!$E$17,"")</f>
        <v/>
      </c>
      <c r="BY58" s="518" t="str">
        <f>IF(AND(_E="B-767-200",'2024'!$E$4="CA",'2024'!$E$2=BY43),'2024DATA'!$F$17,"")</f>
        <v/>
      </c>
      <c r="BZ58" s="518" t="str">
        <f>IF(AND(_E="B-767-200",'2024'!$E$4="CA",'2024'!$E$2=BZ43),'2024DATA'!$G$17,"")</f>
        <v/>
      </c>
      <c r="CA58" s="518" t="str">
        <f>IF(AND(_E="B-767-200",'2024'!$E$4="CA",'2024'!$E$2=CA43),'2024DATA'!$H$17,"")</f>
        <v/>
      </c>
      <c r="CB58" s="518" t="str">
        <f>IF(AND(_E="B-767-200",'2024'!$E$4="CA",'2024'!$E$2=CB43),'2024DATA'!$I$17,"")</f>
        <v/>
      </c>
      <c r="CC58" s="518" t="str">
        <f>IF(AND(_E="B-767-200",'2024'!$E$4="CA",'2024'!$E$2=CC43),'2024DATA'!$J$17,"")</f>
        <v/>
      </c>
      <c r="CD58" s="518" t="str">
        <f>IF(AND(_E="B-767-200",'2024'!$E$4="CA",'2024'!$E$2=CD43),'2024DATA'!$K$17,"")</f>
        <v/>
      </c>
      <c r="CE58" s="518" t="str">
        <f>IF(AND(_E="B-767-200",'2024'!$E$4="CA",'2024'!$E$2=CE43),'2024DATA'!$L$17,"")</f>
        <v/>
      </c>
      <c r="CF58" s="518" t="str">
        <f>IF(AND(_E="B-767-200",'2024'!$E$4="CA",'2024'!$E$2=CF43),'2024DATA'!$M$17,"")</f>
        <v/>
      </c>
      <c r="CG58" s="520" t="str">
        <f>IF(AND(_E="B-767-200",'2024'!$E$4="CA",'2024'!$E$2=CG43),'2024DATA'!$N$17,"")</f>
        <v/>
      </c>
      <c r="CH58" s="940" t="s">
        <v>68</v>
      </c>
      <c r="CI58" s="13" t="s">
        <v>61</v>
      </c>
      <c r="CJ58" s="518" t="str">
        <f>IF(AND(_F="B-767-200",'2024'!$E$4="CA",'2024'!$E$2=CJ43),'2024DATA'!$C$17,"")</f>
        <v/>
      </c>
      <c r="CK58" s="518" t="str">
        <f>IF(AND(_F="B-767-200",'2024'!$E$4="CA",'2024'!$E$2=CK43),'2024DATA'!$D$17,"")</f>
        <v/>
      </c>
      <c r="CL58" s="518" t="str">
        <f>IF(AND(_F="B-767-200",'2024'!$E$4="CA",'2024'!$E$2=CL43),'2024DATA'!$E$17,"")</f>
        <v/>
      </c>
      <c r="CM58" s="518" t="str">
        <f>IF(AND(_F="B-767-200",'2024'!$E$4="CA",'2024'!$E$2=CM43),'2024DATA'!$F$17,"")</f>
        <v/>
      </c>
      <c r="CN58" s="518" t="str">
        <f>IF(AND(_F="B-767-200",'2024'!$E$4="CA",'2024'!$E$2=CN43),'2024DATA'!$G$17,"")</f>
        <v/>
      </c>
      <c r="CO58" s="518" t="str">
        <f>IF(AND(_F="B-767-200",'2024'!$E$4="CA",'2024'!$E$2=CO43),'2024DATA'!$H$17,"")</f>
        <v/>
      </c>
      <c r="CP58" s="518" t="str">
        <f>IF(AND(_F="B-767-200",'2024'!$E$4="CA",'2024'!$E$2=CP43),'2024DATA'!$I$17,"")</f>
        <v/>
      </c>
      <c r="CQ58" s="518" t="str">
        <f>IF(AND(_F="B-767-200",'2024'!$E$4="CA",'2024'!$E$2=CQ43),'2024DATA'!$J$17,"")</f>
        <v/>
      </c>
      <c r="CR58" s="518" t="str">
        <f>IF(AND(_F="B-767-200",'2024'!$E$4="CA",'2024'!$E$2=CR43),'2024DATA'!$K$17,"")</f>
        <v/>
      </c>
      <c r="CS58" s="518" t="str">
        <f>IF(AND(_F="B-767-200",'2024'!$E$4="CA",'2024'!$E$2=CS43),'2024DATA'!$L$17,"")</f>
        <v/>
      </c>
      <c r="CT58" s="518" t="str">
        <f>IF(AND(_F="B-767-200",'2024'!$E$4="CA",'2024'!$E$2=CT43),'2024DATA'!$M$17,"")</f>
        <v/>
      </c>
      <c r="CU58" s="520" t="str">
        <f>IF(AND(_F="B-767-200",'2024'!$E$4="CA",'2024'!$E$2=CU43),'2024DATA'!$N$17,"")</f>
        <v/>
      </c>
    </row>
    <row r="59" spans="16:99" x14ac:dyDescent="0.25">
      <c r="P59" s="940"/>
      <c r="Q59" s="13" t="s">
        <v>62</v>
      </c>
      <c r="R59" s="518" t="str">
        <f>IF(AND(_A="B-767-200",'2024'!$E$4="FO",'2024'!$E$2=R43),'2024DATA'!$C$18,"")</f>
        <v/>
      </c>
      <c r="S59" s="518" t="str">
        <f>IF(AND(_A="B-767-200",'2024'!$E$4="FO",'2024'!$E$2=S43),'2024DATA'!$D$18,"")</f>
        <v/>
      </c>
      <c r="T59" s="518" t="str">
        <f>IF(AND(_A="B-767-200",'2024'!$E$4="FO",'2024'!$E$2=T43),'2024DATA'!$E$18,"")</f>
        <v/>
      </c>
      <c r="U59" s="518" t="str">
        <f>IF(AND(_A="B-767-200",'2024'!$E$4="FO",'2024'!$E$2=U43),'2024DATA'!$F$18,"")</f>
        <v/>
      </c>
      <c r="V59" s="518" t="str">
        <f>IF(AND(_A="B-767-200",'2024'!$E$4="FO",'2024'!$E$2=V43),'2024DATA'!$G$18,"")</f>
        <v/>
      </c>
      <c r="W59" s="518" t="str">
        <f>IF(AND(_A="B-767-200",'2024'!$E$4="FO",'2024'!$E$2=W43),'2024DATA'!$H$18,"")</f>
        <v/>
      </c>
      <c r="X59" s="518" t="str">
        <f>IF(AND(_A="B-767-200",'2024'!$E$4="FO",'2024'!$E$2=X43),'2024DATA'!$I$18,"")</f>
        <v/>
      </c>
      <c r="Y59" s="518" t="str">
        <f>IF(AND(_A="B-767-200",'2024'!$E$4="FO",'2024'!$E$2=Y43),'2024DATA'!$J$18,"")</f>
        <v/>
      </c>
      <c r="Z59" s="518" t="str">
        <f>IF(AND(_A="B-767-200",'2024'!$E$4="FO",'2024'!$E$2=Z43),'2024DATA'!$K$18,"")</f>
        <v/>
      </c>
      <c r="AA59" s="518" t="str">
        <f>IF(AND(_A="B-767-200",'2024'!$E$4="FO",'2024'!$E$2=AA43),'2024DATA'!$L$18,"")</f>
        <v/>
      </c>
      <c r="AB59" s="518" t="str">
        <f>IF(AND(_A="B-767-200",'2024'!$E$4="FO",'2024'!$E$2=AB43),'2024DATA'!$M$18,"")</f>
        <v/>
      </c>
      <c r="AC59" s="520" t="str">
        <f>IF(AND(_A="B-767-200",'2024'!$E$4="FO",'2024'!$E$2=AC43),'2024DATA'!$N$18,"")</f>
        <v/>
      </c>
      <c r="AD59" s="940"/>
      <c r="AE59" s="13" t="s">
        <v>62</v>
      </c>
      <c r="AF59" s="518" t="str">
        <f>IF(AND(_B="B-767-200",'2024'!$E$4="FO",'2024'!$E$2=AF43),'2024DATA'!$C$18,"")</f>
        <v/>
      </c>
      <c r="AG59" s="518" t="str">
        <f>IF(AND(_B="B-767-200",'2024'!$E$4="FO",'2024'!$E$2=AG43),'2024DATA'!$D$18,"")</f>
        <v/>
      </c>
      <c r="AH59" s="518" t="str">
        <f>IF(AND(_B="B-767-200",'2024'!$E$4="FO",'2024'!$E$2=AH43),'2024DATA'!$E$18,"")</f>
        <v/>
      </c>
      <c r="AI59" s="518" t="str">
        <f>IF(AND(_B="B-767-200",'2024'!$E$4="FO",'2024'!$E$2=AI43),'2024DATA'!$F$18,"")</f>
        <v/>
      </c>
      <c r="AJ59" s="518" t="str">
        <f>IF(AND(_B="B-767-200",'2024'!$E$4="FO",'2024'!$E$2=AJ43),'2024DATA'!$G$18,"")</f>
        <v/>
      </c>
      <c r="AK59" s="518" t="str">
        <f>IF(AND(_B="B-767-200",'2024'!$E$4="FO",'2024'!$E$2=AK43),'2024DATA'!$H$18,"")</f>
        <v/>
      </c>
      <c r="AL59" s="518" t="str">
        <f>IF(AND(_B="B-767-200",'2024'!$E$4="FO",'2024'!$E$2=AL43),'2024DATA'!$I$18,"")</f>
        <v/>
      </c>
      <c r="AM59" s="518" t="str">
        <f>IF(AND(_B="B-767-200",'2024'!$E$4="FO",'2024'!$E$2=AM43),'2024DATA'!$J$18,"")</f>
        <v/>
      </c>
      <c r="AN59" s="518" t="str">
        <f>IF(AND(_B="B-767-200",'2024'!$E$4="FO",'2024'!$E$2=AN43),'2024DATA'!$K$18,"")</f>
        <v/>
      </c>
      <c r="AO59" s="518" t="str">
        <f>IF(AND(_B="B-767-200",'2024'!$E$4="FO",'2024'!$E$2=AO43),'2024DATA'!$L$18,"")</f>
        <v/>
      </c>
      <c r="AP59" s="518" t="str">
        <f>IF(AND(_B="B-767-200",'2024'!$E$4="FO",'2024'!$E$2=AP43),'2024DATA'!$M$18,"")</f>
        <v/>
      </c>
      <c r="AQ59" s="520" t="str">
        <f>IF(AND(_B="B-767-200",'2024'!$E$4="FO",'2024'!$E$2=AQ43),'2024DATA'!$N$18,"")</f>
        <v/>
      </c>
      <c r="AR59" s="940"/>
      <c r="AS59" s="13" t="s">
        <v>62</v>
      </c>
      <c r="AT59" s="518" t="str">
        <f>IF(AND(_C="B-767-200",'2024'!$E$4="FO",'2024'!$E$2=AT43),'2024DATA'!$C$18,"")</f>
        <v/>
      </c>
      <c r="AU59" s="518" t="str">
        <f>IF(AND(_C="B-767-200",'2024'!$E$4="FO",'2024'!$E$2=AU43),'2024DATA'!$D$18,"")</f>
        <v/>
      </c>
      <c r="AV59" s="518" t="str">
        <f>IF(AND(_C="B-767-200",'2024'!$E$4="FO",'2024'!$E$2=AV43),'2024DATA'!$E$18,"")</f>
        <v/>
      </c>
      <c r="AW59" s="518" t="str">
        <f>IF(AND(_C="B-767-200",'2024'!$E$4="FO",'2024'!$E$2=AW43),'2024DATA'!$F$18,"")</f>
        <v/>
      </c>
      <c r="AX59" s="518" t="str">
        <f>IF(AND(_C="B-767-200",'2024'!$E$4="FO",'2024'!$E$2=AX43),'2024DATA'!$G$18,"")</f>
        <v/>
      </c>
      <c r="AY59" s="518" t="str">
        <f>IF(AND(_C="B-767-200",'2024'!$E$4="FO",'2024'!$E$2=AY43),'2024DATA'!$H$18,"")</f>
        <v/>
      </c>
      <c r="AZ59" s="518" t="str">
        <f>IF(AND(_C="B-767-200",'2024'!$E$4="FO",'2024'!$E$2=AZ43),'2024DATA'!$I$18,"")</f>
        <v/>
      </c>
      <c r="BA59" s="518" t="str">
        <f>IF(AND(_C="B-767-200",'2024'!$E$4="FO",'2024'!$E$2=BA43),'2024DATA'!$J$18,"")</f>
        <v/>
      </c>
      <c r="BB59" s="518" t="str">
        <f>IF(AND(_C="B-767-200",'2024'!$E$4="FO",'2024'!$E$2=BB43),'2024DATA'!$K$18,"")</f>
        <v/>
      </c>
      <c r="BC59" s="518" t="str">
        <f>IF(AND(_C="B-767-200",'2024'!$E$4="FO",'2024'!$E$2=BC43),'2024DATA'!$L$18,"")</f>
        <v/>
      </c>
      <c r="BD59" s="518" t="str">
        <f>IF(AND(_C="B-767-200",'2024'!$E$4="FO",'2024'!$E$2=BD43),'2024DATA'!$M$18,"")</f>
        <v/>
      </c>
      <c r="BE59" s="520" t="str">
        <f>IF(AND(_C="B-767-200",'2024'!$E$4="FO",'2024'!$E$2=BE43),'2024DATA'!$N$18,"")</f>
        <v/>
      </c>
      <c r="BF59" s="940"/>
      <c r="BG59" s="13" t="s">
        <v>62</v>
      </c>
      <c r="BH59" s="518" t="str">
        <f>IF(AND(_D="B-767-200",'2024'!$E$4="FO",'2024'!$E$2=BH43),'2024DATA'!$C$18,"")</f>
        <v/>
      </c>
      <c r="BI59" s="518" t="str">
        <f>IF(AND(_D="B-767-200",'2024'!$E$4="FO",'2024'!$E$2=BI43),'2024DATA'!$D$18,"")</f>
        <v/>
      </c>
      <c r="BJ59" s="518" t="str">
        <f>IF(AND(_D="B-767-200",'2024'!$E$4="FO",'2024'!$E$2=BJ43),'2024DATA'!$E$18,"")</f>
        <v/>
      </c>
      <c r="BK59" s="518" t="str">
        <f>IF(AND(_D="B-767-200",'2024'!$E$4="FO",'2024'!$E$2=BK43),'2024DATA'!$F$18,"")</f>
        <v/>
      </c>
      <c r="BL59" s="518" t="str">
        <f>IF(AND(_D="B-767-200",'2024'!$E$4="FO",'2024'!$E$2=BL43),'2024DATA'!$G$18,"")</f>
        <v/>
      </c>
      <c r="BM59" s="518" t="str">
        <f>IF(AND(_D="B-767-200",'2024'!$E$4="FO",'2024'!$E$2=BM43),'2024DATA'!$H$18,"")</f>
        <v/>
      </c>
      <c r="BN59" s="518" t="str">
        <f>IF(AND(_D="B-767-200",'2024'!$E$4="FO",'2024'!$E$2=BN43),'2024DATA'!$I$18,"")</f>
        <v/>
      </c>
      <c r="BO59" s="518" t="str">
        <f>IF(AND(_D="B-767-200",'2024'!$E$4="FO",'2024'!$E$2=BO43),'2024DATA'!$J$18,"")</f>
        <v/>
      </c>
      <c r="BP59" s="518" t="str">
        <f>IF(AND(_D="B-767-200",'2024'!$E$4="FO",'2024'!$E$2=BP43),'2024DATA'!$K$18,"")</f>
        <v/>
      </c>
      <c r="BQ59" s="518" t="str">
        <f>IF(AND(_D="B-767-200",'2024'!$E$4="FO",'2024'!$E$2=BQ43),'2024DATA'!$L$18,"")</f>
        <v/>
      </c>
      <c r="BR59" s="518" t="str">
        <f>IF(AND(_D="B-767-200",'2024'!$E$4="FO",'2024'!$E$2=BR43),'2024DATA'!$M$18,"")</f>
        <v/>
      </c>
      <c r="BS59" s="520" t="str">
        <f>IF(AND(_D="B-767-200",'2024'!$E$4="FO",'2024'!$E$2=BS43),'2024DATA'!$N$18,"")</f>
        <v/>
      </c>
      <c r="BT59" s="940"/>
      <c r="BU59" s="13" t="s">
        <v>62</v>
      </c>
      <c r="BV59" s="518" t="str">
        <f>IF(AND(_E="B-767-200",'2024'!$E$4="FO",'2024'!$E$2=BV43),'2024DATA'!$C$18,"")</f>
        <v/>
      </c>
      <c r="BW59" s="518" t="str">
        <f>IF(AND(_E="B-767-200",'2024'!$E$4="FO",'2024'!$E$2=BW43),'2024DATA'!$D$18,"")</f>
        <v/>
      </c>
      <c r="BX59" s="518" t="str">
        <f>IF(AND(_E="B-767-200",'2024'!$E$4="FO",'2024'!$E$2=BX43),'2024DATA'!$E$18,"")</f>
        <v/>
      </c>
      <c r="BY59" s="518" t="str">
        <f>IF(AND(_E="B-767-200",'2024'!$E$4="FO",'2024'!$E$2=BY43),'2024DATA'!$F$18,"")</f>
        <v/>
      </c>
      <c r="BZ59" s="518" t="str">
        <f>IF(AND(_E="B-767-200",'2024'!$E$4="FO",'2024'!$E$2=BZ43),'2024DATA'!$G$18,"")</f>
        <v/>
      </c>
      <c r="CA59" s="518" t="str">
        <f>IF(AND(_E="B-767-200",'2024'!$E$4="FO",'2024'!$E$2=CA43),'2024DATA'!$H$18,"")</f>
        <v/>
      </c>
      <c r="CB59" s="518" t="str">
        <f>IF(AND(_E="B-767-200",'2024'!$E$4="FO",'2024'!$E$2=CB43),'2024DATA'!$I$18,"")</f>
        <v/>
      </c>
      <c r="CC59" s="518" t="str">
        <f>IF(AND(_E="B-767-200",'2024'!$E$4="FO",'2024'!$E$2=CC43),'2024DATA'!$J$18,"")</f>
        <v/>
      </c>
      <c r="CD59" s="518" t="str">
        <f>IF(AND(_E="B-767-200",'2024'!$E$4="FO",'2024'!$E$2=CD43),'2024DATA'!$K$18,"")</f>
        <v/>
      </c>
      <c r="CE59" s="518" t="str">
        <f>IF(AND(_E="B-767-200",'2024'!$E$4="FO",'2024'!$E$2=CE43),'2024DATA'!$L$18,"")</f>
        <v/>
      </c>
      <c r="CF59" s="518" t="str">
        <f>IF(AND(_E="B-767-200",'2024'!$E$4="FO",'2024'!$E$2=CF43),'2024DATA'!$M$18,"")</f>
        <v/>
      </c>
      <c r="CG59" s="520" t="str">
        <f>IF(AND(_E="B-767-200",'2024'!$E$4="FO",'2024'!$E$2=CG43),'2024DATA'!$N$18,"")</f>
        <v/>
      </c>
      <c r="CH59" s="940"/>
      <c r="CI59" s="13" t="s">
        <v>62</v>
      </c>
      <c r="CJ59" s="518" t="str">
        <f>IF(AND(_F="B-767-200",'2024'!$E$4="FO",'2024'!$E$2=CJ43),'2024DATA'!$C$18,"")</f>
        <v/>
      </c>
      <c r="CK59" s="518" t="str">
        <f>IF(AND(_F="B-767-200",'2024'!$E$4="FO",'2024'!$E$2=CK43),'2024DATA'!$D$18,"")</f>
        <v/>
      </c>
      <c r="CL59" s="518" t="str">
        <f>IF(AND(_F="B-767-200",'2024'!$E$4="FO",'2024'!$E$2=CL43),'2024DATA'!$E$18,"")</f>
        <v/>
      </c>
      <c r="CM59" s="518" t="str">
        <f>IF(AND(_F="B-767-200",'2024'!$E$4="FO",'2024'!$E$2=CM43),'2024DATA'!$F$18,"")</f>
        <v/>
      </c>
      <c r="CN59" s="518" t="str">
        <f>IF(AND(_F="B-767-200",'2024'!$E$4="FO",'2024'!$E$2=CN43),'2024DATA'!$G$18,"")</f>
        <v/>
      </c>
      <c r="CO59" s="518" t="str">
        <f>IF(AND(_F="B-767-200",'2024'!$E$4="FO",'2024'!$E$2=CO43),'2024DATA'!$H$18,"")</f>
        <v/>
      </c>
      <c r="CP59" s="518" t="str">
        <f>IF(AND(_F="B-767-200",'2024'!$E$4="FO",'2024'!$E$2=CP43),'2024DATA'!$I$18,"")</f>
        <v/>
      </c>
      <c r="CQ59" s="518" t="str">
        <f>IF(AND(_F="B-767-200",'2024'!$E$4="FO",'2024'!$E$2=CQ43),'2024DATA'!$J$18,"")</f>
        <v/>
      </c>
      <c r="CR59" s="518" t="str">
        <f>IF(AND(_F="B-767-200",'2024'!$E$4="FO",'2024'!$E$2=CR43),'2024DATA'!$K$18,"")</f>
        <v/>
      </c>
      <c r="CS59" s="518" t="str">
        <f>IF(AND(_F="B-767-200",'2024'!$E$4="FO",'2024'!$E$2=CS43),'2024DATA'!$L$18,"")</f>
        <v/>
      </c>
      <c r="CT59" s="518" t="str">
        <f>IF(AND(_F="B-767-200",'2024'!$E$4="FO",'2024'!$E$2=CT43),'2024DATA'!$M$18,"")</f>
        <v/>
      </c>
      <c r="CU59" s="520" t="str">
        <f>IF(AND(_F="B-767-200",'2024'!$E$4="FO",'2024'!$E$2=CU43),'2024DATA'!$N$18,"")</f>
        <v/>
      </c>
    </row>
    <row r="60" spans="16:99" x14ac:dyDescent="0.25">
      <c r="P60" s="940" t="s">
        <v>45</v>
      </c>
      <c r="Q60" s="13" t="s">
        <v>61</v>
      </c>
      <c r="R60" s="518" t="str">
        <f>IF(AND(_A="B-757",'2024'!$E$4="CA",'2024'!$E$2=R43),'2024DATA'!$C$19,"")</f>
        <v/>
      </c>
      <c r="S60" s="518" t="str">
        <f>IF(AND(_A="B-757",'2024'!$E$4="CA",'2024'!$E$2=S43),'2024DATA'!$D$19,"")</f>
        <v/>
      </c>
      <c r="T60" s="518" t="str">
        <f>IF(AND(_A="B-757",'2024'!$E$4="CA",'2024'!$E$2=T43),'2024DATA'!$E$19,"")</f>
        <v/>
      </c>
      <c r="U60" s="518" t="str">
        <f>IF(AND(_A="B-757",'2024'!$E$4="CA",'2024'!$E$2=U43),'2024DATA'!$F$19,"")</f>
        <v/>
      </c>
      <c r="V60" s="518" t="str">
        <f>IF(AND(_A="B-757",'2024'!$E$4="CA",'2024'!$E$2=V43),'2024DATA'!$G$19,"")</f>
        <v/>
      </c>
      <c r="W60" s="518" t="str">
        <f>IF(AND(_A="B-757",'2024'!$E$4="CA",'2024'!$E$2=W43),'2024DATA'!$H$19,"")</f>
        <v/>
      </c>
      <c r="X60" s="518" t="str">
        <f>IF(AND(_A="B-757",'2024'!$E$4="CA",'2024'!$E$2=X43),'2024DATA'!$I$19,"")</f>
        <v/>
      </c>
      <c r="Y60" s="518" t="str">
        <f>IF(AND(_A="B-757",'2024'!$E$4="CA",'2024'!$E$2=Y43),'2024DATA'!$J$19,"")</f>
        <v/>
      </c>
      <c r="Z60" s="518" t="str">
        <f>IF(AND(_A="B-757",'2024'!$E$4="CA",'2024'!$E$2=Z43),'2024DATA'!$K$19,"")</f>
        <v/>
      </c>
      <c r="AA60" s="518" t="str">
        <f>IF(AND(_A="B-757",'2024'!$E$4="CA",'2024'!$E$2=AA43),'2024DATA'!$L$19,"")</f>
        <v/>
      </c>
      <c r="AB60" s="518" t="str">
        <f>IF(AND(_A="B-757",'2024'!$E$4="CA",'2024'!$E$2=AB43),'2024DATA'!$M$19,"")</f>
        <v/>
      </c>
      <c r="AC60" s="520" t="str">
        <f>IF(AND(_A="B-757",'2024'!$E$4="CA",'2024'!$E$2=AC43),'2024DATA'!$N$19,"")</f>
        <v/>
      </c>
      <c r="AD60" s="940" t="s">
        <v>45</v>
      </c>
      <c r="AE60" s="13" t="s">
        <v>61</v>
      </c>
      <c r="AF60" s="518" t="str">
        <f>IF(AND(_B="B-757",'2024'!$E$4="CA",'2024'!$E$2=AF43),'2024DATA'!$C$19,"")</f>
        <v/>
      </c>
      <c r="AG60" s="518" t="str">
        <f>IF(AND(_B="B-757",'2024'!$E$4="CA",'2024'!$E$2=AG43),'2024DATA'!$D$19,"")</f>
        <v/>
      </c>
      <c r="AH60" s="518" t="str">
        <f>IF(AND(_B="B-757",'2024'!$E$4="CA",'2024'!$E$2=AH43),'2024DATA'!$E$19,"")</f>
        <v/>
      </c>
      <c r="AI60" s="518" t="str">
        <f>IF(AND(_B="B-757",'2024'!$E$4="CA",'2024'!$E$2=AI43),'2024DATA'!$F$19,"")</f>
        <v/>
      </c>
      <c r="AJ60" s="518" t="str">
        <f>IF(AND(_B="B-757",'2024'!$E$4="CA",'2024'!$E$2=AJ43),'2024DATA'!$G$19,"")</f>
        <v/>
      </c>
      <c r="AK60" s="518" t="str">
        <f>IF(AND(_B="B-757",'2024'!$E$4="CA",'2024'!$E$2=AK43),'2024DATA'!$H$19,"")</f>
        <v/>
      </c>
      <c r="AL60" s="518" t="str">
        <f>IF(AND(_B="B-757",'2024'!$E$4="CA",'2024'!$E$2=AL43),'2024DATA'!$I$19,"")</f>
        <v/>
      </c>
      <c r="AM60" s="518" t="str">
        <f>IF(AND(_B="B-757",'2024'!$E$4="CA",'2024'!$E$2=AM43),'2024DATA'!$J$19,"")</f>
        <v/>
      </c>
      <c r="AN60" s="518" t="str">
        <f>IF(AND(_B="B-757",'2024'!$E$4="CA",'2024'!$E$2=AN43),'2024DATA'!$K$19,"")</f>
        <v/>
      </c>
      <c r="AO60" s="518" t="str">
        <f>IF(AND(_B="B-757",'2024'!$E$4="CA",'2024'!$E$2=AO43),'2024DATA'!$L$19,"")</f>
        <v/>
      </c>
      <c r="AP60" s="518" t="str">
        <f>IF(AND(_B="B-757",'2024'!$E$4="CA",'2024'!$E$2=AP43),'2024DATA'!$M$19,"")</f>
        <v/>
      </c>
      <c r="AQ60" s="520" t="str">
        <f>IF(AND(_B="B-757",'2024'!$E$4="CA",'2024'!$E$2=AQ43),'2024DATA'!$N$19,"")</f>
        <v/>
      </c>
      <c r="AR60" s="940" t="s">
        <v>45</v>
      </c>
      <c r="AS60" s="13" t="s">
        <v>61</v>
      </c>
      <c r="AT60" s="518" t="str">
        <f>IF(AND(_C="B-757",'2024'!$E$4="CA",'2024'!$E$2=AT43),'2024DATA'!$C$19,"")</f>
        <v/>
      </c>
      <c r="AU60" s="518" t="str">
        <f>IF(AND(_C="B-757",'2024'!$E$4="CA",'2024'!$E$2=AU43),'2024DATA'!$D$19,"")</f>
        <v/>
      </c>
      <c r="AV60" s="518" t="str">
        <f>IF(AND(_C="B-757",'2024'!$E$4="CA",'2024'!$E$2=AV43),'2024DATA'!$E$19,"")</f>
        <v/>
      </c>
      <c r="AW60" s="518" t="str">
        <f>IF(AND(_C="B-757",'2024'!$E$4="CA",'2024'!$E$2=AW43),'2024DATA'!$F$19,"")</f>
        <v/>
      </c>
      <c r="AX60" s="518" t="str">
        <f>IF(AND(_C="B-757",'2024'!$E$4="CA",'2024'!$E$2=AX43),'2024DATA'!$G$19,"")</f>
        <v/>
      </c>
      <c r="AY60" s="518" t="str">
        <f>IF(AND(_C="B-757",'2024'!$E$4="CA",'2024'!$E$2=AY43),'2024DATA'!$H$19,"")</f>
        <v/>
      </c>
      <c r="AZ60" s="518" t="str">
        <f>IF(AND(_C="B-757",'2024'!$E$4="CA",'2024'!$E$2=AZ43),'2024DATA'!$I$19,"")</f>
        <v/>
      </c>
      <c r="BA60" s="518" t="str">
        <f>IF(AND(_C="B-757",'2024'!$E$4="CA",'2024'!$E$2=BA43),'2024DATA'!$J$19,"")</f>
        <v/>
      </c>
      <c r="BB60" s="518" t="str">
        <f>IF(AND(_C="B-757",'2024'!$E$4="CA",'2024'!$E$2=BB43),'2024DATA'!$K$19,"")</f>
        <v/>
      </c>
      <c r="BC60" s="518" t="str">
        <f>IF(AND(_C="B-757",'2024'!$E$4="CA",'2024'!$E$2=BC43),'2024DATA'!$L$19,"")</f>
        <v/>
      </c>
      <c r="BD60" s="518" t="str">
        <f>IF(AND(_C="B-757",'2024'!$E$4="CA",'2024'!$E$2=BD43),'2024DATA'!$M$19,"")</f>
        <v/>
      </c>
      <c r="BE60" s="520" t="str">
        <f>IF(AND(_C="B-757",'2024'!$E$4="CA",'2024'!$E$2=BE43),'2024DATA'!$N$19,"")</f>
        <v/>
      </c>
      <c r="BF60" s="940" t="s">
        <v>45</v>
      </c>
      <c r="BG60" s="13" t="s">
        <v>61</v>
      </c>
      <c r="BH60" s="518" t="str">
        <f>IF(AND(_D="B-757",'2024'!$E$4="CA",'2024'!$E$2=BH43),'2024DATA'!$C$19,"")</f>
        <v/>
      </c>
      <c r="BI60" s="518" t="str">
        <f>IF(AND(_D="B-757",'2024'!$E$4="CA",'2024'!$E$2=BI43),'2024DATA'!$D$19,"")</f>
        <v/>
      </c>
      <c r="BJ60" s="518" t="str">
        <f>IF(AND(_D="B-757",'2024'!$E$4="CA",'2024'!$E$2=BJ43),'2024DATA'!$E$19,"")</f>
        <v/>
      </c>
      <c r="BK60" s="518" t="str">
        <f>IF(AND(_D="B-757",'2024'!$E$4="CA",'2024'!$E$2=BK43),'2024DATA'!$F$19,"")</f>
        <v/>
      </c>
      <c r="BL60" s="518" t="str">
        <f>IF(AND(_D="B-757",'2024'!$E$4="CA",'2024'!$E$2=BL43),'2024DATA'!$G$19,"")</f>
        <v/>
      </c>
      <c r="BM60" s="518" t="str">
        <f>IF(AND(_D="B-757",'2024'!$E$4="CA",'2024'!$E$2=BM43),'2024DATA'!$H$19,"")</f>
        <v/>
      </c>
      <c r="BN60" s="518" t="str">
        <f>IF(AND(_D="B-757",'2024'!$E$4="CA",'2024'!$E$2=BN43),'2024DATA'!$I$19,"")</f>
        <v/>
      </c>
      <c r="BO60" s="518" t="str">
        <f>IF(AND(_D="B-757",'2024'!$E$4="CA",'2024'!$E$2=BO43),'2024DATA'!$J$19,"")</f>
        <v/>
      </c>
      <c r="BP60" s="518" t="str">
        <f>IF(AND(_D="B-757",'2024'!$E$4="CA",'2024'!$E$2=BP43),'2024DATA'!$K$19,"")</f>
        <v/>
      </c>
      <c r="BQ60" s="518" t="str">
        <f>IF(AND(_D="B-757",'2024'!$E$4="CA",'2024'!$E$2=BQ43),'2024DATA'!$L$19,"")</f>
        <v/>
      </c>
      <c r="BR60" s="518" t="str">
        <f>IF(AND(_D="B-757",'2024'!$E$4="CA",'2024'!$E$2=BR43),'2024DATA'!$M$19,"")</f>
        <v/>
      </c>
      <c r="BS60" s="520" t="str">
        <f>IF(AND(_D="B-757",'2024'!$E$4="CA",'2024'!$E$2=BS43),'2024DATA'!$N$19,"")</f>
        <v/>
      </c>
      <c r="BT60" s="940" t="s">
        <v>45</v>
      </c>
      <c r="BU60" s="13" t="s">
        <v>61</v>
      </c>
      <c r="BV60" s="518" t="str">
        <f>IF(AND(_E="B-757",'2024'!$E$4="CA",'2024'!$E$2=BV43),'2024DATA'!$C$19,"")</f>
        <v/>
      </c>
      <c r="BW60" s="518" t="str">
        <f>IF(AND(_E="B-757",'2024'!$E$4="CA",'2024'!$E$2=BW43),'2024DATA'!$D$19,"")</f>
        <v/>
      </c>
      <c r="BX60" s="518" t="str">
        <f>IF(AND(_E="B-757",'2024'!$E$4="CA",'2024'!$E$2=BX43),'2024DATA'!$E$19,"")</f>
        <v/>
      </c>
      <c r="BY60" s="518" t="str">
        <f>IF(AND(_E="B-757",'2024'!$E$4="CA",'2024'!$E$2=BY43),'2024DATA'!$F$19,"")</f>
        <v/>
      </c>
      <c r="BZ60" s="518" t="str">
        <f>IF(AND(_E="B-757",'2024'!$E$4="CA",'2024'!$E$2=BZ43),'2024DATA'!$G$19,"")</f>
        <v/>
      </c>
      <c r="CA60" s="518" t="str">
        <f>IF(AND(_E="B-757",'2024'!$E$4="CA",'2024'!$E$2=CA43),'2024DATA'!$H$19,"")</f>
        <v/>
      </c>
      <c r="CB60" s="518" t="str">
        <f>IF(AND(_E="B-757",'2024'!$E$4="CA",'2024'!$E$2=CB43),'2024DATA'!$I$19,"")</f>
        <v/>
      </c>
      <c r="CC60" s="518" t="str">
        <f>IF(AND(_E="B-757",'2024'!$E$4="CA",'2024'!$E$2=CC43),'2024DATA'!$J$19,"")</f>
        <v/>
      </c>
      <c r="CD60" s="518" t="str">
        <f>IF(AND(_E="B-757",'2024'!$E$4="CA",'2024'!$E$2=CD43),'2024DATA'!$K$19,"")</f>
        <v/>
      </c>
      <c r="CE60" s="518" t="str">
        <f>IF(AND(_E="B-757",'2024'!$E$4="CA",'2024'!$E$2=CE43),'2024DATA'!$L$19,"")</f>
        <v/>
      </c>
      <c r="CF60" s="518" t="str">
        <f>IF(AND(_E="B-757",'2024'!$E$4="CA",'2024'!$E$2=CF43),'2024DATA'!$M$19,"")</f>
        <v/>
      </c>
      <c r="CG60" s="520" t="str">
        <f>IF(AND(_E="B-757",'2024'!$E$4="CA",'2024'!$E$2=CG43),'2024DATA'!$N$19,"")</f>
        <v/>
      </c>
      <c r="CH60" s="940" t="s">
        <v>45</v>
      </c>
      <c r="CI60" s="13" t="s">
        <v>61</v>
      </c>
      <c r="CJ60" s="518" t="str">
        <f>IF(AND(_F="B-757",'2024'!$E$4="CA",'2024'!$E$2=CJ43),'2024DATA'!$C$19,"")</f>
        <v/>
      </c>
      <c r="CK60" s="518" t="str">
        <f>IF(AND(_F="B-757",'2024'!$E$4="CA",'2024'!$E$2=CK43),'2024DATA'!$D$19,"")</f>
        <v/>
      </c>
      <c r="CL60" s="518" t="str">
        <f>IF(AND(_F="B-757",'2024'!$E$4="CA",'2024'!$E$2=CL43),'2024DATA'!$E$19,"")</f>
        <v/>
      </c>
      <c r="CM60" s="518" t="str">
        <f>IF(AND(_F="B-757",'2024'!$E$4="CA",'2024'!$E$2=CM43),'2024DATA'!$F$19,"")</f>
        <v/>
      </c>
      <c r="CN60" s="518" t="str">
        <f>IF(AND(_F="B-757",'2024'!$E$4="CA",'2024'!$E$2=CN43),'2024DATA'!$G$19,"")</f>
        <v/>
      </c>
      <c r="CO60" s="518" t="str">
        <f>IF(AND(_F="B-757",'2024'!$E$4="CA",'2024'!$E$2=CO43),'2024DATA'!$H$19,"")</f>
        <v/>
      </c>
      <c r="CP60" s="518" t="str">
        <f>IF(AND(_F="B-757",'2024'!$E$4="CA",'2024'!$E$2=CP43),'2024DATA'!$I$19,"")</f>
        <v/>
      </c>
      <c r="CQ60" s="518" t="str">
        <f>IF(AND(_F="B-757",'2024'!$E$4="CA",'2024'!$E$2=CQ43),'2024DATA'!$J$19,"")</f>
        <v/>
      </c>
      <c r="CR60" s="518" t="str">
        <f>IF(AND(_F="B-757",'2024'!$E$4="CA",'2024'!$E$2=CR43),'2024DATA'!$K$19,"")</f>
        <v/>
      </c>
      <c r="CS60" s="518" t="str">
        <f>IF(AND(_F="B-757",'2024'!$E$4="CA",'2024'!$E$2=CS43),'2024DATA'!$L$19,"")</f>
        <v/>
      </c>
      <c r="CT60" s="518" t="str">
        <f>IF(AND(_F="B-757",'2024'!$E$4="CA",'2024'!$E$2=CT43),'2024DATA'!$M$19,"")</f>
        <v/>
      </c>
      <c r="CU60" s="520" t="str">
        <f>IF(AND(_F="B-757",'2024'!$E$4="CA",'2024'!$E$2=CU43),'2024DATA'!$N$19,"")</f>
        <v/>
      </c>
    </row>
    <row r="61" spans="16:99" x14ac:dyDescent="0.25">
      <c r="P61" s="940"/>
      <c r="Q61" s="13" t="s">
        <v>62</v>
      </c>
      <c r="R61" s="518" t="str">
        <f>IF(AND(_A="B-757",'2024'!$E$4="FO",'2024'!$E$2=R43),'2024DATA'!$C$20,"")</f>
        <v/>
      </c>
      <c r="S61" s="518" t="str">
        <f>IF(AND(_A="B-757",'2024'!$E$4="FO",'2024'!$E$2=S43),'2024DATA'!$D$20,"")</f>
        <v/>
      </c>
      <c r="T61" s="518" t="str">
        <f>IF(AND(_A="B-757",'2024'!$E$4="FO",'2024'!$E$2=T43),'2024DATA'!$E$20,"")</f>
        <v/>
      </c>
      <c r="U61" s="518" t="str">
        <f>IF(AND(_A="B-757",'2024'!$E$4="FO",'2024'!$E$2=U43),'2024DATA'!$F$20,"")</f>
        <v/>
      </c>
      <c r="V61" s="518" t="str">
        <f>IF(AND(_A="B-757",'2024'!$E$4="FO",'2024'!$E$2=V43),'2024DATA'!$G$20,"")</f>
        <v/>
      </c>
      <c r="W61" s="518" t="str">
        <f>IF(AND(_A="B-757",'2024'!$E$4="FO",'2024'!$E$2=W43),'2024DATA'!$H$20,"")</f>
        <v/>
      </c>
      <c r="X61" s="518" t="str">
        <f>IF(AND(_A="B-757",'2024'!$E$4="FO",'2024'!$E$2=X43),'2024DATA'!$I$20,"")</f>
        <v/>
      </c>
      <c r="Y61" s="518" t="str">
        <f>IF(AND(_A="B-757",'2024'!$E$4="FO",'2024'!$E$2=Y43),'2024DATA'!$J$20,"")</f>
        <v/>
      </c>
      <c r="Z61" s="518" t="str">
        <f>IF(AND(_A="B-757",'2024'!$E$4="FO",'2024'!$E$2=Z43),'2024DATA'!$K$20,"")</f>
        <v/>
      </c>
      <c r="AA61" s="518" t="str">
        <f>IF(AND(_A="B-757",'2024'!$E$4="FO",'2024'!$E$2=AA43),'2024DATA'!$L$20,"")</f>
        <v/>
      </c>
      <c r="AB61" s="518" t="str">
        <f>IF(AND(_A="B-757",'2024'!$E$4="FO",'2024'!$E$2=AB43),'2024DATA'!$M$20,"")</f>
        <v/>
      </c>
      <c r="AC61" s="520" t="str">
        <f>IF(AND(_A="B-757",'2024'!$E$4="FO",'2024'!$E$2=AC43),'2024DATA'!$N$20,"")</f>
        <v/>
      </c>
      <c r="AD61" s="940"/>
      <c r="AE61" s="13" t="s">
        <v>62</v>
      </c>
      <c r="AF61" s="518" t="str">
        <f>IF(AND(_B="B-757",'2024'!$E$4="FO",'2024'!$E$2=AF43),'2024DATA'!$C$20,"")</f>
        <v/>
      </c>
      <c r="AG61" s="518" t="str">
        <f>IF(AND(_B="B-757",'2024'!$E$4="FO",'2024'!$E$2=AG43),'2024DATA'!$D$20,"")</f>
        <v/>
      </c>
      <c r="AH61" s="518" t="str">
        <f>IF(AND(_B="B-757",'2024'!$E$4="FO",'2024'!$E$2=AH43),'2024DATA'!$E$20,"")</f>
        <v/>
      </c>
      <c r="AI61" s="518" t="str">
        <f>IF(AND(_B="B-757",'2024'!$E$4="FO",'2024'!$E$2=AI43),'2024DATA'!$F$20,"")</f>
        <v/>
      </c>
      <c r="AJ61" s="518" t="str">
        <f>IF(AND(_B="B-757",'2024'!$E$4="FO",'2024'!$E$2=AJ43),'2024DATA'!$G$20,"")</f>
        <v/>
      </c>
      <c r="AK61" s="518" t="str">
        <f>IF(AND(_B="B-757",'2024'!$E$4="FO",'2024'!$E$2=AK43),'2024DATA'!$H$20,"")</f>
        <v/>
      </c>
      <c r="AL61" s="518" t="str">
        <f>IF(AND(_B="B-757",'2024'!$E$4="FO",'2024'!$E$2=AL43),'2024DATA'!$I$20,"")</f>
        <v/>
      </c>
      <c r="AM61" s="518" t="str">
        <f>IF(AND(_B="B-757",'2024'!$E$4="FO",'2024'!$E$2=AM43),'2024DATA'!$J$20,"")</f>
        <v/>
      </c>
      <c r="AN61" s="518" t="str">
        <f>IF(AND(_B="B-757",'2024'!$E$4="FO",'2024'!$E$2=AN43),'2024DATA'!$K$20,"")</f>
        <v/>
      </c>
      <c r="AO61" s="518" t="str">
        <f>IF(AND(_B="B-757",'2024'!$E$4="FO",'2024'!$E$2=AO43),'2024DATA'!$L$20,"")</f>
        <v/>
      </c>
      <c r="AP61" s="518" t="str">
        <f>IF(AND(_B="B-757",'2024'!$E$4="FO",'2024'!$E$2=AP43),'2024DATA'!$M$20,"")</f>
        <v/>
      </c>
      <c r="AQ61" s="520" t="str">
        <f>IF(AND(_B="B-757",'2024'!$E$4="FO",'2024'!$E$2=AQ43),'2024DATA'!$N$20,"")</f>
        <v/>
      </c>
      <c r="AR61" s="940"/>
      <c r="AS61" s="13" t="s">
        <v>62</v>
      </c>
      <c r="AT61" s="518" t="str">
        <f>IF(AND(_C="B-757",'2024'!$E$4="FO",'2024'!$E$2=AT43),'2024DATA'!$C$20,"")</f>
        <v/>
      </c>
      <c r="AU61" s="518" t="str">
        <f>IF(AND(_C="B-757",'2024'!$E$4="FO",'2024'!$E$2=AU43),'2024DATA'!$D$20,"")</f>
        <v/>
      </c>
      <c r="AV61" s="518" t="str">
        <f>IF(AND(_C="B-757",'2024'!$E$4="FO",'2024'!$E$2=AV43),'2024DATA'!$E$20,"")</f>
        <v/>
      </c>
      <c r="AW61" s="518" t="str">
        <f>IF(AND(_C="B-757",'2024'!$E$4="FO",'2024'!$E$2=AW43),'2024DATA'!$F$20,"")</f>
        <v/>
      </c>
      <c r="AX61" s="518" t="str">
        <f>IF(AND(_C="B-757",'2024'!$E$4="FO",'2024'!$E$2=AX43),'2024DATA'!$G$20,"")</f>
        <v/>
      </c>
      <c r="AY61" s="518" t="str">
        <f>IF(AND(_C="B-757",'2024'!$E$4="FO",'2024'!$E$2=AY43),'2024DATA'!$H$20,"")</f>
        <v/>
      </c>
      <c r="AZ61" s="518" t="str">
        <f>IF(AND(_C="B-757",'2024'!$E$4="FO",'2024'!$E$2=AZ43),'2024DATA'!$I$20,"")</f>
        <v/>
      </c>
      <c r="BA61" s="518" t="str">
        <f>IF(AND(_C="B-757",'2024'!$E$4="FO",'2024'!$E$2=BA43),'2024DATA'!$J$20,"")</f>
        <v/>
      </c>
      <c r="BB61" s="518" t="str">
        <f>IF(AND(_C="B-757",'2024'!$E$4="FO",'2024'!$E$2=BB43),'2024DATA'!$K$20,"")</f>
        <v/>
      </c>
      <c r="BC61" s="518" t="str">
        <f>IF(AND(_C="B-757",'2024'!$E$4="FO",'2024'!$E$2=BC43),'2024DATA'!$L$20,"")</f>
        <v/>
      </c>
      <c r="BD61" s="518" t="str">
        <f>IF(AND(_C="B-757",'2024'!$E$4="FO",'2024'!$E$2=BD43),'2024DATA'!$M$20,"")</f>
        <v/>
      </c>
      <c r="BE61" s="520" t="str">
        <f>IF(AND(_C="B-757",'2024'!$E$4="FO",'2024'!$E$2=BE43),'2024DATA'!$N$20,"")</f>
        <v/>
      </c>
      <c r="BF61" s="940"/>
      <c r="BG61" s="13" t="s">
        <v>62</v>
      </c>
      <c r="BH61" s="518" t="str">
        <f>IF(AND(_D="B-757",'2024'!$E$4="FO",'2024'!$E$2=BH43),'2024DATA'!$C$20,"")</f>
        <v/>
      </c>
      <c r="BI61" s="518" t="str">
        <f>IF(AND(_D="B-757",'2024'!$E$4="FO",'2024'!$E$2=BI43),'2024DATA'!$D$20,"")</f>
        <v/>
      </c>
      <c r="BJ61" s="518" t="str">
        <f>IF(AND(_D="B-757",'2024'!$E$4="FO",'2024'!$E$2=BJ43),'2024DATA'!$E$20,"")</f>
        <v/>
      </c>
      <c r="BK61" s="518" t="str">
        <f>IF(AND(_D="B-757",'2024'!$E$4="FO",'2024'!$E$2=BK43),'2024DATA'!$F$20,"")</f>
        <v/>
      </c>
      <c r="BL61" s="518" t="str">
        <f>IF(AND(_D="B-757",'2024'!$E$4="FO",'2024'!$E$2=BL43),'2024DATA'!$G$20,"")</f>
        <v/>
      </c>
      <c r="BM61" s="518" t="str">
        <f>IF(AND(_D="B-757",'2024'!$E$4="FO",'2024'!$E$2=BM43),'2024DATA'!$H$20,"")</f>
        <v/>
      </c>
      <c r="BN61" s="518" t="str">
        <f>IF(AND(_D="B-757",'2024'!$E$4="FO",'2024'!$E$2=BN43),'2024DATA'!$I$20,"")</f>
        <v/>
      </c>
      <c r="BO61" s="518" t="str">
        <f>IF(AND(_D="B-757",'2024'!$E$4="FO",'2024'!$E$2=BO43),'2024DATA'!$J$20,"")</f>
        <v/>
      </c>
      <c r="BP61" s="518" t="str">
        <f>IF(AND(_D="B-757",'2024'!$E$4="FO",'2024'!$E$2=BP43),'2024DATA'!$K$20,"")</f>
        <v/>
      </c>
      <c r="BQ61" s="518" t="str">
        <f>IF(AND(_D="B-757",'2024'!$E$4="FO",'2024'!$E$2=BQ43),'2024DATA'!$L$20,"")</f>
        <v/>
      </c>
      <c r="BR61" s="518" t="str">
        <f>IF(AND(_D="B-757",'2024'!$E$4="FO",'2024'!$E$2=BR43),'2024DATA'!$M$20,"")</f>
        <v/>
      </c>
      <c r="BS61" s="520" t="str">
        <f>IF(AND(_D="B-757",'2024'!$E$4="FO",'2024'!$E$2=BS43),'2024DATA'!$N$20,"")</f>
        <v/>
      </c>
      <c r="BT61" s="940"/>
      <c r="BU61" s="13" t="s">
        <v>62</v>
      </c>
      <c r="BV61" s="518" t="str">
        <f>IF(AND(_E="B-757",'2024'!$E$4="FO",'2024'!$E$2=BV43),'2024DATA'!$C$20,"")</f>
        <v/>
      </c>
      <c r="BW61" s="518" t="str">
        <f>IF(AND(_E="B-757",'2024'!$E$4="FO",'2024'!$E$2=BW43),'2024DATA'!$D$20,"")</f>
        <v/>
      </c>
      <c r="BX61" s="518" t="str">
        <f>IF(AND(_E="B-757",'2024'!$E$4="FO",'2024'!$E$2=BX43),'2024DATA'!$E$20,"")</f>
        <v/>
      </c>
      <c r="BY61" s="518" t="str">
        <f>IF(AND(_E="B-757",'2024'!$E$4="FO",'2024'!$E$2=BY43),'2024DATA'!$F$20,"")</f>
        <v/>
      </c>
      <c r="BZ61" s="518" t="str">
        <f>IF(AND(_E="B-757",'2024'!$E$4="FO",'2024'!$E$2=BZ43),'2024DATA'!$G$20,"")</f>
        <v/>
      </c>
      <c r="CA61" s="518" t="str">
        <f>IF(AND(_E="B-757",'2024'!$E$4="FO",'2024'!$E$2=CA43),'2024DATA'!$H$20,"")</f>
        <v/>
      </c>
      <c r="CB61" s="518" t="str">
        <f>IF(AND(_E="B-757",'2024'!$E$4="FO",'2024'!$E$2=CB43),'2024DATA'!$I$20,"")</f>
        <v/>
      </c>
      <c r="CC61" s="518" t="str">
        <f>IF(AND(_E="B-757",'2024'!$E$4="FO",'2024'!$E$2=CC43),'2024DATA'!$J$20,"")</f>
        <v/>
      </c>
      <c r="CD61" s="518" t="str">
        <f>IF(AND(_E="B-757",'2024'!$E$4="FO",'2024'!$E$2=CD43),'2024DATA'!$K$20,"")</f>
        <v/>
      </c>
      <c r="CE61" s="518" t="str">
        <f>IF(AND(_E="B-757",'2024'!$E$4="FO",'2024'!$E$2=CE43),'2024DATA'!$L$20,"")</f>
        <v/>
      </c>
      <c r="CF61" s="518" t="str">
        <f>IF(AND(_E="B-757",'2024'!$E$4="FO",'2024'!$E$2=CF43),'2024DATA'!$M$20,"")</f>
        <v/>
      </c>
      <c r="CG61" s="520" t="str">
        <f>IF(AND(_E="B-757",'2024'!$E$4="FO",'2024'!$E$2=CG43),'2024DATA'!$N$20,"")</f>
        <v/>
      </c>
      <c r="CH61" s="940"/>
      <c r="CI61" s="13" t="s">
        <v>62</v>
      </c>
      <c r="CJ61" s="518" t="str">
        <f>IF(AND(_F="B-757",'2024'!$E$4="FO",'2024'!$E$2=CJ43),'2024DATA'!$C$20,"")</f>
        <v/>
      </c>
      <c r="CK61" s="518" t="str">
        <f>IF(AND(_F="B-757",'2024'!$E$4="FO",'2024'!$E$2=CK43),'2024DATA'!$D$20,"")</f>
        <v/>
      </c>
      <c r="CL61" s="518" t="str">
        <f>IF(AND(_F="B-757",'2024'!$E$4="FO",'2024'!$E$2=CL43),'2024DATA'!$E$20,"")</f>
        <v/>
      </c>
      <c r="CM61" s="518" t="str">
        <f>IF(AND(_F="B-757",'2024'!$E$4="FO",'2024'!$E$2=CM43),'2024DATA'!$F$20,"")</f>
        <v/>
      </c>
      <c r="CN61" s="518" t="str">
        <f>IF(AND(_F="B-757",'2024'!$E$4="FO",'2024'!$E$2=CN43),'2024DATA'!$G$20,"")</f>
        <v/>
      </c>
      <c r="CO61" s="518" t="str">
        <f>IF(AND(_F="B-757",'2024'!$E$4="FO",'2024'!$E$2=CO43),'2024DATA'!$H$20,"")</f>
        <v/>
      </c>
      <c r="CP61" s="518" t="str">
        <f>IF(AND(_F="B-757",'2024'!$E$4="FO",'2024'!$E$2=CP43),'2024DATA'!$I$20,"")</f>
        <v/>
      </c>
      <c r="CQ61" s="518" t="str">
        <f>IF(AND(_F="B-757",'2024'!$E$4="FO",'2024'!$E$2=CQ43),'2024DATA'!$J$20,"")</f>
        <v/>
      </c>
      <c r="CR61" s="518" t="str">
        <f>IF(AND(_F="B-757",'2024'!$E$4="FO",'2024'!$E$2=CR43),'2024DATA'!$K$20,"")</f>
        <v/>
      </c>
      <c r="CS61" s="518" t="str">
        <f>IF(AND(_F="B-757",'2024'!$E$4="FO",'2024'!$E$2=CS43),'2024DATA'!$L$20,"")</f>
        <v/>
      </c>
      <c r="CT61" s="518" t="str">
        <f>IF(AND(_F="B-757",'2024'!$E$4="FO",'2024'!$E$2=CT43),'2024DATA'!$M$20,"")</f>
        <v/>
      </c>
      <c r="CU61" s="520" t="str">
        <f>IF(AND(_F="B-757",'2024'!$E$4="FO",'2024'!$E$2=CU43),'2024DATA'!$N$20,"")</f>
        <v/>
      </c>
    </row>
    <row r="62" spans="16:99" x14ac:dyDescent="0.25">
      <c r="P62" s="940" t="s">
        <v>47</v>
      </c>
      <c r="Q62" s="13" t="s">
        <v>61</v>
      </c>
      <c r="R62" s="518" t="str">
        <f>IF(AND(_A="B-737-900",'2024'!$E$4="CA",'2024'!$E$2=R43),'2024DATA'!$C$21,"")</f>
        <v/>
      </c>
      <c r="S62" s="518" t="str">
        <f>IF(AND(_A="B-737-900",'2024'!$E$4="CA",'2024'!$E$2=S43),'2024DATA'!$D$21,"")</f>
        <v/>
      </c>
      <c r="T62" s="518" t="str">
        <f>IF(AND(_A="B-737-900",'2024'!$E$4="CA",'2024'!$E$2=T43),'2024DATA'!$E$21,"")</f>
        <v/>
      </c>
      <c r="U62" s="518" t="str">
        <f>IF(AND(_A="B-737-900",'2024'!$E$4="CA",'2024'!$E$2=U43),'2024DATA'!$F$21,"")</f>
        <v/>
      </c>
      <c r="V62" s="518" t="str">
        <f>IF(AND(_A="B-737-900",'2024'!$E$4="CA",'2024'!$E$2=V43),'2024DATA'!$G$21,"")</f>
        <v/>
      </c>
      <c r="W62" s="518" t="str">
        <f>IF(AND(_A="B-737-900",'2024'!$E$4="CA",'2024'!$E$2=W43),'2024DATA'!$H$21,"")</f>
        <v/>
      </c>
      <c r="X62" s="518" t="str">
        <f>IF(AND(_A="B-737-900",'2024'!$E$4="CA",'2024'!$E$2=X43),'2024DATA'!$I$21,"")</f>
        <v/>
      </c>
      <c r="Y62" s="518" t="str">
        <f>IF(AND(_A="B-737-900",'2024'!$E$4="CA",'2024'!$E$2=Y43),'2024DATA'!$J$21,"")</f>
        <v/>
      </c>
      <c r="Z62" s="518" t="str">
        <f>IF(AND(_A="B-737-900",'2024'!$E$4="CA",'2024'!$E$2=Z43),'2024DATA'!$K$21,"")</f>
        <v/>
      </c>
      <c r="AA62" s="518" t="str">
        <f>IF(AND(_A="B-737-900",'2024'!$E$4="CA",'2024'!$E$2=AA43),'2024DATA'!$L$21,"")</f>
        <v/>
      </c>
      <c r="AB62" s="518" t="str">
        <f>IF(AND(_A="B-737-900",'2024'!$E$4="CA",'2024'!$E$2=AB43),'2024DATA'!$M$21,"")</f>
        <v/>
      </c>
      <c r="AC62" s="520" t="str">
        <f>IF(AND(_A="B-737-900",'2024'!$E$4="CA",'2024'!$E$2=AC43),'2024DATA'!$N$21,"")</f>
        <v/>
      </c>
      <c r="AD62" s="940" t="s">
        <v>47</v>
      </c>
      <c r="AE62" s="13" t="s">
        <v>61</v>
      </c>
      <c r="AF62" s="518" t="str">
        <f>IF(AND(_B="B-737-900",'2024'!$E$4="CA",'2024'!$E$2=AF43),'2024DATA'!$C$21,"")</f>
        <v/>
      </c>
      <c r="AG62" s="518" t="str">
        <f>IF(AND(_B="B-737-900",'2024'!$E$4="CA",'2024'!$E$2=AG43),'2024DATA'!$D$21,"")</f>
        <v/>
      </c>
      <c r="AH62" s="518" t="str">
        <f>IF(AND(_B="B-737-900",'2024'!$E$4="CA",'2024'!$E$2=AH43),'2024DATA'!$E$21,"")</f>
        <v/>
      </c>
      <c r="AI62" s="518" t="str">
        <f>IF(AND(_B="B-737-900",'2024'!$E$4="CA",'2024'!$E$2=AI43),'2024DATA'!$F$21,"")</f>
        <v/>
      </c>
      <c r="AJ62" s="518" t="str">
        <f>IF(AND(_B="B-737-900",'2024'!$E$4="CA",'2024'!$E$2=AJ43),'2024DATA'!$G$21,"")</f>
        <v/>
      </c>
      <c r="AK62" s="518" t="str">
        <f>IF(AND(_B="B-737-900",'2024'!$E$4="CA",'2024'!$E$2=AK43),'2024DATA'!$H$21,"")</f>
        <v/>
      </c>
      <c r="AL62" s="518" t="str">
        <f>IF(AND(_B="B-737-900",'2024'!$E$4="CA",'2024'!$E$2=AL43),'2024DATA'!$I$21,"")</f>
        <v/>
      </c>
      <c r="AM62" s="518" t="str">
        <f>IF(AND(_B="B-737-900",'2024'!$E$4="CA",'2024'!$E$2=AM43),'2024DATA'!$J$21,"")</f>
        <v/>
      </c>
      <c r="AN62" s="518" t="str">
        <f>IF(AND(_B="B-737-900",'2024'!$E$4="CA",'2024'!$E$2=AN43),'2024DATA'!$K$21,"")</f>
        <v/>
      </c>
      <c r="AO62" s="518" t="str">
        <f>IF(AND(_B="B-737-900",'2024'!$E$4="CA",'2024'!$E$2=AO43),'2024DATA'!$L$21,"")</f>
        <v/>
      </c>
      <c r="AP62" s="518" t="str">
        <f>IF(AND(_B="B-737-900",'2024'!$E$4="CA",'2024'!$E$2=AP43),'2024DATA'!$M$21,"")</f>
        <v/>
      </c>
      <c r="AQ62" s="520" t="str">
        <f>IF(AND(_B="B-737-900",'2024'!$E$4="CA",'2024'!$E$2=AQ43),'2024DATA'!$N$21,"")</f>
        <v/>
      </c>
      <c r="AR62" s="940" t="s">
        <v>47</v>
      </c>
      <c r="AS62" s="13" t="s">
        <v>61</v>
      </c>
      <c r="AT62" s="518" t="str">
        <f>IF(AND(_C="B-737-900",'2024'!$E$4="CA",'2024'!$E$2=AT43),'2024DATA'!$C$21,"")</f>
        <v/>
      </c>
      <c r="AU62" s="518" t="str">
        <f>IF(AND(_C="B-737-900",'2024'!$E$4="CA",'2024'!$E$2=AU43),'2024DATA'!$D$21,"")</f>
        <v/>
      </c>
      <c r="AV62" s="518" t="str">
        <f>IF(AND(_C="B-737-900",'2024'!$E$4="CA",'2024'!$E$2=AV43),'2024DATA'!$E$21,"")</f>
        <v/>
      </c>
      <c r="AW62" s="518" t="str">
        <f>IF(AND(_C="B-737-900",'2024'!$E$4="CA",'2024'!$E$2=AW43),'2024DATA'!$F$21,"")</f>
        <v/>
      </c>
      <c r="AX62" s="518" t="str">
        <f>IF(AND(_C="B-737-900",'2024'!$E$4="CA",'2024'!$E$2=AX43),'2024DATA'!$G$21,"")</f>
        <v/>
      </c>
      <c r="AY62" s="518" t="str">
        <f>IF(AND(_C="B-737-900",'2024'!$E$4="CA",'2024'!$E$2=AY43),'2024DATA'!$H$21,"")</f>
        <v/>
      </c>
      <c r="AZ62" s="518" t="str">
        <f>IF(AND(_C="B-737-900",'2024'!$E$4="CA",'2024'!$E$2=AZ43),'2024DATA'!$I$21,"")</f>
        <v/>
      </c>
      <c r="BA62" s="518" t="str">
        <f>IF(AND(_C="B-737-900",'2024'!$E$4="CA",'2024'!$E$2=BA43),'2024DATA'!$J$21,"")</f>
        <v/>
      </c>
      <c r="BB62" s="518" t="str">
        <f>IF(AND(_C="B-737-900",'2024'!$E$4="CA",'2024'!$E$2=BB43),'2024DATA'!$K$21,"")</f>
        <v/>
      </c>
      <c r="BC62" s="518" t="str">
        <f>IF(AND(_C="B-737-900",'2024'!$E$4="CA",'2024'!$E$2=BC43),'2024DATA'!$L$21,"")</f>
        <v/>
      </c>
      <c r="BD62" s="518" t="str">
        <f>IF(AND(_C="B-737-900",'2024'!$E$4="CA",'2024'!$E$2=BD43),'2024DATA'!$M$21,"")</f>
        <v/>
      </c>
      <c r="BE62" s="520" t="str">
        <f>IF(AND(_C="B-737-900",'2024'!$E$4="CA",'2024'!$E$2=BE43),'2024DATA'!$N$21,"")</f>
        <v/>
      </c>
      <c r="BF62" s="940" t="s">
        <v>47</v>
      </c>
      <c r="BG62" s="13" t="s">
        <v>61</v>
      </c>
      <c r="BH62" s="518" t="str">
        <f>IF(AND(_D="B-737-900",'2024'!$E$4="CA",'2024'!$E$2=BH43),'2024DATA'!$C$21,"")</f>
        <v/>
      </c>
      <c r="BI62" s="518" t="str">
        <f>IF(AND(_D="B-737-900",'2024'!$E$4="CA",'2024'!$E$2=BI43),'2024DATA'!$D$21,"")</f>
        <v/>
      </c>
      <c r="BJ62" s="518" t="str">
        <f>IF(AND(_D="B-737-900",'2024'!$E$4="CA",'2024'!$E$2=BJ43),'2024DATA'!$E$21,"")</f>
        <v/>
      </c>
      <c r="BK62" s="518" t="str">
        <f>IF(AND(_D="B-737-900",'2024'!$E$4="CA",'2024'!$E$2=BK43),'2024DATA'!$F$21,"")</f>
        <v/>
      </c>
      <c r="BL62" s="518" t="str">
        <f>IF(AND(_D="B-737-900",'2024'!$E$4="CA",'2024'!$E$2=BL43),'2024DATA'!$G$21,"")</f>
        <v/>
      </c>
      <c r="BM62" s="518" t="str">
        <f>IF(AND(_D="B-737-900",'2024'!$E$4="CA",'2024'!$E$2=BM43),'2024DATA'!$H$21,"")</f>
        <v/>
      </c>
      <c r="BN62" s="518" t="str">
        <f>IF(AND(_D="B-737-900",'2024'!$E$4="CA",'2024'!$E$2=BN43),'2024DATA'!$I$21,"")</f>
        <v/>
      </c>
      <c r="BO62" s="518" t="str">
        <f>IF(AND(_D="B-737-900",'2024'!$E$4="CA",'2024'!$E$2=BO43),'2024DATA'!$J$21,"")</f>
        <v/>
      </c>
      <c r="BP62" s="518" t="str">
        <f>IF(AND(_D="B-737-900",'2024'!$E$4="CA",'2024'!$E$2=BP43),'2024DATA'!$K$21,"")</f>
        <v/>
      </c>
      <c r="BQ62" s="518" t="str">
        <f>IF(AND(_D="B-737-900",'2024'!$E$4="CA",'2024'!$E$2=BQ43),'2024DATA'!$L$21,"")</f>
        <v/>
      </c>
      <c r="BR62" s="518" t="str">
        <f>IF(AND(_D="B-737-900",'2024'!$E$4="CA",'2024'!$E$2=BR43),'2024DATA'!$M$21,"")</f>
        <v/>
      </c>
      <c r="BS62" s="520" t="str">
        <f>IF(AND(_D="B-737-900",'2024'!$E$4="CA",'2024'!$E$2=BS43),'2024DATA'!$N$21,"")</f>
        <v/>
      </c>
      <c r="BT62" s="940" t="s">
        <v>47</v>
      </c>
      <c r="BU62" s="13" t="s">
        <v>61</v>
      </c>
      <c r="BV62" s="518" t="str">
        <f>IF(AND(_E="B-737-900",'2024'!$E$4="CA",'2024'!$E$2=BV43),'2024DATA'!$C$21,"")</f>
        <v/>
      </c>
      <c r="BW62" s="518" t="str">
        <f>IF(AND(_E="B-737-900",'2024'!$E$4="CA",'2024'!$E$2=BW43),'2024DATA'!$D$21,"")</f>
        <v/>
      </c>
      <c r="BX62" s="518" t="str">
        <f>IF(AND(_E="B-737-900",'2024'!$E$4="CA",'2024'!$E$2=BX43),'2024DATA'!$E$21,"")</f>
        <v/>
      </c>
      <c r="BY62" s="518" t="str">
        <f>IF(AND(_E="B-737-900",'2024'!$E$4="CA",'2024'!$E$2=BY43),'2024DATA'!$F$21,"")</f>
        <v/>
      </c>
      <c r="BZ62" s="518" t="str">
        <f>IF(AND(_E="B-737-900",'2024'!$E$4="CA",'2024'!$E$2=BZ43),'2024DATA'!$G$21,"")</f>
        <v/>
      </c>
      <c r="CA62" s="518" t="str">
        <f>IF(AND(_E="B-737-900",'2024'!$E$4="CA",'2024'!$E$2=CA43),'2024DATA'!$H$21,"")</f>
        <v/>
      </c>
      <c r="CB62" s="518" t="str">
        <f>IF(AND(_E="B-737-900",'2024'!$E$4="CA",'2024'!$E$2=CB43),'2024DATA'!$I$21,"")</f>
        <v/>
      </c>
      <c r="CC62" s="518" t="str">
        <f>IF(AND(_E="B-737-900",'2024'!$E$4="CA",'2024'!$E$2=CC43),'2024DATA'!$J$21,"")</f>
        <v/>
      </c>
      <c r="CD62" s="518" t="str">
        <f>IF(AND(_E="B-737-900",'2024'!$E$4="CA",'2024'!$E$2=CD43),'2024DATA'!$K$21,"")</f>
        <v/>
      </c>
      <c r="CE62" s="518" t="str">
        <f>IF(AND(_E="B-737-900",'2024'!$E$4="CA",'2024'!$E$2=CE43),'2024DATA'!$L$21,"")</f>
        <v/>
      </c>
      <c r="CF62" s="518" t="str">
        <f>IF(AND(_E="B-737-900",'2024'!$E$4="CA",'2024'!$E$2=CF43),'2024DATA'!$M$21,"")</f>
        <v/>
      </c>
      <c r="CG62" s="520" t="str">
        <f>IF(AND(_E="B-737-900",'2024'!$E$4="CA",'2024'!$E$2=CG43),'2024DATA'!$N$21,"")</f>
        <v/>
      </c>
      <c r="CH62" s="940" t="s">
        <v>47</v>
      </c>
      <c r="CI62" s="13" t="s">
        <v>61</v>
      </c>
      <c r="CJ62" s="518" t="str">
        <f>IF(AND(_F="B-737-900",'2024'!$E$4="CA",'2024'!$E$2=CJ43),'2024DATA'!$C$21,"")</f>
        <v/>
      </c>
      <c r="CK62" s="518" t="str">
        <f>IF(AND(_F="B-737-900",'2024'!$E$4="CA",'2024'!$E$2=CK43),'2024DATA'!$D$21,"")</f>
        <v/>
      </c>
      <c r="CL62" s="518" t="str">
        <f>IF(AND(_F="B-737-900",'2024'!$E$4="CA",'2024'!$E$2=CL43),'2024DATA'!$E$21,"")</f>
        <v/>
      </c>
      <c r="CM62" s="518" t="str">
        <f>IF(AND(_F="B-737-900",'2024'!$E$4="CA",'2024'!$E$2=CM43),'2024DATA'!$F$21,"")</f>
        <v/>
      </c>
      <c r="CN62" s="518" t="str">
        <f>IF(AND(_F="B-737-900",'2024'!$E$4="CA",'2024'!$E$2=CN43),'2024DATA'!$G$21,"")</f>
        <v/>
      </c>
      <c r="CO62" s="518" t="str">
        <f>IF(AND(_F="B-737-900",'2024'!$E$4="CA",'2024'!$E$2=CO43),'2024DATA'!$H$21,"")</f>
        <v/>
      </c>
      <c r="CP62" s="518" t="str">
        <f>IF(AND(_F="B-737-900",'2024'!$E$4="CA",'2024'!$E$2=CP43),'2024DATA'!$I$21,"")</f>
        <v/>
      </c>
      <c r="CQ62" s="518" t="str">
        <f>IF(AND(_F="B-737-900",'2024'!$E$4="CA",'2024'!$E$2=CQ43),'2024DATA'!$J$21,"")</f>
        <v/>
      </c>
      <c r="CR62" s="518" t="str">
        <f>IF(AND(_F="B-737-900",'2024'!$E$4="CA",'2024'!$E$2=CR43),'2024DATA'!$K$21,"")</f>
        <v/>
      </c>
      <c r="CS62" s="518" t="str">
        <f>IF(AND(_F="B-737-900",'2024'!$E$4="CA",'2024'!$E$2=CS43),'2024DATA'!$L$21,"")</f>
        <v/>
      </c>
      <c r="CT62" s="518" t="str">
        <f>IF(AND(_F="B-737-900",'2024'!$E$4="CA",'2024'!$E$2=CT43),'2024DATA'!$M$21,"")</f>
        <v/>
      </c>
      <c r="CU62" s="520" t="str">
        <f>IF(AND(_F="B-737-900",'2024'!$E$4="CA",'2024'!$E$2=CU43),'2024DATA'!$N$21,"")</f>
        <v/>
      </c>
    </row>
    <row r="63" spans="16:99" x14ac:dyDescent="0.25">
      <c r="P63" s="940"/>
      <c r="Q63" s="13" t="s">
        <v>62</v>
      </c>
      <c r="R63" s="518" t="str">
        <f>IF(AND(_A="B-737-900",'2024'!$E$4="FO",'2024'!$E$2=R43),'2024DATA'!$C$22,"")</f>
        <v/>
      </c>
      <c r="S63" s="518" t="str">
        <f>IF(AND(_A="B-737-900",'2024'!$E$4="FO",'2024'!$E$2=S43),'2024DATA'!$D$22,"")</f>
        <v/>
      </c>
      <c r="T63" s="518" t="str">
        <f>IF(AND(_A="B-737-900",'2024'!$E$4="FO",'2024'!$E$2=T43),'2024DATA'!$E$22,"")</f>
        <v/>
      </c>
      <c r="U63" s="518" t="str">
        <f>IF(AND(_A="B-737-900",'2024'!$E$4="FO",'2024'!$E$2=U43),'2024DATA'!$F$22,"")</f>
        <v/>
      </c>
      <c r="V63" s="518" t="str">
        <f>IF(AND(_A="B-737-900",'2024'!$E$4="FO",'2024'!$E$2=V43),'2024DATA'!$G$22,"")</f>
        <v/>
      </c>
      <c r="W63" s="518" t="str">
        <f>IF(AND(_A="B-737-900",'2024'!$E$4="FO",'2024'!$E$2=W43),'2024DATA'!$H$22,"")</f>
        <v/>
      </c>
      <c r="X63" s="518" t="str">
        <f>IF(AND(_A="B-737-900",'2024'!$E$4="FO",'2024'!$E$2=X43),'2024DATA'!$I$22,"")</f>
        <v/>
      </c>
      <c r="Y63" s="518" t="str">
        <f>IF(AND(_A="B-737-900",'2024'!$E$4="FO",'2024'!$E$2=Y43),'2024DATA'!$J$22,"")</f>
        <v/>
      </c>
      <c r="Z63" s="518" t="str">
        <f>IF(AND(_A="B-737-900",'2024'!$E$4="FO",'2024'!$E$2=Z43),'2024DATA'!$K$22,"")</f>
        <v/>
      </c>
      <c r="AA63" s="518" t="str">
        <f>IF(AND(_A="B-737-900",'2024'!$E$4="FO",'2024'!$E$2=AA43),'2024DATA'!$L$22,"")</f>
        <v/>
      </c>
      <c r="AB63" s="518" t="str">
        <f>IF(AND(_A="B-737-900",'2024'!$E$4="FO",'2024'!$E$2=AB43),'2024DATA'!$M$22,"")</f>
        <v/>
      </c>
      <c r="AC63" s="520" t="str">
        <f>IF(AND(_A="B-737-900",'2024'!$E$4="FO",'2024'!$E$2=AC43),'2024DATA'!$N$22,"")</f>
        <v/>
      </c>
      <c r="AD63" s="940"/>
      <c r="AE63" s="13" t="s">
        <v>62</v>
      </c>
      <c r="AF63" s="518" t="str">
        <f>IF(AND(_B="B-737-900",'2024'!$E$4="FO",'2024'!$E$2=AF43),'2024DATA'!$C$22,"")</f>
        <v/>
      </c>
      <c r="AG63" s="518" t="str">
        <f>IF(AND(_B="B-737-900",'2024'!$E$4="FO",'2024'!$E$2=AG43),'2024DATA'!$D$22,"")</f>
        <v/>
      </c>
      <c r="AH63" s="518" t="str">
        <f>IF(AND(_B="B-737-900",'2024'!$E$4="FO",'2024'!$E$2=AH43),'2024DATA'!$E$22,"")</f>
        <v/>
      </c>
      <c r="AI63" s="518" t="str">
        <f>IF(AND(_B="B-737-900",'2024'!$E$4="FO",'2024'!$E$2=AI43),'2024DATA'!$F$22,"")</f>
        <v/>
      </c>
      <c r="AJ63" s="518" t="str">
        <f>IF(AND(_B="B-737-900",'2024'!$E$4="FO",'2024'!$E$2=AJ43),'2024DATA'!$G$22,"")</f>
        <v/>
      </c>
      <c r="AK63" s="518" t="str">
        <f>IF(AND(_B="B-737-900",'2024'!$E$4="FO",'2024'!$E$2=AK43),'2024DATA'!$H$22,"")</f>
        <v/>
      </c>
      <c r="AL63" s="518" t="str">
        <f>IF(AND(_B="B-737-900",'2024'!$E$4="FO",'2024'!$E$2=AL43),'2024DATA'!$I$22,"")</f>
        <v/>
      </c>
      <c r="AM63" s="518" t="str">
        <f>IF(AND(_B="B-737-900",'2024'!$E$4="FO",'2024'!$E$2=AM43),'2024DATA'!$J$22,"")</f>
        <v/>
      </c>
      <c r="AN63" s="518" t="str">
        <f>IF(AND(_B="B-737-900",'2024'!$E$4="FO",'2024'!$E$2=AN43),'2024DATA'!$K$22,"")</f>
        <v/>
      </c>
      <c r="AO63" s="518" t="str">
        <f>IF(AND(_B="B-737-900",'2024'!$E$4="FO",'2024'!$E$2=AO43),'2024DATA'!$L$22,"")</f>
        <v/>
      </c>
      <c r="AP63" s="518" t="str">
        <f>IF(AND(_B="B-737-900",'2024'!$E$4="FO",'2024'!$E$2=AP43),'2024DATA'!$M$22,"")</f>
        <v/>
      </c>
      <c r="AQ63" s="520" t="str">
        <f>IF(AND(_B="B-737-900",'2024'!$E$4="FO",'2024'!$E$2=AQ43),'2024DATA'!$N$22,"")</f>
        <v/>
      </c>
      <c r="AR63" s="940"/>
      <c r="AS63" s="13" t="s">
        <v>62</v>
      </c>
      <c r="AT63" s="518" t="str">
        <f>IF(AND(_C="B-737-900",'2024'!$E$4="FO",'2024'!$E$2=AT43),'2024DATA'!$C$22,"")</f>
        <v/>
      </c>
      <c r="AU63" s="518" t="str">
        <f>IF(AND(_C="B-737-900",'2024'!$E$4="FO",'2024'!$E$2=AU43),'2024DATA'!$D$22,"")</f>
        <v/>
      </c>
      <c r="AV63" s="518" t="str">
        <f>IF(AND(_C="B-737-900",'2024'!$E$4="FO",'2024'!$E$2=AV43),'2024DATA'!$E$22,"")</f>
        <v/>
      </c>
      <c r="AW63" s="518" t="str">
        <f>IF(AND(_C="B-737-900",'2024'!$E$4="FO",'2024'!$E$2=AW43),'2024DATA'!$F$22,"")</f>
        <v/>
      </c>
      <c r="AX63" s="518" t="str">
        <f>IF(AND(_C="B-737-900",'2024'!$E$4="FO",'2024'!$E$2=AX43),'2024DATA'!$G$22,"")</f>
        <v/>
      </c>
      <c r="AY63" s="518" t="str">
        <f>IF(AND(_C="B-737-900",'2024'!$E$4="FO",'2024'!$E$2=AY43),'2024DATA'!$H$22,"")</f>
        <v/>
      </c>
      <c r="AZ63" s="518" t="str">
        <f>IF(AND(_C="B-737-900",'2024'!$E$4="FO",'2024'!$E$2=AZ43),'2024DATA'!$I$22,"")</f>
        <v/>
      </c>
      <c r="BA63" s="518" t="str">
        <f>IF(AND(_C="B-737-900",'2024'!$E$4="FO",'2024'!$E$2=BA43),'2024DATA'!$J$22,"")</f>
        <v/>
      </c>
      <c r="BB63" s="518" t="str">
        <f>IF(AND(_C="B-737-900",'2024'!$E$4="FO",'2024'!$E$2=BB43),'2024DATA'!$K$22,"")</f>
        <v/>
      </c>
      <c r="BC63" s="518" t="str">
        <f>IF(AND(_C="B-737-900",'2024'!$E$4="FO",'2024'!$E$2=BC43),'2024DATA'!$L$22,"")</f>
        <v/>
      </c>
      <c r="BD63" s="518" t="str">
        <f>IF(AND(_C="B-737-900",'2024'!$E$4="FO",'2024'!$E$2=BD43),'2024DATA'!$M$22,"")</f>
        <v/>
      </c>
      <c r="BE63" s="520" t="str">
        <f>IF(AND(_C="B-737-900",'2024'!$E$4="FO",'2024'!$E$2=BE43),'2024DATA'!$N$22,"")</f>
        <v/>
      </c>
      <c r="BF63" s="940"/>
      <c r="BG63" s="13" t="s">
        <v>62</v>
      </c>
      <c r="BH63" s="518" t="str">
        <f>IF(AND(_D="B-737-900",'2024'!$E$4="FO",'2024'!$E$2=BH43),'2024DATA'!$C$22,"")</f>
        <v/>
      </c>
      <c r="BI63" s="518" t="str">
        <f>IF(AND(_D="B-737-900",'2024'!$E$4="FO",'2024'!$E$2=BI43),'2024DATA'!$D$22,"")</f>
        <v/>
      </c>
      <c r="BJ63" s="518" t="str">
        <f>IF(AND(_D="B-737-900",'2024'!$E$4="FO",'2024'!$E$2=BJ43),'2024DATA'!$E$22,"")</f>
        <v/>
      </c>
      <c r="BK63" s="518" t="str">
        <f>IF(AND(_D="B-737-900",'2024'!$E$4="FO",'2024'!$E$2=BK43),'2024DATA'!$F$22,"")</f>
        <v/>
      </c>
      <c r="BL63" s="518" t="str">
        <f>IF(AND(_D="B-737-900",'2024'!$E$4="FO",'2024'!$E$2=BL43),'2024DATA'!$G$22,"")</f>
        <v/>
      </c>
      <c r="BM63" s="518" t="str">
        <f>IF(AND(_D="B-737-900",'2024'!$E$4="FO",'2024'!$E$2=BM43),'2024DATA'!$H$22,"")</f>
        <v/>
      </c>
      <c r="BN63" s="518" t="str">
        <f>IF(AND(_D="B-737-900",'2024'!$E$4="FO",'2024'!$E$2=BN43),'2024DATA'!$I$22,"")</f>
        <v/>
      </c>
      <c r="BO63" s="518" t="str">
        <f>IF(AND(_D="B-737-900",'2024'!$E$4="FO",'2024'!$E$2=BO43),'2024DATA'!$J$22,"")</f>
        <v/>
      </c>
      <c r="BP63" s="518" t="str">
        <f>IF(AND(_D="B-737-900",'2024'!$E$4="FO",'2024'!$E$2=BP43),'2024DATA'!$K$22,"")</f>
        <v/>
      </c>
      <c r="BQ63" s="518" t="str">
        <f>IF(AND(_D="B-737-900",'2024'!$E$4="FO",'2024'!$E$2=BQ43),'2024DATA'!$L$22,"")</f>
        <v/>
      </c>
      <c r="BR63" s="518" t="str">
        <f>IF(AND(_D="B-737-900",'2024'!$E$4="FO",'2024'!$E$2=BR43),'2024DATA'!$M$22,"")</f>
        <v/>
      </c>
      <c r="BS63" s="520" t="str">
        <f>IF(AND(_D="B-737-900",'2024'!$E$4="FO",'2024'!$E$2=BS43),'2024DATA'!$N$22,"")</f>
        <v/>
      </c>
      <c r="BT63" s="940"/>
      <c r="BU63" s="13" t="s">
        <v>62</v>
      </c>
      <c r="BV63" s="518" t="str">
        <f>IF(AND(_E="B-737-900",'2024'!$E$4="FO",'2024'!$E$2=BV43),'2024DATA'!$C$22,"")</f>
        <v/>
      </c>
      <c r="BW63" s="518" t="str">
        <f>IF(AND(_E="B-737-900",'2024'!$E$4="FO",'2024'!$E$2=BW43),'2024DATA'!$D$22,"")</f>
        <v/>
      </c>
      <c r="BX63" s="518" t="str">
        <f>IF(AND(_E="B-737-900",'2024'!$E$4="FO",'2024'!$E$2=BX43),'2024DATA'!$E$22,"")</f>
        <v/>
      </c>
      <c r="BY63" s="518" t="str">
        <f>IF(AND(_E="B-737-900",'2024'!$E$4="FO",'2024'!$E$2=BY43),'2024DATA'!$F$22,"")</f>
        <v/>
      </c>
      <c r="BZ63" s="518" t="str">
        <f>IF(AND(_E="B-737-900",'2024'!$E$4="FO",'2024'!$E$2=BZ43),'2024DATA'!$G$22,"")</f>
        <v/>
      </c>
      <c r="CA63" s="518" t="str">
        <f>IF(AND(_E="B-737-900",'2024'!$E$4="FO",'2024'!$E$2=CA43),'2024DATA'!$H$22,"")</f>
        <v/>
      </c>
      <c r="CB63" s="518" t="str">
        <f>IF(AND(_E="B-737-900",'2024'!$E$4="FO",'2024'!$E$2=CB43),'2024DATA'!$I$22,"")</f>
        <v/>
      </c>
      <c r="CC63" s="518" t="str">
        <f>IF(AND(_E="B-737-900",'2024'!$E$4="FO",'2024'!$E$2=CC43),'2024DATA'!$J$22,"")</f>
        <v/>
      </c>
      <c r="CD63" s="518" t="str">
        <f>IF(AND(_E="B-737-900",'2024'!$E$4="FO",'2024'!$E$2=CD43),'2024DATA'!$K$22,"")</f>
        <v/>
      </c>
      <c r="CE63" s="518" t="str">
        <f>IF(AND(_E="B-737-900",'2024'!$E$4="FO",'2024'!$E$2=CE43),'2024DATA'!$L$22,"")</f>
        <v/>
      </c>
      <c r="CF63" s="518" t="str">
        <f>IF(AND(_E="B-737-900",'2024'!$E$4="FO",'2024'!$E$2=CF43),'2024DATA'!$M$22,"")</f>
        <v/>
      </c>
      <c r="CG63" s="520" t="str">
        <f>IF(AND(_E="B-737-900",'2024'!$E$4="FO",'2024'!$E$2=CG43),'2024DATA'!$N$22,"")</f>
        <v/>
      </c>
      <c r="CH63" s="940"/>
      <c r="CI63" s="13" t="s">
        <v>62</v>
      </c>
      <c r="CJ63" s="518" t="str">
        <f>IF(AND(_F="B-737-900",'2024'!$E$4="FO",'2024'!$E$2=CJ43),'2024DATA'!$C$22,"")</f>
        <v/>
      </c>
      <c r="CK63" s="518" t="str">
        <f>IF(AND(_F="B-737-900",'2024'!$E$4="FO",'2024'!$E$2=CK43),'2024DATA'!$D$22,"")</f>
        <v/>
      </c>
      <c r="CL63" s="518" t="str">
        <f>IF(AND(_F="B-737-900",'2024'!$E$4="FO",'2024'!$E$2=CL43),'2024DATA'!$E$22,"")</f>
        <v/>
      </c>
      <c r="CM63" s="518" t="str">
        <f>IF(AND(_F="B-737-900",'2024'!$E$4="FO",'2024'!$E$2=CM43),'2024DATA'!$F$22,"")</f>
        <v/>
      </c>
      <c r="CN63" s="518" t="str">
        <f>IF(AND(_F="B-737-900",'2024'!$E$4="FO",'2024'!$E$2=CN43),'2024DATA'!$G$22,"")</f>
        <v/>
      </c>
      <c r="CO63" s="518" t="str">
        <f>IF(AND(_F="B-737-900",'2024'!$E$4="FO",'2024'!$E$2=CO43),'2024DATA'!$H$22,"")</f>
        <v/>
      </c>
      <c r="CP63" s="518" t="str">
        <f>IF(AND(_F="B-737-900",'2024'!$E$4="FO",'2024'!$E$2=CP43),'2024DATA'!$I$22,"")</f>
        <v/>
      </c>
      <c r="CQ63" s="518" t="str">
        <f>IF(AND(_F="B-737-900",'2024'!$E$4="FO",'2024'!$E$2=CQ43),'2024DATA'!$J$22,"")</f>
        <v/>
      </c>
      <c r="CR63" s="518" t="str">
        <f>IF(AND(_F="B-737-900",'2024'!$E$4="FO",'2024'!$E$2=CR43),'2024DATA'!$K$22,"")</f>
        <v/>
      </c>
      <c r="CS63" s="518" t="str">
        <f>IF(AND(_F="B-737-900",'2024'!$E$4="FO",'2024'!$E$2=CS43),'2024DATA'!$L$22,"")</f>
        <v/>
      </c>
      <c r="CT63" s="518" t="str">
        <f>IF(AND(_F="B-737-900",'2024'!$E$4="FO",'2024'!$E$2=CT43),'2024DATA'!$M$22,"")</f>
        <v/>
      </c>
      <c r="CU63" s="520" t="str">
        <f>IF(AND(_F="B-737-900",'2024'!$E$4="FO",'2024'!$E$2=CU43),'2024DATA'!$N$22,"")</f>
        <v/>
      </c>
    </row>
    <row r="64" spans="16:99" x14ac:dyDescent="0.25">
      <c r="P64" s="940" t="s">
        <v>69</v>
      </c>
      <c r="Q64" s="13" t="s">
        <v>61</v>
      </c>
      <c r="R64" s="518" t="str">
        <f>IF(AND(_A="B-737-800",'2024'!$E$4="CA",'2024'!$E$2=R43),'2024DATA'!$C$23,"")</f>
        <v/>
      </c>
      <c r="S64" s="518" t="str">
        <f>IF(AND(_A="B-737-800",'2024'!$E$4="CA",'2024'!$E$2=S43),'2024DATA'!$D$23,"")</f>
        <v/>
      </c>
      <c r="T64" s="518" t="str">
        <f>IF(AND(_A="B-737-800",'2024'!$E$4="CA",'2024'!$E$2=T43),'2024DATA'!$E$23,"")</f>
        <v/>
      </c>
      <c r="U64" s="518" t="str">
        <f>IF(AND(_A="B-737-800",'2024'!$E$4="CA",'2024'!$E$2=U43),'2024DATA'!$F$23,"")</f>
        <v/>
      </c>
      <c r="V64" s="518" t="str">
        <f>IF(AND(_A="B-737-800",'2024'!$E$4="CA",'2024'!$E$2=V43),'2024DATA'!$G$23,"")</f>
        <v/>
      </c>
      <c r="W64" s="518" t="str">
        <f>IF(AND(_A="B-737-800",'2024'!$E$4="CA",'2024'!$E$2=W43),'2024DATA'!$H$23,"")</f>
        <v/>
      </c>
      <c r="X64" s="518" t="str">
        <f>IF(AND(_A="B-737-800",'2024'!$E$4="CA",'2024'!$E$2=X43),'2024DATA'!$I$23,"")</f>
        <v/>
      </c>
      <c r="Y64" s="518" t="str">
        <f>IF(AND(_A="B-737-800",'2024'!$E$4="CA",'2024'!$E$2=Y43),'2024DATA'!$J$23,"")</f>
        <v/>
      </c>
      <c r="Z64" s="518" t="str">
        <f>IF(AND(_A="B-737-800",'2024'!$E$4="CA",'2024'!$E$2=Z43),'2024DATA'!$K$23,"")</f>
        <v/>
      </c>
      <c r="AA64" s="518" t="str">
        <f>IF(AND(_A="B-737-800",'2024'!$E$4="CA",'2024'!$E$2=AA43),'2024DATA'!$L$23,"")</f>
        <v/>
      </c>
      <c r="AB64" s="518" t="str">
        <f>IF(AND(_A="B-737-800",'2024'!$E$4="CA",'2024'!$E$2=AB43),'2024DATA'!$M$23,"")</f>
        <v/>
      </c>
      <c r="AC64" s="520" t="str">
        <f>IF(AND(_A="B-737-800",'2024'!$E$4="CA",'2024'!$E$2=AC43),'2024DATA'!$N$23,"")</f>
        <v/>
      </c>
      <c r="AD64" s="940" t="s">
        <v>69</v>
      </c>
      <c r="AE64" s="13" t="s">
        <v>61</v>
      </c>
      <c r="AF64" s="518" t="str">
        <f>IF(AND(_B="B-737-800",'2024'!$E$4="CA",'2024'!$E$2=AF43),'2024DATA'!$C$23,"")</f>
        <v/>
      </c>
      <c r="AG64" s="518" t="str">
        <f>IF(AND(_B="B-737-800",'2024'!$E$4="CA",'2024'!$E$2=AG43),'2024DATA'!$D$23,"")</f>
        <v/>
      </c>
      <c r="AH64" s="518" t="str">
        <f>IF(AND(_B="B-737-800",'2024'!$E$4="CA",'2024'!$E$2=AH43),'2024DATA'!$E$23,"")</f>
        <v/>
      </c>
      <c r="AI64" s="518" t="str">
        <f>IF(AND(_B="B-737-800",'2024'!$E$4="CA",'2024'!$E$2=AI43),'2024DATA'!$F$23,"")</f>
        <v/>
      </c>
      <c r="AJ64" s="518" t="str">
        <f>IF(AND(_B="B-737-800",'2024'!$E$4="CA",'2024'!$E$2=AJ43),'2024DATA'!$G$23,"")</f>
        <v/>
      </c>
      <c r="AK64" s="518" t="str">
        <f>IF(AND(_B="B-737-800",'2024'!$E$4="CA",'2024'!$E$2=AK43),'2024DATA'!$H$23,"")</f>
        <v/>
      </c>
      <c r="AL64" s="518" t="str">
        <f>IF(AND(_B="B-737-800",'2024'!$E$4="CA",'2024'!$E$2=AL43),'2024DATA'!$I$23,"")</f>
        <v/>
      </c>
      <c r="AM64" s="518" t="str">
        <f>IF(AND(_B="B-737-800",'2024'!$E$4="CA",'2024'!$E$2=AM43),'2024DATA'!$J$23,"")</f>
        <v/>
      </c>
      <c r="AN64" s="518" t="str">
        <f>IF(AND(_B="B-737-800",'2024'!$E$4="CA",'2024'!$E$2=AN43),'2024DATA'!$K$23,"")</f>
        <v/>
      </c>
      <c r="AO64" s="518" t="str">
        <f>IF(AND(_B="B-737-800",'2024'!$E$4="CA",'2024'!$E$2=AO43),'2024DATA'!$L$23,"")</f>
        <v/>
      </c>
      <c r="AP64" s="518" t="str">
        <f>IF(AND(_B="B-737-800",'2024'!$E$4="CA",'2024'!$E$2=AP43),'2024DATA'!$M$23,"")</f>
        <v/>
      </c>
      <c r="AQ64" s="520" t="str">
        <f>IF(AND(_B="B-737-800",'2024'!$E$4="CA",'2024'!$E$2=AQ43),'2024DATA'!$N$23,"")</f>
        <v/>
      </c>
      <c r="AR64" s="940" t="s">
        <v>69</v>
      </c>
      <c r="AS64" s="13" t="s">
        <v>61</v>
      </c>
      <c r="AT64" s="518" t="str">
        <f>IF(AND(_C="B-737-800",'2024'!$E$4="CA",'2024'!$E$2=AT43),'2024DATA'!$C$23,"")</f>
        <v/>
      </c>
      <c r="AU64" s="518" t="str">
        <f>IF(AND(_C="B-737-800",'2024'!$E$4="CA",'2024'!$E$2=AU43),'2024DATA'!$D$23,"")</f>
        <v/>
      </c>
      <c r="AV64" s="518" t="str">
        <f>IF(AND(_C="B-737-800",'2024'!$E$4="CA",'2024'!$E$2=AV43),'2024DATA'!$E$23,"")</f>
        <v/>
      </c>
      <c r="AW64" s="518" t="str">
        <f>IF(AND(_C="B-737-800",'2024'!$E$4="CA",'2024'!$E$2=AW43),'2024DATA'!$F$23,"")</f>
        <v/>
      </c>
      <c r="AX64" s="518" t="str">
        <f>IF(AND(_C="B-737-800",'2024'!$E$4="CA",'2024'!$E$2=AX43),'2024DATA'!$G$23,"")</f>
        <v/>
      </c>
      <c r="AY64" s="518" t="str">
        <f>IF(AND(_C="B-737-800",'2024'!$E$4="CA",'2024'!$E$2=AY43),'2024DATA'!$H$23,"")</f>
        <v/>
      </c>
      <c r="AZ64" s="518" t="str">
        <f>IF(AND(_C="B-737-800",'2024'!$E$4="CA",'2024'!$E$2=AZ43),'2024DATA'!$I$23,"")</f>
        <v/>
      </c>
      <c r="BA64" s="518" t="str">
        <f>IF(AND(_C="B-737-800",'2024'!$E$4="CA",'2024'!$E$2=BA43),'2024DATA'!$J$23,"")</f>
        <v/>
      </c>
      <c r="BB64" s="518" t="str">
        <f>IF(AND(_C="B-737-800",'2024'!$E$4="CA",'2024'!$E$2=BB43),'2024DATA'!$K$23,"")</f>
        <v/>
      </c>
      <c r="BC64" s="518" t="str">
        <f>IF(AND(_C="B-737-800",'2024'!$E$4="CA",'2024'!$E$2=BC43),'2024DATA'!$L$23,"")</f>
        <v/>
      </c>
      <c r="BD64" s="518" t="str">
        <f>IF(AND(_C="B-737-800",'2024'!$E$4="CA",'2024'!$E$2=BD43),'2024DATA'!$M$23,"")</f>
        <v/>
      </c>
      <c r="BE64" s="520" t="str">
        <f>IF(AND(_C="B-737-800",'2024'!$E$4="CA",'2024'!$E$2=BE43),'2024DATA'!$N$23,"")</f>
        <v/>
      </c>
      <c r="BF64" s="940" t="s">
        <v>69</v>
      </c>
      <c r="BG64" s="13" t="s">
        <v>61</v>
      </c>
      <c r="BH64" s="518" t="str">
        <f>IF(AND(_D="B-737-800",'2024'!$E$4="CA",'2024'!$E$2=BH43),'2024DATA'!$C$23,"")</f>
        <v/>
      </c>
      <c r="BI64" s="518" t="str">
        <f>IF(AND(_D="B-737-800",'2024'!$E$4="CA",'2024'!$E$2=BI43),'2024DATA'!$D$23,"")</f>
        <v/>
      </c>
      <c r="BJ64" s="518" t="str">
        <f>IF(AND(_D="B-737-800",'2024'!$E$4="CA",'2024'!$E$2=BJ43),'2024DATA'!$E$23,"")</f>
        <v/>
      </c>
      <c r="BK64" s="518" t="str">
        <f>IF(AND(_D="B-737-800",'2024'!$E$4="CA",'2024'!$E$2=BK43),'2024DATA'!$F$23,"")</f>
        <v/>
      </c>
      <c r="BL64" s="518" t="str">
        <f>IF(AND(_D="B-737-800",'2024'!$E$4="CA",'2024'!$E$2=BL43),'2024DATA'!$G$23,"")</f>
        <v/>
      </c>
      <c r="BM64" s="518" t="str">
        <f>IF(AND(_D="B-737-800",'2024'!$E$4="CA",'2024'!$E$2=BM43),'2024DATA'!$H$23,"")</f>
        <v/>
      </c>
      <c r="BN64" s="518" t="str">
        <f>IF(AND(_D="B-737-800",'2024'!$E$4="CA",'2024'!$E$2=BN43),'2024DATA'!$I$23,"")</f>
        <v/>
      </c>
      <c r="BO64" s="518" t="str">
        <f>IF(AND(_D="B-737-800",'2024'!$E$4="CA",'2024'!$E$2=BO43),'2024DATA'!$J$23,"")</f>
        <v/>
      </c>
      <c r="BP64" s="518" t="str">
        <f>IF(AND(_D="B-737-800",'2024'!$E$4="CA",'2024'!$E$2=BP43),'2024DATA'!$K$23,"")</f>
        <v/>
      </c>
      <c r="BQ64" s="518" t="str">
        <f>IF(AND(_D="B-737-800",'2024'!$E$4="CA",'2024'!$E$2=BQ43),'2024DATA'!$L$23,"")</f>
        <v/>
      </c>
      <c r="BR64" s="518" t="str">
        <f>IF(AND(_D="B-737-800",'2024'!$E$4="CA",'2024'!$E$2=BR43),'2024DATA'!$M$23,"")</f>
        <v/>
      </c>
      <c r="BS64" s="520" t="str">
        <f>IF(AND(_D="B-737-800",'2024'!$E$4="CA",'2024'!$E$2=BS43),'2024DATA'!$N$23,"")</f>
        <v/>
      </c>
      <c r="BT64" s="940" t="s">
        <v>69</v>
      </c>
      <c r="BU64" s="13" t="s">
        <v>61</v>
      </c>
      <c r="BV64" s="518" t="str">
        <f>IF(AND(_E="B-737-800",'2024'!$E$4="CA",'2024'!$E$2=BV43),'2024DATA'!$C$23,"")</f>
        <v/>
      </c>
      <c r="BW64" s="518" t="str">
        <f>IF(AND(_E="B-737-800",'2024'!$E$4="CA",'2024'!$E$2=BW43),'2024DATA'!$D$23,"")</f>
        <v/>
      </c>
      <c r="BX64" s="518" t="str">
        <f>IF(AND(_E="B-737-800",'2024'!$E$4="CA",'2024'!$E$2=BX43),'2024DATA'!$E$23,"")</f>
        <v/>
      </c>
      <c r="BY64" s="518" t="str">
        <f>IF(AND(_E="B-737-800",'2024'!$E$4="CA",'2024'!$E$2=BY43),'2024DATA'!$F$23,"")</f>
        <v/>
      </c>
      <c r="BZ64" s="518" t="str">
        <f>IF(AND(_E="B-737-800",'2024'!$E$4="CA",'2024'!$E$2=BZ43),'2024DATA'!$G$23,"")</f>
        <v/>
      </c>
      <c r="CA64" s="518" t="str">
        <f>IF(AND(_E="B-737-800",'2024'!$E$4="CA",'2024'!$E$2=CA43),'2024DATA'!$H$23,"")</f>
        <v/>
      </c>
      <c r="CB64" s="518" t="str">
        <f>IF(AND(_E="B-737-800",'2024'!$E$4="CA",'2024'!$E$2=CB43),'2024DATA'!$I$23,"")</f>
        <v/>
      </c>
      <c r="CC64" s="518" t="str">
        <f>IF(AND(_E="B-737-800",'2024'!$E$4="CA",'2024'!$E$2=CC43),'2024DATA'!$J$23,"")</f>
        <v/>
      </c>
      <c r="CD64" s="518" t="str">
        <f>IF(AND(_E="B-737-800",'2024'!$E$4="CA",'2024'!$E$2=CD43),'2024DATA'!$K$23,"")</f>
        <v/>
      </c>
      <c r="CE64" s="518" t="str">
        <f>IF(AND(_E="B-737-800",'2024'!$E$4="CA",'2024'!$E$2=CE43),'2024DATA'!$L$23,"")</f>
        <v/>
      </c>
      <c r="CF64" s="518" t="str">
        <f>IF(AND(_E="B-737-800",'2024'!$E$4="CA",'2024'!$E$2=CF43),'2024DATA'!$M$23,"")</f>
        <v/>
      </c>
      <c r="CG64" s="520" t="str">
        <f>IF(AND(_E="B-737-800",'2024'!$E$4="CA",'2024'!$E$2=CG43),'2024DATA'!$N$23,"")</f>
        <v/>
      </c>
      <c r="CH64" s="940" t="s">
        <v>69</v>
      </c>
      <c r="CI64" s="13" t="s">
        <v>61</v>
      </c>
      <c r="CJ64" s="518" t="str">
        <f>IF(AND(_F="B-737-800",'2024'!$E$4="CA",'2024'!$E$2=CJ43),'2024DATA'!$C$23,"")</f>
        <v/>
      </c>
      <c r="CK64" s="518" t="str">
        <f>IF(AND(_F="B-737-800",'2024'!$E$4="CA",'2024'!$E$2=CK43),'2024DATA'!$D$23,"")</f>
        <v/>
      </c>
      <c r="CL64" s="518" t="str">
        <f>IF(AND(_F="B-737-800",'2024'!$E$4="CA",'2024'!$E$2=CL43),'2024DATA'!$E$23,"")</f>
        <v/>
      </c>
      <c r="CM64" s="518" t="str">
        <f>IF(AND(_F="B-737-800",'2024'!$E$4="CA",'2024'!$E$2=CM43),'2024DATA'!$F$23,"")</f>
        <v/>
      </c>
      <c r="CN64" s="518" t="str">
        <f>IF(AND(_F="B-737-800",'2024'!$E$4="CA",'2024'!$E$2=CN43),'2024DATA'!$G$23,"")</f>
        <v/>
      </c>
      <c r="CO64" s="518" t="str">
        <f>IF(AND(_F="B-737-800",'2024'!$E$4="CA",'2024'!$E$2=CO43),'2024DATA'!$H$23,"")</f>
        <v/>
      </c>
      <c r="CP64" s="518" t="str">
        <f>IF(AND(_F="B-737-800",'2024'!$E$4="CA",'2024'!$E$2=CP43),'2024DATA'!$I$23,"")</f>
        <v/>
      </c>
      <c r="CQ64" s="518" t="str">
        <f>IF(AND(_F="B-737-800",'2024'!$E$4="CA",'2024'!$E$2=CQ43),'2024DATA'!$J$23,"")</f>
        <v/>
      </c>
      <c r="CR64" s="518" t="str">
        <f>IF(AND(_F="B-737-800",'2024'!$E$4="CA",'2024'!$E$2=CR43),'2024DATA'!$K$23,"")</f>
        <v/>
      </c>
      <c r="CS64" s="518" t="str">
        <f>IF(AND(_F="B-737-800",'2024'!$E$4="CA",'2024'!$E$2=CS43),'2024DATA'!$L$23,"")</f>
        <v/>
      </c>
      <c r="CT64" s="518" t="str">
        <f>IF(AND(_F="B-737-800",'2024'!$E$4="CA",'2024'!$E$2=CT43),'2024DATA'!$M$23,"")</f>
        <v/>
      </c>
      <c r="CU64" s="520" t="str">
        <f>IF(AND(_F="B-737-800",'2024'!$E$4="CA",'2024'!$E$2=CU43),'2024DATA'!$N$23,"")</f>
        <v/>
      </c>
    </row>
    <row r="65" spans="16:99" x14ac:dyDescent="0.25">
      <c r="P65" s="940"/>
      <c r="Q65" s="13" t="s">
        <v>62</v>
      </c>
      <c r="R65" s="518" t="str">
        <f>IF(AND(_A="B-737-800",'2024'!$E$4="FO",'2024'!$E$2=R43),'2024DATA'!$C$24,"")</f>
        <v/>
      </c>
      <c r="S65" s="518" t="str">
        <f>IF(AND(_A="B-737-800",'2024'!$E$4="FO",'2024'!$E$2=S43),'2024DATA'!$D$24,"")</f>
        <v/>
      </c>
      <c r="T65" s="518" t="str">
        <f>IF(AND(_A="B-737-800",'2024'!$E$4="FO",'2024'!$E$2=T43),'2024DATA'!$E$24,"")</f>
        <v/>
      </c>
      <c r="U65" s="518" t="str">
        <f>IF(AND(_A="B-737-800",'2024'!$E$4="FO",'2024'!$E$2=U43),'2024DATA'!$F$24,"")</f>
        <v/>
      </c>
      <c r="V65" s="518" t="str">
        <f>IF(AND(_A="B-737-800",'2024'!$E$4="FO",'2024'!$E$2=V43),'2024DATA'!$G$24,"")</f>
        <v/>
      </c>
      <c r="W65" s="518" t="str">
        <f>IF(AND(_A="B-737-800",'2024'!$E$4="FO",'2024'!$E$2=W43),'2024DATA'!$H$24,"")</f>
        <v/>
      </c>
      <c r="X65" s="518" t="str">
        <f>IF(AND(_A="B-737-800",'2024'!$E$4="FO",'2024'!$E$2=X43),'2024DATA'!$I$24,"")</f>
        <v/>
      </c>
      <c r="Y65" s="518" t="str">
        <f>IF(AND(_A="B-737-800",'2024'!$E$4="FO",'2024'!$E$2=Y43),'2024DATA'!$J$24,"")</f>
        <v/>
      </c>
      <c r="Z65" s="518" t="str">
        <f>IF(AND(_A="B-737-800",'2024'!$E$4="FO",'2024'!$E$2=Z43),'2024DATA'!$K$24,"")</f>
        <v/>
      </c>
      <c r="AA65" s="518" t="str">
        <f>IF(AND(_A="B-737-800",'2024'!$E$4="FO",'2024'!$E$2=AA43),'2024DATA'!$L$24,"")</f>
        <v/>
      </c>
      <c r="AB65" s="518" t="str">
        <f>IF(AND(_A="B-737-800",'2024'!$E$4="FO",'2024'!$E$2=AB43),'2024DATA'!$M$24,"")</f>
        <v/>
      </c>
      <c r="AC65" s="520" t="str">
        <f>IF(AND(_A="B-737-800",'2024'!$E$4="FO",'2024'!$E$2=AC43),'2024DATA'!$N$24,"")</f>
        <v/>
      </c>
      <c r="AD65" s="940"/>
      <c r="AE65" s="13" t="s">
        <v>62</v>
      </c>
      <c r="AF65" s="518" t="str">
        <f>IF(AND(_B="B-737-800",'2024'!$E$4="FO",'2024'!$E$2=AF43),'2024DATA'!$C$24,"")</f>
        <v/>
      </c>
      <c r="AG65" s="518" t="str">
        <f>IF(AND(_B="B-737-800",'2024'!$E$4="FO",'2024'!$E$2=AG43),'2024DATA'!$D$24,"")</f>
        <v/>
      </c>
      <c r="AH65" s="518" t="str">
        <f>IF(AND(_B="B-737-800",'2024'!$E$4="FO",'2024'!$E$2=AH43),'2024DATA'!$E$24,"")</f>
        <v/>
      </c>
      <c r="AI65" s="518" t="str">
        <f>IF(AND(_B="B-737-800",'2024'!$E$4="FO",'2024'!$E$2=AI43),'2024DATA'!$F$24,"")</f>
        <v/>
      </c>
      <c r="AJ65" s="518" t="str">
        <f>IF(AND(_B="B-737-800",'2024'!$E$4="FO",'2024'!$E$2=AJ43),'2024DATA'!$G$24,"")</f>
        <v/>
      </c>
      <c r="AK65" s="518" t="str">
        <f>IF(AND(_B="B-737-800",'2024'!$E$4="FO",'2024'!$E$2=AK43),'2024DATA'!$H$24,"")</f>
        <v/>
      </c>
      <c r="AL65" s="518" t="str">
        <f>IF(AND(_B="B-737-800",'2024'!$E$4="FO",'2024'!$E$2=AL43),'2024DATA'!$I$24,"")</f>
        <v/>
      </c>
      <c r="AM65" s="518" t="str">
        <f>IF(AND(_B="B-737-800",'2024'!$E$4="FO",'2024'!$E$2=AM43),'2024DATA'!$J$24,"")</f>
        <v/>
      </c>
      <c r="AN65" s="518" t="str">
        <f>IF(AND(_B="B-737-800",'2024'!$E$4="FO",'2024'!$E$2=AN43),'2024DATA'!$K$24,"")</f>
        <v/>
      </c>
      <c r="AO65" s="518" t="str">
        <f>IF(AND(_B="B-737-800",'2024'!$E$4="FO",'2024'!$E$2=AO43),'2024DATA'!$L$24,"")</f>
        <v/>
      </c>
      <c r="AP65" s="518" t="str">
        <f>IF(AND(_B="B-737-800",'2024'!$E$4="FO",'2024'!$E$2=AP43),'2024DATA'!$M$24,"")</f>
        <v/>
      </c>
      <c r="AQ65" s="520" t="str">
        <f>IF(AND(_B="B-737-800",'2024'!$E$4="FO",'2024'!$E$2=AQ43),'2024DATA'!$N$24,"")</f>
        <v/>
      </c>
      <c r="AR65" s="940"/>
      <c r="AS65" s="13" t="s">
        <v>62</v>
      </c>
      <c r="AT65" s="518" t="str">
        <f>IF(AND(_C="B-737-800",'2024'!$E$4="FO",'2024'!$E$2=AT43),'2024DATA'!$C$24,"")</f>
        <v/>
      </c>
      <c r="AU65" s="518" t="str">
        <f>IF(AND(_C="B-737-800",'2024'!$E$4="FO",'2024'!$E$2=AU43),'2024DATA'!$D$24,"")</f>
        <v/>
      </c>
      <c r="AV65" s="518" t="str">
        <f>IF(AND(_C="B-737-800",'2024'!$E$4="FO",'2024'!$E$2=AV43),'2024DATA'!$E$24,"")</f>
        <v/>
      </c>
      <c r="AW65" s="518" t="str">
        <f>IF(AND(_C="B-737-800",'2024'!$E$4="FO",'2024'!$E$2=AW43),'2024DATA'!$F$24,"")</f>
        <v/>
      </c>
      <c r="AX65" s="518" t="str">
        <f>IF(AND(_C="B-737-800",'2024'!$E$4="FO",'2024'!$E$2=AX43),'2024DATA'!$G$24,"")</f>
        <v/>
      </c>
      <c r="AY65" s="518" t="str">
        <f>IF(AND(_C="B-737-800",'2024'!$E$4="FO",'2024'!$E$2=AY43),'2024DATA'!$H$24,"")</f>
        <v/>
      </c>
      <c r="AZ65" s="518" t="str">
        <f>IF(AND(_C="B-737-800",'2024'!$E$4="FO",'2024'!$E$2=AZ43),'2024DATA'!$I$24,"")</f>
        <v/>
      </c>
      <c r="BA65" s="518" t="str">
        <f>IF(AND(_C="B-737-800",'2024'!$E$4="FO",'2024'!$E$2=BA43),'2024DATA'!$J$24,"")</f>
        <v/>
      </c>
      <c r="BB65" s="518" t="str">
        <f>IF(AND(_C="B-737-800",'2024'!$E$4="FO",'2024'!$E$2=BB43),'2024DATA'!$K$24,"")</f>
        <v/>
      </c>
      <c r="BC65" s="518" t="str">
        <f>IF(AND(_C="B-737-800",'2024'!$E$4="FO",'2024'!$E$2=BC43),'2024DATA'!$L$24,"")</f>
        <v/>
      </c>
      <c r="BD65" s="518" t="str">
        <f>IF(AND(_C="B-737-800",'2024'!$E$4="FO",'2024'!$E$2=BD43),'2024DATA'!$M$24,"")</f>
        <v/>
      </c>
      <c r="BE65" s="520" t="str">
        <f>IF(AND(_C="B-737-800",'2024'!$E$4="FO",'2024'!$E$2=BE43),'2024DATA'!$N$24,"")</f>
        <v/>
      </c>
      <c r="BF65" s="940"/>
      <c r="BG65" s="13" t="s">
        <v>62</v>
      </c>
      <c r="BH65" s="518" t="str">
        <f>IF(AND(_D="B-737-800",'2024'!$E$4="FO",'2024'!$E$2=BH43),'2024DATA'!$C$24,"")</f>
        <v/>
      </c>
      <c r="BI65" s="518" t="str">
        <f>IF(AND(_D="B-737-800",'2024'!$E$4="FO",'2024'!$E$2=BI43),'2024DATA'!$D$24,"")</f>
        <v/>
      </c>
      <c r="BJ65" s="518" t="str">
        <f>IF(AND(_D="B-737-800",'2024'!$E$4="FO",'2024'!$E$2=BJ43),'2024DATA'!$E$24,"")</f>
        <v/>
      </c>
      <c r="BK65" s="518" t="str">
        <f>IF(AND(_D="B-737-800",'2024'!$E$4="FO",'2024'!$E$2=BK43),'2024DATA'!$F$24,"")</f>
        <v/>
      </c>
      <c r="BL65" s="518" t="str">
        <f>IF(AND(_D="B-737-800",'2024'!$E$4="FO",'2024'!$E$2=BL43),'2024DATA'!$G$24,"")</f>
        <v/>
      </c>
      <c r="BM65" s="518" t="str">
        <f>IF(AND(_D="B-737-800",'2024'!$E$4="FO",'2024'!$E$2=BM43),'2024DATA'!$H$24,"")</f>
        <v/>
      </c>
      <c r="BN65" s="518" t="str">
        <f>IF(AND(_D="B-737-800",'2024'!$E$4="FO",'2024'!$E$2=BN43),'2024DATA'!$I$24,"")</f>
        <v/>
      </c>
      <c r="BO65" s="518" t="str">
        <f>IF(AND(_D="B-737-800",'2024'!$E$4="FO",'2024'!$E$2=BO43),'2024DATA'!$J$24,"")</f>
        <v/>
      </c>
      <c r="BP65" s="518" t="str">
        <f>IF(AND(_D="B-737-800",'2024'!$E$4="FO",'2024'!$E$2=BP43),'2024DATA'!$K$24,"")</f>
        <v/>
      </c>
      <c r="BQ65" s="518" t="str">
        <f>IF(AND(_D="B-737-800",'2024'!$E$4="FO",'2024'!$E$2=BQ43),'2024DATA'!$L$24,"")</f>
        <v/>
      </c>
      <c r="BR65" s="518" t="str">
        <f>IF(AND(_D="B-737-800",'2024'!$E$4="FO",'2024'!$E$2=BR43),'2024DATA'!$M$24,"")</f>
        <v/>
      </c>
      <c r="BS65" s="520" t="str">
        <f>IF(AND(_D="B-737-800",'2024'!$E$4="FO",'2024'!$E$2=BS43),'2024DATA'!$N$24,"")</f>
        <v/>
      </c>
      <c r="BT65" s="940"/>
      <c r="BU65" s="13" t="s">
        <v>62</v>
      </c>
      <c r="BV65" s="518" t="str">
        <f>IF(AND(_E="B-737-800",'2024'!$E$4="FO",'2024'!$E$2=BV43),'2024DATA'!$C$24,"")</f>
        <v/>
      </c>
      <c r="BW65" s="518" t="str">
        <f>IF(AND(_E="B-737-800",'2024'!$E$4="FO",'2024'!$E$2=BW43),'2024DATA'!$D$24,"")</f>
        <v/>
      </c>
      <c r="BX65" s="518" t="str">
        <f>IF(AND(_E="B-737-800",'2024'!$E$4="FO",'2024'!$E$2=BX43),'2024DATA'!$E$24,"")</f>
        <v/>
      </c>
      <c r="BY65" s="518" t="str">
        <f>IF(AND(_E="B-737-800",'2024'!$E$4="FO",'2024'!$E$2=BY43),'2024DATA'!$F$24,"")</f>
        <v/>
      </c>
      <c r="BZ65" s="518" t="str">
        <f>IF(AND(_E="B-737-800",'2024'!$E$4="FO",'2024'!$E$2=BZ43),'2024DATA'!$G$24,"")</f>
        <v/>
      </c>
      <c r="CA65" s="518" t="str">
        <f>IF(AND(_E="B-737-800",'2024'!$E$4="FO",'2024'!$E$2=CA43),'2024DATA'!$H$24,"")</f>
        <v/>
      </c>
      <c r="CB65" s="518" t="str">
        <f>IF(AND(_E="B-737-800",'2024'!$E$4="FO",'2024'!$E$2=CB43),'2024DATA'!$I$24,"")</f>
        <v/>
      </c>
      <c r="CC65" s="518" t="str">
        <f>IF(AND(_E="B-737-800",'2024'!$E$4="FO",'2024'!$E$2=CC43),'2024DATA'!$J$24,"")</f>
        <v/>
      </c>
      <c r="CD65" s="518" t="str">
        <f>IF(AND(_E="B-737-800",'2024'!$E$4="FO",'2024'!$E$2=CD43),'2024DATA'!$K$24,"")</f>
        <v/>
      </c>
      <c r="CE65" s="518" t="str">
        <f>IF(AND(_E="B-737-800",'2024'!$E$4="FO",'2024'!$E$2=CE43),'2024DATA'!$L$24,"")</f>
        <v/>
      </c>
      <c r="CF65" s="518" t="str">
        <f>IF(AND(_E="B-737-800",'2024'!$E$4="FO",'2024'!$E$2=CF43),'2024DATA'!$M$24,"")</f>
        <v/>
      </c>
      <c r="CG65" s="520" t="str">
        <f>IF(AND(_E="B-737-800",'2024'!$E$4="FO",'2024'!$E$2=CG43),'2024DATA'!$N$24,"")</f>
        <v/>
      </c>
      <c r="CH65" s="940"/>
      <c r="CI65" s="13" t="s">
        <v>62</v>
      </c>
      <c r="CJ65" s="518" t="str">
        <f>IF(AND(_F="B-737-800",'2024'!$E$4="FO",'2024'!$E$2=CJ43),'2024DATA'!$C$24,"")</f>
        <v/>
      </c>
      <c r="CK65" s="518" t="str">
        <f>IF(AND(_F="B-737-800",'2024'!$E$4="FO",'2024'!$E$2=CK43),'2024DATA'!$D$24,"")</f>
        <v/>
      </c>
      <c r="CL65" s="518" t="str">
        <f>IF(AND(_F="B-737-800",'2024'!$E$4="FO",'2024'!$E$2=CL43),'2024DATA'!$E$24,"")</f>
        <v/>
      </c>
      <c r="CM65" s="518" t="str">
        <f>IF(AND(_F="B-737-800",'2024'!$E$4="FO",'2024'!$E$2=CM43),'2024DATA'!$F$24,"")</f>
        <v/>
      </c>
      <c r="CN65" s="518" t="str">
        <f>IF(AND(_F="B-737-800",'2024'!$E$4="FO",'2024'!$E$2=CN43),'2024DATA'!$G$24,"")</f>
        <v/>
      </c>
      <c r="CO65" s="518" t="str">
        <f>IF(AND(_F="B-737-800",'2024'!$E$4="FO",'2024'!$E$2=CO43),'2024DATA'!$H$24,"")</f>
        <v/>
      </c>
      <c r="CP65" s="518" t="str">
        <f>IF(AND(_F="B-737-800",'2024'!$E$4="FO",'2024'!$E$2=CP43),'2024DATA'!$I$24,"")</f>
        <v/>
      </c>
      <c r="CQ65" s="518" t="str">
        <f>IF(AND(_F="B-737-800",'2024'!$E$4="FO",'2024'!$E$2=CQ43),'2024DATA'!$J$24,"")</f>
        <v/>
      </c>
      <c r="CR65" s="518" t="str">
        <f>IF(AND(_F="B-737-800",'2024'!$E$4="FO",'2024'!$E$2=CR43),'2024DATA'!$K$24,"")</f>
        <v/>
      </c>
      <c r="CS65" s="518" t="str">
        <f>IF(AND(_F="B-737-800",'2024'!$E$4="FO",'2024'!$E$2=CS43),'2024DATA'!$L$24,"")</f>
        <v/>
      </c>
      <c r="CT65" s="518" t="str">
        <f>IF(AND(_F="B-737-800",'2024'!$E$4="FO",'2024'!$E$2=CT43),'2024DATA'!$M$24,"")</f>
        <v/>
      </c>
      <c r="CU65" s="520" t="str">
        <f>IF(AND(_F="B-737-800",'2024'!$E$4="FO",'2024'!$E$2=CU43),'2024DATA'!$N$24,"")</f>
        <v/>
      </c>
    </row>
    <row r="66" spans="16:99" x14ac:dyDescent="0.25">
      <c r="P66" s="940" t="s">
        <v>46</v>
      </c>
      <c r="Q66" s="13" t="s">
        <v>61</v>
      </c>
      <c r="R66" s="518" t="str">
        <f>IF(AND(_A="A-321N",'2024'!$E$4="CA",'2024'!$E$2=R43),'2024DATA'!$C$25,"")</f>
        <v/>
      </c>
      <c r="S66" s="518" t="str">
        <f>IF(AND(_A="A-321N",'2024'!$E$4="CA",'2024'!$E$2=S43),'2024DATA'!$D$25,"")</f>
        <v/>
      </c>
      <c r="T66" s="518" t="str">
        <f>IF(AND(_A="A-321N",'2024'!$E$4="CA",'2024'!$E$2=T43),'2024DATA'!$E$25,"")</f>
        <v/>
      </c>
      <c r="U66" s="518" t="str">
        <f>IF(AND(_A="A-321N",'2024'!$E$4="CA",'2024'!$E$2=U43),'2024DATA'!$F$25,"")</f>
        <v/>
      </c>
      <c r="V66" s="518" t="str">
        <f>IF(AND(_A="A-321N",'2024'!$E$4="CA",'2024'!$E$2=V43),'2024DATA'!$G$25,"")</f>
        <v/>
      </c>
      <c r="W66" s="518" t="str">
        <f>IF(AND(_A="A-321N",'2024'!$E$4="CA",'2024'!$E$2=W43),'2024DATA'!$H$25,"")</f>
        <v/>
      </c>
      <c r="X66" s="518" t="str">
        <f>IF(AND(_A="A-321N",'2024'!$E$4="CA",'2024'!$E$2=X43),'2024DATA'!$I$25,"")</f>
        <v/>
      </c>
      <c r="Y66" s="518" t="str">
        <f>IF(AND(_A="A-321N",'2024'!$E$4="CA",'2024'!$E$2=Y43),'2024DATA'!$J$25,"")</f>
        <v/>
      </c>
      <c r="Z66" s="518" t="str">
        <f>IF(AND(_A="A-321N",'2024'!$E$4="CA",'2024'!$E$2=Z43),'2024DATA'!$K$25,"")</f>
        <v/>
      </c>
      <c r="AA66" s="518" t="str">
        <f>IF(AND(_A="A-321N",'2024'!$E$4="CA",'2024'!$E$2=AA43),'2024DATA'!$L$25,"")</f>
        <v/>
      </c>
      <c r="AB66" s="518" t="str">
        <f>IF(AND(_A="A-321N",'2024'!$E$4="CA",'2024'!$E$2=AB43),'2024DATA'!$M$25,"")</f>
        <v/>
      </c>
      <c r="AC66" s="520" t="str">
        <f>IF(AND(_A="A-321N",'2024'!$E$4="CA",'2024'!$E$2=AC43),'2024DATA'!$N$25,"")</f>
        <v/>
      </c>
      <c r="AD66" s="940" t="s">
        <v>46</v>
      </c>
      <c r="AE66" s="13" t="s">
        <v>61</v>
      </c>
      <c r="AF66" s="518" t="str">
        <f>IF(AND(_B="A-321N",'2024'!$E$4="CA",'2024'!$E$2=AF43),'2024DATA'!$C$25,"")</f>
        <v/>
      </c>
      <c r="AG66" s="518" t="str">
        <f>IF(AND(_B="A-321N",'2024'!$E$4="CA",'2024'!$E$2=AG43),'2024DATA'!$D$25,"")</f>
        <v/>
      </c>
      <c r="AH66" s="518" t="str">
        <f>IF(AND(_B="A-321N",'2024'!$E$4="CA",'2024'!$E$2=AH43),'2024DATA'!$E$25,"")</f>
        <v/>
      </c>
      <c r="AI66" s="518" t="str">
        <f>IF(AND(_B="A-321N",'2024'!$E$4="CA",'2024'!$E$2=AI43),'2024DATA'!$F$25,"")</f>
        <v/>
      </c>
      <c r="AJ66" s="518" t="str">
        <f>IF(AND(_B="A-321N",'2024'!$E$4="CA",'2024'!$E$2=AJ43),'2024DATA'!$G$25,"")</f>
        <v/>
      </c>
      <c r="AK66" s="518" t="str">
        <f>IF(AND(_B="A-321N",'2024'!$E$4="CA",'2024'!$E$2=AK43),'2024DATA'!$H$25,"")</f>
        <v/>
      </c>
      <c r="AL66" s="518" t="str">
        <f>IF(AND(_B="A-321N",'2024'!$E$4="CA",'2024'!$E$2=AL43),'2024DATA'!$I$25,"")</f>
        <v/>
      </c>
      <c r="AM66" s="518" t="str">
        <f>IF(AND(_B="A-321N",'2024'!$E$4="CA",'2024'!$E$2=AM43),'2024DATA'!$J$25,"")</f>
        <v/>
      </c>
      <c r="AN66" s="518" t="str">
        <f>IF(AND(_B="A-321N",'2024'!$E$4="CA",'2024'!$E$2=AN43),'2024DATA'!$K$25,"")</f>
        <v/>
      </c>
      <c r="AO66" s="518" t="str">
        <f>IF(AND(_B="A-321N",'2024'!$E$4="CA",'2024'!$E$2=AO43),'2024DATA'!$L$25,"")</f>
        <v/>
      </c>
      <c r="AP66" s="518" t="str">
        <f>IF(AND(_B="A-321N",'2024'!$E$4="CA",'2024'!$E$2=AP43),'2024DATA'!$M$25,"")</f>
        <v/>
      </c>
      <c r="AQ66" s="520" t="str">
        <f>IF(AND(_B="A-321N",'2024'!$E$4="CA",'2024'!$E$2=AQ43),'2024DATA'!$N$25,"")</f>
        <v/>
      </c>
      <c r="AR66" s="940" t="s">
        <v>46</v>
      </c>
      <c r="AS66" s="13" t="s">
        <v>61</v>
      </c>
      <c r="AT66" s="518" t="str">
        <f>IF(AND(_C="A-321N",'2024'!$E$4="CA",'2024'!$E$2=AT43),'2024DATA'!$C$25,"")</f>
        <v/>
      </c>
      <c r="AU66" s="518" t="str">
        <f>IF(AND(_C="A-321N",'2024'!$E$4="CA",'2024'!$E$2=AU43),'2024DATA'!$D$25,"")</f>
        <v/>
      </c>
      <c r="AV66" s="518" t="str">
        <f>IF(AND(_C="A-321N",'2024'!$E$4="CA",'2024'!$E$2=AV43),'2024DATA'!$E$25,"")</f>
        <v/>
      </c>
      <c r="AW66" s="518" t="str">
        <f>IF(AND(_C="A-321N",'2024'!$E$4="CA",'2024'!$E$2=AW43),'2024DATA'!$F$25,"")</f>
        <v/>
      </c>
      <c r="AX66" s="518" t="str">
        <f>IF(AND(_C="A-321N",'2024'!$E$4="CA",'2024'!$E$2=AX43),'2024DATA'!$G$25,"")</f>
        <v/>
      </c>
      <c r="AY66" s="518" t="str">
        <f>IF(AND(_C="A-321N",'2024'!$E$4="CA",'2024'!$E$2=AY43),'2024DATA'!$H$25,"")</f>
        <v/>
      </c>
      <c r="AZ66" s="518" t="str">
        <f>IF(AND(_C="A-321N",'2024'!$E$4="CA",'2024'!$E$2=AZ43),'2024DATA'!$I$25,"")</f>
        <v/>
      </c>
      <c r="BA66" s="518" t="str">
        <f>IF(AND(_C="A-321N",'2024'!$E$4="CA",'2024'!$E$2=BA43),'2024DATA'!$J$25,"")</f>
        <v/>
      </c>
      <c r="BB66" s="518" t="str">
        <f>IF(AND(_C="A-321N",'2024'!$E$4="CA",'2024'!$E$2=BB43),'2024DATA'!$K$25,"")</f>
        <v/>
      </c>
      <c r="BC66" s="518" t="str">
        <f>IF(AND(_C="A-321N",'2024'!$E$4="CA",'2024'!$E$2=BC43),'2024DATA'!$L$25,"")</f>
        <v/>
      </c>
      <c r="BD66" s="518" t="str">
        <f>IF(AND(_C="A-321N",'2024'!$E$4="CA",'2024'!$E$2=BD43),'2024DATA'!$M$25,"")</f>
        <v/>
      </c>
      <c r="BE66" s="520" t="str">
        <f>IF(AND(_C="A-321N",'2024'!$E$4="CA",'2024'!$E$2=BE43),'2024DATA'!$N$25,"")</f>
        <v/>
      </c>
      <c r="BF66" s="940" t="s">
        <v>46</v>
      </c>
      <c r="BG66" s="13" t="s">
        <v>61</v>
      </c>
      <c r="BH66" s="518" t="str">
        <f>IF(AND(_D="A-321N",'2024'!$E$4="CA",'2024'!$E$2=BH43),'2024DATA'!$C$25,"")</f>
        <v/>
      </c>
      <c r="BI66" s="518" t="str">
        <f>IF(AND(_D="A-321N",'2024'!$E$4="CA",'2024'!$E$2=BI43),'2024DATA'!$D$25,"")</f>
        <v/>
      </c>
      <c r="BJ66" s="518" t="str">
        <f>IF(AND(_D="A-321N",'2024'!$E$4="CA",'2024'!$E$2=BJ43),'2024DATA'!$E$25,"")</f>
        <v/>
      </c>
      <c r="BK66" s="518" t="str">
        <f>IF(AND(_D="A-321N",'2024'!$E$4="CA",'2024'!$E$2=BK43),'2024DATA'!$F$25,"")</f>
        <v/>
      </c>
      <c r="BL66" s="518" t="str">
        <f>IF(AND(_D="A-321N",'2024'!$E$4="CA",'2024'!$E$2=BL43),'2024DATA'!$G$25,"")</f>
        <v/>
      </c>
      <c r="BM66" s="518" t="str">
        <f>IF(AND(_D="A-321N",'2024'!$E$4="CA",'2024'!$E$2=BM43),'2024DATA'!$H$25,"")</f>
        <v/>
      </c>
      <c r="BN66" s="518" t="str">
        <f>IF(AND(_D="A-321N",'2024'!$E$4="CA",'2024'!$E$2=BN43),'2024DATA'!$I$25,"")</f>
        <v/>
      </c>
      <c r="BO66" s="518" t="str">
        <f>IF(AND(_D="A-321N",'2024'!$E$4="CA",'2024'!$E$2=BO43),'2024DATA'!$J$25,"")</f>
        <v/>
      </c>
      <c r="BP66" s="518" t="str">
        <f>IF(AND(_D="A-321N",'2024'!$E$4="CA",'2024'!$E$2=BP43),'2024DATA'!$K$25,"")</f>
        <v/>
      </c>
      <c r="BQ66" s="518" t="str">
        <f>IF(AND(_D="A-321N",'2024'!$E$4="CA",'2024'!$E$2=BQ43),'2024DATA'!$L$25,"")</f>
        <v/>
      </c>
      <c r="BR66" s="518" t="str">
        <f>IF(AND(_D="A-321N",'2024'!$E$4="CA",'2024'!$E$2=BR43),'2024DATA'!$M$25,"")</f>
        <v/>
      </c>
      <c r="BS66" s="520" t="str">
        <f>IF(AND(_D="A-321N",'2024'!$E$4="CA",'2024'!$E$2=BS43),'2024DATA'!$N$25,"")</f>
        <v/>
      </c>
      <c r="BT66" s="940" t="s">
        <v>46</v>
      </c>
      <c r="BU66" s="13" t="s">
        <v>61</v>
      </c>
      <c r="BV66" s="518" t="str">
        <f>IF(AND(_E="A-321N",'2024'!$E$4="CA",'2024'!$E$2=BV43),'2024DATA'!$C$25,"")</f>
        <v/>
      </c>
      <c r="BW66" s="518" t="str">
        <f>IF(AND(_E="A-321N",'2024'!$E$4="CA",'2024'!$E$2=BW43),'2024DATA'!$D$25,"")</f>
        <v/>
      </c>
      <c r="BX66" s="518" t="str">
        <f>IF(AND(_E="A-321N",'2024'!$E$4="CA",'2024'!$E$2=BX43),'2024DATA'!$E$25,"")</f>
        <v/>
      </c>
      <c r="BY66" s="518" t="str">
        <f>IF(AND(_E="A-321N",'2024'!$E$4="CA",'2024'!$E$2=BY43),'2024DATA'!$F$25,"")</f>
        <v/>
      </c>
      <c r="BZ66" s="518" t="str">
        <f>IF(AND(_E="A-321N",'2024'!$E$4="CA",'2024'!$E$2=BZ43),'2024DATA'!$G$25,"")</f>
        <v/>
      </c>
      <c r="CA66" s="518" t="str">
        <f>IF(AND(_E="A-321N",'2024'!$E$4="CA",'2024'!$E$2=CA43),'2024DATA'!$H$25,"")</f>
        <v/>
      </c>
      <c r="CB66" s="518" t="str">
        <f>IF(AND(_E="A-321N",'2024'!$E$4="CA",'2024'!$E$2=CB43),'2024DATA'!$I$25,"")</f>
        <v/>
      </c>
      <c r="CC66" s="518" t="str">
        <f>IF(AND(_E="A-321N",'2024'!$E$4="CA",'2024'!$E$2=CC43),'2024DATA'!$J$25,"")</f>
        <v/>
      </c>
      <c r="CD66" s="518" t="str">
        <f>IF(AND(_E="A-321N",'2024'!$E$4="CA",'2024'!$E$2=CD43),'2024DATA'!$K$25,"")</f>
        <v/>
      </c>
      <c r="CE66" s="518" t="str">
        <f>IF(AND(_E="A-321N",'2024'!$E$4="CA",'2024'!$E$2=CE43),'2024DATA'!$L$25,"")</f>
        <v/>
      </c>
      <c r="CF66" s="518" t="str">
        <f>IF(AND(_E="A-321N",'2024'!$E$4="CA",'2024'!$E$2=CF43),'2024DATA'!$M$25,"")</f>
        <v/>
      </c>
      <c r="CG66" s="520" t="str">
        <f>IF(AND(_E="A-321N",'2024'!$E$4="CA",'2024'!$E$2=CG43),'2024DATA'!$N$25,"")</f>
        <v/>
      </c>
      <c r="CH66" s="940" t="s">
        <v>46</v>
      </c>
      <c r="CI66" s="13" t="s">
        <v>61</v>
      </c>
      <c r="CJ66" s="518" t="str">
        <f>IF(AND(_F="A-321N",'2024'!$E$4="CA",'2024'!$E$2=CJ43),'2024DATA'!$C$25,"")</f>
        <v/>
      </c>
      <c r="CK66" s="518" t="str">
        <f>IF(AND(_F="A-321N",'2024'!$E$4="CA",'2024'!$E$2=CK43),'2024DATA'!$D$25,"")</f>
        <v/>
      </c>
      <c r="CL66" s="518" t="str">
        <f>IF(AND(_F="A-321N",'2024'!$E$4="CA",'2024'!$E$2=CL43),'2024DATA'!$E$25,"")</f>
        <v/>
      </c>
      <c r="CM66" s="518" t="str">
        <f>IF(AND(_F="A-321N",'2024'!$E$4="CA",'2024'!$E$2=CM43),'2024DATA'!$F$25,"")</f>
        <v/>
      </c>
      <c r="CN66" s="518" t="str">
        <f>IF(AND(_F="A-321N",'2024'!$E$4="CA",'2024'!$E$2=CN43),'2024DATA'!$G$25,"")</f>
        <v/>
      </c>
      <c r="CO66" s="518" t="str">
        <f>IF(AND(_F="A-321N",'2024'!$E$4="CA",'2024'!$E$2=CO43),'2024DATA'!$H$25,"")</f>
        <v/>
      </c>
      <c r="CP66" s="518" t="str">
        <f>IF(AND(_F="A-321N",'2024'!$E$4="CA",'2024'!$E$2=CP43),'2024DATA'!$I$25,"")</f>
        <v/>
      </c>
      <c r="CQ66" s="518" t="str">
        <f>IF(AND(_F="A-321N",'2024'!$E$4="CA",'2024'!$E$2=CQ43),'2024DATA'!$J$25,"")</f>
        <v/>
      </c>
      <c r="CR66" s="518" t="str">
        <f>IF(AND(_F="A-321N",'2024'!$E$4="CA",'2024'!$E$2=CR43),'2024DATA'!$K$25,"")</f>
        <v/>
      </c>
      <c r="CS66" s="518" t="str">
        <f>IF(AND(_F="A-321N",'2024'!$E$4="CA",'2024'!$E$2=CS43),'2024DATA'!$L$25,"")</f>
        <v/>
      </c>
      <c r="CT66" s="518" t="str">
        <f>IF(AND(_F="A-321N",'2024'!$E$4="CA",'2024'!$E$2=CT43),'2024DATA'!$M$25,"")</f>
        <v/>
      </c>
      <c r="CU66" s="520" t="str">
        <f>IF(AND(_F="A-321N",'2024'!$E$4="CA",'2024'!$E$2=CU43),'2024DATA'!$N$25,"")</f>
        <v/>
      </c>
    </row>
    <row r="67" spans="16:99" x14ac:dyDescent="0.25">
      <c r="P67" s="940"/>
      <c r="Q67" s="13" t="s">
        <v>62</v>
      </c>
      <c r="R67" s="518" t="str">
        <f>IF(AND(_A="A-321N",'2024'!$E$4="FO",'2024'!$E$2=R43),'2024DATA'!$C$26,"")</f>
        <v/>
      </c>
      <c r="S67" s="518" t="str">
        <f>IF(AND(_A="A-321N",'2024'!$E$4="FO",'2024'!$E$2=S43),'2024DATA'!$D$26,"")</f>
        <v/>
      </c>
      <c r="T67" s="518" t="str">
        <f>IF(AND(_A="A-321N",'2024'!$E$4="FO",'2024'!$E$2=T43),'2024DATA'!$E$26,"")</f>
        <v/>
      </c>
      <c r="U67" s="518" t="str">
        <f>IF(AND(_A="A-321N",'2024'!$E$4="FO",'2024'!$E$2=U43),'2024DATA'!$F$26,"")</f>
        <v/>
      </c>
      <c r="V67" s="518" t="str">
        <f>IF(AND(_A="A-321N",'2024'!$E$4="FO",'2024'!$E$2=V43),'2024DATA'!$G$26,"")</f>
        <v/>
      </c>
      <c r="W67" s="518" t="str">
        <f>IF(AND(_A="A-321N",'2024'!$E$4="FO",'2024'!$E$2=W43),'2024DATA'!$H$26,"")</f>
        <v/>
      </c>
      <c r="X67" s="518" t="str">
        <f>IF(AND(_A="A-321N",'2024'!$E$4="FO",'2024'!$E$2=X43),'2024DATA'!$I$26,"")</f>
        <v/>
      </c>
      <c r="Y67" s="518" t="str">
        <f>IF(AND(_A="A-321N",'2024'!$E$4="FO",'2024'!$E$2=Y43),'2024DATA'!$J$26,"")</f>
        <v/>
      </c>
      <c r="Z67" s="518" t="str">
        <f>IF(AND(_A="A-321N",'2024'!$E$4="FO",'2024'!$E$2=Z43),'2024DATA'!$K$26,"")</f>
        <v/>
      </c>
      <c r="AA67" s="518" t="str">
        <f>IF(AND(_A="A-321N",'2024'!$E$4="FO",'2024'!$E$2=AA43),'2024DATA'!$L$26,"")</f>
        <v/>
      </c>
      <c r="AB67" s="518" t="str">
        <f>IF(AND(_A="A-321N",'2024'!$E$4="FO",'2024'!$E$2=AB43),'2024DATA'!$M$26,"")</f>
        <v/>
      </c>
      <c r="AC67" s="520" t="str">
        <f>IF(AND(_A="A-321N",'2024'!$E$4="FO",'2024'!$E$2=AC43),'2024DATA'!$N$26,"")</f>
        <v/>
      </c>
      <c r="AD67" s="940"/>
      <c r="AE67" s="13" t="s">
        <v>62</v>
      </c>
      <c r="AF67" s="518" t="str">
        <f>IF(AND(_B="A-321N",'2024'!$E$4="FO",'2024'!$E$2=AF43),'2024DATA'!$C$26,"")</f>
        <v/>
      </c>
      <c r="AG67" s="518" t="str">
        <f>IF(AND(_B="A-321N",'2024'!$E$4="FO",'2024'!$E$2=AG43),'2024DATA'!$D$26,"")</f>
        <v/>
      </c>
      <c r="AH67" s="518" t="str">
        <f>IF(AND(_B="A-321N",'2024'!$E$4="FO",'2024'!$E$2=AH43),'2024DATA'!$E$26,"")</f>
        <v/>
      </c>
      <c r="AI67" s="518" t="str">
        <f>IF(AND(_B="A-321N",'2024'!$E$4="FO",'2024'!$E$2=AI43),'2024DATA'!$F$26,"")</f>
        <v/>
      </c>
      <c r="AJ67" s="518" t="str">
        <f>IF(AND(_B="A-321N",'2024'!$E$4="FO",'2024'!$E$2=AJ43),'2024DATA'!$G$26,"")</f>
        <v/>
      </c>
      <c r="AK67" s="518" t="str">
        <f>IF(AND(_B="A-321N",'2024'!$E$4="FO",'2024'!$E$2=AK43),'2024DATA'!$H$26,"")</f>
        <v/>
      </c>
      <c r="AL67" s="518" t="str">
        <f>IF(AND(_B="A-321N",'2024'!$E$4="FO",'2024'!$E$2=AL43),'2024DATA'!$I$26,"")</f>
        <v/>
      </c>
      <c r="AM67" s="518" t="str">
        <f>IF(AND(_B="A-321N",'2024'!$E$4="FO",'2024'!$E$2=AM43),'2024DATA'!$J$26,"")</f>
        <v/>
      </c>
      <c r="AN67" s="518" t="str">
        <f>IF(AND(_B="A-321N",'2024'!$E$4="FO",'2024'!$E$2=AN43),'2024DATA'!$K$26,"")</f>
        <v/>
      </c>
      <c r="AO67" s="518" t="str">
        <f>IF(AND(_B="A-321N",'2024'!$E$4="FO",'2024'!$E$2=AO43),'2024DATA'!$L$26,"")</f>
        <v/>
      </c>
      <c r="AP67" s="518" t="str">
        <f>IF(AND(_B="A-321N",'2024'!$E$4="FO",'2024'!$E$2=AP43),'2024DATA'!$M$26,"")</f>
        <v/>
      </c>
      <c r="AQ67" s="520" t="str">
        <f>IF(AND(_B="A-321N",'2024'!$E$4="FO",'2024'!$E$2=AQ43),'2024DATA'!$N$26,"")</f>
        <v/>
      </c>
      <c r="AR67" s="940"/>
      <c r="AS67" s="13" t="s">
        <v>62</v>
      </c>
      <c r="AT67" s="518" t="str">
        <f>IF(AND(_C="A-321N",'2024'!$E$4="FO",'2024'!$E$2=AT43),'2024DATA'!$C$26,"")</f>
        <v/>
      </c>
      <c r="AU67" s="518" t="str">
        <f>IF(AND(_C="A-321N",'2024'!$E$4="FO",'2024'!$E$2=AU43),'2024DATA'!$D$26,"")</f>
        <v/>
      </c>
      <c r="AV67" s="518" t="str">
        <f>IF(AND(_C="A-321N",'2024'!$E$4="FO",'2024'!$E$2=AV43),'2024DATA'!$E$26,"")</f>
        <v/>
      </c>
      <c r="AW67" s="518" t="str">
        <f>IF(AND(_C="A-321N",'2024'!$E$4="FO",'2024'!$E$2=AW43),'2024DATA'!$F$26,"")</f>
        <v/>
      </c>
      <c r="AX67" s="518" t="str">
        <f>IF(AND(_C="A-321N",'2024'!$E$4="FO",'2024'!$E$2=AX43),'2024DATA'!$G$26,"")</f>
        <v/>
      </c>
      <c r="AY67" s="518" t="str">
        <f>IF(AND(_C="A-321N",'2024'!$E$4="FO",'2024'!$E$2=AY43),'2024DATA'!$H$26,"")</f>
        <v/>
      </c>
      <c r="AZ67" s="518" t="str">
        <f>IF(AND(_C="A-321N",'2024'!$E$4="FO",'2024'!$E$2=AZ43),'2024DATA'!$I$26,"")</f>
        <v/>
      </c>
      <c r="BA67" s="518" t="str">
        <f>IF(AND(_C="A-321N",'2024'!$E$4="FO",'2024'!$E$2=BA43),'2024DATA'!$J$26,"")</f>
        <v/>
      </c>
      <c r="BB67" s="518" t="str">
        <f>IF(AND(_C="A-321N",'2024'!$E$4="FO",'2024'!$E$2=BB43),'2024DATA'!$K$26,"")</f>
        <v/>
      </c>
      <c r="BC67" s="518" t="str">
        <f>IF(AND(_C="A-321N",'2024'!$E$4="FO",'2024'!$E$2=BC43),'2024DATA'!$L$26,"")</f>
        <v/>
      </c>
      <c r="BD67" s="518" t="str">
        <f>IF(AND(_C="A-321N",'2024'!$E$4="FO",'2024'!$E$2=BD43),'2024DATA'!$M$26,"")</f>
        <v/>
      </c>
      <c r="BE67" s="520" t="str">
        <f>IF(AND(_C="A-321N",'2024'!$E$4="FO",'2024'!$E$2=BE43),'2024DATA'!$N$26,"")</f>
        <v/>
      </c>
      <c r="BF67" s="940"/>
      <c r="BG67" s="13" t="s">
        <v>62</v>
      </c>
      <c r="BH67" s="518" t="str">
        <f>IF(AND(_D="A-321N",'2024'!$E$4="FO",'2024'!$E$2=BH43),'2024DATA'!$C$26,"")</f>
        <v/>
      </c>
      <c r="BI67" s="518" t="str">
        <f>IF(AND(_D="A-321N",'2024'!$E$4="FO",'2024'!$E$2=BI43),'2024DATA'!$D$26,"")</f>
        <v/>
      </c>
      <c r="BJ67" s="518" t="str">
        <f>IF(AND(_D="A-321N",'2024'!$E$4="FO",'2024'!$E$2=BJ43),'2024DATA'!$E$26,"")</f>
        <v/>
      </c>
      <c r="BK67" s="518" t="str">
        <f>IF(AND(_D="A-321N",'2024'!$E$4="FO",'2024'!$E$2=BK43),'2024DATA'!$F$26,"")</f>
        <v/>
      </c>
      <c r="BL67" s="518" t="str">
        <f>IF(AND(_D="A-321N",'2024'!$E$4="FO",'2024'!$E$2=BL43),'2024DATA'!$G$26,"")</f>
        <v/>
      </c>
      <c r="BM67" s="518" t="str">
        <f>IF(AND(_D="A-321N",'2024'!$E$4="FO",'2024'!$E$2=BM43),'2024DATA'!$H$26,"")</f>
        <v/>
      </c>
      <c r="BN67" s="518" t="str">
        <f>IF(AND(_D="A-321N",'2024'!$E$4="FO",'2024'!$E$2=BN43),'2024DATA'!$I$26,"")</f>
        <v/>
      </c>
      <c r="BO67" s="518" t="str">
        <f>IF(AND(_D="A-321N",'2024'!$E$4="FO",'2024'!$E$2=BO43),'2024DATA'!$J$26,"")</f>
        <v/>
      </c>
      <c r="BP67" s="518" t="str">
        <f>IF(AND(_D="A-321N",'2024'!$E$4="FO",'2024'!$E$2=BP43),'2024DATA'!$K$26,"")</f>
        <v/>
      </c>
      <c r="BQ67" s="518" t="str">
        <f>IF(AND(_D="A-321N",'2024'!$E$4="FO",'2024'!$E$2=BQ43),'2024DATA'!$L$26,"")</f>
        <v/>
      </c>
      <c r="BR67" s="518" t="str">
        <f>IF(AND(_D="A-321N",'2024'!$E$4="FO",'2024'!$E$2=BR43),'2024DATA'!$M$26,"")</f>
        <v/>
      </c>
      <c r="BS67" s="520" t="str">
        <f>IF(AND(_D="A-321N",'2024'!$E$4="FO",'2024'!$E$2=BS43),'2024DATA'!$N$26,"")</f>
        <v/>
      </c>
      <c r="BT67" s="940"/>
      <c r="BU67" s="13" t="s">
        <v>62</v>
      </c>
      <c r="BV67" s="518" t="str">
        <f>IF(AND(_E="A-321N",'2024'!$E$4="FO",'2024'!$E$2=BV43),'2024DATA'!$C$26,"")</f>
        <v/>
      </c>
      <c r="BW67" s="518" t="str">
        <f>IF(AND(_E="A-321N",'2024'!$E$4="FO",'2024'!$E$2=BW43),'2024DATA'!$D$26,"")</f>
        <v/>
      </c>
      <c r="BX67" s="518" t="str">
        <f>IF(AND(_E="A-321N",'2024'!$E$4="FO",'2024'!$E$2=BX43),'2024DATA'!$E$26,"")</f>
        <v/>
      </c>
      <c r="BY67" s="518" t="str">
        <f>IF(AND(_E="A-321N",'2024'!$E$4="FO",'2024'!$E$2=BY43),'2024DATA'!$F$26,"")</f>
        <v/>
      </c>
      <c r="BZ67" s="518" t="str">
        <f>IF(AND(_E="A-321N",'2024'!$E$4="FO",'2024'!$E$2=BZ43),'2024DATA'!$G$26,"")</f>
        <v/>
      </c>
      <c r="CA67" s="518" t="str">
        <f>IF(AND(_E="A-321N",'2024'!$E$4="FO",'2024'!$E$2=CA43),'2024DATA'!$H$26,"")</f>
        <v/>
      </c>
      <c r="CB67" s="518" t="str">
        <f>IF(AND(_E="A-321N",'2024'!$E$4="FO",'2024'!$E$2=CB43),'2024DATA'!$I$26,"")</f>
        <v/>
      </c>
      <c r="CC67" s="518" t="str">
        <f>IF(AND(_E="A-321N",'2024'!$E$4="FO",'2024'!$E$2=CC43),'2024DATA'!$J$26,"")</f>
        <v/>
      </c>
      <c r="CD67" s="518" t="str">
        <f>IF(AND(_E="A-321N",'2024'!$E$4="FO",'2024'!$E$2=CD43),'2024DATA'!$K$26,"")</f>
        <v/>
      </c>
      <c r="CE67" s="518" t="str">
        <f>IF(AND(_E="A-321N",'2024'!$E$4="FO",'2024'!$E$2=CE43),'2024DATA'!$L$26,"")</f>
        <v/>
      </c>
      <c r="CF67" s="518" t="str">
        <f>IF(AND(_E="A-321N",'2024'!$E$4="FO",'2024'!$E$2=CF43),'2024DATA'!$M$26,"")</f>
        <v/>
      </c>
      <c r="CG67" s="520" t="str">
        <f>IF(AND(_E="A-321N",'2024'!$E$4="FO",'2024'!$E$2=CG43),'2024DATA'!$N$26,"")</f>
        <v/>
      </c>
      <c r="CH67" s="940"/>
      <c r="CI67" s="13" t="s">
        <v>62</v>
      </c>
      <c r="CJ67" s="518" t="str">
        <f>IF(AND(_F="A-321N",'2024'!$E$4="FO",'2024'!$E$2=CJ43),'2024DATA'!$C$26,"")</f>
        <v/>
      </c>
      <c r="CK67" s="518" t="str">
        <f>IF(AND(_F="A-321N",'2024'!$E$4="FO",'2024'!$E$2=CK43),'2024DATA'!$D$26,"")</f>
        <v/>
      </c>
      <c r="CL67" s="518" t="str">
        <f>IF(AND(_F="A-321N",'2024'!$E$4="FO",'2024'!$E$2=CL43),'2024DATA'!$E$26,"")</f>
        <v/>
      </c>
      <c r="CM67" s="518" t="str">
        <f>IF(AND(_F="A-321N",'2024'!$E$4="FO",'2024'!$E$2=CM43),'2024DATA'!$F$26,"")</f>
        <v/>
      </c>
      <c r="CN67" s="518" t="str">
        <f>IF(AND(_F="A-321N",'2024'!$E$4="FO",'2024'!$E$2=CN43),'2024DATA'!$G$26,"")</f>
        <v/>
      </c>
      <c r="CO67" s="518" t="str">
        <f>IF(AND(_F="A-321N",'2024'!$E$4="FO",'2024'!$E$2=CO43),'2024DATA'!$H$26,"")</f>
        <v/>
      </c>
      <c r="CP67" s="518" t="str">
        <f>IF(AND(_F="A-321N",'2024'!$E$4="FO",'2024'!$E$2=CP43),'2024DATA'!$I$26,"")</f>
        <v/>
      </c>
      <c r="CQ67" s="518" t="str">
        <f>IF(AND(_F="A-321N",'2024'!$E$4="FO",'2024'!$E$2=CQ43),'2024DATA'!$J$26,"")</f>
        <v/>
      </c>
      <c r="CR67" s="518" t="str">
        <f>IF(AND(_F="A-321N",'2024'!$E$4="FO",'2024'!$E$2=CR43),'2024DATA'!$K$26,"")</f>
        <v/>
      </c>
      <c r="CS67" s="518" t="str">
        <f>IF(AND(_F="A-321N",'2024'!$E$4="FO",'2024'!$E$2=CS43),'2024DATA'!$L$26,"")</f>
        <v/>
      </c>
      <c r="CT67" s="518" t="str">
        <f>IF(AND(_F="A-321N",'2024'!$E$4="FO",'2024'!$E$2=CT43),'2024DATA'!$M$26,"")</f>
        <v/>
      </c>
      <c r="CU67" s="520" t="str">
        <f>IF(AND(_F="A-321N",'2024'!$E$4="FO",'2024'!$E$2=CU43),'2024DATA'!$N$26,"")</f>
        <v/>
      </c>
    </row>
    <row r="68" spans="16:99" x14ac:dyDescent="0.25">
      <c r="P68" s="940" t="s">
        <v>48</v>
      </c>
      <c r="Q68" s="13" t="s">
        <v>61</v>
      </c>
      <c r="R68" s="518" t="str">
        <f>IF(AND(_A="A-321",'2024'!$E$4="CA",'2024'!$E$2=R43),'2024DATA'!$C$27,"")</f>
        <v/>
      </c>
      <c r="S68" s="518" t="str">
        <f>IF(AND(_A="A-321",'2024'!$E$4="CA",'2024'!$E$2=S43),'2024DATA'!$D$27,"")</f>
        <v/>
      </c>
      <c r="T68" s="518" t="str">
        <f>IF(AND(_A="A-321",'2024'!$E$4="CA",'2024'!$E$2=T43),'2024DATA'!$E$27,"")</f>
        <v/>
      </c>
      <c r="U68" s="518" t="str">
        <f>IF(AND(_A="A-321",'2024'!$E$4="CA",'2024'!$E$2=U43),'2024DATA'!$F$27,"")</f>
        <v/>
      </c>
      <c r="V68" s="518" t="str">
        <f>IF(AND(_A="A-321",'2024'!$E$4="CA",'2024'!$E$2=V43),'2024DATA'!$G$27,"")</f>
        <v/>
      </c>
      <c r="W68" s="518" t="str">
        <f>IF(AND(_A="A-321",'2024'!$E$4="CA",'2024'!$E$2=W43),'2024DATA'!$H$27,"")</f>
        <v/>
      </c>
      <c r="X68" s="518" t="str">
        <f>IF(AND(_A="A-321",'2024'!$E$4="CA",'2024'!$E$2=X43),'2024DATA'!$I$27,"")</f>
        <v/>
      </c>
      <c r="Y68" s="518" t="str">
        <f>IF(AND(_A="A-321",'2024'!$E$4="CA",'2024'!$E$2=Y43),'2024DATA'!$J$27,"")</f>
        <v/>
      </c>
      <c r="Z68" s="518" t="str">
        <f>IF(AND(_A="A-321",'2024'!$E$4="CA",'2024'!$E$2=Z43),'2024DATA'!$K$27,"")</f>
        <v/>
      </c>
      <c r="AA68" s="518" t="str">
        <f>IF(AND(_A="A-321",'2024'!$E$4="CA",'2024'!$E$2=AA43),'2024DATA'!$L$27,"")</f>
        <v/>
      </c>
      <c r="AB68" s="518" t="str">
        <f>IF(AND(_A="A-321",'2024'!$E$4="CA",'2024'!$E$2=AB43),'2024DATA'!$M$27,"")</f>
        <v/>
      </c>
      <c r="AC68" s="520" t="str">
        <f>IF(AND(_A="A-321",'2024'!$E$4="CA",'2024'!$E$2=AC43),'2024DATA'!$N$27,"")</f>
        <v/>
      </c>
      <c r="AD68" s="940" t="s">
        <v>48</v>
      </c>
      <c r="AE68" s="13" t="s">
        <v>61</v>
      </c>
      <c r="AF68" s="518" t="str">
        <f>IF(AND(_B="A-321",'2024'!$E$4="CA",'2024'!$E$2=AF43),'2024DATA'!$C$27,"")</f>
        <v/>
      </c>
      <c r="AG68" s="518" t="str">
        <f>IF(AND(_B="A-321",'2024'!$E$4="CA",'2024'!$E$2=AG43),'2024DATA'!$D$27,"")</f>
        <v/>
      </c>
      <c r="AH68" s="518" t="str">
        <f>IF(AND(_B="A-321",'2024'!$E$4="CA",'2024'!$E$2=AH43),'2024DATA'!$E$27,"")</f>
        <v/>
      </c>
      <c r="AI68" s="518" t="str">
        <f>IF(AND(_B="A-321",'2024'!$E$4="CA",'2024'!$E$2=AI43),'2024DATA'!$F$27,"")</f>
        <v/>
      </c>
      <c r="AJ68" s="518" t="str">
        <f>IF(AND(_B="A-321",'2024'!$E$4="CA",'2024'!$E$2=AJ43),'2024DATA'!$G$27,"")</f>
        <v/>
      </c>
      <c r="AK68" s="518" t="str">
        <f>IF(AND(_B="A-321",'2024'!$E$4="CA",'2024'!$E$2=AK43),'2024DATA'!$H$27,"")</f>
        <v/>
      </c>
      <c r="AL68" s="518" t="str">
        <f>IF(AND(_B="A-321",'2024'!$E$4="CA",'2024'!$E$2=AL43),'2024DATA'!$I$27,"")</f>
        <v/>
      </c>
      <c r="AM68" s="518" t="str">
        <f>IF(AND(_B="A-321",'2024'!$E$4="CA",'2024'!$E$2=AM43),'2024DATA'!$J$27,"")</f>
        <v/>
      </c>
      <c r="AN68" s="518" t="str">
        <f>IF(AND(_B="A-321",'2024'!$E$4="CA",'2024'!$E$2=AN43),'2024DATA'!$K$27,"")</f>
        <v/>
      </c>
      <c r="AO68" s="518" t="str">
        <f>IF(AND(_B="A-321",'2024'!$E$4="CA",'2024'!$E$2=AO43),'2024DATA'!$L$27,"")</f>
        <v/>
      </c>
      <c r="AP68" s="518" t="str">
        <f>IF(AND(_B="A-321",'2024'!$E$4="CA",'2024'!$E$2=AP43),'2024DATA'!$M$27,"")</f>
        <v/>
      </c>
      <c r="AQ68" s="520" t="str">
        <f>IF(AND(_B="A-321",'2024'!$E$4="CA",'2024'!$E$2=AQ43),'2024DATA'!$N$27,"")</f>
        <v/>
      </c>
      <c r="AR68" s="940" t="s">
        <v>48</v>
      </c>
      <c r="AS68" s="13" t="s">
        <v>61</v>
      </c>
      <c r="AT68" s="518" t="str">
        <f>IF(AND(_C="A-321",'2024'!$E$4="CA",'2024'!$E$2=AT43),'2024DATA'!$C$27,"")</f>
        <v/>
      </c>
      <c r="AU68" s="518" t="str">
        <f>IF(AND(_C="A-321",'2024'!$E$4="CA",'2024'!$E$2=AU43),'2024DATA'!$D$27,"")</f>
        <v/>
      </c>
      <c r="AV68" s="518" t="str">
        <f>IF(AND(_C="A-321",'2024'!$E$4="CA",'2024'!$E$2=AV43),'2024DATA'!$E$27,"")</f>
        <v/>
      </c>
      <c r="AW68" s="518" t="str">
        <f>IF(AND(_C="A-321",'2024'!$E$4="CA",'2024'!$E$2=AW43),'2024DATA'!$F$27,"")</f>
        <v/>
      </c>
      <c r="AX68" s="518" t="str">
        <f>IF(AND(_C="A-321",'2024'!$E$4="CA",'2024'!$E$2=AX43),'2024DATA'!$G$27,"")</f>
        <v/>
      </c>
      <c r="AY68" s="518" t="str">
        <f>IF(AND(_C="A-321",'2024'!$E$4="CA",'2024'!$E$2=AY43),'2024DATA'!$H$27,"")</f>
        <v/>
      </c>
      <c r="AZ68" s="518" t="str">
        <f>IF(AND(_C="A-321",'2024'!$E$4="CA",'2024'!$E$2=AZ43),'2024DATA'!$I$27,"")</f>
        <v/>
      </c>
      <c r="BA68" s="518" t="str">
        <f>IF(AND(_C="A-321",'2024'!$E$4="CA",'2024'!$E$2=BA43),'2024DATA'!$J$27,"")</f>
        <v/>
      </c>
      <c r="BB68" s="518" t="str">
        <f>IF(AND(_C="A-321",'2024'!$E$4="CA",'2024'!$E$2=BB43),'2024DATA'!$K$27,"")</f>
        <v/>
      </c>
      <c r="BC68" s="518" t="str">
        <f>IF(AND(_C="A-321",'2024'!$E$4="CA",'2024'!$E$2=BC43),'2024DATA'!$L$27,"")</f>
        <v/>
      </c>
      <c r="BD68" s="518" t="str">
        <f>IF(AND(_C="A-321",'2024'!$E$4="CA",'2024'!$E$2=BD43),'2024DATA'!$M$27,"")</f>
        <v/>
      </c>
      <c r="BE68" s="520" t="str">
        <f>IF(AND(_C="A-321",'2024'!$E$4="CA",'2024'!$E$2=BE43),'2024DATA'!$N$27,"")</f>
        <v/>
      </c>
      <c r="BF68" s="940" t="s">
        <v>48</v>
      </c>
      <c r="BG68" s="13" t="s">
        <v>61</v>
      </c>
      <c r="BH68" s="518" t="str">
        <f>IF(AND(_D="A-321",'2024'!$E$4="CA",'2024'!$E$2=BH43),'2024DATA'!$C$27,"")</f>
        <v/>
      </c>
      <c r="BI68" s="518" t="str">
        <f>IF(AND(_D="A-321",'2024'!$E$4="CA",'2024'!$E$2=BI43),'2024DATA'!$D$27,"")</f>
        <v/>
      </c>
      <c r="BJ68" s="518" t="str">
        <f>IF(AND(_D="A-321",'2024'!$E$4="CA",'2024'!$E$2=BJ43),'2024DATA'!$E$27,"")</f>
        <v/>
      </c>
      <c r="BK68" s="518" t="str">
        <f>IF(AND(_D="A-321",'2024'!$E$4="CA",'2024'!$E$2=BK43),'2024DATA'!$F$27,"")</f>
        <v/>
      </c>
      <c r="BL68" s="518" t="str">
        <f>IF(AND(_D="A-321",'2024'!$E$4="CA",'2024'!$E$2=BL43),'2024DATA'!$G$27,"")</f>
        <v/>
      </c>
      <c r="BM68" s="518" t="str">
        <f>IF(AND(_D="A-321",'2024'!$E$4="CA",'2024'!$E$2=BM43),'2024DATA'!$H$27,"")</f>
        <v/>
      </c>
      <c r="BN68" s="518" t="str">
        <f>IF(AND(_D="A-321",'2024'!$E$4="CA",'2024'!$E$2=BN43),'2024DATA'!$I$27,"")</f>
        <v/>
      </c>
      <c r="BO68" s="518" t="str">
        <f>IF(AND(_D="A-321",'2024'!$E$4="CA",'2024'!$E$2=BO43),'2024DATA'!$J$27,"")</f>
        <v/>
      </c>
      <c r="BP68" s="518" t="str">
        <f>IF(AND(_D="A-321",'2024'!$E$4="CA",'2024'!$E$2=BP43),'2024DATA'!$K$27,"")</f>
        <v/>
      </c>
      <c r="BQ68" s="518" t="str">
        <f>IF(AND(_D="A-321",'2024'!$E$4="CA",'2024'!$E$2=BQ43),'2024DATA'!$L$27,"")</f>
        <v/>
      </c>
      <c r="BR68" s="518" t="str">
        <f>IF(AND(_D="A-321",'2024'!$E$4="CA",'2024'!$E$2=BR43),'2024DATA'!$M$27,"")</f>
        <v/>
      </c>
      <c r="BS68" s="520" t="str">
        <f>IF(AND(_D="A-321",'2024'!$E$4="CA",'2024'!$E$2=BS43),'2024DATA'!$N$27,"")</f>
        <v/>
      </c>
      <c r="BT68" s="940" t="s">
        <v>48</v>
      </c>
      <c r="BU68" s="13" t="s">
        <v>61</v>
      </c>
      <c r="BV68" s="518" t="str">
        <f>IF(AND(_E="A-321",'2024'!$E$4="CA",'2024'!$E$2=BV43),'2024DATA'!$C$27,"")</f>
        <v/>
      </c>
      <c r="BW68" s="518" t="str">
        <f>IF(AND(_E="A-321",'2024'!$E$4="CA",'2024'!$E$2=BW43),'2024DATA'!$D$27,"")</f>
        <v/>
      </c>
      <c r="BX68" s="518" t="str">
        <f>IF(AND(_E="A-321",'2024'!$E$4="CA",'2024'!$E$2=BX43),'2024DATA'!$E$27,"")</f>
        <v/>
      </c>
      <c r="BY68" s="518" t="str">
        <f>IF(AND(_E="A-321",'2024'!$E$4="CA",'2024'!$E$2=BY43),'2024DATA'!$F$27,"")</f>
        <v/>
      </c>
      <c r="BZ68" s="518" t="str">
        <f>IF(AND(_E="A-321",'2024'!$E$4="CA",'2024'!$E$2=BZ43),'2024DATA'!$G$27,"")</f>
        <v/>
      </c>
      <c r="CA68" s="518" t="str">
        <f>IF(AND(_E="A-321",'2024'!$E$4="CA",'2024'!$E$2=CA43),'2024DATA'!$H$27,"")</f>
        <v/>
      </c>
      <c r="CB68" s="518" t="str">
        <f>IF(AND(_E="A-321",'2024'!$E$4="CA",'2024'!$E$2=CB43),'2024DATA'!$I$27,"")</f>
        <v/>
      </c>
      <c r="CC68" s="518" t="str">
        <f>IF(AND(_E="A-321",'2024'!$E$4="CA",'2024'!$E$2=CC43),'2024DATA'!$J$27,"")</f>
        <v/>
      </c>
      <c r="CD68" s="518" t="str">
        <f>IF(AND(_E="A-321",'2024'!$E$4="CA",'2024'!$E$2=CD43),'2024DATA'!$K$27,"")</f>
        <v/>
      </c>
      <c r="CE68" s="518" t="str">
        <f>IF(AND(_E="A-321",'2024'!$E$4="CA",'2024'!$E$2=CE43),'2024DATA'!$L$27,"")</f>
        <v/>
      </c>
      <c r="CF68" s="518" t="str">
        <f>IF(AND(_E="A-321",'2024'!$E$4="CA",'2024'!$E$2=CF43),'2024DATA'!$M$27,"")</f>
        <v/>
      </c>
      <c r="CG68" s="520" t="str">
        <f>IF(AND(_E="A-321",'2024'!$E$4="CA",'2024'!$E$2=CG43),'2024DATA'!$N$27,"")</f>
        <v/>
      </c>
      <c r="CH68" s="940" t="s">
        <v>48</v>
      </c>
      <c r="CI68" s="13" t="s">
        <v>61</v>
      </c>
      <c r="CJ68" s="518" t="str">
        <f>IF(AND(_F="A-321",'2024'!$E$4="CA",'2024'!$E$2=CJ43),'2024DATA'!$C$27,"")</f>
        <v/>
      </c>
      <c r="CK68" s="518" t="str">
        <f>IF(AND(_F="A-321",'2024'!$E$4="CA",'2024'!$E$2=CK43),'2024DATA'!$D$27,"")</f>
        <v/>
      </c>
      <c r="CL68" s="518" t="str">
        <f>IF(AND(_F="A-321",'2024'!$E$4="CA",'2024'!$E$2=CL43),'2024DATA'!$E$27,"")</f>
        <v/>
      </c>
      <c r="CM68" s="518" t="str">
        <f>IF(AND(_F="A-321",'2024'!$E$4="CA",'2024'!$E$2=CM43),'2024DATA'!$F$27,"")</f>
        <v/>
      </c>
      <c r="CN68" s="518" t="str">
        <f>IF(AND(_F="A-321",'2024'!$E$4="CA",'2024'!$E$2=CN43),'2024DATA'!$G$27,"")</f>
        <v/>
      </c>
      <c r="CO68" s="518" t="str">
        <f>IF(AND(_F="A-321",'2024'!$E$4="CA",'2024'!$E$2=CO43),'2024DATA'!$H$27,"")</f>
        <v/>
      </c>
      <c r="CP68" s="518" t="str">
        <f>IF(AND(_F="A-321",'2024'!$E$4="CA",'2024'!$E$2=CP43),'2024DATA'!$I$27,"")</f>
        <v/>
      </c>
      <c r="CQ68" s="518" t="str">
        <f>IF(AND(_F="A-321",'2024'!$E$4="CA",'2024'!$E$2=CQ43),'2024DATA'!$J$27,"")</f>
        <v/>
      </c>
      <c r="CR68" s="518" t="str">
        <f>IF(AND(_F="A-321",'2024'!$E$4="CA",'2024'!$E$2=CR43),'2024DATA'!$K$27,"")</f>
        <v/>
      </c>
      <c r="CS68" s="518" t="str">
        <f>IF(AND(_F="A-321",'2024'!$E$4="CA",'2024'!$E$2=CS43),'2024DATA'!$L$27,"")</f>
        <v/>
      </c>
      <c r="CT68" s="518" t="str">
        <f>IF(AND(_F="A-321",'2024'!$E$4="CA",'2024'!$E$2=CT43),'2024DATA'!$M$27,"")</f>
        <v/>
      </c>
      <c r="CU68" s="520" t="str">
        <f>IF(AND(_F="A-321",'2024'!$E$4="CA",'2024'!$E$2=CU43),'2024DATA'!$N$27,"")</f>
        <v/>
      </c>
    </row>
    <row r="69" spans="16:99" x14ac:dyDescent="0.25">
      <c r="P69" s="940"/>
      <c r="Q69" s="13" t="s">
        <v>62</v>
      </c>
      <c r="R69" s="518" t="str">
        <f>IF(AND(_A="A-321",'2024'!$E$4="FO",'2024'!$E$2=R43),'2024DATA'!$C$28,"")</f>
        <v/>
      </c>
      <c r="S69" s="518" t="str">
        <f>IF(AND(_A="A-321",'2024'!$E$4="FO",'2024'!$E$2=S43),'2024DATA'!$D$28,"")</f>
        <v/>
      </c>
      <c r="T69" s="518" t="str">
        <f>IF(AND(_A="A-321",'2024'!$E$4="FO",'2024'!$E$2=T43),'2024DATA'!$E$28,"")</f>
        <v/>
      </c>
      <c r="U69" s="518" t="str">
        <f>IF(AND(_A="A-321",'2024'!$E$4="FO",'2024'!$E$2=U43),'2024DATA'!$F$28,"")</f>
        <v/>
      </c>
      <c r="V69" s="518" t="str">
        <f>IF(AND(_A="A-321",'2024'!$E$4="FO",'2024'!$E$2=V43),'2024DATA'!$G$28,"")</f>
        <v/>
      </c>
      <c r="W69" s="518" t="str">
        <f>IF(AND(_A="A-321",'2024'!$E$4="FO",'2024'!$E$2=W43),'2024DATA'!$H$28,"")</f>
        <v/>
      </c>
      <c r="X69" s="518" t="str">
        <f>IF(AND(_A="A-321",'2024'!$E$4="FO",'2024'!$E$2=X43),'2024DATA'!$I$28,"")</f>
        <v/>
      </c>
      <c r="Y69" s="518" t="str">
        <f>IF(AND(_A="A-321",'2024'!$E$4="FO",'2024'!$E$2=Y43),'2024DATA'!$J$28,"")</f>
        <v/>
      </c>
      <c r="Z69" s="518" t="str">
        <f>IF(AND(_A="A-321",'2024'!$E$4="FO",'2024'!$E$2=Z43),'2024DATA'!$K$28,"")</f>
        <v/>
      </c>
      <c r="AA69" s="518" t="str">
        <f>IF(AND(_A="A-321",'2024'!$E$4="FO",'2024'!$E$2=AA43),'2024DATA'!$L$28,"")</f>
        <v/>
      </c>
      <c r="AB69" s="518" t="str">
        <f>IF(AND(_A="A-321",'2024'!$E$4="FO",'2024'!$E$2=AB43),'2024DATA'!$M$28,"")</f>
        <v/>
      </c>
      <c r="AC69" s="520" t="str">
        <f>IF(AND(_A="A-321",'2024'!$E$4="FO",'2024'!$E$2=AC43),'2024DATA'!$N$28,"")</f>
        <v/>
      </c>
      <c r="AD69" s="940"/>
      <c r="AE69" s="13" t="s">
        <v>62</v>
      </c>
      <c r="AF69" s="518" t="str">
        <f>IF(AND(_B="A-321",'2024'!$E$4="FO",'2024'!$E$2=AF43),'2024DATA'!$C$28,"")</f>
        <v/>
      </c>
      <c r="AG69" s="518" t="str">
        <f>IF(AND(_B="A-321",'2024'!$E$4="FO",'2024'!$E$2=AG43),'2024DATA'!$D$28,"")</f>
        <v/>
      </c>
      <c r="AH69" s="518" t="str">
        <f>IF(AND(_B="A-321",'2024'!$E$4="FO",'2024'!$E$2=AH43),'2024DATA'!$E$28,"")</f>
        <v/>
      </c>
      <c r="AI69" s="518" t="str">
        <f>IF(AND(_B="A-321",'2024'!$E$4="FO",'2024'!$E$2=AI43),'2024DATA'!$F$28,"")</f>
        <v/>
      </c>
      <c r="AJ69" s="518" t="str">
        <f>IF(AND(_B="A-321",'2024'!$E$4="FO",'2024'!$E$2=AJ43),'2024DATA'!$G$28,"")</f>
        <v/>
      </c>
      <c r="AK69" s="518" t="str">
        <f>IF(AND(_B="A-321",'2024'!$E$4="FO",'2024'!$E$2=AK43),'2024DATA'!$H$28,"")</f>
        <v/>
      </c>
      <c r="AL69" s="518" t="str">
        <f>IF(AND(_B="A-321",'2024'!$E$4="FO",'2024'!$E$2=AL43),'2024DATA'!$I$28,"")</f>
        <v/>
      </c>
      <c r="AM69" s="518" t="str">
        <f>IF(AND(_B="A-321",'2024'!$E$4="FO",'2024'!$E$2=AM43),'2024DATA'!$J$28,"")</f>
        <v/>
      </c>
      <c r="AN69" s="518" t="str">
        <f>IF(AND(_B="A-321",'2024'!$E$4="FO",'2024'!$E$2=AN43),'2024DATA'!$K$28,"")</f>
        <v/>
      </c>
      <c r="AO69" s="518" t="str">
        <f>IF(AND(_B="A-321",'2024'!$E$4="FO",'2024'!$E$2=AO43),'2024DATA'!$L$28,"")</f>
        <v/>
      </c>
      <c r="AP69" s="518" t="str">
        <f>IF(AND(_B="A-321",'2024'!$E$4="FO",'2024'!$E$2=AP43),'2024DATA'!$M$28,"")</f>
        <v/>
      </c>
      <c r="AQ69" s="520" t="str">
        <f>IF(AND(_B="A-321",'2024'!$E$4="FO",'2024'!$E$2=AQ43),'2024DATA'!$N$28,"")</f>
        <v/>
      </c>
      <c r="AR69" s="940"/>
      <c r="AS69" s="13" t="s">
        <v>62</v>
      </c>
      <c r="AT69" s="518" t="str">
        <f>IF(AND(_C="A-321",'2024'!$E$4="FO",'2024'!$E$2=AT43),'2024DATA'!$C$28,"")</f>
        <v/>
      </c>
      <c r="AU69" s="518" t="str">
        <f>IF(AND(_C="A-321",'2024'!$E$4="FO",'2024'!$E$2=AU43),'2024DATA'!$D$28,"")</f>
        <v/>
      </c>
      <c r="AV69" s="518" t="str">
        <f>IF(AND(_C="A-321",'2024'!$E$4="FO",'2024'!$E$2=AV43),'2024DATA'!$E$28,"")</f>
        <v/>
      </c>
      <c r="AW69" s="518" t="str">
        <f>IF(AND(_C="A-321",'2024'!$E$4="FO",'2024'!$E$2=AW43),'2024DATA'!$F$28,"")</f>
        <v/>
      </c>
      <c r="AX69" s="518" t="str">
        <f>IF(AND(_C="A-321",'2024'!$E$4="FO",'2024'!$E$2=AX43),'2024DATA'!$G$28,"")</f>
        <v/>
      </c>
      <c r="AY69" s="518" t="str">
        <f>IF(AND(_C="A-321",'2024'!$E$4="FO",'2024'!$E$2=AY43),'2024DATA'!$H$28,"")</f>
        <v/>
      </c>
      <c r="AZ69" s="518" t="str">
        <f>IF(AND(_C="A-321",'2024'!$E$4="FO",'2024'!$E$2=AZ43),'2024DATA'!$I$28,"")</f>
        <v/>
      </c>
      <c r="BA69" s="518" t="str">
        <f>IF(AND(_C="A-321",'2024'!$E$4="FO",'2024'!$E$2=BA43),'2024DATA'!$J$28,"")</f>
        <v/>
      </c>
      <c r="BB69" s="518" t="str">
        <f>IF(AND(_C="A-321",'2024'!$E$4="FO",'2024'!$E$2=BB43),'2024DATA'!$K$28,"")</f>
        <v/>
      </c>
      <c r="BC69" s="518" t="str">
        <f>IF(AND(_C="A-321",'2024'!$E$4="FO",'2024'!$E$2=BC43),'2024DATA'!$L$28,"")</f>
        <v/>
      </c>
      <c r="BD69" s="518" t="str">
        <f>IF(AND(_C="A-321",'2024'!$E$4="FO",'2024'!$E$2=BD43),'2024DATA'!$M$28,"")</f>
        <v/>
      </c>
      <c r="BE69" s="520" t="str">
        <f>IF(AND(_C="A-321",'2024'!$E$4="FO",'2024'!$E$2=BE43),'2024DATA'!$N$28,"")</f>
        <v/>
      </c>
      <c r="BF69" s="940"/>
      <c r="BG69" s="13" t="s">
        <v>62</v>
      </c>
      <c r="BH69" s="518" t="str">
        <f>IF(AND(_D="A-321",'2024'!$E$4="FO",'2024'!$E$2=BH43),'2024DATA'!$C$28,"")</f>
        <v/>
      </c>
      <c r="BI69" s="518" t="str">
        <f>IF(AND(_D="A-321",'2024'!$E$4="FO",'2024'!$E$2=BI43),'2024DATA'!$D$28,"")</f>
        <v/>
      </c>
      <c r="BJ69" s="518" t="str">
        <f>IF(AND(_D="A-321",'2024'!$E$4="FO",'2024'!$E$2=BJ43),'2024DATA'!$E$28,"")</f>
        <v/>
      </c>
      <c r="BK69" s="518" t="str">
        <f>IF(AND(_D="A-321",'2024'!$E$4="FO",'2024'!$E$2=BK43),'2024DATA'!$F$28,"")</f>
        <v/>
      </c>
      <c r="BL69" s="518" t="str">
        <f>IF(AND(_D="A-321",'2024'!$E$4="FO",'2024'!$E$2=BL43),'2024DATA'!$G$28,"")</f>
        <v/>
      </c>
      <c r="BM69" s="518" t="str">
        <f>IF(AND(_D="A-321",'2024'!$E$4="FO",'2024'!$E$2=BM43),'2024DATA'!$H$28,"")</f>
        <v/>
      </c>
      <c r="BN69" s="518" t="str">
        <f>IF(AND(_D="A-321",'2024'!$E$4="FO",'2024'!$E$2=BN43),'2024DATA'!$I$28,"")</f>
        <v/>
      </c>
      <c r="BO69" s="518" t="str">
        <f>IF(AND(_D="A-321",'2024'!$E$4="FO",'2024'!$E$2=BO43),'2024DATA'!$J$28,"")</f>
        <v/>
      </c>
      <c r="BP69" s="518" t="str">
        <f>IF(AND(_D="A-321",'2024'!$E$4="FO",'2024'!$E$2=BP43),'2024DATA'!$K$28,"")</f>
        <v/>
      </c>
      <c r="BQ69" s="518" t="str">
        <f>IF(AND(_D="A-321",'2024'!$E$4="FO",'2024'!$E$2=BQ43),'2024DATA'!$L$28,"")</f>
        <v/>
      </c>
      <c r="BR69" s="518" t="str">
        <f>IF(AND(_D="A-321",'2024'!$E$4="FO",'2024'!$E$2=BR43),'2024DATA'!$M$28,"")</f>
        <v/>
      </c>
      <c r="BS69" s="520" t="str">
        <f>IF(AND(_D="A-321",'2024'!$E$4="FO",'2024'!$E$2=BS43),'2024DATA'!$N$28,"")</f>
        <v/>
      </c>
      <c r="BT69" s="940"/>
      <c r="BU69" s="13" t="s">
        <v>62</v>
      </c>
      <c r="BV69" s="518" t="str">
        <f>IF(AND(_E="A-321",'2024'!$E$4="FO",'2024'!$E$2=BV43),'2024DATA'!$C$28,"")</f>
        <v/>
      </c>
      <c r="BW69" s="518" t="str">
        <f>IF(AND(_E="A-321",'2024'!$E$4="FO",'2024'!$E$2=BW43),'2024DATA'!$D$28,"")</f>
        <v/>
      </c>
      <c r="BX69" s="518" t="str">
        <f>IF(AND(_E="A-321",'2024'!$E$4="FO",'2024'!$E$2=BX43),'2024DATA'!$E$28,"")</f>
        <v/>
      </c>
      <c r="BY69" s="518" t="str">
        <f>IF(AND(_E="A-321",'2024'!$E$4="FO",'2024'!$E$2=BY43),'2024DATA'!$F$28,"")</f>
        <v/>
      </c>
      <c r="BZ69" s="518" t="str">
        <f>IF(AND(_E="A-321",'2024'!$E$4="FO",'2024'!$E$2=BZ43),'2024DATA'!$G$28,"")</f>
        <v/>
      </c>
      <c r="CA69" s="518" t="str">
        <f>IF(AND(_E="A-321",'2024'!$E$4="FO",'2024'!$E$2=CA43),'2024DATA'!$H$28,"")</f>
        <v/>
      </c>
      <c r="CB69" s="518" t="str">
        <f>IF(AND(_E="A-321",'2024'!$E$4="FO",'2024'!$E$2=CB43),'2024DATA'!$I$28,"")</f>
        <v/>
      </c>
      <c r="CC69" s="518" t="str">
        <f>IF(AND(_E="A-321",'2024'!$E$4="FO",'2024'!$E$2=CC43),'2024DATA'!$J$28,"")</f>
        <v/>
      </c>
      <c r="CD69" s="518" t="str">
        <f>IF(AND(_E="A-321",'2024'!$E$4="FO",'2024'!$E$2=CD43),'2024DATA'!$K$28,"")</f>
        <v/>
      </c>
      <c r="CE69" s="518" t="str">
        <f>IF(AND(_E="A-321",'2024'!$E$4="FO",'2024'!$E$2=CE43),'2024DATA'!$L$28,"")</f>
        <v/>
      </c>
      <c r="CF69" s="518" t="str">
        <f>IF(AND(_E="A-321",'2024'!$E$4="FO",'2024'!$E$2=CF43),'2024DATA'!$M$28,"")</f>
        <v/>
      </c>
      <c r="CG69" s="520" t="str">
        <f>IF(AND(_E="A-321",'2024'!$E$4="FO",'2024'!$E$2=CG43),'2024DATA'!$N$28,"")</f>
        <v/>
      </c>
      <c r="CH69" s="940"/>
      <c r="CI69" s="13" t="s">
        <v>62</v>
      </c>
      <c r="CJ69" s="518" t="str">
        <f>IF(AND(_F="A-321",'2024'!$E$4="FO",'2024'!$E$2=CJ43),'2024DATA'!$C$28,"")</f>
        <v/>
      </c>
      <c r="CK69" s="518" t="str">
        <f>IF(AND(_F="A-321",'2024'!$E$4="FO",'2024'!$E$2=CK43),'2024DATA'!$D$28,"")</f>
        <v/>
      </c>
      <c r="CL69" s="518" t="str">
        <f>IF(AND(_F="A-321",'2024'!$E$4="FO",'2024'!$E$2=CL43),'2024DATA'!$E$28,"")</f>
        <v/>
      </c>
      <c r="CM69" s="518" t="str">
        <f>IF(AND(_F="A-321",'2024'!$E$4="FO",'2024'!$E$2=CM43),'2024DATA'!$F$28,"")</f>
        <v/>
      </c>
      <c r="CN69" s="518" t="str">
        <f>IF(AND(_F="A-321",'2024'!$E$4="FO",'2024'!$E$2=CN43),'2024DATA'!$G$28,"")</f>
        <v/>
      </c>
      <c r="CO69" s="518" t="str">
        <f>IF(AND(_F="A-321",'2024'!$E$4="FO",'2024'!$E$2=CO43),'2024DATA'!$H$28,"")</f>
        <v/>
      </c>
      <c r="CP69" s="518" t="str">
        <f>IF(AND(_F="A-321",'2024'!$E$4="FO",'2024'!$E$2=CP43),'2024DATA'!$I$28,"")</f>
        <v/>
      </c>
      <c r="CQ69" s="518" t="str">
        <f>IF(AND(_F="A-321",'2024'!$E$4="FO",'2024'!$E$2=CQ43),'2024DATA'!$J$28,"")</f>
        <v/>
      </c>
      <c r="CR69" s="518" t="str">
        <f>IF(AND(_F="A-321",'2024'!$E$4="FO",'2024'!$E$2=CR43),'2024DATA'!$K$28,"")</f>
        <v/>
      </c>
      <c r="CS69" s="518" t="str">
        <f>IF(AND(_F="A-321",'2024'!$E$4="FO",'2024'!$E$2=CS43),'2024DATA'!$L$28,"")</f>
        <v/>
      </c>
      <c r="CT69" s="518" t="str">
        <f>IF(AND(_F="A-321",'2024'!$E$4="FO",'2024'!$E$2=CT43),'2024DATA'!$M$28,"")</f>
        <v/>
      </c>
      <c r="CU69" s="520" t="str">
        <f>IF(AND(_F="A-321",'2024'!$E$4="FO",'2024'!$E$2=CU43),'2024DATA'!$N$28,"")</f>
        <v/>
      </c>
    </row>
    <row r="70" spans="16:99" x14ac:dyDescent="0.25">
      <c r="P70" s="940" t="s">
        <v>70</v>
      </c>
      <c r="Q70" s="13" t="s">
        <v>61</v>
      </c>
      <c r="R70" s="518" t="str">
        <f>IF(AND(_A="A-320",'2024'!$E$4="CA",'2024'!$E$2=R43),'2024DATA'!$C$29,"")</f>
        <v/>
      </c>
      <c r="S70" s="518" t="str">
        <f>IF(AND(_A="A-320",'2024'!$E$4="CA",'2024'!$E$2=S43),'2024DATA'!$D$29,"")</f>
        <v/>
      </c>
      <c r="T70" s="518" t="str">
        <f>IF(AND(_A="A-320",'2024'!$E$4="CA",'2024'!$E$2=T43),'2024DATA'!$E$29,"")</f>
        <v/>
      </c>
      <c r="U70" s="518" t="str">
        <f>IF(AND(_A="A-320",'2024'!$E$4="CA",'2024'!$E$2=U43),'2024DATA'!$F$29,"")</f>
        <v/>
      </c>
      <c r="V70" s="518" t="str">
        <f>IF(AND(_A="A-320",'2024'!$E$4="CA",'2024'!$E$2=V43),'2024DATA'!$G$29,"")</f>
        <v/>
      </c>
      <c r="W70" s="518" t="str">
        <f>IF(AND(_A="A-320",'2024'!$E$4="CA",'2024'!$E$2=W43),'2024DATA'!$H$29,"")</f>
        <v/>
      </c>
      <c r="X70" s="518" t="str">
        <f>IF(AND(_A="A-320",'2024'!$E$4="CA",'2024'!$E$2=X43),'2024DATA'!$I$29,"")</f>
        <v/>
      </c>
      <c r="Y70" s="518" t="str">
        <f>IF(AND(_A="A-320",'2024'!$E$4="CA",'2024'!$E$2=Y43),'2024DATA'!$J$29,"")</f>
        <v/>
      </c>
      <c r="Z70" s="518" t="str">
        <f>IF(AND(_A="A-320",'2024'!$E$4="CA",'2024'!$E$2=Z43),'2024DATA'!$K$29,"")</f>
        <v/>
      </c>
      <c r="AA70" s="518" t="str">
        <f>IF(AND(_A="A-320",'2024'!$E$4="CA",'2024'!$E$2=AA43),'2024DATA'!$L$29,"")</f>
        <v/>
      </c>
      <c r="AB70" s="518" t="str">
        <f>IF(AND(_A="A-320",'2024'!$E$4="CA",'2024'!$E$2=AB43),'2024DATA'!$M$29,"")</f>
        <v/>
      </c>
      <c r="AC70" s="520" t="str">
        <f>IF(AND(_A="A-320",'2024'!$E$4="CA",'2024'!$E$2=AC43),'2024DATA'!$N$29,"")</f>
        <v/>
      </c>
      <c r="AD70" s="940" t="s">
        <v>70</v>
      </c>
      <c r="AE70" s="13" t="s">
        <v>61</v>
      </c>
      <c r="AF70" s="518" t="str">
        <f>IF(AND(_B="A-320",'2024'!$E$4="CA",'2024'!$E$2=AF43),'2024DATA'!$C$29,"")</f>
        <v/>
      </c>
      <c r="AG70" s="518" t="str">
        <f>IF(AND(_B="A-320",'2024'!$E$4="CA",'2024'!$E$2=AG43),'2024DATA'!$D$29,"")</f>
        <v/>
      </c>
      <c r="AH70" s="518" t="str">
        <f>IF(AND(_B="A-320",'2024'!$E$4="CA",'2024'!$E$2=AH43),'2024DATA'!$E$29,"")</f>
        <v/>
      </c>
      <c r="AI70" s="518" t="str">
        <f>IF(AND(_B="A-320",'2024'!$E$4="CA",'2024'!$E$2=AI43),'2024DATA'!$F$29,"")</f>
        <v/>
      </c>
      <c r="AJ70" s="518" t="str">
        <f>IF(AND(_B="A-320",'2024'!$E$4="CA",'2024'!$E$2=AJ43),'2024DATA'!$G$29,"")</f>
        <v/>
      </c>
      <c r="AK70" s="518" t="str">
        <f>IF(AND(_B="A-320",'2024'!$E$4="CA",'2024'!$E$2=AK43),'2024DATA'!$H$29,"")</f>
        <v/>
      </c>
      <c r="AL70" s="518" t="str">
        <f>IF(AND(_B="A-320",'2024'!$E$4="CA",'2024'!$E$2=AL43),'2024DATA'!$I$29,"")</f>
        <v/>
      </c>
      <c r="AM70" s="518" t="str">
        <f>IF(AND(_B="A-320",'2024'!$E$4="CA",'2024'!$E$2=AM43),'2024DATA'!$J$29,"")</f>
        <v/>
      </c>
      <c r="AN70" s="518" t="str">
        <f>IF(AND(_B="A-320",'2024'!$E$4="CA",'2024'!$E$2=AN43),'2024DATA'!$K$29,"")</f>
        <v/>
      </c>
      <c r="AO70" s="518" t="str">
        <f>IF(AND(_B="A-320",'2024'!$E$4="CA",'2024'!$E$2=AO43),'2024DATA'!$L$29,"")</f>
        <v/>
      </c>
      <c r="AP70" s="518" t="str">
        <f>IF(AND(_B="A-320",'2024'!$E$4="CA",'2024'!$E$2=AP43),'2024DATA'!$M$29,"")</f>
        <v/>
      </c>
      <c r="AQ70" s="520" t="str">
        <f>IF(AND(_B="A-320",'2024'!$E$4="CA",'2024'!$E$2=AQ43),'2024DATA'!$N$29,"")</f>
        <v/>
      </c>
      <c r="AR70" s="940" t="s">
        <v>70</v>
      </c>
      <c r="AS70" s="13" t="s">
        <v>61</v>
      </c>
      <c r="AT70" s="518" t="str">
        <f>IF(AND(_C="A-320",'2024'!$E$4="CA",'2024'!$E$2=AT43),'2024DATA'!$C$29,"")</f>
        <v/>
      </c>
      <c r="AU70" s="518" t="str">
        <f>IF(AND(_C="A-320",'2024'!$E$4="CA",'2024'!$E$2=AU43),'2024DATA'!$D$29,"")</f>
        <v/>
      </c>
      <c r="AV70" s="518" t="str">
        <f>IF(AND(_C="A-320",'2024'!$E$4="CA",'2024'!$E$2=AV43),'2024DATA'!$E$29,"")</f>
        <v/>
      </c>
      <c r="AW70" s="518" t="str">
        <f>IF(AND(_C="A-320",'2024'!$E$4="CA",'2024'!$E$2=AW43),'2024DATA'!$F$29,"")</f>
        <v/>
      </c>
      <c r="AX70" s="518" t="str">
        <f>IF(AND(_C="A-320",'2024'!$E$4="CA",'2024'!$E$2=AX43),'2024DATA'!$G$29,"")</f>
        <v/>
      </c>
      <c r="AY70" s="518" t="str">
        <f>IF(AND(_C="A-320",'2024'!$E$4="CA",'2024'!$E$2=AY43),'2024DATA'!$H$29,"")</f>
        <v/>
      </c>
      <c r="AZ70" s="518" t="str">
        <f>IF(AND(_C="A-320",'2024'!$E$4="CA",'2024'!$E$2=AZ43),'2024DATA'!$I$29,"")</f>
        <v/>
      </c>
      <c r="BA70" s="518" t="str">
        <f>IF(AND(_C="A-320",'2024'!$E$4="CA",'2024'!$E$2=BA43),'2024DATA'!$J$29,"")</f>
        <v/>
      </c>
      <c r="BB70" s="518" t="str">
        <f>IF(AND(_C="A-320",'2024'!$E$4="CA",'2024'!$E$2=BB43),'2024DATA'!$K$29,"")</f>
        <v/>
      </c>
      <c r="BC70" s="518" t="str">
        <f>IF(AND(_C="A-320",'2024'!$E$4="CA",'2024'!$E$2=BC43),'2024DATA'!$L$29,"")</f>
        <v/>
      </c>
      <c r="BD70" s="518" t="str">
        <f>IF(AND(_C="A-320",'2024'!$E$4="CA",'2024'!$E$2=BD43),'2024DATA'!$M$29,"")</f>
        <v/>
      </c>
      <c r="BE70" s="520" t="str">
        <f>IF(AND(_C="A-320",'2024'!$E$4="CA",'2024'!$E$2=BE43),'2024DATA'!$N$29,"")</f>
        <v/>
      </c>
      <c r="BF70" s="940" t="s">
        <v>70</v>
      </c>
      <c r="BG70" s="13" t="s">
        <v>61</v>
      </c>
      <c r="BH70" s="518" t="str">
        <f>IF(AND(_D="A-320",'2024'!$E$4="CA",'2024'!$E$2=BH43),'2024DATA'!$C$29,"")</f>
        <v/>
      </c>
      <c r="BI70" s="518" t="str">
        <f>IF(AND(_D="A-320",'2024'!$E$4="CA",'2024'!$E$2=BI43),'2024DATA'!$D$29,"")</f>
        <v/>
      </c>
      <c r="BJ70" s="518" t="str">
        <f>IF(AND(_D="A-320",'2024'!$E$4="CA",'2024'!$E$2=BJ43),'2024DATA'!$E$29,"")</f>
        <v/>
      </c>
      <c r="BK70" s="518" t="str">
        <f>IF(AND(_D="A-320",'2024'!$E$4="CA",'2024'!$E$2=BK43),'2024DATA'!$F$29,"")</f>
        <v/>
      </c>
      <c r="BL70" s="518" t="str">
        <f>IF(AND(_D="A-320",'2024'!$E$4="CA",'2024'!$E$2=BL43),'2024DATA'!$G$29,"")</f>
        <v/>
      </c>
      <c r="BM70" s="518" t="str">
        <f>IF(AND(_D="A-320",'2024'!$E$4="CA",'2024'!$E$2=BM43),'2024DATA'!$H$29,"")</f>
        <v/>
      </c>
      <c r="BN70" s="518" t="str">
        <f>IF(AND(_D="A-320",'2024'!$E$4="CA",'2024'!$E$2=BN43),'2024DATA'!$I$29,"")</f>
        <v/>
      </c>
      <c r="BO70" s="518" t="str">
        <f>IF(AND(_D="A-320",'2024'!$E$4="CA",'2024'!$E$2=BO43),'2024DATA'!$J$29,"")</f>
        <v/>
      </c>
      <c r="BP70" s="518" t="str">
        <f>IF(AND(_D="A-320",'2024'!$E$4="CA",'2024'!$E$2=BP43),'2024DATA'!$K$29,"")</f>
        <v/>
      </c>
      <c r="BQ70" s="518" t="str">
        <f>IF(AND(_D="A-320",'2024'!$E$4="CA",'2024'!$E$2=BQ43),'2024DATA'!$L$29,"")</f>
        <v/>
      </c>
      <c r="BR70" s="518" t="str">
        <f>IF(AND(_D="A-320",'2024'!$E$4="CA",'2024'!$E$2=BR43),'2024DATA'!$M$29,"")</f>
        <v/>
      </c>
      <c r="BS70" s="520" t="str">
        <f>IF(AND(_D="A-320",'2024'!$E$4="CA",'2024'!$E$2=BS43),'2024DATA'!$N$29,"")</f>
        <v/>
      </c>
      <c r="BT70" s="940" t="s">
        <v>70</v>
      </c>
      <c r="BU70" s="13" t="s">
        <v>61</v>
      </c>
      <c r="BV70" s="518" t="str">
        <f>IF(AND(_E="A-320",'2024'!$E$4="CA",'2024'!$E$2=BV43),'2024DATA'!$C$29,"")</f>
        <v/>
      </c>
      <c r="BW70" s="518" t="str">
        <f>IF(AND(_E="A-320",'2024'!$E$4="CA",'2024'!$E$2=BW43),'2024DATA'!$D$29,"")</f>
        <v/>
      </c>
      <c r="BX70" s="518" t="str">
        <f>IF(AND(_E="A-320",'2024'!$E$4="CA",'2024'!$E$2=BX43),'2024DATA'!$E$29,"")</f>
        <v/>
      </c>
      <c r="BY70" s="518" t="str">
        <f>IF(AND(_E="A-320",'2024'!$E$4="CA",'2024'!$E$2=BY43),'2024DATA'!$F$29,"")</f>
        <v/>
      </c>
      <c r="BZ70" s="518" t="str">
        <f>IF(AND(_E="A-320",'2024'!$E$4="CA",'2024'!$E$2=BZ43),'2024DATA'!$G$29,"")</f>
        <v/>
      </c>
      <c r="CA70" s="518" t="str">
        <f>IF(AND(_E="A-320",'2024'!$E$4="CA",'2024'!$E$2=CA43),'2024DATA'!$H$29,"")</f>
        <v/>
      </c>
      <c r="CB70" s="518" t="str">
        <f>IF(AND(_E="A-320",'2024'!$E$4="CA",'2024'!$E$2=CB43),'2024DATA'!$I$29,"")</f>
        <v/>
      </c>
      <c r="CC70" s="518" t="str">
        <f>IF(AND(_E="A-320",'2024'!$E$4="CA",'2024'!$E$2=CC43),'2024DATA'!$J$29,"")</f>
        <v/>
      </c>
      <c r="CD70" s="518" t="str">
        <f>IF(AND(_E="A-320",'2024'!$E$4="CA",'2024'!$E$2=CD43),'2024DATA'!$K$29,"")</f>
        <v/>
      </c>
      <c r="CE70" s="518" t="str">
        <f>IF(AND(_E="A-320",'2024'!$E$4="CA",'2024'!$E$2=CE43),'2024DATA'!$L$29,"")</f>
        <v/>
      </c>
      <c r="CF70" s="518" t="str">
        <f>IF(AND(_E="A-320",'2024'!$E$4="CA",'2024'!$E$2=CF43),'2024DATA'!$M$29,"")</f>
        <v/>
      </c>
      <c r="CG70" s="520" t="str">
        <f>IF(AND(_E="A-320",'2024'!$E$4="CA",'2024'!$E$2=CG43),'2024DATA'!$N$29,"")</f>
        <v/>
      </c>
      <c r="CH70" s="940" t="s">
        <v>70</v>
      </c>
      <c r="CI70" s="13" t="s">
        <v>61</v>
      </c>
      <c r="CJ70" s="518" t="str">
        <f>IF(AND(_F="A-320",'2024'!$E$4="CA",'2024'!$E$2=CJ43),'2024DATA'!$C$29,"")</f>
        <v/>
      </c>
      <c r="CK70" s="518" t="str">
        <f>IF(AND(_F="A-320",'2024'!$E$4="CA",'2024'!$E$2=CK43),'2024DATA'!$D$29,"")</f>
        <v/>
      </c>
      <c r="CL70" s="518" t="str">
        <f>IF(AND(_F="A-320",'2024'!$E$4="CA",'2024'!$E$2=CL43),'2024DATA'!$E$29,"")</f>
        <v/>
      </c>
      <c r="CM70" s="518" t="str">
        <f>IF(AND(_F="A-320",'2024'!$E$4="CA",'2024'!$E$2=CM43),'2024DATA'!$F$29,"")</f>
        <v/>
      </c>
      <c r="CN70" s="518" t="str">
        <f>IF(AND(_F="A-320",'2024'!$E$4="CA",'2024'!$E$2=CN43),'2024DATA'!$G$29,"")</f>
        <v/>
      </c>
      <c r="CO70" s="518" t="str">
        <f>IF(AND(_F="A-320",'2024'!$E$4="CA",'2024'!$E$2=CO43),'2024DATA'!$H$29,"")</f>
        <v/>
      </c>
      <c r="CP70" s="518" t="str">
        <f>IF(AND(_F="A-320",'2024'!$E$4="CA",'2024'!$E$2=CP43),'2024DATA'!$I$29,"")</f>
        <v/>
      </c>
      <c r="CQ70" s="518" t="str">
        <f>IF(AND(_F="A-320",'2024'!$E$4="CA",'2024'!$E$2=CQ43),'2024DATA'!$J$29,"")</f>
        <v/>
      </c>
      <c r="CR70" s="518" t="str">
        <f>IF(AND(_F="A-320",'2024'!$E$4="CA",'2024'!$E$2=CR43),'2024DATA'!$K$29,"")</f>
        <v/>
      </c>
      <c r="CS70" s="518" t="str">
        <f>IF(AND(_F="A-320",'2024'!$E$4="CA",'2024'!$E$2=CS43),'2024DATA'!$L$29,"")</f>
        <v/>
      </c>
      <c r="CT70" s="518" t="str">
        <f>IF(AND(_F="A-320",'2024'!$E$4="CA",'2024'!$E$2=CT43),'2024DATA'!$M$29,"")</f>
        <v/>
      </c>
      <c r="CU70" s="520" t="str">
        <f>IF(AND(_F="A-320",'2024'!$E$4="CA",'2024'!$E$2=CU43),'2024DATA'!$N$29,"")</f>
        <v/>
      </c>
    </row>
    <row r="71" spans="16:99" x14ac:dyDescent="0.25">
      <c r="P71" s="940"/>
      <c r="Q71" s="13" t="s">
        <v>62</v>
      </c>
      <c r="R71" s="518" t="str">
        <f>IF(AND(_A="A-320",'2024'!$E$4="FO",'2024'!$E$2=R43),'2024DATA'!$C$30,"")</f>
        <v/>
      </c>
      <c r="S71" s="518" t="str">
        <f>IF(AND(_A="A-320",'2024'!$E$4="FO",'2024'!$E$2=S43),'2024DATA'!$D$30,"")</f>
        <v/>
      </c>
      <c r="T71" s="518" t="str">
        <f>IF(AND(_A="A-320",'2024'!$E$4="FO",'2024'!$E$2=T43),'2024DATA'!$E$30,"")</f>
        <v/>
      </c>
      <c r="U71" s="518" t="str">
        <f>IF(AND(_A="A-320",'2024'!$E$4="FO",'2024'!$E$2=U43),'2024DATA'!$F$30,"")</f>
        <v/>
      </c>
      <c r="V71" s="518" t="str">
        <f>IF(AND(_A="A-320",'2024'!$E$4="FO",'2024'!$E$2=V43),'2024DATA'!$G$30,"")</f>
        <v/>
      </c>
      <c r="W71" s="518" t="str">
        <f>IF(AND(_A="A-320",'2024'!$E$4="FO",'2024'!$E$2=W43),'2024DATA'!$H$30,"")</f>
        <v/>
      </c>
      <c r="X71" s="518" t="str">
        <f>IF(AND(_A="A-320",'2024'!$E$4="FO",'2024'!$E$2=X43),'2024DATA'!$I$30,"")</f>
        <v/>
      </c>
      <c r="Y71" s="518" t="str">
        <f>IF(AND(_A="A-320",'2024'!$E$4="FO",'2024'!$E$2=Y43),'2024DATA'!$J$30,"")</f>
        <v/>
      </c>
      <c r="Z71" s="518" t="str">
        <f>IF(AND(_A="A-320",'2024'!$E$4="FO",'2024'!$E$2=Z43),'2024DATA'!$K$30,"")</f>
        <v/>
      </c>
      <c r="AA71" s="518" t="str">
        <f>IF(AND(_A="A-320",'2024'!$E$4="FO",'2024'!$E$2=AA43),'2024DATA'!$L$30,"")</f>
        <v/>
      </c>
      <c r="AB71" s="518" t="str">
        <f>IF(AND(_A="A-320",'2024'!$E$4="FO",'2024'!$E$2=AB43),'2024DATA'!$M$30,"")</f>
        <v/>
      </c>
      <c r="AC71" s="520" t="str">
        <f>IF(AND(_A="A-320",'2024'!$E$4="FO",'2024'!$E$2=AC43),'2024DATA'!$N$30,"")</f>
        <v/>
      </c>
      <c r="AD71" s="940"/>
      <c r="AE71" s="13" t="s">
        <v>62</v>
      </c>
      <c r="AF71" s="518" t="str">
        <f>IF(AND(_B="A-320",'2024'!$E$4="FO",'2024'!$E$2=AF43),'2024DATA'!$C$30,"")</f>
        <v/>
      </c>
      <c r="AG71" s="518" t="str">
        <f>IF(AND(_B="A-320",'2024'!$E$4="FO",'2024'!$E$2=AG43),'2024DATA'!$D$30,"")</f>
        <v/>
      </c>
      <c r="AH71" s="518" t="str">
        <f>IF(AND(_B="A-320",'2024'!$E$4="FO",'2024'!$E$2=AH43),'2024DATA'!$E$30,"")</f>
        <v/>
      </c>
      <c r="AI71" s="518" t="str">
        <f>IF(AND(_B="A-320",'2024'!$E$4="FO",'2024'!$E$2=AI43),'2024DATA'!$F$30,"")</f>
        <v/>
      </c>
      <c r="AJ71" s="518" t="str">
        <f>IF(AND(_B="A-320",'2024'!$E$4="FO",'2024'!$E$2=AJ43),'2024DATA'!$G$30,"")</f>
        <v/>
      </c>
      <c r="AK71" s="518" t="str">
        <f>IF(AND(_B="A-320",'2024'!$E$4="FO",'2024'!$E$2=AK43),'2024DATA'!$H$30,"")</f>
        <v/>
      </c>
      <c r="AL71" s="518" t="str">
        <f>IF(AND(_B="A-320",'2024'!$E$4="FO",'2024'!$E$2=AL43),'2024DATA'!$I$30,"")</f>
        <v/>
      </c>
      <c r="AM71" s="518" t="str">
        <f>IF(AND(_B="A-320",'2024'!$E$4="FO",'2024'!$E$2=AM43),'2024DATA'!$J$30,"")</f>
        <v/>
      </c>
      <c r="AN71" s="518" t="str">
        <f>IF(AND(_B="A-320",'2024'!$E$4="FO",'2024'!$E$2=AN43),'2024DATA'!$K$30,"")</f>
        <v/>
      </c>
      <c r="AO71" s="518" t="str">
        <f>IF(AND(_B="A-320",'2024'!$E$4="FO",'2024'!$E$2=AO43),'2024DATA'!$L$30,"")</f>
        <v/>
      </c>
      <c r="AP71" s="518" t="str">
        <f>IF(AND(_B="A-320",'2024'!$E$4="FO",'2024'!$E$2=AP43),'2024DATA'!$M$30,"")</f>
        <v/>
      </c>
      <c r="AQ71" s="520" t="str">
        <f>IF(AND(_B="A-320",'2024'!$E$4="FO",'2024'!$E$2=AQ43),'2024DATA'!$N$30,"")</f>
        <v/>
      </c>
      <c r="AR71" s="940"/>
      <c r="AS71" s="13" t="s">
        <v>62</v>
      </c>
      <c r="AT71" s="518" t="str">
        <f>IF(AND(_C="A-320",'2024'!$E$4="FO",'2024'!$E$2=AT43),'2024DATA'!$C$30,"")</f>
        <v/>
      </c>
      <c r="AU71" s="518" t="str">
        <f>IF(AND(_C="A-320",'2024'!$E$4="FO",'2024'!$E$2=AU43),'2024DATA'!$D$30,"")</f>
        <v/>
      </c>
      <c r="AV71" s="518" t="str">
        <f>IF(AND(_C="A-320",'2024'!$E$4="FO",'2024'!$E$2=AV43),'2024DATA'!$E$30,"")</f>
        <v/>
      </c>
      <c r="AW71" s="518" t="str">
        <f>IF(AND(_C="A-320",'2024'!$E$4="FO",'2024'!$E$2=AW43),'2024DATA'!$F$30,"")</f>
        <v/>
      </c>
      <c r="AX71" s="518" t="str">
        <f>IF(AND(_C="A-320",'2024'!$E$4="FO",'2024'!$E$2=AX43),'2024DATA'!$G$30,"")</f>
        <v/>
      </c>
      <c r="AY71" s="518" t="str">
        <f>IF(AND(_C="A-320",'2024'!$E$4="FO",'2024'!$E$2=AY43),'2024DATA'!$H$30,"")</f>
        <v/>
      </c>
      <c r="AZ71" s="518" t="str">
        <f>IF(AND(_C="A-320",'2024'!$E$4="FO",'2024'!$E$2=AZ43),'2024DATA'!$I$30,"")</f>
        <v/>
      </c>
      <c r="BA71" s="518" t="str">
        <f>IF(AND(_C="A-320",'2024'!$E$4="FO",'2024'!$E$2=BA43),'2024DATA'!$J$30,"")</f>
        <v/>
      </c>
      <c r="BB71" s="518" t="str">
        <f>IF(AND(_C="A-320",'2024'!$E$4="FO",'2024'!$E$2=BB43),'2024DATA'!$K$30,"")</f>
        <v/>
      </c>
      <c r="BC71" s="518" t="str">
        <f>IF(AND(_C="A-320",'2024'!$E$4="FO",'2024'!$E$2=BC43),'2024DATA'!$L$30,"")</f>
        <v/>
      </c>
      <c r="BD71" s="518" t="str">
        <f>IF(AND(_C="A-320",'2024'!$E$4="FO",'2024'!$E$2=BD43),'2024DATA'!$M$30,"")</f>
        <v/>
      </c>
      <c r="BE71" s="520" t="str">
        <f>IF(AND(_C="A-320",'2024'!$E$4="FO",'2024'!$E$2=BE43),'2024DATA'!$N$30,"")</f>
        <v/>
      </c>
      <c r="BF71" s="940"/>
      <c r="BG71" s="13" t="s">
        <v>62</v>
      </c>
      <c r="BH71" s="518" t="str">
        <f>IF(AND(_D="A-320",'2024'!$E$4="FO",'2024'!$E$2=BH43),'2024DATA'!$C$30,"")</f>
        <v/>
      </c>
      <c r="BI71" s="518" t="str">
        <f>IF(AND(_D="A-320",'2024'!$E$4="FO",'2024'!$E$2=BI43),'2024DATA'!$D$30,"")</f>
        <v/>
      </c>
      <c r="BJ71" s="518" t="str">
        <f>IF(AND(_D="A-320",'2024'!$E$4="FO",'2024'!$E$2=BJ43),'2024DATA'!$E$30,"")</f>
        <v/>
      </c>
      <c r="BK71" s="518" t="str">
        <f>IF(AND(_D="A-320",'2024'!$E$4="FO",'2024'!$E$2=BK43),'2024DATA'!$F$30,"")</f>
        <v/>
      </c>
      <c r="BL71" s="518" t="str">
        <f>IF(AND(_D="A-320",'2024'!$E$4="FO",'2024'!$E$2=BL43),'2024DATA'!$G$30,"")</f>
        <v/>
      </c>
      <c r="BM71" s="518" t="str">
        <f>IF(AND(_D="A-320",'2024'!$E$4="FO",'2024'!$E$2=BM43),'2024DATA'!$H$30,"")</f>
        <v/>
      </c>
      <c r="BN71" s="518" t="str">
        <f>IF(AND(_D="A-320",'2024'!$E$4="FO",'2024'!$E$2=BN43),'2024DATA'!$I$30,"")</f>
        <v/>
      </c>
      <c r="BO71" s="518" t="str">
        <f>IF(AND(_D="A-320",'2024'!$E$4="FO",'2024'!$E$2=BO43),'2024DATA'!$J$30,"")</f>
        <v/>
      </c>
      <c r="BP71" s="518" t="str">
        <f>IF(AND(_D="A-320",'2024'!$E$4="FO",'2024'!$E$2=BP43),'2024DATA'!$K$30,"")</f>
        <v/>
      </c>
      <c r="BQ71" s="518" t="str">
        <f>IF(AND(_D="A-320",'2024'!$E$4="FO",'2024'!$E$2=BQ43),'2024DATA'!$L$30,"")</f>
        <v/>
      </c>
      <c r="BR71" s="518" t="str">
        <f>IF(AND(_D="A-320",'2024'!$E$4="FO",'2024'!$E$2=BR43),'2024DATA'!$M$30,"")</f>
        <v/>
      </c>
      <c r="BS71" s="520" t="str">
        <f>IF(AND(_D="A-320",'2024'!$E$4="FO",'2024'!$E$2=BS43),'2024DATA'!$N$30,"")</f>
        <v/>
      </c>
      <c r="BT71" s="940"/>
      <c r="BU71" s="13" t="s">
        <v>62</v>
      </c>
      <c r="BV71" s="518" t="str">
        <f>IF(AND(_E="A-320",'2024'!$E$4="FO",'2024'!$E$2=BV43),'2024DATA'!$C$30,"")</f>
        <v/>
      </c>
      <c r="BW71" s="518" t="str">
        <f>IF(AND(_E="A-320",'2024'!$E$4="FO",'2024'!$E$2=BW43),'2024DATA'!$D$30,"")</f>
        <v/>
      </c>
      <c r="BX71" s="518" t="str">
        <f>IF(AND(_E="A-320",'2024'!$E$4="FO",'2024'!$E$2=BX43),'2024DATA'!$E$30,"")</f>
        <v/>
      </c>
      <c r="BY71" s="518" t="str">
        <f>IF(AND(_E="A-320",'2024'!$E$4="FO",'2024'!$E$2=BY43),'2024DATA'!$F$30,"")</f>
        <v/>
      </c>
      <c r="BZ71" s="518" t="str">
        <f>IF(AND(_E="A-320",'2024'!$E$4="FO",'2024'!$E$2=BZ43),'2024DATA'!$G$30,"")</f>
        <v/>
      </c>
      <c r="CA71" s="518" t="str">
        <f>IF(AND(_E="A-320",'2024'!$E$4="FO",'2024'!$E$2=CA43),'2024DATA'!$H$30,"")</f>
        <v/>
      </c>
      <c r="CB71" s="518" t="str">
        <f>IF(AND(_E="A-320",'2024'!$E$4="FO",'2024'!$E$2=CB43),'2024DATA'!$I$30,"")</f>
        <v/>
      </c>
      <c r="CC71" s="518" t="str">
        <f>IF(AND(_E="A-320",'2024'!$E$4="FO",'2024'!$E$2=CC43),'2024DATA'!$J$30,"")</f>
        <v/>
      </c>
      <c r="CD71" s="518" t="str">
        <f>IF(AND(_E="A-320",'2024'!$E$4="FO",'2024'!$E$2=CD43),'2024DATA'!$K$30,"")</f>
        <v/>
      </c>
      <c r="CE71" s="518" t="str">
        <f>IF(AND(_E="A-320",'2024'!$E$4="FO",'2024'!$E$2=CE43),'2024DATA'!$L$30,"")</f>
        <v/>
      </c>
      <c r="CF71" s="518" t="str">
        <f>IF(AND(_E="A-320",'2024'!$E$4="FO",'2024'!$E$2=CF43),'2024DATA'!$M$30,"")</f>
        <v/>
      </c>
      <c r="CG71" s="520" t="str">
        <f>IF(AND(_E="A-320",'2024'!$E$4="FO",'2024'!$E$2=CG43),'2024DATA'!$N$30,"")</f>
        <v/>
      </c>
      <c r="CH71" s="940"/>
      <c r="CI71" s="13" t="s">
        <v>62</v>
      </c>
      <c r="CJ71" s="518" t="str">
        <f>IF(AND(_F="A-320",'2024'!$E$4="FO",'2024'!$E$2=CJ43),'2024DATA'!$C$30,"")</f>
        <v/>
      </c>
      <c r="CK71" s="518" t="str">
        <f>IF(AND(_F="A-320",'2024'!$E$4="FO",'2024'!$E$2=CK43),'2024DATA'!$D$30,"")</f>
        <v/>
      </c>
      <c r="CL71" s="518" t="str">
        <f>IF(AND(_F="A-320",'2024'!$E$4="FO",'2024'!$E$2=CL43),'2024DATA'!$E$30,"")</f>
        <v/>
      </c>
      <c r="CM71" s="518" t="str">
        <f>IF(AND(_F="A-320",'2024'!$E$4="FO",'2024'!$E$2=CM43),'2024DATA'!$F$30,"")</f>
        <v/>
      </c>
      <c r="CN71" s="518" t="str">
        <f>IF(AND(_F="A-320",'2024'!$E$4="FO",'2024'!$E$2=CN43),'2024DATA'!$G$30,"")</f>
        <v/>
      </c>
      <c r="CO71" s="518" t="str">
        <f>IF(AND(_F="A-320",'2024'!$E$4="FO",'2024'!$E$2=CO43),'2024DATA'!$H$30,"")</f>
        <v/>
      </c>
      <c r="CP71" s="518" t="str">
        <f>IF(AND(_F="A-320",'2024'!$E$4="FO",'2024'!$E$2=CP43),'2024DATA'!$I$30,"")</f>
        <v/>
      </c>
      <c r="CQ71" s="518" t="str">
        <f>IF(AND(_F="A-320",'2024'!$E$4="FO",'2024'!$E$2=CQ43),'2024DATA'!$J$30,"")</f>
        <v/>
      </c>
      <c r="CR71" s="518" t="str">
        <f>IF(AND(_F="A-320",'2024'!$E$4="FO",'2024'!$E$2=CR43),'2024DATA'!$K$30,"")</f>
        <v/>
      </c>
      <c r="CS71" s="518" t="str">
        <f>IF(AND(_F="A-320",'2024'!$E$4="FO",'2024'!$E$2=CS43),'2024DATA'!$L$30,"")</f>
        <v/>
      </c>
      <c r="CT71" s="518" t="str">
        <f>IF(AND(_F="A-320",'2024'!$E$4="FO",'2024'!$E$2=CT43),'2024DATA'!$M$30,"")</f>
        <v/>
      </c>
      <c r="CU71" s="520" t="str">
        <f>IF(AND(_F="A-320",'2024'!$E$4="FO",'2024'!$E$2=CU43),'2024DATA'!$N$30,"")</f>
        <v/>
      </c>
    </row>
    <row r="72" spans="16:99" x14ac:dyDescent="0.25">
      <c r="P72" s="940" t="s">
        <v>71</v>
      </c>
      <c r="Q72" s="13" t="s">
        <v>61</v>
      </c>
      <c r="R72" s="518" t="str">
        <f>IF(AND(_A="A-319",'2024'!$E$4="CA",'2024'!$E$2=R43),'2024DATA'!$C$31,"")</f>
        <v/>
      </c>
      <c r="S72" s="518" t="str">
        <f>IF(AND(_A="A-319",'2024'!$E$4="CA",'2024'!$E$2=S43),'2024DATA'!$D$31,"")</f>
        <v/>
      </c>
      <c r="T72" s="518" t="str">
        <f>IF(AND(_A="A-319",'2024'!$E$4="CA",'2024'!$E$2=T43),'2024DATA'!$E$31,"")</f>
        <v/>
      </c>
      <c r="U72" s="518" t="str">
        <f>IF(AND(_A="A-319",'2024'!$E$4="CA",'2024'!$E$2=U43),'2024DATA'!$F$31,"")</f>
        <v/>
      </c>
      <c r="V72" s="518" t="str">
        <f>IF(AND(_A="A-319",'2024'!$E$4="CA",'2024'!$E$2=V43),'2024DATA'!$G$31,"")</f>
        <v/>
      </c>
      <c r="W72" s="518" t="str">
        <f>IF(AND(_A="A-319",'2024'!$E$4="CA",'2024'!$E$2=W43),'2024DATA'!$H$31,"")</f>
        <v/>
      </c>
      <c r="X72" s="518" t="str">
        <f>IF(AND(_A="A-319",'2024'!$E$4="CA",'2024'!$E$2=X43),'2024DATA'!$I$31,"")</f>
        <v/>
      </c>
      <c r="Y72" s="518" t="str">
        <f>IF(AND(_A="A-319",'2024'!$E$4="CA",'2024'!$E$2=Y43),'2024DATA'!$J$31,"")</f>
        <v/>
      </c>
      <c r="Z72" s="518" t="str">
        <f>IF(AND(_A="A-319",'2024'!$E$4="CA",'2024'!$E$2=Z43),'2024DATA'!$K$31,"")</f>
        <v/>
      </c>
      <c r="AA72" s="518" t="str">
        <f>IF(AND(_A="A-319",'2024'!$E$4="CA",'2024'!$E$2=AA43),'2024DATA'!$L$31,"")</f>
        <v/>
      </c>
      <c r="AB72" s="518" t="str">
        <f>IF(AND(_A="A-319",'2024'!$E$4="CA",'2024'!$E$2=AB43),'2024DATA'!$M$31,"")</f>
        <v/>
      </c>
      <c r="AC72" s="520" t="str">
        <f>IF(AND(_A="A-319",'2024'!$E$4="CA",'2024'!$E$2=AC43),'2024DATA'!$N$31,"")</f>
        <v/>
      </c>
      <c r="AD72" s="940" t="s">
        <v>71</v>
      </c>
      <c r="AE72" s="13" t="s">
        <v>61</v>
      </c>
      <c r="AF72" s="518" t="str">
        <f>IF(AND(_B="A-319",'2024'!$E$4="CA",'2024'!$E$2=AF43),'2024DATA'!$C$31,"")</f>
        <v/>
      </c>
      <c r="AG72" s="518" t="str">
        <f>IF(AND(_B="A-319",'2024'!$E$4="CA",'2024'!$E$2=AG43),'2024DATA'!$D$31,"")</f>
        <v/>
      </c>
      <c r="AH72" s="518" t="str">
        <f>IF(AND(_B="A-319",'2024'!$E$4="CA",'2024'!$E$2=AH43),'2024DATA'!$E$31,"")</f>
        <v/>
      </c>
      <c r="AI72" s="518" t="str">
        <f>IF(AND(_B="A-319",'2024'!$E$4="CA",'2024'!$E$2=AI43),'2024DATA'!$F$31,"")</f>
        <v/>
      </c>
      <c r="AJ72" s="518" t="str">
        <f>IF(AND(_B="A-319",'2024'!$E$4="CA",'2024'!$E$2=AJ43),'2024DATA'!$G$31,"")</f>
        <v/>
      </c>
      <c r="AK72" s="518" t="str">
        <f>IF(AND(_B="A-319",'2024'!$E$4="CA",'2024'!$E$2=AK43),'2024DATA'!$H$31,"")</f>
        <v/>
      </c>
      <c r="AL72" s="518" t="str">
        <f>IF(AND(_B="A-319",'2024'!$E$4="CA",'2024'!$E$2=AL43),'2024DATA'!$I$31,"")</f>
        <v/>
      </c>
      <c r="AM72" s="518" t="str">
        <f>IF(AND(_B="A-319",'2024'!$E$4="CA",'2024'!$E$2=AM43),'2024DATA'!$J$31,"")</f>
        <v/>
      </c>
      <c r="AN72" s="518" t="str">
        <f>IF(AND(_B="A-319",'2024'!$E$4="CA",'2024'!$E$2=AN43),'2024DATA'!$K$31,"")</f>
        <v/>
      </c>
      <c r="AO72" s="518" t="str">
        <f>IF(AND(_B="A-319",'2024'!$E$4="CA",'2024'!$E$2=AO43),'2024DATA'!$L$31,"")</f>
        <v/>
      </c>
      <c r="AP72" s="518" t="str">
        <f>IF(AND(_B="A-319",'2024'!$E$4="CA",'2024'!$E$2=AP43),'2024DATA'!$M$31,"")</f>
        <v/>
      </c>
      <c r="AQ72" s="520" t="str">
        <f>IF(AND(_B="A-319",'2024'!$E$4="CA",'2024'!$E$2=AQ43),'2024DATA'!$N$31,"")</f>
        <v/>
      </c>
      <c r="AR72" s="940" t="s">
        <v>71</v>
      </c>
      <c r="AS72" s="13" t="s">
        <v>61</v>
      </c>
      <c r="AT72" s="518" t="str">
        <f>IF(AND(_C="A-319",'2024'!$E$4="CA",'2024'!$E$2=AT43),'2024DATA'!$C$31,"")</f>
        <v/>
      </c>
      <c r="AU72" s="518" t="str">
        <f>IF(AND(_C="A-319",'2024'!$E$4="CA",'2024'!$E$2=AU43),'2024DATA'!$D$31,"")</f>
        <v/>
      </c>
      <c r="AV72" s="518" t="str">
        <f>IF(AND(_C="A-319",'2024'!$E$4="CA",'2024'!$E$2=AV43),'2024DATA'!$E$31,"")</f>
        <v/>
      </c>
      <c r="AW72" s="518" t="str">
        <f>IF(AND(_C="A-319",'2024'!$E$4="CA",'2024'!$E$2=AW43),'2024DATA'!$F$31,"")</f>
        <v/>
      </c>
      <c r="AX72" s="518" t="str">
        <f>IF(AND(_C="A-319",'2024'!$E$4="CA",'2024'!$E$2=AX43),'2024DATA'!$G$31,"")</f>
        <v/>
      </c>
      <c r="AY72" s="518" t="str">
        <f>IF(AND(_C="A-319",'2024'!$E$4="CA",'2024'!$E$2=AY43),'2024DATA'!$H$31,"")</f>
        <v/>
      </c>
      <c r="AZ72" s="518" t="str">
        <f>IF(AND(_C="A-319",'2024'!$E$4="CA",'2024'!$E$2=AZ43),'2024DATA'!$I$31,"")</f>
        <v/>
      </c>
      <c r="BA72" s="518" t="str">
        <f>IF(AND(_C="A-319",'2024'!$E$4="CA",'2024'!$E$2=BA43),'2024DATA'!$J$31,"")</f>
        <v/>
      </c>
      <c r="BB72" s="518" t="str">
        <f>IF(AND(_C="A-319",'2024'!$E$4="CA",'2024'!$E$2=BB43),'2024DATA'!$K$31,"")</f>
        <v/>
      </c>
      <c r="BC72" s="518" t="str">
        <f>IF(AND(_C="A-319",'2024'!$E$4="CA",'2024'!$E$2=BC43),'2024DATA'!$L$31,"")</f>
        <v/>
      </c>
      <c r="BD72" s="518" t="str">
        <f>IF(AND(_C="A-319",'2024'!$E$4="CA",'2024'!$E$2=BD43),'2024DATA'!$M$31,"")</f>
        <v/>
      </c>
      <c r="BE72" s="520" t="str">
        <f>IF(AND(_C="A-319",'2024'!$E$4="CA",'2024'!$E$2=BE43),'2024DATA'!$N$31,"")</f>
        <v/>
      </c>
      <c r="BF72" s="940" t="s">
        <v>71</v>
      </c>
      <c r="BG72" s="13" t="s">
        <v>61</v>
      </c>
      <c r="BH72" s="518" t="str">
        <f>IF(AND(_D="A-319",'2024'!$E$4="CA",'2024'!$E$2=BH43),'2024DATA'!$C$31,"")</f>
        <v/>
      </c>
      <c r="BI72" s="518" t="str">
        <f>IF(AND(_D="A-319",'2024'!$E$4="CA",'2024'!$E$2=BI43),'2024DATA'!$D$31,"")</f>
        <v/>
      </c>
      <c r="BJ72" s="518" t="str">
        <f>IF(AND(_D="A-319",'2024'!$E$4="CA",'2024'!$E$2=BJ43),'2024DATA'!$E$31,"")</f>
        <v/>
      </c>
      <c r="BK72" s="518" t="str">
        <f>IF(AND(_D="A-319",'2024'!$E$4="CA",'2024'!$E$2=BK43),'2024DATA'!$F$31,"")</f>
        <v/>
      </c>
      <c r="BL72" s="518" t="str">
        <f>IF(AND(_D="A-319",'2024'!$E$4="CA",'2024'!$E$2=BL43),'2024DATA'!$G$31,"")</f>
        <v/>
      </c>
      <c r="BM72" s="518" t="str">
        <f>IF(AND(_D="A-319",'2024'!$E$4="CA",'2024'!$E$2=BM43),'2024DATA'!$H$31,"")</f>
        <v/>
      </c>
      <c r="BN72" s="518" t="str">
        <f>IF(AND(_D="A-319",'2024'!$E$4="CA",'2024'!$E$2=BN43),'2024DATA'!$I$31,"")</f>
        <v/>
      </c>
      <c r="BO72" s="518" t="str">
        <f>IF(AND(_D="A-319",'2024'!$E$4="CA",'2024'!$E$2=BO43),'2024DATA'!$J$31,"")</f>
        <v/>
      </c>
      <c r="BP72" s="518" t="str">
        <f>IF(AND(_D="A-319",'2024'!$E$4="CA",'2024'!$E$2=BP43),'2024DATA'!$K$31,"")</f>
        <v/>
      </c>
      <c r="BQ72" s="518" t="str">
        <f>IF(AND(_D="A-319",'2024'!$E$4="CA",'2024'!$E$2=BQ43),'2024DATA'!$L$31,"")</f>
        <v/>
      </c>
      <c r="BR72" s="518" t="str">
        <f>IF(AND(_D="A-319",'2024'!$E$4="CA",'2024'!$E$2=BR43),'2024DATA'!$M$31,"")</f>
        <v/>
      </c>
      <c r="BS72" s="520" t="str">
        <f>IF(AND(_D="A-319",'2024'!$E$4="CA",'2024'!$E$2=BS43),'2024DATA'!$N$31,"")</f>
        <v/>
      </c>
      <c r="BT72" s="940" t="s">
        <v>71</v>
      </c>
      <c r="BU72" s="13" t="s">
        <v>61</v>
      </c>
      <c r="BV72" s="518" t="str">
        <f>IF(AND(_E="A-319",'2024'!$E$4="CA",'2024'!$E$2=BV43),'2024DATA'!$C$31,"")</f>
        <v/>
      </c>
      <c r="BW72" s="518" t="str">
        <f>IF(AND(_E="A-319",'2024'!$E$4="CA",'2024'!$E$2=BW43),'2024DATA'!$D$31,"")</f>
        <v/>
      </c>
      <c r="BX72" s="518" t="str">
        <f>IF(AND(_E="A-319",'2024'!$E$4="CA",'2024'!$E$2=BX43),'2024DATA'!$E$31,"")</f>
        <v/>
      </c>
      <c r="BY72" s="518" t="str">
        <f>IF(AND(_E="A-319",'2024'!$E$4="CA",'2024'!$E$2=BY43),'2024DATA'!$F$31,"")</f>
        <v/>
      </c>
      <c r="BZ72" s="518" t="str">
        <f>IF(AND(_E="A-319",'2024'!$E$4="CA",'2024'!$E$2=BZ43),'2024DATA'!$G$31,"")</f>
        <v/>
      </c>
      <c r="CA72" s="518" t="str">
        <f>IF(AND(_E="A-319",'2024'!$E$4="CA",'2024'!$E$2=CA43),'2024DATA'!$H$31,"")</f>
        <v/>
      </c>
      <c r="CB72" s="518" t="str">
        <f>IF(AND(_E="A-319",'2024'!$E$4="CA",'2024'!$E$2=CB43),'2024DATA'!$I$31,"")</f>
        <v/>
      </c>
      <c r="CC72" s="518" t="str">
        <f>IF(AND(_E="A-319",'2024'!$E$4="CA",'2024'!$E$2=CC43),'2024DATA'!$J$31,"")</f>
        <v/>
      </c>
      <c r="CD72" s="518" t="str">
        <f>IF(AND(_E="A-319",'2024'!$E$4="CA",'2024'!$E$2=CD43),'2024DATA'!$K$31,"")</f>
        <v/>
      </c>
      <c r="CE72" s="518" t="str">
        <f>IF(AND(_E="A-319",'2024'!$E$4="CA",'2024'!$E$2=CE43),'2024DATA'!$L$31,"")</f>
        <v/>
      </c>
      <c r="CF72" s="518" t="str">
        <f>IF(AND(_E="A-319",'2024'!$E$4="CA",'2024'!$E$2=CF43),'2024DATA'!$M$31,"")</f>
        <v/>
      </c>
      <c r="CG72" s="520" t="str">
        <f>IF(AND(_E="A-319",'2024'!$E$4="CA",'2024'!$E$2=CG43),'2024DATA'!$N$31,"")</f>
        <v/>
      </c>
      <c r="CH72" s="940" t="s">
        <v>71</v>
      </c>
      <c r="CI72" s="13" t="s">
        <v>61</v>
      </c>
      <c r="CJ72" s="518" t="str">
        <f>IF(AND(_F="A-319",'2024'!$E$4="CA",'2024'!$E$2=CJ43),'2024DATA'!$C$31,"")</f>
        <v/>
      </c>
      <c r="CK72" s="518" t="str">
        <f>IF(AND(_F="A-319",'2024'!$E$4="CA",'2024'!$E$2=CK43),'2024DATA'!$D$31,"")</f>
        <v/>
      </c>
      <c r="CL72" s="518" t="str">
        <f>IF(AND(_F="A-319",'2024'!$E$4="CA",'2024'!$E$2=CL43),'2024DATA'!$E$31,"")</f>
        <v/>
      </c>
      <c r="CM72" s="518" t="str">
        <f>IF(AND(_F="A-319",'2024'!$E$4="CA",'2024'!$E$2=CM43),'2024DATA'!$F$31,"")</f>
        <v/>
      </c>
      <c r="CN72" s="518" t="str">
        <f>IF(AND(_F="A-319",'2024'!$E$4="CA",'2024'!$E$2=CN43),'2024DATA'!$G$31,"")</f>
        <v/>
      </c>
      <c r="CO72" s="518" t="str">
        <f>IF(AND(_F="A-319",'2024'!$E$4="CA",'2024'!$E$2=CO43),'2024DATA'!$H$31,"")</f>
        <v/>
      </c>
      <c r="CP72" s="518" t="str">
        <f>IF(AND(_F="A-319",'2024'!$E$4="CA",'2024'!$E$2=CP43),'2024DATA'!$I$31,"")</f>
        <v/>
      </c>
      <c r="CQ72" s="518" t="str">
        <f>IF(AND(_F="A-319",'2024'!$E$4="CA",'2024'!$E$2=CQ43),'2024DATA'!$J$31,"")</f>
        <v/>
      </c>
      <c r="CR72" s="518" t="str">
        <f>IF(AND(_F="A-319",'2024'!$E$4="CA",'2024'!$E$2=CR43),'2024DATA'!$K$31,"")</f>
        <v/>
      </c>
      <c r="CS72" s="518" t="str">
        <f>IF(AND(_F="A-319",'2024'!$E$4="CA",'2024'!$E$2=CS43),'2024DATA'!$L$31,"")</f>
        <v/>
      </c>
      <c r="CT72" s="518" t="str">
        <f>IF(AND(_F="A-319",'2024'!$E$4="CA",'2024'!$E$2=CT43),'2024DATA'!$M$31,"")</f>
        <v/>
      </c>
      <c r="CU72" s="520" t="str">
        <f>IF(AND(_F="A-319",'2024'!$E$4="CA",'2024'!$E$2=CU43),'2024DATA'!$N$31,"")</f>
        <v/>
      </c>
    </row>
    <row r="73" spans="16:99" x14ac:dyDescent="0.25">
      <c r="P73" s="940"/>
      <c r="Q73" s="13" t="s">
        <v>62</v>
      </c>
      <c r="R73" s="518" t="str">
        <f>IF(AND(_A="A-319",'2024'!$E$4="FO",'2024'!$E$2=R43),'2024DATA'!$C$32,"")</f>
        <v/>
      </c>
      <c r="S73" s="518" t="str">
        <f>IF(AND(_A="A-319",'2024'!$E$4="FO",'2024'!$E$2=S43),'2024DATA'!$D$32,"")</f>
        <v/>
      </c>
      <c r="T73" s="518" t="str">
        <f>IF(AND(_A="A-319",'2024'!$E$4="FO",'2024'!$E$2=T43),'2024DATA'!$E$32,"")</f>
        <v/>
      </c>
      <c r="U73" s="518" t="str">
        <f>IF(AND(_A="A-319",'2024'!$E$4="FO",'2024'!$E$2=U43),'2024DATA'!$F$32,"")</f>
        <v/>
      </c>
      <c r="V73" s="518" t="str">
        <f>IF(AND(_A="A-319",'2024'!$E$4="FO",'2024'!$E$2=V43),'2024DATA'!$G$32,"")</f>
        <v/>
      </c>
      <c r="W73" s="518" t="str">
        <f>IF(AND(_A="A-319",'2024'!$E$4="FO",'2024'!$E$2=W43),'2024DATA'!$H$32,"")</f>
        <v/>
      </c>
      <c r="X73" s="518" t="str">
        <f>IF(AND(_A="A-319",'2024'!$E$4="FO",'2024'!$E$2=X43),'2024DATA'!$I$32,"")</f>
        <v/>
      </c>
      <c r="Y73" s="518" t="str">
        <f>IF(AND(_A="A-319",'2024'!$E$4="FO",'2024'!$E$2=Y43),'2024DATA'!$J$32,"")</f>
        <v/>
      </c>
      <c r="Z73" s="518" t="str">
        <f>IF(AND(_A="A-319",'2024'!$E$4="FO",'2024'!$E$2=Z43),'2024DATA'!$K$32,"")</f>
        <v/>
      </c>
      <c r="AA73" s="518" t="str">
        <f>IF(AND(_A="A-319",'2024'!$E$4="FO",'2024'!$E$2=AA43),'2024DATA'!$L$32,"")</f>
        <v/>
      </c>
      <c r="AB73" s="518" t="str">
        <f>IF(AND(_A="A-319",'2024'!$E$4="FO",'2024'!$E$2=AB43),'2024DATA'!$M$32,"")</f>
        <v/>
      </c>
      <c r="AC73" s="520" t="str">
        <f>IF(AND(_A="A-319",'2024'!$E$4="FO",'2024'!$E$2=AC43),'2024DATA'!$N$32,"")</f>
        <v/>
      </c>
      <c r="AD73" s="940"/>
      <c r="AE73" s="13" t="s">
        <v>62</v>
      </c>
      <c r="AF73" s="518" t="str">
        <f>IF(AND(_B="A-319",'2024'!$E$4="FO",'2024'!$E$2=AF43),'2024DATA'!$C$32,"")</f>
        <v/>
      </c>
      <c r="AG73" s="518" t="str">
        <f>IF(AND(_B="A-319",'2024'!$E$4="FO",'2024'!$E$2=AG43),'2024DATA'!$D$32,"")</f>
        <v/>
      </c>
      <c r="AH73" s="518" t="str">
        <f>IF(AND(_B="A-319",'2024'!$E$4="FO",'2024'!$E$2=AH43),'2024DATA'!$E$32,"")</f>
        <v/>
      </c>
      <c r="AI73" s="518" t="str">
        <f>IF(AND(_B="A-319",'2024'!$E$4="FO",'2024'!$E$2=AI43),'2024DATA'!$F$32,"")</f>
        <v/>
      </c>
      <c r="AJ73" s="518" t="str">
        <f>IF(AND(_B="A-319",'2024'!$E$4="FO",'2024'!$E$2=AJ43),'2024DATA'!$G$32,"")</f>
        <v/>
      </c>
      <c r="AK73" s="518" t="str">
        <f>IF(AND(_B="A-319",'2024'!$E$4="FO",'2024'!$E$2=AK43),'2024DATA'!$H$32,"")</f>
        <v/>
      </c>
      <c r="AL73" s="518" t="str">
        <f>IF(AND(_B="A-319",'2024'!$E$4="FO",'2024'!$E$2=AL43),'2024DATA'!$I$32,"")</f>
        <v/>
      </c>
      <c r="AM73" s="518" t="str">
        <f>IF(AND(_B="A-319",'2024'!$E$4="FO",'2024'!$E$2=AM43),'2024DATA'!$J$32,"")</f>
        <v/>
      </c>
      <c r="AN73" s="518" t="str">
        <f>IF(AND(_B="A-319",'2024'!$E$4="FO",'2024'!$E$2=AN43),'2024DATA'!$K$32,"")</f>
        <v/>
      </c>
      <c r="AO73" s="518" t="str">
        <f>IF(AND(_B="A-319",'2024'!$E$4="FO",'2024'!$E$2=AO43),'2024DATA'!$L$32,"")</f>
        <v/>
      </c>
      <c r="AP73" s="518" t="str">
        <f>IF(AND(_B="A-319",'2024'!$E$4="FO",'2024'!$E$2=AP43),'2024DATA'!$M$32,"")</f>
        <v/>
      </c>
      <c r="AQ73" s="520" t="str">
        <f>IF(AND(_B="A-319",'2024'!$E$4="FO",'2024'!$E$2=AQ43),'2024DATA'!$N$32,"")</f>
        <v/>
      </c>
      <c r="AR73" s="940"/>
      <c r="AS73" s="13" t="s">
        <v>62</v>
      </c>
      <c r="AT73" s="518" t="str">
        <f>IF(AND(_C="A-319",'2024'!$E$4="FO",'2024'!$E$2=AT43),'2024DATA'!$C$32,"")</f>
        <v/>
      </c>
      <c r="AU73" s="518" t="str">
        <f>IF(AND(_C="A-319",'2024'!$E$4="FO",'2024'!$E$2=AU43),'2024DATA'!$D$32,"")</f>
        <v/>
      </c>
      <c r="AV73" s="518" t="str">
        <f>IF(AND(_C="A-319",'2024'!$E$4="FO",'2024'!$E$2=AV43),'2024DATA'!$E$32,"")</f>
        <v/>
      </c>
      <c r="AW73" s="518" t="str">
        <f>IF(AND(_C="A-319",'2024'!$E$4="FO",'2024'!$E$2=AW43),'2024DATA'!$F$32,"")</f>
        <v/>
      </c>
      <c r="AX73" s="518" t="str">
        <f>IF(AND(_C="A-319",'2024'!$E$4="FO",'2024'!$E$2=AX43),'2024DATA'!$G$32,"")</f>
        <v/>
      </c>
      <c r="AY73" s="518" t="str">
        <f>IF(AND(_C="A-319",'2024'!$E$4="FO",'2024'!$E$2=AY43),'2024DATA'!$H$32,"")</f>
        <v/>
      </c>
      <c r="AZ73" s="518" t="str">
        <f>IF(AND(_C="A-319",'2024'!$E$4="FO",'2024'!$E$2=AZ43),'2024DATA'!$I$32,"")</f>
        <v/>
      </c>
      <c r="BA73" s="518" t="str">
        <f>IF(AND(_C="A-319",'2024'!$E$4="FO",'2024'!$E$2=BA43),'2024DATA'!$J$32,"")</f>
        <v/>
      </c>
      <c r="BB73" s="518" t="str">
        <f>IF(AND(_C="A-319",'2024'!$E$4="FO",'2024'!$E$2=BB43),'2024DATA'!$K$32,"")</f>
        <v/>
      </c>
      <c r="BC73" s="518" t="str">
        <f>IF(AND(_C="A-319",'2024'!$E$4="FO",'2024'!$E$2=BC43),'2024DATA'!$L$32,"")</f>
        <v/>
      </c>
      <c r="BD73" s="518" t="str">
        <f>IF(AND(_C="A-319",'2024'!$E$4="FO",'2024'!$E$2=BD43),'2024DATA'!$M$32,"")</f>
        <v/>
      </c>
      <c r="BE73" s="520" t="str">
        <f>IF(AND(_C="A-319",'2024'!$E$4="FO",'2024'!$E$2=BE43),'2024DATA'!$N$32,"")</f>
        <v/>
      </c>
      <c r="BF73" s="940"/>
      <c r="BG73" s="13" t="s">
        <v>62</v>
      </c>
      <c r="BH73" s="518" t="str">
        <f>IF(AND(_D="A-319",'2024'!$E$4="FO",'2024'!$E$2=BH43),'2024DATA'!$C$32,"")</f>
        <v/>
      </c>
      <c r="BI73" s="518" t="str">
        <f>IF(AND(_D="A-319",'2024'!$E$4="FO",'2024'!$E$2=BI43),'2024DATA'!$D$32,"")</f>
        <v/>
      </c>
      <c r="BJ73" s="518" t="str">
        <f>IF(AND(_D="A-319",'2024'!$E$4="FO",'2024'!$E$2=BJ43),'2024DATA'!$E$32,"")</f>
        <v/>
      </c>
      <c r="BK73" s="518" t="str">
        <f>IF(AND(_D="A-319",'2024'!$E$4="FO",'2024'!$E$2=BK43),'2024DATA'!$F$32,"")</f>
        <v/>
      </c>
      <c r="BL73" s="518" t="str">
        <f>IF(AND(_D="A-319",'2024'!$E$4="FO",'2024'!$E$2=BL43),'2024DATA'!$G$32,"")</f>
        <v/>
      </c>
      <c r="BM73" s="518" t="str">
        <f>IF(AND(_D="A-319",'2024'!$E$4="FO",'2024'!$E$2=BM43),'2024DATA'!$H$32,"")</f>
        <v/>
      </c>
      <c r="BN73" s="518" t="str">
        <f>IF(AND(_D="A-319",'2024'!$E$4="FO",'2024'!$E$2=BN43),'2024DATA'!$I$32,"")</f>
        <v/>
      </c>
      <c r="BO73" s="518" t="str">
        <f>IF(AND(_D="A-319",'2024'!$E$4="FO",'2024'!$E$2=BO43),'2024DATA'!$J$32,"")</f>
        <v/>
      </c>
      <c r="BP73" s="518" t="str">
        <f>IF(AND(_D="A-319",'2024'!$E$4="FO",'2024'!$E$2=BP43),'2024DATA'!$K$32,"")</f>
        <v/>
      </c>
      <c r="BQ73" s="518" t="str">
        <f>IF(AND(_D="A-319",'2024'!$E$4="FO",'2024'!$E$2=BQ43),'2024DATA'!$L$32,"")</f>
        <v/>
      </c>
      <c r="BR73" s="518" t="str">
        <f>IF(AND(_D="A-319",'2024'!$E$4="FO",'2024'!$E$2=BR43),'2024DATA'!$M$32,"")</f>
        <v/>
      </c>
      <c r="BS73" s="520" t="str">
        <f>IF(AND(_D="A-319",'2024'!$E$4="FO",'2024'!$E$2=BS43),'2024DATA'!$N$32,"")</f>
        <v/>
      </c>
      <c r="BT73" s="940"/>
      <c r="BU73" s="13" t="s">
        <v>62</v>
      </c>
      <c r="BV73" s="518" t="str">
        <f>IF(AND(_E="A-319",'2024'!$E$4="FO",'2024'!$E$2=BV43),'2024DATA'!$C$32,"")</f>
        <v/>
      </c>
      <c r="BW73" s="518" t="str">
        <f>IF(AND(_E="A-319",'2024'!$E$4="FO",'2024'!$E$2=BW43),'2024DATA'!$D$32,"")</f>
        <v/>
      </c>
      <c r="BX73" s="518" t="str">
        <f>IF(AND(_E="A-319",'2024'!$E$4="FO",'2024'!$E$2=BX43),'2024DATA'!$E$32,"")</f>
        <v/>
      </c>
      <c r="BY73" s="518" t="str">
        <f>IF(AND(_E="A-319",'2024'!$E$4="FO",'2024'!$E$2=BY43),'2024DATA'!$F$32,"")</f>
        <v/>
      </c>
      <c r="BZ73" s="518" t="str">
        <f>IF(AND(_E="A-319",'2024'!$E$4="FO",'2024'!$E$2=BZ43),'2024DATA'!$G$32,"")</f>
        <v/>
      </c>
      <c r="CA73" s="518" t="str">
        <f>IF(AND(_E="A-319",'2024'!$E$4="FO",'2024'!$E$2=CA43),'2024DATA'!$H$32,"")</f>
        <v/>
      </c>
      <c r="CB73" s="518" t="str">
        <f>IF(AND(_E="A-319",'2024'!$E$4="FO",'2024'!$E$2=CB43),'2024DATA'!$I$32,"")</f>
        <v/>
      </c>
      <c r="CC73" s="518" t="str">
        <f>IF(AND(_E="A-319",'2024'!$E$4="FO",'2024'!$E$2=CC43),'2024DATA'!$J$32,"")</f>
        <v/>
      </c>
      <c r="CD73" s="518" t="str">
        <f>IF(AND(_E="A-319",'2024'!$E$4="FO",'2024'!$E$2=CD43),'2024DATA'!$K$32,"")</f>
        <v/>
      </c>
      <c r="CE73" s="518" t="str">
        <f>IF(AND(_E="A-319",'2024'!$E$4="FO",'2024'!$E$2=CE43),'2024DATA'!$L$32,"")</f>
        <v/>
      </c>
      <c r="CF73" s="518" t="str">
        <f>IF(AND(_E="A-319",'2024'!$E$4="FO",'2024'!$E$2=CF43),'2024DATA'!$M$32,"")</f>
        <v/>
      </c>
      <c r="CG73" s="520" t="str">
        <f>IF(AND(_E="A-319",'2024'!$E$4="FO",'2024'!$E$2=CG43),'2024DATA'!$N$32,"")</f>
        <v/>
      </c>
      <c r="CH73" s="940"/>
      <c r="CI73" s="13" t="s">
        <v>62</v>
      </c>
      <c r="CJ73" s="518" t="str">
        <f>IF(AND(_F="A-319",'2024'!$E$4="FO",'2024'!$E$2=CJ43),'2024DATA'!$C$32,"")</f>
        <v/>
      </c>
      <c r="CK73" s="518" t="str">
        <f>IF(AND(_F="A-319",'2024'!$E$4="FO",'2024'!$E$2=CK43),'2024DATA'!$D$32,"")</f>
        <v/>
      </c>
      <c r="CL73" s="518" t="str">
        <f>IF(AND(_F="A-319",'2024'!$E$4="FO",'2024'!$E$2=CL43),'2024DATA'!$E$32,"")</f>
        <v/>
      </c>
      <c r="CM73" s="518" t="str">
        <f>IF(AND(_F="A-319",'2024'!$E$4="FO",'2024'!$E$2=CM43),'2024DATA'!$F$32,"")</f>
        <v/>
      </c>
      <c r="CN73" s="518" t="str">
        <f>IF(AND(_F="A-319",'2024'!$E$4="FO",'2024'!$E$2=CN43),'2024DATA'!$G$32,"")</f>
        <v/>
      </c>
      <c r="CO73" s="518" t="str">
        <f>IF(AND(_F="A-319",'2024'!$E$4="FO",'2024'!$E$2=CO43),'2024DATA'!$H$32,"")</f>
        <v/>
      </c>
      <c r="CP73" s="518" t="str">
        <f>IF(AND(_F="A-319",'2024'!$E$4="FO",'2024'!$E$2=CP43),'2024DATA'!$I$32,"")</f>
        <v/>
      </c>
      <c r="CQ73" s="518" t="str">
        <f>IF(AND(_F="A-319",'2024'!$E$4="FO",'2024'!$E$2=CQ43),'2024DATA'!$J$32,"")</f>
        <v/>
      </c>
      <c r="CR73" s="518" t="str">
        <f>IF(AND(_F="A-319",'2024'!$E$4="FO",'2024'!$E$2=CR43),'2024DATA'!$K$32,"")</f>
        <v/>
      </c>
      <c r="CS73" s="518" t="str">
        <f>IF(AND(_F="A-319",'2024'!$E$4="FO",'2024'!$E$2=CS43),'2024DATA'!$L$32,"")</f>
        <v/>
      </c>
      <c r="CT73" s="518" t="str">
        <f>IF(AND(_F="A-319",'2024'!$E$4="FO",'2024'!$E$2=CT43),'2024DATA'!$M$32,"")</f>
        <v/>
      </c>
      <c r="CU73" s="520" t="str">
        <f>IF(AND(_F="A-319",'2024'!$E$4="FO",'2024'!$E$2=CU43),'2024DATA'!$N$32,"")</f>
        <v/>
      </c>
    </row>
    <row r="74" spans="16:99" x14ac:dyDescent="0.25">
      <c r="P74" s="940" t="s">
        <v>51</v>
      </c>
      <c r="Q74" s="13" t="s">
        <v>61</v>
      </c>
      <c r="R74" s="518" t="str">
        <f>IF(AND(_A="A-220-300",'2024'!$E$4="CA",'2024'!$E$2=R43),'2024DATA'!$C$33,"")</f>
        <v/>
      </c>
      <c r="S74" s="518" t="str">
        <f>IF(AND(_A="A-220-300",'2024'!$E$4="CA",'2024'!$E$2=S43),'2024DATA'!$D$33,"")</f>
        <v/>
      </c>
      <c r="T74" s="518" t="str">
        <f>IF(AND(_A="A-220-300",'2024'!$E$4="CA",'2024'!$E$2=T43),'2024DATA'!$E$33,"")</f>
        <v/>
      </c>
      <c r="U74" s="518" t="str">
        <f>IF(AND(_A="A-220-300",'2024'!$E$4="CA",'2024'!$E$2=U43),'2024DATA'!$F$33,"")</f>
        <v/>
      </c>
      <c r="V74" s="518" t="str">
        <f>IF(AND(_A="A-220-300",'2024'!$E$4="CA",'2024'!$E$2=V43),'2024DATA'!$G$33,"")</f>
        <v/>
      </c>
      <c r="W74" s="518" t="str">
        <f>IF(AND(_A="A-220-300",'2024'!$E$4="CA",'2024'!$E$2=W43),'2024DATA'!$H$33,"")</f>
        <v/>
      </c>
      <c r="X74" s="518" t="str">
        <f>IF(AND(_A="A-220-300",'2024'!$E$4="CA",'2024'!$E$2=X43),'2024DATA'!$I$33,"")</f>
        <v/>
      </c>
      <c r="Y74" s="518" t="str">
        <f>IF(AND(_A="A-220-300",'2024'!$E$4="CA",'2024'!$E$2=Y43),'2024DATA'!$J$33,"")</f>
        <v/>
      </c>
      <c r="Z74" s="518" t="str">
        <f>IF(AND(_A="A-220-300",'2024'!$E$4="CA",'2024'!$E$2=Z43),'2024DATA'!$K$33,"")</f>
        <v/>
      </c>
      <c r="AA74" s="518" t="str">
        <f>IF(AND(_A="A-220-300",'2024'!$E$4="CA",'2024'!$E$2=AA43),'2024DATA'!$L$33,"")</f>
        <v/>
      </c>
      <c r="AB74" s="518" t="str">
        <f>IF(AND(_A="A-220-300",'2024'!$E$4="CA",'2024'!$E$2=AB43),'2024DATA'!$M$33,"")</f>
        <v/>
      </c>
      <c r="AC74" s="520" t="str">
        <f>IF(AND(_A="A-220-300",'2024'!$E$4="CA",'2024'!$E$2=AC43),'2024DATA'!$N$33,"")</f>
        <v/>
      </c>
      <c r="AD74" s="940" t="s">
        <v>51</v>
      </c>
      <c r="AE74" s="13" t="s">
        <v>61</v>
      </c>
      <c r="AF74" s="518" t="str">
        <f>IF(AND(_B="A-220-300",'2024'!$E$4="CA",'2024'!$E$2=AF43),'2024DATA'!$C$33,"")</f>
        <v/>
      </c>
      <c r="AG74" s="518" t="str">
        <f>IF(AND(_B="A-220-300",'2024'!$E$4="CA",'2024'!$E$2=AG43),'2024DATA'!$D$33,"")</f>
        <v/>
      </c>
      <c r="AH74" s="518" t="str">
        <f>IF(AND(_B="A-220-300",'2024'!$E$4="CA",'2024'!$E$2=AH43),'2024DATA'!$E$33,"")</f>
        <v/>
      </c>
      <c r="AI74" s="518" t="str">
        <f>IF(AND(_B="A-220-300",'2024'!$E$4="CA",'2024'!$E$2=AI43),'2024DATA'!$F$33,"")</f>
        <v/>
      </c>
      <c r="AJ74" s="518" t="str">
        <f>IF(AND(_B="A-220-300",'2024'!$E$4="CA",'2024'!$E$2=AJ43),'2024DATA'!$G$33,"")</f>
        <v/>
      </c>
      <c r="AK74" s="518" t="str">
        <f>IF(AND(_B="A-220-300",'2024'!$E$4="CA",'2024'!$E$2=AK43),'2024DATA'!$H$33,"")</f>
        <v/>
      </c>
      <c r="AL74" s="518" t="str">
        <f>IF(AND(_B="A-220-300",'2024'!$E$4="CA",'2024'!$E$2=AL43),'2024DATA'!$I$33,"")</f>
        <v/>
      </c>
      <c r="AM74" s="518" t="str">
        <f>IF(AND(_B="A-220-300",'2024'!$E$4="CA",'2024'!$E$2=AM43),'2024DATA'!$J$33,"")</f>
        <v/>
      </c>
      <c r="AN74" s="518" t="str">
        <f>IF(AND(_B="A-220-300",'2024'!$E$4="CA",'2024'!$E$2=AN43),'2024DATA'!$K$33,"")</f>
        <v/>
      </c>
      <c r="AO74" s="518" t="str">
        <f>IF(AND(_B="A-220-300",'2024'!$E$4="CA",'2024'!$E$2=AO43),'2024DATA'!$L$33,"")</f>
        <v/>
      </c>
      <c r="AP74" s="518" t="str">
        <f>IF(AND(_B="A-220-300",'2024'!$E$4="CA",'2024'!$E$2=AP43),'2024DATA'!$M$33,"")</f>
        <v/>
      </c>
      <c r="AQ74" s="520" t="str">
        <f>IF(AND(_B="A-220-300",'2024'!$E$4="CA",'2024'!$E$2=AQ43),'2024DATA'!$N$33,"")</f>
        <v/>
      </c>
      <c r="AR74" s="940" t="s">
        <v>51</v>
      </c>
      <c r="AS74" s="13" t="s">
        <v>61</v>
      </c>
      <c r="AT74" s="518" t="str">
        <f>IF(AND(_C="A-220-300",'2024'!$E$4="CA",'2024'!$E$2=AT43),'2024DATA'!$C$33,"")</f>
        <v/>
      </c>
      <c r="AU74" s="518" t="str">
        <f>IF(AND(_C="A-220-300",'2024'!$E$4="CA",'2024'!$E$2=AU43),'2024DATA'!$D$33,"")</f>
        <v/>
      </c>
      <c r="AV74" s="518" t="str">
        <f>IF(AND(_C="A-220-300",'2024'!$E$4="CA",'2024'!$E$2=AV43),'2024DATA'!$E$33,"")</f>
        <v/>
      </c>
      <c r="AW74" s="518" t="str">
        <f>IF(AND(_C="A-220-300",'2024'!$E$4="CA",'2024'!$E$2=AW43),'2024DATA'!$F$33,"")</f>
        <v/>
      </c>
      <c r="AX74" s="518" t="str">
        <f>IF(AND(_C="A-220-300",'2024'!$E$4="CA",'2024'!$E$2=AX43),'2024DATA'!$G$33,"")</f>
        <v/>
      </c>
      <c r="AY74" s="518" t="str">
        <f>IF(AND(_C="A-220-300",'2024'!$E$4="CA",'2024'!$E$2=AY43),'2024DATA'!$H$33,"")</f>
        <v/>
      </c>
      <c r="AZ74" s="518" t="str">
        <f>IF(AND(_C="A-220-300",'2024'!$E$4="CA",'2024'!$E$2=AZ43),'2024DATA'!$I$33,"")</f>
        <v/>
      </c>
      <c r="BA74" s="518" t="str">
        <f>IF(AND(_C="A-220-300",'2024'!$E$4="CA",'2024'!$E$2=BA43),'2024DATA'!$J$33,"")</f>
        <v/>
      </c>
      <c r="BB74" s="518" t="str">
        <f>IF(AND(_C="A-220-300",'2024'!$E$4="CA",'2024'!$E$2=BB43),'2024DATA'!$K$33,"")</f>
        <v/>
      </c>
      <c r="BC74" s="518" t="str">
        <f>IF(AND(_C="A-220-300",'2024'!$E$4="CA",'2024'!$E$2=BC43),'2024DATA'!$L$33,"")</f>
        <v/>
      </c>
      <c r="BD74" s="518" t="str">
        <f>IF(AND(_C="A-220-300",'2024'!$E$4="CA",'2024'!$E$2=BD43),'2024DATA'!$M$33,"")</f>
        <v/>
      </c>
      <c r="BE74" s="520" t="str">
        <f>IF(AND(_C="A-220-300",'2024'!$E$4="CA",'2024'!$E$2=BE43),'2024DATA'!$N$33,"")</f>
        <v/>
      </c>
      <c r="BF74" s="940" t="s">
        <v>51</v>
      </c>
      <c r="BG74" s="13" t="s">
        <v>61</v>
      </c>
      <c r="BH74" s="518" t="str">
        <f>IF(AND(_D="A-220-300",'2024'!$E$4="CA",'2024'!$E$2=BH43),'2024DATA'!$C$33,"")</f>
        <v/>
      </c>
      <c r="BI74" s="518" t="str">
        <f>IF(AND(_D="A-220-300",'2024'!$E$4="CA",'2024'!$E$2=BI43),'2024DATA'!$D$33,"")</f>
        <v/>
      </c>
      <c r="BJ74" s="518" t="str">
        <f>IF(AND(_D="A-220-300",'2024'!$E$4="CA",'2024'!$E$2=BJ43),'2024DATA'!$E$33,"")</f>
        <v/>
      </c>
      <c r="BK74" s="518" t="str">
        <f>IF(AND(_D="A-220-300",'2024'!$E$4="CA",'2024'!$E$2=BK43),'2024DATA'!$F$33,"")</f>
        <v/>
      </c>
      <c r="BL74" s="518" t="str">
        <f>IF(AND(_D="A-220-300",'2024'!$E$4="CA",'2024'!$E$2=BL43),'2024DATA'!$G$33,"")</f>
        <v/>
      </c>
      <c r="BM74" s="518" t="str">
        <f>IF(AND(_D="A-220-300",'2024'!$E$4="CA",'2024'!$E$2=BM43),'2024DATA'!$H$33,"")</f>
        <v/>
      </c>
      <c r="BN74" s="518" t="str">
        <f>IF(AND(_D="A-220-300",'2024'!$E$4="CA",'2024'!$E$2=BN43),'2024DATA'!$I$33,"")</f>
        <v/>
      </c>
      <c r="BO74" s="518" t="str">
        <f>IF(AND(_D="A-220-300",'2024'!$E$4="CA",'2024'!$E$2=BO43),'2024DATA'!$J$33,"")</f>
        <v/>
      </c>
      <c r="BP74" s="518" t="str">
        <f>IF(AND(_D="A-220-300",'2024'!$E$4="CA",'2024'!$E$2=BP43),'2024DATA'!$K$33,"")</f>
        <v/>
      </c>
      <c r="BQ74" s="518" t="str">
        <f>IF(AND(_D="A-220-300",'2024'!$E$4="CA",'2024'!$E$2=BQ43),'2024DATA'!$L$33,"")</f>
        <v/>
      </c>
      <c r="BR74" s="518" t="str">
        <f>IF(AND(_D="A-220-300",'2024'!$E$4="CA",'2024'!$E$2=BR43),'2024DATA'!$M$33,"")</f>
        <v/>
      </c>
      <c r="BS74" s="520" t="str">
        <f>IF(AND(_D="A-220-300",'2024'!$E$4="CA",'2024'!$E$2=BS43),'2024DATA'!$N$33,"")</f>
        <v/>
      </c>
      <c r="BT74" s="940" t="s">
        <v>51</v>
      </c>
      <c r="BU74" s="13" t="s">
        <v>61</v>
      </c>
      <c r="BV74" s="518" t="str">
        <f>IF(AND(_E="A-220-300",'2024'!$E$4="CA",'2024'!$E$2=BV43),'2024DATA'!$C$33,"")</f>
        <v/>
      </c>
      <c r="BW74" s="518" t="str">
        <f>IF(AND(_E="A-220-300",'2024'!$E$4="CA",'2024'!$E$2=BW43),'2024DATA'!$D$33,"")</f>
        <v/>
      </c>
      <c r="BX74" s="518" t="str">
        <f>IF(AND(_E="A-220-300",'2024'!$E$4="CA",'2024'!$E$2=BX43),'2024DATA'!$E$33,"")</f>
        <v/>
      </c>
      <c r="BY74" s="518" t="str">
        <f>IF(AND(_E="A-220-300",'2024'!$E$4="CA",'2024'!$E$2=BY43),'2024DATA'!$F$33,"")</f>
        <v/>
      </c>
      <c r="BZ74" s="518" t="str">
        <f>IF(AND(_E="A-220-300",'2024'!$E$4="CA",'2024'!$E$2=BZ43),'2024DATA'!$G$33,"")</f>
        <v/>
      </c>
      <c r="CA74" s="518" t="str">
        <f>IF(AND(_E="A-220-300",'2024'!$E$4="CA",'2024'!$E$2=CA43),'2024DATA'!$H$33,"")</f>
        <v/>
      </c>
      <c r="CB74" s="518" t="str">
        <f>IF(AND(_E="A-220-300",'2024'!$E$4="CA",'2024'!$E$2=CB43),'2024DATA'!$I$33,"")</f>
        <v/>
      </c>
      <c r="CC74" s="518" t="str">
        <f>IF(AND(_E="A-220-300",'2024'!$E$4="CA",'2024'!$E$2=CC43),'2024DATA'!$J$33,"")</f>
        <v/>
      </c>
      <c r="CD74" s="518" t="str">
        <f>IF(AND(_E="A-220-300",'2024'!$E$4="CA",'2024'!$E$2=CD43),'2024DATA'!$K$33,"")</f>
        <v/>
      </c>
      <c r="CE74" s="518" t="str">
        <f>IF(AND(_E="A-220-300",'2024'!$E$4="CA",'2024'!$E$2=CE43),'2024DATA'!$L$33,"")</f>
        <v/>
      </c>
      <c r="CF74" s="518" t="str">
        <f>IF(AND(_E="A-220-300",'2024'!$E$4="CA",'2024'!$E$2=CF43),'2024DATA'!$M$33,"")</f>
        <v/>
      </c>
      <c r="CG74" s="520" t="str">
        <f>IF(AND(_E="A-220-300",'2024'!$E$4="CA",'2024'!$E$2=CG43),'2024DATA'!$N$33,"")</f>
        <v/>
      </c>
      <c r="CH74" s="940" t="s">
        <v>51</v>
      </c>
      <c r="CI74" s="13" t="s">
        <v>61</v>
      </c>
      <c r="CJ74" s="518" t="str">
        <f>IF(AND(_F="A-220-300",'2024'!$E$4="CA",'2024'!$E$2=CJ43),'2024DATA'!$C$33,"")</f>
        <v/>
      </c>
      <c r="CK74" s="518" t="str">
        <f>IF(AND(_F="A-220-300",'2024'!$E$4="CA",'2024'!$E$2=CK43),'2024DATA'!$D$33,"")</f>
        <v/>
      </c>
      <c r="CL74" s="518" t="str">
        <f>IF(AND(_F="A-220-300",'2024'!$E$4="CA",'2024'!$E$2=CL43),'2024DATA'!$E$33,"")</f>
        <v/>
      </c>
      <c r="CM74" s="518" t="str">
        <f>IF(AND(_F="A-220-300",'2024'!$E$4="CA",'2024'!$E$2=CM43),'2024DATA'!$F$33,"")</f>
        <v/>
      </c>
      <c r="CN74" s="518" t="str">
        <f>IF(AND(_F="A-220-300",'2024'!$E$4="CA",'2024'!$E$2=CN43),'2024DATA'!$G$33,"")</f>
        <v/>
      </c>
      <c r="CO74" s="518" t="str">
        <f>IF(AND(_F="A-220-300",'2024'!$E$4="CA",'2024'!$E$2=CO43),'2024DATA'!$H$33,"")</f>
        <v/>
      </c>
      <c r="CP74" s="518" t="str">
        <f>IF(AND(_F="A-220-300",'2024'!$E$4="CA",'2024'!$E$2=CP43),'2024DATA'!$I$33,"")</f>
        <v/>
      </c>
      <c r="CQ74" s="518" t="str">
        <f>IF(AND(_F="A-220-300",'2024'!$E$4="CA",'2024'!$E$2=CQ43),'2024DATA'!$J$33,"")</f>
        <v/>
      </c>
      <c r="CR74" s="518" t="str">
        <f>IF(AND(_F="A-220-300",'2024'!$E$4="CA",'2024'!$E$2=CR43),'2024DATA'!$K$33,"")</f>
        <v/>
      </c>
      <c r="CS74" s="518" t="str">
        <f>IF(AND(_F="A-220-300",'2024'!$E$4="CA",'2024'!$E$2=CS43),'2024DATA'!$L$33,"")</f>
        <v/>
      </c>
      <c r="CT74" s="518" t="str">
        <f>IF(AND(_F="A-220-300",'2024'!$E$4="CA",'2024'!$E$2=CT43),'2024DATA'!$M$33,"")</f>
        <v/>
      </c>
      <c r="CU74" s="520" t="str">
        <f>IF(AND(_F="A-220-300",'2024'!$E$4="CA",'2024'!$E$2=CU43),'2024DATA'!$N$33,"")</f>
        <v/>
      </c>
    </row>
    <row r="75" spans="16:99" x14ac:dyDescent="0.25">
      <c r="P75" s="940"/>
      <c r="Q75" s="13" t="s">
        <v>62</v>
      </c>
      <c r="R75" s="518" t="str">
        <f>IF(AND(_A="A-220-300",'2024'!$E$4="FO",'2024'!$E$2=R43),'2024DATA'!$C$34,"")</f>
        <v/>
      </c>
      <c r="S75" s="518" t="str">
        <f>IF(AND(_A="A-220-300",'2024'!$E$4="FO",'2024'!$E$2=S43),'2024DATA'!$D$34,"")</f>
        <v/>
      </c>
      <c r="T75" s="518" t="str">
        <f>IF(AND(_A="A-220-300",'2024'!$E$4="FO",'2024'!$E$2=T43),'2024DATA'!$E$34,"")</f>
        <v/>
      </c>
      <c r="U75" s="518" t="str">
        <f>IF(AND(_A="A-220-300",'2024'!$E$4="FO",'2024'!$E$2=U43),'2024DATA'!$F$34,"")</f>
        <v/>
      </c>
      <c r="V75" s="518" t="str">
        <f>IF(AND(_A="A-220-300",'2024'!$E$4="FO",'2024'!$E$2=V43),'2024DATA'!$G$34,"")</f>
        <v/>
      </c>
      <c r="W75" s="518" t="str">
        <f>IF(AND(_A="A-220-300",'2024'!$E$4="FO",'2024'!$E$2=W43),'2024DATA'!$H$34,"")</f>
        <v/>
      </c>
      <c r="X75" s="518" t="str">
        <f>IF(AND(_A="A-220-300",'2024'!$E$4="FO",'2024'!$E$2=X43),'2024DATA'!$I$34,"")</f>
        <v/>
      </c>
      <c r="Y75" s="518" t="str">
        <f>IF(AND(_A="A-220-300",'2024'!$E$4="FO",'2024'!$E$2=Y43),'2024DATA'!$J$34,"")</f>
        <v/>
      </c>
      <c r="Z75" s="518" t="str">
        <f>IF(AND(_A="A-220-300",'2024'!$E$4="FO",'2024'!$E$2=Z43),'2024DATA'!$K$34,"")</f>
        <v/>
      </c>
      <c r="AA75" s="518" t="str">
        <f>IF(AND(_A="A-220-300",'2024'!$E$4="FO",'2024'!$E$2=AA43),'2024DATA'!$L$34,"")</f>
        <v/>
      </c>
      <c r="AB75" s="518" t="str">
        <f>IF(AND(_A="A-220-300",'2024'!$E$4="FO",'2024'!$E$2=AB43),'2024DATA'!$M$34,"")</f>
        <v/>
      </c>
      <c r="AC75" s="520" t="str">
        <f>IF(AND(_A="A-220-300",'2024'!$E$4="FO",'2024'!$E$2=AC43),'2024DATA'!$N$34,"")</f>
        <v/>
      </c>
      <c r="AD75" s="940"/>
      <c r="AE75" s="13" t="s">
        <v>62</v>
      </c>
      <c r="AF75" s="518" t="str">
        <f>IF(AND(_B="A-220-300",'2024'!$E$4="FO",'2024'!$E$2=AF43),'2024DATA'!$C$34,"")</f>
        <v/>
      </c>
      <c r="AG75" s="518" t="str">
        <f>IF(AND(_B="A-220-300",'2024'!$E$4="FO",'2024'!$E$2=AG43),'2024DATA'!$D$34,"")</f>
        <v/>
      </c>
      <c r="AH75" s="518" t="str">
        <f>IF(AND(_B="A-220-300",'2024'!$E$4="FO",'2024'!$E$2=AH43),'2024DATA'!$E$34,"")</f>
        <v/>
      </c>
      <c r="AI75" s="518" t="str">
        <f>IF(AND(_B="A-220-300",'2024'!$E$4="FO",'2024'!$E$2=AI43),'2024DATA'!$F$34,"")</f>
        <v/>
      </c>
      <c r="AJ75" s="518" t="str">
        <f>IF(AND(_B="A-220-300",'2024'!$E$4="FO",'2024'!$E$2=AJ43),'2024DATA'!$G$34,"")</f>
        <v/>
      </c>
      <c r="AK75" s="518" t="str">
        <f>IF(AND(_B="A-220-300",'2024'!$E$4="FO",'2024'!$E$2=AK43),'2024DATA'!$H$34,"")</f>
        <v/>
      </c>
      <c r="AL75" s="518" t="str">
        <f>IF(AND(_B="A-220-300",'2024'!$E$4="FO",'2024'!$E$2=AL43),'2024DATA'!$I$34,"")</f>
        <v/>
      </c>
      <c r="AM75" s="518" t="str">
        <f>IF(AND(_B="A-220-300",'2024'!$E$4="FO",'2024'!$E$2=AM43),'2024DATA'!$J$34,"")</f>
        <v/>
      </c>
      <c r="AN75" s="518" t="str">
        <f>IF(AND(_B="A-220-300",'2024'!$E$4="FO",'2024'!$E$2=AN43),'2024DATA'!$K$34,"")</f>
        <v/>
      </c>
      <c r="AO75" s="518" t="str">
        <f>IF(AND(_B="A-220-300",'2024'!$E$4="FO",'2024'!$E$2=AO43),'2024DATA'!$L$34,"")</f>
        <v/>
      </c>
      <c r="AP75" s="518" t="str">
        <f>IF(AND(_B="A-220-300",'2024'!$E$4="FO",'2024'!$E$2=AP43),'2024DATA'!$M$34,"")</f>
        <v/>
      </c>
      <c r="AQ75" s="520" t="str">
        <f>IF(AND(_B="A-220-300",'2024'!$E$4="FO",'2024'!$E$2=AQ43),'2024DATA'!$N$34,"")</f>
        <v/>
      </c>
      <c r="AR75" s="940"/>
      <c r="AS75" s="13" t="s">
        <v>62</v>
      </c>
      <c r="AT75" s="518" t="str">
        <f>IF(AND(_C="A-220-300",'2024'!$E$4="FO",'2024'!$E$2=AT43),'2024DATA'!$C$34,"")</f>
        <v/>
      </c>
      <c r="AU75" s="518" t="str">
        <f>IF(AND(_C="A-220-300",'2024'!$E$4="FO",'2024'!$E$2=AU43),'2024DATA'!$D$34,"")</f>
        <v/>
      </c>
      <c r="AV75" s="518" t="str">
        <f>IF(AND(_C="A-220-300",'2024'!$E$4="FO",'2024'!$E$2=AV43),'2024DATA'!$E$34,"")</f>
        <v/>
      </c>
      <c r="AW75" s="518" t="str">
        <f>IF(AND(_C="A-220-300",'2024'!$E$4="FO",'2024'!$E$2=AW43),'2024DATA'!$F$34,"")</f>
        <v/>
      </c>
      <c r="AX75" s="518" t="str">
        <f>IF(AND(_C="A-220-300",'2024'!$E$4="FO",'2024'!$E$2=AX43),'2024DATA'!$G$34,"")</f>
        <v/>
      </c>
      <c r="AY75" s="518" t="str">
        <f>IF(AND(_C="A-220-300",'2024'!$E$4="FO",'2024'!$E$2=AY43),'2024DATA'!$H$34,"")</f>
        <v/>
      </c>
      <c r="AZ75" s="518" t="str">
        <f>IF(AND(_C="A-220-300",'2024'!$E$4="FO",'2024'!$E$2=AZ43),'2024DATA'!$I$34,"")</f>
        <v/>
      </c>
      <c r="BA75" s="518" t="str">
        <f>IF(AND(_C="A-220-300",'2024'!$E$4="FO",'2024'!$E$2=BA43),'2024DATA'!$J$34,"")</f>
        <v/>
      </c>
      <c r="BB75" s="518" t="str">
        <f>IF(AND(_C="A-220-300",'2024'!$E$4="FO",'2024'!$E$2=BB43),'2024DATA'!$K$34,"")</f>
        <v/>
      </c>
      <c r="BC75" s="518" t="str">
        <f>IF(AND(_C="A-220-300",'2024'!$E$4="FO",'2024'!$E$2=BC43),'2024DATA'!$L$34,"")</f>
        <v/>
      </c>
      <c r="BD75" s="518" t="str">
        <f>IF(AND(_C="A-220-300",'2024'!$E$4="FO",'2024'!$E$2=BD43),'2024DATA'!$M$34,"")</f>
        <v/>
      </c>
      <c r="BE75" s="520" t="str">
        <f>IF(AND(_C="A-220-300",'2024'!$E$4="FO",'2024'!$E$2=BE43),'2024DATA'!$N$34,"")</f>
        <v/>
      </c>
      <c r="BF75" s="940"/>
      <c r="BG75" s="13" t="s">
        <v>62</v>
      </c>
      <c r="BH75" s="518" t="str">
        <f>IF(AND(_D="A-220-300",'2024'!$E$4="FO",'2024'!$E$2=BH43),'2024DATA'!$C$34,"")</f>
        <v/>
      </c>
      <c r="BI75" s="518" t="str">
        <f>IF(AND(_D="A-220-300",'2024'!$E$4="FO",'2024'!$E$2=BI43),'2024DATA'!$D$34,"")</f>
        <v/>
      </c>
      <c r="BJ75" s="518" t="str">
        <f>IF(AND(_D="A-220-300",'2024'!$E$4="FO",'2024'!$E$2=BJ43),'2024DATA'!$E$34,"")</f>
        <v/>
      </c>
      <c r="BK75" s="518" t="str">
        <f>IF(AND(_D="A-220-300",'2024'!$E$4="FO",'2024'!$E$2=BK43),'2024DATA'!$F$34,"")</f>
        <v/>
      </c>
      <c r="BL75" s="518" t="str">
        <f>IF(AND(_D="A-220-300",'2024'!$E$4="FO",'2024'!$E$2=BL43),'2024DATA'!$G$34,"")</f>
        <v/>
      </c>
      <c r="BM75" s="518" t="str">
        <f>IF(AND(_D="A-220-300",'2024'!$E$4="FO",'2024'!$E$2=BM43),'2024DATA'!$H$34,"")</f>
        <v/>
      </c>
      <c r="BN75" s="518" t="str">
        <f>IF(AND(_D="A-220-300",'2024'!$E$4="FO",'2024'!$E$2=BN43),'2024DATA'!$I$34,"")</f>
        <v/>
      </c>
      <c r="BO75" s="518" t="str">
        <f>IF(AND(_D="A-220-300",'2024'!$E$4="FO",'2024'!$E$2=BO43),'2024DATA'!$J$34,"")</f>
        <v/>
      </c>
      <c r="BP75" s="518" t="str">
        <f>IF(AND(_D="A-220-300",'2024'!$E$4="FO",'2024'!$E$2=BP43),'2024DATA'!$K$34,"")</f>
        <v/>
      </c>
      <c r="BQ75" s="518" t="str">
        <f>IF(AND(_D="A-220-300",'2024'!$E$4="FO",'2024'!$E$2=BQ43),'2024DATA'!$L$34,"")</f>
        <v/>
      </c>
      <c r="BR75" s="518" t="str">
        <f>IF(AND(_D="A-220-300",'2024'!$E$4="FO",'2024'!$E$2=BR43),'2024DATA'!$M$34,"")</f>
        <v/>
      </c>
      <c r="BS75" s="520" t="str">
        <f>IF(AND(_D="A-220-300",'2024'!$E$4="FO",'2024'!$E$2=BS43),'2024DATA'!$N$34,"")</f>
        <v/>
      </c>
      <c r="BT75" s="940"/>
      <c r="BU75" s="13" t="s">
        <v>62</v>
      </c>
      <c r="BV75" s="518" t="str">
        <f>IF(AND(_E="A-220-300",'2024'!$E$4="FO",'2024'!$E$2=BV43),'2024DATA'!$C$34,"")</f>
        <v/>
      </c>
      <c r="BW75" s="518" t="str">
        <f>IF(AND(_E="A-220-300",'2024'!$E$4="FO",'2024'!$E$2=BW43),'2024DATA'!$D$34,"")</f>
        <v/>
      </c>
      <c r="BX75" s="518" t="str">
        <f>IF(AND(_E="A-220-300",'2024'!$E$4="FO",'2024'!$E$2=BX43),'2024DATA'!$E$34,"")</f>
        <v/>
      </c>
      <c r="BY75" s="518" t="str">
        <f>IF(AND(_E="A-220-300",'2024'!$E$4="FO",'2024'!$E$2=BY43),'2024DATA'!$F$34,"")</f>
        <v/>
      </c>
      <c r="BZ75" s="518" t="str">
        <f>IF(AND(_E="A-220-300",'2024'!$E$4="FO",'2024'!$E$2=BZ43),'2024DATA'!$G$34,"")</f>
        <v/>
      </c>
      <c r="CA75" s="518" t="str">
        <f>IF(AND(_E="A-220-300",'2024'!$E$4="FO",'2024'!$E$2=CA43),'2024DATA'!$H$34,"")</f>
        <v/>
      </c>
      <c r="CB75" s="518" t="str">
        <f>IF(AND(_E="A-220-300",'2024'!$E$4="FO",'2024'!$E$2=CB43),'2024DATA'!$I$34,"")</f>
        <v/>
      </c>
      <c r="CC75" s="518" t="str">
        <f>IF(AND(_E="A-220-300",'2024'!$E$4="FO",'2024'!$E$2=CC43),'2024DATA'!$J$34,"")</f>
        <v/>
      </c>
      <c r="CD75" s="518" t="str">
        <f>IF(AND(_E="A-220-300",'2024'!$E$4="FO",'2024'!$E$2=CD43),'2024DATA'!$K$34,"")</f>
        <v/>
      </c>
      <c r="CE75" s="518" t="str">
        <f>IF(AND(_E="A-220-300",'2024'!$E$4="FO",'2024'!$E$2=CE43),'2024DATA'!$L$34,"")</f>
        <v/>
      </c>
      <c r="CF75" s="518" t="str">
        <f>IF(AND(_E="A-220-300",'2024'!$E$4="FO",'2024'!$E$2=CF43),'2024DATA'!$M$34,"")</f>
        <v/>
      </c>
      <c r="CG75" s="520" t="str">
        <f>IF(AND(_E="A-220-300",'2024'!$E$4="FO",'2024'!$E$2=CG43),'2024DATA'!$N$34,"")</f>
        <v/>
      </c>
      <c r="CH75" s="940"/>
      <c r="CI75" s="13" t="s">
        <v>62</v>
      </c>
      <c r="CJ75" s="518" t="str">
        <f>IF(AND(_F="A-220-300",'2024'!$E$4="FO",'2024'!$E$2=CJ43),'2024DATA'!$C$34,"")</f>
        <v/>
      </c>
      <c r="CK75" s="518" t="str">
        <f>IF(AND(_F="A-220-300",'2024'!$E$4="FO",'2024'!$E$2=CK43),'2024DATA'!$D$34,"")</f>
        <v/>
      </c>
      <c r="CL75" s="518" t="str">
        <f>IF(AND(_F="A-220-300",'2024'!$E$4="FO",'2024'!$E$2=CL43),'2024DATA'!$E$34,"")</f>
        <v/>
      </c>
      <c r="CM75" s="518" t="str">
        <f>IF(AND(_F="A-220-300",'2024'!$E$4="FO",'2024'!$E$2=CM43),'2024DATA'!$F$34,"")</f>
        <v/>
      </c>
      <c r="CN75" s="518" t="str">
        <f>IF(AND(_F="A-220-300",'2024'!$E$4="FO",'2024'!$E$2=CN43),'2024DATA'!$G$34,"")</f>
        <v/>
      </c>
      <c r="CO75" s="518" t="str">
        <f>IF(AND(_F="A-220-300",'2024'!$E$4="FO",'2024'!$E$2=CO43),'2024DATA'!$H$34,"")</f>
        <v/>
      </c>
      <c r="CP75" s="518" t="str">
        <f>IF(AND(_F="A-220-300",'2024'!$E$4="FO",'2024'!$E$2=CP43),'2024DATA'!$I$34,"")</f>
        <v/>
      </c>
      <c r="CQ75" s="518" t="str">
        <f>IF(AND(_F="A-220-300",'2024'!$E$4="FO",'2024'!$E$2=CQ43),'2024DATA'!$J$34,"")</f>
        <v/>
      </c>
      <c r="CR75" s="518" t="str">
        <f>IF(AND(_F="A-220-300",'2024'!$E$4="FO",'2024'!$E$2=CR43),'2024DATA'!$K$34,"")</f>
        <v/>
      </c>
      <c r="CS75" s="518" t="str">
        <f>IF(AND(_F="A-220-300",'2024'!$E$4="FO",'2024'!$E$2=CS43),'2024DATA'!$L$34,"")</f>
        <v/>
      </c>
      <c r="CT75" s="518" t="str">
        <f>IF(AND(_F="A-220-300",'2024'!$E$4="FO",'2024'!$E$2=CT43),'2024DATA'!$M$34,"")</f>
        <v/>
      </c>
      <c r="CU75" s="520" t="str">
        <f>IF(AND(_F="A-220-300",'2024'!$E$4="FO",'2024'!$E$2=CU43),'2024DATA'!$N$34,"")</f>
        <v/>
      </c>
    </row>
    <row r="76" spans="16:99" x14ac:dyDescent="0.25">
      <c r="P76" s="940" t="s">
        <v>52</v>
      </c>
      <c r="Q76" s="13" t="s">
        <v>61</v>
      </c>
      <c r="R76" s="518" t="str">
        <f>IF(AND(_A="A-220-100",'2024'!$E$4="CA",'2024'!$E$2=R43),'2024DATA'!$C$35,"")</f>
        <v/>
      </c>
      <c r="S76" s="518" t="str">
        <f>IF(AND(_A="A-220-100",'2024'!$E$4="CA",'2024'!$E$2=S43),'2024DATA'!$D$35,"")</f>
        <v/>
      </c>
      <c r="T76" s="518" t="str">
        <f>IF(AND(_A="A-220-100",'2024'!$E$4="CA",'2024'!$E$2=T43),'2024DATA'!$E$35,"")</f>
        <v/>
      </c>
      <c r="U76" s="518" t="str">
        <f>IF(AND(_A="A-220-100",'2024'!$E$4="CA",'2024'!$E$2=U43),'2024DATA'!$F$35,"")</f>
        <v/>
      </c>
      <c r="V76" s="518" t="str">
        <f>IF(AND(_A="A-220-100",'2024'!$E$4="CA",'2024'!$E$2=V43),'2024DATA'!$G$35,"")</f>
        <v/>
      </c>
      <c r="W76" s="518" t="str">
        <f>IF(AND(_A="A-220-100",'2024'!$E$4="CA",'2024'!$E$2=W43),'2024DATA'!$H$35,"")</f>
        <v/>
      </c>
      <c r="X76" s="518" t="str">
        <f>IF(AND(_A="A-220-100",'2024'!$E$4="CA",'2024'!$E$2=X43),'2024DATA'!$I$35,"")</f>
        <v/>
      </c>
      <c r="Y76" s="518" t="str">
        <f>IF(AND(_A="A-220-100",'2024'!$E$4="CA",'2024'!$E$2=Y43),'2024DATA'!$J$35,"")</f>
        <v/>
      </c>
      <c r="Z76" s="518" t="str">
        <f>IF(AND(_A="A-220-100",'2024'!$E$4="CA",'2024'!$E$2=Z43),'2024DATA'!$K$35,"")</f>
        <v/>
      </c>
      <c r="AA76" s="518" t="str">
        <f>IF(AND(_A="A-220-100",'2024'!$E$4="CA",'2024'!$E$2=AA43),'2024DATA'!$L$35,"")</f>
        <v/>
      </c>
      <c r="AB76" s="518" t="str">
        <f>IF(AND(_A="A-220-100",'2024'!$E$4="CA",'2024'!$E$2=AB43),'2024DATA'!$M$35,"")</f>
        <v/>
      </c>
      <c r="AC76" s="520" t="str">
        <f>IF(AND(_A="A-220-100",'2024'!$E$4="CA",'2024'!$E$2=AC43),'2024DATA'!$N$35,"")</f>
        <v/>
      </c>
      <c r="AD76" s="940" t="s">
        <v>52</v>
      </c>
      <c r="AE76" s="13" t="s">
        <v>61</v>
      </c>
      <c r="AF76" s="518" t="str">
        <f>IF(AND(_B="A-220-100",'2024'!$E$4="CA",'2024'!$E$2=AF43),'2024DATA'!$C$35,"")</f>
        <v/>
      </c>
      <c r="AG76" s="518" t="str">
        <f>IF(AND(_B="A-220-100",'2024'!$E$4="CA",'2024'!$E$2=AG43),'2024DATA'!$D$35,"")</f>
        <v/>
      </c>
      <c r="AH76" s="518" t="str">
        <f>IF(AND(_B="A-220-100",'2024'!$E$4="CA",'2024'!$E$2=AH43),'2024DATA'!$E$35,"")</f>
        <v/>
      </c>
      <c r="AI76" s="518" t="str">
        <f>IF(AND(_B="A-220-100",'2024'!$E$4="CA",'2024'!$E$2=AI43),'2024DATA'!$F$35,"")</f>
        <v/>
      </c>
      <c r="AJ76" s="518" t="str">
        <f>IF(AND(_B="A-220-100",'2024'!$E$4="CA",'2024'!$E$2=AJ43),'2024DATA'!$G$35,"")</f>
        <v/>
      </c>
      <c r="AK76" s="518" t="str">
        <f>IF(AND(_B="A-220-100",'2024'!$E$4="CA",'2024'!$E$2=AK43),'2024DATA'!$H$35,"")</f>
        <v/>
      </c>
      <c r="AL76" s="518" t="str">
        <f>IF(AND(_B="A-220-100",'2024'!$E$4="CA",'2024'!$E$2=AL43),'2024DATA'!$I$35,"")</f>
        <v/>
      </c>
      <c r="AM76" s="518" t="str">
        <f>IF(AND(_B="A-220-100",'2024'!$E$4="CA",'2024'!$E$2=AM43),'2024DATA'!$J$35,"")</f>
        <v/>
      </c>
      <c r="AN76" s="518" t="str">
        <f>IF(AND(_B="A-220-100",'2024'!$E$4="CA",'2024'!$E$2=AN43),'2024DATA'!$K$35,"")</f>
        <v/>
      </c>
      <c r="AO76" s="518" t="str">
        <f>IF(AND(_B="A-220-100",'2024'!$E$4="CA",'2024'!$E$2=AO43),'2024DATA'!$L$35,"")</f>
        <v/>
      </c>
      <c r="AP76" s="518" t="str">
        <f>IF(AND(_B="A-220-100",'2024'!$E$4="CA",'2024'!$E$2=AP43),'2024DATA'!$M$35,"")</f>
        <v/>
      </c>
      <c r="AQ76" s="520" t="str">
        <f>IF(AND(_B="A-220-100",'2024'!$E$4="CA",'2024'!$E$2=AQ43),'2024DATA'!$N$35,"")</f>
        <v/>
      </c>
      <c r="AR76" s="940" t="s">
        <v>52</v>
      </c>
      <c r="AS76" s="13" t="s">
        <v>61</v>
      </c>
      <c r="AT76" s="518" t="str">
        <f>IF(AND(_C="A-220-100",'2024'!$E$4="CA",'2024'!$E$2=AT43),'2024DATA'!$C$35,"")</f>
        <v/>
      </c>
      <c r="AU76" s="518" t="str">
        <f>IF(AND(_C="A-220-100",'2024'!$E$4="CA",'2024'!$E$2=AU43),'2024DATA'!$D$35,"")</f>
        <v/>
      </c>
      <c r="AV76" s="518" t="str">
        <f>IF(AND(_C="A-220-100",'2024'!$E$4="CA",'2024'!$E$2=AV43),'2024DATA'!$E$35,"")</f>
        <v/>
      </c>
      <c r="AW76" s="518" t="str">
        <f>IF(AND(_C="A-220-100",'2024'!$E$4="CA",'2024'!$E$2=AW43),'2024DATA'!$F$35,"")</f>
        <v/>
      </c>
      <c r="AX76" s="518" t="str">
        <f>IF(AND(_C="A-220-100",'2024'!$E$4="CA",'2024'!$E$2=AX43),'2024DATA'!$G$35,"")</f>
        <v/>
      </c>
      <c r="AY76" s="518" t="str">
        <f>IF(AND(_C="A-220-100",'2024'!$E$4="CA",'2024'!$E$2=AY43),'2024DATA'!$H$35,"")</f>
        <v/>
      </c>
      <c r="AZ76" s="518" t="str">
        <f>IF(AND(_C="A-220-100",'2024'!$E$4="CA",'2024'!$E$2=AZ43),'2024DATA'!$I$35,"")</f>
        <v/>
      </c>
      <c r="BA76" s="518" t="str">
        <f>IF(AND(_C="A-220-100",'2024'!$E$4="CA",'2024'!$E$2=BA43),'2024DATA'!$J$35,"")</f>
        <v/>
      </c>
      <c r="BB76" s="518" t="str">
        <f>IF(AND(_C="A-220-100",'2024'!$E$4="CA",'2024'!$E$2=BB43),'2024DATA'!$K$35,"")</f>
        <v/>
      </c>
      <c r="BC76" s="518" t="str">
        <f>IF(AND(_C="A-220-100",'2024'!$E$4="CA",'2024'!$E$2=BC43),'2024DATA'!$L$35,"")</f>
        <v/>
      </c>
      <c r="BD76" s="518" t="str">
        <f>IF(AND(_C="A-220-100",'2024'!$E$4="CA",'2024'!$E$2=BD43),'2024DATA'!$M$35,"")</f>
        <v/>
      </c>
      <c r="BE76" s="520" t="str">
        <f>IF(AND(_C="A-220-100",'2024'!$E$4="CA",'2024'!$E$2=BE43),'2024DATA'!$N$35,"")</f>
        <v/>
      </c>
      <c r="BF76" s="940" t="s">
        <v>52</v>
      </c>
      <c r="BG76" s="13" t="s">
        <v>61</v>
      </c>
      <c r="BH76" s="518" t="str">
        <f>IF(AND(_D="A-220-100",'2024'!$E$4="CA",'2024'!$E$2=BH43),'2024DATA'!$C$35,"")</f>
        <v/>
      </c>
      <c r="BI76" s="518" t="str">
        <f>IF(AND(_D="A-220-100",'2024'!$E$4="CA",'2024'!$E$2=BI43),'2024DATA'!$D$35,"")</f>
        <v/>
      </c>
      <c r="BJ76" s="518" t="str">
        <f>IF(AND(_D="A-220-100",'2024'!$E$4="CA",'2024'!$E$2=BJ43),'2024DATA'!$E$35,"")</f>
        <v/>
      </c>
      <c r="BK76" s="518" t="str">
        <f>IF(AND(_D="A-220-100",'2024'!$E$4="CA",'2024'!$E$2=BK43),'2024DATA'!$F$35,"")</f>
        <v/>
      </c>
      <c r="BL76" s="518" t="str">
        <f>IF(AND(_D="A-220-100",'2024'!$E$4="CA",'2024'!$E$2=BL43),'2024DATA'!$G$35,"")</f>
        <v/>
      </c>
      <c r="BM76" s="518" t="str">
        <f>IF(AND(_D="A-220-100",'2024'!$E$4="CA",'2024'!$E$2=BM43),'2024DATA'!$H$35,"")</f>
        <v/>
      </c>
      <c r="BN76" s="518" t="str">
        <f>IF(AND(_D="A-220-100",'2024'!$E$4="CA",'2024'!$E$2=BN43),'2024DATA'!$I$35,"")</f>
        <v/>
      </c>
      <c r="BO76" s="518" t="str">
        <f>IF(AND(_D="A-220-100",'2024'!$E$4="CA",'2024'!$E$2=BO43),'2024DATA'!$J$35,"")</f>
        <v/>
      </c>
      <c r="BP76" s="518" t="str">
        <f>IF(AND(_D="A-220-100",'2024'!$E$4="CA",'2024'!$E$2=BP43),'2024DATA'!$K$35,"")</f>
        <v/>
      </c>
      <c r="BQ76" s="518" t="str">
        <f>IF(AND(_D="A-220-100",'2024'!$E$4="CA",'2024'!$E$2=BQ43),'2024DATA'!$L$35,"")</f>
        <v/>
      </c>
      <c r="BR76" s="518" t="str">
        <f>IF(AND(_D="A-220-100",'2024'!$E$4="CA",'2024'!$E$2=BR43),'2024DATA'!$M$35,"")</f>
        <v/>
      </c>
      <c r="BS76" s="520" t="str">
        <f>IF(AND(_D="A-220-100",'2024'!$E$4="CA",'2024'!$E$2=BS43),'2024DATA'!$N$35,"")</f>
        <v/>
      </c>
      <c r="BT76" s="940" t="s">
        <v>52</v>
      </c>
      <c r="BU76" s="13" t="s">
        <v>61</v>
      </c>
      <c r="BV76" s="518" t="str">
        <f>IF(AND(_E="A-220-100",'2024'!$E$4="CA",'2024'!$E$2=BV43),'2024DATA'!$C$35,"")</f>
        <v/>
      </c>
      <c r="BW76" s="518" t="str">
        <f>IF(AND(_E="A-220-100",'2024'!$E$4="CA",'2024'!$E$2=BW43),'2024DATA'!$D$35,"")</f>
        <v/>
      </c>
      <c r="BX76" s="518" t="str">
        <f>IF(AND(_E="A-220-100",'2024'!$E$4="CA",'2024'!$E$2=BX43),'2024DATA'!$E$35,"")</f>
        <v/>
      </c>
      <c r="BY76" s="518" t="str">
        <f>IF(AND(_E="A-220-100",'2024'!$E$4="CA",'2024'!$E$2=BY43),'2024DATA'!$F$35,"")</f>
        <v/>
      </c>
      <c r="BZ76" s="518" t="str">
        <f>IF(AND(_E="A-220-100",'2024'!$E$4="CA",'2024'!$E$2=BZ43),'2024DATA'!$G$35,"")</f>
        <v/>
      </c>
      <c r="CA76" s="518" t="str">
        <f>IF(AND(_E="A-220-100",'2024'!$E$4="CA",'2024'!$E$2=CA43),'2024DATA'!$H$35,"")</f>
        <v/>
      </c>
      <c r="CB76" s="518" t="str">
        <f>IF(AND(_E="A-220-100",'2024'!$E$4="CA",'2024'!$E$2=CB43),'2024DATA'!$I$35,"")</f>
        <v/>
      </c>
      <c r="CC76" s="518" t="str">
        <f>IF(AND(_E="A-220-100",'2024'!$E$4="CA",'2024'!$E$2=CC43),'2024DATA'!$J$35,"")</f>
        <v/>
      </c>
      <c r="CD76" s="518" t="str">
        <f>IF(AND(_E="A-220-100",'2024'!$E$4="CA",'2024'!$E$2=CD43),'2024DATA'!$K$35,"")</f>
        <v/>
      </c>
      <c r="CE76" s="518" t="str">
        <f>IF(AND(_E="A-220-100",'2024'!$E$4="CA",'2024'!$E$2=CE43),'2024DATA'!$L$35,"")</f>
        <v/>
      </c>
      <c r="CF76" s="518" t="str">
        <f>IF(AND(_E="A-220-100",'2024'!$E$4="CA",'2024'!$E$2=CF43),'2024DATA'!$M$35,"")</f>
        <v/>
      </c>
      <c r="CG76" s="520" t="str">
        <f>IF(AND(_E="A-220-100",'2024'!$E$4="CA",'2024'!$E$2=CG43),'2024DATA'!$N$35,"")</f>
        <v/>
      </c>
      <c r="CH76" s="940" t="s">
        <v>52</v>
      </c>
      <c r="CI76" s="13" t="s">
        <v>61</v>
      </c>
      <c r="CJ76" s="518" t="str">
        <f>IF(AND(_F="A-220-100",'2024'!$E$4="CA",'2024'!$E$2=CJ43),'2024DATA'!$C$35,"")</f>
        <v/>
      </c>
      <c r="CK76" s="518" t="str">
        <f>IF(AND(_F="A-220-100",'2024'!$E$4="CA",'2024'!$E$2=CK43),'2024DATA'!$D$35,"")</f>
        <v/>
      </c>
      <c r="CL76" s="518" t="str">
        <f>IF(AND(_F="A-220-100",'2024'!$E$4="CA",'2024'!$E$2=CL43),'2024DATA'!$E$35,"")</f>
        <v/>
      </c>
      <c r="CM76" s="518" t="str">
        <f>IF(AND(_F="A-220-100",'2024'!$E$4="CA",'2024'!$E$2=CM43),'2024DATA'!$F$35,"")</f>
        <v/>
      </c>
      <c r="CN76" s="518" t="str">
        <f>IF(AND(_F="A-220-100",'2024'!$E$4="CA",'2024'!$E$2=CN43),'2024DATA'!$G$35,"")</f>
        <v/>
      </c>
      <c r="CO76" s="518" t="str">
        <f>IF(AND(_F="A-220-100",'2024'!$E$4="CA",'2024'!$E$2=CO43),'2024DATA'!$H$35,"")</f>
        <v/>
      </c>
      <c r="CP76" s="518" t="str">
        <f>IF(AND(_F="A-220-100",'2024'!$E$4="CA",'2024'!$E$2=CP43),'2024DATA'!$I$35,"")</f>
        <v/>
      </c>
      <c r="CQ76" s="518" t="str">
        <f>IF(AND(_F="A-220-100",'2024'!$E$4="CA",'2024'!$E$2=CQ43),'2024DATA'!$J$35,"")</f>
        <v/>
      </c>
      <c r="CR76" s="518" t="str">
        <f>IF(AND(_F="A-220-100",'2024'!$E$4="CA",'2024'!$E$2=CR43),'2024DATA'!$K$35,"")</f>
        <v/>
      </c>
      <c r="CS76" s="518" t="str">
        <f>IF(AND(_F="A-220-100",'2024'!$E$4="CA",'2024'!$E$2=CS43),'2024DATA'!$L$35,"")</f>
        <v/>
      </c>
      <c r="CT76" s="518" t="str">
        <f>IF(AND(_F="A-220-100",'2024'!$E$4="CA",'2024'!$E$2=CT43),'2024DATA'!$M$35,"")</f>
        <v/>
      </c>
      <c r="CU76" s="520" t="str">
        <f>IF(AND(_F="A-220-100",'2024'!$E$4="CA",'2024'!$E$2=CU43),'2024DATA'!$N$35,"")</f>
        <v/>
      </c>
    </row>
    <row r="77" spans="16:99" x14ac:dyDescent="0.25">
      <c r="P77" s="940"/>
      <c r="Q77" s="13" t="s">
        <v>62</v>
      </c>
      <c r="R77" s="518" t="str">
        <f>IF(AND(_A="A-220-100",'2024'!$E$4="FO",'2024'!$E$2=R43),'2024DATA'!$C$36,"")</f>
        <v/>
      </c>
      <c r="S77" s="518" t="str">
        <f>IF(AND(_A="A-220-100",'2024'!$E$4="FO",'2024'!$E$2=S43),'2024DATA'!$D$36,"")</f>
        <v/>
      </c>
      <c r="T77" s="518" t="str">
        <f>IF(AND(_A="A-220-100",'2024'!$E$4="FO",'2024'!$E$2=T43),'2024DATA'!$E$36,"")</f>
        <v/>
      </c>
      <c r="U77" s="518" t="str">
        <f>IF(AND(_A="A-220-100",'2024'!$E$4="FO",'2024'!$E$2=U43),'2024DATA'!$F$36,"")</f>
        <v/>
      </c>
      <c r="V77" s="518" t="str">
        <f>IF(AND(_A="A-220-100",'2024'!$E$4="FO",'2024'!$E$2=V43),'2024DATA'!$G$36,"")</f>
        <v/>
      </c>
      <c r="W77" s="518" t="str">
        <f>IF(AND(_A="A-220-100",'2024'!$E$4="FO",'2024'!$E$2=W43),'2024DATA'!$H$36,"")</f>
        <v/>
      </c>
      <c r="X77" s="518" t="str">
        <f>IF(AND(_A="A-220-100",'2024'!$E$4="FO",'2024'!$E$2=X43),'2024DATA'!$I$36,"")</f>
        <v/>
      </c>
      <c r="Y77" s="518" t="str">
        <f>IF(AND(_A="A-220-100",'2024'!$E$4="FO",'2024'!$E$2=Y43),'2024DATA'!$J$36,"")</f>
        <v/>
      </c>
      <c r="Z77" s="518" t="str">
        <f>IF(AND(_A="A-220-100",'2024'!$E$4="FO",'2024'!$E$2=Z43),'2024DATA'!$K$36,"")</f>
        <v/>
      </c>
      <c r="AA77" s="518" t="str">
        <f>IF(AND(_A="A-220-100",'2024'!$E$4="FO",'2024'!$E$2=AA43),'2024DATA'!$L$36,"")</f>
        <v/>
      </c>
      <c r="AB77" s="518" t="str">
        <f>IF(AND(_A="A-220-100",'2024'!$E$4="FO",'2024'!$E$2=AB43),'2024DATA'!$M$36,"")</f>
        <v/>
      </c>
      <c r="AC77" s="520" t="str">
        <f>IF(AND(_A="A-220-100",'2024'!$E$4="FO",'2024'!$E$2=AC43),'2024DATA'!$N$36,"")</f>
        <v/>
      </c>
      <c r="AD77" s="940"/>
      <c r="AE77" s="13" t="s">
        <v>62</v>
      </c>
      <c r="AF77" s="518" t="str">
        <f>IF(AND(_B="A-220-100",'2024'!$E$4="FO",'2024'!$E$2=AF43),'2024DATA'!$C$36,"")</f>
        <v/>
      </c>
      <c r="AG77" s="518" t="str">
        <f>IF(AND(_B="A-220-100",'2024'!$E$4="FO",'2024'!$E$2=AG43),'2024DATA'!$D$36,"")</f>
        <v/>
      </c>
      <c r="AH77" s="518" t="str">
        <f>IF(AND(_B="A-220-100",'2024'!$E$4="FO",'2024'!$E$2=AH43),'2024DATA'!$E$36,"")</f>
        <v/>
      </c>
      <c r="AI77" s="518" t="str">
        <f>IF(AND(_B="A-220-100",'2024'!$E$4="FO",'2024'!$E$2=AI43),'2024DATA'!$F$36,"")</f>
        <v/>
      </c>
      <c r="AJ77" s="518" t="str">
        <f>IF(AND(_B="A-220-100",'2024'!$E$4="FO",'2024'!$E$2=AJ43),'2024DATA'!$G$36,"")</f>
        <v/>
      </c>
      <c r="AK77" s="518" t="str">
        <f>IF(AND(_B="A-220-100",'2024'!$E$4="FO",'2024'!$E$2=AK43),'2024DATA'!$H$36,"")</f>
        <v/>
      </c>
      <c r="AL77" s="518" t="str">
        <f>IF(AND(_B="A-220-100",'2024'!$E$4="FO",'2024'!$E$2=AL43),'2024DATA'!$I$36,"")</f>
        <v/>
      </c>
      <c r="AM77" s="518" t="str">
        <f>IF(AND(_B="A-220-100",'2024'!$E$4="FO",'2024'!$E$2=AM43),'2024DATA'!$J$36,"")</f>
        <v/>
      </c>
      <c r="AN77" s="518" t="str">
        <f>IF(AND(_B="A-220-100",'2024'!$E$4="FO",'2024'!$E$2=AN43),'2024DATA'!$K$36,"")</f>
        <v/>
      </c>
      <c r="AO77" s="518" t="str">
        <f>IF(AND(_B="A-220-100",'2024'!$E$4="FO",'2024'!$E$2=AO43),'2024DATA'!$L$36,"")</f>
        <v/>
      </c>
      <c r="AP77" s="518" t="str">
        <f>IF(AND(_B="A-220-100",'2024'!$E$4="FO",'2024'!$E$2=AP43),'2024DATA'!$M$36,"")</f>
        <v/>
      </c>
      <c r="AQ77" s="520" t="str">
        <f>IF(AND(_B="A-220-100",'2024'!$E$4="FO",'2024'!$E$2=AQ43),'2024DATA'!$N$36,"")</f>
        <v/>
      </c>
      <c r="AR77" s="940"/>
      <c r="AS77" s="13" t="s">
        <v>62</v>
      </c>
      <c r="AT77" s="518" t="str">
        <f>IF(AND(_C="A-220-100",'2024'!$E$4="FO",'2024'!$E$2=AT43),'2024DATA'!$C$36,"")</f>
        <v/>
      </c>
      <c r="AU77" s="518" t="str">
        <f>IF(AND(_C="A-220-100",'2024'!$E$4="FO",'2024'!$E$2=AU43),'2024DATA'!$D$36,"")</f>
        <v/>
      </c>
      <c r="AV77" s="518" t="str">
        <f>IF(AND(_C="A-220-100",'2024'!$E$4="FO",'2024'!$E$2=AV43),'2024DATA'!$E$36,"")</f>
        <v/>
      </c>
      <c r="AW77" s="518" t="str">
        <f>IF(AND(_C="A-220-100",'2024'!$E$4="FO",'2024'!$E$2=AW43),'2024DATA'!$F$36,"")</f>
        <v/>
      </c>
      <c r="AX77" s="518" t="str">
        <f>IF(AND(_C="A-220-100",'2024'!$E$4="FO",'2024'!$E$2=AX43),'2024DATA'!$G$36,"")</f>
        <v/>
      </c>
      <c r="AY77" s="518" t="str">
        <f>IF(AND(_C="A-220-100",'2024'!$E$4="FO",'2024'!$E$2=AY43),'2024DATA'!$H$36,"")</f>
        <v/>
      </c>
      <c r="AZ77" s="518" t="str">
        <f>IF(AND(_C="A-220-100",'2024'!$E$4="FO",'2024'!$E$2=AZ43),'2024DATA'!$I$36,"")</f>
        <v/>
      </c>
      <c r="BA77" s="518" t="str">
        <f>IF(AND(_C="A-220-100",'2024'!$E$4="FO",'2024'!$E$2=BA43),'2024DATA'!$J$36,"")</f>
        <v/>
      </c>
      <c r="BB77" s="518" t="str">
        <f>IF(AND(_C="A-220-100",'2024'!$E$4="FO",'2024'!$E$2=BB43),'2024DATA'!$K$36,"")</f>
        <v/>
      </c>
      <c r="BC77" s="518" t="str">
        <f>IF(AND(_C="A-220-100",'2024'!$E$4="FO",'2024'!$E$2=BC43),'2024DATA'!$L$36,"")</f>
        <v/>
      </c>
      <c r="BD77" s="518" t="str">
        <f>IF(AND(_C="A-220-100",'2024'!$E$4="FO",'2024'!$E$2=BD43),'2024DATA'!$M$36,"")</f>
        <v/>
      </c>
      <c r="BE77" s="520" t="str">
        <f>IF(AND(_C="A-220-100",'2024'!$E$4="FO",'2024'!$E$2=BE43),'2024DATA'!$N$36,"")</f>
        <v/>
      </c>
      <c r="BF77" s="940"/>
      <c r="BG77" s="13" t="s">
        <v>62</v>
      </c>
      <c r="BH77" s="518" t="str">
        <f>IF(AND(_D="A-220-100",'2024'!$E$4="FO",'2024'!$E$2=BH43),'2024DATA'!$C$36,"")</f>
        <v/>
      </c>
      <c r="BI77" s="518" t="str">
        <f>IF(AND(_D="A-220-100",'2024'!$E$4="FO",'2024'!$E$2=BI43),'2024DATA'!$D$36,"")</f>
        <v/>
      </c>
      <c r="BJ77" s="518" t="str">
        <f>IF(AND(_D="A-220-100",'2024'!$E$4="FO",'2024'!$E$2=BJ43),'2024DATA'!$E$36,"")</f>
        <v/>
      </c>
      <c r="BK77" s="518" t="str">
        <f>IF(AND(_D="A-220-100",'2024'!$E$4="FO",'2024'!$E$2=BK43),'2024DATA'!$F$36,"")</f>
        <v/>
      </c>
      <c r="BL77" s="518" t="str">
        <f>IF(AND(_D="A-220-100",'2024'!$E$4="FO",'2024'!$E$2=BL43),'2024DATA'!$G$36,"")</f>
        <v/>
      </c>
      <c r="BM77" s="518" t="str">
        <f>IF(AND(_D="A-220-100",'2024'!$E$4="FO",'2024'!$E$2=BM43),'2024DATA'!$H$36,"")</f>
        <v/>
      </c>
      <c r="BN77" s="518" t="str">
        <f>IF(AND(_D="A-220-100",'2024'!$E$4="FO",'2024'!$E$2=BN43),'2024DATA'!$I$36,"")</f>
        <v/>
      </c>
      <c r="BO77" s="518" t="str">
        <f>IF(AND(_D="A-220-100",'2024'!$E$4="FO",'2024'!$E$2=BO43),'2024DATA'!$J$36,"")</f>
        <v/>
      </c>
      <c r="BP77" s="518" t="str">
        <f>IF(AND(_D="A-220-100",'2024'!$E$4="FO",'2024'!$E$2=BP43),'2024DATA'!$K$36,"")</f>
        <v/>
      </c>
      <c r="BQ77" s="518" t="str">
        <f>IF(AND(_D="A-220-100",'2024'!$E$4="FO",'2024'!$E$2=BQ43),'2024DATA'!$L$36,"")</f>
        <v/>
      </c>
      <c r="BR77" s="518" t="str">
        <f>IF(AND(_D="A-220-100",'2024'!$E$4="FO",'2024'!$E$2=BR43),'2024DATA'!$M$36,"")</f>
        <v/>
      </c>
      <c r="BS77" s="520" t="str">
        <f>IF(AND(_D="A-220-100",'2024'!$E$4="FO",'2024'!$E$2=BS43),'2024DATA'!$N$36,"")</f>
        <v/>
      </c>
      <c r="BT77" s="940"/>
      <c r="BU77" s="13" t="s">
        <v>62</v>
      </c>
      <c r="BV77" s="518" t="str">
        <f>IF(AND(_E="A-220-100",'2024'!$E$4="FO",'2024'!$E$2=BV43),'2024DATA'!$C$36,"")</f>
        <v/>
      </c>
      <c r="BW77" s="518" t="str">
        <f>IF(AND(_E="A-220-100",'2024'!$E$4="FO",'2024'!$E$2=BW43),'2024DATA'!$D$36,"")</f>
        <v/>
      </c>
      <c r="BX77" s="518" t="str">
        <f>IF(AND(_E="A-220-100",'2024'!$E$4="FO",'2024'!$E$2=BX43),'2024DATA'!$E$36,"")</f>
        <v/>
      </c>
      <c r="BY77" s="518" t="str">
        <f>IF(AND(_E="A-220-100",'2024'!$E$4="FO",'2024'!$E$2=BY43),'2024DATA'!$F$36,"")</f>
        <v/>
      </c>
      <c r="BZ77" s="518" t="str">
        <f>IF(AND(_E="A-220-100",'2024'!$E$4="FO",'2024'!$E$2=BZ43),'2024DATA'!$G$36,"")</f>
        <v/>
      </c>
      <c r="CA77" s="518" t="str">
        <f>IF(AND(_E="A-220-100",'2024'!$E$4="FO",'2024'!$E$2=CA43),'2024DATA'!$H$36,"")</f>
        <v/>
      </c>
      <c r="CB77" s="518" t="str">
        <f>IF(AND(_E="A-220-100",'2024'!$E$4="FO",'2024'!$E$2=CB43),'2024DATA'!$I$36,"")</f>
        <v/>
      </c>
      <c r="CC77" s="518" t="str">
        <f>IF(AND(_E="A-220-100",'2024'!$E$4="FO",'2024'!$E$2=CC43),'2024DATA'!$J$36,"")</f>
        <v/>
      </c>
      <c r="CD77" s="518" t="str">
        <f>IF(AND(_E="A-220-100",'2024'!$E$4="FO",'2024'!$E$2=CD43),'2024DATA'!$K$36,"")</f>
        <v/>
      </c>
      <c r="CE77" s="518" t="str">
        <f>IF(AND(_E="A-220-100",'2024'!$E$4="FO",'2024'!$E$2=CE43),'2024DATA'!$L$36,"")</f>
        <v/>
      </c>
      <c r="CF77" s="518" t="str">
        <f>IF(AND(_E="A-220-100",'2024'!$E$4="FO",'2024'!$E$2=CF43),'2024DATA'!$M$36,"")</f>
        <v/>
      </c>
      <c r="CG77" s="520" t="str">
        <f>IF(AND(_E="A-220-100",'2024'!$E$4="FO",'2024'!$E$2=CG43),'2024DATA'!$N$36,"")</f>
        <v/>
      </c>
      <c r="CH77" s="940"/>
      <c r="CI77" s="13" t="s">
        <v>62</v>
      </c>
      <c r="CJ77" s="518" t="str">
        <f>IF(AND(_F="A-220-100",'2024'!$E$4="FO",'2024'!$E$2=CJ43),'2024DATA'!$C$36,"")</f>
        <v/>
      </c>
      <c r="CK77" s="518" t="str">
        <f>IF(AND(_F="A-220-100",'2024'!$E$4="FO",'2024'!$E$2=CK43),'2024DATA'!$D$36,"")</f>
        <v/>
      </c>
      <c r="CL77" s="518" t="str">
        <f>IF(AND(_F="A-220-100",'2024'!$E$4="FO",'2024'!$E$2=CL43),'2024DATA'!$E$36,"")</f>
        <v/>
      </c>
      <c r="CM77" s="518" t="str">
        <f>IF(AND(_F="A-220-100",'2024'!$E$4="FO",'2024'!$E$2=CM43),'2024DATA'!$F$36,"")</f>
        <v/>
      </c>
      <c r="CN77" s="518" t="str">
        <f>IF(AND(_F="A-220-100",'2024'!$E$4="FO",'2024'!$E$2=CN43),'2024DATA'!$G$36,"")</f>
        <v/>
      </c>
      <c r="CO77" s="518" t="str">
        <f>IF(AND(_F="A-220-100",'2024'!$E$4="FO",'2024'!$E$2=CO43),'2024DATA'!$H$36,"")</f>
        <v/>
      </c>
      <c r="CP77" s="518" t="str">
        <f>IF(AND(_F="A-220-100",'2024'!$E$4="FO",'2024'!$E$2=CP43),'2024DATA'!$I$36,"")</f>
        <v/>
      </c>
      <c r="CQ77" s="518" t="str">
        <f>IF(AND(_F="A-220-100",'2024'!$E$4="FO",'2024'!$E$2=CQ43),'2024DATA'!$J$36,"")</f>
        <v/>
      </c>
      <c r="CR77" s="518" t="str">
        <f>IF(AND(_F="A-220-100",'2024'!$E$4="FO",'2024'!$E$2=CR43),'2024DATA'!$K$36,"")</f>
        <v/>
      </c>
      <c r="CS77" s="518" t="str">
        <f>IF(AND(_F="A-220-100",'2024'!$E$4="FO",'2024'!$E$2=CS43),'2024DATA'!$L$36,"")</f>
        <v/>
      </c>
      <c r="CT77" s="518" t="str">
        <f>IF(AND(_F="A-220-100",'2024'!$E$4="FO",'2024'!$E$2=CT43),'2024DATA'!$M$36,"")</f>
        <v/>
      </c>
      <c r="CU77" s="520" t="str">
        <f>IF(AND(_F="A-220-100",'2024'!$E$4="FO",'2024'!$E$2=CU43),'2024DATA'!$N$36,"")</f>
        <v/>
      </c>
    </row>
    <row r="78" spans="16:99" x14ac:dyDescent="0.25">
      <c r="P78" s="940" t="s">
        <v>53</v>
      </c>
      <c r="Q78" s="13" t="s">
        <v>61</v>
      </c>
      <c r="R78" s="518" t="str">
        <f>IF(AND(_A="B-717",'2024'!$E$4="CA",'2024'!$E$2=R43),'2024DATA'!$C$37,"")</f>
        <v/>
      </c>
      <c r="S78" s="518" t="str">
        <f>IF(AND(_A="B-717",'2024'!$E$4="CA",'2024'!$E$2=S43),'2024DATA'!$D$37,"")</f>
        <v/>
      </c>
      <c r="T78" s="518" t="str">
        <f>IF(AND(_A="B-717",'2024'!$E$4="CA",'2024'!$E$2=T43),'2024DATA'!$E$37,"")</f>
        <v/>
      </c>
      <c r="U78" s="518" t="str">
        <f>IF(AND(_A="B-717",'2024'!$E$4="CA",'2024'!$E$2=U43),'2024DATA'!$F$37,"")</f>
        <v/>
      </c>
      <c r="V78" s="518" t="str">
        <f>IF(AND(_A="B-717",'2024'!$E$4="CA",'2024'!$E$2=V43),'2024DATA'!$G$37,"")</f>
        <v/>
      </c>
      <c r="W78" s="518" t="str">
        <f>IF(AND(_A="B-717",'2024'!$E$4="CA",'2024'!$E$2=W43),'2024DATA'!$H$37,"")</f>
        <v/>
      </c>
      <c r="X78" s="518" t="str">
        <f>IF(AND(_A="B-717",'2024'!$E$4="CA",'2024'!$E$2=X43),'2024DATA'!$I$37,"")</f>
        <v/>
      </c>
      <c r="Y78" s="518" t="str">
        <f>IF(AND(_A="B-717",'2024'!$E$4="CA",'2024'!$E$2=Y43),'2024DATA'!$J$37,"")</f>
        <v/>
      </c>
      <c r="Z78" s="518" t="str">
        <f>IF(AND(_A="B-717",'2024'!$E$4="CA",'2024'!$E$2=Z43),'2024DATA'!$K$37,"")</f>
        <v/>
      </c>
      <c r="AA78" s="518" t="str">
        <f>IF(AND(_A="B-717",'2024'!$E$4="CA",'2024'!$E$2=AA43),'2024DATA'!$L$37,"")</f>
        <v/>
      </c>
      <c r="AB78" s="518" t="str">
        <f>IF(AND(_A="B-717",'2024'!$E$4="CA",'2024'!$E$2=AB43),'2024DATA'!$M$37,"")</f>
        <v/>
      </c>
      <c r="AC78" s="520" t="str">
        <f>IF(AND(_A="B-717",'2024'!$E$4="CA",'2024'!$E$2=AC43),'2024DATA'!$N$37,"")</f>
        <v/>
      </c>
      <c r="AD78" s="940" t="s">
        <v>53</v>
      </c>
      <c r="AE78" s="13" t="s">
        <v>61</v>
      </c>
      <c r="AF78" s="518" t="str">
        <f>IF(AND(_B="B-717",'2024'!$E$4="CA",'2024'!$E$2=AF43),'2024DATA'!$C$37,"")</f>
        <v/>
      </c>
      <c r="AG78" s="518" t="str">
        <f>IF(AND(_B="B-717",'2024'!$E$4="CA",'2024'!$E$2=AG43),'2024DATA'!$D$37,"")</f>
        <v/>
      </c>
      <c r="AH78" s="518" t="str">
        <f>IF(AND(_B="B-717",'2024'!$E$4="CA",'2024'!$E$2=AH43),'2024DATA'!$E$37,"")</f>
        <v/>
      </c>
      <c r="AI78" s="518" t="str">
        <f>IF(AND(_B="B-717",'2024'!$E$4="CA",'2024'!$E$2=AI43),'2024DATA'!$F$37,"")</f>
        <v/>
      </c>
      <c r="AJ78" s="518" t="str">
        <f>IF(AND(_B="B-717",'2024'!$E$4="CA",'2024'!$E$2=AJ43),'2024DATA'!$G$37,"")</f>
        <v/>
      </c>
      <c r="AK78" s="518" t="str">
        <f>IF(AND(_B="B-717",'2024'!$E$4="CA",'2024'!$E$2=AK43),'2024DATA'!$H$37,"")</f>
        <v/>
      </c>
      <c r="AL78" s="518" t="str">
        <f>IF(AND(_B="B-717",'2024'!$E$4="CA",'2024'!$E$2=AL43),'2024DATA'!$I$37,"")</f>
        <v/>
      </c>
      <c r="AM78" s="518" t="str">
        <f>IF(AND(_B="B-717",'2024'!$E$4="CA",'2024'!$E$2=AM43),'2024DATA'!$J$37,"")</f>
        <v/>
      </c>
      <c r="AN78" s="518" t="str">
        <f>IF(AND(_B="B-717",'2024'!$E$4="CA",'2024'!$E$2=AN43),'2024DATA'!$K$37,"")</f>
        <v/>
      </c>
      <c r="AO78" s="518" t="str">
        <f>IF(AND(_B="B-717",'2024'!$E$4="CA",'2024'!$E$2=AO43),'2024DATA'!$L$37,"")</f>
        <v/>
      </c>
      <c r="AP78" s="518" t="str">
        <f>IF(AND(_B="B-717",'2024'!$E$4="CA",'2024'!$E$2=AP43),'2024DATA'!$M$37,"")</f>
        <v/>
      </c>
      <c r="AQ78" s="520" t="str">
        <f>IF(AND(_B="B-717",'2024'!$E$4="CA",'2024'!$E$2=AQ43),'2024DATA'!$N$37,"")</f>
        <v/>
      </c>
      <c r="AR78" s="940" t="s">
        <v>53</v>
      </c>
      <c r="AS78" s="13" t="s">
        <v>61</v>
      </c>
      <c r="AT78" s="518" t="str">
        <f>IF(AND(_C="B-717",'2024'!$E$4="CA",'2024'!$E$2=AT43),'2024DATA'!$C$37,"")</f>
        <v/>
      </c>
      <c r="AU78" s="518" t="str">
        <f>IF(AND(_C="B-717",'2024'!$E$4="CA",'2024'!$E$2=AU43),'2024DATA'!$D$37,"")</f>
        <v/>
      </c>
      <c r="AV78" s="518" t="str">
        <f>IF(AND(_C="B-717",'2024'!$E$4="CA",'2024'!$E$2=AV43),'2024DATA'!$E$37,"")</f>
        <v/>
      </c>
      <c r="AW78" s="518" t="str">
        <f>IF(AND(_C="B-717",'2024'!$E$4="CA",'2024'!$E$2=AW43),'2024DATA'!$F$37,"")</f>
        <v/>
      </c>
      <c r="AX78" s="518" t="str">
        <f>IF(AND(_C="B-717",'2024'!$E$4="CA",'2024'!$E$2=AX43),'2024DATA'!$G$37,"")</f>
        <v/>
      </c>
      <c r="AY78" s="518" t="str">
        <f>IF(AND(_C="B-717",'2024'!$E$4="CA",'2024'!$E$2=AY43),'2024DATA'!$H$37,"")</f>
        <v/>
      </c>
      <c r="AZ78" s="518" t="str">
        <f>IF(AND(_C="B-717",'2024'!$E$4="CA",'2024'!$E$2=AZ43),'2024DATA'!$I$37,"")</f>
        <v/>
      </c>
      <c r="BA78" s="518" t="str">
        <f>IF(AND(_C="B-717",'2024'!$E$4="CA",'2024'!$E$2=BA43),'2024DATA'!$J$37,"")</f>
        <v/>
      </c>
      <c r="BB78" s="518" t="str">
        <f>IF(AND(_C="B-717",'2024'!$E$4="CA",'2024'!$E$2=BB43),'2024DATA'!$K$37,"")</f>
        <v/>
      </c>
      <c r="BC78" s="518" t="str">
        <f>IF(AND(_C="B-717",'2024'!$E$4="CA",'2024'!$E$2=BC43),'2024DATA'!$L$37,"")</f>
        <v/>
      </c>
      <c r="BD78" s="518" t="str">
        <f>IF(AND(_C="B-717",'2024'!$E$4="CA",'2024'!$E$2=BD43),'2024DATA'!$M$37,"")</f>
        <v/>
      </c>
      <c r="BE78" s="520" t="str">
        <f>IF(AND(_C="B-717",'2024'!$E$4="CA",'2024'!$E$2=BE43),'2024DATA'!$N$37,"")</f>
        <v/>
      </c>
      <c r="BF78" s="940" t="s">
        <v>53</v>
      </c>
      <c r="BG78" s="13" t="s">
        <v>61</v>
      </c>
      <c r="BH78" s="518" t="str">
        <f>IF(AND(_D="B-717",'2024'!$E$4="CA",'2024'!$E$2=BH43),'2024DATA'!$C$37,"")</f>
        <v/>
      </c>
      <c r="BI78" s="518" t="str">
        <f>IF(AND(_D="B-717",'2024'!$E$4="CA",'2024'!$E$2=BI43),'2024DATA'!$D$37,"")</f>
        <v/>
      </c>
      <c r="BJ78" s="518" t="str">
        <f>IF(AND(_D="B-717",'2024'!$E$4="CA",'2024'!$E$2=BJ43),'2024DATA'!$E$37,"")</f>
        <v/>
      </c>
      <c r="BK78" s="518" t="str">
        <f>IF(AND(_D="B-717",'2024'!$E$4="CA",'2024'!$E$2=BK43),'2024DATA'!$F$37,"")</f>
        <v/>
      </c>
      <c r="BL78" s="518" t="str">
        <f>IF(AND(_D="B-717",'2024'!$E$4="CA",'2024'!$E$2=BL43),'2024DATA'!$G$37,"")</f>
        <v/>
      </c>
      <c r="BM78" s="518" t="str">
        <f>IF(AND(_D="B-717",'2024'!$E$4="CA",'2024'!$E$2=BM43),'2024DATA'!$H$37,"")</f>
        <v/>
      </c>
      <c r="BN78" s="518" t="str">
        <f>IF(AND(_D="B-717",'2024'!$E$4="CA",'2024'!$E$2=BN43),'2024DATA'!$I$37,"")</f>
        <v/>
      </c>
      <c r="BO78" s="518" t="str">
        <f>IF(AND(_D="B-717",'2024'!$E$4="CA",'2024'!$E$2=BO43),'2024DATA'!$J$37,"")</f>
        <v/>
      </c>
      <c r="BP78" s="518" t="str">
        <f>IF(AND(_D="B-717",'2024'!$E$4="CA",'2024'!$E$2=BP43),'2024DATA'!$K$37,"")</f>
        <v/>
      </c>
      <c r="BQ78" s="518" t="str">
        <f>IF(AND(_D="B-717",'2024'!$E$4="CA",'2024'!$E$2=BQ43),'2024DATA'!$L$37,"")</f>
        <v/>
      </c>
      <c r="BR78" s="518" t="str">
        <f>IF(AND(_D="B-717",'2024'!$E$4="CA",'2024'!$E$2=BR43),'2024DATA'!$M$37,"")</f>
        <v/>
      </c>
      <c r="BS78" s="520" t="str">
        <f>IF(AND(_D="B-717",'2024'!$E$4="CA",'2024'!$E$2=BS43),'2024DATA'!$N$37,"")</f>
        <v/>
      </c>
      <c r="BT78" s="940" t="s">
        <v>53</v>
      </c>
      <c r="BU78" s="13" t="s">
        <v>61</v>
      </c>
      <c r="BV78" s="518" t="str">
        <f>IF(AND(_E="B-717",'2024'!$E$4="CA",'2024'!$E$2=BV43),'2024DATA'!$C$37,"")</f>
        <v/>
      </c>
      <c r="BW78" s="518" t="str">
        <f>IF(AND(_E="B-717",'2024'!$E$4="CA",'2024'!$E$2=BW43),'2024DATA'!$D$37,"")</f>
        <v/>
      </c>
      <c r="BX78" s="518" t="str">
        <f>IF(AND(_E="B-717",'2024'!$E$4="CA",'2024'!$E$2=BX43),'2024DATA'!$E$37,"")</f>
        <v/>
      </c>
      <c r="BY78" s="518" t="str">
        <f>IF(AND(_E="B-717",'2024'!$E$4="CA",'2024'!$E$2=BY43),'2024DATA'!$F$37,"")</f>
        <v/>
      </c>
      <c r="BZ78" s="518" t="str">
        <f>IF(AND(_E="B-717",'2024'!$E$4="CA",'2024'!$E$2=BZ43),'2024DATA'!$G$37,"")</f>
        <v/>
      </c>
      <c r="CA78" s="518" t="str">
        <f>IF(AND(_E="B-717",'2024'!$E$4="CA",'2024'!$E$2=CA43),'2024DATA'!$H$37,"")</f>
        <v/>
      </c>
      <c r="CB78" s="518" t="str">
        <f>IF(AND(_E="B-717",'2024'!$E$4="CA",'2024'!$E$2=CB43),'2024DATA'!$I$37,"")</f>
        <v/>
      </c>
      <c r="CC78" s="518" t="str">
        <f>IF(AND(_E="B-717",'2024'!$E$4="CA",'2024'!$E$2=CC43),'2024DATA'!$J$37,"")</f>
        <v/>
      </c>
      <c r="CD78" s="518" t="str">
        <f>IF(AND(_E="B-717",'2024'!$E$4="CA",'2024'!$E$2=CD43),'2024DATA'!$K$37,"")</f>
        <v/>
      </c>
      <c r="CE78" s="518" t="str">
        <f>IF(AND(_E="B-717",'2024'!$E$4="CA",'2024'!$E$2=CE43),'2024DATA'!$L$37,"")</f>
        <v/>
      </c>
      <c r="CF78" s="518" t="str">
        <f>IF(AND(_E="B-717",'2024'!$E$4="CA",'2024'!$E$2=CF43),'2024DATA'!$M$37,"")</f>
        <v/>
      </c>
      <c r="CG78" s="520" t="str">
        <f>IF(AND(_E="B-717",'2024'!$E$4="CA",'2024'!$E$2=CG43),'2024DATA'!$N$37,"")</f>
        <v/>
      </c>
      <c r="CH78" s="940" t="s">
        <v>53</v>
      </c>
      <c r="CI78" s="13" t="s">
        <v>61</v>
      </c>
      <c r="CJ78" s="518" t="str">
        <f>IF(AND(_F="B-717",'2024'!$E$4="CA",'2024'!$E$2=CJ43),'2024DATA'!$C$37,"")</f>
        <v/>
      </c>
      <c r="CK78" s="518" t="str">
        <f>IF(AND(_F="B-717",'2024'!$E$4="CA",'2024'!$E$2=CK43),'2024DATA'!$D$37,"")</f>
        <v/>
      </c>
      <c r="CL78" s="518" t="str">
        <f>IF(AND(_F="B-717",'2024'!$E$4="CA",'2024'!$E$2=CL43),'2024DATA'!$E$37,"")</f>
        <v/>
      </c>
      <c r="CM78" s="518" t="str">
        <f>IF(AND(_F="B-717",'2024'!$E$4="CA",'2024'!$E$2=CM43),'2024DATA'!$F$37,"")</f>
        <v/>
      </c>
      <c r="CN78" s="518" t="str">
        <f>IF(AND(_F="B-717",'2024'!$E$4="CA",'2024'!$E$2=CN43),'2024DATA'!$G$37,"")</f>
        <v/>
      </c>
      <c r="CO78" s="518" t="str">
        <f>IF(AND(_F="B-717",'2024'!$E$4="CA",'2024'!$E$2=CO43),'2024DATA'!$H$37,"")</f>
        <v/>
      </c>
      <c r="CP78" s="518" t="str">
        <f>IF(AND(_F="B-717",'2024'!$E$4="CA",'2024'!$E$2=CP43),'2024DATA'!$I$37,"")</f>
        <v/>
      </c>
      <c r="CQ78" s="518" t="str">
        <f>IF(AND(_F="B-717",'2024'!$E$4="CA",'2024'!$E$2=CQ43),'2024DATA'!$J$37,"")</f>
        <v/>
      </c>
      <c r="CR78" s="518" t="str">
        <f>IF(AND(_F="B-717",'2024'!$E$4="CA",'2024'!$E$2=CR43),'2024DATA'!$K$37,"")</f>
        <v/>
      </c>
      <c r="CS78" s="518" t="str">
        <f>IF(AND(_F="B-717",'2024'!$E$4="CA",'2024'!$E$2=CS43),'2024DATA'!$L$37,"")</f>
        <v/>
      </c>
      <c r="CT78" s="518" t="str">
        <f>IF(AND(_F="B-717",'2024'!$E$4="CA",'2024'!$E$2=CT43),'2024DATA'!$M$37,"")</f>
        <v/>
      </c>
      <c r="CU78" s="520" t="str">
        <f>IF(AND(_F="B-717",'2024'!$E$4="CA",'2024'!$E$2=CU43),'2024DATA'!$N$37,"")</f>
        <v/>
      </c>
    </row>
    <row r="79" spans="16:99" ht="15.75" thickBot="1" x14ac:dyDescent="0.3">
      <c r="P79" s="940"/>
      <c r="Q79" s="13" t="s">
        <v>62</v>
      </c>
      <c r="R79" s="518" t="str">
        <f>IF(AND(_A="B-717",'2024'!$E$4="FO",'2024'!$E$2=R43),'2024DATA'!$C$38,"")</f>
        <v/>
      </c>
      <c r="S79" s="518" t="str">
        <f>IF(AND(_A="B-717",'2024'!$E$4="FO",'2024'!$E$2=S43),'2024DATA'!$D$38,"")</f>
        <v/>
      </c>
      <c r="T79" s="518" t="str">
        <f>IF(AND(_A="B-717",'2024'!$E$4="FO",'2024'!$E$2=T43),'2024DATA'!$E$38,"")</f>
        <v/>
      </c>
      <c r="U79" s="518" t="str">
        <f>IF(AND(_A="B-717",'2024'!$E$4="FO",'2024'!$E$2=U43),'2024DATA'!$F$38,"")</f>
        <v/>
      </c>
      <c r="V79" s="518" t="str">
        <f>IF(AND(_A="B-717",'2024'!$E$4="FO",'2024'!$E$2=V43),'2024DATA'!$G$38,"")</f>
        <v/>
      </c>
      <c r="W79" s="518" t="str">
        <f>IF(AND(_A="B-717",'2024'!$E$4="FO",'2024'!$E$2=W43),'2024DATA'!$H$38,"")</f>
        <v/>
      </c>
      <c r="X79" s="518" t="str">
        <f>IF(AND(_A="B-717",'2024'!$E$4="FO",'2024'!$E$2=X43),'2024DATA'!$I$38,"")</f>
        <v/>
      </c>
      <c r="Y79" s="518" t="str">
        <f>IF(AND(_A="B-717",'2024'!$E$4="FO",'2024'!$E$2=Y43),'2024DATA'!$J$38,"")</f>
        <v/>
      </c>
      <c r="Z79" s="518" t="str">
        <f>IF(AND(_A="B-717",'2024'!$E$4="FO",'2024'!$E$2=Z43),'2024DATA'!$K$38,"")</f>
        <v/>
      </c>
      <c r="AA79" s="518" t="str">
        <f>IF(AND(_A="B-717",'2024'!$E$4="FO",'2024'!$E$2=AA43),'2024DATA'!$L$38,"")</f>
        <v/>
      </c>
      <c r="AB79" s="518" t="str">
        <f>IF(AND(_A="B-717",'2024'!$E$4="FO",'2024'!$E$2=AB43),'2024DATA'!$M$38,"")</f>
        <v/>
      </c>
      <c r="AC79" s="520" t="str">
        <f>IF(AND(_A="B-717",'2024'!$E$4="FO",'2024'!$E$2=AC43),'2024DATA'!$N$38,"")</f>
        <v/>
      </c>
      <c r="AD79" s="940"/>
      <c r="AE79" s="13" t="s">
        <v>62</v>
      </c>
      <c r="AF79" s="518" t="str">
        <f>IF(AND(_B="B-717",'2024'!$E$4="FO",'2024'!$E$2=AF43),'2024DATA'!$C$38,"")</f>
        <v/>
      </c>
      <c r="AG79" s="518" t="str">
        <f>IF(AND(_B="B-717",'2024'!$E$4="FO",'2024'!$E$2=AG43),'2024DATA'!$D$38,"")</f>
        <v/>
      </c>
      <c r="AH79" s="518" t="str">
        <f>IF(AND(_B="B-717",'2024'!$E$4="FO",'2024'!$E$2=AH43),'2024DATA'!$E$38,"")</f>
        <v/>
      </c>
      <c r="AI79" s="518" t="str">
        <f>IF(AND(_B="B-717",'2024'!$E$4="FO",'2024'!$E$2=AI43),'2024DATA'!$F$38,"")</f>
        <v/>
      </c>
      <c r="AJ79" s="518" t="str">
        <f>IF(AND(_B="B-717",'2024'!$E$4="FO",'2024'!$E$2=AJ43),'2024DATA'!$G$38,"")</f>
        <v/>
      </c>
      <c r="AK79" s="518" t="str">
        <f>IF(AND(_B="B-717",'2024'!$E$4="FO",'2024'!$E$2=AK43),'2024DATA'!$H$38,"")</f>
        <v/>
      </c>
      <c r="AL79" s="518" t="str">
        <f>IF(AND(_B="B-717",'2024'!$E$4="FO",'2024'!$E$2=AL43),'2024DATA'!$I$38,"")</f>
        <v/>
      </c>
      <c r="AM79" s="518" t="str">
        <f>IF(AND(_B="B-717",'2024'!$E$4="FO",'2024'!$E$2=AM43),'2024DATA'!$J$38,"")</f>
        <v/>
      </c>
      <c r="AN79" s="518" t="str">
        <f>IF(AND(_B="B-717",'2024'!$E$4="FO",'2024'!$E$2=AN43),'2024DATA'!$K$38,"")</f>
        <v/>
      </c>
      <c r="AO79" s="518" t="str">
        <f>IF(AND(_B="B-717",'2024'!$E$4="FO",'2024'!$E$2=AO43),'2024DATA'!$L$38,"")</f>
        <v/>
      </c>
      <c r="AP79" s="518" t="str">
        <f>IF(AND(_B="B-717",'2024'!$E$4="FO",'2024'!$E$2=AP43),'2024DATA'!$M$38,"")</f>
        <v/>
      </c>
      <c r="AQ79" s="520" t="str">
        <f>IF(AND(_B="B-717",'2024'!$E$4="FO",'2024'!$E$2=AQ43),'2024DATA'!$N$38,"")</f>
        <v/>
      </c>
      <c r="AR79" s="940"/>
      <c r="AS79" s="13" t="s">
        <v>62</v>
      </c>
      <c r="AT79" s="518" t="str">
        <f>IF(AND(_C="B-717",'2024'!$E$4="FO",'2024'!$E$2=AT43),'2024DATA'!$C$38,"")</f>
        <v/>
      </c>
      <c r="AU79" s="518" t="str">
        <f>IF(AND(_C="B-717",'2024'!$E$4="FO",'2024'!$E$2=AU43),'2024DATA'!$D$38,"")</f>
        <v/>
      </c>
      <c r="AV79" s="518" t="str">
        <f>IF(AND(_C="B-717",'2024'!$E$4="FO",'2024'!$E$2=AV43),'2024DATA'!$E$38,"")</f>
        <v/>
      </c>
      <c r="AW79" s="518" t="str">
        <f>IF(AND(_C="B-717",'2024'!$E$4="FO",'2024'!$E$2=AW43),'2024DATA'!$F$38,"")</f>
        <v/>
      </c>
      <c r="AX79" s="518" t="str">
        <f>IF(AND(_C="B-717",'2024'!$E$4="FO",'2024'!$E$2=AX43),'2024DATA'!$G$38,"")</f>
        <v/>
      </c>
      <c r="AY79" s="518" t="str">
        <f>IF(AND(_C="B-717",'2024'!$E$4="FO",'2024'!$E$2=AY43),'2024DATA'!$H$38,"")</f>
        <v/>
      </c>
      <c r="AZ79" s="518" t="str">
        <f>IF(AND(_C="B-717",'2024'!$E$4="FO",'2024'!$E$2=AZ43),'2024DATA'!$I$38,"")</f>
        <v/>
      </c>
      <c r="BA79" s="518" t="str">
        <f>IF(AND(_C="B-717",'2024'!$E$4="FO",'2024'!$E$2=BA43),'2024DATA'!$J$38,"")</f>
        <v/>
      </c>
      <c r="BB79" s="518" t="str">
        <f>IF(AND(_C="B-717",'2024'!$E$4="FO",'2024'!$E$2=BB43),'2024DATA'!$K$38,"")</f>
        <v/>
      </c>
      <c r="BC79" s="518" t="str">
        <f>IF(AND(_C="B-717",'2024'!$E$4="FO",'2024'!$E$2=BC43),'2024DATA'!$L$38,"")</f>
        <v/>
      </c>
      <c r="BD79" s="518" t="str">
        <f>IF(AND(_C="B-717",'2024'!$E$4="FO",'2024'!$E$2=BD43),'2024DATA'!$M$38,"")</f>
        <v/>
      </c>
      <c r="BE79" s="520" t="str">
        <f>IF(AND(_C="B-717",'2024'!$E$4="FO",'2024'!$E$2=BE43),'2024DATA'!$N$38,"")</f>
        <v/>
      </c>
      <c r="BF79" s="940"/>
      <c r="BG79" s="13" t="s">
        <v>62</v>
      </c>
      <c r="BH79" s="518" t="str">
        <f>IF(AND(_D="B-717",'2024'!$E$4="FO",'2024'!$E$2=BH43),'2024DATA'!$C$38,"")</f>
        <v/>
      </c>
      <c r="BI79" s="518" t="str">
        <f>IF(AND(_D="B-717",'2024'!$E$4="FO",'2024'!$E$2=BI43),'2024DATA'!$D$38,"")</f>
        <v/>
      </c>
      <c r="BJ79" s="518" t="str">
        <f>IF(AND(_D="B-717",'2024'!$E$4="FO",'2024'!$E$2=BJ43),'2024DATA'!$E$38,"")</f>
        <v/>
      </c>
      <c r="BK79" s="518" t="str">
        <f>IF(AND(_D="B-717",'2024'!$E$4="FO",'2024'!$E$2=BK43),'2024DATA'!$F$38,"")</f>
        <v/>
      </c>
      <c r="BL79" s="518" t="str">
        <f>IF(AND(_D="B-717",'2024'!$E$4="FO",'2024'!$E$2=BL43),'2024DATA'!$G$38,"")</f>
        <v/>
      </c>
      <c r="BM79" s="518" t="str">
        <f>IF(AND(_D="B-717",'2024'!$E$4="FO",'2024'!$E$2=BM43),'2024DATA'!$H$38,"")</f>
        <v/>
      </c>
      <c r="BN79" s="518" t="str">
        <f>IF(AND(_D="B-717",'2024'!$E$4="FO",'2024'!$E$2=BN43),'2024DATA'!$I$38,"")</f>
        <v/>
      </c>
      <c r="BO79" s="518" t="str">
        <f>IF(AND(_D="B-717",'2024'!$E$4="FO",'2024'!$E$2=BO43),'2024DATA'!$J$38,"")</f>
        <v/>
      </c>
      <c r="BP79" s="518" t="str">
        <f>IF(AND(_D="B-717",'2024'!$E$4="FO",'2024'!$E$2=BP43),'2024DATA'!$K$38,"")</f>
        <v/>
      </c>
      <c r="BQ79" s="518" t="str">
        <f>IF(AND(_D="B-717",'2024'!$E$4="FO",'2024'!$E$2=BQ43),'2024DATA'!$L$38,"")</f>
        <v/>
      </c>
      <c r="BR79" s="518" t="str">
        <f>IF(AND(_D="B-717",'2024'!$E$4="FO",'2024'!$E$2=BR43),'2024DATA'!$M$38,"")</f>
        <v/>
      </c>
      <c r="BS79" s="520" t="str">
        <f>IF(AND(_D="B-717",'2024'!$E$4="FO",'2024'!$E$2=BS43),'2024DATA'!$N$38,"")</f>
        <v/>
      </c>
      <c r="BT79" s="940"/>
      <c r="BU79" s="13" t="s">
        <v>62</v>
      </c>
      <c r="BV79" s="518" t="str">
        <f>IF(AND(_E="B-717",'2024'!$E$4="FO",'2024'!$E$2=BV43),'2024DATA'!$C$38,"")</f>
        <v/>
      </c>
      <c r="BW79" s="518" t="str">
        <f>IF(AND(_E="B-717",'2024'!$E$4="FO",'2024'!$E$2=BW43),'2024DATA'!$D$38,"")</f>
        <v/>
      </c>
      <c r="BX79" s="518" t="str">
        <f>IF(AND(_E="B-717",'2024'!$E$4="FO",'2024'!$E$2=BX43),'2024DATA'!$E$38,"")</f>
        <v/>
      </c>
      <c r="BY79" s="518" t="str">
        <f>IF(AND(_E="B-717",'2024'!$E$4="FO",'2024'!$E$2=BY43),'2024DATA'!$F$38,"")</f>
        <v/>
      </c>
      <c r="BZ79" s="518" t="str">
        <f>IF(AND(_E="B-717",'2024'!$E$4="FO",'2024'!$E$2=BZ43),'2024DATA'!$G$38,"")</f>
        <v/>
      </c>
      <c r="CA79" s="518" t="str">
        <f>IF(AND(_E="B-717",'2024'!$E$4="FO",'2024'!$E$2=CA43),'2024DATA'!$H$38,"")</f>
        <v/>
      </c>
      <c r="CB79" s="518" t="str">
        <f>IF(AND(_E="B-717",'2024'!$E$4="FO",'2024'!$E$2=CB43),'2024DATA'!$I$38,"")</f>
        <v/>
      </c>
      <c r="CC79" s="518" t="str">
        <f>IF(AND(_E="B-717",'2024'!$E$4="FO",'2024'!$E$2=CC43),'2024DATA'!$J$38,"")</f>
        <v/>
      </c>
      <c r="CD79" s="518" t="str">
        <f>IF(AND(_E="B-717",'2024'!$E$4="FO",'2024'!$E$2=CD43),'2024DATA'!$K$38,"")</f>
        <v/>
      </c>
      <c r="CE79" s="518" t="str">
        <f>IF(AND(_E="B-717",'2024'!$E$4="FO",'2024'!$E$2=CE43),'2024DATA'!$L$38,"")</f>
        <v/>
      </c>
      <c r="CF79" s="518" t="str">
        <f>IF(AND(_E="B-717",'2024'!$E$4="FO",'2024'!$E$2=CF43),'2024DATA'!$M$38,"")</f>
        <v/>
      </c>
      <c r="CG79" s="520" t="str">
        <f>IF(AND(_E="B-717",'2024'!$E$4="FO",'2024'!$E$2=CG43),'2024DATA'!$N$38,"")</f>
        <v/>
      </c>
      <c r="CH79" s="940"/>
      <c r="CI79" s="13" t="s">
        <v>62</v>
      </c>
      <c r="CJ79" s="518" t="str">
        <f>IF(AND(_F="B-717",'2024'!$E$4="FO",'2024'!$E$2=CJ43),'2024DATA'!$C$38,"")</f>
        <v/>
      </c>
      <c r="CK79" s="518" t="str">
        <f>IF(AND(_F="B-717",'2024'!$E$4="FO",'2024'!$E$2=CK43),'2024DATA'!$D$38,"")</f>
        <v/>
      </c>
      <c r="CL79" s="518" t="str">
        <f>IF(AND(_F="B-717",'2024'!$E$4="FO",'2024'!$E$2=CL43),'2024DATA'!$E$38,"")</f>
        <v/>
      </c>
      <c r="CM79" s="518" t="str">
        <f>IF(AND(_F="B-717",'2024'!$E$4="FO",'2024'!$E$2=CM43),'2024DATA'!$F$38,"")</f>
        <v/>
      </c>
      <c r="CN79" s="518" t="str">
        <f>IF(AND(_F="B-717",'2024'!$E$4="FO",'2024'!$E$2=CN43),'2024DATA'!$G$38,"")</f>
        <v/>
      </c>
      <c r="CO79" s="518" t="str">
        <f>IF(AND(_F="B-717",'2024'!$E$4="FO",'2024'!$E$2=CO43),'2024DATA'!$H$38,"")</f>
        <v/>
      </c>
      <c r="CP79" s="518" t="str">
        <f>IF(AND(_F="B-717",'2024'!$E$4="FO",'2024'!$E$2=CP43),'2024DATA'!$I$38,"")</f>
        <v/>
      </c>
      <c r="CQ79" s="518" t="str">
        <f>IF(AND(_F="B-717",'2024'!$E$4="FO",'2024'!$E$2=CQ43),'2024DATA'!$J$38,"")</f>
        <v/>
      </c>
      <c r="CR79" s="518" t="str">
        <f>IF(AND(_F="B-717",'2024'!$E$4="FO",'2024'!$E$2=CR43),'2024DATA'!$K$38,"")</f>
        <v/>
      </c>
      <c r="CS79" s="518" t="str">
        <f>IF(AND(_F="B-717",'2024'!$E$4="FO",'2024'!$E$2=CS43),'2024DATA'!$L$38,"")</f>
        <v/>
      </c>
      <c r="CT79" s="518" t="str">
        <f>IF(AND(_F="B-717",'2024'!$E$4="FO",'2024'!$E$2=CT43),'2024DATA'!$M$38,"")</f>
        <v/>
      </c>
      <c r="CU79" s="520" t="str">
        <f>IF(AND(_F="B-717",'2024'!$E$4="FO",'2024'!$E$2=CU43),'2024DATA'!$N$38,"")</f>
        <v/>
      </c>
    </row>
    <row r="80" spans="16:99" x14ac:dyDescent="0.25">
      <c r="P80" s="943" t="s">
        <v>103</v>
      </c>
      <c r="Q80" s="944"/>
      <c r="R80" s="944"/>
      <c r="S80" s="944"/>
      <c r="T80" s="944"/>
      <c r="U80" s="944"/>
      <c r="V80" s="944"/>
      <c r="W80" s="944"/>
      <c r="X80" s="944"/>
      <c r="Y80" s="944"/>
      <c r="Z80" s="944"/>
      <c r="AA80" s="944"/>
      <c r="AB80" s="944"/>
      <c r="AC80" s="945"/>
      <c r="AD80" s="943" t="s">
        <v>104</v>
      </c>
      <c r="AE80" s="944"/>
      <c r="AF80" s="944"/>
      <c r="AG80" s="944"/>
      <c r="AH80" s="944"/>
      <c r="AI80" s="944"/>
      <c r="AJ80" s="944"/>
      <c r="AK80" s="944"/>
      <c r="AL80" s="944"/>
      <c r="AM80" s="944"/>
      <c r="AN80" s="944"/>
      <c r="AO80" s="944"/>
      <c r="AP80" s="944"/>
      <c r="AQ80" s="945"/>
      <c r="AR80" s="943" t="s">
        <v>105</v>
      </c>
      <c r="AS80" s="944"/>
      <c r="AT80" s="944"/>
      <c r="AU80" s="944"/>
      <c r="AV80" s="944"/>
      <c r="AW80" s="944"/>
      <c r="AX80" s="944"/>
      <c r="AY80" s="944"/>
      <c r="AZ80" s="944"/>
      <c r="BA80" s="944"/>
      <c r="BB80" s="944"/>
      <c r="BC80" s="944"/>
      <c r="BD80" s="944"/>
      <c r="BE80" s="945"/>
      <c r="BF80" s="943" t="s">
        <v>106</v>
      </c>
      <c r="BG80" s="944"/>
      <c r="BH80" s="944"/>
      <c r="BI80" s="944"/>
      <c r="BJ80" s="944"/>
      <c r="BK80" s="944"/>
      <c r="BL80" s="944"/>
      <c r="BM80" s="944"/>
      <c r="BN80" s="944"/>
      <c r="BO80" s="944"/>
      <c r="BP80" s="944"/>
      <c r="BQ80" s="944"/>
      <c r="BR80" s="944"/>
      <c r="BS80" s="945"/>
      <c r="BT80" s="943" t="s">
        <v>107</v>
      </c>
      <c r="BU80" s="944"/>
      <c r="BV80" s="944"/>
      <c r="BW80" s="944"/>
      <c r="BX80" s="944"/>
      <c r="BY80" s="944"/>
      <c r="BZ80" s="944"/>
      <c r="CA80" s="944"/>
      <c r="CB80" s="944"/>
      <c r="CC80" s="944"/>
      <c r="CD80" s="944"/>
      <c r="CE80" s="944"/>
      <c r="CF80" s="944"/>
      <c r="CG80" s="945"/>
      <c r="CH80" s="943" t="s">
        <v>108</v>
      </c>
      <c r="CI80" s="944"/>
      <c r="CJ80" s="944"/>
      <c r="CK80" s="944"/>
      <c r="CL80" s="944"/>
      <c r="CM80" s="944"/>
      <c r="CN80" s="944"/>
      <c r="CO80" s="944"/>
      <c r="CP80" s="944"/>
      <c r="CQ80" s="944"/>
      <c r="CR80" s="944"/>
      <c r="CS80" s="944"/>
      <c r="CT80" s="944"/>
      <c r="CU80" s="945"/>
    </row>
    <row r="81" spans="16:99" x14ac:dyDescent="0.25">
      <c r="P81" s="582">
        <v>3</v>
      </c>
      <c r="Q81" s="559">
        <f>SUM(R82:AC117)</f>
        <v>0</v>
      </c>
      <c r="R81" s="3">
        <v>12</v>
      </c>
      <c r="S81" s="3">
        <v>11</v>
      </c>
      <c r="T81" s="3">
        <v>10</v>
      </c>
      <c r="U81" s="3">
        <v>9</v>
      </c>
      <c r="V81" s="3">
        <v>8</v>
      </c>
      <c r="W81" s="3">
        <v>7</v>
      </c>
      <c r="X81" s="3">
        <v>6</v>
      </c>
      <c r="Y81" s="3">
        <v>5</v>
      </c>
      <c r="Z81" s="3">
        <v>4</v>
      </c>
      <c r="AA81" s="3">
        <v>3</v>
      </c>
      <c r="AB81" s="3">
        <v>2</v>
      </c>
      <c r="AC81" s="519">
        <v>1</v>
      </c>
      <c r="AD81" s="559">
        <v>3</v>
      </c>
      <c r="AE81" s="559">
        <f>SUM(AF82:AQ117)</f>
        <v>0</v>
      </c>
      <c r="AF81" s="3">
        <v>12</v>
      </c>
      <c r="AG81" s="3">
        <v>11</v>
      </c>
      <c r="AH81" s="3">
        <v>10</v>
      </c>
      <c r="AI81" s="3">
        <v>9</v>
      </c>
      <c r="AJ81" s="3">
        <v>8</v>
      </c>
      <c r="AK81" s="3">
        <v>7</v>
      </c>
      <c r="AL81" s="3">
        <v>6</v>
      </c>
      <c r="AM81" s="3">
        <v>5</v>
      </c>
      <c r="AN81" s="3">
        <v>4</v>
      </c>
      <c r="AO81" s="3">
        <v>3</v>
      </c>
      <c r="AP81" s="3">
        <v>2</v>
      </c>
      <c r="AQ81" s="519">
        <v>1</v>
      </c>
      <c r="AR81" s="559">
        <v>3</v>
      </c>
      <c r="AS81" s="559">
        <f>SUM(AT82:BE117)</f>
        <v>0</v>
      </c>
      <c r="AT81" s="3">
        <v>12</v>
      </c>
      <c r="AU81" s="3">
        <v>11</v>
      </c>
      <c r="AV81" s="3">
        <v>10</v>
      </c>
      <c r="AW81" s="3">
        <v>9</v>
      </c>
      <c r="AX81" s="3">
        <v>8</v>
      </c>
      <c r="AY81" s="3">
        <v>7</v>
      </c>
      <c r="AZ81" s="3">
        <v>6</v>
      </c>
      <c r="BA81" s="3">
        <v>5</v>
      </c>
      <c r="BB81" s="3">
        <v>4</v>
      </c>
      <c r="BC81" s="3">
        <v>3</v>
      </c>
      <c r="BD81" s="3">
        <v>2</v>
      </c>
      <c r="BE81" s="519">
        <v>1</v>
      </c>
      <c r="BF81" s="559">
        <v>3</v>
      </c>
      <c r="BG81" s="559">
        <f>SUM(BH82:BS117)</f>
        <v>0</v>
      </c>
      <c r="BH81" s="3">
        <v>12</v>
      </c>
      <c r="BI81" s="3">
        <v>11</v>
      </c>
      <c r="BJ81" s="3">
        <v>10</v>
      </c>
      <c r="BK81" s="3">
        <v>9</v>
      </c>
      <c r="BL81" s="3">
        <v>8</v>
      </c>
      <c r="BM81" s="3">
        <v>7</v>
      </c>
      <c r="BN81" s="3">
        <v>6</v>
      </c>
      <c r="BO81" s="3">
        <v>5</v>
      </c>
      <c r="BP81" s="3">
        <v>4</v>
      </c>
      <c r="BQ81" s="3">
        <v>3</v>
      </c>
      <c r="BR81" s="3">
        <v>2</v>
      </c>
      <c r="BS81" s="519">
        <v>1</v>
      </c>
      <c r="BT81" s="559">
        <v>3</v>
      </c>
      <c r="BU81" s="559">
        <f>SUM(BV82:CG117)</f>
        <v>0</v>
      </c>
      <c r="BV81" s="3">
        <v>12</v>
      </c>
      <c r="BW81" s="3">
        <v>11</v>
      </c>
      <c r="BX81" s="3">
        <v>10</v>
      </c>
      <c r="BY81" s="3">
        <v>9</v>
      </c>
      <c r="BZ81" s="3">
        <v>8</v>
      </c>
      <c r="CA81" s="3">
        <v>7</v>
      </c>
      <c r="CB81" s="3">
        <v>6</v>
      </c>
      <c r="CC81" s="3">
        <v>5</v>
      </c>
      <c r="CD81" s="3">
        <v>4</v>
      </c>
      <c r="CE81" s="3">
        <v>3</v>
      </c>
      <c r="CF81" s="3">
        <v>2</v>
      </c>
      <c r="CG81" s="519">
        <v>1</v>
      </c>
      <c r="CH81" s="559">
        <v>3</v>
      </c>
      <c r="CI81" s="559">
        <f>SUM(CJ82:CU117)</f>
        <v>0</v>
      </c>
      <c r="CJ81" s="3">
        <v>12</v>
      </c>
      <c r="CK81" s="3">
        <v>11</v>
      </c>
      <c r="CL81" s="3">
        <v>10</v>
      </c>
      <c r="CM81" s="3">
        <v>9</v>
      </c>
      <c r="CN81" s="3">
        <v>8</v>
      </c>
      <c r="CO81" s="3">
        <v>7</v>
      </c>
      <c r="CP81" s="3">
        <v>6</v>
      </c>
      <c r="CQ81" s="3">
        <v>5</v>
      </c>
      <c r="CR81" s="3">
        <v>4</v>
      </c>
      <c r="CS81" s="3">
        <v>3</v>
      </c>
      <c r="CT81" s="3">
        <v>2</v>
      </c>
      <c r="CU81" s="519">
        <v>1</v>
      </c>
    </row>
    <row r="82" spans="16:99" x14ac:dyDescent="0.25">
      <c r="P82" s="940" t="s">
        <v>39</v>
      </c>
      <c r="Q82" s="13" t="s">
        <v>61</v>
      </c>
      <c r="R82" s="518" t="str">
        <f>IF(AND(_A="A-350",'2024'!$F$4="CA",'2024'!$F$2=R81),'2024DATA'!$C$3,"")</f>
        <v/>
      </c>
      <c r="S82" s="518" t="str">
        <f>IF(AND(_A="A-350",'2024'!$F$4="CA",'2024'!$F$2=S81),'2024DATA'!$D$3,"")</f>
        <v/>
      </c>
      <c r="T82" s="518" t="str">
        <f>IF(AND(_A="A-350",'2024'!$F$4="CA",'2024'!$F$2=T81),'2024DATA'!$E$3,"")</f>
        <v/>
      </c>
      <c r="U82" s="518" t="str">
        <f>IF(AND(_A="A-350",'2024'!$F$4="CA",'2024'!$F$2=U81),'2024DATA'!$F$3,"")</f>
        <v/>
      </c>
      <c r="V82" s="518" t="str">
        <f>IF(AND(_A="A-350",'2024'!$F$4="CA",'2024'!$F$2=V81),'2024DATA'!$G$3,"")</f>
        <v/>
      </c>
      <c r="W82" s="518" t="str">
        <f>IF(AND(_A="A-350",'2024'!$F$4="CA",'2024'!$F$2=W81),'2024DATA'!$H$3,"")</f>
        <v/>
      </c>
      <c r="X82" s="518" t="str">
        <f>IF(AND(_A="A-350",'2024'!$F$4="CA",'2024'!$F$2=X81),'2024DATA'!$I$3,"")</f>
        <v/>
      </c>
      <c r="Y82" s="518" t="str">
        <f>IF(AND(_A="A-350",'2024'!$F$4="CA",'2024'!$F$2=Y81),'2024DATA'!$J$3,"")</f>
        <v/>
      </c>
      <c r="Z82" s="518" t="str">
        <f>IF(AND(_A="A-350",'2024'!$F$4="CA",'2024'!$F$2=Z81),'2024DATA'!$K$3,"")</f>
        <v/>
      </c>
      <c r="AA82" s="518" t="str">
        <f>IF(AND(_A="A-350",'2024'!$F$4="CA",'2024'!$F$2=AA81),'2024DATA'!$L$3,"")</f>
        <v/>
      </c>
      <c r="AB82" s="518" t="str">
        <f>IF(AND(_A="A-350",'2024'!$F$4="CA",'2024'!$F$2=AB81),'2024DATA'!$M$3,"")</f>
        <v/>
      </c>
      <c r="AC82" s="520" t="str">
        <f>IF(AND(_A="A-350",'2024'!$F$4="CA",'2024'!$F$2=AC81),'2024DATA'!$N$3,"")</f>
        <v/>
      </c>
      <c r="AD82" s="940" t="s">
        <v>39</v>
      </c>
      <c r="AE82" s="13" t="s">
        <v>61</v>
      </c>
      <c r="AF82" s="518" t="str">
        <f>IF(AND(_B="A-350",'2024'!$F$4="CA",'2024'!$F$2=AF81),'2024DATA'!$C$3,"")</f>
        <v/>
      </c>
      <c r="AG82" s="518" t="str">
        <f>IF(AND(_B="A-350",'2024'!$F$4="CA",'2024'!$F$2=AG81),'2024DATA'!$D$3,"")</f>
        <v/>
      </c>
      <c r="AH82" s="518" t="str">
        <f>IF(AND(_B="A-350",'2024'!$F$4="CA",'2024'!$F$2=AH81),'2024DATA'!$E$3,"")</f>
        <v/>
      </c>
      <c r="AI82" s="518" t="str">
        <f>IF(AND(_B="A-350",'2024'!$F$4="CA",'2024'!$F$2=AI81),'2024DATA'!$F$3,"")</f>
        <v/>
      </c>
      <c r="AJ82" s="518" t="str">
        <f>IF(AND(_B="A-350",'2024'!$F$4="CA",'2024'!$F$2=AJ81),'2024DATA'!$G$3,"")</f>
        <v/>
      </c>
      <c r="AK82" s="518" t="str">
        <f>IF(AND(_B="A-350",'2024'!$F$4="CA",'2024'!$F$2=AK81),'2024DATA'!$H$3,"")</f>
        <v/>
      </c>
      <c r="AL82" s="518" t="str">
        <f>IF(AND(_B="A-350",'2024'!$F$4="CA",'2024'!$F$2=AL81),'2024DATA'!$I$3,"")</f>
        <v/>
      </c>
      <c r="AM82" s="518" t="str">
        <f>IF(AND(_B="A-350",'2024'!$F$4="CA",'2024'!$F$2=AM81),'2024DATA'!$J$3,"")</f>
        <v/>
      </c>
      <c r="AN82" s="518" t="str">
        <f>IF(AND(_B="A-350",'2024'!$F$4="CA",'2024'!$F$2=AN81),'2024DATA'!$K$3,"")</f>
        <v/>
      </c>
      <c r="AO82" s="518" t="str">
        <f>IF(AND(_B="A-350",'2024'!$F$4="CA",'2024'!$F$2=AO81),'2024DATA'!$L$3,"")</f>
        <v/>
      </c>
      <c r="AP82" s="518" t="str">
        <f>IF(AND(_B="A-350",'2024'!$F$4="CA",'2024'!$F$2=AP81),'2024DATA'!$M$3,"")</f>
        <v/>
      </c>
      <c r="AQ82" s="520" t="str">
        <f>IF(AND(_B="A-350",'2024'!$F$4="CA",'2024'!$F$2=AQ81),'2024DATA'!$N$3,"")</f>
        <v/>
      </c>
      <c r="AR82" s="940" t="s">
        <v>39</v>
      </c>
      <c r="AS82" s="13" t="s">
        <v>61</v>
      </c>
      <c r="AT82" s="518" t="str">
        <f>IF(AND(_C="A-350",'2024'!$F$4="CA",'2024'!$F$2=AT81),'2024DATA'!$C$3,"")</f>
        <v/>
      </c>
      <c r="AU82" s="518" t="str">
        <f>IF(AND(_C="A-350",'2024'!$F$4="CA",'2024'!$F$2=AU81),'2024DATA'!$D$3,"")</f>
        <v/>
      </c>
      <c r="AV82" s="518" t="str">
        <f>IF(AND(_C="A-350",'2024'!$F$4="CA",'2024'!$F$2=AV81),'2024DATA'!$E$3,"")</f>
        <v/>
      </c>
      <c r="AW82" s="518" t="str">
        <f>IF(AND(_C="A-350",'2024'!$F$4="CA",'2024'!$F$2=AW81),'2024DATA'!$F$3,"")</f>
        <v/>
      </c>
      <c r="AX82" s="518" t="str">
        <f>IF(AND(_C="A-350",'2024'!$F$4="CA",'2024'!$F$2=AX81),'2024DATA'!$G$3,"")</f>
        <v/>
      </c>
      <c r="AY82" s="518" t="str">
        <f>IF(AND(_C="A-350",'2024'!$F$4="CA",'2024'!$F$2=AY81),'2024DATA'!$H$3,"")</f>
        <v/>
      </c>
      <c r="AZ82" s="518" t="str">
        <f>IF(AND(_C="A-350",'2024'!$F$4="CA",'2024'!$F$2=AZ81),'2024DATA'!$I$3,"")</f>
        <v/>
      </c>
      <c r="BA82" s="518" t="str">
        <f>IF(AND(_C="A-350",'2024'!$F$4="CA",'2024'!$F$2=BA81),'2024DATA'!$J$3,"")</f>
        <v/>
      </c>
      <c r="BB82" s="518" t="str">
        <f>IF(AND(_C="A-350",'2024'!$F$4="CA",'2024'!$F$2=BB81),'2024DATA'!$K$3,"")</f>
        <v/>
      </c>
      <c r="BC82" s="518" t="str">
        <f>IF(AND(_C="A-350",'2024'!$F$4="CA",'2024'!$F$2=BC81),'2024DATA'!$L$3,"")</f>
        <v/>
      </c>
      <c r="BD82" s="518" t="str">
        <f>IF(AND(_C="A-350",'2024'!$F$4="CA",'2024'!$F$2=BD81),'2024DATA'!$M$3,"")</f>
        <v/>
      </c>
      <c r="BE82" s="520" t="str">
        <f>IF(AND(_C="A-350",'2024'!$F$4="CA",'2024'!$F$2=BE81),'2024DATA'!$N$3,"")</f>
        <v/>
      </c>
      <c r="BF82" s="940" t="s">
        <v>39</v>
      </c>
      <c r="BG82" s="13" t="s">
        <v>61</v>
      </c>
      <c r="BH82" s="518" t="str">
        <f>IF(AND(_D="A-350",'2024'!$F$4="CA",'2024'!$F$2=BH81),'2024DATA'!$C$3,"")</f>
        <v/>
      </c>
      <c r="BI82" s="518" t="str">
        <f>IF(AND(_D="A-350",'2024'!$F$4="CA",'2024'!$F$2=BI81),'2024DATA'!$D$3,"")</f>
        <v/>
      </c>
      <c r="BJ82" s="518" t="str">
        <f>IF(AND(_D="A-350",'2024'!$F$4="CA",'2024'!$F$2=BJ81),'2024DATA'!$E$3,"")</f>
        <v/>
      </c>
      <c r="BK82" s="518" t="str">
        <f>IF(AND(_D="A-350",'2024'!$F$4="CA",'2024'!$F$2=BK81),'2024DATA'!$F$3,"")</f>
        <v/>
      </c>
      <c r="BL82" s="518" t="str">
        <f>IF(AND(_D="A-350",'2024'!$F$4="CA",'2024'!$F$2=BL81),'2024DATA'!$G$3,"")</f>
        <v/>
      </c>
      <c r="BM82" s="518" t="str">
        <f>IF(AND(_D="A-350",'2024'!$F$4="CA",'2024'!$F$2=BM81),'2024DATA'!$H$3,"")</f>
        <v/>
      </c>
      <c r="BN82" s="518" t="str">
        <f>IF(AND(_D="A-350",'2024'!$F$4="CA",'2024'!$F$2=BN81),'2024DATA'!$I$3,"")</f>
        <v/>
      </c>
      <c r="BO82" s="518" t="str">
        <f>IF(AND(_D="A-350",'2024'!$F$4="CA",'2024'!$F$2=BO81),'2024DATA'!$J$3,"")</f>
        <v/>
      </c>
      <c r="BP82" s="518" t="str">
        <f>IF(AND(_D="A-350",'2024'!$F$4="CA",'2024'!$F$2=BP81),'2024DATA'!$K$3,"")</f>
        <v/>
      </c>
      <c r="BQ82" s="518" t="str">
        <f>IF(AND(_D="A-350",'2024'!$F$4="CA",'2024'!$F$2=BQ81),'2024DATA'!$L$3,"")</f>
        <v/>
      </c>
      <c r="BR82" s="518" t="str">
        <f>IF(AND(_D="A-350",'2024'!$F$4="CA",'2024'!$F$2=BR81),'2024DATA'!$M$3,"")</f>
        <v/>
      </c>
      <c r="BS82" s="520" t="str">
        <f>IF(AND(_D="A-350",'2024'!$F$4="CA",'2024'!$F$2=BS81),'2024DATA'!$N$3,"")</f>
        <v/>
      </c>
      <c r="BT82" s="940" t="s">
        <v>39</v>
      </c>
      <c r="BU82" s="13" t="s">
        <v>61</v>
      </c>
      <c r="BV82" s="518" t="str">
        <f>IF(AND(_E="A-350",'2024'!$F$4="CA",'2024'!$F$2=BV81),'2024DATA'!$C$3,"")</f>
        <v/>
      </c>
      <c r="BW82" s="518" t="str">
        <f>IF(AND(_E="A-350",'2024'!$F$4="CA",'2024'!$F$2=BW81),'2024DATA'!$D$3,"")</f>
        <v/>
      </c>
      <c r="BX82" s="518" t="str">
        <f>IF(AND(_E="A-350",'2024'!$F$4="CA",'2024'!$F$2=BX81),'2024DATA'!$E$3,"")</f>
        <v/>
      </c>
      <c r="BY82" s="518" t="str">
        <f>IF(AND(_E="A-350",'2024'!$F$4="CA",'2024'!$F$2=BY81),'2024DATA'!$F$3,"")</f>
        <v/>
      </c>
      <c r="BZ82" s="518" t="str">
        <f>IF(AND(_E="A-350",'2024'!$F$4="CA",'2024'!$F$2=BZ81),'2024DATA'!$G$3,"")</f>
        <v/>
      </c>
      <c r="CA82" s="518" t="str">
        <f>IF(AND(_E="A-350",'2024'!$F$4="CA",'2024'!$F$2=CA81),'2024DATA'!$H$3,"")</f>
        <v/>
      </c>
      <c r="CB82" s="518" t="str">
        <f>IF(AND(_E="A-350",'2024'!$F$4="CA",'2024'!$F$2=CB81),'2024DATA'!$I$3,"")</f>
        <v/>
      </c>
      <c r="CC82" s="518" t="str">
        <f>IF(AND(_E="A-350",'2024'!$F$4="CA",'2024'!$F$2=CC81),'2024DATA'!$J$3,"")</f>
        <v/>
      </c>
      <c r="CD82" s="518" t="str">
        <f>IF(AND(_E="A-350",'2024'!$F$4="CA",'2024'!$F$2=CD81),'2024DATA'!$K$3,"")</f>
        <v/>
      </c>
      <c r="CE82" s="518" t="str">
        <f>IF(AND(_E="A-350",'2024'!$F$4="CA",'2024'!$F$2=CE81),'2024DATA'!$L$3,"")</f>
        <v/>
      </c>
      <c r="CF82" s="518" t="str">
        <f>IF(AND(_E="A-350",'2024'!$F$4="CA",'2024'!$F$2=CF81),'2024DATA'!$M$3,"")</f>
        <v/>
      </c>
      <c r="CG82" s="520" t="str">
        <f>IF(AND(_E="A-350",'2024'!$F$4="CA",'2024'!$F$2=CG81),'2024DATA'!$N$3,"")</f>
        <v/>
      </c>
      <c r="CH82" s="940" t="s">
        <v>39</v>
      </c>
      <c r="CI82" s="13" t="s">
        <v>61</v>
      </c>
      <c r="CJ82" s="518" t="str">
        <f>IF(AND(_F="A-350",'2024'!$F$4="CA",'2024'!$F$2=CJ81),'2024DATA'!$C$3,"")</f>
        <v/>
      </c>
      <c r="CK82" s="518" t="str">
        <f>IF(AND(_F="A-350",'2024'!$F$4="CA",'2024'!$F$2=CK81),'2024DATA'!$D$3,"")</f>
        <v/>
      </c>
      <c r="CL82" s="518" t="str">
        <f>IF(AND(_F="A-350",'2024'!$F$4="CA",'2024'!$F$2=CL81),'2024DATA'!$E$3,"")</f>
        <v/>
      </c>
      <c r="CM82" s="518" t="str">
        <f>IF(AND(_F="A-350",'2024'!$F$4="CA",'2024'!$F$2=CM81),'2024DATA'!$F$3,"")</f>
        <v/>
      </c>
      <c r="CN82" s="518" t="str">
        <f>IF(AND(_F="A-350",'2024'!$F$4="CA",'2024'!$F$2=CN81),'2024DATA'!$G$3,"")</f>
        <v/>
      </c>
      <c r="CO82" s="518" t="str">
        <f>IF(AND(_F="A-350",'2024'!$F$4="CA",'2024'!$F$2=CO81),'2024DATA'!$H$3,"")</f>
        <v/>
      </c>
      <c r="CP82" s="518" t="str">
        <f>IF(AND(_F="A-350",'2024'!$F$4="CA",'2024'!$F$2=CP81),'2024DATA'!$I$3,"")</f>
        <v/>
      </c>
      <c r="CQ82" s="518" t="str">
        <f>IF(AND(_F="A-350",'2024'!$F$4="CA",'2024'!$F$2=CQ81),'2024DATA'!$J$3,"")</f>
        <v/>
      </c>
      <c r="CR82" s="518" t="str">
        <f>IF(AND(_F="A-350",'2024'!$F$4="CA",'2024'!$F$2=CR81),'2024DATA'!$K$3,"")</f>
        <v/>
      </c>
      <c r="CS82" s="518" t="str">
        <f>IF(AND(_F="A-350",'2024'!$F$4="CA",'2024'!$F$2=CS81),'2024DATA'!$L$3,"")</f>
        <v/>
      </c>
      <c r="CT82" s="518" t="str">
        <f>IF(AND(_F="A-350",'2024'!$F$4="CA",'2024'!$F$2=CT81),'2024DATA'!$M$3,"")</f>
        <v/>
      </c>
      <c r="CU82" s="520" t="str">
        <f>IF(AND(_F="A-350",'2024'!$F$4="CA",'2024'!$F$2=CU81),'2024DATA'!$N$3,"")</f>
        <v/>
      </c>
    </row>
    <row r="83" spans="16:99" x14ac:dyDescent="0.25">
      <c r="P83" s="940"/>
      <c r="Q83" s="13" t="s">
        <v>62</v>
      </c>
      <c r="R83" s="518" t="str">
        <f>IF(AND(_A="A-350",'2024'!$F$4="FO",'2024'!$F$2=R81),'2024DATA'!$C$4,"")</f>
        <v/>
      </c>
      <c r="S83" s="518" t="str">
        <f>IF(AND(_A="A-350",'2024'!$F$4="FO",'2024'!$F$2=S81),'2024DATA'!$D$4,"")</f>
        <v/>
      </c>
      <c r="T83" s="518" t="str">
        <f>IF(AND(_A="A-350",'2024'!$F$4="FO",'2024'!$F$2=T81),'2024DATA'!$E$4,"")</f>
        <v/>
      </c>
      <c r="U83" s="518" t="str">
        <f>IF(AND(_A="A-350",'2024'!$F$4="FO",'2024'!$F$2=U81),'2024DATA'!$F$4,"")</f>
        <v/>
      </c>
      <c r="V83" s="518" t="str">
        <f>IF(AND(_A="A-350",'2024'!$F$4="FO",'2024'!$F$2=V81),'2024DATA'!$G$4,"")</f>
        <v/>
      </c>
      <c r="W83" s="518" t="str">
        <f>IF(AND(_A="A-350",'2024'!$F$4="FO",'2024'!$F$2=W81),'2024DATA'!$H$4,"")</f>
        <v/>
      </c>
      <c r="X83" s="518" t="str">
        <f>IF(AND(_A="A-350",'2024'!$F$4="FO",'2024'!$F$2=X81),'2024DATA'!$I$4,"")</f>
        <v/>
      </c>
      <c r="Y83" s="518" t="str">
        <f>IF(AND(_A="A-350",'2024'!$F$4="FO",'2024'!$F$2=Y81),'2024DATA'!$J$4,"")</f>
        <v/>
      </c>
      <c r="Z83" s="518" t="str">
        <f>IF(AND(_A="A-350",'2024'!$F$4="FO",'2024'!$F$2=Z81),'2024DATA'!$K$4,"")</f>
        <v/>
      </c>
      <c r="AA83" s="518" t="str">
        <f>IF(AND(_A="A-350",'2024'!$F$4="FO",'2024'!$F$2=AA81),'2024DATA'!$L$4,"")</f>
        <v/>
      </c>
      <c r="AB83" s="518" t="str">
        <f>IF(AND(_A="A-350",'2024'!$F$4="FO",'2024'!$F$2=AB81),'2024DATA'!$M$4,"")</f>
        <v/>
      </c>
      <c r="AC83" s="520" t="str">
        <f>IF(AND(_A="A-350",'2024'!$F$4="FO",'2024'!$F$2=AC81),'2024DATA'!$N$4,"")</f>
        <v/>
      </c>
      <c r="AD83" s="940"/>
      <c r="AE83" s="13" t="s">
        <v>62</v>
      </c>
      <c r="AF83" s="518" t="str">
        <f>IF(AND(_B="A-350",'2024'!$F$4="FO",'2024'!$F$2=AF81),'2024DATA'!$C$4,"")</f>
        <v/>
      </c>
      <c r="AG83" s="518" t="str">
        <f>IF(AND(_B="A-350",'2024'!$F$4="FO",'2024'!$F$2=AG81),'2024DATA'!$D$4,"")</f>
        <v/>
      </c>
      <c r="AH83" s="518" t="str">
        <f>IF(AND(_B="A-350",'2024'!$F$4="FO",'2024'!$F$2=AH81),'2024DATA'!$E$4,"")</f>
        <v/>
      </c>
      <c r="AI83" s="518" t="str">
        <f>IF(AND(_B="A-350",'2024'!$F$4="FO",'2024'!$F$2=AI81),'2024DATA'!$F$4,"")</f>
        <v/>
      </c>
      <c r="AJ83" s="518" t="str">
        <f>IF(AND(_B="A-350",'2024'!$F$4="FO",'2024'!$F$2=AJ81),'2024DATA'!$G$4,"")</f>
        <v/>
      </c>
      <c r="AK83" s="518" t="str">
        <f>IF(AND(_B="A-350",'2024'!$F$4="FO",'2024'!$F$2=AK81),'2024DATA'!$H$4,"")</f>
        <v/>
      </c>
      <c r="AL83" s="518" t="str">
        <f>IF(AND(_B="A-350",'2024'!$F$4="FO",'2024'!$F$2=AL81),'2024DATA'!$I$4,"")</f>
        <v/>
      </c>
      <c r="AM83" s="518" t="str">
        <f>IF(AND(_B="A-350",'2024'!$F$4="FO",'2024'!$F$2=AM81),'2024DATA'!$J$4,"")</f>
        <v/>
      </c>
      <c r="AN83" s="518" t="str">
        <f>IF(AND(_B="A-350",'2024'!$F$4="FO",'2024'!$F$2=AN81),'2024DATA'!$K$4,"")</f>
        <v/>
      </c>
      <c r="AO83" s="518" t="str">
        <f>IF(AND(_B="A-350",'2024'!$F$4="FO",'2024'!$F$2=AO81),'2024DATA'!$L$4,"")</f>
        <v/>
      </c>
      <c r="AP83" s="518" t="str">
        <f>IF(AND(_B="A-350",'2024'!$F$4="FO",'2024'!$F$2=AP81),'2024DATA'!$M$4,"")</f>
        <v/>
      </c>
      <c r="AQ83" s="520" t="str">
        <f>IF(AND(_B="A-350",'2024'!$F$4="FO",'2024'!$F$2=AQ81),'2024DATA'!$N$4,"")</f>
        <v/>
      </c>
      <c r="AR83" s="940"/>
      <c r="AS83" s="13" t="s">
        <v>62</v>
      </c>
      <c r="AT83" s="518" t="str">
        <f>IF(AND(_C="A-350",'2024'!$F$4="FO",'2024'!$F$2=AT81),'2024DATA'!$C$4,"")</f>
        <v/>
      </c>
      <c r="AU83" s="518" t="str">
        <f>IF(AND(_C="A-350",'2024'!$F$4="FO",'2024'!$F$2=AU81),'2024DATA'!$D$4,"")</f>
        <v/>
      </c>
      <c r="AV83" s="518" t="str">
        <f>IF(AND(_C="A-350",'2024'!$F$4="FO",'2024'!$F$2=AV81),'2024DATA'!$E$4,"")</f>
        <v/>
      </c>
      <c r="AW83" s="518" t="str">
        <f>IF(AND(_C="A-350",'2024'!$F$4="FO",'2024'!$F$2=AW81),'2024DATA'!$F$4,"")</f>
        <v/>
      </c>
      <c r="AX83" s="518" t="str">
        <f>IF(AND(_C="A-350",'2024'!$F$4="FO",'2024'!$F$2=AX81),'2024DATA'!$G$4,"")</f>
        <v/>
      </c>
      <c r="AY83" s="518" t="str">
        <f>IF(AND(_C="A-350",'2024'!$F$4="FO",'2024'!$F$2=AY81),'2024DATA'!$H$4,"")</f>
        <v/>
      </c>
      <c r="AZ83" s="518" t="str">
        <f>IF(AND(_C="A-350",'2024'!$F$4="FO",'2024'!$F$2=AZ81),'2024DATA'!$I$4,"")</f>
        <v/>
      </c>
      <c r="BA83" s="518" t="str">
        <f>IF(AND(_C="A-350",'2024'!$F$4="FO",'2024'!$F$2=BA81),'2024DATA'!$J$4,"")</f>
        <v/>
      </c>
      <c r="BB83" s="518" t="str">
        <f>IF(AND(_C="A-350",'2024'!$F$4="FO",'2024'!$F$2=BB81),'2024DATA'!$K$4,"")</f>
        <v/>
      </c>
      <c r="BC83" s="518" t="str">
        <f>IF(AND(_C="A-350",'2024'!$F$4="FO",'2024'!$F$2=BC81),'2024DATA'!$L$4,"")</f>
        <v/>
      </c>
      <c r="BD83" s="518" t="str">
        <f>IF(AND(_C="A-350",'2024'!$F$4="FO",'2024'!$F$2=BD81),'2024DATA'!$M$4,"")</f>
        <v/>
      </c>
      <c r="BE83" s="520" t="str">
        <f>IF(AND(_C="A-350",'2024'!$F$4="FO",'2024'!$F$2=BE81),'2024DATA'!$N$4,"")</f>
        <v/>
      </c>
      <c r="BF83" s="940"/>
      <c r="BG83" s="13" t="s">
        <v>62</v>
      </c>
      <c r="BH83" s="518" t="str">
        <f>IF(AND(_D="A-350",'2024'!$F$4="FO",'2024'!$F$2=BH81),'2024DATA'!$C$4,"")</f>
        <v/>
      </c>
      <c r="BI83" s="518" t="str">
        <f>IF(AND(_D="A-350",'2024'!$F$4="FO",'2024'!$F$2=BI81),'2024DATA'!$D$4,"")</f>
        <v/>
      </c>
      <c r="BJ83" s="518" t="str">
        <f>IF(AND(_D="A-350",'2024'!$F$4="FO",'2024'!$F$2=BJ81),'2024DATA'!$E$4,"")</f>
        <v/>
      </c>
      <c r="BK83" s="518" t="str">
        <f>IF(AND(_D="A-350",'2024'!$F$4="FO",'2024'!$F$2=BK81),'2024DATA'!$F$4,"")</f>
        <v/>
      </c>
      <c r="BL83" s="518" t="str">
        <f>IF(AND(_D="A-350",'2024'!$F$4="FO",'2024'!$F$2=BL81),'2024DATA'!$G$4,"")</f>
        <v/>
      </c>
      <c r="BM83" s="518" t="str">
        <f>IF(AND(_D="A-350",'2024'!$F$4="FO",'2024'!$F$2=BM81),'2024DATA'!$H$4,"")</f>
        <v/>
      </c>
      <c r="BN83" s="518" t="str">
        <f>IF(AND(_D="A-350",'2024'!$F$4="FO",'2024'!$F$2=BN81),'2024DATA'!$I$4,"")</f>
        <v/>
      </c>
      <c r="BO83" s="518" t="str">
        <f>IF(AND(_D="A-350",'2024'!$F$4="FO",'2024'!$F$2=BO81),'2024DATA'!$J$4,"")</f>
        <v/>
      </c>
      <c r="BP83" s="518" t="str">
        <f>IF(AND(_D="A-350",'2024'!$F$4="FO",'2024'!$F$2=BP81),'2024DATA'!$K$4,"")</f>
        <v/>
      </c>
      <c r="BQ83" s="518" t="str">
        <f>IF(AND(_D="A-350",'2024'!$F$4="FO",'2024'!$F$2=BQ81),'2024DATA'!$L$4,"")</f>
        <v/>
      </c>
      <c r="BR83" s="518" t="str">
        <f>IF(AND(_D="A-350",'2024'!$F$4="FO",'2024'!$F$2=BR81),'2024DATA'!$M$4,"")</f>
        <v/>
      </c>
      <c r="BS83" s="520" t="str">
        <f>IF(AND(_D="A-350",'2024'!$F$4="FO",'2024'!$F$2=BS81),'2024DATA'!$N$4,"")</f>
        <v/>
      </c>
      <c r="BT83" s="940"/>
      <c r="BU83" s="13" t="s">
        <v>62</v>
      </c>
      <c r="BV83" s="518" t="str">
        <f>IF(AND(_E="A-350",'2024'!$F$4="FO",'2024'!$F$2=BV81),'2024DATA'!$C$4,"")</f>
        <v/>
      </c>
      <c r="BW83" s="518" t="str">
        <f>IF(AND(_E="A-350",'2024'!$F$4="FO",'2024'!$F$2=BW81),'2024DATA'!$D$4,"")</f>
        <v/>
      </c>
      <c r="BX83" s="518" t="str">
        <f>IF(AND(_E="A-350",'2024'!$F$4="FO",'2024'!$F$2=BX81),'2024DATA'!$E$4,"")</f>
        <v/>
      </c>
      <c r="BY83" s="518" t="str">
        <f>IF(AND(_E="A-350",'2024'!$F$4="FO",'2024'!$F$2=BY81),'2024DATA'!$F$4,"")</f>
        <v/>
      </c>
      <c r="BZ83" s="518" t="str">
        <f>IF(AND(_E="A-350",'2024'!$F$4="FO",'2024'!$F$2=BZ81),'2024DATA'!$G$4,"")</f>
        <v/>
      </c>
      <c r="CA83" s="518" t="str">
        <f>IF(AND(_E="A-350",'2024'!$F$4="FO",'2024'!$F$2=CA81),'2024DATA'!$H$4,"")</f>
        <v/>
      </c>
      <c r="CB83" s="518" t="str">
        <f>IF(AND(_E="A-350",'2024'!$F$4="FO",'2024'!$F$2=CB81),'2024DATA'!$I$4,"")</f>
        <v/>
      </c>
      <c r="CC83" s="518" t="str">
        <f>IF(AND(_E="A-350",'2024'!$F$4="FO",'2024'!$F$2=CC81),'2024DATA'!$J$4,"")</f>
        <v/>
      </c>
      <c r="CD83" s="518" t="str">
        <f>IF(AND(_E="A-350",'2024'!$F$4="FO",'2024'!$F$2=CD81),'2024DATA'!$K$4,"")</f>
        <v/>
      </c>
      <c r="CE83" s="518" t="str">
        <f>IF(AND(_E="A-350",'2024'!$F$4="FO",'2024'!$F$2=CE81),'2024DATA'!$L$4,"")</f>
        <v/>
      </c>
      <c r="CF83" s="518" t="str">
        <f>IF(AND(_E="A-350",'2024'!$F$4="FO",'2024'!$F$2=CF81),'2024DATA'!$M$4,"")</f>
        <v/>
      </c>
      <c r="CG83" s="520" t="str">
        <f>IF(AND(_E="A-350",'2024'!$F$4="FO",'2024'!$F$2=CG81),'2024DATA'!$N$4,"")</f>
        <v/>
      </c>
      <c r="CH83" s="940"/>
      <c r="CI83" s="13" t="s">
        <v>62</v>
      </c>
      <c r="CJ83" s="518" t="str">
        <f>IF(AND(_F="A-350",'2024'!$F$4="FO",'2024'!$F$2=CJ81),'2024DATA'!$C$4,"")</f>
        <v/>
      </c>
      <c r="CK83" s="518" t="str">
        <f>IF(AND(_F="A-350",'2024'!$F$4="FO",'2024'!$F$2=CK81),'2024DATA'!$D$4,"")</f>
        <v/>
      </c>
      <c r="CL83" s="518" t="str">
        <f>IF(AND(_F="A-350",'2024'!$F$4="FO",'2024'!$F$2=CL81),'2024DATA'!$E$4,"")</f>
        <v/>
      </c>
      <c r="CM83" s="518" t="str">
        <f>IF(AND(_F="A-350",'2024'!$F$4="FO",'2024'!$F$2=CM81),'2024DATA'!$F$4,"")</f>
        <v/>
      </c>
      <c r="CN83" s="518" t="str">
        <f>IF(AND(_F="A-350",'2024'!$F$4="FO",'2024'!$F$2=CN81),'2024DATA'!$G$4,"")</f>
        <v/>
      </c>
      <c r="CO83" s="518" t="str">
        <f>IF(AND(_F="A-350",'2024'!$F$4="FO",'2024'!$F$2=CO81),'2024DATA'!$H$4,"")</f>
        <v/>
      </c>
      <c r="CP83" s="518" t="str">
        <f>IF(AND(_F="A-350",'2024'!$F$4="FO",'2024'!$F$2=CP81),'2024DATA'!$I$4,"")</f>
        <v/>
      </c>
      <c r="CQ83" s="518" t="str">
        <f>IF(AND(_F="A-350",'2024'!$F$4="FO",'2024'!$F$2=CQ81),'2024DATA'!$J$4,"")</f>
        <v/>
      </c>
      <c r="CR83" s="518" t="str">
        <f>IF(AND(_F="A-350",'2024'!$F$4="FO",'2024'!$F$2=CR81),'2024DATA'!$K$4,"")</f>
        <v/>
      </c>
      <c r="CS83" s="518" t="str">
        <f>IF(AND(_F="A-350",'2024'!$F$4="FO",'2024'!$F$2=CS81),'2024DATA'!$L$4,"")</f>
        <v/>
      </c>
      <c r="CT83" s="518" t="str">
        <f>IF(AND(_F="A-350",'2024'!$F$4="FO",'2024'!$F$2=CT81),'2024DATA'!$M$4,"")</f>
        <v/>
      </c>
      <c r="CU83" s="520" t="str">
        <f>IF(AND(_F="A-350",'2024'!$F$4="FO",'2024'!$F$2=CU81),'2024DATA'!$N$4,"")</f>
        <v/>
      </c>
    </row>
    <row r="84" spans="16:99" x14ac:dyDescent="0.25">
      <c r="P84" s="940" t="s">
        <v>65</v>
      </c>
      <c r="Q84" s="13" t="s">
        <v>61</v>
      </c>
      <c r="R84" s="518" t="str">
        <f>IF(AND(_A="A-330-900",'2024'!$F$4="CA",'2024'!$F$2=R81),'2024DATA'!$C$5,"")</f>
        <v/>
      </c>
      <c r="S84" s="518" t="str">
        <f>IF(AND(_A="A-330-900",'2024'!$F$4="CA",'2024'!$F$2=S81),'2024DATA'!$D$5,"")</f>
        <v/>
      </c>
      <c r="T84" s="518" t="str">
        <f>IF(AND(_A="A-330-900",'2024'!$F$4="CA",'2024'!$F$2=T81),'2024DATA'!$E$5,"")</f>
        <v/>
      </c>
      <c r="U84" s="518" t="str">
        <f>IF(AND(_A="A-330-900",'2024'!$F$4="CA",'2024'!$F$2=U81),'2024DATA'!$F$5,"")</f>
        <v/>
      </c>
      <c r="V84" s="518" t="str">
        <f>IF(AND(_A="A-330-900",'2024'!$F$4="CA",'2024'!$F$2=V81),'2024DATA'!$G$5,"")</f>
        <v/>
      </c>
      <c r="W84" s="518" t="str">
        <f>IF(AND(_A="A-330-900",'2024'!$F$4="CA",'2024'!$F$2=W81),'2024DATA'!$H$5,"")</f>
        <v/>
      </c>
      <c r="X84" s="518" t="str">
        <f>IF(AND(_A="A-330-900",'2024'!$F$4="CA",'2024'!$F$2=X81),'2024DATA'!$I$5,"")</f>
        <v/>
      </c>
      <c r="Y84" s="518" t="str">
        <f>IF(AND(_A="A-330-900",'2024'!$F$4="CA",'2024'!$F$2=Y81),'2024DATA'!$J$5,"")</f>
        <v/>
      </c>
      <c r="Z84" s="518" t="str">
        <f>IF(AND(_A="A-330-900",'2024'!$F$4="CA",'2024'!$F$2=Z81),'2024DATA'!$K$5,"")</f>
        <v/>
      </c>
      <c r="AA84" s="518" t="str">
        <f>IF(AND(_A="A-330-900",'2024'!$F$4="CA",'2024'!$F$2=AA81),'2024DATA'!$L$5,"")</f>
        <v/>
      </c>
      <c r="AB84" s="518" t="str">
        <f>IF(AND(_A="A-330-900",'2024'!$F$4="CA",'2024'!$F$2=AB81),'2024DATA'!$M$5,"")</f>
        <v/>
      </c>
      <c r="AC84" s="520" t="str">
        <f>IF(AND(_A="A-330-900",'2024'!$F$4="CA",'2024'!$F$2=AC81),'2024DATA'!$N$5,"")</f>
        <v/>
      </c>
      <c r="AD84" s="940" t="s">
        <v>65</v>
      </c>
      <c r="AE84" s="13" t="s">
        <v>61</v>
      </c>
      <c r="AF84" s="518" t="str">
        <f>IF(AND(_B="A-330-900",'2024'!$F$4="CA",'2024'!$F$2=AF81),'2024DATA'!$C$5,"")</f>
        <v/>
      </c>
      <c r="AG84" s="518" t="str">
        <f>IF(AND(_B="A-330-900",'2024'!$F$4="CA",'2024'!$F$2=AG81),'2024DATA'!$D$5,"")</f>
        <v/>
      </c>
      <c r="AH84" s="518" t="str">
        <f>IF(AND(_B="A-330-900",'2024'!$F$4="CA",'2024'!$F$2=AH81),'2024DATA'!$E$5,"")</f>
        <v/>
      </c>
      <c r="AI84" s="518" t="str">
        <f>IF(AND(_B="A-330-900",'2024'!$F$4="CA",'2024'!$F$2=AI81),'2024DATA'!$F$5,"")</f>
        <v/>
      </c>
      <c r="AJ84" s="518" t="str">
        <f>IF(AND(_B="A-330-900",'2024'!$F$4="CA",'2024'!$F$2=AJ81),'2024DATA'!$G$5,"")</f>
        <v/>
      </c>
      <c r="AK84" s="518" t="str">
        <f>IF(AND(_B="A-330-900",'2024'!$F$4="CA",'2024'!$F$2=AK81),'2024DATA'!$H$5,"")</f>
        <v/>
      </c>
      <c r="AL84" s="518" t="str">
        <f>IF(AND(_B="A-330-900",'2024'!$F$4="CA",'2024'!$F$2=AL81),'2024DATA'!$I$5,"")</f>
        <v/>
      </c>
      <c r="AM84" s="518" t="str">
        <f>IF(AND(_B="A-330-900",'2024'!$F$4="CA",'2024'!$F$2=AM81),'2024DATA'!$J$5,"")</f>
        <v/>
      </c>
      <c r="AN84" s="518" t="str">
        <f>IF(AND(_B="A-330-900",'2024'!$F$4="CA",'2024'!$F$2=AN81),'2024DATA'!$K$5,"")</f>
        <v/>
      </c>
      <c r="AO84" s="518" t="str">
        <f>IF(AND(_B="A-330-900",'2024'!$F$4="CA",'2024'!$F$2=AO81),'2024DATA'!$L$5,"")</f>
        <v/>
      </c>
      <c r="AP84" s="518" t="str">
        <f>IF(AND(_B="A-330-900",'2024'!$F$4="CA",'2024'!$F$2=AP81),'2024DATA'!$M$5,"")</f>
        <v/>
      </c>
      <c r="AQ84" s="520" t="str">
        <f>IF(AND(_B="A-330-900",'2024'!$F$4="CA",'2024'!$F$2=AQ81),'2024DATA'!$N$5,"")</f>
        <v/>
      </c>
      <c r="AR84" s="940" t="s">
        <v>65</v>
      </c>
      <c r="AS84" s="13" t="s">
        <v>61</v>
      </c>
      <c r="AT84" s="518" t="str">
        <f>IF(AND(_C="A-330-900",'2024'!$F$4="CA",'2024'!$F$2=AT81),'2024DATA'!$C$5,"")</f>
        <v/>
      </c>
      <c r="AU84" s="518" t="str">
        <f>IF(AND(_C="A-330-900",'2024'!$F$4="CA",'2024'!$F$2=AU81),'2024DATA'!$D$5,"")</f>
        <v/>
      </c>
      <c r="AV84" s="518" t="str">
        <f>IF(AND(_C="A-330-900",'2024'!$F$4="CA",'2024'!$F$2=AV81),'2024DATA'!$E$5,"")</f>
        <v/>
      </c>
      <c r="AW84" s="518" t="str">
        <f>IF(AND(_C="A-330-900",'2024'!$F$4="CA",'2024'!$F$2=AW81),'2024DATA'!$F$5,"")</f>
        <v/>
      </c>
      <c r="AX84" s="518" t="str">
        <f>IF(AND(_C="A-330-900",'2024'!$F$4="CA",'2024'!$F$2=AX81),'2024DATA'!$G$5,"")</f>
        <v/>
      </c>
      <c r="AY84" s="518" t="str">
        <f>IF(AND(_C="A-330-900",'2024'!$F$4="CA",'2024'!$F$2=AY81),'2024DATA'!$H$5,"")</f>
        <v/>
      </c>
      <c r="AZ84" s="518" t="str">
        <f>IF(AND(_C="A-330-900",'2024'!$F$4="CA",'2024'!$F$2=AZ81),'2024DATA'!$I$5,"")</f>
        <v/>
      </c>
      <c r="BA84" s="518" t="str">
        <f>IF(AND(_C="A-330-900",'2024'!$F$4="CA",'2024'!$F$2=BA81),'2024DATA'!$J$5,"")</f>
        <v/>
      </c>
      <c r="BB84" s="518" t="str">
        <f>IF(AND(_C="A-330-900",'2024'!$F$4="CA",'2024'!$F$2=BB81),'2024DATA'!$K$5,"")</f>
        <v/>
      </c>
      <c r="BC84" s="518" t="str">
        <f>IF(AND(_C="A-330-900",'2024'!$F$4="CA",'2024'!$F$2=BC81),'2024DATA'!$L$5,"")</f>
        <v/>
      </c>
      <c r="BD84" s="518" t="str">
        <f>IF(AND(_C="A-330-900",'2024'!$F$4="CA",'2024'!$F$2=BD81),'2024DATA'!$M$5,"")</f>
        <v/>
      </c>
      <c r="BE84" s="520" t="str">
        <f>IF(AND(_C="A-330-900",'2024'!$F$4="CA",'2024'!$F$2=BE81),'2024DATA'!$N$5,"")</f>
        <v/>
      </c>
      <c r="BF84" s="940" t="s">
        <v>65</v>
      </c>
      <c r="BG84" s="13" t="s">
        <v>61</v>
      </c>
      <c r="BH84" s="518" t="str">
        <f>IF(AND(_D="A-330-900",'2024'!$F$4="CA",'2024'!$F$2=BH81),'2024DATA'!$C$5,"")</f>
        <v/>
      </c>
      <c r="BI84" s="518" t="str">
        <f>IF(AND(_D="A-330-900",'2024'!$F$4="CA",'2024'!$F$2=BI81),'2024DATA'!$D$5,"")</f>
        <v/>
      </c>
      <c r="BJ84" s="518" t="str">
        <f>IF(AND(_D="A-330-900",'2024'!$F$4="CA",'2024'!$F$2=BJ81),'2024DATA'!$E$5,"")</f>
        <v/>
      </c>
      <c r="BK84" s="518" t="str">
        <f>IF(AND(_D="A-330-900",'2024'!$F$4="CA",'2024'!$F$2=BK81),'2024DATA'!$F$5,"")</f>
        <v/>
      </c>
      <c r="BL84" s="518" t="str">
        <f>IF(AND(_D="A-330-900",'2024'!$F$4="CA",'2024'!$F$2=BL81),'2024DATA'!$G$5,"")</f>
        <v/>
      </c>
      <c r="BM84" s="518" t="str">
        <f>IF(AND(_D="A-330-900",'2024'!$F$4="CA",'2024'!$F$2=BM81),'2024DATA'!$H$5,"")</f>
        <v/>
      </c>
      <c r="BN84" s="518" t="str">
        <f>IF(AND(_D="A-330-900",'2024'!$F$4="CA",'2024'!$F$2=BN81),'2024DATA'!$I$5,"")</f>
        <v/>
      </c>
      <c r="BO84" s="518" t="str">
        <f>IF(AND(_D="A-330-900",'2024'!$F$4="CA",'2024'!$F$2=BO81),'2024DATA'!$J$5,"")</f>
        <v/>
      </c>
      <c r="BP84" s="518" t="str">
        <f>IF(AND(_D="A-330-900",'2024'!$F$4="CA",'2024'!$F$2=BP81),'2024DATA'!$K$5,"")</f>
        <v/>
      </c>
      <c r="BQ84" s="518" t="str">
        <f>IF(AND(_D="A-330-900",'2024'!$F$4="CA",'2024'!$F$2=BQ81),'2024DATA'!$L$5,"")</f>
        <v/>
      </c>
      <c r="BR84" s="518" t="str">
        <f>IF(AND(_D="A-330-900",'2024'!$F$4="CA",'2024'!$F$2=BR81),'2024DATA'!$M$5,"")</f>
        <v/>
      </c>
      <c r="BS84" s="520" t="str">
        <f>IF(AND(_D="A-330-900",'2024'!$F$4="CA",'2024'!$F$2=BS81),'2024DATA'!$N$5,"")</f>
        <v/>
      </c>
      <c r="BT84" s="940" t="s">
        <v>65</v>
      </c>
      <c r="BU84" s="13" t="s">
        <v>61</v>
      </c>
      <c r="BV84" s="518" t="str">
        <f>IF(AND(_E="A-330-900",'2024'!$F$4="CA",'2024'!$F$2=BV81),'2024DATA'!$C$5,"")</f>
        <v/>
      </c>
      <c r="BW84" s="518" t="str">
        <f>IF(AND(_E="A-330-900",'2024'!$F$4="CA",'2024'!$F$2=BW81),'2024DATA'!$D$5,"")</f>
        <v/>
      </c>
      <c r="BX84" s="518" t="str">
        <f>IF(AND(_E="A-330-900",'2024'!$F$4="CA",'2024'!$F$2=BX81),'2024DATA'!$E$5,"")</f>
        <v/>
      </c>
      <c r="BY84" s="518" t="str">
        <f>IF(AND(_E="A-330-900",'2024'!$F$4="CA",'2024'!$F$2=BY81),'2024DATA'!$F$5,"")</f>
        <v/>
      </c>
      <c r="BZ84" s="518" t="str">
        <f>IF(AND(_E="A-330-900",'2024'!$F$4="CA",'2024'!$F$2=BZ81),'2024DATA'!$G$5,"")</f>
        <v/>
      </c>
      <c r="CA84" s="518" t="str">
        <f>IF(AND(_E="A-330-900",'2024'!$F$4="CA",'2024'!$F$2=CA81),'2024DATA'!$H$5,"")</f>
        <v/>
      </c>
      <c r="CB84" s="518" t="str">
        <f>IF(AND(_E="A-330-900",'2024'!$F$4="CA",'2024'!$F$2=CB81),'2024DATA'!$I$5,"")</f>
        <v/>
      </c>
      <c r="CC84" s="518" t="str">
        <f>IF(AND(_E="A-330-900",'2024'!$F$4="CA",'2024'!$F$2=CC81),'2024DATA'!$J$5,"")</f>
        <v/>
      </c>
      <c r="CD84" s="518" t="str">
        <f>IF(AND(_E="A-330-900",'2024'!$F$4="CA",'2024'!$F$2=CD81),'2024DATA'!$K$5,"")</f>
        <v/>
      </c>
      <c r="CE84" s="518" t="str">
        <f>IF(AND(_E="A-330-900",'2024'!$F$4="CA",'2024'!$F$2=CE81),'2024DATA'!$L$5,"")</f>
        <v/>
      </c>
      <c r="CF84" s="518" t="str">
        <f>IF(AND(_E="A-330-900",'2024'!$F$4="CA",'2024'!$F$2=CF81),'2024DATA'!$M$5,"")</f>
        <v/>
      </c>
      <c r="CG84" s="520" t="str">
        <f>IF(AND(_E="A-330-900",'2024'!$F$4="CA",'2024'!$F$2=CG81),'2024DATA'!$N$5,"")</f>
        <v/>
      </c>
      <c r="CH84" s="940" t="s">
        <v>65</v>
      </c>
      <c r="CI84" s="13" t="s">
        <v>61</v>
      </c>
      <c r="CJ84" s="518" t="str">
        <f>IF(AND(_F="A-330-900",'2024'!$F$4="CA",'2024'!$F$2=CJ81),'2024DATA'!$C$5,"")</f>
        <v/>
      </c>
      <c r="CK84" s="518" t="str">
        <f>IF(AND(_F="A-330-900",'2024'!$F$4="CA",'2024'!$F$2=CK81),'2024DATA'!$D$5,"")</f>
        <v/>
      </c>
      <c r="CL84" s="518" t="str">
        <f>IF(AND(_F="A-330-900",'2024'!$F$4="CA",'2024'!$F$2=CL81),'2024DATA'!$E$5,"")</f>
        <v/>
      </c>
      <c r="CM84" s="518" t="str">
        <f>IF(AND(_F="A-330-900",'2024'!$F$4="CA",'2024'!$F$2=CM81),'2024DATA'!$F$5,"")</f>
        <v/>
      </c>
      <c r="CN84" s="518" t="str">
        <f>IF(AND(_F="A-330-900",'2024'!$F$4="CA",'2024'!$F$2=CN81),'2024DATA'!$G$5,"")</f>
        <v/>
      </c>
      <c r="CO84" s="518" t="str">
        <f>IF(AND(_F="A-330-900",'2024'!$F$4="CA",'2024'!$F$2=CO81),'2024DATA'!$H$5,"")</f>
        <v/>
      </c>
      <c r="CP84" s="518" t="str">
        <f>IF(AND(_F="A-330-900",'2024'!$F$4="CA",'2024'!$F$2=CP81),'2024DATA'!$I$5,"")</f>
        <v/>
      </c>
      <c r="CQ84" s="518" t="str">
        <f>IF(AND(_F="A-330-900",'2024'!$F$4="CA",'2024'!$F$2=CQ81),'2024DATA'!$J$5,"")</f>
        <v/>
      </c>
      <c r="CR84" s="518" t="str">
        <f>IF(AND(_F="A-330-900",'2024'!$F$4="CA",'2024'!$F$2=CR81),'2024DATA'!$K$5,"")</f>
        <v/>
      </c>
      <c r="CS84" s="518" t="str">
        <f>IF(AND(_F="A-330-900",'2024'!$F$4="CA",'2024'!$F$2=CS81),'2024DATA'!$L$5,"")</f>
        <v/>
      </c>
      <c r="CT84" s="518" t="str">
        <f>IF(AND(_F="A-330-900",'2024'!$F$4="CA",'2024'!$F$2=CT81),'2024DATA'!$M$5,"")</f>
        <v/>
      </c>
      <c r="CU84" s="520" t="str">
        <f>IF(AND(_F="A-330-900",'2024'!$F$4="CA",'2024'!$F$2=CU81),'2024DATA'!$N$5,"")</f>
        <v/>
      </c>
    </row>
    <row r="85" spans="16:99" x14ac:dyDescent="0.25">
      <c r="P85" s="940"/>
      <c r="Q85" s="13" t="s">
        <v>62</v>
      </c>
      <c r="R85" s="518" t="str">
        <f>IF(AND(_A="A-330-900",'2024'!$F$4="FO",'2024'!$F$2=R81),'2024DATA'!$C$6,"")</f>
        <v/>
      </c>
      <c r="S85" s="518" t="str">
        <f>IF(AND(_A="A-330-900",'2024'!$F$4="FO",'2024'!$F$2=S81),'2024DATA'!$D$6,"")</f>
        <v/>
      </c>
      <c r="T85" s="518" t="str">
        <f>IF(AND(_A="A-330-900",'2024'!$F$4="FO",'2024'!$F$2=T81),'2024DATA'!$E$6,"")</f>
        <v/>
      </c>
      <c r="U85" s="518" t="str">
        <f>IF(AND(_A="A-330-900",'2024'!$F$4="FO",'2024'!$F$2=U81),'2024DATA'!$F$6,"")</f>
        <v/>
      </c>
      <c r="V85" s="518" t="str">
        <f>IF(AND(_A="A-330-900",'2024'!$F$4="FO",'2024'!$F$2=V81),'2024DATA'!$G$6,"")</f>
        <v/>
      </c>
      <c r="W85" s="518" t="str">
        <f>IF(AND(_A="A-330-900",'2024'!$F$4="FO",'2024'!$F$2=W81),'2024DATA'!$H$6,"")</f>
        <v/>
      </c>
      <c r="X85" s="518" t="str">
        <f>IF(AND(_A="A-330-900",'2024'!$F$4="FO",'2024'!$F$2=X81),'2024DATA'!$I$6,"")</f>
        <v/>
      </c>
      <c r="Y85" s="518" t="str">
        <f>IF(AND(_A="A-330-900",'2024'!$F$4="FO",'2024'!$F$2=Y81),'2024DATA'!$J$6,"")</f>
        <v/>
      </c>
      <c r="Z85" s="518" t="str">
        <f>IF(AND(_A="A-330-900",'2024'!$F$4="FO",'2024'!$F$2=Z81),'2024DATA'!$K$6,"")</f>
        <v/>
      </c>
      <c r="AA85" s="518" t="str">
        <f>IF(AND(_A="A-330-900",'2024'!$F$4="FO",'2024'!$F$2=AA81),'2024DATA'!$L$6,"")</f>
        <v/>
      </c>
      <c r="AB85" s="518" t="str">
        <f>IF(AND(_A="A-330-900",'2024'!$F$4="FO",'2024'!$F$2=AB81),'2024DATA'!$M$6,"")</f>
        <v/>
      </c>
      <c r="AC85" s="520" t="str">
        <f>IF(AND(_A="A-330-900",'2024'!$F$4="FO",'2024'!$F$2=AC81),'2024DATA'!$N$6,"")</f>
        <v/>
      </c>
      <c r="AD85" s="940"/>
      <c r="AE85" s="13" t="s">
        <v>62</v>
      </c>
      <c r="AF85" s="518" t="str">
        <f>IF(AND(_B="A-330-900",'2024'!$F$4="FO",'2024'!$F$2=AF81),'2024DATA'!$C$6,"")</f>
        <v/>
      </c>
      <c r="AG85" s="518" t="str">
        <f>IF(AND(_B="A-330-900",'2024'!$F$4="FO",'2024'!$F$2=AG81),'2024DATA'!$D$6,"")</f>
        <v/>
      </c>
      <c r="AH85" s="518" t="str">
        <f>IF(AND(_B="A-330-900",'2024'!$F$4="FO",'2024'!$F$2=AH81),'2024DATA'!$E$6,"")</f>
        <v/>
      </c>
      <c r="AI85" s="518" t="str">
        <f>IF(AND(_B="A-330-900",'2024'!$F$4="FO",'2024'!$F$2=AI81),'2024DATA'!$F$6,"")</f>
        <v/>
      </c>
      <c r="AJ85" s="518" t="str">
        <f>IF(AND(_B="A-330-900",'2024'!$F$4="FO",'2024'!$F$2=AJ81),'2024DATA'!$G$6,"")</f>
        <v/>
      </c>
      <c r="AK85" s="518" t="str">
        <f>IF(AND(_B="A-330-900",'2024'!$F$4="FO",'2024'!$F$2=AK81),'2024DATA'!$H$6,"")</f>
        <v/>
      </c>
      <c r="AL85" s="518" t="str">
        <f>IF(AND(_B="A-330-900",'2024'!$F$4="FO",'2024'!$F$2=AL81),'2024DATA'!$I$6,"")</f>
        <v/>
      </c>
      <c r="AM85" s="518" t="str">
        <f>IF(AND(_B="A-330-900",'2024'!$F$4="FO",'2024'!$F$2=AM81),'2024DATA'!$J$6,"")</f>
        <v/>
      </c>
      <c r="AN85" s="518" t="str">
        <f>IF(AND(_B="A-330-900",'2024'!$F$4="FO",'2024'!$F$2=AN81),'2024DATA'!$K$6,"")</f>
        <v/>
      </c>
      <c r="AO85" s="518" t="str">
        <f>IF(AND(_B="A-330-900",'2024'!$F$4="FO",'2024'!$F$2=AO81),'2024DATA'!$L$6,"")</f>
        <v/>
      </c>
      <c r="AP85" s="518" t="str">
        <f>IF(AND(_B="A-330-900",'2024'!$F$4="FO",'2024'!$F$2=AP81),'2024DATA'!$M$6,"")</f>
        <v/>
      </c>
      <c r="AQ85" s="520" t="str">
        <f>IF(AND(_B="A-330-900",'2024'!$F$4="FO",'2024'!$F$2=AQ81),'2024DATA'!$N$6,"")</f>
        <v/>
      </c>
      <c r="AR85" s="940"/>
      <c r="AS85" s="13" t="s">
        <v>62</v>
      </c>
      <c r="AT85" s="518" t="str">
        <f>IF(AND(_C="A-330-900",'2024'!$F$4="FO",'2024'!$F$2=AT81),'2024DATA'!$C$6,"")</f>
        <v/>
      </c>
      <c r="AU85" s="518" t="str">
        <f>IF(AND(_C="A-330-900",'2024'!$F$4="FO",'2024'!$F$2=AU81),'2024DATA'!$D$6,"")</f>
        <v/>
      </c>
      <c r="AV85" s="518" t="str">
        <f>IF(AND(_C="A-330-900",'2024'!$F$4="FO",'2024'!$F$2=AV81),'2024DATA'!$E$6,"")</f>
        <v/>
      </c>
      <c r="AW85" s="518" t="str">
        <f>IF(AND(_C="A-330-900",'2024'!$F$4="FO",'2024'!$F$2=AW81),'2024DATA'!$F$6,"")</f>
        <v/>
      </c>
      <c r="AX85" s="518" t="str">
        <f>IF(AND(_C="A-330-900",'2024'!$F$4="FO",'2024'!$F$2=AX81),'2024DATA'!$G$6,"")</f>
        <v/>
      </c>
      <c r="AY85" s="518" t="str">
        <f>IF(AND(_C="A-330-900",'2024'!$F$4="FO",'2024'!$F$2=AY81),'2024DATA'!$H$6,"")</f>
        <v/>
      </c>
      <c r="AZ85" s="518" t="str">
        <f>IF(AND(_C="A-330-900",'2024'!$F$4="FO",'2024'!$F$2=AZ81),'2024DATA'!$I$6,"")</f>
        <v/>
      </c>
      <c r="BA85" s="518" t="str">
        <f>IF(AND(_C="A-330-900",'2024'!$F$4="FO",'2024'!$F$2=BA81),'2024DATA'!$J$6,"")</f>
        <v/>
      </c>
      <c r="BB85" s="518" t="str">
        <f>IF(AND(_C="A-330-900",'2024'!$F$4="FO",'2024'!$F$2=BB81),'2024DATA'!$K$6,"")</f>
        <v/>
      </c>
      <c r="BC85" s="518" t="str">
        <f>IF(AND(_C="A-330-900",'2024'!$F$4="FO",'2024'!$F$2=BC81),'2024DATA'!$L$6,"")</f>
        <v/>
      </c>
      <c r="BD85" s="518" t="str">
        <f>IF(AND(_C="A-330-900",'2024'!$F$4="FO",'2024'!$F$2=BD81),'2024DATA'!$M$6,"")</f>
        <v/>
      </c>
      <c r="BE85" s="520" t="str">
        <f>IF(AND(_C="A-330-900",'2024'!$F$4="FO",'2024'!$F$2=BE81),'2024DATA'!$N$6,"")</f>
        <v/>
      </c>
      <c r="BF85" s="940"/>
      <c r="BG85" s="13" t="s">
        <v>62</v>
      </c>
      <c r="BH85" s="518" t="str">
        <f>IF(AND(_D="A-330-900",'2024'!$F$4="FO",'2024'!$F$2=BH81),'2024DATA'!$C$6,"")</f>
        <v/>
      </c>
      <c r="BI85" s="518" t="str">
        <f>IF(AND(_D="A-330-900",'2024'!$F$4="FO",'2024'!$F$2=BI81),'2024DATA'!$D$6,"")</f>
        <v/>
      </c>
      <c r="BJ85" s="518" t="str">
        <f>IF(AND(_D="A-330-900",'2024'!$F$4="FO",'2024'!$F$2=BJ81),'2024DATA'!$E$6,"")</f>
        <v/>
      </c>
      <c r="BK85" s="518" t="str">
        <f>IF(AND(_D="A-330-900",'2024'!$F$4="FO",'2024'!$F$2=BK81),'2024DATA'!$F$6,"")</f>
        <v/>
      </c>
      <c r="BL85" s="518" t="str">
        <f>IF(AND(_D="A-330-900",'2024'!$F$4="FO",'2024'!$F$2=BL81),'2024DATA'!$G$6,"")</f>
        <v/>
      </c>
      <c r="BM85" s="518" t="str">
        <f>IF(AND(_D="A-330-900",'2024'!$F$4="FO",'2024'!$F$2=BM81),'2024DATA'!$H$6,"")</f>
        <v/>
      </c>
      <c r="BN85" s="518" t="str">
        <f>IF(AND(_D="A-330-900",'2024'!$F$4="FO",'2024'!$F$2=BN81),'2024DATA'!$I$6,"")</f>
        <v/>
      </c>
      <c r="BO85" s="518" t="str">
        <f>IF(AND(_D="A-330-900",'2024'!$F$4="FO",'2024'!$F$2=BO81),'2024DATA'!$J$6,"")</f>
        <v/>
      </c>
      <c r="BP85" s="518" t="str">
        <f>IF(AND(_D="A-330-900",'2024'!$F$4="FO",'2024'!$F$2=BP81),'2024DATA'!$K$6,"")</f>
        <v/>
      </c>
      <c r="BQ85" s="518" t="str">
        <f>IF(AND(_D="A-330-900",'2024'!$F$4="FO",'2024'!$F$2=BQ81),'2024DATA'!$L$6,"")</f>
        <v/>
      </c>
      <c r="BR85" s="518" t="str">
        <f>IF(AND(_D="A-330-900",'2024'!$F$4="FO",'2024'!$F$2=BR81),'2024DATA'!$M$6,"")</f>
        <v/>
      </c>
      <c r="BS85" s="520" t="str">
        <f>IF(AND(_D="A-330-900",'2024'!$F$4="FO",'2024'!$F$2=BS81),'2024DATA'!$N$6,"")</f>
        <v/>
      </c>
      <c r="BT85" s="940"/>
      <c r="BU85" s="13" t="s">
        <v>62</v>
      </c>
      <c r="BV85" s="518" t="str">
        <f>IF(AND(_E="A-330-900",'2024'!$F$4="FO",'2024'!$F$2=BV81),'2024DATA'!$C$6,"")</f>
        <v/>
      </c>
      <c r="BW85" s="518" t="str">
        <f>IF(AND(_E="A-330-900",'2024'!$F$4="FO",'2024'!$F$2=BW81),'2024DATA'!$D$6,"")</f>
        <v/>
      </c>
      <c r="BX85" s="518" t="str">
        <f>IF(AND(_E="A-330-900",'2024'!$F$4="FO",'2024'!$F$2=BX81),'2024DATA'!$E$6,"")</f>
        <v/>
      </c>
      <c r="BY85" s="518" t="str">
        <f>IF(AND(_E="A-330-900",'2024'!$F$4="FO",'2024'!$F$2=BY81),'2024DATA'!$F$6,"")</f>
        <v/>
      </c>
      <c r="BZ85" s="518" t="str">
        <f>IF(AND(_E="A-330-900",'2024'!$F$4="FO",'2024'!$F$2=BZ81),'2024DATA'!$G$6,"")</f>
        <v/>
      </c>
      <c r="CA85" s="518" t="str">
        <f>IF(AND(_E="A-330-900",'2024'!$F$4="FO",'2024'!$F$2=CA81),'2024DATA'!$H$6,"")</f>
        <v/>
      </c>
      <c r="CB85" s="518" t="str">
        <f>IF(AND(_E="A-330-900",'2024'!$F$4="FO",'2024'!$F$2=CB81),'2024DATA'!$I$6,"")</f>
        <v/>
      </c>
      <c r="CC85" s="518" t="str">
        <f>IF(AND(_E="A-330-900",'2024'!$F$4="FO",'2024'!$F$2=CC81),'2024DATA'!$J$6,"")</f>
        <v/>
      </c>
      <c r="CD85" s="518" t="str">
        <f>IF(AND(_E="A-330-900",'2024'!$F$4="FO",'2024'!$F$2=CD81),'2024DATA'!$K$6,"")</f>
        <v/>
      </c>
      <c r="CE85" s="518" t="str">
        <f>IF(AND(_E="A-330-900",'2024'!$F$4="FO",'2024'!$F$2=CE81),'2024DATA'!$L$6,"")</f>
        <v/>
      </c>
      <c r="CF85" s="518" t="str">
        <f>IF(AND(_E="A-330-900",'2024'!$F$4="FO",'2024'!$F$2=CF81),'2024DATA'!$M$6,"")</f>
        <v/>
      </c>
      <c r="CG85" s="520" t="str">
        <f>IF(AND(_E="A-330-900",'2024'!$F$4="FO",'2024'!$F$2=CG81),'2024DATA'!$N$6,"")</f>
        <v/>
      </c>
      <c r="CH85" s="940"/>
      <c r="CI85" s="13" t="s">
        <v>62</v>
      </c>
      <c r="CJ85" s="518" t="str">
        <f>IF(AND(_F="A-330-900",'2024'!$F$4="FO",'2024'!$F$2=CJ81),'2024DATA'!$C$6,"")</f>
        <v/>
      </c>
      <c r="CK85" s="518" t="str">
        <f>IF(AND(_F="A-330-900",'2024'!$F$4="FO",'2024'!$F$2=CK81),'2024DATA'!$D$6,"")</f>
        <v/>
      </c>
      <c r="CL85" s="518" t="str">
        <f>IF(AND(_F="A-330-900",'2024'!$F$4="FO",'2024'!$F$2=CL81),'2024DATA'!$E$6,"")</f>
        <v/>
      </c>
      <c r="CM85" s="518" t="str">
        <f>IF(AND(_F="A-330-900",'2024'!$F$4="FO",'2024'!$F$2=CM81),'2024DATA'!$F$6,"")</f>
        <v/>
      </c>
      <c r="CN85" s="518" t="str">
        <f>IF(AND(_F="A-330-900",'2024'!$F$4="FO",'2024'!$F$2=CN81),'2024DATA'!$G$6,"")</f>
        <v/>
      </c>
      <c r="CO85" s="518" t="str">
        <f>IF(AND(_F="A-330-900",'2024'!$F$4="FO",'2024'!$F$2=CO81),'2024DATA'!$H$6,"")</f>
        <v/>
      </c>
      <c r="CP85" s="518" t="str">
        <f>IF(AND(_F="A-330-900",'2024'!$F$4="FO",'2024'!$F$2=CP81),'2024DATA'!$I$6,"")</f>
        <v/>
      </c>
      <c r="CQ85" s="518" t="str">
        <f>IF(AND(_F="A-330-900",'2024'!$F$4="FO",'2024'!$F$2=CQ81),'2024DATA'!$J$6,"")</f>
        <v/>
      </c>
      <c r="CR85" s="518" t="str">
        <f>IF(AND(_F="A-330-900",'2024'!$F$4="FO",'2024'!$F$2=CR81),'2024DATA'!$K$6,"")</f>
        <v/>
      </c>
      <c r="CS85" s="518" t="str">
        <f>IF(AND(_F="A-330-900",'2024'!$F$4="FO",'2024'!$F$2=CS81),'2024DATA'!$L$6,"")</f>
        <v/>
      </c>
      <c r="CT85" s="518" t="str">
        <f>IF(AND(_F="A-330-900",'2024'!$F$4="FO",'2024'!$F$2=CT81),'2024DATA'!$M$6,"")</f>
        <v/>
      </c>
      <c r="CU85" s="520" t="str">
        <f>IF(AND(_F="A-330-900",'2024'!$F$4="FO",'2024'!$F$2=CU81),'2024DATA'!$N$6,"")</f>
        <v/>
      </c>
    </row>
    <row r="86" spans="16:99" x14ac:dyDescent="0.25">
      <c r="P86" s="940" t="s">
        <v>64</v>
      </c>
      <c r="Q86" s="13" t="s">
        <v>61</v>
      </c>
      <c r="R86" s="518" t="str">
        <f>IF(AND(_A="A-330-300",'2024'!$F$4="CA",'2024'!$F$2=R81),'2024DATA'!$C$7,"")</f>
        <v/>
      </c>
      <c r="S86" s="518" t="str">
        <f>IF(AND(_A="A-330-300",'2024'!$F$4="CA",'2024'!$F$2=S81),'2024DATA'!$D$7,"")</f>
        <v/>
      </c>
      <c r="T86" s="518" t="str">
        <f>IF(AND(_A="A-330-300",'2024'!$F$4="CA",'2024'!$F$2=T81),'2024DATA'!$E$7,"")</f>
        <v/>
      </c>
      <c r="U86" s="518" t="str">
        <f>IF(AND(_A="A-330-300",'2024'!$F$4="CA",'2024'!$F$2=U81),'2024DATA'!$F$7,"")</f>
        <v/>
      </c>
      <c r="V86" s="518" t="str">
        <f>IF(AND(_A="A-330-300",'2024'!$F$4="CA",'2024'!$F$2=V81),'2024DATA'!$G$7,"")</f>
        <v/>
      </c>
      <c r="W86" s="518" t="str">
        <f>IF(AND(_A="A-330-300",'2024'!$F$4="CA",'2024'!$F$2=W81),'2024DATA'!$H$7,"")</f>
        <v/>
      </c>
      <c r="X86" s="518" t="str">
        <f>IF(AND(_A="A-330-300",'2024'!$F$4="CA",'2024'!$F$2=X81),'2024DATA'!$I$7,"")</f>
        <v/>
      </c>
      <c r="Y86" s="518" t="str">
        <f>IF(AND(_A="A-330-300",'2024'!$F$4="CA",'2024'!$F$2=Y81),'2024DATA'!$J$7,"")</f>
        <v/>
      </c>
      <c r="Z86" s="518" t="str">
        <f>IF(AND(_A="A-330-300",'2024'!$F$4="CA",'2024'!$F$2=Z81),'2024DATA'!$K$7,"")</f>
        <v/>
      </c>
      <c r="AA86" s="518" t="str">
        <f>IF(AND(_A="A-330-300",'2024'!$F$4="CA",'2024'!$F$2=AA81),'2024DATA'!$L$7,"")</f>
        <v/>
      </c>
      <c r="AB86" s="518" t="str">
        <f>IF(AND(_A="A-330-300",'2024'!$F$4="CA",'2024'!$F$2=AB81),'2024DATA'!$M$7,"")</f>
        <v/>
      </c>
      <c r="AC86" s="520" t="str">
        <f>IF(AND(_A="A-330-300",'2024'!$F$4="CA",'2024'!$F$2=AC81),'2024DATA'!$N$7,"")</f>
        <v/>
      </c>
      <c r="AD86" s="940" t="s">
        <v>64</v>
      </c>
      <c r="AE86" s="13" t="s">
        <v>61</v>
      </c>
      <c r="AF86" s="518" t="str">
        <f>IF(AND(_B="A-330-300",'2024'!$F$4="CA",'2024'!$F$2=AF81),'2024DATA'!$C$7,"")</f>
        <v/>
      </c>
      <c r="AG86" s="518" t="str">
        <f>IF(AND(_B="A-330-300",'2024'!$F$4="CA",'2024'!$F$2=AG81),'2024DATA'!$D$7,"")</f>
        <v/>
      </c>
      <c r="AH86" s="518" t="str">
        <f>IF(AND(_B="A-330-300",'2024'!$F$4="CA",'2024'!$F$2=AH81),'2024DATA'!$E$7,"")</f>
        <v/>
      </c>
      <c r="AI86" s="518" t="str">
        <f>IF(AND(_B="A-330-300",'2024'!$F$4="CA",'2024'!$F$2=AI81),'2024DATA'!$F$7,"")</f>
        <v/>
      </c>
      <c r="AJ86" s="518" t="str">
        <f>IF(AND(_B="A-330-300",'2024'!$F$4="CA",'2024'!$F$2=AJ81),'2024DATA'!$G$7,"")</f>
        <v/>
      </c>
      <c r="AK86" s="518" t="str">
        <f>IF(AND(_B="A-330-300",'2024'!$F$4="CA",'2024'!$F$2=AK81),'2024DATA'!$H$7,"")</f>
        <v/>
      </c>
      <c r="AL86" s="518" t="str">
        <f>IF(AND(_B="A-330-300",'2024'!$F$4="CA",'2024'!$F$2=AL81),'2024DATA'!$I$7,"")</f>
        <v/>
      </c>
      <c r="AM86" s="518" t="str">
        <f>IF(AND(_B="A-330-300",'2024'!$F$4="CA",'2024'!$F$2=AM81),'2024DATA'!$J$7,"")</f>
        <v/>
      </c>
      <c r="AN86" s="518" t="str">
        <f>IF(AND(_B="A-330-300",'2024'!$F$4="CA",'2024'!$F$2=AN81),'2024DATA'!$K$7,"")</f>
        <v/>
      </c>
      <c r="AO86" s="518" t="str">
        <f>IF(AND(_B="A-330-300",'2024'!$F$4="CA",'2024'!$F$2=AO81),'2024DATA'!$L$7,"")</f>
        <v/>
      </c>
      <c r="AP86" s="518" t="str">
        <f>IF(AND(_B="A-330-300",'2024'!$F$4="CA",'2024'!$F$2=AP81),'2024DATA'!$M$7,"")</f>
        <v/>
      </c>
      <c r="AQ86" s="520" t="str">
        <f>IF(AND(_B="A-330-300",'2024'!$F$4="CA",'2024'!$F$2=AQ81),'2024DATA'!$N$7,"")</f>
        <v/>
      </c>
      <c r="AR86" s="940" t="s">
        <v>64</v>
      </c>
      <c r="AS86" s="13" t="s">
        <v>61</v>
      </c>
      <c r="AT86" s="518" t="str">
        <f>IF(AND(_C="A-330-300",'2024'!$F$4="CA",'2024'!$F$2=AT81),'2024DATA'!$C$7,"")</f>
        <v/>
      </c>
      <c r="AU86" s="518" t="str">
        <f>IF(AND(_C="A-330-300",'2024'!$F$4="CA",'2024'!$F$2=AU81),'2024DATA'!$D$7,"")</f>
        <v/>
      </c>
      <c r="AV86" s="518" t="str">
        <f>IF(AND(_C="A-330-300",'2024'!$F$4="CA",'2024'!$F$2=AV81),'2024DATA'!$E$7,"")</f>
        <v/>
      </c>
      <c r="AW86" s="518" t="str">
        <f>IF(AND(_C="A-330-300",'2024'!$F$4="CA",'2024'!$F$2=AW81),'2024DATA'!$F$7,"")</f>
        <v/>
      </c>
      <c r="AX86" s="518" t="str">
        <f>IF(AND(_C="A-330-300",'2024'!$F$4="CA",'2024'!$F$2=AX81),'2024DATA'!$G$7,"")</f>
        <v/>
      </c>
      <c r="AY86" s="518" t="str">
        <f>IF(AND(_C="A-330-300",'2024'!$F$4="CA",'2024'!$F$2=AY81),'2024DATA'!$H$7,"")</f>
        <v/>
      </c>
      <c r="AZ86" s="518" t="str">
        <f>IF(AND(_C="A-330-300",'2024'!$F$4="CA",'2024'!$F$2=AZ81),'2024DATA'!$I$7,"")</f>
        <v/>
      </c>
      <c r="BA86" s="518" t="str">
        <f>IF(AND(_C="A-330-300",'2024'!$F$4="CA",'2024'!$F$2=BA81),'2024DATA'!$J$7,"")</f>
        <v/>
      </c>
      <c r="BB86" s="518" t="str">
        <f>IF(AND(_C="A-330-300",'2024'!$F$4="CA",'2024'!$F$2=BB81),'2024DATA'!$K$7,"")</f>
        <v/>
      </c>
      <c r="BC86" s="518" t="str">
        <f>IF(AND(_C="A-330-300",'2024'!$F$4="CA",'2024'!$F$2=BC81),'2024DATA'!$L$7,"")</f>
        <v/>
      </c>
      <c r="BD86" s="518" t="str">
        <f>IF(AND(_C="A-330-300",'2024'!$F$4="CA",'2024'!$F$2=BD81),'2024DATA'!$M$7,"")</f>
        <v/>
      </c>
      <c r="BE86" s="520" t="str">
        <f>IF(AND(_C="A-330-300",'2024'!$F$4="CA",'2024'!$F$2=BE81),'2024DATA'!$N$7,"")</f>
        <v/>
      </c>
      <c r="BF86" s="940" t="s">
        <v>64</v>
      </c>
      <c r="BG86" s="13" t="s">
        <v>61</v>
      </c>
      <c r="BH86" s="518" t="str">
        <f>IF(AND(_D="A-330-300",'2024'!$F$4="CA",'2024'!$F$2=BH81),'2024DATA'!$C$7,"")</f>
        <v/>
      </c>
      <c r="BI86" s="518" t="str">
        <f>IF(AND(_D="A-330-300",'2024'!$F$4="CA",'2024'!$F$2=BI81),'2024DATA'!$D$7,"")</f>
        <v/>
      </c>
      <c r="BJ86" s="518" t="str">
        <f>IF(AND(_D="A-330-300",'2024'!$F$4="CA",'2024'!$F$2=BJ81),'2024DATA'!$E$7,"")</f>
        <v/>
      </c>
      <c r="BK86" s="518" t="str">
        <f>IF(AND(_D="A-330-300",'2024'!$F$4="CA",'2024'!$F$2=BK81),'2024DATA'!$F$7,"")</f>
        <v/>
      </c>
      <c r="BL86" s="518" t="str">
        <f>IF(AND(_D="A-330-300",'2024'!$F$4="CA",'2024'!$F$2=BL81),'2024DATA'!$G$7,"")</f>
        <v/>
      </c>
      <c r="BM86" s="518" t="str">
        <f>IF(AND(_D="A-330-300",'2024'!$F$4="CA",'2024'!$F$2=BM81),'2024DATA'!$H$7,"")</f>
        <v/>
      </c>
      <c r="BN86" s="518" t="str">
        <f>IF(AND(_D="A-330-300",'2024'!$F$4="CA",'2024'!$F$2=BN81),'2024DATA'!$I$7,"")</f>
        <v/>
      </c>
      <c r="BO86" s="518" t="str">
        <f>IF(AND(_D="A-330-300",'2024'!$F$4="CA",'2024'!$F$2=BO81),'2024DATA'!$J$7,"")</f>
        <v/>
      </c>
      <c r="BP86" s="518" t="str">
        <f>IF(AND(_D="A-330-300",'2024'!$F$4="CA",'2024'!$F$2=BP81),'2024DATA'!$K$7,"")</f>
        <v/>
      </c>
      <c r="BQ86" s="518" t="str">
        <f>IF(AND(_D="A-330-300",'2024'!$F$4="CA",'2024'!$F$2=BQ81),'2024DATA'!$L$7,"")</f>
        <v/>
      </c>
      <c r="BR86" s="518" t="str">
        <f>IF(AND(_D="A-330-300",'2024'!$F$4="CA",'2024'!$F$2=BR81),'2024DATA'!$M$7,"")</f>
        <v/>
      </c>
      <c r="BS86" s="520" t="str">
        <f>IF(AND(_D="A-330-300",'2024'!$F$4="CA",'2024'!$F$2=BS81),'2024DATA'!$N$7,"")</f>
        <v/>
      </c>
      <c r="BT86" s="940" t="s">
        <v>64</v>
      </c>
      <c r="BU86" s="13" t="s">
        <v>61</v>
      </c>
      <c r="BV86" s="518" t="str">
        <f>IF(AND(_E="A-330-300",'2024'!$F$4="CA",'2024'!$F$2=BV81),'2024DATA'!$C$7,"")</f>
        <v/>
      </c>
      <c r="BW86" s="518" t="str">
        <f>IF(AND(_E="A-330-300",'2024'!$F$4="CA",'2024'!$F$2=BW81),'2024DATA'!$D$7,"")</f>
        <v/>
      </c>
      <c r="BX86" s="518" t="str">
        <f>IF(AND(_E="A-330-300",'2024'!$F$4="CA",'2024'!$F$2=BX81),'2024DATA'!$E$7,"")</f>
        <v/>
      </c>
      <c r="BY86" s="518" t="str">
        <f>IF(AND(_E="A-330-300",'2024'!$F$4="CA",'2024'!$F$2=BY81),'2024DATA'!$F$7,"")</f>
        <v/>
      </c>
      <c r="BZ86" s="518" t="str">
        <f>IF(AND(_E="A-330-300",'2024'!$F$4="CA",'2024'!$F$2=BZ81),'2024DATA'!$G$7,"")</f>
        <v/>
      </c>
      <c r="CA86" s="518" t="str">
        <f>IF(AND(_E="A-330-300",'2024'!$F$4="CA",'2024'!$F$2=CA81),'2024DATA'!$H$7,"")</f>
        <v/>
      </c>
      <c r="CB86" s="518" t="str">
        <f>IF(AND(_E="A-330-300",'2024'!$F$4="CA",'2024'!$F$2=CB81),'2024DATA'!$I$7,"")</f>
        <v/>
      </c>
      <c r="CC86" s="518" t="str">
        <f>IF(AND(_E="A-330-300",'2024'!$F$4="CA",'2024'!$F$2=CC81),'2024DATA'!$J$7,"")</f>
        <v/>
      </c>
      <c r="CD86" s="518" t="str">
        <f>IF(AND(_E="A-330-300",'2024'!$F$4="CA",'2024'!$F$2=CD81),'2024DATA'!$K$7,"")</f>
        <v/>
      </c>
      <c r="CE86" s="518" t="str">
        <f>IF(AND(_E="A-330-300",'2024'!$F$4="CA",'2024'!$F$2=CE81),'2024DATA'!$L$7,"")</f>
        <v/>
      </c>
      <c r="CF86" s="518" t="str">
        <f>IF(AND(_E="A-330-300",'2024'!$F$4="CA",'2024'!$F$2=CF81),'2024DATA'!$M$7,"")</f>
        <v/>
      </c>
      <c r="CG86" s="520" t="str">
        <f>IF(AND(_E="A-330-300",'2024'!$F$4="CA",'2024'!$F$2=CG81),'2024DATA'!$N$7,"")</f>
        <v/>
      </c>
      <c r="CH86" s="940" t="s">
        <v>64</v>
      </c>
      <c r="CI86" s="13" t="s">
        <v>61</v>
      </c>
      <c r="CJ86" s="518" t="str">
        <f>IF(AND(_F="A-330-300",'2024'!$F$4="CA",'2024'!$F$2=CJ81),'2024DATA'!$C$7,"")</f>
        <v/>
      </c>
      <c r="CK86" s="518" t="str">
        <f>IF(AND(_F="A-330-300",'2024'!$F$4="CA",'2024'!$F$2=CK81),'2024DATA'!$D$7,"")</f>
        <v/>
      </c>
      <c r="CL86" s="518" t="str">
        <f>IF(AND(_F="A-330-300",'2024'!$F$4="CA",'2024'!$F$2=CL81),'2024DATA'!$E$7,"")</f>
        <v/>
      </c>
      <c r="CM86" s="518" t="str">
        <f>IF(AND(_F="A-330-300",'2024'!$F$4="CA",'2024'!$F$2=CM81),'2024DATA'!$F$7,"")</f>
        <v/>
      </c>
      <c r="CN86" s="518" t="str">
        <f>IF(AND(_F="A-330-300",'2024'!$F$4="CA",'2024'!$F$2=CN81),'2024DATA'!$G$7,"")</f>
        <v/>
      </c>
      <c r="CO86" s="518" t="str">
        <f>IF(AND(_F="A-330-300",'2024'!$F$4="CA",'2024'!$F$2=CO81),'2024DATA'!$H$7,"")</f>
        <v/>
      </c>
      <c r="CP86" s="518" t="str">
        <f>IF(AND(_F="A-330-300",'2024'!$F$4="CA",'2024'!$F$2=CP81),'2024DATA'!$I$7,"")</f>
        <v/>
      </c>
      <c r="CQ86" s="518" t="str">
        <f>IF(AND(_F="A-330-300",'2024'!$F$4="CA",'2024'!$F$2=CQ81),'2024DATA'!$J$7,"")</f>
        <v/>
      </c>
      <c r="CR86" s="518" t="str">
        <f>IF(AND(_F="A-330-300",'2024'!$F$4="CA",'2024'!$F$2=CR81),'2024DATA'!$K$7,"")</f>
        <v/>
      </c>
      <c r="CS86" s="518" t="str">
        <f>IF(AND(_F="A-330-300",'2024'!$F$4="CA",'2024'!$F$2=CS81),'2024DATA'!$L$7,"")</f>
        <v/>
      </c>
      <c r="CT86" s="518" t="str">
        <f>IF(AND(_F="A-330-300",'2024'!$F$4="CA",'2024'!$F$2=CT81),'2024DATA'!$M$7,"")</f>
        <v/>
      </c>
      <c r="CU86" s="520" t="str">
        <f>IF(AND(_F="A-330-300",'2024'!$F$4="CA",'2024'!$F$2=CU81),'2024DATA'!$N$7,"")</f>
        <v/>
      </c>
    </row>
    <row r="87" spans="16:99" x14ac:dyDescent="0.25">
      <c r="P87" s="940"/>
      <c r="Q87" s="13" t="s">
        <v>62</v>
      </c>
      <c r="R87" s="518" t="str">
        <f>IF(AND(_A="A-330-300",'2024'!$F$4="FO",'2024'!$F$2=R81),'2024DATA'!$C$8,"")</f>
        <v/>
      </c>
      <c r="S87" s="518" t="str">
        <f>IF(AND(_A="A-330-300",'2024'!$F$4="FO",'2024'!$F$2=S81),'2024DATA'!$D$8,"")</f>
        <v/>
      </c>
      <c r="T87" s="518" t="str">
        <f>IF(AND(_A="A-330-300",'2024'!$F$4="FO",'2024'!$F$2=T81),'2024DATA'!$E$8,"")</f>
        <v/>
      </c>
      <c r="U87" s="518" t="str">
        <f>IF(AND(_A="A-330-300",'2024'!$F$4="FO",'2024'!$F$2=U81),'2024DATA'!$F$8,"")</f>
        <v/>
      </c>
      <c r="V87" s="518" t="str">
        <f>IF(AND(_A="A-330-300",'2024'!$F$4="FO",'2024'!$F$2=V81),'2024DATA'!$G$8,"")</f>
        <v/>
      </c>
      <c r="W87" s="518" t="str">
        <f>IF(AND(_A="A-330-300",'2024'!$F$4="FO",'2024'!$F$2=W81),'2024DATA'!$H$8,"")</f>
        <v/>
      </c>
      <c r="X87" s="518" t="str">
        <f>IF(AND(_A="A-330-300",'2024'!$F$4="FO",'2024'!$F$2=X81),'2024DATA'!$I$8,"")</f>
        <v/>
      </c>
      <c r="Y87" s="518" t="str">
        <f>IF(AND(_A="A-330-300",'2024'!$F$4="FO",'2024'!$F$2=Y81),'2024DATA'!$J$8,"")</f>
        <v/>
      </c>
      <c r="Z87" s="518" t="str">
        <f>IF(AND(_A="A-330-300",'2024'!$F$4="FO",'2024'!$F$2=Z81),'2024DATA'!$K$8,"")</f>
        <v/>
      </c>
      <c r="AA87" s="518" t="str">
        <f>IF(AND(_A="A-330-300",'2024'!$F$4="FO",'2024'!$F$2=AA81),'2024DATA'!$L$8,"")</f>
        <v/>
      </c>
      <c r="AB87" s="518" t="str">
        <f>IF(AND(_A="A-330-300",'2024'!$F$4="FO",'2024'!$F$2=AB81),'2024DATA'!$M$8,"")</f>
        <v/>
      </c>
      <c r="AC87" s="520" t="str">
        <f>IF(AND(_A="A-330-300",'2024'!$F$4="FO",'2024'!$F$2=AC81),'2024DATA'!$N$8,"")</f>
        <v/>
      </c>
      <c r="AD87" s="940"/>
      <c r="AE87" s="13" t="s">
        <v>62</v>
      </c>
      <c r="AF87" s="518" t="str">
        <f>IF(AND(_B="A-330-300",'2024'!$F$4="FO",'2024'!$F$2=AF81),'2024DATA'!$C$8,"")</f>
        <v/>
      </c>
      <c r="AG87" s="518" t="str">
        <f>IF(AND(_B="A-330-300",'2024'!$F$4="FO",'2024'!$F$2=AG81),'2024DATA'!$D$8,"")</f>
        <v/>
      </c>
      <c r="AH87" s="518" t="str">
        <f>IF(AND(_B="A-330-300",'2024'!$F$4="FO",'2024'!$F$2=AH81),'2024DATA'!$E$8,"")</f>
        <v/>
      </c>
      <c r="AI87" s="518" t="str">
        <f>IF(AND(_B="A-330-300",'2024'!$F$4="FO",'2024'!$F$2=AI81),'2024DATA'!$F$8,"")</f>
        <v/>
      </c>
      <c r="AJ87" s="518" t="str">
        <f>IF(AND(_B="A-330-300",'2024'!$F$4="FO",'2024'!$F$2=AJ81),'2024DATA'!$G$8,"")</f>
        <v/>
      </c>
      <c r="AK87" s="518" t="str">
        <f>IF(AND(_B="A-330-300",'2024'!$F$4="FO",'2024'!$F$2=AK81),'2024DATA'!$H$8,"")</f>
        <v/>
      </c>
      <c r="AL87" s="518" t="str">
        <f>IF(AND(_B="A-330-300",'2024'!$F$4="FO",'2024'!$F$2=AL81),'2024DATA'!$I$8,"")</f>
        <v/>
      </c>
      <c r="AM87" s="518" t="str">
        <f>IF(AND(_B="A-330-300",'2024'!$F$4="FO",'2024'!$F$2=AM81),'2024DATA'!$J$8,"")</f>
        <v/>
      </c>
      <c r="AN87" s="518" t="str">
        <f>IF(AND(_B="A-330-300",'2024'!$F$4="FO",'2024'!$F$2=AN81),'2024DATA'!$K$8,"")</f>
        <v/>
      </c>
      <c r="AO87" s="518" t="str">
        <f>IF(AND(_B="A-330-300",'2024'!$F$4="FO",'2024'!$F$2=AO81),'2024DATA'!$L$8,"")</f>
        <v/>
      </c>
      <c r="AP87" s="518" t="str">
        <f>IF(AND(_B="A-330-300",'2024'!$F$4="FO",'2024'!$F$2=AP81),'2024DATA'!$M$8,"")</f>
        <v/>
      </c>
      <c r="AQ87" s="520" t="str">
        <f>IF(AND(_B="A-330-300",'2024'!$F$4="FO",'2024'!$F$2=AQ81),'2024DATA'!$N$8,"")</f>
        <v/>
      </c>
      <c r="AR87" s="940"/>
      <c r="AS87" s="13" t="s">
        <v>62</v>
      </c>
      <c r="AT87" s="518" t="str">
        <f>IF(AND(_C="A-330-300",'2024'!$F$4="FO",'2024'!$F$2=AT81),'2024DATA'!$C$8,"")</f>
        <v/>
      </c>
      <c r="AU87" s="518" t="str">
        <f>IF(AND(_C="A-330-300",'2024'!$F$4="FO",'2024'!$F$2=AU81),'2024DATA'!$D$8,"")</f>
        <v/>
      </c>
      <c r="AV87" s="518" t="str">
        <f>IF(AND(_C="A-330-300",'2024'!$F$4="FO",'2024'!$F$2=AV81),'2024DATA'!$E$8,"")</f>
        <v/>
      </c>
      <c r="AW87" s="518" t="str">
        <f>IF(AND(_C="A-330-300",'2024'!$F$4="FO",'2024'!$F$2=AW81),'2024DATA'!$F$8,"")</f>
        <v/>
      </c>
      <c r="AX87" s="518" t="str">
        <f>IF(AND(_C="A-330-300",'2024'!$F$4="FO",'2024'!$F$2=AX81),'2024DATA'!$G$8,"")</f>
        <v/>
      </c>
      <c r="AY87" s="518" t="str">
        <f>IF(AND(_C="A-330-300",'2024'!$F$4="FO",'2024'!$F$2=AY81),'2024DATA'!$H$8,"")</f>
        <v/>
      </c>
      <c r="AZ87" s="518" t="str">
        <f>IF(AND(_C="A-330-300",'2024'!$F$4="FO",'2024'!$F$2=AZ81),'2024DATA'!$I$8,"")</f>
        <v/>
      </c>
      <c r="BA87" s="518" t="str">
        <f>IF(AND(_C="A-330-300",'2024'!$F$4="FO",'2024'!$F$2=BA81),'2024DATA'!$J$8,"")</f>
        <v/>
      </c>
      <c r="BB87" s="518" t="str">
        <f>IF(AND(_C="A-330-300",'2024'!$F$4="FO",'2024'!$F$2=BB81),'2024DATA'!$K$8,"")</f>
        <v/>
      </c>
      <c r="BC87" s="518" t="str">
        <f>IF(AND(_C="A-330-300",'2024'!$F$4="FO",'2024'!$F$2=BC81),'2024DATA'!$L$8,"")</f>
        <v/>
      </c>
      <c r="BD87" s="518" t="str">
        <f>IF(AND(_C="A-330-300",'2024'!$F$4="FO",'2024'!$F$2=BD81),'2024DATA'!$M$8,"")</f>
        <v/>
      </c>
      <c r="BE87" s="520" t="str">
        <f>IF(AND(_C="A-330-300",'2024'!$F$4="FO",'2024'!$F$2=BE81),'2024DATA'!$N$8,"")</f>
        <v/>
      </c>
      <c r="BF87" s="940"/>
      <c r="BG87" s="13" t="s">
        <v>62</v>
      </c>
      <c r="BH87" s="518" t="str">
        <f>IF(AND(_D="A-330-300",'2024'!$F$4="FO",'2024'!$F$2=BH81),'2024DATA'!$C$8,"")</f>
        <v/>
      </c>
      <c r="BI87" s="518" t="str">
        <f>IF(AND(_D="A-330-300",'2024'!$F$4="FO",'2024'!$F$2=BI81),'2024DATA'!$D$8,"")</f>
        <v/>
      </c>
      <c r="BJ87" s="518" t="str">
        <f>IF(AND(_D="A-330-300",'2024'!$F$4="FO",'2024'!$F$2=BJ81),'2024DATA'!$E$8,"")</f>
        <v/>
      </c>
      <c r="BK87" s="518" t="str">
        <f>IF(AND(_D="A-330-300",'2024'!$F$4="FO",'2024'!$F$2=BK81),'2024DATA'!$F$8,"")</f>
        <v/>
      </c>
      <c r="BL87" s="518" t="str">
        <f>IF(AND(_D="A-330-300",'2024'!$F$4="FO",'2024'!$F$2=BL81),'2024DATA'!$G$8,"")</f>
        <v/>
      </c>
      <c r="BM87" s="518" t="str">
        <f>IF(AND(_D="A-330-300",'2024'!$F$4="FO",'2024'!$F$2=BM81),'2024DATA'!$H$8,"")</f>
        <v/>
      </c>
      <c r="BN87" s="518" t="str">
        <f>IF(AND(_D="A-330-300",'2024'!$F$4="FO",'2024'!$F$2=BN81),'2024DATA'!$I$8,"")</f>
        <v/>
      </c>
      <c r="BO87" s="518" t="str">
        <f>IF(AND(_D="A-330-300",'2024'!$F$4="FO",'2024'!$F$2=BO81),'2024DATA'!$J$8,"")</f>
        <v/>
      </c>
      <c r="BP87" s="518" t="str">
        <f>IF(AND(_D="A-330-300",'2024'!$F$4="FO",'2024'!$F$2=BP81),'2024DATA'!$K$8,"")</f>
        <v/>
      </c>
      <c r="BQ87" s="518" t="str">
        <f>IF(AND(_D="A-330-300",'2024'!$F$4="FO",'2024'!$F$2=BQ81),'2024DATA'!$L$8,"")</f>
        <v/>
      </c>
      <c r="BR87" s="518" t="str">
        <f>IF(AND(_D="A-330-300",'2024'!$F$4="FO",'2024'!$F$2=BR81),'2024DATA'!$M$8,"")</f>
        <v/>
      </c>
      <c r="BS87" s="520" t="str">
        <f>IF(AND(_D="A-330-300",'2024'!$F$4="FO",'2024'!$F$2=BS81),'2024DATA'!$N$8,"")</f>
        <v/>
      </c>
      <c r="BT87" s="940"/>
      <c r="BU87" s="13" t="s">
        <v>62</v>
      </c>
      <c r="BV87" s="518" t="str">
        <f>IF(AND(_E="A-330-300",'2024'!$F$4="FO",'2024'!$F$2=BV81),'2024DATA'!$C$8,"")</f>
        <v/>
      </c>
      <c r="BW87" s="518" t="str">
        <f>IF(AND(_E="A-330-300",'2024'!$F$4="FO",'2024'!$F$2=BW81),'2024DATA'!$D$8,"")</f>
        <v/>
      </c>
      <c r="BX87" s="518" t="str">
        <f>IF(AND(_E="A-330-300",'2024'!$F$4="FO",'2024'!$F$2=BX81),'2024DATA'!$E$8,"")</f>
        <v/>
      </c>
      <c r="BY87" s="518" t="str">
        <f>IF(AND(_E="A-330-300",'2024'!$F$4="FO",'2024'!$F$2=BY81),'2024DATA'!$F$8,"")</f>
        <v/>
      </c>
      <c r="BZ87" s="518" t="str">
        <f>IF(AND(_E="A-330-300",'2024'!$F$4="FO",'2024'!$F$2=BZ81),'2024DATA'!$G$8,"")</f>
        <v/>
      </c>
      <c r="CA87" s="518" t="str">
        <f>IF(AND(_E="A-330-300",'2024'!$F$4="FO",'2024'!$F$2=CA81),'2024DATA'!$H$8,"")</f>
        <v/>
      </c>
      <c r="CB87" s="518" t="str">
        <f>IF(AND(_E="A-330-300",'2024'!$F$4="FO",'2024'!$F$2=CB81),'2024DATA'!$I$8,"")</f>
        <v/>
      </c>
      <c r="CC87" s="518" t="str">
        <f>IF(AND(_E="A-330-300",'2024'!$F$4="FO",'2024'!$F$2=CC81),'2024DATA'!$J$8,"")</f>
        <v/>
      </c>
      <c r="CD87" s="518" t="str">
        <f>IF(AND(_E="A-330-300",'2024'!$F$4="FO",'2024'!$F$2=CD81),'2024DATA'!$K$8,"")</f>
        <v/>
      </c>
      <c r="CE87" s="518" t="str">
        <f>IF(AND(_E="A-330-300",'2024'!$F$4="FO",'2024'!$F$2=CE81),'2024DATA'!$L$8,"")</f>
        <v/>
      </c>
      <c r="CF87" s="518" t="str">
        <f>IF(AND(_E="A-330-300",'2024'!$F$4="FO",'2024'!$F$2=CF81),'2024DATA'!$M$8,"")</f>
        <v/>
      </c>
      <c r="CG87" s="520" t="str">
        <f>IF(AND(_E="A-330-300",'2024'!$F$4="FO",'2024'!$F$2=CG81),'2024DATA'!$N$8,"")</f>
        <v/>
      </c>
      <c r="CH87" s="940"/>
      <c r="CI87" s="13" t="s">
        <v>62</v>
      </c>
      <c r="CJ87" s="518" t="str">
        <f>IF(AND(_F="A-330-300",'2024'!$F$4="FO",'2024'!$F$2=CJ81),'2024DATA'!$C$8,"")</f>
        <v/>
      </c>
      <c r="CK87" s="518" t="str">
        <f>IF(AND(_F="A-330-300",'2024'!$F$4="FO",'2024'!$F$2=CK81),'2024DATA'!$D$8,"")</f>
        <v/>
      </c>
      <c r="CL87" s="518" t="str">
        <f>IF(AND(_F="A-330-300",'2024'!$F$4="FO",'2024'!$F$2=CL81),'2024DATA'!$E$8,"")</f>
        <v/>
      </c>
      <c r="CM87" s="518" t="str">
        <f>IF(AND(_F="A-330-300",'2024'!$F$4="FO",'2024'!$F$2=CM81),'2024DATA'!$F$8,"")</f>
        <v/>
      </c>
      <c r="CN87" s="518" t="str">
        <f>IF(AND(_F="A-330-300",'2024'!$F$4="FO",'2024'!$F$2=CN81),'2024DATA'!$G$8,"")</f>
        <v/>
      </c>
      <c r="CO87" s="518" t="str">
        <f>IF(AND(_F="A-330-300",'2024'!$F$4="FO",'2024'!$F$2=CO81),'2024DATA'!$H$8,"")</f>
        <v/>
      </c>
      <c r="CP87" s="518" t="str">
        <f>IF(AND(_F="A-330-300",'2024'!$F$4="FO",'2024'!$F$2=CP81),'2024DATA'!$I$8,"")</f>
        <v/>
      </c>
      <c r="CQ87" s="518" t="str">
        <f>IF(AND(_F="A-330-300",'2024'!$F$4="FO",'2024'!$F$2=CQ81),'2024DATA'!$J$8,"")</f>
        <v/>
      </c>
      <c r="CR87" s="518" t="str">
        <f>IF(AND(_F="A-330-300",'2024'!$F$4="FO",'2024'!$F$2=CR81),'2024DATA'!$K$8,"")</f>
        <v/>
      </c>
      <c r="CS87" s="518" t="str">
        <f>IF(AND(_F="A-330-300",'2024'!$F$4="FO",'2024'!$F$2=CS81),'2024DATA'!$L$8,"")</f>
        <v/>
      </c>
      <c r="CT87" s="518" t="str">
        <f>IF(AND(_F="A-330-300",'2024'!$F$4="FO",'2024'!$F$2=CT81),'2024DATA'!$M$8,"")</f>
        <v/>
      </c>
      <c r="CU87" s="520" t="str">
        <f>IF(AND(_F="A-330-300",'2024'!$F$4="FO",'2024'!$F$2=CU81),'2024DATA'!$N$8,"")</f>
        <v/>
      </c>
    </row>
    <row r="88" spans="16:99" x14ac:dyDescent="0.25">
      <c r="P88" s="940" t="s">
        <v>66</v>
      </c>
      <c r="Q88" s="13" t="s">
        <v>61</v>
      </c>
      <c r="R88" s="518" t="str">
        <f>IF(AND(_A="A-330-200",'2024'!$F$4="CA",'2024'!$F$2=R81),'2024DATA'!$C$9,"")</f>
        <v/>
      </c>
      <c r="S88" s="518" t="str">
        <f>IF(AND(_A="A-330-200",'2024'!$F$4="CA",'2024'!$F$2=S81),'2024DATA'!$D$9,"")</f>
        <v/>
      </c>
      <c r="T88" s="518" t="str">
        <f>IF(AND(_A="A-330-200",'2024'!$F$4="CA",'2024'!$F$2=T81),'2024DATA'!$E$9,"")</f>
        <v/>
      </c>
      <c r="U88" s="518" t="str">
        <f>IF(AND(_A="A-330-200",'2024'!$F$4="CA",'2024'!$F$2=U81),'2024DATA'!$F$9,"")</f>
        <v/>
      </c>
      <c r="V88" s="518" t="str">
        <f>IF(AND(_A="A-330-200",'2024'!$F$4="CA",'2024'!$F$2=V81),'2024DATA'!$G$9,"")</f>
        <v/>
      </c>
      <c r="W88" s="518" t="str">
        <f>IF(AND(_A="A-330-200",'2024'!$F$4="CA",'2024'!$F$2=W81),'2024DATA'!$H$9,"")</f>
        <v/>
      </c>
      <c r="X88" s="518" t="str">
        <f>IF(AND(_A="A-330-200",'2024'!$F$4="CA",'2024'!$F$2=X81),'2024DATA'!$I$9,"")</f>
        <v/>
      </c>
      <c r="Y88" s="518" t="str">
        <f>IF(AND(_A="A-330-200",'2024'!$F$4="CA",'2024'!$F$2=Y81),'2024DATA'!$J$9,"")</f>
        <v/>
      </c>
      <c r="Z88" s="518" t="str">
        <f>IF(AND(_A="A-330-200",'2024'!$F$4="CA",'2024'!$F$2=Z81),'2024DATA'!$K$9,"")</f>
        <v/>
      </c>
      <c r="AA88" s="518" t="str">
        <f>IF(AND(_A="A-330-200",'2024'!$F$4="CA",'2024'!$F$2=AA81),'2024DATA'!$L$9,"")</f>
        <v/>
      </c>
      <c r="AB88" s="518" t="str">
        <f>IF(AND(_A="A-330-200",'2024'!$F$4="CA",'2024'!$F$2=AB81),'2024DATA'!$M$9,"")</f>
        <v/>
      </c>
      <c r="AC88" s="520" t="str">
        <f>IF(AND(_A="A-330-200",'2024'!$F$4="CA",'2024'!$F$2=AC81),'2024DATA'!$N$9,"")</f>
        <v/>
      </c>
      <c r="AD88" s="940" t="s">
        <v>66</v>
      </c>
      <c r="AE88" s="13" t="s">
        <v>61</v>
      </c>
      <c r="AF88" s="518" t="str">
        <f>IF(AND(_B="A-330-200",'2024'!$F$4="CA",'2024'!$F$2=AF81),'2024DATA'!$C$9,"")</f>
        <v/>
      </c>
      <c r="AG88" s="518" t="str">
        <f>IF(AND(_B="A-330-200",'2024'!$F$4="CA",'2024'!$F$2=AG81),'2024DATA'!$D$9,"")</f>
        <v/>
      </c>
      <c r="AH88" s="518" t="str">
        <f>IF(AND(_B="A-330-200",'2024'!$F$4="CA",'2024'!$F$2=AH81),'2024DATA'!$E$9,"")</f>
        <v/>
      </c>
      <c r="AI88" s="518" t="str">
        <f>IF(AND(_B="A-330-200",'2024'!$F$4="CA",'2024'!$F$2=AI81),'2024DATA'!$F$9,"")</f>
        <v/>
      </c>
      <c r="AJ88" s="518" t="str">
        <f>IF(AND(_B="A-330-200",'2024'!$F$4="CA",'2024'!$F$2=AJ81),'2024DATA'!$G$9,"")</f>
        <v/>
      </c>
      <c r="AK88" s="518" t="str">
        <f>IF(AND(_B="A-330-200",'2024'!$F$4="CA",'2024'!$F$2=AK81),'2024DATA'!$H$9,"")</f>
        <v/>
      </c>
      <c r="AL88" s="518" t="str">
        <f>IF(AND(_B="A-330-200",'2024'!$F$4="CA",'2024'!$F$2=AL81),'2024DATA'!$I$9,"")</f>
        <v/>
      </c>
      <c r="AM88" s="518" t="str">
        <f>IF(AND(_B="A-330-200",'2024'!$F$4="CA",'2024'!$F$2=AM81),'2024DATA'!$J$9,"")</f>
        <v/>
      </c>
      <c r="AN88" s="518" t="str">
        <f>IF(AND(_B="A-330-200",'2024'!$F$4="CA",'2024'!$F$2=AN81),'2024DATA'!$K$9,"")</f>
        <v/>
      </c>
      <c r="AO88" s="518" t="str">
        <f>IF(AND(_B="A-330-200",'2024'!$F$4="CA",'2024'!$F$2=AO81),'2024DATA'!$L$9,"")</f>
        <v/>
      </c>
      <c r="AP88" s="518" t="str">
        <f>IF(AND(_B="A-330-200",'2024'!$F$4="CA",'2024'!$F$2=AP81),'2024DATA'!$M$9,"")</f>
        <v/>
      </c>
      <c r="AQ88" s="520" t="str">
        <f>IF(AND(_B="A-330-200",'2024'!$F$4="CA",'2024'!$F$2=AQ81),'2024DATA'!$N$9,"")</f>
        <v/>
      </c>
      <c r="AR88" s="940" t="s">
        <v>66</v>
      </c>
      <c r="AS88" s="13" t="s">
        <v>61</v>
      </c>
      <c r="AT88" s="518" t="str">
        <f>IF(AND(_C="A-330-200",'2024'!$F$4="CA",'2024'!$F$2=AT81),'2024DATA'!$C$9,"")</f>
        <v/>
      </c>
      <c r="AU88" s="518" t="str">
        <f>IF(AND(_C="A-330-200",'2024'!$F$4="CA",'2024'!$F$2=AU81),'2024DATA'!$D$9,"")</f>
        <v/>
      </c>
      <c r="AV88" s="518" t="str">
        <f>IF(AND(_C="A-330-200",'2024'!$F$4="CA",'2024'!$F$2=AV81),'2024DATA'!$E$9,"")</f>
        <v/>
      </c>
      <c r="AW88" s="518" t="str">
        <f>IF(AND(_C="A-330-200",'2024'!$F$4="CA",'2024'!$F$2=AW81),'2024DATA'!$F$9,"")</f>
        <v/>
      </c>
      <c r="AX88" s="518" t="str">
        <f>IF(AND(_C="A-330-200",'2024'!$F$4="CA",'2024'!$F$2=AX81),'2024DATA'!$G$9,"")</f>
        <v/>
      </c>
      <c r="AY88" s="518" t="str">
        <f>IF(AND(_C="A-330-200",'2024'!$F$4="CA",'2024'!$F$2=AY81),'2024DATA'!$H$9,"")</f>
        <v/>
      </c>
      <c r="AZ88" s="518" t="str">
        <f>IF(AND(_C="A-330-200",'2024'!$F$4="CA",'2024'!$F$2=AZ81),'2024DATA'!$I$9,"")</f>
        <v/>
      </c>
      <c r="BA88" s="518" t="str">
        <f>IF(AND(_C="A-330-200",'2024'!$F$4="CA",'2024'!$F$2=BA81),'2024DATA'!$J$9,"")</f>
        <v/>
      </c>
      <c r="BB88" s="518" t="str">
        <f>IF(AND(_C="A-330-200",'2024'!$F$4="CA",'2024'!$F$2=BB81),'2024DATA'!$K$9,"")</f>
        <v/>
      </c>
      <c r="BC88" s="518" t="str">
        <f>IF(AND(_C="A-330-200",'2024'!$F$4="CA",'2024'!$F$2=BC81),'2024DATA'!$L$9,"")</f>
        <v/>
      </c>
      <c r="BD88" s="518" t="str">
        <f>IF(AND(_C="A-330-200",'2024'!$F$4="CA",'2024'!$F$2=BD81),'2024DATA'!$M$9,"")</f>
        <v/>
      </c>
      <c r="BE88" s="520" t="str">
        <f>IF(AND(_C="A-330-200",'2024'!$F$4="CA",'2024'!$F$2=BE81),'2024DATA'!$N$9,"")</f>
        <v/>
      </c>
      <c r="BF88" s="940" t="s">
        <v>66</v>
      </c>
      <c r="BG88" s="13" t="s">
        <v>61</v>
      </c>
      <c r="BH88" s="518" t="str">
        <f>IF(AND(_D="A-330-200",'2024'!$F$4="CA",'2024'!$F$2=BH81),'2024DATA'!$C$9,"")</f>
        <v/>
      </c>
      <c r="BI88" s="518" t="str">
        <f>IF(AND(_D="A-330-200",'2024'!$F$4="CA",'2024'!$F$2=BI81),'2024DATA'!$D$9,"")</f>
        <v/>
      </c>
      <c r="BJ88" s="518" t="str">
        <f>IF(AND(_D="A-330-200",'2024'!$F$4="CA",'2024'!$F$2=BJ81),'2024DATA'!$E$9,"")</f>
        <v/>
      </c>
      <c r="BK88" s="518" t="str">
        <f>IF(AND(_D="A-330-200",'2024'!$F$4="CA",'2024'!$F$2=BK81),'2024DATA'!$F$9,"")</f>
        <v/>
      </c>
      <c r="BL88" s="518" t="str">
        <f>IF(AND(_D="A-330-200",'2024'!$F$4="CA",'2024'!$F$2=BL81),'2024DATA'!$G$9,"")</f>
        <v/>
      </c>
      <c r="BM88" s="518" t="str">
        <f>IF(AND(_D="A-330-200",'2024'!$F$4="CA",'2024'!$F$2=BM81),'2024DATA'!$H$9,"")</f>
        <v/>
      </c>
      <c r="BN88" s="518" t="str">
        <f>IF(AND(_D="A-330-200",'2024'!$F$4="CA",'2024'!$F$2=BN81),'2024DATA'!$I$9,"")</f>
        <v/>
      </c>
      <c r="BO88" s="518" t="str">
        <f>IF(AND(_D="A-330-200",'2024'!$F$4="CA",'2024'!$F$2=BO81),'2024DATA'!$J$9,"")</f>
        <v/>
      </c>
      <c r="BP88" s="518" t="str">
        <f>IF(AND(_D="A-330-200",'2024'!$F$4="CA",'2024'!$F$2=BP81),'2024DATA'!$K$9,"")</f>
        <v/>
      </c>
      <c r="BQ88" s="518" t="str">
        <f>IF(AND(_D="A-330-200",'2024'!$F$4="CA",'2024'!$F$2=BQ81),'2024DATA'!$L$9,"")</f>
        <v/>
      </c>
      <c r="BR88" s="518" t="str">
        <f>IF(AND(_D="A-330-200",'2024'!$F$4="CA",'2024'!$F$2=BR81),'2024DATA'!$M$9,"")</f>
        <v/>
      </c>
      <c r="BS88" s="520" t="str">
        <f>IF(AND(_D="A-330-200",'2024'!$F$4="CA",'2024'!$F$2=BS81),'2024DATA'!$N$9,"")</f>
        <v/>
      </c>
      <c r="BT88" s="940" t="s">
        <v>66</v>
      </c>
      <c r="BU88" s="13" t="s">
        <v>61</v>
      </c>
      <c r="BV88" s="518" t="str">
        <f>IF(AND(_E="A-330-200",'2024'!$F$4="CA",'2024'!$F$2=BV81),'2024DATA'!$C$9,"")</f>
        <v/>
      </c>
      <c r="BW88" s="518" t="str">
        <f>IF(AND(_E="A-330-200",'2024'!$F$4="CA",'2024'!$F$2=BW81),'2024DATA'!$D$9,"")</f>
        <v/>
      </c>
      <c r="BX88" s="518" t="str">
        <f>IF(AND(_E="A-330-200",'2024'!$F$4="CA",'2024'!$F$2=BX81),'2024DATA'!$E$9,"")</f>
        <v/>
      </c>
      <c r="BY88" s="518" t="str">
        <f>IF(AND(_E="A-330-200",'2024'!$F$4="CA",'2024'!$F$2=BY81),'2024DATA'!$F$9,"")</f>
        <v/>
      </c>
      <c r="BZ88" s="518" t="str">
        <f>IF(AND(_E="A-330-200",'2024'!$F$4="CA",'2024'!$F$2=BZ81),'2024DATA'!$G$9,"")</f>
        <v/>
      </c>
      <c r="CA88" s="518" t="str">
        <f>IF(AND(_E="A-330-200",'2024'!$F$4="CA",'2024'!$F$2=CA81),'2024DATA'!$H$9,"")</f>
        <v/>
      </c>
      <c r="CB88" s="518" t="str">
        <f>IF(AND(_E="A-330-200",'2024'!$F$4="CA",'2024'!$F$2=CB81),'2024DATA'!$I$9,"")</f>
        <v/>
      </c>
      <c r="CC88" s="518" t="str">
        <f>IF(AND(_E="A-330-200",'2024'!$F$4="CA",'2024'!$F$2=CC81),'2024DATA'!$J$9,"")</f>
        <v/>
      </c>
      <c r="CD88" s="518" t="str">
        <f>IF(AND(_E="A-330-200",'2024'!$F$4="CA",'2024'!$F$2=CD81),'2024DATA'!$K$9,"")</f>
        <v/>
      </c>
      <c r="CE88" s="518" t="str">
        <f>IF(AND(_E="A-330-200",'2024'!$F$4="CA",'2024'!$F$2=CE81),'2024DATA'!$L$9,"")</f>
        <v/>
      </c>
      <c r="CF88" s="518" t="str">
        <f>IF(AND(_E="A-330-200",'2024'!$F$4="CA",'2024'!$F$2=CF81),'2024DATA'!$M$9,"")</f>
        <v/>
      </c>
      <c r="CG88" s="520" t="str">
        <f>IF(AND(_E="A-330-200",'2024'!$F$4="CA",'2024'!$F$2=CG81),'2024DATA'!$N$9,"")</f>
        <v/>
      </c>
      <c r="CH88" s="940" t="s">
        <v>66</v>
      </c>
      <c r="CI88" s="13" t="s">
        <v>61</v>
      </c>
      <c r="CJ88" s="518" t="str">
        <f>IF(AND(_F="A-330-200",'2024'!$F$4="CA",'2024'!$F$2=CJ81),'2024DATA'!$C$9,"")</f>
        <v/>
      </c>
      <c r="CK88" s="518" t="str">
        <f>IF(AND(_F="A-330-200",'2024'!$F$4="CA",'2024'!$F$2=CK81),'2024DATA'!$D$9,"")</f>
        <v/>
      </c>
      <c r="CL88" s="518" t="str">
        <f>IF(AND(_F="A-330-200",'2024'!$F$4="CA",'2024'!$F$2=CL81),'2024DATA'!$E$9,"")</f>
        <v/>
      </c>
      <c r="CM88" s="518" t="str">
        <f>IF(AND(_F="A-330-200",'2024'!$F$4="CA",'2024'!$F$2=CM81),'2024DATA'!$F$9,"")</f>
        <v/>
      </c>
      <c r="CN88" s="518" t="str">
        <f>IF(AND(_F="A-330-200",'2024'!$F$4="CA",'2024'!$F$2=CN81),'2024DATA'!$G$9,"")</f>
        <v/>
      </c>
      <c r="CO88" s="518" t="str">
        <f>IF(AND(_F="A-330-200",'2024'!$F$4="CA",'2024'!$F$2=CO81),'2024DATA'!$H$9,"")</f>
        <v/>
      </c>
      <c r="CP88" s="518" t="str">
        <f>IF(AND(_F="A-330-200",'2024'!$F$4="CA",'2024'!$F$2=CP81),'2024DATA'!$I$9,"")</f>
        <v/>
      </c>
      <c r="CQ88" s="518" t="str">
        <f>IF(AND(_F="A-330-200",'2024'!$F$4="CA",'2024'!$F$2=CQ81),'2024DATA'!$J$9,"")</f>
        <v/>
      </c>
      <c r="CR88" s="518" t="str">
        <f>IF(AND(_F="A-330-200",'2024'!$F$4="CA",'2024'!$F$2=CR81),'2024DATA'!$K$9,"")</f>
        <v/>
      </c>
      <c r="CS88" s="518" t="str">
        <f>IF(AND(_F="A-330-200",'2024'!$F$4="CA",'2024'!$F$2=CS81),'2024DATA'!$L$9,"")</f>
        <v/>
      </c>
      <c r="CT88" s="518" t="str">
        <f>IF(AND(_F="A-330-200",'2024'!$F$4="CA",'2024'!$F$2=CT81),'2024DATA'!$M$9,"")</f>
        <v/>
      </c>
      <c r="CU88" s="520" t="str">
        <f>IF(AND(_F="A-330-200",'2024'!$F$4="CA",'2024'!$F$2=CU81),'2024DATA'!$N$9,"")</f>
        <v/>
      </c>
    </row>
    <row r="89" spans="16:99" x14ac:dyDescent="0.25">
      <c r="P89" s="940"/>
      <c r="Q89" s="13" t="s">
        <v>62</v>
      </c>
      <c r="R89" s="518" t="str">
        <f>IF(AND(_A="A-330-200",'2024'!$F$4="FO",'2024'!$F$2=R81),'2024DATA'!$C$10,"")</f>
        <v/>
      </c>
      <c r="S89" s="518" t="str">
        <f>IF(AND(_A="A-330-200",'2024'!$F$4="FO",'2024'!$F$2=S81),'2024DATA'!$D$10,"")</f>
        <v/>
      </c>
      <c r="T89" s="518" t="str">
        <f>IF(AND(_A="A-330-200",'2024'!$F$4="FO",'2024'!$F$2=T81),'2024DATA'!$E$10,"")</f>
        <v/>
      </c>
      <c r="U89" s="518" t="str">
        <f>IF(AND(_A="A-330-200",'2024'!$F$4="FO",'2024'!$F$2=U81),'2024DATA'!$F$10,"")</f>
        <v/>
      </c>
      <c r="V89" s="518" t="str">
        <f>IF(AND(_A="A-330-200",'2024'!$F$4="FO",'2024'!$F$2=V81),'2024DATA'!$G$10,"")</f>
        <v/>
      </c>
      <c r="W89" s="518" t="str">
        <f>IF(AND(_A="A-330-200",'2024'!$F$4="FO",'2024'!$F$2=W81),'2024DATA'!$H$10,"")</f>
        <v/>
      </c>
      <c r="X89" s="518" t="str">
        <f>IF(AND(_A="A-330-200",'2024'!$F$4="FO",'2024'!$F$2=X81),'2024DATA'!$I$10,"")</f>
        <v/>
      </c>
      <c r="Y89" s="518" t="str">
        <f>IF(AND(_A="A-330-200",'2024'!$F$4="FO",'2024'!$F$2=Y81),'2024DATA'!$J$10,"")</f>
        <v/>
      </c>
      <c r="Z89" s="518" t="str">
        <f>IF(AND(_A="A-330-200",'2024'!$F$4="FO",'2024'!$F$2=Z81),'2024DATA'!$K$10,"")</f>
        <v/>
      </c>
      <c r="AA89" s="518" t="str">
        <f>IF(AND(_A="A-330-200",'2024'!$F$4="FO",'2024'!$F$2=AA81),'2024DATA'!$L$10,"")</f>
        <v/>
      </c>
      <c r="AB89" s="518" t="str">
        <f>IF(AND(_A="A-330-200",'2024'!$F$4="FO",'2024'!$F$2=AB81),'2024DATA'!$M$10,"")</f>
        <v/>
      </c>
      <c r="AC89" s="520" t="str">
        <f>IF(AND(_A="A-330-200",'2024'!$F$4="FO",'2024'!$F$2=AC81),'2024DATA'!$N$10,"")</f>
        <v/>
      </c>
      <c r="AD89" s="940"/>
      <c r="AE89" s="13" t="s">
        <v>62</v>
      </c>
      <c r="AF89" s="518" t="str">
        <f>IF(AND(_B="A-330-200",'2024'!$F$4="FO",'2024'!$F$2=AF81),'2024DATA'!$C$10,"")</f>
        <v/>
      </c>
      <c r="AG89" s="518" t="str">
        <f>IF(AND(_B="A-330-200",'2024'!$F$4="FO",'2024'!$F$2=AG81),'2024DATA'!$D$10,"")</f>
        <v/>
      </c>
      <c r="AH89" s="518" t="str">
        <f>IF(AND(_B="A-330-200",'2024'!$F$4="FO",'2024'!$F$2=AH81),'2024DATA'!$E$10,"")</f>
        <v/>
      </c>
      <c r="AI89" s="518" t="str">
        <f>IF(AND(_B="A-330-200",'2024'!$F$4="FO",'2024'!$F$2=AI81),'2024DATA'!$F$10,"")</f>
        <v/>
      </c>
      <c r="AJ89" s="518" t="str">
        <f>IF(AND(_B="A-330-200",'2024'!$F$4="FO",'2024'!$F$2=AJ81),'2024DATA'!$G$10,"")</f>
        <v/>
      </c>
      <c r="AK89" s="518" t="str">
        <f>IF(AND(_B="A-330-200",'2024'!$F$4="FO",'2024'!$F$2=AK81),'2024DATA'!$H$10,"")</f>
        <v/>
      </c>
      <c r="AL89" s="518" t="str">
        <f>IF(AND(_B="A-330-200",'2024'!$F$4="FO",'2024'!$F$2=AL81),'2024DATA'!$I$10,"")</f>
        <v/>
      </c>
      <c r="AM89" s="518" t="str">
        <f>IF(AND(_B="A-330-200",'2024'!$F$4="FO",'2024'!$F$2=AM81),'2024DATA'!$J$10,"")</f>
        <v/>
      </c>
      <c r="AN89" s="518" t="str">
        <f>IF(AND(_B="A-330-200",'2024'!$F$4="FO",'2024'!$F$2=AN81),'2024DATA'!$K$10,"")</f>
        <v/>
      </c>
      <c r="AO89" s="518" t="str">
        <f>IF(AND(_B="A-330-200",'2024'!$F$4="FO",'2024'!$F$2=AO81),'2024DATA'!$L$10,"")</f>
        <v/>
      </c>
      <c r="AP89" s="518" t="str">
        <f>IF(AND(_B="A-330-200",'2024'!$F$4="FO",'2024'!$F$2=AP81),'2024DATA'!$M$10,"")</f>
        <v/>
      </c>
      <c r="AQ89" s="520" t="str">
        <f>IF(AND(_B="A-330-200",'2024'!$F$4="FO",'2024'!$F$2=AQ81),'2024DATA'!$N$10,"")</f>
        <v/>
      </c>
      <c r="AR89" s="940"/>
      <c r="AS89" s="13" t="s">
        <v>62</v>
      </c>
      <c r="AT89" s="518" t="str">
        <f>IF(AND(_C="A-330-200",'2024'!$F$4="FO",'2024'!$F$2=AT81),'2024DATA'!$C$10,"")</f>
        <v/>
      </c>
      <c r="AU89" s="518" t="str">
        <f>IF(AND(_C="A-330-200",'2024'!$F$4="FO",'2024'!$F$2=AU81),'2024DATA'!$D$10,"")</f>
        <v/>
      </c>
      <c r="AV89" s="518" t="str">
        <f>IF(AND(_C="A-330-200",'2024'!$F$4="FO",'2024'!$F$2=AV81),'2024DATA'!$E$10,"")</f>
        <v/>
      </c>
      <c r="AW89" s="518" t="str">
        <f>IF(AND(_C="A-330-200",'2024'!$F$4="FO",'2024'!$F$2=AW81),'2024DATA'!$F$10,"")</f>
        <v/>
      </c>
      <c r="AX89" s="518" t="str">
        <f>IF(AND(_C="A-330-200",'2024'!$F$4="FO",'2024'!$F$2=AX81),'2024DATA'!$G$10,"")</f>
        <v/>
      </c>
      <c r="AY89" s="518" t="str">
        <f>IF(AND(_C="A-330-200",'2024'!$F$4="FO",'2024'!$F$2=AY81),'2024DATA'!$H$10,"")</f>
        <v/>
      </c>
      <c r="AZ89" s="518" t="str">
        <f>IF(AND(_C="A-330-200",'2024'!$F$4="FO",'2024'!$F$2=AZ81),'2024DATA'!$I$10,"")</f>
        <v/>
      </c>
      <c r="BA89" s="518" t="str">
        <f>IF(AND(_C="A-330-200",'2024'!$F$4="FO",'2024'!$F$2=BA81),'2024DATA'!$J$10,"")</f>
        <v/>
      </c>
      <c r="BB89" s="518" t="str">
        <f>IF(AND(_C="A-330-200",'2024'!$F$4="FO",'2024'!$F$2=BB81),'2024DATA'!$K$10,"")</f>
        <v/>
      </c>
      <c r="BC89" s="518" t="str">
        <f>IF(AND(_C="A-330-200",'2024'!$F$4="FO",'2024'!$F$2=BC81),'2024DATA'!$L$10,"")</f>
        <v/>
      </c>
      <c r="BD89" s="518" t="str">
        <f>IF(AND(_C="A-330-200",'2024'!$F$4="FO",'2024'!$F$2=BD81),'2024DATA'!$M$10,"")</f>
        <v/>
      </c>
      <c r="BE89" s="520" t="str">
        <f>IF(AND(_C="A-330-200",'2024'!$F$4="FO",'2024'!$F$2=BE81),'2024DATA'!$N$10,"")</f>
        <v/>
      </c>
      <c r="BF89" s="940"/>
      <c r="BG89" s="13" t="s">
        <v>62</v>
      </c>
      <c r="BH89" s="518" t="str">
        <f>IF(AND(_D="A-330-200",'2024'!$F$4="FO",'2024'!$F$2=BH81),'2024DATA'!$C$10,"")</f>
        <v/>
      </c>
      <c r="BI89" s="518" t="str">
        <f>IF(AND(_D="A-330-200",'2024'!$F$4="FO",'2024'!$F$2=BI81),'2024DATA'!$D$10,"")</f>
        <v/>
      </c>
      <c r="BJ89" s="518" t="str">
        <f>IF(AND(_D="A-330-200",'2024'!$F$4="FO",'2024'!$F$2=BJ81),'2024DATA'!$E$10,"")</f>
        <v/>
      </c>
      <c r="BK89" s="518" t="str">
        <f>IF(AND(_D="A-330-200",'2024'!$F$4="FO",'2024'!$F$2=BK81),'2024DATA'!$F$10,"")</f>
        <v/>
      </c>
      <c r="BL89" s="518" t="str">
        <f>IF(AND(_D="A-330-200",'2024'!$F$4="FO",'2024'!$F$2=BL81),'2024DATA'!$G$10,"")</f>
        <v/>
      </c>
      <c r="BM89" s="518" t="str">
        <f>IF(AND(_D="A-330-200",'2024'!$F$4="FO",'2024'!$F$2=BM81),'2024DATA'!$H$10,"")</f>
        <v/>
      </c>
      <c r="BN89" s="518" t="str">
        <f>IF(AND(_D="A-330-200",'2024'!$F$4="FO",'2024'!$F$2=BN81),'2024DATA'!$I$10,"")</f>
        <v/>
      </c>
      <c r="BO89" s="518" t="str">
        <f>IF(AND(_D="A-330-200",'2024'!$F$4="FO",'2024'!$F$2=BO81),'2024DATA'!$J$10,"")</f>
        <v/>
      </c>
      <c r="BP89" s="518" t="str">
        <f>IF(AND(_D="A-330-200",'2024'!$F$4="FO",'2024'!$F$2=BP81),'2024DATA'!$K$10,"")</f>
        <v/>
      </c>
      <c r="BQ89" s="518" t="str">
        <f>IF(AND(_D="A-330-200",'2024'!$F$4="FO",'2024'!$F$2=BQ81),'2024DATA'!$L$10,"")</f>
        <v/>
      </c>
      <c r="BR89" s="518" t="str">
        <f>IF(AND(_D="A-330-200",'2024'!$F$4="FO",'2024'!$F$2=BR81),'2024DATA'!$M$10,"")</f>
        <v/>
      </c>
      <c r="BS89" s="520" t="str">
        <f>IF(AND(_D="A-330-200",'2024'!$F$4="FO",'2024'!$F$2=BS81),'2024DATA'!$N$10,"")</f>
        <v/>
      </c>
      <c r="BT89" s="940"/>
      <c r="BU89" s="13" t="s">
        <v>62</v>
      </c>
      <c r="BV89" s="518" t="str">
        <f>IF(AND(_E="A-330-200",'2024'!$F$4="FO",'2024'!$F$2=BV81),'2024DATA'!$C$10,"")</f>
        <v/>
      </c>
      <c r="BW89" s="518" t="str">
        <f>IF(AND(_E="A-330-200",'2024'!$F$4="FO",'2024'!$F$2=BW81),'2024DATA'!$D$10,"")</f>
        <v/>
      </c>
      <c r="BX89" s="518" t="str">
        <f>IF(AND(_E="A-330-200",'2024'!$F$4="FO",'2024'!$F$2=BX81),'2024DATA'!$E$10,"")</f>
        <v/>
      </c>
      <c r="BY89" s="518" t="str">
        <f>IF(AND(_E="A-330-200",'2024'!$F$4="FO",'2024'!$F$2=BY81),'2024DATA'!$F$10,"")</f>
        <v/>
      </c>
      <c r="BZ89" s="518" t="str">
        <f>IF(AND(_E="A-330-200",'2024'!$F$4="FO",'2024'!$F$2=BZ81),'2024DATA'!$G$10,"")</f>
        <v/>
      </c>
      <c r="CA89" s="518" t="str">
        <f>IF(AND(_E="A-330-200",'2024'!$F$4="FO",'2024'!$F$2=CA81),'2024DATA'!$H$10,"")</f>
        <v/>
      </c>
      <c r="CB89" s="518" t="str">
        <f>IF(AND(_E="A-330-200",'2024'!$F$4="FO",'2024'!$F$2=CB81),'2024DATA'!$I$10,"")</f>
        <v/>
      </c>
      <c r="CC89" s="518" t="str">
        <f>IF(AND(_E="A-330-200",'2024'!$F$4="FO",'2024'!$F$2=CC81),'2024DATA'!$J$10,"")</f>
        <v/>
      </c>
      <c r="CD89" s="518" t="str">
        <f>IF(AND(_E="A-330-200",'2024'!$F$4="FO",'2024'!$F$2=CD81),'2024DATA'!$K$10,"")</f>
        <v/>
      </c>
      <c r="CE89" s="518" t="str">
        <f>IF(AND(_E="A-330-200",'2024'!$F$4="FO",'2024'!$F$2=CE81),'2024DATA'!$L$10,"")</f>
        <v/>
      </c>
      <c r="CF89" s="518" t="str">
        <f>IF(AND(_E="A-330-200",'2024'!$F$4="FO",'2024'!$F$2=CF81),'2024DATA'!$M$10,"")</f>
        <v/>
      </c>
      <c r="CG89" s="520" t="str">
        <f>IF(AND(_E="A-330-200",'2024'!$F$4="FO",'2024'!$F$2=CG81),'2024DATA'!$N$10,"")</f>
        <v/>
      </c>
      <c r="CH89" s="940"/>
      <c r="CI89" s="13" t="s">
        <v>62</v>
      </c>
      <c r="CJ89" s="518" t="str">
        <f>IF(AND(_F="A-330-200",'2024'!$F$4="FO",'2024'!$F$2=CJ81),'2024DATA'!$C$10,"")</f>
        <v/>
      </c>
      <c r="CK89" s="518" t="str">
        <f>IF(AND(_F="A-330-200",'2024'!$F$4="FO",'2024'!$F$2=CK81),'2024DATA'!$D$10,"")</f>
        <v/>
      </c>
      <c r="CL89" s="518" t="str">
        <f>IF(AND(_F="A-330-200",'2024'!$F$4="FO",'2024'!$F$2=CL81),'2024DATA'!$E$10,"")</f>
        <v/>
      </c>
      <c r="CM89" s="518" t="str">
        <f>IF(AND(_F="A-330-200",'2024'!$F$4="FO",'2024'!$F$2=CM81),'2024DATA'!$F$10,"")</f>
        <v/>
      </c>
      <c r="CN89" s="518" t="str">
        <f>IF(AND(_F="A-330-200",'2024'!$F$4="FO",'2024'!$F$2=CN81),'2024DATA'!$G$10,"")</f>
        <v/>
      </c>
      <c r="CO89" s="518" t="str">
        <f>IF(AND(_F="A-330-200",'2024'!$F$4="FO",'2024'!$F$2=CO81),'2024DATA'!$H$10,"")</f>
        <v/>
      </c>
      <c r="CP89" s="518" t="str">
        <f>IF(AND(_F="A-330-200",'2024'!$F$4="FO",'2024'!$F$2=CP81),'2024DATA'!$I$10,"")</f>
        <v/>
      </c>
      <c r="CQ89" s="518" t="str">
        <f>IF(AND(_F="A-330-200",'2024'!$F$4="FO",'2024'!$F$2=CQ81),'2024DATA'!$J$10,"")</f>
        <v/>
      </c>
      <c r="CR89" s="518" t="str">
        <f>IF(AND(_F="A-330-200",'2024'!$F$4="FO",'2024'!$F$2=CR81),'2024DATA'!$K$10,"")</f>
        <v/>
      </c>
      <c r="CS89" s="518" t="str">
        <f>IF(AND(_F="A-330-200",'2024'!$F$4="FO",'2024'!$F$2=CS81),'2024DATA'!$L$10,"")</f>
        <v/>
      </c>
      <c r="CT89" s="518" t="str">
        <f>IF(AND(_F="A-330-200",'2024'!$F$4="FO",'2024'!$F$2=CT81),'2024DATA'!$M$10,"")</f>
        <v/>
      </c>
      <c r="CU89" s="520" t="str">
        <f>IF(AND(_F="A-330-200",'2024'!$F$4="FO",'2024'!$F$2=CU81),'2024DATA'!$N$10,"")</f>
        <v/>
      </c>
    </row>
    <row r="90" spans="16:99" x14ac:dyDescent="0.25">
      <c r="P90" s="940" t="s">
        <v>42</v>
      </c>
      <c r="Q90" s="13" t="s">
        <v>61</v>
      </c>
      <c r="R90" s="518" t="str">
        <f>IF(AND(_A="B-767-400ER",'2024'!$F$4="CA",'2024'!$F$2=R81),'2024DATA'!$C$11,"")</f>
        <v/>
      </c>
      <c r="S90" s="518" t="str">
        <f>IF(AND(_A="B-767-400ER",'2024'!$F$4="CA",'2024'!$F$2=S81),'2024DATA'!$D$11,"")</f>
        <v/>
      </c>
      <c r="T90" s="518" t="str">
        <f>IF(AND(_A="B-767-400ER",'2024'!$F$4="CA",'2024'!$F$2=T81),'2024DATA'!$E$11,"")</f>
        <v/>
      </c>
      <c r="U90" s="518" t="str">
        <f>IF(AND(_A="B-767-400ER",'2024'!$F$4="CA",'2024'!$F$2=U81),'2024DATA'!$F$11,"")</f>
        <v/>
      </c>
      <c r="V90" s="518" t="str">
        <f>IF(AND(_A="B-767-400ER",'2024'!$F$4="CA",'2024'!$F$2=V81),'2024DATA'!$G$11,"")</f>
        <v/>
      </c>
      <c r="W90" s="518" t="str">
        <f>IF(AND(_A="B-767-400ER",'2024'!$F$4="CA",'2024'!$F$2=W81),'2024DATA'!$H$11,"")</f>
        <v/>
      </c>
      <c r="X90" s="518" t="str">
        <f>IF(AND(_A="B-767-400ER",'2024'!$F$4="CA",'2024'!$F$2=X81),'2024DATA'!$I$11,"")</f>
        <v/>
      </c>
      <c r="Y90" s="518" t="str">
        <f>IF(AND(_A="B-767-400ER",'2024'!$F$4="CA",'2024'!$F$2=Y81),'2024DATA'!$J$11,"")</f>
        <v/>
      </c>
      <c r="Z90" s="518" t="str">
        <f>IF(AND(_A="B-767-400ER",'2024'!$F$4="CA",'2024'!$F$2=Z81),'2024DATA'!$K$11,"")</f>
        <v/>
      </c>
      <c r="AA90" s="518" t="str">
        <f>IF(AND(_A="B-767-400ER",'2024'!$F$4="CA",'2024'!$F$2=AA81),'2024DATA'!$L$11,"")</f>
        <v/>
      </c>
      <c r="AB90" s="518" t="str">
        <f>IF(AND(_A="B-767-400ER",'2024'!$F$4="CA",'2024'!$F$2=AB81),'2024DATA'!$M$11,"")</f>
        <v/>
      </c>
      <c r="AC90" s="520" t="str">
        <f>IF(AND(_A="B-767-400ER",'2024'!$F$4="CA",'2024'!$F$2=AC81),'2024DATA'!$N$11,"")</f>
        <v/>
      </c>
      <c r="AD90" s="940" t="s">
        <v>42</v>
      </c>
      <c r="AE90" s="13" t="s">
        <v>61</v>
      </c>
      <c r="AF90" s="518" t="str">
        <f>IF(AND(_B="B-767-400ER",'2024'!$F$4="CA",'2024'!$F$2=AF81),'2024DATA'!$C$11,"")</f>
        <v/>
      </c>
      <c r="AG90" s="518" t="str">
        <f>IF(AND(_B="B-767-400ER",'2024'!$F$4="CA",'2024'!$F$2=AG81),'2024DATA'!$D$11,"")</f>
        <v/>
      </c>
      <c r="AH90" s="518" t="str">
        <f>IF(AND(_B="B-767-400ER",'2024'!$F$4="CA",'2024'!$F$2=AH81),'2024DATA'!$E$11,"")</f>
        <v/>
      </c>
      <c r="AI90" s="518" t="str">
        <f>IF(AND(_B="B-767-400ER",'2024'!$F$4="CA",'2024'!$F$2=AI81),'2024DATA'!$F$11,"")</f>
        <v/>
      </c>
      <c r="AJ90" s="518" t="str">
        <f>IF(AND(_B="B-767-400ER",'2024'!$F$4="CA",'2024'!$F$2=AJ81),'2024DATA'!$G$11,"")</f>
        <v/>
      </c>
      <c r="AK90" s="518" t="str">
        <f>IF(AND(_B="B-767-400ER",'2024'!$F$4="CA",'2024'!$F$2=AK81),'2024DATA'!$H$11,"")</f>
        <v/>
      </c>
      <c r="AL90" s="518" t="str">
        <f>IF(AND(_B="B-767-400ER",'2024'!$F$4="CA",'2024'!$F$2=AL81),'2024DATA'!$I$11,"")</f>
        <v/>
      </c>
      <c r="AM90" s="518" t="str">
        <f>IF(AND(_B="B-767-400ER",'2024'!$F$4="CA",'2024'!$F$2=AM81),'2024DATA'!$J$11,"")</f>
        <v/>
      </c>
      <c r="AN90" s="518" t="str">
        <f>IF(AND(_B="B-767-400ER",'2024'!$F$4="CA",'2024'!$F$2=AN81),'2024DATA'!$K$11,"")</f>
        <v/>
      </c>
      <c r="AO90" s="518" t="str">
        <f>IF(AND(_B="B-767-400ER",'2024'!$F$4="CA",'2024'!$F$2=AO81),'2024DATA'!$L$11,"")</f>
        <v/>
      </c>
      <c r="AP90" s="518" t="str">
        <f>IF(AND(_B="B-767-400ER",'2024'!$F$4="CA",'2024'!$F$2=AP81),'2024DATA'!$M$11,"")</f>
        <v/>
      </c>
      <c r="AQ90" s="520" t="str">
        <f>IF(AND(_B="B-767-400ER",'2024'!$F$4="CA",'2024'!$F$2=AQ81),'2024DATA'!$N$11,"")</f>
        <v/>
      </c>
      <c r="AR90" s="940" t="s">
        <v>42</v>
      </c>
      <c r="AS90" s="13" t="s">
        <v>61</v>
      </c>
      <c r="AT90" s="518" t="str">
        <f>IF(AND(_C="B-767-400ER",'2024'!$F$4="CA",'2024'!$F$2=AT81),'2024DATA'!$C$11,"")</f>
        <v/>
      </c>
      <c r="AU90" s="518" t="str">
        <f>IF(AND(_C="B-767-400ER",'2024'!$F$4="CA",'2024'!$F$2=AU81),'2024DATA'!$D$11,"")</f>
        <v/>
      </c>
      <c r="AV90" s="518" t="str">
        <f>IF(AND(_C="B-767-400ER",'2024'!$F$4="CA",'2024'!$F$2=AV81),'2024DATA'!$E$11,"")</f>
        <v/>
      </c>
      <c r="AW90" s="518" t="str">
        <f>IF(AND(_C="B-767-400ER",'2024'!$F$4="CA",'2024'!$F$2=AW81),'2024DATA'!$F$11,"")</f>
        <v/>
      </c>
      <c r="AX90" s="518" t="str">
        <f>IF(AND(_C="B-767-400ER",'2024'!$F$4="CA",'2024'!$F$2=AX81),'2024DATA'!$G$11,"")</f>
        <v/>
      </c>
      <c r="AY90" s="518" t="str">
        <f>IF(AND(_C="B-767-400ER",'2024'!$F$4="CA",'2024'!$F$2=AY81),'2024DATA'!$H$11,"")</f>
        <v/>
      </c>
      <c r="AZ90" s="518" t="str">
        <f>IF(AND(_C="B-767-400ER",'2024'!$F$4="CA",'2024'!$F$2=AZ81),'2024DATA'!$I$11,"")</f>
        <v/>
      </c>
      <c r="BA90" s="518" t="str">
        <f>IF(AND(_C="B-767-400ER",'2024'!$F$4="CA",'2024'!$F$2=BA81),'2024DATA'!$J$11,"")</f>
        <v/>
      </c>
      <c r="BB90" s="518" t="str">
        <f>IF(AND(_C="B-767-400ER",'2024'!$F$4="CA",'2024'!$F$2=BB81),'2024DATA'!$K$11,"")</f>
        <v/>
      </c>
      <c r="BC90" s="518" t="str">
        <f>IF(AND(_C="B-767-400ER",'2024'!$F$4="CA",'2024'!$F$2=BC81),'2024DATA'!$L$11,"")</f>
        <v/>
      </c>
      <c r="BD90" s="518" t="str">
        <f>IF(AND(_C="B-767-400ER",'2024'!$F$4="CA",'2024'!$F$2=BD81),'2024DATA'!$M$11,"")</f>
        <v/>
      </c>
      <c r="BE90" s="520" t="str">
        <f>IF(AND(_C="B-767-400ER",'2024'!$F$4="CA",'2024'!$F$2=BE81),'2024DATA'!$N$11,"")</f>
        <v/>
      </c>
      <c r="BF90" s="940" t="s">
        <v>42</v>
      </c>
      <c r="BG90" s="13" t="s">
        <v>61</v>
      </c>
      <c r="BH90" s="518" t="str">
        <f>IF(AND(_D="B-767-400ER",'2024'!$F$4="CA",'2024'!$F$2=BH81),'2024DATA'!$C$11,"")</f>
        <v/>
      </c>
      <c r="BI90" s="518" t="str">
        <f>IF(AND(_D="B-767-400ER",'2024'!$F$4="CA",'2024'!$F$2=BI81),'2024DATA'!$D$11,"")</f>
        <v/>
      </c>
      <c r="BJ90" s="518" t="str">
        <f>IF(AND(_D="B-767-400ER",'2024'!$F$4="CA",'2024'!$F$2=BJ81),'2024DATA'!$E$11,"")</f>
        <v/>
      </c>
      <c r="BK90" s="518" t="str">
        <f>IF(AND(_D="B-767-400ER",'2024'!$F$4="CA",'2024'!$F$2=BK81),'2024DATA'!$F$11,"")</f>
        <v/>
      </c>
      <c r="BL90" s="518" t="str">
        <f>IF(AND(_D="B-767-400ER",'2024'!$F$4="CA",'2024'!$F$2=BL81),'2024DATA'!$G$11,"")</f>
        <v/>
      </c>
      <c r="BM90" s="518" t="str">
        <f>IF(AND(_D="B-767-400ER",'2024'!$F$4="CA",'2024'!$F$2=BM81),'2024DATA'!$H$11,"")</f>
        <v/>
      </c>
      <c r="BN90" s="518" t="str">
        <f>IF(AND(_D="B-767-400ER",'2024'!$F$4="CA",'2024'!$F$2=BN81),'2024DATA'!$I$11,"")</f>
        <v/>
      </c>
      <c r="BO90" s="518" t="str">
        <f>IF(AND(_D="B-767-400ER",'2024'!$F$4="CA",'2024'!$F$2=BO81),'2024DATA'!$J$11,"")</f>
        <v/>
      </c>
      <c r="BP90" s="518" t="str">
        <f>IF(AND(_D="B-767-400ER",'2024'!$F$4="CA",'2024'!$F$2=BP81),'2024DATA'!$K$11,"")</f>
        <v/>
      </c>
      <c r="BQ90" s="518" t="str">
        <f>IF(AND(_D="B-767-400ER",'2024'!$F$4="CA",'2024'!$F$2=BQ81),'2024DATA'!$L$11,"")</f>
        <v/>
      </c>
      <c r="BR90" s="518" t="str">
        <f>IF(AND(_D="B-767-400ER",'2024'!$F$4="CA",'2024'!$F$2=BR81),'2024DATA'!$M$11,"")</f>
        <v/>
      </c>
      <c r="BS90" s="520" t="str">
        <f>IF(AND(_D="B-767-400ER",'2024'!$F$4="CA",'2024'!$F$2=BS81),'2024DATA'!$N$11,"")</f>
        <v/>
      </c>
      <c r="BT90" s="940" t="s">
        <v>42</v>
      </c>
      <c r="BU90" s="13" t="s">
        <v>61</v>
      </c>
      <c r="BV90" s="518" t="str">
        <f>IF(AND(_E="B-767-400ER",'2024'!$F$4="CA",'2024'!$F$2=BV81),'2024DATA'!$C$11,"")</f>
        <v/>
      </c>
      <c r="BW90" s="518" t="str">
        <f>IF(AND(_E="B-767-400ER",'2024'!$F$4="CA",'2024'!$F$2=BW81),'2024DATA'!$D$11,"")</f>
        <v/>
      </c>
      <c r="BX90" s="518" t="str">
        <f>IF(AND(_E="B-767-400ER",'2024'!$F$4="CA",'2024'!$F$2=BX81),'2024DATA'!$E$11,"")</f>
        <v/>
      </c>
      <c r="BY90" s="518" t="str">
        <f>IF(AND(_E="B-767-400ER",'2024'!$F$4="CA",'2024'!$F$2=BY81),'2024DATA'!$F$11,"")</f>
        <v/>
      </c>
      <c r="BZ90" s="518" t="str">
        <f>IF(AND(_E="B-767-400ER",'2024'!$F$4="CA",'2024'!$F$2=BZ81),'2024DATA'!$G$11,"")</f>
        <v/>
      </c>
      <c r="CA90" s="518" t="str">
        <f>IF(AND(_E="B-767-400ER",'2024'!$F$4="CA",'2024'!$F$2=CA81),'2024DATA'!$H$11,"")</f>
        <v/>
      </c>
      <c r="CB90" s="518" t="str">
        <f>IF(AND(_E="B-767-400ER",'2024'!$F$4="CA",'2024'!$F$2=CB81),'2024DATA'!$I$11,"")</f>
        <v/>
      </c>
      <c r="CC90" s="518" t="str">
        <f>IF(AND(_E="B-767-400ER",'2024'!$F$4="CA",'2024'!$F$2=CC81),'2024DATA'!$J$11,"")</f>
        <v/>
      </c>
      <c r="CD90" s="518" t="str">
        <f>IF(AND(_E="B-767-400ER",'2024'!$F$4="CA",'2024'!$F$2=CD81),'2024DATA'!$K$11,"")</f>
        <v/>
      </c>
      <c r="CE90" s="518" t="str">
        <f>IF(AND(_E="B-767-400ER",'2024'!$F$4="CA",'2024'!$F$2=CE81),'2024DATA'!$L$11,"")</f>
        <v/>
      </c>
      <c r="CF90" s="518" t="str">
        <f>IF(AND(_E="B-767-400ER",'2024'!$F$4="CA",'2024'!$F$2=CF81),'2024DATA'!$M$11,"")</f>
        <v/>
      </c>
      <c r="CG90" s="520" t="str">
        <f>IF(AND(_E="B-767-400ER",'2024'!$F$4="CA",'2024'!$F$2=CG81),'2024DATA'!$N$11,"")</f>
        <v/>
      </c>
      <c r="CH90" s="940" t="s">
        <v>42</v>
      </c>
      <c r="CI90" s="13" t="s">
        <v>61</v>
      </c>
      <c r="CJ90" s="518" t="str">
        <f>IF(AND(_F="B-767-400ER",'2024'!$F$4="CA",'2024'!$F$2=CJ81),'2024DATA'!$C$11,"")</f>
        <v/>
      </c>
      <c r="CK90" s="518" t="str">
        <f>IF(AND(_F="B-767-400ER",'2024'!$F$4="CA",'2024'!$F$2=CK81),'2024DATA'!$D$11,"")</f>
        <v/>
      </c>
      <c r="CL90" s="518" t="str">
        <f>IF(AND(_F="B-767-400ER",'2024'!$F$4="CA",'2024'!$F$2=CL81),'2024DATA'!$E$11,"")</f>
        <v/>
      </c>
      <c r="CM90" s="518" t="str">
        <f>IF(AND(_F="B-767-400ER",'2024'!$F$4="CA",'2024'!$F$2=CM81),'2024DATA'!$F$11,"")</f>
        <v/>
      </c>
      <c r="CN90" s="518" t="str">
        <f>IF(AND(_F="B-767-400ER",'2024'!$F$4="CA",'2024'!$F$2=CN81),'2024DATA'!$G$11,"")</f>
        <v/>
      </c>
      <c r="CO90" s="518" t="str">
        <f>IF(AND(_F="B-767-400ER",'2024'!$F$4="CA",'2024'!$F$2=CO81),'2024DATA'!$H$11,"")</f>
        <v/>
      </c>
      <c r="CP90" s="518" t="str">
        <f>IF(AND(_F="B-767-400ER",'2024'!$F$4="CA",'2024'!$F$2=CP81),'2024DATA'!$I$11,"")</f>
        <v/>
      </c>
      <c r="CQ90" s="518" t="str">
        <f>IF(AND(_F="B-767-400ER",'2024'!$F$4="CA",'2024'!$F$2=CQ81),'2024DATA'!$J$11,"")</f>
        <v/>
      </c>
      <c r="CR90" s="518" t="str">
        <f>IF(AND(_F="B-767-400ER",'2024'!$F$4="CA",'2024'!$F$2=CR81),'2024DATA'!$K$11,"")</f>
        <v/>
      </c>
      <c r="CS90" s="518" t="str">
        <f>IF(AND(_F="B-767-400ER",'2024'!$F$4="CA",'2024'!$F$2=CS81),'2024DATA'!$L$11,"")</f>
        <v/>
      </c>
      <c r="CT90" s="518" t="str">
        <f>IF(AND(_F="B-767-400ER",'2024'!$F$4="CA",'2024'!$F$2=CT81),'2024DATA'!$M$11,"")</f>
        <v/>
      </c>
      <c r="CU90" s="520" t="str">
        <f>IF(AND(_F="B-767-400ER",'2024'!$F$4="CA",'2024'!$F$2=CU81),'2024DATA'!$N$11,"")</f>
        <v/>
      </c>
    </row>
    <row r="91" spans="16:99" x14ac:dyDescent="0.25">
      <c r="P91" s="940"/>
      <c r="Q91" s="13" t="s">
        <v>62</v>
      </c>
      <c r="R91" s="518" t="str">
        <f>IF(AND(_A="B-767-400ER",'2024'!$F$4="FO",'2024'!$F$2=R81),'2024DATA'!$C$12,"")</f>
        <v/>
      </c>
      <c r="S91" s="518" t="str">
        <f>IF(AND(_A="B-767-400ER",'2024'!$F$4="FO",'2024'!$F$2=S81),'2024DATA'!$D$12,"")</f>
        <v/>
      </c>
      <c r="T91" s="518" t="str">
        <f>IF(AND(_A="B-767-400ER",'2024'!$F$4="FO",'2024'!$F$2=T81),'2024DATA'!$E$12,"")</f>
        <v/>
      </c>
      <c r="U91" s="518" t="str">
        <f>IF(AND(_A="B-767-400ER",'2024'!$F$4="FO",'2024'!$F$2=U81),'2024DATA'!$F$12,"")</f>
        <v/>
      </c>
      <c r="V91" s="518" t="str">
        <f>IF(AND(_A="B-767-400ER",'2024'!$F$4="FO",'2024'!$F$2=V81),'2024DATA'!$G$12,"")</f>
        <v/>
      </c>
      <c r="W91" s="518" t="str">
        <f>IF(AND(_A="B-767-400ER",'2024'!$F$4="FO",'2024'!$F$2=W81),'2024DATA'!$H$12,"")</f>
        <v/>
      </c>
      <c r="X91" s="518" t="str">
        <f>IF(AND(_A="B-767-400ER",'2024'!$F$4="FO",'2024'!$F$2=X81),'2024DATA'!$I$12,"")</f>
        <v/>
      </c>
      <c r="Y91" s="518" t="str">
        <f>IF(AND(_A="B-767-400ER",'2024'!$F$4="FO",'2024'!$F$2=Y81),'2024DATA'!$J$12,"")</f>
        <v/>
      </c>
      <c r="Z91" s="518" t="str">
        <f>IF(AND(_A="B-767-400ER",'2024'!$F$4="FO",'2024'!$F$2=Z81),'2024DATA'!$K$12,"")</f>
        <v/>
      </c>
      <c r="AA91" s="518" t="str">
        <f>IF(AND(_A="B-767-400ER",'2024'!$F$4="FO",'2024'!$F$2=AA81),'2024DATA'!$L$12,"")</f>
        <v/>
      </c>
      <c r="AB91" s="518" t="str">
        <f>IF(AND(_A="B-767-400ER",'2024'!$F$4="FO",'2024'!$F$2=AB81),'2024DATA'!$M$12,"")</f>
        <v/>
      </c>
      <c r="AC91" s="520" t="str">
        <f>IF(AND(_A="B-767-400ER",'2024'!$F$4="FO",'2024'!$F$2=AC81),'2024DATA'!$N$12,"")</f>
        <v/>
      </c>
      <c r="AD91" s="940"/>
      <c r="AE91" s="13" t="s">
        <v>62</v>
      </c>
      <c r="AF91" s="518" t="str">
        <f>IF(AND(_B="B-767-400ER",'2024'!$F$4="FO",'2024'!$F$2=AF81),'2024DATA'!$C$12,"")</f>
        <v/>
      </c>
      <c r="AG91" s="518" t="str">
        <f>IF(AND(_B="B-767-400ER",'2024'!$F$4="FO",'2024'!$F$2=AG81),'2024DATA'!$D$12,"")</f>
        <v/>
      </c>
      <c r="AH91" s="518" t="str">
        <f>IF(AND(_B="B-767-400ER",'2024'!$F$4="FO",'2024'!$F$2=AH81),'2024DATA'!$E$12,"")</f>
        <v/>
      </c>
      <c r="AI91" s="518" t="str">
        <f>IF(AND(_B="B-767-400ER",'2024'!$F$4="FO",'2024'!$F$2=AI81),'2024DATA'!$F$12,"")</f>
        <v/>
      </c>
      <c r="AJ91" s="518" t="str">
        <f>IF(AND(_B="B-767-400ER",'2024'!$F$4="FO",'2024'!$F$2=AJ81),'2024DATA'!$G$12,"")</f>
        <v/>
      </c>
      <c r="AK91" s="518" t="str">
        <f>IF(AND(_B="B-767-400ER",'2024'!$F$4="FO",'2024'!$F$2=AK81),'2024DATA'!$H$12,"")</f>
        <v/>
      </c>
      <c r="AL91" s="518" t="str">
        <f>IF(AND(_B="B-767-400ER",'2024'!$F$4="FO",'2024'!$F$2=AL81),'2024DATA'!$I$12,"")</f>
        <v/>
      </c>
      <c r="AM91" s="518" t="str">
        <f>IF(AND(_B="B-767-400ER",'2024'!$F$4="FO",'2024'!$F$2=AM81),'2024DATA'!$J$12,"")</f>
        <v/>
      </c>
      <c r="AN91" s="518" t="str">
        <f>IF(AND(_B="B-767-400ER",'2024'!$F$4="FO",'2024'!$F$2=AN81),'2024DATA'!$K$12,"")</f>
        <v/>
      </c>
      <c r="AO91" s="518" t="str">
        <f>IF(AND(_B="B-767-400ER",'2024'!$F$4="FO",'2024'!$F$2=AO81),'2024DATA'!$L$12,"")</f>
        <v/>
      </c>
      <c r="AP91" s="518" t="str">
        <f>IF(AND(_B="B-767-400ER",'2024'!$F$4="FO",'2024'!$F$2=AP81),'2024DATA'!$M$12,"")</f>
        <v/>
      </c>
      <c r="AQ91" s="520" t="str">
        <f>IF(AND(_B="B-767-400ER",'2024'!$F$4="FO",'2024'!$F$2=AQ81),'2024DATA'!$N$12,"")</f>
        <v/>
      </c>
      <c r="AR91" s="940"/>
      <c r="AS91" s="13" t="s">
        <v>62</v>
      </c>
      <c r="AT91" s="518" t="str">
        <f>IF(AND(_C="B-767-400ER",'2024'!$F$4="FO",'2024'!$F$2=AT81),'2024DATA'!$C$12,"")</f>
        <v/>
      </c>
      <c r="AU91" s="518" t="str">
        <f>IF(AND(_C="B-767-400ER",'2024'!$F$4="FO",'2024'!$F$2=AU81),'2024DATA'!$D$12,"")</f>
        <v/>
      </c>
      <c r="AV91" s="518" t="str">
        <f>IF(AND(_C="B-767-400ER",'2024'!$F$4="FO",'2024'!$F$2=AV81),'2024DATA'!$E$12,"")</f>
        <v/>
      </c>
      <c r="AW91" s="518" t="str">
        <f>IF(AND(_C="B-767-400ER",'2024'!$F$4="FO",'2024'!$F$2=AW81),'2024DATA'!$F$12,"")</f>
        <v/>
      </c>
      <c r="AX91" s="518" t="str">
        <f>IF(AND(_C="B-767-400ER",'2024'!$F$4="FO",'2024'!$F$2=AX81),'2024DATA'!$G$12,"")</f>
        <v/>
      </c>
      <c r="AY91" s="518" t="str">
        <f>IF(AND(_C="B-767-400ER",'2024'!$F$4="FO",'2024'!$F$2=AY81),'2024DATA'!$H$12,"")</f>
        <v/>
      </c>
      <c r="AZ91" s="518" t="str">
        <f>IF(AND(_C="B-767-400ER",'2024'!$F$4="FO",'2024'!$F$2=AZ81),'2024DATA'!$I$12,"")</f>
        <v/>
      </c>
      <c r="BA91" s="518" t="str">
        <f>IF(AND(_C="B-767-400ER",'2024'!$F$4="FO",'2024'!$F$2=BA81),'2024DATA'!$J$12,"")</f>
        <v/>
      </c>
      <c r="BB91" s="518" t="str">
        <f>IF(AND(_C="B-767-400ER",'2024'!$F$4="FO",'2024'!$F$2=BB81),'2024DATA'!$K$12,"")</f>
        <v/>
      </c>
      <c r="BC91" s="518" t="str">
        <f>IF(AND(_C="B-767-400ER",'2024'!$F$4="FO",'2024'!$F$2=BC81),'2024DATA'!$L$12,"")</f>
        <v/>
      </c>
      <c r="BD91" s="518" t="str">
        <f>IF(AND(_C="B-767-400ER",'2024'!$F$4="FO",'2024'!$F$2=BD81),'2024DATA'!$M$12,"")</f>
        <v/>
      </c>
      <c r="BE91" s="520" t="str">
        <f>IF(AND(_C="B-767-400ER",'2024'!$F$4="FO",'2024'!$F$2=BE81),'2024DATA'!$N$12,"")</f>
        <v/>
      </c>
      <c r="BF91" s="940"/>
      <c r="BG91" s="13" t="s">
        <v>62</v>
      </c>
      <c r="BH91" s="518" t="str">
        <f>IF(AND(_D="B-767-400ER",'2024'!$F$4="FO",'2024'!$F$2=BH81),'2024DATA'!$C$12,"")</f>
        <v/>
      </c>
      <c r="BI91" s="518" t="str">
        <f>IF(AND(_D="B-767-400ER",'2024'!$F$4="FO",'2024'!$F$2=BI81),'2024DATA'!$D$12,"")</f>
        <v/>
      </c>
      <c r="BJ91" s="518" t="str">
        <f>IF(AND(_D="B-767-400ER",'2024'!$F$4="FO",'2024'!$F$2=BJ81),'2024DATA'!$E$12,"")</f>
        <v/>
      </c>
      <c r="BK91" s="518" t="str">
        <f>IF(AND(_D="B-767-400ER",'2024'!$F$4="FO",'2024'!$F$2=BK81),'2024DATA'!$F$12,"")</f>
        <v/>
      </c>
      <c r="BL91" s="518" t="str">
        <f>IF(AND(_D="B-767-400ER",'2024'!$F$4="FO",'2024'!$F$2=BL81),'2024DATA'!$G$12,"")</f>
        <v/>
      </c>
      <c r="BM91" s="518" t="str">
        <f>IF(AND(_D="B-767-400ER",'2024'!$F$4="FO",'2024'!$F$2=BM81),'2024DATA'!$H$12,"")</f>
        <v/>
      </c>
      <c r="BN91" s="518" t="str">
        <f>IF(AND(_D="B-767-400ER",'2024'!$F$4="FO",'2024'!$F$2=BN81),'2024DATA'!$I$12,"")</f>
        <v/>
      </c>
      <c r="BO91" s="518" t="str">
        <f>IF(AND(_D="B-767-400ER",'2024'!$F$4="FO",'2024'!$F$2=BO81),'2024DATA'!$J$12,"")</f>
        <v/>
      </c>
      <c r="BP91" s="518" t="str">
        <f>IF(AND(_D="B-767-400ER",'2024'!$F$4="FO",'2024'!$F$2=BP81),'2024DATA'!$K$12,"")</f>
        <v/>
      </c>
      <c r="BQ91" s="518" t="str">
        <f>IF(AND(_D="B-767-400ER",'2024'!$F$4="FO",'2024'!$F$2=BQ81),'2024DATA'!$L$12,"")</f>
        <v/>
      </c>
      <c r="BR91" s="518" t="str">
        <f>IF(AND(_D="B-767-400ER",'2024'!$F$4="FO",'2024'!$F$2=BR81),'2024DATA'!$M$12,"")</f>
        <v/>
      </c>
      <c r="BS91" s="520" t="str">
        <f>IF(AND(_D="B-767-400ER",'2024'!$F$4="FO",'2024'!$F$2=BS81),'2024DATA'!$N$12,"")</f>
        <v/>
      </c>
      <c r="BT91" s="940"/>
      <c r="BU91" s="13" t="s">
        <v>62</v>
      </c>
      <c r="BV91" s="518" t="str">
        <f>IF(AND(_E="B-767-400ER",'2024'!$F$4="FO",'2024'!$F$2=BV81),'2024DATA'!$C$12,"")</f>
        <v/>
      </c>
      <c r="BW91" s="518" t="str">
        <f>IF(AND(_E="B-767-400ER",'2024'!$F$4="FO",'2024'!$F$2=BW81),'2024DATA'!$D$12,"")</f>
        <v/>
      </c>
      <c r="BX91" s="518" t="str">
        <f>IF(AND(_E="B-767-400ER",'2024'!$F$4="FO",'2024'!$F$2=BX81),'2024DATA'!$E$12,"")</f>
        <v/>
      </c>
      <c r="BY91" s="518" t="str">
        <f>IF(AND(_E="B-767-400ER",'2024'!$F$4="FO",'2024'!$F$2=BY81),'2024DATA'!$F$12,"")</f>
        <v/>
      </c>
      <c r="BZ91" s="518" t="str">
        <f>IF(AND(_E="B-767-400ER",'2024'!$F$4="FO",'2024'!$F$2=BZ81),'2024DATA'!$G$12,"")</f>
        <v/>
      </c>
      <c r="CA91" s="518" t="str">
        <f>IF(AND(_E="B-767-400ER",'2024'!$F$4="FO",'2024'!$F$2=CA81),'2024DATA'!$H$12,"")</f>
        <v/>
      </c>
      <c r="CB91" s="518" t="str">
        <f>IF(AND(_E="B-767-400ER",'2024'!$F$4="FO",'2024'!$F$2=CB81),'2024DATA'!$I$12,"")</f>
        <v/>
      </c>
      <c r="CC91" s="518" t="str">
        <f>IF(AND(_E="B-767-400ER",'2024'!$F$4="FO",'2024'!$F$2=CC81),'2024DATA'!$J$12,"")</f>
        <v/>
      </c>
      <c r="CD91" s="518" t="str">
        <f>IF(AND(_E="B-767-400ER",'2024'!$F$4="FO",'2024'!$F$2=CD81),'2024DATA'!$K$12,"")</f>
        <v/>
      </c>
      <c r="CE91" s="518" t="str">
        <f>IF(AND(_E="B-767-400ER",'2024'!$F$4="FO",'2024'!$F$2=CE81),'2024DATA'!$L$12,"")</f>
        <v/>
      </c>
      <c r="CF91" s="518" t="str">
        <f>IF(AND(_E="B-767-400ER",'2024'!$F$4="FO",'2024'!$F$2=CF81),'2024DATA'!$M$12,"")</f>
        <v/>
      </c>
      <c r="CG91" s="520" t="str">
        <f>IF(AND(_E="B-767-400ER",'2024'!$F$4="FO",'2024'!$F$2=CG81),'2024DATA'!$N$12,"")</f>
        <v/>
      </c>
      <c r="CH91" s="940"/>
      <c r="CI91" s="13" t="s">
        <v>62</v>
      </c>
      <c r="CJ91" s="518" t="str">
        <f>IF(AND(_F="B-767-400ER",'2024'!$F$4="FO",'2024'!$F$2=CJ81),'2024DATA'!$C$12,"")</f>
        <v/>
      </c>
      <c r="CK91" s="518" t="str">
        <f>IF(AND(_F="B-767-400ER",'2024'!$F$4="FO",'2024'!$F$2=CK81),'2024DATA'!$D$12,"")</f>
        <v/>
      </c>
      <c r="CL91" s="518" t="str">
        <f>IF(AND(_F="B-767-400ER",'2024'!$F$4="FO",'2024'!$F$2=CL81),'2024DATA'!$E$12,"")</f>
        <v/>
      </c>
      <c r="CM91" s="518" t="str">
        <f>IF(AND(_F="B-767-400ER",'2024'!$F$4="FO",'2024'!$F$2=CM81),'2024DATA'!$F$12,"")</f>
        <v/>
      </c>
      <c r="CN91" s="518" t="str">
        <f>IF(AND(_F="B-767-400ER",'2024'!$F$4="FO",'2024'!$F$2=CN81),'2024DATA'!$G$12,"")</f>
        <v/>
      </c>
      <c r="CO91" s="518" t="str">
        <f>IF(AND(_F="B-767-400ER",'2024'!$F$4="FO",'2024'!$F$2=CO81),'2024DATA'!$H$12,"")</f>
        <v/>
      </c>
      <c r="CP91" s="518" t="str">
        <f>IF(AND(_F="B-767-400ER",'2024'!$F$4="FO",'2024'!$F$2=CP81),'2024DATA'!$I$12,"")</f>
        <v/>
      </c>
      <c r="CQ91" s="518" t="str">
        <f>IF(AND(_F="B-767-400ER",'2024'!$F$4="FO",'2024'!$F$2=CQ81),'2024DATA'!$J$12,"")</f>
        <v/>
      </c>
      <c r="CR91" s="518" t="str">
        <f>IF(AND(_F="B-767-400ER",'2024'!$F$4="FO",'2024'!$F$2=CR81),'2024DATA'!$K$12,"")</f>
        <v/>
      </c>
      <c r="CS91" s="518" t="str">
        <f>IF(AND(_F="B-767-400ER",'2024'!$F$4="FO",'2024'!$F$2=CS81),'2024DATA'!$L$12,"")</f>
        <v/>
      </c>
      <c r="CT91" s="518" t="str">
        <f>IF(AND(_F="B-767-400ER",'2024'!$F$4="FO",'2024'!$F$2=CT81),'2024DATA'!$M$12,"")</f>
        <v/>
      </c>
      <c r="CU91" s="520" t="str">
        <f>IF(AND(_F="B-767-400ER",'2024'!$F$4="FO",'2024'!$F$2=CU81),'2024DATA'!$N$12,"")</f>
        <v/>
      </c>
    </row>
    <row r="92" spans="16:99" x14ac:dyDescent="0.25">
      <c r="P92" s="940" t="s">
        <v>43</v>
      </c>
      <c r="Q92" s="13" t="s">
        <v>61</v>
      </c>
      <c r="R92" s="518" t="str">
        <f>IF(AND(_A="B-767-300ER",'2024'!$F$4="CA",'2024'!$F$2=R81),'2024DATA'!$C$13,"")</f>
        <v/>
      </c>
      <c r="S92" s="518" t="str">
        <f>IF(AND(_A="B-767-300ER",'2024'!$F$4="CA",'2024'!$F$2=S81),'2024DATA'!$D$13,"")</f>
        <v/>
      </c>
      <c r="T92" s="518" t="str">
        <f>IF(AND(_A="B-767-300ER",'2024'!$F$4="CA",'2024'!$F$2=T81),'2024DATA'!$E$13,"")</f>
        <v/>
      </c>
      <c r="U92" s="518" t="str">
        <f>IF(AND(_A="B-767-300ER",'2024'!$F$4="CA",'2024'!$F$2=U81),'2024DATA'!$F$13,"")</f>
        <v/>
      </c>
      <c r="V92" s="518" t="str">
        <f>IF(AND(_A="B-767-300ER",'2024'!$F$4="CA",'2024'!$F$2=V81),'2024DATA'!$G$13,"")</f>
        <v/>
      </c>
      <c r="W92" s="518" t="str">
        <f>IF(AND(_A="B-767-300ER",'2024'!$F$4="CA",'2024'!$F$2=W81),'2024DATA'!$H$13,"")</f>
        <v/>
      </c>
      <c r="X92" s="518" t="str">
        <f>IF(AND(_A="B-767-300ER",'2024'!$F$4="CA",'2024'!$F$2=X81),'2024DATA'!$I$13,"")</f>
        <v/>
      </c>
      <c r="Y92" s="518" t="str">
        <f>IF(AND(_A="B-767-300ER",'2024'!$F$4="CA",'2024'!$F$2=Y81),'2024DATA'!$J$13,"")</f>
        <v/>
      </c>
      <c r="Z92" s="518" t="str">
        <f>IF(AND(_A="B-767-300ER",'2024'!$F$4="CA",'2024'!$F$2=Z81),'2024DATA'!$K$13,"")</f>
        <v/>
      </c>
      <c r="AA92" s="518" t="str">
        <f>IF(AND(_A="B-767-300ER",'2024'!$F$4="CA",'2024'!$F$2=AA81),'2024DATA'!$L$13,"")</f>
        <v/>
      </c>
      <c r="AB92" s="518" t="str">
        <f>IF(AND(_A="B-767-300ER",'2024'!$F$4="CA",'2024'!$F$2=AB81),'2024DATA'!$M$13,"")</f>
        <v/>
      </c>
      <c r="AC92" s="520" t="str">
        <f>IF(AND(_A="B-767-300ER",'2024'!$F$4="CA",'2024'!$F$2=AC81),'2024DATA'!$N$13,"")</f>
        <v/>
      </c>
      <c r="AD92" s="940" t="s">
        <v>43</v>
      </c>
      <c r="AE92" s="13" t="s">
        <v>61</v>
      </c>
      <c r="AF92" s="518" t="str">
        <f>IF(AND(_B="B-767-300ER",'2024'!$F$4="CA",'2024'!$F$2=AF81),'2024DATA'!$C$13,"")</f>
        <v/>
      </c>
      <c r="AG92" s="518" t="str">
        <f>IF(AND(_B="B-767-300ER",'2024'!$F$4="CA",'2024'!$F$2=AG81),'2024DATA'!$D$13,"")</f>
        <v/>
      </c>
      <c r="AH92" s="518" t="str">
        <f>IF(AND(_B="B-767-300ER",'2024'!$F$4="CA",'2024'!$F$2=AH81),'2024DATA'!$E$13,"")</f>
        <v/>
      </c>
      <c r="AI92" s="518" t="str">
        <f>IF(AND(_B="B-767-300ER",'2024'!$F$4="CA",'2024'!$F$2=AI81),'2024DATA'!$F$13,"")</f>
        <v/>
      </c>
      <c r="AJ92" s="518" t="str">
        <f>IF(AND(_B="B-767-300ER",'2024'!$F$4="CA",'2024'!$F$2=AJ81),'2024DATA'!$G$13,"")</f>
        <v/>
      </c>
      <c r="AK92" s="518" t="str">
        <f>IF(AND(_B="B-767-300ER",'2024'!$F$4="CA",'2024'!$F$2=AK81),'2024DATA'!$H$13,"")</f>
        <v/>
      </c>
      <c r="AL92" s="518" t="str">
        <f>IF(AND(_B="B-767-300ER",'2024'!$F$4="CA",'2024'!$F$2=AL81),'2024DATA'!$I$13,"")</f>
        <v/>
      </c>
      <c r="AM92" s="518" t="str">
        <f>IF(AND(_B="B-767-300ER",'2024'!$F$4="CA",'2024'!$F$2=AM81),'2024DATA'!$J$13,"")</f>
        <v/>
      </c>
      <c r="AN92" s="518" t="str">
        <f>IF(AND(_B="B-767-300ER",'2024'!$F$4="CA",'2024'!$F$2=AN81),'2024DATA'!$K$13,"")</f>
        <v/>
      </c>
      <c r="AO92" s="518" t="str">
        <f>IF(AND(_B="B-767-300ER",'2024'!$F$4="CA",'2024'!$F$2=AO81),'2024DATA'!$L$13,"")</f>
        <v/>
      </c>
      <c r="AP92" s="518" t="str">
        <f>IF(AND(_B="B-767-300ER",'2024'!$F$4="CA",'2024'!$F$2=AP81),'2024DATA'!$M$13,"")</f>
        <v/>
      </c>
      <c r="AQ92" s="520" t="str">
        <f>IF(AND(_B="B-767-300ER",'2024'!$F$4="CA",'2024'!$F$2=AQ81),'2024DATA'!$N$13,"")</f>
        <v/>
      </c>
      <c r="AR92" s="940" t="s">
        <v>43</v>
      </c>
      <c r="AS92" s="13" t="s">
        <v>61</v>
      </c>
      <c r="AT92" s="518" t="str">
        <f>IF(AND(_C="B-767-300ER",'2024'!$F$4="CA",'2024'!$F$2=AT81),'2024DATA'!$C$13,"")</f>
        <v/>
      </c>
      <c r="AU92" s="518" t="str">
        <f>IF(AND(_C="B-767-300ER",'2024'!$F$4="CA",'2024'!$F$2=AU81),'2024DATA'!$D$13,"")</f>
        <v/>
      </c>
      <c r="AV92" s="518" t="str">
        <f>IF(AND(_C="B-767-300ER",'2024'!$F$4="CA",'2024'!$F$2=AV81),'2024DATA'!$E$13,"")</f>
        <v/>
      </c>
      <c r="AW92" s="518" t="str">
        <f>IF(AND(_C="B-767-300ER",'2024'!$F$4="CA",'2024'!$F$2=AW81),'2024DATA'!$F$13,"")</f>
        <v/>
      </c>
      <c r="AX92" s="518" t="str">
        <f>IF(AND(_C="B-767-300ER",'2024'!$F$4="CA",'2024'!$F$2=AX81),'2024DATA'!$G$13,"")</f>
        <v/>
      </c>
      <c r="AY92" s="518" t="str">
        <f>IF(AND(_C="B-767-300ER",'2024'!$F$4="CA",'2024'!$F$2=AY81),'2024DATA'!$H$13,"")</f>
        <v/>
      </c>
      <c r="AZ92" s="518" t="str">
        <f>IF(AND(_C="B-767-300ER",'2024'!$F$4="CA",'2024'!$F$2=AZ81),'2024DATA'!$I$13,"")</f>
        <v/>
      </c>
      <c r="BA92" s="518" t="str">
        <f>IF(AND(_C="B-767-300ER",'2024'!$F$4="CA",'2024'!$F$2=BA81),'2024DATA'!$J$13,"")</f>
        <v/>
      </c>
      <c r="BB92" s="518" t="str">
        <f>IF(AND(_C="B-767-300ER",'2024'!$F$4="CA",'2024'!$F$2=BB81),'2024DATA'!$K$13,"")</f>
        <v/>
      </c>
      <c r="BC92" s="518" t="str">
        <f>IF(AND(_C="B-767-300ER",'2024'!$F$4="CA",'2024'!$F$2=BC81),'2024DATA'!$L$13,"")</f>
        <v/>
      </c>
      <c r="BD92" s="518" t="str">
        <f>IF(AND(_C="B-767-300ER",'2024'!$F$4="CA",'2024'!$F$2=BD81),'2024DATA'!$M$13,"")</f>
        <v/>
      </c>
      <c r="BE92" s="520" t="str">
        <f>IF(AND(_C="B-767-300ER",'2024'!$F$4="CA",'2024'!$F$2=BE81),'2024DATA'!$N$13,"")</f>
        <v/>
      </c>
      <c r="BF92" s="940" t="s">
        <v>43</v>
      </c>
      <c r="BG92" s="13" t="s">
        <v>61</v>
      </c>
      <c r="BH92" s="518" t="str">
        <f>IF(AND(_D="B-767-300ER",'2024'!$F$4="CA",'2024'!$F$2=BH81),'2024DATA'!$C$13,"")</f>
        <v/>
      </c>
      <c r="BI92" s="518" t="str">
        <f>IF(AND(_D="B-767-300ER",'2024'!$F$4="CA",'2024'!$F$2=BI81),'2024DATA'!$D$13,"")</f>
        <v/>
      </c>
      <c r="BJ92" s="518" t="str">
        <f>IF(AND(_D="B-767-300ER",'2024'!$F$4="CA",'2024'!$F$2=BJ81),'2024DATA'!$E$13,"")</f>
        <v/>
      </c>
      <c r="BK92" s="518" t="str">
        <f>IF(AND(_D="B-767-300ER",'2024'!$F$4="CA",'2024'!$F$2=BK81),'2024DATA'!$F$13,"")</f>
        <v/>
      </c>
      <c r="BL92" s="518" t="str">
        <f>IF(AND(_D="B-767-300ER",'2024'!$F$4="CA",'2024'!$F$2=BL81),'2024DATA'!$G$13,"")</f>
        <v/>
      </c>
      <c r="BM92" s="518" t="str">
        <f>IF(AND(_D="B-767-300ER",'2024'!$F$4="CA",'2024'!$F$2=BM81),'2024DATA'!$H$13,"")</f>
        <v/>
      </c>
      <c r="BN92" s="518" t="str">
        <f>IF(AND(_D="B-767-300ER",'2024'!$F$4="CA",'2024'!$F$2=BN81),'2024DATA'!$I$13,"")</f>
        <v/>
      </c>
      <c r="BO92" s="518" t="str">
        <f>IF(AND(_D="B-767-300ER",'2024'!$F$4="CA",'2024'!$F$2=BO81),'2024DATA'!$J$13,"")</f>
        <v/>
      </c>
      <c r="BP92" s="518" t="str">
        <f>IF(AND(_D="B-767-300ER",'2024'!$F$4="CA",'2024'!$F$2=BP81),'2024DATA'!$K$13,"")</f>
        <v/>
      </c>
      <c r="BQ92" s="518" t="str">
        <f>IF(AND(_D="B-767-300ER",'2024'!$F$4="CA",'2024'!$F$2=BQ81),'2024DATA'!$L$13,"")</f>
        <v/>
      </c>
      <c r="BR92" s="518" t="str">
        <f>IF(AND(_D="B-767-300ER",'2024'!$F$4="CA",'2024'!$F$2=BR81),'2024DATA'!$M$13,"")</f>
        <v/>
      </c>
      <c r="BS92" s="520" t="str">
        <f>IF(AND(_D="B-767-300ER",'2024'!$F$4="CA",'2024'!$F$2=BS81),'2024DATA'!$N$13,"")</f>
        <v/>
      </c>
      <c r="BT92" s="940" t="s">
        <v>43</v>
      </c>
      <c r="BU92" s="13" t="s">
        <v>61</v>
      </c>
      <c r="BV92" s="518" t="str">
        <f>IF(AND(_E="B-767-300ER",'2024'!$F$4="CA",'2024'!$F$2=BV81),'2024DATA'!$C$13,"")</f>
        <v/>
      </c>
      <c r="BW92" s="518" t="str">
        <f>IF(AND(_E="B-767-300ER",'2024'!$F$4="CA",'2024'!$F$2=BW81),'2024DATA'!$D$13,"")</f>
        <v/>
      </c>
      <c r="BX92" s="518" t="str">
        <f>IF(AND(_E="B-767-300ER",'2024'!$F$4="CA",'2024'!$F$2=BX81),'2024DATA'!$E$13,"")</f>
        <v/>
      </c>
      <c r="BY92" s="518" t="str">
        <f>IF(AND(_E="B-767-300ER",'2024'!$F$4="CA",'2024'!$F$2=BY81),'2024DATA'!$F$13,"")</f>
        <v/>
      </c>
      <c r="BZ92" s="518" t="str">
        <f>IF(AND(_E="B-767-300ER",'2024'!$F$4="CA",'2024'!$F$2=BZ81),'2024DATA'!$G$13,"")</f>
        <v/>
      </c>
      <c r="CA92" s="518" t="str">
        <f>IF(AND(_E="B-767-300ER",'2024'!$F$4="CA",'2024'!$F$2=CA81),'2024DATA'!$H$13,"")</f>
        <v/>
      </c>
      <c r="CB92" s="518" t="str">
        <f>IF(AND(_E="B-767-300ER",'2024'!$F$4="CA",'2024'!$F$2=CB81),'2024DATA'!$I$13,"")</f>
        <v/>
      </c>
      <c r="CC92" s="518" t="str">
        <f>IF(AND(_E="B-767-300ER",'2024'!$F$4="CA",'2024'!$F$2=CC81),'2024DATA'!$J$13,"")</f>
        <v/>
      </c>
      <c r="CD92" s="518" t="str">
        <f>IF(AND(_E="B-767-300ER",'2024'!$F$4="CA",'2024'!$F$2=CD81),'2024DATA'!$K$13,"")</f>
        <v/>
      </c>
      <c r="CE92" s="518" t="str">
        <f>IF(AND(_E="B-767-300ER",'2024'!$F$4="CA",'2024'!$F$2=CE81),'2024DATA'!$L$13,"")</f>
        <v/>
      </c>
      <c r="CF92" s="518" t="str">
        <f>IF(AND(_E="B-767-300ER",'2024'!$F$4="CA",'2024'!$F$2=CF81),'2024DATA'!$M$13,"")</f>
        <v/>
      </c>
      <c r="CG92" s="520" t="str">
        <f>IF(AND(_E="B-767-300ER",'2024'!$F$4="CA",'2024'!$F$2=CG81),'2024DATA'!$N$13,"")</f>
        <v/>
      </c>
      <c r="CH92" s="940" t="s">
        <v>43</v>
      </c>
      <c r="CI92" s="13" t="s">
        <v>61</v>
      </c>
      <c r="CJ92" s="518" t="str">
        <f>IF(AND(_F="B-767-300ER",'2024'!$F$4="CA",'2024'!$F$2=CJ81),'2024DATA'!$C$13,"")</f>
        <v/>
      </c>
      <c r="CK92" s="518" t="str">
        <f>IF(AND(_F="B-767-300ER",'2024'!$F$4="CA",'2024'!$F$2=CK81),'2024DATA'!$D$13,"")</f>
        <v/>
      </c>
      <c r="CL92" s="518" t="str">
        <f>IF(AND(_F="B-767-300ER",'2024'!$F$4="CA",'2024'!$F$2=CL81),'2024DATA'!$E$13,"")</f>
        <v/>
      </c>
      <c r="CM92" s="518" t="str">
        <f>IF(AND(_F="B-767-300ER",'2024'!$F$4="CA",'2024'!$F$2=CM81),'2024DATA'!$F$13,"")</f>
        <v/>
      </c>
      <c r="CN92" s="518" t="str">
        <f>IF(AND(_F="B-767-300ER",'2024'!$F$4="CA",'2024'!$F$2=CN81),'2024DATA'!$G$13,"")</f>
        <v/>
      </c>
      <c r="CO92" s="518" t="str">
        <f>IF(AND(_F="B-767-300ER",'2024'!$F$4="CA",'2024'!$F$2=CO81),'2024DATA'!$H$13,"")</f>
        <v/>
      </c>
      <c r="CP92" s="518" t="str">
        <f>IF(AND(_F="B-767-300ER",'2024'!$F$4="CA",'2024'!$F$2=CP81),'2024DATA'!$I$13,"")</f>
        <v/>
      </c>
      <c r="CQ92" s="518" t="str">
        <f>IF(AND(_F="B-767-300ER",'2024'!$F$4="CA",'2024'!$F$2=CQ81),'2024DATA'!$J$13,"")</f>
        <v/>
      </c>
      <c r="CR92" s="518" t="str">
        <f>IF(AND(_F="B-767-300ER",'2024'!$F$4="CA",'2024'!$F$2=CR81),'2024DATA'!$K$13,"")</f>
        <v/>
      </c>
      <c r="CS92" s="518" t="str">
        <f>IF(AND(_F="B-767-300ER",'2024'!$F$4="CA",'2024'!$F$2=CS81),'2024DATA'!$L$13,"")</f>
        <v/>
      </c>
      <c r="CT92" s="518" t="str">
        <f>IF(AND(_F="B-767-300ER",'2024'!$F$4="CA",'2024'!$F$2=CT81),'2024DATA'!$M$13,"")</f>
        <v/>
      </c>
      <c r="CU92" s="520" t="str">
        <f>IF(AND(_F="B-767-300ER",'2024'!$F$4="CA",'2024'!$F$2=CU81),'2024DATA'!$N$13,"")</f>
        <v/>
      </c>
    </row>
    <row r="93" spans="16:99" x14ac:dyDescent="0.25">
      <c r="P93" s="940"/>
      <c r="Q93" s="13" t="s">
        <v>62</v>
      </c>
      <c r="R93" s="518" t="str">
        <f>IF(AND(_A="B-767-300ER",'2024'!$F$4="FO",'2024'!$F$2=R81),'2024DATA'!$C$14,"")</f>
        <v/>
      </c>
      <c r="S93" s="518" t="str">
        <f>IF(AND(_A="B-767-300ER",'2024'!$F$4="FO",'2024'!$F$2=S81),'2024DATA'!$D$14,"")</f>
        <v/>
      </c>
      <c r="T93" s="518" t="str">
        <f>IF(AND(_A="B-767-300ER",'2024'!$F$4="FO",'2024'!$F$2=T81),'2024DATA'!$E$14,"")</f>
        <v/>
      </c>
      <c r="U93" s="518" t="str">
        <f>IF(AND(_A="B-767-300ER",'2024'!$F$4="FO",'2024'!$F$2=U81),'2024DATA'!$F$14,"")</f>
        <v/>
      </c>
      <c r="V93" s="518" t="str">
        <f>IF(AND(_A="B-767-300ER",'2024'!$F$4="FO",'2024'!$F$2=V81),'2024DATA'!$G$14,"")</f>
        <v/>
      </c>
      <c r="W93" s="518" t="str">
        <f>IF(AND(_A="B-767-300ER",'2024'!$F$4="FO",'2024'!$F$2=W81),'2024DATA'!$H$14,"")</f>
        <v/>
      </c>
      <c r="X93" s="518" t="str">
        <f>IF(AND(_A="B-767-300ER",'2024'!$F$4="FO",'2024'!$F$2=X81),'2024DATA'!$I$14,"")</f>
        <v/>
      </c>
      <c r="Y93" s="518" t="str">
        <f>IF(AND(_A="B-767-300ER",'2024'!$F$4="FO",'2024'!$F$2=Y81),'2024DATA'!$J$14,"")</f>
        <v/>
      </c>
      <c r="Z93" s="518" t="str">
        <f>IF(AND(_A="B-767-300ER",'2024'!$F$4="FO",'2024'!$F$2=Z81),'2024DATA'!$K$14,"")</f>
        <v/>
      </c>
      <c r="AA93" s="518" t="str">
        <f>IF(AND(_A="B-767-300ER",'2024'!$F$4="FO",'2024'!$F$2=AA81),'2024DATA'!$L$14,"")</f>
        <v/>
      </c>
      <c r="AB93" s="518" t="str">
        <f>IF(AND(_A="B-767-300ER",'2024'!$F$4="FO",'2024'!$F$2=AB81),'2024DATA'!$M$14,"")</f>
        <v/>
      </c>
      <c r="AC93" s="520" t="str">
        <f>IF(AND(_A="B-767-300ER",'2024'!$F$4="FO",'2024'!$F$2=AC81),'2024DATA'!$N$14,"")</f>
        <v/>
      </c>
      <c r="AD93" s="940"/>
      <c r="AE93" s="13" t="s">
        <v>62</v>
      </c>
      <c r="AF93" s="518" t="str">
        <f>IF(AND(_B="B-767-300ER",'2024'!$F$4="FO",'2024'!$F$2=AF81),'2024DATA'!$C$14,"")</f>
        <v/>
      </c>
      <c r="AG93" s="518" t="str">
        <f>IF(AND(_B="B-767-300ER",'2024'!$F$4="FO",'2024'!$F$2=AG81),'2024DATA'!$D$14,"")</f>
        <v/>
      </c>
      <c r="AH93" s="518" t="str">
        <f>IF(AND(_B="B-767-300ER",'2024'!$F$4="FO",'2024'!$F$2=AH81),'2024DATA'!$E$14,"")</f>
        <v/>
      </c>
      <c r="AI93" s="518" t="str">
        <f>IF(AND(_B="B-767-300ER",'2024'!$F$4="FO",'2024'!$F$2=AI81),'2024DATA'!$F$14,"")</f>
        <v/>
      </c>
      <c r="AJ93" s="518" t="str">
        <f>IF(AND(_B="B-767-300ER",'2024'!$F$4="FO",'2024'!$F$2=AJ81),'2024DATA'!$G$14,"")</f>
        <v/>
      </c>
      <c r="AK93" s="518" t="str">
        <f>IF(AND(_B="B-767-300ER",'2024'!$F$4="FO",'2024'!$F$2=AK81),'2024DATA'!$H$14,"")</f>
        <v/>
      </c>
      <c r="AL93" s="518" t="str">
        <f>IF(AND(_B="B-767-300ER",'2024'!$F$4="FO",'2024'!$F$2=AL81),'2024DATA'!$I$14,"")</f>
        <v/>
      </c>
      <c r="AM93" s="518" t="str">
        <f>IF(AND(_B="B-767-300ER",'2024'!$F$4="FO",'2024'!$F$2=AM81),'2024DATA'!$J$14,"")</f>
        <v/>
      </c>
      <c r="AN93" s="518" t="str">
        <f>IF(AND(_B="B-767-300ER",'2024'!$F$4="FO",'2024'!$F$2=AN81),'2024DATA'!$K$14,"")</f>
        <v/>
      </c>
      <c r="AO93" s="518" t="str">
        <f>IF(AND(_B="B-767-300ER",'2024'!$F$4="FO",'2024'!$F$2=AO81),'2024DATA'!$L$14,"")</f>
        <v/>
      </c>
      <c r="AP93" s="518" t="str">
        <f>IF(AND(_B="B-767-300ER",'2024'!$F$4="FO",'2024'!$F$2=AP81),'2024DATA'!$M$14,"")</f>
        <v/>
      </c>
      <c r="AQ93" s="520" t="str">
        <f>IF(AND(_B="B-767-300ER",'2024'!$F$4="FO",'2024'!$F$2=AQ81),'2024DATA'!$N$14,"")</f>
        <v/>
      </c>
      <c r="AR93" s="940"/>
      <c r="AS93" s="13" t="s">
        <v>62</v>
      </c>
      <c r="AT93" s="518" t="str">
        <f>IF(AND(_C="B-767-300ER",'2024'!$F$4="FO",'2024'!$F$2=AT81),'2024DATA'!$C$14,"")</f>
        <v/>
      </c>
      <c r="AU93" s="518" t="str">
        <f>IF(AND(_C="B-767-300ER",'2024'!$F$4="FO",'2024'!$F$2=AU81),'2024DATA'!$D$14,"")</f>
        <v/>
      </c>
      <c r="AV93" s="518" t="str">
        <f>IF(AND(_C="B-767-300ER",'2024'!$F$4="FO",'2024'!$F$2=AV81),'2024DATA'!$E$14,"")</f>
        <v/>
      </c>
      <c r="AW93" s="518" t="str">
        <f>IF(AND(_C="B-767-300ER",'2024'!$F$4="FO",'2024'!$F$2=AW81),'2024DATA'!$F$14,"")</f>
        <v/>
      </c>
      <c r="AX93" s="518" t="str">
        <f>IF(AND(_C="B-767-300ER",'2024'!$F$4="FO",'2024'!$F$2=AX81),'2024DATA'!$G$14,"")</f>
        <v/>
      </c>
      <c r="AY93" s="518" t="str">
        <f>IF(AND(_C="B-767-300ER",'2024'!$F$4="FO",'2024'!$F$2=AY81),'2024DATA'!$H$14,"")</f>
        <v/>
      </c>
      <c r="AZ93" s="518" t="str">
        <f>IF(AND(_C="B-767-300ER",'2024'!$F$4="FO",'2024'!$F$2=AZ81),'2024DATA'!$I$14,"")</f>
        <v/>
      </c>
      <c r="BA93" s="518" t="str">
        <f>IF(AND(_C="B-767-300ER",'2024'!$F$4="FO",'2024'!$F$2=BA81),'2024DATA'!$J$14,"")</f>
        <v/>
      </c>
      <c r="BB93" s="518" t="str">
        <f>IF(AND(_C="B-767-300ER",'2024'!$F$4="FO",'2024'!$F$2=BB81),'2024DATA'!$K$14,"")</f>
        <v/>
      </c>
      <c r="BC93" s="518" t="str">
        <f>IF(AND(_C="B-767-300ER",'2024'!$F$4="FO",'2024'!$F$2=BC81),'2024DATA'!$L$14,"")</f>
        <v/>
      </c>
      <c r="BD93" s="518" t="str">
        <f>IF(AND(_C="B-767-300ER",'2024'!$F$4="FO",'2024'!$F$2=BD81),'2024DATA'!$M$14,"")</f>
        <v/>
      </c>
      <c r="BE93" s="520" t="str">
        <f>IF(AND(_C="B-767-300ER",'2024'!$F$4="FO",'2024'!$F$2=BE81),'2024DATA'!$N$14,"")</f>
        <v/>
      </c>
      <c r="BF93" s="940"/>
      <c r="BG93" s="13" t="s">
        <v>62</v>
      </c>
      <c r="BH93" s="518" t="str">
        <f>IF(AND(_D="B-767-300ER",'2024'!$F$4="FO",'2024'!$F$2=BH81),'2024DATA'!$C$14,"")</f>
        <v/>
      </c>
      <c r="BI93" s="518" t="str">
        <f>IF(AND(_D="B-767-300ER",'2024'!$F$4="FO",'2024'!$F$2=BI81),'2024DATA'!$D$14,"")</f>
        <v/>
      </c>
      <c r="BJ93" s="518" t="str">
        <f>IF(AND(_D="B-767-300ER",'2024'!$F$4="FO",'2024'!$F$2=BJ81),'2024DATA'!$E$14,"")</f>
        <v/>
      </c>
      <c r="BK93" s="518" t="str">
        <f>IF(AND(_D="B-767-300ER",'2024'!$F$4="FO",'2024'!$F$2=BK81),'2024DATA'!$F$14,"")</f>
        <v/>
      </c>
      <c r="BL93" s="518" t="str">
        <f>IF(AND(_D="B-767-300ER",'2024'!$F$4="FO",'2024'!$F$2=BL81),'2024DATA'!$G$14,"")</f>
        <v/>
      </c>
      <c r="BM93" s="518" t="str">
        <f>IF(AND(_D="B-767-300ER",'2024'!$F$4="FO",'2024'!$F$2=BM81),'2024DATA'!$H$14,"")</f>
        <v/>
      </c>
      <c r="BN93" s="518" t="str">
        <f>IF(AND(_D="B-767-300ER",'2024'!$F$4="FO",'2024'!$F$2=BN81),'2024DATA'!$I$14,"")</f>
        <v/>
      </c>
      <c r="BO93" s="518" t="str">
        <f>IF(AND(_D="B-767-300ER",'2024'!$F$4="FO",'2024'!$F$2=BO81),'2024DATA'!$J$14,"")</f>
        <v/>
      </c>
      <c r="BP93" s="518" t="str">
        <f>IF(AND(_D="B-767-300ER",'2024'!$F$4="FO",'2024'!$F$2=BP81),'2024DATA'!$K$14,"")</f>
        <v/>
      </c>
      <c r="BQ93" s="518" t="str">
        <f>IF(AND(_D="B-767-300ER",'2024'!$F$4="FO",'2024'!$F$2=BQ81),'2024DATA'!$L$14,"")</f>
        <v/>
      </c>
      <c r="BR93" s="518" t="str">
        <f>IF(AND(_D="B-767-300ER",'2024'!$F$4="FO",'2024'!$F$2=BR81),'2024DATA'!$M$14,"")</f>
        <v/>
      </c>
      <c r="BS93" s="520" t="str">
        <f>IF(AND(_D="B-767-300ER",'2024'!$F$4="FO",'2024'!$F$2=BS81),'2024DATA'!$N$14,"")</f>
        <v/>
      </c>
      <c r="BT93" s="940"/>
      <c r="BU93" s="13" t="s">
        <v>62</v>
      </c>
      <c r="BV93" s="518" t="str">
        <f>IF(AND(_E="B-767-300ER",'2024'!$F$4="FO",'2024'!$F$2=BV81),'2024DATA'!$C$14,"")</f>
        <v/>
      </c>
      <c r="BW93" s="518" t="str">
        <f>IF(AND(_E="B-767-300ER",'2024'!$F$4="FO",'2024'!$F$2=BW81),'2024DATA'!$D$14,"")</f>
        <v/>
      </c>
      <c r="BX93" s="518" t="str">
        <f>IF(AND(_E="B-767-300ER",'2024'!$F$4="FO",'2024'!$F$2=BX81),'2024DATA'!$E$14,"")</f>
        <v/>
      </c>
      <c r="BY93" s="518" t="str">
        <f>IF(AND(_E="B-767-300ER",'2024'!$F$4="FO",'2024'!$F$2=BY81),'2024DATA'!$F$14,"")</f>
        <v/>
      </c>
      <c r="BZ93" s="518" t="str">
        <f>IF(AND(_E="B-767-300ER",'2024'!$F$4="FO",'2024'!$F$2=BZ81),'2024DATA'!$G$14,"")</f>
        <v/>
      </c>
      <c r="CA93" s="518" t="str">
        <f>IF(AND(_E="B-767-300ER",'2024'!$F$4="FO",'2024'!$F$2=CA81),'2024DATA'!$H$14,"")</f>
        <v/>
      </c>
      <c r="CB93" s="518" t="str">
        <f>IF(AND(_E="B-767-300ER",'2024'!$F$4="FO",'2024'!$F$2=CB81),'2024DATA'!$I$14,"")</f>
        <v/>
      </c>
      <c r="CC93" s="518" t="str">
        <f>IF(AND(_E="B-767-300ER",'2024'!$F$4="FO",'2024'!$F$2=CC81),'2024DATA'!$J$14,"")</f>
        <v/>
      </c>
      <c r="CD93" s="518" t="str">
        <f>IF(AND(_E="B-767-300ER",'2024'!$F$4="FO",'2024'!$F$2=CD81),'2024DATA'!$K$14,"")</f>
        <v/>
      </c>
      <c r="CE93" s="518" t="str">
        <f>IF(AND(_E="B-767-300ER",'2024'!$F$4="FO",'2024'!$F$2=CE81),'2024DATA'!$L$14,"")</f>
        <v/>
      </c>
      <c r="CF93" s="518" t="str">
        <f>IF(AND(_E="B-767-300ER",'2024'!$F$4="FO",'2024'!$F$2=CF81),'2024DATA'!$M$14,"")</f>
        <v/>
      </c>
      <c r="CG93" s="520" t="str">
        <f>IF(AND(_E="B-767-300ER",'2024'!$F$4="FO",'2024'!$F$2=CG81),'2024DATA'!$N$14,"")</f>
        <v/>
      </c>
      <c r="CH93" s="940"/>
      <c r="CI93" s="13" t="s">
        <v>62</v>
      </c>
      <c r="CJ93" s="518" t="str">
        <f>IF(AND(_F="B-767-300ER",'2024'!$F$4="FO",'2024'!$F$2=CJ81),'2024DATA'!$C$14,"")</f>
        <v/>
      </c>
      <c r="CK93" s="518" t="str">
        <f>IF(AND(_F="B-767-300ER",'2024'!$F$4="FO",'2024'!$F$2=CK81),'2024DATA'!$D$14,"")</f>
        <v/>
      </c>
      <c r="CL93" s="518" t="str">
        <f>IF(AND(_F="B-767-300ER",'2024'!$F$4="FO",'2024'!$F$2=CL81),'2024DATA'!$E$14,"")</f>
        <v/>
      </c>
      <c r="CM93" s="518" t="str">
        <f>IF(AND(_F="B-767-300ER",'2024'!$F$4="FO",'2024'!$F$2=CM81),'2024DATA'!$F$14,"")</f>
        <v/>
      </c>
      <c r="CN93" s="518" t="str">
        <f>IF(AND(_F="B-767-300ER",'2024'!$F$4="FO",'2024'!$F$2=CN81),'2024DATA'!$G$14,"")</f>
        <v/>
      </c>
      <c r="CO93" s="518" t="str">
        <f>IF(AND(_F="B-767-300ER",'2024'!$F$4="FO",'2024'!$F$2=CO81),'2024DATA'!$H$14,"")</f>
        <v/>
      </c>
      <c r="CP93" s="518" t="str">
        <f>IF(AND(_F="B-767-300ER",'2024'!$F$4="FO",'2024'!$F$2=CP81),'2024DATA'!$I$14,"")</f>
        <v/>
      </c>
      <c r="CQ93" s="518" t="str">
        <f>IF(AND(_F="B-767-300ER",'2024'!$F$4="FO",'2024'!$F$2=CQ81),'2024DATA'!$J$14,"")</f>
        <v/>
      </c>
      <c r="CR93" s="518" t="str">
        <f>IF(AND(_F="B-767-300ER",'2024'!$F$4="FO",'2024'!$F$2=CR81),'2024DATA'!$K$14,"")</f>
        <v/>
      </c>
      <c r="CS93" s="518" t="str">
        <f>IF(AND(_F="B-767-300ER",'2024'!$F$4="FO",'2024'!$F$2=CS81),'2024DATA'!$L$14,"")</f>
        <v/>
      </c>
      <c r="CT93" s="518" t="str">
        <f>IF(AND(_F="B-767-300ER",'2024'!$F$4="FO",'2024'!$F$2=CT81),'2024DATA'!$M$14,"")</f>
        <v/>
      </c>
      <c r="CU93" s="520" t="str">
        <f>IF(AND(_F="B-767-300ER",'2024'!$F$4="FO",'2024'!$F$2=CU81),'2024DATA'!$N$14,"")</f>
        <v/>
      </c>
    </row>
    <row r="94" spans="16:99" x14ac:dyDescent="0.25">
      <c r="P94" s="940" t="s">
        <v>67</v>
      </c>
      <c r="Q94" s="13" t="s">
        <v>61</v>
      </c>
      <c r="R94" s="518" t="str">
        <f>IF(AND(_A="B-767-300",'2024'!$F$4="CA",'2024'!$F$2=R81),'2024DATA'!$C$15,"")</f>
        <v/>
      </c>
      <c r="S94" s="518" t="str">
        <f>IF(AND(_A="B-767-300",'2024'!$F$4="CA",'2024'!$F$2=S81),'2024DATA'!$D$15,"")</f>
        <v/>
      </c>
      <c r="T94" s="518" t="str">
        <f>IF(AND(_A="B-767-300",'2024'!$F$4="CA",'2024'!$F$2=T81),'2024DATA'!$E$15,"")</f>
        <v/>
      </c>
      <c r="U94" s="518" t="str">
        <f>IF(AND(_A="B-767-300",'2024'!$F$4="CA",'2024'!$F$2=U81),'2024DATA'!$F$15,"")</f>
        <v/>
      </c>
      <c r="V94" s="518" t="str">
        <f>IF(AND(_A="B-767-300",'2024'!$F$4="CA",'2024'!$F$2=V81),'2024DATA'!$G$15,"")</f>
        <v/>
      </c>
      <c r="W94" s="518" t="str">
        <f>IF(AND(_A="B-767-300",'2024'!$F$4="CA",'2024'!$F$2=W81),'2024DATA'!$H$15,"")</f>
        <v/>
      </c>
      <c r="X94" s="518" t="str">
        <f>IF(AND(_A="B-767-300",'2024'!$F$4="CA",'2024'!$F$2=X81),'2024DATA'!$I$15,"")</f>
        <v/>
      </c>
      <c r="Y94" s="518" t="str">
        <f>IF(AND(_A="B-767-300",'2024'!$F$4="CA",'2024'!$F$2=Y81),'2024DATA'!$J$15,"")</f>
        <v/>
      </c>
      <c r="Z94" s="518" t="str">
        <f>IF(AND(_A="B-767-300",'2024'!$F$4="CA",'2024'!$F$2=Z81),'2024DATA'!$K$15,"")</f>
        <v/>
      </c>
      <c r="AA94" s="518" t="str">
        <f>IF(AND(_A="B-767-300",'2024'!$F$4="CA",'2024'!$F$2=AA81),'2024DATA'!$L$15,"")</f>
        <v/>
      </c>
      <c r="AB94" s="518" t="str">
        <f>IF(AND(_A="B-767-300",'2024'!$F$4="CA",'2024'!$F$2=AB81),'2024DATA'!$M$15,"")</f>
        <v/>
      </c>
      <c r="AC94" s="520" t="str">
        <f>IF(AND(_A="B-767-300",'2024'!$F$4="CA",'2024'!$F$2=AC81),'2024DATA'!$N$15,"")</f>
        <v/>
      </c>
      <c r="AD94" s="940" t="s">
        <v>67</v>
      </c>
      <c r="AE94" s="13" t="s">
        <v>61</v>
      </c>
      <c r="AF94" s="518" t="str">
        <f>IF(AND(_B="B-767-300",'2024'!$F$4="CA",'2024'!$F$2=AF81),'2024DATA'!$C$15,"")</f>
        <v/>
      </c>
      <c r="AG94" s="518" t="str">
        <f>IF(AND(_B="B-767-300",'2024'!$F$4="CA",'2024'!$F$2=AG81),'2024DATA'!$D$15,"")</f>
        <v/>
      </c>
      <c r="AH94" s="518" t="str">
        <f>IF(AND(_B="B-767-300",'2024'!$F$4="CA",'2024'!$F$2=AH81),'2024DATA'!$E$15,"")</f>
        <v/>
      </c>
      <c r="AI94" s="518" t="str">
        <f>IF(AND(_B="B-767-300",'2024'!$F$4="CA",'2024'!$F$2=AI81),'2024DATA'!$F$15,"")</f>
        <v/>
      </c>
      <c r="AJ94" s="518" t="str">
        <f>IF(AND(_B="B-767-300",'2024'!$F$4="CA",'2024'!$F$2=AJ81),'2024DATA'!$G$15,"")</f>
        <v/>
      </c>
      <c r="AK94" s="518" t="str">
        <f>IF(AND(_B="B-767-300",'2024'!$F$4="CA",'2024'!$F$2=AK81),'2024DATA'!$H$15,"")</f>
        <v/>
      </c>
      <c r="AL94" s="518" t="str">
        <f>IF(AND(_B="B-767-300",'2024'!$F$4="CA",'2024'!$F$2=AL81),'2024DATA'!$I$15,"")</f>
        <v/>
      </c>
      <c r="AM94" s="518" t="str">
        <f>IF(AND(_B="B-767-300",'2024'!$F$4="CA",'2024'!$F$2=AM81),'2024DATA'!$J$15,"")</f>
        <v/>
      </c>
      <c r="AN94" s="518" t="str">
        <f>IF(AND(_B="B-767-300",'2024'!$F$4="CA",'2024'!$F$2=AN81),'2024DATA'!$K$15,"")</f>
        <v/>
      </c>
      <c r="AO94" s="518" t="str">
        <f>IF(AND(_B="B-767-300",'2024'!$F$4="CA",'2024'!$F$2=AO81),'2024DATA'!$L$15,"")</f>
        <v/>
      </c>
      <c r="AP94" s="518" t="str">
        <f>IF(AND(_B="B-767-300",'2024'!$F$4="CA",'2024'!$F$2=AP81),'2024DATA'!$M$15,"")</f>
        <v/>
      </c>
      <c r="AQ94" s="520" t="str">
        <f>IF(AND(_B="B-767-300",'2024'!$F$4="CA",'2024'!$F$2=AQ81),'2024DATA'!$N$15,"")</f>
        <v/>
      </c>
      <c r="AR94" s="940" t="s">
        <v>67</v>
      </c>
      <c r="AS94" s="13" t="s">
        <v>61</v>
      </c>
      <c r="AT94" s="518" t="str">
        <f>IF(AND(_C="B-767-300",'2024'!$F$4="CA",'2024'!$F$2=AT81),'2024DATA'!$C$15,"")</f>
        <v/>
      </c>
      <c r="AU94" s="518" t="str">
        <f>IF(AND(_C="B-767-300",'2024'!$F$4="CA",'2024'!$F$2=AU81),'2024DATA'!$D$15,"")</f>
        <v/>
      </c>
      <c r="AV94" s="518" t="str">
        <f>IF(AND(_C="B-767-300",'2024'!$F$4="CA",'2024'!$F$2=AV81),'2024DATA'!$E$15,"")</f>
        <v/>
      </c>
      <c r="AW94" s="518" t="str">
        <f>IF(AND(_C="B-767-300",'2024'!$F$4="CA",'2024'!$F$2=AW81),'2024DATA'!$F$15,"")</f>
        <v/>
      </c>
      <c r="AX94" s="518" t="str">
        <f>IF(AND(_C="B-767-300",'2024'!$F$4="CA",'2024'!$F$2=AX81),'2024DATA'!$G$15,"")</f>
        <v/>
      </c>
      <c r="AY94" s="518" t="str">
        <f>IF(AND(_C="B-767-300",'2024'!$F$4="CA",'2024'!$F$2=AY81),'2024DATA'!$H$15,"")</f>
        <v/>
      </c>
      <c r="AZ94" s="518" t="str">
        <f>IF(AND(_C="B-767-300",'2024'!$F$4="CA",'2024'!$F$2=AZ81),'2024DATA'!$I$15,"")</f>
        <v/>
      </c>
      <c r="BA94" s="518" t="str">
        <f>IF(AND(_C="B-767-300",'2024'!$F$4="CA",'2024'!$F$2=BA81),'2024DATA'!$J$15,"")</f>
        <v/>
      </c>
      <c r="BB94" s="518" t="str">
        <f>IF(AND(_C="B-767-300",'2024'!$F$4="CA",'2024'!$F$2=BB81),'2024DATA'!$K$15,"")</f>
        <v/>
      </c>
      <c r="BC94" s="518" t="str">
        <f>IF(AND(_C="B-767-300",'2024'!$F$4="CA",'2024'!$F$2=BC81),'2024DATA'!$L$15,"")</f>
        <v/>
      </c>
      <c r="BD94" s="518" t="str">
        <f>IF(AND(_C="B-767-300",'2024'!$F$4="CA",'2024'!$F$2=BD81),'2024DATA'!$M$15,"")</f>
        <v/>
      </c>
      <c r="BE94" s="520" t="str">
        <f>IF(AND(_C="B-767-300",'2024'!$F$4="CA",'2024'!$F$2=BE81),'2024DATA'!$N$15,"")</f>
        <v/>
      </c>
      <c r="BF94" s="940" t="s">
        <v>67</v>
      </c>
      <c r="BG94" s="13" t="s">
        <v>61</v>
      </c>
      <c r="BH94" s="518" t="str">
        <f>IF(AND(_D="B-767-300",'2024'!$F$4="CA",'2024'!$F$2=BH81),'2024DATA'!$C$15,"")</f>
        <v/>
      </c>
      <c r="BI94" s="518" t="str">
        <f>IF(AND(_D="B-767-300",'2024'!$F$4="CA",'2024'!$F$2=BI81),'2024DATA'!$D$15,"")</f>
        <v/>
      </c>
      <c r="BJ94" s="518" t="str">
        <f>IF(AND(_D="B-767-300",'2024'!$F$4="CA",'2024'!$F$2=BJ81),'2024DATA'!$E$15,"")</f>
        <v/>
      </c>
      <c r="BK94" s="518" t="str">
        <f>IF(AND(_D="B-767-300",'2024'!$F$4="CA",'2024'!$F$2=BK81),'2024DATA'!$F$15,"")</f>
        <v/>
      </c>
      <c r="BL94" s="518" t="str">
        <f>IF(AND(_D="B-767-300",'2024'!$F$4="CA",'2024'!$F$2=BL81),'2024DATA'!$G$15,"")</f>
        <v/>
      </c>
      <c r="BM94" s="518" t="str">
        <f>IF(AND(_D="B-767-300",'2024'!$F$4="CA",'2024'!$F$2=BM81),'2024DATA'!$H$15,"")</f>
        <v/>
      </c>
      <c r="BN94" s="518" t="str">
        <f>IF(AND(_D="B-767-300",'2024'!$F$4="CA",'2024'!$F$2=BN81),'2024DATA'!$I$15,"")</f>
        <v/>
      </c>
      <c r="BO94" s="518" t="str">
        <f>IF(AND(_D="B-767-300",'2024'!$F$4="CA",'2024'!$F$2=BO81),'2024DATA'!$J$15,"")</f>
        <v/>
      </c>
      <c r="BP94" s="518" t="str">
        <f>IF(AND(_D="B-767-300",'2024'!$F$4="CA",'2024'!$F$2=BP81),'2024DATA'!$K$15,"")</f>
        <v/>
      </c>
      <c r="BQ94" s="518" t="str">
        <f>IF(AND(_D="B-767-300",'2024'!$F$4="CA",'2024'!$F$2=BQ81),'2024DATA'!$L$15,"")</f>
        <v/>
      </c>
      <c r="BR94" s="518" t="str">
        <f>IF(AND(_D="B-767-300",'2024'!$F$4="CA",'2024'!$F$2=BR81),'2024DATA'!$M$15,"")</f>
        <v/>
      </c>
      <c r="BS94" s="520" t="str">
        <f>IF(AND(_D="B-767-300",'2024'!$F$4="CA",'2024'!$F$2=BS81),'2024DATA'!$N$15,"")</f>
        <v/>
      </c>
      <c r="BT94" s="940" t="s">
        <v>67</v>
      </c>
      <c r="BU94" s="13" t="s">
        <v>61</v>
      </c>
      <c r="BV94" s="518" t="str">
        <f>IF(AND(_E="B-767-300",'2024'!$F$4="CA",'2024'!$F$2=BV81),'2024DATA'!$C$15,"")</f>
        <v/>
      </c>
      <c r="BW94" s="518" t="str">
        <f>IF(AND(_E="B-767-300",'2024'!$F$4="CA",'2024'!$F$2=BW81),'2024DATA'!$D$15,"")</f>
        <v/>
      </c>
      <c r="BX94" s="518" t="str">
        <f>IF(AND(_E="B-767-300",'2024'!$F$4="CA",'2024'!$F$2=BX81),'2024DATA'!$E$15,"")</f>
        <v/>
      </c>
      <c r="BY94" s="518" t="str">
        <f>IF(AND(_E="B-767-300",'2024'!$F$4="CA",'2024'!$F$2=BY81),'2024DATA'!$F$15,"")</f>
        <v/>
      </c>
      <c r="BZ94" s="518" t="str">
        <f>IF(AND(_E="B-767-300",'2024'!$F$4="CA",'2024'!$F$2=BZ81),'2024DATA'!$G$15,"")</f>
        <v/>
      </c>
      <c r="CA94" s="518" t="str">
        <f>IF(AND(_E="B-767-300",'2024'!$F$4="CA",'2024'!$F$2=CA81),'2024DATA'!$H$15,"")</f>
        <v/>
      </c>
      <c r="CB94" s="518" t="str">
        <f>IF(AND(_E="B-767-300",'2024'!$F$4="CA",'2024'!$F$2=CB81),'2024DATA'!$I$15,"")</f>
        <v/>
      </c>
      <c r="CC94" s="518" t="str">
        <f>IF(AND(_E="B-767-300",'2024'!$F$4="CA",'2024'!$F$2=CC81),'2024DATA'!$J$15,"")</f>
        <v/>
      </c>
      <c r="CD94" s="518" t="str">
        <f>IF(AND(_E="B-767-300",'2024'!$F$4="CA",'2024'!$F$2=CD81),'2024DATA'!$K$15,"")</f>
        <v/>
      </c>
      <c r="CE94" s="518" t="str">
        <f>IF(AND(_E="B-767-300",'2024'!$F$4="CA",'2024'!$F$2=CE81),'2024DATA'!$L$15,"")</f>
        <v/>
      </c>
      <c r="CF94" s="518" t="str">
        <f>IF(AND(_E="B-767-300",'2024'!$F$4="CA",'2024'!$F$2=CF81),'2024DATA'!$M$15,"")</f>
        <v/>
      </c>
      <c r="CG94" s="520" t="str">
        <f>IF(AND(_E="B-767-300",'2024'!$F$4="CA",'2024'!$F$2=CG81),'2024DATA'!$N$15,"")</f>
        <v/>
      </c>
      <c r="CH94" s="940" t="s">
        <v>67</v>
      </c>
      <c r="CI94" s="13" t="s">
        <v>61</v>
      </c>
      <c r="CJ94" s="518" t="str">
        <f>IF(AND(_F="B-767-300",'2024'!$F$4="CA",'2024'!$F$2=CJ81),'2024DATA'!$C$15,"")</f>
        <v/>
      </c>
      <c r="CK94" s="518" t="str">
        <f>IF(AND(_F="B-767-300",'2024'!$F$4="CA",'2024'!$F$2=CK81),'2024DATA'!$D$15,"")</f>
        <v/>
      </c>
      <c r="CL94" s="518" t="str">
        <f>IF(AND(_F="B-767-300",'2024'!$F$4="CA",'2024'!$F$2=CL81),'2024DATA'!$E$15,"")</f>
        <v/>
      </c>
      <c r="CM94" s="518" t="str">
        <f>IF(AND(_F="B-767-300",'2024'!$F$4="CA",'2024'!$F$2=CM81),'2024DATA'!$F$15,"")</f>
        <v/>
      </c>
      <c r="CN94" s="518" t="str">
        <f>IF(AND(_F="B-767-300",'2024'!$F$4="CA",'2024'!$F$2=CN81),'2024DATA'!$G$15,"")</f>
        <v/>
      </c>
      <c r="CO94" s="518" t="str">
        <f>IF(AND(_F="B-767-300",'2024'!$F$4="CA",'2024'!$F$2=CO81),'2024DATA'!$H$15,"")</f>
        <v/>
      </c>
      <c r="CP94" s="518" t="str">
        <f>IF(AND(_F="B-767-300",'2024'!$F$4="CA",'2024'!$F$2=CP81),'2024DATA'!$I$15,"")</f>
        <v/>
      </c>
      <c r="CQ94" s="518" t="str">
        <f>IF(AND(_F="B-767-300",'2024'!$F$4="CA",'2024'!$F$2=CQ81),'2024DATA'!$J$15,"")</f>
        <v/>
      </c>
      <c r="CR94" s="518" t="str">
        <f>IF(AND(_F="B-767-300",'2024'!$F$4="CA",'2024'!$F$2=CR81),'2024DATA'!$K$15,"")</f>
        <v/>
      </c>
      <c r="CS94" s="518" t="str">
        <f>IF(AND(_F="B-767-300",'2024'!$F$4="CA",'2024'!$F$2=CS81),'2024DATA'!$L$15,"")</f>
        <v/>
      </c>
      <c r="CT94" s="518" t="str">
        <f>IF(AND(_F="B-767-300",'2024'!$F$4="CA",'2024'!$F$2=CT81),'2024DATA'!$M$15,"")</f>
        <v/>
      </c>
      <c r="CU94" s="520" t="str">
        <f>IF(AND(_F="B-767-300",'2024'!$F$4="CA",'2024'!$F$2=CU81),'2024DATA'!$N$15,"")</f>
        <v/>
      </c>
    </row>
    <row r="95" spans="16:99" x14ac:dyDescent="0.25">
      <c r="P95" s="940"/>
      <c r="Q95" s="13" t="s">
        <v>62</v>
      </c>
      <c r="R95" s="518" t="str">
        <f>IF(AND(_A="B-767-300",'2024'!$F$4="FO",'2024'!$F$2=R81),'2024DATA'!$C$16,"")</f>
        <v/>
      </c>
      <c r="S95" s="518" t="str">
        <f>IF(AND(_A="B-767-300",'2024'!$F$4="FO",'2024'!$F$2=S81),'2024DATA'!$D$16,"")</f>
        <v/>
      </c>
      <c r="T95" s="518" t="str">
        <f>IF(AND(_A="B-767-300",'2024'!$F$4="FO",'2024'!$F$2=T81),'2024DATA'!$E$16,"")</f>
        <v/>
      </c>
      <c r="U95" s="518" t="str">
        <f>IF(AND(_A="B-767-300",'2024'!$F$4="FO",'2024'!$F$2=U81),'2024DATA'!$F$16,"")</f>
        <v/>
      </c>
      <c r="V95" s="518" t="str">
        <f>IF(AND(_A="B-767-300",'2024'!$F$4="FO",'2024'!$F$2=V81),'2024DATA'!$G$16,"")</f>
        <v/>
      </c>
      <c r="W95" s="518" t="str">
        <f>IF(AND(_A="B-767-300",'2024'!$F$4="FO",'2024'!$F$2=W81),'2024DATA'!$H$16,"")</f>
        <v/>
      </c>
      <c r="X95" s="518" t="str">
        <f>IF(AND(_A="B-767-300",'2024'!$F$4="FO",'2024'!$F$2=X81),'2024DATA'!$I$16,"")</f>
        <v/>
      </c>
      <c r="Y95" s="518" t="str">
        <f>IF(AND(_A="B-767-300",'2024'!$F$4="FO",'2024'!$F$2=Y81),'2024DATA'!$J$16,"")</f>
        <v/>
      </c>
      <c r="Z95" s="518" t="str">
        <f>IF(AND(_A="B-767-300",'2024'!$F$4="FO",'2024'!$F$2=Z81),'2024DATA'!$K$16,"")</f>
        <v/>
      </c>
      <c r="AA95" s="518" t="str">
        <f>IF(AND(_A="B-767-300",'2024'!$F$4="FO",'2024'!$F$2=AA81),'2024DATA'!$L$16,"")</f>
        <v/>
      </c>
      <c r="AB95" s="518" t="str">
        <f>IF(AND(_A="B-767-300",'2024'!$F$4="FO",'2024'!$F$2=AB81),'2024DATA'!$M$16,"")</f>
        <v/>
      </c>
      <c r="AC95" s="520" t="str">
        <f>IF(AND(_A="B-767-300",'2024'!$F$4="FO",'2024'!$F$2=AC81),'2024DATA'!$N$16,"")</f>
        <v/>
      </c>
      <c r="AD95" s="940"/>
      <c r="AE95" s="13" t="s">
        <v>62</v>
      </c>
      <c r="AF95" s="518" t="str">
        <f>IF(AND(_B="B-767-300",'2024'!$F$4="FO",'2024'!$F$2=AF81),'2024DATA'!$C$16,"")</f>
        <v/>
      </c>
      <c r="AG95" s="518" t="str">
        <f>IF(AND(_B="B-767-300",'2024'!$F$4="FO",'2024'!$F$2=AG81),'2024DATA'!$D$16,"")</f>
        <v/>
      </c>
      <c r="AH95" s="518" t="str">
        <f>IF(AND(_B="B-767-300",'2024'!$F$4="FO",'2024'!$F$2=AH81),'2024DATA'!$E$16,"")</f>
        <v/>
      </c>
      <c r="AI95" s="518" t="str">
        <f>IF(AND(_B="B-767-300",'2024'!$F$4="FO",'2024'!$F$2=AI81),'2024DATA'!$F$16,"")</f>
        <v/>
      </c>
      <c r="AJ95" s="518" t="str">
        <f>IF(AND(_B="B-767-300",'2024'!$F$4="FO",'2024'!$F$2=AJ81),'2024DATA'!$G$16,"")</f>
        <v/>
      </c>
      <c r="AK95" s="518" t="str">
        <f>IF(AND(_B="B-767-300",'2024'!$F$4="FO",'2024'!$F$2=AK81),'2024DATA'!$H$16,"")</f>
        <v/>
      </c>
      <c r="AL95" s="518" t="str">
        <f>IF(AND(_B="B-767-300",'2024'!$F$4="FO",'2024'!$F$2=AL81),'2024DATA'!$I$16,"")</f>
        <v/>
      </c>
      <c r="AM95" s="518" t="str">
        <f>IF(AND(_B="B-767-300",'2024'!$F$4="FO",'2024'!$F$2=AM81),'2024DATA'!$J$16,"")</f>
        <v/>
      </c>
      <c r="AN95" s="518" t="str">
        <f>IF(AND(_B="B-767-300",'2024'!$F$4="FO",'2024'!$F$2=AN81),'2024DATA'!$K$16,"")</f>
        <v/>
      </c>
      <c r="AO95" s="518" t="str">
        <f>IF(AND(_B="B-767-300",'2024'!$F$4="FO",'2024'!$F$2=AO81),'2024DATA'!$L$16,"")</f>
        <v/>
      </c>
      <c r="AP95" s="518" t="str">
        <f>IF(AND(_B="B-767-300",'2024'!$F$4="FO",'2024'!$F$2=AP81),'2024DATA'!$M$16,"")</f>
        <v/>
      </c>
      <c r="AQ95" s="520" t="str">
        <f>IF(AND(_B="B-767-300",'2024'!$F$4="FO",'2024'!$F$2=AQ81),'2024DATA'!$N$16,"")</f>
        <v/>
      </c>
      <c r="AR95" s="940"/>
      <c r="AS95" s="13" t="s">
        <v>62</v>
      </c>
      <c r="AT95" s="518" t="str">
        <f>IF(AND(_C="B-767-300",'2024'!$F$4="FO",'2024'!$F$2=AT81),'2024DATA'!$C$16,"")</f>
        <v/>
      </c>
      <c r="AU95" s="518" t="str">
        <f>IF(AND(_C="B-767-300",'2024'!$F$4="FO",'2024'!$F$2=AU81),'2024DATA'!$D$16,"")</f>
        <v/>
      </c>
      <c r="AV95" s="518" t="str">
        <f>IF(AND(_C="B-767-300",'2024'!$F$4="FO",'2024'!$F$2=AV81),'2024DATA'!$E$16,"")</f>
        <v/>
      </c>
      <c r="AW95" s="518" t="str">
        <f>IF(AND(_C="B-767-300",'2024'!$F$4="FO",'2024'!$F$2=AW81),'2024DATA'!$F$16,"")</f>
        <v/>
      </c>
      <c r="AX95" s="518" t="str">
        <f>IF(AND(_C="B-767-300",'2024'!$F$4="FO",'2024'!$F$2=AX81),'2024DATA'!$G$16,"")</f>
        <v/>
      </c>
      <c r="AY95" s="518" t="str">
        <f>IF(AND(_C="B-767-300",'2024'!$F$4="FO",'2024'!$F$2=AY81),'2024DATA'!$H$16,"")</f>
        <v/>
      </c>
      <c r="AZ95" s="518" t="str">
        <f>IF(AND(_C="B-767-300",'2024'!$F$4="FO",'2024'!$F$2=AZ81),'2024DATA'!$I$16,"")</f>
        <v/>
      </c>
      <c r="BA95" s="518" t="str">
        <f>IF(AND(_C="B-767-300",'2024'!$F$4="FO",'2024'!$F$2=BA81),'2024DATA'!$J$16,"")</f>
        <v/>
      </c>
      <c r="BB95" s="518" t="str">
        <f>IF(AND(_C="B-767-300",'2024'!$F$4="FO",'2024'!$F$2=BB81),'2024DATA'!$K$16,"")</f>
        <v/>
      </c>
      <c r="BC95" s="518" t="str">
        <f>IF(AND(_C="B-767-300",'2024'!$F$4="FO",'2024'!$F$2=BC81),'2024DATA'!$L$16,"")</f>
        <v/>
      </c>
      <c r="BD95" s="518" t="str">
        <f>IF(AND(_C="B-767-300",'2024'!$F$4="FO",'2024'!$F$2=BD81),'2024DATA'!$M$16,"")</f>
        <v/>
      </c>
      <c r="BE95" s="520" t="str">
        <f>IF(AND(_C="B-767-300",'2024'!$F$4="FO",'2024'!$F$2=BE81),'2024DATA'!$N$16,"")</f>
        <v/>
      </c>
      <c r="BF95" s="940"/>
      <c r="BG95" s="13" t="s">
        <v>62</v>
      </c>
      <c r="BH95" s="518" t="str">
        <f>IF(AND(_D="B-767-300",'2024'!$F$4="FO",'2024'!$F$2=BH81),'2024DATA'!$C$16,"")</f>
        <v/>
      </c>
      <c r="BI95" s="518" t="str">
        <f>IF(AND(_D="B-767-300",'2024'!$F$4="FO",'2024'!$F$2=BI81),'2024DATA'!$D$16,"")</f>
        <v/>
      </c>
      <c r="BJ95" s="518" t="str">
        <f>IF(AND(_D="B-767-300",'2024'!$F$4="FO",'2024'!$F$2=BJ81),'2024DATA'!$E$16,"")</f>
        <v/>
      </c>
      <c r="BK95" s="518" t="str">
        <f>IF(AND(_D="B-767-300",'2024'!$F$4="FO",'2024'!$F$2=BK81),'2024DATA'!$F$16,"")</f>
        <v/>
      </c>
      <c r="BL95" s="518" t="str">
        <f>IF(AND(_D="B-767-300",'2024'!$F$4="FO",'2024'!$F$2=BL81),'2024DATA'!$G$16,"")</f>
        <v/>
      </c>
      <c r="BM95" s="518" t="str">
        <f>IF(AND(_D="B-767-300",'2024'!$F$4="FO",'2024'!$F$2=BM81),'2024DATA'!$H$16,"")</f>
        <v/>
      </c>
      <c r="BN95" s="518" t="str">
        <f>IF(AND(_D="B-767-300",'2024'!$F$4="FO",'2024'!$F$2=BN81),'2024DATA'!$I$16,"")</f>
        <v/>
      </c>
      <c r="BO95" s="518" t="str">
        <f>IF(AND(_D="B-767-300",'2024'!$F$4="FO",'2024'!$F$2=BO81),'2024DATA'!$J$16,"")</f>
        <v/>
      </c>
      <c r="BP95" s="518" t="str">
        <f>IF(AND(_D="B-767-300",'2024'!$F$4="FO",'2024'!$F$2=BP81),'2024DATA'!$K$16,"")</f>
        <v/>
      </c>
      <c r="BQ95" s="518" t="str">
        <f>IF(AND(_D="B-767-300",'2024'!$F$4="FO",'2024'!$F$2=BQ81),'2024DATA'!$L$16,"")</f>
        <v/>
      </c>
      <c r="BR95" s="518" t="str">
        <f>IF(AND(_D="B-767-300",'2024'!$F$4="FO",'2024'!$F$2=BR81),'2024DATA'!$M$16,"")</f>
        <v/>
      </c>
      <c r="BS95" s="520" t="str">
        <f>IF(AND(_D="B-767-300",'2024'!$F$4="FO",'2024'!$F$2=BS81),'2024DATA'!$N$16,"")</f>
        <v/>
      </c>
      <c r="BT95" s="940"/>
      <c r="BU95" s="13" t="s">
        <v>62</v>
      </c>
      <c r="BV95" s="518" t="str">
        <f>IF(AND(_E="B-767-300",'2024'!$F$4="FO",'2024'!$F$2=BV81),'2024DATA'!$C$16,"")</f>
        <v/>
      </c>
      <c r="BW95" s="518" t="str">
        <f>IF(AND(_E="B-767-300",'2024'!$F$4="FO",'2024'!$F$2=BW81),'2024DATA'!$D$16,"")</f>
        <v/>
      </c>
      <c r="BX95" s="518" t="str">
        <f>IF(AND(_E="B-767-300",'2024'!$F$4="FO",'2024'!$F$2=BX81),'2024DATA'!$E$16,"")</f>
        <v/>
      </c>
      <c r="BY95" s="518" t="str">
        <f>IF(AND(_E="B-767-300",'2024'!$F$4="FO",'2024'!$F$2=BY81),'2024DATA'!$F$16,"")</f>
        <v/>
      </c>
      <c r="BZ95" s="518" t="str">
        <f>IF(AND(_E="B-767-300",'2024'!$F$4="FO",'2024'!$F$2=BZ81),'2024DATA'!$G$16,"")</f>
        <v/>
      </c>
      <c r="CA95" s="518" t="str">
        <f>IF(AND(_E="B-767-300",'2024'!$F$4="FO",'2024'!$F$2=CA81),'2024DATA'!$H$16,"")</f>
        <v/>
      </c>
      <c r="CB95" s="518" t="str">
        <f>IF(AND(_E="B-767-300",'2024'!$F$4="FO",'2024'!$F$2=CB81),'2024DATA'!$I$16,"")</f>
        <v/>
      </c>
      <c r="CC95" s="518" t="str">
        <f>IF(AND(_E="B-767-300",'2024'!$F$4="FO",'2024'!$F$2=CC81),'2024DATA'!$J$16,"")</f>
        <v/>
      </c>
      <c r="CD95" s="518" t="str">
        <f>IF(AND(_E="B-767-300",'2024'!$F$4="FO",'2024'!$F$2=CD81),'2024DATA'!$K$16,"")</f>
        <v/>
      </c>
      <c r="CE95" s="518" t="str">
        <f>IF(AND(_E="B-767-300",'2024'!$F$4="FO",'2024'!$F$2=CE81),'2024DATA'!$L$16,"")</f>
        <v/>
      </c>
      <c r="CF95" s="518" t="str">
        <f>IF(AND(_E="B-767-300",'2024'!$F$4="FO",'2024'!$F$2=CF81),'2024DATA'!$M$16,"")</f>
        <v/>
      </c>
      <c r="CG95" s="520" t="str">
        <f>IF(AND(_E="B-767-300",'2024'!$F$4="FO",'2024'!$F$2=CG81),'2024DATA'!$N$16,"")</f>
        <v/>
      </c>
      <c r="CH95" s="940"/>
      <c r="CI95" s="13" t="s">
        <v>62</v>
      </c>
      <c r="CJ95" s="518" t="str">
        <f>IF(AND(_F="B-767-300",'2024'!$F$4="FO",'2024'!$F$2=CJ81),'2024DATA'!$C$16,"")</f>
        <v/>
      </c>
      <c r="CK95" s="518" t="str">
        <f>IF(AND(_F="B-767-300",'2024'!$F$4="FO",'2024'!$F$2=CK81),'2024DATA'!$D$16,"")</f>
        <v/>
      </c>
      <c r="CL95" s="518" t="str">
        <f>IF(AND(_F="B-767-300",'2024'!$F$4="FO",'2024'!$F$2=CL81),'2024DATA'!$E$16,"")</f>
        <v/>
      </c>
      <c r="CM95" s="518" t="str">
        <f>IF(AND(_F="B-767-300",'2024'!$F$4="FO",'2024'!$F$2=CM81),'2024DATA'!$F$16,"")</f>
        <v/>
      </c>
      <c r="CN95" s="518" t="str">
        <f>IF(AND(_F="B-767-300",'2024'!$F$4="FO",'2024'!$F$2=CN81),'2024DATA'!$G$16,"")</f>
        <v/>
      </c>
      <c r="CO95" s="518" t="str">
        <f>IF(AND(_F="B-767-300",'2024'!$F$4="FO",'2024'!$F$2=CO81),'2024DATA'!$H$16,"")</f>
        <v/>
      </c>
      <c r="CP95" s="518" t="str">
        <f>IF(AND(_F="B-767-300",'2024'!$F$4="FO",'2024'!$F$2=CP81),'2024DATA'!$I$16,"")</f>
        <v/>
      </c>
      <c r="CQ95" s="518" t="str">
        <f>IF(AND(_F="B-767-300",'2024'!$F$4="FO",'2024'!$F$2=CQ81),'2024DATA'!$J$16,"")</f>
        <v/>
      </c>
      <c r="CR95" s="518" t="str">
        <f>IF(AND(_F="B-767-300",'2024'!$F$4="FO",'2024'!$F$2=CR81),'2024DATA'!$K$16,"")</f>
        <v/>
      </c>
      <c r="CS95" s="518" t="str">
        <f>IF(AND(_F="B-767-300",'2024'!$F$4="FO",'2024'!$F$2=CS81),'2024DATA'!$L$16,"")</f>
        <v/>
      </c>
      <c r="CT95" s="518" t="str">
        <f>IF(AND(_F="B-767-300",'2024'!$F$4="FO",'2024'!$F$2=CT81),'2024DATA'!$M$16,"")</f>
        <v/>
      </c>
      <c r="CU95" s="520" t="str">
        <f>IF(AND(_F="B-767-300",'2024'!$F$4="FO",'2024'!$F$2=CU81),'2024DATA'!$N$16,"")</f>
        <v/>
      </c>
    </row>
    <row r="96" spans="16:99" x14ac:dyDescent="0.25">
      <c r="P96" s="940" t="s">
        <v>68</v>
      </c>
      <c r="Q96" s="13" t="s">
        <v>61</v>
      </c>
      <c r="R96" s="518" t="str">
        <f>IF(AND(_A="B-767-200",'2024'!$F$4="CA",'2024'!$F$2=R81),'2024DATA'!$C$17,"")</f>
        <v/>
      </c>
      <c r="S96" s="518" t="str">
        <f>IF(AND(_A="B-767-200",'2024'!$F$4="CA",'2024'!$F$2=S81),'2024DATA'!$D$17,"")</f>
        <v/>
      </c>
      <c r="T96" s="518" t="str">
        <f>IF(AND(_A="B-767-200",'2024'!$F$4="CA",'2024'!$F$2=T81),'2024DATA'!$E$17,"")</f>
        <v/>
      </c>
      <c r="U96" s="518" t="str">
        <f>IF(AND(_A="B-767-200",'2024'!$F$4="CA",'2024'!$F$2=U81),'2024DATA'!$F$17,"")</f>
        <v/>
      </c>
      <c r="V96" s="518" t="str">
        <f>IF(AND(_A="B-767-200",'2024'!$F$4="CA",'2024'!$F$2=V81),'2024DATA'!$G$17,"")</f>
        <v/>
      </c>
      <c r="W96" s="518" t="str">
        <f>IF(AND(_A="B-767-200",'2024'!$F$4="CA",'2024'!$F$2=W81),'2024DATA'!$H$17,"")</f>
        <v/>
      </c>
      <c r="X96" s="518" t="str">
        <f>IF(AND(_A="B-767-200",'2024'!$F$4="CA",'2024'!$F$2=X81),'2024DATA'!$I$17,"")</f>
        <v/>
      </c>
      <c r="Y96" s="518" t="str">
        <f>IF(AND(_A="B-767-200",'2024'!$F$4="CA",'2024'!$F$2=Y81),'2024DATA'!$J$17,"")</f>
        <v/>
      </c>
      <c r="Z96" s="518" t="str">
        <f>IF(AND(_A="B-767-200",'2024'!$F$4="CA",'2024'!$F$2=Z81),'2024DATA'!$K$17,"")</f>
        <v/>
      </c>
      <c r="AA96" s="518" t="str">
        <f>IF(AND(_A="B-767-200",'2024'!$F$4="CA",'2024'!$F$2=AA81),'2024DATA'!$L$17,"")</f>
        <v/>
      </c>
      <c r="AB96" s="518" t="str">
        <f>IF(AND(_A="B-767-200",'2024'!$F$4="CA",'2024'!$F$2=AB81),'2024DATA'!$M$17,"")</f>
        <v/>
      </c>
      <c r="AC96" s="520" t="str">
        <f>IF(AND(_A="B-767-200",'2024'!$F$4="CA",'2024'!$F$2=AC81),'2024DATA'!$N$17,"")</f>
        <v/>
      </c>
      <c r="AD96" s="940" t="s">
        <v>68</v>
      </c>
      <c r="AE96" s="13" t="s">
        <v>61</v>
      </c>
      <c r="AF96" s="518" t="str">
        <f>IF(AND(_B="B-767-200",'2024'!$F$4="CA",'2024'!$F$2=AF81),'2024DATA'!$C$17,"")</f>
        <v/>
      </c>
      <c r="AG96" s="518" t="str">
        <f>IF(AND(_B="B-767-200",'2024'!$F$4="CA",'2024'!$F$2=AG81),'2024DATA'!$D$17,"")</f>
        <v/>
      </c>
      <c r="AH96" s="518" t="str">
        <f>IF(AND(_B="B-767-200",'2024'!$F$4="CA",'2024'!$F$2=AH81),'2024DATA'!$E$17,"")</f>
        <v/>
      </c>
      <c r="AI96" s="518" t="str">
        <f>IF(AND(_B="B-767-200",'2024'!$F$4="CA",'2024'!$F$2=AI81),'2024DATA'!$F$17,"")</f>
        <v/>
      </c>
      <c r="AJ96" s="518" t="str">
        <f>IF(AND(_B="B-767-200",'2024'!$F$4="CA",'2024'!$F$2=AJ81),'2024DATA'!$G$17,"")</f>
        <v/>
      </c>
      <c r="AK96" s="518" t="str">
        <f>IF(AND(_B="B-767-200",'2024'!$F$4="CA",'2024'!$F$2=AK81),'2024DATA'!$H$17,"")</f>
        <v/>
      </c>
      <c r="AL96" s="518" t="str">
        <f>IF(AND(_B="B-767-200",'2024'!$F$4="CA",'2024'!$F$2=AL81),'2024DATA'!$I$17,"")</f>
        <v/>
      </c>
      <c r="AM96" s="518" t="str">
        <f>IF(AND(_B="B-767-200",'2024'!$F$4="CA",'2024'!$F$2=AM81),'2024DATA'!$J$17,"")</f>
        <v/>
      </c>
      <c r="AN96" s="518" t="str">
        <f>IF(AND(_B="B-767-200",'2024'!$F$4="CA",'2024'!$F$2=AN81),'2024DATA'!$K$17,"")</f>
        <v/>
      </c>
      <c r="AO96" s="518" t="str">
        <f>IF(AND(_B="B-767-200",'2024'!$F$4="CA",'2024'!$F$2=AO81),'2024DATA'!$L$17,"")</f>
        <v/>
      </c>
      <c r="AP96" s="518" t="str">
        <f>IF(AND(_B="B-767-200",'2024'!$F$4="CA",'2024'!$F$2=AP81),'2024DATA'!$M$17,"")</f>
        <v/>
      </c>
      <c r="AQ96" s="520" t="str">
        <f>IF(AND(_B="B-767-200",'2024'!$F$4="CA",'2024'!$F$2=AQ81),'2024DATA'!$N$17,"")</f>
        <v/>
      </c>
      <c r="AR96" s="940" t="s">
        <v>68</v>
      </c>
      <c r="AS96" s="13" t="s">
        <v>61</v>
      </c>
      <c r="AT96" s="518" t="str">
        <f>IF(AND(_C="B-767-200",'2024'!$F$4="CA",'2024'!$F$2=AT81),'2024DATA'!$C$17,"")</f>
        <v/>
      </c>
      <c r="AU96" s="518" t="str">
        <f>IF(AND(_C="B-767-200",'2024'!$F$4="CA",'2024'!$F$2=AU81),'2024DATA'!$D$17,"")</f>
        <v/>
      </c>
      <c r="AV96" s="518" t="str">
        <f>IF(AND(_C="B-767-200",'2024'!$F$4="CA",'2024'!$F$2=AV81),'2024DATA'!$E$17,"")</f>
        <v/>
      </c>
      <c r="AW96" s="518" t="str">
        <f>IF(AND(_C="B-767-200",'2024'!$F$4="CA",'2024'!$F$2=AW81),'2024DATA'!$F$17,"")</f>
        <v/>
      </c>
      <c r="AX96" s="518" t="str">
        <f>IF(AND(_C="B-767-200",'2024'!$F$4="CA",'2024'!$F$2=AX81),'2024DATA'!$G$17,"")</f>
        <v/>
      </c>
      <c r="AY96" s="518" t="str">
        <f>IF(AND(_C="B-767-200",'2024'!$F$4="CA",'2024'!$F$2=AY81),'2024DATA'!$H$17,"")</f>
        <v/>
      </c>
      <c r="AZ96" s="518" t="str">
        <f>IF(AND(_C="B-767-200",'2024'!$F$4="CA",'2024'!$F$2=AZ81),'2024DATA'!$I$17,"")</f>
        <v/>
      </c>
      <c r="BA96" s="518" t="str">
        <f>IF(AND(_C="B-767-200",'2024'!$F$4="CA",'2024'!$F$2=BA81),'2024DATA'!$J$17,"")</f>
        <v/>
      </c>
      <c r="BB96" s="518" t="str">
        <f>IF(AND(_C="B-767-200",'2024'!$F$4="CA",'2024'!$F$2=BB81),'2024DATA'!$K$17,"")</f>
        <v/>
      </c>
      <c r="BC96" s="518" t="str">
        <f>IF(AND(_C="B-767-200",'2024'!$F$4="CA",'2024'!$F$2=BC81),'2024DATA'!$L$17,"")</f>
        <v/>
      </c>
      <c r="BD96" s="518" t="str">
        <f>IF(AND(_C="B-767-200",'2024'!$F$4="CA",'2024'!$F$2=BD81),'2024DATA'!$M$17,"")</f>
        <v/>
      </c>
      <c r="BE96" s="520" t="str">
        <f>IF(AND(_C="B-767-200",'2024'!$F$4="CA",'2024'!$F$2=BE81),'2024DATA'!$N$17,"")</f>
        <v/>
      </c>
      <c r="BF96" s="940" t="s">
        <v>68</v>
      </c>
      <c r="BG96" s="13" t="s">
        <v>61</v>
      </c>
      <c r="BH96" s="518" t="str">
        <f>IF(AND(_D="B-767-200",'2024'!$F$4="CA",'2024'!$F$2=BH81),'2024DATA'!$C$17,"")</f>
        <v/>
      </c>
      <c r="BI96" s="518" t="str">
        <f>IF(AND(_D="B-767-200",'2024'!$F$4="CA",'2024'!$F$2=BI81),'2024DATA'!$D$17,"")</f>
        <v/>
      </c>
      <c r="BJ96" s="518" t="str">
        <f>IF(AND(_D="B-767-200",'2024'!$F$4="CA",'2024'!$F$2=BJ81),'2024DATA'!$E$17,"")</f>
        <v/>
      </c>
      <c r="BK96" s="518" t="str">
        <f>IF(AND(_D="B-767-200",'2024'!$F$4="CA",'2024'!$F$2=BK81),'2024DATA'!$F$17,"")</f>
        <v/>
      </c>
      <c r="BL96" s="518" t="str">
        <f>IF(AND(_D="B-767-200",'2024'!$F$4="CA",'2024'!$F$2=BL81),'2024DATA'!$G$17,"")</f>
        <v/>
      </c>
      <c r="BM96" s="518" t="str">
        <f>IF(AND(_D="B-767-200",'2024'!$F$4="CA",'2024'!$F$2=BM81),'2024DATA'!$H$17,"")</f>
        <v/>
      </c>
      <c r="BN96" s="518" t="str">
        <f>IF(AND(_D="B-767-200",'2024'!$F$4="CA",'2024'!$F$2=BN81),'2024DATA'!$I$17,"")</f>
        <v/>
      </c>
      <c r="BO96" s="518" t="str">
        <f>IF(AND(_D="B-767-200",'2024'!$F$4="CA",'2024'!$F$2=BO81),'2024DATA'!$J$17,"")</f>
        <v/>
      </c>
      <c r="BP96" s="518" t="str">
        <f>IF(AND(_D="B-767-200",'2024'!$F$4="CA",'2024'!$F$2=BP81),'2024DATA'!$K$17,"")</f>
        <v/>
      </c>
      <c r="BQ96" s="518" t="str">
        <f>IF(AND(_D="B-767-200",'2024'!$F$4="CA",'2024'!$F$2=BQ81),'2024DATA'!$L$17,"")</f>
        <v/>
      </c>
      <c r="BR96" s="518" t="str">
        <f>IF(AND(_D="B-767-200",'2024'!$F$4="CA",'2024'!$F$2=BR81),'2024DATA'!$M$17,"")</f>
        <v/>
      </c>
      <c r="BS96" s="520" t="str">
        <f>IF(AND(_D="B-767-200",'2024'!$F$4="CA",'2024'!$F$2=BS81),'2024DATA'!$N$17,"")</f>
        <v/>
      </c>
      <c r="BT96" s="940" t="s">
        <v>68</v>
      </c>
      <c r="BU96" s="13" t="s">
        <v>61</v>
      </c>
      <c r="BV96" s="518" t="str">
        <f>IF(AND(_E="B-767-200",'2024'!$F$4="CA",'2024'!$F$2=BV81),'2024DATA'!$C$17,"")</f>
        <v/>
      </c>
      <c r="BW96" s="518" t="str">
        <f>IF(AND(_E="B-767-200",'2024'!$F$4="CA",'2024'!$F$2=BW81),'2024DATA'!$D$17,"")</f>
        <v/>
      </c>
      <c r="BX96" s="518" t="str">
        <f>IF(AND(_E="B-767-200",'2024'!$F$4="CA",'2024'!$F$2=BX81),'2024DATA'!$E$17,"")</f>
        <v/>
      </c>
      <c r="BY96" s="518" t="str">
        <f>IF(AND(_E="B-767-200",'2024'!$F$4="CA",'2024'!$F$2=BY81),'2024DATA'!$F$17,"")</f>
        <v/>
      </c>
      <c r="BZ96" s="518" t="str">
        <f>IF(AND(_E="B-767-200",'2024'!$F$4="CA",'2024'!$F$2=BZ81),'2024DATA'!$G$17,"")</f>
        <v/>
      </c>
      <c r="CA96" s="518" t="str">
        <f>IF(AND(_E="B-767-200",'2024'!$F$4="CA",'2024'!$F$2=CA81),'2024DATA'!$H$17,"")</f>
        <v/>
      </c>
      <c r="CB96" s="518" t="str">
        <f>IF(AND(_E="B-767-200",'2024'!$F$4="CA",'2024'!$F$2=CB81),'2024DATA'!$I$17,"")</f>
        <v/>
      </c>
      <c r="CC96" s="518" t="str">
        <f>IF(AND(_E="B-767-200",'2024'!$F$4="CA",'2024'!$F$2=CC81),'2024DATA'!$J$17,"")</f>
        <v/>
      </c>
      <c r="CD96" s="518" t="str">
        <f>IF(AND(_E="B-767-200",'2024'!$F$4="CA",'2024'!$F$2=CD81),'2024DATA'!$K$17,"")</f>
        <v/>
      </c>
      <c r="CE96" s="518" t="str">
        <f>IF(AND(_E="B-767-200",'2024'!$F$4="CA",'2024'!$F$2=CE81),'2024DATA'!$L$17,"")</f>
        <v/>
      </c>
      <c r="CF96" s="518" t="str">
        <f>IF(AND(_E="B-767-200",'2024'!$F$4="CA",'2024'!$F$2=CF81),'2024DATA'!$M$17,"")</f>
        <v/>
      </c>
      <c r="CG96" s="520" t="str">
        <f>IF(AND(_E="B-767-200",'2024'!$F$4="CA",'2024'!$F$2=CG81),'2024DATA'!$N$17,"")</f>
        <v/>
      </c>
      <c r="CH96" s="940" t="s">
        <v>68</v>
      </c>
      <c r="CI96" s="13" t="s">
        <v>61</v>
      </c>
      <c r="CJ96" s="518" t="str">
        <f>IF(AND(_F="B-767-200",'2024'!$F$4="CA",'2024'!$F$2=CJ81),'2024DATA'!$C$17,"")</f>
        <v/>
      </c>
      <c r="CK96" s="518" t="str">
        <f>IF(AND(_F="B-767-200",'2024'!$F$4="CA",'2024'!$F$2=CK81),'2024DATA'!$D$17,"")</f>
        <v/>
      </c>
      <c r="CL96" s="518" t="str">
        <f>IF(AND(_F="B-767-200",'2024'!$F$4="CA",'2024'!$F$2=CL81),'2024DATA'!$E$17,"")</f>
        <v/>
      </c>
      <c r="CM96" s="518" t="str">
        <f>IF(AND(_F="B-767-200",'2024'!$F$4="CA",'2024'!$F$2=CM81),'2024DATA'!$F$17,"")</f>
        <v/>
      </c>
      <c r="CN96" s="518" t="str">
        <f>IF(AND(_F="B-767-200",'2024'!$F$4="CA",'2024'!$F$2=CN81),'2024DATA'!$G$17,"")</f>
        <v/>
      </c>
      <c r="CO96" s="518" t="str">
        <f>IF(AND(_F="B-767-200",'2024'!$F$4="CA",'2024'!$F$2=CO81),'2024DATA'!$H$17,"")</f>
        <v/>
      </c>
      <c r="CP96" s="518" t="str">
        <f>IF(AND(_F="B-767-200",'2024'!$F$4="CA",'2024'!$F$2=CP81),'2024DATA'!$I$17,"")</f>
        <v/>
      </c>
      <c r="CQ96" s="518" t="str">
        <f>IF(AND(_F="B-767-200",'2024'!$F$4="CA",'2024'!$F$2=CQ81),'2024DATA'!$J$17,"")</f>
        <v/>
      </c>
      <c r="CR96" s="518" t="str">
        <f>IF(AND(_F="B-767-200",'2024'!$F$4="CA",'2024'!$F$2=CR81),'2024DATA'!$K$17,"")</f>
        <v/>
      </c>
      <c r="CS96" s="518" t="str">
        <f>IF(AND(_F="B-767-200",'2024'!$F$4="CA",'2024'!$F$2=CS81),'2024DATA'!$L$17,"")</f>
        <v/>
      </c>
      <c r="CT96" s="518" t="str">
        <f>IF(AND(_F="B-767-200",'2024'!$F$4="CA",'2024'!$F$2=CT81),'2024DATA'!$M$17,"")</f>
        <v/>
      </c>
      <c r="CU96" s="520" t="str">
        <f>IF(AND(_F="B-767-200",'2024'!$F$4="CA",'2024'!$F$2=CU81),'2024DATA'!$N$17,"")</f>
        <v/>
      </c>
    </row>
    <row r="97" spans="16:99" x14ac:dyDescent="0.25">
      <c r="P97" s="940"/>
      <c r="Q97" s="13" t="s">
        <v>62</v>
      </c>
      <c r="R97" s="518" t="str">
        <f>IF(AND(_A="B-767-200",'2024'!$F$4="FO",'2024'!$F$2=R81),'2024DATA'!$C$18,"")</f>
        <v/>
      </c>
      <c r="S97" s="518" t="str">
        <f>IF(AND(_A="B-767-200",'2024'!$F$4="FO",'2024'!$F$2=S81),'2024DATA'!$D$18,"")</f>
        <v/>
      </c>
      <c r="T97" s="518" t="str">
        <f>IF(AND(_A="B-767-200",'2024'!$F$4="FO",'2024'!$F$2=T81),'2024DATA'!$E$18,"")</f>
        <v/>
      </c>
      <c r="U97" s="518" t="str">
        <f>IF(AND(_A="B-767-200",'2024'!$F$4="FO",'2024'!$F$2=U81),'2024DATA'!$F$18,"")</f>
        <v/>
      </c>
      <c r="V97" s="518" t="str">
        <f>IF(AND(_A="B-767-200",'2024'!$F$4="FO",'2024'!$F$2=V81),'2024DATA'!$G$18,"")</f>
        <v/>
      </c>
      <c r="W97" s="518" t="str">
        <f>IF(AND(_A="B-767-200",'2024'!$F$4="FO",'2024'!$F$2=W81),'2024DATA'!$H$18,"")</f>
        <v/>
      </c>
      <c r="X97" s="518" t="str">
        <f>IF(AND(_A="B-767-200",'2024'!$F$4="FO",'2024'!$F$2=X81),'2024DATA'!$I$18,"")</f>
        <v/>
      </c>
      <c r="Y97" s="518" t="str">
        <f>IF(AND(_A="B-767-200",'2024'!$F$4="FO",'2024'!$F$2=Y81),'2024DATA'!$J$18,"")</f>
        <v/>
      </c>
      <c r="Z97" s="518" t="str">
        <f>IF(AND(_A="B-767-200",'2024'!$F$4="FO",'2024'!$F$2=Z81),'2024DATA'!$K$18,"")</f>
        <v/>
      </c>
      <c r="AA97" s="518" t="str">
        <f>IF(AND(_A="B-767-200",'2024'!$F$4="FO",'2024'!$F$2=AA81),'2024DATA'!$L$18,"")</f>
        <v/>
      </c>
      <c r="AB97" s="518" t="str">
        <f>IF(AND(_A="B-767-200",'2024'!$F$4="FO",'2024'!$F$2=AB81),'2024DATA'!$M$18,"")</f>
        <v/>
      </c>
      <c r="AC97" s="520" t="str">
        <f>IF(AND(_A="B-767-200",'2024'!$F$4="FO",'2024'!$F$2=AC81),'2024DATA'!$N$18,"")</f>
        <v/>
      </c>
      <c r="AD97" s="940"/>
      <c r="AE97" s="13" t="s">
        <v>62</v>
      </c>
      <c r="AF97" s="518" t="str">
        <f>IF(AND(_B="B-767-200",'2024'!$F$4="FO",'2024'!$F$2=AF81),'2024DATA'!$C$18,"")</f>
        <v/>
      </c>
      <c r="AG97" s="518" t="str">
        <f>IF(AND(_B="B-767-200",'2024'!$F$4="FO",'2024'!$F$2=AG81),'2024DATA'!$D$18,"")</f>
        <v/>
      </c>
      <c r="AH97" s="518" t="str">
        <f>IF(AND(_B="B-767-200",'2024'!$F$4="FO",'2024'!$F$2=AH81),'2024DATA'!$E$18,"")</f>
        <v/>
      </c>
      <c r="AI97" s="518" t="str">
        <f>IF(AND(_B="B-767-200",'2024'!$F$4="FO",'2024'!$F$2=AI81),'2024DATA'!$F$18,"")</f>
        <v/>
      </c>
      <c r="AJ97" s="518" t="str">
        <f>IF(AND(_B="B-767-200",'2024'!$F$4="FO",'2024'!$F$2=AJ81),'2024DATA'!$G$18,"")</f>
        <v/>
      </c>
      <c r="AK97" s="518" t="str">
        <f>IF(AND(_B="B-767-200",'2024'!$F$4="FO",'2024'!$F$2=AK81),'2024DATA'!$H$18,"")</f>
        <v/>
      </c>
      <c r="AL97" s="518" t="str">
        <f>IF(AND(_B="B-767-200",'2024'!$F$4="FO",'2024'!$F$2=AL81),'2024DATA'!$I$18,"")</f>
        <v/>
      </c>
      <c r="AM97" s="518" t="str">
        <f>IF(AND(_B="B-767-200",'2024'!$F$4="FO",'2024'!$F$2=AM81),'2024DATA'!$J$18,"")</f>
        <v/>
      </c>
      <c r="AN97" s="518" t="str">
        <f>IF(AND(_B="B-767-200",'2024'!$F$4="FO",'2024'!$F$2=AN81),'2024DATA'!$K$18,"")</f>
        <v/>
      </c>
      <c r="AO97" s="518" t="str">
        <f>IF(AND(_B="B-767-200",'2024'!$F$4="FO",'2024'!$F$2=AO81),'2024DATA'!$L$18,"")</f>
        <v/>
      </c>
      <c r="AP97" s="518" t="str">
        <f>IF(AND(_B="B-767-200",'2024'!$F$4="FO",'2024'!$F$2=AP81),'2024DATA'!$M$18,"")</f>
        <v/>
      </c>
      <c r="AQ97" s="520" t="str">
        <f>IF(AND(_B="B-767-200",'2024'!$F$4="FO",'2024'!$F$2=AQ81),'2024DATA'!$N$18,"")</f>
        <v/>
      </c>
      <c r="AR97" s="940"/>
      <c r="AS97" s="13" t="s">
        <v>62</v>
      </c>
      <c r="AT97" s="518" t="str">
        <f>IF(AND(_C="B-767-200",'2024'!$F$4="FO",'2024'!$F$2=AT81),'2024DATA'!$C$18,"")</f>
        <v/>
      </c>
      <c r="AU97" s="518" t="str">
        <f>IF(AND(_C="B-767-200",'2024'!$F$4="FO",'2024'!$F$2=AU81),'2024DATA'!$D$18,"")</f>
        <v/>
      </c>
      <c r="AV97" s="518" t="str">
        <f>IF(AND(_C="B-767-200",'2024'!$F$4="FO",'2024'!$F$2=AV81),'2024DATA'!$E$18,"")</f>
        <v/>
      </c>
      <c r="AW97" s="518" t="str">
        <f>IF(AND(_C="B-767-200",'2024'!$F$4="FO",'2024'!$F$2=AW81),'2024DATA'!$F$18,"")</f>
        <v/>
      </c>
      <c r="AX97" s="518" t="str">
        <f>IF(AND(_C="B-767-200",'2024'!$F$4="FO",'2024'!$F$2=AX81),'2024DATA'!$G$18,"")</f>
        <v/>
      </c>
      <c r="AY97" s="518" t="str">
        <f>IF(AND(_C="B-767-200",'2024'!$F$4="FO",'2024'!$F$2=AY81),'2024DATA'!$H$18,"")</f>
        <v/>
      </c>
      <c r="AZ97" s="518" t="str">
        <f>IF(AND(_C="B-767-200",'2024'!$F$4="FO",'2024'!$F$2=AZ81),'2024DATA'!$I$18,"")</f>
        <v/>
      </c>
      <c r="BA97" s="518" t="str">
        <f>IF(AND(_C="B-767-200",'2024'!$F$4="FO",'2024'!$F$2=BA81),'2024DATA'!$J$18,"")</f>
        <v/>
      </c>
      <c r="BB97" s="518" t="str">
        <f>IF(AND(_C="B-767-200",'2024'!$F$4="FO",'2024'!$F$2=BB81),'2024DATA'!$K$18,"")</f>
        <v/>
      </c>
      <c r="BC97" s="518" t="str">
        <f>IF(AND(_C="B-767-200",'2024'!$F$4="FO",'2024'!$F$2=BC81),'2024DATA'!$L$18,"")</f>
        <v/>
      </c>
      <c r="BD97" s="518" t="str">
        <f>IF(AND(_C="B-767-200",'2024'!$F$4="FO",'2024'!$F$2=BD81),'2024DATA'!$M$18,"")</f>
        <v/>
      </c>
      <c r="BE97" s="520" t="str">
        <f>IF(AND(_C="B-767-200",'2024'!$F$4="FO",'2024'!$F$2=BE81),'2024DATA'!$N$18,"")</f>
        <v/>
      </c>
      <c r="BF97" s="940"/>
      <c r="BG97" s="13" t="s">
        <v>62</v>
      </c>
      <c r="BH97" s="518" t="str">
        <f>IF(AND(_D="B-767-200",'2024'!$F$4="FO",'2024'!$F$2=BH81),'2024DATA'!$C$18,"")</f>
        <v/>
      </c>
      <c r="BI97" s="518" t="str">
        <f>IF(AND(_D="B-767-200",'2024'!$F$4="FO",'2024'!$F$2=BI81),'2024DATA'!$D$18,"")</f>
        <v/>
      </c>
      <c r="BJ97" s="518" t="str">
        <f>IF(AND(_D="B-767-200",'2024'!$F$4="FO",'2024'!$F$2=BJ81),'2024DATA'!$E$18,"")</f>
        <v/>
      </c>
      <c r="BK97" s="518" t="str">
        <f>IF(AND(_D="B-767-200",'2024'!$F$4="FO",'2024'!$F$2=BK81),'2024DATA'!$F$18,"")</f>
        <v/>
      </c>
      <c r="BL97" s="518" t="str">
        <f>IF(AND(_D="B-767-200",'2024'!$F$4="FO",'2024'!$F$2=BL81),'2024DATA'!$G$18,"")</f>
        <v/>
      </c>
      <c r="BM97" s="518" t="str">
        <f>IF(AND(_D="B-767-200",'2024'!$F$4="FO",'2024'!$F$2=BM81),'2024DATA'!$H$18,"")</f>
        <v/>
      </c>
      <c r="BN97" s="518" t="str">
        <f>IF(AND(_D="B-767-200",'2024'!$F$4="FO",'2024'!$F$2=BN81),'2024DATA'!$I$18,"")</f>
        <v/>
      </c>
      <c r="BO97" s="518" t="str">
        <f>IF(AND(_D="B-767-200",'2024'!$F$4="FO",'2024'!$F$2=BO81),'2024DATA'!$J$18,"")</f>
        <v/>
      </c>
      <c r="BP97" s="518" t="str">
        <f>IF(AND(_D="B-767-200",'2024'!$F$4="FO",'2024'!$F$2=BP81),'2024DATA'!$K$18,"")</f>
        <v/>
      </c>
      <c r="BQ97" s="518" t="str">
        <f>IF(AND(_D="B-767-200",'2024'!$F$4="FO",'2024'!$F$2=BQ81),'2024DATA'!$L$18,"")</f>
        <v/>
      </c>
      <c r="BR97" s="518" t="str">
        <f>IF(AND(_D="B-767-200",'2024'!$F$4="FO",'2024'!$F$2=BR81),'2024DATA'!$M$18,"")</f>
        <v/>
      </c>
      <c r="BS97" s="520" t="str">
        <f>IF(AND(_D="B-767-200",'2024'!$F$4="FO",'2024'!$F$2=BS81),'2024DATA'!$N$18,"")</f>
        <v/>
      </c>
      <c r="BT97" s="940"/>
      <c r="BU97" s="13" t="s">
        <v>62</v>
      </c>
      <c r="BV97" s="518" t="str">
        <f>IF(AND(_E="B-767-200",'2024'!$F$4="FO",'2024'!$F$2=BV81),'2024DATA'!$C$18,"")</f>
        <v/>
      </c>
      <c r="BW97" s="518" t="str">
        <f>IF(AND(_E="B-767-200",'2024'!$F$4="FO",'2024'!$F$2=BW81),'2024DATA'!$D$18,"")</f>
        <v/>
      </c>
      <c r="BX97" s="518" t="str">
        <f>IF(AND(_E="B-767-200",'2024'!$F$4="FO",'2024'!$F$2=BX81),'2024DATA'!$E$18,"")</f>
        <v/>
      </c>
      <c r="BY97" s="518" t="str">
        <f>IF(AND(_E="B-767-200",'2024'!$F$4="FO",'2024'!$F$2=BY81),'2024DATA'!$F$18,"")</f>
        <v/>
      </c>
      <c r="BZ97" s="518" t="str">
        <f>IF(AND(_E="B-767-200",'2024'!$F$4="FO",'2024'!$F$2=BZ81),'2024DATA'!$G$18,"")</f>
        <v/>
      </c>
      <c r="CA97" s="518" t="str">
        <f>IF(AND(_E="B-767-200",'2024'!$F$4="FO",'2024'!$F$2=CA81),'2024DATA'!$H$18,"")</f>
        <v/>
      </c>
      <c r="CB97" s="518" t="str">
        <f>IF(AND(_E="B-767-200",'2024'!$F$4="FO",'2024'!$F$2=CB81),'2024DATA'!$I$18,"")</f>
        <v/>
      </c>
      <c r="CC97" s="518" t="str">
        <f>IF(AND(_E="B-767-200",'2024'!$F$4="FO",'2024'!$F$2=CC81),'2024DATA'!$J$18,"")</f>
        <v/>
      </c>
      <c r="CD97" s="518" t="str">
        <f>IF(AND(_E="B-767-200",'2024'!$F$4="FO",'2024'!$F$2=CD81),'2024DATA'!$K$18,"")</f>
        <v/>
      </c>
      <c r="CE97" s="518" t="str">
        <f>IF(AND(_E="B-767-200",'2024'!$F$4="FO",'2024'!$F$2=CE81),'2024DATA'!$L$18,"")</f>
        <v/>
      </c>
      <c r="CF97" s="518" t="str">
        <f>IF(AND(_E="B-767-200",'2024'!$F$4="FO",'2024'!$F$2=CF81),'2024DATA'!$M$18,"")</f>
        <v/>
      </c>
      <c r="CG97" s="520" t="str">
        <f>IF(AND(_E="B-767-200",'2024'!$F$4="FO",'2024'!$F$2=CG81),'2024DATA'!$N$18,"")</f>
        <v/>
      </c>
      <c r="CH97" s="940"/>
      <c r="CI97" s="13" t="s">
        <v>62</v>
      </c>
      <c r="CJ97" s="518" t="str">
        <f>IF(AND(_F="B-767-200",'2024'!$F$4="FO",'2024'!$F$2=CJ81),'2024DATA'!$C$18,"")</f>
        <v/>
      </c>
      <c r="CK97" s="518" t="str">
        <f>IF(AND(_F="B-767-200",'2024'!$F$4="FO",'2024'!$F$2=CK81),'2024DATA'!$D$18,"")</f>
        <v/>
      </c>
      <c r="CL97" s="518" t="str">
        <f>IF(AND(_F="B-767-200",'2024'!$F$4="FO",'2024'!$F$2=CL81),'2024DATA'!$E$18,"")</f>
        <v/>
      </c>
      <c r="CM97" s="518" t="str">
        <f>IF(AND(_F="B-767-200",'2024'!$F$4="FO",'2024'!$F$2=CM81),'2024DATA'!$F$18,"")</f>
        <v/>
      </c>
      <c r="CN97" s="518" t="str">
        <f>IF(AND(_F="B-767-200",'2024'!$F$4="FO",'2024'!$F$2=CN81),'2024DATA'!$G$18,"")</f>
        <v/>
      </c>
      <c r="CO97" s="518" t="str">
        <f>IF(AND(_F="B-767-200",'2024'!$F$4="FO",'2024'!$F$2=CO81),'2024DATA'!$H$18,"")</f>
        <v/>
      </c>
      <c r="CP97" s="518" t="str">
        <f>IF(AND(_F="B-767-200",'2024'!$F$4="FO",'2024'!$F$2=CP81),'2024DATA'!$I$18,"")</f>
        <v/>
      </c>
      <c r="CQ97" s="518" t="str">
        <f>IF(AND(_F="B-767-200",'2024'!$F$4="FO",'2024'!$F$2=CQ81),'2024DATA'!$J$18,"")</f>
        <v/>
      </c>
      <c r="CR97" s="518" t="str">
        <f>IF(AND(_F="B-767-200",'2024'!$F$4="FO",'2024'!$F$2=CR81),'2024DATA'!$K$18,"")</f>
        <v/>
      </c>
      <c r="CS97" s="518" t="str">
        <f>IF(AND(_F="B-767-200",'2024'!$F$4="FO",'2024'!$F$2=CS81),'2024DATA'!$L$18,"")</f>
        <v/>
      </c>
      <c r="CT97" s="518" t="str">
        <f>IF(AND(_F="B-767-200",'2024'!$F$4="FO",'2024'!$F$2=CT81),'2024DATA'!$M$18,"")</f>
        <v/>
      </c>
      <c r="CU97" s="520" t="str">
        <f>IF(AND(_F="B-767-200",'2024'!$F$4="FO",'2024'!$F$2=CU81),'2024DATA'!$N$18,"")</f>
        <v/>
      </c>
    </row>
    <row r="98" spans="16:99" x14ac:dyDescent="0.25">
      <c r="P98" s="940" t="s">
        <v>45</v>
      </c>
      <c r="Q98" s="13" t="s">
        <v>61</v>
      </c>
      <c r="R98" s="518" t="str">
        <f>IF(AND(_A="B-757",'2024'!$F$4="CA",'2024'!$F$2=R81),'2024DATA'!$C$19,"")</f>
        <v/>
      </c>
      <c r="S98" s="518" t="str">
        <f>IF(AND(_A="B-757",'2024'!$F$4="CA",'2024'!$F$2=S81),'2024DATA'!$D$19,"")</f>
        <v/>
      </c>
      <c r="T98" s="518" t="str">
        <f>IF(AND(_A="B-757",'2024'!$F$4="CA",'2024'!$F$2=T81),'2024DATA'!$E$19,"")</f>
        <v/>
      </c>
      <c r="U98" s="518" t="str">
        <f>IF(AND(_A="B-757",'2024'!$F$4="CA",'2024'!$F$2=U81),'2024DATA'!$F$19,"")</f>
        <v/>
      </c>
      <c r="V98" s="518" t="str">
        <f>IF(AND(_A="B-757",'2024'!$F$4="CA",'2024'!$F$2=V81),'2024DATA'!$G$19,"")</f>
        <v/>
      </c>
      <c r="W98" s="518" t="str">
        <f>IF(AND(_A="B-757",'2024'!$F$4="CA",'2024'!$F$2=W81),'2024DATA'!$H$19,"")</f>
        <v/>
      </c>
      <c r="X98" s="518" t="str">
        <f>IF(AND(_A="B-757",'2024'!$F$4="CA",'2024'!$F$2=X81),'2024DATA'!$I$19,"")</f>
        <v/>
      </c>
      <c r="Y98" s="518" t="str">
        <f>IF(AND(_A="B-757",'2024'!$F$4="CA",'2024'!$F$2=Y81),'2024DATA'!$J$19,"")</f>
        <v/>
      </c>
      <c r="Z98" s="518" t="str">
        <f>IF(AND(_A="B-757",'2024'!$F$4="CA",'2024'!$F$2=Z81),'2024DATA'!$K$19,"")</f>
        <v/>
      </c>
      <c r="AA98" s="518" t="str">
        <f>IF(AND(_A="B-757",'2024'!$F$4="CA",'2024'!$F$2=AA81),'2024DATA'!$L$19,"")</f>
        <v/>
      </c>
      <c r="AB98" s="518" t="str">
        <f>IF(AND(_A="B-757",'2024'!$F$4="CA",'2024'!$F$2=AB81),'2024DATA'!$M$19,"")</f>
        <v/>
      </c>
      <c r="AC98" s="520" t="str">
        <f>IF(AND(_A="B-757",'2024'!$F$4="CA",'2024'!$F$2=AC81),'2024DATA'!$N$19,"")</f>
        <v/>
      </c>
      <c r="AD98" s="940" t="s">
        <v>45</v>
      </c>
      <c r="AE98" s="13" t="s">
        <v>61</v>
      </c>
      <c r="AF98" s="518" t="str">
        <f>IF(AND(_B="B-757",'2024'!$F$4="CA",'2024'!$F$2=AF81),'2024DATA'!$C$19,"")</f>
        <v/>
      </c>
      <c r="AG98" s="518" t="str">
        <f>IF(AND(_B="B-757",'2024'!$F$4="CA",'2024'!$F$2=AG81),'2024DATA'!$D$19,"")</f>
        <v/>
      </c>
      <c r="AH98" s="518" t="str">
        <f>IF(AND(_B="B-757",'2024'!$F$4="CA",'2024'!$F$2=AH81),'2024DATA'!$E$19,"")</f>
        <v/>
      </c>
      <c r="AI98" s="518" t="str">
        <f>IF(AND(_B="B-757",'2024'!$F$4="CA",'2024'!$F$2=AI81),'2024DATA'!$F$19,"")</f>
        <v/>
      </c>
      <c r="AJ98" s="518" t="str">
        <f>IF(AND(_B="B-757",'2024'!$F$4="CA",'2024'!$F$2=AJ81),'2024DATA'!$G$19,"")</f>
        <v/>
      </c>
      <c r="AK98" s="518" t="str">
        <f>IF(AND(_B="B-757",'2024'!$F$4="CA",'2024'!$F$2=AK81),'2024DATA'!$H$19,"")</f>
        <v/>
      </c>
      <c r="AL98" s="518" t="str">
        <f>IF(AND(_B="B-757",'2024'!$F$4="CA",'2024'!$F$2=AL81),'2024DATA'!$I$19,"")</f>
        <v/>
      </c>
      <c r="AM98" s="518" t="str">
        <f>IF(AND(_B="B-757",'2024'!$F$4="CA",'2024'!$F$2=AM81),'2024DATA'!$J$19,"")</f>
        <v/>
      </c>
      <c r="AN98" s="518" t="str">
        <f>IF(AND(_B="B-757",'2024'!$F$4="CA",'2024'!$F$2=AN81),'2024DATA'!$K$19,"")</f>
        <v/>
      </c>
      <c r="AO98" s="518" t="str">
        <f>IF(AND(_B="B-757",'2024'!$F$4="CA",'2024'!$F$2=AO81),'2024DATA'!$L$19,"")</f>
        <v/>
      </c>
      <c r="AP98" s="518" t="str">
        <f>IF(AND(_B="B-757",'2024'!$F$4="CA",'2024'!$F$2=AP81),'2024DATA'!$M$19,"")</f>
        <v/>
      </c>
      <c r="AQ98" s="520" t="str">
        <f>IF(AND(_B="B-757",'2024'!$F$4="CA",'2024'!$F$2=AQ81),'2024DATA'!$N$19,"")</f>
        <v/>
      </c>
      <c r="AR98" s="940" t="s">
        <v>45</v>
      </c>
      <c r="AS98" s="13" t="s">
        <v>61</v>
      </c>
      <c r="AT98" s="518" t="str">
        <f>IF(AND(_C="B-757",'2024'!$F$4="CA",'2024'!$F$2=AT81),'2024DATA'!$C$19,"")</f>
        <v/>
      </c>
      <c r="AU98" s="518" t="str">
        <f>IF(AND(_C="B-757",'2024'!$F$4="CA",'2024'!$F$2=AU81),'2024DATA'!$D$19,"")</f>
        <v/>
      </c>
      <c r="AV98" s="518" t="str">
        <f>IF(AND(_C="B-757",'2024'!$F$4="CA",'2024'!$F$2=AV81),'2024DATA'!$E$19,"")</f>
        <v/>
      </c>
      <c r="AW98" s="518" t="str">
        <f>IF(AND(_C="B-757",'2024'!$F$4="CA",'2024'!$F$2=AW81),'2024DATA'!$F$19,"")</f>
        <v/>
      </c>
      <c r="AX98" s="518" t="str">
        <f>IF(AND(_C="B-757",'2024'!$F$4="CA",'2024'!$F$2=AX81),'2024DATA'!$G$19,"")</f>
        <v/>
      </c>
      <c r="AY98" s="518" t="str">
        <f>IF(AND(_C="B-757",'2024'!$F$4="CA",'2024'!$F$2=AY81),'2024DATA'!$H$19,"")</f>
        <v/>
      </c>
      <c r="AZ98" s="518" t="str">
        <f>IF(AND(_C="B-757",'2024'!$F$4="CA",'2024'!$F$2=AZ81),'2024DATA'!$I$19,"")</f>
        <v/>
      </c>
      <c r="BA98" s="518" t="str">
        <f>IF(AND(_C="B-757",'2024'!$F$4="CA",'2024'!$F$2=BA81),'2024DATA'!$J$19,"")</f>
        <v/>
      </c>
      <c r="BB98" s="518" t="str">
        <f>IF(AND(_C="B-757",'2024'!$F$4="CA",'2024'!$F$2=BB81),'2024DATA'!$K$19,"")</f>
        <v/>
      </c>
      <c r="BC98" s="518" t="str">
        <f>IF(AND(_C="B-757",'2024'!$F$4="CA",'2024'!$F$2=BC81),'2024DATA'!$L$19,"")</f>
        <v/>
      </c>
      <c r="BD98" s="518" t="str">
        <f>IF(AND(_C="B-757",'2024'!$F$4="CA",'2024'!$F$2=BD81),'2024DATA'!$M$19,"")</f>
        <v/>
      </c>
      <c r="BE98" s="520" t="str">
        <f>IF(AND(_C="B-757",'2024'!$F$4="CA",'2024'!$F$2=BE81),'2024DATA'!$N$19,"")</f>
        <v/>
      </c>
      <c r="BF98" s="940" t="s">
        <v>45</v>
      </c>
      <c r="BG98" s="13" t="s">
        <v>61</v>
      </c>
      <c r="BH98" s="518" t="str">
        <f>IF(AND(_D="B-757",'2024'!$F$4="CA",'2024'!$F$2=BH81),'2024DATA'!$C$19,"")</f>
        <v/>
      </c>
      <c r="BI98" s="518" t="str">
        <f>IF(AND(_D="B-757",'2024'!$F$4="CA",'2024'!$F$2=BI81),'2024DATA'!$D$19,"")</f>
        <v/>
      </c>
      <c r="BJ98" s="518" t="str">
        <f>IF(AND(_D="B-757",'2024'!$F$4="CA",'2024'!$F$2=BJ81),'2024DATA'!$E$19,"")</f>
        <v/>
      </c>
      <c r="BK98" s="518" t="str">
        <f>IF(AND(_D="B-757",'2024'!$F$4="CA",'2024'!$F$2=BK81),'2024DATA'!$F$19,"")</f>
        <v/>
      </c>
      <c r="BL98" s="518" t="str">
        <f>IF(AND(_D="B-757",'2024'!$F$4="CA",'2024'!$F$2=BL81),'2024DATA'!$G$19,"")</f>
        <v/>
      </c>
      <c r="BM98" s="518" t="str">
        <f>IF(AND(_D="B-757",'2024'!$F$4="CA",'2024'!$F$2=BM81),'2024DATA'!$H$19,"")</f>
        <v/>
      </c>
      <c r="BN98" s="518" t="str">
        <f>IF(AND(_D="B-757",'2024'!$F$4="CA",'2024'!$F$2=BN81),'2024DATA'!$I$19,"")</f>
        <v/>
      </c>
      <c r="BO98" s="518" t="str">
        <f>IF(AND(_D="B-757",'2024'!$F$4="CA",'2024'!$F$2=BO81),'2024DATA'!$J$19,"")</f>
        <v/>
      </c>
      <c r="BP98" s="518" t="str">
        <f>IF(AND(_D="B-757",'2024'!$F$4="CA",'2024'!$F$2=BP81),'2024DATA'!$K$19,"")</f>
        <v/>
      </c>
      <c r="BQ98" s="518" t="str">
        <f>IF(AND(_D="B-757",'2024'!$F$4="CA",'2024'!$F$2=BQ81),'2024DATA'!$L$19,"")</f>
        <v/>
      </c>
      <c r="BR98" s="518" t="str">
        <f>IF(AND(_D="B-757",'2024'!$F$4="CA",'2024'!$F$2=BR81),'2024DATA'!$M$19,"")</f>
        <v/>
      </c>
      <c r="BS98" s="520" t="str">
        <f>IF(AND(_D="B-757",'2024'!$F$4="CA",'2024'!$F$2=BS81),'2024DATA'!$N$19,"")</f>
        <v/>
      </c>
      <c r="BT98" s="940" t="s">
        <v>45</v>
      </c>
      <c r="BU98" s="13" t="s">
        <v>61</v>
      </c>
      <c r="BV98" s="518" t="str">
        <f>IF(AND(_E="B-757",'2024'!$F$4="CA",'2024'!$F$2=BV81),'2024DATA'!$C$19,"")</f>
        <v/>
      </c>
      <c r="BW98" s="518" t="str">
        <f>IF(AND(_E="B-757",'2024'!$F$4="CA",'2024'!$F$2=BW81),'2024DATA'!$D$19,"")</f>
        <v/>
      </c>
      <c r="BX98" s="518" t="str">
        <f>IF(AND(_E="B-757",'2024'!$F$4="CA",'2024'!$F$2=BX81),'2024DATA'!$E$19,"")</f>
        <v/>
      </c>
      <c r="BY98" s="518" t="str">
        <f>IF(AND(_E="B-757",'2024'!$F$4="CA",'2024'!$F$2=BY81),'2024DATA'!$F$19,"")</f>
        <v/>
      </c>
      <c r="BZ98" s="518" t="str">
        <f>IF(AND(_E="B-757",'2024'!$F$4="CA",'2024'!$F$2=BZ81),'2024DATA'!$G$19,"")</f>
        <v/>
      </c>
      <c r="CA98" s="518" t="str">
        <f>IF(AND(_E="B-757",'2024'!$F$4="CA",'2024'!$F$2=CA81),'2024DATA'!$H$19,"")</f>
        <v/>
      </c>
      <c r="CB98" s="518" t="str">
        <f>IF(AND(_E="B-757",'2024'!$F$4="CA",'2024'!$F$2=CB81),'2024DATA'!$I$19,"")</f>
        <v/>
      </c>
      <c r="CC98" s="518" t="str">
        <f>IF(AND(_E="B-757",'2024'!$F$4="CA",'2024'!$F$2=CC81),'2024DATA'!$J$19,"")</f>
        <v/>
      </c>
      <c r="CD98" s="518" t="str">
        <f>IF(AND(_E="B-757",'2024'!$F$4="CA",'2024'!$F$2=CD81),'2024DATA'!$K$19,"")</f>
        <v/>
      </c>
      <c r="CE98" s="518" t="str">
        <f>IF(AND(_E="B-757",'2024'!$F$4="CA",'2024'!$F$2=CE81),'2024DATA'!$L$19,"")</f>
        <v/>
      </c>
      <c r="CF98" s="518" t="str">
        <f>IF(AND(_E="B-757",'2024'!$F$4="CA",'2024'!$F$2=CF81),'2024DATA'!$M$19,"")</f>
        <v/>
      </c>
      <c r="CG98" s="520" t="str">
        <f>IF(AND(_E="B-757",'2024'!$F$4="CA",'2024'!$F$2=CG81),'2024DATA'!$N$19,"")</f>
        <v/>
      </c>
      <c r="CH98" s="940" t="s">
        <v>45</v>
      </c>
      <c r="CI98" s="13" t="s">
        <v>61</v>
      </c>
      <c r="CJ98" s="518" t="str">
        <f>IF(AND(_F="B-757",'2024'!$F$4="CA",'2024'!$F$2=CJ81),'2024DATA'!$C$19,"")</f>
        <v/>
      </c>
      <c r="CK98" s="518" t="str">
        <f>IF(AND(_F="B-757",'2024'!$F$4="CA",'2024'!$F$2=CK81),'2024DATA'!$D$19,"")</f>
        <v/>
      </c>
      <c r="CL98" s="518" t="str">
        <f>IF(AND(_F="B-757",'2024'!$F$4="CA",'2024'!$F$2=CL81),'2024DATA'!$E$19,"")</f>
        <v/>
      </c>
      <c r="CM98" s="518" t="str">
        <f>IF(AND(_F="B-757",'2024'!$F$4="CA",'2024'!$F$2=CM81),'2024DATA'!$F$19,"")</f>
        <v/>
      </c>
      <c r="CN98" s="518" t="str">
        <f>IF(AND(_F="B-757",'2024'!$F$4="CA",'2024'!$F$2=CN81),'2024DATA'!$G$19,"")</f>
        <v/>
      </c>
      <c r="CO98" s="518" t="str">
        <f>IF(AND(_F="B-757",'2024'!$F$4="CA",'2024'!$F$2=CO81),'2024DATA'!$H$19,"")</f>
        <v/>
      </c>
      <c r="CP98" s="518" t="str">
        <f>IF(AND(_F="B-757",'2024'!$F$4="CA",'2024'!$F$2=CP81),'2024DATA'!$I$19,"")</f>
        <v/>
      </c>
      <c r="CQ98" s="518" t="str">
        <f>IF(AND(_F="B-757",'2024'!$F$4="CA",'2024'!$F$2=CQ81),'2024DATA'!$J$19,"")</f>
        <v/>
      </c>
      <c r="CR98" s="518" t="str">
        <f>IF(AND(_F="B-757",'2024'!$F$4="CA",'2024'!$F$2=CR81),'2024DATA'!$K$19,"")</f>
        <v/>
      </c>
      <c r="CS98" s="518" t="str">
        <f>IF(AND(_F="B-757",'2024'!$F$4="CA",'2024'!$F$2=CS81),'2024DATA'!$L$19,"")</f>
        <v/>
      </c>
      <c r="CT98" s="518" t="str">
        <f>IF(AND(_F="B-757",'2024'!$F$4="CA",'2024'!$F$2=CT81),'2024DATA'!$M$19,"")</f>
        <v/>
      </c>
      <c r="CU98" s="520" t="str">
        <f>IF(AND(_F="B-757",'2024'!$F$4="CA",'2024'!$F$2=CU81),'2024DATA'!$N$19,"")</f>
        <v/>
      </c>
    </row>
    <row r="99" spans="16:99" x14ac:dyDescent="0.25">
      <c r="P99" s="940"/>
      <c r="Q99" s="13" t="s">
        <v>62</v>
      </c>
      <c r="R99" s="518" t="str">
        <f>IF(AND(_A="B-757",'2024'!$F$4="FO",'2024'!$F$2=R81),'2024DATA'!$C$20,"")</f>
        <v/>
      </c>
      <c r="S99" s="518" t="str">
        <f>IF(AND(_A="B-757",'2024'!$F$4="FO",'2024'!$F$2=S81),'2024DATA'!$D$20,"")</f>
        <v/>
      </c>
      <c r="T99" s="518" t="str">
        <f>IF(AND(_A="B-757",'2024'!$F$4="FO",'2024'!$F$2=T81),'2024DATA'!$E$20,"")</f>
        <v/>
      </c>
      <c r="U99" s="518" t="str">
        <f>IF(AND(_A="B-757",'2024'!$F$4="FO",'2024'!$F$2=U81),'2024DATA'!$F$20,"")</f>
        <v/>
      </c>
      <c r="V99" s="518" t="str">
        <f>IF(AND(_A="B-757",'2024'!$F$4="FO",'2024'!$F$2=V81),'2024DATA'!$G$20,"")</f>
        <v/>
      </c>
      <c r="W99" s="518" t="str">
        <f>IF(AND(_A="B-757",'2024'!$F$4="FO",'2024'!$F$2=W81),'2024DATA'!$H$20,"")</f>
        <v/>
      </c>
      <c r="X99" s="518" t="str">
        <f>IF(AND(_A="B-757",'2024'!$F$4="FO",'2024'!$F$2=X81),'2024DATA'!$I$20,"")</f>
        <v/>
      </c>
      <c r="Y99" s="518" t="str">
        <f>IF(AND(_A="B-757",'2024'!$F$4="FO",'2024'!$F$2=Y81),'2024DATA'!$J$20,"")</f>
        <v/>
      </c>
      <c r="Z99" s="518" t="str">
        <f>IF(AND(_A="B-757",'2024'!$F$4="FO",'2024'!$F$2=Z81),'2024DATA'!$K$20,"")</f>
        <v/>
      </c>
      <c r="AA99" s="518" t="str">
        <f>IF(AND(_A="B-757",'2024'!$F$4="FO",'2024'!$F$2=AA81),'2024DATA'!$L$20,"")</f>
        <v/>
      </c>
      <c r="AB99" s="518" t="str">
        <f>IF(AND(_A="B-757",'2024'!$F$4="FO",'2024'!$F$2=AB81),'2024DATA'!$M$20,"")</f>
        <v/>
      </c>
      <c r="AC99" s="520" t="str">
        <f>IF(AND(_A="B-757",'2024'!$F$4="FO",'2024'!$F$2=AC81),'2024DATA'!$N$20,"")</f>
        <v/>
      </c>
      <c r="AD99" s="940"/>
      <c r="AE99" s="13" t="s">
        <v>62</v>
      </c>
      <c r="AF99" s="518" t="str">
        <f>IF(AND(_B="B-757",'2024'!$F$4="FO",'2024'!$F$2=AF81),'2024DATA'!$C$20,"")</f>
        <v/>
      </c>
      <c r="AG99" s="518" t="str">
        <f>IF(AND(_B="B-757",'2024'!$F$4="FO",'2024'!$F$2=AG81),'2024DATA'!$D$20,"")</f>
        <v/>
      </c>
      <c r="AH99" s="518" t="str">
        <f>IF(AND(_B="B-757",'2024'!$F$4="FO",'2024'!$F$2=AH81),'2024DATA'!$E$20,"")</f>
        <v/>
      </c>
      <c r="AI99" s="518" t="str">
        <f>IF(AND(_B="B-757",'2024'!$F$4="FO",'2024'!$F$2=AI81),'2024DATA'!$F$20,"")</f>
        <v/>
      </c>
      <c r="AJ99" s="518" t="str">
        <f>IF(AND(_B="B-757",'2024'!$F$4="FO",'2024'!$F$2=AJ81),'2024DATA'!$G$20,"")</f>
        <v/>
      </c>
      <c r="AK99" s="518" t="str">
        <f>IF(AND(_B="B-757",'2024'!$F$4="FO",'2024'!$F$2=AK81),'2024DATA'!$H$20,"")</f>
        <v/>
      </c>
      <c r="AL99" s="518" t="str">
        <f>IF(AND(_B="B-757",'2024'!$F$4="FO",'2024'!$F$2=AL81),'2024DATA'!$I$20,"")</f>
        <v/>
      </c>
      <c r="AM99" s="518" t="str">
        <f>IF(AND(_B="B-757",'2024'!$F$4="FO",'2024'!$F$2=AM81),'2024DATA'!$J$20,"")</f>
        <v/>
      </c>
      <c r="AN99" s="518" t="str">
        <f>IF(AND(_B="B-757",'2024'!$F$4="FO",'2024'!$F$2=AN81),'2024DATA'!$K$20,"")</f>
        <v/>
      </c>
      <c r="AO99" s="518" t="str">
        <f>IF(AND(_B="B-757",'2024'!$F$4="FO",'2024'!$F$2=AO81),'2024DATA'!$L$20,"")</f>
        <v/>
      </c>
      <c r="AP99" s="518" t="str">
        <f>IF(AND(_B="B-757",'2024'!$F$4="FO",'2024'!$F$2=AP81),'2024DATA'!$M$20,"")</f>
        <v/>
      </c>
      <c r="AQ99" s="520" t="str">
        <f>IF(AND(_B="B-757",'2024'!$F$4="FO",'2024'!$F$2=AQ81),'2024DATA'!$N$20,"")</f>
        <v/>
      </c>
      <c r="AR99" s="940"/>
      <c r="AS99" s="13" t="s">
        <v>62</v>
      </c>
      <c r="AT99" s="518" t="str">
        <f>IF(AND(_C="B-757",'2024'!$F$4="FO",'2024'!$F$2=AT81),'2024DATA'!$C$20,"")</f>
        <v/>
      </c>
      <c r="AU99" s="518" t="str">
        <f>IF(AND(_C="B-757",'2024'!$F$4="FO",'2024'!$F$2=AU81),'2024DATA'!$D$20,"")</f>
        <v/>
      </c>
      <c r="AV99" s="518" t="str">
        <f>IF(AND(_C="B-757",'2024'!$F$4="FO",'2024'!$F$2=AV81),'2024DATA'!$E$20,"")</f>
        <v/>
      </c>
      <c r="AW99" s="518" t="str">
        <f>IF(AND(_C="B-757",'2024'!$F$4="FO",'2024'!$F$2=AW81),'2024DATA'!$F$20,"")</f>
        <v/>
      </c>
      <c r="AX99" s="518" t="str">
        <f>IF(AND(_C="B-757",'2024'!$F$4="FO",'2024'!$F$2=AX81),'2024DATA'!$G$20,"")</f>
        <v/>
      </c>
      <c r="AY99" s="518" t="str">
        <f>IF(AND(_C="B-757",'2024'!$F$4="FO",'2024'!$F$2=AY81),'2024DATA'!$H$20,"")</f>
        <v/>
      </c>
      <c r="AZ99" s="518" t="str">
        <f>IF(AND(_C="B-757",'2024'!$F$4="FO",'2024'!$F$2=AZ81),'2024DATA'!$I$20,"")</f>
        <v/>
      </c>
      <c r="BA99" s="518" t="str">
        <f>IF(AND(_C="B-757",'2024'!$F$4="FO",'2024'!$F$2=BA81),'2024DATA'!$J$20,"")</f>
        <v/>
      </c>
      <c r="BB99" s="518" t="str">
        <f>IF(AND(_C="B-757",'2024'!$F$4="FO",'2024'!$F$2=BB81),'2024DATA'!$K$20,"")</f>
        <v/>
      </c>
      <c r="BC99" s="518" t="str">
        <f>IF(AND(_C="B-757",'2024'!$F$4="FO",'2024'!$F$2=BC81),'2024DATA'!$L$20,"")</f>
        <v/>
      </c>
      <c r="BD99" s="518" t="str">
        <f>IF(AND(_C="B-757",'2024'!$F$4="FO",'2024'!$F$2=BD81),'2024DATA'!$M$20,"")</f>
        <v/>
      </c>
      <c r="BE99" s="520" t="str">
        <f>IF(AND(_C="B-757",'2024'!$F$4="FO",'2024'!$F$2=BE81),'2024DATA'!$N$20,"")</f>
        <v/>
      </c>
      <c r="BF99" s="940"/>
      <c r="BG99" s="13" t="s">
        <v>62</v>
      </c>
      <c r="BH99" s="518" t="str">
        <f>IF(AND(_D="B-757",'2024'!$F$4="FO",'2024'!$F$2=BH81),'2024DATA'!$C$20,"")</f>
        <v/>
      </c>
      <c r="BI99" s="518" t="str">
        <f>IF(AND(_D="B-757",'2024'!$F$4="FO",'2024'!$F$2=BI81),'2024DATA'!$D$20,"")</f>
        <v/>
      </c>
      <c r="BJ99" s="518" t="str">
        <f>IF(AND(_D="B-757",'2024'!$F$4="FO",'2024'!$F$2=BJ81),'2024DATA'!$E$20,"")</f>
        <v/>
      </c>
      <c r="BK99" s="518" t="str">
        <f>IF(AND(_D="B-757",'2024'!$F$4="FO",'2024'!$F$2=BK81),'2024DATA'!$F$20,"")</f>
        <v/>
      </c>
      <c r="BL99" s="518" t="str">
        <f>IF(AND(_D="B-757",'2024'!$F$4="FO",'2024'!$F$2=BL81),'2024DATA'!$G$20,"")</f>
        <v/>
      </c>
      <c r="BM99" s="518" t="str">
        <f>IF(AND(_D="B-757",'2024'!$F$4="FO",'2024'!$F$2=BM81),'2024DATA'!$H$20,"")</f>
        <v/>
      </c>
      <c r="BN99" s="518" t="str">
        <f>IF(AND(_D="B-757",'2024'!$F$4="FO",'2024'!$F$2=BN81),'2024DATA'!$I$20,"")</f>
        <v/>
      </c>
      <c r="BO99" s="518" t="str">
        <f>IF(AND(_D="B-757",'2024'!$F$4="FO",'2024'!$F$2=BO81),'2024DATA'!$J$20,"")</f>
        <v/>
      </c>
      <c r="BP99" s="518" t="str">
        <f>IF(AND(_D="B-757",'2024'!$F$4="FO",'2024'!$F$2=BP81),'2024DATA'!$K$20,"")</f>
        <v/>
      </c>
      <c r="BQ99" s="518" t="str">
        <f>IF(AND(_D="B-757",'2024'!$F$4="FO",'2024'!$F$2=BQ81),'2024DATA'!$L$20,"")</f>
        <v/>
      </c>
      <c r="BR99" s="518" t="str">
        <f>IF(AND(_D="B-757",'2024'!$F$4="FO",'2024'!$F$2=BR81),'2024DATA'!$M$20,"")</f>
        <v/>
      </c>
      <c r="BS99" s="520" t="str">
        <f>IF(AND(_D="B-757",'2024'!$F$4="FO",'2024'!$F$2=BS81),'2024DATA'!$N$20,"")</f>
        <v/>
      </c>
      <c r="BT99" s="940"/>
      <c r="BU99" s="13" t="s">
        <v>62</v>
      </c>
      <c r="BV99" s="518" t="str">
        <f>IF(AND(_E="B-757",'2024'!$F$4="FO",'2024'!$F$2=BV81),'2024DATA'!$C$20,"")</f>
        <v/>
      </c>
      <c r="BW99" s="518" t="str">
        <f>IF(AND(_E="B-757",'2024'!$F$4="FO",'2024'!$F$2=BW81),'2024DATA'!$D$20,"")</f>
        <v/>
      </c>
      <c r="BX99" s="518" t="str">
        <f>IF(AND(_E="B-757",'2024'!$F$4="FO",'2024'!$F$2=BX81),'2024DATA'!$E$20,"")</f>
        <v/>
      </c>
      <c r="BY99" s="518" t="str">
        <f>IF(AND(_E="B-757",'2024'!$F$4="FO",'2024'!$F$2=BY81),'2024DATA'!$F$20,"")</f>
        <v/>
      </c>
      <c r="BZ99" s="518" t="str">
        <f>IF(AND(_E="B-757",'2024'!$F$4="FO",'2024'!$F$2=BZ81),'2024DATA'!$G$20,"")</f>
        <v/>
      </c>
      <c r="CA99" s="518" t="str">
        <f>IF(AND(_E="B-757",'2024'!$F$4="FO",'2024'!$F$2=CA81),'2024DATA'!$H$20,"")</f>
        <v/>
      </c>
      <c r="CB99" s="518" t="str">
        <f>IF(AND(_E="B-757",'2024'!$F$4="FO",'2024'!$F$2=CB81),'2024DATA'!$I$20,"")</f>
        <v/>
      </c>
      <c r="CC99" s="518" t="str">
        <f>IF(AND(_E="B-757",'2024'!$F$4="FO",'2024'!$F$2=CC81),'2024DATA'!$J$20,"")</f>
        <v/>
      </c>
      <c r="CD99" s="518" t="str">
        <f>IF(AND(_E="B-757",'2024'!$F$4="FO",'2024'!$F$2=CD81),'2024DATA'!$K$20,"")</f>
        <v/>
      </c>
      <c r="CE99" s="518" t="str">
        <f>IF(AND(_E="B-757",'2024'!$F$4="FO",'2024'!$F$2=CE81),'2024DATA'!$L$20,"")</f>
        <v/>
      </c>
      <c r="CF99" s="518" t="str">
        <f>IF(AND(_E="B-757",'2024'!$F$4="FO",'2024'!$F$2=CF81),'2024DATA'!$M$20,"")</f>
        <v/>
      </c>
      <c r="CG99" s="520" t="str">
        <f>IF(AND(_E="B-757",'2024'!$F$4="FO",'2024'!$F$2=CG81),'2024DATA'!$N$20,"")</f>
        <v/>
      </c>
      <c r="CH99" s="940"/>
      <c r="CI99" s="13" t="s">
        <v>62</v>
      </c>
      <c r="CJ99" s="518" t="str">
        <f>IF(AND(_F="B-757",'2024'!$F$4="FO",'2024'!$F$2=CJ81),'2024DATA'!$C$20,"")</f>
        <v/>
      </c>
      <c r="CK99" s="518" t="str">
        <f>IF(AND(_F="B-757",'2024'!$F$4="FO",'2024'!$F$2=CK81),'2024DATA'!$D$20,"")</f>
        <v/>
      </c>
      <c r="CL99" s="518" t="str">
        <f>IF(AND(_F="B-757",'2024'!$F$4="FO",'2024'!$F$2=CL81),'2024DATA'!$E$20,"")</f>
        <v/>
      </c>
      <c r="CM99" s="518" t="str">
        <f>IF(AND(_F="B-757",'2024'!$F$4="FO",'2024'!$F$2=CM81),'2024DATA'!$F$20,"")</f>
        <v/>
      </c>
      <c r="CN99" s="518" t="str">
        <f>IF(AND(_F="B-757",'2024'!$F$4="FO",'2024'!$F$2=CN81),'2024DATA'!$G$20,"")</f>
        <v/>
      </c>
      <c r="CO99" s="518" t="str">
        <f>IF(AND(_F="B-757",'2024'!$F$4="FO",'2024'!$F$2=CO81),'2024DATA'!$H$20,"")</f>
        <v/>
      </c>
      <c r="CP99" s="518" t="str">
        <f>IF(AND(_F="B-757",'2024'!$F$4="FO",'2024'!$F$2=CP81),'2024DATA'!$I$20,"")</f>
        <v/>
      </c>
      <c r="CQ99" s="518" t="str">
        <f>IF(AND(_F="B-757",'2024'!$F$4="FO",'2024'!$F$2=CQ81),'2024DATA'!$J$20,"")</f>
        <v/>
      </c>
      <c r="CR99" s="518" t="str">
        <f>IF(AND(_F="B-757",'2024'!$F$4="FO",'2024'!$F$2=CR81),'2024DATA'!$K$20,"")</f>
        <v/>
      </c>
      <c r="CS99" s="518" t="str">
        <f>IF(AND(_F="B-757",'2024'!$F$4="FO",'2024'!$F$2=CS81),'2024DATA'!$L$20,"")</f>
        <v/>
      </c>
      <c r="CT99" s="518" t="str">
        <f>IF(AND(_F="B-757",'2024'!$F$4="FO",'2024'!$F$2=CT81),'2024DATA'!$M$20,"")</f>
        <v/>
      </c>
      <c r="CU99" s="520" t="str">
        <f>IF(AND(_F="B-757",'2024'!$F$4="FO",'2024'!$F$2=CU81),'2024DATA'!$N$20,"")</f>
        <v/>
      </c>
    </row>
    <row r="100" spans="16:99" x14ac:dyDescent="0.25">
      <c r="P100" s="940" t="s">
        <v>47</v>
      </c>
      <c r="Q100" s="13" t="s">
        <v>61</v>
      </c>
      <c r="R100" s="518" t="str">
        <f>IF(AND(_A="B-737-900",'2024'!$F$4="CA",'2024'!$F$2=R81),'2024DATA'!$C$21,"")</f>
        <v/>
      </c>
      <c r="S100" s="518" t="str">
        <f>IF(AND(_A="B-737-900",'2024'!$F$4="CA",'2024'!$F$2=S81),'2024DATA'!$D$21,"")</f>
        <v/>
      </c>
      <c r="T100" s="518" t="str">
        <f>IF(AND(_A="B-737-900",'2024'!$F$4="CA",'2024'!$F$2=T81),'2024DATA'!$E$21,"")</f>
        <v/>
      </c>
      <c r="U100" s="518" t="str">
        <f>IF(AND(_A="B-737-900",'2024'!$F$4="CA",'2024'!$F$2=U81),'2024DATA'!$F$21,"")</f>
        <v/>
      </c>
      <c r="V100" s="518" t="str">
        <f>IF(AND(_A="B-737-900",'2024'!$F$4="CA",'2024'!$F$2=V81),'2024DATA'!$G$21,"")</f>
        <v/>
      </c>
      <c r="W100" s="518" t="str">
        <f>IF(AND(_A="B-737-900",'2024'!$F$4="CA",'2024'!$F$2=W81),'2024DATA'!$H$21,"")</f>
        <v/>
      </c>
      <c r="X100" s="518" t="str">
        <f>IF(AND(_A="B-737-900",'2024'!$F$4="CA",'2024'!$F$2=X81),'2024DATA'!$I$21,"")</f>
        <v/>
      </c>
      <c r="Y100" s="518" t="str">
        <f>IF(AND(_A="B-737-900",'2024'!$F$4="CA",'2024'!$F$2=Y81),'2024DATA'!$J$21,"")</f>
        <v/>
      </c>
      <c r="Z100" s="518" t="str">
        <f>IF(AND(_A="B-737-900",'2024'!$F$4="CA",'2024'!$F$2=Z81),'2024DATA'!$K$21,"")</f>
        <v/>
      </c>
      <c r="AA100" s="518" t="str">
        <f>IF(AND(_A="B-737-900",'2024'!$F$4="CA",'2024'!$F$2=AA81),'2024DATA'!$L$21,"")</f>
        <v/>
      </c>
      <c r="AB100" s="518" t="str">
        <f>IF(AND(_A="B-737-900",'2024'!$F$4="CA",'2024'!$F$2=AB81),'2024DATA'!$M$21,"")</f>
        <v/>
      </c>
      <c r="AC100" s="520" t="str">
        <f>IF(AND(_A="B-737-900",'2024'!$F$4="CA",'2024'!$F$2=AC81),'2024DATA'!$N$21,"")</f>
        <v/>
      </c>
      <c r="AD100" s="940" t="s">
        <v>47</v>
      </c>
      <c r="AE100" s="13" t="s">
        <v>61</v>
      </c>
      <c r="AF100" s="518" t="str">
        <f>IF(AND(_B="B-737-900",'2024'!$F$4="CA",'2024'!$F$2=AF81),'2024DATA'!$C$21,"")</f>
        <v/>
      </c>
      <c r="AG100" s="518" t="str">
        <f>IF(AND(_B="B-737-900",'2024'!$F$4="CA",'2024'!$F$2=AG81),'2024DATA'!$D$21,"")</f>
        <v/>
      </c>
      <c r="AH100" s="518" t="str">
        <f>IF(AND(_B="B-737-900",'2024'!$F$4="CA",'2024'!$F$2=AH81),'2024DATA'!$E$21,"")</f>
        <v/>
      </c>
      <c r="AI100" s="518" t="str">
        <f>IF(AND(_B="B-737-900",'2024'!$F$4="CA",'2024'!$F$2=AI81),'2024DATA'!$F$21,"")</f>
        <v/>
      </c>
      <c r="AJ100" s="518" t="str">
        <f>IF(AND(_B="B-737-900",'2024'!$F$4="CA",'2024'!$F$2=AJ81),'2024DATA'!$G$21,"")</f>
        <v/>
      </c>
      <c r="AK100" s="518" t="str">
        <f>IF(AND(_B="B-737-900",'2024'!$F$4="CA",'2024'!$F$2=AK81),'2024DATA'!$H$21,"")</f>
        <v/>
      </c>
      <c r="AL100" s="518" t="str">
        <f>IF(AND(_B="B-737-900",'2024'!$F$4="CA",'2024'!$F$2=AL81),'2024DATA'!$I$21,"")</f>
        <v/>
      </c>
      <c r="AM100" s="518" t="str">
        <f>IF(AND(_B="B-737-900",'2024'!$F$4="CA",'2024'!$F$2=AM81),'2024DATA'!$J$21,"")</f>
        <v/>
      </c>
      <c r="AN100" s="518" t="str">
        <f>IF(AND(_B="B-737-900",'2024'!$F$4="CA",'2024'!$F$2=AN81),'2024DATA'!$K$21,"")</f>
        <v/>
      </c>
      <c r="AO100" s="518" t="str">
        <f>IF(AND(_B="B-737-900",'2024'!$F$4="CA",'2024'!$F$2=AO81),'2024DATA'!$L$21,"")</f>
        <v/>
      </c>
      <c r="AP100" s="518" t="str">
        <f>IF(AND(_B="B-737-900",'2024'!$F$4="CA",'2024'!$F$2=AP81),'2024DATA'!$M$21,"")</f>
        <v/>
      </c>
      <c r="AQ100" s="520" t="str">
        <f>IF(AND(_B="B-737-900",'2024'!$F$4="CA",'2024'!$F$2=AQ81),'2024DATA'!$N$21,"")</f>
        <v/>
      </c>
      <c r="AR100" s="940" t="s">
        <v>47</v>
      </c>
      <c r="AS100" s="13" t="s">
        <v>61</v>
      </c>
      <c r="AT100" s="518" t="str">
        <f>IF(AND(_C="B-737-900",'2024'!$F$4="CA",'2024'!$F$2=AT81),'2024DATA'!$C$21,"")</f>
        <v/>
      </c>
      <c r="AU100" s="518" t="str">
        <f>IF(AND(_C="B-737-900",'2024'!$F$4="CA",'2024'!$F$2=AU81),'2024DATA'!$D$21,"")</f>
        <v/>
      </c>
      <c r="AV100" s="518" t="str">
        <f>IF(AND(_C="B-737-900",'2024'!$F$4="CA",'2024'!$F$2=AV81),'2024DATA'!$E$21,"")</f>
        <v/>
      </c>
      <c r="AW100" s="518" t="str">
        <f>IF(AND(_C="B-737-900",'2024'!$F$4="CA",'2024'!$F$2=AW81),'2024DATA'!$F$21,"")</f>
        <v/>
      </c>
      <c r="AX100" s="518" t="str">
        <f>IF(AND(_C="B-737-900",'2024'!$F$4="CA",'2024'!$F$2=AX81),'2024DATA'!$G$21,"")</f>
        <v/>
      </c>
      <c r="AY100" s="518" t="str">
        <f>IF(AND(_C="B-737-900",'2024'!$F$4="CA",'2024'!$F$2=AY81),'2024DATA'!$H$21,"")</f>
        <v/>
      </c>
      <c r="AZ100" s="518" t="str">
        <f>IF(AND(_C="B-737-900",'2024'!$F$4="CA",'2024'!$F$2=AZ81),'2024DATA'!$I$21,"")</f>
        <v/>
      </c>
      <c r="BA100" s="518" t="str">
        <f>IF(AND(_C="B-737-900",'2024'!$F$4="CA",'2024'!$F$2=BA81),'2024DATA'!$J$21,"")</f>
        <v/>
      </c>
      <c r="BB100" s="518" t="str">
        <f>IF(AND(_C="B-737-900",'2024'!$F$4="CA",'2024'!$F$2=BB81),'2024DATA'!$K$21,"")</f>
        <v/>
      </c>
      <c r="BC100" s="518" t="str">
        <f>IF(AND(_C="B-737-900",'2024'!$F$4="CA",'2024'!$F$2=BC81),'2024DATA'!$L$21,"")</f>
        <v/>
      </c>
      <c r="BD100" s="518" t="str">
        <f>IF(AND(_C="B-737-900",'2024'!$F$4="CA",'2024'!$F$2=BD81),'2024DATA'!$M$21,"")</f>
        <v/>
      </c>
      <c r="BE100" s="520" t="str">
        <f>IF(AND(_C="B-737-900",'2024'!$F$4="CA",'2024'!$F$2=BE81),'2024DATA'!$N$21,"")</f>
        <v/>
      </c>
      <c r="BF100" s="940" t="s">
        <v>47</v>
      </c>
      <c r="BG100" s="13" t="s">
        <v>61</v>
      </c>
      <c r="BH100" s="518" t="str">
        <f>IF(AND(_D="B-737-900",'2024'!$F$4="CA",'2024'!$F$2=BH81),'2024DATA'!$C$21,"")</f>
        <v/>
      </c>
      <c r="BI100" s="518" t="str">
        <f>IF(AND(_D="B-737-900",'2024'!$F$4="CA",'2024'!$F$2=BI81),'2024DATA'!$D$21,"")</f>
        <v/>
      </c>
      <c r="BJ100" s="518" t="str">
        <f>IF(AND(_D="B-737-900",'2024'!$F$4="CA",'2024'!$F$2=BJ81),'2024DATA'!$E$21,"")</f>
        <v/>
      </c>
      <c r="BK100" s="518" t="str">
        <f>IF(AND(_D="B-737-900",'2024'!$F$4="CA",'2024'!$F$2=BK81),'2024DATA'!$F$21,"")</f>
        <v/>
      </c>
      <c r="BL100" s="518" t="str">
        <f>IF(AND(_D="B-737-900",'2024'!$F$4="CA",'2024'!$F$2=BL81),'2024DATA'!$G$21,"")</f>
        <v/>
      </c>
      <c r="BM100" s="518" t="str">
        <f>IF(AND(_D="B-737-900",'2024'!$F$4="CA",'2024'!$F$2=BM81),'2024DATA'!$H$21,"")</f>
        <v/>
      </c>
      <c r="BN100" s="518" t="str">
        <f>IF(AND(_D="B-737-900",'2024'!$F$4="CA",'2024'!$F$2=BN81),'2024DATA'!$I$21,"")</f>
        <v/>
      </c>
      <c r="BO100" s="518" t="str">
        <f>IF(AND(_D="B-737-900",'2024'!$F$4="CA",'2024'!$F$2=BO81),'2024DATA'!$J$21,"")</f>
        <v/>
      </c>
      <c r="BP100" s="518" t="str">
        <f>IF(AND(_D="B-737-900",'2024'!$F$4="CA",'2024'!$F$2=BP81),'2024DATA'!$K$21,"")</f>
        <v/>
      </c>
      <c r="BQ100" s="518" t="str">
        <f>IF(AND(_D="B-737-900",'2024'!$F$4="CA",'2024'!$F$2=BQ81),'2024DATA'!$L$21,"")</f>
        <v/>
      </c>
      <c r="BR100" s="518" t="str">
        <f>IF(AND(_D="B-737-900",'2024'!$F$4="CA",'2024'!$F$2=BR81),'2024DATA'!$M$21,"")</f>
        <v/>
      </c>
      <c r="BS100" s="520" t="str">
        <f>IF(AND(_D="B-737-900",'2024'!$F$4="CA",'2024'!$F$2=BS81),'2024DATA'!$N$21,"")</f>
        <v/>
      </c>
      <c r="BT100" s="940" t="s">
        <v>47</v>
      </c>
      <c r="BU100" s="13" t="s">
        <v>61</v>
      </c>
      <c r="BV100" s="518" t="str">
        <f>IF(AND(_E="B-737-900",'2024'!$F$4="CA",'2024'!$F$2=BV81),'2024DATA'!$C$21,"")</f>
        <v/>
      </c>
      <c r="BW100" s="518" t="str">
        <f>IF(AND(_E="B-737-900",'2024'!$F$4="CA",'2024'!$F$2=BW81),'2024DATA'!$D$21,"")</f>
        <v/>
      </c>
      <c r="BX100" s="518" t="str">
        <f>IF(AND(_E="B-737-900",'2024'!$F$4="CA",'2024'!$F$2=BX81),'2024DATA'!$E$21,"")</f>
        <v/>
      </c>
      <c r="BY100" s="518" t="str">
        <f>IF(AND(_E="B-737-900",'2024'!$F$4="CA",'2024'!$F$2=BY81),'2024DATA'!$F$21,"")</f>
        <v/>
      </c>
      <c r="BZ100" s="518" t="str">
        <f>IF(AND(_E="B-737-900",'2024'!$F$4="CA",'2024'!$F$2=BZ81),'2024DATA'!$G$21,"")</f>
        <v/>
      </c>
      <c r="CA100" s="518" t="str">
        <f>IF(AND(_E="B-737-900",'2024'!$F$4="CA",'2024'!$F$2=CA81),'2024DATA'!$H$21,"")</f>
        <v/>
      </c>
      <c r="CB100" s="518" t="str">
        <f>IF(AND(_E="B-737-900",'2024'!$F$4="CA",'2024'!$F$2=CB81),'2024DATA'!$I$21,"")</f>
        <v/>
      </c>
      <c r="CC100" s="518" t="str">
        <f>IF(AND(_E="B-737-900",'2024'!$F$4="CA",'2024'!$F$2=CC81),'2024DATA'!$J$21,"")</f>
        <v/>
      </c>
      <c r="CD100" s="518" t="str">
        <f>IF(AND(_E="B-737-900",'2024'!$F$4="CA",'2024'!$F$2=CD81),'2024DATA'!$K$21,"")</f>
        <v/>
      </c>
      <c r="CE100" s="518" t="str">
        <f>IF(AND(_E="B-737-900",'2024'!$F$4="CA",'2024'!$F$2=CE81),'2024DATA'!$L$21,"")</f>
        <v/>
      </c>
      <c r="CF100" s="518" t="str">
        <f>IF(AND(_E="B-737-900",'2024'!$F$4="CA",'2024'!$F$2=CF81),'2024DATA'!$M$21,"")</f>
        <v/>
      </c>
      <c r="CG100" s="520" t="str">
        <f>IF(AND(_E="B-737-900",'2024'!$F$4="CA",'2024'!$F$2=CG81),'2024DATA'!$N$21,"")</f>
        <v/>
      </c>
      <c r="CH100" s="940" t="s">
        <v>47</v>
      </c>
      <c r="CI100" s="13" t="s">
        <v>61</v>
      </c>
      <c r="CJ100" s="518" t="str">
        <f>IF(AND(_F="B-737-900",'2024'!$F$4="CA",'2024'!$F$2=CJ81),'2024DATA'!$C$21,"")</f>
        <v/>
      </c>
      <c r="CK100" s="518" t="str">
        <f>IF(AND(_F="B-737-900",'2024'!$F$4="CA",'2024'!$F$2=CK81),'2024DATA'!$D$21,"")</f>
        <v/>
      </c>
      <c r="CL100" s="518" t="str">
        <f>IF(AND(_F="B-737-900",'2024'!$F$4="CA",'2024'!$F$2=CL81),'2024DATA'!$E$21,"")</f>
        <v/>
      </c>
      <c r="CM100" s="518" t="str">
        <f>IF(AND(_F="B-737-900",'2024'!$F$4="CA",'2024'!$F$2=CM81),'2024DATA'!$F$21,"")</f>
        <v/>
      </c>
      <c r="CN100" s="518" t="str">
        <f>IF(AND(_F="B-737-900",'2024'!$F$4="CA",'2024'!$F$2=CN81),'2024DATA'!$G$21,"")</f>
        <v/>
      </c>
      <c r="CO100" s="518" t="str">
        <f>IF(AND(_F="B-737-900",'2024'!$F$4="CA",'2024'!$F$2=CO81),'2024DATA'!$H$21,"")</f>
        <v/>
      </c>
      <c r="CP100" s="518" t="str">
        <f>IF(AND(_F="B-737-900",'2024'!$F$4="CA",'2024'!$F$2=CP81),'2024DATA'!$I$21,"")</f>
        <v/>
      </c>
      <c r="CQ100" s="518" t="str">
        <f>IF(AND(_F="B-737-900",'2024'!$F$4="CA",'2024'!$F$2=CQ81),'2024DATA'!$J$21,"")</f>
        <v/>
      </c>
      <c r="CR100" s="518" t="str">
        <f>IF(AND(_F="B-737-900",'2024'!$F$4="CA",'2024'!$F$2=CR81),'2024DATA'!$K$21,"")</f>
        <v/>
      </c>
      <c r="CS100" s="518" t="str">
        <f>IF(AND(_F="B-737-900",'2024'!$F$4="CA",'2024'!$F$2=CS81),'2024DATA'!$L$21,"")</f>
        <v/>
      </c>
      <c r="CT100" s="518" t="str">
        <f>IF(AND(_F="B-737-900",'2024'!$F$4="CA",'2024'!$F$2=CT81),'2024DATA'!$M$21,"")</f>
        <v/>
      </c>
      <c r="CU100" s="520" t="str">
        <f>IF(AND(_F="B-737-900",'2024'!$F$4="CA",'2024'!$F$2=CU81),'2024DATA'!$N$21,"")</f>
        <v/>
      </c>
    </row>
    <row r="101" spans="16:99" x14ac:dyDescent="0.25">
      <c r="P101" s="940"/>
      <c r="Q101" s="13" t="s">
        <v>62</v>
      </c>
      <c r="R101" s="518" t="str">
        <f>IF(AND(_A="B-737-900",'2024'!$F$4="FO",'2024'!$F$2=R81),'2024DATA'!$C$22,"")</f>
        <v/>
      </c>
      <c r="S101" s="518" t="str">
        <f>IF(AND(_A="B-737-900",'2024'!$F$4="FO",'2024'!$F$2=S81),'2024DATA'!$D$22,"")</f>
        <v/>
      </c>
      <c r="T101" s="518" t="str">
        <f>IF(AND(_A="B-737-900",'2024'!$F$4="FO",'2024'!$F$2=T81),'2024DATA'!$E$22,"")</f>
        <v/>
      </c>
      <c r="U101" s="518" t="str">
        <f>IF(AND(_A="B-737-900",'2024'!$F$4="FO",'2024'!$F$2=U81),'2024DATA'!$F$22,"")</f>
        <v/>
      </c>
      <c r="V101" s="518" t="str">
        <f>IF(AND(_A="B-737-900",'2024'!$F$4="FO",'2024'!$F$2=V81),'2024DATA'!$G$22,"")</f>
        <v/>
      </c>
      <c r="W101" s="518" t="str">
        <f>IF(AND(_A="B-737-900",'2024'!$F$4="FO",'2024'!$F$2=W81),'2024DATA'!$H$22,"")</f>
        <v/>
      </c>
      <c r="X101" s="518" t="str">
        <f>IF(AND(_A="B-737-900",'2024'!$F$4="FO",'2024'!$F$2=X81),'2024DATA'!$I$22,"")</f>
        <v/>
      </c>
      <c r="Y101" s="518" t="str">
        <f>IF(AND(_A="B-737-900",'2024'!$F$4="FO",'2024'!$F$2=Y81),'2024DATA'!$J$22,"")</f>
        <v/>
      </c>
      <c r="Z101" s="518" t="str">
        <f>IF(AND(_A="B-737-900",'2024'!$F$4="FO",'2024'!$F$2=Z81),'2024DATA'!$K$22,"")</f>
        <v/>
      </c>
      <c r="AA101" s="518" t="str">
        <f>IF(AND(_A="B-737-900",'2024'!$F$4="FO",'2024'!$F$2=AA81),'2024DATA'!$L$22,"")</f>
        <v/>
      </c>
      <c r="AB101" s="518" t="str">
        <f>IF(AND(_A="B-737-900",'2024'!$F$4="FO",'2024'!$F$2=AB81),'2024DATA'!$M$22,"")</f>
        <v/>
      </c>
      <c r="AC101" s="520" t="str">
        <f>IF(AND(_A="B-737-900",'2024'!$F$4="FO",'2024'!$F$2=AC81),'2024DATA'!$N$22,"")</f>
        <v/>
      </c>
      <c r="AD101" s="940"/>
      <c r="AE101" s="13" t="s">
        <v>62</v>
      </c>
      <c r="AF101" s="518" t="str">
        <f>IF(AND(_B="B-737-900",'2024'!$F$4="FO",'2024'!$F$2=AF81),'2024DATA'!$C$22,"")</f>
        <v/>
      </c>
      <c r="AG101" s="518" t="str">
        <f>IF(AND(_B="B-737-900",'2024'!$F$4="FO",'2024'!$F$2=AG81),'2024DATA'!$D$22,"")</f>
        <v/>
      </c>
      <c r="AH101" s="518" t="str">
        <f>IF(AND(_B="B-737-900",'2024'!$F$4="FO",'2024'!$F$2=AH81),'2024DATA'!$E$22,"")</f>
        <v/>
      </c>
      <c r="AI101" s="518" t="str">
        <f>IF(AND(_B="B-737-900",'2024'!$F$4="FO",'2024'!$F$2=AI81),'2024DATA'!$F$22,"")</f>
        <v/>
      </c>
      <c r="AJ101" s="518" t="str">
        <f>IF(AND(_B="B-737-900",'2024'!$F$4="FO",'2024'!$F$2=AJ81),'2024DATA'!$G$22,"")</f>
        <v/>
      </c>
      <c r="AK101" s="518" t="str">
        <f>IF(AND(_B="B-737-900",'2024'!$F$4="FO",'2024'!$F$2=AK81),'2024DATA'!$H$22,"")</f>
        <v/>
      </c>
      <c r="AL101" s="518" t="str">
        <f>IF(AND(_B="B-737-900",'2024'!$F$4="FO",'2024'!$F$2=AL81),'2024DATA'!$I$22,"")</f>
        <v/>
      </c>
      <c r="AM101" s="518" t="str">
        <f>IF(AND(_B="B-737-900",'2024'!$F$4="FO",'2024'!$F$2=AM81),'2024DATA'!$J$22,"")</f>
        <v/>
      </c>
      <c r="AN101" s="518" t="str">
        <f>IF(AND(_B="B-737-900",'2024'!$F$4="FO",'2024'!$F$2=AN81),'2024DATA'!$K$22,"")</f>
        <v/>
      </c>
      <c r="AO101" s="518" t="str">
        <f>IF(AND(_B="B-737-900",'2024'!$F$4="FO",'2024'!$F$2=AO81),'2024DATA'!$L$22,"")</f>
        <v/>
      </c>
      <c r="AP101" s="518" t="str">
        <f>IF(AND(_B="B-737-900",'2024'!$F$4="FO",'2024'!$F$2=AP81),'2024DATA'!$M$22,"")</f>
        <v/>
      </c>
      <c r="AQ101" s="520" t="str">
        <f>IF(AND(_B="B-737-900",'2024'!$F$4="FO",'2024'!$F$2=AQ81),'2024DATA'!$N$22,"")</f>
        <v/>
      </c>
      <c r="AR101" s="940"/>
      <c r="AS101" s="13" t="s">
        <v>62</v>
      </c>
      <c r="AT101" s="518" t="str">
        <f>IF(AND(_C="B-737-900",'2024'!$F$4="FO",'2024'!$F$2=AT81),'2024DATA'!$C$22,"")</f>
        <v/>
      </c>
      <c r="AU101" s="518" t="str">
        <f>IF(AND(_C="B-737-900",'2024'!$F$4="FO",'2024'!$F$2=AU81),'2024DATA'!$D$22,"")</f>
        <v/>
      </c>
      <c r="AV101" s="518" t="str">
        <f>IF(AND(_C="B-737-900",'2024'!$F$4="FO",'2024'!$F$2=AV81),'2024DATA'!$E$22,"")</f>
        <v/>
      </c>
      <c r="AW101" s="518" t="str">
        <f>IF(AND(_C="B-737-900",'2024'!$F$4="FO",'2024'!$F$2=AW81),'2024DATA'!$F$22,"")</f>
        <v/>
      </c>
      <c r="AX101" s="518" t="str">
        <f>IF(AND(_C="B-737-900",'2024'!$F$4="FO",'2024'!$F$2=AX81),'2024DATA'!$G$22,"")</f>
        <v/>
      </c>
      <c r="AY101" s="518" t="str">
        <f>IF(AND(_C="B-737-900",'2024'!$F$4="FO",'2024'!$F$2=AY81),'2024DATA'!$H$22,"")</f>
        <v/>
      </c>
      <c r="AZ101" s="518" t="str">
        <f>IF(AND(_C="B-737-900",'2024'!$F$4="FO",'2024'!$F$2=AZ81),'2024DATA'!$I$22,"")</f>
        <v/>
      </c>
      <c r="BA101" s="518" t="str">
        <f>IF(AND(_C="B-737-900",'2024'!$F$4="FO",'2024'!$F$2=BA81),'2024DATA'!$J$22,"")</f>
        <v/>
      </c>
      <c r="BB101" s="518" t="str">
        <f>IF(AND(_C="B-737-900",'2024'!$F$4="FO",'2024'!$F$2=BB81),'2024DATA'!$K$22,"")</f>
        <v/>
      </c>
      <c r="BC101" s="518" t="str">
        <f>IF(AND(_C="B-737-900",'2024'!$F$4="FO",'2024'!$F$2=BC81),'2024DATA'!$L$22,"")</f>
        <v/>
      </c>
      <c r="BD101" s="518" t="str">
        <f>IF(AND(_C="B-737-900",'2024'!$F$4="FO",'2024'!$F$2=BD81),'2024DATA'!$M$22,"")</f>
        <v/>
      </c>
      <c r="BE101" s="520" t="str">
        <f>IF(AND(_C="B-737-900",'2024'!$F$4="FO",'2024'!$F$2=BE81),'2024DATA'!$N$22,"")</f>
        <v/>
      </c>
      <c r="BF101" s="940"/>
      <c r="BG101" s="13" t="s">
        <v>62</v>
      </c>
      <c r="BH101" s="518" t="str">
        <f>IF(AND(_D="B-737-900",'2024'!$F$4="FO",'2024'!$F$2=BH81),'2024DATA'!$C$22,"")</f>
        <v/>
      </c>
      <c r="BI101" s="518" t="str">
        <f>IF(AND(_D="B-737-900",'2024'!$F$4="FO",'2024'!$F$2=BI81),'2024DATA'!$D$22,"")</f>
        <v/>
      </c>
      <c r="BJ101" s="518" t="str">
        <f>IF(AND(_D="B-737-900",'2024'!$F$4="FO",'2024'!$F$2=BJ81),'2024DATA'!$E$22,"")</f>
        <v/>
      </c>
      <c r="BK101" s="518" t="str">
        <f>IF(AND(_D="B-737-900",'2024'!$F$4="FO",'2024'!$F$2=BK81),'2024DATA'!$F$22,"")</f>
        <v/>
      </c>
      <c r="BL101" s="518" t="str">
        <f>IF(AND(_D="B-737-900",'2024'!$F$4="FO",'2024'!$F$2=BL81),'2024DATA'!$G$22,"")</f>
        <v/>
      </c>
      <c r="BM101" s="518" t="str">
        <f>IF(AND(_D="B-737-900",'2024'!$F$4="FO",'2024'!$F$2=BM81),'2024DATA'!$H$22,"")</f>
        <v/>
      </c>
      <c r="BN101" s="518" t="str">
        <f>IF(AND(_D="B-737-900",'2024'!$F$4="FO",'2024'!$F$2=BN81),'2024DATA'!$I$22,"")</f>
        <v/>
      </c>
      <c r="BO101" s="518" t="str">
        <f>IF(AND(_D="B-737-900",'2024'!$F$4="FO",'2024'!$F$2=BO81),'2024DATA'!$J$22,"")</f>
        <v/>
      </c>
      <c r="BP101" s="518" t="str">
        <f>IF(AND(_D="B-737-900",'2024'!$F$4="FO",'2024'!$F$2=BP81),'2024DATA'!$K$22,"")</f>
        <v/>
      </c>
      <c r="BQ101" s="518" t="str">
        <f>IF(AND(_D="B-737-900",'2024'!$F$4="FO",'2024'!$F$2=BQ81),'2024DATA'!$L$22,"")</f>
        <v/>
      </c>
      <c r="BR101" s="518" t="str">
        <f>IF(AND(_D="B-737-900",'2024'!$F$4="FO",'2024'!$F$2=BR81),'2024DATA'!$M$22,"")</f>
        <v/>
      </c>
      <c r="BS101" s="520" t="str">
        <f>IF(AND(_D="B-737-900",'2024'!$F$4="FO",'2024'!$F$2=BS81),'2024DATA'!$N$22,"")</f>
        <v/>
      </c>
      <c r="BT101" s="940"/>
      <c r="BU101" s="13" t="s">
        <v>62</v>
      </c>
      <c r="BV101" s="518" t="str">
        <f>IF(AND(_E="B-737-900",'2024'!$F$4="FO",'2024'!$F$2=BV81),'2024DATA'!$C$22,"")</f>
        <v/>
      </c>
      <c r="BW101" s="518" t="str">
        <f>IF(AND(_E="B-737-900",'2024'!$F$4="FO",'2024'!$F$2=BW81),'2024DATA'!$D$22,"")</f>
        <v/>
      </c>
      <c r="BX101" s="518" t="str">
        <f>IF(AND(_E="B-737-900",'2024'!$F$4="FO",'2024'!$F$2=BX81),'2024DATA'!$E$22,"")</f>
        <v/>
      </c>
      <c r="BY101" s="518" t="str">
        <f>IF(AND(_E="B-737-900",'2024'!$F$4="FO",'2024'!$F$2=BY81),'2024DATA'!$F$22,"")</f>
        <v/>
      </c>
      <c r="BZ101" s="518" t="str">
        <f>IF(AND(_E="B-737-900",'2024'!$F$4="FO",'2024'!$F$2=BZ81),'2024DATA'!$G$22,"")</f>
        <v/>
      </c>
      <c r="CA101" s="518" t="str">
        <f>IF(AND(_E="B-737-900",'2024'!$F$4="FO",'2024'!$F$2=CA81),'2024DATA'!$H$22,"")</f>
        <v/>
      </c>
      <c r="CB101" s="518" t="str">
        <f>IF(AND(_E="B-737-900",'2024'!$F$4="FO",'2024'!$F$2=CB81),'2024DATA'!$I$22,"")</f>
        <v/>
      </c>
      <c r="CC101" s="518" t="str">
        <f>IF(AND(_E="B-737-900",'2024'!$F$4="FO",'2024'!$F$2=CC81),'2024DATA'!$J$22,"")</f>
        <v/>
      </c>
      <c r="CD101" s="518" t="str">
        <f>IF(AND(_E="B-737-900",'2024'!$F$4="FO",'2024'!$F$2=CD81),'2024DATA'!$K$22,"")</f>
        <v/>
      </c>
      <c r="CE101" s="518" t="str">
        <f>IF(AND(_E="B-737-900",'2024'!$F$4="FO",'2024'!$F$2=CE81),'2024DATA'!$L$22,"")</f>
        <v/>
      </c>
      <c r="CF101" s="518" t="str">
        <f>IF(AND(_E="B-737-900",'2024'!$F$4="FO",'2024'!$F$2=CF81),'2024DATA'!$M$22,"")</f>
        <v/>
      </c>
      <c r="CG101" s="520" t="str">
        <f>IF(AND(_E="B-737-900",'2024'!$F$4="FO",'2024'!$F$2=CG81),'2024DATA'!$N$22,"")</f>
        <v/>
      </c>
      <c r="CH101" s="940"/>
      <c r="CI101" s="13" t="s">
        <v>62</v>
      </c>
      <c r="CJ101" s="518" t="str">
        <f>IF(AND(_F="B-737-900",'2024'!$F$4="FO",'2024'!$F$2=CJ81),'2024DATA'!$C$22,"")</f>
        <v/>
      </c>
      <c r="CK101" s="518" t="str">
        <f>IF(AND(_F="B-737-900",'2024'!$F$4="FO",'2024'!$F$2=CK81),'2024DATA'!$D$22,"")</f>
        <v/>
      </c>
      <c r="CL101" s="518" t="str">
        <f>IF(AND(_F="B-737-900",'2024'!$F$4="FO",'2024'!$F$2=CL81),'2024DATA'!$E$22,"")</f>
        <v/>
      </c>
      <c r="CM101" s="518" t="str">
        <f>IF(AND(_F="B-737-900",'2024'!$F$4="FO",'2024'!$F$2=CM81),'2024DATA'!$F$22,"")</f>
        <v/>
      </c>
      <c r="CN101" s="518" t="str">
        <f>IF(AND(_F="B-737-900",'2024'!$F$4="FO",'2024'!$F$2=CN81),'2024DATA'!$G$22,"")</f>
        <v/>
      </c>
      <c r="CO101" s="518" t="str">
        <f>IF(AND(_F="B-737-900",'2024'!$F$4="FO",'2024'!$F$2=CO81),'2024DATA'!$H$22,"")</f>
        <v/>
      </c>
      <c r="CP101" s="518" t="str">
        <f>IF(AND(_F="B-737-900",'2024'!$F$4="FO",'2024'!$F$2=CP81),'2024DATA'!$I$22,"")</f>
        <v/>
      </c>
      <c r="CQ101" s="518" t="str">
        <f>IF(AND(_F="B-737-900",'2024'!$F$4="FO",'2024'!$F$2=CQ81),'2024DATA'!$J$22,"")</f>
        <v/>
      </c>
      <c r="CR101" s="518" t="str">
        <f>IF(AND(_F="B-737-900",'2024'!$F$4="FO",'2024'!$F$2=CR81),'2024DATA'!$K$22,"")</f>
        <v/>
      </c>
      <c r="CS101" s="518" t="str">
        <f>IF(AND(_F="B-737-900",'2024'!$F$4="FO",'2024'!$F$2=CS81),'2024DATA'!$L$22,"")</f>
        <v/>
      </c>
      <c r="CT101" s="518" t="str">
        <f>IF(AND(_F="B-737-900",'2024'!$F$4="FO",'2024'!$F$2=CT81),'2024DATA'!$M$22,"")</f>
        <v/>
      </c>
      <c r="CU101" s="520" t="str">
        <f>IF(AND(_F="B-737-900",'2024'!$F$4="FO",'2024'!$F$2=CU81),'2024DATA'!$N$22,"")</f>
        <v/>
      </c>
    </row>
    <row r="102" spans="16:99" x14ac:dyDescent="0.25">
      <c r="P102" s="940" t="s">
        <v>69</v>
      </c>
      <c r="Q102" s="13" t="s">
        <v>61</v>
      </c>
      <c r="R102" s="518" t="str">
        <f>IF(AND(_A="B-737-800",'2024'!$F$4="CA",'2024'!$F$2=R81),'2024DATA'!$C$23,"")</f>
        <v/>
      </c>
      <c r="S102" s="518" t="str">
        <f>IF(AND(_A="B-737-800",'2024'!$F$4="CA",'2024'!$F$2=S81),'2024DATA'!$D$23,"")</f>
        <v/>
      </c>
      <c r="T102" s="518" t="str">
        <f>IF(AND(_A="B-737-800",'2024'!$F$4="CA",'2024'!$F$2=T81),'2024DATA'!$E$23,"")</f>
        <v/>
      </c>
      <c r="U102" s="518" t="str">
        <f>IF(AND(_A="B-737-800",'2024'!$F$4="CA",'2024'!$F$2=U81),'2024DATA'!$F$23,"")</f>
        <v/>
      </c>
      <c r="V102" s="518" t="str">
        <f>IF(AND(_A="B-737-800",'2024'!$F$4="CA",'2024'!$F$2=V81),'2024DATA'!$G$23,"")</f>
        <v/>
      </c>
      <c r="W102" s="518" t="str">
        <f>IF(AND(_A="B-737-800",'2024'!$F$4="CA",'2024'!$F$2=W81),'2024DATA'!$H$23,"")</f>
        <v/>
      </c>
      <c r="X102" s="518" t="str">
        <f>IF(AND(_A="B-737-800",'2024'!$F$4="CA",'2024'!$F$2=X81),'2024DATA'!$I$23,"")</f>
        <v/>
      </c>
      <c r="Y102" s="518" t="str">
        <f>IF(AND(_A="B-737-800",'2024'!$F$4="CA",'2024'!$F$2=Y81),'2024DATA'!$J$23,"")</f>
        <v/>
      </c>
      <c r="Z102" s="518" t="str">
        <f>IF(AND(_A="B-737-800",'2024'!$F$4="CA",'2024'!$F$2=Z81),'2024DATA'!$K$23,"")</f>
        <v/>
      </c>
      <c r="AA102" s="518" t="str">
        <f>IF(AND(_A="B-737-800",'2024'!$F$4="CA",'2024'!$F$2=AA81),'2024DATA'!$L$23,"")</f>
        <v/>
      </c>
      <c r="AB102" s="518" t="str">
        <f>IF(AND(_A="B-737-800",'2024'!$F$4="CA",'2024'!$F$2=AB81),'2024DATA'!$M$23,"")</f>
        <v/>
      </c>
      <c r="AC102" s="520" t="str">
        <f>IF(AND(_A="B-737-800",'2024'!$F$4="CA",'2024'!$F$2=AC81),'2024DATA'!$N$23,"")</f>
        <v/>
      </c>
      <c r="AD102" s="940" t="s">
        <v>69</v>
      </c>
      <c r="AE102" s="13" t="s">
        <v>61</v>
      </c>
      <c r="AF102" s="518" t="str">
        <f>IF(AND(_B="B-737-800",'2024'!$F$4="CA",'2024'!$F$2=AF81),'2024DATA'!$C$23,"")</f>
        <v/>
      </c>
      <c r="AG102" s="518" t="str">
        <f>IF(AND(_B="B-737-800",'2024'!$F$4="CA",'2024'!$F$2=AG81),'2024DATA'!$D$23,"")</f>
        <v/>
      </c>
      <c r="AH102" s="518" t="str">
        <f>IF(AND(_B="B-737-800",'2024'!$F$4="CA",'2024'!$F$2=AH81),'2024DATA'!$E$23,"")</f>
        <v/>
      </c>
      <c r="AI102" s="518" t="str">
        <f>IF(AND(_B="B-737-800",'2024'!$F$4="CA",'2024'!$F$2=AI81),'2024DATA'!$F$23,"")</f>
        <v/>
      </c>
      <c r="AJ102" s="518" t="str">
        <f>IF(AND(_B="B-737-800",'2024'!$F$4="CA",'2024'!$F$2=AJ81),'2024DATA'!$G$23,"")</f>
        <v/>
      </c>
      <c r="AK102" s="518" t="str">
        <f>IF(AND(_B="B-737-800",'2024'!$F$4="CA",'2024'!$F$2=AK81),'2024DATA'!$H$23,"")</f>
        <v/>
      </c>
      <c r="AL102" s="518" t="str">
        <f>IF(AND(_B="B-737-800",'2024'!$F$4="CA",'2024'!$F$2=AL81),'2024DATA'!$I$23,"")</f>
        <v/>
      </c>
      <c r="AM102" s="518" t="str">
        <f>IF(AND(_B="B-737-800",'2024'!$F$4="CA",'2024'!$F$2=AM81),'2024DATA'!$J$23,"")</f>
        <v/>
      </c>
      <c r="AN102" s="518" t="str">
        <f>IF(AND(_B="B-737-800",'2024'!$F$4="CA",'2024'!$F$2=AN81),'2024DATA'!$K$23,"")</f>
        <v/>
      </c>
      <c r="AO102" s="518" t="str">
        <f>IF(AND(_B="B-737-800",'2024'!$F$4="CA",'2024'!$F$2=AO81),'2024DATA'!$L$23,"")</f>
        <v/>
      </c>
      <c r="AP102" s="518" t="str">
        <f>IF(AND(_B="B-737-800",'2024'!$F$4="CA",'2024'!$F$2=AP81),'2024DATA'!$M$23,"")</f>
        <v/>
      </c>
      <c r="AQ102" s="520" t="str">
        <f>IF(AND(_B="B-737-800",'2024'!$F$4="CA",'2024'!$F$2=AQ81),'2024DATA'!$N$23,"")</f>
        <v/>
      </c>
      <c r="AR102" s="940" t="s">
        <v>69</v>
      </c>
      <c r="AS102" s="13" t="s">
        <v>61</v>
      </c>
      <c r="AT102" s="518" t="str">
        <f>IF(AND(_C="B-737-800",'2024'!$F$4="CA",'2024'!$F$2=AT81),'2024DATA'!$C$23,"")</f>
        <v/>
      </c>
      <c r="AU102" s="518" t="str">
        <f>IF(AND(_C="B-737-800",'2024'!$F$4="CA",'2024'!$F$2=AU81),'2024DATA'!$D$23,"")</f>
        <v/>
      </c>
      <c r="AV102" s="518" t="str">
        <f>IF(AND(_C="B-737-800",'2024'!$F$4="CA",'2024'!$F$2=AV81),'2024DATA'!$E$23,"")</f>
        <v/>
      </c>
      <c r="AW102" s="518" t="str">
        <f>IF(AND(_C="B-737-800",'2024'!$F$4="CA",'2024'!$F$2=AW81),'2024DATA'!$F$23,"")</f>
        <v/>
      </c>
      <c r="AX102" s="518" t="str">
        <f>IF(AND(_C="B-737-800",'2024'!$F$4="CA",'2024'!$F$2=AX81),'2024DATA'!$G$23,"")</f>
        <v/>
      </c>
      <c r="AY102" s="518" t="str">
        <f>IF(AND(_C="B-737-800",'2024'!$F$4="CA",'2024'!$F$2=AY81),'2024DATA'!$H$23,"")</f>
        <v/>
      </c>
      <c r="AZ102" s="518" t="str">
        <f>IF(AND(_C="B-737-800",'2024'!$F$4="CA",'2024'!$F$2=AZ81),'2024DATA'!$I$23,"")</f>
        <v/>
      </c>
      <c r="BA102" s="518" t="str">
        <f>IF(AND(_C="B-737-800",'2024'!$F$4="CA",'2024'!$F$2=BA81),'2024DATA'!$J$23,"")</f>
        <v/>
      </c>
      <c r="BB102" s="518" t="str">
        <f>IF(AND(_C="B-737-800",'2024'!$F$4="CA",'2024'!$F$2=BB81),'2024DATA'!$K$23,"")</f>
        <v/>
      </c>
      <c r="BC102" s="518" t="str">
        <f>IF(AND(_C="B-737-800",'2024'!$F$4="CA",'2024'!$F$2=BC81),'2024DATA'!$L$23,"")</f>
        <v/>
      </c>
      <c r="BD102" s="518" t="str">
        <f>IF(AND(_C="B-737-800",'2024'!$F$4="CA",'2024'!$F$2=BD81),'2024DATA'!$M$23,"")</f>
        <v/>
      </c>
      <c r="BE102" s="520" t="str">
        <f>IF(AND(_C="B-737-800",'2024'!$F$4="CA",'2024'!$F$2=BE81),'2024DATA'!$N$23,"")</f>
        <v/>
      </c>
      <c r="BF102" s="940" t="s">
        <v>69</v>
      </c>
      <c r="BG102" s="13" t="s">
        <v>61</v>
      </c>
      <c r="BH102" s="518" t="str">
        <f>IF(AND(_D="B-737-800",'2024'!$F$4="CA",'2024'!$F$2=BH81),'2024DATA'!$C$23,"")</f>
        <v/>
      </c>
      <c r="BI102" s="518" t="str">
        <f>IF(AND(_D="B-737-800",'2024'!$F$4="CA",'2024'!$F$2=BI81),'2024DATA'!$D$23,"")</f>
        <v/>
      </c>
      <c r="BJ102" s="518" t="str">
        <f>IF(AND(_D="B-737-800",'2024'!$F$4="CA",'2024'!$F$2=BJ81),'2024DATA'!$E$23,"")</f>
        <v/>
      </c>
      <c r="BK102" s="518" t="str">
        <f>IF(AND(_D="B-737-800",'2024'!$F$4="CA",'2024'!$F$2=BK81),'2024DATA'!$F$23,"")</f>
        <v/>
      </c>
      <c r="BL102" s="518" t="str">
        <f>IF(AND(_D="B-737-800",'2024'!$F$4="CA",'2024'!$F$2=BL81),'2024DATA'!$G$23,"")</f>
        <v/>
      </c>
      <c r="BM102" s="518" t="str">
        <f>IF(AND(_D="B-737-800",'2024'!$F$4="CA",'2024'!$F$2=BM81),'2024DATA'!$H$23,"")</f>
        <v/>
      </c>
      <c r="BN102" s="518" t="str">
        <f>IF(AND(_D="B-737-800",'2024'!$F$4="CA",'2024'!$F$2=BN81),'2024DATA'!$I$23,"")</f>
        <v/>
      </c>
      <c r="BO102" s="518" t="str">
        <f>IF(AND(_D="B-737-800",'2024'!$F$4="CA",'2024'!$F$2=BO81),'2024DATA'!$J$23,"")</f>
        <v/>
      </c>
      <c r="BP102" s="518" t="str">
        <f>IF(AND(_D="B-737-800",'2024'!$F$4="CA",'2024'!$F$2=BP81),'2024DATA'!$K$23,"")</f>
        <v/>
      </c>
      <c r="BQ102" s="518" t="str">
        <f>IF(AND(_D="B-737-800",'2024'!$F$4="CA",'2024'!$F$2=BQ81),'2024DATA'!$L$23,"")</f>
        <v/>
      </c>
      <c r="BR102" s="518" t="str">
        <f>IF(AND(_D="B-737-800",'2024'!$F$4="CA",'2024'!$F$2=BR81),'2024DATA'!$M$23,"")</f>
        <v/>
      </c>
      <c r="BS102" s="520" t="str">
        <f>IF(AND(_D="B-737-800",'2024'!$F$4="CA",'2024'!$F$2=BS81),'2024DATA'!$N$23,"")</f>
        <v/>
      </c>
      <c r="BT102" s="940" t="s">
        <v>69</v>
      </c>
      <c r="BU102" s="13" t="s">
        <v>61</v>
      </c>
      <c r="BV102" s="518" t="str">
        <f>IF(AND(_E="B-737-800",'2024'!$F$4="CA",'2024'!$F$2=BV81),'2024DATA'!$C$23,"")</f>
        <v/>
      </c>
      <c r="BW102" s="518" t="str">
        <f>IF(AND(_E="B-737-800",'2024'!$F$4="CA",'2024'!$F$2=BW81),'2024DATA'!$D$23,"")</f>
        <v/>
      </c>
      <c r="BX102" s="518" t="str">
        <f>IF(AND(_E="B-737-800",'2024'!$F$4="CA",'2024'!$F$2=BX81),'2024DATA'!$E$23,"")</f>
        <v/>
      </c>
      <c r="BY102" s="518" t="str">
        <f>IF(AND(_E="B-737-800",'2024'!$F$4="CA",'2024'!$F$2=BY81),'2024DATA'!$F$23,"")</f>
        <v/>
      </c>
      <c r="BZ102" s="518" t="str">
        <f>IF(AND(_E="B-737-800",'2024'!$F$4="CA",'2024'!$F$2=BZ81),'2024DATA'!$G$23,"")</f>
        <v/>
      </c>
      <c r="CA102" s="518" t="str">
        <f>IF(AND(_E="B-737-800",'2024'!$F$4="CA",'2024'!$F$2=CA81),'2024DATA'!$H$23,"")</f>
        <v/>
      </c>
      <c r="CB102" s="518" t="str">
        <f>IF(AND(_E="B-737-800",'2024'!$F$4="CA",'2024'!$F$2=CB81),'2024DATA'!$I$23,"")</f>
        <v/>
      </c>
      <c r="CC102" s="518" t="str">
        <f>IF(AND(_E="B-737-800",'2024'!$F$4="CA",'2024'!$F$2=CC81),'2024DATA'!$J$23,"")</f>
        <v/>
      </c>
      <c r="CD102" s="518" t="str">
        <f>IF(AND(_E="B-737-800",'2024'!$F$4="CA",'2024'!$F$2=CD81),'2024DATA'!$K$23,"")</f>
        <v/>
      </c>
      <c r="CE102" s="518" t="str">
        <f>IF(AND(_E="B-737-800",'2024'!$F$4="CA",'2024'!$F$2=CE81),'2024DATA'!$L$23,"")</f>
        <v/>
      </c>
      <c r="CF102" s="518" t="str">
        <f>IF(AND(_E="B-737-800",'2024'!$F$4="CA",'2024'!$F$2=CF81),'2024DATA'!$M$23,"")</f>
        <v/>
      </c>
      <c r="CG102" s="520" t="str">
        <f>IF(AND(_E="B-737-800",'2024'!$F$4="CA",'2024'!$F$2=CG81),'2024DATA'!$N$23,"")</f>
        <v/>
      </c>
      <c r="CH102" s="940" t="s">
        <v>69</v>
      </c>
      <c r="CI102" s="13" t="s">
        <v>61</v>
      </c>
      <c r="CJ102" s="518" t="str">
        <f>IF(AND(_F="B-737-800",'2024'!$F$4="CA",'2024'!$F$2=CJ81),'2024DATA'!$C$23,"")</f>
        <v/>
      </c>
      <c r="CK102" s="518" t="str">
        <f>IF(AND(_F="B-737-800",'2024'!$F$4="CA",'2024'!$F$2=CK81),'2024DATA'!$D$23,"")</f>
        <v/>
      </c>
      <c r="CL102" s="518" t="str">
        <f>IF(AND(_F="B-737-800",'2024'!$F$4="CA",'2024'!$F$2=CL81),'2024DATA'!$E$23,"")</f>
        <v/>
      </c>
      <c r="CM102" s="518" t="str">
        <f>IF(AND(_F="B-737-800",'2024'!$F$4="CA",'2024'!$F$2=CM81),'2024DATA'!$F$23,"")</f>
        <v/>
      </c>
      <c r="CN102" s="518" t="str">
        <f>IF(AND(_F="B-737-800",'2024'!$F$4="CA",'2024'!$F$2=CN81),'2024DATA'!$G$23,"")</f>
        <v/>
      </c>
      <c r="CO102" s="518" t="str">
        <f>IF(AND(_F="B-737-800",'2024'!$F$4="CA",'2024'!$F$2=CO81),'2024DATA'!$H$23,"")</f>
        <v/>
      </c>
      <c r="CP102" s="518" t="str">
        <f>IF(AND(_F="B-737-800",'2024'!$F$4="CA",'2024'!$F$2=CP81),'2024DATA'!$I$23,"")</f>
        <v/>
      </c>
      <c r="CQ102" s="518" t="str">
        <f>IF(AND(_F="B-737-800",'2024'!$F$4="CA",'2024'!$F$2=CQ81),'2024DATA'!$J$23,"")</f>
        <v/>
      </c>
      <c r="CR102" s="518" t="str">
        <f>IF(AND(_F="B-737-800",'2024'!$F$4="CA",'2024'!$F$2=CR81),'2024DATA'!$K$23,"")</f>
        <v/>
      </c>
      <c r="CS102" s="518" t="str">
        <f>IF(AND(_F="B-737-800",'2024'!$F$4="CA",'2024'!$F$2=CS81),'2024DATA'!$L$23,"")</f>
        <v/>
      </c>
      <c r="CT102" s="518" t="str">
        <f>IF(AND(_F="B-737-800",'2024'!$F$4="CA",'2024'!$F$2=CT81),'2024DATA'!$M$23,"")</f>
        <v/>
      </c>
      <c r="CU102" s="520" t="str">
        <f>IF(AND(_F="B-737-800",'2024'!$F$4="CA",'2024'!$F$2=CU81),'2024DATA'!$N$23,"")</f>
        <v/>
      </c>
    </row>
    <row r="103" spans="16:99" x14ac:dyDescent="0.25">
      <c r="P103" s="940"/>
      <c r="Q103" s="13" t="s">
        <v>62</v>
      </c>
      <c r="R103" s="518" t="str">
        <f>IF(AND(_A="B-737-800",'2024'!$F$4="FO",'2024'!$F$2=R81),'2024DATA'!$C$24,"")</f>
        <v/>
      </c>
      <c r="S103" s="518" t="str">
        <f>IF(AND(_A="B-737-800",'2024'!$F$4="FO",'2024'!$F$2=S81),'2024DATA'!$D$24,"")</f>
        <v/>
      </c>
      <c r="T103" s="518" t="str">
        <f>IF(AND(_A="B-737-800",'2024'!$F$4="FO",'2024'!$F$2=T81),'2024DATA'!$E$24,"")</f>
        <v/>
      </c>
      <c r="U103" s="518" t="str">
        <f>IF(AND(_A="B-737-800",'2024'!$F$4="FO",'2024'!$F$2=U81),'2024DATA'!$F$24,"")</f>
        <v/>
      </c>
      <c r="V103" s="518" t="str">
        <f>IF(AND(_A="B-737-800",'2024'!$F$4="FO",'2024'!$F$2=V81),'2024DATA'!$G$24,"")</f>
        <v/>
      </c>
      <c r="W103" s="518" t="str">
        <f>IF(AND(_A="B-737-800",'2024'!$F$4="FO",'2024'!$F$2=W81),'2024DATA'!$H$24,"")</f>
        <v/>
      </c>
      <c r="X103" s="518" t="str">
        <f>IF(AND(_A="B-737-800",'2024'!$F$4="FO",'2024'!$F$2=X81),'2024DATA'!$I$24,"")</f>
        <v/>
      </c>
      <c r="Y103" s="518" t="str">
        <f>IF(AND(_A="B-737-800",'2024'!$F$4="FO",'2024'!$F$2=Y81),'2024DATA'!$J$24,"")</f>
        <v/>
      </c>
      <c r="Z103" s="518" t="str">
        <f>IF(AND(_A="B-737-800",'2024'!$F$4="FO",'2024'!$F$2=Z81),'2024DATA'!$K$24,"")</f>
        <v/>
      </c>
      <c r="AA103" s="518" t="str">
        <f>IF(AND(_A="B-737-800",'2024'!$F$4="FO",'2024'!$F$2=AA81),'2024DATA'!$L$24,"")</f>
        <v/>
      </c>
      <c r="AB103" s="518" t="str">
        <f>IF(AND(_A="B-737-800",'2024'!$F$4="FO",'2024'!$F$2=AB81),'2024DATA'!$M$24,"")</f>
        <v/>
      </c>
      <c r="AC103" s="520" t="str">
        <f>IF(AND(_A="B-737-800",'2024'!$F$4="FO",'2024'!$F$2=AC81),'2024DATA'!$N$24,"")</f>
        <v/>
      </c>
      <c r="AD103" s="940"/>
      <c r="AE103" s="13" t="s">
        <v>62</v>
      </c>
      <c r="AF103" s="518" t="str">
        <f>IF(AND(_B="B-737-800",'2024'!$F$4="FO",'2024'!$F$2=AF81),'2024DATA'!$C$24,"")</f>
        <v/>
      </c>
      <c r="AG103" s="518" t="str">
        <f>IF(AND(_B="B-737-800",'2024'!$F$4="FO",'2024'!$F$2=AG81),'2024DATA'!$D$24,"")</f>
        <v/>
      </c>
      <c r="AH103" s="518" t="str">
        <f>IF(AND(_B="B-737-800",'2024'!$F$4="FO",'2024'!$F$2=AH81),'2024DATA'!$E$24,"")</f>
        <v/>
      </c>
      <c r="AI103" s="518" t="str">
        <f>IF(AND(_B="B-737-800",'2024'!$F$4="FO",'2024'!$F$2=AI81),'2024DATA'!$F$24,"")</f>
        <v/>
      </c>
      <c r="AJ103" s="518" t="str">
        <f>IF(AND(_B="B-737-800",'2024'!$F$4="FO",'2024'!$F$2=AJ81),'2024DATA'!$G$24,"")</f>
        <v/>
      </c>
      <c r="AK103" s="518" t="str">
        <f>IF(AND(_B="B-737-800",'2024'!$F$4="FO",'2024'!$F$2=AK81),'2024DATA'!$H$24,"")</f>
        <v/>
      </c>
      <c r="AL103" s="518" t="str">
        <f>IF(AND(_B="B-737-800",'2024'!$F$4="FO",'2024'!$F$2=AL81),'2024DATA'!$I$24,"")</f>
        <v/>
      </c>
      <c r="AM103" s="518" t="str">
        <f>IF(AND(_B="B-737-800",'2024'!$F$4="FO",'2024'!$F$2=AM81),'2024DATA'!$J$24,"")</f>
        <v/>
      </c>
      <c r="AN103" s="518" t="str">
        <f>IF(AND(_B="B-737-800",'2024'!$F$4="FO",'2024'!$F$2=AN81),'2024DATA'!$K$24,"")</f>
        <v/>
      </c>
      <c r="AO103" s="518" t="str">
        <f>IF(AND(_B="B-737-800",'2024'!$F$4="FO",'2024'!$F$2=AO81),'2024DATA'!$L$24,"")</f>
        <v/>
      </c>
      <c r="AP103" s="518" t="str">
        <f>IF(AND(_B="B-737-800",'2024'!$F$4="FO",'2024'!$F$2=AP81),'2024DATA'!$M$24,"")</f>
        <v/>
      </c>
      <c r="AQ103" s="520" t="str">
        <f>IF(AND(_B="B-737-800",'2024'!$F$4="FO",'2024'!$F$2=AQ81),'2024DATA'!$N$24,"")</f>
        <v/>
      </c>
      <c r="AR103" s="940"/>
      <c r="AS103" s="13" t="s">
        <v>62</v>
      </c>
      <c r="AT103" s="518" t="str">
        <f>IF(AND(_C="B-737-800",'2024'!$F$4="FO",'2024'!$F$2=AT81),'2024DATA'!$C$24,"")</f>
        <v/>
      </c>
      <c r="AU103" s="518" t="str">
        <f>IF(AND(_C="B-737-800",'2024'!$F$4="FO",'2024'!$F$2=AU81),'2024DATA'!$D$24,"")</f>
        <v/>
      </c>
      <c r="AV103" s="518" t="str">
        <f>IF(AND(_C="B-737-800",'2024'!$F$4="FO",'2024'!$F$2=AV81),'2024DATA'!$E$24,"")</f>
        <v/>
      </c>
      <c r="AW103" s="518" t="str">
        <f>IF(AND(_C="B-737-800",'2024'!$F$4="FO",'2024'!$F$2=AW81),'2024DATA'!$F$24,"")</f>
        <v/>
      </c>
      <c r="AX103" s="518" t="str">
        <f>IF(AND(_C="B-737-800",'2024'!$F$4="FO",'2024'!$F$2=AX81),'2024DATA'!$G$24,"")</f>
        <v/>
      </c>
      <c r="AY103" s="518" t="str">
        <f>IF(AND(_C="B-737-800",'2024'!$F$4="FO",'2024'!$F$2=AY81),'2024DATA'!$H$24,"")</f>
        <v/>
      </c>
      <c r="AZ103" s="518" t="str">
        <f>IF(AND(_C="B-737-800",'2024'!$F$4="FO",'2024'!$F$2=AZ81),'2024DATA'!$I$24,"")</f>
        <v/>
      </c>
      <c r="BA103" s="518" t="str">
        <f>IF(AND(_C="B-737-800",'2024'!$F$4="FO",'2024'!$F$2=BA81),'2024DATA'!$J$24,"")</f>
        <v/>
      </c>
      <c r="BB103" s="518" t="str">
        <f>IF(AND(_C="B-737-800",'2024'!$F$4="FO",'2024'!$F$2=BB81),'2024DATA'!$K$24,"")</f>
        <v/>
      </c>
      <c r="BC103" s="518" t="str">
        <f>IF(AND(_C="B-737-800",'2024'!$F$4="FO",'2024'!$F$2=BC81),'2024DATA'!$L$24,"")</f>
        <v/>
      </c>
      <c r="BD103" s="518" t="str">
        <f>IF(AND(_C="B-737-800",'2024'!$F$4="FO",'2024'!$F$2=BD81),'2024DATA'!$M$24,"")</f>
        <v/>
      </c>
      <c r="BE103" s="520" t="str">
        <f>IF(AND(_C="B-737-800",'2024'!$F$4="FO",'2024'!$F$2=BE81),'2024DATA'!$N$24,"")</f>
        <v/>
      </c>
      <c r="BF103" s="940"/>
      <c r="BG103" s="13" t="s">
        <v>62</v>
      </c>
      <c r="BH103" s="518" t="str">
        <f>IF(AND(_D="B-737-800",'2024'!$F$4="FO",'2024'!$F$2=BH81),'2024DATA'!$C$24,"")</f>
        <v/>
      </c>
      <c r="BI103" s="518" t="str">
        <f>IF(AND(_D="B-737-800",'2024'!$F$4="FO",'2024'!$F$2=BI81),'2024DATA'!$D$24,"")</f>
        <v/>
      </c>
      <c r="BJ103" s="518" t="str">
        <f>IF(AND(_D="B-737-800",'2024'!$F$4="FO",'2024'!$F$2=BJ81),'2024DATA'!$E$24,"")</f>
        <v/>
      </c>
      <c r="BK103" s="518" t="str">
        <f>IF(AND(_D="B-737-800",'2024'!$F$4="FO",'2024'!$F$2=BK81),'2024DATA'!$F$24,"")</f>
        <v/>
      </c>
      <c r="BL103" s="518" t="str">
        <f>IF(AND(_D="B-737-800",'2024'!$F$4="FO",'2024'!$F$2=BL81),'2024DATA'!$G$24,"")</f>
        <v/>
      </c>
      <c r="BM103" s="518" t="str">
        <f>IF(AND(_D="B-737-800",'2024'!$F$4="FO",'2024'!$F$2=BM81),'2024DATA'!$H$24,"")</f>
        <v/>
      </c>
      <c r="BN103" s="518" t="str">
        <f>IF(AND(_D="B-737-800",'2024'!$F$4="FO",'2024'!$F$2=BN81),'2024DATA'!$I$24,"")</f>
        <v/>
      </c>
      <c r="BO103" s="518" t="str">
        <f>IF(AND(_D="B-737-800",'2024'!$F$4="FO",'2024'!$F$2=BO81),'2024DATA'!$J$24,"")</f>
        <v/>
      </c>
      <c r="BP103" s="518" t="str">
        <f>IF(AND(_D="B-737-800",'2024'!$F$4="FO",'2024'!$F$2=BP81),'2024DATA'!$K$24,"")</f>
        <v/>
      </c>
      <c r="BQ103" s="518" t="str">
        <f>IF(AND(_D="B-737-800",'2024'!$F$4="FO",'2024'!$F$2=BQ81),'2024DATA'!$L$24,"")</f>
        <v/>
      </c>
      <c r="BR103" s="518" t="str">
        <f>IF(AND(_D="B-737-800",'2024'!$F$4="FO",'2024'!$F$2=BR81),'2024DATA'!$M$24,"")</f>
        <v/>
      </c>
      <c r="BS103" s="520" t="str">
        <f>IF(AND(_D="B-737-800",'2024'!$F$4="FO",'2024'!$F$2=BS81),'2024DATA'!$N$24,"")</f>
        <v/>
      </c>
      <c r="BT103" s="940"/>
      <c r="BU103" s="13" t="s">
        <v>62</v>
      </c>
      <c r="BV103" s="518" t="str">
        <f>IF(AND(_E="B-737-800",'2024'!$F$4="FO",'2024'!$F$2=BV81),'2024DATA'!$C$24,"")</f>
        <v/>
      </c>
      <c r="BW103" s="518" t="str">
        <f>IF(AND(_E="B-737-800",'2024'!$F$4="FO",'2024'!$F$2=BW81),'2024DATA'!$D$24,"")</f>
        <v/>
      </c>
      <c r="BX103" s="518" t="str">
        <f>IF(AND(_E="B-737-800",'2024'!$F$4="FO",'2024'!$F$2=BX81),'2024DATA'!$E$24,"")</f>
        <v/>
      </c>
      <c r="BY103" s="518" t="str">
        <f>IF(AND(_E="B-737-800",'2024'!$F$4="FO",'2024'!$F$2=BY81),'2024DATA'!$F$24,"")</f>
        <v/>
      </c>
      <c r="BZ103" s="518" t="str">
        <f>IF(AND(_E="B-737-800",'2024'!$F$4="FO",'2024'!$F$2=BZ81),'2024DATA'!$G$24,"")</f>
        <v/>
      </c>
      <c r="CA103" s="518" t="str">
        <f>IF(AND(_E="B-737-800",'2024'!$F$4="FO",'2024'!$F$2=CA81),'2024DATA'!$H$24,"")</f>
        <v/>
      </c>
      <c r="CB103" s="518" t="str">
        <f>IF(AND(_E="B-737-800",'2024'!$F$4="FO",'2024'!$F$2=CB81),'2024DATA'!$I$24,"")</f>
        <v/>
      </c>
      <c r="CC103" s="518" t="str">
        <f>IF(AND(_E="B-737-800",'2024'!$F$4="FO",'2024'!$F$2=CC81),'2024DATA'!$J$24,"")</f>
        <v/>
      </c>
      <c r="CD103" s="518" t="str">
        <f>IF(AND(_E="B-737-800",'2024'!$F$4="FO",'2024'!$F$2=CD81),'2024DATA'!$K$24,"")</f>
        <v/>
      </c>
      <c r="CE103" s="518" t="str">
        <f>IF(AND(_E="B-737-800",'2024'!$F$4="FO",'2024'!$F$2=CE81),'2024DATA'!$L$24,"")</f>
        <v/>
      </c>
      <c r="CF103" s="518" t="str">
        <f>IF(AND(_E="B-737-800",'2024'!$F$4="FO",'2024'!$F$2=CF81),'2024DATA'!$M$24,"")</f>
        <v/>
      </c>
      <c r="CG103" s="520" t="str">
        <f>IF(AND(_E="B-737-800",'2024'!$F$4="FO",'2024'!$F$2=CG81),'2024DATA'!$N$24,"")</f>
        <v/>
      </c>
      <c r="CH103" s="940"/>
      <c r="CI103" s="13" t="s">
        <v>62</v>
      </c>
      <c r="CJ103" s="518" t="str">
        <f>IF(AND(_F="B-737-800",'2024'!$F$4="FO",'2024'!$F$2=CJ81),'2024DATA'!$C$24,"")</f>
        <v/>
      </c>
      <c r="CK103" s="518" t="str">
        <f>IF(AND(_F="B-737-800",'2024'!$F$4="FO",'2024'!$F$2=CK81),'2024DATA'!$D$24,"")</f>
        <v/>
      </c>
      <c r="CL103" s="518" t="str">
        <f>IF(AND(_F="B-737-800",'2024'!$F$4="FO",'2024'!$F$2=CL81),'2024DATA'!$E$24,"")</f>
        <v/>
      </c>
      <c r="CM103" s="518" t="str">
        <f>IF(AND(_F="B-737-800",'2024'!$F$4="FO",'2024'!$F$2=CM81),'2024DATA'!$F$24,"")</f>
        <v/>
      </c>
      <c r="CN103" s="518" t="str">
        <f>IF(AND(_F="B-737-800",'2024'!$F$4="FO",'2024'!$F$2=CN81),'2024DATA'!$G$24,"")</f>
        <v/>
      </c>
      <c r="CO103" s="518" t="str">
        <f>IF(AND(_F="B-737-800",'2024'!$F$4="FO",'2024'!$F$2=CO81),'2024DATA'!$H$24,"")</f>
        <v/>
      </c>
      <c r="CP103" s="518" t="str">
        <f>IF(AND(_F="B-737-800",'2024'!$F$4="FO",'2024'!$F$2=CP81),'2024DATA'!$I$24,"")</f>
        <v/>
      </c>
      <c r="CQ103" s="518" t="str">
        <f>IF(AND(_F="B-737-800",'2024'!$F$4="FO",'2024'!$F$2=CQ81),'2024DATA'!$J$24,"")</f>
        <v/>
      </c>
      <c r="CR103" s="518" t="str">
        <f>IF(AND(_F="B-737-800",'2024'!$F$4="FO",'2024'!$F$2=CR81),'2024DATA'!$K$24,"")</f>
        <v/>
      </c>
      <c r="CS103" s="518" t="str">
        <f>IF(AND(_F="B-737-800",'2024'!$F$4="FO",'2024'!$F$2=CS81),'2024DATA'!$L$24,"")</f>
        <v/>
      </c>
      <c r="CT103" s="518" t="str">
        <f>IF(AND(_F="B-737-800",'2024'!$F$4="FO",'2024'!$F$2=CT81),'2024DATA'!$M$24,"")</f>
        <v/>
      </c>
      <c r="CU103" s="520" t="str">
        <f>IF(AND(_F="B-737-800",'2024'!$F$4="FO",'2024'!$F$2=CU81),'2024DATA'!$N$24,"")</f>
        <v/>
      </c>
    </row>
    <row r="104" spans="16:99" x14ac:dyDescent="0.25">
      <c r="P104" s="940" t="s">
        <v>46</v>
      </c>
      <c r="Q104" s="13" t="s">
        <v>61</v>
      </c>
      <c r="R104" s="518" t="str">
        <f>IF(AND(_A="A-321N",'2024'!$F$4="CA",'2024'!$F$2=R81),'2024DATA'!$C$25,"")</f>
        <v/>
      </c>
      <c r="S104" s="518" t="str">
        <f>IF(AND(_A="A-321N",'2024'!$F$4="CA",'2024'!$F$2=S81),'2024DATA'!$D$25,"")</f>
        <v/>
      </c>
      <c r="T104" s="518" t="str">
        <f>IF(AND(_A="A-321N",'2024'!$F$4="CA",'2024'!$F$2=T81),'2024DATA'!$E$25,"")</f>
        <v/>
      </c>
      <c r="U104" s="518" t="str">
        <f>IF(AND(_A="A-321N",'2024'!$F$4="CA",'2024'!$F$2=U81),'2024DATA'!$F$25,"")</f>
        <v/>
      </c>
      <c r="V104" s="518" t="str">
        <f>IF(AND(_A="A-321N",'2024'!$F$4="CA",'2024'!$F$2=V81),'2024DATA'!$G$25,"")</f>
        <v/>
      </c>
      <c r="W104" s="518" t="str">
        <f>IF(AND(_A="A-321N",'2024'!$F$4="CA",'2024'!$F$2=W81),'2024DATA'!$H$25,"")</f>
        <v/>
      </c>
      <c r="X104" s="518" t="str">
        <f>IF(AND(_A="A-321N",'2024'!$F$4="CA",'2024'!$F$2=X81),'2024DATA'!$I$25,"")</f>
        <v/>
      </c>
      <c r="Y104" s="518" t="str">
        <f>IF(AND(_A="A-321N",'2024'!$F$4="CA",'2024'!$F$2=Y81),'2024DATA'!$J$25,"")</f>
        <v/>
      </c>
      <c r="Z104" s="518" t="str">
        <f>IF(AND(_A="A-321N",'2024'!$F$4="CA",'2024'!$F$2=Z81),'2024DATA'!$K$25,"")</f>
        <v/>
      </c>
      <c r="AA104" s="518" t="str">
        <f>IF(AND(_A="A-321N",'2024'!$F$4="CA",'2024'!$F$2=AA81),'2024DATA'!$L$25,"")</f>
        <v/>
      </c>
      <c r="AB104" s="518" t="str">
        <f>IF(AND(_A="A-321N",'2024'!$F$4="CA",'2024'!$F$2=AB81),'2024DATA'!$M$25,"")</f>
        <v/>
      </c>
      <c r="AC104" s="520" t="str">
        <f>IF(AND(_A="A-321N",'2024'!$F$4="CA",'2024'!$F$2=AC81),'2024DATA'!$N$25,"")</f>
        <v/>
      </c>
      <c r="AD104" s="940" t="s">
        <v>46</v>
      </c>
      <c r="AE104" s="13" t="s">
        <v>61</v>
      </c>
      <c r="AF104" s="518" t="str">
        <f>IF(AND(_B="A-321N",'2024'!$F$4="CA",'2024'!$F$2=AF81),'2024DATA'!$C$25,"")</f>
        <v/>
      </c>
      <c r="AG104" s="518" t="str">
        <f>IF(AND(_B="A-321N",'2024'!$F$4="CA",'2024'!$F$2=AG81),'2024DATA'!$D$25,"")</f>
        <v/>
      </c>
      <c r="AH104" s="518" t="str">
        <f>IF(AND(_B="A-321N",'2024'!$F$4="CA",'2024'!$F$2=AH81),'2024DATA'!$E$25,"")</f>
        <v/>
      </c>
      <c r="AI104" s="518" t="str">
        <f>IF(AND(_B="A-321N",'2024'!$F$4="CA",'2024'!$F$2=AI81),'2024DATA'!$F$25,"")</f>
        <v/>
      </c>
      <c r="AJ104" s="518" t="str">
        <f>IF(AND(_B="A-321N",'2024'!$F$4="CA",'2024'!$F$2=AJ81),'2024DATA'!$G$25,"")</f>
        <v/>
      </c>
      <c r="AK104" s="518" t="str">
        <f>IF(AND(_B="A-321N",'2024'!$F$4="CA",'2024'!$F$2=AK81),'2024DATA'!$H$25,"")</f>
        <v/>
      </c>
      <c r="AL104" s="518" t="str">
        <f>IF(AND(_B="A-321N",'2024'!$F$4="CA",'2024'!$F$2=AL81),'2024DATA'!$I$25,"")</f>
        <v/>
      </c>
      <c r="AM104" s="518" t="str">
        <f>IF(AND(_B="A-321N",'2024'!$F$4="CA",'2024'!$F$2=AM81),'2024DATA'!$J$25,"")</f>
        <v/>
      </c>
      <c r="AN104" s="518" t="str">
        <f>IF(AND(_B="A-321N",'2024'!$F$4="CA",'2024'!$F$2=AN81),'2024DATA'!$K$25,"")</f>
        <v/>
      </c>
      <c r="AO104" s="518" t="str">
        <f>IF(AND(_B="A-321N",'2024'!$F$4="CA",'2024'!$F$2=AO81),'2024DATA'!$L$25,"")</f>
        <v/>
      </c>
      <c r="AP104" s="518" t="str">
        <f>IF(AND(_B="A-321N",'2024'!$F$4="CA",'2024'!$F$2=AP81),'2024DATA'!$M$25,"")</f>
        <v/>
      </c>
      <c r="AQ104" s="520" t="str">
        <f>IF(AND(_B="A-321N",'2024'!$F$4="CA",'2024'!$F$2=AQ81),'2024DATA'!$N$25,"")</f>
        <v/>
      </c>
      <c r="AR104" s="940" t="s">
        <v>46</v>
      </c>
      <c r="AS104" s="13" t="s">
        <v>61</v>
      </c>
      <c r="AT104" s="518" t="str">
        <f>IF(AND(_C="A-321N",'2024'!$F$4="CA",'2024'!$F$2=AT81),'2024DATA'!$C$25,"")</f>
        <v/>
      </c>
      <c r="AU104" s="518" t="str">
        <f>IF(AND(_C="A-321N",'2024'!$F$4="CA",'2024'!$F$2=AU81),'2024DATA'!$D$25,"")</f>
        <v/>
      </c>
      <c r="AV104" s="518" t="str">
        <f>IF(AND(_C="A-321N",'2024'!$F$4="CA",'2024'!$F$2=AV81),'2024DATA'!$E$25,"")</f>
        <v/>
      </c>
      <c r="AW104" s="518" t="str">
        <f>IF(AND(_C="A-321N",'2024'!$F$4="CA",'2024'!$F$2=AW81),'2024DATA'!$F$25,"")</f>
        <v/>
      </c>
      <c r="AX104" s="518" t="str">
        <f>IF(AND(_C="A-321N",'2024'!$F$4="CA",'2024'!$F$2=AX81),'2024DATA'!$G$25,"")</f>
        <v/>
      </c>
      <c r="AY104" s="518" t="str">
        <f>IF(AND(_C="A-321N",'2024'!$F$4="CA",'2024'!$F$2=AY81),'2024DATA'!$H$25,"")</f>
        <v/>
      </c>
      <c r="AZ104" s="518" t="str">
        <f>IF(AND(_C="A-321N",'2024'!$F$4="CA",'2024'!$F$2=AZ81),'2024DATA'!$I$25,"")</f>
        <v/>
      </c>
      <c r="BA104" s="518" t="str">
        <f>IF(AND(_C="A-321N",'2024'!$F$4="CA",'2024'!$F$2=BA81),'2024DATA'!$J$25,"")</f>
        <v/>
      </c>
      <c r="BB104" s="518" t="str">
        <f>IF(AND(_C="A-321N",'2024'!$F$4="CA",'2024'!$F$2=BB81),'2024DATA'!$K$25,"")</f>
        <v/>
      </c>
      <c r="BC104" s="518" t="str">
        <f>IF(AND(_C="A-321N",'2024'!$F$4="CA",'2024'!$F$2=BC81),'2024DATA'!$L$25,"")</f>
        <v/>
      </c>
      <c r="BD104" s="518" t="str">
        <f>IF(AND(_C="A-321N",'2024'!$F$4="CA",'2024'!$F$2=BD81),'2024DATA'!$M$25,"")</f>
        <v/>
      </c>
      <c r="BE104" s="520" t="str">
        <f>IF(AND(_C="A-321N",'2024'!$F$4="CA",'2024'!$F$2=BE81),'2024DATA'!$N$25,"")</f>
        <v/>
      </c>
      <c r="BF104" s="940" t="s">
        <v>46</v>
      </c>
      <c r="BG104" s="13" t="s">
        <v>61</v>
      </c>
      <c r="BH104" s="518" t="str">
        <f>IF(AND(_D="A-321N",'2024'!$F$4="CA",'2024'!$F$2=BH81),'2024DATA'!$C$25,"")</f>
        <v/>
      </c>
      <c r="BI104" s="518" t="str">
        <f>IF(AND(_D="A-321N",'2024'!$F$4="CA",'2024'!$F$2=BI81),'2024DATA'!$D$25,"")</f>
        <v/>
      </c>
      <c r="BJ104" s="518" t="str">
        <f>IF(AND(_D="A-321N",'2024'!$F$4="CA",'2024'!$F$2=BJ81),'2024DATA'!$E$25,"")</f>
        <v/>
      </c>
      <c r="BK104" s="518" t="str">
        <f>IF(AND(_D="A-321N",'2024'!$F$4="CA",'2024'!$F$2=BK81),'2024DATA'!$F$25,"")</f>
        <v/>
      </c>
      <c r="BL104" s="518" t="str">
        <f>IF(AND(_D="A-321N",'2024'!$F$4="CA",'2024'!$F$2=BL81),'2024DATA'!$G$25,"")</f>
        <v/>
      </c>
      <c r="BM104" s="518" t="str">
        <f>IF(AND(_D="A-321N",'2024'!$F$4="CA",'2024'!$F$2=BM81),'2024DATA'!$H$25,"")</f>
        <v/>
      </c>
      <c r="BN104" s="518" t="str">
        <f>IF(AND(_D="A-321N",'2024'!$F$4="CA",'2024'!$F$2=BN81),'2024DATA'!$I$25,"")</f>
        <v/>
      </c>
      <c r="BO104" s="518" t="str">
        <f>IF(AND(_D="A-321N",'2024'!$F$4="CA",'2024'!$F$2=BO81),'2024DATA'!$J$25,"")</f>
        <v/>
      </c>
      <c r="BP104" s="518" t="str">
        <f>IF(AND(_D="A-321N",'2024'!$F$4="CA",'2024'!$F$2=BP81),'2024DATA'!$K$25,"")</f>
        <v/>
      </c>
      <c r="BQ104" s="518" t="str">
        <f>IF(AND(_D="A-321N",'2024'!$F$4="CA",'2024'!$F$2=BQ81),'2024DATA'!$L$25,"")</f>
        <v/>
      </c>
      <c r="BR104" s="518" t="str">
        <f>IF(AND(_D="A-321N",'2024'!$F$4="CA",'2024'!$F$2=BR81),'2024DATA'!$M$25,"")</f>
        <v/>
      </c>
      <c r="BS104" s="520" t="str">
        <f>IF(AND(_D="A-321N",'2024'!$F$4="CA",'2024'!$F$2=BS81),'2024DATA'!$N$25,"")</f>
        <v/>
      </c>
      <c r="BT104" s="940" t="s">
        <v>46</v>
      </c>
      <c r="BU104" s="13" t="s">
        <v>61</v>
      </c>
      <c r="BV104" s="518" t="str">
        <f>IF(AND(_E="A-321N",'2024'!$F$4="CA",'2024'!$F$2=BV81),'2024DATA'!$C$25,"")</f>
        <v/>
      </c>
      <c r="BW104" s="518" t="str">
        <f>IF(AND(_E="A-321N",'2024'!$F$4="CA",'2024'!$F$2=BW81),'2024DATA'!$D$25,"")</f>
        <v/>
      </c>
      <c r="BX104" s="518" t="str">
        <f>IF(AND(_E="A-321N",'2024'!$F$4="CA",'2024'!$F$2=BX81),'2024DATA'!$E$25,"")</f>
        <v/>
      </c>
      <c r="BY104" s="518" t="str">
        <f>IF(AND(_E="A-321N",'2024'!$F$4="CA",'2024'!$F$2=BY81),'2024DATA'!$F$25,"")</f>
        <v/>
      </c>
      <c r="BZ104" s="518" t="str">
        <f>IF(AND(_E="A-321N",'2024'!$F$4="CA",'2024'!$F$2=BZ81),'2024DATA'!$G$25,"")</f>
        <v/>
      </c>
      <c r="CA104" s="518" t="str">
        <f>IF(AND(_E="A-321N",'2024'!$F$4="CA",'2024'!$F$2=CA81),'2024DATA'!$H$25,"")</f>
        <v/>
      </c>
      <c r="CB104" s="518" t="str">
        <f>IF(AND(_E="A-321N",'2024'!$F$4="CA",'2024'!$F$2=CB81),'2024DATA'!$I$25,"")</f>
        <v/>
      </c>
      <c r="CC104" s="518" t="str">
        <f>IF(AND(_E="A-321N",'2024'!$F$4="CA",'2024'!$F$2=CC81),'2024DATA'!$J$25,"")</f>
        <v/>
      </c>
      <c r="CD104" s="518" t="str">
        <f>IF(AND(_E="A-321N",'2024'!$F$4="CA",'2024'!$F$2=CD81),'2024DATA'!$K$25,"")</f>
        <v/>
      </c>
      <c r="CE104" s="518" t="str">
        <f>IF(AND(_E="A-321N",'2024'!$F$4="CA",'2024'!$F$2=CE81),'2024DATA'!$L$25,"")</f>
        <v/>
      </c>
      <c r="CF104" s="518" t="str">
        <f>IF(AND(_E="A-321N",'2024'!$F$4="CA",'2024'!$F$2=CF81),'2024DATA'!$M$25,"")</f>
        <v/>
      </c>
      <c r="CG104" s="520" t="str">
        <f>IF(AND(_E="A-321N",'2024'!$F$4="CA",'2024'!$F$2=CG81),'2024DATA'!$N$25,"")</f>
        <v/>
      </c>
      <c r="CH104" s="940" t="s">
        <v>46</v>
      </c>
      <c r="CI104" s="13" t="s">
        <v>61</v>
      </c>
      <c r="CJ104" s="518" t="str">
        <f>IF(AND(_F="A-321N",'2024'!$F$4="CA",'2024'!$F$2=CJ81),'2024DATA'!$C$25,"")</f>
        <v/>
      </c>
      <c r="CK104" s="518" t="str">
        <f>IF(AND(_F="A-321N",'2024'!$F$4="CA",'2024'!$F$2=CK81),'2024DATA'!$D$25,"")</f>
        <v/>
      </c>
      <c r="CL104" s="518" t="str">
        <f>IF(AND(_F="A-321N",'2024'!$F$4="CA",'2024'!$F$2=CL81),'2024DATA'!$E$25,"")</f>
        <v/>
      </c>
      <c r="CM104" s="518" t="str">
        <f>IF(AND(_F="A-321N",'2024'!$F$4="CA",'2024'!$F$2=CM81),'2024DATA'!$F$25,"")</f>
        <v/>
      </c>
      <c r="CN104" s="518" t="str">
        <f>IF(AND(_F="A-321N",'2024'!$F$4="CA",'2024'!$F$2=CN81),'2024DATA'!$G$25,"")</f>
        <v/>
      </c>
      <c r="CO104" s="518" t="str">
        <f>IF(AND(_F="A-321N",'2024'!$F$4="CA",'2024'!$F$2=CO81),'2024DATA'!$H$25,"")</f>
        <v/>
      </c>
      <c r="CP104" s="518" t="str">
        <f>IF(AND(_F="A-321N",'2024'!$F$4="CA",'2024'!$F$2=CP81),'2024DATA'!$I$25,"")</f>
        <v/>
      </c>
      <c r="CQ104" s="518" t="str">
        <f>IF(AND(_F="A-321N",'2024'!$F$4="CA",'2024'!$F$2=CQ81),'2024DATA'!$J$25,"")</f>
        <v/>
      </c>
      <c r="CR104" s="518" t="str">
        <f>IF(AND(_F="A-321N",'2024'!$F$4="CA",'2024'!$F$2=CR81),'2024DATA'!$K$25,"")</f>
        <v/>
      </c>
      <c r="CS104" s="518" t="str">
        <f>IF(AND(_F="A-321N",'2024'!$F$4="CA",'2024'!$F$2=CS81),'2024DATA'!$L$25,"")</f>
        <v/>
      </c>
      <c r="CT104" s="518" t="str">
        <f>IF(AND(_F="A-321N",'2024'!$F$4="CA",'2024'!$F$2=CT81),'2024DATA'!$M$25,"")</f>
        <v/>
      </c>
      <c r="CU104" s="520" t="str">
        <f>IF(AND(_F="A-321N",'2024'!$F$4="CA",'2024'!$F$2=CU81),'2024DATA'!$N$25,"")</f>
        <v/>
      </c>
    </row>
    <row r="105" spans="16:99" x14ac:dyDescent="0.25">
      <c r="P105" s="940"/>
      <c r="Q105" s="13" t="s">
        <v>62</v>
      </c>
      <c r="R105" s="518" t="str">
        <f>IF(AND(_A="A-321N",'2024'!$F$4="FO",'2024'!$F$2=R81),'2024DATA'!$C$26,"")</f>
        <v/>
      </c>
      <c r="S105" s="518" t="str">
        <f>IF(AND(_A="A-321N",'2024'!$F$4="FO",'2024'!$F$2=S81),'2024DATA'!$D$26,"")</f>
        <v/>
      </c>
      <c r="T105" s="518" t="str">
        <f>IF(AND(_A="A-321N",'2024'!$F$4="FO",'2024'!$F$2=T81),'2024DATA'!$E$26,"")</f>
        <v/>
      </c>
      <c r="U105" s="518" t="str">
        <f>IF(AND(_A="A-321N",'2024'!$F$4="FO",'2024'!$F$2=U81),'2024DATA'!$F$26,"")</f>
        <v/>
      </c>
      <c r="V105" s="518" t="str">
        <f>IF(AND(_A="A-321N",'2024'!$F$4="FO",'2024'!$F$2=V81),'2024DATA'!$G$26,"")</f>
        <v/>
      </c>
      <c r="W105" s="518" t="str">
        <f>IF(AND(_A="A-321N",'2024'!$F$4="FO",'2024'!$F$2=W81),'2024DATA'!$H$26,"")</f>
        <v/>
      </c>
      <c r="X105" s="518" t="str">
        <f>IF(AND(_A="A-321N",'2024'!$F$4="FO",'2024'!$F$2=X81),'2024DATA'!$I$26,"")</f>
        <v/>
      </c>
      <c r="Y105" s="518" t="str">
        <f>IF(AND(_A="A-321N",'2024'!$F$4="FO",'2024'!$F$2=Y81),'2024DATA'!$J$26,"")</f>
        <v/>
      </c>
      <c r="Z105" s="518" t="str">
        <f>IF(AND(_A="A-321N",'2024'!$F$4="FO",'2024'!$F$2=Z81),'2024DATA'!$K$26,"")</f>
        <v/>
      </c>
      <c r="AA105" s="518" t="str">
        <f>IF(AND(_A="A-321N",'2024'!$F$4="FO",'2024'!$F$2=AA81),'2024DATA'!$L$26,"")</f>
        <v/>
      </c>
      <c r="AB105" s="518" t="str">
        <f>IF(AND(_A="A-321N",'2024'!$F$4="FO",'2024'!$F$2=AB81),'2024DATA'!$M$26,"")</f>
        <v/>
      </c>
      <c r="AC105" s="520" t="str">
        <f>IF(AND(_A="A-321N",'2024'!$F$4="FO",'2024'!$F$2=AC81),'2024DATA'!$N$26,"")</f>
        <v/>
      </c>
      <c r="AD105" s="940"/>
      <c r="AE105" s="13" t="s">
        <v>62</v>
      </c>
      <c r="AF105" s="518" t="str">
        <f>IF(AND(_B="A-321N",'2024'!$F$4="FO",'2024'!$F$2=AF81),'2024DATA'!$C$26,"")</f>
        <v/>
      </c>
      <c r="AG105" s="518" t="str">
        <f>IF(AND(_B="A-321N",'2024'!$F$4="FO",'2024'!$F$2=AG81),'2024DATA'!$D$26,"")</f>
        <v/>
      </c>
      <c r="AH105" s="518" t="str">
        <f>IF(AND(_B="A-321N",'2024'!$F$4="FO",'2024'!$F$2=AH81),'2024DATA'!$E$26,"")</f>
        <v/>
      </c>
      <c r="AI105" s="518" t="str">
        <f>IF(AND(_B="A-321N",'2024'!$F$4="FO",'2024'!$F$2=AI81),'2024DATA'!$F$26,"")</f>
        <v/>
      </c>
      <c r="AJ105" s="518" t="str">
        <f>IF(AND(_B="A-321N",'2024'!$F$4="FO",'2024'!$F$2=AJ81),'2024DATA'!$G$26,"")</f>
        <v/>
      </c>
      <c r="AK105" s="518" t="str">
        <f>IF(AND(_B="A-321N",'2024'!$F$4="FO",'2024'!$F$2=AK81),'2024DATA'!$H$26,"")</f>
        <v/>
      </c>
      <c r="AL105" s="518" t="str">
        <f>IF(AND(_B="A-321N",'2024'!$F$4="FO",'2024'!$F$2=AL81),'2024DATA'!$I$26,"")</f>
        <v/>
      </c>
      <c r="AM105" s="518" t="str">
        <f>IF(AND(_B="A-321N",'2024'!$F$4="FO",'2024'!$F$2=AM81),'2024DATA'!$J$26,"")</f>
        <v/>
      </c>
      <c r="AN105" s="518" t="str">
        <f>IF(AND(_B="A-321N",'2024'!$F$4="FO",'2024'!$F$2=AN81),'2024DATA'!$K$26,"")</f>
        <v/>
      </c>
      <c r="AO105" s="518" t="str">
        <f>IF(AND(_B="A-321N",'2024'!$F$4="FO",'2024'!$F$2=AO81),'2024DATA'!$L$26,"")</f>
        <v/>
      </c>
      <c r="AP105" s="518" t="str">
        <f>IF(AND(_B="A-321N",'2024'!$F$4="FO",'2024'!$F$2=AP81),'2024DATA'!$M$26,"")</f>
        <v/>
      </c>
      <c r="AQ105" s="520" t="str">
        <f>IF(AND(_B="A-321N",'2024'!$F$4="FO",'2024'!$F$2=AQ81),'2024DATA'!$N$26,"")</f>
        <v/>
      </c>
      <c r="AR105" s="940"/>
      <c r="AS105" s="13" t="s">
        <v>62</v>
      </c>
      <c r="AT105" s="518" t="str">
        <f>IF(AND(_C="A-321N",'2024'!$F$4="FO",'2024'!$F$2=AT81),'2024DATA'!$C$26,"")</f>
        <v/>
      </c>
      <c r="AU105" s="518" t="str">
        <f>IF(AND(_C="A-321N",'2024'!$F$4="FO",'2024'!$F$2=AU81),'2024DATA'!$D$26,"")</f>
        <v/>
      </c>
      <c r="AV105" s="518" t="str">
        <f>IF(AND(_C="A-321N",'2024'!$F$4="FO",'2024'!$F$2=AV81),'2024DATA'!$E$26,"")</f>
        <v/>
      </c>
      <c r="AW105" s="518" t="str">
        <f>IF(AND(_C="A-321N",'2024'!$F$4="FO",'2024'!$F$2=AW81),'2024DATA'!$F$26,"")</f>
        <v/>
      </c>
      <c r="AX105" s="518" t="str">
        <f>IF(AND(_C="A-321N",'2024'!$F$4="FO",'2024'!$F$2=AX81),'2024DATA'!$G$26,"")</f>
        <v/>
      </c>
      <c r="AY105" s="518" t="str">
        <f>IF(AND(_C="A-321N",'2024'!$F$4="FO",'2024'!$F$2=AY81),'2024DATA'!$H$26,"")</f>
        <v/>
      </c>
      <c r="AZ105" s="518" t="str">
        <f>IF(AND(_C="A-321N",'2024'!$F$4="FO",'2024'!$F$2=AZ81),'2024DATA'!$I$26,"")</f>
        <v/>
      </c>
      <c r="BA105" s="518" t="str">
        <f>IF(AND(_C="A-321N",'2024'!$F$4="FO",'2024'!$F$2=BA81),'2024DATA'!$J$26,"")</f>
        <v/>
      </c>
      <c r="BB105" s="518" t="str">
        <f>IF(AND(_C="A-321N",'2024'!$F$4="FO",'2024'!$F$2=BB81),'2024DATA'!$K$26,"")</f>
        <v/>
      </c>
      <c r="BC105" s="518" t="str">
        <f>IF(AND(_C="A-321N",'2024'!$F$4="FO",'2024'!$F$2=BC81),'2024DATA'!$L$26,"")</f>
        <v/>
      </c>
      <c r="BD105" s="518" t="str">
        <f>IF(AND(_C="A-321N",'2024'!$F$4="FO",'2024'!$F$2=BD81),'2024DATA'!$M$26,"")</f>
        <v/>
      </c>
      <c r="BE105" s="520" t="str">
        <f>IF(AND(_C="A-321N",'2024'!$F$4="FO",'2024'!$F$2=BE81),'2024DATA'!$N$26,"")</f>
        <v/>
      </c>
      <c r="BF105" s="940"/>
      <c r="BG105" s="13" t="s">
        <v>62</v>
      </c>
      <c r="BH105" s="518" t="str">
        <f>IF(AND(_D="A-321N",'2024'!$F$4="FO",'2024'!$F$2=BH81),'2024DATA'!$C$26,"")</f>
        <v/>
      </c>
      <c r="BI105" s="518" t="str">
        <f>IF(AND(_D="A-321N",'2024'!$F$4="FO",'2024'!$F$2=BI81),'2024DATA'!$D$26,"")</f>
        <v/>
      </c>
      <c r="BJ105" s="518" t="str">
        <f>IF(AND(_D="A-321N",'2024'!$F$4="FO",'2024'!$F$2=BJ81),'2024DATA'!$E$26,"")</f>
        <v/>
      </c>
      <c r="BK105" s="518" t="str">
        <f>IF(AND(_D="A-321N",'2024'!$F$4="FO",'2024'!$F$2=BK81),'2024DATA'!$F$26,"")</f>
        <v/>
      </c>
      <c r="BL105" s="518" t="str">
        <f>IF(AND(_D="A-321N",'2024'!$F$4="FO",'2024'!$F$2=BL81),'2024DATA'!$G$26,"")</f>
        <v/>
      </c>
      <c r="BM105" s="518" t="str">
        <f>IF(AND(_D="A-321N",'2024'!$F$4="FO",'2024'!$F$2=BM81),'2024DATA'!$H$26,"")</f>
        <v/>
      </c>
      <c r="BN105" s="518" t="str">
        <f>IF(AND(_D="A-321N",'2024'!$F$4="FO",'2024'!$F$2=BN81),'2024DATA'!$I$26,"")</f>
        <v/>
      </c>
      <c r="BO105" s="518" t="str">
        <f>IF(AND(_D="A-321N",'2024'!$F$4="FO",'2024'!$F$2=BO81),'2024DATA'!$J$26,"")</f>
        <v/>
      </c>
      <c r="BP105" s="518" t="str">
        <f>IF(AND(_D="A-321N",'2024'!$F$4="FO",'2024'!$F$2=BP81),'2024DATA'!$K$26,"")</f>
        <v/>
      </c>
      <c r="BQ105" s="518" t="str">
        <f>IF(AND(_D="A-321N",'2024'!$F$4="FO",'2024'!$F$2=BQ81),'2024DATA'!$L$26,"")</f>
        <v/>
      </c>
      <c r="BR105" s="518" t="str">
        <f>IF(AND(_D="A-321N",'2024'!$F$4="FO",'2024'!$F$2=BR81),'2024DATA'!$M$26,"")</f>
        <v/>
      </c>
      <c r="BS105" s="520" t="str">
        <f>IF(AND(_D="A-321N",'2024'!$F$4="FO",'2024'!$F$2=BS81),'2024DATA'!$N$26,"")</f>
        <v/>
      </c>
      <c r="BT105" s="940"/>
      <c r="BU105" s="13" t="s">
        <v>62</v>
      </c>
      <c r="BV105" s="518" t="str">
        <f>IF(AND(_E="A-321N",'2024'!$F$4="FO",'2024'!$F$2=BV81),'2024DATA'!$C$26,"")</f>
        <v/>
      </c>
      <c r="BW105" s="518" t="str">
        <f>IF(AND(_E="A-321N",'2024'!$F$4="FO",'2024'!$F$2=BW81),'2024DATA'!$D$26,"")</f>
        <v/>
      </c>
      <c r="BX105" s="518" t="str">
        <f>IF(AND(_E="A-321N",'2024'!$F$4="FO",'2024'!$F$2=BX81),'2024DATA'!$E$26,"")</f>
        <v/>
      </c>
      <c r="BY105" s="518" t="str">
        <f>IF(AND(_E="A-321N",'2024'!$F$4="FO",'2024'!$F$2=BY81),'2024DATA'!$F$26,"")</f>
        <v/>
      </c>
      <c r="BZ105" s="518" t="str">
        <f>IF(AND(_E="A-321N",'2024'!$F$4="FO",'2024'!$F$2=BZ81),'2024DATA'!$G$26,"")</f>
        <v/>
      </c>
      <c r="CA105" s="518" t="str">
        <f>IF(AND(_E="A-321N",'2024'!$F$4="FO",'2024'!$F$2=CA81),'2024DATA'!$H$26,"")</f>
        <v/>
      </c>
      <c r="CB105" s="518" t="str">
        <f>IF(AND(_E="A-321N",'2024'!$F$4="FO",'2024'!$F$2=CB81),'2024DATA'!$I$26,"")</f>
        <v/>
      </c>
      <c r="CC105" s="518" t="str">
        <f>IF(AND(_E="A-321N",'2024'!$F$4="FO",'2024'!$F$2=CC81),'2024DATA'!$J$26,"")</f>
        <v/>
      </c>
      <c r="CD105" s="518" t="str">
        <f>IF(AND(_E="A-321N",'2024'!$F$4="FO",'2024'!$F$2=CD81),'2024DATA'!$K$26,"")</f>
        <v/>
      </c>
      <c r="CE105" s="518" t="str">
        <f>IF(AND(_E="A-321N",'2024'!$F$4="FO",'2024'!$F$2=CE81),'2024DATA'!$L$26,"")</f>
        <v/>
      </c>
      <c r="CF105" s="518" t="str">
        <f>IF(AND(_E="A-321N",'2024'!$F$4="FO",'2024'!$F$2=CF81),'2024DATA'!$M$26,"")</f>
        <v/>
      </c>
      <c r="CG105" s="520" t="str">
        <f>IF(AND(_E="A-321N",'2024'!$F$4="FO",'2024'!$F$2=CG81),'2024DATA'!$N$26,"")</f>
        <v/>
      </c>
      <c r="CH105" s="940"/>
      <c r="CI105" s="13" t="s">
        <v>62</v>
      </c>
      <c r="CJ105" s="518" t="str">
        <f>IF(AND(_F="A-321N",'2024'!$F$4="FO",'2024'!$F$2=CJ81),'2024DATA'!$C$26,"")</f>
        <v/>
      </c>
      <c r="CK105" s="518" t="str">
        <f>IF(AND(_F="A-321N",'2024'!$F$4="FO",'2024'!$F$2=CK81),'2024DATA'!$D$26,"")</f>
        <v/>
      </c>
      <c r="CL105" s="518" t="str">
        <f>IF(AND(_F="A-321N",'2024'!$F$4="FO",'2024'!$F$2=CL81),'2024DATA'!$E$26,"")</f>
        <v/>
      </c>
      <c r="CM105" s="518" t="str">
        <f>IF(AND(_F="A-321N",'2024'!$F$4="FO",'2024'!$F$2=CM81),'2024DATA'!$F$26,"")</f>
        <v/>
      </c>
      <c r="CN105" s="518" t="str">
        <f>IF(AND(_F="A-321N",'2024'!$F$4="FO",'2024'!$F$2=CN81),'2024DATA'!$G$26,"")</f>
        <v/>
      </c>
      <c r="CO105" s="518" t="str">
        <f>IF(AND(_F="A-321N",'2024'!$F$4="FO",'2024'!$F$2=CO81),'2024DATA'!$H$26,"")</f>
        <v/>
      </c>
      <c r="CP105" s="518" t="str">
        <f>IF(AND(_F="A-321N",'2024'!$F$4="FO",'2024'!$F$2=CP81),'2024DATA'!$I$26,"")</f>
        <v/>
      </c>
      <c r="CQ105" s="518" t="str">
        <f>IF(AND(_F="A-321N",'2024'!$F$4="FO",'2024'!$F$2=CQ81),'2024DATA'!$J$26,"")</f>
        <v/>
      </c>
      <c r="CR105" s="518" t="str">
        <f>IF(AND(_F="A-321N",'2024'!$F$4="FO",'2024'!$F$2=CR81),'2024DATA'!$K$26,"")</f>
        <v/>
      </c>
      <c r="CS105" s="518" t="str">
        <f>IF(AND(_F="A-321N",'2024'!$F$4="FO",'2024'!$F$2=CS81),'2024DATA'!$L$26,"")</f>
        <v/>
      </c>
      <c r="CT105" s="518" t="str">
        <f>IF(AND(_F="A-321N",'2024'!$F$4="FO",'2024'!$F$2=CT81),'2024DATA'!$M$26,"")</f>
        <v/>
      </c>
      <c r="CU105" s="520" t="str">
        <f>IF(AND(_F="A-321N",'2024'!$F$4="FO",'2024'!$F$2=CU81),'2024DATA'!$N$26,"")</f>
        <v/>
      </c>
    </row>
    <row r="106" spans="16:99" x14ac:dyDescent="0.25">
      <c r="P106" s="940" t="s">
        <v>48</v>
      </c>
      <c r="Q106" s="13" t="s">
        <v>61</v>
      </c>
      <c r="R106" s="518" t="str">
        <f>IF(AND(_A="A-321",'2024'!$F$4="CA",'2024'!$F$2=R81),'2024DATA'!$C$27,"")</f>
        <v/>
      </c>
      <c r="S106" s="518" t="str">
        <f>IF(AND(_A="A-321",'2024'!$F$4="CA",'2024'!$F$2=S81),'2024DATA'!$D$27,"")</f>
        <v/>
      </c>
      <c r="T106" s="518" t="str">
        <f>IF(AND(_A="A-321",'2024'!$F$4="CA",'2024'!$F$2=T81),'2024DATA'!$E$27,"")</f>
        <v/>
      </c>
      <c r="U106" s="518" t="str">
        <f>IF(AND(_A="A-321",'2024'!$F$4="CA",'2024'!$F$2=U81),'2024DATA'!$F$27,"")</f>
        <v/>
      </c>
      <c r="V106" s="518" t="str">
        <f>IF(AND(_A="A-321",'2024'!$F$4="CA",'2024'!$F$2=V81),'2024DATA'!$G$27,"")</f>
        <v/>
      </c>
      <c r="W106" s="518" t="str">
        <f>IF(AND(_A="A-321",'2024'!$F$4="CA",'2024'!$F$2=W81),'2024DATA'!$H$27,"")</f>
        <v/>
      </c>
      <c r="X106" s="518" t="str">
        <f>IF(AND(_A="A-321",'2024'!$F$4="CA",'2024'!$F$2=X81),'2024DATA'!$I$27,"")</f>
        <v/>
      </c>
      <c r="Y106" s="518" t="str">
        <f>IF(AND(_A="A-321",'2024'!$F$4="CA",'2024'!$F$2=Y81),'2024DATA'!$J$27,"")</f>
        <v/>
      </c>
      <c r="Z106" s="518" t="str">
        <f>IF(AND(_A="A-321",'2024'!$F$4="CA",'2024'!$F$2=Z81),'2024DATA'!$K$27,"")</f>
        <v/>
      </c>
      <c r="AA106" s="518" t="str">
        <f>IF(AND(_A="A-321",'2024'!$F$4="CA",'2024'!$F$2=AA81),'2024DATA'!$L$27,"")</f>
        <v/>
      </c>
      <c r="AB106" s="518" t="str">
        <f>IF(AND(_A="A-321",'2024'!$F$4="CA",'2024'!$F$2=AB81),'2024DATA'!$M$27,"")</f>
        <v/>
      </c>
      <c r="AC106" s="520" t="str">
        <f>IF(AND(_A="A-321",'2024'!$F$4="CA",'2024'!$F$2=AC81),'2024DATA'!$N$27,"")</f>
        <v/>
      </c>
      <c r="AD106" s="940" t="s">
        <v>48</v>
      </c>
      <c r="AE106" s="13" t="s">
        <v>61</v>
      </c>
      <c r="AF106" s="518" t="str">
        <f>IF(AND(_B="A-321",'2024'!$F$4="CA",'2024'!$F$2=AF81),'2024DATA'!$C$27,"")</f>
        <v/>
      </c>
      <c r="AG106" s="518" t="str">
        <f>IF(AND(_B="A-321",'2024'!$F$4="CA",'2024'!$F$2=AG81),'2024DATA'!$D$27,"")</f>
        <v/>
      </c>
      <c r="AH106" s="518" t="str">
        <f>IF(AND(_B="A-321",'2024'!$F$4="CA",'2024'!$F$2=AH81),'2024DATA'!$E$27,"")</f>
        <v/>
      </c>
      <c r="AI106" s="518" t="str">
        <f>IF(AND(_B="A-321",'2024'!$F$4="CA",'2024'!$F$2=AI81),'2024DATA'!$F$27,"")</f>
        <v/>
      </c>
      <c r="AJ106" s="518" t="str">
        <f>IF(AND(_B="A-321",'2024'!$F$4="CA",'2024'!$F$2=AJ81),'2024DATA'!$G$27,"")</f>
        <v/>
      </c>
      <c r="AK106" s="518" t="str">
        <f>IF(AND(_B="A-321",'2024'!$F$4="CA",'2024'!$F$2=AK81),'2024DATA'!$H$27,"")</f>
        <v/>
      </c>
      <c r="AL106" s="518" t="str">
        <f>IF(AND(_B="A-321",'2024'!$F$4="CA",'2024'!$F$2=AL81),'2024DATA'!$I$27,"")</f>
        <v/>
      </c>
      <c r="AM106" s="518" t="str">
        <f>IF(AND(_B="A-321",'2024'!$F$4="CA",'2024'!$F$2=AM81),'2024DATA'!$J$27,"")</f>
        <v/>
      </c>
      <c r="AN106" s="518" t="str">
        <f>IF(AND(_B="A-321",'2024'!$F$4="CA",'2024'!$F$2=AN81),'2024DATA'!$K$27,"")</f>
        <v/>
      </c>
      <c r="AO106" s="518" t="str">
        <f>IF(AND(_B="A-321",'2024'!$F$4="CA",'2024'!$F$2=AO81),'2024DATA'!$L$27,"")</f>
        <v/>
      </c>
      <c r="AP106" s="518" t="str">
        <f>IF(AND(_B="A-321",'2024'!$F$4="CA",'2024'!$F$2=AP81),'2024DATA'!$M$27,"")</f>
        <v/>
      </c>
      <c r="AQ106" s="520" t="str">
        <f>IF(AND(_B="A-321",'2024'!$F$4="CA",'2024'!$F$2=AQ81),'2024DATA'!$N$27,"")</f>
        <v/>
      </c>
      <c r="AR106" s="940" t="s">
        <v>48</v>
      </c>
      <c r="AS106" s="13" t="s">
        <v>61</v>
      </c>
      <c r="AT106" s="518" t="str">
        <f>IF(AND(_C="A-321",'2024'!$F$4="CA",'2024'!$F$2=AT81),'2024DATA'!$C$27,"")</f>
        <v/>
      </c>
      <c r="AU106" s="518" t="str">
        <f>IF(AND(_C="A-321",'2024'!$F$4="CA",'2024'!$F$2=AU81),'2024DATA'!$D$27,"")</f>
        <v/>
      </c>
      <c r="AV106" s="518" t="str">
        <f>IF(AND(_C="A-321",'2024'!$F$4="CA",'2024'!$F$2=AV81),'2024DATA'!$E$27,"")</f>
        <v/>
      </c>
      <c r="AW106" s="518" t="str">
        <f>IF(AND(_C="A-321",'2024'!$F$4="CA",'2024'!$F$2=AW81),'2024DATA'!$F$27,"")</f>
        <v/>
      </c>
      <c r="AX106" s="518" t="str">
        <f>IF(AND(_C="A-321",'2024'!$F$4="CA",'2024'!$F$2=AX81),'2024DATA'!$G$27,"")</f>
        <v/>
      </c>
      <c r="AY106" s="518" t="str">
        <f>IF(AND(_C="A-321",'2024'!$F$4="CA",'2024'!$F$2=AY81),'2024DATA'!$H$27,"")</f>
        <v/>
      </c>
      <c r="AZ106" s="518" t="str">
        <f>IF(AND(_C="A-321",'2024'!$F$4="CA",'2024'!$F$2=AZ81),'2024DATA'!$I$27,"")</f>
        <v/>
      </c>
      <c r="BA106" s="518" t="str">
        <f>IF(AND(_C="A-321",'2024'!$F$4="CA",'2024'!$F$2=BA81),'2024DATA'!$J$27,"")</f>
        <v/>
      </c>
      <c r="BB106" s="518" t="str">
        <f>IF(AND(_C="A-321",'2024'!$F$4="CA",'2024'!$F$2=BB81),'2024DATA'!$K$27,"")</f>
        <v/>
      </c>
      <c r="BC106" s="518" t="str">
        <f>IF(AND(_C="A-321",'2024'!$F$4="CA",'2024'!$F$2=BC81),'2024DATA'!$L$27,"")</f>
        <v/>
      </c>
      <c r="BD106" s="518" t="str">
        <f>IF(AND(_C="A-321",'2024'!$F$4="CA",'2024'!$F$2=BD81),'2024DATA'!$M$27,"")</f>
        <v/>
      </c>
      <c r="BE106" s="520" t="str">
        <f>IF(AND(_C="A-321",'2024'!$F$4="CA",'2024'!$F$2=BE81),'2024DATA'!$N$27,"")</f>
        <v/>
      </c>
      <c r="BF106" s="940" t="s">
        <v>48</v>
      </c>
      <c r="BG106" s="13" t="s">
        <v>61</v>
      </c>
      <c r="BH106" s="518" t="str">
        <f>IF(AND(_D="A-321",'2024'!$F$4="CA",'2024'!$F$2=BH81),'2024DATA'!$C$27,"")</f>
        <v/>
      </c>
      <c r="BI106" s="518" t="str">
        <f>IF(AND(_D="A-321",'2024'!$F$4="CA",'2024'!$F$2=BI81),'2024DATA'!$D$27,"")</f>
        <v/>
      </c>
      <c r="BJ106" s="518" t="str">
        <f>IF(AND(_D="A-321",'2024'!$F$4="CA",'2024'!$F$2=BJ81),'2024DATA'!$E$27,"")</f>
        <v/>
      </c>
      <c r="BK106" s="518" t="str">
        <f>IF(AND(_D="A-321",'2024'!$F$4="CA",'2024'!$F$2=BK81),'2024DATA'!$F$27,"")</f>
        <v/>
      </c>
      <c r="BL106" s="518" t="str">
        <f>IF(AND(_D="A-321",'2024'!$F$4="CA",'2024'!$F$2=BL81),'2024DATA'!$G$27,"")</f>
        <v/>
      </c>
      <c r="BM106" s="518" t="str">
        <f>IF(AND(_D="A-321",'2024'!$F$4="CA",'2024'!$F$2=BM81),'2024DATA'!$H$27,"")</f>
        <v/>
      </c>
      <c r="BN106" s="518" t="str">
        <f>IF(AND(_D="A-321",'2024'!$F$4="CA",'2024'!$F$2=BN81),'2024DATA'!$I$27,"")</f>
        <v/>
      </c>
      <c r="BO106" s="518" t="str">
        <f>IF(AND(_D="A-321",'2024'!$F$4="CA",'2024'!$F$2=BO81),'2024DATA'!$J$27,"")</f>
        <v/>
      </c>
      <c r="BP106" s="518" t="str">
        <f>IF(AND(_D="A-321",'2024'!$F$4="CA",'2024'!$F$2=BP81),'2024DATA'!$K$27,"")</f>
        <v/>
      </c>
      <c r="BQ106" s="518" t="str">
        <f>IF(AND(_D="A-321",'2024'!$F$4="CA",'2024'!$F$2=BQ81),'2024DATA'!$L$27,"")</f>
        <v/>
      </c>
      <c r="BR106" s="518" t="str">
        <f>IF(AND(_D="A-321",'2024'!$F$4="CA",'2024'!$F$2=BR81),'2024DATA'!$M$27,"")</f>
        <v/>
      </c>
      <c r="BS106" s="520" t="str">
        <f>IF(AND(_D="A-321",'2024'!$F$4="CA",'2024'!$F$2=BS81),'2024DATA'!$N$27,"")</f>
        <v/>
      </c>
      <c r="BT106" s="940" t="s">
        <v>48</v>
      </c>
      <c r="BU106" s="13" t="s">
        <v>61</v>
      </c>
      <c r="BV106" s="518" t="str">
        <f>IF(AND(_E="A-321",'2024'!$F$4="CA",'2024'!$F$2=BV81),'2024DATA'!$C$27,"")</f>
        <v/>
      </c>
      <c r="BW106" s="518" t="str">
        <f>IF(AND(_E="A-321",'2024'!$F$4="CA",'2024'!$F$2=BW81),'2024DATA'!$D$27,"")</f>
        <v/>
      </c>
      <c r="BX106" s="518" t="str">
        <f>IF(AND(_E="A-321",'2024'!$F$4="CA",'2024'!$F$2=BX81),'2024DATA'!$E$27,"")</f>
        <v/>
      </c>
      <c r="BY106" s="518" t="str">
        <f>IF(AND(_E="A-321",'2024'!$F$4="CA",'2024'!$F$2=BY81),'2024DATA'!$F$27,"")</f>
        <v/>
      </c>
      <c r="BZ106" s="518" t="str">
        <f>IF(AND(_E="A-321",'2024'!$F$4="CA",'2024'!$F$2=BZ81),'2024DATA'!$G$27,"")</f>
        <v/>
      </c>
      <c r="CA106" s="518" t="str">
        <f>IF(AND(_E="A-321",'2024'!$F$4="CA",'2024'!$F$2=CA81),'2024DATA'!$H$27,"")</f>
        <v/>
      </c>
      <c r="CB106" s="518" t="str">
        <f>IF(AND(_E="A-321",'2024'!$F$4="CA",'2024'!$F$2=CB81),'2024DATA'!$I$27,"")</f>
        <v/>
      </c>
      <c r="CC106" s="518" t="str">
        <f>IF(AND(_E="A-321",'2024'!$F$4="CA",'2024'!$F$2=CC81),'2024DATA'!$J$27,"")</f>
        <v/>
      </c>
      <c r="CD106" s="518" t="str">
        <f>IF(AND(_E="A-321",'2024'!$F$4="CA",'2024'!$F$2=CD81),'2024DATA'!$K$27,"")</f>
        <v/>
      </c>
      <c r="CE106" s="518" t="str">
        <f>IF(AND(_E="A-321",'2024'!$F$4="CA",'2024'!$F$2=CE81),'2024DATA'!$L$27,"")</f>
        <v/>
      </c>
      <c r="CF106" s="518" t="str">
        <f>IF(AND(_E="A-321",'2024'!$F$4="CA",'2024'!$F$2=CF81),'2024DATA'!$M$27,"")</f>
        <v/>
      </c>
      <c r="CG106" s="520" t="str">
        <f>IF(AND(_E="A-321",'2024'!$F$4="CA",'2024'!$F$2=CG81),'2024DATA'!$N$27,"")</f>
        <v/>
      </c>
      <c r="CH106" s="940" t="s">
        <v>48</v>
      </c>
      <c r="CI106" s="13" t="s">
        <v>61</v>
      </c>
      <c r="CJ106" s="518" t="str">
        <f>IF(AND(_F="A-321",'2024'!$F$4="CA",'2024'!$F$2=CJ81),'2024DATA'!$C$27,"")</f>
        <v/>
      </c>
      <c r="CK106" s="518" t="str">
        <f>IF(AND(_F="A-321",'2024'!$F$4="CA",'2024'!$F$2=CK81),'2024DATA'!$D$27,"")</f>
        <v/>
      </c>
      <c r="CL106" s="518" t="str">
        <f>IF(AND(_F="A-321",'2024'!$F$4="CA",'2024'!$F$2=CL81),'2024DATA'!$E$27,"")</f>
        <v/>
      </c>
      <c r="CM106" s="518" t="str">
        <f>IF(AND(_F="A-321",'2024'!$F$4="CA",'2024'!$F$2=CM81),'2024DATA'!$F$27,"")</f>
        <v/>
      </c>
      <c r="CN106" s="518" t="str">
        <f>IF(AND(_F="A-321",'2024'!$F$4="CA",'2024'!$F$2=CN81),'2024DATA'!$G$27,"")</f>
        <v/>
      </c>
      <c r="CO106" s="518" t="str">
        <f>IF(AND(_F="A-321",'2024'!$F$4="CA",'2024'!$F$2=CO81),'2024DATA'!$H$27,"")</f>
        <v/>
      </c>
      <c r="CP106" s="518" t="str">
        <f>IF(AND(_F="A-321",'2024'!$F$4="CA",'2024'!$F$2=CP81),'2024DATA'!$I$27,"")</f>
        <v/>
      </c>
      <c r="CQ106" s="518" t="str">
        <f>IF(AND(_F="A-321",'2024'!$F$4="CA",'2024'!$F$2=CQ81),'2024DATA'!$J$27,"")</f>
        <v/>
      </c>
      <c r="CR106" s="518" t="str">
        <f>IF(AND(_F="A-321",'2024'!$F$4="CA",'2024'!$F$2=CR81),'2024DATA'!$K$27,"")</f>
        <v/>
      </c>
      <c r="CS106" s="518" t="str">
        <f>IF(AND(_F="A-321",'2024'!$F$4="CA",'2024'!$F$2=CS81),'2024DATA'!$L$27,"")</f>
        <v/>
      </c>
      <c r="CT106" s="518" t="str">
        <f>IF(AND(_F="A-321",'2024'!$F$4="CA",'2024'!$F$2=CT81),'2024DATA'!$M$27,"")</f>
        <v/>
      </c>
      <c r="CU106" s="520" t="str">
        <f>IF(AND(_F="A-321",'2024'!$F$4="CA",'2024'!$F$2=CU81),'2024DATA'!$N$27,"")</f>
        <v/>
      </c>
    </row>
    <row r="107" spans="16:99" x14ac:dyDescent="0.25">
      <c r="P107" s="940"/>
      <c r="Q107" s="13" t="s">
        <v>62</v>
      </c>
      <c r="R107" s="518" t="str">
        <f>IF(AND(_A="A-321",'2024'!$F$4="FO",'2024'!$F$2=R81),'2024DATA'!$C$28,"")</f>
        <v/>
      </c>
      <c r="S107" s="518" t="str">
        <f>IF(AND(_A="A-321",'2024'!$F$4="FO",'2024'!$F$2=S81),'2024DATA'!$D$28,"")</f>
        <v/>
      </c>
      <c r="T107" s="518" t="str">
        <f>IF(AND(_A="A-321",'2024'!$F$4="FO",'2024'!$F$2=T81),'2024DATA'!$E$28,"")</f>
        <v/>
      </c>
      <c r="U107" s="518" t="str">
        <f>IF(AND(_A="A-321",'2024'!$F$4="FO",'2024'!$F$2=U81),'2024DATA'!$F$28,"")</f>
        <v/>
      </c>
      <c r="V107" s="518" t="str">
        <f>IF(AND(_A="A-321",'2024'!$F$4="FO",'2024'!$F$2=V81),'2024DATA'!$G$28,"")</f>
        <v/>
      </c>
      <c r="W107" s="518" t="str">
        <f>IF(AND(_A="A-321",'2024'!$F$4="FO",'2024'!$F$2=W81),'2024DATA'!$H$28,"")</f>
        <v/>
      </c>
      <c r="X107" s="518" t="str">
        <f>IF(AND(_A="A-321",'2024'!$F$4="FO",'2024'!$F$2=X81),'2024DATA'!$I$28,"")</f>
        <v/>
      </c>
      <c r="Y107" s="518" t="str">
        <f>IF(AND(_A="A-321",'2024'!$F$4="FO",'2024'!$F$2=Y81),'2024DATA'!$J$28,"")</f>
        <v/>
      </c>
      <c r="Z107" s="518" t="str">
        <f>IF(AND(_A="A-321",'2024'!$F$4="FO",'2024'!$F$2=Z81),'2024DATA'!$K$28,"")</f>
        <v/>
      </c>
      <c r="AA107" s="518" t="str">
        <f>IF(AND(_A="A-321",'2024'!$F$4="FO",'2024'!$F$2=AA81),'2024DATA'!$L$28,"")</f>
        <v/>
      </c>
      <c r="AB107" s="518" t="str">
        <f>IF(AND(_A="A-321",'2024'!$F$4="FO",'2024'!$F$2=AB81),'2024DATA'!$M$28,"")</f>
        <v/>
      </c>
      <c r="AC107" s="520" t="str">
        <f>IF(AND(_A="A-321",'2024'!$F$4="FO",'2024'!$F$2=AC81),'2024DATA'!$N$28,"")</f>
        <v/>
      </c>
      <c r="AD107" s="940"/>
      <c r="AE107" s="13" t="s">
        <v>62</v>
      </c>
      <c r="AF107" s="518" t="str">
        <f>IF(AND(_B="A-321",'2024'!$F$4="FO",'2024'!$F$2=AF81),'2024DATA'!$C$28,"")</f>
        <v/>
      </c>
      <c r="AG107" s="518" t="str">
        <f>IF(AND(_B="A-321",'2024'!$F$4="FO",'2024'!$F$2=AG81),'2024DATA'!$D$28,"")</f>
        <v/>
      </c>
      <c r="AH107" s="518" t="str">
        <f>IF(AND(_B="A-321",'2024'!$F$4="FO",'2024'!$F$2=AH81),'2024DATA'!$E$28,"")</f>
        <v/>
      </c>
      <c r="AI107" s="518" t="str">
        <f>IF(AND(_B="A-321",'2024'!$F$4="FO",'2024'!$F$2=AI81),'2024DATA'!$F$28,"")</f>
        <v/>
      </c>
      <c r="AJ107" s="518" t="str">
        <f>IF(AND(_B="A-321",'2024'!$F$4="FO",'2024'!$F$2=AJ81),'2024DATA'!$G$28,"")</f>
        <v/>
      </c>
      <c r="AK107" s="518" t="str">
        <f>IF(AND(_B="A-321",'2024'!$F$4="FO",'2024'!$F$2=AK81),'2024DATA'!$H$28,"")</f>
        <v/>
      </c>
      <c r="AL107" s="518" t="str">
        <f>IF(AND(_B="A-321",'2024'!$F$4="FO",'2024'!$F$2=AL81),'2024DATA'!$I$28,"")</f>
        <v/>
      </c>
      <c r="AM107" s="518" t="str">
        <f>IF(AND(_B="A-321",'2024'!$F$4="FO",'2024'!$F$2=AM81),'2024DATA'!$J$28,"")</f>
        <v/>
      </c>
      <c r="AN107" s="518" t="str">
        <f>IF(AND(_B="A-321",'2024'!$F$4="FO",'2024'!$F$2=AN81),'2024DATA'!$K$28,"")</f>
        <v/>
      </c>
      <c r="AO107" s="518" t="str">
        <f>IF(AND(_B="A-321",'2024'!$F$4="FO",'2024'!$F$2=AO81),'2024DATA'!$L$28,"")</f>
        <v/>
      </c>
      <c r="AP107" s="518" t="str">
        <f>IF(AND(_B="A-321",'2024'!$F$4="FO",'2024'!$F$2=AP81),'2024DATA'!$M$28,"")</f>
        <v/>
      </c>
      <c r="AQ107" s="520" t="str">
        <f>IF(AND(_B="A-321",'2024'!$F$4="FO",'2024'!$F$2=AQ81),'2024DATA'!$N$28,"")</f>
        <v/>
      </c>
      <c r="AR107" s="940"/>
      <c r="AS107" s="13" t="s">
        <v>62</v>
      </c>
      <c r="AT107" s="518" t="str">
        <f>IF(AND(_C="A-321",'2024'!$F$4="FO",'2024'!$F$2=AT81),'2024DATA'!$C$28,"")</f>
        <v/>
      </c>
      <c r="AU107" s="518" t="str">
        <f>IF(AND(_C="A-321",'2024'!$F$4="FO",'2024'!$F$2=AU81),'2024DATA'!$D$28,"")</f>
        <v/>
      </c>
      <c r="AV107" s="518" t="str">
        <f>IF(AND(_C="A-321",'2024'!$F$4="FO",'2024'!$F$2=AV81),'2024DATA'!$E$28,"")</f>
        <v/>
      </c>
      <c r="AW107" s="518" t="str">
        <f>IF(AND(_C="A-321",'2024'!$F$4="FO",'2024'!$F$2=AW81),'2024DATA'!$F$28,"")</f>
        <v/>
      </c>
      <c r="AX107" s="518" t="str">
        <f>IF(AND(_C="A-321",'2024'!$F$4="FO",'2024'!$F$2=AX81),'2024DATA'!$G$28,"")</f>
        <v/>
      </c>
      <c r="AY107" s="518" t="str">
        <f>IF(AND(_C="A-321",'2024'!$F$4="FO",'2024'!$F$2=AY81),'2024DATA'!$H$28,"")</f>
        <v/>
      </c>
      <c r="AZ107" s="518" t="str">
        <f>IF(AND(_C="A-321",'2024'!$F$4="FO",'2024'!$F$2=AZ81),'2024DATA'!$I$28,"")</f>
        <v/>
      </c>
      <c r="BA107" s="518" t="str">
        <f>IF(AND(_C="A-321",'2024'!$F$4="FO",'2024'!$F$2=BA81),'2024DATA'!$J$28,"")</f>
        <v/>
      </c>
      <c r="BB107" s="518" t="str">
        <f>IF(AND(_C="A-321",'2024'!$F$4="FO",'2024'!$F$2=BB81),'2024DATA'!$K$28,"")</f>
        <v/>
      </c>
      <c r="BC107" s="518" t="str">
        <f>IF(AND(_C="A-321",'2024'!$F$4="FO",'2024'!$F$2=BC81),'2024DATA'!$L$28,"")</f>
        <v/>
      </c>
      <c r="BD107" s="518" t="str">
        <f>IF(AND(_C="A-321",'2024'!$F$4="FO",'2024'!$F$2=BD81),'2024DATA'!$M$28,"")</f>
        <v/>
      </c>
      <c r="BE107" s="520" t="str">
        <f>IF(AND(_C="A-321",'2024'!$F$4="FO",'2024'!$F$2=BE81),'2024DATA'!$N$28,"")</f>
        <v/>
      </c>
      <c r="BF107" s="940"/>
      <c r="BG107" s="13" t="s">
        <v>62</v>
      </c>
      <c r="BH107" s="518" t="str">
        <f>IF(AND(_D="A-321",'2024'!$F$4="FO",'2024'!$F$2=BH81),'2024DATA'!$C$28,"")</f>
        <v/>
      </c>
      <c r="BI107" s="518" t="str">
        <f>IF(AND(_D="A-321",'2024'!$F$4="FO",'2024'!$F$2=BI81),'2024DATA'!$D$28,"")</f>
        <v/>
      </c>
      <c r="BJ107" s="518" t="str">
        <f>IF(AND(_D="A-321",'2024'!$F$4="FO",'2024'!$F$2=BJ81),'2024DATA'!$E$28,"")</f>
        <v/>
      </c>
      <c r="BK107" s="518" t="str">
        <f>IF(AND(_D="A-321",'2024'!$F$4="FO",'2024'!$F$2=BK81),'2024DATA'!$F$28,"")</f>
        <v/>
      </c>
      <c r="BL107" s="518" t="str">
        <f>IF(AND(_D="A-321",'2024'!$F$4="FO",'2024'!$F$2=BL81),'2024DATA'!$G$28,"")</f>
        <v/>
      </c>
      <c r="BM107" s="518" t="str">
        <f>IF(AND(_D="A-321",'2024'!$F$4="FO",'2024'!$F$2=BM81),'2024DATA'!$H$28,"")</f>
        <v/>
      </c>
      <c r="BN107" s="518" t="str">
        <f>IF(AND(_D="A-321",'2024'!$F$4="FO",'2024'!$F$2=BN81),'2024DATA'!$I$28,"")</f>
        <v/>
      </c>
      <c r="BO107" s="518" t="str">
        <f>IF(AND(_D="A-321",'2024'!$F$4="FO",'2024'!$F$2=BO81),'2024DATA'!$J$28,"")</f>
        <v/>
      </c>
      <c r="BP107" s="518" t="str">
        <f>IF(AND(_D="A-321",'2024'!$F$4="FO",'2024'!$F$2=BP81),'2024DATA'!$K$28,"")</f>
        <v/>
      </c>
      <c r="BQ107" s="518" t="str">
        <f>IF(AND(_D="A-321",'2024'!$F$4="FO",'2024'!$F$2=BQ81),'2024DATA'!$L$28,"")</f>
        <v/>
      </c>
      <c r="BR107" s="518" t="str">
        <f>IF(AND(_D="A-321",'2024'!$F$4="FO",'2024'!$F$2=BR81),'2024DATA'!$M$28,"")</f>
        <v/>
      </c>
      <c r="BS107" s="520" t="str">
        <f>IF(AND(_D="A-321",'2024'!$F$4="FO",'2024'!$F$2=BS81),'2024DATA'!$N$28,"")</f>
        <v/>
      </c>
      <c r="BT107" s="940"/>
      <c r="BU107" s="13" t="s">
        <v>62</v>
      </c>
      <c r="BV107" s="518" t="str">
        <f>IF(AND(_E="A-321",'2024'!$F$4="FO",'2024'!$F$2=BV81),'2024DATA'!$C$28,"")</f>
        <v/>
      </c>
      <c r="BW107" s="518" t="str">
        <f>IF(AND(_E="A-321",'2024'!$F$4="FO",'2024'!$F$2=BW81),'2024DATA'!$D$28,"")</f>
        <v/>
      </c>
      <c r="BX107" s="518" t="str">
        <f>IF(AND(_E="A-321",'2024'!$F$4="FO",'2024'!$F$2=BX81),'2024DATA'!$E$28,"")</f>
        <v/>
      </c>
      <c r="BY107" s="518" t="str">
        <f>IF(AND(_E="A-321",'2024'!$F$4="FO",'2024'!$F$2=BY81),'2024DATA'!$F$28,"")</f>
        <v/>
      </c>
      <c r="BZ107" s="518" t="str">
        <f>IF(AND(_E="A-321",'2024'!$F$4="FO",'2024'!$F$2=BZ81),'2024DATA'!$G$28,"")</f>
        <v/>
      </c>
      <c r="CA107" s="518" t="str">
        <f>IF(AND(_E="A-321",'2024'!$F$4="FO",'2024'!$F$2=CA81),'2024DATA'!$H$28,"")</f>
        <v/>
      </c>
      <c r="CB107" s="518" t="str">
        <f>IF(AND(_E="A-321",'2024'!$F$4="FO",'2024'!$F$2=CB81),'2024DATA'!$I$28,"")</f>
        <v/>
      </c>
      <c r="CC107" s="518" t="str">
        <f>IF(AND(_E="A-321",'2024'!$F$4="FO",'2024'!$F$2=CC81),'2024DATA'!$J$28,"")</f>
        <v/>
      </c>
      <c r="CD107" s="518" t="str">
        <f>IF(AND(_E="A-321",'2024'!$F$4="FO",'2024'!$F$2=CD81),'2024DATA'!$K$28,"")</f>
        <v/>
      </c>
      <c r="CE107" s="518" t="str">
        <f>IF(AND(_E="A-321",'2024'!$F$4="FO",'2024'!$F$2=CE81),'2024DATA'!$L$28,"")</f>
        <v/>
      </c>
      <c r="CF107" s="518" t="str">
        <f>IF(AND(_E="A-321",'2024'!$F$4="FO",'2024'!$F$2=CF81),'2024DATA'!$M$28,"")</f>
        <v/>
      </c>
      <c r="CG107" s="520" t="str">
        <f>IF(AND(_E="A-321",'2024'!$F$4="FO",'2024'!$F$2=CG81),'2024DATA'!$N$28,"")</f>
        <v/>
      </c>
      <c r="CH107" s="940"/>
      <c r="CI107" s="13" t="s">
        <v>62</v>
      </c>
      <c r="CJ107" s="518" t="str">
        <f>IF(AND(_F="A-321",'2024'!$F$4="FO",'2024'!$F$2=CJ81),'2024DATA'!$C$28,"")</f>
        <v/>
      </c>
      <c r="CK107" s="518" t="str">
        <f>IF(AND(_F="A-321",'2024'!$F$4="FO",'2024'!$F$2=CK81),'2024DATA'!$D$28,"")</f>
        <v/>
      </c>
      <c r="CL107" s="518" t="str">
        <f>IF(AND(_F="A-321",'2024'!$F$4="FO",'2024'!$F$2=CL81),'2024DATA'!$E$28,"")</f>
        <v/>
      </c>
      <c r="CM107" s="518" t="str">
        <f>IF(AND(_F="A-321",'2024'!$F$4="FO",'2024'!$F$2=CM81),'2024DATA'!$F$28,"")</f>
        <v/>
      </c>
      <c r="CN107" s="518" t="str">
        <f>IF(AND(_F="A-321",'2024'!$F$4="FO",'2024'!$F$2=CN81),'2024DATA'!$G$28,"")</f>
        <v/>
      </c>
      <c r="CO107" s="518" t="str">
        <f>IF(AND(_F="A-321",'2024'!$F$4="FO",'2024'!$F$2=CO81),'2024DATA'!$H$28,"")</f>
        <v/>
      </c>
      <c r="CP107" s="518" t="str">
        <f>IF(AND(_F="A-321",'2024'!$F$4="FO",'2024'!$F$2=CP81),'2024DATA'!$I$28,"")</f>
        <v/>
      </c>
      <c r="CQ107" s="518" t="str">
        <f>IF(AND(_F="A-321",'2024'!$F$4="FO",'2024'!$F$2=CQ81),'2024DATA'!$J$28,"")</f>
        <v/>
      </c>
      <c r="CR107" s="518" t="str">
        <f>IF(AND(_F="A-321",'2024'!$F$4="FO",'2024'!$F$2=CR81),'2024DATA'!$K$28,"")</f>
        <v/>
      </c>
      <c r="CS107" s="518" t="str">
        <f>IF(AND(_F="A-321",'2024'!$F$4="FO",'2024'!$F$2=CS81),'2024DATA'!$L$28,"")</f>
        <v/>
      </c>
      <c r="CT107" s="518" t="str">
        <f>IF(AND(_F="A-321",'2024'!$F$4="FO",'2024'!$F$2=CT81),'2024DATA'!$M$28,"")</f>
        <v/>
      </c>
      <c r="CU107" s="520" t="str">
        <f>IF(AND(_F="A-321",'2024'!$F$4="FO",'2024'!$F$2=CU81),'2024DATA'!$N$28,"")</f>
        <v/>
      </c>
    </row>
    <row r="108" spans="16:99" x14ac:dyDescent="0.25">
      <c r="P108" s="940" t="s">
        <v>70</v>
      </c>
      <c r="Q108" s="13" t="s">
        <v>61</v>
      </c>
      <c r="R108" s="518" t="str">
        <f>IF(AND(_A="A-320",'2024'!$F$4="CA",'2024'!$F$2=R81),'2024DATA'!$C$29,"")</f>
        <v/>
      </c>
      <c r="S108" s="518" t="str">
        <f>IF(AND(_A="A-320",'2024'!$F$4="CA",'2024'!$F$2=S81),'2024DATA'!$D$29,"")</f>
        <v/>
      </c>
      <c r="T108" s="518" t="str">
        <f>IF(AND(_A="A-320",'2024'!$F$4="CA",'2024'!$F$2=T81),'2024DATA'!$E$29,"")</f>
        <v/>
      </c>
      <c r="U108" s="518" t="str">
        <f>IF(AND(_A="A-320",'2024'!$F$4="CA",'2024'!$F$2=U81),'2024DATA'!$F$29,"")</f>
        <v/>
      </c>
      <c r="V108" s="518" t="str">
        <f>IF(AND(_A="A-320",'2024'!$F$4="CA",'2024'!$F$2=V81),'2024DATA'!$G$29,"")</f>
        <v/>
      </c>
      <c r="W108" s="518" t="str">
        <f>IF(AND(_A="A-320",'2024'!$F$4="CA",'2024'!$F$2=W81),'2024DATA'!$H$29,"")</f>
        <v/>
      </c>
      <c r="X108" s="518" t="str">
        <f>IF(AND(_A="A-320",'2024'!$F$4="CA",'2024'!$F$2=X81),'2024DATA'!$I$29,"")</f>
        <v/>
      </c>
      <c r="Y108" s="518" t="str">
        <f>IF(AND(_A="A-320",'2024'!$F$4="CA",'2024'!$F$2=Y81),'2024DATA'!$J$29,"")</f>
        <v/>
      </c>
      <c r="Z108" s="518" t="str">
        <f>IF(AND(_A="A-320",'2024'!$F$4="CA",'2024'!$F$2=Z81),'2024DATA'!$K$29,"")</f>
        <v/>
      </c>
      <c r="AA108" s="518" t="str">
        <f>IF(AND(_A="A-320",'2024'!$F$4="CA",'2024'!$F$2=AA81),'2024DATA'!$L$29,"")</f>
        <v/>
      </c>
      <c r="AB108" s="518" t="str">
        <f>IF(AND(_A="A-320",'2024'!$F$4="CA",'2024'!$F$2=AB81),'2024DATA'!$M$29,"")</f>
        <v/>
      </c>
      <c r="AC108" s="520" t="str">
        <f>IF(AND(_A="A-320",'2024'!$F$4="CA",'2024'!$F$2=AC81),'2024DATA'!$N$29,"")</f>
        <v/>
      </c>
      <c r="AD108" s="940" t="s">
        <v>70</v>
      </c>
      <c r="AE108" s="13" t="s">
        <v>61</v>
      </c>
      <c r="AF108" s="518" t="str">
        <f>IF(AND(_B="A-320",'2024'!$F$4="CA",'2024'!$F$2=AF81),'2024DATA'!$C$29,"")</f>
        <v/>
      </c>
      <c r="AG108" s="518" t="str">
        <f>IF(AND(_B="A-320",'2024'!$F$4="CA",'2024'!$F$2=AG81),'2024DATA'!$D$29,"")</f>
        <v/>
      </c>
      <c r="AH108" s="518" t="str">
        <f>IF(AND(_B="A-320",'2024'!$F$4="CA",'2024'!$F$2=AH81),'2024DATA'!$E$29,"")</f>
        <v/>
      </c>
      <c r="AI108" s="518" t="str">
        <f>IF(AND(_B="A-320",'2024'!$F$4="CA",'2024'!$F$2=AI81),'2024DATA'!$F$29,"")</f>
        <v/>
      </c>
      <c r="AJ108" s="518" t="str">
        <f>IF(AND(_B="A-320",'2024'!$F$4="CA",'2024'!$F$2=AJ81),'2024DATA'!$G$29,"")</f>
        <v/>
      </c>
      <c r="AK108" s="518" t="str">
        <f>IF(AND(_B="A-320",'2024'!$F$4="CA",'2024'!$F$2=AK81),'2024DATA'!$H$29,"")</f>
        <v/>
      </c>
      <c r="AL108" s="518" t="str">
        <f>IF(AND(_B="A-320",'2024'!$F$4="CA",'2024'!$F$2=AL81),'2024DATA'!$I$29,"")</f>
        <v/>
      </c>
      <c r="AM108" s="518" t="str">
        <f>IF(AND(_B="A-320",'2024'!$F$4="CA",'2024'!$F$2=AM81),'2024DATA'!$J$29,"")</f>
        <v/>
      </c>
      <c r="AN108" s="518" t="str">
        <f>IF(AND(_B="A-320",'2024'!$F$4="CA",'2024'!$F$2=AN81),'2024DATA'!$K$29,"")</f>
        <v/>
      </c>
      <c r="AO108" s="518" t="str">
        <f>IF(AND(_B="A-320",'2024'!$F$4="CA",'2024'!$F$2=AO81),'2024DATA'!$L$29,"")</f>
        <v/>
      </c>
      <c r="AP108" s="518" t="str">
        <f>IF(AND(_B="A-320",'2024'!$F$4="CA",'2024'!$F$2=AP81),'2024DATA'!$M$29,"")</f>
        <v/>
      </c>
      <c r="AQ108" s="520" t="str">
        <f>IF(AND(_B="A-320",'2024'!$F$4="CA",'2024'!$F$2=AQ81),'2024DATA'!$N$29,"")</f>
        <v/>
      </c>
      <c r="AR108" s="940" t="s">
        <v>70</v>
      </c>
      <c r="AS108" s="13" t="s">
        <v>61</v>
      </c>
      <c r="AT108" s="518" t="str">
        <f>IF(AND(_C="A-320",'2024'!$F$4="CA",'2024'!$F$2=AT81),'2024DATA'!$C$29,"")</f>
        <v/>
      </c>
      <c r="AU108" s="518" t="str">
        <f>IF(AND(_C="A-320",'2024'!$F$4="CA",'2024'!$F$2=AU81),'2024DATA'!$D$29,"")</f>
        <v/>
      </c>
      <c r="AV108" s="518" t="str">
        <f>IF(AND(_C="A-320",'2024'!$F$4="CA",'2024'!$F$2=AV81),'2024DATA'!$E$29,"")</f>
        <v/>
      </c>
      <c r="AW108" s="518" t="str">
        <f>IF(AND(_C="A-320",'2024'!$F$4="CA",'2024'!$F$2=AW81),'2024DATA'!$F$29,"")</f>
        <v/>
      </c>
      <c r="AX108" s="518" t="str">
        <f>IF(AND(_C="A-320",'2024'!$F$4="CA",'2024'!$F$2=AX81),'2024DATA'!$G$29,"")</f>
        <v/>
      </c>
      <c r="AY108" s="518" t="str">
        <f>IF(AND(_C="A-320",'2024'!$F$4="CA",'2024'!$F$2=AY81),'2024DATA'!$H$29,"")</f>
        <v/>
      </c>
      <c r="AZ108" s="518" t="str">
        <f>IF(AND(_C="A-320",'2024'!$F$4="CA",'2024'!$F$2=AZ81),'2024DATA'!$I$29,"")</f>
        <v/>
      </c>
      <c r="BA108" s="518" t="str">
        <f>IF(AND(_C="A-320",'2024'!$F$4="CA",'2024'!$F$2=BA81),'2024DATA'!$J$29,"")</f>
        <v/>
      </c>
      <c r="BB108" s="518" t="str">
        <f>IF(AND(_C="A-320",'2024'!$F$4="CA",'2024'!$F$2=BB81),'2024DATA'!$K$29,"")</f>
        <v/>
      </c>
      <c r="BC108" s="518" t="str">
        <f>IF(AND(_C="A-320",'2024'!$F$4="CA",'2024'!$F$2=BC81),'2024DATA'!$L$29,"")</f>
        <v/>
      </c>
      <c r="BD108" s="518" t="str">
        <f>IF(AND(_C="A-320",'2024'!$F$4="CA",'2024'!$F$2=BD81),'2024DATA'!$M$29,"")</f>
        <v/>
      </c>
      <c r="BE108" s="520" t="str">
        <f>IF(AND(_C="A-320",'2024'!$F$4="CA",'2024'!$F$2=BE81),'2024DATA'!$N$29,"")</f>
        <v/>
      </c>
      <c r="BF108" s="940" t="s">
        <v>70</v>
      </c>
      <c r="BG108" s="13" t="s">
        <v>61</v>
      </c>
      <c r="BH108" s="518" t="str">
        <f>IF(AND(_D="A-320",'2024'!$F$4="CA",'2024'!$F$2=BH81),'2024DATA'!$C$29,"")</f>
        <v/>
      </c>
      <c r="BI108" s="518" t="str">
        <f>IF(AND(_D="A-320",'2024'!$F$4="CA",'2024'!$F$2=BI81),'2024DATA'!$D$29,"")</f>
        <v/>
      </c>
      <c r="BJ108" s="518" t="str">
        <f>IF(AND(_D="A-320",'2024'!$F$4="CA",'2024'!$F$2=BJ81),'2024DATA'!$E$29,"")</f>
        <v/>
      </c>
      <c r="BK108" s="518" t="str">
        <f>IF(AND(_D="A-320",'2024'!$F$4="CA",'2024'!$F$2=BK81),'2024DATA'!$F$29,"")</f>
        <v/>
      </c>
      <c r="BL108" s="518" t="str">
        <f>IF(AND(_D="A-320",'2024'!$F$4="CA",'2024'!$F$2=BL81),'2024DATA'!$G$29,"")</f>
        <v/>
      </c>
      <c r="BM108" s="518" t="str">
        <f>IF(AND(_D="A-320",'2024'!$F$4="CA",'2024'!$F$2=BM81),'2024DATA'!$H$29,"")</f>
        <v/>
      </c>
      <c r="BN108" s="518" t="str">
        <f>IF(AND(_D="A-320",'2024'!$F$4="CA",'2024'!$F$2=BN81),'2024DATA'!$I$29,"")</f>
        <v/>
      </c>
      <c r="BO108" s="518" t="str">
        <f>IF(AND(_D="A-320",'2024'!$F$4="CA",'2024'!$F$2=BO81),'2024DATA'!$J$29,"")</f>
        <v/>
      </c>
      <c r="BP108" s="518" t="str">
        <f>IF(AND(_D="A-320",'2024'!$F$4="CA",'2024'!$F$2=BP81),'2024DATA'!$K$29,"")</f>
        <v/>
      </c>
      <c r="BQ108" s="518" t="str">
        <f>IF(AND(_D="A-320",'2024'!$F$4="CA",'2024'!$F$2=BQ81),'2024DATA'!$L$29,"")</f>
        <v/>
      </c>
      <c r="BR108" s="518" t="str">
        <f>IF(AND(_D="A-320",'2024'!$F$4="CA",'2024'!$F$2=BR81),'2024DATA'!$M$29,"")</f>
        <v/>
      </c>
      <c r="BS108" s="520" t="str">
        <f>IF(AND(_D="A-320",'2024'!$F$4="CA",'2024'!$F$2=BS81),'2024DATA'!$N$29,"")</f>
        <v/>
      </c>
      <c r="BT108" s="940" t="s">
        <v>70</v>
      </c>
      <c r="BU108" s="13" t="s">
        <v>61</v>
      </c>
      <c r="BV108" s="518" t="str">
        <f>IF(AND(_E="A-320",'2024'!$F$4="CA",'2024'!$F$2=BV81),'2024DATA'!$C$29,"")</f>
        <v/>
      </c>
      <c r="BW108" s="518" t="str">
        <f>IF(AND(_E="A-320",'2024'!$F$4="CA",'2024'!$F$2=BW81),'2024DATA'!$D$29,"")</f>
        <v/>
      </c>
      <c r="BX108" s="518" t="str">
        <f>IF(AND(_E="A-320",'2024'!$F$4="CA",'2024'!$F$2=BX81),'2024DATA'!$E$29,"")</f>
        <v/>
      </c>
      <c r="BY108" s="518" t="str">
        <f>IF(AND(_E="A-320",'2024'!$F$4="CA",'2024'!$F$2=BY81),'2024DATA'!$F$29,"")</f>
        <v/>
      </c>
      <c r="BZ108" s="518" t="str">
        <f>IF(AND(_E="A-320",'2024'!$F$4="CA",'2024'!$F$2=BZ81),'2024DATA'!$G$29,"")</f>
        <v/>
      </c>
      <c r="CA108" s="518" t="str">
        <f>IF(AND(_E="A-320",'2024'!$F$4="CA",'2024'!$F$2=CA81),'2024DATA'!$H$29,"")</f>
        <v/>
      </c>
      <c r="CB108" s="518" t="str">
        <f>IF(AND(_E="A-320",'2024'!$F$4="CA",'2024'!$F$2=CB81),'2024DATA'!$I$29,"")</f>
        <v/>
      </c>
      <c r="CC108" s="518" t="str">
        <f>IF(AND(_E="A-320",'2024'!$F$4="CA",'2024'!$F$2=CC81),'2024DATA'!$J$29,"")</f>
        <v/>
      </c>
      <c r="CD108" s="518" t="str">
        <f>IF(AND(_E="A-320",'2024'!$F$4="CA",'2024'!$F$2=CD81),'2024DATA'!$K$29,"")</f>
        <v/>
      </c>
      <c r="CE108" s="518" t="str">
        <f>IF(AND(_E="A-320",'2024'!$F$4="CA",'2024'!$F$2=CE81),'2024DATA'!$L$29,"")</f>
        <v/>
      </c>
      <c r="CF108" s="518" t="str">
        <f>IF(AND(_E="A-320",'2024'!$F$4="CA",'2024'!$F$2=CF81),'2024DATA'!$M$29,"")</f>
        <v/>
      </c>
      <c r="CG108" s="520" t="str">
        <f>IF(AND(_E="A-320",'2024'!$F$4="CA",'2024'!$F$2=CG81),'2024DATA'!$N$29,"")</f>
        <v/>
      </c>
      <c r="CH108" s="940" t="s">
        <v>70</v>
      </c>
      <c r="CI108" s="13" t="s">
        <v>61</v>
      </c>
      <c r="CJ108" s="518" t="str">
        <f>IF(AND(_F="A-320",'2024'!$F$4="CA",'2024'!$F$2=CJ81),'2024DATA'!$C$29,"")</f>
        <v/>
      </c>
      <c r="CK108" s="518" t="str">
        <f>IF(AND(_F="A-320",'2024'!$F$4="CA",'2024'!$F$2=CK81),'2024DATA'!$D$29,"")</f>
        <v/>
      </c>
      <c r="CL108" s="518" t="str">
        <f>IF(AND(_F="A-320",'2024'!$F$4="CA",'2024'!$F$2=CL81),'2024DATA'!$E$29,"")</f>
        <v/>
      </c>
      <c r="CM108" s="518" t="str">
        <f>IF(AND(_F="A-320",'2024'!$F$4="CA",'2024'!$F$2=CM81),'2024DATA'!$F$29,"")</f>
        <v/>
      </c>
      <c r="CN108" s="518" t="str">
        <f>IF(AND(_F="A-320",'2024'!$F$4="CA",'2024'!$F$2=CN81),'2024DATA'!$G$29,"")</f>
        <v/>
      </c>
      <c r="CO108" s="518" t="str">
        <f>IF(AND(_F="A-320",'2024'!$F$4="CA",'2024'!$F$2=CO81),'2024DATA'!$H$29,"")</f>
        <v/>
      </c>
      <c r="CP108" s="518" t="str">
        <f>IF(AND(_F="A-320",'2024'!$F$4="CA",'2024'!$F$2=CP81),'2024DATA'!$I$29,"")</f>
        <v/>
      </c>
      <c r="CQ108" s="518" t="str">
        <f>IF(AND(_F="A-320",'2024'!$F$4="CA",'2024'!$F$2=CQ81),'2024DATA'!$J$29,"")</f>
        <v/>
      </c>
      <c r="CR108" s="518" t="str">
        <f>IF(AND(_F="A-320",'2024'!$F$4="CA",'2024'!$F$2=CR81),'2024DATA'!$K$29,"")</f>
        <v/>
      </c>
      <c r="CS108" s="518" t="str">
        <f>IF(AND(_F="A-320",'2024'!$F$4="CA",'2024'!$F$2=CS81),'2024DATA'!$L$29,"")</f>
        <v/>
      </c>
      <c r="CT108" s="518" t="str">
        <f>IF(AND(_F="A-320",'2024'!$F$4="CA",'2024'!$F$2=CT81),'2024DATA'!$M$29,"")</f>
        <v/>
      </c>
      <c r="CU108" s="520" t="str">
        <f>IF(AND(_F="A-320",'2024'!$F$4="CA",'2024'!$F$2=CU81),'2024DATA'!$N$29,"")</f>
        <v/>
      </c>
    </row>
    <row r="109" spans="16:99" x14ac:dyDescent="0.25">
      <c r="P109" s="940"/>
      <c r="Q109" s="13" t="s">
        <v>62</v>
      </c>
      <c r="R109" s="518" t="str">
        <f>IF(AND(_A="A-320",'2024'!$F$4="FO",'2024'!$F$2=R81),'2024DATA'!$C$30,"")</f>
        <v/>
      </c>
      <c r="S109" s="518" t="str">
        <f>IF(AND(_A="A-320",'2024'!$F$4="FO",'2024'!$F$2=S81),'2024DATA'!$D$30,"")</f>
        <v/>
      </c>
      <c r="T109" s="518" t="str">
        <f>IF(AND(_A="A-320",'2024'!$F$4="FO",'2024'!$F$2=T81),'2024DATA'!$E$30,"")</f>
        <v/>
      </c>
      <c r="U109" s="518" t="str">
        <f>IF(AND(_A="A-320",'2024'!$F$4="FO",'2024'!$F$2=U81),'2024DATA'!$F$30,"")</f>
        <v/>
      </c>
      <c r="V109" s="518" t="str">
        <f>IF(AND(_A="A-320",'2024'!$F$4="FO",'2024'!$F$2=V81),'2024DATA'!$G$30,"")</f>
        <v/>
      </c>
      <c r="W109" s="518" t="str">
        <f>IF(AND(_A="A-320",'2024'!$F$4="FO",'2024'!$F$2=W81),'2024DATA'!$H$30,"")</f>
        <v/>
      </c>
      <c r="X109" s="518" t="str">
        <f>IF(AND(_A="A-320",'2024'!$F$4="FO",'2024'!$F$2=X81),'2024DATA'!$I$30,"")</f>
        <v/>
      </c>
      <c r="Y109" s="518" t="str">
        <f>IF(AND(_A="A-320",'2024'!$F$4="FO",'2024'!$F$2=Y81),'2024DATA'!$J$30,"")</f>
        <v/>
      </c>
      <c r="Z109" s="518" t="str">
        <f>IF(AND(_A="A-320",'2024'!$F$4="FO",'2024'!$F$2=Z81),'2024DATA'!$K$30,"")</f>
        <v/>
      </c>
      <c r="AA109" s="518" t="str">
        <f>IF(AND(_A="A-320",'2024'!$F$4="FO",'2024'!$F$2=AA81),'2024DATA'!$L$30,"")</f>
        <v/>
      </c>
      <c r="AB109" s="518" t="str">
        <f>IF(AND(_A="A-320",'2024'!$F$4="FO",'2024'!$F$2=AB81),'2024DATA'!$M$30,"")</f>
        <v/>
      </c>
      <c r="AC109" s="520" t="str">
        <f>IF(AND(_A="A-320",'2024'!$F$4="FO",'2024'!$F$2=AC81),'2024DATA'!$N$30,"")</f>
        <v/>
      </c>
      <c r="AD109" s="940"/>
      <c r="AE109" s="13" t="s">
        <v>62</v>
      </c>
      <c r="AF109" s="518" t="str">
        <f>IF(AND(_B="A-320",'2024'!$F$4="FO",'2024'!$F$2=AF81),'2024DATA'!$C$30,"")</f>
        <v/>
      </c>
      <c r="AG109" s="518" t="str">
        <f>IF(AND(_B="A-320",'2024'!$F$4="FO",'2024'!$F$2=AG81),'2024DATA'!$D$30,"")</f>
        <v/>
      </c>
      <c r="AH109" s="518" t="str">
        <f>IF(AND(_B="A-320",'2024'!$F$4="FO",'2024'!$F$2=AH81),'2024DATA'!$E$30,"")</f>
        <v/>
      </c>
      <c r="AI109" s="518" t="str">
        <f>IF(AND(_B="A-320",'2024'!$F$4="FO",'2024'!$F$2=AI81),'2024DATA'!$F$30,"")</f>
        <v/>
      </c>
      <c r="AJ109" s="518" t="str">
        <f>IF(AND(_B="A-320",'2024'!$F$4="FO",'2024'!$F$2=AJ81),'2024DATA'!$G$30,"")</f>
        <v/>
      </c>
      <c r="AK109" s="518" t="str">
        <f>IF(AND(_B="A-320",'2024'!$F$4="FO",'2024'!$F$2=AK81),'2024DATA'!$H$30,"")</f>
        <v/>
      </c>
      <c r="AL109" s="518" t="str">
        <f>IF(AND(_B="A-320",'2024'!$F$4="FO",'2024'!$F$2=AL81),'2024DATA'!$I$30,"")</f>
        <v/>
      </c>
      <c r="AM109" s="518" t="str">
        <f>IF(AND(_B="A-320",'2024'!$F$4="FO",'2024'!$F$2=AM81),'2024DATA'!$J$30,"")</f>
        <v/>
      </c>
      <c r="AN109" s="518" t="str">
        <f>IF(AND(_B="A-320",'2024'!$F$4="FO",'2024'!$F$2=AN81),'2024DATA'!$K$30,"")</f>
        <v/>
      </c>
      <c r="AO109" s="518" t="str">
        <f>IF(AND(_B="A-320",'2024'!$F$4="FO",'2024'!$F$2=AO81),'2024DATA'!$L$30,"")</f>
        <v/>
      </c>
      <c r="AP109" s="518" t="str">
        <f>IF(AND(_B="A-320",'2024'!$F$4="FO",'2024'!$F$2=AP81),'2024DATA'!$M$30,"")</f>
        <v/>
      </c>
      <c r="AQ109" s="520" t="str">
        <f>IF(AND(_B="A-320",'2024'!$F$4="FO",'2024'!$F$2=AQ81),'2024DATA'!$N$30,"")</f>
        <v/>
      </c>
      <c r="AR109" s="940"/>
      <c r="AS109" s="13" t="s">
        <v>62</v>
      </c>
      <c r="AT109" s="518" t="str">
        <f>IF(AND(_C="A-320",'2024'!$F$4="FO",'2024'!$F$2=AT81),'2024DATA'!$C$30,"")</f>
        <v/>
      </c>
      <c r="AU109" s="518" t="str">
        <f>IF(AND(_C="A-320",'2024'!$F$4="FO",'2024'!$F$2=AU81),'2024DATA'!$D$30,"")</f>
        <v/>
      </c>
      <c r="AV109" s="518" t="str">
        <f>IF(AND(_C="A-320",'2024'!$F$4="FO",'2024'!$F$2=AV81),'2024DATA'!$E$30,"")</f>
        <v/>
      </c>
      <c r="AW109" s="518" t="str">
        <f>IF(AND(_C="A-320",'2024'!$F$4="FO",'2024'!$F$2=AW81),'2024DATA'!$F$30,"")</f>
        <v/>
      </c>
      <c r="AX109" s="518" t="str">
        <f>IF(AND(_C="A-320",'2024'!$F$4="FO",'2024'!$F$2=AX81),'2024DATA'!$G$30,"")</f>
        <v/>
      </c>
      <c r="AY109" s="518" t="str">
        <f>IF(AND(_C="A-320",'2024'!$F$4="FO",'2024'!$F$2=AY81),'2024DATA'!$H$30,"")</f>
        <v/>
      </c>
      <c r="AZ109" s="518" t="str">
        <f>IF(AND(_C="A-320",'2024'!$F$4="FO",'2024'!$F$2=AZ81),'2024DATA'!$I$30,"")</f>
        <v/>
      </c>
      <c r="BA109" s="518" t="str">
        <f>IF(AND(_C="A-320",'2024'!$F$4="FO",'2024'!$F$2=BA81),'2024DATA'!$J$30,"")</f>
        <v/>
      </c>
      <c r="BB109" s="518" t="str">
        <f>IF(AND(_C="A-320",'2024'!$F$4="FO",'2024'!$F$2=BB81),'2024DATA'!$K$30,"")</f>
        <v/>
      </c>
      <c r="BC109" s="518" t="str">
        <f>IF(AND(_C="A-320",'2024'!$F$4="FO",'2024'!$F$2=BC81),'2024DATA'!$L$30,"")</f>
        <v/>
      </c>
      <c r="BD109" s="518" t="str">
        <f>IF(AND(_C="A-320",'2024'!$F$4="FO",'2024'!$F$2=BD81),'2024DATA'!$M$30,"")</f>
        <v/>
      </c>
      <c r="BE109" s="520" t="str">
        <f>IF(AND(_C="A-320",'2024'!$F$4="FO",'2024'!$F$2=BE81),'2024DATA'!$N$30,"")</f>
        <v/>
      </c>
      <c r="BF109" s="940"/>
      <c r="BG109" s="13" t="s">
        <v>62</v>
      </c>
      <c r="BH109" s="518" t="str">
        <f>IF(AND(_D="A-320",'2024'!$F$4="FO",'2024'!$F$2=BH81),'2024DATA'!$C$30,"")</f>
        <v/>
      </c>
      <c r="BI109" s="518" t="str">
        <f>IF(AND(_D="A-320",'2024'!$F$4="FO",'2024'!$F$2=BI81),'2024DATA'!$D$30,"")</f>
        <v/>
      </c>
      <c r="BJ109" s="518" t="str">
        <f>IF(AND(_D="A-320",'2024'!$F$4="FO",'2024'!$F$2=BJ81),'2024DATA'!$E$30,"")</f>
        <v/>
      </c>
      <c r="BK109" s="518" t="str">
        <f>IF(AND(_D="A-320",'2024'!$F$4="FO",'2024'!$F$2=BK81),'2024DATA'!$F$30,"")</f>
        <v/>
      </c>
      <c r="BL109" s="518" t="str">
        <f>IF(AND(_D="A-320",'2024'!$F$4="FO",'2024'!$F$2=BL81),'2024DATA'!$G$30,"")</f>
        <v/>
      </c>
      <c r="BM109" s="518" t="str">
        <f>IF(AND(_D="A-320",'2024'!$F$4="FO",'2024'!$F$2=BM81),'2024DATA'!$H$30,"")</f>
        <v/>
      </c>
      <c r="BN109" s="518" t="str">
        <f>IF(AND(_D="A-320",'2024'!$F$4="FO",'2024'!$F$2=BN81),'2024DATA'!$I$30,"")</f>
        <v/>
      </c>
      <c r="BO109" s="518" t="str">
        <f>IF(AND(_D="A-320",'2024'!$F$4="FO",'2024'!$F$2=BO81),'2024DATA'!$J$30,"")</f>
        <v/>
      </c>
      <c r="BP109" s="518" t="str">
        <f>IF(AND(_D="A-320",'2024'!$F$4="FO",'2024'!$F$2=BP81),'2024DATA'!$K$30,"")</f>
        <v/>
      </c>
      <c r="BQ109" s="518" t="str">
        <f>IF(AND(_D="A-320",'2024'!$F$4="FO",'2024'!$F$2=BQ81),'2024DATA'!$L$30,"")</f>
        <v/>
      </c>
      <c r="BR109" s="518" t="str">
        <f>IF(AND(_D="A-320",'2024'!$F$4="FO",'2024'!$F$2=BR81),'2024DATA'!$M$30,"")</f>
        <v/>
      </c>
      <c r="BS109" s="520" t="str">
        <f>IF(AND(_D="A-320",'2024'!$F$4="FO",'2024'!$F$2=BS81),'2024DATA'!$N$30,"")</f>
        <v/>
      </c>
      <c r="BT109" s="940"/>
      <c r="BU109" s="13" t="s">
        <v>62</v>
      </c>
      <c r="BV109" s="518" t="str">
        <f>IF(AND(_E="A-320",'2024'!$F$4="FO",'2024'!$F$2=BV81),'2024DATA'!$C$30,"")</f>
        <v/>
      </c>
      <c r="BW109" s="518" t="str">
        <f>IF(AND(_E="A-320",'2024'!$F$4="FO",'2024'!$F$2=BW81),'2024DATA'!$D$30,"")</f>
        <v/>
      </c>
      <c r="BX109" s="518" t="str">
        <f>IF(AND(_E="A-320",'2024'!$F$4="FO",'2024'!$F$2=BX81),'2024DATA'!$E$30,"")</f>
        <v/>
      </c>
      <c r="BY109" s="518" t="str">
        <f>IF(AND(_E="A-320",'2024'!$F$4="FO",'2024'!$F$2=BY81),'2024DATA'!$F$30,"")</f>
        <v/>
      </c>
      <c r="BZ109" s="518" t="str">
        <f>IF(AND(_E="A-320",'2024'!$F$4="FO",'2024'!$F$2=BZ81),'2024DATA'!$G$30,"")</f>
        <v/>
      </c>
      <c r="CA109" s="518" t="str">
        <f>IF(AND(_E="A-320",'2024'!$F$4="FO",'2024'!$F$2=CA81),'2024DATA'!$H$30,"")</f>
        <v/>
      </c>
      <c r="CB109" s="518" t="str">
        <f>IF(AND(_E="A-320",'2024'!$F$4="FO",'2024'!$F$2=CB81),'2024DATA'!$I$30,"")</f>
        <v/>
      </c>
      <c r="CC109" s="518" t="str">
        <f>IF(AND(_E="A-320",'2024'!$F$4="FO",'2024'!$F$2=CC81),'2024DATA'!$J$30,"")</f>
        <v/>
      </c>
      <c r="CD109" s="518" t="str">
        <f>IF(AND(_E="A-320",'2024'!$F$4="FO",'2024'!$F$2=CD81),'2024DATA'!$K$30,"")</f>
        <v/>
      </c>
      <c r="CE109" s="518" t="str">
        <f>IF(AND(_E="A-320",'2024'!$F$4="FO",'2024'!$F$2=CE81),'2024DATA'!$L$30,"")</f>
        <v/>
      </c>
      <c r="CF109" s="518" t="str">
        <f>IF(AND(_E="A-320",'2024'!$F$4="FO",'2024'!$F$2=CF81),'2024DATA'!$M$30,"")</f>
        <v/>
      </c>
      <c r="CG109" s="520" t="str">
        <f>IF(AND(_E="A-320",'2024'!$F$4="FO",'2024'!$F$2=CG81),'2024DATA'!$N$30,"")</f>
        <v/>
      </c>
      <c r="CH109" s="940"/>
      <c r="CI109" s="13" t="s">
        <v>62</v>
      </c>
      <c r="CJ109" s="518" t="str">
        <f>IF(AND(_F="A-320",'2024'!$F$4="FO",'2024'!$F$2=CJ81),'2024DATA'!$C$30,"")</f>
        <v/>
      </c>
      <c r="CK109" s="518" t="str">
        <f>IF(AND(_F="A-320",'2024'!$F$4="FO",'2024'!$F$2=CK81),'2024DATA'!$D$30,"")</f>
        <v/>
      </c>
      <c r="CL109" s="518" t="str">
        <f>IF(AND(_F="A-320",'2024'!$F$4="FO",'2024'!$F$2=CL81),'2024DATA'!$E$30,"")</f>
        <v/>
      </c>
      <c r="CM109" s="518" t="str">
        <f>IF(AND(_F="A-320",'2024'!$F$4="FO",'2024'!$F$2=CM81),'2024DATA'!$F$30,"")</f>
        <v/>
      </c>
      <c r="CN109" s="518" t="str">
        <f>IF(AND(_F="A-320",'2024'!$F$4="FO",'2024'!$F$2=CN81),'2024DATA'!$G$30,"")</f>
        <v/>
      </c>
      <c r="CO109" s="518" t="str">
        <f>IF(AND(_F="A-320",'2024'!$F$4="FO",'2024'!$F$2=CO81),'2024DATA'!$H$30,"")</f>
        <v/>
      </c>
      <c r="CP109" s="518" t="str">
        <f>IF(AND(_F="A-320",'2024'!$F$4="FO",'2024'!$F$2=CP81),'2024DATA'!$I$30,"")</f>
        <v/>
      </c>
      <c r="CQ109" s="518" t="str">
        <f>IF(AND(_F="A-320",'2024'!$F$4="FO",'2024'!$F$2=CQ81),'2024DATA'!$J$30,"")</f>
        <v/>
      </c>
      <c r="CR109" s="518" t="str">
        <f>IF(AND(_F="A-320",'2024'!$F$4="FO",'2024'!$F$2=CR81),'2024DATA'!$K$30,"")</f>
        <v/>
      </c>
      <c r="CS109" s="518" t="str">
        <f>IF(AND(_F="A-320",'2024'!$F$4="FO",'2024'!$F$2=CS81),'2024DATA'!$L$30,"")</f>
        <v/>
      </c>
      <c r="CT109" s="518" t="str">
        <f>IF(AND(_F="A-320",'2024'!$F$4="FO",'2024'!$F$2=CT81),'2024DATA'!$M$30,"")</f>
        <v/>
      </c>
      <c r="CU109" s="520" t="str">
        <f>IF(AND(_F="A-320",'2024'!$F$4="FO",'2024'!$F$2=CU81),'2024DATA'!$N$30,"")</f>
        <v/>
      </c>
    </row>
    <row r="110" spans="16:99" x14ac:dyDescent="0.25">
      <c r="P110" s="940" t="s">
        <v>71</v>
      </c>
      <c r="Q110" s="13" t="s">
        <v>61</v>
      </c>
      <c r="R110" s="518" t="str">
        <f>IF(AND(_A="A-319",'2024'!$F$4="CA",'2024'!$F$2=R81),'2024DATA'!$C$31,"")</f>
        <v/>
      </c>
      <c r="S110" s="518" t="str">
        <f>IF(AND(_A="A-319",'2024'!$F$4="CA",'2024'!$F$2=S81),'2024DATA'!$D$31,"")</f>
        <v/>
      </c>
      <c r="T110" s="518" t="str">
        <f>IF(AND(_A="A-319",'2024'!$F$4="CA",'2024'!$F$2=T81),'2024DATA'!$E$31,"")</f>
        <v/>
      </c>
      <c r="U110" s="518" t="str">
        <f>IF(AND(_A="A-319",'2024'!$F$4="CA",'2024'!$F$2=U81),'2024DATA'!$F$31,"")</f>
        <v/>
      </c>
      <c r="V110" s="518" t="str">
        <f>IF(AND(_A="A-319",'2024'!$F$4="CA",'2024'!$F$2=V81),'2024DATA'!$G$31,"")</f>
        <v/>
      </c>
      <c r="W110" s="518" t="str">
        <f>IF(AND(_A="A-319",'2024'!$F$4="CA",'2024'!$F$2=W81),'2024DATA'!$H$31,"")</f>
        <v/>
      </c>
      <c r="X110" s="518" t="str">
        <f>IF(AND(_A="A-319",'2024'!$F$4="CA",'2024'!$F$2=X81),'2024DATA'!$I$31,"")</f>
        <v/>
      </c>
      <c r="Y110" s="518" t="str">
        <f>IF(AND(_A="A-319",'2024'!$F$4="CA",'2024'!$F$2=Y81),'2024DATA'!$J$31,"")</f>
        <v/>
      </c>
      <c r="Z110" s="518" t="str">
        <f>IF(AND(_A="A-319",'2024'!$F$4="CA",'2024'!$F$2=Z81),'2024DATA'!$K$31,"")</f>
        <v/>
      </c>
      <c r="AA110" s="518" t="str">
        <f>IF(AND(_A="A-319",'2024'!$F$4="CA",'2024'!$F$2=AA81),'2024DATA'!$L$31,"")</f>
        <v/>
      </c>
      <c r="AB110" s="518" t="str">
        <f>IF(AND(_A="A-319",'2024'!$F$4="CA",'2024'!$F$2=AB81),'2024DATA'!$M$31,"")</f>
        <v/>
      </c>
      <c r="AC110" s="520" t="str">
        <f>IF(AND(_A="A-319",'2024'!$F$4="CA",'2024'!$F$2=AC81),'2024DATA'!$N$31,"")</f>
        <v/>
      </c>
      <c r="AD110" s="940" t="s">
        <v>71</v>
      </c>
      <c r="AE110" s="13" t="s">
        <v>61</v>
      </c>
      <c r="AF110" s="518" t="str">
        <f>IF(AND(_B="A-319",'2024'!$F$4="CA",'2024'!$F$2=AF81),'2024DATA'!$C$31,"")</f>
        <v/>
      </c>
      <c r="AG110" s="518" t="str">
        <f>IF(AND(_B="A-319",'2024'!$F$4="CA",'2024'!$F$2=AG81),'2024DATA'!$D$31,"")</f>
        <v/>
      </c>
      <c r="AH110" s="518" t="str">
        <f>IF(AND(_B="A-319",'2024'!$F$4="CA",'2024'!$F$2=AH81),'2024DATA'!$E$31,"")</f>
        <v/>
      </c>
      <c r="AI110" s="518" t="str">
        <f>IF(AND(_B="A-319",'2024'!$F$4="CA",'2024'!$F$2=AI81),'2024DATA'!$F$31,"")</f>
        <v/>
      </c>
      <c r="AJ110" s="518" t="str">
        <f>IF(AND(_B="A-319",'2024'!$F$4="CA",'2024'!$F$2=AJ81),'2024DATA'!$G$31,"")</f>
        <v/>
      </c>
      <c r="AK110" s="518" t="str">
        <f>IF(AND(_B="A-319",'2024'!$F$4="CA",'2024'!$F$2=AK81),'2024DATA'!$H$31,"")</f>
        <v/>
      </c>
      <c r="AL110" s="518" t="str">
        <f>IF(AND(_B="A-319",'2024'!$F$4="CA",'2024'!$F$2=AL81),'2024DATA'!$I$31,"")</f>
        <v/>
      </c>
      <c r="AM110" s="518" t="str">
        <f>IF(AND(_B="A-319",'2024'!$F$4="CA",'2024'!$F$2=AM81),'2024DATA'!$J$31,"")</f>
        <v/>
      </c>
      <c r="AN110" s="518" t="str">
        <f>IF(AND(_B="A-319",'2024'!$F$4="CA",'2024'!$F$2=AN81),'2024DATA'!$K$31,"")</f>
        <v/>
      </c>
      <c r="AO110" s="518" t="str">
        <f>IF(AND(_B="A-319",'2024'!$F$4="CA",'2024'!$F$2=AO81),'2024DATA'!$L$31,"")</f>
        <v/>
      </c>
      <c r="AP110" s="518" t="str">
        <f>IF(AND(_B="A-319",'2024'!$F$4="CA",'2024'!$F$2=AP81),'2024DATA'!$M$31,"")</f>
        <v/>
      </c>
      <c r="AQ110" s="520" t="str">
        <f>IF(AND(_B="A-319",'2024'!$F$4="CA",'2024'!$F$2=AQ81),'2024DATA'!$N$31,"")</f>
        <v/>
      </c>
      <c r="AR110" s="940" t="s">
        <v>71</v>
      </c>
      <c r="AS110" s="13" t="s">
        <v>61</v>
      </c>
      <c r="AT110" s="518" t="str">
        <f>IF(AND(_C="A-319",'2024'!$F$4="CA",'2024'!$F$2=AT81),'2024DATA'!$C$31,"")</f>
        <v/>
      </c>
      <c r="AU110" s="518" t="str">
        <f>IF(AND(_C="A-319",'2024'!$F$4="CA",'2024'!$F$2=AU81),'2024DATA'!$D$31,"")</f>
        <v/>
      </c>
      <c r="AV110" s="518" t="str">
        <f>IF(AND(_C="A-319",'2024'!$F$4="CA",'2024'!$F$2=AV81),'2024DATA'!$E$31,"")</f>
        <v/>
      </c>
      <c r="AW110" s="518" t="str">
        <f>IF(AND(_C="A-319",'2024'!$F$4="CA",'2024'!$F$2=AW81),'2024DATA'!$F$31,"")</f>
        <v/>
      </c>
      <c r="AX110" s="518" t="str">
        <f>IF(AND(_C="A-319",'2024'!$F$4="CA",'2024'!$F$2=AX81),'2024DATA'!$G$31,"")</f>
        <v/>
      </c>
      <c r="AY110" s="518" t="str">
        <f>IF(AND(_C="A-319",'2024'!$F$4="CA",'2024'!$F$2=AY81),'2024DATA'!$H$31,"")</f>
        <v/>
      </c>
      <c r="AZ110" s="518" t="str">
        <f>IF(AND(_C="A-319",'2024'!$F$4="CA",'2024'!$F$2=AZ81),'2024DATA'!$I$31,"")</f>
        <v/>
      </c>
      <c r="BA110" s="518" t="str">
        <f>IF(AND(_C="A-319",'2024'!$F$4="CA",'2024'!$F$2=BA81),'2024DATA'!$J$31,"")</f>
        <v/>
      </c>
      <c r="BB110" s="518" t="str">
        <f>IF(AND(_C="A-319",'2024'!$F$4="CA",'2024'!$F$2=BB81),'2024DATA'!$K$31,"")</f>
        <v/>
      </c>
      <c r="BC110" s="518" t="str">
        <f>IF(AND(_C="A-319",'2024'!$F$4="CA",'2024'!$F$2=BC81),'2024DATA'!$L$31,"")</f>
        <v/>
      </c>
      <c r="BD110" s="518" t="str">
        <f>IF(AND(_C="A-319",'2024'!$F$4="CA",'2024'!$F$2=BD81),'2024DATA'!$M$31,"")</f>
        <v/>
      </c>
      <c r="BE110" s="520" t="str">
        <f>IF(AND(_C="A-319",'2024'!$F$4="CA",'2024'!$F$2=BE81),'2024DATA'!$N$31,"")</f>
        <v/>
      </c>
      <c r="BF110" s="940" t="s">
        <v>71</v>
      </c>
      <c r="BG110" s="13" t="s">
        <v>61</v>
      </c>
      <c r="BH110" s="518" t="str">
        <f>IF(AND(_D="A-319",'2024'!$F$4="CA",'2024'!$F$2=BH81),'2024DATA'!$C$31,"")</f>
        <v/>
      </c>
      <c r="BI110" s="518" t="str">
        <f>IF(AND(_D="A-319",'2024'!$F$4="CA",'2024'!$F$2=BI81),'2024DATA'!$D$31,"")</f>
        <v/>
      </c>
      <c r="BJ110" s="518" t="str">
        <f>IF(AND(_D="A-319",'2024'!$F$4="CA",'2024'!$F$2=BJ81),'2024DATA'!$E$31,"")</f>
        <v/>
      </c>
      <c r="BK110" s="518" t="str">
        <f>IF(AND(_D="A-319",'2024'!$F$4="CA",'2024'!$F$2=BK81),'2024DATA'!$F$31,"")</f>
        <v/>
      </c>
      <c r="BL110" s="518" t="str">
        <f>IF(AND(_D="A-319",'2024'!$F$4="CA",'2024'!$F$2=BL81),'2024DATA'!$G$31,"")</f>
        <v/>
      </c>
      <c r="BM110" s="518" t="str">
        <f>IF(AND(_D="A-319",'2024'!$F$4="CA",'2024'!$F$2=BM81),'2024DATA'!$H$31,"")</f>
        <v/>
      </c>
      <c r="BN110" s="518" t="str">
        <f>IF(AND(_D="A-319",'2024'!$F$4="CA",'2024'!$F$2=BN81),'2024DATA'!$I$31,"")</f>
        <v/>
      </c>
      <c r="BO110" s="518" t="str">
        <f>IF(AND(_D="A-319",'2024'!$F$4="CA",'2024'!$F$2=BO81),'2024DATA'!$J$31,"")</f>
        <v/>
      </c>
      <c r="BP110" s="518" t="str">
        <f>IF(AND(_D="A-319",'2024'!$F$4="CA",'2024'!$F$2=BP81),'2024DATA'!$K$31,"")</f>
        <v/>
      </c>
      <c r="BQ110" s="518" t="str">
        <f>IF(AND(_D="A-319",'2024'!$F$4="CA",'2024'!$F$2=BQ81),'2024DATA'!$L$31,"")</f>
        <v/>
      </c>
      <c r="BR110" s="518" t="str">
        <f>IF(AND(_D="A-319",'2024'!$F$4="CA",'2024'!$F$2=BR81),'2024DATA'!$M$31,"")</f>
        <v/>
      </c>
      <c r="BS110" s="520" t="str">
        <f>IF(AND(_D="A-319",'2024'!$F$4="CA",'2024'!$F$2=BS81),'2024DATA'!$N$31,"")</f>
        <v/>
      </c>
      <c r="BT110" s="940" t="s">
        <v>71</v>
      </c>
      <c r="BU110" s="13" t="s">
        <v>61</v>
      </c>
      <c r="BV110" s="518" t="str">
        <f>IF(AND(_E="A-319",'2024'!$F$4="CA",'2024'!$F$2=BV81),'2024DATA'!$C$31,"")</f>
        <v/>
      </c>
      <c r="BW110" s="518" t="str">
        <f>IF(AND(_E="A-319",'2024'!$F$4="CA",'2024'!$F$2=BW81),'2024DATA'!$D$31,"")</f>
        <v/>
      </c>
      <c r="BX110" s="518" t="str">
        <f>IF(AND(_E="A-319",'2024'!$F$4="CA",'2024'!$F$2=BX81),'2024DATA'!$E$31,"")</f>
        <v/>
      </c>
      <c r="BY110" s="518" t="str">
        <f>IF(AND(_E="A-319",'2024'!$F$4="CA",'2024'!$F$2=BY81),'2024DATA'!$F$31,"")</f>
        <v/>
      </c>
      <c r="BZ110" s="518" t="str">
        <f>IF(AND(_E="A-319",'2024'!$F$4="CA",'2024'!$F$2=BZ81),'2024DATA'!$G$31,"")</f>
        <v/>
      </c>
      <c r="CA110" s="518" t="str">
        <f>IF(AND(_E="A-319",'2024'!$F$4="CA",'2024'!$F$2=CA81),'2024DATA'!$H$31,"")</f>
        <v/>
      </c>
      <c r="CB110" s="518" t="str">
        <f>IF(AND(_E="A-319",'2024'!$F$4="CA",'2024'!$F$2=CB81),'2024DATA'!$I$31,"")</f>
        <v/>
      </c>
      <c r="CC110" s="518" t="str">
        <f>IF(AND(_E="A-319",'2024'!$F$4="CA",'2024'!$F$2=CC81),'2024DATA'!$J$31,"")</f>
        <v/>
      </c>
      <c r="CD110" s="518" t="str">
        <f>IF(AND(_E="A-319",'2024'!$F$4="CA",'2024'!$F$2=CD81),'2024DATA'!$K$31,"")</f>
        <v/>
      </c>
      <c r="CE110" s="518" t="str">
        <f>IF(AND(_E="A-319",'2024'!$F$4="CA",'2024'!$F$2=CE81),'2024DATA'!$L$31,"")</f>
        <v/>
      </c>
      <c r="CF110" s="518" t="str">
        <f>IF(AND(_E="A-319",'2024'!$F$4="CA",'2024'!$F$2=CF81),'2024DATA'!$M$31,"")</f>
        <v/>
      </c>
      <c r="CG110" s="520" t="str">
        <f>IF(AND(_E="A-319",'2024'!$F$4="CA",'2024'!$F$2=CG81),'2024DATA'!$N$31,"")</f>
        <v/>
      </c>
      <c r="CH110" s="940" t="s">
        <v>71</v>
      </c>
      <c r="CI110" s="13" t="s">
        <v>61</v>
      </c>
      <c r="CJ110" s="518" t="str">
        <f>IF(AND(_F="A-319",'2024'!$F$4="CA",'2024'!$F$2=CJ81),'2024DATA'!$C$31,"")</f>
        <v/>
      </c>
      <c r="CK110" s="518" t="str">
        <f>IF(AND(_F="A-319",'2024'!$F$4="CA",'2024'!$F$2=CK81),'2024DATA'!$D$31,"")</f>
        <v/>
      </c>
      <c r="CL110" s="518" t="str">
        <f>IF(AND(_F="A-319",'2024'!$F$4="CA",'2024'!$F$2=CL81),'2024DATA'!$E$31,"")</f>
        <v/>
      </c>
      <c r="CM110" s="518" t="str">
        <f>IF(AND(_F="A-319",'2024'!$F$4="CA",'2024'!$F$2=CM81),'2024DATA'!$F$31,"")</f>
        <v/>
      </c>
      <c r="CN110" s="518" t="str">
        <f>IF(AND(_F="A-319",'2024'!$F$4="CA",'2024'!$F$2=CN81),'2024DATA'!$G$31,"")</f>
        <v/>
      </c>
      <c r="CO110" s="518" t="str">
        <f>IF(AND(_F="A-319",'2024'!$F$4="CA",'2024'!$F$2=CO81),'2024DATA'!$H$31,"")</f>
        <v/>
      </c>
      <c r="CP110" s="518" t="str">
        <f>IF(AND(_F="A-319",'2024'!$F$4="CA",'2024'!$F$2=CP81),'2024DATA'!$I$31,"")</f>
        <v/>
      </c>
      <c r="CQ110" s="518" t="str">
        <f>IF(AND(_F="A-319",'2024'!$F$4="CA",'2024'!$F$2=CQ81),'2024DATA'!$J$31,"")</f>
        <v/>
      </c>
      <c r="CR110" s="518" t="str">
        <f>IF(AND(_F="A-319",'2024'!$F$4="CA",'2024'!$F$2=CR81),'2024DATA'!$K$31,"")</f>
        <v/>
      </c>
      <c r="CS110" s="518" t="str">
        <f>IF(AND(_F="A-319",'2024'!$F$4="CA",'2024'!$F$2=CS81),'2024DATA'!$L$31,"")</f>
        <v/>
      </c>
      <c r="CT110" s="518" t="str">
        <f>IF(AND(_F="A-319",'2024'!$F$4="CA",'2024'!$F$2=CT81),'2024DATA'!$M$31,"")</f>
        <v/>
      </c>
      <c r="CU110" s="520" t="str">
        <f>IF(AND(_F="A-319",'2024'!$F$4="CA",'2024'!$F$2=CU81),'2024DATA'!$N$31,"")</f>
        <v/>
      </c>
    </row>
    <row r="111" spans="16:99" x14ac:dyDescent="0.25">
      <c r="P111" s="940"/>
      <c r="Q111" s="13" t="s">
        <v>62</v>
      </c>
      <c r="R111" s="518" t="str">
        <f>IF(AND(_A="A-319",'2024'!$F$4="FO",'2024'!$F$2=R81),'2024DATA'!$C$32,"")</f>
        <v/>
      </c>
      <c r="S111" s="518" t="str">
        <f>IF(AND(_A="A-319",'2024'!$F$4="FO",'2024'!$F$2=S81),'2024DATA'!$D$32,"")</f>
        <v/>
      </c>
      <c r="T111" s="518" t="str">
        <f>IF(AND(_A="A-319",'2024'!$F$4="FO",'2024'!$F$2=T81),'2024DATA'!$E$32,"")</f>
        <v/>
      </c>
      <c r="U111" s="518" t="str">
        <f>IF(AND(_A="A-319",'2024'!$F$4="FO",'2024'!$F$2=U81),'2024DATA'!$F$32,"")</f>
        <v/>
      </c>
      <c r="V111" s="518" t="str">
        <f>IF(AND(_A="A-319",'2024'!$F$4="FO",'2024'!$F$2=V81),'2024DATA'!$G$32,"")</f>
        <v/>
      </c>
      <c r="W111" s="518" t="str">
        <f>IF(AND(_A="A-319",'2024'!$F$4="FO",'2024'!$F$2=W81),'2024DATA'!$H$32,"")</f>
        <v/>
      </c>
      <c r="X111" s="518" t="str">
        <f>IF(AND(_A="A-319",'2024'!$F$4="FO",'2024'!$F$2=X81),'2024DATA'!$I$32,"")</f>
        <v/>
      </c>
      <c r="Y111" s="518" t="str">
        <f>IF(AND(_A="A-319",'2024'!$F$4="FO",'2024'!$F$2=Y81),'2024DATA'!$J$32,"")</f>
        <v/>
      </c>
      <c r="Z111" s="518" t="str">
        <f>IF(AND(_A="A-319",'2024'!$F$4="FO",'2024'!$F$2=Z81),'2024DATA'!$K$32,"")</f>
        <v/>
      </c>
      <c r="AA111" s="518" t="str">
        <f>IF(AND(_A="A-319",'2024'!$F$4="FO",'2024'!$F$2=AA81),'2024DATA'!$L$32,"")</f>
        <v/>
      </c>
      <c r="AB111" s="518" t="str">
        <f>IF(AND(_A="A-319",'2024'!$F$4="FO",'2024'!$F$2=AB81),'2024DATA'!$M$32,"")</f>
        <v/>
      </c>
      <c r="AC111" s="520" t="str">
        <f>IF(AND(_A="A-319",'2024'!$F$4="FO",'2024'!$F$2=AC81),'2024DATA'!$N$32,"")</f>
        <v/>
      </c>
      <c r="AD111" s="940"/>
      <c r="AE111" s="13" t="s">
        <v>62</v>
      </c>
      <c r="AF111" s="518" t="str">
        <f>IF(AND(_B="A-319",'2024'!$F$4="FO",'2024'!$F$2=AF81),'2024DATA'!$C$32,"")</f>
        <v/>
      </c>
      <c r="AG111" s="518" t="str">
        <f>IF(AND(_B="A-319",'2024'!$F$4="FO",'2024'!$F$2=AG81),'2024DATA'!$D$32,"")</f>
        <v/>
      </c>
      <c r="AH111" s="518" t="str">
        <f>IF(AND(_B="A-319",'2024'!$F$4="FO",'2024'!$F$2=AH81),'2024DATA'!$E$32,"")</f>
        <v/>
      </c>
      <c r="AI111" s="518" t="str">
        <f>IF(AND(_B="A-319",'2024'!$F$4="FO",'2024'!$F$2=AI81),'2024DATA'!$F$32,"")</f>
        <v/>
      </c>
      <c r="AJ111" s="518" t="str">
        <f>IF(AND(_B="A-319",'2024'!$F$4="FO",'2024'!$F$2=AJ81),'2024DATA'!$G$32,"")</f>
        <v/>
      </c>
      <c r="AK111" s="518" t="str">
        <f>IF(AND(_B="A-319",'2024'!$F$4="FO",'2024'!$F$2=AK81),'2024DATA'!$H$32,"")</f>
        <v/>
      </c>
      <c r="AL111" s="518" t="str">
        <f>IF(AND(_B="A-319",'2024'!$F$4="FO",'2024'!$F$2=AL81),'2024DATA'!$I$32,"")</f>
        <v/>
      </c>
      <c r="AM111" s="518" t="str">
        <f>IF(AND(_B="A-319",'2024'!$F$4="FO",'2024'!$F$2=AM81),'2024DATA'!$J$32,"")</f>
        <v/>
      </c>
      <c r="AN111" s="518" t="str">
        <f>IF(AND(_B="A-319",'2024'!$F$4="FO",'2024'!$F$2=AN81),'2024DATA'!$K$32,"")</f>
        <v/>
      </c>
      <c r="AO111" s="518" t="str">
        <f>IF(AND(_B="A-319",'2024'!$F$4="FO",'2024'!$F$2=AO81),'2024DATA'!$L$32,"")</f>
        <v/>
      </c>
      <c r="AP111" s="518" t="str">
        <f>IF(AND(_B="A-319",'2024'!$F$4="FO",'2024'!$F$2=AP81),'2024DATA'!$M$32,"")</f>
        <v/>
      </c>
      <c r="AQ111" s="520" t="str">
        <f>IF(AND(_B="A-319",'2024'!$F$4="FO",'2024'!$F$2=AQ81),'2024DATA'!$N$32,"")</f>
        <v/>
      </c>
      <c r="AR111" s="940"/>
      <c r="AS111" s="13" t="s">
        <v>62</v>
      </c>
      <c r="AT111" s="518" t="str">
        <f>IF(AND(_C="A-319",'2024'!$F$4="FO",'2024'!$F$2=AT81),'2024DATA'!$C$32,"")</f>
        <v/>
      </c>
      <c r="AU111" s="518" t="str">
        <f>IF(AND(_C="A-319",'2024'!$F$4="FO",'2024'!$F$2=AU81),'2024DATA'!$D$32,"")</f>
        <v/>
      </c>
      <c r="AV111" s="518" t="str">
        <f>IF(AND(_C="A-319",'2024'!$F$4="FO",'2024'!$F$2=AV81),'2024DATA'!$E$32,"")</f>
        <v/>
      </c>
      <c r="AW111" s="518" t="str">
        <f>IF(AND(_C="A-319",'2024'!$F$4="FO",'2024'!$F$2=AW81),'2024DATA'!$F$32,"")</f>
        <v/>
      </c>
      <c r="AX111" s="518" t="str">
        <f>IF(AND(_C="A-319",'2024'!$F$4="FO",'2024'!$F$2=AX81),'2024DATA'!$G$32,"")</f>
        <v/>
      </c>
      <c r="AY111" s="518" t="str">
        <f>IF(AND(_C="A-319",'2024'!$F$4="FO",'2024'!$F$2=AY81),'2024DATA'!$H$32,"")</f>
        <v/>
      </c>
      <c r="AZ111" s="518" t="str">
        <f>IF(AND(_C="A-319",'2024'!$F$4="FO",'2024'!$F$2=AZ81),'2024DATA'!$I$32,"")</f>
        <v/>
      </c>
      <c r="BA111" s="518" t="str">
        <f>IF(AND(_C="A-319",'2024'!$F$4="FO",'2024'!$F$2=BA81),'2024DATA'!$J$32,"")</f>
        <v/>
      </c>
      <c r="BB111" s="518" t="str">
        <f>IF(AND(_C="A-319",'2024'!$F$4="FO",'2024'!$F$2=BB81),'2024DATA'!$K$32,"")</f>
        <v/>
      </c>
      <c r="BC111" s="518" t="str">
        <f>IF(AND(_C="A-319",'2024'!$F$4="FO",'2024'!$F$2=BC81),'2024DATA'!$L$32,"")</f>
        <v/>
      </c>
      <c r="BD111" s="518" t="str">
        <f>IF(AND(_C="A-319",'2024'!$F$4="FO",'2024'!$F$2=BD81),'2024DATA'!$M$32,"")</f>
        <v/>
      </c>
      <c r="BE111" s="520" t="str">
        <f>IF(AND(_C="A-319",'2024'!$F$4="FO",'2024'!$F$2=BE81),'2024DATA'!$N$32,"")</f>
        <v/>
      </c>
      <c r="BF111" s="940"/>
      <c r="BG111" s="13" t="s">
        <v>62</v>
      </c>
      <c r="BH111" s="518" t="str">
        <f>IF(AND(_D="A-319",'2024'!$F$4="FO",'2024'!$F$2=BH81),'2024DATA'!$C$32,"")</f>
        <v/>
      </c>
      <c r="BI111" s="518" t="str">
        <f>IF(AND(_D="A-319",'2024'!$F$4="FO",'2024'!$F$2=BI81),'2024DATA'!$D$32,"")</f>
        <v/>
      </c>
      <c r="BJ111" s="518" t="str">
        <f>IF(AND(_D="A-319",'2024'!$F$4="FO",'2024'!$F$2=BJ81),'2024DATA'!$E$32,"")</f>
        <v/>
      </c>
      <c r="BK111" s="518" t="str">
        <f>IF(AND(_D="A-319",'2024'!$F$4="FO",'2024'!$F$2=BK81),'2024DATA'!$F$32,"")</f>
        <v/>
      </c>
      <c r="BL111" s="518" t="str">
        <f>IF(AND(_D="A-319",'2024'!$F$4="FO",'2024'!$F$2=BL81),'2024DATA'!$G$32,"")</f>
        <v/>
      </c>
      <c r="BM111" s="518" t="str">
        <f>IF(AND(_D="A-319",'2024'!$F$4="FO",'2024'!$F$2=BM81),'2024DATA'!$H$32,"")</f>
        <v/>
      </c>
      <c r="BN111" s="518" t="str">
        <f>IF(AND(_D="A-319",'2024'!$F$4="FO",'2024'!$F$2=BN81),'2024DATA'!$I$32,"")</f>
        <v/>
      </c>
      <c r="BO111" s="518" t="str">
        <f>IF(AND(_D="A-319",'2024'!$F$4="FO",'2024'!$F$2=BO81),'2024DATA'!$J$32,"")</f>
        <v/>
      </c>
      <c r="BP111" s="518" t="str">
        <f>IF(AND(_D="A-319",'2024'!$F$4="FO",'2024'!$F$2=BP81),'2024DATA'!$K$32,"")</f>
        <v/>
      </c>
      <c r="BQ111" s="518" t="str">
        <f>IF(AND(_D="A-319",'2024'!$F$4="FO",'2024'!$F$2=BQ81),'2024DATA'!$L$32,"")</f>
        <v/>
      </c>
      <c r="BR111" s="518" t="str">
        <f>IF(AND(_D="A-319",'2024'!$F$4="FO",'2024'!$F$2=BR81),'2024DATA'!$M$32,"")</f>
        <v/>
      </c>
      <c r="BS111" s="520" t="str">
        <f>IF(AND(_D="A-319",'2024'!$F$4="FO",'2024'!$F$2=BS81),'2024DATA'!$N$32,"")</f>
        <v/>
      </c>
      <c r="BT111" s="940"/>
      <c r="BU111" s="13" t="s">
        <v>62</v>
      </c>
      <c r="BV111" s="518" t="str">
        <f>IF(AND(_E="A-319",'2024'!$F$4="FO",'2024'!$F$2=BV81),'2024DATA'!$C$32,"")</f>
        <v/>
      </c>
      <c r="BW111" s="518" t="str">
        <f>IF(AND(_E="A-319",'2024'!$F$4="FO",'2024'!$F$2=BW81),'2024DATA'!$D$32,"")</f>
        <v/>
      </c>
      <c r="BX111" s="518" t="str">
        <f>IF(AND(_E="A-319",'2024'!$F$4="FO",'2024'!$F$2=BX81),'2024DATA'!$E$32,"")</f>
        <v/>
      </c>
      <c r="BY111" s="518" t="str">
        <f>IF(AND(_E="A-319",'2024'!$F$4="FO",'2024'!$F$2=BY81),'2024DATA'!$F$32,"")</f>
        <v/>
      </c>
      <c r="BZ111" s="518" t="str">
        <f>IF(AND(_E="A-319",'2024'!$F$4="FO",'2024'!$F$2=BZ81),'2024DATA'!$G$32,"")</f>
        <v/>
      </c>
      <c r="CA111" s="518" t="str">
        <f>IF(AND(_E="A-319",'2024'!$F$4="FO",'2024'!$F$2=CA81),'2024DATA'!$H$32,"")</f>
        <v/>
      </c>
      <c r="CB111" s="518" t="str">
        <f>IF(AND(_E="A-319",'2024'!$F$4="FO",'2024'!$F$2=CB81),'2024DATA'!$I$32,"")</f>
        <v/>
      </c>
      <c r="CC111" s="518" t="str">
        <f>IF(AND(_E="A-319",'2024'!$F$4="FO",'2024'!$F$2=CC81),'2024DATA'!$J$32,"")</f>
        <v/>
      </c>
      <c r="CD111" s="518" t="str">
        <f>IF(AND(_E="A-319",'2024'!$F$4="FO",'2024'!$F$2=CD81),'2024DATA'!$K$32,"")</f>
        <v/>
      </c>
      <c r="CE111" s="518" t="str">
        <f>IF(AND(_E="A-319",'2024'!$F$4="FO",'2024'!$F$2=CE81),'2024DATA'!$L$32,"")</f>
        <v/>
      </c>
      <c r="CF111" s="518" t="str">
        <f>IF(AND(_E="A-319",'2024'!$F$4="FO",'2024'!$F$2=CF81),'2024DATA'!$M$32,"")</f>
        <v/>
      </c>
      <c r="CG111" s="520" t="str">
        <f>IF(AND(_E="A-319",'2024'!$F$4="FO",'2024'!$F$2=CG81),'2024DATA'!$N$32,"")</f>
        <v/>
      </c>
      <c r="CH111" s="940"/>
      <c r="CI111" s="13" t="s">
        <v>62</v>
      </c>
      <c r="CJ111" s="518" t="str">
        <f>IF(AND(_F="A-319",'2024'!$F$4="FO",'2024'!$F$2=CJ81),'2024DATA'!$C$32,"")</f>
        <v/>
      </c>
      <c r="CK111" s="518" t="str">
        <f>IF(AND(_F="A-319",'2024'!$F$4="FO",'2024'!$F$2=CK81),'2024DATA'!$D$32,"")</f>
        <v/>
      </c>
      <c r="CL111" s="518" t="str">
        <f>IF(AND(_F="A-319",'2024'!$F$4="FO",'2024'!$F$2=CL81),'2024DATA'!$E$32,"")</f>
        <v/>
      </c>
      <c r="CM111" s="518" t="str">
        <f>IF(AND(_F="A-319",'2024'!$F$4="FO",'2024'!$F$2=CM81),'2024DATA'!$F$32,"")</f>
        <v/>
      </c>
      <c r="CN111" s="518" t="str">
        <f>IF(AND(_F="A-319",'2024'!$F$4="FO",'2024'!$F$2=CN81),'2024DATA'!$G$32,"")</f>
        <v/>
      </c>
      <c r="CO111" s="518" t="str">
        <f>IF(AND(_F="A-319",'2024'!$F$4="FO",'2024'!$F$2=CO81),'2024DATA'!$H$32,"")</f>
        <v/>
      </c>
      <c r="CP111" s="518" t="str">
        <f>IF(AND(_F="A-319",'2024'!$F$4="FO",'2024'!$F$2=CP81),'2024DATA'!$I$32,"")</f>
        <v/>
      </c>
      <c r="CQ111" s="518" t="str">
        <f>IF(AND(_F="A-319",'2024'!$F$4="FO",'2024'!$F$2=CQ81),'2024DATA'!$J$32,"")</f>
        <v/>
      </c>
      <c r="CR111" s="518" t="str">
        <f>IF(AND(_F="A-319",'2024'!$F$4="FO",'2024'!$F$2=CR81),'2024DATA'!$K$32,"")</f>
        <v/>
      </c>
      <c r="CS111" s="518" t="str">
        <f>IF(AND(_F="A-319",'2024'!$F$4="FO",'2024'!$F$2=CS81),'2024DATA'!$L$32,"")</f>
        <v/>
      </c>
      <c r="CT111" s="518" t="str">
        <f>IF(AND(_F="A-319",'2024'!$F$4="FO",'2024'!$F$2=CT81),'2024DATA'!$M$32,"")</f>
        <v/>
      </c>
      <c r="CU111" s="520" t="str">
        <f>IF(AND(_F="A-319",'2024'!$F$4="FO",'2024'!$F$2=CU81),'2024DATA'!$N$32,"")</f>
        <v/>
      </c>
    </row>
    <row r="112" spans="16:99" x14ac:dyDescent="0.25">
      <c r="P112" s="940" t="s">
        <v>51</v>
      </c>
      <c r="Q112" s="13" t="s">
        <v>61</v>
      </c>
      <c r="R112" s="518" t="str">
        <f>IF(AND(_A="A-220-300",'2024'!$F$4="CA",'2024'!$F$2=R81),'2024DATA'!$C$33,"")</f>
        <v/>
      </c>
      <c r="S112" s="518" t="str">
        <f>IF(AND(_A="A-220-300",'2024'!$F$4="CA",'2024'!$F$2=S81),'2024DATA'!$D$33,"")</f>
        <v/>
      </c>
      <c r="T112" s="518" t="str">
        <f>IF(AND(_A="A-220-300",'2024'!$F$4="CA",'2024'!$F$2=T81),'2024DATA'!$E$33,"")</f>
        <v/>
      </c>
      <c r="U112" s="518" t="str">
        <f>IF(AND(_A="A-220-300",'2024'!$F$4="CA",'2024'!$F$2=U81),'2024DATA'!$F$33,"")</f>
        <v/>
      </c>
      <c r="V112" s="518" t="str">
        <f>IF(AND(_A="A-220-300",'2024'!$F$4="CA",'2024'!$F$2=V81),'2024DATA'!$G$33,"")</f>
        <v/>
      </c>
      <c r="W112" s="518" t="str">
        <f>IF(AND(_A="A-220-300",'2024'!$F$4="CA",'2024'!$F$2=W81),'2024DATA'!$H$33,"")</f>
        <v/>
      </c>
      <c r="X112" s="518" t="str">
        <f>IF(AND(_A="A-220-300",'2024'!$F$4="CA",'2024'!$F$2=X81),'2024DATA'!$I$33,"")</f>
        <v/>
      </c>
      <c r="Y112" s="518" t="str">
        <f>IF(AND(_A="A-220-300",'2024'!$F$4="CA",'2024'!$F$2=Y81),'2024DATA'!$J$33,"")</f>
        <v/>
      </c>
      <c r="Z112" s="518" t="str">
        <f>IF(AND(_A="A-220-300",'2024'!$F$4="CA",'2024'!$F$2=Z81),'2024DATA'!$K$33,"")</f>
        <v/>
      </c>
      <c r="AA112" s="518" t="str">
        <f>IF(AND(_A="A-220-300",'2024'!$F$4="CA",'2024'!$F$2=AA81),'2024DATA'!$L$33,"")</f>
        <v/>
      </c>
      <c r="AB112" s="518" t="str">
        <f>IF(AND(_A="A-220-300",'2024'!$F$4="CA",'2024'!$F$2=AB81),'2024DATA'!$M$33,"")</f>
        <v/>
      </c>
      <c r="AC112" s="520" t="str">
        <f>IF(AND(_A="A-220-300",'2024'!$F$4="CA",'2024'!$F$2=AC81),'2024DATA'!$N$33,"")</f>
        <v/>
      </c>
      <c r="AD112" s="940" t="s">
        <v>51</v>
      </c>
      <c r="AE112" s="13" t="s">
        <v>61</v>
      </c>
      <c r="AF112" s="518" t="str">
        <f>IF(AND(_B="A-220-300",'2024'!$F$4="CA",'2024'!$F$2=AF81),'2024DATA'!$C$33,"")</f>
        <v/>
      </c>
      <c r="AG112" s="518" t="str">
        <f>IF(AND(_B="A-220-300",'2024'!$F$4="CA",'2024'!$F$2=AG81),'2024DATA'!$D$33,"")</f>
        <v/>
      </c>
      <c r="AH112" s="518" t="str">
        <f>IF(AND(_B="A-220-300",'2024'!$F$4="CA",'2024'!$F$2=AH81),'2024DATA'!$E$33,"")</f>
        <v/>
      </c>
      <c r="AI112" s="518" t="str">
        <f>IF(AND(_B="A-220-300",'2024'!$F$4="CA",'2024'!$F$2=AI81),'2024DATA'!$F$33,"")</f>
        <v/>
      </c>
      <c r="AJ112" s="518" t="str">
        <f>IF(AND(_B="A-220-300",'2024'!$F$4="CA",'2024'!$F$2=AJ81),'2024DATA'!$G$33,"")</f>
        <v/>
      </c>
      <c r="AK112" s="518" t="str">
        <f>IF(AND(_B="A-220-300",'2024'!$F$4="CA",'2024'!$F$2=AK81),'2024DATA'!$H$33,"")</f>
        <v/>
      </c>
      <c r="AL112" s="518" t="str">
        <f>IF(AND(_B="A-220-300",'2024'!$F$4="CA",'2024'!$F$2=AL81),'2024DATA'!$I$33,"")</f>
        <v/>
      </c>
      <c r="AM112" s="518" t="str">
        <f>IF(AND(_B="A-220-300",'2024'!$F$4="CA",'2024'!$F$2=AM81),'2024DATA'!$J$33,"")</f>
        <v/>
      </c>
      <c r="AN112" s="518" t="str">
        <f>IF(AND(_B="A-220-300",'2024'!$F$4="CA",'2024'!$F$2=AN81),'2024DATA'!$K$33,"")</f>
        <v/>
      </c>
      <c r="AO112" s="518" t="str">
        <f>IF(AND(_B="A-220-300",'2024'!$F$4="CA",'2024'!$F$2=AO81),'2024DATA'!$L$33,"")</f>
        <v/>
      </c>
      <c r="AP112" s="518" t="str">
        <f>IF(AND(_B="A-220-300",'2024'!$F$4="CA",'2024'!$F$2=AP81),'2024DATA'!$M$33,"")</f>
        <v/>
      </c>
      <c r="AQ112" s="520" t="str">
        <f>IF(AND(_B="A-220-300",'2024'!$F$4="CA",'2024'!$F$2=AQ81),'2024DATA'!$N$33,"")</f>
        <v/>
      </c>
      <c r="AR112" s="940" t="s">
        <v>51</v>
      </c>
      <c r="AS112" s="13" t="s">
        <v>61</v>
      </c>
      <c r="AT112" s="518" t="str">
        <f>IF(AND(_C="A-220-300",'2024'!$F$4="CA",'2024'!$F$2=AT81),'2024DATA'!$C$33,"")</f>
        <v/>
      </c>
      <c r="AU112" s="518" t="str">
        <f>IF(AND(_C="A-220-300",'2024'!$F$4="CA",'2024'!$F$2=AU81),'2024DATA'!$D$33,"")</f>
        <v/>
      </c>
      <c r="AV112" s="518" t="str">
        <f>IF(AND(_C="A-220-300",'2024'!$F$4="CA",'2024'!$F$2=AV81),'2024DATA'!$E$33,"")</f>
        <v/>
      </c>
      <c r="AW112" s="518" t="str">
        <f>IF(AND(_C="A-220-300",'2024'!$F$4="CA",'2024'!$F$2=AW81),'2024DATA'!$F$33,"")</f>
        <v/>
      </c>
      <c r="AX112" s="518" t="str">
        <f>IF(AND(_C="A-220-300",'2024'!$F$4="CA",'2024'!$F$2=AX81),'2024DATA'!$G$33,"")</f>
        <v/>
      </c>
      <c r="AY112" s="518" t="str">
        <f>IF(AND(_C="A-220-300",'2024'!$F$4="CA",'2024'!$F$2=AY81),'2024DATA'!$H$33,"")</f>
        <v/>
      </c>
      <c r="AZ112" s="518" t="str">
        <f>IF(AND(_C="A-220-300",'2024'!$F$4="CA",'2024'!$F$2=AZ81),'2024DATA'!$I$33,"")</f>
        <v/>
      </c>
      <c r="BA112" s="518" t="str">
        <f>IF(AND(_C="A-220-300",'2024'!$F$4="CA",'2024'!$F$2=BA81),'2024DATA'!$J$33,"")</f>
        <v/>
      </c>
      <c r="BB112" s="518" t="str">
        <f>IF(AND(_C="A-220-300",'2024'!$F$4="CA",'2024'!$F$2=BB81),'2024DATA'!$K$33,"")</f>
        <v/>
      </c>
      <c r="BC112" s="518" t="str">
        <f>IF(AND(_C="A-220-300",'2024'!$F$4="CA",'2024'!$F$2=BC81),'2024DATA'!$L$33,"")</f>
        <v/>
      </c>
      <c r="BD112" s="518" t="str">
        <f>IF(AND(_C="A-220-300",'2024'!$F$4="CA",'2024'!$F$2=BD81),'2024DATA'!$M$33,"")</f>
        <v/>
      </c>
      <c r="BE112" s="520" t="str">
        <f>IF(AND(_C="A-220-300",'2024'!$F$4="CA",'2024'!$F$2=BE81),'2024DATA'!$N$33,"")</f>
        <v/>
      </c>
      <c r="BF112" s="940" t="s">
        <v>51</v>
      </c>
      <c r="BG112" s="13" t="s">
        <v>61</v>
      </c>
      <c r="BH112" s="518" t="str">
        <f>IF(AND(_D="A-220-300",'2024'!$F$4="CA",'2024'!$F$2=BH81),'2024DATA'!$C$33,"")</f>
        <v/>
      </c>
      <c r="BI112" s="518" t="str">
        <f>IF(AND(_D="A-220-300",'2024'!$F$4="CA",'2024'!$F$2=BI81),'2024DATA'!$D$33,"")</f>
        <v/>
      </c>
      <c r="BJ112" s="518" t="str">
        <f>IF(AND(_D="A-220-300",'2024'!$F$4="CA",'2024'!$F$2=BJ81),'2024DATA'!$E$33,"")</f>
        <v/>
      </c>
      <c r="BK112" s="518" t="str">
        <f>IF(AND(_D="A-220-300",'2024'!$F$4="CA",'2024'!$F$2=BK81),'2024DATA'!$F$33,"")</f>
        <v/>
      </c>
      <c r="BL112" s="518" t="str">
        <f>IF(AND(_D="A-220-300",'2024'!$F$4="CA",'2024'!$F$2=BL81),'2024DATA'!$G$33,"")</f>
        <v/>
      </c>
      <c r="BM112" s="518" t="str">
        <f>IF(AND(_D="A-220-300",'2024'!$F$4="CA",'2024'!$F$2=BM81),'2024DATA'!$H$33,"")</f>
        <v/>
      </c>
      <c r="BN112" s="518" t="str">
        <f>IF(AND(_D="A-220-300",'2024'!$F$4="CA",'2024'!$F$2=BN81),'2024DATA'!$I$33,"")</f>
        <v/>
      </c>
      <c r="BO112" s="518" t="str">
        <f>IF(AND(_D="A-220-300",'2024'!$F$4="CA",'2024'!$F$2=BO81),'2024DATA'!$J$33,"")</f>
        <v/>
      </c>
      <c r="BP112" s="518" t="str">
        <f>IF(AND(_D="A-220-300",'2024'!$F$4="CA",'2024'!$F$2=BP81),'2024DATA'!$K$33,"")</f>
        <v/>
      </c>
      <c r="BQ112" s="518" t="str">
        <f>IF(AND(_D="A-220-300",'2024'!$F$4="CA",'2024'!$F$2=BQ81),'2024DATA'!$L$33,"")</f>
        <v/>
      </c>
      <c r="BR112" s="518" t="str">
        <f>IF(AND(_D="A-220-300",'2024'!$F$4="CA",'2024'!$F$2=BR81),'2024DATA'!$M$33,"")</f>
        <v/>
      </c>
      <c r="BS112" s="520" t="str">
        <f>IF(AND(_D="A-220-300",'2024'!$F$4="CA",'2024'!$F$2=BS81),'2024DATA'!$N$33,"")</f>
        <v/>
      </c>
      <c r="BT112" s="940" t="s">
        <v>51</v>
      </c>
      <c r="BU112" s="13" t="s">
        <v>61</v>
      </c>
      <c r="BV112" s="518" t="str">
        <f>IF(AND(_E="A-220-300",'2024'!$F$4="CA",'2024'!$F$2=BV81),'2024DATA'!$C$33,"")</f>
        <v/>
      </c>
      <c r="BW112" s="518" t="str">
        <f>IF(AND(_E="A-220-300",'2024'!$F$4="CA",'2024'!$F$2=BW81),'2024DATA'!$D$33,"")</f>
        <v/>
      </c>
      <c r="BX112" s="518" t="str">
        <f>IF(AND(_E="A-220-300",'2024'!$F$4="CA",'2024'!$F$2=BX81),'2024DATA'!$E$33,"")</f>
        <v/>
      </c>
      <c r="BY112" s="518" t="str">
        <f>IF(AND(_E="A-220-300",'2024'!$F$4="CA",'2024'!$F$2=BY81),'2024DATA'!$F$33,"")</f>
        <v/>
      </c>
      <c r="BZ112" s="518" t="str">
        <f>IF(AND(_E="A-220-300",'2024'!$F$4="CA",'2024'!$F$2=BZ81),'2024DATA'!$G$33,"")</f>
        <v/>
      </c>
      <c r="CA112" s="518" t="str">
        <f>IF(AND(_E="A-220-300",'2024'!$F$4="CA",'2024'!$F$2=CA81),'2024DATA'!$H$33,"")</f>
        <v/>
      </c>
      <c r="CB112" s="518" t="str">
        <f>IF(AND(_E="A-220-300",'2024'!$F$4="CA",'2024'!$F$2=CB81),'2024DATA'!$I$33,"")</f>
        <v/>
      </c>
      <c r="CC112" s="518" t="str">
        <f>IF(AND(_E="A-220-300",'2024'!$F$4="CA",'2024'!$F$2=CC81),'2024DATA'!$J$33,"")</f>
        <v/>
      </c>
      <c r="CD112" s="518" t="str">
        <f>IF(AND(_E="A-220-300",'2024'!$F$4="CA",'2024'!$F$2=CD81),'2024DATA'!$K$33,"")</f>
        <v/>
      </c>
      <c r="CE112" s="518" t="str">
        <f>IF(AND(_E="A-220-300",'2024'!$F$4="CA",'2024'!$F$2=CE81),'2024DATA'!$L$33,"")</f>
        <v/>
      </c>
      <c r="CF112" s="518" t="str">
        <f>IF(AND(_E="A-220-300",'2024'!$F$4="CA",'2024'!$F$2=CF81),'2024DATA'!$M$33,"")</f>
        <v/>
      </c>
      <c r="CG112" s="520" t="str">
        <f>IF(AND(_E="A-220-300",'2024'!$F$4="CA",'2024'!$F$2=CG81),'2024DATA'!$N$33,"")</f>
        <v/>
      </c>
      <c r="CH112" s="940" t="s">
        <v>51</v>
      </c>
      <c r="CI112" s="13" t="s">
        <v>61</v>
      </c>
      <c r="CJ112" s="518" t="str">
        <f>IF(AND(_F="A-220-300",'2024'!$F$4="CA",'2024'!$F$2=CJ81),'2024DATA'!$C$33,"")</f>
        <v/>
      </c>
      <c r="CK112" s="518" t="str">
        <f>IF(AND(_F="A-220-300",'2024'!$F$4="CA",'2024'!$F$2=CK81),'2024DATA'!$D$33,"")</f>
        <v/>
      </c>
      <c r="CL112" s="518" t="str">
        <f>IF(AND(_F="A-220-300",'2024'!$F$4="CA",'2024'!$F$2=CL81),'2024DATA'!$E$33,"")</f>
        <v/>
      </c>
      <c r="CM112" s="518" t="str">
        <f>IF(AND(_F="A-220-300",'2024'!$F$4="CA",'2024'!$F$2=CM81),'2024DATA'!$F$33,"")</f>
        <v/>
      </c>
      <c r="CN112" s="518" t="str">
        <f>IF(AND(_F="A-220-300",'2024'!$F$4="CA",'2024'!$F$2=CN81),'2024DATA'!$G$33,"")</f>
        <v/>
      </c>
      <c r="CO112" s="518" t="str">
        <f>IF(AND(_F="A-220-300",'2024'!$F$4="CA",'2024'!$F$2=CO81),'2024DATA'!$H$33,"")</f>
        <v/>
      </c>
      <c r="CP112" s="518" t="str">
        <f>IF(AND(_F="A-220-300",'2024'!$F$4="CA",'2024'!$F$2=CP81),'2024DATA'!$I$33,"")</f>
        <v/>
      </c>
      <c r="CQ112" s="518" t="str">
        <f>IF(AND(_F="A-220-300",'2024'!$F$4="CA",'2024'!$F$2=CQ81),'2024DATA'!$J$33,"")</f>
        <v/>
      </c>
      <c r="CR112" s="518" t="str">
        <f>IF(AND(_F="A-220-300",'2024'!$F$4="CA",'2024'!$F$2=CR81),'2024DATA'!$K$33,"")</f>
        <v/>
      </c>
      <c r="CS112" s="518" t="str">
        <f>IF(AND(_F="A-220-300",'2024'!$F$4="CA",'2024'!$F$2=CS81),'2024DATA'!$L$33,"")</f>
        <v/>
      </c>
      <c r="CT112" s="518" t="str">
        <f>IF(AND(_F="A-220-300",'2024'!$F$4="CA",'2024'!$F$2=CT81),'2024DATA'!$M$33,"")</f>
        <v/>
      </c>
      <c r="CU112" s="520" t="str">
        <f>IF(AND(_F="A-220-300",'2024'!$F$4="CA",'2024'!$F$2=CU81),'2024DATA'!$N$33,"")</f>
        <v/>
      </c>
    </row>
    <row r="113" spans="16:99" x14ac:dyDescent="0.25">
      <c r="P113" s="940"/>
      <c r="Q113" s="13" t="s">
        <v>62</v>
      </c>
      <c r="R113" s="518" t="str">
        <f>IF(AND(_A="A-220-300",'2024'!$F$4="FO",'2024'!$F$2=R81),'2024DATA'!$C$34,"")</f>
        <v/>
      </c>
      <c r="S113" s="518" t="str">
        <f>IF(AND(_A="A-220-300",'2024'!$F$4="FO",'2024'!$F$2=S81),'2024DATA'!$D$34,"")</f>
        <v/>
      </c>
      <c r="T113" s="518" t="str">
        <f>IF(AND(_A="A-220-300",'2024'!$F$4="FO",'2024'!$F$2=T81),'2024DATA'!$E$34,"")</f>
        <v/>
      </c>
      <c r="U113" s="518" t="str">
        <f>IF(AND(_A="A-220-300",'2024'!$F$4="FO",'2024'!$F$2=U81),'2024DATA'!$F$34,"")</f>
        <v/>
      </c>
      <c r="V113" s="518" t="str">
        <f>IF(AND(_A="A-220-300",'2024'!$F$4="FO",'2024'!$F$2=V81),'2024DATA'!$G$34,"")</f>
        <v/>
      </c>
      <c r="W113" s="518" t="str">
        <f>IF(AND(_A="A-220-300",'2024'!$F$4="FO",'2024'!$F$2=W81),'2024DATA'!$H$34,"")</f>
        <v/>
      </c>
      <c r="X113" s="518" t="str">
        <f>IF(AND(_A="A-220-300",'2024'!$F$4="FO",'2024'!$F$2=X81),'2024DATA'!$I$34,"")</f>
        <v/>
      </c>
      <c r="Y113" s="518" t="str">
        <f>IF(AND(_A="A-220-300",'2024'!$F$4="FO",'2024'!$F$2=Y81),'2024DATA'!$J$34,"")</f>
        <v/>
      </c>
      <c r="Z113" s="518" t="str">
        <f>IF(AND(_A="A-220-300",'2024'!$F$4="FO",'2024'!$F$2=Z81),'2024DATA'!$K$34,"")</f>
        <v/>
      </c>
      <c r="AA113" s="518" t="str">
        <f>IF(AND(_A="A-220-300",'2024'!$F$4="FO",'2024'!$F$2=AA81),'2024DATA'!$L$34,"")</f>
        <v/>
      </c>
      <c r="AB113" s="518" t="str">
        <f>IF(AND(_A="A-220-300",'2024'!$F$4="FO",'2024'!$F$2=AB81),'2024DATA'!$M$34,"")</f>
        <v/>
      </c>
      <c r="AC113" s="520" t="str">
        <f>IF(AND(_A="A-220-300",'2024'!$F$4="FO",'2024'!$F$2=AC81),'2024DATA'!$N$34,"")</f>
        <v/>
      </c>
      <c r="AD113" s="940"/>
      <c r="AE113" s="13" t="s">
        <v>62</v>
      </c>
      <c r="AF113" s="518" t="str">
        <f>IF(AND(_B="A-220-300",'2024'!$F$4="FO",'2024'!$F$2=AF81),'2024DATA'!$C$34,"")</f>
        <v/>
      </c>
      <c r="AG113" s="518" t="str">
        <f>IF(AND(_B="A-220-300",'2024'!$F$4="FO",'2024'!$F$2=AG81),'2024DATA'!$D$34,"")</f>
        <v/>
      </c>
      <c r="AH113" s="518" t="str">
        <f>IF(AND(_B="A-220-300",'2024'!$F$4="FO",'2024'!$F$2=AH81),'2024DATA'!$E$34,"")</f>
        <v/>
      </c>
      <c r="AI113" s="518" t="str">
        <f>IF(AND(_B="A-220-300",'2024'!$F$4="FO",'2024'!$F$2=AI81),'2024DATA'!$F$34,"")</f>
        <v/>
      </c>
      <c r="AJ113" s="518" t="str">
        <f>IF(AND(_B="A-220-300",'2024'!$F$4="FO",'2024'!$F$2=AJ81),'2024DATA'!$G$34,"")</f>
        <v/>
      </c>
      <c r="AK113" s="518" t="str">
        <f>IF(AND(_B="A-220-300",'2024'!$F$4="FO",'2024'!$F$2=AK81),'2024DATA'!$H$34,"")</f>
        <v/>
      </c>
      <c r="AL113" s="518" t="str">
        <f>IF(AND(_B="A-220-300",'2024'!$F$4="FO",'2024'!$F$2=AL81),'2024DATA'!$I$34,"")</f>
        <v/>
      </c>
      <c r="AM113" s="518" t="str">
        <f>IF(AND(_B="A-220-300",'2024'!$F$4="FO",'2024'!$F$2=AM81),'2024DATA'!$J$34,"")</f>
        <v/>
      </c>
      <c r="AN113" s="518" t="str">
        <f>IF(AND(_B="A-220-300",'2024'!$F$4="FO",'2024'!$F$2=AN81),'2024DATA'!$K$34,"")</f>
        <v/>
      </c>
      <c r="AO113" s="518" t="str">
        <f>IF(AND(_B="A-220-300",'2024'!$F$4="FO",'2024'!$F$2=AO81),'2024DATA'!$L$34,"")</f>
        <v/>
      </c>
      <c r="AP113" s="518" t="str">
        <f>IF(AND(_B="A-220-300",'2024'!$F$4="FO",'2024'!$F$2=AP81),'2024DATA'!$M$34,"")</f>
        <v/>
      </c>
      <c r="AQ113" s="520" t="str">
        <f>IF(AND(_B="A-220-300",'2024'!$F$4="FO",'2024'!$F$2=AQ81),'2024DATA'!$N$34,"")</f>
        <v/>
      </c>
      <c r="AR113" s="940"/>
      <c r="AS113" s="13" t="s">
        <v>62</v>
      </c>
      <c r="AT113" s="518" t="str">
        <f>IF(AND(_C="A-220-300",'2024'!$F$4="FO",'2024'!$F$2=AT81),'2024DATA'!$C$34,"")</f>
        <v/>
      </c>
      <c r="AU113" s="518" t="str">
        <f>IF(AND(_C="A-220-300",'2024'!$F$4="FO",'2024'!$F$2=AU81),'2024DATA'!$D$34,"")</f>
        <v/>
      </c>
      <c r="AV113" s="518" t="str">
        <f>IF(AND(_C="A-220-300",'2024'!$F$4="FO",'2024'!$F$2=AV81),'2024DATA'!$E$34,"")</f>
        <v/>
      </c>
      <c r="AW113" s="518" t="str">
        <f>IF(AND(_C="A-220-300",'2024'!$F$4="FO",'2024'!$F$2=AW81),'2024DATA'!$F$34,"")</f>
        <v/>
      </c>
      <c r="AX113" s="518" t="str">
        <f>IF(AND(_C="A-220-300",'2024'!$F$4="FO",'2024'!$F$2=AX81),'2024DATA'!$G$34,"")</f>
        <v/>
      </c>
      <c r="AY113" s="518" t="str">
        <f>IF(AND(_C="A-220-300",'2024'!$F$4="FO",'2024'!$F$2=AY81),'2024DATA'!$H$34,"")</f>
        <v/>
      </c>
      <c r="AZ113" s="518" t="str">
        <f>IF(AND(_C="A-220-300",'2024'!$F$4="FO",'2024'!$F$2=AZ81),'2024DATA'!$I$34,"")</f>
        <v/>
      </c>
      <c r="BA113" s="518" t="str">
        <f>IF(AND(_C="A-220-300",'2024'!$F$4="FO",'2024'!$F$2=BA81),'2024DATA'!$J$34,"")</f>
        <v/>
      </c>
      <c r="BB113" s="518" t="str">
        <f>IF(AND(_C="A-220-300",'2024'!$F$4="FO",'2024'!$F$2=BB81),'2024DATA'!$K$34,"")</f>
        <v/>
      </c>
      <c r="BC113" s="518" t="str">
        <f>IF(AND(_C="A-220-300",'2024'!$F$4="FO",'2024'!$F$2=BC81),'2024DATA'!$L$34,"")</f>
        <v/>
      </c>
      <c r="BD113" s="518" t="str">
        <f>IF(AND(_C="A-220-300",'2024'!$F$4="FO",'2024'!$F$2=BD81),'2024DATA'!$M$34,"")</f>
        <v/>
      </c>
      <c r="BE113" s="520" t="str">
        <f>IF(AND(_C="A-220-300",'2024'!$F$4="FO",'2024'!$F$2=BE81),'2024DATA'!$N$34,"")</f>
        <v/>
      </c>
      <c r="BF113" s="940"/>
      <c r="BG113" s="13" t="s">
        <v>62</v>
      </c>
      <c r="BH113" s="518" t="str">
        <f>IF(AND(_D="A-220-300",'2024'!$F$4="FO",'2024'!$F$2=BH81),'2024DATA'!$C$34,"")</f>
        <v/>
      </c>
      <c r="BI113" s="518" t="str">
        <f>IF(AND(_D="A-220-300",'2024'!$F$4="FO",'2024'!$F$2=BI81),'2024DATA'!$D$34,"")</f>
        <v/>
      </c>
      <c r="BJ113" s="518" t="str">
        <f>IF(AND(_D="A-220-300",'2024'!$F$4="FO",'2024'!$F$2=BJ81),'2024DATA'!$E$34,"")</f>
        <v/>
      </c>
      <c r="BK113" s="518" t="str">
        <f>IF(AND(_D="A-220-300",'2024'!$F$4="FO",'2024'!$F$2=BK81),'2024DATA'!$F$34,"")</f>
        <v/>
      </c>
      <c r="BL113" s="518" t="str">
        <f>IF(AND(_D="A-220-300",'2024'!$F$4="FO",'2024'!$F$2=BL81),'2024DATA'!$G$34,"")</f>
        <v/>
      </c>
      <c r="BM113" s="518" t="str">
        <f>IF(AND(_D="A-220-300",'2024'!$F$4="FO",'2024'!$F$2=BM81),'2024DATA'!$H$34,"")</f>
        <v/>
      </c>
      <c r="BN113" s="518" t="str">
        <f>IF(AND(_D="A-220-300",'2024'!$F$4="FO",'2024'!$F$2=BN81),'2024DATA'!$I$34,"")</f>
        <v/>
      </c>
      <c r="BO113" s="518" t="str">
        <f>IF(AND(_D="A-220-300",'2024'!$F$4="FO",'2024'!$F$2=BO81),'2024DATA'!$J$34,"")</f>
        <v/>
      </c>
      <c r="BP113" s="518" t="str">
        <f>IF(AND(_D="A-220-300",'2024'!$F$4="FO",'2024'!$F$2=BP81),'2024DATA'!$K$34,"")</f>
        <v/>
      </c>
      <c r="BQ113" s="518" t="str">
        <f>IF(AND(_D="A-220-300",'2024'!$F$4="FO",'2024'!$F$2=BQ81),'2024DATA'!$L$34,"")</f>
        <v/>
      </c>
      <c r="BR113" s="518" t="str">
        <f>IF(AND(_D="A-220-300",'2024'!$F$4="FO",'2024'!$F$2=BR81),'2024DATA'!$M$34,"")</f>
        <v/>
      </c>
      <c r="BS113" s="520" t="str">
        <f>IF(AND(_D="A-220-300",'2024'!$F$4="FO",'2024'!$F$2=BS81),'2024DATA'!$N$34,"")</f>
        <v/>
      </c>
      <c r="BT113" s="940"/>
      <c r="BU113" s="13" t="s">
        <v>62</v>
      </c>
      <c r="BV113" s="518" t="str">
        <f>IF(AND(_E="A-220-300",'2024'!$F$4="FO",'2024'!$F$2=BV81),'2024DATA'!$C$34,"")</f>
        <v/>
      </c>
      <c r="BW113" s="518" t="str">
        <f>IF(AND(_E="A-220-300",'2024'!$F$4="FO",'2024'!$F$2=BW81),'2024DATA'!$D$34,"")</f>
        <v/>
      </c>
      <c r="BX113" s="518" t="str">
        <f>IF(AND(_E="A-220-300",'2024'!$F$4="FO",'2024'!$F$2=BX81),'2024DATA'!$E$34,"")</f>
        <v/>
      </c>
      <c r="BY113" s="518" t="str">
        <f>IF(AND(_E="A-220-300",'2024'!$F$4="FO",'2024'!$F$2=BY81),'2024DATA'!$F$34,"")</f>
        <v/>
      </c>
      <c r="BZ113" s="518" t="str">
        <f>IF(AND(_E="A-220-300",'2024'!$F$4="FO",'2024'!$F$2=BZ81),'2024DATA'!$G$34,"")</f>
        <v/>
      </c>
      <c r="CA113" s="518" t="str">
        <f>IF(AND(_E="A-220-300",'2024'!$F$4="FO",'2024'!$F$2=CA81),'2024DATA'!$H$34,"")</f>
        <v/>
      </c>
      <c r="CB113" s="518" t="str">
        <f>IF(AND(_E="A-220-300",'2024'!$F$4="FO",'2024'!$F$2=CB81),'2024DATA'!$I$34,"")</f>
        <v/>
      </c>
      <c r="CC113" s="518" t="str">
        <f>IF(AND(_E="A-220-300",'2024'!$F$4="FO",'2024'!$F$2=CC81),'2024DATA'!$J$34,"")</f>
        <v/>
      </c>
      <c r="CD113" s="518" t="str">
        <f>IF(AND(_E="A-220-300",'2024'!$F$4="FO",'2024'!$F$2=CD81),'2024DATA'!$K$34,"")</f>
        <v/>
      </c>
      <c r="CE113" s="518" t="str">
        <f>IF(AND(_E="A-220-300",'2024'!$F$4="FO",'2024'!$F$2=CE81),'2024DATA'!$L$34,"")</f>
        <v/>
      </c>
      <c r="CF113" s="518" t="str">
        <f>IF(AND(_E="A-220-300",'2024'!$F$4="FO",'2024'!$F$2=CF81),'2024DATA'!$M$34,"")</f>
        <v/>
      </c>
      <c r="CG113" s="520" t="str">
        <f>IF(AND(_E="A-220-300",'2024'!$F$4="FO",'2024'!$F$2=CG81),'2024DATA'!$N$34,"")</f>
        <v/>
      </c>
      <c r="CH113" s="940"/>
      <c r="CI113" s="13" t="s">
        <v>62</v>
      </c>
      <c r="CJ113" s="518" t="str">
        <f>IF(AND(_F="A-220-300",'2024'!$F$4="FO",'2024'!$F$2=CJ81),'2024DATA'!$C$34,"")</f>
        <v/>
      </c>
      <c r="CK113" s="518" t="str">
        <f>IF(AND(_F="A-220-300",'2024'!$F$4="FO",'2024'!$F$2=CK81),'2024DATA'!$D$34,"")</f>
        <v/>
      </c>
      <c r="CL113" s="518" t="str">
        <f>IF(AND(_F="A-220-300",'2024'!$F$4="FO",'2024'!$F$2=CL81),'2024DATA'!$E$34,"")</f>
        <v/>
      </c>
      <c r="CM113" s="518" t="str">
        <f>IF(AND(_F="A-220-300",'2024'!$F$4="FO",'2024'!$F$2=CM81),'2024DATA'!$F$34,"")</f>
        <v/>
      </c>
      <c r="CN113" s="518" t="str">
        <f>IF(AND(_F="A-220-300",'2024'!$F$4="FO",'2024'!$F$2=CN81),'2024DATA'!$G$34,"")</f>
        <v/>
      </c>
      <c r="CO113" s="518" t="str">
        <f>IF(AND(_F="A-220-300",'2024'!$F$4="FO",'2024'!$F$2=CO81),'2024DATA'!$H$34,"")</f>
        <v/>
      </c>
      <c r="CP113" s="518" t="str">
        <f>IF(AND(_F="A-220-300",'2024'!$F$4="FO",'2024'!$F$2=CP81),'2024DATA'!$I$34,"")</f>
        <v/>
      </c>
      <c r="CQ113" s="518" t="str">
        <f>IF(AND(_F="A-220-300",'2024'!$F$4="FO",'2024'!$F$2=CQ81),'2024DATA'!$J$34,"")</f>
        <v/>
      </c>
      <c r="CR113" s="518" t="str">
        <f>IF(AND(_F="A-220-300",'2024'!$F$4="FO",'2024'!$F$2=CR81),'2024DATA'!$K$34,"")</f>
        <v/>
      </c>
      <c r="CS113" s="518" t="str">
        <f>IF(AND(_F="A-220-300",'2024'!$F$4="FO",'2024'!$F$2=CS81),'2024DATA'!$L$34,"")</f>
        <v/>
      </c>
      <c r="CT113" s="518" t="str">
        <f>IF(AND(_F="A-220-300",'2024'!$F$4="FO",'2024'!$F$2=CT81),'2024DATA'!$M$34,"")</f>
        <v/>
      </c>
      <c r="CU113" s="520" t="str">
        <f>IF(AND(_F="A-220-300",'2024'!$F$4="FO",'2024'!$F$2=CU81),'2024DATA'!$N$34,"")</f>
        <v/>
      </c>
    </row>
    <row r="114" spans="16:99" x14ac:dyDescent="0.25">
      <c r="P114" s="940" t="s">
        <v>52</v>
      </c>
      <c r="Q114" s="13" t="s">
        <v>61</v>
      </c>
      <c r="R114" s="518" t="str">
        <f>IF(AND(_A="A-220-100",'2024'!$F$4="CA",'2024'!$F$2=R81),'2024DATA'!$C$35,"")</f>
        <v/>
      </c>
      <c r="S114" s="518" t="str">
        <f>IF(AND(_A="A-220-100",'2024'!$F$4="CA",'2024'!$F$2=S81),'2024DATA'!$D$35,"")</f>
        <v/>
      </c>
      <c r="T114" s="518" t="str">
        <f>IF(AND(_A="A-220-100",'2024'!$F$4="CA",'2024'!$F$2=T81),'2024DATA'!$E$35,"")</f>
        <v/>
      </c>
      <c r="U114" s="518" t="str">
        <f>IF(AND(_A="A-220-100",'2024'!$F$4="CA",'2024'!$F$2=U81),'2024DATA'!$F$35,"")</f>
        <v/>
      </c>
      <c r="V114" s="518" t="str">
        <f>IF(AND(_A="A-220-100",'2024'!$F$4="CA",'2024'!$F$2=V81),'2024DATA'!$G$35,"")</f>
        <v/>
      </c>
      <c r="W114" s="518" t="str">
        <f>IF(AND(_A="A-220-100",'2024'!$F$4="CA",'2024'!$F$2=W81),'2024DATA'!$H$35,"")</f>
        <v/>
      </c>
      <c r="X114" s="518" t="str">
        <f>IF(AND(_A="A-220-100",'2024'!$F$4="CA",'2024'!$F$2=X81),'2024DATA'!$I$35,"")</f>
        <v/>
      </c>
      <c r="Y114" s="518" t="str">
        <f>IF(AND(_A="A-220-100",'2024'!$F$4="CA",'2024'!$F$2=Y81),'2024DATA'!$J$35,"")</f>
        <v/>
      </c>
      <c r="Z114" s="518" t="str">
        <f>IF(AND(_A="A-220-100",'2024'!$F$4="CA",'2024'!$F$2=Z81),'2024DATA'!$K$35,"")</f>
        <v/>
      </c>
      <c r="AA114" s="518" t="str">
        <f>IF(AND(_A="A-220-100",'2024'!$F$4="CA",'2024'!$F$2=AA81),'2024DATA'!$L$35,"")</f>
        <v/>
      </c>
      <c r="AB114" s="518" t="str">
        <f>IF(AND(_A="A-220-100",'2024'!$F$4="CA",'2024'!$F$2=AB81),'2024DATA'!$M$35,"")</f>
        <v/>
      </c>
      <c r="AC114" s="520" t="str">
        <f>IF(AND(_A="A-220-100",'2024'!$F$4="CA",'2024'!$F$2=AC81),'2024DATA'!$N$35,"")</f>
        <v/>
      </c>
      <c r="AD114" s="940" t="s">
        <v>52</v>
      </c>
      <c r="AE114" s="13" t="s">
        <v>61</v>
      </c>
      <c r="AF114" s="518" t="str">
        <f>IF(AND(_B="A-220-100",'2024'!$F$4="CA",'2024'!$F$2=AF81),'2024DATA'!$C$35,"")</f>
        <v/>
      </c>
      <c r="AG114" s="518" t="str">
        <f>IF(AND(_B="A-220-100",'2024'!$F$4="CA",'2024'!$F$2=AG81),'2024DATA'!$D$35,"")</f>
        <v/>
      </c>
      <c r="AH114" s="518" t="str">
        <f>IF(AND(_B="A-220-100",'2024'!$F$4="CA",'2024'!$F$2=AH81),'2024DATA'!$E$35,"")</f>
        <v/>
      </c>
      <c r="AI114" s="518" t="str">
        <f>IF(AND(_B="A-220-100",'2024'!$F$4="CA",'2024'!$F$2=AI81),'2024DATA'!$F$35,"")</f>
        <v/>
      </c>
      <c r="AJ114" s="518" t="str">
        <f>IF(AND(_B="A-220-100",'2024'!$F$4="CA",'2024'!$F$2=AJ81),'2024DATA'!$G$35,"")</f>
        <v/>
      </c>
      <c r="AK114" s="518" t="str">
        <f>IF(AND(_B="A-220-100",'2024'!$F$4="CA",'2024'!$F$2=AK81),'2024DATA'!$H$35,"")</f>
        <v/>
      </c>
      <c r="AL114" s="518" t="str">
        <f>IF(AND(_B="A-220-100",'2024'!$F$4="CA",'2024'!$F$2=AL81),'2024DATA'!$I$35,"")</f>
        <v/>
      </c>
      <c r="AM114" s="518" t="str">
        <f>IF(AND(_B="A-220-100",'2024'!$F$4="CA",'2024'!$F$2=AM81),'2024DATA'!$J$35,"")</f>
        <v/>
      </c>
      <c r="AN114" s="518" t="str">
        <f>IF(AND(_B="A-220-100",'2024'!$F$4="CA",'2024'!$F$2=AN81),'2024DATA'!$K$35,"")</f>
        <v/>
      </c>
      <c r="AO114" s="518" t="str">
        <f>IF(AND(_B="A-220-100",'2024'!$F$4="CA",'2024'!$F$2=AO81),'2024DATA'!$L$35,"")</f>
        <v/>
      </c>
      <c r="AP114" s="518" t="str">
        <f>IF(AND(_B="A-220-100",'2024'!$F$4="CA",'2024'!$F$2=AP81),'2024DATA'!$M$35,"")</f>
        <v/>
      </c>
      <c r="AQ114" s="520" t="str">
        <f>IF(AND(_B="A-220-100",'2024'!$F$4="CA",'2024'!$F$2=AQ81),'2024DATA'!$N$35,"")</f>
        <v/>
      </c>
      <c r="AR114" s="940" t="s">
        <v>52</v>
      </c>
      <c r="AS114" s="13" t="s">
        <v>61</v>
      </c>
      <c r="AT114" s="518" t="str">
        <f>IF(AND(_C="A-220-100",'2024'!$F$4="CA",'2024'!$F$2=AT81),'2024DATA'!$C$35,"")</f>
        <v/>
      </c>
      <c r="AU114" s="518" t="str">
        <f>IF(AND(_C="A-220-100",'2024'!$F$4="CA",'2024'!$F$2=AU81),'2024DATA'!$D$35,"")</f>
        <v/>
      </c>
      <c r="AV114" s="518" t="str">
        <f>IF(AND(_C="A-220-100",'2024'!$F$4="CA",'2024'!$F$2=AV81),'2024DATA'!$E$35,"")</f>
        <v/>
      </c>
      <c r="AW114" s="518" t="str">
        <f>IF(AND(_C="A-220-100",'2024'!$F$4="CA",'2024'!$F$2=AW81),'2024DATA'!$F$35,"")</f>
        <v/>
      </c>
      <c r="AX114" s="518" t="str">
        <f>IF(AND(_C="A-220-100",'2024'!$F$4="CA",'2024'!$F$2=AX81),'2024DATA'!$G$35,"")</f>
        <v/>
      </c>
      <c r="AY114" s="518" t="str">
        <f>IF(AND(_C="A-220-100",'2024'!$F$4="CA",'2024'!$F$2=AY81),'2024DATA'!$H$35,"")</f>
        <v/>
      </c>
      <c r="AZ114" s="518" t="str">
        <f>IF(AND(_C="A-220-100",'2024'!$F$4="CA",'2024'!$F$2=AZ81),'2024DATA'!$I$35,"")</f>
        <v/>
      </c>
      <c r="BA114" s="518" t="str">
        <f>IF(AND(_C="A-220-100",'2024'!$F$4="CA",'2024'!$F$2=BA81),'2024DATA'!$J$35,"")</f>
        <v/>
      </c>
      <c r="BB114" s="518" t="str">
        <f>IF(AND(_C="A-220-100",'2024'!$F$4="CA",'2024'!$F$2=BB81),'2024DATA'!$K$35,"")</f>
        <v/>
      </c>
      <c r="BC114" s="518" t="str">
        <f>IF(AND(_C="A-220-100",'2024'!$F$4="CA",'2024'!$F$2=BC81),'2024DATA'!$L$35,"")</f>
        <v/>
      </c>
      <c r="BD114" s="518" t="str">
        <f>IF(AND(_C="A-220-100",'2024'!$F$4="CA",'2024'!$F$2=BD81),'2024DATA'!$M$35,"")</f>
        <v/>
      </c>
      <c r="BE114" s="520" t="str">
        <f>IF(AND(_C="A-220-100",'2024'!$F$4="CA",'2024'!$F$2=BE81),'2024DATA'!$N$35,"")</f>
        <v/>
      </c>
      <c r="BF114" s="940" t="s">
        <v>52</v>
      </c>
      <c r="BG114" s="13" t="s">
        <v>61</v>
      </c>
      <c r="BH114" s="518" t="str">
        <f>IF(AND(_D="A-220-100",'2024'!$F$4="CA",'2024'!$F$2=BH81),'2024DATA'!$C$35,"")</f>
        <v/>
      </c>
      <c r="BI114" s="518" t="str">
        <f>IF(AND(_D="A-220-100",'2024'!$F$4="CA",'2024'!$F$2=BI81),'2024DATA'!$D$35,"")</f>
        <v/>
      </c>
      <c r="BJ114" s="518" t="str">
        <f>IF(AND(_D="A-220-100",'2024'!$F$4="CA",'2024'!$F$2=BJ81),'2024DATA'!$E$35,"")</f>
        <v/>
      </c>
      <c r="BK114" s="518" t="str">
        <f>IF(AND(_D="A-220-100",'2024'!$F$4="CA",'2024'!$F$2=BK81),'2024DATA'!$F$35,"")</f>
        <v/>
      </c>
      <c r="BL114" s="518" t="str">
        <f>IF(AND(_D="A-220-100",'2024'!$F$4="CA",'2024'!$F$2=BL81),'2024DATA'!$G$35,"")</f>
        <v/>
      </c>
      <c r="BM114" s="518" t="str">
        <f>IF(AND(_D="A-220-100",'2024'!$F$4="CA",'2024'!$F$2=BM81),'2024DATA'!$H$35,"")</f>
        <v/>
      </c>
      <c r="BN114" s="518" t="str">
        <f>IF(AND(_D="A-220-100",'2024'!$F$4="CA",'2024'!$F$2=BN81),'2024DATA'!$I$35,"")</f>
        <v/>
      </c>
      <c r="BO114" s="518" t="str">
        <f>IF(AND(_D="A-220-100",'2024'!$F$4="CA",'2024'!$F$2=BO81),'2024DATA'!$J$35,"")</f>
        <v/>
      </c>
      <c r="BP114" s="518" t="str">
        <f>IF(AND(_D="A-220-100",'2024'!$F$4="CA",'2024'!$F$2=BP81),'2024DATA'!$K$35,"")</f>
        <v/>
      </c>
      <c r="BQ114" s="518" t="str">
        <f>IF(AND(_D="A-220-100",'2024'!$F$4="CA",'2024'!$F$2=BQ81),'2024DATA'!$L$35,"")</f>
        <v/>
      </c>
      <c r="BR114" s="518" t="str">
        <f>IF(AND(_D="A-220-100",'2024'!$F$4="CA",'2024'!$F$2=BR81),'2024DATA'!$M$35,"")</f>
        <v/>
      </c>
      <c r="BS114" s="520" t="str">
        <f>IF(AND(_D="A-220-100",'2024'!$F$4="CA",'2024'!$F$2=BS81),'2024DATA'!$N$35,"")</f>
        <v/>
      </c>
      <c r="BT114" s="940" t="s">
        <v>52</v>
      </c>
      <c r="BU114" s="13" t="s">
        <v>61</v>
      </c>
      <c r="BV114" s="518" t="str">
        <f>IF(AND(_E="A-220-100",'2024'!$F$4="CA",'2024'!$F$2=BV81),'2024DATA'!$C$35,"")</f>
        <v/>
      </c>
      <c r="BW114" s="518" t="str">
        <f>IF(AND(_E="A-220-100",'2024'!$F$4="CA",'2024'!$F$2=BW81),'2024DATA'!$D$35,"")</f>
        <v/>
      </c>
      <c r="BX114" s="518" t="str">
        <f>IF(AND(_E="A-220-100",'2024'!$F$4="CA",'2024'!$F$2=BX81),'2024DATA'!$E$35,"")</f>
        <v/>
      </c>
      <c r="BY114" s="518" t="str">
        <f>IF(AND(_E="A-220-100",'2024'!$F$4="CA",'2024'!$F$2=BY81),'2024DATA'!$F$35,"")</f>
        <v/>
      </c>
      <c r="BZ114" s="518" t="str">
        <f>IF(AND(_E="A-220-100",'2024'!$F$4="CA",'2024'!$F$2=BZ81),'2024DATA'!$G$35,"")</f>
        <v/>
      </c>
      <c r="CA114" s="518" t="str">
        <f>IF(AND(_E="A-220-100",'2024'!$F$4="CA",'2024'!$F$2=CA81),'2024DATA'!$H$35,"")</f>
        <v/>
      </c>
      <c r="CB114" s="518" t="str">
        <f>IF(AND(_E="A-220-100",'2024'!$F$4="CA",'2024'!$F$2=CB81),'2024DATA'!$I$35,"")</f>
        <v/>
      </c>
      <c r="CC114" s="518" t="str">
        <f>IF(AND(_E="A-220-100",'2024'!$F$4="CA",'2024'!$F$2=CC81),'2024DATA'!$J$35,"")</f>
        <v/>
      </c>
      <c r="CD114" s="518" t="str">
        <f>IF(AND(_E="A-220-100",'2024'!$F$4="CA",'2024'!$F$2=CD81),'2024DATA'!$K$35,"")</f>
        <v/>
      </c>
      <c r="CE114" s="518" t="str">
        <f>IF(AND(_E="A-220-100",'2024'!$F$4="CA",'2024'!$F$2=CE81),'2024DATA'!$L$35,"")</f>
        <v/>
      </c>
      <c r="CF114" s="518" t="str">
        <f>IF(AND(_E="A-220-100",'2024'!$F$4="CA",'2024'!$F$2=CF81),'2024DATA'!$M$35,"")</f>
        <v/>
      </c>
      <c r="CG114" s="520" t="str">
        <f>IF(AND(_E="A-220-100",'2024'!$F$4="CA",'2024'!$F$2=CG81),'2024DATA'!$N$35,"")</f>
        <v/>
      </c>
      <c r="CH114" s="940" t="s">
        <v>52</v>
      </c>
      <c r="CI114" s="13" t="s">
        <v>61</v>
      </c>
      <c r="CJ114" s="518" t="str">
        <f>IF(AND(_F="A-220-100",'2024'!$F$4="CA",'2024'!$F$2=CJ81),'2024DATA'!$C$35,"")</f>
        <v/>
      </c>
      <c r="CK114" s="518" t="str">
        <f>IF(AND(_F="A-220-100",'2024'!$F$4="CA",'2024'!$F$2=CK81),'2024DATA'!$D$35,"")</f>
        <v/>
      </c>
      <c r="CL114" s="518" t="str">
        <f>IF(AND(_F="A-220-100",'2024'!$F$4="CA",'2024'!$F$2=CL81),'2024DATA'!$E$35,"")</f>
        <v/>
      </c>
      <c r="CM114" s="518" t="str">
        <f>IF(AND(_F="A-220-100",'2024'!$F$4="CA",'2024'!$F$2=CM81),'2024DATA'!$F$35,"")</f>
        <v/>
      </c>
      <c r="CN114" s="518" t="str">
        <f>IF(AND(_F="A-220-100",'2024'!$F$4="CA",'2024'!$F$2=CN81),'2024DATA'!$G$35,"")</f>
        <v/>
      </c>
      <c r="CO114" s="518" t="str">
        <f>IF(AND(_F="A-220-100",'2024'!$F$4="CA",'2024'!$F$2=CO81),'2024DATA'!$H$35,"")</f>
        <v/>
      </c>
      <c r="CP114" s="518" t="str">
        <f>IF(AND(_F="A-220-100",'2024'!$F$4="CA",'2024'!$F$2=CP81),'2024DATA'!$I$35,"")</f>
        <v/>
      </c>
      <c r="CQ114" s="518" t="str">
        <f>IF(AND(_F="A-220-100",'2024'!$F$4="CA",'2024'!$F$2=CQ81),'2024DATA'!$J$35,"")</f>
        <v/>
      </c>
      <c r="CR114" s="518" t="str">
        <f>IF(AND(_F="A-220-100",'2024'!$F$4="CA",'2024'!$F$2=CR81),'2024DATA'!$K$35,"")</f>
        <v/>
      </c>
      <c r="CS114" s="518" t="str">
        <f>IF(AND(_F="A-220-100",'2024'!$F$4="CA",'2024'!$F$2=CS81),'2024DATA'!$L$35,"")</f>
        <v/>
      </c>
      <c r="CT114" s="518" t="str">
        <f>IF(AND(_F="A-220-100",'2024'!$F$4="CA",'2024'!$F$2=CT81),'2024DATA'!$M$35,"")</f>
        <v/>
      </c>
      <c r="CU114" s="520" t="str">
        <f>IF(AND(_F="A-220-100",'2024'!$F$4="CA",'2024'!$F$2=CU81),'2024DATA'!$N$35,"")</f>
        <v/>
      </c>
    </row>
    <row r="115" spans="16:99" x14ac:dyDescent="0.25">
      <c r="P115" s="940"/>
      <c r="Q115" s="13" t="s">
        <v>62</v>
      </c>
      <c r="R115" s="518" t="str">
        <f>IF(AND(_A="A-220-100",'2024'!$F$4="FO",'2024'!$F$2=R81),'2024DATA'!$C$36,"")</f>
        <v/>
      </c>
      <c r="S115" s="518" t="str">
        <f>IF(AND(_A="A-220-100",'2024'!$F$4="FO",'2024'!$F$2=S81),'2024DATA'!$D$36,"")</f>
        <v/>
      </c>
      <c r="T115" s="518" t="str">
        <f>IF(AND(_A="A-220-100",'2024'!$F$4="FO",'2024'!$F$2=T81),'2024DATA'!$E$36,"")</f>
        <v/>
      </c>
      <c r="U115" s="518" t="str">
        <f>IF(AND(_A="A-220-100",'2024'!$F$4="FO",'2024'!$F$2=U81),'2024DATA'!$F$36,"")</f>
        <v/>
      </c>
      <c r="V115" s="518" t="str">
        <f>IF(AND(_A="A-220-100",'2024'!$F$4="FO",'2024'!$F$2=V81),'2024DATA'!$G$36,"")</f>
        <v/>
      </c>
      <c r="W115" s="518" t="str">
        <f>IF(AND(_A="A-220-100",'2024'!$F$4="FO",'2024'!$F$2=W81),'2024DATA'!$H$36,"")</f>
        <v/>
      </c>
      <c r="X115" s="518" t="str">
        <f>IF(AND(_A="A-220-100",'2024'!$F$4="FO",'2024'!$F$2=X81),'2024DATA'!$I$36,"")</f>
        <v/>
      </c>
      <c r="Y115" s="518" t="str">
        <f>IF(AND(_A="A-220-100",'2024'!$F$4="FO",'2024'!$F$2=Y81),'2024DATA'!$J$36,"")</f>
        <v/>
      </c>
      <c r="Z115" s="518" t="str">
        <f>IF(AND(_A="A-220-100",'2024'!$F$4="FO",'2024'!$F$2=Z81),'2024DATA'!$K$36,"")</f>
        <v/>
      </c>
      <c r="AA115" s="518" t="str">
        <f>IF(AND(_A="A-220-100",'2024'!$F$4="FO",'2024'!$F$2=AA81),'2024DATA'!$L$36,"")</f>
        <v/>
      </c>
      <c r="AB115" s="518" t="str">
        <f>IF(AND(_A="A-220-100",'2024'!$F$4="FO",'2024'!$F$2=AB81),'2024DATA'!$M$36,"")</f>
        <v/>
      </c>
      <c r="AC115" s="520" t="str">
        <f>IF(AND(_A="A-220-100",'2024'!$F$4="FO",'2024'!$F$2=AC81),'2024DATA'!$N$36,"")</f>
        <v/>
      </c>
      <c r="AD115" s="940"/>
      <c r="AE115" s="13" t="s">
        <v>62</v>
      </c>
      <c r="AF115" s="518" t="str">
        <f>IF(AND(_B="A-220-100",'2024'!$F$4="FO",'2024'!$F$2=AF81),'2024DATA'!$C$36,"")</f>
        <v/>
      </c>
      <c r="AG115" s="518" t="str">
        <f>IF(AND(_B="A-220-100",'2024'!$F$4="FO",'2024'!$F$2=AG81),'2024DATA'!$D$36,"")</f>
        <v/>
      </c>
      <c r="AH115" s="518" t="str">
        <f>IF(AND(_B="A-220-100",'2024'!$F$4="FO",'2024'!$F$2=AH81),'2024DATA'!$E$36,"")</f>
        <v/>
      </c>
      <c r="AI115" s="518" t="str">
        <f>IF(AND(_B="A-220-100",'2024'!$F$4="FO",'2024'!$F$2=AI81),'2024DATA'!$F$36,"")</f>
        <v/>
      </c>
      <c r="AJ115" s="518" t="str">
        <f>IF(AND(_B="A-220-100",'2024'!$F$4="FO",'2024'!$F$2=AJ81),'2024DATA'!$G$36,"")</f>
        <v/>
      </c>
      <c r="AK115" s="518" t="str">
        <f>IF(AND(_B="A-220-100",'2024'!$F$4="FO",'2024'!$F$2=AK81),'2024DATA'!$H$36,"")</f>
        <v/>
      </c>
      <c r="AL115" s="518" t="str">
        <f>IF(AND(_B="A-220-100",'2024'!$F$4="FO",'2024'!$F$2=AL81),'2024DATA'!$I$36,"")</f>
        <v/>
      </c>
      <c r="AM115" s="518" t="str">
        <f>IF(AND(_B="A-220-100",'2024'!$F$4="FO",'2024'!$F$2=AM81),'2024DATA'!$J$36,"")</f>
        <v/>
      </c>
      <c r="AN115" s="518" t="str">
        <f>IF(AND(_B="A-220-100",'2024'!$F$4="FO",'2024'!$F$2=AN81),'2024DATA'!$K$36,"")</f>
        <v/>
      </c>
      <c r="AO115" s="518" t="str">
        <f>IF(AND(_B="A-220-100",'2024'!$F$4="FO",'2024'!$F$2=AO81),'2024DATA'!$L$36,"")</f>
        <v/>
      </c>
      <c r="AP115" s="518" t="str">
        <f>IF(AND(_B="A-220-100",'2024'!$F$4="FO",'2024'!$F$2=AP81),'2024DATA'!$M$36,"")</f>
        <v/>
      </c>
      <c r="AQ115" s="520" t="str">
        <f>IF(AND(_B="A-220-100",'2024'!$F$4="FO",'2024'!$F$2=AQ81),'2024DATA'!$N$36,"")</f>
        <v/>
      </c>
      <c r="AR115" s="940"/>
      <c r="AS115" s="13" t="s">
        <v>62</v>
      </c>
      <c r="AT115" s="518" t="str">
        <f>IF(AND(_C="A-220-100",'2024'!$F$4="FO",'2024'!$F$2=AT81),'2024DATA'!$C$36,"")</f>
        <v/>
      </c>
      <c r="AU115" s="518" t="str">
        <f>IF(AND(_C="A-220-100",'2024'!$F$4="FO",'2024'!$F$2=AU81),'2024DATA'!$D$36,"")</f>
        <v/>
      </c>
      <c r="AV115" s="518" t="str">
        <f>IF(AND(_C="A-220-100",'2024'!$F$4="FO",'2024'!$F$2=AV81),'2024DATA'!$E$36,"")</f>
        <v/>
      </c>
      <c r="AW115" s="518" t="str">
        <f>IF(AND(_C="A-220-100",'2024'!$F$4="FO",'2024'!$F$2=AW81),'2024DATA'!$F$36,"")</f>
        <v/>
      </c>
      <c r="AX115" s="518" t="str">
        <f>IF(AND(_C="A-220-100",'2024'!$F$4="FO",'2024'!$F$2=AX81),'2024DATA'!$G$36,"")</f>
        <v/>
      </c>
      <c r="AY115" s="518" t="str">
        <f>IF(AND(_C="A-220-100",'2024'!$F$4="FO",'2024'!$F$2=AY81),'2024DATA'!$H$36,"")</f>
        <v/>
      </c>
      <c r="AZ115" s="518" t="str">
        <f>IF(AND(_C="A-220-100",'2024'!$F$4="FO",'2024'!$F$2=AZ81),'2024DATA'!$I$36,"")</f>
        <v/>
      </c>
      <c r="BA115" s="518" t="str">
        <f>IF(AND(_C="A-220-100",'2024'!$F$4="FO",'2024'!$F$2=BA81),'2024DATA'!$J$36,"")</f>
        <v/>
      </c>
      <c r="BB115" s="518" t="str">
        <f>IF(AND(_C="A-220-100",'2024'!$F$4="FO",'2024'!$F$2=BB81),'2024DATA'!$K$36,"")</f>
        <v/>
      </c>
      <c r="BC115" s="518" t="str">
        <f>IF(AND(_C="A-220-100",'2024'!$F$4="FO",'2024'!$F$2=BC81),'2024DATA'!$L$36,"")</f>
        <v/>
      </c>
      <c r="BD115" s="518" t="str">
        <f>IF(AND(_C="A-220-100",'2024'!$F$4="FO",'2024'!$F$2=BD81),'2024DATA'!$M$36,"")</f>
        <v/>
      </c>
      <c r="BE115" s="520" t="str">
        <f>IF(AND(_C="A-220-100",'2024'!$F$4="FO",'2024'!$F$2=BE81),'2024DATA'!$N$36,"")</f>
        <v/>
      </c>
      <c r="BF115" s="940"/>
      <c r="BG115" s="13" t="s">
        <v>62</v>
      </c>
      <c r="BH115" s="518" t="str">
        <f>IF(AND(_D="A-220-100",'2024'!$F$4="FO",'2024'!$F$2=BH81),'2024DATA'!$C$36,"")</f>
        <v/>
      </c>
      <c r="BI115" s="518" t="str">
        <f>IF(AND(_D="A-220-100",'2024'!$F$4="FO",'2024'!$F$2=BI81),'2024DATA'!$D$36,"")</f>
        <v/>
      </c>
      <c r="BJ115" s="518" t="str">
        <f>IF(AND(_D="A-220-100",'2024'!$F$4="FO",'2024'!$F$2=BJ81),'2024DATA'!$E$36,"")</f>
        <v/>
      </c>
      <c r="BK115" s="518" t="str">
        <f>IF(AND(_D="A-220-100",'2024'!$F$4="FO",'2024'!$F$2=BK81),'2024DATA'!$F$36,"")</f>
        <v/>
      </c>
      <c r="BL115" s="518" t="str">
        <f>IF(AND(_D="A-220-100",'2024'!$F$4="FO",'2024'!$F$2=BL81),'2024DATA'!$G$36,"")</f>
        <v/>
      </c>
      <c r="BM115" s="518" t="str">
        <f>IF(AND(_D="A-220-100",'2024'!$F$4="FO",'2024'!$F$2=BM81),'2024DATA'!$H$36,"")</f>
        <v/>
      </c>
      <c r="BN115" s="518" t="str">
        <f>IF(AND(_D="A-220-100",'2024'!$F$4="FO",'2024'!$F$2=BN81),'2024DATA'!$I$36,"")</f>
        <v/>
      </c>
      <c r="BO115" s="518" t="str">
        <f>IF(AND(_D="A-220-100",'2024'!$F$4="FO",'2024'!$F$2=BO81),'2024DATA'!$J$36,"")</f>
        <v/>
      </c>
      <c r="BP115" s="518" t="str">
        <f>IF(AND(_D="A-220-100",'2024'!$F$4="FO",'2024'!$F$2=BP81),'2024DATA'!$K$36,"")</f>
        <v/>
      </c>
      <c r="BQ115" s="518" t="str">
        <f>IF(AND(_D="A-220-100",'2024'!$F$4="FO",'2024'!$F$2=BQ81),'2024DATA'!$L$36,"")</f>
        <v/>
      </c>
      <c r="BR115" s="518" t="str">
        <f>IF(AND(_D="A-220-100",'2024'!$F$4="FO",'2024'!$F$2=BR81),'2024DATA'!$M$36,"")</f>
        <v/>
      </c>
      <c r="BS115" s="520" t="str">
        <f>IF(AND(_D="A-220-100",'2024'!$F$4="FO",'2024'!$F$2=BS81),'2024DATA'!$N$36,"")</f>
        <v/>
      </c>
      <c r="BT115" s="940"/>
      <c r="BU115" s="13" t="s">
        <v>62</v>
      </c>
      <c r="BV115" s="518" t="str">
        <f>IF(AND(_E="A-220-100",'2024'!$F$4="FO",'2024'!$F$2=BV81),'2024DATA'!$C$36,"")</f>
        <v/>
      </c>
      <c r="BW115" s="518" t="str">
        <f>IF(AND(_E="A-220-100",'2024'!$F$4="FO",'2024'!$F$2=BW81),'2024DATA'!$D$36,"")</f>
        <v/>
      </c>
      <c r="BX115" s="518" t="str">
        <f>IF(AND(_E="A-220-100",'2024'!$F$4="FO",'2024'!$F$2=BX81),'2024DATA'!$E$36,"")</f>
        <v/>
      </c>
      <c r="BY115" s="518" t="str">
        <f>IF(AND(_E="A-220-100",'2024'!$F$4="FO",'2024'!$F$2=BY81),'2024DATA'!$F$36,"")</f>
        <v/>
      </c>
      <c r="BZ115" s="518" t="str">
        <f>IF(AND(_E="A-220-100",'2024'!$F$4="FO",'2024'!$F$2=BZ81),'2024DATA'!$G$36,"")</f>
        <v/>
      </c>
      <c r="CA115" s="518" t="str">
        <f>IF(AND(_E="A-220-100",'2024'!$F$4="FO",'2024'!$F$2=CA81),'2024DATA'!$H$36,"")</f>
        <v/>
      </c>
      <c r="CB115" s="518" t="str">
        <f>IF(AND(_E="A-220-100",'2024'!$F$4="FO",'2024'!$F$2=CB81),'2024DATA'!$I$36,"")</f>
        <v/>
      </c>
      <c r="CC115" s="518" t="str">
        <f>IF(AND(_E="A-220-100",'2024'!$F$4="FO",'2024'!$F$2=CC81),'2024DATA'!$J$36,"")</f>
        <v/>
      </c>
      <c r="CD115" s="518" t="str">
        <f>IF(AND(_E="A-220-100",'2024'!$F$4="FO",'2024'!$F$2=CD81),'2024DATA'!$K$36,"")</f>
        <v/>
      </c>
      <c r="CE115" s="518" t="str">
        <f>IF(AND(_E="A-220-100",'2024'!$F$4="FO",'2024'!$F$2=CE81),'2024DATA'!$L$36,"")</f>
        <v/>
      </c>
      <c r="CF115" s="518" t="str">
        <f>IF(AND(_E="A-220-100",'2024'!$F$4="FO",'2024'!$F$2=CF81),'2024DATA'!$M$36,"")</f>
        <v/>
      </c>
      <c r="CG115" s="520" t="str">
        <f>IF(AND(_E="A-220-100",'2024'!$F$4="FO",'2024'!$F$2=CG81),'2024DATA'!$N$36,"")</f>
        <v/>
      </c>
      <c r="CH115" s="940"/>
      <c r="CI115" s="13" t="s">
        <v>62</v>
      </c>
      <c r="CJ115" s="518" t="str">
        <f>IF(AND(_F="A-220-100",'2024'!$F$4="FO",'2024'!$F$2=CJ81),'2024DATA'!$C$36,"")</f>
        <v/>
      </c>
      <c r="CK115" s="518" t="str">
        <f>IF(AND(_F="A-220-100",'2024'!$F$4="FO",'2024'!$F$2=CK81),'2024DATA'!$D$36,"")</f>
        <v/>
      </c>
      <c r="CL115" s="518" t="str">
        <f>IF(AND(_F="A-220-100",'2024'!$F$4="FO",'2024'!$F$2=CL81),'2024DATA'!$E$36,"")</f>
        <v/>
      </c>
      <c r="CM115" s="518" t="str">
        <f>IF(AND(_F="A-220-100",'2024'!$F$4="FO",'2024'!$F$2=CM81),'2024DATA'!$F$36,"")</f>
        <v/>
      </c>
      <c r="CN115" s="518" t="str">
        <f>IF(AND(_F="A-220-100",'2024'!$F$4="FO",'2024'!$F$2=CN81),'2024DATA'!$G$36,"")</f>
        <v/>
      </c>
      <c r="CO115" s="518" t="str">
        <f>IF(AND(_F="A-220-100",'2024'!$F$4="FO",'2024'!$F$2=CO81),'2024DATA'!$H$36,"")</f>
        <v/>
      </c>
      <c r="CP115" s="518" t="str">
        <f>IF(AND(_F="A-220-100",'2024'!$F$4="FO",'2024'!$F$2=CP81),'2024DATA'!$I$36,"")</f>
        <v/>
      </c>
      <c r="CQ115" s="518" t="str">
        <f>IF(AND(_F="A-220-100",'2024'!$F$4="FO",'2024'!$F$2=CQ81),'2024DATA'!$J$36,"")</f>
        <v/>
      </c>
      <c r="CR115" s="518" t="str">
        <f>IF(AND(_F="A-220-100",'2024'!$F$4="FO",'2024'!$F$2=CR81),'2024DATA'!$K$36,"")</f>
        <v/>
      </c>
      <c r="CS115" s="518" t="str">
        <f>IF(AND(_F="A-220-100",'2024'!$F$4="FO",'2024'!$F$2=CS81),'2024DATA'!$L$36,"")</f>
        <v/>
      </c>
      <c r="CT115" s="518" t="str">
        <f>IF(AND(_F="A-220-100",'2024'!$F$4="FO",'2024'!$F$2=CT81),'2024DATA'!$M$36,"")</f>
        <v/>
      </c>
      <c r="CU115" s="520" t="str">
        <f>IF(AND(_F="A-220-100",'2024'!$F$4="FO",'2024'!$F$2=CU81),'2024DATA'!$N$36,"")</f>
        <v/>
      </c>
    </row>
    <row r="116" spans="16:99" x14ac:dyDescent="0.25">
      <c r="P116" s="940" t="s">
        <v>53</v>
      </c>
      <c r="Q116" s="13" t="s">
        <v>61</v>
      </c>
      <c r="R116" s="518" t="str">
        <f>IF(AND(_A="B-717",'2024'!$F$4="CA",'2024'!$F$2=R81),'2024DATA'!$C$37,"")</f>
        <v/>
      </c>
      <c r="S116" s="518" t="str">
        <f>IF(AND(_A="B-717",'2024'!$F$4="CA",'2024'!$F$2=S81),'2024DATA'!$D$37,"")</f>
        <v/>
      </c>
      <c r="T116" s="518" t="str">
        <f>IF(AND(_A="B-717",'2024'!$F$4="CA",'2024'!$F$2=T81),'2024DATA'!$E$37,"")</f>
        <v/>
      </c>
      <c r="U116" s="518" t="str">
        <f>IF(AND(_A="B-717",'2024'!$F$4="CA",'2024'!$F$2=U81),'2024DATA'!$F$37,"")</f>
        <v/>
      </c>
      <c r="V116" s="518" t="str">
        <f>IF(AND(_A="B-717",'2024'!$F$4="CA",'2024'!$F$2=V81),'2024DATA'!$G$37,"")</f>
        <v/>
      </c>
      <c r="W116" s="518" t="str">
        <f>IF(AND(_A="B-717",'2024'!$F$4="CA",'2024'!$F$2=W81),'2024DATA'!$H$37,"")</f>
        <v/>
      </c>
      <c r="X116" s="518" t="str">
        <f>IF(AND(_A="B-717",'2024'!$F$4="CA",'2024'!$F$2=X81),'2024DATA'!$I$37,"")</f>
        <v/>
      </c>
      <c r="Y116" s="518" t="str">
        <f>IF(AND(_A="B-717",'2024'!$F$4="CA",'2024'!$F$2=Y81),'2024DATA'!$J$37,"")</f>
        <v/>
      </c>
      <c r="Z116" s="518" t="str">
        <f>IF(AND(_A="B-717",'2024'!$F$4="CA",'2024'!$F$2=Z81),'2024DATA'!$K$37,"")</f>
        <v/>
      </c>
      <c r="AA116" s="518" t="str">
        <f>IF(AND(_A="B-717",'2024'!$F$4="CA",'2024'!$F$2=AA81),'2024DATA'!$L$37,"")</f>
        <v/>
      </c>
      <c r="AB116" s="518" t="str">
        <f>IF(AND(_A="B-717",'2024'!$F$4="CA",'2024'!$F$2=AB81),'2024DATA'!$M$37,"")</f>
        <v/>
      </c>
      <c r="AC116" s="520" t="str">
        <f>IF(AND(_A="B-717",'2024'!$F$4="CA",'2024'!$F$2=AC81),'2024DATA'!$N$37,"")</f>
        <v/>
      </c>
      <c r="AD116" s="940" t="s">
        <v>53</v>
      </c>
      <c r="AE116" s="13" t="s">
        <v>61</v>
      </c>
      <c r="AF116" s="518" t="str">
        <f>IF(AND(_B="B-717",'2024'!$F$4="CA",'2024'!$F$2=AF81),'2024DATA'!$C$37,"")</f>
        <v/>
      </c>
      <c r="AG116" s="518" t="str">
        <f>IF(AND(_B="B-717",'2024'!$F$4="CA",'2024'!$F$2=AG81),'2024DATA'!$D$37,"")</f>
        <v/>
      </c>
      <c r="AH116" s="518" t="str">
        <f>IF(AND(_B="B-717",'2024'!$F$4="CA",'2024'!$F$2=AH81),'2024DATA'!$E$37,"")</f>
        <v/>
      </c>
      <c r="AI116" s="518" t="str">
        <f>IF(AND(_B="B-717",'2024'!$F$4="CA",'2024'!$F$2=AI81),'2024DATA'!$F$37,"")</f>
        <v/>
      </c>
      <c r="AJ116" s="518" t="str">
        <f>IF(AND(_B="B-717",'2024'!$F$4="CA",'2024'!$F$2=AJ81),'2024DATA'!$G$37,"")</f>
        <v/>
      </c>
      <c r="AK116" s="518" t="str">
        <f>IF(AND(_B="B-717",'2024'!$F$4="CA",'2024'!$F$2=AK81),'2024DATA'!$H$37,"")</f>
        <v/>
      </c>
      <c r="AL116" s="518" t="str">
        <f>IF(AND(_B="B-717",'2024'!$F$4="CA",'2024'!$F$2=AL81),'2024DATA'!$I$37,"")</f>
        <v/>
      </c>
      <c r="AM116" s="518" t="str">
        <f>IF(AND(_B="B-717",'2024'!$F$4="CA",'2024'!$F$2=AM81),'2024DATA'!$J$37,"")</f>
        <v/>
      </c>
      <c r="AN116" s="518" t="str">
        <f>IF(AND(_B="B-717",'2024'!$F$4="CA",'2024'!$F$2=AN81),'2024DATA'!$K$37,"")</f>
        <v/>
      </c>
      <c r="AO116" s="518" t="str">
        <f>IF(AND(_B="B-717",'2024'!$F$4="CA",'2024'!$F$2=AO81),'2024DATA'!$L$37,"")</f>
        <v/>
      </c>
      <c r="AP116" s="518" t="str">
        <f>IF(AND(_B="B-717",'2024'!$F$4="CA",'2024'!$F$2=AP81),'2024DATA'!$M$37,"")</f>
        <v/>
      </c>
      <c r="AQ116" s="520" t="str">
        <f>IF(AND(_B="B-717",'2024'!$F$4="CA",'2024'!$F$2=AQ81),'2024DATA'!$N$37,"")</f>
        <v/>
      </c>
      <c r="AR116" s="940" t="s">
        <v>53</v>
      </c>
      <c r="AS116" s="13" t="s">
        <v>61</v>
      </c>
      <c r="AT116" s="518" t="str">
        <f>IF(AND(_C="B-717",'2024'!$F$4="CA",'2024'!$F$2=AT81),'2024DATA'!$C$37,"")</f>
        <v/>
      </c>
      <c r="AU116" s="518" t="str">
        <f>IF(AND(_C="B-717",'2024'!$F$4="CA",'2024'!$F$2=AU81),'2024DATA'!$D$37,"")</f>
        <v/>
      </c>
      <c r="AV116" s="518" t="str">
        <f>IF(AND(_C="B-717",'2024'!$F$4="CA",'2024'!$F$2=AV81),'2024DATA'!$E$37,"")</f>
        <v/>
      </c>
      <c r="AW116" s="518" t="str">
        <f>IF(AND(_C="B-717",'2024'!$F$4="CA",'2024'!$F$2=AW81),'2024DATA'!$F$37,"")</f>
        <v/>
      </c>
      <c r="AX116" s="518" t="str">
        <f>IF(AND(_C="B-717",'2024'!$F$4="CA",'2024'!$F$2=AX81),'2024DATA'!$G$37,"")</f>
        <v/>
      </c>
      <c r="AY116" s="518" t="str">
        <f>IF(AND(_C="B-717",'2024'!$F$4="CA",'2024'!$F$2=AY81),'2024DATA'!$H$37,"")</f>
        <v/>
      </c>
      <c r="AZ116" s="518" t="str">
        <f>IF(AND(_C="B-717",'2024'!$F$4="CA",'2024'!$F$2=AZ81),'2024DATA'!$I$37,"")</f>
        <v/>
      </c>
      <c r="BA116" s="518" t="str">
        <f>IF(AND(_C="B-717",'2024'!$F$4="CA",'2024'!$F$2=BA81),'2024DATA'!$J$37,"")</f>
        <v/>
      </c>
      <c r="BB116" s="518" t="str">
        <f>IF(AND(_C="B-717",'2024'!$F$4="CA",'2024'!$F$2=BB81),'2024DATA'!$K$37,"")</f>
        <v/>
      </c>
      <c r="BC116" s="518" t="str">
        <f>IF(AND(_C="B-717",'2024'!$F$4="CA",'2024'!$F$2=BC81),'2024DATA'!$L$37,"")</f>
        <v/>
      </c>
      <c r="BD116" s="518" t="str">
        <f>IF(AND(_C="B-717",'2024'!$F$4="CA",'2024'!$F$2=BD81),'2024DATA'!$M$37,"")</f>
        <v/>
      </c>
      <c r="BE116" s="520" t="str">
        <f>IF(AND(_C="B-717",'2024'!$F$4="CA",'2024'!$F$2=BE81),'2024DATA'!$N$37,"")</f>
        <v/>
      </c>
      <c r="BF116" s="940" t="s">
        <v>53</v>
      </c>
      <c r="BG116" s="13" t="s">
        <v>61</v>
      </c>
      <c r="BH116" s="518" t="str">
        <f>IF(AND(_D="B-717",'2024'!$F$4="CA",'2024'!$F$2=BH81),'2024DATA'!$C$37,"")</f>
        <v/>
      </c>
      <c r="BI116" s="518" t="str">
        <f>IF(AND(_D="B-717",'2024'!$F$4="CA",'2024'!$F$2=BI81),'2024DATA'!$D$37,"")</f>
        <v/>
      </c>
      <c r="BJ116" s="518" t="str">
        <f>IF(AND(_D="B-717",'2024'!$F$4="CA",'2024'!$F$2=BJ81),'2024DATA'!$E$37,"")</f>
        <v/>
      </c>
      <c r="BK116" s="518" t="str">
        <f>IF(AND(_D="B-717",'2024'!$F$4="CA",'2024'!$F$2=BK81),'2024DATA'!$F$37,"")</f>
        <v/>
      </c>
      <c r="BL116" s="518" t="str">
        <f>IF(AND(_D="B-717",'2024'!$F$4="CA",'2024'!$F$2=BL81),'2024DATA'!$G$37,"")</f>
        <v/>
      </c>
      <c r="BM116" s="518" t="str">
        <f>IF(AND(_D="B-717",'2024'!$F$4="CA",'2024'!$F$2=BM81),'2024DATA'!$H$37,"")</f>
        <v/>
      </c>
      <c r="BN116" s="518" t="str">
        <f>IF(AND(_D="B-717",'2024'!$F$4="CA",'2024'!$F$2=BN81),'2024DATA'!$I$37,"")</f>
        <v/>
      </c>
      <c r="BO116" s="518" t="str">
        <f>IF(AND(_D="B-717",'2024'!$F$4="CA",'2024'!$F$2=BO81),'2024DATA'!$J$37,"")</f>
        <v/>
      </c>
      <c r="BP116" s="518" t="str">
        <f>IF(AND(_D="B-717",'2024'!$F$4="CA",'2024'!$F$2=BP81),'2024DATA'!$K$37,"")</f>
        <v/>
      </c>
      <c r="BQ116" s="518" t="str">
        <f>IF(AND(_D="B-717",'2024'!$F$4="CA",'2024'!$F$2=BQ81),'2024DATA'!$L$37,"")</f>
        <v/>
      </c>
      <c r="BR116" s="518" t="str">
        <f>IF(AND(_D="B-717",'2024'!$F$4="CA",'2024'!$F$2=BR81),'2024DATA'!$M$37,"")</f>
        <v/>
      </c>
      <c r="BS116" s="520" t="str">
        <f>IF(AND(_D="B-717",'2024'!$F$4="CA",'2024'!$F$2=BS81),'2024DATA'!$N$37,"")</f>
        <v/>
      </c>
      <c r="BT116" s="940" t="s">
        <v>53</v>
      </c>
      <c r="BU116" s="13" t="s">
        <v>61</v>
      </c>
      <c r="BV116" s="518" t="str">
        <f>IF(AND(_E="B-717",'2024'!$F$4="CA",'2024'!$F$2=BV81),'2024DATA'!$C$37,"")</f>
        <v/>
      </c>
      <c r="BW116" s="518" t="str">
        <f>IF(AND(_E="B-717",'2024'!$F$4="CA",'2024'!$F$2=BW81),'2024DATA'!$D$37,"")</f>
        <v/>
      </c>
      <c r="BX116" s="518" t="str">
        <f>IF(AND(_E="B-717",'2024'!$F$4="CA",'2024'!$F$2=BX81),'2024DATA'!$E$37,"")</f>
        <v/>
      </c>
      <c r="BY116" s="518" t="str">
        <f>IF(AND(_E="B-717",'2024'!$F$4="CA",'2024'!$F$2=BY81),'2024DATA'!$F$37,"")</f>
        <v/>
      </c>
      <c r="BZ116" s="518" t="str">
        <f>IF(AND(_E="B-717",'2024'!$F$4="CA",'2024'!$F$2=BZ81),'2024DATA'!$G$37,"")</f>
        <v/>
      </c>
      <c r="CA116" s="518" t="str">
        <f>IF(AND(_E="B-717",'2024'!$F$4="CA",'2024'!$F$2=CA81),'2024DATA'!$H$37,"")</f>
        <v/>
      </c>
      <c r="CB116" s="518" t="str">
        <f>IF(AND(_E="B-717",'2024'!$F$4="CA",'2024'!$F$2=CB81),'2024DATA'!$I$37,"")</f>
        <v/>
      </c>
      <c r="CC116" s="518" t="str">
        <f>IF(AND(_E="B-717",'2024'!$F$4="CA",'2024'!$F$2=CC81),'2024DATA'!$J$37,"")</f>
        <v/>
      </c>
      <c r="CD116" s="518" t="str">
        <f>IF(AND(_E="B-717",'2024'!$F$4="CA",'2024'!$F$2=CD81),'2024DATA'!$K$37,"")</f>
        <v/>
      </c>
      <c r="CE116" s="518" t="str">
        <f>IF(AND(_E="B-717",'2024'!$F$4="CA",'2024'!$F$2=CE81),'2024DATA'!$L$37,"")</f>
        <v/>
      </c>
      <c r="CF116" s="518" t="str">
        <f>IF(AND(_E="B-717",'2024'!$F$4="CA",'2024'!$F$2=CF81),'2024DATA'!$M$37,"")</f>
        <v/>
      </c>
      <c r="CG116" s="520" t="str">
        <f>IF(AND(_E="B-717",'2024'!$F$4="CA",'2024'!$F$2=CG81),'2024DATA'!$N$37,"")</f>
        <v/>
      </c>
      <c r="CH116" s="940" t="s">
        <v>53</v>
      </c>
      <c r="CI116" s="13" t="s">
        <v>61</v>
      </c>
      <c r="CJ116" s="518" t="str">
        <f>IF(AND(_F="B-717",'2024'!$F$4="CA",'2024'!$F$2=CJ81),'2024DATA'!$C$37,"")</f>
        <v/>
      </c>
      <c r="CK116" s="518" t="str">
        <f>IF(AND(_F="B-717",'2024'!$F$4="CA",'2024'!$F$2=CK81),'2024DATA'!$D$37,"")</f>
        <v/>
      </c>
      <c r="CL116" s="518" t="str">
        <f>IF(AND(_F="B-717",'2024'!$F$4="CA",'2024'!$F$2=CL81),'2024DATA'!$E$37,"")</f>
        <v/>
      </c>
      <c r="CM116" s="518" t="str">
        <f>IF(AND(_F="B-717",'2024'!$F$4="CA",'2024'!$F$2=CM81),'2024DATA'!$F$37,"")</f>
        <v/>
      </c>
      <c r="CN116" s="518" t="str">
        <f>IF(AND(_F="B-717",'2024'!$F$4="CA",'2024'!$F$2=CN81),'2024DATA'!$G$37,"")</f>
        <v/>
      </c>
      <c r="CO116" s="518" t="str">
        <f>IF(AND(_F="B-717",'2024'!$F$4="CA",'2024'!$F$2=CO81),'2024DATA'!$H$37,"")</f>
        <v/>
      </c>
      <c r="CP116" s="518" t="str">
        <f>IF(AND(_F="B-717",'2024'!$F$4="CA",'2024'!$F$2=CP81),'2024DATA'!$I$37,"")</f>
        <v/>
      </c>
      <c r="CQ116" s="518" t="str">
        <f>IF(AND(_F="B-717",'2024'!$F$4="CA",'2024'!$F$2=CQ81),'2024DATA'!$J$37,"")</f>
        <v/>
      </c>
      <c r="CR116" s="518" t="str">
        <f>IF(AND(_F="B-717",'2024'!$F$4="CA",'2024'!$F$2=CR81),'2024DATA'!$K$37,"")</f>
        <v/>
      </c>
      <c r="CS116" s="518" t="str">
        <f>IF(AND(_F="B-717",'2024'!$F$4="CA",'2024'!$F$2=CS81),'2024DATA'!$L$37,"")</f>
        <v/>
      </c>
      <c r="CT116" s="518" t="str">
        <f>IF(AND(_F="B-717",'2024'!$F$4="CA",'2024'!$F$2=CT81),'2024DATA'!$M$37,"")</f>
        <v/>
      </c>
      <c r="CU116" s="520" t="str">
        <f>IF(AND(_F="B-717",'2024'!$F$4="CA",'2024'!$F$2=CU81),'2024DATA'!$N$37,"")</f>
        <v/>
      </c>
    </row>
    <row r="117" spans="16:99" ht="15.75" thickBot="1" x14ac:dyDescent="0.3">
      <c r="P117" s="941"/>
      <c r="Q117" s="521" t="s">
        <v>62</v>
      </c>
      <c r="R117" s="522" t="str">
        <f>IF(AND(_A="B-717",'2024'!$F$4="FO",'2024'!$F$2=R81),'2024DATA'!$C$38,"")</f>
        <v/>
      </c>
      <c r="S117" s="522" t="str">
        <f>IF(AND(_A="B-717",'2024'!$F$4="FO",'2024'!$F$2=S81),'2024DATA'!$D$38,"")</f>
        <v/>
      </c>
      <c r="T117" s="522" t="str">
        <f>IF(AND(_A="B-717",'2024'!$F$4="FO",'2024'!$F$2=T81),'2024DATA'!$E$38,"")</f>
        <v/>
      </c>
      <c r="U117" s="522" t="str">
        <f>IF(AND(_A="B-717",'2024'!$F$4="FO",'2024'!$F$2=U81),'2024DATA'!$F$38,"")</f>
        <v/>
      </c>
      <c r="V117" s="522" t="str">
        <f>IF(AND(_A="B-717",'2024'!$F$4="FO",'2024'!$F$2=V81),'2024DATA'!$G$38,"")</f>
        <v/>
      </c>
      <c r="W117" s="522" t="str">
        <f>IF(AND(_A="B-717",'2024'!$F$4="FO",'2024'!$F$2=W81),'2024DATA'!$H$38,"")</f>
        <v/>
      </c>
      <c r="X117" s="522" t="str">
        <f>IF(AND(_A="B-717",'2024'!$F$4="FO",'2024'!$F$2=X81),'2024DATA'!$I$38,"")</f>
        <v/>
      </c>
      <c r="Y117" s="522" t="str">
        <f>IF(AND(_A="B-717",'2024'!$F$4="FO",'2024'!$F$2=Y81),'2024DATA'!$J$38,"")</f>
        <v/>
      </c>
      <c r="Z117" s="522" t="str">
        <f>IF(AND(_A="B-717",'2024'!$F$4="FO",'2024'!$F$2=Z81),'2024DATA'!$K$38,"")</f>
        <v/>
      </c>
      <c r="AA117" s="522" t="str">
        <f>IF(AND(_A="B-717",'2024'!$F$4="FO",'2024'!$F$2=AA81),'2024DATA'!$L$38,"")</f>
        <v/>
      </c>
      <c r="AB117" s="522" t="str">
        <f>IF(AND(_A="B-717",'2024'!$F$4="FO",'2024'!$F$2=AB81),'2024DATA'!$M$38,"")</f>
        <v/>
      </c>
      <c r="AC117" s="523" t="str">
        <f>IF(AND(_A="B-717",'2024'!$F$4="FO",'2024'!$F$2=AC81),'2024DATA'!$N$38,"")</f>
        <v/>
      </c>
      <c r="AD117" s="941"/>
      <c r="AE117" s="521" t="s">
        <v>62</v>
      </c>
      <c r="AF117" s="518" t="str">
        <f>IF(AND(_B="B-717",'2024'!$F$4="FO",'2024'!$F$2=AF81),'2024DATA'!$C$38,"")</f>
        <v/>
      </c>
      <c r="AG117" s="518" t="str">
        <f>IF(AND(_B="B-717",'2024'!$F$4="FO",'2024'!$F$2=AG81),'2024DATA'!$D$38,"")</f>
        <v/>
      </c>
      <c r="AH117" s="518" t="str">
        <f>IF(AND(_B="B-717",'2024'!$F$4="FO",'2024'!$F$2=AH81),'2024DATA'!$E$38,"")</f>
        <v/>
      </c>
      <c r="AI117" s="518" t="str">
        <f>IF(AND(_B="B-717",'2024'!$F$4="FO",'2024'!$F$2=AI81),'2024DATA'!$F$38,"")</f>
        <v/>
      </c>
      <c r="AJ117" s="518" t="str">
        <f>IF(AND(_B="B-717",'2024'!$F$4="FO",'2024'!$F$2=AJ81),'2024DATA'!$G$38,"")</f>
        <v/>
      </c>
      <c r="AK117" s="518" t="str">
        <f>IF(AND(_B="B-717",'2024'!$F$4="FO",'2024'!$F$2=AK81),'2024DATA'!$H$38,"")</f>
        <v/>
      </c>
      <c r="AL117" s="518" t="str">
        <f>IF(AND(_B="B-717",'2024'!$F$4="FO",'2024'!$F$2=AL81),'2024DATA'!$I$38,"")</f>
        <v/>
      </c>
      <c r="AM117" s="518" t="str">
        <f>IF(AND(_B="B-717",'2024'!$F$4="FO",'2024'!$F$2=AM81),'2024DATA'!$J$38,"")</f>
        <v/>
      </c>
      <c r="AN117" s="518" t="str">
        <f>IF(AND(_B="B-717",'2024'!$F$4="FO",'2024'!$F$2=AN81),'2024DATA'!$K$38,"")</f>
        <v/>
      </c>
      <c r="AO117" s="518" t="str">
        <f>IF(AND(_B="B-717",'2024'!$F$4="FO",'2024'!$F$2=AO81),'2024DATA'!$L$38,"")</f>
        <v/>
      </c>
      <c r="AP117" s="518" t="str">
        <f>IF(AND(_B="B-717",'2024'!$F$4="FO",'2024'!$F$2=AP81),'2024DATA'!$M$38,"")</f>
        <v/>
      </c>
      <c r="AQ117" s="520" t="str">
        <f>IF(AND(_B="B-717",'2024'!$F$4="FO",'2024'!$F$2=AQ81),'2024DATA'!$N$38,"")</f>
        <v/>
      </c>
      <c r="AR117" s="941"/>
      <c r="AS117" s="521" t="s">
        <v>62</v>
      </c>
      <c r="AT117" s="518" t="str">
        <f>IF(AND(_C="B-717",'2024'!$F$4="FO",'2024'!$F$2=AT81),'2024DATA'!$C$38,"")</f>
        <v/>
      </c>
      <c r="AU117" s="518" t="str">
        <f>IF(AND(_C="B-717",'2024'!$F$4="FO",'2024'!$F$2=AU81),'2024DATA'!$D$38,"")</f>
        <v/>
      </c>
      <c r="AV117" s="518" t="str">
        <f>IF(AND(_C="B-717",'2024'!$F$4="FO",'2024'!$F$2=AV81),'2024DATA'!$E$38,"")</f>
        <v/>
      </c>
      <c r="AW117" s="518" t="str">
        <f>IF(AND(_C="B-717",'2024'!$F$4="FO",'2024'!$F$2=AW81),'2024DATA'!$F$38,"")</f>
        <v/>
      </c>
      <c r="AX117" s="518" t="str">
        <f>IF(AND(_C="B-717",'2024'!$F$4="FO",'2024'!$F$2=AX81),'2024DATA'!$G$38,"")</f>
        <v/>
      </c>
      <c r="AY117" s="518" t="str">
        <f>IF(AND(_C="B-717",'2024'!$F$4="FO",'2024'!$F$2=AY81),'2024DATA'!$H$38,"")</f>
        <v/>
      </c>
      <c r="AZ117" s="518" t="str">
        <f>IF(AND(_C="B-717",'2024'!$F$4="FO",'2024'!$F$2=AZ81),'2024DATA'!$I$38,"")</f>
        <v/>
      </c>
      <c r="BA117" s="518" t="str">
        <f>IF(AND(_C="B-717",'2024'!$F$4="FO",'2024'!$F$2=BA81),'2024DATA'!$J$38,"")</f>
        <v/>
      </c>
      <c r="BB117" s="518" t="str">
        <f>IF(AND(_C="B-717",'2024'!$F$4="FO",'2024'!$F$2=BB81),'2024DATA'!$K$38,"")</f>
        <v/>
      </c>
      <c r="BC117" s="518" t="str">
        <f>IF(AND(_C="B-717",'2024'!$F$4="FO",'2024'!$F$2=BC81),'2024DATA'!$L$38,"")</f>
        <v/>
      </c>
      <c r="BD117" s="518" t="str">
        <f>IF(AND(_C="B-717",'2024'!$F$4="FO",'2024'!$F$2=BD81),'2024DATA'!$M$38,"")</f>
        <v/>
      </c>
      <c r="BE117" s="520" t="str">
        <f>IF(AND(_C="B-717",'2024'!$F$4="FO",'2024'!$F$2=BE81),'2024DATA'!$N$38,"")</f>
        <v/>
      </c>
      <c r="BF117" s="941"/>
      <c r="BG117" s="521" t="s">
        <v>62</v>
      </c>
      <c r="BH117" s="518" t="str">
        <f>IF(AND(_D="B-717",'2024'!$F$4="FO",'2024'!$F$2=BH81),'2024DATA'!$C$38,"")</f>
        <v/>
      </c>
      <c r="BI117" s="518" t="str">
        <f>IF(AND(_D="B-717",'2024'!$F$4="FO",'2024'!$F$2=BI81),'2024DATA'!$D$38,"")</f>
        <v/>
      </c>
      <c r="BJ117" s="518" t="str">
        <f>IF(AND(_D="B-717",'2024'!$F$4="FO",'2024'!$F$2=BJ81),'2024DATA'!$E$38,"")</f>
        <v/>
      </c>
      <c r="BK117" s="518" t="str">
        <f>IF(AND(_D="B-717",'2024'!$F$4="FO",'2024'!$F$2=BK81),'2024DATA'!$F$38,"")</f>
        <v/>
      </c>
      <c r="BL117" s="518" t="str">
        <f>IF(AND(_D="B-717",'2024'!$F$4="FO",'2024'!$F$2=BL81),'2024DATA'!$G$38,"")</f>
        <v/>
      </c>
      <c r="BM117" s="518" t="str">
        <f>IF(AND(_D="B-717",'2024'!$F$4="FO",'2024'!$F$2=BM81),'2024DATA'!$H$38,"")</f>
        <v/>
      </c>
      <c r="BN117" s="518" t="str">
        <f>IF(AND(_D="B-717",'2024'!$F$4="FO",'2024'!$F$2=BN81),'2024DATA'!$I$38,"")</f>
        <v/>
      </c>
      <c r="BO117" s="518" t="str">
        <f>IF(AND(_D="B-717",'2024'!$F$4="FO",'2024'!$F$2=BO81),'2024DATA'!$J$38,"")</f>
        <v/>
      </c>
      <c r="BP117" s="518" t="str">
        <f>IF(AND(_D="B-717",'2024'!$F$4="FO",'2024'!$F$2=BP81),'2024DATA'!$K$38,"")</f>
        <v/>
      </c>
      <c r="BQ117" s="518" t="str">
        <f>IF(AND(_D="B-717",'2024'!$F$4="FO",'2024'!$F$2=BQ81),'2024DATA'!$L$38,"")</f>
        <v/>
      </c>
      <c r="BR117" s="518" t="str">
        <f>IF(AND(_D="B-717",'2024'!$F$4="FO",'2024'!$F$2=BR81),'2024DATA'!$M$38,"")</f>
        <v/>
      </c>
      <c r="BS117" s="520" t="str">
        <f>IF(AND(_D="B-717",'2024'!$F$4="FO",'2024'!$F$2=BS81),'2024DATA'!$N$38,"")</f>
        <v/>
      </c>
      <c r="BT117" s="941"/>
      <c r="BU117" s="521" t="s">
        <v>62</v>
      </c>
      <c r="BV117" s="518" t="str">
        <f>IF(AND(_E="B-717",'2024'!$F$4="FO",'2024'!$F$2=BV81),'2024DATA'!$C$38,"")</f>
        <v/>
      </c>
      <c r="BW117" s="518" t="str">
        <f>IF(AND(_E="B-717",'2024'!$F$4="FO",'2024'!$F$2=BW81),'2024DATA'!$D$38,"")</f>
        <v/>
      </c>
      <c r="BX117" s="518" t="str">
        <f>IF(AND(_E="B-717",'2024'!$F$4="FO",'2024'!$F$2=BX81),'2024DATA'!$E$38,"")</f>
        <v/>
      </c>
      <c r="BY117" s="518" t="str">
        <f>IF(AND(_E="B-717",'2024'!$F$4="FO",'2024'!$F$2=BY81),'2024DATA'!$F$38,"")</f>
        <v/>
      </c>
      <c r="BZ117" s="518" t="str">
        <f>IF(AND(_E="B-717",'2024'!$F$4="FO",'2024'!$F$2=BZ81),'2024DATA'!$G$38,"")</f>
        <v/>
      </c>
      <c r="CA117" s="518" t="str">
        <f>IF(AND(_E="B-717",'2024'!$F$4="FO",'2024'!$F$2=CA81),'2024DATA'!$H$38,"")</f>
        <v/>
      </c>
      <c r="CB117" s="518" t="str">
        <f>IF(AND(_E="B-717",'2024'!$F$4="FO",'2024'!$F$2=CB81),'2024DATA'!$I$38,"")</f>
        <v/>
      </c>
      <c r="CC117" s="518" t="str">
        <f>IF(AND(_E="B-717",'2024'!$F$4="FO",'2024'!$F$2=CC81),'2024DATA'!$J$38,"")</f>
        <v/>
      </c>
      <c r="CD117" s="518" t="str">
        <f>IF(AND(_E="B-717",'2024'!$F$4="FO",'2024'!$F$2=CD81),'2024DATA'!$K$38,"")</f>
        <v/>
      </c>
      <c r="CE117" s="518" t="str">
        <f>IF(AND(_E="B-717",'2024'!$F$4="FO",'2024'!$F$2=CE81),'2024DATA'!$L$38,"")</f>
        <v/>
      </c>
      <c r="CF117" s="518" t="str">
        <f>IF(AND(_E="B-717",'2024'!$F$4="FO",'2024'!$F$2=CF81),'2024DATA'!$M$38,"")</f>
        <v/>
      </c>
      <c r="CG117" s="520" t="str">
        <f>IF(AND(_E="B-717",'2024'!$F$4="FO",'2024'!$F$2=CG81),'2024DATA'!$N$38,"")</f>
        <v/>
      </c>
      <c r="CH117" s="941"/>
      <c r="CI117" s="521" t="s">
        <v>62</v>
      </c>
      <c r="CJ117" s="518" t="str">
        <f>IF(AND(_F="B-717",'2024'!$F$4="FO",'2024'!$F$2=CJ81),'2024DATA'!$C$38,"")</f>
        <v/>
      </c>
      <c r="CK117" s="518" t="str">
        <f>IF(AND(_F="B-717",'2024'!$F$4="FO",'2024'!$F$2=CK81),'2024DATA'!$D$38,"")</f>
        <v/>
      </c>
      <c r="CL117" s="518" t="str">
        <f>IF(AND(_F="B-717",'2024'!$F$4="FO",'2024'!$F$2=CL81),'2024DATA'!$E$38,"")</f>
        <v/>
      </c>
      <c r="CM117" s="518" t="str">
        <f>IF(AND(_F="B-717",'2024'!$F$4="FO",'2024'!$F$2=CM81),'2024DATA'!$F$38,"")</f>
        <v/>
      </c>
      <c r="CN117" s="518" t="str">
        <f>IF(AND(_F="B-717",'2024'!$F$4="FO",'2024'!$F$2=CN81),'2024DATA'!$G$38,"")</f>
        <v/>
      </c>
      <c r="CO117" s="518" t="str">
        <f>IF(AND(_F="B-717",'2024'!$F$4="FO",'2024'!$F$2=CO81),'2024DATA'!$H$38,"")</f>
        <v/>
      </c>
      <c r="CP117" s="518" t="str">
        <f>IF(AND(_F="B-717",'2024'!$F$4="FO",'2024'!$F$2=CP81),'2024DATA'!$I$38,"")</f>
        <v/>
      </c>
      <c r="CQ117" s="518" t="str">
        <f>IF(AND(_F="B-717",'2024'!$F$4="FO",'2024'!$F$2=CQ81),'2024DATA'!$J$38,"")</f>
        <v/>
      </c>
      <c r="CR117" s="518" t="str">
        <f>IF(AND(_F="B-717",'2024'!$F$4="FO",'2024'!$F$2=CR81),'2024DATA'!$K$38,"")</f>
        <v/>
      </c>
      <c r="CS117" s="518" t="str">
        <f>IF(AND(_F="B-717",'2024'!$F$4="FO",'2024'!$F$2=CS81),'2024DATA'!$L$38,"")</f>
        <v/>
      </c>
      <c r="CT117" s="518" t="str">
        <f>IF(AND(_F="B-717",'2024'!$F$4="FO",'2024'!$F$2=CT81),'2024DATA'!$M$38,"")</f>
        <v/>
      </c>
      <c r="CU117" s="520" t="str">
        <f>IF(AND(_F="B-717",'2024'!$F$4="FO",'2024'!$F$2=CU81),'2024DATA'!$N$38,"")</f>
        <v/>
      </c>
    </row>
    <row r="118" spans="16:99" x14ac:dyDescent="0.25">
      <c r="P118" s="943" t="s">
        <v>103</v>
      </c>
      <c r="Q118" s="944"/>
      <c r="R118" s="944"/>
      <c r="S118" s="944"/>
      <c r="T118" s="944"/>
      <c r="U118" s="944"/>
      <c r="V118" s="944"/>
      <c r="W118" s="944"/>
      <c r="X118" s="944"/>
      <c r="Y118" s="944"/>
      <c r="Z118" s="944"/>
      <c r="AA118" s="944"/>
      <c r="AB118" s="944"/>
      <c r="AC118" s="945"/>
      <c r="AD118" s="943" t="s">
        <v>104</v>
      </c>
      <c r="AE118" s="944"/>
      <c r="AF118" s="944"/>
      <c r="AG118" s="944"/>
      <c r="AH118" s="944"/>
      <c r="AI118" s="944"/>
      <c r="AJ118" s="944"/>
      <c r="AK118" s="944"/>
      <c r="AL118" s="944"/>
      <c r="AM118" s="944"/>
      <c r="AN118" s="944"/>
      <c r="AO118" s="944"/>
      <c r="AP118" s="944"/>
      <c r="AQ118" s="945"/>
      <c r="AR118" s="943" t="s">
        <v>105</v>
      </c>
      <c r="AS118" s="944"/>
      <c r="AT118" s="944"/>
      <c r="AU118" s="944"/>
      <c r="AV118" s="944"/>
      <c r="AW118" s="944"/>
      <c r="AX118" s="944"/>
      <c r="AY118" s="944"/>
      <c r="AZ118" s="944"/>
      <c r="BA118" s="944"/>
      <c r="BB118" s="944"/>
      <c r="BC118" s="944"/>
      <c r="BD118" s="944"/>
      <c r="BE118" s="945"/>
      <c r="BF118" s="943" t="s">
        <v>106</v>
      </c>
      <c r="BG118" s="944"/>
      <c r="BH118" s="944"/>
      <c r="BI118" s="944"/>
      <c r="BJ118" s="944"/>
      <c r="BK118" s="944"/>
      <c r="BL118" s="944"/>
      <c r="BM118" s="944"/>
      <c r="BN118" s="944"/>
      <c r="BO118" s="944"/>
      <c r="BP118" s="944"/>
      <c r="BQ118" s="944"/>
      <c r="BR118" s="944"/>
      <c r="BS118" s="945"/>
      <c r="BT118" s="943" t="s">
        <v>107</v>
      </c>
      <c r="BU118" s="944"/>
      <c r="BV118" s="944"/>
      <c r="BW118" s="944"/>
      <c r="BX118" s="944"/>
      <c r="BY118" s="944"/>
      <c r="BZ118" s="944"/>
      <c r="CA118" s="944"/>
      <c r="CB118" s="944"/>
      <c r="CC118" s="944"/>
      <c r="CD118" s="944"/>
      <c r="CE118" s="944"/>
      <c r="CF118" s="944"/>
      <c r="CG118" s="945"/>
      <c r="CH118" s="943" t="s">
        <v>108</v>
      </c>
      <c r="CI118" s="944"/>
      <c r="CJ118" s="944"/>
      <c r="CK118" s="944"/>
      <c r="CL118" s="944"/>
      <c r="CM118" s="944"/>
      <c r="CN118" s="944"/>
      <c r="CO118" s="944"/>
      <c r="CP118" s="944"/>
      <c r="CQ118" s="944"/>
      <c r="CR118" s="944"/>
      <c r="CS118" s="944"/>
      <c r="CT118" s="944"/>
      <c r="CU118" s="945"/>
    </row>
    <row r="119" spans="16:99" x14ac:dyDescent="0.25">
      <c r="P119" s="596">
        <v>4</v>
      </c>
      <c r="Q119" s="561">
        <f>SUM(R120:AC155)</f>
        <v>0</v>
      </c>
      <c r="R119" s="3">
        <v>12</v>
      </c>
      <c r="S119" s="3">
        <v>11</v>
      </c>
      <c r="T119" s="3">
        <v>10</v>
      </c>
      <c r="U119" s="3">
        <v>9</v>
      </c>
      <c r="V119" s="3">
        <v>8</v>
      </c>
      <c r="W119" s="3">
        <v>7</v>
      </c>
      <c r="X119" s="3">
        <v>6</v>
      </c>
      <c r="Y119" s="3">
        <v>5</v>
      </c>
      <c r="Z119" s="3">
        <v>4</v>
      </c>
      <c r="AA119" s="3">
        <v>3</v>
      </c>
      <c r="AB119" s="3">
        <v>2</v>
      </c>
      <c r="AC119" s="519">
        <v>1</v>
      </c>
      <c r="AD119" s="561">
        <v>4</v>
      </c>
      <c r="AE119" s="561">
        <f>SUM(AF120:AQ155)</f>
        <v>0</v>
      </c>
      <c r="AF119" s="3">
        <v>12</v>
      </c>
      <c r="AG119" s="3">
        <v>11</v>
      </c>
      <c r="AH119" s="3">
        <v>10</v>
      </c>
      <c r="AI119" s="3">
        <v>9</v>
      </c>
      <c r="AJ119" s="3">
        <v>8</v>
      </c>
      <c r="AK119" s="3">
        <v>7</v>
      </c>
      <c r="AL119" s="3">
        <v>6</v>
      </c>
      <c r="AM119" s="3">
        <v>5</v>
      </c>
      <c r="AN119" s="3">
        <v>4</v>
      </c>
      <c r="AO119" s="3">
        <v>3</v>
      </c>
      <c r="AP119" s="3">
        <v>2</v>
      </c>
      <c r="AQ119" s="519">
        <v>1</v>
      </c>
      <c r="AR119" s="561">
        <v>4</v>
      </c>
      <c r="AS119" s="561">
        <f>SUM(AT120:BE155)</f>
        <v>0</v>
      </c>
      <c r="AT119" s="3">
        <v>12</v>
      </c>
      <c r="AU119" s="3">
        <v>11</v>
      </c>
      <c r="AV119" s="3">
        <v>10</v>
      </c>
      <c r="AW119" s="3">
        <v>9</v>
      </c>
      <c r="AX119" s="3">
        <v>8</v>
      </c>
      <c r="AY119" s="3">
        <v>7</v>
      </c>
      <c r="AZ119" s="3">
        <v>6</v>
      </c>
      <c r="BA119" s="3">
        <v>5</v>
      </c>
      <c r="BB119" s="3">
        <v>4</v>
      </c>
      <c r="BC119" s="3">
        <v>3</v>
      </c>
      <c r="BD119" s="3">
        <v>2</v>
      </c>
      <c r="BE119" s="519">
        <v>1</v>
      </c>
      <c r="BF119" s="561">
        <v>4</v>
      </c>
      <c r="BG119" s="561">
        <f>SUM(BH120:BS155)</f>
        <v>0</v>
      </c>
      <c r="BH119" s="3">
        <v>12</v>
      </c>
      <c r="BI119" s="3">
        <v>11</v>
      </c>
      <c r="BJ119" s="3">
        <v>10</v>
      </c>
      <c r="BK119" s="3">
        <v>9</v>
      </c>
      <c r="BL119" s="3">
        <v>8</v>
      </c>
      <c r="BM119" s="3">
        <v>7</v>
      </c>
      <c r="BN119" s="3">
        <v>6</v>
      </c>
      <c r="BO119" s="3">
        <v>5</v>
      </c>
      <c r="BP119" s="3">
        <v>4</v>
      </c>
      <c r="BQ119" s="3">
        <v>3</v>
      </c>
      <c r="BR119" s="3">
        <v>2</v>
      </c>
      <c r="BS119" s="519">
        <v>1</v>
      </c>
      <c r="BT119" s="561">
        <v>4</v>
      </c>
      <c r="BU119" s="561">
        <f>SUM(BV120:CG155)</f>
        <v>0</v>
      </c>
      <c r="BV119" s="3">
        <v>12</v>
      </c>
      <c r="BW119" s="3">
        <v>11</v>
      </c>
      <c r="BX119" s="3">
        <v>10</v>
      </c>
      <c r="BY119" s="3">
        <v>9</v>
      </c>
      <c r="BZ119" s="3">
        <v>8</v>
      </c>
      <c r="CA119" s="3">
        <v>7</v>
      </c>
      <c r="CB119" s="3">
        <v>6</v>
      </c>
      <c r="CC119" s="3">
        <v>5</v>
      </c>
      <c r="CD119" s="3">
        <v>4</v>
      </c>
      <c r="CE119" s="3">
        <v>3</v>
      </c>
      <c r="CF119" s="3">
        <v>2</v>
      </c>
      <c r="CG119" s="519">
        <v>1</v>
      </c>
      <c r="CH119" s="561">
        <v>4</v>
      </c>
      <c r="CI119" s="561">
        <f>SUM(CJ120:CU155)</f>
        <v>0</v>
      </c>
      <c r="CJ119" s="3">
        <v>12</v>
      </c>
      <c r="CK119" s="3">
        <v>11</v>
      </c>
      <c r="CL119" s="3">
        <v>10</v>
      </c>
      <c r="CM119" s="3">
        <v>9</v>
      </c>
      <c r="CN119" s="3">
        <v>8</v>
      </c>
      <c r="CO119" s="3">
        <v>7</v>
      </c>
      <c r="CP119" s="3">
        <v>6</v>
      </c>
      <c r="CQ119" s="3">
        <v>5</v>
      </c>
      <c r="CR119" s="3">
        <v>4</v>
      </c>
      <c r="CS119" s="3">
        <v>3</v>
      </c>
      <c r="CT119" s="3">
        <v>2</v>
      </c>
      <c r="CU119" s="519">
        <v>1</v>
      </c>
    </row>
    <row r="120" spans="16:99" x14ac:dyDescent="0.25">
      <c r="P120" s="940" t="s">
        <v>39</v>
      </c>
      <c r="Q120" s="13" t="s">
        <v>61</v>
      </c>
      <c r="R120" s="518" t="str">
        <f>IF(AND(_A="A-350",'2024'!$G$4="CA",'2024'!$G$2=R119),'2024DATA'!$C$3,"")</f>
        <v/>
      </c>
      <c r="S120" s="518" t="str">
        <f>IF(AND(_A="A-350",'2024'!$G$4="CA",'2024'!$G$2=S119),'2024DATA'!$D$3,"")</f>
        <v/>
      </c>
      <c r="T120" s="518" t="str">
        <f>IF(AND(_A="A-350",'2024'!$G$4="CA",'2024'!$G$2=T119),'2024DATA'!$E$3,"")</f>
        <v/>
      </c>
      <c r="U120" s="518" t="str">
        <f>IF(AND(_A="A-350",'2024'!$G$4="CA",'2024'!$G$2=U119),'2024DATA'!$F$3,"")</f>
        <v/>
      </c>
      <c r="V120" s="518" t="str">
        <f>IF(AND(_A="A-350",'2024'!$G$4="CA",'2024'!$G$2=V119),'2024DATA'!$G$3,"")</f>
        <v/>
      </c>
      <c r="W120" s="518" t="str">
        <f>IF(AND(_A="A-350",'2024'!$G$4="CA",'2024'!$G$2=W119),'2024DATA'!$H$3,"")</f>
        <v/>
      </c>
      <c r="X120" s="518" t="str">
        <f>IF(AND(_A="A-350",'2024'!$G$4="CA",'2024'!$G$2=X119),'2024DATA'!$I$3,"")</f>
        <v/>
      </c>
      <c r="Y120" s="518" t="str">
        <f>IF(AND(_A="A-350",'2024'!$G$4="CA",'2024'!$G$2=Y119),'2024DATA'!$J$3,"")</f>
        <v/>
      </c>
      <c r="Z120" s="518" t="str">
        <f>IF(AND(_A="A-350",'2024'!$G$4="CA",'2024'!$G$2=Z119),'2024DATA'!$K$3,"")</f>
        <v/>
      </c>
      <c r="AA120" s="518" t="str">
        <f>IF(AND(_A="A-350",'2024'!$G$4="CA",'2024'!$G$2=AA119),'2024DATA'!$L$3,"")</f>
        <v/>
      </c>
      <c r="AB120" s="518" t="str">
        <f>IF(AND(_A="A-350",'2024'!$G$4="CA",'2024'!$G$2=AB119),'2024DATA'!$M$3,"")</f>
        <v/>
      </c>
      <c r="AC120" s="520" t="str">
        <f>IF(AND(_A="A-350",'2024'!$G$4="CA",'2024'!$G$2=AC119),'2024DATA'!$N$3,"")</f>
        <v/>
      </c>
      <c r="AD120" s="940" t="s">
        <v>39</v>
      </c>
      <c r="AE120" s="13" t="s">
        <v>61</v>
      </c>
      <c r="AF120" s="518" t="str">
        <f>IF(AND(_B="A-350",'2024'!$G$4="CA",'2024'!$G$2=AF119),'2024DATA'!$C$3,"")</f>
        <v/>
      </c>
      <c r="AG120" s="518" t="str">
        <f>IF(AND(_B="A-350",'2024'!$G$4="CA",'2024'!$G$2=AG119),'2024DATA'!$D$3,"")</f>
        <v/>
      </c>
      <c r="AH120" s="518" t="str">
        <f>IF(AND(_B="A-350",'2024'!$G$4="CA",'2024'!$G$2=AH119),'2024DATA'!$E$3,"")</f>
        <v/>
      </c>
      <c r="AI120" s="518" t="str">
        <f>IF(AND(_B="A-350",'2024'!$G$4="CA",'2024'!$G$2=AI119),'2024DATA'!$F$3,"")</f>
        <v/>
      </c>
      <c r="AJ120" s="518" t="str">
        <f>IF(AND(_B="A-350",'2024'!$G$4="CA",'2024'!$G$2=AJ119),'2024DATA'!$G$3,"")</f>
        <v/>
      </c>
      <c r="AK120" s="518" t="str">
        <f>IF(AND(_B="A-350",'2024'!$G$4="CA",'2024'!$G$2=AK119),'2024DATA'!$H$3,"")</f>
        <v/>
      </c>
      <c r="AL120" s="518" t="str">
        <f>IF(AND(_B="A-350",'2024'!$G$4="CA",'2024'!$G$2=AL119),'2024DATA'!$I$3,"")</f>
        <v/>
      </c>
      <c r="AM120" s="518" t="str">
        <f>IF(AND(_B="A-350",'2024'!$G$4="CA",'2024'!$G$2=AM119),'2024DATA'!$J$3,"")</f>
        <v/>
      </c>
      <c r="AN120" s="518" t="str">
        <f>IF(AND(_B="A-350",'2024'!$G$4="CA",'2024'!$G$2=AN119),'2024DATA'!$K$3,"")</f>
        <v/>
      </c>
      <c r="AO120" s="518" t="str">
        <f>IF(AND(_B="A-350",'2024'!$G$4="CA",'2024'!$G$2=AO119),'2024DATA'!$L$3,"")</f>
        <v/>
      </c>
      <c r="AP120" s="518" t="str">
        <f>IF(AND(_B="A-350",'2024'!$G$4="CA",'2024'!$G$2=AP119),'2024DATA'!$M$3,"")</f>
        <v/>
      </c>
      <c r="AQ120" s="520" t="str">
        <f>IF(AND(_B="A-350",'2024'!$G$4="CA",'2024'!$G$2=AQ119),'2024DATA'!$N$3,"")</f>
        <v/>
      </c>
      <c r="AR120" s="940" t="s">
        <v>39</v>
      </c>
      <c r="AS120" s="13" t="s">
        <v>61</v>
      </c>
      <c r="AT120" s="518" t="str">
        <f>IF(AND(_C="A-350",'2024'!$G$4="CA",'2024'!$G$2=AT119),'2024DATA'!$C$3,"")</f>
        <v/>
      </c>
      <c r="AU120" s="518" t="str">
        <f>IF(AND(_C="A-350",'2024'!$G$4="CA",'2024'!$G$2=AU119),'2024DATA'!$D$3,"")</f>
        <v/>
      </c>
      <c r="AV120" s="518" t="str">
        <f>IF(AND(_C="A-350",'2024'!$G$4="CA",'2024'!$G$2=AV119),'2024DATA'!$E$3,"")</f>
        <v/>
      </c>
      <c r="AW120" s="518" t="str">
        <f>IF(AND(_C="A-350",'2024'!$G$4="CA",'2024'!$G$2=AW119),'2024DATA'!$F$3,"")</f>
        <v/>
      </c>
      <c r="AX120" s="518" t="str">
        <f>IF(AND(_C="A-350",'2024'!$G$4="CA",'2024'!$G$2=AX119),'2024DATA'!$G$3,"")</f>
        <v/>
      </c>
      <c r="AY120" s="518" t="str">
        <f>IF(AND(_C="A-350",'2024'!$G$4="CA",'2024'!$G$2=AY119),'2024DATA'!$H$3,"")</f>
        <v/>
      </c>
      <c r="AZ120" s="518" t="str">
        <f>IF(AND(_C="A-350",'2024'!$G$4="CA",'2024'!$G$2=AZ119),'2024DATA'!$I$3,"")</f>
        <v/>
      </c>
      <c r="BA120" s="518" t="str">
        <f>IF(AND(_C="A-350",'2024'!$G$4="CA",'2024'!$G$2=BA119),'2024DATA'!$J$3,"")</f>
        <v/>
      </c>
      <c r="BB120" s="518" t="str">
        <f>IF(AND(_C="A-350",'2024'!$G$4="CA",'2024'!$G$2=BB119),'2024DATA'!$K$3,"")</f>
        <v/>
      </c>
      <c r="BC120" s="518" t="str">
        <f>IF(AND(_C="A-350",'2024'!$G$4="CA",'2024'!$G$2=BC119),'2024DATA'!$L$3,"")</f>
        <v/>
      </c>
      <c r="BD120" s="518" t="str">
        <f>IF(AND(_C="A-350",'2024'!$G$4="CA",'2024'!$G$2=BD119),'2024DATA'!$M$3,"")</f>
        <v/>
      </c>
      <c r="BE120" s="520" t="str">
        <f>IF(AND(_C="A-350",'2024'!$G$4="CA",'2024'!$G$2=BE119),'2024DATA'!$N$3,"")</f>
        <v/>
      </c>
      <c r="BF120" s="940" t="s">
        <v>39</v>
      </c>
      <c r="BG120" s="13" t="s">
        <v>61</v>
      </c>
      <c r="BH120" s="518" t="str">
        <f>IF(AND(_D="A-350",'2024'!$G$4="CA",'2024'!$G$2=BH119),'2024DATA'!$C$3,"")</f>
        <v/>
      </c>
      <c r="BI120" s="518" t="str">
        <f>IF(AND(_D="A-350",'2024'!$G$4="CA",'2024'!$G$2=BI119),'2024DATA'!$D$3,"")</f>
        <v/>
      </c>
      <c r="BJ120" s="518" t="str">
        <f>IF(AND(_D="A-350",'2024'!$G$4="CA",'2024'!$G$2=BJ119),'2024DATA'!$E$3,"")</f>
        <v/>
      </c>
      <c r="BK120" s="518" t="str">
        <f>IF(AND(_D="A-350",'2024'!$G$4="CA",'2024'!$G$2=BK119),'2024DATA'!$F$3,"")</f>
        <v/>
      </c>
      <c r="BL120" s="518" t="str">
        <f>IF(AND(_D="A-350",'2024'!$G$4="CA",'2024'!$G$2=BL119),'2024DATA'!$G$3,"")</f>
        <v/>
      </c>
      <c r="BM120" s="518" t="str">
        <f>IF(AND(_D="A-350",'2024'!$G$4="CA",'2024'!$G$2=BM119),'2024DATA'!$H$3,"")</f>
        <v/>
      </c>
      <c r="BN120" s="518" t="str">
        <f>IF(AND(_D="A-350",'2024'!$G$4="CA",'2024'!$G$2=BN119),'2024DATA'!$I$3,"")</f>
        <v/>
      </c>
      <c r="BO120" s="518" t="str">
        <f>IF(AND(_D="A-350",'2024'!$G$4="CA",'2024'!$G$2=BO119),'2024DATA'!$J$3,"")</f>
        <v/>
      </c>
      <c r="BP120" s="518" t="str">
        <f>IF(AND(_D="A-350",'2024'!$G$4="CA",'2024'!$G$2=BP119),'2024DATA'!$K$3,"")</f>
        <v/>
      </c>
      <c r="BQ120" s="518" t="str">
        <f>IF(AND(_D="A-350",'2024'!$G$4="CA",'2024'!$G$2=BQ119),'2024DATA'!$L$3,"")</f>
        <v/>
      </c>
      <c r="BR120" s="518" t="str">
        <f>IF(AND(_D="A-350",'2024'!$G$4="CA",'2024'!$G$2=BR119),'2024DATA'!$M$3,"")</f>
        <v/>
      </c>
      <c r="BS120" s="520" t="str">
        <f>IF(AND(_D="A-350",'2024'!$G$4="CA",'2024'!$G$2=BS119),'2024DATA'!$N$3,"")</f>
        <v/>
      </c>
      <c r="BT120" s="940" t="s">
        <v>39</v>
      </c>
      <c r="BU120" s="13" t="s">
        <v>61</v>
      </c>
      <c r="BV120" s="518" t="str">
        <f>IF(AND(_E="A-350",'2024'!$G$4="CA",'2024'!$G$2=BV119),'2024DATA'!$C$3,"")</f>
        <v/>
      </c>
      <c r="BW120" s="518" t="str">
        <f>IF(AND(_E="A-350",'2024'!$G$4="CA",'2024'!$G$2=BW119),'2024DATA'!$D$3,"")</f>
        <v/>
      </c>
      <c r="BX120" s="518" t="str">
        <f>IF(AND(_E="A-350",'2024'!$G$4="CA",'2024'!$G$2=BX119),'2024DATA'!$E$3,"")</f>
        <v/>
      </c>
      <c r="BY120" s="518" t="str">
        <f>IF(AND(_E="A-350",'2024'!$G$4="CA",'2024'!$G$2=BY119),'2024DATA'!$F$3,"")</f>
        <v/>
      </c>
      <c r="BZ120" s="518" t="str">
        <f>IF(AND(_E="A-350",'2024'!$G$4="CA",'2024'!$G$2=BZ119),'2024DATA'!$G$3,"")</f>
        <v/>
      </c>
      <c r="CA120" s="518" t="str">
        <f>IF(AND(_E="A-350",'2024'!$G$4="CA",'2024'!$G$2=CA119),'2024DATA'!$H$3,"")</f>
        <v/>
      </c>
      <c r="CB120" s="518" t="str">
        <f>IF(AND(_E="A-350",'2024'!$G$4="CA",'2024'!$G$2=CB119),'2024DATA'!$I$3,"")</f>
        <v/>
      </c>
      <c r="CC120" s="518" t="str">
        <f>IF(AND(_E="A-350",'2024'!$G$4="CA",'2024'!$G$2=CC119),'2024DATA'!$J$3,"")</f>
        <v/>
      </c>
      <c r="CD120" s="518" t="str">
        <f>IF(AND(_E="A-350",'2024'!$G$4="CA",'2024'!$G$2=CD119),'2024DATA'!$K$3,"")</f>
        <v/>
      </c>
      <c r="CE120" s="518" t="str">
        <f>IF(AND(_E="A-350",'2024'!$G$4="CA",'2024'!$G$2=CE119),'2024DATA'!$L$3,"")</f>
        <v/>
      </c>
      <c r="CF120" s="518" t="str">
        <f>IF(AND(_E="A-350",'2024'!$G$4="CA",'2024'!$G$2=CF119),'2024DATA'!$M$3,"")</f>
        <v/>
      </c>
      <c r="CG120" s="520" t="str">
        <f>IF(AND(_E="A-350",'2024'!$G$4="CA",'2024'!$G$2=CG119),'2024DATA'!$N$3,"")</f>
        <v/>
      </c>
      <c r="CH120" s="940" t="s">
        <v>39</v>
      </c>
      <c r="CI120" s="13" t="s">
        <v>61</v>
      </c>
      <c r="CJ120" s="518" t="str">
        <f>IF(AND(_F="A-350",'2024'!$G$4="CA",'2024'!$G$2=CJ119),'2024DATA'!$C$3,"")</f>
        <v/>
      </c>
      <c r="CK120" s="518" t="str">
        <f>IF(AND(_F="A-350",'2024'!$G$4="CA",'2024'!$G$2=CK119),'2024DATA'!$D$3,"")</f>
        <v/>
      </c>
      <c r="CL120" s="518" t="str">
        <f>IF(AND(_F="A-350",'2024'!$G$4="CA",'2024'!$G$2=CL119),'2024DATA'!$E$3,"")</f>
        <v/>
      </c>
      <c r="CM120" s="518" t="str">
        <f>IF(AND(_F="A-350",'2024'!$G$4="CA",'2024'!$G$2=CM119),'2024DATA'!$F$3,"")</f>
        <v/>
      </c>
      <c r="CN120" s="518" t="str">
        <f>IF(AND(_F="A-350",'2024'!$G$4="CA",'2024'!$G$2=CN119),'2024DATA'!$G$3,"")</f>
        <v/>
      </c>
      <c r="CO120" s="518" t="str">
        <f>IF(AND(_F="A-350",'2024'!$G$4="CA",'2024'!$G$2=CO119),'2024DATA'!$H$3,"")</f>
        <v/>
      </c>
      <c r="CP120" s="518" t="str">
        <f>IF(AND(_F="A-350",'2024'!$G$4="CA",'2024'!$G$2=CP119),'2024DATA'!$I$3,"")</f>
        <v/>
      </c>
      <c r="CQ120" s="518" t="str">
        <f>IF(AND(_F="A-350",'2024'!$G$4="CA",'2024'!$G$2=CQ119),'2024DATA'!$J$3,"")</f>
        <v/>
      </c>
      <c r="CR120" s="518" t="str">
        <f>IF(AND(_F="A-350",'2024'!$G$4="CA",'2024'!$G$2=CR119),'2024DATA'!$K$3,"")</f>
        <v/>
      </c>
      <c r="CS120" s="518" t="str">
        <f>IF(AND(_F="A-350",'2024'!$G$4="CA",'2024'!$G$2=CS119),'2024DATA'!$L$3,"")</f>
        <v/>
      </c>
      <c r="CT120" s="518" t="str">
        <f>IF(AND(_F="A-350",'2024'!$G$4="CA",'2024'!$G$2=CT119),'2024DATA'!$M$3,"")</f>
        <v/>
      </c>
      <c r="CU120" s="520" t="str">
        <f>IF(AND(_F="A-350",'2024'!$G$4="CA",'2024'!$G$2=CU119),'2024DATA'!$N$3,"")</f>
        <v/>
      </c>
    </row>
    <row r="121" spans="16:99" x14ac:dyDescent="0.25">
      <c r="P121" s="940"/>
      <c r="Q121" s="13" t="s">
        <v>62</v>
      </c>
      <c r="R121" s="518" t="str">
        <f>IF(AND(_A="A-350",'2024'!$G$4="FO",'2024'!$G$2=R119),'2024DATA'!$C$4,"")</f>
        <v/>
      </c>
      <c r="S121" s="518" t="str">
        <f>IF(AND(_A="A-350",'2024'!$G$4="FO",'2024'!$G$2=S119),'2024DATA'!$D$4,"")</f>
        <v/>
      </c>
      <c r="T121" s="518" t="str">
        <f>IF(AND(_A="A-350",'2024'!$G$4="FO",'2024'!$G$2=T119),'2024DATA'!$E$4,"")</f>
        <v/>
      </c>
      <c r="U121" s="518" t="str">
        <f>IF(AND(_A="A-350",'2024'!$G$4="FO",'2024'!$G$2=U119),'2024DATA'!$F$4,"")</f>
        <v/>
      </c>
      <c r="V121" s="518" t="str">
        <f>IF(AND(_A="A-350",'2024'!$G$4="FO",'2024'!$G$2=V119),'2024DATA'!$G$4,"")</f>
        <v/>
      </c>
      <c r="W121" s="518" t="str">
        <f>IF(AND(_A="A-350",'2024'!$G$4="FO",'2024'!$G$2=W119),'2024DATA'!$H$4,"")</f>
        <v/>
      </c>
      <c r="X121" s="518" t="str">
        <f>IF(AND(_A="A-350",'2024'!$G$4="FO",'2024'!$G$2=X119),'2024DATA'!$I$4,"")</f>
        <v/>
      </c>
      <c r="Y121" s="518" t="str">
        <f>IF(AND(_A="A-350",'2024'!$G$4="FO",'2024'!$G$2=Y119),'2024DATA'!$J$4,"")</f>
        <v/>
      </c>
      <c r="Z121" s="518" t="str">
        <f>IF(AND(_A="A-350",'2024'!$G$4="FO",'2024'!$G$2=Z119),'2024DATA'!$K$4,"")</f>
        <v/>
      </c>
      <c r="AA121" s="518" t="str">
        <f>IF(AND(_A="A-350",'2024'!$G$4="FO",'2024'!$G$2=AA119),'2024DATA'!$L$4,"")</f>
        <v/>
      </c>
      <c r="AB121" s="518" t="str">
        <f>IF(AND(_A="A-350",'2024'!$G$4="FO",'2024'!$G$2=AB119),'2024DATA'!$M$4,"")</f>
        <v/>
      </c>
      <c r="AC121" s="520" t="str">
        <f>IF(AND(_A="A-350",'2024'!$G$4="FO",'2024'!$G$2=AC119),'2024DATA'!$N$4,"")</f>
        <v/>
      </c>
      <c r="AD121" s="940"/>
      <c r="AE121" s="13" t="s">
        <v>62</v>
      </c>
      <c r="AF121" s="518" t="str">
        <f>IF(AND(_B="A-350",'2024'!$G$4="FO",'2024'!$G$2=AF119),'2024DATA'!$C$4,"")</f>
        <v/>
      </c>
      <c r="AG121" s="518" t="str">
        <f>IF(AND(_B="A-350",'2024'!$G$4="FO",'2024'!$G$2=AG119),'2024DATA'!$D$4,"")</f>
        <v/>
      </c>
      <c r="AH121" s="518" t="str">
        <f>IF(AND(_B="A-350",'2024'!$G$4="FO",'2024'!$G$2=AH119),'2024DATA'!$E$4,"")</f>
        <v/>
      </c>
      <c r="AI121" s="518" t="str">
        <f>IF(AND(_B="A-350",'2024'!$G$4="FO",'2024'!$G$2=AI119),'2024DATA'!$F$4,"")</f>
        <v/>
      </c>
      <c r="AJ121" s="518" t="str">
        <f>IF(AND(_B="A-350",'2024'!$G$4="FO",'2024'!$G$2=AJ119),'2024DATA'!$G$4,"")</f>
        <v/>
      </c>
      <c r="AK121" s="518" t="str">
        <f>IF(AND(_B="A-350",'2024'!$G$4="FO",'2024'!$G$2=AK119),'2024DATA'!$H$4,"")</f>
        <v/>
      </c>
      <c r="AL121" s="518" t="str">
        <f>IF(AND(_B="A-350",'2024'!$G$4="FO",'2024'!$G$2=AL119),'2024DATA'!$I$4,"")</f>
        <v/>
      </c>
      <c r="AM121" s="518" t="str">
        <f>IF(AND(_B="A-350",'2024'!$G$4="FO",'2024'!$G$2=AM119),'2024DATA'!$J$4,"")</f>
        <v/>
      </c>
      <c r="AN121" s="518" t="str">
        <f>IF(AND(_B="A-350",'2024'!$G$4="FO",'2024'!$G$2=AN119),'2024DATA'!$K$4,"")</f>
        <v/>
      </c>
      <c r="AO121" s="518" t="str">
        <f>IF(AND(_B="A-350",'2024'!$G$4="FO",'2024'!$G$2=AO119),'2024DATA'!$L$4,"")</f>
        <v/>
      </c>
      <c r="AP121" s="518" t="str">
        <f>IF(AND(_B="A-350",'2024'!$G$4="FO",'2024'!$G$2=AP119),'2024DATA'!$M$4,"")</f>
        <v/>
      </c>
      <c r="AQ121" s="520" t="str">
        <f>IF(AND(_B="A-350",'2024'!$G$4="FO",'2024'!$G$2=AQ119),'2024DATA'!$N$4,"")</f>
        <v/>
      </c>
      <c r="AR121" s="940"/>
      <c r="AS121" s="13" t="s">
        <v>62</v>
      </c>
      <c r="AT121" s="518" t="str">
        <f>IF(AND(_C="A-350",'2024'!$G$4="FO",'2024'!$G$2=AT119),'2024DATA'!$C$4,"")</f>
        <v/>
      </c>
      <c r="AU121" s="518" t="str">
        <f>IF(AND(_C="A-350",'2024'!$G$4="FO",'2024'!$G$2=AU119),'2024DATA'!$D$4,"")</f>
        <v/>
      </c>
      <c r="AV121" s="518" t="str">
        <f>IF(AND(_C="A-350",'2024'!$G$4="FO",'2024'!$G$2=AV119),'2024DATA'!$E$4,"")</f>
        <v/>
      </c>
      <c r="AW121" s="518" t="str">
        <f>IF(AND(_C="A-350",'2024'!$G$4="FO",'2024'!$G$2=AW119),'2024DATA'!$F$4,"")</f>
        <v/>
      </c>
      <c r="AX121" s="518" t="str">
        <f>IF(AND(_C="A-350",'2024'!$G$4="FO",'2024'!$G$2=AX119),'2024DATA'!$G$4,"")</f>
        <v/>
      </c>
      <c r="AY121" s="518" t="str">
        <f>IF(AND(_C="A-350",'2024'!$G$4="FO",'2024'!$G$2=AY119),'2024DATA'!$H$4,"")</f>
        <v/>
      </c>
      <c r="AZ121" s="518" t="str">
        <f>IF(AND(_C="A-350",'2024'!$G$4="FO",'2024'!$G$2=AZ119),'2024DATA'!$I$4,"")</f>
        <v/>
      </c>
      <c r="BA121" s="518" t="str">
        <f>IF(AND(_C="A-350",'2024'!$G$4="FO",'2024'!$G$2=BA119),'2024DATA'!$J$4,"")</f>
        <v/>
      </c>
      <c r="BB121" s="518" t="str">
        <f>IF(AND(_C="A-350",'2024'!$G$4="FO",'2024'!$G$2=BB119),'2024DATA'!$K$4,"")</f>
        <v/>
      </c>
      <c r="BC121" s="518" t="str">
        <f>IF(AND(_C="A-350",'2024'!$G$4="FO",'2024'!$G$2=BC119),'2024DATA'!$L$4,"")</f>
        <v/>
      </c>
      <c r="BD121" s="518" t="str">
        <f>IF(AND(_C="A-350",'2024'!$G$4="FO",'2024'!$G$2=BD119),'2024DATA'!$M$4,"")</f>
        <v/>
      </c>
      <c r="BE121" s="520" t="str">
        <f>IF(AND(_C="A-350",'2024'!$G$4="FO",'2024'!$G$2=BE119),'2024DATA'!$N$4,"")</f>
        <v/>
      </c>
      <c r="BF121" s="940"/>
      <c r="BG121" s="13" t="s">
        <v>62</v>
      </c>
      <c r="BH121" s="518" t="str">
        <f>IF(AND(_D="A-350",'2024'!$G$4="FO",'2024'!$G$2=BH119),'2024DATA'!$C$4,"")</f>
        <v/>
      </c>
      <c r="BI121" s="518" t="str">
        <f>IF(AND(_D="A-350",'2024'!$G$4="FO",'2024'!$G$2=BI119),'2024DATA'!$D$4,"")</f>
        <v/>
      </c>
      <c r="BJ121" s="518" t="str">
        <f>IF(AND(_D="A-350",'2024'!$G$4="FO",'2024'!$G$2=BJ119),'2024DATA'!$E$4,"")</f>
        <v/>
      </c>
      <c r="BK121" s="518" t="str">
        <f>IF(AND(_D="A-350",'2024'!$G$4="FO",'2024'!$G$2=BK119),'2024DATA'!$F$4,"")</f>
        <v/>
      </c>
      <c r="BL121" s="518" t="str">
        <f>IF(AND(_D="A-350",'2024'!$G$4="FO",'2024'!$G$2=BL119),'2024DATA'!$G$4,"")</f>
        <v/>
      </c>
      <c r="BM121" s="518" t="str">
        <f>IF(AND(_D="A-350",'2024'!$G$4="FO",'2024'!$G$2=BM119),'2024DATA'!$H$4,"")</f>
        <v/>
      </c>
      <c r="BN121" s="518" t="str">
        <f>IF(AND(_D="A-350",'2024'!$G$4="FO",'2024'!$G$2=BN119),'2024DATA'!$I$4,"")</f>
        <v/>
      </c>
      <c r="BO121" s="518" t="str">
        <f>IF(AND(_D="A-350",'2024'!$G$4="FO",'2024'!$G$2=BO119),'2024DATA'!$J$4,"")</f>
        <v/>
      </c>
      <c r="BP121" s="518" t="str">
        <f>IF(AND(_D="A-350",'2024'!$G$4="FO",'2024'!$G$2=BP119),'2024DATA'!$K$4,"")</f>
        <v/>
      </c>
      <c r="BQ121" s="518" t="str">
        <f>IF(AND(_D="A-350",'2024'!$G$4="FO",'2024'!$G$2=BQ119),'2024DATA'!$L$4,"")</f>
        <v/>
      </c>
      <c r="BR121" s="518" t="str">
        <f>IF(AND(_D="A-350",'2024'!$G$4="FO",'2024'!$G$2=BR119),'2024DATA'!$M$4,"")</f>
        <v/>
      </c>
      <c r="BS121" s="520" t="str">
        <f>IF(AND(_D="A-350",'2024'!$G$4="FO",'2024'!$G$2=BS119),'2024DATA'!$N$4,"")</f>
        <v/>
      </c>
      <c r="BT121" s="940"/>
      <c r="BU121" s="13" t="s">
        <v>62</v>
      </c>
      <c r="BV121" s="518" t="str">
        <f>IF(AND(_E="A-350",'2024'!$G$4="FO",'2024'!$G$2=BV119),'2024DATA'!$C$4,"")</f>
        <v/>
      </c>
      <c r="BW121" s="518" t="str">
        <f>IF(AND(_E="A-350",'2024'!$G$4="FO",'2024'!$G$2=BW119),'2024DATA'!$D$4,"")</f>
        <v/>
      </c>
      <c r="BX121" s="518" t="str">
        <f>IF(AND(_E="A-350",'2024'!$G$4="FO",'2024'!$G$2=BX119),'2024DATA'!$E$4,"")</f>
        <v/>
      </c>
      <c r="BY121" s="518" t="str">
        <f>IF(AND(_E="A-350",'2024'!$G$4="FO",'2024'!$G$2=BY119),'2024DATA'!$F$4,"")</f>
        <v/>
      </c>
      <c r="BZ121" s="518" t="str">
        <f>IF(AND(_E="A-350",'2024'!$G$4="FO",'2024'!$G$2=BZ119),'2024DATA'!$G$4,"")</f>
        <v/>
      </c>
      <c r="CA121" s="518" t="str">
        <f>IF(AND(_E="A-350",'2024'!$G$4="FO",'2024'!$G$2=CA119),'2024DATA'!$H$4,"")</f>
        <v/>
      </c>
      <c r="CB121" s="518" t="str">
        <f>IF(AND(_E="A-350",'2024'!$G$4="FO",'2024'!$G$2=CB119),'2024DATA'!$I$4,"")</f>
        <v/>
      </c>
      <c r="CC121" s="518" t="str">
        <f>IF(AND(_E="A-350",'2024'!$G$4="FO",'2024'!$G$2=CC119),'2024DATA'!$J$4,"")</f>
        <v/>
      </c>
      <c r="CD121" s="518" t="str">
        <f>IF(AND(_E="A-350",'2024'!$G$4="FO",'2024'!$G$2=CD119),'2024DATA'!$K$4,"")</f>
        <v/>
      </c>
      <c r="CE121" s="518" t="str">
        <f>IF(AND(_E="A-350",'2024'!$G$4="FO",'2024'!$G$2=CE119),'2024DATA'!$L$4,"")</f>
        <v/>
      </c>
      <c r="CF121" s="518" t="str">
        <f>IF(AND(_E="A-350",'2024'!$G$4="FO",'2024'!$G$2=CF119),'2024DATA'!$M$4,"")</f>
        <v/>
      </c>
      <c r="CG121" s="520" t="str">
        <f>IF(AND(_E="A-350",'2024'!$G$4="FO",'2024'!$G$2=CG119),'2024DATA'!$N$4,"")</f>
        <v/>
      </c>
      <c r="CH121" s="940"/>
      <c r="CI121" s="13" t="s">
        <v>62</v>
      </c>
      <c r="CJ121" s="518" t="str">
        <f>IF(AND(_F="A-350",'2024'!$G$4="FO",'2024'!$G$2=CJ119),'2024DATA'!$C$4,"")</f>
        <v/>
      </c>
      <c r="CK121" s="518" t="str">
        <f>IF(AND(_F="A-350",'2024'!$G$4="FO",'2024'!$G$2=CK119),'2024DATA'!$D$4,"")</f>
        <v/>
      </c>
      <c r="CL121" s="518" t="str">
        <f>IF(AND(_F="A-350",'2024'!$G$4="FO",'2024'!$G$2=CL119),'2024DATA'!$E$4,"")</f>
        <v/>
      </c>
      <c r="CM121" s="518" t="str">
        <f>IF(AND(_F="A-350",'2024'!$G$4="FO",'2024'!$G$2=CM119),'2024DATA'!$F$4,"")</f>
        <v/>
      </c>
      <c r="CN121" s="518" t="str">
        <f>IF(AND(_F="A-350",'2024'!$G$4="FO",'2024'!$G$2=CN119),'2024DATA'!$G$4,"")</f>
        <v/>
      </c>
      <c r="CO121" s="518" t="str">
        <f>IF(AND(_F="A-350",'2024'!$G$4="FO",'2024'!$G$2=CO119),'2024DATA'!$H$4,"")</f>
        <v/>
      </c>
      <c r="CP121" s="518" t="str">
        <f>IF(AND(_F="A-350",'2024'!$G$4="FO",'2024'!$G$2=CP119),'2024DATA'!$I$4,"")</f>
        <v/>
      </c>
      <c r="CQ121" s="518" t="str">
        <f>IF(AND(_F="A-350",'2024'!$G$4="FO",'2024'!$G$2=CQ119),'2024DATA'!$J$4,"")</f>
        <v/>
      </c>
      <c r="CR121" s="518" t="str">
        <f>IF(AND(_F="A-350",'2024'!$G$4="FO",'2024'!$G$2=CR119),'2024DATA'!$K$4,"")</f>
        <v/>
      </c>
      <c r="CS121" s="518" t="str">
        <f>IF(AND(_F="A-350",'2024'!$G$4="FO",'2024'!$G$2=CS119),'2024DATA'!$L$4,"")</f>
        <v/>
      </c>
      <c r="CT121" s="518" t="str">
        <f>IF(AND(_F="A-350",'2024'!$G$4="FO",'2024'!$G$2=CT119),'2024DATA'!$M$4,"")</f>
        <v/>
      </c>
      <c r="CU121" s="520" t="str">
        <f>IF(AND(_F="A-350",'2024'!$G$4="FO",'2024'!$G$2=CU119),'2024DATA'!$N$4,"")</f>
        <v/>
      </c>
    </row>
    <row r="122" spans="16:99" x14ac:dyDescent="0.25">
      <c r="P122" s="940" t="s">
        <v>65</v>
      </c>
      <c r="Q122" s="13" t="s">
        <v>61</v>
      </c>
      <c r="R122" s="518" t="str">
        <f>IF(AND(_A="A-330-900",'2024'!$G$4="CA",'2024'!$G$2=R119),'2024DATA'!$C$5,"")</f>
        <v/>
      </c>
      <c r="S122" s="518" t="str">
        <f>IF(AND(_A="A-330-900",'2024'!$G$4="CA",'2024'!$G$2=S119),'2024DATA'!$D$5,"")</f>
        <v/>
      </c>
      <c r="T122" s="518" t="str">
        <f>IF(AND(_A="A-330-900",'2024'!$G$4="CA",'2024'!$G$2=T119),'2024DATA'!$E$5,"")</f>
        <v/>
      </c>
      <c r="U122" s="518" t="str">
        <f>IF(AND(_A="A-330-900",'2024'!$G$4="CA",'2024'!$G$2=U119),'2024DATA'!$F$5,"")</f>
        <v/>
      </c>
      <c r="V122" s="518" t="str">
        <f>IF(AND(_A="A-330-900",'2024'!$G$4="CA",'2024'!$G$2=V119),'2024DATA'!$G$5,"")</f>
        <v/>
      </c>
      <c r="W122" s="518" t="str">
        <f>IF(AND(_A="A-330-900",'2024'!$G$4="CA",'2024'!$G$2=W119),'2024DATA'!$H$5,"")</f>
        <v/>
      </c>
      <c r="X122" s="518" t="str">
        <f>IF(AND(_A="A-330-900",'2024'!$G$4="CA",'2024'!$G$2=X119),'2024DATA'!$I$5,"")</f>
        <v/>
      </c>
      <c r="Y122" s="518" t="str">
        <f>IF(AND(_A="A-330-900",'2024'!$G$4="CA",'2024'!$G$2=Y119),'2024DATA'!$J$5,"")</f>
        <v/>
      </c>
      <c r="Z122" s="518" t="str">
        <f>IF(AND(_A="A-330-900",'2024'!$G$4="CA",'2024'!$G$2=Z119),'2024DATA'!$K$5,"")</f>
        <v/>
      </c>
      <c r="AA122" s="518" t="str">
        <f>IF(AND(_A="A-330-900",'2024'!$G$4="CA",'2024'!$G$2=AA119),'2024DATA'!$L$5,"")</f>
        <v/>
      </c>
      <c r="AB122" s="518" t="str">
        <f>IF(AND(_A="A-330-900",'2024'!$G$4="CA",'2024'!$G$2=AB119),'2024DATA'!$M$5,"")</f>
        <v/>
      </c>
      <c r="AC122" s="520" t="str">
        <f>IF(AND(_A="A-330-900",'2024'!$G$4="CA",'2024'!$G$2=AC119),'2024DATA'!$N$5,"")</f>
        <v/>
      </c>
      <c r="AD122" s="940" t="s">
        <v>65</v>
      </c>
      <c r="AE122" s="13" t="s">
        <v>61</v>
      </c>
      <c r="AF122" s="518" t="str">
        <f>IF(AND(_B="A-330-900",'2024'!$G$4="CA",'2024'!$G$2=AF119),'2024DATA'!$C$5,"")</f>
        <v/>
      </c>
      <c r="AG122" s="518" t="str">
        <f>IF(AND(_B="A-330-900",'2024'!$G$4="CA",'2024'!$G$2=AG119),'2024DATA'!$D$5,"")</f>
        <v/>
      </c>
      <c r="AH122" s="518" t="str">
        <f>IF(AND(_B="A-330-900",'2024'!$G$4="CA",'2024'!$G$2=AH119),'2024DATA'!$E$5,"")</f>
        <v/>
      </c>
      <c r="AI122" s="518" t="str">
        <f>IF(AND(_B="A-330-900",'2024'!$G$4="CA",'2024'!$G$2=AI119),'2024DATA'!$F$5,"")</f>
        <v/>
      </c>
      <c r="AJ122" s="518" t="str">
        <f>IF(AND(_B="A-330-900",'2024'!$G$4="CA",'2024'!$G$2=AJ119),'2024DATA'!$G$5,"")</f>
        <v/>
      </c>
      <c r="AK122" s="518" t="str">
        <f>IF(AND(_B="A-330-900",'2024'!$G$4="CA",'2024'!$G$2=AK119),'2024DATA'!$H$5,"")</f>
        <v/>
      </c>
      <c r="AL122" s="518" t="str">
        <f>IF(AND(_B="A-330-900",'2024'!$G$4="CA",'2024'!$G$2=AL119),'2024DATA'!$I$5,"")</f>
        <v/>
      </c>
      <c r="AM122" s="518" t="str">
        <f>IF(AND(_B="A-330-900",'2024'!$G$4="CA",'2024'!$G$2=AM119),'2024DATA'!$J$5,"")</f>
        <v/>
      </c>
      <c r="AN122" s="518" t="str">
        <f>IF(AND(_B="A-330-900",'2024'!$G$4="CA",'2024'!$G$2=AN119),'2024DATA'!$K$5,"")</f>
        <v/>
      </c>
      <c r="AO122" s="518" t="str">
        <f>IF(AND(_B="A-330-900",'2024'!$G$4="CA",'2024'!$G$2=AO119),'2024DATA'!$L$5,"")</f>
        <v/>
      </c>
      <c r="AP122" s="518" t="str">
        <f>IF(AND(_B="A-330-900",'2024'!$G$4="CA",'2024'!$G$2=AP119),'2024DATA'!$M$5,"")</f>
        <v/>
      </c>
      <c r="AQ122" s="520" t="str">
        <f>IF(AND(_B="A-330-900",'2024'!$G$4="CA",'2024'!$G$2=AQ119),'2024DATA'!$N$5,"")</f>
        <v/>
      </c>
      <c r="AR122" s="940" t="s">
        <v>65</v>
      </c>
      <c r="AS122" s="13" t="s">
        <v>61</v>
      </c>
      <c r="AT122" s="518" t="str">
        <f>IF(AND(_C="A-330-900",'2024'!$G$4="CA",'2024'!$G$2=AT119),'2024DATA'!$C$5,"")</f>
        <v/>
      </c>
      <c r="AU122" s="518" t="str">
        <f>IF(AND(_C="A-330-900",'2024'!$G$4="CA",'2024'!$G$2=AU119),'2024DATA'!$D$5,"")</f>
        <v/>
      </c>
      <c r="AV122" s="518" t="str">
        <f>IF(AND(_C="A-330-900",'2024'!$G$4="CA",'2024'!$G$2=AV119),'2024DATA'!$E$5,"")</f>
        <v/>
      </c>
      <c r="AW122" s="518" t="str">
        <f>IF(AND(_C="A-330-900",'2024'!$G$4="CA",'2024'!$G$2=AW119),'2024DATA'!$F$5,"")</f>
        <v/>
      </c>
      <c r="AX122" s="518" t="str">
        <f>IF(AND(_C="A-330-900",'2024'!$G$4="CA",'2024'!$G$2=AX119),'2024DATA'!$G$5,"")</f>
        <v/>
      </c>
      <c r="AY122" s="518" t="str">
        <f>IF(AND(_C="A-330-900",'2024'!$G$4="CA",'2024'!$G$2=AY119),'2024DATA'!$H$5,"")</f>
        <v/>
      </c>
      <c r="AZ122" s="518" t="str">
        <f>IF(AND(_C="A-330-900",'2024'!$G$4="CA",'2024'!$G$2=AZ119),'2024DATA'!$I$5,"")</f>
        <v/>
      </c>
      <c r="BA122" s="518" t="str">
        <f>IF(AND(_C="A-330-900",'2024'!$G$4="CA",'2024'!$G$2=BA119),'2024DATA'!$J$5,"")</f>
        <v/>
      </c>
      <c r="BB122" s="518" t="str">
        <f>IF(AND(_C="A-330-900",'2024'!$G$4="CA",'2024'!$G$2=BB119),'2024DATA'!$K$5,"")</f>
        <v/>
      </c>
      <c r="BC122" s="518" t="str">
        <f>IF(AND(_C="A-330-900",'2024'!$G$4="CA",'2024'!$G$2=BC119),'2024DATA'!$L$5,"")</f>
        <v/>
      </c>
      <c r="BD122" s="518" t="str">
        <f>IF(AND(_C="A-330-900",'2024'!$G$4="CA",'2024'!$G$2=BD119),'2024DATA'!$M$5,"")</f>
        <v/>
      </c>
      <c r="BE122" s="520" t="str">
        <f>IF(AND(_C="A-330-900",'2024'!$G$4="CA",'2024'!$G$2=BE119),'2024DATA'!$N$5,"")</f>
        <v/>
      </c>
      <c r="BF122" s="940" t="s">
        <v>65</v>
      </c>
      <c r="BG122" s="13" t="s">
        <v>61</v>
      </c>
      <c r="BH122" s="518" t="str">
        <f>IF(AND(_D="A-330-900",'2024'!$G$4="CA",'2024'!$G$2=BH119),'2024DATA'!$C$5,"")</f>
        <v/>
      </c>
      <c r="BI122" s="518" t="str">
        <f>IF(AND(_D="A-330-900",'2024'!$G$4="CA",'2024'!$G$2=BI119),'2024DATA'!$D$5,"")</f>
        <v/>
      </c>
      <c r="BJ122" s="518" t="str">
        <f>IF(AND(_D="A-330-900",'2024'!$G$4="CA",'2024'!$G$2=BJ119),'2024DATA'!$E$5,"")</f>
        <v/>
      </c>
      <c r="BK122" s="518" t="str">
        <f>IF(AND(_D="A-330-900",'2024'!$G$4="CA",'2024'!$G$2=BK119),'2024DATA'!$F$5,"")</f>
        <v/>
      </c>
      <c r="BL122" s="518" t="str">
        <f>IF(AND(_D="A-330-900",'2024'!$G$4="CA",'2024'!$G$2=BL119),'2024DATA'!$G$5,"")</f>
        <v/>
      </c>
      <c r="BM122" s="518" t="str">
        <f>IF(AND(_D="A-330-900",'2024'!$G$4="CA",'2024'!$G$2=BM119),'2024DATA'!$H$5,"")</f>
        <v/>
      </c>
      <c r="BN122" s="518" t="str">
        <f>IF(AND(_D="A-330-900",'2024'!$G$4="CA",'2024'!$G$2=BN119),'2024DATA'!$I$5,"")</f>
        <v/>
      </c>
      <c r="BO122" s="518" t="str">
        <f>IF(AND(_D="A-330-900",'2024'!$G$4="CA",'2024'!$G$2=BO119),'2024DATA'!$J$5,"")</f>
        <v/>
      </c>
      <c r="BP122" s="518" t="str">
        <f>IF(AND(_D="A-330-900",'2024'!$G$4="CA",'2024'!$G$2=BP119),'2024DATA'!$K$5,"")</f>
        <v/>
      </c>
      <c r="BQ122" s="518" t="str">
        <f>IF(AND(_D="A-330-900",'2024'!$G$4="CA",'2024'!$G$2=BQ119),'2024DATA'!$L$5,"")</f>
        <v/>
      </c>
      <c r="BR122" s="518" t="str">
        <f>IF(AND(_D="A-330-900",'2024'!$G$4="CA",'2024'!$G$2=BR119),'2024DATA'!$M$5,"")</f>
        <v/>
      </c>
      <c r="BS122" s="520" t="str">
        <f>IF(AND(_D="A-330-900",'2024'!$G$4="CA",'2024'!$G$2=BS119),'2024DATA'!$N$5,"")</f>
        <v/>
      </c>
      <c r="BT122" s="940" t="s">
        <v>65</v>
      </c>
      <c r="BU122" s="13" t="s">
        <v>61</v>
      </c>
      <c r="BV122" s="518" t="str">
        <f>IF(AND(_E="A-330-900",'2024'!$G$4="CA",'2024'!$G$2=BV119),'2024DATA'!$C$5,"")</f>
        <v/>
      </c>
      <c r="BW122" s="518" t="str">
        <f>IF(AND(_E="A-330-900",'2024'!$G$4="CA",'2024'!$G$2=BW119),'2024DATA'!$D$5,"")</f>
        <v/>
      </c>
      <c r="BX122" s="518" t="str">
        <f>IF(AND(_E="A-330-900",'2024'!$G$4="CA",'2024'!$G$2=BX119),'2024DATA'!$E$5,"")</f>
        <v/>
      </c>
      <c r="BY122" s="518" t="str">
        <f>IF(AND(_E="A-330-900",'2024'!$G$4="CA",'2024'!$G$2=BY119),'2024DATA'!$F$5,"")</f>
        <v/>
      </c>
      <c r="BZ122" s="518" t="str">
        <f>IF(AND(_E="A-330-900",'2024'!$G$4="CA",'2024'!$G$2=BZ119),'2024DATA'!$G$5,"")</f>
        <v/>
      </c>
      <c r="CA122" s="518" t="str">
        <f>IF(AND(_E="A-330-900",'2024'!$G$4="CA",'2024'!$G$2=CA119),'2024DATA'!$H$5,"")</f>
        <v/>
      </c>
      <c r="CB122" s="518" t="str">
        <f>IF(AND(_E="A-330-900",'2024'!$G$4="CA",'2024'!$G$2=CB119),'2024DATA'!$I$5,"")</f>
        <v/>
      </c>
      <c r="CC122" s="518" t="str">
        <f>IF(AND(_E="A-330-900",'2024'!$G$4="CA",'2024'!$G$2=CC119),'2024DATA'!$J$5,"")</f>
        <v/>
      </c>
      <c r="CD122" s="518" t="str">
        <f>IF(AND(_E="A-330-900",'2024'!$G$4="CA",'2024'!$G$2=CD119),'2024DATA'!$K$5,"")</f>
        <v/>
      </c>
      <c r="CE122" s="518" t="str">
        <f>IF(AND(_E="A-330-900",'2024'!$G$4="CA",'2024'!$G$2=CE119),'2024DATA'!$L$5,"")</f>
        <v/>
      </c>
      <c r="CF122" s="518" t="str">
        <f>IF(AND(_E="A-330-900",'2024'!$G$4="CA",'2024'!$G$2=CF119),'2024DATA'!$M$5,"")</f>
        <v/>
      </c>
      <c r="CG122" s="520" t="str">
        <f>IF(AND(_E="A-330-900",'2024'!$G$4="CA",'2024'!$G$2=CG119),'2024DATA'!$N$5,"")</f>
        <v/>
      </c>
      <c r="CH122" s="940" t="s">
        <v>65</v>
      </c>
      <c r="CI122" s="13" t="s">
        <v>61</v>
      </c>
      <c r="CJ122" s="518" t="str">
        <f>IF(AND(_F="A-330-900",'2024'!$G$4="CA",'2024'!$G$2=CJ119),'2024DATA'!$C$5,"")</f>
        <v/>
      </c>
      <c r="CK122" s="518" t="str">
        <f>IF(AND(_F="A-330-900",'2024'!$G$4="CA",'2024'!$G$2=CK119),'2024DATA'!$D$5,"")</f>
        <v/>
      </c>
      <c r="CL122" s="518" t="str">
        <f>IF(AND(_F="A-330-900",'2024'!$G$4="CA",'2024'!$G$2=CL119),'2024DATA'!$E$5,"")</f>
        <v/>
      </c>
      <c r="CM122" s="518" t="str">
        <f>IF(AND(_F="A-330-900",'2024'!$G$4="CA",'2024'!$G$2=CM119),'2024DATA'!$F$5,"")</f>
        <v/>
      </c>
      <c r="CN122" s="518" t="str">
        <f>IF(AND(_F="A-330-900",'2024'!$G$4="CA",'2024'!$G$2=CN119),'2024DATA'!$G$5,"")</f>
        <v/>
      </c>
      <c r="CO122" s="518" t="str">
        <f>IF(AND(_F="A-330-900",'2024'!$G$4="CA",'2024'!$G$2=CO119),'2024DATA'!$H$5,"")</f>
        <v/>
      </c>
      <c r="CP122" s="518" t="str">
        <f>IF(AND(_F="A-330-900",'2024'!$G$4="CA",'2024'!$G$2=CP119),'2024DATA'!$I$5,"")</f>
        <v/>
      </c>
      <c r="CQ122" s="518" t="str">
        <f>IF(AND(_F="A-330-900",'2024'!$G$4="CA",'2024'!$G$2=CQ119),'2024DATA'!$J$5,"")</f>
        <v/>
      </c>
      <c r="CR122" s="518" t="str">
        <f>IF(AND(_F="A-330-900",'2024'!$G$4="CA",'2024'!$G$2=CR119),'2024DATA'!$K$5,"")</f>
        <v/>
      </c>
      <c r="CS122" s="518" t="str">
        <f>IF(AND(_F="A-330-900",'2024'!$G$4="CA",'2024'!$G$2=CS119),'2024DATA'!$L$5,"")</f>
        <v/>
      </c>
      <c r="CT122" s="518" t="str">
        <f>IF(AND(_F="A-330-900",'2024'!$G$4="CA",'2024'!$G$2=CT119),'2024DATA'!$M$5,"")</f>
        <v/>
      </c>
      <c r="CU122" s="520" t="str">
        <f>IF(AND(_F="A-330-900",'2024'!$G$4="CA",'2024'!$G$2=CU119),'2024DATA'!$N$5,"")</f>
        <v/>
      </c>
    </row>
    <row r="123" spans="16:99" x14ac:dyDescent="0.25">
      <c r="P123" s="940"/>
      <c r="Q123" s="13" t="s">
        <v>62</v>
      </c>
      <c r="R123" s="518" t="str">
        <f>IF(AND(_A="A-330-900",'2024'!$G$4="FO",'2024'!$G$2=R119),'2024DATA'!$C$6,"")</f>
        <v/>
      </c>
      <c r="S123" s="518" t="str">
        <f>IF(AND(_A="A-330-900",'2024'!$G$4="FO",'2024'!$G$2=S119),'2024DATA'!$D$6,"")</f>
        <v/>
      </c>
      <c r="T123" s="518" t="str">
        <f>IF(AND(_A="A-330-900",'2024'!$G$4="FO",'2024'!$G$2=T119),'2024DATA'!$E$6,"")</f>
        <v/>
      </c>
      <c r="U123" s="518" t="str">
        <f>IF(AND(_A="A-330-900",'2024'!$G$4="FO",'2024'!$G$2=U119),'2024DATA'!$F$6,"")</f>
        <v/>
      </c>
      <c r="V123" s="518" t="str">
        <f>IF(AND(_A="A-330-900",'2024'!$G$4="FO",'2024'!$G$2=V119),'2024DATA'!$G$6,"")</f>
        <v/>
      </c>
      <c r="W123" s="518" t="str">
        <f>IF(AND(_A="A-330-900",'2024'!$G$4="FO",'2024'!$G$2=W119),'2024DATA'!$H$6,"")</f>
        <v/>
      </c>
      <c r="X123" s="518" t="str">
        <f>IF(AND(_A="A-330-900",'2024'!$G$4="FO",'2024'!$G$2=X119),'2024DATA'!$I$6,"")</f>
        <v/>
      </c>
      <c r="Y123" s="518" t="str">
        <f>IF(AND(_A="A-330-900",'2024'!$G$4="FO",'2024'!$G$2=Y119),'2024DATA'!$J$6,"")</f>
        <v/>
      </c>
      <c r="Z123" s="518" t="str">
        <f>IF(AND(_A="A-330-900",'2024'!$G$4="FO",'2024'!$G$2=Z119),'2024DATA'!$K$6,"")</f>
        <v/>
      </c>
      <c r="AA123" s="518" t="str">
        <f>IF(AND(_A="A-330-900",'2024'!$G$4="FO",'2024'!$G$2=AA119),'2024DATA'!$L$6,"")</f>
        <v/>
      </c>
      <c r="AB123" s="518" t="str">
        <f>IF(AND(_A="A-330-900",'2024'!$G$4="FO",'2024'!$G$2=AB119),'2024DATA'!$M$6,"")</f>
        <v/>
      </c>
      <c r="AC123" s="520" t="str">
        <f>IF(AND(_A="A-330-900",'2024'!$G$4="FO",'2024'!$G$2=AC119),'2024DATA'!$N$6,"")</f>
        <v/>
      </c>
      <c r="AD123" s="940"/>
      <c r="AE123" s="13" t="s">
        <v>62</v>
      </c>
      <c r="AF123" s="518" t="str">
        <f>IF(AND(_B="A-330-900",'2024'!$G$4="FO",'2024'!$G$2=AF119),'2024DATA'!$C$6,"")</f>
        <v/>
      </c>
      <c r="AG123" s="518" t="str">
        <f>IF(AND(_B="A-330-900",'2024'!$G$4="FO",'2024'!$G$2=AG119),'2024DATA'!$D$6,"")</f>
        <v/>
      </c>
      <c r="AH123" s="518" t="str">
        <f>IF(AND(_B="A-330-900",'2024'!$G$4="FO",'2024'!$G$2=AH119),'2024DATA'!$E$6,"")</f>
        <v/>
      </c>
      <c r="AI123" s="518" t="str">
        <f>IF(AND(_B="A-330-900",'2024'!$G$4="FO",'2024'!$G$2=AI119),'2024DATA'!$F$6,"")</f>
        <v/>
      </c>
      <c r="AJ123" s="518" t="str">
        <f>IF(AND(_B="A-330-900",'2024'!$G$4="FO",'2024'!$G$2=AJ119),'2024DATA'!$G$6,"")</f>
        <v/>
      </c>
      <c r="AK123" s="518" t="str">
        <f>IF(AND(_B="A-330-900",'2024'!$G$4="FO",'2024'!$G$2=AK119),'2024DATA'!$H$6,"")</f>
        <v/>
      </c>
      <c r="AL123" s="518" t="str">
        <f>IF(AND(_B="A-330-900",'2024'!$G$4="FO",'2024'!$G$2=AL119),'2024DATA'!$I$6,"")</f>
        <v/>
      </c>
      <c r="AM123" s="518" t="str">
        <f>IF(AND(_B="A-330-900",'2024'!$G$4="FO",'2024'!$G$2=AM119),'2024DATA'!$J$6,"")</f>
        <v/>
      </c>
      <c r="AN123" s="518" t="str">
        <f>IF(AND(_B="A-330-900",'2024'!$G$4="FO",'2024'!$G$2=AN119),'2024DATA'!$K$6,"")</f>
        <v/>
      </c>
      <c r="AO123" s="518" t="str">
        <f>IF(AND(_B="A-330-900",'2024'!$G$4="FO",'2024'!$G$2=AO119),'2024DATA'!$L$6,"")</f>
        <v/>
      </c>
      <c r="AP123" s="518" t="str">
        <f>IF(AND(_B="A-330-900",'2024'!$G$4="FO",'2024'!$G$2=AP119),'2024DATA'!$M$6,"")</f>
        <v/>
      </c>
      <c r="AQ123" s="520" t="str">
        <f>IF(AND(_B="A-330-900",'2024'!$G$4="FO",'2024'!$G$2=AQ119),'2024DATA'!$N$6,"")</f>
        <v/>
      </c>
      <c r="AR123" s="940"/>
      <c r="AS123" s="13" t="s">
        <v>62</v>
      </c>
      <c r="AT123" s="518" t="str">
        <f>IF(AND(_C="A-330-900",'2024'!$G$4="FO",'2024'!$G$2=AT119),'2024DATA'!$C$6,"")</f>
        <v/>
      </c>
      <c r="AU123" s="518" t="str">
        <f>IF(AND(_C="A-330-900",'2024'!$G$4="FO",'2024'!$G$2=AU119),'2024DATA'!$D$6,"")</f>
        <v/>
      </c>
      <c r="AV123" s="518" t="str">
        <f>IF(AND(_C="A-330-900",'2024'!$G$4="FO",'2024'!$G$2=AV119),'2024DATA'!$E$6,"")</f>
        <v/>
      </c>
      <c r="AW123" s="518" t="str">
        <f>IF(AND(_C="A-330-900",'2024'!$G$4="FO",'2024'!$G$2=AW119),'2024DATA'!$F$6,"")</f>
        <v/>
      </c>
      <c r="AX123" s="518" t="str">
        <f>IF(AND(_C="A-330-900",'2024'!$G$4="FO",'2024'!$G$2=AX119),'2024DATA'!$G$6,"")</f>
        <v/>
      </c>
      <c r="AY123" s="518" t="str">
        <f>IF(AND(_C="A-330-900",'2024'!$G$4="FO",'2024'!$G$2=AY119),'2024DATA'!$H$6,"")</f>
        <v/>
      </c>
      <c r="AZ123" s="518" t="str">
        <f>IF(AND(_C="A-330-900",'2024'!$G$4="FO",'2024'!$G$2=AZ119),'2024DATA'!$I$6,"")</f>
        <v/>
      </c>
      <c r="BA123" s="518" t="str">
        <f>IF(AND(_C="A-330-900",'2024'!$G$4="FO",'2024'!$G$2=BA119),'2024DATA'!$J$6,"")</f>
        <v/>
      </c>
      <c r="BB123" s="518" t="str">
        <f>IF(AND(_C="A-330-900",'2024'!$G$4="FO",'2024'!$G$2=BB119),'2024DATA'!$K$6,"")</f>
        <v/>
      </c>
      <c r="BC123" s="518" t="str">
        <f>IF(AND(_C="A-330-900",'2024'!$G$4="FO",'2024'!$G$2=BC119),'2024DATA'!$L$6,"")</f>
        <v/>
      </c>
      <c r="BD123" s="518" t="str">
        <f>IF(AND(_C="A-330-900",'2024'!$G$4="FO",'2024'!$G$2=BD119),'2024DATA'!$M$6,"")</f>
        <v/>
      </c>
      <c r="BE123" s="520" t="str">
        <f>IF(AND(_C="A-330-900",'2024'!$G$4="FO",'2024'!$G$2=BE119),'2024DATA'!$N$6,"")</f>
        <v/>
      </c>
      <c r="BF123" s="940"/>
      <c r="BG123" s="13" t="s">
        <v>62</v>
      </c>
      <c r="BH123" s="518" t="str">
        <f>IF(AND(_D="A-330-900",'2024'!$G$4="FO",'2024'!$G$2=BH119),'2024DATA'!$C$6,"")</f>
        <v/>
      </c>
      <c r="BI123" s="518" t="str">
        <f>IF(AND(_D="A-330-900",'2024'!$G$4="FO",'2024'!$G$2=BI119),'2024DATA'!$D$6,"")</f>
        <v/>
      </c>
      <c r="BJ123" s="518" t="str">
        <f>IF(AND(_D="A-330-900",'2024'!$G$4="FO",'2024'!$G$2=BJ119),'2024DATA'!$E$6,"")</f>
        <v/>
      </c>
      <c r="BK123" s="518" t="str">
        <f>IF(AND(_D="A-330-900",'2024'!$G$4="FO",'2024'!$G$2=BK119),'2024DATA'!$F$6,"")</f>
        <v/>
      </c>
      <c r="BL123" s="518" t="str">
        <f>IF(AND(_D="A-330-900",'2024'!$G$4="FO",'2024'!$G$2=BL119),'2024DATA'!$G$6,"")</f>
        <v/>
      </c>
      <c r="BM123" s="518" t="str">
        <f>IF(AND(_D="A-330-900",'2024'!$G$4="FO",'2024'!$G$2=BM119),'2024DATA'!$H$6,"")</f>
        <v/>
      </c>
      <c r="BN123" s="518" t="str">
        <f>IF(AND(_D="A-330-900",'2024'!$G$4="FO",'2024'!$G$2=BN119),'2024DATA'!$I$6,"")</f>
        <v/>
      </c>
      <c r="BO123" s="518" t="str">
        <f>IF(AND(_D="A-330-900",'2024'!$G$4="FO",'2024'!$G$2=BO119),'2024DATA'!$J$6,"")</f>
        <v/>
      </c>
      <c r="BP123" s="518" t="str">
        <f>IF(AND(_D="A-330-900",'2024'!$G$4="FO",'2024'!$G$2=BP119),'2024DATA'!$K$6,"")</f>
        <v/>
      </c>
      <c r="BQ123" s="518" t="str">
        <f>IF(AND(_D="A-330-900",'2024'!$G$4="FO",'2024'!$G$2=BQ119),'2024DATA'!$L$6,"")</f>
        <v/>
      </c>
      <c r="BR123" s="518" t="str">
        <f>IF(AND(_D="A-330-900",'2024'!$G$4="FO",'2024'!$G$2=BR119),'2024DATA'!$M$6,"")</f>
        <v/>
      </c>
      <c r="BS123" s="520" t="str">
        <f>IF(AND(_D="A-330-900",'2024'!$G$4="FO",'2024'!$G$2=BS119),'2024DATA'!$N$6,"")</f>
        <v/>
      </c>
      <c r="BT123" s="940"/>
      <c r="BU123" s="13" t="s">
        <v>62</v>
      </c>
      <c r="BV123" s="518" t="str">
        <f>IF(AND(_E="A-330-900",'2024'!$G$4="FO",'2024'!$G$2=BV119),'2024DATA'!$C$6,"")</f>
        <v/>
      </c>
      <c r="BW123" s="518" t="str">
        <f>IF(AND(_E="A-330-900",'2024'!$G$4="FO",'2024'!$G$2=BW119),'2024DATA'!$D$6,"")</f>
        <v/>
      </c>
      <c r="BX123" s="518" t="str">
        <f>IF(AND(_E="A-330-900",'2024'!$G$4="FO",'2024'!$G$2=BX119),'2024DATA'!$E$6,"")</f>
        <v/>
      </c>
      <c r="BY123" s="518" t="str">
        <f>IF(AND(_E="A-330-900",'2024'!$G$4="FO",'2024'!$G$2=BY119),'2024DATA'!$F$6,"")</f>
        <v/>
      </c>
      <c r="BZ123" s="518" t="str">
        <f>IF(AND(_E="A-330-900",'2024'!$G$4="FO",'2024'!$G$2=BZ119),'2024DATA'!$G$6,"")</f>
        <v/>
      </c>
      <c r="CA123" s="518" t="str">
        <f>IF(AND(_E="A-330-900",'2024'!$G$4="FO",'2024'!$G$2=CA119),'2024DATA'!$H$6,"")</f>
        <v/>
      </c>
      <c r="CB123" s="518" t="str">
        <f>IF(AND(_E="A-330-900",'2024'!$G$4="FO",'2024'!$G$2=CB119),'2024DATA'!$I$6,"")</f>
        <v/>
      </c>
      <c r="CC123" s="518" t="str">
        <f>IF(AND(_E="A-330-900",'2024'!$G$4="FO",'2024'!$G$2=CC119),'2024DATA'!$J$6,"")</f>
        <v/>
      </c>
      <c r="CD123" s="518" t="str">
        <f>IF(AND(_E="A-330-900",'2024'!$G$4="FO",'2024'!$G$2=CD119),'2024DATA'!$K$6,"")</f>
        <v/>
      </c>
      <c r="CE123" s="518" t="str">
        <f>IF(AND(_E="A-330-900",'2024'!$G$4="FO",'2024'!$G$2=CE119),'2024DATA'!$L$6,"")</f>
        <v/>
      </c>
      <c r="CF123" s="518" t="str">
        <f>IF(AND(_E="A-330-900",'2024'!$G$4="FO",'2024'!$G$2=CF119),'2024DATA'!$M$6,"")</f>
        <v/>
      </c>
      <c r="CG123" s="520" t="str">
        <f>IF(AND(_E="A-330-900",'2024'!$G$4="FO",'2024'!$G$2=CG119),'2024DATA'!$N$6,"")</f>
        <v/>
      </c>
      <c r="CH123" s="940"/>
      <c r="CI123" s="13" t="s">
        <v>62</v>
      </c>
      <c r="CJ123" s="518" t="str">
        <f>IF(AND(_F="A-330-900",'2024'!$G$4="FO",'2024'!$G$2=CJ119),'2024DATA'!$C$6,"")</f>
        <v/>
      </c>
      <c r="CK123" s="518" t="str">
        <f>IF(AND(_F="A-330-900",'2024'!$G$4="FO",'2024'!$G$2=CK119),'2024DATA'!$D$6,"")</f>
        <v/>
      </c>
      <c r="CL123" s="518" t="str">
        <f>IF(AND(_F="A-330-900",'2024'!$G$4="FO",'2024'!$G$2=CL119),'2024DATA'!$E$6,"")</f>
        <v/>
      </c>
      <c r="CM123" s="518" t="str">
        <f>IF(AND(_F="A-330-900",'2024'!$G$4="FO",'2024'!$G$2=CM119),'2024DATA'!$F$6,"")</f>
        <v/>
      </c>
      <c r="CN123" s="518" t="str">
        <f>IF(AND(_F="A-330-900",'2024'!$G$4="FO",'2024'!$G$2=CN119),'2024DATA'!$G$6,"")</f>
        <v/>
      </c>
      <c r="CO123" s="518" t="str">
        <f>IF(AND(_F="A-330-900",'2024'!$G$4="FO",'2024'!$G$2=CO119),'2024DATA'!$H$6,"")</f>
        <v/>
      </c>
      <c r="CP123" s="518" t="str">
        <f>IF(AND(_F="A-330-900",'2024'!$G$4="FO",'2024'!$G$2=CP119),'2024DATA'!$I$6,"")</f>
        <v/>
      </c>
      <c r="CQ123" s="518" t="str">
        <f>IF(AND(_F="A-330-900",'2024'!$G$4="FO",'2024'!$G$2=CQ119),'2024DATA'!$J$6,"")</f>
        <v/>
      </c>
      <c r="CR123" s="518" t="str">
        <f>IF(AND(_F="A-330-900",'2024'!$G$4="FO",'2024'!$G$2=CR119),'2024DATA'!$K$6,"")</f>
        <v/>
      </c>
      <c r="CS123" s="518" t="str">
        <f>IF(AND(_F="A-330-900",'2024'!$G$4="FO",'2024'!$G$2=CS119),'2024DATA'!$L$6,"")</f>
        <v/>
      </c>
      <c r="CT123" s="518" t="str">
        <f>IF(AND(_F="A-330-900",'2024'!$G$4="FO",'2024'!$G$2=CT119),'2024DATA'!$M$6,"")</f>
        <v/>
      </c>
      <c r="CU123" s="520" t="str">
        <f>IF(AND(_F="A-330-900",'2024'!$G$4="FO",'2024'!$G$2=CU119),'2024DATA'!$N$6,"")</f>
        <v/>
      </c>
    </row>
    <row r="124" spans="16:99" x14ac:dyDescent="0.25">
      <c r="P124" s="940" t="s">
        <v>64</v>
      </c>
      <c r="Q124" s="13" t="s">
        <v>61</v>
      </c>
      <c r="R124" s="518" t="str">
        <f>IF(AND(_A="A-330-300",'2024'!$G$4="CA",'2024'!$G$2=R119),'2024DATA'!$C$7,"")</f>
        <v/>
      </c>
      <c r="S124" s="518" t="str">
        <f>IF(AND(_A="A-330-300",'2024'!$G$4="CA",'2024'!$G$2=S119),'2024DATA'!$D$7,"")</f>
        <v/>
      </c>
      <c r="T124" s="518" t="str">
        <f>IF(AND(_A="A-330-300",'2024'!$G$4="CA",'2024'!$G$2=T119),'2024DATA'!$E$7,"")</f>
        <v/>
      </c>
      <c r="U124" s="518" t="str">
        <f>IF(AND(_A="A-330-300",'2024'!$G$4="CA",'2024'!$G$2=U119),'2024DATA'!$F$7,"")</f>
        <v/>
      </c>
      <c r="V124" s="518" t="str">
        <f>IF(AND(_A="A-330-300",'2024'!$G$4="CA",'2024'!$G$2=V119),'2024DATA'!$G$7,"")</f>
        <v/>
      </c>
      <c r="W124" s="518" t="str">
        <f>IF(AND(_A="A-330-300",'2024'!$G$4="CA",'2024'!$G$2=W119),'2024DATA'!$H$7,"")</f>
        <v/>
      </c>
      <c r="X124" s="518" t="str">
        <f>IF(AND(_A="A-330-300",'2024'!$G$4="CA",'2024'!$G$2=X119),'2024DATA'!$I$7,"")</f>
        <v/>
      </c>
      <c r="Y124" s="518" t="str">
        <f>IF(AND(_A="A-330-300",'2024'!$G$4="CA",'2024'!$G$2=Y119),'2024DATA'!$J$7,"")</f>
        <v/>
      </c>
      <c r="Z124" s="518" t="str">
        <f>IF(AND(_A="A-330-300",'2024'!$G$4="CA",'2024'!$G$2=Z119),'2024DATA'!$K$7,"")</f>
        <v/>
      </c>
      <c r="AA124" s="518" t="str">
        <f>IF(AND(_A="A-330-300",'2024'!$G$4="CA",'2024'!$G$2=AA119),'2024DATA'!$L$7,"")</f>
        <v/>
      </c>
      <c r="AB124" s="518" t="str">
        <f>IF(AND(_A="A-330-300",'2024'!$G$4="CA",'2024'!$G$2=AB119),'2024DATA'!$M$7,"")</f>
        <v/>
      </c>
      <c r="AC124" s="520" t="str">
        <f>IF(AND(_A="A-330-300",'2024'!$G$4="CA",'2024'!$G$2=AC119),'2024DATA'!$N$7,"")</f>
        <v/>
      </c>
      <c r="AD124" s="940" t="s">
        <v>64</v>
      </c>
      <c r="AE124" s="13" t="s">
        <v>61</v>
      </c>
      <c r="AF124" s="518" t="str">
        <f>IF(AND(_B="A-330-300",'2024'!$G$4="CA",'2024'!$G$2=AF119),'2024DATA'!$C$7,"")</f>
        <v/>
      </c>
      <c r="AG124" s="518" t="str">
        <f>IF(AND(_B="A-330-300",'2024'!$G$4="CA",'2024'!$G$2=AG119),'2024DATA'!$D$7,"")</f>
        <v/>
      </c>
      <c r="AH124" s="518" t="str">
        <f>IF(AND(_B="A-330-300",'2024'!$G$4="CA",'2024'!$G$2=AH119),'2024DATA'!$E$7,"")</f>
        <v/>
      </c>
      <c r="AI124" s="518" t="str">
        <f>IF(AND(_B="A-330-300",'2024'!$G$4="CA",'2024'!$G$2=AI119),'2024DATA'!$F$7,"")</f>
        <v/>
      </c>
      <c r="AJ124" s="518" t="str">
        <f>IF(AND(_B="A-330-300",'2024'!$G$4="CA",'2024'!$G$2=AJ119),'2024DATA'!$G$7,"")</f>
        <v/>
      </c>
      <c r="AK124" s="518" t="str">
        <f>IF(AND(_B="A-330-300",'2024'!$G$4="CA",'2024'!$G$2=AK119),'2024DATA'!$H$7,"")</f>
        <v/>
      </c>
      <c r="AL124" s="518" t="str">
        <f>IF(AND(_B="A-330-300",'2024'!$G$4="CA",'2024'!$G$2=AL119),'2024DATA'!$I$7,"")</f>
        <v/>
      </c>
      <c r="AM124" s="518" t="str">
        <f>IF(AND(_B="A-330-300",'2024'!$G$4="CA",'2024'!$G$2=AM119),'2024DATA'!$J$7,"")</f>
        <v/>
      </c>
      <c r="AN124" s="518" t="str">
        <f>IF(AND(_B="A-330-300",'2024'!$G$4="CA",'2024'!$G$2=AN119),'2024DATA'!$K$7,"")</f>
        <v/>
      </c>
      <c r="AO124" s="518" t="str">
        <f>IF(AND(_B="A-330-300",'2024'!$G$4="CA",'2024'!$G$2=AO119),'2024DATA'!$L$7,"")</f>
        <v/>
      </c>
      <c r="AP124" s="518" t="str">
        <f>IF(AND(_B="A-330-300",'2024'!$G$4="CA",'2024'!$G$2=AP119),'2024DATA'!$M$7,"")</f>
        <v/>
      </c>
      <c r="AQ124" s="520" t="str">
        <f>IF(AND(_B="A-330-300",'2024'!$G$4="CA",'2024'!$G$2=AQ119),'2024DATA'!$N$7,"")</f>
        <v/>
      </c>
      <c r="AR124" s="940" t="s">
        <v>64</v>
      </c>
      <c r="AS124" s="13" t="s">
        <v>61</v>
      </c>
      <c r="AT124" s="518" t="str">
        <f>IF(AND(_C="A-330-300",'2024'!$G$4="CA",'2024'!$G$2=AT119),'2024DATA'!$C$7,"")</f>
        <v/>
      </c>
      <c r="AU124" s="518" t="str">
        <f>IF(AND(_C="A-330-300",'2024'!$G$4="CA",'2024'!$G$2=AU119),'2024DATA'!$D$7,"")</f>
        <v/>
      </c>
      <c r="AV124" s="518" t="str">
        <f>IF(AND(_C="A-330-300",'2024'!$G$4="CA",'2024'!$G$2=AV119),'2024DATA'!$E$7,"")</f>
        <v/>
      </c>
      <c r="AW124" s="518" t="str">
        <f>IF(AND(_C="A-330-300",'2024'!$G$4="CA",'2024'!$G$2=AW119),'2024DATA'!$F$7,"")</f>
        <v/>
      </c>
      <c r="AX124" s="518" t="str">
        <f>IF(AND(_C="A-330-300",'2024'!$G$4="CA",'2024'!$G$2=AX119),'2024DATA'!$G$7,"")</f>
        <v/>
      </c>
      <c r="AY124" s="518" t="str">
        <f>IF(AND(_C="A-330-300",'2024'!$G$4="CA",'2024'!$G$2=AY119),'2024DATA'!$H$7,"")</f>
        <v/>
      </c>
      <c r="AZ124" s="518" t="str">
        <f>IF(AND(_C="A-330-300",'2024'!$G$4="CA",'2024'!$G$2=AZ119),'2024DATA'!$I$7,"")</f>
        <v/>
      </c>
      <c r="BA124" s="518" t="str">
        <f>IF(AND(_C="A-330-300",'2024'!$G$4="CA",'2024'!$G$2=BA119),'2024DATA'!$J$7,"")</f>
        <v/>
      </c>
      <c r="BB124" s="518" t="str">
        <f>IF(AND(_C="A-330-300",'2024'!$G$4="CA",'2024'!$G$2=BB119),'2024DATA'!$K$7,"")</f>
        <v/>
      </c>
      <c r="BC124" s="518" t="str">
        <f>IF(AND(_C="A-330-300",'2024'!$G$4="CA",'2024'!$G$2=BC119),'2024DATA'!$L$7,"")</f>
        <v/>
      </c>
      <c r="BD124" s="518" t="str">
        <f>IF(AND(_C="A-330-300",'2024'!$G$4="CA",'2024'!$G$2=BD119),'2024DATA'!$M$7,"")</f>
        <v/>
      </c>
      <c r="BE124" s="520" t="str">
        <f>IF(AND(_C="A-330-300",'2024'!$G$4="CA",'2024'!$G$2=BE119),'2024DATA'!$N$7,"")</f>
        <v/>
      </c>
      <c r="BF124" s="940" t="s">
        <v>64</v>
      </c>
      <c r="BG124" s="13" t="s">
        <v>61</v>
      </c>
      <c r="BH124" s="518" t="str">
        <f>IF(AND(_D="A-330-300",'2024'!$G$4="CA",'2024'!$G$2=BH119),'2024DATA'!$C$7,"")</f>
        <v/>
      </c>
      <c r="BI124" s="518" t="str">
        <f>IF(AND(_D="A-330-300",'2024'!$G$4="CA",'2024'!$G$2=BI119),'2024DATA'!$D$7,"")</f>
        <v/>
      </c>
      <c r="BJ124" s="518" t="str">
        <f>IF(AND(_D="A-330-300",'2024'!$G$4="CA",'2024'!$G$2=BJ119),'2024DATA'!$E$7,"")</f>
        <v/>
      </c>
      <c r="BK124" s="518" t="str">
        <f>IF(AND(_D="A-330-300",'2024'!$G$4="CA",'2024'!$G$2=BK119),'2024DATA'!$F$7,"")</f>
        <v/>
      </c>
      <c r="BL124" s="518" t="str">
        <f>IF(AND(_D="A-330-300",'2024'!$G$4="CA",'2024'!$G$2=BL119),'2024DATA'!$G$7,"")</f>
        <v/>
      </c>
      <c r="BM124" s="518" t="str">
        <f>IF(AND(_D="A-330-300",'2024'!$G$4="CA",'2024'!$G$2=BM119),'2024DATA'!$H$7,"")</f>
        <v/>
      </c>
      <c r="BN124" s="518" t="str">
        <f>IF(AND(_D="A-330-300",'2024'!$G$4="CA",'2024'!$G$2=BN119),'2024DATA'!$I$7,"")</f>
        <v/>
      </c>
      <c r="BO124" s="518" t="str">
        <f>IF(AND(_D="A-330-300",'2024'!$G$4="CA",'2024'!$G$2=BO119),'2024DATA'!$J$7,"")</f>
        <v/>
      </c>
      <c r="BP124" s="518" t="str">
        <f>IF(AND(_D="A-330-300",'2024'!$G$4="CA",'2024'!$G$2=BP119),'2024DATA'!$K$7,"")</f>
        <v/>
      </c>
      <c r="BQ124" s="518" t="str">
        <f>IF(AND(_D="A-330-300",'2024'!$G$4="CA",'2024'!$G$2=BQ119),'2024DATA'!$L$7,"")</f>
        <v/>
      </c>
      <c r="BR124" s="518" t="str">
        <f>IF(AND(_D="A-330-300",'2024'!$G$4="CA",'2024'!$G$2=BR119),'2024DATA'!$M$7,"")</f>
        <v/>
      </c>
      <c r="BS124" s="520" t="str">
        <f>IF(AND(_D="A-330-300",'2024'!$G$4="CA",'2024'!$G$2=BS119),'2024DATA'!$N$7,"")</f>
        <v/>
      </c>
      <c r="BT124" s="940" t="s">
        <v>64</v>
      </c>
      <c r="BU124" s="13" t="s">
        <v>61</v>
      </c>
      <c r="BV124" s="518" t="str">
        <f>IF(AND(_E="A-330-300",'2024'!$G$4="CA",'2024'!$G$2=BV119),'2024DATA'!$C$7,"")</f>
        <v/>
      </c>
      <c r="BW124" s="518" t="str">
        <f>IF(AND(_E="A-330-300",'2024'!$G$4="CA",'2024'!$G$2=BW119),'2024DATA'!$D$7,"")</f>
        <v/>
      </c>
      <c r="BX124" s="518" t="str">
        <f>IF(AND(_E="A-330-300",'2024'!$G$4="CA",'2024'!$G$2=BX119),'2024DATA'!$E$7,"")</f>
        <v/>
      </c>
      <c r="BY124" s="518" t="str">
        <f>IF(AND(_E="A-330-300",'2024'!$G$4="CA",'2024'!$G$2=BY119),'2024DATA'!$F$7,"")</f>
        <v/>
      </c>
      <c r="BZ124" s="518" t="str">
        <f>IF(AND(_E="A-330-300",'2024'!$G$4="CA",'2024'!$G$2=BZ119),'2024DATA'!$G$7,"")</f>
        <v/>
      </c>
      <c r="CA124" s="518" t="str">
        <f>IF(AND(_E="A-330-300",'2024'!$G$4="CA",'2024'!$G$2=CA119),'2024DATA'!$H$7,"")</f>
        <v/>
      </c>
      <c r="CB124" s="518" t="str">
        <f>IF(AND(_E="A-330-300",'2024'!$G$4="CA",'2024'!$G$2=CB119),'2024DATA'!$I$7,"")</f>
        <v/>
      </c>
      <c r="CC124" s="518" t="str">
        <f>IF(AND(_E="A-330-300",'2024'!$G$4="CA",'2024'!$G$2=CC119),'2024DATA'!$J$7,"")</f>
        <v/>
      </c>
      <c r="CD124" s="518" t="str">
        <f>IF(AND(_E="A-330-300",'2024'!$G$4="CA",'2024'!$G$2=CD119),'2024DATA'!$K$7,"")</f>
        <v/>
      </c>
      <c r="CE124" s="518" t="str">
        <f>IF(AND(_E="A-330-300",'2024'!$G$4="CA",'2024'!$G$2=CE119),'2024DATA'!$L$7,"")</f>
        <v/>
      </c>
      <c r="CF124" s="518" t="str">
        <f>IF(AND(_E="A-330-300",'2024'!$G$4="CA",'2024'!$G$2=CF119),'2024DATA'!$M$7,"")</f>
        <v/>
      </c>
      <c r="CG124" s="520" t="str">
        <f>IF(AND(_E="A-330-300",'2024'!$G$4="CA",'2024'!$G$2=CG119),'2024DATA'!$N$7,"")</f>
        <v/>
      </c>
      <c r="CH124" s="940" t="s">
        <v>64</v>
      </c>
      <c r="CI124" s="13" t="s">
        <v>61</v>
      </c>
      <c r="CJ124" s="518" t="str">
        <f>IF(AND(_F="A-330-300",'2024'!$G$4="CA",'2024'!$G$2=CJ119),'2024DATA'!$C$7,"")</f>
        <v/>
      </c>
      <c r="CK124" s="518" t="str">
        <f>IF(AND(_F="A-330-300",'2024'!$G$4="CA",'2024'!$G$2=CK119),'2024DATA'!$D$7,"")</f>
        <v/>
      </c>
      <c r="CL124" s="518" t="str">
        <f>IF(AND(_F="A-330-300",'2024'!$G$4="CA",'2024'!$G$2=CL119),'2024DATA'!$E$7,"")</f>
        <v/>
      </c>
      <c r="CM124" s="518" t="str">
        <f>IF(AND(_F="A-330-300",'2024'!$G$4="CA",'2024'!$G$2=CM119),'2024DATA'!$F$7,"")</f>
        <v/>
      </c>
      <c r="CN124" s="518" t="str">
        <f>IF(AND(_F="A-330-300",'2024'!$G$4="CA",'2024'!$G$2=CN119),'2024DATA'!$G$7,"")</f>
        <v/>
      </c>
      <c r="CO124" s="518" t="str">
        <f>IF(AND(_F="A-330-300",'2024'!$G$4="CA",'2024'!$G$2=CO119),'2024DATA'!$H$7,"")</f>
        <v/>
      </c>
      <c r="CP124" s="518" t="str">
        <f>IF(AND(_F="A-330-300",'2024'!$G$4="CA",'2024'!$G$2=CP119),'2024DATA'!$I$7,"")</f>
        <v/>
      </c>
      <c r="CQ124" s="518" t="str">
        <f>IF(AND(_F="A-330-300",'2024'!$G$4="CA",'2024'!$G$2=CQ119),'2024DATA'!$J$7,"")</f>
        <v/>
      </c>
      <c r="CR124" s="518" t="str">
        <f>IF(AND(_F="A-330-300",'2024'!$G$4="CA",'2024'!$G$2=CR119),'2024DATA'!$K$7,"")</f>
        <v/>
      </c>
      <c r="CS124" s="518" t="str">
        <f>IF(AND(_F="A-330-300",'2024'!$G$4="CA",'2024'!$G$2=CS119),'2024DATA'!$L$7,"")</f>
        <v/>
      </c>
      <c r="CT124" s="518" t="str">
        <f>IF(AND(_F="A-330-300",'2024'!$G$4="CA",'2024'!$G$2=CT119),'2024DATA'!$M$7,"")</f>
        <v/>
      </c>
      <c r="CU124" s="520" t="str">
        <f>IF(AND(_F="A-330-300",'2024'!$G$4="CA",'2024'!$G$2=CU119),'2024DATA'!$N$7,"")</f>
        <v/>
      </c>
    </row>
    <row r="125" spans="16:99" x14ac:dyDescent="0.25">
      <c r="P125" s="940"/>
      <c r="Q125" s="13" t="s">
        <v>62</v>
      </c>
      <c r="R125" s="518" t="str">
        <f>IF(AND(_A="A-330-300",'2024'!$G$4="FO",'2024'!$G$2=R119),'2024DATA'!$C$8,"")</f>
        <v/>
      </c>
      <c r="S125" s="518" t="str">
        <f>IF(AND(_A="A-330-300",'2024'!$G$4="FO",'2024'!$G$2=S119),'2024DATA'!$D$8,"")</f>
        <v/>
      </c>
      <c r="T125" s="518" t="str">
        <f>IF(AND(_A="A-330-300",'2024'!$G$4="FO",'2024'!$G$2=T119),'2024DATA'!$E$8,"")</f>
        <v/>
      </c>
      <c r="U125" s="518" t="str">
        <f>IF(AND(_A="A-330-300",'2024'!$G$4="FO",'2024'!$G$2=U119),'2024DATA'!$F$8,"")</f>
        <v/>
      </c>
      <c r="V125" s="518" t="str">
        <f>IF(AND(_A="A-330-300",'2024'!$G$4="FO",'2024'!$G$2=V119),'2024DATA'!$G$8,"")</f>
        <v/>
      </c>
      <c r="W125" s="518" t="str">
        <f>IF(AND(_A="A-330-300",'2024'!$G$4="FO",'2024'!$G$2=W119),'2024DATA'!$H$8,"")</f>
        <v/>
      </c>
      <c r="X125" s="518" t="str">
        <f>IF(AND(_A="A-330-300",'2024'!$G$4="FO",'2024'!$G$2=X119),'2024DATA'!$I$8,"")</f>
        <v/>
      </c>
      <c r="Y125" s="518" t="str">
        <f>IF(AND(_A="A-330-300",'2024'!$G$4="FO",'2024'!$G$2=Y119),'2024DATA'!$J$8,"")</f>
        <v/>
      </c>
      <c r="Z125" s="518" t="str">
        <f>IF(AND(_A="A-330-300",'2024'!$G$4="FO",'2024'!$G$2=Z119),'2024DATA'!$K$8,"")</f>
        <v/>
      </c>
      <c r="AA125" s="518" t="str">
        <f>IF(AND(_A="A-330-300",'2024'!$G$4="FO",'2024'!$G$2=AA119),'2024DATA'!$L$8,"")</f>
        <v/>
      </c>
      <c r="AB125" s="518" t="str">
        <f>IF(AND(_A="A-330-300",'2024'!$G$4="FO",'2024'!$G$2=AB119),'2024DATA'!$M$8,"")</f>
        <v/>
      </c>
      <c r="AC125" s="520" t="str">
        <f>IF(AND(_A="A-330-300",'2024'!$G$4="FO",'2024'!$G$2=AC119),'2024DATA'!$N$8,"")</f>
        <v/>
      </c>
      <c r="AD125" s="940"/>
      <c r="AE125" s="13" t="s">
        <v>62</v>
      </c>
      <c r="AF125" s="518" t="str">
        <f>IF(AND(_B="A-330-300",'2024'!$G$4="FO",'2024'!$G$2=AF119),'2024DATA'!$C$8,"")</f>
        <v/>
      </c>
      <c r="AG125" s="518" t="str">
        <f>IF(AND(_B="A-330-300",'2024'!$G$4="FO",'2024'!$G$2=AG119),'2024DATA'!$D$8,"")</f>
        <v/>
      </c>
      <c r="AH125" s="518" t="str">
        <f>IF(AND(_B="A-330-300",'2024'!$G$4="FO",'2024'!$G$2=AH119),'2024DATA'!$E$8,"")</f>
        <v/>
      </c>
      <c r="AI125" s="518" t="str">
        <f>IF(AND(_B="A-330-300",'2024'!$G$4="FO",'2024'!$G$2=AI119),'2024DATA'!$F$8,"")</f>
        <v/>
      </c>
      <c r="AJ125" s="518" t="str">
        <f>IF(AND(_B="A-330-300",'2024'!$G$4="FO",'2024'!$G$2=AJ119),'2024DATA'!$G$8,"")</f>
        <v/>
      </c>
      <c r="AK125" s="518" t="str">
        <f>IF(AND(_B="A-330-300",'2024'!$G$4="FO",'2024'!$G$2=AK119),'2024DATA'!$H$8,"")</f>
        <v/>
      </c>
      <c r="AL125" s="518" t="str">
        <f>IF(AND(_B="A-330-300",'2024'!$G$4="FO",'2024'!$G$2=AL119),'2024DATA'!$I$8,"")</f>
        <v/>
      </c>
      <c r="AM125" s="518" t="str">
        <f>IF(AND(_B="A-330-300",'2024'!$G$4="FO",'2024'!$G$2=AM119),'2024DATA'!$J$8,"")</f>
        <v/>
      </c>
      <c r="AN125" s="518" t="str">
        <f>IF(AND(_B="A-330-300",'2024'!$G$4="FO",'2024'!$G$2=AN119),'2024DATA'!$K$8,"")</f>
        <v/>
      </c>
      <c r="AO125" s="518" t="str">
        <f>IF(AND(_B="A-330-300",'2024'!$G$4="FO",'2024'!$G$2=AO119),'2024DATA'!$L$8,"")</f>
        <v/>
      </c>
      <c r="AP125" s="518" t="str">
        <f>IF(AND(_B="A-330-300",'2024'!$G$4="FO",'2024'!$G$2=AP119),'2024DATA'!$M$8,"")</f>
        <v/>
      </c>
      <c r="AQ125" s="520" t="str">
        <f>IF(AND(_B="A-330-300",'2024'!$G$4="FO",'2024'!$G$2=AQ119),'2024DATA'!$N$8,"")</f>
        <v/>
      </c>
      <c r="AR125" s="940"/>
      <c r="AS125" s="13" t="s">
        <v>62</v>
      </c>
      <c r="AT125" s="518" t="str">
        <f>IF(AND(_C="A-330-300",'2024'!$G$4="FO",'2024'!$G$2=AT119),'2024DATA'!$C$8,"")</f>
        <v/>
      </c>
      <c r="AU125" s="518" t="str">
        <f>IF(AND(_C="A-330-300",'2024'!$G$4="FO",'2024'!$G$2=AU119),'2024DATA'!$D$8,"")</f>
        <v/>
      </c>
      <c r="AV125" s="518" t="str">
        <f>IF(AND(_C="A-330-300",'2024'!$G$4="FO",'2024'!$G$2=AV119),'2024DATA'!$E$8,"")</f>
        <v/>
      </c>
      <c r="AW125" s="518" t="str">
        <f>IF(AND(_C="A-330-300",'2024'!$G$4="FO",'2024'!$G$2=AW119),'2024DATA'!$F$8,"")</f>
        <v/>
      </c>
      <c r="AX125" s="518" t="str">
        <f>IF(AND(_C="A-330-300",'2024'!$G$4="FO",'2024'!$G$2=AX119),'2024DATA'!$G$8,"")</f>
        <v/>
      </c>
      <c r="AY125" s="518" t="str">
        <f>IF(AND(_C="A-330-300",'2024'!$G$4="FO",'2024'!$G$2=AY119),'2024DATA'!$H$8,"")</f>
        <v/>
      </c>
      <c r="AZ125" s="518" t="str">
        <f>IF(AND(_C="A-330-300",'2024'!$G$4="FO",'2024'!$G$2=AZ119),'2024DATA'!$I$8,"")</f>
        <v/>
      </c>
      <c r="BA125" s="518" t="str">
        <f>IF(AND(_C="A-330-300",'2024'!$G$4="FO",'2024'!$G$2=BA119),'2024DATA'!$J$8,"")</f>
        <v/>
      </c>
      <c r="BB125" s="518" t="str">
        <f>IF(AND(_C="A-330-300",'2024'!$G$4="FO",'2024'!$G$2=BB119),'2024DATA'!$K$8,"")</f>
        <v/>
      </c>
      <c r="BC125" s="518" t="str">
        <f>IF(AND(_C="A-330-300",'2024'!$G$4="FO",'2024'!$G$2=BC119),'2024DATA'!$L$8,"")</f>
        <v/>
      </c>
      <c r="BD125" s="518" t="str">
        <f>IF(AND(_C="A-330-300",'2024'!$G$4="FO",'2024'!$G$2=BD119),'2024DATA'!$M$8,"")</f>
        <v/>
      </c>
      <c r="BE125" s="520" t="str">
        <f>IF(AND(_C="A-330-300",'2024'!$G$4="FO",'2024'!$G$2=BE119),'2024DATA'!$N$8,"")</f>
        <v/>
      </c>
      <c r="BF125" s="940"/>
      <c r="BG125" s="13" t="s">
        <v>62</v>
      </c>
      <c r="BH125" s="518" t="str">
        <f>IF(AND(_D="A-330-300",'2024'!$G$4="FO",'2024'!$G$2=BH119),'2024DATA'!$C$8,"")</f>
        <v/>
      </c>
      <c r="BI125" s="518" t="str">
        <f>IF(AND(_D="A-330-300",'2024'!$G$4="FO",'2024'!$G$2=BI119),'2024DATA'!$D$8,"")</f>
        <v/>
      </c>
      <c r="BJ125" s="518" t="str">
        <f>IF(AND(_D="A-330-300",'2024'!$G$4="FO",'2024'!$G$2=BJ119),'2024DATA'!$E$8,"")</f>
        <v/>
      </c>
      <c r="BK125" s="518" t="str">
        <f>IF(AND(_D="A-330-300",'2024'!$G$4="FO",'2024'!$G$2=BK119),'2024DATA'!$F$8,"")</f>
        <v/>
      </c>
      <c r="BL125" s="518" t="str">
        <f>IF(AND(_D="A-330-300",'2024'!$G$4="FO",'2024'!$G$2=BL119),'2024DATA'!$G$8,"")</f>
        <v/>
      </c>
      <c r="BM125" s="518" t="str">
        <f>IF(AND(_D="A-330-300",'2024'!$G$4="FO",'2024'!$G$2=BM119),'2024DATA'!$H$8,"")</f>
        <v/>
      </c>
      <c r="BN125" s="518" t="str">
        <f>IF(AND(_D="A-330-300",'2024'!$G$4="FO",'2024'!$G$2=BN119),'2024DATA'!$I$8,"")</f>
        <v/>
      </c>
      <c r="BO125" s="518" t="str">
        <f>IF(AND(_D="A-330-300",'2024'!$G$4="FO",'2024'!$G$2=BO119),'2024DATA'!$J$8,"")</f>
        <v/>
      </c>
      <c r="BP125" s="518" t="str">
        <f>IF(AND(_D="A-330-300",'2024'!$G$4="FO",'2024'!$G$2=BP119),'2024DATA'!$K$8,"")</f>
        <v/>
      </c>
      <c r="BQ125" s="518" t="str">
        <f>IF(AND(_D="A-330-300",'2024'!$G$4="FO",'2024'!$G$2=BQ119),'2024DATA'!$L$8,"")</f>
        <v/>
      </c>
      <c r="BR125" s="518" t="str">
        <f>IF(AND(_D="A-330-300",'2024'!$G$4="FO",'2024'!$G$2=BR119),'2024DATA'!$M$8,"")</f>
        <v/>
      </c>
      <c r="BS125" s="520" t="str">
        <f>IF(AND(_D="A-330-300",'2024'!$G$4="FO",'2024'!$G$2=BS119),'2024DATA'!$N$8,"")</f>
        <v/>
      </c>
      <c r="BT125" s="940"/>
      <c r="BU125" s="13" t="s">
        <v>62</v>
      </c>
      <c r="BV125" s="518" t="str">
        <f>IF(AND(_E="A-330-300",'2024'!$G$4="FO",'2024'!$G$2=BV119),'2024DATA'!$C$8,"")</f>
        <v/>
      </c>
      <c r="BW125" s="518" t="str">
        <f>IF(AND(_E="A-330-300",'2024'!$G$4="FO",'2024'!$G$2=BW119),'2024DATA'!$D$8,"")</f>
        <v/>
      </c>
      <c r="BX125" s="518" t="str">
        <f>IF(AND(_E="A-330-300",'2024'!$G$4="FO",'2024'!$G$2=BX119),'2024DATA'!$E$8,"")</f>
        <v/>
      </c>
      <c r="BY125" s="518" t="str">
        <f>IF(AND(_E="A-330-300",'2024'!$G$4="FO",'2024'!$G$2=BY119),'2024DATA'!$F$8,"")</f>
        <v/>
      </c>
      <c r="BZ125" s="518" t="str">
        <f>IF(AND(_E="A-330-300",'2024'!$G$4="FO",'2024'!$G$2=BZ119),'2024DATA'!$G$8,"")</f>
        <v/>
      </c>
      <c r="CA125" s="518" t="str">
        <f>IF(AND(_E="A-330-300",'2024'!$G$4="FO",'2024'!$G$2=CA119),'2024DATA'!$H$8,"")</f>
        <v/>
      </c>
      <c r="CB125" s="518" t="str">
        <f>IF(AND(_E="A-330-300",'2024'!$G$4="FO",'2024'!$G$2=CB119),'2024DATA'!$I$8,"")</f>
        <v/>
      </c>
      <c r="CC125" s="518" t="str">
        <f>IF(AND(_E="A-330-300",'2024'!$G$4="FO",'2024'!$G$2=CC119),'2024DATA'!$J$8,"")</f>
        <v/>
      </c>
      <c r="CD125" s="518" t="str">
        <f>IF(AND(_E="A-330-300",'2024'!$G$4="FO",'2024'!$G$2=CD119),'2024DATA'!$K$8,"")</f>
        <v/>
      </c>
      <c r="CE125" s="518" t="str">
        <f>IF(AND(_E="A-330-300",'2024'!$G$4="FO",'2024'!$G$2=CE119),'2024DATA'!$L$8,"")</f>
        <v/>
      </c>
      <c r="CF125" s="518" t="str">
        <f>IF(AND(_E="A-330-300",'2024'!$G$4="FO",'2024'!$G$2=CF119),'2024DATA'!$M$8,"")</f>
        <v/>
      </c>
      <c r="CG125" s="520" t="str">
        <f>IF(AND(_E="A-330-300",'2024'!$G$4="FO",'2024'!$G$2=CG119),'2024DATA'!$N$8,"")</f>
        <v/>
      </c>
      <c r="CH125" s="940"/>
      <c r="CI125" s="13" t="s">
        <v>62</v>
      </c>
      <c r="CJ125" s="518" t="str">
        <f>IF(AND(_F="A-330-300",'2024'!$G$4="FO",'2024'!$G$2=CJ119),'2024DATA'!$C$8,"")</f>
        <v/>
      </c>
      <c r="CK125" s="518" t="str">
        <f>IF(AND(_F="A-330-300",'2024'!$G$4="FO",'2024'!$G$2=CK119),'2024DATA'!$D$8,"")</f>
        <v/>
      </c>
      <c r="CL125" s="518" t="str">
        <f>IF(AND(_F="A-330-300",'2024'!$G$4="FO",'2024'!$G$2=CL119),'2024DATA'!$E$8,"")</f>
        <v/>
      </c>
      <c r="CM125" s="518" t="str">
        <f>IF(AND(_F="A-330-300",'2024'!$G$4="FO",'2024'!$G$2=CM119),'2024DATA'!$F$8,"")</f>
        <v/>
      </c>
      <c r="CN125" s="518" t="str">
        <f>IF(AND(_F="A-330-300",'2024'!$G$4="FO",'2024'!$G$2=CN119),'2024DATA'!$G$8,"")</f>
        <v/>
      </c>
      <c r="CO125" s="518" t="str">
        <f>IF(AND(_F="A-330-300",'2024'!$G$4="FO",'2024'!$G$2=CO119),'2024DATA'!$H$8,"")</f>
        <v/>
      </c>
      <c r="CP125" s="518" t="str">
        <f>IF(AND(_F="A-330-300",'2024'!$G$4="FO",'2024'!$G$2=CP119),'2024DATA'!$I$8,"")</f>
        <v/>
      </c>
      <c r="CQ125" s="518" t="str">
        <f>IF(AND(_F="A-330-300",'2024'!$G$4="FO",'2024'!$G$2=CQ119),'2024DATA'!$J$8,"")</f>
        <v/>
      </c>
      <c r="CR125" s="518" t="str">
        <f>IF(AND(_F="A-330-300",'2024'!$G$4="FO",'2024'!$G$2=CR119),'2024DATA'!$K$8,"")</f>
        <v/>
      </c>
      <c r="CS125" s="518" t="str">
        <f>IF(AND(_F="A-330-300",'2024'!$G$4="FO",'2024'!$G$2=CS119),'2024DATA'!$L$8,"")</f>
        <v/>
      </c>
      <c r="CT125" s="518" t="str">
        <f>IF(AND(_F="A-330-300",'2024'!$G$4="FO",'2024'!$G$2=CT119),'2024DATA'!$M$8,"")</f>
        <v/>
      </c>
      <c r="CU125" s="520" t="str">
        <f>IF(AND(_F="A-330-300",'2024'!$G$4="FO",'2024'!$G$2=CU119),'2024DATA'!$N$8,"")</f>
        <v/>
      </c>
    </row>
    <row r="126" spans="16:99" x14ac:dyDescent="0.25">
      <c r="P126" s="940" t="s">
        <v>66</v>
      </c>
      <c r="Q126" s="13" t="s">
        <v>61</v>
      </c>
      <c r="R126" s="518" t="str">
        <f>IF(AND(_A="A-330-200",'2024'!$G$4="CA",'2024'!$G$2=R119),'2024DATA'!$C$9,"")</f>
        <v/>
      </c>
      <c r="S126" s="518" t="str">
        <f>IF(AND(_A="A-330-200",'2024'!$G$4="CA",'2024'!$G$2=S119),'2024DATA'!$D$9,"")</f>
        <v/>
      </c>
      <c r="T126" s="518" t="str">
        <f>IF(AND(_A="A-330-200",'2024'!$G$4="CA",'2024'!$G$2=T119),'2024DATA'!$E$9,"")</f>
        <v/>
      </c>
      <c r="U126" s="518" t="str">
        <f>IF(AND(_A="A-330-200",'2024'!$G$4="CA",'2024'!$G$2=U119),'2024DATA'!$F$9,"")</f>
        <v/>
      </c>
      <c r="V126" s="518" t="str">
        <f>IF(AND(_A="A-330-200",'2024'!$G$4="CA",'2024'!$G$2=V119),'2024DATA'!$G$9,"")</f>
        <v/>
      </c>
      <c r="W126" s="518" t="str">
        <f>IF(AND(_A="A-330-200",'2024'!$G$4="CA",'2024'!$G$2=W119),'2024DATA'!$H$9,"")</f>
        <v/>
      </c>
      <c r="X126" s="518" t="str">
        <f>IF(AND(_A="A-330-200",'2024'!$G$4="CA",'2024'!$G$2=X119),'2024DATA'!$I$9,"")</f>
        <v/>
      </c>
      <c r="Y126" s="518" t="str">
        <f>IF(AND(_A="A-330-200",'2024'!$G$4="CA",'2024'!$G$2=Y119),'2024DATA'!$J$9,"")</f>
        <v/>
      </c>
      <c r="Z126" s="518" t="str">
        <f>IF(AND(_A="A-330-200",'2024'!$G$4="CA",'2024'!$G$2=Z119),'2024DATA'!$K$9,"")</f>
        <v/>
      </c>
      <c r="AA126" s="518" t="str">
        <f>IF(AND(_A="A-330-200",'2024'!$G$4="CA",'2024'!$G$2=AA119),'2024DATA'!$L$9,"")</f>
        <v/>
      </c>
      <c r="AB126" s="518" t="str">
        <f>IF(AND(_A="A-330-200",'2024'!$G$4="CA",'2024'!$G$2=AB119),'2024DATA'!$M$9,"")</f>
        <v/>
      </c>
      <c r="AC126" s="520" t="str">
        <f>IF(AND(_A="A-330-200",'2024'!$G$4="CA",'2024'!$G$2=AC119),'2024DATA'!$N$9,"")</f>
        <v/>
      </c>
      <c r="AD126" s="940" t="s">
        <v>66</v>
      </c>
      <c r="AE126" s="13" t="s">
        <v>61</v>
      </c>
      <c r="AF126" s="518" t="str">
        <f>IF(AND(_B="A-330-200",'2024'!$G$4="CA",'2024'!$G$2=AF119),'2024DATA'!$C$9,"")</f>
        <v/>
      </c>
      <c r="AG126" s="518" t="str">
        <f>IF(AND(_B="A-330-200",'2024'!$G$4="CA",'2024'!$G$2=AG119),'2024DATA'!$D$9,"")</f>
        <v/>
      </c>
      <c r="AH126" s="518" t="str">
        <f>IF(AND(_B="A-330-200",'2024'!$G$4="CA",'2024'!$G$2=AH119),'2024DATA'!$E$9,"")</f>
        <v/>
      </c>
      <c r="AI126" s="518" t="str">
        <f>IF(AND(_B="A-330-200",'2024'!$G$4="CA",'2024'!$G$2=AI119),'2024DATA'!$F$9,"")</f>
        <v/>
      </c>
      <c r="AJ126" s="518" t="str">
        <f>IF(AND(_B="A-330-200",'2024'!$G$4="CA",'2024'!$G$2=AJ119),'2024DATA'!$G$9,"")</f>
        <v/>
      </c>
      <c r="AK126" s="518" t="str">
        <f>IF(AND(_B="A-330-200",'2024'!$G$4="CA",'2024'!$G$2=AK119),'2024DATA'!$H$9,"")</f>
        <v/>
      </c>
      <c r="AL126" s="518" t="str">
        <f>IF(AND(_B="A-330-200",'2024'!$G$4="CA",'2024'!$G$2=AL119),'2024DATA'!$I$9,"")</f>
        <v/>
      </c>
      <c r="AM126" s="518" t="str">
        <f>IF(AND(_B="A-330-200",'2024'!$G$4="CA",'2024'!$G$2=AM119),'2024DATA'!$J$9,"")</f>
        <v/>
      </c>
      <c r="AN126" s="518" t="str">
        <f>IF(AND(_B="A-330-200",'2024'!$G$4="CA",'2024'!$G$2=AN119),'2024DATA'!$K$9,"")</f>
        <v/>
      </c>
      <c r="AO126" s="518" t="str">
        <f>IF(AND(_B="A-330-200",'2024'!$G$4="CA",'2024'!$G$2=AO119),'2024DATA'!$L$9,"")</f>
        <v/>
      </c>
      <c r="AP126" s="518" t="str">
        <f>IF(AND(_B="A-330-200",'2024'!$G$4="CA",'2024'!$G$2=AP119),'2024DATA'!$M$9,"")</f>
        <v/>
      </c>
      <c r="AQ126" s="520" t="str">
        <f>IF(AND(_B="A-330-200",'2024'!$G$4="CA",'2024'!$G$2=AQ119),'2024DATA'!$N$9,"")</f>
        <v/>
      </c>
      <c r="AR126" s="940" t="s">
        <v>66</v>
      </c>
      <c r="AS126" s="13" t="s">
        <v>61</v>
      </c>
      <c r="AT126" s="518" t="str">
        <f>IF(AND(_C="A-330-200",'2024'!$G$4="CA",'2024'!$G$2=AT119),'2024DATA'!$C$9,"")</f>
        <v/>
      </c>
      <c r="AU126" s="518" t="str">
        <f>IF(AND(_C="A-330-200",'2024'!$G$4="CA",'2024'!$G$2=AU119),'2024DATA'!$D$9,"")</f>
        <v/>
      </c>
      <c r="AV126" s="518" t="str">
        <f>IF(AND(_C="A-330-200",'2024'!$G$4="CA",'2024'!$G$2=AV119),'2024DATA'!$E$9,"")</f>
        <v/>
      </c>
      <c r="AW126" s="518" t="str">
        <f>IF(AND(_C="A-330-200",'2024'!$G$4="CA",'2024'!$G$2=AW119),'2024DATA'!$F$9,"")</f>
        <v/>
      </c>
      <c r="AX126" s="518" t="str">
        <f>IF(AND(_C="A-330-200",'2024'!$G$4="CA",'2024'!$G$2=AX119),'2024DATA'!$G$9,"")</f>
        <v/>
      </c>
      <c r="AY126" s="518" t="str">
        <f>IF(AND(_C="A-330-200",'2024'!$G$4="CA",'2024'!$G$2=AY119),'2024DATA'!$H$9,"")</f>
        <v/>
      </c>
      <c r="AZ126" s="518" t="str">
        <f>IF(AND(_C="A-330-200",'2024'!$G$4="CA",'2024'!$G$2=AZ119),'2024DATA'!$I$9,"")</f>
        <v/>
      </c>
      <c r="BA126" s="518" t="str">
        <f>IF(AND(_C="A-330-200",'2024'!$G$4="CA",'2024'!$G$2=BA119),'2024DATA'!$J$9,"")</f>
        <v/>
      </c>
      <c r="BB126" s="518" t="str">
        <f>IF(AND(_C="A-330-200",'2024'!$G$4="CA",'2024'!$G$2=BB119),'2024DATA'!$K$9,"")</f>
        <v/>
      </c>
      <c r="BC126" s="518" t="str">
        <f>IF(AND(_C="A-330-200",'2024'!$G$4="CA",'2024'!$G$2=BC119),'2024DATA'!$L$9,"")</f>
        <v/>
      </c>
      <c r="BD126" s="518" t="str">
        <f>IF(AND(_C="A-330-200",'2024'!$G$4="CA",'2024'!$G$2=BD119),'2024DATA'!$M$9,"")</f>
        <v/>
      </c>
      <c r="BE126" s="520" t="str">
        <f>IF(AND(_C="A-330-200",'2024'!$G$4="CA",'2024'!$G$2=BE119),'2024DATA'!$N$9,"")</f>
        <v/>
      </c>
      <c r="BF126" s="940" t="s">
        <v>66</v>
      </c>
      <c r="BG126" s="13" t="s">
        <v>61</v>
      </c>
      <c r="BH126" s="518" t="str">
        <f>IF(AND(_D="A-330-200",'2024'!$G$4="CA",'2024'!$G$2=BH119),'2024DATA'!$C$9,"")</f>
        <v/>
      </c>
      <c r="BI126" s="518" t="str">
        <f>IF(AND(_D="A-330-200",'2024'!$G$4="CA",'2024'!$G$2=BI119),'2024DATA'!$D$9,"")</f>
        <v/>
      </c>
      <c r="BJ126" s="518" t="str">
        <f>IF(AND(_D="A-330-200",'2024'!$G$4="CA",'2024'!$G$2=BJ119),'2024DATA'!$E$9,"")</f>
        <v/>
      </c>
      <c r="BK126" s="518" t="str">
        <f>IF(AND(_D="A-330-200",'2024'!$G$4="CA",'2024'!$G$2=BK119),'2024DATA'!$F$9,"")</f>
        <v/>
      </c>
      <c r="BL126" s="518" t="str">
        <f>IF(AND(_D="A-330-200",'2024'!$G$4="CA",'2024'!$G$2=BL119),'2024DATA'!$G$9,"")</f>
        <v/>
      </c>
      <c r="BM126" s="518" t="str">
        <f>IF(AND(_D="A-330-200",'2024'!$G$4="CA",'2024'!$G$2=BM119),'2024DATA'!$H$9,"")</f>
        <v/>
      </c>
      <c r="BN126" s="518" t="str">
        <f>IF(AND(_D="A-330-200",'2024'!$G$4="CA",'2024'!$G$2=BN119),'2024DATA'!$I$9,"")</f>
        <v/>
      </c>
      <c r="BO126" s="518" t="str">
        <f>IF(AND(_D="A-330-200",'2024'!$G$4="CA",'2024'!$G$2=BO119),'2024DATA'!$J$9,"")</f>
        <v/>
      </c>
      <c r="BP126" s="518" t="str">
        <f>IF(AND(_D="A-330-200",'2024'!$G$4="CA",'2024'!$G$2=BP119),'2024DATA'!$K$9,"")</f>
        <v/>
      </c>
      <c r="BQ126" s="518" t="str">
        <f>IF(AND(_D="A-330-200",'2024'!$G$4="CA",'2024'!$G$2=BQ119),'2024DATA'!$L$9,"")</f>
        <v/>
      </c>
      <c r="BR126" s="518" t="str">
        <f>IF(AND(_D="A-330-200",'2024'!$G$4="CA",'2024'!$G$2=BR119),'2024DATA'!$M$9,"")</f>
        <v/>
      </c>
      <c r="BS126" s="520" t="str">
        <f>IF(AND(_D="A-330-200",'2024'!$G$4="CA",'2024'!$G$2=BS119),'2024DATA'!$N$9,"")</f>
        <v/>
      </c>
      <c r="BT126" s="940" t="s">
        <v>66</v>
      </c>
      <c r="BU126" s="13" t="s">
        <v>61</v>
      </c>
      <c r="BV126" s="518" t="str">
        <f>IF(AND(_E="A-330-200",'2024'!$G$4="CA",'2024'!$G$2=BV119),'2024DATA'!$C$9,"")</f>
        <v/>
      </c>
      <c r="BW126" s="518" t="str">
        <f>IF(AND(_E="A-330-200",'2024'!$G$4="CA",'2024'!$G$2=BW119),'2024DATA'!$D$9,"")</f>
        <v/>
      </c>
      <c r="BX126" s="518" t="str">
        <f>IF(AND(_E="A-330-200",'2024'!$G$4="CA",'2024'!$G$2=BX119),'2024DATA'!$E$9,"")</f>
        <v/>
      </c>
      <c r="BY126" s="518" t="str">
        <f>IF(AND(_E="A-330-200",'2024'!$G$4="CA",'2024'!$G$2=BY119),'2024DATA'!$F$9,"")</f>
        <v/>
      </c>
      <c r="BZ126" s="518" t="str">
        <f>IF(AND(_E="A-330-200",'2024'!$G$4="CA",'2024'!$G$2=BZ119),'2024DATA'!$G$9,"")</f>
        <v/>
      </c>
      <c r="CA126" s="518" t="str">
        <f>IF(AND(_E="A-330-200",'2024'!$G$4="CA",'2024'!$G$2=CA119),'2024DATA'!$H$9,"")</f>
        <v/>
      </c>
      <c r="CB126" s="518" t="str">
        <f>IF(AND(_E="A-330-200",'2024'!$G$4="CA",'2024'!$G$2=CB119),'2024DATA'!$I$9,"")</f>
        <v/>
      </c>
      <c r="CC126" s="518" t="str">
        <f>IF(AND(_E="A-330-200",'2024'!$G$4="CA",'2024'!$G$2=CC119),'2024DATA'!$J$9,"")</f>
        <v/>
      </c>
      <c r="CD126" s="518" t="str">
        <f>IF(AND(_E="A-330-200",'2024'!$G$4="CA",'2024'!$G$2=CD119),'2024DATA'!$K$9,"")</f>
        <v/>
      </c>
      <c r="CE126" s="518" t="str">
        <f>IF(AND(_E="A-330-200",'2024'!$G$4="CA",'2024'!$G$2=CE119),'2024DATA'!$L$9,"")</f>
        <v/>
      </c>
      <c r="CF126" s="518" t="str">
        <f>IF(AND(_E="A-330-200",'2024'!$G$4="CA",'2024'!$G$2=CF119),'2024DATA'!$M$9,"")</f>
        <v/>
      </c>
      <c r="CG126" s="520" t="str">
        <f>IF(AND(_E="A-330-200",'2024'!$G$4="CA",'2024'!$G$2=CG119),'2024DATA'!$N$9,"")</f>
        <v/>
      </c>
      <c r="CH126" s="940" t="s">
        <v>66</v>
      </c>
      <c r="CI126" s="13" t="s">
        <v>61</v>
      </c>
      <c r="CJ126" s="518" t="str">
        <f>IF(AND(_F="A-330-200",'2024'!$G$4="CA",'2024'!$G$2=CJ119),'2024DATA'!$C$9,"")</f>
        <v/>
      </c>
      <c r="CK126" s="518" t="str">
        <f>IF(AND(_F="A-330-200",'2024'!$G$4="CA",'2024'!$G$2=CK119),'2024DATA'!$D$9,"")</f>
        <v/>
      </c>
      <c r="CL126" s="518" t="str">
        <f>IF(AND(_F="A-330-200",'2024'!$G$4="CA",'2024'!$G$2=CL119),'2024DATA'!$E$9,"")</f>
        <v/>
      </c>
      <c r="CM126" s="518" t="str">
        <f>IF(AND(_F="A-330-200",'2024'!$G$4="CA",'2024'!$G$2=CM119),'2024DATA'!$F$9,"")</f>
        <v/>
      </c>
      <c r="CN126" s="518" t="str">
        <f>IF(AND(_F="A-330-200",'2024'!$G$4="CA",'2024'!$G$2=CN119),'2024DATA'!$G$9,"")</f>
        <v/>
      </c>
      <c r="CO126" s="518" t="str">
        <f>IF(AND(_F="A-330-200",'2024'!$G$4="CA",'2024'!$G$2=CO119),'2024DATA'!$H$9,"")</f>
        <v/>
      </c>
      <c r="CP126" s="518" t="str">
        <f>IF(AND(_F="A-330-200",'2024'!$G$4="CA",'2024'!$G$2=CP119),'2024DATA'!$I$9,"")</f>
        <v/>
      </c>
      <c r="CQ126" s="518" t="str">
        <f>IF(AND(_F="A-330-200",'2024'!$G$4="CA",'2024'!$G$2=CQ119),'2024DATA'!$J$9,"")</f>
        <v/>
      </c>
      <c r="CR126" s="518" t="str">
        <f>IF(AND(_F="A-330-200",'2024'!$G$4="CA",'2024'!$G$2=CR119),'2024DATA'!$K$9,"")</f>
        <v/>
      </c>
      <c r="CS126" s="518" t="str">
        <f>IF(AND(_F="A-330-200",'2024'!$G$4="CA",'2024'!$G$2=CS119),'2024DATA'!$L$9,"")</f>
        <v/>
      </c>
      <c r="CT126" s="518" t="str">
        <f>IF(AND(_F="A-330-200",'2024'!$G$4="CA",'2024'!$G$2=CT119),'2024DATA'!$M$9,"")</f>
        <v/>
      </c>
      <c r="CU126" s="520" t="str">
        <f>IF(AND(_F="A-330-200",'2024'!$G$4="CA",'2024'!$G$2=CU119),'2024DATA'!$N$9,"")</f>
        <v/>
      </c>
    </row>
    <row r="127" spans="16:99" x14ac:dyDescent="0.25">
      <c r="P127" s="940"/>
      <c r="Q127" s="13" t="s">
        <v>62</v>
      </c>
      <c r="R127" s="518" t="str">
        <f>IF(AND(_A="A-330-200",'2024'!$G$4="FO",'2024'!$G$2=R119),'2024DATA'!$C$10,"")</f>
        <v/>
      </c>
      <c r="S127" s="518" t="str">
        <f>IF(AND(_A="A-330-200",'2024'!$G$4="FO",'2024'!$G$2=S119),'2024DATA'!$D$10,"")</f>
        <v/>
      </c>
      <c r="T127" s="518" t="str">
        <f>IF(AND(_A="A-330-200",'2024'!$G$4="FO",'2024'!$G$2=T119),'2024DATA'!$E$10,"")</f>
        <v/>
      </c>
      <c r="U127" s="518" t="str">
        <f>IF(AND(_A="A-330-200",'2024'!$G$4="FO",'2024'!$G$2=U119),'2024DATA'!$F$10,"")</f>
        <v/>
      </c>
      <c r="V127" s="518" t="str">
        <f>IF(AND(_A="A-330-200",'2024'!$G$4="FO",'2024'!$G$2=V119),'2024DATA'!$G$10,"")</f>
        <v/>
      </c>
      <c r="W127" s="518" t="str">
        <f>IF(AND(_A="A-330-200",'2024'!$G$4="FO",'2024'!$G$2=W119),'2024DATA'!$H$10,"")</f>
        <v/>
      </c>
      <c r="X127" s="518" t="str">
        <f>IF(AND(_A="A-330-200",'2024'!$G$4="FO",'2024'!$G$2=X119),'2024DATA'!$I$10,"")</f>
        <v/>
      </c>
      <c r="Y127" s="518" t="str">
        <f>IF(AND(_A="A-330-200",'2024'!$G$4="FO",'2024'!$G$2=Y119),'2024DATA'!$J$10,"")</f>
        <v/>
      </c>
      <c r="Z127" s="518" t="str">
        <f>IF(AND(_A="A-330-200",'2024'!$G$4="FO",'2024'!$G$2=Z119),'2024DATA'!$K$10,"")</f>
        <v/>
      </c>
      <c r="AA127" s="518" t="str">
        <f>IF(AND(_A="A-330-200",'2024'!$G$4="FO",'2024'!$G$2=AA119),'2024DATA'!$L$10,"")</f>
        <v/>
      </c>
      <c r="AB127" s="518" t="str">
        <f>IF(AND(_A="A-330-200",'2024'!$G$4="FO",'2024'!$G$2=AB119),'2024DATA'!$M$10,"")</f>
        <v/>
      </c>
      <c r="AC127" s="520" t="str">
        <f>IF(AND(_A="A-330-200",'2024'!$G$4="FO",'2024'!$G$2=AC119),'2024DATA'!$N$10,"")</f>
        <v/>
      </c>
      <c r="AD127" s="940"/>
      <c r="AE127" s="13" t="s">
        <v>62</v>
      </c>
      <c r="AF127" s="518" t="str">
        <f>IF(AND(_B="A-330-200",'2024'!$G$4="FO",'2024'!$G$2=AF119),'2024DATA'!$C$10,"")</f>
        <v/>
      </c>
      <c r="AG127" s="518" t="str">
        <f>IF(AND(_B="A-330-200",'2024'!$G$4="FO",'2024'!$G$2=AG119),'2024DATA'!$D$10,"")</f>
        <v/>
      </c>
      <c r="AH127" s="518" t="str">
        <f>IF(AND(_B="A-330-200",'2024'!$G$4="FO",'2024'!$G$2=AH119),'2024DATA'!$E$10,"")</f>
        <v/>
      </c>
      <c r="AI127" s="518" t="str">
        <f>IF(AND(_B="A-330-200",'2024'!$G$4="FO",'2024'!$G$2=AI119),'2024DATA'!$F$10,"")</f>
        <v/>
      </c>
      <c r="AJ127" s="518" t="str">
        <f>IF(AND(_B="A-330-200",'2024'!$G$4="FO",'2024'!$G$2=AJ119),'2024DATA'!$G$10,"")</f>
        <v/>
      </c>
      <c r="AK127" s="518" t="str">
        <f>IF(AND(_B="A-330-200",'2024'!$G$4="FO",'2024'!$G$2=AK119),'2024DATA'!$H$10,"")</f>
        <v/>
      </c>
      <c r="AL127" s="518" t="str">
        <f>IF(AND(_B="A-330-200",'2024'!$G$4="FO",'2024'!$G$2=AL119),'2024DATA'!$I$10,"")</f>
        <v/>
      </c>
      <c r="AM127" s="518" t="str">
        <f>IF(AND(_B="A-330-200",'2024'!$G$4="FO",'2024'!$G$2=AM119),'2024DATA'!$J$10,"")</f>
        <v/>
      </c>
      <c r="AN127" s="518" t="str">
        <f>IF(AND(_B="A-330-200",'2024'!$G$4="FO",'2024'!$G$2=AN119),'2024DATA'!$K$10,"")</f>
        <v/>
      </c>
      <c r="AO127" s="518" t="str">
        <f>IF(AND(_B="A-330-200",'2024'!$G$4="FO",'2024'!$G$2=AO119),'2024DATA'!$L$10,"")</f>
        <v/>
      </c>
      <c r="AP127" s="518" t="str">
        <f>IF(AND(_B="A-330-200",'2024'!$G$4="FO",'2024'!$G$2=AP119),'2024DATA'!$M$10,"")</f>
        <v/>
      </c>
      <c r="AQ127" s="520" t="str">
        <f>IF(AND(_B="A-330-200",'2024'!$G$4="FO",'2024'!$G$2=AQ119),'2024DATA'!$N$10,"")</f>
        <v/>
      </c>
      <c r="AR127" s="940"/>
      <c r="AS127" s="13" t="s">
        <v>62</v>
      </c>
      <c r="AT127" s="518" t="str">
        <f>IF(AND(_C="A-330-200",'2024'!$G$4="FO",'2024'!$G$2=AT119),'2024DATA'!$C$10,"")</f>
        <v/>
      </c>
      <c r="AU127" s="518" t="str">
        <f>IF(AND(_C="A-330-200",'2024'!$G$4="FO",'2024'!$G$2=AU119),'2024DATA'!$D$10,"")</f>
        <v/>
      </c>
      <c r="AV127" s="518" t="str">
        <f>IF(AND(_C="A-330-200",'2024'!$G$4="FO",'2024'!$G$2=AV119),'2024DATA'!$E$10,"")</f>
        <v/>
      </c>
      <c r="AW127" s="518" t="str">
        <f>IF(AND(_C="A-330-200",'2024'!$G$4="FO",'2024'!$G$2=AW119),'2024DATA'!$F$10,"")</f>
        <v/>
      </c>
      <c r="AX127" s="518" t="str">
        <f>IF(AND(_C="A-330-200",'2024'!$G$4="FO",'2024'!$G$2=AX119),'2024DATA'!$G$10,"")</f>
        <v/>
      </c>
      <c r="AY127" s="518" t="str">
        <f>IF(AND(_C="A-330-200",'2024'!$G$4="FO",'2024'!$G$2=AY119),'2024DATA'!$H$10,"")</f>
        <v/>
      </c>
      <c r="AZ127" s="518" t="str">
        <f>IF(AND(_C="A-330-200",'2024'!$G$4="FO",'2024'!$G$2=AZ119),'2024DATA'!$I$10,"")</f>
        <v/>
      </c>
      <c r="BA127" s="518" t="str">
        <f>IF(AND(_C="A-330-200",'2024'!$G$4="FO",'2024'!$G$2=BA119),'2024DATA'!$J$10,"")</f>
        <v/>
      </c>
      <c r="BB127" s="518" t="str">
        <f>IF(AND(_C="A-330-200",'2024'!$G$4="FO",'2024'!$G$2=BB119),'2024DATA'!$K$10,"")</f>
        <v/>
      </c>
      <c r="BC127" s="518" t="str">
        <f>IF(AND(_C="A-330-200",'2024'!$G$4="FO",'2024'!$G$2=BC119),'2024DATA'!$L$10,"")</f>
        <v/>
      </c>
      <c r="BD127" s="518" t="str">
        <f>IF(AND(_C="A-330-200",'2024'!$G$4="FO",'2024'!$G$2=BD119),'2024DATA'!$M$10,"")</f>
        <v/>
      </c>
      <c r="BE127" s="520" t="str">
        <f>IF(AND(_C="A-330-200",'2024'!$G$4="FO",'2024'!$G$2=BE119),'2024DATA'!$N$10,"")</f>
        <v/>
      </c>
      <c r="BF127" s="940"/>
      <c r="BG127" s="13" t="s">
        <v>62</v>
      </c>
      <c r="BH127" s="518" t="str">
        <f>IF(AND(_D="A-330-200",'2024'!$G$4="FO",'2024'!$G$2=BH119),'2024DATA'!$C$10,"")</f>
        <v/>
      </c>
      <c r="BI127" s="518" t="str">
        <f>IF(AND(_D="A-330-200",'2024'!$G$4="FO",'2024'!$G$2=BI119),'2024DATA'!$D$10,"")</f>
        <v/>
      </c>
      <c r="BJ127" s="518" t="str">
        <f>IF(AND(_D="A-330-200",'2024'!$G$4="FO",'2024'!$G$2=BJ119),'2024DATA'!$E$10,"")</f>
        <v/>
      </c>
      <c r="BK127" s="518" t="str">
        <f>IF(AND(_D="A-330-200",'2024'!$G$4="FO",'2024'!$G$2=BK119),'2024DATA'!$F$10,"")</f>
        <v/>
      </c>
      <c r="BL127" s="518" t="str">
        <f>IF(AND(_D="A-330-200",'2024'!$G$4="FO",'2024'!$G$2=BL119),'2024DATA'!$G$10,"")</f>
        <v/>
      </c>
      <c r="BM127" s="518" t="str">
        <f>IF(AND(_D="A-330-200",'2024'!$G$4="FO",'2024'!$G$2=BM119),'2024DATA'!$H$10,"")</f>
        <v/>
      </c>
      <c r="BN127" s="518" t="str">
        <f>IF(AND(_D="A-330-200",'2024'!$G$4="FO",'2024'!$G$2=BN119),'2024DATA'!$I$10,"")</f>
        <v/>
      </c>
      <c r="BO127" s="518" t="str">
        <f>IF(AND(_D="A-330-200",'2024'!$G$4="FO",'2024'!$G$2=BO119),'2024DATA'!$J$10,"")</f>
        <v/>
      </c>
      <c r="BP127" s="518" t="str">
        <f>IF(AND(_D="A-330-200",'2024'!$G$4="FO",'2024'!$G$2=BP119),'2024DATA'!$K$10,"")</f>
        <v/>
      </c>
      <c r="BQ127" s="518" t="str">
        <f>IF(AND(_D="A-330-200",'2024'!$G$4="FO",'2024'!$G$2=BQ119),'2024DATA'!$L$10,"")</f>
        <v/>
      </c>
      <c r="BR127" s="518" t="str">
        <f>IF(AND(_D="A-330-200",'2024'!$G$4="FO",'2024'!$G$2=BR119),'2024DATA'!$M$10,"")</f>
        <v/>
      </c>
      <c r="BS127" s="520" t="str">
        <f>IF(AND(_D="A-330-200",'2024'!$G$4="FO",'2024'!$G$2=BS119),'2024DATA'!$N$10,"")</f>
        <v/>
      </c>
      <c r="BT127" s="940"/>
      <c r="BU127" s="13" t="s">
        <v>62</v>
      </c>
      <c r="BV127" s="518" t="str">
        <f>IF(AND(_E="A-330-200",'2024'!$G$4="FO",'2024'!$G$2=BV119),'2024DATA'!$C$10,"")</f>
        <v/>
      </c>
      <c r="BW127" s="518" t="str">
        <f>IF(AND(_E="A-330-200",'2024'!$G$4="FO",'2024'!$G$2=BW119),'2024DATA'!$D$10,"")</f>
        <v/>
      </c>
      <c r="BX127" s="518" t="str">
        <f>IF(AND(_E="A-330-200",'2024'!$G$4="FO",'2024'!$G$2=BX119),'2024DATA'!$E$10,"")</f>
        <v/>
      </c>
      <c r="BY127" s="518" t="str">
        <f>IF(AND(_E="A-330-200",'2024'!$G$4="FO",'2024'!$G$2=BY119),'2024DATA'!$F$10,"")</f>
        <v/>
      </c>
      <c r="BZ127" s="518" t="str">
        <f>IF(AND(_E="A-330-200",'2024'!$G$4="FO",'2024'!$G$2=BZ119),'2024DATA'!$G$10,"")</f>
        <v/>
      </c>
      <c r="CA127" s="518" t="str">
        <f>IF(AND(_E="A-330-200",'2024'!$G$4="FO",'2024'!$G$2=CA119),'2024DATA'!$H$10,"")</f>
        <v/>
      </c>
      <c r="CB127" s="518" t="str">
        <f>IF(AND(_E="A-330-200",'2024'!$G$4="FO",'2024'!$G$2=CB119),'2024DATA'!$I$10,"")</f>
        <v/>
      </c>
      <c r="CC127" s="518" t="str">
        <f>IF(AND(_E="A-330-200",'2024'!$G$4="FO",'2024'!$G$2=CC119),'2024DATA'!$J$10,"")</f>
        <v/>
      </c>
      <c r="CD127" s="518" t="str">
        <f>IF(AND(_E="A-330-200",'2024'!$G$4="FO",'2024'!$G$2=CD119),'2024DATA'!$K$10,"")</f>
        <v/>
      </c>
      <c r="CE127" s="518" t="str">
        <f>IF(AND(_E="A-330-200",'2024'!$G$4="FO",'2024'!$G$2=CE119),'2024DATA'!$L$10,"")</f>
        <v/>
      </c>
      <c r="CF127" s="518" t="str">
        <f>IF(AND(_E="A-330-200",'2024'!$G$4="FO",'2024'!$G$2=CF119),'2024DATA'!$M$10,"")</f>
        <v/>
      </c>
      <c r="CG127" s="520" t="str">
        <f>IF(AND(_E="A-330-200",'2024'!$G$4="FO",'2024'!$G$2=CG119),'2024DATA'!$N$10,"")</f>
        <v/>
      </c>
      <c r="CH127" s="940"/>
      <c r="CI127" s="13" t="s">
        <v>62</v>
      </c>
      <c r="CJ127" s="518" t="str">
        <f>IF(AND(_F="A-330-200",'2024'!$G$4="FO",'2024'!$G$2=CJ119),'2024DATA'!$C$10,"")</f>
        <v/>
      </c>
      <c r="CK127" s="518" t="str">
        <f>IF(AND(_F="A-330-200",'2024'!$G$4="FO",'2024'!$G$2=CK119),'2024DATA'!$D$10,"")</f>
        <v/>
      </c>
      <c r="CL127" s="518" t="str">
        <f>IF(AND(_F="A-330-200",'2024'!$G$4="FO",'2024'!$G$2=CL119),'2024DATA'!$E$10,"")</f>
        <v/>
      </c>
      <c r="CM127" s="518" t="str">
        <f>IF(AND(_F="A-330-200",'2024'!$G$4="FO",'2024'!$G$2=CM119),'2024DATA'!$F$10,"")</f>
        <v/>
      </c>
      <c r="CN127" s="518" t="str">
        <f>IF(AND(_F="A-330-200",'2024'!$G$4="FO",'2024'!$G$2=CN119),'2024DATA'!$G$10,"")</f>
        <v/>
      </c>
      <c r="CO127" s="518" t="str">
        <f>IF(AND(_F="A-330-200",'2024'!$G$4="FO",'2024'!$G$2=CO119),'2024DATA'!$H$10,"")</f>
        <v/>
      </c>
      <c r="CP127" s="518" t="str">
        <f>IF(AND(_F="A-330-200",'2024'!$G$4="FO",'2024'!$G$2=CP119),'2024DATA'!$I$10,"")</f>
        <v/>
      </c>
      <c r="CQ127" s="518" t="str">
        <f>IF(AND(_F="A-330-200",'2024'!$G$4="FO",'2024'!$G$2=CQ119),'2024DATA'!$J$10,"")</f>
        <v/>
      </c>
      <c r="CR127" s="518" t="str">
        <f>IF(AND(_F="A-330-200",'2024'!$G$4="FO",'2024'!$G$2=CR119),'2024DATA'!$K$10,"")</f>
        <v/>
      </c>
      <c r="CS127" s="518" t="str">
        <f>IF(AND(_F="A-330-200",'2024'!$G$4="FO",'2024'!$G$2=CS119),'2024DATA'!$L$10,"")</f>
        <v/>
      </c>
      <c r="CT127" s="518" t="str">
        <f>IF(AND(_F="A-330-200",'2024'!$G$4="FO",'2024'!$G$2=CT119),'2024DATA'!$M$10,"")</f>
        <v/>
      </c>
      <c r="CU127" s="520" t="str">
        <f>IF(AND(_F="A-330-200",'2024'!$G$4="FO",'2024'!$G$2=CU119),'2024DATA'!$N$10,"")</f>
        <v/>
      </c>
    </row>
    <row r="128" spans="16:99" x14ac:dyDescent="0.25">
      <c r="P128" s="940" t="s">
        <v>42</v>
      </c>
      <c r="Q128" s="13" t="s">
        <v>61</v>
      </c>
      <c r="R128" s="518" t="str">
        <f>IF(AND(_A="B-767-400ER",'2024'!$G$4="CA",'2024'!$G$2=R119),'2024DATA'!$C$11,"")</f>
        <v/>
      </c>
      <c r="S128" s="518" t="str">
        <f>IF(AND(_A="B-767-400ER",'2024'!$G$4="CA",'2024'!$G$2=S119),'2024DATA'!$D$11,"")</f>
        <v/>
      </c>
      <c r="T128" s="518" t="str">
        <f>IF(AND(_A="B-767-400ER",'2024'!$G$4="CA",'2024'!$G$2=T119),'2024DATA'!$E$11,"")</f>
        <v/>
      </c>
      <c r="U128" s="518" t="str">
        <f>IF(AND(_A="B-767-400ER",'2024'!$G$4="CA",'2024'!$G$2=U119),'2024DATA'!$F$11,"")</f>
        <v/>
      </c>
      <c r="V128" s="518" t="str">
        <f>IF(AND(_A="B-767-400ER",'2024'!$G$4="CA",'2024'!$G$2=V119),'2024DATA'!$G$11,"")</f>
        <v/>
      </c>
      <c r="W128" s="518" t="str">
        <f>IF(AND(_A="B-767-400ER",'2024'!$G$4="CA",'2024'!$G$2=W119),'2024DATA'!$H$11,"")</f>
        <v/>
      </c>
      <c r="X128" s="518" t="str">
        <f>IF(AND(_A="B-767-400ER",'2024'!$G$4="CA",'2024'!$G$2=X119),'2024DATA'!$I$11,"")</f>
        <v/>
      </c>
      <c r="Y128" s="518" t="str">
        <f>IF(AND(_A="B-767-400ER",'2024'!$G$4="CA",'2024'!$G$2=Y119),'2024DATA'!$J$11,"")</f>
        <v/>
      </c>
      <c r="Z128" s="518" t="str">
        <f>IF(AND(_A="B-767-400ER",'2024'!$G$4="CA",'2024'!$G$2=Z119),'2024DATA'!$K$11,"")</f>
        <v/>
      </c>
      <c r="AA128" s="518" t="str">
        <f>IF(AND(_A="B-767-400ER",'2024'!$G$4="CA",'2024'!$G$2=AA119),'2024DATA'!$L$11,"")</f>
        <v/>
      </c>
      <c r="AB128" s="518" t="str">
        <f>IF(AND(_A="B-767-400ER",'2024'!$G$4="CA",'2024'!$G$2=AB119),'2024DATA'!$M$11,"")</f>
        <v/>
      </c>
      <c r="AC128" s="520" t="str">
        <f>IF(AND(_A="B-767-400ER",'2024'!$G$4="CA",'2024'!$G$2=AC119),'2024DATA'!$N$11,"")</f>
        <v/>
      </c>
      <c r="AD128" s="940" t="s">
        <v>42</v>
      </c>
      <c r="AE128" s="13" t="s">
        <v>61</v>
      </c>
      <c r="AF128" s="518" t="str">
        <f>IF(AND(_B="B-767-400ER",'2024'!$G$4="CA",'2024'!$G$2=AF119),'2024DATA'!$C$11,"")</f>
        <v/>
      </c>
      <c r="AG128" s="518" t="str">
        <f>IF(AND(_B="B-767-400ER",'2024'!$G$4="CA",'2024'!$G$2=AG119),'2024DATA'!$D$11,"")</f>
        <v/>
      </c>
      <c r="AH128" s="518" t="str">
        <f>IF(AND(_B="B-767-400ER",'2024'!$G$4="CA",'2024'!$G$2=AH119),'2024DATA'!$E$11,"")</f>
        <v/>
      </c>
      <c r="AI128" s="518" t="str">
        <f>IF(AND(_B="B-767-400ER",'2024'!$G$4="CA",'2024'!$G$2=AI119),'2024DATA'!$F$11,"")</f>
        <v/>
      </c>
      <c r="AJ128" s="518" t="str">
        <f>IF(AND(_B="B-767-400ER",'2024'!$G$4="CA",'2024'!$G$2=AJ119),'2024DATA'!$G$11,"")</f>
        <v/>
      </c>
      <c r="AK128" s="518" t="str">
        <f>IF(AND(_B="B-767-400ER",'2024'!$G$4="CA",'2024'!$G$2=AK119),'2024DATA'!$H$11,"")</f>
        <v/>
      </c>
      <c r="AL128" s="518" t="str">
        <f>IF(AND(_B="B-767-400ER",'2024'!$G$4="CA",'2024'!$G$2=AL119),'2024DATA'!$I$11,"")</f>
        <v/>
      </c>
      <c r="AM128" s="518" t="str">
        <f>IF(AND(_B="B-767-400ER",'2024'!$G$4="CA",'2024'!$G$2=AM119),'2024DATA'!$J$11,"")</f>
        <v/>
      </c>
      <c r="AN128" s="518" t="str">
        <f>IF(AND(_B="B-767-400ER",'2024'!$G$4="CA",'2024'!$G$2=AN119),'2024DATA'!$K$11,"")</f>
        <v/>
      </c>
      <c r="AO128" s="518" t="str">
        <f>IF(AND(_B="B-767-400ER",'2024'!$G$4="CA",'2024'!$G$2=AO119),'2024DATA'!$L$11,"")</f>
        <v/>
      </c>
      <c r="AP128" s="518" t="str">
        <f>IF(AND(_B="B-767-400ER",'2024'!$G$4="CA",'2024'!$G$2=AP119),'2024DATA'!$M$11,"")</f>
        <v/>
      </c>
      <c r="AQ128" s="520" t="str">
        <f>IF(AND(_B="B-767-400ER",'2024'!$G$4="CA",'2024'!$G$2=AQ119),'2024DATA'!$N$11,"")</f>
        <v/>
      </c>
      <c r="AR128" s="940" t="s">
        <v>42</v>
      </c>
      <c r="AS128" s="13" t="s">
        <v>61</v>
      </c>
      <c r="AT128" s="518" t="str">
        <f>IF(AND(_C="B-767-400ER",'2024'!$G$4="CA",'2024'!$G$2=AT119),'2024DATA'!$C$11,"")</f>
        <v/>
      </c>
      <c r="AU128" s="518" t="str">
        <f>IF(AND(_C="B-767-400ER",'2024'!$G$4="CA",'2024'!$G$2=AU119),'2024DATA'!$D$11,"")</f>
        <v/>
      </c>
      <c r="AV128" s="518" t="str">
        <f>IF(AND(_C="B-767-400ER",'2024'!$G$4="CA",'2024'!$G$2=AV119),'2024DATA'!$E$11,"")</f>
        <v/>
      </c>
      <c r="AW128" s="518" t="str">
        <f>IF(AND(_C="B-767-400ER",'2024'!$G$4="CA",'2024'!$G$2=AW119),'2024DATA'!$F$11,"")</f>
        <v/>
      </c>
      <c r="AX128" s="518" t="str">
        <f>IF(AND(_C="B-767-400ER",'2024'!$G$4="CA",'2024'!$G$2=AX119),'2024DATA'!$G$11,"")</f>
        <v/>
      </c>
      <c r="AY128" s="518" t="str">
        <f>IF(AND(_C="B-767-400ER",'2024'!$G$4="CA",'2024'!$G$2=AY119),'2024DATA'!$H$11,"")</f>
        <v/>
      </c>
      <c r="AZ128" s="518" t="str">
        <f>IF(AND(_C="B-767-400ER",'2024'!$G$4="CA",'2024'!$G$2=AZ119),'2024DATA'!$I$11,"")</f>
        <v/>
      </c>
      <c r="BA128" s="518" t="str">
        <f>IF(AND(_C="B-767-400ER",'2024'!$G$4="CA",'2024'!$G$2=BA119),'2024DATA'!$J$11,"")</f>
        <v/>
      </c>
      <c r="BB128" s="518" t="str">
        <f>IF(AND(_C="B-767-400ER",'2024'!$G$4="CA",'2024'!$G$2=BB119),'2024DATA'!$K$11,"")</f>
        <v/>
      </c>
      <c r="BC128" s="518" t="str">
        <f>IF(AND(_C="B-767-400ER",'2024'!$G$4="CA",'2024'!$G$2=BC119),'2024DATA'!$L$11,"")</f>
        <v/>
      </c>
      <c r="BD128" s="518" t="str">
        <f>IF(AND(_C="B-767-400ER",'2024'!$G$4="CA",'2024'!$G$2=BD119),'2024DATA'!$M$11,"")</f>
        <v/>
      </c>
      <c r="BE128" s="520" t="str">
        <f>IF(AND(_C="B-767-400ER",'2024'!$G$4="CA",'2024'!$G$2=BE119),'2024DATA'!$N$11,"")</f>
        <v/>
      </c>
      <c r="BF128" s="940" t="s">
        <v>42</v>
      </c>
      <c r="BG128" s="13" t="s">
        <v>61</v>
      </c>
      <c r="BH128" s="518" t="str">
        <f>IF(AND(_D="B-767-400ER",'2024'!$G$4="CA",'2024'!$G$2=BH119),'2024DATA'!$C$11,"")</f>
        <v/>
      </c>
      <c r="BI128" s="518" t="str">
        <f>IF(AND(_D="B-767-400ER",'2024'!$G$4="CA",'2024'!$G$2=BI119),'2024DATA'!$D$11,"")</f>
        <v/>
      </c>
      <c r="BJ128" s="518" t="str">
        <f>IF(AND(_D="B-767-400ER",'2024'!$G$4="CA",'2024'!$G$2=BJ119),'2024DATA'!$E$11,"")</f>
        <v/>
      </c>
      <c r="BK128" s="518" t="str">
        <f>IF(AND(_D="B-767-400ER",'2024'!$G$4="CA",'2024'!$G$2=BK119),'2024DATA'!$F$11,"")</f>
        <v/>
      </c>
      <c r="BL128" s="518" t="str">
        <f>IF(AND(_D="B-767-400ER",'2024'!$G$4="CA",'2024'!$G$2=BL119),'2024DATA'!$G$11,"")</f>
        <v/>
      </c>
      <c r="BM128" s="518" t="str">
        <f>IF(AND(_D="B-767-400ER",'2024'!$G$4="CA",'2024'!$G$2=BM119),'2024DATA'!$H$11,"")</f>
        <v/>
      </c>
      <c r="BN128" s="518" t="str">
        <f>IF(AND(_D="B-767-400ER",'2024'!$G$4="CA",'2024'!$G$2=BN119),'2024DATA'!$I$11,"")</f>
        <v/>
      </c>
      <c r="BO128" s="518" t="str">
        <f>IF(AND(_D="B-767-400ER",'2024'!$G$4="CA",'2024'!$G$2=BO119),'2024DATA'!$J$11,"")</f>
        <v/>
      </c>
      <c r="BP128" s="518" t="str">
        <f>IF(AND(_D="B-767-400ER",'2024'!$G$4="CA",'2024'!$G$2=BP119),'2024DATA'!$K$11,"")</f>
        <v/>
      </c>
      <c r="BQ128" s="518" t="str">
        <f>IF(AND(_D="B-767-400ER",'2024'!$G$4="CA",'2024'!$G$2=BQ119),'2024DATA'!$L$11,"")</f>
        <v/>
      </c>
      <c r="BR128" s="518" t="str">
        <f>IF(AND(_D="B-767-400ER",'2024'!$G$4="CA",'2024'!$G$2=BR119),'2024DATA'!$M$11,"")</f>
        <v/>
      </c>
      <c r="BS128" s="520" t="str">
        <f>IF(AND(_D="B-767-400ER",'2024'!$G$4="CA",'2024'!$G$2=BS119),'2024DATA'!$N$11,"")</f>
        <v/>
      </c>
      <c r="BT128" s="940" t="s">
        <v>42</v>
      </c>
      <c r="BU128" s="13" t="s">
        <v>61</v>
      </c>
      <c r="BV128" s="518" t="str">
        <f>IF(AND(_E="B-767-400ER",'2024'!$G$4="CA",'2024'!$G$2=BV119),'2024DATA'!$C$11,"")</f>
        <v/>
      </c>
      <c r="BW128" s="518" t="str">
        <f>IF(AND(_E="B-767-400ER",'2024'!$G$4="CA",'2024'!$G$2=BW119),'2024DATA'!$D$11,"")</f>
        <v/>
      </c>
      <c r="BX128" s="518" t="str">
        <f>IF(AND(_E="B-767-400ER",'2024'!$G$4="CA",'2024'!$G$2=BX119),'2024DATA'!$E$11,"")</f>
        <v/>
      </c>
      <c r="BY128" s="518" t="str">
        <f>IF(AND(_E="B-767-400ER",'2024'!$G$4="CA",'2024'!$G$2=BY119),'2024DATA'!$F$11,"")</f>
        <v/>
      </c>
      <c r="BZ128" s="518" t="str">
        <f>IF(AND(_E="B-767-400ER",'2024'!$G$4="CA",'2024'!$G$2=BZ119),'2024DATA'!$G$11,"")</f>
        <v/>
      </c>
      <c r="CA128" s="518" t="str">
        <f>IF(AND(_E="B-767-400ER",'2024'!$G$4="CA",'2024'!$G$2=CA119),'2024DATA'!$H$11,"")</f>
        <v/>
      </c>
      <c r="CB128" s="518" t="str">
        <f>IF(AND(_E="B-767-400ER",'2024'!$G$4="CA",'2024'!$G$2=CB119),'2024DATA'!$I$11,"")</f>
        <v/>
      </c>
      <c r="CC128" s="518" t="str">
        <f>IF(AND(_E="B-767-400ER",'2024'!$G$4="CA",'2024'!$G$2=CC119),'2024DATA'!$J$11,"")</f>
        <v/>
      </c>
      <c r="CD128" s="518" t="str">
        <f>IF(AND(_E="B-767-400ER",'2024'!$G$4="CA",'2024'!$G$2=CD119),'2024DATA'!$K$11,"")</f>
        <v/>
      </c>
      <c r="CE128" s="518" t="str">
        <f>IF(AND(_E="B-767-400ER",'2024'!$G$4="CA",'2024'!$G$2=CE119),'2024DATA'!$L$11,"")</f>
        <v/>
      </c>
      <c r="CF128" s="518" t="str">
        <f>IF(AND(_E="B-767-400ER",'2024'!$G$4="CA",'2024'!$G$2=CF119),'2024DATA'!$M$11,"")</f>
        <v/>
      </c>
      <c r="CG128" s="520" t="str">
        <f>IF(AND(_E="B-767-400ER",'2024'!$G$4="CA",'2024'!$G$2=CG119),'2024DATA'!$N$11,"")</f>
        <v/>
      </c>
      <c r="CH128" s="940" t="s">
        <v>42</v>
      </c>
      <c r="CI128" s="13" t="s">
        <v>61</v>
      </c>
      <c r="CJ128" s="518" t="str">
        <f>IF(AND(_F="B-767-400ER",'2024'!$G$4="CA",'2024'!$G$2=CJ119),'2024DATA'!$C$11,"")</f>
        <v/>
      </c>
      <c r="CK128" s="518" t="str">
        <f>IF(AND(_F="B-767-400ER",'2024'!$G$4="CA",'2024'!$G$2=CK119),'2024DATA'!$D$11,"")</f>
        <v/>
      </c>
      <c r="CL128" s="518" t="str">
        <f>IF(AND(_F="B-767-400ER",'2024'!$G$4="CA",'2024'!$G$2=CL119),'2024DATA'!$E$11,"")</f>
        <v/>
      </c>
      <c r="CM128" s="518" t="str">
        <f>IF(AND(_F="B-767-400ER",'2024'!$G$4="CA",'2024'!$G$2=CM119),'2024DATA'!$F$11,"")</f>
        <v/>
      </c>
      <c r="CN128" s="518" t="str">
        <f>IF(AND(_F="B-767-400ER",'2024'!$G$4="CA",'2024'!$G$2=CN119),'2024DATA'!$G$11,"")</f>
        <v/>
      </c>
      <c r="CO128" s="518" t="str">
        <f>IF(AND(_F="B-767-400ER",'2024'!$G$4="CA",'2024'!$G$2=CO119),'2024DATA'!$H$11,"")</f>
        <v/>
      </c>
      <c r="CP128" s="518" t="str">
        <f>IF(AND(_F="B-767-400ER",'2024'!$G$4="CA",'2024'!$G$2=CP119),'2024DATA'!$I$11,"")</f>
        <v/>
      </c>
      <c r="CQ128" s="518" t="str">
        <f>IF(AND(_F="B-767-400ER",'2024'!$G$4="CA",'2024'!$G$2=CQ119),'2024DATA'!$J$11,"")</f>
        <v/>
      </c>
      <c r="CR128" s="518" t="str">
        <f>IF(AND(_F="B-767-400ER",'2024'!$G$4="CA",'2024'!$G$2=CR119),'2024DATA'!$K$11,"")</f>
        <v/>
      </c>
      <c r="CS128" s="518" t="str">
        <f>IF(AND(_F="B-767-400ER",'2024'!$G$4="CA",'2024'!$G$2=CS119),'2024DATA'!$L$11,"")</f>
        <v/>
      </c>
      <c r="CT128" s="518" t="str">
        <f>IF(AND(_F="B-767-400ER",'2024'!$G$4="CA",'2024'!$G$2=CT119),'2024DATA'!$M$11,"")</f>
        <v/>
      </c>
      <c r="CU128" s="520" t="str">
        <f>IF(AND(_F="B-767-400ER",'2024'!$G$4="CA",'2024'!$G$2=CU119),'2024DATA'!$N$11,"")</f>
        <v/>
      </c>
    </row>
    <row r="129" spans="16:99" x14ac:dyDescent="0.25">
      <c r="P129" s="940"/>
      <c r="Q129" s="13" t="s">
        <v>62</v>
      </c>
      <c r="R129" s="518" t="str">
        <f>IF(AND(_A="B-767-400ER",'2024'!$G$4="FO",'2024'!$G$2=R119),'2024DATA'!$C$12,"")</f>
        <v/>
      </c>
      <c r="S129" s="518" t="str">
        <f>IF(AND(_A="B-767-400ER",'2024'!$G$4="FO",'2024'!$G$2=S119),'2024DATA'!$D$12,"")</f>
        <v/>
      </c>
      <c r="T129" s="518" t="str">
        <f>IF(AND(_A="B-767-400ER",'2024'!$G$4="FO",'2024'!$G$2=T119),'2024DATA'!$E$12,"")</f>
        <v/>
      </c>
      <c r="U129" s="518" t="str">
        <f>IF(AND(_A="B-767-400ER",'2024'!$G$4="FO",'2024'!$G$2=U119),'2024DATA'!$F$12,"")</f>
        <v/>
      </c>
      <c r="V129" s="518" t="str">
        <f>IF(AND(_A="B-767-400ER",'2024'!$G$4="FO",'2024'!$G$2=V119),'2024DATA'!$G$12,"")</f>
        <v/>
      </c>
      <c r="W129" s="518" t="str">
        <f>IF(AND(_A="B-767-400ER",'2024'!$G$4="FO",'2024'!$G$2=W119),'2024DATA'!$H$12,"")</f>
        <v/>
      </c>
      <c r="X129" s="518" t="str">
        <f>IF(AND(_A="B-767-400ER",'2024'!$G$4="FO",'2024'!$G$2=X119),'2024DATA'!$I$12,"")</f>
        <v/>
      </c>
      <c r="Y129" s="518" t="str">
        <f>IF(AND(_A="B-767-400ER",'2024'!$G$4="FO",'2024'!$G$2=Y119),'2024DATA'!$J$12,"")</f>
        <v/>
      </c>
      <c r="Z129" s="518" t="str">
        <f>IF(AND(_A="B-767-400ER",'2024'!$G$4="FO",'2024'!$G$2=Z119),'2024DATA'!$K$12,"")</f>
        <v/>
      </c>
      <c r="AA129" s="518" t="str">
        <f>IF(AND(_A="B-767-400ER",'2024'!$G$4="FO",'2024'!$G$2=AA119),'2024DATA'!$L$12,"")</f>
        <v/>
      </c>
      <c r="AB129" s="518" t="str">
        <f>IF(AND(_A="B-767-400ER",'2024'!$G$4="FO",'2024'!$G$2=AB119),'2024DATA'!$M$12,"")</f>
        <v/>
      </c>
      <c r="AC129" s="520" t="str">
        <f>IF(AND(_A="B-767-400ER",'2024'!$G$4="FO",'2024'!$G$2=AC119),'2024DATA'!$N$12,"")</f>
        <v/>
      </c>
      <c r="AD129" s="940"/>
      <c r="AE129" s="13" t="s">
        <v>62</v>
      </c>
      <c r="AF129" s="518" t="str">
        <f>IF(AND(_B="B-767-400ER",'2024'!$G$4="FO",'2024'!$G$2=AF119),'2024DATA'!$C$12,"")</f>
        <v/>
      </c>
      <c r="AG129" s="518" t="str">
        <f>IF(AND(_B="B-767-400ER",'2024'!$G$4="FO",'2024'!$G$2=AG119),'2024DATA'!$D$12,"")</f>
        <v/>
      </c>
      <c r="AH129" s="518" t="str">
        <f>IF(AND(_B="B-767-400ER",'2024'!$G$4="FO",'2024'!$G$2=AH119),'2024DATA'!$E$12,"")</f>
        <v/>
      </c>
      <c r="AI129" s="518" t="str">
        <f>IF(AND(_B="B-767-400ER",'2024'!$G$4="FO",'2024'!$G$2=AI119),'2024DATA'!$F$12,"")</f>
        <v/>
      </c>
      <c r="AJ129" s="518" t="str">
        <f>IF(AND(_B="B-767-400ER",'2024'!$G$4="FO",'2024'!$G$2=AJ119),'2024DATA'!$G$12,"")</f>
        <v/>
      </c>
      <c r="AK129" s="518" t="str">
        <f>IF(AND(_B="B-767-400ER",'2024'!$G$4="FO",'2024'!$G$2=AK119),'2024DATA'!$H$12,"")</f>
        <v/>
      </c>
      <c r="AL129" s="518" t="str">
        <f>IF(AND(_B="B-767-400ER",'2024'!$G$4="FO",'2024'!$G$2=AL119),'2024DATA'!$I$12,"")</f>
        <v/>
      </c>
      <c r="AM129" s="518" t="str">
        <f>IF(AND(_B="B-767-400ER",'2024'!$G$4="FO",'2024'!$G$2=AM119),'2024DATA'!$J$12,"")</f>
        <v/>
      </c>
      <c r="AN129" s="518" t="str">
        <f>IF(AND(_B="B-767-400ER",'2024'!$G$4="FO",'2024'!$G$2=AN119),'2024DATA'!$K$12,"")</f>
        <v/>
      </c>
      <c r="AO129" s="518" t="str">
        <f>IF(AND(_B="B-767-400ER",'2024'!$G$4="FO",'2024'!$G$2=AO119),'2024DATA'!$L$12,"")</f>
        <v/>
      </c>
      <c r="AP129" s="518" t="str">
        <f>IF(AND(_B="B-767-400ER",'2024'!$G$4="FO",'2024'!$G$2=AP119),'2024DATA'!$M$12,"")</f>
        <v/>
      </c>
      <c r="AQ129" s="520" t="str">
        <f>IF(AND(_B="B-767-400ER",'2024'!$G$4="FO",'2024'!$G$2=AQ119),'2024DATA'!$N$12,"")</f>
        <v/>
      </c>
      <c r="AR129" s="940"/>
      <c r="AS129" s="13" t="s">
        <v>62</v>
      </c>
      <c r="AT129" s="518" t="str">
        <f>IF(AND(_C="B-767-400ER",'2024'!$G$4="FO",'2024'!$G$2=AT119),'2024DATA'!$C$12,"")</f>
        <v/>
      </c>
      <c r="AU129" s="518" t="str">
        <f>IF(AND(_C="B-767-400ER",'2024'!$G$4="FO",'2024'!$G$2=AU119),'2024DATA'!$D$12,"")</f>
        <v/>
      </c>
      <c r="AV129" s="518" t="str">
        <f>IF(AND(_C="B-767-400ER",'2024'!$G$4="FO",'2024'!$G$2=AV119),'2024DATA'!$E$12,"")</f>
        <v/>
      </c>
      <c r="AW129" s="518" t="str">
        <f>IF(AND(_C="B-767-400ER",'2024'!$G$4="FO",'2024'!$G$2=AW119),'2024DATA'!$F$12,"")</f>
        <v/>
      </c>
      <c r="AX129" s="518" t="str">
        <f>IF(AND(_C="B-767-400ER",'2024'!$G$4="FO",'2024'!$G$2=AX119),'2024DATA'!$G$12,"")</f>
        <v/>
      </c>
      <c r="AY129" s="518" t="str">
        <f>IF(AND(_C="B-767-400ER",'2024'!$G$4="FO",'2024'!$G$2=AY119),'2024DATA'!$H$12,"")</f>
        <v/>
      </c>
      <c r="AZ129" s="518" t="str">
        <f>IF(AND(_C="B-767-400ER",'2024'!$G$4="FO",'2024'!$G$2=AZ119),'2024DATA'!$I$12,"")</f>
        <v/>
      </c>
      <c r="BA129" s="518" t="str">
        <f>IF(AND(_C="B-767-400ER",'2024'!$G$4="FO",'2024'!$G$2=BA119),'2024DATA'!$J$12,"")</f>
        <v/>
      </c>
      <c r="BB129" s="518" t="str">
        <f>IF(AND(_C="B-767-400ER",'2024'!$G$4="FO",'2024'!$G$2=BB119),'2024DATA'!$K$12,"")</f>
        <v/>
      </c>
      <c r="BC129" s="518" t="str">
        <f>IF(AND(_C="B-767-400ER",'2024'!$G$4="FO",'2024'!$G$2=BC119),'2024DATA'!$L$12,"")</f>
        <v/>
      </c>
      <c r="BD129" s="518" t="str">
        <f>IF(AND(_C="B-767-400ER",'2024'!$G$4="FO",'2024'!$G$2=BD119),'2024DATA'!$M$12,"")</f>
        <v/>
      </c>
      <c r="BE129" s="520" t="str">
        <f>IF(AND(_C="B-767-400ER",'2024'!$G$4="FO",'2024'!$G$2=BE119),'2024DATA'!$N$12,"")</f>
        <v/>
      </c>
      <c r="BF129" s="940"/>
      <c r="BG129" s="13" t="s">
        <v>62</v>
      </c>
      <c r="BH129" s="518" t="str">
        <f>IF(AND(_D="B-767-400ER",'2024'!$G$4="FO",'2024'!$G$2=BH119),'2024DATA'!$C$12,"")</f>
        <v/>
      </c>
      <c r="BI129" s="518" t="str">
        <f>IF(AND(_D="B-767-400ER",'2024'!$G$4="FO",'2024'!$G$2=BI119),'2024DATA'!$D$12,"")</f>
        <v/>
      </c>
      <c r="BJ129" s="518" t="str">
        <f>IF(AND(_D="B-767-400ER",'2024'!$G$4="FO",'2024'!$G$2=BJ119),'2024DATA'!$E$12,"")</f>
        <v/>
      </c>
      <c r="BK129" s="518" t="str">
        <f>IF(AND(_D="B-767-400ER",'2024'!$G$4="FO",'2024'!$G$2=BK119),'2024DATA'!$F$12,"")</f>
        <v/>
      </c>
      <c r="BL129" s="518" t="str">
        <f>IF(AND(_D="B-767-400ER",'2024'!$G$4="FO",'2024'!$G$2=BL119),'2024DATA'!$G$12,"")</f>
        <v/>
      </c>
      <c r="BM129" s="518" t="str">
        <f>IF(AND(_D="B-767-400ER",'2024'!$G$4="FO",'2024'!$G$2=BM119),'2024DATA'!$H$12,"")</f>
        <v/>
      </c>
      <c r="BN129" s="518" t="str">
        <f>IF(AND(_D="B-767-400ER",'2024'!$G$4="FO",'2024'!$G$2=BN119),'2024DATA'!$I$12,"")</f>
        <v/>
      </c>
      <c r="BO129" s="518" t="str">
        <f>IF(AND(_D="B-767-400ER",'2024'!$G$4="FO",'2024'!$G$2=BO119),'2024DATA'!$J$12,"")</f>
        <v/>
      </c>
      <c r="BP129" s="518" t="str">
        <f>IF(AND(_D="B-767-400ER",'2024'!$G$4="FO",'2024'!$G$2=BP119),'2024DATA'!$K$12,"")</f>
        <v/>
      </c>
      <c r="BQ129" s="518" t="str">
        <f>IF(AND(_D="B-767-400ER",'2024'!$G$4="FO",'2024'!$G$2=BQ119),'2024DATA'!$L$12,"")</f>
        <v/>
      </c>
      <c r="BR129" s="518" t="str">
        <f>IF(AND(_D="B-767-400ER",'2024'!$G$4="FO",'2024'!$G$2=BR119),'2024DATA'!$M$12,"")</f>
        <v/>
      </c>
      <c r="BS129" s="520" t="str">
        <f>IF(AND(_D="B-767-400ER",'2024'!$G$4="FO",'2024'!$G$2=BS119),'2024DATA'!$N$12,"")</f>
        <v/>
      </c>
      <c r="BT129" s="940"/>
      <c r="BU129" s="13" t="s">
        <v>62</v>
      </c>
      <c r="BV129" s="518" t="str">
        <f>IF(AND(_E="B-767-400ER",'2024'!$G$4="FO",'2024'!$G$2=BV119),'2024DATA'!$C$12,"")</f>
        <v/>
      </c>
      <c r="BW129" s="518" t="str">
        <f>IF(AND(_E="B-767-400ER",'2024'!$G$4="FO",'2024'!$G$2=BW119),'2024DATA'!$D$12,"")</f>
        <v/>
      </c>
      <c r="BX129" s="518" t="str">
        <f>IF(AND(_E="B-767-400ER",'2024'!$G$4="FO",'2024'!$G$2=BX119),'2024DATA'!$E$12,"")</f>
        <v/>
      </c>
      <c r="BY129" s="518" t="str">
        <f>IF(AND(_E="B-767-400ER",'2024'!$G$4="FO",'2024'!$G$2=BY119),'2024DATA'!$F$12,"")</f>
        <v/>
      </c>
      <c r="BZ129" s="518" t="str">
        <f>IF(AND(_E="B-767-400ER",'2024'!$G$4="FO",'2024'!$G$2=BZ119),'2024DATA'!$G$12,"")</f>
        <v/>
      </c>
      <c r="CA129" s="518" t="str">
        <f>IF(AND(_E="B-767-400ER",'2024'!$G$4="FO",'2024'!$G$2=CA119),'2024DATA'!$H$12,"")</f>
        <v/>
      </c>
      <c r="CB129" s="518" t="str">
        <f>IF(AND(_E="B-767-400ER",'2024'!$G$4="FO",'2024'!$G$2=CB119),'2024DATA'!$I$12,"")</f>
        <v/>
      </c>
      <c r="CC129" s="518" t="str">
        <f>IF(AND(_E="B-767-400ER",'2024'!$G$4="FO",'2024'!$G$2=CC119),'2024DATA'!$J$12,"")</f>
        <v/>
      </c>
      <c r="CD129" s="518" t="str">
        <f>IF(AND(_E="B-767-400ER",'2024'!$G$4="FO",'2024'!$G$2=CD119),'2024DATA'!$K$12,"")</f>
        <v/>
      </c>
      <c r="CE129" s="518" t="str">
        <f>IF(AND(_E="B-767-400ER",'2024'!$G$4="FO",'2024'!$G$2=CE119),'2024DATA'!$L$12,"")</f>
        <v/>
      </c>
      <c r="CF129" s="518" t="str">
        <f>IF(AND(_E="B-767-400ER",'2024'!$G$4="FO",'2024'!$G$2=CF119),'2024DATA'!$M$12,"")</f>
        <v/>
      </c>
      <c r="CG129" s="520" t="str">
        <f>IF(AND(_E="B-767-400ER",'2024'!$G$4="FO",'2024'!$G$2=CG119),'2024DATA'!$N$12,"")</f>
        <v/>
      </c>
      <c r="CH129" s="940"/>
      <c r="CI129" s="13" t="s">
        <v>62</v>
      </c>
      <c r="CJ129" s="518" t="str">
        <f>IF(AND(_F="B-767-400ER",'2024'!$G$4="FO",'2024'!$G$2=CJ119),'2024DATA'!$C$12,"")</f>
        <v/>
      </c>
      <c r="CK129" s="518" t="str">
        <f>IF(AND(_F="B-767-400ER",'2024'!$G$4="FO",'2024'!$G$2=CK119),'2024DATA'!$D$12,"")</f>
        <v/>
      </c>
      <c r="CL129" s="518" t="str">
        <f>IF(AND(_F="B-767-400ER",'2024'!$G$4="FO",'2024'!$G$2=CL119),'2024DATA'!$E$12,"")</f>
        <v/>
      </c>
      <c r="CM129" s="518" t="str">
        <f>IF(AND(_F="B-767-400ER",'2024'!$G$4="FO",'2024'!$G$2=CM119),'2024DATA'!$F$12,"")</f>
        <v/>
      </c>
      <c r="CN129" s="518" t="str">
        <f>IF(AND(_F="B-767-400ER",'2024'!$G$4="FO",'2024'!$G$2=CN119),'2024DATA'!$G$12,"")</f>
        <v/>
      </c>
      <c r="CO129" s="518" t="str">
        <f>IF(AND(_F="B-767-400ER",'2024'!$G$4="FO",'2024'!$G$2=CO119),'2024DATA'!$H$12,"")</f>
        <v/>
      </c>
      <c r="CP129" s="518" t="str">
        <f>IF(AND(_F="B-767-400ER",'2024'!$G$4="FO",'2024'!$G$2=CP119),'2024DATA'!$I$12,"")</f>
        <v/>
      </c>
      <c r="CQ129" s="518" t="str">
        <f>IF(AND(_F="B-767-400ER",'2024'!$G$4="FO",'2024'!$G$2=CQ119),'2024DATA'!$J$12,"")</f>
        <v/>
      </c>
      <c r="CR129" s="518" t="str">
        <f>IF(AND(_F="B-767-400ER",'2024'!$G$4="FO",'2024'!$G$2=CR119),'2024DATA'!$K$12,"")</f>
        <v/>
      </c>
      <c r="CS129" s="518" t="str">
        <f>IF(AND(_F="B-767-400ER",'2024'!$G$4="FO",'2024'!$G$2=CS119),'2024DATA'!$L$12,"")</f>
        <v/>
      </c>
      <c r="CT129" s="518" t="str">
        <f>IF(AND(_F="B-767-400ER",'2024'!$G$4="FO",'2024'!$G$2=CT119),'2024DATA'!$M$12,"")</f>
        <v/>
      </c>
      <c r="CU129" s="520" t="str">
        <f>IF(AND(_F="B-767-400ER",'2024'!$G$4="FO",'2024'!$G$2=CU119),'2024DATA'!$N$12,"")</f>
        <v/>
      </c>
    </row>
    <row r="130" spans="16:99" x14ac:dyDescent="0.25">
      <c r="P130" s="940" t="s">
        <v>43</v>
      </c>
      <c r="Q130" s="13" t="s">
        <v>61</v>
      </c>
      <c r="R130" s="518" t="str">
        <f>IF(AND(_A="B-767-300ER",'2024'!$G$4="CA",'2024'!$G$2=R119),'2024DATA'!$C$13,"")</f>
        <v/>
      </c>
      <c r="S130" s="518" t="str">
        <f>IF(AND(_A="B-767-300ER",'2024'!$G$4="CA",'2024'!$G$2=S119),'2024DATA'!$D$13,"")</f>
        <v/>
      </c>
      <c r="T130" s="518" t="str">
        <f>IF(AND(_A="B-767-300ER",'2024'!$G$4="CA",'2024'!$G$2=T119),'2024DATA'!$E$13,"")</f>
        <v/>
      </c>
      <c r="U130" s="518" t="str">
        <f>IF(AND(_A="B-767-300ER",'2024'!$G$4="CA",'2024'!$G$2=U119),'2024DATA'!$F$13,"")</f>
        <v/>
      </c>
      <c r="V130" s="518" t="str">
        <f>IF(AND(_A="B-767-300ER",'2024'!$G$4="CA",'2024'!$G$2=V119),'2024DATA'!$G$13,"")</f>
        <v/>
      </c>
      <c r="W130" s="518" t="str">
        <f>IF(AND(_A="B-767-300ER",'2024'!$G$4="CA",'2024'!$G$2=W119),'2024DATA'!$H$13,"")</f>
        <v/>
      </c>
      <c r="X130" s="518" t="str">
        <f>IF(AND(_A="B-767-300ER",'2024'!$G$4="CA",'2024'!$G$2=X119),'2024DATA'!$I$13,"")</f>
        <v/>
      </c>
      <c r="Y130" s="518" t="str">
        <f>IF(AND(_A="B-767-300ER",'2024'!$G$4="CA",'2024'!$G$2=Y119),'2024DATA'!$J$13,"")</f>
        <v/>
      </c>
      <c r="Z130" s="518" t="str">
        <f>IF(AND(_A="B-767-300ER",'2024'!$G$4="CA",'2024'!$G$2=Z119),'2024DATA'!$K$13,"")</f>
        <v/>
      </c>
      <c r="AA130" s="518" t="str">
        <f>IF(AND(_A="B-767-300ER",'2024'!$G$4="CA",'2024'!$G$2=AA119),'2024DATA'!$L$13,"")</f>
        <v/>
      </c>
      <c r="AB130" s="518" t="str">
        <f>IF(AND(_A="B-767-300ER",'2024'!$G$4="CA",'2024'!$G$2=AB119),'2024DATA'!$M$13,"")</f>
        <v/>
      </c>
      <c r="AC130" s="520" t="str">
        <f>IF(AND(_A="B-767-300ER",'2024'!$G$4="CA",'2024'!$G$2=AC119),'2024DATA'!$N$13,"")</f>
        <v/>
      </c>
      <c r="AD130" s="940" t="s">
        <v>43</v>
      </c>
      <c r="AE130" s="13" t="s">
        <v>61</v>
      </c>
      <c r="AF130" s="518" t="str">
        <f>IF(AND(_B="B-767-300ER",'2024'!$G$4="CA",'2024'!$G$2=AF119),'2024DATA'!$C$13,"")</f>
        <v/>
      </c>
      <c r="AG130" s="518" t="str">
        <f>IF(AND(_B="B-767-300ER",'2024'!$G$4="CA",'2024'!$G$2=AG119),'2024DATA'!$D$13,"")</f>
        <v/>
      </c>
      <c r="AH130" s="518" t="str">
        <f>IF(AND(_B="B-767-300ER",'2024'!$G$4="CA",'2024'!$G$2=AH119),'2024DATA'!$E$13,"")</f>
        <v/>
      </c>
      <c r="AI130" s="518" t="str">
        <f>IF(AND(_B="B-767-300ER",'2024'!$G$4="CA",'2024'!$G$2=AI119),'2024DATA'!$F$13,"")</f>
        <v/>
      </c>
      <c r="AJ130" s="518" t="str">
        <f>IF(AND(_B="B-767-300ER",'2024'!$G$4="CA",'2024'!$G$2=AJ119),'2024DATA'!$G$13,"")</f>
        <v/>
      </c>
      <c r="AK130" s="518" t="str">
        <f>IF(AND(_B="B-767-300ER",'2024'!$G$4="CA",'2024'!$G$2=AK119),'2024DATA'!$H$13,"")</f>
        <v/>
      </c>
      <c r="AL130" s="518" t="str">
        <f>IF(AND(_B="B-767-300ER",'2024'!$G$4="CA",'2024'!$G$2=AL119),'2024DATA'!$I$13,"")</f>
        <v/>
      </c>
      <c r="AM130" s="518" t="str">
        <f>IF(AND(_B="B-767-300ER",'2024'!$G$4="CA",'2024'!$G$2=AM119),'2024DATA'!$J$13,"")</f>
        <v/>
      </c>
      <c r="AN130" s="518" t="str">
        <f>IF(AND(_B="B-767-300ER",'2024'!$G$4="CA",'2024'!$G$2=AN119),'2024DATA'!$K$13,"")</f>
        <v/>
      </c>
      <c r="AO130" s="518" t="str">
        <f>IF(AND(_B="B-767-300ER",'2024'!$G$4="CA",'2024'!$G$2=AO119),'2024DATA'!$L$13,"")</f>
        <v/>
      </c>
      <c r="AP130" s="518" t="str">
        <f>IF(AND(_B="B-767-300ER",'2024'!$G$4="CA",'2024'!$G$2=AP119),'2024DATA'!$M$13,"")</f>
        <v/>
      </c>
      <c r="AQ130" s="520" t="str">
        <f>IF(AND(_B="B-767-300ER",'2024'!$G$4="CA",'2024'!$G$2=AQ119),'2024DATA'!$N$13,"")</f>
        <v/>
      </c>
      <c r="AR130" s="940" t="s">
        <v>43</v>
      </c>
      <c r="AS130" s="13" t="s">
        <v>61</v>
      </c>
      <c r="AT130" s="518" t="str">
        <f>IF(AND(_C="B-767-300ER",'2024'!$G$4="CA",'2024'!$G$2=AT119),'2024DATA'!$C$13,"")</f>
        <v/>
      </c>
      <c r="AU130" s="518" t="str">
        <f>IF(AND(_C="B-767-300ER",'2024'!$G$4="CA",'2024'!$G$2=AU119),'2024DATA'!$D$13,"")</f>
        <v/>
      </c>
      <c r="AV130" s="518" t="str">
        <f>IF(AND(_C="B-767-300ER",'2024'!$G$4="CA",'2024'!$G$2=AV119),'2024DATA'!$E$13,"")</f>
        <v/>
      </c>
      <c r="AW130" s="518" t="str">
        <f>IF(AND(_C="B-767-300ER",'2024'!$G$4="CA",'2024'!$G$2=AW119),'2024DATA'!$F$13,"")</f>
        <v/>
      </c>
      <c r="AX130" s="518" t="str">
        <f>IF(AND(_C="B-767-300ER",'2024'!$G$4="CA",'2024'!$G$2=AX119),'2024DATA'!$G$13,"")</f>
        <v/>
      </c>
      <c r="AY130" s="518" t="str">
        <f>IF(AND(_C="B-767-300ER",'2024'!$G$4="CA",'2024'!$G$2=AY119),'2024DATA'!$H$13,"")</f>
        <v/>
      </c>
      <c r="AZ130" s="518" t="str">
        <f>IF(AND(_C="B-767-300ER",'2024'!$G$4="CA",'2024'!$G$2=AZ119),'2024DATA'!$I$13,"")</f>
        <v/>
      </c>
      <c r="BA130" s="518" t="str">
        <f>IF(AND(_C="B-767-300ER",'2024'!$G$4="CA",'2024'!$G$2=BA119),'2024DATA'!$J$13,"")</f>
        <v/>
      </c>
      <c r="BB130" s="518" t="str">
        <f>IF(AND(_C="B-767-300ER",'2024'!$G$4="CA",'2024'!$G$2=BB119),'2024DATA'!$K$13,"")</f>
        <v/>
      </c>
      <c r="BC130" s="518" t="str">
        <f>IF(AND(_C="B-767-300ER",'2024'!$G$4="CA",'2024'!$G$2=BC119),'2024DATA'!$L$13,"")</f>
        <v/>
      </c>
      <c r="BD130" s="518" t="str">
        <f>IF(AND(_C="B-767-300ER",'2024'!$G$4="CA",'2024'!$G$2=BD119),'2024DATA'!$M$13,"")</f>
        <v/>
      </c>
      <c r="BE130" s="520" t="str">
        <f>IF(AND(_C="B-767-300ER",'2024'!$G$4="CA",'2024'!$G$2=BE119),'2024DATA'!$N$13,"")</f>
        <v/>
      </c>
      <c r="BF130" s="940" t="s">
        <v>43</v>
      </c>
      <c r="BG130" s="13" t="s">
        <v>61</v>
      </c>
      <c r="BH130" s="518" t="str">
        <f>IF(AND(_D="B-767-300ER",'2024'!$G$4="CA",'2024'!$G$2=BH119),'2024DATA'!$C$13,"")</f>
        <v/>
      </c>
      <c r="BI130" s="518" t="str">
        <f>IF(AND(_D="B-767-300ER",'2024'!$G$4="CA",'2024'!$G$2=BI119),'2024DATA'!$D$13,"")</f>
        <v/>
      </c>
      <c r="BJ130" s="518" t="str">
        <f>IF(AND(_D="B-767-300ER",'2024'!$G$4="CA",'2024'!$G$2=BJ119),'2024DATA'!$E$13,"")</f>
        <v/>
      </c>
      <c r="BK130" s="518" t="str">
        <f>IF(AND(_D="B-767-300ER",'2024'!$G$4="CA",'2024'!$G$2=BK119),'2024DATA'!$F$13,"")</f>
        <v/>
      </c>
      <c r="BL130" s="518" t="str">
        <f>IF(AND(_D="B-767-300ER",'2024'!$G$4="CA",'2024'!$G$2=BL119),'2024DATA'!$G$13,"")</f>
        <v/>
      </c>
      <c r="BM130" s="518" t="str">
        <f>IF(AND(_D="B-767-300ER",'2024'!$G$4="CA",'2024'!$G$2=BM119),'2024DATA'!$H$13,"")</f>
        <v/>
      </c>
      <c r="BN130" s="518" t="str">
        <f>IF(AND(_D="B-767-300ER",'2024'!$G$4="CA",'2024'!$G$2=BN119),'2024DATA'!$I$13,"")</f>
        <v/>
      </c>
      <c r="BO130" s="518" t="str">
        <f>IF(AND(_D="B-767-300ER",'2024'!$G$4="CA",'2024'!$G$2=BO119),'2024DATA'!$J$13,"")</f>
        <v/>
      </c>
      <c r="BP130" s="518" t="str">
        <f>IF(AND(_D="B-767-300ER",'2024'!$G$4="CA",'2024'!$G$2=BP119),'2024DATA'!$K$13,"")</f>
        <v/>
      </c>
      <c r="BQ130" s="518" t="str">
        <f>IF(AND(_D="B-767-300ER",'2024'!$G$4="CA",'2024'!$G$2=BQ119),'2024DATA'!$L$13,"")</f>
        <v/>
      </c>
      <c r="BR130" s="518" t="str">
        <f>IF(AND(_D="B-767-300ER",'2024'!$G$4="CA",'2024'!$G$2=BR119),'2024DATA'!$M$13,"")</f>
        <v/>
      </c>
      <c r="BS130" s="520" t="str">
        <f>IF(AND(_D="B-767-300ER",'2024'!$G$4="CA",'2024'!$G$2=BS119),'2024DATA'!$N$13,"")</f>
        <v/>
      </c>
      <c r="BT130" s="940" t="s">
        <v>43</v>
      </c>
      <c r="BU130" s="13" t="s">
        <v>61</v>
      </c>
      <c r="BV130" s="518" t="str">
        <f>IF(AND(_E="B-767-300ER",'2024'!$G$4="CA",'2024'!$G$2=BV119),'2024DATA'!$C$13,"")</f>
        <v/>
      </c>
      <c r="BW130" s="518" t="str">
        <f>IF(AND(_E="B-767-300ER",'2024'!$G$4="CA",'2024'!$G$2=BW119),'2024DATA'!$D$13,"")</f>
        <v/>
      </c>
      <c r="BX130" s="518" t="str">
        <f>IF(AND(_E="B-767-300ER",'2024'!$G$4="CA",'2024'!$G$2=BX119),'2024DATA'!$E$13,"")</f>
        <v/>
      </c>
      <c r="BY130" s="518" t="str">
        <f>IF(AND(_E="B-767-300ER",'2024'!$G$4="CA",'2024'!$G$2=BY119),'2024DATA'!$F$13,"")</f>
        <v/>
      </c>
      <c r="BZ130" s="518" t="str">
        <f>IF(AND(_E="B-767-300ER",'2024'!$G$4="CA",'2024'!$G$2=BZ119),'2024DATA'!$G$13,"")</f>
        <v/>
      </c>
      <c r="CA130" s="518" t="str">
        <f>IF(AND(_E="B-767-300ER",'2024'!$G$4="CA",'2024'!$G$2=CA119),'2024DATA'!$H$13,"")</f>
        <v/>
      </c>
      <c r="CB130" s="518" t="str">
        <f>IF(AND(_E="B-767-300ER",'2024'!$G$4="CA",'2024'!$G$2=CB119),'2024DATA'!$I$13,"")</f>
        <v/>
      </c>
      <c r="CC130" s="518" t="str">
        <f>IF(AND(_E="B-767-300ER",'2024'!$G$4="CA",'2024'!$G$2=CC119),'2024DATA'!$J$13,"")</f>
        <v/>
      </c>
      <c r="CD130" s="518" t="str">
        <f>IF(AND(_E="B-767-300ER",'2024'!$G$4="CA",'2024'!$G$2=CD119),'2024DATA'!$K$13,"")</f>
        <v/>
      </c>
      <c r="CE130" s="518" t="str">
        <f>IF(AND(_E="B-767-300ER",'2024'!$G$4="CA",'2024'!$G$2=CE119),'2024DATA'!$L$13,"")</f>
        <v/>
      </c>
      <c r="CF130" s="518" t="str">
        <f>IF(AND(_E="B-767-300ER",'2024'!$G$4="CA",'2024'!$G$2=CF119),'2024DATA'!$M$13,"")</f>
        <v/>
      </c>
      <c r="CG130" s="520" t="str">
        <f>IF(AND(_E="B-767-300ER",'2024'!$G$4="CA",'2024'!$G$2=CG119),'2024DATA'!$N$13,"")</f>
        <v/>
      </c>
      <c r="CH130" s="940" t="s">
        <v>43</v>
      </c>
      <c r="CI130" s="13" t="s">
        <v>61</v>
      </c>
      <c r="CJ130" s="518" t="str">
        <f>IF(AND(_F="B-767-300ER",'2024'!$G$4="CA",'2024'!$G$2=CJ119),'2024DATA'!$C$13,"")</f>
        <v/>
      </c>
      <c r="CK130" s="518" t="str">
        <f>IF(AND(_F="B-767-300ER",'2024'!$G$4="CA",'2024'!$G$2=CK119),'2024DATA'!$D$13,"")</f>
        <v/>
      </c>
      <c r="CL130" s="518" t="str">
        <f>IF(AND(_F="B-767-300ER",'2024'!$G$4="CA",'2024'!$G$2=CL119),'2024DATA'!$E$13,"")</f>
        <v/>
      </c>
      <c r="CM130" s="518" t="str">
        <f>IF(AND(_F="B-767-300ER",'2024'!$G$4="CA",'2024'!$G$2=CM119),'2024DATA'!$F$13,"")</f>
        <v/>
      </c>
      <c r="CN130" s="518" t="str">
        <f>IF(AND(_F="B-767-300ER",'2024'!$G$4="CA",'2024'!$G$2=CN119),'2024DATA'!$G$13,"")</f>
        <v/>
      </c>
      <c r="CO130" s="518" t="str">
        <f>IF(AND(_F="B-767-300ER",'2024'!$G$4="CA",'2024'!$G$2=CO119),'2024DATA'!$H$13,"")</f>
        <v/>
      </c>
      <c r="CP130" s="518" t="str">
        <f>IF(AND(_F="B-767-300ER",'2024'!$G$4="CA",'2024'!$G$2=CP119),'2024DATA'!$I$13,"")</f>
        <v/>
      </c>
      <c r="CQ130" s="518" t="str">
        <f>IF(AND(_F="B-767-300ER",'2024'!$G$4="CA",'2024'!$G$2=CQ119),'2024DATA'!$J$13,"")</f>
        <v/>
      </c>
      <c r="CR130" s="518" t="str">
        <f>IF(AND(_F="B-767-300ER",'2024'!$G$4="CA",'2024'!$G$2=CR119),'2024DATA'!$K$13,"")</f>
        <v/>
      </c>
      <c r="CS130" s="518" t="str">
        <f>IF(AND(_F="B-767-300ER",'2024'!$G$4="CA",'2024'!$G$2=CS119),'2024DATA'!$L$13,"")</f>
        <v/>
      </c>
      <c r="CT130" s="518" t="str">
        <f>IF(AND(_F="B-767-300ER",'2024'!$G$4="CA",'2024'!$G$2=CT119),'2024DATA'!$M$13,"")</f>
        <v/>
      </c>
      <c r="CU130" s="520" t="str">
        <f>IF(AND(_F="B-767-300ER",'2024'!$G$4="CA",'2024'!$G$2=CU119),'2024DATA'!$N$13,"")</f>
        <v/>
      </c>
    </row>
    <row r="131" spans="16:99" x14ac:dyDescent="0.25">
      <c r="P131" s="940"/>
      <c r="Q131" s="13" t="s">
        <v>62</v>
      </c>
      <c r="R131" s="518" t="str">
        <f>IF(AND(_A="B-767-300ER",'2024'!$G$4="FO",'2024'!$G$2=R119),'2024DATA'!$C$14,"")</f>
        <v/>
      </c>
      <c r="S131" s="518" t="str">
        <f>IF(AND(_A="B-767-300ER",'2024'!$G$4="FO",'2024'!$G$2=S119),'2024DATA'!$D$14,"")</f>
        <v/>
      </c>
      <c r="T131" s="518" t="str">
        <f>IF(AND(_A="B-767-300ER",'2024'!$G$4="FO",'2024'!$G$2=T119),'2024DATA'!$E$14,"")</f>
        <v/>
      </c>
      <c r="U131" s="518" t="str">
        <f>IF(AND(_A="B-767-300ER",'2024'!$G$4="FO",'2024'!$G$2=U119),'2024DATA'!$F$14,"")</f>
        <v/>
      </c>
      <c r="V131" s="518" t="str">
        <f>IF(AND(_A="B-767-300ER",'2024'!$G$4="FO",'2024'!$G$2=V119),'2024DATA'!$G$14,"")</f>
        <v/>
      </c>
      <c r="W131" s="518" t="str">
        <f>IF(AND(_A="B-767-300ER",'2024'!$G$4="FO",'2024'!$G$2=W119),'2024DATA'!$H$14,"")</f>
        <v/>
      </c>
      <c r="X131" s="518" t="str">
        <f>IF(AND(_A="B-767-300ER",'2024'!$G$4="FO",'2024'!$G$2=X119),'2024DATA'!$I$14,"")</f>
        <v/>
      </c>
      <c r="Y131" s="518" t="str">
        <f>IF(AND(_A="B-767-300ER",'2024'!$G$4="FO",'2024'!$G$2=Y119),'2024DATA'!$J$14,"")</f>
        <v/>
      </c>
      <c r="Z131" s="518" t="str">
        <f>IF(AND(_A="B-767-300ER",'2024'!$G$4="FO",'2024'!$G$2=Z119),'2024DATA'!$K$14,"")</f>
        <v/>
      </c>
      <c r="AA131" s="518" t="str">
        <f>IF(AND(_A="B-767-300ER",'2024'!$G$4="FO",'2024'!$G$2=AA119),'2024DATA'!$L$14,"")</f>
        <v/>
      </c>
      <c r="AB131" s="518" t="str">
        <f>IF(AND(_A="B-767-300ER",'2024'!$G$4="FO",'2024'!$G$2=AB119),'2024DATA'!$M$14,"")</f>
        <v/>
      </c>
      <c r="AC131" s="520" t="str">
        <f>IF(AND(_A="B-767-300ER",'2024'!$G$4="FO",'2024'!$G$2=AC119),'2024DATA'!$N$14,"")</f>
        <v/>
      </c>
      <c r="AD131" s="940"/>
      <c r="AE131" s="13" t="s">
        <v>62</v>
      </c>
      <c r="AF131" s="518" t="str">
        <f>IF(AND(_B="B-767-300ER",'2024'!$G$4="FO",'2024'!$G$2=AF119),'2024DATA'!$C$14,"")</f>
        <v/>
      </c>
      <c r="AG131" s="518" t="str">
        <f>IF(AND(_B="B-767-300ER",'2024'!$G$4="FO",'2024'!$G$2=AG119),'2024DATA'!$D$14,"")</f>
        <v/>
      </c>
      <c r="AH131" s="518" t="str">
        <f>IF(AND(_B="B-767-300ER",'2024'!$G$4="FO",'2024'!$G$2=AH119),'2024DATA'!$E$14,"")</f>
        <v/>
      </c>
      <c r="AI131" s="518" t="str">
        <f>IF(AND(_B="B-767-300ER",'2024'!$G$4="FO",'2024'!$G$2=AI119),'2024DATA'!$F$14,"")</f>
        <v/>
      </c>
      <c r="AJ131" s="518" t="str">
        <f>IF(AND(_B="B-767-300ER",'2024'!$G$4="FO",'2024'!$G$2=AJ119),'2024DATA'!$G$14,"")</f>
        <v/>
      </c>
      <c r="AK131" s="518" t="str">
        <f>IF(AND(_B="B-767-300ER",'2024'!$G$4="FO",'2024'!$G$2=AK119),'2024DATA'!$H$14,"")</f>
        <v/>
      </c>
      <c r="AL131" s="518" t="str">
        <f>IF(AND(_B="B-767-300ER",'2024'!$G$4="FO",'2024'!$G$2=AL119),'2024DATA'!$I$14,"")</f>
        <v/>
      </c>
      <c r="AM131" s="518" t="str">
        <f>IF(AND(_B="B-767-300ER",'2024'!$G$4="FO",'2024'!$G$2=AM119),'2024DATA'!$J$14,"")</f>
        <v/>
      </c>
      <c r="AN131" s="518" t="str">
        <f>IF(AND(_B="B-767-300ER",'2024'!$G$4="FO",'2024'!$G$2=AN119),'2024DATA'!$K$14,"")</f>
        <v/>
      </c>
      <c r="AO131" s="518" t="str">
        <f>IF(AND(_B="B-767-300ER",'2024'!$G$4="FO",'2024'!$G$2=AO119),'2024DATA'!$L$14,"")</f>
        <v/>
      </c>
      <c r="AP131" s="518" t="str">
        <f>IF(AND(_B="B-767-300ER",'2024'!$G$4="FO",'2024'!$G$2=AP119),'2024DATA'!$M$14,"")</f>
        <v/>
      </c>
      <c r="AQ131" s="520" t="str">
        <f>IF(AND(_B="B-767-300ER",'2024'!$G$4="FO",'2024'!$G$2=AQ119),'2024DATA'!$N$14,"")</f>
        <v/>
      </c>
      <c r="AR131" s="940"/>
      <c r="AS131" s="13" t="s">
        <v>62</v>
      </c>
      <c r="AT131" s="518" t="str">
        <f>IF(AND(_C="B-767-300ER",'2024'!$G$4="FO",'2024'!$G$2=AT119),'2024DATA'!$C$14,"")</f>
        <v/>
      </c>
      <c r="AU131" s="518" t="str">
        <f>IF(AND(_C="B-767-300ER",'2024'!$G$4="FO",'2024'!$G$2=AU119),'2024DATA'!$D$14,"")</f>
        <v/>
      </c>
      <c r="AV131" s="518" t="str">
        <f>IF(AND(_C="B-767-300ER",'2024'!$G$4="FO",'2024'!$G$2=AV119),'2024DATA'!$E$14,"")</f>
        <v/>
      </c>
      <c r="AW131" s="518" t="str">
        <f>IF(AND(_C="B-767-300ER",'2024'!$G$4="FO",'2024'!$G$2=AW119),'2024DATA'!$F$14,"")</f>
        <v/>
      </c>
      <c r="AX131" s="518" t="str">
        <f>IF(AND(_C="B-767-300ER",'2024'!$G$4="FO",'2024'!$G$2=AX119),'2024DATA'!$G$14,"")</f>
        <v/>
      </c>
      <c r="AY131" s="518" t="str">
        <f>IF(AND(_C="B-767-300ER",'2024'!$G$4="FO",'2024'!$G$2=AY119),'2024DATA'!$H$14,"")</f>
        <v/>
      </c>
      <c r="AZ131" s="518" t="str">
        <f>IF(AND(_C="B-767-300ER",'2024'!$G$4="FO",'2024'!$G$2=AZ119),'2024DATA'!$I$14,"")</f>
        <v/>
      </c>
      <c r="BA131" s="518" t="str">
        <f>IF(AND(_C="B-767-300ER",'2024'!$G$4="FO",'2024'!$G$2=BA119),'2024DATA'!$J$14,"")</f>
        <v/>
      </c>
      <c r="BB131" s="518" t="str">
        <f>IF(AND(_C="B-767-300ER",'2024'!$G$4="FO",'2024'!$G$2=BB119),'2024DATA'!$K$14,"")</f>
        <v/>
      </c>
      <c r="BC131" s="518" t="str">
        <f>IF(AND(_C="B-767-300ER",'2024'!$G$4="FO",'2024'!$G$2=BC119),'2024DATA'!$L$14,"")</f>
        <v/>
      </c>
      <c r="BD131" s="518" t="str">
        <f>IF(AND(_C="B-767-300ER",'2024'!$G$4="FO",'2024'!$G$2=BD119),'2024DATA'!$M$14,"")</f>
        <v/>
      </c>
      <c r="BE131" s="520" t="str">
        <f>IF(AND(_C="B-767-300ER",'2024'!$G$4="FO",'2024'!$G$2=BE119),'2024DATA'!$N$14,"")</f>
        <v/>
      </c>
      <c r="BF131" s="940"/>
      <c r="BG131" s="13" t="s">
        <v>62</v>
      </c>
      <c r="BH131" s="518" t="str">
        <f>IF(AND(_D="B-767-300ER",'2024'!$G$4="FO",'2024'!$G$2=BH119),'2024DATA'!$C$14,"")</f>
        <v/>
      </c>
      <c r="BI131" s="518" t="str">
        <f>IF(AND(_D="B-767-300ER",'2024'!$G$4="FO",'2024'!$G$2=BI119),'2024DATA'!$D$14,"")</f>
        <v/>
      </c>
      <c r="BJ131" s="518" t="str">
        <f>IF(AND(_D="B-767-300ER",'2024'!$G$4="FO",'2024'!$G$2=BJ119),'2024DATA'!$E$14,"")</f>
        <v/>
      </c>
      <c r="BK131" s="518" t="str">
        <f>IF(AND(_D="B-767-300ER",'2024'!$G$4="FO",'2024'!$G$2=BK119),'2024DATA'!$F$14,"")</f>
        <v/>
      </c>
      <c r="BL131" s="518" t="str">
        <f>IF(AND(_D="B-767-300ER",'2024'!$G$4="FO",'2024'!$G$2=BL119),'2024DATA'!$G$14,"")</f>
        <v/>
      </c>
      <c r="BM131" s="518" t="str">
        <f>IF(AND(_D="B-767-300ER",'2024'!$G$4="FO",'2024'!$G$2=BM119),'2024DATA'!$H$14,"")</f>
        <v/>
      </c>
      <c r="BN131" s="518" t="str">
        <f>IF(AND(_D="B-767-300ER",'2024'!$G$4="FO",'2024'!$G$2=BN119),'2024DATA'!$I$14,"")</f>
        <v/>
      </c>
      <c r="BO131" s="518" t="str">
        <f>IF(AND(_D="B-767-300ER",'2024'!$G$4="FO",'2024'!$G$2=BO119),'2024DATA'!$J$14,"")</f>
        <v/>
      </c>
      <c r="BP131" s="518" t="str">
        <f>IF(AND(_D="B-767-300ER",'2024'!$G$4="FO",'2024'!$G$2=BP119),'2024DATA'!$K$14,"")</f>
        <v/>
      </c>
      <c r="BQ131" s="518" t="str">
        <f>IF(AND(_D="B-767-300ER",'2024'!$G$4="FO",'2024'!$G$2=BQ119),'2024DATA'!$L$14,"")</f>
        <v/>
      </c>
      <c r="BR131" s="518" t="str">
        <f>IF(AND(_D="B-767-300ER",'2024'!$G$4="FO",'2024'!$G$2=BR119),'2024DATA'!$M$14,"")</f>
        <v/>
      </c>
      <c r="BS131" s="520" t="str">
        <f>IF(AND(_D="B-767-300ER",'2024'!$G$4="FO",'2024'!$G$2=BS119),'2024DATA'!$N$14,"")</f>
        <v/>
      </c>
      <c r="BT131" s="940"/>
      <c r="BU131" s="13" t="s">
        <v>62</v>
      </c>
      <c r="BV131" s="518" t="str">
        <f>IF(AND(_E="B-767-300ER",'2024'!$G$4="FO",'2024'!$G$2=BV119),'2024DATA'!$C$14,"")</f>
        <v/>
      </c>
      <c r="BW131" s="518" t="str">
        <f>IF(AND(_E="B-767-300ER",'2024'!$G$4="FO",'2024'!$G$2=BW119),'2024DATA'!$D$14,"")</f>
        <v/>
      </c>
      <c r="BX131" s="518" t="str">
        <f>IF(AND(_E="B-767-300ER",'2024'!$G$4="FO",'2024'!$G$2=BX119),'2024DATA'!$E$14,"")</f>
        <v/>
      </c>
      <c r="BY131" s="518" t="str">
        <f>IF(AND(_E="B-767-300ER",'2024'!$G$4="FO",'2024'!$G$2=BY119),'2024DATA'!$F$14,"")</f>
        <v/>
      </c>
      <c r="BZ131" s="518" t="str">
        <f>IF(AND(_E="B-767-300ER",'2024'!$G$4="FO",'2024'!$G$2=BZ119),'2024DATA'!$G$14,"")</f>
        <v/>
      </c>
      <c r="CA131" s="518" t="str">
        <f>IF(AND(_E="B-767-300ER",'2024'!$G$4="FO",'2024'!$G$2=CA119),'2024DATA'!$H$14,"")</f>
        <v/>
      </c>
      <c r="CB131" s="518" t="str">
        <f>IF(AND(_E="B-767-300ER",'2024'!$G$4="FO",'2024'!$G$2=CB119),'2024DATA'!$I$14,"")</f>
        <v/>
      </c>
      <c r="CC131" s="518" t="str">
        <f>IF(AND(_E="B-767-300ER",'2024'!$G$4="FO",'2024'!$G$2=CC119),'2024DATA'!$J$14,"")</f>
        <v/>
      </c>
      <c r="CD131" s="518" t="str">
        <f>IF(AND(_E="B-767-300ER",'2024'!$G$4="FO",'2024'!$G$2=CD119),'2024DATA'!$K$14,"")</f>
        <v/>
      </c>
      <c r="CE131" s="518" t="str">
        <f>IF(AND(_E="B-767-300ER",'2024'!$G$4="FO",'2024'!$G$2=CE119),'2024DATA'!$L$14,"")</f>
        <v/>
      </c>
      <c r="CF131" s="518" t="str">
        <f>IF(AND(_E="B-767-300ER",'2024'!$G$4="FO",'2024'!$G$2=CF119),'2024DATA'!$M$14,"")</f>
        <v/>
      </c>
      <c r="CG131" s="520" t="str">
        <f>IF(AND(_E="B-767-300ER",'2024'!$G$4="FO",'2024'!$G$2=CG119),'2024DATA'!$N$14,"")</f>
        <v/>
      </c>
      <c r="CH131" s="940"/>
      <c r="CI131" s="13" t="s">
        <v>62</v>
      </c>
      <c r="CJ131" s="518" t="str">
        <f>IF(AND(_F="B-767-300ER",'2024'!$G$4="FO",'2024'!$G$2=CJ119),'2024DATA'!$C$14,"")</f>
        <v/>
      </c>
      <c r="CK131" s="518" t="str">
        <f>IF(AND(_F="B-767-300ER",'2024'!$G$4="FO",'2024'!$G$2=CK119),'2024DATA'!$D$14,"")</f>
        <v/>
      </c>
      <c r="CL131" s="518" t="str">
        <f>IF(AND(_F="B-767-300ER",'2024'!$G$4="FO",'2024'!$G$2=CL119),'2024DATA'!$E$14,"")</f>
        <v/>
      </c>
      <c r="CM131" s="518" t="str">
        <f>IF(AND(_F="B-767-300ER",'2024'!$G$4="FO",'2024'!$G$2=CM119),'2024DATA'!$F$14,"")</f>
        <v/>
      </c>
      <c r="CN131" s="518" t="str">
        <f>IF(AND(_F="B-767-300ER",'2024'!$G$4="FO",'2024'!$G$2=CN119),'2024DATA'!$G$14,"")</f>
        <v/>
      </c>
      <c r="CO131" s="518" t="str">
        <f>IF(AND(_F="B-767-300ER",'2024'!$G$4="FO",'2024'!$G$2=CO119),'2024DATA'!$H$14,"")</f>
        <v/>
      </c>
      <c r="CP131" s="518" t="str">
        <f>IF(AND(_F="B-767-300ER",'2024'!$G$4="FO",'2024'!$G$2=CP119),'2024DATA'!$I$14,"")</f>
        <v/>
      </c>
      <c r="CQ131" s="518" t="str">
        <f>IF(AND(_F="B-767-300ER",'2024'!$G$4="FO",'2024'!$G$2=CQ119),'2024DATA'!$J$14,"")</f>
        <v/>
      </c>
      <c r="CR131" s="518" t="str">
        <f>IF(AND(_F="B-767-300ER",'2024'!$G$4="FO",'2024'!$G$2=CR119),'2024DATA'!$K$14,"")</f>
        <v/>
      </c>
      <c r="CS131" s="518" t="str">
        <f>IF(AND(_F="B-767-300ER",'2024'!$G$4="FO",'2024'!$G$2=CS119),'2024DATA'!$L$14,"")</f>
        <v/>
      </c>
      <c r="CT131" s="518" t="str">
        <f>IF(AND(_F="B-767-300ER",'2024'!$G$4="FO",'2024'!$G$2=CT119),'2024DATA'!$M$14,"")</f>
        <v/>
      </c>
      <c r="CU131" s="520" t="str">
        <f>IF(AND(_F="B-767-300ER",'2024'!$G$4="FO",'2024'!$G$2=CU119),'2024DATA'!$N$14,"")</f>
        <v/>
      </c>
    </row>
    <row r="132" spans="16:99" x14ac:dyDescent="0.25">
      <c r="P132" s="940" t="s">
        <v>67</v>
      </c>
      <c r="Q132" s="13" t="s">
        <v>61</v>
      </c>
      <c r="R132" s="518" t="str">
        <f>IF(AND(_A="B-767-300",'2024'!$G$4="CA",'2024'!$G$2=R119),'2024DATA'!$C$15,"")</f>
        <v/>
      </c>
      <c r="S132" s="518" t="str">
        <f>IF(AND(_A="B-767-300",'2024'!$G$4="CA",'2024'!$G$2=S119),'2024DATA'!$D$15,"")</f>
        <v/>
      </c>
      <c r="T132" s="518" t="str">
        <f>IF(AND(_A="B-767-300",'2024'!$G$4="CA",'2024'!$G$2=T119),'2024DATA'!$E$15,"")</f>
        <v/>
      </c>
      <c r="U132" s="518" t="str">
        <f>IF(AND(_A="B-767-300",'2024'!$G$4="CA",'2024'!$G$2=U119),'2024DATA'!$F$15,"")</f>
        <v/>
      </c>
      <c r="V132" s="518" t="str">
        <f>IF(AND(_A="B-767-300",'2024'!$G$4="CA",'2024'!$G$2=V119),'2024DATA'!$G$15,"")</f>
        <v/>
      </c>
      <c r="W132" s="518" t="str">
        <f>IF(AND(_A="B-767-300",'2024'!$G$4="CA",'2024'!$G$2=W119),'2024DATA'!$H$15,"")</f>
        <v/>
      </c>
      <c r="X132" s="518" t="str">
        <f>IF(AND(_A="B-767-300",'2024'!$G$4="CA",'2024'!$G$2=X119),'2024DATA'!$I$15,"")</f>
        <v/>
      </c>
      <c r="Y132" s="518" t="str">
        <f>IF(AND(_A="B-767-300",'2024'!$G$4="CA",'2024'!$G$2=Y119),'2024DATA'!$J$15,"")</f>
        <v/>
      </c>
      <c r="Z132" s="518" t="str">
        <f>IF(AND(_A="B-767-300",'2024'!$G$4="CA",'2024'!$G$2=Z119),'2024DATA'!$K$15,"")</f>
        <v/>
      </c>
      <c r="AA132" s="518" t="str">
        <f>IF(AND(_A="B-767-300",'2024'!$G$4="CA",'2024'!$G$2=AA119),'2024DATA'!$L$15,"")</f>
        <v/>
      </c>
      <c r="AB132" s="518" t="str">
        <f>IF(AND(_A="B-767-300",'2024'!$G$4="CA",'2024'!$G$2=AB119),'2024DATA'!$M$15,"")</f>
        <v/>
      </c>
      <c r="AC132" s="520" t="str">
        <f>IF(AND(_A="B-767-300",'2024'!$G$4="CA",'2024'!$G$2=AC119),'2024DATA'!$N$15,"")</f>
        <v/>
      </c>
      <c r="AD132" s="940" t="s">
        <v>67</v>
      </c>
      <c r="AE132" s="13" t="s">
        <v>61</v>
      </c>
      <c r="AF132" s="518" t="str">
        <f>IF(AND(_B="B-767-300",'2024'!$G$4="CA",'2024'!$G$2=AF119),'2024DATA'!$C$15,"")</f>
        <v/>
      </c>
      <c r="AG132" s="518" t="str">
        <f>IF(AND(_B="B-767-300",'2024'!$G$4="CA",'2024'!$G$2=AG119),'2024DATA'!$D$15,"")</f>
        <v/>
      </c>
      <c r="AH132" s="518" t="str">
        <f>IF(AND(_B="B-767-300",'2024'!$G$4="CA",'2024'!$G$2=AH119),'2024DATA'!$E$15,"")</f>
        <v/>
      </c>
      <c r="AI132" s="518" t="str">
        <f>IF(AND(_B="B-767-300",'2024'!$G$4="CA",'2024'!$G$2=AI119),'2024DATA'!$F$15,"")</f>
        <v/>
      </c>
      <c r="AJ132" s="518" t="str">
        <f>IF(AND(_B="B-767-300",'2024'!$G$4="CA",'2024'!$G$2=AJ119),'2024DATA'!$G$15,"")</f>
        <v/>
      </c>
      <c r="AK132" s="518" t="str">
        <f>IF(AND(_B="B-767-300",'2024'!$G$4="CA",'2024'!$G$2=AK119),'2024DATA'!$H$15,"")</f>
        <v/>
      </c>
      <c r="AL132" s="518" t="str">
        <f>IF(AND(_B="B-767-300",'2024'!$G$4="CA",'2024'!$G$2=AL119),'2024DATA'!$I$15,"")</f>
        <v/>
      </c>
      <c r="AM132" s="518" t="str">
        <f>IF(AND(_B="B-767-300",'2024'!$G$4="CA",'2024'!$G$2=AM119),'2024DATA'!$J$15,"")</f>
        <v/>
      </c>
      <c r="AN132" s="518" t="str">
        <f>IF(AND(_B="B-767-300",'2024'!$G$4="CA",'2024'!$G$2=AN119),'2024DATA'!$K$15,"")</f>
        <v/>
      </c>
      <c r="AO132" s="518" t="str">
        <f>IF(AND(_B="B-767-300",'2024'!$G$4="CA",'2024'!$G$2=AO119),'2024DATA'!$L$15,"")</f>
        <v/>
      </c>
      <c r="AP132" s="518" t="str">
        <f>IF(AND(_B="B-767-300",'2024'!$G$4="CA",'2024'!$G$2=AP119),'2024DATA'!$M$15,"")</f>
        <v/>
      </c>
      <c r="AQ132" s="520" t="str">
        <f>IF(AND(_B="B-767-300",'2024'!$G$4="CA",'2024'!$G$2=AQ119),'2024DATA'!$N$15,"")</f>
        <v/>
      </c>
      <c r="AR132" s="940" t="s">
        <v>67</v>
      </c>
      <c r="AS132" s="13" t="s">
        <v>61</v>
      </c>
      <c r="AT132" s="518" t="str">
        <f>IF(AND(_C="B-767-300",'2024'!$G$4="CA",'2024'!$G$2=AT119),'2024DATA'!$C$15,"")</f>
        <v/>
      </c>
      <c r="AU132" s="518" t="str">
        <f>IF(AND(_C="B-767-300",'2024'!$G$4="CA",'2024'!$G$2=AU119),'2024DATA'!$D$15,"")</f>
        <v/>
      </c>
      <c r="AV132" s="518" t="str">
        <f>IF(AND(_C="B-767-300",'2024'!$G$4="CA",'2024'!$G$2=AV119),'2024DATA'!$E$15,"")</f>
        <v/>
      </c>
      <c r="AW132" s="518" t="str">
        <f>IF(AND(_C="B-767-300",'2024'!$G$4="CA",'2024'!$G$2=AW119),'2024DATA'!$F$15,"")</f>
        <v/>
      </c>
      <c r="AX132" s="518" t="str">
        <f>IF(AND(_C="B-767-300",'2024'!$G$4="CA",'2024'!$G$2=AX119),'2024DATA'!$G$15,"")</f>
        <v/>
      </c>
      <c r="AY132" s="518" t="str">
        <f>IF(AND(_C="B-767-300",'2024'!$G$4="CA",'2024'!$G$2=AY119),'2024DATA'!$H$15,"")</f>
        <v/>
      </c>
      <c r="AZ132" s="518" t="str">
        <f>IF(AND(_C="B-767-300",'2024'!$G$4="CA",'2024'!$G$2=AZ119),'2024DATA'!$I$15,"")</f>
        <v/>
      </c>
      <c r="BA132" s="518" t="str">
        <f>IF(AND(_C="B-767-300",'2024'!$G$4="CA",'2024'!$G$2=BA119),'2024DATA'!$J$15,"")</f>
        <v/>
      </c>
      <c r="BB132" s="518" t="str">
        <f>IF(AND(_C="B-767-300",'2024'!$G$4="CA",'2024'!$G$2=BB119),'2024DATA'!$K$15,"")</f>
        <v/>
      </c>
      <c r="BC132" s="518" t="str">
        <f>IF(AND(_C="B-767-300",'2024'!$G$4="CA",'2024'!$G$2=BC119),'2024DATA'!$L$15,"")</f>
        <v/>
      </c>
      <c r="BD132" s="518" t="str">
        <f>IF(AND(_C="B-767-300",'2024'!$G$4="CA",'2024'!$G$2=BD119),'2024DATA'!$M$15,"")</f>
        <v/>
      </c>
      <c r="BE132" s="520" t="str">
        <f>IF(AND(_C="B-767-300",'2024'!$G$4="CA",'2024'!$G$2=BE119),'2024DATA'!$N$15,"")</f>
        <v/>
      </c>
      <c r="BF132" s="940" t="s">
        <v>67</v>
      </c>
      <c r="BG132" s="13" t="s">
        <v>61</v>
      </c>
      <c r="BH132" s="518" t="str">
        <f>IF(AND(_D="B-767-300",'2024'!$G$4="CA",'2024'!$G$2=BH119),'2024DATA'!$C$15,"")</f>
        <v/>
      </c>
      <c r="BI132" s="518" t="str">
        <f>IF(AND(_D="B-767-300",'2024'!$G$4="CA",'2024'!$G$2=BI119),'2024DATA'!$D$15,"")</f>
        <v/>
      </c>
      <c r="BJ132" s="518" t="str">
        <f>IF(AND(_D="B-767-300",'2024'!$G$4="CA",'2024'!$G$2=BJ119),'2024DATA'!$E$15,"")</f>
        <v/>
      </c>
      <c r="BK132" s="518" t="str">
        <f>IF(AND(_D="B-767-300",'2024'!$G$4="CA",'2024'!$G$2=BK119),'2024DATA'!$F$15,"")</f>
        <v/>
      </c>
      <c r="BL132" s="518" t="str">
        <f>IF(AND(_D="B-767-300",'2024'!$G$4="CA",'2024'!$G$2=BL119),'2024DATA'!$G$15,"")</f>
        <v/>
      </c>
      <c r="BM132" s="518" t="str">
        <f>IF(AND(_D="B-767-300",'2024'!$G$4="CA",'2024'!$G$2=BM119),'2024DATA'!$H$15,"")</f>
        <v/>
      </c>
      <c r="BN132" s="518" t="str">
        <f>IF(AND(_D="B-767-300",'2024'!$G$4="CA",'2024'!$G$2=BN119),'2024DATA'!$I$15,"")</f>
        <v/>
      </c>
      <c r="BO132" s="518" t="str">
        <f>IF(AND(_D="B-767-300",'2024'!$G$4="CA",'2024'!$G$2=BO119),'2024DATA'!$J$15,"")</f>
        <v/>
      </c>
      <c r="BP132" s="518" t="str">
        <f>IF(AND(_D="B-767-300",'2024'!$G$4="CA",'2024'!$G$2=BP119),'2024DATA'!$K$15,"")</f>
        <v/>
      </c>
      <c r="BQ132" s="518" t="str">
        <f>IF(AND(_D="B-767-300",'2024'!$G$4="CA",'2024'!$G$2=BQ119),'2024DATA'!$L$15,"")</f>
        <v/>
      </c>
      <c r="BR132" s="518" t="str">
        <f>IF(AND(_D="B-767-300",'2024'!$G$4="CA",'2024'!$G$2=BR119),'2024DATA'!$M$15,"")</f>
        <v/>
      </c>
      <c r="BS132" s="520" t="str">
        <f>IF(AND(_D="B-767-300",'2024'!$G$4="CA",'2024'!$G$2=BS119),'2024DATA'!$N$15,"")</f>
        <v/>
      </c>
      <c r="BT132" s="940" t="s">
        <v>67</v>
      </c>
      <c r="BU132" s="13" t="s">
        <v>61</v>
      </c>
      <c r="BV132" s="518" t="str">
        <f>IF(AND(_E="B-767-300",'2024'!$G$4="CA",'2024'!$G$2=BV119),'2024DATA'!$C$15,"")</f>
        <v/>
      </c>
      <c r="BW132" s="518" t="str">
        <f>IF(AND(_E="B-767-300",'2024'!$G$4="CA",'2024'!$G$2=BW119),'2024DATA'!$D$15,"")</f>
        <v/>
      </c>
      <c r="BX132" s="518" t="str">
        <f>IF(AND(_E="B-767-300",'2024'!$G$4="CA",'2024'!$G$2=BX119),'2024DATA'!$E$15,"")</f>
        <v/>
      </c>
      <c r="BY132" s="518" t="str">
        <f>IF(AND(_E="B-767-300",'2024'!$G$4="CA",'2024'!$G$2=BY119),'2024DATA'!$F$15,"")</f>
        <v/>
      </c>
      <c r="BZ132" s="518" t="str">
        <f>IF(AND(_E="B-767-300",'2024'!$G$4="CA",'2024'!$G$2=BZ119),'2024DATA'!$G$15,"")</f>
        <v/>
      </c>
      <c r="CA132" s="518" t="str">
        <f>IF(AND(_E="B-767-300",'2024'!$G$4="CA",'2024'!$G$2=CA119),'2024DATA'!$H$15,"")</f>
        <v/>
      </c>
      <c r="CB132" s="518" t="str">
        <f>IF(AND(_E="B-767-300",'2024'!$G$4="CA",'2024'!$G$2=CB119),'2024DATA'!$I$15,"")</f>
        <v/>
      </c>
      <c r="CC132" s="518" t="str">
        <f>IF(AND(_E="B-767-300",'2024'!$G$4="CA",'2024'!$G$2=CC119),'2024DATA'!$J$15,"")</f>
        <v/>
      </c>
      <c r="CD132" s="518" t="str">
        <f>IF(AND(_E="B-767-300",'2024'!$G$4="CA",'2024'!$G$2=CD119),'2024DATA'!$K$15,"")</f>
        <v/>
      </c>
      <c r="CE132" s="518" t="str">
        <f>IF(AND(_E="B-767-300",'2024'!$G$4="CA",'2024'!$G$2=CE119),'2024DATA'!$L$15,"")</f>
        <v/>
      </c>
      <c r="CF132" s="518" t="str">
        <f>IF(AND(_E="B-767-300",'2024'!$G$4="CA",'2024'!$G$2=CF119),'2024DATA'!$M$15,"")</f>
        <v/>
      </c>
      <c r="CG132" s="520" t="str">
        <f>IF(AND(_E="B-767-300",'2024'!$G$4="CA",'2024'!$G$2=CG119),'2024DATA'!$N$15,"")</f>
        <v/>
      </c>
      <c r="CH132" s="940" t="s">
        <v>67</v>
      </c>
      <c r="CI132" s="13" t="s">
        <v>61</v>
      </c>
      <c r="CJ132" s="518" t="str">
        <f>IF(AND(_F="B-767-300",'2024'!$G$4="CA",'2024'!$G$2=CJ119),'2024DATA'!$C$15,"")</f>
        <v/>
      </c>
      <c r="CK132" s="518" t="str">
        <f>IF(AND(_F="B-767-300",'2024'!$G$4="CA",'2024'!$G$2=CK119),'2024DATA'!$D$15,"")</f>
        <v/>
      </c>
      <c r="CL132" s="518" t="str">
        <f>IF(AND(_F="B-767-300",'2024'!$G$4="CA",'2024'!$G$2=CL119),'2024DATA'!$E$15,"")</f>
        <v/>
      </c>
      <c r="CM132" s="518" t="str">
        <f>IF(AND(_F="B-767-300",'2024'!$G$4="CA",'2024'!$G$2=CM119),'2024DATA'!$F$15,"")</f>
        <v/>
      </c>
      <c r="CN132" s="518" t="str">
        <f>IF(AND(_F="B-767-300",'2024'!$G$4="CA",'2024'!$G$2=CN119),'2024DATA'!$G$15,"")</f>
        <v/>
      </c>
      <c r="CO132" s="518" t="str">
        <f>IF(AND(_F="B-767-300",'2024'!$G$4="CA",'2024'!$G$2=CO119),'2024DATA'!$H$15,"")</f>
        <v/>
      </c>
      <c r="CP132" s="518" t="str">
        <f>IF(AND(_F="B-767-300",'2024'!$G$4="CA",'2024'!$G$2=CP119),'2024DATA'!$I$15,"")</f>
        <v/>
      </c>
      <c r="CQ132" s="518" t="str">
        <f>IF(AND(_F="B-767-300",'2024'!$G$4="CA",'2024'!$G$2=CQ119),'2024DATA'!$J$15,"")</f>
        <v/>
      </c>
      <c r="CR132" s="518" t="str">
        <f>IF(AND(_F="B-767-300",'2024'!$G$4="CA",'2024'!$G$2=CR119),'2024DATA'!$K$15,"")</f>
        <v/>
      </c>
      <c r="CS132" s="518" t="str">
        <f>IF(AND(_F="B-767-300",'2024'!$G$4="CA",'2024'!$G$2=CS119),'2024DATA'!$L$15,"")</f>
        <v/>
      </c>
      <c r="CT132" s="518" t="str">
        <f>IF(AND(_F="B-767-300",'2024'!$G$4="CA",'2024'!$G$2=CT119),'2024DATA'!$M$15,"")</f>
        <v/>
      </c>
      <c r="CU132" s="520" t="str">
        <f>IF(AND(_F="B-767-300",'2024'!$G$4="CA",'2024'!$G$2=CU119),'2024DATA'!$N$15,"")</f>
        <v/>
      </c>
    </row>
    <row r="133" spans="16:99" x14ac:dyDescent="0.25">
      <c r="P133" s="940"/>
      <c r="Q133" s="13" t="s">
        <v>62</v>
      </c>
      <c r="R133" s="518" t="str">
        <f>IF(AND(_A="B-767-300",'2024'!$G$4="FO",'2024'!$G$2=R119),'2024DATA'!$C$16,"")</f>
        <v/>
      </c>
      <c r="S133" s="518" t="str">
        <f>IF(AND(_A="B-767-300",'2024'!$G$4="FO",'2024'!$G$2=S119),'2024DATA'!$D$16,"")</f>
        <v/>
      </c>
      <c r="T133" s="518" t="str">
        <f>IF(AND(_A="B-767-300",'2024'!$G$4="FO",'2024'!$G$2=T119),'2024DATA'!$E$16,"")</f>
        <v/>
      </c>
      <c r="U133" s="518" t="str">
        <f>IF(AND(_A="B-767-300",'2024'!$G$4="FO",'2024'!$G$2=U119),'2024DATA'!$F$16,"")</f>
        <v/>
      </c>
      <c r="V133" s="518" t="str">
        <f>IF(AND(_A="B-767-300",'2024'!$G$4="FO",'2024'!$G$2=V119),'2024DATA'!$G$16,"")</f>
        <v/>
      </c>
      <c r="W133" s="518" t="str">
        <f>IF(AND(_A="B-767-300",'2024'!$G$4="FO",'2024'!$G$2=W119),'2024DATA'!$H$16,"")</f>
        <v/>
      </c>
      <c r="X133" s="518" t="str">
        <f>IF(AND(_A="B-767-300",'2024'!$G$4="FO",'2024'!$G$2=X119),'2024DATA'!$I$16,"")</f>
        <v/>
      </c>
      <c r="Y133" s="518" t="str">
        <f>IF(AND(_A="B-767-300",'2024'!$G$4="FO",'2024'!$G$2=Y119),'2024DATA'!$J$16,"")</f>
        <v/>
      </c>
      <c r="Z133" s="518" t="str">
        <f>IF(AND(_A="B-767-300",'2024'!$G$4="FO",'2024'!$G$2=Z119),'2024DATA'!$K$16,"")</f>
        <v/>
      </c>
      <c r="AA133" s="518" t="str">
        <f>IF(AND(_A="B-767-300",'2024'!$G$4="FO",'2024'!$G$2=AA119),'2024DATA'!$L$16,"")</f>
        <v/>
      </c>
      <c r="AB133" s="518" t="str">
        <f>IF(AND(_A="B-767-300",'2024'!$G$4="FO",'2024'!$G$2=AB119),'2024DATA'!$M$16,"")</f>
        <v/>
      </c>
      <c r="AC133" s="520" t="str">
        <f>IF(AND(_A="B-767-300",'2024'!$G$4="FO",'2024'!$G$2=AC119),'2024DATA'!$N$16,"")</f>
        <v/>
      </c>
      <c r="AD133" s="940"/>
      <c r="AE133" s="13" t="s">
        <v>62</v>
      </c>
      <c r="AF133" s="518" t="str">
        <f>IF(AND(_B="B-767-300",'2024'!$G$4="FO",'2024'!$G$2=AF119),'2024DATA'!$C$16,"")</f>
        <v/>
      </c>
      <c r="AG133" s="518" t="str">
        <f>IF(AND(_B="B-767-300",'2024'!$G$4="FO",'2024'!$G$2=AG119),'2024DATA'!$D$16,"")</f>
        <v/>
      </c>
      <c r="AH133" s="518" t="str">
        <f>IF(AND(_B="B-767-300",'2024'!$G$4="FO",'2024'!$G$2=AH119),'2024DATA'!$E$16,"")</f>
        <v/>
      </c>
      <c r="AI133" s="518" t="str">
        <f>IF(AND(_B="B-767-300",'2024'!$G$4="FO",'2024'!$G$2=AI119),'2024DATA'!$F$16,"")</f>
        <v/>
      </c>
      <c r="AJ133" s="518" t="str">
        <f>IF(AND(_B="B-767-300",'2024'!$G$4="FO",'2024'!$G$2=AJ119),'2024DATA'!$G$16,"")</f>
        <v/>
      </c>
      <c r="AK133" s="518" t="str">
        <f>IF(AND(_B="B-767-300",'2024'!$G$4="FO",'2024'!$G$2=AK119),'2024DATA'!$H$16,"")</f>
        <v/>
      </c>
      <c r="AL133" s="518" t="str">
        <f>IF(AND(_B="B-767-300",'2024'!$G$4="FO",'2024'!$G$2=AL119),'2024DATA'!$I$16,"")</f>
        <v/>
      </c>
      <c r="AM133" s="518" t="str">
        <f>IF(AND(_B="B-767-300",'2024'!$G$4="FO",'2024'!$G$2=AM119),'2024DATA'!$J$16,"")</f>
        <v/>
      </c>
      <c r="AN133" s="518" t="str">
        <f>IF(AND(_B="B-767-300",'2024'!$G$4="FO",'2024'!$G$2=AN119),'2024DATA'!$K$16,"")</f>
        <v/>
      </c>
      <c r="AO133" s="518" t="str">
        <f>IF(AND(_B="B-767-300",'2024'!$G$4="FO",'2024'!$G$2=AO119),'2024DATA'!$L$16,"")</f>
        <v/>
      </c>
      <c r="AP133" s="518" t="str">
        <f>IF(AND(_B="B-767-300",'2024'!$G$4="FO",'2024'!$G$2=AP119),'2024DATA'!$M$16,"")</f>
        <v/>
      </c>
      <c r="AQ133" s="520" t="str">
        <f>IF(AND(_B="B-767-300",'2024'!$G$4="FO",'2024'!$G$2=AQ119),'2024DATA'!$N$16,"")</f>
        <v/>
      </c>
      <c r="AR133" s="940"/>
      <c r="AS133" s="13" t="s">
        <v>62</v>
      </c>
      <c r="AT133" s="518" t="str">
        <f>IF(AND(_C="B-767-300",'2024'!$G$4="FO",'2024'!$G$2=AT119),'2024DATA'!$C$16,"")</f>
        <v/>
      </c>
      <c r="AU133" s="518" t="str">
        <f>IF(AND(_C="B-767-300",'2024'!$G$4="FO",'2024'!$G$2=AU119),'2024DATA'!$D$16,"")</f>
        <v/>
      </c>
      <c r="AV133" s="518" t="str">
        <f>IF(AND(_C="B-767-300",'2024'!$G$4="FO",'2024'!$G$2=AV119),'2024DATA'!$E$16,"")</f>
        <v/>
      </c>
      <c r="AW133" s="518" t="str">
        <f>IF(AND(_C="B-767-300",'2024'!$G$4="FO",'2024'!$G$2=AW119),'2024DATA'!$F$16,"")</f>
        <v/>
      </c>
      <c r="AX133" s="518" t="str">
        <f>IF(AND(_C="B-767-300",'2024'!$G$4="FO",'2024'!$G$2=AX119),'2024DATA'!$G$16,"")</f>
        <v/>
      </c>
      <c r="AY133" s="518" t="str">
        <f>IF(AND(_C="B-767-300",'2024'!$G$4="FO",'2024'!$G$2=AY119),'2024DATA'!$H$16,"")</f>
        <v/>
      </c>
      <c r="AZ133" s="518" t="str">
        <f>IF(AND(_C="B-767-300",'2024'!$G$4="FO",'2024'!$G$2=AZ119),'2024DATA'!$I$16,"")</f>
        <v/>
      </c>
      <c r="BA133" s="518" t="str">
        <f>IF(AND(_C="B-767-300",'2024'!$G$4="FO",'2024'!$G$2=BA119),'2024DATA'!$J$16,"")</f>
        <v/>
      </c>
      <c r="BB133" s="518" t="str">
        <f>IF(AND(_C="B-767-300",'2024'!$G$4="FO",'2024'!$G$2=BB119),'2024DATA'!$K$16,"")</f>
        <v/>
      </c>
      <c r="BC133" s="518" t="str">
        <f>IF(AND(_C="B-767-300",'2024'!$G$4="FO",'2024'!$G$2=BC119),'2024DATA'!$L$16,"")</f>
        <v/>
      </c>
      <c r="BD133" s="518" t="str">
        <f>IF(AND(_C="B-767-300",'2024'!$G$4="FO",'2024'!$G$2=BD119),'2024DATA'!$M$16,"")</f>
        <v/>
      </c>
      <c r="BE133" s="520" t="str">
        <f>IF(AND(_C="B-767-300",'2024'!$G$4="FO",'2024'!$G$2=BE119),'2024DATA'!$N$16,"")</f>
        <v/>
      </c>
      <c r="BF133" s="940"/>
      <c r="BG133" s="13" t="s">
        <v>62</v>
      </c>
      <c r="BH133" s="518" t="str">
        <f>IF(AND(_D="B-767-300",'2024'!$G$4="FO",'2024'!$G$2=BH119),'2024DATA'!$C$16,"")</f>
        <v/>
      </c>
      <c r="BI133" s="518" t="str">
        <f>IF(AND(_D="B-767-300",'2024'!$G$4="FO",'2024'!$G$2=BI119),'2024DATA'!$D$16,"")</f>
        <v/>
      </c>
      <c r="BJ133" s="518" t="str">
        <f>IF(AND(_D="B-767-300",'2024'!$G$4="FO",'2024'!$G$2=BJ119),'2024DATA'!$E$16,"")</f>
        <v/>
      </c>
      <c r="BK133" s="518" t="str">
        <f>IF(AND(_D="B-767-300",'2024'!$G$4="FO",'2024'!$G$2=BK119),'2024DATA'!$F$16,"")</f>
        <v/>
      </c>
      <c r="BL133" s="518" t="str">
        <f>IF(AND(_D="B-767-300",'2024'!$G$4="FO",'2024'!$G$2=BL119),'2024DATA'!$G$16,"")</f>
        <v/>
      </c>
      <c r="BM133" s="518" t="str">
        <f>IF(AND(_D="B-767-300",'2024'!$G$4="FO",'2024'!$G$2=BM119),'2024DATA'!$H$16,"")</f>
        <v/>
      </c>
      <c r="BN133" s="518" t="str">
        <f>IF(AND(_D="B-767-300",'2024'!$G$4="FO",'2024'!$G$2=BN119),'2024DATA'!$I$16,"")</f>
        <v/>
      </c>
      <c r="BO133" s="518" t="str">
        <f>IF(AND(_D="B-767-300",'2024'!$G$4="FO",'2024'!$G$2=BO119),'2024DATA'!$J$16,"")</f>
        <v/>
      </c>
      <c r="BP133" s="518" t="str">
        <f>IF(AND(_D="B-767-300",'2024'!$G$4="FO",'2024'!$G$2=BP119),'2024DATA'!$K$16,"")</f>
        <v/>
      </c>
      <c r="BQ133" s="518" t="str">
        <f>IF(AND(_D="B-767-300",'2024'!$G$4="FO",'2024'!$G$2=BQ119),'2024DATA'!$L$16,"")</f>
        <v/>
      </c>
      <c r="BR133" s="518" t="str">
        <f>IF(AND(_D="B-767-300",'2024'!$G$4="FO",'2024'!$G$2=BR119),'2024DATA'!$M$16,"")</f>
        <v/>
      </c>
      <c r="BS133" s="520" t="str">
        <f>IF(AND(_D="B-767-300",'2024'!$G$4="FO",'2024'!$G$2=BS119),'2024DATA'!$N$16,"")</f>
        <v/>
      </c>
      <c r="BT133" s="940"/>
      <c r="BU133" s="13" t="s">
        <v>62</v>
      </c>
      <c r="BV133" s="518" t="str">
        <f>IF(AND(_E="B-767-300",'2024'!$G$4="FO",'2024'!$G$2=BV119),'2024DATA'!$C$16,"")</f>
        <v/>
      </c>
      <c r="BW133" s="518" t="str">
        <f>IF(AND(_E="B-767-300",'2024'!$G$4="FO",'2024'!$G$2=BW119),'2024DATA'!$D$16,"")</f>
        <v/>
      </c>
      <c r="BX133" s="518" t="str">
        <f>IF(AND(_E="B-767-300",'2024'!$G$4="FO",'2024'!$G$2=BX119),'2024DATA'!$E$16,"")</f>
        <v/>
      </c>
      <c r="BY133" s="518" t="str">
        <f>IF(AND(_E="B-767-300",'2024'!$G$4="FO",'2024'!$G$2=BY119),'2024DATA'!$F$16,"")</f>
        <v/>
      </c>
      <c r="BZ133" s="518" t="str">
        <f>IF(AND(_E="B-767-300",'2024'!$G$4="FO",'2024'!$G$2=BZ119),'2024DATA'!$G$16,"")</f>
        <v/>
      </c>
      <c r="CA133" s="518" t="str">
        <f>IF(AND(_E="B-767-300",'2024'!$G$4="FO",'2024'!$G$2=CA119),'2024DATA'!$H$16,"")</f>
        <v/>
      </c>
      <c r="CB133" s="518" t="str">
        <f>IF(AND(_E="B-767-300",'2024'!$G$4="FO",'2024'!$G$2=CB119),'2024DATA'!$I$16,"")</f>
        <v/>
      </c>
      <c r="CC133" s="518" t="str">
        <f>IF(AND(_E="B-767-300",'2024'!$G$4="FO",'2024'!$G$2=CC119),'2024DATA'!$J$16,"")</f>
        <v/>
      </c>
      <c r="CD133" s="518" t="str">
        <f>IF(AND(_E="B-767-300",'2024'!$G$4="FO",'2024'!$G$2=CD119),'2024DATA'!$K$16,"")</f>
        <v/>
      </c>
      <c r="CE133" s="518" t="str">
        <f>IF(AND(_E="B-767-300",'2024'!$G$4="FO",'2024'!$G$2=CE119),'2024DATA'!$L$16,"")</f>
        <v/>
      </c>
      <c r="CF133" s="518" t="str">
        <f>IF(AND(_E="B-767-300",'2024'!$G$4="FO",'2024'!$G$2=CF119),'2024DATA'!$M$16,"")</f>
        <v/>
      </c>
      <c r="CG133" s="520" t="str">
        <f>IF(AND(_E="B-767-300",'2024'!$G$4="FO",'2024'!$G$2=CG119),'2024DATA'!$N$16,"")</f>
        <v/>
      </c>
      <c r="CH133" s="940"/>
      <c r="CI133" s="13" t="s">
        <v>62</v>
      </c>
      <c r="CJ133" s="518" t="str">
        <f>IF(AND(_F="B-767-300",'2024'!$G$4="FO",'2024'!$G$2=CJ119),'2024DATA'!$C$16,"")</f>
        <v/>
      </c>
      <c r="CK133" s="518" t="str">
        <f>IF(AND(_F="B-767-300",'2024'!$G$4="FO",'2024'!$G$2=CK119),'2024DATA'!$D$16,"")</f>
        <v/>
      </c>
      <c r="CL133" s="518" t="str">
        <f>IF(AND(_F="B-767-300",'2024'!$G$4="FO",'2024'!$G$2=CL119),'2024DATA'!$E$16,"")</f>
        <v/>
      </c>
      <c r="CM133" s="518" t="str">
        <f>IF(AND(_F="B-767-300",'2024'!$G$4="FO",'2024'!$G$2=CM119),'2024DATA'!$F$16,"")</f>
        <v/>
      </c>
      <c r="CN133" s="518" t="str">
        <f>IF(AND(_F="B-767-300",'2024'!$G$4="FO",'2024'!$G$2=CN119),'2024DATA'!$G$16,"")</f>
        <v/>
      </c>
      <c r="CO133" s="518" t="str">
        <f>IF(AND(_F="B-767-300",'2024'!$G$4="FO",'2024'!$G$2=CO119),'2024DATA'!$H$16,"")</f>
        <v/>
      </c>
      <c r="CP133" s="518" t="str">
        <f>IF(AND(_F="B-767-300",'2024'!$G$4="FO",'2024'!$G$2=CP119),'2024DATA'!$I$16,"")</f>
        <v/>
      </c>
      <c r="CQ133" s="518" t="str">
        <f>IF(AND(_F="B-767-300",'2024'!$G$4="FO",'2024'!$G$2=CQ119),'2024DATA'!$J$16,"")</f>
        <v/>
      </c>
      <c r="CR133" s="518" t="str">
        <f>IF(AND(_F="B-767-300",'2024'!$G$4="FO",'2024'!$G$2=CR119),'2024DATA'!$K$16,"")</f>
        <v/>
      </c>
      <c r="CS133" s="518" t="str">
        <f>IF(AND(_F="B-767-300",'2024'!$G$4="FO",'2024'!$G$2=CS119),'2024DATA'!$L$16,"")</f>
        <v/>
      </c>
      <c r="CT133" s="518" t="str">
        <f>IF(AND(_F="B-767-300",'2024'!$G$4="FO",'2024'!$G$2=CT119),'2024DATA'!$M$16,"")</f>
        <v/>
      </c>
      <c r="CU133" s="520" t="str">
        <f>IF(AND(_F="B-767-300",'2024'!$G$4="FO",'2024'!$G$2=CU119),'2024DATA'!$N$16,"")</f>
        <v/>
      </c>
    </row>
    <row r="134" spans="16:99" x14ac:dyDescent="0.25">
      <c r="P134" s="940" t="s">
        <v>68</v>
      </c>
      <c r="Q134" s="13" t="s">
        <v>61</v>
      </c>
      <c r="R134" s="518" t="str">
        <f>IF(AND(_A="B-767-200",'2024'!$G$4="CA",'2024'!$G$2=R119),'2024DATA'!$C$17,"")</f>
        <v/>
      </c>
      <c r="S134" s="518" t="str">
        <f>IF(AND(_A="B-767-200",'2024'!$G$4="CA",'2024'!$G$2=S119),'2024DATA'!$D$17,"")</f>
        <v/>
      </c>
      <c r="T134" s="518" t="str">
        <f>IF(AND(_A="B-767-200",'2024'!$G$4="CA",'2024'!$G$2=T119),'2024DATA'!$E$17,"")</f>
        <v/>
      </c>
      <c r="U134" s="518" t="str">
        <f>IF(AND(_A="B-767-200",'2024'!$G$4="CA",'2024'!$G$2=U119),'2024DATA'!$F$17,"")</f>
        <v/>
      </c>
      <c r="V134" s="518" t="str">
        <f>IF(AND(_A="B-767-200",'2024'!$G$4="CA",'2024'!$G$2=V119),'2024DATA'!$G$17,"")</f>
        <v/>
      </c>
      <c r="W134" s="518" t="str">
        <f>IF(AND(_A="B-767-200",'2024'!$G$4="CA",'2024'!$G$2=W119),'2024DATA'!$H$17,"")</f>
        <v/>
      </c>
      <c r="X134" s="518" t="str">
        <f>IF(AND(_A="B-767-200",'2024'!$G$4="CA",'2024'!$G$2=X119),'2024DATA'!$I$17,"")</f>
        <v/>
      </c>
      <c r="Y134" s="518" t="str">
        <f>IF(AND(_A="B-767-200",'2024'!$G$4="CA",'2024'!$G$2=Y119),'2024DATA'!$J$17,"")</f>
        <v/>
      </c>
      <c r="Z134" s="518" t="str">
        <f>IF(AND(_A="B-767-200",'2024'!$G$4="CA",'2024'!$G$2=Z119),'2024DATA'!$K$17,"")</f>
        <v/>
      </c>
      <c r="AA134" s="518" t="str">
        <f>IF(AND(_A="B-767-200",'2024'!$G$4="CA",'2024'!$G$2=AA119),'2024DATA'!$L$17,"")</f>
        <v/>
      </c>
      <c r="AB134" s="518" t="str">
        <f>IF(AND(_A="B-767-200",'2024'!$G$4="CA",'2024'!$G$2=AB119),'2024DATA'!$M$17,"")</f>
        <v/>
      </c>
      <c r="AC134" s="520" t="str">
        <f>IF(AND(_A="B-767-200",'2024'!$G$4="CA",'2024'!$G$2=AC119),'2024DATA'!$N$17,"")</f>
        <v/>
      </c>
      <c r="AD134" s="940" t="s">
        <v>68</v>
      </c>
      <c r="AE134" s="13" t="s">
        <v>61</v>
      </c>
      <c r="AF134" s="518" t="str">
        <f>IF(AND(_B="B-767-200",'2024'!$G$4="CA",'2024'!$G$2=AF119),'2024DATA'!$C$17,"")</f>
        <v/>
      </c>
      <c r="AG134" s="518" t="str">
        <f>IF(AND(_B="B-767-200",'2024'!$G$4="CA",'2024'!$G$2=AG119),'2024DATA'!$D$17,"")</f>
        <v/>
      </c>
      <c r="AH134" s="518" t="str">
        <f>IF(AND(_B="B-767-200",'2024'!$G$4="CA",'2024'!$G$2=AH119),'2024DATA'!$E$17,"")</f>
        <v/>
      </c>
      <c r="AI134" s="518" t="str">
        <f>IF(AND(_B="B-767-200",'2024'!$G$4="CA",'2024'!$G$2=AI119),'2024DATA'!$F$17,"")</f>
        <v/>
      </c>
      <c r="AJ134" s="518" t="str">
        <f>IF(AND(_B="B-767-200",'2024'!$G$4="CA",'2024'!$G$2=AJ119),'2024DATA'!$G$17,"")</f>
        <v/>
      </c>
      <c r="AK134" s="518" t="str">
        <f>IF(AND(_B="B-767-200",'2024'!$G$4="CA",'2024'!$G$2=AK119),'2024DATA'!$H$17,"")</f>
        <v/>
      </c>
      <c r="AL134" s="518" t="str">
        <f>IF(AND(_B="B-767-200",'2024'!$G$4="CA",'2024'!$G$2=AL119),'2024DATA'!$I$17,"")</f>
        <v/>
      </c>
      <c r="AM134" s="518" t="str">
        <f>IF(AND(_B="B-767-200",'2024'!$G$4="CA",'2024'!$G$2=AM119),'2024DATA'!$J$17,"")</f>
        <v/>
      </c>
      <c r="AN134" s="518" t="str">
        <f>IF(AND(_B="B-767-200",'2024'!$G$4="CA",'2024'!$G$2=AN119),'2024DATA'!$K$17,"")</f>
        <v/>
      </c>
      <c r="AO134" s="518" t="str">
        <f>IF(AND(_B="B-767-200",'2024'!$G$4="CA",'2024'!$G$2=AO119),'2024DATA'!$L$17,"")</f>
        <v/>
      </c>
      <c r="AP134" s="518" t="str">
        <f>IF(AND(_B="B-767-200",'2024'!$G$4="CA",'2024'!$G$2=AP119),'2024DATA'!$M$17,"")</f>
        <v/>
      </c>
      <c r="AQ134" s="520" t="str">
        <f>IF(AND(_B="B-767-200",'2024'!$G$4="CA",'2024'!$G$2=AQ119),'2024DATA'!$N$17,"")</f>
        <v/>
      </c>
      <c r="AR134" s="940" t="s">
        <v>68</v>
      </c>
      <c r="AS134" s="13" t="s">
        <v>61</v>
      </c>
      <c r="AT134" s="518" t="str">
        <f>IF(AND(_C="B-767-200",'2024'!$G$4="CA",'2024'!$G$2=AT119),'2024DATA'!$C$17,"")</f>
        <v/>
      </c>
      <c r="AU134" s="518" t="str">
        <f>IF(AND(_C="B-767-200",'2024'!$G$4="CA",'2024'!$G$2=AU119),'2024DATA'!$D$17,"")</f>
        <v/>
      </c>
      <c r="AV134" s="518" t="str">
        <f>IF(AND(_C="B-767-200",'2024'!$G$4="CA",'2024'!$G$2=AV119),'2024DATA'!$E$17,"")</f>
        <v/>
      </c>
      <c r="AW134" s="518" t="str">
        <f>IF(AND(_C="B-767-200",'2024'!$G$4="CA",'2024'!$G$2=AW119),'2024DATA'!$F$17,"")</f>
        <v/>
      </c>
      <c r="AX134" s="518" t="str">
        <f>IF(AND(_C="B-767-200",'2024'!$G$4="CA",'2024'!$G$2=AX119),'2024DATA'!$G$17,"")</f>
        <v/>
      </c>
      <c r="AY134" s="518" t="str">
        <f>IF(AND(_C="B-767-200",'2024'!$G$4="CA",'2024'!$G$2=AY119),'2024DATA'!$H$17,"")</f>
        <v/>
      </c>
      <c r="AZ134" s="518" t="str">
        <f>IF(AND(_C="B-767-200",'2024'!$G$4="CA",'2024'!$G$2=AZ119),'2024DATA'!$I$17,"")</f>
        <v/>
      </c>
      <c r="BA134" s="518" t="str">
        <f>IF(AND(_C="B-767-200",'2024'!$G$4="CA",'2024'!$G$2=BA119),'2024DATA'!$J$17,"")</f>
        <v/>
      </c>
      <c r="BB134" s="518" t="str">
        <f>IF(AND(_C="B-767-200",'2024'!$G$4="CA",'2024'!$G$2=BB119),'2024DATA'!$K$17,"")</f>
        <v/>
      </c>
      <c r="BC134" s="518" t="str">
        <f>IF(AND(_C="B-767-200",'2024'!$G$4="CA",'2024'!$G$2=BC119),'2024DATA'!$L$17,"")</f>
        <v/>
      </c>
      <c r="BD134" s="518" t="str">
        <f>IF(AND(_C="B-767-200",'2024'!$G$4="CA",'2024'!$G$2=BD119),'2024DATA'!$M$17,"")</f>
        <v/>
      </c>
      <c r="BE134" s="520" t="str">
        <f>IF(AND(_C="B-767-200",'2024'!$G$4="CA",'2024'!$G$2=BE119),'2024DATA'!$N$17,"")</f>
        <v/>
      </c>
      <c r="BF134" s="940" t="s">
        <v>68</v>
      </c>
      <c r="BG134" s="13" t="s">
        <v>61</v>
      </c>
      <c r="BH134" s="518" t="str">
        <f>IF(AND(_D="B-767-200",'2024'!$G$4="CA",'2024'!$G$2=BH119),'2024DATA'!$C$17,"")</f>
        <v/>
      </c>
      <c r="BI134" s="518" t="str">
        <f>IF(AND(_D="B-767-200",'2024'!$G$4="CA",'2024'!$G$2=BI119),'2024DATA'!$D$17,"")</f>
        <v/>
      </c>
      <c r="BJ134" s="518" t="str">
        <f>IF(AND(_D="B-767-200",'2024'!$G$4="CA",'2024'!$G$2=BJ119),'2024DATA'!$E$17,"")</f>
        <v/>
      </c>
      <c r="BK134" s="518" t="str">
        <f>IF(AND(_D="B-767-200",'2024'!$G$4="CA",'2024'!$G$2=BK119),'2024DATA'!$F$17,"")</f>
        <v/>
      </c>
      <c r="BL134" s="518" t="str">
        <f>IF(AND(_D="B-767-200",'2024'!$G$4="CA",'2024'!$G$2=BL119),'2024DATA'!$G$17,"")</f>
        <v/>
      </c>
      <c r="BM134" s="518" t="str">
        <f>IF(AND(_D="B-767-200",'2024'!$G$4="CA",'2024'!$G$2=BM119),'2024DATA'!$H$17,"")</f>
        <v/>
      </c>
      <c r="BN134" s="518" t="str">
        <f>IF(AND(_D="B-767-200",'2024'!$G$4="CA",'2024'!$G$2=BN119),'2024DATA'!$I$17,"")</f>
        <v/>
      </c>
      <c r="BO134" s="518" t="str">
        <f>IF(AND(_D="B-767-200",'2024'!$G$4="CA",'2024'!$G$2=BO119),'2024DATA'!$J$17,"")</f>
        <v/>
      </c>
      <c r="BP134" s="518" t="str">
        <f>IF(AND(_D="B-767-200",'2024'!$G$4="CA",'2024'!$G$2=BP119),'2024DATA'!$K$17,"")</f>
        <v/>
      </c>
      <c r="BQ134" s="518" t="str">
        <f>IF(AND(_D="B-767-200",'2024'!$G$4="CA",'2024'!$G$2=BQ119),'2024DATA'!$L$17,"")</f>
        <v/>
      </c>
      <c r="BR134" s="518" t="str">
        <f>IF(AND(_D="B-767-200",'2024'!$G$4="CA",'2024'!$G$2=BR119),'2024DATA'!$M$17,"")</f>
        <v/>
      </c>
      <c r="BS134" s="520" t="str">
        <f>IF(AND(_D="B-767-200",'2024'!$G$4="CA",'2024'!$G$2=BS119),'2024DATA'!$N$17,"")</f>
        <v/>
      </c>
      <c r="BT134" s="940" t="s">
        <v>68</v>
      </c>
      <c r="BU134" s="13" t="s">
        <v>61</v>
      </c>
      <c r="BV134" s="518" t="str">
        <f>IF(AND(_E="B-767-200",'2024'!$G$4="CA",'2024'!$G$2=BV119),'2024DATA'!$C$17,"")</f>
        <v/>
      </c>
      <c r="BW134" s="518" t="str">
        <f>IF(AND(_E="B-767-200",'2024'!$G$4="CA",'2024'!$G$2=BW119),'2024DATA'!$D$17,"")</f>
        <v/>
      </c>
      <c r="BX134" s="518" t="str">
        <f>IF(AND(_E="B-767-200",'2024'!$G$4="CA",'2024'!$G$2=BX119),'2024DATA'!$E$17,"")</f>
        <v/>
      </c>
      <c r="BY134" s="518" t="str">
        <f>IF(AND(_E="B-767-200",'2024'!$G$4="CA",'2024'!$G$2=BY119),'2024DATA'!$F$17,"")</f>
        <v/>
      </c>
      <c r="BZ134" s="518" t="str">
        <f>IF(AND(_E="B-767-200",'2024'!$G$4="CA",'2024'!$G$2=BZ119),'2024DATA'!$G$17,"")</f>
        <v/>
      </c>
      <c r="CA134" s="518" t="str">
        <f>IF(AND(_E="B-767-200",'2024'!$G$4="CA",'2024'!$G$2=CA119),'2024DATA'!$H$17,"")</f>
        <v/>
      </c>
      <c r="CB134" s="518" t="str">
        <f>IF(AND(_E="B-767-200",'2024'!$G$4="CA",'2024'!$G$2=CB119),'2024DATA'!$I$17,"")</f>
        <v/>
      </c>
      <c r="CC134" s="518" t="str">
        <f>IF(AND(_E="B-767-200",'2024'!$G$4="CA",'2024'!$G$2=CC119),'2024DATA'!$J$17,"")</f>
        <v/>
      </c>
      <c r="CD134" s="518" t="str">
        <f>IF(AND(_E="B-767-200",'2024'!$G$4="CA",'2024'!$G$2=CD119),'2024DATA'!$K$17,"")</f>
        <v/>
      </c>
      <c r="CE134" s="518" t="str">
        <f>IF(AND(_E="B-767-200",'2024'!$G$4="CA",'2024'!$G$2=CE119),'2024DATA'!$L$17,"")</f>
        <v/>
      </c>
      <c r="CF134" s="518" t="str">
        <f>IF(AND(_E="B-767-200",'2024'!$G$4="CA",'2024'!$G$2=CF119),'2024DATA'!$M$17,"")</f>
        <v/>
      </c>
      <c r="CG134" s="520" t="str">
        <f>IF(AND(_E="B-767-200",'2024'!$G$4="CA",'2024'!$G$2=CG119),'2024DATA'!$N$17,"")</f>
        <v/>
      </c>
      <c r="CH134" s="940" t="s">
        <v>68</v>
      </c>
      <c r="CI134" s="13" t="s">
        <v>61</v>
      </c>
      <c r="CJ134" s="518" t="str">
        <f>IF(AND(_F="B-767-200",'2024'!$G$4="CA",'2024'!$G$2=CJ119),'2024DATA'!$C$17,"")</f>
        <v/>
      </c>
      <c r="CK134" s="518" t="str">
        <f>IF(AND(_F="B-767-200",'2024'!$G$4="CA",'2024'!$G$2=CK119),'2024DATA'!$D$17,"")</f>
        <v/>
      </c>
      <c r="CL134" s="518" t="str">
        <f>IF(AND(_F="B-767-200",'2024'!$G$4="CA",'2024'!$G$2=CL119),'2024DATA'!$E$17,"")</f>
        <v/>
      </c>
      <c r="CM134" s="518" t="str">
        <f>IF(AND(_F="B-767-200",'2024'!$G$4="CA",'2024'!$G$2=CM119),'2024DATA'!$F$17,"")</f>
        <v/>
      </c>
      <c r="CN134" s="518" t="str">
        <f>IF(AND(_F="B-767-200",'2024'!$G$4="CA",'2024'!$G$2=CN119),'2024DATA'!$G$17,"")</f>
        <v/>
      </c>
      <c r="CO134" s="518" t="str">
        <f>IF(AND(_F="B-767-200",'2024'!$G$4="CA",'2024'!$G$2=CO119),'2024DATA'!$H$17,"")</f>
        <v/>
      </c>
      <c r="CP134" s="518" t="str">
        <f>IF(AND(_F="B-767-200",'2024'!$G$4="CA",'2024'!$G$2=CP119),'2024DATA'!$I$17,"")</f>
        <v/>
      </c>
      <c r="CQ134" s="518" t="str">
        <f>IF(AND(_F="B-767-200",'2024'!$G$4="CA",'2024'!$G$2=CQ119),'2024DATA'!$J$17,"")</f>
        <v/>
      </c>
      <c r="CR134" s="518" t="str">
        <f>IF(AND(_F="B-767-200",'2024'!$G$4="CA",'2024'!$G$2=CR119),'2024DATA'!$K$17,"")</f>
        <v/>
      </c>
      <c r="CS134" s="518" t="str">
        <f>IF(AND(_F="B-767-200",'2024'!$G$4="CA",'2024'!$G$2=CS119),'2024DATA'!$L$17,"")</f>
        <v/>
      </c>
      <c r="CT134" s="518" t="str">
        <f>IF(AND(_F="B-767-200",'2024'!$G$4="CA",'2024'!$G$2=CT119),'2024DATA'!$M$17,"")</f>
        <v/>
      </c>
      <c r="CU134" s="520" t="str">
        <f>IF(AND(_F="B-767-200",'2024'!$G$4="CA",'2024'!$G$2=CU119),'2024DATA'!$N$17,"")</f>
        <v/>
      </c>
    </row>
    <row r="135" spans="16:99" x14ac:dyDescent="0.25">
      <c r="P135" s="940"/>
      <c r="Q135" s="13" t="s">
        <v>62</v>
      </c>
      <c r="R135" s="518" t="str">
        <f>IF(AND(_A="B-767-200",'2024'!$G$4="FO",'2024'!$G$2=R119),'2024DATA'!$C$18,"")</f>
        <v/>
      </c>
      <c r="S135" s="518" t="str">
        <f>IF(AND(_A="B-767-200",'2024'!$G$4="FO",'2024'!$G$2=S119),'2024DATA'!$D$18,"")</f>
        <v/>
      </c>
      <c r="T135" s="518" t="str">
        <f>IF(AND(_A="B-767-200",'2024'!$G$4="FO",'2024'!$G$2=T119),'2024DATA'!$E$18,"")</f>
        <v/>
      </c>
      <c r="U135" s="518" t="str">
        <f>IF(AND(_A="B-767-200",'2024'!$G$4="FO",'2024'!$G$2=U119),'2024DATA'!$F$18,"")</f>
        <v/>
      </c>
      <c r="V135" s="518" t="str">
        <f>IF(AND(_A="B-767-200",'2024'!$G$4="FO",'2024'!$G$2=V119),'2024DATA'!$G$18,"")</f>
        <v/>
      </c>
      <c r="W135" s="518" t="str">
        <f>IF(AND(_A="B-767-200",'2024'!$G$4="FO",'2024'!$G$2=W119),'2024DATA'!$H$18,"")</f>
        <v/>
      </c>
      <c r="X135" s="518" t="str">
        <f>IF(AND(_A="B-767-200",'2024'!$G$4="FO",'2024'!$G$2=X119),'2024DATA'!$I$18,"")</f>
        <v/>
      </c>
      <c r="Y135" s="518" t="str">
        <f>IF(AND(_A="B-767-200",'2024'!$G$4="FO",'2024'!$G$2=Y119),'2024DATA'!$J$18,"")</f>
        <v/>
      </c>
      <c r="Z135" s="518" t="str">
        <f>IF(AND(_A="B-767-200",'2024'!$G$4="FO",'2024'!$G$2=Z119),'2024DATA'!$K$18,"")</f>
        <v/>
      </c>
      <c r="AA135" s="518" t="str">
        <f>IF(AND(_A="B-767-200",'2024'!$G$4="FO",'2024'!$G$2=AA119),'2024DATA'!$L$18,"")</f>
        <v/>
      </c>
      <c r="AB135" s="518" t="str">
        <f>IF(AND(_A="B-767-200",'2024'!$G$4="FO",'2024'!$G$2=AB119),'2024DATA'!$M$18,"")</f>
        <v/>
      </c>
      <c r="AC135" s="520" t="str">
        <f>IF(AND(_A="B-767-200",'2024'!$G$4="FO",'2024'!$G$2=AC119),'2024DATA'!$N$18,"")</f>
        <v/>
      </c>
      <c r="AD135" s="940"/>
      <c r="AE135" s="13" t="s">
        <v>62</v>
      </c>
      <c r="AF135" s="518" t="str">
        <f>IF(AND(_B="B-767-200",'2024'!$G$4="FO",'2024'!$G$2=AF119),'2024DATA'!$C$18,"")</f>
        <v/>
      </c>
      <c r="AG135" s="518" t="str">
        <f>IF(AND(_B="B-767-200",'2024'!$G$4="FO",'2024'!$G$2=AG119),'2024DATA'!$D$18,"")</f>
        <v/>
      </c>
      <c r="AH135" s="518" t="str">
        <f>IF(AND(_B="B-767-200",'2024'!$G$4="FO",'2024'!$G$2=AH119),'2024DATA'!$E$18,"")</f>
        <v/>
      </c>
      <c r="AI135" s="518" t="str">
        <f>IF(AND(_B="B-767-200",'2024'!$G$4="FO",'2024'!$G$2=AI119),'2024DATA'!$F$18,"")</f>
        <v/>
      </c>
      <c r="AJ135" s="518" t="str">
        <f>IF(AND(_B="B-767-200",'2024'!$G$4="FO",'2024'!$G$2=AJ119),'2024DATA'!$G$18,"")</f>
        <v/>
      </c>
      <c r="AK135" s="518" t="str">
        <f>IF(AND(_B="B-767-200",'2024'!$G$4="FO",'2024'!$G$2=AK119),'2024DATA'!$H$18,"")</f>
        <v/>
      </c>
      <c r="AL135" s="518" t="str">
        <f>IF(AND(_B="B-767-200",'2024'!$G$4="FO",'2024'!$G$2=AL119),'2024DATA'!$I$18,"")</f>
        <v/>
      </c>
      <c r="AM135" s="518" t="str">
        <f>IF(AND(_B="B-767-200",'2024'!$G$4="FO",'2024'!$G$2=AM119),'2024DATA'!$J$18,"")</f>
        <v/>
      </c>
      <c r="AN135" s="518" t="str">
        <f>IF(AND(_B="B-767-200",'2024'!$G$4="FO",'2024'!$G$2=AN119),'2024DATA'!$K$18,"")</f>
        <v/>
      </c>
      <c r="AO135" s="518" t="str">
        <f>IF(AND(_B="B-767-200",'2024'!$G$4="FO",'2024'!$G$2=AO119),'2024DATA'!$L$18,"")</f>
        <v/>
      </c>
      <c r="AP135" s="518" t="str">
        <f>IF(AND(_B="B-767-200",'2024'!$G$4="FO",'2024'!$G$2=AP119),'2024DATA'!$M$18,"")</f>
        <v/>
      </c>
      <c r="AQ135" s="520" t="str">
        <f>IF(AND(_B="B-767-200",'2024'!$G$4="FO",'2024'!$G$2=AQ119),'2024DATA'!$N$18,"")</f>
        <v/>
      </c>
      <c r="AR135" s="940"/>
      <c r="AS135" s="13" t="s">
        <v>62</v>
      </c>
      <c r="AT135" s="518" t="str">
        <f>IF(AND(_C="B-767-200",'2024'!$G$4="FO",'2024'!$G$2=AT119),'2024DATA'!$C$18,"")</f>
        <v/>
      </c>
      <c r="AU135" s="518" t="str">
        <f>IF(AND(_C="B-767-200",'2024'!$G$4="FO",'2024'!$G$2=AU119),'2024DATA'!$D$18,"")</f>
        <v/>
      </c>
      <c r="AV135" s="518" t="str">
        <f>IF(AND(_C="B-767-200",'2024'!$G$4="FO",'2024'!$G$2=AV119),'2024DATA'!$E$18,"")</f>
        <v/>
      </c>
      <c r="AW135" s="518" t="str">
        <f>IF(AND(_C="B-767-200",'2024'!$G$4="FO",'2024'!$G$2=AW119),'2024DATA'!$F$18,"")</f>
        <v/>
      </c>
      <c r="AX135" s="518" t="str">
        <f>IF(AND(_C="B-767-200",'2024'!$G$4="FO",'2024'!$G$2=AX119),'2024DATA'!$G$18,"")</f>
        <v/>
      </c>
      <c r="AY135" s="518" t="str">
        <f>IF(AND(_C="B-767-200",'2024'!$G$4="FO",'2024'!$G$2=AY119),'2024DATA'!$H$18,"")</f>
        <v/>
      </c>
      <c r="AZ135" s="518" t="str">
        <f>IF(AND(_C="B-767-200",'2024'!$G$4="FO",'2024'!$G$2=AZ119),'2024DATA'!$I$18,"")</f>
        <v/>
      </c>
      <c r="BA135" s="518" t="str">
        <f>IF(AND(_C="B-767-200",'2024'!$G$4="FO",'2024'!$G$2=BA119),'2024DATA'!$J$18,"")</f>
        <v/>
      </c>
      <c r="BB135" s="518" t="str">
        <f>IF(AND(_C="B-767-200",'2024'!$G$4="FO",'2024'!$G$2=BB119),'2024DATA'!$K$18,"")</f>
        <v/>
      </c>
      <c r="BC135" s="518" t="str">
        <f>IF(AND(_C="B-767-200",'2024'!$G$4="FO",'2024'!$G$2=BC119),'2024DATA'!$L$18,"")</f>
        <v/>
      </c>
      <c r="BD135" s="518" t="str">
        <f>IF(AND(_C="B-767-200",'2024'!$G$4="FO",'2024'!$G$2=BD119),'2024DATA'!$M$18,"")</f>
        <v/>
      </c>
      <c r="BE135" s="520" t="str">
        <f>IF(AND(_C="B-767-200",'2024'!$G$4="FO",'2024'!$G$2=BE119),'2024DATA'!$N$18,"")</f>
        <v/>
      </c>
      <c r="BF135" s="940"/>
      <c r="BG135" s="13" t="s">
        <v>62</v>
      </c>
      <c r="BH135" s="518" t="str">
        <f>IF(AND(_D="B-767-200",'2024'!$G$4="FO",'2024'!$G$2=BH119),'2024DATA'!$C$18,"")</f>
        <v/>
      </c>
      <c r="BI135" s="518" t="str">
        <f>IF(AND(_D="B-767-200",'2024'!$G$4="FO",'2024'!$G$2=BI119),'2024DATA'!$D$18,"")</f>
        <v/>
      </c>
      <c r="BJ135" s="518" t="str">
        <f>IF(AND(_D="B-767-200",'2024'!$G$4="FO",'2024'!$G$2=BJ119),'2024DATA'!$E$18,"")</f>
        <v/>
      </c>
      <c r="BK135" s="518" t="str">
        <f>IF(AND(_D="B-767-200",'2024'!$G$4="FO",'2024'!$G$2=BK119),'2024DATA'!$F$18,"")</f>
        <v/>
      </c>
      <c r="BL135" s="518" t="str">
        <f>IF(AND(_D="B-767-200",'2024'!$G$4="FO",'2024'!$G$2=BL119),'2024DATA'!$G$18,"")</f>
        <v/>
      </c>
      <c r="BM135" s="518" t="str">
        <f>IF(AND(_D="B-767-200",'2024'!$G$4="FO",'2024'!$G$2=BM119),'2024DATA'!$H$18,"")</f>
        <v/>
      </c>
      <c r="BN135" s="518" t="str">
        <f>IF(AND(_D="B-767-200",'2024'!$G$4="FO",'2024'!$G$2=BN119),'2024DATA'!$I$18,"")</f>
        <v/>
      </c>
      <c r="BO135" s="518" t="str">
        <f>IF(AND(_D="B-767-200",'2024'!$G$4="FO",'2024'!$G$2=BO119),'2024DATA'!$J$18,"")</f>
        <v/>
      </c>
      <c r="BP135" s="518" t="str">
        <f>IF(AND(_D="B-767-200",'2024'!$G$4="FO",'2024'!$G$2=BP119),'2024DATA'!$K$18,"")</f>
        <v/>
      </c>
      <c r="BQ135" s="518" t="str">
        <f>IF(AND(_D="B-767-200",'2024'!$G$4="FO",'2024'!$G$2=BQ119),'2024DATA'!$L$18,"")</f>
        <v/>
      </c>
      <c r="BR135" s="518" t="str">
        <f>IF(AND(_D="B-767-200",'2024'!$G$4="FO",'2024'!$G$2=BR119),'2024DATA'!$M$18,"")</f>
        <v/>
      </c>
      <c r="BS135" s="520" t="str">
        <f>IF(AND(_D="B-767-200",'2024'!$G$4="FO",'2024'!$G$2=BS119),'2024DATA'!$N$18,"")</f>
        <v/>
      </c>
      <c r="BT135" s="940"/>
      <c r="BU135" s="13" t="s">
        <v>62</v>
      </c>
      <c r="BV135" s="518" t="str">
        <f>IF(AND(_E="B-767-200",'2024'!$G$4="FO",'2024'!$G$2=BV119),'2024DATA'!$C$18,"")</f>
        <v/>
      </c>
      <c r="BW135" s="518" t="str">
        <f>IF(AND(_E="B-767-200",'2024'!$G$4="FO",'2024'!$G$2=BW119),'2024DATA'!$D$18,"")</f>
        <v/>
      </c>
      <c r="BX135" s="518" t="str">
        <f>IF(AND(_E="B-767-200",'2024'!$G$4="FO",'2024'!$G$2=BX119),'2024DATA'!$E$18,"")</f>
        <v/>
      </c>
      <c r="BY135" s="518" t="str">
        <f>IF(AND(_E="B-767-200",'2024'!$G$4="FO",'2024'!$G$2=BY119),'2024DATA'!$F$18,"")</f>
        <v/>
      </c>
      <c r="BZ135" s="518" t="str">
        <f>IF(AND(_E="B-767-200",'2024'!$G$4="FO",'2024'!$G$2=BZ119),'2024DATA'!$G$18,"")</f>
        <v/>
      </c>
      <c r="CA135" s="518" t="str">
        <f>IF(AND(_E="B-767-200",'2024'!$G$4="FO",'2024'!$G$2=CA119),'2024DATA'!$H$18,"")</f>
        <v/>
      </c>
      <c r="CB135" s="518" t="str">
        <f>IF(AND(_E="B-767-200",'2024'!$G$4="FO",'2024'!$G$2=CB119),'2024DATA'!$I$18,"")</f>
        <v/>
      </c>
      <c r="CC135" s="518" t="str">
        <f>IF(AND(_E="B-767-200",'2024'!$G$4="FO",'2024'!$G$2=CC119),'2024DATA'!$J$18,"")</f>
        <v/>
      </c>
      <c r="CD135" s="518" t="str">
        <f>IF(AND(_E="B-767-200",'2024'!$G$4="FO",'2024'!$G$2=CD119),'2024DATA'!$K$18,"")</f>
        <v/>
      </c>
      <c r="CE135" s="518" t="str">
        <f>IF(AND(_E="B-767-200",'2024'!$G$4="FO",'2024'!$G$2=CE119),'2024DATA'!$L$18,"")</f>
        <v/>
      </c>
      <c r="CF135" s="518" t="str">
        <f>IF(AND(_E="B-767-200",'2024'!$G$4="FO",'2024'!$G$2=CF119),'2024DATA'!$M$18,"")</f>
        <v/>
      </c>
      <c r="CG135" s="520" t="str">
        <f>IF(AND(_E="B-767-200",'2024'!$G$4="FO",'2024'!$G$2=CG119),'2024DATA'!$N$18,"")</f>
        <v/>
      </c>
      <c r="CH135" s="940"/>
      <c r="CI135" s="13" t="s">
        <v>62</v>
      </c>
      <c r="CJ135" s="518" t="str">
        <f>IF(AND(_F="B-767-200",'2024'!$G$4="FO",'2024'!$G$2=CJ119),'2024DATA'!$C$18,"")</f>
        <v/>
      </c>
      <c r="CK135" s="518" t="str">
        <f>IF(AND(_F="B-767-200",'2024'!$G$4="FO",'2024'!$G$2=CK119),'2024DATA'!$D$18,"")</f>
        <v/>
      </c>
      <c r="CL135" s="518" t="str">
        <f>IF(AND(_F="B-767-200",'2024'!$G$4="FO",'2024'!$G$2=CL119),'2024DATA'!$E$18,"")</f>
        <v/>
      </c>
      <c r="CM135" s="518" t="str">
        <f>IF(AND(_F="B-767-200",'2024'!$G$4="FO",'2024'!$G$2=CM119),'2024DATA'!$F$18,"")</f>
        <v/>
      </c>
      <c r="CN135" s="518" t="str">
        <f>IF(AND(_F="B-767-200",'2024'!$G$4="FO",'2024'!$G$2=CN119),'2024DATA'!$G$18,"")</f>
        <v/>
      </c>
      <c r="CO135" s="518" t="str">
        <f>IF(AND(_F="B-767-200",'2024'!$G$4="FO",'2024'!$G$2=CO119),'2024DATA'!$H$18,"")</f>
        <v/>
      </c>
      <c r="CP135" s="518" t="str">
        <f>IF(AND(_F="B-767-200",'2024'!$G$4="FO",'2024'!$G$2=CP119),'2024DATA'!$I$18,"")</f>
        <v/>
      </c>
      <c r="CQ135" s="518" t="str">
        <f>IF(AND(_F="B-767-200",'2024'!$G$4="FO",'2024'!$G$2=CQ119),'2024DATA'!$J$18,"")</f>
        <v/>
      </c>
      <c r="CR135" s="518" t="str">
        <f>IF(AND(_F="B-767-200",'2024'!$G$4="FO",'2024'!$G$2=CR119),'2024DATA'!$K$18,"")</f>
        <v/>
      </c>
      <c r="CS135" s="518" t="str">
        <f>IF(AND(_F="B-767-200",'2024'!$G$4="FO",'2024'!$G$2=CS119),'2024DATA'!$L$18,"")</f>
        <v/>
      </c>
      <c r="CT135" s="518" t="str">
        <f>IF(AND(_F="B-767-200",'2024'!$G$4="FO",'2024'!$G$2=CT119),'2024DATA'!$M$18,"")</f>
        <v/>
      </c>
      <c r="CU135" s="520" t="str">
        <f>IF(AND(_F="B-767-200",'2024'!$G$4="FO",'2024'!$G$2=CU119),'2024DATA'!$N$18,"")</f>
        <v/>
      </c>
    </row>
    <row r="136" spans="16:99" x14ac:dyDescent="0.25">
      <c r="P136" s="940" t="s">
        <v>45</v>
      </c>
      <c r="Q136" s="13" t="s">
        <v>61</v>
      </c>
      <c r="R136" s="518" t="str">
        <f>IF(AND(_A="B-757",'2024'!$G$4="CA",'2024'!$G$2=R119),'2024DATA'!$C$19,"")</f>
        <v/>
      </c>
      <c r="S136" s="518" t="str">
        <f>IF(AND(_A="B-757",'2024'!$G$4="CA",'2024'!$G$2=S119),'2024DATA'!$D$19,"")</f>
        <v/>
      </c>
      <c r="T136" s="518" t="str">
        <f>IF(AND(_A="B-757",'2024'!$G$4="CA",'2024'!$G$2=T119),'2024DATA'!$E$19,"")</f>
        <v/>
      </c>
      <c r="U136" s="518" t="str">
        <f>IF(AND(_A="B-757",'2024'!$G$4="CA",'2024'!$G$2=U119),'2024DATA'!$F$19,"")</f>
        <v/>
      </c>
      <c r="V136" s="518" t="str">
        <f>IF(AND(_A="B-757",'2024'!$G$4="CA",'2024'!$G$2=V119),'2024DATA'!$G$19,"")</f>
        <v/>
      </c>
      <c r="W136" s="518" t="str">
        <f>IF(AND(_A="B-757",'2024'!$G$4="CA",'2024'!$G$2=W119),'2024DATA'!$H$19,"")</f>
        <v/>
      </c>
      <c r="X136" s="518" t="str">
        <f>IF(AND(_A="B-757",'2024'!$G$4="CA",'2024'!$G$2=X119),'2024DATA'!$I$19,"")</f>
        <v/>
      </c>
      <c r="Y136" s="518" t="str">
        <f>IF(AND(_A="B-757",'2024'!$G$4="CA",'2024'!$G$2=Y119),'2024DATA'!$J$19,"")</f>
        <v/>
      </c>
      <c r="Z136" s="518" t="str">
        <f>IF(AND(_A="B-757",'2024'!$G$4="CA",'2024'!$G$2=Z119),'2024DATA'!$K$19,"")</f>
        <v/>
      </c>
      <c r="AA136" s="518" t="str">
        <f>IF(AND(_A="B-757",'2024'!$G$4="CA",'2024'!$G$2=AA119),'2024DATA'!$L$19,"")</f>
        <v/>
      </c>
      <c r="AB136" s="518" t="str">
        <f>IF(AND(_A="B-757",'2024'!$G$4="CA",'2024'!$G$2=AB119),'2024DATA'!$M$19,"")</f>
        <v/>
      </c>
      <c r="AC136" s="520" t="str">
        <f>IF(AND(_A="B-757",'2024'!$G$4="CA",'2024'!$G$2=AC119),'2024DATA'!$N$19,"")</f>
        <v/>
      </c>
      <c r="AD136" s="940" t="s">
        <v>45</v>
      </c>
      <c r="AE136" s="13" t="s">
        <v>61</v>
      </c>
      <c r="AF136" s="518" t="str">
        <f>IF(AND(_B="B-757",'2024'!$G$4="CA",'2024'!$G$2=AF119),'2024DATA'!$C$19,"")</f>
        <v/>
      </c>
      <c r="AG136" s="518" t="str">
        <f>IF(AND(_B="B-757",'2024'!$G$4="CA",'2024'!$G$2=AG119),'2024DATA'!$D$19,"")</f>
        <v/>
      </c>
      <c r="AH136" s="518" t="str">
        <f>IF(AND(_B="B-757",'2024'!$G$4="CA",'2024'!$G$2=AH119),'2024DATA'!$E$19,"")</f>
        <v/>
      </c>
      <c r="AI136" s="518" t="str">
        <f>IF(AND(_B="B-757",'2024'!$G$4="CA",'2024'!$G$2=AI119),'2024DATA'!$F$19,"")</f>
        <v/>
      </c>
      <c r="AJ136" s="518" t="str">
        <f>IF(AND(_B="B-757",'2024'!$G$4="CA",'2024'!$G$2=AJ119),'2024DATA'!$G$19,"")</f>
        <v/>
      </c>
      <c r="AK136" s="518" t="str">
        <f>IF(AND(_B="B-757",'2024'!$G$4="CA",'2024'!$G$2=AK119),'2024DATA'!$H$19,"")</f>
        <v/>
      </c>
      <c r="AL136" s="518" t="str">
        <f>IF(AND(_B="B-757",'2024'!$G$4="CA",'2024'!$G$2=AL119),'2024DATA'!$I$19,"")</f>
        <v/>
      </c>
      <c r="AM136" s="518" t="str">
        <f>IF(AND(_B="B-757",'2024'!$G$4="CA",'2024'!$G$2=AM119),'2024DATA'!$J$19,"")</f>
        <v/>
      </c>
      <c r="AN136" s="518" t="str">
        <f>IF(AND(_B="B-757",'2024'!$G$4="CA",'2024'!$G$2=AN119),'2024DATA'!$K$19,"")</f>
        <v/>
      </c>
      <c r="AO136" s="518" t="str">
        <f>IF(AND(_B="B-757",'2024'!$G$4="CA",'2024'!$G$2=AO119),'2024DATA'!$L$19,"")</f>
        <v/>
      </c>
      <c r="AP136" s="518" t="str">
        <f>IF(AND(_B="B-757",'2024'!$G$4="CA",'2024'!$G$2=AP119),'2024DATA'!$M$19,"")</f>
        <v/>
      </c>
      <c r="AQ136" s="520" t="str">
        <f>IF(AND(_B="B-757",'2024'!$G$4="CA",'2024'!$G$2=AQ119),'2024DATA'!$N$19,"")</f>
        <v/>
      </c>
      <c r="AR136" s="940" t="s">
        <v>45</v>
      </c>
      <c r="AS136" s="13" t="s">
        <v>61</v>
      </c>
      <c r="AT136" s="518" t="str">
        <f>IF(AND(_C="B-757",'2024'!$G$4="CA",'2024'!$G$2=AT119),'2024DATA'!$C$19,"")</f>
        <v/>
      </c>
      <c r="AU136" s="518" t="str">
        <f>IF(AND(_C="B-757",'2024'!$G$4="CA",'2024'!$G$2=AU119),'2024DATA'!$D$19,"")</f>
        <v/>
      </c>
      <c r="AV136" s="518" t="str">
        <f>IF(AND(_C="B-757",'2024'!$G$4="CA",'2024'!$G$2=AV119),'2024DATA'!$E$19,"")</f>
        <v/>
      </c>
      <c r="AW136" s="518" t="str">
        <f>IF(AND(_C="B-757",'2024'!$G$4="CA",'2024'!$G$2=AW119),'2024DATA'!$F$19,"")</f>
        <v/>
      </c>
      <c r="AX136" s="518" t="str">
        <f>IF(AND(_C="B-757",'2024'!$G$4="CA",'2024'!$G$2=AX119),'2024DATA'!$G$19,"")</f>
        <v/>
      </c>
      <c r="AY136" s="518" t="str">
        <f>IF(AND(_C="B-757",'2024'!$G$4="CA",'2024'!$G$2=AY119),'2024DATA'!$H$19,"")</f>
        <v/>
      </c>
      <c r="AZ136" s="518" t="str">
        <f>IF(AND(_C="B-757",'2024'!$G$4="CA",'2024'!$G$2=AZ119),'2024DATA'!$I$19,"")</f>
        <v/>
      </c>
      <c r="BA136" s="518" t="str">
        <f>IF(AND(_C="B-757",'2024'!$G$4="CA",'2024'!$G$2=BA119),'2024DATA'!$J$19,"")</f>
        <v/>
      </c>
      <c r="BB136" s="518" t="str">
        <f>IF(AND(_C="B-757",'2024'!$G$4="CA",'2024'!$G$2=BB119),'2024DATA'!$K$19,"")</f>
        <v/>
      </c>
      <c r="BC136" s="518" t="str">
        <f>IF(AND(_C="B-757",'2024'!$G$4="CA",'2024'!$G$2=BC119),'2024DATA'!$L$19,"")</f>
        <v/>
      </c>
      <c r="BD136" s="518" t="str">
        <f>IF(AND(_C="B-757",'2024'!$G$4="CA",'2024'!$G$2=BD119),'2024DATA'!$M$19,"")</f>
        <v/>
      </c>
      <c r="BE136" s="520" t="str">
        <f>IF(AND(_C="B-757",'2024'!$G$4="CA",'2024'!$G$2=BE119),'2024DATA'!$N$19,"")</f>
        <v/>
      </c>
      <c r="BF136" s="940" t="s">
        <v>45</v>
      </c>
      <c r="BG136" s="13" t="s">
        <v>61</v>
      </c>
      <c r="BH136" s="518" t="str">
        <f>IF(AND(_D="B-757",'2024'!$G$4="CA",'2024'!$G$2=BH119),'2024DATA'!$C$19,"")</f>
        <v/>
      </c>
      <c r="BI136" s="518" t="str">
        <f>IF(AND(_D="B-757",'2024'!$G$4="CA",'2024'!$G$2=BI119),'2024DATA'!$D$19,"")</f>
        <v/>
      </c>
      <c r="BJ136" s="518" t="str">
        <f>IF(AND(_D="B-757",'2024'!$G$4="CA",'2024'!$G$2=BJ119),'2024DATA'!$E$19,"")</f>
        <v/>
      </c>
      <c r="BK136" s="518" t="str">
        <f>IF(AND(_D="B-757",'2024'!$G$4="CA",'2024'!$G$2=BK119),'2024DATA'!$F$19,"")</f>
        <v/>
      </c>
      <c r="BL136" s="518" t="str">
        <f>IF(AND(_D="B-757",'2024'!$G$4="CA",'2024'!$G$2=BL119),'2024DATA'!$G$19,"")</f>
        <v/>
      </c>
      <c r="BM136" s="518" t="str">
        <f>IF(AND(_D="B-757",'2024'!$G$4="CA",'2024'!$G$2=BM119),'2024DATA'!$H$19,"")</f>
        <v/>
      </c>
      <c r="BN136" s="518" t="str">
        <f>IF(AND(_D="B-757",'2024'!$G$4="CA",'2024'!$G$2=BN119),'2024DATA'!$I$19,"")</f>
        <v/>
      </c>
      <c r="BO136" s="518" t="str">
        <f>IF(AND(_D="B-757",'2024'!$G$4="CA",'2024'!$G$2=BO119),'2024DATA'!$J$19,"")</f>
        <v/>
      </c>
      <c r="BP136" s="518" t="str">
        <f>IF(AND(_D="B-757",'2024'!$G$4="CA",'2024'!$G$2=BP119),'2024DATA'!$K$19,"")</f>
        <v/>
      </c>
      <c r="BQ136" s="518" t="str">
        <f>IF(AND(_D="B-757",'2024'!$G$4="CA",'2024'!$G$2=BQ119),'2024DATA'!$L$19,"")</f>
        <v/>
      </c>
      <c r="BR136" s="518" t="str">
        <f>IF(AND(_D="B-757",'2024'!$G$4="CA",'2024'!$G$2=BR119),'2024DATA'!$M$19,"")</f>
        <v/>
      </c>
      <c r="BS136" s="520" t="str">
        <f>IF(AND(_D="B-757",'2024'!$G$4="CA",'2024'!$G$2=BS119),'2024DATA'!$N$19,"")</f>
        <v/>
      </c>
      <c r="BT136" s="940" t="s">
        <v>45</v>
      </c>
      <c r="BU136" s="13" t="s">
        <v>61</v>
      </c>
      <c r="BV136" s="518" t="str">
        <f>IF(AND(_E="B-757",'2024'!$G$4="CA",'2024'!$G$2=BV119),'2024DATA'!$C$19,"")</f>
        <v/>
      </c>
      <c r="BW136" s="518" t="str">
        <f>IF(AND(_E="B-757",'2024'!$G$4="CA",'2024'!$G$2=BW119),'2024DATA'!$D$19,"")</f>
        <v/>
      </c>
      <c r="BX136" s="518" t="str">
        <f>IF(AND(_E="B-757",'2024'!$G$4="CA",'2024'!$G$2=BX119),'2024DATA'!$E$19,"")</f>
        <v/>
      </c>
      <c r="BY136" s="518" t="str">
        <f>IF(AND(_E="B-757",'2024'!$G$4="CA",'2024'!$G$2=BY119),'2024DATA'!$F$19,"")</f>
        <v/>
      </c>
      <c r="BZ136" s="518" t="str">
        <f>IF(AND(_E="B-757",'2024'!$G$4="CA",'2024'!$G$2=BZ119),'2024DATA'!$G$19,"")</f>
        <v/>
      </c>
      <c r="CA136" s="518" t="str">
        <f>IF(AND(_E="B-757",'2024'!$G$4="CA",'2024'!$G$2=CA119),'2024DATA'!$H$19,"")</f>
        <v/>
      </c>
      <c r="CB136" s="518" t="str">
        <f>IF(AND(_E="B-757",'2024'!$G$4="CA",'2024'!$G$2=CB119),'2024DATA'!$I$19,"")</f>
        <v/>
      </c>
      <c r="CC136" s="518" t="str">
        <f>IF(AND(_E="B-757",'2024'!$G$4="CA",'2024'!$G$2=CC119),'2024DATA'!$J$19,"")</f>
        <v/>
      </c>
      <c r="CD136" s="518" t="str">
        <f>IF(AND(_E="B-757",'2024'!$G$4="CA",'2024'!$G$2=CD119),'2024DATA'!$K$19,"")</f>
        <v/>
      </c>
      <c r="CE136" s="518" t="str">
        <f>IF(AND(_E="B-757",'2024'!$G$4="CA",'2024'!$G$2=CE119),'2024DATA'!$L$19,"")</f>
        <v/>
      </c>
      <c r="CF136" s="518" t="str">
        <f>IF(AND(_E="B-757",'2024'!$G$4="CA",'2024'!$G$2=CF119),'2024DATA'!$M$19,"")</f>
        <v/>
      </c>
      <c r="CG136" s="520" t="str">
        <f>IF(AND(_E="B-757",'2024'!$G$4="CA",'2024'!$G$2=CG119),'2024DATA'!$N$19,"")</f>
        <v/>
      </c>
      <c r="CH136" s="940" t="s">
        <v>45</v>
      </c>
      <c r="CI136" s="13" t="s">
        <v>61</v>
      </c>
      <c r="CJ136" s="518" t="str">
        <f>IF(AND(_F="B-757",'2024'!$G$4="CA",'2024'!$G$2=CJ119),'2024DATA'!$C$19,"")</f>
        <v/>
      </c>
      <c r="CK136" s="518" t="str">
        <f>IF(AND(_F="B-757",'2024'!$G$4="CA",'2024'!$G$2=CK119),'2024DATA'!$D$19,"")</f>
        <v/>
      </c>
      <c r="CL136" s="518" t="str">
        <f>IF(AND(_F="B-757",'2024'!$G$4="CA",'2024'!$G$2=CL119),'2024DATA'!$E$19,"")</f>
        <v/>
      </c>
      <c r="CM136" s="518" t="str">
        <f>IF(AND(_F="B-757",'2024'!$G$4="CA",'2024'!$G$2=CM119),'2024DATA'!$F$19,"")</f>
        <v/>
      </c>
      <c r="CN136" s="518" t="str">
        <f>IF(AND(_F="B-757",'2024'!$G$4="CA",'2024'!$G$2=CN119),'2024DATA'!$G$19,"")</f>
        <v/>
      </c>
      <c r="CO136" s="518" t="str">
        <f>IF(AND(_F="B-757",'2024'!$G$4="CA",'2024'!$G$2=CO119),'2024DATA'!$H$19,"")</f>
        <v/>
      </c>
      <c r="CP136" s="518" t="str">
        <f>IF(AND(_F="B-757",'2024'!$G$4="CA",'2024'!$G$2=CP119),'2024DATA'!$I$19,"")</f>
        <v/>
      </c>
      <c r="CQ136" s="518" t="str">
        <f>IF(AND(_F="B-757",'2024'!$G$4="CA",'2024'!$G$2=CQ119),'2024DATA'!$J$19,"")</f>
        <v/>
      </c>
      <c r="CR136" s="518" t="str">
        <f>IF(AND(_F="B-757",'2024'!$G$4="CA",'2024'!$G$2=CR119),'2024DATA'!$K$19,"")</f>
        <v/>
      </c>
      <c r="CS136" s="518" t="str">
        <f>IF(AND(_F="B-757",'2024'!$G$4="CA",'2024'!$G$2=CS119),'2024DATA'!$L$19,"")</f>
        <v/>
      </c>
      <c r="CT136" s="518" t="str">
        <f>IF(AND(_F="B-757",'2024'!$G$4="CA",'2024'!$G$2=CT119),'2024DATA'!$M$19,"")</f>
        <v/>
      </c>
      <c r="CU136" s="520" t="str">
        <f>IF(AND(_F="B-757",'2024'!$G$4="CA",'2024'!$G$2=CU119),'2024DATA'!$N$19,"")</f>
        <v/>
      </c>
    </row>
    <row r="137" spans="16:99" x14ac:dyDescent="0.25">
      <c r="P137" s="940"/>
      <c r="Q137" s="13" t="s">
        <v>62</v>
      </c>
      <c r="R137" s="518" t="str">
        <f>IF(AND(_A="B-757",'2024'!$G$4="FO",'2024'!$G$2=R119),'2024DATA'!$C$20,"")</f>
        <v/>
      </c>
      <c r="S137" s="518" t="str">
        <f>IF(AND(_A="B-757",'2024'!$G$4="FO",'2024'!$G$2=S119),'2024DATA'!$D$20,"")</f>
        <v/>
      </c>
      <c r="T137" s="518" t="str">
        <f>IF(AND(_A="B-757",'2024'!$G$4="FO",'2024'!$G$2=T119),'2024DATA'!$E$20,"")</f>
        <v/>
      </c>
      <c r="U137" s="518" t="str">
        <f>IF(AND(_A="B-757",'2024'!$G$4="FO",'2024'!$G$2=U119),'2024DATA'!$F$20,"")</f>
        <v/>
      </c>
      <c r="V137" s="518" t="str">
        <f>IF(AND(_A="B-757",'2024'!$G$4="FO",'2024'!$G$2=V119),'2024DATA'!$G$20,"")</f>
        <v/>
      </c>
      <c r="W137" s="518" t="str">
        <f>IF(AND(_A="B-757",'2024'!$G$4="FO",'2024'!$G$2=W119),'2024DATA'!$H$20,"")</f>
        <v/>
      </c>
      <c r="X137" s="518" t="str">
        <f>IF(AND(_A="B-757",'2024'!$G$4="FO",'2024'!$G$2=X119),'2024DATA'!$I$20,"")</f>
        <v/>
      </c>
      <c r="Y137" s="518" t="str">
        <f>IF(AND(_A="B-757",'2024'!$G$4="FO",'2024'!$G$2=Y119),'2024DATA'!$J$20,"")</f>
        <v/>
      </c>
      <c r="Z137" s="518" t="str">
        <f>IF(AND(_A="B-757",'2024'!$G$4="FO",'2024'!$G$2=Z119),'2024DATA'!$K$20,"")</f>
        <v/>
      </c>
      <c r="AA137" s="518" t="str">
        <f>IF(AND(_A="B-757",'2024'!$G$4="FO",'2024'!$G$2=AA119),'2024DATA'!$L$20,"")</f>
        <v/>
      </c>
      <c r="AB137" s="518" t="str">
        <f>IF(AND(_A="B-757",'2024'!$G$4="FO",'2024'!$G$2=AB119),'2024DATA'!$M$20,"")</f>
        <v/>
      </c>
      <c r="AC137" s="520" t="str">
        <f>IF(AND(_A="B-757",'2024'!$G$4="FO",'2024'!$G$2=AC119),'2024DATA'!$N$20,"")</f>
        <v/>
      </c>
      <c r="AD137" s="940"/>
      <c r="AE137" s="13" t="s">
        <v>62</v>
      </c>
      <c r="AF137" s="518" t="str">
        <f>IF(AND(_B="B-757",'2024'!$G$4="FO",'2024'!$G$2=AF119),'2024DATA'!$C$20,"")</f>
        <v/>
      </c>
      <c r="AG137" s="518" t="str">
        <f>IF(AND(_B="B-757",'2024'!$G$4="FO",'2024'!$G$2=AG119),'2024DATA'!$D$20,"")</f>
        <v/>
      </c>
      <c r="AH137" s="518" t="str">
        <f>IF(AND(_B="B-757",'2024'!$G$4="FO",'2024'!$G$2=AH119),'2024DATA'!$E$20,"")</f>
        <v/>
      </c>
      <c r="AI137" s="518" t="str">
        <f>IF(AND(_B="B-757",'2024'!$G$4="FO",'2024'!$G$2=AI119),'2024DATA'!$F$20,"")</f>
        <v/>
      </c>
      <c r="AJ137" s="518" t="str">
        <f>IF(AND(_B="B-757",'2024'!$G$4="FO",'2024'!$G$2=AJ119),'2024DATA'!$G$20,"")</f>
        <v/>
      </c>
      <c r="AK137" s="518" t="str">
        <f>IF(AND(_B="B-757",'2024'!$G$4="FO",'2024'!$G$2=AK119),'2024DATA'!$H$20,"")</f>
        <v/>
      </c>
      <c r="AL137" s="518" t="str">
        <f>IF(AND(_B="B-757",'2024'!$G$4="FO",'2024'!$G$2=AL119),'2024DATA'!$I$20,"")</f>
        <v/>
      </c>
      <c r="AM137" s="518" t="str">
        <f>IF(AND(_B="B-757",'2024'!$G$4="FO",'2024'!$G$2=AM119),'2024DATA'!$J$20,"")</f>
        <v/>
      </c>
      <c r="AN137" s="518" t="str">
        <f>IF(AND(_B="B-757",'2024'!$G$4="FO",'2024'!$G$2=AN119),'2024DATA'!$K$20,"")</f>
        <v/>
      </c>
      <c r="AO137" s="518" t="str">
        <f>IF(AND(_B="B-757",'2024'!$G$4="FO",'2024'!$G$2=AO119),'2024DATA'!$L$20,"")</f>
        <v/>
      </c>
      <c r="AP137" s="518" t="str">
        <f>IF(AND(_B="B-757",'2024'!$G$4="FO",'2024'!$G$2=AP119),'2024DATA'!$M$20,"")</f>
        <v/>
      </c>
      <c r="AQ137" s="520" t="str">
        <f>IF(AND(_B="B-757",'2024'!$G$4="FO",'2024'!$G$2=AQ119),'2024DATA'!$N$20,"")</f>
        <v/>
      </c>
      <c r="AR137" s="940"/>
      <c r="AS137" s="13" t="s">
        <v>62</v>
      </c>
      <c r="AT137" s="518" t="str">
        <f>IF(AND(_C="B-757",'2024'!$G$4="FO",'2024'!$G$2=AT119),'2024DATA'!$C$20,"")</f>
        <v/>
      </c>
      <c r="AU137" s="518" t="str">
        <f>IF(AND(_C="B-757",'2024'!$G$4="FO",'2024'!$G$2=AU119),'2024DATA'!$D$20,"")</f>
        <v/>
      </c>
      <c r="AV137" s="518" t="str">
        <f>IF(AND(_C="B-757",'2024'!$G$4="FO",'2024'!$G$2=AV119),'2024DATA'!$E$20,"")</f>
        <v/>
      </c>
      <c r="AW137" s="518" t="str">
        <f>IF(AND(_C="B-757",'2024'!$G$4="FO",'2024'!$G$2=AW119),'2024DATA'!$F$20,"")</f>
        <v/>
      </c>
      <c r="AX137" s="518" t="str">
        <f>IF(AND(_C="B-757",'2024'!$G$4="FO",'2024'!$G$2=AX119),'2024DATA'!$G$20,"")</f>
        <v/>
      </c>
      <c r="AY137" s="518" t="str">
        <f>IF(AND(_C="B-757",'2024'!$G$4="FO",'2024'!$G$2=AY119),'2024DATA'!$H$20,"")</f>
        <v/>
      </c>
      <c r="AZ137" s="518" t="str">
        <f>IF(AND(_C="B-757",'2024'!$G$4="FO",'2024'!$G$2=AZ119),'2024DATA'!$I$20,"")</f>
        <v/>
      </c>
      <c r="BA137" s="518" t="str">
        <f>IF(AND(_C="B-757",'2024'!$G$4="FO",'2024'!$G$2=BA119),'2024DATA'!$J$20,"")</f>
        <v/>
      </c>
      <c r="BB137" s="518" t="str">
        <f>IF(AND(_C="B-757",'2024'!$G$4="FO",'2024'!$G$2=BB119),'2024DATA'!$K$20,"")</f>
        <v/>
      </c>
      <c r="BC137" s="518" t="str">
        <f>IF(AND(_C="B-757",'2024'!$G$4="FO",'2024'!$G$2=BC119),'2024DATA'!$L$20,"")</f>
        <v/>
      </c>
      <c r="BD137" s="518" t="str">
        <f>IF(AND(_C="B-757",'2024'!$G$4="FO",'2024'!$G$2=BD119),'2024DATA'!$M$20,"")</f>
        <v/>
      </c>
      <c r="BE137" s="520" t="str">
        <f>IF(AND(_C="B-757",'2024'!$G$4="FO",'2024'!$G$2=BE119),'2024DATA'!$N$20,"")</f>
        <v/>
      </c>
      <c r="BF137" s="940"/>
      <c r="BG137" s="13" t="s">
        <v>62</v>
      </c>
      <c r="BH137" s="518" t="str">
        <f>IF(AND(_D="B-757",'2024'!$G$4="FO",'2024'!$G$2=BH119),'2024DATA'!$C$20,"")</f>
        <v/>
      </c>
      <c r="BI137" s="518" t="str">
        <f>IF(AND(_D="B-757",'2024'!$G$4="FO",'2024'!$G$2=BI119),'2024DATA'!$D$20,"")</f>
        <v/>
      </c>
      <c r="BJ137" s="518" t="str">
        <f>IF(AND(_D="B-757",'2024'!$G$4="FO",'2024'!$G$2=BJ119),'2024DATA'!$E$20,"")</f>
        <v/>
      </c>
      <c r="BK137" s="518" t="str">
        <f>IF(AND(_D="B-757",'2024'!$G$4="FO",'2024'!$G$2=BK119),'2024DATA'!$F$20,"")</f>
        <v/>
      </c>
      <c r="BL137" s="518" t="str">
        <f>IF(AND(_D="B-757",'2024'!$G$4="FO",'2024'!$G$2=BL119),'2024DATA'!$G$20,"")</f>
        <v/>
      </c>
      <c r="BM137" s="518" t="str">
        <f>IF(AND(_D="B-757",'2024'!$G$4="FO",'2024'!$G$2=BM119),'2024DATA'!$H$20,"")</f>
        <v/>
      </c>
      <c r="BN137" s="518" t="str">
        <f>IF(AND(_D="B-757",'2024'!$G$4="FO",'2024'!$G$2=BN119),'2024DATA'!$I$20,"")</f>
        <v/>
      </c>
      <c r="BO137" s="518" t="str">
        <f>IF(AND(_D="B-757",'2024'!$G$4="FO",'2024'!$G$2=BO119),'2024DATA'!$J$20,"")</f>
        <v/>
      </c>
      <c r="BP137" s="518" t="str">
        <f>IF(AND(_D="B-757",'2024'!$G$4="FO",'2024'!$G$2=BP119),'2024DATA'!$K$20,"")</f>
        <v/>
      </c>
      <c r="BQ137" s="518" t="str">
        <f>IF(AND(_D="B-757",'2024'!$G$4="FO",'2024'!$G$2=BQ119),'2024DATA'!$L$20,"")</f>
        <v/>
      </c>
      <c r="BR137" s="518" t="str">
        <f>IF(AND(_D="B-757",'2024'!$G$4="FO",'2024'!$G$2=BR119),'2024DATA'!$M$20,"")</f>
        <v/>
      </c>
      <c r="BS137" s="520" t="str">
        <f>IF(AND(_D="B-757",'2024'!$G$4="FO",'2024'!$G$2=BS119),'2024DATA'!$N$20,"")</f>
        <v/>
      </c>
      <c r="BT137" s="940"/>
      <c r="BU137" s="13" t="s">
        <v>62</v>
      </c>
      <c r="BV137" s="518" t="str">
        <f>IF(AND(_E="B-757",'2024'!$G$4="FO",'2024'!$G$2=BV119),'2024DATA'!$C$20,"")</f>
        <v/>
      </c>
      <c r="BW137" s="518" t="str">
        <f>IF(AND(_E="B-757",'2024'!$G$4="FO",'2024'!$G$2=BW119),'2024DATA'!$D$20,"")</f>
        <v/>
      </c>
      <c r="BX137" s="518" t="str">
        <f>IF(AND(_E="B-757",'2024'!$G$4="FO",'2024'!$G$2=BX119),'2024DATA'!$E$20,"")</f>
        <v/>
      </c>
      <c r="BY137" s="518" t="str">
        <f>IF(AND(_E="B-757",'2024'!$G$4="FO",'2024'!$G$2=BY119),'2024DATA'!$F$20,"")</f>
        <v/>
      </c>
      <c r="BZ137" s="518" t="str">
        <f>IF(AND(_E="B-757",'2024'!$G$4="FO",'2024'!$G$2=BZ119),'2024DATA'!$G$20,"")</f>
        <v/>
      </c>
      <c r="CA137" s="518" t="str">
        <f>IF(AND(_E="B-757",'2024'!$G$4="FO",'2024'!$G$2=CA119),'2024DATA'!$H$20,"")</f>
        <v/>
      </c>
      <c r="CB137" s="518" t="str">
        <f>IF(AND(_E="B-757",'2024'!$G$4="FO",'2024'!$G$2=CB119),'2024DATA'!$I$20,"")</f>
        <v/>
      </c>
      <c r="CC137" s="518" t="str">
        <f>IF(AND(_E="B-757",'2024'!$G$4="FO",'2024'!$G$2=CC119),'2024DATA'!$J$20,"")</f>
        <v/>
      </c>
      <c r="CD137" s="518" t="str">
        <f>IF(AND(_E="B-757",'2024'!$G$4="FO",'2024'!$G$2=CD119),'2024DATA'!$K$20,"")</f>
        <v/>
      </c>
      <c r="CE137" s="518" t="str">
        <f>IF(AND(_E="B-757",'2024'!$G$4="FO",'2024'!$G$2=CE119),'2024DATA'!$L$20,"")</f>
        <v/>
      </c>
      <c r="CF137" s="518" t="str">
        <f>IF(AND(_E="B-757",'2024'!$G$4="FO",'2024'!$G$2=CF119),'2024DATA'!$M$20,"")</f>
        <v/>
      </c>
      <c r="CG137" s="520" t="str">
        <f>IF(AND(_E="B-757",'2024'!$G$4="FO",'2024'!$G$2=CG119),'2024DATA'!$N$20,"")</f>
        <v/>
      </c>
      <c r="CH137" s="940"/>
      <c r="CI137" s="13" t="s">
        <v>62</v>
      </c>
      <c r="CJ137" s="518" t="str">
        <f>IF(AND(_F="B-757",'2024'!$G$4="FO",'2024'!$G$2=CJ119),'2024DATA'!$C$20,"")</f>
        <v/>
      </c>
      <c r="CK137" s="518" t="str">
        <f>IF(AND(_F="B-757",'2024'!$G$4="FO",'2024'!$G$2=CK119),'2024DATA'!$D$20,"")</f>
        <v/>
      </c>
      <c r="CL137" s="518" t="str">
        <f>IF(AND(_F="B-757",'2024'!$G$4="FO",'2024'!$G$2=CL119),'2024DATA'!$E$20,"")</f>
        <v/>
      </c>
      <c r="CM137" s="518" t="str">
        <f>IF(AND(_F="B-757",'2024'!$G$4="FO",'2024'!$G$2=CM119),'2024DATA'!$F$20,"")</f>
        <v/>
      </c>
      <c r="CN137" s="518" t="str">
        <f>IF(AND(_F="B-757",'2024'!$G$4="FO",'2024'!$G$2=CN119),'2024DATA'!$G$20,"")</f>
        <v/>
      </c>
      <c r="CO137" s="518" t="str">
        <f>IF(AND(_F="B-757",'2024'!$G$4="FO",'2024'!$G$2=CO119),'2024DATA'!$H$20,"")</f>
        <v/>
      </c>
      <c r="CP137" s="518" t="str">
        <f>IF(AND(_F="B-757",'2024'!$G$4="FO",'2024'!$G$2=CP119),'2024DATA'!$I$20,"")</f>
        <v/>
      </c>
      <c r="CQ137" s="518" t="str">
        <f>IF(AND(_F="B-757",'2024'!$G$4="FO",'2024'!$G$2=CQ119),'2024DATA'!$J$20,"")</f>
        <v/>
      </c>
      <c r="CR137" s="518" t="str">
        <f>IF(AND(_F="B-757",'2024'!$G$4="FO",'2024'!$G$2=CR119),'2024DATA'!$K$20,"")</f>
        <v/>
      </c>
      <c r="CS137" s="518" t="str">
        <f>IF(AND(_F="B-757",'2024'!$G$4="FO",'2024'!$G$2=CS119),'2024DATA'!$L$20,"")</f>
        <v/>
      </c>
      <c r="CT137" s="518" t="str">
        <f>IF(AND(_F="B-757",'2024'!$G$4="FO",'2024'!$G$2=CT119),'2024DATA'!$M$20,"")</f>
        <v/>
      </c>
      <c r="CU137" s="520" t="str">
        <f>IF(AND(_F="B-757",'2024'!$G$4="FO",'2024'!$G$2=CU119),'2024DATA'!$N$20,"")</f>
        <v/>
      </c>
    </row>
    <row r="138" spans="16:99" x14ac:dyDescent="0.25">
      <c r="P138" s="940" t="s">
        <v>47</v>
      </c>
      <c r="Q138" s="13" t="s">
        <v>61</v>
      </c>
      <c r="R138" s="518" t="str">
        <f>IF(AND(_A="B-737-900",'2024'!$G$4="CA",'2024'!$G$2=R119),'2024DATA'!$C$21,"")</f>
        <v/>
      </c>
      <c r="S138" s="518" t="str">
        <f>IF(AND(_A="B-737-900",'2024'!$G$4="CA",'2024'!$G$2=S119),'2024DATA'!$D$21,"")</f>
        <v/>
      </c>
      <c r="T138" s="518" t="str">
        <f>IF(AND(_A="B-737-900",'2024'!$G$4="CA",'2024'!$G$2=T119),'2024DATA'!$E$21,"")</f>
        <v/>
      </c>
      <c r="U138" s="518" t="str">
        <f>IF(AND(_A="B-737-900",'2024'!$G$4="CA",'2024'!$G$2=U119),'2024DATA'!$F$21,"")</f>
        <v/>
      </c>
      <c r="V138" s="518" t="str">
        <f>IF(AND(_A="B-737-900",'2024'!$G$4="CA",'2024'!$G$2=V119),'2024DATA'!$G$21,"")</f>
        <v/>
      </c>
      <c r="W138" s="518" t="str">
        <f>IF(AND(_A="B-737-900",'2024'!$G$4="CA",'2024'!$G$2=W119),'2024DATA'!$H$21,"")</f>
        <v/>
      </c>
      <c r="X138" s="518" t="str">
        <f>IF(AND(_A="B-737-900",'2024'!$G$4="CA",'2024'!$G$2=X119),'2024DATA'!$I$21,"")</f>
        <v/>
      </c>
      <c r="Y138" s="518" t="str">
        <f>IF(AND(_A="B-737-900",'2024'!$G$4="CA",'2024'!$G$2=Y119),'2024DATA'!$J$21,"")</f>
        <v/>
      </c>
      <c r="Z138" s="518" t="str">
        <f>IF(AND(_A="B-737-900",'2024'!$G$4="CA",'2024'!$G$2=Z119),'2024DATA'!$K$21,"")</f>
        <v/>
      </c>
      <c r="AA138" s="518" t="str">
        <f>IF(AND(_A="B-737-900",'2024'!$G$4="CA",'2024'!$G$2=AA119),'2024DATA'!$L$21,"")</f>
        <v/>
      </c>
      <c r="AB138" s="518" t="str">
        <f>IF(AND(_A="B-737-900",'2024'!$G$4="CA",'2024'!$G$2=AB119),'2024DATA'!$M$21,"")</f>
        <v/>
      </c>
      <c r="AC138" s="520" t="str">
        <f>IF(AND(_A="B-737-900",'2024'!$G$4="CA",'2024'!$G$2=AC119),'2024DATA'!$N$21,"")</f>
        <v/>
      </c>
      <c r="AD138" s="940" t="s">
        <v>47</v>
      </c>
      <c r="AE138" s="13" t="s">
        <v>61</v>
      </c>
      <c r="AF138" s="518" t="str">
        <f>IF(AND(_B="B-737-900",'2024'!$G$4="CA",'2024'!$G$2=AF119),'2024DATA'!$C$21,"")</f>
        <v/>
      </c>
      <c r="AG138" s="518" t="str">
        <f>IF(AND(_B="B-737-900",'2024'!$G$4="CA",'2024'!$G$2=AG119),'2024DATA'!$D$21,"")</f>
        <v/>
      </c>
      <c r="AH138" s="518" t="str">
        <f>IF(AND(_B="B-737-900",'2024'!$G$4="CA",'2024'!$G$2=AH119),'2024DATA'!$E$21,"")</f>
        <v/>
      </c>
      <c r="AI138" s="518" t="str">
        <f>IF(AND(_B="B-737-900",'2024'!$G$4="CA",'2024'!$G$2=AI119),'2024DATA'!$F$21,"")</f>
        <v/>
      </c>
      <c r="AJ138" s="518" t="str">
        <f>IF(AND(_B="B-737-900",'2024'!$G$4="CA",'2024'!$G$2=AJ119),'2024DATA'!$G$21,"")</f>
        <v/>
      </c>
      <c r="AK138" s="518" t="str">
        <f>IF(AND(_B="B-737-900",'2024'!$G$4="CA",'2024'!$G$2=AK119),'2024DATA'!$H$21,"")</f>
        <v/>
      </c>
      <c r="AL138" s="518" t="str">
        <f>IF(AND(_B="B-737-900",'2024'!$G$4="CA",'2024'!$G$2=AL119),'2024DATA'!$I$21,"")</f>
        <v/>
      </c>
      <c r="AM138" s="518" t="str">
        <f>IF(AND(_B="B-737-900",'2024'!$G$4="CA",'2024'!$G$2=AM119),'2024DATA'!$J$21,"")</f>
        <v/>
      </c>
      <c r="AN138" s="518" t="str">
        <f>IF(AND(_B="B-737-900",'2024'!$G$4="CA",'2024'!$G$2=AN119),'2024DATA'!$K$21,"")</f>
        <v/>
      </c>
      <c r="AO138" s="518" t="str">
        <f>IF(AND(_B="B-737-900",'2024'!$G$4="CA",'2024'!$G$2=AO119),'2024DATA'!$L$21,"")</f>
        <v/>
      </c>
      <c r="AP138" s="518" t="str">
        <f>IF(AND(_B="B-737-900",'2024'!$G$4="CA",'2024'!$G$2=AP119),'2024DATA'!$M$21,"")</f>
        <v/>
      </c>
      <c r="AQ138" s="520" t="str">
        <f>IF(AND(_B="B-737-900",'2024'!$G$4="CA",'2024'!$G$2=AQ119),'2024DATA'!$N$21,"")</f>
        <v/>
      </c>
      <c r="AR138" s="940" t="s">
        <v>47</v>
      </c>
      <c r="AS138" s="13" t="s">
        <v>61</v>
      </c>
      <c r="AT138" s="518" t="str">
        <f>IF(AND(_C="B-737-900",'2024'!$G$4="CA",'2024'!$G$2=AT119),'2024DATA'!$C$21,"")</f>
        <v/>
      </c>
      <c r="AU138" s="518" t="str">
        <f>IF(AND(_C="B-737-900",'2024'!$G$4="CA",'2024'!$G$2=AU119),'2024DATA'!$D$21,"")</f>
        <v/>
      </c>
      <c r="AV138" s="518" t="str">
        <f>IF(AND(_C="B-737-900",'2024'!$G$4="CA",'2024'!$G$2=AV119),'2024DATA'!$E$21,"")</f>
        <v/>
      </c>
      <c r="AW138" s="518" t="str">
        <f>IF(AND(_C="B-737-900",'2024'!$G$4="CA",'2024'!$G$2=AW119),'2024DATA'!$F$21,"")</f>
        <v/>
      </c>
      <c r="AX138" s="518" t="str">
        <f>IF(AND(_C="B-737-900",'2024'!$G$4="CA",'2024'!$G$2=AX119),'2024DATA'!$G$21,"")</f>
        <v/>
      </c>
      <c r="AY138" s="518" t="str">
        <f>IF(AND(_C="B-737-900",'2024'!$G$4="CA",'2024'!$G$2=AY119),'2024DATA'!$H$21,"")</f>
        <v/>
      </c>
      <c r="AZ138" s="518" t="str">
        <f>IF(AND(_C="B-737-900",'2024'!$G$4="CA",'2024'!$G$2=AZ119),'2024DATA'!$I$21,"")</f>
        <v/>
      </c>
      <c r="BA138" s="518" t="str">
        <f>IF(AND(_C="B-737-900",'2024'!$G$4="CA",'2024'!$G$2=BA119),'2024DATA'!$J$21,"")</f>
        <v/>
      </c>
      <c r="BB138" s="518" t="str">
        <f>IF(AND(_C="B-737-900",'2024'!$G$4="CA",'2024'!$G$2=BB119),'2024DATA'!$K$21,"")</f>
        <v/>
      </c>
      <c r="BC138" s="518" t="str">
        <f>IF(AND(_C="B-737-900",'2024'!$G$4="CA",'2024'!$G$2=BC119),'2024DATA'!$L$21,"")</f>
        <v/>
      </c>
      <c r="BD138" s="518" t="str">
        <f>IF(AND(_C="B-737-900",'2024'!$G$4="CA",'2024'!$G$2=BD119),'2024DATA'!$M$21,"")</f>
        <v/>
      </c>
      <c r="BE138" s="520" t="str">
        <f>IF(AND(_C="B-737-900",'2024'!$G$4="CA",'2024'!$G$2=BE119),'2024DATA'!$N$21,"")</f>
        <v/>
      </c>
      <c r="BF138" s="940" t="s">
        <v>47</v>
      </c>
      <c r="BG138" s="13" t="s">
        <v>61</v>
      </c>
      <c r="BH138" s="518" t="str">
        <f>IF(AND(_D="B-737-900",'2024'!$G$4="CA",'2024'!$G$2=BH119),'2024DATA'!$C$21,"")</f>
        <v/>
      </c>
      <c r="BI138" s="518" t="str">
        <f>IF(AND(_D="B-737-900",'2024'!$G$4="CA",'2024'!$G$2=BI119),'2024DATA'!$D$21,"")</f>
        <v/>
      </c>
      <c r="BJ138" s="518" t="str">
        <f>IF(AND(_D="B-737-900",'2024'!$G$4="CA",'2024'!$G$2=BJ119),'2024DATA'!$E$21,"")</f>
        <v/>
      </c>
      <c r="BK138" s="518" t="str">
        <f>IF(AND(_D="B-737-900",'2024'!$G$4="CA",'2024'!$G$2=BK119),'2024DATA'!$F$21,"")</f>
        <v/>
      </c>
      <c r="BL138" s="518" t="str">
        <f>IF(AND(_D="B-737-900",'2024'!$G$4="CA",'2024'!$G$2=BL119),'2024DATA'!$G$21,"")</f>
        <v/>
      </c>
      <c r="BM138" s="518" t="str">
        <f>IF(AND(_D="B-737-900",'2024'!$G$4="CA",'2024'!$G$2=BM119),'2024DATA'!$H$21,"")</f>
        <v/>
      </c>
      <c r="BN138" s="518" t="str">
        <f>IF(AND(_D="B-737-900",'2024'!$G$4="CA",'2024'!$G$2=BN119),'2024DATA'!$I$21,"")</f>
        <v/>
      </c>
      <c r="BO138" s="518" t="str">
        <f>IF(AND(_D="B-737-900",'2024'!$G$4="CA",'2024'!$G$2=BO119),'2024DATA'!$J$21,"")</f>
        <v/>
      </c>
      <c r="BP138" s="518" t="str">
        <f>IF(AND(_D="B-737-900",'2024'!$G$4="CA",'2024'!$G$2=BP119),'2024DATA'!$K$21,"")</f>
        <v/>
      </c>
      <c r="BQ138" s="518" t="str">
        <f>IF(AND(_D="B-737-900",'2024'!$G$4="CA",'2024'!$G$2=BQ119),'2024DATA'!$L$21,"")</f>
        <v/>
      </c>
      <c r="BR138" s="518" t="str">
        <f>IF(AND(_D="B-737-900",'2024'!$G$4="CA",'2024'!$G$2=BR119),'2024DATA'!$M$21,"")</f>
        <v/>
      </c>
      <c r="BS138" s="520" t="str">
        <f>IF(AND(_D="B-737-900",'2024'!$G$4="CA",'2024'!$G$2=BS119),'2024DATA'!$N$21,"")</f>
        <v/>
      </c>
      <c r="BT138" s="940" t="s">
        <v>47</v>
      </c>
      <c r="BU138" s="13" t="s">
        <v>61</v>
      </c>
      <c r="BV138" s="518" t="str">
        <f>IF(AND(_E="B-737-900",'2024'!$G$4="CA",'2024'!$G$2=BV119),'2024DATA'!$C$21,"")</f>
        <v/>
      </c>
      <c r="BW138" s="518" t="str">
        <f>IF(AND(_E="B-737-900",'2024'!$G$4="CA",'2024'!$G$2=BW119),'2024DATA'!$D$21,"")</f>
        <v/>
      </c>
      <c r="BX138" s="518" t="str">
        <f>IF(AND(_E="B-737-900",'2024'!$G$4="CA",'2024'!$G$2=BX119),'2024DATA'!$E$21,"")</f>
        <v/>
      </c>
      <c r="BY138" s="518" t="str">
        <f>IF(AND(_E="B-737-900",'2024'!$G$4="CA",'2024'!$G$2=BY119),'2024DATA'!$F$21,"")</f>
        <v/>
      </c>
      <c r="BZ138" s="518" t="str">
        <f>IF(AND(_E="B-737-900",'2024'!$G$4="CA",'2024'!$G$2=BZ119),'2024DATA'!$G$21,"")</f>
        <v/>
      </c>
      <c r="CA138" s="518" t="str">
        <f>IF(AND(_E="B-737-900",'2024'!$G$4="CA",'2024'!$G$2=CA119),'2024DATA'!$H$21,"")</f>
        <v/>
      </c>
      <c r="CB138" s="518" t="str">
        <f>IF(AND(_E="B-737-900",'2024'!$G$4="CA",'2024'!$G$2=CB119),'2024DATA'!$I$21,"")</f>
        <v/>
      </c>
      <c r="CC138" s="518" t="str">
        <f>IF(AND(_E="B-737-900",'2024'!$G$4="CA",'2024'!$G$2=CC119),'2024DATA'!$J$21,"")</f>
        <v/>
      </c>
      <c r="CD138" s="518" t="str">
        <f>IF(AND(_E="B-737-900",'2024'!$G$4="CA",'2024'!$G$2=CD119),'2024DATA'!$K$21,"")</f>
        <v/>
      </c>
      <c r="CE138" s="518" t="str">
        <f>IF(AND(_E="B-737-900",'2024'!$G$4="CA",'2024'!$G$2=CE119),'2024DATA'!$L$21,"")</f>
        <v/>
      </c>
      <c r="CF138" s="518" t="str">
        <f>IF(AND(_E="B-737-900",'2024'!$G$4="CA",'2024'!$G$2=CF119),'2024DATA'!$M$21,"")</f>
        <v/>
      </c>
      <c r="CG138" s="520" t="str">
        <f>IF(AND(_E="B-737-900",'2024'!$G$4="CA",'2024'!$G$2=CG119),'2024DATA'!$N$21,"")</f>
        <v/>
      </c>
      <c r="CH138" s="940" t="s">
        <v>47</v>
      </c>
      <c r="CI138" s="13" t="s">
        <v>61</v>
      </c>
      <c r="CJ138" s="518" t="str">
        <f>IF(AND(_F="B-737-900",'2024'!$G$4="CA",'2024'!$G$2=CJ119),'2024DATA'!$C$21,"")</f>
        <v/>
      </c>
      <c r="CK138" s="518" t="str">
        <f>IF(AND(_F="B-737-900",'2024'!$G$4="CA",'2024'!$G$2=CK119),'2024DATA'!$D$21,"")</f>
        <v/>
      </c>
      <c r="CL138" s="518" t="str">
        <f>IF(AND(_F="B-737-900",'2024'!$G$4="CA",'2024'!$G$2=CL119),'2024DATA'!$E$21,"")</f>
        <v/>
      </c>
      <c r="CM138" s="518" t="str">
        <f>IF(AND(_F="B-737-900",'2024'!$G$4="CA",'2024'!$G$2=CM119),'2024DATA'!$F$21,"")</f>
        <v/>
      </c>
      <c r="CN138" s="518" t="str">
        <f>IF(AND(_F="B-737-900",'2024'!$G$4="CA",'2024'!$G$2=CN119),'2024DATA'!$G$21,"")</f>
        <v/>
      </c>
      <c r="CO138" s="518" t="str">
        <f>IF(AND(_F="B-737-900",'2024'!$G$4="CA",'2024'!$G$2=CO119),'2024DATA'!$H$21,"")</f>
        <v/>
      </c>
      <c r="CP138" s="518" t="str">
        <f>IF(AND(_F="B-737-900",'2024'!$G$4="CA",'2024'!$G$2=CP119),'2024DATA'!$I$21,"")</f>
        <v/>
      </c>
      <c r="CQ138" s="518" t="str">
        <f>IF(AND(_F="B-737-900",'2024'!$G$4="CA",'2024'!$G$2=CQ119),'2024DATA'!$J$21,"")</f>
        <v/>
      </c>
      <c r="CR138" s="518" t="str">
        <f>IF(AND(_F="B-737-900",'2024'!$G$4="CA",'2024'!$G$2=CR119),'2024DATA'!$K$21,"")</f>
        <v/>
      </c>
      <c r="CS138" s="518" t="str">
        <f>IF(AND(_F="B-737-900",'2024'!$G$4="CA",'2024'!$G$2=CS119),'2024DATA'!$L$21,"")</f>
        <v/>
      </c>
      <c r="CT138" s="518" t="str">
        <f>IF(AND(_F="B-737-900",'2024'!$G$4="CA",'2024'!$G$2=CT119),'2024DATA'!$M$21,"")</f>
        <v/>
      </c>
      <c r="CU138" s="520" t="str">
        <f>IF(AND(_F="B-737-900",'2024'!$G$4="CA",'2024'!$G$2=CU119),'2024DATA'!$N$21,"")</f>
        <v/>
      </c>
    </row>
    <row r="139" spans="16:99" x14ac:dyDescent="0.25">
      <c r="P139" s="940"/>
      <c r="Q139" s="13" t="s">
        <v>62</v>
      </c>
      <c r="R139" s="518" t="str">
        <f>IF(AND(_A="B-737-900",'2024'!$G$4="FO",'2024'!$G$2=R119),'2024DATA'!$C$22,"")</f>
        <v/>
      </c>
      <c r="S139" s="518" t="str">
        <f>IF(AND(_A="B-737-900",'2024'!$G$4="FO",'2024'!$G$2=S119),'2024DATA'!$D$22,"")</f>
        <v/>
      </c>
      <c r="T139" s="518" t="str">
        <f>IF(AND(_A="B-737-900",'2024'!$G$4="FO",'2024'!$G$2=T119),'2024DATA'!$E$22,"")</f>
        <v/>
      </c>
      <c r="U139" s="518" t="str">
        <f>IF(AND(_A="B-737-900",'2024'!$G$4="FO",'2024'!$G$2=U119),'2024DATA'!$F$22,"")</f>
        <v/>
      </c>
      <c r="V139" s="518" t="str">
        <f>IF(AND(_A="B-737-900",'2024'!$G$4="FO",'2024'!$G$2=V119),'2024DATA'!$G$22,"")</f>
        <v/>
      </c>
      <c r="W139" s="518" t="str">
        <f>IF(AND(_A="B-737-900",'2024'!$G$4="FO",'2024'!$G$2=W119),'2024DATA'!$H$22,"")</f>
        <v/>
      </c>
      <c r="X139" s="518" t="str">
        <f>IF(AND(_A="B-737-900",'2024'!$G$4="FO",'2024'!$G$2=X119),'2024DATA'!$I$22,"")</f>
        <v/>
      </c>
      <c r="Y139" s="518" t="str">
        <f>IF(AND(_A="B-737-900",'2024'!$G$4="FO",'2024'!$G$2=Y119),'2024DATA'!$J$22,"")</f>
        <v/>
      </c>
      <c r="Z139" s="518" t="str">
        <f>IF(AND(_A="B-737-900",'2024'!$G$4="FO",'2024'!$G$2=Z119),'2024DATA'!$K$22,"")</f>
        <v/>
      </c>
      <c r="AA139" s="518" t="str">
        <f>IF(AND(_A="B-737-900",'2024'!$G$4="FO",'2024'!$G$2=AA119),'2024DATA'!$L$22,"")</f>
        <v/>
      </c>
      <c r="AB139" s="518" t="str">
        <f>IF(AND(_A="B-737-900",'2024'!$G$4="FO",'2024'!$G$2=AB119),'2024DATA'!$M$22,"")</f>
        <v/>
      </c>
      <c r="AC139" s="520" t="str">
        <f>IF(AND(_A="B-737-900",'2024'!$G$4="FO",'2024'!$G$2=AC119),'2024DATA'!$N$22,"")</f>
        <v/>
      </c>
      <c r="AD139" s="940"/>
      <c r="AE139" s="13" t="s">
        <v>62</v>
      </c>
      <c r="AF139" s="518" t="str">
        <f>IF(AND(_B="B-737-900",'2024'!$G$4="FO",'2024'!$G$2=AF119),'2024DATA'!$C$22,"")</f>
        <v/>
      </c>
      <c r="AG139" s="518" t="str">
        <f>IF(AND(_B="B-737-900",'2024'!$G$4="FO",'2024'!$G$2=AG119),'2024DATA'!$D$22,"")</f>
        <v/>
      </c>
      <c r="AH139" s="518" t="str">
        <f>IF(AND(_B="B-737-900",'2024'!$G$4="FO",'2024'!$G$2=AH119),'2024DATA'!$E$22,"")</f>
        <v/>
      </c>
      <c r="AI139" s="518" t="str">
        <f>IF(AND(_B="B-737-900",'2024'!$G$4="FO",'2024'!$G$2=AI119),'2024DATA'!$F$22,"")</f>
        <v/>
      </c>
      <c r="AJ139" s="518" t="str">
        <f>IF(AND(_B="B-737-900",'2024'!$G$4="FO",'2024'!$G$2=AJ119),'2024DATA'!$G$22,"")</f>
        <v/>
      </c>
      <c r="AK139" s="518" t="str">
        <f>IF(AND(_B="B-737-900",'2024'!$G$4="FO",'2024'!$G$2=AK119),'2024DATA'!$H$22,"")</f>
        <v/>
      </c>
      <c r="AL139" s="518" t="str">
        <f>IF(AND(_B="B-737-900",'2024'!$G$4="FO",'2024'!$G$2=AL119),'2024DATA'!$I$22,"")</f>
        <v/>
      </c>
      <c r="AM139" s="518" t="str">
        <f>IF(AND(_B="B-737-900",'2024'!$G$4="FO",'2024'!$G$2=AM119),'2024DATA'!$J$22,"")</f>
        <v/>
      </c>
      <c r="AN139" s="518" t="str">
        <f>IF(AND(_B="B-737-900",'2024'!$G$4="FO",'2024'!$G$2=AN119),'2024DATA'!$K$22,"")</f>
        <v/>
      </c>
      <c r="AO139" s="518" t="str">
        <f>IF(AND(_B="B-737-900",'2024'!$G$4="FO",'2024'!$G$2=AO119),'2024DATA'!$L$22,"")</f>
        <v/>
      </c>
      <c r="AP139" s="518" t="str">
        <f>IF(AND(_B="B-737-900",'2024'!$G$4="FO",'2024'!$G$2=AP119),'2024DATA'!$M$22,"")</f>
        <v/>
      </c>
      <c r="AQ139" s="520" t="str">
        <f>IF(AND(_B="B-737-900",'2024'!$G$4="FO",'2024'!$G$2=AQ119),'2024DATA'!$N$22,"")</f>
        <v/>
      </c>
      <c r="AR139" s="940"/>
      <c r="AS139" s="13" t="s">
        <v>62</v>
      </c>
      <c r="AT139" s="518" t="str">
        <f>IF(AND(_C="B-737-900",'2024'!$G$4="FO",'2024'!$G$2=AT119),'2024DATA'!$C$22,"")</f>
        <v/>
      </c>
      <c r="AU139" s="518" t="str">
        <f>IF(AND(_C="B-737-900",'2024'!$G$4="FO",'2024'!$G$2=AU119),'2024DATA'!$D$22,"")</f>
        <v/>
      </c>
      <c r="AV139" s="518" t="str">
        <f>IF(AND(_C="B-737-900",'2024'!$G$4="FO",'2024'!$G$2=AV119),'2024DATA'!$E$22,"")</f>
        <v/>
      </c>
      <c r="AW139" s="518" t="str">
        <f>IF(AND(_C="B-737-900",'2024'!$G$4="FO",'2024'!$G$2=AW119),'2024DATA'!$F$22,"")</f>
        <v/>
      </c>
      <c r="AX139" s="518" t="str">
        <f>IF(AND(_C="B-737-900",'2024'!$G$4="FO",'2024'!$G$2=AX119),'2024DATA'!$G$22,"")</f>
        <v/>
      </c>
      <c r="AY139" s="518" t="str">
        <f>IF(AND(_C="B-737-900",'2024'!$G$4="FO",'2024'!$G$2=AY119),'2024DATA'!$H$22,"")</f>
        <v/>
      </c>
      <c r="AZ139" s="518" t="str">
        <f>IF(AND(_C="B-737-900",'2024'!$G$4="FO",'2024'!$G$2=AZ119),'2024DATA'!$I$22,"")</f>
        <v/>
      </c>
      <c r="BA139" s="518" t="str">
        <f>IF(AND(_C="B-737-900",'2024'!$G$4="FO",'2024'!$G$2=BA119),'2024DATA'!$J$22,"")</f>
        <v/>
      </c>
      <c r="BB139" s="518" t="str">
        <f>IF(AND(_C="B-737-900",'2024'!$G$4="FO",'2024'!$G$2=BB119),'2024DATA'!$K$22,"")</f>
        <v/>
      </c>
      <c r="BC139" s="518" t="str">
        <f>IF(AND(_C="B-737-900",'2024'!$G$4="FO",'2024'!$G$2=BC119),'2024DATA'!$L$22,"")</f>
        <v/>
      </c>
      <c r="BD139" s="518" t="str">
        <f>IF(AND(_C="B-737-900",'2024'!$G$4="FO",'2024'!$G$2=BD119),'2024DATA'!$M$22,"")</f>
        <v/>
      </c>
      <c r="BE139" s="520" t="str">
        <f>IF(AND(_C="B-737-900",'2024'!$G$4="FO",'2024'!$G$2=BE119),'2024DATA'!$N$22,"")</f>
        <v/>
      </c>
      <c r="BF139" s="940"/>
      <c r="BG139" s="13" t="s">
        <v>62</v>
      </c>
      <c r="BH139" s="518" t="str">
        <f>IF(AND(_D="B-737-900",'2024'!$G$4="FO",'2024'!$G$2=BH119),'2024DATA'!$C$22,"")</f>
        <v/>
      </c>
      <c r="BI139" s="518" t="str">
        <f>IF(AND(_D="B-737-900",'2024'!$G$4="FO",'2024'!$G$2=BI119),'2024DATA'!$D$22,"")</f>
        <v/>
      </c>
      <c r="BJ139" s="518" t="str">
        <f>IF(AND(_D="B-737-900",'2024'!$G$4="FO",'2024'!$G$2=BJ119),'2024DATA'!$E$22,"")</f>
        <v/>
      </c>
      <c r="BK139" s="518" t="str">
        <f>IF(AND(_D="B-737-900",'2024'!$G$4="FO",'2024'!$G$2=BK119),'2024DATA'!$F$22,"")</f>
        <v/>
      </c>
      <c r="BL139" s="518" t="str">
        <f>IF(AND(_D="B-737-900",'2024'!$G$4="FO",'2024'!$G$2=BL119),'2024DATA'!$G$22,"")</f>
        <v/>
      </c>
      <c r="BM139" s="518" t="str">
        <f>IF(AND(_D="B-737-900",'2024'!$G$4="FO",'2024'!$G$2=BM119),'2024DATA'!$H$22,"")</f>
        <v/>
      </c>
      <c r="BN139" s="518" t="str">
        <f>IF(AND(_D="B-737-900",'2024'!$G$4="FO",'2024'!$G$2=BN119),'2024DATA'!$I$22,"")</f>
        <v/>
      </c>
      <c r="BO139" s="518" t="str">
        <f>IF(AND(_D="B-737-900",'2024'!$G$4="FO",'2024'!$G$2=BO119),'2024DATA'!$J$22,"")</f>
        <v/>
      </c>
      <c r="BP139" s="518" t="str">
        <f>IF(AND(_D="B-737-900",'2024'!$G$4="FO",'2024'!$G$2=BP119),'2024DATA'!$K$22,"")</f>
        <v/>
      </c>
      <c r="BQ139" s="518" t="str">
        <f>IF(AND(_D="B-737-900",'2024'!$G$4="FO",'2024'!$G$2=BQ119),'2024DATA'!$L$22,"")</f>
        <v/>
      </c>
      <c r="BR139" s="518" t="str">
        <f>IF(AND(_D="B-737-900",'2024'!$G$4="FO",'2024'!$G$2=BR119),'2024DATA'!$M$22,"")</f>
        <v/>
      </c>
      <c r="BS139" s="520" t="str">
        <f>IF(AND(_D="B-737-900",'2024'!$G$4="FO",'2024'!$G$2=BS119),'2024DATA'!$N$22,"")</f>
        <v/>
      </c>
      <c r="BT139" s="940"/>
      <c r="BU139" s="13" t="s">
        <v>62</v>
      </c>
      <c r="BV139" s="518" t="str">
        <f>IF(AND(_E="B-737-900",'2024'!$G$4="FO",'2024'!$G$2=BV119),'2024DATA'!$C$22,"")</f>
        <v/>
      </c>
      <c r="BW139" s="518" t="str">
        <f>IF(AND(_E="B-737-900",'2024'!$G$4="FO",'2024'!$G$2=BW119),'2024DATA'!$D$22,"")</f>
        <v/>
      </c>
      <c r="BX139" s="518" t="str">
        <f>IF(AND(_E="B-737-900",'2024'!$G$4="FO",'2024'!$G$2=BX119),'2024DATA'!$E$22,"")</f>
        <v/>
      </c>
      <c r="BY139" s="518" t="str">
        <f>IF(AND(_E="B-737-900",'2024'!$G$4="FO",'2024'!$G$2=BY119),'2024DATA'!$F$22,"")</f>
        <v/>
      </c>
      <c r="BZ139" s="518" t="str">
        <f>IF(AND(_E="B-737-900",'2024'!$G$4="FO",'2024'!$G$2=BZ119),'2024DATA'!$G$22,"")</f>
        <v/>
      </c>
      <c r="CA139" s="518" t="str">
        <f>IF(AND(_E="B-737-900",'2024'!$G$4="FO",'2024'!$G$2=CA119),'2024DATA'!$H$22,"")</f>
        <v/>
      </c>
      <c r="CB139" s="518" t="str">
        <f>IF(AND(_E="B-737-900",'2024'!$G$4="FO",'2024'!$G$2=CB119),'2024DATA'!$I$22,"")</f>
        <v/>
      </c>
      <c r="CC139" s="518" t="str">
        <f>IF(AND(_E="B-737-900",'2024'!$G$4="FO",'2024'!$G$2=CC119),'2024DATA'!$J$22,"")</f>
        <v/>
      </c>
      <c r="CD139" s="518" t="str">
        <f>IF(AND(_E="B-737-900",'2024'!$G$4="FO",'2024'!$G$2=CD119),'2024DATA'!$K$22,"")</f>
        <v/>
      </c>
      <c r="CE139" s="518" t="str">
        <f>IF(AND(_E="B-737-900",'2024'!$G$4="FO",'2024'!$G$2=CE119),'2024DATA'!$L$22,"")</f>
        <v/>
      </c>
      <c r="CF139" s="518" t="str">
        <f>IF(AND(_E="B-737-900",'2024'!$G$4="FO",'2024'!$G$2=CF119),'2024DATA'!$M$22,"")</f>
        <v/>
      </c>
      <c r="CG139" s="520" t="str">
        <f>IF(AND(_E="B-737-900",'2024'!$G$4="FO",'2024'!$G$2=CG119),'2024DATA'!$N$22,"")</f>
        <v/>
      </c>
      <c r="CH139" s="940"/>
      <c r="CI139" s="13" t="s">
        <v>62</v>
      </c>
      <c r="CJ139" s="518" t="str">
        <f>IF(AND(_F="B-737-900",'2024'!$G$4="FO",'2024'!$G$2=CJ119),'2024DATA'!$C$22,"")</f>
        <v/>
      </c>
      <c r="CK139" s="518" t="str">
        <f>IF(AND(_F="B-737-900",'2024'!$G$4="FO",'2024'!$G$2=CK119),'2024DATA'!$D$22,"")</f>
        <v/>
      </c>
      <c r="CL139" s="518" t="str">
        <f>IF(AND(_F="B-737-900",'2024'!$G$4="FO",'2024'!$G$2=CL119),'2024DATA'!$E$22,"")</f>
        <v/>
      </c>
      <c r="CM139" s="518" t="str">
        <f>IF(AND(_F="B-737-900",'2024'!$G$4="FO",'2024'!$G$2=CM119),'2024DATA'!$F$22,"")</f>
        <v/>
      </c>
      <c r="CN139" s="518" t="str">
        <f>IF(AND(_F="B-737-900",'2024'!$G$4="FO",'2024'!$G$2=CN119),'2024DATA'!$G$22,"")</f>
        <v/>
      </c>
      <c r="CO139" s="518" t="str">
        <f>IF(AND(_F="B-737-900",'2024'!$G$4="FO",'2024'!$G$2=CO119),'2024DATA'!$H$22,"")</f>
        <v/>
      </c>
      <c r="CP139" s="518" t="str">
        <f>IF(AND(_F="B-737-900",'2024'!$G$4="FO",'2024'!$G$2=CP119),'2024DATA'!$I$22,"")</f>
        <v/>
      </c>
      <c r="CQ139" s="518" t="str">
        <f>IF(AND(_F="B-737-900",'2024'!$G$4="FO",'2024'!$G$2=CQ119),'2024DATA'!$J$22,"")</f>
        <v/>
      </c>
      <c r="CR139" s="518" t="str">
        <f>IF(AND(_F="B-737-900",'2024'!$G$4="FO",'2024'!$G$2=CR119),'2024DATA'!$K$22,"")</f>
        <v/>
      </c>
      <c r="CS139" s="518" t="str">
        <f>IF(AND(_F="B-737-900",'2024'!$G$4="FO",'2024'!$G$2=CS119),'2024DATA'!$L$22,"")</f>
        <v/>
      </c>
      <c r="CT139" s="518" t="str">
        <f>IF(AND(_F="B-737-900",'2024'!$G$4="FO",'2024'!$G$2=CT119),'2024DATA'!$M$22,"")</f>
        <v/>
      </c>
      <c r="CU139" s="520" t="str">
        <f>IF(AND(_F="B-737-900",'2024'!$G$4="FO",'2024'!$G$2=CU119),'2024DATA'!$N$22,"")</f>
        <v/>
      </c>
    </row>
    <row r="140" spans="16:99" x14ac:dyDescent="0.25">
      <c r="P140" s="940" t="s">
        <v>69</v>
      </c>
      <c r="Q140" s="13" t="s">
        <v>61</v>
      </c>
      <c r="R140" s="518" t="str">
        <f>IF(AND(_A="B-737-800",'2024'!$G$4="CA",'2024'!$G$2=R119),'2024DATA'!$C$23,"")</f>
        <v/>
      </c>
      <c r="S140" s="518" t="str">
        <f>IF(AND(_A="B-737-800",'2024'!$G$4="CA",'2024'!$G$2=S119),'2024DATA'!$D$23,"")</f>
        <v/>
      </c>
      <c r="T140" s="518" t="str">
        <f>IF(AND(_A="B-737-800",'2024'!$G$4="CA",'2024'!$G$2=T119),'2024DATA'!$E$23,"")</f>
        <v/>
      </c>
      <c r="U140" s="518" t="str">
        <f>IF(AND(_A="B-737-800",'2024'!$G$4="CA",'2024'!$G$2=U119),'2024DATA'!$F$23,"")</f>
        <v/>
      </c>
      <c r="V140" s="518" t="str">
        <f>IF(AND(_A="B-737-800",'2024'!$G$4="CA",'2024'!$G$2=V119),'2024DATA'!$G$23,"")</f>
        <v/>
      </c>
      <c r="W140" s="518" t="str">
        <f>IF(AND(_A="B-737-800",'2024'!$G$4="CA",'2024'!$G$2=W119),'2024DATA'!$H$23,"")</f>
        <v/>
      </c>
      <c r="X140" s="518" t="str">
        <f>IF(AND(_A="B-737-800",'2024'!$G$4="CA",'2024'!$G$2=X119),'2024DATA'!$I$23,"")</f>
        <v/>
      </c>
      <c r="Y140" s="518" t="str">
        <f>IF(AND(_A="B-737-800",'2024'!$G$4="CA",'2024'!$G$2=Y119),'2024DATA'!$J$23,"")</f>
        <v/>
      </c>
      <c r="Z140" s="518" t="str">
        <f>IF(AND(_A="B-737-800",'2024'!$G$4="CA",'2024'!$G$2=Z119),'2024DATA'!$K$23,"")</f>
        <v/>
      </c>
      <c r="AA140" s="518" t="str">
        <f>IF(AND(_A="B-737-800",'2024'!$G$4="CA",'2024'!$G$2=AA119),'2024DATA'!$L$23,"")</f>
        <v/>
      </c>
      <c r="AB140" s="518" t="str">
        <f>IF(AND(_A="B-737-800",'2024'!$G$4="CA",'2024'!$G$2=AB119),'2024DATA'!$M$23,"")</f>
        <v/>
      </c>
      <c r="AC140" s="520" t="str">
        <f>IF(AND(_A="B-737-800",'2024'!$G$4="CA",'2024'!$G$2=AC119),'2024DATA'!$N$23,"")</f>
        <v/>
      </c>
      <c r="AD140" s="940" t="s">
        <v>69</v>
      </c>
      <c r="AE140" s="13" t="s">
        <v>61</v>
      </c>
      <c r="AF140" s="518" t="str">
        <f>IF(AND(_B="B-737-800",'2024'!$G$4="CA",'2024'!$G$2=AF119),'2024DATA'!$C$23,"")</f>
        <v/>
      </c>
      <c r="AG140" s="518" t="str">
        <f>IF(AND(_B="B-737-800",'2024'!$G$4="CA",'2024'!$G$2=AG119),'2024DATA'!$D$23,"")</f>
        <v/>
      </c>
      <c r="AH140" s="518" t="str">
        <f>IF(AND(_B="B-737-800",'2024'!$G$4="CA",'2024'!$G$2=AH119),'2024DATA'!$E$23,"")</f>
        <v/>
      </c>
      <c r="AI140" s="518" t="str">
        <f>IF(AND(_B="B-737-800",'2024'!$G$4="CA",'2024'!$G$2=AI119),'2024DATA'!$F$23,"")</f>
        <v/>
      </c>
      <c r="AJ140" s="518" t="str">
        <f>IF(AND(_B="B-737-800",'2024'!$G$4="CA",'2024'!$G$2=AJ119),'2024DATA'!$G$23,"")</f>
        <v/>
      </c>
      <c r="AK140" s="518" t="str">
        <f>IF(AND(_B="B-737-800",'2024'!$G$4="CA",'2024'!$G$2=AK119),'2024DATA'!$H$23,"")</f>
        <v/>
      </c>
      <c r="AL140" s="518" t="str">
        <f>IF(AND(_B="B-737-800",'2024'!$G$4="CA",'2024'!$G$2=AL119),'2024DATA'!$I$23,"")</f>
        <v/>
      </c>
      <c r="AM140" s="518" t="str">
        <f>IF(AND(_B="B-737-800",'2024'!$G$4="CA",'2024'!$G$2=AM119),'2024DATA'!$J$23,"")</f>
        <v/>
      </c>
      <c r="AN140" s="518" t="str">
        <f>IF(AND(_B="B-737-800",'2024'!$G$4="CA",'2024'!$G$2=AN119),'2024DATA'!$K$23,"")</f>
        <v/>
      </c>
      <c r="AO140" s="518" t="str">
        <f>IF(AND(_B="B-737-800",'2024'!$G$4="CA",'2024'!$G$2=AO119),'2024DATA'!$L$23,"")</f>
        <v/>
      </c>
      <c r="AP140" s="518" t="str">
        <f>IF(AND(_B="B-737-800",'2024'!$G$4="CA",'2024'!$G$2=AP119),'2024DATA'!$M$23,"")</f>
        <v/>
      </c>
      <c r="AQ140" s="520" t="str">
        <f>IF(AND(_B="B-737-800",'2024'!$G$4="CA",'2024'!$G$2=AQ119),'2024DATA'!$N$23,"")</f>
        <v/>
      </c>
      <c r="AR140" s="940" t="s">
        <v>69</v>
      </c>
      <c r="AS140" s="13" t="s">
        <v>61</v>
      </c>
      <c r="AT140" s="518" t="str">
        <f>IF(AND(_C="B-737-800",'2024'!$G$4="CA",'2024'!$G$2=AT119),'2024DATA'!$C$23,"")</f>
        <v/>
      </c>
      <c r="AU140" s="518" t="str">
        <f>IF(AND(_C="B-737-800",'2024'!$G$4="CA",'2024'!$G$2=AU119),'2024DATA'!$D$23,"")</f>
        <v/>
      </c>
      <c r="AV140" s="518" t="str">
        <f>IF(AND(_C="B-737-800",'2024'!$G$4="CA",'2024'!$G$2=AV119),'2024DATA'!$E$23,"")</f>
        <v/>
      </c>
      <c r="AW140" s="518" t="str">
        <f>IF(AND(_C="B-737-800",'2024'!$G$4="CA",'2024'!$G$2=AW119),'2024DATA'!$F$23,"")</f>
        <v/>
      </c>
      <c r="AX140" s="518" t="str">
        <f>IF(AND(_C="B-737-800",'2024'!$G$4="CA",'2024'!$G$2=AX119),'2024DATA'!$G$23,"")</f>
        <v/>
      </c>
      <c r="AY140" s="518" t="str">
        <f>IF(AND(_C="B-737-800",'2024'!$G$4="CA",'2024'!$G$2=AY119),'2024DATA'!$H$23,"")</f>
        <v/>
      </c>
      <c r="AZ140" s="518" t="str">
        <f>IF(AND(_C="B-737-800",'2024'!$G$4="CA",'2024'!$G$2=AZ119),'2024DATA'!$I$23,"")</f>
        <v/>
      </c>
      <c r="BA140" s="518" t="str">
        <f>IF(AND(_C="B-737-800",'2024'!$G$4="CA",'2024'!$G$2=BA119),'2024DATA'!$J$23,"")</f>
        <v/>
      </c>
      <c r="BB140" s="518" t="str">
        <f>IF(AND(_C="B-737-800",'2024'!$G$4="CA",'2024'!$G$2=BB119),'2024DATA'!$K$23,"")</f>
        <v/>
      </c>
      <c r="BC140" s="518" t="str">
        <f>IF(AND(_C="B-737-800",'2024'!$G$4="CA",'2024'!$G$2=BC119),'2024DATA'!$L$23,"")</f>
        <v/>
      </c>
      <c r="BD140" s="518" t="str">
        <f>IF(AND(_C="B-737-800",'2024'!$G$4="CA",'2024'!$G$2=BD119),'2024DATA'!$M$23,"")</f>
        <v/>
      </c>
      <c r="BE140" s="520" t="str">
        <f>IF(AND(_C="B-737-800",'2024'!$G$4="CA",'2024'!$G$2=BE119),'2024DATA'!$N$23,"")</f>
        <v/>
      </c>
      <c r="BF140" s="940" t="s">
        <v>69</v>
      </c>
      <c r="BG140" s="13" t="s">
        <v>61</v>
      </c>
      <c r="BH140" s="518" t="str">
        <f>IF(AND(_D="B-737-800",'2024'!$G$4="CA",'2024'!$G$2=BH119),'2024DATA'!$C$23,"")</f>
        <v/>
      </c>
      <c r="BI140" s="518" t="str">
        <f>IF(AND(_D="B-737-800",'2024'!$G$4="CA",'2024'!$G$2=BI119),'2024DATA'!$D$23,"")</f>
        <v/>
      </c>
      <c r="BJ140" s="518" t="str">
        <f>IF(AND(_D="B-737-800",'2024'!$G$4="CA",'2024'!$G$2=BJ119),'2024DATA'!$E$23,"")</f>
        <v/>
      </c>
      <c r="BK140" s="518" t="str">
        <f>IF(AND(_D="B-737-800",'2024'!$G$4="CA",'2024'!$G$2=BK119),'2024DATA'!$F$23,"")</f>
        <v/>
      </c>
      <c r="BL140" s="518" t="str">
        <f>IF(AND(_D="B-737-800",'2024'!$G$4="CA",'2024'!$G$2=BL119),'2024DATA'!$G$23,"")</f>
        <v/>
      </c>
      <c r="BM140" s="518" t="str">
        <f>IF(AND(_D="B-737-800",'2024'!$G$4="CA",'2024'!$G$2=BM119),'2024DATA'!$H$23,"")</f>
        <v/>
      </c>
      <c r="BN140" s="518" t="str">
        <f>IF(AND(_D="B-737-800",'2024'!$G$4="CA",'2024'!$G$2=BN119),'2024DATA'!$I$23,"")</f>
        <v/>
      </c>
      <c r="BO140" s="518" t="str">
        <f>IF(AND(_D="B-737-800",'2024'!$G$4="CA",'2024'!$G$2=BO119),'2024DATA'!$J$23,"")</f>
        <v/>
      </c>
      <c r="BP140" s="518" t="str">
        <f>IF(AND(_D="B-737-800",'2024'!$G$4="CA",'2024'!$G$2=BP119),'2024DATA'!$K$23,"")</f>
        <v/>
      </c>
      <c r="BQ140" s="518" t="str">
        <f>IF(AND(_D="B-737-800",'2024'!$G$4="CA",'2024'!$G$2=BQ119),'2024DATA'!$L$23,"")</f>
        <v/>
      </c>
      <c r="BR140" s="518" t="str">
        <f>IF(AND(_D="B-737-800",'2024'!$G$4="CA",'2024'!$G$2=BR119),'2024DATA'!$M$23,"")</f>
        <v/>
      </c>
      <c r="BS140" s="520" t="str">
        <f>IF(AND(_D="B-737-800",'2024'!$G$4="CA",'2024'!$G$2=BS119),'2024DATA'!$N$23,"")</f>
        <v/>
      </c>
      <c r="BT140" s="940" t="s">
        <v>69</v>
      </c>
      <c r="BU140" s="13" t="s">
        <v>61</v>
      </c>
      <c r="BV140" s="518" t="str">
        <f>IF(AND(_E="B-737-800",'2024'!$G$4="CA",'2024'!$G$2=BV119),'2024DATA'!$C$23,"")</f>
        <v/>
      </c>
      <c r="BW140" s="518" t="str">
        <f>IF(AND(_E="B-737-800",'2024'!$G$4="CA",'2024'!$G$2=BW119),'2024DATA'!$D$23,"")</f>
        <v/>
      </c>
      <c r="BX140" s="518" t="str">
        <f>IF(AND(_E="B-737-800",'2024'!$G$4="CA",'2024'!$G$2=BX119),'2024DATA'!$E$23,"")</f>
        <v/>
      </c>
      <c r="BY140" s="518" t="str">
        <f>IF(AND(_E="B-737-800",'2024'!$G$4="CA",'2024'!$G$2=BY119),'2024DATA'!$F$23,"")</f>
        <v/>
      </c>
      <c r="BZ140" s="518" t="str">
        <f>IF(AND(_E="B-737-800",'2024'!$G$4="CA",'2024'!$G$2=BZ119),'2024DATA'!$G$23,"")</f>
        <v/>
      </c>
      <c r="CA140" s="518" t="str">
        <f>IF(AND(_E="B-737-800",'2024'!$G$4="CA",'2024'!$G$2=CA119),'2024DATA'!$H$23,"")</f>
        <v/>
      </c>
      <c r="CB140" s="518" t="str">
        <f>IF(AND(_E="B-737-800",'2024'!$G$4="CA",'2024'!$G$2=CB119),'2024DATA'!$I$23,"")</f>
        <v/>
      </c>
      <c r="CC140" s="518" t="str">
        <f>IF(AND(_E="B-737-800",'2024'!$G$4="CA",'2024'!$G$2=CC119),'2024DATA'!$J$23,"")</f>
        <v/>
      </c>
      <c r="CD140" s="518" t="str">
        <f>IF(AND(_E="B-737-800",'2024'!$G$4="CA",'2024'!$G$2=CD119),'2024DATA'!$K$23,"")</f>
        <v/>
      </c>
      <c r="CE140" s="518" t="str">
        <f>IF(AND(_E="B-737-800",'2024'!$G$4="CA",'2024'!$G$2=CE119),'2024DATA'!$L$23,"")</f>
        <v/>
      </c>
      <c r="CF140" s="518" t="str">
        <f>IF(AND(_E="B-737-800",'2024'!$G$4="CA",'2024'!$G$2=CF119),'2024DATA'!$M$23,"")</f>
        <v/>
      </c>
      <c r="CG140" s="520" t="str">
        <f>IF(AND(_E="B-737-800",'2024'!$G$4="CA",'2024'!$G$2=CG119),'2024DATA'!$N$23,"")</f>
        <v/>
      </c>
      <c r="CH140" s="940" t="s">
        <v>69</v>
      </c>
      <c r="CI140" s="13" t="s">
        <v>61</v>
      </c>
      <c r="CJ140" s="518" t="str">
        <f>IF(AND(_F="B-737-800",'2024'!$G$4="CA",'2024'!$G$2=CJ119),'2024DATA'!$C$23,"")</f>
        <v/>
      </c>
      <c r="CK140" s="518" t="str">
        <f>IF(AND(_F="B-737-800",'2024'!$G$4="CA",'2024'!$G$2=CK119),'2024DATA'!$D$23,"")</f>
        <v/>
      </c>
      <c r="CL140" s="518" t="str">
        <f>IF(AND(_F="B-737-800",'2024'!$G$4="CA",'2024'!$G$2=CL119),'2024DATA'!$E$23,"")</f>
        <v/>
      </c>
      <c r="CM140" s="518" t="str">
        <f>IF(AND(_F="B-737-800",'2024'!$G$4="CA",'2024'!$G$2=CM119),'2024DATA'!$F$23,"")</f>
        <v/>
      </c>
      <c r="CN140" s="518" t="str">
        <f>IF(AND(_F="B-737-800",'2024'!$G$4="CA",'2024'!$G$2=CN119),'2024DATA'!$G$23,"")</f>
        <v/>
      </c>
      <c r="CO140" s="518" t="str">
        <f>IF(AND(_F="B-737-800",'2024'!$G$4="CA",'2024'!$G$2=CO119),'2024DATA'!$H$23,"")</f>
        <v/>
      </c>
      <c r="CP140" s="518" t="str">
        <f>IF(AND(_F="B-737-800",'2024'!$G$4="CA",'2024'!$G$2=CP119),'2024DATA'!$I$23,"")</f>
        <v/>
      </c>
      <c r="CQ140" s="518" t="str">
        <f>IF(AND(_F="B-737-800",'2024'!$G$4="CA",'2024'!$G$2=CQ119),'2024DATA'!$J$23,"")</f>
        <v/>
      </c>
      <c r="CR140" s="518" t="str">
        <f>IF(AND(_F="B-737-800",'2024'!$G$4="CA",'2024'!$G$2=CR119),'2024DATA'!$K$23,"")</f>
        <v/>
      </c>
      <c r="CS140" s="518" t="str">
        <f>IF(AND(_F="B-737-800",'2024'!$G$4="CA",'2024'!$G$2=CS119),'2024DATA'!$L$23,"")</f>
        <v/>
      </c>
      <c r="CT140" s="518" t="str">
        <f>IF(AND(_F="B-737-800",'2024'!$G$4="CA",'2024'!$G$2=CT119),'2024DATA'!$M$23,"")</f>
        <v/>
      </c>
      <c r="CU140" s="520" t="str">
        <f>IF(AND(_F="B-737-800",'2024'!$G$4="CA",'2024'!$G$2=CU119),'2024DATA'!$N$23,"")</f>
        <v/>
      </c>
    </row>
    <row r="141" spans="16:99" x14ac:dyDescent="0.25">
      <c r="P141" s="940"/>
      <c r="Q141" s="13" t="s">
        <v>62</v>
      </c>
      <c r="R141" s="518" t="str">
        <f>IF(AND(_A="B-737-800",'2024'!$G$4="FO",'2024'!$G$2=R119),'2024DATA'!$C$24,"")</f>
        <v/>
      </c>
      <c r="S141" s="518" t="str">
        <f>IF(AND(_A="B-737-800",'2024'!$G$4="FO",'2024'!$G$2=S119),'2024DATA'!$D$24,"")</f>
        <v/>
      </c>
      <c r="T141" s="518" t="str">
        <f>IF(AND(_A="B-737-800",'2024'!$G$4="FO",'2024'!$G$2=T119),'2024DATA'!$E$24,"")</f>
        <v/>
      </c>
      <c r="U141" s="518" t="str">
        <f>IF(AND(_A="B-737-800",'2024'!$G$4="FO",'2024'!$G$2=U119),'2024DATA'!$F$24,"")</f>
        <v/>
      </c>
      <c r="V141" s="518" t="str">
        <f>IF(AND(_A="B-737-800",'2024'!$G$4="FO",'2024'!$G$2=V119),'2024DATA'!$G$24,"")</f>
        <v/>
      </c>
      <c r="W141" s="518" t="str">
        <f>IF(AND(_A="B-737-800",'2024'!$G$4="FO",'2024'!$G$2=W119),'2024DATA'!$H$24,"")</f>
        <v/>
      </c>
      <c r="X141" s="518" t="str">
        <f>IF(AND(_A="B-737-800",'2024'!$G$4="FO",'2024'!$G$2=X119),'2024DATA'!$I$24,"")</f>
        <v/>
      </c>
      <c r="Y141" s="518" t="str">
        <f>IF(AND(_A="B-737-800",'2024'!$G$4="FO",'2024'!$G$2=Y119),'2024DATA'!$J$24,"")</f>
        <v/>
      </c>
      <c r="Z141" s="518" t="str">
        <f>IF(AND(_A="B-737-800",'2024'!$G$4="FO",'2024'!$G$2=Z119),'2024DATA'!$K$24,"")</f>
        <v/>
      </c>
      <c r="AA141" s="518" t="str">
        <f>IF(AND(_A="B-737-800",'2024'!$G$4="FO",'2024'!$G$2=AA119),'2024DATA'!$L$24,"")</f>
        <v/>
      </c>
      <c r="AB141" s="518" t="str">
        <f>IF(AND(_A="B-737-800",'2024'!$G$4="FO",'2024'!$G$2=AB119),'2024DATA'!$M$24,"")</f>
        <v/>
      </c>
      <c r="AC141" s="520" t="str">
        <f>IF(AND(_A="B-737-800",'2024'!$G$4="FO",'2024'!$G$2=AC119),'2024DATA'!$N$24,"")</f>
        <v/>
      </c>
      <c r="AD141" s="940"/>
      <c r="AE141" s="13" t="s">
        <v>62</v>
      </c>
      <c r="AF141" s="518" t="str">
        <f>IF(AND(_B="B-737-800",'2024'!$G$4="FO",'2024'!$G$2=AF119),'2024DATA'!$C$24,"")</f>
        <v/>
      </c>
      <c r="AG141" s="518" t="str">
        <f>IF(AND(_B="B-737-800",'2024'!$G$4="FO",'2024'!$G$2=AG119),'2024DATA'!$D$24,"")</f>
        <v/>
      </c>
      <c r="AH141" s="518" t="str">
        <f>IF(AND(_B="B-737-800",'2024'!$G$4="FO",'2024'!$G$2=AH119),'2024DATA'!$E$24,"")</f>
        <v/>
      </c>
      <c r="AI141" s="518" t="str">
        <f>IF(AND(_B="B-737-800",'2024'!$G$4="FO",'2024'!$G$2=AI119),'2024DATA'!$F$24,"")</f>
        <v/>
      </c>
      <c r="AJ141" s="518" t="str">
        <f>IF(AND(_B="B-737-800",'2024'!$G$4="FO",'2024'!$G$2=AJ119),'2024DATA'!$G$24,"")</f>
        <v/>
      </c>
      <c r="AK141" s="518" t="str">
        <f>IF(AND(_B="B-737-800",'2024'!$G$4="FO",'2024'!$G$2=AK119),'2024DATA'!$H$24,"")</f>
        <v/>
      </c>
      <c r="AL141" s="518" t="str">
        <f>IF(AND(_B="B-737-800",'2024'!$G$4="FO",'2024'!$G$2=AL119),'2024DATA'!$I$24,"")</f>
        <v/>
      </c>
      <c r="AM141" s="518" t="str">
        <f>IF(AND(_B="B-737-800",'2024'!$G$4="FO",'2024'!$G$2=AM119),'2024DATA'!$J$24,"")</f>
        <v/>
      </c>
      <c r="AN141" s="518" t="str">
        <f>IF(AND(_B="B-737-800",'2024'!$G$4="FO",'2024'!$G$2=AN119),'2024DATA'!$K$24,"")</f>
        <v/>
      </c>
      <c r="AO141" s="518" t="str">
        <f>IF(AND(_B="B-737-800",'2024'!$G$4="FO",'2024'!$G$2=AO119),'2024DATA'!$L$24,"")</f>
        <v/>
      </c>
      <c r="AP141" s="518" t="str">
        <f>IF(AND(_B="B-737-800",'2024'!$G$4="FO",'2024'!$G$2=AP119),'2024DATA'!$M$24,"")</f>
        <v/>
      </c>
      <c r="AQ141" s="520" t="str">
        <f>IF(AND(_B="B-737-800",'2024'!$G$4="FO",'2024'!$G$2=AQ119),'2024DATA'!$N$24,"")</f>
        <v/>
      </c>
      <c r="AR141" s="940"/>
      <c r="AS141" s="13" t="s">
        <v>62</v>
      </c>
      <c r="AT141" s="518" t="str">
        <f>IF(AND(_C="B-737-800",'2024'!$G$4="FO",'2024'!$G$2=AT119),'2024DATA'!$C$24,"")</f>
        <v/>
      </c>
      <c r="AU141" s="518" t="str">
        <f>IF(AND(_C="B-737-800",'2024'!$G$4="FO",'2024'!$G$2=AU119),'2024DATA'!$D$24,"")</f>
        <v/>
      </c>
      <c r="AV141" s="518" t="str">
        <f>IF(AND(_C="B-737-800",'2024'!$G$4="FO",'2024'!$G$2=AV119),'2024DATA'!$E$24,"")</f>
        <v/>
      </c>
      <c r="AW141" s="518" t="str">
        <f>IF(AND(_C="B-737-800",'2024'!$G$4="FO",'2024'!$G$2=AW119),'2024DATA'!$F$24,"")</f>
        <v/>
      </c>
      <c r="AX141" s="518" t="str">
        <f>IF(AND(_C="B-737-800",'2024'!$G$4="FO",'2024'!$G$2=AX119),'2024DATA'!$G$24,"")</f>
        <v/>
      </c>
      <c r="AY141" s="518" t="str">
        <f>IF(AND(_C="B-737-800",'2024'!$G$4="FO",'2024'!$G$2=AY119),'2024DATA'!$H$24,"")</f>
        <v/>
      </c>
      <c r="AZ141" s="518" t="str">
        <f>IF(AND(_C="B-737-800",'2024'!$G$4="FO",'2024'!$G$2=AZ119),'2024DATA'!$I$24,"")</f>
        <v/>
      </c>
      <c r="BA141" s="518" t="str">
        <f>IF(AND(_C="B-737-800",'2024'!$G$4="FO",'2024'!$G$2=BA119),'2024DATA'!$J$24,"")</f>
        <v/>
      </c>
      <c r="BB141" s="518" t="str">
        <f>IF(AND(_C="B-737-800",'2024'!$G$4="FO",'2024'!$G$2=BB119),'2024DATA'!$K$24,"")</f>
        <v/>
      </c>
      <c r="BC141" s="518" t="str">
        <f>IF(AND(_C="B-737-800",'2024'!$G$4="FO",'2024'!$G$2=BC119),'2024DATA'!$L$24,"")</f>
        <v/>
      </c>
      <c r="BD141" s="518" t="str">
        <f>IF(AND(_C="B-737-800",'2024'!$G$4="FO",'2024'!$G$2=BD119),'2024DATA'!$M$24,"")</f>
        <v/>
      </c>
      <c r="BE141" s="520" t="str">
        <f>IF(AND(_C="B-737-800",'2024'!$G$4="FO",'2024'!$G$2=BE119),'2024DATA'!$N$24,"")</f>
        <v/>
      </c>
      <c r="BF141" s="940"/>
      <c r="BG141" s="13" t="s">
        <v>62</v>
      </c>
      <c r="BH141" s="518" t="str">
        <f>IF(AND(_D="B-737-800",'2024'!$G$4="FO",'2024'!$G$2=BH119),'2024DATA'!$C$24,"")</f>
        <v/>
      </c>
      <c r="BI141" s="518" t="str">
        <f>IF(AND(_D="B-737-800",'2024'!$G$4="FO",'2024'!$G$2=BI119),'2024DATA'!$D$24,"")</f>
        <v/>
      </c>
      <c r="BJ141" s="518" t="str">
        <f>IF(AND(_D="B-737-800",'2024'!$G$4="FO",'2024'!$G$2=BJ119),'2024DATA'!$E$24,"")</f>
        <v/>
      </c>
      <c r="BK141" s="518" t="str">
        <f>IF(AND(_D="B-737-800",'2024'!$G$4="FO",'2024'!$G$2=BK119),'2024DATA'!$F$24,"")</f>
        <v/>
      </c>
      <c r="BL141" s="518" t="str">
        <f>IF(AND(_D="B-737-800",'2024'!$G$4="FO",'2024'!$G$2=BL119),'2024DATA'!$G$24,"")</f>
        <v/>
      </c>
      <c r="BM141" s="518" t="str">
        <f>IF(AND(_D="B-737-800",'2024'!$G$4="FO",'2024'!$G$2=BM119),'2024DATA'!$H$24,"")</f>
        <v/>
      </c>
      <c r="BN141" s="518" t="str">
        <f>IF(AND(_D="B-737-800",'2024'!$G$4="FO",'2024'!$G$2=BN119),'2024DATA'!$I$24,"")</f>
        <v/>
      </c>
      <c r="BO141" s="518" t="str">
        <f>IF(AND(_D="B-737-800",'2024'!$G$4="FO",'2024'!$G$2=BO119),'2024DATA'!$J$24,"")</f>
        <v/>
      </c>
      <c r="BP141" s="518" t="str">
        <f>IF(AND(_D="B-737-800",'2024'!$G$4="FO",'2024'!$G$2=BP119),'2024DATA'!$K$24,"")</f>
        <v/>
      </c>
      <c r="BQ141" s="518" t="str">
        <f>IF(AND(_D="B-737-800",'2024'!$G$4="FO",'2024'!$G$2=BQ119),'2024DATA'!$L$24,"")</f>
        <v/>
      </c>
      <c r="BR141" s="518" t="str">
        <f>IF(AND(_D="B-737-800",'2024'!$G$4="FO",'2024'!$G$2=BR119),'2024DATA'!$M$24,"")</f>
        <v/>
      </c>
      <c r="BS141" s="520" t="str">
        <f>IF(AND(_D="B-737-800",'2024'!$G$4="FO",'2024'!$G$2=BS119),'2024DATA'!$N$24,"")</f>
        <v/>
      </c>
      <c r="BT141" s="940"/>
      <c r="BU141" s="13" t="s">
        <v>62</v>
      </c>
      <c r="BV141" s="518" t="str">
        <f>IF(AND(_E="B-737-800",'2024'!$G$4="FO",'2024'!$G$2=BV119),'2024DATA'!$C$24,"")</f>
        <v/>
      </c>
      <c r="BW141" s="518" t="str">
        <f>IF(AND(_E="B-737-800",'2024'!$G$4="FO",'2024'!$G$2=BW119),'2024DATA'!$D$24,"")</f>
        <v/>
      </c>
      <c r="BX141" s="518" t="str">
        <f>IF(AND(_E="B-737-800",'2024'!$G$4="FO",'2024'!$G$2=BX119),'2024DATA'!$E$24,"")</f>
        <v/>
      </c>
      <c r="BY141" s="518" t="str">
        <f>IF(AND(_E="B-737-800",'2024'!$G$4="FO",'2024'!$G$2=BY119),'2024DATA'!$F$24,"")</f>
        <v/>
      </c>
      <c r="BZ141" s="518" t="str">
        <f>IF(AND(_E="B-737-800",'2024'!$G$4="FO",'2024'!$G$2=BZ119),'2024DATA'!$G$24,"")</f>
        <v/>
      </c>
      <c r="CA141" s="518" t="str">
        <f>IF(AND(_E="B-737-800",'2024'!$G$4="FO",'2024'!$G$2=CA119),'2024DATA'!$H$24,"")</f>
        <v/>
      </c>
      <c r="CB141" s="518" t="str">
        <f>IF(AND(_E="B-737-800",'2024'!$G$4="FO",'2024'!$G$2=CB119),'2024DATA'!$I$24,"")</f>
        <v/>
      </c>
      <c r="CC141" s="518" t="str">
        <f>IF(AND(_E="B-737-800",'2024'!$G$4="FO",'2024'!$G$2=CC119),'2024DATA'!$J$24,"")</f>
        <v/>
      </c>
      <c r="CD141" s="518" t="str">
        <f>IF(AND(_E="B-737-800",'2024'!$G$4="FO",'2024'!$G$2=CD119),'2024DATA'!$K$24,"")</f>
        <v/>
      </c>
      <c r="CE141" s="518" t="str">
        <f>IF(AND(_E="B-737-800",'2024'!$G$4="FO",'2024'!$G$2=CE119),'2024DATA'!$L$24,"")</f>
        <v/>
      </c>
      <c r="CF141" s="518" t="str">
        <f>IF(AND(_E="B-737-800",'2024'!$G$4="FO",'2024'!$G$2=CF119),'2024DATA'!$M$24,"")</f>
        <v/>
      </c>
      <c r="CG141" s="520" t="str">
        <f>IF(AND(_E="B-737-800",'2024'!$G$4="FO",'2024'!$G$2=CG119),'2024DATA'!$N$24,"")</f>
        <v/>
      </c>
      <c r="CH141" s="940"/>
      <c r="CI141" s="13" t="s">
        <v>62</v>
      </c>
      <c r="CJ141" s="518" t="str">
        <f>IF(AND(_F="B-737-800",'2024'!$G$4="FO",'2024'!$G$2=CJ119),'2024DATA'!$C$24,"")</f>
        <v/>
      </c>
      <c r="CK141" s="518" t="str">
        <f>IF(AND(_F="B-737-800",'2024'!$G$4="FO",'2024'!$G$2=CK119),'2024DATA'!$D$24,"")</f>
        <v/>
      </c>
      <c r="CL141" s="518" t="str">
        <f>IF(AND(_F="B-737-800",'2024'!$G$4="FO",'2024'!$G$2=CL119),'2024DATA'!$E$24,"")</f>
        <v/>
      </c>
      <c r="CM141" s="518" t="str">
        <f>IF(AND(_F="B-737-800",'2024'!$G$4="FO",'2024'!$G$2=CM119),'2024DATA'!$F$24,"")</f>
        <v/>
      </c>
      <c r="CN141" s="518" t="str">
        <f>IF(AND(_F="B-737-800",'2024'!$G$4="FO",'2024'!$G$2=CN119),'2024DATA'!$G$24,"")</f>
        <v/>
      </c>
      <c r="CO141" s="518" t="str">
        <f>IF(AND(_F="B-737-800",'2024'!$G$4="FO",'2024'!$G$2=CO119),'2024DATA'!$H$24,"")</f>
        <v/>
      </c>
      <c r="CP141" s="518" t="str">
        <f>IF(AND(_F="B-737-800",'2024'!$G$4="FO",'2024'!$G$2=CP119),'2024DATA'!$I$24,"")</f>
        <v/>
      </c>
      <c r="CQ141" s="518" t="str">
        <f>IF(AND(_F="B-737-800",'2024'!$G$4="FO",'2024'!$G$2=CQ119),'2024DATA'!$J$24,"")</f>
        <v/>
      </c>
      <c r="CR141" s="518" t="str">
        <f>IF(AND(_F="B-737-800",'2024'!$G$4="FO",'2024'!$G$2=CR119),'2024DATA'!$K$24,"")</f>
        <v/>
      </c>
      <c r="CS141" s="518" t="str">
        <f>IF(AND(_F="B-737-800",'2024'!$G$4="FO",'2024'!$G$2=CS119),'2024DATA'!$L$24,"")</f>
        <v/>
      </c>
      <c r="CT141" s="518" t="str">
        <f>IF(AND(_F="B-737-800",'2024'!$G$4="FO",'2024'!$G$2=CT119),'2024DATA'!$M$24,"")</f>
        <v/>
      </c>
      <c r="CU141" s="520" t="str">
        <f>IF(AND(_F="B-737-800",'2024'!$G$4="FO",'2024'!$G$2=CU119),'2024DATA'!$N$24,"")</f>
        <v/>
      </c>
    </row>
    <row r="142" spans="16:99" x14ac:dyDescent="0.25">
      <c r="P142" s="940" t="s">
        <v>46</v>
      </c>
      <c r="Q142" s="13" t="s">
        <v>61</v>
      </c>
      <c r="R142" s="518" t="str">
        <f>IF(AND(_A="A-321N",'2024'!$G$4="CA",'2024'!$G$2=R119),'2024DATA'!$C$25,"")</f>
        <v/>
      </c>
      <c r="S142" s="518" t="str">
        <f>IF(AND(_A="A-321N",'2024'!$G$4="CA",'2024'!$G$2=S119),'2024DATA'!$D$25,"")</f>
        <v/>
      </c>
      <c r="T142" s="518" t="str">
        <f>IF(AND(_A="A-321N",'2024'!$G$4="CA",'2024'!$G$2=T119),'2024DATA'!$E$25,"")</f>
        <v/>
      </c>
      <c r="U142" s="518" t="str">
        <f>IF(AND(_A="A-321N",'2024'!$G$4="CA",'2024'!$G$2=U119),'2024DATA'!$F$25,"")</f>
        <v/>
      </c>
      <c r="V142" s="518" t="str">
        <f>IF(AND(_A="A-321N",'2024'!$G$4="CA",'2024'!$G$2=V119),'2024DATA'!$G$25,"")</f>
        <v/>
      </c>
      <c r="W142" s="518" t="str">
        <f>IF(AND(_A="A-321N",'2024'!$G$4="CA",'2024'!$G$2=W119),'2024DATA'!$H$25,"")</f>
        <v/>
      </c>
      <c r="X142" s="518" t="str">
        <f>IF(AND(_A="A-321N",'2024'!$G$4="CA",'2024'!$G$2=X119),'2024DATA'!$I$25,"")</f>
        <v/>
      </c>
      <c r="Y142" s="518" t="str">
        <f>IF(AND(_A="A-321N",'2024'!$G$4="CA",'2024'!$G$2=Y119),'2024DATA'!$J$25,"")</f>
        <v/>
      </c>
      <c r="Z142" s="518" t="str">
        <f>IF(AND(_A="A-321N",'2024'!$G$4="CA",'2024'!$G$2=Z119),'2024DATA'!$K$25,"")</f>
        <v/>
      </c>
      <c r="AA142" s="518" t="str">
        <f>IF(AND(_A="A-321N",'2024'!$G$4="CA",'2024'!$G$2=AA119),'2024DATA'!$L$25,"")</f>
        <v/>
      </c>
      <c r="AB142" s="518" t="str">
        <f>IF(AND(_A="A-321N",'2024'!$G$4="CA",'2024'!$G$2=AB119),'2024DATA'!$M$25,"")</f>
        <v/>
      </c>
      <c r="AC142" s="520" t="str">
        <f>IF(AND(_A="A-321N",'2024'!$G$4="CA",'2024'!$G$2=AC119),'2024DATA'!$N$25,"")</f>
        <v/>
      </c>
      <c r="AD142" s="940" t="s">
        <v>46</v>
      </c>
      <c r="AE142" s="13" t="s">
        <v>61</v>
      </c>
      <c r="AF142" s="518" t="str">
        <f>IF(AND(_B="A-321N",'2024'!$G$4="CA",'2024'!$G$2=AF119),'2024DATA'!$C$25,"")</f>
        <v/>
      </c>
      <c r="AG142" s="518" t="str">
        <f>IF(AND(_B="A-321N",'2024'!$G$4="CA",'2024'!$G$2=AG119),'2024DATA'!$D$25,"")</f>
        <v/>
      </c>
      <c r="AH142" s="518" t="str">
        <f>IF(AND(_B="A-321N",'2024'!$G$4="CA",'2024'!$G$2=AH119),'2024DATA'!$E$25,"")</f>
        <v/>
      </c>
      <c r="AI142" s="518" t="str">
        <f>IF(AND(_B="A-321N",'2024'!$G$4="CA",'2024'!$G$2=AI119),'2024DATA'!$F$25,"")</f>
        <v/>
      </c>
      <c r="AJ142" s="518" t="str">
        <f>IF(AND(_B="A-321N",'2024'!$G$4="CA",'2024'!$G$2=AJ119),'2024DATA'!$G$25,"")</f>
        <v/>
      </c>
      <c r="AK142" s="518" t="str">
        <f>IF(AND(_B="A-321N",'2024'!$G$4="CA",'2024'!$G$2=AK119),'2024DATA'!$H$25,"")</f>
        <v/>
      </c>
      <c r="AL142" s="518" t="str">
        <f>IF(AND(_B="A-321N",'2024'!$G$4="CA",'2024'!$G$2=AL119),'2024DATA'!$I$25,"")</f>
        <v/>
      </c>
      <c r="AM142" s="518" t="str">
        <f>IF(AND(_B="A-321N",'2024'!$G$4="CA",'2024'!$G$2=AM119),'2024DATA'!$J$25,"")</f>
        <v/>
      </c>
      <c r="AN142" s="518" t="str">
        <f>IF(AND(_B="A-321N",'2024'!$G$4="CA",'2024'!$G$2=AN119),'2024DATA'!$K$25,"")</f>
        <v/>
      </c>
      <c r="AO142" s="518" t="str">
        <f>IF(AND(_B="A-321N",'2024'!$G$4="CA",'2024'!$G$2=AO119),'2024DATA'!$L$25,"")</f>
        <v/>
      </c>
      <c r="AP142" s="518" t="str">
        <f>IF(AND(_B="A-321N",'2024'!$G$4="CA",'2024'!$G$2=AP119),'2024DATA'!$M$25,"")</f>
        <v/>
      </c>
      <c r="AQ142" s="520" t="str">
        <f>IF(AND(_B="A-321N",'2024'!$G$4="CA",'2024'!$G$2=AQ119),'2024DATA'!$N$25,"")</f>
        <v/>
      </c>
      <c r="AR142" s="940" t="s">
        <v>46</v>
      </c>
      <c r="AS142" s="13" t="s">
        <v>61</v>
      </c>
      <c r="AT142" s="518" t="str">
        <f>IF(AND(_C="A-321N",'2024'!$G$4="CA",'2024'!$G$2=AT119),'2024DATA'!$C$25,"")</f>
        <v/>
      </c>
      <c r="AU142" s="518" t="str">
        <f>IF(AND(_C="A-321N",'2024'!$G$4="CA",'2024'!$G$2=AU119),'2024DATA'!$D$25,"")</f>
        <v/>
      </c>
      <c r="AV142" s="518" t="str">
        <f>IF(AND(_C="A-321N",'2024'!$G$4="CA",'2024'!$G$2=AV119),'2024DATA'!$E$25,"")</f>
        <v/>
      </c>
      <c r="AW142" s="518" t="str">
        <f>IF(AND(_C="A-321N",'2024'!$G$4="CA",'2024'!$G$2=AW119),'2024DATA'!$F$25,"")</f>
        <v/>
      </c>
      <c r="AX142" s="518" t="str">
        <f>IF(AND(_C="A-321N",'2024'!$G$4="CA",'2024'!$G$2=AX119),'2024DATA'!$G$25,"")</f>
        <v/>
      </c>
      <c r="AY142" s="518" t="str">
        <f>IF(AND(_C="A-321N",'2024'!$G$4="CA",'2024'!$G$2=AY119),'2024DATA'!$H$25,"")</f>
        <v/>
      </c>
      <c r="AZ142" s="518" t="str">
        <f>IF(AND(_C="A-321N",'2024'!$G$4="CA",'2024'!$G$2=AZ119),'2024DATA'!$I$25,"")</f>
        <v/>
      </c>
      <c r="BA142" s="518" t="str">
        <f>IF(AND(_C="A-321N",'2024'!$G$4="CA",'2024'!$G$2=BA119),'2024DATA'!$J$25,"")</f>
        <v/>
      </c>
      <c r="BB142" s="518" t="str">
        <f>IF(AND(_C="A-321N",'2024'!$G$4="CA",'2024'!$G$2=BB119),'2024DATA'!$K$25,"")</f>
        <v/>
      </c>
      <c r="BC142" s="518" t="str">
        <f>IF(AND(_C="A-321N",'2024'!$G$4="CA",'2024'!$G$2=BC119),'2024DATA'!$L$25,"")</f>
        <v/>
      </c>
      <c r="BD142" s="518" t="str">
        <f>IF(AND(_C="A-321N",'2024'!$G$4="CA",'2024'!$G$2=BD119),'2024DATA'!$M$25,"")</f>
        <v/>
      </c>
      <c r="BE142" s="520" t="str">
        <f>IF(AND(_C="A-321N",'2024'!$G$4="CA",'2024'!$G$2=BE119),'2024DATA'!$N$25,"")</f>
        <v/>
      </c>
      <c r="BF142" s="940" t="s">
        <v>46</v>
      </c>
      <c r="BG142" s="13" t="s">
        <v>61</v>
      </c>
      <c r="BH142" s="518" t="str">
        <f>IF(AND(_D="A-321N",'2024'!$G$4="CA",'2024'!$G$2=BH119),'2024DATA'!$C$25,"")</f>
        <v/>
      </c>
      <c r="BI142" s="518" t="str">
        <f>IF(AND(_D="A-321N",'2024'!$G$4="CA",'2024'!$G$2=BI119),'2024DATA'!$D$25,"")</f>
        <v/>
      </c>
      <c r="BJ142" s="518" t="str">
        <f>IF(AND(_D="A-321N",'2024'!$G$4="CA",'2024'!$G$2=BJ119),'2024DATA'!$E$25,"")</f>
        <v/>
      </c>
      <c r="BK142" s="518" t="str">
        <f>IF(AND(_D="A-321N",'2024'!$G$4="CA",'2024'!$G$2=BK119),'2024DATA'!$F$25,"")</f>
        <v/>
      </c>
      <c r="BL142" s="518" t="str">
        <f>IF(AND(_D="A-321N",'2024'!$G$4="CA",'2024'!$G$2=BL119),'2024DATA'!$G$25,"")</f>
        <v/>
      </c>
      <c r="BM142" s="518" t="str">
        <f>IF(AND(_D="A-321N",'2024'!$G$4="CA",'2024'!$G$2=BM119),'2024DATA'!$H$25,"")</f>
        <v/>
      </c>
      <c r="BN142" s="518" t="str">
        <f>IF(AND(_D="A-321N",'2024'!$G$4="CA",'2024'!$G$2=BN119),'2024DATA'!$I$25,"")</f>
        <v/>
      </c>
      <c r="BO142" s="518" t="str">
        <f>IF(AND(_D="A-321N",'2024'!$G$4="CA",'2024'!$G$2=BO119),'2024DATA'!$J$25,"")</f>
        <v/>
      </c>
      <c r="BP142" s="518" t="str">
        <f>IF(AND(_D="A-321N",'2024'!$G$4="CA",'2024'!$G$2=BP119),'2024DATA'!$K$25,"")</f>
        <v/>
      </c>
      <c r="BQ142" s="518" t="str">
        <f>IF(AND(_D="A-321N",'2024'!$G$4="CA",'2024'!$G$2=BQ119),'2024DATA'!$L$25,"")</f>
        <v/>
      </c>
      <c r="BR142" s="518" t="str">
        <f>IF(AND(_D="A-321N",'2024'!$G$4="CA",'2024'!$G$2=BR119),'2024DATA'!$M$25,"")</f>
        <v/>
      </c>
      <c r="BS142" s="520" t="str">
        <f>IF(AND(_D="A-321N",'2024'!$G$4="CA",'2024'!$G$2=BS119),'2024DATA'!$N$25,"")</f>
        <v/>
      </c>
      <c r="BT142" s="940" t="s">
        <v>46</v>
      </c>
      <c r="BU142" s="13" t="s">
        <v>61</v>
      </c>
      <c r="BV142" s="518" t="str">
        <f>IF(AND(_E="A-321N",'2024'!$G$4="CA",'2024'!$G$2=BV119),'2024DATA'!$C$25,"")</f>
        <v/>
      </c>
      <c r="BW142" s="518" t="str">
        <f>IF(AND(_E="A-321N",'2024'!$G$4="CA",'2024'!$G$2=BW119),'2024DATA'!$D$25,"")</f>
        <v/>
      </c>
      <c r="BX142" s="518" t="str">
        <f>IF(AND(_E="A-321N",'2024'!$G$4="CA",'2024'!$G$2=BX119),'2024DATA'!$E$25,"")</f>
        <v/>
      </c>
      <c r="BY142" s="518" t="str">
        <f>IF(AND(_E="A-321N",'2024'!$G$4="CA",'2024'!$G$2=BY119),'2024DATA'!$F$25,"")</f>
        <v/>
      </c>
      <c r="BZ142" s="518" t="str">
        <f>IF(AND(_E="A-321N",'2024'!$G$4="CA",'2024'!$G$2=BZ119),'2024DATA'!$G$25,"")</f>
        <v/>
      </c>
      <c r="CA142" s="518" t="str">
        <f>IF(AND(_E="A-321N",'2024'!$G$4="CA",'2024'!$G$2=CA119),'2024DATA'!$H$25,"")</f>
        <v/>
      </c>
      <c r="CB142" s="518" t="str">
        <f>IF(AND(_E="A-321N",'2024'!$G$4="CA",'2024'!$G$2=CB119),'2024DATA'!$I$25,"")</f>
        <v/>
      </c>
      <c r="CC142" s="518" t="str">
        <f>IF(AND(_E="A-321N",'2024'!$G$4="CA",'2024'!$G$2=CC119),'2024DATA'!$J$25,"")</f>
        <v/>
      </c>
      <c r="CD142" s="518" t="str">
        <f>IF(AND(_E="A-321N",'2024'!$G$4="CA",'2024'!$G$2=CD119),'2024DATA'!$K$25,"")</f>
        <v/>
      </c>
      <c r="CE142" s="518" t="str">
        <f>IF(AND(_E="A-321N",'2024'!$G$4="CA",'2024'!$G$2=CE119),'2024DATA'!$L$25,"")</f>
        <v/>
      </c>
      <c r="CF142" s="518" t="str">
        <f>IF(AND(_E="A-321N",'2024'!$G$4="CA",'2024'!$G$2=CF119),'2024DATA'!$M$25,"")</f>
        <v/>
      </c>
      <c r="CG142" s="520" t="str">
        <f>IF(AND(_E="A-321N",'2024'!$G$4="CA",'2024'!$G$2=CG119),'2024DATA'!$N$25,"")</f>
        <v/>
      </c>
      <c r="CH142" s="940" t="s">
        <v>46</v>
      </c>
      <c r="CI142" s="13" t="s">
        <v>61</v>
      </c>
      <c r="CJ142" s="518" t="str">
        <f>IF(AND(_F="A-321N",'2024'!$G$4="CA",'2024'!$G$2=CJ119),'2024DATA'!$C$25,"")</f>
        <v/>
      </c>
      <c r="CK142" s="518" t="str">
        <f>IF(AND(_F="A-321N",'2024'!$G$4="CA",'2024'!$G$2=CK119),'2024DATA'!$D$25,"")</f>
        <v/>
      </c>
      <c r="CL142" s="518" t="str">
        <f>IF(AND(_F="A-321N",'2024'!$G$4="CA",'2024'!$G$2=CL119),'2024DATA'!$E$25,"")</f>
        <v/>
      </c>
      <c r="CM142" s="518" t="str">
        <f>IF(AND(_F="A-321N",'2024'!$G$4="CA",'2024'!$G$2=CM119),'2024DATA'!$F$25,"")</f>
        <v/>
      </c>
      <c r="CN142" s="518" t="str">
        <f>IF(AND(_F="A-321N",'2024'!$G$4="CA",'2024'!$G$2=CN119),'2024DATA'!$G$25,"")</f>
        <v/>
      </c>
      <c r="CO142" s="518" t="str">
        <f>IF(AND(_F="A-321N",'2024'!$G$4="CA",'2024'!$G$2=CO119),'2024DATA'!$H$25,"")</f>
        <v/>
      </c>
      <c r="CP142" s="518" t="str">
        <f>IF(AND(_F="A-321N",'2024'!$G$4="CA",'2024'!$G$2=CP119),'2024DATA'!$I$25,"")</f>
        <v/>
      </c>
      <c r="CQ142" s="518" t="str">
        <f>IF(AND(_F="A-321N",'2024'!$G$4="CA",'2024'!$G$2=CQ119),'2024DATA'!$J$25,"")</f>
        <v/>
      </c>
      <c r="CR142" s="518" t="str">
        <f>IF(AND(_F="A-321N",'2024'!$G$4="CA",'2024'!$G$2=CR119),'2024DATA'!$K$25,"")</f>
        <v/>
      </c>
      <c r="CS142" s="518" t="str">
        <f>IF(AND(_F="A-321N",'2024'!$G$4="CA",'2024'!$G$2=CS119),'2024DATA'!$L$25,"")</f>
        <v/>
      </c>
      <c r="CT142" s="518" t="str">
        <f>IF(AND(_F="A-321N",'2024'!$G$4="CA",'2024'!$G$2=CT119),'2024DATA'!$M$25,"")</f>
        <v/>
      </c>
      <c r="CU142" s="520" t="str">
        <f>IF(AND(_F="A-321N",'2024'!$G$4="CA",'2024'!$G$2=CU119),'2024DATA'!$N$25,"")</f>
        <v/>
      </c>
    </row>
    <row r="143" spans="16:99" x14ac:dyDescent="0.25">
      <c r="P143" s="940"/>
      <c r="Q143" s="13" t="s">
        <v>62</v>
      </c>
      <c r="R143" s="518" t="str">
        <f>IF(AND(_A="A-321N",'2024'!$G$4="FO",'2024'!$G$2=R119),'2024DATA'!$C$26,"")</f>
        <v/>
      </c>
      <c r="S143" s="518" t="str">
        <f>IF(AND(_A="A-321N",'2024'!$G$4="FO",'2024'!$G$2=S119),'2024DATA'!$D$26,"")</f>
        <v/>
      </c>
      <c r="T143" s="518" t="str">
        <f>IF(AND(_A="A-321N",'2024'!$G$4="FO",'2024'!$G$2=T119),'2024DATA'!$E$26,"")</f>
        <v/>
      </c>
      <c r="U143" s="518" t="str">
        <f>IF(AND(_A="A-321N",'2024'!$G$4="FO",'2024'!$G$2=U119),'2024DATA'!$F$26,"")</f>
        <v/>
      </c>
      <c r="V143" s="518" t="str">
        <f>IF(AND(_A="A-321N",'2024'!$G$4="FO",'2024'!$G$2=V119),'2024DATA'!$G$26,"")</f>
        <v/>
      </c>
      <c r="W143" s="518" t="str">
        <f>IF(AND(_A="A-321N",'2024'!$G$4="FO",'2024'!$G$2=W119),'2024DATA'!$H$26,"")</f>
        <v/>
      </c>
      <c r="X143" s="518" t="str">
        <f>IF(AND(_A="A-321N",'2024'!$G$4="FO",'2024'!$G$2=X119),'2024DATA'!$I$26,"")</f>
        <v/>
      </c>
      <c r="Y143" s="518" t="str">
        <f>IF(AND(_A="A-321N",'2024'!$G$4="FO",'2024'!$G$2=Y119),'2024DATA'!$J$26,"")</f>
        <v/>
      </c>
      <c r="Z143" s="518" t="str">
        <f>IF(AND(_A="A-321N",'2024'!$G$4="FO",'2024'!$G$2=Z119),'2024DATA'!$K$26,"")</f>
        <v/>
      </c>
      <c r="AA143" s="518" t="str">
        <f>IF(AND(_A="A-321N",'2024'!$G$4="FO",'2024'!$G$2=AA119),'2024DATA'!$L$26,"")</f>
        <v/>
      </c>
      <c r="AB143" s="518" t="str">
        <f>IF(AND(_A="A-321N",'2024'!$G$4="FO",'2024'!$G$2=AB119),'2024DATA'!$M$26,"")</f>
        <v/>
      </c>
      <c r="AC143" s="520" t="str">
        <f>IF(AND(_A="A-321N",'2024'!$G$4="FO",'2024'!$G$2=AC119),'2024DATA'!$N$26,"")</f>
        <v/>
      </c>
      <c r="AD143" s="940"/>
      <c r="AE143" s="13" t="s">
        <v>62</v>
      </c>
      <c r="AF143" s="518" t="str">
        <f>IF(AND(_B="A-321N",'2024'!$G$4="FO",'2024'!$G$2=AF119),'2024DATA'!$C$26,"")</f>
        <v/>
      </c>
      <c r="AG143" s="518" t="str">
        <f>IF(AND(_B="A-321N",'2024'!$G$4="FO",'2024'!$G$2=AG119),'2024DATA'!$D$26,"")</f>
        <v/>
      </c>
      <c r="AH143" s="518" t="str">
        <f>IF(AND(_B="A-321N",'2024'!$G$4="FO",'2024'!$G$2=AH119),'2024DATA'!$E$26,"")</f>
        <v/>
      </c>
      <c r="AI143" s="518" t="str">
        <f>IF(AND(_B="A-321N",'2024'!$G$4="FO",'2024'!$G$2=AI119),'2024DATA'!$F$26,"")</f>
        <v/>
      </c>
      <c r="AJ143" s="518" t="str">
        <f>IF(AND(_B="A-321N",'2024'!$G$4="FO",'2024'!$G$2=AJ119),'2024DATA'!$G$26,"")</f>
        <v/>
      </c>
      <c r="AK143" s="518" t="str">
        <f>IF(AND(_B="A-321N",'2024'!$G$4="FO",'2024'!$G$2=AK119),'2024DATA'!$H$26,"")</f>
        <v/>
      </c>
      <c r="AL143" s="518" t="str">
        <f>IF(AND(_B="A-321N",'2024'!$G$4="FO",'2024'!$G$2=AL119),'2024DATA'!$I$26,"")</f>
        <v/>
      </c>
      <c r="AM143" s="518" t="str">
        <f>IF(AND(_B="A-321N",'2024'!$G$4="FO",'2024'!$G$2=AM119),'2024DATA'!$J$26,"")</f>
        <v/>
      </c>
      <c r="AN143" s="518" t="str">
        <f>IF(AND(_B="A-321N",'2024'!$G$4="FO",'2024'!$G$2=AN119),'2024DATA'!$K$26,"")</f>
        <v/>
      </c>
      <c r="AO143" s="518" t="str">
        <f>IF(AND(_B="A-321N",'2024'!$G$4="FO",'2024'!$G$2=AO119),'2024DATA'!$L$26,"")</f>
        <v/>
      </c>
      <c r="AP143" s="518" t="str">
        <f>IF(AND(_B="A-321N",'2024'!$G$4="FO",'2024'!$G$2=AP119),'2024DATA'!$M$26,"")</f>
        <v/>
      </c>
      <c r="AQ143" s="520" t="str">
        <f>IF(AND(_B="A-321N",'2024'!$G$4="FO",'2024'!$G$2=AQ119),'2024DATA'!$N$26,"")</f>
        <v/>
      </c>
      <c r="AR143" s="940"/>
      <c r="AS143" s="13" t="s">
        <v>62</v>
      </c>
      <c r="AT143" s="518" t="str">
        <f>IF(AND(_C="A-321N",'2024'!$G$4="FO",'2024'!$G$2=AT119),'2024DATA'!$C$26,"")</f>
        <v/>
      </c>
      <c r="AU143" s="518" t="str">
        <f>IF(AND(_C="A-321N",'2024'!$G$4="FO",'2024'!$G$2=AU119),'2024DATA'!$D$26,"")</f>
        <v/>
      </c>
      <c r="AV143" s="518" t="str">
        <f>IF(AND(_C="A-321N",'2024'!$G$4="FO",'2024'!$G$2=AV119),'2024DATA'!$E$26,"")</f>
        <v/>
      </c>
      <c r="AW143" s="518" t="str">
        <f>IF(AND(_C="A-321N",'2024'!$G$4="FO",'2024'!$G$2=AW119),'2024DATA'!$F$26,"")</f>
        <v/>
      </c>
      <c r="AX143" s="518" t="str">
        <f>IF(AND(_C="A-321N",'2024'!$G$4="FO",'2024'!$G$2=AX119),'2024DATA'!$G$26,"")</f>
        <v/>
      </c>
      <c r="AY143" s="518" t="str">
        <f>IF(AND(_C="A-321N",'2024'!$G$4="FO",'2024'!$G$2=AY119),'2024DATA'!$H$26,"")</f>
        <v/>
      </c>
      <c r="AZ143" s="518" t="str">
        <f>IF(AND(_C="A-321N",'2024'!$G$4="FO",'2024'!$G$2=AZ119),'2024DATA'!$I$26,"")</f>
        <v/>
      </c>
      <c r="BA143" s="518" t="str">
        <f>IF(AND(_C="A-321N",'2024'!$G$4="FO",'2024'!$G$2=BA119),'2024DATA'!$J$26,"")</f>
        <v/>
      </c>
      <c r="BB143" s="518" t="str">
        <f>IF(AND(_C="A-321N",'2024'!$G$4="FO",'2024'!$G$2=BB119),'2024DATA'!$K$26,"")</f>
        <v/>
      </c>
      <c r="BC143" s="518" t="str">
        <f>IF(AND(_C="A-321N",'2024'!$G$4="FO",'2024'!$G$2=BC119),'2024DATA'!$L$26,"")</f>
        <v/>
      </c>
      <c r="BD143" s="518" t="str">
        <f>IF(AND(_C="A-321N",'2024'!$G$4="FO",'2024'!$G$2=BD119),'2024DATA'!$M$26,"")</f>
        <v/>
      </c>
      <c r="BE143" s="520" t="str">
        <f>IF(AND(_C="A-321N",'2024'!$G$4="FO",'2024'!$G$2=BE119),'2024DATA'!$N$26,"")</f>
        <v/>
      </c>
      <c r="BF143" s="940"/>
      <c r="BG143" s="13" t="s">
        <v>62</v>
      </c>
      <c r="BH143" s="518" t="str">
        <f>IF(AND(_D="A-321N",'2024'!$G$4="FO",'2024'!$G$2=BH119),'2024DATA'!$C$26,"")</f>
        <v/>
      </c>
      <c r="BI143" s="518" t="str">
        <f>IF(AND(_D="A-321N",'2024'!$G$4="FO",'2024'!$G$2=BI119),'2024DATA'!$D$26,"")</f>
        <v/>
      </c>
      <c r="BJ143" s="518" t="str">
        <f>IF(AND(_D="A-321N",'2024'!$G$4="FO",'2024'!$G$2=BJ119),'2024DATA'!$E$26,"")</f>
        <v/>
      </c>
      <c r="BK143" s="518" t="str">
        <f>IF(AND(_D="A-321N",'2024'!$G$4="FO",'2024'!$G$2=BK119),'2024DATA'!$F$26,"")</f>
        <v/>
      </c>
      <c r="BL143" s="518" t="str">
        <f>IF(AND(_D="A-321N",'2024'!$G$4="FO",'2024'!$G$2=BL119),'2024DATA'!$G$26,"")</f>
        <v/>
      </c>
      <c r="BM143" s="518" t="str">
        <f>IF(AND(_D="A-321N",'2024'!$G$4="FO",'2024'!$G$2=BM119),'2024DATA'!$H$26,"")</f>
        <v/>
      </c>
      <c r="BN143" s="518" t="str">
        <f>IF(AND(_D="A-321N",'2024'!$G$4="FO",'2024'!$G$2=BN119),'2024DATA'!$I$26,"")</f>
        <v/>
      </c>
      <c r="BO143" s="518" t="str">
        <f>IF(AND(_D="A-321N",'2024'!$G$4="FO",'2024'!$G$2=BO119),'2024DATA'!$J$26,"")</f>
        <v/>
      </c>
      <c r="BP143" s="518" t="str">
        <f>IF(AND(_D="A-321N",'2024'!$G$4="FO",'2024'!$G$2=BP119),'2024DATA'!$K$26,"")</f>
        <v/>
      </c>
      <c r="BQ143" s="518" t="str">
        <f>IF(AND(_D="A-321N",'2024'!$G$4="FO",'2024'!$G$2=BQ119),'2024DATA'!$L$26,"")</f>
        <v/>
      </c>
      <c r="BR143" s="518" t="str">
        <f>IF(AND(_D="A-321N",'2024'!$G$4="FO",'2024'!$G$2=BR119),'2024DATA'!$M$26,"")</f>
        <v/>
      </c>
      <c r="BS143" s="520" t="str">
        <f>IF(AND(_D="A-321N",'2024'!$G$4="FO",'2024'!$G$2=BS119),'2024DATA'!$N$26,"")</f>
        <v/>
      </c>
      <c r="BT143" s="940"/>
      <c r="BU143" s="13" t="s">
        <v>62</v>
      </c>
      <c r="BV143" s="518" t="str">
        <f>IF(AND(_E="A-321N",'2024'!$G$4="FO",'2024'!$G$2=BV119),'2024DATA'!$C$26,"")</f>
        <v/>
      </c>
      <c r="BW143" s="518" t="str">
        <f>IF(AND(_E="A-321N",'2024'!$G$4="FO",'2024'!$G$2=BW119),'2024DATA'!$D$26,"")</f>
        <v/>
      </c>
      <c r="BX143" s="518" t="str">
        <f>IF(AND(_E="A-321N",'2024'!$G$4="FO",'2024'!$G$2=BX119),'2024DATA'!$E$26,"")</f>
        <v/>
      </c>
      <c r="BY143" s="518" t="str">
        <f>IF(AND(_E="A-321N",'2024'!$G$4="FO",'2024'!$G$2=BY119),'2024DATA'!$F$26,"")</f>
        <v/>
      </c>
      <c r="BZ143" s="518" t="str">
        <f>IF(AND(_E="A-321N",'2024'!$G$4="FO",'2024'!$G$2=BZ119),'2024DATA'!$G$26,"")</f>
        <v/>
      </c>
      <c r="CA143" s="518" t="str">
        <f>IF(AND(_E="A-321N",'2024'!$G$4="FO",'2024'!$G$2=CA119),'2024DATA'!$H$26,"")</f>
        <v/>
      </c>
      <c r="CB143" s="518" t="str">
        <f>IF(AND(_E="A-321N",'2024'!$G$4="FO",'2024'!$G$2=CB119),'2024DATA'!$I$26,"")</f>
        <v/>
      </c>
      <c r="CC143" s="518" t="str">
        <f>IF(AND(_E="A-321N",'2024'!$G$4="FO",'2024'!$G$2=CC119),'2024DATA'!$J$26,"")</f>
        <v/>
      </c>
      <c r="CD143" s="518" t="str">
        <f>IF(AND(_E="A-321N",'2024'!$G$4="FO",'2024'!$G$2=CD119),'2024DATA'!$K$26,"")</f>
        <v/>
      </c>
      <c r="CE143" s="518" t="str">
        <f>IF(AND(_E="A-321N",'2024'!$G$4="FO",'2024'!$G$2=CE119),'2024DATA'!$L$26,"")</f>
        <v/>
      </c>
      <c r="CF143" s="518" t="str">
        <f>IF(AND(_E="A-321N",'2024'!$G$4="FO",'2024'!$G$2=CF119),'2024DATA'!$M$26,"")</f>
        <v/>
      </c>
      <c r="CG143" s="520" t="str">
        <f>IF(AND(_E="A-321N",'2024'!$G$4="FO",'2024'!$G$2=CG119),'2024DATA'!$N$26,"")</f>
        <v/>
      </c>
      <c r="CH143" s="940"/>
      <c r="CI143" s="13" t="s">
        <v>62</v>
      </c>
      <c r="CJ143" s="518" t="str">
        <f>IF(AND(_F="A-321N",'2024'!$G$4="FO",'2024'!$G$2=CJ119),'2024DATA'!$C$26,"")</f>
        <v/>
      </c>
      <c r="CK143" s="518" t="str">
        <f>IF(AND(_F="A-321N",'2024'!$G$4="FO",'2024'!$G$2=CK119),'2024DATA'!$D$26,"")</f>
        <v/>
      </c>
      <c r="CL143" s="518" t="str">
        <f>IF(AND(_F="A-321N",'2024'!$G$4="FO",'2024'!$G$2=CL119),'2024DATA'!$E$26,"")</f>
        <v/>
      </c>
      <c r="CM143" s="518" t="str">
        <f>IF(AND(_F="A-321N",'2024'!$G$4="FO",'2024'!$G$2=CM119),'2024DATA'!$F$26,"")</f>
        <v/>
      </c>
      <c r="CN143" s="518" t="str">
        <f>IF(AND(_F="A-321N",'2024'!$G$4="FO",'2024'!$G$2=CN119),'2024DATA'!$G$26,"")</f>
        <v/>
      </c>
      <c r="CO143" s="518" t="str">
        <f>IF(AND(_F="A-321N",'2024'!$G$4="FO",'2024'!$G$2=CO119),'2024DATA'!$H$26,"")</f>
        <v/>
      </c>
      <c r="CP143" s="518" t="str">
        <f>IF(AND(_F="A-321N",'2024'!$G$4="FO",'2024'!$G$2=CP119),'2024DATA'!$I$26,"")</f>
        <v/>
      </c>
      <c r="CQ143" s="518" t="str">
        <f>IF(AND(_F="A-321N",'2024'!$G$4="FO",'2024'!$G$2=CQ119),'2024DATA'!$J$26,"")</f>
        <v/>
      </c>
      <c r="CR143" s="518" t="str">
        <f>IF(AND(_F="A-321N",'2024'!$G$4="FO",'2024'!$G$2=CR119),'2024DATA'!$K$26,"")</f>
        <v/>
      </c>
      <c r="CS143" s="518" t="str">
        <f>IF(AND(_F="A-321N",'2024'!$G$4="FO",'2024'!$G$2=CS119),'2024DATA'!$L$26,"")</f>
        <v/>
      </c>
      <c r="CT143" s="518" t="str">
        <f>IF(AND(_F="A-321N",'2024'!$G$4="FO",'2024'!$G$2=CT119),'2024DATA'!$M$26,"")</f>
        <v/>
      </c>
      <c r="CU143" s="520" t="str">
        <f>IF(AND(_F="A-321N",'2024'!$G$4="FO",'2024'!$G$2=CU119),'2024DATA'!$N$26,"")</f>
        <v/>
      </c>
    </row>
    <row r="144" spans="16:99" x14ac:dyDescent="0.25">
      <c r="P144" s="940" t="s">
        <v>48</v>
      </c>
      <c r="Q144" s="13" t="s">
        <v>61</v>
      </c>
      <c r="R144" s="518" t="str">
        <f>IF(AND(_A="A-321",'2024'!$G$4="CA",'2024'!$G$2=R119),'2024DATA'!$C$27,"")</f>
        <v/>
      </c>
      <c r="S144" s="518" t="str">
        <f>IF(AND(_A="A-321",'2024'!$G$4="CA",'2024'!$G$2=S119),'2024DATA'!$D$27,"")</f>
        <v/>
      </c>
      <c r="T144" s="518" t="str">
        <f>IF(AND(_A="A-321",'2024'!$G$4="CA",'2024'!$G$2=T119),'2024DATA'!$E$27,"")</f>
        <v/>
      </c>
      <c r="U144" s="518" t="str">
        <f>IF(AND(_A="A-321",'2024'!$G$4="CA",'2024'!$G$2=U119),'2024DATA'!$F$27,"")</f>
        <v/>
      </c>
      <c r="V144" s="518" t="str">
        <f>IF(AND(_A="A-321",'2024'!$G$4="CA",'2024'!$G$2=V119),'2024DATA'!$G$27,"")</f>
        <v/>
      </c>
      <c r="W144" s="518" t="str">
        <f>IF(AND(_A="A-321",'2024'!$G$4="CA",'2024'!$G$2=W119),'2024DATA'!$H$27,"")</f>
        <v/>
      </c>
      <c r="X144" s="518" t="str">
        <f>IF(AND(_A="A-321",'2024'!$G$4="CA",'2024'!$G$2=X119),'2024DATA'!$I$27,"")</f>
        <v/>
      </c>
      <c r="Y144" s="518" t="str">
        <f>IF(AND(_A="A-321",'2024'!$G$4="CA",'2024'!$G$2=Y119),'2024DATA'!$J$27,"")</f>
        <v/>
      </c>
      <c r="Z144" s="518" t="str">
        <f>IF(AND(_A="A-321",'2024'!$G$4="CA",'2024'!$G$2=Z119),'2024DATA'!$K$27,"")</f>
        <v/>
      </c>
      <c r="AA144" s="518" t="str">
        <f>IF(AND(_A="A-321",'2024'!$G$4="CA",'2024'!$G$2=AA119),'2024DATA'!$L$27,"")</f>
        <v/>
      </c>
      <c r="AB144" s="518" t="str">
        <f>IF(AND(_A="A-321",'2024'!$G$4="CA",'2024'!$G$2=AB119),'2024DATA'!$M$27,"")</f>
        <v/>
      </c>
      <c r="AC144" s="520" t="str">
        <f>IF(AND(_A="A-321",'2024'!$G$4="CA",'2024'!$G$2=AC119),'2024DATA'!$N$27,"")</f>
        <v/>
      </c>
      <c r="AD144" s="940" t="s">
        <v>48</v>
      </c>
      <c r="AE144" s="13" t="s">
        <v>61</v>
      </c>
      <c r="AF144" s="518" t="str">
        <f>IF(AND(_B="A-321",'2024'!$G$4="CA",'2024'!$G$2=AF119),'2024DATA'!$C$27,"")</f>
        <v/>
      </c>
      <c r="AG144" s="518" t="str">
        <f>IF(AND(_B="A-321",'2024'!$G$4="CA",'2024'!$G$2=AG119),'2024DATA'!$D$27,"")</f>
        <v/>
      </c>
      <c r="AH144" s="518" t="str">
        <f>IF(AND(_B="A-321",'2024'!$G$4="CA",'2024'!$G$2=AH119),'2024DATA'!$E$27,"")</f>
        <v/>
      </c>
      <c r="AI144" s="518" t="str">
        <f>IF(AND(_B="A-321",'2024'!$G$4="CA",'2024'!$G$2=AI119),'2024DATA'!$F$27,"")</f>
        <v/>
      </c>
      <c r="AJ144" s="518" t="str">
        <f>IF(AND(_B="A-321",'2024'!$G$4="CA",'2024'!$G$2=AJ119),'2024DATA'!$G$27,"")</f>
        <v/>
      </c>
      <c r="AK144" s="518" t="str">
        <f>IF(AND(_B="A-321",'2024'!$G$4="CA",'2024'!$G$2=AK119),'2024DATA'!$H$27,"")</f>
        <v/>
      </c>
      <c r="AL144" s="518" t="str">
        <f>IF(AND(_B="A-321",'2024'!$G$4="CA",'2024'!$G$2=AL119),'2024DATA'!$I$27,"")</f>
        <v/>
      </c>
      <c r="AM144" s="518" t="str">
        <f>IF(AND(_B="A-321",'2024'!$G$4="CA",'2024'!$G$2=AM119),'2024DATA'!$J$27,"")</f>
        <v/>
      </c>
      <c r="AN144" s="518" t="str">
        <f>IF(AND(_B="A-321",'2024'!$G$4="CA",'2024'!$G$2=AN119),'2024DATA'!$K$27,"")</f>
        <v/>
      </c>
      <c r="AO144" s="518" t="str">
        <f>IF(AND(_B="A-321",'2024'!$G$4="CA",'2024'!$G$2=AO119),'2024DATA'!$L$27,"")</f>
        <v/>
      </c>
      <c r="AP144" s="518" t="str">
        <f>IF(AND(_B="A-321",'2024'!$G$4="CA",'2024'!$G$2=AP119),'2024DATA'!$M$27,"")</f>
        <v/>
      </c>
      <c r="AQ144" s="520" t="str">
        <f>IF(AND(_B="A-321",'2024'!$G$4="CA",'2024'!$G$2=AQ119),'2024DATA'!$N$27,"")</f>
        <v/>
      </c>
      <c r="AR144" s="940" t="s">
        <v>48</v>
      </c>
      <c r="AS144" s="13" t="s">
        <v>61</v>
      </c>
      <c r="AT144" s="518" t="str">
        <f>IF(AND(_C="A-321",'2024'!$G$4="CA",'2024'!$G$2=AT119),'2024DATA'!$C$27,"")</f>
        <v/>
      </c>
      <c r="AU144" s="518" t="str">
        <f>IF(AND(_C="A-321",'2024'!$G$4="CA",'2024'!$G$2=AU119),'2024DATA'!$D$27,"")</f>
        <v/>
      </c>
      <c r="AV144" s="518" t="str">
        <f>IF(AND(_C="A-321",'2024'!$G$4="CA",'2024'!$G$2=AV119),'2024DATA'!$E$27,"")</f>
        <v/>
      </c>
      <c r="AW144" s="518" t="str">
        <f>IF(AND(_C="A-321",'2024'!$G$4="CA",'2024'!$G$2=AW119),'2024DATA'!$F$27,"")</f>
        <v/>
      </c>
      <c r="AX144" s="518" t="str">
        <f>IF(AND(_C="A-321",'2024'!$G$4="CA",'2024'!$G$2=AX119),'2024DATA'!$G$27,"")</f>
        <v/>
      </c>
      <c r="AY144" s="518" t="str">
        <f>IF(AND(_C="A-321",'2024'!$G$4="CA",'2024'!$G$2=AY119),'2024DATA'!$H$27,"")</f>
        <v/>
      </c>
      <c r="AZ144" s="518" t="str">
        <f>IF(AND(_C="A-321",'2024'!$G$4="CA",'2024'!$G$2=AZ119),'2024DATA'!$I$27,"")</f>
        <v/>
      </c>
      <c r="BA144" s="518" t="str">
        <f>IF(AND(_C="A-321",'2024'!$G$4="CA",'2024'!$G$2=BA119),'2024DATA'!$J$27,"")</f>
        <v/>
      </c>
      <c r="BB144" s="518" t="str">
        <f>IF(AND(_C="A-321",'2024'!$G$4="CA",'2024'!$G$2=BB119),'2024DATA'!$K$27,"")</f>
        <v/>
      </c>
      <c r="BC144" s="518" t="str">
        <f>IF(AND(_C="A-321",'2024'!$G$4="CA",'2024'!$G$2=BC119),'2024DATA'!$L$27,"")</f>
        <v/>
      </c>
      <c r="BD144" s="518" t="str">
        <f>IF(AND(_C="A-321",'2024'!$G$4="CA",'2024'!$G$2=BD119),'2024DATA'!$M$27,"")</f>
        <v/>
      </c>
      <c r="BE144" s="520" t="str">
        <f>IF(AND(_C="A-321",'2024'!$G$4="CA",'2024'!$G$2=BE119),'2024DATA'!$N$27,"")</f>
        <v/>
      </c>
      <c r="BF144" s="940" t="s">
        <v>48</v>
      </c>
      <c r="BG144" s="13" t="s">
        <v>61</v>
      </c>
      <c r="BH144" s="518" t="str">
        <f>IF(AND(_D="A-321",'2024'!$G$4="CA",'2024'!$G$2=BH119),'2024DATA'!$C$27,"")</f>
        <v/>
      </c>
      <c r="BI144" s="518" t="str">
        <f>IF(AND(_D="A-321",'2024'!$G$4="CA",'2024'!$G$2=BI119),'2024DATA'!$D$27,"")</f>
        <v/>
      </c>
      <c r="BJ144" s="518" t="str">
        <f>IF(AND(_D="A-321",'2024'!$G$4="CA",'2024'!$G$2=BJ119),'2024DATA'!$E$27,"")</f>
        <v/>
      </c>
      <c r="BK144" s="518" t="str">
        <f>IF(AND(_D="A-321",'2024'!$G$4="CA",'2024'!$G$2=BK119),'2024DATA'!$F$27,"")</f>
        <v/>
      </c>
      <c r="BL144" s="518" t="str">
        <f>IF(AND(_D="A-321",'2024'!$G$4="CA",'2024'!$G$2=BL119),'2024DATA'!$G$27,"")</f>
        <v/>
      </c>
      <c r="BM144" s="518" t="str">
        <f>IF(AND(_D="A-321",'2024'!$G$4="CA",'2024'!$G$2=BM119),'2024DATA'!$H$27,"")</f>
        <v/>
      </c>
      <c r="BN144" s="518" t="str">
        <f>IF(AND(_D="A-321",'2024'!$G$4="CA",'2024'!$G$2=BN119),'2024DATA'!$I$27,"")</f>
        <v/>
      </c>
      <c r="BO144" s="518" t="str">
        <f>IF(AND(_D="A-321",'2024'!$G$4="CA",'2024'!$G$2=BO119),'2024DATA'!$J$27,"")</f>
        <v/>
      </c>
      <c r="BP144" s="518" t="str">
        <f>IF(AND(_D="A-321",'2024'!$G$4="CA",'2024'!$G$2=BP119),'2024DATA'!$K$27,"")</f>
        <v/>
      </c>
      <c r="BQ144" s="518" t="str">
        <f>IF(AND(_D="A-321",'2024'!$G$4="CA",'2024'!$G$2=BQ119),'2024DATA'!$L$27,"")</f>
        <v/>
      </c>
      <c r="BR144" s="518" t="str">
        <f>IF(AND(_D="A-321",'2024'!$G$4="CA",'2024'!$G$2=BR119),'2024DATA'!$M$27,"")</f>
        <v/>
      </c>
      <c r="BS144" s="520" t="str">
        <f>IF(AND(_D="A-321",'2024'!$G$4="CA",'2024'!$G$2=BS119),'2024DATA'!$N$27,"")</f>
        <v/>
      </c>
      <c r="BT144" s="940" t="s">
        <v>48</v>
      </c>
      <c r="BU144" s="13" t="s">
        <v>61</v>
      </c>
      <c r="BV144" s="518" t="str">
        <f>IF(AND(_E="A-321",'2024'!$G$4="CA",'2024'!$G$2=BV119),'2024DATA'!$C$27,"")</f>
        <v/>
      </c>
      <c r="BW144" s="518" t="str">
        <f>IF(AND(_E="A-321",'2024'!$G$4="CA",'2024'!$G$2=BW119),'2024DATA'!$D$27,"")</f>
        <v/>
      </c>
      <c r="BX144" s="518" t="str">
        <f>IF(AND(_E="A-321",'2024'!$G$4="CA",'2024'!$G$2=BX119),'2024DATA'!$E$27,"")</f>
        <v/>
      </c>
      <c r="BY144" s="518" t="str">
        <f>IF(AND(_E="A-321",'2024'!$G$4="CA",'2024'!$G$2=BY119),'2024DATA'!$F$27,"")</f>
        <v/>
      </c>
      <c r="BZ144" s="518" t="str">
        <f>IF(AND(_E="A-321",'2024'!$G$4="CA",'2024'!$G$2=BZ119),'2024DATA'!$G$27,"")</f>
        <v/>
      </c>
      <c r="CA144" s="518" t="str">
        <f>IF(AND(_E="A-321",'2024'!$G$4="CA",'2024'!$G$2=CA119),'2024DATA'!$H$27,"")</f>
        <v/>
      </c>
      <c r="CB144" s="518" t="str">
        <f>IF(AND(_E="A-321",'2024'!$G$4="CA",'2024'!$G$2=CB119),'2024DATA'!$I$27,"")</f>
        <v/>
      </c>
      <c r="CC144" s="518" t="str">
        <f>IF(AND(_E="A-321",'2024'!$G$4="CA",'2024'!$G$2=CC119),'2024DATA'!$J$27,"")</f>
        <v/>
      </c>
      <c r="CD144" s="518" t="str">
        <f>IF(AND(_E="A-321",'2024'!$G$4="CA",'2024'!$G$2=CD119),'2024DATA'!$K$27,"")</f>
        <v/>
      </c>
      <c r="CE144" s="518" t="str">
        <f>IF(AND(_E="A-321",'2024'!$G$4="CA",'2024'!$G$2=CE119),'2024DATA'!$L$27,"")</f>
        <v/>
      </c>
      <c r="CF144" s="518" t="str">
        <f>IF(AND(_E="A-321",'2024'!$G$4="CA",'2024'!$G$2=CF119),'2024DATA'!$M$27,"")</f>
        <v/>
      </c>
      <c r="CG144" s="520" t="str">
        <f>IF(AND(_E="A-321",'2024'!$G$4="CA",'2024'!$G$2=CG119),'2024DATA'!$N$27,"")</f>
        <v/>
      </c>
      <c r="CH144" s="940" t="s">
        <v>48</v>
      </c>
      <c r="CI144" s="13" t="s">
        <v>61</v>
      </c>
      <c r="CJ144" s="518" t="str">
        <f>IF(AND(_F="A-321",'2024'!$G$4="CA",'2024'!$G$2=CJ119),'2024DATA'!$C$27,"")</f>
        <v/>
      </c>
      <c r="CK144" s="518" t="str">
        <f>IF(AND(_F="A-321",'2024'!$G$4="CA",'2024'!$G$2=CK119),'2024DATA'!$D$27,"")</f>
        <v/>
      </c>
      <c r="CL144" s="518" t="str">
        <f>IF(AND(_F="A-321",'2024'!$G$4="CA",'2024'!$G$2=CL119),'2024DATA'!$E$27,"")</f>
        <v/>
      </c>
      <c r="CM144" s="518" t="str">
        <f>IF(AND(_F="A-321",'2024'!$G$4="CA",'2024'!$G$2=CM119),'2024DATA'!$F$27,"")</f>
        <v/>
      </c>
      <c r="CN144" s="518" t="str">
        <f>IF(AND(_F="A-321",'2024'!$G$4="CA",'2024'!$G$2=CN119),'2024DATA'!$G$27,"")</f>
        <v/>
      </c>
      <c r="CO144" s="518" t="str">
        <f>IF(AND(_F="A-321",'2024'!$G$4="CA",'2024'!$G$2=CO119),'2024DATA'!$H$27,"")</f>
        <v/>
      </c>
      <c r="CP144" s="518" t="str">
        <f>IF(AND(_F="A-321",'2024'!$G$4="CA",'2024'!$G$2=CP119),'2024DATA'!$I$27,"")</f>
        <v/>
      </c>
      <c r="CQ144" s="518" t="str">
        <f>IF(AND(_F="A-321",'2024'!$G$4="CA",'2024'!$G$2=CQ119),'2024DATA'!$J$27,"")</f>
        <v/>
      </c>
      <c r="CR144" s="518" t="str">
        <f>IF(AND(_F="A-321",'2024'!$G$4="CA",'2024'!$G$2=CR119),'2024DATA'!$K$27,"")</f>
        <v/>
      </c>
      <c r="CS144" s="518" t="str">
        <f>IF(AND(_F="A-321",'2024'!$G$4="CA",'2024'!$G$2=CS119),'2024DATA'!$L$27,"")</f>
        <v/>
      </c>
      <c r="CT144" s="518" t="str">
        <f>IF(AND(_F="A-321",'2024'!$G$4="CA",'2024'!$G$2=CT119),'2024DATA'!$M$27,"")</f>
        <v/>
      </c>
      <c r="CU144" s="520" t="str">
        <f>IF(AND(_F="A-321",'2024'!$G$4="CA",'2024'!$G$2=CU119),'2024DATA'!$N$27,"")</f>
        <v/>
      </c>
    </row>
    <row r="145" spans="16:99" x14ac:dyDescent="0.25">
      <c r="P145" s="940"/>
      <c r="Q145" s="13" t="s">
        <v>62</v>
      </c>
      <c r="R145" s="518" t="str">
        <f>IF(AND(_A="A-321",'2024'!$G$4="FO",'2024'!$G$2=R119),'2024DATA'!$C$28,"")</f>
        <v/>
      </c>
      <c r="S145" s="518" t="str">
        <f>IF(AND(_A="A-321",'2024'!$G$4="FO",'2024'!$G$2=S119),'2024DATA'!$D$28,"")</f>
        <v/>
      </c>
      <c r="T145" s="518" t="str">
        <f>IF(AND(_A="A-321",'2024'!$G$4="FO",'2024'!$G$2=T119),'2024DATA'!$E$28,"")</f>
        <v/>
      </c>
      <c r="U145" s="518" t="str">
        <f>IF(AND(_A="A-321",'2024'!$G$4="FO",'2024'!$G$2=U119),'2024DATA'!$F$28,"")</f>
        <v/>
      </c>
      <c r="V145" s="518" t="str">
        <f>IF(AND(_A="A-321",'2024'!$G$4="FO",'2024'!$G$2=V119),'2024DATA'!$G$28,"")</f>
        <v/>
      </c>
      <c r="W145" s="518" t="str">
        <f>IF(AND(_A="A-321",'2024'!$G$4="FO",'2024'!$G$2=W119),'2024DATA'!$H$28,"")</f>
        <v/>
      </c>
      <c r="X145" s="518" t="str">
        <f>IF(AND(_A="A-321",'2024'!$G$4="FO",'2024'!$G$2=X119),'2024DATA'!$I$28,"")</f>
        <v/>
      </c>
      <c r="Y145" s="518" t="str">
        <f>IF(AND(_A="A-321",'2024'!$G$4="FO",'2024'!$G$2=Y119),'2024DATA'!$J$28,"")</f>
        <v/>
      </c>
      <c r="Z145" s="518" t="str">
        <f>IF(AND(_A="A-321",'2024'!$G$4="FO",'2024'!$G$2=Z119),'2024DATA'!$K$28,"")</f>
        <v/>
      </c>
      <c r="AA145" s="518" t="str">
        <f>IF(AND(_A="A-321",'2024'!$G$4="FO",'2024'!$G$2=AA119),'2024DATA'!$L$28,"")</f>
        <v/>
      </c>
      <c r="AB145" s="518" t="str">
        <f>IF(AND(_A="A-321",'2024'!$G$4="FO",'2024'!$G$2=AB119),'2024DATA'!$M$28,"")</f>
        <v/>
      </c>
      <c r="AC145" s="520" t="str">
        <f>IF(AND(_A="A-321",'2024'!$G$4="FO",'2024'!$G$2=AC119),'2024DATA'!$N$28,"")</f>
        <v/>
      </c>
      <c r="AD145" s="940"/>
      <c r="AE145" s="13" t="s">
        <v>62</v>
      </c>
      <c r="AF145" s="518" t="str">
        <f>IF(AND(_B="A-321",'2024'!$G$4="FO",'2024'!$G$2=AF119),'2024DATA'!$C$28,"")</f>
        <v/>
      </c>
      <c r="AG145" s="518" t="str">
        <f>IF(AND(_B="A-321",'2024'!$G$4="FO",'2024'!$G$2=AG119),'2024DATA'!$D$28,"")</f>
        <v/>
      </c>
      <c r="AH145" s="518" t="str">
        <f>IF(AND(_B="A-321",'2024'!$G$4="FO",'2024'!$G$2=AH119),'2024DATA'!$E$28,"")</f>
        <v/>
      </c>
      <c r="AI145" s="518" t="str">
        <f>IF(AND(_B="A-321",'2024'!$G$4="FO",'2024'!$G$2=AI119),'2024DATA'!$F$28,"")</f>
        <v/>
      </c>
      <c r="AJ145" s="518" t="str">
        <f>IF(AND(_B="A-321",'2024'!$G$4="FO",'2024'!$G$2=AJ119),'2024DATA'!$G$28,"")</f>
        <v/>
      </c>
      <c r="AK145" s="518" t="str">
        <f>IF(AND(_B="A-321",'2024'!$G$4="FO",'2024'!$G$2=AK119),'2024DATA'!$H$28,"")</f>
        <v/>
      </c>
      <c r="AL145" s="518" t="str">
        <f>IF(AND(_B="A-321",'2024'!$G$4="FO",'2024'!$G$2=AL119),'2024DATA'!$I$28,"")</f>
        <v/>
      </c>
      <c r="AM145" s="518" t="str">
        <f>IF(AND(_B="A-321",'2024'!$G$4="FO",'2024'!$G$2=AM119),'2024DATA'!$J$28,"")</f>
        <v/>
      </c>
      <c r="AN145" s="518" t="str">
        <f>IF(AND(_B="A-321",'2024'!$G$4="FO",'2024'!$G$2=AN119),'2024DATA'!$K$28,"")</f>
        <v/>
      </c>
      <c r="AO145" s="518" t="str">
        <f>IF(AND(_B="A-321",'2024'!$G$4="FO",'2024'!$G$2=AO119),'2024DATA'!$L$28,"")</f>
        <v/>
      </c>
      <c r="AP145" s="518" t="str">
        <f>IF(AND(_B="A-321",'2024'!$G$4="FO",'2024'!$G$2=AP119),'2024DATA'!$M$28,"")</f>
        <v/>
      </c>
      <c r="AQ145" s="520" t="str">
        <f>IF(AND(_B="A-321",'2024'!$G$4="FO",'2024'!$G$2=AQ119),'2024DATA'!$N$28,"")</f>
        <v/>
      </c>
      <c r="AR145" s="940"/>
      <c r="AS145" s="13" t="s">
        <v>62</v>
      </c>
      <c r="AT145" s="518" t="str">
        <f>IF(AND(_C="A-321",'2024'!$G$4="FO",'2024'!$G$2=AT119),'2024DATA'!$C$28,"")</f>
        <v/>
      </c>
      <c r="AU145" s="518" t="str">
        <f>IF(AND(_C="A-321",'2024'!$G$4="FO",'2024'!$G$2=AU119),'2024DATA'!$D$28,"")</f>
        <v/>
      </c>
      <c r="AV145" s="518" t="str">
        <f>IF(AND(_C="A-321",'2024'!$G$4="FO",'2024'!$G$2=AV119),'2024DATA'!$E$28,"")</f>
        <v/>
      </c>
      <c r="AW145" s="518" t="str">
        <f>IF(AND(_C="A-321",'2024'!$G$4="FO",'2024'!$G$2=AW119),'2024DATA'!$F$28,"")</f>
        <v/>
      </c>
      <c r="AX145" s="518" t="str">
        <f>IF(AND(_C="A-321",'2024'!$G$4="FO",'2024'!$G$2=AX119),'2024DATA'!$G$28,"")</f>
        <v/>
      </c>
      <c r="AY145" s="518" t="str">
        <f>IF(AND(_C="A-321",'2024'!$G$4="FO",'2024'!$G$2=AY119),'2024DATA'!$H$28,"")</f>
        <v/>
      </c>
      <c r="AZ145" s="518" t="str">
        <f>IF(AND(_C="A-321",'2024'!$G$4="FO",'2024'!$G$2=AZ119),'2024DATA'!$I$28,"")</f>
        <v/>
      </c>
      <c r="BA145" s="518" t="str">
        <f>IF(AND(_C="A-321",'2024'!$G$4="FO",'2024'!$G$2=BA119),'2024DATA'!$J$28,"")</f>
        <v/>
      </c>
      <c r="BB145" s="518" t="str">
        <f>IF(AND(_C="A-321",'2024'!$G$4="FO",'2024'!$G$2=BB119),'2024DATA'!$K$28,"")</f>
        <v/>
      </c>
      <c r="BC145" s="518" t="str">
        <f>IF(AND(_C="A-321",'2024'!$G$4="FO",'2024'!$G$2=BC119),'2024DATA'!$L$28,"")</f>
        <v/>
      </c>
      <c r="BD145" s="518" t="str">
        <f>IF(AND(_C="A-321",'2024'!$G$4="FO",'2024'!$G$2=BD119),'2024DATA'!$M$28,"")</f>
        <v/>
      </c>
      <c r="BE145" s="520" t="str">
        <f>IF(AND(_C="A-321",'2024'!$G$4="FO",'2024'!$G$2=BE119),'2024DATA'!$N$28,"")</f>
        <v/>
      </c>
      <c r="BF145" s="940"/>
      <c r="BG145" s="13" t="s">
        <v>62</v>
      </c>
      <c r="BH145" s="518" t="str">
        <f>IF(AND(_D="A-321",'2024'!$G$4="FO",'2024'!$G$2=BH119),'2024DATA'!$C$28,"")</f>
        <v/>
      </c>
      <c r="BI145" s="518" t="str">
        <f>IF(AND(_D="A-321",'2024'!$G$4="FO",'2024'!$G$2=BI119),'2024DATA'!$D$28,"")</f>
        <v/>
      </c>
      <c r="BJ145" s="518" t="str">
        <f>IF(AND(_D="A-321",'2024'!$G$4="FO",'2024'!$G$2=BJ119),'2024DATA'!$E$28,"")</f>
        <v/>
      </c>
      <c r="BK145" s="518" t="str">
        <f>IF(AND(_D="A-321",'2024'!$G$4="FO",'2024'!$G$2=BK119),'2024DATA'!$F$28,"")</f>
        <v/>
      </c>
      <c r="BL145" s="518" t="str">
        <f>IF(AND(_D="A-321",'2024'!$G$4="FO",'2024'!$G$2=BL119),'2024DATA'!$G$28,"")</f>
        <v/>
      </c>
      <c r="BM145" s="518" t="str">
        <f>IF(AND(_D="A-321",'2024'!$G$4="FO",'2024'!$G$2=BM119),'2024DATA'!$H$28,"")</f>
        <v/>
      </c>
      <c r="BN145" s="518" t="str">
        <f>IF(AND(_D="A-321",'2024'!$G$4="FO",'2024'!$G$2=BN119),'2024DATA'!$I$28,"")</f>
        <v/>
      </c>
      <c r="BO145" s="518" t="str">
        <f>IF(AND(_D="A-321",'2024'!$G$4="FO",'2024'!$G$2=BO119),'2024DATA'!$J$28,"")</f>
        <v/>
      </c>
      <c r="BP145" s="518" t="str">
        <f>IF(AND(_D="A-321",'2024'!$G$4="FO",'2024'!$G$2=BP119),'2024DATA'!$K$28,"")</f>
        <v/>
      </c>
      <c r="BQ145" s="518" t="str">
        <f>IF(AND(_D="A-321",'2024'!$G$4="FO",'2024'!$G$2=BQ119),'2024DATA'!$L$28,"")</f>
        <v/>
      </c>
      <c r="BR145" s="518" t="str">
        <f>IF(AND(_D="A-321",'2024'!$G$4="FO",'2024'!$G$2=BR119),'2024DATA'!$M$28,"")</f>
        <v/>
      </c>
      <c r="BS145" s="520" t="str">
        <f>IF(AND(_D="A-321",'2024'!$G$4="FO",'2024'!$G$2=BS119),'2024DATA'!$N$28,"")</f>
        <v/>
      </c>
      <c r="BT145" s="940"/>
      <c r="BU145" s="13" t="s">
        <v>62</v>
      </c>
      <c r="BV145" s="518" t="str">
        <f>IF(AND(_E="A-321",'2024'!$G$4="FO",'2024'!$G$2=BV119),'2024DATA'!$C$28,"")</f>
        <v/>
      </c>
      <c r="BW145" s="518" t="str">
        <f>IF(AND(_E="A-321",'2024'!$G$4="FO",'2024'!$G$2=BW119),'2024DATA'!$D$28,"")</f>
        <v/>
      </c>
      <c r="BX145" s="518" t="str">
        <f>IF(AND(_E="A-321",'2024'!$G$4="FO",'2024'!$G$2=BX119),'2024DATA'!$E$28,"")</f>
        <v/>
      </c>
      <c r="BY145" s="518" t="str">
        <f>IF(AND(_E="A-321",'2024'!$G$4="FO",'2024'!$G$2=BY119),'2024DATA'!$F$28,"")</f>
        <v/>
      </c>
      <c r="BZ145" s="518" t="str">
        <f>IF(AND(_E="A-321",'2024'!$G$4="FO",'2024'!$G$2=BZ119),'2024DATA'!$G$28,"")</f>
        <v/>
      </c>
      <c r="CA145" s="518" t="str">
        <f>IF(AND(_E="A-321",'2024'!$G$4="FO",'2024'!$G$2=CA119),'2024DATA'!$H$28,"")</f>
        <v/>
      </c>
      <c r="CB145" s="518" t="str">
        <f>IF(AND(_E="A-321",'2024'!$G$4="FO",'2024'!$G$2=CB119),'2024DATA'!$I$28,"")</f>
        <v/>
      </c>
      <c r="CC145" s="518" t="str">
        <f>IF(AND(_E="A-321",'2024'!$G$4="FO",'2024'!$G$2=CC119),'2024DATA'!$J$28,"")</f>
        <v/>
      </c>
      <c r="CD145" s="518" t="str">
        <f>IF(AND(_E="A-321",'2024'!$G$4="FO",'2024'!$G$2=CD119),'2024DATA'!$K$28,"")</f>
        <v/>
      </c>
      <c r="CE145" s="518" t="str">
        <f>IF(AND(_E="A-321",'2024'!$G$4="FO",'2024'!$G$2=CE119),'2024DATA'!$L$28,"")</f>
        <v/>
      </c>
      <c r="CF145" s="518" t="str">
        <f>IF(AND(_E="A-321",'2024'!$G$4="FO",'2024'!$G$2=CF119),'2024DATA'!$M$28,"")</f>
        <v/>
      </c>
      <c r="CG145" s="520" t="str">
        <f>IF(AND(_E="A-321",'2024'!$G$4="FO",'2024'!$G$2=CG119),'2024DATA'!$N$28,"")</f>
        <v/>
      </c>
      <c r="CH145" s="940"/>
      <c r="CI145" s="13" t="s">
        <v>62</v>
      </c>
      <c r="CJ145" s="518" t="str">
        <f>IF(AND(_F="A-321",'2024'!$G$4="FO",'2024'!$G$2=CJ119),'2024DATA'!$C$28,"")</f>
        <v/>
      </c>
      <c r="CK145" s="518" t="str">
        <f>IF(AND(_F="A-321",'2024'!$G$4="FO",'2024'!$G$2=CK119),'2024DATA'!$D$28,"")</f>
        <v/>
      </c>
      <c r="CL145" s="518" t="str">
        <f>IF(AND(_F="A-321",'2024'!$G$4="FO",'2024'!$G$2=CL119),'2024DATA'!$E$28,"")</f>
        <v/>
      </c>
      <c r="CM145" s="518" t="str">
        <f>IF(AND(_F="A-321",'2024'!$G$4="FO",'2024'!$G$2=CM119),'2024DATA'!$F$28,"")</f>
        <v/>
      </c>
      <c r="CN145" s="518" t="str">
        <f>IF(AND(_F="A-321",'2024'!$G$4="FO",'2024'!$G$2=CN119),'2024DATA'!$G$28,"")</f>
        <v/>
      </c>
      <c r="CO145" s="518" t="str">
        <f>IF(AND(_F="A-321",'2024'!$G$4="FO",'2024'!$G$2=CO119),'2024DATA'!$H$28,"")</f>
        <v/>
      </c>
      <c r="CP145" s="518" t="str">
        <f>IF(AND(_F="A-321",'2024'!$G$4="FO",'2024'!$G$2=CP119),'2024DATA'!$I$28,"")</f>
        <v/>
      </c>
      <c r="CQ145" s="518" t="str">
        <f>IF(AND(_F="A-321",'2024'!$G$4="FO",'2024'!$G$2=CQ119),'2024DATA'!$J$28,"")</f>
        <v/>
      </c>
      <c r="CR145" s="518" t="str">
        <f>IF(AND(_F="A-321",'2024'!$G$4="FO",'2024'!$G$2=CR119),'2024DATA'!$K$28,"")</f>
        <v/>
      </c>
      <c r="CS145" s="518" t="str">
        <f>IF(AND(_F="A-321",'2024'!$G$4="FO",'2024'!$G$2=CS119),'2024DATA'!$L$28,"")</f>
        <v/>
      </c>
      <c r="CT145" s="518" t="str">
        <f>IF(AND(_F="A-321",'2024'!$G$4="FO",'2024'!$G$2=CT119),'2024DATA'!$M$28,"")</f>
        <v/>
      </c>
      <c r="CU145" s="520" t="str">
        <f>IF(AND(_F="A-321",'2024'!$G$4="FO",'2024'!$G$2=CU119),'2024DATA'!$N$28,"")</f>
        <v/>
      </c>
    </row>
    <row r="146" spans="16:99" x14ac:dyDescent="0.25">
      <c r="P146" s="940" t="s">
        <v>70</v>
      </c>
      <c r="Q146" s="13" t="s">
        <v>61</v>
      </c>
      <c r="R146" s="518" t="str">
        <f>IF(AND(_A="A-320",'2024'!$G$4="CA",'2024'!$G$2=R119),'2024DATA'!$C$29,"")</f>
        <v/>
      </c>
      <c r="S146" s="518" t="str">
        <f>IF(AND(_A="A-320",'2024'!$G$4="CA",'2024'!$G$2=S119),'2024DATA'!$D$29,"")</f>
        <v/>
      </c>
      <c r="T146" s="518" t="str">
        <f>IF(AND(_A="A-320",'2024'!$G$4="CA",'2024'!$G$2=T119),'2024DATA'!$E$29,"")</f>
        <v/>
      </c>
      <c r="U146" s="518" t="str">
        <f>IF(AND(_A="A-320",'2024'!$G$4="CA",'2024'!$G$2=U119),'2024DATA'!$F$29,"")</f>
        <v/>
      </c>
      <c r="V146" s="518" t="str">
        <f>IF(AND(_A="A-320",'2024'!$G$4="CA",'2024'!$G$2=V119),'2024DATA'!$G$29,"")</f>
        <v/>
      </c>
      <c r="W146" s="518" t="str">
        <f>IF(AND(_A="A-320",'2024'!$G$4="CA",'2024'!$G$2=W119),'2024DATA'!$H$29,"")</f>
        <v/>
      </c>
      <c r="X146" s="518" t="str">
        <f>IF(AND(_A="A-320",'2024'!$G$4="CA",'2024'!$G$2=X119),'2024DATA'!$I$29,"")</f>
        <v/>
      </c>
      <c r="Y146" s="518" t="str">
        <f>IF(AND(_A="A-320",'2024'!$G$4="CA",'2024'!$G$2=Y119),'2024DATA'!$J$29,"")</f>
        <v/>
      </c>
      <c r="Z146" s="518" t="str">
        <f>IF(AND(_A="A-320",'2024'!$G$4="CA",'2024'!$G$2=Z119),'2024DATA'!$K$29,"")</f>
        <v/>
      </c>
      <c r="AA146" s="518" t="str">
        <f>IF(AND(_A="A-320",'2024'!$G$4="CA",'2024'!$G$2=AA119),'2024DATA'!$L$29,"")</f>
        <v/>
      </c>
      <c r="AB146" s="518" t="str">
        <f>IF(AND(_A="A-320",'2024'!$G$4="CA",'2024'!$G$2=AB119),'2024DATA'!$M$29,"")</f>
        <v/>
      </c>
      <c r="AC146" s="520" t="str">
        <f>IF(AND(_A="A-320",'2024'!$G$4="CA",'2024'!$G$2=AC119),'2024DATA'!$N$29,"")</f>
        <v/>
      </c>
      <c r="AD146" s="940" t="s">
        <v>70</v>
      </c>
      <c r="AE146" s="13" t="s">
        <v>61</v>
      </c>
      <c r="AF146" s="518" t="str">
        <f>IF(AND(_B="A-320",'2024'!$G$4="CA",'2024'!$G$2=AF119),'2024DATA'!$C$29,"")</f>
        <v/>
      </c>
      <c r="AG146" s="518" t="str">
        <f>IF(AND(_B="A-320",'2024'!$G$4="CA",'2024'!$G$2=AG119),'2024DATA'!$D$29,"")</f>
        <v/>
      </c>
      <c r="AH146" s="518" t="str">
        <f>IF(AND(_B="A-320",'2024'!$G$4="CA",'2024'!$G$2=AH119),'2024DATA'!$E$29,"")</f>
        <v/>
      </c>
      <c r="AI146" s="518" t="str">
        <f>IF(AND(_B="A-320",'2024'!$G$4="CA",'2024'!$G$2=AI119),'2024DATA'!$F$29,"")</f>
        <v/>
      </c>
      <c r="AJ146" s="518" t="str">
        <f>IF(AND(_B="A-320",'2024'!$G$4="CA",'2024'!$G$2=AJ119),'2024DATA'!$G$29,"")</f>
        <v/>
      </c>
      <c r="AK146" s="518" t="str">
        <f>IF(AND(_B="A-320",'2024'!$G$4="CA",'2024'!$G$2=AK119),'2024DATA'!$H$29,"")</f>
        <v/>
      </c>
      <c r="AL146" s="518" t="str">
        <f>IF(AND(_B="A-320",'2024'!$G$4="CA",'2024'!$G$2=AL119),'2024DATA'!$I$29,"")</f>
        <v/>
      </c>
      <c r="AM146" s="518" t="str">
        <f>IF(AND(_B="A-320",'2024'!$G$4="CA",'2024'!$G$2=AM119),'2024DATA'!$J$29,"")</f>
        <v/>
      </c>
      <c r="AN146" s="518" t="str">
        <f>IF(AND(_B="A-320",'2024'!$G$4="CA",'2024'!$G$2=AN119),'2024DATA'!$K$29,"")</f>
        <v/>
      </c>
      <c r="AO146" s="518" t="str">
        <f>IF(AND(_B="A-320",'2024'!$G$4="CA",'2024'!$G$2=AO119),'2024DATA'!$L$29,"")</f>
        <v/>
      </c>
      <c r="AP146" s="518" t="str">
        <f>IF(AND(_B="A-320",'2024'!$G$4="CA",'2024'!$G$2=AP119),'2024DATA'!$M$29,"")</f>
        <v/>
      </c>
      <c r="AQ146" s="520" t="str">
        <f>IF(AND(_B="A-320",'2024'!$G$4="CA",'2024'!$G$2=AQ119),'2024DATA'!$N$29,"")</f>
        <v/>
      </c>
      <c r="AR146" s="940" t="s">
        <v>70</v>
      </c>
      <c r="AS146" s="13" t="s">
        <v>61</v>
      </c>
      <c r="AT146" s="518" t="str">
        <f>IF(AND(_C="A-320",'2024'!$G$4="CA",'2024'!$G$2=AT119),'2024DATA'!$C$29,"")</f>
        <v/>
      </c>
      <c r="AU146" s="518" t="str">
        <f>IF(AND(_C="A-320",'2024'!$G$4="CA",'2024'!$G$2=AU119),'2024DATA'!$D$29,"")</f>
        <v/>
      </c>
      <c r="AV146" s="518" t="str">
        <f>IF(AND(_C="A-320",'2024'!$G$4="CA",'2024'!$G$2=AV119),'2024DATA'!$E$29,"")</f>
        <v/>
      </c>
      <c r="AW146" s="518" t="str">
        <f>IF(AND(_C="A-320",'2024'!$G$4="CA",'2024'!$G$2=AW119),'2024DATA'!$F$29,"")</f>
        <v/>
      </c>
      <c r="AX146" s="518" t="str">
        <f>IF(AND(_C="A-320",'2024'!$G$4="CA",'2024'!$G$2=AX119),'2024DATA'!$G$29,"")</f>
        <v/>
      </c>
      <c r="AY146" s="518" t="str">
        <f>IF(AND(_C="A-320",'2024'!$G$4="CA",'2024'!$G$2=AY119),'2024DATA'!$H$29,"")</f>
        <v/>
      </c>
      <c r="AZ146" s="518" t="str">
        <f>IF(AND(_C="A-320",'2024'!$G$4="CA",'2024'!$G$2=AZ119),'2024DATA'!$I$29,"")</f>
        <v/>
      </c>
      <c r="BA146" s="518" t="str">
        <f>IF(AND(_C="A-320",'2024'!$G$4="CA",'2024'!$G$2=BA119),'2024DATA'!$J$29,"")</f>
        <v/>
      </c>
      <c r="BB146" s="518" t="str">
        <f>IF(AND(_C="A-320",'2024'!$G$4="CA",'2024'!$G$2=BB119),'2024DATA'!$K$29,"")</f>
        <v/>
      </c>
      <c r="BC146" s="518" t="str">
        <f>IF(AND(_C="A-320",'2024'!$G$4="CA",'2024'!$G$2=BC119),'2024DATA'!$L$29,"")</f>
        <v/>
      </c>
      <c r="BD146" s="518" t="str">
        <f>IF(AND(_C="A-320",'2024'!$G$4="CA",'2024'!$G$2=BD119),'2024DATA'!$M$29,"")</f>
        <v/>
      </c>
      <c r="BE146" s="520" t="str">
        <f>IF(AND(_C="A-320",'2024'!$G$4="CA",'2024'!$G$2=BE119),'2024DATA'!$N$29,"")</f>
        <v/>
      </c>
      <c r="BF146" s="940" t="s">
        <v>70</v>
      </c>
      <c r="BG146" s="13" t="s">
        <v>61</v>
      </c>
      <c r="BH146" s="518" t="str">
        <f>IF(AND(_D="A-320",'2024'!$G$4="CA",'2024'!$G$2=BH119),'2024DATA'!$C$29,"")</f>
        <v/>
      </c>
      <c r="BI146" s="518" t="str">
        <f>IF(AND(_D="A-320",'2024'!$G$4="CA",'2024'!$G$2=BI119),'2024DATA'!$D$29,"")</f>
        <v/>
      </c>
      <c r="BJ146" s="518" t="str">
        <f>IF(AND(_D="A-320",'2024'!$G$4="CA",'2024'!$G$2=BJ119),'2024DATA'!$E$29,"")</f>
        <v/>
      </c>
      <c r="BK146" s="518" t="str">
        <f>IF(AND(_D="A-320",'2024'!$G$4="CA",'2024'!$G$2=BK119),'2024DATA'!$F$29,"")</f>
        <v/>
      </c>
      <c r="BL146" s="518" t="str">
        <f>IF(AND(_D="A-320",'2024'!$G$4="CA",'2024'!$G$2=BL119),'2024DATA'!$G$29,"")</f>
        <v/>
      </c>
      <c r="BM146" s="518" t="str">
        <f>IF(AND(_D="A-320",'2024'!$G$4="CA",'2024'!$G$2=BM119),'2024DATA'!$H$29,"")</f>
        <v/>
      </c>
      <c r="BN146" s="518" t="str">
        <f>IF(AND(_D="A-320",'2024'!$G$4="CA",'2024'!$G$2=BN119),'2024DATA'!$I$29,"")</f>
        <v/>
      </c>
      <c r="BO146" s="518" t="str">
        <f>IF(AND(_D="A-320",'2024'!$G$4="CA",'2024'!$G$2=BO119),'2024DATA'!$J$29,"")</f>
        <v/>
      </c>
      <c r="BP146" s="518" t="str">
        <f>IF(AND(_D="A-320",'2024'!$G$4="CA",'2024'!$G$2=BP119),'2024DATA'!$K$29,"")</f>
        <v/>
      </c>
      <c r="BQ146" s="518" t="str">
        <f>IF(AND(_D="A-320",'2024'!$G$4="CA",'2024'!$G$2=BQ119),'2024DATA'!$L$29,"")</f>
        <v/>
      </c>
      <c r="BR146" s="518" t="str">
        <f>IF(AND(_D="A-320",'2024'!$G$4="CA",'2024'!$G$2=BR119),'2024DATA'!$M$29,"")</f>
        <v/>
      </c>
      <c r="BS146" s="520" t="str">
        <f>IF(AND(_D="A-320",'2024'!$G$4="CA",'2024'!$G$2=BS119),'2024DATA'!$N$29,"")</f>
        <v/>
      </c>
      <c r="BT146" s="940" t="s">
        <v>70</v>
      </c>
      <c r="BU146" s="13" t="s">
        <v>61</v>
      </c>
      <c r="BV146" s="518" t="str">
        <f>IF(AND(_E="A-320",'2024'!$G$4="CA",'2024'!$G$2=BV119),'2024DATA'!$C$29,"")</f>
        <v/>
      </c>
      <c r="BW146" s="518" t="str">
        <f>IF(AND(_E="A-320",'2024'!$G$4="CA",'2024'!$G$2=BW119),'2024DATA'!$D$29,"")</f>
        <v/>
      </c>
      <c r="BX146" s="518" t="str">
        <f>IF(AND(_E="A-320",'2024'!$G$4="CA",'2024'!$G$2=BX119),'2024DATA'!$E$29,"")</f>
        <v/>
      </c>
      <c r="BY146" s="518" t="str">
        <f>IF(AND(_E="A-320",'2024'!$G$4="CA",'2024'!$G$2=BY119),'2024DATA'!$F$29,"")</f>
        <v/>
      </c>
      <c r="BZ146" s="518" t="str">
        <f>IF(AND(_E="A-320",'2024'!$G$4="CA",'2024'!$G$2=BZ119),'2024DATA'!$G$29,"")</f>
        <v/>
      </c>
      <c r="CA146" s="518" t="str">
        <f>IF(AND(_E="A-320",'2024'!$G$4="CA",'2024'!$G$2=CA119),'2024DATA'!$H$29,"")</f>
        <v/>
      </c>
      <c r="CB146" s="518" t="str">
        <f>IF(AND(_E="A-320",'2024'!$G$4="CA",'2024'!$G$2=CB119),'2024DATA'!$I$29,"")</f>
        <v/>
      </c>
      <c r="CC146" s="518" t="str">
        <f>IF(AND(_E="A-320",'2024'!$G$4="CA",'2024'!$G$2=CC119),'2024DATA'!$J$29,"")</f>
        <v/>
      </c>
      <c r="CD146" s="518" t="str">
        <f>IF(AND(_E="A-320",'2024'!$G$4="CA",'2024'!$G$2=CD119),'2024DATA'!$K$29,"")</f>
        <v/>
      </c>
      <c r="CE146" s="518" t="str">
        <f>IF(AND(_E="A-320",'2024'!$G$4="CA",'2024'!$G$2=CE119),'2024DATA'!$L$29,"")</f>
        <v/>
      </c>
      <c r="CF146" s="518" t="str">
        <f>IF(AND(_E="A-320",'2024'!$G$4="CA",'2024'!$G$2=CF119),'2024DATA'!$M$29,"")</f>
        <v/>
      </c>
      <c r="CG146" s="520" t="str">
        <f>IF(AND(_E="A-320",'2024'!$G$4="CA",'2024'!$G$2=CG119),'2024DATA'!$N$29,"")</f>
        <v/>
      </c>
      <c r="CH146" s="940" t="s">
        <v>70</v>
      </c>
      <c r="CI146" s="13" t="s">
        <v>61</v>
      </c>
      <c r="CJ146" s="518" t="str">
        <f>IF(AND(_F="A-320",'2024'!$G$4="CA",'2024'!$G$2=CJ119),'2024DATA'!$C$29,"")</f>
        <v/>
      </c>
      <c r="CK146" s="518" t="str">
        <f>IF(AND(_F="A-320",'2024'!$G$4="CA",'2024'!$G$2=CK119),'2024DATA'!$D$29,"")</f>
        <v/>
      </c>
      <c r="CL146" s="518" t="str">
        <f>IF(AND(_F="A-320",'2024'!$G$4="CA",'2024'!$G$2=CL119),'2024DATA'!$E$29,"")</f>
        <v/>
      </c>
      <c r="CM146" s="518" t="str">
        <f>IF(AND(_F="A-320",'2024'!$G$4="CA",'2024'!$G$2=CM119),'2024DATA'!$F$29,"")</f>
        <v/>
      </c>
      <c r="CN146" s="518" t="str">
        <f>IF(AND(_F="A-320",'2024'!$G$4="CA",'2024'!$G$2=CN119),'2024DATA'!$G$29,"")</f>
        <v/>
      </c>
      <c r="CO146" s="518" t="str">
        <f>IF(AND(_F="A-320",'2024'!$G$4="CA",'2024'!$G$2=CO119),'2024DATA'!$H$29,"")</f>
        <v/>
      </c>
      <c r="CP146" s="518" t="str">
        <f>IF(AND(_F="A-320",'2024'!$G$4="CA",'2024'!$G$2=CP119),'2024DATA'!$I$29,"")</f>
        <v/>
      </c>
      <c r="CQ146" s="518" t="str">
        <f>IF(AND(_F="A-320",'2024'!$G$4="CA",'2024'!$G$2=CQ119),'2024DATA'!$J$29,"")</f>
        <v/>
      </c>
      <c r="CR146" s="518" t="str">
        <f>IF(AND(_F="A-320",'2024'!$G$4="CA",'2024'!$G$2=CR119),'2024DATA'!$K$29,"")</f>
        <v/>
      </c>
      <c r="CS146" s="518" t="str">
        <f>IF(AND(_F="A-320",'2024'!$G$4="CA",'2024'!$G$2=CS119),'2024DATA'!$L$29,"")</f>
        <v/>
      </c>
      <c r="CT146" s="518" t="str">
        <f>IF(AND(_F="A-320",'2024'!$G$4="CA",'2024'!$G$2=CT119),'2024DATA'!$M$29,"")</f>
        <v/>
      </c>
      <c r="CU146" s="520" t="str">
        <f>IF(AND(_F="A-320",'2024'!$G$4="CA",'2024'!$G$2=CU119),'2024DATA'!$N$29,"")</f>
        <v/>
      </c>
    </row>
    <row r="147" spans="16:99" x14ac:dyDescent="0.25">
      <c r="P147" s="940"/>
      <c r="Q147" s="13" t="s">
        <v>62</v>
      </c>
      <c r="R147" s="518" t="str">
        <f>IF(AND(_A="A-320",'2024'!$G$4="FO",'2024'!$G$2=R119),'2024DATA'!$C$30,"")</f>
        <v/>
      </c>
      <c r="S147" s="518" t="str">
        <f>IF(AND(_A="A-320",'2024'!$G$4="FO",'2024'!$G$2=S119),'2024DATA'!$D$30,"")</f>
        <v/>
      </c>
      <c r="T147" s="518" t="str">
        <f>IF(AND(_A="A-320",'2024'!$G$4="FO",'2024'!$G$2=T119),'2024DATA'!$E$30,"")</f>
        <v/>
      </c>
      <c r="U147" s="518" t="str">
        <f>IF(AND(_A="A-320",'2024'!$G$4="FO",'2024'!$G$2=U119),'2024DATA'!$F$30,"")</f>
        <v/>
      </c>
      <c r="V147" s="518" t="str">
        <f>IF(AND(_A="A-320",'2024'!$G$4="FO",'2024'!$G$2=V119),'2024DATA'!$G$30,"")</f>
        <v/>
      </c>
      <c r="W147" s="518" t="str">
        <f>IF(AND(_A="A-320",'2024'!$G$4="FO",'2024'!$G$2=W119),'2024DATA'!$H$30,"")</f>
        <v/>
      </c>
      <c r="X147" s="518" t="str">
        <f>IF(AND(_A="A-320",'2024'!$G$4="FO",'2024'!$G$2=X119),'2024DATA'!$I$30,"")</f>
        <v/>
      </c>
      <c r="Y147" s="518" t="str">
        <f>IF(AND(_A="A-320",'2024'!$G$4="FO",'2024'!$G$2=Y119),'2024DATA'!$J$30,"")</f>
        <v/>
      </c>
      <c r="Z147" s="518" t="str">
        <f>IF(AND(_A="A-320",'2024'!$G$4="FO",'2024'!$G$2=Z119),'2024DATA'!$K$30,"")</f>
        <v/>
      </c>
      <c r="AA147" s="518" t="str">
        <f>IF(AND(_A="A-320",'2024'!$G$4="FO",'2024'!$G$2=AA119),'2024DATA'!$L$30,"")</f>
        <v/>
      </c>
      <c r="AB147" s="518" t="str">
        <f>IF(AND(_A="A-320",'2024'!$G$4="FO",'2024'!$G$2=AB119),'2024DATA'!$M$30,"")</f>
        <v/>
      </c>
      <c r="AC147" s="520" t="str">
        <f>IF(AND(_A="A-320",'2024'!$G$4="FO",'2024'!$G$2=AC119),'2024DATA'!$N$30,"")</f>
        <v/>
      </c>
      <c r="AD147" s="940"/>
      <c r="AE147" s="13" t="s">
        <v>62</v>
      </c>
      <c r="AF147" s="518" t="str">
        <f>IF(AND(_B="A-320",'2024'!$G$4="FO",'2024'!$G$2=AF119),'2024DATA'!$C$30,"")</f>
        <v/>
      </c>
      <c r="AG147" s="518" t="str">
        <f>IF(AND(_B="A-320",'2024'!$G$4="FO",'2024'!$G$2=AG119),'2024DATA'!$D$30,"")</f>
        <v/>
      </c>
      <c r="AH147" s="518" t="str">
        <f>IF(AND(_B="A-320",'2024'!$G$4="FO",'2024'!$G$2=AH119),'2024DATA'!$E$30,"")</f>
        <v/>
      </c>
      <c r="AI147" s="518" t="str">
        <f>IF(AND(_B="A-320",'2024'!$G$4="FO",'2024'!$G$2=AI119),'2024DATA'!$F$30,"")</f>
        <v/>
      </c>
      <c r="AJ147" s="518" t="str">
        <f>IF(AND(_B="A-320",'2024'!$G$4="FO",'2024'!$G$2=AJ119),'2024DATA'!$G$30,"")</f>
        <v/>
      </c>
      <c r="AK147" s="518" t="str">
        <f>IF(AND(_B="A-320",'2024'!$G$4="FO",'2024'!$G$2=AK119),'2024DATA'!$H$30,"")</f>
        <v/>
      </c>
      <c r="AL147" s="518" t="str">
        <f>IF(AND(_B="A-320",'2024'!$G$4="FO",'2024'!$G$2=AL119),'2024DATA'!$I$30,"")</f>
        <v/>
      </c>
      <c r="AM147" s="518" t="str">
        <f>IF(AND(_B="A-320",'2024'!$G$4="FO",'2024'!$G$2=AM119),'2024DATA'!$J$30,"")</f>
        <v/>
      </c>
      <c r="AN147" s="518" t="str">
        <f>IF(AND(_B="A-320",'2024'!$G$4="FO",'2024'!$G$2=AN119),'2024DATA'!$K$30,"")</f>
        <v/>
      </c>
      <c r="AO147" s="518" t="str">
        <f>IF(AND(_B="A-320",'2024'!$G$4="FO",'2024'!$G$2=AO119),'2024DATA'!$L$30,"")</f>
        <v/>
      </c>
      <c r="AP147" s="518" t="str">
        <f>IF(AND(_B="A-320",'2024'!$G$4="FO",'2024'!$G$2=AP119),'2024DATA'!$M$30,"")</f>
        <v/>
      </c>
      <c r="AQ147" s="520" t="str">
        <f>IF(AND(_B="A-320",'2024'!$G$4="FO",'2024'!$G$2=AQ119),'2024DATA'!$N$30,"")</f>
        <v/>
      </c>
      <c r="AR147" s="940"/>
      <c r="AS147" s="13" t="s">
        <v>62</v>
      </c>
      <c r="AT147" s="518" t="str">
        <f>IF(AND(_C="A-320",'2024'!$G$4="FO",'2024'!$G$2=AT119),'2024DATA'!$C$30,"")</f>
        <v/>
      </c>
      <c r="AU147" s="518" t="str">
        <f>IF(AND(_C="A-320",'2024'!$G$4="FO",'2024'!$G$2=AU119),'2024DATA'!$D$30,"")</f>
        <v/>
      </c>
      <c r="AV147" s="518" t="str">
        <f>IF(AND(_C="A-320",'2024'!$G$4="FO",'2024'!$G$2=AV119),'2024DATA'!$E$30,"")</f>
        <v/>
      </c>
      <c r="AW147" s="518" t="str">
        <f>IF(AND(_C="A-320",'2024'!$G$4="FO",'2024'!$G$2=AW119),'2024DATA'!$F$30,"")</f>
        <v/>
      </c>
      <c r="AX147" s="518" t="str">
        <f>IF(AND(_C="A-320",'2024'!$G$4="FO",'2024'!$G$2=AX119),'2024DATA'!$G$30,"")</f>
        <v/>
      </c>
      <c r="AY147" s="518" t="str">
        <f>IF(AND(_C="A-320",'2024'!$G$4="FO",'2024'!$G$2=AY119),'2024DATA'!$H$30,"")</f>
        <v/>
      </c>
      <c r="AZ147" s="518" t="str">
        <f>IF(AND(_C="A-320",'2024'!$G$4="FO",'2024'!$G$2=AZ119),'2024DATA'!$I$30,"")</f>
        <v/>
      </c>
      <c r="BA147" s="518" t="str">
        <f>IF(AND(_C="A-320",'2024'!$G$4="FO",'2024'!$G$2=BA119),'2024DATA'!$J$30,"")</f>
        <v/>
      </c>
      <c r="BB147" s="518" t="str">
        <f>IF(AND(_C="A-320",'2024'!$G$4="FO",'2024'!$G$2=BB119),'2024DATA'!$K$30,"")</f>
        <v/>
      </c>
      <c r="BC147" s="518" t="str">
        <f>IF(AND(_C="A-320",'2024'!$G$4="FO",'2024'!$G$2=BC119),'2024DATA'!$L$30,"")</f>
        <v/>
      </c>
      <c r="BD147" s="518" t="str">
        <f>IF(AND(_C="A-320",'2024'!$G$4="FO",'2024'!$G$2=BD119),'2024DATA'!$M$30,"")</f>
        <v/>
      </c>
      <c r="BE147" s="520" t="str">
        <f>IF(AND(_C="A-320",'2024'!$G$4="FO",'2024'!$G$2=BE119),'2024DATA'!$N$30,"")</f>
        <v/>
      </c>
      <c r="BF147" s="940"/>
      <c r="BG147" s="13" t="s">
        <v>62</v>
      </c>
      <c r="BH147" s="518" t="str">
        <f>IF(AND(_D="A-320",'2024'!$G$4="FO",'2024'!$G$2=BH119),'2024DATA'!$C$30,"")</f>
        <v/>
      </c>
      <c r="BI147" s="518" t="str">
        <f>IF(AND(_D="A-320",'2024'!$G$4="FO",'2024'!$G$2=BI119),'2024DATA'!$D$30,"")</f>
        <v/>
      </c>
      <c r="BJ147" s="518" t="str">
        <f>IF(AND(_D="A-320",'2024'!$G$4="FO",'2024'!$G$2=BJ119),'2024DATA'!$E$30,"")</f>
        <v/>
      </c>
      <c r="BK147" s="518" t="str">
        <f>IF(AND(_D="A-320",'2024'!$G$4="FO",'2024'!$G$2=BK119),'2024DATA'!$F$30,"")</f>
        <v/>
      </c>
      <c r="BL147" s="518" t="str">
        <f>IF(AND(_D="A-320",'2024'!$G$4="FO",'2024'!$G$2=BL119),'2024DATA'!$G$30,"")</f>
        <v/>
      </c>
      <c r="BM147" s="518" t="str">
        <f>IF(AND(_D="A-320",'2024'!$G$4="FO",'2024'!$G$2=BM119),'2024DATA'!$H$30,"")</f>
        <v/>
      </c>
      <c r="BN147" s="518" t="str">
        <f>IF(AND(_D="A-320",'2024'!$G$4="FO",'2024'!$G$2=BN119),'2024DATA'!$I$30,"")</f>
        <v/>
      </c>
      <c r="BO147" s="518" t="str">
        <f>IF(AND(_D="A-320",'2024'!$G$4="FO",'2024'!$G$2=BO119),'2024DATA'!$J$30,"")</f>
        <v/>
      </c>
      <c r="BP147" s="518" t="str">
        <f>IF(AND(_D="A-320",'2024'!$G$4="FO",'2024'!$G$2=BP119),'2024DATA'!$K$30,"")</f>
        <v/>
      </c>
      <c r="BQ147" s="518" t="str">
        <f>IF(AND(_D="A-320",'2024'!$G$4="FO",'2024'!$G$2=BQ119),'2024DATA'!$L$30,"")</f>
        <v/>
      </c>
      <c r="BR147" s="518" t="str">
        <f>IF(AND(_D="A-320",'2024'!$G$4="FO",'2024'!$G$2=BR119),'2024DATA'!$M$30,"")</f>
        <v/>
      </c>
      <c r="BS147" s="520" t="str">
        <f>IF(AND(_D="A-320",'2024'!$G$4="FO",'2024'!$G$2=BS119),'2024DATA'!$N$30,"")</f>
        <v/>
      </c>
      <c r="BT147" s="940"/>
      <c r="BU147" s="13" t="s">
        <v>62</v>
      </c>
      <c r="BV147" s="518" t="str">
        <f>IF(AND(_E="A-320",'2024'!$G$4="FO",'2024'!$G$2=BV119),'2024DATA'!$C$30,"")</f>
        <v/>
      </c>
      <c r="BW147" s="518" t="str">
        <f>IF(AND(_E="A-320",'2024'!$G$4="FO",'2024'!$G$2=BW119),'2024DATA'!$D$30,"")</f>
        <v/>
      </c>
      <c r="BX147" s="518" t="str">
        <f>IF(AND(_E="A-320",'2024'!$G$4="FO",'2024'!$G$2=BX119),'2024DATA'!$E$30,"")</f>
        <v/>
      </c>
      <c r="BY147" s="518" t="str">
        <f>IF(AND(_E="A-320",'2024'!$G$4="FO",'2024'!$G$2=BY119),'2024DATA'!$F$30,"")</f>
        <v/>
      </c>
      <c r="BZ147" s="518" t="str">
        <f>IF(AND(_E="A-320",'2024'!$G$4="FO",'2024'!$G$2=BZ119),'2024DATA'!$G$30,"")</f>
        <v/>
      </c>
      <c r="CA147" s="518" t="str">
        <f>IF(AND(_E="A-320",'2024'!$G$4="FO",'2024'!$G$2=CA119),'2024DATA'!$H$30,"")</f>
        <v/>
      </c>
      <c r="CB147" s="518" t="str">
        <f>IF(AND(_E="A-320",'2024'!$G$4="FO",'2024'!$G$2=CB119),'2024DATA'!$I$30,"")</f>
        <v/>
      </c>
      <c r="CC147" s="518" t="str">
        <f>IF(AND(_E="A-320",'2024'!$G$4="FO",'2024'!$G$2=CC119),'2024DATA'!$J$30,"")</f>
        <v/>
      </c>
      <c r="CD147" s="518" t="str">
        <f>IF(AND(_E="A-320",'2024'!$G$4="FO",'2024'!$G$2=CD119),'2024DATA'!$K$30,"")</f>
        <v/>
      </c>
      <c r="CE147" s="518" t="str">
        <f>IF(AND(_E="A-320",'2024'!$G$4="FO",'2024'!$G$2=CE119),'2024DATA'!$L$30,"")</f>
        <v/>
      </c>
      <c r="CF147" s="518" t="str">
        <f>IF(AND(_E="A-320",'2024'!$G$4="FO",'2024'!$G$2=CF119),'2024DATA'!$M$30,"")</f>
        <v/>
      </c>
      <c r="CG147" s="520" t="str">
        <f>IF(AND(_E="A-320",'2024'!$G$4="FO",'2024'!$G$2=CG119),'2024DATA'!$N$30,"")</f>
        <v/>
      </c>
      <c r="CH147" s="940"/>
      <c r="CI147" s="13" t="s">
        <v>62</v>
      </c>
      <c r="CJ147" s="518" t="str">
        <f>IF(AND(_F="A-320",'2024'!$G$4="FO",'2024'!$G$2=CJ119),'2024DATA'!$C$30,"")</f>
        <v/>
      </c>
      <c r="CK147" s="518" t="str">
        <f>IF(AND(_F="A-320",'2024'!$G$4="FO",'2024'!$G$2=CK119),'2024DATA'!$D$30,"")</f>
        <v/>
      </c>
      <c r="CL147" s="518" t="str">
        <f>IF(AND(_F="A-320",'2024'!$G$4="FO",'2024'!$G$2=CL119),'2024DATA'!$E$30,"")</f>
        <v/>
      </c>
      <c r="CM147" s="518" t="str">
        <f>IF(AND(_F="A-320",'2024'!$G$4="FO",'2024'!$G$2=CM119),'2024DATA'!$F$30,"")</f>
        <v/>
      </c>
      <c r="CN147" s="518" t="str">
        <f>IF(AND(_F="A-320",'2024'!$G$4="FO",'2024'!$G$2=CN119),'2024DATA'!$G$30,"")</f>
        <v/>
      </c>
      <c r="CO147" s="518" t="str">
        <f>IF(AND(_F="A-320",'2024'!$G$4="FO",'2024'!$G$2=CO119),'2024DATA'!$H$30,"")</f>
        <v/>
      </c>
      <c r="CP147" s="518" t="str">
        <f>IF(AND(_F="A-320",'2024'!$G$4="FO",'2024'!$G$2=CP119),'2024DATA'!$I$30,"")</f>
        <v/>
      </c>
      <c r="CQ147" s="518" t="str">
        <f>IF(AND(_F="A-320",'2024'!$G$4="FO",'2024'!$G$2=CQ119),'2024DATA'!$J$30,"")</f>
        <v/>
      </c>
      <c r="CR147" s="518" t="str">
        <f>IF(AND(_F="A-320",'2024'!$G$4="FO",'2024'!$G$2=CR119),'2024DATA'!$K$30,"")</f>
        <v/>
      </c>
      <c r="CS147" s="518" t="str">
        <f>IF(AND(_F="A-320",'2024'!$G$4="FO",'2024'!$G$2=CS119),'2024DATA'!$L$30,"")</f>
        <v/>
      </c>
      <c r="CT147" s="518" t="str">
        <f>IF(AND(_F="A-320",'2024'!$G$4="FO",'2024'!$G$2=CT119),'2024DATA'!$M$30,"")</f>
        <v/>
      </c>
      <c r="CU147" s="520" t="str">
        <f>IF(AND(_F="A-320",'2024'!$G$4="FO",'2024'!$G$2=CU119),'2024DATA'!$N$30,"")</f>
        <v/>
      </c>
    </row>
    <row r="148" spans="16:99" x14ac:dyDescent="0.25">
      <c r="P148" s="940" t="s">
        <v>71</v>
      </c>
      <c r="Q148" s="13" t="s">
        <v>61</v>
      </c>
      <c r="R148" s="518" t="str">
        <f>IF(AND(_A="A-319",'2024'!$G$4="CA",'2024'!$G$2=R119),'2024DATA'!$C$31,"")</f>
        <v/>
      </c>
      <c r="S148" s="518" t="str">
        <f>IF(AND(_A="A-319",'2024'!$G$4="CA",'2024'!$G$2=S119),'2024DATA'!$D$31,"")</f>
        <v/>
      </c>
      <c r="T148" s="518" t="str">
        <f>IF(AND(_A="A-319",'2024'!$G$4="CA",'2024'!$G$2=T119),'2024DATA'!$E$31,"")</f>
        <v/>
      </c>
      <c r="U148" s="518" t="str">
        <f>IF(AND(_A="A-319",'2024'!$G$4="CA",'2024'!$G$2=U119),'2024DATA'!$F$31,"")</f>
        <v/>
      </c>
      <c r="V148" s="518" t="str">
        <f>IF(AND(_A="A-319",'2024'!$G$4="CA",'2024'!$G$2=V119),'2024DATA'!$G$31,"")</f>
        <v/>
      </c>
      <c r="W148" s="518" t="str">
        <f>IF(AND(_A="A-319",'2024'!$G$4="CA",'2024'!$G$2=W119),'2024DATA'!$H$31,"")</f>
        <v/>
      </c>
      <c r="X148" s="518" t="str">
        <f>IF(AND(_A="A-319",'2024'!$G$4="CA",'2024'!$G$2=X119),'2024DATA'!$I$31,"")</f>
        <v/>
      </c>
      <c r="Y148" s="518" t="str">
        <f>IF(AND(_A="A-319",'2024'!$G$4="CA",'2024'!$G$2=Y119),'2024DATA'!$J$31,"")</f>
        <v/>
      </c>
      <c r="Z148" s="518" t="str">
        <f>IF(AND(_A="A-319",'2024'!$G$4="CA",'2024'!$G$2=Z119),'2024DATA'!$K$31,"")</f>
        <v/>
      </c>
      <c r="AA148" s="518" t="str">
        <f>IF(AND(_A="A-319",'2024'!$G$4="CA",'2024'!$G$2=AA119),'2024DATA'!$L$31,"")</f>
        <v/>
      </c>
      <c r="AB148" s="518" t="str">
        <f>IF(AND(_A="A-319",'2024'!$G$4="CA",'2024'!$G$2=AB119),'2024DATA'!$M$31,"")</f>
        <v/>
      </c>
      <c r="AC148" s="520" t="str">
        <f>IF(AND(_A="A-319",'2024'!$G$4="CA",'2024'!$G$2=AC119),'2024DATA'!$N$31,"")</f>
        <v/>
      </c>
      <c r="AD148" s="940" t="s">
        <v>71</v>
      </c>
      <c r="AE148" s="13" t="s">
        <v>61</v>
      </c>
      <c r="AF148" s="518" t="str">
        <f>IF(AND(_B="A-319",'2024'!$G$4="CA",'2024'!$G$2=AF119),'2024DATA'!$C$31,"")</f>
        <v/>
      </c>
      <c r="AG148" s="518" t="str">
        <f>IF(AND(_B="A-319",'2024'!$G$4="CA",'2024'!$G$2=AG119),'2024DATA'!$D$31,"")</f>
        <v/>
      </c>
      <c r="AH148" s="518" t="str">
        <f>IF(AND(_B="A-319",'2024'!$G$4="CA",'2024'!$G$2=AH119),'2024DATA'!$E$31,"")</f>
        <v/>
      </c>
      <c r="AI148" s="518" t="str">
        <f>IF(AND(_B="A-319",'2024'!$G$4="CA",'2024'!$G$2=AI119),'2024DATA'!$F$31,"")</f>
        <v/>
      </c>
      <c r="AJ148" s="518" t="str">
        <f>IF(AND(_B="A-319",'2024'!$G$4="CA",'2024'!$G$2=AJ119),'2024DATA'!$G$31,"")</f>
        <v/>
      </c>
      <c r="AK148" s="518" t="str">
        <f>IF(AND(_B="A-319",'2024'!$G$4="CA",'2024'!$G$2=AK119),'2024DATA'!$H$31,"")</f>
        <v/>
      </c>
      <c r="AL148" s="518" t="str">
        <f>IF(AND(_B="A-319",'2024'!$G$4="CA",'2024'!$G$2=AL119),'2024DATA'!$I$31,"")</f>
        <v/>
      </c>
      <c r="AM148" s="518" t="str">
        <f>IF(AND(_B="A-319",'2024'!$G$4="CA",'2024'!$G$2=AM119),'2024DATA'!$J$31,"")</f>
        <v/>
      </c>
      <c r="AN148" s="518" t="str">
        <f>IF(AND(_B="A-319",'2024'!$G$4="CA",'2024'!$G$2=AN119),'2024DATA'!$K$31,"")</f>
        <v/>
      </c>
      <c r="AO148" s="518" t="str">
        <f>IF(AND(_B="A-319",'2024'!$G$4="CA",'2024'!$G$2=AO119),'2024DATA'!$L$31,"")</f>
        <v/>
      </c>
      <c r="AP148" s="518" t="str">
        <f>IF(AND(_B="A-319",'2024'!$G$4="CA",'2024'!$G$2=AP119),'2024DATA'!$M$31,"")</f>
        <v/>
      </c>
      <c r="AQ148" s="520" t="str">
        <f>IF(AND(_B="A-319",'2024'!$G$4="CA",'2024'!$G$2=AQ119),'2024DATA'!$N$31,"")</f>
        <v/>
      </c>
      <c r="AR148" s="940" t="s">
        <v>71</v>
      </c>
      <c r="AS148" s="13" t="s">
        <v>61</v>
      </c>
      <c r="AT148" s="518" t="str">
        <f>IF(AND(_C="A-319",'2024'!$G$4="CA",'2024'!$G$2=AT119),'2024DATA'!$C$31,"")</f>
        <v/>
      </c>
      <c r="AU148" s="518" t="str">
        <f>IF(AND(_C="A-319",'2024'!$G$4="CA",'2024'!$G$2=AU119),'2024DATA'!$D$31,"")</f>
        <v/>
      </c>
      <c r="AV148" s="518" t="str">
        <f>IF(AND(_C="A-319",'2024'!$G$4="CA",'2024'!$G$2=AV119),'2024DATA'!$E$31,"")</f>
        <v/>
      </c>
      <c r="AW148" s="518" t="str">
        <f>IF(AND(_C="A-319",'2024'!$G$4="CA",'2024'!$G$2=AW119),'2024DATA'!$F$31,"")</f>
        <v/>
      </c>
      <c r="AX148" s="518" t="str">
        <f>IF(AND(_C="A-319",'2024'!$G$4="CA",'2024'!$G$2=AX119),'2024DATA'!$G$31,"")</f>
        <v/>
      </c>
      <c r="AY148" s="518" t="str">
        <f>IF(AND(_C="A-319",'2024'!$G$4="CA",'2024'!$G$2=AY119),'2024DATA'!$H$31,"")</f>
        <v/>
      </c>
      <c r="AZ148" s="518" t="str">
        <f>IF(AND(_C="A-319",'2024'!$G$4="CA",'2024'!$G$2=AZ119),'2024DATA'!$I$31,"")</f>
        <v/>
      </c>
      <c r="BA148" s="518" t="str">
        <f>IF(AND(_C="A-319",'2024'!$G$4="CA",'2024'!$G$2=BA119),'2024DATA'!$J$31,"")</f>
        <v/>
      </c>
      <c r="BB148" s="518" t="str">
        <f>IF(AND(_C="A-319",'2024'!$G$4="CA",'2024'!$G$2=BB119),'2024DATA'!$K$31,"")</f>
        <v/>
      </c>
      <c r="BC148" s="518" t="str">
        <f>IF(AND(_C="A-319",'2024'!$G$4="CA",'2024'!$G$2=BC119),'2024DATA'!$L$31,"")</f>
        <v/>
      </c>
      <c r="BD148" s="518" t="str">
        <f>IF(AND(_C="A-319",'2024'!$G$4="CA",'2024'!$G$2=BD119),'2024DATA'!$M$31,"")</f>
        <v/>
      </c>
      <c r="BE148" s="520" t="str">
        <f>IF(AND(_C="A-319",'2024'!$G$4="CA",'2024'!$G$2=BE119),'2024DATA'!$N$31,"")</f>
        <v/>
      </c>
      <c r="BF148" s="940" t="s">
        <v>71</v>
      </c>
      <c r="BG148" s="13" t="s">
        <v>61</v>
      </c>
      <c r="BH148" s="518" t="str">
        <f>IF(AND(_D="A-319",'2024'!$G$4="CA",'2024'!$G$2=BH119),'2024DATA'!$C$31,"")</f>
        <v/>
      </c>
      <c r="BI148" s="518" t="str">
        <f>IF(AND(_D="A-319",'2024'!$G$4="CA",'2024'!$G$2=BI119),'2024DATA'!$D$31,"")</f>
        <v/>
      </c>
      <c r="BJ148" s="518" t="str">
        <f>IF(AND(_D="A-319",'2024'!$G$4="CA",'2024'!$G$2=BJ119),'2024DATA'!$E$31,"")</f>
        <v/>
      </c>
      <c r="BK148" s="518" t="str">
        <f>IF(AND(_D="A-319",'2024'!$G$4="CA",'2024'!$G$2=BK119),'2024DATA'!$F$31,"")</f>
        <v/>
      </c>
      <c r="BL148" s="518" t="str">
        <f>IF(AND(_D="A-319",'2024'!$G$4="CA",'2024'!$G$2=BL119),'2024DATA'!$G$31,"")</f>
        <v/>
      </c>
      <c r="BM148" s="518" t="str">
        <f>IF(AND(_D="A-319",'2024'!$G$4="CA",'2024'!$G$2=BM119),'2024DATA'!$H$31,"")</f>
        <v/>
      </c>
      <c r="BN148" s="518" t="str">
        <f>IF(AND(_D="A-319",'2024'!$G$4="CA",'2024'!$G$2=BN119),'2024DATA'!$I$31,"")</f>
        <v/>
      </c>
      <c r="BO148" s="518" t="str">
        <f>IF(AND(_D="A-319",'2024'!$G$4="CA",'2024'!$G$2=BO119),'2024DATA'!$J$31,"")</f>
        <v/>
      </c>
      <c r="BP148" s="518" t="str">
        <f>IF(AND(_D="A-319",'2024'!$G$4="CA",'2024'!$G$2=BP119),'2024DATA'!$K$31,"")</f>
        <v/>
      </c>
      <c r="BQ148" s="518" t="str">
        <f>IF(AND(_D="A-319",'2024'!$G$4="CA",'2024'!$G$2=BQ119),'2024DATA'!$L$31,"")</f>
        <v/>
      </c>
      <c r="BR148" s="518" t="str">
        <f>IF(AND(_D="A-319",'2024'!$G$4="CA",'2024'!$G$2=BR119),'2024DATA'!$M$31,"")</f>
        <v/>
      </c>
      <c r="BS148" s="520" t="str">
        <f>IF(AND(_D="A-319",'2024'!$G$4="CA",'2024'!$G$2=BS119),'2024DATA'!$N$31,"")</f>
        <v/>
      </c>
      <c r="BT148" s="940" t="s">
        <v>71</v>
      </c>
      <c r="BU148" s="13" t="s">
        <v>61</v>
      </c>
      <c r="BV148" s="518" t="str">
        <f>IF(AND(_E="A-319",'2024'!$G$4="CA",'2024'!$G$2=BV119),'2024DATA'!$C$31,"")</f>
        <v/>
      </c>
      <c r="BW148" s="518" t="str">
        <f>IF(AND(_E="A-319",'2024'!$G$4="CA",'2024'!$G$2=BW119),'2024DATA'!$D$31,"")</f>
        <v/>
      </c>
      <c r="BX148" s="518" t="str">
        <f>IF(AND(_E="A-319",'2024'!$G$4="CA",'2024'!$G$2=BX119),'2024DATA'!$E$31,"")</f>
        <v/>
      </c>
      <c r="BY148" s="518" t="str">
        <f>IF(AND(_E="A-319",'2024'!$G$4="CA",'2024'!$G$2=BY119),'2024DATA'!$F$31,"")</f>
        <v/>
      </c>
      <c r="BZ148" s="518" t="str">
        <f>IF(AND(_E="A-319",'2024'!$G$4="CA",'2024'!$G$2=BZ119),'2024DATA'!$G$31,"")</f>
        <v/>
      </c>
      <c r="CA148" s="518" t="str">
        <f>IF(AND(_E="A-319",'2024'!$G$4="CA",'2024'!$G$2=CA119),'2024DATA'!$H$31,"")</f>
        <v/>
      </c>
      <c r="CB148" s="518" t="str">
        <f>IF(AND(_E="A-319",'2024'!$G$4="CA",'2024'!$G$2=CB119),'2024DATA'!$I$31,"")</f>
        <v/>
      </c>
      <c r="CC148" s="518" t="str">
        <f>IF(AND(_E="A-319",'2024'!$G$4="CA",'2024'!$G$2=CC119),'2024DATA'!$J$31,"")</f>
        <v/>
      </c>
      <c r="CD148" s="518" t="str">
        <f>IF(AND(_E="A-319",'2024'!$G$4="CA",'2024'!$G$2=CD119),'2024DATA'!$K$31,"")</f>
        <v/>
      </c>
      <c r="CE148" s="518" t="str">
        <f>IF(AND(_E="A-319",'2024'!$G$4="CA",'2024'!$G$2=CE119),'2024DATA'!$L$31,"")</f>
        <v/>
      </c>
      <c r="CF148" s="518" t="str">
        <f>IF(AND(_E="A-319",'2024'!$G$4="CA",'2024'!$G$2=CF119),'2024DATA'!$M$31,"")</f>
        <v/>
      </c>
      <c r="CG148" s="520" t="str">
        <f>IF(AND(_E="A-319",'2024'!$G$4="CA",'2024'!$G$2=CG119),'2024DATA'!$N$31,"")</f>
        <v/>
      </c>
      <c r="CH148" s="940" t="s">
        <v>71</v>
      </c>
      <c r="CI148" s="13" t="s">
        <v>61</v>
      </c>
      <c r="CJ148" s="518" t="str">
        <f>IF(AND(_F="A-319",'2024'!$G$4="CA",'2024'!$G$2=CJ119),'2024DATA'!$C$31,"")</f>
        <v/>
      </c>
      <c r="CK148" s="518" t="str">
        <f>IF(AND(_F="A-319",'2024'!$G$4="CA",'2024'!$G$2=CK119),'2024DATA'!$D$31,"")</f>
        <v/>
      </c>
      <c r="CL148" s="518" t="str">
        <f>IF(AND(_F="A-319",'2024'!$G$4="CA",'2024'!$G$2=CL119),'2024DATA'!$E$31,"")</f>
        <v/>
      </c>
      <c r="CM148" s="518" t="str">
        <f>IF(AND(_F="A-319",'2024'!$G$4="CA",'2024'!$G$2=CM119),'2024DATA'!$F$31,"")</f>
        <v/>
      </c>
      <c r="CN148" s="518" t="str">
        <f>IF(AND(_F="A-319",'2024'!$G$4="CA",'2024'!$G$2=CN119),'2024DATA'!$G$31,"")</f>
        <v/>
      </c>
      <c r="CO148" s="518" t="str">
        <f>IF(AND(_F="A-319",'2024'!$G$4="CA",'2024'!$G$2=CO119),'2024DATA'!$H$31,"")</f>
        <v/>
      </c>
      <c r="CP148" s="518" t="str">
        <f>IF(AND(_F="A-319",'2024'!$G$4="CA",'2024'!$G$2=CP119),'2024DATA'!$I$31,"")</f>
        <v/>
      </c>
      <c r="CQ148" s="518" t="str">
        <f>IF(AND(_F="A-319",'2024'!$G$4="CA",'2024'!$G$2=CQ119),'2024DATA'!$J$31,"")</f>
        <v/>
      </c>
      <c r="CR148" s="518" t="str">
        <f>IF(AND(_F="A-319",'2024'!$G$4="CA",'2024'!$G$2=CR119),'2024DATA'!$K$31,"")</f>
        <v/>
      </c>
      <c r="CS148" s="518" t="str">
        <f>IF(AND(_F="A-319",'2024'!$G$4="CA",'2024'!$G$2=CS119),'2024DATA'!$L$31,"")</f>
        <v/>
      </c>
      <c r="CT148" s="518" t="str">
        <f>IF(AND(_F="A-319",'2024'!$G$4="CA",'2024'!$G$2=CT119),'2024DATA'!$M$31,"")</f>
        <v/>
      </c>
      <c r="CU148" s="520" t="str">
        <f>IF(AND(_F="A-319",'2024'!$G$4="CA",'2024'!$G$2=CU119),'2024DATA'!$N$31,"")</f>
        <v/>
      </c>
    </row>
    <row r="149" spans="16:99" x14ac:dyDescent="0.25">
      <c r="P149" s="940"/>
      <c r="Q149" s="13" t="s">
        <v>62</v>
      </c>
      <c r="R149" s="518" t="str">
        <f>IF(AND(_A="A-319",'2024'!$G$4="FO",'2024'!$G$2=R119),'2024DATA'!$C$32,"")</f>
        <v/>
      </c>
      <c r="S149" s="518" t="str">
        <f>IF(AND(_A="A-319",'2024'!$G$4="FO",'2024'!$G$2=S119),'2024DATA'!$D$32,"")</f>
        <v/>
      </c>
      <c r="T149" s="518" t="str">
        <f>IF(AND(_A="A-319",'2024'!$G$4="FO",'2024'!$G$2=T119),'2024DATA'!$E$32,"")</f>
        <v/>
      </c>
      <c r="U149" s="518" t="str">
        <f>IF(AND(_A="A-319",'2024'!$G$4="FO",'2024'!$G$2=U119),'2024DATA'!$F$32,"")</f>
        <v/>
      </c>
      <c r="V149" s="518" t="str">
        <f>IF(AND(_A="A-319",'2024'!$G$4="FO",'2024'!$G$2=V119),'2024DATA'!$G$32,"")</f>
        <v/>
      </c>
      <c r="W149" s="518" t="str">
        <f>IF(AND(_A="A-319",'2024'!$G$4="FO",'2024'!$G$2=W119),'2024DATA'!$H$32,"")</f>
        <v/>
      </c>
      <c r="X149" s="518" t="str">
        <f>IF(AND(_A="A-319",'2024'!$G$4="FO",'2024'!$G$2=X119),'2024DATA'!$I$32,"")</f>
        <v/>
      </c>
      <c r="Y149" s="518" t="str">
        <f>IF(AND(_A="A-319",'2024'!$G$4="FO",'2024'!$G$2=Y119),'2024DATA'!$J$32,"")</f>
        <v/>
      </c>
      <c r="Z149" s="518" t="str">
        <f>IF(AND(_A="A-319",'2024'!$G$4="FO",'2024'!$G$2=Z119),'2024DATA'!$K$32,"")</f>
        <v/>
      </c>
      <c r="AA149" s="518" t="str">
        <f>IF(AND(_A="A-319",'2024'!$G$4="FO",'2024'!$G$2=AA119),'2024DATA'!$L$32,"")</f>
        <v/>
      </c>
      <c r="AB149" s="518" t="str">
        <f>IF(AND(_A="A-319",'2024'!$G$4="FO",'2024'!$G$2=AB119),'2024DATA'!$M$32,"")</f>
        <v/>
      </c>
      <c r="AC149" s="520" t="str">
        <f>IF(AND(_A="A-319",'2024'!$G$4="FO",'2024'!$G$2=AC119),'2024DATA'!$N$32,"")</f>
        <v/>
      </c>
      <c r="AD149" s="940"/>
      <c r="AE149" s="13" t="s">
        <v>62</v>
      </c>
      <c r="AF149" s="518" t="str">
        <f>IF(AND(_B="A-319",'2024'!$G$4="FO",'2024'!$G$2=AF119),'2024DATA'!$C$32,"")</f>
        <v/>
      </c>
      <c r="AG149" s="518" t="str">
        <f>IF(AND(_B="A-319",'2024'!$G$4="FO",'2024'!$G$2=AG119),'2024DATA'!$D$32,"")</f>
        <v/>
      </c>
      <c r="AH149" s="518" t="str">
        <f>IF(AND(_B="A-319",'2024'!$G$4="FO",'2024'!$G$2=AH119),'2024DATA'!$E$32,"")</f>
        <v/>
      </c>
      <c r="AI149" s="518" t="str">
        <f>IF(AND(_B="A-319",'2024'!$G$4="FO",'2024'!$G$2=AI119),'2024DATA'!$F$32,"")</f>
        <v/>
      </c>
      <c r="AJ149" s="518" t="str">
        <f>IF(AND(_B="A-319",'2024'!$G$4="FO",'2024'!$G$2=AJ119),'2024DATA'!$G$32,"")</f>
        <v/>
      </c>
      <c r="AK149" s="518" t="str">
        <f>IF(AND(_B="A-319",'2024'!$G$4="FO",'2024'!$G$2=AK119),'2024DATA'!$H$32,"")</f>
        <v/>
      </c>
      <c r="AL149" s="518" t="str">
        <f>IF(AND(_B="A-319",'2024'!$G$4="FO",'2024'!$G$2=AL119),'2024DATA'!$I$32,"")</f>
        <v/>
      </c>
      <c r="AM149" s="518" t="str">
        <f>IF(AND(_B="A-319",'2024'!$G$4="FO",'2024'!$G$2=AM119),'2024DATA'!$J$32,"")</f>
        <v/>
      </c>
      <c r="AN149" s="518" t="str">
        <f>IF(AND(_B="A-319",'2024'!$G$4="FO",'2024'!$G$2=AN119),'2024DATA'!$K$32,"")</f>
        <v/>
      </c>
      <c r="AO149" s="518" t="str">
        <f>IF(AND(_B="A-319",'2024'!$G$4="FO",'2024'!$G$2=AO119),'2024DATA'!$L$32,"")</f>
        <v/>
      </c>
      <c r="AP149" s="518" t="str">
        <f>IF(AND(_B="A-319",'2024'!$G$4="FO",'2024'!$G$2=AP119),'2024DATA'!$M$32,"")</f>
        <v/>
      </c>
      <c r="AQ149" s="520" t="str">
        <f>IF(AND(_B="A-319",'2024'!$G$4="FO",'2024'!$G$2=AQ119),'2024DATA'!$N$32,"")</f>
        <v/>
      </c>
      <c r="AR149" s="940"/>
      <c r="AS149" s="13" t="s">
        <v>62</v>
      </c>
      <c r="AT149" s="518" t="str">
        <f>IF(AND(_C="A-319",'2024'!$G$4="FO",'2024'!$G$2=AT119),'2024DATA'!$C$32,"")</f>
        <v/>
      </c>
      <c r="AU149" s="518" t="str">
        <f>IF(AND(_C="A-319",'2024'!$G$4="FO",'2024'!$G$2=AU119),'2024DATA'!$D$32,"")</f>
        <v/>
      </c>
      <c r="AV149" s="518" t="str">
        <f>IF(AND(_C="A-319",'2024'!$G$4="FO",'2024'!$G$2=AV119),'2024DATA'!$E$32,"")</f>
        <v/>
      </c>
      <c r="AW149" s="518" t="str">
        <f>IF(AND(_C="A-319",'2024'!$G$4="FO",'2024'!$G$2=AW119),'2024DATA'!$F$32,"")</f>
        <v/>
      </c>
      <c r="AX149" s="518" t="str">
        <f>IF(AND(_C="A-319",'2024'!$G$4="FO",'2024'!$G$2=AX119),'2024DATA'!$G$32,"")</f>
        <v/>
      </c>
      <c r="AY149" s="518" t="str">
        <f>IF(AND(_C="A-319",'2024'!$G$4="FO",'2024'!$G$2=AY119),'2024DATA'!$H$32,"")</f>
        <v/>
      </c>
      <c r="AZ149" s="518" t="str">
        <f>IF(AND(_C="A-319",'2024'!$G$4="FO",'2024'!$G$2=AZ119),'2024DATA'!$I$32,"")</f>
        <v/>
      </c>
      <c r="BA149" s="518" t="str">
        <f>IF(AND(_C="A-319",'2024'!$G$4="FO",'2024'!$G$2=BA119),'2024DATA'!$J$32,"")</f>
        <v/>
      </c>
      <c r="BB149" s="518" t="str">
        <f>IF(AND(_C="A-319",'2024'!$G$4="FO",'2024'!$G$2=BB119),'2024DATA'!$K$32,"")</f>
        <v/>
      </c>
      <c r="BC149" s="518" t="str">
        <f>IF(AND(_C="A-319",'2024'!$G$4="FO",'2024'!$G$2=BC119),'2024DATA'!$L$32,"")</f>
        <v/>
      </c>
      <c r="BD149" s="518" t="str">
        <f>IF(AND(_C="A-319",'2024'!$G$4="FO",'2024'!$G$2=BD119),'2024DATA'!$M$32,"")</f>
        <v/>
      </c>
      <c r="BE149" s="520" t="str">
        <f>IF(AND(_C="A-319",'2024'!$G$4="FO",'2024'!$G$2=BE119),'2024DATA'!$N$32,"")</f>
        <v/>
      </c>
      <c r="BF149" s="940"/>
      <c r="BG149" s="13" t="s">
        <v>62</v>
      </c>
      <c r="BH149" s="518" t="str">
        <f>IF(AND(_D="A-319",'2024'!$G$4="FO",'2024'!$G$2=BH119),'2024DATA'!$C$32,"")</f>
        <v/>
      </c>
      <c r="BI149" s="518" t="str">
        <f>IF(AND(_D="A-319",'2024'!$G$4="FO",'2024'!$G$2=BI119),'2024DATA'!$D$32,"")</f>
        <v/>
      </c>
      <c r="BJ149" s="518" t="str">
        <f>IF(AND(_D="A-319",'2024'!$G$4="FO",'2024'!$G$2=BJ119),'2024DATA'!$E$32,"")</f>
        <v/>
      </c>
      <c r="BK149" s="518" t="str">
        <f>IF(AND(_D="A-319",'2024'!$G$4="FO",'2024'!$G$2=BK119),'2024DATA'!$F$32,"")</f>
        <v/>
      </c>
      <c r="BL149" s="518" t="str">
        <f>IF(AND(_D="A-319",'2024'!$G$4="FO",'2024'!$G$2=BL119),'2024DATA'!$G$32,"")</f>
        <v/>
      </c>
      <c r="BM149" s="518" t="str">
        <f>IF(AND(_D="A-319",'2024'!$G$4="FO",'2024'!$G$2=BM119),'2024DATA'!$H$32,"")</f>
        <v/>
      </c>
      <c r="BN149" s="518" t="str">
        <f>IF(AND(_D="A-319",'2024'!$G$4="FO",'2024'!$G$2=BN119),'2024DATA'!$I$32,"")</f>
        <v/>
      </c>
      <c r="BO149" s="518" t="str">
        <f>IF(AND(_D="A-319",'2024'!$G$4="FO",'2024'!$G$2=BO119),'2024DATA'!$J$32,"")</f>
        <v/>
      </c>
      <c r="BP149" s="518" t="str">
        <f>IF(AND(_D="A-319",'2024'!$G$4="FO",'2024'!$G$2=BP119),'2024DATA'!$K$32,"")</f>
        <v/>
      </c>
      <c r="BQ149" s="518" t="str">
        <f>IF(AND(_D="A-319",'2024'!$G$4="FO",'2024'!$G$2=BQ119),'2024DATA'!$L$32,"")</f>
        <v/>
      </c>
      <c r="BR149" s="518" t="str">
        <f>IF(AND(_D="A-319",'2024'!$G$4="FO",'2024'!$G$2=BR119),'2024DATA'!$M$32,"")</f>
        <v/>
      </c>
      <c r="BS149" s="520" t="str">
        <f>IF(AND(_D="A-319",'2024'!$G$4="FO",'2024'!$G$2=BS119),'2024DATA'!$N$32,"")</f>
        <v/>
      </c>
      <c r="BT149" s="940"/>
      <c r="BU149" s="13" t="s">
        <v>62</v>
      </c>
      <c r="BV149" s="518" t="str">
        <f>IF(AND(_E="A-319",'2024'!$G$4="FO",'2024'!$G$2=BV119),'2024DATA'!$C$32,"")</f>
        <v/>
      </c>
      <c r="BW149" s="518" t="str">
        <f>IF(AND(_E="A-319",'2024'!$G$4="FO",'2024'!$G$2=BW119),'2024DATA'!$D$32,"")</f>
        <v/>
      </c>
      <c r="BX149" s="518" t="str">
        <f>IF(AND(_E="A-319",'2024'!$G$4="FO",'2024'!$G$2=BX119),'2024DATA'!$E$32,"")</f>
        <v/>
      </c>
      <c r="BY149" s="518" t="str">
        <f>IF(AND(_E="A-319",'2024'!$G$4="FO",'2024'!$G$2=BY119),'2024DATA'!$F$32,"")</f>
        <v/>
      </c>
      <c r="BZ149" s="518" t="str">
        <f>IF(AND(_E="A-319",'2024'!$G$4="FO",'2024'!$G$2=BZ119),'2024DATA'!$G$32,"")</f>
        <v/>
      </c>
      <c r="CA149" s="518" t="str">
        <f>IF(AND(_E="A-319",'2024'!$G$4="FO",'2024'!$G$2=CA119),'2024DATA'!$H$32,"")</f>
        <v/>
      </c>
      <c r="CB149" s="518" t="str">
        <f>IF(AND(_E="A-319",'2024'!$G$4="FO",'2024'!$G$2=CB119),'2024DATA'!$I$32,"")</f>
        <v/>
      </c>
      <c r="CC149" s="518" t="str">
        <f>IF(AND(_E="A-319",'2024'!$G$4="FO",'2024'!$G$2=CC119),'2024DATA'!$J$32,"")</f>
        <v/>
      </c>
      <c r="CD149" s="518" t="str">
        <f>IF(AND(_E="A-319",'2024'!$G$4="FO",'2024'!$G$2=CD119),'2024DATA'!$K$32,"")</f>
        <v/>
      </c>
      <c r="CE149" s="518" t="str">
        <f>IF(AND(_E="A-319",'2024'!$G$4="FO",'2024'!$G$2=CE119),'2024DATA'!$L$32,"")</f>
        <v/>
      </c>
      <c r="CF149" s="518" t="str">
        <f>IF(AND(_E="A-319",'2024'!$G$4="FO",'2024'!$G$2=CF119),'2024DATA'!$M$32,"")</f>
        <v/>
      </c>
      <c r="CG149" s="520" t="str">
        <f>IF(AND(_E="A-319",'2024'!$G$4="FO",'2024'!$G$2=CG119),'2024DATA'!$N$32,"")</f>
        <v/>
      </c>
      <c r="CH149" s="940"/>
      <c r="CI149" s="13" t="s">
        <v>62</v>
      </c>
      <c r="CJ149" s="518" t="str">
        <f>IF(AND(_F="A-319",'2024'!$G$4="FO",'2024'!$G$2=CJ119),'2024DATA'!$C$32,"")</f>
        <v/>
      </c>
      <c r="CK149" s="518" t="str">
        <f>IF(AND(_F="A-319",'2024'!$G$4="FO",'2024'!$G$2=CK119),'2024DATA'!$D$32,"")</f>
        <v/>
      </c>
      <c r="CL149" s="518" t="str">
        <f>IF(AND(_F="A-319",'2024'!$G$4="FO",'2024'!$G$2=CL119),'2024DATA'!$E$32,"")</f>
        <v/>
      </c>
      <c r="CM149" s="518" t="str">
        <f>IF(AND(_F="A-319",'2024'!$G$4="FO",'2024'!$G$2=CM119),'2024DATA'!$F$32,"")</f>
        <v/>
      </c>
      <c r="CN149" s="518" t="str">
        <f>IF(AND(_F="A-319",'2024'!$G$4="FO",'2024'!$G$2=CN119),'2024DATA'!$G$32,"")</f>
        <v/>
      </c>
      <c r="CO149" s="518" t="str">
        <f>IF(AND(_F="A-319",'2024'!$G$4="FO",'2024'!$G$2=CO119),'2024DATA'!$H$32,"")</f>
        <v/>
      </c>
      <c r="CP149" s="518" t="str">
        <f>IF(AND(_F="A-319",'2024'!$G$4="FO",'2024'!$G$2=CP119),'2024DATA'!$I$32,"")</f>
        <v/>
      </c>
      <c r="CQ149" s="518" t="str">
        <f>IF(AND(_F="A-319",'2024'!$G$4="FO",'2024'!$G$2=CQ119),'2024DATA'!$J$32,"")</f>
        <v/>
      </c>
      <c r="CR149" s="518" t="str">
        <f>IF(AND(_F="A-319",'2024'!$G$4="FO",'2024'!$G$2=CR119),'2024DATA'!$K$32,"")</f>
        <v/>
      </c>
      <c r="CS149" s="518" t="str">
        <f>IF(AND(_F="A-319",'2024'!$G$4="FO",'2024'!$G$2=CS119),'2024DATA'!$L$32,"")</f>
        <v/>
      </c>
      <c r="CT149" s="518" t="str">
        <f>IF(AND(_F="A-319",'2024'!$G$4="FO",'2024'!$G$2=CT119),'2024DATA'!$M$32,"")</f>
        <v/>
      </c>
      <c r="CU149" s="520" t="str">
        <f>IF(AND(_F="A-319",'2024'!$G$4="FO",'2024'!$G$2=CU119),'2024DATA'!$N$32,"")</f>
        <v/>
      </c>
    </row>
    <row r="150" spans="16:99" x14ac:dyDescent="0.25">
      <c r="P150" s="940" t="s">
        <v>51</v>
      </c>
      <c r="Q150" s="13" t="s">
        <v>61</v>
      </c>
      <c r="R150" s="518" t="str">
        <f>IF(AND(_A="A-220-300",'2024'!$G$4="CA",'2024'!$G$2=R119),'2024DATA'!$C$33,"")</f>
        <v/>
      </c>
      <c r="S150" s="518" t="str">
        <f>IF(AND(_A="A-220-300",'2024'!$G$4="CA",'2024'!$G$2=S119),'2024DATA'!$D$33,"")</f>
        <v/>
      </c>
      <c r="T150" s="518" t="str">
        <f>IF(AND(_A="A-220-300",'2024'!$G$4="CA",'2024'!$G$2=T119),'2024DATA'!$E$33,"")</f>
        <v/>
      </c>
      <c r="U150" s="518" t="str">
        <f>IF(AND(_A="A-220-300",'2024'!$G$4="CA",'2024'!$G$2=U119),'2024DATA'!$F$33,"")</f>
        <v/>
      </c>
      <c r="V150" s="518" t="str">
        <f>IF(AND(_A="A-220-300",'2024'!$G$4="CA",'2024'!$G$2=V119),'2024DATA'!$G$33,"")</f>
        <v/>
      </c>
      <c r="W150" s="518" t="str">
        <f>IF(AND(_A="A-220-300",'2024'!$G$4="CA",'2024'!$G$2=W119),'2024DATA'!$H$33,"")</f>
        <v/>
      </c>
      <c r="X150" s="518" t="str">
        <f>IF(AND(_A="A-220-300",'2024'!$G$4="CA",'2024'!$G$2=X119),'2024DATA'!$I$33,"")</f>
        <v/>
      </c>
      <c r="Y150" s="518" t="str">
        <f>IF(AND(_A="A-220-300",'2024'!$G$4="CA",'2024'!$G$2=Y119),'2024DATA'!$J$33,"")</f>
        <v/>
      </c>
      <c r="Z150" s="518" t="str">
        <f>IF(AND(_A="A-220-300",'2024'!$G$4="CA",'2024'!$G$2=Z119),'2024DATA'!$K$33,"")</f>
        <v/>
      </c>
      <c r="AA150" s="518" t="str">
        <f>IF(AND(_A="A-220-300",'2024'!$G$4="CA",'2024'!$G$2=AA119),'2024DATA'!$L$33,"")</f>
        <v/>
      </c>
      <c r="AB150" s="518" t="str">
        <f>IF(AND(_A="A-220-300",'2024'!$G$4="CA",'2024'!$G$2=AB119),'2024DATA'!$M$33,"")</f>
        <v/>
      </c>
      <c r="AC150" s="520" t="str">
        <f>IF(AND(_A="A-220-300",'2024'!$G$4="CA",'2024'!$G$2=AC119),'2024DATA'!$N$33,"")</f>
        <v/>
      </c>
      <c r="AD150" s="940" t="s">
        <v>51</v>
      </c>
      <c r="AE150" s="13" t="s">
        <v>61</v>
      </c>
      <c r="AF150" s="518" t="str">
        <f>IF(AND(_B="A-220-300",'2024'!$G$4="CA",'2024'!$G$2=AF119),'2024DATA'!$C$33,"")</f>
        <v/>
      </c>
      <c r="AG150" s="518" t="str">
        <f>IF(AND(_B="A-220-300",'2024'!$G$4="CA",'2024'!$G$2=AG119),'2024DATA'!$D$33,"")</f>
        <v/>
      </c>
      <c r="AH150" s="518" t="str">
        <f>IF(AND(_B="A-220-300",'2024'!$G$4="CA",'2024'!$G$2=AH119),'2024DATA'!$E$33,"")</f>
        <v/>
      </c>
      <c r="AI150" s="518" t="str">
        <f>IF(AND(_B="A-220-300",'2024'!$G$4="CA",'2024'!$G$2=AI119),'2024DATA'!$F$33,"")</f>
        <v/>
      </c>
      <c r="AJ150" s="518" t="str">
        <f>IF(AND(_B="A-220-300",'2024'!$G$4="CA",'2024'!$G$2=AJ119),'2024DATA'!$G$33,"")</f>
        <v/>
      </c>
      <c r="AK150" s="518" t="str">
        <f>IF(AND(_B="A-220-300",'2024'!$G$4="CA",'2024'!$G$2=AK119),'2024DATA'!$H$33,"")</f>
        <v/>
      </c>
      <c r="AL150" s="518" t="str">
        <f>IF(AND(_B="A-220-300",'2024'!$G$4="CA",'2024'!$G$2=AL119),'2024DATA'!$I$33,"")</f>
        <v/>
      </c>
      <c r="AM150" s="518" t="str">
        <f>IF(AND(_B="A-220-300",'2024'!$G$4="CA",'2024'!$G$2=AM119),'2024DATA'!$J$33,"")</f>
        <v/>
      </c>
      <c r="AN150" s="518" t="str">
        <f>IF(AND(_B="A-220-300",'2024'!$G$4="CA",'2024'!$G$2=AN119),'2024DATA'!$K$33,"")</f>
        <v/>
      </c>
      <c r="AO150" s="518" t="str">
        <f>IF(AND(_B="A-220-300",'2024'!$G$4="CA",'2024'!$G$2=AO119),'2024DATA'!$L$33,"")</f>
        <v/>
      </c>
      <c r="AP150" s="518" t="str">
        <f>IF(AND(_B="A-220-300",'2024'!$G$4="CA",'2024'!$G$2=AP119),'2024DATA'!$M$33,"")</f>
        <v/>
      </c>
      <c r="AQ150" s="520" t="str">
        <f>IF(AND(_B="A-220-300",'2024'!$G$4="CA",'2024'!$G$2=AQ119),'2024DATA'!$N$33,"")</f>
        <v/>
      </c>
      <c r="AR150" s="940" t="s">
        <v>51</v>
      </c>
      <c r="AS150" s="13" t="s">
        <v>61</v>
      </c>
      <c r="AT150" s="518" t="str">
        <f>IF(AND(_C="A-220-300",'2024'!$G$4="CA",'2024'!$G$2=AT119),'2024DATA'!$C$33,"")</f>
        <v/>
      </c>
      <c r="AU150" s="518" t="str">
        <f>IF(AND(_C="A-220-300",'2024'!$G$4="CA",'2024'!$G$2=AU119),'2024DATA'!$D$33,"")</f>
        <v/>
      </c>
      <c r="AV150" s="518" t="str">
        <f>IF(AND(_C="A-220-300",'2024'!$G$4="CA",'2024'!$G$2=AV119),'2024DATA'!$E$33,"")</f>
        <v/>
      </c>
      <c r="AW150" s="518" t="str">
        <f>IF(AND(_C="A-220-300",'2024'!$G$4="CA",'2024'!$G$2=AW119),'2024DATA'!$F$33,"")</f>
        <v/>
      </c>
      <c r="AX150" s="518" t="str">
        <f>IF(AND(_C="A-220-300",'2024'!$G$4="CA",'2024'!$G$2=AX119),'2024DATA'!$G$33,"")</f>
        <v/>
      </c>
      <c r="AY150" s="518" t="str">
        <f>IF(AND(_C="A-220-300",'2024'!$G$4="CA",'2024'!$G$2=AY119),'2024DATA'!$H$33,"")</f>
        <v/>
      </c>
      <c r="AZ150" s="518" t="str">
        <f>IF(AND(_C="A-220-300",'2024'!$G$4="CA",'2024'!$G$2=AZ119),'2024DATA'!$I$33,"")</f>
        <v/>
      </c>
      <c r="BA150" s="518" t="str">
        <f>IF(AND(_C="A-220-300",'2024'!$G$4="CA",'2024'!$G$2=BA119),'2024DATA'!$J$33,"")</f>
        <v/>
      </c>
      <c r="BB150" s="518" t="str">
        <f>IF(AND(_C="A-220-300",'2024'!$G$4="CA",'2024'!$G$2=BB119),'2024DATA'!$K$33,"")</f>
        <v/>
      </c>
      <c r="BC150" s="518" t="str">
        <f>IF(AND(_C="A-220-300",'2024'!$G$4="CA",'2024'!$G$2=BC119),'2024DATA'!$L$33,"")</f>
        <v/>
      </c>
      <c r="BD150" s="518" t="str">
        <f>IF(AND(_C="A-220-300",'2024'!$G$4="CA",'2024'!$G$2=BD119),'2024DATA'!$M$33,"")</f>
        <v/>
      </c>
      <c r="BE150" s="520" t="str">
        <f>IF(AND(_C="A-220-300",'2024'!$G$4="CA",'2024'!$G$2=BE119),'2024DATA'!$N$33,"")</f>
        <v/>
      </c>
      <c r="BF150" s="940" t="s">
        <v>51</v>
      </c>
      <c r="BG150" s="13" t="s">
        <v>61</v>
      </c>
      <c r="BH150" s="518" t="str">
        <f>IF(AND(_D="A-220-300",'2024'!$G$4="CA",'2024'!$G$2=BH119),'2024DATA'!$C$33,"")</f>
        <v/>
      </c>
      <c r="BI150" s="518" t="str">
        <f>IF(AND(_D="A-220-300",'2024'!$G$4="CA",'2024'!$G$2=BI119),'2024DATA'!$D$33,"")</f>
        <v/>
      </c>
      <c r="BJ150" s="518" t="str">
        <f>IF(AND(_D="A-220-300",'2024'!$G$4="CA",'2024'!$G$2=BJ119),'2024DATA'!$E$33,"")</f>
        <v/>
      </c>
      <c r="BK150" s="518" t="str">
        <f>IF(AND(_D="A-220-300",'2024'!$G$4="CA",'2024'!$G$2=BK119),'2024DATA'!$F$33,"")</f>
        <v/>
      </c>
      <c r="BL150" s="518" t="str">
        <f>IF(AND(_D="A-220-300",'2024'!$G$4="CA",'2024'!$G$2=BL119),'2024DATA'!$G$33,"")</f>
        <v/>
      </c>
      <c r="BM150" s="518" t="str">
        <f>IF(AND(_D="A-220-300",'2024'!$G$4="CA",'2024'!$G$2=BM119),'2024DATA'!$H$33,"")</f>
        <v/>
      </c>
      <c r="BN150" s="518" t="str">
        <f>IF(AND(_D="A-220-300",'2024'!$G$4="CA",'2024'!$G$2=BN119),'2024DATA'!$I$33,"")</f>
        <v/>
      </c>
      <c r="BO150" s="518" t="str">
        <f>IF(AND(_D="A-220-300",'2024'!$G$4="CA",'2024'!$G$2=BO119),'2024DATA'!$J$33,"")</f>
        <v/>
      </c>
      <c r="BP150" s="518" t="str">
        <f>IF(AND(_D="A-220-300",'2024'!$G$4="CA",'2024'!$G$2=BP119),'2024DATA'!$K$33,"")</f>
        <v/>
      </c>
      <c r="BQ150" s="518" t="str">
        <f>IF(AND(_D="A-220-300",'2024'!$G$4="CA",'2024'!$G$2=BQ119),'2024DATA'!$L$33,"")</f>
        <v/>
      </c>
      <c r="BR150" s="518" t="str">
        <f>IF(AND(_D="A-220-300",'2024'!$G$4="CA",'2024'!$G$2=BR119),'2024DATA'!$M$33,"")</f>
        <v/>
      </c>
      <c r="BS150" s="520" t="str">
        <f>IF(AND(_D="A-220-300",'2024'!$G$4="CA",'2024'!$G$2=BS119),'2024DATA'!$N$33,"")</f>
        <v/>
      </c>
      <c r="BT150" s="940" t="s">
        <v>51</v>
      </c>
      <c r="BU150" s="13" t="s">
        <v>61</v>
      </c>
      <c r="BV150" s="518" t="str">
        <f>IF(AND(_E="A-220-300",'2024'!$G$4="CA",'2024'!$G$2=BV119),'2024DATA'!$C$33,"")</f>
        <v/>
      </c>
      <c r="BW150" s="518" t="str">
        <f>IF(AND(_E="A-220-300",'2024'!$G$4="CA",'2024'!$G$2=BW119),'2024DATA'!$D$33,"")</f>
        <v/>
      </c>
      <c r="BX150" s="518" t="str">
        <f>IF(AND(_E="A-220-300",'2024'!$G$4="CA",'2024'!$G$2=BX119),'2024DATA'!$E$33,"")</f>
        <v/>
      </c>
      <c r="BY150" s="518" t="str">
        <f>IF(AND(_E="A-220-300",'2024'!$G$4="CA",'2024'!$G$2=BY119),'2024DATA'!$F$33,"")</f>
        <v/>
      </c>
      <c r="BZ150" s="518" t="str">
        <f>IF(AND(_E="A-220-300",'2024'!$G$4="CA",'2024'!$G$2=BZ119),'2024DATA'!$G$33,"")</f>
        <v/>
      </c>
      <c r="CA150" s="518" t="str">
        <f>IF(AND(_E="A-220-300",'2024'!$G$4="CA",'2024'!$G$2=CA119),'2024DATA'!$H$33,"")</f>
        <v/>
      </c>
      <c r="CB150" s="518" t="str">
        <f>IF(AND(_E="A-220-300",'2024'!$G$4="CA",'2024'!$G$2=CB119),'2024DATA'!$I$33,"")</f>
        <v/>
      </c>
      <c r="CC150" s="518" t="str">
        <f>IF(AND(_E="A-220-300",'2024'!$G$4="CA",'2024'!$G$2=CC119),'2024DATA'!$J$33,"")</f>
        <v/>
      </c>
      <c r="CD150" s="518" t="str">
        <f>IF(AND(_E="A-220-300",'2024'!$G$4="CA",'2024'!$G$2=CD119),'2024DATA'!$K$33,"")</f>
        <v/>
      </c>
      <c r="CE150" s="518" t="str">
        <f>IF(AND(_E="A-220-300",'2024'!$G$4="CA",'2024'!$G$2=CE119),'2024DATA'!$L$33,"")</f>
        <v/>
      </c>
      <c r="CF150" s="518" t="str">
        <f>IF(AND(_E="A-220-300",'2024'!$G$4="CA",'2024'!$G$2=CF119),'2024DATA'!$M$33,"")</f>
        <v/>
      </c>
      <c r="CG150" s="520" t="str">
        <f>IF(AND(_E="A-220-300",'2024'!$G$4="CA",'2024'!$G$2=CG119),'2024DATA'!$N$33,"")</f>
        <v/>
      </c>
      <c r="CH150" s="940" t="s">
        <v>51</v>
      </c>
      <c r="CI150" s="13" t="s">
        <v>61</v>
      </c>
      <c r="CJ150" s="518" t="str">
        <f>IF(AND(_F="A-220-300",'2024'!$G$4="CA",'2024'!$G$2=CJ119),'2024DATA'!$C$33,"")</f>
        <v/>
      </c>
      <c r="CK150" s="518" t="str">
        <f>IF(AND(_F="A-220-300",'2024'!$G$4="CA",'2024'!$G$2=CK119),'2024DATA'!$D$33,"")</f>
        <v/>
      </c>
      <c r="CL150" s="518" t="str">
        <f>IF(AND(_F="A-220-300",'2024'!$G$4="CA",'2024'!$G$2=CL119),'2024DATA'!$E$33,"")</f>
        <v/>
      </c>
      <c r="CM150" s="518" t="str">
        <f>IF(AND(_F="A-220-300",'2024'!$G$4="CA",'2024'!$G$2=CM119),'2024DATA'!$F$33,"")</f>
        <v/>
      </c>
      <c r="CN150" s="518" t="str">
        <f>IF(AND(_F="A-220-300",'2024'!$G$4="CA",'2024'!$G$2=CN119),'2024DATA'!$G$33,"")</f>
        <v/>
      </c>
      <c r="CO150" s="518" t="str">
        <f>IF(AND(_F="A-220-300",'2024'!$G$4="CA",'2024'!$G$2=CO119),'2024DATA'!$H$33,"")</f>
        <v/>
      </c>
      <c r="CP150" s="518" t="str">
        <f>IF(AND(_F="A-220-300",'2024'!$G$4="CA",'2024'!$G$2=CP119),'2024DATA'!$I$33,"")</f>
        <v/>
      </c>
      <c r="CQ150" s="518" t="str">
        <f>IF(AND(_F="A-220-300",'2024'!$G$4="CA",'2024'!$G$2=CQ119),'2024DATA'!$J$33,"")</f>
        <v/>
      </c>
      <c r="CR150" s="518" t="str">
        <f>IF(AND(_F="A-220-300",'2024'!$G$4="CA",'2024'!$G$2=CR119),'2024DATA'!$K$33,"")</f>
        <v/>
      </c>
      <c r="CS150" s="518" t="str">
        <f>IF(AND(_F="A-220-300",'2024'!$G$4="CA",'2024'!$G$2=CS119),'2024DATA'!$L$33,"")</f>
        <v/>
      </c>
      <c r="CT150" s="518" t="str">
        <f>IF(AND(_F="A-220-300",'2024'!$G$4="CA",'2024'!$G$2=CT119),'2024DATA'!$M$33,"")</f>
        <v/>
      </c>
      <c r="CU150" s="520" t="str">
        <f>IF(AND(_F="A-220-300",'2024'!$G$4="CA",'2024'!$G$2=CU119),'2024DATA'!$N$33,"")</f>
        <v/>
      </c>
    </row>
    <row r="151" spans="16:99" x14ac:dyDescent="0.25">
      <c r="P151" s="940"/>
      <c r="Q151" s="13" t="s">
        <v>62</v>
      </c>
      <c r="R151" s="518" t="str">
        <f>IF(AND(_A="A-220-300",'2024'!$G$4="FO",'2024'!$G$2=R119),'2024DATA'!$C$34,"")</f>
        <v/>
      </c>
      <c r="S151" s="518" t="str">
        <f>IF(AND(_A="A-220-300",'2024'!$G$4="FO",'2024'!$G$2=S119),'2024DATA'!$D$34,"")</f>
        <v/>
      </c>
      <c r="T151" s="518" t="str">
        <f>IF(AND(_A="A-220-300",'2024'!$G$4="FO",'2024'!$G$2=T119),'2024DATA'!$E$34,"")</f>
        <v/>
      </c>
      <c r="U151" s="518" t="str">
        <f>IF(AND(_A="A-220-300",'2024'!$G$4="FO",'2024'!$G$2=U119),'2024DATA'!$F$34,"")</f>
        <v/>
      </c>
      <c r="V151" s="518" t="str">
        <f>IF(AND(_A="A-220-300",'2024'!$G$4="FO",'2024'!$G$2=V119),'2024DATA'!$G$34,"")</f>
        <v/>
      </c>
      <c r="W151" s="518" t="str">
        <f>IF(AND(_A="A-220-300",'2024'!$G$4="FO",'2024'!$G$2=W119),'2024DATA'!$H$34,"")</f>
        <v/>
      </c>
      <c r="X151" s="518" t="str">
        <f>IF(AND(_A="A-220-300",'2024'!$G$4="FO",'2024'!$G$2=X119),'2024DATA'!$I$34,"")</f>
        <v/>
      </c>
      <c r="Y151" s="518" t="str">
        <f>IF(AND(_A="A-220-300",'2024'!$G$4="FO",'2024'!$G$2=Y119),'2024DATA'!$J$34,"")</f>
        <v/>
      </c>
      <c r="Z151" s="518" t="str">
        <f>IF(AND(_A="A-220-300",'2024'!$G$4="FO",'2024'!$G$2=Z119),'2024DATA'!$K$34,"")</f>
        <v/>
      </c>
      <c r="AA151" s="518" t="str">
        <f>IF(AND(_A="A-220-300",'2024'!$G$4="FO",'2024'!$G$2=AA119),'2024DATA'!$L$34,"")</f>
        <v/>
      </c>
      <c r="AB151" s="518" t="str">
        <f>IF(AND(_A="A-220-300",'2024'!$G$4="FO",'2024'!$G$2=AB119),'2024DATA'!$M$34,"")</f>
        <v/>
      </c>
      <c r="AC151" s="520" t="str">
        <f>IF(AND(_A="A-220-300",'2024'!$G$4="FO",'2024'!$G$2=AC119),'2024DATA'!$N$34,"")</f>
        <v/>
      </c>
      <c r="AD151" s="940"/>
      <c r="AE151" s="13" t="s">
        <v>62</v>
      </c>
      <c r="AF151" s="518" t="str">
        <f>IF(AND(_B="A-220-300",'2024'!$G$4="FO",'2024'!$G$2=AF119),'2024DATA'!$C$34,"")</f>
        <v/>
      </c>
      <c r="AG151" s="518" t="str">
        <f>IF(AND(_B="A-220-300",'2024'!$G$4="FO",'2024'!$G$2=AG119),'2024DATA'!$D$34,"")</f>
        <v/>
      </c>
      <c r="AH151" s="518" t="str">
        <f>IF(AND(_B="A-220-300",'2024'!$G$4="FO",'2024'!$G$2=AH119),'2024DATA'!$E$34,"")</f>
        <v/>
      </c>
      <c r="AI151" s="518" t="str">
        <f>IF(AND(_B="A-220-300",'2024'!$G$4="FO",'2024'!$G$2=AI119),'2024DATA'!$F$34,"")</f>
        <v/>
      </c>
      <c r="AJ151" s="518" t="str">
        <f>IF(AND(_B="A-220-300",'2024'!$G$4="FO",'2024'!$G$2=AJ119),'2024DATA'!$G$34,"")</f>
        <v/>
      </c>
      <c r="AK151" s="518" t="str">
        <f>IF(AND(_B="A-220-300",'2024'!$G$4="FO",'2024'!$G$2=AK119),'2024DATA'!$H$34,"")</f>
        <v/>
      </c>
      <c r="AL151" s="518" t="str">
        <f>IF(AND(_B="A-220-300",'2024'!$G$4="FO",'2024'!$G$2=AL119),'2024DATA'!$I$34,"")</f>
        <v/>
      </c>
      <c r="AM151" s="518" t="str">
        <f>IF(AND(_B="A-220-300",'2024'!$G$4="FO",'2024'!$G$2=AM119),'2024DATA'!$J$34,"")</f>
        <v/>
      </c>
      <c r="AN151" s="518" t="str">
        <f>IF(AND(_B="A-220-300",'2024'!$G$4="FO",'2024'!$G$2=AN119),'2024DATA'!$K$34,"")</f>
        <v/>
      </c>
      <c r="AO151" s="518" t="str">
        <f>IF(AND(_B="A-220-300",'2024'!$G$4="FO",'2024'!$G$2=AO119),'2024DATA'!$L$34,"")</f>
        <v/>
      </c>
      <c r="AP151" s="518" t="str">
        <f>IF(AND(_B="A-220-300",'2024'!$G$4="FO",'2024'!$G$2=AP119),'2024DATA'!$M$34,"")</f>
        <v/>
      </c>
      <c r="AQ151" s="520" t="str">
        <f>IF(AND(_B="A-220-300",'2024'!$G$4="FO",'2024'!$G$2=AQ119),'2024DATA'!$N$34,"")</f>
        <v/>
      </c>
      <c r="AR151" s="940"/>
      <c r="AS151" s="13" t="s">
        <v>62</v>
      </c>
      <c r="AT151" s="518" t="str">
        <f>IF(AND(_C="A-220-300",'2024'!$G$4="FO",'2024'!$G$2=AT119),'2024DATA'!$C$34,"")</f>
        <v/>
      </c>
      <c r="AU151" s="518" t="str">
        <f>IF(AND(_C="A-220-300",'2024'!$G$4="FO",'2024'!$G$2=AU119),'2024DATA'!$D$34,"")</f>
        <v/>
      </c>
      <c r="AV151" s="518" t="str">
        <f>IF(AND(_C="A-220-300",'2024'!$G$4="FO",'2024'!$G$2=AV119),'2024DATA'!$E$34,"")</f>
        <v/>
      </c>
      <c r="AW151" s="518" t="str">
        <f>IF(AND(_C="A-220-300",'2024'!$G$4="FO",'2024'!$G$2=AW119),'2024DATA'!$F$34,"")</f>
        <v/>
      </c>
      <c r="AX151" s="518" t="str">
        <f>IF(AND(_C="A-220-300",'2024'!$G$4="FO",'2024'!$G$2=AX119),'2024DATA'!$G$34,"")</f>
        <v/>
      </c>
      <c r="AY151" s="518" t="str">
        <f>IF(AND(_C="A-220-300",'2024'!$G$4="FO",'2024'!$G$2=AY119),'2024DATA'!$H$34,"")</f>
        <v/>
      </c>
      <c r="AZ151" s="518" t="str">
        <f>IF(AND(_C="A-220-300",'2024'!$G$4="FO",'2024'!$G$2=AZ119),'2024DATA'!$I$34,"")</f>
        <v/>
      </c>
      <c r="BA151" s="518" t="str">
        <f>IF(AND(_C="A-220-300",'2024'!$G$4="FO",'2024'!$G$2=BA119),'2024DATA'!$J$34,"")</f>
        <v/>
      </c>
      <c r="BB151" s="518" t="str">
        <f>IF(AND(_C="A-220-300",'2024'!$G$4="FO",'2024'!$G$2=BB119),'2024DATA'!$K$34,"")</f>
        <v/>
      </c>
      <c r="BC151" s="518" t="str">
        <f>IF(AND(_C="A-220-300",'2024'!$G$4="FO",'2024'!$G$2=BC119),'2024DATA'!$L$34,"")</f>
        <v/>
      </c>
      <c r="BD151" s="518" t="str">
        <f>IF(AND(_C="A-220-300",'2024'!$G$4="FO",'2024'!$G$2=BD119),'2024DATA'!$M$34,"")</f>
        <v/>
      </c>
      <c r="BE151" s="520" t="str">
        <f>IF(AND(_C="A-220-300",'2024'!$G$4="FO",'2024'!$G$2=BE119),'2024DATA'!$N$34,"")</f>
        <v/>
      </c>
      <c r="BF151" s="940"/>
      <c r="BG151" s="13" t="s">
        <v>62</v>
      </c>
      <c r="BH151" s="518" t="str">
        <f>IF(AND(_D="A-220-300",'2024'!$G$4="FO",'2024'!$G$2=BH119),'2024DATA'!$C$34,"")</f>
        <v/>
      </c>
      <c r="BI151" s="518" t="str">
        <f>IF(AND(_D="A-220-300",'2024'!$G$4="FO",'2024'!$G$2=BI119),'2024DATA'!$D$34,"")</f>
        <v/>
      </c>
      <c r="BJ151" s="518" t="str">
        <f>IF(AND(_D="A-220-300",'2024'!$G$4="FO",'2024'!$G$2=BJ119),'2024DATA'!$E$34,"")</f>
        <v/>
      </c>
      <c r="BK151" s="518" t="str">
        <f>IF(AND(_D="A-220-300",'2024'!$G$4="FO",'2024'!$G$2=BK119),'2024DATA'!$F$34,"")</f>
        <v/>
      </c>
      <c r="BL151" s="518" t="str">
        <f>IF(AND(_D="A-220-300",'2024'!$G$4="FO",'2024'!$G$2=BL119),'2024DATA'!$G$34,"")</f>
        <v/>
      </c>
      <c r="BM151" s="518" t="str">
        <f>IF(AND(_D="A-220-300",'2024'!$G$4="FO",'2024'!$G$2=BM119),'2024DATA'!$H$34,"")</f>
        <v/>
      </c>
      <c r="BN151" s="518" t="str">
        <f>IF(AND(_D="A-220-300",'2024'!$G$4="FO",'2024'!$G$2=BN119),'2024DATA'!$I$34,"")</f>
        <v/>
      </c>
      <c r="BO151" s="518" t="str">
        <f>IF(AND(_D="A-220-300",'2024'!$G$4="FO",'2024'!$G$2=BO119),'2024DATA'!$J$34,"")</f>
        <v/>
      </c>
      <c r="BP151" s="518" t="str">
        <f>IF(AND(_D="A-220-300",'2024'!$G$4="FO",'2024'!$G$2=BP119),'2024DATA'!$K$34,"")</f>
        <v/>
      </c>
      <c r="BQ151" s="518" t="str">
        <f>IF(AND(_D="A-220-300",'2024'!$G$4="FO",'2024'!$G$2=BQ119),'2024DATA'!$L$34,"")</f>
        <v/>
      </c>
      <c r="BR151" s="518" t="str">
        <f>IF(AND(_D="A-220-300",'2024'!$G$4="FO",'2024'!$G$2=BR119),'2024DATA'!$M$34,"")</f>
        <v/>
      </c>
      <c r="BS151" s="520" t="str">
        <f>IF(AND(_D="A-220-300",'2024'!$G$4="FO",'2024'!$G$2=BS119),'2024DATA'!$N$34,"")</f>
        <v/>
      </c>
      <c r="BT151" s="940"/>
      <c r="BU151" s="13" t="s">
        <v>62</v>
      </c>
      <c r="BV151" s="518" t="str">
        <f>IF(AND(_E="A-220-300",'2024'!$G$4="FO",'2024'!$G$2=BV119),'2024DATA'!$C$34,"")</f>
        <v/>
      </c>
      <c r="BW151" s="518" t="str">
        <f>IF(AND(_E="A-220-300",'2024'!$G$4="FO",'2024'!$G$2=BW119),'2024DATA'!$D$34,"")</f>
        <v/>
      </c>
      <c r="BX151" s="518" t="str">
        <f>IF(AND(_E="A-220-300",'2024'!$G$4="FO",'2024'!$G$2=BX119),'2024DATA'!$E$34,"")</f>
        <v/>
      </c>
      <c r="BY151" s="518" t="str">
        <f>IF(AND(_E="A-220-300",'2024'!$G$4="FO",'2024'!$G$2=BY119),'2024DATA'!$F$34,"")</f>
        <v/>
      </c>
      <c r="BZ151" s="518" t="str">
        <f>IF(AND(_E="A-220-300",'2024'!$G$4="FO",'2024'!$G$2=BZ119),'2024DATA'!$G$34,"")</f>
        <v/>
      </c>
      <c r="CA151" s="518" t="str">
        <f>IF(AND(_E="A-220-300",'2024'!$G$4="FO",'2024'!$G$2=CA119),'2024DATA'!$H$34,"")</f>
        <v/>
      </c>
      <c r="CB151" s="518" t="str">
        <f>IF(AND(_E="A-220-300",'2024'!$G$4="FO",'2024'!$G$2=CB119),'2024DATA'!$I$34,"")</f>
        <v/>
      </c>
      <c r="CC151" s="518" t="str">
        <f>IF(AND(_E="A-220-300",'2024'!$G$4="FO",'2024'!$G$2=CC119),'2024DATA'!$J$34,"")</f>
        <v/>
      </c>
      <c r="CD151" s="518" t="str">
        <f>IF(AND(_E="A-220-300",'2024'!$G$4="FO",'2024'!$G$2=CD119),'2024DATA'!$K$34,"")</f>
        <v/>
      </c>
      <c r="CE151" s="518" t="str">
        <f>IF(AND(_E="A-220-300",'2024'!$G$4="FO",'2024'!$G$2=CE119),'2024DATA'!$L$34,"")</f>
        <v/>
      </c>
      <c r="CF151" s="518" t="str">
        <f>IF(AND(_E="A-220-300",'2024'!$G$4="FO",'2024'!$G$2=CF119),'2024DATA'!$M$34,"")</f>
        <v/>
      </c>
      <c r="CG151" s="520" t="str">
        <f>IF(AND(_E="A-220-300",'2024'!$G$4="FO",'2024'!$G$2=CG119),'2024DATA'!$N$34,"")</f>
        <v/>
      </c>
      <c r="CH151" s="940"/>
      <c r="CI151" s="13" t="s">
        <v>62</v>
      </c>
      <c r="CJ151" s="518" t="str">
        <f>IF(AND(_F="A-220-300",'2024'!$G$4="FO",'2024'!$G$2=CJ119),'2024DATA'!$C$34,"")</f>
        <v/>
      </c>
      <c r="CK151" s="518" t="str">
        <f>IF(AND(_F="A-220-300",'2024'!$G$4="FO",'2024'!$G$2=CK119),'2024DATA'!$D$34,"")</f>
        <v/>
      </c>
      <c r="CL151" s="518" t="str">
        <f>IF(AND(_F="A-220-300",'2024'!$G$4="FO",'2024'!$G$2=CL119),'2024DATA'!$E$34,"")</f>
        <v/>
      </c>
      <c r="CM151" s="518" t="str">
        <f>IF(AND(_F="A-220-300",'2024'!$G$4="FO",'2024'!$G$2=CM119),'2024DATA'!$F$34,"")</f>
        <v/>
      </c>
      <c r="CN151" s="518" t="str">
        <f>IF(AND(_F="A-220-300",'2024'!$G$4="FO",'2024'!$G$2=CN119),'2024DATA'!$G$34,"")</f>
        <v/>
      </c>
      <c r="CO151" s="518" t="str">
        <f>IF(AND(_F="A-220-300",'2024'!$G$4="FO",'2024'!$G$2=CO119),'2024DATA'!$H$34,"")</f>
        <v/>
      </c>
      <c r="CP151" s="518" t="str">
        <f>IF(AND(_F="A-220-300",'2024'!$G$4="FO",'2024'!$G$2=CP119),'2024DATA'!$I$34,"")</f>
        <v/>
      </c>
      <c r="CQ151" s="518" t="str">
        <f>IF(AND(_F="A-220-300",'2024'!$G$4="FO",'2024'!$G$2=CQ119),'2024DATA'!$J$34,"")</f>
        <v/>
      </c>
      <c r="CR151" s="518" t="str">
        <f>IF(AND(_F="A-220-300",'2024'!$G$4="FO",'2024'!$G$2=CR119),'2024DATA'!$K$34,"")</f>
        <v/>
      </c>
      <c r="CS151" s="518" t="str">
        <f>IF(AND(_F="A-220-300",'2024'!$G$4="FO",'2024'!$G$2=CS119),'2024DATA'!$L$34,"")</f>
        <v/>
      </c>
      <c r="CT151" s="518" t="str">
        <f>IF(AND(_F="A-220-300",'2024'!$G$4="FO",'2024'!$G$2=CT119),'2024DATA'!$M$34,"")</f>
        <v/>
      </c>
      <c r="CU151" s="520" t="str">
        <f>IF(AND(_F="A-220-300",'2024'!$G$4="FO",'2024'!$G$2=CU119),'2024DATA'!$N$34,"")</f>
        <v/>
      </c>
    </row>
    <row r="152" spans="16:99" x14ac:dyDescent="0.25">
      <c r="P152" s="940" t="s">
        <v>52</v>
      </c>
      <c r="Q152" s="13" t="s">
        <v>61</v>
      </c>
      <c r="R152" s="518" t="str">
        <f>IF(AND(_A="A-220-100",'2024'!$G$4="CA",'2024'!$G$2=R119),'2024DATA'!$C$35,"")</f>
        <v/>
      </c>
      <c r="S152" s="518" t="str">
        <f>IF(AND(_A="A-220-100",'2024'!$G$4="CA",'2024'!$G$2=S119),'2024DATA'!$D$35,"")</f>
        <v/>
      </c>
      <c r="T152" s="518" t="str">
        <f>IF(AND(_A="A-220-100",'2024'!$G$4="CA",'2024'!$G$2=T119),'2024DATA'!$E$35,"")</f>
        <v/>
      </c>
      <c r="U152" s="518" t="str">
        <f>IF(AND(_A="A-220-100",'2024'!$G$4="CA",'2024'!$G$2=U119),'2024DATA'!$F$35,"")</f>
        <v/>
      </c>
      <c r="V152" s="518" t="str">
        <f>IF(AND(_A="A-220-100",'2024'!$G$4="CA",'2024'!$G$2=V119),'2024DATA'!$G$35,"")</f>
        <v/>
      </c>
      <c r="W152" s="518" t="str">
        <f>IF(AND(_A="A-220-100",'2024'!$G$4="CA",'2024'!$G$2=W119),'2024DATA'!$H$35,"")</f>
        <v/>
      </c>
      <c r="X152" s="518" t="str">
        <f>IF(AND(_A="A-220-100",'2024'!$G$4="CA",'2024'!$G$2=X119),'2024DATA'!$I$35,"")</f>
        <v/>
      </c>
      <c r="Y152" s="518" t="str">
        <f>IF(AND(_A="A-220-100",'2024'!$G$4="CA",'2024'!$G$2=Y119),'2024DATA'!$J$35,"")</f>
        <v/>
      </c>
      <c r="Z152" s="518" t="str">
        <f>IF(AND(_A="A-220-100",'2024'!$G$4="CA",'2024'!$G$2=Z119),'2024DATA'!$K$35,"")</f>
        <v/>
      </c>
      <c r="AA152" s="518" t="str">
        <f>IF(AND(_A="A-220-100",'2024'!$G$4="CA",'2024'!$G$2=AA119),'2024DATA'!$L$35,"")</f>
        <v/>
      </c>
      <c r="AB152" s="518" t="str">
        <f>IF(AND(_A="A-220-100",'2024'!$G$4="CA",'2024'!$G$2=AB119),'2024DATA'!$M$35,"")</f>
        <v/>
      </c>
      <c r="AC152" s="520" t="str">
        <f>IF(AND(_A="A-220-100",'2024'!$G$4="CA",'2024'!$G$2=AC119),'2024DATA'!$N$35,"")</f>
        <v/>
      </c>
      <c r="AD152" s="940" t="s">
        <v>52</v>
      </c>
      <c r="AE152" s="13" t="s">
        <v>61</v>
      </c>
      <c r="AF152" s="518" t="str">
        <f>IF(AND(_B="A-220-100",'2024'!$G$4="CA",'2024'!$G$2=AF119),'2024DATA'!$C$35,"")</f>
        <v/>
      </c>
      <c r="AG152" s="518" t="str">
        <f>IF(AND(_B="A-220-100",'2024'!$G$4="CA",'2024'!$G$2=AG119),'2024DATA'!$D$35,"")</f>
        <v/>
      </c>
      <c r="AH152" s="518" t="str">
        <f>IF(AND(_B="A-220-100",'2024'!$G$4="CA",'2024'!$G$2=AH119),'2024DATA'!$E$35,"")</f>
        <v/>
      </c>
      <c r="AI152" s="518" t="str">
        <f>IF(AND(_B="A-220-100",'2024'!$G$4="CA",'2024'!$G$2=AI119),'2024DATA'!$F$35,"")</f>
        <v/>
      </c>
      <c r="AJ152" s="518" t="str">
        <f>IF(AND(_B="A-220-100",'2024'!$G$4="CA",'2024'!$G$2=AJ119),'2024DATA'!$G$35,"")</f>
        <v/>
      </c>
      <c r="AK152" s="518" t="str">
        <f>IF(AND(_B="A-220-100",'2024'!$G$4="CA",'2024'!$G$2=AK119),'2024DATA'!$H$35,"")</f>
        <v/>
      </c>
      <c r="AL152" s="518" t="str">
        <f>IF(AND(_B="A-220-100",'2024'!$G$4="CA",'2024'!$G$2=AL119),'2024DATA'!$I$35,"")</f>
        <v/>
      </c>
      <c r="AM152" s="518" t="str">
        <f>IF(AND(_B="A-220-100",'2024'!$G$4="CA",'2024'!$G$2=AM119),'2024DATA'!$J$35,"")</f>
        <v/>
      </c>
      <c r="AN152" s="518" t="str">
        <f>IF(AND(_B="A-220-100",'2024'!$G$4="CA",'2024'!$G$2=AN119),'2024DATA'!$K$35,"")</f>
        <v/>
      </c>
      <c r="AO152" s="518" t="str">
        <f>IF(AND(_B="A-220-100",'2024'!$G$4="CA",'2024'!$G$2=AO119),'2024DATA'!$L$35,"")</f>
        <v/>
      </c>
      <c r="AP152" s="518" t="str">
        <f>IF(AND(_B="A-220-100",'2024'!$G$4="CA",'2024'!$G$2=AP119),'2024DATA'!$M$35,"")</f>
        <v/>
      </c>
      <c r="AQ152" s="520" t="str">
        <f>IF(AND(_B="A-220-100",'2024'!$G$4="CA",'2024'!$G$2=AQ119),'2024DATA'!$N$35,"")</f>
        <v/>
      </c>
      <c r="AR152" s="940" t="s">
        <v>52</v>
      </c>
      <c r="AS152" s="13" t="s">
        <v>61</v>
      </c>
      <c r="AT152" s="518" t="str">
        <f>IF(AND(_C="A-220-100",'2024'!$G$4="CA",'2024'!$G$2=AT119),'2024DATA'!$C$35,"")</f>
        <v/>
      </c>
      <c r="AU152" s="518" t="str">
        <f>IF(AND(_C="A-220-100",'2024'!$G$4="CA",'2024'!$G$2=AU119),'2024DATA'!$D$35,"")</f>
        <v/>
      </c>
      <c r="AV152" s="518" t="str">
        <f>IF(AND(_C="A-220-100",'2024'!$G$4="CA",'2024'!$G$2=AV119),'2024DATA'!$E$35,"")</f>
        <v/>
      </c>
      <c r="AW152" s="518" t="str">
        <f>IF(AND(_C="A-220-100",'2024'!$G$4="CA",'2024'!$G$2=AW119),'2024DATA'!$F$35,"")</f>
        <v/>
      </c>
      <c r="AX152" s="518" t="str">
        <f>IF(AND(_C="A-220-100",'2024'!$G$4="CA",'2024'!$G$2=AX119),'2024DATA'!$G$35,"")</f>
        <v/>
      </c>
      <c r="AY152" s="518" t="str">
        <f>IF(AND(_C="A-220-100",'2024'!$G$4="CA",'2024'!$G$2=AY119),'2024DATA'!$H$35,"")</f>
        <v/>
      </c>
      <c r="AZ152" s="518" t="str">
        <f>IF(AND(_C="A-220-100",'2024'!$G$4="CA",'2024'!$G$2=AZ119),'2024DATA'!$I$35,"")</f>
        <v/>
      </c>
      <c r="BA152" s="518" t="str">
        <f>IF(AND(_C="A-220-100",'2024'!$G$4="CA",'2024'!$G$2=BA119),'2024DATA'!$J$35,"")</f>
        <v/>
      </c>
      <c r="BB152" s="518" t="str">
        <f>IF(AND(_C="A-220-100",'2024'!$G$4="CA",'2024'!$G$2=BB119),'2024DATA'!$K$35,"")</f>
        <v/>
      </c>
      <c r="BC152" s="518" t="str">
        <f>IF(AND(_C="A-220-100",'2024'!$G$4="CA",'2024'!$G$2=BC119),'2024DATA'!$L$35,"")</f>
        <v/>
      </c>
      <c r="BD152" s="518" t="str">
        <f>IF(AND(_C="A-220-100",'2024'!$G$4="CA",'2024'!$G$2=BD119),'2024DATA'!$M$35,"")</f>
        <v/>
      </c>
      <c r="BE152" s="520" t="str">
        <f>IF(AND(_C="A-220-100",'2024'!$G$4="CA",'2024'!$G$2=BE119),'2024DATA'!$N$35,"")</f>
        <v/>
      </c>
      <c r="BF152" s="940" t="s">
        <v>52</v>
      </c>
      <c r="BG152" s="13" t="s">
        <v>61</v>
      </c>
      <c r="BH152" s="518" t="str">
        <f>IF(AND(_D="A-220-100",'2024'!$G$4="CA",'2024'!$G$2=BH119),'2024DATA'!$C$35,"")</f>
        <v/>
      </c>
      <c r="BI152" s="518" t="str">
        <f>IF(AND(_D="A-220-100",'2024'!$G$4="CA",'2024'!$G$2=BI119),'2024DATA'!$D$35,"")</f>
        <v/>
      </c>
      <c r="BJ152" s="518" t="str">
        <f>IF(AND(_D="A-220-100",'2024'!$G$4="CA",'2024'!$G$2=BJ119),'2024DATA'!$E$35,"")</f>
        <v/>
      </c>
      <c r="BK152" s="518" t="str">
        <f>IF(AND(_D="A-220-100",'2024'!$G$4="CA",'2024'!$G$2=BK119),'2024DATA'!$F$35,"")</f>
        <v/>
      </c>
      <c r="BL152" s="518" t="str">
        <f>IF(AND(_D="A-220-100",'2024'!$G$4="CA",'2024'!$G$2=BL119),'2024DATA'!$G$35,"")</f>
        <v/>
      </c>
      <c r="BM152" s="518" t="str">
        <f>IF(AND(_D="A-220-100",'2024'!$G$4="CA",'2024'!$G$2=BM119),'2024DATA'!$H$35,"")</f>
        <v/>
      </c>
      <c r="BN152" s="518" t="str">
        <f>IF(AND(_D="A-220-100",'2024'!$G$4="CA",'2024'!$G$2=BN119),'2024DATA'!$I$35,"")</f>
        <v/>
      </c>
      <c r="BO152" s="518" t="str">
        <f>IF(AND(_D="A-220-100",'2024'!$G$4="CA",'2024'!$G$2=BO119),'2024DATA'!$J$35,"")</f>
        <v/>
      </c>
      <c r="BP152" s="518" t="str">
        <f>IF(AND(_D="A-220-100",'2024'!$G$4="CA",'2024'!$G$2=BP119),'2024DATA'!$K$35,"")</f>
        <v/>
      </c>
      <c r="BQ152" s="518" t="str">
        <f>IF(AND(_D="A-220-100",'2024'!$G$4="CA",'2024'!$G$2=BQ119),'2024DATA'!$L$35,"")</f>
        <v/>
      </c>
      <c r="BR152" s="518" t="str">
        <f>IF(AND(_D="A-220-100",'2024'!$G$4="CA",'2024'!$G$2=BR119),'2024DATA'!$M$35,"")</f>
        <v/>
      </c>
      <c r="BS152" s="520" t="str">
        <f>IF(AND(_D="A-220-100",'2024'!$G$4="CA",'2024'!$G$2=BS119),'2024DATA'!$N$35,"")</f>
        <v/>
      </c>
      <c r="BT152" s="940" t="s">
        <v>52</v>
      </c>
      <c r="BU152" s="13" t="s">
        <v>61</v>
      </c>
      <c r="BV152" s="518" t="str">
        <f>IF(AND(_E="A-220-100",'2024'!$G$4="CA",'2024'!$G$2=BV119),'2024DATA'!$C$35,"")</f>
        <v/>
      </c>
      <c r="BW152" s="518" t="str">
        <f>IF(AND(_E="A-220-100",'2024'!$G$4="CA",'2024'!$G$2=BW119),'2024DATA'!$D$35,"")</f>
        <v/>
      </c>
      <c r="BX152" s="518" t="str">
        <f>IF(AND(_E="A-220-100",'2024'!$G$4="CA",'2024'!$G$2=BX119),'2024DATA'!$E$35,"")</f>
        <v/>
      </c>
      <c r="BY152" s="518" t="str">
        <f>IF(AND(_E="A-220-100",'2024'!$G$4="CA",'2024'!$G$2=BY119),'2024DATA'!$F$35,"")</f>
        <v/>
      </c>
      <c r="BZ152" s="518" t="str">
        <f>IF(AND(_E="A-220-100",'2024'!$G$4="CA",'2024'!$G$2=BZ119),'2024DATA'!$G$35,"")</f>
        <v/>
      </c>
      <c r="CA152" s="518" t="str">
        <f>IF(AND(_E="A-220-100",'2024'!$G$4="CA",'2024'!$G$2=CA119),'2024DATA'!$H$35,"")</f>
        <v/>
      </c>
      <c r="CB152" s="518" t="str">
        <f>IF(AND(_E="A-220-100",'2024'!$G$4="CA",'2024'!$G$2=CB119),'2024DATA'!$I$35,"")</f>
        <v/>
      </c>
      <c r="CC152" s="518" t="str">
        <f>IF(AND(_E="A-220-100",'2024'!$G$4="CA",'2024'!$G$2=CC119),'2024DATA'!$J$35,"")</f>
        <v/>
      </c>
      <c r="CD152" s="518" t="str">
        <f>IF(AND(_E="A-220-100",'2024'!$G$4="CA",'2024'!$G$2=CD119),'2024DATA'!$K$35,"")</f>
        <v/>
      </c>
      <c r="CE152" s="518" t="str">
        <f>IF(AND(_E="A-220-100",'2024'!$G$4="CA",'2024'!$G$2=CE119),'2024DATA'!$L$35,"")</f>
        <v/>
      </c>
      <c r="CF152" s="518" t="str">
        <f>IF(AND(_E="A-220-100",'2024'!$G$4="CA",'2024'!$G$2=CF119),'2024DATA'!$M$35,"")</f>
        <v/>
      </c>
      <c r="CG152" s="520" t="str">
        <f>IF(AND(_E="A-220-100",'2024'!$G$4="CA",'2024'!$G$2=CG119),'2024DATA'!$N$35,"")</f>
        <v/>
      </c>
      <c r="CH152" s="940" t="s">
        <v>52</v>
      </c>
      <c r="CI152" s="13" t="s">
        <v>61</v>
      </c>
      <c r="CJ152" s="518" t="str">
        <f>IF(AND(_F="A-220-100",'2024'!$G$4="CA",'2024'!$G$2=CJ119),'2024DATA'!$C$35,"")</f>
        <v/>
      </c>
      <c r="CK152" s="518" t="str">
        <f>IF(AND(_F="A-220-100",'2024'!$G$4="CA",'2024'!$G$2=CK119),'2024DATA'!$D$35,"")</f>
        <v/>
      </c>
      <c r="CL152" s="518" t="str">
        <f>IF(AND(_F="A-220-100",'2024'!$G$4="CA",'2024'!$G$2=CL119),'2024DATA'!$E$35,"")</f>
        <v/>
      </c>
      <c r="CM152" s="518" t="str">
        <f>IF(AND(_F="A-220-100",'2024'!$G$4="CA",'2024'!$G$2=CM119),'2024DATA'!$F$35,"")</f>
        <v/>
      </c>
      <c r="CN152" s="518" t="str">
        <f>IF(AND(_F="A-220-100",'2024'!$G$4="CA",'2024'!$G$2=CN119),'2024DATA'!$G$35,"")</f>
        <v/>
      </c>
      <c r="CO152" s="518" t="str">
        <f>IF(AND(_F="A-220-100",'2024'!$G$4="CA",'2024'!$G$2=CO119),'2024DATA'!$H$35,"")</f>
        <v/>
      </c>
      <c r="CP152" s="518" t="str">
        <f>IF(AND(_F="A-220-100",'2024'!$G$4="CA",'2024'!$G$2=CP119),'2024DATA'!$I$35,"")</f>
        <v/>
      </c>
      <c r="CQ152" s="518" t="str">
        <f>IF(AND(_F="A-220-100",'2024'!$G$4="CA",'2024'!$G$2=CQ119),'2024DATA'!$J$35,"")</f>
        <v/>
      </c>
      <c r="CR152" s="518" t="str">
        <f>IF(AND(_F="A-220-100",'2024'!$G$4="CA",'2024'!$G$2=CR119),'2024DATA'!$K$35,"")</f>
        <v/>
      </c>
      <c r="CS152" s="518" t="str">
        <f>IF(AND(_F="A-220-100",'2024'!$G$4="CA",'2024'!$G$2=CS119),'2024DATA'!$L$35,"")</f>
        <v/>
      </c>
      <c r="CT152" s="518" t="str">
        <f>IF(AND(_F="A-220-100",'2024'!$G$4="CA",'2024'!$G$2=CT119),'2024DATA'!$M$35,"")</f>
        <v/>
      </c>
      <c r="CU152" s="520" t="str">
        <f>IF(AND(_F="A-220-100",'2024'!$G$4="CA",'2024'!$G$2=CU119),'2024DATA'!$N$35,"")</f>
        <v/>
      </c>
    </row>
    <row r="153" spans="16:99" x14ac:dyDescent="0.25">
      <c r="P153" s="940"/>
      <c r="Q153" s="13" t="s">
        <v>62</v>
      </c>
      <c r="R153" s="518" t="str">
        <f>IF(AND(_A="A-220-100",'2024'!$G$4="FO",'2024'!$G$2=R119),'2024DATA'!$C$36,"")</f>
        <v/>
      </c>
      <c r="S153" s="518" t="str">
        <f>IF(AND(_A="A-220-100",'2024'!$G$4="FO",'2024'!$G$2=S119),'2024DATA'!$D$36,"")</f>
        <v/>
      </c>
      <c r="T153" s="518" t="str">
        <f>IF(AND(_A="A-220-100",'2024'!$G$4="FO",'2024'!$G$2=T119),'2024DATA'!$E$36,"")</f>
        <v/>
      </c>
      <c r="U153" s="518" t="str">
        <f>IF(AND(_A="A-220-100",'2024'!$G$4="FO",'2024'!$G$2=U119),'2024DATA'!$F$36,"")</f>
        <v/>
      </c>
      <c r="V153" s="518" t="str">
        <f>IF(AND(_A="A-220-100",'2024'!$G$4="FO",'2024'!$G$2=V119),'2024DATA'!$G$36,"")</f>
        <v/>
      </c>
      <c r="W153" s="518" t="str">
        <f>IF(AND(_A="A-220-100",'2024'!$G$4="FO",'2024'!$G$2=W119),'2024DATA'!$H$36,"")</f>
        <v/>
      </c>
      <c r="X153" s="518" t="str">
        <f>IF(AND(_A="A-220-100",'2024'!$G$4="FO",'2024'!$G$2=X119),'2024DATA'!$I$36,"")</f>
        <v/>
      </c>
      <c r="Y153" s="518" t="str">
        <f>IF(AND(_A="A-220-100",'2024'!$G$4="FO",'2024'!$G$2=Y119),'2024DATA'!$J$36,"")</f>
        <v/>
      </c>
      <c r="Z153" s="518" t="str">
        <f>IF(AND(_A="A-220-100",'2024'!$G$4="FO",'2024'!$G$2=Z119),'2024DATA'!$K$36,"")</f>
        <v/>
      </c>
      <c r="AA153" s="518" t="str">
        <f>IF(AND(_A="A-220-100",'2024'!$G$4="FO",'2024'!$G$2=AA119),'2024DATA'!$L$36,"")</f>
        <v/>
      </c>
      <c r="AB153" s="518" t="str">
        <f>IF(AND(_A="A-220-100",'2024'!$G$4="FO",'2024'!$G$2=AB119),'2024DATA'!$M$36,"")</f>
        <v/>
      </c>
      <c r="AC153" s="520" t="str">
        <f>IF(AND(_A="A-220-100",'2024'!$G$4="FO",'2024'!$G$2=AC119),'2024DATA'!$N$36,"")</f>
        <v/>
      </c>
      <c r="AD153" s="940"/>
      <c r="AE153" s="13" t="s">
        <v>62</v>
      </c>
      <c r="AF153" s="518" t="str">
        <f>IF(AND(_B="A-220-100",'2024'!$G$4="FO",'2024'!$G$2=AF119),'2024DATA'!$C$36,"")</f>
        <v/>
      </c>
      <c r="AG153" s="518" t="str">
        <f>IF(AND(_B="A-220-100",'2024'!$G$4="FO",'2024'!$G$2=AG119),'2024DATA'!$D$36,"")</f>
        <v/>
      </c>
      <c r="AH153" s="518" t="str">
        <f>IF(AND(_B="A-220-100",'2024'!$G$4="FO",'2024'!$G$2=AH119),'2024DATA'!$E$36,"")</f>
        <v/>
      </c>
      <c r="AI153" s="518" t="str">
        <f>IF(AND(_B="A-220-100",'2024'!$G$4="FO",'2024'!$G$2=AI119),'2024DATA'!$F$36,"")</f>
        <v/>
      </c>
      <c r="AJ153" s="518" t="str">
        <f>IF(AND(_B="A-220-100",'2024'!$G$4="FO",'2024'!$G$2=AJ119),'2024DATA'!$G$36,"")</f>
        <v/>
      </c>
      <c r="AK153" s="518" t="str">
        <f>IF(AND(_B="A-220-100",'2024'!$G$4="FO",'2024'!$G$2=AK119),'2024DATA'!$H$36,"")</f>
        <v/>
      </c>
      <c r="AL153" s="518" t="str">
        <f>IF(AND(_B="A-220-100",'2024'!$G$4="FO",'2024'!$G$2=AL119),'2024DATA'!$I$36,"")</f>
        <v/>
      </c>
      <c r="AM153" s="518" t="str">
        <f>IF(AND(_B="A-220-100",'2024'!$G$4="FO",'2024'!$G$2=AM119),'2024DATA'!$J$36,"")</f>
        <v/>
      </c>
      <c r="AN153" s="518" t="str">
        <f>IF(AND(_B="A-220-100",'2024'!$G$4="FO",'2024'!$G$2=AN119),'2024DATA'!$K$36,"")</f>
        <v/>
      </c>
      <c r="AO153" s="518" t="str">
        <f>IF(AND(_B="A-220-100",'2024'!$G$4="FO",'2024'!$G$2=AO119),'2024DATA'!$L$36,"")</f>
        <v/>
      </c>
      <c r="AP153" s="518" t="str">
        <f>IF(AND(_B="A-220-100",'2024'!$G$4="FO",'2024'!$G$2=AP119),'2024DATA'!$M$36,"")</f>
        <v/>
      </c>
      <c r="AQ153" s="520" t="str">
        <f>IF(AND(_B="A-220-100",'2024'!$G$4="FO",'2024'!$G$2=AQ119),'2024DATA'!$N$36,"")</f>
        <v/>
      </c>
      <c r="AR153" s="940"/>
      <c r="AS153" s="13" t="s">
        <v>62</v>
      </c>
      <c r="AT153" s="518" t="str">
        <f>IF(AND(_C="A-220-100",'2024'!$G$4="FO",'2024'!$G$2=AT119),'2024DATA'!$C$36,"")</f>
        <v/>
      </c>
      <c r="AU153" s="518" t="str">
        <f>IF(AND(_C="A-220-100",'2024'!$G$4="FO",'2024'!$G$2=AU119),'2024DATA'!$D$36,"")</f>
        <v/>
      </c>
      <c r="AV153" s="518" t="str">
        <f>IF(AND(_C="A-220-100",'2024'!$G$4="FO",'2024'!$G$2=AV119),'2024DATA'!$E$36,"")</f>
        <v/>
      </c>
      <c r="AW153" s="518" t="str">
        <f>IF(AND(_C="A-220-100",'2024'!$G$4="FO",'2024'!$G$2=AW119),'2024DATA'!$F$36,"")</f>
        <v/>
      </c>
      <c r="AX153" s="518" t="str">
        <f>IF(AND(_C="A-220-100",'2024'!$G$4="FO",'2024'!$G$2=AX119),'2024DATA'!$G$36,"")</f>
        <v/>
      </c>
      <c r="AY153" s="518" t="str">
        <f>IF(AND(_C="A-220-100",'2024'!$G$4="FO",'2024'!$G$2=AY119),'2024DATA'!$H$36,"")</f>
        <v/>
      </c>
      <c r="AZ153" s="518" t="str">
        <f>IF(AND(_C="A-220-100",'2024'!$G$4="FO",'2024'!$G$2=AZ119),'2024DATA'!$I$36,"")</f>
        <v/>
      </c>
      <c r="BA153" s="518" t="str">
        <f>IF(AND(_C="A-220-100",'2024'!$G$4="FO",'2024'!$G$2=BA119),'2024DATA'!$J$36,"")</f>
        <v/>
      </c>
      <c r="BB153" s="518" t="str">
        <f>IF(AND(_C="A-220-100",'2024'!$G$4="FO",'2024'!$G$2=BB119),'2024DATA'!$K$36,"")</f>
        <v/>
      </c>
      <c r="BC153" s="518" t="str">
        <f>IF(AND(_C="A-220-100",'2024'!$G$4="FO",'2024'!$G$2=BC119),'2024DATA'!$L$36,"")</f>
        <v/>
      </c>
      <c r="BD153" s="518" t="str">
        <f>IF(AND(_C="A-220-100",'2024'!$G$4="FO",'2024'!$G$2=BD119),'2024DATA'!$M$36,"")</f>
        <v/>
      </c>
      <c r="BE153" s="520" t="str">
        <f>IF(AND(_C="A-220-100",'2024'!$G$4="FO",'2024'!$G$2=BE119),'2024DATA'!$N$36,"")</f>
        <v/>
      </c>
      <c r="BF153" s="940"/>
      <c r="BG153" s="13" t="s">
        <v>62</v>
      </c>
      <c r="BH153" s="518" t="str">
        <f>IF(AND(_D="A-220-100",'2024'!$G$4="FO",'2024'!$G$2=BH119),'2024DATA'!$C$36,"")</f>
        <v/>
      </c>
      <c r="BI153" s="518" t="str">
        <f>IF(AND(_D="A-220-100",'2024'!$G$4="FO",'2024'!$G$2=BI119),'2024DATA'!$D$36,"")</f>
        <v/>
      </c>
      <c r="BJ153" s="518" t="str">
        <f>IF(AND(_D="A-220-100",'2024'!$G$4="FO",'2024'!$G$2=BJ119),'2024DATA'!$E$36,"")</f>
        <v/>
      </c>
      <c r="BK153" s="518" t="str">
        <f>IF(AND(_D="A-220-100",'2024'!$G$4="FO",'2024'!$G$2=BK119),'2024DATA'!$F$36,"")</f>
        <v/>
      </c>
      <c r="BL153" s="518" t="str">
        <f>IF(AND(_D="A-220-100",'2024'!$G$4="FO",'2024'!$G$2=BL119),'2024DATA'!$G$36,"")</f>
        <v/>
      </c>
      <c r="BM153" s="518" t="str">
        <f>IF(AND(_D="A-220-100",'2024'!$G$4="FO",'2024'!$G$2=BM119),'2024DATA'!$H$36,"")</f>
        <v/>
      </c>
      <c r="BN153" s="518" t="str">
        <f>IF(AND(_D="A-220-100",'2024'!$G$4="FO",'2024'!$G$2=BN119),'2024DATA'!$I$36,"")</f>
        <v/>
      </c>
      <c r="BO153" s="518" t="str">
        <f>IF(AND(_D="A-220-100",'2024'!$G$4="FO",'2024'!$G$2=BO119),'2024DATA'!$J$36,"")</f>
        <v/>
      </c>
      <c r="BP153" s="518" t="str">
        <f>IF(AND(_D="A-220-100",'2024'!$G$4="FO",'2024'!$G$2=BP119),'2024DATA'!$K$36,"")</f>
        <v/>
      </c>
      <c r="BQ153" s="518" t="str">
        <f>IF(AND(_D="A-220-100",'2024'!$G$4="FO",'2024'!$G$2=BQ119),'2024DATA'!$L$36,"")</f>
        <v/>
      </c>
      <c r="BR153" s="518" t="str">
        <f>IF(AND(_D="A-220-100",'2024'!$G$4="FO",'2024'!$G$2=BR119),'2024DATA'!$M$36,"")</f>
        <v/>
      </c>
      <c r="BS153" s="520" t="str">
        <f>IF(AND(_D="A-220-100",'2024'!$G$4="FO",'2024'!$G$2=BS119),'2024DATA'!$N$36,"")</f>
        <v/>
      </c>
      <c r="BT153" s="940"/>
      <c r="BU153" s="13" t="s">
        <v>62</v>
      </c>
      <c r="BV153" s="518" t="str">
        <f>IF(AND(_E="A-220-100",'2024'!$G$4="FO",'2024'!$G$2=BV119),'2024DATA'!$C$36,"")</f>
        <v/>
      </c>
      <c r="BW153" s="518" t="str">
        <f>IF(AND(_E="A-220-100",'2024'!$G$4="FO",'2024'!$G$2=BW119),'2024DATA'!$D$36,"")</f>
        <v/>
      </c>
      <c r="BX153" s="518" t="str">
        <f>IF(AND(_E="A-220-100",'2024'!$G$4="FO",'2024'!$G$2=BX119),'2024DATA'!$E$36,"")</f>
        <v/>
      </c>
      <c r="BY153" s="518" t="str">
        <f>IF(AND(_E="A-220-100",'2024'!$G$4="FO",'2024'!$G$2=BY119),'2024DATA'!$F$36,"")</f>
        <v/>
      </c>
      <c r="BZ153" s="518" t="str">
        <f>IF(AND(_E="A-220-100",'2024'!$G$4="FO",'2024'!$G$2=BZ119),'2024DATA'!$G$36,"")</f>
        <v/>
      </c>
      <c r="CA153" s="518" t="str">
        <f>IF(AND(_E="A-220-100",'2024'!$G$4="FO",'2024'!$G$2=CA119),'2024DATA'!$H$36,"")</f>
        <v/>
      </c>
      <c r="CB153" s="518" t="str">
        <f>IF(AND(_E="A-220-100",'2024'!$G$4="FO",'2024'!$G$2=CB119),'2024DATA'!$I$36,"")</f>
        <v/>
      </c>
      <c r="CC153" s="518" t="str">
        <f>IF(AND(_E="A-220-100",'2024'!$G$4="FO",'2024'!$G$2=CC119),'2024DATA'!$J$36,"")</f>
        <v/>
      </c>
      <c r="CD153" s="518" t="str">
        <f>IF(AND(_E="A-220-100",'2024'!$G$4="FO",'2024'!$G$2=CD119),'2024DATA'!$K$36,"")</f>
        <v/>
      </c>
      <c r="CE153" s="518" t="str">
        <f>IF(AND(_E="A-220-100",'2024'!$G$4="FO",'2024'!$G$2=CE119),'2024DATA'!$L$36,"")</f>
        <v/>
      </c>
      <c r="CF153" s="518" t="str">
        <f>IF(AND(_E="A-220-100",'2024'!$G$4="FO",'2024'!$G$2=CF119),'2024DATA'!$M$36,"")</f>
        <v/>
      </c>
      <c r="CG153" s="520" t="str">
        <f>IF(AND(_E="A-220-100",'2024'!$G$4="FO",'2024'!$G$2=CG119),'2024DATA'!$N$36,"")</f>
        <v/>
      </c>
      <c r="CH153" s="940"/>
      <c r="CI153" s="13" t="s">
        <v>62</v>
      </c>
      <c r="CJ153" s="518" t="str">
        <f>IF(AND(_F="A-220-100",'2024'!$G$4="FO",'2024'!$G$2=CJ119),'2024DATA'!$C$36,"")</f>
        <v/>
      </c>
      <c r="CK153" s="518" t="str">
        <f>IF(AND(_F="A-220-100",'2024'!$G$4="FO",'2024'!$G$2=CK119),'2024DATA'!$D$36,"")</f>
        <v/>
      </c>
      <c r="CL153" s="518" t="str">
        <f>IF(AND(_F="A-220-100",'2024'!$G$4="FO",'2024'!$G$2=CL119),'2024DATA'!$E$36,"")</f>
        <v/>
      </c>
      <c r="CM153" s="518" t="str">
        <f>IF(AND(_F="A-220-100",'2024'!$G$4="FO",'2024'!$G$2=CM119),'2024DATA'!$F$36,"")</f>
        <v/>
      </c>
      <c r="CN153" s="518" t="str">
        <f>IF(AND(_F="A-220-100",'2024'!$G$4="FO",'2024'!$G$2=CN119),'2024DATA'!$G$36,"")</f>
        <v/>
      </c>
      <c r="CO153" s="518" t="str">
        <f>IF(AND(_F="A-220-100",'2024'!$G$4="FO",'2024'!$G$2=CO119),'2024DATA'!$H$36,"")</f>
        <v/>
      </c>
      <c r="CP153" s="518" t="str">
        <f>IF(AND(_F="A-220-100",'2024'!$G$4="FO",'2024'!$G$2=CP119),'2024DATA'!$I$36,"")</f>
        <v/>
      </c>
      <c r="CQ153" s="518" t="str">
        <f>IF(AND(_F="A-220-100",'2024'!$G$4="FO",'2024'!$G$2=CQ119),'2024DATA'!$J$36,"")</f>
        <v/>
      </c>
      <c r="CR153" s="518" t="str">
        <f>IF(AND(_F="A-220-100",'2024'!$G$4="FO",'2024'!$G$2=CR119),'2024DATA'!$K$36,"")</f>
        <v/>
      </c>
      <c r="CS153" s="518" t="str">
        <f>IF(AND(_F="A-220-100",'2024'!$G$4="FO",'2024'!$G$2=CS119),'2024DATA'!$L$36,"")</f>
        <v/>
      </c>
      <c r="CT153" s="518" t="str">
        <f>IF(AND(_F="A-220-100",'2024'!$G$4="FO",'2024'!$G$2=CT119),'2024DATA'!$M$36,"")</f>
        <v/>
      </c>
      <c r="CU153" s="520" t="str">
        <f>IF(AND(_F="A-220-100",'2024'!$G$4="FO",'2024'!$G$2=CU119),'2024DATA'!$N$36,"")</f>
        <v/>
      </c>
    </row>
    <row r="154" spans="16:99" x14ac:dyDescent="0.25">
      <c r="P154" s="940" t="s">
        <v>53</v>
      </c>
      <c r="Q154" s="13" t="s">
        <v>61</v>
      </c>
      <c r="R154" s="518" t="str">
        <f>IF(AND(_A="B-717",'2024'!$G$4="CA",'2024'!$G$2=R119),'2024DATA'!$C$37,"")</f>
        <v/>
      </c>
      <c r="S154" s="518" t="str">
        <f>IF(AND(_A="B-717",'2024'!$G$4="CA",'2024'!$G$2=S119),'2024DATA'!$D$37,"")</f>
        <v/>
      </c>
      <c r="T154" s="518" t="str">
        <f>IF(AND(_A="B-717",'2024'!$G$4="CA",'2024'!$G$2=T119),'2024DATA'!$E$37,"")</f>
        <v/>
      </c>
      <c r="U154" s="518" t="str">
        <f>IF(AND(_A="B-717",'2024'!$G$4="CA",'2024'!$G$2=U119),'2024DATA'!$F$37,"")</f>
        <v/>
      </c>
      <c r="V154" s="518" t="str">
        <f>IF(AND(_A="B-717",'2024'!$G$4="CA",'2024'!$G$2=V119),'2024DATA'!$G$37,"")</f>
        <v/>
      </c>
      <c r="W154" s="518" t="str">
        <f>IF(AND(_A="B-717",'2024'!$G$4="CA",'2024'!$G$2=W119),'2024DATA'!$H$37,"")</f>
        <v/>
      </c>
      <c r="X154" s="518" t="str">
        <f>IF(AND(_A="B-717",'2024'!$G$4="CA",'2024'!$G$2=X119),'2024DATA'!$I$37,"")</f>
        <v/>
      </c>
      <c r="Y154" s="518" t="str">
        <f>IF(AND(_A="B-717",'2024'!$G$4="CA",'2024'!$G$2=Y119),'2024DATA'!$J$37,"")</f>
        <v/>
      </c>
      <c r="Z154" s="518" t="str">
        <f>IF(AND(_A="B-717",'2024'!$G$4="CA",'2024'!$G$2=Z119),'2024DATA'!$K$37,"")</f>
        <v/>
      </c>
      <c r="AA154" s="518" t="str">
        <f>IF(AND(_A="B-717",'2024'!$G$4="CA",'2024'!$G$2=AA119),'2024DATA'!$L$37,"")</f>
        <v/>
      </c>
      <c r="AB154" s="518" t="str">
        <f>IF(AND(_A="B-717",'2024'!$G$4="CA",'2024'!$G$2=AB119),'2024DATA'!$M$37,"")</f>
        <v/>
      </c>
      <c r="AC154" s="520" t="str">
        <f>IF(AND(_A="B-717",'2024'!$G$4="CA",'2024'!$G$2=AC119),'2024DATA'!$N$37,"")</f>
        <v/>
      </c>
      <c r="AD154" s="940" t="s">
        <v>53</v>
      </c>
      <c r="AE154" s="13" t="s">
        <v>61</v>
      </c>
      <c r="AF154" s="518" t="str">
        <f>IF(AND(_B="B-717",'2024'!$G$4="CA",'2024'!$G$2=AF119),'2024DATA'!$C$37,"")</f>
        <v/>
      </c>
      <c r="AG154" s="518" t="str">
        <f>IF(AND(_B="B-717",'2024'!$G$4="CA",'2024'!$G$2=AG119),'2024DATA'!$D$37,"")</f>
        <v/>
      </c>
      <c r="AH154" s="518" t="str">
        <f>IF(AND(_B="B-717",'2024'!$G$4="CA",'2024'!$G$2=AH119),'2024DATA'!$E$37,"")</f>
        <v/>
      </c>
      <c r="AI154" s="518" t="str">
        <f>IF(AND(_B="B-717",'2024'!$G$4="CA",'2024'!$G$2=AI119),'2024DATA'!$F$37,"")</f>
        <v/>
      </c>
      <c r="AJ154" s="518" t="str">
        <f>IF(AND(_B="B-717",'2024'!$G$4="CA",'2024'!$G$2=AJ119),'2024DATA'!$G$37,"")</f>
        <v/>
      </c>
      <c r="AK154" s="518" t="str">
        <f>IF(AND(_B="B-717",'2024'!$G$4="CA",'2024'!$G$2=AK119),'2024DATA'!$H$37,"")</f>
        <v/>
      </c>
      <c r="AL154" s="518" t="str">
        <f>IF(AND(_B="B-717",'2024'!$G$4="CA",'2024'!$G$2=AL119),'2024DATA'!$I$37,"")</f>
        <v/>
      </c>
      <c r="AM154" s="518" t="str">
        <f>IF(AND(_B="B-717",'2024'!$G$4="CA",'2024'!$G$2=AM119),'2024DATA'!$J$37,"")</f>
        <v/>
      </c>
      <c r="AN154" s="518" t="str">
        <f>IF(AND(_B="B-717",'2024'!$G$4="CA",'2024'!$G$2=AN119),'2024DATA'!$K$37,"")</f>
        <v/>
      </c>
      <c r="AO154" s="518" t="str">
        <f>IF(AND(_B="B-717",'2024'!$G$4="CA",'2024'!$G$2=AO119),'2024DATA'!$L$37,"")</f>
        <v/>
      </c>
      <c r="AP154" s="518" t="str">
        <f>IF(AND(_B="B-717",'2024'!$G$4="CA",'2024'!$G$2=AP119),'2024DATA'!$M$37,"")</f>
        <v/>
      </c>
      <c r="AQ154" s="520" t="str">
        <f>IF(AND(_B="B-717",'2024'!$G$4="CA",'2024'!$G$2=AQ119),'2024DATA'!$N$37,"")</f>
        <v/>
      </c>
      <c r="AR154" s="940" t="s">
        <v>53</v>
      </c>
      <c r="AS154" s="13" t="s">
        <v>61</v>
      </c>
      <c r="AT154" s="518" t="str">
        <f>IF(AND(_C="B-717",'2024'!$G$4="CA",'2024'!$G$2=AT119),'2024DATA'!$C$37,"")</f>
        <v/>
      </c>
      <c r="AU154" s="518" t="str">
        <f>IF(AND(_C="B-717",'2024'!$G$4="CA",'2024'!$G$2=AU119),'2024DATA'!$D$37,"")</f>
        <v/>
      </c>
      <c r="AV154" s="518" t="str">
        <f>IF(AND(_C="B-717",'2024'!$G$4="CA",'2024'!$G$2=AV119),'2024DATA'!$E$37,"")</f>
        <v/>
      </c>
      <c r="AW154" s="518" t="str">
        <f>IF(AND(_C="B-717",'2024'!$G$4="CA",'2024'!$G$2=AW119),'2024DATA'!$F$37,"")</f>
        <v/>
      </c>
      <c r="AX154" s="518" t="str">
        <f>IF(AND(_C="B-717",'2024'!$G$4="CA",'2024'!$G$2=AX119),'2024DATA'!$G$37,"")</f>
        <v/>
      </c>
      <c r="AY154" s="518" t="str">
        <f>IF(AND(_C="B-717",'2024'!$G$4="CA",'2024'!$G$2=AY119),'2024DATA'!$H$37,"")</f>
        <v/>
      </c>
      <c r="AZ154" s="518" t="str">
        <f>IF(AND(_C="B-717",'2024'!$G$4="CA",'2024'!$G$2=AZ119),'2024DATA'!$I$37,"")</f>
        <v/>
      </c>
      <c r="BA154" s="518" t="str">
        <f>IF(AND(_C="B-717",'2024'!$G$4="CA",'2024'!$G$2=BA119),'2024DATA'!$J$37,"")</f>
        <v/>
      </c>
      <c r="BB154" s="518" t="str">
        <f>IF(AND(_C="B-717",'2024'!$G$4="CA",'2024'!$G$2=BB119),'2024DATA'!$K$37,"")</f>
        <v/>
      </c>
      <c r="BC154" s="518" t="str">
        <f>IF(AND(_C="B-717",'2024'!$G$4="CA",'2024'!$G$2=BC119),'2024DATA'!$L$37,"")</f>
        <v/>
      </c>
      <c r="BD154" s="518" t="str">
        <f>IF(AND(_C="B-717",'2024'!$G$4="CA",'2024'!$G$2=BD119),'2024DATA'!$M$37,"")</f>
        <v/>
      </c>
      <c r="BE154" s="520" t="str">
        <f>IF(AND(_C="B-717",'2024'!$G$4="CA",'2024'!$G$2=BE119),'2024DATA'!$N$37,"")</f>
        <v/>
      </c>
      <c r="BF154" s="940" t="s">
        <v>53</v>
      </c>
      <c r="BG154" s="13" t="s">
        <v>61</v>
      </c>
      <c r="BH154" s="518" t="str">
        <f>IF(AND(_D="B-717",'2024'!$G$4="CA",'2024'!$G$2=BH119),'2024DATA'!$C$37,"")</f>
        <v/>
      </c>
      <c r="BI154" s="518" t="str">
        <f>IF(AND(_D="B-717",'2024'!$G$4="CA",'2024'!$G$2=BI119),'2024DATA'!$D$37,"")</f>
        <v/>
      </c>
      <c r="BJ154" s="518" t="str">
        <f>IF(AND(_D="B-717",'2024'!$G$4="CA",'2024'!$G$2=BJ119),'2024DATA'!$E$37,"")</f>
        <v/>
      </c>
      <c r="BK154" s="518" t="str">
        <f>IF(AND(_D="B-717",'2024'!$G$4="CA",'2024'!$G$2=BK119),'2024DATA'!$F$37,"")</f>
        <v/>
      </c>
      <c r="BL154" s="518" t="str">
        <f>IF(AND(_D="B-717",'2024'!$G$4="CA",'2024'!$G$2=BL119),'2024DATA'!$G$37,"")</f>
        <v/>
      </c>
      <c r="BM154" s="518" t="str">
        <f>IF(AND(_D="B-717",'2024'!$G$4="CA",'2024'!$G$2=BM119),'2024DATA'!$H$37,"")</f>
        <v/>
      </c>
      <c r="BN154" s="518" t="str">
        <f>IF(AND(_D="B-717",'2024'!$G$4="CA",'2024'!$G$2=BN119),'2024DATA'!$I$37,"")</f>
        <v/>
      </c>
      <c r="BO154" s="518" t="str">
        <f>IF(AND(_D="B-717",'2024'!$G$4="CA",'2024'!$G$2=BO119),'2024DATA'!$J$37,"")</f>
        <v/>
      </c>
      <c r="BP154" s="518" t="str">
        <f>IF(AND(_D="B-717",'2024'!$G$4="CA",'2024'!$G$2=BP119),'2024DATA'!$K$37,"")</f>
        <v/>
      </c>
      <c r="BQ154" s="518" t="str">
        <f>IF(AND(_D="B-717",'2024'!$G$4="CA",'2024'!$G$2=BQ119),'2024DATA'!$L$37,"")</f>
        <v/>
      </c>
      <c r="BR154" s="518" t="str">
        <f>IF(AND(_D="B-717",'2024'!$G$4="CA",'2024'!$G$2=BR119),'2024DATA'!$M$37,"")</f>
        <v/>
      </c>
      <c r="BS154" s="520" t="str">
        <f>IF(AND(_D="B-717",'2024'!$G$4="CA",'2024'!$G$2=BS119),'2024DATA'!$N$37,"")</f>
        <v/>
      </c>
      <c r="BT154" s="940" t="s">
        <v>53</v>
      </c>
      <c r="BU154" s="13" t="s">
        <v>61</v>
      </c>
      <c r="BV154" s="518" t="str">
        <f>IF(AND(_E="B-717",'2024'!$G$4="CA",'2024'!$G$2=BV119),'2024DATA'!$C$37,"")</f>
        <v/>
      </c>
      <c r="BW154" s="518" t="str">
        <f>IF(AND(_E="B-717",'2024'!$G$4="CA",'2024'!$G$2=BW119),'2024DATA'!$D$37,"")</f>
        <v/>
      </c>
      <c r="BX154" s="518" t="str">
        <f>IF(AND(_E="B-717",'2024'!$G$4="CA",'2024'!$G$2=BX119),'2024DATA'!$E$37,"")</f>
        <v/>
      </c>
      <c r="BY154" s="518" t="str">
        <f>IF(AND(_E="B-717",'2024'!$G$4="CA",'2024'!$G$2=BY119),'2024DATA'!$F$37,"")</f>
        <v/>
      </c>
      <c r="BZ154" s="518" t="str">
        <f>IF(AND(_E="B-717",'2024'!$G$4="CA",'2024'!$G$2=BZ119),'2024DATA'!$G$37,"")</f>
        <v/>
      </c>
      <c r="CA154" s="518" t="str">
        <f>IF(AND(_E="B-717",'2024'!$G$4="CA",'2024'!$G$2=CA119),'2024DATA'!$H$37,"")</f>
        <v/>
      </c>
      <c r="CB154" s="518" t="str">
        <f>IF(AND(_E="B-717",'2024'!$G$4="CA",'2024'!$G$2=CB119),'2024DATA'!$I$37,"")</f>
        <v/>
      </c>
      <c r="CC154" s="518" t="str">
        <f>IF(AND(_E="B-717",'2024'!$G$4="CA",'2024'!$G$2=CC119),'2024DATA'!$J$37,"")</f>
        <v/>
      </c>
      <c r="CD154" s="518" t="str">
        <f>IF(AND(_E="B-717",'2024'!$G$4="CA",'2024'!$G$2=CD119),'2024DATA'!$K$37,"")</f>
        <v/>
      </c>
      <c r="CE154" s="518" t="str">
        <f>IF(AND(_E="B-717",'2024'!$G$4="CA",'2024'!$G$2=CE119),'2024DATA'!$L$37,"")</f>
        <v/>
      </c>
      <c r="CF154" s="518" t="str">
        <f>IF(AND(_E="B-717",'2024'!$G$4="CA",'2024'!$G$2=CF119),'2024DATA'!$M$37,"")</f>
        <v/>
      </c>
      <c r="CG154" s="520" t="str">
        <f>IF(AND(_E="B-717",'2024'!$G$4="CA",'2024'!$G$2=CG119),'2024DATA'!$N$37,"")</f>
        <v/>
      </c>
      <c r="CH154" s="940" t="s">
        <v>53</v>
      </c>
      <c r="CI154" s="13" t="s">
        <v>61</v>
      </c>
      <c r="CJ154" s="518" t="str">
        <f>IF(AND(_F="B-717",'2024'!$G$4="CA",'2024'!$G$2=CJ119),'2024DATA'!$C$37,"")</f>
        <v/>
      </c>
      <c r="CK154" s="518" t="str">
        <f>IF(AND(_F="B-717",'2024'!$G$4="CA",'2024'!$G$2=CK119),'2024DATA'!$D$37,"")</f>
        <v/>
      </c>
      <c r="CL154" s="518" t="str">
        <f>IF(AND(_F="B-717",'2024'!$G$4="CA",'2024'!$G$2=CL119),'2024DATA'!$E$37,"")</f>
        <v/>
      </c>
      <c r="CM154" s="518" t="str">
        <f>IF(AND(_F="B-717",'2024'!$G$4="CA",'2024'!$G$2=CM119),'2024DATA'!$F$37,"")</f>
        <v/>
      </c>
      <c r="CN154" s="518" t="str">
        <f>IF(AND(_F="B-717",'2024'!$G$4="CA",'2024'!$G$2=CN119),'2024DATA'!$G$37,"")</f>
        <v/>
      </c>
      <c r="CO154" s="518" t="str">
        <f>IF(AND(_F="B-717",'2024'!$G$4="CA",'2024'!$G$2=CO119),'2024DATA'!$H$37,"")</f>
        <v/>
      </c>
      <c r="CP154" s="518" t="str">
        <f>IF(AND(_F="B-717",'2024'!$G$4="CA",'2024'!$G$2=CP119),'2024DATA'!$I$37,"")</f>
        <v/>
      </c>
      <c r="CQ154" s="518" t="str">
        <f>IF(AND(_F="B-717",'2024'!$G$4="CA",'2024'!$G$2=CQ119),'2024DATA'!$J$37,"")</f>
        <v/>
      </c>
      <c r="CR154" s="518" t="str">
        <f>IF(AND(_F="B-717",'2024'!$G$4="CA",'2024'!$G$2=CR119),'2024DATA'!$K$37,"")</f>
        <v/>
      </c>
      <c r="CS154" s="518" t="str">
        <f>IF(AND(_F="B-717",'2024'!$G$4="CA",'2024'!$G$2=CS119),'2024DATA'!$L$37,"")</f>
        <v/>
      </c>
      <c r="CT154" s="518" t="str">
        <f>IF(AND(_F="B-717",'2024'!$G$4="CA",'2024'!$G$2=CT119),'2024DATA'!$M$37,"")</f>
        <v/>
      </c>
      <c r="CU154" s="520" t="str">
        <f>IF(AND(_F="B-717",'2024'!$G$4="CA",'2024'!$G$2=CU119),'2024DATA'!$N$37,"")</f>
        <v/>
      </c>
    </row>
    <row r="155" spans="16:99" ht="15.75" thickBot="1" x14ac:dyDescent="0.3">
      <c r="P155" s="941"/>
      <c r="Q155" s="521" t="s">
        <v>62</v>
      </c>
      <c r="R155" s="522" t="str">
        <f>IF(AND(_A="B-717",'2024'!$G$4="FO",'2024'!$G$2=R119),'2024DATA'!$C$38,"")</f>
        <v/>
      </c>
      <c r="S155" s="522" t="str">
        <f>IF(AND(_A="B-717",'2024'!$G$4="FO",'2024'!$G$2=S119),'2024DATA'!$D$38,"")</f>
        <v/>
      </c>
      <c r="T155" s="522" t="str">
        <f>IF(AND(_A="B-717",'2024'!$G$4="FO",'2024'!$G$2=T119),'2024DATA'!$E$38,"")</f>
        <v/>
      </c>
      <c r="U155" s="522" t="str">
        <f>IF(AND(_A="B-717",'2024'!$G$4="FO",'2024'!$G$2=U119),'2024DATA'!$F$38,"")</f>
        <v/>
      </c>
      <c r="V155" s="522" t="str">
        <f>IF(AND(_A="B-717",'2024'!$G$4="FO",'2024'!$G$2=V119),'2024DATA'!$G$38,"")</f>
        <v/>
      </c>
      <c r="W155" s="522" t="str">
        <f>IF(AND(_A="B-717",'2024'!$G$4="FO",'2024'!$G$2=W119),'2024DATA'!$H$38,"")</f>
        <v/>
      </c>
      <c r="X155" s="522" t="str">
        <f>IF(AND(_A="B-717",'2024'!$G$4="FO",'2024'!$G$2=X119),'2024DATA'!$I$38,"")</f>
        <v/>
      </c>
      <c r="Y155" s="522" t="str">
        <f>IF(AND(_A="B-717",'2024'!$G$4="FO",'2024'!$G$2=Y119),'2024DATA'!$J$38,"")</f>
        <v/>
      </c>
      <c r="Z155" s="522" t="str">
        <f>IF(AND(_A="B-717",'2024'!$G$4="FO",'2024'!$G$2=Z119),'2024DATA'!$K$38,"")</f>
        <v/>
      </c>
      <c r="AA155" s="522" t="str">
        <f>IF(AND(_A="B-717",'2024'!$G$4="FO",'2024'!$G$2=AA119),'2024DATA'!$L$38,"")</f>
        <v/>
      </c>
      <c r="AB155" s="522" t="str">
        <f>IF(AND(_A="B-717",'2024'!$G$4="FO",'2024'!$G$2=AB119),'2024DATA'!$M$38,"")</f>
        <v/>
      </c>
      <c r="AC155" s="523" t="str">
        <f>IF(AND(_A="B-717",'2024'!$G$4="FO",'2024'!$G$2=AC119),'2024DATA'!$N$38,"")</f>
        <v/>
      </c>
      <c r="AD155" s="942"/>
      <c r="AE155" s="2" t="s">
        <v>62</v>
      </c>
      <c r="AF155" s="518" t="str">
        <f>IF(AND(_B="B-717",'2024'!$G$4="FO",'2024'!$G$2=AF119),'2024DATA'!$C$38,"")</f>
        <v/>
      </c>
      <c r="AG155" s="518" t="str">
        <f>IF(AND(_B="B-717",'2024'!$G$4="FO",'2024'!$G$2=AG119),'2024DATA'!$D$38,"")</f>
        <v/>
      </c>
      <c r="AH155" s="518" t="str">
        <f>IF(AND(_B="B-717",'2024'!$G$4="FO",'2024'!$G$2=AH119),'2024DATA'!$E$38,"")</f>
        <v/>
      </c>
      <c r="AI155" s="518" t="str">
        <f>IF(AND(_B="B-717",'2024'!$G$4="FO",'2024'!$G$2=AI119),'2024DATA'!$F$38,"")</f>
        <v/>
      </c>
      <c r="AJ155" s="518" t="str">
        <f>IF(AND(_B="B-717",'2024'!$G$4="FO",'2024'!$G$2=AJ119),'2024DATA'!$G$38,"")</f>
        <v/>
      </c>
      <c r="AK155" s="518" t="str">
        <f>IF(AND(_B="B-717",'2024'!$G$4="FO",'2024'!$G$2=AK119),'2024DATA'!$H$38,"")</f>
        <v/>
      </c>
      <c r="AL155" s="518" t="str">
        <f>IF(AND(_B="B-717",'2024'!$G$4="FO",'2024'!$G$2=AL119),'2024DATA'!$I$38,"")</f>
        <v/>
      </c>
      <c r="AM155" s="518" t="str">
        <f>IF(AND(_B="B-717",'2024'!$G$4="FO",'2024'!$G$2=AM119),'2024DATA'!$J$38,"")</f>
        <v/>
      </c>
      <c r="AN155" s="518" t="str">
        <f>IF(AND(_B="B-717",'2024'!$G$4="FO",'2024'!$G$2=AN119),'2024DATA'!$K$38,"")</f>
        <v/>
      </c>
      <c r="AO155" s="518" t="str">
        <f>IF(AND(_B="B-717",'2024'!$G$4="FO",'2024'!$G$2=AO119),'2024DATA'!$L$38,"")</f>
        <v/>
      </c>
      <c r="AP155" s="518" t="str">
        <f>IF(AND(_B="B-717",'2024'!$G$4="FO",'2024'!$G$2=AP119),'2024DATA'!$M$38,"")</f>
        <v/>
      </c>
      <c r="AQ155" s="520" t="str">
        <f>IF(AND(_B="B-717",'2024'!$G$4="FO",'2024'!$G$2=AQ119),'2024DATA'!$N$38,"")</f>
        <v/>
      </c>
      <c r="AR155" s="942"/>
      <c r="AS155" s="2" t="s">
        <v>62</v>
      </c>
      <c r="AT155" s="518" t="str">
        <f>IF(AND(_C="B-717",'2024'!$G$4="FO",'2024'!$G$2=AT119),'2024DATA'!$C$38,"")</f>
        <v/>
      </c>
      <c r="AU155" s="518" t="str">
        <f>IF(AND(_C="B-717",'2024'!$G$4="FO",'2024'!$G$2=AU119),'2024DATA'!$D$38,"")</f>
        <v/>
      </c>
      <c r="AV155" s="518" t="str">
        <f>IF(AND(_C="B-717",'2024'!$G$4="FO",'2024'!$G$2=AV119),'2024DATA'!$E$38,"")</f>
        <v/>
      </c>
      <c r="AW155" s="518" t="str">
        <f>IF(AND(_C="B-717",'2024'!$G$4="FO",'2024'!$G$2=AW119),'2024DATA'!$F$38,"")</f>
        <v/>
      </c>
      <c r="AX155" s="518" t="str">
        <f>IF(AND(_C="B-717",'2024'!$G$4="FO",'2024'!$G$2=AX119),'2024DATA'!$G$38,"")</f>
        <v/>
      </c>
      <c r="AY155" s="518" t="str">
        <f>IF(AND(_C="B-717",'2024'!$G$4="FO",'2024'!$G$2=AY119),'2024DATA'!$H$38,"")</f>
        <v/>
      </c>
      <c r="AZ155" s="518" t="str">
        <f>IF(AND(_C="B-717",'2024'!$G$4="FO",'2024'!$G$2=AZ119),'2024DATA'!$I$38,"")</f>
        <v/>
      </c>
      <c r="BA155" s="518" t="str">
        <f>IF(AND(_C="B-717",'2024'!$G$4="FO",'2024'!$G$2=BA119),'2024DATA'!$J$38,"")</f>
        <v/>
      </c>
      <c r="BB155" s="518" t="str">
        <f>IF(AND(_C="B-717",'2024'!$G$4="FO",'2024'!$G$2=BB119),'2024DATA'!$K$38,"")</f>
        <v/>
      </c>
      <c r="BC155" s="518" t="str">
        <f>IF(AND(_C="B-717",'2024'!$G$4="FO",'2024'!$G$2=BC119),'2024DATA'!$L$38,"")</f>
        <v/>
      </c>
      <c r="BD155" s="518" t="str">
        <f>IF(AND(_C="B-717",'2024'!$G$4="FO",'2024'!$G$2=BD119),'2024DATA'!$M$38,"")</f>
        <v/>
      </c>
      <c r="BE155" s="520" t="str">
        <f>IF(AND(_C="B-717",'2024'!$G$4="FO",'2024'!$G$2=BE119),'2024DATA'!$N$38,"")</f>
        <v/>
      </c>
      <c r="BF155" s="942"/>
      <c r="BG155" s="2" t="s">
        <v>62</v>
      </c>
      <c r="BH155" s="518" t="str">
        <f>IF(AND(_D="B-717",'2024'!$G$4="FO",'2024'!$G$2=BH119),'2024DATA'!$C$38,"")</f>
        <v/>
      </c>
      <c r="BI155" s="518" t="str">
        <f>IF(AND(_D="B-717",'2024'!$G$4="FO",'2024'!$G$2=BI119),'2024DATA'!$D$38,"")</f>
        <v/>
      </c>
      <c r="BJ155" s="518" t="str">
        <f>IF(AND(_D="B-717",'2024'!$G$4="FO",'2024'!$G$2=BJ119),'2024DATA'!$E$38,"")</f>
        <v/>
      </c>
      <c r="BK155" s="518" t="str">
        <f>IF(AND(_D="B-717",'2024'!$G$4="FO",'2024'!$G$2=BK119),'2024DATA'!$F$38,"")</f>
        <v/>
      </c>
      <c r="BL155" s="518" t="str">
        <f>IF(AND(_D="B-717",'2024'!$G$4="FO",'2024'!$G$2=BL119),'2024DATA'!$G$38,"")</f>
        <v/>
      </c>
      <c r="BM155" s="518" t="str">
        <f>IF(AND(_D="B-717",'2024'!$G$4="FO",'2024'!$G$2=BM119),'2024DATA'!$H$38,"")</f>
        <v/>
      </c>
      <c r="BN155" s="518" t="str">
        <f>IF(AND(_D="B-717",'2024'!$G$4="FO",'2024'!$G$2=BN119),'2024DATA'!$I$38,"")</f>
        <v/>
      </c>
      <c r="BO155" s="518" t="str">
        <f>IF(AND(_D="B-717",'2024'!$G$4="FO",'2024'!$G$2=BO119),'2024DATA'!$J$38,"")</f>
        <v/>
      </c>
      <c r="BP155" s="518" t="str">
        <f>IF(AND(_D="B-717",'2024'!$G$4="FO",'2024'!$G$2=BP119),'2024DATA'!$K$38,"")</f>
        <v/>
      </c>
      <c r="BQ155" s="518" t="str">
        <f>IF(AND(_D="B-717",'2024'!$G$4="FO",'2024'!$G$2=BQ119),'2024DATA'!$L$38,"")</f>
        <v/>
      </c>
      <c r="BR155" s="518" t="str">
        <f>IF(AND(_D="B-717",'2024'!$G$4="FO",'2024'!$G$2=BR119),'2024DATA'!$M$38,"")</f>
        <v/>
      </c>
      <c r="BS155" s="520" t="str">
        <f>IF(AND(_D="B-717",'2024'!$G$4="FO",'2024'!$G$2=BS119),'2024DATA'!$N$38,"")</f>
        <v/>
      </c>
      <c r="BT155" s="942"/>
      <c r="BU155" s="2" t="s">
        <v>62</v>
      </c>
      <c r="BV155" s="518" t="str">
        <f>IF(AND(_E="B-717",'2024'!$G$4="FO",'2024'!$G$2=BV119),'2024DATA'!$C$38,"")</f>
        <v/>
      </c>
      <c r="BW155" s="518" t="str">
        <f>IF(AND(_E="B-717",'2024'!$G$4="FO",'2024'!$G$2=BW119),'2024DATA'!$D$38,"")</f>
        <v/>
      </c>
      <c r="BX155" s="518" t="str">
        <f>IF(AND(_E="B-717",'2024'!$G$4="FO",'2024'!$G$2=BX119),'2024DATA'!$E$38,"")</f>
        <v/>
      </c>
      <c r="BY155" s="518" t="str">
        <f>IF(AND(_E="B-717",'2024'!$G$4="FO",'2024'!$G$2=BY119),'2024DATA'!$F$38,"")</f>
        <v/>
      </c>
      <c r="BZ155" s="518" t="str">
        <f>IF(AND(_E="B-717",'2024'!$G$4="FO",'2024'!$G$2=BZ119),'2024DATA'!$G$38,"")</f>
        <v/>
      </c>
      <c r="CA155" s="518" t="str">
        <f>IF(AND(_E="B-717",'2024'!$G$4="FO",'2024'!$G$2=CA119),'2024DATA'!$H$38,"")</f>
        <v/>
      </c>
      <c r="CB155" s="518" t="str">
        <f>IF(AND(_E="B-717",'2024'!$G$4="FO",'2024'!$G$2=CB119),'2024DATA'!$I$38,"")</f>
        <v/>
      </c>
      <c r="CC155" s="518" t="str">
        <f>IF(AND(_E="B-717",'2024'!$G$4="FO",'2024'!$G$2=CC119),'2024DATA'!$J$38,"")</f>
        <v/>
      </c>
      <c r="CD155" s="518" t="str">
        <f>IF(AND(_E="B-717",'2024'!$G$4="FO",'2024'!$G$2=CD119),'2024DATA'!$K$38,"")</f>
        <v/>
      </c>
      <c r="CE155" s="518" t="str">
        <f>IF(AND(_E="B-717",'2024'!$G$4="FO",'2024'!$G$2=CE119),'2024DATA'!$L$38,"")</f>
        <v/>
      </c>
      <c r="CF155" s="518" t="str">
        <f>IF(AND(_E="B-717",'2024'!$G$4="FO",'2024'!$G$2=CF119),'2024DATA'!$M$38,"")</f>
        <v/>
      </c>
      <c r="CG155" s="520" t="str">
        <f>IF(AND(_E="B-717",'2024'!$G$4="FO",'2024'!$G$2=CG119),'2024DATA'!$N$38,"")</f>
        <v/>
      </c>
      <c r="CH155" s="942"/>
      <c r="CI155" s="2" t="s">
        <v>62</v>
      </c>
      <c r="CJ155" s="518" t="str">
        <f>IF(AND(_F="B-717",'2024'!$G$4="FO",'2024'!$G$2=CJ119),'2024DATA'!$C$38,"")</f>
        <v/>
      </c>
      <c r="CK155" s="518" t="str">
        <f>IF(AND(_F="B-717",'2024'!$G$4="FO",'2024'!$G$2=CK119),'2024DATA'!$D$38,"")</f>
        <v/>
      </c>
      <c r="CL155" s="518" t="str">
        <f>IF(AND(_F="B-717",'2024'!$G$4="FO",'2024'!$G$2=CL119),'2024DATA'!$E$38,"")</f>
        <v/>
      </c>
      <c r="CM155" s="518" t="str">
        <f>IF(AND(_F="B-717",'2024'!$G$4="FO",'2024'!$G$2=CM119),'2024DATA'!$F$38,"")</f>
        <v/>
      </c>
      <c r="CN155" s="518" t="str">
        <f>IF(AND(_F="B-717",'2024'!$G$4="FO",'2024'!$G$2=CN119),'2024DATA'!$G$38,"")</f>
        <v/>
      </c>
      <c r="CO155" s="518" t="str">
        <f>IF(AND(_F="B-717",'2024'!$G$4="FO",'2024'!$G$2=CO119),'2024DATA'!$H$38,"")</f>
        <v/>
      </c>
      <c r="CP155" s="518" t="str">
        <f>IF(AND(_F="B-717",'2024'!$G$4="FO",'2024'!$G$2=CP119),'2024DATA'!$I$38,"")</f>
        <v/>
      </c>
      <c r="CQ155" s="518" t="str">
        <f>IF(AND(_F="B-717",'2024'!$G$4="FO",'2024'!$G$2=CQ119),'2024DATA'!$J$38,"")</f>
        <v/>
      </c>
      <c r="CR155" s="518" t="str">
        <f>IF(AND(_F="B-717",'2024'!$G$4="FO",'2024'!$G$2=CR119),'2024DATA'!$K$38,"")</f>
        <v/>
      </c>
      <c r="CS155" s="518" t="str">
        <f>IF(AND(_F="B-717",'2024'!$G$4="FO",'2024'!$G$2=CS119),'2024DATA'!$L$38,"")</f>
        <v/>
      </c>
      <c r="CT155" s="518" t="str">
        <f>IF(AND(_F="B-717",'2024'!$G$4="FO",'2024'!$G$2=CT119),'2024DATA'!$M$38,"")</f>
        <v/>
      </c>
      <c r="CU155" s="520" t="str">
        <f>IF(AND(_F="B-717",'2024'!$G$4="FO",'2024'!$G$2=CU119),'2024DATA'!$N$38,"")</f>
        <v/>
      </c>
    </row>
    <row r="156" spans="16:99" x14ac:dyDescent="0.25">
      <c r="P156" s="943" t="s">
        <v>103</v>
      </c>
      <c r="Q156" s="944"/>
      <c r="R156" s="944"/>
      <c r="S156" s="944"/>
      <c r="T156" s="944"/>
      <c r="U156" s="944"/>
      <c r="V156" s="944"/>
      <c r="W156" s="944"/>
      <c r="X156" s="944"/>
      <c r="Y156" s="944"/>
      <c r="Z156" s="944"/>
      <c r="AA156" s="944"/>
      <c r="AB156" s="944"/>
      <c r="AC156" s="945"/>
      <c r="AD156" s="943" t="s">
        <v>104</v>
      </c>
      <c r="AE156" s="944"/>
      <c r="AF156" s="944"/>
      <c r="AG156" s="944"/>
      <c r="AH156" s="944"/>
      <c r="AI156" s="944"/>
      <c r="AJ156" s="944"/>
      <c r="AK156" s="944"/>
      <c r="AL156" s="944"/>
      <c r="AM156" s="944"/>
      <c r="AN156" s="944"/>
      <c r="AO156" s="944"/>
      <c r="AP156" s="944"/>
      <c r="AQ156" s="945"/>
      <c r="AR156" s="943" t="s">
        <v>105</v>
      </c>
      <c r="AS156" s="944"/>
      <c r="AT156" s="944"/>
      <c r="AU156" s="944"/>
      <c r="AV156" s="944"/>
      <c r="AW156" s="944"/>
      <c r="AX156" s="944"/>
      <c r="AY156" s="944"/>
      <c r="AZ156" s="944"/>
      <c r="BA156" s="944"/>
      <c r="BB156" s="944"/>
      <c r="BC156" s="944"/>
      <c r="BD156" s="944"/>
      <c r="BE156" s="945"/>
      <c r="BF156" s="943" t="s">
        <v>106</v>
      </c>
      <c r="BG156" s="944"/>
      <c r="BH156" s="944"/>
      <c r="BI156" s="944"/>
      <c r="BJ156" s="944"/>
      <c r="BK156" s="944"/>
      <c r="BL156" s="944"/>
      <c r="BM156" s="944"/>
      <c r="BN156" s="944"/>
      <c r="BO156" s="944"/>
      <c r="BP156" s="944"/>
      <c r="BQ156" s="944"/>
      <c r="BR156" s="944"/>
      <c r="BS156" s="945"/>
      <c r="BT156" s="943" t="s">
        <v>107</v>
      </c>
      <c r="BU156" s="944"/>
      <c r="BV156" s="944"/>
      <c r="BW156" s="944"/>
      <c r="BX156" s="944"/>
      <c r="BY156" s="944"/>
      <c r="BZ156" s="944"/>
      <c r="CA156" s="944"/>
      <c r="CB156" s="944"/>
      <c r="CC156" s="944"/>
      <c r="CD156" s="944"/>
      <c r="CE156" s="944"/>
      <c r="CF156" s="944"/>
      <c r="CG156" s="945"/>
      <c r="CH156" s="943" t="s">
        <v>108</v>
      </c>
      <c r="CI156" s="944"/>
      <c r="CJ156" s="944"/>
      <c r="CK156" s="944"/>
      <c r="CL156" s="944"/>
      <c r="CM156" s="944"/>
      <c r="CN156" s="944"/>
      <c r="CO156" s="944"/>
      <c r="CP156" s="944"/>
      <c r="CQ156" s="944"/>
      <c r="CR156" s="944"/>
      <c r="CS156" s="944"/>
      <c r="CT156" s="944"/>
      <c r="CU156" s="945"/>
    </row>
    <row r="157" spans="16:99" x14ac:dyDescent="0.25">
      <c r="P157" s="597">
        <v>5</v>
      </c>
      <c r="Q157" s="563">
        <f>SUM(R158:AC193)</f>
        <v>0</v>
      </c>
      <c r="R157" s="3">
        <v>12</v>
      </c>
      <c r="S157" s="3">
        <v>11</v>
      </c>
      <c r="T157" s="3">
        <v>10</v>
      </c>
      <c r="U157" s="3">
        <v>9</v>
      </c>
      <c r="V157" s="3">
        <v>8</v>
      </c>
      <c r="W157" s="3">
        <v>7</v>
      </c>
      <c r="X157" s="3">
        <v>6</v>
      </c>
      <c r="Y157" s="3">
        <v>5</v>
      </c>
      <c r="Z157" s="3">
        <v>4</v>
      </c>
      <c r="AA157" s="3">
        <v>3</v>
      </c>
      <c r="AB157" s="3">
        <v>2</v>
      </c>
      <c r="AC157" s="519">
        <v>1</v>
      </c>
      <c r="AD157" s="563">
        <v>5</v>
      </c>
      <c r="AE157" s="563">
        <f>SUM(AF158:AQ193)</f>
        <v>0</v>
      </c>
      <c r="AF157" s="3">
        <v>12</v>
      </c>
      <c r="AG157" s="3">
        <v>11</v>
      </c>
      <c r="AH157" s="3">
        <v>10</v>
      </c>
      <c r="AI157" s="3">
        <v>9</v>
      </c>
      <c r="AJ157" s="3">
        <v>8</v>
      </c>
      <c r="AK157" s="3">
        <v>7</v>
      </c>
      <c r="AL157" s="3">
        <v>6</v>
      </c>
      <c r="AM157" s="3">
        <v>5</v>
      </c>
      <c r="AN157" s="3">
        <v>4</v>
      </c>
      <c r="AO157" s="3">
        <v>3</v>
      </c>
      <c r="AP157" s="3">
        <v>2</v>
      </c>
      <c r="AQ157" s="519">
        <v>1</v>
      </c>
      <c r="AR157" s="563">
        <v>5</v>
      </c>
      <c r="AS157" s="563">
        <f>SUM(AT158:BE193)</f>
        <v>0</v>
      </c>
      <c r="AT157" s="3">
        <v>12</v>
      </c>
      <c r="AU157" s="3">
        <v>11</v>
      </c>
      <c r="AV157" s="3">
        <v>10</v>
      </c>
      <c r="AW157" s="3">
        <v>9</v>
      </c>
      <c r="AX157" s="3">
        <v>8</v>
      </c>
      <c r="AY157" s="3">
        <v>7</v>
      </c>
      <c r="AZ157" s="3">
        <v>6</v>
      </c>
      <c r="BA157" s="3">
        <v>5</v>
      </c>
      <c r="BB157" s="3">
        <v>4</v>
      </c>
      <c r="BC157" s="3">
        <v>3</v>
      </c>
      <c r="BD157" s="3">
        <v>2</v>
      </c>
      <c r="BE157" s="519">
        <v>1</v>
      </c>
      <c r="BF157" s="563">
        <v>5</v>
      </c>
      <c r="BG157" s="563">
        <f>SUM(BH158:BS193)</f>
        <v>0</v>
      </c>
      <c r="BH157" s="3">
        <v>12</v>
      </c>
      <c r="BI157" s="3">
        <v>11</v>
      </c>
      <c r="BJ157" s="3">
        <v>10</v>
      </c>
      <c r="BK157" s="3">
        <v>9</v>
      </c>
      <c r="BL157" s="3">
        <v>8</v>
      </c>
      <c r="BM157" s="3">
        <v>7</v>
      </c>
      <c r="BN157" s="3">
        <v>6</v>
      </c>
      <c r="BO157" s="3">
        <v>5</v>
      </c>
      <c r="BP157" s="3">
        <v>4</v>
      </c>
      <c r="BQ157" s="3">
        <v>3</v>
      </c>
      <c r="BR157" s="3">
        <v>2</v>
      </c>
      <c r="BS157" s="519">
        <v>1</v>
      </c>
      <c r="BT157" s="563">
        <v>5</v>
      </c>
      <c r="BU157" s="563">
        <f>SUM(BV158:CG193)</f>
        <v>0</v>
      </c>
      <c r="BV157" s="3">
        <v>12</v>
      </c>
      <c r="BW157" s="3">
        <v>11</v>
      </c>
      <c r="BX157" s="3">
        <v>10</v>
      </c>
      <c r="BY157" s="3">
        <v>9</v>
      </c>
      <c r="BZ157" s="3">
        <v>8</v>
      </c>
      <c r="CA157" s="3">
        <v>7</v>
      </c>
      <c r="CB157" s="3">
        <v>6</v>
      </c>
      <c r="CC157" s="3">
        <v>5</v>
      </c>
      <c r="CD157" s="3">
        <v>4</v>
      </c>
      <c r="CE157" s="3">
        <v>3</v>
      </c>
      <c r="CF157" s="3">
        <v>2</v>
      </c>
      <c r="CG157" s="519">
        <v>1</v>
      </c>
      <c r="CH157" s="563">
        <v>5</v>
      </c>
      <c r="CI157" s="563">
        <f>SUM(CJ158:CU193)</f>
        <v>0</v>
      </c>
      <c r="CJ157" s="3">
        <v>12</v>
      </c>
      <c r="CK157" s="3">
        <v>11</v>
      </c>
      <c r="CL157" s="3">
        <v>10</v>
      </c>
      <c r="CM157" s="3">
        <v>9</v>
      </c>
      <c r="CN157" s="3">
        <v>8</v>
      </c>
      <c r="CO157" s="3">
        <v>7</v>
      </c>
      <c r="CP157" s="3">
        <v>6</v>
      </c>
      <c r="CQ157" s="3">
        <v>5</v>
      </c>
      <c r="CR157" s="3">
        <v>4</v>
      </c>
      <c r="CS157" s="3">
        <v>3</v>
      </c>
      <c r="CT157" s="3">
        <v>2</v>
      </c>
      <c r="CU157" s="519">
        <v>1</v>
      </c>
    </row>
    <row r="158" spans="16:99" x14ac:dyDescent="0.25">
      <c r="P158" s="940" t="s">
        <v>39</v>
      </c>
      <c r="Q158" s="13" t="s">
        <v>61</v>
      </c>
      <c r="R158" s="518" t="str">
        <f>IF(AND(_A="A-350",'2024'!$H$4="CA",'2024'!$H$2=R157),'2024DATA'!$C$3,"")</f>
        <v/>
      </c>
      <c r="S158" s="518" t="str">
        <f>IF(AND(_A="A-350",'2024'!$H$4="CA",'2024'!$H$2=S157),'2024DATA'!$D$3,"")</f>
        <v/>
      </c>
      <c r="T158" s="518" t="str">
        <f>IF(AND(_A="A-350",'2024'!$H$4="CA",'2024'!$H$2=T157),'2024DATA'!$E$3,"")</f>
        <v/>
      </c>
      <c r="U158" s="518" t="str">
        <f>IF(AND(_A="A-350",'2024'!$H$4="CA",'2024'!$H$2=U157),'2024DATA'!$F$3,"")</f>
        <v/>
      </c>
      <c r="V158" s="518" t="str">
        <f>IF(AND(_A="A-350",'2024'!$H$4="CA",'2024'!$H$2=V157),'2024DATA'!$G$3,"")</f>
        <v/>
      </c>
      <c r="W158" s="518" t="str">
        <f>IF(AND(_A="A-350",'2024'!$H$4="CA",'2024'!$H$2=W157),'2024DATA'!$H$3,"")</f>
        <v/>
      </c>
      <c r="X158" s="518" t="str">
        <f>IF(AND(_A="A-350",'2024'!$H$4="CA",'2024'!$H$2=X157),'2024DATA'!$I$3,"")</f>
        <v/>
      </c>
      <c r="Y158" s="518" t="str">
        <f>IF(AND(_A="A-350",'2024'!$H$4="CA",'2024'!$H$2=Y157),'2024DATA'!$J$3,"")</f>
        <v/>
      </c>
      <c r="Z158" s="518" t="str">
        <f>IF(AND(_A="A-350",'2024'!$H$4="CA",'2024'!$H$2=Z157),'2024DATA'!$K$3,"")</f>
        <v/>
      </c>
      <c r="AA158" s="518" t="str">
        <f>IF(AND(_A="A-350",'2024'!$H$4="CA",'2024'!$H$2=AA157),'2024DATA'!$L$3,"")</f>
        <v/>
      </c>
      <c r="AB158" s="518" t="str">
        <f>IF(AND(_A="A-350",'2024'!$H$4="CA",'2024'!$H$2=AB157),'2024DATA'!$M$3,"")</f>
        <v/>
      </c>
      <c r="AC158" s="520" t="str">
        <f>IF(AND(_A="A-350",'2024'!$H$4="CA",'2024'!$H$2=AC157),'2024DATA'!$N$3,"")</f>
        <v/>
      </c>
      <c r="AD158" s="940" t="s">
        <v>39</v>
      </c>
      <c r="AE158" s="13" t="s">
        <v>61</v>
      </c>
      <c r="AF158" s="518" t="str">
        <f>IF(AND(_B="A-350",'2024'!$H$4="CA",'2024'!$H$2=AF157),'2024DATA'!$C$3,"")</f>
        <v/>
      </c>
      <c r="AG158" s="518" t="str">
        <f>IF(AND(_B="A-350",'2024'!$H$4="CA",'2024'!$H$2=AG157),'2024DATA'!$D$3,"")</f>
        <v/>
      </c>
      <c r="AH158" s="518" t="str">
        <f>IF(AND(_B="A-350",'2024'!$H$4="CA",'2024'!$H$2=AH157),'2024DATA'!$E$3,"")</f>
        <v/>
      </c>
      <c r="AI158" s="518" t="str">
        <f>IF(AND(_B="A-350",'2024'!$H$4="CA",'2024'!$H$2=AI157),'2024DATA'!$F$3,"")</f>
        <v/>
      </c>
      <c r="AJ158" s="518" t="str">
        <f>IF(AND(_B="A-350",'2024'!$H$4="CA",'2024'!$H$2=AJ157),'2024DATA'!$G$3,"")</f>
        <v/>
      </c>
      <c r="AK158" s="518" t="str">
        <f>IF(AND(_B="A-350",'2024'!$H$4="CA",'2024'!$H$2=AK157),'2024DATA'!$H$3,"")</f>
        <v/>
      </c>
      <c r="AL158" s="518" t="str">
        <f>IF(AND(_B="A-350",'2024'!$H$4="CA",'2024'!$H$2=AL157),'2024DATA'!$I$3,"")</f>
        <v/>
      </c>
      <c r="AM158" s="518" t="str">
        <f>IF(AND(_B="A-350",'2024'!$H$4="CA",'2024'!$H$2=AM157),'2024DATA'!$J$3,"")</f>
        <v/>
      </c>
      <c r="AN158" s="518" t="str">
        <f>IF(AND(_B="A-350",'2024'!$H$4="CA",'2024'!$H$2=AN157),'2024DATA'!$K$3,"")</f>
        <v/>
      </c>
      <c r="AO158" s="518" t="str">
        <f>IF(AND(_B="A-350",'2024'!$H$4="CA",'2024'!$H$2=AO157),'2024DATA'!$L$3,"")</f>
        <v/>
      </c>
      <c r="AP158" s="518" t="str">
        <f>IF(AND(_B="A-350",'2024'!$H$4="CA",'2024'!$H$2=AP157),'2024DATA'!$M$3,"")</f>
        <v/>
      </c>
      <c r="AQ158" s="520" t="str">
        <f>IF(AND(_B="A-350",'2024'!$H$4="CA",'2024'!$H$2=AQ157),'2024DATA'!$N$3,"")</f>
        <v/>
      </c>
      <c r="AR158" s="940" t="s">
        <v>39</v>
      </c>
      <c r="AS158" s="13" t="s">
        <v>61</v>
      </c>
      <c r="AT158" s="518" t="str">
        <f>IF(AND(_C="A-350",'2024'!$H$4="CA",'2024'!$H$2=AT157),'2024DATA'!$C$3,"")</f>
        <v/>
      </c>
      <c r="AU158" s="518" t="str">
        <f>IF(AND(_C="A-350",'2024'!$H$4="CA",'2024'!$H$2=AU157),'2024DATA'!$D$3,"")</f>
        <v/>
      </c>
      <c r="AV158" s="518" t="str">
        <f>IF(AND(_C="A-350",'2024'!$H$4="CA",'2024'!$H$2=AV157),'2024DATA'!$E$3,"")</f>
        <v/>
      </c>
      <c r="AW158" s="518" t="str">
        <f>IF(AND(_C="A-350",'2024'!$H$4="CA",'2024'!$H$2=AW157),'2024DATA'!$F$3,"")</f>
        <v/>
      </c>
      <c r="AX158" s="518" t="str">
        <f>IF(AND(_C="A-350",'2024'!$H$4="CA",'2024'!$H$2=AX157),'2024DATA'!$G$3,"")</f>
        <v/>
      </c>
      <c r="AY158" s="518" t="str">
        <f>IF(AND(_C="A-350",'2024'!$H$4="CA",'2024'!$H$2=AY157),'2024DATA'!$H$3,"")</f>
        <v/>
      </c>
      <c r="AZ158" s="518" t="str">
        <f>IF(AND(_C="A-350",'2024'!$H$4="CA",'2024'!$H$2=AZ157),'2024DATA'!$I$3,"")</f>
        <v/>
      </c>
      <c r="BA158" s="518" t="str">
        <f>IF(AND(_C="A-350",'2024'!$H$4="CA",'2024'!$H$2=BA157),'2024DATA'!$J$3,"")</f>
        <v/>
      </c>
      <c r="BB158" s="518" t="str">
        <f>IF(AND(_C="A-350",'2024'!$H$4="CA",'2024'!$H$2=BB157),'2024DATA'!$K$3,"")</f>
        <v/>
      </c>
      <c r="BC158" s="518" t="str">
        <f>IF(AND(_C="A-350",'2024'!$H$4="CA",'2024'!$H$2=BC157),'2024DATA'!$L$3,"")</f>
        <v/>
      </c>
      <c r="BD158" s="518" t="str">
        <f>IF(AND(_C="A-350",'2024'!$H$4="CA",'2024'!$H$2=BD157),'2024DATA'!$M$3,"")</f>
        <v/>
      </c>
      <c r="BE158" s="520" t="str">
        <f>IF(AND(_C="A-350",'2024'!$H$4="CA",'2024'!$H$2=BE157),'2024DATA'!$N$3,"")</f>
        <v/>
      </c>
      <c r="BF158" s="940" t="s">
        <v>39</v>
      </c>
      <c r="BG158" s="13" t="s">
        <v>61</v>
      </c>
      <c r="BH158" s="518" t="str">
        <f>IF(AND(_D="A-350",'2024'!$H$4="CA",'2024'!$H$2=BH157),'2024DATA'!$C$3,"")</f>
        <v/>
      </c>
      <c r="BI158" s="518" t="str">
        <f>IF(AND(_D="A-350",'2024'!$H$4="CA",'2024'!$H$2=BI157),'2024DATA'!$D$3,"")</f>
        <v/>
      </c>
      <c r="BJ158" s="518" t="str">
        <f>IF(AND(_D="A-350",'2024'!$H$4="CA",'2024'!$H$2=BJ157),'2024DATA'!$E$3,"")</f>
        <v/>
      </c>
      <c r="BK158" s="518" t="str">
        <f>IF(AND(_D="A-350",'2024'!$H$4="CA",'2024'!$H$2=BK157),'2024DATA'!$F$3,"")</f>
        <v/>
      </c>
      <c r="BL158" s="518" t="str">
        <f>IF(AND(_D="A-350",'2024'!$H$4="CA",'2024'!$H$2=BL157),'2024DATA'!$G$3,"")</f>
        <v/>
      </c>
      <c r="BM158" s="518" t="str">
        <f>IF(AND(_D="A-350",'2024'!$H$4="CA",'2024'!$H$2=BM157),'2024DATA'!$H$3,"")</f>
        <v/>
      </c>
      <c r="BN158" s="518" t="str">
        <f>IF(AND(_D="A-350",'2024'!$H$4="CA",'2024'!$H$2=BN157),'2024DATA'!$I$3,"")</f>
        <v/>
      </c>
      <c r="BO158" s="518" t="str">
        <f>IF(AND(_D="A-350",'2024'!$H$4="CA",'2024'!$H$2=BO157),'2024DATA'!$J$3,"")</f>
        <v/>
      </c>
      <c r="BP158" s="518" t="str">
        <f>IF(AND(_D="A-350",'2024'!$H$4="CA",'2024'!$H$2=BP157),'2024DATA'!$K$3,"")</f>
        <v/>
      </c>
      <c r="BQ158" s="518" t="str">
        <f>IF(AND(_D="A-350",'2024'!$H$4="CA",'2024'!$H$2=BQ157),'2024DATA'!$L$3,"")</f>
        <v/>
      </c>
      <c r="BR158" s="518" t="str">
        <f>IF(AND(_D="A-350",'2024'!$H$4="CA",'2024'!$H$2=BR157),'2024DATA'!$M$3,"")</f>
        <v/>
      </c>
      <c r="BS158" s="520" t="str">
        <f>IF(AND(_D="A-350",'2024'!$H$4="CA",'2024'!$H$2=BS157),'2024DATA'!$N$3,"")</f>
        <v/>
      </c>
      <c r="BT158" s="940" t="s">
        <v>39</v>
      </c>
      <c r="BU158" s="13" t="s">
        <v>61</v>
      </c>
      <c r="BV158" s="518" t="str">
        <f>IF(AND(_E="A-350",'2024'!$H$4="CA",'2024'!$H$2=BV157),'2024DATA'!$C$3,"")</f>
        <v/>
      </c>
      <c r="BW158" s="518" t="str">
        <f>IF(AND(_E="A-350",'2024'!$H$4="CA",'2024'!$H$2=BW157),'2024DATA'!$D$3,"")</f>
        <v/>
      </c>
      <c r="BX158" s="518" t="str">
        <f>IF(AND(_E="A-350",'2024'!$H$4="CA",'2024'!$H$2=BX157),'2024DATA'!$E$3,"")</f>
        <v/>
      </c>
      <c r="BY158" s="518" t="str">
        <f>IF(AND(_E="A-350",'2024'!$H$4="CA",'2024'!$H$2=BY157),'2024DATA'!$F$3,"")</f>
        <v/>
      </c>
      <c r="BZ158" s="518" t="str">
        <f>IF(AND(_E="A-350",'2024'!$H$4="CA",'2024'!$H$2=BZ157),'2024DATA'!$G$3,"")</f>
        <v/>
      </c>
      <c r="CA158" s="518" t="str">
        <f>IF(AND(_E="A-350",'2024'!$H$4="CA",'2024'!$H$2=CA157),'2024DATA'!$H$3,"")</f>
        <v/>
      </c>
      <c r="CB158" s="518" t="str">
        <f>IF(AND(_E="A-350",'2024'!$H$4="CA",'2024'!$H$2=CB157),'2024DATA'!$I$3,"")</f>
        <v/>
      </c>
      <c r="CC158" s="518" t="str">
        <f>IF(AND(_E="A-350",'2024'!$H$4="CA",'2024'!$H$2=CC157),'2024DATA'!$J$3,"")</f>
        <v/>
      </c>
      <c r="CD158" s="518" t="str">
        <f>IF(AND(_E="A-350",'2024'!$H$4="CA",'2024'!$H$2=CD157),'2024DATA'!$K$3,"")</f>
        <v/>
      </c>
      <c r="CE158" s="518" t="str">
        <f>IF(AND(_E="A-350",'2024'!$H$4="CA",'2024'!$H$2=CE157),'2024DATA'!$L$3,"")</f>
        <v/>
      </c>
      <c r="CF158" s="518" t="str">
        <f>IF(AND(_E="A-350",'2024'!$H$4="CA",'2024'!$H$2=CF157),'2024DATA'!$M$3,"")</f>
        <v/>
      </c>
      <c r="CG158" s="520" t="str">
        <f>IF(AND(_E="A-350",'2024'!$H$4="CA",'2024'!$H$2=CG157),'2024DATA'!$N$3,"")</f>
        <v/>
      </c>
      <c r="CH158" s="940" t="s">
        <v>39</v>
      </c>
      <c r="CI158" s="13" t="s">
        <v>61</v>
      </c>
      <c r="CJ158" s="518" t="str">
        <f>IF(AND(_F="A-350",'2024'!$H$4="CA",'2024'!$H$2=CJ157),'2024DATA'!$C$3,"")</f>
        <v/>
      </c>
      <c r="CK158" s="518" t="str">
        <f>IF(AND(_F="A-350",'2024'!$H$4="CA",'2024'!$H$2=CK157),'2024DATA'!$D$3,"")</f>
        <v/>
      </c>
      <c r="CL158" s="518" t="str">
        <f>IF(AND(_F="A-350",'2024'!$H$4="CA",'2024'!$H$2=CL157),'2024DATA'!$E$3,"")</f>
        <v/>
      </c>
      <c r="CM158" s="518" t="str">
        <f>IF(AND(_F="A-350",'2024'!$H$4="CA",'2024'!$H$2=CM157),'2024DATA'!$F$3,"")</f>
        <v/>
      </c>
      <c r="CN158" s="518" t="str">
        <f>IF(AND(_F="A-350",'2024'!$H$4="CA",'2024'!$H$2=CN157),'2024DATA'!$G$3,"")</f>
        <v/>
      </c>
      <c r="CO158" s="518" t="str">
        <f>IF(AND(_F="A-350",'2024'!$H$4="CA",'2024'!$H$2=CO157),'2024DATA'!$H$3,"")</f>
        <v/>
      </c>
      <c r="CP158" s="518" t="str">
        <f>IF(AND(_F="A-350",'2024'!$H$4="CA",'2024'!$H$2=CP157),'2024DATA'!$I$3,"")</f>
        <v/>
      </c>
      <c r="CQ158" s="518" t="str">
        <f>IF(AND(_F="A-350",'2024'!$H$4="CA",'2024'!$H$2=CQ157),'2024DATA'!$J$3,"")</f>
        <v/>
      </c>
      <c r="CR158" s="518" t="str">
        <f>IF(AND(_F="A-350",'2024'!$H$4="CA",'2024'!$H$2=CR157),'2024DATA'!$K$3,"")</f>
        <v/>
      </c>
      <c r="CS158" s="518" t="str">
        <f>IF(AND(_F="A-350",'2024'!$H$4="CA",'2024'!$H$2=CS157),'2024DATA'!$L$3,"")</f>
        <v/>
      </c>
      <c r="CT158" s="518" t="str">
        <f>IF(AND(_F="A-350",'2024'!$H$4="CA",'2024'!$H$2=CT157),'2024DATA'!$M$3,"")</f>
        <v/>
      </c>
      <c r="CU158" s="520" t="str">
        <f>IF(AND(_F="A-350",'2024'!$H$4="CA",'2024'!$H$2=CU157),'2024DATA'!$N$3,"")</f>
        <v/>
      </c>
    </row>
    <row r="159" spans="16:99" x14ac:dyDescent="0.25">
      <c r="P159" s="940"/>
      <c r="Q159" s="13" t="s">
        <v>62</v>
      </c>
      <c r="R159" s="518" t="str">
        <f>IF(AND(_A="A-350",'2024'!$H$4="FO",'2024'!$H$2=R157),'2024DATA'!$C$4,"")</f>
        <v/>
      </c>
      <c r="S159" s="518" t="str">
        <f>IF(AND(_A="A-350",'2024'!$H$4="FO",'2024'!$H$2=S157),'2024DATA'!$D$4,"")</f>
        <v/>
      </c>
      <c r="T159" s="518" t="str">
        <f>IF(AND(_A="A-350",'2024'!$H$4="FO",'2024'!$H$2=T157),'2024DATA'!$E$4,"")</f>
        <v/>
      </c>
      <c r="U159" s="518" t="str">
        <f>IF(AND(_A="A-350",'2024'!$H$4="FO",'2024'!$H$2=U157),'2024DATA'!$F$4,"")</f>
        <v/>
      </c>
      <c r="V159" s="518" t="str">
        <f>IF(AND(_A="A-350",'2024'!$H$4="FO",'2024'!$H$2=V157),'2024DATA'!$G$4,"")</f>
        <v/>
      </c>
      <c r="W159" s="518" t="str">
        <f>IF(AND(_A="A-350",'2024'!$H$4="FO",'2024'!$H$2=W157),'2024DATA'!$H$4,"")</f>
        <v/>
      </c>
      <c r="X159" s="518" t="str">
        <f>IF(AND(_A="A-350",'2024'!$H$4="FO",'2024'!$H$2=X157),'2024DATA'!$I$4,"")</f>
        <v/>
      </c>
      <c r="Y159" s="518" t="str">
        <f>IF(AND(_A="A-350",'2024'!$H$4="FO",'2024'!$H$2=Y157),'2024DATA'!$J$4,"")</f>
        <v/>
      </c>
      <c r="Z159" s="518" t="str">
        <f>IF(AND(_A="A-350",'2024'!$H$4="FO",'2024'!$H$2=Z157),'2024DATA'!$K$4,"")</f>
        <v/>
      </c>
      <c r="AA159" s="518" t="str">
        <f>IF(AND(_A="A-350",'2024'!$H$4="FO",'2024'!$H$2=AA157),'2024DATA'!$L$4,"")</f>
        <v/>
      </c>
      <c r="AB159" s="518" t="str">
        <f>IF(AND(_A="A-350",'2024'!$H$4="FO",'2024'!$H$2=AB157),'2024DATA'!$M$4,"")</f>
        <v/>
      </c>
      <c r="AC159" s="520" t="str">
        <f>IF(AND(_A="A-350",'2024'!$H$4="FO",'2024'!$H$2=AC157),'2024DATA'!$N$4,"")</f>
        <v/>
      </c>
      <c r="AD159" s="940"/>
      <c r="AE159" s="13" t="s">
        <v>62</v>
      </c>
      <c r="AF159" s="518" t="str">
        <f>IF(AND(_B="A-350",'2024'!$H$4="FO",'2024'!$H$2=AF157),'2024DATA'!$C$4,"")</f>
        <v/>
      </c>
      <c r="AG159" s="518" t="str">
        <f>IF(AND(_B="A-350",'2024'!$H$4="FO",'2024'!$H$2=AG157),'2024DATA'!$D$4,"")</f>
        <v/>
      </c>
      <c r="AH159" s="518" t="str">
        <f>IF(AND(_B="A-350",'2024'!$H$4="FO",'2024'!$H$2=AH157),'2024DATA'!$E$4,"")</f>
        <v/>
      </c>
      <c r="AI159" s="518" t="str">
        <f>IF(AND(_B="A-350",'2024'!$H$4="FO",'2024'!$H$2=AI157),'2024DATA'!$F$4,"")</f>
        <v/>
      </c>
      <c r="AJ159" s="518" t="str">
        <f>IF(AND(_B="A-350",'2024'!$H$4="FO",'2024'!$H$2=AJ157),'2024DATA'!$G$4,"")</f>
        <v/>
      </c>
      <c r="AK159" s="518" t="str">
        <f>IF(AND(_B="A-350",'2024'!$H$4="FO",'2024'!$H$2=AK157),'2024DATA'!$H$4,"")</f>
        <v/>
      </c>
      <c r="AL159" s="518" t="str">
        <f>IF(AND(_B="A-350",'2024'!$H$4="FO",'2024'!$H$2=AL157),'2024DATA'!$I$4,"")</f>
        <v/>
      </c>
      <c r="AM159" s="518" t="str">
        <f>IF(AND(_B="A-350",'2024'!$H$4="FO",'2024'!$H$2=AM157),'2024DATA'!$J$4,"")</f>
        <v/>
      </c>
      <c r="AN159" s="518" t="str">
        <f>IF(AND(_B="A-350",'2024'!$H$4="FO",'2024'!$H$2=AN157),'2024DATA'!$K$4,"")</f>
        <v/>
      </c>
      <c r="AO159" s="518" t="str">
        <f>IF(AND(_B="A-350",'2024'!$H$4="FO",'2024'!$H$2=AO157),'2024DATA'!$L$4,"")</f>
        <v/>
      </c>
      <c r="AP159" s="518" t="str">
        <f>IF(AND(_B="A-350",'2024'!$H$4="FO",'2024'!$H$2=AP157),'2024DATA'!$M$4,"")</f>
        <v/>
      </c>
      <c r="AQ159" s="520" t="str">
        <f>IF(AND(_B="A-350",'2024'!$H$4="FO",'2024'!$H$2=AQ157),'2024DATA'!$N$4,"")</f>
        <v/>
      </c>
      <c r="AR159" s="940"/>
      <c r="AS159" s="13" t="s">
        <v>62</v>
      </c>
      <c r="AT159" s="518" t="str">
        <f>IF(AND(_C="A-350",'2024'!$H$4="FO",'2024'!$H$2=AT157),'2024DATA'!$C$4,"")</f>
        <v/>
      </c>
      <c r="AU159" s="518" t="str">
        <f>IF(AND(_C="A-350",'2024'!$H$4="FO",'2024'!$H$2=AU157),'2024DATA'!$D$4,"")</f>
        <v/>
      </c>
      <c r="AV159" s="518" t="str">
        <f>IF(AND(_C="A-350",'2024'!$H$4="FO",'2024'!$H$2=AV157),'2024DATA'!$E$4,"")</f>
        <v/>
      </c>
      <c r="AW159" s="518" t="str">
        <f>IF(AND(_C="A-350",'2024'!$H$4="FO",'2024'!$H$2=AW157),'2024DATA'!$F$4,"")</f>
        <v/>
      </c>
      <c r="AX159" s="518" t="str">
        <f>IF(AND(_C="A-350",'2024'!$H$4="FO",'2024'!$H$2=AX157),'2024DATA'!$G$4,"")</f>
        <v/>
      </c>
      <c r="AY159" s="518" t="str">
        <f>IF(AND(_C="A-350",'2024'!$H$4="FO",'2024'!$H$2=AY157),'2024DATA'!$H$4,"")</f>
        <v/>
      </c>
      <c r="AZ159" s="518" t="str">
        <f>IF(AND(_C="A-350",'2024'!$H$4="FO",'2024'!$H$2=AZ157),'2024DATA'!$I$4,"")</f>
        <v/>
      </c>
      <c r="BA159" s="518" t="str">
        <f>IF(AND(_C="A-350",'2024'!$H$4="FO",'2024'!$H$2=BA157),'2024DATA'!$J$4,"")</f>
        <v/>
      </c>
      <c r="BB159" s="518" t="str">
        <f>IF(AND(_C="A-350",'2024'!$H$4="FO",'2024'!$H$2=BB157),'2024DATA'!$K$4,"")</f>
        <v/>
      </c>
      <c r="BC159" s="518" t="str">
        <f>IF(AND(_C="A-350",'2024'!$H$4="FO",'2024'!$H$2=BC157),'2024DATA'!$L$4,"")</f>
        <v/>
      </c>
      <c r="BD159" s="518" t="str">
        <f>IF(AND(_C="A-350",'2024'!$H$4="FO",'2024'!$H$2=BD157),'2024DATA'!$M$4,"")</f>
        <v/>
      </c>
      <c r="BE159" s="520" t="str">
        <f>IF(AND(_C="A-350",'2024'!$H$4="FO",'2024'!$H$2=BE157),'2024DATA'!$N$4,"")</f>
        <v/>
      </c>
      <c r="BF159" s="940"/>
      <c r="BG159" s="13" t="s">
        <v>62</v>
      </c>
      <c r="BH159" s="518" t="str">
        <f>IF(AND(_D="A-350",'2024'!$H$4="FO",'2024'!$H$2=BH157),'2024DATA'!$C$4,"")</f>
        <v/>
      </c>
      <c r="BI159" s="518" t="str">
        <f>IF(AND(_D="A-350",'2024'!$H$4="FO",'2024'!$H$2=BI157),'2024DATA'!$D$4,"")</f>
        <v/>
      </c>
      <c r="BJ159" s="518" t="str">
        <f>IF(AND(_D="A-350",'2024'!$H$4="FO",'2024'!$H$2=BJ157),'2024DATA'!$E$4,"")</f>
        <v/>
      </c>
      <c r="BK159" s="518" t="str">
        <f>IF(AND(_D="A-350",'2024'!$H$4="FO",'2024'!$H$2=BK157),'2024DATA'!$F$4,"")</f>
        <v/>
      </c>
      <c r="BL159" s="518" t="str">
        <f>IF(AND(_D="A-350",'2024'!$H$4="FO",'2024'!$H$2=BL157),'2024DATA'!$G$4,"")</f>
        <v/>
      </c>
      <c r="BM159" s="518" t="str">
        <f>IF(AND(_D="A-350",'2024'!$H$4="FO",'2024'!$H$2=BM157),'2024DATA'!$H$4,"")</f>
        <v/>
      </c>
      <c r="BN159" s="518" t="str">
        <f>IF(AND(_D="A-350",'2024'!$H$4="FO",'2024'!$H$2=BN157),'2024DATA'!$I$4,"")</f>
        <v/>
      </c>
      <c r="BO159" s="518" t="str">
        <f>IF(AND(_D="A-350",'2024'!$H$4="FO",'2024'!$H$2=BO157),'2024DATA'!$J$4,"")</f>
        <v/>
      </c>
      <c r="BP159" s="518" t="str">
        <f>IF(AND(_D="A-350",'2024'!$H$4="FO",'2024'!$H$2=BP157),'2024DATA'!$K$4,"")</f>
        <v/>
      </c>
      <c r="BQ159" s="518" t="str">
        <f>IF(AND(_D="A-350",'2024'!$H$4="FO",'2024'!$H$2=BQ157),'2024DATA'!$L$4,"")</f>
        <v/>
      </c>
      <c r="BR159" s="518" t="str">
        <f>IF(AND(_D="A-350",'2024'!$H$4="FO",'2024'!$H$2=BR157),'2024DATA'!$M$4,"")</f>
        <v/>
      </c>
      <c r="BS159" s="520" t="str">
        <f>IF(AND(_D="A-350",'2024'!$H$4="FO",'2024'!$H$2=BS157),'2024DATA'!$N$4,"")</f>
        <v/>
      </c>
      <c r="BT159" s="940"/>
      <c r="BU159" s="13" t="s">
        <v>62</v>
      </c>
      <c r="BV159" s="518" t="str">
        <f>IF(AND(_E="A-350",'2024'!$H$4="FO",'2024'!$H$2=BV157),'2024DATA'!$C$4,"")</f>
        <v/>
      </c>
      <c r="BW159" s="518" t="str">
        <f>IF(AND(_E="A-350",'2024'!$H$4="FO",'2024'!$H$2=BW157),'2024DATA'!$D$4,"")</f>
        <v/>
      </c>
      <c r="BX159" s="518" t="str">
        <f>IF(AND(_E="A-350",'2024'!$H$4="FO",'2024'!$H$2=BX157),'2024DATA'!$E$4,"")</f>
        <v/>
      </c>
      <c r="BY159" s="518" t="str">
        <f>IF(AND(_E="A-350",'2024'!$H$4="FO",'2024'!$H$2=BY157),'2024DATA'!$F$4,"")</f>
        <v/>
      </c>
      <c r="BZ159" s="518" t="str">
        <f>IF(AND(_E="A-350",'2024'!$H$4="FO",'2024'!$H$2=BZ157),'2024DATA'!$G$4,"")</f>
        <v/>
      </c>
      <c r="CA159" s="518" t="str">
        <f>IF(AND(_E="A-350",'2024'!$H$4="FO",'2024'!$H$2=CA157),'2024DATA'!$H$4,"")</f>
        <v/>
      </c>
      <c r="CB159" s="518" t="str">
        <f>IF(AND(_E="A-350",'2024'!$H$4="FO",'2024'!$H$2=CB157),'2024DATA'!$I$4,"")</f>
        <v/>
      </c>
      <c r="CC159" s="518" t="str">
        <f>IF(AND(_E="A-350",'2024'!$H$4="FO",'2024'!$H$2=CC157),'2024DATA'!$J$4,"")</f>
        <v/>
      </c>
      <c r="CD159" s="518" t="str">
        <f>IF(AND(_E="A-350",'2024'!$H$4="FO",'2024'!$H$2=CD157),'2024DATA'!$K$4,"")</f>
        <v/>
      </c>
      <c r="CE159" s="518" t="str">
        <f>IF(AND(_E="A-350",'2024'!$H$4="FO",'2024'!$H$2=CE157),'2024DATA'!$L$4,"")</f>
        <v/>
      </c>
      <c r="CF159" s="518" t="str">
        <f>IF(AND(_E="A-350",'2024'!$H$4="FO",'2024'!$H$2=CF157),'2024DATA'!$M$4,"")</f>
        <v/>
      </c>
      <c r="CG159" s="520" t="str">
        <f>IF(AND(_E="A-350",'2024'!$H$4="FO",'2024'!$H$2=CG157),'2024DATA'!$N$4,"")</f>
        <v/>
      </c>
      <c r="CH159" s="940"/>
      <c r="CI159" s="13" t="s">
        <v>62</v>
      </c>
      <c r="CJ159" s="518" t="str">
        <f>IF(AND(_F="A-350",'2024'!$H$4="FO",'2024'!$H$2=CJ157),'2024DATA'!$C$4,"")</f>
        <v/>
      </c>
      <c r="CK159" s="518" t="str">
        <f>IF(AND(_F="A-350",'2024'!$H$4="FO",'2024'!$H$2=CK157),'2024DATA'!$D$4,"")</f>
        <v/>
      </c>
      <c r="CL159" s="518" t="str">
        <f>IF(AND(_F="A-350",'2024'!$H$4="FO",'2024'!$H$2=CL157),'2024DATA'!$E$4,"")</f>
        <v/>
      </c>
      <c r="CM159" s="518" t="str">
        <f>IF(AND(_F="A-350",'2024'!$H$4="FO",'2024'!$H$2=CM157),'2024DATA'!$F$4,"")</f>
        <v/>
      </c>
      <c r="CN159" s="518" t="str">
        <f>IF(AND(_F="A-350",'2024'!$H$4="FO",'2024'!$H$2=CN157),'2024DATA'!$G$4,"")</f>
        <v/>
      </c>
      <c r="CO159" s="518" t="str">
        <f>IF(AND(_F="A-350",'2024'!$H$4="FO",'2024'!$H$2=CO157),'2024DATA'!$H$4,"")</f>
        <v/>
      </c>
      <c r="CP159" s="518" t="str">
        <f>IF(AND(_F="A-350",'2024'!$H$4="FO",'2024'!$H$2=CP157),'2024DATA'!$I$4,"")</f>
        <v/>
      </c>
      <c r="CQ159" s="518" t="str">
        <f>IF(AND(_F="A-350",'2024'!$H$4="FO",'2024'!$H$2=CQ157),'2024DATA'!$J$4,"")</f>
        <v/>
      </c>
      <c r="CR159" s="518" t="str">
        <f>IF(AND(_F="A-350",'2024'!$H$4="FO",'2024'!$H$2=CR157),'2024DATA'!$K$4,"")</f>
        <v/>
      </c>
      <c r="CS159" s="518" t="str">
        <f>IF(AND(_F="A-350",'2024'!$H$4="FO",'2024'!$H$2=CS157),'2024DATA'!$L$4,"")</f>
        <v/>
      </c>
      <c r="CT159" s="518" t="str">
        <f>IF(AND(_F="A-350",'2024'!$H$4="FO",'2024'!$H$2=CT157),'2024DATA'!$M$4,"")</f>
        <v/>
      </c>
      <c r="CU159" s="520" t="str">
        <f>IF(AND(_F="A-350",'2024'!$H$4="FO",'2024'!$H$2=CU157),'2024DATA'!$N$4,"")</f>
        <v/>
      </c>
    </row>
    <row r="160" spans="16:99" x14ac:dyDescent="0.25">
      <c r="P160" s="940" t="s">
        <v>65</v>
      </c>
      <c r="Q160" s="13" t="s">
        <v>61</v>
      </c>
      <c r="R160" s="518" t="str">
        <f>IF(AND(_A="A-330-900",'2024'!$H$4="CA",'2024'!$H$2=R157),'2024DATA'!$C$5,"")</f>
        <v/>
      </c>
      <c r="S160" s="518" t="str">
        <f>IF(AND(_A="A-330-900",'2024'!$H$4="CA",'2024'!$H$2=S157),'2024DATA'!$D$5,"")</f>
        <v/>
      </c>
      <c r="T160" s="518" t="str">
        <f>IF(AND(_A="A-330-900",'2024'!$H$4="CA",'2024'!$H$2=T157),'2024DATA'!$E$5,"")</f>
        <v/>
      </c>
      <c r="U160" s="518" t="str">
        <f>IF(AND(_A="A-330-900",'2024'!$H$4="CA",'2024'!$H$2=U157),'2024DATA'!$F$5,"")</f>
        <v/>
      </c>
      <c r="V160" s="518" t="str">
        <f>IF(AND(_A="A-330-900",'2024'!$H$4="CA",'2024'!$H$2=V157),'2024DATA'!$G$5,"")</f>
        <v/>
      </c>
      <c r="W160" s="518" t="str">
        <f>IF(AND(_A="A-330-900",'2024'!$H$4="CA",'2024'!$H$2=W157),'2024DATA'!$H$5,"")</f>
        <v/>
      </c>
      <c r="X160" s="518" t="str">
        <f>IF(AND(_A="A-330-900",'2024'!$H$4="CA",'2024'!$H$2=X157),'2024DATA'!$I$5,"")</f>
        <v/>
      </c>
      <c r="Y160" s="518" t="str">
        <f>IF(AND(_A="A-330-900",'2024'!$H$4="CA",'2024'!$H$2=Y157),'2024DATA'!$J$5,"")</f>
        <v/>
      </c>
      <c r="Z160" s="518" t="str">
        <f>IF(AND(_A="A-330-900",'2024'!$H$4="CA",'2024'!$H$2=Z157),'2024DATA'!$K$5,"")</f>
        <v/>
      </c>
      <c r="AA160" s="518" t="str">
        <f>IF(AND(_A="A-330-900",'2024'!$H$4="CA",'2024'!$H$2=AA157),'2024DATA'!$L$5,"")</f>
        <v/>
      </c>
      <c r="AB160" s="518" t="str">
        <f>IF(AND(_A="A-330-900",'2024'!$H$4="CA",'2024'!$H$2=AB157),'2024DATA'!$M$5,"")</f>
        <v/>
      </c>
      <c r="AC160" s="520" t="str">
        <f>IF(AND(_A="A-330-900",'2024'!$H$4="CA",'2024'!$H$2=AC157),'2024DATA'!$N$5,"")</f>
        <v/>
      </c>
      <c r="AD160" s="940" t="s">
        <v>65</v>
      </c>
      <c r="AE160" s="13" t="s">
        <v>61</v>
      </c>
      <c r="AF160" s="518" t="str">
        <f>IF(AND(_B="A-330-900",'2024'!$H$4="CA",'2024'!$H$2=AF157),'2024DATA'!$C$5,"")</f>
        <v/>
      </c>
      <c r="AG160" s="518" t="str">
        <f>IF(AND(_B="A-330-900",'2024'!$H$4="CA",'2024'!$H$2=AG157),'2024DATA'!$D$5,"")</f>
        <v/>
      </c>
      <c r="AH160" s="518" t="str">
        <f>IF(AND(_B="A-330-900",'2024'!$H$4="CA",'2024'!$H$2=AH157),'2024DATA'!$E$5,"")</f>
        <v/>
      </c>
      <c r="AI160" s="518" t="str">
        <f>IF(AND(_B="A-330-900",'2024'!$H$4="CA",'2024'!$H$2=AI157),'2024DATA'!$F$5,"")</f>
        <v/>
      </c>
      <c r="AJ160" s="518" t="str">
        <f>IF(AND(_B="A-330-900",'2024'!$H$4="CA",'2024'!$H$2=AJ157),'2024DATA'!$G$5,"")</f>
        <v/>
      </c>
      <c r="AK160" s="518" t="str">
        <f>IF(AND(_B="A-330-900",'2024'!$H$4="CA",'2024'!$H$2=AK157),'2024DATA'!$H$5,"")</f>
        <v/>
      </c>
      <c r="AL160" s="518" t="str">
        <f>IF(AND(_B="A-330-900",'2024'!$H$4="CA",'2024'!$H$2=AL157),'2024DATA'!$I$5,"")</f>
        <v/>
      </c>
      <c r="AM160" s="518" t="str">
        <f>IF(AND(_B="A-330-900",'2024'!$H$4="CA",'2024'!$H$2=AM157),'2024DATA'!$J$5,"")</f>
        <v/>
      </c>
      <c r="AN160" s="518" t="str">
        <f>IF(AND(_B="A-330-900",'2024'!$H$4="CA",'2024'!$H$2=AN157),'2024DATA'!$K$5,"")</f>
        <v/>
      </c>
      <c r="AO160" s="518" t="str">
        <f>IF(AND(_B="A-330-900",'2024'!$H$4="CA",'2024'!$H$2=AO157),'2024DATA'!$L$5,"")</f>
        <v/>
      </c>
      <c r="AP160" s="518" t="str">
        <f>IF(AND(_B="A-330-900",'2024'!$H$4="CA",'2024'!$H$2=AP157),'2024DATA'!$M$5,"")</f>
        <v/>
      </c>
      <c r="AQ160" s="520" t="str">
        <f>IF(AND(_B="A-330-900",'2024'!$H$4="CA",'2024'!$H$2=AQ157),'2024DATA'!$N$5,"")</f>
        <v/>
      </c>
      <c r="AR160" s="940" t="s">
        <v>65</v>
      </c>
      <c r="AS160" s="13" t="s">
        <v>61</v>
      </c>
      <c r="AT160" s="518" t="str">
        <f>IF(AND(_C="A-330-900",'2024'!$H$4="CA",'2024'!$H$2=AT157),'2024DATA'!$C$5,"")</f>
        <v/>
      </c>
      <c r="AU160" s="518" t="str">
        <f>IF(AND(_C="A-330-900",'2024'!$H$4="CA",'2024'!$H$2=AU157),'2024DATA'!$D$5,"")</f>
        <v/>
      </c>
      <c r="AV160" s="518" t="str">
        <f>IF(AND(_C="A-330-900",'2024'!$H$4="CA",'2024'!$H$2=AV157),'2024DATA'!$E$5,"")</f>
        <v/>
      </c>
      <c r="AW160" s="518" t="str">
        <f>IF(AND(_C="A-330-900",'2024'!$H$4="CA",'2024'!$H$2=AW157),'2024DATA'!$F$5,"")</f>
        <v/>
      </c>
      <c r="AX160" s="518" t="str">
        <f>IF(AND(_C="A-330-900",'2024'!$H$4="CA",'2024'!$H$2=AX157),'2024DATA'!$G$5,"")</f>
        <v/>
      </c>
      <c r="AY160" s="518" t="str">
        <f>IF(AND(_C="A-330-900",'2024'!$H$4="CA",'2024'!$H$2=AY157),'2024DATA'!$H$5,"")</f>
        <v/>
      </c>
      <c r="AZ160" s="518" t="str">
        <f>IF(AND(_C="A-330-900",'2024'!$H$4="CA",'2024'!$H$2=AZ157),'2024DATA'!$I$5,"")</f>
        <v/>
      </c>
      <c r="BA160" s="518" t="str">
        <f>IF(AND(_C="A-330-900",'2024'!$H$4="CA",'2024'!$H$2=BA157),'2024DATA'!$J$5,"")</f>
        <v/>
      </c>
      <c r="BB160" s="518" t="str">
        <f>IF(AND(_C="A-330-900",'2024'!$H$4="CA",'2024'!$H$2=BB157),'2024DATA'!$K$5,"")</f>
        <v/>
      </c>
      <c r="BC160" s="518" t="str">
        <f>IF(AND(_C="A-330-900",'2024'!$H$4="CA",'2024'!$H$2=BC157),'2024DATA'!$L$5,"")</f>
        <v/>
      </c>
      <c r="BD160" s="518" t="str">
        <f>IF(AND(_C="A-330-900",'2024'!$H$4="CA",'2024'!$H$2=BD157),'2024DATA'!$M$5,"")</f>
        <v/>
      </c>
      <c r="BE160" s="520" t="str">
        <f>IF(AND(_C="A-330-900",'2024'!$H$4="CA",'2024'!$H$2=BE157),'2024DATA'!$N$5,"")</f>
        <v/>
      </c>
      <c r="BF160" s="940" t="s">
        <v>65</v>
      </c>
      <c r="BG160" s="13" t="s">
        <v>61</v>
      </c>
      <c r="BH160" s="518" t="str">
        <f>IF(AND(_D="A-330-900",'2024'!$H$4="CA",'2024'!$H$2=BH157),'2024DATA'!$C$5,"")</f>
        <v/>
      </c>
      <c r="BI160" s="518" t="str">
        <f>IF(AND(_D="A-330-900",'2024'!$H$4="CA",'2024'!$H$2=BI157),'2024DATA'!$D$5,"")</f>
        <v/>
      </c>
      <c r="BJ160" s="518" t="str">
        <f>IF(AND(_D="A-330-900",'2024'!$H$4="CA",'2024'!$H$2=BJ157),'2024DATA'!$E$5,"")</f>
        <v/>
      </c>
      <c r="BK160" s="518" t="str">
        <f>IF(AND(_D="A-330-900",'2024'!$H$4="CA",'2024'!$H$2=BK157),'2024DATA'!$F$5,"")</f>
        <v/>
      </c>
      <c r="BL160" s="518" t="str">
        <f>IF(AND(_D="A-330-900",'2024'!$H$4="CA",'2024'!$H$2=BL157),'2024DATA'!$G$5,"")</f>
        <v/>
      </c>
      <c r="BM160" s="518" t="str">
        <f>IF(AND(_D="A-330-900",'2024'!$H$4="CA",'2024'!$H$2=BM157),'2024DATA'!$H$5,"")</f>
        <v/>
      </c>
      <c r="BN160" s="518" t="str">
        <f>IF(AND(_D="A-330-900",'2024'!$H$4="CA",'2024'!$H$2=BN157),'2024DATA'!$I$5,"")</f>
        <v/>
      </c>
      <c r="BO160" s="518" t="str">
        <f>IF(AND(_D="A-330-900",'2024'!$H$4="CA",'2024'!$H$2=BO157),'2024DATA'!$J$5,"")</f>
        <v/>
      </c>
      <c r="BP160" s="518" t="str">
        <f>IF(AND(_D="A-330-900",'2024'!$H$4="CA",'2024'!$H$2=BP157),'2024DATA'!$K$5,"")</f>
        <v/>
      </c>
      <c r="BQ160" s="518" t="str">
        <f>IF(AND(_D="A-330-900",'2024'!$H$4="CA",'2024'!$H$2=BQ157),'2024DATA'!$L$5,"")</f>
        <v/>
      </c>
      <c r="BR160" s="518" t="str">
        <f>IF(AND(_D="A-330-900",'2024'!$H$4="CA",'2024'!$H$2=BR157),'2024DATA'!$M$5,"")</f>
        <v/>
      </c>
      <c r="BS160" s="520" t="str">
        <f>IF(AND(_D="A-330-900",'2024'!$H$4="CA",'2024'!$H$2=BS157),'2024DATA'!$N$5,"")</f>
        <v/>
      </c>
      <c r="BT160" s="940" t="s">
        <v>65</v>
      </c>
      <c r="BU160" s="13" t="s">
        <v>61</v>
      </c>
      <c r="BV160" s="518" t="str">
        <f>IF(AND(_E="A-330-900",'2024'!$H$4="CA",'2024'!$H$2=BV157),'2024DATA'!$C$5,"")</f>
        <v/>
      </c>
      <c r="BW160" s="518" t="str">
        <f>IF(AND(_E="A-330-900",'2024'!$H$4="CA",'2024'!$H$2=BW157),'2024DATA'!$D$5,"")</f>
        <v/>
      </c>
      <c r="BX160" s="518" t="str">
        <f>IF(AND(_E="A-330-900",'2024'!$H$4="CA",'2024'!$H$2=BX157),'2024DATA'!$E$5,"")</f>
        <v/>
      </c>
      <c r="BY160" s="518" t="str">
        <f>IF(AND(_E="A-330-900",'2024'!$H$4="CA",'2024'!$H$2=BY157),'2024DATA'!$F$5,"")</f>
        <v/>
      </c>
      <c r="BZ160" s="518" t="str">
        <f>IF(AND(_E="A-330-900",'2024'!$H$4="CA",'2024'!$H$2=BZ157),'2024DATA'!$G$5,"")</f>
        <v/>
      </c>
      <c r="CA160" s="518" t="str">
        <f>IF(AND(_E="A-330-900",'2024'!$H$4="CA",'2024'!$H$2=CA157),'2024DATA'!$H$5,"")</f>
        <v/>
      </c>
      <c r="CB160" s="518" t="str">
        <f>IF(AND(_E="A-330-900",'2024'!$H$4="CA",'2024'!$H$2=CB157),'2024DATA'!$I$5,"")</f>
        <v/>
      </c>
      <c r="CC160" s="518" t="str">
        <f>IF(AND(_E="A-330-900",'2024'!$H$4="CA",'2024'!$H$2=CC157),'2024DATA'!$J$5,"")</f>
        <v/>
      </c>
      <c r="CD160" s="518" t="str">
        <f>IF(AND(_E="A-330-900",'2024'!$H$4="CA",'2024'!$H$2=CD157),'2024DATA'!$K$5,"")</f>
        <v/>
      </c>
      <c r="CE160" s="518" t="str">
        <f>IF(AND(_E="A-330-900",'2024'!$H$4="CA",'2024'!$H$2=CE157),'2024DATA'!$L$5,"")</f>
        <v/>
      </c>
      <c r="CF160" s="518" t="str">
        <f>IF(AND(_E="A-330-900",'2024'!$H$4="CA",'2024'!$H$2=CF157),'2024DATA'!$M$5,"")</f>
        <v/>
      </c>
      <c r="CG160" s="520" t="str">
        <f>IF(AND(_E="A-330-900",'2024'!$H$4="CA",'2024'!$H$2=CG157),'2024DATA'!$N$5,"")</f>
        <v/>
      </c>
      <c r="CH160" s="940" t="s">
        <v>65</v>
      </c>
      <c r="CI160" s="13" t="s">
        <v>61</v>
      </c>
      <c r="CJ160" s="518" t="str">
        <f>IF(AND(_F="A-330-900",'2024'!$H$4="CA",'2024'!$H$2=CJ157),'2024DATA'!$C$5,"")</f>
        <v/>
      </c>
      <c r="CK160" s="518" t="str">
        <f>IF(AND(_F="A-330-900",'2024'!$H$4="CA",'2024'!$H$2=CK157),'2024DATA'!$D$5,"")</f>
        <v/>
      </c>
      <c r="CL160" s="518" t="str">
        <f>IF(AND(_F="A-330-900",'2024'!$H$4="CA",'2024'!$H$2=CL157),'2024DATA'!$E$5,"")</f>
        <v/>
      </c>
      <c r="CM160" s="518" t="str">
        <f>IF(AND(_F="A-330-900",'2024'!$H$4="CA",'2024'!$H$2=CM157),'2024DATA'!$F$5,"")</f>
        <v/>
      </c>
      <c r="CN160" s="518" t="str">
        <f>IF(AND(_F="A-330-900",'2024'!$H$4="CA",'2024'!$H$2=CN157),'2024DATA'!$G$5,"")</f>
        <v/>
      </c>
      <c r="CO160" s="518" t="str">
        <f>IF(AND(_F="A-330-900",'2024'!$H$4="CA",'2024'!$H$2=CO157),'2024DATA'!$H$5,"")</f>
        <v/>
      </c>
      <c r="CP160" s="518" t="str">
        <f>IF(AND(_F="A-330-900",'2024'!$H$4="CA",'2024'!$H$2=CP157),'2024DATA'!$I$5,"")</f>
        <v/>
      </c>
      <c r="CQ160" s="518" t="str">
        <f>IF(AND(_F="A-330-900",'2024'!$H$4="CA",'2024'!$H$2=CQ157),'2024DATA'!$J$5,"")</f>
        <v/>
      </c>
      <c r="CR160" s="518" t="str">
        <f>IF(AND(_F="A-330-900",'2024'!$H$4="CA",'2024'!$H$2=CR157),'2024DATA'!$K$5,"")</f>
        <v/>
      </c>
      <c r="CS160" s="518" t="str">
        <f>IF(AND(_F="A-330-900",'2024'!$H$4="CA",'2024'!$H$2=CS157),'2024DATA'!$L$5,"")</f>
        <v/>
      </c>
      <c r="CT160" s="518" t="str">
        <f>IF(AND(_F="A-330-900",'2024'!$H$4="CA",'2024'!$H$2=CT157),'2024DATA'!$M$5,"")</f>
        <v/>
      </c>
      <c r="CU160" s="520" t="str">
        <f>IF(AND(_F="A-330-900",'2024'!$H$4="CA",'2024'!$H$2=CU157),'2024DATA'!$N$5,"")</f>
        <v/>
      </c>
    </row>
    <row r="161" spans="16:99" x14ac:dyDescent="0.25">
      <c r="P161" s="940"/>
      <c r="Q161" s="13" t="s">
        <v>62</v>
      </c>
      <c r="R161" s="518" t="str">
        <f>IF(AND(_A="A-330-900",'2024'!$H$4="FO",'2024'!$H$2=R157),'2024DATA'!$C$6,"")</f>
        <v/>
      </c>
      <c r="S161" s="518" t="str">
        <f>IF(AND(_A="A-330-900",'2024'!$H$4="FO",'2024'!$H$2=S157),'2024DATA'!$D$6,"")</f>
        <v/>
      </c>
      <c r="T161" s="518" t="str">
        <f>IF(AND(_A="A-330-900",'2024'!$H$4="FO",'2024'!$H$2=T157),'2024DATA'!$E$6,"")</f>
        <v/>
      </c>
      <c r="U161" s="518" t="str">
        <f>IF(AND(_A="A-330-900",'2024'!$H$4="FO",'2024'!$H$2=U157),'2024DATA'!$F$6,"")</f>
        <v/>
      </c>
      <c r="V161" s="518" t="str">
        <f>IF(AND(_A="A-330-900",'2024'!$H$4="FO",'2024'!$H$2=V157),'2024DATA'!$G$6,"")</f>
        <v/>
      </c>
      <c r="W161" s="518" t="str">
        <f>IF(AND(_A="A-330-900",'2024'!$H$4="FO",'2024'!$H$2=W157),'2024DATA'!$H$6,"")</f>
        <v/>
      </c>
      <c r="X161" s="518" t="str">
        <f>IF(AND(_A="A-330-900",'2024'!$H$4="FO",'2024'!$H$2=X157),'2024DATA'!$I$6,"")</f>
        <v/>
      </c>
      <c r="Y161" s="518" t="str">
        <f>IF(AND(_A="A-330-900",'2024'!$H$4="FO",'2024'!$H$2=Y157),'2024DATA'!$J$6,"")</f>
        <v/>
      </c>
      <c r="Z161" s="518" t="str">
        <f>IF(AND(_A="A-330-900",'2024'!$H$4="FO",'2024'!$H$2=Z157),'2024DATA'!$K$6,"")</f>
        <v/>
      </c>
      <c r="AA161" s="518" t="str">
        <f>IF(AND(_A="A-330-900",'2024'!$H$4="FO",'2024'!$H$2=AA157),'2024DATA'!$L$6,"")</f>
        <v/>
      </c>
      <c r="AB161" s="518" t="str">
        <f>IF(AND(_A="A-330-900",'2024'!$H$4="FO",'2024'!$H$2=AB157),'2024DATA'!$M$6,"")</f>
        <v/>
      </c>
      <c r="AC161" s="520" t="str">
        <f>IF(AND(_A="A-330-900",'2024'!$H$4="FO",'2024'!$H$2=AC157),'2024DATA'!$N$6,"")</f>
        <v/>
      </c>
      <c r="AD161" s="940"/>
      <c r="AE161" s="13" t="s">
        <v>62</v>
      </c>
      <c r="AF161" s="518" t="str">
        <f>IF(AND(_B="A-330-900",'2024'!$H$4="FO",'2024'!$H$2=AF157),'2024DATA'!$C$6,"")</f>
        <v/>
      </c>
      <c r="AG161" s="518" t="str">
        <f>IF(AND(_B="A-330-900",'2024'!$H$4="FO",'2024'!$H$2=AG157),'2024DATA'!$D$6,"")</f>
        <v/>
      </c>
      <c r="AH161" s="518" t="str">
        <f>IF(AND(_B="A-330-900",'2024'!$H$4="FO",'2024'!$H$2=AH157),'2024DATA'!$E$6,"")</f>
        <v/>
      </c>
      <c r="AI161" s="518" t="str">
        <f>IF(AND(_B="A-330-900",'2024'!$H$4="FO",'2024'!$H$2=AI157),'2024DATA'!$F$6,"")</f>
        <v/>
      </c>
      <c r="AJ161" s="518" t="str">
        <f>IF(AND(_B="A-330-900",'2024'!$H$4="FO",'2024'!$H$2=AJ157),'2024DATA'!$G$6,"")</f>
        <v/>
      </c>
      <c r="AK161" s="518" t="str">
        <f>IF(AND(_B="A-330-900",'2024'!$H$4="FO",'2024'!$H$2=AK157),'2024DATA'!$H$6,"")</f>
        <v/>
      </c>
      <c r="AL161" s="518" t="str">
        <f>IF(AND(_B="A-330-900",'2024'!$H$4="FO",'2024'!$H$2=AL157),'2024DATA'!$I$6,"")</f>
        <v/>
      </c>
      <c r="AM161" s="518" t="str">
        <f>IF(AND(_B="A-330-900",'2024'!$H$4="FO",'2024'!$H$2=AM157),'2024DATA'!$J$6,"")</f>
        <v/>
      </c>
      <c r="AN161" s="518" t="str">
        <f>IF(AND(_B="A-330-900",'2024'!$H$4="FO",'2024'!$H$2=AN157),'2024DATA'!$K$6,"")</f>
        <v/>
      </c>
      <c r="AO161" s="518" t="str">
        <f>IF(AND(_B="A-330-900",'2024'!$H$4="FO",'2024'!$H$2=AO157),'2024DATA'!$L$6,"")</f>
        <v/>
      </c>
      <c r="AP161" s="518" t="str">
        <f>IF(AND(_B="A-330-900",'2024'!$H$4="FO",'2024'!$H$2=AP157),'2024DATA'!$M$6,"")</f>
        <v/>
      </c>
      <c r="AQ161" s="520" t="str">
        <f>IF(AND(_B="A-330-900",'2024'!$H$4="FO",'2024'!$H$2=AQ157),'2024DATA'!$N$6,"")</f>
        <v/>
      </c>
      <c r="AR161" s="940"/>
      <c r="AS161" s="13" t="s">
        <v>62</v>
      </c>
      <c r="AT161" s="518" t="str">
        <f>IF(AND(_C="A-330-900",'2024'!$H$4="FO",'2024'!$H$2=AT157),'2024DATA'!$C$6,"")</f>
        <v/>
      </c>
      <c r="AU161" s="518" t="str">
        <f>IF(AND(_C="A-330-900",'2024'!$H$4="FO",'2024'!$H$2=AU157),'2024DATA'!$D$6,"")</f>
        <v/>
      </c>
      <c r="AV161" s="518" t="str">
        <f>IF(AND(_C="A-330-900",'2024'!$H$4="FO",'2024'!$H$2=AV157),'2024DATA'!$E$6,"")</f>
        <v/>
      </c>
      <c r="AW161" s="518" t="str">
        <f>IF(AND(_C="A-330-900",'2024'!$H$4="FO",'2024'!$H$2=AW157),'2024DATA'!$F$6,"")</f>
        <v/>
      </c>
      <c r="AX161" s="518" t="str">
        <f>IF(AND(_C="A-330-900",'2024'!$H$4="FO",'2024'!$H$2=AX157),'2024DATA'!$G$6,"")</f>
        <v/>
      </c>
      <c r="AY161" s="518" t="str">
        <f>IF(AND(_C="A-330-900",'2024'!$H$4="FO",'2024'!$H$2=AY157),'2024DATA'!$H$6,"")</f>
        <v/>
      </c>
      <c r="AZ161" s="518" t="str">
        <f>IF(AND(_C="A-330-900",'2024'!$H$4="FO",'2024'!$H$2=AZ157),'2024DATA'!$I$6,"")</f>
        <v/>
      </c>
      <c r="BA161" s="518" t="str">
        <f>IF(AND(_C="A-330-900",'2024'!$H$4="FO",'2024'!$H$2=BA157),'2024DATA'!$J$6,"")</f>
        <v/>
      </c>
      <c r="BB161" s="518" t="str">
        <f>IF(AND(_C="A-330-900",'2024'!$H$4="FO",'2024'!$H$2=BB157),'2024DATA'!$K$6,"")</f>
        <v/>
      </c>
      <c r="BC161" s="518" t="str">
        <f>IF(AND(_C="A-330-900",'2024'!$H$4="FO",'2024'!$H$2=BC157),'2024DATA'!$L$6,"")</f>
        <v/>
      </c>
      <c r="BD161" s="518" t="str">
        <f>IF(AND(_C="A-330-900",'2024'!$H$4="FO",'2024'!$H$2=BD157),'2024DATA'!$M$6,"")</f>
        <v/>
      </c>
      <c r="BE161" s="520" t="str">
        <f>IF(AND(_C="A-330-900",'2024'!$H$4="FO",'2024'!$H$2=BE157),'2024DATA'!$N$6,"")</f>
        <v/>
      </c>
      <c r="BF161" s="940"/>
      <c r="BG161" s="13" t="s">
        <v>62</v>
      </c>
      <c r="BH161" s="518" t="str">
        <f>IF(AND(_D="A-330-900",'2024'!$H$4="FO",'2024'!$H$2=BH157),'2024DATA'!$C$6,"")</f>
        <v/>
      </c>
      <c r="BI161" s="518" t="str">
        <f>IF(AND(_D="A-330-900",'2024'!$H$4="FO",'2024'!$H$2=BI157),'2024DATA'!$D$6,"")</f>
        <v/>
      </c>
      <c r="BJ161" s="518" t="str">
        <f>IF(AND(_D="A-330-900",'2024'!$H$4="FO",'2024'!$H$2=BJ157),'2024DATA'!$E$6,"")</f>
        <v/>
      </c>
      <c r="BK161" s="518" t="str">
        <f>IF(AND(_D="A-330-900",'2024'!$H$4="FO",'2024'!$H$2=BK157),'2024DATA'!$F$6,"")</f>
        <v/>
      </c>
      <c r="BL161" s="518" t="str">
        <f>IF(AND(_D="A-330-900",'2024'!$H$4="FO",'2024'!$H$2=BL157),'2024DATA'!$G$6,"")</f>
        <v/>
      </c>
      <c r="BM161" s="518" t="str">
        <f>IF(AND(_D="A-330-900",'2024'!$H$4="FO",'2024'!$H$2=BM157),'2024DATA'!$H$6,"")</f>
        <v/>
      </c>
      <c r="BN161" s="518" t="str">
        <f>IF(AND(_D="A-330-900",'2024'!$H$4="FO",'2024'!$H$2=BN157),'2024DATA'!$I$6,"")</f>
        <v/>
      </c>
      <c r="BO161" s="518" t="str">
        <f>IF(AND(_D="A-330-900",'2024'!$H$4="FO",'2024'!$H$2=BO157),'2024DATA'!$J$6,"")</f>
        <v/>
      </c>
      <c r="BP161" s="518" t="str">
        <f>IF(AND(_D="A-330-900",'2024'!$H$4="FO",'2024'!$H$2=BP157),'2024DATA'!$K$6,"")</f>
        <v/>
      </c>
      <c r="BQ161" s="518" t="str">
        <f>IF(AND(_D="A-330-900",'2024'!$H$4="FO",'2024'!$H$2=BQ157),'2024DATA'!$L$6,"")</f>
        <v/>
      </c>
      <c r="BR161" s="518" t="str">
        <f>IF(AND(_D="A-330-900",'2024'!$H$4="FO",'2024'!$H$2=BR157),'2024DATA'!$M$6,"")</f>
        <v/>
      </c>
      <c r="BS161" s="520" t="str">
        <f>IF(AND(_D="A-330-900",'2024'!$H$4="FO",'2024'!$H$2=BS157),'2024DATA'!$N$6,"")</f>
        <v/>
      </c>
      <c r="BT161" s="940"/>
      <c r="BU161" s="13" t="s">
        <v>62</v>
      </c>
      <c r="BV161" s="518" t="str">
        <f>IF(AND(_E="A-330-900",'2024'!$H$4="FO",'2024'!$H$2=BV157),'2024DATA'!$C$6,"")</f>
        <v/>
      </c>
      <c r="BW161" s="518" t="str">
        <f>IF(AND(_E="A-330-900",'2024'!$H$4="FO",'2024'!$H$2=BW157),'2024DATA'!$D$6,"")</f>
        <v/>
      </c>
      <c r="BX161" s="518" t="str">
        <f>IF(AND(_E="A-330-900",'2024'!$H$4="FO",'2024'!$H$2=BX157),'2024DATA'!$E$6,"")</f>
        <v/>
      </c>
      <c r="BY161" s="518" t="str">
        <f>IF(AND(_E="A-330-900",'2024'!$H$4="FO",'2024'!$H$2=BY157),'2024DATA'!$F$6,"")</f>
        <v/>
      </c>
      <c r="BZ161" s="518" t="str">
        <f>IF(AND(_E="A-330-900",'2024'!$H$4="FO",'2024'!$H$2=BZ157),'2024DATA'!$G$6,"")</f>
        <v/>
      </c>
      <c r="CA161" s="518" t="str">
        <f>IF(AND(_E="A-330-900",'2024'!$H$4="FO",'2024'!$H$2=CA157),'2024DATA'!$H$6,"")</f>
        <v/>
      </c>
      <c r="CB161" s="518" t="str">
        <f>IF(AND(_E="A-330-900",'2024'!$H$4="FO",'2024'!$H$2=CB157),'2024DATA'!$I$6,"")</f>
        <v/>
      </c>
      <c r="CC161" s="518" t="str">
        <f>IF(AND(_E="A-330-900",'2024'!$H$4="FO",'2024'!$H$2=CC157),'2024DATA'!$J$6,"")</f>
        <v/>
      </c>
      <c r="CD161" s="518" t="str">
        <f>IF(AND(_E="A-330-900",'2024'!$H$4="FO",'2024'!$H$2=CD157),'2024DATA'!$K$6,"")</f>
        <v/>
      </c>
      <c r="CE161" s="518" t="str">
        <f>IF(AND(_E="A-330-900",'2024'!$H$4="FO",'2024'!$H$2=CE157),'2024DATA'!$L$6,"")</f>
        <v/>
      </c>
      <c r="CF161" s="518" t="str">
        <f>IF(AND(_E="A-330-900",'2024'!$H$4="FO",'2024'!$H$2=CF157),'2024DATA'!$M$6,"")</f>
        <v/>
      </c>
      <c r="CG161" s="520" t="str">
        <f>IF(AND(_E="A-330-900",'2024'!$H$4="FO",'2024'!$H$2=CG157),'2024DATA'!$N$6,"")</f>
        <v/>
      </c>
      <c r="CH161" s="940"/>
      <c r="CI161" s="13" t="s">
        <v>62</v>
      </c>
      <c r="CJ161" s="518" t="str">
        <f>IF(AND(_F="A-330-900",'2024'!$H$4="FO",'2024'!$H$2=CJ157),'2024DATA'!$C$6,"")</f>
        <v/>
      </c>
      <c r="CK161" s="518" t="str">
        <f>IF(AND(_F="A-330-900",'2024'!$H$4="FO",'2024'!$H$2=CK157),'2024DATA'!$D$6,"")</f>
        <v/>
      </c>
      <c r="CL161" s="518" t="str">
        <f>IF(AND(_F="A-330-900",'2024'!$H$4="FO",'2024'!$H$2=CL157),'2024DATA'!$E$6,"")</f>
        <v/>
      </c>
      <c r="CM161" s="518" t="str">
        <f>IF(AND(_F="A-330-900",'2024'!$H$4="FO",'2024'!$H$2=CM157),'2024DATA'!$F$6,"")</f>
        <v/>
      </c>
      <c r="CN161" s="518" t="str">
        <f>IF(AND(_F="A-330-900",'2024'!$H$4="FO",'2024'!$H$2=CN157),'2024DATA'!$G$6,"")</f>
        <v/>
      </c>
      <c r="CO161" s="518" t="str">
        <f>IF(AND(_F="A-330-900",'2024'!$H$4="FO",'2024'!$H$2=CO157),'2024DATA'!$H$6,"")</f>
        <v/>
      </c>
      <c r="CP161" s="518" t="str">
        <f>IF(AND(_F="A-330-900",'2024'!$H$4="FO",'2024'!$H$2=CP157),'2024DATA'!$I$6,"")</f>
        <v/>
      </c>
      <c r="CQ161" s="518" t="str">
        <f>IF(AND(_F="A-330-900",'2024'!$H$4="FO",'2024'!$H$2=CQ157),'2024DATA'!$J$6,"")</f>
        <v/>
      </c>
      <c r="CR161" s="518" t="str">
        <f>IF(AND(_F="A-330-900",'2024'!$H$4="FO",'2024'!$H$2=CR157),'2024DATA'!$K$6,"")</f>
        <v/>
      </c>
      <c r="CS161" s="518" t="str">
        <f>IF(AND(_F="A-330-900",'2024'!$H$4="FO",'2024'!$H$2=CS157),'2024DATA'!$L$6,"")</f>
        <v/>
      </c>
      <c r="CT161" s="518" t="str">
        <f>IF(AND(_F="A-330-900",'2024'!$H$4="FO",'2024'!$H$2=CT157),'2024DATA'!$M$6,"")</f>
        <v/>
      </c>
      <c r="CU161" s="520" t="str">
        <f>IF(AND(_F="A-330-900",'2024'!$H$4="FO",'2024'!$H$2=CU157),'2024DATA'!$N$6,"")</f>
        <v/>
      </c>
    </row>
    <row r="162" spans="16:99" x14ac:dyDescent="0.25">
      <c r="P162" s="940" t="s">
        <v>64</v>
      </c>
      <c r="Q162" s="13" t="s">
        <v>61</v>
      </c>
      <c r="R162" s="518" t="str">
        <f>IF(AND(_A="A-330-300",'2024'!$H$4="CA",'2024'!$H$2=R157),'2024DATA'!$C$7,"")</f>
        <v/>
      </c>
      <c r="S162" s="518" t="str">
        <f>IF(AND(_A="A-330-300",'2024'!$H$4="CA",'2024'!$H$2=S157),'2024DATA'!$D$7,"")</f>
        <v/>
      </c>
      <c r="T162" s="518" t="str">
        <f>IF(AND(_A="A-330-300",'2024'!$H$4="CA",'2024'!$H$2=T157),'2024DATA'!$E$7,"")</f>
        <v/>
      </c>
      <c r="U162" s="518" t="str">
        <f>IF(AND(_A="A-330-300",'2024'!$H$4="CA",'2024'!$H$2=U157),'2024DATA'!$F$7,"")</f>
        <v/>
      </c>
      <c r="V162" s="518" t="str">
        <f>IF(AND(_A="A-330-300",'2024'!$H$4="CA",'2024'!$H$2=V157),'2024DATA'!$G$7,"")</f>
        <v/>
      </c>
      <c r="W162" s="518" t="str">
        <f>IF(AND(_A="A-330-300",'2024'!$H$4="CA",'2024'!$H$2=W157),'2024DATA'!$H$7,"")</f>
        <v/>
      </c>
      <c r="X162" s="518" t="str">
        <f>IF(AND(_A="A-330-300",'2024'!$H$4="CA",'2024'!$H$2=X157),'2024DATA'!$I$7,"")</f>
        <v/>
      </c>
      <c r="Y162" s="518" t="str">
        <f>IF(AND(_A="A-330-300",'2024'!$H$4="CA",'2024'!$H$2=Y157),'2024DATA'!$J$7,"")</f>
        <v/>
      </c>
      <c r="Z162" s="518" t="str">
        <f>IF(AND(_A="A-330-300",'2024'!$H$4="CA",'2024'!$H$2=Z157),'2024DATA'!$K$7,"")</f>
        <v/>
      </c>
      <c r="AA162" s="518" t="str">
        <f>IF(AND(_A="A-330-300",'2024'!$H$4="CA",'2024'!$H$2=AA157),'2024DATA'!$L$7,"")</f>
        <v/>
      </c>
      <c r="AB162" s="518" t="str">
        <f>IF(AND(_A="A-330-300",'2024'!$H$4="CA",'2024'!$H$2=AB157),'2024DATA'!$M$7,"")</f>
        <v/>
      </c>
      <c r="AC162" s="520" t="str">
        <f>IF(AND(_A="A-330-300",'2024'!$H$4="CA",'2024'!$H$2=AC157),'2024DATA'!$N$7,"")</f>
        <v/>
      </c>
      <c r="AD162" s="940" t="s">
        <v>64</v>
      </c>
      <c r="AE162" s="13" t="s">
        <v>61</v>
      </c>
      <c r="AF162" s="518" t="str">
        <f>IF(AND(_B="A-330-300",'2024'!$H$4="CA",'2024'!$H$2=AF157),'2024DATA'!$C$7,"")</f>
        <v/>
      </c>
      <c r="AG162" s="518" t="str">
        <f>IF(AND(_B="A-330-300",'2024'!$H$4="CA",'2024'!$H$2=AG157),'2024DATA'!$D$7,"")</f>
        <v/>
      </c>
      <c r="AH162" s="518" t="str">
        <f>IF(AND(_B="A-330-300",'2024'!$H$4="CA",'2024'!$H$2=AH157),'2024DATA'!$E$7,"")</f>
        <v/>
      </c>
      <c r="AI162" s="518" t="str">
        <f>IF(AND(_B="A-330-300",'2024'!$H$4="CA",'2024'!$H$2=AI157),'2024DATA'!$F$7,"")</f>
        <v/>
      </c>
      <c r="AJ162" s="518" t="str">
        <f>IF(AND(_B="A-330-300",'2024'!$H$4="CA",'2024'!$H$2=AJ157),'2024DATA'!$G$7,"")</f>
        <v/>
      </c>
      <c r="AK162" s="518" t="str">
        <f>IF(AND(_B="A-330-300",'2024'!$H$4="CA",'2024'!$H$2=AK157),'2024DATA'!$H$7,"")</f>
        <v/>
      </c>
      <c r="AL162" s="518" t="str">
        <f>IF(AND(_B="A-330-300",'2024'!$H$4="CA",'2024'!$H$2=AL157),'2024DATA'!$I$7,"")</f>
        <v/>
      </c>
      <c r="AM162" s="518" t="str">
        <f>IF(AND(_B="A-330-300",'2024'!$H$4="CA",'2024'!$H$2=AM157),'2024DATA'!$J$7,"")</f>
        <v/>
      </c>
      <c r="AN162" s="518" t="str">
        <f>IF(AND(_B="A-330-300",'2024'!$H$4="CA",'2024'!$H$2=AN157),'2024DATA'!$K$7,"")</f>
        <v/>
      </c>
      <c r="AO162" s="518" t="str">
        <f>IF(AND(_B="A-330-300",'2024'!$H$4="CA",'2024'!$H$2=AO157),'2024DATA'!$L$7,"")</f>
        <v/>
      </c>
      <c r="AP162" s="518" t="str">
        <f>IF(AND(_B="A-330-300",'2024'!$H$4="CA",'2024'!$H$2=AP157),'2024DATA'!$M$7,"")</f>
        <v/>
      </c>
      <c r="AQ162" s="520" t="str">
        <f>IF(AND(_B="A-330-300",'2024'!$H$4="CA",'2024'!$H$2=AQ157),'2024DATA'!$N$7,"")</f>
        <v/>
      </c>
      <c r="AR162" s="940" t="s">
        <v>64</v>
      </c>
      <c r="AS162" s="13" t="s">
        <v>61</v>
      </c>
      <c r="AT162" s="518" t="str">
        <f>IF(AND(_C="A-330-300",'2024'!$H$4="CA",'2024'!$H$2=AT157),'2024DATA'!$C$7,"")</f>
        <v/>
      </c>
      <c r="AU162" s="518" t="str">
        <f>IF(AND(_C="A-330-300",'2024'!$H$4="CA",'2024'!$H$2=AU157),'2024DATA'!$D$7,"")</f>
        <v/>
      </c>
      <c r="AV162" s="518" t="str">
        <f>IF(AND(_C="A-330-300",'2024'!$H$4="CA",'2024'!$H$2=AV157),'2024DATA'!$E$7,"")</f>
        <v/>
      </c>
      <c r="AW162" s="518" t="str">
        <f>IF(AND(_C="A-330-300",'2024'!$H$4="CA",'2024'!$H$2=AW157),'2024DATA'!$F$7,"")</f>
        <v/>
      </c>
      <c r="AX162" s="518" t="str">
        <f>IF(AND(_C="A-330-300",'2024'!$H$4="CA",'2024'!$H$2=AX157),'2024DATA'!$G$7,"")</f>
        <v/>
      </c>
      <c r="AY162" s="518" t="str">
        <f>IF(AND(_C="A-330-300",'2024'!$H$4="CA",'2024'!$H$2=AY157),'2024DATA'!$H$7,"")</f>
        <v/>
      </c>
      <c r="AZ162" s="518" t="str">
        <f>IF(AND(_C="A-330-300",'2024'!$H$4="CA",'2024'!$H$2=AZ157),'2024DATA'!$I$7,"")</f>
        <v/>
      </c>
      <c r="BA162" s="518" t="str">
        <f>IF(AND(_C="A-330-300",'2024'!$H$4="CA",'2024'!$H$2=BA157),'2024DATA'!$J$7,"")</f>
        <v/>
      </c>
      <c r="BB162" s="518" t="str">
        <f>IF(AND(_C="A-330-300",'2024'!$H$4="CA",'2024'!$H$2=BB157),'2024DATA'!$K$7,"")</f>
        <v/>
      </c>
      <c r="BC162" s="518" t="str">
        <f>IF(AND(_C="A-330-300",'2024'!$H$4="CA",'2024'!$H$2=BC157),'2024DATA'!$L$7,"")</f>
        <v/>
      </c>
      <c r="BD162" s="518" t="str">
        <f>IF(AND(_C="A-330-300",'2024'!$H$4="CA",'2024'!$H$2=BD157),'2024DATA'!$M$7,"")</f>
        <v/>
      </c>
      <c r="BE162" s="520" t="str">
        <f>IF(AND(_C="A-330-300",'2024'!$H$4="CA",'2024'!$H$2=BE157),'2024DATA'!$N$7,"")</f>
        <v/>
      </c>
      <c r="BF162" s="940" t="s">
        <v>64</v>
      </c>
      <c r="BG162" s="13" t="s">
        <v>61</v>
      </c>
      <c r="BH162" s="518" t="str">
        <f>IF(AND(_D="A-330-300",'2024'!$H$4="CA",'2024'!$H$2=BH157),'2024DATA'!$C$7,"")</f>
        <v/>
      </c>
      <c r="BI162" s="518" t="str">
        <f>IF(AND(_D="A-330-300",'2024'!$H$4="CA",'2024'!$H$2=BI157),'2024DATA'!$D$7,"")</f>
        <v/>
      </c>
      <c r="BJ162" s="518" t="str">
        <f>IF(AND(_D="A-330-300",'2024'!$H$4="CA",'2024'!$H$2=BJ157),'2024DATA'!$E$7,"")</f>
        <v/>
      </c>
      <c r="BK162" s="518" t="str">
        <f>IF(AND(_D="A-330-300",'2024'!$H$4="CA",'2024'!$H$2=BK157),'2024DATA'!$F$7,"")</f>
        <v/>
      </c>
      <c r="BL162" s="518" t="str">
        <f>IF(AND(_D="A-330-300",'2024'!$H$4="CA",'2024'!$H$2=BL157),'2024DATA'!$G$7,"")</f>
        <v/>
      </c>
      <c r="BM162" s="518" t="str">
        <f>IF(AND(_D="A-330-300",'2024'!$H$4="CA",'2024'!$H$2=BM157),'2024DATA'!$H$7,"")</f>
        <v/>
      </c>
      <c r="BN162" s="518" t="str">
        <f>IF(AND(_D="A-330-300",'2024'!$H$4="CA",'2024'!$H$2=BN157),'2024DATA'!$I$7,"")</f>
        <v/>
      </c>
      <c r="BO162" s="518" t="str">
        <f>IF(AND(_D="A-330-300",'2024'!$H$4="CA",'2024'!$H$2=BO157),'2024DATA'!$J$7,"")</f>
        <v/>
      </c>
      <c r="BP162" s="518" t="str">
        <f>IF(AND(_D="A-330-300",'2024'!$H$4="CA",'2024'!$H$2=BP157),'2024DATA'!$K$7,"")</f>
        <v/>
      </c>
      <c r="BQ162" s="518" t="str">
        <f>IF(AND(_D="A-330-300",'2024'!$H$4="CA",'2024'!$H$2=BQ157),'2024DATA'!$L$7,"")</f>
        <v/>
      </c>
      <c r="BR162" s="518" t="str">
        <f>IF(AND(_D="A-330-300",'2024'!$H$4="CA",'2024'!$H$2=BR157),'2024DATA'!$M$7,"")</f>
        <v/>
      </c>
      <c r="BS162" s="520" t="str">
        <f>IF(AND(_D="A-330-300",'2024'!$H$4="CA",'2024'!$H$2=BS157),'2024DATA'!$N$7,"")</f>
        <v/>
      </c>
      <c r="BT162" s="940" t="s">
        <v>64</v>
      </c>
      <c r="BU162" s="13" t="s">
        <v>61</v>
      </c>
      <c r="BV162" s="518" t="str">
        <f>IF(AND(_E="A-330-300",'2024'!$H$4="CA",'2024'!$H$2=BV157),'2024DATA'!$C$7,"")</f>
        <v/>
      </c>
      <c r="BW162" s="518" t="str">
        <f>IF(AND(_E="A-330-300",'2024'!$H$4="CA",'2024'!$H$2=BW157),'2024DATA'!$D$7,"")</f>
        <v/>
      </c>
      <c r="BX162" s="518" t="str">
        <f>IF(AND(_E="A-330-300",'2024'!$H$4="CA",'2024'!$H$2=BX157),'2024DATA'!$E$7,"")</f>
        <v/>
      </c>
      <c r="BY162" s="518" t="str">
        <f>IF(AND(_E="A-330-300",'2024'!$H$4="CA",'2024'!$H$2=BY157),'2024DATA'!$F$7,"")</f>
        <v/>
      </c>
      <c r="BZ162" s="518" t="str">
        <f>IF(AND(_E="A-330-300",'2024'!$H$4="CA",'2024'!$H$2=BZ157),'2024DATA'!$G$7,"")</f>
        <v/>
      </c>
      <c r="CA162" s="518" t="str">
        <f>IF(AND(_E="A-330-300",'2024'!$H$4="CA",'2024'!$H$2=CA157),'2024DATA'!$H$7,"")</f>
        <v/>
      </c>
      <c r="CB162" s="518" t="str">
        <f>IF(AND(_E="A-330-300",'2024'!$H$4="CA",'2024'!$H$2=CB157),'2024DATA'!$I$7,"")</f>
        <v/>
      </c>
      <c r="CC162" s="518" t="str">
        <f>IF(AND(_E="A-330-300",'2024'!$H$4="CA",'2024'!$H$2=CC157),'2024DATA'!$J$7,"")</f>
        <v/>
      </c>
      <c r="CD162" s="518" t="str">
        <f>IF(AND(_E="A-330-300",'2024'!$H$4="CA",'2024'!$H$2=CD157),'2024DATA'!$K$7,"")</f>
        <v/>
      </c>
      <c r="CE162" s="518" t="str">
        <f>IF(AND(_E="A-330-300",'2024'!$H$4="CA",'2024'!$H$2=CE157),'2024DATA'!$L$7,"")</f>
        <v/>
      </c>
      <c r="CF162" s="518" t="str">
        <f>IF(AND(_E="A-330-300",'2024'!$H$4="CA",'2024'!$H$2=CF157),'2024DATA'!$M$7,"")</f>
        <v/>
      </c>
      <c r="CG162" s="520" t="str">
        <f>IF(AND(_E="A-330-300",'2024'!$H$4="CA",'2024'!$H$2=CG157),'2024DATA'!$N$7,"")</f>
        <v/>
      </c>
      <c r="CH162" s="940" t="s">
        <v>64</v>
      </c>
      <c r="CI162" s="13" t="s">
        <v>61</v>
      </c>
      <c r="CJ162" s="518" t="str">
        <f>IF(AND(_F="A-330-300",'2024'!$H$4="CA",'2024'!$H$2=CJ157),'2024DATA'!$C$7,"")</f>
        <v/>
      </c>
      <c r="CK162" s="518" t="str">
        <f>IF(AND(_F="A-330-300",'2024'!$H$4="CA",'2024'!$H$2=CK157),'2024DATA'!$D$7,"")</f>
        <v/>
      </c>
      <c r="CL162" s="518" t="str">
        <f>IF(AND(_F="A-330-300",'2024'!$H$4="CA",'2024'!$H$2=CL157),'2024DATA'!$E$7,"")</f>
        <v/>
      </c>
      <c r="CM162" s="518" t="str">
        <f>IF(AND(_F="A-330-300",'2024'!$H$4="CA",'2024'!$H$2=CM157),'2024DATA'!$F$7,"")</f>
        <v/>
      </c>
      <c r="CN162" s="518" t="str">
        <f>IF(AND(_F="A-330-300",'2024'!$H$4="CA",'2024'!$H$2=CN157),'2024DATA'!$G$7,"")</f>
        <v/>
      </c>
      <c r="CO162" s="518" t="str">
        <f>IF(AND(_F="A-330-300",'2024'!$H$4="CA",'2024'!$H$2=CO157),'2024DATA'!$H$7,"")</f>
        <v/>
      </c>
      <c r="CP162" s="518" t="str">
        <f>IF(AND(_F="A-330-300",'2024'!$H$4="CA",'2024'!$H$2=CP157),'2024DATA'!$I$7,"")</f>
        <v/>
      </c>
      <c r="CQ162" s="518" t="str">
        <f>IF(AND(_F="A-330-300",'2024'!$H$4="CA",'2024'!$H$2=CQ157),'2024DATA'!$J$7,"")</f>
        <v/>
      </c>
      <c r="CR162" s="518" t="str">
        <f>IF(AND(_F="A-330-300",'2024'!$H$4="CA",'2024'!$H$2=CR157),'2024DATA'!$K$7,"")</f>
        <v/>
      </c>
      <c r="CS162" s="518" t="str">
        <f>IF(AND(_F="A-330-300",'2024'!$H$4="CA",'2024'!$H$2=CS157),'2024DATA'!$L$7,"")</f>
        <v/>
      </c>
      <c r="CT162" s="518" t="str">
        <f>IF(AND(_F="A-330-300",'2024'!$H$4="CA",'2024'!$H$2=CT157),'2024DATA'!$M$7,"")</f>
        <v/>
      </c>
      <c r="CU162" s="520" t="str">
        <f>IF(AND(_F="A-330-300",'2024'!$H$4="CA",'2024'!$H$2=CU157),'2024DATA'!$N$7,"")</f>
        <v/>
      </c>
    </row>
    <row r="163" spans="16:99" x14ac:dyDescent="0.25">
      <c r="P163" s="940"/>
      <c r="Q163" s="13" t="s">
        <v>62</v>
      </c>
      <c r="R163" s="518" t="str">
        <f>IF(AND(_A="A-330-300",'2024'!$H$4="FO",'2024'!$H$2=R157),'2024DATA'!$C$8,"")</f>
        <v/>
      </c>
      <c r="S163" s="518" t="str">
        <f>IF(AND(_A="A-330-300",'2024'!$H$4="FO",'2024'!$H$2=S157),'2024DATA'!$D$8,"")</f>
        <v/>
      </c>
      <c r="T163" s="518" t="str">
        <f>IF(AND(_A="A-330-300",'2024'!$H$4="FO",'2024'!$H$2=T157),'2024DATA'!$E$8,"")</f>
        <v/>
      </c>
      <c r="U163" s="518" t="str">
        <f>IF(AND(_A="A-330-300",'2024'!$H$4="FO",'2024'!$H$2=U157),'2024DATA'!$F$8,"")</f>
        <v/>
      </c>
      <c r="V163" s="518" t="str">
        <f>IF(AND(_A="A-330-300",'2024'!$H$4="FO",'2024'!$H$2=V157),'2024DATA'!$G$8,"")</f>
        <v/>
      </c>
      <c r="W163" s="518" t="str">
        <f>IF(AND(_A="A-330-300",'2024'!$H$4="FO",'2024'!$H$2=W157),'2024DATA'!$H$8,"")</f>
        <v/>
      </c>
      <c r="X163" s="518" t="str">
        <f>IF(AND(_A="A-330-300",'2024'!$H$4="FO",'2024'!$H$2=X157),'2024DATA'!$I$8,"")</f>
        <v/>
      </c>
      <c r="Y163" s="518" t="str">
        <f>IF(AND(_A="A-330-300",'2024'!$H$4="FO",'2024'!$H$2=Y157),'2024DATA'!$J$8,"")</f>
        <v/>
      </c>
      <c r="Z163" s="518" t="str">
        <f>IF(AND(_A="A-330-300",'2024'!$H$4="FO",'2024'!$H$2=Z157),'2024DATA'!$K$8,"")</f>
        <v/>
      </c>
      <c r="AA163" s="518" t="str">
        <f>IF(AND(_A="A-330-300",'2024'!$H$4="FO",'2024'!$H$2=AA157),'2024DATA'!$L$8,"")</f>
        <v/>
      </c>
      <c r="AB163" s="518" t="str">
        <f>IF(AND(_A="A-330-300",'2024'!$H$4="FO",'2024'!$H$2=AB157),'2024DATA'!$M$8,"")</f>
        <v/>
      </c>
      <c r="AC163" s="520" t="str">
        <f>IF(AND(_A="A-330-300",'2024'!$H$4="FO",'2024'!$H$2=AC157),'2024DATA'!$N$8,"")</f>
        <v/>
      </c>
      <c r="AD163" s="940"/>
      <c r="AE163" s="13" t="s">
        <v>62</v>
      </c>
      <c r="AF163" s="518" t="str">
        <f>IF(AND(_B="A-330-300",'2024'!$H$4="FO",'2024'!$H$2=AF157),'2024DATA'!$C$8,"")</f>
        <v/>
      </c>
      <c r="AG163" s="518" t="str">
        <f>IF(AND(_B="A-330-300",'2024'!$H$4="FO",'2024'!$H$2=AG157),'2024DATA'!$D$8,"")</f>
        <v/>
      </c>
      <c r="AH163" s="518" t="str">
        <f>IF(AND(_B="A-330-300",'2024'!$H$4="FO",'2024'!$H$2=AH157),'2024DATA'!$E$8,"")</f>
        <v/>
      </c>
      <c r="AI163" s="518" t="str">
        <f>IF(AND(_B="A-330-300",'2024'!$H$4="FO",'2024'!$H$2=AI157),'2024DATA'!$F$8,"")</f>
        <v/>
      </c>
      <c r="AJ163" s="518" t="str">
        <f>IF(AND(_B="A-330-300",'2024'!$H$4="FO",'2024'!$H$2=AJ157),'2024DATA'!$G$8,"")</f>
        <v/>
      </c>
      <c r="AK163" s="518" t="str">
        <f>IF(AND(_B="A-330-300",'2024'!$H$4="FO",'2024'!$H$2=AK157),'2024DATA'!$H$8,"")</f>
        <v/>
      </c>
      <c r="AL163" s="518" t="str">
        <f>IF(AND(_B="A-330-300",'2024'!$H$4="FO",'2024'!$H$2=AL157),'2024DATA'!$I$8,"")</f>
        <v/>
      </c>
      <c r="AM163" s="518" t="str">
        <f>IF(AND(_B="A-330-300",'2024'!$H$4="FO",'2024'!$H$2=AM157),'2024DATA'!$J$8,"")</f>
        <v/>
      </c>
      <c r="AN163" s="518" t="str">
        <f>IF(AND(_B="A-330-300",'2024'!$H$4="FO",'2024'!$H$2=AN157),'2024DATA'!$K$8,"")</f>
        <v/>
      </c>
      <c r="AO163" s="518" t="str">
        <f>IF(AND(_B="A-330-300",'2024'!$H$4="FO",'2024'!$H$2=AO157),'2024DATA'!$L$8,"")</f>
        <v/>
      </c>
      <c r="AP163" s="518" t="str">
        <f>IF(AND(_B="A-330-300",'2024'!$H$4="FO",'2024'!$H$2=AP157),'2024DATA'!$M$8,"")</f>
        <v/>
      </c>
      <c r="AQ163" s="520" t="str">
        <f>IF(AND(_B="A-330-300",'2024'!$H$4="FO",'2024'!$H$2=AQ157),'2024DATA'!$N$8,"")</f>
        <v/>
      </c>
      <c r="AR163" s="940"/>
      <c r="AS163" s="13" t="s">
        <v>62</v>
      </c>
      <c r="AT163" s="518" t="str">
        <f>IF(AND(_C="A-330-300",'2024'!$H$4="FO",'2024'!$H$2=AT157),'2024DATA'!$C$8,"")</f>
        <v/>
      </c>
      <c r="AU163" s="518" t="str">
        <f>IF(AND(_C="A-330-300",'2024'!$H$4="FO",'2024'!$H$2=AU157),'2024DATA'!$D$8,"")</f>
        <v/>
      </c>
      <c r="AV163" s="518" t="str">
        <f>IF(AND(_C="A-330-300",'2024'!$H$4="FO",'2024'!$H$2=AV157),'2024DATA'!$E$8,"")</f>
        <v/>
      </c>
      <c r="AW163" s="518" t="str">
        <f>IF(AND(_C="A-330-300",'2024'!$H$4="FO",'2024'!$H$2=AW157),'2024DATA'!$F$8,"")</f>
        <v/>
      </c>
      <c r="AX163" s="518" t="str">
        <f>IF(AND(_C="A-330-300",'2024'!$H$4="FO",'2024'!$H$2=AX157),'2024DATA'!$G$8,"")</f>
        <v/>
      </c>
      <c r="AY163" s="518" t="str">
        <f>IF(AND(_C="A-330-300",'2024'!$H$4="FO",'2024'!$H$2=AY157),'2024DATA'!$H$8,"")</f>
        <v/>
      </c>
      <c r="AZ163" s="518" t="str">
        <f>IF(AND(_C="A-330-300",'2024'!$H$4="FO",'2024'!$H$2=AZ157),'2024DATA'!$I$8,"")</f>
        <v/>
      </c>
      <c r="BA163" s="518" t="str">
        <f>IF(AND(_C="A-330-300",'2024'!$H$4="FO",'2024'!$H$2=BA157),'2024DATA'!$J$8,"")</f>
        <v/>
      </c>
      <c r="BB163" s="518" t="str">
        <f>IF(AND(_C="A-330-300",'2024'!$H$4="FO",'2024'!$H$2=BB157),'2024DATA'!$K$8,"")</f>
        <v/>
      </c>
      <c r="BC163" s="518" t="str">
        <f>IF(AND(_C="A-330-300",'2024'!$H$4="FO",'2024'!$H$2=BC157),'2024DATA'!$L$8,"")</f>
        <v/>
      </c>
      <c r="BD163" s="518" t="str">
        <f>IF(AND(_C="A-330-300",'2024'!$H$4="FO",'2024'!$H$2=BD157),'2024DATA'!$M$8,"")</f>
        <v/>
      </c>
      <c r="BE163" s="520" t="str">
        <f>IF(AND(_C="A-330-300",'2024'!$H$4="FO",'2024'!$H$2=BE157),'2024DATA'!$N$8,"")</f>
        <v/>
      </c>
      <c r="BF163" s="940"/>
      <c r="BG163" s="13" t="s">
        <v>62</v>
      </c>
      <c r="BH163" s="518" t="str">
        <f>IF(AND(_D="A-330-300",'2024'!$H$4="FO",'2024'!$H$2=BH157),'2024DATA'!$C$8,"")</f>
        <v/>
      </c>
      <c r="BI163" s="518" t="str">
        <f>IF(AND(_D="A-330-300",'2024'!$H$4="FO",'2024'!$H$2=BI157),'2024DATA'!$D$8,"")</f>
        <v/>
      </c>
      <c r="BJ163" s="518" t="str">
        <f>IF(AND(_D="A-330-300",'2024'!$H$4="FO",'2024'!$H$2=BJ157),'2024DATA'!$E$8,"")</f>
        <v/>
      </c>
      <c r="BK163" s="518" t="str">
        <f>IF(AND(_D="A-330-300",'2024'!$H$4="FO",'2024'!$H$2=BK157),'2024DATA'!$F$8,"")</f>
        <v/>
      </c>
      <c r="BL163" s="518" t="str">
        <f>IF(AND(_D="A-330-300",'2024'!$H$4="FO",'2024'!$H$2=BL157),'2024DATA'!$G$8,"")</f>
        <v/>
      </c>
      <c r="BM163" s="518" t="str">
        <f>IF(AND(_D="A-330-300",'2024'!$H$4="FO",'2024'!$H$2=BM157),'2024DATA'!$H$8,"")</f>
        <v/>
      </c>
      <c r="BN163" s="518" t="str">
        <f>IF(AND(_D="A-330-300",'2024'!$H$4="FO",'2024'!$H$2=BN157),'2024DATA'!$I$8,"")</f>
        <v/>
      </c>
      <c r="BO163" s="518" t="str">
        <f>IF(AND(_D="A-330-300",'2024'!$H$4="FO",'2024'!$H$2=BO157),'2024DATA'!$J$8,"")</f>
        <v/>
      </c>
      <c r="BP163" s="518" t="str">
        <f>IF(AND(_D="A-330-300",'2024'!$H$4="FO",'2024'!$H$2=BP157),'2024DATA'!$K$8,"")</f>
        <v/>
      </c>
      <c r="BQ163" s="518" t="str">
        <f>IF(AND(_D="A-330-300",'2024'!$H$4="FO",'2024'!$H$2=BQ157),'2024DATA'!$L$8,"")</f>
        <v/>
      </c>
      <c r="BR163" s="518" t="str">
        <f>IF(AND(_D="A-330-300",'2024'!$H$4="FO",'2024'!$H$2=BR157),'2024DATA'!$M$8,"")</f>
        <v/>
      </c>
      <c r="BS163" s="520" t="str">
        <f>IF(AND(_D="A-330-300",'2024'!$H$4="FO",'2024'!$H$2=BS157),'2024DATA'!$N$8,"")</f>
        <v/>
      </c>
      <c r="BT163" s="940"/>
      <c r="BU163" s="13" t="s">
        <v>62</v>
      </c>
      <c r="BV163" s="518" t="str">
        <f>IF(AND(_E="A-330-300",'2024'!$H$4="FO",'2024'!$H$2=BV157),'2024DATA'!$C$8,"")</f>
        <v/>
      </c>
      <c r="BW163" s="518" t="str">
        <f>IF(AND(_E="A-330-300",'2024'!$H$4="FO",'2024'!$H$2=BW157),'2024DATA'!$D$8,"")</f>
        <v/>
      </c>
      <c r="BX163" s="518" t="str">
        <f>IF(AND(_E="A-330-300",'2024'!$H$4="FO",'2024'!$H$2=BX157),'2024DATA'!$E$8,"")</f>
        <v/>
      </c>
      <c r="BY163" s="518" t="str">
        <f>IF(AND(_E="A-330-300",'2024'!$H$4="FO",'2024'!$H$2=BY157),'2024DATA'!$F$8,"")</f>
        <v/>
      </c>
      <c r="BZ163" s="518" t="str">
        <f>IF(AND(_E="A-330-300",'2024'!$H$4="FO",'2024'!$H$2=BZ157),'2024DATA'!$G$8,"")</f>
        <v/>
      </c>
      <c r="CA163" s="518" t="str">
        <f>IF(AND(_E="A-330-300",'2024'!$H$4="FO",'2024'!$H$2=CA157),'2024DATA'!$H$8,"")</f>
        <v/>
      </c>
      <c r="CB163" s="518" t="str">
        <f>IF(AND(_E="A-330-300",'2024'!$H$4="FO",'2024'!$H$2=CB157),'2024DATA'!$I$8,"")</f>
        <v/>
      </c>
      <c r="CC163" s="518" t="str">
        <f>IF(AND(_E="A-330-300",'2024'!$H$4="FO",'2024'!$H$2=CC157),'2024DATA'!$J$8,"")</f>
        <v/>
      </c>
      <c r="CD163" s="518" t="str">
        <f>IF(AND(_E="A-330-300",'2024'!$H$4="FO",'2024'!$H$2=CD157),'2024DATA'!$K$8,"")</f>
        <v/>
      </c>
      <c r="CE163" s="518" t="str">
        <f>IF(AND(_E="A-330-300",'2024'!$H$4="FO",'2024'!$H$2=CE157),'2024DATA'!$L$8,"")</f>
        <v/>
      </c>
      <c r="CF163" s="518" t="str">
        <f>IF(AND(_E="A-330-300",'2024'!$H$4="FO",'2024'!$H$2=CF157),'2024DATA'!$M$8,"")</f>
        <v/>
      </c>
      <c r="CG163" s="520" t="str">
        <f>IF(AND(_E="A-330-300",'2024'!$H$4="FO",'2024'!$H$2=CG157),'2024DATA'!$N$8,"")</f>
        <v/>
      </c>
      <c r="CH163" s="940"/>
      <c r="CI163" s="13" t="s">
        <v>62</v>
      </c>
      <c r="CJ163" s="518" t="str">
        <f>IF(AND(_F="A-330-300",'2024'!$H$4="FO",'2024'!$H$2=CJ157),'2024DATA'!$C$8,"")</f>
        <v/>
      </c>
      <c r="CK163" s="518" t="str">
        <f>IF(AND(_F="A-330-300",'2024'!$H$4="FO",'2024'!$H$2=CK157),'2024DATA'!$D$8,"")</f>
        <v/>
      </c>
      <c r="CL163" s="518" t="str">
        <f>IF(AND(_F="A-330-300",'2024'!$H$4="FO",'2024'!$H$2=CL157),'2024DATA'!$E$8,"")</f>
        <v/>
      </c>
      <c r="CM163" s="518" t="str">
        <f>IF(AND(_F="A-330-300",'2024'!$H$4="FO",'2024'!$H$2=CM157),'2024DATA'!$F$8,"")</f>
        <v/>
      </c>
      <c r="CN163" s="518" t="str">
        <f>IF(AND(_F="A-330-300",'2024'!$H$4="FO",'2024'!$H$2=CN157),'2024DATA'!$G$8,"")</f>
        <v/>
      </c>
      <c r="CO163" s="518" t="str">
        <f>IF(AND(_F="A-330-300",'2024'!$H$4="FO",'2024'!$H$2=CO157),'2024DATA'!$H$8,"")</f>
        <v/>
      </c>
      <c r="CP163" s="518" t="str">
        <f>IF(AND(_F="A-330-300",'2024'!$H$4="FO",'2024'!$H$2=CP157),'2024DATA'!$I$8,"")</f>
        <v/>
      </c>
      <c r="CQ163" s="518" t="str">
        <f>IF(AND(_F="A-330-300",'2024'!$H$4="FO",'2024'!$H$2=CQ157),'2024DATA'!$J$8,"")</f>
        <v/>
      </c>
      <c r="CR163" s="518" t="str">
        <f>IF(AND(_F="A-330-300",'2024'!$H$4="FO",'2024'!$H$2=CR157),'2024DATA'!$K$8,"")</f>
        <v/>
      </c>
      <c r="CS163" s="518" t="str">
        <f>IF(AND(_F="A-330-300",'2024'!$H$4="FO",'2024'!$H$2=CS157),'2024DATA'!$L$8,"")</f>
        <v/>
      </c>
      <c r="CT163" s="518" t="str">
        <f>IF(AND(_F="A-330-300",'2024'!$H$4="FO",'2024'!$H$2=CT157),'2024DATA'!$M$8,"")</f>
        <v/>
      </c>
      <c r="CU163" s="520" t="str">
        <f>IF(AND(_F="A-330-300",'2024'!$H$4="FO",'2024'!$H$2=CU157),'2024DATA'!$N$8,"")</f>
        <v/>
      </c>
    </row>
    <row r="164" spans="16:99" x14ac:dyDescent="0.25">
      <c r="P164" s="940" t="s">
        <v>66</v>
      </c>
      <c r="Q164" s="13" t="s">
        <v>61</v>
      </c>
      <c r="R164" s="518" t="str">
        <f>IF(AND(_A="A-330-200",'2024'!$H$4="CA",'2024'!$H$2=R157),'2024DATA'!$C$9,"")</f>
        <v/>
      </c>
      <c r="S164" s="518" t="str">
        <f>IF(AND(_A="A-330-200",'2024'!$H$4="CA",'2024'!$H$2=S157),'2024DATA'!$D$9,"")</f>
        <v/>
      </c>
      <c r="T164" s="518" t="str">
        <f>IF(AND(_A="A-330-200",'2024'!$H$4="CA",'2024'!$H$2=T157),'2024DATA'!$E$9,"")</f>
        <v/>
      </c>
      <c r="U164" s="518" t="str">
        <f>IF(AND(_A="A-330-200",'2024'!$H$4="CA",'2024'!$H$2=U157),'2024DATA'!$F$9,"")</f>
        <v/>
      </c>
      <c r="V164" s="518" t="str">
        <f>IF(AND(_A="A-330-200",'2024'!$H$4="CA",'2024'!$H$2=V157),'2024DATA'!$G$9,"")</f>
        <v/>
      </c>
      <c r="W164" s="518" t="str">
        <f>IF(AND(_A="A-330-200",'2024'!$H$4="CA",'2024'!$H$2=W157),'2024DATA'!$H$9,"")</f>
        <v/>
      </c>
      <c r="X164" s="518" t="str">
        <f>IF(AND(_A="A-330-200",'2024'!$H$4="CA",'2024'!$H$2=X157),'2024DATA'!$I$9,"")</f>
        <v/>
      </c>
      <c r="Y164" s="518" t="str">
        <f>IF(AND(_A="A-330-200",'2024'!$H$4="CA",'2024'!$H$2=Y157),'2024DATA'!$J$9,"")</f>
        <v/>
      </c>
      <c r="Z164" s="518" t="str">
        <f>IF(AND(_A="A-330-200",'2024'!$H$4="CA",'2024'!$H$2=Z157),'2024DATA'!$K$9,"")</f>
        <v/>
      </c>
      <c r="AA164" s="518" t="str">
        <f>IF(AND(_A="A-330-200",'2024'!$H$4="CA",'2024'!$H$2=AA157),'2024DATA'!$L$9,"")</f>
        <v/>
      </c>
      <c r="AB164" s="518" t="str">
        <f>IF(AND(_A="A-330-200",'2024'!$H$4="CA",'2024'!$H$2=AB157),'2024DATA'!$M$9,"")</f>
        <v/>
      </c>
      <c r="AC164" s="520" t="str">
        <f>IF(AND(_A="A-330-200",'2024'!$H$4="CA",'2024'!$H$2=AC157),'2024DATA'!$N$9,"")</f>
        <v/>
      </c>
      <c r="AD164" s="940" t="s">
        <v>66</v>
      </c>
      <c r="AE164" s="13" t="s">
        <v>61</v>
      </c>
      <c r="AF164" s="518" t="str">
        <f>IF(AND(_B="A-330-200",'2024'!$H$4="CA",'2024'!$H$2=AF157),'2024DATA'!$C$9,"")</f>
        <v/>
      </c>
      <c r="AG164" s="518" t="str">
        <f>IF(AND(_B="A-330-200",'2024'!$H$4="CA",'2024'!$H$2=AG157),'2024DATA'!$D$9,"")</f>
        <v/>
      </c>
      <c r="AH164" s="518" t="str">
        <f>IF(AND(_B="A-330-200",'2024'!$H$4="CA",'2024'!$H$2=AH157),'2024DATA'!$E$9,"")</f>
        <v/>
      </c>
      <c r="AI164" s="518" t="str">
        <f>IF(AND(_B="A-330-200",'2024'!$H$4="CA",'2024'!$H$2=AI157),'2024DATA'!$F$9,"")</f>
        <v/>
      </c>
      <c r="AJ164" s="518" t="str">
        <f>IF(AND(_B="A-330-200",'2024'!$H$4="CA",'2024'!$H$2=AJ157),'2024DATA'!$G$9,"")</f>
        <v/>
      </c>
      <c r="AK164" s="518" t="str">
        <f>IF(AND(_B="A-330-200",'2024'!$H$4="CA",'2024'!$H$2=AK157),'2024DATA'!$H$9,"")</f>
        <v/>
      </c>
      <c r="AL164" s="518" t="str">
        <f>IF(AND(_B="A-330-200",'2024'!$H$4="CA",'2024'!$H$2=AL157),'2024DATA'!$I$9,"")</f>
        <v/>
      </c>
      <c r="AM164" s="518" t="str">
        <f>IF(AND(_B="A-330-200",'2024'!$H$4="CA",'2024'!$H$2=AM157),'2024DATA'!$J$9,"")</f>
        <v/>
      </c>
      <c r="AN164" s="518" t="str">
        <f>IF(AND(_B="A-330-200",'2024'!$H$4="CA",'2024'!$H$2=AN157),'2024DATA'!$K$9,"")</f>
        <v/>
      </c>
      <c r="AO164" s="518" t="str">
        <f>IF(AND(_B="A-330-200",'2024'!$H$4="CA",'2024'!$H$2=AO157),'2024DATA'!$L$9,"")</f>
        <v/>
      </c>
      <c r="AP164" s="518" t="str">
        <f>IF(AND(_B="A-330-200",'2024'!$H$4="CA",'2024'!$H$2=AP157),'2024DATA'!$M$9,"")</f>
        <v/>
      </c>
      <c r="AQ164" s="520" t="str">
        <f>IF(AND(_B="A-330-200",'2024'!$H$4="CA",'2024'!$H$2=AQ157),'2024DATA'!$N$9,"")</f>
        <v/>
      </c>
      <c r="AR164" s="940" t="s">
        <v>66</v>
      </c>
      <c r="AS164" s="13" t="s">
        <v>61</v>
      </c>
      <c r="AT164" s="518" t="str">
        <f>IF(AND(_C="A-330-200",'2024'!$H$4="CA",'2024'!$H$2=AT157),'2024DATA'!$C$9,"")</f>
        <v/>
      </c>
      <c r="AU164" s="518" t="str">
        <f>IF(AND(_C="A-330-200",'2024'!$H$4="CA",'2024'!$H$2=AU157),'2024DATA'!$D$9,"")</f>
        <v/>
      </c>
      <c r="AV164" s="518" t="str">
        <f>IF(AND(_C="A-330-200",'2024'!$H$4="CA",'2024'!$H$2=AV157),'2024DATA'!$E$9,"")</f>
        <v/>
      </c>
      <c r="AW164" s="518" t="str">
        <f>IF(AND(_C="A-330-200",'2024'!$H$4="CA",'2024'!$H$2=AW157),'2024DATA'!$F$9,"")</f>
        <v/>
      </c>
      <c r="AX164" s="518" t="str">
        <f>IF(AND(_C="A-330-200",'2024'!$H$4="CA",'2024'!$H$2=AX157),'2024DATA'!$G$9,"")</f>
        <v/>
      </c>
      <c r="AY164" s="518" t="str">
        <f>IF(AND(_C="A-330-200",'2024'!$H$4="CA",'2024'!$H$2=AY157),'2024DATA'!$H$9,"")</f>
        <v/>
      </c>
      <c r="AZ164" s="518" t="str">
        <f>IF(AND(_C="A-330-200",'2024'!$H$4="CA",'2024'!$H$2=AZ157),'2024DATA'!$I$9,"")</f>
        <v/>
      </c>
      <c r="BA164" s="518" t="str">
        <f>IF(AND(_C="A-330-200",'2024'!$H$4="CA",'2024'!$H$2=BA157),'2024DATA'!$J$9,"")</f>
        <v/>
      </c>
      <c r="BB164" s="518" t="str">
        <f>IF(AND(_C="A-330-200",'2024'!$H$4="CA",'2024'!$H$2=BB157),'2024DATA'!$K$9,"")</f>
        <v/>
      </c>
      <c r="BC164" s="518" t="str">
        <f>IF(AND(_C="A-330-200",'2024'!$H$4="CA",'2024'!$H$2=BC157),'2024DATA'!$L$9,"")</f>
        <v/>
      </c>
      <c r="BD164" s="518" t="str">
        <f>IF(AND(_C="A-330-200",'2024'!$H$4="CA",'2024'!$H$2=BD157),'2024DATA'!$M$9,"")</f>
        <v/>
      </c>
      <c r="BE164" s="520" t="str">
        <f>IF(AND(_C="A-330-200",'2024'!$H$4="CA",'2024'!$H$2=BE157),'2024DATA'!$N$9,"")</f>
        <v/>
      </c>
      <c r="BF164" s="940" t="s">
        <v>66</v>
      </c>
      <c r="BG164" s="13" t="s">
        <v>61</v>
      </c>
      <c r="BH164" s="518" t="str">
        <f>IF(AND(_D="A-330-200",'2024'!$H$4="CA",'2024'!$H$2=BH157),'2024DATA'!$C$9,"")</f>
        <v/>
      </c>
      <c r="BI164" s="518" t="str">
        <f>IF(AND(_D="A-330-200",'2024'!$H$4="CA",'2024'!$H$2=BI157),'2024DATA'!$D$9,"")</f>
        <v/>
      </c>
      <c r="BJ164" s="518" t="str">
        <f>IF(AND(_D="A-330-200",'2024'!$H$4="CA",'2024'!$H$2=BJ157),'2024DATA'!$E$9,"")</f>
        <v/>
      </c>
      <c r="BK164" s="518" t="str">
        <f>IF(AND(_D="A-330-200",'2024'!$H$4="CA",'2024'!$H$2=BK157),'2024DATA'!$F$9,"")</f>
        <v/>
      </c>
      <c r="BL164" s="518" t="str">
        <f>IF(AND(_D="A-330-200",'2024'!$H$4="CA",'2024'!$H$2=BL157),'2024DATA'!$G$9,"")</f>
        <v/>
      </c>
      <c r="BM164" s="518" t="str">
        <f>IF(AND(_D="A-330-200",'2024'!$H$4="CA",'2024'!$H$2=BM157),'2024DATA'!$H$9,"")</f>
        <v/>
      </c>
      <c r="BN164" s="518" t="str">
        <f>IF(AND(_D="A-330-200",'2024'!$H$4="CA",'2024'!$H$2=BN157),'2024DATA'!$I$9,"")</f>
        <v/>
      </c>
      <c r="BO164" s="518" t="str">
        <f>IF(AND(_D="A-330-200",'2024'!$H$4="CA",'2024'!$H$2=BO157),'2024DATA'!$J$9,"")</f>
        <v/>
      </c>
      <c r="BP164" s="518" t="str">
        <f>IF(AND(_D="A-330-200",'2024'!$H$4="CA",'2024'!$H$2=BP157),'2024DATA'!$K$9,"")</f>
        <v/>
      </c>
      <c r="BQ164" s="518" t="str">
        <f>IF(AND(_D="A-330-200",'2024'!$H$4="CA",'2024'!$H$2=BQ157),'2024DATA'!$L$9,"")</f>
        <v/>
      </c>
      <c r="BR164" s="518" t="str">
        <f>IF(AND(_D="A-330-200",'2024'!$H$4="CA",'2024'!$H$2=BR157),'2024DATA'!$M$9,"")</f>
        <v/>
      </c>
      <c r="BS164" s="520" t="str">
        <f>IF(AND(_D="A-330-200",'2024'!$H$4="CA",'2024'!$H$2=BS157),'2024DATA'!$N$9,"")</f>
        <v/>
      </c>
      <c r="BT164" s="940" t="s">
        <v>66</v>
      </c>
      <c r="BU164" s="13" t="s">
        <v>61</v>
      </c>
      <c r="BV164" s="518" t="str">
        <f>IF(AND(_E="A-330-200",'2024'!$H$4="CA",'2024'!$H$2=BV157),'2024DATA'!$C$9,"")</f>
        <v/>
      </c>
      <c r="BW164" s="518" t="str">
        <f>IF(AND(_E="A-330-200",'2024'!$H$4="CA",'2024'!$H$2=BW157),'2024DATA'!$D$9,"")</f>
        <v/>
      </c>
      <c r="BX164" s="518" t="str">
        <f>IF(AND(_E="A-330-200",'2024'!$H$4="CA",'2024'!$H$2=BX157),'2024DATA'!$E$9,"")</f>
        <v/>
      </c>
      <c r="BY164" s="518" t="str">
        <f>IF(AND(_E="A-330-200",'2024'!$H$4="CA",'2024'!$H$2=BY157),'2024DATA'!$F$9,"")</f>
        <v/>
      </c>
      <c r="BZ164" s="518" t="str">
        <f>IF(AND(_E="A-330-200",'2024'!$H$4="CA",'2024'!$H$2=BZ157),'2024DATA'!$G$9,"")</f>
        <v/>
      </c>
      <c r="CA164" s="518" t="str">
        <f>IF(AND(_E="A-330-200",'2024'!$H$4="CA",'2024'!$H$2=CA157),'2024DATA'!$H$9,"")</f>
        <v/>
      </c>
      <c r="CB164" s="518" t="str">
        <f>IF(AND(_E="A-330-200",'2024'!$H$4="CA",'2024'!$H$2=CB157),'2024DATA'!$I$9,"")</f>
        <v/>
      </c>
      <c r="CC164" s="518" t="str">
        <f>IF(AND(_E="A-330-200",'2024'!$H$4="CA",'2024'!$H$2=CC157),'2024DATA'!$J$9,"")</f>
        <v/>
      </c>
      <c r="CD164" s="518" t="str">
        <f>IF(AND(_E="A-330-200",'2024'!$H$4="CA",'2024'!$H$2=CD157),'2024DATA'!$K$9,"")</f>
        <v/>
      </c>
      <c r="CE164" s="518" t="str">
        <f>IF(AND(_E="A-330-200",'2024'!$H$4="CA",'2024'!$H$2=CE157),'2024DATA'!$L$9,"")</f>
        <v/>
      </c>
      <c r="CF164" s="518" t="str">
        <f>IF(AND(_E="A-330-200",'2024'!$H$4="CA",'2024'!$H$2=CF157),'2024DATA'!$M$9,"")</f>
        <v/>
      </c>
      <c r="CG164" s="520" t="str">
        <f>IF(AND(_E="A-330-200",'2024'!$H$4="CA",'2024'!$H$2=CG157),'2024DATA'!$N$9,"")</f>
        <v/>
      </c>
      <c r="CH164" s="940" t="s">
        <v>66</v>
      </c>
      <c r="CI164" s="13" t="s">
        <v>61</v>
      </c>
      <c r="CJ164" s="518" t="str">
        <f>IF(AND(_F="A-330-200",'2024'!$H$4="CA",'2024'!$H$2=CJ157),'2024DATA'!$C$9,"")</f>
        <v/>
      </c>
      <c r="CK164" s="518" t="str">
        <f>IF(AND(_F="A-330-200",'2024'!$H$4="CA",'2024'!$H$2=CK157),'2024DATA'!$D$9,"")</f>
        <v/>
      </c>
      <c r="CL164" s="518" t="str">
        <f>IF(AND(_F="A-330-200",'2024'!$H$4="CA",'2024'!$H$2=CL157),'2024DATA'!$E$9,"")</f>
        <v/>
      </c>
      <c r="CM164" s="518" t="str">
        <f>IF(AND(_F="A-330-200",'2024'!$H$4="CA",'2024'!$H$2=CM157),'2024DATA'!$F$9,"")</f>
        <v/>
      </c>
      <c r="CN164" s="518" t="str">
        <f>IF(AND(_F="A-330-200",'2024'!$H$4="CA",'2024'!$H$2=CN157),'2024DATA'!$G$9,"")</f>
        <v/>
      </c>
      <c r="CO164" s="518" t="str">
        <f>IF(AND(_F="A-330-200",'2024'!$H$4="CA",'2024'!$H$2=CO157),'2024DATA'!$H$9,"")</f>
        <v/>
      </c>
      <c r="CP164" s="518" t="str">
        <f>IF(AND(_F="A-330-200",'2024'!$H$4="CA",'2024'!$H$2=CP157),'2024DATA'!$I$9,"")</f>
        <v/>
      </c>
      <c r="CQ164" s="518" t="str">
        <f>IF(AND(_F="A-330-200",'2024'!$H$4="CA",'2024'!$H$2=CQ157),'2024DATA'!$J$9,"")</f>
        <v/>
      </c>
      <c r="CR164" s="518" t="str">
        <f>IF(AND(_F="A-330-200",'2024'!$H$4="CA",'2024'!$H$2=CR157),'2024DATA'!$K$9,"")</f>
        <v/>
      </c>
      <c r="CS164" s="518" t="str">
        <f>IF(AND(_F="A-330-200",'2024'!$H$4="CA",'2024'!$H$2=CS157),'2024DATA'!$L$9,"")</f>
        <v/>
      </c>
      <c r="CT164" s="518" t="str">
        <f>IF(AND(_F="A-330-200",'2024'!$H$4="CA",'2024'!$H$2=CT157),'2024DATA'!$M$9,"")</f>
        <v/>
      </c>
      <c r="CU164" s="520" t="str">
        <f>IF(AND(_F="A-330-200",'2024'!$H$4="CA",'2024'!$H$2=CU157),'2024DATA'!$N$9,"")</f>
        <v/>
      </c>
    </row>
    <row r="165" spans="16:99" x14ac:dyDescent="0.25">
      <c r="P165" s="940"/>
      <c r="Q165" s="13" t="s">
        <v>62</v>
      </c>
      <c r="R165" s="518" t="str">
        <f>IF(AND(_A="A-330-200",'2024'!$H$4="FO",'2024'!$H$2=R157),'2024DATA'!$C$10,"")</f>
        <v/>
      </c>
      <c r="S165" s="518" t="str">
        <f>IF(AND(_A="A-330-200",'2024'!$H$4="FO",'2024'!$H$2=S157),'2024DATA'!$D$10,"")</f>
        <v/>
      </c>
      <c r="T165" s="518" t="str">
        <f>IF(AND(_A="A-330-200",'2024'!$H$4="FO",'2024'!$H$2=T157),'2024DATA'!$E$10,"")</f>
        <v/>
      </c>
      <c r="U165" s="518" t="str">
        <f>IF(AND(_A="A-330-200",'2024'!$H$4="FO",'2024'!$H$2=U157),'2024DATA'!$F$10,"")</f>
        <v/>
      </c>
      <c r="V165" s="518" t="str">
        <f>IF(AND(_A="A-330-200",'2024'!$H$4="FO",'2024'!$H$2=V157),'2024DATA'!$G$10,"")</f>
        <v/>
      </c>
      <c r="W165" s="518" t="str">
        <f>IF(AND(_A="A-330-200",'2024'!$H$4="FO",'2024'!$H$2=W157),'2024DATA'!$H$10,"")</f>
        <v/>
      </c>
      <c r="X165" s="518" t="str">
        <f>IF(AND(_A="A-330-200",'2024'!$H$4="FO",'2024'!$H$2=X157),'2024DATA'!$I$10,"")</f>
        <v/>
      </c>
      <c r="Y165" s="518" t="str">
        <f>IF(AND(_A="A-330-200",'2024'!$H$4="FO",'2024'!$H$2=Y157),'2024DATA'!$J$10,"")</f>
        <v/>
      </c>
      <c r="Z165" s="518" t="str">
        <f>IF(AND(_A="A-330-200",'2024'!$H$4="FO",'2024'!$H$2=Z157),'2024DATA'!$K$10,"")</f>
        <v/>
      </c>
      <c r="AA165" s="518" t="str">
        <f>IF(AND(_A="A-330-200",'2024'!$H$4="FO",'2024'!$H$2=AA157),'2024DATA'!$L$10,"")</f>
        <v/>
      </c>
      <c r="AB165" s="518" t="str">
        <f>IF(AND(_A="A-330-200",'2024'!$H$4="FO",'2024'!$H$2=AB157),'2024DATA'!$M$10,"")</f>
        <v/>
      </c>
      <c r="AC165" s="520" t="str">
        <f>IF(AND(_A="A-330-200",'2024'!$H$4="FO",'2024'!$H$2=AC157),'2024DATA'!$N$10,"")</f>
        <v/>
      </c>
      <c r="AD165" s="940"/>
      <c r="AE165" s="13" t="s">
        <v>62</v>
      </c>
      <c r="AF165" s="518" t="str">
        <f>IF(AND(_B="A-330-200",'2024'!$H$4="FO",'2024'!$H$2=AF157),'2024DATA'!$C$10,"")</f>
        <v/>
      </c>
      <c r="AG165" s="518" t="str">
        <f>IF(AND(_B="A-330-200",'2024'!$H$4="FO",'2024'!$H$2=AG157),'2024DATA'!$D$10,"")</f>
        <v/>
      </c>
      <c r="AH165" s="518" t="str">
        <f>IF(AND(_B="A-330-200",'2024'!$H$4="FO",'2024'!$H$2=AH157),'2024DATA'!$E$10,"")</f>
        <v/>
      </c>
      <c r="AI165" s="518" t="str">
        <f>IF(AND(_B="A-330-200",'2024'!$H$4="FO",'2024'!$H$2=AI157),'2024DATA'!$F$10,"")</f>
        <v/>
      </c>
      <c r="AJ165" s="518" t="str">
        <f>IF(AND(_B="A-330-200",'2024'!$H$4="FO",'2024'!$H$2=AJ157),'2024DATA'!$G$10,"")</f>
        <v/>
      </c>
      <c r="AK165" s="518" t="str">
        <f>IF(AND(_B="A-330-200",'2024'!$H$4="FO",'2024'!$H$2=AK157),'2024DATA'!$H$10,"")</f>
        <v/>
      </c>
      <c r="AL165" s="518" t="str">
        <f>IF(AND(_B="A-330-200",'2024'!$H$4="FO",'2024'!$H$2=AL157),'2024DATA'!$I$10,"")</f>
        <v/>
      </c>
      <c r="AM165" s="518" t="str">
        <f>IF(AND(_B="A-330-200",'2024'!$H$4="FO",'2024'!$H$2=AM157),'2024DATA'!$J$10,"")</f>
        <v/>
      </c>
      <c r="AN165" s="518" t="str">
        <f>IF(AND(_B="A-330-200",'2024'!$H$4="FO",'2024'!$H$2=AN157),'2024DATA'!$K$10,"")</f>
        <v/>
      </c>
      <c r="AO165" s="518" t="str">
        <f>IF(AND(_B="A-330-200",'2024'!$H$4="FO",'2024'!$H$2=AO157),'2024DATA'!$L$10,"")</f>
        <v/>
      </c>
      <c r="AP165" s="518" t="str">
        <f>IF(AND(_B="A-330-200",'2024'!$H$4="FO",'2024'!$H$2=AP157),'2024DATA'!$M$10,"")</f>
        <v/>
      </c>
      <c r="AQ165" s="520" t="str">
        <f>IF(AND(_B="A-330-200",'2024'!$H$4="FO",'2024'!$H$2=AQ157),'2024DATA'!$N$10,"")</f>
        <v/>
      </c>
      <c r="AR165" s="940"/>
      <c r="AS165" s="13" t="s">
        <v>62</v>
      </c>
      <c r="AT165" s="518" t="str">
        <f>IF(AND(_C="A-330-200",'2024'!$H$4="FO",'2024'!$H$2=AT157),'2024DATA'!$C$10,"")</f>
        <v/>
      </c>
      <c r="AU165" s="518" t="str">
        <f>IF(AND(_C="A-330-200",'2024'!$H$4="FO",'2024'!$H$2=AU157),'2024DATA'!$D$10,"")</f>
        <v/>
      </c>
      <c r="AV165" s="518" t="str">
        <f>IF(AND(_C="A-330-200",'2024'!$H$4="FO",'2024'!$H$2=AV157),'2024DATA'!$E$10,"")</f>
        <v/>
      </c>
      <c r="AW165" s="518" t="str">
        <f>IF(AND(_C="A-330-200",'2024'!$H$4="FO",'2024'!$H$2=AW157),'2024DATA'!$F$10,"")</f>
        <v/>
      </c>
      <c r="AX165" s="518" t="str">
        <f>IF(AND(_C="A-330-200",'2024'!$H$4="FO",'2024'!$H$2=AX157),'2024DATA'!$G$10,"")</f>
        <v/>
      </c>
      <c r="AY165" s="518" t="str">
        <f>IF(AND(_C="A-330-200",'2024'!$H$4="FO",'2024'!$H$2=AY157),'2024DATA'!$H$10,"")</f>
        <v/>
      </c>
      <c r="AZ165" s="518" t="str">
        <f>IF(AND(_C="A-330-200",'2024'!$H$4="FO",'2024'!$H$2=AZ157),'2024DATA'!$I$10,"")</f>
        <v/>
      </c>
      <c r="BA165" s="518" t="str">
        <f>IF(AND(_C="A-330-200",'2024'!$H$4="FO",'2024'!$H$2=BA157),'2024DATA'!$J$10,"")</f>
        <v/>
      </c>
      <c r="BB165" s="518" t="str">
        <f>IF(AND(_C="A-330-200",'2024'!$H$4="FO",'2024'!$H$2=BB157),'2024DATA'!$K$10,"")</f>
        <v/>
      </c>
      <c r="BC165" s="518" t="str">
        <f>IF(AND(_C="A-330-200",'2024'!$H$4="FO",'2024'!$H$2=BC157),'2024DATA'!$L$10,"")</f>
        <v/>
      </c>
      <c r="BD165" s="518" t="str">
        <f>IF(AND(_C="A-330-200",'2024'!$H$4="FO",'2024'!$H$2=BD157),'2024DATA'!$M$10,"")</f>
        <v/>
      </c>
      <c r="BE165" s="520" t="str">
        <f>IF(AND(_C="A-330-200",'2024'!$H$4="FO",'2024'!$H$2=BE157),'2024DATA'!$N$10,"")</f>
        <v/>
      </c>
      <c r="BF165" s="940"/>
      <c r="BG165" s="13" t="s">
        <v>62</v>
      </c>
      <c r="BH165" s="518" t="str">
        <f>IF(AND(_D="A-330-200",'2024'!$H$4="FO",'2024'!$H$2=BH157),'2024DATA'!$C$10,"")</f>
        <v/>
      </c>
      <c r="BI165" s="518" t="str">
        <f>IF(AND(_D="A-330-200",'2024'!$H$4="FO",'2024'!$H$2=BI157),'2024DATA'!$D$10,"")</f>
        <v/>
      </c>
      <c r="BJ165" s="518" t="str">
        <f>IF(AND(_D="A-330-200",'2024'!$H$4="FO",'2024'!$H$2=BJ157),'2024DATA'!$E$10,"")</f>
        <v/>
      </c>
      <c r="BK165" s="518" t="str">
        <f>IF(AND(_D="A-330-200",'2024'!$H$4="FO",'2024'!$H$2=BK157),'2024DATA'!$F$10,"")</f>
        <v/>
      </c>
      <c r="BL165" s="518" t="str">
        <f>IF(AND(_D="A-330-200",'2024'!$H$4="FO",'2024'!$H$2=BL157),'2024DATA'!$G$10,"")</f>
        <v/>
      </c>
      <c r="BM165" s="518" t="str">
        <f>IF(AND(_D="A-330-200",'2024'!$H$4="FO",'2024'!$H$2=BM157),'2024DATA'!$H$10,"")</f>
        <v/>
      </c>
      <c r="BN165" s="518" t="str">
        <f>IF(AND(_D="A-330-200",'2024'!$H$4="FO",'2024'!$H$2=BN157),'2024DATA'!$I$10,"")</f>
        <v/>
      </c>
      <c r="BO165" s="518" t="str">
        <f>IF(AND(_D="A-330-200",'2024'!$H$4="FO",'2024'!$H$2=BO157),'2024DATA'!$J$10,"")</f>
        <v/>
      </c>
      <c r="BP165" s="518" t="str">
        <f>IF(AND(_D="A-330-200",'2024'!$H$4="FO",'2024'!$H$2=BP157),'2024DATA'!$K$10,"")</f>
        <v/>
      </c>
      <c r="BQ165" s="518" t="str">
        <f>IF(AND(_D="A-330-200",'2024'!$H$4="FO",'2024'!$H$2=BQ157),'2024DATA'!$L$10,"")</f>
        <v/>
      </c>
      <c r="BR165" s="518" t="str">
        <f>IF(AND(_D="A-330-200",'2024'!$H$4="FO",'2024'!$H$2=BR157),'2024DATA'!$M$10,"")</f>
        <v/>
      </c>
      <c r="BS165" s="520" t="str">
        <f>IF(AND(_D="A-330-200",'2024'!$H$4="FO",'2024'!$H$2=BS157),'2024DATA'!$N$10,"")</f>
        <v/>
      </c>
      <c r="BT165" s="940"/>
      <c r="BU165" s="13" t="s">
        <v>62</v>
      </c>
      <c r="BV165" s="518" t="str">
        <f>IF(AND(_E="A-330-200",'2024'!$H$4="FO",'2024'!$H$2=BV157),'2024DATA'!$C$10,"")</f>
        <v/>
      </c>
      <c r="BW165" s="518" t="str">
        <f>IF(AND(_E="A-330-200",'2024'!$H$4="FO",'2024'!$H$2=BW157),'2024DATA'!$D$10,"")</f>
        <v/>
      </c>
      <c r="BX165" s="518" t="str">
        <f>IF(AND(_E="A-330-200",'2024'!$H$4="FO",'2024'!$H$2=BX157),'2024DATA'!$E$10,"")</f>
        <v/>
      </c>
      <c r="BY165" s="518" t="str">
        <f>IF(AND(_E="A-330-200",'2024'!$H$4="FO",'2024'!$H$2=BY157),'2024DATA'!$F$10,"")</f>
        <v/>
      </c>
      <c r="BZ165" s="518" t="str">
        <f>IF(AND(_E="A-330-200",'2024'!$H$4="FO",'2024'!$H$2=BZ157),'2024DATA'!$G$10,"")</f>
        <v/>
      </c>
      <c r="CA165" s="518" t="str">
        <f>IF(AND(_E="A-330-200",'2024'!$H$4="FO",'2024'!$H$2=CA157),'2024DATA'!$H$10,"")</f>
        <v/>
      </c>
      <c r="CB165" s="518" t="str">
        <f>IF(AND(_E="A-330-200",'2024'!$H$4="FO",'2024'!$H$2=CB157),'2024DATA'!$I$10,"")</f>
        <v/>
      </c>
      <c r="CC165" s="518" t="str">
        <f>IF(AND(_E="A-330-200",'2024'!$H$4="FO",'2024'!$H$2=CC157),'2024DATA'!$J$10,"")</f>
        <v/>
      </c>
      <c r="CD165" s="518" t="str">
        <f>IF(AND(_E="A-330-200",'2024'!$H$4="FO",'2024'!$H$2=CD157),'2024DATA'!$K$10,"")</f>
        <v/>
      </c>
      <c r="CE165" s="518" t="str">
        <f>IF(AND(_E="A-330-200",'2024'!$H$4="FO",'2024'!$H$2=CE157),'2024DATA'!$L$10,"")</f>
        <v/>
      </c>
      <c r="CF165" s="518" t="str">
        <f>IF(AND(_E="A-330-200",'2024'!$H$4="FO",'2024'!$H$2=CF157),'2024DATA'!$M$10,"")</f>
        <v/>
      </c>
      <c r="CG165" s="520" t="str">
        <f>IF(AND(_E="A-330-200",'2024'!$H$4="FO",'2024'!$H$2=CG157),'2024DATA'!$N$10,"")</f>
        <v/>
      </c>
      <c r="CH165" s="940"/>
      <c r="CI165" s="13" t="s">
        <v>62</v>
      </c>
      <c r="CJ165" s="518" t="str">
        <f>IF(AND(_F="A-330-200",'2024'!$H$4="FO",'2024'!$H$2=CJ157),'2024DATA'!$C$10,"")</f>
        <v/>
      </c>
      <c r="CK165" s="518" t="str">
        <f>IF(AND(_F="A-330-200",'2024'!$H$4="FO",'2024'!$H$2=CK157),'2024DATA'!$D$10,"")</f>
        <v/>
      </c>
      <c r="CL165" s="518" t="str">
        <f>IF(AND(_F="A-330-200",'2024'!$H$4="FO",'2024'!$H$2=CL157),'2024DATA'!$E$10,"")</f>
        <v/>
      </c>
      <c r="CM165" s="518" t="str">
        <f>IF(AND(_F="A-330-200",'2024'!$H$4="FO",'2024'!$H$2=CM157),'2024DATA'!$F$10,"")</f>
        <v/>
      </c>
      <c r="CN165" s="518" t="str">
        <f>IF(AND(_F="A-330-200",'2024'!$H$4="FO",'2024'!$H$2=CN157),'2024DATA'!$G$10,"")</f>
        <v/>
      </c>
      <c r="CO165" s="518" t="str">
        <f>IF(AND(_F="A-330-200",'2024'!$H$4="FO",'2024'!$H$2=CO157),'2024DATA'!$H$10,"")</f>
        <v/>
      </c>
      <c r="CP165" s="518" t="str">
        <f>IF(AND(_F="A-330-200",'2024'!$H$4="FO",'2024'!$H$2=CP157),'2024DATA'!$I$10,"")</f>
        <v/>
      </c>
      <c r="CQ165" s="518" t="str">
        <f>IF(AND(_F="A-330-200",'2024'!$H$4="FO",'2024'!$H$2=CQ157),'2024DATA'!$J$10,"")</f>
        <v/>
      </c>
      <c r="CR165" s="518" t="str">
        <f>IF(AND(_F="A-330-200",'2024'!$H$4="FO",'2024'!$H$2=CR157),'2024DATA'!$K$10,"")</f>
        <v/>
      </c>
      <c r="CS165" s="518" t="str">
        <f>IF(AND(_F="A-330-200",'2024'!$H$4="FO",'2024'!$H$2=CS157),'2024DATA'!$L$10,"")</f>
        <v/>
      </c>
      <c r="CT165" s="518" t="str">
        <f>IF(AND(_F="A-330-200",'2024'!$H$4="FO",'2024'!$H$2=CT157),'2024DATA'!$M$10,"")</f>
        <v/>
      </c>
      <c r="CU165" s="520" t="str">
        <f>IF(AND(_F="A-330-200",'2024'!$H$4="FO",'2024'!$H$2=CU157),'2024DATA'!$N$10,"")</f>
        <v/>
      </c>
    </row>
    <row r="166" spans="16:99" x14ac:dyDescent="0.25">
      <c r="P166" s="940" t="s">
        <v>42</v>
      </c>
      <c r="Q166" s="13" t="s">
        <v>61</v>
      </c>
      <c r="R166" s="518" t="str">
        <f>IF(AND(_A="B-767-400ER",'2024'!$H$4="CA",'2024'!$H$2=R157),'2024DATA'!$C$11,"")</f>
        <v/>
      </c>
      <c r="S166" s="518" t="str">
        <f>IF(AND(_A="B-767-400ER",'2024'!$H$4="CA",'2024'!$H$2=S157),'2024DATA'!$D$11,"")</f>
        <v/>
      </c>
      <c r="T166" s="518" t="str">
        <f>IF(AND(_A="B-767-400ER",'2024'!$H$4="CA",'2024'!$H$2=T157),'2024DATA'!$E$11,"")</f>
        <v/>
      </c>
      <c r="U166" s="518" t="str">
        <f>IF(AND(_A="B-767-400ER",'2024'!$H$4="CA",'2024'!$H$2=U157),'2024DATA'!$F$11,"")</f>
        <v/>
      </c>
      <c r="V166" s="518" t="str">
        <f>IF(AND(_A="B-767-400ER",'2024'!$H$4="CA",'2024'!$H$2=V157),'2024DATA'!$G$11,"")</f>
        <v/>
      </c>
      <c r="W166" s="518" t="str">
        <f>IF(AND(_A="B-767-400ER",'2024'!$H$4="CA",'2024'!$H$2=W157),'2024DATA'!$H$11,"")</f>
        <v/>
      </c>
      <c r="X166" s="518" t="str">
        <f>IF(AND(_A="B-767-400ER",'2024'!$H$4="CA",'2024'!$H$2=X157),'2024DATA'!$I$11,"")</f>
        <v/>
      </c>
      <c r="Y166" s="518" t="str">
        <f>IF(AND(_A="B-767-400ER",'2024'!$H$4="CA",'2024'!$H$2=Y157),'2024DATA'!$J$11,"")</f>
        <v/>
      </c>
      <c r="Z166" s="518" t="str">
        <f>IF(AND(_A="B-767-400ER",'2024'!$H$4="CA",'2024'!$H$2=Z157),'2024DATA'!$K$11,"")</f>
        <v/>
      </c>
      <c r="AA166" s="518" t="str">
        <f>IF(AND(_A="B-767-400ER",'2024'!$H$4="CA",'2024'!$H$2=AA157),'2024DATA'!$L$11,"")</f>
        <v/>
      </c>
      <c r="AB166" s="518" t="str">
        <f>IF(AND(_A="B-767-400ER",'2024'!$H$4="CA",'2024'!$H$2=AB157),'2024DATA'!$M$11,"")</f>
        <v/>
      </c>
      <c r="AC166" s="520" t="str">
        <f>IF(AND(_A="B-767-400ER",'2024'!$H$4="CA",'2024'!$H$2=AC157),'2024DATA'!$N$11,"")</f>
        <v/>
      </c>
      <c r="AD166" s="940" t="s">
        <v>42</v>
      </c>
      <c r="AE166" s="13" t="s">
        <v>61</v>
      </c>
      <c r="AF166" s="518" t="str">
        <f>IF(AND(_B="B-767-400ER",'2024'!$H$4="CA",'2024'!$H$2=AF157),'2024DATA'!$C$11,"")</f>
        <v/>
      </c>
      <c r="AG166" s="518" t="str">
        <f>IF(AND(_B="B-767-400ER",'2024'!$H$4="CA",'2024'!$H$2=AG157),'2024DATA'!$D$11,"")</f>
        <v/>
      </c>
      <c r="AH166" s="518" t="str">
        <f>IF(AND(_B="B-767-400ER",'2024'!$H$4="CA",'2024'!$H$2=AH157),'2024DATA'!$E$11,"")</f>
        <v/>
      </c>
      <c r="AI166" s="518" t="str">
        <f>IF(AND(_B="B-767-400ER",'2024'!$H$4="CA",'2024'!$H$2=AI157),'2024DATA'!$F$11,"")</f>
        <v/>
      </c>
      <c r="AJ166" s="518" t="str">
        <f>IF(AND(_B="B-767-400ER",'2024'!$H$4="CA",'2024'!$H$2=AJ157),'2024DATA'!$G$11,"")</f>
        <v/>
      </c>
      <c r="AK166" s="518" t="str">
        <f>IF(AND(_B="B-767-400ER",'2024'!$H$4="CA",'2024'!$H$2=AK157),'2024DATA'!$H$11,"")</f>
        <v/>
      </c>
      <c r="AL166" s="518" t="str">
        <f>IF(AND(_B="B-767-400ER",'2024'!$H$4="CA",'2024'!$H$2=AL157),'2024DATA'!$I$11,"")</f>
        <v/>
      </c>
      <c r="AM166" s="518" t="str">
        <f>IF(AND(_B="B-767-400ER",'2024'!$H$4="CA",'2024'!$H$2=AM157),'2024DATA'!$J$11,"")</f>
        <v/>
      </c>
      <c r="AN166" s="518" t="str">
        <f>IF(AND(_B="B-767-400ER",'2024'!$H$4="CA",'2024'!$H$2=AN157),'2024DATA'!$K$11,"")</f>
        <v/>
      </c>
      <c r="AO166" s="518" t="str">
        <f>IF(AND(_B="B-767-400ER",'2024'!$H$4="CA",'2024'!$H$2=AO157),'2024DATA'!$L$11,"")</f>
        <v/>
      </c>
      <c r="AP166" s="518" t="str">
        <f>IF(AND(_B="B-767-400ER",'2024'!$H$4="CA",'2024'!$H$2=AP157),'2024DATA'!$M$11,"")</f>
        <v/>
      </c>
      <c r="AQ166" s="520" t="str">
        <f>IF(AND(_B="B-767-400ER",'2024'!$H$4="CA",'2024'!$H$2=AQ157),'2024DATA'!$N$11,"")</f>
        <v/>
      </c>
      <c r="AR166" s="940" t="s">
        <v>42</v>
      </c>
      <c r="AS166" s="13" t="s">
        <v>61</v>
      </c>
      <c r="AT166" s="518" t="str">
        <f>IF(AND(_C="B-767-400ER",'2024'!$H$4="CA",'2024'!$H$2=AT157),'2024DATA'!$C$11,"")</f>
        <v/>
      </c>
      <c r="AU166" s="518" t="str">
        <f>IF(AND(_C="B-767-400ER",'2024'!$H$4="CA",'2024'!$H$2=AU157),'2024DATA'!$D$11,"")</f>
        <v/>
      </c>
      <c r="AV166" s="518" t="str">
        <f>IF(AND(_C="B-767-400ER",'2024'!$H$4="CA",'2024'!$H$2=AV157),'2024DATA'!$E$11,"")</f>
        <v/>
      </c>
      <c r="AW166" s="518" t="str">
        <f>IF(AND(_C="B-767-400ER",'2024'!$H$4="CA",'2024'!$H$2=AW157),'2024DATA'!$F$11,"")</f>
        <v/>
      </c>
      <c r="AX166" s="518" t="str">
        <f>IF(AND(_C="B-767-400ER",'2024'!$H$4="CA",'2024'!$H$2=AX157),'2024DATA'!$G$11,"")</f>
        <v/>
      </c>
      <c r="AY166" s="518" t="str">
        <f>IF(AND(_C="B-767-400ER",'2024'!$H$4="CA",'2024'!$H$2=AY157),'2024DATA'!$H$11,"")</f>
        <v/>
      </c>
      <c r="AZ166" s="518" t="str">
        <f>IF(AND(_C="B-767-400ER",'2024'!$H$4="CA",'2024'!$H$2=AZ157),'2024DATA'!$I$11,"")</f>
        <v/>
      </c>
      <c r="BA166" s="518" t="str">
        <f>IF(AND(_C="B-767-400ER",'2024'!$H$4="CA",'2024'!$H$2=BA157),'2024DATA'!$J$11,"")</f>
        <v/>
      </c>
      <c r="BB166" s="518" t="str">
        <f>IF(AND(_C="B-767-400ER",'2024'!$H$4="CA",'2024'!$H$2=BB157),'2024DATA'!$K$11,"")</f>
        <v/>
      </c>
      <c r="BC166" s="518" t="str">
        <f>IF(AND(_C="B-767-400ER",'2024'!$H$4="CA",'2024'!$H$2=BC157),'2024DATA'!$L$11,"")</f>
        <v/>
      </c>
      <c r="BD166" s="518" t="str">
        <f>IF(AND(_C="B-767-400ER",'2024'!$H$4="CA",'2024'!$H$2=BD157),'2024DATA'!$M$11,"")</f>
        <v/>
      </c>
      <c r="BE166" s="520" t="str">
        <f>IF(AND(_C="B-767-400ER",'2024'!$H$4="CA",'2024'!$H$2=BE157),'2024DATA'!$N$11,"")</f>
        <v/>
      </c>
      <c r="BF166" s="940" t="s">
        <v>42</v>
      </c>
      <c r="BG166" s="13" t="s">
        <v>61</v>
      </c>
      <c r="BH166" s="518" t="str">
        <f>IF(AND(_D="B-767-400ER",'2024'!$H$4="CA",'2024'!$H$2=BH157),'2024DATA'!$C$11,"")</f>
        <v/>
      </c>
      <c r="BI166" s="518" t="str">
        <f>IF(AND(_D="B-767-400ER",'2024'!$H$4="CA",'2024'!$H$2=BI157),'2024DATA'!$D$11,"")</f>
        <v/>
      </c>
      <c r="BJ166" s="518" t="str">
        <f>IF(AND(_D="B-767-400ER",'2024'!$H$4="CA",'2024'!$H$2=BJ157),'2024DATA'!$E$11,"")</f>
        <v/>
      </c>
      <c r="BK166" s="518" t="str">
        <f>IF(AND(_D="B-767-400ER",'2024'!$H$4="CA",'2024'!$H$2=BK157),'2024DATA'!$F$11,"")</f>
        <v/>
      </c>
      <c r="BL166" s="518" t="str">
        <f>IF(AND(_D="B-767-400ER",'2024'!$H$4="CA",'2024'!$H$2=BL157),'2024DATA'!$G$11,"")</f>
        <v/>
      </c>
      <c r="BM166" s="518" t="str">
        <f>IF(AND(_D="B-767-400ER",'2024'!$H$4="CA",'2024'!$H$2=BM157),'2024DATA'!$H$11,"")</f>
        <v/>
      </c>
      <c r="BN166" s="518" t="str">
        <f>IF(AND(_D="B-767-400ER",'2024'!$H$4="CA",'2024'!$H$2=BN157),'2024DATA'!$I$11,"")</f>
        <v/>
      </c>
      <c r="BO166" s="518" t="str">
        <f>IF(AND(_D="B-767-400ER",'2024'!$H$4="CA",'2024'!$H$2=BO157),'2024DATA'!$J$11,"")</f>
        <v/>
      </c>
      <c r="BP166" s="518" t="str">
        <f>IF(AND(_D="B-767-400ER",'2024'!$H$4="CA",'2024'!$H$2=BP157),'2024DATA'!$K$11,"")</f>
        <v/>
      </c>
      <c r="BQ166" s="518" t="str">
        <f>IF(AND(_D="B-767-400ER",'2024'!$H$4="CA",'2024'!$H$2=BQ157),'2024DATA'!$L$11,"")</f>
        <v/>
      </c>
      <c r="BR166" s="518" t="str">
        <f>IF(AND(_D="B-767-400ER",'2024'!$H$4="CA",'2024'!$H$2=BR157),'2024DATA'!$M$11,"")</f>
        <v/>
      </c>
      <c r="BS166" s="520" t="str">
        <f>IF(AND(_D="B-767-400ER",'2024'!$H$4="CA",'2024'!$H$2=BS157),'2024DATA'!$N$11,"")</f>
        <v/>
      </c>
      <c r="BT166" s="940" t="s">
        <v>42</v>
      </c>
      <c r="BU166" s="13" t="s">
        <v>61</v>
      </c>
      <c r="BV166" s="518" t="str">
        <f>IF(AND(_E="B-767-400ER",'2024'!$H$4="CA",'2024'!$H$2=BV157),'2024DATA'!$C$11,"")</f>
        <v/>
      </c>
      <c r="BW166" s="518" t="str">
        <f>IF(AND(_E="B-767-400ER",'2024'!$H$4="CA",'2024'!$H$2=BW157),'2024DATA'!$D$11,"")</f>
        <v/>
      </c>
      <c r="BX166" s="518" t="str">
        <f>IF(AND(_E="B-767-400ER",'2024'!$H$4="CA",'2024'!$H$2=BX157),'2024DATA'!$E$11,"")</f>
        <v/>
      </c>
      <c r="BY166" s="518" t="str">
        <f>IF(AND(_E="B-767-400ER",'2024'!$H$4="CA",'2024'!$H$2=BY157),'2024DATA'!$F$11,"")</f>
        <v/>
      </c>
      <c r="BZ166" s="518" t="str">
        <f>IF(AND(_E="B-767-400ER",'2024'!$H$4="CA",'2024'!$H$2=BZ157),'2024DATA'!$G$11,"")</f>
        <v/>
      </c>
      <c r="CA166" s="518" t="str">
        <f>IF(AND(_E="B-767-400ER",'2024'!$H$4="CA",'2024'!$H$2=CA157),'2024DATA'!$H$11,"")</f>
        <v/>
      </c>
      <c r="CB166" s="518" t="str">
        <f>IF(AND(_E="B-767-400ER",'2024'!$H$4="CA",'2024'!$H$2=CB157),'2024DATA'!$I$11,"")</f>
        <v/>
      </c>
      <c r="CC166" s="518" t="str">
        <f>IF(AND(_E="B-767-400ER",'2024'!$H$4="CA",'2024'!$H$2=CC157),'2024DATA'!$J$11,"")</f>
        <v/>
      </c>
      <c r="CD166" s="518" t="str">
        <f>IF(AND(_E="B-767-400ER",'2024'!$H$4="CA",'2024'!$H$2=CD157),'2024DATA'!$K$11,"")</f>
        <v/>
      </c>
      <c r="CE166" s="518" t="str">
        <f>IF(AND(_E="B-767-400ER",'2024'!$H$4="CA",'2024'!$H$2=CE157),'2024DATA'!$L$11,"")</f>
        <v/>
      </c>
      <c r="CF166" s="518" t="str">
        <f>IF(AND(_E="B-767-400ER",'2024'!$H$4="CA",'2024'!$H$2=CF157),'2024DATA'!$M$11,"")</f>
        <v/>
      </c>
      <c r="CG166" s="520" t="str">
        <f>IF(AND(_E="B-767-400ER",'2024'!$H$4="CA",'2024'!$H$2=CG157),'2024DATA'!$N$11,"")</f>
        <v/>
      </c>
      <c r="CH166" s="940" t="s">
        <v>42</v>
      </c>
      <c r="CI166" s="13" t="s">
        <v>61</v>
      </c>
      <c r="CJ166" s="518" t="str">
        <f>IF(AND(_F="B-767-400ER",'2024'!$H$4="CA",'2024'!$H$2=CJ157),'2024DATA'!$C$11,"")</f>
        <v/>
      </c>
      <c r="CK166" s="518" t="str">
        <f>IF(AND(_F="B-767-400ER",'2024'!$H$4="CA",'2024'!$H$2=CK157),'2024DATA'!$D$11,"")</f>
        <v/>
      </c>
      <c r="CL166" s="518" t="str">
        <f>IF(AND(_F="B-767-400ER",'2024'!$H$4="CA",'2024'!$H$2=CL157),'2024DATA'!$E$11,"")</f>
        <v/>
      </c>
      <c r="CM166" s="518" t="str">
        <f>IF(AND(_F="B-767-400ER",'2024'!$H$4="CA",'2024'!$H$2=CM157),'2024DATA'!$F$11,"")</f>
        <v/>
      </c>
      <c r="CN166" s="518" t="str">
        <f>IF(AND(_F="B-767-400ER",'2024'!$H$4="CA",'2024'!$H$2=CN157),'2024DATA'!$G$11,"")</f>
        <v/>
      </c>
      <c r="CO166" s="518" t="str">
        <f>IF(AND(_F="B-767-400ER",'2024'!$H$4="CA",'2024'!$H$2=CO157),'2024DATA'!$H$11,"")</f>
        <v/>
      </c>
      <c r="CP166" s="518" t="str">
        <f>IF(AND(_F="B-767-400ER",'2024'!$H$4="CA",'2024'!$H$2=CP157),'2024DATA'!$I$11,"")</f>
        <v/>
      </c>
      <c r="CQ166" s="518" t="str">
        <f>IF(AND(_F="B-767-400ER",'2024'!$H$4="CA",'2024'!$H$2=CQ157),'2024DATA'!$J$11,"")</f>
        <v/>
      </c>
      <c r="CR166" s="518" t="str">
        <f>IF(AND(_F="B-767-400ER",'2024'!$H$4="CA",'2024'!$H$2=CR157),'2024DATA'!$K$11,"")</f>
        <v/>
      </c>
      <c r="CS166" s="518" t="str">
        <f>IF(AND(_F="B-767-400ER",'2024'!$H$4="CA",'2024'!$H$2=CS157),'2024DATA'!$L$11,"")</f>
        <v/>
      </c>
      <c r="CT166" s="518" t="str">
        <f>IF(AND(_F="B-767-400ER",'2024'!$H$4="CA",'2024'!$H$2=CT157),'2024DATA'!$M$11,"")</f>
        <v/>
      </c>
      <c r="CU166" s="520" t="str">
        <f>IF(AND(_F="B-767-400ER",'2024'!$H$4="CA",'2024'!$H$2=CU157),'2024DATA'!$N$11,"")</f>
        <v/>
      </c>
    </row>
    <row r="167" spans="16:99" x14ac:dyDescent="0.25">
      <c r="P167" s="940"/>
      <c r="Q167" s="13" t="s">
        <v>62</v>
      </c>
      <c r="R167" s="518" t="str">
        <f>IF(AND(_A="B-767-400ER",'2024'!$H$4="FO",'2024'!$H$2=R157),'2024DATA'!$C$12,"")</f>
        <v/>
      </c>
      <c r="S167" s="518" t="str">
        <f>IF(AND(_A="B-767-400ER",'2024'!$H$4="FO",'2024'!$H$2=S157),'2024DATA'!$D$12,"")</f>
        <v/>
      </c>
      <c r="T167" s="518" t="str">
        <f>IF(AND(_A="B-767-400ER",'2024'!$H$4="FO",'2024'!$H$2=T157),'2024DATA'!$E$12,"")</f>
        <v/>
      </c>
      <c r="U167" s="518" t="str">
        <f>IF(AND(_A="B-767-400ER",'2024'!$H$4="FO",'2024'!$H$2=U157),'2024DATA'!$F$12,"")</f>
        <v/>
      </c>
      <c r="V167" s="518" t="str">
        <f>IF(AND(_A="B-767-400ER",'2024'!$H$4="FO",'2024'!$H$2=V157),'2024DATA'!$G$12,"")</f>
        <v/>
      </c>
      <c r="W167" s="518" t="str">
        <f>IF(AND(_A="B-767-400ER",'2024'!$H$4="FO",'2024'!$H$2=W157),'2024DATA'!$H$12,"")</f>
        <v/>
      </c>
      <c r="X167" s="518" t="str">
        <f>IF(AND(_A="B-767-400ER",'2024'!$H$4="FO",'2024'!$H$2=X157),'2024DATA'!$I$12,"")</f>
        <v/>
      </c>
      <c r="Y167" s="518" t="str">
        <f>IF(AND(_A="B-767-400ER",'2024'!$H$4="FO",'2024'!$H$2=Y157),'2024DATA'!$J$12,"")</f>
        <v/>
      </c>
      <c r="Z167" s="518" t="str">
        <f>IF(AND(_A="B-767-400ER",'2024'!$H$4="FO",'2024'!$H$2=Z157),'2024DATA'!$K$12,"")</f>
        <v/>
      </c>
      <c r="AA167" s="518" t="str">
        <f>IF(AND(_A="B-767-400ER",'2024'!$H$4="FO",'2024'!$H$2=AA157),'2024DATA'!$L$12,"")</f>
        <v/>
      </c>
      <c r="AB167" s="518" t="str">
        <f>IF(AND(_A="B-767-400ER",'2024'!$H$4="FO",'2024'!$H$2=AB157),'2024DATA'!$M$12,"")</f>
        <v/>
      </c>
      <c r="AC167" s="520" t="str">
        <f>IF(AND(_A="B-767-400ER",'2024'!$H$4="FO",'2024'!$H$2=AC157),'2024DATA'!$N$12,"")</f>
        <v/>
      </c>
      <c r="AD167" s="940"/>
      <c r="AE167" s="13" t="s">
        <v>62</v>
      </c>
      <c r="AF167" s="518" t="str">
        <f>IF(AND(_B="B-767-400ER",'2024'!$H$4="FO",'2024'!$H$2=AF157),'2024DATA'!$C$12,"")</f>
        <v/>
      </c>
      <c r="AG167" s="518" t="str">
        <f>IF(AND(_B="B-767-400ER",'2024'!$H$4="FO",'2024'!$H$2=AG157),'2024DATA'!$D$12,"")</f>
        <v/>
      </c>
      <c r="AH167" s="518" t="str">
        <f>IF(AND(_B="B-767-400ER",'2024'!$H$4="FO",'2024'!$H$2=AH157),'2024DATA'!$E$12,"")</f>
        <v/>
      </c>
      <c r="AI167" s="518" t="str">
        <f>IF(AND(_B="B-767-400ER",'2024'!$H$4="FO",'2024'!$H$2=AI157),'2024DATA'!$F$12,"")</f>
        <v/>
      </c>
      <c r="AJ167" s="518" t="str">
        <f>IF(AND(_B="B-767-400ER",'2024'!$H$4="FO",'2024'!$H$2=AJ157),'2024DATA'!$G$12,"")</f>
        <v/>
      </c>
      <c r="AK167" s="518" t="str">
        <f>IF(AND(_B="B-767-400ER",'2024'!$H$4="FO",'2024'!$H$2=AK157),'2024DATA'!$H$12,"")</f>
        <v/>
      </c>
      <c r="AL167" s="518" t="str">
        <f>IF(AND(_B="B-767-400ER",'2024'!$H$4="FO",'2024'!$H$2=AL157),'2024DATA'!$I$12,"")</f>
        <v/>
      </c>
      <c r="AM167" s="518" t="str">
        <f>IF(AND(_B="B-767-400ER",'2024'!$H$4="FO",'2024'!$H$2=AM157),'2024DATA'!$J$12,"")</f>
        <v/>
      </c>
      <c r="AN167" s="518" t="str">
        <f>IF(AND(_B="B-767-400ER",'2024'!$H$4="FO",'2024'!$H$2=AN157),'2024DATA'!$K$12,"")</f>
        <v/>
      </c>
      <c r="AO167" s="518" t="str">
        <f>IF(AND(_B="B-767-400ER",'2024'!$H$4="FO",'2024'!$H$2=AO157),'2024DATA'!$L$12,"")</f>
        <v/>
      </c>
      <c r="AP167" s="518" t="str">
        <f>IF(AND(_B="B-767-400ER",'2024'!$H$4="FO",'2024'!$H$2=AP157),'2024DATA'!$M$12,"")</f>
        <v/>
      </c>
      <c r="AQ167" s="520" t="str">
        <f>IF(AND(_B="B-767-400ER",'2024'!$H$4="FO",'2024'!$H$2=AQ157),'2024DATA'!$N$12,"")</f>
        <v/>
      </c>
      <c r="AR167" s="940"/>
      <c r="AS167" s="13" t="s">
        <v>62</v>
      </c>
      <c r="AT167" s="518" t="str">
        <f>IF(AND(_C="B-767-400ER",'2024'!$H$4="FO",'2024'!$H$2=AT157),'2024DATA'!$C$12,"")</f>
        <v/>
      </c>
      <c r="AU167" s="518" t="str">
        <f>IF(AND(_C="B-767-400ER",'2024'!$H$4="FO",'2024'!$H$2=AU157),'2024DATA'!$D$12,"")</f>
        <v/>
      </c>
      <c r="AV167" s="518" t="str">
        <f>IF(AND(_C="B-767-400ER",'2024'!$H$4="FO",'2024'!$H$2=AV157),'2024DATA'!$E$12,"")</f>
        <v/>
      </c>
      <c r="AW167" s="518" t="str">
        <f>IF(AND(_C="B-767-400ER",'2024'!$H$4="FO",'2024'!$H$2=AW157),'2024DATA'!$F$12,"")</f>
        <v/>
      </c>
      <c r="AX167" s="518" t="str">
        <f>IF(AND(_C="B-767-400ER",'2024'!$H$4="FO",'2024'!$H$2=AX157),'2024DATA'!$G$12,"")</f>
        <v/>
      </c>
      <c r="AY167" s="518" t="str">
        <f>IF(AND(_C="B-767-400ER",'2024'!$H$4="FO",'2024'!$H$2=AY157),'2024DATA'!$H$12,"")</f>
        <v/>
      </c>
      <c r="AZ167" s="518" t="str">
        <f>IF(AND(_C="B-767-400ER",'2024'!$H$4="FO",'2024'!$H$2=AZ157),'2024DATA'!$I$12,"")</f>
        <v/>
      </c>
      <c r="BA167" s="518" t="str">
        <f>IF(AND(_C="B-767-400ER",'2024'!$H$4="FO",'2024'!$H$2=BA157),'2024DATA'!$J$12,"")</f>
        <v/>
      </c>
      <c r="BB167" s="518" t="str">
        <f>IF(AND(_C="B-767-400ER",'2024'!$H$4="FO",'2024'!$H$2=BB157),'2024DATA'!$K$12,"")</f>
        <v/>
      </c>
      <c r="BC167" s="518" t="str">
        <f>IF(AND(_C="B-767-400ER",'2024'!$H$4="FO",'2024'!$H$2=BC157),'2024DATA'!$L$12,"")</f>
        <v/>
      </c>
      <c r="BD167" s="518" t="str">
        <f>IF(AND(_C="B-767-400ER",'2024'!$H$4="FO",'2024'!$H$2=BD157),'2024DATA'!$M$12,"")</f>
        <v/>
      </c>
      <c r="BE167" s="520" t="str">
        <f>IF(AND(_C="B-767-400ER",'2024'!$H$4="FO",'2024'!$H$2=BE157),'2024DATA'!$N$12,"")</f>
        <v/>
      </c>
      <c r="BF167" s="940"/>
      <c r="BG167" s="13" t="s">
        <v>62</v>
      </c>
      <c r="BH167" s="518" t="str">
        <f>IF(AND(_D="B-767-400ER",'2024'!$H$4="FO",'2024'!$H$2=BH157),'2024DATA'!$C$12,"")</f>
        <v/>
      </c>
      <c r="BI167" s="518" t="str">
        <f>IF(AND(_D="B-767-400ER",'2024'!$H$4="FO",'2024'!$H$2=BI157),'2024DATA'!$D$12,"")</f>
        <v/>
      </c>
      <c r="BJ167" s="518" t="str">
        <f>IF(AND(_D="B-767-400ER",'2024'!$H$4="FO",'2024'!$H$2=BJ157),'2024DATA'!$E$12,"")</f>
        <v/>
      </c>
      <c r="BK167" s="518" t="str">
        <f>IF(AND(_D="B-767-400ER",'2024'!$H$4="FO",'2024'!$H$2=BK157),'2024DATA'!$F$12,"")</f>
        <v/>
      </c>
      <c r="BL167" s="518" t="str">
        <f>IF(AND(_D="B-767-400ER",'2024'!$H$4="FO",'2024'!$H$2=BL157),'2024DATA'!$G$12,"")</f>
        <v/>
      </c>
      <c r="BM167" s="518" t="str">
        <f>IF(AND(_D="B-767-400ER",'2024'!$H$4="FO",'2024'!$H$2=BM157),'2024DATA'!$H$12,"")</f>
        <v/>
      </c>
      <c r="BN167" s="518" t="str">
        <f>IF(AND(_D="B-767-400ER",'2024'!$H$4="FO",'2024'!$H$2=BN157),'2024DATA'!$I$12,"")</f>
        <v/>
      </c>
      <c r="BO167" s="518" t="str">
        <f>IF(AND(_D="B-767-400ER",'2024'!$H$4="FO",'2024'!$H$2=BO157),'2024DATA'!$J$12,"")</f>
        <v/>
      </c>
      <c r="BP167" s="518" t="str">
        <f>IF(AND(_D="B-767-400ER",'2024'!$H$4="FO",'2024'!$H$2=BP157),'2024DATA'!$K$12,"")</f>
        <v/>
      </c>
      <c r="BQ167" s="518" t="str">
        <f>IF(AND(_D="B-767-400ER",'2024'!$H$4="FO",'2024'!$H$2=BQ157),'2024DATA'!$L$12,"")</f>
        <v/>
      </c>
      <c r="BR167" s="518" t="str">
        <f>IF(AND(_D="B-767-400ER",'2024'!$H$4="FO",'2024'!$H$2=BR157),'2024DATA'!$M$12,"")</f>
        <v/>
      </c>
      <c r="BS167" s="520" t="str">
        <f>IF(AND(_D="B-767-400ER",'2024'!$H$4="FO",'2024'!$H$2=BS157),'2024DATA'!$N$12,"")</f>
        <v/>
      </c>
      <c r="BT167" s="940"/>
      <c r="BU167" s="13" t="s">
        <v>62</v>
      </c>
      <c r="BV167" s="518" t="str">
        <f>IF(AND(_E="B-767-400ER",'2024'!$H$4="FO",'2024'!$H$2=BV157),'2024DATA'!$C$12,"")</f>
        <v/>
      </c>
      <c r="BW167" s="518" t="str">
        <f>IF(AND(_E="B-767-400ER",'2024'!$H$4="FO",'2024'!$H$2=BW157),'2024DATA'!$D$12,"")</f>
        <v/>
      </c>
      <c r="BX167" s="518" t="str">
        <f>IF(AND(_E="B-767-400ER",'2024'!$H$4="FO",'2024'!$H$2=BX157),'2024DATA'!$E$12,"")</f>
        <v/>
      </c>
      <c r="BY167" s="518" t="str">
        <f>IF(AND(_E="B-767-400ER",'2024'!$H$4="FO",'2024'!$H$2=BY157),'2024DATA'!$F$12,"")</f>
        <v/>
      </c>
      <c r="BZ167" s="518" t="str">
        <f>IF(AND(_E="B-767-400ER",'2024'!$H$4="FO",'2024'!$H$2=BZ157),'2024DATA'!$G$12,"")</f>
        <v/>
      </c>
      <c r="CA167" s="518" t="str">
        <f>IF(AND(_E="B-767-400ER",'2024'!$H$4="FO",'2024'!$H$2=CA157),'2024DATA'!$H$12,"")</f>
        <v/>
      </c>
      <c r="CB167" s="518" t="str">
        <f>IF(AND(_E="B-767-400ER",'2024'!$H$4="FO",'2024'!$H$2=CB157),'2024DATA'!$I$12,"")</f>
        <v/>
      </c>
      <c r="CC167" s="518" t="str">
        <f>IF(AND(_E="B-767-400ER",'2024'!$H$4="FO",'2024'!$H$2=CC157),'2024DATA'!$J$12,"")</f>
        <v/>
      </c>
      <c r="CD167" s="518" t="str">
        <f>IF(AND(_E="B-767-400ER",'2024'!$H$4="FO",'2024'!$H$2=CD157),'2024DATA'!$K$12,"")</f>
        <v/>
      </c>
      <c r="CE167" s="518" t="str">
        <f>IF(AND(_E="B-767-400ER",'2024'!$H$4="FO",'2024'!$H$2=CE157),'2024DATA'!$L$12,"")</f>
        <v/>
      </c>
      <c r="CF167" s="518" t="str">
        <f>IF(AND(_E="B-767-400ER",'2024'!$H$4="FO",'2024'!$H$2=CF157),'2024DATA'!$M$12,"")</f>
        <v/>
      </c>
      <c r="CG167" s="520" t="str">
        <f>IF(AND(_E="B-767-400ER",'2024'!$H$4="FO",'2024'!$H$2=CG157),'2024DATA'!$N$12,"")</f>
        <v/>
      </c>
      <c r="CH167" s="940"/>
      <c r="CI167" s="13" t="s">
        <v>62</v>
      </c>
      <c r="CJ167" s="518" t="str">
        <f>IF(AND(_F="B-767-400ER",'2024'!$H$4="FO",'2024'!$H$2=CJ157),'2024DATA'!$C$12,"")</f>
        <v/>
      </c>
      <c r="CK167" s="518" t="str">
        <f>IF(AND(_F="B-767-400ER",'2024'!$H$4="FO",'2024'!$H$2=CK157),'2024DATA'!$D$12,"")</f>
        <v/>
      </c>
      <c r="CL167" s="518" t="str">
        <f>IF(AND(_F="B-767-400ER",'2024'!$H$4="FO",'2024'!$H$2=CL157),'2024DATA'!$E$12,"")</f>
        <v/>
      </c>
      <c r="CM167" s="518" t="str">
        <f>IF(AND(_F="B-767-400ER",'2024'!$H$4="FO",'2024'!$H$2=CM157),'2024DATA'!$F$12,"")</f>
        <v/>
      </c>
      <c r="CN167" s="518" t="str">
        <f>IF(AND(_F="B-767-400ER",'2024'!$H$4="FO",'2024'!$H$2=CN157),'2024DATA'!$G$12,"")</f>
        <v/>
      </c>
      <c r="CO167" s="518" t="str">
        <f>IF(AND(_F="B-767-400ER",'2024'!$H$4="FO",'2024'!$H$2=CO157),'2024DATA'!$H$12,"")</f>
        <v/>
      </c>
      <c r="CP167" s="518" t="str">
        <f>IF(AND(_F="B-767-400ER",'2024'!$H$4="FO",'2024'!$H$2=CP157),'2024DATA'!$I$12,"")</f>
        <v/>
      </c>
      <c r="CQ167" s="518" t="str">
        <f>IF(AND(_F="B-767-400ER",'2024'!$H$4="FO",'2024'!$H$2=CQ157),'2024DATA'!$J$12,"")</f>
        <v/>
      </c>
      <c r="CR167" s="518" t="str">
        <f>IF(AND(_F="B-767-400ER",'2024'!$H$4="FO",'2024'!$H$2=CR157),'2024DATA'!$K$12,"")</f>
        <v/>
      </c>
      <c r="CS167" s="518" t="str">
        <f>IF(AND(_F="B-767-400ER",'2024'!$H$4="FO",'2024'!$H$2=CS157),'2024DATA'!$L$12,"")</f>
        <v/>
      </c>
      <c r="CT167" s="518" t="str">
        <f>IF(AND(_F="B-767-400ER",'2024'!$H$4="FO",'2024'!$H$2=CT157),'2024DATA'!$M$12,"")</f>
        <v/>
      </c>
      <c r="CU167" s="520" t="str">
        <f>IF(AND(_F="B-767-400ER",'2024'!$H$4="FO",'2024'!$H$2=CU157),'2024DATA'!$N$12,"")</f>
        <v/>
      </c>
    </row>
    <row r="168" spans="16:99" x14ac:dyDescent="0.25">
      <c r="P168" s="940" t="s">
        <v>43</v>
      </c>
      <c r="Q168" s="13" t="s">
        <v>61</v>
      </c>
      <c r="R168" s="518" t="str">
        <f>IF(AND(_A="B-767-300ER",'2024'!$H$4="CA",'2024'!$H$2=R157),'2024DATA'!$C$13,"")</f>
        <v/>
      </c>
      <c r="S168" s="518" t="str">
        <f>IF(AND(_A="B-767-300ER",'2024'!$H$4="CA",'2024'!$H$2=S157),'2024DATA'!$D$13,"")</f>
        <v/>
      </c>
      <c r="T168" s="518" t="str">
        <f>IF(AND(_A="B-767-300ER",'2024'!$H$4="CA",'2024'!$H$2=T157),'2024DATA'!$E$13,"")</f>
        <v/>
      </c>
      <c r="U168" s="518" t="str">
        <f>IF(AND(_A="B-767-300ER",'2024'!$H$4="CA",'2024'!$H$2=U157),'2024DATA'!$F$13,"")</f>
        <v/>
      </c>
      <c r="V168" s="518" t="str">
        <f>IF(AND(_A="B-767-300ER",'2024'!$H$4="CA",'2024'!$H$2=V157),'2024DATA'!$G$13,"")</f>
        <v/>
      </c>
      <c r="W168" s="518" t="str">
        <f>IF(AND(_A="B-767-300ER",'2024'!$H$4="CA",'2024'!$H$2=W157),'2024DATA'!$H$13,"")</f>
        <v/>
      </c>
      <c r="X168" s="518" t="str">
        <f>IF(AND(_A="B-767-300ER",'2024'!$H$4="CA",'2024'!$H$2=X157),'2024DATA'!$I$13,"")</f>
        <v/>
      </c>
      <c r="Y168" s="518" t="str">
        <f>IF(AND(_A="B-767-300ER",'2024'!$H$4="CA",'2024'!$H$2=Y157),'2024DATA'!$J$13,"")</f>
        <v/>
      </c>
      <c r="Z168" s="518" t="str">
        <f>IF(AND(_A="B-767-300ER",'2024'!$H$4="CA",'2024'!$H$2=Z157),'2024DATA'!$K$13,"")</f>
        <v/>
      </c>
      <c r="AA168" s="518" t="str">
        <f>IF(AND(_A="B-767-300ER",'2024'!$H$4="CA",'2024'!$H$2=AA157),'2024DATA'!$L$13,"")</f>
        <v/>
      </c>
      <c r="AB168" s="518" t="str">
        <f>IF(AND(_A="B-767-300ER",'2024'!$H$4="CA",'2024'!$H$2=AB157),'2024DATA'!$M$13,"")</f>
        <v/>
      </c>
      <c r="AC168" s="520" t="str">
        <f>IF(AND(_A="B-767-300ER",'2024'!$H$4="CA",'2024'!$H$2=AC157),'2024DATA'!$N$13,"")</f>
        <v/>
      </c>
      <c r="AD168" s="940" t="s">
        <v>43</v>
      </c>
      <c r="AE168" s="13" t="s">
        <v>61</v>
      </c>
      <c r="AF168" s="518" t="str">
        <f>IF(AND(_B="B-767-300ER",'2024'!$H$4="CA",'2024'!$H$2=AF157),'2024DATA'!$C$13,"")</f>
        <v/>
      </c>
      <c r="AG168" s="518" t="str">
        <f>IF(AND(_B="B-767-300ER",'2024'!$H$4="CA",'2024'!$H$2=AG157),'2024DATA'!$D$13,"")</f>
        <v/>
      </c>
      <c r="AH168" s="518" t="str">
        <f>IF(AND(_B="B-767-300ER",'2024'!$H$4="CA",'2024'!$H$2=AH157),'2024DATA'!$E$13,"")</f>
        <v/>
      </c>
      <c r="AI168" s="518" t="str">
        <f>IF(AND(_B="B-767-300ER",'2024'!$H$4="CA",'2024'!$H$2=AI157),'2024DATA'!$F$13,"")</f>
        <v/>
      </c>
      <c r="AJ168" s="518" t="str">
        <f>IF(AND(_B="B-767-300ER",'2024'!$H$4="CA",'2024'!$H$2=AJ157),'2024DATA'!$G$13,"")</f>
        <v/>
      </c>
      <c r="AK168" s="518" t="str">
        <f>IF(AND(_B="B-767-300ER",'2024'!$H$4="CA",'2024'!$H$2=AK157),'2024DATA'!$H$13,"")</f>
        <v/>
      </c>
      <c r="AL168" s="518" t="str">
        <f>IF(AND(_B="B-767-300ER",'2024'!$H$4="CA",'2024'!$H$2=AL157),'2024DATA'!$I$13,"")</f>
        <v/>
      </c>
      <c r="AM168" s="518" t="str">
        <f>IF(AND(_B="B-767-300ER",'2024'!$H$4="CA",'2024'!$H$2=AM157),'2024DATA'!$J$13,"")</f>
        <v/>
      </c>
      <c r="AN168" s="518" t="str">
        <f>IF(AND(_B="B-767-300ER",'2024'!$H$4="CA",'2024'!$H$2=AN157),'2024DATA'!$K$13,"")</f>
        <v/>
      </c>
      <c r="AO168" s="518" t="str">
        <f>IF(AND(_B="B-767-300ER",'2024'!$H$4="CA",'2024'!$H$2=AO157),'2024DATA'!$L$13,"")</f>
        <v/>
      </c>
      <c r="AP168" s="518" t="str">
        <f>IF(AND(_B="B-767-300ER",'2024'!$H$4="CA",'2024'!$H$2=AP157),'2024DATA'!$M$13,"")</f>
        <v/>
      </c>
      <c r="AQ168" s="520" t="str">
        <f>IF(AND(_B="B-767-300ER",'2024'!$H$4="CA",'2024'!$H$2=AQ157),'2024DATA'!$N$13,"")</f>
        <v/>
      </c>
      <c r="AR168" s="940" t="s">
        <v>43</v>
      </c>
      <c r="AS168" s="13" t="s">
        <v>61</v>
      </c>
      <c r="AT168" s="518" t="str">
        <f>IF(AND(_C="B-767-300ER",'2024'!$H$4="CA",'2024'!$H$2=AT157),'2024DATA'!$C$13,"")</f>
        <v/>
      </c>
      <c r="AU168" s="518" t="str">
        <f>IF(AND(_C="B-767-300ER",'2024'!$H$4="CA",'2024'!$H$2=AU157),'2024DATA'!$D$13,"")</f>
        <v/>
      </c>
      <c r="AV168" s="518" t="str">
        <f>IF(AND(_C="B-767-300ER",'2024'!$H$4="CA",'2024'!$H$2=AV157),'2024DATA'!$E$13,"")</f>
        <v/>
      </c>
      <c r="AW168" s="518" t="str">
        <f>IF(AND(_C="B-767-300ER",'2024'!$H$4="CA",'2024'!$H$2=AW157),'2024DATA'!$F$13,"")</f>
        <v/>
      </c>
      <c r="AX168" s="518" t="str">
        <f>IF(AND(_C="B-767-300ER",'2024'!$H$4="CA",'2024'!$H$2=AX157),'2024DATA'!$G$13,"")</f>
        <v/>
      </c>
      <c r="AY168" s="518" t="str">
        <f>IF(AND(_C="B-767-300ER",'2024'!$H$4="CA",'2024'!$H$2=AY157),'2024DATA'!$H$13,"")</f>
        <v/>
      </c>
      <c r="AZ168" s="518" t="str">
        <f>IF(AND(_C="B-767-300ER",'2024'!$H$4="CA",'2024'!$H$2=AZ157),'2024DATA'!$I$13,"")</f>
        <v/>
      </c>
      <c r="BA168" s="518" t="str">
        <f>IF(AND(_C="B-767-300ER",'2024'!$H$4="CA",'2024'!$H$2=BA157),'2024DATA'!$J$13,"")</f>
        <v/>
      </c>
      <c r="BB168" s="518" t="str">
        <f>IF(AND(_C="B-767-300ER",'2024'!$H$4="CA",'2024'!$H$2=BB157),'2024DATA'!$K$13,"")</f>
        <v/>
      </c>
      <c r="BC168" s="518" t="str">
        <f>IF(AND(_C="B-767-300ER",'2024'!$H$4="CA",'2024'!$H$2=BC157),'2024DATA'!$L$13,"")</f>
        <v/>
      </c>
      <c r="BD168" s="518" t="str">
        <f>IF(AND(_C="B-767-300ER",'2024'!$H$4="CA",'2024'!$H$2=BD157),'2024DATA'!$M$13,"")</f>
        <v/>
      </c>
      <c r="BE168" s="520" t="str">
        <f>IF(AND(_C="B-767-300ER",'2024'!$H$4="CA",'2024'!$H$2=BE157),'2024DATA'!$N$13,"")</f>
        <v/>
      </c>
      <c r="BF168" s="940" t="s">
        <v>43</v>
      </c>
      <c r="BG168" s="13" t="s">
        <v>61</v>
      </c>
      <c r="BH168" s="518" t="str">
        <f>IF(AND(_D="B-767-300ER",'2024'!$H$4="CA",'2024'!$H$2=BH157),'2024DATA'!$C$13,"")</f>
        <v/>
      </c>
      <c r="BI168" s="518" t="str">
        <f>IF(AND(_D="B-767-300ER",'2024'!$H$4="CA",'2024'!$H$2=BI157),'2024DATA'!$D$13,"")</f>
        <v/>
      </c>
      <c r="BJ168" s="518" t="str">
        <f>IF(AND(_D="B-767-300ER",'2024'!$H$4="CA",'2024'!$H$2=BJ157),'2024DATA'!$E$13,"")</f>
        <v/>
      </c>
      <c r="BK168" s="518" t="str">
        <f>IF(AND(_D="B-767-300ER",'2024'!$H$4="CA",'2024'!$H$2=BK157),'2024DATA'!$F$13,"")</f>
        <v/>
      </c>
      <c r="BL168" s="518" t="str">
        <f>IF(AND(_D="B-767-300ER",'2024'!$H$4="CA",'2024'!$H$2=BL157),'2024DATA'!$G$13,"")</f>
        <v/>
      </c>
      <c r="BM168" s="518" t="str">
        <f>IF(AND(_D="B-767-300ER",'2024'!$H$4="CA",'2024'!$H$2=BM157),'2024DATA'!$H$13,"")</f>
        <v/>
      </c>
      <c r="BN168" s="518" t="str">
        <f>IF(AND(_D="B-767-300ER",'2024'!$H$4="CA",'2024'!$H$2=BN157),'2024DATA'!$I$13,"")</f>
        <v/>
      </c>
      <c r="BO168" s="518" t="str">
        <f>IF(AND(_D="B-767-300ER",'2024'!$H$4="CA",'2024'!$H$2=BO157),'2024DATA'!$J$13,"")</f>
        <v/>
      </c>
      <c r="BP168" s="518" t="str">
        <f>IF(AND(_D="B-767-300ER",'2024'!$H$4="CA",'2024'!$H$2=BP157),'2024DATA'!$K$13,"")</f>
        <v/>
      </c>
      <c r="BQ168" s="518" t="str">
        <f>IF(AND(_D="B-767-300ER",'2024'!$H$4="CA",'2024'!$H$2=BQ157),'2024DATA'!$L$13,"")</f>
        <v/>
      </c>
      <c r="BR168" s="518" t="str">
        <f>IF(AND(_D="B-767-300ER",'2024'!$H$4="CA",'2024'!$H$2=BR157),'2024DATA'!$M$13,"")</f>
        <v/>
      </c>
      <c r="BS168" s="520" t="str">
        <f>IF(AND(_D="B-767-300ER",'2024'!$H$4="CA",'2024'!$H$2=BS157),'2024DATA'!$N$13,"")</f>
        <v/>
      </c>
      <c r="BT168" s="940" t="s">
        <v>43</v>
      </c>
      <c r="BU168" s="13" t="s">
        <v>61</v>
      </c>
      <c r="BV168" s="518" t="str">
        <f>IF(AND(_E="B-767-300ER",'2024'!$H$4="CA",'2024'!$H$2=BV157),'2024DATA'!$C$13,"")</f>
        <v/>
      </c>
      <c r="BW168" s="518" t="str">
        <f>IF(AND(_E="B-767-300ER",'2024'!$H$4="CA",'2024'!$H$2=BW157),'2024DATA'!$D$13,"")</f>
        <v/>
      </c>
      <c r="BX168" s="518" t="str">
        <f>IF(AND(_E="B-767-300ER",'2024'!$H$4="CA",'2024'!$H$2=BX157),'2024DATA'!$E$13,"")</f>
        <v/>
      </c>
      <c r="BY168" s="518" t="str">
        <f>IF(AND(_E="B-767-300ER",'2024'!$H$4="CA",'2024'!$H$2=BY157),'2024DATA'!$F$13,"")</f>
        <v/>
      </c>
      <c r="BZ168" s="518" t="str">
        <f>IF(AND(_E="B-767-300ER",'2024'!$H$4="CA",'2024'!$H$2=BZ157),'2024DATA'!$G$13,"")</f>
        <v/>
      </c>
      <c r="CA168" s="518" t="str">
        <f>IF(AND(_E="B-767-300ER",'2024'!$H$4="CA",'2024'!$H$2=CA157),'2024DATA'!$H$13,"")</f>
        <v/>
      </c>
      <c r="CB168" s="518" t="str">
        <f>IF(AND(_E="B-767-300ER",'2024'!$H$4="CA",'2024'!$H$2=CB157),'2024DATA'!$I$13,"")</f>
        <v/>
      </c>
      <c r="CC168" s="518" t="str">
        <f>IF(AND(_E="B-767-300ER",'2024'!$H$4="CA",'2024'!$H$2=CC157),'2024DATA'!$J$13,"")</f>
        <v/>
      </c>
      <c r="CD168" s="518" t="str">
        <f>IF(AND(_E="B-767-300ER",'2024'!$H$4="CA",'2024'!$H$2=CD157),'2024DATA'!$K$13,"")</f>
        <v/>
      </c>
      <c r="CE168" s="518" t="str">
        <f>IF(AND(_E="B-767-300ER",'2024'!$H$4="CA",'2024'!$H$2=CE157),'2024DATA'!$L$13,"")</f>
        <v/>
      </c>
      <c r="CF168" s="518" t="str">
        <f>IF(AND(_E="B-767-300ER",'2024'!$H$4="CA",'2024'!$H$2=CF157),'2024DATA'!$M$13,"")</f>
        <v/>
      </c>
      <c r="CG168" s="520" t="str">
        <f>IF(AND(_E="B-767-300ER",'2024'!$H$4="CA",'2024'!$H$2=CG157),'2024DATA'!$N$13,"")</f>
        <v/>
      </c>
      <c r="CH168" s="940" t="s">
        <v>43</v>
      </c>
      <c r="CI168" s="13" t="s">
        <v>61</v>
      </c>
      <c r="CJ168" s="518" t="str">
        <f>IF(AND(_F="B-767-300ER",'2024'!$H$4="CA",'2024'!$H$2=CJ157),'2024DATA'!$C$13,"")</f>
        <v/>
      </c>
      <c r="CK168" s="518" t="str">
        <f>IF(AND(_F="B-767-300ER",'2024'!$H$4="CA",'2024'!$H$2=CK157),'2024DATA'!$D$13,"")</f>
        <v/>
      </c>
      <c r="CL168" s="518" t="str">
        <f>IF(AND(_F="B-767-300ER",'2024'!$H$4="CA",'2024'!$H$2=CL157),'2024DATA'!$E$13,"")</f>
        <v/>
      </c>
      <c r="CM168" s="518" t="str">
        <f>IF(AND(_F="B-767-300ER",'2024'!$H$4="CA",'2024'!$H$2=CM157),'2024DATA'!$F$13,"")</f>
        <v/>
      </c>
      <c r="CN168" s="518" t="str">
        <f>IF(AND(_F="B-767-300ER",'2024'!$H$4="CA",'2024'!$H$2=CN157),'2024DATA'!$G$13,"")</f>
        <v/>
      </c>
      <c r="CO168" s="518" t="str">
        <f>IF(AND(_F="B-767-300ER",'2024'!$H$4="CA",'2024'!$H$2=CO157),'2024DATA'!$H$13,"")</f>
        <v/>
      </c>
      <c r="CP168" s="518" t="str">
        <f>IF(AND(_F="B-767-300ER",'2024'!$H$4="CA",'2024'!$H$2=CP157),'2024DATA'!$I$13,"")</f>
        <v/>
      </c>
      <c r="CQ168" s="518" t="str">
        <f>IF(AND(_F="B-767-300ER",'2024'!$H$4="CA",'2024'!$H$2=CQ157),'2024DATA'!$J$13,"")</f>
        <v/>
      </c>
      <c r="CR168" s="518" t="str">
        <f>IF(AND(_F="B-767-300ER",'2024'!$H$4="CA",'2024'!$H$2=CR157),'2024DATA'!$K$13,"")</f>
        <v/>
      </c>
      <c r="CS168" s="518" t="str">
        <f>IF(AND(_F="B-767-300ER",'2024'!$H$4="CA",'2024'!$H$2=CS157),'2024DATA'!$L$13,"")</f>
        <v/>
      </c>
      <c r="CT168" s="518" t="str">
        <f>IF(AND(_F="B-767-300ER",'2024'!$H$4="CA",'2024'!$H$2=CT157),'2024DATA'!$M$13,"")</f>
        <v/>
      </c>
      <c r="CU168" s="520" t="str">
        <f>IF(AND(_F="B-767-300ER",'2024'!$H$4="CA",'2024'!$H$2=CU157),'2024DATA'!$N$13,"")</f>
        <v/>
      </c>
    </row>
    <row r="169" spans="16:99" x14ac:dyDescent="0.25">
      <c r="P169" s="940"/>
      <c r="Q169" s="13" t="s">
        <v>62</v>
      </c>
      <c r="R169" s="518" t="str">
        <f>IF(AND(_A="B-767-300ER",'2024'!$H$4="FO",'2024'!$H$2=R157),'2024DATA'!$C$14,"")</f>
        <v/>
      </c>
      <c r="S169" s="518" t="str">
        <f>IF(AND(_A="B-767-300ER",'2024'!$H$4="FO",'2024'!$H$2=S157),'2024DATA'!$D$14,"")</f>
        <v/>
      </c>
      <c r="T169" s="518" t="str">
        <f>IF(AND(_A="B-767-300ER",'2024'!$H$4="FO",'2024'!$H$2=T157),'2024DATA'!$E$14,"")</f>
        <v/>
      </c>
      <c r="U169" s="518" t="str">
        <f>IF(AND(_A="B-767-300ER",'2024'!$H$4="FO",'2024'!$H$2=U157),'2024DATA'!$F$14,"")</f>
        <v/>
      </c>
      <c r="V169" s="518" t="str">
        <f>IF(AND(_A="B-767-300ER",'2024'!$H$4="FO",'2024'!$H$2=V157),'2024DATA'!$G$14,"")</f>
        <v/>
      </c>
      <c r="W169" s="518" t="str">
        <f>IF(AND(_A="B-767-300ER",'2024'!$H$4="FO",'2024'!$H$2=W157),'2024DATA'!$H$14,"")</f>
        <v/>
      </c>
      <c r="X169" s="518" t="str">
        <f>IF(AND(_A="B-767-300ER",'2024'!$H$4="FO",'2024'!$H$2=X157),'2024DATA'!$I$14,"")</f>
        <v/>
      </c>
      <c r="Y169" s="518" t="str">
        <f>IF(AND(_A="B-767-300ER",'2024'!$H$4="FO",'2024'!$H$2=Y157),'2024DATA'!$J$14,"")</f>
        <v/>
      </c>
      <c r="Z169" s="518" t="str">
        <f>IF(AND(_A="B-767-300ER",'2024'!$H$4="FO",'2024'!$H$2=Z157),'2024DATA'!$K$14,"")</f>
        <v/>
      </c>
      <c r="AA169" s="518" t="str">
        <f>IF(AND(_A="B-767-300ER",'2024'!$H$4="FO",'2024'!$H$2=AA157),'2024DATA'!$L$14,"")</f>
        <v/>
      </c>
      <c r="AB169" s="518" t="str">
        <f>IF(AND(_A="B-767-300ER",'2024'!$H$4="FO",'2024'!$H$2=AB157),'2024DATA'!$M$14,"")</f>
        <v/>
      </c>
      <c r="AC169" s="520" t="str">
        <f>IF(AND(_A="B-767-300ER",'2024'!$H$4="FO",'2024'!$H$2=AC157),'2024DATA'!$N$14,"")</f>
        <v/>
      </c>
      <c r="AD169" s="940"/>
      <c r="AE169" s="13" t="s">
        <v>62</v>
      </c>
      <c r="AF169" s="518" t="str">
        <f>IF(AND(_B="B-767-300ER",'2024'!$H$4="FO",'2024'!$H$2=AF157),'2024DATA'!$C$14,"")</f>
        <v/>
      </c>
      <c r="AG169" s="518" t="str">
        <f>IF(AND(_B="B-767-300ER",'2024'!$H$4="FO",'2024'!$H$2=AG157),'2024DATA'!$D$14,"")</f>
        <v/>
      </c>
      <c r="AH169" s="518" t="str">
        <f>IF(AND(_B="B-767-300ER",'2024'!$H$4="FO",'2024'!$H$2=AH157),'2024DATA'!$E$14,"")</f>
        <v/>
      </c>
      <c r="AI169" s="518" t="str">
        <f>IF(AND(_B="B-767-300ER",'2024'!$H$4="FO",'2024'!$H$2=AI157),'2024DATA'!$F$14,"")</f>
        <v/>
      </c>
      <c r="AJ169" s="518" t="str">
        <f>IF(AND(_B="B-767-300ER",'2024'!$H$4="FO",'2024'!$H$2=AJ157),'2024DATA'!$G$14,"")</f>
        <v/>
      </c>
      <c r="AK169" s="518" t="str">
        <f>IF(AND(_B="B-767-300ER",'2024'!$H$4="FO",'2024'!$H$2=AK157),'2024DATA'!$H$14,"")</f>
        <v/>
      </c>
      <c r="AL169" s="518" t="str">
        <f>IF(AND(_B="B-767-300ER",'2024'!$H$4="FO",'2024'!$H$2=AL157),'2024DATA'!$I$14,"")</f>
        <v/>
      </c>
      <c r="AM169" s="518" t="str">
        <f>IF(AND(_B="B-767-300ER",'2024'!$H$4="FO",'2024'!$H$2=AM157),'2024DATA'!$J$14,"")</f>
        <v/>
      </c>
      <c r="AN169" s="518" t="str">
        <f>IF(AND(_B="B-767-300ER",'2024'!$H$4="FO",'2024'!$H$2=AN157),'2024DATA'!$K$14,"")</f>
        <v/>
      </c>
      <c r="AO169" s="518" t="str">
        <f>IF(AND(_B="B-767-300ER",'2024'!$H$4="FO",'2024'!$H$2=AO157),'2024DATA'!$L$14,"")</f>
        <v/>
      </c>
      <c r="AP169" s="518" t="str">
        <f>IF(AND(_B="B-767-300ER",'2024'!$H$4="FO",'2024'!$H$2=AP157),'2024DATA'!$M$14,"")</f>
        <v/>
      </c>
      <c r="AQ169" s="520" t="str">
        <f>IF(AND(_B="B-767-300ER",'2024'!$H$4="FO",'2024'!$H$2=AQ157),'2024DATA'!$N$14,"")</f>
        <v/>
      </c>
      <c r="AR169" s="940"/>
      <c r="AS169" s="13" t="s">
        <v>62</v>
      </c>
      <c r="AT169" s="518" t="str">
        <f>IF(AND(_C="B-767-300ER",'2024'!$H$4="FO",'2024'!$H$2=AT157),'2024DATA'!$C$14,"")</f>
        <v/>
      </c>
      <c r="AU169" s="518" t="str">
        <f>IF(AND(_C="B-767-300ER",'2024'!$H$4="FO",'2024'!$H$2=AU157),'2024DATA'!$D$14,"")</f>
        <v/>
      </c>
      <c r="AV169" s="518" t="str">
        <f>IF(AND(_C="B-767-300ER",'2024'!$H$4="FO",'2024'!$H$2=AV157),'2024DATA'!$E$14,"")</f>
        <v/>
      </c>
      <c r="AW169" s="518" t="str">
        <f>IF(AND(_C="B-767-300ER",'2024'!$H$4="FO",'2024'!$H$2=AW157),'2024DATA'!$F$14,"")</f>
        <v/>
      </c>
      <c r="AX169" s="518" t="str">
        <f>IF(AND(_C="B-767-300ER",'2024'!$H$4="FO",'2024'!$H$2=AX157),'2024DATA'!$G$14,"")</f>
        <v/>
      </c>
      <c r="AY169" s="518" t="str">
        <f>IF(AND(_C="B-767-300ER",'2024'!$H$4="FO",'2024'!$H$2=AY157),'2024DATA'!$H$14,"")</f>
        <v/>
      </c>
      <c r="AZ169" s="518" t="str">
        <f>IF(AND(_C="B-767-300ER",'2024'!$H$4="FO",'2024'!$H$2=AZ157),'2024DATA'!$I$14,"")</f>
        <v/>
      </c>
      <c r="BA169" s="518" t="str">
        <f>IF(AND(_C="B-767-300ER",'2024'!$H$4="FO",'2024'!$H$2=BA157),'2024DATA'!$J$14,"")</f>
        <v/>
      </c>
      <c r="BB169" s="518" t="str">
        <f>IF(AND(_C="B-767-300ER",'2024'!$H$4="FO",'2024'!$H$2=BB157),'2024DATA'!$K$14,"")</f>
        <v/>
      </c>
      <c r="BC169" s="518" t="str">
        <f>IF(AND(_C="B-767-300ER",'2024'!$H$4="FO",'2024'!$H$2=BC157),'2024DATA'!$L$14,"")</f>
        <v/>
      </c>
      <c r="BD169" s="518" t="str">
        <f>IF(AND(_C="B-767-300ER",'2024'!$H$4="FO",'2024'!$H$2=BD157),'2024DATA'!$M$14,"")</f>
        <v/>
      </c>
      <c r="BE169" s="520" t="str">
        <f>IF(AND(_C="B-767-300ER",'2024'!$H$4="FO",'2024'!$H$2=BE157),'2024DATA'!$N$14,"")</f>
        <v/>
      </c>
      <c r="BF169" s="940"/>
      <c r="BG169" s="13" t="s">
        <v>62</v>
      </c>
      <c r="BH169" s="518" t="str">
        <f>IF(AND(_D="B-767-300ER",'2024'!$H$4="FO",'2024'!$H$2=BH157),'2024DATA'!$C$14,"")</f>
        <v/>
      </c>
      <c r="BI169" s="518" t="str">
        <f>IF(AND(_D="B-767-300ER",'2024'!$H$4="FO",'2024'!$H$2=BI157),'2024DATA'!$D$14,"")</f>
        <v/>
      </c>
      <c r="BJ169" s="518" t="str">
        <f>IF(AND(_D="B-767-300ER",'2024'!$H$4="FO",'2024'!$H$2=BJ157),'2024DATA'!$E$14,"")</f>
        <v/>
      </c>
      <c r="BK169" s="518" t="str">
        <f>IF(AND(_D="B-767-300ER",'2024'!$H$4="FO",'2024'!$H$2=BK157),'2024DATA'!$F$14,"")</f>
        <v/>
      </c>
      <c r="BL169" s="518" t="str">
        <f>IF(AND(_D="B-767-300ER",'2024'!$H$4="FO",'2024'!$H$2=BL157),'2024DATA'!$G$14,"")</f>
        <v/>
      </c>
      <c r="BM169" s="518" t="str">
        <f>IF(AND(_D="B-767-300ER",'2024'!$H$4="FO",'2024'!$H$2=BM157),'2024DATA'!$H$14,"")</f>
        <v/>
      </c>
      <c r="BN169" s="518" t="str">
        <f>IF(AND(_D="B-767-300ER",'2024'!$H$4="FO",'2024'!$H$2=BN157),'2024DATA'!$I$14,"")</f>
        <v/>
      </c>
      <c r="BO169" s="518" t="str">
        <f>IF(AND(_D="B-767-300ER",'2024'!$H$4="FO",'2024'!$H$2=BO157),'2024DATA'!$J$14,"")</f>
        <v/>
      </c>
      <c r="BP169" s="518" t="str">
        <f>IF(AND(_D="B-767-300ER",'2024'!$H$4="FO",'2024'!$H$2=BP157),'2024DATA'!$K$14,"")</f>
        <v/>
      </c>
      <c r="BQ169" s="518" t="str">
        <f>IF(AND(_D="B-767-300ER",'2024'!$H$4="FO",'2024'!$H$2=BQ157),'2024DATA'!$L$14,"")</f>
        <v/>
      </c>
      <c r="BR169" s="518" t="str">
        <f>IF(AND(_D="B-767-300ER",'2024'!$H$4="FO",'2024'!$H$2=BR157),'2024DATA'!$M$14,"")</f>
        <v/>
      </c>
      <c r="BS169" s="520" t="str">
        <f>IF(AND(_D="B-767-300ER",'2024'!$H$4="FO",'2024'!$H$2=BS157),'2024DATA'!$N$14,"")</f>
        <v/>
      </c>
      <c r="BT169" s="940"/>
      <c r="BU169" s="13" t="s">
        <v>62</v>
      </c>
      <c r="BV169" s="518" t="str">
        <f>IF(AND(_E="B-767-300ER",'2024'!$H$4="FO",'2024'!$H$2=BV157),'2024DATA'!$C$14,"")</f>
        <v/>
      </c>
      <c r="BW169" s="518" t="str">
        <f>IF(AND(_E="B-767-300ER",'2024'!$H$4="FO",'2024'!$H$2=BW157),'2024DATA'!$D$14,"")</f>
        <v/>
      </c>
      <c r="BX169" s="518" t="str">
        <f>IF(AND(_E="B-767-300ER",'2024'!$H$4="FO",'2024'!$H$2=BX157),'2024DATA'!$E$14,"")</f>
        <v/>
      </c>
      <c r="BY169" s="518" t="str">
        <f>IF(AND(_E="B-767-300ER",'2024'!$H$4="FO",'2024'!$H$2=BY157),'2024DATA'!$F$14,"")</f>
        <v/>
      </c>
      <c r="BZ169" s="518" t="str">
        <f>IF(AND(_E="B-767-300ER",'2024'!$H$4="FO",'2024'!$H$2=BZ157),'2024DATA'!$G$14,"")</f>
        <v/>
      </c>
      <c r="CA169" s="518" t="str">
        <f>IF(AND(_E="B-767-300ER",'2024'!$H$4="FO",'2024'!$H$2=CA157),'2024DATA'!$H$14,"")</f>
        <v/>
      </c>
      <c r="CB169" s="518" t="str">
        <f>IF(AND(_E="B-767-300ER",'2024'!$H$4="FO",'2024'!$H$2=CB157),'2024DATA'!$I$14,"")</f>
        <v/>
      </c>
      <c r="CC169" s="518" t="str">
        <f>IF(AND(_E="B-767-300ER",'2024'!$H$4="FO",'2024'!$H$2=CC157),'2024DATA'!$J$14,"")</f>
        <v/>
      </c>
      <c r="CD169" s="518" t="str">
        <f>IF(AND(_E="B-767-300ER",'2024'!$H$4="FO",'2024'!$H$2=CD157),'2024DATA'!$K$14,"")</f>
        <v/>
      </c>
      <c r="CE169" s="518" t="str">
        <f>IF(AND(_E="B-767-300ER",'2024'!$H$4="FO",'2024'!$H$2=CE157),'2024DATA'!$L$14,"")</f>
        <v/>
      </c>
      <c r="CF169" s="518" t="str">
        <f>IF(AND(_E="B-767-300ER",'2024'!$H$4="FO",'2024'!$H$2=CF157),'2024DATA'!$M$14,"")</f>
        <v/>
      </c>
      <c r="CG169" s="520" t="str">
        <f>IF(AND(_E="B-767-300ER",'2024'!$H$4="FO",'2024'!$H$2=CG157),'2024DATA'!$N$14,"")</f>
        <v/>
      </c>
      <c r="CH169" s="940"/>
      <c r="CI169" s="13" t="s">
        <v>62</v>
      </c>
      <c r="CJ169" s="518" t="str">
        <f>IF(AND(_F="B-767-300ER",'2024'!$H$4="FO",'2024'!$H$2=CJ157),'2024DATA'!$C$14,"")</f>
        <v/>
      </c>
      <c r="CK169" s="518" t="str">
        <f>IF(AND(_F="B-767-300ER",'2024'!$H$4="FO",'2024'!$H$2=CK157),'2024DATA'!$D$14,"")</f>
        <v/>
      </c>
      <c r="CL169" s="518" t="str">
        <f>IF(AND(_F="B-767-300ER",'2024'!$H$4="FO",'2024'!$H$2=CL157),'2024DATA'!$E$14,"")</f>
        <v/>
      </c>
      <c r="CM169" s="518" t="str">
        <f>IF(AND(_F="B-767-300ER",'2024'!$H$4="FO",'2024'!$H$2=CM157),'2024DATA'!$F$14,"")</f>
        <v/>
      </c>
      <c r="CN169" s="518" t="str">
        <f>IF(AND(_F="B-767-300ER",'2024'!$H$4="FO",'2024'!$H$2=CN157),'2024DATA'!$G$14,"")</f>
        <v/>
      </c>
      <c r="CO169" s="518" t="str">
        <f>IF(AND(_F="B-767-300ER",'2024'!$H$4="FO",'2024'!$H$2=CO157),'2024DATA'!$H$14,"")</f>
        <v/>
      </c>
      <c r="CP169" s="518" t="str">
        <f>IF(AND(_F="B-767-300ER",'2024'!$H$4="FO",'2024'!$H$2=CP157),'2024DATA'!$I$14,"")</f>
        <v/>
      </c>
      <c r="CQ169" s="518" t="str">
        <f>IF(AND(_F="B-767-300ER",'2024'!$H$4="FO",'2024'!$H$2=CQ157),'2024DATA'!$J$14,"")</f>
        <v/>
      </c>
      <c r="CR169" s="518" t="str">
        <f>IF(AND(_F="B-767-300ER",'2024'!$H$4="FO",'2024'!$H$2=CR157),'2024DATA'!$K$14,"")</f>
        <v/>
      </c>
      <c r="CS169" s="518" t="str">
        <f>IF(AND(_F="B-767-300ER",'2024'!$H$4="FO",'2024'!$H$2=CS157),'2024DATA'!$L$14,"")</f>
        <v/>
      </c>
      <c r="CT169" s="518" t="str">
        <f>IF(AND(_F="B-767-300ER",'2024'!$H$4="FO",'2024'!$H$2=CT157),'2024DATA'!$M$14,"")</f>
        <v/>
      </c>
      <c r="CU169" s="520" t="str">
        <f>IF(AND(_F="B-767-300ER",'2024'!$H$4="FO",'2024'!$H$2=CU157),'2024DATA'!$N$14,"")</f>
        <v/>
      </c>
    </row>
    <row r="170" spans="16:99" x14ac:dyDescent="0.25">
      <c r="P170" s="940" t="s">
        <v>67</v>
      </c>
      <c r="Q170" s="13" t="s">
        <v>61</v>
      </c>
      <c r="R170" s="518" t="str">
        <f>IF(AND(_A="B-767-300",'2024'!$H$4="CA",'2024'!$H$2=R157),'2024DATA'!$C$15,"")</f>
        <v/>
      </c>
      <c r="S170" s="518" t="str">
        <f>IF(AND(_A="B-767-300",'2024'!$H$4="CA",'2024'!$H$2=S157),'2024DATA'!$D$15,"")</f>
        <v/>
      </c>
      <c r="T170" s="518" t="str">
        <f>IF(AND(_A="B-767-300",'2024'!$H$4="CA",'2024'!$H$2=T157),'2024DATA'!$E$15,"")</f>
        <v/>
      </c>
      <c r="U170" s="518" t="str">
        <f>IF(AND(_A="B-767-300",'2024'!$H$4="CA",'2024'!$H$2=U157),'2024DATA'!$F$15,"")</f>
        <v/>
      </c>
      <c r="V170" s="518" t="str">
        <f>IF(AND(_A="B-767-300",'2024'!$H$4="CA",'2024'!$H$2=V157),'2024DATA'!$G$15,"")</f>
        <v/>
      </c>
      <c r="W170" s="518" t="str">
        <f>IF(AND(_A="B-767-300",'2024'!$H$4="CA",'2024'!$H$2=W157),'2024DATA'!$H$15,"")</f>
        <v/>
      </c>
      <c r="X170" s="518" t="str">
        <f>IF(AND(_A="B-767-300",'2024'!$H$4="CA",'2024'!$H$2=X157),'2024DATA'!$I$15,"")</f>
        <v/>
      </c>
      <c r="Y170" s="518" t="str">
        <f>IF(AND(_A="B-767-300",'2024'!$H$4="CA",'2024'!$H$2=Y157),'2024DATA'!$J$15,"")</f>
        <v/>
      </c>
      <c r="Z170" s="518" t="str">
        <f>IF(AND(_A="B-767-300",'2024'!$H$4="CA",'2024'!$H$2=Z157),'2024DATA'!$K$15,"")</f>
        <v/>
      </c>
      <c r="AA170" s="518" t="str">
        <f>IF(AND(_A="B-767-300",'2024'!$H$4="CA",'2024'!$H$2=AA157),'2024DATA'!$L$15,"")</f>
        <v/>
      </c>
      <c r="AB170" s="518" t="str">
        <f>IF(AND(_A="B-767-300",'2024'!$H$4="CA",'2024'!$H$2=AB157),'2024DATA'!$M$15,"")</f>
        <v/>
      </c>
      <c r="AC170" s="520" t="str">
        <f>IF(AND(_A="B-767-300",'2024'!$H$4="CA",'2024'!$H$2=AC157),'2024DATA'!$N$15,"")</f>
        <v/>
      </c>
      <c r="AD170" s="940" t="s">
        <v>67</v>
      </c>
      <c r="AE170" s="13" t="s">
        <v>61</v>
      </c>
      <c r="AF170" s="518" t="str">
        <f>IF(AND(_B="B-767-300",'2024'!$H$4="CA",'2024'!$H$2=AF157),'2024DATA'!$C$15,"")</f>
        <v/>
      </c>
      <c r="AG170" s="518" t="str">
        <f>IF(AND(_B="B-767-300",'2024'!$H$4="CA",'2024'!$H$2=AG157),'2024DATA'!$D$15,"")</f>
        <v/>
      </c>
      <c r="AH170" s="518" t="str">
        <f>IF(AND(_B="B-767-300",'2024'!$H$4="CA",'2024'!$H$2=AH157),'2024DATA'!$E$15,"")</f>
        <v/>
      </c>
      <c r="AI170" s="518" t="str">
        <f>IF(AND(_B="B-767-300",'2024'!$H$4="CA",'2024'!$H$2=AI157),'2024DATA'!$F$15,"")</f>
        <v/>
      </c>
      <c r="AJ170" s="518" t="str">
        <f>IF(AND(_B="B-767-300",'2024'!$H$4="CA",'2024'!$H$2=AJ157),'2024DATA'!$G$15,"")</f>
        <v/>
      </c>
      <c r="AK170" s="518" t="str">
        <f>IF(AND(_B="B-767-300",'2024'!$H$4="CA",'2024'!$H$2=AK157),'2024DATA'!$H$15,"")</f>
        <v/>
      </c>
      <c r="AL170" s="518" t="str">
        <f>IF(AND(_B="B-767-300",'2024'!$H$4="CA",'2024'!$H$2=AL157),'2024DATA'!$I$15,"")</f>
        <v/>
      </c>
      <c r="AM170" s="518" t="str">
        <f>IF(AND(_B="B-767-300",'2024'!$H$4="CA",'2024'!$H$2=AM157),'2024DATA'!$J$15,"")</f>
        <v/>
      </c>
      <c r="AN170" s="518" t="str">
        <f>IF(AND(_B="B-767-300",'2024'!$H$4="CA",'2024'!$H$2=AN157),'2024DATA'!$K$15,"")</f>
        <v/>
      </c>
      <c r="AO170" s="518" t="str">
        <f>IF(AND(_B="B-767-300",'2024'!$H$4="CA",'2024'!$H$2=AO157),'2024DATA'!$L$15,"")</f>
        <v/>
      </c>
      <c r="AP170" s="518" t="str">
        <f>IF(AND(_B="B-767-300",'2024'!$H$4="CA",'2024'!$H$2=AP157),'2024DATA'!$M$15,"")</f>
        <v/>
      </c>
      <c r="AQ170" s="520" t="str">
        <f>IF(AND(_B="B-767-300",'2024'!$H$4="CA",'2024'!$H$2=AQ157),'2024DATA'!$N$15,"")</f>
        <v/>
      </c>
      <c r="AR170" s="940" t="s">
        <v>67</v>
      </c>
      <c r="AS170" s="13" t="s">
        <v>61</v>
      </c>
      <c r="AT170" s="518" t="str">
        <f>IF(AND(_C="B-767-300",'2024'!$H$4="CA",'2024'!$H$2=AT157),'2024DATA'!$C$15,"")</f>
        <v/>
      </c>
      <c r="AU170" s="518" t="str">
        <f>IF(AND(_C="B-767-300",'2024'!$H$4="CA",'2024'!$H$2=AU157),'2024DATA'!$D$15,"")</f>
        <v/>
      </c>
      <c r="AV170" s="518" t="str">
        <f>IF(AND(_C="B-767-300",'2024'!$H$4="CA",'2024'!$H$2=AV157),'2024DATA'!$E$15,"")</f>
        <v/>
      </c>
      <c r="AW170" s="518" t="str">
        <f>IF(AND(_C="B-767-300",'2024'!$H$4="CA",'2024'!$H$2=AW157),'2024DATA'!$F$15,"")</f>
        <v/>
      </c>
      <c r="AX170" s="518" t="str">
        <f>IF(AND(_C="B-767-300",'2024'!$H$4="CA",'2024'!$H$2=AX157),'2024DATA'!$G$15,"")</f>
        <v/>
      </c>
      <c r="AY170" s="518" t="str">
        <f>IF(AND(_C="B-767-300",'2024'!$H$4="CA",'2024'!$H$2=AY157),'2024DATA'!$H$15,"")</f>
        <v/>
      </c>
      <c r="AZ170" s="518" t="str">
        <f>IF(AND(_C="B-767-300",'2024'!$H$4="CA",'2024'!$H$2=AZ157),'2024DATA'!$I$15,"")</f>
        <v/>
      </c>
      <c r="BA170" s="518" t="str">
        <f>IF(AND(_C="B-767-300",'2024'!$H$4="CA",'2024'!$H$2=BA157),'2024DATA'!$J$15,"")</f>
        <v/>
      </c>
      <c r="BB170" s="518" t="str">
        <f>IF(AND(_C="B-767-300",'2024'!$H$4="CA",'2024'!$H$2=BB157),'2024DATA'!$K$15,"")</f>
        <v/>
      </c>
      <c r="BC170" s="518" t="str">
        <f>IF(AND(_C="B-767-300",'2024'!$H$4="CA",'2024'!$H$2=BC157),'2024DATA'!$L$15,"")</f>
        <v/>
      </c>
      <c r="BD170" s="518" t="str">
        <f>IF(AND(_C="B-767-300",'2024'!$H$4="CA",'2024'!$H$2=BD157),'2024DATA'!$M$15,"")</f>
        <v/>
      </c>
      <c r="BE170" s="520" t="str">
        <f>IF(AND(_C="B-767-300",'2024'!$H$4="CA",'2024'!$H$2=BE157),'2024DATA'!$N$15,"")</f>
        <v/>
      </c>
      <c r="BF170" s="940" t="s">
        <v>67</v>
      </c>
      <c r="BG170" s="13" t="s">
        <v>61</v>
      </c>
      <c r="BH170" s="518" t="str">
        <f>IF(AND(_D="B-767-300",'2024'!$H$4="CA",'2024'!$H$2=BH157),'2024DATA'!$C$15,"")</f>
        <v/>
      </c>
      <c r="BI170" s="518" t="str">
        <f>IF(AND(_D="B-767-300",'2024'!$H$4="CA",'2024'!$H$2=BI157),'2024DATA'!$D$15,"")</f>
        <v/>
      </c>
      <c r="BJ170" s="518" t="str">
        <f>IF(AND(_D="B-767-300",'2024'!$H$4="CA",'2024'!$H$2=BJ157),'2024DATA'!$E$15,"")</f>
        <v/>
      </c>
      <c r="BK170" s="518" t="str">
        <f>IF(AND(_D="B-767-300",'2024'!$H$4="CA",'2024'!$H$2=BK157),'2024DATA'!$F$15,"")</f>
        <v/>
      </c>
      <c r="BL170" s="518" t="str">
        <f>IF(AND(_D="B-767-300",'2024'!$H$4="CA",'2024'!$H$2=BL157),'2024DATA'!$G$15,"")</f>
        <v/>
      </c>
      <c r="BM170" s="518" t="str">
        <f>IF(AND(_D="B-767-300",'2024'!$H$4="CA",'2024'!$H$2=BM157),'2024DATA'!$H$15,"")</f>
        <v/>
      </c>
      <c r="BN170" s="518" t="str">
        <f>IF(AND(_D="B-767-300",'2024'!$H$4="CA",'2024'!$H$2=BN157),'2024DATA'!$I$15,"")</f>
        <v/>
      </c>
      <c r="BO170" s="518" t="str">
        <f>IF(AND(_D="B-767-300",'2024'!$H$4="CA",'2024'!$H$2=BO157),'2024DATA'!$J$15,"")</f>
        <v/>
      </c>
      <c r="BP170" s="518" t="str">
        <f>IF(AND(_D="B-767-300",'2024'!$H$4="CA",'2024'!$H$2=BP157),'2024DATA'!$K$15,"")</f>
        <v/>
      </c>
      <c r="BQ170" s="518" t="str">
        <f>IF(AND(_D="B-767-300",'2024'!$H$4="CA",'2024'!$H$2=BQ157),'2024DATA'!$L$15,"")</f>
        <v/>
      </c>
      <c r="BR170" s="518" t="str">
        <f>IF(AND(_D="B-767-300",'2024'!$H$4="CA",'2024'!$H$2=BR157),'2024DATA'!$M$15,"")</f>
        <v/>
      </c>
      <c r="BS170" s="520" t="str">
        <f>IF(AND(_D="B-767-300",'2024'!$H$4="CA",'2024'!$H$2=BS157),'2024DATA'!$N$15,"")</f>
        <v/>
      </c>
      <c r="BT170" s="940" t="s">
        <v>67</v>
      </c>
      <c r="BU170" s="13" t="s">
        <v>61</v>
      </c>
      <c r="BV170" s="518" t="str">
        <f>IF(AND(_E="B-767-300",'2024'!$H$4="CA",'2024'!$H$2=BV157),'2024DATA'!$C$15,"")</f>
        <v/>
      </c>
      <c r="BW170" s="518" t="str">
        <f>IF(AND(_E="B-767-300",'2024'!$H$4="CA",'2024'!$H$2=BW157),'2024DATA'!$D$15,"")</f>
        <v/>
      </c>
      <c r="BX170" s="518" t="str">
        <f>IF(AND(_E="B-767-300",'2024'!$H$4="CA",'2024'!$H$2=BX157),'2024DATA'!$E$15,"")</f>
        <v/>
      </c>
      <c r="BY170" s="518" t="str">
        <f>IF(AND(_E="B-767-300",'2024'!$H$4="CA",'2024'!$H$2=BY157),'2024DATA'!$F$15,"")</f>
        <v/>
      </c>
      <c r="BZ170" s="518" t="str">
        <f>IF(AND(_E="B-767-300",'2024'!$H$4="CA",'2024'!$H$2=BZ157),'2024DATA'!$G$15,"")</f>
        <v/>
      </c>
      <c r="CA170" s="518" t="str">
        <f>IF(AND(_E="B-767-300",'2024'!$H$4="CA",'2024'!$H$2=CA157),'2024DATA'!$H$15,"")</f>
        <v/>
      </c>
      <c r="CB170" s="518" t="str">
        <f>IF(AND(_E="B-767-300",'2024'!$H$4="CA",'2024'!$H$2=CB157),'2024DATA'!$I$15,"")</f>
        <v/>
      </c>
      <c r="CC170" s="518" t="str">
        <f>IF(AND(_E="B-767-300",'2024'!$H$4="CA",'2024'!$H$2=CC157),'2024DATA'!$J$15,"")</f>
        <v/>
      </c>
      <c r="CD170" s="518" t="str">
        <f>IF(AND(_E="B-767-300",'2024'!$H$4="CA",'2024'!$H$2=CD157),'2024DATA'!$K$15,"")</f>
        <v/>
      </c>
      <c r="CE170" s="518" t="str">
        <f>IF(AND(_E="B-767-300",'2024'!$H$4="CA",'2024'!$H$2=CE157),'2024DATA'!$L$15,"")</f>
        <v/>
      </c>
      <c r="CF170" s="518" t="str">
        <f>IF(AND(_E="B-767-300",'2024'!$H$4="CA",'2024'!$H$2=CF157),'2024DATA'!$M$15,"")</f>
        <v/>
      </c>
      <c r="CG170" s="520" t="str">
        <f>IF(AND(_E="B-767-300",'2024'!$H$4="CA",'2024'!$H$2=CG157),'2024DATA'!$N$15,"")</f>
        <v/>
      </c>
      <c r="CH170" s="940" t="s">
        <v>67</v>
      </c>
      <c r="CI170" s="13" t="s">
        <v>61</v>
      </c>
      <c r="CJ170" s="518" t="str">
        <f>IF(AND(_F="B-767-300",'2024'!$H$4="CA",'2024'!$H$2=CJ157),'2024DATA'!$C$15,"")</f>
        <v/>
      </c>
      <c r="CK170" s="518" t="str">
        <f>IF(AND(_F="B-767-300",'2024'!$H$4="CA",'2024'!$H$2=CK157),'2024DATA'!$D$15,"")</f>
        <v/>
      </c>
      <c r="CL170" s="518" t="str">
        <f>IF(AND(_F="B-767-300",'2024'!$H$4="CA",'2024'!$H$2=CL157),'2024DATA'!$E$15,"")</f>
        <v/>
      </c>
      <c r="CM170" s="518" t="str">
        <f>IF(AND(_F="B-767-300",'2024'!$H$4="CA",'2024'!$H$2=CM157),'2024DATA'!$F$15,"")</f>
        <v/>
      </c>
      <c r="CN170" s="518" t="str">
        <f>IF(AND(_F="B-767-300",'2024'!$H$4="CA",'2024'!$H$2=CN157),'2024DATA'!$G$15,"")</f>
        <v/>
      </c>
      <c r="CO170" s="518" t="str">
        <f>IF(AND(_F="B-767-300",'2024'!$H$4="CA",'2024'!$H$2=CO157),'2024DATA'!$H$15,"")</f>
        <v/>
      </c>
      <c r="CP170" s="518" t="str">
        <f>IF(AND(_F="B-767-300",'2024'!$H$4="CA",'2024'!$H$2=CP157),'2024DATA'!$I$15,"")</f>
        <v/>
      </c>
      <c r="CQ170" s="518" t="str">
        <f>IF(AND(_F="B-767-300",'2024'!$H$4="CA",'2024'!$H$2=CQ157),'2024DATA'!$J$15,"")</f>
        <v/>
      </c>
      <c r="CR170" s="518" t="str">
        <f>IF(AND(_F="B-767-300",'2024'!$H$4="CA",'2024'!$H$2=CR157),'2024DATA'!$K$15,"")</f>
        <v/>
      </c>
      <c r="CS170" s="518" t="str">
        <f>IF(AND(_F="B-767-300",'2024'!$H$4="CA",'2024'!$H$2=CS157),'2024DATA'!$L$15,"")</f>
        <v/>
      </c>
      <c r="CT170" s="518" t="str">
        <f>IF(AND(_F="B-767-300",'2024'!$H$4="CA",'2024'!$H$2=CT157),'2024DATA'!$M$15,"")</f>
        <v/>
      </c>
      <c r="CU170" s="520" t="str">
        <f>IF(AND(_F="B-767-300",'2024'!$H$4="CA",'2024'!$H$2=CU157),'2024DATA'!$N$15,"")</f>
        <v/>
      </c>
    </row>
    <row r="171" spans="16:99" x14ac:dyDescent="0.25">
      <c r="P171" s="940"/>
      <c r="Q171" s="13" t="s">
        <v>62</v>
      </c>
      <c r="R171" s="518" t="str">
        <f>IF(AND(_A="B-767-300",'2024'!$H$4="FO",'2024'!$H$2=R157),'2024DATA'!$C$16,"")</f>
        <v/>
      </c>
      <c r="S171" s="518" t="str">
        <f>IF(AND(_A="B-767-300",'2024'!$H$4="FO",'2024'!$H$2=S157),'2024DATA'!$D$16,"")</f>
        <v/>
      </c>
      <c r="T171" s="518" t="str">
        <f>IF(AND(_A="B-767-300",'2024'!$H$4="FO",'2024'!$H$2=T157),'2024DATA'!$E$16,"")</f>
        <v/>
      </c>
      <c r="U171" s="518" t="str">
        <f>IF(AND(_A="B-767-300",'2024'!$H$4="FO",'2024'!$H$2=U157),'2024DATA'!$F$16,"")</f>
        <v/>
      </c>
      <c r="V171" s="518" t="str">
        <f>IF(AND(_A="B-767-300",'2024'!$H$4="FO",'2024'!$H$2=V157),'2024DATA'!$G$16,"")</f>
        <v/>
      </c>
      <c r="W171" s="518" t="str">
        <f>IF(AND(_A="B-767-300",'2024'!$H$4="FO",'2024'!$H$2=W157),'2024DATA'!$H$16,"")</f>
        <v/>
      </c>
      <c r="X171" s="518" t="str">
        <f>IF(AND(_A="B-767-300",'2024'!$H$4="FO",'2024'!$H$2=X157),'2024DATA'!$I$16,"")</f>
        <v/>
      </c>
      <c r="Y171" s="518" t="str">
        <f>IF(AND(_A="B-767-300",'2024'!$H$4="FO",'2024'!$H$2=Y157),'2024DATA'!$J$16,"")</f>
        <v/>
      </c>
      <c r="Z171" s="518" t="str">
        <f>IF(AND(_A="B-767-300",'2024'!$H$4="FO",'2024'!$H$2=Z157),'2024DATA'!$K$16,"")</f>
        <v/>
      </c>
      <c r="AA171" s="518" t="str">
        <f>IF(AND(_A="B-767-300",'2024'!$H$4="FO",'2024'!$H$2=AA157),'2024DATA'!$L$16,"")</f>
        <v/>
      </c>
      <c r="AB171" s="518" t="str">
        <f>IF(AND(_A="B-767-300",'2024'!$H$4="FO",'2024'!$H$2=AB157),'2024DATA'!$M$16,"")</f>
        <v/>
      </c>
      <c r="AC171" s="520" t="str">
        <f>IF(AND(_A="B-767-300",'2024'!$H$4="FO",'2024'!$H$2=AC157),'2024DATA'!$N$16,"")</f>
        <v/>
      </c>
      <c r="AD171" s="940"/>
      <c r="AE171" s="13" t="s">
        <v>62</v>
      </c>
      <c r="AF171" s="518" t="str">
        <f>IF(AND(_B="B-767-300",'2024'!$H$4="FO",'2024'!$H$2=AF157),'2024DATA'!$C$16,"")</f>
        <v/>
      </c>
      <c r="AG171" s="518" t="str">
        <f>IF(AND(_B="B-767-300",'2024'!$H$4="FO",'2024'!$H$2=AG157),'2024DATA'!$D$16,"")</f>
        <v/>
      </c>
      <c r="AH171" s="518" t="str">
        <f>IF(AND(_B="B-767-300",'2024'!$H$4="FO",'2024'!$H$2=AH157),'2024DATA'!$E$16,"")</f>
        <v/>
      </c>
      <c r="AI171" s="518" t="str">
        <f>IF(AND(_B="B-767-300",'2024'!$H$4="FO",'2024'!$H$2=AI157),'2024DATA'!$F$16,"")</f>
        <v/>
      </c>
      <c r="AJ171" s="518" t="str">
        <f>IF(AND(_B="B-767-300",'2024'!$H$4="FO",'2024'!$H$2=AJ157),'2024DATA'!$G$16,"")</f>
        <v/>
      </c>
      <c r="AK171" s="518" t="str">
        <f>IF(AND(_B="B-767-300",'2024'!$H$4="FO",'2024'!$H$2=AK157),'2024DATA'!$H$16,"")</f>
        <v/>
      </c>
      <c r="AL171" s="518" t="str">
        <f>IF(AND(_B="B-767-300",'2024'!$H$4="FO",'2024'!$H$2=AL157),'2024DATA'!$I$16,"")</f>
        <v/>
      </c>
      <c r="AM171" s="518" t="str">
        <f>IF(AND(_B="B-767-300",'2024'!$H$4="FO",'2024'!$H$2=AM157),'2024DATA'!$J$16,"")</f>
        <v/>
      </c>
      <c r="AN171" s="518" t="str">
        <f>IF(AND(_B="B-767-300",'2024'!$H$4="FO",'2024'!$H$2=AN157),'2024DATA'!$K$16,"")</f>
        <v/>
      </c>
      <c r="AO171" s="518" t="str">
        <f>IF(AND(_B="B-767-300",'2024'!$H$4="FO",'2024'!$H$2=AO157),'2024DATA'!$L$16,"")</f>
        <v/>
      </c>
      <c r="AP171" s="518" t="str">
        <f>IF(AND(_B="B-767-300",'2024'!$H$4="FO",'2024'!$H$2=AP157),'2024DATA'!$M$16,"")</f>
        <v/>
      </c>
      <c r="AQ171" s="520" t="str">
        <f>IF(AND(_B="B-767-300",'2024'!$H$4="FO",'2024'!$H$2=AQ157),'2024DATA'!$N$16,"")</f>
        <v/>
      </c>
      <c r="AR171" s="940"/>
      <c r="AS171" s="13" t="s">
        <v>62</v>
      </c>
      <c r="AT171" s="518" t="str">
        <f>IF(AND(_C="B-767-300",'2024'!$H$4="FO",'2024'!$H$2=AT157),'2024DATA'!$C$16,"")</f>
        <v/>
      </c>
      <c r="AU171" s="518" t="str">
        <f>IF(AND(_C="B-767-300",'2024'!$H$4="FO",'2024'!$H$2=AU157),'2024DATA'!$D$16,"")</f>
        <v/>
      </c>
      <c r="AV171" s="518" t="str">
        <f>IF(AND(_C="B-767-300",'2024'!$H$4="FO",'2024'!$H$2=AV157),'2024DATA'!$E$16,"")</f>
        <v/>
      </c>
      <c r="AW171" s="518" t="str">
        <f>IF(AND(_C="B-767-300",'2024'!$H$4="FO",'2024'!$H$2=AW157),'2024DATA'!$F$16,"")</f>
        <v/>
      </c>
      <c r="AX171" s="518" t="str">
        <f>IF(AND(_C="B-767-300",'2024'!$H$4="FO",'2024'!$H$2=AX157),'2024DATA'!$G$16,"")</f>
        <v/>
      </c>
      <c r="AY171" s="518" t="str">
        <f>IF(AND(_C="B-767-300",'2024'!$H$4="FO",'2024'!$H$2=AY157),'2024DATA'!$H$16,"")</f>
        <v/>
      </c>
      <c r="AZ171" s="518" t="str">
        <f>IF(AND(_C="B-767-300",'2024'!$H$4="FO",'2024'!$H$2=AZ157),'2024DATA'!$I$16,"")</f>
        <v/>
      </c>
      <c r="BA171" s="518" t="str">
        <f>IF(AND(_C="B-767-300",'2024'!$H$4="FO",'2024'!$H$2=BA157),'2024DATA'!$J$16,"")</f>
        <v/>
      </c>
      <c r="BB171" s="518" t="str">
        <f>IF(AND(_C="B-767-300",'2024'!$H$4="FO",'2024'!$H$2=BB157),'2024DATA'!$K$16,"")</f>
        <v/>
      </c>
      <c r="BC171" s="518" t="str">
        <f>IF(AND(_C="B-767-300",'2024'!$H$4="FO",'2024'!$H$2=BC157),'2024DATA'!$L$16,"")</f>
        <v/>
      </c>
      <c r="BD171" s="518" t="str">
        <f>IF(AND(_C="B-767-300",'2024'!$H$4="FO",'2024'!$H$2=BD157),'2024DATA'!$M$16,"")</f>
        <v/>
      </c>
      <c r="BE171" s="520" t="str">
        <f>IF(AND(_C="B-767-300",'2024'!$H$4="FO",'2024'!$H$2=BE157),'2024DATA'!$N$16,"")</f>
        <v/>
      </c>
      <c r="BF171" s="940"/>
      <c r="BG171" s="13" t="s">
        <v>62</v>
      </c>
      <c r="BH171" s="518" t="str">
        <f>IF(AND(_D="B-767-300",'2024'!$H$4="FO",'2024'!$H$2=BH157),'2024DATA'!$C$16,"")</f>
        <v/>
      </c>
      <c r="BI171" s="518" t="str">
        <f>IF(AND(_D="B-767-300",'2024'!$H$4="FO",'2024'!$H$2=BI157),'2024DATA'!$D$16,"")</f>
        <v/>
      </c>
      <c r="BJ171" s="518" t="str">
        <f>IF(AND(_D="B-767-300",'2024'!$H$4="FO",'2024'!$H$2=BJ157),'2024DATA'!$E$16,"")</f>
        <v/>
      </c>
      <c r="BK171" s="518" t="str">
        <f>IF(AND(_D="B-767-300",'2024'!$H$4="FO",'2024'!$H$2=BK157),'2024DATA'!$F$16,"")</f>
        <v/>
      </c>
      <c r="BL171" s="518" t="str">
        <f>IF(AND(_D="B-767-300",'2024'!$H$4="FO",'2024'!$H$2=BL157),'2024DATA'!$G$16,"")</f>
        <v/>
      </c>
      <c r="BM171" s="518" t="str">
        <f>IF(AND(_D="B-767-300",'2024'!$H$4="FO",'2024'!$H$2=BM157),'2024DATA'!$H$16,"")</f>
        <v/>
      </c>
      <c r="BN171" s="518" t="str">
        <f>IF(AND(_D="B-767-300",'2024'!$H$4="FO",'2024'!$H$2=BN157),'2024DATA'!$I$16,"")</f>
        <v/>
      </c>
      <c r="BO171" s="518" t="str">
        <f>IF(AND(_D="B-767-300",'2024'!$H$4="FO",'2024'!$H$2=BO157),'2024DATA'!$J$16,"")</f>
        <v/>
      </c>
      <c r="BP171" s="518" t="str">
        <f>IF(AND(_D="B-767-300",'2024'!$H$4="FO",'2024'!$H$2=BP157),'2024DATA'!$K$16,"")</f>
        <v/>
      </c>
      <c r="BQ171" s="518" t="str">
        <f>IF(AND(_D="B-767-300",'2024'!$H$4="FO",'2024'!$H$2=BQ157),'2024DATA'!$L$16,"")</f>
        <v/>
      </c>
      <c r="BR171" s="518" t="str">
        <f>IF(AND(_D="B-767-300",'2024'!$H$4="FO",'2024'!$H$2=BR157),'2024DATA'!$M$16,"")</f>
        <v/>
      </c>
      <c r="BS171" s="520" t="str">
        <f>IF(AND(_D="B-767-300",'2024'!$H$4="FO",'2024'!$H$2=BS157),'2024DATA'!$N$16,"")</f>
        <v/>
      </c>
      <c r="BT171" s="940"/>
      <c r="BU171" s="13" t="s">
        <v>62</v>
      </c>
      <c r="BV171" s="518" t="str">
        <f>IF(AND(_E="B-767-300",'2024'!$H$4="FO",'2024'!$H$2=BV157),'2024DATA'!$C$16,"")</f>
        <v/>
      </c>
      <c r="BW171" s="518" t="str">
        <f>IF(AND(_E="B-767-300",'2024'!$H$4="FO",'2024'!$H$2=BW157),'2024DATA'!$D$16,"")</f>
        <v/>
      </c>
      <c r="BX171" s="518" t="str">
        <f>IF(AND(_E="B-767-300",'2024'!$H$4="FO",'2024'!$H$2=BX157),'2024DATA'!$E$16,"")</f>
        <v/>
      </c>
      <c r="BY171" s="518" t="str">
        <f>IF(AND(_E="B-767-300",'2024'!$H$4="FO",'2024'!$H$2=BY157),'2024DATA'!$F$16,"")</f>
        <v/>
      </c>
      <c r="BZ171" s="518" t="str">
        <f>IF(AND(_E="B-767-300",'2024'!$H$4="FO",'2024'!$H$2=BZ157),'2024DATA'!$G$16,"")</f>
        <v/>
      </c>
      <c r="CA171" s="518" t="str">
        <f>IF(AND(_E="B-767-300",'2024'!$H$4="FO",'2024'!$H$2=CA157),'2024DATA'!$H$16,"")</f>
        <v/>
      </c>
      <c r="CB171" s="518" t="str">
        <f>IF(AND(_E="B-767-300",'2024'!$H$4="FO",'2024'!$H$2=CB157),'2024DATA'!$I$16,"")</f>
        <v/>
      </c>
      <c r="CC171" s="518" t="str">
        <f>IF(AND(_E="B-767-300",'2024'!$H$4="FO",'2024'!$H$2=CC157),'2024DATA'!$J$16,"")</f>
        <v/>
      </c>
      <c r="CD171" s="518" t="str">
        <f>IF(AND(_E="B-767-300",'2024'!$H$4="FO",'2024'!$H$2=CD157),'2024DATA'!$K$16,"")</f>
        <v/>
      </c>
      <c r="CE171" s="518" t="str">
        <f>IF(AND(_E="B-767-300",'2024'!$H$4="FO",'2024'!$H$2=CE157),'2024DATA'!$L$16,"")</f>
        <v/>
      </c>
      <c r="CF171" s="518" t="str">
        <f>IF(AND(_E="B-767-300",'2024'!$H$4="FO",'2024'!$H$2=CF157),'2024DATA'!$M$16,"")</f>
        <v/>
      </c>
      <c r="CG171" s="520" t="str">
        <f>IF(AND(_E="B-767-300",'2024'!$H$4="FO",'2024'!$H$2=CG157),'2024DATA'!$N$16,"")</f>
        <v/>
      </c>
      <c r="CH171" s="940"/>
      <c r="CI171" s="13" t="s">
        <v>62</v>
      </c>
      <c r="CJ171" s="518" t="str">
        <f>IF(AND(_F="B-767-300",'2024'!$H$4="FO",'2024'!$H$2=CJ157),'2024DATA'!$C$16,"")</f>
        <v/>
      </c>
      <c r="CK171" s="518" t="str">
        <f>IF(AND(_F="B-767-300",'2024'!$H$4="FO",'2024'!$H$2=CK157),'2024DATA'!$D$16,"")</f>
        <v/>
      </c>
      <c r="CL171" s="518" t="str">
        <f>IF(AND(_F="B-767-300",'2024'!$H$4="FO",'2024'!$H$2=CL157),'2024DATA'!$E$16,"")</f>
        <v/>
      </c>
      <c r="CM171" s="518" t="str">
        <f>IF(AND(_F="B-767-300",'2024'!$H$4="FO",'2024'!$H$2=CM157),'2024DATA'!$F$16,"")</f>
        <v/>
      </c>
      <c r="CN171" s="518" t="str">
        <f>IF(AND(_F="B-767-300",'2024'!$H$4="FO",'2024'!$H$2=CN157),'2024DATA'!$G$16,"")</f>
        <v/>
      </c>
      <c r="CO171" s="518" t="str">
        <f>IF(AND(_F="B-767-300",'2024'!$H$4="FO",'2024'!$H$2=CO157),'2024DATA'!$H$16,"")</f>
        <v/>
      </c>
      <c r="CP171" s="518" t="str">
        <f>IF(AND(_F="B-767-300",'2024'!$H$4="FO",'2024'!$H$2=CP157),'2024DATA'!$I$16,"")</f>
        <v/>
      </c>
      <c r="CQ171" s="518" t="str">
        <f>IF(AND(_F="B-767-300",'2024'!$H$4="FO",'2024'!$H$2=CQ157),'2024DATA'!$J$16,"")</f>
        <v/>
      </c>
      <c r="CR171" s="518" t="str">
        <f>IF(AND(_F="B-767-300",'2024'!$H$4="FO",'2024'!$H$2=CR157),'2024DATA'!$K$16,"")</f>
        <v/>
      </c>
      <c r="CS171" s="518" t="str">
        <f>IF(AND(_F="B-767-300",'2024'!$H$4="FO",'2024'!$H$2=CS157),'2024DATA'!$L$16,"")</f>
        <v/>
      </c>
      <c r="CT171" s="518" t="str">
        <f>IF(AND(_F="B-767-300",'2024'!$H$4="FO",'2024'!$H$2=CT157),'2024DATA'!$M$16,"")</f>
        <v/>
      </c>
      <c r="CU171" s="520" t="str">
        <f>IF(AND(_F="B-767-300",'2024'!$H$4="FO",'2024'!$H$2=CU157),'2024DATA'!$N$16,"")</f>
        <v/>
      </c>
    </row>
    <row r="172" spans="16:99" x14ac:dyDescent="0.25">
      <c r="P172" s="940" t="s">
        <v>68</v>
      </c>
      <c r="Q172" s="13" t="s">
        <v>61</v>
      </c>
      <c r="R172" s="518" t="str">
        <f>IF(AND(_A="B-767-200",'2024'!$H$4="CA",'2024'!$H$2=R157),'2024DATA'!$C$17,"")</f>
        <v/>
      </c>
      <c r="S172" s="518" t="str">
        <f>IF(AND(_A="B-767-200",'2024'!$H$4="CA",'2024'!$H$2=S157),'2024DATA'!$D$17,"")</f>
        <v/>
      </c>
      <c r="T172" s="518" t="str">
        <f>IF(AND(_A="B-767-200",'2024'!$H$4="CA",'2024'!$H$2=T157),'2024DATA'!$E$17,"")</f>
        <v/>
      </c>
      <c r="U172" s="518" t="str">
        <f>IF(AND(_A="B-767-200",'2024'!$H$4="CA",'2024'!$H$2=U157),'2024DATA'!$F$17,"")</f>
        <v/>
      </c>
      <c r="V172" s="518" t="str">
        <f>IF(AND(_A="B-767-200",'2024'!$H$4="CA",'2024'!$H$2=V157),'2024DATA'!$G$17,"")</f>
        <v/>
      </c>
      <c r="W172" s="518" t="str">
        <f>IF(AND(_A="B-767-200",'2024'!$H$4="CA",'2024'!$H$2=W157),'2024DATA'!$H$17,"")</f>
        <v/>
      </c>
      <c r="X172" s="518" t="str">
        <f>IF(AND(_A="B-767-200",'2024'!$H$4="CA",'2024'!$H$2=X157),'2024DATA'!$I$17,"")</f>
        <v/>
      </c>
      <c r="Y172" s="518" t="str">
        <f>IF(AND(_A="B-767-200",'2024'!$H$4="CA",'2024'!$H$2=Y157),'2024DATA'!$J$17,"")</f>
        <v/>
      </c>
      <c r="Z172" s="518" t="str">
        <f>IF(AND(_A="B-767-200",'2024'!$H$4="CA",'2024'!$H$2=Z157),'2024DATA'!$K$17,"")</f>
        <v/>
      </c>
      <c r="AA172" s="518" t="str">
        <f>IF(AND(_A="B-767-200",'2024'!$H$4="CA",'2024'!$H$2=AA157),'2024DATA'!$L$17,"")</f>
        <v/>
      </c>
      <c r="AB172" s="518" t="str">
        <f>IF(AND(_A="B-767-200",'2024'!$H$4="CA",'2024'!$H$2=AB157),'2024DATA'!$M$17,"")</f>
        <v/>
      </c>
      <c r="AC172" s="520" t="str">
        <f>IF(AND(_A="B-767-200",'2024'!$H$4="CA",'2024'!$H$2=AC157),'2024DATA'!$N$17,"")</f>
        <v/>
      </c>
      <c r="AD172" s="940" t="s">
        <v>68</v>
      </c>
      <c r="AE172" s="13" t="s">
        <v>61</v>
      </c>
      <c r="AF172" s="518" t="str">
        <f>IF(AND(_B="B-767-200",'2024'!$H$4="CA",'2024'!$H$2=AF157),'2024DATA'!$C$17,"")</f>
        <v/>
      </c>
      <c r="AG172" s="518" t="str">
        <f>IF(AND(_B="B-767-200",'2024'!$H$4="CA",'2024'!$H$2=AG157),'2024DATA'!$D$17,"")</f>
        <v/>
      </c>
      <c r="AH172" s="518" t="str">
        <f>IF(AND(_B="B-767-200",'2024'!$H$4="CA",'2024'!$H$2=AH157),'2024DATA'!$E$17,"")</f>
        <v/>
      </c>
      <c r="AI172" s="518" t="str">
        <f>IF(AND(_B="B-767-200",'2024'!$H$4="CA",'2024'!$H$2=AI157),'2024DATA'!$F$17,"")</f>
        <v/>
      </c>
      <c r="AJ172" s="518" t="str">
        <f>IF(AND(_B="B-767-200",'2024'!$H$4="CA",'2024'!$H$2=AJ157),'2024DATA'!$G$17,"")</f>
        <v/>
      </c>
      <c r="AK172" s="518" t="str">
        <f>IF(AND(_B="B-767-200",'2024'!$H$4="CA",'2024'!$H$2=AK157),'2024DATA'!$H$17,"")</f>
        <v/>
      </c>
      <c r="AL172" s="518" t="str">
        <f>IF(AND(_B="B-767-200",'2024'!$H$4="CA",'2024'!$H$2=AL157),'2024DATA'!$I$17,"")</f>
        <v/>
      </c>
      <c r="AM172" s="518" t="str">
        <f>IF(AND(_B="B-767-200",'2024'!$H$4="CA",'2024'!$H$2=AM157),'2024DATA'!$J$17,"")</f>
        <v/>
      </c>
      <c r="AN172" s="518" t="str">
        <f>IF(AND(_B="B-767-200",'2024'!$H$4="CA",'2024'!$H$2=AN157),'2024DATA'!$K$17,"")</f>
        <v/>
      </c>
      <c r="AO172" s="518" t="str">
        <f>IF(AND(_B="B-767-200",'2024'!$H$4="CA",'2024'!$H$2=AO157),'2024DATA'!$L$17,"")</f>
        <v/>
      </c>
      <c r="AP172" s="518" t="str">
        <f>IF(AND(_B="B-767-200",'2024'!$H$4="CA",'2024'!$H$2=AP157),'2024DATA'!$M$17,"")</f>
        <v/>
      </c>
      <c r="AQ172" s="520" t="str">
        <f>IF(AND(_B="B-767-200",'2024'!$H$4="CA",'2024'!$H$2=AQ157),'2024DATA'!$N$17,"")</f>
        <v/>
      </c>
      <c r="AR172" s="940" t="s">
        <v>68</v>
      </c>
      <c r="AS172" s="13" t="s">
        <v>61</v>
      </c>
      <c r="AT172" s="518" t="str">
        <f>IF(AND(_C="B-767-200",'2024'!$H$4="CA",'2024'!$H$2=AT157),'2024DATA'!$C$17,"")</f>
        <v/>
      </c>
      <c r="AU172" s="518" t="str">
        <f>IF(AND(_C="B-767-200",'2024'!$H$4="CA",'2024'!$H$2=AU157),'2024DATA'!$D$17,"")</f>
        <v/>
      </c>
      <c r="AV172" s="518" t="str">
        <f>IF(AND(_C="B-767-200",'2024'!$H$4="CA",'2024'!$H$2=AV157),'2024DATA'!$E$17,"")</f>
        <v/>
      </c>
      <c r="AW172" s="518" t="str">
        <f>IF(AND(_C="B-767-200",'2024'!$H$4="CA",'2024'!$H$2=AW157),'2024DATA'!$F$17,"")</f>
        <v/>
      </c>
      <c r="AX172" s="518" t="str">
        <f>IF(AND(_C="B-767-200",'2024'!$H$4="CA",'2024'!$H$2=AX157),'2024DATA'!$G$17,"")</f>
        <v/>
      </c>
      <c r="AY172" s="518" t="str">
        <f>IF(AND(_C="B-767-200",'2024'!$H$4="CA",'2024'!$H$2=AY157),'2024DATA'!$H$17,"")</f>
        <v/>
      </c>
      <c r="AZ172" s="518" t="str">
        <f>IF(AND(_C="B-767-200",'2024'!$H$4="CA",'2024'!$H$2=AZ157),'2024DATA'!$I$17,"")</f>
        <v/>
      </c>
      <c r="BA172" s="518" t="str">
        <f>IF(AND(_C="B-767-200",'2024'!$H$4="CA",'2024'!$H$2=BA157),'2024DATA'!$J$17,"")</f>
        <v/>
      </c>
      <c r="BB172" s="518" t="str">
        <f>IF(AND(_C="B-767-200",'2024'!$H$4="CA",'2024'!$H$2=BB157),'2024DATA'!$K$17,"")</f>
        <v/>
      </c>
      <c r="BC172" s="518" t="str">
        <f>IF(AND(_C="B-767-200",'2024'!$H$4="CA",'2024'!$H$2=BC157),'2024DATA'!$L$17,"")</f>
        <v/>
      </c>
      <c r="BD172" s="518" t="str">
        <f>IF(AND(_C="B-767-200",'2024'!$H$4="CA",'2024'!$H$2=BD157),'2024DATA'!$M$17,"")</f>
        <v/>
      </c>
      <c r="BE172" s="520" t="str">
        <f>IF(AND(_C="B-767-200",'2024'!$H$4="CA",'2024'!$H$2=BE157),'2024DATA'!$N$17,"")</f>
        <v/>
      </c>
      <c r="BF172" s="940" t="s">
        <v>68</v>
      </c>
      <c r="BG172" s="13" t="s">
        <v>61</v>
      </c>
      <c r="BH172" s="518" t="str">
        <f>IF(AND(_D="B-767-200",'2024'!$H$4="CA",'2024'!$H$2=BH157),'2024DATA'!$C$17,"")</f>
        <v/>
      </c>
      <c r="BI172" s="518" t="str">
        <f>IF(AND(_D="B-767-200",'2024'!$H$4="CA",'2024'!$H$2=BI157),'2024DATA'!$D$17,"")</f>
        <v/>
      </c>
      <c r="BJ172" s="518" t="str">
        <f>IF(AND(_D="B-767-200",'2024'!$H$4="CA",'2024'!$H$2=BJ157),'2024DATA'!$E$17,"")</f>
        <v/>
      </c>
      <c r="BK172" s="518" t="str">
        <f>IF(AND(_D="B-767-200",'2024'!$H$4="CA",'2024'!$H$2=BK157),'2024DATA'!$F$17,"")</f>
        <v/>
      </c>
      <c r="BL172" s="518" t="str">
        <f>IF(AND(_D="B-767-200",'2024'!$H$4="CA",'2024'!$H$2=BL157),'2024DATA'!$G$17,"")</f>
        <v/>
      </c>
      <c r="BM172" s="518" t="str">
        <f>IF(AND(_D="B-767-200",'2024'!$H$4="CA",'2024'!$H$2=BM157),'2024DATA'!$H$17,"")</f>
        <v/>
      </c>
      <c r="BN172" s="518" t="str">
        <f>IF(AND(_D="B-767-200",'2024'!$H$4="CA",'2024'!$H$2=BN157),'2024DATA'!$I$17,"")</f>
        <v/>
      </c>
      <c r="BO172" s="518" t="str">
        <f>IF(AND(_D="B-767-200",'2024'!$H$4="CA",'2024'!$H$2=BO157),'2024DATA'!$J$17,"")</f>
        <v/>
      </c>
      <c r="BP172" s="518" t="str">
        <f>IF(AND(_D="B-767-200",'2024'!$H$4="CA",'2024'!$H$2=BP157),'2024DATA'!$K$17,"")</f>
        <v/>
      </c>
      <c r="BQ172" s="518" t="str">
        <f>IF(AND(_D="B-767-200",'2024'!$H$4="CA",'2024'!$H$2=BQ157),'2024DATA'!$L$17,"")</f>
        <v/>
      </c>
      <c r="BR172" s="518" t="str">
        <f>IF(AND(_D="B-767-200",'2024'!$H$4="CA",'2024'!$H$2=BR157),'2024DATA'!$M$17,"")</f>
        <v/>
      </c>
      <c r="BS172" s="520" t="str">
        <f>IF(AND(_D="B-767-200",'2024'!$H$4="CA",'2024'!$H$2=BS157),'2024DATA'!$N$17,"")</f>
        <v/>
      </c>
      <c r="BT172" s="940" t="s">
        <v>68</v>
      </c>
      <c r="BU172" s="13" t="s">
        <v>61</v>
      </c>
      <c r="BV172" s="518" t="str">
        <f>IF(AND(_E="B-767-200",'2024'!$H$4="CA",'2024'!$H$2=BV157),'2024DATA'!$C$17,"")</f>
        <v/>
      </c>
      <c r="BW172" s="518" t="str">
        <f>IF(AND(_E="B-767-200",'2024'!$H$4="CA",'2024'!$H$2=BW157),'2024DATA'!$D$17,"")</f>
        <v/>
      </c>
      <c r="BX172" s="518" t="str">
        <f>IF(AND(_E="B-767-200",'2024'!$H$4="CA",'2024'!$H$2=BX157),'2024DATA'!$E$17,"")</f>
        <v/>
      </c>
      <c r="BY172" s="518" t="str">
        <f>IF(AND(_E="B-767-200",'2024'!$H$4="CA",'2024'!$H$2=BY157),'2024DATA'!$F$17,"")</f>
        <v/>
      </c>
      <c r="BZ172" s="518" t="str">
        <f>IF(AND(_E="B-767-200",'2024'!$H$4="CA",'2024'!$H$2=BZ157),'2024DATA'!$G$17,"")</f>
        <v/>
      </c>
      <c r="CA172" s="518" t="str">
        <f>IF(AND(_E="B-767-200",'2024'!$H$4="CA",'2024'!$H$2=CA157),'2024DATA'!$H$17,"")</f>
        <v/>
      </c>
      <c r="CB172" s="518" t="str">
        <f>IF(AND(_E="B-767-200",'2024'!$H$4="CA",'2024'!$H$2=CB157),'2024DATA'!$I$17,"")</f>
        <v/>
      </c>
      <c r="CC172" s="518" t="str">
        <f>IF(AND(_E="B-767-200",'2024'!$H$4="CA",'2024'!$H$2=CC157),'2024DATA'!$J$17,"")</f>
        <v/>
      </c>
      <c r="CD172" s="518" t="str">
        <f>IF(AND(_E="B-767-200",'2024'!$H$4="CA",'2024'!$H$2=CD157),'2024DATA'!$K$17,"")</f>
        <v/>
      </c>
      <c r="CE172" s="518" t="str">
        <f>IF(AND(_E="B-767-200",'2024'!$H$4="CA",'2024'!$H$2=CE157),'2024DATA'!$L$17,"")</f>
        <v/>
      </c>
      <c r="CF172" s="518" t="str">
        <f>IF(AND(_E="B-767-200",'2024'!$H$4="CA",'2024'!$H$2=CF157),'2024DATA'!$M$17,"")</f>
        <v/>
      </c>
      <c r="CG172" s="520" t="str">
        <f>IF(AND(_E="B-767-200",'2024'!$H$4="CA",'2024'!$H$2=CG157),'2024DATA'!$N$17,"")</f>
        <v/>
      </c>
      <c r="CH172" s="940" t="s">
        <v>68</v>
      </c>
      <c r="CI172" s="13" t="s">
        <v>61</v>
      </c>
      <c r="CJ172" s="518" t="str">
        <f>IF(AND(_F="B-767-200",'2024'!$H$4="CA",'2024'!$H$2=CJ157),'2024DATA'!$C$17,"")</f>
        <v/>
      </c>
      <c r="CK172" s="518" t="str">
        <f>IF(AND(_F="B-767-200",'2024'!$H$4="CA",'2024'!$H$2=CK157),'2024DATA'!$D$17,"")</f>
        <v/>
      </c>
      <c r="CL172" s="518" t="str">
        <f>IF(AND(_F="B-767-200",'2024'!$H$4="CA",'2024'!$H$2=CL157),'2024DATA'!$E$17,"")</f>
        <v/>
      </c>
      <c r="CM172" s="518" t="str">
        <f>IF(AND(_F="B-767-200",'2024'!$H$4="CA",'2024'!$H$2=CM157),'2024DATA'!$F$17,"")</f>
        <v/>
      </c>
      <c r="CN172" s="518" t="str">
        <f>IF(AND(_F="B-767-200",'2024'!$H$4="CA",'2024'!$H$2=CN157),'2024DATA'!$G$17,"")</f>
        <v/>
      </c>
      <c r="CO172" s="518" t="str">
        <f>IF(AND(_F="B-767-200",'2024'!$H$4="CA",'2024'!$H$2=CO157),'2024DATA'!$H$17,"")</f>
        <v/>
      </c>
      <c r="CP172" s="518" t="str">
        <f>IF(AND(_F="B-767-200",'2024'!$H$4="CA",'2024'!$H$2=CP157),'2024DATA'!$I$17,"")</f>
        <v/>
      </c>
      <c r="CQ172" s="518" t="str">
        <f>IF(AND(_F="B-767-200",'2024'!$H$4="CA",'2024'!$H$2=CQ157),'2024DATA'!$J$17,"")</f>
        <v/>
      </c>
      <c r="CR172" s="518" t="str">
        <f>IF(AND(_F="B-767-200",'2024'!$H$4="CA",'2024'!$H$2=CR157),'2024DATA'!$K$17,"")</f>
        <v/>
      </c>
      <c r="CS172" s="518" t="str">
        <f>IF(AND(_F="B-767-200",'2024'!$H$4="CA",'2024'!$H$2=CS157),'2024DATA'!$L$17,"")</f>
        <v/>
      </c>
      <c r="CT172" s="518" t="str">
        <f>IF(AND(_F="B-767-200",'2024'!$H$4="CA",'2024'!$H$2=CT157),'2024DATA'!$M$17,"")</f>
        <v/>
      </c>
      <c r="CU172" s="520" t="str">
        <f>IF(AND(_F="B-767-200",'2024'!$H$4="CA",'2024'!$H$2=CU157),'2024DATA'!$N$17,"")</f>
        <v/>
      </c>
    </row>
    <row r="173" spans="16:99" x14ac:dyDescent="0.25">
      <c r="P173" s="940"/>
      <c r="Q173" s="13" t="s">
        <v>62</v>
      </c>
      <c r="R173" s="518" t="str">
        <f>IF(AND(_A="B-767-200",'2024'!$H$4="FO",'2024'!$H$2=R157),'2024DATA'!$C$18,"")</f>
        <v/>
      </c>
      <c r="S173" s="518" t="str">
        <f>IF(AND(_A="B-767-200",'2024'!$H$4="FO",'2024'!$H$2=S157),'2024DATA'!$D$18,"")</f>
        <v/>
      </c>
      <c r="T173" s="518" t="str">
        <f>IF(AND(_A="B-767-200",'2024'!$H$4="FO",'2024'!$H$2=T157),'2024DATA'!$E$18,"")</f>
        <v/>
      </c>
      <c r="U173" s="518" t="str">
        <f>IF(AND(_A="B-767-200",'2024'!$H$4="FO",'2024'!$H$2=U157),'2024DATA'!$F$18,"")</f>
        <v/>
      </c>
      <c r="V173" s="518" t="str">
        <f>IF(AND(_A="B-767-200",'2024'!$H$4="FO",'2024'!$H$2=V157),'2024DATA'!$G$18,"")</f>
        <v/>
      </c>
      <c r="W173" s="518" t="str">
        <f>IF(AND(_A="B-767-200",'2024'!$H$4="FO",'2024'!$H$2=W157),'2024DATA'!$H$18,"")</f>
        <v/>
      </c>
      <c r="X173" s="518" t="str">
        <f>IF(AND(_A="B-767-200",'2024'!$H$4="FO",'2024'!$H$2=X157),'2024DATA'!$I$18,"")</f>
        <v/>
      </c>
      <c r="Y173" s="518" t="str">
        <f>IF(AND(_A="B-767-200",'2024'!$H$4="FO",'2024'!$H$2=Y157),'2024DATA'!$J$18,"")</f>
        <v/>
      </c>
      <c r="Z173" s="518" t="str">
        <f>IF(AND(_A="B-767-200",'2024'!$H$4="FO",'2024'!$H$2=Z157),'2024DATA'!$K$18,"")</f>
        <v/>
      </c>
      <c r="AA173" s="518" t="str">
        <f>IF(AND(_A="B-767-200",'2024'!$H$4="FO",'2024'!$H$2=AA157),'2024DATA'!$L$18,"")</f>
        <v/>
      </c>
      <c r="AB173" s="518" t="str">
        <f>IF(AND(_A="B-767-200",'2024'!$H$4="FO",'2024'!$H$2=AB157),'2024DATA'!$M$18,"")</f>
        <v/>
      </c>
      <c r="AC173" s="520" t="str">
        <f>IF(AND(_A="B-767-200",'2024'!$H$4="FO",'2024'!$H$2=AC157),'2024DATA'!$N$18,"")</f>
        <v/>
      </c>
      <c r="AD173" s="940"/>
      <c r="AE173" s="13" t="s">
        <v>62</v>
      </c>
      <c r="AF173" s="518" t="str">
        <f>IF(AND(_B="B-767-200",'2024'!$H$4="FO",'2024'!$H$2=AF157),'2024DATA'!$C$18,"")</f>
        <v/>
      </c>
      <c r="AG173" s="518" t="str">
        <f>IF(AND(_B="B-767-200",'2024'!$H$4="FO",'2024'!$H$2=AG157),'2024DATA'!$D$18,"")</f>
        <v/>
      </c>
      <c r="AH173" s="518" t="str">
        <f>IF(AND(_B="B-767-200",'2024'!$H$4="FO",'2024'!$H$2=AH157),'2024DATA'!$E$18,"")</f>
        <v/>
      </c>
      <c r="AI173" s="518" t="str">
        <f>IF(AND(_B="B-767-200",'2024'!$H$4="FO",'2024'!$H$2=AI157),'2024DATA'!$F$18,"")</f>
        <v/>
      </c>
      <c r="AJ173" s="518" t="str">
        <f>IF(AND(_B="B-767-200",'2024'!$H$4="FO",'2024'!$H$2=AJ157),'2024DATA'!$G$18,"")</f>
        <v/>
      </c>
      <c r="AK173" s="518" t="str">
        <f>IF(AND(_B="B-767-200",'2024'!$H$4="FO",'2024'!$H$2=AK157),'2024DATA'!$H$18,"")</f>
        <v/>
      </c>
      <c r="AL173" s="518" t="str">
        <f>IF(AND(_B="B-767-200",'2024'!$H$4="FO",'2024'!$H$2=AL157),'2024DATA'!$I$18,"")</f>
        <v/>
      </c>
      <c r="AM173" s="518" t="str">
        <f>IF(AND(_B="B-767-200",'2024'!$H$4="FO",'2024'!$H$2=AM157),'2024DATA'!$J$18,"")</f>
        <v/>
      </c>
      <c r="AN173" s="518" t="str">
        <f>IF(AND(_B="B-767-200",'2024'!$H$4="FO",'2024'!$H$2=AN157),'2024DATA'!$K$18,"")</f>
        <v/>
      </c>
      <c r="AO173" s="518" t="str">
        <f>IF(AND(_B="B-767-200",'2024'!$H$4="FO",'2024'!$H$2=AO157),'2024DATA'!$L$18,"")</f>
        <v/>
      </c>
      <c r="AP173" s="518" t="str">
        <f>IF(AND(_B="B-767-200",'2024'!$H$4="FO",'2024'!$H$2=AP157),'2024DATA'!$M$18,"")</f>
        <v/>
      </c>
      <c r="AQ173" s="520" t="str">
        <f>IF(AND(_B="B-767-200",'2024'!$H$4="FO",'2024'!$H$2=AQ157),'2024DATA'!$N$18,"")</f>
        <v/>
      </c>
      <c r="AR173" s="940"/>
      <c r="AS173" s="13" t="s">
        <v>62</v>
      </c>
      <c r="AT173" s="518" t="str">
        <f>IF(AND(_C="B-767-200",'2024'!$H$4="FO",'2024'!$H$2=AT157),'2024DATA'!$C$18,"")</f>
        <v/>
      </c>
      <c r="AU173" s="518" t="str">
        <f>IF(AND(_C="B-767-200",'2024'!$H$4="FO",'2024'!$H$2=AU157),'2024DATA'!$D$18,"")</f>
        <v/>
      </c>
      <c r="AV173" s="518" t="str">
        <f>IF(AND(_C="B-767-200",'2024'!$H$4="FO",'2024'!$H$2=AV157),'2024DATA'!$E$18,"")</f>
        <v/>
      </c>
      <c r="AW173" s="518" t="str">
        <f>IF(AND(_C="B-767-200",'2024'!$H$4="FO",'2024'!$H$2=AW157),'2024DATA'!$F$18,"")</f>
        <v/>
      </c>
      <c r="AX173" s="518" t="str">
        <f>IF(AND(_C="B-767-200",'2024'!$H$4="FO",'2024'!$H$2=AX157),'2024DATA'!$G$18,"")</f>
        <v/>
      </c>
      <c r="AY173" s="518" t="str">
        <f>IF(AND(_C="B-767-200",'2024'!$H$4="FO",'2024'!$H$2=AY157),'2024DATA'!$H$18,"")</f>
        <v/>
      </c>
      <c r="AZ173" s="518" t="str">
        <f>IF(AND(_C="B-767-200",'2024'!$H$4="FO",'2024'!$H$2=AZ157),'2024DATA'!$I$18,"")</f>
        <v/>
      </c>
      <c r="BA173" s="518" t="str">
        <f>IF(AND(_C="B-767-200",'2024'!$H$4="FO",'2024'!$H$2=BA157),'2024DATA'!$J$18,"")</f>
        <v/>
      </c>
      <c r="BB173" s="518" t="str">
        <f>IF(AND(_C="B-767-200",'2024'!$H$4="FO",'2024'!$H$2=BB157),'2024DATA'!$K$18,"")</f>
        <v/>
      </c>
      <c r="BC173" s="518" t="str">
        <f>IF(AND(_C="B-767-200",'2024'!$H$4="FO",'2024'!$H$2=BC157),'2024DATA'!$L$18,"")</f>
        <v/>
      </c>
      <c r="BD173" s="518" t="str">
        <f>IF(AND(_C="B-767-200",'2024'!$H$4="FO",'2024'!$H$2=BD157),'2024DATA'!$M$18,"")</f>
        <v/>
      </c>
      <c r="BE173" s="520" t="str">
        <f>IF(AND(_C="B-767-200",'2024'!$H$4="FO",'2024'!$H$2=BE157),'2024DATA'!$N$18,"")</f>
        <v/>
      </c>
      <c r="BF173" s="940"/>
      <c r="BG173" s="13" t="s">
        <v>62</v>
      </c>
      <c r="BH173" s="518" t="str">
        <f>IF(AND(_D="B-767-200",'2024'!$H$4="FO",'2024'!$H$2=BH157),'2024DATA'!$C$18,"")</f>
        <v/>
      </c>
      <c r="BI173" s="518" t="str">
        <f>IF(AND(_D="B-767-200",'2024'!$H$4="FO",'2024'!$H$2=BI157),'2024DATA'!$D$18,"")</f>
        <v/>
      </c>
      <c r="BJ173" s="518" t="str">
        <f>IF(AND(_D="B-767-200",'2024'!$H$4="FO",'2024'!$H$2=BJ157),'2024DATA'!$E$18,"")</f>
        <v/>
      </c>
      <c r="BK173" s="518" t="str">
        <f>IF(AND(_D="B-767-200",'2024'!$H$4="FO",'2024'!$H$2=BK157),'2024DATA'!$F$18,"")</f>
        <v/>
      </c>
      <c r="BL173" s="518" t="str">
        <f>IF(AND(_D="B-767-200",'2024'!$H$4="FO",'2024'!$H$2=BL157),'2024DATA'!$G$18,"")</f>
        <v/>
      </c>
      <c r="BM173" s="518" t="str">
        <f>IF(AND(_D="B-767-200",'2024'!$H$4="FO",'2024'!$H$2=BM157),'2024DATA'!$H$18,"")</f>
        <v/>
      </c>
      <c r="BN173" s="518" t="str">
        <f>IF(AND(_D="B-767-200",'2024'!$H$4="FO",'2024'!$H$2=BN157),'2024DATA'!$I$18,"")</f>
        <v/>
      </c>
      <c r="BO173" s="518" t="str">
        <f>IF(AND(_D="B-767-200",'2024'!$H$4="FO",'2024'!$H$2=BO157),'2024DATA'!$J$18,"")</f>
        <v/>
      </c>
      <c r="BP173" s="518" t="str">
        <f>IF(AND(_D="B-767-200",'2024'!$H$4="FO",'2024'!$H$2=BP157),'2024DATA'!$K$18,"")</f>
        <v/>
      </c>
      <c r="BQ173" s="518" t="str">
        <f>IF(AND(_D="B-767-200",'2024'!$H$4="FO",'2024'!$H$2=BQ157),'2024DATA'!$L$18,"")</f>
        <v/>
      </c>
      <c r="BR173" s="518" t="str">
        <f>IF(AND(_D="B-767-200",'2024'!$H$4="FO",'2024'!$H$2=BR157),'2024DATA'!$M$18,"")</f>
        <v/>
      </c>
      <c r="BS173" s="520" t="str">
        <f>IF(AND(_D="B-767-200",'2024'!$H$4="FO",'2024'!$H$2=BS157),'2024DATA'!$N$18,"")</f>
        <v/>
      </c>
      <c r="BT173" s="940"/>
      <c r="BU173" s="13" t="s">
        <v>62</v>
      </c>
      <c r="BV173" s="518" t="str">
        <f>IF(AND(_E="B-767-200",'2024'!$H$4="FO",'2024'!$H$2=BV157),'2024DATA'!$C$18,"")</f>
        <v/>
      </c>
      <c r="BW173" s="518" t="str">
        <f>IF(AND(_E="B-767-200",'2024'!$H$4="FO",'2024'!$H$2=BW157),'2024DATA'!$D$18,"")</f>
        <v/>
      </c>
      <c r="BX173" s="518" t="str">
        <f>IF(AND(_E="B-767-200",'2024'!$H$4="FO",'2024'!$H$2=BX157),'2024DATA'!$E$18,"")</f>
        <v/>
      </c>
      <c r="BY173" s="518" t="str">
        <f>IF(AND(_E="B-767-200",'2024'!$H$4="FO",'2024'!$H$2=BY157),'2024DATA'!$F$18,"")</f>
        <v/>
      </c>
      <c r="BZ173" s="518" t="str">
        <f>IF(AND(_E="B-767-200",'2024'!$H$4="FO",'2024'!$H$2=BZ157),'2024DATA'!$G$18,"")</f>
        <v/>
      </c>
      <c r="CA173" s="518" t="str">
        <f>IF(AND(_E="B-767-200",'2024'!$H$4="FO",'2024'!$H$2=CA157),'2024DATA'!$H$18,"")</f>
        <v/>
      </c>
      <c r="CB173" s="518" t="str">
        <f>IF(AND(_E="B-767-200",'2024'!$H$4="FO",'2024'!$H$2=CB157),'2024DATA'!$I$18,"")</f>
        <v/>
      </c>
      <c r="CC173" s="518" t="str">
        <f>IF(AND(_E="B-767-200",'2024'!$H$4="FO",'2024'!$H$2=CC157),'2024DATA'!$J$18,"")</f>
        <v/>
      </c>
      <c r="CD173" s="518" t="str">
        <f>IF(AND(_E="B-767-200",'2024'!$H$4="FO",'2024'!$H$2=CD157),'2024DATA'!$K$18,"")</f>
        <v/>
      </c>
      <c r="CE173" s="518" t="str">
        <f>IF(AND(_E="B-767-200",'2024'!$H$4="FO",'2024'!$H$2=CE157),'2024DATA'!$L$18,"")</f>
        <v/>
      </c>
      <c r="CF173" s="518" t="str">
        <f>IF(AND(_E="B-767-200",'2024'!$H$4="FO",'2024'!$H$2=CF157),'2024DATA'!$M$18,"")</f>
        <v/>
      </c>
      <c r="CG173" s="520" t="str">
        <f>IF(AND(_E="B-767-200",'2024'!$H$4="FO",'2024'!$H$2=CG157),'2024DATA'!$N$18,"")</f>
        <v/>
      </c>
      <c r="CH173" s="940"/>
      <c r="CI173" s="13" t="s">
        <v>62</v>
      </c>
      <c r="CJ173" s="518" t="str">
        <f>IF(AND(_F="B-767-200",'2024'!$H$4="FO",'2024'!$H$2=CJ157),'2024DATA'!$C$18,"")</f>
        <v/>
      </c>
      <c r="CK173" s="518" t="str">
        <f>IF(AND(_F="B-767-200",'2024'!$H$4="FO",'2024'!$H$2=CK157),'2024DATA'!$D$18,"")</f>
        <v/>
      </c>
      <c r="CL173" s="518" t="str">
        <f>IF(AND(_F="B-767-200",'2024'!$H$4="FO",'2024'!$H$2=CL157),'2024DATA'!$E$18,"")</f>
        <v/>
      </c>
      <c r="CM173" s="518" t="str">
        <f>IF(AND(_F="B-767-200",'2024'!$H$4="FO",'2024'!$H$2=CM157),'2024DATA'!$F$18,"")</f>
        <v/>
      </c>
      <c r="CN173" s="518" t="str">
        <f>IF(AND(_F="B-767-200",'2024'!$H$4="FO",'2024'!$H$2=CN157),'2024DATA'!$G$18,"")</f>
        <v/>
      </c>
      <c r="CO173" s="518" t="str">
        <f>IF(AND(_F="B-767-200",'2024'!$H$4="FO",'2024'!$H$2=CO157),'2024DATA'!$H$18,"")</f>
        <v/>
      </c>
      <c r="CP173" s="518" t="str">
        <f>IF(AND(_F="B-767-200",'2024'!$H$4="FO",'2024'!$H$2=CP157),'2024DATA'!$I$18,"")</f>
        <v/>
      </c>
      <c r="CQ173" s="518" t="str">
        <f>IF(AND(_F="B-767-200",'2024'!$H$4="FO",'2024'!$H$2=CQ157),'2024DATA'!$J$18,"")</f>
        <v/>
      </c>
      <c r="CR173" s="518" t="str">
        <f>IF(AND(_F="B-767-200",'2024'!$H$4="FO",'2024'!$H$2=CR157),'2024DATA'!$K$18,"")</f>
        <v/>
      </c>
      <c r="CS173" s="518" t="str">
        <f>IF(AND(_F="B-767-200",'2024'!$H$4="FO",'2024'!$H$2=CS157),'2024DATA'!$L$18,"")</f>
        <v/>
      </c>
      <c r="CT173" s="518" t="str">
        <f>IF(AND(_F="B-767-200",'2024'!$H$4="FO",'2024'!$H$2=CT157),'2024DATA'!$M$18,"")</f>
        <v/>
      </c>
      <c r="CU173" s="520" t="str">
        <f>IF(AND(_F="B-767-200",'2024'!$H$4="FO",'2024'!$H$2=CU157),'2024DATA'!$N$18,"")</f>
        <v/>
      </c>
    </row>
    <row r="174" spans="16:99" x14ac:dyDescent="0.25">
      <c r="P174" s="940" t="s">
        <v>45</v>
      </c>
      <c r="Q174" s="13" t="s">
        <v>61</v>
      </c>
      <c r="R174" s="518" t="str">
        <f>IF(AND(_A="B-757",'2024'!$H$4="CA",'2024'!$H$2=R157),'2024DATA'!$C$19,"")</f>
        <v/>
      </c>
      <c r="S174" s="518" t="str">
        <f>IF(AND(_A="B-757",'2024'!$H$4="CA",'2024'!$H$2=S157),'2024DATA'!$D$19,"")</f>
        <v/>
      </c>
      <c r="T174" s="518" t="str">
        <f>IF(AND(_A="B-757",'2024'!$H$4="CA",'2024'!$H$2=T157),'2024DATA'!$E$19,"")</f>
        <v/>
      </c>
      <c r="U174" s="518" t="str">
        <f>IF(AND(_A="B-757",'2024'!$H$4="CA",'2024'!$H$2=U157),'2024DATA'!$F$19,"")</f>
        <v/>
      </c>
      <c r="V174" s="518" t="str">
        <f>IF(AND(_A="B-757",'2024'!$H$4="CA",'2024'!$H$2=V157),'2024DATA'!$G$19,"")</f>
        <v/>
      </c>
      <c r="W174" s="518" t="str">
        <f>IF(AND(_A="B-757",'2024'!$H$4="CA",'2024'!$H$2=W157),'2024DATA'!$H$19,"")</f>
        <v/>
      </c>
      <c r="X174" s="518" t="str">
        <f>IF(AND(_A="B-757",'2024'!$H$4="CA",'2024'!$H$2=X157),'2024DATA'!$I$19,"")</f>
        <v/>
      </c>
      <c r="Y174" s="518" t="str">
        <f>IF(AND(_A="B-757",'2024'!$H$4="CA",'2024'!$H$2=Y157),'2024DATA'!$J$19,"")</f>
        <v/>
      </c>
      <c r="Z174" s="518" t="str">
        <f>IF(AND(_A="B-757",'2024'!$H$4="CA",'2024'!$H$2=Z157),'2024DATA'!$K$19,"")</f>
        <v/>
      </c>
      <c r="AA174" s="518" t="str">
        <f>IF(AND(_A="B-757",'2024'!$H$4="CA",'2024'!$H$2=AA157),'2024DATA'!$L$19,"")</f>
        <v/>
      </c>
      <c r="AB174" s="518" t="str">
        <f>IF(AND(_A="B-757",'2024'!$H$4="CA",'2024'!$H$2=AB157),'2024DATA'!$M$19,"")</f>
        <v/>
      </c>
      <c r="AC174" s="520" t="str">
        <f>IF(AND(_A="B-757",'2024'!$H$4="CA",'2024'!$H$2=AC157),'2024DATA'!$N$19,"")</f>
        <v/>
      </c>
      <c r="AD174" s="940" t="s">
        <v>45</v>
      </c>
      <c r="AE174" s="13" t="s">
        <v>61</v>
      </c>
      <c r="AF174" s="518" t="str">
        <f>IF(AND(_B="B-757",'2024'!$H$4="CA",'2024'!$H$2=AF157),'2024DATA'!$C$19,"")</f>
        <v/>
      </c>
      <c r="AG174" s="518" t="str">
        <f>IF(AND(_B="B-757",'2024'!$H$4="CA",'2024'!$H$2=AG157),'2024DATA'!$D$19,"")</f>
        <v/>
      </c>
      <c r="AH174" s="518" t="str">
        <f>IF(AND(_B="B-757",'2024'!$H$4="CA",'2024'!$H$2=AH157),'2024DATA'!$E$19,"")</f>
        <v/>
      </c>
      <c r="AI174" s="518" t="str">
        <f>IF(AND(_B="B-757",'2024'!$H$4="CA",'2024'!$H$2=AI157),'2024DATA'!$F$19,"")</f>
        <v/>
      </c>
      <c r="AJ174" s="518" t="str">
        <f>IF(AND(_B="B-757",'2024'!$H$4="CA",'2024'!$H$2=AJ157),'2024DATA'!$G$19,"")</f>
        <v/>
      </c>
      <c r="AK174" s="518" t="str">
        <f>IF(AND(_B="B-757",'2024'!$H$4="CA",'2024'!$H$2=AK157),'2024DATA'!$H$19,"")</f>
        <v/>
      </c>
      <c r="AL174" s="518" t="str">
        <f>IF(AND(_B="B-757",'2024'!$H$4="CA",'2024'!$H$2=AL157),'2024DATA'!$I$19,"")</f>
        <v/>
      </c>
      <c r="AM174" s="518" t="str">
        <f>IF(AND(_B="B-757",'2024'!$H$4="CA",'2024'!$H$2=AM157),'2024DATA'!$J$19,"")</f>
        <v/>
      </c>
      <c r="AN174" s="518" t="str">
        <f>IF(AND(_B="B-757",'2024'!$H$4="CA",'2024'!$H$2=AN157),'2024DATA'!$K$19,"")</f>
        <v/>
      </c>
      <c r="AO174" s="518" t="str">
        <f>IF(AND(_B="B-757",'2024'!$H$4="CA",'2024'!$H$2=AO157),'2024DATA'!$L$19,"")</f>
        <v/>
      </c>
      <c r="AP174" s="518" t="str">
        <f>IF(AND(_B="B-757",'2024'!$H$4="CA",'2024'!$H$2=AP157),'2024DATA'!$M$19,"")</f>
        <v/>
      </c>
      <c r="AQ174" s="520" t="str">
        <f>IF(AND(_B="B-757",'2024'!$H$4="CA",'2024'!$H$2=AQ157),'2024DATA'!$N$19,"")</f>
        <v/>
      </c>
      <c r="AR174" s="940" t="s">
        <v>45</v>
      </c>
      <c r="AS174" s="13" t="s">
        <v>61</v>
      </c>
      <c r="AT174" s="518" t="str">
        <f>IF(AND(_C="B-757",'2024'!$H$4="CA",'2024'!$H$2=AT157),'2024DATA'!$C$19,"")</f>
        <v/>
      </c>
      <c r="AU174" s="518" t="str">
        <f>IF(AND(_C="B-757",'2024'!$H$4="CA",'2024'!$H$2=AU157),'2024DATA'!$D$19,"")</f>
        <v/>
      </c>
      <c r="AV174" s="518" t="str">
        <f>IF(AND(_C="B-757",'2024'!$H$4="CA",'2024'!$H$2=AV157),'2024DATA'!$E$19,"")</f>
        <v/>
      </c>
      <c r="AW174" s="518" t="str">
        <f>IF(AND(_C="B-757",'2024'!$H$4="CA",'2024'!$H$2=AW157),'2024DATA'!$F$19,"")</f>
        <v/>
      </c>
      <c r="AX174" s="518" t="str">
        <f>IF(AND(_C="B-757",'2024'!$H$4="CA",'2024'!$H$2=AX157),'2024DATA'!$G$19,"")</f>
        <v/>
      </c>
      <c r="AY174" s="518" t="str">
        <f>IF(AND(_C="B-757",'2024'!$H$4="CA",'2024'!$H$2=AY157),'2024DATA'!$H$19,"")</f>
        <v/>
      </c>
      <c r="AZ174" s="518" t="str">
        <f>IF(AND(_C="B-757",'2024'!$H$4="CA",'2024'!$H$2=AZ157),'2024DATA'!$I$19,"")</f>
        <v/>
      </c>
      <c r="BA174" s="518" t="str">
        <f>IF(AND(_C="B-757",'2024'!$H$4="CA",'2024'!$H$2=BA157),'2024DATA'!$J$19,"")</f>
        <v/>
      </c>
      <c r="BB174" s="518" t="str">
        <f>IF(AND(_C="B-757",'2024'!$H$4="CA",'2024'!$H$2=BB157),'2024DATA'!$K$19,"")</f>
        <v/>
      </c>
      <c r="BC174" s="518" t="str">
        <f>IF(AND(_C="B-757",'2024'!$H$4="CA",'2024'!$H$2=BC157),'2024DATA'!$L$19,"")</f>
        <v/>
      </c>
      <c r="BD174" s="518" t="str">
        <f>IF(AND(_C="B-757",'2024'!$H$4="CA",'2024'!$H$2=BD157),'2024DATA'!$M$19,"")</f>
        <v/>
      </c>
      <c r="BE174" s="520" t="str">
        <f>IF(AND(_C="B-757",'2024'!$H$4="CA",'2024'!$H$2=BE157),'2024DATA'!$N$19,"")</f>
        <v/>
      </c>
      <c r="BF174" s="940" t="s">
        <v>45</v>
      </c>
      <c r="BG174" s="13" t="s">
        <v>61</v>
      </c>
      <c r="BH174" s="518" t="str">
        <f>IF(AND(_D="B-757",'2024'!$H$4="CA",'2024'!$H$2=BH157),'2024DATA'!$C$19,"")</f>
        <v/>
      </c>
      <c r="BI174" s="518" t="str">
        <f>IF(AND(_D="B-757",'2024'!$H$4="CA",'2024'!$H$2=BI157),'2024DATA'!$D$19,"")</f>
        <v/>
      </c>
      <c r="BJ174" s="518" t="str">
        <f>IF(AND(_D="B-757",'2024'!$H$4="CA",'2024'!$H$2=BJ157),'2024DATA'!$E$19,"")</f>
        <v/>
      </c>
      <c r="BK174" s="518" t="str">
        <f>IF(AND(_D="B-757",'2024'!$H$4="CA",'2024'!$H$2=BK157),'2024DATA'!$F$19,"")</f>
        <v/>
      </c>
      <c r="BL174" s="518" t="str">
        <f>IF(AND(_D="B-757",'2024'!$H$4="CA",'2024'!$H$2=BL157),'2024DATA'!$G$19,"")</f>
        <v/>
      </c>
      <c r="BM174" s="518" t="str">
        <f>IF(AND(_D="B-757",'2024'!$H$4="CA",'2024'!$H$2=BM157),'2024DATA'!$H$19,"")</f>
        <v/>
      </c>
      <c r="BN174" s="518" t="str">
        <f>IF(AND(_D="B-757",'2024'!$H$4="CA",'2024'!$H$2=BN157),'2024DATA'!$I$19,"")</f>
        <v/>
      </c>
      <c r="BO174" s="518" t="str">
        <f>IF(AND(_D="B-757",'2024'!$H$4="CA",'2024'!$H$2=BO157),'2024DATA'!$J$19,"")</f>
        <v/>
      </c>
      <c r="BP174" s="518" t="str">
        <f>IF(AND(_D="B-757",'2024'!$H$4="CA",'2024'!$H$2=BP157),'2024DATA'!$K$19,"")</f>
        <v/>
      </c>
      <c r="BQ174" s="518" t="str">
        <f>IF(AND(_D="B-757",'2024'!$H$4="CA",'2024'!$H$2=BQ157),'2024DATA'!$L$19,"")</f>
        <v/>
      </c>
      <c r="BR174" s="518" t="str">
        <f>IF(AND(_D="B-757",'2024'!$H$4="CA",'2024'!$H$2=BR157),'2024DATA'!$M$19,"")</f>
        <v/>
      </c>
      <c r="BS174" s="520" t="str">
        <f>IF(AND(_D="B-757",'2024'!$H$4="CA",'2024'!$H$2=BS157),'2024DATA'!$N$19,"")</f>
        <v/>
      </c>
      <c r="BT174" s="940" t="s">
        <v>45</v>
      </c>
      <c r="BU174" s="13" t="s">
        <v>61</v>
      </c>
      <c r="BV174" s="518" t="str">
        <f>IF(AND(_E="B-757",'2024'!$H$4="CA",'2024'!$H$2=BV157),'2024DATA'!$C$19,"")</f>
        <v/>
      </c>
      <c r="BW174" s="518" t="str">
        <f>IF(AND(_E="B-757",'2024'!$H$4="CA",'2024'!$H$2=BW157),'2024DATA'!$D$19,"")</f>
        <v/>
      </c>
      <c r="BX174" s="518" t="str">
        <f>IF(AND(_E="B-757",'2024'!$H$4="CA",'2024'!$H$2=BX157),'2024DATA'!$E$19,"")</f>
        <v/>
      </c>
      <c r="BY174" s="518" t="str">
        <f>IF(AND(_E="B-757",'2024'!$H$4="CA",'2024'!$H$2=BY157),'2024DATA'!$F$19,"")</f>
        <v/>
      </c>
      <c r="BZ174" s="518" t="str">
        <f>IF(AND(_E="B-757",'2024'!$H$4="CA",'2024'!$H$2=BZ157),'2024DATA'!$G$19,"")</f>
        <v/>
      </c>
      <c r="CA174" s="518" t="str">
        <f>IF(AND(_E="B-757",'2024'!$H$4="CA",'2024'!$H$2=CA157),'2024DATA'!$H$19,"")</f>
        <v/>
      </c>
      <c r="CB174" s="518" t="str">
        <f>IF(AND(_E="B-757",'2024'!$H$4="CA",'2024'!$H$2=CB157),'2024DATA'!$I$19,"")</f>
        <v/>
      </c>
      <c r="CC174" s="518" t="str">
        <f>IF(AND(_E="B-757",'2024'!$H$4="CA",'2024'!$H$2=CC157),'2024DATA'!$J$19,"")</f>
        <v/>
      </c>
      <c r="CD174" s="518" t="str">
        <f>IF(AND(_E="B-757",'2024'!$H$4="CA",'2024'!$H$2=CD157),'2024DATA'!$K$19,"")</f>
        <v/>
      </c>
      <c r="CE174" s="518" t="str">
        <f>IF(AND(_E="B-757",'2024'!$H$4="CA",'2024'!$H$2=CE157),'2024DATA'!$L$19,"")</f>
        <v/>
      </c>
      <c r="CF174" s="518" t="str">
        <f>IF(AND(_E="B-757",'2024'!$H$4="CA",'2024'!$H$2=CF157),'2024DATA'!$M$19,"")</f>
        <v/>
      </c>
      <c r="CG174" s="520" t="str">
        <f>IF(AND(_E="B-757",'2024'!$H$4="CA",'2024'!$H$2=CG157),'2024DATA'!$N$19,"")</f>
        <v/>
      </c>
      <c r="CH174" s="940" t="s">
        <v>45</v>
      </c>
      <c r="CI174" s="13" t="s">
        <v>61</v>
      </c>
      <c r="CJ174" s="518" t="str">
        <f>IF(AND(_F="B-757",'2024'!$H$4="CA",'2024'!$H$2=CJ157),'2024DATA'!$C$19,"")</f>
        <v/>
      </c>
      <c r="CK174" s="518" t="str">
        <f>IF(AND(_F="B-757",'2024'!$H$4="CA",'2024'!$H$2=CK157),'2024DATA'!$D$19,"")</f>
        <v/>
      </c>
      <c r="CL174" s="518" t="str">
        <f>IF(AND(_F="B-757",'2024'!$H$4="CA",'2024'!$H$2=CL157),'2024DATA'!$E$19,"")</f>
        <v/>
      </c>
      <c r="CM174" s="518" t="str">
        <f>IF(AND(_F="B-757",'2024'!$H$4="CA",'2024'!$H$2=CM157),'2024DATA'!$F$19,"")</f>
        <v/>
      </c>
      <c r="CN174" s="518" t="str">
        <f>IF(AND(_F="B-757",'2024'!$H$4="CA",'2024'!$H$2=CN157),'2024DATA'!$G$19,"")</f>
        <v/>
      </c>
      <c r="CO174" s="518" t="str">
        <f>IF(AND(_F="B-757",'2024'!$H$4="CA",'2024'!$H$2=CO157),'2024DATA'!$H$19,"")</f>
        <v/>
      </c>
      <c r="CP174" s="518" t="str">
        <f>IF(AND(_F="B-757",'2024'!$H$4="CA",'2024'!$H$2=CP157),'2024DATA'!$I$19,"")</f>
        <v/>
      </c>
      <c r="CQ174" s="518" t="str">
        <f>IF(AND(_F="B-757",'2024'!$H$4="CA",'2024'!$H$2=CQ157),'2024DATA'!$J$19,"")</f>
        <v/>
      </c>
      <c r="CR174" s="518" t="str">
        <f>IF(AND(_F="B-757",'2024'!$H$4="CA",'2024'!$H$2=CR157),'2024DATA'!$K$19,"")</f>
        <v/>
      </c>
      <c r="CS174" s="518" t="str">
        <f>IF(AND(_F="B-757",'2024'!$H$4="CA",'2024'!$H$2=CS157),'2024DATA'!$L$19,"")</f>
        <v/>
      </c>
      <c r="CT174" s="518" t="str">
        <f>IF(AND(_F="B-757",'2024'!$H$4="CA",'2024'!$H$2=CT157),'2024DATA'!$M$19,"")</f>
        <v/>
      </c>
      <c r="CU174" s="520" t="str">
        <f>IF(AND(_F="B-757",'2024'!$H$4="CA",'2024'!$H$2=CU157),'2024DATA'!$N$19,"")</f>
        <v/>
      </c>
    </row>
    <row r="175" spans="16:99" x14ac:dyDescent="0.25">
      <c r="P175" s="940"/>
      <c r="Q175" s="13" t="s">
        <v>62</v>
      </c>
      <c r="R175" s="518" t="str">
        <f>IF(AND(_A="B-757",'2024'!$H$4="FO",'2024'!$H$2=R157),'2024DATA'!$C$20,"")</f>
        <v/>
      </c>
      <c r="S175" s="518" t="str">
        <f>IF(AND(_A="B-757",'2024'!$H$4="FO",'2024'!$H$2=S157),'2024DATA'!$D$20,"")</f>
        <v/>
      </c>
      <c r="T175" s="518" t="str">
        <f>IF(AND(_A="B-757",'2024'!$H$4="FO",'2024'!$H$2=T157),'2024DATA'!$E$20,"")</f>
        <v/>
      </c>
      <c r="U175" s="518" t="str">
        <f>IF(AND(_A="B-757",'2024'!$H$4="FO",'2024'!$H$2=U157),'2024DATA'!$F$20,"")</f>
        <v/>
      </c>
      <c r="V175" s="518" t="str">
        <f>IF(AND(_A="B-757",'2024'!$H$4="FO",'2024'!$H$2=V157),'2024DATA'!$G$20,"")</f>
        <v/>
      </c>
      <c r="W175" s="518" t="str">
        <f>IF(AND(_A="B-757",'2024'!$H$4="FO",'2024'!$H$2=W157),'2024DATA'!$H$20,"")</f>
        <v/>
      </c>
      <c r="X175" s="518" t="str">
        <f>IF(AND(_A="B-757",'2024'!$H$4="FO",'2024'!$H$2=X157),'2024DATA'!$I$20,"")</f>
        <v/>
      </c>
      <c r="Y175" s="518" t="str">
        <f>IF(AND(_A="B-757",'2024'!$H$4="FO",'2024'!$H$2=Y157),'2024DATA'!$J$20,"")</f>
        <v/>
      </c>
      <c r="Z175" s="518" t="str">
        <f>IF(AND(_A="B-757",'2024'!$H$4="FO",'2024'!$H$2=Z157),'2024DATA'!$K$20,"")</f>
        <v/>
      </c>
      <c r="AA175" s="518" t="str">
        <f>IF(AND(_A="B-757",'2024'!$H$4="FO",'2024'!$H$2=AA157),'2024DATA'!$L$20,"")</f>
        <v/>
      </c>
      <c r="AB175" s="518" t="str">
        <f>IF(AND(_A="B-757",'2024'!$H$4="FO",'2024'!$H$2=AB157),'2024DATA'!$M$20,"")</f>
        <v/>
      </c>
      <c r="AC175" s="520" t="str">
        <f>IF(AND(_A="B-757",'2024'!$H$4="FO",'2024'!$H$2=AC157),'2024DATA'!$N$20,"")</f>
        <v/>
      </c>
      <c r="AD175" s="940"/>
      <c r="AE175" s="13" t="s">
        <v>62</v>
      </c>
      <c r="AF175" s="518" t="str">
        <f>IF(AND(_B="B-757",'2024'!$H$4="FO",'2024'!$H$2=AF157),'2024DATA'!$C$20,"")</f>
        <v/>
      </c>
      <c r="AG175" s="518" t="str">
        <f>IF(AND(_B="B-757",'2024'!$H$4="FO",'2024'!$H$2=AG157),'2024DATA'!$D$20,"")</f>
        <v/>
      </c>
      <c r="AH175" s="518" t="str">
        <f>IF(AND(_B="B-757",'2024'!$H$4="FO",'2024'!$H$2=AH157),'2024DATA'!$E$20,"")</f>
        <v/>
      </c>
      <c r="AI175" s="518" t="str">
        <f>IF(AND(_B="B-757",'2024'!$H$4="FO",'2024'!$H$2=AI157),'2024DATA'!$F$20,"")</f>
        <v/>
      </c>
      <c r="AJ175" s="518" t="str">
        <f>IF(AND(_B="B-757",'2024'!$H$4="FO",'2024'!$H$2=AJ157),'2024DATA'!$G$20,"")</f>
        <v/>
      </c>
      <c r="AK175" s="518" t="str">
        <f>IF(AND(_B="B-757",'2024'!$H$4="FO",'2024'!$H$2=AK157),'2024DATA'!$H$20,"")</f>
        <v/>
      </c>
      <c r="AL175" s="518" t="str">
        <f>IF(AND(_B="B-757",'2024'!$H$4="FO",'2024'!$H$2=AL157),'2024DATA'!$I$20,"")</f>
        <v/>
      </c>
      <c r="AM175" s="518" t="str">
        <f>IF(AND(_B="B-757",'2024'!$H$4="FO",'2024'!$H$2=AM157),'2024DATA'!$J$20,"")</f>
        <v/>
      </c>
      <c r="AN175" s="518" t="str">
        <f>IF(AND(_B="B-757",'2024'!$H$4="FO",'2024'!$H$2=AN157),'2024DATA'!$K$20,"")</f>
        <v/>
      </c>
      <c r="AO175" s="518" t="str">
        <f>IF(AND(_B="B-757",'2024'!$H$4="FO",'2024'!$H$2=AO157),'2024DATA'!$L$20,"")</f>
        <v/>
      </c>
      <c r="AP175" s="518" t="str">
        <f>IF(AND(_B="B-757",'2024'!$H$4="FO",'2024'!$H$2=AP157),'2024DATA'!$M$20,"")</f>
        <v/>
      </c>
      <c r="AQ175" s="520" t="str">
        <f>IF(AND(_B="B-757",'2024'!$H$4="FO",'2024'!$H$2=AQ157),'2024DATA'!$N$20,"")</f>
        <v/>
      </c>
      <c r="AR175" s="940"/>
      <c r="AS175" s="13" t="s">
        <v>62</v>
      </c>
      <c r="AT175" s="518" t="str">
        <f>IF(AND(_C="B-757",'2024'!$H$4="FO",'2024'!$H$2=AT157),'2024DATA'!$C$20,"")</f>
        <v/>
      </c>
      <c r="AU175" s="518" t="str">
        <f>IF(AND(_C="B-757",'2024'!$H$4="FO",'2024'!$H$2=AU157),'2024DATA'!$D$20,"")</f>
        <v/>
      </c>
      <c r="AV175" s="518" t="str">
        <f>IF(AND(_C="B-757",'2024'!$H$4="FO",'2024'!$H$2=AV157),'2024DATA'!$E$20,"")</f>
        <v/>
      </c>
      <c r="AW175" s="518" t="str">
        <f>IF(AND(_C="B-757",'2024'!$H$4="FO",'2024'!$H$2=AW157),'2024DATA'!$F$20,"")</f>
        <v/>
      </c>
      <c r="AX175" s="518" t="str">
        <f>IF(AND(_C="B-757",'2024'!$H$4="FO",'2024'!$H$2=AX157),'2024DATA'!$G$20,"")</f>
        <v/>
      </c>
      <c r="AY175" s="518" t="str">
        <f>IF(AND(_C="B-757",'2024'!$H$4="FO",'2024'!$H$2=AY157),'2024DATA'!$H$20,"")</f>
        <v/>
      </c>
      <c r="AZ175" s="518" t="str">
        <f>IF(AND(_C="B-757",'2024'!$H$4="FO",'2024'!$H$2=AZ157),'2024DATA'!$I$20,"")</f>
        <v/>
      </c>
      <c r="BA175" s="518" t="str">
        <f>IF(AND(_C="B-757",'2024'!$H$4="FO",'2024'!$H$2=BA157),'2024DATA'!$J$20,"")</f>
        <v/>
      </c>
      <c r="BB175" s="518" t="str">
        <f>IF(AND(_C="B-757",'2024'!$H$4="FO",'2024'!$H$2=BB157),'2024DATA'!$K$20,"")</f>
        <v/>
      </c>
      <c r="BC175" s="518" t="str">
        <f>IF(AND(_C="B-757",'2024'!$H$4="FO",'2024'!$H$2=BC157),'2024DATA'!$L$20,"")</f>
        <v/>
      </c>
      <c r="BD175" s="518" t="str">
        <f>IF(AND(_C="B-757",'2024'!$H$4="FO",'2024'!$H$2=BD157),'2024DATA'!$M$20,"")</f>
        <v/>
      </c>
      <c r="BE175" s="520" t="str">
        <f>IF(AND(_C="B-757",'2024'!$H$4="FO",'2024'!$H$2=BE157),'2024DATA'!$N$20,"")</f>
        <v/>
      </c>
      <c r="BF175" s="940"/>
      <c r="BG175" s="13" t="s">
        <v>62</v>
      </c>
      <c r="BH175" s="518" t="str">
        <f>IF(AND(_D="B-757",'2024'!$H$4="FO",'2024'!$H$2=BH157),'2024DATA'!$C$20,"")</f>
        <v/>
      </c>
      <c r="BI175" s="518" t="str">
        <f>IF(AND(_D="B-757",'2024'!$H$4="FO",'2024'!$H$2=BI157),'2024DATA'!$D$20,"")</f>
        <v/>
      </c>
      <c r="BJ175" s="518" t="str">
        <f>IF(AND(_D="B-757",'2024'!$H$4="FO",'2024'!$H$2=BJ157),'2024DATA'!$E$20,"")</f>
        <v/>
      </c>
      <c r="BK175" s="518" t="str">
        <f>IF(AND(_D="B-757",'2024'!$H$4="FO",'2024'!$H$2=BK157),'2024DATA'!$F$20,"")</f>
        <v/>
      </c>
      <c r="BL175" s="518" t="str">
        <f>IF(AND(_D="B-757",'2024'!$H$4="FO",'2024'!$H$2=BL157),'2024DATA'!$G$20,"")</f>
        <v/>
      </c>
      <c r="BM175" s="518" t="str">
        <f>IF(AND(_D="B-757",'2024'!$H$4="FO",'2024'!$H$2=BM157),'2024DATA'!$H$20,"")</f>
        <v/>
      </c>
      <c r="BN175" s="518" t="str">
        <f>IF(AND(_D="B-757",'2024'!$H$4="FO",'2024'!$H$2=BN157),'2024DATA'!$I$20,"")</f>
        <v/>
      </c>
      <c r="BO175" s="518" t="str">
        <f>IF(AND(_D="B-757",'2024'!$H$4="FO",'2024'!$H$2=BO157),'2024DATA'!$J$20,"")</f>
        <v/>
      </c>
      <c r="BP175" s="518" t="str">
        <f>IF(AND(_D="B-757",'2024'!$H$4="FO",'2024'!$H$2=BP157),'2024DATA'!$K$20,"")</f>
        <v/>
      </c>
      <c r="BQ175" s="518" t="str">
        <f>IF(AND(_D="B-757",'2024'!$H$4="FO",'2024'!$H$2=BQ157),'2024DATA'!$L$20,"")</f>
        <v/>
      </c>
      <c r="BR175" s="518" t="str">
        <f>IF(AND(_D="B-757",'2024'!$H$4="FO",'2024'!$H$2=BR157),'2024DATA'!$M$20,"")</f>
        <v/>
      </c>
      <c r="BS175" s="520" t="str">
        <f>IF(AND(_D="B-757",'2024'!$H$4="FO",'2024'!$H$2=BS157),'2024DATA'!$N$20,"")</f>
        <v/>
      </c>
      <c r="BT175" s="940"/>
      <c r="BU175" s="13" t="s">
        <v>62</v>
      </c>
      <c r="BV175" s="518" t="str">
        <f>IF(AND(_E="B-757",'2024'!$H$4="FO",'2024'!$H$2=BV157),'2024DATA'!$C$20,"")</f>
        <v/>
      </c>
      <c r="BW175" s="518" t="str">
        <f>IF(AND(_E="B-757",'2024'!$H$4="FO",'2024'!$H$2=BW157),'2024DATA'!$D$20,"")</f>
        <v/>
      </c>
      <c r="BX175" s="518" t="str">
        <f>IF(AND(_E="B-757",'2024'!$H$4="FO",'2024'!$H$2=BX157),'2024DATA'!$E$20,"")</f>
        <v/>
      </c>
      <c r="BY175" s="518" t="str">
        <f>IF(AND(_E="B-757",'2024'!$H$4="FO",'2024'!$H$2=BY157),'2024DATA'!$F$20,"")</f>
        <v/>
      </c>
      <c r="BZ175" s="518" t="str">
        <f>IF(AND(_E="B-757",'2024'!$H$4="FO",'2024'!$H$2=BZ157),'2024DATA'!$G$20,"")</f>
        <v/>
      </c>
      <c r="CA175" s="518" t="str">
        <f>IF(AND(_E="B-757",'2024'!$H$4="FO",'2024'!$H$2=CA157),'2024DATA'!$H$20,"")</f>
        <v/>
      </c>
      <c r="CB175" s="518" t="str">
        <f>IF(AND(_E="B-757",'2024'!$H$4="FO",'2024'!$H$2=CB157),'2024DATA'!$I$20,"")</f>
        <v/>
      </c>
      <c r="CC175" s="518" t="str">
        <f>IF(AND(_E="B-757",'2024'!$H$4="FO",'2024'!$H$2=CC157),'2024DATA'!$J$20,"")</f>
        <v/>
      </c>
      <c r="CD175" s="518" t="str">
        <f>IF(AND(_E="B-757",'2024'!$H$4="FO",'2024'!$H$2=CD157),'2024DATA'!$K$20,"")</f>
        <v/>
      </c>
      <c r="CE175" s="518" t="str">
        <f>IF(AND(_E="B-757",'2024'!$H$4="FO",'2024'!$H$2=CE157),'2024DATA'!$L$20,"")</f>
        <v/>
      </c>
      <c r="CF175" s="518" t="str">
        <f>IF(AND(_E="B-757",'2024'!$H$4="FO",'2024'!$H$2=CF157),'2024DATA'!$M$20,"")</f>
        <v/>
      </c>
      <c r="CG175" s="520" t="str">
        <f>IF(AND(_E="B-757",'2024'!$H$4="FO",'2024'!$H$2=CG157),'2024DATA'!$N$20,"")</f>
        <v/>
      </c>
      <c r="CH175" s="940"/>
      <c r="CI175" s="13" t="s">
        <v>62</v>
      </c>
      <c r="CJ175" s="518" t="str">
        <f>IF(AND(_F="B-757",'2024'!$H$4="FO",'2024'!$H$2=CJ157),'2024DATA'!$C$20,"")</f>
        <v/>
      </c>
      <c r="CK175" s="518" t="str">
        <f>IF(AND(_F="B-757",'2024'!$H$4="FO",'2024'!$H$2=CK157),'2024DATA'!$D$20,"")</f>
        <v/>
      </c>
      <c r="CL175" s="518" t="str">
        <f>IF(AND(_F="B-757",'2024'!$H$4="FO",'2024'!$H$2=CL157),'2024DATA'!$E$20,"")</f>
        <v/>
      </c>
      <c r="CM175" s="518" t="str">
        <f>IF(AND(_F="B-757",'2024'!$H$4="FO",'2024'!$H$2=CM157),'2024DATA'!$F$20,"")</f>
        <v/>
      </c>
      <c r="CN175" s="518" t="str">
        <f>IF(AND(_F="B-757",'2024'!$H$4="FO",'2024'!$H$2=CN157),'2024DATA'!$G$20,"")</f>
        <v/>
      </c>
      <c r="CO175" s="518" t="str">
        <f>IF(AND(_F="B-757",'2024'!$H$4="FO",'2024'!$H$2=CO157),'2024DATA'!$H$20,"")</f>
        <v/>
      </c>
      <c r="CP175" s="518" t="str">
        <f>IF(AND(_F="B-757",'2024'!$H$4="FO",'2024'!$H$2=CP157),'2024DATA'!$I$20,"")</f>
        <v/>
      </c>
      <c r="CQ175" s="518" t="str">
        <f>IF(AND(_F="B-757",'2024'!$H$4="FO",'2024'!$H$2=CQ157),'2024DATA'!$J$20,"")</f>
        <v/>
      </c>
      <c r="CR175" s="518" t="str">
        <f>IF(AND(_F="B-757",'2024'!$H$4="FO",'2024'!$H$2=CR157),'2024DATA'!$K$20,"")</f>
        <v/>
      </c>
      <c r="CS175" s="518" t="str">
        <f>IF(AND(_F="B-757",'2024'!$H$4="FO",'2024'!$H$2=CS157),'2024DATA'!$L$20,"")</f>
        <v/>
      </c>
      <c r="CT175" s="518" t="str">
        <f>IF(AND(_F="B-757",'2024'!$H$4="FO",'2024'!$H$2=CT157),'2024DATA'!$M$20,"")</f>
        <v/>
      </c>
      <c r="CU175" s="520" t="str">
        <f>IF(AND(_F="B-757",'2024'!$H$4="FO",'2024'!$H$2=CU157),'2024DATA'!$N$20,"")</f>
        <v/>
      </c>
    </row>
    <row r="176" spans="16:99" x14ac:dyDescent="0.25">
      <c r="P176" s="940" t="s">
        <v>47</v>
      </c>
      <c r="Q176" s="13" t="s">
        <v>61</v>
      </c>
      <c r="R176" s="518" t="str">
        <f>IF(AND(_A="B-737-900",'2024'!$H$4="CA",'2024'!$H$2=R157),'2024DATA'!$C$21,"")</f>
        <v/>
      </c>
      <c r="S176" s="518" t="str">
        <f>IF(AND(_A="B-737-900",'2024'!$H$4="CA",'2024'!$H$2=S157),'2024DATA'!$D$21,"")</f>
        <v/>
      </c>
      <c r="T176" s="518" t="str">
        <f>IF(AND(_A="B-737-900",'2024'!$H$4="CA",'2024'!$H$2=T157),'2024DATA'!$E$21,"")</f>
        <v/>
      </c>
      <c r="U176" s="518" t="str">
        <f>IF(AND(_A="B-737-900",'2024'!$H$4="CA",'2024'!$H$2=U157),'2024DATA'!$F$21,"")</f>
        <v/>
      </c>
      <c r="V176" s="518" t="str">
        <f>IF(AND(_A="B-737-900",'2024'!$H$4="CA",'2024'!$H$2=V157),'2024DATA'!$G$21,"")</f>
        <v/>
      </c>
      <c r="W176" s="518" t="str">
        <f>IF(AND(_A="B-737-900",'2024'!$H$4="CA",'2024'!$H$2=W157),'2024DATA'!$H$21,"")</f>
        <v/>
      </c>
      <c r="X176" s="518" t="str">
        <f>IF(AND(_A="B-737-900",'2024'!$H$4="CA",'2024'!$H$2=X157),'2024DATA'!$I$21,"")</f>
        <v/>
      </c>
      <c r="Y176" s="518" t="str">
        <f>IF(AND(_A="B-737-900",'2024'!$H$4="CA",'2024'!$H$2=Y157),'2024DATA'!$J$21,"")</f>
        <v/>
      </c>
      <c r="Z176" s="518" t="str">
        <f>IF(AND(_A="B-737-900",'2024'!$H$4="CA",'2024'!$H$2=Z157),'2024DATA'!$K$21,"")</f>
        <v/>
      </c>
      <c r="AA176" s="518" t="str">
        <f>IF(AND(_A="B-737-900",'2024'!$H$4="CA",'2024'!$H$2=AA157),'2024DATA'!$L$21,"")</f>
        <v/>
      </c>
      <c r="AB176" s="518" t="str">
        <f>IF(AND(_A="B-737-900",'2024'!$H$4="CA",'2024'!$H$2=AB157),'2024DATA'!$M$21,"")</f>
        <v/>
      </c>
      <c r="AC176" s="520" t="str">
        <f>IF(AND(_A="B-737-900",'2024'!$H$4="CA",'2024'!$H$2=AC157),'2024DATA'!$N$21,"")</f>
        <v/>
      </c>
      <c r="AD176" s="940" t="s">
        <v>47</v>
      </c>
      <c r="AE176" s="13" t="s">
        <v>61</v>
      </c>
      <c r="AF176" s="518" t="str">
        <f>IF(AND(_B="B-737-900",'2024'!$H$4="CA",'2024'!$H$2=AF157),'2024DATA'!$C$21,"")</f>
        <v/>
      </c>
      <c r="AG176" s="518" t="str">
        <f>IF(AND(_B="B-737-900",'2024'!$H$4="CA",'2024'!$H$2=AG157),'2024DATA'!$D$21,"")</f>
        <v/>
      </c>
      <c r="AH176" s="518" t="str">
        <f>IF(AND(_B="B-737-900",'2024'!$H$4="CA",'2024'!$H$2=AH157),'2024DATA'!$E$21,"")</f>
        <v/>
      </c>
      <c r="AI176" s="518" t="str">
        <f>IF(AND(_B="B-737-900",'2024'!$H$4="CA",'2024'!$H$2=AI157),'2024DATA'!$F$21,"")</f>
        <v/>
      </c>
      <c r="AJ176" s="518" t="str">
        <f>IF(AND(_B="B-737-900",'2024'!$H$4="CA",'2024'!$H$2=AJ157),'2024DATA'!$G$21,"")</f>
        <v/>
      </c>
      <c r="AK176" s="518" t="str">
        <f>IF(AND(_B="B-737-900",'2024'!$H$4="CA",'2024'!$H$2=AK157),'2024DATA'!$H$21,"")</f>
        <v/>
      </c>
      <c r="AL176" s="518" t="str">
        <f>IF(AND(_B="B-737-900",'2024'!$H$4="CA",'2024'!$H$2=AL157),'2024DATA'!$I$21,"")</f>
        <v/>
      </c>
      <c r="AM176" s="518" t="str">
        <f>IF(AND(_B="B-737-900",'2024'!$H$4="CA",'2024'!$H$2=AM157),'2024DATA'!$J$21,"")</f>
        <v/>
      </c>
      <c r="AN176" s="518" t="str">
        <f>IF(AND(_B="B-737-900",'2024'!$H$4="CA",'2024'!$H$2=AN157),'2024DATA'!$K$21,"")</f>
        <v/>
      </c>
      <c r="AO176" s="518" t="str">
        <f>IF(AND(_B="B-737-900",'2024'!$H$4="CA",'2024'!$H$2=AO157),'2024DATA'!$L$21,"")</f>
        <v/>
      </c>
      <c r="AP176" s="518" t="str">
        <f>IF(AND(_B="B-737-900",'2024'!$H$4="CA",'2024'!$H$2=AP157),'2024DATA'!$M$21,"")</f>
        <v/>
      </c>
      <c r="AQ176" s="520" t="str">
        <f>IF(AND(_B="B-737-900",'2024'!$H$4="CA",'2024'!$H$2=AQ157),'2024DATA'!$N$21,"")</f>
        <v/>
      </c>
      <c r="AR176" s="940" t="s">
        <v>47</v>
      </c>
      <c r="AS176" s="13" t="s">
        <v>61</v>
      </c>
      <c r="AT176" s="518" t="str">
        <f>IF(AND(_C="B-737-900",'2024'!$H$4="CA",'2024'!$H$2=AT157),'2024DATA'!$C$21,"")</f>
        <v/>
      </c>
      <c r="AU176" s="518" t="str">
        <f>IF(AND(_C="B-737-900",'2024'!$H$4="CA",'2024'!$H$2=AU157),'2024DATA'!$D$21,"")</f>
        <v/>
      </c>
      <c r="AV176" s="518" t="str">
        <f>IF(AND(_C="B-737-900",'2024'!$H$4="CA",'2024'!$H$2=AV157),'2024DATA'!$E$21,"")</f>
        <v/>
      </c>
      <c r="AW176" s="518" t="str">
        <f>IF(AND(_C="B-737-900",'2024'!$H$4="CA",'2024'!$H$2=AW157),'2024DATA'!$F$21,"")</f>
        <v/>
      </c>
      <c r="AX176" s="518" t="str">
        <f>IF(AND(_C="B-737-900",'2024'!$H$4="CA",'2024'!$H$2=AX157),'2024DATA'!$G$21,"")</f>
        <v/>
      </c>
      <c r="AY176" s="518" t="str">
        <f>IF(AND(_C="B-737-900",'2024'!$H$4="CA",'2024'!$H$2=AY157),'2024DATA'!$H$21,"")</f>
        <v/>
      </c>
      <c r="AZ176" s="518" t="str">
        <f>IF(AND(_C="B-737-900",'2024'!$H$4="CA",'2024'!$H$2=AZ157),'2024DATA'!$I$21,"")</f>
        <v/>
      </c>
      <c r="BA176" s="518" t="str">
        <f>IF(AND(_C="B-737-900",'2024'!$H$4="CA",'2024'!$H$2=BA157),'2024DATA'!$J$21,"")</f>
        <v/>
      </c>
      <c r="BB176" s="518" t="str">
        <f>IF(AND(_C="B-737-900",'2024'!$H$4="CA",'2024'!$H$2=BB157),'2024DATA'!$K$21,"")</f>
        <v/>
      </c>
      <c r="BC176" s="518" t="str">
        <f>IF(AND(_C="B-737-900",'2024'!$H$4="CA",'2024'!$H$2=BC157),'2024DATA'!$L$21,"")</f>
        <v/>
      </c>
      <c r="BD176" s="518" t="str">
        <f>IF(AND(_C="B-737-900",'2024'!$H$4="CA",'2024'!$H$2=BD157),'2024DATA'!$M$21,"")</f>
        <v/>
      </c>
      <c r="BE176" s="520" t="str">
        <f>IF(AND(_C="B-737-900",'2024'!$H$4="CA",'2024'!$H$2=BE157),'2024DATA'!$N$21,"")</f>
        <v/>
      </c>
      <c r="BF176" s="940" t="s">
        <v>47</v>
      </c>
      <c r="BG176" s="13" t="s">
        <v>61</v>
      </c>
      <c r="BH176" s="518" t="str">
        <f>IF(AND(_D="B-737-900",'2024'!$H$4="CA",'2024'!$H$2=BH157),'2024DATA'!$C$21,"")</f>
        <v/>
      </c>
      <c r="BI176" s="518" t="str">
        <f>IF(AND(_D="B-737-900",'2024'!$H$4="CA",'2024'!$H$2=BI157),'2024DATA'!$D$21,"")</f>
        <v/>
      </c>
      <c r="BJ176" s="518" t="str">
        <f>IF(AND(_D="B-737-900",'2024'!$H$4="CA",'2024'!$H$2=BJ157),'2024DATA'!$E$21,"")</f>
        <v/>
      </c>
      <c r="BK176" s="518" t="str">
        <f>IF(AND(_D="B-737-900",'2024'!$H$4="CA",'2024'!$H$2=BK157),'2024DATA'!$F$21,"")</f>
        <v/>
      </c>
      <c r="BL176" s="518" t="str">
        <f>IF(AND(_D="B-737-900",'2024'!$H$4="CA",'2024'!$H$2=BL157),'2024DATA'!$G$21,"")</f>
        <v/>
      </c>
      <c r="BM176" s="518" t="str">
        <f>IF(AND(_D="B-737-900",'2024'!$H$4="CA",'2024'!$H$2=BM157),'2024DATA'!$H$21,"")</f>
        <v/>
      </c>
      <c r="BN176" s="518" t="str">
        <f>IF(AND(_D="B-737-900",'2024'!$H$4="CA",'2024'!$H$2=BN157),'2024DATA'!$I$21,"")</f>
        <v/>
      </c>
      <c r="BO176" s="518" t="str">
        <f>IF(AND(_D="B-737-900",'2024'!$H$4="CA",'2024'!$H$2=BO157),'2024DATA'!$J$21,"")</f>
        <v/>
      </c>
      <c r="BP176" s="518" t="str">
        <f>IF(AND(_D="B-737-900",'2024'!$H$4="CA",'2024'!$H$2=BP157),'2024DATA'!$K$21,"")</f>
        <v/>
      </c>
      <c r="BQ176" s="518" t="str">
        <f>IF(AND(_D="B-737-900",'2024'!$H$4="CA",'2024'!$H$2=BQ157),'2024DATA'!$L$21,"")</f>
        <v/>
      </c>
      <c r="BR176" s="518" t="str">
        <f>IF(AND(_D="B-737-900",'2024'!$H$4="CA",'2024'!$H$2=BR157),'2024DATA'!$M$21,"")</f>
        <v/>
      </c>
      <c r="BS176" s="520" t="str">
        <f>IF(AND(_D="B-737-900",'2024'!$H$4="CA",'2024'!$H$2=BS157),'2024DATA'!$N$21,"")</f>
        <v/>
      </c>
      <c r="BT176" s="940" t="s">
        <v>47</v>
      </c>
      <c r="BU176" s="13" t="s">
        <v>61</v>
      </c>
      <c r="BV176" s="518" t="str">
        <f>IF(AND(_E="B-737-900",'2024'!$H$4="CA",'2024'!$H$2=BV157),'2024DATA'!$C$21,"")</f>
        <v/>
      </c>
      <c r="BW176" s="518" t="str">
        <f>IF(AND(_E="B-737-900",'2024'!$H$4="CA",'2024'!$H$2=BW157),'2024DATA'!$D$21,"")</f>
        <v/>
      </c>
      <c r="BX176" s="518" t="str">
        <f>IF(AND(_E="B-737-900",'2024'!$H$4="CA",'2024'!$H$2=BX157),'2024DATA'!$E$21,"")</f>
        <v/>
      </c>
      <c r="BY176" s="518" t="str">
        <f>IF(AND(_E="B-737-900",'2024'!$H$4="CA",'2024'!$H$2=BY157),'2024DATA'!$F$21,"")</f>
        <v/>
      </c>
      <c r="BZ176" s="518" t="str">
        <f>IF(AND(_E="B-737-900",'2024'!$H$4="CA",'2024'!$H$2=BZ157),'2024DATA'!$G$21,"")</f>
        <v/>
      </c>
      <c r="CA176" s="518" t="str">
        <f>IF(AND(_E="B-737-900",'2024'!$H$4="CA",'2024'!$H$2=CA157),'2024DATA'!$H$21,"")</f>
        <v/>
      </c>
      <c r="CB176" s="518" t="str">
        <f>IF(AND(_E="B-737-900",'2024'!$H$4="CA",'2024'!$H$2=CB157),'2024DATA'!$I$21,"")</f>
        <v/>
      </c>
      <c r="CC176" s="518" t="str">
        <f>IF(AND(_E="B-737-900",'2024'!$H$4="CA",'2024'!$H$2=CC157),'2024DATA'!$J$21,"")</f>
        <v/>
      </c>
      <c r="CD176" s="518" t="str">
        <f>IF(AND(_E="B-737-900",'2024'!$H$4="CA",'2024'!$H$2=CD157),'2024DATA'!$K$21,"")</f>
        <v/>
      </c>
      <c r="CE176" s="518" t="str">
        <f>IF(AND(_E="B-737-900",'2024'!$H$4="CA",'2024'!$H$2=CE157),'2024DATA'!$L$21,"")</f>
        <v/>
      </c>
      <c r="CF176" s="518" t="str">
        <f>IF(AND(_E="B-737-900",'2024'!$H$4="CA",'2024'!$H$2=CF157),'2024DATA'!$M$21,"")</f>
        <v/>
      </c>
      <c r="CG176" s="520" t="str">
        <f>IF(AND(_E="B-737-900",'2024'!$H$4="CA",'2024'!$H$2=CG157),'2024DATA'!$N$21,"")</f>
        <v/>
      </c>
      <c r="CH176" s="940" t="s">
        <v>47</v>
      </c>
      <c r="CI176" s="13" t="s">
        <v>61</v>
      </c>
      <c r="CJ176" s="518" t="str">
        <f>IF(AND(_F="B-737-900",'2024'!$H$4="CA",'2024'!$H$2=CJ157),'2024DATA'!$C$21,"")</f>
        <v/>
      </c>
      <c r="CK176" s="518" t="str">
        <f>IF(AND(_F="B-737-900",'2024'!$H$4="CA",'2024'!$H$2=CK157),'2024DATA'!$D$21,"")</f>
        <v/>
      </c>
      <c r="CL176" s="518" t="str">
        <f>IF(AND(_F="B-737-900",'2024'!$H$4="CA",'2024'!$H$2=CL157),'2024DATA'!$E$21,"")</f>
        <v/>
      </c>
      <c r="CM176" s="518" t="str">
        <f>IF(AND(_F="B-737-900",'2024'!$H$4="CA",'2024'!$H$2=CM157),'2024DATA'!$F$21,"")</f>
        <v/>
      </c>
      <c r="CN176" s="518" t="str">
        <f>IF(AND(_F="B-737-900",'2024'!$H$4="CA",'2024'!$H$2=CN157),'2024DATA'!$G$21,"")</f>
        <v/>
      </c>
      <c r="CO176" s="518" t="str">
        <f>IF(AND(_F="B-737-900",'2024'!$H$4="CA",'2024'!$H$2=CO157),'2024DATA'!$H$21,"")</f>
        <v/>
      </c>
      <c r="CP176" s="518" t="str">
        <f>IF(AND(_F="B-737-900",'2024'!$H$4="CA",'2024'!$H$2=CP157),'2024DATA'!$I$21,"")</f>
        <v/>
      </c>
      <c r="CQ176" s="518" t="str">
        <f>IF(AND(_F="B-737-900",'2024'!$H$4="CA",'2024'!$H$2=CQ157),'2024DATA'!$J$21,"")</f>
        <v/>
      </c>
      <c r="CR176" s="518" t="str">
        <f>IF(AND(_F="B-737-900",'2024'!$H$4="CA",'2024'!$H$2=CR157),'2024DATA'!$K$21,"")</f>
        <v/>
      </c>
      <c r="CS176" s="518" t="str">
        <f>IF(AND(_F="B-737-900",'2024'!$H$4="CA",'2024'!$H$2=CS157),'2024DATA'!$L$21,"")</f>
        <v/>
      </c>
      <c r="CT176" s="518" t="str">
        <f>IF(AND(_F="B-737-900",'2024'!$H$4="CA",'2024'!$H$2=CT157),'2024DATA'!$M$21,"")</f>
        <v/>
      </c>
      <c r="CU176" s="520" t="str">
        <f>IF(AND(_F="B-737-900",'2024'!$H$4="CA",'2024'!$H$2=CU157),'2024DATA'!$N$21,"")</f>
        <v/>
      </c>
    </row>
    <row r="177" spans="16:99" x14ac:dyDescent="0.25">
      <c r="P177" s="940"/>
      <c r="Q177" s="13" t="s">
        <v>62</v>
      </c>
      <c r="R177" s="518" t="str">
        <f>IF(AND(_A="B-737-900",'2024'!$H$4="FO",'2024'!$H$2=R157),'2024DATA'!$C$22,"")</f>
        <v/>
      </c>
      <c r="S177" s="518" t="str">
        <f>IF(AND(_A="B-737-900",'2024'!$H$4="FO",'2024'!$H$2=S157),'2024DATA'!$D$22,"")</f>
        <v/>
      </c>
      <c r="T177" s="518" t="str">
        <f>IF(AND(_A="B-737-900",'2024'!$H$4="FO",'2024'!$H$2=T157),'2024DATA'!$E$22,"")</f>
        <v/>
      </c>
      <c r="U177" s="518" t="str">
        <f>IF(AND(_A="B-737-900",'2024'!$H$4="FO",'2024'!$H$2=U157),'2024DATA'!$F$22,"")</f>
        <v/>
      </c>
      <c r="V177" s="518" t="str">
        <f>IF(AND(_A="B-737-900",'2024'!$H$4="FO",'2024'!$H$2=V157),'2024DATA'!$G$22,"")</f>
        <v/>
      </c>
      <c r="W177" s="518" t="str">
        <f>IF(AND(_A="B-737-900",'2024'!$H$4="FO",'2024'!$H$2=W157),'2024DATA'!$H$22,"")</f>
        <v/>
      </c>
      <c r="X177" s="518" t="str">
        <f>IF(AND(_A="B-737-900",'2024'!$H$4="FO",'2024'!$H$2=X157),'2024DATA'!$I$22,"")</f>
        <v/>
      </c>
      <c r="Y177" s="518" t="str">
        <f>IF(AND(_A="B-737-900",'2024'!$H$4="FO",'2024'!$H$2=Y157),'2024DATA'!$J$22,"")</f>
        <v/>
      </c>
      <c r="Z177" s="518" t="str">
        <f>IF(AND(_A="B-737-900",'2024'!$H$4="FO",'2024'!$H$2=Z157),'2024DATA'!$K$22,"")</f>
        <v/>
      </c>
      <c r="AA177" s="518" t="str">
        <f>IF(AND(_A="B-737-900",'2024'!$H$4="FO",'2024'!$H$2=AA157),'2024DATA'!$L$22,"")</f>
        <v/>
      </c>
      <c r="AB177" s="518" t="str">
        <f>IF(AND(_A="B-737-900",'2024'!$H$4="FO",'2024'!$H$2=AB157),'2024DATA'!$M$22,"")</f>
        <v/>
      </c>
      <c r="AC177" s="520" t="str">
        <f>IF(AND(_A="B-737-900",'2024'!$H$4="FO",'2024'!$H$2=AC157),'2024DATA'!$N$22,"")</f>
        <v/>
      </c>
      <c r="AD177" s="940"/>
      <c r="AE177" s="13" t="s">
        <v>62</v>
      </c>
      <c r="AF177" s="518" t="str">
        <f>IF(AND(_B="B-737-900",'2024'!$H$4="FO",'2024'!$H$2=AF157),'2024DATA'!$C$22,"")</f>
        <v/>
      </c>
      <c r="AG177" s="518" t="str">
        <f>IF(AND(_B="B-737-900",'2024'!$H$4="FO",'2024'!$H$2=AG157),'2024DATA'!$D$22,"")</f>
        <v/>
      </c>
      <c r="AH177" s="518" t="str">
        <f>IF(AND(_B="B-737-900",'2024'!$H$4="FO",'2024'!$H$2=AH157),'2024DATA'!$E$22,"")</f>
        <v/>
      </c>
      <c r="AI177" s="518" t="str">
        <f>IF(AND(_B="B-737-900",'2024'!$H$4="FO",'2024'!$H$2=AI157),'2024DATA'!$F$22,"")</f>
        <v/>
      </c>
      <c r="AJ177" s="518" t="str">
        <f>IF(AND(_B="B-737-900",'2024'!$H$4="FO",'2024'!$H$2=AJ157),'2024DATA'!$G$22,"")</f>
        <v/>
      </c>
      <c r="AK177" s="518" t="str">
        <f>IF(AND(_B="B-737-900",'2024'!$H$4="FO",'2024'!$H$2=AK157),'2024DATA'!$H$22,"")</f>
        <v/>
      </c>
      <c r="AL177" s="518" t="str">
        <f>IF(AND(_B="B-737-900",'2024'!$H$4="FO",'2024'!$H$2=AL157),'2024DATA'!$I$22,"")</f>
        <v/>
      </c>
      <c r="AM177" s="518" t="str">
        <f>IF(AND(_B="B-737-900",'2024'!$H$4="FO",'2024'!$H$2=AM157),'2024DATA'!$J$22,"")</f>
        <v/>
      </c>
      <c r="AN177" s="518" t="str">
        <f>IF(AND(_B="B-737-900",'2024'!$H$4="FO",'2024'!$H$2=AN157),'2024DATA'!$K$22,"")</f>
        <v/>
      </c>
      <c r="AO177" s="518" t="str">
        <f>IF(AND(_B="B-737-900",'2024'!$H$4="FO",'2024'!$H$2=AO157),'2024DATA'!$L$22,"")</f>
        <v/>
      </c>
      <c r="AP177" s="518" t="str">
        <f>IF(AND(_B="B-737-900",'2024'!$H$4="FO",'2024'!$H$2=AP157),'2024DATA'!$M$22,"")</f>
        <v/>
      </c>
      <c r="AQ177" s="520" t="str">
        <f>IF(AND(_B="B-737-900",'2024'!$H$4="FO",'2024'!$H$2=AQ157),'2024DATA'!$N$22,"")</f>
        <v/>
      </c>
      <c r="AR177" s="940"/>
      <c r="AS177" s="13" t="s">
        <v>62</v>
      </c>
      <c r="AT177" s="518" t="str">
        <f>IF(AND(_C="B-737-900",'2024'!$H$4="FO",'2024'!$H$2=AT157),'2024DATA'!$C$22,"")</f>
        <v/>
      </c>
      <c r="AU177" s="518" t="str">
        <f>IF(AND(_C="B-737-900",'2024'!$H$4="FO",'2024'!$H$2=AU157),'2024DATA'!$D$22,"")</f>
        <v/>
      </c>
      <c r="AV177" s="518" t="str">
        <f>IF(AND(_C="B-737-900",'2024'!$H$4="FO",'2024'!$H$2=AV157),'2024DATA'!$E$22,"")</f>
        <v/>
      </c>
      <c r="AW177" s="518" t="str">
        <f>IF(AND(_C="B-737-900",'2024'!$H$4="FO",'2024'!$H$2=AW157),'2024DATA'!$F$22,"")</f>
        <v/>
      </c>
      <c r="AX177" s="518" t="str">
        <f>IF(AND(_C="B-737-900",'2024'!$H$4="FO",'2024'!$H$2=AX157),'2024DATA'!$G$22,"")</f>
        <v/>
      </c>
      <c r="AY177" s="518" t="str">
        <f>IF(AND(_C="B-737-900",'2024'!$H$4="FO",'2024'!$H$2=AY157),'2024DATA'!$H$22,"")</f>
        <v/>
      </c>
      <c r="AZ177" s="518" t="str">
        <f>IF(AND(_C="B-737-900",'2024'!$H$4="FO",'2024'!$H$2=AZ157),'2024DATA'!$I$22,"")</f>
        <v/>
      </c>
      <c r="BA177" s="518" t="str">
        <f>IF(AND(_C="B-737-900",'2024'!$H$4="FO",'2024'!$H$2=BA157),'2024DATA'!$J$22,"")</f>
        <v/>
      </c>
      <c r="BB177" s="518" t="str">
        <f>IF(AND(_C="B-737-900",'2024'!$H$4="FO",'2024'!$H$2=BB157),'2024DATA'!$K$22,"")</f>
        <v/>
      </c>
      <c r="BC177" s="518" t="str">
        <f>IF(AND(_C="B-737-900",'2024'!$H$4="FO",'2024'!$H$2=BC157),'2024DATA'!$L$22,"")</f>
        <v/>
      </c>
      <c r="BD177" s="518" t="str">
        <f>IF(AND(_C="B-737-900",'2024'!$H$4="FO",'2024'!$H$2=BD157),'2024DATA'!$M$22,"")</f>
        <v/>
      </c>
      <c r="BE177" s="520" t="str">
        <f>IF(AND(_C="B-737-900",'2024'!$H$4="FO",'2024'!$H$2=BE157),'2024DATA'!$N$22,"")</f>
        <v/>
      </c>
      <c r="BF177" s="940"/>
      <c r="BG177" s="13" t="s">
        <v>62</v>
      </c>
      <c r="BH177" s="518" t="str">
        <f>IF(AND(_D="B-737-900",'2024'!$H$4="FO",'2024'!$H$2=BH157),'2024DATA'!$C$22,"")</f>
        <v/>
      </c>
      <c r="BI177" s="518" t="str">
        <f>IF(AND(_D="B-737-900",'2024'!$H$4="FO",'2024'!$H$2=BI157),'2024DATA'!$D$22,"")</f>
        <v/>
      </c>
      <c r="BJ177" s="518" t="str">
        <f>IF(AND(_D="B-737-900",'2024'!$H$4="FO",'2024'!$H$2=BJ157),'2024DATA'!$E$22,"")</f>
        <v/>
      </c>
      <c r="BK177" s="518" t="str">
        <f>IF(AND(_D="B-737-900",'2024'!$H$4="FO",'2024'!$H$2=BK157),'2024DATA'!$F$22,"")</f>
        <v/>
      </c>
      <c r="BL177" s="518" t="str">
        <f>IF(AND(_D="B-737-900",'2024'!$H$4="FO",'2024'!$H$2=BL157),'2024DATA'!$G$22,"")</f>
        <v/>
      </c>
      <c r="BM177" s="518" t="str">
        <f>IF(AND(_D="B-737-900",'2024'!$H$4="FO",'2024'!$H$2=BM157),'2024DATA'!$H$22,"")</f>
        <v/>
      </c>
      <c r="BN177" s="518" t="str">
        <f>IF(AND(_D="B-737-900",'2024'!$H$4="FO",'2024'!$H$2=BN157),'2024DATA'!$I$22,"")</f>
        <v/>
      </c>
      <c r="BO177" s="518" t="str">
        <f>IF(AND(_D="B-737-900",'2024'!$H$4="FO",'2024'!$H$2=BO157),'2024DATA'!$J$22,"")</f>
        <v/>
      </c>
      <c r="BP177" s="518" t="str">
        <f>IF(AND(_D="B-737-900",'2024'!$H$4="FO",'2024'!$H$2=BP157),'2024DATA'!$K$22,"")</f>
        <v/>
      </c>
      <c r="BQ177" s="518" t="str">
        <f>IF(AND(_D="B-737-900",'2024'!$H$4="FO",'2024'!$H$2=BQ157),'2024DATA'!$L$22,"")</f>
        <v/>
      </c>
      <c r="BR177" s="518" t="str">
        <f>IF(AND(_D="B-737-900",'2024'!$H$4="FO",'2024'!$H$2=BR157),'2024DATA'!$M$22,"")</f>
        <v/>
      </c>
      <c r="BS177" s="520" t="str">
        <f>IF(AND(_D="B-737-900",'2024'!$H$4="FO",'2024'!$H$2=BS157),'2024DATA'!$N$22,"")</f>
        <v/>
      </c>
      <c r="BT177" s="940"/>
      <c r="BU177" s="13" t="s">
        <v>62</v>
      </c>
      <c r="BV177" s="518" t="str">
        <f>IF(AND(_E="B-737-900",'2024'!$H$4="FO",'2024'!$H$2=BV157),'2024DATA'!$C$22,"")</f>
        <v/>
      </c>
      <c r="BW177" s="518" t="str">
        <f>IF(AND(_E="B-737-900",'2024'!$H$4="FO",'2024'!$H$2=BW157),'2024DATA'!$D$22,"")</f>
        <v/>
      </c>
      <c r="BX177" s="518" t="str">
        <f>IF(AND(_E="B-737-900",'2024'!$H$4="FO",'2024'!$H$2=BX157),'2024DATA'!$E$22,"")</f>
        <v/>
      </c>
      <c r="BY177" s="518" t="str">
        <f>IF(AND(_E="B-737-900",'2024'!$H$4="FO",'2024'!$H$2=BY157),'2024DATA'!$F$22,"")</f>
        <v/>
      </c>
      <c r="BZ177" s="518" t="str">
        <f>IF(AND(_E="B-737-900",'2024'!$H$4="FO",'2024'!$H$2=BZ157),'2024DATA'!$G$22,"")</f>
        <v/>
      </c>
      <c r="CA177" s="518" t="str">
        <f>IF(AND(_E="B-737-900",'2024'!$H$4="FO",'2024'!$H$2=CA157),'2024DATA'!$H$22,"")</f>
        <v/>
      </c>
      <c r="CB177" s="518" t="str">
        <f>IF(AND(_E="B-737-900",'2024'!$H$4="FO",'2024'!$H$2=CB157),'2024DATA'!$I$22,"")</f>
        <v/>
      </c>
      <c r="CC177" s="518" t="str">
        <f>IF(AND(_E="B-737-900",'2024'!$H$4="FO",'2024'!$H$2=CC157),'2024DATA'!$J$22,"")</f>
        <v/>
      </c>
      <c r="CD177" s="518" t="str">
        <f>IF(AND(_E="B-737-900",'2024'!$H$4="FO",'2024'!$H$2=CD157),'2024DATA'!$K$22,"")</f>
        <v/>
      </c>
      <c r="CE177" s="518" t="str">
        <f>IF(AND(_E="B-737-900",'2024'!$H$4="FO",'2024'!$H$2=CE157),'2024DATA'!$L$22,"")</f>
        <v/>
      </c>
      <c r="CF177" s="518" t="str">
        <f>IF(AND(_E="B-737-900",'2024'!$H$4="FO",'2024'!$H$2=CF157),'2024DATA'!$M$22,"")</f>
        <v/>
      </c>
      <c r="CG177" s="520" t="str">
        <f>IF(AND(_E="B-737-900",'2024'!$H$4="FO",'2024'!$H$2=CG157),'2024DATA'!$N$22,"")</f>
        <v/>
      </c>
      <c r="CH177" s="940"/>
      <c r="CI177" s="13" t="s">
        <v>62</v>
      </c>
      <c r="CJ177" s="518" t="str">
        <f>IF(AND(_F="B-737-900",'2024'!$H$4="FO",'2024'!$H$2=CJ157),'2024DATA'!$C$22,"")</f>
        <v/>
      </c>
      <c r="CK177" s="518" t="str">
        <f>IF(AND(_F="B-737-900",'2024'!$H$4="FO",'2024'!$H$2=CK157),'2024DATA'!$D$22,"")</f>
        <v/>
      </c>
      <c r="CL177" s="518" t="str">
        <f>IF(AND(_F="B-737-900",'2024'!$H$4="FO",'2024'!$H$2=CL157),'2024DATA'!$E$22,"")</f>
        <v/>
      </c>
      <c r="CM177" s="518" t="str">
        <f>IF(AND(_F="B-737-900",'2024'!$H$4="FO",'2024'!$H$2=CM157),'2024DATA'!$F$22,"")</f>
        <v/>
      </c>
      <c r="CN177" s="518" t="str">
        <f>IF(AND(_F="B-737-900",'2024'!$H$4="FO",'2024'!$H$2=CN157),'2024DATA'!$G$22,"")</f>
        <v/>
      </c>
      <c r="CO177" s="518" t="str">
        <f>IF(AND(_F="B-737-900",'2024'!$H$4="FO",'2024'!$H$2=CO157),'2024DATA'!$H$22,"")</f>
        <v/>
      </c>
      <c r="CP177" s="518" t="str">
        <f>IF(AND(_F="B-737-900",'2024'!$H$4="FO",'2024'!$H$2=CP157),'2024DATA'!$I$22,"")</f>
        <v/>
      </c>
      <c r="CQ177" s="518" t="str">
        <f>IF(AND(_F="B-737-900",'2024'!$H$4="FO",'2024'!$H$2=CQ157),'2024DATA'!$J$22,"")</f>
        <v/>
      </c>
      <c r="CR177" s="518" t="str">
        <f>IF(AND(_F="B-737-900",'2024'!$H$4="FO",'2024'!$H$2=CR157),'2024DATA'!$K$22,"")</f>
        <v/>
      </c>
      <c r="CS177" s="518" t="str">
        <f>IF(AND(_F="B-737-900",'2024'!$H$4="FO",'2024'!$H$2=CS157),'2024DATA'!$L$22,"")</f>
        <v/>
      </c>
      <c r="CT177" s="518" t="str">
        <f>IF(AND(_F="B-737-900",'2024'!$H$4="FO",'2024'!$H$2=CT157),'2024DATA'!$M$22,"")</f>
        <v/>
      </c>
      <c r="CU177" s="520" t="str">
        <f>IF(AND(_F="B-737-900",'2024'!$H$4="FO",'2024'!$H$2=CU157),'2024DATA'!$N$22,"")</f>
        <v/>
      </c>
    </row>
    <row r="178" spans="16:99" x14ac:dyDescent="0.25">
      <c r="P178" s="940" t="s">
        <v>69</v>
      </c>
      <c r="Q178" s="13" t="s">
        <v>61</v>
      </c>
      <c r="R178" s="518" t="str">
        <f>IF(AND(_A="B-737-800",'2024'!$H$4="CA",'2024'!$H$2=R157),'2024DATA'!$C$23,"")</f>
        <v/>
      </c>
      <c r="S178" s="518" t="str">
        <f>IF(AND(_A="B-737-800",'2024'!$H$4="CA",'2024'!$H$2=S157),'2024DATA'!$D$23,"")</f>
        <v/>
      </c>
      <c r="T178" s="518" t="str">
        <f>IF(AND(_A="B-737-800",'2024'!$H$4="CA",'2024'!$H$2=T157),'2024DATA'!$E$23,"")</f>
        <v/>
      </c>
      <c r="U178" s="518" t="str">
        <f>IF(AND(_A="B-737-800",'2024'!$H$4="CA",'2024'!$H$2=U157),'2024DATA'!$F$23,"")</f>
        <v/>
      </c>
      <c r="V178" s="518" t="str">
        <f>IF(AND(_A="B-737-800",'2024'!$H$4="CA",'2024'!$H$2=V157),'2024DATA'!$G$23,"")</f>
        <v/>
      </c>
      <c r="W178" s="518" t="str">
        <f>IF(AND(_A="B-737-800",'2024'!$H$4="CA",'2024'!$H$2=W157),'2024DATA'!$H$23,"")</f>
        <v/>
      </c>
      <c r="X178" s="518" t="str">
        <f>IF(AND(_A="B-737-800",'2024'!$H$4="CA",'2024'!$H$2=X157),'2024DATA'!$I$23,"")</f>
        <v/>
      </c>
      <c r="Y178" s="518" t="str">
        <f>IF(AND(_A="B-737-800",'2024'!$H$4="CA",'2024'!$H$2=Y157),'2024DATA'!$J$23,"")</f>
        <v/>
      </c>
      <c r="Z178" s="518" t="str">
        <f>IF(AND(_A="B-737-800",'2024'!$H$4="CA",'2024'!$H$2=Z157),'2024DATA'!$K$23,"")</f>
        <v/>
      </c>
      <c r="AA178" s="518" t="str">
        <f>IF(AND(_A="B-737-800",'2024'!$H$4="CA",'2024'!$H$2=AA157),'2024DATA'!$L$23,"")</f>
        <v/>
      </c>
      <c r="AB178" s="518" t="str">
        <f>IF(AND(_A="B-737-800",'2024'!$H$4="CA",'2024'!$H$2=AB157),'2024DATA'!$M$23,"")</f>
        <v/>
      </c>
      <c r="AC178" s="520" t="str">
        <f>IF(AND(_A="B-737-800",'2024'!$H$4="CA",'2024'!$H$2=AC157),'2024DATA'!$N$23,"")</f>
        <v/>
      </c>
      <c r="AD178" s="940" t="s">
        <v>69</v>
      </c>
      <c r="AE178" s="13" t="s">
        <v>61</v>
      </c>
      <c r="AF178" s="518" t="str">
        <f>IF(AND(_B="B-737-800",'2024'!$H$4="CA",'2024'!$H$2=AF157),'2024DATA'!$C$23,"")</f>
        <v/>
      </c>
      <c r="AG178" s="518" t="str">
        <f>IF(AND(_B="B-737-800",'2024'!$H$4="CA",'2024'!$H$2=AG157),'2024DATA'!$D$23,"")</f>
        <v/>
      </c>
      <c r="AH178" s="518" t="str">
        <f>IF(AND(_B="B-737-800",'2024'!$H$4="CA",'2024'!$H$2=AH157),'2024DATA'!$E$23,"")</f>
        <v/>
      </c>
      <c r="AI178" s="518" t="str">
        <f>IF(AND(_B="B-737-800",'2024'!$H$4="CA",'2024'!$H$2=AI157),'2024DATA'!$F$23,"")</f>
        <v/>
      </c>
      <c r="AJ178" s="518" t="str">
        <f>IF(AND(_B="B-737-800",'2024'!$H$4="CA",'2024'!$H$2=AJ157),'2024DATA'!$G$23,"")</f>
        <v/>
      </c>
      <c r="AK178" s="518" t="str">
        <f>IF(AND(_B="B-737-800",'2024'!$H$4="CA",'2024'!$H$2=AK157),'2024DATA'!$H$23,"")</f>
        <v/>
      </c>
      <c r="AL178" s="518" t="str">
        <f>IF(AND(_B="B-737-800",'2024'!$H$4="CA",'2024'!$H$2=AL157),'2024DATA'!$I$23,"")</f>
        <v/>
      </c>
      <c r="AM178" s="518" t="str">
        <f>IF(AND(_B="B-737-800",'2024'!$H$4="CA",'2024'!$H$2=AM157),'2024DATA'!$J$23,"")</f>
        <v/>
      </c>
      <c r="AN178" s="518" t="str">
        <f>IF(AND(_B="B-737-800",'2024'!$H$4="CA",'2024'!$H$2=AN157),'2024DATA'!$K$23,"")</f>
        <v/>
      </c>
      <c r="AO178" s="518" t="str">
        <f>IF(AND(_B="B-737-800",'2024'!$H$4="CA",'2024'!$H$2=AO157),'2024DATA'!$L$23,"")</f>
        <v/>
      </c>
      <c r="AP178" s="518" t="str">
        <f>IF(AND(_B="B-737-800",'2024'!$H$4="CA",'2024'!$H$2=AP157),'2024DATA'!$M$23,"")</f>
        <v/>
      </c>
      <c r="AQ178" s="520" t="str">
        <f>IF(AND(_B="B-737-800",'2024'!$H$4="CA",'2024'!$H$2=AQ157),'2024DATA'!$N$23,"")</f>
        <v/>
      </c>
      <c r="AR178" s="940" t="s">
        <v>69</v>
      </c>
      <c r="AS178" s="13" t="s">
        <v>61</v>
      </c>
      <c r="AT178" s="518" t="str">
        <f>IF(AND(_C="B-737-800",'2024'!$H$4="CA",'2024'!$H$2=AT157),'2024DATA'!$C$23,"")</f>
        <v/>
      </c>
      <c r="AU178" s="518" t="str">
        <f>IF(AND(_C="B-737-800",'2024'!$H$4="CA",'2024'!$H$2=AU157),'2024DATA'!$D$23,"")</f>
        <v/>
      </c>
      <c r="AV178" s="518" t="str">
        <f>IF(AND(_C="B-737-800",'2024'!$H$4="CA",'2024'!$H$2=AV157),'2024DATA'!$E$23,"")</f>
        <v/>
      </c>
      <c r="AW178" s="518" t="str">
        <f>IF(AND(_C="B-737-800",'2024'!$H$4="CA",'2024'!$H$2=AW157),'2024DATA'!$F$23,"")</f>
        <v/>
      </c>
      <c r="AX178" s="518" t="str">
        <f>IF(AND(_C="B-737-800",'2024'!$H$4="CA",'2024'!$H$2=AX157),'2024DATA'!$G$23,"")</f>
        <v/>
      </c>
      <c r="AY178" s="518" t="str">
        <f>IF(AND(_C="B-737-800",'2024'!$H$4="CA",'2024'!$H$2=AY157),'2024DATA'!$H$23,"")</f>
        <v/>
      </c>
      <c r="AZ178" s="518" t="str">
        <f>IF(AND(_C="B-737-800",'2024'!$H$4="CA",'2024'!$H$2=AZ157),'2024DATA'!$I$23,"")</f>
        <v/>
      </c>
      <c r="BA178" s="518" t="str">
        <f>IF(AND(_C="B-737-800",'2024'!$H$4="CA",'2024'!$H$2=BA157),'2024DATA'!$J$23,"")</f>
        <v/>
      </c>
      <c r="BB178" s="518" t="str">
        <f>IF(AND(_C="B-737-800",'2024'!$H$4="CA",'2024'!$H$2=BB157),'2024DATA'!$K$23,"")</f>
        <v/>
      </c>
      <c r="BC178" s="518" t="str">
        <f>IF(AND(_C="B-737-800",'2024'!$H$4="CA",'2024'!$H$2=BC157),'2024DATA'!$L$23,"")</f>
        <v/>
      </c>
      <c r="BD178" s="518" t="str">
        <f>IF(AND(_C="B-737-800",'2024'!$H$4="CA",'2024'!$H$2=BD157),'2024DATA'!$M$23,"")</f>
        <v/>
      </c>
      <c r="BE178" s="520" t="str">
        <f>IF(AND(_C="B-737-800",'2024'!$H$4="CA",'2024'!$H$2=BE157),'2024DATA'!$N$23,"")</f>
        <v/>
      </c>
      <c r="BF178" s="940" t="s">
        <v>69</v>
      </c>
      <c r="BG178" s="13" t="s">
        <v>61</v>
      </c>
      <c r="BH178" s="518" t="str">
        <f>IF(AND(_D="B-737-800",'2024'!$H$4="CA",'2024'!$H$2=BH157),'2024DATA'!$C$23,"")</f>
        <v/>
      </c>
      <c r="BI178" s="518" t="str">
        <f>IF(AND(_D="B-737-800",'2024'!$H$4="CA",'2024'!$H$2=BI157),'2024DATA'!$D$23,"")</f>
        <v/>
      </c>
      <c r="BJ178" s="518" t="str">
        <f>IF(AND(_D="B-737-800",'2024'!$H$4="CA",'2024'!$H$2=BJ157),'2024DATA'!$E$23,"")</f>
        <v/>
      </c>
      <c r="BK178" s="518" t="str">
        <f>IF(AND(_D="B-737-800",'2024'!$H$4="CA",'2024'!$H$2=BK157),'2024DATA'!$F$23,"")</f>
        <v/>
      </c>
      <c r="BL178" s="518" t="str">
        <f>IF(AND(_D="B-737-800",'2024'!$H$4="CA",'2024'!$H$2=BL157),'2024DATA'!$G$23,"")</f>
        <v/>
      </c>
      <c r="BM178" s="518" t="str">
        <f>IF(AND(_D="B-737-800",'2024'!$H$4="CA",'2024'!$H$2=BM157),'2024DATA'!$H$23,"")</f>
        <v/>
      </c>
      <c r="BN178" s="518" t="str">
        <f>IF(AND(_D="B-737-800",'2024'!$H$4="CA",'2024'!$H$2=BN157),'2024DATA'!$I$23,"")</f>
        <v/>
      </c>
      <c r="BO178" s="518" t="str">
        <f>IF(AND(_D="B-737-800",'2024'!$H$4="CA",'2024'!$H$2=BO157),'2024DATA'!$J$23,"")</f>
        <v/>
      </c>
      <c r="BP178" s="518" t="str">
        <f>IF(AND(_D="B-737-800",'2024'!$H$4="CA",'2024'!$H$2=BP157),'2024DATA'!$K$23,"")</f>
        <v/>
      </c>
      <c r="BQ178" s="518" t="str">
        <f>IF(AND(_D="B-737-800",'2024'!$H$4="CA",'2024'!$H$2=BQ157),'2024DATA'!$L$23,"")</f>
        <v/>
      </c>
      <c r="BR178" s="518" t="str">
        <f>IF(AND(_D="B-737-800",'2024'!$H$4="CA",'2024'!$H$2=BR157),'2024DATA'!$M$23,"")</f>
        <v/>
      </c>
      <c r="BS178" s="520" t="str">
        <f>IF(AND(_D="B-737-800",'2024'!$H$4="CA",'2024'!$H$2=BS157),'2024DATA'!$N$23,"")</f>
        <v/>
      </c>
      <c r="BT178" s="940" t="s">
        <v>69</v>
      </c>
      <c r="BU178" s="13" t="s">
        <v>61</v>
      </c>
      <c r="BV178" s="518" t="str">
        <f>IF(AND(_E="B-737-800",'2024'!$H$4="CA",'2024'!$H$2=BV157),'2024DATA'!$C$23,"")</f>
        <v/>
      </c>
      <c r="BW178" s="518" t="str">
        <f>IF(AND(_E="B-737-800",'2024'!$H$4="CA",'2024'!$H$2=BW157),'2024DATA'!$D$23,"")</f>
        <v/>
      </c>
      <c r="BX178" s="518" t="str">
        <f>IF(AND(_E="B-737-800",'2024'!$H$4="CA",'2024'!$H$2=BX157),'2024DATA'!$E$23,"")</f>
        <v/>
      </c>
      <c r="BY178" s="518" t="str">
        <f>IF(AND(_E="B-737-800",'2024'!$H$4="CA",'2024'!$H$2=BY157),'2024DATA'!$F$23,"")</f>
        <v/>
      </c>
      <c r="BZ178" s="518" t="str">
        <f>IF(AND(_E="B-737-800",'2024'!$H$4="CA",'2024'!$H$2=BZ157),'2024DATA'!$G$23,"")</f>
        <v/>
      </c>
      <c r="CA178" s="518" t="str">
        <f>IF(AND(_E="B-737-800",'2024'!$H$4="CA",'2024'!$H$2=CA157),'2024DATA'!$H$23,"")</f>
        <v/>
      </c>
      <c r="CB178" s="518" t="str">
        <f>IF(AND(_E="B-737-800",'2024'!$H$4="CA",'2024'!$H$2=CB157),'2024DATA'!$I$23,"")</f>
        <v/>
      </c>
      <c r="CC178" s="518" t="str">
        <f>IF(AND(_E="B-737-800",'2024'!$H$4="CA",'2024'!$H$2=CC157),'2024DATA'!$J$23,"")</f>
        <v/>
      </c>
      <c r="CD178" s="518" t="str">
        <f>IF(AND(_E="B-737-800",'2024'!$H$4="CA",'2024'!$H$2=CD157),'2024DATA'!$K$23,"")</f>
        <v/>
      </c>
      <c r="CE178" s="518" t="str">
        <f>IF(AND(_E="B-737-800",'2024'!$H$4="CA",'2024'!$H$2=CE157),'2024DATA'!$L$23,"")</f>
        <v/>
      </c>
      <c r="CF178" s="518" t="str">
        <f>IF(AND(_E="B-737-800",'2024'!$H$4="CA",'2024'!$H$2=CF157),'2024DATA'!$M$23,"")</f>
        <v/>
      </c>
      <c r="CG178" s="520" t="str">
        <f>IF(AND(_E="B-737-800",'2024'!$H$4="CA",'2024'!$H$2=CG157),'2024DATA'!$N$23,"")</f>
        <v/>
      </c>
      <c r="CH178" s="940" t="s">
        <v>69</v>
      </c>
      <c r="CI178" s="13" t="s">
        <v>61</v>
      </c>
      <c r="CJ178" s="518" t="str">
        <f>IF(AND(_F="B-737-800",'2024'!$H$4="CA",'2024'!$H$2=CJ157),'2024DATA'!$C$23,"")</f>
        <v/>
      </c>
      <c r="CK178" s="518" t="str">
        <f>IF(AND(_F="B-737-800",'2024'!$H$4="CA",'2024'!$H$2=CK157),'2024DATA'!$D$23,"")</f>
        <v/>
      </c>
      <c r="CL178" s="518" t="str">
        <f>IF(AND(_F="B-737-800",'2024'!$H$4="CA",'2024'!$H$2=CL157),'2024DATA'!$E$23,"")</f>
        <v/>
      </c>
      <c r="CM178" s="518" t="str">
        <f>IF(AND(_F="B-737-800",'2024'!$H$4="CA",'2024'!$H$2=CM157),'2024DATA'!$F$23,"")</f>
        <v/>
      </c>
      <c r="CN178" s="518" t="str">
        <f>IF(AND(_F="B-737-800",'2024'!$H$4="CA",'2024'!$H$2=CN157),'2024DATA'!$G$23,"")</f>
        <v/>
      </c>
      <c r="CO178" s="518" t="str">
        <f>IF(AND(_F="B-737-800",'2024'!$H$4="CA",'2024'!$H$2=CO157),'2024DATA'!$H$23,"")</f>
        <v/>
      </c>
      <c r="CP178" s="518" t="str">
        <f>IF(AND(_F="B-737-800",'2024'!$H$4="CA",'2024'!$H$2=CP157),'2024DATA'!$I$23,"")</f>
        <v/>
      </c>
      <c r="CQ178" s="518" t="str">
        <f>IF(AND(_F="B-737-800",'2024'!$H$4="CA",'2024'!$H$2=CQ157),'2024DATA'!$J$23,"")</f>
        <v/>
      </c>
      <c r="CR178" s="518" t="str">
        <f>IF(AND(_F="B-737-800",'2024'!$H$4="CA",'2024'!$H$2=CR157),'2024DATA'!$K$23,"")</f>
        <v/>
      </c>
      <c r="CS178" s="518" t="str">
        <f>IF(AND(_F="B-737-800",'2024'!$H$4="CA",'2024'!$H$2=CS157),'2024DATA'!$L$23,"")</f>
        <v/>
      </c>
      <c r="CT178" s="518" t="str">
        <f>IF(AND(_F="B-737-800",'2024'!$H$4="CA",'2024'!$H$2=CT157),'2024DATA'!$M$23,"")</f>
        <v/>
      </c>
      <c r="CU178" s="520" t="str">
        <f>IF(AND(_F="B-737-800",'2024'!$H$4="CA",'2024'!$H$2=CU157),'2024DATA'!$N$23,"")</f>
        <v/>
      </c>
    </row>
    <row r="179" spans="16:99" x14ac:dyDescent="0.25">
      <c r="P179" s="940"/>
      <c r="Q179" s="13" t="s">
        <v>62</v>
      </c>
      <c r="R179" s="518" t="str">
        <f>IF(AND(_A="B-737-800",'2024'!$H$4="FO",'2024'!$H$2=R157),'2024DATA'!$C$24,"")</f>
        <v/>
      </c>
      <c r="S179" s="518" t="str">
        <f>IF(AND(_A="B-737-800",'2024'!$H$4="FO",'2024'!$H$2=S157),'2024DATA'!$D$24,"")</f>
        <v/>
      </c>
      <c r="T179" s="518" t="str">
        <f>IF(AND(_A="B-737-800",'2024'!$H$4="FO",'2024'!$H$2=T157),'2024DATA'!$E$24,"")</f>
        <v/>
      </c>
      <c r="U179" s="518" t="str">
        <f>IF(AND(_A="B-737-800",'2024'!$H$4="FO",'2024'!$H$2=U157),'2024DATA'!$F$24,"")</f>
        <v/>
      </c>
      <c r="V179" s="518" t="str">
        <f>IF(AND(_A="B-737-800",'2024'!$H$4="FO",'2024'!$H$2=V157),'2024DATA'!$G$24,"")</f>
        <v/>
      </c>
      <c r="W179" s="518" t="str">
        <f>IF(AND(_A="B-737-800",'2024'!$H$4="FO",'2024'!$H$2=W157),'2024DATA'!$H$24,"")</f>
        <v/>
      </c>
      <c r="X179" s="518" t="str">
        <f>IF(AND(_A="B-737-800",'2024'!$H$4="FO",'2024'!$H$2=X157),'2024DATA'!$I$24,"")</f>
        <v/>
      </c>
      <c r="Y179" s="518" t="str">
        <f>IF(AND(_A="B-737-800",'2024'!$H$4="FO",'2024'!$H$2=Y157),'2024DATA'!$J$24,"")</f>
        <v/>
      </c>
      <c r="Z179" s="518" t="str">
        <f>IF(AND(_A="B-737-800",'2024'!$H$4="FO",'2024'!$H$2=Z157),'2024DATA'!$K$24,"")</f>
        <v/>
      </c>
      <c r="AA179" s="518" t="str">
        <f>IF(AND(_A="B-737-800",'2024'!$H$4="FO",'2024'!$H$2=AA157),'2024DATA'!$L$24,"")</f>
        <v/>
      </c>
      <c r="AB179" s="518" t="str">
        <f>IF(AND(_A="B-737-800",'2024'!$H$4="FO",'2024'!$H$2=AB157),'2024DATA'!$M$24,"")</f>
        <v/>
      </c>
      <c r="AC179" s="520" t="str">
        <f>IF(AND(_A="B-737-800",'2024'!$H$4="FO",'2024'!$H$2=AC157),'2024DATA'!$N$24,"")</f>
        <v/>
      </c>
      <c r="AD179" s="940"/>
      <c r="AE179" s="13" t="s">
        <v>62</v>
      </c>
      <c r="AF179" s="518" t="str">
        <f>IF(AND(_B="B-737-800",'2024'!$H$4="FO",'2024'!$H$2=AF157),'2024DATA'!$C$24,"")</f>
        <v/>
      </c>
      <c r="AG179" s="518" t="str">
        <f>IF(AND(_B="B-737-800",'2024'!$H$4="FO",'2024'!$H$2=AG157),'2024DATA'!$D$24,"")</f>
        <v/>
      </c>
      <c r="AH179" s="518" t="str">
        <f>IF(AND(_B="B-737-800",'2024'!$H$4="FO",'2024'!$H$2=AH157),'2024DATA'!$E$24,"")</f>
        <v/>
      </c>
      <c r="AI179" s="518" t="str">
        <f>IF(AND(_B="B-737-800",'2024'!$H$4="FO",'2024'!$H$2=AI157),'2024DATA'!$F$24,"")</f>
        <v/>
      </c>
      <c r="AJ179" s="518" t="str">
        <f>IF(AND(_B="B-737-800",'2024'!$H$4="FO",'2024'!$H$2=AJ157),'2024DATA'!$G$24,"")</f>
        <v/>
      </c>
      <c r="AK179" s="518" t="str">
        <f>IF(AND(_B="B-737-800",'2024'!$H$4="FO",'2024'!$H$2=AK157),'2024DATA'!$H$24,"")</f>
        <v/>
      </c>
      <c r="AL179" s="518" t="str">
        <f>IF(AND(_B="B-737-800",'2024'!$H$4="FO",'2024'!$H$2=AL157),'2024DATA'!$I$24,"")</f>
        <v/>
      </c>
      <c r="AM179" s="518" t="str">
        <f>IF(AND(_B="B-737-800",'2024'!$H$4="FO",'2024'!$H$2=AM157),'2024DATA'!$J$24,"")</f>
        <v/>
      </c>
      <c r="AN179" s="518" t="str">
        <f>IF(AND(_B="B-737-800",'2024'!$H$4="FO",'2024'!$H$2=AN157),'2024DATA'!$K$24,"")</f>
        <v/>
      </c>
      <c r="AO179" s="518" t="str">
        <f>IF(AND(_B="B-737-800",'2024'!$H$4="FO",'2024'!$H$2=AO157),'2024DATA'!$L$24,"")</f>
        <v/>
      </c>
      <c r="AP179" s="518" t="str">
        <f>IF(AND(_B="B-737-800",'2024'!$H$4="FO",'2024'!$H$2=AP157),'2024DATA'!$M$24,"")</f>
        <v/>
      </c>
      <c r="AQ179" s="520" t="str">
        <f>IF(AND(_B="B-737-800",'2024'!$H$4="FO",'2024'!$H$2=AQ157),'2024DATA'!$N$24,"")</f>
        <v/>
      </c>
      <c r="AR179" s="940"/>
      <c r="AS179" s="13" t="s">
        <v>62</v>
      </c>
      <c r="AT179" s="518" t="str">
        <f>IF(AND(_C="B-737-800",'2024'!$H$4="FO",'2024'!$H$2=AT157),'2024DATA'!$C$24,"")</f>
        <v/>
      </c>
      <c r="AU179" s="518" t="str">
        <f>IF(AND(_C="B-737-800",'2024'!$H$4="FO",'2024'!$H$2=AU157),'2024DATA'!$D$24,"")</f>
        <v/>
      </c>
      <c r="AV179" s="518" t="str">
        <f>IF(AND(_C="B-737-800",'2024'!$H$4="FO",'2024'!$H$2=AV157),'2024DATA'!$E$24,"")</f>
        <v/>
      </c>
      <c r="AW179" s="518" t="str">
        <f>IF(AND(_C="B-737-800",'2024'!$H$4="FO",'2024'!$H$2=AW157),'2024DATA'!$F$24,"")</f>
        <v/>
      </c>
      <c r="AX179" s="518" t="str">
        <f>IF(AND(_C="B-737-800",'2024'!$H$4="FO",'2024'!$H$2=AX157),'2024DATA'!$G$24,"")</f>
        <v/>
      </c>
      <c r="AY179" s="518" t="str">
        <f>IF(AND(_C="B-737-800",'2024'!$H$4="FO",'2024'!$H$2=AY157),'2024DATA'!$H$24,"")</f>
        <v/>
      </c>
      <c r="AZ179" s="518" t="str">
        <f>IF(AND(_C="B-737-800",'2024'!$H$4="FO",'2024'!$H$2=AZ157),'2024DATA'!$I$24,"")</f>
        <v/>
      </c>
      <c r="BA179" s="518" t="str">
        <f>IF(AND(_C="B-737-800",'2024'!$H$4="FO",'2024'!$H$2=BA157),'2024DATA'!$J$24,"")</f>
        <v/>
      </c>
      <c r="BB179" s="518" t="str">
        <f>IF(AND(_C="B-737-800",'2024'!$H$4="FO",'2024'!$H$2=BB157),'2024DATA'!$K$24,"")</f>
        <v/>
      </c>
      <c r="BC179" s="518" t="str">
        <f>IF(AND(_C="B-737-800",'2024'!$H$4="FO",'2024'!$H$2=BC157),'2024DATA'!$L$24,"")</f>
        <v/>
      </c>
      <c r="BD179" s="518" t="str">
        <f>IF(AND(_C="B-737-800",'2024'!$H$4="FO",'2024'!$H$2=BD157),'2024DATA'!$M$24,"")</f>
        <v/>
      </c>
      <c r="BE179" s="520" t="str">
        <f>IF(AND(_C="B-737-800",'2024'!$H$4="FO",'2024'!$H$2=BE157),'2024DATA'!$N$24,"")</f>
        <v/>
      </c>
      <c r="BF179" s="940"/>
      <c r="BG179" s="13" t="s">
        <v>62</v>
      </c>
      <c r="BH179" s="518" t="str">
        <f>IF(AND(_D="B-737-800",'2024'!$H$4="FO",'2024'!$H$2=BH157),'2024DATA'!$C$24,"")</f>
        <v/>
      </c>
      <c r="BI179" s="518" t="str">
        <f>IF(AND(_D="B-737-800",'2024'!$H$4="FO",'2024'!$H$2=BI157),'2024DATA'!$D$24,"")</f>
        <v/>
      </c>
      <c r="BJ179" s="518" t="str">
        <f>IF(AND(_D="B-737-800",'2024'!$H$4="FO",'2024'!$H$2=BJ157),'2024DATA'!$E$24,"")</f>
        <v/>
      </c>
      <c r="BK179" s="518" t="str">
        <f>IF(AND(_D="B-737-800",'2024'!$H$4="FO",'2024'!$H$2=BK157),'2024DATA'!$F$24,"")</f>
        <v/>
      </c>
      <c r="BL179" s="518" t="str">
        <f>IF(AND(_D="B-737-800",'2024'!$H$4="FO",'2024'!$H$2=BL157),'2024DATA'!$G$24,"")</f>
        <v/>
      </c>
      <c r="BM179" s="518" t="str">
        <f>IF(AND(_D="B-737-800",'2024'!$H$4="FO",'2024'!$H$2=BM157),'2024DATA'!$H$24,"")</f>
        <v/>
      </c>
      <c r="BN179" s="518" t="str">
        <f>IF(AND(_D="B-737-800",'2024'!$H$4="FO",'2024'!$H$2=BN157),'2024DATA'!$I$24,"")</f>
        <v/>
      </c>
      <c r="BO179" s="518" t="str">
        <f>IF(AND(_D="B-737-800",'2024'!$H$4="FO",'2024'!$H$2=BO157),'2024DATA'!$J$24,"")</f>
        <v/>
      </c>
      <c r="BP179" s="518" t="str">
        <f>IF(AND(_D="B-737-800",'2024'!$H$4="FO",'2024'!$H$2=BP157),'2024DATA'!$K$24,"")</f>
        <v/>
      </c>
      <c r="BQ179" s="518" t="str">
        <f>IF(AND(_D="B-737-800",'2024'!$H$4="FO",'2024'!$H$2=BQ157),'2024DATA'!$L$24,"")</f>
        <v/>
      </c>
      <c r="BR179" s="518" t="str">
        <f>IF(AND(_D="B-737-800",'2024'!$H$4="FO",'2024'!$H$2=BR157),'2024DATA'!$M$24,"")</f>
        <v/>
      </c>
      <c r="BS179" s="520" t="str">
        <f>IF(AND(_D="B-737-800",'2024'!$H$4="FO",'2024'!$H$2=BS157),'2024DATA'!$N$24,"")</f>
        <v/>
      </c>
      <c r="BT179" s="940"/>
      <c r="BU179" s="13" t="s">
        <v>62</v>
      </c>
      <c r="BV179" s="518" t="str">
        <f>IF(AND(_E="B-737-800",'2024'!$H$4="FO",'2024'!$H$2=BV157),'2024DATA'!$C$24,"")</f>
        <v/>
      </c>
      <c r="BW179" s="518" t="str">
        <f>IF(AND(_E="B-737-800",'2024'!$H$4="FO",'2024'!$H$2=BW157),'2024DATA'!$D$24,"")</f>
        <v/>
      </c>
      <c r="BX179" s="518" t="str">
        <f>IF(AND(_E="B-737-800",'2024'!$H$4="FO",'2024'!$H$2=BX157),'2024DATA'!$E$24,"")</f>
        <v/>
      </c>
      <c r="BY179" s="518" t="str">
        <f>IF(AND(_E="B-737-800",'2024'!$H$4="FO",'2024'!$H$2=BY157),'2024DATA'!$F$24,"")</f>
        <v/>
      </c>
      <c r="BZ179" s="518" t="str">
        <f>IF(AND(_E="B-737-800",'2024'!$H$4="FO",'2024'!$H$2=BZ157),'2024DATA'!$G$24,"")</f>
        <v/>
      </c>
      <c r="CA179" s="518" t="str">
        <f>IF(AND(_E="B-737-800",'2024'!$H$4="FO",'2024'!$H$2=CA157),'2024DATA'!$H$24,"")</f>
        <v/>
      </c>
      <c r="CB179" s="518" t="str">
        <f>IF(AND(_E="B-737-800",'2024'!$H$4="FO",'2024'!$H$2=CB157),'2024DATA'!$I$24,"")</f>
        <v/>
      </c>
      <c r="CC179" s="518" t="str">
        <f>IF(AND(_E="B-737-800",'2024'!$H$4="FO",'2024'!$H$2=CC157),'2024DATA'!$J$24,"")</f>
        <v/>
      </c>
      <c r="CD179" s="518" t="str">
        <f>IF(AND(_E="B-737-800",'2024'!$H$4="FO",'2024'!$H$2=CD157),'2024DATA'!$K$24,"")</f>
        <v/>
      </c>
      <c r="CE179" s="518" t="str">
        <f>IF(AND(_E="B-737-800",'2024'!$H$4="FO",'2024'!$H$2=CE157),'2024DATA'!$L$24,"")</f>
        <v/>
      </c>
      <c r="CF179" s="518" t="str">
        <f>IF(AND(_E="B-737-800",'2024'!$H$4="FO",'2024'!$H$2=CF157),'2024DATA'!$M$24,"")</f>
        <v/>
      </c>
      <c r="CG179" s="520" t="str">
        <f>IF(AND(_E="B-737-800",'2024'!$H$4="FO",'2024'!$H$2=CG157),'2024DATA'!$N$24,"")</f>
        <v/>
      </c>
      <c r="CH179" s="940"/>
      <c r="CI179" s="13" t="s">
        <v>62</v>
      </c>
      <c r="CJ179" s="518" t="str">
        <f>IF(AND(_F="B-737-800",'2024'!$H$4="FO",'2024'!$H$2=CJ157),'2024DATA'!$C$24,"")</f>
        <v/>
      </c>
      <c r="CK179" s="518" t="str">
        <f>IF(AND(_F="B-737-800",'2024'!$H$4="FO",'2024'!$H$2=CK157),'2024DATA'!$D$24,"")</f>
        <v/>
      </c>
      <c r="CL179" s="518" t="str">
        <f>IF(AND(_F="B-737-800",'2024'!$H$4="FO",'2024'!$H$2=CL157),'2024DATA'!$E$24,"")</f>
        <v/>
      </c>
      <c r="CM179" s="518" t="str">
        <f>IF(AND(_F="B-737-800",'2024'!$H$4="FO",'2024'!$H$2=CM157),'2024DATA'!$F$24,"")</f>
        <v/>
      </c>
      <c r="CN179" s="518" t="str">
        <f>IF(AND(_F="B-737-800",'2024'!$H$4="FO",'2024'!$H$2=CN157),'2024DATA'!$G$24,"")</f>
        <v/>
      </c>
      <c r="CO179" s="518" t="str">
        <f>IF(AND(_F="B-737-800",'2024'!$H$4="FO",'2024'!$H$2=CO157),'2024DATA'!$H$24,"")</f>
        <v/>
      </c>
      <c r="CP179" s="518" t="str">
        <f>IF(AND(_F="B-737-800",'2024'!$H$4="FO",'2024'!$H$2=CP157),'2024DATA'!$I$24,"")</f>
        <v/>
      </c>
      <c r="CQ179" s="518" t="str">
        <f>IF(AND(_F="B-737-800",'2024'!$H$4="FO",'2024'!$H$2=CQ157),'2024DATA'!$J$24,"")</f>
        <v/>
      </c>
      <c r="CR179" s="518" t="str">
        <f>IF(AND(_F="B-737-800",'2024'!$H$4="FO",'2024'!$H$2=CR157),'2024DATA'!$K$24,"")</f>
        <v/>
      </c>
      <c r="CS179" s="518" t="str">
        <f>IF(AND(_F="B-737-800",'2024'!$H$4="FO",'2024'!$H$2=CS157),'2024DATA'!$L$24,"")</f>
        <v/>
      </c>
      <c r="CT179" s="518" t="str">
        <f>IF(AND(_F="B-737-800",'2024'!$H$4="FO",'2024'!$H$2=CT157),'2024DATA'!$M$24,"")</f>
        <v/>
      </c>
      <c r="CU179" s="520" t="str">
        <f>IF(AND(_F="B-737-800",'2024'!$H$4="FO",'2024'!$H$2=CU157),'2024DATA'!$N$24,"")</f>
        <v/>
      </c>
    </row>
    <row r="180" spans="16:99" x14ac:dyDescent="0.25">
      <c r="P180" s="940" t="s">
        <v>46</v>
      </c>
      <c r="Q180" s="13" t="s">
        <v>61</v>
      </c>
      <c r="R180" s="518" t="str">
        <f>IF(AND(_A="A-321N",'2024'!$H$4="CA",'2024'!$H$2=R157),'2024DATA'!$C$25,"")</f>
        <v/>
      </c>
      <c r="S180" s="518" t="str">
        <f>IF(AND(_A="A-321N",'2024'!$H$4="CA",'2024'!$H$2=S157),'2024DATA'!$D$25,"")</f>
        <v/>
      </c>
      <c r="T180" s="518" t="str">
        <f>IF(AND(_A="A-321N",'2024'!$H$4="CA",'2024'!$H$2=T157),'2024DATA'!$E$25,"")</f>
        <v/>
      </c>
      <c r="U180" s="518" t="str">
        <f>IF(AND(_A="A-321N",'2024'!$H$4="CA",'2024'!$H$2=U157),'2024DATA'!$F$25,"")</f>
        <v/>
      </c>
      <c r="V180" s="518" t="str">
        <f>IF(AND(_A="A-321N",'2024'!$H$4="CA",'2024'!$H$2=V157),'2024DATA'!$G$25,"")</f>
        <v/>
      </c>
      <c r="W180" s="518" t="str">
        <f>IF(AND(_A="A-321N",'2024'!$H$4="CA",'2024'!$H$2=W157),'2024DATA'!$H$25,"")</f>
        <v/>
      </c>
      <c r="X180" s="518" t="str">
        <f>IF(AND(_A="A-321N",'2024'!$H$4="CA",'2024'!$H$2=X157),'2024DATA'!$I$25,"")</f>
        <v/>
      </c>
      <c r="Y180" s="518" t="str">
        <f>IF(AND(_A="A-321N",'2024'!$H$4="CA",'2024'!$H$2=Y157),'2024DATA'!$J$25,"")</f>
        <v/>
      </c>
      <c r="Z180" s="518" t="str">
        <f>IF(AND(_A="A-321N",'2024'!$H$4="CA",'2024'!$H$2=Z157),'2024DATA'!$K$25,"")</f>
        <v/>
      </c>
      <c r="AA180" s="518" t="str">
        <f>IF(AND(_A="A-321N",'2024'!$H$4="CA",'2024'!$H$2=AA157),'2024DATA'!$L$25,"")</f>
        <v/>
      </c>
      <c r="AB180" s="518" t="str">
        <f>IF(AND(_A="A-321N",'2024'!$H$4="CA",'2024'!$H$2=AB157),'2024DATA'!$M$25,"")</f>
        <v/>
      </c>
      <c r="AC180" s="520" t="str">
        <f>IF(AND(_A="A-321N",'2024'!$H$4="CA",'2024'!$H$2=AC157),'2024DATA'!$N$25,"")</f>
        <v/>
      </c>
      <c r="AD180" s="940" t="s">
        <v>46</v>
      </c>
      <c r="AE180" s="13" t="s">
        <v>61</v>
      </c>
      <c r="AF180" s="518" t="str">
        <f>IF(AND(_B="A-321N",'2024'!$H$4="CA",'2024'!$H$2=AF157),'2024DATA'!$C$25,"")</f>
        <v/>
      </c>
      <c r="AG180" s="518" t="str">
        <f>IF(AND(_B="A-321N",'2024'!$H$4="CA",'2024'!$H$2=AG157),'2024DATA'!$D$25,"")</f>
        <v/>
      </c>
      <c r="AH180" s="518" t="str">
        <f>IF(AND(_B="A-321N",'2024'!$H$4="CA",'2024'!$H$2=AH157),'2024DATA'!$E$25,"")</f>
        <v/>
      </c>
      <c r="AI180" s="518" t="str">
        <f>IF(AND(_B="A-321N",'2024'!$H$4="CA",'2024'!$H$2=AI157),'2024DATA'!$F$25,"")</f>
        <v/>
      </c>
      <c r="AJ180" s="518" t="str">
        <f>IF(AND(_B="A-321N",'2024'!$H$4="CA",'2024'!$H$2=AJ157),'2024DATA'!$G$25,"")</f>
        <v/>
      </c>
      <c r="AK180" s="518" t="str">
        <f>IF(AND(_B="A-321N",'2024'!$H$4="CA",'2024'!$H$2=AK157),'2024DATA'!$H$25,"")</f>
        <v/>
      </c>
      <c r="AL180" s="518" t="str">
        <f>IF(AND(_B="A-321N",'2024'!$H$4="CA",'2024'!$H$2=AL157),'2024DATA'!$I$25,"")</f>
        <v/>
      </c>
      <c r="AM180" s="518" t="str">
        <f>IF(AND(_B="A-321N",'2024'!$H$4="CA",'2024'!$H$2=AM157),'2024DATA'!$J$25,"")</f>
        <v/>
      </c>
      <c r="AN180" s="518" t="str">
        <f>IF(AND(_B="A-321N",'2024'!$H$4="CA",'2024'!$H$2=AN157),'2024DATA'!$K$25,"")</f>
        <v/>
      </c>
      <c r="AO180" s="518" t="str">
        <f>IF(AND(_B="A-321N",'2024'!$H$4="CA",'2024'!$H$2=AO157),'2024DATA'!$L$25,"")</f>
        <v/>
      </c>
      <c r="AP180" s="518" t="str">
        <f>IF(AND(_B="A-321N",'2024'!$H$4="CA",'2024'!$H$2=AP157),'2024DATA'!$M$25,"")</f>
        <v/>
      </c>
      <c r="AQ180" s="520" t="str">
        <f>IF(AND(_B="A-321N",'2024'!$H$4="CA",'2024'!$H$2=AQ157),'2024DATA'!$N$25,"")</f>
        <v/>
      </c>
      <c r="AR180" s="940" t="s">
        <v>46</v>
      </c>
      <c r="AS180" s="13" t="s">
        <v>61</v>
      </c>
      <c r="AT180" s="518" t="str">
        <f>IF(AND(_C="A-321N",'2024'!$H$4="CA",'2024'!$H$2=AT157),'2024DATA'!$C$25,"")</f>
        <v/>
      </c>
      <c r="AU180" s="518" t="str">
        <f>IF(AND(_C="A-321N",'2024'!$H$4="CA",'2024'!$H$2=AU157),'2024DATA'!$D$25,"")</f>
        <v/>
      </c>
      <c r="AV180" s="518" t="str">
        <f>IF(AND(_C="A-321N",'2024'!$H$4="CA",'2024'!$H$2=AV157),'2024DATA'!$E$25,"")</f>
        <v/>
      </c>
      <c r="AW180" s="518" t="str">
        <f>IF(AND(_C="A-321N",'2024'!$H$4="CA",'2024'!$H$2=AW157),'2024DATA'!$F$25,"")</f>
        <v/>
      </c>
      <c r="AX180" s="518" t="str">
        <f>IF(AND(_C="A-321N",'2024'!$H$4="CA",'2024'!$H$2=AX157),'2024DATA'!$G$25,"")</f>
        <v/>
      </c>
      <c r="AY180" s="518" t="str">
        <f>IF(AND(_C="A-321N",'2024'!$H$4="CA",'2024'!$H$2=AY157),'2024DATA'!$H$25,"")</f>
        <v/>
      </c>
      <c r="AZ180" s="518" t="str">
        <f>IF(AND(_C="A-321N",'2024'!$H$4="CA",'2024'!$H$2=AZ157),'2024DATA'!$I$25,"")</f>
        <v/>
      </c>
      <c r="BA180" s="518" t="str">
        <f>IF(AND(_C="A-321N",'2024'!$H$4="CA",'2024'!$H$2=BA157),'2024DATA'!$J$25,"")</f>
        <v/>
      </c>
      <c r="BB180" s="518" t="str">
        <f>IF(AND(_C="A-321N",'2024'!$H$4="CA",'2024'!$H$2=BB157),'2024DATA'!$K$25,"")</f>
        <v/>
      </c>
      <c r="BC180" s="518" t="str">
        <f>IF(AND(_C="A-321N",'2024'!$H$4="CA",'2024'!$H$2=BC157),'2024DATA'!$L$25,"")</f>
        <v/>
      </c>
      <c r="BD180" s="518" t="str">
        <f>IF(AND(_C="A-321N",'2024'!$H$4="CA",'2024'!$H$2=BD157),'2024DATA'!$M$25,"")</f>
        <v/>
      </c>
      <c r="BE180" s="520" t="str">
        <f>IF(AND(_C="A-321N",'2024'!$H$4="CA",'2024'!$H$2=BE157),'2024DATA'!$N$25,"")</f>
        <v/>
      </c>
      <c r="BF180" s="940" t="s">
        <v>46</v>
      </c>
      <c r="BG180" s="13" t="s">
        <v>61</v>
      </c>
      <c r="BH180" s="518" t="str">
        <f>IF(AND(_D="A-321N",'2024'!$H$4="CA",'2024'!$H$2=BH157),'2024DATA'!$C$25,"")</f>
        <v/>
      </c>
      <c r="BI180" s="518" t="str">
        <f>IF(AND(_D="A-321N",'2024'!$H$4="CA",'2024'!$H$2=BI157),'2024DATA'!$D$25,"")</f>
        <v/>
      </c>
      <c r="BJ180" s="518" t="str">
        <f>IF(AND(_D="A-321N",'2024'!$H$4="CA",'2024'!$H$2=BJ157),'2024DATA'!$E$25,"")</f>
        <v/>
      </c>
      <c r="BK180" s="518" t="str">
        <f>IF(AND(_D="A-321N",'2024'!$H$4="CA",'2024'!$H$2=BK157),'2024DATA'!$F$25,"")</f>
        <v/>
      </c>
      <c r="BL180" s="518" t="str">
        <f>IF(AND(_D="A-321N",'2024'!$H$4="CA",'2024'!$H$2=BL157),'2024DATA'!$G$25,"")</f>
        <v/>
      </c>
      <c r="BM180" s="518" t="str">
        <f>IF(AND(_D="A-321N",'2024'!$H$4="CA",'2024'!$H$2=BM157),'2024DATA'!$H$25,"")</f>
        <v/>
      </c>
      <c r="BN180" s="518" t="str">
        <f>IF(AND(_D="A-321N",'2024'!$H$4="CA",'2024'!$H$2=BN157),'2024DATA'!$I$25,"")</f>
        <v/>
      </c>
      <c r="BO180" s="518" t="str">
        <f>IF(AND(_D="A-321N",'2024'!$H$4="CA",'2024'!$H$2=BO157),'2024DATA'!$J$25,"")</f>
        <v/>
      </c>
      <c r="BP180" s="518" t="str">
        <f>IF(AND(_D="A-321N",'2024'!$H$4="CA",'2024'!$H$2=BP157),'2024DATA'!$K$25,"")</f>
        <v/>
      </c>
      <c r="BQ180" s="518" t="str">
        <f>IF(AND(_D="A-321N",'2024'!$H$4="CA",'2024'!$H$2=BQ157),'2024DATA'!$L$25,"")</f>
        <v/>
      </c>
      <c r="BR180" s="518" t="str">
        <f>IF(AND(_D="A-321N",'2024'!$H$4="CA",'2024'!$H$2=BR157),'2024DATA'!$M$25,"")</f>
        <v/>
      </c>
      <c r="BS180" s="520" t="str">
        <f>IF(AND(_D="A-321N",'2024'!$H$4="CA",'2024'!$H$2=BS157),'2024DATA'!$N$25,"")</f>
        <v/>
      </c>
      <c r="BT180" s="940" t="s">
        <v>46</v>
      </c>
      <c r="BU180" s="13" t="s">
        <v>61</v>
      </c>
      <c r="BV180" s="518" t="str">
        <f>IF(AND(_E="A-321N",'2024'!$H$4="CA",'2024'!$H$2=BV157),'2024DATA'!$C$25,"")</f>
        <v/>
      </c>
      <c r="BW180" s="518" t="str">
        <f>IF(AND(_E="A-321N",'2024'!$H$4="CA",'2024'!$H$2=BW157),'2024DATA'!$D$25,"")</f>
        <v/>
      </c>
      <c r="BX180" s="518" t="str">
        <f>IF(AND(_E="A-321N",'2024'!$H$4="CA",'2024'!$H$2=BX157),'2024DATA'!$E$25,"")</f>
        <v/>
      </c>
      <c r="BY180" s="518" t="str">
        <f>IF(AND(_E="A-321N",'2024'!$H$4="CA",'2024'!$H$2=BY157),'2024DATA'!$F$25,"")</f>
        <v/>
      </c>
      <c r="BZ180" s="518" t="str">
        <f>IF(AND(_E="A-321N",'2024'!$H$4="CA",'2024'!$H$2=BZ157),'2024DATA'!$G$25,"")</f>
        <v/>
      </c>
      <c r="CA180" s="518" t="str">
        <f>IF(AND(_E="A-321N",'2024'!$H$4="CA",'2024'!$H$2=CA157),'2024DATA'!$H$25,"")</f>
        <v/>
      </c>
      <c r="CB180" s="518" t="str">
        <f>IF(AND(_E="A-321N",'2024'!$H$4="CA",'2024'!$H$2=CB157),'2024DATA'!$I$25,"")</f>
        <v/>
      </c>
      <c r="CC180" s="518" t="str">
        <f>IF(AND(_E="A-321N",'2024'!$H$4="CA",'2024'!$H$2=CC157),'2024DATA'!$J$25,"")</f>
        <v/>
      </c>
      <c r="CD180" s="518" t="str">
        <f>IF(AND(_E="A-321N",'2024'!$H$4="CA",'2024'!$H$2=CD157),'2024DATA'!$K$25,"")</f>
        <v/>
      </c>
      <c r="CE180" s="518" t="str">
        <f>IF(AND(_E="A-321N",'2024'!$H$4="CA",'2024'!$H$2=CE157),'2024DATA'!$L$25,"")</f>
        <v/>
      </c>
      <c r="CF180" s="518" t="str">
        <f>IF(AND(_E="A-321N",'2024'!$H$4="CA",'2024'!$H$2=CF157),'2024DATA'!$M$25,"")</f>
        <v/>
      </c>
      <c r="CG180" s="520" t="str">
        <f>IF(AND(_E="A-321N",'2024'!$H$4="CA",'2024'!$H$2=CG157),'2024DATA'!$N$25,"")</f>
        <v/>
      </c>
      <c r="CH180" s="940" t="s">
        <v>46</v>
      </c>
      <c r="CI180" s="13" t="s">
        <v>61</v>
      </c>
      <c r="CJ180" s="518" t="str">
        <f>IF(AND(_F="A-321N",'2024'!$H$4="CA",'2024'!$H$2=CJ157),'2024DATA'!$C$25,"")</f>
        <v/>
      </c>
      <c r="CK180" s="518" t="str">
        <f>IF(AND(_F="A-321N",'2024'!$H$4="CA",'2024'!$H$2=CK157),'2024DATA'!$D$25,"")</f>
        <v/>
      </c>
      <c r="CL180" s="518" t="str">
        <f>IF(AND(_F="A-321N",'2024'!$H$4="CA",'2024'!$H$2=CL157),'2024DATA'!$E$25,"")</f>
        <v/>
      </c>
      <c r="CM180" s="518" t="str">
        <f>IF(AND(_F="A-321N",'2024'!$H$4="CA",'2024'!$H$2=CM157),'2024DATA'!$F$25,"")</f>
        <v/>
      </c>
      <c r="CN180" s="518" t="str">
        <f>IF(AND(_F="A-321N",'2024'!$H$4="CA",'2024'!$H$2=CN157),'2024DATA'!$G$25,"")</f>
        <v/>
      </c>
      <c r="CO180" s="518" t="str">
        <f>IF(AND(_F="A-321N",'2024'!$H$4="CA",'2024'!$H$2=CO157),'2024DATA'!$H$25,"")</f>
        <v/>
      </c>
      <c r="CP180" s="518" t="str">
        <f>IF(AND(_F="A-321N",'2024'!$H$4="CA",'2024'!$H$2=CP157),'2024DATA'!$I$25,"")</f>
        <v/>
      </c>
      <c r="CQ180" s="518" t="str">
        <f>IF(AND(_F="A-321N",'2024'!$H$4="CA",'2024'!$H$2=CQ157),'2024DATA'!$J$25,"")</f>
        <v/>
      </c>
      <c r="CR180" s="518" t="str">
        <f>IF(AND(_F="A-321N",'2024'!$H$4="CA",'2024'!$H$2=CR157),'2024DATA'!$K$25,"")</f>
        <v/>
      </c>
      <c r="CS180" s="518" t="str">
        <f>IF(AND(_F="A-321N",'2024'!$H$4="CA",'2024'!$H$2=CS157),'2024DATA'!$L$25,"")</f>
        <v/>
      </c>
      <c r="CT180" s="518" t="str">
        <f>IF(AND(_F="A-321N",'2024'!$H$4="CA",'2024'!$H$2=CT157),'2024DATA'!$M$25,"")</f>
        <v/>
      </c>
      <c r="CU180" s="520" t="str">
        <f>IF(AND(_F="A-321N",'2024'!$H$4="CA",'2024'!$H$2=CU157),'2024DATA'!$N$25,"")</f>
        <v/>
      </c>
    </row>
    <row r="181" spans="16:99" x14ac:dyDescent="0.25">
      <c r="P181" s="940"/>
      <c r="Q181" s="13" t="s">
        <v>62</v>
      </c>
      <c r="R181" s="518" t="str">
        <f>IF(AND(_A="A-321N",'2024'!$H$4="FO",'2024'!$H$2=R157),'2024DATA'!$C$26,"")</f>
        <v/>
      </c>
      <c r="S181" s="518" t="str">
        <f>IF(AND(_A="A-321N",'2024'!$H$4="FO",'2024'!$H$2=S157),'2024DATA'!$D$26,"")</f>
        <v/>
      </c>
      <c r="T181" s="518" t="str">
        <f>IF(AND(_A="A-321N",'2024'!$H$4="FO",'2024'!$H$2=T157),'2024DATA'!$E$26,"")</f>
        <v/>
      </c>
      <c r="U181" s="518" t="str">
        <f>IF(AND(_A="A-321N",'2024'!$H$4="FO",'2024'!$H$2=U157),'2024DATA'!$F$26,"")</f>
        <v/>
      </c>
      <c r="V181" s="518" t="str">
        <f>IF(AND(_A="A-321N",'2024'!$H$4="FO",'2024'!$H$2=V157),'2024DATA'!$G$26,"")</f>
        <v/>
      </c>
      <c r="W181" s="518" t="str">
        <f>IF(AND(_A="A-321N",'2024'!$H$4="FO",'2024'!$H$2=W157),'2024DATA'!$H$26,"")</f>
        <v/>
      </c>
      <c r="X181" s="518" t="str">
        <f>IF(AND(_A="A-321N",'2024'!$H$4="FO",'2024'!$H$2=X157),'2024DATA'!$I$26,"")</f>
        <v/>
      </c>
      <c r="Y181" s="518" t="str">
        <f>IF(AND(_A="A-321N",'2024'!$H$4="FO",'2024'!$H$2=Y157),'2024DATA'!$J$26,"")</f>
        <v/>
      </c>
      <c r="Z181" s="518" t="str">
        <f>IF(AND(_A="A-321N",'2024'!$H$4="FO",'2024'!$H$2=Z157),'2024DATA'!$K$26,"")</f>
        <v/>
      </c>
      <c r="AA181" s="518" t="str">
        <f>IF(AND(_A="A-321N",'2024'!$H$4="FO",'2024'!$H$2=AA157),'2024DATA'!$L$26,"")</f>
        <v/>
      </c>
      <c r="AB181" s="518" t="str">
        <f>IF(AND(_A="A-321N",'2024'!$H$4="FO",'2024'!$H$2=AB157),'2024DATA'!$M$26,"")</f>
        <v/>
      </c>
      <c r="AC181" s="520" t="str">
        <f>IF(AND(_A="A-321N",'2024'!$H$4="FO",'2024'!$H$2=AC157),'2024DATA'!$N$26,"")</f>
        <v/>
      </c>
      <c r="AD181" s="940"/>
      <c r="AE181" s="13" t="s">
        <v>62</v>
      </c>
      <c r="AF181" s="518" t="str">
        <f>IF(AND(_B="A-321N",'2024'!$H$4="FO",'2024'!$H$2=AF157),'2024DATA'!$C$26,"")</f>
        <v/>
      </c>
      <c r="AG181" s="518" t="str">
        <f>IF(AND(_B="A-321N",'2024'!$H$4="FO",'2024'!$H$2=AG157),'2024DATA'!$D$26,"")</f>
        <v/>
      </c>
      <c r="AH181" s="518" t="str">
        <f>IF(AND(_B="A-321N",'2024'!$H$4="FO",'2024'!$H$2=AH157),'2024DATA'!$E$26,"")</f>
        <v/>
      </c>
      <c r="AI181" s="518" t="str">
        <f>IF(AND(_B="A-321N",'2024'!$H$4="FO",'2024'!$H$2=AI157),'2024DATA'!$F$26,"")</f>
        <v/>
      </c>
      <c r="AJ181" s="518" t="str">
        <f>IF(AND(_B="A-321N",'2024'!$H$4="FO",'2024'!$H$2=AJ157),'2024DATA'!$G$26,"")</f>
        <v/>
      </c>
      <c r="AK181" s="518" t="str">
        <f>IF(AND(_B="A-321N",'2024'!$H$4="FO",'2024'!$H$2=AK157),'2024DATA'!$H$26,"")</f>
        <v/>
      </c>
      <c r="AL181" s="518" t="str">
        <f>IF(AND(_B="A-321N",'2024'!$H$4="FO",'2024'!$H$2=AL157),'2024DATA'!$I$26,"")</f>
        <v/>
      </c>
      <c r="AM181" s="518" t="str">
        <f>IF(AND(_B="A-321N",'2024'!$H$4="FO",'2024'!$H$2=AM157),'2024DATA'!$J$26,"")</f>
        <v/>
      </c>
      <c r="AN181" s="518" t="str">
        <f>IF(AND(_B="A-321N",'2024'!$H$4="FO",'2024'!$H$2=AN157),'2024DATA'!$K$26,"")</f>
        <v/>
      </c>
      <c r="AO181" s="518" t="str">
        <f>IF(AND(_B="A-321N",'2024'!$H$4="FO",'2024'!$H$2=AO157),'2024DATA'!$L$26,"")</f>
        <v/>
      </c>
      <c r="AP181" s="518" t="str">
        <f>IF(AND(_B="A-321N",'2024'!$H$4="FO",'2024'!$H$2=AP157),'2024DATA'!$M$26,"")</f>
        <v/>
      </c>
      <c r="AQ181" s="520" t="str">
        <f>IF(AND(_B="A-321N",'2024'!$H$4="FO",'2024'!$H$2=AQ157),'2024DATA'!$N$26,"")</f>
        <v/>
      </c>
      <c r="AR181" s="940"/>
      <c r="AS181" s="13" t="s">
        <v>62</v>
      </c>
      <c r="AT181" s="518" t="str">
        <f>IF(AND(_C="A-321N",'2024'!$H$4="FO",'2024'!$H$2=AT157),'2024DATA'!$C$26,"")</f>
        <v/>
      </c>
      <c r="AU181" s="518" t="str">
        <f>IF(AND(_C="A-321N",'2024'!$H$4="FO",'2024'!$H$2=AU157),'2024DATA'!$D$26,"")</f>
        <v/>
      </c>
      <c r="AV181" s="518" t="str">
        <f>IF(AND(_C="A-321N",'2024'!$H$4="FO",'2024'!$H$2=AV157),'2024DATA'!$E$26,"")</f>
        <v/>
      </c>
      <c r="AW181" s="518" t="str">
        <f>IF(AND(_C="A-321N",'2024'!$H$4="FO",'2024'!$H$2=AW157),'2024DATA'!$F$26,"")</f>
        <v/>
      </c>
      <c r="AX181" s="518" t="str">
        <f>IF(AND(_C="A-321N",'2024'!$H$4="FO",'2024'!$H$2=AX157),'2024DATA'!$G$26,"")</f>
        <v/>
      </c>
      <c r="AY181" s="518" t="str">
        <f>IF(AND(_C="A-321N",'2024'!$H$4="FO",'2024'!$H$2=AY157),'2024DATA'!$H$26,"")</f>
        <v/>
      </c>
      <c r="AZ181" s="518" t="str">
        <f>IF(AND(_C="A-321N",'2024'!$H$4="FO",'2024'!$H$2=AZ157),'2024DATA'!$I$26,"")</f>
        <v/>
      </c>
      <c r="BA181" s="518" t="str">
        <f>IF(AND(_C="A-321N",'2024'!$H$4="FO",'2024'!$H$2=BA157),'2024DATA'!$J$26,"")</f>
        <v/>
      </c>
      <c r="BB181" s="518" t="str">
        <f>IF(AND(_C="A-321N",'2024'!$H$4="FO",'2024'!$H$2=BB157),'2024DATA'!$K$26,"")</f>
        <v/>
      </c>
      <c r="BC181" s="518" t="str">
        <f>IF(AND(_C="A-321N",'2024'!$H$4="FO",'2024'!$H$2=BC157),'2024DATA'!$L$26,"")</f>
        <v/>
      </c>
      <c r="BD181" s="518" t="str">
        <f>IF(AND(_C="A-321N",'2024'!$H$4="FO",'2024'!$H$2=BD157),'2024DATA'!$M$26,"")</f>
        <v/>
      </c>
      <c r="BE181" s="520" t="str">
        <f>IF(AND(_C="A-321N",'2024'!$H$4="FO",'2024'!$H$2=BE157),'2024DATA'!$N$26,"")</f>
        <v/>
      </c>
      <c r="BF181" s="940"/>
      <c r="BG181" s="13" t="s">
        <v>62</v>
      </c>
      <c r="BH181" s="518" t="str">
        <f>IF(AND(_D="A-321N",'2024'!$H$4="FO",'2024'!$H$2=BH157),'2024DATA'!$C$26,"")</f>
        <v/>
      </c>
      <c r="BI181" s="518" t="str">
        <f>IF(AND(_D="A-321N",'2024'!$H$4="FO",'2024'!$H$2=BI157),'2024DATA'!$D$26,"")</f>
        <v/>
      </c>
      <c r="BJ181" s="518" t="str">
        <f>IF(AND(_D="A-321N",'2024'!$H$4="FO",'2024'!$H$2=BJ157),'2024DATA'!$E$26,"")</f>
        <v/>
      </c>
      <c r="BK181" s="518" t="str">
        <f>IF(AND(_D="A-321N",'2024'!$H$4="FO",'2024'!$H$2=BK157),'2024DATA'!$F$26,"")</f>
        <v/>
      </c>
      <c r="BL181" s="518" t="str">
        <f>IF(AND(_D="A-321N",'2024'!$H$4="FO",'2024'!$H$2=BL157),'2024DATA'!$G$26,"")</f>
        <v/>
      </c>
      <c r="BM181" s="518" t="str">
        <f>IF(AND(_D="A-321N",'2024'!$H$4="FO",'2024'!$H$2=BM157),'2024DATA'!$H$26,"")</f>
        <v/>
      </c>
      <c r="BN181" s="518" t="str">
        <f>IF(AND(_D="A-321N",'2024'!$H$4="FO",'2024'!$H$2=BN157),'2024DATA'!$I$26,"")</f>
        <v/>
      </c>
      <c r="BO181" s="518" t="str">
        <f>IF(AND(_D="A-321N",'2024'!$H$4="FO",'2024'!$H$2=BO157),'2024DATA'!$J$26,"")</f>
        <v/>
      </c>
      <c r="BP181" s="518" t="str">
        <f>IF(AND(_D="A-321N",'2024'!$H$4="FO",'2024'!$H$2=BP157),'2024DATA'!$K$26,"")</f>
        <v/>
      </c>
      <c r="BQ181" s="518" t="str">
        <f>IF(AND(_D="A-321N",'2024'!$H$4="FO",'2024'!$H$2=BQ157),'2024DATA'!$L$26,"")</f>
        <v/>
      </c>
      <c r="BR181" s="518" t="str">
        <f>IF(AND(_D="A-321N",'2024'!$H$4="FO",'2024'!$H$2=BR157),'2024DATA'!$M$26,"")</f>
        <v/>
      </c>
      <c r="BS181" s="520" t="str">
        <f>IF(AND(_D="A-321N",'2024'!$H$4="FO",'2024'!$H$2=BS157),'2024DATA'!$N$26,"")</f>
        <v/>
      </c>
      <c r="BT181" s="940"/>
      <c r="BU181" s="13" t="s">
        <v>62</v>
      </c>
      <c r="BV181" s="518" t="str">
        <f>IF(AND(_E="A-321N",'2024'!$H$4="FO",'2024'!$H$2=BV157),'2024DATA'!$C$26,"")</f>
        <v/>
      </c>
      <c r="BW181" s="518" t="str">
        <f>IF(AND(_E="A-321N",'2024'!$H$4="FO",'2024'!$H$2=BW157),'2024DATA'!$D$26,"")</f>
        <v/>
      </c>
      <c r="BX181" s="518" t="str">
        <f>IF(AND(_E="A-321N",'2024'!$H$4="FO",'2024'!$H$2=BX157),'2024DATA'!$E$26,"")</f>
        <v/>
      </c>
      <c r="BY181" s="518" t="str">
        <f>IF(AND(_E="A-321N",'2024'!$H$4="FO",'2024'!$H$2=BY157),'2024DATA'!$F$26,"")</f>
        <v/>
      </c>
      <c r="BZ181" s="518" t="str">
        <f>IF(AND(_E="A-321N",'2024'!$H$4="FO",'2024'!$H$2=BZ157),'2024DATA'!$G$26,"")</f>
        <v/>
      </c>
      <c r="CA181" s="518" t="str">
        <f>IF(AND(_E="A-321N",'2024'!$H$4="FO",'2024'!$H$2=CA157),'2024DATA'!$H$26,"")</f>
        <v/>
      </c>
      <c r="CB181" s="518" t="str">
        <f>IF(AND(_E="A-321N",'2024'!$H$4="FO",'2024'!$H$2=CB157),'2024DATA'!$I$26,"")</f>
        <v/>
      </c>
      <c r="CC181" s="518" t="str">
        <f>IF(AND(_E="A-321N",'2024'!$H$4="FO",'2024'!$H$2=CC157),'2024DATA'!$J$26,"")</f>
        <v/>
      </c>
      <c r="CD181" s="518" t="str">
        <f>IF(AND(_E="A-321N",'2024'!$H$4="FO",'2024'!$H$2=CD157),'2024DATA'!$K$26,"")</f>
        <v/>
      </c>
      <c r="CE181" s="518" t="str">
        <f>IF(AND(_E="A-321N",'2024'!$H$4="FO",'2024'!$H$2=CE157),'2024DATA'!$L$26,"")</f>
        <v/>
      </c>
      <c r="CF181" s="518" t="str">
        <f>IF(AND(_E="A-321N",'2024'!$H$4="FO",'2024'!$H$2=CF157),'2024DATA'!$M$26,"")</f>
        <v/>
      </c>
      <c r="CG181" s="520" t="str">
        <f>IF(AND(_E="A-321N",'2024'!$H$4="FO",'2024'!$H$2=CG157),'2024DATA'!$N$26,"")</f>
        <v/>
      </c>
      <c r="CH181" s="940"/>
      <c r="CI181" s="13" t="s">
        <v>62</v>
      </c>
      <c r="CJ181" s="518" t="str">
        <f>IF(AND(_F="A-321N",'2024'!$H$4="FO",'2024'!$H$2=CJ157),'2024DATA'!$C$26,"")</f>
        <v/>
      </c>
      <c r="CK181" s="518" t="str">
        <f>IF(AND(_F="A-321N",'2024'!$H$4="FO",'2024'!$H$2=CK157),'2024DATA'!$D$26,"")</f>
        <v/>
      </c>
      <c r="CL181" s="518" t="str">
        <f>IF(AND(_F="A-321N",'2024'!$H$4="FO",'2024'!$H$2=CL157),'2024DATA'!$E$26,"")</f>
        <v/>
      </c>
      <c r="CM181" s="518" t="str">
        <f>IF(AND(_F="A-321N",'2024'!$H$4="FO",'2024'!$H$2=CM157),'2024DATA'!$F$26,"")</f>
        <v/>
      </c>
      <c r="CN181" s="518" t="str">
        <f>IF(AND(_F="A-321N",'2024'!$H$4="FO",'2024'!$H$2=CN157),'2024DATA'!$G$26,"")</f>
        <v/>
      </c>
      <c r="CO181" s="518" t="str">
        <f>IF(AND(_F="A-321N",'2024'!$H$4="FO",'2024'!$H$2=CO157),'2024DATA'!$H$26,"")</f>
        <v/>
      </c>
      <c r="CP181" s="518" t="str">
        <f>IF(AND(_F="A-321N",'2024'!$H$4="FO",'2024'!$H$2=CP157),'2024DATA'!$I$26,"")</f>
        <v/>
      </c>
      <c r="CQ181" s="518" t="str">
        <f>IF(AND(_F="A-321N",'2024'!$H$4="FO",'2024'!$H$2=CQ157),'2024DATA'!$J$26,"")</f>
        <v/>
      </c>
      <c r="CR181" s="518" t="str">
        <f>IF(AND(_F="A-321N",'2024'!$H$4="FO",'2024'!$H$2=CR157),'2024DATA'!$K$26,"")</f>
        <v/>
      </c>
      <c r="CS181" s="518" t="str">
        <f>IF(AND(_F="A-321N",'2024'!$H$4="FO",'2024'!$H$2=CS157),'2024DATA'!$L$26,"")</f>
        <v/>
      </c>
      <c r="CT181" s="518" t="str">
        <f>IF(AND(_F="A-321N",'2024'!$H$4="FO",'2024'!$H$2=CT157),'2024DATA'!$M$26,"")</f>
        <v/>
      </c>
      <c r="CU181" s="520" t="str">
        <f>IF(AND(_F="A-321N",'2024'!$H$4="FO",'2024'!$H$2=CU157),'2024DATA'!$N$26,"")</f>
        <v/>
      </c>
    </row>
    <row r="182" spans="16:99" x14ac:dyDescent="0.25">
      <c r="P182" s="940" t="s">
        <v>48</v>
      </c>
      <c r="Q182" s="13" t="s">
        <v>61</v>
      </c>
      <c r="R182" s="518" t="str">
        <f>IF(AND(_A="A-321",'2024'!$H$4="CA",'2024'!$H$2=R157),'2024DATA'!$C$27,"")</f>
        <v/>
      </c>
      <c r="S182" s="518" t="str">
        <f>IF(AND(_A="A-321",'2024'!$H$4="CA",'2024'!$H$2=S157),'2024DATA'!$D$27,"")</f>
        <v/>
      </c>
      <c r="T182" s="518" t="str">
        <f>IF(AND(_A="A-321",'2024'!$H$4="CA",'2024'!$H$2=T157),'2024DATA'!$E$27,"")</f>
        <v/>
      </c>
      <c r="U182" s="518" t="str">
        <f>IF(AND(_A="A-321",'2024'!$H$4="CA",'2024'!$H$2=U157),'2024DATA'!$F$27,"")</f>
        <v/>
      </c>
      <c r="V182" s="518" t="str">
        <f>IF(AND(_A="A-321",'2024'!$H$4="CA",'2024'!$H$2=V157),'2024DATA'!$G$27,"")</f>
        <v/>
      </c>
      <c r="W182" s="518" t="str">
        <f>IF(AND(_A="A-321",'2024'!$H$4="CA",'2024'!$H$2=W157),'2024DATA'!$H$27,"")</f>
        <v/>
      </c>
      <c r="X182" s="518" t="str">
        <f>IF(AND(_A="A-321",'2024'!$H$4="CA",'2024'!$H$2=X157),'2024DATA'!$I$27,"")</f>
        <v/>
      </c>
      <c r="Y182" s="518" t="str">
        <f>IF(AND(_A="A-321",'2024'!$H$4="CA",'2024'!$H$2=Y157),'2024DATA'!$J$27,"")</f>
        <v/>
      </c>
      <c r="Z182" s="518" t="str">
        <f>IF(AND(_A="A-321",'2024'!$H$4="CA",'2024'!$H$2=Z157),'2024DATA'!$K$27,"")</f>
        <v/>
      </c>
      <c r="AA182" s="518" t="str">
        <f>IF(AND(_A="A-321",'2024'!$H$4="CA",'2024'!$H$2=AA157),'2024DATA'!$L$27,"")</f>
        <v/>
      </c>
      <c r="AB182" s="518" t="str">
        <f>IF(AND(_A="A-321",'2024'!$H$4="CA",'2024'!$H$2=AB157),'2024DATA'!$M$27,"")</f>
        <v/>
      </c>
      <c r="AC182" s="520" t="str">
        <f>IF(AND(_A="A-321",'2024'!$H$4="CA",'2024'!$H$2=AC157),'2024DATA'!$N$27,"")</f>
        <v/>
      </c>
      <c r="AD182" s="940" t="s">
        <v>48</v>
      </c>
      <c r="AE182" s="13" t="s">
        <v>61</v>
      </c>
      <c r="AF182" s="518" t="str">
        <f>IF(AND(_B="A-321",'2024'!$H$4="CA",'2024'!$H$2=AF157),'2024DATA'!$C$27,"")</f>
        <v/>
      </c>
      <c r="AG182" s="518" t="str">
        <f>IF(AND(_B="A-321",'2024'!$H$4="CA",'2024'!$H$2=AG157),'2024DATA'!$D$27,"")</f>
        <v/>
      </c>
      <c r="AH182" s="518" t="str">
        <f>IF(AND(_B="A-321",'2024'!$H$4="CA",'2024'!$H$2=AH157),'2024DATA'!$E$27,"")</f>
        <v/>
      </c>
      <c r="AI182" s="518" t="str">
        <f>IF(AND(_B="A-321",'2024'!$H$4="CA",'2024'!$H$2=AI157),'2024DATA'!$F$27,"")</f>
        <v/>
      </c>
      <c r="AJ182" s="518" t="str">
        <f>IF(AND(_B="A-321",'2024'!$H$4="CA",'2024'!$H$2=AJ157),'2024DATA'!$G$27,"")</f>
        <v/>
      </c>
      <c r="AK182" s="518" t="str">
        <f>IF(AND(_B="A-321",'2024'!$H$4="CA",'2024'!$H$2=AK157),'2024DATA'!$H$27,"")</f>
        <v/>
      </c>
      <c r="AL182" s="518" t="str">
        <f>IF(AND(_B="A-321",'2024'!$H$4="CA",'2024'!$H$2=AL157),'2024DATA'!$I$27,"")</f>
        <v/>
      </c>
      <c r="AM182" s="518" t="str">
        <f>IF(AND(_B="A-321",'2024'!$H$4="CA",'2024'!$H$2=AM157),'2024DATA'!$J$27,"")</f>
        <v/>
      </c>
      <c r="AN182" s="518" t="str">
        <f>IF(AND(_B="A-321",'2024'!$H$4="CA",'2024'!$H$2=AN157),'2024DATA'!$K$27,"")</f>
        <v/>
      </c>
      <c r="AO182" s="518" t="str">
        <f>IF(AND(_B="A-321",'2024'!$H$4="CA",'2024'!$H$2=AO157),'2024DATA'!$L$27,"")</f>
        <v/>
      </c>
      <c r="AP182" s="518" t="str">
        <f>IF(AND(_B="A-321",'2024'!$H$4="CA",'2024'!$H$2=AP157),'2024DATA'!$M$27,"")</f>
        <v/>
      </c>
      <c r="AQ182" s="520" t="str">
        <f>IF(AND(_B="A-321",'2024'!$H$4="CA",'2024'!$H$2=AQ157),'2024DATA'!$N$27,"")</f>
        <v/>
      </c>
      <c r="AR182" s="940" t="s">
        <v>48</v>
      </c>
      <c r="AS182" s="13" t="s">
        <v>61</v>
      </c>
      <c r="AT182" s="518" t="str">
        <f>IF(AND(_C="A-321",'2024'!$H$4="CA",'2024'!$H$2=AT157),'2024DATA'!$C$27,"")</f>
        <v/>
      </c>
      <c r="AU182" s="518" t="str">
        <f>IF(AND(_C="A-321",'2024'!$H$4="CA",'2024'!$H$2=AU157),'2024DATA'!$D$27,"")</f>
        <v/>
      </c>
      <c r="AV182" s="518" t="str">
        <f>IF(AND(_C="A-321",'2024'!$H$4="CA",'2024'!$H$2=AV157),'2024DATA'!$E$27,"")</f>
        <v/>
      </c>
      <c r="AW182" s="518" t="str">
        <f>IF(AND(_C="A-321",'2024'!$H$4="CA",'2024'!$H$2=AW157),'2024DATA'!$F$27,"")</f>
        <v/>
      </c>
      <c r="AX182" s="518" t="str">
        <f>IF(AND(_C="A-321",'2024'!$H$4="CA",'2024'!$H$2=AX157),'2024DATA'!$G$27,"")</f>
        <v/>
      </c>
      <c r="AY182" s="518" t="str">
        <f>IF(AND(_C="A-321",'2024'!$H$4="CA",'2024'!$H$2=AY157),'2024DATA'!$H$27,"")</f>
        <v/>
      </c>
      <c r="AZ182" s="518" t="str">
        <f>IF(AND(_C="A-321",'2024'!$H$4="CA",'2024'!$H$2=AZ157),'2024DATA'!$I$27,"")</f>
        <v/>
      </c>
      <c r="BA182" s="518" t="str">
        <f>IF(AND(_C="A-321",'2024'!$H$4="CA",'2024'!$H$2=BA157),'2024DATA'!$J$27,"")</f>
        <v/>
      </c>
      <c r="BB182" s="518" t="str">
        <f>IF(AND(_C="A-321",'2024'!$H$4="CA",'2024'!$H$2=BB157),'2024DATA'!$K$27,"")</f>
        <v/>
      </c>
      <c r="BC182" s="518" t="str">
        <f>IF(AND(_C="A-321",'2024'!$H$4="CA",'2024'!$H$2=BC157),'2024DATA'!$L$27,"")</f>
        <v/>
      </c>
      <c r="BD182" s="518" t="str">
        <f>IF(AND(_C="A-321",'2024'!$H$4="CA",'2024'!$H$2=BD157),'2024DATA'!$M$27,"")</f>
        <v/>
      </c>
      <c r="BE182" s="520" t="str">
        <f>IF(AND(_C="A-321",'2024'!$H$4="CA",'2024'!$H$2=BE157),'2024DATA'!$N$27,"")</f>
        <v/>
      </c>
      <c r="BF182" s="940" t="s">
        <v>48</v>
      </c>
      <c r="BG182" s="13" t="s">
        <v>61</v>
      </c>
      <c r="BH182" s="518" t="str">
        <f>IF(AND(_D="A-321",'2024'!$H$4="CA",'2024'!$H$2=BH157),'2024DATA'!$C$27,"")</f>
        <v/>
      </c>
      <c r="BI182" s="518" t="str">
        <f>IF(AND(_D="A-321",'2024'!$H$4="CA",'2024'!$H$2=BI157),'2024DATA'!$D$27,"")</f>
        <v/>
      </c>
      <c r="BJ182" s="518" t="str">
        <f>IF(AND(_D="A-321",'2024'!$H$4="CA",'2024'!$H$2=BJ157),'2024DATA'!$E$27,"")</f>
        <v/>
      </c>
      <c r="BK182" s="518" t="str">
        <f>IF(AND(_D="A-321",'2024'!$H$4="CA",'2024'!$H$2=BK157),'2024DATA'!$F$27,"")</f>
        <v/>
      </c>
      <c r="BL182" s="518" t="str">
        <f>IF(AND(_D="A-321",'2024'!$H$4="CA",'2024'!$H$2=BL157),'2024DATA'!$G$27,"")</f>
        <v/>
      </c>
      <c r="BM182" s="518" t="str">
        <f>IF(AND(_D="A-321",'2024'!$H$4="CA",'2024'!$H$2=BM157),'2024DATA'!$H$27,"")</f>
        <v/>
      </c>
      <c r="BN182" s="518" t="str">
        <f>IF(AND(_D="A-321",'2024'!$H$4="CA",'2024'!$H$2=BN157),'2024DATA'!$I$27,"")</f>
        <v/>
      </c>
      <c r="BO182" s="518" t="str">
        <f>IF(AND(_D="A-321",'2024'!$H$4="CA",'2024'!$H$2=BO157),'2024DATA'!$J$27,"")</f>
        <v/>
      </c>
      <c r="BP182" s="518" t="str">
        <f>IF(AND(_D="A-321",'2024'!$H$4="CA",'2024'!$H$2=BP157),'2024DATA'!$K$27,"")</f>
        <v/>
      </c>
      <c r="BQ182" s="518" t="str">
        <f>IF(AND(_D="A-321",'2024'!$H$4="CA",'2024'!$H$2=BQ157),'2024DATA'!$L$27,"")</f>
        <v/>
      </c>
      <c r="BR182" s="518" t="str">
        <f>IF(AND(_D="A-321",'2024'!$H$4="CA",'2024'!$H$2=BR157),'2024DATA'!$M$27,"")</f>
        <v/>
      </c>
      <c r="BS182" s="520" t="str">
        <f>IF(AND(_D="A-321",'2024'!$H$4="CA",'2024'!$H$2=BS157),'2024DATA'!$N$27,"")</f>
        <v/>
      </c>
      <c r="BT182" s="940" t="s">
        <v>48</v>
      </c>
      <c r="BU182" s="13" t="s">
        <v>61</v>
      </c>
      <c r="BV182" s="518" t="str">
        <f>IF(AND(_E="A-321",'2024'!$H$4="CA",'2024'!$H$2=BV157),'2024DATA'!$C$27,"")</f>
        <v/>
      </c>
      <c r="BW182" s="518" t="str">
        <f>IF(AND(_E="A-321",'2024'!$H$4="CA",'2024'!$H$2=BW157),'2024DATA'!$D$27,"")</f>
        <v/>
      </c>
      <c r="BX182" s="518" t="str">
        <f>IF(AND(_E="A-321",'2024'!$H$4="CA",'2024'!$H$2=BX157),'2024DATA'!$E$27,"")</f>
        <v/>
      </c>
      <c r="BY182" s="518" t="str">
        <f>IF(AND(_E="A-321",'2024'!$H$4="CA",'2024'!$H$2=BY157),'2024DATA'!$F$27,"")</f>
        <v/>
      </c>
      <c r="BZ182" s="518" t="str">
        <f>IF(AND(_E="A-321",'2024'!$H$4="CA",'2024'!$H$2=BZ157),'2024DATA'!$G$27,"")</f>
        <v/>
      </c>
      <c r="CA182" s="518" t="str">
        <f>IF(AND(_E="A-321",'2024'!$H$4="CA",'2024'!$H$2=CA157),'2024DATA'!$H$27,"")</f>
        <v/>
      </c>
      <c r="CB182" s="518" t="str">
        <f>IF(AND(_E="A-321",'2024'!$H$4="CA",'2024'!$H$2=CB157),'2024DATA'!$I$27,"")</f>
        <v/>
      </c>
      <c r="CC182" s="518" t="str">
        <f>IF(AND(_E="A-321",'2024'!$H$4="CA",'2024'!$H$2=CC157),'2024DATA'!$J$27,"")</f>
        <v/>
      </c>
      <c r="CD182" s="518" t="str">
        <f>IF(AND(_E="A-321",'2024'!$H$4="CA",'2024'!$H$2=CD157),'2024DATA'!$K$27,"")</f>
        <v/>
      </c>
      <c r="CE182" s="518" t="str">
        <f>IF(AND(_E="A-321",'2024'!$H$4="CA",'2024'!$H$2=CE157),'2024DATA'!$L$27,"")</f>
        <v/>
      </c>
      <c r="CF182" s="518" t="str">
        <f>IF(AND(_E="A-321",'2024'!$H$4="CA",'2024'!$H$2=CF157),'2024DATA'!$M$27,"")</f>
        <v/>
      </c>
      <c r="CG182" s="520" t="str">
        <f>IF(AND(_E="A-321",'2024'!$H$4="CA",'2024'!$H$2=CG157),'2024DATA'!$N$27,"")</f>
        <v/>
      </c>
      <c r="CH182" s="940" t="s">
        <v>48</v>
      </c>
      <c r="CI182" s="13" t="s">
        <v>61</v>
      </c>
      <c r="CJ182" s="518" t="str">
        <f>IF(AND(_F="A-321",'2024'!$H$4="CA",'2024'!$H$2=CJ157),'2024DATA'!$C$27,"")</f>
        <v/>
      </c>
      <c r="CK182" s="518" t="str">
        <f>IF(AND(_F="A-321",'2024'!$H$4="CA",'2024'!$H$2=CK157),'2024DATA'!$D$27,"")</f>
        <v/>
      </c>
      <c r="CL182" s="518" t="str">
        <f>IF(AND(_F="A-321",'2024'!$H$4="CA",'2024'!$H$2=CL157),'2024DATA'!$E$27,"")</f>
        <v/>
      </c>
      <c r="CM182" s="518" t="str">
        <f>IF(AND(_F="A-321",'2024'!$H$4="CA",'2024'!$H$2=CM157),'2024DATA'!$F$27,"")</f>
        <v/>
      </c>
      <c r="CN182" s="518" t="str">
        <f>IF(AND(_F="A-321",'2024'!$H$4="CA",'2024'!$H$2=CN157),'2024DATA'!$G$27,"")</f>
        <v/>
      </c>
      <c r="CO182" s="518" t="str">
        <f>IF(AND(_F="A-321",'2024'!$H$4="CA",'2024'!$H$2=CO157),'2024DATA'!$H$27,"")</f>
        <v/>
      </c>
      <c r="CP182" s="518" t="str">
        <f>IF(AND(_F="A-321",'2024'!$H$4="CA",'2024'!$H$2=CP157),'2024DATA'!$I$27,"")</f>
        <v/>
      </c>
      <c r="CQ182" s="518" t="str">
        <f>IF(AND(_F="A-321",'2024'!$H$4="CA",'2024'!$H$2=CQ157),'2024DATA'!$J$27,"")</f>
        <v/>
      </c>
      <c r="CR182" s="518" t="str">
        <f>IF(AND(_F="A-321",'2024'!$H$4="CA",'2024'!$H$2=CR157),'2024DATA'!$K$27,"")</f>
        <v/>
      </c>
      <c r="CS182" s="518" t="str">
        <f>IF(AND(_F="A-321",'2024'!$H$4="CA",'2024'!$H$2=CS157),'2024DATA'!$L$27,"")</f>
        <v/>
      </c>
      <c r="CT182" s="518" t="str">
        <f>IF(AND(_F="A-321",'2024'!$H$4="CA",'2024'!$H$2=CT157),'2024DATA'!$M$27,"")</f>
        <v/>
      </c>
      <c r="CU182" s="520" t="str">
        <f>IF(AND(_F="A-321",'2024'!$H$4="CA",'2024'!$H$2=CU157),'2024DATA'!$N$27,"")</f>
        <v/>
      </c>
    </row>
    <row r="183" spans="16:99" x14ac:dyDescent="0.25">
      <c r="P183" s="940"/>
      <c r="Q183" s="13" t="s">
        <v>62</v>
      </c>
      <c r="R183" s="518" t="str">
        <f>IF(AND(_A="A-321",'2024'!$H$4="FO",'2024'!$H$2=R157),'2024DATA'!$C$28,"")</f>
        <v/>
      </c>
      <c r="S183" s="518" t="str">
        <f>IF(AND(_A="A-321",'2024'!$H$4="FO",'2024'!$H$2=S157),'2024DATA'!$D$28,"")</f>
        <v/>
      </c>
      <c r="T183" s="518" t="str">
        <f>IF(AND(_A="A-321",'2024'!$H$4="FO",'2024'!$H$2=T157),'2024DATA'!$E$28,"")</f>
        <v/>
      </c>
      <c r="U183" s="518" t="str">
        <f>IF(AND(_A="A-321",'2024'!$H$4="FO",'2024'!$H$2=U157),'2024DATA'!$F$28,"")</f>
        <v/>
      </c>
      <c r="V183" s="518" t="str">
        <f>IF(AND(_A="A-321",'2024'!$H$4="FO",'2024'!$H$2=V157),'2024DATA'!$G$28,"")</f>
        <v/>
      </c>
      <c r="W183" s="518" t="str">
        <f>IF(AND(_A="A-321",'2024'!$H$4="FO",'2024'!$H$2=W157),'2024DATA'!$H$28,"")</f>
        <v/>
      </c>
      <c r="X183" s="518" t="str">
        <f>IF(AND(_A="A-321",'2024'!$H$4="FO",'2024'!$H$2=X157),'2024DATA'!$I$28,"")</f>
        <v/>
      </c>
      <c r="Y183" s="518" t="str">
        <f>IF(AND(_A="A-321",'2024'!$H$4="FO",'2024'!$H$2=Y157),'2024DATA'!$J$28,"")</f>
        <v/>
      </c>
      <c r="Z183" s="518" t="str">
        <f>IF(AND(_A="A-321",'2024'!$H$4="FO",'2024'!$H$2=Z157),'2024DATA'!$K$28,"")</f>
        <v/>
      </c>
      <c r="AA183" s="518" t="str">
        <f>IF(AND(_A="A-321",'2024'!$H$4="FO",'2024'!$H$2=AA157),'2024DATA'!$L$28,"")</f>
        <v/>
      </c>
      <c r="AB183" s="518" t="str">
        <f>IF(AND(_A="A-321",'2024'!$H$4="FO",'2024'!$H$2=AB157),'2024DATA'!$M$28,"")</f>
        <v/>
      </c>
      <c r="AC183" s="520" t="str">
        <f>IF(AND(_A="A-321",'2024'!$H$4="FO",'2024'!$H$2=AC157),'2024DATA'!$N$28,"")</f>
        <v/>
      </c>
      <c r="AD183" s="940"/>
      <c r="AE183" s="13" t="s">
        <v>62</v>
      </c>
      <c r="AF183" s="518" t="str">
        <f>IF(AND(_B="A-321",'2024'!$H$4="FO",'2024'!$H$2=AF157),'2024DATA'!$C$28,"")</f>
        <v/>
      </c>
      <c r="AG183" s="518" t="str">
        <f>IF(AND(_B="A-321",'2024'!$H$4="FO",'2024'!$H$2=AG157),'2024DATA'!$D$28,"")</f>
        <v/>
      </c>
      <c r="AH183" s="518" t="str">
        <f>IF(AND(_B="A-321",'2024'!$H$4="FO",'2024'!$H$2=AH157),'2024DATA'!$E$28,"")</f>
        <v/>
      </c>
      <c r="AI183" s="518" t="str">
        <f>IF(AND(_B="A-321",'2024'!$H$4="FO",'2024'!$H$2=AI157),'2024DATA'!$F$28,"")</f>
        <v/>
      </c>
      <c r="AJ183" s="518" t="str">
        <f>IF(AND(_B="A-321",'2024'!$H$4="FO",'2024'!$H$2=AJ157),'2024DATA'!$G$28,"")</f>
        <v/>
      </c>
      <c r="AK183" s="518" t="str">
        <f>IF(AND(_B="A-321",'2024'!$H$4="FO",'2024'!$H$2=AK157),'2024DATA'!$H$28,"")</f>
        <v/>
      </c>
      <c r="AL183" s="518" t="str">
        <f>IF(AND(_B="A-321",'2024'!$H$4="FO",'2024'!$H$2=AL157),'2024DATA'!$I$28,"")</f>
        <v/>
      </c>
      <c r="AM183" s="518" t="str">
        <f>IF(AND(_B="A-321",'2024'!$H$4="FO",'2024'!$H$2=AM157),'2024DATA'!$J$28,"")</f>
        <v/>
      </c>
      <c r="AN183" s="518" t="str">
        <f>IF(AND(_B="A-321",'2024'!$H$4="FO",'2024'!$H$2=AN157),'2024DATA'!$K$28,"")</f>
        <v/>
      </c>
      <c r="AO183" s="518" t="str">
        <f>IF(AND(_B="A-321",'2024'!$H$4="FO",'2024'!$H$2=AO157),'2024DATA'!$L$28,"")</f>
        <v/>
      </c>
      <c r="AP183" s="518" t="str">
        <f>IF(AND(_B="A-321",'2024'!$H$4="FO",'2024'!$H$2=AP157),'2024DATA'!$M$28,"")</f>
        <v/>
      </c>
      <c r="AQ183" s="520" t="str">
        <f>IF(AND(_B="A-321",'2024'!$H$4="FO",'2024'!$H$2=AQ157),'2024DATA'!$N$28,"")</f>
        <v/>
      </c>
      <c r="AR183" s="940"/>
      <c r="AS183" s="13" t="s">
        <v>62</v>
      </c>
      <c r="AT183" s="518" t="str">
        <f>IF(AND(_C="A-321",'2024'!$H$4="FO",'2024'!$H$2=AT157),'2024DATA'!$C$28,"")</f>
        <v/>
      </c>
      <c r="AU183" s="518" t="str">
        <f>IF(AND(_C="A-321",'2024'!$H$4="FO",'2024'!$H$2=AU157),'2024DATA'!$D$28,"")</f>
        <v/>
      </c>
      <c r="AV183" s="518" t="str">
        <f>IF(AND(_C="A-321",'2024'!$H$4="FO",'2024'!$H$2=AV157),'2024DATA'!$E$28,"")</f>
        <v/>
      </c>
      <c r="AW183" s="518" t="str">
        <f>IF(AND(_C="A-321",'2024'!$H$4="FO",'2024'!$H$2=AW157),'2024DATA'!$F$28,"")</f>
        <v/>
      </c>
      <c r="AX183" s="518" t="str">
        <f>IF(AND(_C="A-321",'2024'!$H$4="FO",'2024'!$H$2=AX157),'2024DATA'!$G$28,"")</f>
        <v/>
      </c>
      <c r="AY183" s="518" t="str">
        <f>IF(AND(_C="A-321",'2024'!$H$4="FO",'2024'!$H$2=AY157),'2024DATA'!$H$28,"")</f>
        <v/>
      </c>
      <c r="AZ183" s="518" t="str">
        <f>IF(AND(_C="A-321",'2024'!$H$4="FO",'2024'!$H$2=AZ157),'2024DATA'!$I$28,"")</f>
        <v/>
      </c>
      <c r="BA183" s="518" t="str">
        <f>IF(AND(_C="A-321",'2024'!$H$4="FO",'2024'!$H$2=BA157),'2024DATA'!$J$28,"")</f>
        <v/>
      </c>
      <c r="BB183" s="518" t="str">
        <f>IF(AND(_C="A-321",'2024'!$H$4="FO",'2024'!$H$2=BB157),'2024DATA'!$K$28,"")</f>
        <v/>
      </c>
      <c r="BC183" s="518" t="str">
        <f>IF(AND(_C="A-321",'2024'!$H$4="FO",'2024'!$H$2=BC157),'2024DATA'!$L$28,"")</f>
        <v/>
      </c>
      <c r="BD183" s="518" t="str">
        <f>IF(AND(_C="A-321",'2024'!$H$4="FO",'2024'!$H$2=BD157),'2024DATA'!$M$28,"")</f>
        <v/>
      </c>
      <c r="BE183" s="520" t="str">
        <f>IF(AND(_C="A-321",'2024'!$H$4="FO",'2024'!$H$2=BE157),'2024DATA'!$N$28,"")</f>
        <v/>
      </c>
      <c r="BF183" s="940"/>
      <c r="BG183" s="13" t="s">
        <v>62</v>
      </c>
      <c r="BH183" s="518" t="str">
        <f>IF(AND(_D="A-321",'2024'!$H$4="FO",'2024'!$H$2=BH157),'2024DATA'!$C$28,"")</f>
        <v/>
      </c>
      <c r="BI183" s="518" t="str">
        <f>IF(AND(_D="A-321",'2024'!$H$4="FO",'2024'!$H$2=BI157),'2024DATA'!$D$28,"")</f>
        <v/>
      </c>
      <c r="BJ183" s="518" t="str">
        <f>IF(AND(_D="A-321",'2024'!$H$4="FO",'2024'!$H$2=BJ157),'2024DATA'!$E$28,"")</f>
        <v/>
      </c>
      <c r="BK183" s="518" t="str">
        <f>IF(AND(_D="A-321",'2024'!$H$4="FO",'2024'!$H$2=BK157),'2024DATA'!$F$28,"")</f>
        <v/>
      </c>
      <c r="BL183" s="518" t="str">
        <f>IF(AND(_D="A-321",'2024'!$H$4="FO",'2024'!$H$2=BL157),'2024DATA'!$G$28,"")</f>
        <v/>
      </c>
      <c r="BM183" s="518" t="str">
        <f>IF(AND(_D="A-321",'2024'!$H$4="FO",'2024'!$H$2=BM157),'2024DATA'!$H$28,"")</f>
        <v/>
      </c>
      <c r="BN183" s="518" t="str">
        <f>IF(AND(_D="A-321",'2024'!$H$4="FO",'2024'!$H$2=BN157),'2024DATA'!$I$28,"")</f>
        <v/>
      </c>
      <c r="BO183" s="518" t="str">
        <f>IF(AND(_D="A-321",'2024'!$H$4="FO",'2024'!$H$2=BO157),'2024DATA'!$J$28,"")</f>
        <v/>
      </c>
      <c r="BP183" s="518" t="str">
        <f>IF(AND(_D="A-321",'2024'!$H$4="FO",'2024'!$H$2=BP157),'2024DATA'!$K$28,"")</f>
        <v/>
      </c>
      <c r="BQ183" s="518" t="str">
        <f>IF(AND(_D="A-321",'2024'!$H$4="FO",'2024'!$H$2=BQ157),'2024DATA'!$L$28,"")</f>
        <v/>
      </c>
      <c r="BR183" s="518" t="str">
        <f>IF(AND(_D="A-321",'2024'!$H$4="FO",'2024'!$H$2=BR157),'2024DATA'!$M$28,"")</f>
        <v/>
      </c>
      <c r="BS183" s="520" t="str">
        <f>IF(AND(_D="A-321",'2024'!$H$4="FO",'2024'!$H$2=BS157),'2024DATA'!$N$28,"")</f>
        <v/>
      </c>
      <c r="BT183" s="940"/>
      <c r="BU183" s="13" t="s">
        <v>62</v>
      </c>
      <c r="BV183" s="518" t="str">
        <f>IF(AND(_E="A-321",'2024'!$H$4="FO",'2024'!$H$2=BV157),'2024DATA'!$C$28,"")</f>
        <v/>
      </c>
      <c r="BW183" s="518" t="str">
        <f>IF(AND(_E="A-321",'2024'!$H$4="FO",'2024'!$H$2=BW157),'2024DATA'!$D$28,"")</f>
        <v/>
      </c>
      <c r="BX183" s="518" t="str">
        <f>IF(AND(_E="A-321",'2024'!$H$4="FO",'2024'!$H$2=BX157),'2024DATA'!$E$28,"")</f>
        <v/>
      </c>
      <c r="BY183" s="518" t="str">
        <f>IF(AND(_E="A-321",'2024'!$H$4="FO",'2024'!$H$2=BY157),'2024DATA'!$F$28,"")</f>
        <v/>
      </c>
      <c r="BZ183" s="518" t="str">
        <f>IF(AND(_E="A-321",'2024'!$H$4="FO",'2024'!$H$2=BZ157),'2024DATA'!$G$28,"")</f>
        <v/>
      </c>
      <c r="CA183" s="518" t="str">
        <f>IF(AND(_E="A-321",'2024'!$H$4="FO",'2024'!$H$2=CA157),'2024DATA'!$H$28,"")</f>
        <v/>
      </c>
      <c r="CB183" s="518" t="str">
        <f>IF(AND(_E="A-321",'2024'!$H$4="FO",'2024'!$H$2=CB157),'2024DATA'!$I$28,"")</f>
        <v/>
      </c>
      <c r="CC183" s="518" t="str">
        <f>IF(AND(_E="A-321",'2024'!$H$4="FO",'2024'!$H$2=CC157),'2024DATA'!$J$28,"")</f>
        <v/>
      </c>
      <c r="CD183" s="518" t="str">
        <f>IF(AND(_E="A-321",'2024'!$H$4="FO",'2024'!$H$2=CD157),'2024DATA'!$K$28,"")</f>
        <v/>
      </c>
      <c r="CE183" s="518" t="str">
        <f>IF(AND(_E="A-321",'2024'!$H$4="FO",'2024'!$H$2=CE157),'2024DATA'!$L$28,"")</f>
        <v/>
      </c>
      <c r="CF183" s="518" t="str">
        <f>IF(AND(_E="A-321",'2024'!$H$4="FO",'2024'!$H$2=CF157),'2024DATA'!$M$28,"")</f>
        <v/>
      </c>
      <c r="CG183" s="520" t="str">
        <f>IF(AND(_E="A-321",'2024'!$H$4="FO",'2024'!$H$2=CG157),'2024DATA'!$N$28,"")</f>
        <v/>
      </c>
      <c r="CH183" s="940"/>
      <c r="CI183" s="13" t="s">
        <v>62</v>
      </c>
      <c r="CJ183" s="518" t="str">
        <f>IF(AND(_F="A-321",'2024'!$H$4="FO",'2024'!$H$2=CJ157),'2024DATA'!$C$28,"")</f>
        <v/>
      </c>
      <c r="CK183" s="518" t="str">
        <f>IF(AND(_F="A-321",'2024'!$H$4="FO",'2024'!$H$2=CK157),'2024DATA'!$D$28,"")</f>
        <v/>
      </c>
      <c r="CL183" s="518" t="str">
        <f>IF(AND(_F="A-321",'2024'!$H$4="FO",'2024'!$H$2=CL157),'2024DATA'!$E$28,"")</f>
        <v/>
      </c>
      <c r="CM183" s="518" t="str">
        <f>IF(AND(_F="A-321",'2024'!$H$4="FO",'2024'!$H$2=CM157),'2024DATA'!$F$28,"")</f>
        <v/>
      </c>
      <c r="CN183" s="518" t="str">
        <f>IF(AND(_F="A-321",'2024'!$H$4="FO",'2024'!$H$2=CN157),'2024DATA'!$G$28,"")</f>
        <v/>
      </c>
      <c r="CO183" s="518" t="str">
        <f>IF(AND(_F="A-321",'2024'!$H$4="FO",'2024'!$H$2=CO157),'2024DATA'!$H$28,"")</f>
        <v/>
      </c>
      <c r="CP183" s="518" t="str">
        <f>IF(AND(_F="A-321",'2024'!$H$4="FO",'2024'!$H$2=CP157),'2024DATA'!$I$28,"")</f>
        <v/>
      </c>
      <c r="CQ183" s="518" t="str">
        <f>IF(AND(_F="A-321",'2024'!$H$4="FO",'2024'!$H$2=CQ157),'2024DATA'!$J$28,"")</f>
        <v/>
      </c>
      <c r="CR183" s="518" t="str">
        <f>IF(AND(_F="A-321",'2024'!$H$4="FO",'2024'!$H$2=CR157),'2024DATA'!$K$28,"")</f>
        <v/>
      </c>
      <c r="CS183" s="518" t="str">
        <f>IF(AND(_F="A-321",'2024'!$H$4="FO",'2024'!$H$2=CS157),'2024DATA'!$L$28,"")</f>
        <v/>
      </c>
      <c r="CT183" s="518" t="str">
        <f>IF(AND(_F="A-321",'2024'!$H$4="FO",'2024'!$H$2=CT157),'2024DATA'!$M$28,"")</f>
        <v/>
      </c>
      <c r="CU183" s="520" t="str">
        <f>IF(AND(_F="A-321",'2024'!$H$4="FO",'2024'!$H$2=CU157),'2024DATA'!$N$28,"")</f>
        <v/>
      </c>
    </row>
    <row r="184" spans="16:99" x14ac:dyDescent="0.25">
      <c r="P184" s="940" t="s">
        <v>70</v>
      </c>
      <c r="Q184" s="13" t="s">
        <v>61</v>
      </c>
      <c r="R184" s="518" t="str">
        <f>IF(AND(_A="A-320",'2024'!$H$4="CA",'2024'!$H$2=R157),'2024DATA'!$C$29,"")</f>
        <v/>
      </c>
      <c r="S184" s="518" t="str">
        <f>IF(AND(_A="A-320",'2024'!$H$4="CA",'2024'!$H$2=S157),'2024DATA'!$D$29,"")</f>
        <v/>
      </c>
      <c r="T184" s="518" t="str">
        <f>IF(AND(_A="A-320",'2024'!$H$4="CA",'2024'!$H$2=T157),'2024DATA'!$E$29,"")</f>
        <v/>
      </c>
      <c r="U184" s="518" t="str">
        <f>IF(AND(_A="A-320",'2024'!$H$4="CA",'2024'!$H$2=U157),'2024DATA'!$F$29,"")</f>
        <v/>
      </c>
      <c r="V184" s="518" t="str">
        <f>IF(AND(_A="A-320",'2024'!$H$4="CA",'2024'!$H$2=V157),'2024DATA'!$G$29,"")</f>
        <v/>
      </c>
      <c r="W184" s="518" t="str">
        <f>IF(AND(_A="A-320",'2024'!$H$4="CA",'2024'!$H$2=W157),'2024DATA'!$H$29,"")</f>
        <v/>
      </c>
      <c r="X184" s="518" t="str">
        <f>IF(AND(_A="A-320",'2024'!$H$4="CA",'2024'!$H$2=X157),'2024DATA'!$I$29,"")</f>
        <v/>
      </c>
      <c r="Y184" s="518" t="str">
        <f>IF(AND(_A="A-320",'2024'!$H$4="CA",'2024'!$H$2=Y157),'2024DATA'!$J$29,"")</f>
        <v/>
      </c>
      <c r="Z184" s="518" t="str">
        <f>IF(AND(_A="A-320",'2024'!$H$4="CA",'2024'!$H$2=Z157),'2024DATA'!$K$29,"")</f>
        <v/>
      </c>
      <c r="AA184" s="518" t="str">
        <f>IF(AND(_A="A-320",'2024'!$H$4="CA",'2024'!$H$2=AA157),'2024DATA'!$L$29,"")</f>
        <v/>
      </c>
      <c r="AB184" s="518" t="str">
        <f>IF(AND(_A="A-320",'2024'!$H$4="CA",'2024'!$H$2=AB157),'2024DATA'!$M$29,"")</f>
        <v/>
      </c>
      <c r="AC184" s="520" t="str">
        <f>IF(AND(_A="A-320",'2024'!$H$4="CA",'2024'!$H$2=AC157),'2024DATA'!$N$29,"")</f>
        <v/>
      </c>
      <c r="AD184" s="940" t="s">
        <v>70</v>
      </c>
      <c r="AE184" s="13" t="s">
        <v>61</v>
      </c>
      <c r="AF184" s="518" t="str">
        <f>IF(AND(_B="A-320",'2024'!$H$4="CA",'2024'!$H$2=AF157),'2024DATA'!$C$29,"")</f>
        <v/>
      </c>
      <c r="AG184" s="518" t="str">
        <f>IF(AND(_B="A-320",'2024'!$H$4="CA",'2024'!$H$2=AG157),'2024DATA'!$D$29,"")</f>
        <v/>
      </c>
      <c r="AH184" s="518" t="str">
        <f>IF(AND(_B="A-320",'2024'!$H$4="CA",'2024'!$H$2=AH157),'2024DATA'!$E$29,"")</f>
        <v/>
      </c>
      <c r="AI184" s="518" t="str">
        <f>IF(AND(_B="A-320",'2024'!$H$4="CA",'2024'!$H$2=AI157),'2024DATA'!$F$29,"")</f>
        <v/>
      </c>
      <c r="AJ184" s="518" t="str">
        <f>IF(AND(_B="A-320",'2024'!$H$4="CA",'2024'!$H$2=AJ157),'2024DATA'!$G$29,"")</f>
        <v/>
      </c>
      <c r="AK184" s="518" t="str">
        <f>IF(AND(_B="A-320",'2024'!$H$4="CA",'2024'!$H$2=AK157),'2024DATA'!$H$29,"")</f>
        <v/>
      </c>
      <c r="AL184" s="518" t="str">
        <f>IF(AND(_B="A-320",'2024'!$H$4="CA",'2024'!$H$2=AL157),'2024DATA'!$I$29,"")</f>
        <v/>
      </c>
      <c r="AM184" s="518" t="str">
        <f>IF(AND(_B="A-320",'2024'!$H$4="CA",'2024'!$H$2=AM157),'2024DATA'!$J$29,"")</f>
        <v/>
      </c>
      <c r="AN184" s="518" t="str">
        <f>IF(AND(_B="A-320",'2024'!$H$4="CA",'2024'!$H$2=AN157),'2024DATA'!$K$29,"")</f>
        <v/>
      </c>
      <c r="AO184" s="518" t="str">
        <f>IF(AND(_B="A-320",'2024'!$H$4="CA",'2024'!$H$2=AO157),'2024DATA'!$L$29,"")</f>
        <v/>
      </c>
      <c r="AP184" s="518" t="str">
        <f>IF(AND(_B="A-320",'2024'!$H$4="CA",'2024'!$H$2=AP157),'2024DATA'!$M$29,"")</f>
        <v/>
      </c>
      <c r="AQ184" s="520" t="str">
        <f>IF(AND(_B="A-320",'2024'!$H$4="CA",'2024'!$H$2=AQ157),'2024DATA'!$N$29,"")</f>
        <v/>
      </c>
      <c r="AR184" s="940" t="s">
        <v>70</v>
      </c>
      <c r="AS184" s="13" t="s">
        <v>61</v>
      </c>
      <c r="AT184" s="518" t="str">
        <f>IF(AND(_C="A-320",'2024'!$H$4="CA",'2024'!$H$2=AT157),'2024DATA'!$C$29,"")</f>
        <v/>
      </c>
      <c r="AU184" s="518" t="str">
        <f>IF(AND(_C="A-320",'2024'!$H$4="CA",'2024'!$H$2=AU157),'2024DATA'!$D$29,"")</f>
        <v/>
      </c>
      <c r="AV184" s="518" t="str">
        <f>IF(AND(_C="A-320",'2024'!$H$4="CA",'2024'!$H$2=AV157),'2024DATA'!$E$29,"")</f>
        <v/>
      </c>
      <c r="AW184" s="518" t="str">
        <f>IF(AND(_C="A-320",'2024'!$H$4="CA",'2024'!$H$2=AW157),'2024DATA'!$F$29,"")</f>
        <v/>
      </c>
      <c r="AX184" s="518" t="str">
        <f>IF(AND(_C="A-320",'2024'!$H$4="CA",'2024'!$H$2=AX157),'2024DATA'!$G$29,"")</f>
        <v/>
      </c>
      <c r="AY184" s="518" t="str">
        <f>IF(AND(_C="A-320",'2024'!$H$4="CA",'2024'!$H$2=AY157),'2024DATA'!$H$29,"")</f>
        <v/>
      </c>
      <c r="AZ184" s="518" t="str">
        <f>IF(AND(_C="A-320",'2024'!$H$4="CA",'2024'!$H$2=AZ157),'2024DATA'!$I$29,"")</f>
        <v/>
      </c>
      <c r="BA184" s="518" t="str">
        <f>IF(AND(_C="A-320",'2024'!$H$4="CA",'2024'!$H$2=BA157),'2024DATA'!$J$29,"")</f>
        <v/>
      </c>
      <c r="BB184" s="518" t="str">
        <f>IF(AND(_C="A-320",'2024'!$H$4="CA",'2024'!$H$2=BB157),'2024DATA'!$K$29,"")</f>
        <v/>
      </c>
      <c r="BC184" s="518" t="str">
        <f>IF(AND(_C="A-320",'2024'!$H$4="CA",'2024'!$H$2=BC157),'2024DATA'!$L$29,"")</f>
        <v/>
      </c>
      <c r="BD184" s="518" t="str">
        <f>IF(AND(_C="A-320",'2024'!$H$4="CA",'2024'!$H$2=BD157),'2024DATA'!$M$29,"")</f>
        <v/>
      </c>
      <c r="BE184" s="520" t="str">
        <f>IF(AND(_C="A-320",'2024'!$H$4="CA",'2024'!$H$2=BE157),'2024DATA'!$N$29,"")</f>
        <v/>
      </c>
      <c r="BF184" s="940" t="s">
        <v>70</v>
      </c>
      <c r="BG184" s="13" t="s">
        <v>61</v>
      </c>
      <c r="BH184" s="518" t="str">
        <f>IF(AND(_D="A-320",'2024'!$H$4="CA",'2024'!$H$2=BH157),'2024DATA'!$C$29,"")</f>
        <v/>
      </c>
      <c r="BI184" s="518" t="str">
        <f>IF(AND(_D="A-320",'2024'!$H$4="CA",'2024'!$H$2=BI157),'2024DATA'!$D$29,"")</f>
        <v/>
      </c>
      <c r="BJ184" s="518" t="str">
        <f>IF(AND(_D="A-320",'2024'!$H$4="CA",'2024'!$H$2=BJ157),'2024DATA'!$E$29,"")</f>
        <v/>
      </c>
      <c r="BK184" s="518" t="str">
        <f>IF(AND(_D="A-320",'2024'!$H$4="CA",'2024'!$H$2=BK157),'2024DATA'!$F$29,"")</f>
        <v/>
      </c>
      <c r="BL184" s="518" t="str">
        <f>IF(AND(_D="A-320",'2024'!$H$4="CA",'2024'!$H$2=BL157),'2024DATA'!$G$29,"")</f>
        <v/>
      </c>
      <c r="BM184" s="518" t="str">
        <f>IF(AND(_D="A-320",'2024'!$H$4="CA",'2024'!$H$2=BM157),'2024DATA'!$H$29,"")</f>
        <v/>
      </c>
      <c r="BN184" s="518" t="str">
        <f>IF(AND(_D="A-320",'2024'!$H$4="CA",'2024'!$H$2=BN157),'2024DATA'!$I$29,"")</f>
        <v/>
      </c>
      <c r="BO184" s="518" t="str">
        <f>IF(AND(_D="A-320",'2024'!$H$4="CA",'2024'!$H$2=BO157),'2024DATA'!$J$29,"")</f>
        <v/>
      </c>
      <c r="BP184" s="518" t="str">
        <f>IF(AND(_D="A-320",'2024'!$H$4="CA",'2024'!$H$2=BP157),'2024DATA'!$K$29,"")</f>
        <v/>
      </c>
      <c r="BQ184" s="518" t="str">
        <f>IF(AND(_D="A-320",'2024'!$H$4="CA",'2024'!$H$2=BQ157),'2024DATA'!$L$29,"")</f>
        <v/>
      </c>
      <c r="BR184" s="518" t="str">
        <f>IF(AND(_D="A-320",'2024'!$H$4="CA",'2024'!$H$2=BR157),'2024DATA'!$M$29,"")</f>
        <v/>
      </c>
      <c r="BS184" s="520" t="str">
        <f>IF(AND(_D="A-320",'2024'!$H$4="CA",'2024'!$H$2=BS157),'2024DATA'!$N$29,"")</f>
        <v/>
      </c>
      <c r="BT184" s="940" t="s">
        <v>70</v>
      </c>
      <c r="BU184" s="13" t="s">
        <v>61</v>
      </c>
      <c r="BV184" s="518" t="str">
        <f>IF(AND(_E="A-320",'2024'!$H$4="CA",'2024'!$H$2=BV157),'2024DATA'!$C$29,"")</f>
        <v/>
      </c>
      <c r="BW184" s="518" t="str">
        <f>IF(AND(_E="A-320",'2024'!$H$4="CA",'2024'!$H$2=BW157),'2024DATA'!$D$29,"")</f>
        <v/>
      </c>
      <c r="BX184" s="518" t="str">
        <f>IF(AND(_E="A-320",'2024'!$H$4="CA",'2024'!$H$2=BX157),'2024DATA'!$E$29,"")</f>
        <v/>
      </c>
      <c r="BY184" s="518" t="str">
        <f>IF(AND(_E="A-320",'2024'!$H$4="CA",'2024'!$H$2=BY157),'2024DATA'!$F$29,"")</f>
        <v/>
      </c>
      <c r="BZ184" s="518" t="str">
        <f>IF(AND(_E="A-320",'2024'!$H$4="CA",'2024'!$H$2=BZ157),'2024DATA'!$G$29,"")</f>
        <v/>
      </c>
      <c r="CA184" s="518" t="str">
        <f>IF(AND(_E="A-320",'2024'!$H$4="CA",'2024'!$H$2=CA157),'2024DATA'!$H$29,"")</f>
        <v/>
      </c>
      <c r="CB184" s="518" t="str">
        <f>IF(AND(_E="A-320",'2024'!$H$4="CA",'2024'!$H$2=CB157),'2024DATA'!$I$29,"")</f>
        <v/>
      </c>
      <c r="CC184" s="518" t="str">
        <f>IF(AND(_E="A-320",'2024'!$H$4="CA",'2024'!$H$2=CC157),'2024DATA'!$J$29,"")</f>
        <v/>
      </c>
      <c r="CD184" s="518" t="str">
        <f>IF(AND(_E="A-320",'2024'!$H$4="CA",'2024'!$H$2=CD157),'2024DATA'!$K$29,"")</f>
        <v/>
      </c>
      <c r="CE184" s="518" t="str">
        <f>IF(AND(_E="A-320",'2024'!$H$4="CA",'2024'!$H$2=CE157),'2024DATA'!$L$29,"")</f>
        <v/>
      </c>
      <c r="CF184" s="518" t="str">
        <f>IF(AND(_E="A-320",'2024'!$H$4="CA",'2024'!$H$2=CF157),'2024DATA'!$M$29,"")</f>
        <v/>
      </c>
      <c r="CG184" s="520" t="str">
        <f>IF(AND(_E="A-320",'2024'!$H$4="CA",'2024'!$H$2=CG157),'2024DATA'!$N$29,"")</f>
        <v/>
      </c>
      <c r="CH184" s="940" t="s">
        <v>70</v>
      </c>
      <c r="CI184" s="13" t="s">
        <v>61</v>
      </c>
      <c r="CJ184" s="518" t="str">
        <f>IF(AND(_F="A-320",'2024'!$H$4="CA",'2024'!$H$2=CJ157),'2024DATA'!$C$29,"")</f>
        <v/>
      </c>
      <c r="CK184" s="518" t="str">
        <f>IF(AND(_F="A-320",'2024'!$H$4="CA",'2024'!$H$2=CK157),'2024DATA'!$D$29,"")</f>
        <v/>
      </c>
      <c r="CL184" s="518" t="str">
        <f>IF(AND(_F="A-320",'2024'!$H$4="CA",'2024'!$H$2=CL157),'2024DATA'!$E$29,"")</f>
        <v/>
      </c>
      <c r="CM184" s="518" t="str">
        <f>IF(AND(_F="A-320",'2024'!$H$4="CA",'2024'!$H$2=CM157),'2024DATA'!$F$29,"")</f>
        <v/>
      </c>
      <c r="CN184" s="518" t="str">
        <f>IF(AND(_F="A-320",'2024'!$H$4="CA",'2024'!$H$2=CN157),'2024DATA'!$G$29,"")</f>
        <v/>
      </c>
      <c r="CO184" s="518" t="str">
        <f>IF(AND(_F="A-320",'2024'!$H$4="CA",'2024'!$H$2=CO157),'2024DATA'!$H$29,"")</f>
        <v/>
      </c>
      <c r="CP184" s="518" t="str">
        <f>IF(AND(_F="A-320",'2024'!$H$4="CA",'2024'!$H$2=CP157),'2024DATA'!$I$29,"")</f>
        <v/>
      </c>
      <c r="CQ184" s="518" t="str">
        <f>IF(AND(_F="A-320",'2024'!$H$4="CA",'2024'!$H$2=CQ157),'2024DATA'!$J$29,"")</f>
        <v/>
      </c>
      <c r="CR184" s="518" t="str">
        <f>IF(AND(_F="A-320",'2024'!$H$4="CA",'2024'!$H$2=CR157),'2024DATA'!$K$29,"")</f>
        <v/>
      </c>
      <c r="CS184" s="518" t="str">
        <f>IF(AND(_F="A-320",'2024'!$H$4="CA",'2024'!$H$2=CS157),'2024DATA'!$L$29,"")</f>
        <v/>
      </c>
      <c r="CT184" s="518" t="str">
        <f>IF(AND(_F="A-320",'2024'!$H$4="CA",'2024'!$H$2=CT157),'2024DATA'!$M$29,"")</f>
        <v/>
      </c>
      <c r="CU184" s="520" t="str">
        <f>IF(AND(_F="A-320",'2024'!$H$4="CA",'2024'!$H$2=CU157),'2024DATA'!$N$29,"")</f>
        <v/>
      </c>
    </row>
    <row r="185" spans="16:99" x14ac:dyDescent="0.25">
      <c r="P185" s="940"/>
      <c r="Q185" s="13" t="s">
        <v>62</v>
      </c>
      <c r="R185" s="518" t="str">
        <f>IF(AND(_A="A-320",'2024'!$H$4="FO",'2024'!$H$2=R157),'2024DATA'!$C$30,"")</f>
        <v/>
      </c>
      <c r="S185" s="518" t="str">
        <f>IF(AND(_A="A-320",'2024'!$H$4="FO",'2024'!$H$2=S157),'2024DATA'!$D$30,"")</f>
        <v/>
      </c>
      <c r="T185" s="518" t="str">
        <f>IF(AND(_A="A-320",'2024'!$H$4="FO",'2024'!$H$2=T157),'2024DATA'!$E$30,"")</f>
        <v/>
      </c>
      <c r="U185" s="518" t="str">
        <f>IF(AND(_A="A-320",'2024'!$H$4="FO",'2024'!$H$2=U157),'2024DATA'!$F$30,"")</f>
        <v/>
      </c>
      <c r="V185" s="518" t="str">
        <f>IF(AND(_A="A-320",'2024'!$H$4="FO",'2024'!$H$2=V157),'2024DATA'!$G$30,"")</f>
        <v/>
      </c>
      <c r="W185" s="518" t="str">
        <f>IF(AND(_A="A-320",'2024'!$H$4="FO",'2024'!$H$2=W157),'2024DATA'!$H$30,"")</f>
        <v/>
      </c>
      <c r="X185" s="518" t="str">
        <f>IF(AND(_A="A-320",'2024'!$H$4="FO",'2024'!$H$2=X157),'2024DATA'!$I$30,"")</f>
        <v/>
      </c>
      <c r="Y185" s="518" t="str">
        <f>IF(AND(_A="A-320",'2024'!$H$4="FO",'2024'!$H$2=Y157),'2024DATA'!$J$30,"")</f>
        <v/>
      </c>
      <c r="Z185" s="518" t="str">
        <f>IF(AND(_A="A-320",'2024'!$H$4="FO",'2024'!$H$2=Z157),'2024DATA'!$K$30,"")</f>
        <v/>
      </c>
      <c r="AA185" s="518" t="str">
        <f>IF(AND(_A="A-320",'2024'!$H$4="FO",'2024'!$H$2=AA157),'2024DATA'!$L$30,"")</f>
        <v/>
      </c>
      <c r="AB185" s="518" t="str">
        <f>IF(AND(_A="A-320",'2024'!$H$4="FO",'2024'!$H$2=AB157),'2024DATA'!$M$30,"")</f>
        <v/>
      </c>
      <c r="AC185" s="520" t="str">
        <f>IF(AND(_A="A-320",'2024'!$H$4="FO",'2024'!$H$2=AC157),'2024DATA'!$N$30,"")</f>
        <v/>
      </c>
      <c r="AD185" s="940"/>
      <c r="AE185" s="13" t="s">
        <v>62</v>
      </c>
      <c r="AF185" s="518" t="str">
        <f>IF(AND(_B="A-320",'2024'!$H$4="FO",'2024'!$H$2=AF157),'2024DATA'!$C$30,"")</f>
        <v/>
      </c>
      <c r="AG185" s="518" t="str">
        <f>IF(AND(_B="A-320",'2024'!$H$4="FO",'2024'!$H$2=AG157),'2024DATA'!$D$30,"")</f>
        <v/>
      </c>
      <c r="AH185" s="518" t="str">
        <f>IF(AND(_B="A-320",'2024'!$H$4="FO",'2024'!$H$2=AH157),'2024DATA'!$E$30,"")</f>
        <v/>
      </c>
      <c r="AI185" s="518" t="str">
        <f>IF(AND(_B="A-320",'2024'!$H$4="FO",'2024'!$H$2=AI157),'2024DATA'!$F$30,"")</f>
        <v/>
      </c>
      <c r="AJ185" s="518" t="str">
        <f>IF(AND(_B="A-320",'2024'!$H$4="FO",'2024'!$H$2=AJ157),'2024DATA'!$G$30,"")</f>
        <v/>
      </c>
      <c r="AK185" s="518" t="str">
        <f>IF(AND(_B="A-320",'2024'!$H$4="FO",'2024'!$H$2=AK157),'2024DATA'!$H$30,"")</f>
        <v/>
      </c>
      <c r="AL185" s="518" t="str">
        <f>IF(AND(_B="A-320",'2024'!$H$4="FO",'2024'!$H$2=AL157),'2024DATA'!$I$30,"")</f>
        <v/>
      </c>
      <c r="AM185" s="518" t="str">
        <f>IF(AND(_B="A-320",'2024'!$H$4="FO",'2024'!$H$2=AM157),'2024DATA'!$J$30,"")</f>
        <v/>
      </c>
      <c r="AN185" s="518" t="str">
        <f>IF(AND(_B="A-320",'2024'!$H$4="FO",'2024'!$H$2=AN157),'2024DATA'!$K$30,"")</f>
        <v/>
      </c>
      <c r="AO185" s="518" t="str">
        <f>IF(AND(_B="A-320",'2024'!$H$4="FO",'2024'!$H$2=AO157),'2024DATA'!$L$30,"")</f>
        <v/>
      </c>
      <c r="AP185" s="518" t="str">
        <f>IF(AND(_B="A-320",'2024'!$H$4="FO",'2024'!$H$2=AP157),'2024DATA'!$M$30,"")</f>
        <v/>
      </c>
      <c r="AQ185" s="520" t="str">
        <f>IF(AND(_B="A-320",'2024'!$H$4="FO",'2024'!$H$2=AQ157),'2024DATA'!$N$30,"")</f>
        <v/>
      </c>
      <c r="AR185" s="940"/>
      <c r="AS185" s="13" t="s">
        <v>62</v>
      </c>
      <c r="AT185" s="518" t="str">
        <f>IF(AND(_C="A-320",'2024'!$H$4="FO",'2024'!$H$2=AT157),'2024DATA'!$C$30,"")</f>
        <v/>
      </c>
      <c r="AU185" s="518" t="str">
        <f>IF(AND(_C="A-320",'2024'!$H$4="FO",'2024'!$H$2=AU157),'2024DATA'!$D$30,"")</f>
        <v/>
      </c>
      <c r="AV185" s="518" t="str">
        <f>IF(AND(_C="A-320",'2024'!$H$4="FO",'2024'!$H$2=AV157),'2024DATA'!$E$30,"")</f>
        <v/>
      </c>
      <c r="AW185" s="518" t="str">
        <f>IF(AND(_C="A-320",'2024'!$H$4="FO",'2024'!$H$2=AW157),'2024DATA'!$F$30,"")</f>
        <v/>
      </c>
      <c r="AX185" s="518" t="str">
        <f>IF(AND(_C="A-320",'2024'!$H$4="FO",'2024'!$H$2=AX157),'2024DATA'!$G$30,"")</f>
        <v/>
      </c>
      <c r="AY185" s="518" t="str">
        <f>IF(AND(_C="A-320",'2024'!$H$4="FO",'2024'!$H$2=AY157),'2024DATA'!$H$30,"")</f>
        <v/>
      </c>
      <c r="AZ185" s="518" t="str">
        <f>IF(AND(_C="A-320",'2024'!$H$4="FO",'2024'!$H$2=AZ157),'2024DATA'!$I$30,"")</f>
        <v/>
      </c>
      <c r="BA185" s="518" t="str">
        <f>IF(AND(_C="A-320",'2024'!$H$4="FO",'2024'!$H$2=BA157),'2024DATA'!$J$30,"")</f>
        <v/>
      </c>
      <c r="BB185" s="518" t="str">
        <f>IF(AND(_C="A-320",'2024'!$H$4="FO",'2024'!$H$2=BB157),'2024DATA'!$K$30,"")</f>
        <v/>
      </c>
      <c r="BC185" s="518" t="str">
        <f>IF(AND(_C="A-320",'2024'!$H$4="FO",'2024'!$H$2=BC157),'2024DATA'!$L$30,"")</f>
        <v/>
      </c>
      <c r="BD185" s="518" t="str">
        <f>IF(AND(_C="A-320",'2024'!$H$4="FO",'2024'!$H$2=BD157),'2024DATA'!$M$30,"")</f>
        <v/>
      </c>
      <c r="BE185" s="520" t="str">
        <f>IF(AND(_C="A-320",'2024'!$H$4="FO",'2024'!$H$2=BE157),'2024DATA'!$N$30,"")</f>
        <v/>
      </c>
      <c r="BF185" s="940"/>
      <c r="BG185" s="13" t="s">
        <v>62</v>
      </c>
      <c r="BH185" s="518" t="str">
        <f>IF(AND(_D="A-320",'2024'!$H$4="FO",'2024'!$H$2=BH157),'2024DATA'!$C$30,"")</f>
        <v/>
      </c>
      <c r="BI185" s="518" t="str">
        <f>IF(AND(_D="A-320",'2024'!$H$4="FO",'2024'!$H$2=BI157),'2024DATA'!$D$30,"")</f>
        <v/>
      </c>
      <c r="BJ185" s="518" t="str">
        <f>IF(AND(_D="A-320",'2024'!$H$4="FO",'2024'!$H$2=BJ157),'2024DATA'!$E$30,"")</f>
        <v/>
      </c>
      <c r="BK185" s="518" t="str">
        <f>IF(AND(_D="A-320",'2024'!$H$4="FO",'2024'!$H$2=BK157),'2024DATA'!$F$30,"")</f>
        <v/>
      </c>
      <c r="BL185" s="518" t="str">
        <f>IF(AND(_D="A-320",'2024'!$H$4="FO",'2024'!$H$2=BL157),'2024DATA'!$G$30,"")</f>
        <v/>
      </c>
      <c r="BM185" s="518" t="str">
        <f>IF(AND(_D="A-320",'2024'!$H$4="FO",'2024'!$H$2=BM157),'2024DATA'!$H$30,"")</f>
        <v/>
      </c>
      <c r="BN185" s="518" t="str">
        <f>IF(AND(_D="A-320",'2024'!$H$4="FO",'2024'!$H$2=BN157),'2024DATA'!$I$30,"")</f>
        <v/>
      </c>
      <c r="BO185" s="518" t="str">
        <f>IF(AND(_D="A-320",'2024'!$H$4="FO",'2024'!$H$2=BO157),'2024DATA'!$J$30,"")</f>
        <v/>
      </c>
      <c r="BP185" s="518" t="str">
        <f>IF(AND(_D="A-320",'2024'!$H$4="FO",'2024'!$H$2=BP157),'2024DATA'!$K$30,"")</f>
        <v/>
      </c>
      <c r="BQ185" s="518" t="str">
        <f>IF(AND(_D="A-320",'2024'!$H$4="FO",'2024'!$H$2=BQ157),'2024DATA'!$L$30,"")</f>
        <v/>
      </c>
      <c r="BR185" s="518" t="str">
        <f>IF(AND(_D="A-320",'2024'!$H$4="FO",'2024'!$H$2=BR157),'2024DATA'!$M$30,"")</f>
        <v/>
      </c>
      <c r="BS185" s="520" t="str">
        <f>IF(AND(_D="A-320",'2024'!$H$4="FO",'2024'!$H$2=BS157),'2024DATA'!$N$30,"")</f>
        <v/>
      </c>
      <c r="BT185" s="940"/>
      <c r="BU185" s="13" t="s">
        <v>62</v>
      </c>
      <c r="BV185" s="518" t="str">
        <f>IF(AND(_E="A-320",'2024'!$H$4="FO",'2024'!$H$2=BV157),'2024DATA'!$C$30,"")</f>
        <v/>
      </c>
      <c r="BW185" s="518" t="str">
        <f>IF(AND(_E="A-320",'2024'!$H$4="FO",'2024'!$H$2=BW157),'2024DATA'!$D$30,"")</f>
        <v/>
      </c>
      <c r="BX185" s="518" t="str">
        <f>IF(AND(_E="A-320",'2024'!$H$4="FO",'2024'!$H$2=BX157),'2024DATA'!$E$30,"")</f>
        <v/>
      </c>
      <c r="BY185" s="518" t="str">
        <f>IF(AND(_E="A-320",'2024'!$H$4="FO",'2024'!$H$2=BY157),'2024DATA'!$F$30,"")</f>
        <v/>
      </c>
      <c r="BZ185" s="518" t="str">
        <f>IF(AND(_E="A-320",'2024'!$H$4="FO",'2024'!$H$2=BZ157),'2024DATA'!$G$30,"")</f>
        <v/>
      </c>
      <c r="CA185" s="518" t="str">
        <f>IF(AND(_E="A-320",'2024'!$H$4="FO",'2024'!$H$2=CA157),'2024DATA'!$H$30,"")</f>
        <v/>
      </c>
      <c r="CB185" s="518" t="str">
        <f>IF(AND(_E="A-320",'2024'!$H$4="FO",'2024'!$H$2=CB157),'2024DATA'!$I$30,"")</f>
        <v/>
      </c>
      <c r="CC185" s="518" t="str">
        <f>IF(AND(_E="A-320",'2024'!$H$4="FO",'2024'!$H$2=CC157),'2024DATA'!$J$30,"")</f>
        <v/>
      </c>
      <c r="CD185" s="518" t="str">
        <f>IF(AND(_E="A-320",'2024'!$H$4="FO",'2024'!$H$2=CD157),'2024DATA'!$K$30,"")</f>
        <v/>
      </c>
      <c r="CE185" s="518" t="str">
        <f>IF(AND(_E="A-320",'2024'!$H$4="FO",'2024'!$H$2=CE157),'2024DATA'!$L$30,"")</f>
        <v/>
      </c>
      <c r="CF185" s="518" t="str">
        <f>IF(AND(_E="A-320",'2024'!$H$4="FO",'2024'!$H$2=CF157),'2024DATA'!$M$30,"")</f>
        <v/>
      </c>
      <c r="CG185" s="520" t="str">
        <f>IF(AND(_E="A-320",'2024'!$H$4="FO",'2024'!$H$2=CG157),'2024DATA'!$N$30,"")</f>
        <v/>
      </c>
      <c r="CH185" s="940"/>
      <c r="CI185" s="13" t="s">
        <v>62</v>
      </c>
      <c r="CJ185" s="518" t="str">
        <f>IF(AND(_F="A-320",'2024'!$H$4="FO",'2024'!$H$2=CJ157),'2024DATA'!$C$30,"")</f>
        <v/>
      </c>
      <c r="CK185" s="518" t="str">
        <f>IF(AND(_F="A-320",'2024'!$H$4="FO",'2024'!$H$2=CK157),'2024DATA'!$D$30,"")</f>
        <v/>
      </c>
      <c r="CL185" s="518" t="str">
        <f>IF(AND(_F="A-320",'2024'!$H$4="FO",'2024'!$H$2=CL157),'2024DATA'!$E$30,"")</f>
        <v/>
      </c>
      <c r="CM185" s="518" t="str">
        <f>IF(AND(_F="A-320",'2024'!$H$4="FO",'2024'!$H$2=CM157),'2024DATA'!$F$30,"")</f>
        <v/>
      </c>
      <c r="CN185" s="518" t="str">
        <f>IF(AND(_F="A-320",'2024'!$H$4="FO",'2024'!$H$2=CN157),'2024DATA'!$G$30,"")</f>
        <v/>
      </c>
      <c r="CO185" s="518" t="str">
        <f>IF(AND(_F="A-320",'2024'!$H$4="FO",'2024'!$H$2=CO157),'2024DATA'!$H$30,"")</f>
        <v/>
      </c>
      <c r="CP185" s="518" t="str">
        <f>IF(AND(_F="A-320",'2024'!$H$4="FO",'2024'!$H$2=CP157),'2024DATA'!$I$30,"")</f>
        <v/>
      </c>
      <c r="CQ185" s="518" t="str">
        <f>IF(AND(_F="A-320",'2024'!$H$4="FO",'2024'!$H$2=CQ157),'2024DATA'!$J$30,"")</f>
        <v/>
      </c>
      <c r="CR185" s="518" t="str">
        <f>IF(AND(_F="A-320",'2024'!$H$4="FO",'2024'!$H$2=CR157),'2024DATA'!$K$30,"")</f>
        <v/>
      </c>
      <c r="CS185" s="518" t="str">
        <f>IF(AND(_F="A-320",'2024'!$H$4="FO",'2024'!$H$2=CS157),'2024DATA'!$L$30,"")</f>
        <v/>
      </c>
      <c r="CT185" s="518" t="str">
        <f>IF(AND(_F="A-320",'2024'!$H$4="FO",'2024'!$H$2=CT157),'2024DATA'!$M$30,"")</f>
        <v/>
      </c>
      <c r="CU185" s="520" t="str">
        <f>IF(AND(_F="A-320",'2024'!$H$4="FO",'2024'!$H$2=CU157),'2024DATA'!$N$30,"")</f>
        <v/>
      </c>
    </row>
    <row r="186" spans="16:99" x14ac:dyDescent="0.25">
      <c r="P186" s="940" t="s">
        <v>71</v>
      </c>
      <c r="Q186" s="13" t="s">
        <v>61</v>
      </c>
      <c r="R186" s="518" t="str">
        <f>IF(AND(_A="A-319",'2024'!$H$4="CA",'2024'!$H$2=R157),'2024DATA'!$C$31,"")</f>
        <v/>
      </c>
      <c r="S186" s="518" t="str">
        <f>IF(AND(_A="A-319",'2024'!$H$4="CA",'2024'!$H$2=S157),'2024DATA'!$D$31,"")</f>
        <v/>
      </c>
      <c r="T186" s="518" t="str">
        <f>IF(AND(_A="A-319",'2024'!$H$4="CA",'2024'!$H$2=T157),'2024DATA'!$E$31,"")</f>
        <v/>
      </c>
      <c r="U186" s="518" t="str">
        <f>IF(AND(_A="A-319",'2024'!$H$4="CA",'2024'!$H$2=U157),'2024DATA'!$F$31,"")</f>
        <v/>
      </c>
      <c r="V186" s="518" t="str">
        <f>IF(AND(_A="A-319",'2024'!$H$4="CA",'2024'!$H$2=V157),'2024DATA'!$G$31,"")</f>
        <v/>
      </c>
      <c r="W186" s="518" t="str">
        <f>IF(AND(_A="A-319",'2024'!$H$4="CA",'2024'!$H$2=W157),'2024DATA'!$H$31,"")</f>
        <v/>
      </c>
      <c r="X186" s="518" t="str">
        <f>IF(AND(_A="A-319",'2024'!$H$4="CA",'2024'!$H$2=X157),'2024DATA'!$I$31,"")</f>
        <v/>
      </c>
      <c r="Y186" s="518" t="str">
        <f>IF(AND(_A="A-319",'2024'!$H$4="CA",'2024'!$H$2=Y157),'2024DATA'!$J$31,"")</f>
        <v/>
      </c>
      <c r="Z186" s="518" t="str">
        <f>IF(AND(_A="A-319",'2024'!$H$4="CA",'2024'!$H$2=Z157),'2024DATA'!$K$31,"")</f>
        <v/>
      </c>
      <c r="AA186" s="518" t="str">
        <f>IF(AND(_A="A-319",'2024'!$H$4="CA",'2024'!$H$2=AA157),'2024DATA'!$L$31,"")</f>
        <v/>
      </c>
      <c r="AB186" s="518" t="str">
        <f>IF(AND(_A="A-319",'2024'!$H$4="CA",'2024'!$H$2=AB157),'2024DATA'!$M$31,"")</f>
        <v/>
      </c>
      <c r="AC186" s="520" t="str">
        <f>IF(AND(_A="A-319",'2024'!$H$4="CA",'2024'!$H$2=AC157),'2024DATA'!$N$31,"")</f>
        <v/>
      </c>
      <c r="AD186" s="940" t="s">
        <v>71</v>
      </c>
      <c r="AE186" s="13" t="s">
        <v>61</v>
      </c>
      <c r="AF186" s="518" t="str">
        <f>IF(AND(_B="A-319",'2024'!$H$4="CA",'2024'!$H$2=AF157),'2024DATA'!$C$31,"")</f>
        <v/>
      </c>
      <c r="AG186" s="518" t="str">
        <f>IF(AND(_B="A-319",'2024'!$H$4="CA",'2024'!$H$2=AG157),'2024DATA'!$D$31,"")</f>
        <v/>
      </c>
      <c r="AH186" s="518" t="str">
        <f>IF(AND(_B="A-319",'2024'!$H$4="CA",'2024'!$H$2=AH157),'2024DATA'!$E$31,"")</f>
        <v/>
      </c>
      <c r="AI186" s="518" t="str">
        <f>IF(AND(_B="A-319",'2024'!$H$4="CA",'2024'!$H$2=AI157),'2024DATA'!$F$31,"")</f>
        <v/>
      </c>
      <c r="AJ186" s="518" t="str">
        <f>IF(AND(_B="A-319",'2024'!$H$4="CA",'2024'!$H$2=AJ157),'2024DATA'!$G$31,"")</f>
        <v/>
      </c>
      <c r="AK186" s="518" t="str">
        <f>IF(AND(_B="A-319",'2024'!$H$4="CA",'2024'!$H$2=AK157),'2024DATA'!$H$31,"")</f>
        <v/>
      </c>
      <c r="AL186" s="518" t="str">
        <f>IF(AND(_B="A-319",'2024'!$H$4="CA",'2024'!$H$2=AL157),'2024DATA'!$I$31,"")</f>
        <v/>
      </c>
      <c r="AM186" s="518" t="str">
        <f>IF(AND(_B="A-319",'2024'!$H$4="CA",'2024'!$H$2=AM157),'2024DATA'!$J$31,"")</f>
        <v/>
      </c>
      <c r="AN186" s="518" t="str">
        <f>IF(AND(_B="A-319",'2024'!$H$4="CA",'2024'!$H$2=AN157),'2024DATA'!$K$31,"")</f>
        <v/>
      </c>
      <c r="AO186" s="518" t="str">
        <f>IF(AND(_B="A-319",'2024'!$H$4="CA",'2024'!$H$2=AO157),'2024DATA'!$L$31,"")</f>
        <v/>
      </c>
      <c r="AP186" s="518" t="str">
        <f>IF(AND(_B="A-319",'2024'!$H$4="CA",'2024'!$H$2=AP157),'2024DATA'!$M$31,"")</f>
        <v/>
      </c>
      <c r="AQ186" s="520" t="str">
        <f>IF(AND(_B="A-319",'2024'!$H$4="CA",'2024'!$H$2=AQ157),'2024DATA'!$N$31,"")</f>
        <v/>
      </c>
      <c r="AR186" s="940" t="s">
        <v>71</v>
      </c>
      <c r="AS186" s="13" t="s">
        <v>61</v>
      </c>
      <c r="AT186" s="518" t="str">
        <f>IF(AND(_C="A-319",'2024'!$H$4="CA",'2024'!$H$2=AT157),'2024DATA'!$C$31,"")</f>
        <v/>
      </c>
      <c r="AU186" s="518" t="str">
        <f>IF(AND(_C="A-319",'2024'!$H$4="CA",'2024'!$H$2=AU157),'2024DATA'!$D$31,"")</f>
        <v/>
      </c>
      <c r="AV186" s="518" t="str">
        <f>IF(AND(_C="A-319",'2024'!$H$4="CA",'2024'!$H$2=AV157),'2024DATA'!$E$31,"")</f>
        <v/>
      </c>
      <c r="AW186" s="518" t="str">
        <f>IF(AND(_C="A-319",'2024'!$H$4="CA",'2024'!$H$2=AW157),'2024DATA'!$F$31,"")</f>
        <v/>
      </c>
      <c r="AX186" s="518" t="str">
        <f>IF(AND(_C="A-319",'2024'!$H$4="CA",'2024'!$H$2=AX157),'2024DATA'!$G$31,"")</f>
        <v/>
      </c>
      <c r="AY186" s="518" t="str">
        <f>IF(AND(_C="A-319",'2024'!$H$4="CA",'2024'!$H$2=AY157),'2024DATA'!$H$31,"")</f>
        <v/>
      </c>
      <c r="AZ186" s="518" t="str">
        <f>IF(AND(_C="A-319",'2024'!$H$4="CA",'2024'!$H$2=AZ157),'2024DATA'!$I$31,"")</f>
        <v/>
      </c>
      <c r="BA186" s="518" t="str">
        <f>IF(AND(_C="A-319",'2024'!$H$4="CA",'2024'!$H$2=BA157),'2024DATA'!$J$31,"")</f>
        <v/>
      </c>
      <c r="BB186" s="518" t="str">
        <f>IF(AND(_C="A-319",'2024'!$H$4="CA",'2024'!$H$2=BB157),'2024DATA'!$K$31,"")</f>
        <v/>
      </c>
      <c r="BC186" s="518" t="str">
        <f>IF(AND(_C="A-319",'2024'!$H$4="CA",'2024'!$H$2=BC157),'2024DATA'!$L$31,"")</f>
        <v/>
      </c>
      <c r="BD186" s="518" t="str">
        <f>IF(AND(_C="A-319",'2024'!$H$4="CA",'2024'!$H$2=BD157),'2024DATA'!$M$31,"")</f>
        <v/>
      </c>
      <c r="BE186" s="520" t="str">
        <f>IF(AND(_C="A-319",'2024'!$H$4="CA",'2024'!$H$2=BE157),'2024DATA'!$N$31,"")</f>
        <v/>
      </c>
      <c r="BF186" s="940" t="s">
        <v>71</v>
      </c>
      <c r="BG186" s="13" t="s">
        <v>61</v>
      </c>
      <c r="BH186" s="518" t="str">
        <f>IF(AND(_D="A-319",'2024'!$H$4="CA",'2024'!$H$2=BH157),'2024DATA'!$C$31,"")</f>
        <v/>
      </c>
      <c r="BI186" s="518" t="str">
        <f>IF(AND(_D="A-319",'2024'!$H$4="CA",'2024'!$H$2=BI157),'2024DATA'!$D$31,"")</f>
        <v/>
      </c>
      <c r="BJ186" s="518" t="str">
        <f>IF(AND(_D="A-319",'2024'!$H$4="CA",'2024'!$H$2=BJ157),'2024DATA'!$E$31,"")</f>
        <v/>
      </c>
      <c r="BK186" s="518" t="str">
        <f>IF(AND(_D="A-319",'2024'!$H$4="CA",'2024'!$H$2=BK157),'2024DATA'!$F$31,"")</f>
        <v/>
      </c>
      <c r="BL186" s="518" t="str">
        <f>IF(AND(_D="A-319",'2024'!$H$4="CA",'2024'!$H$2=BL157),'2024DATA'!$G$31,"")</f>
        <v/>
      </c>
      <c r="BM186" s="518" t="str">
        <f>IF(AND(_D="A-319",'2024'!$H$4="CA",'2024'!$H$2=BM157),'2024DATA'!$H$31,"")</f>
        <v/>
      </c>
      <c r="BN186" s="518" t="str">
        <f>IF(AND(_D="A-319",'2024'!$H$4="CA",'2024'!$H$2=BN157),'2024DATA'!$I$31,"")</f>
        <v/>
      </c>
      <c r="BO186" s="518" t="str">
        <f>IF(AND(_D="A-319",'2024'!$H$4="CA",'2024'!$H$2=BO157),'2024DATA'!$J$31,"")</f>
        <v/>
      </c>
      <c r="BP186" s="518" t="str">
        <f>IF(AND(_D="A-319",'2024'!$H$4="CA",'2024'!$H$2=BP157),'2024DATA'!$K$31,"")</f>
        <v/>
      </c>
      <c r="BQ186" s="518" t="str">
        <f>IF(AND(_D="A-319",'2024'!$H$4="CA",'2024'!$H$2=BQ157),'2024DATA'!$L$31,"")</f>
        <v/>
      </c>
      <c r="BR186" s="518" t="str">
        <f>IF(AND(_D="A-319",'2024'!$H$4="CA",'2024'!$H$2=BR157),'2024DATA'!$M$31,"")</f>
        <v/>
      </c>
      <c r="BS186" s="520" t="str">
        <f>IF(AND(_D="A-319",'2024'!$H$4="CA",'2024'!$H$2=BS157),'2024DATA'!$N$31,"")</f>
        <v/>
      </c>
      <c r="BT186" s="940" t="s">
        <v>71</v>
      </c>
      <c r="BU186" s="13" t="s">
        <v>61</v>
      </c>
      <c r="BV186" s="518" t="str">
        <f>IF(AND(_E="A-319",'2024'!$H$4="CA",'2024'!$H$2=BV157),'2024DATA'!$C$31,"")</f>
        <v/>
      </c>
      <c r="BW186" s="518" t="str">
        <f>IF(AND(_E="A-319",'2024'!$H$4="CA",'2024'!$H$2=BW157),'2024DATA'!$D$31,"")</f>
        <v/>
      </c>
      <c r="BX186" s="518" t="str">
        <f>IF(AND(_E="A-319",'2024'!$H$4="CA",'2024'!$H$2=BX157),'2024DATA'!$E$31,"")</f>
        <v/>
      </c>
      <c r="BY186" s="518" t="str">
        <f>IF(AND(_E="A-319",'2024'!$H$4="CA",'2024'!$H$2=BY157),'2024DATA'!$F$31,"")</f>
        <v/>
      </c>
      <c r="BZ186" s="518" t="str">
        <f>IF(AND(_E="A-319",'2024'!$H$4="CA",'2024'!$H$2=BZ157),'2024DATA'!$G$31,"")</f>
        <v/>
      </c>
      <c r="CA186" s="518" t="str">
        <f>IF(AND(_E="A-319",'2024'!$H$4="CA",'2024'!$H$2=CA157),'2024DATA'!$H$31,"")</f>
        <v/>
      </c>
      <c r="CB186" s="518" t="str">
        <f>IF(AND(_E="A-319",'2024'!$H$4="CA",'2024'!$H$2=CB157),'2024DATA'!$I$31,"")</f>
        <v/>
      </c>
      <c r="CC186" s="518" t="str">
        <f>IF(AND(_E="A-319",'2024'!$H$4="CA",'2024'!$H$2=CC157),'2024DATA'!$J$31,"")</f>
        <v/>
      </c>
      <c r="CD186" s="518" t="str">
        <f>IF(AND(_E="A-319",'2024'!$H$4="CA",'2024'!$H$2=CD157),'2024DATA'!$K$31,"")</f>
        <v/>
      </c>
      <c r="CE186" s="518" t="str">
        <f>IF(AND(_E="A-319",'2024'!$H$4="CA",'2024'!$H$2=CE157),'2024DATA'!$L$31,"")</f>
        <v/>
      </c>
      <c r="CF186" s="518" t="str">
        <f>IF(AND(_E="A-319",'2024'!$H$4="CA",'2024'!$H$2=CF157),'2024DATA'!$M$31,"")</f>
        <v/>
      </c>
      <c r="CG186" s="520" t="str">
        <f>IF(AND(_E="A-319",'2024'!$H$4="CA",'2024'!$H$2=CG157),'2024DATA'!$N$31,"")</f>
        <v/>
      </c>
      <c r="CH186" s="940" t="s">
        <v>71</v>
      </c>
      <c r="CI186" s="13" t="s">
        <v>61</v>
      </c>
      <c r="CJ186" s="518" t="str">
        <f>IF(AND(_F="A-319",'2024'!$H$4="CA",'2024'!$H$2=CJ157),'2024DATA'!$C$31,"")</f>
        <v/>
      </c>
      <c r="CK186" s="518" t="str">
        <f>IF(AND(_F="A-319",'2024'!$H$4="CA",'2024'!$H$2=CK157),'2024DATA'!$D$31,"")</f>
        <v/>
      </c>
      <c r="CL186" s="518" t="str">
        <f>IF(AND(_F="A-319",'2024'!$H$4="CA",'2024'!$H$2=CL157),'2024DATA'!$E$31,"")</f>
        <v/>
      </c>
      <c r="CM186" s="518" t="str">
        <f>IF(AND(_F="A-319",'2024'!$H$4="CA",'2024'!$H$2=CM157),'2024DATA'!$F$31,"")</f>
        <v/>
      </c>
      <c r="CN186" s="518" t="str">
        <f>IF(AND(_F="A-319",'2024'!$H$4="CA",'2024'!$H$2=CN157),'2024DATA'!$G$31,"")</f>
        <v/>
      </c>
      <c r="CO186" s="518" t="str">
        <f>IF(AND(_F="A-319",'2024'!$H$4="CA",'2024'!$H$2=CO157),'2024DATA'!$H$31,"")</f>
        <v/>
      </c>
      <c r="CP186" s="518" t="str">
        <f>IF(AND(_F="A-319",'2024'!$H$4="CA",'2024'!$H$2=CP157),'2024DATA'!$I$31,"")</f>
        <v/>
      </c>
      <c r="CQ186" s="518" t="str">
        <f>IF(AND(_F="A-319",'2024'!$H$4="CA",'2024'!$H$2=CQ157),'2024DATA'!$J$31,"")</f>
        <v/>
      </c>
      <c r="CR186" s="518" t="str">
        <f>IF(AND(_F="A-319",'2024'!$H$4="CA",'2024'!$H$2=CR157),'2024DATA'!$K$31,"")</f>
        <v/>
      </c>
      <c r="CS186" s="518" t="str">
        <f>IF(AND(_F="A-319",'2024'!$H$4="CA",'2024'!$H$2=CS157),'2024DATA'!$L$31,"")</f>
        <v/>
      </c>
      <c r="CT186" s="518" t="str">
        <f>IF(AND(_F="A-319",'2024'!$H$4="CA",'2024'!$H$2=CT157),'2024DATA'!$M$31,"")</f>
        <v/>
      </c>
      <c r="CU186" s="520" t="str">
        <f>IF(AND(_F="A-319",'2024'!$H$4="CA",'2024'!$H$2=CU157),'2024DATA'!$N$31,"")</f>
        <v/>
      </c>
    </row>
    <row r="187" spans="16:99" x14ac:dyDescent="0.25">
      <c r="P187" s="940"/>
      <c r="Q187" s="13" t="s">
        <v>62</v>
      </c>
      <c r="R187" s="518" t="str">
        <f>IF(AND(_A="A-319",'2024'!$H$4="FO",'2024'!$H$2=R157),'2024DATA'!$C$32,"")</f>
        <v/>
      </c>
      <c r="S187" s="518" t="str">
        <f>IF(AND(_A="A-319",'2024'!$H$4="FO",'2024'!$H$2=S157),'2024DATA'!$D$32,"")</f>
        <v/>
      </c>
      <c r="T187" s="518" t="str">
        <f>IF(AND(_A="A-319",'2024'!$H$4="FO",'2024'!$H$2=T157),'2024DATA'!$E$32,"")</f>
        <v/>
      </c>
      <c r="U187" s="518" t="str">
        <f>IF(AND(_A="A-319",'2024'!$H$4="FO",'2024'!$H$2=U157),'2024DATA'!$F$32,"")</f>
        <v/>
      </c>
      <c r="V187" s="518" t="str">
        <f>IF(AND(_A="A-319",'2024'!$H$4="FO",'2024'!$H$2=V157),'2024DATA'!$G$32,"")</f>
        <v/>
      </c>
      <c r="W187" s="518" t="str">
        <f>IF(AND(_A="A-319",'2024'!$H$4="FO",'2024'!$H$2=W157),'2024DATA'!$H$32,"")</f>
        <v/>
      </c>
      <c r="X187" s="518" t="str">
        <f>IF(AND(_A="A-319",'2024'!$H$4="FO",'2024'!$H$2=X157),'2024DATA'!$I$32,"")</f>
        <v/>
      </c>
      <c r="Y187" s="518" t="str">
        <f>IF(AND(_A="A-319",'2024'!$H$4="FO",'2024'!$H$2=Y157),'2024DATA'!$J$32,"")</f>
        <v/>
      </c>
      <c r="Z187" s="518" t="str">
        <f>IF(AND(_A="A-319",'2024'!$H$4="FO",'2024'!$H$2=Z157),'2024DATA'!$K$32,"")</f>
        <v/>
      </c>
      <c r="AA187" s="518" t="str">
        <f>IF(AND(_A="A-319",'2024'!$H$4="FO",'2024'!$H$2=AA157),'2024DATA'!$L$32,"")</f>
        <v/>
      </c>
      <c r="AB187" s="518" t="str">
        <f>IF(AND(_A="A-319",'2024'!$H$4="FO",'2024'!$H$2=AB157),'2024DATA'!$M$32,"")</f>
        <v/>
      </c>
      <c r="AC187" s="520" t="str">
        <f>IF(AND(_A="A-319",'2024'!$H$4="FO",'2024'!$H$2=AC157),'2024DATA'!$N$32,"")</f>
        <v/>
      </c>
      <c r="AD187" s="940"/>
      <c r="AE187" s="13" t="s">
        <v>62</v>
      </c>
      <c r="AF187" s="518" t="str">
        <f>IF(AND(_B="A-319",'2024'!$H$4="FO",'2024'!$H$2=AF157),'2024DATA'!$C$32,"")</f>
        <v/>
      </c>
      <c r="AG187" s="518" t="str">
        <f>IF(AND(_B="A-319",'2024'!$H$4="FO",'2024'!$H$2=AG157),'2024DATA'!$D$32,"")</f>
        <v/>
      </c>
      <c r="AH187" s="518" t="str">
        <f>IF(AND(_B="A-319",'2024'!$H$4="FO",'2024'!$H$2=AH157),'2024DATA'!$E$32,"")</f>
        <v/>
      </c>
      <c r="AI187" s="518" t="str">
        <f>IF(AND(_B="A-319",'2024'!$H$4="FO",'2024'!$H$2=AI157),'2024DATA'!$F$32,"")</f>
        <v/>
      </c>
      <c r="AJ187" s="518" t="str">
        <f>IF(AND(_B="A-319",'2024'!$H$4="FO",'2024'!$H$2=AJ157),'2024DATA'!$G$32,"")</f>
        <v/>
      </c>
      <c r="AK187" s="518" t="str">
        <f>IF(AND(_B="A-319",'2024'!$H$4="FO",'2024'!$H$2=AK157),'2024DATA'!$H$32,"")</f>
        <v/>
      </c>
      <c r="AL187" s="518" t="str">
        <f>IF(AND(_B="A-319",'2024'!$H$4="FO",'2024'!$H$2=AL157),'2024DATA'!$I$32,"")</f>
        <v/>
      </c>
      <c r="AM187" s="518" t="str">
        <f>IF(AND(_B="A-319",'2024'!$H$4="FO",'2024'!$H$2=AM157),'2024DATA'!$J$32,"")</f>
        <v/>
      </c>
      <c r="AN187" s="518" t="str">
        <f>IF(AND(_B="A-319",'2024'!$H$4="FO",'2024'!$H$2=AN157),'2024DATA'!$K$32,"")</f>
        <v/>
      </c>
      <c r="AO187" s="518" t="str">
        <f>IF(AND(_B="A-319",'2024'!$H$4="FO",'2024'!$H$2=AO157),'2024DATA'!$L$32,"")</f>
        <v/>
      </c>
      <c r="AP187" s="518" t="str">
        <f>IF(AND(_B="A-319",'2024'!$H$4="FO",'2024'!$H$2=AP157),'2024DATA'!$M$32,"")</f>
        <v/>
      </c>
      <c r="AQ187" s="520" t="str">
        <f>IF(AND(_B="A-319",'2024'!$H$4="FO",'2024'!$H$2=AQ157),'2024DATA'!$N$32,"")</f>
        <v/>
      </c>
      <c r="AR187" s="940"/>
      <c r="AS187" s="13" t="s">
        <v>62</v>
      </c>
      <c r="AT187" s="518" t="str">
        <f>IF(AND(_C="A-319",'2024'!$H$4="FO",'2024'!$H$2=AT157),'2024DATA'!$C$32,"")</f>
        <v/>
      </c>
      <c r="AU187" s="518" t="str">
        <f>IF(AND(_C="A-319",'2024'!$H$4="FO",'2024'!$H$2=AU157),'2024DATA'!$D$32,"")</f>
        <v/>
      </c>
      <c r="AV187" s="518" t="str">
        <f>IF(AND(_C="A-319",'2024'!$H$4="FO",'2024'!$H$2=AV157),'2024DATA'!$E$32,"")</f>
        <v/>
      </c>
      <c r="AW187" s="518" t="str">
        <f>IF(AND(_C="A-319",'2024'!$H$4="FO",'2024'!$H$2=AW157),'2024DATA'!$F$32,"")</f>
        <v/>
      </c>
      <c r="AX187" s="518" t="str">
        <f>IF(AND(_C="A-319",'2024'!$H$4="FO",'2024'!$H$2=AX157),'2024DATA'!$G$32,"")</f>
        <v/>
      </c>
      <c r="AY187" s="518" t="str">
        <f>IF(AND(_C="A-319",'2024'!$H$4="FO",'2024'!$H$2=AY157),'2024DATA'!$H$32,"")</f>
        <v/>
      </c>
      <c r="AZ187" s="518" t="str">
        <f>IF(AND(_C="A-319",'2024'!$H$4="FO",'2024'!$H$2=AZ157),'2024DATA'!$I$32,"")</f>
        <v/>
      </c>
      <c r="BA187" s="518" t="str">
        <f>IF(AND(_C="A-319",'2024'!$H$4="FO",'2024'!$H$2=BA157),'2024DATA'!$J$32,"")</f>
        <v/>
      </c>
      <c r="BB187" s="518" t="str">
        <f>IF(AND(_C="A-319",'2024'!$H$4="FO",'2024'!$H$2=BB157),'2024DATA'!$K$32,"")</f>
        <v/>
      </c>
      <c r="BC187" s="518" t="str">
        <f>IF(AND(_C="A-319",'2024'!$H$4="FO",'2024'!$H$2=BC157),'2024DATA'!$L$32,"")</f>
        <v/>
      </c>
      <c r="BD187" s="518" t="str">
        <f>IF(AND(_C="A-319",'2024'!$H$4="FO",'2024'!$H$2=BD157),'2024DATA'!$M$32,"")</f>
        <v/>
      </c>
      <c r="BE187" s="520" t="str">
        <f>IF(AND(_C="A-319",'2024'!$H$4="FO",'2024'!$H$2=BE157),'2024DATA'!$N$32,"")</f>
        <v/>
      </c>
      <c r="BF187" s="940"/>
      <c r="BG187" s="13" t="s">
        <v>62</v>
      </c>
      <c r="BH187" s="518" t="str">
        <f>IF(AND(_D="A-319",'2024'!$H$4="FO",'2024'!$H$2=BH157),'2024DATA'!$C$32,"")</f>
        <v/>
      </c>
      <c r="BI187" s="518" t="str">
        <f>IF(AND(_D="A-319",'2024'!$H$4="FO",'2024'!$H$2=BI157),'2024DATA'!$D$32,"")</f>
        <v/>
      </c>
      <c r="BJ187" s="518" t="str">
        <f>IF(AND(_D="A-319",'2024'!$H$4="FO",'2024'!$H$2=BJ157),'2024DATA'!$E$32,"")</f>
        <v/>
      </c>
      <c r="BK187" s="518" t="str">
        <f>IF(AND(_D="A-319",'2024'!$H$4="FO",'2024'!$H$2=BK157),'2024DATA'!$F$32,"")</f>
        <v/>
      </c>
      <c r="BL187" s="518" t="str">
        <f>IF(AND(_D="A-319",'2024'!$H$4="FO",'2024'!$H$2=BL157),'2024DATA'!$G$32,"")</f>
        <v/>
      </c>
      <c r="BM187" s="518" t="str">
        <f>IF(AND(_D="A-319",'2024'!$H$4="FO",'2024'!$H$2=BM157),'2024DATA'!$H$32,"")</f>
        <v/>
      </c>
      <c r="BN187" s="518" t="str">
        <f>IF(AND(_D="A-319",'2024'!$H$4="FO",'2024'!$H$2=BN157),'2024DATA'!$I$32,"")</f>
        <v/>
      </c>
      <c r="BO187" s="518" t="str">
        <f>IF(AND(_D="A-319",'2024'!$H$4="FO",'2024'!$H$2=BO157),'2024DATA'!$J$32,"")</f>
        <v/>
      </c>
      <c r="BP187" s="518" t="str">
        <f>IF(AND(_D="A-319",'2024'!$H$4="FO",'2024'!$H$2=BP157),'2024DATA'!$K$32,"")</f>
        <v/>
      </c>
      <c r="BQ187" s="518" t="str">
        <f>IF(AND(_D="A-319",'2024'!$H$4="FO",'2024'!$H$2=BQ157),'2024DATA'!$L$32,"")</f>
        <v/>
      </c>
      <c r="BR187" s="518" t="str">
        <f>IF(AND(_D="A-319",'2024'!$H$4="FO",'2024'!$H$2=BR157),'2024DATA'!$M$32,"")</f>
        <v/>
      </c>
      <c r="BS187" s="520" t="str">
        <f>IF(AND(_D="A-319",'2024'!$H$4="FO",'2024'!$H$2=BS157),'2024DATA'!$N$32,"")</f>
        <v/>
      </c>
      <c r="BT187" s="940"/>
      <c r="BU187" s="13" t="s">
        <v>62</v>
      </c>
      <c r="BV187" s="518" t="str">
        <f>IF(AND(_E="A-319",'2024'!$H$4="FO",'2024'!$H$2=BV157),'2024DATA'!$C$32,"")</f>
        <v/>
      </c>
      <c r="BW187" s="518" t="str">
        <f>IF(AND(_E="A-319",'2024'!$H$4="FO",'2024'!$H$2=BW157),'2024DATA'!$D$32,"")</f>
        <v/>
      </c>
      <c r="BX187" s="518" t="str">
        <f>IF(AND(_E="A-319",'2024'!$H$4="FO",'2024'!$H$2=BX157),'2024DATA'!$E$32,"")</f>
        <v/>
      </c>
      <c r="BY187" s="518" t="str">
        <f>IF(AND(_E="A-319",'2024'!$H$4="FO",'2024'!$H$2=BY157),'2024DATA'!$F$32,"")</f>
        <v/>
      </c>
      <c r="BZ187" s="518" t="str">
        <f>IF(AND(_E="A-319",'2024'!$H$4="FO",'2024'!$H$2=BZ157),'2024DATA'!$G$32,"")</f>
        <v/>
      </c>
      <c r="CA187" s="518" t="str">
        <f>IF(AND(_E="A-319",'2024'!$H$4="FO",'2024'!$H$2=CA157),'2024DATA'!$H$32,"")</f>
        <v/>
      </c>
      <c r="CB187" s="518" t="str">
        <f>IF(AND(_E="A-319",'2024'!$H$4="FO",'2024'!$H$2=CB157),'2024DATA'!$I$32,"")</f>
        <v/>
      </c>
      <c r="CC187" s="518" t="str">
        <f>IF(AND(_E="A-319",'2024'!$H$4="FO",'2024'!$H$2=CC157),'2024DATA'!$J$32,"")</f>
        <v/>
      </c>
      <c r="CD187" s="518" t="str">
        <f>IF(AND(_E="A-319",'2024'!$H$4="FO",'2024'!$H$2=CD157),'2024DATA'!$K$32,"")</f>
        <v/>
      </c>
      <c r="CE187" s="518" t="str">
        <f>IF(AND(_E="A-319",'2024'!$H$4="FO",'2024'!$H$2=CE157),'2024DATA'!$L$32,"")</f>
        <v/>
      </c>
      <c r="CF187" s="518" t="str">
        <f>IF(AND(_E="A-319",'2024'!$H$4="FO",'2024'!$H$2=CF157),'2024DATA'!$M$32,"")</f>
        <v/>
      </c>
      <c r="CG187" s="520" t="str">
        <f>IF(AND(_E="A-319",'2024'!$H$4="FO",'2024'!$H$2=CG157),'2024DATA'!$N$32,"")</f>
        <v/>
      </c>
      <c r="CH187" s="940"/>
      <c r="CI187" s="13" t="s">
        <v>62</v>
      </c>
      <c r="CJ187" s="518" t="str">
        <f>IF(AND(_F="A-319",'2024'!$H$4="FO",'2024'!$H$2=CJ157),'2024DATA'!$C$32,"")</f>
        <v/>
      </c>
      <c r="CK187" s="518" t="str">
        <f>IF(AND(_F="A-319",'2024'!$H$4="FO",'2024'!$H$2=CK157),'2024DATA'!$D$32,"")</f>
        <v/>
      </c>
      <c r="CL187" s="518" t="str">
        <f>IF(AND(_F="A-319",'2024'!$H$4="FO",'2024'!$H$2=CL157),'2024DATA'!$E$32,"")</f>
        <v/>
      </c>
      <c r="CM187" s="518" t="str">
        <f>IF(AND(_F="A-319",'2024'!$H$4="FO",'2024'!$H$2=CM157),'2024DATA'!$F$32,"")</f>
        <v/>
      </c>
      <c r="CN187" s="518" t="str">
        <f>IF(AND(_F="A-319",'2024'!$H$4="FO",'2024'!$H$2=CN157),'2024DATA'!$G$32,"")</f>
        <v/>
      </c>
      <c r="CO187" s="518" t="str">
        <f>IF(AND(_F="A-319",'2024'!$H$4="FO",'2024'!$H$2=CO157),'2024DATA'!$H$32,"")</f>
        <v/>
      </c>
      <c r="CP187" s="518" t="str">
        <f>IF(AND(_F="A-319",'2024'!$H$4="FO",'2024'!$H$2=CP157),'2024DATA'!$I$32,"")</f>
        <v/>
      </c>
      <c r="CQ187" s="518" t="str">
        <f>IF(AND(_F="A-319",'2024'!$H$4="FO",'2024'!$H$2=CQ157),'2024DATA'!$J$32,"")</f>
        <v/>
      </c>
      <c r="CR187" s="518" t="str">
        <f>IF(AND(_F="A-319",'2024'!$H$4="FO",'2024'!$H$2=CR157),'2024DATA'!$K$32,"")</f>
        <v/>
      </c>
      <c r="CS187" s="518" t="str">
        <f>IF(AND(_F="A-319",'2024'!$H$4="FO",'2024'!$H$2=CS157),'2024DATA'!$L$32,"")</f>
        <v/>
      </c>
      <c r="CT187" s="518" t="str">
        <f>IF(AND(_F="A-319",'2024'!$H$4="FO",'2024'!$H$2=CT157),'2024DATA'!$M$32,"")</f>
        <v/>
      </c>
      <c r="CU187" s="520" t="str">
        <f>IF(AND(_F="A-319",'2024'!$H$4="FO",'2024'!$H$2=CU157),'2024DATA'!$N$32,"")</f>
        <v/>
      </c>
    </row>
    <row r="188" spans="16:99" x14ac:dyDescent="0.25">
      <c r="P188" s="940" t="s">
        <v>51</v>
      </c>
      <c r="Q188" s="13" t="s">
        <v>61</v>
      </c>
      <c r="R188" s="518" t="str">
        <f>IF(AND(_A="A-220-300",'2024'!$H$4="CA",'2024'!$H$2=R157),'2024DATA'!$C$33,"")</f>
        <v/>
      </c>
      <c r="S188" s="518" t="str">
        <f>IF(AND(_A="A-220-300",'2024'!$H$4="CA",'2024'!$H$2=S157),'2024DATA'!$D$33,"")</f>
        <v/>
      </c>
      <c r="T188" s="518" t="str">
        <f>IF(AND(_A="A-220-300",'2024'!$H$4="CA",'2024'!$H$2=T157),'2024DATA'!$E$33,"")</f>
        <v/>
      </c>
      <c r="U188" s="518" t="str">
        <f>IF(AND(_A="A-220-300",'2024'!$H$4="CA",'2024'!$H$2=U157),'2024DATA'!$F$33,"")</f>
        <v/>
      </c>
      <c r="V188" s="518" t="str">
        <f>IF(AND(_A="A-220-300",'2024'!$H$4="CA",'2024'!$H$2=V157),'2024DATA'!$G$33,"")</f>
        <v/>
      </c>
      <c r="W188" s="518" t="str">
        <f>IF(AND(_A="A-220-300",'2024'!$H$4="CA",'2024'!$H$2=W157),'2024DATA'!$H$33,"")</f>
        <v/>
      </c>
      <c r="X188" s="518" t="str">
        <f>IF(AND(_A="A-220-300",'2024'!$H$4="CA",'2024'!$H$2=X157),'2024DATA'!$I$33,"")</f>
        <v/>
      </c>
      <c r="Y188" s="518" t="str">
        <f>IF(AND(_A="A-220-300",'2024'!$H$4="CA",'2024'!$H$2=Y157),'2024DATA'!$J$33,"")</f>
        <v/>
      </c>
      <c r="Z188" s="518" t="str">
        <f>IF(AND(_A="A-220-300",'2024'!$H$4="CA",'2024'!$H$2=Z157),'2024DATA'!$K$33,"")</f>
        <v/>
      </c>
      <c r="AA188" s="518" t="str">
        <f>IF(AND(_A="A-220-300",'2024'!$H$4="CA",'2024'!$H$2=AA157),'2024DATA'!$L$33,"")</f>
        <v/>
      </c>
      <c r="AB188" s="518" t="str">
        <f>IF(AND(_A="A-220-300",'2024'!$H$4="CA",'2024'!$H$2=AB157),'2024DATA'!$M$33,"")</f>
        <v/>
      </c>
      <c r="AC188" s="520" t="str">
        <f>IF(AND(_A="A-220-300",'2024'!$H$4="CA",'2024'!$H$2=AC157),'2024DATA'!$N$33,"")</f>
        <v/>
      </c>
      <c r="AD188" s="940" t="s">
        <v>51</v>
      </c>
      <c r="AE188" s="13" t="s">
        <v>61</v>
      </c>
      <c r="AF188" s="518" t="str">
        <f>IF(AND(_B="A-220-300",'2024'!$H$4="CA",'2024'!$H$2=AF157),'2024DATA'!$C$33,"")</f>
        <v/>
      </c>
      <c r="AG188" s="518" t="str">
        <f>IF(AND(_B="A-220-300",'2024'!$H$4="CA",'2024'!$H$2=AG157),'2024DATA'!$D$33,"")</f>
        <v/>
      </c>
      <c r="AH188" s="518" t="str">
        <f>IF(AND(_B="A-220-300",'2024'!$H$4="CA",'2024'!$H$2=AH157),'2024DATA'!$E$33,"")</f>
        <v/>
      </c>
      <c r="AI188" s="518" t="str">
        <f>IF(AND(_B="A-220-300",'2024'!$H$4="CA",'2024'!$H$2=AI157),'2024DATA'!$F$33,"")</f>
        <v/>
      </c>
      <c r="AJ188" s="518" t="str">
        <f>IF(AND(_B="A-220-300",'2024'!$H$4="CA",'2024'!$H$2=AJ157),'2024DATA'!$G$33,"")</f>
        <v/>
      </c>
      <c r="AK188" s="518" t="str">
        <f>IF(AND(_B="A-220-300",'2024'!$H$4="CA",'2024'!$H$2=AK157),'2024DATA'!$H$33,"")</f>
        <v/>
      </c>
      <c r="AL188" s="518" t="str">
        <f>IF(AND(_B="A-220-300",'2024'!$H$4="CA",'2024'!$H$2=AL157),'2024DATA'!$I$33,"")</f>
        <v/>
      </c>
      <c r="AM188" s="518" t="str">
        <f>IF(AND(_B="A-220-300",'2024'!$H$4="CA",'2024'!$H$2=AM157),'2024DATA'!$J$33,"")</f>
        <v/>
      </c>
      <c r="AN188" s="518" t="str">
        <f>IF(AND(_B="A-220-300",'2024'!$H$4="CA",'2024'!$H$2=AN157),'2024DATA'!$K$33,"")</f>
        <v/>
      </c>
      <c r="AO188" s="518" t="str">
        <f>IF(AND(_B="A-220-300",'2024'!$H$4="CA",'2024'!$H$2=AO157),'2024DATA'!$L$33,"")</f>
        <v/>
      </c>
      <c r="AP188" s="518" t="str">
        <f>IF(AND(_B="A-220-300",'2024'!$H$4="CA",'2024'!$H$2=AP157),'2024DATA'!$M$33,"")</f>
        <v/>
      </c>
      <c r="AQ188" s="520" t="str">
        <f>IF(AND(_B="A-220-300",'2024'!$H$4="CA",'2024'!$H$2=AQ157),'2024DATA'!$N$33,"")</f>
        <v/>
      </c>
      <c r="AR188" s="940" t="s">
        <v>51</v>
      </c>
      <c r="AS188" s="13" t="s">
        <v>61</v>
      </c>
      <c r="AT188" s="518" t="str">
        <f>IF(AND(_C="A-220-300",'2024'!$H$4="CA",'2024'!$H$2=AT157),'2024DATA'!$C$33,"")</f>
        <v/>
      </c>
      <c r="AU188" s="518" t="str">
        <f>IF(AND(_C="A-220-300",'2024'!$H$4="CA",'2024'!$H$2=AU157),'2024DATA'!$D$33,"")</f>
        <v/>
      </c>
      <c r="AV188" s="518" t="str">
        <f>IF(AND(_C="A-220-300",'2024'!$H$4="CA",'2024'!$H$2=AV157),'2024DATA'!$E$33,"")</f>
        <v/>
      </c>
      <c r="AW188" s="518" t="str">
        <f>IF(AND(_C="A-220-300",'2024'!$H$4="CA",'2024'!$H$2=AW157),'2024DATA'!$F$33,"")</f>
        <v/>
      </c>
      <c r="AX188" s="518" t="str">
        <f>IF(AND(_C="A-220-300",'2024'!$H$4="CA",'2024'!$H$2=AX157),'2024DATA'!$G$33,"")</f>
        <v/>
      </c>
      <c r="AY188" s="518" t="str">
        <f>IF(AND(_C="A-220-300",'2024'!$H$4="CA",'2024'!$H$2=AY157),'2024DATA'!$H$33,"")</f>
        <v/>
      </c>
      <c r="AZ188" s="518" t="str">
        <f>IF(AND(_C="A-220-300",'2024'!$H$4="CA",'2024'!$H$2=AZ157),'2024DATA'!$I$33,"")</f>
        <v/>
      </c>
      <c r="BA188" s="518" t="str">
        <f>IF(AND(_C="A-220-300",'2024'!$H$4="CA",'2024'!$H$2=BA157),'2024DATA'!$J$33,"")</f>
        <v/>
      </c>
      <c r="BB188" s="518" t="str">
        <f>IF(AND(_C="A-220-300",'2024'!$H$4="CA",'2024'!$H$2=BB157),'2024DATA'!$K$33,"")</f>
        <v/>
      </c>
      <c r="BC188" s="518" t="str">
        <f>IF(AND(_C="A-220-300",'2024'!$H$4="CA",'2024'!$H$2=BC157),'2024DATA'!$L$33,"")</f>
        <v/>
      </c>
      <c r="BD188" s="518" t="str">
        <f>IF(AND(_C="A-220-300",'2024'!$H$4="CA",'2024'!$H$2=BD157),'2024DATA'!$M$33,"")</f>
        <v/>
      </c>
      <c r="BE188" s="520" t="str">
        <f>IF(AND(_C="A-220-300",'2024'!$H$4="CA",'2024'!$H$2=BE157),'2024DATA'!$N$33,"")</f>
        <v/>
      </c>
      <c r="BF188" s="940" t="s">
        <v>51</v>
      </c>
      <c r="BG188" s="13" t="s">
        <v>61</v>
      </c>
      <c r="BH188" s="518" t="str">
        <f>IF(AND(_D="A-220-300",'2024'!$H$4="CA",'2024'!$H$2=BH157),'2024DATA'!$C$33,"")</f>
        <v/>
      </c>
      <c r="BI188" s="518" t="str">
        <f>IF(AND(_D="A-220-300",'2024'!$H$4="CA",'2024'!$H$2=BI157),'2024DATA'!$D$33,"")</f>
        <v/>
      </c>
      <c r="BJ188" s="518" t="str">
        <f>IF(AND(_D="A-220-300",'2024'!$H$4="CA",'2024'!$H$2=BJ157),'2024DATA'!$E$33,"")</f>
        <v/>
      </c>
      <c r="BK188" s="518" t="str">
        <f>IF(AND(_D="A-220-300",'2024'!$H$4="CA",'2024'!$H$2=BK157),'2024DATA'!$F$33,"")</f>
        <v/>
      </c>
      <c r="BL188" s="518" t="str">
        <f>IF(AND(_D="A-220-300",'2024'!$H$4="CA",'2024'!$H$2=BL157),'2024DATA'!$G$33,"")</f>
        <v/>
      </c>
      <c r="BM188" s="518" t="str">
        <f>IF(AND(_D="A-220-300",'2024'!$H$4="CA",'2024'!$H$2=BM157),'2024DATA'!$H$33,"")</f>
        <v/>
      </c>
      <c r="BN188" s="518" t="str">
        <f>IF(AND(_D="A-220-300",'2024'!$H$4="CA",'2024'!$H$2=BN157),'2024DATA'!$I$33,"")</f>
        <v/>
      </c>
      <c r="BO188" s="518" t="str">
        <f>IF(AND(_D="A-220-300",'2024'!$H$4="CA",'2024'!$H$2=BO157),'2024DATA'!$J$33,"")</f>
        <v/>
      </c>
      <c r="BP188" s="518" t="str">
        <f>IF(AND(_D="A-220-300",'2024'!$H$4="CA",'2024'!$H$2=BP157),'2024DATA'!$K$33,"")</f>
        <v/>
      </c>
      <c r="BQ188" s="518" t="str">
        <f>IF(AND(_D="A-220-300",'2024'!$H$4="CA",'2024'!$H$2=BQ157),'2024DATA'!$L$33,"")</f>
        <v/>
      </c>
      <c r="BR188" s="518" t="str">
        <f>IF(AND(_D="A-220-300",'2024'!$H$4="CA",'2024'!$H$2=BR157),'2024DATA'!$M$33,"")</f>
        <v/>
      </c>
      <c r="BS188" s="520" t="str">
        <f>IF(AND(_D="A-220-300",'2024'!$H$4="CA",'2024'!$H$2=BS157),'2024DATA'!$N$33,"")</f>
        <v/>
      </c>
      <c r="BT188" s="940" t="s">
        <v>51</v>
      </c>
      <c r="BU188" s="13" t="s">
        <v>61</v>
      </c>
      <c r="BV188" s="518" t="str">
        <f>IF(AND(_E="A-220-300",'2024'!$H$4="CA",'2024'!$H$2=BV157),'2024DATA'!$C$33,"")</f>
        <v/>
      </c>
      <c r="BW188" s="518" t="str">
        <f>IF(AND(_E="A-220-300",'2024'!$H$4="CA",'2024'!$H$2=BW157),'2024DATA'!$D$33,"")</f>
        <v/>
      </c>
      <c r="BX188" s="518" t="str">
        <f>IF(AND(_E="A-220-300",'2024'!$H$4="CA",'2024'!$H$2=BX157),'2024DATA'!$E$33,"")</f>
        <v/>
      </c>
      <c r="BY188" s="518" t="str">
        <f>IF(AND(_E="A-220-300",'2024'!$H$4="CA",'2024'!$H$2=BY157),'2024DATA'!$F$33,"")</f>
        <v/>
      </c>
      <c r="BZ188" s="518" t="str">
        <f>IF(AND(_E="A-220-300",'2024'!$H$4="CA",'2024'!$H$2=BZ157),'2024DATA'!$G$33,"")</f>
        <v/>
      </c>
      <c r="CA188" s="518" t="str">
        <f>IF(AND(_E="A-220-300",'2024'!$H$4="CA",'2024'!$H$2=CA157),'2024DATA'!$H$33,"")</f>
        <v/>
      </c>
      <c r="CB188" s="518" t="str">
        <f>IF(AND(_E="A-220-300",'2024'!$H$4="CA",'2024'!$H$2=CB157),'2024DATA'!$I$33,"")</f>
        <v/>
      </c>
      <c r="CC188" s="518" t="str">
        <f>IF(AND(_E="A-220-300",'2024'!$H$4="CA",'2024'!$H$2=CC157),'2024DATA'!$J$33,"")</f>
        <v/>
      </c>
      <c r="CD188" s="518" t="str">
        <f>IF(AND(_E="A-220-300",'2024'!$H$4="CA",'2024'!$H$2=CD157),'2024DATA'!$K$33,"")</f>
        <v/>
      </c>
      <c r="CE188" s="518" t="str">
        <f>IF(AND(_E="A-220-300",'2024'!$H$4="CA",'2024'!$H$2=CE157),'2024DATA'!$L$33,"")</f>
        <v/>
      </c>
      <c r="CF188" s="518" t="str">
        <f>IF(AND(_E="A-220-300",'2024'!$H$4="CA",'2024'!$H$2=CF157),'2024DATA'!$M$33,"")</f>
        <v/>
      </c>
      <c r="CG188" s="520" t="str">
        <f>IF(AND(_E="A-220-300",'2024'!$H$4="CA",'2024'!$H$2=CG157),'2024DATA'!$N$33,"")</f>
        <v/>
      </c>
      <c r="CH188" s="940" t="s">
        <v>51</v>
      </c>
      <c r="CI188" s="13" t="s">
        <v>61</v>
      </c>
      <c r="CJ188" s="518" t="str">
        <f>IF(AND(_F="A-220-300",'2024'!$H$4="CA",'2024'!$H$2=CJ157),'2024DATA'!$C$33,"")</f>
        <v/>
      </c>
      <c r="CK188" s="518" t="str">
        <f>IF(AND(_F="A-220-300",'2024'!$H$4="CA",'2024'!$H$2=CK157),'2024DATA'!$D$33,"")</f>
        <v/>
      </c>
      <c r="CL188" s="518" t="str">
        <f>IF(AND(_F="A-220-300",'2024'!$H$4="CA",'2024'!$H$2=CL157),'2024DATA'!$E$33,"")</f>
        <v/>
      </c>
      <c r="CM188" s="518" t="str">
        <f>IF(AND(_F="A-220-300",'2024'!$H$4="CA",'2024'!$H$2=CM157),'2024DATA'!$F$33,"")</f>
        <v/>
      </c>
      <c r="CN188" s="518" t="str">
        <f>IF(AND(_F="A-220-300",'2024'!$H$4="CA",'2024'!$H$2=CN157),'2024DATA'!$G$33,"")</f>
        <v/>
      </c>
      <c r="CO188" s="518" t="str">
        <f>IF(AND(_F="A-220-300",'2024'!$H$4="CA",'2024'!$H$2=CO157),'2024DATA'!$H$33,"")</f>
        <v/>
      </c>
      <c r="CP188" s="518" t="str">
        <f>IF(AND(_F="A-220-300",'2024'!$H$4="CA",'2024'!$H$2=CP157),'2024DATA'!$I$33,"")</f>
        <v/>
      </c>
      <c r="CQ188" s="518" t="str">
        <f>IF(AND(_F="A-220-300",'2024'!$H$4="CA",'2024'!$H$2=CQ157),'2024DATA'!$J$33,"")</f>
        <v/>
      </c>
      <c r="CR188" s="518" t="str">
        <f>IF(AND(_F="A-220-300",'2024'!$H$4="CA",'2024'!$H$2=CR157),'2024DATA'!$K$33,"")</f>
        <v/>
      </c>
      <c r="CS188" s="518" t="str">
        <f>IF(AND(_F="A-220-300",'2024'!$H$4="CA",'2024'!$H$2=CS157),'2024DATA'!$L$33,"")</f>
        <v/>
      </c>
      <c r="CT188" s="518" t="str">
        <f>IF(AND(_F="A-220-300",'2024'!$H$4="CA",'2024'!$H$2=CT157),'2024DATA'!$M$33,"")</f>
        <v/>
      </c>
      <c r="CU188" s="520" t="str">
        <f>IF(AND(_F="A-220-300",'2024'!$H$4="CA",'2024'!$H$2=CU157),'2024DATA'!$N$33,"")</f>
        <v/>
      </c>
    </row>
    <row r="189" spans="16:99" x14ac:dyDescent="0.25">
      <c r="P189" s="940"/>
      <c r="Q189" s="13" t="s">
        <v>62</v>
      </c>
      <c r="R189" s="518" t="str">
        <f>IF(AND(_A="A-220-300",'2024'!$H$4="FO",'2024'!$H$2=R157),'2024DATA'!$C$34,"")</f>
        <v/>
      </c>
      <c r="S189" s="518" t="str">
        <f>IF(AND(_A="A-220-300",'2024'!$H$4="FO",'2024'!$H$2=S157),'2024DATA'!$D$34,"")</f>
        <v/>
      </c>
      <c r="T189" s="518" t="str">
        <f>IF(AND(_A="A-220-300",'2024'!$H$4="FO",'2024'!$H$2=T157),'2024DATA'!$E$34,"")</f>
        <v/>
      </c>
      <c r="U189" s="518" t="str">
        <f>IF(AND(_A="A-220-300",'2024'!$H$4="FO",'2024'!$H$2=U157),'2024DATA'!$F$34,"")</f>
        <v/>
      </c>
      <c r="V189" s="518" t="str">
        <f>IF(AND(_A="A-220-300",'2024'!$H$4="FO",'2024'!$H$2=V157),'2024DATA'!$G$34,"")</f>
        <v/>
      </c>
      <c r="W189" s="518" t="str">
        <f>IF(AND(_A="A-220-300",'2024'!$H$4="FO",'2024'!$H$2=W157),'2024DATA'!$H$34,"")</f>
        <v/>
      </c>
      <c r="X189" s="518" t="str">
        <f>IF(AND(_A="A-220-300",'2024'!$H$4="FO",'2024'!$H$2=X157),'2024DATA'!$I$34,"")</f>
        <v/>
      </c>
      <c r="Y189" s="518" t="str">
        <f>IF(AND(_A="A-220-300",'2024'!$H$4="FO",'2024'!$H$2=Y157),'2024DATA'!$J$34,"")</f>
        <v/>
      </c>
      <c r="Z189" s="518" t="str">
        <f>IF(AND(_A="A-220-300",'2024'!$H$4="FO",'2024'!$H$2=Z157),'2024DATA'!$K$34,"")</f>
        <v/>
      </c>
      <c r="AA189" s="518" t="str">
        <f>IF(AND(_A="A-220-300",'2024'!$H$4="FO",'2024'!$H$2=AA157),'2024DATA'!$L$34,"")</f>
        <v/>
      </c>
      <c r="AB189" s="518" t="str">
        <f>IF(AND(_A="A-220-300",'2024'!$H$4="FO",'2024'!$H$2=AB157),'2024DATA'!$M$34,"")</f>
        <v/>
      </c>
      <c r="AC189" s="520" t="str">
        <f>IF(AND(_A="A-220-300",'2024'!$H$4="FO",'2024'!$H$2=AC157),'2024DATA'!$N$34,"")</f>
        <v/>
      </c>
      <c r="AD189" s="940"/>
      <c r="AE189" s="13" t="s">
        <v>62</v>
      </c>
      <c r="AF189" s="518" t="str">
        <f>IF(AND(_B="A-220-300",'2024'!$H$4="FO",'2024'!$H$2=AF157),'2024DATA'!$C$34,"")</f>
        <v/>
      </c>
      <c r="AG189" s="518" t="str">
        <f>IF(AND(_B="A-220-300",'2024'!$H$4="FO",'2024'!$H$2=AG157),'2024DATA'!$D$34,"")</f>
        <v/>
      </c>
      <c r="AH189" s="518" t="str">
        <f>IF(AND(_B="A-220-300",'2024'!$H$4="FO",'2024'!$H$2=AH157),'2024DATA'!$E$34,"")</f>
        <v/>
      </c>
      <c r="AI189" s="518" t="str">
        <f>IF(AND(_B="A-220-300",'2024'!$H$4="FO",'2024'!$H$2=AI157),'2024DATA'!$F$34,"")</f>
        <v/>
      </c>
      <c r="AJ189" s="518" t="str">
        <f>IF(AND(_B="A-220-300",'2024'!$H$4="FO",'2024'!$H$2=AJ157),'2024DATA'!$G$34,"")</f>
        <v/>
      </c>
      <c r="AK189" s="518" t="str">
        <f>IF(AND(_B="A-220-300",'2024'!$H$4="FO",'2024'!$H$2=AK157),'2024DATA'!$H$34,"")</f>
        <v/>
      </c>
      <c r="AL189" s="518" t="str">
        <f>IF(AND(_B="A-220-300",'2024'!$H$4="FO",'2024'!$H$2=AL157),'2024DATA'!$I$34,"")</f>
        <v/>
      </c>
      <c r="AM189" s="518" t="str">
        <f>IF(AND(_B="A-220-300",'2024'!$H$4="FO",'2024'!$H$2=AM157),'2024DATA'!$J$34,"")</f>
        <v/>
      </c>
      <c r="AN189" s="518" t="str">
        <f>IF(AND(_B="A-220-300",'2024'!$H$4="FO",'2024'!$H$2=AN157),'2024DATA'!$K$34,"")</f>
        <v/>
      </c>
      <c r="AO189" s="518" t="str">
        <f>IF(AND(_B="A-220-300",'2024'!$H$4="FO",'2024'!$H$2=AO157),'2024DATA'!$L$34,"")</f>
        <v/>
      </c>
      <c r="AP189" s="518" t="str">
        <f>IF(AND(_B="A-220-300",'2024'!$H$4="FO",'2024'!$H$2=AP157),'2024DATA'!$M$34,"")</f>
        <v/>
      </c>
      <c r="AQ189" s="520" t="str">
        <f>IF(AND(_B="A-220-300",'2024'!$H$4="FO",'2024'!$H$2=AQ157),'2024DATA'!$N$34,"")</f>
        <v/>
      </c>
      <c r="AR189" s="940"/>
      <c r="AS189" s="13" t="s">
        <v>62</v>
      </c>
      <c r="AT189" s="518" t="str">
        <f>IF(AND(_C="A-220-300",'2024'!$H$4="FO",'2024'!$H$2=AT157),'2024DATA'!$C$34,"")</f>
        <v/>
      </c>
      <c r="AU189" s="518" t="str">
        <f>IF(AND(_C="A-220-300",'2024'!$H$4="FO",'2024'!$H$2=AU157),'2024DATA'!$D$34,"")</f>
        <v/>
      </c>
      <c r="AV189" s="518" t="str">
        <f>IF(AND(_C="A-220-300",'2024'!$H$4="FO",'2024'!$H$2=AV157),'2024DATA'!$E$34,"")</f>
        <v/>
      </c>
      <c r="AW189" s="518" t="str">
        <f>IF(AND(_C="A-220-300",'2024'!$H$4="FO",'2024'!$H$2=AW157),'2024DATA'!$F$34,"")</f>
        <v/>
      </c>
      <c r="AX189" s="518" t="str">
        <f>IF(AND(_C="A-220-300",'2024'!$H$4="FO",'2024'!$H$2=AX157),'2024DATA'!$G$34,"")</f>
        <v/>
      </c>
      <c r="AY189" s="518" t="str">
        <f>IF(AND(_C="A-220-300",'2024'!$H$4="FO",'2024'!$H$2=AY157),'2024DATA'!$H$34,"")</f>
        <v/>
      </c>
      <c r="AZ189" s="518" t="str">
        <f>IF(AND(_C="A-220-300",'2024'!$H$4="FO",'2024'!$H$2=AZ157),'2024DATA'!$I$34,"")</f>
        <v/>
      </c>
      <c r="BA189" s="518" t="str">
        <f>IF(AND(_C="A-220-300",'2024'!$H$4="FO",'2024'!$H$2=BA157),'2024DATA'!$J$34,"")</f>
        <v/>
      </c>
      <c r="BB189" s="518" t="str">
        <f>IF(AND(_C="A-220-300",'2024'!$H$4="FO",'2024'!$H$2=BB157),'2024DATA'!$K$34,"")</f>
        <v/>
      </c>
      <c r="BC189" s="518" t="str">
        <f>IF(AND(_C="A-220-300",'2024'!$H$4="FO",'2024'!$H$2=BC157),'2024DATA'!$L$34,"")</f>
        <v/>
      </c>
      <c r="BD189" s="518" t="str">
        <f>IF(AND(_C="A-220-300",'2024'!$H$4="FO",'2024'!$H$2=BD157),'2024DATA'!$M$34,"")</f>
        <v/>
      </c>
      <c r="BE189" s="520" t="str">
        <f>IF(AND(_C="A-220-300",'2024'!$H$4="FO",'2024'!$H$2=BE157),'2024DATA'!$N$34,"")</f>
        <v/>
      </c>
      <c r="BF189" s="940"/>
      <c r="BG189" s="13" t="s">
        <v>62</v>
      </c>
      <c r="BH189" s="518" t="str">
        <f>IF(AND(_D="A-220-300",'2024'!$H$4="FO",'2024'!$H$2=BH157),'2024DATA'!$C$34,"")</f>
        <v/>
      </c>
      <c r="BI189" s="518" t="str">
        <f>IF(AND(_D="A-220-300",'2024'!$H$4="FO",'2024'!$H$2=BI157),'2024DATA'!$D$34,"")</f>
        <v/>
      </c>
      <c r="BJ189" s="518" t="str">
        <f>IF(AND(_D="A-220-300",'2024'!$H$4="FO",'2024'!$H$2=BJ157),'2024DATA'!$E$34,"")</f>
        <v/>
      </c>
      <c r="BK189" s="518" t="str">
        <f>IF(AND(_D="A-220-300",'2024'!$H$4="FO",'2024'!$H$2=BK157),'2024DATA'!$F$34,"")</f>
        <v/>
      </c>
      <c r="BL189" s="518" t="str">
        <f>IF(AND(_D="A-220-300",'2024'!$H$4="FO",'2024'!$H$2=BL157),'2024DATA'!$G$34,"")</f>
        <v/>
      </c>
      <c r="BM189" s="518" t="str">
        <f>IF(AND(_D="A-220-300",'2024'!$H$4="FO",'2024'!$H$2=BM157),'2024DATA'!$H$34,"")</f>
        <v/>
      </c>
      <c r="BN189" s="518" t="str">
        <f>IF(AND(_D="A-220-300",'2024'!$H$4="FO",'2024'!$H$2=BN157),'2024DATA'!$I$34,"")</f>
        <v/>
      </c>
      <c r="BO189" s="518" t="str">
        <f>IF(AND(_D="A-220-300",'2024'!$H$4="FO",'2024'!$H$2=BO157),'2024DATA'!$J$34,"")</f>
        <v/>
      </c>
      <c r="BP189" s="518" t="str">
        <f>IF(AND(_D="A-220-300",'2024'!$H$4="FO",'2024'!$H$2=BP157),'2024DATA'!$K$34,"")</f>
        <v/>
      </c>
      <c r="BQ189" s="518" t="str">
        <f>IF(AND(_D="A-220-300",'2024'!$H$4="FO",'2024'!$H$2=BQ157),'2024DATA'!$L$34,"")</f>
        <v/>
      </c>
      <c r="BR189" s="518" t="str">
        <f>IF(AND(_D="A-220-300",'2024'!$H$4="FO",'2024'!$H$2=BR157),'2024DATA'!$M$34,"")</f>
        <v/>
      </c>
      <c r="BS189" s="520" t="str">
        <f>IF(AND(_D="A-220-300",'2024'!$H$4="FO",'2024'!$H$2=BS157),'2024DATA'!$N$34,"")</f>
        <v/>
      </c>
      <c r="BT189" s="940"/>
      <c r="BU189" s="13" t="s">
        <v>62</v>
      </c>
      <c r="BV189" s="518" t="str">
        <f>IF(AND(_E="A-220-300",'2024'!$H$4="FO",'2024'!$H$2=BV157),'2024DATA'!$C$34,"")</f>
        <v/>
      </c>
      <c r="BW189" s="518" t="str">
        <f>IF(AND(_E="A-220-300",'2024'!$H$4="FO",'2024'!$H$2=BW157),'2024DATA'!$D$34,"")</f>
        <v/>
      </c>
      <c r="BX189" s="518" t="str">
        <f>IF(AND(_E="A-220-300",'2024'!$H$4="FO",'2024'!$H$2=BX157),'2024DATA'!$E$34,"")</f>
        <v/>
      </c>
      <c r="BY189" s="518" t="str">
        <f>IF(AND(_E="A-220-300",'2024'!$H$4="FO",'2024'!$H$2=BY157),'2024DATA'!$F$34,"")</f>
        <v/>
      </c>
      <c r="BZ189" s="518" t="str">
        <f>IF(AND(_E="A-220-300",'2024'!$H$4="FO",'2024'!$H$2=BZ157),'2024DATA'!$G$34,"")</f>
        <v/>
      </c>
      <c r="CA189" s="518" t="str">
        <f>IF(AND(_E="A-220-300",'2024'!$H$4="FO",'2024'!$H$2=CA157),'2024DATA'!$H$34,"")</f>
        <v/>
      </c>
      <c r="CB189" s="518" t="str">
        <f>IF(AND(_E="A-220-300",'2024'!$H$4="FO",'2024'!$H$2=CB157),'2024DATA'!$I$34,"")</f>
        <v/>
      </c>
      <c r="CC189" s="518" t="str">
        <f>IF(AND(_E="A-220-300",'2024'!$H$4="FO",'2024'!$H$2=CC157),'2024DATA'!$J$34,"")</f>
        <v/>
      </c>
      <c r="CD189" s="518" t="str">
        <f>IF(AND(_E="A-220-300",'2024'!$H$4="FO",'2024'!$H$2=CD157),'2024DATA'!$K$34,"")</f>
        <v/>
      </c>
      <c r="CE189" s="518" t="str">
        <f>IF(AND(_E="A-220-300",'2024'!$H$4="FO",'2024'!$H$2=CE157),'2024DATA'!$L$34,"")</f>
        <v/>
      </c>
      <c r="CF189" s="518" t="str">
        <f>IF(AND(_E="A-220-300",'2024'!$H$4="FO",'2024'!$H$2=CF157),'2024DATA'!$M$34,"")</f>
        <v/>
      </c>
      <c r="CG189" s="520" t="str">
        <f>IF(AND(_E="A-220-300",'2024'!$H$4="FO",'2024'!$H$2=CG157),'2024DATA'!$N$34,"")</f>
        <v/>
      </c>
      <c r="CH189" s="940"/>
      <c r="CI189" s="13" t="s">
        <v>62</v>
      </c>
      <c r="CJ189" s="518" t="str">
        <f>IF(AND(_F="A-220-300",'2024'!$H$4="FO",'2024'!$H$2=CJ157),'2024DATA'!$C$34,"")</f>
        <v/>
      </c>
      <c r="CK189" s="518" t="str">
        <f>IF(AND(_F="A-220-300",'2024'!$H$4="FO",'2024'!$H$2=CK157),'2024DATA'!$D$34,"")</f>
        <v/>
      </c>
      <c r="CL189" s="518" t="str">
        <f>IF(AND(_F="A-220-300",'2024'!$H$4="FO",'2024'!$H$2=CL157),'2024DATA'!$E$34,"")</f>
        <v/>
      </c>
      <c r="CM189" s="518" t="str">
        <f>IF(AND(_F="A-220-300",'2024'!$H$4="FO",'2024'!$H$2=CM157),'2024DATA'!$F$34,"")</f>
        <v/>
      </c>
      <c r="CN189" s="518" t="str">
        <f>IF(AND(_F="A-220-300",'2024'!$H$4="FO",'2024'!$H$2=CN157),'2024DATA'!$G$34,"")</f>
        <v/>
      </c>
      <c r="CO189" s="518" t="str">
        <f>IF(AND(_F="A-220-300",'2024'!$H$4="FO",'2024'!$H$2=CO157),'2024DATA'!$H$34,"")</f>
        <v/>
      </c>
      <c r="CP189" s="518" t="str">
        <f>IF(AND(_F="A-220-300",'2024'!$H$4="FO",'2024'!$H$2=CP157),'2024DATA'!$I$34,"")</f>
        <v/>
      </c>
      <c r="CQ189" s="518" t="str">
        <f>IF(AND(_F="A-220-300",'2024'!$H$4="FO",'2024'!$H$2=CQ157),'2024DATA'!$J$34,"")</f>
        <v/>
      </c>
      <c r="CR189" s="518" t="str">
        <f>IF(AND(_F="A-220-300",'2024'!$H$4="FO",'2024'!$H$2=CR157),'2024DATA'!$K$34,"")</f>
        <v/>
      </c>
      <c r="CS189" s="518" t="str">
        <f>IF(AND(_F="A-220-300",'2024'!$H$4="FO",'2024'!$H$2=CS157),'2024DATA'!$L$34,"")</f>
        <v/>
      </c>
      <c r="CT189" s="518" t="str">
        <f>IF(AND(_F="A-220-300",'2024'!$H$4="FO",'2024'!$H$2=CT157),'2024DATA'!$M$34,"")</f>
        <v/>
      </c>
      <c r="CU189" s="520" t="str">
        <f>IF(AND(_F="A-220-300",'2024'!$H$4="FO",'2024'!$H$2=CU157),'2024DATA'!$N$34,"")</f>
        <v/>
      </c>
    </row>
    <row r="190" spans="16:99" x14ac:dyDescent="0.25">
      <c r="P190" s="940" t="s">
        <v>52</v>
      </c>
      <c r="Q190" s="13" t="s">
        <v>61</v>
      </c>
      <c r="R190" s="518" t="str">
        <f>IF(AND(_A="A-220-100",'2024'!$H$4="CA",'2024'!$H$2=R157),'2024DATA'!$C$35,"")</f>
        <v/>
      </c>
      <c r="S190" s="518" t="str">
        <f>IF(AND(_A="A-220-100",'2024'!$H$4="CA",'2024'!$H$2=S157),'2024DATA'!$D$35,"")</f>
        <v/>
      </c>
      <c r="T190" s="518" t="str">
        <f>IF(AND(_A="A-220-100",'2024'!$H$4="CA",'2024'!$H$2=T157),'2024DATA'!$E$35,"")</f>
        <v/>
      </c>
      <c r="U190" s="518" t="str">
        <f>IF(AND(_A="A-220-100",'2024'!$H$4="CA",'2024'!$H$2=U157),'2024DATA'!$F$35,"")</f>
        <v/>
      </c>
      <c r="V190" s="518" t="str">
        <f>IF(AND(_A="A-220-100",'2024'!$H$4="CA",'2024'!$H$2=V157),'2024DATA'!$G$35,"")</f>
        <v/>
      </c>
      <c r="W190" s="518" t="str">
        <f>IF(AND(_A="A-220-100",'2024'!$H$4="CA",'2024'!$H$2=W157),'2024DATA'!$H$35,"")</f>
        <v/>
      </c>
      <c r="X190" s="518" t="str">
        <f>IF(AND(_A="A-220-100",'2024'!$H$4="CA",'2024'!$H$2=X157),'2024DATA'!$I$35,"")</f>
        <v/>
      </c>
      <c r="Y190" s="518" t="str">
        <f>IF(AND(_A="A-220-100",'2024'!$H$4="CA",'2024'!$H$2=Y157),'2024DATA'!$J$35,"")</f>
        <v/>
      </c>
      <c r="Z190" s="518" t="str">
        <f>IF(AND(_A="A-220-100",'2024'!$H$4="CA",'2024'!$H$2=Z157),'2024DATA'!$K$35,"")</f>
        <v/>
      </c>
      <c r="AA190" s="518" t="str">
        <f>IF(AND(_A="A-220-100",'2024'!$H$4="CA",'2024'!$H$2=AA157),'2024DATA'!$L$35,"")</f>
        <v/>
      </c>
      <c r="AB190" s="518" t="str">
        <f>IF(AND(_A="A-220-100",'2024'!$H$4="CA",'2024'!$H$2=AB157),'2024DATA'!$M$35,"")</f>
        <v/>
      </c>
      <c r="AC190" s="520" t="str">
        <f>IF(AND(_A="A-220-100",'2024'!$H$4="CA",'2024'!$H$2=AC157),'2024DATA'!$N$35,"")</f>
        <v/>
      </c>
      <c r="AD190" s="940" t="s">
        <v>52</v>
      </c>
      <c r="AE190" s="13" t="s">
        <v>61</v>
      </c>
      <c r="AF190" s="518" t="str">
        <f>IF(AND(_B="A-220-100",'2024'!$H$4="CA",'2024'!$H$2=AF157),'2024DATA'!$C$35,"")</f>
        <v/>
      </c>
      <c r="AG190" s="518" t="str">
        <f>IF(AND(_B="A-220-100",'2024'!$H$4="CA",'2024'!$H$2=AG157),'2024DATA'!$D$35,"")</f>
        <v/>
      </c>
      <c r="AH190" s="518" t="str">
        <f>IF(AND(_B="A-220-100",'2024'!$H$4="CA",'2024'!$H$2=AH157),'2024DATA'!$E$35,"")</f>
        <v/>
      </c>
      <c r="AI190" s="518" t="str">
        <f>IF(AND(_B="A-220-100",'2024'!$H$4="CA",'2024'!$H$2=AI157),'2024DATA'!$F$35,"")</f>
        <v/>
      </c>
      <c r="AJ190" s="518" t="str">
        <f>IF(AND(_B="A-220-100",'2024'!$H$4="CA",'2024'!$H$2=AJ157),'2024DATA'!$G$35,"")</f>
        <v/>
      </c>
      <c r="AK190" s="518" t="str">
        <f>IF(AND(_B="A-220-100",'2024'!$H$4="CA",'2024'!$H$2=AK157),'2024DATA'!$H$35,"")</f>
        <v/>
      </c>
      <c r="AL190" s="518" t="str">
        <f>IF(AND(_B="A-220-100",'2024'!$H$4="CA",'2024'!$H$2=AL157),'2024DATA'!$I$35,"")</f>
        <v/>
      </c>
      <c r="AM190" s="518" t="str">
        <f>IF(AND(_B="A-220-100",'2024'!$H$4="CA",'2024'!$H$2=AM157),'2024DATA'!$J$35,"")</f>
        <v/>
      </c>
      <c r="AN190" s="518" t="str">
        <f>IF(AND(_B="A-220-100",'2024'!$H$4="CA",'2024'!$H$2=AN157),'2024DATA'!$K$35,"")</f>
        <v/>
      </c>
      <c r="AO190" s="518" t="str">
        <f>IF(AND(_B="A-220-100",'2024'!$H$4="CA",'2024'!$H$2=AO157),'2024DATA'!$L$35,"")</f>
        <v/>
      </c>
      <c r="AP190" s="518" t="str">
        <f>IF(AND(_B="A-220-100",'2024'!$H$4="CA",'2024'!$H$2=AP157),'2024DATA'!$M$35,"")</f>
        <v/>
      </c>
      <c r="AQ190" s="520" t="str">
        <f>IF(AND(_B="A-220-100",'2024'!$H$4="CA",'2024'!$H$2=AQ157),'2024DATA'!$N$35,"")</f>
        <v/>
      </c>
      <c r="AR190" s="940" t="s">
        <v>52</v>
      </c>
      <c r="AS190" s="13" t="s">
        <v>61</v>
      </c>
      <c r="AT190" s="518" t="str">
        <f>IF(AND(_C="A-220-100",'2024'!$H$4="CA",'2024'!$H$2=AT157),'2024DATA'!$C$35,"")</f>
        <v/>
      </c>
      <c r="AU190" s="518" t="str">
        <f>IF(AND(_C="A-220-100",'2024'!$H$4="CA",'2024'!$H$2=AU157),'2024DATA'!$D$35,"")</f>
        <v/>
      </c>
      <c r="AV190" s="518" t="str">
        <f>IF(AND(_C="A-220-100",'2024'!$H$4="CA",'2024'!$H$2=AV157),'2024DATA'!$E$35,"")</f>
        <v/>
      </c>
      <c r="AW190" s="518" t="str">
        <f>IF(AND(_C="A-220-100",'2024'!$H$4="CA",'2024'!$H$2=AW157),'2024DATA'!$F$35,"")</f>
        <v/>
      </c>
      <c r="AX190" s="518" t="str">
        <f>IF(AND(_C="A-220-100",'2024'!$H$4="CA",'2024'!$H$2=AX157),'2024DATA'!$G$35,"")</f>
        <v/>
      </c>
      <c r="AY190" s="518" t="str">
        <f>IF(AND(_C="A-220-100",'2024'!$H$4="CA",'2024'!$H$2=AY157),'2024DATA'!$H$35,"")</f>
        <v/>
      </c>
      <c r="AZ190" s="518" t="str">
        <f>IF(AND(_C="A-220-100",'2024'!$H$4="CA",'2024'!$H$2=AZ157),'2024DATA'!$I$35,"")</f>
        <v/>
      </c>
      <c r="BA190" s="518" t="str">
        <f>IF(AND(_C="A-220-100",'2024'!$H$4="CA",'2024'!$H$2=BA157),'2024DATA'!$J$35,"")</f>
        <v/>
      </c>
      <c r="BB190" s="518" t="str">
        <f>IF(AND(_C="A-220-100",'2024'!$H$4="CA",'2024'!$H$2=BB157),'2024DATA'!$K$35,"")</f>
        <v/>
      </c>
      <c r="BC190" s="518" t="str">
        <f>IF(AND(_C="A-220-100",'2024'!$H$4="CA",'2024'!$H$2=BC157),'2024DATA'!$L$35,"")</f>
        <v/>
      </c>
      <c r="BD190" s="518" t="str">
        <f>IF(AND(_C="A-220-100",'2024'!$H$4="CA",'2024'!$H$2=BD157),'2024DATA'!$M$35,"")</f>
        <v/>
      </c>
      <c r="BE190" s="520" t="str">
        <f>IF(AND(_C="A-220-100",'2024'!$H$4="CA",'2024'!$H$2=BE157),'2024DATA'!$N$35,"")</f>
        <v/>
      </c>
      <c r="BF190" s="940" t="s">
        <v>52</v>
      </c>
      <c r="BG190" s="13" t="s">
        <v>61</v>
      </c>
      <c r="BH190" s="518" t="str">
        <f>IF(AND(_D="A-220-100",'2024'!$H$4="CA",'2024'!$H$2=BH157),'2024DATA'!$C$35,"")</f>
        <v/>
      </c>
      <c r="BI190" s="518" t="str">
        <f>IF(AND(_D="A-220-100",'2024'!$H$4="CA",'2024'!$H$2=BI157),'2024DATA'!$D$35,"")</f>
        <v/>
      </c>
      <c r="BJ190" s="518" t="str">
        <f>IF(AND(_D="A-220-100",'2024'!$H$4="CA",'2024'!$H$2=BJ157),'2024DATA'!$E$35,"")</f>
        <v/>
      </c>
      <c r="BK190" s="518" t="str">
        <f>IF(AND(_D="A-220-100",'2024'!$H$4="CA",'2024'!$H$2=BK157),'2024DATA'!$F$35,"")</f>
        <v/>
      </c>
      <c r="BL190" s="518" t="str">
        <f>IF(AND(_D="A-220-100",'2024'!$H$4="CA",'2024'!$H$2=BL157),'2024DATA'!$G$35,"")</f>
        <v/>
      </c>
      <c r="BM190" s="518" t="str">
        <f>IF(AND(_D="A-220-100",'2024'!$H$4="CA",'2024'!$H$2=BM157),'2024DATA'!$H$35,"")</f>
        <v/>
      </c>
      <c r="BN190" s="518" t="str">
        <f>IF(AND(_D="A-220-100",'2024'!$H$4="CA",'2024'!$H$2=BN157),'2024DATA'!$I$35,"")</f>
        <v/>
      </c>
      <c r="BO190" s="518" t="str">
        <f>IF(AND(_D="A-220-100",'2024'!$H$4="CA",'2024'!$H$2=BO157),'2024DATA'!$J$35,"")</f>
        <v/>
      </c>
      <c r="BP190" s="518" t="str">
        <f>IF(AND(_D="A-220-100",'2024'!$H$4="CA",'2024'!$H$2=BP157),'2024DATA'!$K$35,"")</f>
        <v/>
      </c>
      <c r="BQ190" s="518" t="str">
        <f>IF(AND(_D="A-220-100",'2024'!$H$4="CA",'2024'!$H$2=BQ157),'2024DATA'!$L$35,"")</f>
        <v/>
      </c>
      <c r="BR190" s="518" t="str">
        <f>IF(AND(_D="A-220-100",'2024'!$H$4="CA",'2024'!$H$2=BR157),'2024DATA'!$M$35,"")</f>
        <v/>
      </c>
      <c r="BS190" s="520" t="str">
        <f>IF(AND(_D="A-220-100",'2024'!$H$4="CA",'2024'!$H$2=BS157),'2024DATA'!$N$35,"")</f>
        <v/>
      </c>
      <c r="BT190" s="940" t="s">
        <v>52</v>
      </c>
      <c r="BU190" s="13" t="s">
        <v>61</v>
      </c>
      <c r="BV190" s="518" t="str">
        <f>IF(AND(_E="A-220-100",'2024'!$H$4="CA",'2024'!$H$2=BV157),'2024DATA'!$C$35,"")</f>
        <v/>
      </c>
      <c r="BW190" s="518" t="str">
        <f>IF(AND(_E="A-220-100",'2024'!$H$4="CA",'2024'!$H$2=BW157),'2024DATA'!$D$35,"")</f>
        <v/>
      </c>
      <c r="BX190" s="518" t="str">
        <f>IF(AND(_E="A-220-100",'2024'!$H$4="CA",'2024'!$H$2=BX157),'2024DATA'!$E$35,"")</f>
        <v/>
      </c>
      <c r="BY190" s="518" t="str">
        <f>IF(AND(_E="A-220-100",'2024'!$H$4="CA",'2024'!$H$2=BY157),'2024DATA'!$F$35,"")</f>
        <v/>
      </c>
      <c r="BZ190" s="518" t="str">
        <f>IF(AND(_E="A-220-100",'2024'!$H$4="CA",'2024'!$H$2=BZ157),'2024DATA'!$G$35,"")</f>
        <v/>
      </c>
      <c r="CA190" s="518" t="str">
        <f>IF(AND(_E="A-220-100",'2024'!$H$4="CA",'2024'!$H$2=CA157),'2024DATA'!$H$35,"")</f>
        <v/>
      </c>
      <c r="CB190" s="518" t="str">
        <f>IF(AND(_E="A-220-100",'2024'!$H$4="CA",'2024'!$H$2=CB157),'2024DATA'!$I$35,"")</f>
        <v/>
      </c>
      <c r="CC190" s="518" t="str">
        <f>IF(AND(_E="A-220-100",'2024'!$H$4="CA",'2024'!$H$2=CC157),'2024DATA'!$J$35,"")</f>
        <v/>
      </c>
      <c r="CD190" s="518" t="str">
        <f>IF(AND(_E="A-220-100",'2024'!$H$4="CA",'2024'!$H$2=CD157),'2024DATA'!$K$35,"")</f>
        <v/>
      </c>
      <c r="CE190" s="518" t="str">
        <f>IF(AND(_E="A-220-100",'2024'!$H$4="CA",'2024'!$H$2=CE157),'2024DATA'!$L$35,"")</f>
        <v/>
      </c>
      <c r="CF190" s="518" t="str">
        <f>IF(AND(_E="A-220-100",'2024'!$H$4="CA",'2024'!$H$2=CF157),'2024DATA'!$M$35,"")</f>
        <v/>
      </c>
      <c r="CG190" s="520" t="str">
        <f>IF(AND(_E="A-220-100",'2024'!$H$4="CA",'2024'!$H$2=CG157),'2024DATA'!$N$35,"")</f>
        <v/>
      </c>
      <c r="CH190" s="940" t="s">
        <v>52</v>
      </c>
      <c r="CI190" s="13" t="s">
        <v>61</v>
      </c>
      <c r="CJ190" s="518" t="str">
        <f>IF(AND(_F="A-220-100",'2024'!$H$4="CA",'2024'!$H$2=CJ157),'2024DATA'!$C$35,"")</f>
        <v/>
      </c>
      <c r="CK190" s="518" t="str">
        <f>IF(AND(_F="A-220-100",'2024'!$H$4="CA",'2024'!$H$2=CK157),'2024DATA'!$D$35,"")</f>
        <v/>
      </c>
      <c r="CL190" s="518" t="str">
        <f>IF(AND(_F="A-220-100",'2024'!$H$4="CA",'2024'!$H$2=CL157),'2024DATA'!$E$35,"")</f>
        <v/>
      </c>
      <c r="CM190" s="518" t="str">
        <f>IF(AND(_F="A-220-100",'2024'!$H$4="CA",'2024'!$H$2=CM157),'2024DATA'!$F$35,"")</f>
        <v/>
      </c>
      <c r="CN190" s="518" t="str">
        <f>IF(AND(_F="A-220-100",'2024'!$H$4="CA",'2024'!$H$2=CN157),'2024DATA'!$G$35,"")</f>
        <v/>
      </c>
      <c r="CO190" s="518" t="str">
        <f>IF(AND(_F="A-220-100",'2024'!$H$4="CA",'2024'!$H$2=CO157),'2024DATA'!$H$35,"")</f>
        <v/>
      </c>
      <c r="CP190" s="518" t="str">
        <f>IF(AND(_F="A-220-100",'2024'!$H$4="CA",'2024'!$H$2=CP157),'2024DATA'!$I$35,"")</f>
        <v/>
      </c>
      <c r="CQ190" s="518" t="str">
        <f>IF(AND(_F="A-220-100",'2024'!$H$4="CA",'2024'!$H$2=CQ157),'2024DATA'!$J$35,"")</f>
        <v/>
      </c>
      <c r="CR190" s="518" t="str">
        <f>IF(AND(_F="A-220-100",'2024'!$H$4="CA",'2024'!$H$2=CR157),'2024DATA'!$K$35,"")</f>
        <v/>
      </c>
      <c r="CS190" s="518" t="str">
        <f>IF(AND(_F="A-220-100",'2024'!$H$4="CA",'2024'!$H$2=CS157),'2024DATA'!$L$35,"")</f>
        <v/>
      </c>
      <c r="CT190" s="518" t="str">
        <f>IF(AND(_F="A-220-100",'2024'!$H$4="CA",'2024'!$H$2=CT157),'2024DATA'!$M$35,"")</f>
        <v/>
      </c>
      <c r="CU190" s="520" t="str">
        <f>IF(AND(_F="A-220-100",'2024'!$H$4="CA",'2024'!$H$2=CU157),'2024DATA'!$N$35,"")</f>
        <v/>
      </c>
    </row>
    <row r="191" spans="16:99" x14ac:dyDescent="0.25">
      <c r="P191" s="940"/>
      <c r="Q191" s="13" t="s">
        <v>62</v>
      </c>
      <c r="R191" s="518" t="str">
        <f>IF(AND(_A="A-220-100",'2024'!$H$4="FO",'2024'!$H$2=R157),'2024DATA'!$C$36,"")</f>
        <v/>
      </c>
      <c r="S191" s="518" t="str">
        <f>IF(AND(_A="A-220-100",'2024'!$H$4="FO",'2024'!$H$2=S157),'2024DATA'!$D$36,"")</f>
        <v/>
      </c>
      <c r="T191" s="518" t="str">
        <f>IF(AND(_A="A-220-100",'2024'!$H$4="FO",'2024'!$H$2=T157),'2024DATA'!$E$36,"")</f>
        <v/>
      </c>
      <c r="U191" s="518" t="str">
        <f>IF(AND(_A="A-220-100",'2024'!$H$4="FO",'2024'!$H$2=U157),'2024DATA'!$F$36,"")</f>
        <v/>
      </c>
      <c r="V191" s="518" t="str">
        <f>IF(AND(_A="A-220-100",'2024'!$H$4="FO",'2024'!$H$2=V157),'2024DATA'!$G$36,"")</f>
        <v/>
      </c>
      <c r="W191" s="518" t="str">
        <f>IF(AND(_A="A-220-100",'2024'!$H$4="FO",'2024'!$H$2=W157),'2024DATA'!$H$36,"")</f>
        <v/>
      </c>
      <c r="X191" s="518" t="str">
        <f>IF(AND(_A="A-220-100",'2024'!$H$4="FO",'2024'!$H$2=X157),'2024DATA'!$I$36,"")</f>
        <v/>
      </c>
      <c r="Y191" s="518" t="str">
        <f>IF(AND(_A="A-220-100",'2024'!$H$4="FO",'2024'!$H$2=Y157),'2024DATA'!$J$36,"")</f>
        <v/>
      </c>
      <c r="Z191" s="518" t="str">
        <f>IF(AND(_A="A-220-100",'2024'!$H$4="FO",'2024'!$H$2=Z157),'2024DATA'!$K$36,"")</f>
        <v/>
      </c>
      <c r="AA191" s="518" t="str">
        <f>IF(AND(_A="A-220-100",'2024'!$H$4="FO",'2024'!$H$2=AA157),'2024DATA'!$L$36,"")</f>
        <v/>
      </c>
      <c r="AB191" s="518" t="str">
        <f>IF(AND(_A="A-220-100",'2024'!$H$4="FO",'2024'!$H$2=AB157),'2024DATA'!$M$36,"")</f>
        <v/>
      </c>
      <c r="AC191" s="520" t="str">
        <f>IF(AND(_A="A-220-100",'2024'!$H$4="FO",'2024'!$H$2=AC157),'2024DATA'!$N$36,"")</f>
        <v/>
      </c>
      <c r="AD191" s="940"/>
      <c r="AE191" s="13" t="s">
        <v>62</v>
      </c>
      <c r="AF191" s="518" t="str">
        <f>IF(AND(_B="A-220-100",'2024'!$H$4="FO",'2024'!$H$2=AF157),'2024DATA'!$C$36,"")</f>
        <v/>
      </c>
      <c r="AG191" s="518" t="str">
        <f>IF(AND(_B="A-220-100",'2024'!$H$4="FO",'2024'!$H$2=AG157),'2024DATA'!$D$36,"")</f>
        <v/>
      </c>
      <c r="AH191" s="518" t="str">
        <f>IF(AND(_B="A-220-100",'2024'!$H$4="FO",'2024'!$H$2=AH157),'2024DATA'!$E$36,"")</f>
        <v/>
      </c>
      <c r="AI191" s="518" t="str">
        <f>IF(AND(_B="A-220-100",'2024'!$H$4="FO",'2024'!$H$2=AI157),'2024DATA'!$F$36,"")</f>
        <v/>
      </c>
      <c r="AJ191" s="518" t="str">
        <f>IF(AND(_B="A-220-100",'2024'!$H$4="FO",'2024'!$H$2=AJ157),'2024DATA'!$G$36,"")</f>
        <v/>
      </c>
      <c r="AK191" s="518" t="str">
        <f>IF(AND(_B="A-220-100",'2024'!$H$4="FO",'2024'!$H$2=AK157),'2024DATA'!$H$36,"")</f>
        <v/>
      </c>
      <c r="AL191" s="518" t="str">
        <f>IF(AND(_B="A-220-100",'2024'!$H$4="FO",'2024'!$H$2=AL157),'2024DATA'!$I$36,"")</f>
        <v/>
      </c>
      <c r="AM191" s="518" t="str">
        <f>IF(AND(_B="A-220-100",'2024'!$H$4="FO",'2024'!$H$2=AM157),'2024DATA'!$J$36,"")</f>
        <v/>
      </c>
      <c r="AN191" s="518" t="str">
        <f>IF(AND(_B="A-220-100",'2024'!$H$4="FO",'2024'!$H$2=AN157),'2024DATA'!$K$36,"")</f>
        <v/>
      </c>
      <c r="AO191" s="518" t="str">
        <f>IF(AND(_B="A-220-100",'2024'!$H$4="FO",'2024'!$H$2=AO157),'2024DATA'!$L$36,"")</f>
        <v/>
      </c>
      <c r="AP191" s="518" t="str">
        <f>IF(AND(_B="A-220-100",'2024'!$H$4="FO",'2024'!$H$2=AP157),'2024DATA'!$M$36,"")</f>
        <v/>
      </c>
      <c r="AQ191" s="520" t="str">
        <f>IF(AND(_B="A-220-100",'2024'!$H$4="FO",'2024'!$H$2=AQ157),'2024DATA'!$N$36,"")</f>
        <v/>
      </c>
      <c r="AR191" s="940"/>
      <c r="AS191" s="13" t="s">
        <v>62</v>
      </c>
      <c r="AT191" s="518" t="str">
        <f>IF(AND(_C="A-220-100",'2024'!$H$4="FO",'2024'!$H$2=AT157),'2024DATA'!$C$36,"")</f>
        <v/>
      </c>
      <c r="AU191" s="518" t="str">
        <f>IF(AND(_C="A-220-100",'2024'!$H$4="FO",'2024'!$H$2=AU157),'2024DATA'!$D$36,"")</f>
        <v/>
      </c>
      <c r="AV191" s="518" t="str">
        <f>IF(AND(_C="A-220-100",'2024'!$H$4="FO",'2024'!$H$2=AV157),'2024DATA'!$E$36,"")</f>
        <v/>
      </c>
      <c r="AW191" s="518" t="str">
        <f>IF(AND(_C="A-220-100",'2024'!$H$4="FO",'2024'!$H$2=AW157),'2024DATA'!$F$36,"")</f>
        <v/>
      </c>
      <c r="AX191" s="518" t="str">
        <f>IF(AND(_C="A-220-100",'2024'!$H$4="FO",'2024'!$H$2=AX157),'2024DATA'!$G$36,"")</f>
        <v/>
      </c>
      <c r="AY191" s="518" t="str">
        <f>IF(AND(_C="A-220-100",'2024'!$H$4="FO",'2024'!$H$2=AY157),'2024DATA'!$H$36,"")</f>
        <v/>
      </c>
      <c r="AZ191" s="518" t="str">
        <f>IF(AND(_C="A-220-100",'2024'!$H$4="FO",'2024'!$H$2=AZ157),'2024DATA'!$I$36,"")</f>
        <v/>
      </c>
      <c r="BA191" s="518" t="str">
        <f>IF(AND(_C="A-220-100",'2024'!$H$4="FO",'2024'!$H$2=BA157),'2024DATA'!$J$36,"")</f>
        <v/>
      </c>
      <c r="BB191" s="518" t="str">
        <f>IF(AND(_C="A-220-100",'2024'!$H$4="FO",'2024'!$H$2=BB157),'2024DATA'!$K$36,"")</f>
        <v/>
      </c>
      <c r="BC191" s="518" t="str">
        <f>IF(AND(_C="A-220-100",'2024'!$H$4="FO",'2024'!$H$2=BC157),'2024DATA'!$L$36,"")</f>
        <v/>
      </c>
      <c r="BD191" s="518" t="str">
        <f>IF(AND(_C="A-220-100",'2024'!$H$4="FO",'2024'!$H$2=BD157),'2024DATA'!$M$36,"")</f>
        <v/>
      </c>
      <c r="BE191" s="520" t="str">
        <f>IF(AND(_C="A-220-100",'2024'!$H$4="FO",'2024'!$H$2=BE157),'2024DATA'!$N$36,"")</f>
        <v/>
      </c>
      <c r="BF191" s="940"/>
      <c r="BG191" s="13" t="s">
        <v>62</v>
      </c>
      <c r="BH191" s="518" t="str">
        <f>IF(AND(_D="A-220-100",'2024'!$H$4="FO",'2024'!$H$2=BH157),'2024DATA'!$C$36,"")</f>
        <v/>
      </c>
      <c r="BI191" s="518" t="str">
        <f>IF(AND(_D="A-220-100",'2024'!$H$4="FO",'2024'!$H$2=BI157),'2024DATA'!$D$36,"")</f>
        <v/>
      </c>
      <c r="BJ191" s="518" t="str">
        <f>IF(AND(_D="A-220-100",'2024'!$H$4="FO",'2024'!$H$2=BJ157),'2024DATA'!$E$36,"")</f>
        <v/>
      </c>
      <c r="BK191" s="518" t="str">
        <f>IF(AND(_D="A-220-100",'2024'!$H$4="FO",'2024'!$H$2=BK157),'2024DATA'!$F$36,"")</f>
        <v/>
      </c>
      <c r="BL191" s="518" t="str">
        <f>IF(AND(_D="A-220-100",'2024'!$H$4="FO",'2024'!$H$2=BL157),'2024DATA'!$G$36,"")</f>
        <v/>
      </c>
      <c r="BM191" s="518" t="str">
        <f>IF(AND(_D="A-220-100",'2024'!$H$4="FO",'2024'!$H$2=BM157),'2024DATA'!$H$36,"")</f>
        <v/>
      </c>
      <c r="BN191" s="518" t="str">
        <f>IF(AND(_D="A-220-100",'2024'!$H$4="FO",'2024'!$H$2=BN157),'2024DATA'!$I$36,"")</f>
        <v/>
      </c>
      <c r="BO191" s="518" t="str">
        <f>IF(AND(_D="A-220-100",'2024'!$H$4="FO",'2024'!$H$2=BO157),'2024DATA'!$J$36,"")</f>
        <v/>
      </c>
      <c r="BP191" s="518" t="str">
        <f>IF(AND(_D="A-220-100",'2024'!$H$4="FO",'2024'!$H$2=BP157),'2024DATA'!$K$36,"")</f>
        <v/>
      </c>
      <c r="BQ191" s="518" t="str">
        <f>IF(AND(_D="A-220-100",'2024'!$H$4="FO",'2024'!$H$2=BQ157),'2024DATA'!$L$36,"")</f>
        <v/>
      </c>
      <c r="BR191" s="518" t="str">
        <f>IF(AND(_D="A-220-100",'2024'!$H$4="FO",'2024'!$H$2=BR157),'2024DATA'!$M$36,"")</f>
        <v/>
      </c>
      <c r="BS191" s="520" t="str">
        <f>IF(AND(_D="A-220-100",'2024'!$H$4="FO",'2024'!$H$2=BS157),'2024DATA'!$N$36,"")</f>
        <v/>
      </c>
      <c r="BT191" s="940"/>
      <c r="BU191" s="13" t="s">
        <v>62</v>
      </c>
      <c r="BV191" s="518" t="str">
        <f>IF(AND(_E="A-220-100",'2024'!$H$4="FO",'2024'!$H$2=BV157),'2024DATA'!$C$36,"")</f>
        <v/>
      </c>
      <c r="BW191" s="518" t="str">
        <f>IF(AND(_E="A-220-100",'2024'!$H$4="FO",'2024'!$H$2=BW157),'2024DATA'!$D$36,"")</f>
        <v/>
      </c>
      <c r="BX191" s="518" t="str">
        <f>IF(AND(_E="A-220-100",'2024'!$H$4="FO",'2024'!$H$2=BX157),'2024DATA'!$E$36,"")</f>
        <v/>
      </c>
      <c r="BY191" s="518" t="str">
        <f>IF(AND(_E="A-220-100",'2024'!$H$4="FO",'2024'!$H$2=BY157),'2024DATA'!$F$36,"")</f>
        <v/>
      </c>
      <c r="BZ191" s="518" t="str">
        <f>IF(AND(_E="A-220-100",'2024'!$H$4="FO",'2024'!$H$2=BZ157),'2024DATA'!$G$36,"")</f>
        <v/>
      </c>
      <c r="CA191" s="518" t="str">
        <f>IF(AND(_E="A-220-100",'2024'!$H$4="FO",'2024'!$H$2=CA157),'2024DATA'!$H$36,"")</f>
        <v/>
      </c>
      <c r="CB191" s="518" t="str">
        <f>IF(AND(_E="A-220-100",'2024'!$H$4="FO",'2024'!$H$2=CB157),'2024DATA'!$I$36,"")</f>
        <v/>
      </c>
      <c r="CC191" s="518" t="str">
        <f>IF(AND(_E="A-220-100",'2024'!$H$4="FO",'2024'!$H$2=CC157),'2024DATA'!$J$36,"")</f>
        <v/>
      </c>
      <c r="CD191" s="518" t="str">
        <f>IF(AND(_E="A-220-100",'2024'!$H$4="FO",'2024'!$H$2=CD157),'2024DATA'!$K$36,"")</f>
        <v/>
      </c>
      <c r="CE191" s="518" t="str">
        <f>IF(AND(_E="A-220-100",'2024'!$H$4="FO",'2024'!$H$2=CE157),'2024DATA'!$L$36,"")</f>
        <v/>
      </c>
      <c r="CF191" s="518" t="str">
        <f>IF(AND(_E="A-220-100",'2024'!$H$4="FO",'2024'!$H$2=CF157),'2024DATA'!$M$36,"")</f>
        <v/>
      </c>
      <c r="CG191" s="520" t="str">
        <f>IF(AND(_E="A-220-100",'2024'!$H$4="FO",'2024'!$H$2=CG157),'2024DATA'!$N$36,"")</f>
        <v/>
      </c>
      <c r="CH191" s="940"/>
      <c r="CI191" s="13" t="s">
        <v>62</v>
      </c>
      <c r="CJ191" s="518" t="str">
        <f>IF(AND(_F="A-220-100",'2024'!$H$4="FO",'2024'!$H$2=CJ157),'2024DATA'!$C$36,"")</f>
        <v/>
      </c>
      <c r="CK191" s="518" t="str">
        <f>IF(AND(_F="A-220-100",'2024'!$H$4="FO",'2024'!$H$2=CK157),'2024DATA'!$D$36,"")</f>
        <v/>
      </c>
      <c r="CL191" s="518" t="str">
        <f>IF(AND(_F="A-220-100",'2024'!$H$4="FO",'2024'!$H$2=CL157),'2024DATA'!$E$36,"")</f>
        <v/>
      </c>
      <c r="CM191" s="518" t="str">
        <f>IF(AND(_F="A-220-100",'2024'!$H$4="FO",'2024'!$H$2=CM157),'2024DATA'!$F$36,"")</f>
        <v/>
      </c>
      <c r="CN191" s="518" t="str">
        <f>IF(AND(_F="A-220-100",'2024'!$H$4="FO",'2024'!$H$2=CN157),'2024DATA'!$G$36,"")</f>
        <v/>
      </c>
      <c r="CO191" s="518" t="str">
        <f>IF(AND(_F="A-220-100",'2024'!$H$4="FO",'2024'!$H$2=CO157),'2024DATA'!$H$36,"")</f>
        <v/>
      </c>
      <c r="CP191" s="518" t="str">
        <f>IF(AND(_F="A-220-100",'2024'!$H$4="FO",'2024'!$H$2=CP157),'2024DATA'!$I$36,"")</f>
        <v/>
      </c>
      <c r="CQ191" s="518" t="str">
        <f>IF(AND(_F="A-220-100",'2024'!$H$4="FO",'2024'!$H$2=CQ157),'2024DATA'!$J$36,"")</f>
        <v/>
      </c>
      <c r="CR191" s="518" t="str">
        <f>IF(AND(_F="A-220-100",'2024'!$H$4="FO",'2024'!$H$2=CR157),'2024DATA'!$K$36,"")</f>
        <v/>
      </c>
      <c r="CS191" s="518" t="str">
        <f>IF(AND(_F="A-220-100",'2024'!$H$4="FO",'2024'!$H$2=CS157),'2024DATA'!$L$36,"")</f>
        <v/>
      </c>
      <c r="CT191" s="518" t="str">
        <f>IF(AND(_F="A-220-100",'2024'!$H$4="FO",'2024'!$H$2=CT157),'2024DATA'!$M$36,"")</f>
        <v/>
      </c>
      <c r="CU191" s="520" t="str">
        <f>IF(AND(_F="A-220-100",'2024'!$H$4="FO",'2024'!$H$2=CU157),'2024DATA'!$N$36,"")</f>
        <v/>
      </c>
    </row>
    <row r="192" spans="16:99" x14ac:dyDescent="0.25">
      <c r="P192" s="940" t="s">
        <v>53</v>
      </c>
      <c r="Q192" s="13" t="s">
        <v>61</v>
      </c>
      <c r="R192" s="518" t="str">
        <f>IF(AND(_A="B-717",'2024'!$H$4="CA",'2024'!$H$2=R157),'2024DATA'!$C$37,"")</f>
        <v/>
      </c>
      <c r="S192" s="518" t="str">
        <f>IF(AND(_A="B-717",'2024'!$H$4="CA",'2024'!$H$2=S157),'2024DATA'!$D$37,"")</f>
        <v/>
      </c>
      <c r="T192" s="518" t="str">
        <f>IF(AND(_A="B-717",'2024'!$H$4="CA",'2024'!$H$2=T157),'2024DATA'!$E$37,"")</f>
        <v/>
      </c>
      <c r="U192" s="518" t="str">
        <f>IF(AND(_A="B-717",'2024'!$H$4="CA",'2024'!$H$2=U157),'2024DATA'!$F$37,"")</f>
        <v/>
      </c>
      <c r="V192" s="518" t="str">
        <f>IF(AND(_A="B-717",'2024'!$H$4="CA",'2024'!$H$2=V157),'2024DATA'!$G$37,"")</f>
        <v/>
      </c>
      <c r="W192" s="518" t="str">
        <f>IF(AND(_A="B-717",'2024'!$H$4="CA",'2024'!$H$2=W157),'2024DATA'!$H$37,"")</f>
        <v/>
      </c>
      <c r="X192" s="518" t="str">
        <f>IF(AND(_A="B-717",'2024'!$H$4="CA",'2024'!$H$2=X157),'2024DATA'!$I$37,"")</f>
        <v/>
      </c>
      <c r="Y192" s="518" t="str">
        <f>IF(AND(_A="B-717",'2024'!$H$4="CA",'2024'!$H$2=Y157),'2024DATA'!$J$37,"")</f>
        <v/>
      </c>
      <c r="Z192" s="518" t="str">
        <f>IF(AND(_A="B-717",'2024'!$H$4="CA",'2024'!$H$2=Z157),'2024DATA'!$K$37,"")</f>
        <v/>
      </c>
      <c r="AA192" s="518" t="str">
        <f>IF(AND(_A="B-717",'2024'!$H$4="CA",'2024'!$H$2=AA157),'2024DATA'!$L$37,"")</f>
        <v/>
      </c>
      <c r="AB192" s="518" t="str">
        <f>IF(AND(_A="B-717",'2024'!$H$4="CA",'2024'!$H$2=AB157),'2024DATA'!$M$37,"")</f>
        <v/>
      </c>
      <c r="AC192" s="520" t="str">
        <f>IF(AND(_A="B-717",'2024'!$H$4="CA",'2024'!$H$2=AC157),'2024DATA'!$N$37,"")</f>
        <v/>
      </c>
      <c r="AD192" s="940" t="s">
        <v>53</v>
      </c>
      <c r="AE192" s="13" t="s">
        <v>61</v>
      </c>
      <c r="AF192" s="518" t="str">
        <f>IF(AND(_B="B-717",'2024'!$H$4="CA",'2024'!$H$2=AF157),'2024DATA'!$C$37,"")</f>
        <v/>
      </c>
      <c r="AG192" s="518" t="str">
        <f>IF(AND(_B="B-717",'2024'!$H$4="CA",'2024'!$H$2=AG157),'2024DATA'!$D$37,"")</f>
        <v/>
      </c>
      <c r="AH192" s="518" t="str">
        <f>IF(AND(_B="B-717",'2024'!$H$4="CA",'2024'!$H$2=AH157),'2024DATA'!$E$37,"")</f>
        <v/>
      </c>
      <c r="AI192" s="518" t="str">
        <f>IF(AND(_B="B-717",'2024'!$H$4="CA",'2024'!$H$2=AI157),'2024DATA'!$F$37,"")</f>
        <v/>
      </c>
      <c r="AJ192" s="518" t="str">
        <f>IF(AND(_B="B-717",'2024'!$H$4="CA",'2024'!$H$2=AJ157),'2024DATA'!$G$37,"")</f>
        <v/>
      </c>
      <c r="AK192" s="518" t="str">
        <f>IF(AND(_B="B-717",'2024'!$H$4="CA",'2024'!$H$2=AK157),'2024DATA'!$H$37,"")</f>
        <v/>
      </c>
      <c r="AL192" s="518" t="str">
        <f>IF(AND(_B="B-717",'2024'!$H$4="CA",'2024'!$H$2=AL157),'2024DATA'!$I$37,"")</f>
        <v/>
      </c>
      <c r="AM192" s="518" t="str">
        <f>IF(AND(_B="B-717",'2024'!$H$4="CA",'2024'!$H$2=AM157),'2024DATA'!$J$37,"")</f>
        <v/>
      </c>
      <c r="AN192" s="518" t="str">
        <f>IF(AND(_B="B-717",'2024'!$H$4="CA",'2024'!$H$2=AN157),'2024DATA'!$K$37,"")</f>
        <v/>
      </c>
      <c r="AO192" s="518" t="str">
        <f>IF(AND(_B="B-717",'2024'!$H$4="CA",'2024'!$H$2=AO157),'2024DATA'!$L$37,"")</f>
        <v/>
      </c>
      <c r="AP192" s="518" t="str">
        <f>IF(AND(_B="B-717",'2024'!$H$4="CA",'2024'!$H$2=AP157),'2024DATA'!$M$37,"")</f>
        <v/>
      </c>
      <c r="AQ192" s="520" t="str">
        <f>IF(AND(_B="B-717",'2024'!$H$4="CA",'2024'!$H$2=AQ157),'2024DATA'!$N$37,"")</f>
        <v/>
      </c>
      <c r="AR192" s="940" t="s">
        <v>53</v>
      </c>
      <c r="AS192" s="13" t="s">
        <v>61</v>
      </c>
      <c r="AT192" s="518" t="str">
        <f>IF(AND(_C="B-717",'2024'!$H$4="CA",'2024'!$H$2=AT157),'2024DATA'!$C$37,"")</f>
        <v/>
      </c>
      <c r="AU192" s="518" t="str">
        <f>IF(AND(_C="B-717",'2024'!$H$4="CA",'2024'!$H$2=AU157),'2024DATA'!$D$37,"")</f>
        <v/>
      </c>
      <c r="AV192" s="518" t="str">
        <f>IF(AND(_C="B-717",'2024'!$H$4="CA",'2024'!$H$2=AV157),'2024DATA'!$E$37,"")</f>
        <v/>
      </c>
      <c r="AW192" s="518" t="str">
        <f>IF(AND(_C="B-717",'2024'!$H$4="CA",'2024'!$H$2=AW157),'2024DATA'!$F$37,"")</f>
        <v/>
      </c>
      <c r="AX192" s="518" t="str">
        <f>IF(AND(_C="B-717",'2024'!$H$4="CA",'2024'!$H$2=AX157),'2024DATA'!$G$37,"")</f>
        <v/>
      </c>
      <c r="AY192" s="518" t="str">
        <f>IF(AND(_C="B-717",'2024'!$H$4="CA",'2024'!$H$2=AY157),'2024DATA'!$H$37,"")</f>
        <v/>
      </c>
      <c r="AZ192" s="518" t="str">
        <f>IF(AND(_C="B-717",'2024'!$H$4="CA",'2024'!$H$2=AZ157),'2024DATA'!$I$37,"")</f>
        <v/>
      </c>
      <c r="BA192" s="518" t="str">
        <f>IF(AND(_C="B-717",'2024'!$H$4="CA",'2024'!$H$2=BA157),'2024DATA'!$J$37,"")</f>
        <v/>
      </c>
      <c r="BB192" s="518" t="str">
        <f>IF(AND(_C="B-717",'2024'!$H$4="CA",'2024'!$H$2=BB157),'2024DATA'!$K$37,"")</f>
        <v/>
      </c>
      <c r="BC192" s="518" t="str">
        <f>IF(AND(_C="B-717",'2024'!$H$4="CA",'2024'!$H$2=BC157),'2024DATA'!$L$37,"")</f>
        <v/>
      </c>
      <c r="BD192" s="518" t="str">
        <f>IF(AND(_C="B-717",'2024'!$H$4="CA",'2024'!$H$2=BD157),'2024DATA'!$M$37,"")</f>
        <v/>
      </c>
      <c r="BE192" s="520" t="str">
        <f>IF(AND(_C="B-717",'2024'!$H$4="CA",'2024'!$H$2=BE157),'2024DATA'!$N$37,"")</f>
        <v/>
      </c>
      <c r="BF192" s="940" t="s">
        <v>53</v>
      </c>
      <c r="BG192" s="13" t="s">
        <v>61</v>
      </c>
      <c r="BH192" s="518" t="str">
        <f>IF(AND(_D="B-717",'2024'!$H$4="CA",'2024'!$H$2=BH157),'2024DATA'!$C$37,"")</f>
        <v/>
      </c>
      <c r="BI192" s="518" t="str">
        <f>IF(AND(_D="B-717",'2024'!$H$4="CA",'2024'!$H$2=BI157),'2024DATA'!$D$37,"")</f>
        <v/>
      </c>
      <c r="BJ192" s="518" t="str">
        <f>IF(AND(_D="B-717",'2024'!$H$4="CA",'2024'!$H$2=BJ157),'2024DATA'!$E$37,"")</f>
        <v/>
      </c>
      <c r="BK192" s="518" t="str">
        <f>IF(AND(_D="B-717",'2024'!$H$4="CA",'2024'!$H$2=BK157),'2024DATA'!$F$37,"")</f>
        <v/>
      </c>
      <c r="BL192" s="518" t="str">
        <f>IF(AND(_D="B-717",'2024'!$H$4="CA",'2024'!$H$2=BL157),'2024DATA'!$G$37,"")</f>
        <v/>
      </c>
      <c r="BM192" s="518" t="str">
        <f>IF(AND(_D="B-717",'2024'!$H$4="CA",'2024'!$H$2=BM157),'2024DATA'!$H$37,"")</f>
        <v/>
      </c>
      <c r="BN192" s="518" t="str">
        <f>IF(AND(_D="B-717",'2024'!$H$4="CA",'2024'!$H$2=BN157),'2024DATA'!$I$37,"")</f>
        <v/>
      </c>
      <c r="BO192" s="518" t="str">
        <f>IF(AND(_D="B-717",'2024'!$H$4="CA",'2024'!$H$2=BO157),'2024DATA'!$J$37,"")</f>
        <v/>
      </c>
      <c r="BP192" s="518" t="str">
        <f>IF(AND(_D="B-717",'2024'!$H$4="CA",'2024'!$H$2=BP157),'2024DATA'!$K$37,"")</f>
        <v/>
      </c>
      <c r="BQ192" s="518" t="str">
        <f>IF(AND(_D="B-717",'2024'!$H$4="CA",'2024'!$H$2=BQ157),'2024DATA'!$L$37,"")</f>
        <v/>
      </c>
      <c r="BR192" s="518" t="str">
        <f>IF(AND(_D="B-717",'2024'!$H$4="CA",'2024'!$H$2=BR157),'2024DATA'!$M$37,"")</f>
        <v/>
      </c>
      <c r="BS192" s="520" t="str">
        <f>IF(AND(_D="B-717",'2024'!$H$4="CA",'2024'!$H$2=BS157),'2024DATA'!$N$37,"")</f>
        <v/>
      </c>
      <c r="BT192" s="940" t="s">
        <v>53</v>
      </c>
      <c r="BU192" s="13" t="s">
        <v>61</v>
      </c>
      <c r="BV192" s="518" t="str">
        <f>IF(AND(_E="B-717",'2024'!$H$4="CA",'2024'!$H$2=BV157),'2024DATA'!$C$37,"")</f>
        <v/>
      </c>
      <c r="BW192" s="518" t="str">
        <f>IF(AND(_E="B-717",'2024'!$H$4="CA",'2024'!$H$2=BW157),'2024DATA'!$D$37,"")</f>
        <v/>
      </c>
      <c r="BX192" s="518" t="str">
        <f>IF(AND(_E="B-717",'2024'!$H$4="CA",'2024'!$H$2=BX157),'2024DATA'!$E$37,"")</f>
        <v/>
      </c>
      <c r="BY192" s="518" t="str">
        <f>IF(AND(_E="B-717",'2024'!$H$4="CA",'2024'!$H$2=BY157),'2024DATA'!$F$37,"")</f>
        <v/>
      </c>
      <c r="BZ192" s="518" t="str">
        <f>IF(AND(_E="B-717",'2024'!$H$4="CA",'2024'!$H$2=BZ157),'2024DATA'!$G$37,"")</f>
        <v/>
      </c>
      <c r="CA192" s="518" t="str">
        <f>IF(AND(_E="B-717",'2024'!$H$4="CA",'2024'!$H$2=CA157),'2024DATA'!$H$37,"")</f>
        <v/>
      </c>
      <c r="CB192" s="518" t="str">
        <f>IF(AND(_E="B-717",'2024'!$H$4="CA",'2024'!$H$2=CB157),'2024DATA'!$I$37,"")</f>
        <v/>
      </c>
      <c r="CC192" s="518" t="str">
        <f>IF(AND(_E="B-717",'2024'!$H$4="CA",'2024'!$H$2=CC157),'2024DATA'!$J$37,"")</f>
        <v/>
      </c>
      <c r="CD192" s="518" t="str">
        <f>IF(AND(_E="B-717",'2024'!$H$4="CA",'2024'!$H$2=CD157),'2024DATA'!$K$37,"")</f>
        <v/>
      </c>
      <c r="CE192" s="518" t="str">
        <f>IF(AND(_E="B-717",'2024'!$H$4="CA",'2024'!$H$2=CE157),'2024DATA'!$L$37,"")</f>
        <v/>
      </c>
      <c r="CF192" s="518" t="str">
        <f>IF(AND(_E="B-717",'2024'!$H$4="CA",'2024'!$H$2=CF157),'2024DATA'!$M$37,"")</f>
        <v/>
      </c>
      <c r="CG192" s="520" t="str">
        <f>IF(AND(_E="B-717",'2024'!$H$4="CA",'2024'!$H$2=CG157),'2024DATA'!$N$37,"")</f>
        <v/>
      </c>
      <c r="CH192" s="940" t="s">
        <v>53</v>
      </c>
      <c r="CI192" s="13" t="s">
        <v>61</v>
      </c>
      <c r="CJ192" s="518" t="str">
        <f>IF(AND(_F="B-717",'2024'!$H$4="CA",'2024'!$H$2=CJ157),'2024DATA'!$C$37,"")</f>
        <v/>
      </c>
      <c r="CK192" s="518" t="str">
        <f>IF(AND(_F="B-717",'2024'!$H$4="CA",'2024'!$H$2=CK157),'2024DATA'!$D$37,"")</f>
        <v/>
      </c>
      <c r="CL192" s="518" t="str">
        <f>IF(AND(_F="B-717",'2024'!$H$4="CA",'2024'!$H$2=CL157),'2024DATA'!$E$37,"")</f>
        <v/>
      </c>
      <c r="CM192" s="518" t="str">
        <f>IF(AND(_F="B-717",'2024'!$H$4="CA",'2024'!$H$2=CM157),'2024DATA'!$F$37,"")</f>
        <v/>
      </c>
      <c r="CN192" s="518" t="str">
        <f>IF(AND(_F="B-717",'2024'!$H$4="CA",'2024'!$H$2=CN157),'2024DATA'!$G$37,"")</f>
        <v/>
      </c>
      <c r="CO192" s="518" t="str">
        <f>IF(AND(_F="B-717",'2024'!$H$4="CA",'2024'!$H$2=CO157),'2024DATA'!$H$37,"")</f>
        <v/>
      </c>
      <c r="CP192" s="518" t="str">
        <f>IF(AND(_F="B-717",'2024'!$H$4="CA",'2024'!$H$2=CP157),'2024DATA'!$I$37,"")</f>
        <v/>
      </c>
      <c r="CQ192" s="518" t="str">
        <f>IF(AND(_F="B-717",'2024'!$H$4="CA",'2024'!$H$2=CQ157),'2024DATA'!$J$37,"")</f>
        <v/>
      </c>
      <c r="CR192" s="518" t="str">
        <f>IF(AND(_F="B-717",'2024'!$H$4="CA",'2024'!$H$2=CR157),'2024DATA'!$K$37,"")</f>
        <v/>
      </c>
      <c r="CS192" s="518" t="str">
        <f>IF(AND(_F="B-717",'2024'!$H$4="CA",'2024'!$H$2=CS157),'2024DATA'!$L$37,"")</f>
        <v/>
      </c>
      <c r="CT192" s="518" t="str">
        <f>IF(AND(_F="B-717",'2024'!$H$4="CA",'2024'!$H$2=CT157),'2024DATA'!$M$37,"")</f>
        <v/>
      </c>
      <c r="CU192" s="520" t="str">
        <f>IF(AND(_F="B-717",'2024'!$H$4="CA",'2024'!$H$2=CU157),'2024DATA'!$N$37,"")</f>
        <v/>
      </c>
    </row>
    <row r="193" spans="16:99" ht="15.75" thickBot="1" x14ac:dyDescent="0.3">
      <c r="P193" s="941"/>
      <c r="Q193" s="521" t="s">
        <v>62</v>
      </c>
      <c r="R193" s="518" t="str">
        <f>IF(AND(_A="B-717",'2024'!$H$4="FO",'2024'!$H$2=R157),'2024DATA'!$C$38,"")</f>
        <v/>
      </c>
      <c r="S193" s="518" t="str">
        <f>IF(AND(_A="B-717",'2024'!$H$4="FO",'2024'!$H$2=S157),'2024DATA'!$D$38,"")</f>
        <v/>
      </c>
      <c r="T193" s="518" t="str">
        <f>IF(AND(_A="B-717",'2024'!$H$4="FO",'2024'!$H$2=T157),'2024DATA'!$E$38,"")</f>
        <v/>
      </c>
      <c r="U193" s="518" t="str">
        <f>IF(AND(_A="B-717",'2024'!$H$4="FO",'2024'!$H$2=U157),'2024DATA'!$F$38,"")</f>
        <v/>
      </c>
      <c r="V193" s="518" t="str">
        <f>IF(AND(_A="B-717",'2024'!$H$4="FO",'2024'!$H$2=V157),'2024DATA'!$G$38,"")</f>
        <v/>
      </c>
      <c r="W193" s="518" t="str">
        <f>IF(AND(_A="B-717",'2024'!$H$4="FO",'2024'!$H$2=W157),'2024DATA'!$H$38,"")</f>
        <v/>
      </c>
      <c r="X193" s="518" t="str">
        <f>IF(AND(_A="B-717",'2024'!$H$4="FO",'2024'!$H$2=X157),'2024DATA'!$I$38,"")</f>
        <v/>
      </c>
      <c r="Y193" s="518" t="str">
        <f>IF(AND(_A="B-717",'2024'!$H$4="FO",'2024'!$H$2=Y157),'2024DATA'!$J$38,"")</f>
        <v/>
      </c>
      <c r="Z193" s="518" t="str">
        <f>IF(AND(_A="B-717",'2024'!$H$4="FO",'2024'!$H$2=Z157),'2024DATA'!$K$38,"")</f>
        <v/>
      </c>
      <c r="AA193" s="518" t="str">
        <f>IF(AND(_A="B-717",'2024'!$H$4="FO",'2024'!$H$2=AA157),'2024DATA'!$L$38,"")</f>
        <v/>
      </c>
      <c r="AB193" s="518" t="str">
        <f>IF(AND(_A="B-717",'2024'!$H$4="FO",'2024'!$H$2=AB157),'2024DATA'!$M$38,"")</f>
        <v/>
      </c>
      <c r="AC193" s="520" t="str">
        <f>IF(AND(_A="B-717",'2024'!$H$4="FO",'2024'!$H$2=AC157),'2024DATA'!$N$38,"")</f>
        <v/>
      </c>
      <c r="AD193" s="941"/>
      <c r="AE193" s="521" t="s">
        <v>62</v>
      </c>
      <c r="AF193" s="518" t="str">
        <f>IF(AND(_B="B-717",'2024'!$H$4="FO",'2024'!$H$2=AF157),'2024DATA'!$C$38,"")</f>
        <v/>
      </c>
      <c r="AG193" s="518" t="str">
        <f>IF(AND(_B="B-717",'2024'!$H$4="FO",'2024'!$H$2=AG157),'2024DATA'!$D$38,"")</f>
        <v/>
      </c>
      <c r="AH193" s="518" t="str">
        <f>IF(AND(_B="B-717",'2024'!$H$4="FO",'2024'!$H$2=AH157),'2024DATA'!$E$38,"")</f>
        <v/>
      </c>
      <c r="AI193" s="518" t="str">
        <f>IF(AND(_B="B-717",'2024'!$H$4="FO",'2024'!$H$2=AI157),'2024DATA'!$F$38,"")</f>
        <v/>
      </c>
      <c r="AJ193" s="518" t="str">
        <f>IF(AND(_B="B-717",'2024'!$H$4="FO",'2024'!$H$2=AJ157),'2024DATA'!$G$38,"")</f>
        <v/>
      </c>
      <c r="AK193" s="518" t="str">
        <f>IF(AND(_B="B-717",'2024'!$H$4="FO",'2024'!$H$2=AK157),'2024DATA'!$H$38,"")</f>
        <v/>
      </c>
      <c r="AL193" s="518" t="str">
        <f>IF(AND(_B="B-717",'2024'!$H$4="FO",'2024'!$H$2=AL157),'2024DATA'!$I$38,"")</f>
        <v/>
      </c>
      <c r="AM193" s="518" t="str">
        <f>IF(AND(_B="B-717",'2024'!$H$4="FO",'2024'!$H$2=AM157),'2024DATA'!$J$38,"")</f>
        <v/>
      </c>
      <c r="AN193" s="518" t="str">
        <f>IF(AND(_B="B-717",'2024'!$H$4="FO",'2024'!$H$2=AN157),'2024DATA'!$K$38,"")</f>
        <v/>
      </c>
      <c r="AO193" s="518" t="str">
        <f>IF(AND(_B="B-717",'2024'!$H$4="FO",'2024'!$H$2=AO157),'2024DATA'!$L$38,"")</f>
        <v/>
      </c>
      <c r="AP193" s="518" t="str">
        <f>IF(AND(_B="B-717",'2024'!$H$4="FO",'2024'!$H$2=AP157),'2024DATA'!$M$38,"")</f>
        <v/>
      </c>
      <c r="AQ193" s="520" t="str">
        <f>IF(AND(_B="B-717",'2024'!$H$4="FO",'2024'!$H$2=AQ157),'2024DATA'!$N$38,"")</f>
        <v/>
      </c>
      <c r="AR193" s="941"/>
      <c r="AS193" s="521" t="s">
        <v>62</v>
      </c>
      <c r="AT193" s="518" t="str">
        <f>IF(AND(_C="B-717",'2024'!$H$4="FO",'2024'!$H$2=AT157),'2024DATA'!$C$38,"")</f>
        <v/>
      </c>
      <c r="AU193" s="518" t="str">
        <f>IF(AND(_C="B-717",'2024'!$H$4="FO",'2024'!$H$2=AU157),'2024DATA'!$D$38,"")</f>
        <v/>
      </c>
      <c r="AV193" s="518" t="str">
        <f>IF(AND(_C="B-717",'2024'!$H$4="FO",'2024'!$H$2=AV157),'2024DATA'!$E$38,"")</f>
        <v/>
      </c>
      <c r="AW193" s="518" t="str">
        <f>IF(AND(_C="B-717",'2024'!$H$4="FO",'2024'!$H$2=AW157),'2024DATA'!$F$38,"")</f>
        <v/>
      </c>
      <c r="AX193" s="518" t="str">
        <f>IF(AND(_C="B-717",'2024'!$H$4="FO",'2024'!$H$2=AX157),'2024DATA'!$G$38,"")</f>
        <v/>
      </c>
      <c r="AY193" s="518" t="str">
        <f>IF(AND(_C="B-717",'2024'!$H$4="FO",'2024'!$H$2=AY157),'2024DATA'!$H$38,"")</f>
        <v/>
      </c>
      <c r="AZ193" s="518" t="str">
        <f>IF(AND(_C="B-717",'2024'!$H$4="FO",'2024'!$H$2=AZ157),'2024DATA'!$I$38,"")</f>
        <v/>
      </c>
      <c r="BA193" s="518" t="str">
        <f>IF(AND(_C="B-717",'2024'!$H$4="FO",'2024'!$H$2=BA157),'2024DATA'!$J$38,"")</f>
        <v/>
      </c>
      <c r="BB193" s="518" t="str">
        <f>IF(AND(_C="B-717",'2024'!$H$4="FO",'2024'!$H$2=BB157),'2024DATA'!$K$38,"")</f>
        <v/>
      </c>
      <c r="BC193" s="518" t="str">
        <f>IF(AND(_C="B-717",'2024'!$H$4="FO",'2024'!$H$2=BC157),'2024DATA'!$L$38,"")</f>
        <v/>
      </c>
      <c r="BD193" s="518" t="str">
        <f>IF(AND(_C="B-717",'2024'!$H$4="FO",'2024'!$H$2=BD157),'2024DATA'!$M$38,"")</f>
        <v/>
      </c>
      <c r="BE193" s="520" t="str">
        <f>IF(AND(_C="B-717",'2024'!$H$4="FO",'2024'!$H$2=BE157),'2024DATA'!$N$38,"")</f>
        <v/>
      </c>
      <c r="BF193" s="941"/>
      <c r="BG193" s="521" t="s">
        <v>62</v>
      </c>
      <c r="BH193" s="518" t="str">
        <f>IF(AND(_D="B-717",'2024'!$H$4="FO",'2024'!$H$2=BH157),'2024DATA'!$C$38,"")</f>
        <v/>
      </c>
      <c r="BI193" s="518" t="str">
        <f>IF(AND(_D="B-717",'2024'!$H$4="FO",'2024'!$H$2=BI157),'2024DATA'!$D$38,"")</f>
        <v/>
      </c>
      <c r="BJ193" s="518" t="str">
        <f>IF(AND(_D="B-717",'2024'!$H$4="FO",'2024'!$H$2=BJ157),'2024DATA'!$E$38,"")</f>
        <v/>
      </c>
      <c r="BK193" s="518" t="str">
        <f>IF(AND(_D="B-717",'2024'!$H$4="FO",'2024'!$H$2=BK157),'2024DATA'!$F$38,"")</f>
        <v/>
      </c>
      <c r="BL193" s="518" t="str">
        <f>IF(AND(_D="B-717",'2024'!$H$4="FO",'2024'!$H$2=BL157),'2024DATA'!$G$38,"")</f>
        <v/>
      </c>
      <c r="BM193" s="518" t="str">
        <f>IF(AND(_D="B-717",'2024'!$H$4="FO",'2024'!$H$2=BM157),'2024DATA'!$H$38,"")</f>
        <v/>
      </c>
      <c r="BN193" s="518" t="str">
        <f>IF(AND(_D="B-717",'2024'!$H$4="FO",'2024'!$H$2=BN157),'2024DATA'!$I$38,"")</f>
        <v/>
      </c>
      <c r="BO193" s="518" t="str">
        <f>IF(AND(_D="B-717",'2024'!$H$4="FO",'2024'!$H$2=BO157),'2024DATA'!$J$38,"")</f>
        <v/>
      </c>
      <c r="BP193" s="518" t="str">
        <f>IF(AND(_D="B-717",'2024'!$H$4="FO",'2024'!$H$2=BP157),'2024DATA'!$K$38,"")</f>
        <v/>
      </c>
      <c r="BQ193" s="518" t="str">
        <f>IF(AND(_D="B-717",'2024'!$H$4="FO",'2024'!$H$2=BQ157),'2024DATA'!$L$38,"")</f>
        <v/>
      </c>
      <c r="BR193" s="518" t="str">
        <f>IF(AND(_D="B-717",'2024'!$H$4="FO",'2024'!$H$2=BR157),'2024DATA'!$M$38,"")</f>
        <v/>
      </c>
      <c r="BS193" s="520" t="str">
        <f>IF(AND(_D="B-717",'2024'!$H$4="FO",'2024'!$H$2=BS157),'2024DATA'!$N$38,"")</f>
        <v/>
      </c>
      <c r="BT193" s="941"/>
      <c r="BU193" s="521" t="s">
        <v>62</v>
      </c>
      <c r="BV193" s="518" t="str">
        <f>IF(AND(_E="B-717",'2024'!$H$4="FO",'2024'!$H$2=BV157),'2024DATA'!$C$38,"")</f>
        <v/>
      </c>
      <c r="BW193" s="518" t="str">
        <f>IF(AND(_E="B-717",'2024'!$H$4="FO",'2024'!$H$2=BW157),'2024DATA'!$D$38,"")</f>
        <v/>
      </c>
      <c r="BX193" s="518" t="str">
        <f>IF(AND(_E="B-717",'2024'!$H$4="FO",'2024'!$H$2=BX157),'2024DATA'!$E$38,"")</f>
        <v/>
      </c>
      <c r="BY193" s="518" t="str">
        <f>IF(AND(_E="B-717",'2024'!$H$4="FO",'2024'!$H$2=BY157),'2024DATA'!$F$38,"")</f>
        <v/>
      </c>
      <c r="BZ193" s="518" t="str">
        <f>IF(AND(_E="B-717",'2024'!$H$4="FO",'2024'!$H$2=BZ157),'2024DATA'!$G$38,"")</f>
        <v/>
      </c>
      <c r="CA193" s="518" t="str">
        <f>IF(AND(_E="B-717",'2024'!$H$4="FO",'2024'!$H$2=CA157),'2024DATA'!$H$38,"")</f>
        <v/>
      </c>
      <c r="CB193" s="518" t="str">
        <f>IF(AND(_E="B-717",'2024'!$H$4="FO",'2024'!$H$2=CB157),'2024DATA'!$I$38,"")</f>
        <v/>
      </c>
      <c r="CC193" s="518" t="str">
        <f>IF(AND(_E="B-717",'2024'!$H$4="FO",'2024'!$H$2=CC157),'2024DATA'!$J$38,"")</f>
        <v/>
      </c>
      <c r="CD193" s="518" t="str">
        <f>IF(AND(_E="B-717",'2024'!$H$4="FO",'2024'!$H$2=CD157),'2024DATA'!$K$38,"")</f>
        <v/>
      </c>
      <c r="CE193" s="518" t="str">
        <f>IF(AND(_E="B-717",'2024'!$H$4="FO",'2024'!$H$2=CE157),'2024DATA'!$L$38,"")</f>
        <v/>
      </c>
      <c r="CF193" s="518" t="str">
        <f>IF(AND(_E="B-717",'2024'!$H$4="FO",'2024'!$H$2=CF157),'2024DATA'!$M$38,"")</f>
        <v/>
      </c>
      <c r="CG193" s="520" t="str">
        <f>IF(AND(_E="B-717",'2024'!$H$4="FO",'2024'!$H$2=CG157),'2024DATA'!$N$38,"")</f>
        <v/>
      </c>
      <c r="CH193" s="941"/>
      <c r="CI193" s="521" t="s">
        <v>62</v>
      </c>
      <c r="CJ193" s="518" t="str">
        <f>IF(AND(_F="B-717",'2024'!$H$4="FO",'2024'!$H$2=CJ157),'2024DATA'!$C$38,"")</f>
        <v/>
      </c>
      <c r="CK193" s="518" t="str">
        <f>IF(AND(_F="B-717",'2024'!$H$4="FO",'2024'!$H$2=CK157),'2024DATA'!$D$38,"")</f>
        <v/>
      </c>
      <c r="CL193" s="518" t="str">
        <f>IF(AND(_F="B-717",'2024'!$H$4="FO",'2024'!$H$2=CL157),'2024DATA'!$E$38,"")</f>
        <v/>
      </c>
      <c r="CM193" s="518" t="str">
        <f>IF(AND(_F="B-717",'2024'!$H$4="FO",'2024'!$H$2=CM157),'2024DATA'!$F$38,"")</f>
        <v/>
      </c>
      <c r="CN193" s="518" t="str">
        <f>IF(AND(_F="B-717",'2024'!$H$4="FO",'2024'!$H$2=CN157),'2024DATA'!$G$38,"")</f>
        <v/>
      </c>
      <c r="CO193" s="518" t="str">
        <f>IF(AND(_F="B-717",'2024'!$H$4="FO",'2024'!$H$2=CO157),'2024DATA'!$H$38,"")</f>
        <v/>
      </c>
      <c r="CP193" s="518" t="str">
        <f>IF(AND(_F="B-717",'2024'!$H$4="FO",'2024'!$H$2=CP157),'2024DATA'!$I$38,"")</f>
        <v/>
      </c>
      <c r="CQ193" s="518" t="str">
        <f>IF(AND(_F="B-717",'2024'!$H$4="FO",'2024'!$H$2=CQ157),'2024DATA'!$J$38,"")</f>
        <v/>
      </c>
      <c r="CR193" s="518" t="str">
        <f>IF(AND(_F="B-717",'2024'!$H$4="FO",'2024'!$H$2=CR157),'2024DATA'!$K$38,"")</f>
        <v/>
      </c>
      <c r="CS193" s="518" t="str">
        <f>IF(AND(_F="B-717",'2024'!$H$4="FO",'2024'!$H$2=CS157),'2024DATA'!$L$38,"")</f>
        <v/>
      </c>
      <c r="CT193" s="518" t="str">
        <f>IF(AND(_F="B-717",'2024'!$H$4="FO",'2024'!$H$2=CT157),'2024DATA'!$M$38,"")</f>
        <v/>
      </c>
      <c r="CU193" s="520" t="str">
        <f>IF(AND(_F="B-717",'2024'!$H$4="FO",'2024'!$H$2=CU157),'2024DATA'!$N$38,"")</f>
        <v/>
      </c>
    </row>
    <row r="194" spans="16:99" x14ac:dyDescent="0.25">
      <c r="P194" s="943" t="s">
        <v>103</v>
      </c>
      <c r="Q194" s="944"/>
      <c r="R194" s="944"/>
      <c r="S194" s="944"/>
      <c r="T194" s="944"/>
      <c r="U194" s="944"/>
      <c r="V194" s="944"/>
      <c r="W194" s="944"/>
      <c r="X194" s="944"/>
      <c r="Y194" s="944"/>
      <c r="Z194" s="944"/>
      <c r="AA194" s="944"/>
      <c r="AB194" s="944"/>
      <c r="AC194" s="945"/>
      <c r="AD194" s="943" t="s">
        <v>104</v>
      </c>
      <c r="AE194" s="944"/>
      <c r="AF194" s="944"/>
      <c r="AG194" s="944"/>
      <c r="AH194" s="944"/>
      <c r="AI194" s="944"/>
      <c r="AJ194" s="944"/>
      <c r="AK194" s="944"/>
      <c r="AL194" s="944"/>
      <c r="AM194" s="944"/>
      <c r="AN194" s="944"/>
      <c r="AO194" s="944"/>
      <c r="AP194" s="944"/>
      <c r="AQ194" s="945"/>
      <c r="AR194" s="943" t="s">
        <v>105</v>
      </c>
      <c r="AS194" s="944"/>
      <c r="AT194" s="944"/>
      <c r="AU194" s="944"/>
      <c r="AV194" s="944"/>
      <c r="AW194" s="944"/>
      <c r="AX194" s="944"/>
      <c r="AY194" s="944"/>
      <c r="AZ194" s="944"/>
      <c r="BA194" s="944"/>
      <c r="BB194" s="944"/>
      <c r="BC194" s="944"/>
      <c r="BD194" s="944"/>
      <c r="BE194" s="945"/>
      <c r="BF194" s="943" t="s">
        <v>106</v>
      </c>
      <c r="BG194" s="944"/>
      <c r="BH194" s="944"/>
      <c r="BI194" s="944"/>
      <c r="BJ194" s="944"/>
      <c r="BK194" s="944"/>
      <c r="BL194" s="944"/>
      <c r="BM194" s="944"/>
      <c r="BN194" s="944"/>
      <c r="BO194" s="944"/>
      <c r="BP194" s="944"/>
      <c r="BQ194" s="944"/>
      <c r="BR194" s="944"/>
      <c r="BS194" s="945"/>
      <c r="BT194" s="943" t="s">
        <v>107</v>
      </c>
      <c r="BU194" s="944"/>
      <c r="BV194" s="944"/>
      <c r="BW194" s="944"/>
      <c r="BX194" s="944"/>
      <c r="BY194" s="944"/>
      <c r="BZ194" s="944"/>
      <c r="CA194" s="944"/>
      <c r="CB194" s="944"/>
      <c r="CC194" s="944"/>
      <c r="CD194" s="944"/>
      <c r="CE194" s="944"/>
      <c r="CF194" s="944"/>
      <c r="CG194" s="945"/>
      <c r="CH194" s="943" t="s">
        <v>108</v>
      </c>
      <c r="CI194" s="944"/>
      <c r="CJ194" s="944"/>
      <c r="CK194" s="944"/>
      <c r="CL194" s="944"/>
      <c r="CM194" s="944"/>
      <c r="CN194" s="944"/>
      <c r="CO194" s="944"/>
      <c r="CP194" s="944"/>
      <c r="CQ194" s="944"/>
      <c r="CR194" s="944"/>
      <c r="CS194" s="944"/>
      <c r="CT194" s="944"/>
      <c r="CU194" s="945"/>
    </row>
    <row r="195" spans="16:99" x14ac:dyDescent="0.25">
      <c r="P195" s="598">
        <v>6</v>
      </c>
      <c r="Q195" s="579">
        <f>SUM(R196:AC231)</f>
        <v>0</v>
      </c>
      <c r="R195" s="3">
        <v>12</v>
      </c>
      <c r="S195" s="3">
        <v>11</v>
      </c>
      <c r="T195" s="3">
        <v>10</v>
      </c>
      <c r="U195" s="3">
        <v>9</v>
      </c>
      <c r="V195" s="3">
        <v>8</v>
      </c>
      <c r="W195" s="3">
        <v>7</v>
      </c>
      <c r="X195" s="3">
        <v>6</v>
      </c>
      <c r="Y195" s="3">
        <v>5</v>
      </c>
      <c r="Z195" s="3">
        <v>4</v>
      </c>
      <c r="AA195" s="3">
        <v>3</v>
      </c>
      <c r="AB195" s="3">
        <v>2</v>
      </c>
      <c r="AC195" s="519">
        <v>1</v>
      </c>
      <c r="AD195" s="579">
        <v>6</v>
      </c>
      <c r="AE195" s="579">
        <f>SUM(AF196:AQ231)</f>
        <v>0</v>
      </c>
      <c r="AF195" s="3">
        <v>12</v>
      </c>
      <c r="AG195" s="3">
        <v>11</v>
      </c>
      <c r="AH195" s="3">
        <v>10</v>
      </c>
      <c r="AI195" s="3">
        <v>9</v>
      </c>
      <c r="AJ195" s="3">
        <v>8</v>
      </c>
      <c r="AK195" s="3">
        <v>7</v>
      </c>
      <c r="AL195" s="3">
        <v>6</v>
      </c>
      <c r="AM195" s="3">
        <v>5</v>
      </c>
      <c r="AN195" s="3">
        <v>4</v>
      </c>
      <c r="AO195" s="3">
        <v>3</v>
      </c>
      <c r="AP195" s="3">
        <v>2</v>
      </c>
      <c r="AQ195" s="519">
        <v>1</v>
      </c>
      <c r="AR195" s="579">
        <v>6</v>
      </c>
      <c r="AS195" s="579">
        <f>SUM(AT196:BE231)</f>
        <v>0</v>
      </c>
      <c r="AT195" s="3">
        <v>12</v>
      </c>
      <c r="AU195" s="3">
        <v>11</v>
      </c>
      <c r="AV195" s="3">
        <v>10</v>
      </c>
      <c r="AW195" s="3">
        <v>9</v>
      </c>
      <c r="AX195" s="3">
        <v>8</v>
      </c>
      <c r="AY195" s="3">
        <v>7</v>
      </c>
      <c r="AZ195" s="3">
        <v>6</v>
      </c>
      <c r="BA195" s="3">
        <v>5</v>
      </c>
      <c r="BB195" s="3">
        <v>4</v>
      </c>
      <c r="BC195" s="3">
        <v>3</v>
      </c>
      <c r="BD195" s="3">
        <v>2</v>
      </c>
      <c r="BE195" s="519">
        <v>1</v>
      </c>
      <c r="BF195" s="579">
        <v>6</v>
      </c>
      <c r="BG195" s="579">
        <f>SUM(BH196:BS231)</f>
        <v>0</v>
      </c>
      <c r="BH195" s="3">
        <v>12</v>
      </c>
      <c r="BI195" s="3">
        <v>11</v>
      </c>
      <c r="BJ195" s="3">
        <v>10</v>
      </c>
      <c r="BK195" s="3">
        <v>9</v>
      </c>
      <c r="BL195" s="3">
        <v>8</v>
      </c>
      <c r="BM195" s="3">
        <v>7</v>
      </c>
      <c r="BN195" s="3">
        <v>6</v>
      </c>
      <c r="BO195" s="3">
        <v>5</v>
      </c>
      <c r="BP195" s="3">
        <v>4</v>
      </c>
      <c r="BQ195" s="3">
        <v>3</v>
      </c>
      <c r="BR195" s="3">
        <v>2</v>
      </c>
      <c r="BS195" s="519">
        <v>1</v>
      </c>
      <c r="BT195" s="579">
        <v>6</v>
      </c>
      <c r="BU195" s="579">
        <f>SUM(BV196:CG231)</f>
        <v>0</v>
      </c>
      <c r="BV195" s="3">
        <v>12</v>
      </c>
      <c r="BW195" s="3">
        <v>11</v>
      </c>
      <c r="BX195" s="3">
        <v>10</v>
      </c>
      <c r="BY195" s="3">
        <v>9</v>
      </c>
      <c r="BZ195" s="3">
        <v>8</v>
      </c>
      <c r="CA195" s="3">
        <v>7</v>
      </c>
      <c r="CB195" s="3">
        <v>6</v>
      </c>
      <c r="CC195" s="3">
        <v>5</v>
      </c>
      <c r="CD195" s="3">
        <v>4</v>
      </c>
      <c r="CE195" s="3">
        <v>3</v>
      </c>
      <c r="CF195" s="3">
        <v>2</v>
      </c>
      <c r="CG195" s="519">
        <v>1</v>
      </c>
      <c r="CH195" s="579">
        <v>6</v>
      </c>
      <c r="CI195" s="579">
        <f>SUM(CJ196:CU231)</f>
        <v>0</v>
      </c>
      <c r="CJ195" s="3">
        <v>12</v>
      </c>
      <c r="CK195" s="3">
        <v>11</v>
      </c>
      <c r="CL195" s="3">
        <v>10</v>
      </c>
      <c r="CM195" s="3">
        <v>9</v>
      </c>
      <c r="CN195" s="3">
        <v>8</v>
      </c>
      <c r="CO195" s="3">
        <v>7</v>
      </c>
      <c r="CP195" s="3">
        <v>6</v>
      </c>
      <c r="CQ195" s="3">
        <v>5</v>
      </c>
      <c r="CR195" s="3">
        <v>4</v>
      </c>
      <c r="CS195" s="3">
        <v>3</v>
      </c>
      <c r="CT195" s="3">
        <v>2</v>
      </c>
      <c r="CU195" s="519">
        <v>1</v>
      </c>
    </row>
    <row r="196" spans="16:99" x14ac:dyDescent="0.25">
      <c r="P196" s="940" t="s">
        <v>39</v>
      </c>
      <c r="Q196" s="13" t="s">
        <v>61</v>
      </c>
      <c r="R196" s="518" t="str">
        <f>IF(AND(_A="A-350",'2024'!$I$4="CA",'2024'!$I$2=R195),'2024DATA'!$C$3,"")</f>
        <v/>
      </c>
      <c r="S196" s="518" t="str">
        <f>IF(AND(_A="A-350",'2024'!$I$4="CA",'2024'!$I$2=S195),'2024DATA'!$D$3,"")</f>
        <v/>
      </c>
      <c r="T196" s="518" t="str">
        <f>IF(AND(_A="A-350",'2024'!$I$4="CA",'2024'!$I$2=T195),'2024DATA'!$E$3,"")</f>
        <v/>
      </c>
      <c r="U196" s="518" t="str">
        <f>IF(AND(_A="A-350",'2024'!$I$4="CA",'2024'!$I$2=U195),'2024DATA'!$F$3,"")</f>
        <v/>
      </c>
      <c r="V196" s="518" t="str">
        <f>IF(AND(_A="A-350",'2024'!$I$4="CA",'2024'!$I$2=V195),'2024DATA'!$G$3,"")</f>
        <v/>
      </c>
      <c r="W196" s="518" t="str">
        <f>IF(AND(_A="A-350",'2024'!$I$4="CA",'2024'!$I$2=W195),'2024DATA'!$H$3,"")</f>
        <v/>
      </c>
      <c r="X196" s="518" t="str">
        <f>IF(AND(_A="A-350",'2024'!$I$4="CA",'2024'!$I$2=X195),'2024DATA'!$I$3,"")</f>
        <v/>
      </c>
      <c r="Y196" s="518" t="str">
        <f>IF(AND(_A="A-350",'2024'!$I$4="CA",'2024'!$I$2=Y195),'2024DATA'!$J$3,"")</f>
        <v/>
      </c>
      <c r="Z196" s="518" t="str">
        <f>IF(AND(_A="A-350",'2024'!$I$4="CA",'2024'!$I$2=Z195),'2024DATA'!$K$3,"")</f>
        <v/>
      </c>
      <c r="AA196" s="518" t="str">
        <f>IF(AND(_A="A-350",'2024'!$I$4="CA",'2024'!$I$2=AA195),'2024DATA'!$L$3,"")</f>
        <v/>
      </c>
      <c r="AB196" s="518" t="str">
        <f>IF(AND(_A="A-350",'2024'!$I$4="CA",'2024'!$I$2=AB195),'2024DATA'!$M$3,"")</f>
        <v/>
      </c>
      <c r="AC196" s="520" t="str">
        <f>IF(AND(_A="A-350",'2024'!$I$4="CA",'2024'!$I$2=AC195),'2024DATA'!$N$3,"")</f>
        <v/>
      </c>
      <c r="AD196" s="940" t="s">
        <v>39</v>
      </c>
      <c r="AE196" s="13" t="s">
        <v>61</v>
      </c>
      <c r="AF196" s="518" t="str">
        <f>IF(AND(_B="A-350",'2024'!$I$4="CA",'2024'!$I$2=AF195),'2024DATA'!$C$3,"")</f>
        <v/>
      </c>
      <c r="AG196" s="518" t="str">
        <f>IF(AND(_B="A-350",'2024'!$I$4="CA",'2024'!$I$2=AG195),'2024DATA'!$D$3,"")</f>
        <v/>
      </c>
      <c r="AH196" s="518" t="str">
        <f>IF(AND(_B="A-350",'2024'!$I$4="CA",'2024'!$I$2=AH195),'2024DATA'!$E$3,"")</f>
        <v/>
      </c>
      <c r="AI196" s="518" t="str">
        <f>IF(AND(_B="A-350",'2024'!$I$4="CA",'2024'!$I$2=AI195),'2024DATA'!$F$3,"")</f>
        <v/>
      </c>
      <c r="AJ196" s="518" t="str">
        <f>IF(AND(_B="A-350",'2024'!$I$4="CA",'2024'!$I$2=AJ195),'2024DATA'!$G$3,"")</f>
        <v/>
      </c>
      <c r="AK196" s="518" t="str">
        <f>IF(AND(_B="A-350",'2024'!$I$4="CA",'2024'!$I$2=AK195),'2024DATA'!$H$3,"")</f>
        <v/>
      </c>
      <c r="AL196" s="518" t="str">
        <f>IF(AND(_B="A-350",'2024'!$I$4="CA",'2024'!$I$2=AL195),'2024DATA'!$I$3,"")</f>
        <v/>
      </c>
      <c r="AM196" s="518" t="str">
        <f>IF(AND(_B="A-350",'2024'!$I$4="CA",'2024'!$I$2=AM195),'2024DATA'!$J$3,"")</f>
        <v/>
      </c>
      <c r="AN196" s="518" t="str">
        <f>IF(AND(_B="A-350",'2024'!$I$4="CA",'2024'!$I$2=AN195),'2024DATA'!$K$3,"")</f>
        <v/>
      </c>
      <c r="AO196" s="518" t="str">
        <f>IF(AND(_B="A-350",'2024'!$I$4="CA",'2024'!$I$2=AO195),'2024DATA'!$L$3,"")</f>
        <v/>
      </c>
      <c r="AP196" s="518" t="str">
        <f>IF(AND(_B="A-350",'2024'!$I$4="CA",'2024'!$I$2=AP195),'2024DATA'!$M$3,"")</f>
        <v/>
      </c>
      <c r="AQ196" s="520" t="str">
        <f>IF(AND(_B="A-350",'2024'!$I$4="CA",'2024'!$I$2=AQ195),'2024DATA'!$N$3,"")</f>
        <v/>
      </c>
      <c r="AR196" s="940" t="s">
        <v>39</v>
      </c>
      <c r="AS196" s="13" t="s">
        <v>61</v>
      </c>
      <c r="AT196" s="518" t="str">
        <f>IF(AND(_C="A-350",'2024'!$I$4="CA",'2024'!$I$2=AT195),'2024DATA'!$C$3,"")</f>
        <v/>
      </c>
      <c r="AU196" s="518" t="str">
        <f>IF(AND(_C="A-350",'2024'!$I$4="CA",'2024'!$I$2=AU195),'2024DATA'!$D$3,"")</f>
        <v/>
      </c>
      <c r="AV196" s="518" t="str">
        <f>IF(AND(_C="A-350",'2024'!$I$4="CA",'2024'!$I$2=AV195),'2024DATA'!$E$3,"")</f>
        <v/>
      </c>
      <c r="AW196" s="518" t="str">
        <f>IF(AND(_C="A-350",'2024'!$I$4="CA",'2024'!$I$2=AW195),'2024DATA'!$F$3,"")</f>
        <v/>
      </c>
      <c r="AX196" s="518" t="str">
        <f>IF(AND(_C="A-350",'2024'!$I$4="CA",'2024'!$I$2=AX195),'2024DATA'!$G$3,"")</f>
        <v/>
      </c>
      <c r="AY196" s="518" t="str">
        <f>IF(AND(_C="A-350",'2024'!$I$4="CA",'2024'!$I$2=AY195),'2024DATA'!$H$3,"")</f>
        <v/>
      </c>
      <c r="AZ196" s="518" t="str">
        <f>IF(AND(_C="A-350",'2024'!$I$4="CA",'2024'!$I$2=AZ195),'2024DATA'!$I$3,"")</f>
        <v/>
      </c>
      <c r="BA196" s="518" t="str">
        <f>IF(AND(_C="A-350",'2024'!$I$4="CA",'2024'!$I$2=BA195),'2024DATA'!$J$3,"")</f>
        <v/>
      </c>
      <c r="BB196" s="518" t="str">
        <f>IF(AND(_C="A-350",'2024'!$I$4="CA",'2024'!$I$2=BB195),'2024DATA'!$K$3,"")</f>
        <v/>
      </c>
      <c r="BC196" s="518" t="str">
        <f>IF(AND(_C="A-350",'2024'!$I$4="CA",'2024'!$I$2=BC195),'2024DATA'!$L$3,"")</f>
        <v/>
      </c>
      <c r="BD196" s="518" t="str">
        <f>IF(AND(_C="A-350",'2024'!$I$4="CA",'2024'!$I$2=BD195),'2024DATA'!$M$3,"")</f>
        <v/>
      </c>
      <c r="BE196" s="520" t="str">
        <f>IF(AND(_C="A-350",'2024'!$I$4="CA",'2024'!$I$2=BE195),'2024DATA'!$N$3,"")</f>
        <v/>
      </c>
      <c r="BF196" s="940" t="s">
        <v>39</v>
      </c>
      <c r="BG196" s="13" t="s">
        <v>61</v>
      </c>
      <c r="BH196" s="518" t="str">
        <f>IF(AND(_D="A-350",'2024'!$I$4="CA",'2024'!$I$2=BH195),'2024DATA'!$C$3,"")</f>
        <v/>
      </c>
      <c r="BI196" s="518" t="str">
        <f>IF(AND(_D="A-350",'2024'!$I$4="CA",'2024'!$I$2=BI195),'2024DATA'!$D$3,"")</f>
        <v/>
      </c>
      <c r="BJ196" s="518" t="str">
        <f>IF(AND(_D="A-350",'2024'!$I$4="CA",'2024'!$I$2=BJ195),'2024DATA'!$E$3,"")</f>
        <v/>
      </c>
      <c r="BK196" s="518" t="str">
        <f>IF(AND(_D="A-350",'2024'!$I$4="CA",'2024'!$I$2=BK195),'2024DATA'!$F$3,"")</f>
        <v/>
      </c>
      <c r="BL196" s="518" t="str">
        <f>IF(AND(_D="A-350",'2024'!$I$4="CA",'2024'!$I$2=BL195),'2024DATA'!$G$3,"")</f>
        <v/>
      </c>
      <c r="BM196" s="518" t="str">
        <f>IF(AND(_D="A-350",'2024'!$I$4="CA",'2024'!$I$2=BM195),'2024DATA'!$H$3,"")</f>
        <v/>
      </c>
      <c r="BN196" s="518" t="str">
        <f>IF(AND(_D="A-350",'2024'!$I$4="CA",'2024'!$I$2=BN195),'2024DATA'!$I$3,"")</f>
        <v/>
      </c>
      <c r="BO196" s="518" t="str">
        <f>IF(AND(_D="A-350",'2024'!$I$4="CA",'2024'!$I$2=BO195),'2024DATA'!$J$3,"")</f>
        <v/>
      </c>
      <c r="BP196" s="518" t="str">
        <f>IF(AND(_D="A-350",'2024'!$I$4="CA",'2024'!$I$2=BP195),'2024DATA'!$K$3,"")</f>
        <v/>
      </c>
      <c r="BQ196" s="518" t="str">
        <f>IF(AND(_D="A-350",'2024'!$I$4="CA",'2024'!$I$2=BQ195),'2024DATA'!$L$3,"")</f>
        <v/>
      </c>
      <c r="BR196" s="518" t="str">
        <f>IF(AND(_D="A-350",'2024'!$I$4="CA",'2024'!$I$2=BR195),'2024DATA'!$M$3,"")</f>
        <v/>
      </c>
      <c r="BS196" s="520" t="str">
        <f>IF(AND(_D="A-350",'2024'!$I$4="CA",'2024'!$I$2=BS195),'2024DATA'!$N$3,"")</f>
        <v/>
      </c>
      <c r="BT196" s="940" t="s">
        <v>39</v>
      </c>
      <c r="BU196" s="13" t="s">
        <v>61</v>
      </c>
      <c r="BV196" s="518" t="str">
        <f>IF(AND(_E="A-350",'2024'!$I$4="CA",'2024'!$I$2=BV195),'2024DATA'!$C$3,"")</f>
        <v/>
      </c>
      <c r="BW196" s="518" t="str">
        <f>IF(AND(_E="A-350",'2024'!$I$4="CA",'2024'!$I$2=BW195),'2024DATA'!$D$3,"")</f>
        <v/>
      </c>
      <c r="BX196" s="518" t="str">
        <f>IF(AND(_E="A-350",'2024'!$I$4="CA",'2024'!$I$2=BX195),'2024DATA'!$E$3,"")</f>
        <v/>
      </c>
      <c r="BY196" s="518" t="str">
        <f>IF(AND(_E="A-350",'2024'!$I$4="CA",'2024'!$I$2=BY195),'2024DATA'!$F$3,"")</f>
        <v/>
      </c>
      <c r="BZ196" s="518" t="str">
        <f>IF(AND(_E="A-350",'2024'!$I$4="CA",'2024'!$I$2=BZ195),'2024DATA'!$G$3,"")</f>
        <v/>
      </c>
      <c r="CA196" s="518" t="str">
        <f>IF(AND(_E="A-350",'2024'!$I$4="CA",'2024'!$I$2=CA195),'2024DATA'!$H$3,"")</f>
        <v/>
      </c>
      <c r="CB196" s="518" t="str">
        <f>IF(AND(_E="A-350",'2024'!$I$4="CA",'2024'!$I$2=CB195),'2024DATA'!$I$3,"")</f>
        <v/>
      </c>
      <c r="CC196" s="518" t="str">
        <f>IF(AND(_E="A-350",'2024'!$I$4="CA",'2024'!$I$2=CC195),'2024DATA'!$J$3,"")</f>
        <v/>
      </c>
      <c r="CD196" s="518" t="str">
        <f>IF(AND(_E="A-350",'2024'!$I$4="CA",'2024'!$I$2=CD195),'2024DATA'!$K$3,"")</f>
        <v/>
      </c>
      <c r="CE196" s="518" t="str">
        <f>IF(AND(_E="A-350",'2024'!$I$4="CA",'2024'!$I$2=CE195),'2024DATA'!$L$3,"")</f>
        <v/>
      </c>
      <c r="CF196" s="518" t="str">
        <f>IF(AND(_E="A-350",'2024'!$I$4="CA",'2024'!$I$2=CF195),'2024DATA'!$M$3,"")</f>
        <v/>
      </c>
      <c r="CG196" s="520" t="str">
        <f>IF(AND(_E="A-350",'2024'!$I$4="CA",'2024'!$I$2=CG195),'2024DATA'!$N$3,"")</f>
        <v/>
      </c>
      <c r="CH196" s="940" t="s">
        <v>39</v>
      </c>
      <c r="CI196" s="13" t="s">
        <v>61</v>
      </c>
      <c r="CJ196" s="518" t="str">
        <f>IF(AND(_F="A-350",'2024'!$I$4="CA",'2024'!$I$2=CJ195),'2024DATA'!$C$3,"")</f>
        <v/>
      </c>
      <c r="CK196" s="518" t="str">
        <f>IF(AND(_F="A-350",'2024'!$I$4="CA",'2024'!$I$2=CK195),'2024DATA'!$D$3,"")</f>
        <v/>
      </c>
      <c r="CL196" s="518" t="str">
        <f>IF(AND(_F="A-350",'2024'!$I$4="CA",'2024'!$I$2=CL195),'2024DATA'!$E$3,"")</f>
        <v/>
      </c>
      <c r="CM196" s="518" t="str">
        <f>IF(AND(_F="A-350",'2024'!$I$4="CA",'2024'!$I$2=CM195),'2024DATA'!$F$3,"")</f>
        <v/>
      </c>
      <c r="CN196" s="518" t="str">
        <f>IF(AND(_F="A-350",'2024'!$I$4="CA",'2024'!$I$2=CN195),'2024DATA'!$G$3,"")</f>
        <v/>
      </c>
      <c r="CO196" s="518" t="str">
        <f>IF(AND(_F="A-350",'2024'!$I$4="CA",'2024'!$I$2=CO195),'2024DATA'!$H$3,"")</f>
        <v/>
      </c>
      <c r="CP196" s="518" t="str">
        <f>IF(AND(_F="A-350",'2024'!$I$4="CA",'2024'!$I$2=CP195),'2024DATA'!$I$3,"")</f>
        <v/>
      </c>
      <c r="CQ196" s="518" t="str">
        <f>IF(AND(_F="A-350",'2024'!$I$4="CA",'2024'!$I$2=CQ195),'2024DATA'!$J$3,"")</f>
        <v/>
      </c>
      <c r="CR196" s="518" t="str">
        <f>IF(AND(_F="A-350",'2024'!$I$4="CA",'2024'!$I$2=CR195),'2024DATA'!$K$3,"")</f>
        <v/>
      </c>
      <c r="CS196" s="518" t="str">
        <f>IF(AND(_F="A-350",'2024'!$I$4="CA",'2024'!$I$2=CS195),'2024DATA'!$L$3,"")</f>
        <v/>
      </c>
      <c r="CT196" s="518" t="str">
        <f>IF(AND(_F="A-350",'2024'!$I$4="CA",'2024'!$I$2=CT195),'2024DATA'!$M$3,"")</f>
        <v/>
      </c>
      <c r="CU196" s="520" t="str">
        <f>IF(AND(_F="A-350",'2024'!$I$4="CA",'2024'!$I$2=CU195),'2024DATA'!$N$3,"")</f>
        <v/>
      </c>
    </row>
    <row r="197" spans="16:99" x14ac:dyDescent="0.25">
      <c r="P197" s="940"/>
      <c r="Q197" s="13" t="s">
        <v>62</v>
      </c>
      <c r="R197" s="518" t="str">
        <f>IF(AND(_A="A-350",'2024'!$I$4="FO",'2024'!$I$2=R195),'2024DATA'!$C$4,"")</f>
        <v/>
      </c>
      <c r="S197" s="518" t="str">
        <f>IF(AND(_A="A-350",'2024'!$I$4="FO",'2024'!$I$2=S195),'2024DATA'!$D$4,"")</f>
        <v/>
      </c>
      <c r="T197" s="518" t="str">
        <f>IF(AND(_A="A-350",'2024'!$I$4="FO",'2024'!$I$2=T195),'2024DATA'!$E$4,"")</f>
        <v/>
      </c>
      <c r="U197" s="518" t="str">
        <f>IF(AND(_A="A-350",'2024'!$I$4="FO",'2024'!$I$2=U195),'2024DATA'!$F$4,"")</f>
        <v/>
      </c>
      <c r="V197" s="518" t="str">
        <f>IF(AND(_A="A-350",'2024'!$I$4="FO",'2024'!$I$2=V195),'2024DATA'!$G$4,"")</f>
        <v/>
      </c>
      <c r="W197" s="518" t="str">
        <f>IF(AND(_A="A-350",'2024'!$I$4="FO",'2024'!$I$2=W195),'2024DATA'!$H$4,"")</f>
        <v/>
      </c>
      <c r="X197" s="518" t="str">
        <f>IF(AND(_A="A-350",'2024'!$I$4="FO",'2024'!$I$2=X195),'2024DATA'!$I$4,"")</f>
        <v/>
      </c>
      <c r="Y197" s="518" t="str">
        <f>IF(AND(_A="A-350",'2024'!$I$4="FO",'2024'!$I$2=Y195),'2024DATA'!$J$4,"")</f>
        <v/>
      </c>
      <c r="Z197" s="518" t="str">
        <f>IF(AND(_A="A-350",'2024'!$I$4="FO",'2024'!$I$2=Z195),'2024DATA'!$K$4,"")</f>
        <v/>
      </c>
      <c r="AA197" s="518" t="str">
        <f>IF(AND(_A="A-350",'2024'!$I$4="FO",'2024'!$I$2=AA195),'2024DATA'!$L$4,"")</f>
        <v/>
      </c>
      <c r="AB197" s="518" t="str">
        <f>IF(AND(_A="A-350",'2024'!$I$4="FO",'2024'!$I$2=AB195),'2024DATA'!$M$4,"")</f>
        <v/>
      </c>
      <c r="AC197" s="520" t="str">
        <f>IF(AND(_A="A-350",'2024'!$I$4="FO",'2024'!$I$2=AC195),'2024DATA'!$N$4,"")</f>
        <v/>
      </c>
      <c r="AD197" s="940"/>
      <c r="AE197" s="13" t="s">
        <v>62</v>
      </c>
      <c r="AF197" s="518" t="str">
        <f>IF(AND(_B="A-350",'2024'!$I$4="FO",'2024'!$I$2=AF195),'2024DATA'!$C$4,"")</f>
        <v/>
      </c>
      <c r="AG197" s="518" t="str">
        <f>IF(AND(_B="A-350",'2024'!$I$4="FO",'2024'!$I$2=AG195),'2024DATA'!$D$4,"")</f>
        <v/>
      </c>
      <c r="AH197" s="518" t="str">
        <f>IF(AND(_B="A-350",'2024'!$I$4="FO",'2024'!$I$2=AH195),'2024DATA'!$E$4,"")</f>
        <v/>
      </c>
      <c r="AI197" s="518" t="str">
        <f>IF(AND(_B="A-350",'2024'!$I$4="FO",'2024'!$I$2=AI195),'2024DATA'!$F$4,"")</f>
        <v/>
      </c>
      <c r="AJ197" s="518" t="str">
        <f>IF(AND(_B="A-350",'2024'!$I$4="FO",'2024'!$I$2=AJ195),'2024DATA'!$G$4,"")</f>
        <v/>
      </c>
      <c r="AK197" s="518" t="str">
        <f>IF(AND(_B="A-350",'2024'!$I$4="FO",'2024'!$I$2=AK195),'2024DATA'!$H$4,"")</f>
        <v/>
      </c>
      <c r="AL197" s="518" t="str">
        <f>IF(AND(_B="A-350",'2024'!$I$4="FO",'2024'!$I$2=AL195),'2024DATA'!$I$4,"")</f>
        <v/>
      </c>
      <c r="AM197" s="518" t="str">
        <f>IF(AND(_B="A-350",'2024'!$I$4="FO",'2024'!$I$2=AM195),'2024DATA'!$J$4,"")</f>
        <v/>
      </c>
      <c r="AN197" s="518" t="str">
        <f>IF(AND(_B="A-350",'2024'!$I$4="FO",'2024'!$I$2=AN195),'2024DATA'!$K$4,"")</f>
        <v/>
      </c>
      <c r="AO197" s="518" t="str">
        <f>IF(AND(_B="A-350",'2024'!$I$4="FO",'2024'!$I$2=AO195),'2024DATA'!$L$4,"")</f>
        <v/>
      </c>
      <c r="AP197" s="518" t="str">
        <f>IF(AND(_B="A-350",'2024'!$I$4="FO",'2024'!$I$2=AP195),'2024DATA'!$M$4,"")</f>
        <v/>
      </c>
      <c r="AQ197" s="520" t="str">
        <f>IF(AND(_B="A-350",'2024'!$I$4="FO",'2024'!$I$2=AQ195),'2024DATA'!$N$4,"")</f>
        <v/>
      </c>
      <c r="AR197" s="940"/>
      <c r="AS197" s="13" t="s">
        <v>62</v>
      </c>
      <c r="AT197" s="518" t="str">
        <f>IF(AND(_C="A-350",'2024'!$I$4="FO",'2024'!$I$2=AT195),'2024DATA'!$C$4,"")</f>
        <v/>
      </c>
      <c r="AU197" s="518" t="str">
        <f>IF(AND(_C="A-350",'2024'!$I$4="FO",'2024'!$I$2=AU195),'2024DATA'!$D$4,"")</f>
        <v/>
      </c>
      <c r="AV197" s="518" t="str">
        <f>IF(AND(_C="A-350",'2024'!$I$4="FO",'2024'!$I$2=AV195),'2024DATA'!$E$4,"")</f>
        <v/>
      </c>
      <c r="AW197" s="518" t="str">
        <f>IF(AND(_C="A-350",'2024'!$I$4="FO",'2024'!$I$2=AW195),'2024DATA'!$F$4,"")</f>
        <v/>
      </c>
      <c r="AX197" s="518" t="str">
        <f>IF(AND(_C="A-350",'2024'!$I$4="FO",'2024'!$I$2=AX195),'2024DATA'!$G$4,"")</f>
        <v/>
      </c>
      <c r="AY197" s="518" t="str">
        <f>IF(AND(_C="A-350",'2024'!$I$4="FO",'2024'!$I$2=AY195),'2024DATA'!$H$4,"")</f>
        <v/>
      </c>
      <c r="AZ197" s="518" t="str">
        <f>IF(AND(_C="A-350",'2024'!$I$4="FO",'2024'!$I$2=AZ195),'2024DATA'!$I$4,"")</f>
        <v/>
      </c>
      <c r="BA197" s="518" t="str">
        <f>IF(AND(_C="A-350",'2024'!$I$4="FO",'2024'!$I$2=BA195),'2024DATA'!$J$4,"")</f>
        <v/>
      </c>
      <c r="BB197" s="518" t="str">
        <f>IF(AND(_C="A-350",'2024'!$I$4="FO",'2024'!$I$2=BB195),'2024DATA'!$K$4,"")</f>
        <v/>
      </c>
      <c r="BC197" s="518" t="str">
        <f>IF(AND(_C="A-350",'2024'!$I$4="FO",'2024'!$I$2=BC195),'2024DATA'!$L$4,"")</f>
        <v/>
      </c>
      <c r="BD197" s="518" t="str">
        <f>IF(AND(_C="A-350",'2024'!$I$4="FO",'2024'!$I$2=BD195),'2024DATA'!$M$4,"")</f>
        <v/>
      </c>
      <c r="BE197" s="520" t="str">
        <f>IF(AND(_C="A-350",'2024'!$I$4="FO",'2024'!$I$2=BE195),'2024DATA'!$N$4,"")</f>
        <v/>
      </c>
      <c r="BF197" s="940"/>
      <c r="BG197" s="13" t="s">
        <v>62</v>
      </c>
      <c r="BH197" s="518" t="str">
        <f>IF(AND(_D="A-350",'2024'!$I$4="FO",'2024'!$I$2=BH195),'2024DATA'!$C$4,"")</f>
        <v/>
      </c>
      <c r="BI197" s="518" t="str">
        <f>IF(AND(_D="A-350",'2024'!$I$4="FO",'2024'!$I$2=BI195),'2024DATA'!$D$4,"")</f>
        <v/>
      </c>
      <c r="BJ197" s="518" t="str">
        <f>IF(AND(_D="A-350",'2024'!$I$4="FO",'2024'!$I$2=BJ195),'2024DATA'!$E$4,"")</f>
        <v/>
      </c>
      <c r="BK197" s="518" t="str">
        <f>IF(AND(_D="A-350",'2024'!$I$4="FO",'2024'!$I$2=BK195),'2024DATA'!$F$4,"")</f>
        <v/>
      </c>
      <c r="BL197" s="518" t="str">
        <f>IF(AND(_D="A-350",'2024'!$I$4="FO",'2024'!$I$2=BL195),'2024DATA'!$G$4,"")</f>
        <v/>
      </c>
      <c r="BM197" s="518" t="str">
        <f>IF(AND(_D="A-350",'2024'!$I$4="FO",'2024'!$I$2=BM195),'2024DATA'!$H$4,"")</f>
        <v/>
      </c>
      <c r="BN197" s="518" t="str">
        <f>IF(AND(_D="A-350",'2024'!$I$4="FO",'2024'!$I$2=BN195),'2024DATA'!$I$4,"")</f>
        <v/>
      </c>
      <c r="BO197" s="518" t="str">
        <f>IF(AND(_D="A-350",'2024'!$I$4="FO",'2024'!$I$2=BO195),'2024DATA'!$J$4,"")</f>
        <v/>
      </c>
      <c r="BP197" s="518" t="str">
        <f>IF(AND(_D="A-350",'2024'!$I$4="FO",'2024'!$I$2=BP195),'2024DATA'!$K$4,"")</f>
        <v/>
      </c>
      <c r="BQ197" s="518" t="str">
        <f>IF(AND(_D="A-350",'2024'!$I$4="FO",'2024'!$I$2=BQ195),'2024DATA'!$L$4,"")</f>
        <v/>
      </c>
      <c r="BR197" s="518" t="str">
        <f>IF(AND(_D="A-350",'2024'!$I$4="FO",'2024'!$I$2=BR195),'2024DATA'!$M$4,"")</f>
        <v/>
      </c>
      <c r="BS197" s="520" t="str">
        <f>IF(AND(_D="A-350",'2024'!$I$4="FO",'2024'!$I$2=BS195),'2024DATA'!$N$4,"")</f>
        <v/>
      </c>
      <c r="BT197" s="940"/>
      <c r="BU197" s="13" t="s">
        <v>62</v>
      </c>
      <c r="BV197" s="518" t="str">
        <f>IF(AND(_E="A-350",'2024'!$I$4="FO",'2024'!$I$2=BV195),'2024DATA'!$C$4,"")</f>
        <v/>
      </c>
      <c r="BW197" s="518" t="str">
        <f>IF(AND(_E="A-350",'2024'!$I$4="FO",'2024'!$I$2=BW195),'2024DATA'!$D$4,"")</f>
        <v/>
      </c>
      <c r="BX197" s="518" t="str">
        <f>IF(AND(_E="A-350",'2024'!$I$4="FO",'2024'!$I$2=BX195),'2024DATA'!$E$4,"")</f>
        <v/>
      </c>
      <c r="BY197" s="518" t="str">
        <f>IF(AND(_E="A-350",'2024'!$I$4="FO",'2024'!$I$2=BY195),'2024DATA'!$F$4,"")</f>
        <v/>
      </c>
      <c r="BZ197" s="518" t="str">
        <f>IF(AND(_E="A-350",'2024'!$I$4="FO",'2024'!$I$2=BZ195),'2024DATA'!$G$4,"")</f>
        <v/>
      </c>
      <c r="CA197" s="518" t="str">
        <f>IF(AND(_E="A-350",'2024'!$I$4="FO",'2024'!$I$2=CA195),'2024DATA'!$H$4,"")</f>
        <v/>
      </c>
      <c r="CB197" s="518" t="str">
        <f>IF(AND(_E="A-350",'2024'!$I$4="FO",'2024'!$I$2=CB195),'2024DATA'!$I$4,"")</f>
        <v/>
      </c>
      <c r="CC197" s="518" t="str">
        <f>IF(AND(_E="A-350",'2024'!$I$4="FO",'2024'!$I$2=CC195),'2024DATA'!$J$4,"")</f>
        <v/>
      </c>
      <c r="CD197" s="518" t="str">
        <f>IF(AND(_E="A-350",'2024'!$I$4="FO",'2024'!$I$2=CD195),'2024DATA'!$K$4,"")</f>
        <v/>
      </c>
      <c r="CE197" s="518" t="str">
        <f>IF(AND(_E="A-350",'2024'!$I$4="FO",'2024'!$I$2=CE195),'2024DATA'!$L$4,"")</f>
        <v/>
      </c>
      <c r="CF197" s="518" t="str">
        <f>IF(AND(_E="A-350",'2024'!$I$4="FO",'2024'!$I$2=CF195),'2024DATA'!$M$4,"")</f>
        <v/>
      </c>
      <c r="CG197" s="520" t="str">
        <f>IF(AND(_E="A-350",'2024'!$I$4="FO",'2024'!$I$2=CG195),'2024DATA'!$N$4,"")</f>
        <v/>
      </c>
      <c r="CH197" s="940"/>
      <c r="CI197" s="13" t="s">
        <v>62</v>
      </c>
      <c r="CJ197" s="518" t="str">
        <f>IF(AND(_F="A-350",'2024'!$I$4="FO",'2024'!$I$2=CJ195),'2024DATA'!$C$4,"")</f>
        <v/>
      </c>
      <c r="CK197" s="518" t="str">
        <f>IF(AND(_F="A-350",'2024'!$I$4="FO",'2024'!$I$2=CK195),'2024DATA'!$D$4,"")</f>
        <v/>
      </c>
      <c r="CL197" s="518" t="str">
        <f>IF(AND(_F="A-350",'2024'!$I$4="FO",'2024'!$I$2=CL195),'2024DATA'!$E$4,"")</f>
        <v/>
      </c>
      <c r="CM197" s="518" t="str">
        <f>IF(AND(_F="A-350",'2024'!$I$4="FO",'2024'!$I$2=CM195),'2024DATA'!$F$4,"")</f>
        <v/>
      </c>
      <c r="CN197" s="518" t="str">
        <f>IF(AND(_F="A-350",'2024'!$I$4="FO",'2024'!$I$2=CN195),'2024DATA'!$G$4,"")</f>
        <v/>
      </c>
      <c r="CO197" s="518" t="str">
        <f>IF(AND(_F="A-350",'2024'!$I$4="FO",'2024'!$I$2=CO195),'2024DATA'!$H$4,"")</f>
        <v/>
      </c>
      <c r="CP197" s="518" t="str">
        <f>IF(AND(_F="A-350",'2024'!$I$4="FO",'2024'!$I$2=CP195),'2024DATA'!$I$4,"")</f>
        <v/>
      </c>
      <c r="CQ197" s="518" t="str">
        <f>IF(AND(_F="A-350",'2024'!$I$4="FO",'2024'!$I$2=CQ195),'2024DATA'!$J$4,"")</f>
        <v/>
      </c>
      <c r="CR197" s="518" t="str">
        <f>IF(AND(_F="A-350",'2024'!$I$4="FO",'2024'!$I$2=CR195),'2024DATA'!$K$4,"")</f>
        <v/>
      </c>
      <c r="CS197" s="518" t="str">
        <f>IF(AND(_F="A-350",'2024'!$I$4="FO",'2024'!$I$2=CS195),'2024DATA'!$L$4,"")</f>
        <v/>
      </c>
      <c r="CT197" s="518" t="str">
        <f>IF(AND(_F="A-350",'2024'!$I$4="FO",'2024'!$I$2=CT195),'2024DATA'!$M$4,"")</f>
        <v/>
      </c>
      <c r="CU197" s="520" t="str">
        <f>IF(AND(_F="A-350",'2024'!$I$4="FO",'2024'!$I$2=CU195),'2024DATA'!$N$4,"")</f>
        <v/>
      </c>
    </row>
    <row r="198" spans="16:99" x14ac:dyDescent="0.25">
      <c r="P198" s="940" t="s">
        <v>65</v>
      </c>
      <c r="Q198" s="13" t="s">
        <v>61</v>
      </c>
      <c r="R198" s="518" t="str">
        <f>IF(AND(_A="A-330-900",'2024'!$I$4="CA",'2024'!$I$2=R195),'2024DATA'!$C$5,"")</f>
        <v/>
      </c>
      <c r="S198" s="518" t="str">
        <f>IF(AND(_A="A-330-900",'2024'!$I$4="CA",'2024'!$I$2=S195),'2024DATA'!$D$5,"")</f>
        <v/>
      </c>
      <c r="T198" s="518" t="str">
        <f>IF(AND(_A="A-330-900",'2024'!$I$4="CA",'2024'!$I$2=T195),'2024DATA'!$E$5,"")</f>
        <v/>
      </c>
      <c r="U198" s="518" t="str">
        <f>IF(AND(_A="A-330-900",'2024'!$I$4="CA",'2024'!$I$2=U195),'2024DATA'!$F$5,"")</f>
        <v/>
      </c>
      <c r="V198" s="518" t="str">
        <f>IF(AND(_A="A-330-900",'2024'!$I$4="CA",'2024'!$I$2=V195),'2024DATA'!$G$5,"")</f>
        <v/>
      </c>
      <c r="W198" s="518" t="str">
        <f>IF(AND(_A="A-330-900",'2024'!$I$4="CA",'2024'!$I$2=W195),'2024DATA'!$H$5,"")</f>
        <v/>
      </c>
      <c r="X198" s="518" t="str">
        <f>IF(AND(_A="A-330-900",'2024'!$I$4="CA",'2024'!$I$2=X195),'2024DATA'!$I$5,"")</f>
        <v/>
      </c>
      <c r="Y198" s="518" t="str">
        <f>IF(AND(_A="A-330-900",'2024'!$I$4="CA",'2024'!$I$2=Y195),'2024DATA'!$J$5,"")</f>
        <v/>
      </c>
      <c r="Z198" s="518" t="str">
        <f>IF(AND(_A="A-330-900",'2024'!$I$4="CA",'2024'!$I$2=Z195),'2024DATA'!$K$5,"")</f>
        <v/>
      </c>
      <c r="AA198" s="518" t="str">
        <f>IF(AND(_A="A-330-900",'2024'!$I$4="CA",'2024'!$I$2=AA195),'2024DATA'!$L$5,"")</f>
        <v/>
      </c>
      <c r="AB198" s="518" t="str">
        <f>IF(AND(_A="A-330-900",'2024'!$I$4="CA",'2024'!$I$2=AB195),'2024DATA'!$M$5,"")</f>
        <v/>
      </c>
      <c r="AC198" s="520" t="str">
        <f>IF(AND(_A="A-330-900",'2024'!$I$4="CA",'2024'!$I$2=AC195),'2024DATA'!$N$5,"")</f>
        <v/>
      </c>
      <c r="AD198" s="940" t="s">
        <v>65</v>
      </c>
      <c r="AE198" s="13" t="s">
        <v>61</v>
      </c>
      <c r="AF198" s="518" t="str">
        <f>IF(AND(_B="A-330-900",'2024'!$I$4="CA",'2024'!$I$2=AF195),'2024DATA'!$C$5,"")</f>
        <v/>
      </c>
      <c r="AG198" s="518" t="str">
        <f>IF(AND(_B="A-330-900",'2024'!$I$4="CA",'2024'!$I$2=AG195),'2024DATA'!$D$5,"")</f>
        <v/>
      </c>
      <c r="AH198" s="518" t="str">
        <f>IF(AND(_B="A-330-900",'2024'!$I$4="CA",'2024'!$I$2=AH195),'2024DATA'!$E$5,"")</f>
        <v/>
      </c>
      <c r="AI198" s="518" t="str">
        <f>IF(AND(_B="A-330-900",'2024'!$I$4="CA",'2024'!$I$2=AI195),'2024DATA'!$F$5,"")</f>
        <v/>
      </c>
      <c r="AJ198" s="518" t="str">
        <f>IF(AND(_B="A-330-900",'2024'!$I$4="CA",'2024'!$I$2=AJ195),'2024DATA'!$G$5,"")</f>
        <v/>
      </c>
      <c r="AK198" s="518" t="str">
        <f>IF(AND(_B="A-330-900",'2024'!$I$4="CA",'2024'!$I$2=AK195),'2024DATA'!$H$5,"")</f>
        <v/>
      </c>
      <c r="AL198" s="518" t="str">
        <f>IF(AND(_B="A-330-900",'2024'!$I$4="CA",'2024'!$I$2=AL195),'2024DATA'!$I$5,"")</f>
        <v/>
      </c>
      <c r="AM198" s="518" t="str">
        <f>IF(AND(_B="A-330-900",'2024'!$I$4="CA",'2024'!$I$2=AM195),'2024DATA'!$J$5,"")</f>
        <v/>
      </c>
      <c r="AN198" s="518" t="str">
        <f>IF(AND(_B="A-330-900",'2024'!$I$4="CA",'2024'!$I$2=AN195),'2024DATA'!$K$5,"")</f>
        <v/>
      </c>
      <c r="AO198" s="518" t="str">
        <f>IF(AND(_B="A-330-900",'2024'!$I$4="CA",'2024'!$I$2=AO195),'2024DATA'!$L$5,"")</f>
        <v/>
      </c>
      <c r="AP198" s="518" t="str">
        <f>IF(AND(_B="A-330-900",'2024'!$I$4="CA",'2024'!$I$2=AP195),'2024DATA'!$M$5,"")</f>
        <v/>
      </c>
      <c r="AQ198" s="520" t="str">
        <f>IF(AND(_B="A-330-900",'2024'!$I$4="CA",'2024'!$I$2=AQ195),'2024DATA'!$N$5,"")</f>
        <v/>
      </c>
      <c r="AR198" s="940" t="s">
        <v>65</v>
      </c>
      <c r="AS198" s="13" t="s">
        <v>61</v>
      </c>
      <c r="AT198" s="518" t="str">
        <f>IF(AND(_C="A-330-900",'2024'!$I$4="CA",'2024'!$I$2=AT195),'2024DATA'!$C$5,"")</f>
        <v/>
      </c>
      <c r="AU198" s="518" t="str">
        <f>IF(AND(_C="A-330-900",'2024'!$I$4="CA",'2024'!$I$2=AU195),'2024DATA'!$D$5,"")</f>
        <v/>
      </c>
      <c r="AV198" s="518" t="str">
        <f>IF(AND(_C="A-330-900",'2024'!$I$4="CA",'2024'!$I$2=AV195),'2024DATA'!$E$5,"")</f>
        <v/>
      </c>
      <c r="AW198" s="518" t="str">
        <f>IF(AND(_C="A-330-900",'2024'!$I$4="CA",'2024'!$I$2=AW195),'2024DATA'!$F$5,"")</f>
        <v/>
      </c>
      <c r="AX198" s="518" t="str">
        <f>IF(AND(_C="A-330-900",'2024'!$I$4="CA",'2024'!$I$2=AX195),'2024DATA'!$G$5,"")</f>
        <v/>
      </c>
      <c r="AY198" s="518" t="str">
        <f>IF(AND(_C="A-330-900",'2024'!$I$4="CA",'2024'!$I$2=AY195),'2024DATA'!$H$5,"")</f>
        <v/>
      </c>
      <c r="AZ198" s="518" t="str">
        <f>IF(AND(_C="A-330-900",'2024'!$I$4="CA",'2024'!$I$2=AZ195),'2024DATA'!$I$5,"")</f>
        <v/>
      </c>
      <c r="BA198" s="518" t="str">
        <f>IF(AND(_C="A-330-900",'2024'!$I$4="CA",'2024'!$I$2=BA195),'2024DATA'!$J$5,"")</f>
        <v/>
      </c>
      <c r="BB198" s="518" t="str">
        <f>IF(AND(_C="A-330-900",'2024'!$I$4="CA",'2024'!$I$2=BB195),'2024DATA'!$K$5,"")</f>
        <v/>
      </c>
      <c r="BC198" s="518" t="str">
        <f>IF(AND(_C="A-330-900",'2024'!$I$4="CA",'2024'!$I$2=BC195),'2024DATA'!$L$5,"")</f>
        <v/>
      </c>
      <c r="BD198" s="518" t="str">
        <f>IF(AND(_C="A-330-900",'2024'!$I$4="CA",'2024'!$I$2=BD195),'2024DATA'!$M$5,"")</f>
        <v/>
      </c>
      <c r="BE198" s="520" t="str">
        <f>IF(AND(_C="A-330-900",'2024'!$I$4="CA",'2024'!$I$2=BE195),'2024DATA'!$N$5,"")</f>
        <v/>
      </c>
      <c r="BF198" s="940" t="s">
        <v>65</v>
      </c>
      <c r="BG198" s="13" t="s">
        <v>61</v>
      </c>
      <c r="BH198" s="518" t="str">
        <f>IF(AND(_D="A-330-900",'2024'!$I$4="CA",'2024'!$I$2=BH195),'2024DATA'!$C$5,"")</f>
        <v/>
      </c>
      <c r="BI198" s="518" t="str">
        <f>IF(AND(_D="A-330-900",'2024'!$I$4="CA",'2024'!$I$2=BI195),'2024DATA'!$D$5,"")</f>
        <v/>
      </c>
      <c r="BJ198" s="518" t="str">
        <f>IF(AND(_D="A-330-900",'2024'!$I$4="CA",'2024'!$I$2=BJ195),'2024DATA'!$E$5,"")</f>
        <v/>
      </c>
      <c r="BK198" s="518" t="str">
        <f>IF(AND(_D="A-330-900",'2024'!$I$4="CA",'2024'!$I$2=BK195),'2024DATA'!$F$5,"")</f>
        <v/>
      </c>
      <c r="BL198" s="518" t="str">
        <f>IF(AND(_D="A-330-900",'2024'!$I$4="CA",'2024'!$I$2=BL195),'2024DATA'!$G$5,"")</f>
        <v/>
      </c>
      <c r="BM198" s="518" t="str">
        <f>IF(AND(_D="A-330-900",'2024'!$I$4="CA",'2024'!$I$2=BM195),'2024DATA'!$H$5,"")</f>
        <v/>
      </c>
      <c r="BN198" s="518" t="str">
        <f>IF(AND(_D="A-330-900",'2024'!$I$4="CA",'2024'!$I$2=BN195),'2024DATA'!$I$5,"")</f>
        <v/>
      </c>
      <c r="BO198" s="518" t="str">
        <f>IF(AND(_D="A-330-900",'2024'!$I$4="CA",'2024'!$I$2=BO195),'2024DATA'!$J$5,"")</f>
        <v/>
      </c>
      <c r="BP198" s="518" t="str">
        <f>IF(AND(_D="A-330-900",'2024'!$I$4="CA",'2024'!$I$2=BP195),'2024DATA'!$K$5,"")</f>
        <v/>
      </c>
      <c r="BQ198" s="518" t="str">
        <f>IF(AND(_D="A-330-900",'2024'!$I$4="CA",'2024'!$I$2=BQ195),'2024DATA'!$L$5,"")</f>
        <v/>
      </c>
      <c r="BR198" s="518" t="str">
        <f>IF(AND(_D="A-330-900",'2024'!$I$4="CA",'2024'!$I$2=BR195),'2024DATA'!$M$5,"")</f>
        <v/>
      </c>
      <c r="BS198" s="520" t="str">
        <f>IF(AND(_D="A-330-900",'2024'!$I$4="CA",'2024'!$I$2=BS195),'2024DATA'!$N$5,"")</f>
        <v/>
      </c>
      <c r="BT198" s="940" t="s">
        <v>65</v>
      </c>
      <c r="BU198" s="13" t="s">
        <v>61</v>
      </c>
      <c r="BV198" s="518" t="str">
        <f>IF(AND(_E="A-330-900",'2024'!$I$4="CA",'2024'!$I$2=BV195),'2024DATA'!$C$5,"")</f>
        <v/>
      </c>
      <c r="BW198" s="518" t="str">
        <f>IF(AND(_E="A-330-900",'2024'!$I$4="CA",'2024'!$I$2=BW195),'2024DATA'!$D$5,"")</f>
        <v/>
      </c>
      <c r="BX198" s="518" t="str">
        <f>IF(AND(_E="A-330-900",'2024'!$I$4="CA",'2024'!$I$2=BX195),'2024DATA'!$E$5,"")</f>
        <v/>
      </c>
      <c r="BY198" s="518" t="str">
        <f>IF(AND(_E="A-330-900",'2024'!$I$4="CA",'2024'!$I$2=BY195),'2024DATA'!$F$5,"")</f>
        <v/>
      </c>
      <c r="BZ198" s="518" t="str">
        <f>IF(AND(_E="A-330-900",'2024'!$I$4="CA",'2024'!$I$2=BZ195),'2024DATA'!$G$5,"")</f>
        <v/>
      </c>
      <c r="CA198" s="518" t="str">
        <f>IF(AND(_E="A-330-900",'2024'!$I$4="CA",'2024'!$I$2=CA195),'2024DATA'!$H$5,"")</f>
        <v/>
      </c>
      <c r="CB198" s="518" t="str">
        <f>IF(AND(_E="A-330-900",'2024'!$I$4="CA",'2024'!$I$2=CB195),'2024DATA'!$I$5,"")</f>
        <v/>
      </c>
      <c r="CC198" s="518" t="str">
        <f>IF(AND(_E="A-330-900",'2024'!$I$4="CA",'2024'!$I$2=CC195),'2024DATA'!$J$5,"")</f>
        <v/>
      </c>
      <c r="CD198" s="518" t="str">
        <f>IF(AND(_E="A-330-900",'2024'!$I$4="CA",'2024'!$I$2=CD195),'2024DATA'!$K$5,"")</f>
        <v/>
      </c>
      <c r="CE198" s="518" t="str">
        <f>IF(AND(_E="A-330-900",'2024'!$I$4="CA",'2024'!$I$2=CE195),'2024DATA'!$L$5,"")</f>
        <v/>
      </c>
      <c r="CF198" s="518" t="str">
        <f>IF(AND(_E="A-330-900",'2024'!$I$4="CA",'2024'!$I$2=CF195),'2024DATA'!$M$5,"")</f>
        <v/>
      </c>
      <c r="CG198" s="520" t="str">
        <f>IF(AND(_E="A-330-900",'2024'!$I$4="CA",'2024'!$I$2=CG195),'2024DATA'!$N$5,"")</f>
        <v/>
      </c>
      <c r="CH198" s="940" t="s">
        <v>65</v>
      </c>
      <c r="CI198" s="13" t="s">
        <v>61</v>
      </c>
      <c r="CJ198" s="518" t="str">
        <f>IF(AND(_F="A-330-900",'2024'!$I$4="CA",'2024'!$I$2=CJ195),'2024DATA'!$C$5,"")</f>
        <v/>
      </c>
      <c r="CK198" s="518" t="str">
        <f>IF(AND(_F="A-330-900",'2024'!$I$4="CA",'2024'!$I$2=CK195),'2024DATA'!$D$5,"")</f>
        <v/>
      </c>
      <c r="CL198" s="518" t="str">
        <f>IF(AND(_F="A-330-900",'2024'!$I$4="CA",'2024'!$I$2=CL195),'2024DATA'!$E$5,"")</f>
        <v/>
      </c>
      <c r="CM198" s="518" t="str">
        <f>IF(AND(_F="A-330-900",'2024'!$I$4="CA",'2024'!$I$2=CM195),'2024DATA'!$F$5,"")</f>
        <v/>
      </c>
      <c r="CN198" s="518" t="str">
        <f>IF(AND(_F="A-330-900",'2024'!$I$4="CA",'2024'!$I$2=CN195),'2024DATA'!$G$5,"")</f>
        <v/>
      </c>
      <c r="CO198" s="518" t="str">
        <f>IF(AND(_F="A-330-900",'2024'!$I$4="CA",'2024'!$I$2=CO195),'2024DATA'!$H$5,"")</f>
        <v/>
      </c>
      <c r="CP198" s="518" t="str">
        <f>IF(AND(_F="A-330-900",'2024'!$I$4="CA",'2024'!$I$2=CP195),'2024DATA'!$I$5,"")</f>
        <v/>
      </c>
      <c r="CQ198" s="518" t="str">
        <f>IF(AND(_F="A-330-900",'2024'!$I$4="CA",'2024'!$I$2=CQ195),'2024DATA'!$J$5,"")</f>
        <v/>
      </c>
      <c r="CR198" s="518" t="str">
        <f>IF(AND(_F="A-330-900",'2024'!$I$4="CA",'2024'!$I$2=CR195),'2024DATA'!$K$5,"")</f>
        <v/>
      </c>
      <c r="CS198" s="518" t="str">
        <f>IF(AND(_F="A-330-900",'2024'!$I$4="CA",'2024'!$I$2=CS195),'2024DATA'!$L$5,"")</f>
        <v/>
      </c>
      <c r="CT198" s="518" t="str">
        <f>IF(AND(_F="A-330-900",'2024'!$I$4="CA",'2024'!$I$2=CT195),'2024DATA'!$M$5,"")</f>
        <v/>
      </c>
      <c r="CU198" s="520" t="str">
        <f>IF(AND(_F="A-330-900",'2024'!$I$4="CA",'2024'!$I$2=CU195),'2024DATA'!$N$5,"")</f>
        <v/>
      </c>
    </row>
    <row r="199" spans="16:99" x14ac:dyDescent="0.25">
      <c r="P199" s="940"/>
      <c r="Q199" s="13" t="s">
        <v>62</v>
      </c>
      <c r="R199" s="518" t="str">
        <f>IF(AND(_A="A-330-900",'2024'!$I$4="FO",'2024'!$I$2=R195),'2024DATA'!$C$6,"")</f>
        <v/>
      </c>
      <c r="S199" s="518" t="str">
        <f>IF(AND(_A="A-330-900",'2024'!$I$4="FO",'2024'!$I$2=S195),'2024DATA'!$D$6,"")</f>
        <v/>
      </c>
      <c r="T199" s="518" t="str">
        <f>IF(AND(_A="A-330-900",'2024'!$I$4="FO",'2024'!$I$2=T195),'2024DATA'!$E$6,"")</f>
        <v/>
      </c>
      <c r="U199" s="518" t="str">
        <f>IF(AND(_A="A-330-900",'2024'!$I$4="FO",'2024'!$I$2=U195),'2024DATA'!$F$6,"")</f>
        <v/>
      </c>
      <c r="V199" s="518" t="str">
        <f>IF(AND(_A="A-330-900",'2024'!$I$4="FO",'2024'!$I$2=V195),'2024DATA'!$G$6,"")</f>
        <v/>
      </c>
      <c r="W199" s="518" t="str">
        <f>IF(AND(_A="A-330-900",'2024'!$I$4="FO",'2024'!$I$2=W195),'2024DATA'!$H$6,"")</f>
        <v/>
      </c>
      <c r="X199" s="518" t="str">
        <f>IF(AND(_A="A-330-900",'2024'!$I$4="FO",'2024'!$I$2=X195),'2024DATA'!$I$6,"")</f>
        <v/>
      </c>
      <c r="Y199" s="518" t="str">
        <f>IF(AND(_A="A-330-900",'2024'!$I$4="FO",'2024'!$I$2=Y195),'2024DATA'!$J$6,"")</f>
        <v/>
      </c>
      <c r="Z199" s="518" t="str">
        <f>IF(AND(_A="A-330-900",'2024'!$I$4="FO",'2024'!$I$2=Z195),'2024DATA'!$K$6,"")</f>
        <v/>
      </c>
      <c r="AA199" s="518" t="str">
        <f>IF(AND(_A="A-330-900",'2024'!$I$4="FO",'2024'!$I$2=AA195),'2024DATA'!$L$6,"")</f>
        <v/>
      </c>
      <c r="AB199" s="518" t="str">
        <f>IF(AND(_A="A-330-900",'2024'!$I$4="FO",'2024'!$I$2=AB195),'2024DATA'!$M$6,"")</f>
        <v/>
      </c>
      <c r="AC199" s="520" t="str">
        <f>IF(AND(_A="A-330-900",'2024'!$I$4="FO",'2024'!$I$2=AC195),'2024DATA'!$N$6,"")</f>
        <v/>
      </c>
      <c r="AD199" s="940"/>
      <c r="AE199" s="13" t="s">
        <v>62</v>
      </c>
      <c r="AF199" s="518" t="str">
        <f>IF(AND(_B="A-330-900",'2024'!$I$4="FO",'2024'!$I$2=AF195),'2024DATA'!$C$6,"")</f>
        <v/>
      </c>
      <c r="AG199" s="518" t="str">
        <f>IF(AND(_B="A-330-900",'2024'!$I$4="FO",'2024'!$I$2=AG195),'2024DATA'!$D$6,"")</f>
        <v/>
      </c>
      <c r="AH199" s="518" t="str">
        <f>IF(AND(_B="A-330-900",'2024'!$I$4="FO",'2024'!$I$2=AH195),'2024DATA'!$E$6,"")</f>
        <v/>
      </c>
      <c r="AI199" s="518" t="str">
        <f>IF(AND(_B="A-330-900",'2024'!$I$4="FO",'2024'!$I$2=AI195),'2024DATA'!$F$6,"")</f>
        <v/>
      </c>
      <c r="AJ199" s="518" t="str">
        <f>IF(AND(_B="A-330-900",'2024'!$I$4="FO",'2024'!$I$2=AJ195),'2024DATA'!$G$6,"")</f>
        <v/>
      </c>
      <c r="AK199" s="518" t="str">
        <f>IF(AND(_B="A-330-900",'2024'!$I$4="FO",'2024'!$I$2=AK195),'2024DATA'!$H$6,"")</f>
        <v/>
      </c>
      <c r="AL199" s="518" t="str">
        <f>IF(AND(_B="A-330-900",'2024'!$I$4="FO",'2024'!$I$2=AL195),'2024DATA'!$I$6,"")</f>
        <v/>
      </c>
      <c r="AM199" s="518" t="str">
        <f>IF(AND(_B="A-330-900",'2024'!$I$4="FO",'2024'!$I$2=AM195),'2024DATA'!$J$6,"")</f>
        <v/>
      </c>
      <c r="AN199" s="518" t="str">
        <f>IF(AND(_B="A-330-900",'2024'!$I$4="FO",'2024'!$I$2=AN195),'2024DATA'!$K$6,"")</f>
        <v/>
      </c>
      <c r="AO199" s="518" t="str">
        <f>IF(AND(_B="A-330-900",'2024'!$I$4="FO",'2024'!$I$2=AO195),'2024DATA'!$L$6,"")</f>
        <v/>
      </c>
      <c r="AP199" s="518" t="str">
        <f>IF(AND(_B="A-330-900",'2024'!$I$4="FO",'2024'!$I$2=AP195),'2024DATA'!$M$6,"")</f>
        <v/>
      </c>
      <c r="AQ199" s="520" t="str">
        <f>IF(AND(_B="A-330-900",'2024'!$I$4="FO",'2024'!$I$2=AQ195),'2024DATA'!$N$6,"")</f>
        <v/>
      </c>
      <c r="AR199" s="940"/>
      <c r="AS199" s="13" t="s">
        <v>62</v>
      </c>
      <c r="AT199" s="518" t="str">
        <f>IF(AND(_C="A-330-900",'2024'!$I$4="FO",'2024'!$I$2=AT195),'2024DATA'!$C$6,"")</f>
        <v/>
      </c>
      <c r="AU199" s="518" t="str">
        <f>IF(AND(_C="A-330-900",'2024'!$I$4="FO",'2024'!$I$2=AU195),'2024DATA'!$D$6,"")</f>
        <v/>
      </c>
      <c r="AV199" s="518" t="str">
        <f>IF(AND(_C="A-330-900",'2024'!$I$4="FO",'2024'!$I$2=AV195),'2024DATA'!$E$6,"")</f>
        <v/>
      </c>
      <c r="AW199" s="518" t="str">
        <f>IF(AND(_C="A-330-900",'2024'!$I$4="FO",'2024'!$I$2=AW195),'2024DATA'!$F$6,"")</f>
        <v/>
      </c>
      <c r="AX199" s="518" t="str">
        <f>IF(AND(_C="A-330-900",'2024'!$I$4="FO",'2024'!$I$2=AX195),'2024DATA'!$G$6,"")</f>
        <v/>
      </c>
      <c r="AY199" s="518" t="str">
        <f>IF(AND(_C="A-330-900",'2024'!$I$4="FO",'2024'!$I$2=AY195),'2024DATA'!$H$6,"")</f>
        <v/>
      </c>
      <c r="AZ199" s="518" t="str">
        <f>IF(AND(_C="A-330-900",'2024'!$I$4="FO",'2024'!$I$2=AZ195),'2024DATA'!$I$6,"")</f>
        <v/>
      </c>
      <c r="BA199" s="518" t="str">
        <f>IF(AND(_C="A-330-900",'2024'!$I$4="FO",'2024'!$I$2=BA195),'2024DATA'!$J$6,"")</f>
        <v/>
      </c>
      <c r="BB199" s="518" t="str">
        <f>IF(AND(_C="A-330-900",'2024'!$I$4="FO",'2024'!$I$2=BB195),'2024DATA'!$K$6,"")</f>
        <v/>
      </c>
      <c r="BC199" s="518" t="str">
        <f>IF(AND(_C="A-330-900",'2024'!$I$4="FO",'2024'!$I$2=BC195),'2024DATA'!$L$6,"")</f>
        <v/>
      </c>
      <c r="BD199" s="518" t="str">
        <f>IF(AND(_C="A-330-900",'2024'!$I$4="FO",'2024'!$I$2=BD195),'2024DATA'!$M$6,"")</f>
        <v/>
      </c>
      <c r="BE199" s="520" t="str">
        <f>IF(AND(_C="A-330-900",'2024'!$I$4="FO",'2024'!$I$2=BE195),'2024DATA'!$N$6,"")</f>
        <v/>
      </c>
      <c r="BF199" s="940"/>
      <c r="BG199" s="13" t="s">
        <v>62</v>
      </c>
      <c r="BH199" s="518" t="str">
        <f>IF(AND(_D="A-330-900",'2024'!$I$4="FO",'2024'!$I$2=BH195),'2024DATA'!$C$6,"")</f>
        <v/>
      </c>
      <c r="BI199" s="518" t="str">
        <f>IF(AND(_D="A-330-900",'2024'!$I$4="FO",'2024'!$I$2=BI195),'2024DATA'!$D$6,"")</f>
        <v/>
      </c>
      <c r="BJ199" s="518" t="str">
        <f>IF(AND(_D="A-330-900",'2024'!$I$4="FO",'2024'!$I$2=BJ195),'2024DATA'!$E$6,"")</f>
        <v/>
      </c>
      <c r="BK199" s="518" t="str">
        <f>IF(AND(_D="A-330-900",'2024'!$I$4="FO",'2024'!$I$2=BK195),'2024DATA'!$F$6,"")</f>
        <v/>
      </c>
      <c r="BL199" s="518" t="str">
        <f>IF(AND(_D="A-330-900",'2024'!$I$4="FO",'2024'!$I$2=BL195),'2024DATA'!$G$6,"")</f>
        <v/>
      </c>
      <c r="BM199" s="518" t="str">
        <f>IF(AND(_D="A-330-900",'2024'!$I$4="FO",'2024'!$I$2=BM195),'2024DATA'!$H$6,"")</f>
        <v/>
      </c>
      <c r="BN199" s="518" t="str">
        <f>IF(AND(_D="A-330-900",'2024'!$I$4="FO",'2024'!$I$2=BN195),'2024DATA'!$I$6,"")</f>
        <v/>
      </c>
      <c r="BO199" s="518" t="str">
        <f>IF(AND(_D="A-330-900",'2024'!$I$4="FO",'2024'!$I$2=BO195),'2024DATA'!$J$6,"")</f>
        <v/>
      </c>
      <c r="BP199" s="518" t="str">
        <f>IF(AND(_D="A-330-900",'2024'!$I$4="FO",'2024'!$I$2=BP195),'2024DATA'!$K$6,"")</f>
        <v/>
      </c>
      <c r="BQ199" s="518" t="str">
        <f>IF(AND(_D="A-330-900",'2024'!$I$4="FO",'2024'!$I$2=BQ195),'2024DATA'!$L$6,"")</f>
        <v/>
      </c>
      <c r="BR199" s="518" t="str">
        <f>IF(AND(_D="A-330-900",'2024'!$I$4="FO",'2024'!$I$2=BR195),'2024DATA'!$M$6,"")</f>
        <v/>
      </c>
      <c r="BS199" s="520" t="str">
        <f>IF(AND(_D="A-330-900",'2024'!$I$4="FO",'2024'!$I$2=BS195),'2024DATA'!$N$6,"")</f>
        <v/>
      </c>
      <c r="BT199" s="940"/>
      <c r="BU199" s="13" t="s">
        <v>62</v>
      </c>
      <c r="BV199" s="518" t="str">
        <f>IF(AND(_E="A-330-900",'2024'!$I$4="FO",'2024'!$I$2=BV195),'2024DATA'!$C$6,"")</f>
        <v/>
      </c>
      <c r="BW199" s="518" t="str">
        <f>IF(AND(_E="A-330-900",'2024'!$I$4="FO",'2024'!$I$2=BW195),'2024DATA'!$D$6,"")</f>
        <v/>
      </c>
      <c r="BX199" s="518" t="str">
        <f>IF(AND(_E="A-330-900",'2024'!$I$4="FO",'2024'!$I$2=BX195),'2024DATA'!$E$6,"")</f>
        <v/>
      </c>
      <c r="BY199" s="518" t="str">
        <f>IF(AND(_E="A-330-900",'2024'!$I$4="FO",'2024'!$I$2=BY195),'2024DATA'!$F$6,"")</f>
        <v/>
      </c>
      <c r="BZ199" s="518" t="str">
        <f>IF(AND(_E="A-330-900",'2024'!$I$4="FO",'2024'!$I$2=BZ195),'2024DATA'!$G$6,"")</f>
        <v/>
      </c>
      <c r="CA199" s="518" t="str">
        <f>IF(AND(_E="A-330-900",'2024'!$I$4="FO",'2024'!$I$2=CA195),'2024DATA'!$H$6,"")</f>
        <v/>
      </c>
      <c r="CB199" s="518" t="str">
        <f>IF(AND(_E="A-330-900",'2024'!$I$4="FO",'2024'!$I$2=CB195),'2024DATA'!$I$6,"")</f>
        <v/>
      </c>
      <c r="CC199" s="518" t="str">
        <f>IF(AND(_E="A-330-900",'2024'!$I$4="FO",'2024'!$I$2=CC195),'2024DATA'!$J$6,"")</f>
        <v/>
      </c>
      <c r="CD199" s="518" t="str">
        <f>IF(AND(_E="A-330-900",'2024'!$I$4="FO",'2024'!$I$2=CD195),'2024DATA'!$K$6,"")</f>
        <v/>
      </c>
      <c r="CE199" s="518" t="str">
        <f>IF(AND(_E="A-330-900",'2024'!$I$4="FO",'2024'!$I$2=CE195),'2024DATA'!$L$6,"")</f>
        <v/>
      </c>
      <c r="CF199" s="518" t="str">
        <f>IF(AND(_E="A-330-900",'2024'!$I$4="FO",'2024'!$I$2=CF195),'2024DATA'!$M$6,"")</f>
        <v/>
      </c>
      <c r="CG199" s="520" t="str">
        <f>IF(AND(_E="A-330-900",'2024'!$I$4="FO",'2024'!$I$2=CG195),'2024DATA'!$N$6,"")</f>
        <v/>
      </c>
      <c r="CH199" s="940"/>
      <c r="CI199" s="13" t="s">
        <v>62</v>
      </c>
      <c r="CJ199" s="518" t="str">
        <f>IF(AND(_F="A-330-900",'2024'!$I$4="FO",'2024'!$I$2=CJ195),'2024DATA'!$C$6,"")</f>
        <v/>
      </c>
      <c r="CK199" s="518" t="str">
        <f>IF(AND(_F="A-330-900",'2024'!$I$4="FO",'2024'!$I$2=CK195),'2024DATA'!$D$6,"")</f>
        <v/>
      </c>
      <c r="CL199" s="518" t="str">
        <f>IF(AND(_F="A-330-900",'2024'!$I$4="FO",'2024'!$I$2=CL195),'2024DATA'!$E$6,"")</f>
        <v/>
      </c>
      <c r="CM199" s="518" t="str">
        <f>IF(AND(_F="A-330-900",'2024'!$I$4="FO",'2024'!$I$2=CM195),'2024DATA'!$F$6,"")</f>
        <v/>
      </c>
      <c r="CN199" s="518" t="str">
        <f>IF(AND(_F="A-330-900",'2024'!$I$4="FO",'2024'!$I$2=CN195),'2024DATA'!$G$6,"")</f>
        <v/>
      </c>
      <c r="CO199" s="518" t="str">
        <f>IF(AND(_F="A-330-900",'2024'!$I$4="FO",'2024'!$I$2=CO195),'2024DATA'!$H$6,"")</f>
        <v/>
      </c>
      <c r="CP199" s="518" t="str">
        <f>IF(AND(_F="A-330-900",'2024'!$I$4="FO",'2024'!$I$2=CP195),'2024DATA'!$I$6,"")</f>
        <v/>
      </c>
      <c r="CQ199" s="518" t="str">
        <f>IF(AND(_F="A-330-900",'2024'!$I$4="FO",'2024'!$I$2=CQ195),'2024DATA'!$J$6,"")</f>
        <v/>
      </c>
      <c r="CR199" s="518" t="str">
        <f>IF(AND(_F="A-330-900",'2024'!$I$4="FO",'2024'!$I$2=CR195),'2024DATA'!$K$6,"")</f>
        <v/>
      </c>
      <c r="CS199" s="518" t="str">
        <f>IF(AND(_F="A-330-900",'2024'!$I$4="FO",'2024'!$I$2=CS195),'2024DATA'!$L$6,"")</f>
        <v/>
      </c>
      <c r="CT199" s="518" t="str">
        <f>IF(AND(_F="A-330-900",'2024'!$I$4="FO",'2024'!$I$2=CT195),'2024DATA'!$M$6,"")</f>
        <v/>
      </c>
      <c r="CU199" s="520" t="str">
        <f>IF(AND(_F="A-330-900",'2024'!$I$4="FO",'2024'!$I$2=CU195),'2024DATA'!$N$6,"")</f>
        <v/>
      </c>
    </row>
    <row r="200" spans="16:99" x14ac:dyDescent="0.25">
      <c r="P200" s="940" t="s">
        <v>64</v>
      </c>
      <c r="Q200" s="13" t="s">
        <v>61</v>
      </c>
      <c r="R200" s="518" t="str">
        <f>IF(AND(_A="A-330-300",'2024'!$I$4="CA",'2024'!$I$2=R195),'2024DATA'!$C$7,"")</f>
        <v/>
      </c>
      <c r="S200" s="518" t="str">
        <f>IF(AND(_A="A-330-300",'2024'!$I$4="CA",'2024'!$I$2=S195),'2024DATA'!$D$7,"")</f>
        <v/>
      </c>
      <c r="T200" s="518" t="str">
        <f>IF(AND(_A="A-330-300",'2024'!$I$4="CA",'2024'!$I$2=T195),'2024DATA'!$E$7,"")</f>
        <v/>
      </c>
      <c r="U200" s="518" t="str">
        <f>IF(AND(_A="A-330-300",'2024'!$I$4="CA",'2024'!$I$2=U195),'2024DATA'!$F$7,"")</f>
        <v/>
      </c>
      <c r="V200" s="518" t="str">
        <f>IF(AND(_A="A-330-300",'2024'!$I$4="CA",'2024'!$I$2=V195),'2024DATA'!$G$7,"")</f>
        <v/>
      </c>
      <c r="W200" s="518" t="str">
        <f>IF(AND(_A="A-330-300",'2024'!$I$4="CA",'2024'!$I$2=W195),'2024DATA'!$H$7,"")</f>
        <v/>
      </c>
      <c r="X200" s="518" t="str">
        <f>IF(AND(_A="A-330-300",'2024'!$I$4="CA",'2024'!$I$2=X195),'2024DATA'!$I$7,"")</f>
        <v/>
      </c>
      <c r="Y200" s="518" t="str">
        <f>IF(AND(_A="A-330-300",'2024'!$I$4="CA",'2024'!$I$2=Y195),'2024DATA'!$J$7,"")</f>
        <v/>
      </c>
      <c r="Z200" s="518" t="str">
        <f>IF(AND(_A="A-330-300",'2024'!$I$4="CA",'2024'!$I$2=Z195),'2024DATA'!$K$7,"")</f>
        <v/>
      </c>
      <c r="AA200" s="518" t="str">
        <f>IF(AND(_A="A-330-300",'2024'!$I$4="CA",'2024'!$I$2=AA195),'2024DATA'!$L$7,"")</f>
        <v/>
      </c>
      <c r="AB200" s="518" t="str">
        <f>IF(AND(_A="A-330-300",'2024'!$I$4="CA",'2024'!$I$2=AB195),'2024DATA'!$M$7,"")</f>
        <v/>
      </c>
      <c r="AC200" s="520" t="str">
        <f>IF(AND(_A="A-330-300",'2024'!$I$4="CA",'2024'!$I$2=AC195),'2024DATA'!$N$7,"")</f>
        <v/>
      </c>
      <c r="AD200" s="940" t="s">
        <v>64</v>
      </c>
      <c r="AE200" s="13" t="s">
        <v>61</v>
      </c>
      <c r="AF200" s="518" t="str">
        <f>IF(AND(_B="A-330-300",'2024'!$I$4="CA",'2024'!$I$2=AF195),'2024DATA'!$C$7,"")</f>
        <v/>
      </c>
      <c r="AG200" s="518" t="str">
        <f>IF(AND(_B="A-330-300",'2024'!$I$4="CA",'2024'!$I$2=AG195),'2024DATA'!$D$7,"")</f>
        <v/>
      </c>
      <c r="AH200" s="518" t="str">
        <f>IF(AND(_B="A-330-300",'2024'!$I$4="CA",'2024'!$I$2=AH195),'2024DATA'!$E$7,"")</f>
        <v/>
      </c>
      <c r="AI200" s="518" t="str">
        <f>IF(AND(_B="A-330-300",'2024'!$I$4="CA",'2024'!$I$2=AI195),'2024DATA'!$F$7,"")</f>
        <v/>
      </c>
      <c r="AJ200" s="518" t="str">
        <f>IF(AND(_B="A-330-300",'2024'!$I$4="CA",'2024'!$I$2=AJ195),'2024DATA'!$G$7,"")</f>
        <v/>
      </c>
      <c r="AK200" s="518" t="str">
        <f>IF(AND(_B="A-330-300",'2024'!$I$4="CA",'2024'!$I$2=AK195),'2024DATA'!$H$7,"")</f>
        <v/>
      </c>
      <c r="AL200" s="518" t="str">
        <f>IF(AND(_B="A-330-300",'2024'!$I$4="CA",'2024'!$I$2=AL195),'2024DATA'!$I$7,"")</f>
        <v/>
      </c>
      <c r="AM200" s="518" t="str">
        <f>IF(AND(_B="A-330-300",'2024'!$I$4="CA",'2024'!$I$2=AM195),'2024DATA'!$J$7,"")</f>
        <v/>
      </c>
      <c r="AN200" s="518" t="str">
        <f>IF(AND(_B="A-330-300",'2024'!$I$4="CA",'2024'!$I$2=AN195),'2024DATA'!$K$7,"")</f>
        <v/>
      </c>
      <c r="AO200" s="518" t="str">
        <f>IF(AND(_B="A-330-300",'2024'!$I$4="CA",'2024'!$I$2=AO195),'2024DATA'!$L$7,"")</f>
        <v/>
      </c>
      <c r="AP200" s="518" t="str">
        <f>IF(AND(_B="A-330-300",'2024'!$I$4="CA",'2024'!$I$2=AP195),'2024DATA'!$M$7,"")</f>
        <v/>
      </c>
      <c r="AQ200" s="520" t="str">
        <f>IF(AND(_B="A-330-300",'2024'!$I$4="CA",'2024'!$I$2=AQ195),'2024DATA'!$N$7,"")</f>
        <v/>
      </c>
      <c r="AR200" s="940" t="s">
        <v>64</v>
      </c>
      <c r="AS200" s="13" t="s">
        <v>61</v>
      </c>
      <c r="AT200" s="518" t="str">
        <f>IF(AND(_C="A-330-300",'2024'!$I$4="CA",'2024'!$I$2=AT195),'2024DATA'!$C$7,"")</f>
        <v/>
      </c>
      <c r="AU200" s="518" t="str">
        <f>IF(AND(_C="A-330-300",'2024'!$I$4="CA",'2024'!$I$2=AU195),'2024DATA'!$D$7,"")</f>
        <v/>
      </c>
      <c r="AV200" s="518" t="str">
        <f>IF(AND(_C="A-330-300",'2024'!$I$4="CA",'2024'!$I$2=AV195),'2024DATA'!$E$7,"")</f>
        <v/>
      </c>
      <c r="AW200" s="518" t="str">
        <f>IF(AND(_C="A-330-300",'2024'!$I$4="CA",'2024'!$I$2=AW195),'2024DATA'!$F$7,"")</f>
        <v/>
      </c>
      <c r="AX200" s="518" t="str">
        <f>IF(AND(_C="A-330-300",'2024'!$I$4="CA",'2024'!$I$2=AX195),'2024DATA'!$G$7,"")</f>
        <v/>
      </c>
      <c r="AY200" s="518" t="str">
        <f>IF(AND(_C="A-330-300",'2024'!$I$4="CA",'2024'!$I$2=AY195),'2024DATA'!$H$7,"")</f>
        <v/>
      </c>
      <c r="AZ200" s="518" t="str">
        <f>IF(AND(_C="A-330-300",'2024'!$I$4="CA",'2024'!$I$2=AZ195),'2024DATA'!$I$7,"")</f>
        <v/>
      </c>
      <c r="BA200" s="518" t="str">
        <f>IF(AND(_C="A-330-300",'2024'!$I$4="CA",'2024'!$I$2=BA195),'2024DATA'!$J$7,"")</f>
        <v/>
      </c>
      <c r="BB200" s="518" t="str">
        <f>IF(AND(_C="A-330-300",'2024'!$I$4="CA",'2024'!$I$2=BB195),'2024DATA'!$K$7,"")</f>
        <v/>
      </c>
      <c r="BC200" s="518" t="str">
        <f>IF(AND(_C="A-330-300",'2024'!$I$4="CA",'2024'!$I$2=BC195),'2024DATA'!$L$7,"")</f>
        <v/>
      </c>
      <c r="BD200" s="518" t="str">
        <f>IF(AND(_C="A-330-300",'2024'!$I$4="CA",'2024'!$I$2=BD195),'2024DATA'!$M$7,"")</f>
        <v/>
      </c>
      <c r="BE200" s="520" t="str">
        <f>IF(AND(_C="A-330-300",'2024'!$I$4="CA",'2024'!$I$2=BE195),'2024DATA'!$N$7,"")</f>
        <v/>
      </c>
      <c r="BF200" s="940" t="s">
        <v>64</v>
      </c>
      <c r="BG200" s="13" t="s">
        <v>61</v>
      </c>
      <c r="BH200" s="518" t="str">
        <f>IF(AND(_D="A-330-300",'2024'!$I$4="CA",'2024'!$I$2=BH195),'2024DATA'!$C$7,"")</f>
        <v/>
      </c>
      <c r="BI200" s="518" t="str">
        <f>IF(AND(_D="A-330-300",'2024'!$I$4="CA",'2024'!$I$2=BI195),'2024DATA'!$D$7,"")</f>
        <v/>
      </c>
      <c r="BJ200" s="518" t="str">
        <f>IF(AND(_D="A-330-300",'2024'!$I$4="CA",'2024'!$I$2=BJ195),'2024DATA'!$E$7,"")</f>
        <v/>
      </c>
      <c r="BK200" s="518" t="str">
        <f>IF(AND(_D="A-330-300",'2024'!$I$4="CA",'2024'!$I$2=BK195),'2024DATA'!$F$7,"")</f>
        <v/>
      </c>
      <c r="BL200" s="518" t="str">
        <f>IF(AND(_D="A-330-300",'2024'!$I$4="CA",'2024'!$I$2=BL195),'2024DATA'!$G$7,"")</f>
        <v/>
      </c>
      <c r="BM200" s="518" t="str">
        <f>IF(AND(_D="A-330-300",'2024'!$I$4="CA",'2024'!$I$2=BM195),'2024DATA'!$H$7,"")</f>
        <v/>
      </c>
      <c r="BN200" s="518" t="str">
        <f>IF(AND(_D="A-330-300",'2024'!$I$4="CA",'2024'!$I$2=BN195),'2024DATA'!$I$7,"")</f>
        <v/>
      </c>
      <c r="BO200" s="518" t="str">
        <f>IF(AND(_D="A-330-300",'2024'!$I$4="CA",'2024'!$I$2=BO195),'2024DATA'!$J$7,"")</f>
        <v/>
      </c>
      <c r="BP200" s="518" t="str">
        <f>IF(AND(_D="A-330-300",'2024'!$I$4="CA",'2024'!$I$2=BP195),'2024DATA'!$K$7,"")</f>
        <v/>
      </c>
      <c r="BQ200" s="518" t="str">
        <f>IF(AND(_D="A-330-300",'2024'!$I$4="CA",'2024'!$I$2=BQ195),'2024DATA'!$L$7,"")</f>
        <v/>
      </c>
      <c r="BR200" s="518" t="str">
        <f>IF(AND(_D="A-330-300",'2024'!$I$4="CA",'2024'!$I$2=BR195),'2024DATA'!$M$7,"")</f>
        <v/>
      </c>
      <c r="BS200" s="520" t="str">
        <f>IF(AND(_D="A-330-300",'2024'!$I$4="CA",'2024'!$I$2=BS195),'2024DATA'!$N$7,"")</f>
        <v/>
      </c>
      <c r="BT200" s="940" t="s">
        <v>64</v>
      </c>
      <c r="BU200" s="13" t="s">
        <v>61</v>
      </c>
      <c r="BV200" s="518" t="str">
        <f>IF(AND(_E="A-330-300",'2024'!$I$4="CA",'2024'!$I$2=BV195),'2024DATA'!$C$7,"")</f>
        <v/>
      </c>
      <c r="BW200" s="518" t="str">
        <f>IF(AND(_E="A-330-300",'2024'!$I$4="CA",'2024'!$I$2=BW195),'2024DATA'!$D$7,"")</f>
        <v/>
      </c>
      <c r="BX200" s="518" t="str">
        <f>IF(AND(_E="A-330-300",'2024'!$I$4="CA",'2024'!$I$2=BX195),'2024DATA'!$E$7,"")</f>
        <v/>
      </c>
      <c r="BY200" s="518" t="str">
        <f>IF(AND(_E="A-330-300",'2024'!$I$4="CA",'2024'!$I$2=BY195),'2024DATA'!$F$7,"")</f>
        <v/>
      </c>
      <c r="BZ200" s="518" t="str">
        <f>IF(AND(_E="A-330-300",'2024'!$I$4="CA",'2024'!$I$2=BZ195),'2024DATA'!$G$7,"")</f>
        <v/>
      </c>
      <c r="CA200" s="518" t="str">
        <f>IF(AND(_E="A-330-300",'2024'!$I$4="CA",'2024'!$I$2=CA195),'2024DATA'!$H$7,"")</f>
        <v/>
      </c>
      <c r="CB200" s="518" t="str">
        <f>IF(AND(_E="A-330-300",'2024'!$I$4="CA",'2024'!$I$2=CB195),'2024DATA'!$I$7,"")</f>
        <v/>
      </c>
      <c r="CC200" s="518" t="str">
        <f>IF(AND(_E="A-330-300",'2024'!$I$4="CA",'2024'!$I$2=CC195),'2024DATA'!$J$7,"")</f>
        <v/>
      </c>
      <c r="CD200" s="518" t="str">
        <f>IF(AND(_E="A-330-300",'2024'!$I$4="CA",'2024'!$I$2=CD195),'2024DATA'!$K$7,"")</f>
        <v/>
      </c>
      <c r="CE200" s="518" t="str">
        <f>IF(AND(_E="A-330-300",'2024'!$I$4="CA",'2024'!$I$2=CE195),'2024DATA'!$L$7,"")</f>
        <v/>
      </c>
      <c r="CF200" s="518" t="str">
        <f>IF(AND(_E="A-330-300",'2024'!$I$4="CA",'2024'!$I$2=CF195),'2024DATA'!$M$7,"")</f>
        <v/>
      </c>
      <c r="CG200" s="520" t="str">
        <f>IF(AND(_E="A-330-300",'2024'!$I$4="CA",'2024'!$I$2=CG195),'2024DATA'!$N$7,"")</f>
        <v/>
      </c>
      <c r="CH200" s="940" t="s">
        <v>64</v>
      </c>
      <c r="CI200" s="13" t="s">
        <v>61</v>
      </c>
      <c r="CJ200" s="518" t="str">
        <f>IF(AND(_F="A-330-300",'2024'!$I$4="CA",'2024'!$I$2=CJ195),'2024DATA'!$C$7,"")</f>
        <v/>
      </c>
      <c r="CK200" s="518" t="str">
        <f>IF(AND(_F="A-330-300",'2024'!$I$4="CA",'2024'!$I$2=CK195),'2024DATA'!$D$7,"")</f>
        <v/>
      </c>
      <c r="CL200" s="518" t="str">
        <f>IF(AND(_F="A-330-300",'2024'!$I$4="CA",'2024'!$I$2=CL195),'2024DATA'!$E$7,"")</f>
        <v/>
      </c>
      <c r="CM200" s="518" t="str">
        <f>IF(AND(_F="A-330-300",'2024'!$I$4="CA",'2024'!$I$2=CM195),'2024DATA'!$F$7,"")</f>
        <v/>
      </c>
      <c r="CN200" s="518" t="str">
        <f>IF(AND(_F="A-330-300",'2024'!$I$4="CA",'2024'!$I$2=CN195),'2024DATA'!$G$7,"")</f>
        <v/>
      </c>
      <c r="CO200" s="518" t="str">
        <f>IF(AND(_F="A-330-300",'2024'!$I$4="CA",'2024'!$I$2=CO195),'2024DATA'!$H$7,"")</f>
        <v/>
      </c>
      <c r="CP200" s="518" t="str">
        <f>IF(AND(_F="A-330-300",'2024'!$I$4="CA",'2024'!$I$2=CP195),'2024DATA'!$I$7,"")</f>
        <v/>
      </c>
      <c r="CQ200" s="518" t="str">
        <f>IF(AND(_F="A-330-300",'2024'!$I$4="CA",'2024'!$I$2=CQ195),'2024DATA'!$J$7,"")</f>
        <v/>
      </c>
      <c r="CR200" s="518" t="str">
        <f>IF(AND(_F="A-330-300",'2024'!$I$4="CA",'2024'!$I$2=CR195),'2024DATA'!$K$7,"")</f>
        <v/>
      </c>
      <c r="CS200" s="518" t="str">
        <f>IF(AND(_F="A-330-300",'2024'!$I$4="CA",'2024'!$I$2=CS195),'2024DATA'!$L$7,"")</f>
        <v/>
      </c>
      <c r="CT200" s="518" t="str">
        <f>IF(AND(_F="A-330-300",'2024'!$I$4="CA",'2024'!$I$2=CT195),'2024DATA'!$M$7,"")</f>
        <v/>
      </c>
      <c r="CU200" s="520" t="str">
        <f>IF(AND(_F="A-330-300",'2024'!$I$4="CA",'2024'!$I$2=CU195),'2024DATA'!$N$7,"")</f>
        <v/>
      </c>
    </row>
    <row r="201" spans="16:99" x14ac:dyDescent="0.25">
      <c r="P201" s="940"/>
      <c r="Q201" s="13" t="s">
        <v>62</v>
      </c>
      <c r="R201" s="518" t="str">
        <f>IF(AND(_A="A-330-300",'2024'!$I$4="FO",'2024'!$I$2=R195),'2024DATA'!$C$8,"")</f>
        <v/>
      </c>
      <c r="S201" s="518" t="str">
        <f>IF(AND(_A="A-330-300",'2024'!$I$4="FO",'2024'!$I$2=S195),'2024DATA'!$D$8,"")</f>
        <v/>
      </c>
      <c r="T201" s="518" t="str">
        <f>IF(AND(_A="A-330-300",'2024'!$I$4="FO",'2024'!$I$2=T195),'2024DATA'!$E$8,"")</f>
        <v/>
      </c>
      <c r="U201" s="518" t="str">
        <f>IF(AND(_A="A-330-300",'2024'!$I$4="FO",'2024'!$I$2=U195),'2024DATA'!$F$8,"")</f>
        <v/>
      </c>
      <c r="V201" s="518" t="str">
        <f>IF(AND(_A="A-330-300",'2024'!$I$4="FO",'2024'!$I$2=V195),'2024DATA'!$G$8,"")</f>
        <v/>
      </c>
      <c r="W201" s="518" t="str">
        <f>IF(AND(_A="A-330-300",'2024'!$I$4="FO",'2024'!$I$2=W195),'2024DATA'!$H$8,"")</f>
        <v/>
      </c>
      <c r="X201" s="518" t="str">
        <f>IF(AND(_A="A-330-300",'2024'!$I$4="FO",'2024'!$I$2=X195),'2024DATA'!$I$8,"")</f>
        <v/>
      </c>
      <c r="Y201" s="518" t="str">
        <f>IF(AND(_A="A-330-300",'2024'!$I$4="FO",'2024'!$I$2=Y195),'2024DATA'!$J$8,"")</f>
        <v/>
      </c>
      <c r="Z201" s="518" t="str">
        <f>IF(AND(_A="A-330-300",'2024'!$I$4="FO",'2024'!$I$2=Z195),'2024DATA'!$K$8,"")</f>
        <v/>
      </c>
      <c r="AA201" s="518" t="str">
        <f>IF(AND(_A="A-330-300",'2024'!$I$4="FO",'2024'!$I$2=AA195),'2024DATA'!$L$8,"")</f>
        <v/>
      </c>
      <c r="AB201" s="518" t="str">
        <f>IF(AND(_A="A-330-300",'2024'!$I$4="FO",'2024'!$I$2=AB195),'2024DATA'!$M$8,"")</f>
        <v/>
      </c>
      <c r="AC201" s="520" t="str">
        <f>IF(AND(_A="A-330-300",'2024'!$I$4="FO",'2024'!$I$2=AC195),'2024DATA'!$N$8,"")</f>
        <v/>
      </c>
      <c r="AD201" s="940"/>
      <c r="AE201" s="13" t="s">
        <v>62</v>
      </c>
      <c r="AF201" s="518" t="str">
        <f>IF(AND(_B="A-330-300",'2024'!$I$4="FO",'2024'!$I$2=AF195),'2024DATA'!$C$8,"")</f>
        <v/>
      </c>
      <c r="AG201" s="518" t="str">
        <f>IF(AND(_B="A-330-300",'2024'!$I$4="FO",'2024'!$I$2=AG195),'2024DATA'!$D$8,"")</f>
        <v/>
      </c>
      <c r="AH201" s="518" t="str">
        <f>IF(AND(_B="A-330-300",'2024'!$I$4="FO",'2024'!$I$2=AH195),'2024DATA'!$E$8,"")</f>
        <v/>
      </c>
      <c r="AI201" s="518" t="str">
        <f>IF(AND(_B="A-330-300",'2024'!$I$4="FO",'2024'!$I$2=AI195),'2024DATA'!$F$8,"")</f>
        <v/>
      </c>
      <c r="AJ201" s="518" t="str">
        <f>IF(AND(_B="A-330-300",'2024'!$I$4="FO",'2024'!$I$2=AJ195),'2024DATA'!$G$8,"")</f>
        <v/>
      </c>
      <c r="AK201" s="518" t="str">
        <f>IF(AND(_B="A-330-300",'2024'!$I$4="FO",'2024'!$I$2=AK195),'2024DATA'!$H$8,"")</f>
        <v/>
      </c>
      <c r="AL201" s="518" t="str">
        <f>IF(AND(_B="A-330-300",'2024'!$I$4="FO",'2024'!$I$2=AL195),'2024DATA'!$I$8,"")</f>
        <v/>
      </c>
      <c r="AM201" s="518" t="str">
        <f>IF(AND(_B="A-330-300",'2024'!$I$4="FO",'2024'!$I$2=AM195),'2024DATA'!$J$8,"")</f>
        <v/>
      </c>
      <c r="AN201" s="518" t="str">
        <f>IF(AND(_B="A-330-300",'2024'!$I$4="FO",'2024'!$I$2=AN195),'2024DATA'!$K$8,"")</f>
        <v/>
      </c>
      <c r="AO201" s="518" t="str">
        <f>IF(AND(_B="A-330-300",'2024'!$I$4="FO",'2024'!$I$2=AO195),'2024DATA'!$L$8,"")</f>
        <v/>
      </c>
      <c r="AP201" s="518" t="str">
        <f>IF(AND(_B="A-330-300",'2024'!$I$4="FO",'2024'!$I$2=AP195),'2024DATA'!$M$8,"")</f>
        <v/>
      </c>
      <c r="AQ201" s="520" t="str">
        <f>IF(AND(_B="A-330-300",'2024'!$I$4="FO",'2024'!$I$2=AQ195),'2024DATA'!$N$8,"")</f>
        <v/>
      </c>
      <c r="AR201" s="940"/>
      <c r="AS201" s="13" t="s">
        <v>62</v>
      </c>
      <c r="AT201" s="518" t="str">
        <f>IF(AND(_C="A-330-300",'2024'!$I$4="FO",'2024'!$I$2=AT195),'2024DATA'!$C$8,"")</f>
        <v/>
      </c>
      <c r="AU201" s="518" t="str">
        <f>IF(AND(_C="A-330-300",'2024'!$I$4="FO",'2024'!$I$2=AU195),'2024DATA'!$D$8,"")</f>
        <v/>
      </c>
      <c r="AV201" s="518" t="str">
        <f>IF(AND(_C="A-330-300",'2024'!$I$4="FO",'2024'!$I$2=AV195),'2024DATA'!$E$8,"")</f>
        <v/>
      </c>
      <c r="AW201" s="518" t="str">
        <f>IF(AND(_C="A-330-300",'2024'!$I$4="FO",'2024'!$I$2=AW195),'2024DATA'!$F$8,"")</f>
        <v/>
      </c>
      <c r="AX201" s="518" t="str">
        <f>IF(AND(_C="A-330-300",'2024'!$I$4="FO",'2024'!$I$2=AX195),'2024DATA'!$G$8,"")</f>
        <v/>
      </c>
      <c r="AY201" s="518" t="str">
        <f>IF(AND(_C="A-330-300",'2024'!$I$4="FO",'2024'!$I$2=AY195),'2024DATA'!$H$8,"")</f>
        <v/>
      </c>
      <c r="AZ201" s="518" t="str">
        <f>IF(AND(_C="A-330-300",'2024'!$I$4="FO",'2024'!$I$2=AZ195),'2024DATA'!$I$8,"")</f>
        <v/>
      </c>
      <c r="BA201" s="518" t="str">
        <f>IF(AND(_C="A-330-300",'2024'!$I$4="FO",'2024'!$I$2=BA195),'2024DATA'!$J$8,"")</f>
        <v/>
      </c>
      <c r="BB201" s="518" t="str">
        <f>IF(AND(_C="A-330-300",'2024'!$I$4="FO",'2024'!$I$2=BB195),'2024DATA'!$K$8,"")</f>
        <v/>
      </c>
      <c r="BC201" s="518" t="str">
        <f>IF(AND(_C="A-330-300",'2024'!$I$4="FO",'2024'!$I$2=BC195),'2024DATA'!$L$8,"")</f>
        <v/>
      </c>
      <c r="BD201" s="518" t="str">
        <f>IF(AND(_C="A-330-300",'2024'!$I$4="FO",'2024'!$I$2=BD195),'2024DATA'!$M$8,"")</f>
        <v/>
      </c>
      <c r="BE201" s="520" t="str">
        <f>IF(AND(_C="A-330-300",'2024'!$I$4="FO",'2024'!$I$2=BE195),'2024DATA'!$N$8,"")</f>
        <v/>
      </c>
      <c r="BF201" s="940"/>
      <c r="BG201" s="13" t="s">
        <v>62</v>
      </c>
      <c r="BH201" s="518" t="str">
        <f>IF(AND(_D="A-330-300",'2024'!$I$4="FO",'2024'!$I$2=BH195),'2024DATA'!$C$8,"")</f>
        <v/>
      </c>
      <c r="BI201" s="518" t="str">
        <f>IF(AND(_D="A-330-300",'2024'!$I$4="FO",'2024'!$I$2=BI195),'2024DATA'!$D$8,"")</f>
        <v/>
      </c>
      <c r="BJ201" s="518" t="str">
        <f>IF(AND(_D="A-330-300",'2024'!$I$4="FO",'2024'!$I$2=BJ195),'2024DATA'!$E$8,"")</f>
        <v/>
      </c>
      <c r="BK201" s="518" t="str">
        <f>IF(AND(_D="A-330-300",'2024'!$I$4="FO",'2024'!$I$2=BK195),'2024DATA'!$F$8,"")</f>
        <v/>
      </c>
      <c r="BL201" s="518" t="str">
        <f>IF(AND(_D="A-330-300",'2024'!$I$4="FO",'2024'!$I$2=BL195),'2024DATA'!$G$8,"")</f>
        <v/>
      </c>
      <c r="BM201" s="518" t="str">
        <f>IF(AND(_D="A-330-300",'2024'!$I$4="FO",'2024'!$I$2=BM195),'2024DATA'!$H$8,"")</f>
        <v/>
      </c>
      <c r="BN201" s="518" t="str">
        <f>IF(AND(_D="A-330-300",'2024'!$I$4="FO",'2024'!$I$2=BN195),'2024DATA'!$I$8,"")</f>
        <v/>
      </c>
      <c r="BO201" s="518" t="str">
        <f>IF(AND(_D="A-330-300",'2024'!$I$4="FO",'2024'!$I$2=BO195),'2024DATA'!$J$8,"")</f>
        <v/>
      </c>
      <c r="BP201" s="518" t="str">
        <f>IF(AND(_D="A-330-300",'2024'!$I$4="FO",'2024'!$I$2=BP195),'2024DATA'!$K$8,"")</f>
        <v/>
      </c>
      <c r="BQ201" s="518" t="str">
        <f>IF(AND(_D="A-330-300",'2024'!$I$4="FO",'2024'!$I$2=BQ195),'2024DATA'!$L$8,"")</f>
        <v/>
      </c>
      <c r="BR201" s="518" t="str">
        <f>IF(AND(_D="A-330-300",'2024'!$I$4="FO",'2024'!$I$2=BR195),'2024DATA'!$M$8,"")</f>
        <v/>
      </c>
      <c r="BS201" s="520" t="str">
        <f>IF(AND(_D="A-330-300",'2024'!$I$4="FO",'2024'!$I$2=BS195),'2024DATA'!$N$8,"")</f>
        <v/>
      </c>
      <c r="BT201" s="940"/>
      <c r="BU201" s="13" t="s">
        <v>62</v>
      </c>
      <c r="BV201" s="518" t="str">
        <f>IF(AND(_E="A-330-300",'2024'!$I$4="FO",'2024'!$I$2=BV195),'2024DATA'!$C$8,"")</f>
        <v/>
      </c>
      <c r="BW201" s="518" t="str">
        <f>IF(AND(_E="A-330-300",'2024'!$I$4="FO",'2024'!$I$2=BW195),'2024DATA'!$D$8,"")</f>
        <v/>
      </c>
      <c r="BX201" s="518" t="str">
        <f>IF(AND(_E="A-330-300",'2024'!$I$4="FO",'2024'!$I$2=BX195),'2024DATA'!$E$8,"")</f>
        <v/>
      </c>
      <c r="BY201" s="518" t="str">
        <f>IF(AND(_E="A-330-300",'2024'!$I$4="FO",'2024'!$I$2=BY195),'2024DATA'!$F$8,"")</f>
        <v/>
      </c>
      <c r="BZ201" s="518" t="str">
        <f>IF(AND(_E="A-330-300",'2024'!$I$4="FO",'2024'!$I$2=BZ195),'2024DATA'!$G$8,"")</f>
        <v/>
      </c>
      <c r="CA201" s="518" t="str">
        <f>IF(AND(_E="A-330-300",'2024'!$I$4="FO",'2024'!$I$2=CA195),'2024DATA'!$H$8,"")</f>
        <v/>
      </c>
      <c r="CB201" s="518" t="str">
        <f>IF(AND(_E="A-330-300",'2024'!$I$4="FO",'2024'!$I$2=CB195),'2024DATA'!$I$8,"")</f>
        <v/>
      </c>
      <c r="CC201" s="518" t="str">
        <f>IF(AND(_E="A-330-300",'2024'!$I$4="FO",'2024'!$I$2=CC195),'2024DATA'!$J$8,"")</f>
        <v/>
      </c>
      <c r="CD201" s="518" t="str">
        <f>IF(AND(_E="A-330-300",'2024'!$I$4="FO",'2024'!$I$2=CD195),'2024DATA'!$K$8,"")</f>
        <v/>
      </c>
      <c r="CE201" s="518" t="str">
        <f>IF(AND(_E="A-330-300",'2024'!$I$4="FO",'2024'!$I$2=CE195),'2024DATA'!$L$8,"")</f>
        <v/>
      </c>
      <c r="CF201" s="518" t="str">
        <f>IF(AND(_E="A-330-300",'2024'!$I$4="FO",'2024'!$I$2=CF195),'2024DATA'!$M$8,"")</f>
        <v/>
      </c>
      <c r="CG201" s="520" t="str">
        <f>IF(AND(_E="A-330-300",'2024'!$I$4="FO",'2024'!$I$2=CG195),'2024DATA'!$N$8,"")</f>
        <v/>
      </c>
      <c r="CH201" s="940"/>
      <c r="CI201" s="13" t="s">
        <v>62</v>
      </c>
      <c r="CJ201" s="518" t="str">
        <f>IF(AND(_F="A-330-300",'2024'!$I$4="FO",'2024'!$I$2=CJ195),'2024DATA'!$C$8,"")</f>
        <v/>
      </c>
      <c r="CK201" s="518" t="str">
        <f>IF(AND(_F="A-330-300",'2024'!$I$4="FO",'2024'!$I$2=CK195),'2024DATA'!$D$8,"")</f>
        <v/>
      </c>
      <c r="CL201" s="518" t="str">
        <f>IF(AND(_F="A-330-300",'2024'!$I$4="FO",'2024'!$I$2=CL195),'2024DATA'!$E$8,"")</f>
        <v/>
      </c>
      <c r="CM201" s="518" t="str">
        <f>IF(AND(_F="A-330-300",'2024'!$I$4="FO",'2024'!$I$2=CM195),'2024DATA'!$F$8,"")</f>
        <v/>
      </c>
      <c r="CN201" s="518" t="str">
        <f>IF(AND(_F="A-330-300",'2024'!$I$4="FO",'2024'!$I$2=CN195),'2024DATA'!$G$8,"")</f>
        <v/>
      </c>
      <c r="CO201" s="518" t="str">
        <f>IF(AND(_F="A-330-300",'2024'!$I$4="FO",'2024'!$I$2=CO195),'2024DATA'!$H$8,"")</f>
        <v/>
      </c>
      <c r="CP201" s="518" t="str">
        <f>IF(AND(_F="A-330-300",'2024'!$I$4="FO",'2024'!$I$2=CP195),'2024DATA'!$I$8,"")</f>
        <v/>
      </c>
      <c r="CQ201" s="518" t="str">
        <f>IF(AND(_F="A-330-300",'2024'!$I$4="FO",'2024'!$I$2=CQ195),'2024DATA'!$J$8,"")</f>
        <v/>
      </c>
      <c r="CR201" s="518" t="str">
        <f>IF(AND(_F="A-330-300",'2024'!$I$4="FO",'2024'!$I$2=CR195),'2024DATA'!$K$8,"")</f>
        <v/>
      </c>
      <c r="CS201" s="518" t="str">
        <f>IF(AND(_F="A-330-300",'2024'!$I$4="FO",'2024'!$I$2=CS195),'2024DATA'!$L$8,"")</f>
        <v/>
      </c>
      <c r="CT201" s="518" t="str">
        <f>IF(AND(_F="A-330-300",'2024'!$I$4="FO",'2024'!$I$2=CT195),'2024DATA'!$M$8,"")</f>
        <v/>
      </c>
      <c r="CU201" s="520" t="str">
        <f>IF(AND(_F="A-330-300",'2024'!$I$4="FO",'2024'!$I$2=CU195),'2024DATA'!$N$8,"")</f>
        <v/>
      </c>
    </row>
    <row r="202" spans="16:99" x14ac:dyDescent="0.25">
      <c r="P202" s="940" t="s">
        <v>66</v>
      </c>
      <c r="Q202" s="13" t="s">
        <v>61</v>
      </c>
      <c r="R202" s="518" t="str">
        <f>IF(AND(_A="A-330-200",'2024'!$I$4="CA",'2024'!$I$2=R195),'2024DATA'!$C$9,"")</f>
        <v/>
      </c>
      <c r="S202" s="518" t="str">
        <f>IF(AND(_A="A-330-200",'2024'!$I$4="CA",'2024'!$I$2=S195),'2024DATA'!$D$9,"")</f>
        <v/>
      </c>
      <c r="T202" s="518" t="str">
        <f>IF(AND(_A="A-330-200",'2024'!$I$4="CA",'2024'!$I$2=T195),'2024DATA'!$E$9,"")</f>
        <v/>
      </c>
      <c r="U202" s="518" t="str">
        <f>IF(AND(_A="A-330-200",'2024'!$I$4="CA",'2024'!$I$2=U195),'2024DATA'!$F$9,"")</f>
        <v/>
      </c>
      <c r="V202" s="518" t="str">
        <f>IF(AND(_A="A-330-200",'2024'!$I$4="CA",'2024'!$I$2=V195),'2024DATA'!$G$9,"")</f>
        <v/>
      </c>
      <c r="W202" s="518" t="str">
        <f>IF(AND(_A="A-330-200",'2024'!$I$4="CA",'2024'!$I$2=W195),'2024DATA'!$H$9,"")</f>
        <v/>
      </c>
      <c r="X202" s="518" t="str">
        <f>IF(AND(_A="A-330-200",'2024'!$I$4="CA",'2024'!$I$2=X195),'2024DATA'!$I$9,"")</f>
        <v/>
      </c>
      <c r="Y202" s="518" t="str">
        <f>IF(AND(_A="A-330-200",'2024'!$I$4="CA",'2024'!$I$2=Y195),'2024DATA'!$J$9,"")</f>
        <v/>
      </c>
      <c r="Z202" s="518" t="str">
        <f>IF(AND(_A="A-330-200",'2024'!$I$4="CA",'2024'!$I$2=Z195),'2024DATA'!$K$9,"")</f>
        <v/>
      </c>
      <c r="AA202" s="518" t="str">
        <f>IF(AND(_A="A-330-200",'2024'!$I$4="CA",'2024'!$I$2=AA195),'2024DATA'!$L$9,"")</f>
        <v/>
      </c>
      <c r="AB202" s="518" t="str">
        <f>IF(AND(_A="A-330-200",'2024'!$I$4="CA",'2024'!$I$2=AB195),'2024DATA'!$M$9,"")</f>
        <v/>
      </c>
      <c r="AC202" s="520" t="str">
        <f>IF(AND(_A="A-330-200",'2024'!$I$4="CA",'2024'!$I$2=AC195),'2024DATA'!$N$9,"")</f>
        <v/>
      </c>
      <c r="AD202" s="940" t="s">
        <v>66</v>
      </c>
      <c r="AE202" s="13" t="s">
        <v>61</v>
      </c>
      <c r="AF202" s="518" t="str">
        <f>IF(AND(_B="A-330-200",'2024'!$I$4="CA",'2024'!$I$2=AF195),'2024DATA'!$C$9,"")</f>
        <v/>
      </c>
      <c r="AG202" s="518" t="str">
        <f>IF(AND(_B="A-330-200",'2024'!$I$4="CA",'2024'!$I$2=AG195),'2024DATA'!$D$9,"")</f>
        <v/>
      </c>
      <c r="AH202" s="518" t="str">
        <f>IF(AND(_B="A-330-200",'2024'!$I$4="CA",'2024'!$I$2=AH195),'2024DATA'!$E$9,"")</f>
        <v/>
      </c>
      <c r="AI202" s="518" t="str">
        <f>IF(AND(_B="A-330-200",'2024'!$I$4="CA",'2024'!$I$2=AI195),'2024DATA'!$F$9,"")</f>
        <v/>
      </c>
      <c r="AJ202" s="518" t="str">
        <f>IF(AND(_B="A-330-200",'2024'!$I$4="CA",'2024'!$I$2=AJ195),'2024DATA'!$G$9,"")</f>
        <v/>
      </c>
      <c r="AK202" s="518" t="str">
        <f>IF(AND(_B="A-330-200",'2024'!$I$4="CA",'2024'!$I$2=AK195),'2024DATA'!$H$9,"")</f>
        <v/>
      </c>
      <c r="AL202" s="518" t="str">
        <f>IF(AND(_B="A-330-200",'2024'!$I$4="CA",'2024'!$I$2=AL195),'2024DATA'!$I$9,"")</f>
        <v/>
      </c>
      <c r="AM202" s="518" t="str">
        <f>IF(AND(_B="A-330-200",'2024'!$I$4="CA",'2024'!$I$2=AM195),'2024DATA'!$J$9,"")</f>
        <v/>
      </c>
      <c r="AN202" s="518" t="str">
        <f>IF(AND(_B="A-330-200",'2024'!$I$4="CA",'2024'!$I$2=AN195),'2024DATA'!$K$9,"")</f>
        <v/>
      </c>
      <c r="AO202" s="518" t="str">
        <f>IF(AND(_B="A-330-200",'2024'!$I$4="CA",'2024'!$I$2=AO195),'2024DATA'!$L$9,"")</f>
        <v/>
      </c>
      <c r="AP202" s="518" t="str">
        <f>IF(AND(_B="A-330-200",'2024'!$I$4="CA",'2024'!$I$2=AP195),'2024DATA'!$M$9,"")</f>
        <v/>
      </c>
      <c r="AQ202" s="520" t="str">
        <f>IF(AND(_B="A-330-200",'2024'!$I$4="CA",'2024'!$I$2=AQ195),'2024DATA'!$N$9,"")</f>
        <v/>
      </c>
      <c r="AR202" s="940" t="s">
        <v>66</v>
      </c>
      <c r="AS202" s="13" t="s">
        <v>61</v>
      </c>
      <c r="AT202" s="518" t="str">
        <f>IF(AND(_C="A-330-200",'2024'!$I$4="CA",'2024'!$I$2=AT195),'2024DATA'!$C$9,"")</f>
        <v/>
      </c>
      <c r="AU202" s="518" t="str">
        <f>IF(AND(_C="A-330-200",'2024'!$I$4="CA",'2024'!$I$2=AU195),'2024DATA'!$D$9,"")</f>
        <v/>
      </c>
      <c r="AV202" s="518" t="str">
        <f>IF(AND(_C="A-330-200",'2024'!$I$4="CA",'2024'!$I$2=AV195),'2024DATA'!$E$9,"")</f>
        <v/>
      </c>
      <c r="AW202" s="518" t="str">
        <f>IF(AND(_C="A-330-200",'2024'!$I$4="CA",'2024'!$I$2=AW195),'2024DATA'!$F$9,"")</f>
        <v/>
      </c>
      <c r="AX202" s="518" t="str">
        <f>IF(AND(_C="A-330-200",'2024'!$I$4="CA",'2024'!$I$2=AX195),'2024DATA'!$G$9,"")</f>
        <v/>
      </c>
      <c r="AY202" s="518" t="str">
        <f>IF(AND(_C="A-330-200",'2024'!$I$4="CA",'2024'!$I$2=AY195),'2024DATA'!$H$9,"")</f>
        <v/>
      </c>
      <c r="AZ202" s="518" t="str">
        <f>IF(AND(_C="A-330-200",'2024'!$I$4="CA",'2024'!$I$2=AZ195),'2024DATA'!$I$9,"")</f>
        <v/>
      </c>
      <c r="BA202" s="518" t="str">
        <f>IF(AND(_C="A-330-200",'2024'!$I$4="CA",'2024'!$I$2=BA195),'2024DATA'!$J$9,"")</f>
        <v/>
      </c>
      <c r="BB202" s="518" t="str">
        <f>IF(AND(_C="A-330-200",'2024'!$I$4="CA",'2024'!$I$2=BB195),'2024DATA'!$K$9,"")</f>
        <v/>
      </c>
      <c r="BC202" s="518" t="str">
        <f>IF(AND(_C="A-330-200",'2024'!$I$4="CA",'2024'!$I$2=BC195),'2024DATA'!$L$9,"")</f>
        <v/>
      </c>
      <c r="BD202" s="518" t="str">
        <f>IF(AND(_C="A-330-200",'2024'!$I$4="CA",'2024'!$I$2=BD195),'2024DATA'!$M$9,"")</f>
        <v/>
      </c>
      <c r="BE202" s="520" t="str">
        <f>IF(AND(_C="A-330-200",'2024'!$I$4="CA",'2024'!$I$2=BE195),'2024DATA'!$N$9,"")</f>
        <v/>
      </c>
      <c r="BF202" s="940" t="s">
        <v>66</v>
      </c>
      <c r="BG202" s="13" t="s">
        <v>61</v>
      </c>
      <c r="BH202" s="518" t="str">
        <f>IF(AND(_D="A-330-200",'2024'!$I$4="CA",'2024'!$I$2=BH195),'2024DATA'!$C$9,"")</f>
        <v/>
      </c>
      <c r="BI202" s="518" t="str">
        <f>IF(AND(_D="A-330-200",'2024'!$I$4="CA",'2024'!$I$2=BI195),'2024DATA'!$D$9,"")</f>
        <v/>
      </c>
      <c r="BJ202" s="518" t="str">
        <f>IF(AND(_D="A-330-200",'2024'!$I$4="CA",'2024'!$I$2=BJ195),'2024DATA'!$E$9,"")</f>
        <v/>
      </c>
      <c r="BK202" s="518" t="str">
        <f>IF(AND(_D="A-330-200",'2024'!$I$4="CA",'2024'!$I$2=BK195),'2024DATA'!$F$9,"")</f>
        <v/>
      </c>
      <c r="BL202" s="518" t="str">
        <f>IF(AND(_D="A-330-200",'2024'!$I$4="CA",'2024'!$I$2=BL195),'2024DATA'!$G$9,"")</f>
        <v/>
      </c>
      <c r="BM202" s="518" t="str">
        <f>IF(AND(_D="A-330-200",'2024'!$I$4="CA",'2024'!$I$2=BM195),'2024DATA'!$H$9,"")</f>
        <v/>
      </c>
      <c r="BN202" s="518" t="str">
        <f>IF(AND(_D="A-330-200",'2024'!$I$4="CA",'2024'!$I$2=BN195),'2024DATA'!$I$9,"")</f>
        <v/>
      </c>
      <c r="BO202" s="518" t="str">
        <f>IF(AND(_D="A-330-200",'2024'!$I$4="CA",'2024'!$I$2=BO195),'2024DATA'!$J$9,"")</f>
        <v/>
      </c>
      <c r="BP202" s="518" t="str">
        <f>IF(AND(_D="A-330-200",'2024'!$I$4="CA",'2024'!$I$2=BP195),'2024DATA'!$K$9,"")</f>
        <v/>
      </c>
      <c r="BQ202" s="518" t="str">
        <f>IF(AND(_D="A-330-200",'2024'!$I$4="CA",'2024'!$I$2=BQ195),'2024DATA'!$L$9,"")</f>
        <v/>
      </c>
      <c r="BR202" s="518" t="str">
        <f>IF(AND(_D="A-330-200",'2024'!$I$4="CA",'2024'!$I$2=BR195),'2024DATA'!$M$9,"")</f>
        <v/>
      </c>
      <c r="BS202" s="520" t="str">
        <f>IF(AND(_D="A-330-200",'2024'!$I$4="CA",'2024'!$I$2=BS195),'2024DATA'!$N$9,"")</f>
        <v/>
      </c>
      <c r="BT202" s="940" t="s">
        <v>66</v>
      </c>
      <c r="BU202" s="13" t="s">
        <v>61</v>
      </c>
      <c r="BV202" s="518" t="str">
        <f>IF(AND(_E="A-330-200",'2024'!$I$4="CA",'2024'!$I$2=BV195),'2024DATA'!$C$9,"")</f>
        <v/>
      </c>
      <c r="BW202" s="518" t="str">
        <f>IF(AND(_E="A-330-200",'2024'!$I$4="CA",'2024'!$I$2=BW195),'2024DATA'!$D$9,"")</f>
        <v/>
      </c>
      <c r="BX202" s="518" t="str">
        <f>IF(AND(_E="A-330-200",'2024'!$I$4="CA",'2024'!$I$2=BX195),'2024DATA'!$E$9,"")</f>
        <v/>
      </c>
      <c r="BY202" s="518" t="str">
        <f>IF(AND(_E="A-330-200",'2024'!$I$4="CA",'2024'!$I$2=BY195),'2024DATA'!$F$9,"")</f>
        <v/>
      </c>
      <c r="BZ202" s="518" t="str">
        <f>IF(AND(_E="A-330-200",'2024'!$I$4="CA",'2024'!$I$2=BZ195),'2024DATA'!$G$9,"")</f>
        <v/>
      </c>
      <c r="CA202" s="518" t="str">
        <f>IF(AND(_E="A-330-200",'2024'!$I$4="CA",'2024'!$I$2=CA195),'2024DATA'!$H$9,"")</f>
        <v/>
      </c>
      <c r="CB202" s="518" t="str">
        <f>IF(AND(_E="A-330-200",'2024'!$I$4="CA",'2024'!$I$2=CB195),'2024DATA'!$I$9,"")</f>
        <v/>
      </c>
      <c r="CC202" s="518" t="str">
        <f>IF(AND(_E="A-330-200",'2024'!$I$4="CA",'2024'!$I$2=CC195),'2024DATA'!$J$9,"")</f>
        <v/>
      </c>
      <c r="CD202" s="518" t="str">
        <f>IF(AND(_E="A-330-200",'2024'!$I$4="CA",'2024'!$I$2=CD195),'2024DATA'!$K$9,"")</f>
        <v/>
      </c>
      <c r="CE202" s="518" t="str">
        <f>IF(AND(_E="A-330-200",'2024'!$I$4="CA",'2024'!$I$2=CE195),'2024DATA'!$L$9,"")</f>
        <v/>
      </c>
      <c r="CF202" s="518" t="str">
        <f>IF(AND(_E="A-330-200",'2024'!$I$4="CA",'2024'!$I$2=CF195),'2024DATA'!$M$9,"")</f>
        <v/>
      </c>
      <c r="CG202" s="520" t="str">
        <f>IF(AND(_E="A-330-200",'2024'!$I$4="CA",'2024'!$I$2=CG195),'2024DATA'!$N$9,"")</f>
        <v/>
      </c>
      <c r="CH202" s="940" t="s">
        <v>66</v>
      </c>
      <c r="CI202" s="13" t="s">
        <v>61</v>
      </c>
      <c r="CJ202" s="518" t="str">
        <f>IF(AND(_F="A-330-200",'2024'!$I$4="CA",'2024'!$I$2=CJ195),'2024DATA'!$C$9,"")</f>
        <v/>
      </c>
      <c r="CK202" s="518" t="str">
        <f>IF(AND(_F="A-330-200",'2024'!$I$4="CA",'2024'!$I$2=CK195),'2024DATA'!$D$9,"")</f>
        <v/>
      </c>
      <c r="CL202" s="518" t="str">
        <f>IF(AND(_F="A-330-200",'2024'!$I$4="CA",'2024'!$I$2=CL195),'2024DATA'!$E$9,"")</f>
        <v/>
      </c>
      <c r="CM202" s="518" t="str">
        <f>IF(AND(_F="A-330-200",'2024'!$I$4="CA",'2024'!$I$2=CM195),'2024DATA'!$F$9,"")</f>
        <v/>
      </c>
      <c r="CN202" s="518" t="str">
        <f>IF(AND(_F="A-330-200",'2024'!$I$4="CA",'2024'!$I$2=CN195),'2024DATA'!$G$9,"")</f>
        <v/>
      </c>
      <c r="CO202" s="518" t="str">
        <f>IF(AND(_F="A-330-200",'2024'!$I$4="CA",'2024'!$I$2=CO195),'2024DATA'!$H$9,"")</f>
        <v/>
      </c>
      <c r="CP202" s="518" t="str">
        <f>IF(AND(_F="A-330-200",'2024'!$I$4="CA",'2024'!$I$2=CP195),'2024DATA'!$I$9,"")</f>
        <v/>
      </c>
      <c r="CQ202" s="518" t="str">
        <f>IF(AND(_F="A-330-200",'2024'!$I$4="CA",'2024'!$I$2=CQ195),'2024DATA'!$J$9,"")</f>
        <v/>
      </c>
      <c r="CR202" s="518" t="str">
        <f>IF(AND(_F="A-330-200",'2024'!$I$4="CA",'2024'!$I$2=CR195),'2024DATA'!$K$9,"")</f>
        <v/>
      </c>
      <c r="CS202" s="518" t="str">
        <f>IF(AND(_F="A-330-200",'2024'!$I$4="CA",'2024'!$I$2=CS195),'2024DATA'!$L$9,"")</f>
        <v/>
      </c>
      <c r="CT202" s="518" t="str">
        <f>IF(AND(_F="A-330-200",'2024'!$I$4="CA",'2024'!$I$2=CT195),'2024DATA'!$M$9,"")</f>
        <v/>
      </c>
      <c r="CU202" s="520" t="str">
        <f>IF(AND(_F="A-330-200",'2024'!$I$4="CA",'2024'!$I$2=CU195),'2024DATA'!$N$9,"")</f>
        <v/>
      </c>
    </row>
    <row r="203" spans="16:99" x14ac:dyDescent="0.25">
      <c r="P203" s="940"/>
      <c r="Q203" s="13" t="s">
        <v>62</v>
      </c>
      <c r="R203" s="518" t="str">
        <f>IF(AND(_A="A-330-200",'2024'!$I$4="FO",'2024'!$I$2=R195),'2024DATA'!$C$10,"")</f>
        <v/>
      </c>
      <c r="S203" s="518" t="str">
        <f>IF(AND(_A="A-330-200",'2024'!$I$4="FO",'2024'!$I$2=S195),'2024DATA'!$D$10,"")</f>
        <v/>
      </c>
      <c r="T203" s="518" t="str">
        <f>IF(AND(_A="A-330-200",'2024'!$I$4="FO",'2024'!$I$2=T195),'2024DATA'!$E$10,"")</f>
        <v/>
      </c>
      <c r="U203" s="518" t="str">
        <f>IF(AND(_A="A-330-200",'2024'!$I$4="FO",'2024'!$I$2=U195),'2024DATA'!$F$10,"")</f>
        <v/>
      </c>
      <c r="V203" s="518" t="str">
        <f>IF(AND(_A="A-330-200",'2024'!$I$4="FO",'2024'!$I$2=V195),'2024DATA'!$G$10,"")</f>
        <v/>
      </c>
      <c r="W203" s="518" t="str">
        <f>IF(AND(_A="A-330-200",'2024'!$I$4="FO",'2024'!$I$2=W195),'2024DATA'!$H$10,"")</f>
        <v/>
      </c>
      <c r="X203" s="518" t="str">
        <f>IF(AND(_A="A-330-200",'2024'!$I$4="FO",'2024'!$I$2=X195),'2024DATA'!$I$10,"")</f>
        <v/>
      </c>
      <c r="Y203" s="518" t="str">
        <f>IF(AND(_A="A-330-200",'2024'!$I$4="FO",'2024'!$I$2=Y195),'2024DATA'!$J$10,"")</f>
        <v/>
      </c>
      <c r="Z203" s="518" t="str">
        <f>IF(AND(_A="A-330-200",'2024'!$I$4="FO",'2024'!$I$2=Z195),'2024DATA'!$K$10,"")</f>
        <v/>
      </c>
      <c r="AA203" s="518" t="str">
        <f>IF(AND(_A="A-330-200",'2024'!$I$4="FO",'2024'!$I$2=AA195),'2024DATA'!$L$10,"")</f>
        <v/>
      </c>
      <c r="AB203" s="518" t="str">
        <f>IF(AND(_A="A-330-200",'2024'!$I$4="FO",'2024'!$I$2=AB195),'2024DATA'!$M$10,"")</f>
        <v/>
      </c>
      <c r="AC203" s="520" t="str">
        <f>IF(AND(_A="A-330-200",'2024'!$I$4="FO",'2024'!$I$2=AC195),'2024DATA'!$N$10,"")</f>
        <v/>
      </c>
      <c r="AD203" s="940"/>
      <c r="AE203" s="13" t="s">
        <v>62</v>
      </c>
      <c r="AF203" s="518" t="str">
        <f>IF(AND(_B="A-330-200",'2024'!$I$4="FO",'2024'!$I$2=AF195),'2024DATA'!$C$10,"")</f>
        <v/>
      </c>
      <c r="AG203" s="518" t="str">
        <f>IF(AND(_B="A-330-200",'2024'!$I$4="FO",'2024'!$I$2=AG195),'2024DATA'!$D$10,"")</f>
        <v/>
      </c>
      <c r="AH203" s="518" t="str">
        <f>IF(AND(_B="A-330-200",'2024'!$I$4="FO",'2024'!$I$2=AH195),'2024DATA'!$E$10,"")</f>
        <v/>
      </c>
      <c r="AI203" s="518" t="str">
        <f>IF(AND(_B="A-330-200",'2024'!$I$4="FO",'2024'!$I$2=AI195),'2024DATA'!$F$10,"")</f>
        <v/>
      </c>
      <c r="AJ203" s="518" t="str">
        <f>IF(AND(_B="A-330-200",'2024'!$I$4="FO",'2024'!$I$2=AJ195),'2024DATA'!$G$10,"")</f>
        <v/>
      </c>
      <c r="AK203" s="518" t="str">
        <f>IF(AND(_B="A-330-200",'2024'!$I$4="FO",'2024'!$I$2=AK195),'2024DATA'!$H$10,"")</f>
        <v/>
      </c>
      <c r="AL203" s="518" t="str">
        <f>IF(AND(_B="A-330-200",'2024'!$I$4="FO",'2024'!$I$2=AL195),'2024DATA'!$I$10,"")</f>
        <v/>
      </c>
      <c r="AM203" s="518" t="str">
        <f>IF(AND(_B="A-330-200",'2024'!$I$4="FO",'2024'!$I$2=AM195),'2024DATA'!$J$10,"")</f>
        <v/>
      </c>
      <c r="AN203" s="518" t="str">
        <f>IF(AND(_B="A-330-200",'2024'!$I$4="FO",'2024'!$I$2=AN195),'2024DATA'!$K$10,"")</f>
        <v/>
      </c>
      <c r="AO203" s="518" t="str">
        <f>IF(AND(_B="A-330-200",'2024'!$I$4="FO",'2024'!$I$2=AO195),'2024DATA'!$L$10,"")</f>
        <v/>
      </c>
      <c r="AP203" s="518" t="str">
        <f>IF(AND(_B="A-330-200",'2024'!$I$4="FO",'2024'!$I$2=AP195),'2024DATA'!$M$10,"")</f>
        <v/>
      </c>
      <c r="AQ203" s="520" t="str">
        <f>IF(AND(_B="A-330-200",'2024'!$I$4="FO",'2024'!$I$2=AQ195),'2024DATA'!$N$10,"")</f>
        <v/>
      </c>
      <c r="AR203" s="940"/>
      <c r="AS203" s="13" t="s">
        <v>62</v>
      </c>
      <c r="AT203" s="518" t="str">
        <f>IF(AND(_C="A-330-200",'2024'!$I$4="FO",'2024'!$I$2=AT195),'2024DATA'!$C$10,"")</f>
        <v/>
      </c>
      <c r="AU203" s="518" t="str">
        <f>IF(AND(_C="A-330-200",'2024'!$I$4="FO",'2024'!$I$2=AU195),'2024DATA'!$D$10,"")</f>
        <v/>
      </c>
      <c r="AV203" s="518" t="str">
        <f>IF(AND(_C="A-330-200",'2024'!$I$4="FO",'2024'!$I$2=AV195),'2024DATA'!$E$10,"")</f>
        <v/>
      </c>
      <c r="AW203" s="518" t="str">
        <f>IF(AND(_C="A-330-200",'2024'!$I$4="FO",'2024'!$I$2=AW195),'2024DATA'!$F$10,"")</f>
        <v/>
      </c>
      <c r="AX203" s="518" t="str">
        <f>IF(AND(_C="A-330-200",'2024'!$I$4="FO",'2024'!$I$2=AX195),'2024DATA'!$G$10,"")</f>
        <v/>
      </c>
      <c r="AY203" s="518" t="str">
        <f>IF(AND(_C="A-330-200",'2024'!$I$4="FO",'2024'!$I$2=AY195),'2024DATA'!$H$10,"")</f>
        <v/>
      </c>
      <c r="AZ203" s="518" t="str">
        <f>IF(AND(_C="A-330-200",'2024'!$I$4="FO",'2024'!$I$2=AZ195),'2024DATA'!$I$10,"")</f>
        <v/>
      </c>
      <c r="BA203" s="518" t="str">
        <f>IF(AND(_C="A-330-200",'2024'!$I$4="FO",'2024'!$I$2=BA195),'2024DATA'!$J$10,"")</f>
        <v/>
      </c>
      <c r="BB203" s="518" t="str">
        <f>IF(AND(_C="A-330-200",'2024'!$I$4="FO",'2024'!$I$2=BB195),'2024DATA'!$K$10,"")</f>
        <v/>
      </c>
      <c r="BC203" s="518" t="str">
        <f>IF(AND(_C="A-330-200",'2024'!$I$4="FO",'2024'!$I$2=BC195),'2024DATA'!$L$10,"")</f>
        <v/>
      </c>
      <c r="BD203" s="518" t="str">
        <f>IF(AND(_C="A-330-200",'2024'!$I$4="FO",'2024'!$I$2=BD195),'2024DATA'!$M$10,"")</f>
        <v/>
      </c>
      <c r="BE203" s="520" t="str">
        <f>IF(AND(_C="A-330-200",'2024'!$I$4="FO",'2024'!$I$2=BE195),'2024DATA'!$N$10,"")</f>
        <v/>
      </c>
      <c r="BF203" s="940"/>
      <c r="BG203" s="13" t="s">
        <v>62</v>
      </c>
      <c r="BH203" s="518" t="str">
        <f>IF(AND(_D="A-330-200",'2024'!$I$4="FO",'2024'!$I$2=BH195),'2024DATA'!$C$10,"")</f>
        <v/>
      </c>
      <c r="BI203" s="518" t="str">
        <f>IF(AND(_D="A-330-200",'2024'!$I$4="FO",'2024'!$I$2=BI195),'2024DATA'!$D$10,"")</f>
        <v/>
      </c>
      <c r="BJ203" s="518" t="str">
        <f>IF(AND(_D="A-330-200",'2024'!$I$4="FO",'2024'!$I$2=BJ195),'2024DATA'!$E$10,"")</f>
        <v/>
      </c>
      <c r="BK203" s="518" t="str">
        <f>IF(AND(_D="A-330-200",'2024'!$I$4="FO",'2024'!$I$2=BK195),'2024DATA'!$F$10,"")</f>
        <v/>
      </c>
      <c r="BL203" s="518" t="str">
        <f>IF(AND(_D="A-330-200",'2024'!$I$4="FO",'2024'!$I$2=BL195),'2024DATA'!$G$10,"")</f>
        <v/>
      </c>
      <c r="BM203" s="518" t="str">
        <f>IF(AND(_D="A-330-200",'2024'!$I$4="FO",'2024'!$I$2=BM195),'2024DATA'!$H$10,"")</f>
        <v/>
      </c>
      <c r="BN203" s="518" t="str">
        <f>IF(AND(_D="A-330-200",'2024'!$I$4="FO",'2024'!$I$2=BN195),'2024DATA'!$I$10,"")</f>
        <v/>
      </c>
      <c r="BO203" s="518" t="str">
        <f>IF(AND(_D="A-330-200",'2024'!$I$4="FO",'2024'!$I$2=BO195),'2024DATA'!$J$10,"")</f>
        <v/>
      </c>
      <c r="BP203" s="518" t="str">
        <f>IF(AND(_D="A-330-200",'2024'!$I$4="FO",'2024'!$I$2=BP195),'2024DATA'!$K$10,"")</f>
        <v/>
      </c>
      <c r="BQ203" s="518" t="str">
        <f>IF(AND(_D="A-330-200",'2024'!$I$4="FO",'2024'!$I$2=BQ195),'2024DATA'!$L$10,"")</f>
        <v/>
      </c>
      <c r="BR203" s="518" t="str">
        <f>IF(AND(_D="A-330-200",'2024'!$I$4="FO",'2024'!$I$2=BR195),'2024DATA'!$M$10,"")</f>
        <v/>
      </c>
      <c r="BS203" s="520" t="str">
        <f>IF(AND(_D="A-330-200",'2024'!$I$4="FO",'2024'!$I$2=BS195),'2024DATA'!$N$10,"")</f>
        <v/>
      </c>
      <c r="BT203" s="940"/>
      <c r="BU203" s="13" t="s">
        <v>62</v>
      </c>
      <c r="BV203" s="518" t="str">
        <f>IF(AND(_E="A-330-200",'2024'!$I$4="FO",'2024'!$I$2=BV195),'2024DATA'!$C$10,"")</f>
        <v/>
      </c>
      <c r="BW203" s="518" t="str">
        <f>IF(AND(_E="A-330-200",'2024'!$I$4="FO",'2024'!$I$2=BW195),'2024DATA'!$D$10,"")</f>
        <v/>
      </c>
      <c r="BX203" s="518" t="str">
        <f>IF(AND(_E="A-330-200",'2024'!$I$4="FO",'2024'!$I$2=BX195),'2024DATA'!$E$10,"")</f>
        <v/>
      </c>
      <c r="BY203" s="518" t="str">
        <f>IF(AND(_E="A-330-200",'2024'!$I$4="FO",'2024'!$I$2=BY195),'2024DATA'!$F$10,"")</f>
        <v/>
      </c>
      <c r="BZ203" s="518" t="str">
        <f>IF(AND(_E="A-330-200",'2024'!$I$4="FO",'2024'!$I$2=BZ195),'2024DATA'!$G$10,"")</f>
        <v/>
      </c>
      <c r="CA203" s="518" t="str">
        <f>IF(AND(_E="A-330-200",'2024'!$I$4="FO",'2024'!$I$2=CA195),'2024DATA'!$H$10,"")</f>
        <v/>
      </c>
      <c r="CB203" s="518" t="str">
        <f>IF(AND(_E="A-330-200",'2024'!$I$4="FO",'2024'!$I$2=CB195),'2024DATA'!$I$10,"")</f>
        <v/>
      </c>
      <c r="CC203" s="518" t="str">
        <f>IF(AND(_E="A-330-200",'2024'!$I$4="FO",'2024'!$I$2=CC195),'2024DATA'!$J$10,"")</f>
        <v/>
      </c>
      <c r="CD203" s="518" t="str">
        <f>IF(AND(_E="A-330-200",'2024'!$I$4="FO",'2024'!$I$2=CD195),'2024DATA'!$K$10,"")</f>
        <v/>
      </c>
      <c r="CE203" s="518" t="str">
        <f>IF(AND(_E="A-330-200",'2024'!$I$4="FO",'2024'!$I$2=CE195),'2024DATA'!$L$10,"")</f>
        <v/>
      </c>
      <c r="CF203" s="518" t="str">
        <f>IF(AND(_E="A-330-200",'2024'!$I$4="FO",'2024'!$I$2=CF195),'2024DATA'!$M$10,"")</f>
        <v/>
      </c>
      <c r="CG203" s="520" t="str">
        <f>IF(AND(_E="A-330-200",'2024'!$I$4="FO",'2024'!$I$2=CG195),'2024DATA'!$N$10,"")</f>
        <v/>
      </c>
      <c r="CH203" s="940"/>
      <c r="CI203" s="13" t="s">
        <v>62</v>
      </c>
      <c r="CJ203" s="518" t="str">
        <f>IF(AND(_F="A-330-200",'2024'!$I$4="FO",'2024'!$I$2=CJ195),'2024DATA'!$C$10,"")</f>
        <v/>
      </c>
      <c r="CK203" s="518" t="str">
        <f>IF(AND(_F="A-330-200",'2024'!$I$4="FO",'2024'!$I$2=CK195),'2024DATA'!$D$10,"")</f>
        <v/>
      </c>
      <c r="CL203" s="518" t="str">
        <f>IF(AND(_F="A-330-200",'2024'!$I$4="FO",'2024'!$I$2=CL195),'2024DATA'!$E$10,"")</f>
        <v/>
      </c>
      <c r="CM203" s="518" t="str">
        <f>IF(AND(_F="A-330-200",'2024'!$I$4="FO",'2024'!$I$2=CM195),'2024DATA'!$F$10,"")</f>
        <v/>
      </c>
      <c r="CN203" s="518" t="str">
        <f>IF(AND(_F="A-330-200",'2024'!$I$4="FO",'2024'!$I$2=CN195),'2024DATA'!$G$10,"")</f>
        <v/>
      </c>
      <c r="CO203" s="518" t="str">
        <f>IF(AND(_F="A-330-200",'2024'!$I$4="FO",'2024'!$I$2=CO195),'2024DATA'!$H$10,"")</f>
        <v/>
      </c>
      <c r="CP203" s="518" t="str">
        <f>IF(AND(_F="A-330-200",'2024'!$I$4="FO",'2024'!$I$2=CP195),'2024DATA'!$I$10,"")</f>
        <v/>
      </c>
      <c r="CQ203" s="518" t="str">
        <f>IF(AND(_F="A-330-200",'2024'!$I$4="FO",'2024'!$I$2=CQ195),'2024DATA'!$J$10,"")</f>
        <v/>
      </c>
      <c r="CR203" s="518" t="str">
        <f>IF(AND(_F="A-330-200",'2024'!$I$4="FO",'2024'!$I$2=CR195),'2024DATA'!$K$10,"")</f>
        <v/>
      </c>
      <c r="CS203" s="518" t="str">
        <f>IF(AND(_F="A-330-200",'2024'!$I$4="FO",'2024'!$I$2=CS195),'2024DATA'!$L$10,"")</f>
        <v/>
      </c>
      <c r="CT203" s="518" t="str">
        <f>IF(AND(_F="A-330-200",'2024'!$I$4="FO",'2024'!$I$2=CT195),'2024DATA'!$M$10,"")</f>
        <v/>
      </c>
      <c r="CU203" s="520" t="str">
        <f>IF(AND(_F="A-330-200",'2024'!$I$4="FO",'2024'!$I$2=CU195),'2024DATA'!$N$10,"")</f>
        <v/>
      </c>
    </row>
    <row r="204" spans="16:99" x14ac:dyDescent="0.25">
      <c r="P204" s="940" t="s">
        <v>42</v>
      </c>
      <c r="Q204" s="13" t="s">
        <v>61</v>
      </c>
      <c r="R204" s="518" t="str">
        <f>IF(AND(_A="B-767-400ER",'2024'!$I$4="CA",'2024'!$I$2=R195),'2024DATA'!$C$11,"")</f>
        <v/>
      </c>
      <c r="S204" s="518" t="str">
        <f>IF(AND(_A="B-767-400ER",'2024'!$I$4="CA",'2024'!$I$2=S195),'2024DATA'!$D$11,"")</f>
        <v/>
      </c>
      <c r="T204" s="518" t="str">
        <f>IF(AND(_A="B-767-400ER",'2024'!$I$4="CA",'2024'!$I$2=T195),'2024DATA'!$E$11,"")</f>
        <v/>
      </c>
      <c r="U204" s="518" t="str">
        <f>IF(AND(_A="B-767-400ER",'2024'!$I$4="CA",'2024'!$I$2=U195),'2024DATA'!$F$11,"")</f>
        <v/>
      </c>
      <c r="V204" s="518" t="str">
        <f>IF(AND(_A="B-767-400ER",'2024'!$I$4="CA",'2024'!$I$2=V195),'2024DATA'!$G$11,"")</f>
        <v/>
      </c>
      <c r="W204" s="518" t="str">
        <f>IF(AND(_A="B-767-400ER",'2024'!$I$4="CA",'2024'!$I$2=W195),'2024DATA'!$H$11,"")</f>
        <v/>
      </c>
      <c r="X204" s="518" t="str">
        <f>IF(AND(_A="B-767-400ER",'2024'!$I$4="CA",'2024'!$I$2=X195),'2024DATA'!$I$11,"")</f>
        <v/>
      </c>
      <c r="Y204" s="518" t="str">
        <f>IF(AND(_A="B-767-400ER",'2024'!$I$4="CA",'2024'!$I$2=Y195),'2024DATA'!$J$11,"")</f>
        <v/>
      </c>
      <c r="Z204" s="518" t="str">
        <f>IF(AND(_A="B-767-400ER",'2024'!$I$4="CA",'2024'!$I$2=Z195),'2024DATA'!$K$11,"")</f>
        <v/>
      </c>
      <c r="AA204" s="518" t="str">
        <f>IF(AND(_A="B-767-400ER",'2024'!$I$4="CA",'2024'!$I$2=AA195),'2024DATA'!$L$11,"")</f>
        <v/>
      </c>
      <c r="AB204" s="518" t="str">
        <f>IF(AND(_A="B-767-400ER",'2024'!$I$4="CA",'2024'!$I$2=AB195),'2024DATA'!$M$11,"")</f>
        <v/>
      </c>
      <c r="AC204" s="520" t="str">
        <f>IF(AND(_A="B-767-400ER",'2024'!$I$4="CA",'2024'!$I$2=AC195),'2024DATA'!$N$11,"")</f>
        <v/>
      </c>
      <c r="AD204" s="940" t="s">
        <v>42</v>
      </c>
      <c r="AE204" s="13" t="s">
        <v>61</v>
      </c>
      <c r="AF204" s="518" t="str">
        <f>IF(AND(_B="B-767-400ER",'2024'!$I$4="CA",'2024'!$I$2=AF195),'2024DATA'!$C$11,"")</f>
        <v/>
      </c>
      <c r="AG204" s="518" t="str">
        <f>IF(AND(_B="B-767-400ER",'2024'!$I$4="CA",'2024'!$I$2=AG195),'2024DATA'!$D$11,"")</f>
        <v/>
      </c>
      <c r="AH204" s="518" t="str">
        <f>IF(AND(_B="B-767-400ER",'2024'!$I$4="CA",'2024'!$I$2=AH195),'2024DATA'!$E$11,"")</f>
        <v/>
      </c>
      <c r="AI204" s="518" t="str">
        <f>IF(AND(_B="B-767-400ER",'2024'!$I$4="CA",'2024'!$I$2=AI195),'2024DATA'!$F$11,"")</f>
        <v/>
      </c>
      <c r="AJ204" s="518" t="str">
        <f>IF(AND(_B="B-767-400ER",'2024'!$I$4="CA",'2024'!$I$2=AJ195),'2024DATA'!$G$11,"")</f>
        <v/>
      </c>
      <c r="AK204" s="518" t="str">
        <f>IF(AND(_B="B-767-400ER",'2024'!$I$4="CA",'2024'!$I$2=AK195),'2024DATA'!$H$11,"")</f>
        <v/>
      </c>
      <c r="AL204" s="518" t="str">
        <f>IF(AND(_B="B-767-400ER",'2024'!$I$4="CA",'2024'!$I$2=AL195),'2024DATA'!$I$11,"")</f>
        <v/>
      </c>
      <c r="AM204" s="518" t="str">
        <f>IF(AND(_B="B-767-400ER",'2024'!$I$4="CA",'2024'!$I$2=AM195),'2024DATA'!$J$11,"")</f>
        <v/>
      </c>
      <c r="AN204" s="518" t="str">
        <f>IF(AND(_B="B-767-400ER",'2024'!$I$4="CA",'2024'!$I$2=AN195),'2024DATA'!$K$11,"")</f>
        <v/>
      </c>
      <c r="AO204" s="518" t="str">
        <f>IF(AND(_B="B-767-400ER",'2024'!$I$4="CA",'2024'!$I$2=AO195),'2024DATA'!$L$11,"")</f>
        <v/>
      </c>
      <c r="AP204" s="518" t="str">
        <f>IF(AND(_B="B-767-400ER",'2024'!$I$4="CA",'2024'!$I$2=AP195),'2024DATA'!$M$11,"")</f>
        <v/>
      </c>
      <c r="AQ204" s="520" t="str">
        <f>IF(AND(_B="B-767-400ER",'2024'!$I$4="CA",'2024'!$I$2=AQ195),'2024DATA'!$N$11,"")</f>
        <v/>
      </c>
      <c r="AR204" s="940" t="s">
        <v>42</v>
      </c>
      <c r="AS204" s="13" t="s">
        <v>61</v>
      </c>
      <c r="AT204" s="518" t="str">
        <f>IF(AND(_C="B-767-400ER",'2024'!$I$4="CA",'2024'!$I$2=AT195),'2024DATA'!$C$11,"")</f>
        <v/>
      </c>
      <c r="AU204" s="518" t="str">
        <f>IF(AND(_C="B-767-400ER",'2024'!$I$4="CA",'2024'!$I$2=AU195),'2024DATA'!$D$11,"")</f>
        <v/>
      </c>
      <c r="AV204" s="518" t="str">
        <f>IF(AND(_C="B-767-400ER",'2024'!$I$4="CA",'2024'!$I$2=AV195),'2024DATA'!$E$11,"")</f>
        <v/>
      </c>
      <c r="AW204" s="518" t="str">
        <f>IF(AND(_C="B-767-400ER",'2024'!$I$4="CA",'2024'!$I$2=AW195),'2024DATA'!$F$11,"")</f>
        <v/>
      </c>
      <c r="AX204" s="518" t="str">
        <f>IF(AND(_C="B-767-400ER",'2024'!$I$4="CA",'2024'!$I$2=AX195),'2024DATA'!$G$11,"")</f>
        <v/>
      </c>
      <c r="AY204" s="518" t="str">
        <f>IF(AND(_C="B-767-400ER",'2024'!$I$4="CA",'2024'!$I$2=AY195),'2024DATA'!$H$11,"")</f>
        <v/>
      </c>
      <c r="AZ204" s="518" t="str">
        <f>IF(AND(_C="B-767-400ER",'2024'!$I$4="CA",'2024'!$I$2=AZ195),'2024DATA'!$I$11,"")</f>
        <v/>
      </c>
      <c r="BA204" s="518" t="str">
        <f>IF(AND(_C="B-767-400ER",'2024'!$I$4="CA",'2024'!$I$2=BA195),'2024DATA'!$J$11,"")</f>
        <v/>
      </c>
      <c r="BB204" s="518" t="str">
        <f>IF(AND(_C="B-767-400ER",'2024'!$I$4="CA",'2024'!$I$2=BB195),'2024DATA'!$K$11,"")</f>
        <v/>
      </c>
      <c r="BC204" s="518" t="str">
        <f>IF(AND(_C="B-767-400ER",'2024'!$I$4="CA",'2024'!$I$2=BC195),'2024DATA'!$L$11,"")</f>
        <v/>
      </c>
      <c r="BD204" s="518" t="str">
        <f>IF(AND(_C="B-767-400ER",'2024'!$I$4="CA",'2024'!$I$2=BD195),'2024DATA'!$M$11,"")</f>
        <v/>
      </c>
      <c r="BE204" s="520" t="str">
        <f>IF(AND(_C="B-767-400ER",'2024'!$I$4="CA",'2024'!$I$2=BE195),'2024DATA'!$N$11,"")</f>
        <v/>
      </c>
      <c r="BF204" s="940" t="s">
        <v>42</v>
      </c>
      <c r="BG204" s="13" t="s">
        <v>61</v>
      </c>
      <c r="BH204" s="518" t="str">
        <f>IF(AND(_D="B-767-400ER",'2024'!$I$4="CA",'2024'!$I$2=BH195),'2024DATA'!$C$11,"")</f>
        <v/>
      </c>
      <c r="BI204" s="518" t="str">
        <f>IF(AND(_D="B-767-400ER",'2024'!$I$4="CA",'2024'!$I$2=BI195),'2024DATA'!$D$11,"")</f>
        <v/>
      </c>
      <c r="BJ204" s="518" t="str">
        <f>IF(AND(_D="B-767-400ER",'2024'!$I$4="CA",'2024'!$I$2=BJ195),'2024DATA'!$E$11,"")</f>
        <v/>
      </c>
      <c r="BK204" s="518" t="str">
        <f>IF(AND(_D="B-767-400ER",'2024'!$I$4="CA",'2024'!$I$2=BK195),'2024DATA'!$F$11,"")</f>
        <v/>
      </c>
      <c r="BL204" s="518" t="str">
        <f>IF(AND(_D="B-767-400ER",'2024'!$I$4="CA",'2024'!$I$2=BL195),'2024DATA'!$G$11,"")</f>
        <v/>
      </c>
      <c r="BM204" s="518" t="str">
        <f>IF(AND(_D="B-767-400ER",'2024'!$I$4="CA",'2024'!$I$2=BM195),'2024DATA'!$H$11,"")</f>
        <v/>
      </c>
      <c r="BN204" s="518" t="str">
        <f>IF(AND(_D="B-767-400ER",'2024'!$I$4="CA",'2024'!$I$2=BN195),'2024DATA'!$I$11,"")</f>
        <v/>
      </c>
      <c r="BO204" s="518" t="str">
        <f>IF(AND(_D="B-767-400ER",'2024'!$I$4="CA",'2024'!$I$2=BO195),'2024DATA'!$J$11,"")</f>
        <v/>
      </c>
      <c r="BP204" s="518" t="str">
        <f>IF(AND(_D="B-767-400ER",'2024'!$I$4="CA",'2024'!$I$2=BP195),'2024DATA'!$K$11,"")</f>
        <v/>
      </c>
      <c r="BQ204" s="518" t="str">
        <f>IF(AND(_D="B-767-400ER",'2024'!$I$4="CA",'2024'!$I$2=BQ195),'2024DATA'!$L$11,"")</f>
        <v/>
      </c>
      <c r="BR204" s="518" t="str">
        <f>IF(AND(_D="B-767-400ER",'2024'!$I$4="CA",'2024'!$I$2=BR195),'2024DATA'!$M$11,"")</f>
        <v/>
      </c>
      <c r="BS204" s="520" t="str">
        <f>IF(AND(_D="B-767-400ER",'2024'!$I$4="CA",'2024'!$I$2=BS195),'2024DATA'!$N$11,"")</f>
        <v/>
      </c>
      <c r="BT204" s="940" t="s">
        <v>42</v>
      </c>
      <c r="BU204" s="13" t="s">
        <v>61</v>
      </c>
      <c r="BV204" s="518" t="str">
        <f>IF(AND(_E="B-767-400ER",'2024'!$I$4="CA",'2024'!$I$2=BV195),'2024DATA'!$C$11,"")</f>
        <v/>
      </c>
      <c r="BW204" s="518" t="str">
        <f>IF(AND(_E="B-767-400ER",'2024'!$I$4="CA",'2024'!$I$2=BW195),'2024DATA'!$D$11,"")</f>
        <v/>
      </c>
      <c r="BX204" s="518" t="str">
        <f>IF(AND(_E="B-767-400ER",'2024'!$I$4="CA",'2024'!$I$2=BX195),'2024DATA'!$E$11,"")</f>
        <v/>
      </c>
      <c r="BY204" s="518" t="str">
        <f>IF(AND(_E="B-767-400ER",'2024'!$I$4="CA",'2024'!$I$2=BY195),'2024DATA'!$F$11,"")</f>
        <v/>
      </c>
      <c r="BZ204" s="518" t="str">
        <f>IF(AND(_E="B-767-400ER",'2024'!$I$4="CA",'2024'!$I$2=BZ195),'2024DATA'!$G$11,"")</f>
        <v/>
      </c>
      <c r="CA204" s="518" t="str">
        <f>IF(AND(_E="B-767-400ER",'2024'!$I$4="CA",'2024'!$I$2=CA195),'2024DATA'!$H$11,"")</f>
        <v/>
      </c>
      <c r="CB204" s="518" t="str">
        <f>IF(AND(_E="B-767-400ER",'2024'!$I$4="CA",'2024'!$I$2=CB195),'2024DATA'!$I$11,"")</f>
        <v/>
      </c>
      <c r="CC204" s="518" t="str">
        <f>IF(AND(_E="B-767-400ER",'2024'!$I$4="CA",'2024'!$I$2=CC195),'2024DATA'!$J$11,"")</f>
        <v/>
      </c>
      <c r="CD204" s="518" t="str">
        <f>IF(AND(_E="B-767-400ER",'2024'!$I$4="CA",'2024'!$I$2=CD195),'2024DATA'!$K$11,"")</f>
        <v/>
      </c>
      <c r="CE204" s="518" t="str">
        <f>IF(AND(_E="B-767-400ER",'2024'!$I$4="CA",'2024'!$I$2=CE195),'2024DATA'!$L$11,"")</f>
        <v/>
      </c>
      <c r="CF204" s="518" t="str">
        <f>IF(AND(_E="B-767-400ER",'2024'!$I$4="CA",'2024'!$I$2=CF195),'2024DATA'!$M$11,"")</f>
        <v/>
      </c>
      <c r="CG204" s="520" t="str">
        <f>IF(AND(_E="B-767-400ER",'2024'!$I$4="CA",'2024'!$I$2=CG195),'2024DATA'!$N$11,"")</f>
        <v/>
      </c>
      <c r="CH204" s="940" t="s">
        <v>42</v>
      </c>
      <c r="CI204" s="13" t="s">
        <v>61</v>
      </c>
      <c r="CJ204" s="518" t="str">
        <f>IF(AND(_F="B-767-400ER",'2024'!$I$4="CA",'2024'!$I$2=CJ195),'2024DATA'!$C$11,"")</f>
        <v/>
      </c>
      <c r="CK204" s="518" t="str">
        <f>IF(AND(_F="B-767-400ER",'2024'!$I$4="CA",'2024'!$I$2=CK195),'2024DATA'!$D$11,"")</f>
        <v/>
      </c>
      <c r="CL204" s="518" t="str">
        <f>IF(AND(_F="B-767-400ER",'2024'!$I$4="CA",'2024'!$I$2=CL195),'2024DATA'!$E$11,"")</f>
        <v/>
      </c>
      <c r="CM204" s="518" t="str">
        <f>IF(AND(_F="B-767-400ER",'2024'!$I$4="CA",'2024'!$I$2=CM195),'2024DATA'!$F$11,"")</f>
        <v/>
      </c>
      <c r="CN204" s="518" t="str">
        <f>IF(AND(_F="B-767-400ER",'2024'!$I$4="CA",'2024'!$I$2=CN195),'2024DATA'!$G$11,"")</f>
        <v/>
      </c>
      <c r="CO204" s="518" t="str">
        <f>IF(AND(_F="B-767-400ER",'2024'!$I$4="CA",'2024'!$I$2=CO195),'2024DATA'!$H$11,"")</f>
        <v/>
      </c>
      <c r="CP204" s="518" t="str">
        <f>IF(AND(_F="B-767-400ER",'2024'!$I$4="CA",'2024'!$I$2=CP195),'2024DATA'!$I$11,"")</f>
        <v/>
      </c>
      <c r="CQ204" s="518" t="str">
        <f>IF(AND(_F="B-767-400ER",'2024'!$I$4="CA",'2024'!$I$2=CQ195),'2024DATA'!$J$11,"")</f>
        <v/>
      </c>
      <c r="CR204" s="518" t="str">
        <f>IF(AND(_F="B-767-400ER",'2024'!$I$4="CA",'2024'!$I$2=CR195),'2024DATA'!$K$11,"")</f>
        <v/>
      </c>
      <c r="CS204" s="518" t="str">
        <f>IF(AND(_F="B-767-400ER",'2024'!$I$4="CA",'2024'!$I$2=CS195),'2024DATA'!$L$11,"")</f>
        <v/>
      </c>
      <c r="CT204" s="518" t="str">
        <f>IF(AND(_F="B-767-400ER",'2024'!$I$4="CA",'2024'!$I$2=CT195),'2024DATA'!$M$11,"")</f>
        <v/>
      </c>
      <c r="CU204" s="520" t="str">
        <f>IF(AND(_F="B-767-400ER",'2024'!$I$4="CA",'2024'!$I$2=CU195),'2024DATA'!$N$11,"")</f>
        <v/>
      </c>
    </row>
    <row r="205" spans="16:99" x14ac:dyDescent="0.25">
      <c r="P205" s="940"/>
      <c r="Q205" s="13" t="s">
        <v>62</v>
      </c>
      <c r="R205" s="518" t="str">
        <f>IF(AND(_A="B-767-400ER",'2024'!$I$4="FO",'2024'!$I$2=R195),'2024DATA'!$C$12,"")</f>
        <v/>
      </c>
      <c r="S205" s="518" t="str">
        <f>IF(AND(_A="B-767-400ER",'2024'!$I$4="FO",'2024'!$I$2=S195),'2024DATA'!$D$12,"")</f>
        <v/>
      </c>
      <c r="T205" s="518" t="str">
        <f>IF(AND(_A="B-767-400ER",'2024'!$I$4="FO",'2024'!$I$2=T195),'2024DATA'!$E$12,"")</f>
        <v/>
      </c>
      <c r="U205" s="518" t="str">
        <f>IF(AND(_A="B-767-400ER",'2024'!$I$4="FO",'2024'!$I$2=U195),'2024DATA'!$F$12,"")</f>
        <v/>
      </c>
      <c r="V205" s="518" t="str">
        <f>IF(AND(_A="B-767-400ER",'2024'!$I$4="FO",'2024'!$I$2=V195),'2024DATA'!$G$12,"")</f>
        <v/>
      </c>
      <c r="W205" s="518" t="str">
        <f>IF(AND(_A="B-767-400ER",'2024'!$I$4="FO",'2024'!$I$2=W195),'2024DATA'!$H$12,"")</f>
        <v/>
      </c>
      <c r="X205" s="518" t="str">
        <f>IF(AND(_A="B-767-400ER",'2024'!$I$4="FO",'2024'!$I$2=X195),'2024DATA'!$I$12,"")</f>
        <v/>
      </c>
      <c r="Y205" s="518" t="str">
        <f>IF(AND(_A="B-767-400ER",'2024'!$I$4="FO",'2024'!$I$2=Y195),'2024DATA'!$J$12,"")</f>
        <v/>
      </c>
      <c r="Z205" s="518" t="str">
        <f>IF(AND(_A="B-767-400ER",'2024'!$I$4="FO",'2024'!$I$2=Z195),'2024DATA'!$K$12,"")</f>
        <v/>
      </c>
      <c r="AA205" s="518" t="str">
        <f>IF(AND(_A="B-767-400ER",'2024'!$I$4="FO",'2024'!$I$2=AA195),'2024DATA'!$L$12,"")</f>
        <v/>
      </c>
      <c r="AB205" s="518" t="str">
        <f>IF(AND(_A="B-767-400ER",'2024'!$I$4="FO",'2024'!$I$2=AB195),'2024DATA'!$M$12,"")</f>
        <v/>
      </c>
      <c r="AC205" s="520" t="str">
        <f>IF(AND(_A="B-767-400ER",'2024'!$I$4="FO",'2024'!$I$2=AC195),'2024DATA'!$N$12,"")</f>
        <v/>
      </c>
      <c r="AD205" s="940"/>
      <c r="AE205" s="13" t="s">
        <v>62</v>
      </c>
      <c r="AF205" s="518" t="str">
        <f>IF(AND(_B="B-767-400ER",'2024'!$I$4="FO",'2024'!$I$2=AF195),'2024DATA'!$C$12,"")</f>
        <v/>
      </c>
      <c r="AG205" s="518" t="str">
        <f>IF(AND(_B="B-767-400ER",'2024'!$I$4="FO",'2024'!$I$2=AG195),'2024DATA'!$D$12,"")</f>
        <v/>
      </c>
      <c r="AH205" s="518" t="str">
        <f>IF(AND(_B="B-767-400ER",'2024'!$I$4="FO",'2024'!$I$2=AH195),'2024DATA'!$E$12,"")</f>
        <v/>
      </c>
      <c r="AI205" s="518" t="str">
        <f>IF(AND(_B="B-767-400ER",'2024'!$I$4="FO",'2024'!$I$2=AI195),'2024DATA'!$F$12,"")</f>
        <v/>
      </c>
      <c r="AJ205" s="518" t="str">
        <f>IF(AND(_B="B-767-400ER",'2024'!$I$4="FO",'2024'!$I$2=AJ195),'2024DATA'!$G$12,"")</f>
        <v/>
      </c>
      <c r="AK205" s="518" t="str">
        <f>IF(AND(_B="B-767-400ER",'2024'!$I$4="FO",'2024'!$I$2=AK195),'2024DATA'!$H$12,"")</f>
        <v/>
      </c>
      <c r="AL205" s="518" t="str">
        <f>IF(AND(_B="B-767-400ER",'2024'!$I$4="FO",'2024'!$I$2=AL195),'2024DATA'!$I$12,"")</f>
        <v/>
      </c>
      <c r="AM205" s="518" t="str">
        <f>IF(AND(_B="B-767-400ER",'2024'!$I$4="FO",'2024'!$I$2=AM195),'2024DATA'!$J$12,"")</f>
        <v/>
      </c>
      <c r="AN205" s="518" t="str">
        <f>IF(AND(_B="B-767-400ER",'2024'!$I$4="FO",'2024'!$I$2=AN195),'2024DATA'!$K$12,"")</f>
        <v/>
      </c>
      <c r="AO205" s="518" t="str">
        <f>IF(AND(_B="B-767-400ER",'2024'!$I$4="FO",'2024'!$I$2=AO195),'2024DATA'!$L$12,"")</f>
        <v/>
      </c>
      <c r="AP205" s="518" t="str">
        <f>IF(AND(_B="B-767-400ER",'2024'!$I$4="FO",'2024'!$I$2=AP195),'2024DATA'!$M$12,"")</f>
        <v/>
      </c>
      <c r="AQ205" s="520" t="str">
        <f>IF(AND(_B="B-767-400ER",'2024'!$I$4="FO",'2024'!$I$2=AQ195),'2024DATA'!$N$12,"")</f>
        <v/>
      </c>
      <c r="AR205" s="940"/>
      <c r="AS205" s="13" t="s">
        <v>62</v>
      </c>
      <c r="AT205" s="518" t="str">
        <f>IF(AND(_C="B-767-400ER",'2024'!$I$4="FO",'2024'!$I$2=AT195),'2024DATA'!$C$12,"")</f>
        <v/>
      </c>
      <c r="AU205" s="518" t="str">
        <f>IF(AND(_C="B-767-400ER",'2024'!$I$4="FO",'2024'!$I$2=AU195),'2024DATA'!$D$12,"")</f>
        <v/>
      </c>
      <c r="AV205" s="518" t="str">
        <f>IF(AND(_C="B-767-400ER",'2024'!$I$4="FO",'2024'!$I$2=AV195),'2024DATA'!$E$12,"")</f>
        <v/>
      </c>
      <c r="AW205" s="518" t="str">
        <f>IF(AND(_C="B-767-400ER",'2024'!$I$4="FO",'2024'!$I$2=AW195),'2024DATA'!$F$12,"")</f>
        <v/>
      </c>
      <c r="AX205" s="518" t="str">
        <f>IF(AND(_C="B-767-400ER",'2024'!$I$4="FO",'2024'!$I$2=AX195),'2024DATA'!$G$12,"")</f>
        <v/>
      </c>
      <c r="AY205" s="518" t="str">
        <f>IF(AND(_C="B-767-400ER",'2024'!$I$4="FO",'2024'!$I$2=AY195),'2024DATA'!$H$12,"")</f>
        <v/>
      </c>
      <c r="AZ205" s="518" t="str">
        <f>IF(AND(_C="B-767-400ER",'2024'!$I$4="FO",'2024'!$I$2=AZ195),'2024DATA'!$I$12,"")</f>
        <v/>
      </c>
      <c r="BA205" s="518" t="str">
        <f>IF(AND(_C="B-767-400ER",'2024'!$I$4="FO",'2024'!$I$2=BA195),'2024DATA'!$J$12,"")</f>
        <v/>
      </c>
      <c r="BB205" s="518" t="str">
        <f>IF(AND(_C="B-767-400ER",'2024'!$I$4="FO",'2024'!$I$2=BB195),'2024DATA'!$K$12,"")</f>
        <v/>
      </c>
      <c r="BC205" s="518" t="str">
        <f>IF(AND(_C="B-767-400ER",'2024'!$I$4="FO",'2024'!$I$2=BC195),'2024DATA'!$L$12,"")</f>
        <v/>
      </c>
      <c r="BD205" s="518" t="str">
        <f>IF(AND(_C="B-767-400ER",'2024'!$I$4="FO",'2024'!$I$2=BD195),'2024DATA'!$M$12,"")</f>
        <v/>
      </c>
      <c r="BE205" s="520" t="str">
        <f>IF(AND(_C="B-767-400ER",'2024'!$I$4="FO",'2024'!$I$2=BE195),'2024DATA'!$N$12,"")</f>
        <v/>
      </c>
      <c r="BF205" s="940"/>
      <c r="BG205" s="13" t="s">
        <v>62</v>
      </c>
      <c r="BH205" s="518" t="str">
        <f>IF(AND(_D="B-767-400ER",'2024'!$I$4="FO",'2024'!$I$2=BH195),'2024DATA'!$C$12,"")</f>
        <v/>
      </c>
      <c r="BI205" s="518" t="str">
        <f>IF(AND(_D="B-767-400ER",'2024'!$I$4="FO",'2024'!$I$2=BI195),'2024DATA'!$D$12,"")</f>
        <v/>
      </c>
      <c r="BJ205" s="518" t="str">
        <f>IF(AND(_D="B-767-400ER",'2024'!$I$4="FO",'2024'!$I$2=BJ195),'2024DATA'!$E$12,"")</f>
        <v/>
      </c>
      <c r="BK205" s="518" t="str">
        <f>IF(AND(_D="B-767-400ER",'2024'!$I$4="FO",'2024'!$I$2=BK195),'2024DATA'!$F$12,"")</f>
        <v/>
      </c>
      <c r="BL205" s="518" t="str">
        <f>IF(AND(_D="B-767-400ER",'2024'!$I$4="FO",'2024'!$I$2=BL195),'2024DATA'!$G$12,"")</f>
        <v/>
      </c>
      <c r="BM205" s="518" t="str">
        <f>IF(AND(_D="B-767-400ER",'2024'!$I$4="FO",'2024'!$I$2=BM195),'2024DATA'!$H$12,"")</f>
        <v/>
      </c>
      <c r="BN205" s="518" t="str">
        <f>IF(AND(_D="B-767-400ER",'2024'!$I$4="FO",'2024'!$I$2=BN195),'2024DATA'!$I$12,"")</f>
        <v/>
      </c>
      <c r="BO205" s="518" t="str">
        <f>IF(AND(_D="B-767-400ER",'2024'!$I$4="FO",'2024'!$I$2=BO195),'2024DATA'!$J$12,"")</f>
        <v/>
      </c>
      <c r="BP205" s="518" t="str">
        <f>IF(AND(_D="B-767-400ER",'2024'!$I$4="FO",'2024'!$I$2=BP195),'2024DATA'!$K$12,"")</f>
        <v/>
      </c>
      <c r="BQ205" s="518" t="str">
        <f>IF(AND(_D="B-767-400ER",'2024'!$I$4="FO",'2024'!$I$2=BQ195),'2024DATA'!$L$12,"")</f>
        <v/>
      </c>
      <c r="BR205" s="518" t="str">
        <f>IF(AND(_D="B-767-400ER",'2024'!$I$4="FO",'2024'!$I$2=BR195),'2024DATA'!$M$12,"")</f>
        <v/>
      </c>
      <c r="BS205" s="520" t="str">
        <f>IF(AND(_D="B-767-400ER",'2024'!$I$4="FO",'2024'!$I$2=BS195),'2024DATA'!$N$12,"")</f>
        <v/>
      </c>
      <c r="BT205" s="940"/>
      <c r="BU205" s="13" t="s">
        <v>62</v>
      </c>
      <c r="BV205" s="518" t="str">
        <f>IF(AND(_E="B-767-400ER",'2024'!$I$4="FO",'2024'!$I$2=BV195),'2024DATA'!$C$12,"")</f>
        <v/>
      </c>
      <c r="BW205" s="518" t="str">
        <f>IF(AND(_E="B-767-400ER",'2024'!$I$4="FO",'2024'!$I$2=BW195),'2024DATA'!$D$12,"")</f>
        <v/>
      </c>
      <c r="BX205" s="518" t="str">
        <f>IF(AND(_E="B-767-400ER",'2024'!$I$4="FO",'2024'!$I$2=BX195),'2024DATA'!$E$12,"")</f>
        <v/>
      </c>
      <c r="BY205" s="518" t="str">
        <f>IF(AND(_E="B-767-400ER",'2024'!$I$4="FO",'2024'!$I$2=BY195),'2024DATA'!$F$12,"")</f>
        <v/>
      </c>
      <c r="BZ205" s="518" t="str">
        <f>IF(AND(_E="B-767-400ER",'2024'!$I$4="FO",'2024'!$I$2=BZ195),'2024DATA'!$G$12,"")</f>
        <v/>
      </c>
      <c r="CA205" s="518" t="str">
        <f>IF(AND(_E="B-767-400ER",'2024'!$I$4="FO",'2024'!$I$2=CA195),'2024DATA'!$H$12,"")</f>
        <v/>
      </c>
      <c r="CB205" s="518" t="str">
        <f>IF(AND(_E="B-767-400ER",'2024'!$I$4="FO",'2024'!$I$2=CB195),'2024DATA'!$I$12,"")</f>
        <v/>
      </c>
      <c r="CC205" s="518" t="str">
        <f>IF(AND(_E="B-767-400ER",'2024'!$I$4="FO",'2024'!$I$2=CC195),'2024DATA'!$J$12,"")</f>
        <v/>
      </c>
      <c r="CD205" s="518" t="str">
        <f>IF(AND(_E="B-767-400ER",'2024'!$I$4="FO",'2024'!$I$2=CD195),'2024DATA'!$K$12,"")</f>
        <v/>
      </c>
      <c r="CE205" s="518" t="str">
        <f>IF(AND(_E="B-767-400ER",'2024'!$I$4="FO",'2024'!$I$2=CE195),'2024DATA'!$L$12,"")</f>
        <v/>
      </c>
      <c r="CF205" s="518" t="str">
        <f>IF(AND(_E="B-767-400ER",'2024'!$I$4="FO",'2024'!$I$2=CF195),'2024DATA'!$M$12,"")</f>
        <v/>
      </c>
      <c r="CG205" s="520" t="str">
        <f>IF(AND(_E="B-767-400ER",'2024'!$I$4="FO",'2024'!$I$2=CG195),'2024DATA'!$N$12,"")</f>
        <v/>
      </c>
      <c r="CH205" s="940"/>
      <c r="CI205" s="13" t="s">
        <v>62</v>
      </c>
      <c r="CJ205" s="518" t="str">
        <f>IF(AND(_F="B-767-400ER",'2024'!$I$4="FO",'2024'!$I$2=CJ195),'2024DATA'!$C$12,"")</f>
        <v/>
      </c>
      <c r="CK205" s="518" t="str">
        <f>IF(AND(_F="B-767-400ER",'2024'!$I$4="FO",'2024'!$I$2=CK195),'2024DATA'!$D$12,"")</f>
        <v/>
      </c>
      <c r="CL205" s="518" t="str">
        <f>IF(AND(_F="B-767-400ER",'2024'!$I$4="FO",'2024'!$I$2=CL195),'2024DATA'!$E$12,"")</f>
        <v/>
      </c>
      <c r="CM205" s="518" t="str">
        <f>IF(AND(_F="B-767-400ER",'2024'!$I$4="FO",'2024'!$I$2=CM195),'2024DATA'!$F$12,"")</f>
        <v/>
      </c>
      <c r="CN205" s="518" t="str">
        <f>IF(AND(_F="B-767-400ER",'2024'!$I$4="FO",'2024'!$I$2=CN195),'2024DATA'!$G$12,"")</f>
        <v/>
      </c>
      <c r="CO205" s="518" t="str">
        <f>IF(AND(_F="B-767-400ER",'2024'!$I$4="FO",'2024'!$I$2=CO195),'2024DATA'!$H$12,"")</f>
        <v/>
      </c>
      <c r="CP205" s="518" t="str">
        <f>IF(AND(_F="B-767-400ER",'2024'!$I$4="FO",'2024'!$I$2=CP195),'2024DATA'!$I$12,"")</f>
        <v/>
      </c>
      <c r="CQ205" s="518" t="str">
        <f>IF(AND(_F="B-767-400ER",'2024'!$I$4="FO",'2024'!$I$2=CQ195),'2024DATA'!$J$12,"")</f>
        <v/>
      </c>
      <c r="CR205" s="518" t="str">
        <f>IF(AND(_F="B-767-400ER",'2024'!$I$4="FO",'2024'!$I$2=CR195),'2024DATA'!$K$12,"")</f>
        <v/>
      </c>
      <c r="CS205" s="518" t="str">
        <f>IF(AND(_F="B-767-400ER",'2024'!$I$4="FO",'2024'!$I$2=CS195),'2024DATA'!$L$12,"")</f>
        <v/>
      </c>
      <c r="CT205" s="518" t="str">
        <f>IF(AND(_F="B-767-400ER",'2024'!$I$4="FO",'2024'!$I$2=CT195),'2024DATA'!$M$12,"")</f>
        <v/>
      </c>
      <c r="CU205" s="520" t="str">
        <f>IF(AND(_F="B-767-400ER",'2024'!$I$4="FO",'2024'!$I$2=CU195),'2024DATA'!$N$12,"")</f>
        <v/>
      </c>
    </row>
    <row r="206" spans="16:99" x14ac:dyDescent="0.25">
      <c r="P206" s="940" t="s">
        <v>43</v>
      </c>
      <c r="Q206" s="13" t="s">
        <v>61</v>
      </c>
      <c r="R206" s="518" t="str">
        <f>IF(AND(_A="B-767-300ER",'2024'!$I$4="CA",'2024'!$I$2=R195),'2024DATA'!$C$13,"")</f>
        <v/>
      </c>
      <c r="S206" s="518" t="str">
        <f>IF(AND(_A="B-767-300ER",'2024'!$I$4="CA",'2024'!$I$2=S195),'2024DATA'!$D$13,"")</f>
        <v/>
      </c>
      <c r="T206" s="518" t="str">
        <f>IF(AND(_A="B-767-300ER",'2024'!$I$4="CA",'2024'!$I$2=T195),'2024DATA'!$E$13,"")</f>
        <v/>
      </c>
      <c r="U206" s="518" t="str">
        <f>IF(AND(_A="B-767-300ER",'2024'!$I$4="CA",'2024'!$I$2=U195),'2024DATA'!$F$13,"")</f>
        <v/>
      </c>
      <c r="V206" s="518" t="str">
        <f>IF(AND(_A="B-767-300ER",'2024'!$I$4="CA",'2024'!$I$2=V195),'2024DATA'!$G$13,"")</f>
        <v/>
      </c>
      <c r="W206" s="518" t="str">
        <f>IF(AND(_A="B-767-300ER",'2024'!$I$4="CA",'2024'!$I$2=W195),'2024DATA'!$H$13,"")</f>
        <v/>
      </c>
      <c r="X206" s="518" t="str">
        <f>IF(AND(_A="B-767-300ER",'2024'!$I$4="CA",'2024'!$I$2=X195),'2024DATA'!$I$13,"")</f>
        <v/>
      </c>
      <c r="Y206" s="518" t="str">
        <f>IF(AND(_A="B-767-300ER",'2024'!$I$4="CA",'2024'!$I$2=Y195),'2024DATA'!$J$13,"")</f>
        <v/>
      </c>
      <c r="Z206" s="518" t="str">
        <f>IF(AND(_A="B-767-300ER",'2024'!$I$4="CA",'2024'!$I$2=Z195),'2024DATA'!$K$13,"")</f>
        <v/>
      </c>
      <c r="AA206" s="518" t="str">
        <f>IF(AND(_A="B-767-300ER",'2024'!$I$4="CA",'2024'!$I$2=AA195),'2024DATA'!$L$13,"")</f>
        <v/>
      </c>
      <c r="AB206" s="518" t="str">
        <f>IF(AND(_A="B-767-300ER",'2024'!$I$4="CA",'2024'!$I$2=AB195),'2024DATA'!$M$13,"")</f>
        <v/>
      </c>
      <c r="AC206" s="520" t="str">
        <f>IF(AND(_A="B-767-300ER",'2024'!$I$4="CA",'2024'!$I$2=AC195),'2024DATA'!$N$13,"")</f>
        <v/>
      </c>
      <c r="AD206" s="940" t="s">
        <v>43</v>
      </c>
      <c r="AE206" s="13" t="s">
        <v>61</v>
      </c>
      <c r="AF206" s="518" t="str">
        <f>IF(AND(_B="B-767-300ER",'2024'!$I$4="CA",'2024'!$I$2=AF195),'2024DATA'!$C$13,"")</f>
        <v/>
      </c>
      <c r="AG206" s="518" t="str">
        <f>IF(AND(_B="B-767-300ER",'2024'!$I$4="CA",'2024'!$I$2=AG195),'2024DATA'!$D$13,"")</f>
        <v/>
      </c>
      <c r="AH206" s="518" t="str">
        <f>IF(AND(_B="B-767-300ER",'2024'!$I$4="CA",'2024'!$I$2=AH195),'2024DATA'!$E$13,"")</f>
        <v/>
      </c>
      <c r="AI206" s="518" t="str">
        <f>IF(AND(_B="B-767-300ER",'2024'!$I$4="CA",'2024'!$I$2=AI195),'2024DATA'!$F$13,"")</f>
        <v/>
      </c>
      <c r="AJ206" s="518" t="str">
        <f>IF(AND(_B="B-767-300ER",'2024'!$I$4="CA",'2024'!$I$2=AJ195),'2024DATA'!$G$13,"")</f>
        <v/>
      </c>
      <c r="AK206" s="518" t="str">
        <f>IF(AND(_B="B-767-300ER",'2024'!$I$4="CA",'2024'!$I$2=AK195),'2024DATA'!$H$13,"")</f>
        <v/>
      </c>
      <c r="AL206" s="518" t="str">
        <f>IF(AND(_B="B-767-300ER",'2024'!$I$4="CA",'2024'!$I$2=AL195),'2024DATA'!$I$13,"")</f>
        <v/>
      </c>
      <c r="AM206" s="518" t="str">
        <f>IF(AND(_B="B-767-300ER",'2024'!$I$4="CA",'2024'!$I$2=AM195),'2024DATA'!$J$13,"")</f>
        <v/>
      </c>
      <c r="AN206" s="518" t="str">
        <f>IF(AND(_B="B-767-300ER",'2024'!$I$4="CA",'2024'!$I$2=AN195),'2024DATA'!$K$13,"")</f>
        <v/>
      </c>
      <c r="AO206" s="518" t="str">
        <f>IF(AND(_B="B-767-300ER",'2024'!$I$4="CA",'2024'!$I$2=AO195),'2024DATA'!$L$13,"")</f>
        <v/>
      </c>
      <c r="AP206" s="518" t="str">
        <f>IF(AND(_B="B-767-300ER",'2024'!$I$4="CA",'2024'!$I$2=AP195),'2024DATA'!$M$13,"")</f>
        <v/>
      </c>
      <c r="AQ206" s="520" t="str">
        <f>IF(AND(_B="B-767-300ER",'2024'!$I$4="CA",'2024'!$I$2=AQ195),'2024DATA'!$N$13,"")</f>
        <v/>
      </c>
      <c r="AR206" s="940" t="s">
        <v>43</v>
      </c>
      <c r="AS206" s="13" t="s">
        <v>61</v>
      </c>
      <c r="AT206" s="518" t="str">
        <f>IF(AND(_C="B-767-300ER",'2024'!$I$4="CA",'2024'!$I$2=AT195),'2024DATA'!$C$13,"")</f>
        <v/>
      </c>
      <c r="AU206" s="518" t="str">
        <f>IF(AND(_C="B-767-300ER",'2024'!$I$4="CA",'2024'!$I$2=AU195),'2024DATA'!$D$13,"")</f>
        <v/>
      </c>
      <c r="AV206" s="518" t="str">
        <f>IF(AND(_C="B-767-300ER",'2024'!$I$4="CA",'2024'!$I$2=AV195),'2024DATA'!$E$13,"")</f>
        <v/>
      </c>
      <c r="AW206" s="518" t="str">
        <f>IF(AND(_C="B-767-300ER",'2024'!$I$4="CA",'2024'!$I$2=AW195),'2024DATA'!$F$13,"")</f>
        <v/>
      </c>
      <c r="AX206" s="518" t="str">
        <f>IF(AND(_C="B-767-300ER",'2024'!$I$4="CA",'2024'!$I$2=AX195),'2024DATA'!$G$13,"")</f>
        <v/>
      </c>
      <c r="AY206" s="518" t="str">
        <f>IF(AND(_C="B-767-300ER",'2024'!$I$4="CA",'2024'!$I$2=AY195),'2024DATA'!$H$13,"")</f>
        <v/>
      </c>
      <c r="AZ206" s="518" t="str">
        <f>IF(AND(_C="B-767-300ER",'2024'!$I$4="CA",'2024'!$I$2=AZ195),'2024DATA'!$I$13,"")</f>
        <v/>
      </c>
      <c r="BA206" s="518" t="str">
        <f>IF(AND(_C="B-767-300ER",'2024'!$I$4="CA",'2024'!$I$2=BA195),'2024DATA'!$J$13,"")</f>
        <v/>
      </c>
      <c r="BB206" s="518" t="str">
        <f>IF(AND(_C="B-767-300ER",'2024'!$I$4="CA",'2024'!$I$2=BB195),'2024DATA'!$K$13,"")</f>
        <v/>
      </c>
      <c r="BC206" s="518" t="str">
        <f>IF(AND(_C="B-767-300ER",'2024'!$I$4="CA",'2024'!$I$2=BC195),'2024DATA'!$L$13,"")</f>
        <v/>
      </c>
      <c r="BD206" s="518" t="str">
        <f>IF(AND(_C="B-767-300ER",'2024'!$I$4="CA",'2024'!$I$2=BD195),'2024DATA'!$M$13,"")</f>
        <v/>
      </c>
      <c r="BE206" s="520" t="str">
        <f>IF(AND(_C="B-767-300ER",'2024'!$I$4="CA",'2024'!$I$2=BE195),'2024DATA'!$N$13,"")</f>
        <v/>
      </c>
      <c r="BF206" s="940" t="s">
        <v>43</v>
      </c>
      <c r="BG206" s="13" t="s">
        <v>61</v>
      </c>
      <c r="BH206" s="518" t="str">
        <f>IF(AND(_D="B-767-300ER",'2024'!$I$4="CA",'2024'!$I$2=BH195),'2024DATA'!$C$13,"")</f>
        <v/>
      </c>
      <c r="BI206" s="518" t="str">
        <f>IF(AND(_D="B-767-300ER",'2024'!$I$4="CA",'2024'!$I$2=BI195),'2024DATA'!$D$13,"")</f>
        <v/>
      </c>
      <c r="BJ206" s="518" t="str">
        <f>IF(AND(_D="B-767-300ER",'2024'!$I$4="CA",'2024'!$I$2=BJ195),'2024DATA'!$E$13,"")</f>
        <v/>
      </c>
      <c r="BK206" s="518" t="str">
        <f>IF(AND(_D="B-767-300ER",'2024'!$I$4="CA",'2024'!$I$2=BK195),'2024DATA'!$F$13,"")</f>
        <v/>
      </c>
      <c r="BL206" s="518" t="str">
        <f>IF(AND(_D="B-767-300ER",'2024'!$I$4="CA",'2024'!$I$2=BL195),'2024DATA'!$G$13,"")</f>
        <v/>
      </c>
      <c r="BM206" s="518" t="str">
        <f>IF(AND(_D="B-767-300ER",'2024'!$I$4="CA",'2024'!$I$2=BM195),'2024DATA'!$H$13,"")</f>
        <v/>
      </c>
      <c r="BN206" s="518" t="str">
        <f>IF(AND(_D="B-767-300ER",'2024'!$I$4="CA",'2024'!$I$2=BN195),'2024DATA'!$I$13,"")</f>
        <v/>
      </c>
      <c r="BO206" s="518" t="str">
        <f>IF(AND(_D="B-767-300ER",'2024'!$I$4="CA",'2024'!$I$2=BO195),'2024DATA'!$J$13,"")</f>
        <v/>
      </c>
      <c r="BP206" s="518" t="str">
        <f>IF(AND(_D="B-767-300ER",'2024'!$I$4="CA",'2024'!$I$2=BP195),'2024DATA'!$K$13,"")</f>
        <v/>
      </c>
      <c r="BQ206" s="518" t="str">
        <f>IF(AND(_D="B-767-300ER",'2024'!$I$4="CA",'2024'!$I$2=BQ195),'2024DATA'!$L$13,"")</f>
        <v/>
      </c>
      <c r="BR206" s="518" t="str">
        <f>IF(AND(_D="B-767-300ER",'2024'!$I$4="CA",'2024'!$I$2=BR195),'2024DATA'!$M$13,"")</f>
        <v/>
      </c>
      <c r="BS206" s="520" t="str">
        <f>IF(AND(_D="B-767-300ER",'2024'!$I$4="CA",'2024'!$I$2=BS195),'2024DATA'!$N$13,"")</f>
        <v/>
      </c>
      <c r="BT206" s="940" t="s">
        <v>43</v>
      </c>
      <c r="BU206" s="13" t="s">
        <v>61</v>
      </c>
      <c r="BV206" s="518" t="str">
        <f>IF(AND(_E="B-767-300ER",'2024'!$I$4="CA",'2024'!$I$2=BV195),'2024DATA'!$C$13,"")</f>
        <v/>
      </c>
      <c r="BW206" s="518" t="str">
        <f>IF(AND(_E="B-767-300ER",'2024'!$I$4="CA",'2024'!$I$2=BW195),'2024DATA'!$D$13,"")</f>
        <v/>
      </c>
      <c r="BX206" s="518" t="str">
        <f>IF(AND(_E="B-767-300ER",'2024'!$I$4="CA",'2024'!$I$2=BX195),'2024DATA'!$E$13,"")</f>
        <v/>
      </c>
      <c r="BY206" s="518" t="str">
        <f>IF(AND(_E="B-767-300ER",'2024'!$I$4="CA",'2024'!$I$2=BY195),'2024DATA'!$F$13,"")</f>
        <v/>
      </c>
      <c r="BZ206" s="518" t="str">
        <f>IF(AND(_E="B-767-300ER",'2024'!$I$4="CA",'2024'!$I$2=BZ195),'2024DATA'!$G$13,"")</f>
        <v/>
      </c>
      <c r="CA206" s="518" t="str">
        <f>IF(AND(_E="B-767-300ER",'2024'!$I$4="CA",'2024'!$I$2=CA195),'2024DATA'!$H$13,"")</f>
        <v/>
      </c>
      <c r="CB206" s="518" t="str">
        <f>IF(AND(_E="B-767-300ER",'2024'!$I$4="CA",'2024'!$I$2=CB195),'2024DATA'!$I$13,"")</f>
        <v/>
      </c>
      <c r="CC206" s="518" t="str">
        <f>IF(AND(_E="B-767-300ER",'2024'!$I$4="CA",'2024'!$I$2=CC195),'2024DATA'!$J$13,"")</f>
        <v/>
      </c>
      <c r="CD206" s="518" t="str">
        <f>IF(AND(_E="B-767-300ER",'2024'!$I$4="CA",'2024'!$I$2=CD195),'2024DATA'!$K$13,"")</f>
        <v/>
      </c>
      <c r="CE206" s="518" t="str">
        <f>IF(AND(_E="B-767-300ER",'2024'!$I$4="CA",'2024'!$I$2=CE195),'2024DATA'!$L$13,"")</f>
        <v/>
      </c>
      <c r="CF206" s="518" t="str">
        <f>IF(AND(_E="B-767-300ER",'2024'!$I$4="CA",'2024'!$I$2=CF195),'2024DATA'!$M$13,"")</f>
        <v/>
      </c>
      <c r="CG206" s="520" t="str">
        <f>IF(AND(_E="B-767-300ER",'2024'!$I$4="CA",'2024'!$I$2=CG195),'2024DATA'!$N$13,"")</f>
        <v/>
      </c>
      <c r="CH206" s="940" t="s">
        <v>43</v>
      </c>
      <c r="CI206" s="13" t="s">
        <v>61</v>
      </c>
      <c r="CJ206" s="518" t="str">
        <f>IF(AND(_F="B-767-300ER",'2024'!$I$4="CA",'2024'!$I$2=CJ195),'2024DATA'!$C$13,"")</f>
        <v/>
      </c>
      <c r="CK206" s="518" t="str">
        <f>IF(AND(_F="B-767-300ER",'2024'!$I$4="CA",'2024'!$I$2=CK195),'2024DATA'!$D$13,"")</f>
        <v/>
      </c>
      <c r="CL206" s="518" t="str">
        <f>IF(AND(_F="B-767-300ER",'2024'!$I$4="CA",'2024'!$I$2=CL195),'2024DATA'!$E$13,"")</f>
        <v/>
      </c>
      <c r="CM206" s="518" t="str">
        <f>IF(AND(_F="B-767-300ER",'2024'!$I$4="CA",'2024'!$I$2=CM195),'2024DATA'!$F$13,"")</f>
        <v/>
      </c>
      <c r="CN206" s="518" t="str">
        <f>IF(AND(_F="B-767-300ER",'2024'!$I$4="CA",'2024'!$I$2=CN195),'2024DATA'!$G$13,"")</f>
        <v/>
      </c>
      <c r="CO206" s="518" t="str">
        <f>IF(AND(_F="B-767-300ER",'2024'!$I$4="CA",'2024'!$I$2=CO195),'2024DATA'!$H$13,"")</f>
        <v/>
      </c>
      <c r="CP206" s="518" t="str">
        <f>IF(AND(_F="B-767-300ER",'2024'!$I$4="CA",'2024'!$I$2=CP195),'2024DATA'!$I$13,"")</f>
        <v/>
      </c>
      <c r="CQ206" s="518" t="str">
        <f>IF(AND(_F="B-767-300ER",'2024'!$I$4="CA",'2024'!$I$2=CQ195),'2024DATA'!$J$13,"")</f>
        <v/>
      </c>
      <c r="CR206" s="518" t="str">
        <f>IF(AND(_F="B-767-300ER",'2024'!$I$4="CA",'2024'!$I$2=CR195),'2024DATA'!$K$13,"")</f>
        <v/>
      </c>
      <c r="CS206" s="518" t="str">
        <f>IF(AND(_F="B-767-300ER",'2024'!$I$4="CA",'2024'!$I$2=CS195),'2024DATA'!$L$13,"")</f>
        <v/>
      </c>
      <c r="CT206" s="518" t="str">
        <f>IF(AND(_F="B-767-300ER",'2024'!$I$4="CA",'2024'!$I$2=CT195),'2024DATA'!$M$13,"")</f>
        <v/>
      </c>
      <c r="CU206" s="520" t="str">
        <f>IF(AND(_F="B-767-300ER",'2024'!$I$4="CA",'2024'!$I$2=CU195),'2024DATA'!$N$13,"")</f>
        <v/>
      </c>
    </row>
    <row r="207" spans="16:99" x14ac:dyDescent="0.25">
      <c r="P207" s="940"/>
      <c r="Q207" s="13" t="s">
        <v>62</v>
      </c>
      <c r="R207" s="518" t="str">
        <f>IF(AND(_A="B-767-300ER",'2024'!$I$4="FO",'2024'!$I$2=R195),'2024DATA'!$C$14,"")</f>
        <v/>
      </c>
      <c r="S207" s="518" t="str">
        <f>IF(AND(_A="B-767-300ER",'2024'!$I$4="FO",'2024'!$I$2=S195),'2024DATA'!$D$14,"")</f>
        <v/>
      </c>
      <c r="T207" s="518" t="str">
        <f>IF(AND(_A="B-767-300ER",'2024'!$I$4="FO",'2024'!$I$2=T195),'2024DATA'!$E$14,"")</f>
        <v/>
      </c>
      <c r="U207" s="518" t="str">
        <f>IF(AND(_A="B-767-300ER",'2024'!$I$4="FO",'2024'!$I$2=U195),'2024DATA'!$F$14,"")</f>
        <v/>
      </c>
      <c r="V207" s="518" t="str">
        <f>IF(AND(_A="B-767-300ER",'2024'!$I$4="FO",'2024'!$I$2=V195),'2024DATA'!$G$14,"")</f>
        <v/>
      </c>
      <c r="W207" s="518" t="str">
        <f>IF(AND(_A="B-767-300ER",'2024'!$I$4="FO",'2024'!$I$2=W195),'2024DATA'!$H$14,"")</f>
        <v/>
      </c>
      <c r="X207" s="518" t="str">
        <f>IF(AND(_A="B-767-300ER",'2024'!$I$4="FO",'2024'!$I$2=X195),'2024DATA'!$I$14,"")</f>
        <v/>
      </c>
      <c r="Y207" s="518" t="str">
        <f>IF(AND(_A="B-767-300ER",'2024'!$I$4="FO",'2024'!$I$2=Y195),'2024DATA'!$J$14,"")</f>
        <v/>
      </c>
      <c r="Z207" s="518" t="str">
        <f>IF(AND(_A="B-767-300ER",'2024'!$I$4="FO",'2024'!$I$2=Z195),'2024DATA'!$K$14,"")</f>
        <v/>
      </c>
      <c r="AA207" s="518" t="str">
        <f>IF(AND(_A="B-767-300ER",'2024'!$I$4="FO",'2024'!$I$2=AA195),'2024DATA'!$L$14,"")</f>
        <v/>
      </c>
      <c r="AB207" s="518" t="str">
        <f>IF(AND(_A="B-767-300ER",'2024'!$I$4="FO",'2024'!$I$2=AB195),'2024DATA'!$M$14,"")</f>
        <v/>
      </c>
      <c r="AC207" s="520" t="str">
        <f>IF(AND(_A="B-767-300ER",'2024'!$I$4="FO",'2024'!$I$2=AC195),'2024DATA'!$N$14,"")</f>
        <v/>
      </c>
      <c r="AD207" s="940"/>
      <c r="AE207" s="13" t="s">
        <v>62</v>
      </c>
      <c r="AF207" s="518" t="str">
        <f>IF(AND(_B="B-767-300ER",'2024'!$I$4="FO",'2024'!$I$2=AF195),'2024DATA'!$C$14,"")</f>
        <v/>
      </c>
      <c r="AG207" s="518" t="str">
        <f>IF(AND(_B="B-767-300ER",'2024'!$I$4="FO",'2024'!$I$2=AG195),'2024DATA'!$D$14,"")</f>
        <v/>
      </c>
      <c r="AH207" s="518" t="str">
        <f>IF(AND(_B="B-767-300ER",'2024'!$I$4="FO",'2024'!$I$2=AH195),'2024DATA'!$E$14,"")</f>
        <v/>
      </c>
      <c r="AI207" s="518" t="str">
        <f>IF(AND(_B="B-767-300ER",'2024'!$I$4="FO",'2024'!$I$2=AI195),'2024DATA'!$F$14,"")</f>
        <v/>
      </c>
      <c r="AJ207" s="518" t="str">
        <f>IF(AND(_B="B-767-300ER",'2024'!$I$4="FO",'2024'!$I$2=AJ195),'2024DATA'!$G$14,"")</f>
        <v/>
      </c>
      <c r="AK207" s="518" t="str">
        <f>IF(AND(_B="B-767-300ER",'2024'!$I$4="FO",'2024'!$I$2=AK195),'2024DATA'!$H$14,"")</f>
        <v/>
      </c>
      <c r="AL207" s="518" t="str">
        <f>IF(AND(_B="B-767-300ER",'2024'!$I$4="FO",'2024'!$I$2=AL195),'2024DATA'!$I$14,"")</f>
        <v/>
      </c>
      <c r="AM207" s="518" t="str">
        <f>IF(AND(_B="B-767-300ER",'2024'!$I$4="FO",'2024'!$I$2=AM195),'2024DATA'!$J$14,"")</f>
        <v/>
      </c>
      <c r="AN207" s="518" t="str">
        <f>IF(AND(_B="B-767-300ER",'2024'!$I$4="FO",'2024'!$I$2=AN195),'2024DATA'!$K$14,"")</f>
        <v/>
      </c>
      <c r="AO207" s="518" t="str">
        <f>IF(AND(_B="B-767-300ER",'2024'!$I$4="FO",'2024'!$I$2=AO195),'2024DATA'!$L$14,"")</f>
        <v/>
      </c>
      <c r="AP207" s="518" t="str">
        <f>IF(AND(_B="B-767-300ER",'2024'!$I$4="FO",'2024'!$I$2=AP195),'2024DATA'!$M$14,"")</f>
        <v/>
      </c>
      <c r="AQ207" s="520" t="str">
        <f>IF(AND(_B="B-767-300ER",'2024'!$I$4="FO",'2024'!$I$2=AQ195),'2024DATA'!$N$14,"")</f>
        <v/>
      </c>
      <c r="AR207" s="940"/>
      <c r="AS207" s="13" t="s">
        <v>62</v>
      </c>
      <c r="AT207" s="518" t="str">
        <f>IF(AND(_C="B-767-300ER",'2024'!$I$4="FO",'2024'!$I$2=AT195),'2024DATA'!$C$14,"")</f>
        <v/>
      </c>
      <c r="AU207" s="518" t="str">
        <f>IF(AND(_C="B-767-300ER",'2024'!$I$4="FO",'2024'!$I$2=AU195),'2024DATA'!$D$14,"")</f>
        <v/>
      </c>
      <c r="AV207" s="518" t="str">
        <f>IF(AND(_C="B-767-300ER",'2024'!$I$4="FO",'2024'!$I$2=AV195),'2024DATA'!$E$14,"")</f>
        <v/>
      </c>
      <c r="AW207" s="518" t="str">
        <f>IF(AND(_C="B-767-300ER",'2024'!$I$4="FO",'2024'!$I$2=AW195),'2024DATA'!$F$14,"")</f>
        <v/>
      </c>
      <c r="AX207" s="518" t="str">
        <f>IF(AND(_C="B-767-300ER",'2024'!$I$4="FO",'2024'!$I$2=AX195),'2024DATA'!$G$14,"")</f>
        <v/>
      </c>
      <c r="AY207" s="518" t="str">
        <f>IF(AND(_C="B-767-300ER",'2024'!$I$4="FO",'2024'!$I$2=AY195),'2024DATA'!$H$14,"")</f>
        <v/>
      </c>
      <c r="AZ207" s="518" t="str">
        <f>IF(AND(_C="B-767-300ER",'2024'!$I$4="FO",'2024'!$I$2=AZ195),'2024DATA'!$I$14,"")</f>
        <v/>
      </c>
      <c r="BA207" s="518" t="str">
        <f>IF(AND(_C="B-767-300ER",'2024'!$I$4="FO",'2024'!$I$2=BA195),'2024DATA'!$J$14,"")</f>
        <v/>
      </c>
      <c r="BB207" s="518" t="str">
        <f>IF(AND(_C="B-767-300ER",'2024'!$I$4="FO",'2024'!$I$2=BB195),'2024DATA'!$K$14,"")</f>
        <v/>
      </c>
      <c r="BC207" s="518" t="str">
        <f>IF(AND(_C="B-767-300ER",'2024'!$I$4="FO",'2024'!$I$2=BC195),'2024DATA'!$L$14,"")</f>
        <v/>
      </c>
      <c r="BD207" s="518" t="str">
        <f>IF(AND(_C="B-767-300ER",'2024'!$I$4="FO",'2024'!$I$2=BD195),'2024DATA'!$M$14,"")</f>
        <v/>
      </c>
      <c r="BE207" s="520" t="str">
        <f>IF(AND(_C="B-767-300ER",'2024'!$I$4="FO",'2024'!$I$2=BE195),'2024DATA'!$N$14,"")</f>
        <v/>
      </c>
      <c r="BF207" s="940"/>
      <c r="BG207" s="13" t="s">
        <v>62</v>
      </c>
      <c r="BH207" s="518" t="str">
        <f>IF(AND(_D="B-767-300ER",'2024'!$I$4="FO",'2024'!$I$2=BH195),'2024DATA'!$C$14,"")</f>
        <v/>
      </c>
      <c r="BI207" s="518" t="str">
        <f>IF(AND(_D="B-767-300ER",'2024'!$I$4="FO",'2024'!$I$2=BI195),'2024DATA'!$D$14,"")</f>
        <v/>
      </c>
      <c r="BJ207" s="518" t="str">
        <f>IF(AND(_D="B-767-300ER",'2024'!$I$4="FO",'2024'!$I$2=BJ195),'2024DATA'!$E$14,"")</f>
        <v/>
      </c>
      <c r="BK207" s="518" t="str">
        <f>IF(AND(_D="B-767-300ER",'2024'!$I$4="FO",'2024'!$I$2=BK195),'2024DATA'!$F$14,"")</f>
        <v/>
      </c>
      <c r="BL207" s="518" t="str">
        <f>IF(AND(_D="B-767-300ER",'2024'!$I$4="FO",'2024'!$I$2=BL195),'2024DATA'!$G$14,"")</f>
        <v/>
      </c>
      <c r="BM207" s="518" t="str">
        <f>IF(AND(_D="B-767-300ER",'2024'!$I$4="FO",'2024'!$I$2=BM195),'2024DATA'!$H$14,"")</f>
        <v/>
      </c>
      <c r="BN207" s="518" t="str">
        <f>IF(AND(_D="B-767-300ER",'2024'!$I$4="FO",'2024'!$I$2=BN195),'2024DATA'!$I$14,"")</f>
        <v/>
      </c>
      <c r="BO207" s="518" t="str">
        <f>IF(AND(_D="B-767-300ER",'2024'!$I$4="FO",'2024'!$I$2=BO195),'2024DATA'!$J$14,"")</f>
        <v/>
      </c>
      <c r="BP207" s="518" t="str">
        <f>IF(AND(_D="B-767-300ER",'2024'!$I$4="FO",'2024'!$I$2=BP195),'2024DATA'!$K$14,"")</f>
        <v/>
      </c>
      <c r="BQ207" s="518" t="str">
        <f>IF(AND(_D="B-767-300ER",'2024'!$I$4="FO",'2024'!$I$2=BQ195),'2024DATA'!$L$14,"")</f>
        <v/>
      </c>
      <c r="BR207" s="518" t="str">
        <f>IF(AND(_D="B-767-300ER",'2024'!$I$4="FO",'2024'!$I$2=BR195),'2024DATA'!$M$14,"")</f>
        <v/>
      </c>
      <c r="BS207" s="520" t="str">
        <f>IF(AND(_D="B-767-300ER",'2024'!$I$4="FO",'2024'!$I$2=BS195),'2024DATA'!$N$14,"")</f>
        <v/>
      </c>
      <c r="BT207" s="940"/>
      <c r="BU207" s="13" t="s">
        <v>62</v>
      </c>
      <c r="BV207" s="518" t="str">
        <f>IF(AND(_E="B-767-300ER",'2024'!$I$4="FO",'2024'!$I$2=BV195),'2024DATA'!$C$14,"")</f>
        <v/>
      </c>
      <c r="BW207" s="518" t="str">
        <f>IF(AND(_E="B-767-300ER",'2024'!$I$4="FO",'2024'!$I$2=BW195),'2024DATA'!$D$14,"")</f>
        <v/>
      </c>
      <c r="BX207" s="518" t="str">
        <f>IF(AND(_E="B-767-300ER",'2024'!$I$4="FO",'2024'!$I$2=BX195),'2024DATA'!$E$14,"")</f>
        <v/>
      </c>
      <c r="BY207" s="518" t="str">
        <f>IF(AND(_E="B-767-300ER",'2024'!$I$4="FO",'2024'!$I$2=BY195),'2024DATA'!$F$14,"")</f>
        <v/>
      </c>
      <c r="BZ207" s="518" t="str">
        <f>IF(AND(_E="B-767-300ER",'2024'!$I$4="FO",'2024'!$I$2=BZ195),'2024DATA'!$G$14,"")</f>
        <v/>
      </c>
      <c r="CA207" s="518" t="str">
        <f>IF(AND(_E="B-767-300ER",'2024'!$I$4="FO",'2024'!$I$2=CA195),'2024DATA'!$H$14,"")</f>
        <v/>
      </c>
      <c r="CB207" s="518" t="str">
        <f>IF(AND(_E="B-767-300ER",'2024'!$I$4="FO",'2024'!$I$2=CB195),'2024DATA'!$I$14,"")</f>
        <v/>
      </c>
      <c r="CC207" s="518" t="str">
        <f>IF(AND(_E="B-767-300ER",'2024'!$I$4="FO",'2024'!$I$2=CC195),'2024DATA'!$J$14,"")</f>
        <v/>
      </c>
      <c r="CD207" s="518" t="str">
        <f>IF(AND(_E="B-767-300ER",'2024'!$I$4="FO",'2024'!$I$2=CD195),'2024DATA'!$K$14,"")</f>
        <v/>
      </c>
      <c r="CE207" s="518" t="str">
        <f>IF(AND(_E="B-767-300ER",'2024'!$I$4="FO",'2024'!$I$2=CE195),'2024DATA'!$L$14,"")</f>
        <v/>
      </c>
      <c r="CF207" s="518" t="str">
        <f>IF(AND(_E="B-767-300ER",'2024'!$I$4="FO",'2024'!$I$2=CF195),'2024DATA'!$M$14,"")</f>
        <v/>
      </c>
      <c r="CG207" s="520" t="str">
        <f>IF(AND(_E="B-767-300ER",'2024'!$I$4="FO",'2024'!$I$2=CG195),'2024DATA'!$N$14,"")</f>
        <v/>
      </c>
      <c r="CH207" s="940"/>
      <c r="CI207" s="13" t="s">
        <v>62</v>
      </c>
      <c r="CJ207" s="518" t="str">
        <f>IF(AND(_F="B-767-300ER",'2024'!$I$4="FO",'2024'!$I$2=CJ195),'2024DATA'!$C$14,"")</f>
        <v/>
      </c>
      <c r="CK207" s="518" t="str">
        <f>IF(AND(_F="B-767-300ER",'2024'!$I$4="FO",'2024'!$I$2=CK195),'2024DATA'!$D$14,"")</f>
        <v/>
      </c>
      <c r="CL207" s="518" t="str">
        <f>IF(AND(_F="B-767-300ER",'2024'!$I$4="FO",'2024'!$I$2=CL195),'2024DATA'!$E$14,"")</f>
        <v/>
      </c>
      <c r="CM207" s="518" t="str">
        <f>IF(AND(_F="B-767-300ER",'2024'!$I$4="FO",'2024'!$I$2=CM195),'2024DATA'!$F$14,"")</f>
        <v/>
      </c>
      <c r="CN207" s="518" t="str">
        <f>IF(AND(_F="B-767-300ER",'2024'!$I$4="FO",'2024'!$I$2=CN195),'2024DATA'!$G$14,"")</f>
        <v/>
      </c>
      <c r="CO207" s="518" t="str">
        <f>IF(AND(_F="B-767-300ER",'2024'!$I$4="FO",'2024'!$I$2=CO195),'2024DATA'!$H$14,"")</f>
        <v/>
      </c>
      <c r="CP207" s="518" t="str">
        <f>IF(AND(_F="B-767-300ER",'2024'!$I$4="FO",'2024'!$I$2=CP195),'2024DATA'!$I$14,"")</f>
        <v/>
      </c>
      <c r="CQ207" s="518" t="str">
        <f>IF(AND(_F="B-767-300ER",'2024'!$I$4="FO",'2024'!$I$2=CQ195),'2024DATA'!$J$14,"")</f>
        <v/>
      </c>
      <c r="CR207" s="518" t="str">
        <f>IF(AND(_F="B-767-300ER",'2024'!$I$4="FO",'2024'!$I$2=CR195),'2024DATA'!$K$14,"")</f>
        <v/>
      </c>
      <c r="CS207" s="518" t="str">
        <f>IF(AND(_F="B-767-300ER",'2024'!$I$4="FO",'2024'!$I$2=CS195),'2024DATA'!$L$14,"")</f>
        <v/>
      </c>
      <c r="CT207" s="518" t="str">
        <f>IF(AND(_F="B-767-300ER",'2024'!$I$4="FO",'2024'!$I$2=CT195),'2024DATA'!$M$14,"")</f>
        <v/>
      </c>
      <c r="CU207" s="520" t="str">
        <f>IF(AND(_F="B-767-300ER",'2024'!$I$4="FO",'2024'!$I$2=CU195),'2024DATA'!$N$14,"")</f>
        <v/>
      </c>
    </row>
    <row r="208" spans="16:99" x14ac:dyDescent="0.25">
      <c r="P208" s="940" t="s">
        <v>67</v>
      </c>
      <c r="Q208" s="13" t="s">
        <v>61</v>
      </c>
      <c r="R208" s="518" t="str">
        <f>IF(AND(_A="B-767-300",'2024'!$I$4="CA",'2024'!$I$2=R195),'2024DATA'!$C$15,"")</f>
        <v/>
      </c>
      <c r="S208" s="518" t="str">
        <f>IF(AND(_A="B-767-300",'2024'!$I$4="CA",'2024'!$I$2=S195),'2024DATA'!$D$15,"")</f>
        <v/>
      </c>
      <c r="T208" s="518" t="str">
        <f>IF(AND(_A="B-767-300",'2024'!$I$4="CA",'2024'!$I$2=T195),'2024DATA'!$E$15,"")</f>
        <v/>
      </c>
      <c r="U208" s="518" t="str">
        <f>IF(AND(_A="B-767-300",'2024'!$I$4="CA",'2024'!$I$2=U195),'2024DATA'!$F$15,"")</f>
        <v/>
      </c>
      <c r="V208" s="518" t="str">
        <f>IF(AND(_A="B-767-300",'2024'!$I$4="CA",'2024'!$I$2=V195),'2024DATA'!$G$15,"")</f>
        <v/>
      </c>
      <c r="W208" s="518" t="str">
        <f>IF(AND(_A="B-767-300",'2024'!$I$4="CA",'2024'!$I$2=W195),'2024DATA'!$H$15,"")</f>
        <v/>
      </c>
      <c r="X208" s="518" t="str">
        <f>IF(AND(_A="B-767-300",'2024'!$I$4="CA",'2024'!$I$2=X195),'2024DATA'!$I$15,"")</f>
        <v/>
      </c>
      <c r="Y208" s="518" t="str">
        <f>IF(AND(_A="B-767-300",'2024'!$I$4="CA",'2024'!$I$2=Y195),'2024DATA'!$J$15,"")</f>
        <v/>
      </c>
      <c r="Z208" s="518" t="str">
        <f>IF(AND(_A="B-767-300",'2024'!$I$4="CA",'2024'!$I$2=Z195),'2024DATA'!$K$15,"")</f>
        <v/>
      </c>
      <c r="AA208" s="518" t="str">
        <f>IF(AND(_A="B-767-300",'2024'!$I$4="CA",'2024'!$I$2=AA195),'2024DATA'!$L$15,"")</f>
        <v/>
      </c>
      <c r="AB208" s="518" t="str">
        <f>IF(AND(_A="B-767-300",'2024'!$I$4="CA",'2024'!$I$2=AB195),'2024DATA'!$M$15,"")</f>
        <v/>
      </c>
      <c r="AC208" s="520" t="str">
        <f>IF(AND(_A="B-767-300",'2024'!$I$4="CA",'2024'!$I$2=AC195),'2024DATA'!$N$15,"")</f>
        <v/>
      </c>
      <c r="AD208" s="940" t="s">
        <v>67</v>
      </c>
      <c r="AE208" s="13" t="s">
        <v>61</v>
      </c>
      <c r="AF208" s="518" t="str">
        <f>IF(AND(_B="B-767-300",'2024'!$I$4="CA",'2024'!$I$2=AF195),'2024DATA'!$C$15,"")</f>
        <v/>
      </c>
      <c r="AG208" s="518" t="str">
        <f>IF(AND(_B="B-767-300",'2024'!$I$4="CA",'2024'!$I$2=AG195),'2024DATA'!$D$15,"")</f>
        <v/>
      </c>
      <c r="AH208" s="518" t="str">
        <f>IF(AND(_B="B-767-300",'2024'!$I$4="CA",'2024'!$I$2=AH195),'2024DATA'!$E$15,"")</f>
        <v/>
      </c>
      <c r="AI208" s="518" t="str">
        <f>IF(AND(_B="B-767-300",'2024'!$I$4="CA",'2024'!$I$2=AI195),'2024DATA'!$F$15,"")</f>
        <v/>
      </c>
      <c r="AJ208" s="518" t="str">
        <f>IF(AND(_B="B-767-300",'2024'!$I$4="CA",'2024'!$I$2=AJ195),'2024DATA'!$G$15,"")</f>
        <v/>
      </c>
      <c r="AK208" s="518" t="str">
        <f>IF(AND(_B="B-767-300",'2024'!$I$4="CA",'2024'!$I$2=AK195),'2024DATA'!$H$15,"")</f>
        <v/>
      </c>
      <c r="AL208" s="518" t="str">
        <f>IF(AND(_B="B-767-300",'2024'!$I$4="CA",'2024'!$I$2=AL195),'2024DATA'!$I$15,"")</f>
        <v/>
      </c>
      <c r="AM208" s="518" t="str">
        <f>IF(AND(_B="B-767-300",'2024'!$I$4="CA",'2024'!$I$2=AM195),'2024DATA'!$J$15,"")</f>
        <v/>
      </c>
      <c r="AN208" s="518" t="str">
        <f>IF(AND(_B="B-767-300",'2024'!$I$4="CA",'2024'!$I$2=AN195),'2024DATA'!$K$15,"")</f>
        <v/>
      </c>
      <c r="AO208" s="518" t="str">
        <f>IF(AND(_B="B-767-300",'2024'!$I$4="CA",'2024'!$I$2=AO195),'2024DATA'!$L$15,"")</f>
        <v/>
      </c>
      <c r="AP208" s="518" t="str">
        <f>IF(AND(_B="B-767-300",'2024'!$I$4="CA",'2024'!$I$2=AP195),'2024DATA'!$M$15,"")</f>
        <v/>
      </c>
      <c r="AQ208" s="520" t="str">
        <f>IF(AND(_B="B-767-300",'2024'!$I$4="CA",'2024'!$I$2=AQ195),'2024DATA'!$N$15,"")</f>
        <v/>
      </c>
      <c r="AR208" s="940" t="s">
        <v>67</v>
      </c>
      <c r="AS208" s="13" t="s">
        <v>61</v>
      </c>
      <c r="AT208" s="518" t="str">
        <f>IF(AND(_C="B-767-300",'2024'!$I$4="CA",'2024'!$I$2=AT195),'2024DATA'!$C$15,"")</f>
        <v/>
      </c>
      <c r="AU208" s="518" t="str">
        <f>IF(AND(_C="B-767-300",'2024'!$I$4="CA",'2024'!$I$2=AU195),'2024DATA'!$D$15,"")</f>
        <v/>
      </c>
      <c r="AV208" s="518" t="str">
        <f>IF(AND(_C="B-767-300",'2024'!$I$4="CA",'2024'!$I$2=AV195),'2024DATA'!$E$15,"")</f>
        <v/>
      </c>
      <c r="AW208" s="518" t="str">
        <f>IF(AND(_C="B-767-300",'2024'!$I$4="CA",'2024'!$I$2=AW195),'2024DATA'!$F$15,"")</f>
        <v/>
      </c>
      <c r="AX208" s="518" t="str">
        <f>IF(AND(_C="B-767-300",'2024'!$I$4="CA",'2024'!$I$2=AX195),'2024DATA'!$G$15,"")</f>
        <v/>
      </c>
      <c r="AY208" s="518" t="str">
        <f>IF(AND(_C="B-767-300",'2024'!$I$4="CA",'2024'!$I$2=AY195),'2024DATA'!$H$15,"")</f>
        <v/>
      </c>
      <c r="AZ208" s="518" t="str">
        <f>IF(AND(_C="B-767-300",'2024'!$I$4="CA",'2024'!$I$2=AZ195),'2024DATA'!$I$15,"")</f>
        <v/>
      </c>
      <c r="BA208" s="518" t="str">
        <f>IF(AND(_C="B-767-300",'2024'!$I$4="CA",'2024'!$I$2=BA195),'2024DATA'!$J$15,"")</f>
        <v/>
      </c>
      <c r="BB208" s="518" t="str">
        <f>IF(AND(_C="B-767-300",'2024'!$I$4="CA",'2024'!$I$2=BB195),'2024DATA'!$K$15,"")</f>
        <v/>
      </c>
      <c r="BC208" s="518" t="str">
        <f>IF(AND(_C="B-767-300",'2024'!$I$4="CA",'2024'!$I$2=BC195),'2024DATA'!$L$15,"")</f>
        <v/>
      </c>
      <c r="BD208" s="518" t="str">
        <f>IF(AND(_C="B-767-300",'2024'!$I$4="CA",'2024'!$I$2=BD195),'2024DATA'!$M$15,"")</f>
        <v/>
      </c>
      <c r="BE208" s="520" t="str">
        <f>IF(AND(_C="B-767-300",'2024'!$I$4="CA",'2024'!$I$2=BE195),'2024DATA'!$N$15,"")</f>
        <v/>
      </c>
      <c r="BF208" s="940" t="s">
        <v>67</v>
      </c>
      <c r="BG208" s="13" t="s">
        <v>61</v>
      </c>
      <c r="BH208" s="518" t="str">
        <f>IF(AND(_D="B-767-300",'2024'!$I$4="CA",'2024'!$I$2=BH195),'2024DATA'!$C$15,"")</f>
        <v/>
      </c>
      <c r="BI208" s="518" t="str">
        <f>IF(AND(_D="B-767-300",'2024'!$I$4="CA",'2024'!$I$2=BI195),'2024DATA'!$D$15,"")</f>
        <v/>
      </c>
      <c r="BJ208" s="518" t="str">
        <f>IF(AND(_D="B-767-300",'2024'!$I$4="CA",'2024'!$I$2=BJ195),'2024DATA'!$E$15,"")</f>
        <v/>
      </c>
      <c r="BK208" s="518" t="str">
        <f>IF(AND(_D="B-767-300",'2024'!$I$4="CA",'2024'!$I$2=BK195),'2024DATA'!$F$15,"")</f>
        <v/>
      </c>
      <c r="BL208" s="518" t="str">
        <f>IF(AND(_D="B-767-300",'2024'!$I$4="CA",'2024'!$I$2=BL195),'2024DATA'!$G$15,"")</f>
        <v/>
      </c>
      <c r="BM208" s="518" t="str">
        <f>IF(AND(_D="B-767-300",'2024'!$I$4="CA",'2024'!$I$2=BM195),'2024DATA'!$H$15,"")</f>
        <v/>
      </c>
      <c r="BN208" s="518" t="str">
        <f>IF(AND(_D="B-767-300",'2024'!$I$4="CA",'2024'!$I$2=BN195),'2024DATA'!$I$15,"")</f>
        <v/>
      </c>
      <c r="BO208" s="518" t="str">
        <f>IF(AND(_D="B-767-300",'2024'!$I$4="CA",'2024'!$I$2=BO195),'2024DATA'!$J$15,"")</f>
        <v/>
      </c>
      <c r="BP208" s="518" t="str">
        <f>IF(AND(_D="B-767-300",'2024'!$I$4="CA",'2024'!$I$2=BP195),'2024DATA'!$K$15,"")</f>
        <v/>
      </c>
      <c r="BQ208" s="518" t="str">
        <f>IF(AND(_D="B-767-300",'2024'!$I$4="CA",'2024'!$I$2=BQ195),'2024DATA'!$L$15,"")</f>
        <v/>
      </c>
      <c r="BR208" s="518" t="str">
        <f>IF(AND(_D="B-767-300",'2024'!$I$4="CA",'2024'!$I$2=BR195),'2024DATA'!$M$15,"")</f>
        <v/>
      </c>
      <c r="BS208" s="520" t="str">
        <f>IF(AND(_D="B-767-300",'2024'!$I$4="CA",'2024'!$I$2=BS195),'2024DATA'!$N$15,"")</f>
        <v/>
      </c>
      <c r="BT208" s="940" t="s">
        <v>67</v>
      </c>
      <c r="BU208" s="13" t="s">
        <v>61</v>
      </c>
      <c r="BV208" s="518" t="str">
        <f>IF(AND(_E="B-767-300",'2024'!$I$4="CA",'2024'!$I$2=BV195),'2024DATA'!$C$15,"")</f>
        <v/>
      </c>
      <c r="BW208" s="518" t="str">
        <f>IF(AND(_E="B-767-300",'2024'!$I$4="CA",'2024'!$I$2=BW195),'2024DATA'!$D$15,"")</f>
        <v/>
      </c>
      <c r="BX208" s="518" t="str">
        <f>IF(AND(_E="B-767-300",'2024'!$I$4="CA",'2024'!$I$2=BX195),'2024DATA'!$E$15,"")</f>
        <v/>
      </c>
      <c r="BY208" s="518" t="str">
        <f>IF(AND(_E="B-767-300",'2024'!$I$4="CA",'2024'!$I$2=BY195),'2024DATA'!$F$15,"")</f>
        <v/>
      </c>
      <c r="BZ208" s="518" t="str">
        <f>IF(AND(_E="B-767-300",'2024'!$I$4="CA",'2024'!$I$2=BZ195),'2024DATA'!$G$15,"")</f>
        <v/>
      </c>
      <c r="CA208" s="518" t="str">
        <f>IF(AND(_E="B-767-300",'2024'!$I$4="CA",'2024'!$I$2=CA195),'2024DATA'!$H$15,"")</f>
        <v/>
      </c>
      <c r="CB208" s="518" t="str">
        <f>IF(AND(_E="B-767-300",'2024'!$I$4="CA",'2024'!$I$2=CB195),'2024DATA'!$I$15,"")</f>
        <v/>
      </c>
      <c r="CC208" s="518" t="str">
        <f>IF(AND(_E="B-767-300",'2024'!$I$4="CA",'2024'!$I$2=CC195),'2024DATA'!$J$15,"")</f>
        <v/>
      </c>
      <c r="CD208" s="518" t="str">
        <f>IF(AND(_E="B-767-300",'2024'!$I$4="CA",'2024'!$I$2=CD195),'2024DATA'!$K$15,"")</f>
        <v/>
      </c>
      <c r="CE208" s="518" t="str">
        <f>IF(AND(_E="B-767-300",'2024'!$I$4="CA",'2024'!$I$2=CE195),'2024DATA'!$L$15,"")</f>
        <v/>
      </c>
      <c r="CF208" s="518" t="str">
        <f>IF(AND(_E="B-767-300",'2024'!$I$4="CA",'2024'!$I$2=CF195),'2024DATA'!$M$15,"")</f>
        <v/>
      </c>
      <c r="CG208" s="520" t="str">
        <f>IF(AND(_E="B-767-300",'2024'!$I$4="CA",'2024'!$I$2=CG195),'2024DATA'!$N$15,"")</f>
        <v/>
      </c>
      <c r="CH208" s="940" t="s">
        <v>67</v>
      </c>
      <c r="CI208" s="13" t="s">
        <v>61</v>
      </c>
      <c r="CJ208" s="518" t="str">
        <f>IF(AND(_F="B-767-300",'2024'!$I$4="CA",'2024'!$I$2=CJ195),'2024DATA'!$C$15,"")</f>
        <v/>
      </c>
      <c r="CK208" s="518" t="str">
        <f>IF(AND(_F="B-767-300",'2024'!$I$4="CA",'2024'!$I$2=CK195),'2024DATA'!$D$15,"")</f>
        <v/>
      </c>
      <c r="CL208" s="518" t="str">
        <f>IF(AND(_F="B-767-300",'2024'!$I$4="CA",'2024'!$I$2=CL195),'2024DATA'!$E$15,"")</f>
        <v/>
      </c>
      <c r="CM208" s="518" t="str">
        <f>IF(AND(_F="B-767-300",'2024'!$I$4="CA",'2024'!$I$2=CM195),'2024DATA'!$F$15,"")</f>
        <v/>
      </c>
      <c r="CN208" s="518" t="str">
        <f>IF(AND(_F="B-767-300",'2024'!$I$4="CA",'2024'!$I$2=CN195),'2024DATA'!$G$15,"")</f>
        <v/>
      </c>
      <c r="CO208" s="518" t="str">
        <f>IF(AND(_F="B-767-300",'2024'!$I$4="CA",'2024'!$I$2=CO195),'2024DATA'!$H$15,"")</f>
        <v/>
      </c>
      <c r="CP208" s="518" t="str">
        <f>IF(AND(_F="B-767-300",'2024'!$I$4="CA",'2024'!$I$2=CP195),'2024DATA'!$I$15,"")</f>
        <v/>
      </c>
      <c r="CQ208" s="518" t="str">
        <f>IF(AND(_F="B-767-300",'2024'!$I$4="CA",'2024'!$I$2=CQ195),'2024DATA'!$J$15,"")</f>
        <v/>
      </c>
      <c r="CR208" s="518" t="str">
        <f>IF(AND(_F="B-767-300",'2024'!$I$4="CA",'2024'!$I$2=CR195),'2024DATA'!$K$15,"")</f>
        <v/>
      </c>
      <c r="CS208" s="518" t="str">
        <f>IF(AND(_F="B-767-300",'2024'!$I$4="CA",'2024'!$I$2=CS195),'2024DATA'!$L$15,"")</f>
        <v/>
      </c>
      <c r="CT208" s="518" t="str">
        <f>IF(AND(_F="B-767-300",'2024'!$I$4="CA",'2024'!$I$2=CT195),'2024DATA'!$M$15,"")</f>
        <v/>
      </c>
      <c r="CU208" s="520" t="str">
        <f>IF(AND(_F="B-767-300",'2024'!$I$4="CA",'2024'!$I$2=CU195),'2024DATA'!$N$15,"")</f>
        <v/>
      </c>
    </row>
    <row r="209" spans="16:99" x14ac:dyDescent="0.25">
      <c r="P209" s="940"/>
      <c r="Q209" s="13" t="s">
        <v>62</v>
      </c>
      <c r="R209" s="518" t="str">
        <f>IF(AND(_A="B-767-300",'2024'!$I$4="FO",'2024'!$I$2=R195),'2024DATA'!$C$16,"")</f>
        <v/>
      </c>
      <c r="S209" s="518" t="str">
        <f>IF(AND(_A="B-767-300",'2024'!$I$4="FO",'2024'!$I$2=S195),'2024DATA'!$D$16,"")</f>
        <v/>
      </c>
      <c r="T209" s="518" t="str">
        <f>IF(AND(_A="B-767-300",'2024'!$I$4="FO",'2024'!$I$2=T195),'2024DATA'!$E$16,"")</f>
        <v/>
      </c>
      <c r="U209" s="518" t="str">
        <f>IF(AND(_A="B-767-300",'2024'!$I$4="FO",'2024'!$I$2=U195),'2024DATA'!$F$16,"")</f>
        <v/>
      </c>
      <c r="V209" s="518" t="str">
        <f>IF(AND(_A="B-767-300",'2024'!$I$4="FO",'2024'!$I$2=V195),'2024DATA'!$G$16,"")</f>
        <v/>
      </c>
      <c r="W209" s="518" t="str">
        <f>IF(AND(_A="B-767-300",'2024'!$I$4="FO",'2024'!$I$2=W195),'2024DATA'!$H$16,"")</f>
        <v/>
      </c>
      <c r="X209" s="518" t="str">
        <f>IF(AND(_A="B-767-300",'2024'!$I$4="FO",'2024'!$I$2=X195),'2024DATA'!$I$16,"")</f>
        <v/>
      </c>
      <c r="Y209" s="518" t="str">
        <f>IF(AND(_A="B-767-300",'2024'!$I$4="FO",'2024'!$I$2=Y195),'2024DATA'!$J$16,"")</f>
        <v/>
      </c>
      <c r="Z209" s="518" t="str">
        <f>IF(AND(_A="B-767-300",'2024'!$I$4="FO",'2024'!$I$2=Z195),'2024DATA'!$K$16,"")</f>
        <v/>
      </c>
      <c r="AA209" s="518" t="str">
        <f>IF(AND(_A="B-767-300",'2024'!$I$4="FO",'2024'!$I$2=AA195),'2024DATA'!$L$16,"")</f>
        <v/>
      </c>
      <c r="AB209" s="518" t="str">
        <f>IF(AND(_A="B-767-300",'2024'!$I$4="FO",'2024'!$I$2=AB195),'2024DATA'!$M$16,"")</f>
        <v/>
      </c>
      <c r="AC209" s="520" t="str">
        <f>IF(AND(_A="B-767-300",'2024'!$I$4="FO",'2024'!$I$2=AC195),'2024DATA'!$N$16,"")</f>
        <v/>
      </c>
      <c r="AD209" s="940"/>
      <c r="AE209" s="13" t="s">
        <v>62</v>
      </c>
      <c r="AF209" s="518" t="str">
        <f>IF(AND(_B="B-767-300",'2024'!$I$4="FO",'2024'!$I$2=AF195),'2024DATA'!$C$16,"")</f>
        <v/>
      </c>
      <c r="AG209" s="518" t="str">
        <f>IF(AND(_B="B-767-300",'2024'!$I$4="FO",'2024'!$I$2=AG195),'2024DATA'!$D$16,"")</f>
        <v/>
      </c>
      <c r="AH209" s="518" t="str">
        <f>IF(AND(_B="B-767-300",'2024'!$I$4="FO",'2024'!$I$2=AH195),'2024DATA'!$E$16,"")</f>
        <v/>
      </c>
      <c r="AI209" s="518" t="str">
        <f>IF(AND(_B="B-767-300",'2024'!$I$4="FO",'2024'!$I$2=AI195),'2024DATA'!$F$16,"")</f>
        <v/>
      </c>
      <c r="AJ209" s="518" t="str">
        <f>IF(AND(_B="B-767-300",'2024'!$I$4="FO",'2024'!$I$2=AJ195),'2024DATA'!$G$16,"")</f>
        <v/>
      </c>
      <c r="AK209" s="518" t="str">
        <f>IF(AND(_B="B-767-300",'2024'!$I$4="FO",'2024'!$I$2=AK195),'2024DATA'!$H$16,"")</f>
        <v/>
      </c>
      <c r="AL209" s="518" t="str">
        <f>IF(AND(_B="B-767-300",'2024'!$I$4="FO",'2024'!$I$2=AL195),'2024DATA'!$I$16,"")</f>
        <v/>
      </c>
      <c r="AM209" s="518" t="str">
        <f>IF(AND(_B="B-767-300",'2024'!$I$4="FO",'2024'!$I$2=AM195),'2024DATA'!$J$16,"")</f>
        <v/>
      </c>
      <c r="AN209" s="518" t="str">
        <f>IF(AND(_B="B-767-300",'2024'!$I$4="FO",'2024'!$I$2=AN195),'2024DATA'!$K$16,"")</f>
        <v/>
      </c>
      <c r="AO209" s="518" t="str">
        <f>IF(AND(_B="B-767-300",'2024'!$I$4="FO",'2024'!$I$2=AO195),'2024DATA'!$L$16,"")</f>
        <v/>
      </c>
      <c r="AP209" s="518" t="str">
        <f>IF(AND(_B="B-767-300",'2024'!$I$4="FO",'2024'!$I$2=AP195),'2024DATA'!$M$16,"")</f>
        <v/>
      </c>
      <c r="AQ209" s="520" t="str">
        <f>IF(AND(_B="B-767-300",'2024'!$I$4="FO",'2024'!$I$2=AQ195),'2024DATA'!$N$16,"")</f>
        <v/>
      </c>
      <c r="AR209" s="940"/>
      <c r="AS209" s="13" t="s">
        <v>62</v>
      </c>
      <c r="AT209" s="518" t="str">
        <f>IF(AND(_C="B-767-300",'2024'!$I$4="FO",'2024'!$I$2=AT195),'2024DATA'!$C$16,"")</f>
        <v/>
      </c>
      <c r="AU209" s="518" t="str">
        <f>IF(AND(_C="B-767-300",'2024'!$I$4="FO",'2024'!$I$2=AU195),'2024DATA'!$D$16,"")</f>
        <v/>
      </c>
      <c r="AV209" s="518" t="str">
        <f>IF(AND(_C="B-767-300",'2024'!$I$4="FO",'2024'!$I$2=AV195),'2024DATA'!$E$16,"")</f>
        <v/>
      </c>
      <c r="AW209" s="518" t="str">
        <f>IF(AND(_C="B-767-300",'2024'!$I$4="FO",'2024'!$I$2=AW195),'2024DATA'!$F$16,"")</f>
        <v/>
      </c>
      <c r="AX209" s="518" t="str">
        <f>IF(AND(_C="B-767-300",'2024'!$I$4="FO",'2024'!$I$2=AX195),'2024DATA'!$G$16,"")</f>
        <v/>
      </c>
      <c r="AY209" s="518" t="str">
        <f>IF(AND(_C="B-767-300",'2024'!$I$4="FO",'2024'!$I$2=AY195),'2024DATA'!$H$16,"")</f>
        <v/>
      </c>
      <c r="AZ209" s="518" t="str">
        <f>IF(AND(_C="B-767-300",'2024'!$I$4="FO",'2024'!$I$2=AZ195),'2024DATA'!$I$16,"")</f>
        <v/>
      </c>
      <c r="BA209" s="518" t="str">
        <f>IF(AND(_C="B-767-300",'2024'!$I$4="FO",'2024'!$I$2=BA195),'2024DATA'!$J$16,"")</f>
        <v/>
      </c>
      <c r="BB209" s="518" t="str">
        <f>IF(AND(_C="B-767-300",'2024'!$I$4="FO",'2024'!$I$2=BB195),'2024DATA'!$K$16,"")</f>
        <v/>
      </c>
      <c r="BC209" s="518" t="str">
        <f>IF(AND(_C="B-767-300",'2024'!$I$4="FO",'2024'!$I$2=BC195),'2024DATA'!$L$16,"")</f>
        <v/>
      </c>
      <c r="BD209" s="518" t="str">
        <f>IF(AND(_C="B-767-300",'2024'!$I$4="FO",'2024'!$I$2=BD195),'2024DATA'!$M$16,"")</f>
        <v/>
      </c>
      <c r="BE209" s="520" t="str">
        <f>IF(AND(_C="B-767-300",'2024'!$I$4="FO",'2024'!$I$2=BE195),'2024DATA'!$N$16,"")</f>
        <v/>
      </c>
      <c r="BF209" s="940"/>
      <c r="BG209" s="13" t="s">
        <v>62</v>
      </c>
      <c r="BH209" s="518" t="str">
        <f>IF(AND(_D="B-767-300",'2024'!$I$4="FO",'2024'!$I$2=BH195),'2024DATA'!$C$16,"")</f>
        <v/>
      </c>
      <c r="BI209" s="518" t="str">
        <f>IF(AND(_D="B-767-300",'2024'!$I$4="FO",'2024'!$I$2=BI195),'2024DATA'!$D$16,"")</f>
        <v/>
      </c>
      <c r="BJ209" s="518" t="str">
        <f>IF(AND(_D="B-767-300",'2024'!$I$4="FO",'2024'!$I$2=BJ195),'2024DATA'!$E$16,"")</f>
        <v/>
      </c>
      <c r="BK209" s="518" t="str">
        <f>IF(AND(_D="B-767-300",'2024'!$I$4="FO",'2024'!$I$2=BK195),'2024DATA'!$F$16,"")</f>
        <v/>
      </c>
      <c r="BL209" s="518" t="str">
        <f>IF(AND(_D="B-767-300",'2024'!$I$4="FO",'2024'!$I$2=BL195),'2024DATA'!$G$16,"")</f>
        <v/>
      </c>
      <c r="BM209" s="518" t="str">
        <f>IF(AND(_D="B-767-300",'2024'!$I$4="FO",'2024'!$I$2=BM195),'2024DATA'!$H$16,"")</f>
        <v/>
      </c>
      <c r="BN209" s="518" t="str">
        <f>IF(AND(_D="B-767-300",'2024'!$I$4="FO",'2024'!$I$2=BN195),'2024DATA'!$I$16,"")</f>
        <v/>
      </c>
      <c r="BO209" s="518" t="str">
        <f>IF(AND(_D="B-767-300",'2024'!$I$4="FO",'2024'!$I$2=BO195),'2024DATA'!$J$16,"")</f>
        <v/>
      </c>
      <c r="BP209" s="518" t="str">
        <f>IF(AND(_D="B-767-300",'2024'!$I$4="FO",'2024'!$I$2=BP195),'2024DATA'!$K$16,"")</f>
        <v/>
      </c>
      <c r="BQ209" s="518" t="str">
        <f>IF(AND(_D="B-767-300",'2024'!$I$4="FO",'2024'!$I$2=BQ195),'2024DATA'!$L$16,"")</f>
        <v/>
      </c>
      <c r="BR209" s="518" t="str">
        <f>IF(AND(_D="B-767-300",'2024'!$I$4="FO",'2024'!$I$2=BR195),'2024DATA'!$M$16,"")</f>
        <v/>
      </c>
      <c r="BS209" s="520" t="str">
        <f>IF(AND(_D="B-767-300",'2024'!$I$4="FO",'2024'!$I$2=BS195),'2024DATA'!$N$16,"")</f>
        <v/>
      </c>
      <c r="BT209" s="940"/>
      <c r="BU209" s="13" t="s">
        <v>62</v>
      </c>
      <c r="BV209" s="518" t="str">
        <f>IF(AND(_E="B-767-300",'2024'!$I$4="FO",'2024'!$I$2=BV195),'2024DATA'!$C$16,"")</f>
        <v/>
      </c>
      <c r="BW209" s="518" t="str">
        <f>IF(AND(_E="B-767-300",'2024'!$I$4="FO",'2024'!$I$2=BW195),'2024DATA'!$D$16,"")</f>
        <v/>
      </c>
      <c r="BX209" s="518" t="str">
        <f>IF(AND(_E="B-767-300",'2024'!$I$4="FO",'2024'!$I$2=BX195),'2024DATA'!$E$16,"")</f>
        <v/>
      </c>
      <c r="BY209" s="518" t="str">
        <f>IF(AND(_E="B-767-300",'2024'!$I$4="FO",'2024'!$I$2=BY195),'2024DATA'!$F$16,"")</f>
        <v/>
      </c>
      <c r="BZ209" s="518" t="str">
        <f>IF(AND(_E="B-767-300",'2024'!$I$4="FO",'2024'!$I$2=BZ195),'2024DATA'!$G$16,"")</f>
        <v/>
      </c>
      <c r="CA209" s="518" t="str">
        <f>IF(AND(_E="B-767-300",'2024'!$I$4="FO",'2024'!$I$2=CA195),'2024DATA'!$H$16,"")</f>
        <v/>
      </c>
      <c r="CB209" s="518" t="str">
        <f>IF(AND(_E="B-767-300",'2024'!$I$4="FO",'2024'!$I$2=CB195),'2024DATA'!$I$16,"")</f>
        <v/>
      </c>
      <c r="CC209" s="518" t="str">
        <f>IF(AND(_E="B-767-300",'2024'!$I$4="FO",'2024'!$I$2=CC195),'2024DATA'!$J$16,"")</f>
        <v/>
      </c>
      <c r="CD209" s="518" t="str">
        <f>IF(AND(_E="B-767-300",'2024'!$I$4="FO",'2024'!$I$2=CD195),'2024DATA'!$K$16,"")</f>
        <v/>
      </c>
      <c r="CE209" s="518" t="str">
        <f>IF(AND(_E="B-767-300",'2024'!$I$4="FO",'2024'!$I$2=CE195),'2024DATA'!$L$16,"")</f>
        <v/>
      </c>
      <c r="CF209" s="518" t="str">
        <f>IF(AND(_E="B-767-300",'2024'!$I$4="FO",'2024'!$I$2=CF195),'2024DATA'!$M$16,"")</f>
        <v/>
      </c>
      <c r="CG209" s="520" t="str">
        <f>IF(AND(_E="B-767-300",'2024'!$I$4="FO",'2024'!$I$2=CG195),'2024DATA'!$N$16,"")</f>
        <v/>
      </c>
      <c r="CH209" s="940"/>
      <c r="CI209" s="13" t="s">
        <v>62</v>
      </c>
      <c r="CJ209" s="518" t="str">
        <f>IF(AND(_F="B-767-300",'2024'!$I$4="FO",'2024'!$I$2=CJ195),'2024DATA'!$C$16,"")</f>
        <v/>
      </c>
      <c r="CK209" s="518" t="str">
        <f>IF(AND(_F="B-767-300",'2024'!$I$4="FO",'2024'!$I$2=CK195),'2024DATA'!$D$16,"")</f>
        <v/>
      </c>
      <c r="CL209" s="518" t="str">
        <f>IF(AND(_F="B-767-300",'2024'!$I$4="FO",'2024'!$I$2=CL195),'2024DATA'!$E$16,"")</f>
        <v/>
      </c>
      <c r="CM209" s="518" t="str">
        <f>IF(AND(_F="B-767-300",'2024'!$I$4="FO",'2024'!$I$2=CM195),'2024DATA'!$F$16,"")</f>
        <v/>
      </c>
      <c r="CN209" s="518" t="str">
        <f>IF(AND(_F="B-767-300",'2024'!$I$4="FO",'2024'!$I$2=CN195),'2024DATA'!$G$16,"")</f>
        <v/>
      </c>
      <c r="CO209" s="518" t="str">
        <f>IF(AND(_F="B-767-300",'2024'!$I$4="FO",'2024'!$I$2=CO195),'2024DATA'!$H$16,"")</f>
        <v/>
      </c>
      <c r="CP209" s="518" t="str">
        <f>IF(AND(_F="B-767-300",'2024'!$I$4="FO",'2024'!$I$2=CP195),'2024DATA'!$I$16,"")</f>
        <v/>
      </c>
      <c r="CQ209" s="518" t="str">
        <f>IF(AND(_F="B-767-300",'2024'!$I$4="FO",'2024'!$I$2=CQ195),'2024DATA'!$J$16,"")</f>
        <v/>
      </c>
      <c r="CR209" s="518" t="str">
        <f>IF(AND(_F="B-767-300",'2024'!$I$4="FO",'2024'!$I$2=CR195),'2024DATA'!$K$16,"")</f>
        <v/>
      </c>
      <c r="CS209" s="518" t="str">
        <f>IF(AND(_F="B-767-300",'2024'!$I$4="FO",'2024'!$I$2=CS195),'2024DATA'!$L$16,"")</f>
        <v/>
      </c>
      <c r="CT209" s="518" t="str">
        <f>IF(AND(_F="B-767-300",'2024'!$I$4="FO",'2024'!$I$2=CT195),'2024DATA'!$M$16,"")</f>
        <v/>
      </c>
      <c r="CU209" s="520" t="str">
        <f>IF(AND(_F="B-767-300",'2024'!$I$4="FO",'2024'!$I$2=CU195),'2024DATA'!$N$16,"")</f>
        <v/>
      </c>
    </row>
    <row r="210" spans="16:99" x14ac:dyDescent="0.25">
      <c r="P210" s="940" t="s">
        <v>68</v>
      </c>
      <c r="Q210" s="13" t="s">
        <v>61</v>
      </c>
      <c r="R210" s="518" t="str">
        <f>IF(AND(_A="B-767-200",'2024'!$I$4="CA",'2024'!$I$2=R195),'2024DATA'!$C$17,"")</f>
        <v/>
      </c>
      <c r="S210" s="518" t="str">
        <f>IF(AND(_A="B-767-200",'2024'!$I$4="CA",'2024'!$I$2=S195),'2024DATA'!$D$17,"")</f>
        <v/>
      </c>
      <c r="T210" s="518" t="str">
        <f>IF(AND(_A="B-767-200",'2024'!$I$4="CA",'2024'!$I$2=T195),'2024DATA'!$E$17,"")</f>
        <v/>
      </c>
      <c r="U210" s="518" t="str">
        <f>IF(AND(_A="B-767-200",'2024'!$I$4="CA",'2024'!$I$2=U195),'2024DATA'!$F$17,"")</f>
        <v/>
      </c>
      <c r="V210" s="518" t="str">
        <f>IF(AND(_A="B-767-200",'2024'!$I$4="CA",'2024'!$I$2=V195),'2024DATA'!$G$17,"")</f>
        <v/>
      </c>
      <c r="W210" s="518" t="str">
        <f>IF(AND(_A="B-767-200",'2024'!$I$4="CA",'2024'!$I$2=W195),'2024DATA'!$H$17,"")</f>
        <v/>
      </c>
      <c r="X210" s="518" t="str">
        <f>IF(AND(_A="B-767-200",'2024'!$I$4="CA",'2024'!$I$2=X195),'2024DATA'!$I$17,"")</f>
        <v/>
      </c>
      <c r="Y210" s="518" t="str">
        <f>IF(AND(_A="B-767-200",'2024'!$I$4="CA",'2024'!$I$2=Y195),'2024DATA'!$J$17,"")</f>
        <v/>
      </c>
      <c r="Z210" s="518" t="str">
        <f>IF(AND(_A="B-767-200",'2024'!$I$4="CA",'2024'!$I$2=Z195),'2024DATA'!$K$17,"")</f>
        <v/>
      </c>
      <c r="AA210" s="518" t="str">
        <f>IF(AND(_A="B-767-200",'2024'!$I$4="CA",'2024'!$I$2=AA195),'2024DATA'!$L$17,"")</f>
        <v/>
      </c>
      <c r="AB210" s="518" t="str">
        <f>IF(AND(_A="B-767-200",'2024'!$I$4="CA",'2024'!$I$2=AB195),'2024DATA'!$M$17,"")</f>
        <v/>
      </c>
      <c r="AC210" s="520" t="str">
        <f>IF(AND(_A="B-767-200",'2024'!$I$4="CA",'2024'!$I$2=AC195),'2024DATA'!$N$17,"")</f>
        <v/>
      </c>
      <c r="AD210" s="940" t="s">
        <v>68</v>
      </c>
      <c r="AE210" s="13" t="s">
        <v>61</v>
      </c>
      <c r="AF210" s="518" t="str">
        <f>IF(AND(_B="B-767-200",'2024'!$I$4="CA",'2024'!$I$2=AF195),'2024DATA'!$C$17,"")</f>
        <v/>
      </c>
      <c r="AG210" s="518" t="str">
        <f>IF(AND(_B="B-767-200",'2024'!$I$4="CA",'2024'!$I$2=AG195),'2024DATA'!$D$17,"")</f>
        <v/>
      </c>
      <c r="AH210" s="518" t="str">
        <f>IF(AND(_B="B-767-200",'2024'!$I$4="CA",'2024'!$I$2=AH195),'2024DATA'!$E$17,"")</f>
        <v/>
      </c>
      <c r="AI210" s="518" t="str">
        <f>IF(AND(_B="B-767-200",'2024'!$I$4="CA",'2024'!$I$2=AI195),'2024DATA'!$F$17,"")</f>
        <v/>
      </c>
      <c r="AJ210" s="518" t="str">
        <f>IF(AND(_B="B-767-200",'2024'!$I$4="CA",'2024'!$I$2=AJ195),'2024DATA'!$G$17,"")</f>
        <v/>
      </c>
      <c r="AK210" s="518" t="str">
        <f>IF(AND(_B="B-767-200",'2024'!$I$4="CA",'2024'!$I$2=AK195),'2024DATA'!$H$17,"")</f>
        <v/>
      </c>
      <c r="AL210" s="518" t="str">
        <f>IF(AND(_B="B-767-200",'2024'!$I$4="CA",'2024'!$I$2=AL195),'2024DATA'!$I$17,"")</f>
        <v/>
      </c>
      <c r="AM210" s="518" t="str">
        <f>IF(AND(_B="B-767-200",'2024'!$I$4="CA",'2024'!$I$2=AM195),'2024DATA'!$J$17,"")</f>
        <v/>
      </c>
      <c r="AN210" s="518" t="str">
        <f>IF(AND(_B="B-767-200",'2024'!$I$4="CA",'2024'!$I$2=AN195),'2024DATA'!$K$17,"")</f>
        <v/>
      </c>
      <c r="AO210" s="518" t="str">
        <f>IF(AND(_B="B-767-200",'2024'!$I$4="CA",'2024'!$I$2=AO195),'2024DATA'!$L$17,"")</f>
        <v/>
      </c>
      <c r="AP210" s="518" t="str">
        <f>IF(AND(_B="B-767-200",'2024'!$I$4="CA",'2024'!$I$2=AP195),'2024DATA'!$M$17,"")</f>
        <v/>
      </c>
      <c r="AQ210" s="520" t="str">
        <f>IF(AND(_B="B-767-200",'2024'!$I$4="CA",'2024'!$I$2=AQ195),'2024DATA'!$N$17,"")</f>
        <v/>
      </c>
      <c r="AR210" s="940" t="s">
        <v>68</v>
      </c>
      <c r="AS210" s="13" t="s">
        <v>61</v>
      </c>
      <c r="AT210" s="518" t="str">
        <f>IF(AND(_C="B-767-200",'2024'!$I$4="CA",'2024'!$I$2=AT195),'2024DATA'!$C$17,"")</f>
        <v/>
      </c>
      <c r="AU210" s="518" t="str">
        <f>IF(AND(_C="B-767-200",'2024'!$I$4="CA",'2024'!$I$2=AU195),'2024DATA'!$D$17,"")</f>
        <v/>
      </c>
      <c r="AV210" s="518" t="str">
        <f>IF(AND(_C="B-767-200",'2024'!$I$4="CA",'2024'!$I$2=AV195),'2024DATA'!$E$17,"")</f>
        <v/>
      </c>
      <c r="AW210" s="518" t="str">
        <f>IF(AND(_C="B-767-200",'2024'!$I$4="CA",'2024'!$I$2=AW195),'2024DATA'!$F$17,"")</f>
        <v/>
      </c>
      <c r="AX210" s="518" t="str">
        <f>IF(AND(_C="B-767-200",'2024'!$I$4="CA",'2024'!$I$2=AX195),'2024DATA'!$G$17,"")</f>
        <v/>
      </c>
      <c r="AY210" s="518" t="str">
        <f>IF(AND(_C="B-767-200",'2024'!$I$4="CA",'2024'!$I$2=AY195),'2024DATA'!$H$17,"")</f>
        <v/>
      </c>
      <c r="AZ210" s="518" t="str">
        <f>IF(AND(_C="B-767-200",'2024'!$I$4="CA",'2024'!$I$2=AZ195),'2024DATA'!$I$17,"")</f>
        <v/>
      </c>
      <c r="BA210" s="518" t="str">
        <f>IF(AND(_C="B-767-200",'2024'!$I$4="CA",'2024'!$I$2=BA195),'2024DATA'!$J$17,"")</f>
        <v/>
      </c>
      <c r="BB210" s="518" t="str">
        <f>IF(AND(_C="B-767-200",'2024'!$I$4="CA",'2024'!$I$2=BB195),'2024DATA'!$K$17,"")</f>
        <v/>
      </c>
      <c r="BC210" s="518" t="str">
        <f>IF(AND(_C="B-767-200",'2024'!$I$4="CA",'2024'!$I$2=BC195),'2024DATA'!$L$17,"")</f>
        <v/>
      </c>
      <c r="BD210" s="518" t="str">
        <f>IF(AND(_C="B-767-200",'2024'!$I$4="CA",'2024'!$I$2=BD195),'2024DATA'!$M$17,"")</f>
        <v/>
      </c>
      <c r="BE210" s="520" t="str">
        <f>IF(AND(_C="B-767-200",'2024'!$I$4="CA",'2024'!$I$2=BE195),'2024DATA'!$N$17,"")</f>
        <v/>
      </c>
      <c r="BF210" s="940" t="s">
        <v>68</v>
      </c>
      <c r="BG210" s="13" t="s">
        <v>61</v>
      </c>
      <c r="BH210" s="518" t="str">
        <f>IF(AND(_D="B-767-200",'2024'!$I$4="CA",'2024'!$I$2=BH195),'2024DATA'!$C$17,"")</f>
        <v/>
      </c>
      <c r="BI210" s="518" t="str">
        <f>IF(AND(_D="B-767-200",'2024'!$I$4="CA",'2024'!$I$2=BI195),'2024DATA'!$D$17,"")</f>
        <v/>
      </c>
      <c r="BJ210" s="518" t="str">
        <f>IF(AND(_D="B-767-200",'2024'!$I$4="CA",'2024'!$I$2=BJ195),'2024DATA'!$E$17,"")</f>
        <v/>
      </c>
      <c r="BK210" s="518" t="str">
        <f>IF(AND(_D="B-767-200",'2024'!$I$4="CA",'2024'!$I$2=BK195),'2024DATA'!$F$17,"")</f>
        <v/>
      </c>
      <c r="BL210" s="518" t="str">
        <f>IF(AND(_D="B-767-200",'2024'!$I$4="CA",'2024'!$I$2=BL195),'2024DATA'!$G$17,"")</f>
        <v/>
      </c>
      <c r="BM210" s="518" t="str">
        <f>IF(AND(_D="B-767-200",'2024'!$I$4="CA",'2024'!$I$2=BM195),'2024DATA'!$H$17,"")</f>
        <v/>
      </c>
      <c r="BN210" s="518" t="str">
        <f>IF(AND(_D="B-767-200",'2024'!$I$4="CA",'2024'!$I$2=BN195),'2024DATA'!$I$17,"")</f>
        <v/>
      </c>
      <c r="BO210" s="518" t="str">
        <f>IF(AND(_D="B-767-200",'2024'!$I$4="CA",'2024'!$I$2=BO195),'2024DATA'!$J$17,"")</f>
        <v/>
      </c>
      <c r="BP210" s="518" t="str">
        <f>IF(AND(_D="B-767-200",'2024'!$I$4="CA",'2024'!$I$2=BP195),'2024DATA'!$K$17,"")</f>
        <v/>
      </c>
      <c r="BQ210" s="518" t="str">
        <f>IF(AND(_D="B-767-200",'2024'!$I$4="CA",'2024'!$I$2=BQ195),'2024DATA'!$L$17,"")</f>
        <v/>
      </c>
      <c r="BR210" s="518" t="str">
        <f>IF(AND(_D="B-767-200",'2024'!$I$4="CA",'2024'!$I$2=BR195),'2024DATA'!$M$17,"")</f>
        <v/>
      </c>
      <c r="BS210" s="520" t="str">
        <f>IF(AND(_D="B-767-200",'2024'!$I$4="CA",'2024'!$I$2=BS195),'2024DATA'!$N$17,"")</f>
        <v/>
      </c>
      <c r="BT210" s="940" t="s">
        <v>68</v>
      </c>
      <c r="BU210" s="13" t="s">
        <v>61</v>
      </c>
      <c r="BV210" s="518" t="str">
        <f>IF(AND(_E="B-767-200",'2024'!$I$4="CA",'2024'!$I$2=BV195),'2024DATA'!$C$17,"")</f>
        <v/>
      </c>
      <c r="BW210" s="518" t="str">
        <f>IF(AND(_E="B-767-200",'2024'!$I$4="CA",'2024'!$I$2=BW195),'2024DATA'!$D$17,"")</f>
        <v/>
      </c>
      <c r="BX210" s="518" t="str">
        <f>IF(AND(_E="B-767-200",'2024'!$I$4="CA",'2024'!$I$2=BX195),'2024DATA'!$E$17,"")</f>
        <v/>
      </c>
      <c r="BY210" s="518" t="str">
        <f>IF(AND(_E="B-767-200",'2024'!$I$4="CA",'2024'!$I$2=BY195),'2024DATA'!$F$17,"")</f>
        <v/>
      </c>
      <c r="BZ210" s="518" t="str">
        <f>IF(AND(_E="B-767-200",'2024'!$I$4="CA",'2024'!$I$2=BZ195),'2024DATA'!$G$17,"")</f>
        <v/>
      </c>
      <c r="CA210" s="518" t="str">
        <f>IF(AND(_E="B-767-200",'2024'!$I$4="CA",'2024'!$I$2=CA195),'2024DATA'!$H$17,"")</f>
        <v/>
      </c>
      <c r="CB210" s="518" t="str">
        <f>IF(AND(_E="B-767-200",'2024'!$I$4="CA",'2024'!$I$2=CB195),'2024DATA'!$I$17,"")</f>
        <v/>
      </c>
      <c r="CC210" s="518" t="str">
        <f>IF(AND(_E="B-767-200",'2024'!$I$4="CA",'2024'!$I$2=CC195),'2024DATA'!$J$17,"")</f>
        <v/>
      </c>
      <c r="CD210" s="518" t="str">
        <f>IF(AND(_E="B-767-200",'2024'!$I$4="CA",'2024'!$I$2=CD195),'2024DATA'!$K$17,"")</f>
        <v/>
      </c>
      <c r="CE210" s="518" t="str">
        <f>IF(AND(_E="B-767-200",'2024'!$I$4="CA",'2024'!$I$2=CE195),'2024DATA'!$L$17,"")</f>
        <v/>
      </c>
      <c r="CF210" s="518" t="str">
        <f>IF(AND(_E="B-767-200",'2024'!$I$4="CA",'2024'!$I$2=CF195),'2024DATA'!$M$17,"")</f>
        <v/>
      </c>
      <c r="CG210" s="520" t="str">
        <f>IF(AND(_E="B-767-200",'2024'!$I$4="CA",'2024'!$I$2=CG195),'2024DATA'!$N$17,"")</f>
        <v/>
      </c>
      <c r="CH210" s="940" t="s">
        <v>68</v>
      </c>
      <c r="CI210" s="13" t="s">
        <v>61</v>
      </c>
      <c r="CJ210" s="518" t="str">
        <f>IF(AND(_F="B-767-200",'2024'!$I$4="CA",'2024'!$I$2=CJ195),'2024DATA'!$C$17,"")</f>
        <v/>
      </c>
      <c r="CK210" s="518" t="str">
        <f>IF(AND(_F="B-767-200",'2024'!$I$4="CA",'2024'!$I$2=CK195),'2024DATA'!$D$17,"")</f>
        <v/>
      </c>
      <c r="CL210" s="518" t="str">
        <f>IF(AND(_F="B-767-200",'2024'!$I$4="CA",'2024'!$I$2=CL195),'2024DATA'!$E$17,"")</f>
        <v/>
      </c>
      <c r="CM210" s="518" t="str">
        <f>IF(AND(_F="B-767-200",'2024'!$I$4="CA",'2024'!$I$2=CM195),'2024DATA'!$F$17,"")</f>
        <v/>
      </c>
      <c r="CN210" s="518" t="str">
        <f>IF(AND(_F="B-767-200",'2024'!$I$4="CA",'2024'!$I$2=CN195),'2024DATA'!$G$17,"")</f>
        <v/>
      </c>
      <c r="CO210" s="518" t="str">
        <f>IF(AND(_F="B-767-200",'2024'!$I$4="CA",'2024'!$I$2=CO195),'2024DATA'!$H$17,"")</f>
        <v/>
      </c>
      <c r="CP210" s="518" t="str">
        <f>IF(AND(_F="B-767-200",'2024'!$I$4="CA",'2024'!$I$2=CP195),'2024DATA'!$I$17,"")</f>
        <v/>
      </c>
      <c r="CQ210" s="518" t="str">
        <f>IF(AND(_F="B-767-200",'2024'!$I$4="CA",'2024'!$I$2=CQ195),'2024DATA'!$J$17,"")</f>
        <v/>
      </c>
      <c r="CR210" s="518" t="str">
        <f>IF(AND(_F="B-767-200",'2024'!$I$4="CA",'2024'!$I$2=CR195),'2024DATA'!$K$17,"")</f>
        <v/>
      </c>
      <c r="CS210" s="518" t="str">
        <f>IF(AND(_F="B-767-200",'2024'!$I$4="CA",'2024'!$I$2=CS195),'2024DATA'!$L$17,"")</f>
        <v/>
      </c>
      <c r="CT210" s="518" t="str">
        <f>IF(AND(_F="B-767-200",'2024'!$I$4="CA",'2024'!$I$2=CT195),'2024DATA'!$M$17,"")</f>
        <v/>
      </c>
      <c r="CU210" s="520" t="str">
        <f>IF(AND(_F="B-767-200",'2024'!$I$4="CA",'2024'!$I$2=CU195),'2024DATA'!$N$17,"")</f>
        <v/>
      </c>
    </row>
    <row r="211" spans="16:99" x14ac:dyDescent="0.25">
      <c r="P211" s="940"/>
      <c r="Q211" s="13" t="s">
        <v>62</v>
      </c>
      <c r="R211" s="518" t="str">
        <f>IF(AND(_A="B-767-200",'2024'!$I$4="FO",'2024'!$I$2=R195),'2024DATA'!$C$18,"")</f>
        <v/>
      </c>
      <c r="S211" s="518" t="str">
        <f>IF(AND(_A="B-767-200",'2024'!$I$4="FO",'2024'!$I$2=S195),'2024DATA'!$D$18,"")</f>
        <v/>
      </c>
      <c r="T211" s="518" t="str">
        <f>IF(AND(_A="B-767-200",'2024'!$I$4="FO",'2024'!$I$2=T195),'2024DATA'!$E$18,"")</f>
        <v/>
      </c>
      <c r="U211" s="518" t="str">
        <f>IF(AND(_A="B-767-200",'2024'!$I$4="FO",'2024'!$I$2=U195),'2024DATA'!$F$18,"")</f>
        <v/>
      </c>
      <c r="V211" s="518" t="str">
        <f>IF(AND(_A="B-767-200",'2024'!$I$4="FO",'2024'!$I$2=V195),'2024DATA'!$G$18,"")</f>
        <v/>
      </c>
      <c r="W211" s="518" t="str">
        <f>IF(AND(_A="B-767-200",'2024'!$I$4="FO",'2024'!$I$2=W195),'2024DATA'!$H$18,"")</f>
        <v/>
      </c>
      <c r="X211" s="518" t="str">
        <f>IF(AND(_A="B-767-200",'2024'!$I$4="FO",'2024'!$I$2=X195),'2024DATA'!$I$18,"")</f>
        <v/>
      </c>
      <c r="Y211" s="518" t="str">
        <f>IF(AND(_A="B-767-200",'2024'!$I$4="FO",'2024'!$I$2=Y195),'2024DATA'!$J$18,"")</f>
        <v/>
      </c>
      <c r="Z211" s="518" t="str">
        <f>IF(AND(_A="B-767-200",'2024'!$I$4="FO",'2024'!$I$2=Z195),'2024DATA'!$K$18,"")</f>
        <v/>
      </c>
      <c r="AA211" s="518" t="str">
        <f>IF(AND(_A="B-767-200",'2024'!$I$4="FO",'2024'!$I$2=AA195),'2024DATA'!$L$18,"")</f>
        <v/>
      </c>
      <c r="AB211" s="518" t="str">
        <f>IF(AND(_A="B-767-200",'2024'!$I$4="FO",'2024'!$I$2=AB195),'2024DATA'!$M$18,"")</f>
        <v/>
      </c>
      <c r="AC211" s="520" t="str">
        <f>IF(AND(_A="B-767-200",'2024'!$I$4="FO",'2024'!$I$2=AC195),'2024DATA'!$N$18,"")</f>
        <v/>
      </c>
      <c r="AD211" s="940"/>
      <c r="AE211" s="13" t="s">
        <v>62</v>
      </c>
      <c r="AF211" s="518" t="str">
        <f>IF(AND(_B="B-767-200",'2024'!$I$4="FO",'2024'!$I$2=AF195),'2024DATA'!$C$18,"")</f>
        <v/>
      </c>
      <c r="AG211" s="518" t="str">
        <f>IF(AND(_B="B-767-200",'2024'!$I$4="FO",'2024'!$I$2=AG195),'2024DATA'!$D$18,"")</f>
        <v/>
      </c>
      <c r="AH211" s="518" t="str">
        <f>IF(AND(_B="B-767-200",'2024'!$I$4="FO",'2024'!$I$2=AH195),'2024DATA'!$E$18,"")</f>
        <v/>
      </c>
      <c r="AI211" s="518" t="str">
        <f>IF(AND(_B="B-767-200",'2024'!$I$4="FO",'2024'!$I$2=AI195),'2024DATA'!$F$18,"")</f>
        <v/>
      </c>
      <c r="AJ211" s="518" t="str">
        <f>IF(AND(_B="B-767-200",'2024'!$I$4="FO",'2024'!$I$2=AJ195),'2024DATA'!$G$18,"")</f>
        <v/>
      </c>
      <c r="AK211" s="518" t="str">
        <f>IF(AND(_B="B-767-200",'2024'!$I$4="FO",'2024'!$I$2=AK195),'2024DATA'!$H$18,"")</f>
        <v/>
      </c>
      <c r="AL211" s="518" t="str">
        <f>IF(AND(_B="B-767-200",'2024'!$I$4="FO",'2024'!$I$2=AL195),'2024DATA'!$I$18,"")</f>
        <v/>
      </c>
      <c r="AM211" s="518" t="str">
        <f>IF(AND(_B="B-767-200",'2024'!$I$4="FO",'2024'!$I$2=AM195),'2024DATA'!$J$18,"")</f>
        <v/>
      </c>
      <c r="AN211" s="518" t="str">
        <f>IF(AND(_B="B-767-200",'2024'!$I$4="FO",'2024'!$I$2=AN195),'2024DATA'!$K$18,"")</f>
        <v/>
      </c>
      <c r="AO211" s="518" t="str">
        <f>IF(AND(_B="B-767-200",'2024'!$I$4="FO",'2024'!$I$2=AO195),'2024DATA'!$L$18,"")</f>
        <v/>
      </c>
      <c r="AP211" s="518" t="str">
        <f>IF(AND(_B="B-767-200",'2024'!$I$4="FO",'2024'!$I$2=AP195),'2024DATA'!$M$18,"")</f>
        <v/>
      </c>
      <c r="AQ211" s="520" t="str">
        <f>IF(AND(_B="B-767-200",'2024'!$I$4="FO",'2024'!$I$2=AQ195),'2024DATA'!$N$18,"")</f>
        <v/>
      </c>
      <c r="AR211" s="940"/>
      <c r="AS211" s="13" t="s">
        <v>62</v>
      </c>
      <c r="AT211" s="518" t="str">
        <f>IF(AND(_C="B-767-200",'2024'!$I$4="FO",'2024'!$I$2=AT195),'2024DATA'!$C$18,"")</f>
        <v/>
      </c>
      <c r="AU211" s="518" t="str">
        <f>IF(AND(_C="B-767-200",'2024'!$I$4="FO",'2024'!$I$2=AU195),'2024DATA'!$D$18,"")</f>
        <v/>
      </c>
      <c r="AV211" s="518" t="str">
        <f>IF(AND(_C="B-767-200",'2024'!$I$4="FO",'2024'!$I$2=AV195),'2024DATA'!$E$18,"")</f>
        <v/>
      </c>
      <c r="AW211" s="518" t="str">
        <f>IF(AND(_C="B-767-200",'2024'!$I$4="FO",'2024'!$I$2=AW195),'2024DATA'!$F$18,"")</f>
        <v/>
      </c>
      <c r="AX211" s="518" t="str">
        <f>IF(AND(_C="B-767-200",'2024'!$I$4="FO",'2024'!$I$2=AX195),'2024DATA'!$G$18,"")</f>
        <v/>
      </c>
      <c r="AY211" s="518" t="str">
        <f>IF(AND(_C="B-767-200",'2024'!$I$4="FO",'2024'!$I$2=AY195),'2024DATA'!$H$18,"")</f>
        <v/>
      </c>
      <c r="AZ211" s="518" t="str">
        <f>IF(AND(_C="B-767-200",'2024'!$I$4="FO",'2024'!$I$2=AZ195),'2024DATA'!$I$18,"")</f>
        <v/>
      </c>
      <c r="BA211" s="518" t="str">
        <f>IF(AND(_C="B-767-200",'2024'!$I$4="FO",'2024'!$I$2=BA195),'2024DATA'!$J$18,"")</f>
        <v/>
      </c>
      <c r="BB211" s="518" t="str">
        <f>IF(AND(_C="B-767-200",'2024'!$I$4="FO",'2024'!$I$2=BB195),'2024DATA'!$K$18,"")</f>
        <v/>
      </c>
      <c r="BC211" s="518" t="str">
        <f>IF(AND(_C="B-767-200",'2024'!$I$4="FO",'2024'!$I$2=BC195),'2024DATA'!$L$18,"")</f>
        <v/>
      </c>
      <c r="BD211" s="518" t="str">
        <f>IF(AND(_C="B-767-200",'2024'!$I$4="FO",'2024'!$I$2=BD195),'2024DATA'!$M$18,"")</f>
        <v/>
      </c>
      <c r="BE211" s="520" t="str">
        <f>IF(AND(_C="B-767-200",'2024'!$I$4="FO",'2024'!$I$2=BE195),'2024DATA'!$N$18,"")</f>
        <v/>
      </c>
      <c r="BF211" s="940"/>
      <c r="BG211" s="13" t="s">
        <v>62</v>
      </c>
      <c r="BH211" s="518" t="str">
        <f>IF(AND(_D="B-767-200",'2024'!$I$4="FO",'2024'!$I$2=BH195),'2024DATA'!$C$18,"")</f>
        <v/>
      </c>
      <c r="BI211" s="518" t="str">
        <f>IF(AND(_D="B-767-200",'2024'!$I$4="FO",'2024'!$I$2=BI195),'2024DATA'!$D$18,"")</f>
        <v/>
      </c>
      <c r="BJ211" s="518" t="str">
        <f>IF(AND(_D="B-767-200",'2024'!$I$4="FO",'2024'!$I$2=BJ195),'2024DATA'!$E$18,"")</f>
        <v/>
      </c>
      <c r="BK211" s="518" t="str">
        <f>IF(AND(_D="B-767-200",'2024'!$I$4="FO",'2024'!$I$2=BK195),'2024DATA'!$F$18,"")</f>
        <v/>
      </c>
      <c r="BL211" s="518" t="str">
        <f>IF(AND(_D="B-767-200",'2024'!$I$4="FO",'2024'!$I$2=BL195),'2024DATA'!$G$18,"")</f>
        <v/>
      </c>
      <c r="BM211" s="518" t="str">
        <f>IF(AND(_D="B-767-200",'2024'!$I$4="FO",'2024'!$I$2=BM195),'2024DATA'!$H$18,"")</f>
        <v/>
      </c>
      <c r="BN211" s="518" t="str">
        <f>IF(AND(_D="B-767-200",'2024'!$I$4="FO",'2024'!$I$2=BN195),'2024DATA'!$I$18,"")</f>
        <v/>
      </c>
      <c r="BO211" s="518" t="str">
        <f>IF(AND(_D="B-767-200",'2024'!$I$4="FO",'2024'!$I$2=BO195),'2024DATA'!$J$18,"")</f>
        <v/>
      </c>
      <c r="BP211" s="518" t="str">
        <f>IF(AND(_D="B-767-200",'2024'!$I$4="FO",'2024'!$I$2=BP195),'2024DATA'!$K$18,"")</f>
        <v/>
      </c>
      <c r="BQ211" s="518" t="str">
        <f>IF(AND(_D="B-767-200",'2024'!$I$4="FO",'2024'!$I$2=BQ195),'2024DATA'!$L$18,"")</f>
        <v/>
      </c>
      <c r="BR211" s="518" t="str">
        <f>IF(AND(_D="B-767-200",'2024'!$I$4="FO",'2024'!$I$2=BR195),'2024DATA'!$M$18,"")</f>
        <v/>
      </c>
      <c r="BS211" s="520" t="str">
        <f>IF(AND(_D="B-767-200",'2024'!$I$4="FO",'2024'!$I$2=BS195),'2024DATA'!$N$18,"")</f>
        <v/>
      </c>
      <c r="BT211" s="940"/>
      <c r="BU211" s="13" t="s">
        <v>62</v>
      </c>
      <c r="BV211" s="518" t="str">
        <f>IF(AND(_E="B-767-200",'2024'!$I$4="FO",'2024'!$I$2=BV195),'2024DATA'!$C$18,"")</f>
        <v/>
      </c>
      <c r="BW211" s="518" t="str">
        <f>IF(AND(_E="B-767-200",'2024'!$I$4="FO",'2024'!$I$2=BW195),'2024DATA'!$D$18,"")</f>
        <v/>
      </c>
      <c r="BX211" s="518" t="str">
        <f>IF(AND(_E="B-767-200",'2024'!$I$4="FO",'2024'!$I$2=BX195),'2024DATA'!$E$18,"")</f>
        <v/>
      </c>
      <c r="BY211" s="518" t="str">
        <f>IF(AND(_E="B-767-200",'2024'!$I$4="FO",'2024'!$I$2=BY195),'2024DATA'!$F$18,"")</f>
        <v/>
      </c>
      <c r="BZ211" s="518" t="str">
        <f>IF(AND(_E="B-767-200",'2024'!$I$4="FO",'2024'!$I$2=BZ195),'2024DATA'!$G$18,"")</f>
        <v/>
      </c>
      <c r="CA211" s="518" t="str">
        <f>IF(AND(_E="B-767-200",'2024'!$I$4="FO",'2024'!$I$2=CA195),'2024DATA'!$H$18,"")</f>
        <v/>
      </c>
      <c r="CB211" s="518" t="str">
        <f>IF(AND(_E="B-767-200",'2024'!$I$4="FO",'2024'!$I$2=CB195),'2024DATA'!$I$18,"")</f>
        <v/>
      </c>
      <c r="CC211" s="518" t="str">
        <f>IF(AND(_E="B-767-200",'2024'!$I$4="FO",'2024'!$I$2=CC195),'2024DATA'!$J$18,"")</f>
        <v/>
      </c>
      <c r="CD211" s="518" t="str">
        <f>IF(AND(_E="B-767-200",'2024'!$I$4="FO",'2024'!$I$2=CD195),'2024DATA'!$K$18,"")</f>
        <v/>
      </c>
      <c r="CE211" s="518" t="str">
        <f>IF(AND(_E="B-767-200",'2024'!$I$4="FO",'2024'!$I$2=CE195),'2024DATA'!$L$18,"")</f>
        <v/>
      </c>
      <c r="CF211" s="518" t="str">
        <f>IF(AND(_E="B-767-200",'2024'!$I$4="FO",'2024'!$I$2=CF195),'2024DATA'!$M$18,"")</f>
        <v/>
      </c>
      <c r="CG211" s="520" t="str">
        <f>IF(AND(_E="B-767-200",'2024'!$I$4="FO",'2024'!$I$2=CG195),'2024DATA'!$N$18,"")</f>
        <v/>
      </c>
      <c r="CH211" s="940"/>
      <c r="CI211" s="13" t="s">
        <v>62</v>
      </c>
      <c r="CJ211" s="518" t="str">
        <f>IF(AND(_F="B-767-200",'2024'!$I$4="FO",'2024'!$I$2=CJ195),'2024DATA'!$C$18,"")</f>
        <v/>
      </c>
      <c r="CK211" s="518" t="str">
        <f>IF(AND(_F="B-767-200",'2024'!$I$4="FO",'2024'!$I$2=CK195),'2024DATA'!$D$18,"")</f>
        <v/>
      </c>
      <c r="CL211" s="518" t="str">
        <f>IF(AND(_F="B-767-200",'2024'!$I$4="FO",'2024'!$I$2=CL195),'2024DATA'!$E$18,"")</f>
        <v/>
      </c>
      <c r="CM211" s="518" t="str">
        <f>IF(AND(_F="B-767-200",'2024'!$I$4="FO",'2024'!$I$2=CM195),'2024DATA'!$F$18,"")</f>
        <v/>
      </c>
      <c r="CN211" s="518" t="str">
        <f>IF(AND(_F="B-767-200",'2024'!$I$4="FO",'2024'!$I$2=CN195),'2024DATA'!$G$18,"")</f>
        <v/>
      </c>
      <c r="CO211" s="518" t="str">
        <f>IF(AND(_F="B-767-200",'2024'!$I$4="FO",'2024'!$I$2=CO195),'2024DATA'!$H$18,"")</f>
        <v/>
      </c>
      <c r="CP211" s="518" t="str">
        <f>IF(AND(_F="B-767-200",'2024'!$I$4="FO",'2024'!$I$2=CP195),'2024DATA'!$I$18,"")</f>
        <v/>
      </c>
      <c r="CQ211" s="518" t="str">
        <f>IF(AND(_F="B-767-200",'2024'!$I$4="FO",'2024'!$I$2=CQ195),'2024DATA'!$J$18,"")</f>
        <v/>
      </c>
      <c r="CR211" s="518" t="str">
        <f>IF(AND(_F="B-767-200",'2024'!$I$4="FO",'2024'!$I$2=CR195),'2024DATA'!$K$18,"")</f>
        <v/>
      </c>
      <c r="CS211" s="518" t="str">
        <f>IF(AND(_F="B-767-200",'2024'!$I$4="FO",'2024'!$I$2=CS195),'2024DATA'!$L$18,"")</f>
        <v/>
      </c>
      <c r="CT211" s="518" t="str">
        <f>IF(AND(_F="B-767-200",'2024'!$I$4="FO",'2024'!$I$2=CT195),'2024DATA'!$M$18,"")</f>
        <v/>
      </c>
      <c r="CU211" s="520" t="str">
        <f>IF(AND(_F="B-767-200",'2024'!$I$4="FO",'2024'!$I$2=CU195),'2024DATA'!$N$18,"")</f>
        <v/>
      </c>
    </row>
    <row r="212" spans="16:99" x14ac:dyDescent="0.25">
      <c r="P212" s="940" t="s">
        <v>45</v>
      </c>
      <c r="Q212" s="13" t="s">
        <v>61</v>
      </c>
      <c r="R212" s="518" t="str">
        <f>IF(AND(_A="B-757",'2024'!$I$4="CA",'2024'!$I$2=R195),'2024DATA'!$C$19,"")</f>
        <v/>
      </c>
      <c r="S212" s="518" t="str">
        <f>IF(AND(_A="B-757",'2024'!$I$4="CA",'2024'!$I$2=S195),'2024DATA'!$D$19,"")</f>
        <v/>
      </c>
      <c r="T212" s="518" t="str">
        <f>IF(AND(_A="B-757",'2024'!$I$4="CA",'2024'!$I$2=T195),'2024DATA'!$E$19,"")</f>
        <v/>
      </c>
      <c r="U212" s="518" t="str">
        <f>IF(AND(_A="B-757",'2024'!$I$4="CA",'2024'!$I$2=U195),'2024DATA'!$F$19,"")</f>
        <v/>
      </c>
      <c r="V212" s="518" t="str">
        <f>IF(AND(_A="B-757",'2024'!$I$4="CA",'2024'!$I$2=V195),'2024DATA'!$G$19,"")</f>
        <v/>
      </c>
      <c r="W212" s="518" t="str">
        <f>IF(AND(_A="B-757",'2024'!$I$4="CA",'2024'!$I$2=W195),'2024DATA'!$H$19,"")</f>
        <v/>
      </c>
      <c r="X212" s="518" t="str">
        <f>IF(AND(_A="B-757",'2024'!$I$4="CA",'2024'!$I$2=X195),'2024DATA'!$I$19,"")</f>
        <v/>
      </c>
      <c r="Y212" s="518" t="str">
        <f>IF(AND(_A="B-757",'2024'!$I$4="CA",'2024'!$I$2=Y195),'2024DATA'!$J$19,"")</f>
        <v/>
      </c>
      <c r="Z212" s="518" t="str">
        <f>IF(AND(_A="B-757",'2024'!$I$4="CA",'2024'!$I$2=Z195),'2024DATA'!$K$19,"")</f>
        <v/>
      </c>
      <c r="AA212" s="518" t="str">
        <f>IF(AND(_A="B-757",'2024'!$I$4="CA",'2024'!$I$2=AA195),'2024DATA'!$L$19,"")</f>
        <v/>
      </c>
      <c r="AB212" s="518" t="str">
        <f>IF(AND(_A="B-757",'2024'!$I$4="CA",'2024'!$I$2=AB195),'2024DATA'!$M$19,"")</f>
        <v/>
      </c>
      <c r="AC212" s="520" t="str">
        <f>IF(AND(_A="B-757",'2024'!$I$4="CA",'2024'!$I$2=AC195),'2024DATA'!$N$19,"")</f>
        <v/>
      </c>
      <c r="AD212" s="940" t="s">
        <v>45</v>
      </c>
      <c r="AE212" s="13" t="s">
        <v>61</v>
      </c>
      <c r="AF212" s="518" t="str">
        <f>IF(AND(_B="B-757",'2024'!$I$4="CA",'2024'!$I$2=AF195),'2024DATA'!$C$19,"")</f>
        <v/>
      </c>
      <c r="AG212" s="518" t="str">
        <f>IF(AND(_B="B-757",'2024'!$I$4="CA",'2024'!$I$2=AG195),'2024DATA'!$D$19,"")</f>
        <v/>
      </c>
      <c r="AH212" s="518" t="str">
        <f>IF(AND(_B="B-757",'2024'!$I$4="CA",'2024'!$I$2=AH195),'2024DATA'!$E$19,"")</f>
        <v/>
      </c>
      <c r="AI212" s="518" t="str">
        <f>IF(AND(_B="B-757",'2024'!$I$4="CA",'2024'!$I$2=AI195),'2024DATA'!$F$19,"")</f>
        <v/>
      </c>
      <c r="AJ212" s="518" t="str">
        <f>IF(AND(_B="B-757",'2024'!$I$4="CA",'2024'!$I$2=AJ195),'2024DATA'!$G$19,"")</f>
        <v/>
      </c>
      <c r="AK212" s="518" t="str">
        <f>IF(AND(_B="B-757",'2024'!$I$4="CA",'2024'!$I$2=AK195),'2024DATA'!$H$19,"")</f>
        <v/>
      </c>
      <c r="AL212" s="518" t="str">
        <f>IF(AND(_B="B-757",'2024'!$I$4="CA",'2024'!$I$2=AL195),'2024DATA'!$I$19,"")</f>
        <v/>
      </c>
      <c r="AM212" s="518" t="str">
        <f>IF(AND(_B="B-757",'2024'!$I$4="CA",'2024'!$I$2=AM195),'2024DATA'!$J$19,"")</f>
        <v/>
      </c>
      <c r="AN212" s="518" t="str">
        <f>IF(AND(_B="B-757",'2024'!$I$4="CA",'2024'!$I$2=AN195),'2024DATA'!$K$19,"")</f>
        <v/>
      </c>
      <c r="AO212" s="518" t="str">
        <f>IF(AND(_B="B-757",'2024'!$I$4="CA",'2024'!$I$2=AO195),'2024DATA'!$L$19,"")</f>
        <v/>
      </c>
      <c r="AP212" s="518" t="str">
        <f>IF(AND(_B="B-757",'2024'!$I$4="CA",'2024'!$I$2=AP195),'2024DATA'!$M$19,"")</f>
        <v/>
      </c>
      <c r="AQ212" s="520" t="str">
        <f>IF(AND(_B="B-757",'2024'!$I$4="CA",'2024'!$I$2=AQ195),'2024DATA'!$N$19,"")</f>
        <v/>
      </c>
      <c r="AR212" s="940" t="s">
        <v>45</v>
      </c>
      <c r="AS212" s="13" t="s">
        <v>61</v>
      </c>
      <c r="AT212" s="518" t="str">
        <f>IF(AND(_C="B-757",'2024'!$I$4="CA",'2024'!$I$2=AT195),'2024DATA'!$C$19,"")</f>
        <v/>
      </c>
      <c r="AU212" s="518" t="str">
        <f>IF(AND(_C="B-757",'2024'!$I$4="CA",'2024'!$I$2=AU195),'2024DATA'!$D$19,"")</f>
        <v/>
      </c>
      <c r="AV212" s="518" t="str">
        <f>IF(AND(_C="B-757",'2024'!$I$4="CA",'2024'!$I$2=AV195),'2024DATA'!$E$19,"")</f>
        <v/>
      </c>
      <c r="AW212" s="518" t="str">
        <f>IF(AND(_C="B-757",'2024'!$I$4="CA",'2024'!$I$2=AW195),'2024DATA'!$F$19,"")</f>
        <v/>
      </c>
      <c r="AX212" s="518" t="str">
        <f>IF(AND(_C="B-757",'2024'!$I$4="CA",'2024'!$I$2=AX195),'2024DATA'!$G$19,"")</f>
        <v/>
      </c>
      <c r="AY212" s="518" t="str">
        <f>IF(AND(_C="B-757",'2024'!$I$4="CA",'2024'!$I$2=AY195),'2024DATA'!$H$19,"")</f>
        <v/>
      </c>
      <c r="AZ212" s="518" t="str">
        <f>IF(AND(_C="B-757",'2024'!$I$4="CA",'2024'!$I$2=AZ195),'2024DATA'!$I$19,"")</f>
        <v/>
      </c>
      <c r="BA212" s="518" t="str">
        <f>IF(AND(_C="B-757",'2024'!$I$4="CA",'2024'!$I$2=BA195),'2024DATA'!$J$19,"")</f>
        <v/>
      </c>
      <c r="BB212" s="518" t="str">
        <f>IF(AND(_C="B-757",'2024'!$I$4="CA",'2024'!$I$2=BB195),'2024DATA'!$K$19,"")</f>
        <v/>
      </c>
      <c r="BC212" s="518" t="str">
        <f>IF(AND(_C="B-757",'2024'!$I$4="CA",'2024'!$I$2=BC195),'2024DATA'!$L$19,"")</f>
        <v/>
      </c>
      <c r="BD212" s="518" t="str">
        <f>IF(AND(_C="B-757",'2024'!$I$4="CA",'2024'!$I$2=BD195),'2024DATA'!$M$19,"")</f>
        <v/>
      </c>
      <c r="BE212" s="520" t="str">
        <f>IF(AND(_C="B-757",'2024'!$I$4="CA",'2024'!$I$2=BE195),'2024DATA'!$N$19,"")</f>
        <v/>
      </c>
      <c r="BF212" s="940" t="s">
        <v>45</v>
      </c>
      <c r="BG212" s="13" t="s">
        <v>61</v>
      </c>
      <c r="BH212" s="518" t="str">
        <f>IF(AND(_D="B-757",'2024'!$I$4="CA",'2024'!$I$2=BH195),'2024DATA'!$C$19,"")</f>
        <v/>
      </c>
      <c r="BI212" s="518" t="str">
        <f>IF(AND(_D="B-757",'2024'!$I$4="CA",'2024'!$I$2=BI195),'2024DATA'!$D$19,"")</f>
        <v/>
      </c>
      <c r="BJ212" s="518" t="str">
        <f>IF(AND(_D="B-757",'2024'!$I$4="CA",'2024'!$I$2=BJ195),'2024DATA'!$E$19,"")</f>
        <v/>
      </c>
      <c r="BK212" s="518" t="str">
        <f>IF(AND(_D="B-757",'2024'!$I$4="CA",'2024'!$I$2=BK195),'2024DATA'!$F$19,"")</f>
        <v/>
      </c>
      <c r="BL212" s="518" t="str">
        <f>IF(AND(_D="B-757",'2024'!$I$4="CA",'2024'!$I$2=BL195),'2024DATA'!$G$19,"")</f>
        <v/>
      </c>
      <c r="BM212" s="518" t="str">
        <f>IF(AND(_D="B-757",'2024'!$I$4="CA",'2024'!$I$2=BM195),'2024DATA'!$H$19,"")</f>
        <v/>
      </c>
      <c r="BN212" s="518" t="str">
        <f>IF(AND(_D="B-757",'2024'!$I$4="CA",'2024'!$I$2=BN195),'2024DATA'!$I$19,"")</f>
        <v/>
      </c>
      <c r="BO212" s="518" t="str">
        <f>IF(AND(_D="B-757",'2024'!$I$4="CA",'2024'!$I$2=BO195),'2024DATA'!$J$19,"")</f>
        <v/>
      </c>
      <c r="BP212" s="518" t="str">
        <f>IF(AND(_D="B-757",'2024'!$I$4="CA",'2024'!$I$2=BP195),'2024DATA'!$K$19,"")</f>
        <v/>
      </c>
      <c r="BQ212" s="518" t="str">
        <f>IF(AND(_D="B-757",'2024'!$I$4="CA",'2024'!$I$2=BQ195),'2024DATA'!$L$19,"")</f>
        <v/>
      </c>
      <c r="BR212" s="518" t="str">
        <f>IF(AND(_D="B-757",'2024'!$I$4="CA",'2024'!$I$2=BR195),'2024DATA'!$M$19,"")</f>
        <v/>
      </c>
      <c r="BS212" s="520" t="str">
        <f>IF(AND(_D="B-757",'2024'!$I$4="CA",'2024'!$I$2=BS195),'2024DATA'!$N$19,"")</f>
        <v/>
      </c>
      <c r="BT212" s="940" t="s">
        <v>45</v>
      </c>
      <c r="BU212" s="13" t="s">
        <v>61</v>
      </c>
      <c r="BV212" s="518" t="str">
        <f>IF(AND(_E="B-757",'2024'!$I$4="CA",'2024'!$I$2=BV195),'2024DATA'!$C$19,"")</f>
        <v/>
      </c>
      <c r="BW212" s="518" t="str">
        <f>IF(AND(_E="B-757",'2024'!$I$4="CA",'2024'!$I$2=BW195),'2024DATA'!$D$19,"")</f>
        <v/>
      </c>
      <c r="BX212" s="518" t="str">
        <f>IF(AND(_E="B-757",'2024'!$I$4="CA",'2024'!$I$2=BX195),'2024DATA'!$E$19,"")</f>
        <v/>
      </c>
      <c r="BY212" s="518" t="str">
        <f>IF(AND(_E="B-757",'2024'!$I$4="CA",'2024'!$I$2=BY195),'2024DATA'!$F$19,"")</f>
        <v/>
      </c>
      <c r="BZ212" s="518" t="str">
        <f>IF(AND(_E="B-757",'2024'!$I$4="CA",'2024'!$I$2=BZ195),'2024DATA'!$G$19,"")</f>
        <v/>
      </c>
      <c r="CA212" s="518" t="str">
        <f>IF(AND(_E="B-757",'2024'!$I$4="CA",'2024'!$I$2=CA195),'2024DATA'!$H$19,"")</f>
        <v/>
      </c>
      <c r="CB212" s="518" t="str">
        <f>IF(AND(_E="B-757",'2024'!$I$4="CA",'2024'!$I$2=CB195),'2024DATA'!$I$19,"")</f>
        <v/>
      </c>
      <c r="CC212" s="518" t="str">
        <f>IF(AND(_E="B-757",'2024'!$I$4="CA",'2024'!$I$2=CC195),'2024DATA'!$J$19,"")</f>
        <v/>
      </c>
      <c r="CD212" s="518" t="str">
        <f>IF(AND(_E="B-757",'2024'!$I$4="CA",'2024'!$I$2=CD195),'2024DATA'!$K$19,"")</f>
        <v/>
      </c>
      <c r="CE212" s="518" t="str">
        <f>IF(AND(_E="B-757",'2024'!$I$4="CA",'2024'!$I$2=CE195),'2024DATA'!$L$19,"")</f>
        <v/>
      </c>
      <c r="CF212" s="518" t="str">
        <f>IF(AND(_E="B-757",'2024'!$I$4="CA",'2024'!$I$2=CF195),'2024DATA'!$M$19,"")</f>
        <v/>
      </c>
      <c r="CG212" s="520" t="str">
        <f>IF(AND(_E="B-757",'2024'!$I$4="CA",'2024'!$I$2=CG195),'2024DATA'!$N$19,"")</f>
        <v/>
      </c>
      <c r="CH212" s="940" t="s">
        <v>45</v>
      </c>
      <c r="CI212" s="13" t="s">
        <v>61</v>
      </c>
      <c r="CJ212" s="518" t="str">
        <f>IF(AND(_F="B-757",'2024'!$I$4="CA",'2024'!$I$2=CJ195),'2024DATA'!$C$19,"")</f>
        <v/>
      </c>
      <c r="CK212" s="518" t="str">
        <f>IF(AND(_F="B-757",'2024'!$I$4="CA",'2024'!$I$2=CK195),'2024DATA'!$D$19,"")</f>
        <v/>
      </c>
      <c r="CL212" s="518" t="str">
        <f>IF(AND(_F="B-757",'2024'!$I$4="CA",'2024'!$I$2=CL195),'2024DATA'!$E$19,"")</f>
        <v/>
      </c>
      <c r="CM212" s="518" t="str">
        <f>IF(AND(_F="B-757",'2024'!$I$4="CA",'2024'!$I$2=CM195),'2024DATA'!$F$19,"")</f>
        <v/>
      </c>
      <c r="CN212" s="518" t="str">
        <f>IF(AND(_F="B-757",'2024'!$I$4="CA",'2024'!$I$2=CN195),'2024DATA'!$G$19,"")</f>
        <v/>
      </c>
      <c r="CO212" s="518" t="str">
        <f>IF(AND(_F="B-757",'2024'!$I$4="CA",'2024'!$I$2=CO195),'2024DATA'!$H$19,"")</f>
        <v/>
      </c>
      <c r="CP212" s="518" t="str">
        <f>IF(AND(_F="B-757",'2024'!$I$4="CA",'2024'!$I$2=CP195),'2024DATA'!$I$19,"")</f>
        <v/>
      </c>
      <c r="CQ212" s="518" t="str">
        <f>IF(AND(_F="B-757",'2024'!$I$4="CA",'2024'!$I$2=CQ195),'2024DATA'!$J$19,"")</f>
        <v/>
      </c>
      <c r="CR212" s="518" t="str">
        <f>IF(AND(_F="B-757",'2024'!$I$4="CA",'2024'!$I$2=CR195),'2024DATA'!$K$19,"")</f>
        <v/>
      </c>
      <c r="CS212" s="518" t="str">
        <f>IF(AND(_F="B-757",'2024'!$I$4="CA",'2024'!$I$2=CS195),'2024DATA'!$L$19,"")</f>
        <v/>
      </c>
      <c r="CT212" s="518" t="str">
        <f>IF(AND(_F="B-757",'2024'!$I$4="CA",'2024'!$I$2=CT195),'2024DATA'!$M$19,"")</f>
        <v/>
      </c>
      <c r="CU212" s="520" t="str">
        <f>IF(AND(_F="B-757",'2024'!$I$4="CA",'2024'!$I$2=CU195),'2024DATA'!$N$19,"")</f>
        <v/>
      </c>
    </row>
    <row r="213" spans="16:99" x14ac:dyDescent="0.25">
      <c r="P213" s="940"/>
      <c r="Q213" s="13" t="s">
        <v>62</v>
      </c>
      <c r="R213" s="518" t="str">
        <f>IF(AND(_A="B-757",'2024'!$I$4="FO",'2024'!$I$2=R195),'2024DATA'!$C$20,"")</f>
        <v/>
      </c>
      <c r="S213" s="518" t="str">
        <f>IF(AND(_A="B-757",'2024'!$I$4="FO",'2024'!$I$2=S195),'2024DATA'!$D$20,"")</f>
        <v/>
      </c>
      <c r="T213" s="518" t="str">
        <f>IF(AND(_A="B-757",'2024'!$I$4="FO",'2024'!$I$2=T195),'2024DATA'!$E$20,"")</f>
        <v/>
      </c>
      <c r="U213" s="518" t="str">
        <f>IF(AND(_A="B-757",'2024'!$I$4="FO",'2024'!$I$2=U195),'2024DATA'!$F$20,"")</f>
        <v/>
      </c>
      <c r="V213" s="518" t="str">
        <f>IF(AND(_A="B-757",'2024'!$I$4="FO",'2024'!$I$2=V195),'2024DATA'!$G$20,"")</f>
        <v/>
      </c>
      <c r="W213" s="518" t="str">
        <f>IF(AND(_A="B-757",'2024'!$I$4="FO",'2024'!$I$2=W195),'2024DATA'!$H$20,"")</f>
        <v/>
      </c>
      <c r="X213" s="518" t="str">
        <f>IF(AND(_A="B-757",'2024'!$I$4="FO",'2024'!$I$2=X195),'2024DATA'!$I$20,"")</f>
        <v/>
      </c>
      <c r="Y213" s="518" t="str">
        <f>IF(AND(_A="B-757",'2024'!$I$4="FO",'2024'!$I$2=Y195),'2024DATA'!$J$20,"")</f>
        <v/>
      </c>
      <c r="Z213" s="518" t="str">
        <f>IF(AND(_A="B-757",'2024'!$I$4="FO",'2024'!$I$2=Z195),'2024DATA'!$K$20,"")</f>
        <v/>
      </c>
      <c r="AA213" s="518" t="str">
        <f>IF(AND(_A="B-757",'2024'!$I$4="FO",'2024'!$I$2=AA195),'2024DATA'!$L$20,"")</f>
        <v/>
      </c>
      <c r="AB213" s="518" t="str">
        <f>IF(AND(_A="B-757",'2024'!$I$4="FO",'2024'!$I$2=AB195),'2024DATA'!$M$20,"")</f>
        <v/>
      </c>
      <c r="AC213" s="520" t="str">
        <f>IF(AND(_A="B-757",'2024'!$I$4="FO",'2024'!$I$2=AC195),'2024DATA'!$N$20,"")</f>
        <v/>
      </c>
      <c r="AD213" s="940"/>
      <c r="AE213" s="13" t="s">
        <v>62</v>
      </c>
      <c r="AF213" s="518" t="str">
        <f>IF(AND(_B="B-757",'2024'!$I$4="FO",'2024'!$I$2=AF195),'2024DATA'!$C$20,"")</f>
        <v/>
      </c>
      <c r="AG213" s="518" t="str">
        <f>IF(AND(_B="B-757",'2024'!$I$4="FO",'2024'!$I$2=AG195),'2024DATA'!$D$20,"")</f>
        <v/>
      </c>
      <c r="AH213" s="518" t="str">
        <f>IF(AND(_B="B-757",'2024'!$I$4="FO",'2024'!$I$2=AH195),'2024DATA'!$E$20,"")</f>
        <v/>
      </c>
      <c r="AI213" s="518" t="str">
        <f>IF(AND(_B="B-757",'2024'!$I$4="FO",'2024'!$I$2=AI195),'2024DATA'!$F$20,"")</f>
        <v/>
      </c>
      <c r="AJ213" s="518" t="str">
        <f>IF(AND(_B="B-757",'2024'!$I$4="FO",'2024'!$I$2=AJ195),'2024DATA'!$G$20,"")</f>
        <v/>
      </c>
      <c r="AK213" s="518" t="str">
        <f>IF(AND(_B="B-757",'2024'!$I$4="FO",'2024'!$I$2=AK195),'2024DATA'!$H$20,"")</f>
        <v/>
      </c>
      <c r="AL213" s="518" t="str">
        <f>IF(AND(_B="B-757",'2024'!$I$4="FO",'2024'!$I$2=AL195),'2024DATA'!$I$20,"")</f>
        <v/>
      </c>
      <c r="AM213" s="518" t="str">
        <f>IF(AND(_B="B-757",'2024'!$I$4="FO",'2024'!$I$2=AM195),'2024DATA'!$J$20,"")</f>
        <v/>
      </c>
      <c r="AN213" s="518" t="str">
        <f>IF(AND(_B="B-757",'2024'!$I$4="FO",'2024'!$I$2=AN195),'2024DATA'!$K$20,"")</f>
        <v/>
      </c>
      <c r="AO213" s="518" t="str">
        <f>IF(AND(_B="B-757",'2024'!$I$4="FO",'2024'!$I$2=AO195),'2024DATA'!$L$20,"")</f>
        <v/>
      </c>
      <c r="AP213" s="518" t="str">
        <f>IF(AND(_B="B-757",'2024'!$I$4="FO",'2024'!$I$2=AP195),'2024DATA'!$M$20,"")</f>
        <v/>
      </c>
      <c r="AQ213" s="520" t="str">
        <f>IF(AND(_B="B-757",'2024'!$I$4="FO",'2024'!$I$2=AQ195),'2024DATA'!$N$20,"")</f>
        <v/>
      </c>
      <c r="AR213" s="940"/>
      <c r="AS213" s="13" t="s">
        <v>62</v>
      </c>
      <c r="AT213" s="518" t="str">
        <f>IF(AND(_C="B-757",'2024'!$I$4="FO",'2024'!$I$2=AT195),'2024DATA'!$C$20,"")</f>
        <v/>
      </c>
      <c r="AU213" s="518" t="str">
        <f>IF(AND(_C="B-757",'2024'!$I$4="FO",'2024'!$I$2=AU195),'2024DATA'!$D$20,"")</f>
        <v/>
      </c>
      <c r="AV213" s="518" t="str">
        <f>IF(AND(_C="B-757",'2024'!$I$4="FO",'2024'!$I$2=AV195),'2024DATA'!$E$20,"")</f>
        <v/>
      </c>
      <c r="AW213" s="518" t="str">
        <f>IF(AND(_C="B-757",'2024'!$I$4="FO",'2024'!$I$2=AW195),'2024DATA'!$F$20,"")</f>
        <v/>
      </c>
      <c r="AX213" s="518" t="str">
        <f>IF(AND(_C="B-757",'2024'!$I$4="FO",'2024'!$I$2=AX195),'2024DATA'!$G$20,"")</f>
        <v/>
      </c>
      <c r="AY213" s="518" t="str">
        <f>IF(AND(_C="B-757",'2024'!$I$4="FO",'2024'!$I$2=AY195),'2024DATA'!$H$20,"")</f>
        <v/>
      </c>
      <c r="AZ213" s="518" t="str">
        <f>IF(AND(_C="B-757",'2024'!$I$4="FO",'2024'!$I$2=AZ195),'2024DATA'!$I$20,"")</f>
        <v/>
      </c>
      <c r="BA213" s="518" t="str">
        <f>IF(AND(_C="B-757",'2024'!$I$4="FO",'2024'!$I$2=BA195),'2024DATA'!$J$20,"")</f>
        <v/>
      </c>
      <c r="BB213" s="518" t="str">
        <f>IF(AND(_C="B-757",'2024'!$I$4="FO",'2024'!$I$2=BB195),'2024DATA'!$K$20,"")</f>
        <v/>
      </c>
      <c r="BC213" s="518" t="str">
        <f>IF(AND(_C="B-757",'2024'!$I$4="FO",'2024'!$I$2=BC195),'2024DATA'!$L$20,"")</f>
        <v/>
      </c>
      <c r="BD213" s="518" t="str">
        <f>IF(AND(_C="B-757",'2024'!$I$4="FO",'2024'!$I$2=BD195),'2024DATA'!$M$20,"")</f>
        <v/>
      </c>
      <c r="BE213" s="520" t="str">
        <f>IF(AND(_C="B-757",'2024'!$I$4="FO",'2024'!$I$2=BE195),'2024DATA'!$N$20,"")</f>
        <v/>
      </c>
      <c r="BF213" s="940"/>
      <c r="BG213" s="13" t="s">
        <v>62</v>
      </c>
      <c r="BH213" s="518" t="str">
        <f>IF(AND(_D="B-757",'2024'!$I$4="FO",'2024'!$I$2=BH195),'2024DATA'!$C$20,"")</f>
        <v/>
      </c>
      <c r="BI213" s="518" t="str">
        <f>IF(AND(_D="B-757",'2024'!$I$4="FO",'2024'!$I$2=BI195),'2024DATA'!$D$20,"")</f>
        <v/>
      </c>
      <c r="BJ213" s="518" t="str">
        <f>IF(AND(_D="B-757",'2024'!$I$4="FO",'2024'!$I$2=BJ195),'2024DATA'!$E$20,"")</f>
        <v/>
      </c>
      <c r="BK213" s="518" t="str">
        <f>IF(AND(_D="B-757",'2024'!$I$4="FO",'2024'!$I$2=BK195),'2024DATA'!$F$20,"")</f>
        <v/>
      </c>
      <c r="BL213" s="518" t="str">
        <f>IF(AND(_D="B-757",'2024'!$I$4="FO",'2024'!$I$2=BL195),'2024DATA'!$G$20,"")</f>
        <v/>
      </c>
      <c r="BM213" s="518" t="str">
        <f>IF(AND(_D="B-757",'2024'!$I$4="FO",'2024'!$I$2=BM195),'2024DATA'!$H$20,"")</f>
        <v/>
      </c>
      <c r="BN213" s="518" t="str">
        <f>IF(AND(_D="B-757",'2024'!$I$4="FO",'2024'!$I$2=BN195),'2024DATA'!$I$20,"")</f>
        <v/>
      </c>
      <c r="BO213" s="518" t="str">
        <f>IF(AND(_D="B-757",'2024'!$I$4="FO",'2024'!$I$2=BO195),'2024DATA'!$J$20,"")</f>
        <v/>
      </c>
      <c r="BP213" s="518" t="str">
        <f>IF(AND(_D="B-757",'2024'!$I$4="FO",'2024'!$I$2=BP195),'2024DATA'!$K$20,"")</f>
        <v/>
      </c>
      <c r="BQ213" s="518" t="str">
        <f>IF(AND(_D="B-757",'2024'!$I$4="FO",'2024'!$I$2=BQ195),'2024DATA'!$L$20,"")</f>
        <v/>
      </c>
      <c r="BR213" s="518" t="str">
        <f>IF(AND(_D="B-757",'2024'!$I$4="FO",'2024'!$I$2=BR195),'2024DATA'!$M$20,"")</f>
        <v/>
      </c>
      <c r="BS213" s="520" t="str">
        <f>IF(AND(_D="B-757",'2024'!$I$4="FO",'2024'!$I$2=BS195),'2024DATA'!$N$20,"")</f>
        <v/>
      </c>
      <c r="BT213" s="940"/>
      <c r="BU213" s="13" t="s">
        <v>62</v>
      </c>
      <c r="BV213" s="518" t="str">
        <f>IF(AND(_E="B-757",'2024'!$I$4="FO",'2024'!$I$2=BV195),'2024DATA'!$C$20,"")</f>
        <v/>
      </c>
      <c r="BW213" s="518" t="str">
        <f>IF(AND(_E="B-757",'2024'!$I$4="FO",'2024'!$I$2=BW195),'2024DATA'!$D$20,"")</f>
        <v/>
      </c>
      <c r="BX213" s="518" t="str">
        <f>IF(AND(_E="B-757",'2024'!$I$4="FO",'2024'!$I$2=BX195),'2024DATA'!$E$20,"")</f>
        <v/>
      </c>
      <c r="BY213" s="518" t="str">
        <f>IF(AND(_E="B-757",'2024'!$I$4="FO",'2024'!$I$2=BY195),'2024DATA'!$F$20,"")</f>
        <v/>
      </c>
      <c r="BZ213" s="518" t="str">
        <f>IF(AND(_E="B-757",'2024'!$I$4="FO",'2024'!$I$2=BZ195),'2024DATA'!$G$20,"")</f>
        <v/>
      </c>
      <c r="CA213" s="518" t="str">
        <f>IF(AND(_E="B-757",'2024'!$I$4="FO",'2024'!$I$2=CA195),'2024DATA'!$H$20,"")</f>
        <v/>
      </c>
      <c r="CB213" s="518" t="str">
        <f>IF(AND(_E="B-757",'2024'!$I$4="FO",'2024'!$I$2=CB195),'2024DATA'!$I$20,"")</f>
        <v/>
      </c>
      <c r="CC213" s="518" t="str">
        <f>IF(AND(_E="B-757",'2024'!$I$4="FO",'2024'!$I$2=CC195),'2024DATA'!$J$20,"")</f>
        <v/>
      </c>
      <c r="CD213" s="518" t="str">
        <f>IF(AND(_E="B-757",'2024'!$I$4="FO",'2024'!$I$2=CD195),'2024DATA'!$K$20,"")</f>
        <v/>
      </c>
      <c r="CE213" s="518" t="str">
        <f>IF(AND(_E="B-757",'2024'!$I$4="FO",'2024'!$I$2=CE195),'2024DATA'!$L$20,"")</f>
        <v/>
      </c>
      <c r="CF213" s="518" t="str">
        <f>IF(AND(_E="B-757",'2024'!$I$4="FO",'2024'!$I$2=CF195),'2024DATA'!$M$20,"")</f>
        <v/>
      </c>
      <c r="CG213" s="520" t="str">
        <f>IF(AND(_E="B-757",'2024'!$I$4="FO",'2024'!$I$2=CG195),'2024DATA'!$N$20,"")</f>
        <v/>
      </c>
      <c r="CH213" s="940"/>
      <c r="CI213" s="13" t="s">
        <v>62</v>
      </c>
      <c r="CJ213" s="518" t="str">
        <f>IF(AND(_F="B-757",'2024'!$I$4="FO",'2024'!$I$2=CJ195),'2024DATA'!$C$20,"")</f>
        <v/>
      </c>
      <c r="CK213" s="518" t="str">
        <f>IF(AND(_F="B-757",'2024'!$I$4="FO",'2024'!$I$2=CK195),'2024DATA'!$D$20,"")</f>
        <v/>
      </c>
      <c r="CL213" s="518" t="str">
        <f>IF(AND(_F="B-757",'2024'!$I$4="FO",'2024'!$I$2=CL195),'2024DATA'!$E$20,"")</f>
        <v/>
      </c>
      <c r="CM213" s="518" t="str">
        <f>IF(AND(_F="B-757",'2024'!$I$4="FO",'2024'!$I$2=CM195),'2024DATA'!$F$20,"")</f>
        <v/>
      </c>
      <c r="CN213" s="518" t="str">
        <f>IF(AND(_F="B-757",'2024'!$I$4="FO",'2024'!$I$2=CN195),'2024DATA'!$G$20,"")</f>
        <v/>
      </c>
      <c r="CO213" s="518" t="str">
        <f>IF(AND(_F="B-757",'2024'!$I$4="FO",'2024'!$I$2=CO195),'2024DATA'!$H$20,"")</f>
        <v/>
      </c>
      <c r="CP213" s="518" t="str">
        <f>IF(AND(_F="B-757",'2024'!$I$4="FO",'2024'!$I$2=CP195),'2024DATA'!$I$20,"")</f>
        <v/>
      </c>
      <c r="CQ213" s="518" t="str">
        <f>IF(AND(_F="B-757",'2024'!$I$4="FO",'2024'!$I$2=CQ195),'2024DATA'!$J$20,"")</f>
        <v/>
      </c>
      <c r="CR213" s="518" t="str">
        <f>IF(AND(_F="B-757",'2024'!$I$4="FO",'2024'!$I$2=CR195),'2024DATA'!$K$20,"")</f>
        <v/>
      </c>
      <c r="CS213" s="518" t="str">
        <f>IF(AND(_F="B-757",'2024'!$I$4="FO",'2024'!$I$2=CS195),'2024DATA'!$L$20,"")</f>
        <v/>
      </c>
      <c r="CT213" s="518" t="str">
        <f>IF(AND(_F="B-757",'2024'!$I$4="FO",'2024'!$I$2=CT195),'2024DATA'!$M$20,"")</f>
        <v/>
      </c>
      <c r="CU213" s="520" t="str">
        <f>IF(AND(_F="B-757",'2024'!$I$4="FO",'2024'!$I$2=CU195),'2024DATA'!$N$20,"")</f>
        <v/>
      </c>
    </row>
    <row r="214" spans="16:99" x14ac:dyDescent="0.25">
      <c r="P214" s="940" t="s">
        <v>47</v>
      </c>
      <c r="Q214" s="13" t="s">
        <v>61</v>
      </c>
      <c r="R214" s="518" t="str">
        <f>IF(AND(_A="B-737-900",'2024'!$I$4="CA",'2024'!$I$2=R195),'2024DATA'!$C$21,"")</f>
        <v/>
      </c>
      <c r="S214" s="518" t="str">
        <f>IF(AND(_A="B-737-900",'2024'!$I$4="CA",'2024'!$I$2=S195),'2024DATA'!$D$21,"")</f>
        <v/>
      </c>
      <c r="T214" s="518" t="str">
        <f>IF(AND(_A="B-737-900",'2024'!$I$4="CA",'2024'!$I$2=T195),'2024DATA'!$E$21,"")</f>
        <v/>
      </c>
      <c r="U214" s="518" t="str">
        <f>IF(AND(_A="B-737-900",'2024'!$I$4="CA",'2024'!$I$2=U195),'2024DATA'!$F$21,"")</f>
        <v/>
      </c>
      <c r="V214" s="518" t="str">
        <f>IF(AND(_A="B-737-900",'2024'!$I$4="CA",'2024'!$I$2=V195),'2024DATA'!$G$21,"")</f>
        <v/>
      </c>
      <c r="W214" s="518" t="str">
        <f>IF(AND(_A="B-737-900",'2024'!$I$4="CA",'2024'!$I$2=W195),'2024DATA'!$H$21,"")</f>
        <v/>
      </c>
      <c r="X214" s="518" t="str">
        <f>IF(AND(_A="B-737-900",'2024'!$I$4="CA",'2024'!$I$2=X195),'2024DATA'!$I$21,"")</f>
        <v/>
      </c>
      <c r="Y214" s="518" t="str">
        <f>IF(AND(_A="B-737-900",'2024'!$I$4="CA",'2024'!$I$2=Y195),'2024DATA'!$J$21,"")</f>
        <v/>
      </c>
      <c r="Z214" s="518" t="str">
        <f>IF(AND(_A="B-737-900",'2024'!$I$4="CA",'2024'!$I$2=Z195),'2024DATA'!$K$21,"")</f>
        <v/>
      </c>
      <c r="AA214" s="518" t="str">
        <f>IF(AND(_A="B-737-900",'2024'!$I$4="CA",'2024'!$I$2=AA195),'2024DATA'!$L$21,"")</f>
        <v/>
      </c>
      <c r="AB214" s="518" t="str">
        <f>IF(AND(_A="B-737-900",'2024'!$I$4="CA",'2024'!$I$2=AB195),'2024DATA'!$M$21,"")</f>
        <v/>
      </c>
      <c r="AC214" s="520" t="str">
        <f>IF(AND(_A="B-737-900",'2024'!$I$4="CA",'2024'!$I$2=AC195),'2024DATA'!$N$21,"")</f>
        <v/>
      </c>
      <c r="AD214" s="940" t="s">
        <v>47</v>
      </c>
      <c r="AE214" s="13" t="s">
        <v>61</v>
      </c>
      <c r="AF214" s="518" t="str">
        <f>IF(AND(_B="B-737-900",'2024'!$I$4="CA",'2024'!$I$2=AF195),'2024DATA'!$C$21,"")</f>
        <v/>
      </c>
      <c r="AG214" s="518" t="str">
        <f>IF(AND(_B="B-737-900",'2024'!$I$4="CA",'2024'!$I$2=AG195),'2024DATA'!$D$21,"")</f>
        <v/>
      </c>
      <c r="AH214" s="518" t="str">
        <f>IF(AND(_B="B-737-900",'2024'!$I$4="CA",'2024'!$I$2=AH195),'2024DATA'!$E$21,"")</f>
        <v/>
      </c>
      <c r="AI214" s="518" t="str">
        <f>IF(AND(_B="B-737-900",'2024'!$I$4="CA",'2024'!$I$2=AI195),'2024DATA'!$F$21,"")</f>
        <v/>
      </c>
      <c r="AJ214" s="518" t="str">
        <f>IF(AND(_B="B-737-900",'2024'!$I$4="CA",'2024'!$I$2=AJ195),'2024DATA'!$G$21,"")</f>
        <v/>
      </c>
      <c r="AK214" s="518" t="str">
        <f>IF(AND(_B="B-737-900",'2024'!$I$4="CA",'2024'!$I$2=AK195),'2024DATA'!$H$21,"")</f>
        <v/>
      </c>
      <c r="AL214" s="518" t="str">
        <f>IF(AND(_B="B-737-900",'2024'!$I$4="CA",'2024'!$I$2=AL195),'2024DATA'!$I$21,"")</f>
        <v/>
      </c>
      <c r="AM214" s="518" t="str">
        <f>IF(AND(_B="B-737-900",'2024'!$I$4="CA",'2024'!$I$2=AM195),'2024DATA'!$J$21,"")</f>
        <v/>
      </c>
      <c r="AN214" s="518" t="str">
        <f>IF(AND(_B="B-737-900",'2024'!$I$4="CA",'2024'!$I$2=AN195),'2024DATA'!$K$21,"")</f>
        <v/>
      </c>
      <c r="AO214" s="518" t="str">
        <f>IF(AND(_B="B-737-900",'2024'!$I$4="CA",'2024'!$I$2=AO195),'2024DATA'!$L$21,"")</f>
        <v/>
      </c>
      <c r="AP214" s="518" t="str">
        <f>IF(AND(_B="B-737-900",'2024'!$I$4="CA",'2024'!$I$2=AP195),'2024DATA'!$M$21,"")</f>
        <v/>
      </c>
      <c r="AQ214" s="520" t="str">
        <f>IF(AND(_B="B-737-900",'2024'!$I$4="CA",'2024'!$I$2=AQ195),'2024DATA'!$N$21,"")</f>
        <v/>
      </c>
      <c r="AR214" s="940" t="s">
        <v>47</v>
      </c>
      <c r="AS214" s="13" t="s">
        <v>61</v>
      </c>
      <c r="AT214" s="518" t="str">
        <f>IF(AND(_C="B-737-900",'2024'!$I$4="CA",'2024'!$I$2=AT195),'2024DATA'!$C$21,"")</f>
        <v/>
      </c>
      <c r="AU214" s="518" t="str">
        <f>IF(AND(_C="B-737-900",'2024'!$I$4="CA",'2024'!$I$2=AU195),'2024DATA'!$D$21,"")</f>
        <v/>
      </c>
      <c r="AV214" s="518" t="str">
        <f>IF(AND(_C="B-737-900",'2024'!$I$4="CA",'2024'!$I$2=AV195),'2024DATA'!$E$21,"")</f>
        <v/>
      </c>
      <c r="AW214" s="518" t="str">
        <f>IF(AND(_C="B-737-900",'2024'!$I$4="CA",'2024'!$I$2=AW195),'2024DATA'!$F$21,"")</f>
        <v/>
      </c>
      <c r="AX214" s="518" t="str">
        <f>IF(AND(_C="B-737-900",'2024'!$I$4="CA",'2024'!$I$2=AX195),'2024DATA'!$G$21,"")</f>
        <v/>
      </c>
      <c r="AY214" s="518" t="str">
        <f>IF(AND(_C="B-737-900",'2024'!$I$4="CA",'2024'!$I$2=AY195),'2024DATA'!$H$21,"")</f>
        <v/>
      </c>
      <c r="AZ214" s="518" t="str">
        <f>IF(AND(_C="B-737-900",'2024'!$I$4="CA",'2024'!$I$2=AZ195),'2024DATA'!$I$21,"")</f>
        <v/>
      </c>
      <c r="BA214" s="518" t="str">
        <f>IF(AND(_C="B-737-900",'2024'!$I$4="CA",'2024'!$I$2=BA195),'2024DATA'!$J$21,"")</f>
        <v/>
      </c>
      <c r="BB214" s="518" t="str">
        <f>IF(AND(_C="B-737-900",'2024'!$I$4="CA",'2024'!$I$2=BB195),'2024DATA'!$K$21,"")</f>
        <v/>
      </c>
      <c r="BC214" s="518" t="str">
        <f>IF(AND(_C="B-737-900",'2024'!$I$4="CA",'2024'!$I$2=BC195),'2024DATA'!$L$21,"")</f>
        <v/>
      </c>
      <c r="BD214" s="518" t="str">
        <f>IF(AND(_C="B-737-900",'2024'!$I$4="CA",'2024'!$I$2=BD195),'2024DATA'!$M$21,"")</f>
        <v/>
      </c>
      <c r="BE214" s="520" t="str">
        <f>IF(AND(_C="B-737-900",'2024'!$I$4="CA",'2024'!$I$2=BE195),'2024DATA'!$N$21,"")</f>
        <v/>
      </c>
      <c r="BF214" s="940" t="s">
        <v>47</v>
      </c>
      <c r="BG214" s="13" t="s">
        <v>61</v>
      </c>
      <c r="BH214" s="518" t="str">
        <f>IF(AND(_D="B-737-900",'2024'!$I$4="CA",'2024'!$I$2=BH195),'2024DATA'!$C$21,"")</f>
        <v/>
      </c>
      <c r="BI214" s="518" t="str">
        <f>IF(AND(_D="B-737-900",'2024'!$I$4="CA",'2024'!$I$2=BI195),'2024DATA'!$D$21,"")</f>
        <v/>
      </c>
      <c r="BJ214" s="518" t="str">
        <f>IF(AND(_D="B-737-900",'2024'!$I$4="CA",'2024'!$I$2=BJ195),'2024DATA'!$E$21,"")</f>
        <v/>
      </c>
      <c r="BK214" s="518" t="str">
        <f>IF(AND(_D="B-737-900",'2024'!$I$4="CA",'2024'!$I$2=BK195),'2024DATA'!$F$21,"")</f>
        <v/>
      </c>
      <c r="BL214" s="518" t="str">
        <f>IF(AND(_D="B-737-900",'2024'!$I$4="CA",'2024'!$I$2=BL195),'2024DATA'!$G$21,"")</f>
        <v/>
      </c>
      <c r="BM214" s="518" t="str">
        <f>IF(AND(_D="B-737-900",'2024'!$I$4="CA",'2024'!$I$2=BM195),'2024DATA'!$H$21,"")</f>
        <v/>
      </c>
      <c r="BN214" s="518" t="str">
        <f>IF(AND(_D="B-737-900",'2024'!$I$4="CA",'2024'!$I$2=BN195),'2024DATA'!$I$21,"")</f>
        <v/>
      </c>
      <c r="BO214" s="518" t="str">
        <f>IF(AND(_D="B-737-900",'2024'!$I$4="CA",'2024'!$I$2=BO195),'2024DATA'!$J$21,"")</f>
        <v/>
      </c>
      <c r="BP214" s="518" t="str">
        <f>IF(AND(_D="B-737-900",'2024'!$I$4="CA",'2024'!$I$2=BP195),'2024DATA'!$K$21,"")</f>
        <v/>
      </c>
      <c r="BQ214" s="518" t="str">
        <f>IF(AND(_D="B-737-900",'2024'!$I$4="CA",'2024'!$I$2=BQ195),'2024DATA'!$L$21,"")</f>
        <v/>
      </c>
      <c r="BR214" s="518" t="str">
        <f>IF(AND(_D="B-737-900",'2024'!$I$4="CA",'2024'!$I$2=BR195),'2024DATA'!$M$21,"")</f>
        <v/>
      </c>
      <c r="BS214" s="520" t="str">
        <f>IF(AND(_D="B-737-900",'2024'!$I$4="CA",'2024'!$I$2=BS195),'2024DATA'!$N$21,"")</f>
        <v/>
      </c>
      <c r="BT214" s="940" t="s">
        <v>47</v>
      </c>
      <c r="BU214" s="13" t="s">
        <v>61</v>
      </c>
      <c r="BV214" s="518" t="str">
        <f>IF(AND(_E="B-737-900",'2024'!$I$4="CA",'2024'!$I$2=BV195),'2024DATA'!$C$21,"")</f>
        <v/>
      </c>
      <c r="BW214" s="518" t="str">
        <f>IF(AND(_E="B-737-900",'2024'!$I$4="CA",'2024'!$I$2=BW195),'2024DATA'!$D$21,"")</f>
        <v/>
      </c>
      <c r="BX214" s="518" t="str">
        <f>IF(AND(_E="B-737-900",'2024'!$I$4="CA",'2024'!$I$2=BX195),'2024DATA'!$E$21,"")</f>
        <v/>
      </c>
      <c r="BY214" s="518" t="str">
        <f>IF(AND(_E="B-737-900",'2024'!$I$4="CA",'2024'!$I$2=BY195),'2024DATA'!$F$21,"")</f>
        <v/>
      </c>
      <c r="BZ214" s="518" t="str">
        <f>IF(AND(_E="B-737-900",'2024'!$I$4="CA",'2024'!$I$2=BZ195),'2024DATA'!$G$21,"")</f>
        <v/>
      </c>
      <c r="CA214" s="518" t="str">
        <f>IF(AND(_E="B-737-900",'2024'!$I$4="CA",'2024'!$I$2=CA195),'2024DATA'!$H$21,"")</f>
        <v/>
      </c>
      <c r="CB214" s="518" t="str">
        <f>IF(AND(_E="B-737-900",'2024'!$I$4="CA",'2024'!$I$2=CB195),'2024DATA'!$I$21,"")</f>
        <v/>
      </c>
      <c r="CC214" s="518" t="str">
        <f>IF(AND(_E="B-737-900",'2024'!$I$4="CA",'2024'!$I$2=CC195),'2024DATA'!$J$21,"")</f>
        <v/>
      </c>
      <c r="CD214" s="518" t="str">
        <f>IF(AND(_E="B-737-900",'2024'!$I$4="CA",'2024'!$I$2=CD195),'2024DATA'!$K$21,"")</f>
        <v/>
      </c>
      <c r="CE214" s="518" t="str">
        <f>IF(AND(_E="B-737-900",'2024'!$I$4="CA",'2024'!$I$2=CE195),'2024DATA'!$L$21,"")</f>
        <v/>
      </c>
      <c r="CF214" s="518" t="str">
        <f>IF(AND(_E="B-737-900",'2024'!$I$4="CA",'2024'!$I$2=CF195),'2024DATA'!$M$21,"")</f>
        <v/>
      </c>
      <c r="CG214" s="520" t="str">
        <f>IF(AND(_E="B-737-900",'2024'!$I$4="CA",'2024'!$I$2=CG195),'2024DATA'!$N$21,"")</f>
        <v/>
      </c>
      <c r="CH214" s="940" t="s">
        <v>47</v>
      </c>
      <c r="CI214" s="13" t="s">
        <v>61</v>
      </c>
      <c r="CJ214" s="518" t="str">
        <f>IF(AND(_F="B-737-900",'2024'!$I$4="CA",'2024'!$I$2=CJ195),'2024DATA'!$C$21,"")</f>
        <v/>
      </c>
      <c r="CK214" s="518" t="str">
        <f>IF(AND(_F="B-737-900",'2024'!$I$4="CA",'2024'!$I$2=CK195),'2024DATA'!$D$21,"")</f>
        <v/>
      </c>
      <c r="CL214" s="518" t="str">
        <f>IF(AND(_F="B-737-900",'2024'!$I$4="CA",'2024'!$I$2=CL195),'2024DATA'!$E$21,"")</f>
        <v/>
      </c>
      <c r="CM214" s="518" t="str">
        <f>IF(AND(_F="B-737-900",'2024'!$I$4="CA",'2024'!$I$2=CM195),'2024DATA'!$F$21,"")</f>
        <v/>
      </c>
      <c r="CN214" s="518" t="str">
        <f>IF(AND(_F="B-737-900",'2024'!$I$4="CA",'2024'!$I$2=CN195),'2024DATA'!$G$21,"")</f>
        <v/>
      </c>
      <c r="CO214" s="518" t="str">
        <f>IF(AND(_F="B-737-900",'2024'!$I$4="CA",'2024'!$I$2=CO195),'2024DATA'!$H$21,"")</f>
        <v/>
      </c>
      <c r="CP214" s="518" t="str">
        <f>IF(AND(_F="B-737-900",'2024'!$I$4="CA",'2024'!$I$2=CP195),'2024DATA'!$I$21,"")</f>
        <v/>
      </c>
      <c r="CQ214" s="518" t="str">
        <f>IF(AND(_F="B-737-900",'2024'!$I$4="CA",'2024'!$I$2=CQ195),'2024DATA'!$J$21,"")</f>
        <v/>
      </c>
      <c r="CR214" s="518" t="str">
        <f>IF(AND(_F="B-737-900",'2024'!$I$4="CA",'2024'!$I$2=CR195),'2024DATA'!$K$21,"")</f>
        <v/>
      </c>
      <c r="CS214" s="518" t="str">
        <f>IF(AND(_F="B-737-900",'2024'!$I$4="CA",'2024'!$I$2=CS195),'2024DATA'!$L$21,"")</f>
        <v/>
      </c>
      <c r="CT214" s="518" t="str">
        <f>IF(AND(_F="B-737-900",'2024'!$I$4="CA",'2024'!$I$2=CT195),'2024DATA'!$M$21,"")</f>
        <v/>
      </c>
      <c r="CU214" s="520" t="str">
        <f>IF(AND(_F="B-737-900",'2024'!$I$4="CA",'2024'!$I$2=CU195),'2024DATA'!$N$21,"")</f>
        <v/>
      </c>
    </row>
    <row r="215" spans="16:99" x14ac:dyDescent="0.25">
      <c r="P215" s="940"/>
      <c r="Q215" s="13" t="s">
        <v>62</v>
      </c>
      <c r="R215" s="518" t="str">
        <f>IF(AND(_A="B-737-900",'2024'!$I$4="FO",'2024'!$I$2=R195),'2024DATA'!$C$22,"")</f>
        <v/>
      </c>
      <c r="S215" s="518" t="str">
        <f>IF(AND(_A="B-737-900",'2024'!$I$4="FO",'2024'!$I$2=S195),'2024DATA'!$D$22,"")</f>
        <v/>
      </c>
      <c r="T215" s="518" t="str">
        <f>IF(AND(_A="B-737-900",'2024'!$I$4="FO",'2024'!$I$2=T195),'2024DATA'!$E$22,"")</f>
        <v/>
      </c>
      <c r="U215" s="518" t="str">
        <f>IF(AND(_A="B-737-900",'2024'!$I$4="FO",'2024'!$I$2=U195),'2024DATA'!$F$22,"")</f>
        <v/>
      </c>
      <c r="V215" s="518" t="str">
        <f>IF(AND(_A="B-737-900",'2024'!$I$4="FO",'2024'!$I$2=V195),'2024DATA'!$G$22,"")</f>
        <v/>
      </c>
      <c r="W215" s="518" t="str">
        <f>IF(AND(_A="B-737-900",'2024'!$I$4="FO",'2024'!$I$2=W195),'2024DATA'!$H$22,"")</f>
        <v/>
      </c>
      <c r="X215" s="518" t="str">
        <f>IF(AND(_A="B-737-900",'2024'!$I$4="FO",'2024'!$I$2=X195),'2024DATA'!$I$22,"")</f>
        <v/>
      </c>
      <c r="Y215" s="518" t="str">
        <f>IF(AND(_A="B-737-900",'2024'!$I$4="FO",'2024'!$I$2=Y195),'2024DATA'!$J$22,"")</f>
        <v/>
      </c>
      <c r="Z215" s="518" t="str">
        <f>IF(AND(_A="B-737-900",'2024'!$I$4="FO",'2024'!$I$2=Z195),'2024DATA'!$K$22,"")</f>
        <v/>
      </c>
      <c r="AA215" s="518" t="str">
        <f>IF(AND(_A="B-737-900",'2024'!$I$4="FO",'2024'!$I$2=AA195),'2024DATA'!$L$22,"")</f>
        <v/>
      </c>
      <c r="AB215" s="518" t="str">
        <f>IF(AND(_A="B-737-900",'2024'!$I$4="FO",'2024'!$I$2=AB195),'2024DATA'!$M$22,"")</f>
        <v/>
      </c>
      <c r="AC215" s="520" t="str">
        <f>IF(AND(_A="B-737-900",'2024'!$I$4="FO",'2024'!$I$2=AC195),'2024DATA'!$N$22,"")</f>
        <v/>
      </c>
      <c r="AD215" s="940"/>
      <c r="AE215" s="13" t="s">
        <v>62</v>
      </c>
      <c r="AF215" s="518" t="str">
        <f>IF(AND(_B="B-737-900",'2024'!$I$4="FO",'2024'!$I$2=AF195),'2024DATA'!$C$22,"")</f>
        <v/>
      </c>
      <c r="AG215" s="518" t="str">
        <f>IF(AND(_B="B-737-900",'2024'!$I$4="FO",'2024'!$I$2=AG195),'2024DATA'!$D$22,"")</f>
        <v/>
      </c>
      <c r="AH215" s="518" t="str">
        <f>IF(AND(_B="B-737-900",'2024'!$I$4="FO",'2024'!$I$2=AH195),'2024DATA'!$E$22,"")</f>
        <v/>
      </c>
      <c r="AI215" s="518" t="str">
        <f>IF(AND(_B="B-737-900",'2024'!$I$4="FO",'2024'!$I$2=AI195),'2024DATA'!$F$22,"")</f>
        <v/>
      </c>
      <c r="AJ215" s="518" t="str">
        <f>IF(AND(_B="B-737-900",'2024'!$I$4="FO",'2024'!$I$2=AJ195),'2024DATA'!$G$22,"")</f>
        <v/>
      </c>
      <c r="AK215" s="518" t="str">
        <f>IF(AND(_B="B-737-900",'2024'!$I$4="FO",'2024'!$I$2=AK195),'2024DATA'!$H$22,"")</f>
        <v/>
      </c>
      <c r="AL215" s="518" t="str">
        <f>IF(AND(_B="B-737-900",'2024'!$I$4="FO",'2024'!$I$2=AL195),'2024DATA'!$I$22,"")</f>
        <v/>
      </c>
      <c r="AM215" s="518" t="str">
        <f>IF(AND(_B="B-737-900",'2024'!$I$4="FO",'2024'!$I$2=AM195),'2024DATA'!$J$22,"")</f>
        <v/>
      </c>
      <c r="AN215" s="518" t="str">
        <f>IF(AND(_B="B-737-900",'2024'!$I$4="FO",'2024'!$I$2=AN195),'2024DATA'!$K$22,"")</f>
        <v/>
      </c>
      <c r="AO215" s="518" t="str">
        <f>IF(AND(_B="B-737-900",'2024'!$I$4="FO",'2024'!$I$2=AO195),'2024DATA'!$L$22,"")</f>
        <v/>
      </c>
      <c r="AP215" s="518" t="str">
        <f>IF(AND(_B="B-737-900",'2024'!$I$4="FO",'2024'!$I$2=AP195),'2024DATA'!$M$22,"")</f>
        <v/>
      </c>
      <c r="AQ215" s="520" t="str">
        <f>IF(AND(_B="B-737-900",'2024'!$I$4="FO",'2024'!$I$2=AQ195),'2024DATA'!$N$22,"")</f>
        <v/>
      </c>
      <c r="AR215" s="940"/>
      <c r="AS215" s="13" t="s">
        <v>62</v>
      </c>
      <c r="AT215" s="518" t="str">
        <f>IF(AND(_C="B-737-900",'2024'!$I$4="FO",'2024'!$I$2=AT195),'2024DATA'!$C$22,"")</f>
        <v/>
      </c>
      <c r="AU215" s="518" t="str">
        <f>IF(AND(_C="B-737-900",'2024'!$I$4="FO",'2024'!$I$2=AU195),'2024DATA'!$D$22,"")</f>
        <v/>
      </c>
      <c r="AV215" s="518" t="str">
        <f>IF(AND(_C="B-737-900",'2024'!$I$4="FO",'2024'!$I$2=AV195),'2024DATA'!$E$22,"")</f>
        <v/>
      </c>
      <c r="AW215" s="518" t="str">
        <f>IF(AND(_C="B-737-900",'2024'!$I$4="FO",'2024'!$I$2=AW195),'2024DATA'!$F$22,"")</f>
        <v/>
      </c>
      <c r="AX215" s="518" t="str">
        <f>IF(AND(_C="B-737-900",'2024'!$I$4="FO",'2024'!$I$2=AX195),'2024DATA'!$G$22,"")</f>
        <v/>
      </c>
      <c r="AY215" s="518" t="str">
        <f>IF(AND(_C="B-737-900",'2024'!$I$4="FO",'2024'!$I$2=AY195),'2024DATA'!$H$22,"")</f>
        <v/>
      </c>
      <c r="AZ215" s="518" t="str">
        <f>IF(AND(_C="B-737-900",'2024'!$I$4="FO",'2024'!$I$2=AZ195),'2024DATA'!$I$22,"")</f>
        <v/>
      </c>
      <c r="BA215" s="518" t="str">
        <f>IF(AND(_C="B-737-900",'2024'!$I$4="FO",'2024'!$I$2=BA195),'2024DATA'!$J$22,"")</f>
        <v/>
      </c>
      <c r="BB215" s="518" t="str">
        <f>IF(AND(_C="B-737-900",'2024'!$I$4="FO",'2024'!$I$2=BB195),'2024DATA'!$K$22,"")</f>
        <v/>
      </c>
      <c r="BC215" s="518" t="str">
        <f>IF(AND(_C="B-737-900",'2024'!$I$4="FO",'2024'!$I$2=BC195),'2024DATA'!$L$22,"")</f>
        <v/>
      </c>
      <c r="BD215" s="518" t="str">
        <f>IF(AND(_C="B-737-900",'2024'!$I$4="FO",'2024'!$I$2=BD195),'2024DATA'!$M$22,"")</f>
        <v/>
      </c>
      <c r="BE215" s="520" t="str">
        <f>IF(AND(_C="B-737-900",'2024'!$I$4="FO",'2024'!$I$2=BE195),'2024DATA'!$N$22,"")</f>
        <v/>
      </c>
      <c r="BF215" s="940"/>
      <c r="BG215" s="13" t="s">
        <v>62</v>
      </c>
      <c r="BH215" s="518" t="str">
        <f>IF(AND(_D="B-737-900",'2024'!$I$4="FO",'2024'!$I$2=BH195),'2024DATA'!$C$22,"")</f>
        <v/>
      </c>
      <c r="BI215" s="518" t="str">
        <f>IF(AND(_D="B-737-900",'2024'!$I$4="FO",'2024'!$I$2=BI195),'2024DATA'!$D$22,"")</f>
        <v/>
      </c>
      <c r="BJ215" s="518" t="str">
        <f>IF(AND(_D="B-737-900",'2024'!$I$4="FO",'2024'!$I$2=BJ195),'2024DATA'!$E$22,"")</f>
        <v/>
      </c>
      <c r="BK215" s="518" t="str">
        <f>IF(AND(_D="B-737-900",'2024'!$I$4="FO",'2024'!$I$2=BK195),'2024DATA'!$F$22,"")</f>
        <v/>
      </c>
      <c r="BL215" s="518" t="str">
        <f>IF(AND(_D="B-737-900",'2024'!$I$4="FO",'2024'!$I$2=BL195),'2024DATA'!$G$22,"")</f>
        <v/>
      </c>
      <c r="BM215" s="518" t="str">
        <f>IF(AND(_D="B-737-900",'2024'!$I$4="FO",'2024'!$I$2=BM195),'2024DATA'!$H$22,"")</f>
        <v/>
      </c>
      <c r="BN215" s="518" t="str">
        <f>IF(AND(_D="B-737-900",'2024'!$I$4="FO",'2024'!$I$2=BN195),'2024DATA'!$I$22,"")</f>
        <v/>
      </c>
      <c r="BO215" s="518" t="str">
        <f>IF(AND(_D="B-737-900",'2024'!$I$4="FO",'2024'!$I$2=BO195),'2024DATA'!$J$22,"")</f>
        <v/>
      </c>
      <c r="BP215" s="518" t="str">
        <f>IF(AND(_D="B-737-900",'2024'!$I$4="FO",'2024'!$I$2=BP195),'2024DATA'!$K$22,"")</f>
        <v/>
      </c>
      <c r="BQ215" s="518" t="str">
        <f>IF(AND(_D="B-737-900",'2024'!$I$4="FO",'2024'!$I$2=BQ195),'2024DATA'!$L$22,"")</f>
        <v/>
      </c>
      <c r="BR215" s="518" t="str">
        <f>IF(AND(_D="B-737-900",'2024'!$I$4="FO",'2024'!$I$2=BR195),'2024DATA'!$M$22,"")</f>
        <v/>
      </c>
      <c r="BS215" s="520" t="str">
        <f>IF(AND(_D="B-737-900",'2024'!$I$4="FO",'2024'!$I$2=BS195),'2024DATA'!$N$22,"")</f>
        <v/>
      </c>
      <c r="BT215" s="940"/>
      <c r="BU215" s="13" t="s">
        <v>62</v>
      </c>
      <c r="BV215" s="518" t="str">
        <f>IF(AND(_E="B-737-900",'2024'!$I$4="FO",'2024'!$I$2=BV195),'2024DATA'!$C$22,"")</f>
        <v/>
      </c>
      <c r="BW215" s="518" t="str">
        <f>IF(AND(_E="B-737-900",'2024'!$I$4="FO",'2024'!$I$2=BW195),'2024DATA'!$D$22,"")</f>
        <v/>
      </c>
      <c r="BX215" s="518" t="str">
        <f>IF(AND(_E="B-737-900",'2024'!$I$4="FO",'2024'!$I$2=BX195),'2024DATA'!$E$22,"")</f>
        <v/>
      </c>
      <c r="BY215" s="518" t="str">
        <f>IF(AND(_E="B-737-900",'2024'!$I$4="FO",'2024'!$I$2=BY195),'2024DATA'!$F$22,"")</f>
        <v/>
      </c>
      <c r="BZ215" s="518" t="str">
        <f>IF(AND(_E="B-737-900",'2024'!$I$4="FO",'2024'!$I$2=BZ195),'2024DATA'!$G$22,"")</f>
        <v/>
      </c>
      <c r="CA215" s="518" t="str">
        <f>IF(AND(_E="B-737-900",'2024'!$I$4="FO",'2024'!$I$2=CA195),'2024DATA'!$H$22,"")</f>
        <v/>
      </c>
      <c r="CB215" s="518" t="str">
        <f>IF(AND(_E="B-737-900",'2024'!$I$4="FO",'2024'!$I$2=CB195),'2024DATA'!$I$22,"")</f>
        <v/>
      </c>
      <c r="CC215" s="518" t="str">
        <f>IF(AND(_E="B-737-900",'2024'!$I$4="FO",'2024'!$I$2=CC195),'2024DATA'!$J$22,"")</f>
        <v/>
      </c>
      <c r="CD215" s="518" t="str">
        <f>IF(AND(_E="B-737-900",'2024'!$I$4="FO",'2024'!$I$2=CD195),'2024DATA'!$K$22,"")</f>
        <v/>
      </c>
      <c r="CE215" s="518" t="str">
        <f>IF(AND(_E="B-737-900",'2024'!$I$4="FO",'2024'!$I$2=CE195),'2024DATA'!$L$22,"")</f>
        <v/>
      </c>
      <c r="CF215" s="518" t="str">
        <f>IF(AND(_E="B-737-900",'2024'!$I$4="FO",'2024'!$I$2=CF195),'2024DATA'!$M$22,"")</f>
        <v/>
      </c>
      <c r="CG215" s="520" t="str">
        <f>IF(AND(_E="B-737-900",'2024'!$I$4="FO",'2024'!$I$2=CG195),'2024DATA'!$N$22,"")</f>
        <v/>
      </c>
      <c r="CH215" s="940"/>
      <c r="CI215" s="13" t="s">
        <v>62</v>
      </c>
      <c r="CJ215" s="518" t="str">
        <f>IF(AND(_F="B-737-900",'2024'!$I$4="FO",'2024'!$I$2=CJ195),'2024DATA'!$C$22,"")</f>
        <v/>
      </c>
      <c r="CK215" s="518" t="str">
        <f>IF(AND(_F="B-737-900",'2024'!$I$4="FO",'2024'!$I$2=CK195),'2024DATA'!$D$22,"")</f>
        <v/>
      </c>
      <c r="CL215" s="518" t="str">
        <f>IF(AND(_F="B-737-900",'2024'!$I$4="FO",'2024'!$I$2=CL195),'2024DATA'!$E$22,"")</f>
        <v/>
      </c>
      <c r="CM215" s="518" t="str">
        <f>IF(AND(_F="B-737-900",'2024'!$I$4="FO",'2024'!$I$2=CM195),'2024DATA'!$F$22,"")</f>
        <v/>
      </c>
      <c r="CN215" s="518" t="str">
        <f>IF(AND(_F="B-737-900",'2024'!$I$4="FO",'2024'!$I$2=CN195),'2024DATA'!$G$22,"")</f>
        <v/>
      </c>
      <c r="CO215" s="518" t="str">
        <f>IF(AND(_F="B-737-900",'2024'!$I$4="FO",'2024'!$I$2=CO195),'2024DATA'!$H$22,"")</f>
        <v/>
      </c>
      <c r="CP215" s="518" t="str">
        <f>IF(AND(_F="B-737-900",'2024'!$I$4="FO",'2024'!$I$2=CP195),'2024DATA'!$I$22,"")</f>
        <v/>
      </c>
      <c r="CQ215" s="518" t="str">
        <f>IF(AND(_F="B-737-900",'2024'!$I$4="FO",'2024'!$I$2=CQ195),'2024DATA'!$J$22,"")</f>
        <v/>
      </c>
      <c r="CR215" s="518" t="str">
        <f>IF(AND(_F="B-737-900",'2024'!$I$4="FO",'2024'!$I$2=CR195),'2024DATA'!$K$22,"")</f>
        <v/>
      </c>
      <c r="CS215" s="518" t="str">
        <f>IF(AND(_F="B-737-900",'2024'!$I$4="FO",'2024'!$I$2=CS195),'2024DATA'!$L$22,"")</f>
        <v/>
      </c>
      <c r="CT215" s="518" t="str">
        <f>IF(AND(_F="B-737-900",'2024'!$I$4="FO",'2024'!$I$2=CT195),'2024DATA'!$M$22,"")</f>
        <v/>
      </c>
      <c r="CU215" s="520" t="str">
        <f>IF(AND(_F="B-737-900",'2024'!$I$4="FO",'2024'!$I$2=CU195),'2024DATA'!$N$22,"")</f>
        <v/>
      </c>
    </row>
    <row r="216" spans="16:99" x14ac:dyDescent="0.25">
      <c r="P216" s="940" t="s">
        <v>69</v>
      </c>
      <c r="Q216" s="13" t="s">
        <v>61</v>
      </c>
      <c r="R216" s="518" t="str">
        <f>IF(AND(_A="B-737-800",'2024'!$I$4="CA",'2024'!$I$2=R195),'2024DATA'!$C$23,"")</f>
        <v/>
      </c>
      <c r="S216" s="518" t="str">
        <f>IF(AND(_A="B-737-800",'2024'!$I$4="CA",'2024'!$I$2=S195),'2024DATA'!$D$23,"")</f>
        <v/>
      </c>
      <c r="T216" s="518" t="str">
        <f>IF(AND(_A="B-737-800",'2024'!$I$4="CA",'2024'!$I$2=T195),'2024DATA'!$E$23,"")</f>
        <v/>
      </c>
      <c r="U216" s="518" t="str">
        <f>IF(AND(_A="B-737-800",'2024'!$I$4="CA",'2024'!$I$2=U195),'2024DATA'!$F$23,"")</f>
        <v/>
      </c>
      <c r="V216" s="518" t="str">
        <f>IF(AND(_A="B-737-800",'2024'!$I$4="CA",'2024'!$I$2=V195),'2024DATA'!$G$23,"")</f>
        <v/>
      </c>
      <c r="W216" s="518" t="str">
        <f>IF(AND(_A="B-737-800",'2024'!$I$4="CA",'2024'!$I$2=W195),'2024DATA'!$H$23,"")</f>
        <v/>
      </c>
      <c r="X216" s="518" t="str">
        <f>IF(AND(_A="B-737-800",'2024'!$I$4="CA",'2024'!$I$2=X195),'2024DATA'!$I$23,"")</f>
        <v/>
      </c>
      <c r="Y216" s="518" t="str">
        <f>IF(AND(_A="B-737-800",'2024'!$I$4="CA",'2024'!$I$2=Y195),'2024DATA'!$J$23,"")</f>
        <v/>
      </c>
      <c r="Z216" s="518" t="str">
        <f>IF(AND(_A="B-737-800",'2024'!$I$4="CA",'2024'!$I$2=Z195),'2024DATA'!$K$23,"")</f>
        <v/>
      </c>
      <c r="AA216" s="518" t="str">
        <f>IF(AND(_A="B-737-800",'2024'!$I$4="CA",'2024'!$I$2=AA195),'2024DATA'!$L$23,"")</f>
        <v/>
      </c>
      <c r="AB216" s="518" t="str">
        <f>IF(AND(_A="B-737-800",'2024'!$I$4="CA",'2024'!$I$2=AB195),'2024DATA'!$M$23,"")</f>
        <v/>
      </c>
      <c r="AC216" s="520" t="str">
        <f>IF(AND(_A="B-737-800",'2024'!$I$4="CA",'2024'!$I$2=AC195),'2024DATA'!$N$23,"")</f>
        <v/>
      </c>
      <c r="AD216" s="940" t="s">
        <v>69</v>
      </c>
      <c r="AE216" s="13" t="s">
        <v>61</v>
      </c>
      <c r="AF216" s="518" t="str">
        <f>IF(AND(_B="B-737-800",'2024'!$I$4="CA",'2024'!$I$2=AF195),'2024DATA'!$C$23,"")</f>
        <v/>
      </c>
      <c r="AG216" s="518" t="str">
        <f>IF(AND(_B="B-737-800",'2024'!$I$4="CA",'2024'!$I$2=AG195),'2024DATA'!$D$23,"")</f>
        <v/>
      </c>
      <c r="AH216" s="518" t="str">
        <f>IF(AND(_B="B-737-800",'2024'!$I$4="CA",'2024'!$I$2=AH195),'2024DATA'!$E$23,"")</f>
        <v/>
      </c>
      <c r="AI216" s="518" t="str">
        <f>IF(AND(_B="B-737-800",'2024'!$I$4="CA",'2024'!$I$2=AI195),'2024DATA'!$F$23,"")</f>
        <v/>
      </c>
      <c r="AJ216" s="518" t="str">
        <f>IF(AND(_B="B-737-800",'2024'!$I$4="CA",'2024'!$I$2=AJ195),'2024DATA'!$G$23,"")</f>
        <v/>
      </c>
      <c r="AK216" s="518" t="str">
        <f>IF(AND(_B="B-737-800",'2024'!$I$4="CA",'2024'!$I$2=AK195),'2024DATA'!$H$23,"")</f>
        <v/>
      </c>
      <c r="AL216" s="518" t="str">
        <f>IF(AND(_B="B-737-800",'2024'!$I$4="CA",'2024'!$I$2=AL195),'2024DATA'!$I$23,"")</f>
        <v/>
      </c>
      <c r="AM216" s="518" t="str">
        <f>IF(AND(_B="B-737-800",'2024'!$I$4="CA",'2024'!$I$2=AM195),'2024DATA'!$J$23,"")</f>
        <v/>
      </c>
      <c r="AN216" s="518" t="str">
        <f>IF(AND(_B="B-737-800",'2024'!$I$4="CA",'2024'!$I$2=AN195),'2024DATA'!$K$23,"")</f>
        <v/>
      </c>
      <c r="AO216" s="518" t="str">
        <f>IF(AND(_B="B-737-800",'2024'!$I$4="CA",'2024'!$I$2=AO195),'2024DATA'!$L$23,"")</f>
        <v/>
      </c>
      <c r="AP216" s="518" t="str">
        <f>IF(AND(_B="B-737-800",'2024'!$I$4="CA",'2024'!$I$2=AP195),'2024DATA'!$M$23,"")</f>
        <v/>
      </c>
      <c r="AQ216" s="520" t="str">
        <f>IF(AND(_B="B-737-800",'2024'!$I$4="CA",'2024'!$I$2=AQ195),'2024DATA'!$N$23,"")</f>
        <v/>
      </c>
      <c r="AR216" s="940" t="s">
        <v>69</v>
      </c>
      <c r="AS216" s="13" t="s">
        <v>61</v>
      </c>
      <c r="AT216" s="518" t="str">
        <f>IF(AND(_C="B-737-800",'2024'!$I$4="CA",'2024'!$I$2=AT195),'2024DATA'!$C$23,"")</f>
        <v/>
      </c>
      <c r="AU216" s="518" t="str">
        <f>IF(AND(_C="B-737-800",'2024'!$I$4="CA",'2024'!$I$2=AU195),'2024DATA'!$D$23,"")</f>
        <v/>
      </c>
      <c r="AV216" s="518" t="str">
        <f>IF(AND(_C="B-737-800",'2024'!$I$4="CA",'2024'!$I$2=AV195),'2024DATA'!$E$23,"")</f>
        <v/>
      </c>
      <c r="AW216" s="518" t="str">
        <f>IF(AND(_C="B-737-800",'2024'!$I$4="CA",'2024'!$I$2=AW195),'2024DATA'!$F$23,"")</f>
        <v/>
      </c>
      <c r="AX216" s="518" t="str">
        <f>IF(AND(_C="B-737-800",'2024'!$I$4="CA",'2024'!$I$2=AX195),'2024DATA'!$G$23,"")</f>
        <v/>
      </c>
      <c r="AY216" s="518" t="str">
        <f>IF(AND(_C="B-737-800",'2024'!$I$4="CA",'2024'!$I$2=AY195),'2024DATA'!$H$23,"")</f>
        <v/>
      </c>
      <c r="AZ216" s="518" t="str">
        <f>IF(AND(_C="B-737-800",'2024'!$I$4="CA",'2024'!$I$2=AZ195),'2024DATA'!$I$23,"")</f>
        <v/>
      </c>
      <c r="BA216" s="518" t="str">
        <f>IF(AND(_C="B-737-800",'2024'!$I$4="CA",'2024'!$I$2=BA195),'2024DATA'!$J$23,"")</f>
        <v/>
      </c>
      <c r="BB216" s="518" t="str">
        <f>IF(AND(_C="B-737-800",'2024'!$I$4="CA",'2024'!$I$2=BB195),'2024DATA'!$K$23,"")</f>
        <v/>
      </c>
      <c r="BC216" s="518" t="str">
        <f>IF(AND(_C="B-737-800",'2024'!$I$4="CA",'2024'!$I$2=BC195),'2024DATA'!$L$23,"")</f>
        <v/>
      </c>
      <c r="BD216" s="518" t="str">
        <f>IF(AND(_C="B-737-800",'2024'!$I$4="CA",'2024'!$I$2=BD195),'2024DATA'!$M$23,"")</f>
        <v/>
      </c>
      <c r="BE216" s="520" t="str">
        <f>IF(AND(_C="B-737-800",'2024'!$I$4="CA",'2024'!$I$2=BE195),'2024DATA'!$N$23,"")</f>
        <v/>
      </c>
      <c r="BF216" s="940" t="s">
        <v>69</v>
      </c>
      <c r="BG216" s="13" t="s">
        <v>61</v>
      </c>
      <c r="BH216" s="518" t="str">
        <f>IF(AND(_D="B-737-800",'2024'!$I$4="CA",'2024'!$I$2=BH195),'2024DATA'!$C$23,"")</f>
        <v/>
      </c>
      <c r="BI216" s="518" t="str">
        <f>IF(AND(_D="B-737-800",'2024'!$I$4="CA",'2024'!$I$2=BI195),'2024DATA'!$D$23,"")</f>
        <v/>
      </c>
      <c r="BJ216" s="518" t="str">
        <f>IF(AND(_D="B-737-800",'2024'!$I$4="CA",'2024'!$I$2=BJ195),'2024DATA'!$E$23,"")</f>
        <v/>
      </c>
      <c r="BK216" s="518" t="str">
        <f>IF(AND(_D="B-737-800",'2024'!$I$4="CA",'2024'!$I$2=BK195),'2024DATA'!$F$23,"")</f>
        <v/>
      </c>
      <c r="BL216" s="518" t="str">
        <f>IF(AND(_D="B-737-800",'2024'!$I$4="CA",'2024'!$I$2=BL195),'2024DATA'!$G$23,"")</f>
        <v/>
      </c>
      <c r="BM216" s="518" t="str">
        <f>IF(AND(_D="B-737-800",'2024'!$I$4="CA",'2024'!$I$2=BM195),'2024DATA'!$H$23,"")</f>
        <v/>
      </c>
      <c r="BN216" s="518" t="str">
        <f>IF(AND(_D="B-737-800",'2024'!$I$4="CA",'2024'!$I$2=BN195),'2024DATA'!$I$23,"")</f>
        <v/>
      </c>
      <c r="BO216" s="518" t="str">
        <f>IF(AND(_D="B-737-800",'2024'!$I$4="CA",'2024'!$I$2=BO195),'2024DATA'!$J$23,"")</f>
        <v/>
      </c>
      <c r="BP216" s="518" t="str">
        <f>IF(AND(_D="B-737-800",'2024'!$I$4="CA",'2024'!$I$2=BP195),'2024DATA'!$K$23,"")</f>
        <v/>
      </c>
      <c r="BQ216" s="518" t="str">
        <f>IF(AND(_D="B-737-800",'2024'!$I$4="CA",'2024'!$I$2=BQ195),'2024DATA'!$L$23,"")</f>
        <v/>
      </c>
      <c r="BR216" s="518" t="str">
        <f>IF(AND(_D="B-737-800",'2024'!$I$4="CA",'2024'!$I$2=BR195),'2024DATA'!$M$23,"")</f>
        <v/>
      </c>
      <c r="BS216" s="520" t="str">
        <f>IF(AND(_D="B-737-800",'2024'!$I$4="CA",'2024'!$I$2=BS195),'2024DATA'!$N$23,"")</f>
        <v/>
      </c>
      <c r="BT216" s="940" t="s">
        <v>69</v>
      </c>
      <c r="BU216" s="13" t="s">
        <v>61</v>
      </c>
      <c r="BV216" s="518" t="str">
        <f>IF(AND(_E="B-737-800",'2024'!$I$4="CA",'2024'!$I$2=BV195),'2024DATA'!$C$23,"")</f>
        <v/>
      </c>
      <c r="BW216" s="518" t="str">
        <f>IF(AND(_E="B-737-800",'2024'!$I$4="CA",'2024'!$I$2=BW195),'2024DATA'!$D$23,"")</f>
        <v/>
      </c>
      <c r="BX216" s="518" t="str">
        <f>IF(AND(_E="B-737-800",'2024'!$I$4="CA",'2024'!$I$2=BX195),'2024DATA'!$E$23,"")</f>
        <v/>
      </c>
      <c r="BY216" s="518" t="str">
        <f>IF(AND(_E="B-737-800",'2024'!$I$4="CA",'2024'!$I$2=BY195),'2024DATA'!$F$23,"")</f>
        <v/>
      </c>
      <c r="BZ216" s="518" t="str">
        <f>IF(AND(_E="B-737-800",'2024'!$I$4="CA",'2024'!$I$2=BZ195),'2024DATA'!$G$23,"")</f>
        <v/>
      </c>
      <c r="CA216" s="518" t="str">
        <f>IF(AND(_E="B-737-800",'2024'!$I$4="CA",'2024'!$I$2=CA195),'2024DATA'!$H$23,"")</f>
        <v/>
      </c>
      <c r="CB216" s="518" t="str">
        <f>IF(AND(_E="B-737-800",'2024'!$I$4="CA",'2024'!$I$2=CB195),'2024DATA'!$I$23,"")</f>
        <v/>
      </c>
      <c r="CC216" s="518" t="str">
        <f>IF(AND(_E="B-737-800",'2024'!$I$4="CA",'2024'!$I$2=CC195),'2024DATA'!$J$23,"")</f>
        <v/>
      </c>
      <c r="CD216" s="518" t="str">
        <f>IF(AND(_E="B-737-800",'2024'!$I$4="CA",'2024'!$I$2=CD195),'2024DATA'!$K$23,"")</f>
        <v/>
      </c>
      <c r="CE216" s="518" t="str">
        <f>IF(AND(_E="B-737-800",'2024'!$I$4="CA",'2024'!$I$2=CE195),'2024DATA'!$L$23,"")</f>
        <v/>
      </c>
      <c r="CF216" s="518" t="str">
        <f>IF(AND(_E="B-737-800",'2024'!$I$4="CA",'2024'!$I$2=CF195),'2024DATA'!$M$23,"")</f>
        <v/>
      </c>
      <c r="CG216" s="520" t="str">
        <f>IF(AND(_E="B-737-800",'2024'!$I$4="CA",'2024'!$I$2=CG195),'2024DATA'!$N$23,"")</f>
        <v/>
      </c>
      <c r="CH216" s="940" t="s">
        <v>69</v>
      </c>
      <c r="CI216" s="13" t="s">
        <v>61</v>
      </c>
      <c r="CJ216" s="518" t="str">
        <f>IF(AND(_F="B-737-800",'2024'!$I$4="CA",'2024'!$I$2=CJ195),'2024DATA'!$C$23,"")</f>
        <v/>
      </c>
      <c r="CK216" s="518" t="str">
        <f>IF(AND(_F="B-737-800",'2024'!$I$4="CA",'2024'!$I$2=CK195),'2024DATA'!$D$23,"")</f>
        <v/>
      </c>
      <c r="CL216" s="518" t="str">
        <f>IF(AND(_F="B-737-800",'2024'!$I$4="CA",'2024'!$I$2=CL195),'2024DATA'!$E$23,"")</f>
        <v/>
      </c>
      <c r="CM216" s="518" t="str">
        <f>IF(AND(_F="B-737-800",'2024'!$I$4="CA",'2024'!$I$2=CM195),'2024DATA'!$F$23,"")</f>
        <v/>
      </c>
      <c r="CN216" s="518" t="str">
        <f>IF(AND(_F="B-737-800",'2024'!$I$4="CA",'2024'!$I$2=CN195),'2024DATA'!$G$23,"")</f>
        <v/>
      </c>
      <c r="CO216" s="518" t="str">
        <f>IF(AND(_F="B-737-800",'2024'!$I$4="CA",'2024'!$I$2=CO195),'2024DATA'!$H$23,"")</f>
        <v/>
      </c>
      <c r="CP216" s="518" t="str">
        <f>IF(AND(_F="B-737-800",'2024'!$I$4="CA",'2024'!$I$2=CP195),'2024DATA'!$I$23,"")</f>
        <v/>
      </c>
      <c r="CQ216" s="518" t="str">
        <f>IF(AND(_F="B-737-800",'2024'!$I$4="CA",'2024'!$I$2=CQ195),'2024DATA'!$J$23,"")</f>
        <v/>
      </c>
      <c r="CR216" s="518" t="str">
        <f>IF(AND(_F="B-737-800",'2024'!$I$4="CA",'2024'!$I$2=CR195),'2024DATA'!$K$23,"")</f>
        <v/>
      </c>
      <c r="CS216" s="518" t="str">
        <f>IF(AND(_F="B-737-800",'2024'!$I$4="CA",'2024'!$I$2=CS195),'2024DATA'!$L$23,"")</f>
        <v/>
      </c>
      <c r="CT216" s="518" t="str">
        <f>IF(AND(_F="B-737-800",'2024'!$I$4="CA",'2024'!$I$2=CT195),'2024DATA'!$M$23,"")</f>
        <v/>
      </c>
      <c r="CU216" s="520" t="str">
        <f>IF(AND(_F="B-737-800",'2024'!$I$4="CA",'2024'!$I$2=CU195),'2024DATA'!$N$23,"")</f>
        <v/>
      </c>
    </row>
    <row r="217" spans="16:99" x14ac:dyDescent="0.25">
      <c r="P217" s="940"/>
      <c r="Q217" s="13" t="s">
        <v>62</v>
      </c>
      <c r="R217" s="518" t="str">
        <f>IF(AND(_A="B-737-800",'2024'!$I$4="FO",'2024'!$I$2=R195),'2024DATA'!$C$24,"")</f>
        <v/>
      </c>
      <c r="S217" s="518" t="str">
        <f>IF(AND(_A="B-737-800",'2024'!$I$4="FO",'2024'!$I$2=S195),'2024DATA'!$D$24,"")</f>
        <v/>
      </c>
      <c r="T217" s="518" t="str">
        <f>IF(AND(_A="B-737-800",'2024'!$I$4="FO",'2024'!$I$2=T195),'2024DATA'!$E$24,"")</f>
        <v/>
      </c>
      <c r="U217" s="518" t="str">
        <f>IF(AND(_A="B-737-800",'2024'!$I$4="FO",'2024'!$I$2=U195),'2024DATA'!$F$24,"")</f>
        <v/>
      </c>
      <c r="V217" s="518" t="str">
        <f>IF(AND(_A="B-737-800",'2024'!$I$4="FO",'2024'!$I$2=V195),'2024DATA'!$G$24,"")</f>
        <v/>
      </c>
      <c r="W217" s="518" t="str">
        <f>IF(AND(_A="B-737-800",'2024'!$I$4="FO",'2024'!$I$2=W195),'2024DATA'!$H$24,"")</f>
        <v/>
      </c>
      <c r="X217" s="518" t="str">
        <f>IF(AND(_A="B-737-800",'2024'!$I$4="FO",'2024'!$I$2=X195),'2024DATA'!$I$24,"")</f>
        <v/>
      </c>
      <c r="Y217" s="518" t="str">
        <f>IF(AND(_A="B-737-800",'2024'!$I$4="FO",'2024'!$I$2=Y195),'2024DATA'!$J$24,"")</f>
        <v/>
      </c>
      <c r="Z217" s="518" t="str">
        <f>IF(AND(_A="B-737-800",'2024'!$I$4="FO",'2024'!$I$2=Z195),'2024DATA'!$K$24,"")</f>
        <v/>
      </c>
      <c r="AA217" s="518" t="str">
        <f>IF(AND(_A="B-737-800",'2024'!$I$4="FO",'2024'!$I$2=AA195),'2024DATA'!$L$24,"")</f>
        <v/>
      </c>
      <c r="AB217" s="518" t="str">
        <f>IF(AND(_A="B-737-800",'2024'!$I$4="FO",'2024'!$I$2=AB195),'2024DATA'!$M$24,"")</f>
        <v/>
      </c>
      <c r="AC217" s="520" t="str">
        <f>IF(AND(_A="B-737-800",'2024'!$I$4="FO",'2024'!$I$2=AC195),'2024DATA'!$N$24,"")</f>
        <v/>
      </c>
      <c r="AD217" s="940"/>
      <c r="AE217" s="13" t="s">
        <v>62</v>
      </c>
      <c r="AF217" s="518" t="str">
        <f>IF(AND(_B="B-737-800",'2024'!$I$4="FO",'2024'!$I$2=AF195),'2024DATA'!$C$24,"")</f>
        <v/>
      </c>
      <c r="AG217" s="518" t="str">
        <f>IF(AND(_B="B-737-800",'2024'!$I$4="FO",'2024'!$I$2=AG195),'2024DATA'!$D$24,"")</f>
        <v/>
      </c>
      <c r="AH217" s="518" t="str">
        <f>IF(AND(_B="B-737-800",'2024'!$I$4="FO",'2024'!$I$2=AH195),'2024DATA'!$E$24,"")</f>
        <v/>
      </c>
      <c r="AI217" s="518" t="str">
        <f>IF(AND(_B="B-737-800",'2024'!$I$4="FO",'2024'!$I$2=AI195),'2024DATA'!$F$24,"")</f>
        <v/>
      </c>
      <c r="AJ217" s="518" t="str">
        <f>IF(AND(_B="B-737-800",'2024'!$I$4="FO",'2024'!$I$2=AJ195),'2024DATA'!$G$24,"")</f>
        <v/>
      </c>
      <c r="AK217" s="518" t="str">
        <f>IF(AND(_B="B-737-800",'2024'!$I$4="FO",'2024'!$I$2=AK195),'2024DATA'!$H$24,"")</f>
        <v/>
      </c>
      <c r="AL217" s="518" t="str">
        <f>IF(AND(_B="B-737-800",'2024'!$I$4="FO",'2024'!$I$2=AL195),'2024DATA'!$I$24,"")</f>
        <v/>
      </c>
      <c r="AM217" s="518" t="str">
        <f>IF(AND(_B="B-737-800",'2024'!$I$4="FO",'2024'!$I$2=AM195),'2024DATA'!$J$24,"")</f>
        <v/>
      </c>
      <c r="AN217" s="518" t="str">
        <f>IF(AND(_B="B-737-800",'2024'!$I$4="FO",'2024'!$I$2=AN195),'2024DATA'!$K$24,"")</f>
        <v/>
      </c>
      <c r="AO217" s="518" t="str">
        <f>IF(AND(_B="B-737-800",'2024'!$I$4="FO",'2024'!$I$2=AO195),'2024DATA'!$L$24,"")</f>
        <v/>
      </c>
      <c r="AP217" s="518" t="str">
        <f>IF(AND(_B="B-737-800",'2024'!$I$4="FO",'2024'!$I$2=AP195),'2024DATA'!$M$24,"")</f>
        <v/>
      </c>
      <c r="AQ217" s="520" t="str">
        <f>IF(AND(_B="B-737-800",'2024'!$I$4="FO",'2024'!$I$2=AQ195),'2024DATA'!$N$24,"")</f>
        <v/>
      </c>
      <c r="AR217" s="940"/>
      <c r="AS217" s="13" t="s">
        <v>62</v>
      </c>
      <c r="AT217" s="518" t="str">
        <f>IF(AND(_C="B-737-800",'2024'!$I$4="FO",'2024'!$I$2=AT195),'2024DATA'!$C$24,"")</f>
        <v/>
      </c>
      <c r="AU217" s="518" t="str">
        <f>IF(AND(_C="B-737-800",'2024'!$I$4="FO",'2024'!$I$2=AU195),'2024DATA'!$D$24,"")</f>
        <v/>
      </c>
      <c r="AV217" s="518" t="str">
        <f>IF(AND(_C="B-737-800",'2024'!$I$4="FO",'2024'!$I$2=AV195),'2024DATA'!$E$24,"")</f>
        <v/>
      </c>
      <c r="AW217" s="518" t="str">
        <f>IF(AND(_C="B-737-800",'2024'!$I$4="FO",'2024'!$I$2=AW195),'2024DATA'!$F$24,"")</f>
        <v/>
      </c>
      <c r="AX217" s="518" t="str">
        <f>IF(AND(_C="B-737-800",'2024'!$I$4="FO",'2024'!$I$2=AX195),'2024DATA'!$G$24,"")</f>
        <v/>
      </c>
      <c r="AY217" s="518" t="str">
        <f>IF(AND(_C="B-737-800",'2024'!$I$4="FO",'2024'!$I$2=AY195),'2024DATA'!$H$24,"")</f>
        <v/>
      </c>
      <c r="AZ217" s="518" t="str">
        <f>IF(AND(_C="B-737-800",'2024'!$I$4="FO",'2024'!$I$2=AZ195),'2024DATA'!$I$24,"")</f>
        <v/>
      </c>
      <c r="BA217" s="518" t="str">
        <f>IF(AND(_C="B-737-800",'2024'!$I$4="FO",'2024'!$I$2=BA195),'2024DATA'!$J$24,"")</f>
        <v/>
      </c>
      <c r="BB217" s="518" t="str">
        <f>IF(AND(_C="B-737-800",'2024'!$I$4="FO",'2024'!$I$2=BB195),'2024DATA'!$K$24,"")</f>
        <v/>
      </c>
      <c r="BC217" s="518" t="str">
        <f>IF(AND(_C="B-737-800",'2024'!$I$4="FO",'2024'!$I$2=BC195),'2024DATA'!$L$24,"")</f>
        <v/>
      </c>
      <c r="BD217" s="518" t="str">
        <f>IF(AND(_C="B-737-800",'2024'!$I$4="FO",'2024'!$I$2=BD195),'2024DATA'!$M$24,"")</f>
        <v/>
      </c>
      <c r="BE217" s="520" t="str">
        <f>IF(AND(_C="B-737-800",'2024'!$I$4="FO",'2024'!$I$2=BE195),'2024DATA'!$N$24,"")</f>
        <v/>
      </c>
      <c r="BF217" s="940"/>
      <c r="BG217" s="13" t="s">
        <v>62</v>
      </c>
      <c r="BH217" s="518" t="str">
        <f>IF(AND(_D="B-737-800",'2024'!$I$4="FO",'2024'!$I$2=BH195),'2024DATA'!$C$24,"")</f>
        <v/>
      </c>
      <c r="BI217" s="518" t="str">
        <f>IF(AND(_D="B-737-800",'2024'!$I$4="FO",'2024'!$I$2=BI195),'2024DATA'!$D$24,"")</f>
        <v/>
      </c>
      <c r="BJ217" s="518" t="str">
        <f>IF(AND(_D="B-737-800",'2024'!$I$4="FO",'2024'!$I$2=BJ195),'2024DATA'!$E$24,"")</f>
        <v/>
      </c>
      <c r="BK217" s="518" t="str">
        <f>IF(AND(_D="B-737-800",'2024'!$I$4="FO",'2024'!$I$2=BK195),'2024DATA'!$F$24,"")</f>
        <v/>
      </c>
      <c r="BL217" s="518" t="str">
        <f>IF(AND(_D="B-737-800",'2024'!$I$4="FO",'2024'!$I$2=BL195),'2024DATA'!$G$24,"")</f>
        <v/>
      </c>
      <c r="BM217" s="518" t="str">
        <f>IF(AND(_D="B-737-800",'2024'!$I$4="FO",'2024'!$I$2=BM195),'2024DATA'!$H$24,"")</f>
        <v/>
      </c>
      <c r="BN217" s="518" t="str">
        <f>IF(AND(_D="B-737-800",'2024'!$I$4="FO",'2024'!$I$2=BN195),'2024DATA'!$I$24,"")</f>
        <v/>
      </c>
      <c r="BO217" s="518" t="str">
        <f>IF(AND(_D="B-737-800",'2024'!$I$4="FO",'2024'!$I$2=BO195),'2024DATA'!$J$24,"")</f>
        <v/>
      </c>
      <c r="BP217" s="518" t="str">
        <f>IF(AND(_D="B-737-800",'2024'!$I$4="FO",'2024'!$I$2=BP195),'2024DATA'!$K$24,"")</f>
        <v/>
      </c>
      <c r="BQ217" s="518" t="str">
        <f>IF(AND(_D="B-737-800",'2024'!$I$4="FO",'2024'!$I$2=BQ195),'2024DATA'!$L$24,"")</f>
        <v/>
      </c>
      <c r="BR217" s="518" t="str">
        <f>IF(AND(_D="B-737-800",'2024'!$I$4="FO",'2024'!$I$2=BR195),'2024DATA'!$M$24,"")</f>
        <v/>
      </c>
      <c r="BS217" s="520" t="str">
        <f>IF(AND(_D="B-737-800",'2024'!$I$4="FO",'2024'!$I$2=BS195),'2024DATA'!$N$24,"")</f>
        <v/>
      </c>
      <c r="BT217" s="940"/>
      <c r="BU217" s="13" t="s">
        <v>62</v>
      </c>
      <c r="BV217" s="518" t="str">
        <f>IF(AND(_E="B-737-800",'2024'!$I$4="FO",'2024'!$I$2=BV195),'2024DATA'!$C$24,"")</f>
        <v/>
      </c>
      <c r="BW217" s="518" t="str">
        <f>IF(AND(_E="B-737-800",'2024'!$I$4="FO",'2024'!$I$2=BW195),'2024DATA'!$D$24,"")</f>
        <v/>
      </c>
      <c r="BX217" s="518" t="str">
        <f>IF(AND(_E="B-737-800",'2024'!$I$4="FO",'2024'!$I$2=BX195),'2024DATA'!$E$24,"")</f>
        <v/>
      </c>
      <c r="BY217" s="518" t="str">
        <f>IF(AND(_E="B-737-800",'2024'!$I$4="FO",'2024'!$I$2=BY195),'2024DATA'!$F$24,"")</f>
        <v/>
      </c>
      <c r="BZ217" s="518" t="str">
        <f>IF(AND(_E="B-737-800",'2024'!$I$4="FO",'2024'!$I$2=BZ195),'2024DATA'!$G$24,"")</f>
        <v/>
      </c>
      <c r="CA217" s="518" t="str">
        <f>IF(AND(_E="B-737-800",'2024'!$I$4="FO",'2024'!$I$2=CA195),'2024DATA'!$H$24,"")</f>
        <v/>
      </c>
      <c r="CB217" s="518" t="str">
        <f>IF(AND(_E="B-737-800",'2024'!$I$4="FO",'2024'!$I$2=CB195),'2024DATA'!$I$24,"")</f>
        <v/>
      </c>
      <c r="CC217" s="518" t="str">
        <f>IF(AND(_E="B-737-800",'2024'!$I$4="FO",'2024'!$I$2=CC195),'2024DATA'!$J$24,"")</f>
        <v/>
      </c>
      <c r="CD217" s="518" t="str">
        <f>IF(AND(_E="B-737-800",'2024'!$I$4="FO",'2024'!$I$2=CD195),'2024DATA'!$K$24,"")</f>
        <v/>
      </c>
      <c r="CE217" s="518" t="str">
        <f>IF(AND(_E="B-737-800",'2024'!$I$4="FO",'2024'!$I$2=CE195),'2024DATA'!$L$24,"")</f>
        <v/>
      </c>
      <c r="CF217" s="518" t="str">
        <f>IF(AND(_E="B-737-800",'2024'!$I$4="FO",'2024'!$I$2=CF195),'2024DATA'!$M$24,"")</f>
        <v/>
      </c>
      <c r="CG217" s="520" t="str">
        <f>IF(AND(_E="B-737-800",'2024'!$I$4="FO",'2024'!$I$2=CG195),'2024DATA'!$N$24,"")</f>
        <v/>
      </c>
      <c r="CH217" s="940"/>
      <c r="CI217" s="13" t="s">
        <v>62</v>
      </c>
      <c r="CJ217" s="518" t="str">
        <f>IF(AND(_F="B-737-800",'2024'!$I$4="FO",'2024'!$I$2=CJ195),'2024DATA'!$C$24,"")</f>
        <v/>
      </c>
      <c r="CK217" s="518" t="str">
        <f>IF(AND(_F="B-737-800",'2024'!$I$4="FO",'2024'!$I$2=CK195),'2024DATA'!$D$24,"")</f>
        <v/>
      </c>
      <c r="CL217" s="518" t="str">
        <f>IF(AND(_F="B-737-800",'2024'!$I$4="FO",'2024'!$I$2=CL195),'2024DATA'!$E$24,"")</f>
        <v/>
      </c>
      <c r="CM217" s="518" t="str">
        <f>IF(AND(_F="B-737-800",'2024'!$I$4="FO",'2024'!$I$2=CM195),'2024DATA'!$F$24,"")</f>
        <v/>
      </c>
      <c r="CN217" s="518" t="str">
        <f>IF(AND(_F="B-737-800",'2024'!$I$4="FO",'2024'!$I$2=CN195),'2024DATA'!$G$24,"")</f>
        <v/>
      </c>
      <c r="CO217" s="518" t="str">
        <f>IF(AND(_F="B-737-800",'2024'!$I$4="FO",'2024'!$I$2=CO195),'2024DATA'!$H$24,"")</f>
        <v/>
      </c>
      <c r="CP217" s="518" t="str">
        <f>IF(AND(_F="B-737-800",'2024'!$I$4="FO",'2024'!$I$2=CP195),'2024DATA'!$I$24,"")</f>
        <v/>
      </c>
      <c r="CQ217" s="518" t="str">
        <f>IF(AND(_F="B-737-800",'2024'!$I$4="FO",'2024'!$I$2=CQ195),'2024DATA'!$J$24,"")</f>
        <v/>
      </c>
      <c r="CR217" s="518" t="str">
        <f>IF(AND(_F="B-737-800",'2024'!$I$4="FO",'2024'!$I$2=CR195),'2024DATA'!$K$24,"")</f>
        <v/>
      </c>
      <c r="CS217" s="518" t="str">
        <f>IF(AND(_F="B-737-800",'2024'!$I$4="FO",'2024'!$I$2=CS195),'2024DATA'!$L$24,"")</f>
        <v/>
      </c>
      <c r="CT217" s="518" t="str">
        <f>IF(AND(_F="B-737-800",'2024'!$I$4="FO",'2024'!$I$2=CT195),'2024DATA'!$M$24,"")</f>
        <v/>
      </c>
      <c r="CU217" s="520" t="str">
        <f>IF(AND(_F="B-737-800",'2024'!$I$4="FO",'2024'!$I$2=CU195),'2024DATA'!$N$24,"")</f>
        <v/>
      </c>
    </row>
    <row r="218" spans="16:99" x14ac:dyDescent="0.25">
      <c r="P218" s="940" t="s">
        <v>46</v>
      </c>
      <c r="Q218" s="13" t="s">
        <v>61</v>
      </c>
      <c r="R218" s="518" t="str">
        <f>IF(AND(_A="A-321N",'2024'!$I$4="CA",'2024'!$I$2=R195),'2024DATA'!$C$25,"")</f>
        <v/>
      </c>
      <c r="S218" s="518" t="str">
        <f>IF(AND(_A="A-321N",'2024'!$I$4="CA",'2024'!$I$2=S195),'2024DATA'!$D$25,"")</f>
        <v/>
      </c>
      <c r="T218" s="518" t="str">
        <f>IF(AND(_A="A-321N",'2024'!$I$4="CA",'2024'!$I$2=T195),'2024DATA'!$E$25,"")</f>
        <v/>
      </c>
      <c r="U218" s="518" t="str">
        <f>IF(AND(_A="A-321N",'2024'!$I$4="CA",'2024'!$I$2=U195),'2024DATA'!$F$25,"")</f>
        <v/>
      </c>
      <c r="V218" s="518" t="str">
        <f>IF(AND(_A="A-321N",'2024'!$I$4="CA",'2024'!$I$2=V195),'2024DATA'!$G$25,"")</f>
        <v/>
      </c>
      <c r="W218" s="518" t="str">
        <f>IF(AND(_A="A-321N",'2024'!$I$4="CA",'2024'!$I$2=W195),'2024DATA'!$H$25,"")</f>
        <v/>
      </c>
      <c r="X218" s="518" t="str">
        <f>IF(AND(_A="A-321N",'2024'!$I$4="CA",'2024'!$I$2=X195),'2024DATA'!$I$25,"")</f>
        <v/>
      </c>
      <c r="Y218" s="518" t="str">
        <f>IF(AND(_A="A-321N",'2024'!$I$4="CA",'2024'!$I$2=Y195),'2024DATA'!$J$25,"")</f>
        <v/>
      </c>
      <c r="Z218" s="518" t="str">
        <f>IF(AND(_A="A-321N",'2024'!$I$4="CA",'2024'!$I$2=Z195),'2024DATA'!$K$25,"")</f>
        <v/>
      </c>
      <c r="AA218" s="518" t="str">
        <f>IF(AND(_A="A-321N",'2024'!$I$4="CA",'2024'!$I$2=AA195),'2024DATA'!$L$25,"")</f>
        <v/>
      </c>
      <c r="AB218" s="518" t="str">
        <f>IF(AND(_A="A-321N",'2024'!$I$4="CA",'2024'!$I$2=AB195),'2024DATA'!$M$25,"")</f>
        <v/>
      </c>
      <c r="AC218" s="520" t="str">
        <f>IF(AND(_A="A-321N",'2024'!$I$4="CA",'2024'!$I$2=AC195),'2024DATA'!$N$25,"")</f>
        <v/>
      </c>
      <c r="AD218" s="940" t="s">
        <v>46</v>
      </c>
      <c r="AE218" s="13" t="s">
        <v>61</v>
      </c>
      <c r="AF218" s="518" t="str">
        <f>IF(AND(_B="A-321N",'2024'!$I$4="CA",'2024'!$I$2=AF195),'2024DATA'!$C$25,"")</f>
        <v/>
      </c>
      <c r="AG218" s="518" t="str">
        <f>IF(AND(_B="A-321N",'2024'!$I$4="CA",'2024'!$I$2=AG195),'2024DATA'!$D$25,"")</f>
        <v/>
      </c>
      <c r="AH218" s="518" t="str">
        <f>IF(AND(_B="A-321N",'2024'!$I$4="CA",'2024'!$I$2=AH195),'2024DATA'!$E$25,"")</f>
        <v/>
      </c>
      <c r="AI218" s="518" t="str">
        <f>IF(AND(_B="A-321N",'2024'!$I$4="CA",'2024'!$I$2=AI195),'2024DATA'!$F$25,"")</f>
        <v/>
      </c>
      <c r="AJ218" s="518" t="str">
        <f>IF(AND(_B="A-321N",'2024'!$I$4="CA",'2024'!$I$2=AJ195),'2024DATA'!$G$25,"")</f>
        <v/>
      </c>
      <c r="AK218" s="518" t="str">
        <f>IF(AND(_B="A-321N",'2024'!$I$4="CA",'2024'!$I$2=AK195),'2024DATA'!$H$25,"")</f>
        <v/>
      </c>
      <c r="AL218" s="518" t="str">
        <f>IF(AND(_B="A-321N",'2024'!$I$4="CA",'2024'!$I$2=AL195),'2024DATA'!$I$25,"")</f>
        <v/>
      </c>
      <c r="AM218" s="518" t="str">
        <f>IF(AND(_B="A-321N",'2024'!$I$4="CA",'2024'!$I$2=AM195),'2024DATA'!$J$25,"")</f>
        <v/>
      </c>
      <c r="AN218" s="518" t="str">
        <f>IF(AND(_B="A-321N",'2024'!$I$4="CA",'2024'!$I$2=AN195),'2024DATA'!$K$25,"")</f>
        <v/>
      </c>
      <c r="AO218" s="518" t="str">
        <f>IF(AND(_B="A-321N",'2024'!$I$4="CA",'2024'!$I$2=AO195),'2024DATA'!$L$25,"")</f>
        <v/>
      </c>
      <c r="AP218" s="518" t="str">
        <f>IF(AND(_B="A-321N",'2024'!$I$4="CA",'2024'!$I$2=AP195),'2024DATA'!$M$25,"")</f>
        <v/>
      </c>
      <c r="AQ218" s="520" t="str">
        <f>IF(AND(_B="A-321N",'2024'!$I$4="CA",'2024'!$I$2=AQ195),'2024DATA'!$N$25,"")</f>
        <v/>
      </c>
      <c r="AR218" s="940" t="s">
        <v>46</v>
      </c>
      <c r="AS218" s="13" t="s">
        <v>61</v>
      </c>
      <c r="AT218" s="518" t="str">
        <f>IF(AND(_C="A-321N",'2024'!$I$4="CA",'2024'!$I$2=AT195),'2024DATA'!$C$25,"")</f>
        <v/>
      </c>
      <c r="AU218" s="518" t="str">
        <f>IF(AND(_C="A-321N",'2024'!$I$4="CA",'2024'!$I$2=AU195),'2024DATA'!$D$25,"")</f>
        <v/>
      </c>
      <c r="AV218" s="518" t="str">
        <f>IF(AND(_C="A-321N",'2024'!$I$4="CA",'2024'!$I$2=AV195),'2024DATA'!$E$25,"")</f>
        <v/>
      </c>
      <c r="AW218" s="518" t="str">
        <f>IF(AND(_C="A-321N",'2024'!$I$4="CA",'2024'!$I$2=AW195),'2024DATA'!$F$25,"")</f>
        <v/>
      </c>
      <c r="AX218" s="518" t="str">
        <f>IF(AND(_C="A-321N",'2024'!$I$4="CA",'2024'!$I$2=AX195),'2024DATA'!$G$25,"")</f>
        <v/>
      </c>
      <c r="AY218" s="518" t="str">
        <f>IF(AND(_C="A-321N",'2024'!$I$4="CA",'2024'!$I$2=AY195),'2024DATA'!$H$25,"")</f>
        <v/>
      </c>
      <c r="AZ218" s="518" t="str">
        <f>IF(AND(_C="A-321N",'2024'!$I$4="CA",'2024'!$I$2=AZ195),'2024DATA'!$I$25,"")</f>
        <v/>
      </c>
      <c r="BA218" s="518" t="str">
        <f>IF(AND(_C="A-321N",'2024'!$I$4="CA",'2024'!$I$2=BA195),'2024DATA'!$J$25,"")</f>
        <v/>
      </c>
      <c r="BB218" s="518" t="str">
        <f>IF(AND(_C="A-321N",'2024'!$I$4="CA",'2024'!$I$2=BB195),'2024DATA'!$K$25,"")</f>
        <v/>
      </c>
      <c r="BC218" s="518" t="str">
        <f>IF(AND(_C="A-321N",'2024'!$I$4="CA",'2024'!$I$2=BC195),'2024DATA'!$L$25,"")</f>
        <v/>
      </c>
      <c r="BD218" s="518" t="str">
        <f>IF(AND(_C="A-321N",'2024'!$I$4="CA",'2024'!$I$2=BD195),'2024DATA'!$M$25,"")</f>
        <v/>
      </c>
      <c r="BE218" s="520" t="str">
        <f>IF(AND(_C="A-321N",'2024'!$I$4="CA",'2024'!$I$2=BE195),'2024DATA'!$N$25,"")</f>
        <v/>
      </c>
      <c r="BF218" s="940" t="s">
        <v>46</v>
      </c>
      <c r="BG218" s="13" t="s">
        <v>61</v>
      </c>
      <c r="BH218" s="518" t="str">
        <f>IF(AND(_D="A-321N",'2024'!$I$4="CA",'2024'!$I$2=BH195),'2024DATA'!$C$25,"")</f>
        <v/>
      </c>
      <c r="BI218" s="518" t="str">
        <f>IF(AND(_D="A-321N",'2024'!$I$4="CA",'2024'!$I$2=BI195),'2024DATA'!$D$25,"")</f>
        <v/>
      </c>
      <c r="BJ218" s="518" t="str">
        <f>IF(AND(_D="A-321N",'2024'!$I$4="CA",'2024'!$I$2=BJ195),'2024DATA'!$E$25,"")</f>
        <v/>
      </c>
      <c r="BK218" s="518" t="str">
        <f>IF(AND(_D="A-321N",'2024'!$I$4="CA",'2024'!$I$2=BK195),'2024DATA'!$F$25,"")</f>
        <v/>
      </c>
      <c r="BL218" s="518" t="str">
        <f>IF(AND(_D="A-321N",'2024'!$I$4="CA",'2024'!$I$2=BL195),'2024DATA'!$G$25,"")</f>
        <v/>
      </c>
      <c r="BM218" s="518" t="str">
        <f>IF(AND(_D="A-321N",'2024'!$I$4="CA",'2024'!$I$2=BM195),'2024DATA'!$H$25,"")</f>
        <v/>
      </c>
      <c r="BN218" s="518" t="str">
        <f>IF(AND(_D="A-321N",'2024'!$I$4="CA",'2024'!$I$2=BN195),'2024DATA'!$I$25,"")</f>
        <v/>
      </c>
      <c r="BO218" s="518" t="str">
        <f>IF(AND(_D="A-321N",'2024'!$I$4="CA",'2024'!$I$2=BO195),'2024DATA'!$J$25,"")</f>
        <v/>
      </c>
      <c r="BP218" s="518" t="str">
        <f>IF(AND(_D="A-321N",'2024'!$I$4="CA",'2024'!$I$2=BP195),'2024DATA'!$K$25,"")</f>
        <v/>
      </c>
      <c r="BQ218" s="518" t="str">
        <f>IF(AND(_D="A-321N",'2024'!$I$4="CA",'2024'!$I$2=BQ195),'2024DATA'!$L$25,"")</f>
        <v/>
      </c>
      <c r="BR218" s="518" t="str">
        <f>IF(AND(_D="A-321N",'2024'!$I$4="CA",'2024'!$I$2=BR195),'2024DATA'!$M$25,"")</f>
        <v/>
      </c>
      <c r="BS218" s="520" t="str">
        <f>IF(AND(_D="A-321N",'2024'!$I$4="CA",'2024'!$I$2=BS195),'2024DATA'!$N$25,"")</f>
        <v/>
      </c>
      <c r="BT218" s="940" t="s">
        <v>46</v>
      </c>
      <c r="BU218" s="13" t="s">
        <v>61</v>
      </c>
      <c r="BV218" s="518" t="str">
        <f>IF(AND(_E="A-321N",'2024'!$I$4="CA",'2024'!$I$2=BV195),'2024DATA'!$C$25,"")</f>
        <v/>
      </c>
      <c r="BW218" s="518" t="str">
        <f>IF(AND(_E="A-321N",'2024'!$I$4="CA",'2024'!$I$2=BW195),'2024DATA'!$D$25,"")</f>
        <v/>
      </c>
      <c r="BX218" s="518" t="str">
        <f>IF(AND(_E="A-321N",'2024'!$I$4="CA",'2024'!$I$2=BX195),'2024DATA'!$E$25,"")</f>
        <v/>
      </c>
      <c r="BY218" s="518" t="str">
        <f>IF(AND(_E="A-321N",'2024'!$I$4="CA",'2024'!$I$2=BY195),'2024DATA'!$F$25,"")</f>
        <v/>
      </c>
      <c r="BZ218" s="518" t="str">
        <f>IF(AND(_E="A-321N",'2024'!$I$4="CA",'2024'!$I$2=BZ195),'2024DATA'!$G$25,"")</f>
        <v/>
      </c>
      <c r="CA218" s="518" t="str">
        <f>IF(AND(_E="A-321N",'2024'!$I$4="CA",'2024'!$I$2=CA195),'2024DATA'!$H$25,"")</f>
        <v/>
      </c>
      <c r="CB218" s="518" t="str">
        <f>IF(AND(_E="A-321N",'2024'!$I$4="CA",'2024'!$I$2=CB195),'2024DATA'!$I$25,"")</f>
        <v/>
      </c>
      <c r="CC218" s="518" t="str">
        <f>IF(AND(_E="A-321N",'2024'!$I$4="CA",'2024'!$I$2=CC195),'2024DATA'!$J$25,"")</f>
        <v/>
      </c>
      <c r="CD218" s="518" t="str">
        <f>IF(AND(_E="A-321N",'2024'!$I$4="CA",'2024'!$I$2=CD195),'2024DATA'!$K$25,"")</f>
        <v/>
      </c>
      <c r="CE218" s="518" t="str">
        <f>IF(AND(_E="A-321N",'2024'!$I$4="CA",'2024'!$I$2=CE195),'2024DATA'!$L$25,"")</f>
        <v/>
      </c>
      <c r="CF218" s="518" t="str">
        <f>IF(AND(_E="A-321N",'2024'!$I$4="CA",'2024'!$I$2=CF195),'2024DATA'!$M$25,"")</f>
        <v/>
      </c>
      <c r="CG218" s="520" t="str">
        <f>IF(AND(_E="A-321N",'2024'!$I$4="CA",'2024'!$I$2=CG195),'2024DATA'!$N$25,"")</f>
        <v/>
      </c>
      <c r="CH218" s="940" t="s">
        <v>46</v>
      </c>
      <c r="CI218" s="13" t="s">
        <v>61</v>
      </c>
      <c r="CJ218" s="518" t="str">
        <f>IF(AND(_F="A-321N",'2024'!$I$4="CA",'2024'!$I$2=CJ195),'2024DATA'!$C$25,"")</f>
        <v/>
      </c>
      <c r="CK218" s="518" t="str">
        <f>IF(AND(_F="A-321N",'2024'!$I$4="CA",'2024'!$I$2=CK195),'2024DATA'!$D$25,"")</f>
        <v/>
      </c>
      <c r="CL218" s="518" t="str">
        <f>IF(AND(_F="A-321N",'2024'!$I$4="CA",'2024'!$I$2=CL195),'2024DATA'!$E$25,"")</f>
        <v/>
      </c>
      <c r="CM218" s="518" t="str">
        <f>IF(AND(_F="A-321N",'2024'!$I$4="CA",'2024'!$I$2=CM195),'2024DATA'!$F$25,"")</f>
        <v/>
      </c>
      <c r="CN218" s="518" t="str">
        <f>IF(AND(_F="A-321N",'2024'!$I$4="CA",'2024'!$I$2=CN195),'2024DATA'!$G$25,"")</f>
        <v/>
      </c>
      <c r="CO218" s="518" t="str">
        <f>IF(AND(_F="A-321N",'2024'!$I$4="CA",'2024'!$I$2=CO195),'2024DATA'!$H$25,"")</f>
        <v/>
      </c>
      <c r="CP218" s="518" t="str">
        <f>IF(AND(_F="A-321N",'2024'!$I$4="CA",'2024'!$I$2=CP195),'2024DATA'!$I$25,"")</f>
        <v/>
      </c>
      <c r="CQ218" s="518" t="str">
        <f>IF(AND(_F="A-321N",'2024'!$I$4="CA",'2024'!$I$2=CQ195),'2024DATA'!$J$25,"")</f>
        <v/>
      </c>
      <c r="CR218" s="518" t="str">
        <f>IF(AND(_F="A-321N",'2024'!$I$4="CA",'2024'!$I$2=CR195),'2024DATA'!$K$25,"")</f>
        <v/>
      </c>
      <c r="CS218" s="518" t="str">
        <f>IF(AND(_F="A-321N",'2024'!$I$4="CA",'2024'!$I$2=CS195),'2024DATA'!$L$25,"")</f>
        <v/>
      </c>
      <c r="CT218" s="518" t="str">
        <f>IF(AND(_F="A-321N",'2024'!$I$4="CA",'2024'!$I$2=CT195),'2024DATA'!$M$25,"")</f>
        <v/>
      </c>
      <c r="CU218" s="520" t="str">
        <f>IF(AND(_F="A-321N",'2024'!$I$4="CA",'2024'!$I$2=CU195),'2024DATA'!$N$25,"")</f>
        <v/>
      </c>
    </row>
    <row r="219" spans="16:99" x14ac:dyDescent="0.25">
      <c r="P219" s="940"/>
      <c r="Q219" s="13" t="s">
        <v>62</v>
      </c>
      <c r="R219" s="518" t="str">
        <f>IF(AND(_A="A-321N",'2024'!$I$4="FO",'2024'!$I$2=R195),'2024DATA'!$C$26,"")</f>
        <v/>
      </c>
      <c r="S219" s="518" t="str">
        <f>IF(AND(_A="A-321N",'2024'!$I$4="FO",'2024'!$I$2=S195),'2024DATA'!$D$26,"")</f>
        <v/>
      </c>
      <c r="T219" s="518" t="str">
        <f>IF(AND(_A="A-321N",'2024'!$I$4="FO",'2024'!$I$2=T195),'2024DATA'!$E$26,"")</f>
        <v/>
      </c>
      <c r="U219" s="518" t="str">
        <f>IF(AND(_A="A-321N",'2024'!$I$4="FO",'2024'!$I$2=U195),'2024DATA'!$F$26,"")</f>
        <v/>
      </c>
      <c r="V219" s="518" t="str">
        <f>IF(AND(_A="A-321N",'2024'!$I$4="FO",'2024'!$I$2=V195),'2024DATA'!$G$26,"")</f>
        <v/>
      </c>
      <c r="W219" s="518" t="str">
        <f>IF(AND(_A="A-321N",'2024'!$I$4="FO",'2024'!$I$2=W195),'2024DATA'!$H$26,"")</f>
        <v/>
      </c>
      <c r="X219" s="518" t="str">
        <f>IF(AND(_A="A-321N",'2024'!$I$4="FO",'2024'!$I$2=X195),'2024DATA'!$I$26,"")</f>
        <v/>
      </c>
      <c r="Y219" s="518" t="str">
        <f>IF(AND(_A="A-321N",'2024'!$I$4="FO",'2024'!$I$2=Y195),'2024DATA'!$J$26,"")</f>
        <v/>
      </c>
      <c r="Z219" s="518" t="str">
        <f>IF(AND(_A="A-321N",'2024'!$I$4="FO",'2024'!$I$2=Z195),'2024DATA'!$K$26,"")</f>
        <v/>
      </c>
      <c r="AA219" s="518" t="str">
        <f>IF(AND(_A="A-321N",'2024'!$I$4="FO",'2024'!$I$2=AA195),'2024DATA'!$L$26,"")</f>
        <v/>
      </c>
      <c r="AB219" s="518" t="str">
        <f>IF(AND(_A="A-321N",'2024'!$I$4="FO",'2024'!$I$2=AB195),'2024DATA'!$M$26,"")</f>
        <v/>
      </c>
      <c r="AC219" s="520" t="str">
        <f>IF(AND(_A="A-321N",'2024'!$I$4="FO",'2024'!$I$2=AC195),'2024DATA'!$N$26,"")</f>
        <v/>
      </c>
      <c r="AD219" s="940"/>
      <c r="AE219" s="13" t="s">
        <v>62</v>
      </c>
      <c r="AF219" s="518" t="str">
        <f>IF(AND(_B="A-321N",'2024'!$I$4="FO",'2024'!$I$2=AF195),'2024DATA'!$C$26,"")</f>
        <v/>
      </c>
      <c r="AG219" s="518" t="str">
        <f>IF(AND(_B="A-321N",'2024'!$I$4="FO",'2024'!$I$2=AG195),'2024DATA'!$D$26,"")</f>
        <v/>
      </c>
      <c r="AH219" s="518" t="str">
        <f>IF(AND(_B="A-321N",'2024'!$I$4="FO",'2024'!$I$2=AH195),'2024DATA'!$E$26,"")</f>
        <v/>
      </c>
      <c r="AI219" s="518" t="str">
        <f>IF(AND(_B="A-321N",'2024'!$I$4="FO",'2024'!$I$2=AI195),'2024DATA'!$F$26,"")</f>
        <v/>
      </c>
      <c r="AJ219" s="518" t="str">
        <f>IF(AND(_B="A-321N",'2024'!$I$4="FO",'2024'!$I$2=AJ195),'2024DATA'!$G$26,"")</f>
        <v/>
      </c>
      <c r="AK219" s="518" t="str">
        <f>IF(AND(_B="A-321N",'2024'!$I$4="FO",'2024'!$I$2=AK195),'2024DATA'!$H$26,"")</f>
        <v/>
      </c>
      <c r="AL219" s="518" t="str">
        <f>IF(AND(_B="A-321N",'2024'!$I$4="FO",'2024'!$I$2=AL195),'2024DATA'!$I$26,"")</f>
        <v/>
      </c>
      <c r="AM219" s="518" t="str">
        <f>IF(AND(_B="A-321N",'2024'!$I$4="FO",'2024'!$I$2=AM195),'2024DATA'!$J$26,"")</f>
        <v/>
      </c>
      <c r="AN219" s="518" t="str">
        <f>IF(AND(_B="A-321N",'2024'!$I$4="FO",'2024'!$I$2=AN195),'2024DATA'!$K$26,"")</f>
        <v/>
      </c>
      <c r="AO219" s="518" t="str">
        <f>IF(AND(_B="A-321N",'2024'!$I$4="FO",'2024'!$I$2=AO195),'2024DATA'!$L$26,"")</f>
        <v/>
      </c>
      <c r="AP219" s="518" t="str">
        <f>IF(AND(_B="A-321N",'2024'!$I$4="FO",'2024'!$I$2=AP195),'2024DATA'!$M$26,"")</f>
        <v/>
      </c>
      <c r="AQ219" s="520" t="str">
        <f>IF(AND(_B="A-321N",'2024'!$I$4="FO",'2024'!$I$2=AQ195),'2024DATA'!$N$26,"")</f>
        <v/>
      </c>
      <c r="AR219" s="940"/>
      <c r="AS219" s="13" t="s">
        <v>62</v>
      </c>
      <c r="AT219" s="518" t="str">
        <f>IF(AND(_C="A-321N",'2024'!$I$4="FO",'2024'!$I$2=AT195),'2024DATA'!$C$26,"")</f>
        <v/>
      </c>
      <c r="AU219" s="518" t="str">
        <f>IF(AND(_C="A-321N",'2024'!$I$4="FO",'2024'!$I$2=AU195),'2024DATA'!$D$26,"")</f>
        <v/>
      </c>
      <c r="AV219" s="518" t="str">
        <f>IF(AND(_C="A-321N",'2024'!$I$4="FO",'2024'!$I$2=AV195),'2024DATA'!$E$26,"")</f>
        <v/>
      </c>
      <c r="AW219" s="518" t="str">
        <f>IF(AND(_C="A-321N",'2024'!$I$4="FO",'2024'!$I$2=AW195),'2024DATA'!$F$26,"")</f>
        <v/>
      </c>
      <c r="AX219" s="518" t="str">
        <f>IF(AND(_C="A-321N",'2024'!$I$4="FO",'2024'!$I$2=AX195),'2024DATA'!$G$26,"")</f>
        <v/>
      </c>
      <c r="AY219" s="518" t="str">
        <f>IF(AND(_C="A-321N",'2024'!$I$4="FO",'2024'!$I$2=AY195),'2024DATA'!$H$26,"")</f>
        <v/>
      </c>
      <c r="AZ219" s="518" t="str">
        <f>IF(AND(_C="A-321N",'2024'!$I$4="FO",'2024'!$I$2=AZ195),'2024DATA'!$I$26,"")</f>
        <v/>
      </c>
      <c r="BA219" s="518" t="str">
        <f>IF(AND(_C="A-321N",'2024'!$I$4="FO",'2024'!$I$2=BA195),'2024DATA'!$J$26,"")</f>
        <v/>
      </c>
      <c r="BB219" s="518" t="str">
        <f>IF(AND(_C="A-321N",'2024'!$I$4="FO",'2024'!$I$2=BB195),'2024DATA'!$K$26,"")</f>
        <v/>
      </c>
      <c r="BC219" s="518" t="str">
        <f>IF(AND(_C="A-321N",'2024'!$I$4="FO",'2024'!$I$2=BC195),'2024DATA'!$L$26,"")</f>
        <v/>
      </c>
      <c r="BD219" s="518" t="str">
        <f>IF(AND(_C="A-321N",'2024'!$I$4="FO",'2024'!$I$2=BD195),'2024DATA'!$M$26,"")</f>
        <v/>
      </c>
      <c r="BE219" s="520" t="str">
        <f>IF(AND(_C="A-321N",'2024'!$I$4="FO",'2024'!$I$2=BE195),'2024DATA'!$N$26,"")</f>
        <v/>
      </c>
      <c r="BF219" s="940"/>
      <c r="BG219" s="13" t="s">
        <v>62</v>
      </c>
      <c r="BH219" s="518" t="str">
        <f>IF(AND(_D="A-321N",'2024'!$I$4="FO",'2024'!$I$2=BH195),'2024DATA'!$C$26,"")</f>
        <v/>
      </c>
      <c r="BI219" s="518" t="str">
        <f>IF(AND(_D="A-321N",'2024'!$I$4="FO",'2024'!$I$2=BI195),'2024DATA'!$D$26,"")</f>
        <v/>
      </c>
      <c r="BJ219" s="518" t="str">
        <f>IF(AND(_D="A-321N",'2024'!$I$4="FO",'2024'!$I$2=BJ195),'2024DATA'!$E$26,"")</f>
        <v/>
      </c>
      <c r="BK219" s="518" t="str">
        <f>IF(AND(_D="A-321N",'2024'!$I$4="FO",'2024'!$I$2=BK195),'2024DATA'!$F$26,"")</f>
        <v/>
      </c>
      <c r="BL219" s="518" t="str">
        <f>IF(AND(_D="A-321N",'2024'!$I$4="FO",'2024'!$I$2=BL195),'2024DATA'!$G$26,"")</f>
        <v/>
      </c>
      <c r="BM219" s="518" t="str">
        <f>IF(AND(_D="A-321N",'2024'!$I$4="FO",'2024'!$I$2=BM195),'2024DATA'!$H$26,"")</f>
        <v/>
      </c>
      <c r="BN219" s="518" t="str">
        <f>IF(AND(_D="A-321N",'2024'!$I$4="FO",'2024'!$I$2=BN195),'2024DATA'!$I$26,"")</f>
        <v/>
      </c>
      <c r="BO219" s="518" t="str">
        <f>IF(AND(_D="A-321N",'2024'!$I$4="FO",'2024'!$I$2=BO195),'2024DATA'!$J$26,"")</f>
        <v/>
      </c>
      <c r="BP219" s="518" t="str">
        <f>IF(AND(_D="A-321N",'2024'!$I$4="FO",'2024'!$I$2=BP195),'2024DATA'!$K$26,"")</f>
        <v/>
      </c>
      <c r="BQ219" s="518" t="str">
        <f>IF(AND(_D="A-321N",'2024'!$I$4="FO",'2024'!$I$2=BQ195),'2024DATA'!$L$26,"")</f>
        <v/>
      </c>
      <c r="BR219" s="518" t="str">
        <f>IF(AND(_D="A-321N",'2024'!$I$4="FO",'2024'!$I$2=BR195),'2024DATA'!$M$26,"")</f>
        <v/>
      </c>
      <c r="BS219" s="520" t="str">
        <f>IF(AND(_D="A-321N",'2024'!$I$4="FO",'2024'!$I$2=BS195),'2024DATA'!$N$26,"")</f>
        <v/>
      </c>
      <c r="BT219" s="940"/>
      <c r="BU219" s="13" t="s">
        <v>62</v>
      </c>
      <c r="BV219" s="518" t="str">
        <f>IF(AND(_E="A-321N",'2024'!$I$4="FO",'2024'!$I$2=BV195),'2024DATA'!$C$26,"")</f>
        <v/>
      </c>
      <c r="BW219" s="518" t="str">
        <f>IF(AND(_E="A-321N",'2024'!$I$4="FO",'2024'!$I$2=BW195),'2024DATA'!$D$26,"")</f>
        <v/>
      </c>
      <c r="BX219" s="518" t="str">
        <f>IF(AND(_E="A-321N",'2024'!$I$4="FO",'2024'!$I$2=BX195),'2024DATA'!$E$26,"")</f>
        <v/>
      </c>
      <c r="BY219" s="518" t="str">
        <f>IF(AND(_E="A-321N",'2024'!$I$4="FO",'2024'!$I$2=BY195),'2024DATA'!$F$26,"")</f>
        <v/>
      </c>
      <c r="BZ219" s="518" t="str">
        <f>IF(AND(_E="A-321N",'2024'!$I$4="FO",'2024'!$I$2=BZ195),'2024DATA'!$G$26,"")</f>
        <v/>
      </c>
      <c r="CA219" s="518" t="str">
        <f>IF(AND(_E="A-321N",'2024'!$I$4="FO",'2024'!$I$2=CA195),'2024DATA'!$H$26,"")</f>
        <v/>
      </c>
      <c r="CB219" s="518" t="str">
        <f>IF(AND(_E="A-321N",'2024'!$I$4="FO",'2024'!$I$2=CB195),'2024DATA'!$I$26,"")</f>
        <v/>
      </c>
      <c r="CC219" s="518" t="str">
        <f>IF(AND(_E="A-321N",'2024'!$I$4="FO",'2024'!$I$2=CC195),'2024DATA'!$J$26,"")</f>
        <v/>
      </c>
      <c r="CD219" s="518" t="str">
        <f>IF(AND(_E="A-321N",'2024'!$I$4="FO",'2024'!$I$2=CD195),'2024DATA'!$K$26,"")</f>
        <v/>
      </c>
      <c r="CE219" s="518" t="str">
        <f>IF(AND(_E="A-321N",'2024'!$I$4="FO",'2024'!$I$2=CE195),'2024DATA'!$L$26,"")</f>
        <v/>
      </c>
      <c r="CF219" s="518" t="str">
        <f>IF(AND(_E="A-321N",'2024'!$I$4="FO",'2024'!$I$2=CF195),'2024DATA'!$M$26,"")</f>
        <v/>
      </c>
      <c r="CG219" s="520" t="str">
        <f>IF(AND(_E="A-321N",'2024'!$I$4="FO",'2024'!$I$2=CG195),'2024DATA'!$N$26,"")</f>
        <v/>
      </c>
      <c r="CH219" s="940"/>
      <c r="CI219" s="13" t="s">
        <v>62</v>
      </c>
      <c r="CJ219" s="518" t="str">
        <f>IF(AND(_F="A-321N",'2024'!$I$4="FO",'2024'!$I$2=CJ195),'2024DATA'!$C$26,"")</f>
        <v/>
      </c>
      <c r="CK219" s="518" t="str">
        <f>IF(AND(_F="A-321N",'2024'!$I$4="FO",'2024'!$I$2=CK195),'2024DATA'!$D$26,"")</f>
        <v/>
      </c>
      <c r="CL219" s="518" t="str">
        <f>IF(AND(_F="A-321N",'2024'!$I$4="FO",'2024'!$I$2=CL195),'2024DATA'!$E$26,"")</f>
        <v/>
      </c>
      <c r="CM219" s="518" t="str">
        <f>IF(AND(_F="A-321N",'2024'!$I$4="FO",'2024'!$I$2=CM195),'2024DATA'!$F$26,"")</f>
        <v/>
      </c>
      <c r="CN219" s="518" t="str">
        <f>IF(AND(_F="A-321N",'2024'!$I$4="FO",'2024'!$I$2=CN195),'2024DATA'!$G$26,"")</f>
        <v/>
      </c>
      <c r="CO219" s="518" t="str">
        <f>IF(AND(_F="A-321N",'2024'!$I$4="FO",'2024'!$I$2=CO195),'2024DATA'!$H$26,"")</f>
        <v/>
      </c>
      <c r="CP219" s="518" t="str">
        <f>IF(AND(_F="A-321N",'2024'!$I$4="FO",'2024'!$I$2=CP195),'2024DATA'!$I$26,"")</f>
        <v/>
      </c>
      <c r="CQ219" s="518" t="str">
        <f>IF(AND(_F="A-321N",'2024'!$I$4="FO",'2024'!$I$2=CQ195),'2024DATA'!$J$26,"")</f>
        <v/>
      </c>
      <c r="CR219" s="518" t="str">
        <f>IF(AND(_F="A-321N",'2024'!$I$4="FO",'2024'!$I$2=CR195),'2024DATA'!$K$26,"")</f>
        <v/>
      </c>
      <c r="CS219" s="518" t="str">
        <f>IF(AND(_F="A-321N",'2024'!$I$4="FO",'2024'!$I$2=CS195),'2024DATA'!$L$26,"")</f>
        <v/>
      </c>
      <c r="CT219" s="518" t="str">
        <f>IF(AND(_F="A-321N",'2024'!$I$4="FO",'2024'!$I$2=CT195),'2024DATA'!$M$26,"")</f>
        <v/>
      </c>
      <c r="CU219" s="520" t="str">
        <f>IF(AND(_F="A-321N",'2024'!$I$4="FO",'2024'!$I$2=CU195),'2024DATA'!$N$26,"")</f>
        <v/>
      </c>
    </row>
    <row r="220" spans="16:99" x14ac:dyDescent="0.25">
      <c r="P220" s="940" t="s">
        <v>48</v>
      </c>
      <c r="Q220" s="13" t="s">
        <v>61</v>
      </c>
      <c r="R220" s="518" t="str">
        <f>IF(AND(_A="A-321",'2024'!$I$4="CA",'2024'!$I$2=R195),'2024DATA'!$C$27,"")</f>
        <v/>
      </c>
      <c r="S220" s="518" t="str">
        <f>IF(AND(_A="A-321",'2024'!$I$4="CA",'2024'!$I$2=S195),'2024DATA'!$D$27,"")</f>
        <v/>
      </c>
      <c r="T220" s="518" t="str">
        <f>IF(AND(_A="A-321",'2024'!$I$4="CA",'2024'!$I$2=T195),'2024DATA'!$E$27,"")</f>
        <v/>
      </c>
      <c r="U220" s="518" t="str">
        <f>IF(AND(_A="A-321",'2024'!$I$4="CA",'2024'!$I$2=U195),'2024DATA'!$F$27,"")</f>
        <v/>
      </c>
      <c r="V220" s="518" t="str">
        <f>IF(AND(_A="A-321",'2024'!$I$4="CA",'2024'!$I$2=V195),'2024DATA'!$G$27,"")</f>
        <v/>
      </c>
      <c r="W220" s="518" t="str">
        <f>IF(AND(_A="A-321",'2024'!$I$4="CA",'2024'!$I$2=W195),'2024DATA'!$H$27,"")</f>
        <v/>
      </c>
      <c r="X220" s="518" t="str">
        <f>IF(AND(_A="A-321",'2024'!$I$4="CA",'2024'!$I$2=X195),'2024DATA'!$I$27,"")</f>
        <v/>
      </c>
      <c r="Y220" s="518" t="str">
        <f>IF(AND(_A="A-321",'2024'!$I$4="CA",'2024'!$I$2=Y195),'2024DATA'!$J$27,"")</f>
        <v/>
      </c>
      <c r="Z220" s="518" t="str">
        <f>IF(AND(_A="A-321",'2024'!$I$4="CA",'2024'!$I$2=Z195),'2024DATA'!$K$27,"")</f>
        <v/>
      </c>
      <c r="AA220" s="518" t="str">
        <f>IF(AND(_A="A-321",'2024'!$I$4="CA",'2024'!$I$2=AA195),'2024DATA'!$L$27,"")</f>
        <v/>
      </c>
      <c r="AB220" s="518" t="str">
        <f>IF(AND(_A="A-321",'2024'!$I$4="CA",'2024'!$I$2=AB195),'2024DATA'!$M$27,"")</f>
        <v/>
      </c>
      <c r="AC220" s="520" t="str">
        <f>IF(AND(_A="A-321",'2024'!$I$4="CA",'2024'!$I$2=AC195),'2024DATA'!$N$27,"")</f>
        <v/>
      </c>
      <c r="AD220" s="940" t="s">
        <v>48</v>
      </c>
      <c r="AE220" s="13" t="s">
        <v>61</v>
      </c>
      <c r="AF220" s="518" t="str">
        <f>IF(AND(_B="A-321",'2024'!$I$4="CA",'2024'!$I$2=AF195),'2024DATA'!$C$27,"")</f>
        <v/>
      </c>
      <c r="AG220" s="518" t="str">
        <f>IF(AND(_B="A-321",'2024'!$I$4="CA",'2024'!$I$2=AG195),'2024DATA'!$D$27,"")</f>
        <v/>
      </c>
      <c r="AH220" s="518" t="str">
        <f>IF(AND(_B="A-321",'2024'!$I$4="CA",'2024'!$I$2=AH195),'2024DATA'!$E$27,"")</f>
        <v/>
      </c>
      <c r="AI220" s="518" t="str">
        <f>IF(AND(_B="A-321",'2024'!$I$4="CA",'2024'!$I$2=AI195),'2024DATA'!$F$27,"")</f>
        <v/>
      </c>
      <c r="AJ220" s="518" t="str">
        <f>IF(AND(_B="A-321",'2024'!$I$4="CA",'2024'!$I$2=AJ195),'2024DATA'!$G$27,"")</f>
        <v/>
      </c>
      <c r="AK220" s="518" t="str">
        <f>IF(AND(_B="A-321",'2024'!$I$4="CA",'2024'!$I$2=AK195),'2024DATA'!$H$27,"")</f>
        <v/>
      </c>
      <c r="AL220" s="518" t="str">
        <f>IF(AND(_B="A-321",'2024'!$I$4="CA",'2024'!$I$2=AL195),'2024DATA'!$I$27,"")</f>
        <v/>
      </c>
      <c r="AM220" s="518" t="str">
        <f>IF(AND(_B="A-321",'2024'!$I$4="CA",'2024'!$I$2=AM195),'2024DATA'!$J$27,"")</f>
        <v/>
      </c>
      <c r="AN220" s="518" t="str">
        <f>IF(AND(_B="A-321",'2024'!$I$4="CA",'2024'!$I$2=AN195),'2024DATA'!$K$27,"")</f>
        <v/>
      </c>
      <c r="AO220" s="518" t="str">
        <f>IF(AND(_B="A-321",'2024'!$I$4="CA",'2024'!$I$2=AO195),'2024DATA'!$L$27,"")</f>
        <v/>
      </c>
      <c r="AP220" s="518" t="str">
        <f>IF(AND(_B="A-321",'2024'!$I$4="CA",'2024'!$I$2=AP195),'2024DATA'!$M$27,"")</f>
        <v/>
      </c>
      <c r="AQ220" s="520" t="str">
        <f>IF(AND(_B="A-321",'2024'!$I$4="CA",'2024'!$I$2=AQ195),'2024DATA'!$N$27,"")</f>
        <v/>
      </c>
      <c r="AR220" s="940" t="s">
        <v>48</v>
      </c>
      <c r="AS220" s="13" t="s">
        <v>61</v>
      </c>
      <c r="AT220" s="518" t="str">
        <f>IF(AND(_C="A-321",'2024'!$I$4="CA",'2024'!$I$2=AT195),'2024DATA'!$C$27,"")</f>
        <v/>
      </c>
      <c r="AU220" s="518" t="str">
        <f>IF(AND(_C="A-321",'2024'!$I$4="CA",'2024'!$I$2=AU195),'2024DATA'!$D$27,"")</f>
        <v/>
      </c>
      <c r="AV220" s="518" t="str">
        <f>IF(AND(_C="A-321",'2024'!$I$4="CA",'2024'!$I$2=AV195),'2024DATA'!$E$27,"")</f>
        <v/>
      </c>
      <c r="AW220" s="518" t="str">
        <f>IF(AND(_C="A-321",'2024'!$I$4="CA",'2024'!$I$2=AW195),'2024DATA'!$F$27,"")</f>
        <v/>
      </c>
      <c r="AX220" s="518" t="str">
        <f>IF(AND(_C="A-321",'2024'!$I$4="CA",'2024'!$I$2=AX195),'2024DATA'!$G$27,"")</f>
        <v/>
      </c>
      <c r="AY220" s="518" t="str">
        <f>IF(AND(_C="A-321",'2024'!$I$4="CA",'2024'!$I$2=AY195),'2024DATA'!$H$27,"")</f>
        <v/>
      </c>
      <c r="AZ220" s="518" t="str">
        <f>IF(AND(_C="A-321",'2024'!$I$4="CA",'2024'!$I$2=AZ195),'2024DATA'!$I$27,"")</f>
        <v/>
      </c>
      <c r="BA220" s="518" t="str">
        <f>IF(AND(_C="A-321",'2024'!$I$4="CA",'2024'!$I$2=BA195),'2024DATA'!$J$27,"")</f>
        <v/>
      </c>
      <c r="BB220" s="518" t="str">
        <f>IF(AND(_C="A-321",'2024'!$I$4="CA",'2024'!$I$2=BB195),'2024DATA'!$K$27,"")</f>
        <v/>
      </c>
      <c r="BC220" s="518" t="str">
        <f>IF(AND(_C="A-321",'2024'!$I$4="CA",'2024'!$I$2=BC195),'2024DATA'!$L$27,"")</f>
        <v/>
      </c>
      <c r="BD220" s="518" t="str">
        <f>IF(AND(_C="A-321",'2024'!$I$4="CA",'2024'!$I$2=BD195),'2024DATA'!$M$27,"")</f>
        <v/>
      </c>
      <c r="BE220" s="520" t="str">
        <f>IF(AND(_C="A-321",'2024'!$I$4="CA",'2024'!$I$2=BE195),'2024DATA'!$N$27,"")</f>
        <v/>
      </c>
      <c r="BF220" s="940" t="s">
        <v>48</v>
      </c>
      <c r="BG220" s="13" t="s">
        <v>61</v>
      </c>
      <c r="BH220" s="518" t="str">
        <f>IF(AND(_D="A-321",'2024'!$I$4="CA",'2024'!$I$2=BH195),'2024DATA'!$C$27,"")</f>
        <v/>
      </c>
      <c r="BI220" s="518" t="str">
        <f>IF(AND(_D="A-321",'2024'!$I$4="CA",'2024'!$I$2=BI195),'2024DATA'!$D$27,"")</f>
        <v/>
      </c>
      <c r="BJ220" s="518" t="str">
        <f>IF(AND(_D="A-321",'2024'!$I$4="CA",'2024'!$I$2=BJ195),'2024DATA'!$E$27,"")</f>
        <v/>
      </c>
      <c r="BK220" s="518" t="str">
        <f>IF(AND(_D="A-321",'2024'!$I$4="CA",'2024'!$I$2=BK195),'2024DATA'!$F$27,"")</f>
        <v/>
      </c>
      <c r="BL220" s="518" t="str">
        <f>IF(AND(_D="A-321",'2024'!$I$4="CA",'2024'!$I$2=BL195),'2024DATA'!$G$27,"")</f>
        <v/>
      </c>
      <c r="BM220" s="518" t="str">
        <f>IF(AND(_D="A-321",'2024'!$I$4="CA",'2024'!$I$2=BM195),'2024DATA'!$H$27,"")</f>
        <v/>
      </c>
      <c r="BN220" s="518" t="str">
        <f>IF(AND(_D="A-321",'2024'!$I$4="CA",'2024'!$I$2=BN195),'2024DATA'!$I$27,"")</f>
        <v/>
      </c>
      <c r="BO220" s="518" t="str">
        <f>IF(AND(_D="A-321",'2024'!$I$4="CA",'2024'!$I$2=BO195),'2024DATA'!$J$27,"")</f>
        <v/>
      </c>
      <c r="BP220" s="518" t="str">
        <f>IF(AND(_D="A-321",'2024'!$I$4="CA",'2024'!$I$2=BP195),'2024DATA'!$K$27,"")</f>
        <v/>
      </c>
      <c r="BQ220" s="518" t="str">
        <f>IF(AND(_D="A-321",'2024'!$I$4="CA",'2024'!$I$2=BQ195),'2024DATA'!$L$27,"")</f>
        <v/>
      </c>
      <c r="BR220" s="518" t="str">
        <f>IF(AND(_D="A-321",'2024'!$I$4="CA",'2024'!$I$2=BR195),'2024DATA'!$M$27,"")</f>
        <v/>
      </c>
      <c r="BS220" s="520" t="str">
        <f>IF(AND(_D="A-321",'2024'!$I$4="CA",'2024'!$I$2=BS195),'2024DATA'!$N$27,"")</f>
        <v/>
      </c>
      <c r="BT220" s="940" t="s">
        <v>48</v>
      </c>
      <c r="BU220" s="13" t="s">
        <v>61</v>
      </c>
      <c r="BV220" s="518" t="str">
        <f>IF(AND(_E="A-321",'2024'!$I$4="CA",'2024'!$I$2=BV195),'2024DATA'!$C$27,"")</f>
        <v/>
      </c>
      <c r="BW220" s="518" t="str">
        <f>IF(AND(_E="A-321",'2024'!$I$4="CA",'2024'!$I$2=BW195),'2024DATA'!$D$27,"")</f>
        <v/>
      </c>
      <c r="BX220" s="518" t="str">
        <f>IF(AND(_E="A-321",'2024'!$I$4="CA",'2024'!$I$2=BX195),'2024DATA'!$E$27,"")</f>
        <v/>
      </c>
      <c r="BY220" s="518" t="str">
        <f>IF(AND(_E="A-321",'2024'!$I$4="CA",'2024'!$I$2=BY195),'2024DATA'!$F$27,"")</f>
        <v/>
      </c>
      <c r="BZ220" s="518" t="str">
        <f>IF(AND(_E="A-321",'2024'!$I$4="CA",'2024'!$I$2=BZ195),'2024DATA'!$G$27,"")</f>
        <v/>
      </c>
      <c r="CA220" s="518" t="str">
        <f>IF(AND(_E="A-321",'2024'!$I$4="CA",'2024'!$I$2=CA195),'2024DATA'!$H$27,"")</f>
        <v/>
      </c>
      <c r="CB220" s="518" t="str">
        <f>IF(AND(_E="A-321",'2024'!$I$4="CA",'2024'!$I$2=CB195),'2024DATA'!$I$27,"")</f>
        <v/>
      </c>
      <c r="CC220" s="518" t="str">
        <f>IF(AND(_E="A-321",'2024'!$I$4="CA",'2024'!$I$2=CC195),'2024DATA'!$J$27,"")</f>
        <v/>
      </c>
      <c r="CD220" s="518" t="str">
        <f>IF(AND(_E="A-321",'2024'!$I$4="CA",'2024'!$I$2=CD195),'2024DATA'!$K$27,"")</f>
        <v/>
      </c>
      <c r="CE220" s="518" t="str">
        <f>IF(AND(_E="A-321",'2024'!$I$4="CA",'2024'!$I$2=CE195),'2024DATA'!$L$27,"")</f>
        <v/>
      </c>
      <c r="CF220" s="518" t="str">
        <f>IF(AND(_E="A-321",'2024'!$I$4="CA",'2024'!$I$2=CF195),'2024DATA'!$M$27,"")</f>
        <v/>
      </c>
      <c r="CG220" s="520" t="str">
        <f>IF(AND(_E="A-321",'2024'!$I$4="CA",'2024'!$I$2=CG195),'2024DATA'!$N$27,"")</f>
        <v/>
      </c>
      <c r="CH220" s="940" t="s">
        <v>48</v>
      </c>
      <c r="CI220" s="13" t="s">
        <v>61</v>
      </c>
      <c r="CJ220" s="518" t="str">
        <f>IF(AND(_F="A-321",'2024'!$I$4="CA",'2024'!$I$2=CJ195),'2024DATA'!$C$27,"")</f>
        <v/>
      </c>
      <c r="CK220" s="518" t="str">
        <f>IF(AND(_F="A-321",'2024'!$I$4="CA",'2024'!$I$2=CK195),'2024DATA'!$D$27,"")</f>
        <v/>
      </c>
      <c r="CL220" s="518" t="str">
        <f>IF(AND(_F="A-321",'2024'!$I$4="CA",'2024'!$I$2=CL195),'2024DATA'!$E$27,"")</f>
        <v/>
      </c>
      <c r="CM220" s="518" t="str">
        <f>IF(AND(_F="A-321",'2024'!$I$4="CA",'2024'!$I$2=CM195),'2024DATA'!$F$27,"")</f>
        <v/>
      </c>
      <c r="CN220" s="518" t="str">
        <f>IF(AND(_F="A-321",'2024'!$I$4="CA",'2024'!$I$2=CN195),'2024DATA'!$G$27,"")</f>
        <v/>
      </c>
      <c r="CO220" s="518" t="str">
        <f>IF(AND(_F="A-321",'2024'!$I$4="CA",'2024'!$I$2=CO195),'2024DATA'!$H$27,"")</f>
        <v/>
      </c>
      <c r="CP220" s="518" t="str">
        <f>IF(AND(_F="A-321",'2024'!$I$4="CA",'2024'!$I$2=CP195),'2024DATA'!$I$27,"")</f>
        <v/>
      </c>
      <c r="CQ220" s="518" t="str">
        <f>IF(AND(_F="A-321",'2024'!$I$4="CA",'2024'!$I$2=CQ195),'2024DATA'!$J$27,"")</f>
        <v/>
      </c>
      <c r="CR220" s="518" t="str">
        <f>IF(AND(_F="A-321",'2024'!$I$4="CA",'2024'!$I$2=CR195),'2024DATA'!$K$27,"")</f>
        <v/>
      </c>
      <c r="CS220" s="518" t="str">
        <f>IF(AND(_F="A-321",'2024'!$I$4="CA",'2024'!$I$2=CS195),'2024DATA'!$L$27,"")</f>
        <v/>
      </c>
      <c r="CT220" s="518" t="str">
        <f>IF(AND(_F="A-321",'2024'!$I$4="CA",'2024'!$I$2=CT195),'2024DATA'!$M$27,"")</f>
        <v/>
      </c>
      <c r="CU220" s="520" t="str">
        <f>IF(AND(_F="A-321",'2024'!$I$4="CA",'2024'!$I$2=CU195),'2024DATA'!$N$27,"")</f>
        <v/>
      </c>
    </row>
    <row r="221" spans="16:99" x14ac:dyDescent="0.25">
      <c r="P221" s="940"/>
      <c r="Q221" s="13" t="s">
        <v>62</v>
      </c>
      <c r="R221" s="518" t="str">
        <f>IF(AND(_A="A-321",'2024'!$I$4="FO",'2024'!$I$2=R195),'2024DATA'!$C$28,"")</f>
        <v/>
      </c>
      <c r="S221" s="518" t="str">
        <f>IF(AND(_A="A-321",'2024'!$I$4="FO",'2024'!$I$2=S195),'2024DATA'!$D$28,"")</f>
        <v/>
      </c>
      <c r="T221" s="518" t="str">
        <f>IF(AND(_A="A-321",'2024'!$I$4="FO",'2024'!$I$2=T195),'2024DATA'!$E$28,"")</f>
        <v/>
      </c>
      <c r="U221" s="518" t="str">
        <f>IF(AND(_A="A-321",'2024'!$I$4="FO",'2024'!$I$2=U195),'2024DATA'!$F$28,"")</f>
        <v/>
      </c>
      <c r="V221" s="518" t="str">
        <f>IF(AND(_A="A-321",'2024'!$I$4="FO",'2024'!$I$2=V195),'2024DATA'!$G$28,"")</f>
        <v/>
      </c>
      <c r="W221" s="518" t="str">
        <f>IF(AND(_A="A-321",'2024'!$I$4="FO",'2024'!$I$2=W195),'2024DATA'!$H$28,"")</f>
        <v/>
      </c>
      <c r="X221" s="518" t="str">
        <f>IF(AND(_A="A-321",'2024'!$I$4="FO",'2024'!$I$2=X195),'2024DATA'!$I$28,"")</f>
        <v/>
      </c>
      <c r="Y221" s="518" t="str">
        <f>IF(AND(_A="A-321",'2024'!$I$4="FO",'2024'!$I$2=Y195),'2024DATA'!$J$28,"")</f>
        <v/>
      </c>
      <c r="Z221" s="518" t="str">
        <f>IF(AND(_A="A-321",'2024'!$I$4="FO",'2024'!$I$2=Z195),'2024DATA'!$K$28,"")</f>
        <v/>
      </c>
      <c r="AA221" s="518" t="str">
        <f>IF(AND(_A="A-321",'2024'!$I$4="FO",'2024'!$I$2=AA195),'2024DATA'!$L$28,"")</f>
        <v/>
      </c>
      <c r="AB221" s="518" t="str">
        <f>IF(AND(_A="A-321",'2024'!$I$4="FO",'2024'!$I$2=AB195),'2024DATA'!$M$28,"")</f>
        <v/>
      </c>
      <c r="AC221" s="520" t="str">
        <f>IF(AND(_A="A-321",'2024'!$I$4="FO",'2024'!$I$2=AC195),'2024DATA'!$N$28,"")</f>
        <v/>
      </c>
      <c r="AD221" s="940"/>
      <c r="AE221" s="13" t="s">
        <v>62</v>
      </c>
      <c r="AF221" s="518" t="str">
        <f>IF(AND(_B="A-321",'2024'!$I$4="FO",'2024'!$I$2=AF195),'2024DATA'!$C$28,"")</f>
        <v/>
      </c>
      <c r="AG221" s="518" t="str">
        <f>IF(AND(_B="A-321",'2024'!$I$4="FO",'2024'!$I$2=AG195),'2024DATA'!$D$28,"")</f>
        <v/>
      </c>
      <c r="AH221" s="518" t="str">
        <f>IF(AND(_B="A-321",'2024'!$I$4="FO",'2024'!$I$2=AH195),'2024DATA'!$E$28,"")</f>
        <v/>
      </c>
      <c r="AI221" s="518" t="str">
        <f>IF(AND(_B="A-321",'2024'!$I$4="FO",'2024'!$I$2=AI195),'2024DATA'!$F$28,"")</f>
        <v/>
      </c>
      <c r="AJ221" s="518" t="str">
        <f>IF(AND(_B="A-321",'2024'!$I$4="FO",'2024'!$I$2=AJ195),'2024DATA'!$G$28,"")</f>
        <v/>
      </c>
      <c r="AK221" s="518" t="str">
        <f>IF(AND(_B="A-321",'2024'!$I$4="FO",'2024'!$I$2=AK195),'2024DATA'!$H$28,"")</f>
        <v/>
      </c>
      <c r="AL221" s="518" t="str">
        <f>IF(AND(_B="A-321",'2024'!$I$4="FO",'2024'!$I$2=AL195),'2024DATA'!$I$28,"")</f>
        <v/>
      </c>
      <c r="AM221" s="518" t="str">
        <f>IF(AND(_B="A-321",'2024'!$I$4="FO",'2024'!$I$2=AM195),'2024DATA'!$J$28,"")</f>
        <v/>
      </c>
      <c r="AN221" s="518" t="str">
        <f>IF(AND(_B="A-321",'2024'!$I$4="FO",'2024'!$I$2=AN195),'2024DATA'!$K$28,"")</f>
        <v/>
      </c>
      <c r="AO221" s="518" t="str">
        <f>IF(AND(_B="A-321",'2024'!$I$4="FO",'2024'!$I$2=AO195),'2024DATA'!$L$28,"")</f>
        <v/>
      </c>
      <c r="AP221" s="518" t="str">
        <f>IF(AND(_B="A-321",'2024'!$I$4="FO",'2024'!$I$2=AP195),'2024DATA'!$M$28,"")</f>
        <v/>
      </c>
      <c r="AQ221" s="520" t="str">
        <f>IF(AND(_B="A-321",'2024'!$I$4="FO",'2024'!$I$2=AQ195),'2024DATA'!$N$28,"")</f>
        <v/>
      </c>
      <c r="AR221" s="940"/>
      <c r="AS221" s="13" t="s">
        <v>62</v>
      </c>
      <c r="AT221" s="518" t="str">
        <f>IF(AND(_C="A-321",'2024'!$I$4="FO",'2024'!$I$2=AT195),'2024DATA'!$C$28,"")</f>
        <v/>
      </c>
      <c r="AU221" s="518" t="str">
        <f>IF(AND(_C="A-321",'2024'!$I$4="FO",'2024'!$I$2=AU195),'2024DATA'!$D$28,"")</f>
        <v/>
      </c>
      <c r="AV221" s="518" t="str">
        <f>IF(AND(_C="A-321",'2024'!$I$4="FO",'2024'!$I$2=AV195),'2024DATA'!$E$28,"")</f>
        <v/>
      </c>
      <c r="AW221" s="518" t="str">
        <f>IF(AND(_C="A-321",'2024'!$I$4="FO",'2024'!$I$2=AW195),'2024DATA'!$F$28,"")</f>
        <v/>
      </c>
      <c r="AX221" s="518" t="str">
        <f>IF(AND(_C="A-321",'2024'!$I$4="FO",'2024'!$I$2=AX195),'2024DATA'!$G$28,"")</f>
        <v/>
      </c>
      <c r="AY221" s="518" t="str">
        <f>IF(AND(_C="A-321",'2024'!$I$4="FO",'2024'!$I$2=AY195),'2024DATA'!$H$28,"")</f>
        <v/>
      </c>
      <c r="AZ221" s="518" t="str">
        <f>IF(AND(_C="A-321",'2024'!$I$4="FO",'2024'!$I$2=AZ195),'2024DATA'!$I$28,"")</f>
        <v/>
      </c>
      <c r="BA221" s="518" t="str">
        <f>IF(AND(_C="A-321",'2024'!$I$4="FO",'2024'!$I$2=BA195),'2024DATA'!$J$28,"")</f>
        <v/>
      </c>
      <c r="BB221" s="518" t="str">
        <f>IF(AND(_C="A-321",'2024'!$I$4="FO",'2024'!$I$2=BB195),'2024DATA'!$K$28,"")</f>
        <v/>
      </c>
      <c r="BC221" s="518" t="str">
        <f>IF(AND(_C="A-321",'2024'!$I$4="FO",'2024'!$I$2=BC195),'2024DATA'!$L$28,"")</f>
        <v/>
      </c>
      <c r="BD221" s="518" t="str">
        <f>IF(AND(_C="A-321",'2024'!$I$4="FO",'2024'!$I$2=BD195),'2024DATA'!$M$28,"")</f>
        <v/>
      </c>
      <c r="BE221" s="520" t="str">
        <f>IF(AND(_C="A-321",'2024'!$I$4="FO",'2024'!$I$2=BE195),'2024DATA'!$N$28,"")</f>
        <v/>
      </c>
      <c r="BF221" s="940"/>
      <c r="BG221" s="13" t="s">
        <v>62</v>
      </c>
      <c r="BH221" s="518" t="str">
        <f>IF(AND(_D="A-321",'2024'!$I$4="FO",'2024'!$I$2=BH195),'2024DATA'!$C$28,"")</f>
        <v/>
      </c>
      <c r="BI221" s="518" t="str">
        <f>IF(AND(_D="A-321",'2024'!$I$4="FO",'2024'!$I$2=BI195),'2024DATA'!$D$28,"")</f>
        <v/>
      </c>
      <c r="BJ221" s="518" t="str">
        <f>IF(AND(_D="A-321",'2024'!$I$4="FO",'2024'!$I$2=BJ195),'2024DATA'!$E$28,"")</f>
        <v/>
      </c>
      <c r="BK221" s="518" t="str">
        <f>IF(AND(_D="A-321",'2024'!$I$4="FO",'2024'!$I$2=BK195),'2024DATA'!$F$28,"")</f>
        <v/>
      </c>
      <c r="BL221" s="518" t="str">
        <f>IF(AND(_D="A-321",'2024'!$I$4="FO",'2024'!$I$2=BL195),'2024DATA'!$G$28,"")</f>
        <v/>
      </c>
      <c r="BM221" s="518" t="str">
        <f>IF(AND(_D="A-321",'2024'!$I$4="FO",'2024'!$I$2=BM195),'2024DATA'!$H$28,"")</f>
        <v/>
      </c>
      <c r="BN221" s="518" t="str">
        <f>IF(AND(_D="A-321",'2024'!$I$4="FO",'2024'!$I$2=BN195),'2024DATA'!$I$28,"")</f>
        <v/>
      </c>
      <c r="BO221" s="518" t="str">
        <f>IF(AND(_D="A-321",'2024'!$I$4="FO",'2024'!$I$2=BO195),'2024DATA'!$J$28,"")</f>
        <v/>
      </c>
      <c r="BP221" s="518" t="str">
        <f>IF(AND(_D="A-321",'2024'!$I$4="FO",'2024'!$I$2=BP195),'2024DATA'!$K$28,"")</f>
        <v/>
      </c>
      <c r="BQ221" s="518" t="str">
        <f>IF(AND(_D="A-321",'2024'!$I$4="FO",'2024'!$I$2=BQ195),'2024DATA'!$L$28,"")</f>
        <v/>
      </c>
      <c r="BR221" s="518" t="str">
        <f>IF(AND(_D="A-321",'2024'!$I$4="FO",'2024'!$I$2=BR195),'2024DATA'!$M$28,"")</f>
        <v/>
      </c>
      <c r="BS221" s="520" t="str">
        <f>IF(AND(_D="A-321",'2024'!$I$4="FO",'2024'!$I$2=BS195),'2024DATA'!$N$28,"")</f>
        <v/>
      </c>
      <c r="BT221" s="940"/>
      <c r="BU221" s="13" t="s">
        <v>62</v>
      </c>
      <c r="BV221" s="518" t="str">
        <f>IF(AND(_E="A-321",'2024'!$I$4="FO",'2024'!$I$2=BV195),'2024DATA'!$C$28,"")</f>
        <v/>
      </c>
      <c r="BW221" s="518" t="str">
        <f>IF(AND(_E="A-321",'2024'!$I$4="FO",'2024'!$I$2=BW195),'2024DATA'!$D$28,"")</f>
        <v/>
      </c>
      <c r="BX221" s="518" t="str">
        <f>IF(AND(_E="A-321",'2024'!$I$4="FO",'2024'!$I$2=BX195),'2024DATA'!$E$28,"")</f>
        <v/>
      </c>
      <c r="BY221" s="518" t="str">
        <f>IF(AND(_E="A-321",'2024'!$I$4="FO",'2024'!$I$2=BY195),'2024DATA'!$F$28,"")</f>
        <v/>
      </c>
      <c r="BZ221" s="518" t="str">
        <f>IF(AND(_E="A-321",'2024'!$I$4="FO",'2024'!$I$2=BZ195),'2024DATA'!$G$28,"")</f>
        <v/>
      </c>
      <c r="CA221" s="518" t="str">
        <f>IF(AND(_E="A-321",'2024'!$I$4="FO",'2024'!$I$2=CA195),'2024DATA'!$H$28,"")</f>
        <v/>
      </c>
      <c r="CB221" s="518" t="str">
        <f>IF(AND(_E="A-321",'2024'!$I$4="FO",'2024'!$I$2=CB195),'2024DATA'!$I$28,"")</f>
        <v/>
      </c>
      <c r="CC221" s="518" t="str">
        <f>IF(AND(_E="A-321",'2024'!$I$4="FO",'2024'!$I$2=CC195),'2024DATA'!$J$28,"")</f>
        <v/>
      </c>
      <c r="CD221" s="518" t="str">
        <f>IF(AND(_E="A-321",'2024'!$I$4="FO",'2024'!$I$2=CD195),'2024DATA'!$K$28,"")</f>
        <v/>
      </c>
      <c r="CE221" s="518" t="str">
        <f>IF(AND(_E="A-321",'2024'!$I$4="FO",'2024'!$I$2=CE195),'2024DATA'!$L$28,"")</f>
        <v/>
      </c>
      <c r="CF221" s="518" t="str">
        <f>IF(AND(_E="A-321",'2024'!$I$4="FO",'2024'!$I$2=CF195),'2024DATA'!$M$28,"")</f>
        <v/>
      </c>
      <c r="CG221" s="520" t="str">
        <f>IF(AND(_E="A-321",'2024'!$I$4="FO",'2024'!$I$2=CG195),'2024DATA'!$N$28,"")</f>
        <v/>
      </c>
      <c r="CH221" s="940"/>
      <c r="CI221" s="13" t="s">
        <v>62</v>
      </c>
      <c r="CJ221" s="518" t="str">
        <f>IF(AND(_F="A-321",'2024'!$I$4="FO",'2024'!$I$2=CJ195),'2024DATA'!$C$28,"")</f>
        <v/>
      </c>
      <c r="CK221" s="518" t="str">
        <f>IF(AND(_F="A-321",'2024'!$I$4="FO",'2024'!$I$2=CK195),'2024DATA'!$D$28,"")</f>
        <v/>
      </c>
      <c r="CL221" s="518" t="str">
        <f>IF(AND(_F="A-321",'2024'!$I$4="FO",'2024'!$I$2=CL195),'2024DATA'!$E$28,"")</f>
        <v/>
      </c>
      <c r="CM221" s="518" t="str">
        <f>IF(AND(_F="A-321",'2024'!$I$4="FO",'2024'!$I$2=CM195),'2024DATA'!$F$28,"")</f>
        <v/>
      </c>
      <c r="CN221" s="518" t="str">
        <f>IF(AND(_F="A-321",'2024'!$I$4="FO",'2024'!$I$2=CN195),'2024DATA'!$G$28,"")</f>
        <v/>
      </c>
      <c r="CO221" s="518" t="str">
        <f>IF(AND(_F="A-321",'2024'!$I$4="FO",'2024'!$I$2=CO195),'2024DATA'!$H$28,"")</f>
        <v/>
      </c>
      <c r="CP221" s="518" t="str">
        <f>IF(AND(_F="A-321",'2024'!$I$4="FO",'2024'!$I$2=CP195),'2024DATA'!$I$28,"")</f>
        <v/>
      </c>
      <c r="CQ221" s="518" t="str">
        <f>IF(AND(_F="A-321",'2024'!$I$4="FO",'2024'!$I$2=CQ195),'2024DATA'!$J$28,"")</f>
        <v/>
      </c>
      <c r="CR221" s="518" t="str">
        <f>IF(AND(_F="A-321",'2024'!$I$4="FO",'2024'!$I$2=CR195),'2024DATA'!$K$28,"")</f>
        <v/>
      </c>
      <c r="CS221" s="518" t="str">
        <f>IF(AND(_F="A-321",'2024'!$I$4="FO",'2024'!$I$2=CS195),'2024DATA'!$L$28,"")</f>
        <v/>
      </c>
      <c r="CT221" s="518" t="str">
        <f>IF(AND(_F="A-321",'2024'!$I$4="FO",'2024'!$I$2=CT195),'2024DATA'!$M$28,"")</f>
        <v/>
      </c>
      <c r="CU221" s="520" t="str">
        <f>IF(AND(_F="A-321",'2024'!$I$4="FO",'2024'!$I$2=CU195),'2024DATA'!$N$28,"")</f>
        <v/>
      </c>
    </row>
    <row r="222" spans="16:99" x14ac:dyDescent="0.25">
      <c r="P222" s="940" t="s">
        <v>70</v>
      </c>
      <c r="Q222" s="13" t="s">
        <v>61</v>
      </c>
      <c r="R222" s="518" t="str">
        <f>IF(AND(_A="A-320",'2024'!$I$4="CA",'2024'!$I$2=R195),'2024DATA'!$C$29,"")</f>
        <v/>
      </c>
      <c r="S222" s="518" t="str">
        <f>IF(AND(_A="A-320",'2024'!$I$4="CA",'2024'!$I$2=S195),'2024DATA'!$D$29,"")</f>
        <v/>
      </c>
      <c r="T222" s="518" t="str">
        <f>IF(AND(_A="A-320",'2024'!$I$4="CA",'2024'!$I$2=T195),'2024DATA'!$E$29,"")</f>
        <v/>
      </c>
      <c r="U222" s="518" t="str">
        <f>IF(AND(_A="A-320",'2024'!$I$4="CA",'2024'!$I$2=U195),'2024DATA'!$F$29,"")</f>
        <v/>
      </c>
      <c r="V222" s="518" t="str">
        <f>IF(AND(_A="A-320",'2024'!$I$4="CA",'2024'!$I$2=V195),'2024DATA'!$G$29,"")</f>
        <v/>
      </c>
      <c r="W222" s="518" t="str">
        <f>IF(AND(_A="A-320",'2024'!$I$4="CA",'2024'!$I$2=W195),'2024DATA'!$H$29,"")</f>
        <v/>
      </c>
      <c r="X222" s="518" t="str">
        <f>IF(AND(_A="A-320",'2024'!$I$4="CA",'2024'!$I$2=X195),'2024DATA'!$I$29,"")</f>
        <v/>
      </c>
      <c r="Y222" s="518" t="str">
        <f>IF(AND(_A="A-320",'2024'!$I$4="CA",'2024'!$I$2=Y195),'2024DATA'!$J$29,"")</f>
        <v/>
      </c>
      <c r="Z222" s="518" t="str">
        <f>IF(AND(_A="A-320",'2024'!$I$4="CA",'2024'!$I$2=Z195),'2024DATA'!$K$29,"")</f>
        <v/>
      </c>
      <c r="AA222" s="518" t="str">
        <f>IF(AND(_A="A-320",'2024'!$I$4="CA",'2024'!$I$2=AA195),'2024DATA'!$L$29,"")</f>
        <v/>
      </c>
      <c r="AB222" s="518" t="str">
        <f>IF(AND(_A="A-320",'2024'!$I$4="CA",'2024'!$I$2=AB195),'2024DATA'!$M$29,"")</f>
        <v/>
      </c>
      <c r="AC222" s="520" t="str">
        <f>IF(AND(_A="A-320",'2024'!$I$4="CA",'2024'!$I$2=AC195),'2024DATA'!$N$29,"")</f>
        <v/>
      </c>
      <c r="AD222" s="940" t="s">
        <v>70</v>
      </c>
      <c r="AE222" s="13" t="s">
        <v>61</v>
      </c>
      <c r="AF222" s="518" t="str">
        <f>IF(AND(_B="A-320",'2024'!$I$4="CA",'2024'!$I$2=AF195),'2024DATA'!$C$29,"")</f>
        <v/>
      </c>
      <c r="AG222" s="518" t="str">
        <f>IF(AND(_B="A-320",'2024'!$I$4="CA",'2024'!$I$2=AG195),'2024DATA'!$D$29,"")</f>
        <v/>
      </c>
      <c r="AH222" s="518" t="str">
        <f>IF(AND(_B="A-320",'2024'!$I$4="CA",'2024'!$I$2=AH195),'2024DATA'!$E$29,"")</f>
        <v/>
      </c>
      <c r="AI222" s="518" t="str">
        <f>IF(AND(_B="A-320",'2024'!$I$4="CA",'2024'!$I$2=AI195),'2024DATA'!$F$29,"")</f>
        <v/>
      </c>
      <c r="AJ222" s="518" t="str">
        <f>IF(AND(_B="A-320",'2024'!$I$4="CA",'2024'!$I$2=AJ195),'2024DATA'!$G$29,"")</f>
        <v/>
      </c>
      <c r="AK222" s="518" t="str">
        <f>IF(AND(_B="A-320",'2024'!$I$4="CA",'2024'!$I$2=AK195),'2024DATA'!$H$29,"")</f>
        <v/>
      </c>
      <c r="AL222" s="518" t="str">
        <f>IF(AND(_B="A-320",'2024'!$I$4="CA",'2024'!$I$2=AL195),'2024DATA'!$I$29,"")</f>
        <v/>
      </c>
      <c r="AM222" s="518" t="str">
        <f>IF(AND(_B="A-320",'2024'!$I$4="CA",'2024'!$I$2=AM195),'2024DATA'!$J$29,"")</f>
        <v/>
      </c>
      <c r="AN222" s="518" t="str">
        <f>IF(AND(_B="A-320",'2024'!$I$4="CA",'2024'!$I$2=AN195),'2024DATA'!$K$29,"")</f>
        <v/>
      </c>
      <c r="AO222" s="518" t="str">
        <f>IF(AND(_B="A-320",'2024'!$I$4="CA",'2024'!$I$2=AO195),'2024DATA'!$L$29,"")</f>
        <v/>
      </c>
      <c r="AP222" s="518" t="str">
        <f>IF(AND(_B="A-320",'2024'!$I$4="CA",'2024'!$I$2=AP195),'2024DATA'!$M$29,"")</f>
        <v/>
      </c>
      <c r="AQ222" s="520" t="str">
        <f>IF(AND(_B="A-320",'2024'!$I$4="CA",'2024'!$I$2=AQ195),'2024DATA'!$N$29,"")</f>
        <v/>
      </c>
      <c r="AR222" s="940" t="s">
        <v>70</v>
      </c>
      <c r="AS222" s="13" t="s">
        <v>61</v>
      </c>
      <c r="AT222" s="518" t="str">
        <f>IF(AND(_C="A-320",'2024'!$I$4="CA",'2024'!$I$2=AT195),'2024DATA'!$C$29,"")</f>
        <v/>
      </c>
      <c r="AU222" s="518" t="str">
        <f>IF(AND(_C="A-320",'2024'!$I$4="CA",'2024'!$I$2=AU195),'2024DATA'!$D$29,"")</f>
        <v/>
      </c>
      <c r="AV222" s="518" t="str">
        <f>IF(AND(_C="A-320",'2024'!$I$4="CA",'2024'!$I$2=AV195),'2024DATA'!$E$29,"")</f>
        <v/>
      </c>
      <c r="AW222" s="518" t="str">
        <f>IF(AND(_C="A-320",'2024'!$I$4="CA",'2024'!$I$2=AW195),'2024DATA'!$F$29,"")</f>
        <v/>
      </c>
      <c r="AX222" s="518" t="str">
        <f>IF(AND(_C="A-320",'2024'!$I$4="CA",'2024'!$I$2=AX195),'2024DATA'!$G$29,"")</f>
        <v/>
      </c>
      <c r="AY222" s="518" t="str">
        <f>IF(AND(_C="A-320",'2024'!$I$4="CA",'2024'!$I$2=AY195),'2024DATA'!$H$29,"")</f>
        <v/>
      </c>
      <c r="AZ222" s="518" t="str">
        <f>IF(AND(_C="A-320",'2024'!$I$4="CA",'2024'!$I$2=AZ195),'2024DATA'!$I$29,"")</f>
        <v/>
      </c>
      <c r="BA222" s="518" t="str">
        <f>IF(AND(_C="A-320",'2024'!$I$4="CA",'2024'!$I$2=BA195),'2024DATA'!$J$29,"")</f>
        <v/>
      </c>
      <c r="BB222" s="518" t="str">
        <f>IF(AND(_C="A-320",'2024'!$I$4="CA",'2024'!$I$2=BB195),'2024DATA'!$K$29,"")</f>
        <v/>
      </c>
      <c r="BC222" s="518" t="str">
        <f>IF(AND(_C="A-320",'2024'!$I$4="CA",'2024'!$I$2=BC195),'2024DATA'!$L$29,"")</f>
        <v/>
      </c>
      <c r="BD222" s="518" t="str">
        <f>IF(AND(_C="A-320",'2024'!$I$4="CA",'2024'!$I$2=BD195),'2024DATA'!$M$29,"")</f>
        <v/>
      </c>
      <c r="BE222" s="520" t="str">
        <f>IF(AND(_C="A-320",'2024'!$I$4="CA",'2024'!$I$2=BE195),'2024DATA'!$N$29,"")</f>
        <v/>
      </c>
      <c r="BF222" s="940" t="s">
        <v>70</v>
      </c>
      <c r="BG222" s="13" t="s">
        <v>61</v>
      </c>
      <c r="BH222" s="518" t="str">
        <f>IF(AND(_D="A-320",'2024'!$I$4="CA",'2024'!$I$2=BH195),'2024DATA'!$C$29,"")</f>
        <v/>
      </c>
      <c r="BI222" s="518" t="str">
        <f>IF(AND(_D="A-320",'2024'!$I$4="CA",'2024'!$I$2=BI195),'2024DATA'!$D$29,"")</f>
        <v/>
      </c>
      <c r="BJ222" s="518" t="str">
        <f>IF(AND(_D="A-320",'2024'!$I$4="CA",'2024'!$I$2=BJ195),'2024DATA'!$E$29,"")</f>
        <v/>
      </c>
      <c r="BK222" s="518" t="str">
        <f>IF(AND(_D="A-320",'2024'!$I$4="CA",'2024'!$I$2=BK195),'2024DATA'!$F$29,"")</f>
        <v/>
      </c>
      <c r="BL222" s="518" t="str">
        <f>IF(AND(_D="A-320",'2024'!$I$4="CA",'2024'!$I$2=BL195),'2024DATA'!$G$29,"")</f>
        <v/>
      </c>
      <c r="BM222" s="518" t="str">
        <f>IF(AND(_D="A-320",'2024'!$I$4="CA",'2024'!$I$2=BM195),'2024DATA'!$H$29,"")</f>
        <v/>
      </c>
      <c r="BN222" s="518" t="str">
        <f>IF(AND(_D="A-320",'2024'!$I$4="CA",'2024'!$I$2=BN195),'2024DATA'!$I$29,"")</f>
        <v/>
      </c>
      <c r="BO222" s="518" t="str">
        <f>IF(AND(_D="A-320",'2024'!$I$4="CA",'2024'!$I$2=BO195),'2024DATA'!$J$29,"")</f>
        <v/>
      </c>
      <c r="BP222" s="518" t="str">
        <f>IF(AND(_D="A-320",'2024'!$I$4="CA",'2024'!$I$2=BP195),'2024DATA'!$K$29,"")</f>
        <v/>
      </c>
      <c r="BQ222" s="518" t="str">
        <f>IF(AND(_D="A-320",'2024'!$I$4="CA",'2024'!$I$2=BQ195),'2024DATA'!$L$29,"")</f>
        <v/>
      </c>
      <c r="BR222" s="518" t="str">
        <f>IF(AND(_D="A-320",'2024'!$I$4="CA",'2024'!$I$2=BR195),'2024DATA'!$M$29,"")</f>
        <v/>
      </c>
      <c r="BS222" s="520" t="str">
        <f>IF(AND(_D="A-320",'2024'!$I$4="CA",'2024'!$I$2=BS195),'2024DATA'!$N$29,"")</f>
        <v/>
      </c>
      <c r="BT222" s="940" t="s">
        <v>70</v>
      </c>
      <c r="BU222" s="13" t="s">
        <v>61</v>
      </c>
      <c r="BV222" s="518" t="str">
        <f>IF(AND(_E="A-320",'2024'!$I$4="CA",'2024'!$I$2=BV195),'2024DATA'!$C$29,"")</f>
        <v/>
      </c>
      <c r="BW222" s="518" t="str">
        <f>IF(AND(_E="A-320",'2024'!$I$4="CA",'2024'!$I$2=BW195),'2024DATA'!$D$29,"")</f>
        <v/>
      </c>
      <c r="BX222" s="518" t="str">
        <f>IF(AND(_E="A-320",'2024'!$I$4="CA",'2024'!$I$2=BX195),'2024DATA'!$E$29,"")</f>
        <v/>
      </c>
      <c r="BY222" s="518" t="str">
        <f>IF(AND(_E="A-320",'2024'!$I$4="CA",'2024'!$I$2=BY195),'2024DATA'!$F$29,"")</f>
        <v/>
      </c>
      <c r="BZ222" s="518" t="str">
        <f>IF(AND(_E="A-320",'2024'!$I$4="CA",'2024'!$I$2=BZ195),'2024DATA'!$G$29,"")</f>
        <v/>
      </c>
      <c r="CA222" s="518" t="str">
        <f>IF(AND(_E="A-320",'2024'!$I$4="CA",'2024'!$I$2=CA195),'2024DATA'!$H$29,"")</f>
        <v/>
      </c>
      <c r="CB222" s="518" t="str">
        <f>IF(AND(_E="A-320",'2024'!$I$4="CA",'2024'!$I$2=CB195),'2024DATA'!$I$29,"")</f>
        <v/>
      </c>
      <c r="CC222" s="518" t="str">
        <f>IF(AND(_E="A-320",'2024'!$I$4="CA",'2024'!$I$2=CC195),'2024DATA'!$J$29,"")</f>
        <v/>
      </c>
      <c r="CD222" s="518" t="str">
        <f>IF(AND(_E="A-320",'2024'!$I$4="CA",'2024'!$I$2=CD195),'2024DATA'!$K$29,"")</f>
        <v/>
      </c>
      <c r="CE222" s="518" t="str">
        <f>IF(AND(_E="A-320",'2024'!$I$4="CA",'2024'!$I$2=CE195),'2024DATA'!$L$29,"")</f>
        <v/>
      </c>
      <c r="CF222" s="518" t="str">
        <f>IF(AND(_E="A-320",'2024'!$I$4="CA",'2024'!$I$2=CF195),'2024DATA'!$M$29,"")</f>
        <v/>
      </c>
      <c r="CG222" s="520" t="str">
        <f>IF(AND(_E="A-320",'2024'!$I$4="CA",'2024'!$I$2=CG195),'2024DATA'!$N$29,"")</f>
        <v/>
      </c>
      <c r="CH222" s="940" t="s">
        <v>70</v>
      </c>
      <c r="CI222" s="13" t="s">
        <v>61</v>
      </c>
      <c r="CJ222" s="518" t="str">
        <f>IF(AND(_F="A-320",'2024'!$I$4="CA",'2024'!$I$2=CJ195),'2024DATA'!$C$29,"")</f>
        <v/>
      </c>
      <c r="CK222" s="518" t="str">
        <f>IF(AND(_F="A-320",'2024'!$I$4="CA",'2024'!$I$2=CK195),'2024DATA'!$D$29,"")</f>
        <v/>
      </c>
      <c r="CL222" s="518" t="str">
        <f>IF(AND(_F="A-320",'2024'!$I$4="CA",'2024'!$I$2=CL195),'2024DATA'!$E$29,"")</f>
        <v/>
      </c>
      <c r="CM222" s="518" t="str">
        <f>IF(AND(_F="A-320",'2024'!$I$4="CA",'2024'!$I$2=CM195),'2024DATA'!$F$29,"")</f>
        <v/>
      </c>
      <c r="CN222" s="518" t="str">
        <f>IF(AND(_F="A-320",'2024'!$I$4="CA",'2024'!$I$2=CN195),'2024DATA'!$G$29,"")</f>
        <v/>
      </c>
      <c r="CO222" s="518" t="str">
        <f>IF(AND(_F="A-320",'2024'!$I$4="CA",'2024'!$I$2=CO195),'2024DATA'!$H$29,"")</f>
        <v/>
      </c>
      <c r="CP222" s="518" t="str">
        <f>IF(AND(_F="A-320",'2024'!$I$4="CA",'2024'!$I$2=CP195),'2024DATA'!$I$29,"")</f>
        <v/>
      </c>
      <c r="CQ222" s="518" t="str">
        <f>IF(AND(_F="A-320",'2024'!$I$4="CA",'2024'!$I$2=CQ195),'2024DATA'!$J$29,"")</f>
        <v/>
      </c>
      <c r="CR222" s="518" t="str">
        <f>IF(AND(_F="A-320",'2024'!$I$4="CA",'2024'!$I$2=CR195),'2024DATA'!$K$29,"")</f>
        <v/>
      </c>
      <c r="CS222" s="518" t="str">
        <f>IF(AND(_F="A-320",'2024'!$I$4="CA",'2024'!$I$2=CS195),'2024DATA'!$L$29,"")</f>
        <v/>
      </c>
      <c r="CT222" s="518" t="str">
        <f>IF(AND(_F="A-320",'2024'!$I$4="CA",'2024'!$I$2=CT195),'2024DATA'!$M$29,"")</f>
        <v/>
      </c>
      <c r="CU222" s="520" t="str">
        <f>IF(AND(_F="A-320",'2024'!$I$4="CA",'2024'!$I$2=CU195),'2024DATA'!$N$29,"")</f>
        <v/>
      </c>
    </row>
    <row r="223" spans="16:99" x14ac:dyDescent="0.25">
      <c r="P223" s="940"/>
      <c r="Q223" s="13" t="s">
        <v>62</v>
      </c>
      <c r="R223" s="518" t="str">
        <f>IF(AND(_A="A-320",'2024'!$I$4="FO",'2024'!$I$2=R195),'2024DATA'!$C$30,"")</f>
        <v/>
      </c>
      <c r="S223" s="518" t="str">
        <f>IF(AND(_A="A-320",'2024'!$I$4="FO",'2024'!$I$2=S195),'2024DATA'!$D$30,"")</f>
        <v/>
      </c>
      <c r="T223" s="518" t="str">
        <f>IF(AND(_A="A-320",'2024'!$I$4="FO",'2024'!$I$2=T195),'2024DATA'!$E$30,"")</f>
        <v/>
      </c>
      <c r="U223" s="518" t="str">
        <f>IF(AND(_A="A-320",'2024'!$I$4="FO",'2024'!$I$2=U195),'2024DATA'!$F$30,"")</f>
        <v/>
      </c>
      <c r="V223" s="518" t="str">
        <f>IF(AND(_A="A-320",'2024'!$I$4="FO",'2024'!$I$2=V195),'2024DATA'!$G$30,"")</f>
        <v/>
      </c>
      <c r="W223" s="518" t="str">
        <f>IF(AND(_A="A-320",'2024'!$I$4="FO",'2024'!$I$2=W195),'2024DATA'!$H$30,"")</f>
        <v/>
      </c>
      <c r="X223" s="518" t="str">
        <f>IF(AND(_A="A-320",'2024'!$I$4="FO",'2024'!$I$2=X195),'2024DATA'!$I$30,"")</f>
        <v/>
      </c>
      <c r="Y223" s="518" t="str">
        <f>IF(AND(_A="A-320",'2024'!$I$4="FO",'2024'!$I$2=Y195),'2024DATA'!$J$30,"")</f>
        <v/>
      </c>
      <c r="Z223" s="518" t="str">
        <f>IF(AND(_A="A-320",'2024'!$I$4="FO",'2024'!$I$2=Z195),'2024DATA'!$K$30,"")</f>
        <v/>
      </c>
      <c r="AA223" s="518" t="str">
        <f>IF(AND(_A="A-320",'2024'!$I$4="FO",'2024'!$I$2=AA195),'2024DATA'!$L$30,"")</f>
        <v/>
      </c>
      <c r="AB223" s="518" t="str">
        <f>IF(AND(_A="A-320",'2024'!$I$4="FO",'2024'!$I$2=AB195),'2024DATA'!$M$30,"")</f>
        <v/>
      </c>
      <c r="AC223" s="520" t="str">
        <f>IF(AND(_A="A-320",'2024'!$I$4="FO",'2024'!$I$2=AC195),'2024DATA'!$N$30,"")</f>
        <v/>
      </c>
      <c r="AD223" s="940"/>
      <c r="AE223" s="13" t="s">
        <v>62</v>
      </c>
      <c r="AF223" s="518" t="str">
        <f>IF(AND(_B="A-320",'2024'!$I$4="FO",'2024'!$I$2=AF195),'2024DATA'!$C$30,"")</f>
        <v/>
      </c>
      <c r="AG223" s="518" t="str">
        <f>IF(AND(_B="A-320",'2024'!$I$4="FO",'2024'!$I$2=AG195),'2024DATA'!$D$30,"")</f>
        <v/>
      </c>
      <c r="AH223" s="518" t="str">
        <f>IF(AND(_B="A-320",'2024'!$I$4="FO",'2024'!$I$2=AH195),'2024DATA'!$E$30,"")</f>
        <v/>
      </c>
      <c r="AI223" s="518" t="str">
        <f>IF(AND(_B="A-320",'2024'!$I$4="FO",'2024'!$I$2=AI195),'2024DATA'!$F$30,"")</f>
        <v/>
      </c>
      <c r="AJ223" s="518" t="str">
        <f>IF(AND(_B="A-320",'2024'!$I$4="FO",'2024'!$I$2=AJ195),'2024DATA'!$G$30,"")</f>
        <v/>
      </c>
      <c r="AK223" s="518" t="str">
        <f>IF(AND(_B="A-320",'2024'!$I$4="FO",'2024'!$I$2=AK195),'2024DATA'!$H$30,"")</f>
        <v/>
      </c>
      <c r="AL223" s="518" t="str">
        <f>IF(AND(_B="A-320",'2024'!$I$4="FO",'2024'!$I$2=AL195),'2024DATA'!$I$30,"")</f>
        <v/>
      </c>
      <c r="AM223" s="518" t="str">
        <f>IF(AND(_B="A-320",'2024'!$I$4="FO",'2024'!$I$2=AM195),'2024DATA'!$J$30,"")</f>
        <v/>
      </c>
      <c r="AN223" s="518" t="str">
        <f>IF(AND(_B="A-320",'2024'!$I$4="FO",'2024'!$I$2=AN195),'2024DATA'!$K$30,"")</f>
        <v/>
      </c>
      <c r="AO223" s="518" t="str">
        <f>IF(AND(_B="A-320",'2024'!$I$4="FO",'2024'!$I$2=AO195),'2024DATA'!$L$30,"")</f>
        <v/>
      </c>
      <c r="AP223" s="518" t="str">
        <f>IF(AND(_B="A-320",'2024'!$I$4="FO",'2024'!$I$2=AP195),'2024DATA'!$M$30,"")</f>
        <v/>
      </c>
      <c r="AQ223" s="520" t="str">
        <f>IF(AND(_B="A-320",'2024'!$I$4="FO",'2024'!$I$2=AQ195),'2024DATA'!$N$30,"")</f>
        <v/>
      </c>
      <c r="AR223" s="940"/>
      <c r="AS223" s="13" t="s">
        <v>62</v>
      </c>
      <c r="AT223" s="518" t="str">
        <f>IF(AND(_C="A-320",'2024'!$I$4="FO",'2024'!$I$2=AT195),'2024DATA'!$C$30,"")</f>
        <v/>
      </c>
      <c r="AU223" s="518" t="str">
        <f>IF(AND(_C="A-320",'2024'!$I$4="FO",'2024'!$I$2=AU195),'2024DATA'!$D$30,"")</f>
        <v/>
      </c>
      <c r="AV223" s="518" t="str">
        <f>IF(AND(_C="A-320",'2024'!$I$4="FO",'2024'!$I$2=AV195),'2024DATA'!$E$30,"")</f>
        <v/>
      </c>
      <c r="AW223" s="518" t="str">
        <f>IF(AND(_C="A-320",'2024'!$I$4="FO",'2024'!$I$2=AW195),'2024DATA'!$F$30,"")</f>
        <v/>
      </c>
      <c r="AX223" s="518" t="str">
        <f>IF(AND(_C="A-320",'2024'!$I$4="FO",'2024'!$I$2=AX195),'2024DATA'!$G$30,"")</f>
        <v/>
      </c>
      <c r="AY223" s="518" t="str">
        <f>IF(AND(_C="A-320",'2024'!$I$4="FO",'2024'!$I$2=AY195),'2024DATA'!$H$30,"")</f>
        <v/>
      </c>
      <c r="AZ223" s="518" t="str">
        <f>IF(AND(_C="A-320",'2024'!$I$4="FO",'2024'!$I$2=AZ195),'2024DATA'!$I$30,"")</f>
        <v/>
      </c>
      <c r="BA223" s="518" t="str">
        <f>IF(AND(_C="A-320",'2024'!$I$4="FO",'2024'!$I$2=BA195),'2024DATA'!$J$30,"")</f>
        <v/>
      </c>
      <c r="BB223" s="518" t="str">
        <f>IF(AND(_C="A-320",'2024'!$I$4="FO",'2024'!$I$2=BB195),'2024DATA'!$K$30,"")</f>
        <v/>
      </c>
      <c r="BC223" s="518" t="str">
        <f>IF(AND(_C="A-320",'2024'!$I$4="FO",'2024'!$I$2=BC195),'2024DATA'!$L$30,"")</f>
        <v/>
      </c>
      <c r="BD223" s="518" t="str">
        <f>IF(AND(_C="A-320",'2024'!$I$4="FO",'2024'!$I$2=BD195),'2024DATA'!$M$30,"")</f>
        <v/>
      </c>
      <c r="BE223" s="520" t="str">
        <f>IF(AND(_C="A-320",'2024'!$I$4="FO",'2024'!$I$2=BE195),'2024DATA'!$N$30,"")</f>
        <v/>
      </c>
      <c r="BF223" s="940"/>
      <c r="BG223" s="13" t="s">
        <v>62</v>
      </c>
      <c r="BH223" s="518" t="str">
        <f>IF(AND(_D="A-320",'2024'!$I$4="FO",'2024'!$I$2=BH195),'2024DATA'!$C$30,"")</f>
        <v/>
      </c>
      <c r="BI223" s="518" t="str">
        <f>IF(AND(_D="A-320",'2024'!$I$4="FO",'2024'!$I$2=BI195),'2024DATA'!$D$30,"")</f>
        <v/>
      </c>
      <c r="BJ223" s="518" t="str">
        <f>IF(AND(_D="A-320",'2024'!$I$4="FO",'2024'!$I$2=BJ195),'2024DATA'!$E$30,"")</f>
        <v/>
      </c>
      <c r="BK223" s="518" t="str">
        <f>IF(AND(_D="A-320",'2024'!$I$4="FO",'2024'!$I$2=BK195),'2024DATA'!$F$30,"")</f>
        <v/>
      </c>
      <c r="BL223" s="518" t="str">
        <f>IF(AND(_D="A-320",'2024'!$I$4="FO",'2024'!$I$2=BL195),'2024DATA'!$G$30,"")</f>
        <v/>
      </c>
      <c r="BM223" s="518" t="str">
        <f>IF(AND(_D="A-320",'2024'!$I$4="FO",'2024'!$I$2=BM195),'2024DATA'!$H$30,"")</f>
        <v/>
      </c>
      <c r="BN223" s="518" t="str">
        <f>IF(AND(_D="A-320",'2024'!$I$4="FO",'2024'!$I$2=BN195),'2024DATA'!$I$30,"")</f>
        <v/>
      </c>
      <c r="BO223" s="518" t="str">
        <f>IF(AND(_D="A-320",'2024'!$I$4="FO",'2024'!$I$2=BO195),'2024DATA'!$J$30,"")</f>
        <v/>
      </c>
      <c r="BP223" s="518" t="str">
        <f>IF(AND(_D="A-320",'2024'!$I$4="FO",'2024'!$I$2=BP195),'2024DATA'!$K$30,"")</f>
        <v/>
      </c>
      <c r="BQ223" s="518" t="str">
        <f>IF(AND(_D="A-320",'2024'!$I$4="FO",'2024'!$I$2=BQ195),'2024DATA'!$L$30,"")</f>
        <v/>
      </c>
      <c r="BR223" s="518" t="str">
        <f>IF(AND(_D="A-320",'2024'!$I$4="FO",'2024'!$I$2=BR195),'2024DATA'!$M$30,"")</f>
        <v/>
      </c>
      <c r="BS223" s="520" t="str">
        <f>IF(AND(_D="A-320",'2024'!$I$4="FO",'2024'!$I$2=BS195),'2024DATA'!$N$30,"")</f>
        <v/>
      </c>
      <c r="BT223" s="940"/>
      <c r="BU223" s="13" t="s">
        <v>62</v>
      </c>
      <c r="BV223" s="518" t="str">
        <f>IF(AND(_E="A-320",'2024'!$I$4="FO",'2024'!$I$2=BV195),'2024DATA'!$C$30,"")</f>
        <v/>
      </c>
      <c r="BW223" s="518" t="str">
        <f>IF(AND(_E="A-320",'2024'!$I$4="FO",'2024'!$I$2=BW195),'2024DATA'!$D$30,"")</f>
        <v/>
      </c>
      <c r="BX223" s="518" t="str">
        <f>IF(AND(_E="A-320",'2024'!$I$4="FO",'2024'!$I$2=BX195),'2024DATA'!$E$30,"")</f>
        <v/>
      </c>
      <c r="BY223" s="518" t="str">
        <f>IF(AND(_E="A-320",'2024'!$I$4="FO",'2024'!$I$2=BY195),'2024DATA'!$F$30,"")</f>
        <v/>
      </c>
      <c r="BZ223" s="518" t="str">
        <f>IF(AND(_E="A-320",'2024'!$I$4="FO",'2024'!$I$2=BZ195),'2024DATA'!$G$30,"")</f>
        <v/>
      </c>
      <c r="CA223" s="518" t="str">
        <f>IF(AND(_E="A-320",'2024'!$I$4="FO",'2024'!$I$2=CA195),'2024DATA'!$H$30,"")</f>
        <v/>
      </c>
      <c r="CB223" s="518" t="str">
        <f>IF(AND(_E="A-320",'2024'!$I$4="FO",'2024'!$I$2=CB195),'2024DATA'!$I$30,"")</f>
        <v/>
      </c>
      <c r="CC223" s="518" t="str">
        <f>IF(AND(_E="A-320",'2024'!$I$4="FO",'2024'!$I$2=CC195),'2024DATA'!$J$30,"")</f>
        <v/>
      </c>
      <c r="CD223" s="518" t="str">
        <f>IF(AND(_E="A-320",'2024'!$I$4="FO",'2024'!$I$2=CD195),'2024DATA'!$K$30,"")</f>
        <v/>
      </c>
      <c r="CE223" s="518" t="str">
        <f>IF(AND(_E="A-320",'2024'!$I$4="FO",'2024'!$I$2=CE195),'2024DATA'!$L$30,"")</f>
        <v/>
      </c>
      <c r="CF223" s="518" t="str">
        <f>IF(AND(_E="A-320",'2024'!$I$4="FO",'2024'!$I$2=CF195),'2024DATA'!$M$30,"")</f>
        <v/>
      </c>
      <c r="CG223" s="520" t="str">
        <f>IF(AND(_E="A-320",'2024'!$I$4="FO",'2024'!$I$2=CG195),'2024DATA'!$N$30,"")</f>
        <v/>
      </c>
      <c r="CH223" s="940"/>
      <c r="CI223" s="13" t="s">
        <v>62</v>
      </c>
      <c r="CJ223" s="518" t="str">
        <f>IF(AND(_F="A-320",'2024'!$I$4="FO",'2024'!$I$2=CJ195),'2024DATA'!$C$30,"")</f>
        <v/>
      </c>
      <c r="CK223" s="518" t="str">
        <f>IF(AND(_F="A-320",'2024'!$I$4="FO",'2024'!$I$2=CK195),'2024DATA'!$D$30,"")</f>
        <v/>
      </c>
      <c r="CL223" s="518" t="str">
        <f>IF(AND(_F="A-320",'2024'!$I$4="FO",'2024'!$I$2=CL195),'2024DATA'!$E$30,"")</f>
        <v/>
      </c>
      <c r="CM223" s="518" t="str">
        <f>IF(AND(_F="A-320",'2024'!$I$4="FO",'2024'!$I$2=CM195),'2024DATA'!$F$30,"")</f>
        <v/>
      </c>
      <c r="CN223" s="518" t="str">
        <f>IF(AND(_F="A-320",'2024'!$I$4="FO",'2024'!$I$2=CN195),'2024DATA'!$G$30,"")</f>
        <v/>
      </c>
      <c r="CO223" s="518" t="str">
        <f>IF(AND(_F="A-320",'2024'!$I$4="FO",'2024'!$I$2=CO195),'2024DATA'!$H$30,"")</f>
        <v/>
      </c>
      <c r="CP223" s="518" t="str">
        <f>IF(AND(_F="A-320",'2024'!$I$4="FO",'2024'!$I$2=CP195),'2024DATA'!$I$30,"")</f>
        <v/>
      </c>
      <c r="CQ223" s="518" t="str">
        <f>IF(AND(_F="A-320",'2024'!$I$4="FO",'2024'!$I$2=CQ195),'2024DATA'!$J$30,"")</f>
        <v/>
      </c>
      <c r="CR223" s="518" t="str">
        <f>IF(AND(_F="A-320",'2024'!$I$4="FO",'2024'!$I$2=CR195),'2024DATA'!$K$30,"")</f>
        <v/>
      </c>
      <c r="CS223" s="518" t="str">
        <f>IF(AND(_F="A-320",'2024'!$I$4="FO",'2024'!$I$2=CS195),'2024DATA'!$L$30,"")</f>
        <v/>
      </c>
      <c r="CT223" s="518" t="str">
        <f>IF(AND(_F="A-320",'2024'!$I$4="FO",'2024'!$I$2=CT195),'2024DATA'!$M$30,"")</f>
        <v/>
      </c>
      <c r="CU223" s="520" t="str">
        <f>IF(AND(_F="A-320",'2024'!$I$4="FO",'2024'!$I$2=CU195),'2024DATA'!$N$30,"")</f>
        <v/>
      </c>
    </row>
    <row r="224" spans="16:99" x14ac:dyDescent="0.25">
      <c r="P224" s="940" t="s">
        <v>71</v>
      </c>
      <c r="Q224" s="13" t="s">
        <v>61</v>
      </c>
      <c r="R224" s="518" t="str">
        <f>IF(AND(_A="A-319",'2024'!$I$4="CA",'2024'!$I$2=R195),'2024DATA'!$C$31,"")</f>
        <v/>
      </c>
      <c r="S224" s="518" t="str">
        <f>IF(AND(_A="A-319",'2024'!$I$4="CA",'2024'!$I$2=S195),'2024DATA'!$D$31,"")</f>
        <v/>
      </c>
      <c r="T224" s="518" t="str">
        <f>IF(AND(_A="A-319",'2024'!$I$4="CA",'2024'!$I$2=T195),'2024DATA'!$E$31,"")</f>
        <v/>
      </c>
      <c r="U224" s="518" t="str">
        <f>IF(AND(_A="A-319",'2024'!$I$4="CA",'2024'!$I$2=U195),'2024DATA'!$F$31,"")</f>
        <v/>
      </c>
      <c r="V224" s="518" t="str">
        <f>IF(AND(_A="A-319",'2024'!$I$4="CA",'2024'!$I$2=V195),'2024DATA'!$G$31,"")</f>
        <v/>
      </c>
      <c r="W224" s="518" t="str">
        <f>IF(AND(_A="A-319",'2024'!$I$4="CA",'2024'!$I$2=W195),'2024DATA'!$H$31,"")</f>
        <v/>
      </c>
      <c r="X224" s="518" t="str">
        <f>IF(AND(_A="A-319",'2024'!$I$4="CA",'2024'!$I$2=X195),'2024DATA'!$I$31,"")</f>
        <v/>
      </c>
      <c r="Y224" s="518" t="str">
        <f>IF(AND(_A="A-319",'2024'!$I$4="CA",'2024'!$I$2=Y195),'2024DATA'!$J$31,"")</f>
        <v/>
      </c>
      <c r="Z224" s="518" t="str">
        <f>IF(AND(_A="A-319",'2024'!$I$4="CA",'2024'!$I$2=Z195),'2024DATA'!$K$31,"")</f>
        <v/>
      </c>
      <c r="AA224" s="518" t="str">
        <f>IF(AND(_A="A-319",'2024'!$I$4="CA",'2024'!$I$2=AA195),'2024DATA'!$L$31,"")</f>
        <v/>
      </c>
      <c r="AB224" s="518" t="str">
        <f>IF(AND(_A="A-319",'2024'!$I$4="CA",'2024'!$I$2=AB195),'2024DATA'!$M$31,"")</f>
        <v/>
      </c>
      <c r="AC224" s="520" t="str">
        <f>IF(AND(_A="A-319",'2024'!$I$4="CA",'2024'!$I$2=AC195),'2024DATA'!$N$31,"")</f>
        <v/>
      </c>
      <c r="AD224" s="940" t="s">
        <v>71</v>
      </c>
      <c r="AE224" s="13" t="s">
        <v>61</v>
      </c>
      <c r="AF224" s="518" t="str">
        <f>IF(AND(_B="A-319",'2024'!$I$4="CA",'2024'!$I$2=AF195),'2024DATA'!$C$31,"")</f>
        <v/>
      </c>
      <c r="AG224" s="518" t="str">
        <f>IF(AND(_B="A-319",'2024'!$I$4="CA",'2024'!$I$2=AG195),'2024DATA'!$D$31,"")</f>
        <v/>
      </c>
      <c r="AH224" s="518" t="str">
        <f>IF(AND(_B="A-319",'2024'!$I$4="CA",'2024'!$I$2=AH195),'2024DATA'!$E$31,"")</f>
        <v/>
      </c>
      <c r="AI224" s="518" t="str">
        <f>IF(AND(_B="A-319",'2024'!$I$4="CA",'2024'!$I$2=AI195),'2024DATA'!$F$31,"")</f>
        <v/>
      </c>
      <c r="AJ224" s="518" t="str">
        <f>IF(AND(_B="A-319",'2024'!$I$4="CA",'2024'!$I$2=AJ195),'2024DATA'!$G$31,"")</f>
        <v/>
      </c>
      <c r="AK224" s="518" t="str">
        <f>IF(AND(_B="A-319",'2024'!$I$4="CA",'2024'!$I$2=AK195),'2024DATA'!$H$31,"")</f>
        <v/>
      </c>
      <c r="AL224" s="518" t="str">
        <f>IF(AND(_B="A-319",'2024'!$I$4="CA",'2024'!$I$2=AL195),'2024DATA'!$I$31,"")</f>
        <v/>
      </c>
      <c r="AM224" s="518" t="str">
        <f>IF(AND(_B="A-319",'2024'!$I$4="CA",'2024'!$I$2=AM195),'2024DATA'!$J$31,"")</f>
        <v/>
      </c>
      <c r="AN224" s="518" t="str">
        <f>IF(AND(_B="A-319",'2024'!$I$4="CA",'2024'!$I$2=AN195),'2024DATA'!$K$31,"")</f>
        <v/>
      </c>
      <c r="AO224" s="518" t="str">
        <f>IF(AND(_B="A-319",'2024'!$I$4="CA",'2024'!$I$2=AO195),'2024DATA'!$L$31,"")</f>
        <v/>
      </c>
      <c r="AP224" s="518" t="str">
        <f>IF(AND(_B="A-319",'2024'!$I$4="CA",'2024'!$I$2=AP195),'2024DATA'!$M$31,"")</f>
        <v/>
      </c>
      <c r="AQ224" s="520" t="str">
        <f>IF(AND(_B="A-319",'2024'!$I$4="CA",'2024'!$I$2=AQ195),'2024DATA'!$N$31,"")</f>
        <v/>
      </c>
      <c r="AR224" s="940" t="s">
        <v>71</v>
      </c>
      <c r="AS224" s="13" t="s">
        <v>61</v>
      </c>
      <c r="AT224" s="518" t="str">
        <f>IF(AND(_C="A-319",'2024'!$I$4="CA",'2024'!$I$2=AT195),'2024DATA'!$C$31,"")</f>
        <v/>
      </c>
      <c r="AU224" s="518" t="str">
        <f>IF(AND(_C="A-319",'2024'!$I$4="CA",'2024'!$I$2=AU195),'2024DATA'!$D$31,"")</f>
        <v/>
      </c>
      <c r="AV224" s="518" t="str">
        <f>IF(AND(_C="A-319",'2024'!$I$4="CA",'2024'!$I$2=AV195),'2024DATA'!$E$31,"")</f>
        <v/>
      </c>
      <c r="AW224" s="518" t="str">
        <f>IF(AND(_C="A-319",'2024'!$I$4="CA",'2024'!$I$2=AW195),'2024DATA'!$F$31,"")</f>
        <v/>
      </c>
      <c r="AX224" s="518" t="str">
        <f>IF(AND(_C="A-319",'2024'!$I$4="CA",'2024'!$I$2=AX195),'2024DATA'!$G$31,"")</f>
        <v/>
      </c>
      <c r="AY224" s="518" t="str">
        <f>IF(AND(_C="A-319",'2024'!$I$4="CA",'2024'!$I$2=AY195),'2024DATA'!$H$31,"")</f>
        <v/>
      </c>
      <c r="AZ224" s="518" t="str">
        <f>IF(AND(_C="A-319",'2024'!$I$4="CA",'2024'!$I$2=AZ195),'2024DATA'!$I$31,"")</f>
        <v/>
      </c>
      <c r="BA224" s="518" t="str">
        <f>IF(AND(_C="A-319",'2024'!$I$4="CA",'2024'!$I$2=BA195),'2024DATA'!$J$31,"")</f>
        <v/>
      </c>
      <c r="BB224" s="518" t="str">
        <f>IF(AND(_C="A-319",'2024'!$I$4="CA",'2024'!$I$2=BB195),'2024DATA'!$K$31,"")</f>
        <v/>
      </c>
      <c r="BC224" s="518" t="str">
        <f>IF(AND(_C="A-319",'2024'!$I$4="CA",'2024'!$I$2=BC195),'2024DATA'!$L$31,"")</f>
        <v/>
      </c>
      <c r="BD224" s="518" t="str">
        <f>IF(AND(_C="A-319",'2024'!$I$4="CA",'2024'!$I$2=BD195),'2024DATA'!$M$31,"")</f>
        <v/>
      </c>
      <c r="BE224" s="520" t="str">
        <f>IF(AND(_C="A-319",'2024'!$I$4="CA",'2024'!$I$2=BE195),'2024DATA'!$N$31,"")</f>
        <v/>
      </c>
      <c r="BF224" s="940" t="s">
        <v>71</v>
      </c>
      <c r="BG224" s="13" t="s">
        <v>61</v>
      </c>
      <c r="BH224" s="518" t="str">
        <f>IF(AND(_D="A-319",'2024'!$I$4="CA",'2024'!$I$2=BH195),'2024DATA'!$C$31,"")</f>
        <v/>
      </c>
      <c r="BI224" s="518" t="str">
        <f>IF(AND(_D="A-319",'2024'!$I$4="CA",'2024'!$I$2=BI195),'2024DATA'!$D$31,"")</f>
        <v/>
      </c>
      <c r="BJ224" s="518" t="str">
        <f>IF(AND(_D="A-319",'2024'!$I$4="CA",'2024'!$I$2=BJ195),'2024DATA'!$E$31,"")</f>
        <v/>
      </c>
      <c r="BK224" s="518" t="str">
        <f>IF(AND(_D="A-319",'2024'!$I$4="CA",'2024'!$I$2=BK195),'2024DATA'!$F$31,"")</f>
        <v/>
      </c>
      <c r="BL224" s="518" t="str">
        <f>IF(AND(_D="A-319",'2024'!$I$4="CA",'2024'!$I$2=BL195),'2024DATA'!$G$31,"")</f>
        <v/>
      </c>
      <c r="BM224" s="518" t="str">
        <f>IF(AND(_D="A-319",'2024'!$I$4="CA",'2024'!$I$2=BM195),'2024DATA'!$H$31,"")</f>
        <v/>
      </c>
      <c r="BN224" s="518" t="str">
        <f>IF(AND(_D="A-319",'2024'!$I$4="CA",'2024'!$I$2=BN195),'2024DATA'!$I$31,"")</f>
        <v/>
      </c>
      <c r="BO224" s="518" t="str">
        <f>IF(AND(_D="A-319",'2024'!$I$4="CA",'2024'!$I$2=BO195),'2024DATA'!$J$31,"")</f>
        <v/>
      </c>
      <c r="BP224" s="518" t="str">
        <f>IF(AND(_D="A-319",'2024'!$I$4="CA",'2024'!$I$2=BP195),'2024DATA'!$K$31,"")</f>
        <v/>
      </c>
      <c r="BQ224" s="518" t="str">
        <f>IF(AND(_D="A-319",'2024'!$I$4="CA",'2024'!$I$2=BQ195),'2024DATA'!$L$31,"")</f>
        <v/>
      </c>
      <c r="BR224" s="518" t="str">
        <f>IF(AND(_D="A-319",'2024'!$I$4="CA",'2024'!$I$2=BR195),'2024DATA'!$M$31,"")</f>
        <v/>
      </c>
      <c r="BS224" s="520" t="str">
        <f>IF(AND(_D="A-319",'2024'!$I$4="CA",'2024'!$I$2=BS195),'2024DATA'!$N$31,"")</f>
        <v/>
      </c>
      <c r="BT224" s="940" t="s">
        <v>71</v>
      </c>
      <c r="BU224" s="13" t="s">
        <v>61</v>
      </c>
      <c r="BV224" s="518" t="str">
        <f>IF(AND(_E="A-319",'2024'!$I$4="CA",'2024'!$I$2=BV195),'2024DATA'!$C$31,"")</f>
        <v/>
      </c>
      <c r="BW224" s="518" t="str">
        <f>IF(AND(_E="A-319",'2024'!$I$4="CA",'2024'!$I$2=BW195),'2024DATA'!$D$31,"")</f>
        <v/>
      </c>
      <c r="BX224" s="518" t="str">
        <f>IF(AND(_E="A-319",'2024'!$I$4="CA",'2024'!$I$2=BX195),'2024DATA'!$E$31,"")</f>
        <v/>
      </c>
      <c r="BY224" s="518" t="str">
        <f>IF(AND(_E="A-319",'2024'!$I$4="CA",'2024'!$I$2=BY195),'2024DATA'!$F$31,"")</f>
        <v/>
      </c>
      <c r="BZ224" s="518" t="str">
        <f>IF(AND(_E="A-319",'2024'!$I$4="CA",'2024'!$I$2=BZ195),'2024DATA'!$G$31,"")</f>
        <v/>
      </c>
      <c r="CA224" s="518" t="str">
        <f>IF(AND(_E="A-319",'2024'!$I$4="CA",'2024'!$I$2=CA195),'2024DATA'!$H$31,"")</f>
        <v/>
      </c>
      <c r="CB224" s="518" t="str">
        <f>IF(AND(_E="A-319",'2024'!$I$4="CA",'2024'!$I$2=CB195),'2024DATA'!$I$31,"")</f>
        <v/>
      </c>
      <c r="CC224" s="518" t="str">
        <f>IF(AND(_E="A-319",'2024'!$I$4="CA",'2024'!$I$2=CC195),'2024DATA'!$J$31,"")</f>
        <v/>
      </c>
      <c r="CD224" s="518" t="str">
        <f>IF(AND(_E="A-319",'2024'!$I$4="CA",'2024'!$I$2=CD195),'2024DATA'!$K$31,"")</f>
        <v/>
      </c>
      <c r="CE224" s="518" t="str">
        <f>IF(AND(_E="A-319",'2024'!$I$4="CA",'2024'!$I$2=CE195),'2024DATA'!$L$31,"")</f>
        <v/>
      </c>
      <c r="CF224" s="518" t="str">
        <f>IF(AND(_E="A-319",'2024'!$I$4="CA",'2024'!$I$2=CF195),'2024DATA'!$M$31,"")</f>
        <v/>
      </c>
      <c r="CG224" s="520" t="str">
        <f>IF(AND(_E="A-319",'2024'!$I$4="CA",'2024'!$I$2=CG195),'2024DATA'!$N$31,"")</f>
        <v/>
      </c>
      <c r="CH224" s="940" t="s">
        <v>71</v>
      </c>
      <c r="CI224" s="13" t="s">
        <v>61</v>
      </c>
      <c r="CJ224" s="518" t="str">
        <f>IF(AND(_F="A-319",'2024'!$I$4="CA",'2024'!$I$2=CJ195),'2024DATA'!$C$31,"")</f>
        <v/>
      </c>
      <c r="CK224" s="518" t="str">
        <f>IF(AND(_F="A-319",'2024'!$I$4="CA",'2024'!$I$2=CK195),'2024DATA'!$D$31,"")</f>
        <v/>
      </c>
      <c r="CL224" s="518" t="str">
        <f>IF(AND(_F="A-319",'2024'!$I$4="CA",'2024'!$I$2=CL195),'2024DATA'!$E$31,"")</f>
        <v/>
      </c>
      <c r="CM224" s="518" t="str">
        <f>IF(AND(_F="A-319",'2024'!$I$4="CA",'2024'!$I$2=CM195),'2024DATA'!$F$31,"")</f>
        <v/>
      </c>
      <c r="CN224" s="518" t="str">
        <f>IF(AND(_F="A-319",'2024'!$I$4="CA",'2024'!$I$2=CN195),'2024DATA'!$G$31,"")</f>
        <v/>
      </c>
      <c r="CO224" s="518" t="str">
        <f>IF(AND(_F="A-319",'2024'!$I$4="CA",'2024'!$I$2=CO195),'2024DATA'!$H$31,"")</f>
        <v/>
      </c>
      <c r="CP224" s="518" t="str">
        <f>IF(AND(_F="A-319",'2024'!$I$4="CA",'2024'!$I$2=CP195),'2024DATA'!$I$31,"")</f>
        <v/>
      </c>
      <c r="CQ224" s="518" t="str">
        <f>IF(AND(_F="A-319",'2024'!$I$4="CA",'2024'!$I$2=CQ195),'2024DATA'!$J$31,"")</f>
        <v/>
      </c>
      <c r="CR224" s="518" t="str">
        <f>IF(AND(_F="A-319",'2024'!$I$4="CA",'2024'!$I$2=CR195),'2024DATA'!$K$31,"")</f>
        <v/>
      </c>
      <c r="CS224" s="518" t="str">
        <f>IF(AND(_F="A-319",'2024'!$I$4="CA",'2024'!$I$2=CS195),'2024DATA'!$L$31,"")</f>
        <v/>
      </c>
      <c r="CT224" s="518" t="str">
        <f>IF(AND(_F="A-319",'2024'!$I$4="CA",'2024'!$I$2=CT195),'2024DATA'!$M$31,"")</f>
        <v/>
      </c>
      <c r="CU224" s="520" t="str">
        <f>IF(AND(_F="A-319",'2024'!$I$4="CA",'2024'!$I$2=CU195),'2024DATA'!$N$31,"")</f>
        <v/>
      </c>
    </row>
    <row r="225" spans="16:99" x14ac:dyDescent="0.25">
      <c r="P225" s="940"/>
      <c r="Q225" s="13" t="s">
        <v>62</v>
      </c>
      <c r="R225" s="518" t="str">
        <f>IF(AND(_A="A-319",'2024'!$I$4="FO",'2024'!$I$2=R195),'2024DATA'!$C$32,"")</f>
        <v/>
      </c>
      <c r="S225" s="518" t="str">
        <f>IF(AND(_A="A-319",'2024'!$I$4="FO",'2024'!$I$2=S195),'2024DATA'!$D$32,"")</f>
        <v/>
      </c>
      <c r="T225" s="518" t="str">
        <f>IF(AND(_A="A-319",'2024'!$I$4="FO",'2024'!$I$2=T195),'2024DATA'!$E$32,"")</f>
        <v/>
      </c>
      <c r="U225" s="518" t="str">
        <f>IF(AND(_A="A-319",'2024'!$I$4="FO",'2024'!$I$2=U195),'2024DATA'!$F$32,"")</f>
        <v/>
      </c>
      <c r="V225" s="518" t="str">
        <f>IF(AND(_A="A-319",'2024'!$I$4="FO",'2024'!$I$2=V195),'2024DATA'!$G$32,"")</f>
        <v/>
      </c>
      <c r="W225" s="518" t="str">
        <f>IF(AND(_A="A-319",'2024'!$I$4="FO",'2024'!$I$2=W195),'2024DATA'!$H$32,"")</f>
        <v/>
      </c>
      <c r="X225" s="518" t="str">
        <f>IF(AND(_A="A-319",'2024'!$I$4="FO",'2024'!$I$2=X195),'2024DATA'!$I$32,"")</f>
        <v/>
      </c>
      <c r="Y225" s="518" t="str">
        <f>IF(AND(_A="A-319",'2024'!$I$4="FO",'2024'!$I$2=Y195),'2024DATA'!$J$32,"")</f>
        <v/>
      </c>
      <c r="Z225" s="518" t="str">
        <f>IF(AND(_A="A-319",'2024'!$I$4="FO",'2024'!$I$2=Z195),'2024DATA'!$K$32,"")</f>
        <v/>
      </c>
      <c r="AA225" s="518" t="str">
        <f>IF(AND(_A="A-319",'2024'!$I$4="FO",'2024'!$I$2=AA195),'2024DATA'!$L$32,"")</f>
        <v/>
      </c>
      <c r="AB225" s="518" t="str">
        <f>IF(AND(_A="A-319",'2024'!$I$4="FO",'2024'!$I$2=AB195),'2024DATA'!$M$32,"")</f>
        <v/>
      </c>
      <c r="AC225" s="520" t="str">
        <f>IF(AND(_A="A-319",'2024'!$I$4="FO",'2024'!$I$2=AC195),'2024DATA'!$N$32,"")</f>
        <v/>
      </c>
      <c r="AD225" s="940"/>
      <c r="AE225" s="13" t="s">
        <v>62</v>
      </c>
      <c r="AF225" s="518" t="str">
        <f>IF(AND(_B="A-319",'2024'!$I$4="FO",'2024'!$I$2=AF195),'2024DATA'!$C$32,"")</f>
        <v/>
      </c>
      <c r="AG225" s="518" t="str">
        <f>IF(AND(_B="A-319",'2024'!$I$4="FO",'2024'!$I$2=AG195),'2024DATA'!$D$32,"")</f>
        <v/>
      </c>
      <c r="AH225" s="518" t="str">
        <f>IF(AND(_B="A-319",'2024'!$I$4="FO",'2024'!$I$2=AH195),'2024DATA'!$E$32,"")</f>
        <v/>
      </c>
      <c r="AI225" s="518" t="str">
        <f>IF(AND(_B="A-319",'2024'!$I$4="FO",'2024'!$I$2=AI195),'2024DATA'!$F$32,"")</f>
        <v/>
      </c>
      <c r="AJ225" s="518" t="str">
        <f>IF(AND(_B="A-319",'2024'!$I$4="FO",'2024'!$I$2=AJ195),'2024DATA'!$G$32,"")</f>
        <v/>
      </c>
      <c r="AK225" s="518" t="str">
        <f>IF(AND(_B="A-319",'2024'!$I$4="FO",'2024'!$I$2=AK195),'2024DATA'!$H$32,"")</f>
        <v/>
      </c>
      <c r="AL225" s="518" t="str">
        <f>IF(AND(_B="A-319",'2024'!$I$4="FO",'2024'!$I$2=AL195),'2024DATA'!$I$32,"")</f>
        <v/>
      </c>
      <c r="AM225" s="518" t="str">
        <f>IF(AND(_B="A-319",'2024'!$I$4="FO",'2024'!$I$2=AM195),'2024DATA'!$J$32,"")</f>
        <v/>
      </c>
      <c r="AN225" s="518" t="str">
        <f>IF(AND(_B="A-319",'2024'!$I$4="FO",'2024'!$I$2=AN195),'2024DATA'!$K$32,"")</f>
        <v/>
      </c>
      <c r="AO225" s="518" t="str">
        <f>IF(AND(_B="A-319",'2024'!$I$4="FO",'2024'!$I$2=AO195),'2024DATA'!$L$32,"")</f>
        <v/>
      </c>
      <c r="AP225" s="518" t="str">
        <f>IF(AND(_B="A-319",'2024'!$I$4="FO",'2024'!$I$2=AP195),'2024DATA'!$M$32,"")</f>
        <v/>
      </c>
      <c r="AQ225" s="520" t="str">
        <f>IF(AND(_B="A-319",'2024'!$I$4="FO",'2024'!$I$2=AQ195),'2024DATA'!$N$32,"")</f>
        <v/>
      </c>
      <c r="AR225" s="940"/>
      <c r="AS225" s="13" t="s">
        <v>62</v>
      </c>
      <c r="AT225" s="518" t="str">
        <f>IF(AND(_C="A-319",'2024'!$I$4="FO",'2024'!$I$2=AT195),'2024DATA'!$C$32,"")</f>
        <v/>
      </c>
      <c r="AU225" s="518" t="str">
        <f>IF(AND(_C="A-319",'2024'!$I$4="FO",'2024'!$I$2=AU195),'2024DATA'!$D$32,"")</f>
        <v/>
      </c>
      <c r="AV225" s="518" t="str">
        <f>IF(AND(_C="A-319",'2024'!$I$4="FO",'2024'!$I$2=AV195),'2024DATA'!$E$32,"")</f>
        <v/>
      </c>
      <c r="AW225" s="518" t="str">
        <f>IF(AND(_C="A-319",'2024'!$I$4="FO",'2024'!$I$2=AW195),'2024DATA'!$F$32,"")</f>
        <v/>
      </c>
      <c r="AX225" s="518" t="str">
        <f>IF(AND(_C="A-319",'2024'!$I$4="FO",'2024'!$I$2=AX195),'2024DATA'!$G$32,"")</f>
        <v/>
      </c>
      <c r="AY225" s="518" t="str">
        <f>IF(AND(_C="A-319",'2024'!$I$4="FO",'2024'!$I$2=AY195),'2024DATA'!$H$32,"")</f>
        <v/>
      </c>
      <c r="AZ225" s="518" t="str">
        <f>IF(AND(_C="A-319",'2024'!$I$4="FO",'2024'!$I$2=AZ195),'2024DATA'!$I$32,"")</f>
        <v/>
      </c>
      <c r="BA225" s="518" t="str">
        <f>IF(AND(_C="A-319",'2024'!$I$4="FO",'2024'!$I$2=BA195),'2024DATA'!$J$32,"")</f>
        <v/>
      </c>
      <c r="BB225" s="518" t="str">
        <f>IF(AND(_C="A-319",'2024'!$I$4="FO",'2024'!$I$2=BB195),'2024DATA'!$K$32,"")</f>
        <v/>
      </c>
      <c r="BC225" s="518" t="str">
        <f>IF(AND(_C="A-319",'2024'!$I$4="FO",'2024'!$I$2=BC195),'2024DATA'!$L$32,"")</f>
        <v/>
      </c>
      <c r="BD225" s="518" t="str">
        <f>IF(AND(_C="A-319",'2024'!$I$4="FO",'2024'!$I$2=BD195),'2024DATA'!$M$32,"")</f>
        <v/>
      </c>
      <c r="BE225" s="520" t="str">
        <f>IF(AND(_C="A-319",'2024'!$I$4="FO",'2024'!$I$2=BE195),'2024DATA'!$N$32,"")</f>
        <v/>
      </c>
      <c r="BF225" s="940"/>
      <c r="BG225" s="13" t="s">
        <v>62</v>
      </c>
      <c r="BH225" s="518" t="str">
        <f>IF(AND(_D="A-319",'2024'!$I$4="FO",'2024'!$I$2=BH195),'2024DATA'!$C$32,"")</f>
        <v/>
      </c>
      <c r="BI225" s="518" t="str">
        <f>IF(AND(_D="A-319",'2024'!$I$4="FO",'2024'!$I$2=BI195),'2024DATA'!$D$32,"")</f>
        <v/>
      </c>
      <c r="BJ225" s="518" t="str">
        <f>IF(AND(_D="A-319",'2024'!$I$4="FO",'2024'!$I$2=BJ195),'2024DATA'!$E$32,"")</f>
        <v/>
      </c>
      <c r="BK225" s="518" t="str">
        <f>IF(AND(_D="A-319",'2024'!$I$4="FO",'2024'!$I$2=BK195),'2024DATA'!$F$32,"")</f>
        <v/>
      </c>
      <c r="BL225" s="518" t="str">
        <f>IF(AND(_D="A-319",'2024'!$I$4="FO",'2024'!$I$2=BL195),'2024DATA'!$G$32,"")</f>
        <v/>
      </c>
      <c r="BM225" s="518" t="str">
        <f>IF(AND(_D="A-319",'2024'!$I$4="FO",'2024'!$I$2=BM195),'2024DATA'!$H$32,"")</f>
        <v/>
      </c>
      <c r="BN225" s="518" t="str">
        <f>IF(AND(_D="A-319",'2024'!$I$4="FO",'2024'!$I$2=BN195),'2024DATA'!$I$32,"")</f>
        <v/>
      </c>
      <c r="BO225" s="518" t="str">
        <f>IF(AND(_D="A-319",'2024'!$I$4="FO",'2024'!$I$2=BO195),'2024DATA'!$J$32,"")</f>
        <v/>
      </c>
      <c r="BP225" s="518" t="str">
        <f>IF(AND(_D="A-319",'2024'!$I$4="FO",'2024'!$I$2=BP195),'2024DATA'!$K$32,"")</f>
        <v/>
      </c>
      <c r="BQ225" s="518" t="str">
        <f>IF(AND(_D="A-319",'2024'!$I$4="FO",'2024'!$I$2=BQ195),'2024DATA'!$L$32,"")</f>
        <v/>
      </c>
      <c r="BR225" s="518" t="str">
        <f>IF(AND(_D="A-319",'2024'!$I$4="FO",'2024'!$I$2=BR195),'2024DATA'!$M$32,"")</f>
        <v/>
      </c>
      <c r="BS225" s="520" t="str">
        <f>IF(AND(_D="A-319",'2024'!$I$4="FO",'2024'!$I$2=BS195),'2024DATA'!$N$32,"")</f>
        <v/>
      </c>
      <c r="BT225" s="940"/>
      <c r="BU225" s="13" t="s">
        <v>62</v>
      </c>
      <c r="BV225" s="518" t="str">
        <f>IF(AND(_E="A-319",'2024'!$I$4="FO",'2024'!$I$2=BV195),'2024DATA'!$C$32,"")</f>
        <v/>
      </c>
      <c r="BW225" s="518" t="str">
        <f>IF(AND(_E="A-319",'2024'!$I$4="FO",'2024'!$I$2=BW195),'2024DATA'!$D$32,"")</f>
        <v/>
      </c>
      <c r="BX225" s="518" t="str">
        <f>IF(AND(_E="A-319",'2024'!$I$4="FO",'2024'!$I$2=BX195),'2024DATA'!$E$32,"")</f>
        <v/>
      </c>
      <c r="BY225" s="518" t="str">
        <f>IF(AND(_E="A-319",'2024'!$I$4="FO",'2024'!$I$2=BY195),'2024DATA'!$F$32,"")</f>
        <v/>
      </c>
      <c r="BZ225" s="518" t="str">
        <f>IF(AND(_E="A-319",'2024'!$I$4="FO",'2024'!$I$2=BZ195),'2024DATA'!$G$32,"")</f>
        <v/>
      </c>
      <c r="CA225" s="518" t="str">
        <f>IF(AND(_E="A-319",'2024'!$I$4="FO",'2024'!$I$2=CA195),'2024DATA'!$H$32,"")</f>
        <v/>
      </c>
      <c r="CB225" s="518" t="str">
        <f>IF(AND(_E="A-319",'2024'!$I$4="FO",'2024'!$I$2=CB195),'2024DATA'!$I$32,"")</f>
        <v/>
      </c>
      <c r="CC225" s="518" t="str">
        <f>IF(AND(_E="A-319",'2024'!$I$4="FO",'2024'!$I$2=CC195),'2024DATA'!$J$32,"")</f>
        <v/>
      </c>
      <c r="CD225" s="518" t="str">
        <f>IF(AND(_E="A-319",'2024'!$I$4="FO",'2024'!$I$2=CD195),'2024DATA'!$K$32,"")</f>
        <v/>
      </c>
      <c r="CE225" s="518" t="str">
        <f>IF(AND(_E="A-319",'2024'!$I$4="FO",'2024'!$I$2=CE195),'2024DATA'!$L$32,"")</f>
        <v/>
      </c>
      <c r="CF225" s="518" t="str">
        <f>IF(AND(_E="A-319",'2024'!$I$4="FO",'2024'!$I$2=CF195),'2024DATA'!$M$32,"")</f>
        <v/>
      </c>
      <c r="CG225" s="520" t="str">
        <f>IF(AND(_E="A-319",'2024'!$I$4="FO",'2024'!$I$2=CG195),'2024DATA'!$N$32,"")</f>
        <v/>
      </c>
      <c r="CH225" s="940"/>
      <c r="CI225" s="13" t="s">
        <v>62</v>
      </c>
      <c r="CJ225" s="518" t="str">
        <f>IF(AND(_F="A-319",'2024'!$I$4="FO",'2024'!$I$2=CJ195),'2024DATA'!$C$32,"")</f>
        <v/>
      </c>
      <c r="CK225" s="518" t="str">
        <f>IF(AND(_F="A-319",'2024'!$I$4="FO",'2024'!$I$2=CK195),'2024DATA'!$D$32,"")</f>
        <v/>
      </c>
      <c r="CL225" s="518" t="str">
        <f>IF(AND(_F="A-319",'2024'!$I$4="FO",'2024'!$I$2=CL195),'2024DATA'!$E$32,"")</f>
        <v/>
      </c>
      <c r="CM225" s="518" t="str">
        <f>IF(AND(_F="A-319",'2024'!$I$4="FO",'2024'!$I$2=CM195),'2024DATA'!$F$32,"")</f>
        <v/>
      </c>
      <c r="CN225" s="518" t="str">
        <f>IF(AND(_F="A-319",'2024'!$I$4="FO",'2024'!$I$2=CN195),'2024DATA'!$G$32,"")</f>
        <v/>
      </c>
      <c r="CO225" s="518" t="str">
        <f>IF(AND(_F="A-319",'2024'!$I$4="FO",'2024'!$I$2=CO195),'2024DATA'!$H$32,"")</f>
        <v/>
      </c>
      <c r="CP225" s="518" t="str">
        <f>IF(AND(_F="A-319",'2024'!$I$4="FO",'2024'!$I$2=CP195),'2024DATA'!$I$32,"")</f>
        <v/>
      </c>
      <c r="CQ225" s="518" t="str">
        <f>IF(AND(_F="A-319",'2024'!$I$4="FO",'2024'!$I$2=CQ195),'2024DATA'!$J$32,"")</f>
        <v/>
      </c>
      <c r="CR225" s="518" t="str">
        <f>IF(AND(_F="A-319",'2024'!$I$4="FO",'2024'!$I$2=CR195),'2024DATA'!$K$32,"")</f>
        <v/>
      </c>
      <c r="CS225" s="518" t="str">
        <f>IF(AND(_F="A-319",'2024'!$I$4="FO",'2024'!$I$2=CS195),'2024DATA'!$L$32,"")</f>
        <v/>
      </c>
      <c r="CT225" s="518" t="str">
        <f>IF(AND(_F="A-319",'2024'!$I$4="FO",'2024'!$I$2=CT195),'2024DATA'!$M$32,"")</f>
        <v/>
      </c>
      <c r="CU225" s="520" t="str">
        <f>IF(AND(_F="A-319",'2024'!$I$4="FO",'2024'!$I$2=CU195),'2024DATA'!$N$32,"")</f>
        <v/>
      </c>
    </row>
    <row r="226" spans="16:99" x14ac:dyDescent="0.25">
      <c r="P226" s="940" t="s">
        <v>51</v>
      </c>
      <c r="Q226" s="13" t="s">
        <v>61</v>
      </c>
      <c r="R226" s="518" t="str">
        <f>IF(AND(_A="A-220-300",'2024'!$I$4="CA",'2024'!$I$2=R195),'2024DATA'!$C$33,"")</f>
        <v/>
      </c>
      <c r="S226" s="518" t="str">
        <f>IF(AND(_A="A-220-300",'2024'!$I$4="CA",'2024'!$I$2=S195),'2024DATA'!$D$33,"")</f>
        <v/>
      </c>
      <c r="T226" s="518" t="str">
        <f>IF(AND(_A="A-220-300",'2024'!$I$4="CA",'2024'!$I$2=T195),'2024DATA'!$E$33,"")</f>
        <v/>
      </c>
      <c r="U226" s="518" t="str">
        <f>IF(AND(_A="A-220-300",'2024'!$I$4="CA",'2024'!$I$2=U195),'2024DATA'!$F$33,"")</f>
        <v/>
      </c>
      <c r="V226" s="518" t="str">
        <f>IF(AND(_A="A-220-300",'2024'!$I$4="CA",'2024'!$I$2=V195),'2024DATA'!$G$33,"")</f>
        <v/>
      </c>
      <c r="W226" s="518" t="str">
        <f>IF(AND(_A="A-220-300",'2024'!$I$4="CA",'2024'!$I$2=W195),'2024DATA'!$H$33,"")</f>
        <v/>
      </c>
      <c r="X226" s="518" t="str">
        <f>IF(AND(_A="A-220-300",'2024'!$I$4="CA",'2024'!$I$2=X195),'2024DATA'!$I$33,"")</f>
        <v/>
      </c>
      <c r="Y226" s="518" t="str">
        <f>IF(AND(_A="A-220-300",'2024'!$I$4="CA",'2024'!$I$2=Y195),'2024DATA'!$J$33,"")</f>
        <v/>
      </c>
      <c r="Z226" s="518" t="str">
        <f>IF(AND(_A="A-220-300",'2024'!$I$4="CA",'2024'!$I$2=Z195),'2024DATA'!$K$33,"")</f>
        <v/>
      </c>
      <c r="AA226" s="518" t="str">
        <f>IF(AND(_A="A-220-300",'2024'!$I$4="CA",'2024'!$I$2=AA195),'2024DATA'!$L$33,"")</f>
        <v/>
      </c>
      <c r="AB226" s="518" t="str">
        <f>IF(AND(_A="A-220-300",'2024'!$I$4="CA",'2024'!$I$2=AB195),'2024DATA'!$M$33,"")</f>
        <v/>
      </c>
      <c r="AC226" s="520" t="str">
        <f>IF(AND(_A="A-220-300",'2024'!$I$4="CA",'2024'!$I$2=AC195),'2024DATA'!$N$33,"")</f>
        <v/>
      </c>
      <c r="AD226" s="940" t="s">
        <v>51</v>
      </c>
      <c r="AE226" s="13" t="s">
        <v>61</v>
      </c>
      <c r="AF226" s="518" t="str">
        <f>IF(AND(_B="A-220-300",'2024'!$I$4="CA",'2024'!$I$2=AF195),'2024DATA'!$C$33,"")</f>
        <v/>
      </c>
      <c r="AG226" s="518" t="str">
        <f>IF(AND(_B="A-220-300",'2024'!$I$4="CA",'2024'!$I$2=AG195),'2024DATA'!$D$33,"")</f>
        <v/>
      </c>
      <c r="AH226" s="518" t="str">
        <f>IF(AND(_B="A-220-300",'2024'!$I$4="CA",'2024'!$I$2=AH195),'2024DATA'!$E$33,"")</f>
        <v/>
      </c>
      <c r="AI226" s="518" t="str">
        <f>IF(AND(_B="A-220-300",'2024'!$I$4="CA",'2024'!$I$2=AI195),'2024DATA'!$F$33,"")</f>
        <v/>
      </c>
      <c r="AJ226" s="518" t="str">
        <f>IF(AND(_B="A-220-300",'2024'!$I$4="CA",'2024'!$I$2=AJ195),'2024DATA'!$G$33,"")</f>
        <v/>
      </c>
      <c r="AK226" s="518" t="str">
        <f>IF(AND(_B="A-220-300",'2024'!$I$4="CA",'2024'!$I$2=AK195),'2024DATA'!$H$33,"")</f>
        <v/>
      </c>
      <c r="AL226" s="518" t="str">
        <f>IF(AND(_B="A-220-300",'2024'!$I$4="CA",'2024'!$I$2=AL195),'2024DATA'!$I$33,"")</f>
        <v/>
      </c>
      <c r="AM226" s="518" t="str">
        <f>IF(AND(_B="A-220-300",'2024'!$I$4="CA",'2024'!$I$2=AM195),'2024DATA'!$J$33,"")</f>
        <v/>
      </c>
      <c r="AN226" s="518" t="str">
        <f>IF(AND(_B="A-220-300",'2024'!$I$4="CA",'2024'!$I$2=AN195),'2024DATA'!$K$33,"")</f>
        <v/>
      </c>
      <c r="AO226" s="518" t="str">
        <f>IF(AND(_B="A-220-300",'2024'!$I$4="CA",'2024'!$I$2=AO195),'2024DATA'!$L$33,"")</f>
        <v/>
      </c>
      <c r="AP226" s="518" t="str">
        <f>IF(AND(_B="A-220-300",'2024'!$I$4="CA",'2024'!$I$2=AP195),'2024DATA'!$M$33,"")</f>
        <v/>
      </c>
      <c r="AQ226" s="520" t="str">
        <f>IF(AND(_B="A-220-300",'2024'!$I$4="CA",'2024'!$I$2=AQ195),'2024DATA'!$N$33,"")</f>
        <v/>
      </c>
      <c r="AR226" s="940" t="s">
        <v>51</v>
      </c>
      <c r="AS226" s="13" t="s">
        <v>61</v>
      </c>
      <c r="AT226" s="518" t="str">
        <f>IF(AND(_C="A-220-300",'2024'!$I$4="CA",'2024'!$I$2=AT195),'2024DATA'!$C$33,"")</f>
        <v/>
      </c>
      <c r="AU226" s="518" t="str">
        <f>IF(AND(_C="A-220-300",'2024'!$I$4="CA",'2024'!$I$2=AU195),'2024DATA'!$D$33,"")</f>
        <v/>
      </c>
      <c r="AV226" s="518" t="str">
        <f>IF(AND(_C="A-220-300",'2024'!$I$4="CA",'2024'!$I$2=AV195),'2024DATA'!$E$33,"")</f>
        <v/>
      </c>
      <c r="AW226" s="518" t="str">
        <f>IF(AND(_C="A-220-300",'2024'!$I$4="CA",'2024'!$I$2=AW195),'2024DATA'!$F$33,"")</f>
        <v/>
      </c>
      <c r="AX226" s="518" t="str">
        <f>IF(AND(_C="A-220-300",'2024'!$I$4="CA",'2024'!$I$2=AX195),'2024DATA'!$G$33,"")</f>
        <v/>
      </c>
      <c r="AY226" s="518" t="str">
        <f>IF(AND(_C="A-220-300",'2024'!$I$4="CA",'2024'!$I$2=AY195),'2024DATA'!$H$33,"")</f>
        <v/>
      </c>
      <c r="AZ226" s="518" t="str">
        <f>IF(AND(_C="A-220-300",'2024'!$I$4="CA",'2024'!$I$2=AZ195),'2024DATA'!$I$33,"")</f>
        <v/>
      </c>
      <c r="BA226" s="518" t="str">
        <f>IF(AND(_C="A-220-300",'2024'!$I$4="CA",'2024'!$I$2=BA195),'2024DATA'!$J$33,"")</f>
        <v/>
      </c>
      <c r="BB226" s="518" t="str">
        <f>IF(AND(_C="A-220-300",'2024'!$I$4="CA",'2024'!$I$2=BB195),'2024DATA'!$K$33,"")</f>
        <v/>
      </c>
      <c r="BC226" s="518" t="str">
        <f>IF(AND(_C="A-220-300",'2024'!$I$4="CA",'2024'!$I$2=BC195),'2024DATA'!$L$33,"")</f>
        <v/>
      </c>
      <c r="BD226" s="518" t="str">
        <f>IF(AND(_C="A-220-300",'2024'!$I$4="CA",'2024'!$I$2=BD195),'2024DATA'!$M$33,"")</f>
        <v/>
      </c>
      <c r="BE226" s="520" t="str">
        <f>IF(AND(_C="A-220-300",'2024'!$I$4="CA",'2024'!$I$2=BE195),'2024DATA'!$N$33,"")</f>
        <v/>
      </c>
      <c r="BF226" s="940" t="s">
        <v>51</v>
      </c>
      <c r="BG226" s="13" t="s">
        <v>61</v>
      </c>
      <c r="BH226" s="518" t="str">
        <f>IF(AND(_D="A-220-300",'2024'!$I$4="CA",'2024'!$I$2=BH195),'2024DATA'!$C$33,"")</f>
        <v/>
      </c>
      <c r="BI226" s="518" t="str">
        <f>IF(AND(_D="A-220-300",'2024'!$I$4="CA",'2024'!$I$2=BI195),'2024DATA'!$D$33,"")</f>
        <v/>
      </c>
      <c r="BJ226" s="518" t="str">
        <f>IF(AND(_D="A-220-300",'2024'!$I$4="CA",'2024'!$I$2=BJ195),'2024DATA'!$E$33,"")</f>
        <v/>
      </c>
      <c r="BK226" s="518" t="str">
        <f>IF(AND(_D="A-220-300",'2024'!$I$4="CA",'2024'!$I$2=BK195),'2024DATA'!$F$33,"")</f>
        <v/>
      </c>
      <c r="BL226" s="518" t="str">
        <f>IF(AND(_D="A-220-300",'2024'!$I$4="CA",'2024'!$I$2=BL195),'2024DATA'!$G$33,"")</f>
        <v/>
      </c>
      <c r="BM226" s="518" t="str">
        <f>IF(AND(_D="A-220-300",'2024'!$I$4="CA",'2024'!$I$2=BM195),'2024DATA'!$H$33,"")</f>
        <v/>
      </c>
      <c r="BN226" s="518" t="str">
        <f>IF(AND(_D="A-220-300",'2024'!$I$4="CA",'2024'!$I$2=BN195),'2024DATA'!$I$33,"")</f>
        <v/>
      </c>
      <c r="BO226" s="518" t="str">
        <f>IF(AND(_D="A-220-300",'2024'!$I$4="CA",'2024'!$I$2=BO195),'2024DATA'!$J$33,"")</f>
        <v/>
      </c>
      <c r="BP226" s="518" t="str">
        <f>IF(AND(_D="A-220-300",'2024'!$I$4="CA",'2024'!$I$2=BP195),'2024DATA'!$K$33,"")</f>
        <v/>
      </c>
      <c r="BQ226" s="518" t="str">
        <f>IF(AND(_D="A-220-300",'2024'!$I$4="CA",'2024'!$I$2=BQ195),'2024DATA'!$L$33,"")</f>
        <v/>
      </c>
      <c r="BR226" s="518" t="str">
        <f>IF(AND(_D="A-220-300",'2024'!$I$4="CA",'2024'!$I$2=BR195),'2024DATA'!$M$33,"")</f>
        <v/>
      </c>
      <c r="BS226" s="520" t="str">
        <f>IF(AND(_D="A-220-300",'2024'!$I$4="CA",'2024'!$I$2=BS195),'2024DATA'!$N$33,"")</f>
        <v/>
      </c>
      <c r="BT226" s="940" t="s">
        <v>51</v>
      </c>
      <c r="BU226" s="13" t="s">
        <v>61</v>
      </c>
      <c r="BV226" s="518" t="str">
        <f>IF(AND(_E="A-220-300",'2024'!$I$4="CA",'2024'!$I$2=BV195),'2024DATA'!$C$33,"")</f>
        <v/>
      </c>
      <c r="BW226" s="518" t="str">
        <f>IF(AND(_E="A-220-300",'2024'!$I$4="CA",'2024'!$I$2=BW195),'2024DATA'!$D$33,"")</f>
        <v/>
      </c>
      <c r="BX226" s="518" t="str">
        <f>IF(AND(_E="A-220-300",'2024'!$I$4="CA",'2024'!$I$2=BX195),'2024DATA'!$E$33,"")</f>
        <v/>
      </c>
      <c r="BY226" s="518" t="str">
        <f>IF(AND(_E="A-220-300",'2024'!$I$4="CA",'2024'!$I$2=BY195),'2024DATA'!$F$33,"")</f>
        <v/>
      </c>
      <c r="BZ226" s="518" t="str">
        <f>IF(AND(_E="A-220-300",'2024'!$I$4="CA",'2024'!$I$2=BZ195),'2024DATA'!$G$33,"")</f>
        <v/>
      </c>
      <c r="CA226" s="518" t="str">
        <f>IF(AND(_E="A-220-300",'2024'!$I$4="CA",'2024'!$I$2=CA195),'2024DATA'!$H$33,"")</f>
        <v/>
      </c>
      <c r="CB226" s="518" t="str">
        <f>IF(AND(_E="A-220-300",'2024'!$I$4="CA",'2024'!$I$2=CB195),'2024DATA'!$I$33,"")</f>
        <v/>
      </c>
      <c r="CC226" s="518" t="str">
        <f>IF(AND(_E="A-220-300",'2024'!$I$4="CA",'2024'!$I$2=CC195),'2024DATA'!$J$33,"")</f>
        <v/>
      </c>
      <c r="CD226" s="518" t="str">
        <f>IF(AND(_E="A-220-300",'2024'!$I$4="CA",'2024'!$I$2=CD195),'2024DATA'!$K$33,"")</f>
        <v/>
      </c>
      <c r="CE226" s="518" t="str">
        <f>IF(AND(_E="A-220-300",'2024'!$I$4="CA",'2024'!$I$2=CE195),'2024DATA'!$L$33,"")</f>
        <v/>
      </c>
      <c r="CF226" s="518" t="str">
        <f>IF(AND(_E="A-220-300",'2024'!$I$4="CA",'2024'!$I$2=CF195),'2024DATA'!$M$33,"")</f>
        <v/>
      </c>
      <c r="CG226" s="520" t="str">
        <f>IF(AND(_E="A-220-300",'2024'!$I$4="CA",'2024'!$I$2=CG195),'2024DATA'!$N$33,"")</f>
        <v/>
      </c>
      <c r="CH226" s="940" t="s">
        <v>51</v>
      </c>
      <c r="CI226" s="13" t="s">
        <v>61</v>
      </c>
      <c r="CJ226" s="518" t="str">
        <f>IF(AND(_F="A-220-300",'2024'!$I$4="CA",'2024'!$I$2=CJ195),'2024DATA'!$C$33,"")</f>
        <v/>
      </c>
      <c r="CK226" s="518" t="str">
        <f>IF(AND(_F="A-220-300",'2024'!$I$4="CA",'2024'!$I$2=CK195),'2024DATA'!$D$33,"")</f>
        <v/>
      </c>
      <c r="CL226" s="518" t="str">
        <f>IF(AND(_F="A-220-300",'2024'!$I$4="CA",'2024'!$I$2=CL195),'2024DATA'!$E$33,"")</f>
        <v/>
      </c>
      <c r="CM226" s="518" t="str">
        <f>IF(AND(_F="A-220-300",'2024'!$I$4="CA",'2024'!$I$2=CM195),'2024DATA'!$F$33,"")</f>
        <v/>
      </c>
      <c r="CN226" s="518" t="str">
        <f>IF(AND(_F="A-220-300",'2024'!$I$4="CA",'2024'!$I$2=CN195),'2024DATA'!$G$33,"")</f>
        <v/>
      </c>
      <c r="CO226" s="518" t="str">
        <f>IF(AND(_F="A-220-300",'2024'!$I$4="CA",'2024'!$I$2=CO195),'2024DATA'!$H$33,"")</f>
        <v/>
      </c>
      <c r="CP226" s="518" t="str">
        <f>IF(AND(_F="A-220-300",'2024'!$I$4="CA",'2024'!$I$2=CP195),'2024DATA'!$I$33,"")</f>
        <v/>
      </c>
      <c r="CQ226" s="518" t="str">
        <f>IF(AND(_F="A-220-300",'2024'!$I$4="CA",'2024'!$I$2=CQ195),'2024DATA'!$J$33,"")</f>
        <v/>
      </c>
      <c r="CR226" s="518" t="str">
        <f>IF(AND(_F="A-220-300",'2024'!$I$4="CA",'2024'!$I$2=CR195),'2024DATA'!$K$33,"")</f>
        <v/>
      </c>
      <c r="CS226" s="518" t="str">
        <f>IF(AND(_F="A-220-300",'2024'!$I$4="CA",'2024'!$I$2=CS195),'2024DATA'!$L$33,"")</f>
        <v/>
      </c>
      <c r="CT226" s="518" t="str">
        <f>IF(AND(_F="A-220-300",'2024'!$I$4="CA",'2024'!$I$2=CT195),'2024DATA'!$M$33,"")</f>
        <v/>
      </c>
      <c r="CU226" s="520" t="str">
        <f>IF(AND(_F="A-220-300",'2024'!$I$4="CA",'2024'!$I$2=CU195),'2024DATA'!$N$33,"")</f>
        <v/>
      </c>
    </row>
    <row r="227" spans="16:99" x14ac:dyDescent="0.25">
      <c r="P227" s="940"/>
      <c r="Q227" s="13" t="s">
        <v>62</v>
      </c>
      <c r="R227" s="518" t="str">
        <f>IF(AND(_A="A-220-300",'2024'!$I$4="FO",'2024'!$I$2=R195),'2024DATA'!$C$34,"")</f>
        <v/>
      </c>
      <c r="S227" s="518" t="str">
        <f>IF(AND(_A="A-220-300",'2024'!$I$4="FO",'2024'!$I$2=S195),'2024DATA'!$D$34,"")</f>
        <v/>
      </c>
      <c r="T227" s="518" t="str">
        <f>IF(AND(_A="A-220-300",'2024'!$I$4="FO",'2024'!$I$2=T195),'2024DATA'!$E$34,"")</f>
        <v/>
      </c>
      <c r="U227" s="518" t="str">
        <f>IF(AND(_A="A-220-300",'2024'!$I$4="FO",'2024'!$I$2=U195),'2024DATA'!$F$34,"")</f>
        <v/>
      </c>
      <c r="V227" s="518" t="str">
        <f>IF(AND(_A="A-220-300",'2024'!$I$4="FO",'2024'!$I$2=V195),'2024DATA'!$G$34,"")</f>
        <v/>
      </c>
      <c r="W227" s="518" t="str">
        <f>IF(AND(_A="A-220-300",'2024'!$I$4="FO",'2024'!$I$2=W195),'2024DATA'!$H$34,"")</f>
        <v/>
      </c>
      <c r="X227" s="518" t="str">
        <f>IF(AND(_A="A-220-300",'2024'!$I$4="FO",'2024'!$I$2=X195),'2024DATA'!$I$34,"")</f>
        <v/>
      </c>
      <c r="Y227" s="518" t="str">
        <f>IF(AND(_A="A-220-300",'2024'!$I$4="FO",'2024'!$I$2=Y195),'2024DATA'!$J$34,"")</f>
        <v/>
      </c>
      <c r="Z227" s="518" t="str">
        <f>IF(AND(_A="A-220-300",'2024'!$I$4="FO",'2024'!$I$2=Z195),'2024DATA'!$K$34,"")</f>
        <v/>
      </c>
      <c r="AA227" s="518" t="str">
        <f>IF(AND(_A="A-220-300",'2024'!$I$4="FO",'2024'!$I$2=AA195),'2024DATA'!$L$34,"")</f>
        <v/>
      </c>
      <c r="AB227" s="518" t="str">
        <f>IF(AND(_A="A-220-300",'2024'!$I$4="FO",'2024'!$I$2=AB195),'2024DATA'!$M$34,"")</f>
        <v/>
      </c>
      <c r="AC227" s="520" t="str">
        <f>IF(AND(_A="A-220-300",'2024'!$I$4="FO",'2024'!$I$2=AC195),'2024DATA'!$N$34,"")</f>
        <v/>
      </c>
      <c r="AD227" s="940"/>
      <c r="AE227" s="13" t="s">
        <v>62</v>
      </c>
      <c r="AF227" s="518" t="str">
        <f>IF(AND(_B="A-220-300",'2024'!$I$4="FO",'2024'!$I$2=AF195),'2024DATA'!$C$34,"")</f>
        <v/>
      </c>
      <c r="AG227" s="518" t="str">
        <f>IF(AND(_B="A-220-300",'2024'!$I$4="FO",'2024'!$I$2=AG195),'2024DATA'!$D$34,"")</f>
        <v/>
      </c>
      <c r="AH227" s="518" t="str">
        <f>IF(AND(_B="A-220-300",'2024'!$I$4="FO",'2024'!$I$2=AH195),'2024DATA'!$E$34,"")</f>
        <v/>
      </c>
      <c r="AI227" s="518" t="str">
        <f>IF(AND(_B="A-220-300",'2024'!$I$4="FO",'2024'!$I$2=AI195),'2024DATA'!$F$34,"")</f>
        <v/>
      </c>
      <c r="AJ227" s="518" t="str">
        <f>IF(AND(_B="A-220-300",'2024'!$I$4="FO",'2024'!$I$2=AJ195),'2024DATA'!$G$34,"")</f>
        <v/>
      </c>
      <c r="AK227" s="518" t="str">
        <f>IF(AND(_B="A-220-300",'2024'!$I$4="FO",'2024'!$I$2=AK195),'2024DATA'!$H$34,"")</f>
        <v/>
      </c>
      <c r="AL227" s="518" t="str">
        <f>IF(AND(_B="A-220-300",'2024'!$I$4="FO",'2024'!$I$2=AL195),'2024DATA'!$I$34,"")</f>
        <v/>
      </c>
      <c r="AM227" s="518" t="str">
        <f>IF(AND(_B="A-220-300",'2024'!$I$4="FO",'2024'!$I$2=AM195),'2024DATA'!$J$34,"")</f>
        <v/>
      </c>
      <c r="AN227" s="518" t="str">
        <f>IF(AND(_B="A-220-300",'2024'!$I$4="FO",'2024'!$I$2=AN195),'2024DATA'!$K$34,"")</f>
        <v/>
      </c>
      <c r="AO227" s="518" t="str">
        <f>IF(AND(_B="A-220-300",'2024'!$I$4="FO",'2024'!$I$2=AO195),'2024DATA'!$L$34,"")</f>
        <v/>
      </c>
      <c r="AP227" s="518" t="str">
        <f>IF(AND(_B="A-220-300",'2024'!$I$4="FO",'2024'!$I$2=AP195),'2024DATA'!$M$34,"")</f>
        <v/>
      </c>
      <c r="AQ227" s="520" t="str">
        <f>IF(AND(_B="A-220-300",'2024'!$I$4="FO",'2024'!$I$2=AQ195),'2024DATA'!$N$34,"")</f>
        <v/>
      </c>
      <c r="AR227" s="940"/>
      <c r="AS227" s="13" t="s">
        <v>62</v>
      </c>
      <c r="AT227" s="518" t="str">
        <f>IF(AND(_C="A-220-300",'2024'!$I$4="FO",'2024'!$I$2=AT195),'2024DATA'!$C$34,"")</f>
        <v/>
      </c>
      <c r="AU227" s="518" t="str">
        <f>IF(AND(_C="A-220-300",'2024'!$I$4="FO",'2024'!$I$2=AU195),'2024DATA'!$D$34,"")</f>
        <v/>
      </c>
      <c r="AV227" s="518" t="str">
        <f>IF(AND(_C="A-220-300",'2024'!$I$4="FO",'2024'!$I$2=AV195),'2024DATA'!$E$34,"")</f>
        <v/>
      </c>
      <c r="AW227" s="518" t="str">
        <f>IF(AND(_C="A-220-300",'2024'!$I$4="FO",'2024'!$I$2=AW195),'2024DATA'!$F$34,"")</f>
        <v/>
      </c>
      <c r="AX227" s="518" t="str">
        <f>IF(AND(_C="A-220-300",'2024'!$I$4="FO",'2024'!$I$2=AX195),'2024DATA'!$G$34,"")</f>
        <v/>
      </c>
      <c r="AY227" s="518" t="str">
        <f>IF(AND(_C="A-220-300",'2024'!$I$4="FO",'2024'!$I$2=AY195),'2024DATA'!$H$34,"")</f>
        <v/>
      </c>
      <c r="AZ227" s="518" t="str">
        <f>IF(AND(_C="A-220-300",'2024'!$I$4="FO",'2024'!$I$2=AZ195),'2024DATA'!$I$34,"")</f>
        <v/>
      </c>
      <c r="BA227" s="518" t="str">
        <f>IF(AND(_C="A-220-300",'2024'!$I$4="FO",'2024'!$I$2=BA195),'2024DATA'!$J$34,"")</f>
        <v/>
      </c>
      <c r="BB227" s="518" t="str">
        <f>IF(AND(_C="A-220-300",'2024'!$I$4="FO",'2024'!$I$2=BB195),'2024DATA'!$K$34,"")</f>
        <v/>
      </c>
      <c r="BC227" s="518" t="str">
        <f>IF(AND(_C="A-220-300",'2024'!$I$4="FO",'2024'!$I$2=BC195),'2024DATA'!$L$34,"")</f>
        <v/>
      </c>
      <c r="BD227" s="518" t="str">
        <f>IF(AND(_C="A-220-300",'2024'!$I$4="FO",'2024'!$I$2=BD195),'2024DATA'!$M$34,"")</f>
        <v/>
      </c>
      <c r="BE227" s="520" t="str">
        <f>IF(AND(_C="A-220-300",'2024'!$I$4="FO",'2024'!$I$2=BE195),'2024DATA'!$N$34,"")</f>
        <v/>
      </c>
      <c r="BF227" s="940"/>
      <c r="BG227" s="13" t="s">
        <v>62</v>
      </c>
      <c r="BH227" s="518" t="str">
        <f>IF(AND(_D="A-220-300",'2024'!$I$4="FO",'2024'!$I$2=BH195),'2024DATA'!$C$34,"")</f>
        <v/>
      </c>
      <c r="BI227" s="518" t="str">
        <f>IF(AND(_D="A-220-300",'2024'!$I$4="FO",'2024'!$I$2=BI195),'2024DATA'!$D$34,"")</f>
        <v/>
      </c>
      <c r="BJ227" s="518" t="str">
        <f>IF(AND(_D="A-220-300",'2024'!$I$4="FO",'2024'!$I$2=BJ195),'2024DATA'!$E$34,"")</f>
        <v/>
      </c>
      <c r="BK227" s="518" t="str">
        <f>IF(AND(_D="A-220-300",'2024'!$I$4="FO",'2024'!$I$2=BK195),'2024DATA'!$F$34,"")</f>
        <v/>
      </c>
      <c r="BL227" s="518" t="str">
        <f>IF(AND(_D="A-220-300",'2024'!$I$4="FO",'2024'!$I$2=BL195),'2024DATA'!$G$34,"")</f>
        <v/>
      </c>
      <c r="BM227" s="518" t="str">
        <f>IF(AND(_D="A-220-300",'2024'!$I$4="FO",'2024'!$I$2=BM195),'2024DATA'!$H$34,"")</f>
        <v/>
      </c>
      <c r="BN227" s="518" t="str">
        <f>IF(AND(_D="A-220-300",'2024'!$I$4="FO",'2024'!$I$2=BN195),'2024DATA'!$I$34,"")</f>
        <v/>
      </c>
      <c r="BO227" s="518" t="str">
        <f>IF(AND(_D="A-220-300",'2024'!$I$4="FO",'2024'!$I$2=BO195),'2024DATA'!$J$34,"")</f>
        <v/>
      </c>
      <c r="BP227" s="518" t="str">
        <f>IF(AND(_D="A-220-300",'2024'!$I$4="FO",'2024'!$I$2=BP195),'2024DATA'!$K$34,"")</f>
        <v/>
      </c>
      <c r="BQ227" s="518" t="str">
        <f>IF(AND(_D="A-220-300",'2024'!$I$4="FO",'2024'!$I$2=BQ195),'2024DATA'!$L$34,"")</f>
        <v/>
      </c>
      <c r="BR227" s="518" t="str">
        <f>IF(AND(_D="A-220-300",'2024'!$I$4="FO",'2024'!$I$2=BR195),'2024DATA'!$M$34,"")</f>
        <v/>
      </c>
      <c r="BS227" s="520" t="str">
        <f>IF(AND(_D="A-220-300",'2024'!$I$4="FO",'2024'!$I$2=BS195),'2024DATA'!$N$34,"")</f>
        <v/>
      </c>
      <c r="BT227" s="940"/>
      <c r="BU227" s="13" t="s">
        <v>62</v>
      </c>
      <c r="BV227" s="518" t="str">
        <f>IF(AND(_E="A-220-300",'2024'!$I$4="FO",'2024'!$I$2=BV195),'2024DATA'!$C$34,"")</f>
        <v/>
      </c>
      <c r="BW227" s="518" t="str">
        <f>IF(AND(_E="A-220-300",'2024'!$I$4="FO",'2024'!$I$2=BW195),'2024DATA'!$D$34,"")</f>
        <v/>
      </c>
      <c r="BX227" s="518" t="str">
        <f>IF(AND(_E="A-220-300",'2024'!$I$4="FO",'2024'!$I$2=BX195),'2024DATA'!$E$34,"")</f>
        <v/>
      </c>
      <c r="BY227" s="518" t="str">
        <f>IF(AND(_E="A-220-300",'2024'!$I$4="FO",'2024'!$I$2=BY195),'2024DATA'!$F$34,"")</f>
        <v/>
      </c>
      <c r="BZ227" s="518" t="str">
        <f>IF(AND(_E="A-220-300",'2024'!$I$4="FO",'2024'!$I$2=BZ195),'2024DATA'!$G$34,"")</f>
        <v/>
      </c>
      <c r="CA227" s="518" t="str">
        <f>IF(AND(_E="A-220-300",'2024'!$I$4="FO",'2024'!$I$2=CA195),'2024DATA'!$H$34,"")</f>
        <v/>
      </c>
      <c r="CB227" s="518" t="str">
        <f>IF(AND(_E="A-220-300",'2024'!$I$4="FO",'2024'!$I$2=CB195),'2024DATA'!$I$34,"")</f>
        <v/>
      </c>
      <c r="CC227" s="518" t="str">
        <f>IF(AND(_E="A-220-300",'2024'!$I$4="FO",'2024'!$I$2=CC195),'2024DATA'!$J$34,"")</f>
        <v/>
      </c>
      <c r="CD227" s="518" t="str">
        <f>IF(AND(_E="A-220-300",'2024'!$I$4="FO",'2024'!$I$2=CD195),'2024DATA'!$K$34,"")</f>
        <v/>
      </c>
      <c r="CE227" s="518" t="str">
        <f>IF(AND(_E="A-220-300",'2024'!$I$4="FO",'2024'!$I$2=CE195),'2024DATA'!$L$34,"")</f>
        <v/>
      </c>
      <c r="CF227" s="518" t="str">
        <f>IF(AND(_E="A-220-300",'2024'!$I$4="FO",'2024'!$I$2=CF195),'2024DATA'!$M$34,"")</f>
        <v/>
      </c>
      <c r="CG227" s="520" t="str">
        <f>IF(AND(_E="A-220-300",'2024'!$I$4="FO",'2024'!$I$2=CG195),'2024DATA'!$N$34,"")</f>
        <v/>
      </c>
      <c r="CH227" s="940"/>
      <c r="CI227" s="13" t="s">
        <v>62</v>
      </c>
      <c r="CJ227" s="518" t="str">
        <f>IF(AND(_F="A-220-300",'2024'!$I$4="FO",'2024'!$I$2=CJ195),'2024DATA'!$C$34,"")</f>
        <v/>
      </c>
      <c r="CK227" s="518" t="str">
        <f>IF(AND(_F="A-220-300",'2024'!$I$4="FO",'2024'!$I$2=CK195),'2024DATA'!$D$34,"")</f>
        <v/>
      </c>
      <c r="CL227" s="518" t="str">
        <f>IF(AND(_F="A-220-300",'2024'!$I$4="FO",'2024'!$I$2=CL195),'2024DATA'!$E$34,"")</f>
        <v/>
      </c>
      <c r="CM227" s="518" t="str">
        <f>IF(AND(_F="A-220-300",'2024'!$I$4="FO",'2024'!$I$2=CM195),'2024DATA'!$F$34,"")</f>
        <v/>
      </c>
      <c r="CN227" s="518" t="str">
        <f>IF(AND(_F="A-220-300",'2024'!$I$4="FO",'2024'!$I$2=CN195),'2024DATA'!$G$34,"")</f>
        <v/>
      </c>
      <c r="CO227" s="518" t="str">
        <f>IF(AND(_F="A-220-300",'2024'!$I$4="FO",'2024'!$I$2=CO195),'2024DATA'!$H$34,"")</f>
        <v/>
      </c>
      <c r="CP227" s="518" t="str">
        <f>IF(AND(_F="A-220-300",'2024'!$I$4="FO",'2024'!$I$2=CP195),'2024DATA'!$I$34,"")</f>
        <v/>
      </c>
      <c r="CQ227" s="518" t="str">
        <f>IF(AND(_F="A-220-300",'2024'!$I$4="FO",'2024'!$I$2=CQ195),'2024DATA'!$J$34,"")</f>
        <v/>
      </c>
      <c r="CR227" s="518" t="str">
        <f>IF(AND(_F="A-220-300",'2024'!$I$4="FO",'2024'!$I$2=CR195),'2024DATA'!$K$34,"")</f>
        <v/>
      </c>
      <c r="CS227" s="518" t="str">
        <f>IF(AND(_F="A-220-300",'2024'!$I$4="FO",'2024'!$I$2=CS195),'2024DATA'!$L$34,"")</f>
        <v/>
      </c>
      <c r="CT227" s="518" t="str">
        <f>IF(AND(_F="A-220-300",'2024'!$I$4="FO",'2024'!$I$2=CT195),'2024DATA'!$M$34,"")</f>
        <v/>
      </c>
      <c r="CU227" s="520" t="str">
        <f>IF(AND(_F="A-220-300",'2024'!$I$4="FO",'2024'!$I$2=CU195),'2024DATA'!$N$34,"")</f>
        <v/>
      </c>
    </row>
    <row r="228" spans="16:99" x14ac:dyDescent="0.25">
      <c r="P228" s="940" t="s">
        <v>52</v>
      </c>
      <c r="Q228" s="13" t="s">
        <v>61</v>
      </c>
      <c r="R228" s="518" t="str">
        <f>IF(AND(_A="A-220-100",'2024'!$I$4="CA",'2024'!$I$2=R195),'2024DATA'!$C$35,"")</f>
        <v/>
      </c>
      <c r="S228" s="518" t="str">
        <f>IF(AND(_A="A-220-100",'2024'!$I$4="CA",'2024'!$I$2=S195),'2024DATA'!$D$35,"")</f>
        <v/>
      </c>
      <c r="T228" s="518" t="str">
        <f>IF(AND(_A="A-220-100",'2024'!$I$4="CA",'2024'!$I$2=T195),'2024DATA'!$E$35,"")</f>
        <v/>
      </c>
      <c r="U228" s="518" t="str">
        <f>IF(AND(_A="A-220-100",'2024'!$I$4="CA",'2024'!$I$2=U195),'2024DATA'!$F$35,"")</f>
        <v/>
      </c>
      <c r="V228" s="518" t="str">
        <f>IF(AND(_A="A-220-100",'2024'!$I$4="CA",'2024'!$I$2=V195),'2024DATA'!$G$35,"")</f>
        <v/>
      </c>
      <c r="W228" s="518" t="str">
        <f>IF(AND(_A="A-220-100",'2024'!$I$4="CA",'2024'!$I$2=W195),'2024DATA'!$H$35,"")</f>
        <v/>
      </c>
      <c r="X228" s="518" t="str">
        <f>IF(AND(_A="A-220-100",'2024'!$I$4="CA",'2024'!$I$2=X195),'2024DATA'!$I$35,"")</f>
        <v/>
      </c>
      <c r="Y228" s="518" t="str">
        <f>IF(AND(_A="A-220-100",'2024'!$I$4="CA",'2024'!$I$2=Y195),'2024DATA'!$J$35,"")</f>
        <v/>
      </c>
      <c r="Z228" s="518" t="str">
        <f>IF(AND(_A="A-220-100",'2024'!$I$4="CA",'2024'!$I$2=Z195),'2024DATA'!$K$35,"")</f>
        <v/>
      </c>
      <c r="AA228" s="518" t="str">
        <f>IF(AND(_A="A-220-100",'2024'!$I$4="CA",'2024'!$I$2=AA195),'2024DATA'!$L$35,"")</f>
        <v/>
      </c>
      <c r="AB228" s="518" t="str">
        <f>IF(AND(_A="A-220-100",'2024'!$I$4="CA",'2024'!$I$2=AB195),'2024DATA'!$M$35,"")</f>
        <v/>
      </c>
      <c r="AC228" s="520" t="str">
        <f>IF(AND(_A="A-220-100",'2024'!$I$4="CA",'2024'!$I$2=AC195),'2024DATA'!$N$35,"")</f>
        <v/>
      </c>
      <c r="AD228" s="940" t="s">
        <v>52</v>
      </c>
      <c r="AE228" s="13" t="s">
        <v>61</v>
      </c>
      <c r="AF228" s="518" t="str">
        <f>IF(AND(_B="A-220-100",'2024'!$I$4="CA",'2024'!$I$2=AF195),'2024DATA'!$C$35,"")</f>
        <v/>
      </c>
      <c r="AG228" s="518" t="str">
        <f>IF(AND(_B="A-220-100",'2024'!$I$4="CA",'2024'!$I$2=AG195),'2024DATA'!$D$35,"")</f>
        <v/>
      </c>
      <c r="AH228" s="518" t="str">
        <f>IF(AND(_B="A-220-100",'2024'!$I$4="CA",'2024'!$I$2=AH195),'2024DATA'!$E$35,"")</f>
        <v/>
      </c>
      <c r="AI228" s="518" t="str">
        <f>IF(AND(_B="A-220-100",'2024'!$I$4="CA",'2024'!$I$2=AI195),'2024DATA'!$F$35,"")</f>
        <v/>
      </c>
      <c r="AJ228" s="518" t="str">
        <f>IF(AND(_B="A-220-100",'2024'!$I$4="CA",'2024'!$I$2=AJ195),'2024DATA'!$G$35,"")</f>
        <v/>
      </c>
      <c r="AK228" s="518" t="str">
        <f>IF(AND(_B="A-220-100",'2024'!$I$4="CA",'2024'!$I$2=AK195),'2024DATA'!$H$35,"")</f>
        <v/>
      </c>
      <c r="AL228" s="518" t="str">
        <f>IF(AND(_B="A-220-100",'2024'!$I$4="CA",'2024'!$I$2=AL195),'2024DATA'!$I$35,"")</f>
        <v/>
      </c>
      <c r="AM228" s="518" t="str">
        <f>IF(AND(_B="A-220-100",'2024'!$I$4="CA",'2024'!$I$2=AM195),'2024DATA'!$J$35,"")</f>
        <v/>
      </c>
      <c r="AN228" s="518" t="str">
        <f>IF(AND(_B="A-220-100",'2024'!$I$4="CA",'2024'!$I$2=AN195),'2024DATA'!$K$35,"")</f>
        <v/>
      </c>
      <c r="AO228" s="518" t="str">
        <f>IF(AND(_B="A-220-100",'2024'!$I$4="CA",'2024'!$I$2=AO195),'2024DATA'!$L$35,"")</f>
        <v/>
      </c>
      <c r="AP228" s="518" t="str">
        <f>IF(AND(_B="A-220-100",'2024'!$I$4="CA",'2024'!$I$2=AP195),'2024DATA'!$M$35,"")</f>
        <v/>
      </c>
      <c r="AQ228" s="520" t="str">
        <f>IF(AND(_B="A-220-100",'2024'!$I$4="CA",'2024'!$I$2=AQ195),'2024DATA'!$N$35,"")</f>
        <v/>
      </c>
      <c r="AR228" s="940" t="s">
        <v>52</v>
      </c>
      <c r="AS228" s="13" t="s">
        <v>61</v>
      </c>
      <c r="AT228" s="518" t="str">
        <f>IF(AND(_C="A-220-100",'2024'!$I$4="CA",'2024'!$I$2=AT195),'2024DATA'!$C$35,"")</f>
        <v/>
      </c>
      <c r="AU228" s="518" t="str">
        <f>IF(AND(_C="A-220-100",'2024'!$I$4="CA",'2024'!$I$2=AU195),'2024DATA'!$D$35,"")</f>
        <v/>
      </c>
      <c r="AV228" s="518" t="str">
        <f>IF(AND(_C="A-220-100",'2024'!$I$4="CA",'2024'!$I$2=AV195),'2024DATA'!$E$35,"")</f>
        <v/>
      </c>
      <c r="AW228" s="518" t="str">
        <f>IF(AND(_C="A-220-100",'2024'!$I$4="CA",'2024'!$I$2=AW195),'2024DATA'!$F$35,"")</f>
        <v/>
      </c>
      <c r="AX228" s="518" t="str">
        <f>IF(AND(_C="A-220-100",'2024'!$I$4="CA",'2024'!$I$2=AX195),'2024DATA'!$G$35,"")</f>
        <v/>
      </c>
      <c r="AY228" s="518" t="str">
        <f>IF(AND(_C="A-220-100",'2024'!$I$4="CA",'2024'!$I$2=AY195),'2024DATA'!$H$35,"")</f>
        <v/>
      </c>
      <c r="AZ228" s="518" t="str">
        <f>IF(AND(_C="A-220-100",'2024'!$I$4="CA",'2024'!$I$2=AZ195),'2024DATA'!$I$35,"")</f>
        <v/>
      </c>
      <c r="BA228" s="518" t="str">
        <f>IF(AND(_C="A-220-100",'2024'!$I$4="CA",'2024'!$I$2=BA195),'2024DATA'!$J$35,"")</f>
        <v/>
      </c>
      <c r="BB228" s="518" t="str">
        <f>IF(AND(_C="A-220-100",'2024'!$I$4="CA",'2024'!$I$2=BB195),'2024DATA'!$K$35,"")</f>
        <v/>
      </c>
      <c r="BC228" s="518" t="str">
        <f>IF(AND(_C="A-220-100",'2024'!$I$4="CA",'2024'!$I$2=BC195),'2024DATA'!$L$35,"")</f>
        <v/>
      </c>
      <c r="BD228" s="518" t="str">
        <f>IF(AND(_C="A-220-100",'2024'!$I$4="CA",'2024'!$I$2=BD195),'2024DATA'!$M$35,"")</f>
        <v/>
      </c>
      <c r="BE228" s="520" t="str">
        <f>IF(AND(_C="A-220-100",'2024'!$I$4="CA",'2024'!$I$2=BE195),'2024DATA'!$N$35,"")</f>
        <v/>
      </c>
      <c r="BF228" s="940" t="s">
        <v>52</v>
      </c>
      <c r="BG228" s="13" t="s">
        <v>61</v>
      </c>
      <c r="BH228" s="518" t="str">
        <f>IF(AND(_D="A-220-100",'2024'!$I$4="CA",'2024'!$I$2=BH195),'2024DATA'!$C$35,"")</f>
        <v/>
      </c>
      <c r="BI228" s="518" t="str">
        <f>IF(AND(_D="A-220-100",'2024'!$I$4="CA",'2024'!$I$2=BI195),'2024DATA'!$D$35,"")</f>
        <v/>
      </c>
      <c r="BJ228" s="518" t="str">
        <f>IF(AND(_D="A-220-100",'2024'!$I$4="CA",'2024'!$I$2=BJ195),'2024DATA'!$E$35,"")</f>
        <v/>
      </c>
      <c r="BK228" s="518" t="str">
        <f>IF(AND(_D="A-220-100",'2024'!$I$4="CA",'2024'!$I$2=BK195),'2024DATA'!$F$35,"")</f>
        <v/>
      </c>
      <c r="BL228" s="518" t="str">
        <f>IF(AND(_D="A-220-100",'2024'!$I$4="CA",'2024'!$I$2=BL195),'2024DATA'!$G$35,"")</f>
        <v/>
      </c>
      <c r="BM228" s="518" t="str">
        <f>IF(AND(_D="A-220-100",'2024'!$I$4="CA",'2024'!$I$2=BM195),'2024DATA'!$H$35,"")</f>
        <v/>
      </c>
      <c r="BN228" s="518" t="str">
        <f>IF(AND(_D="A-220-100",'2024'!$I$4="CA",'2024'!$I$2=BN195),'2024DATA'!$I$35,"")</f>
        <v/>
      </c>
      <c r="BO228" s="518" t="str">
        <f>IF(AND(_D="A-220-100",'2024'!$I$4="CA",'2024'!$I$2=BO195),'2024DATA'!$J$35,"")</f>
        <v/>
      </c>
      <c r="BP228" s="518" t="str">
        <f>IF(AND(_D="A-220-100",'2024'!$I$4="CA",'2024'!$I$2=BP195),'2024DATA'!$K$35,"")</f>
        <v/>
      </c>
      <c r="BQ228" s="518" t="str">
        <f>IF(AND(_D="A-220-100",'2024'!$I$4="CA",'2024'!$I$2=BQ195),'2024DATA'!$L$35,"")</f>
        <v/>
      </c>
      <c r="BR228" s="518" t="str">
        <f>IF(AND(_D="A-220-100",'2024'!$I$4="CA",'2024'!$I$2=BR195),'2024DATA'!$M$35,"")</f>
        <v/>
      </c>
      <c r="BS228" s="520" t="str">
        <f>IF(AND(_D="A-220-100",'2024'!$I$4="CA",'2024'!$I$2=BS195),'2024DATA'!$N$35,"")</f>
        <v/>
      </c>
      <c r="BT228" s="940" t="s">
        <v>52</v>
      </c>
      <c r="BU228" s="13" t="s">
        <v>61</v>
      </c>
      <c r="BV228" s="518" t="str">
        <f>IF(AND(_E="A-220-100",'2024'!$I$4="CA",'2024'!$I$2=BV195),'2024DATA'!$C$35,"")</f>
        <v/>
      </c>
      <c r="BW228" s="518" t="str">
        <f>IF(AND(_E="A-220-100",'2024'!$I$4="CA",'2024'!$I$2=BW195),'2024DATA'!$D$35,"")</f>
        <v/>
      </c>
      <c r="BX228" s="518" t="str">
        <f>IF(AND(_E="A-220-100",'2024'!$I$4="CA",'2024'!$I$2=BX195),'2024DATA'!$E$35,"")</f>
        <v/>
      </c>
      <c r="BY228" s="518" t="str">
        <f>IF(AND(_E="A-220-100",'2024'!$I$4="CA",'2024'!$I$2=BY195),'2024DATA'!$F$35,"")</f>
        <v/>
      </c>
      <c r="BZ228" s="518" t="str">
        <f>IF(AND(_E="A-220-100",'2024'!$I$4="CA",'2024'!$I$2=BZ195),'2024DATA'!$G$35,"")</f>
        <v/>
      </c>
      <c r="CA228" s="518" t="str">
        <f>IF(AND(_E="A-220-100",'2024'!$I$4="CA",'2024'!$I$2=CA195),'2024DATA'!$H$35,"")</f>
        <v/>
      </c>
      <c r="CB228" s="518" t="str">
        <f>IF(AND(_E="A-220-100",'2024'!$I$4="CA",'2024'!$I$2=CB195),'2024DATA'!$I$35,"")</f>
        <v/>
      </c>
      <c r="CC228" s="518" t="str">
        <f>IF(AND(_E="A-220-100",'2024'!$I$4="CA",'2024'!$I$2=CC195),'2024DATA'!$J$35,"")</f>
        <v/>
      </c>
      <c r="CD228" s="518" t="str">
        <f>IF(AND(_E="A-220-100",'2024'!$I$4="CA",'2024'!$I$2=CD195),'2024DATA'!$K$35,"")</f>
        <v/>
      </c>
      <c r="CE228" s="518" t="str">
        <f>IF(AND(_E="A-220-100",'2024'!$I$4="CA",'2024'!$I$2=CE195),'2024DATA'!$L$35,"")</f>
        <v/>
      </c>
      <c r="CF228" s="518" t="str">
        <f>IF(AND(_E="A-220-100",'2024'!$I$4="CA",'2024'!$I$2=CF195),'2024DATA'!$M$35,"")</f>
        <v/>
      </c>
      <c r="CG228" s="520" t="str">
        <f>IF(AND(_E="A-220-100",'2024'!$I$4="CA",'2024'!$I$2=CG195),'2024DATA'!$N$35,"")</f>
        <v/>
      </c>
      <c r="CH228" s="940" t="s">
        <v>52</v>
      </c>
      <c r="CI228" s="13" t="s">
        <v>61</v>
      </c>
      <c r="CJ228" s="518" t="str">
        <f>IF(AND(_F="A-220-100",'2024'!$I$4="CA",'2024'!$I$2=CJ195),'2024DATA'!$C$35,"")</f>
        <v/>
      </c>
      <c r="CK228" s="518" t="str">
        <f>IF(AND(_F="A-220-100",'2024'!$I$4="CA",'2024'!$I$2=CK195),'2024DATA'!$D$35,"")</f>
        <v/>
      </c>
      <c r="CL228" s="518" t="str">
        <f>IF(AND(_F="A-220-100",'2024'!$I$4="CA",'2024'!$I$2=CL195),'2024DATA'!$E$35,"")</f>
        <v/>
      </c>
      <c r="CM228" s="518" t="str">
        <f>IF(AND(_F="A-220-100",'2024'!$I$4="CA",'2024'!$I$2=CM195),'2024DATA'!$F$35,"")</f>
        <v/>
      </c>
      <c r="CN228" s="518" t="str">
        <f>IF(AND(_F="A-220-100",'2024'!$I$4="CA",'2024'!$I$2=CN195),'2024DATA'!$G$35,"")</f>
        <v/>
      </c>
      <c r="CO228" s="518" t="str">
        <f>IF(AND(_F="A-220-100",'2024'!$I$4="CA",'2024'!$I$2=CO195),'2024DATA'!$H$35,"")</f>
        <v/>
      </c>
      <c r="CP228" s="518" t="str">
        <f>IF(AND(_F="A-220-100",'2024'!$I$4="CA",'2024'!$I$2=CP195),'2024DATA'!$I$35,"")</f>
        <v/>
      </c>
      <c r="CQ228" s="518" t="str">
        <f>IF(AND(_F="A-220-100",'2024'!$I$4="CA",'2024'!$I$2=CQ195),'2024DATA'!$J$35,"")</f>
        <v/>
      </c>
      <c r="CR228" s="518" t="str">
        <f>IF(AND(_F="A-220-100",'2024'!$I$4="CA",'2024'!$I$2=CR195),'2024DATA'!$K$35,"")</f>
        <v/>
      </c>
      <c r="CS228" s="518" t="str">
        <f>IF(AND(_F="A-220-100",'2024'!$I$4="CA",'2024'!$I$2=CS195),'2024DATA'!$L$35,"")</f>
        <v/>
      </c>
      <c r="CT228" s="518" t="str">
        <f>IF(AND(_F="A-220-100",'2024'!$I$4="CA",'2024'!$I$2=CT195),'2024DATA'!$M$35,"")</f>
        <v/>
      </c>
      <c r="CU228" s="520" t="str">
        <f>IF(AND(_F="A-220-100",'2024'!$I$4="CA",'2024'!$I$2=CU195),'2024DATA'!$N$35,"")</f>
        <v/>
      </c>
    </row>
    <row r="229" spans="16:99" x14ac:dyDescent="0.25">
      <c r="P229" s="940"/>
      <c r="Q229" s="13" t="s">
        <v>62</v>
      </c>
      <c r="R229" s="518" t="str">
        <f>IF(AND(_A="A-220-100",'2024'!$I$4="FO",'2024'!$I$2=R195),'2024DATA'!$C$36,"")</f>
        <v/>
      </c>
      <c r="S229" s="518" t="str">
        <f>IF(AND(_A="A-220-100",'2024'!$I$4="FO",'2024'!$I$2=S195),'2024DATA'!$D$36,"")</f>
        <v/>
      </c>
      <c r="T229" s="518" t="str">
        <f>IF(AND(_A="A-220-100",'2024'!$I$4="FO",'2024'!$I$2=T195),'2024DATA'!$E$36,"")</f>
        <v/>
      </c>
      <c r="U229" s="518" t="str">
        <f>IF(AND(_A="A-220-100",'2024'!$I$4="FO",'2024'!$I$2=U195),'2024DATA'!$F$36,"")</f>
        <v/>
      </c>
      <c r="V229" s="518" t="str">
        <f>IF(AND(_A="A-220-100",'2024'!$I$4="FO",'2024'!$I$2=V195),'2024DATA'!$G$36,"")</f>
        <v/>
      </c>
      <c r="W229" s="518" t="str">
        <f>IF(AND(_A="A-220-100",'2024'!$I$4="FO",'2024'!$I$2=W195),'2024DATA'!$H$36,"")</f>
        <v/>
      </c>
      <c r="X229" s="518" t="str">
        <f>IF(AND(_A="A-220-100",'2024'!$I$4="FO",'2024'!$I$2=X195),'2024DATA'!$I$36,"")</f>
        <v/>
      </c>
      <c r="Y229" s="518" t="str">
        <f>IF(AND(_A="A-220-100",'2024'!$I$4="FO",'2024'!$I$2=Y195),'2024DATA'!$J$36,"")</f>
        <v/>
      </c>
      <c r="Z229" s="518" t="str">
        <f>IF(AND(_A="A-220-100",'2024'!$I$4="FO",'2024'!$I$2=Z195),'2024DATA'!$K$36,"")</f>
        <v/>
      </c>
      <c r="AA229" s="518" t="str">
        <f>IF(AND(_A="A-220-100",'2024'!$I$4="FO",'2024'!$I$2=AA195),'2024DATA'!$L$36,"")</f>
        <v/>
      </c>
      <c r="AB229" s="518" t="str">
        <f>IF(AND(_A="A-220-100",'2024'!$I$4="FO",'2024'!$I$2=AB195),'2024DATA'!$M$36,"")</f>
        <v/>
      </c>
      <c r="AC229" s="520" t="str">
        <f>IF(AND(_A="A-220-100",'2024'!$I$4="FO",'2024'!$I$2=AC195),'2024DATA'!$N$36,"")</f>
        <v/>
      </c>
      <c r="AD229" s="940"/>
      <c r="AE229" s="13" t="s">
        <v>62</v>
      </c>
      <c r="AF229" s="518" t="str">
        <f>IF(AND(_B="A-220-100",'2024'!$I$4="FO",'2024'!$I$2=AF195),'2024DATA'!$C$36,"")</f>
        <v/>
      </c>
      <c r="AG229" s="518" t="str">
        <f>IF(AND(_B="A-220-100",'2024'!$I$4="FO",'2024'!$I$2=AG195),'2024DATA'!$D$36,"")</f>
        <v/>
      </c>
      <c r="AH229" s="518" t="str">
        <f>IF(AND(_B="A-220-100",'2024'!$I$4="FO",'2024'!$I$2=AH195),'2024DATA'!$E$36,"")</f>
        <v/>
      </c>
      <c r="AI229" s="518" t="str">
        <f>IF(AND(_B="A-220-100",'2024'!$I$4="FO",'2024'!$I$2=AI195),'2024DATA'!$F$36,"")</f>
        <v/>
      </c>
      <c r="AJ229" s="518" t="str">
        <f>IF(AND(_B="A-220-100",'2024'!$I$4="FO",'2024'!$I$2=AJ195),'2024DATA'!$G$36,"")</f>
        <v/>
      </c>
      <c r="AK229" s="518" t="str">
        <f>IF(AND(_B="A-220-100",'2024'!$I$4="FO",'2024'!$I$2=AK195),'2024DATA'!$H$36,"")</f>
        <v/>
      </c>
      <c r="AL229" s="518" t="str">
        <f>IF(AND(_B="A-220-100",'2024'!$I$4="FO",'2024'!$I$2=AL195),'2024DATA'!$I$36,"")</f>
        <v/>
      </c>
      <c r="AM229" s="518" t="str">
        <f>IF(AND(_B="A-220-100",'2024'!$I$4="FO",'2024'!$I$2=AM195),'2024DATA'!$J$36,"")</f>
        <v/>
      </c>
      <c r="AN229" s="518" t="str">
        <f>IF(AND(_B="A-220-100",'2024'!$I$4="FO",'2024'!$I$2=AN195),'2024DATA'!$K$36,"")</f>
        <v/>
      </c>
      <c r="AO229" s="518" t="str">
        <f>IF(AND(_B="A-220-100",'2024'!$I$4="FO",'2024'!$I$2=AO195),'2024DATA'!$L$36,"")</f>
        <v/>
      </c>
      <c r="AP229" s="518" t="str">
        <f>IF(AND(_B="A-220-100",'2024'!$I$4="FO",'2024'!$I$2=AP195),'2024DATA'!$M$36,"")</f>
        <v/>
      </c>
      <c r="AQ229" s="520" t="str">
        <f>IF(AND(_B="A-220-100",'2024'!$I$4="FO",'2024'!$I$2=AQ195),'2024DATA'!$N$36,"")</f>
        <v/>
      </c>
      <c r="AR229" s="940"/>
      <c r="AS229" s="13" t="s">
        <v>62</v>
      </c>
      <c r="AT229" s="518" t="str">
        <f>IF(AND(_C="A-220-100",'2024'!$I$4="FO",'2024'!$I$2=AT195),'2024DATA'!$C$36,"")</f>
        <v/>
      </c>
      <c r="AU229" s="518" t="str">
        <f>IF(AND(_C="A-220-100",'2024'!$I$4="FO",'2024'!$I$2=AU195),'2024DATA'!$D$36,"")</f>
        <v/>
      </c>
      <c r="AV229" s="518" t="str">
        <f>IF(AND(_C="A-220-100",'2024'!$I$4="FO",'2024'!$I$2=AV195),'2024DATA'!$E$36,"")</f>
        <v/>
      </c>
      <c r="AW229" s="518" t="str">
        <f>IF(AND(_C="A-220-100",'2024'!$I$4="FO",'2024'!$I$2=AW195),'2024DATA'!$F$36,"")</f>
        <v/>
      </c>
      <c r="AX229" s="518" t="str">
        <f>IF(AND(_C="A-220-100",'2024'!$I$4="FO",'2024'!$I$2=AX195),'2024DATA'!$G$36,"")</f>
        <v/>
      </c>
      <c r="AY229" s="518" t="str">
        <f>IF(AND(_C="A-220-100",'2024'!$I$4="FO",'2024'!$I$2=AY195),'2024DATA'!$H$36,"")</f>
        <v/>
      </c>
      <c r="AZ229" s="518" t="str">
        <f>IF(AND(_C="A-220-100",'2024'!$I$4="FO",'2024'!$I$2=AZ195),'2024DATA'!$I$36,"")</f>
        <v/>
      </c>
      <c r="BA229" s="518" t="str">
        <f>IF(AND(_C="A-220-100",'2024'!$I$4="FO",'2024'!$I$2=BA195),'2024DATA'!$J$36,"")</f>
        <v/>
      </c>
      <c r="BB229" s="518" t="str">
        <f>IF(AND(_C="A-220-100",'2024'!$I$4="FO",'2024'!$I$2=BB195),'2024DATA'!$K$36,"")</f>
        <v/>
      </c>
      <c r="BC229" s="518" t="str">
        <f>IF(AND(_C="A-220-100",'2024'!$I$4="FO",'2024'!$I$2=BC195),'2024DATA'!$L$36,"")</f>
        <v/>
      </c>
      <c r="BD229" s="518" t="str">
        <f>IF(AND(_C="A-220-100",'2024'!$I$4="FO",'2024'!$I$2=BD195),'2024DATA'!$M$36,"")</f>
        <v/>
      </c>
      <c r="BE229" s="520" t="str">
        <f>IF(AND(_C="A-220-100",'2024'!$I$4="FO",'2024'!$I$2=BE195),'2024DATA'!$N$36,"")</f>
        <v/>
      </c>
      <c r="BF229" s="940"/>
      <c r="BG229" s="13" t="s">
        <v>62</v>
      </c>
      <c r="BH229" s="518" t="str">
        <f>IF(AND(_D="A-220-100",'2024'!$I$4="FO",'2024'!$I$2=BH195),'2024DATA'!$C$36,"")</f>
        <v/>
      </c>
      <c r="BI229" s="518" t="str">
        <f>IF(AND(_D="A-220-100",'2024'!$I$4="FO",'2024'!$I$2=BI195),'2024DATA'!$D$36,"")</f>
        <v/>
      </c>
      <c r="BJ229" s="518" t="str">
        <f>IF(AND(_D="A-220-100",'2024'!$I$4="FO",'2024'!$I$2=BJ195),'2024DATA'!$E$36,"")</f>
        <v/>
      </c>
      <c r="BK229" s="518" t="str">
        <f>IF(AND(_D="A-220-100",'2024'!$I$4="FO",'2024'!$I$2=BK195),'2024DATA'!$F$36,"")</f>
        <v/>
      </c>
      <c r="BL229" s="518" t="str">
        <f>IF(AND(_D="A-220-100",'2024'!$I$4="FO",'2024'!$I$2=BL195),'2024DATA'!$G$36,"")</f>
        <v/>
      </c>
      <c r="BM229" s="518" t="str">
        <f>IF(AND(_D="A-220-100",'2024'!$I$4="FO",'2024'!$I$2=BM195),'2024DATA'!$H$36,"")</f>
        <v/>
      </c>
      <c r="BN229" s="518" t="str">
        <f>IF(AND(_D="A-220-100",'2024'!$I$4="FO",'2024'!$I$2=BN195),'2024DATA'!$I$36,"")</f>
        <v/>
      </c>
      <c r="BO229" s="518" t="str">
        <f>IF(AND(_D="A-220-100",'2024'!$I$4="FO",'2024'!$I$2=BO195),'2024DATA'!$J$36,"")</f>
        <v/>
      </c>
      <c r="BP229" s="518" t="str">
        <f>IF(AND(_D="A-220-100",'2024'!$I$4="FO",'2024'!$I$2=BP195),'2024DATA'!$K$36,"")</f>
        <v/>
      </c>
      <c r="BQ229" s="518" t="str">
        <f>IF(AND(_D="A-220-100",'2024'!$I$4="FO",'2024'!$I$2=BQ195),'2024DATA'!$L$36,"")</f>
        <v/>
      </c>
      <c r="BR229" s="518" t="str">
        <f>IF(AND(_D="A-220-100",'2024'!$I$4="FO",'2024'!$I$2=BR195),'2024DATA'!$M$36,"")</f>
        <v/>
      </c>
      <c r="BS229" s="520" t="str">
        <f>IF(AND(_D="A-220-100",'2024'!$I$4="FO",'2024'!$I$2=BS195),'2024DATA'!$N$36,"")</f>
        <v/>
      </c>
      <c r="BT229" s="940"/>
      <c r="BU229" s="13" t="s">
        <v>62</v>
      </c>
      <c r="BV229" s="518" t="str">
        <f>IF(AND(_E="A-220-100",'2024'!$I$4="FO",'2024'!$I$2=BV195),'2024DATA'!$C$36,"")</f>
        <v/>
      </c>
      <c r="BW229" s="518" t="str">
        <f>IF(AND(_E="A-220-100",'2024'!$I$4="FO",'2024'!$I$2=BW195),'2024DATA'!$D$36,"")</f>
        <v/>
      </c>
      <c r="BX229" s="518" t="str">
        <f>IF(AND(_E="A-220-100",'2024'!$I$4="FO",'2024'!$I$2=BX195),'2024DATA'!$E$36,"")</f>
        <v/>
      </c>
      <c r="BY229" s="518" t="str">
        <f>IF(AND(_E="A-220-100",'2024'!$I$4="FO",'2024'!$I$2=BY195),'2024DATA'!$F$36,"")</f>
        <v/>
      </c>
      <c r="BZ229" s="518" t="str">
        <f>IF(AND(_E="A-220-100",'2024'!$I$4="FO",'2024'!$I$2=BZ195),'2024DATA'!$G$36,"")</f>
        <v/>
      </c>
      <c r="CA229" s="518" t="str">
        <f>IF(AND(_E="A-220-100",'2024'!$I$4="FO",'2024'!$I$2=CA195),'2024DATA'!$H$36,"")</f>
        <v/>
      </c>
      <c r="CB229" s="518" t="str">
        <f>IF(AND(_E="A-220-100",'2024'!$I$4="FO",'2024'!$I$2=CB195),'2024DATA'!$I$36,"")</f>
        <v/>
      </c>
      <c r="CC229" s="518" t="str">
        <f>IF(AND(_E="A-220-100",'2024'!$I$4="FO",'2024'!$I$2=CC195),'2024DATA'!$J$36,"")</f>
        <v/>
      </c>
      <c r="CD229" s="518" t="str">
        <f>IF(AND(_E="A-220-100",'2024'!$I$4="FO",'2024'!$I$2=CD195),'2024DATA'!$K$36,"")</f>
        <v/>
      </c>
      <c r="CE229" s="518" t="str">
        <f>IF(AND(_E="A-220-100",'2024'!$I$4="FO",'2024'!$I$2=CE195),'2024DATA'!$L$36,"")</f>
        <v/>
      </c>
      <c r="CF229" s="518" t="str">
        <f>IF(AND(_E="A-220-100",'2024'!$I$4="FO",'2024'!$I$2=CF195),'2024DATA'!$M$36,"")</f>
        <v/>
      </c>
      <c r="CG229" s="520" t="str">
        <f>IF(AND(_E="A-220-100",'2024'!$I$4="FO",'2024'!$I$2=CG195),'2024DATA'!$N$36,"")</f>
        <v/>
      </c>
      <c r="CH229" s="940"/>
      <c r="CI229" s="13" t="s">
        <v>62</v>
      </c>
      <c r="CJ229" s="518" t="str">
        <f>IF(AND(_F="A-220-100",'2024'!$I$4="FO",'2024'!$I$2=CJ195),'2024DATA'!$C$36,"")</f>
        <v/>
      </c>
      <c r="CK229" s="518" t="str">
        <f>IF(AND(_F="A-220-100",'2024'!$I$4="FO",'2024'!$I$2=CK195),'2024DATA'!$D$36,"")</f>
        <v/>
      </c>
      <c r="CL229" s="518" t="str">
        <f>IF(AND(_F="A-220-100",'2024'!$I$4="FO",'2024'!$I$2=CL195),'2024DATA'!$E$36,"")</f>
        <v/>
      </c>
      <c r="CM229" s="518" t="str">
        <f>IF(AND(_F="A-220-100",'2024'!$I$4="FO",'2024'!$I$2=CM195),'2024DATA'!$F$36,"")</f>
        <v/>
      </c>
      <c r="CN229" s="518" t="str">
        <f>IF(AND(_F="A-220-100",'2024'!$I$4="FO",'2024'!$I$2=CN195),'2024DATA'!$G$36,"")</f>
        <v/>
      </c>
      <c r="CO229" s="518" t="str">
        <f>IF(AND(_F="A-220-100",'2024'!$I$4="FO",'2024'!$I$2=CO195),'2024DATA'!$H$36,"")</f>
        <v/>
      </c>
      <c r="CP229" s="518" t="str">
        <f>IF(AND(_F="A-220-100",'2024'!$I$4="FO",'2024'!$I$2=CP195),'2024DATA'!$I$36,"")</f>
        <v/>
      </c>
      <c r="CQ229" s="518" t="str">
        <f>IF(AND(_F="A-220-100",'2024'!$I$4="FO",'2024'!$I$2=CQ195),'2024DATA'!$J$36,"")</f>
        <v/>
      </c>
      <c r="CR229" s="518" t="str">
        <f>IF(AND(_F="A-220-100",'2024'!$I$4="FO",'2024'!$I$2=CR195),'2024DATA'!$K$36,"")</f>
        <v/>
      </c>
      <c r="CS229" s="518" t="str">
        <f>IF(AND(_F="A-220-100",'2024'!$I$4="FO",'2024'!$I$2=CS195),'2024DATA'!$L$36,"")</f>
        <v/>
      </c>
      <c r="CT229" s="518" t="str">
        <f>IF(AND(_F="A-220-100",'2024'!$I$4="FO",'2024'!$I$2=CT195),'2024DATA'!$M$36,"")</f>
        <v/>
      </c>
      <c r="CU229" s="520" t="str">
        <f>IF(AND(_F="A-220-100",'2024'!$I$4="FO",'2024'!$I$2=CU195),'2024DATA'!$N$36,"")</f>
        <v/>
      </c>
    </row>
    <row r="230" spans="16:99" x14ac:dyDescent="0.25">
      <c r="P230" s="940" t="s">
        <v>53</v>
      </c>
      <c r="Q230" s="13" t="s">
        <v>61</v>
      </c>
      <c r="R230" s="518" t="str">
        <f>IF(AND(_A="B-717",'2024'!$I$4="CA",'2024'!$I$2=R195),'2024DATA'!$C$37,"")</f>
        <v/>
      </c>
      <c r="S230" s="518" t="str">
        <f>IF(AND(_A="B-717",'2024'!$I$4="CA",'2024'!$I$2=S195),'2024DATA'!$D$37,"")</f>
        <v/>
      </c>
      <c r="T230" s="518" t="str">
        <f>IF(AND(_A="B-717",'2024'!$I$4="CA",'2024'!$I$2=T195),'2024DATA'!$E$37,"")</f>
        <v/>
      </c>
      <c r="U230" s="518" t="str">
        <f>IF(AND(_A="B-717",'2024'!$I$4="CA",'2024'!$I$2=U195),'2024DATA'!$F$37,"")</f>
        <v/>
      </c>
      <c r="V230" s="518" t="str">
        <f>IF(AND(_A="B-717",'2024'!$I$4="CA",'2024'!$I$2=V195),'2024DATA'!$G$37,"")</f>
        <v/>
      </c>
      <c r="W230" s="518" t="str">
        <f>IF(AND(_A="B-717",'2024'!$I$4="CA",'2024'!$I$2=W195),'2024DATA'!$H$37,"")</f>
        <v/>
      </c>
      <c r="X230" s="518" t="str">
        <f>IF(AND(_A="B-717",'2024'!$I$4="CA",'2024'!$I$2=X195),'2024DATA'!$I$37,"")</f>
        <v/>
      </c>
      <c r="Y230" s="518" t="str">
        <f>IF(AND(_A="B-717",'2024'!$I$4="CA",'2024'!$I$2=Y195),'2024DATA'!$J$37,"")</f>
        <v/>
      </c>
      <c r="Z230" s="518" t="str">
        <f>IF(AND(_A="B-717",'2024'!$I$4="CA",'2024'!$I$2=Z195),'2024DATA'!$K$37,"")</f>
        <v/>
      </c>
      <c r="AA230" s="518" t="str">
        <f>IF(AND(_A="B-717",'2024'!$I$4="CA",'2024'!$I$2=AA195),'2024DATA'!$L$37,"")</f>
        <v/>
      </c>
      <c r="AB230" s="518" t="str">
        <f>IF(AND(_A="B-717",'2024'!$I$4="CA",'2024'!$I$2=AB195),'2024DATA'!$M$37,"")</f>
        <v/>
      </c>
      <c r="AC230" s="520" t="str">
        <f>IF(AND(_A="B-717",'2024'!$I$4="CA",'2024'!$I$2=AC195),'2024DATA'!$N$37,"")</f>
        <v/>
      </c>
      <c r="AD230" s="940" t="s">
        <v>53</v>
      </c>
      <c r="AE230" s="13" t="s">
        <v>61</v>
      </c>
      <c r="AF230" s="518" t="str">
        <f>IF(AND(_B="B-717",'2024'!$I$4="CA",'2024'!$I$2=AF195),'2024DATA'!$C$37,"")</f>
        <v/>
      </c>
      <c r="AG230" s="518" t="str">
        <f>IF(AND(_B="B-717",'2024'!$I$4="CA",'2024'!$I$2=AG195),'2024DATA'!$D$37,"")</f>
        <v/>
      </c>
      <c r="AH230" s="518" t="str">
        <f>IF(AND(_B="B-717",'2024'!$I$4="CA",'2024'!$I$2=AH195),'2024DATA'!$E$37,"")</f>
        <v/>
      </c>
      <c r="AI230" s="518" t="str">
        <f>IF(AND(_B="B-717",'2024'!$I$4="CA",'2024'!$I$2=AI195),'2024DATA'!$F$37,"")</f>
        <v/>
      </c>
      <c r="AJ230" s="518" t="str">
        <f>IF(AND(_B="B-717",'2024'!$I$4="CA",'2024'!$I$2=AJ195),'2024DATA'!$G$37,"")</f>
        <v/>
      </c>
      <c r="AK230" s="518" t="str">
        <f>IF(AND(_B="B-717",'2024'!$I$4="CA",'2024'!$I$2=AK195),'2024DATA'!$H$37,"")</f>
        <v/>
      </c>
      <c r="AL230" s="518" t="str">
        <f>IF(AND(_B="B-717",'2024'!$I$4="CA",'2024'!$I$2=AL195),'2024DATA'!$I$37,"")</f>
        <v/>
      </c>
      <c r="AM230" s="518" t="str">
        <f>IF(AND(_B="B-717",'2024'!$I$4="CA",'2024'!$I$2=AM195),'2024DATA'!$J$37,"")</f>
        <v/>
      </c>
      <c r="AN230" s="518" t="str">
        <f>IF(AND(_B="B-717",'2024'!$I$4="CA",'2024'!$I$2=AN195),'2024DATA'!$K$37,"")</f>
        <v/>
      </c>
      <c r="AO230" s="518" t="str">
        <f>IF(AND(_B="B-717",'2024'!$I$4="CA",'2024'!$I$2=AO195),'2024DATA'!$L$37,"")</f>
        <v/>
      </c>
      <c r="AP230" s="518" t="str">
        <f>IF(AND(_B="B-717",'2024'!$I$4="CA",'2024'!$I$2=AP195),'2024DATA'!$M$37,"")</f>
        <v/>
      </c>
      <c r="AQ230" s="520" t="str">
        <f>IF(AND(_B="B-717",'2024'!$I$4="CA",'2024'!$I$2=AQ195),'2024DATA'!$N$37,"")</f>
        <v/>
      </c>
      <c r="AR230" s="940" t="s">
        <v>53</v>
      </c>
      <c r="AS230" s="13" t="s">
        <v>61</v>
      </c>
      <c r="AT230" s="518" t="str">
        <f>IF(AND(_C="B-717",'2024'!$I$4="CA",'2024'!$I$2=AT195),'2024DATA'!$C$37,"")</f>
        <v/>
      </c>
      <c r="AU230" s="518" t="str">
        <f>IF(AND(_C="B-717",'2024'!$I$4="CA",'2024'!$I$2=AU195),'2024DATA'!$D$37,"")</f>
        <v/>
      </c>
      <c r="AV230" s="518" t="str">
        <f>IF(AND(_C="B-717",'2024'!$I$4="CA",'2024'!$I$2=AV195),'2024DATA'!$E$37,"")</f>
        <v/>
      </c>
      <c r="AW230" s="518" t="str">
        <f>IF(AND(_C="B-717",'2024'!$I$4="CA",'2024'!$I$2=AW195),'2024DATA'!$F$37,"")</f>
        <v/>
      </c>
      <c r="AX230" s="518" t="str">
        <f>IF(AND(_C="B-717",'2024'!$I$4="CA",'2024'!$I$2=AX195),'2024DATA'!$G$37,"")</f>
        <v/>
      </c>
      <c r="AY230" s="518" t="str">
        <f>IF(AND(_C="B-717",'2024'!$I$4="CA",'2024'!$I$2=AY195),'2024DATA'!$H$37,"")</f>
        <v/>
      </c>
      <c r="AZ230" s="518" t="str">
        <f>IF(AND(_C="B-717",'2024'!$I$4="CA",'2024'!$I$2=AZ195),'2024DATA'!$I$37,"")</f>
        <v/>
      </c>
      <c r="BA230" s="518" t="str">
        <f>IF(AND(_C="B-717",'2024'!$I$4="CA",'2024'!$I$2=BA195),'2024DATA'!$J$37,"")</f>
        <v/>
      </c>
      <c r="BB230" s="518" t="str">
        <f>IF(AND(_C="B-717",'2024'!$I$4="CA",'2024'!$I$2=BB195),'2024DATA'!$K$37,"")</f>
        <v/>
      </c>
      <c r="BC230" s="518" t="str">
        <f>IF(AND(_C="B-717",'2024'!$I$4="CA",'2024'!$I$2=BC195),'2024DATA'!$L$37,"")</f>
        <v/>
      </c>
      <c r="BD230" s="518" t="str">
        <f>IF(AND(_C="B-717",'2024'!$I$4="CA",'2024'!$I$2=BD195),'2024DATA'!$M$37,"")</f>
        <v/>
      </c>
      <c r="BE230" s="520" t="str">
        <f>IF(AND(_C="B-717",'2024'!$I$4="CA",'2024'!$I$2=BE195),'2024DATA'!$N$37,"")</f>
        <v/>
      </c>
      <c r="BF230" s="940" t="s">
        <v>53</v>
      </c>
      <c r="BG230" s="13" t="s">
        <v>61</v>
      </c>
      <c r="BH230" s="518" t="str">
        <f>IF(AND(_D="B-717",'2024'!$I$4="CA",'2024'!$I$2=BH195),'2024DATA'!$C$37,"")</f>
        <v/>
      </c>
      <c r="BI230" s="518" t="str">
        <f>IF(AND(_D="B-717",'2024'!$I$4="CA",'2024'!$I$2=BI195),'2024DATA'!$D$37,"")</f>
        <v/>
      </c>
      <c r="BJ230" s="518" t="str">
        <f>IF(AND(_D="B-717",'2024'!$I$4="CA",'2024'!$I$2=BJ195),'2024DATA'!$E$37,"")</f>
        <v/>
      </c>
      <c r="BK230" s="518" t="str">
        <f>IF(AND(_D="B-717",'2024'!$I$4="CA",'2024'!$I$2=BK195),'2024DATA'!$F$37,"")</f>
        <v/>
      </c>
      <c r="BL230" s="518" t="str">
        <f>IF(AND(_D="B-717",'2024'!$I$4="CA",'2024'!$I$2=BL195),'2024DATA'!$G$37,"")</f>
        <v/>
      </c>
      <c r="BM230" s="518" t="str">
        <f>IF(AND(_D="B-717",'2024'!$I$4="CA",'2024'!$I$2=BM195),'2024DATA'!$H$37,"")</f>
        <v/>
      </c>
      <c r="BN230" s="518" t="str">
        <f>IF(AND(_D="B-717",'2024'!$I$4="CA",'2024'!$I$2=BN195),'2024DATA'!$I$37,"")</f>
        <v/>
      </c>
      <c r="BO230" s="518" t="str">
        <f>IF(AND(_D="B-717",'2024'!$I$4="CA",'2024'!$I$2=BO195),'2024DATA'!$J$37,"")</f>
        <v/>
      </c>
      <c r="BP230" s="518" t="str">
        <f>IF(AND(_D="B-717",'2024'!$I$4="CA",'2024'!$I$2=BP195),'2024DATA'!$K$37,"")</f>
        <v/>
      </c>
      <c r="BQ230" s="518" t="str">
        <f>IF(AND(_D="B-717",'2024'!$I$4="CA",'2024'!$I$2=BQ195),'2024DATA'!$L$37,"")</f>
        <v/>
      </c>
      <c r="BR230" s="518" t="str">
        <f>IF(AND(_D="B-717",'2024'!$I$4="CA",'2024'!$I$2=BR195),'2024DATA'!$M$37,"")</f>
        <v/>
      </c>
      <c r="BS230" s="520" t="str">
        <f>IF(AND(_D="B-717",'2024'!$I$4="CA",'2024'!$I$2=BS195),'2024DATA'!$N$37,"")</f>
        <v/>
      </c>
      <c r="BT230" s="940" t="s">
        <v>53</v>
      </c>
      <c r="BU230" s="13" t="s">
        <v>61</v>
      </c>
      <c r="BV230" s="518" t="str">
        <f>IF(AND(_E="B-717",'2024'!$I$4="CA",'2024'!$I$2=BV195),'2024DATA'!$C$37,"")</f>
        <v/>
      </c>
      <c r="BW230" s="518" t="str">
        <f>IF(AND(_E="B-717",'2024'!$I$4="CA",'2024'!$I$2=BW195),'2024DATA'!$D$37,"")</f>
        <v/>
      </c>
      <c r="BX230" s="518" t="str">
        <f>IF(AND(_E="B-717",'2024'!$I$4="CA",'2024'!$I$2=BX195),'2024DATA'!$E$37,"")</f>
        <v/>
      </c>
      <c r="BY230" s="518" t="str">
        <f>IF(AND(_E="B-717",'2024'!$I$4="CA",'2024'!$I$2=BY195),'2024DATA'!$F$37,"")</f>
        <v/>
      </c>
      <c r="BZ230" s="518" t="str">
        <f>IF(AND(_E="B-717",'2024'!$I$4="CA",'2024'!$I$2=BZ195),'2024DATA'!$G$37,"")</f>
        <v/>
      </c>
      <c r="CA230" s="518" t="str">
        <f>IF(AND(_E="B-717",'2024'!$I$4="CA",'2024'!$I$2=CA195),'2024DATA'!$H$37,"")</f>
        <v/>
      </c>
      <c r="CB230" s="518" t="str">
        <f>IF(AND(_E="B-717",'2024'!$I$4="CA",'2024'!$I$2=CB195),'2024DATA'!$I$37,"")</f>
        <v/>
      </c>
      <c r="CC230" s="518" t="str">
        <f>IF(AND(_E="B-717",'2024'!$I$4="CA",'2024'!$I$2=CC195),'2024DATA'!$J$37,"")</f>
        <v/>
      </c>
      <c r="CD230" s="518" t="str">
        <f>IF(AND(_E="B-717",'2024'!$I$4="CA",'2024'!$I$2=CD195),'2024DATA'!$K$37,"")</f>
        <v/>
      </c>
      <c r="CE230" s="518" t="str">
        <f>IF(AND(_E="B-717",'2024'!$I$4="CA",'2024'!$I$2=CE195),'2024DATA'!$L$37,"")</f>
        <v/>
      </c>
      <c r="CF230" s="518" t="str">
        <f>IF(AND(_E="B-717",'2024'!$I$4="CA",'2024'!$I$2=CF195),'2024DATA'!$M$37,"")</f>
        <v/>
      </c>
      <c r="CG230" s="520" t="str">
        <f>IF(AND(_E="B-717",'2024'!$I$4="CA",'2024'!$I$2=CG195),'2024DATA'!$N$37,"")</f>
        <v/>
      </c>
      <c r="CH230" s="940" t="s">
        <v>53</v>
      </c>
      <c r="CI230" s="13" t="s">
        <v>61</v>
      </c>
      <c r="CJ230" s="518" t="str">
        <f>IF(AND(_F="B-717",'2024'!$I$4="CA",'2024'!$I$2=CJ195),'2024DATA'!$C$37,"")</f>
        <v/>
      </c>
      <c r="CK230" s="518" t="str">
        <f>IF(AND(_F="B-717",'2024'!$I$4="CA",'2024'!$I$2=CK195),'2024DATA'!$D$37,"")</f>
        <v/>
      </c>
      <c r="CL230" s="518" t="str">
        <f>IF(AND(_F="B-717",'2024'!$I$4="CA",'2024'!$I$2=CL195),'2024DATA'!$E$37,"")</f>
        <v/>
      </c>
      <c r="CM230" s="518" t="str">
        <f>IF(AND(_F="B-717",'2024'!$I$4="CA",'2024'!$I$2=CM195),'2024DATA'!$F$37,"")</f>
        <v/>
      </c>
      <c r="CN230" s="518" t="str">
        <f>IF(AND(_F="B-717",'2024'!$I$4="CA",'2024'!$I$2=CN195),'2024DATA'!$G$37,"")</f>
        <v/>
      </c>
      <c r="CO230" s="518" t="str">
        <f>IF(AND(_F="B-717",'2024'!$I$4="CA",'2024'!$I$2=CO195),'2024DATA'!$H$37,"")</f>
        <v/>
      </c>
      <c r="CP230" s="518" t="str">
        <f>IF(AND(_F="B-717",'2024'!$I$4="CA",'2024'!$I$2=CP195),'2024DATA'!$I$37,"")</f>
        <v/>
      </c>
      <c r="CQ230" s="518" t="str">
        <f>IF(AND(_F="B-717",'2024'!$I$4="CA",'2024'!$I$2=CQ195),'2024DATA'!$J$37,"")</f>
        <v/>
      </c>
      <c r="CR230" s="518" t="str">
        <f>IF(AND(_F="B-717",'2024'!$I$4="CA",'2024'!$I$2=CR195),'2024DATA'!$K$37,"")</f>
        <v/>
      </c>
      <c r="CS230" s="518" t="str">
        <f>IF(AND(_F="B-717",'2024'!$I$4="CA",'2024'!$I$2=CS195),'2024DATA'!$L$37,"")</f>
        <v/>
      </c>
      <c r="CT230" s="518" t="str">
        <f>IF(AND(_F="B-717",'2024'!$I$4="CA",'2024'!$I$2=CT195),'2024DATA'!$M$37,"")</f>
        <v/>
      </c>
      <c r="CU230" s="520" t="str">
        <f>IF(AND(_F="B-717",'2024'!$I$4="CA",'2024'!$I$2=CU195),'2024DATA'!$N$37,"")</f>
        <v/>
      </c>
    </row>
    <row r="231" spans="16:99" ht="15.75" thickBot="1" x14ac:dyDescent="0.3">
      <c r="P231" s="942"/>
      <c r="Q231" s="2" t="s">
        <v>62</v>
      </c>
      <c r="R231" s="518" t="str">
        <f>IF(AND(_A="B-717",'2024'!$I$4="FO",'2024'!$I$2=R195),'2024DATA'!$C$38,"")</f>
        <v/>
      </c>
      <c r="S231" s="518" t="str">
        <f>IF(AND(_A="B-717",'2024'!$I$4="FO",'2024'!$I$2=S195),'2024DATA'!$D$38,"")</f>
        <v/>
      </c>
      <c r="T231" s="518" t="str">
        <f>IF(AND(_A="B-717",'2024'!$I$4="FO",'2024'!$I$2=T195),'2024DATA'!$E$38,"")</f>
        <v/>
      </c>
      <c r="U231" s="518" t="str">
        <f>IF(AND(_A="B-717",'2024'!$I$4="FO",'2024'!$I$2=U195),'2024DATA'!$F$38,"")</f>
        <v/>
      </c>
      <c r="V231" s="518" t="str">
        <f>IF(AND(_A="B-717",'2024'!$I$4="FO",'2024'!$I$2=V195),'2024DATA'!$G$38,"")</f>
        <v/>
      </c>
      <c r="W231" s="518" t="str">
        <f>IF(AND(_A="B-717",'2024'!$I$4="FO",'2024'!$I$2=W195),'2024DATA'!$H$38,"")</f>
        <v/>
      </c>
      <c r="X231" s="518" t="str">
        <f>IF(AND(_A="B-717",'2024'!$I$4="FO",'2024'!$I$2=X195),'2024DATA'!$I$38,"")</f>
        <v/>
      </c>
      <c r="Y231" s="518" t="str">
        <f>IF(AND(_A="B-717",'2024'!$I$4="FO",'2024'!$I$2=Y195),'2024DATA'!$J$38,"")</f>
        <v/>
      </c>
      <c r="Z231" s="518" t="str">
        <f>IF(AND(_A="B-717",'2024'!$I$4="FO",'2024'!$I$2=Z195),'2024DATA'!$K$38,"")</f>
        <v/>
      </c>
      <c r="AA231" s="518" t="str">
        <f>IF(AND(_A="B-717",'2024'!$I$4="FO",'2024'!$I$2=AA195),'2024DATA'!$L$38,"")</f>
        <v/>
      </c>
      <c r="AB231" s="518" t="str">
        <f>IF(AND(_A="B-717",'2024'!$I$4="FO",'2024'!$I$2=AB195),'2024DATA'!$M$38,"")</f>
        <v/>
      </c>
      <c r="AC231" s="520" t="str">
        <f>IF(AND(_A="B-717",'2024'!$I$4="FO",'2024'!$I$2=AC195),'2024DATA'!$N$38,"")</f>
        <v/>
      </c>
      <c r="AD231" s="942"/>
      <c r="AE231" s="2" t="s">
        <v>62</v>
      </c>
      <c r="AF231" s="518" t="str">
        <f>IF(AND(_B="B-717",'2024'!$I$4="FO",'2024'!$I$2=AF195),'2024DATA'!$C$38,"")</f>
        <v/>
      </c>
      <c r="AG231" s="518" t="str">
        <f>IF(AND(_B="B-717",'2024'!$I$4="FO",'2024'!$I$2=AG195),'2024DATA'!$D$38,"")</f>
        <v/>
      </c>
      <c r="AH231" s="518" t="str">
        <f>IF(AND(_B="B-717",'2024'!$I$4="FO",'2024'!$I$2=AH195),'2024DATA'!$E$38,"")</f>
        <v/>
      </c>
      <c r="AI231" s="518" t="str">
        <f>IF(AND(_B="B-717",'2024'!$I$4="FO",'2024'!$I$2=AI195),'2024DATA'!$F$38,"")</f>
        <v/>
      </c>
      <c r="AJ231" s="518" t="str">
        <f>IF(AND(_B="B-717",'2024'!$I$4="FO",'2024'!$I$2=AJ195),'2024DATA'!$G$38,"")</f>
        <v/>
      </c>
      <c r="AK231" s="518" t="str">
        <f>IF(AND(_B="B-717",'2024'!$I$4="FO",'2024'!$I$2=AK195),'2024DATA'!$H$38,"")</f>
        <v/>
      </c>
      <c r="AL231" s="518" t="str">
        <f>IF(AND(_B="B-717",'2024'!$I$4="FO",'2024'!$I$2=AL195),'2024DATA'!$I$38,"")</f>
        <v/>
      </c>
      <c r="AM231" s="518" t="str">
        <f>IF(AND(_B="B-717",'2024'!$I$4="FO",'2024'!$I$2=AM195),'2024DATA'!$J$38,"")</f>
        <v/>
      </c>
      <c r="AN231" s="518" t="str">
        <f>IF(AND(_B="B-717",'2024'!$I$4="FO",'2024'!$I$2=AN195),'2024DATA'!$K$38,"")</f>
        <v/>
      </c>
      <c r="AO231" s="518" t="str">
        <f>IF(AND(_B="B-717",'2024'!$I$4="FO",'2024'!$I$2=AO195),'2024DATA'!$L$38,"")</f>
        <v/>
      </c>
      <c r="AP231" s="518" t="str">
        <f>IF(AND(_B="B-717",'2024'!$I$4="FO",'2024'!$I$2=AP195),'2024DATA'!$M$38,"")</f>
        <v/>
      </c>
      <c r="AQ231" s="520" t="str">
        <f>IF(AND(_B="B-717",'2024'!$I$4="FO",'2024'!$I$2=AQ195),'2024DATA'!$N$38,"")</f>
        <v/>
      </c>
      <c r="AR231" s="942"/>
      <c r="AS231" s="2" t="s">
        <v>62</v>
      </c>
      <c r="AT231" s="518" t="str">
        <f>IF(AND(_C="B-717",'2024'!$I$4="FO",'2024'!$I$2=AT195),'2024DATA'!$C$38,"")</f>
        <v/>
      </c>
      <c r="AU231" s="518" t="str">
        <f>IF(AND(_C="B-717",'2024'!$I$4="FO",'2024'!$I$2=AU195),'2024DATA'!$D$38,"")</f>
        <v/>
      </c>
      <c r="AV231" s="518" t="str">
        <f>IF(AND(_C="B-717",'2024'!$I$4="FO",'2024'!$I$2=AV195),'2024DATA'!$E$38,"")</f>
        <v/>
      </c>
      <c r="AW231" s="518" t="str">
        <f>IF(AND(_C="B-717",'2024'!$I$4="FO",'2024'!$I$2=AW195),'2024DATA'!$F$38,"")</f>
        <v/>
      </c>
      <c r="AX231" s="518" t="str">
        <f>IF(AND(_C="B-717",'2024'!$I$4="FO",'2024'!$I$2=AX195),'2024DATA'!$G$38,"")</f>
        <v/>
      </c>
      <c r="AY231" s="518" t="str">
        <f>IF(AND(_C="B-717",'2024'!$I$4="FO",'2024'!$I$2=AY195),'2024DATA'!$H$38,"")</f>
        <v/>
      </c>
      <c r="AZ231" s="518" t="str">
        <f>IF(AND(_C="B-717",'2024'!$I$4="FO",'2024'!$I$2=AZ195),'2024DATA'!$I$38,"")</f>
        <v/>
      </c>
      <c r="BA231" s="518" t="str">
        <f>IF(AND(_C="B-717",'2024'!$I$4="FO",'2024'!$I$2=BA195),'2024DATA'!$J$38,"")</f>
        <v/>
      </c>
      <c r="BB231" s="518" t="str">
        <f>IF(AND(_C="B-717",'2024'!$I$4="FO",'2024'!$I$2=BB195),'2024DATA'!$K$38,"")</f>
        <v/>
      </c>
      <c r="BC231" s="518" t="str">
        <f>IF(AND(_C="B-717",'2024'!$I$4="FO",'2024'!$I$2=BC195),'2024DATA'!$L$38,"")</f>
        <v/>
      </c>
      <c r="BD231" s="518" t="str">
        <f>IF(AND(_C="B-717",'2024'!$I$4="FO",'2024'!$I$2=BD195),'2024DATA'!$M$38,"")</f>
        <v/>
      </c>
      <c r="BE231" s="520" t="str">
        <f>IF(AND(_C="B-717",'2024'!$I$4="FO",'2024'!$I$2=BE195),'2024DATA'!$N$38,"")</f>
        <v/>
      </c>
      <c r="BF231" s="942"/>
      <c r="BG231" s="2" t="s">
        <v>62</v>
      </c>
      <c r="BH231" s="518" t="str">
        <f>IF(AND(_D="B-717",'2024'!$I$4="FO",'2024'!$I$2=BH195),'2024DATA'!$C$38,"")</f>
        <v/>
      </c>
      <c r="BI231" s="518" t="str">
        <f>IF(AND(_D="B-717",'2024'!$I$4="FO",'2024'!$I$2=BI195),'2024DATA'!$D$38,"")</f>
        <v/>
      </c>
      <c r="BJ231" s="518" t="str">
        <f>IF(AND(_D="B-717",'2024'!$I$4="FO",'2024'!$I$2=BJ195),'2024DATA'!$E$38,"")</f>
        <v/>
      </c>
      <c r="BK231" s="518" t="str">
        <f>IF(AND(_D="B-717",'2024'!$I$4="FO",'2024'!$I$2=BK195),'2024DATA'!$F$38,"")</f>
        <v/>
      </c>
      <c r="BL231" s="518" t="str">
        <f>IF(AND(_D="B-717",'2024'!$I$4="FO",'2024'!$I$2=BL195),'2024DATA'!$G$38,"")</f>
        <v/>
      </c>
      <c r="BM231" s="518" t="str">
        <f>IF(AND(_D="B-717",'2024'!$I$4="FO",'2024'!$I$2=BM195),'2024DATA'!$H$38,"")</f>
        <v/>
      </c>
      <c r="BN231" s="518" t="str">
        <f>IF(AND(_D="B-717",'2024'!$I$4="FO",'2024'!$I$2=BN195),'2024DATA'!$I$38,"")</f>
        <v/>
      </c>
      <c r="BO231" s="518" t="str">
        <f>IF(AND(_D="B-717",'2024'!$I$4="FO",'2024'!$I$2=BO195),'2024DATA'!$J$38,"")</f>
        <v/>
      </c>
      <c r="BP231" s="518" t="str">
        <f>IF(AND(_D="B-717",'2024'!$I$4="FO",'2024'!$I$2=BP195),'2024DATA'!$K$38,"")</f>
        <v/>
      </c>
      <c r="BQ231" s="518" t="str">
        <f>IF(AND(_D="B-717",'2024'!$I$4="FO",'2024'!$I$2=BQ195),'2024DATA'!$L$38,"")</f>
        <v/>
      </c>
      <c r="BR231" s="518" t="str">
        <f>IF(AND(_D="B-717",'2024'!$I$4="FO",'2024'!$I$2=BR195),'2024DATA'!$M$38,"")</f>
        <v/>
      </c>
      <c r="BS231" s="520" t="str">
        <f>IF(AND(_D="B-717",'2024'!$I$4="FO",'2024'!$I$2=BS195),'2024DATA'!$N$38,"")</f>
        <v/>
      </c>
      <c r="BT231" s="942"/>
      <c r="BU231" s="2" t="s">
        <v>62</v>
      </c>
      <c r="BV231" s="518" t="str">
        <f>IF(AND(_E="B-717",'2024'!$I$4="FO",'2024'!$I$2=BV195),'2024DATA'!$C$38,"")</f>
        <v/>
      </c>
      <c r="BW231" s="518" t="str">
        <f>IF(AND(_E="B-717",'2024'!$I$4="FO",'2024'!$I$2=BW195),'2024DATA'!$D$38,"")</f>
        <v/>
      </c>
      <c r="BX231" s="518" t="str">
        <f>IF(AND(_E="B-717",'2024'!$I$4="FO",'2024'!$I$2=BX195),'2024DATA'!$E$38,"")</f>
        <v/>
      </c>
      <c r="BY231" s="518" t="str">
        <f>IF(AND(_E="B-717",'2024'!$I$4="FO",'2024'!$I$2=BY195),'2024DATA'!$F$38,"")</f>
        <v/>
      </c>
      <c r="BZ231" s="518" t="str">
        <f>IF(AND(_E="B-717",'2024'!$I$4="FO",'2024'!$I$2=BZ195),'2024DATA'!$G$38,"")</f>
        <v/>
      </c>
      <c r="CA231" s="518" t="str">
        <f>IF(AND(_E="B-717",'2024'!$I$4="FO",'2024'!$I$2=CA195),'2024DATA'!$H$38,"")</f>
        <v/>
      </c>
      <c r="CB231" s="518" t="str">
        <f>IF(AND(_E="B-717",'2024'!$I$4="FO",'2024'!$I$2=CB195),'2024DATA'!$I$38,"")</f>
        <v/>
      </c>
      <c r="CC231" s="518" t="str">
        <f>IF(AND(_E="B-717",'2024'!$I$4="FO",'2024'!$I$2=CC195),'2024DATA'!$J$38,"")</f>
        <v/>
      </c>
      <c r="CD231" s="518" t="str">
        <f>IF(AND(_E="B-717",'2024'!$I$4="FO",'2024'!$I$2=CD195),'2024DATA'!$K$38,"")</f>
        <v/>
      </c>
      <c r="CE231" s="518" t="str">
        <f>IF(AND(_E="B-717",'2024'!$I$4="FO",'2024'!$I$2=CE195),'2024DATA'!$L$38,"")</f>
        <v/>
      </c>
      <c r="CF231" s="518" t="str">
        <f>IF(AND(_E="B-717",'2024'!$I$4="FO",'2024'!$I$2=CF195),'2024DATA'!$M$38,"")</f>
        <v/>
      </c>
      <c r="CG231" s="520" t="str">
        <f>IF(AND(_E="B-717",'2024'!$I$4="FO",'2024'!$I$2=CG195),'2024DATA'!$N$38,"")</f>
        <v/>
      </c>
      <c r="CH231" s="942"/>
      <c r="CI231" s="2" t="s">
        <v>62</v>
      </c>
      <c r="CJ231" s="518" t="str">
        <f>IF(AND(_F="B-717",'2024'!$I$4="FO",'2024'!$I$2=CJ195),'2024DATA'!$C$38,"")</f>
        <v/>
      </c>
      <c r="CK231" s="518" t="str">
        <f>IF(AND(_F="B-717",'2024'!$I$4="FO",'2024'!$I$2=CK195),'2024DATA'!$D$38,"")</f>
        <v/>
      </c>
      <c r="CL231" s="518" t="str">
        <f>IF(AND(_F="B-717",'2024'!$I$4="FO",'2024'!$I$2=CL195),'2024DATA'!$E$38,"")</f>
        <v/>
      </c>
      <c r="CM231" s="518" t="str">
        <f>IF(AND(_F="B-717",'2024'!$I$4="FO",'2024'!$I$2=CM195),'2024DATA'!$F$38,"")</f>
        <v/>
      </c>
      <c r="CN231" s="518" t="str">
        <f>IF(AND(_F="B-717",'2024'!$I$4="FO",'2024'!$I$2=CN195),'2024DATA'!$G$38,"")</f>
        <v/>
      </c>
      <c r="CO231" s="518" t="str">
        <f>IF(AND(_F="B-717",'2024'!$I$4="FO",'2024'!$I$2=CO195),'2024DATA'!$H$38,"")</f>
        <v/>
      </c>
      <c r="CP231" s="518" t="str">
        <f>IF(AND(_F="B-717",'2024'!$I$4="FO",'2024'!$I$2=CP195),'2024DATA'!$I$38,"")</f>
        <v/>
      </c>
      <c r="CQ231" s="518" t="str">
        <f>IF(AND(_F="B-717",'2024'!$I$4="FO",'2024'!$I$2=CQ195),'2024DATA'!$J$38,"")</f>
        <v/>
      </c>
      <c r="CR231" s="518" t="str">
        <f>IF(AND(_F="B-717",'2024'!$I$4="FO",'2024'!$I$2=CR195),'2024DATA'!$K$38,"")</f>
        <v/>
      </c>
      <c r="CS231" s="518" t="str">
        <f>IF(AND(_F="B-717",'2024'!$I$4="FO",'2024'!$I$2=CS195),'2024DATA'!$L$38,"")</f>
        <v/>
      </c>
      <c r="CT231" s="518" t="str">
        <f>IF(AND(_F="B-717",'2024'!$I$4="FO",'2024'!$I$2=CT195),'2024DATA'!$M$38,"")</f>
        <v/>
      </c>
      <c r="CU231" s="520" t="str">
        <f>IF(AND(_F="B-717",'2024'!$I$4="FO",'2024'!$I$2=CU195),'2024DATA'!$N$38,"")</f>
        <v/>
      </c>
    </row>
    <row r="232" spans="16:99" x14ac:dyDescent="0.25">
      <c r="P232" s="943" t="s">
        <v>103</v>
      </c>
      <c r="Q232" s="944"/>
      <c r="R232" s="944"/>
      <c r="S232" s="944"/>
      <c r="T232" s="944"/>
      <c r="U232" s="944"/>
      <c r="V232" s="944"/>
      <c r="W232" s="944"/>
      <c r="X232" s="944"/>
      <c r="Y232" s="944"/>
      <c r="Z232" s="944"/>
      <c r="AA232" s="944"/>
      <c r="AB232" s="944"/>
      <c r="AC232" s="945"/>
      <c r="AD232" s="943" t="s">
        <v>104</v>
      </c>
      <c r="AE232" s="944"/>
      <c r="AF232" s="944"/>
      <c r="AG232" s="944"/>
      <c r="AH232" s="944"/>
      <c r="AI232" s="944"/>
      <c r="AJ232" s="944"/>
      <c r="AK232" s="944"/>
      <c r="AL232" s="944"/>
      <c r="AM232" s="944"/>
      <c r="AN232" s="944"/>
      <c r="AO232" s="944"/>
      <c r="AP232" s="944"/>
      <c r="AQ232" s="945"/>
      <c r="AR232" s="943" t="s">
        <v>105</v>
      </c>
      <c r="AS232" s="944"/>
      <c r="AT232" s="944"/>
      <c r="AU232" s="944"/>
      <c r="AV232" s="944"/>
      <c r="AW232" s="944"/>
      <c r="AX232" s="944"/>
      <c r="AY232" s="944"/>
      <c r="AZ232" s="944"/>
      <c r="BA232" s="944"/>
      <c r="BB232" s="944"/>
      <c r="BC232" s="944"/>
      <c r="BD232" s="944"/>
      <c r="BE232" s="945"/>
      <c r="BF232" s="943" t="s">
        <v>106</v>
      </c>
      <c r="BG232" s="944"/>
      <c r="BH232" s="944"/>
      <c r="BI232" s="944"/>
      <c r="BJ232" s="944"/>
      <c r="BK232" s="944"/>
      <c r="BL232" s="944"/>
      <c r="BM232" s="944"/>
      <c r="BN232" s="944"/>
      <c r="BO232" s="944"/>
      <c r="BP232" s="944"/>
      <c r="BQ232" s="944"/>
      <c r="BR232" s="944"/>
      <c r="BS232" s="945"/>
      <c r="BT232" s="943" t="s">
        <v>107</v>
      </c>
      <c r="BU232" s="944"/>
      <c r="BV232" s="944"/>
      <c r="BW232" s="944"/>
      <c r="BX232" s="944"/>
      <c r="BY232" s="944"/>
      <c r="BZ232" s="944"/>
      <c r="CA232" s="944"/>
      <c r="CB232" s="944"/>
      <c r="CC232" s="944"/>
      <c r="CD232" s="944"/>
      <c r="CE232" s="944"/>
      <c r="CF232" s="944"/>
      <c r="CG232" s="945"/>
      <c r="CH232" s="943" t="s">
        <v>108</v>
      </c>
      <c r="CI232" s="944"/>
      <c r="CJ232" s="944"/>
      <c r="CK232" s="944"/>
      <c r="CL232" s="944"/>
      <c r="CM232" s="944"/>
      <c r="CN232" s="944"/>
      <c r="CO232" s="944"/>
      <c r="CP232" s="944"/>
      <c r="CQ232" s="944"/>
      <c r="CR232" s="944"/>
      <c r="CS232" s="944"/>
      <c r="CT232" s="944"/>
      <c r="CU232" s="945"/>
    </row>
    <row r="233" spans="16:99" x14ac:dyDescent="0.25">
      <c r="P233" s="599">
        <v>7</v>
      </c>
      <c r="Q233" s="565">
        <f>SUM(R234:AC269)</f>
        <v>0</v>
      </c>
      <c r="R233" s="3">
        <v>12</v>
      </c>
      <c r="S233" s="3">
        <v>11</v>
      </c>
      <c r="T233" s="3">
        <v>10</v>
      </c>
      <c r="U233" s="3">
        <v>9</v>
      </c>
      <c r="V233" s="3">
        <v>8</v>
      </c>
      <c r="W233" s="3">
        <v>7</v>
      </c>
      <c r="X233" s="3">
        <v>6</v>
      </c>
      <c r="Y233" s="3">
        <v>5</v>
      </c>
      <c r="Z233" s="3">
        <v>4</v>
      </c>
      <c r="AA233" s="3">
        <v>3</v>
      </c>
      <c r="AB233" s="3">
        <v>2</v>
      </c>
      <c r="AC233" s="519">
        <v>1</v>
      </c>
      <c r="AD233" s="565">
        <v>7</v>
      </c>
      <c r="AE233" s="565">
        <f>SUM(AF234:AQ269)</f>
        <v>0</v>
      </c>
      <c r="AF233" s="3">
        <v>12</v>
      </c>
      <c r="AG233" s="3">
        <v>11</v>
      </c>
      <c r="AH233" s="3">
        <v>10</v>
      </c>
      <c r="AI233" s="3">
        <v>9</v>
      </c>
      <c r="AJ233" s="3">
        <v>8</v>
      </c>
      <c r="AK233" s="3">
        <v>7</v>
      </c>
      <c r="AL233" s="3">
        <v>6</v>
      </c>
      <c r="AM233" s="3">
        <v>5</v>
      </c>
      <c r="AN233" s="3">
        <v>4</v>
      </c>
      <c r="AO233" s="3">
        <v>3</v>
      </c>
      <c r="AP233" s="3">
        <v>2</v>
      </c>
      <c r="AQ233" s="519">
        <v>1</v>
      </c>
      <c r="AR233" s="565">
        <v>7</v>
      </c>
      <c r="AS233" s="565">
        <f>SUM(AT234:BE269)</f>
        <v>0</v>
      </c>
      <c r="AT233" s="3">
        <v>12</v>
      </c>
      <c r="AU233" s="3">
        <v>11</v>
      </c>
      <c r="AV233" s="3">
        <v>10</v>
      </c>
      <c r="AW233" s="3">
        <v>9</v>
      </c>
      <c r="AX233" s="3">
        <v>8</v>
      </c>
      <c r="AY233" s="3">
        <v>7</v>
      </c>
      <c r="AZ233" s="3">
        <v>6</v>
      </c>
      <c r="BA233" s="3">
        <v>5</v>
      </c>
      <c r="BB233" s="3">
        <v>4</v>
      </c>
      <c r="BC233" s="3">
        <v>3</v>
      </c>
      <c r="BD233" s="3">
        <v>2</v>
      </c>
      <c r="BE233" s="519">
        <v>1</v>
      </c>
      <c r="BF233" s="565">
        <v>7</v>
      </c>
      <c r="BG233" s="565">
        <f>SUM(BH234:BS269)</f>
        <v>0</v>
      </c>
      <c r="BH233" s="3">
        <v>12</v>
      </c>
      <c r="BI233" s="3">
        <v>11</v>
      </c>
      <c r="BJ233" s="3">
        <v>10</v>
      </c>
      <c r="BK233" s="3">
        <v>9</v>
      </c>
      <c r="BL233" s="3">
        <v>8</v>
      </c>
      <c r="BM233" s="3">
        <v>7</v>
      </c>
      <c r="BN233" s="3">
        <v>6</v>
      </c>
      <c r="BO233" s="3">
        <v>5</v>
      </c>
      <c r="BP233" s="3">
        <v>4</v>
      </c>
      <c r="BQ233" s="3">
        <v>3</v>
      </c>
      <c r="BR233" s="3">
        <v>2</v>
      </c>
      <c r="BS233" s="519">
        <v>1</v>
      </c>
      <c r="BT233" s="565">
        <v>7</v>
      </c>
      <c r="BU233" s="565">
        <f>SUM(BV234:CG269)</f>
        <v>0</v>
      </c>
      <c r="BV233" s="3">
        <v>12</v>
      </c>
      <c r="BW233" s="3">
        <v>11</v>
      </c>
      <c r="BX233" s="3">
        <v>10</v>
      </c>
      <c r="BY233" s="3">
        <v>9</v>
      </c>
      <c r="BZ233" s="3">
        <v>8</v>
      </c>
      <c r="CA233" s="3">
        <v>7</v>
      </c>
      <c r="CB233" s="3">
        <v>6</v>
      </c>
      <c r="CC233" s="3">
        <v>5</v>
      </c>
      <c r="CD233" s="3">
        <v>4</v>
      </c>
      <c r="CE233" s="3">
        <v>3</v>
      </c>
      <c r="CF233" s="3">
        <v>2</v>
      </c>
      <c r="CG233" s="519">
        <v>1</v>
      </c>
      <c r="CH233" s="565">
        <v>7</v>
      </c>
      <c r="CI233" s="565">
        <f>SUM(CJ234:CU269)</f>
        <v>0</v>
      </c>
      <c r="CJ233" s="3">
        <v>12</v>
      </c>
      <c r="CK233" s="3">
        <v>11</v>
      </c>
      <c r="CL233" s="3">
        <v>10</v>
      </c>
      <c r="CM233" s="3">
        <v>9</v>
      </c>
      <c r="CN233" s="3">
        <v>8</v>
      </c>
      <c r="CO233" s="3">
        <v>7</v>
      </c>
      <c r="CP233" s="3">
        <v>6</v>
      </c>
      <c r="CQ233" s="3">
        <v>5</v>
      </c>
      <c r="CR233" s="3">
        <v>4</v>
      </c>
      <c r="CS233" s="3">
        <v>3</v>
      </c>
      <c r="CT233" s="3">
        <v>2</v>
      </c>
      <c r="CU233" s="519">
        <v>1</v>
      </c>
    </row>
    <row r="234" spans="16:99" x14ac:dyDescent="0.25">
      <c r="P234" s="940" t="s">
        <v>39</v>
      </c>
      <c r="Q234" s="13" t="s">
        <v>61</v>
      </c>
      <c r="R234" s="518" t="str">
        <f>IF(AND(_A="A-350",'2024'!$J$4="CA",'2024'!$J$2=R233),'2024DATA'!$C$3,"")</f>
        <v/>
      </c>
      <c r="S234" s="518" t="str">
        <f>IF(AND(_A="A-350",'2024'!$J$4="CA",'2024'!$J$2=S233),'2024DATA'!$D$3,"")</f>
        <v/>
      </c>
      <c r="T234" s="518" t="str">
        <f>IF(AND(_A="A-350",'2024'!$J$4="CA",'2024'!$J$2=T233),'2024DATA'!$E$3,"")</f>
        <v/>
      </c>
      <c r="U234" s="518" t="str">
        <f>IF(AND(_A="A-350",'2024'!$J$4="CA",'2024'!$J$2=U233),'2024DATA'!$F$3,"")</f>
        <v/>
      </c>
      <c r="V234" s="518" t="str">
        <f>IF(AND(_A="A-350",'2024'!$J$4="CA",'2024'!$J$2=V233),'2024DATA'!$G$3,"")</f>
        <v/>
      </c>
      <c r="W234" s="518" t="str">
        <f>IF(AND(_A="A-350",'2024'!$J$4="CA",'2024'!$J$2=W233),'2024DATA'!$H$3,"")</f>
        <v/>
      </c>
      <c r="X234" s="518" t="str">
        <f>IF(AND(_A="A-350",'2024'!$J$4="CA",'2024'!$J$2=X233),'2024DATA'!$I$3,"")</f>
        <v/>
      </c>
      <c r="Y234" s="518" t="str">
        <f>IF(AND(_A="A-350",'2024'!$J$4="CA",'2024'!$J$2=Y233),'2024DATA'!$J$3,"")</f>
        <v/>
      </c>
      <c r="Z234" s="518" t="str">
        <f>IF(AND(_A="A-350",'2024'!$J$4="CA",'2024'!$J$2=Z233),'2024DATA'!$K$3,"")</f>
        <v/>
      </c>
      <c r="AA234" s="518" t="str">
        <f>IF(AND(_A="A-350",'2024'!$J$4="CA",'2024'!$J$2=AA233),'2024DATA'!$L$3,"")</f>
        <v/>
      </c>
      <c r="AB234" s="518" t="str">
        <f>IF(AND(_A="A-350",'2024'!$J$4="CA",'2024'!$J$2=AB233),'2024DATA'!$M$3,"")</f>
        <v/>
      </c>
      <c r="AC234" s="520" t="str">
        <f>IF(AND(_A="A-350",'2024'!$J$4="CA",'2024'!$J$2=AC233),'2024DATA'!$N$3,"")</f>
        <v/>
      </c>
      <c r="AD234" s="940" t="s">
        <v>39</v>
      </c>
      <c r="AE234" s="13" t="s">
        <v>61</v>
      </c>
      <c r="AF234" s="518" t="str">
        <f>IF(AND(_B="A-350",'2024'!$J$4="CA",'2024'!$J$2=AF233),'2024DATA'!$C$3,"")</f>
        <v/>
      </c>
      <c r="AG234" s="518" t="str">
        <f>IF(AND(_B="A-350",'2024'!$J$4="CA",'2024'!$J$2=AG233),'2024DATA'!$D$3,"")</f>
        <v/>
      </c>
      <c r="AH234" s="518" t="str">
        <f>IF(AND(_B="A-350",'2024'!$J$4="CA",'2024'!$J$2=AH233),'2024DATA'!$E$3,"")</f>
        <v/>
      </c>
      <c r="AI234" s="518" t="str">
        <f>IF(AND(_B="A-350",'2024'!$J$4="CA",'2024'!$J$2=AI233),'2024DATA'!$F$3,"")</f>
        <v/>
      </c>
      <c r="AJ234" s="518" t="str">
        <f>IF(AND(_B="A-350",'2024'!$J$4="CA",'2024'!$J$2=AJ233),'2024DATA'!$G$3,"")</f>
        <v/>
      </c>
      <c r="AK234" s="518" t="str">
        <f>IF(AND(_B="A-350",'2024'!$J$4="CA",'2024'!$J$2=AK233),'2024DATA'!$H$3,"")</f>
        <v/>
      </c>
      <c r="AL234" s="518" t="str">
        <f>IF(AND(_B="A-350",'2024'!$J$4="CA",'2024'!$J$2=AL233),'2024DATA'!$I$3,"")</f>
        <v/>
      </c>
      <c r="AM234" s="518" t="str">
        <f>IF(AND(_B="A-350",'2024'!$J$4="CA",'2024'!$J$2=AM233),'2024DATA'!$J$3,"")</f>
        <v/>
      </c>
      <c r="AN234" s="518" t="str">
        <f>IF(AND(_B="A-350",'2024'!$J$4="CA",'2024'!$J$2=AN233),'2024DATA'!$K$3,"")</f>
        <v/>
      </c>
      <c r="AO234" s="518" t="str">
        <f>IF(AND(_B="A-350",'2024'!$J$4="CA",'2024'!$J$2=AO233),'2024DATA'!$L$3,"")</f>
        <v/>
      </c>
      <c r="AP234" s="518" t="str">
        <f>IF(AND(_B="A-350",'2024'!$J$4="CA",'2024'!$J$2=AP233),'2024DATA'!$M$3,"")</f>
        <v/>
      </c>
      <c r="AQ234" s="520" t="str">
        <f>IF(AND(_B="A-350",'2024'!$J$4="CA",'2024'!$J$2=AQ233),'2024DATA'!$N$3,"")</f>
        <v/>
      </c>
      <c r="AR234" s="940" t="s">
        <v>39</v>
      </c>
      <c r="AS234" s="13" t="s">
        <v>61</v>
      </c>
      <c r="AT234" s="518" t="str">
        <f>IF(AND(_C="A-350",'2024'!$J$4="CA",'2024'!$J$2=AT233),'2024DATA'!$C$3,"")</f>
        <v/>
      </c>
      <c r="AU234" s="518" t="str">
        <f>IF(AND(_C="A-350",'2024'!$J$4="CA",'2024'!$J$2=AU233),'2024DATA'!$D$3,"")</f>
        <v/>
      </c>
      <c r="AV234" s="518" t="str">
        <f>IF(AND(_C="A-350",'2024'!$J$4="CA",'2024'!$J$2=AV233),'2024DATA'!$E$3,"")</f>
        <v/>
      </c>
      <c r="AW234" s="518" t="str">
        <f>IF(AND(_C="A-350",'2024'!$J$4="CA",'2024'!$J$2=AW233),'2024DATA'!$F$3,"")</f>
        <v/>
      </c>
      <c r="AX234" s="518" t="str">
        <f>IF(AND(_C="A-350",'2024'!$J$4="CA",'2024'!$J$2=AX233),'2024DATA'!$G$3,"")</f>
        <v/>
      </c>
      <c r="AY234" s="518" t="str">
        <f>IF(AND(_C="A-350",'2024'!$J$4="CA",'2024'!$J$2=AY233),'2024DATA'!$H$3,"")</f>
        <v/>
      </c>
      <c r="AZ234" s="518" t="str">
        <f>IF(AND(_C="A-350",'2024'!$J$4="CA",'2024'!$J$2=AZ233),'2024DATA'!$I$3,"")</f>
        <v/>
      </c>
      <c r="BA234" s="518" t="str">
        <f>IF(AND(_C="A-350",'2024'!$J$4="CA",'2024'!$J$2=BA233),'2024DATA'!$J$3,"")</f>
        <v/>
      </c>
      <c r="BB234" s="518" t="str">
        <f>IF(AND(_C="A-350",'2024'!$J$4="CA",'2024'!$J$2=BB233),'2024DATA'!$K$3,"")</f>
        <v/>
      </c>
      <c r="BC234" s="518" t="str">
        <f>IF(AND(_C="A-350",'2024'!$J$4="CA",'2024'!$J$2=BC233),'2024DATA'!$L$3,"")</f>
        <v/>
      </c>
      <c r="BD234" s="518" t="str">
        <f>IF(AND(_C="A-350",'2024'!$J$4="CA",'2024'!$J$2=BD233),'2024DATA'!$M$3,"")</f>
        <v/>
      </c>
      <c r="BE234" s="520" t="str">
        <f>IF(AND(_C="A-350",'2024'!$J$4="CA",'2024'!$J$2=BE233),'2024DATA'!$N$3,"")</f>
        <v/>
      </c>
      <c r="BF234" s="940" t="s">
        <v>39</v>
      </c>
      <c r="BG234" s="13" t="s">
        <v>61</v>
      </c>
      <c r="BH234" s="518" t="str">
        <f>IF(AND(_D="A-350",'2024'!$J$4="CA",'2024'!$J$2=BH233),'2024DATA'!$C$3,"")</f>
        <v/>
      </c>
      <c r="BI234" s="518" t="str">
        <f>IF(AND(_D="A-350",'2024'!$J$4="CA",'2024'!$J$2=BI233),'2024DATA'!$D$3,"")</f>
        <v/>
      </c>
      <c r="BJ234" s="518" t="str">
        <f>IF(AND(_D="A-350",'2024'!$J$4="CA",'2024'!$J$2=BJ233),'2024DATA'!$E$3,"")</f>
        <v/>
      </c>
      <c r="BK234" s="518" t="str">
        <f>IF(AND(_D="A-350",'2024'!$J$4="CA",'2024'!$J$2=BK233),'2024DATA'!$F$3,"")</f>
        <v/>
      </c>
      <c r="BL234" s="518" t="str">
        <f>IF(AND(_D="A-350",'2024'!$J$4="CA",'2024'!$J$2=BL233),'2024DATA'!$G$3,"")</f>
        <v/>
      </c>
      <c r="BM234" s="518" t="str">
        <f>IF(AND(_D="A-350",'2024'!$J$4="CA",'2024'!$J$2=BM233),'2024DATA'!$H$3,"")</f>
        <v/>
      </c>
      <c r="BN234" s="518" t="str">
        <f>IF(AND(_D="A-350",'2024'!$J$4="CA",'2024'!$J$2=BN233),'2024DATA'!$I$3,"")</f>
        <v/>
      </c>
      <c r="BO234" s="518" t="str">
        <f>IF(AND(_D="A-350",'2024'!$J$4="CA",'2024'!$J$2=BO233),'2024DATA'!$J$3,"")</f>
        <v/>
      </c>
      <c r="BP234" s="518" t="str">
        <f>IF(AND(_D="A-350",'2024'!$J$4="CA",'2024'!$J$2=BP233),'2024DATA'!$K$3,"")</f>
        <v/>
      </c>
      <c r="BQ234" s="518" t="str">
        <f>IF(AND(_D="A-350",'2024'!$J$4="CA",'2024'!$J$2=BQ233),'2024DATA'!$L$3,"")</f>
        <v/>
      </c>
      <c r="BR234" s="518" t="str">
        <f>IF(AND(_D="A-350",'2024'!$J$4="CA",'2024'!$J$2=BR233),'2024DATA'!$M$3,"")</f>
        <v/>
      </c>
      <c r="BS234" s="520" t="str">
        <f>IF(AND(_D="A-350",'2024'!$J$4="CA",'2024'!$J$2=BS233),'2024DATA'!$N$3,"")</f>
        <v/>
      </c>
      <c r="BT234" s="940" t="s">
        <v>39</v>
      </c>
      <c r="BU234" s="13" t="s">
        <v>61</v>
      </c>
      <c r="BV234" s="518" t="str">
        <f>IF(AND(_E="A-350",'2024'!$J$4="CA",'2024'!$J$2=BV233),'2024DATA'!$C$3,"")</f>
        <v/>
      </c>
      <c r="BW234" s="518" t="str">
        <f>IF(AND(_E="A-350",'2024'!$J$4="CA",'2024'!$J$2=BW233),'2024DATA'!$D$3,"")</f>
        <v/>
      </c>
      <c r="BX234" s="518" t="str">
        <f>IF(AND(_E="A-350",'2024'!$J$4="CA",'2024'!$J$2=BX233),'2024DATA'!$E$3,"")</f>
        <v/>
      </c>
      <c r="BY234" s="518" t="str">
        <f>IF(AND(_E="A-350",'2024'!$J$4="CA",'2024'!$J$2=BY233),'2024DATA'!$F$3,"")</f>
        <v/>
      </c>
      <c r="BZ234" s="518" t="str">
        <f>IF(AND(_E="A-350",'2024'!$J$4="CA",'2024'!$J$2=BZ233),'2024DATA'!$G$3,"")</f>
        <v/>
      </c>
      <c r="CA234" s="518" t="str">
        <f>IF(AND(_E="A-350",'2024'!$J$4="CA",'2024'!$J$2=CA233),'2024DATA'!$H$3,"")</f>
        <v/>
      </c>
      <c r="CB234" s="518" t="str">
        <f>IF(AND(_E="A-350",'2024'!$J$4="CA",'2024'!$J$2=CB233),'2024DATA'!$I$3,"")</f>
        <v/>
      </c>
      <c r="CC234" s="518" t="str">
        <f>IF(AND(_E="A-350",'2024'!$J$4="CA",'2024'!$J$2=CC233),'2024DATA'!$J$3,"")</f>
        <v/>
      </c>
      <c r="CD234" s="518" t="str">
        <f>IF(AND(_E="A-350",'2024'!$J$4="CA",'2024'!$J$2=CD233),'2024DATA'!$K$3,"")</f>
        <v/>
      </c>
      <c r="CE234" s="518" t="str">
        <f>IF(AND(_E="A-350",'2024'!$J$4="CA",'2024'!$J$2=CE233),'2024DATA'!$L$3,"")</f>
        <v/>
      </c>
      <c r="CF234" s="518" t="str">
        <f>IF(AND(_E="A-350",'2024'!$J$4="CA",'2024'!$J$2=CF233),'2024DATA'!$M$3,"")</f>
        <v/>
      </c>
      <c r="CG234" s="520" t="str">
        <f>IF(AND(_E="A-350",'2024'!$J$4="CA",'2024'!$J$2=CG233),'2024DATA'!$N$3,"")</f>
        <v/>
      </c>
      <c r="CH234" s="940" t="s">
        <v>39</v>
      </c>
      <c r="CI234" s="13" t="s">
        <v>61</v>
      </c>
      <c r="CJ234" s="518" t="str">
        <f>IF(AND(_F="A-350",'2024'!$J$4="CA",'2024'!$J$2=CJ233),'2024DATA'!$C$3,"")</f>
        <v/>
      </c>
      <c r="CK234" s="518" t="str">
        <f>IF(AND(_F="A-350",'2024'!$J$4="CA",'2024'!$J$2=CK233),'2024DATA'!$D$3,"")</f>
        <v/>
      </c>
      <c r="CL234" s="518" t="str">
        <f>IF(AND(_F="A-350",'2024'!$J$4="CA",'2024'!$J$2=CL233),'2024DATA'!$E$3,"")</f>
        <v/>
      </c>
      <c r="CM234" s="518" t="str">
        <f>IF(AND(_F="A-350",'2024'!$J$4="CA",'2024'!$J$2=CM233),'2024DATA'!$F$3,"")</f>
        <v/>
      </c>
      <c r="CN234" s="518" t="str">
        <f>IF(AND(_F="A-350",'2024'!$J$4="CA",'2024'!$J$2=CN233),'2024DATA'!$G$3,"")</f>
        <v/>
      </c>
      <c r="CO234" s="518" t="str">
        <f>IF(AND(_F="A-350",'2024'!$J$4="CA",'2024'!$J$2=CO233),'2024DATA'!$H$3,"")</f>
        <v/>
      </c>
      <c r="CP234" s="518" t="str">
        <f>IF(AND(_F="A-350",'2024'!$J$4="CA",'2024'!$J$2=CP233),'2024DATA'!$I$3,"")</f>
        <v/>
      </c>
      <c r="CQ234" s="518" t="str">
        <f>IF(AND(_F="A-350",'2024'!$J$4="CA",'2024'!$J$2=CQ233),'2024DATA'!$J$3,"")</f>
        <v/>
      </c>
      <c r="CR234" s="518" t="str">
        <f>IF(AND(_F="A-350",'2024'!$J$4="CA",'2024'!$J$2=CR233),'2024DATA'!$K$3,"")</f>
        <v/>
      </c>
      <c r="CS234" s="518" t="str">
        <f>IF(AND(_F="A-350",'2024'!$J$4="CA",'2024'!$J$2=CS233),'2024DATA'!$L$3,"")</f>
        <v/>
      </c>
      <c r="CT234" s="518" t="str">
        <f>IF(AND(_F="A-350",'2024'!$J$4="CA",'2024'!$J$2=CT233),'2024DATA'!$M$3,"")</f>
        <v/>
      </c>
      <c r="CU234" s="520" t="str">
        <f>IF(AND(_F="A-350",'2024'!$J$4="CA",'2024'!$J$2=CU233),'2024DATA'!$N$3,"")</f>
        <v/>
      </c>
    </row>
    <row r="235" spans="16:99" x14ac:dyDescent="0.25">
      <c r="P235" s="940"/>
      <c r="Q235" s="13" t="s">
        <v>62</v>
      </c>
      <c r="R235" s="518" t="str">
        <f>IF(AND(_A="A-350",'2024'!$J$4="FO",'2024'!$J$2=R233),'2024DATA'!$C$4,"")</f>
        <v/>
      </c>
      <c r="S235" s="518" t="str">
        <f>IF(AND(_A="A-350",'2024'!$J$4="FO",'2024'!$J$2=S233),'2024DATA'!$D$4,"")</f>
        <v/>
      </c>
      <c r="T235" s="518" t="str">
        <f>IF(AND(_A="A-350",'2024'!$J$4="FO",'2024'!$J$2=T233),'2024DATA'!$E$4,"")</f>
        <v/>
      </c>
      <c r="U235" s="518" t="str">
        <f>IF(AND(_A="A-350",'2024'!$J$4="FO",'2024'!$J$2=U233),'2024DATA'!$F$4,"")</f>
        <v/>
      </c>
      <c r="V235" s="518" t="str">
        <f>IF(AND(_A="A-350",'2024'!$J$4="FO",'2024'!$J$2=V233),'2024DATA'!$G$4,"")</f>
        <v/>
      </c>
      <c r="W235" s="518" t="str">
        <f>IF(AND(_A="A-350",'2024'!$J$4="FO",'2024'!$J$2=W233),'2024DATA'!$H$4,"")</f>
        <v/>
      </c>
      <c r="X235" s="518" t="str">
        <f>IF(AND(_A="A-350",'2024'!$J$4="FO",'2024'!$J$2=X233),'2024DATA'!$I$4,"")</f>
        <v/>
      </c>
      <c r="Y235" s="518" t="str">
        <f>IF(AND(_A="A-350",'2024'!$J$4="FO",'2024'!$J$2=Y233),'2024DATA'!$J$4,"")</f>
        <v/>
      </c>
      <c r="Z235" s="518" t="str">
        <f>IF(AND(_A="A-350",'2024'!$J$4="FO",'2024'!$J$2=Z233),'2024DATA'!$K$4,"")</f>
        <v/>
      </c>
      <c r="AA235" s="518" t="str">
        <f>IF(AND(_A="A-350",'2024'!$J$4="FO",'2024'!$J$2=AA233),'2024DATA'!$L$4,"")</f>
        <v/>
      </c>
      <c r="AB235" s="518" t="str">
        <f>IF(AND(_A="A-350",'2024'!$J$4="FO",'2024'!$J$2=AB233),'2024DATA'!$M$4,"")</f>
        <v/>
      </c>
      <c r="AC235" s="520" t="str">
        <f>IF(AND(_A="A-350",'2024'!$J$4="FO",'2024'!$J$2=AC233),'2024DATA'!$N$4,"")</f>
        <v/>
      </c>
      <c r="AD235" s="940"/>
      <c r="AE235" s="13" t="s">
        <v>62</v>
      </c>
      <c r="AF235" s="518" t="str">
        <f>IF(AND(_B="A-350",'2024'!$J$4="FO",'2024'!$J$2=AF233),'2024DATA'!$C$4,"")</f>
        <v/>
      </c>
      <c r="AG235" s="518" t="str">
        <f>IF(AND(_B="A-350",'2024'!$J$4="FO",'2024'!$J$2=AG233),'2024DATA'!$D$4,"")</f>
        <v/>
      </c>
      <c r="AH235" s="518" t="str">
        <f>IF(AND(_B="A-350",'2024'!$J$4="FO",'2024'!$J$2=AH233),'2024DATA'!$E$4,"")</f>
        <v/>
      </c>
      <c r="AI235" s="518" t="str">
        <f>IF(AND(_B="A-350",'2024'!$J$4="FO",'2024'!$J$2=AI233),'2024DATA'!$F$4,"")</f>
        <v/>
      </c>
      <c r="AJ235" s="518" t="str">
        <f>IF(AND(_B="A-350",'2024'!$J$4="FO",'2024'!$J$2=AJ233),'2024DATA'!$G$4,"")</f>
        <v/>
      </c>
      <c r="AK235" s="518" t="str">
        <f>IF(AND(_B="A-350",'2024'!$J$4="FO",'2024'!$J$2=AK233),'2024DATA'!$H$4,"")</f>
        <v/>
      </c>
      <c r="AL235" s="518" t="str">
        <f>IF(AND(_B="A-350",'2024'!$J$4="FO",'2024'!$J$2=AL233),'2024DATA'!$I$4,"")</f>
        <v/>
      </c>
      <c r="AM235" s="518" t="str">
        <f>IF(AND(_B="A-350",'2024'!$J$4="FO",'2024'!$J$2=AM233),'2024DATA'!$J$4,"")</f>
        <v/>
      </c>
      <c r="AN235" s="518" t="str">
        <f>IF(AND(_B="A-350",'2024'!$J$4="FO",'2024'!$J$2=AN233),'2024DATA'!$K$4,"")</f>
        <v/>
      </c>
      <c r="AO235" s="518" t="str">
        <f>IF(AND(_B="A-350",'2024'!$J$4="FO",'2024'!$J$2=AO233),'2024DATA'!$L$4,"")</f>
        <v/>
      </c>
      <c r="AP235" s="518" t="str">
        <f>IF(AND(_B="A-350",'2024'!$J$4="FO",'2024'!$J$2=AP233),'2024DATA'!$M$4,"")</f>
        <v/>
      </c>
      <c r="AQ235" s="520" t="str">
        <f>IF(AND(_B="A-350",'2024'!$J$4="FO",'2024'!$J$2=AQ233),'2024DATA'!$N$4,"")</f>
        <v/>
      </c>
      <c r="AR235" s="940"/>
      <c r="AS235" s="13" t="s">
        <v>62</v>
      </c>
      <c r="AT235" s="518" t="str">
        <f>IF(AND(_C="A-350",'2024'!$J$4="FO",'2024'!$J$2=AT233),'2024DATA'!$C$4,"")</f>
        <v/>
      </c>
      <c r="AU235" s="518" t="str">
        <f>IF(AND(_C="A-350",'2024'!$J$4="FO",'2024'!$J$2=AU233),'2024DATA'!$D$4,"")</f>
        <v/>
      </c>
      <c r="AV235" s="518" t="str">
        <f>IF(AND(_C="A-350",'2024'!$J$4="FO",'2024'!$J$2=AV233),'2024DATA'!$E$4,"")</f>
        <v/>
      </c>
      <c r="AW235" s="518" t="str">
        <f>IF(AND(_C="A-350",'2024'!$J$4="FO",'2024'!$J$2=AW233),'2024DATA'!$F$4,"")</f>
        <v/>
      </c>
      <c r="AX235" s="518" t="str">
        <f>IF(AND(_C="A-350",'2024'!$J$4="FO",'2024'!$J$2=AX233),'2024DATA'!$G$4,"")</f>
        <v/>
      </c>
      <c r="AY235" s="518" t="str">
        <f>IF(AND(_C="A-350",'2024'!$J$4="FO",'2024'!$J$2=AY233),'2024DATA'!$H$4,"")</f>
        <v/>
      </c>
      <c r="AZ235" s="518" t="str">
        <f>IF(AND(_C="A-350",'2024'!$J$4="FO",'2024'!$J$2=AZ233),'2024DATA'!$I$4,"")</f>
        <v/>
      </c>
      <c r="BA235" s="518" t="str">
        <f>IF(AND(_C="A-350",'2024'!$J$4="FO",'2024'!$J$2=BA233),'2024DATA'!$J$4,"")</f>
        <v/>
      </c>
      <c r="BB235" s="518" t="str">
        <f>IF(AND(_C="A-350",'2024'!$J$4="FO",'2024'!$J$2=BB233),'2024DATA'!$K$4,"")</f>
        <v/>
      </c>
      <c r="BC235" s="518" t="str">
        <f>IF(AND(_C="A-350",'2024'!$J$4="FO",'2024'!$J$2=BC233),'2024DATA'!$L$4,"")</f>
        <v/>
      </c>
      <c r="BD235" s="518" t="str">
        <f>IF(AND(_C="A-350",'2024'!$J$4="FO",'2024'!$J$2=BD233),'2024DATA'!$M$4,"")</f>
        <v/>
      </c>
      <c r="BE235" s="520" t="str">
        <f>IF(AND(_C="A-350",'2024'!$J$4="FO",'2024'!$J$2=BE233),'2024DATA'!$N$4,"")</f>
        <v/>
      </c>
      <c r="BF235" s="940"/>
      <c r="BG235" s="13" t="s">
        <v>62</v>
      </c>
      <c r="BH235" s="518" t="str">
        <f>IF(AND(_D="A-350",'2024'!$J$4="FO",'2024'!$J$2=BH233),'2024DATA'!$C$4,"")</f>
        <v/>
      </c>
      <c r="BI235" s="518" t="str">
        <f>IF(AND(_D="A-350",'2024'!$J$4="FO",'2024'!$J$2=BI233),'2024DATA'!$D$4,"")</f>
        <v/>
      </c>
      <c r="BJ235" s="518" t="str">
        <f>IF(AND(_D="A-350",'2024'!$J$4="FO",'2024'!$J$2=BJ233),'2024DATA'!$E$4,"")</f>
        <v/>
      </c>
      <c r="BK235" s="518" t="str">
        <f>IF(AND(_D="A-350",'2024'!$J$4="FO",'2024'!$J$2=BK233),'2024DATA'!$F$4,"")</f>
        <v/>
      </c>
      <c r="BL235" s="518" t="str">
        <f>IF(AND(_D="A-350",'2024'!$J$4="FO",'2024'!$J$2=BL233),'2024DATA'!$G$4,"")</f>
        <v/>
      </c>
      <c r="BM235" s="518" t="str">
        <f>IF(AND(_D="A-350",'2024'!$J$4="FO",'2024'!$J$2=BM233),'2024DATA'!$H$4,"")</f>
        <v/>
      </c>
      <c r="BN235" s="518" t="str">
        <f>IF(AND(_D="A-350",'2024'!$J$4="FO",'2024'!$J$2=BN233),'2024DATA'!$I$4,"")</f>
        <v/>
      </c>
      <c r="BO235" s="518" t="str">
        <f>IF(AND(_D="A-350",'2024'!$J$4="FO",'2024'!$J$2=BO233),'2024DATA'!$J$4,"")</f>
        <v/>
      </c>
      <c r="BP235" s="518" t="str">
        <f>IF(AND(_D="A-350",'2024'!$J$4="FO",'2024'!$J$2=BP233),'2024DATA'!$K$4,"")</f>
        <v/>
      </c>
      <c r="BQ235" s="518" t="str">
        <f>IF(AND(_D="A-350",'2024'!$J$4="FO",'2024'!$J$2=BQ233),'2024DATA'!$L$4,"")</f>
        <v/>
      </c>
      <c r="BR235" s="518" t="str">
        <f>IF(AND(_D="A-350",'2024'!$J$4="FO",'2024'!$J$2=BR233),'2024DATA'!$M$4,"")</f>
        <v/>
      </c>
      <c r="BS235" s="520" t="str">
        <f>IF(AND(_D="A-350",'2024'!$J$4="FO",'2024'!$J$2=BS233),'2024DATA'!$N$4,"")</f>
        <v/>
      </c>
      <c r="BT235" s="940"/>
      <c r="BU235" s="13" t="s">
        <v>62</v>
      </c>
      <c r="BV235" s="518" t="str">
        <f>IF(AND(_E="A-350",'2024'!$J$4="FO",'2024'!$J$2=BV233),'2024DATA'!$C$4,"")</f>
        <v/>
      </c>
      <c r="BW235" s="518" t="str">
        <f>IF(AND(_E="A-350",'2024'!$J$4="FO",'2024'!$J$2=BW233),'2024DATA'!$D$4,"")</f>
        <v/>
      </c>
      <c r="BX235" s="518" t="str">
        <f>IF(AND(_E="A-350",'2024'!$J$4="FO",'2024'!$J$2=BX233),'2024DATA'!$E$4,"")</f>
        <v/>
      </c>
      <c r="BY235" s="518" t="str">
        <f>IF(AND(_E="A-350",'2024'!$J$4="FO",'2024'!$J$2=BY233),'2024DATA'!$F$4,"")</f>
        <v/>
      </c>
      <c r="BZ235" s="518" t="str">
        <f>IF(AND(_E="A-350",'2024'!$J$4="FO",'2024'!$J$2=BZ233),'2024DATA'!$G$4,"")</f>
        <v/>
      </c>
      <c r="CA235" s="518" t="str">
        <f>IF(AND(_E="A-350",'2024'!$J$4="FO",'2024'!$J$2=CA233),'2024DATA'!$H$4,"")</f>
        <v/>
      </c>
      <c r="CB235" s="518" t="str">
        <f>IF(AND(_E="A-350",'2024'!$J$4="FO",'2024'!$J$2=CB233),'2024DATA'!$I$4,"")</f>
        <v/>
      </c>
      <c r="CC235" s="518" t="str">
        <f>IF(AND(_E="A-350",'2024'!$J$4="FO",'2024'!$J$2=CC233),'2024DATA'!$J$4,"")</f>
        <v/>
      </c>
      <c r="CD235" s="518" t="str">
        <f>IF(AND(_E="A-350",'2024'!$J$4="FO",'2024'!$J$2=CD233),'2024DATA'!$K$4,"")</f>
        <v/>
      </c>
      <c r="CE235" s="518" t="str">
        <f>IF(AND(_E="A-350",'2024'!$J$4="FO",'2024'!$J$2=CE233),'2024DATA'!$L$4,"")</f>
        <v/>
      </c>
      <c r="CF235" s="518" t="str">
        <f>IF(AND(_E="A-350",'2024'!$J$4="FO",'2024'!$J$2=CF233),'2024DATA'!$M$4,"")</f>
        <v/>
      </c>
      <c r="CG235" s="520" t="str">
        <f>IF(AND(_E="A-350",'2024'!$J$4="FO",'2024'!$J$2=CG233),'2024DATA'!$N$4,"")</f>
        <v/>
      </c>
      <c r="CH235" s="940"/>
      <c r="CI235" s="13" t="s">
        <v>62</v>
      </c>
      <c r="CJ235" s="518" t="str">
        <f>IF(AND(_F="A-350",'2024'!$J$4="FO",'2024'!$J$2=CJ233),'2024DATA'!$C$4,"")</f>
        <v/>
      </c>
      <c r="CK235" s="518" t="str">
        <f>IF(AND(_F="A-350",'2024'!$J$4="FO",'2024'!$J$2=CK233),'2024DATA'!$D$4,"")</f>
        <v/>
      </c>
      <c r="CL235" s="518" t="str">
        <f>IF(AND(_F="A-350",'2024'!$J$4="FO",'2024'!$J$2=CL233),'2024DATA'!$E$4,"")</f>
        <v/>
      </c>
      <c r="CM235" s="518" t="str">
        <f>IF(AND(_F="A-350",'2024'!$J$4="FO",'2024'!$J$2=CM233),'2024DATA'!$F$4,"")</f>
        <v/>
      </c>
      <c r="CN235" s="518" t="str">
        <f>IF(AND(_F="A-350",'2024'!$J$4="FO",'2024'!$J$2=CN233),'2024DATA'!$G$4,"")</f>
        <v/>
      </c>
      <c r="CO235" s="518" t="str">
        <f>IF(AND(_F="A-350",'2024'!$J$4="FO",'2024'!$J$2=CO233),'2024DATA'!$H$4,"")</f>
        <v/>
      </c>
      <c r="CP235" s="518" t="str">
        <f>IF(AND(_F="A-350",'2024'!$J$4="FO",'2024'!$J$2=CP233),'2024DATA'!$I$4,"")</f>
        <v/>
      </c>
      <c r="CQ235" s="518" t="str">
        <f>IF(AND(_F="A-350",'2024'!$J$4="FO",'2024'!$J$2=CQ233),'2024DATA'!$J$4,"")</f>
        <v/>
      </c>
      <c r="CR235" s="518" t="str">
        <f>IF(AND(_F="A-350",'2024'!$J$4="FO",'2024'!$J$2=CR233),'2024DATA'!$K$4,"")</f>
        <v/>
      </c>
      <c r="CS235" s="518" t="str">
        <f>IF(AND(_F="A-350",'2024'!$J$4="FO",'2024'!$J$2=CS233),'2024DATA'!$L$4,"")</f>
        <v/>
      </c>
      <c r="CT235" s="518" t="str">
        <f>IF(AND(_F="A-350",'2024'!$J$4="FO",'2024'!$J$2=CT233),'2024DATA'!$M$4,"")</f>
        <v/>
      </c>
      <c r="CU235" s="520" t="str">
        <f>IF(AND(_F="A-350",'2024'!$J$4="FO",'2024'!$J$2=CU233),'2024DATA'!$N$4,"")</f>
        <v/>
      </c>
    </row>
    <row r="236" spans="16:99" x14ac:dyDescent="0.25">
      <c r="P236" s="940" t="s">
        <v>65</v>
      </c>
      <c r="Q236" s="13" t="s">
        <v>61</v>
      </c>
      <c r="R236" s="518" t="str">
        <f>IF(AND(_A="A-330-900",'2024'!$J$4="CA",'2024'!$J$2=R233),'2024DATA'!$C$5,"")</f>
        <v/>
      </c>
      <c r="S236" s="518" t="str">
        <f>IF(AND(_A="A-330-900",'2024'!$J$4="CA",'2024'!$J$2=S233),'2024DATA'!$D$5,"")</f>
        <v/>
      </c>
      <c r="T236" s="518" t="str">
        <f>IF(AND(_A="A-330-900",'2024'!$J$4="CA",'2024'!$J$2=T233),'2024DATA'!$E$5,"")</f>
        <v/>
      </c>
      <c r="U236" s="518" t="str">
        <f>IF(AND(_A="A-330-900",'2024'!$J$4="CA",'2024'!$J$2=U233),'2024DATA'!$F$5,"")</f>
        <v/>
      </c>
      <c r="V236" s="518" t="str">
        <f>IF(AND(_A="A-330-900",'2024'!$J$4="CA",'2024'!$J$2=V233),'2024DATA'!$G$5,"")</f>
        <v/>
      </c>
      <c r="W236" s="518" t="str">
        <f>IF(AND(_A="A-330-900",'2024'!$J$4="CA",'2024'!$J$2=W233),'2024DATA'!$H$5,"")</f>
        <v/>
      </c>
      <c r="X236" s="518" t="str">
        <f>IF(AND(_A="A-330-900",'2024'!$J$4="CA",'2024'!$J$2=X233),'2024DATA'!$I$5,"")</f>
        <v/>
      </c>
      <c r="Y236" s="518" t="str">
        <f>IF(AND(_A="A-330-900",'2024'!$J$4="CA",'2024'!$J$2=Y233),'2024DATA'!$J$5,"")</f>
        <v/>
      </c>
      <c r="Z236" s="518" t="str">
        <f>IF(AND(_A="A-330-900",'2024'!$J$4="CA",'2024'!$J$2=Z233),'2024DATA'!$K$5,"")</f>
        <v/>
      </c>
      <c r="AA236" s="518" t="str">
        <f>IF(AND(_A="A-330-900",'2024'!$J$4="CA",'2024'!$J$2=AA233),'2024DATA'!$L$5,"")</f>
        <v/>
      </c>
      <c r="AB236" s="518" t="str">
        <f>IF(AND(_A="A-330-900",'2024'!$J$4="CA",'2024'!$J$2=AB233),'2024DATA'!$M$5,"")</f>
        <v/>
      </c>
      <c r="AC236" s="520" t="str">
        <f>IF(AND(_A="A-330-900",'2024'!$J$4="CA",'2024'!$J$2=AC233),'2024DATA'!$N$5,"")</f>
        <v/>
      </c>
      <c r="AD236" s="940" t="s">
        <v>65</v>
      </c>
      <c r="AE236" s="13" t="s">
        <v>61</v>
      </c>
      <c r="AF236" s="518" t="str">
        <f>IF(AND(_B="A-330-900",'2024'!$J$4="CA",'2024'!$J$2=AF233),'2024DATA'!$C$5,"")</f>
        <v/>
      </c>
      <c r="AG236" s="518" t="str">
        <f>IF(AND(_B="A-330-900",'2024'!$J$4="CA",'2024'!$J$2=AG233),'2024DATA'!$D$5,"")</f>
        <v/>
      </c>
      <c r="AH236" s="518" t="str">
        <f>IF(AND(_B="A-330-900",'2024'!$J$4="CA",'2024'!$J$2=AH233),'2024DATA'!$E$5,"")</f>
        <v/>
      </c>
      <c r="AI236" s="518" t="str">
        <f>IF(AND(_B="A-330-900",'2024'!$J$4="CA",'2024'!$J$2=AI233),'2024DATA'!$F$5,"")</f>
        <v/>
      </c>
      <c r="AJ236" s="518" t="str">
        <f>IF(AND(_B="A-330-900",'2024'!$J$4="CA",'2024'!$J$2=AJ233),'2024DATA'!$G$5,"")</f>
        <v/>
      </c>
      <c r="AK236" s="518" t="str">
        <f>IF(AND(_B="A-330-900",'2024'!$J$4="CA",'2024'!$J$2=AK233),'2024DATA'!$H$5,"")</f>
        <v/>
      </c>
      <c r="AL236" s="518" t="str">
        <f>IF(AND(_B="A-330-900",'2024'!$J$4="CA",'2024'!$J$2=AL233),'2024DATA'!$I$5,"")</f>
        <v/>
      </c>
      <c r="AM236" s="518" t="str">
        <f>IF(AND(_B="A-330-900",'2024'!$J$4="CA",'2024'!$J$2=AM233),'2024DATA'!$J$5,"")</f>
        <v/>
      </c>
      <c r="AN236" s="518" t="str">
        <f>IF(AND(_B="A-330-900",'2024'!$J$4="CA",'2024'!$J$2=AN233),'2024DATA'!$K$5,"")</f>
        <v/>
      </c>
      <c r="AO236" s="518" t="str">
        <f>IF(AND(_B="A-330-900",'2024'!$J$4="CA",'2024'!$J$2=AO233),'2024DATA'!$L$5,"")</f>
        <v/>
      </c>
      <c r="AP236" s="518" t="str">
        <f>IF(AND(_B="A-330-900",'2024'!$J$4="CA",'2024'!$J$2=AP233),'2024DATA'!$M$5,"")</f>
        <v/>
      </c>
      <c r="AQ236" s="520" t="str">
        <f>IF(AND(_B="A-330-900",'2024'!$J$4="CA",'2024'!$J$2=AQ233),'2024DATA'!$N$5,"")</f>
        <v/>
      </c>
      <c r="AR236" s="940" t="s">
        <v>65</v>
      </c>
      <c r="AS236" s="13" t="s">
        <v>61</v>
      </c>
      <c r="AT236" s="518" t="str">
        <f>IF(AND(_C="A-330-900",'2024'!$J$4="CA",'2024'!$J$2=AT233),'2024DATA'!$C$5,"")</f>
        <v/>
      </c>
      <c r="AU236" s="518" t="str">
        <f>IF(AND(_C="A-330-900",'2024'!$J$4="CA",'2024'!$J$2=AU233),'2024DATA'!$D$5,"")</f>
        <v/>
      </c>
      <c r="AV236" s="518" t="str">
        <f>IF(AND(_C="A-330-900",'2024'!$J$4="CA",'2024'!$J$2=AV233),'2024DATA'!$E$5,"")</f>
        <v/>
      </c>
      <c r="AW236" s="518" t="str">
        <f>IF(AND(_C="A-330-900",'2024'!$J$4="CA",'2024'!$J$2=AW233),'2024DATA'!$F$5,"")</f>
        <v/>
      </c>
      <c r="AX236" s="518" t="str">
        <f>IF(AND(_C="A-330-900",'2024'!$J$4="CA",'2024'!$J$2=AX233),'2024DATA'!$G$5,"")</f>
        <v/>
      </c>
      <c r="AY236" s="518" t="str">
        <f>IF(AND(_C="A-330-900",'2024'!$J$4="CA",'2024'!$J$2=AY233),'2024DATA'!$H$5,"")</f>
        <v/>
      </c>
      <c r="AZ236" s="518" t="str">
        <f>IF(AND(_C="A-330-900",'2024'!$J$4="CA",'2024'!$J$2=AZ233),'2024DATA'!$I$5,"")</f>
        <v/>
      </c>
      <c r="BA236" s="518" t="str">
        <f>IF(AND(_C="A-330-900",'2024'!$J$4="CA",'2024'!$J$2=BA233),'2024DATA'!$J$5,"")</f>
        <v/>
      </c>
      <c r="BB236" s="518" t="str">
        <f>IF(AND(_C="A-330-900",'2024'!$J$4="CA",'2024'!$J$2=BB233),'2024DATA'!$K$5,"")</f>
        <v/>
      </c>
      <c r="BC236" s="518" t="str">
        <f>IF(AND(_C="A-330-900",'2024'!$J$4="CA",'2024'!$J$2=BC233),'2024DATA'!$L$5,"")</f>
        <v/>
      </c>
      <c r="BD236" s="518" t="str">
        <f>IF(AND(_C="A-330-900",'2024'!$J$4="CA",'2024'!$J$2=BD233),'2024DATA'!$M$5,"")</f>
        <v/>
      </c>
      <c r="BE236" s="520" t="str">
        <f>IF(AND(_C="A-330-900",'2024'!$J$4="CA",'2024'!$J$2=BE233),'2024DATA'!$N$5,"")</f>
        <v/>
      </c>
      <c r="BF236" s="940" t="s">
        <v>65</v>
      </c>
      <c r="BG236" s="13" t="s">
        <v>61</v>
      </c>
      <c r="BH236" s="518" t="str">
        <f>IF(AND(_D="A-330-900",'2024'!$J$4="CA",'2024'!$J$2=BH233),'2024DATA'!$C$5,"")</f>
        <v/>
      </c>
      <c r="BI236" s="518" t="str">
        <f>IF(AND(_D="A-330-900",'2024'!$J$4="CA",'2024'!$J$2=BI233),'2024DATA'!$D$5,"")</f>
        <v/>
      </c>
      <c r="BJ236" s="518" t="str">
        <f>IF(AND(_D="A-330-900",'2024'!$J$4="CA",'2024'!$J$2=BJ233),'2024DATA'!$E$5,"")</f>
        <v/>
      </c>
      <c r="BK236" s="518" t="str">
        <f>IF(AND(_D="A-330-900",'2024'!$J$4="CA",'2024'!$J$2=BK233),'2024DATA'!$F$5,"")</f>
        <v/>
      </c>
      <c r="BL236" s="518" t="str">
        <f>IF(AND(_D="A-330-900",'2024'!$J$4="CA",'2024'!$J$2=BL233),'2024DATA'!$G$5,"")</f>
        <v/>
      </c>
      <c r="BM236" s="518" t="str">
        <f>IF(AND(_D="A-330-900",'2024'!$J$4="CA",'2024'!$J$2=BM233),'2024DATA'!$H$5,"")</f>
        <v/>
      </c>
      <c r="BN236" s="518" t="str">
        <f>IF(AND(_D="A-330-900",'2024'!$J$4="CA",'2024'!$J$2=BN233),'2024DATA'!$I$5,"")</f>
        <v/>
      </c>
      <c r="BO236" s="518" t="str">
        <f>IF(AND(_D="A-330-900",'2024'!$J$4="CA",'2024'!$J$2=BO233),'2024DATA'!$J$5,"")</f>
        <v/>
      </c>
      <c r="BP236" s="518" t="str">
        <f>IF(AND(_D="A-330-900",'2024'!$J$4="CA",'2024'!$J$2=BP233),'2024DATA'!$K$5,"")</f>
        <v/>
      </c>
      <c r="BQ236" s="518" t="str">
        <f>IF(AND(_D="A-330-900",'2024'!$J$4="CA",'2024'!$J$2=BQ233),'2024DATA'!$L$5,"")</f>
        <v/>
      </c>
      <c r="BR236" s="518" t="str">
        <f>IF(AND(_D="A-330-900",'2024'!$J$4="CA",'2024'!$J$2=BR233),'2024DATA'!$M$5,"")</f>
        <v/>
      </c>
      <c r="BS236" s="520" t="str">
        <f>IF(AND(_D="A-330-900",'2024'!$J$4="CA",'2024'!$J$2=BS233),'2024DATA'!$N$5,"")</f>
        <v/>
      </c>
      <c r="BT236" s="940" t="s">
        <v>65</v>
      </c>
      <c r="BU236" s="13" t="s">
        <v>61</v>
      </c>
      <c r="BV236" s="518" t="str">
        <f>IF(AND(_E="A-330-900",'2024'!$J$4="CA",'2024'!$J$2=BV233),'2024DATA'!$C$5,"")</f>
        <v/>
      </c>
      <c r="BW236" s="518" t="str">
        <f>IF(AND(_E="A-330-900",'2024'!$J$4="CA",'2024'!$J$2=BW233),'2024DATA'!$D$5,"")</f>
        <v/>
      </c>
      <c r="BX236" s="518" t="str">
        <f>IF(AND(_E="A-330-900",'2024'!$J$4="CA",'2024'!$J$2=BX233),'2024DATA'!$E$5,"")</f>
        <v/>
      </c>
      <c r="BY236" s="518" t="str">
        <f>IF(AND(_E="A-330-900",'2024'!$J$4="CA",'2024'!$J$2=BY233),'2024DATA'!$F$5,"")</f>
        <v/>
      </c>
      <c r="BZ236" s="518" t="str">
        <f>IF(AND(_E="A-330-900",'2024'!$J$4="CA",'2024'!$J$2=BZ233),'2024DATA'!$G$5,"")</f>
        <v/>
      </c>
      <c r="CA236" s="518" t="str">
        <f>IF(AND(_E="A-330-900",'2024'!$J$4="CA",'2024'!$J$2=CA233),'2024DATA'!$H$5,"")</f>
        <v/>
      </c>
      <c r="CB236" s="518" t="str">
        <f>IF(AND(_E="A-330-900",'2024'!$J$4="CA",'2024'!$J$2=CB233),'2024DATA'!$I$5,"")</f>
        <v/>
      </c>
      <c r="CC236" s="518" t="str">
        <f>IF(AND(_E="A-330-900",'2024'!$J$4="CA",'2024'!$J$2=CC233),'2024DATA'!$J$5,"")</f>
        <v/>
      </c>
      <c r="CD236" s="518" t="str">
        <f>IF(AND(_E="A-330-900",'2024'!$J$4="CA",'2024'!$J$2=CD233),'2024DATA'!$K$5,"")</f>
        <v/>
      </c>
      <c r="CE236" s="518" t="str">
        <f>IF(AND(_E="A-330-900",'2024'!$J$4="CA",'2024'!$J$2=CE233),'2024DATA'!$L$5,"")</f>
        <v/>
      </c>
      <c r="CF236" s="518" t="str">
        <f>IF(AND(_E="A-330-900",'2024'!$J$4="CA",'2024'!$J$2=CF233),'2024DATA'!$M$5,"")</f>
        <v/>
      </c>
      <c r="CG236" s="520" t="str">
        <f>IF(AND(_E="A-330-900",'2024'!$J$4="CA",'2024'!$J$2=CG233),'2024DATA'!$N$5,"")</f>
        <v/>
      </c>
      <c r="CH236" s="940" t="s">
        <v>65</v>
      </c>
      <c r="CI236" s="13" t="s">
        <v>61</v>
      </c>
      <c r="CJ236" s="518" t="str">
        <f>IF(AND(_F="A-330-900",'2024'!$J$4="CA",'2024'!$J$2=CJ233),'2024DATA'!$C$5,"")</f>
        <v/>
      </c>
      <c r="CK236" s="518" t="str">
        <f>IF(AND(_F="A-330-900",'2024'!$J$4="CA",'2024'!$J$2=CK233),'2024DATA'!$D$5,"")</f>
        <v/>
      </c>
      <c r="CL236" s="518" t="str">
        <f>IF(AND(_F="A-330-900",'2024'!$J$4="CA",'2024'!$J$2=CL233),'2024DATA'!$E$5,"")</f>
        <v/>
      </c>
      <c r="CM236" s="518" t="str">
        <f>IF(AND(_F="A-330-900",'2024'!$J$4="CA",'2024'!$J$2=CM233),'2024DATA'!$F$5,"")</f>
        <v/>
      </c>
      <c r="CN236" s="518" t="str">
        <f>IF(AND(_F="A-330-900",'2024'!$J$4="CA",'2024'!$J$2=CN233),'2024DATA'!$G$5,"")</f>
        <v/>
      </c>
      <c r="CO236" s="518" t="str">
        <f>IF(AND(_F="A-330-900",'2024'!$J$4="CA",'2024'!$J$2=CO233),'2024DATA'!$H$5,"")</f>
        <v/>
      </c>
      <c r="CP236" s="518" t="str">
        <f>IF(AND(_F="A-330-900",'2024'!$J$4="CA",'2024'!$J$2=CP233),'2024DATA'!$I$5,"")</f>
        <v/>
      </c>
      <c r="CQ236" s="518" t="str">
        <f>IF(AND(_F="A-330-900",'2024'!$J$4="CA",'2024'!$J$2=CQ233),'2024DATA'!$J$5,"")</f>
        <v/>
      </c>
      <c r="CR236" s="518" t="str">
        <f>IF(AND(_F="A-330-900",'2024'!$J$4="CA",'2024'!$J$2=CR233),'2024DATA'!$K$5,"")</f>
        <v/>
      </c>
      <c r="CS236" s="518" t="str">
        <f>IF(AND(_F="A-330-900",'2024'!$J$4="CA",'2024'!$J$2=CS233),'2024DATA'!$L$5,"")</f>
        <v/>
      </c>
      <c r="CT236" s="518" t="str">
        <f>IF(AND(_F="A-330-900",'2024'!$J$4="CA",'2024'!$J$2=CT233),'2024DATA'!$M$5,"")</f>
        <v/>
      </c>
      <c r="CU236" s="520" t="str">
        <f>IF(AND(_F="A-330-900",'2024'!$J$4="CA",'2024'!$J$2=CU233),'2024DATA'!$N$5,"")</f>
        <v/>
      </c>
    </row>
    <row r="237" spans="16:99" x14ac:dyDescent="0.25">
      <c r="P237" s="940"/>
      <c r="Q237" s="13" t="s">
        <v>62</v>
      </c>
      <c r="R237" s="518" t="str">
        <f>IF(AND(_A="A-330-900",'2024'!$J$4="FO",'2024'!$J$2=R233),'2024DATA'!$C$6,"")</f>
        <v/>
      </c>
      <c r="S237" s="518" t="str">
        <f>IF(AND(_A="A-330-900",'2024'!$J$4="FO",'2024'!$J$2=S233),'2024DATA'!$D$6,"")</f>
        <v/>
      </c>
      <c r="T237" s="518" t="str">
        <f>IF(AND(_A="A-330-900",'2024'!$J$4="FO",'2024'!$J$2=T233),'2024DATA'!$E$6,"")</f>
        <v/>
      </c>
      <c r="U237" s="518" t="str">
        <f>IF(AND(_A="A-330-900",'2024'!$J$4="FO",'2024'!$J$2=U233),'2024DATA'!$F$6,"")</f>
        <v/>
      </c>
      <c r="V237" s="518" t="str">
        <f>IF(AND(_A="A-330-900",'2024'!$J$4="FO",'2024'!$J$2=V233),'2024DATA'!$G$6,"")</f>
        <v/>
      </c>
      <c r="W237" s="518" t="str">
        <f>IF(AND(_A="A-330-900",'2024'!$J$4="FO",'2024'!$J$2=W233),'2024DATA'!$H$6,"")</f>
        <v/>
      </c>
      <c r="X237" s="518" t="str">
        <f>IF(AND(_A="A-330-900",'2024'!$J$4="FO",'2024'!$J$2=X233),'2024DATA'!$I$6,"")</f>
        <v/>
      </c>
      <c r="Y237" s="518" t="str">
        <f>IF(AND(_A="A-330-900",'2024'!$J$4="FO",'2024'!$J$2=Y233),'2024DATA'!$J$6,"")</f>
        <v/>
      </c>
      <c r="Z237" s="518" t="str">
        <f>IF(AND(_A="A-330-900",'2024'!$J$4="FO",'2024'!$J$2=Z233),'2024DATA'!$K$6,"")</f>
        <v/>
      </c>
      <c r="AA237" s="518" t="str">
        <f>IF(AND(_A="A-330-900",'2024'!$J$4="FO",'2024'!$J$2=AA233),'2024DATA'!$L$6,"")</f>
        <v/>
      </c>
      <c r="AB237" s="518" t="str">
        <f>IF(AND(_A="A-330-900",'2024'!$J$4="FO",'2024'!$J$2=AB233),'2024DATA'!$M$6,"")</f>
        <v/>
      </c>
      <c r="AC237" s="520" t="str">
        <f>IF(AND(_A="A-330-900",'2024'!$J$4="FO",'2024'!$J$2=AC233),'2024DATA'!$N$6,"")</f>
        <v/>
      </c>
      <c r="AD237" s="940"/>
      <c r="AE237" s="13" t="s">
        <v>62</v>
      </c>
      <c r="AF237" s="518" t="str">
        <f>IF(AND(_B="A-330-900",'2024'!$J$4="FO",'2024'!$J$2=AF233),'2024DATA'!$C$6,"")</f>
        <v/>
      </c>
      <c r="AG237" s="518" t="str">
        <f>IF(AND(_B="A-330-900",'2024'!$J$4="FO",'2024'!$J$2=AG233),'2024DATA'!$D$6,"")</f>
        <v/>
      </c>
      <c r="AH237" s="518" t="str">
        <f>IF(AND(_B="A-330-900",'2024'!$J$4="FO",'2024'!$J$2=AH233),'2024DATA'!$E$6,"")</f>
        <v/>
      </c>
      <c r="AI237" s="518" t="str">
        <f>IF(AND(_B="A-330-900",'2024'!$J$4="FO",'2024'!$J$2=AI233),'2024DATA'!$F$6,"")</f>
        <v/>
      </c>
      <c r="AJ237" s="518" t="str">
        <f>IF(AND(_B="A-330-900",'2024'!$J$4="FO",'2024'!$J$2=AJ233),'2024DATA'!$G$6,"")</f>
        <v/>
      </c>
      <c r="AK237" s="518" t="str">
        <f>IF(AND(_B="A-330-900",'2024'!$J$4="FO",'2024'!$J$2=AK233),'2024DATA'!$H$6,"")</f>
        <v/>
      </c>
      <c r="AL237" s="518" t="str">
        <f>IF(AND(_B="A-330-900",'2024'!$J$4="FO",'2024'!$J$2=AL233),'2024DATA'!$I$6,"")</f>
        <v/>
      </c>
      <c r="AM237" s="518" t="str">
        <f>IF(AND(_B="A-330-900",'2024'!$J$4="FO",'2024'!$J$2=AM233),'2024DATA'!$J$6,"")</f>
        <v/>
      </c>
      <c r="AN237" s="518" t="str">
        <f>IF(AND(_B="A-330-900",'2024'!$J$4="FO",'2024'!$J$2=AN233),'2024DATA'!$K$6,"")</f>
        <v/>
      </c>
      <c r="AO237" s="518" t="str">
        <f>IF(AND(_B="A-330-900",'2024'!$J$4="FO",'2024'!$J$2=AO233),'2024DATA'!$L$6,"")</f>
        <v/>
      </c>
      <c r="AP237" s="518" t="str">
        <f>IF(AND(_B="A-330-900",'2024'!$J$4="FO",'2024'!$J$2=AP233),'2024DATA'!$M$6,"")</f>
        <v/>
      </c>
      <c r="AQ237" s="520" t="str">
        <f>IF(AND(_B="A-330-900",'2024'!$J$4="FO",'2024'!$J$2=AQ233),'2024DATA'!$N$6,"")</f>
        <v/>
      </c>
      <c r="AR237" s="940"/>
      <c r="AS237" s="13" t="s">
        <v>62</v>
      </c>
      <c r="AT237" s="518" t="str">
        <f>IF(AND(_C="A-330-900",'2024'!$J$4="FO",'2024'!$J$2=AT233),'2024DATA'!$C$6,"")</f>
        <v/>
      </c>
      <c r="AU237" s="518" t="str">
        <f>IF(AND(_C="A-330-900",'2024'!$J$4="FO",'2024'!$J$2=AU233),'2024DATA'!$D$6,"")</f>
        <v/>
      </c>
      <c r="AV237" s="518" t="str">
        <f>IF(AND(_C="A-330-900",'2024'!$J$4="FO",'2024'!$J$2=AV233),'2024DATA'!$E$6,"")</f>
        <v/>
      </c>
      <c r="AW237" s="518" t="str">
        <f>IF(AND(_C="A-330-900",'2024'!$J$4="FO",'2024'!$J$2=AW233),'2024DATA'!$F$6,"")</f>
        <v/>
      </c>
      <c r="AX237" s="518" t="str">
        <f>IF(AND(_C="A-330-900",'2024'!$J$4="FO",'2024'!$J$2=AX233),'2024DATA'!$G$6,"")</f>
        <v/>
      </c>
      <c r="AY237" s="518" t="str">
        <f>IF(AND(_C="A-330-900",'2024'!$J$4="FO",'2024'!$J$2=AY233),'2024DATA'!$H$6,"")</f>
        <v/>
      </c>
      <c r="AZ237" s="518" t="str">
        <f>IF(AND(_C="A-330-900",'2024'!$J$4="FO",'2024'!$J$2=AZ233),'2024DATA'!$I$6,"")</f>
        <v/>
      </c>
      <c r="BA237" s="518" t="str">
        <f>IF(AND(_C="A-330-900",'2024'!$J$4="FO",'2024'!$J$2=BA233),'2024DATA'!$J$6,"")</f>
        <v/>
      </c>
      <c r="BB237" s="518" t="str">
        <f>IF(AND(_C="A-330-900",'2024'!$J$4="FO",'2024'!$J$2=BB233),'2024DATA'!$K$6,"")</f>
        <v/>
      </c>
      <c r="BC237" s="518" t="str">
        <f>IF(AND(_C="A-330-900",'2024'!$J$4="FO",'2024'!$J$2=BC233),'2024DATA'!$L$6,"")</f>
        <v/>
      </c>
      <c r="BD237" s="518" t="str">
        <f>IF(AND(_C="A-330-900",'2024'!$J$4="FO",'2024'!$J$2=BD233),'2024DATA'!$M$6,"")</f>
        <v/>
      </c>
      <c r="BE237" s="520" t="str">
        <f>IF(AND(_C="A-330-900",'2024'!$J$4="FO",'2024'!$J$2=BE233),'2024DATA'!$N$6,"")</f>
        <v/>
      </c>
      <c r="BF237" s="940"/>
      <c r="BG237" s="13" t="s">
        <v>62</v>
      </c>
      <c r="BH237" s="518" t="str">
        <f>IF(AND(_D="A-330-900",'2024'!$J$4="FO",'2024'!$J$2=BH233),'2024DATA'!$C$6,"")</f>
        <v/>
      </c>
      <c r="BI237" s="518" t="str">
        <f>IF(AND(_D="A-330-900",'2024'!$J$4="FO",'2024'!$J$2=BI233),'2024DATA'!$D$6,"")</f>
        <v/>
      </c>
      <c r="BJ237" s="518" t="str">
        <f>IF(AND(_D="A-330-900",'2024'!$J$4="FO",'2024'!$J$2=BJ233),'2024DATA'!$E$6,"")</f>
        <v/>
      </c>
      <c r="BK237" s="518" t="str">
        <f>IF(AND(_D="A-330-900",'2024'!$J$4="FO",'2024'!$J$2=BK233),'2024DATA'!$F$6,"")</f>
        <v/>
      </c>
      <c r="BL237" s="518" t="str">
        <f>IF(AND(_D="A-330-900",'2024'!$J$4="FO",'2024'!$J$2=BL233),'2024DATA'!$G$6,"")</f>
        <v/>
      </c>
      <c r="BM237" s="518" t="str">
        <f>IF(AND(_D="A-330-900",'2024'!$J$4="FO",'2024'!$J$2=BM233),'2024DATA'!$H$6,"")</f>
        <v/>
      </c>
      <c r="BN237" s="518" t="str">
        <f>IF(AND(_D="A-330-900",'2024'!$J$4="FO",'2024'!$J$2=BN233),'2024DATA'!$I$6,"")</f>
        <v/>
      </c>
      <c r="BO237" s="518" t="str">
        <f>IF(AND(_D="A-330-900",'2024'!$J$4="FO",'2024'!$J$2=BO233),'2024DATA'!$J$6,"")</f>
        <v/>
      </c>
      <c r="BP237" s="518" t="str">
        <f>IF(AND(_D="A-330-900",'2024'!$J$4="FO",'2024'!$J$2=BP233),'2024DATA'!$K$6,"")</f>
        <v/>
      </c>
      <c r="BQ237" s="518" t="str">
        <f>IF(AND(_D="A-330-900",'2024'!$J$4="FO",'2024'!$J$2=BQ233),'2024DATA'!$L$6,"")</f>
        <v/>
      </c>
      <c r="BR237" s="518" t="str">
        <f>IF(AND(_D="A-330-900",'2024'!$J$4="FO",'2024'!$J$2=BR233),'2024DATA'!$M$6,"")</f>
        <v/>
      </c>
      <c r="BS237" s="520" t="str">
        <f>IF(AND(_D="A-330-900",'2024'!$J$4="FO",'2024'!$J$2=BS233),'2024DATA'!$N$6,"")</f>
        <v/>
      </c>
      <c r="BT237" s="940"/>
      <c r="BU237" s="13" t="s">
        <v>62</v>
      </c>
      <c r="BV237" s="518" t="str">
        <f>IF(AND(_E="A-330-900",'2024'!$J$4="FO",'2024'!$J$2=BV233),'2024DATA'!$C$6,"")</f>
        <v/>
      </c>
      <c r="BW237" s="518" t="str">
        <f>IF(AND(_E="A-330-900",'2024'!$J$4="FO",'2024'!$J$2=BW233),'2024DATA'!$D$6,"")</f>
        <v/>
      </c>
      <c r="BX237" s="518" t="str">
        <f>IF(AND(_E="A-330-900",'2024'!$J$4="FO",'2024'!$J$2=BX233),'2024DATA'!$E$6,"")</f>
        <v/>
      </c>
      <c r="BY237" s="518" t="str">
        <f>IF(AND(_E="A-330-900",'2024'!$J$4="FO",'2024'!$J$2=BY233),'2024DATA'!$F$6,"")</f>
        <v/>
      </c>
      <c r="BZ237" s="518" t="str">
        <f>IF(AND(_E="A-330-900",'2024'!$J$4="FO",'2024'!$J$2=BZ233),'2024DATA'!$G$6,"")</f>
        <v/>
      </c>
      <c r="CA237" s="518" t="str">
        <f>IF(AND(_E="A-330-900",'2024'!$J$4="FO",'2024'!$J$2=CA233),'2024DATA'!$H$6,"")</f>
        <v/>
      </c>
      <c r="CB237" s="518" t="str">
        <f>IF(AND(_E="A-330-900",'2024'!$J$4="FO",'2024'!$J$2=CB233),'2024DATA'!$I$6,"")</f>
        <v/>
      </c>
      <c r="CC237" s="518" t="str">
        <f>IF(AND(_E="A-330-900",'2024'!$J$4="FO",'2024'!$J$2=CC233),'2024DATA'!$J$6,"")</f>
        <v/>
      </c>
      <c r="CD237" s="518" t="str">
        <f>IF(AND(_E="A-330-900",'2024'!$J$4="FO",'2024'!$J$2=CD233),'2024DATA'!$K$6,"")</f>
        <v/>
      </c>
      <c r="CE237" s="518" t="str">
        <f>IF(AND(_E="A-330-900",'2024'!$J$4="FO",'2024'!$J$2=CE233),'2024DATA'!$L$6,"")</f>
        <v/>
      </c>
      <c r="CF237" s="518" t="str">
        <f>IF(AND(_E="A-330-900",'2024'!$J$4="FO",'2024'!$J$2=CF233),'2024DATA'!$M$6,"")</f>
        <v/>
      </c>
      <c r="CG237" s="520" t="str">
        <f>IF(AND(_E="A-330-900",'2024'!$J$4="FO",'2024'!$J$2=CG233),'2024DATA'!$N$6,"")</f>
        <v/>
      </c>
      <c r="CH237" s="940"/>
      <c r="CI237" s="13" t="s">
        <v>62</v>
      </c>
      <c r="CJ237" s="518" t="str">
        <f>IF(AND(_F="A-330-900",'2024'!$J$4="FO",'2024'!$J$2=CJ233),'2024DATA'!$C$6,"")</f>
        <v/>
      </c>
      <c r="CK237" s="518" t="str">
        <f>IF(AND(_F="A-330-900",'2024'!$J$4="FO",'2024'!$J$2=CK233),'2024DATA'!$D$6,"")</f>
        <v/>
      </c>
      <c r="CL237" s="518" t="str">
        <f>IF(AND(_F="A-330-900",'2024'!$J$4="FO",'2024'!$J$2=CL233),'2024DATA'!$E$6,"")</f>
        <v/>
      </c>
      <c r="CM237" s="518" t="str">
        <f>IF(AND(_F="A-330-900",'2024'!$J$4="FO",'2024'!$J$2=CM233),'2024DATA'!$F$6,"")</f>
        <v/>
      </c>
      <c r="CN237" s="518" t="str">
        <f>IF(AND(_F="A-330-900",'2024'!$J$4="FO",'2024'!$J$2=CN233),'2024DATA'!$G$6,"")</f>
        <v/>
      </c>
      <c r="CO237" s="518" t="str">
        <f>IF(AND(_F="A-330-900",'2024'!$J$4="FO",'2024'!$J$2=CO233),'2024DATA'!$H$6,"")</f>
        <v/>
      </c>
      <c r="CP237" s="518" t="str">
        <f>IF(AND(_F="A-330-900",'2024'!$J$4="FO",'2024'!$J$2=CP233),'2024DATA'!$I$6,"")</f>
        <v/>
      </c>
      <c r="CQ237" s="518" t="str">
        <f>IF(AND(_F="A-330-900",'2024'!$J$4="FO",'2024'!$J$2=CQ233),'2024DATA'!$J$6,"")</f>
        <v/>
      </c>
      <c r="CR237" s="518" t="str">
        <f>IF(AND(_F="A-330-900",'2024'!$J$4="FO",'2024'!$J$2=CR233),'2024DATA'!$K$6,"")</f>
        <v/>
      </c>
      <c r="CS237" s="518" t="str">
        <f>IF(AND(_F="A-330-900",'2024'!$J$4="FO",'2024'!$J$2=CS233),'2024DATA'!$L$6,"")</f>
        <v/>
      </c>
      <c r="CT237" s="518" t="str">
        <f>IF(AND(_F="A-330-900",'2024'!$J$4="FO",'2024'!$J$2=CT233),'2024DATA'!$M$6,"")</f>
        <v/>
      </c>
      <c r="CU237" s="520" t="str">
        <f>IF(AND(_F="A-330-900",'2024'!$J$4="FO",'2024'!$J$2=CU233),'2024DATA'!$N$6,"")</f>
        <v/>
      </c>
    </row>
    <row r="238" spans="16:99" x14ac:dyDescent="0.25">
      <c r="P238" s="940" t="s">
        <v>64</v>
      </c>
      <c r="Q238" s="13" t="s">
        <v>61</v>
      </c>
      <c r="R238" s="518" t="str">
        <f>IF(AND(_A="A-330-300",'2024'!$J$4="CA",'2024'!$J$2=R233),'2024DATA'!$C$7,"")</f>
        <v/>
      </c>
      <c r="S238" s="518" t="str">
        <f>IF(AND(_A="A-330-300",'2024'!$J$4="CA",'2024'!$J$2=S233),'2024DATA'!$D$7,"")</f>
        <v/>
      </c>
      <c r="T238" s="518" t="str">
        <f>IF(AND(_A="A-330-300",'2024'!$J$4="CA",'2024'!$J$2=T233),'2024DATA'!$E$7,"")</f>
        <v/>
      </c>
      <c r="U238" s="518" t="str">
        <f>IF(AND(_A="A-330-300",'2024'!$J$4="CA",'2024'!$J$2=U233),'2024DATA'!$F$7,"")</f>
        <v/>
      </c>
      <c r="V238" s="518" t="str">
        <f>IF(AND(_A="A-330-300",'2024'!$J$4="CA",'2024'!$J$2=V233),'2024DATA'!$G$7,"")</f>
        <v/>
      </c>
      <c r="W238" s="518" t="str">
        <f>IF(AND(_A="A-330-300",'2024'!$J$4="CA",'2024'!$J$2=W233),'2024DATA'!$H$7,"")</f>
        <v/>
      </c>
      <c r="X238" s="518" t="str">
        <f>IF(AND(_A="A-330-300",'2024'!$J$4="CA",'2024'!$J$2=X233),'2024DATA'!$I$7,"")</f>
        <v/>
      </c>
      <c r="Y238" s="518" t="str">
        <f>IF(AND(_A="A-330-300",'2024'!$J$4="CA",'2024'!$J$2=Y233),'2024DATA'!$J$7,"")</f>
        <v/>
      </c>
      <c r="Z238" s="518" t="str">
        <f>IF(AND(_A="A-330-300",'2024'!$J$4="CA",'2024'!$J$2=Z233),'2024DATA'!$K$7,"")</f>
        <v/>
      </c>
      <c r="AA238" s="518" t="str">
        <f>IF(AND(_A="A-330-300",'2024'!$J$4="CA",'2024'!$J$2=AA233),'2024DATA'!$L$7,"")</f>
        <v/>
      </c>
      <c r="AB238" s="518" t="str">
        <f>IF(AND(_A="A-330-300",'2024'!$J$4="CA",'2024'!$J$2=AB233),'2024DATA'!$M$7,"")</f>
        <v/>
      </c>
      <c r="AC238" s="520" t="str">
        <f>IF(AND(_A="A-330-300",'2024'!$J$4="CA",'2024'!$J$2=AC233),'2024DATA'!$N$7,"")</f>
        <v/>
      </c>
      <c r="AD238" s="940" t="s">
        <v>64</v>
      </c>
      <c r="AE238" s="13" t="s">
        <v>61</v>
      </c>
      <c r="AF238" s="518" t="str">
        <f>IF(AND(_B="A-330-300",'2024'!$J$4="CA",'2024'!$J$2=AF233),'2024DATA'!$C$7,"")</f>
        <v/>
      </c>
      <c r="AG238" s="518" t="str">
        <f>IF(AND(_B="A-330-300",'2024'!$J$4="CA",'2024'!$J$2=AG233),'2024DATA'!$D$7,"")</f>
        <v/>
      </c>
      <c r="AH238" s="518" t="str">
        <f>IF(AND(_B="A-330-300",'2024'!$J$4="CA",'2024'!$J$2=AH233),'2024DATA'!$E$7,"")</f>
        <v/>
      </c>
      <c r="AI238" s="518" t="str">
        <f>IF(AND(_B="A-330-300",'2024'!$J$4="CA",'2024'!$J$2=AI233),'2024DATA'!$F$7,"")</f>
        <v/>
      </c>
      <c r="AJ238" s="518" t="str">
        <f>IF(AND(_B="A-330-300",'2024'!$J$4="CA",'2024'!$J$2=AJ233),'2024DATA'!$G$7,"")</f>
        <v/>
      </c>
      <c r="AK238" s="518" t="str">
        <f>IF(AND(_B="A-330-300",'2024'!$J$4="CA",'2024'!$J$2=AK233),'2024DATA'!$H$7,"")</f>
        <v/>
      </c>
      <c r="AL238" s="518" t="str">
        <f>IF(AND(_B="A-330-300",'2024'!$J$4="CA",'2024'!$J$2=AL233),'2024DATA'!$I$7,"")</f>
        <v/>
      </c>
      <c r="AM238" s="518" t="str">
        <f>IF(AND(_B="A-330-300",'2024'!$J$4="CA",'2024'!$J$2=AM233),'2024DATA'!$J$7,"")</f>
        <v/>
      </c>
      <c r="AN238" s="518" t="str">
        <f>IF(AND(_B="A-330-300",'2024'!$J$4="CA",'2024'!$J$2=AN233),'2024DATA'!$K$7,"")</f>
        <v/>
      </c>
      <c r="AO238" s="518" t="str">
        <f>IF(AND(_B="A-330-300",'2024'!$J$4="CA",'2024'!$J$2=AO233),'2024DATA'!$L$7,"")</f>
        <v/>
      </c>
      <c r="AP238" s="518" t="str">
        <f>IF(AND(_B="A-330-300",'2024'!$J$4="CA",'2024'!$J$2=AP233),'2024DATA'!$M$7,"")</f>
        <v/>
      </c>
      <c r="AQ238" s="520" t="str">
        <f>IF(AND(_B="A-330-300",'2024'!$J$4="CA",'2024'!$J$2=AQ233),'2024DATA'!$N$7,"")</f>
        <v/>
      </c>
      <c r="AR238" s="940" t="s">
        <v>64</v>
      </c>
      <c r="AS238" s="13" t="s">
        <v>61</v>
      </c>
      <c r="AT238" s="518" t="str">
        <f>IF(AND(_C="A-330-300",'2024'!$J$4="CA",'2024'!$J$2=AT233),'2024DATA'!$C$7,"")</f>
        <v/>
      </c>
      <c r="AU238" s="518" t="str">
        <f>IF(AND(_C="A-330-300",'2024'!$J$4="CA",'2024'!$J$2=AU233),'2024DATA'!$D$7,"")</f>
        <v/>
      </c>
      <c r="AV238" s="518" t="str">
        <f>IF(AND(_C="A-330-300",'2024'!$J$4="CA",'2024'!$J$2=AV233),'2024DATA'!$E$7,"")</f>
        <v/>
      </c>
      <c r="AW238" s="518" t="str">
        <f>IF(AND(_C="A-330-300",'2024'!$J$4="CA",'2024'!$J$2=AW233),'2024DATA'!$F$7,"")</f>
        <v/>
      </c>
      <c r="AX238" s="518" t="str">
        <f>IF(AND(_C="A-330-300",'2024'!$J$4="CA",'2024'!$J$2=AX233),'2024DATA'!$G$7,"")</f>
        <v/>
      </c>
      <c r="AY238" s="518" t="str">
        <f>IF(AND(_C="A-330-300",'2024'!$J$4="CA",'2024'!$J$2=AY233),'2024DATA'!$H$7,"")</f>
        <v/>
      </c>
      <c r="AZ238" s="518" t="str">
        <f>IF(AND(_C="A-330-300",'2024'!$J$4="CA",'2024'!$J$2=AZ233),'2024DATA'!$I$7,"")</f>
        <v/>
      </c>
      <c r="BA238" s="518" t="str">
        <f>IF(AND(_C="A-330-300",'2024'!$J$4="CA",'2024'!$J$2=BA233),'2024DATA'!$J$7,"")</f>
        <v/>
      </c>
      <c r="BB238" s="518" t="str">
        <f>IF(AND(_C="A-330-300",'2024'!$J$4="CA",'2024'!$J$2=BB233),'2024DATA'!$K$7,"")</f>
        <v/>
      </c>
      <c r="BC238" s="518" t="str">
        <f>IF(AND(_C="A-330-300",'2024'!$J$4="CA",'2024'!$J$2=BC233),'2024DATA'!$L$7,"")</f>
        <v/>
      </c>
      <c r="BD238" s="518" t="str">
        <f>IF(AND(_C="A-330-300",'2024'!$J$4="CA",'2024'!$J$2=BD233),'2024DATA'!$M$7,"")</f>
        <v/>
      </c>
      <c r="BE238" s="520" t="str">
        <f>IF(AND(_C="A-330-300",'2024'!$J$4="CA",'2024'!$J$2=BE233),'2024DATA'!$N$7,"")</f>
        <v/>
      </c>
      <c r="BF238" s="940" t="s">
        <v>64</v>
      </c>
      <c r="BG238" s="13" t="s">
        <v>61</v>
      </c>
      <c r="BH238" s="518" t="str">
        <f>IF(AND(_D="A-330-300",'2024'!$J$4="CA",'2024'!$J$2=BH233),'2024DATA'!$C$7,"")</f>
        <v/>
      </c>
      <c r="BI238" s="518" t="str">
        <f>IF(AND(_D="A-330-300",'2024'!$J$4="CA",'2024'!$J$2=BI233),'2024DATA'!$D$7,"")</f>
        <v/>
      </c>
      <c r="BJ238" s="518" t="str">
        <f>IF(AND(_D="A-330-300",'2024'!$J$4="CA",'2024'!$J$2=BJ233),'2024DATA'!$E$7,"")</f>
        <v/>
      </c>
      <c r="BK238" s="518" t="str">
        <f>IF(AND(_D="A-330-300",'2024'!$J$4="CA",'2024'!$J$2=BK233),'2024DATA'!$F$7,"")</f>
        <v/>
      </c>
      <c r="BL238" s="518" t="str">
        <f>IF(AND(_D="A-330-300",'2024'!$J$4="CA",'2024'!$J$2=BL233),'2024DATA'!$G$7,"")</f>
        <v/>
      </c>
      <c r="BM238" s="518" t="str">
        <f>IF(AND(_D="A-330-300",'2024'!$J$4="CA",'2024'!$J$2=BM233),'2024DATA'!$H$7,"")</f>
        <v/>
      </c>
      <c r="BN238" s="518" t="str">
        <f>IF(AND(_D="A-330-300",'2024'!$J$4="CA",'2024'!$J$2=BN233),'2024DATA'!$I$7,"")</f>
        <v/>
      </c>
      <c r="BO238" s="518" t="str">
        <f>IF(AND(_D="A-330-300",'2024'!$J$4="CA",'2024'!$J$2=BO233),'2024DATA'!$J$7,"")</f>
        <v/>
      </c>
      <c r="BP238" s="518" t="str">
        <f>IF(AND(_D="A-330-300",'2024'!$J$4="CA",'2024'!$J$2=BP233),'2024DATA'!$K$7,"")</f>
        <v/>
      </c>
      <c r="BQ238" s="518" t="str">
        <f>IF(AND(_D="A-330-300",'2024'!$J$4="CA",'2024'!$J$2=BQ233),'2024DATA'!$L$7,"")</f>
        <v/>
      </c>
      <c r="BR238" s="518" t="str">
        <f>IF(AND(_D="A-330-300",'2024'!$J$4="CA",'2024'!$J$2=BR233),'2024DATA'!$M$7,"")</f>
        <v/>
      </c>
      <c r="BS238" s="520" t="str">
        <f>IF(AND(_D="A-330-300",'2024'!$J$4="CA",'2024'!$J$2=BS233),'2024DATA'!$N$7,"")</f>
        <v/>
      </c>
      <c r="BT238" s="940" t="s">
        <v>64</v>
      </c>
      <c r="BU238" s="13" t="s">
        <v>61</v>
      </c>
      <c r="BV238" s="518" t="str">
        <f>IF(AND(_E="A-330-300",'2024'!$J$4="CA",'2024'!$J$2=BV233),'2024DATA'!$C$7,"")</f>
        <v/>
      </c>
      <c r="BW238" s="518" t="str">
        <f>IF(AND(_E="A-330-300",'2024'!$J$4="CA",'2024'!$J$2=BW233),'2024DATA'!$D$7,"")</f>
        <v/>
      </c>
      <c r="BX238" s="518" t="str">
        <f>IF(AND(_E="A-330-300",'2024'!$J$4="CA",'2024'!$J$2=BX233),'2024DATA'!$E$7,"")</f>
        <v/>
      </c>
      <c r="BY238" s="518" t="str">
        <f>IF(AND(_E="A-330-300",'2024'!$J$4="CA",'2024'!$J$2=BY233),'2024DATA'!$F$7,"")</f>
        <v/>
      </c>
      <c r="BZ238" s="518" t="str">
        <f>IF(AND(_E="A-330-300",'2024'!$J$4="CA",'2024'!$J$2=BZ233),'2024DATA'!$G$7,"")</f>
        <v/>
      </c>
      <c r="CA238" s="518" t="str">
        <f>IF(AND(_E="A-330-300",'2024'!$J$4="CA",'2024'!$J$2=CA233),'2024DATA'!$H$7,"")</f>
        <v/>
      </c>
      <c r="CB238" s="518" t="str">
        <f>IF(AND(_E="A-330-300",'2024'!$J$4="CA",'2024'!$J$2=CB233),'2024DATA'!$I$7,"")</f>
        <v/>
      </c>
      <c r="CC238" s="518" t="str">
        <f>IF(AND(_E="A-330-300",'2024'!$J$4="CA",'2024'!$J$2=CC233),'2024DATA'!$J$7,"")</f>
        <v/>
      </c>
      <c r="CD238" s="518" t="str">
        <f>IF(AND(_E="A-330-300",'2024'!$J$4="CA",'2024'!$J$2=CD233),'2024DATA'!$K$7,"")</f>
        <v/>
      </c>
      <c r="CE238" s="518" t="str">
        <f>IF(AND(_E="A-330-300",'2024'!$J$4="CA",'2024'!$J$2=CE233),'2024DATA'!$L$7,"")</f>
        <v/>
      </c>
      <c r="CF238" s="518" t="str">
        <f>IF(AND(_E="A-330-300",'2024'!$J$4="CA",'2024'!$J$2=CF233),'2024DATA'!$M$7,"")</f>
        <v/>
      </c>
      <c r="CG238" s="520" t="str">
        <f>IF(AND(_E="A-330-300",'2024'!$J$4="CA",'2024'!$J$2=CG233),'2024DATA'!$N$7,"")</f>
        <v/>
      </c>
      <c r="CH238" s="940" t="s">
        <v>64</v>
      </c>
      <c r="CI238" s="13" t="s">
        <v>61</v>
      </c>
      <c r="CJ238" s="518" t="str">
        <f>IF(AND(_F="A-330-300",'2024'!$J$4="CA",'2024'!$J$2=CJ233),'2024DATA'!$C$7,"")</f>
        <v/>
      </c>
      <c r="CK238" s="518" t="str">
        <f>IF(AND(_F="A-330-300",'2024'!$J$4="CA",'2024'!$J$2=CK233),'2024DATA'!$D$7,"")</f>
        <v/>
      </c>
      <c r="CL238" s="518" t="str">
        <f>IF(AND(_F="A-330-300",'2024'!$J$4="CA",'2024'!$J$2=CL233),'2024DATA'!$E$7,"")</f>
        <v/>
      </c>
      <c r="CM238" s="518" t="str">
        <f>IF(AND(_F="A-330-300",'2024'!$J$4="CA",'2024'!$J$2=CM233),'2024DATA'!$F$7,"")</f>
        <v/>
      </c>
      <c r="CN238" s="518" t="str">
        <f>IF(AND(_F="A-330-300",'2024'!$J$4="CA",'2024'!$J$2=CN233),'2024DATA'!$G$7,"")</f>
        <v/>
      </c>
      <c r="CO238" s="518" t="str">
        <f>IF(AND(_F="A-330-300",'2024'!$J$4="CA",'2024'!$J$2=CO233),'2024DATA'!$H$7,"")</f>
        <v/>
      </c>
      <c r="CP238" s="518" t="str">
        <f>IF(AND(_F="A-330-300",'2024'!$J$4="CA",'2024'!$J$2=CP233),'2024DATA'!$I$7,"")</f>
        <v/>
      </c>
      <c r="CQ238" s="518" t="str">
        <f>IF(AND(_F="A-330-300",'2024'!$J$4="CA",'2024'!$J$2=CQ233),'2024DATA'!$J$7,"")</f>
        <v/>
      </c>
      <c r="CR238" s="518" t="str">
        <f>IF(AND(_F="A-330-300",'2024'!$J$4="CA",'2024'!$J$2=CR233),'2024DATA'!$K$7,"")</f>
        <v/>
      </c>
      <c r="CS238" s="518" t="str">
        <f>IF(AND(_F="A-330-300",'2024'!$J$4="CA",'2024'!$J$2=CS233),'2024DATA'!$L$7,"")</f>
        <v/>
      </c>
      <c r="CT238" s="518" t="str">
        <f>IF(AND(_F="A-330-300",'2024'!$J$4="CA",'2024'!$J$2=CT233),'2024DATA'!$M$7,"")</f>
        <v/>
      </c>
      <c r="CU238" s="520" t="str">
        <f>IF(AND(_F="A-330-300",'2024'!$J$4="CA",'2024'!$J$2=CU233),'2024DATA'!$N$7,"")</f>
        <v/>
      </c>
    </row>
    <row r="239" spans="16:99" x14ac:dyDescent="0.25">
      <c r="P239" s="940"/>
      <c r="Q239" s="13" t="s">
        <v>62</v>
      </c>
      <c r="R239" s="518" t="str">
        <f>IF(AND(_A="A-330-300",'2024'!$J$4="FO",'2024'!$J$2=R233),'2024DATA'!$C$8,"")</f>
        <v/>
      </c>
      <c r="S239" s="518" t="str">
        <f>IF(AND(_A="A-330-300",'2024'!$J$4="FO",'2024'!$J$2=S233),'2024DATA'!$D$8,"")</f>
        <v/>
      </c>
      <c r="T239" s="518" t="str">
        <f>IF(AND(_A="A-330-300",'2024'!$J$4="FO",'2024'!$J$2=T233),'2024DATA'!$E$8,"")</f>
        <v/>
      </c>
      <c r="U239" s="518" t="str">
        <f>IF(AND(_A="A-330-300",'2024'!$J$4="FO",'2024'!$J$2=U233),'2024DATA'!$F$8,"")</f>
        <v/>
      </c>
      <c r="V239" s="518" t="str">
        <f>IF(AND(_A="A-330-300",'2024'!$J$4="FO",'2024'!$J$2=V233),'2024DATA'!$G$8,"")</f>
        <v/>
      </c>
      <c r="W239" s="518" t="str">
        <f>IF(AND(_A="A-330-300",'2024'!$J$4="FO",'2024'!$J$2=W233),'2024DATA'!$H$8,"")</f>
        <v/>
      </c>
      <c r="X239" s="518" t="str">
        <f>IF(AND(_A="A-330-300",'2024'!$J$4="FO",'2024'!$J$2=X233),'2024DATA'!$I$8,"")</f>
        <v/>
      </c>
      <c r="Y239" s="518" t="str">
        <f>IF(AND(_A="A-330-300",'2024'!$J$4="FO",'2024'!$J$2=Y233),'2024DATA'!$J$8,"")</f>
        <v/>
      </c>
      <c r="Z239" s="518" t="str">
        <f>IF(AND(_A="A-330-300",'2024'!$J$4="FO",'2024'!$J$2=Z233),'2024DATA'!$K$8,"")</f>
        <v/>
      </c>
      <c r="AA239" s="518" t="str">
        <f>IF(AND(_A="A-330-300",'2024'!$J$4="FO",'2024'!$J$2=AA233),'2024DATA'!$L$8,"")</f>
        <v/>
      </c>
      <c r="AB239" s="518" t="str">
        <f>IF(AND(_A="A-330-300",'2024'!$J$4="FO",'2024'!$J$2=AB233),'2024DATA'!$M$8,"")</f>
        <v/>
      </c>
      <c r="AC239" s="520" t="str">
        <f>IF(AND(_A="A-330-300",'2024'!$J$4="FO",'2024'!$J$2=AC233),'2024DATA'!$N$8,"")</f>
        <v/>
      </c>
      <c r="AD239" s="940"/>
      <c r="AE239" s="13" t="s">
        <v>62</v>
      </c>
      <c r="AF239" s="518" t="str">
        <f>IF(AND(_B="A-330-300",'2024'!$J$4="FO",'2024'!$J$2=AF233),'2024DATA'!$C$8,"")</f>
        <v/>
      </c>
      <c r="AG239" s="518" t="str">
        <f>IF(AND(_B="A-330-300",'2024'!$J$4="FO",'2024'!$J$2=AG233),'2024DATA'!$D$8,"")</f>
        <v/>
      </c>
      <c r="AH239" s="518" t="str">
        <f>IF(AND(_B="A-330-300",'2024'!$J$4="FO",'2024'!$J$2=AH233),'2024DATA'!$E$8,"")</f>
        <v/>
      </c>
      <c r="AI239" s="518" t="str">
        <f>IF(AND(_B="A-330-300",'2024'!$J$4="FO",'2024'!$J$2=AI233),'2024DATA'!$F$8,"")</f>
        <v/>
      </c>
      <c r="AJ239" s="518" t="str">
        <f>IF(AND(_B="A-330-300",'2024'!$J$4="FO",'2024'!$J$2=AJ233),'2024DATA'!$G$8,"")</f>
        <v/>
      </c>
      <c r="AK239" s="518" t="str">
        <f>IF(AND(_B="A-330-300",'2024'!$J$4="FO",'2024'!$J$2=AK233),'2024DATA'!$H$8,"")</f>
        <v/>
      </c>
      <c r="AL239" s="518" t="str">
        <f>IF(AND(_B="A-330-300",'2024'!$J$4="FO",'2024'!$J$2=AL233),'2024DATA'!$I$8,"")</f>
        <v/>
      </c>
      <c r="AM239" s="518" t="str">
        <f>IF(AND(_B="A-330-300",'2024'!$J$4="FO",'2024'!$J$2=AM233),'2024DATA'!$J$8,"")</f>
        <v/>
      </c>
      <c r="AN239" s="518" t="str">
        <f>IF(AND(_B="A-330-300",'2024'!$J$4="FO",'2024'!$J$2=AN233),'2024DATA'!$K$8,"")</f>
        <v/>
      </c>
      <c r="AO239" s="518" t="str">
        <f>IF(AND(_B="A-330-300",'2024'!$J$4="FO",'2024'!$J$2=AO233),'2024DATA'!$L$8,"")</f>
        <v/>
      </c>
      <c r="AP239" s="518" t="str">
        <f>IF(AND(_B="A-330-300",'2024'!$J$4="FO",'2024'!$J$2=AP233),'2024DATA'!$M$8,"")</f>
        <v/>
      </c>
      <c r="AQ239" s="520" t="str">
        <f>IF(AND(_B="A-330-300",'2024'!$J$4="FO",'2024'!$J$2=AQ233),'2024DATA'!$N$8,"")</f>
        <v/>
      </c>
      <c r="AR239" s="940"/>
      <c r="AS239" s="13" t="s">
        <v>62</v>
      </c>
      <c r="AT239" s="518" t="str">
        <f>IF(AND(_C="A-330-300",'2024'!$J$4="FO",'2024'!$J$2=AT233),'2024DATA'!$C$8,"")</f>
        <v/>
      </c>
      <c r="AU239" s="518" t="str">
        <f>IF(AND(_C="A-330-300",'2024'!$J$4="FO",'2024'!$J$2=AU233),'2024DATA'!$D$8,"")</f>
        <v/>
      </c>
      <c r="AV239" s="518" t="str">
        <f>IF(AND(_C="A-330-300",'2024'!$J$4="FO",'2024'!$J$2=AV233),'2024DATA'!$E$8,"")</f>
        <v/>
      </c>
      <c r="AW239" s="518" t="str">
        <f>IF(AND(_C="A-330-300",'2024'!$J$4="FO",'2024'!$J$2=AW233),'2024DATA'!$F$8,"")</f>
        <v/>
      </c>
      <c r="AX239" s="518" t="str">
        <f>IF(AND(_C="A-330-300",'2024'!$J$4="FO",'2024'!$J$2=AX233),'2024DATA'!$G$8,"")</f>
        <v/>
      </c>
      <c r="AY239" s="518" t="str">
        <f>IF(AND(_C="A-330-300",'2024'!$J$4="FO",'2024'!$J$2=AY233),'2024DATA'!$H$8,"")</f>
        <v/>
      </c>
      <c r="AZ239" s="518" t="str">
        <f>IF(AND(_C="A-330-300",'2024'!$J$4="FO",'2024'!$J$2=AZ233),'2024DATA'!$I$8,"")</f>
        <v/>
      </c>
      <c r="BA239" s="518" t="str">
        <f>IF(AND(_C="A-330-300",'2024'!$J$4="FO",'2024'!$J$2=BA233),'2024DATA'!$J$8,"")</f>
        <v/>
      </c>
      <c r="BB239" s="518" t="str">
        <f>IF(AND(_C="A-330-300",'2024'!$J$4="FO",'2024'!$J$2=BB233),'2024DATA'!$K$8,"")</f>
        <v/>
      </c>
      <c r="BC239" s="518" t="str">
        <f>IF(AND(_C="A-330-300",'2024'!$J$4="FO",'2024'!$J$2=BC233),'2024DATA'!$L$8,"")</f>
        <v/>
      </c>
      <c r="BD239" s="518" t="str">
        <f>IF(AND(_C="A-330-300",'2024'!$J$4="FO",'2024'!$J$2=BD233),'2024DATA'!$M$8,"")</f>
        <v/>
      </c>
      <c r="BE239" s="520" t="str">
        <f>IF(AND(_C="A-330-300",'2024'!$J$4="FO",'2024'!$J$2=BE233),'2024DATA'!$N$8,"")</f>
        <v/>
      </c>
      <c r="BF239" s="940"/>
      <c r="BG239" s="13" t="s">
        <v>62</v>
      </c>
      <c r="BH239" s="518" t="str">
        <f>IF(AND(_D="A-330-300",'2024'!$J$4="FO",'2024'!$J$2=BH233),'2024DATA'!$C$8,"")</f>
        <v/>
      </c>
      <c r="BI239" s="518" t="str">
        <f>IF(AND(_D="A-330-300",'2024'!$J$4="FO",'2024'!$J$2=BI233),'2024DATA'!$D$8,"")</f>
        <v/>
      </c>
      <c r="BJ239" s="518" t="str">
        <f>IF(AND(_D="A-330-300",'2024'!$J$4="FO",'2024'!$J$2=BJ233),'2024DATA'!$E$8,"")</f>
        <v/>
      </c>
      <c r="BK239" s="518" t="str">
        <f>IF(AND(_D="A-330-300",'2024'!$J$4="FO",'2024'!$J$2=BK233),'2024DATA'!$F$8,"")</f>
        <v/>
      </c>
      <c r="BL239" s="518" t="str">
        <f>IF(AND(_D="A-330-300",'2024'!$J$4="FO",'2024'!$J$2=BL233),'2024DATA'!$G$8,"")</f>
        <v/>
      </c>
      <c r="BM239" s="518" t="str">
        <f>IF(AND(_D="A-330-300",'2024'!$J$4="FO",'2024'!$J$2=BM233),'2024DATA'!$H$8,"")</f>
        <v/>
      </c>
      <c r="BN239" s="518" t="str">
        <f>IF(AND(_D="A-330-300",'2024'!$J$4="FO",'2024'!$J$2=BN233),'2024DATA'!$I$8,"")</f>
        <v/>
      </c>
      <c r="BO239" s="518" t="str">
        <f>IF(AND(_D="A-330-300",'2024'!$J$4="FO",'2024'!$J$2=BO233),'2024DATA'!$J$8,"")</f>
        <v/>
      </c>
      <c r="BP239" s="518" t="str">
        <f>IF(AND(_D="A-330-300",'2024'!$J$4="FO",'2024'!$J$2=BP233),'2024DATA'!$K$8,"")</f>
        <v/>
      </c>
      <c r="BQ239" s="518" t="str">
        <f>IF(AND(_D="A-330-300",'2024'!$J$4="FO",'2024'!$J$2=BQ233),'2024DATA'!$L$8,"")</f>
        <v/>
      </c>
      <c r="BR239" s="518" t="str">
        <f>IF(AND(_D="A-330-300",'2024'!$J$4="FO",'2024'!$J$2=BR233),'2024DATA'!$M$8,"")</f>
        <v/>
      </c>
      <c r="BS239" s="520" t="str">
        <f>IF(AND(_D="A-330-300",'2024'!$J$4="FO",'2024'!$J$2=BS233),'2024DATA'!$N$8,"")</f>
        <v/>
      </c>
      <c r="BT239" s="940"/>
      <c r="BU239" s="13" t="s">
        <v>62</v>
      </c>
      <c r="BV239" s="518" t="str">
        <f>IF(AND(_E="A-330-300",'2024'!$J$4="FO",'2024'!$J$2=BV233),'2024DATA'!$C$8,"")</f>
        <v/>
      </c>
      <c r="BW239" s="518" t="str">
        <f>IF(AND(_E="A-330-300",'2024'!$J$4="FO",'2024'!$J$2=BW233),'2024DATA'!$D$8,"")</f>
        <v/>
      </c>
      <c r="BX239" s="518" t="str">
        <f>IF(AND(_E="A-330-300",'2024'!$J$4="FO",'2024'!$J$2=BX233),'2024DATA'!$E$8,"")</f>
        <v/>
      </c>
      <c r="BY239" s="518" t="str">
        <f>IF(AND(_E="A-330-300",'2024'!$J$4="FO",'2024'!$J$2=BY233),'2024DATA'!$F$8,"")</f>
        <v/>
      </c>
      <c r="BZ239" s="518" t="str">
        <f>IF(AND(_E="A-330-300",'2024'!$J$4="FO",'2024'!$J$2=BZ233),'2024DATA'!$G$8,"")</f>
        <v/>
      </c>
      <c r="CA239" s="518" t="str">
        <f>IF(AND(_E="A-330-300",'2024'!$J$4="FO",'2024'!$J$2=CA233),'2024DATA'!$H$8,"")</f>
        <v/>
      </c>
      <c r="CB239" s="518" t="str">
        <f>IF(AND(_E="A-330-300",'2024'!$J$4="FO",'2024'!$J$2=CB233),'2024DATA'!$I$8,"")</f>
        <v/>
      </c>
      <c r="CC239" s="518" t="str">
        <f>IF(AND(_E="A-330-300",'2024'!$J$4="FO",'2024'!$J$2=CC233),'2024DATA'!$J$8,"")</f>
        <v/>
      </c>
      <c r="CD239" s="518" t="str">
        <f>IF(AND(_E="A-330-300",'2024'!$J$4="FO",'2024'!$J$2=CD233),'2024DATA'!$K$8,"")</f>
        <v/>
      </c>
      <c r="CE239" s="518" t="str">
        <f>IF(AND(_E="A-330-300",'2024'!$J$4="FO",'2024'!$J$2=CE233),'2024DATA'!$L$8,"")</f>
        <v/>
      </c>
      <c r="CF239" s="518" t="str">
        <f>IF(AND(_E="A-330-300",'2024'!$J$4="FO",'2024'!$J$2=CF233),'2024DATA'!$M$8,"")</f>
        <v/>
      </c>
      <c r="CG239" s="520" t="str">
        <f>IF(AND(_E="A-330-300",'2024'!$J$4="FO",'2024'!$J$2=CG233),'2024DATA'!$N$8,"")</f>
        <v/>
      </c>
      <c r="CH239" s="940"/>
      <c r="CI239" s="13" t="s">
        <v>62</v>
      </c>
      <c r="CJ239" s="518" t="str">
        <f>IF(AND(_F="A-330-300",'2024'!$J$4="FO",'2024'!$J$2=CJ233),'2024DATA'!$C$8,"")</f>
        <v/>
      </c>
      <c r="CK239" s="518" t="str">
        <f>IF(AND(_F="A-330-300",'2024'!$J$4="FO",'2024'!$J$2=CK233),'2024DATA'!$D$8,"")</f>
        <v/>
      </c>
      <c r="CL239" s="518" t="str">
        <f>IF(AND(_F="A-330-300",'2024'!$J$4="FO",'2024'!$J$2=CL233),'2024DATA'!$E$8,"")</f>
        <v/>
      </c>
      <c r="CM239" s="518" t="str">
        <f>IF(AND(_F="A-330-300",'2024'!$J$4="FO",'2024'!$J$2=CM233),'2024DATA'!$F$8,"")</f>
        <v/>
      </c>
      <c r="CN239" s="518" t="str">
        <f>IF(AND(_F="A-330-300",'2024'!$J$4="FO",'2024'!$J$2=CN233),'2024DATA'!$G$8,"")</f>
        <v/>
      </c>
      <c r="CO239" s="518" t="str">
        <f>IF(AND(_F="A-330-300",'2024'!$J$4="FO",'2024'!$J$2=CO233),'2024DATA'!$H$8,"")</f>
        <v/>
      </c>
      <c r="CP239" s="518" t="str">
        <f>IF(AND(_F="A-330-300",'2024'!$J$4="FO",'2024'!$J$2=CP233),'2024DATA'!$I$8,"")</f>
        <v/>
      </c>
      <c r="CQ239" s="518" t="str">
        <f>IF(AND(_F="A-330-300",'2024'!$J$4="FO",'2024'!$J$2=CQ233),'2024DATA'!$J$8,"")</f>
        <v/>
      </c>
      <c r="CR239" s="518" t="str">
        <f>IF(AND(_F="A-330-300",'2024'!$J$4="FO",'2024'!$J$2=CR233),'2024DATA'!$K$8,"")</f>
        <v/>
      </c>
      <c r="CS239" s="518" t="str">
        <f>IF(AND(_F="A-330-300",'2024'!$J$4="FO",'2024'!$J$2=CS233),'2024DATA'!$L$8,"")</f>
        <v/>
      </c>
      <c r="CT239" s="518" t="str">
        <f>IF(AND(_F="A-330-300",'2024'!$J$4="FO",'2024'!$J$2=CT233),'2024DATA'!$M$8,"")</f>
        <v/>
      </c>
      <c r="CU239" s="520" t="str">
        <f>IF(AND(_F="A-330-300",'2024'!$J$4="FO",'2024'!$J$2=CU233),'2024DATA'!$N$8,"")</f>
        <v/>
      </c>
    </row>
    <row r="240" spans="16:99" x14ac:dyDescent="0.25">
      <c r="P240" s="940" t="s">
        <v>66</v>
      </c>
      <c r="Q240" s="13" t="s">
        <v>61</v>
      </c>
      <c r="R240" s="518" t="str">
        <f>IF(AND(_A="A-330-200",'2024'!$J$4="CA",'2024'!$J$2=R233),'2024DATA'!$C$9,"")</f>
        <v/>
      </c>
      <c r="S240" s="518" t="str">
        <f>IF(AND(_A="A-330-200",'2024'!$J$4="CA",'2024'!$J$2=S233),'2024DATA'!$D$9,"")</f>
        <v/>
      </c>
      <c r="T240" s="518" t="str">
        <f>IF(AND(_A="A-330-200",'2024'!$J$4="CA",'2024'!$J$2=T233),'2024DATA'!$E$9,"")</f>
        <v/>
      </c>
      <c r="U240" s="518" t="str">
        <f>IF(AND(_A="A-330-200",'2024'!$J$4="CA",'2024'!$J$2=U233),'2024DATA'!$F$9,"")</f>
        <v/>
      </c>
      <c r="V240" s="518" t="str">
        <f>IF(AND(_A="A-330-200",'2024'!$J$4="CA",'2024'!$J$2=V233),'2024DATA'!$G$9,"")</f>
        <v/>
      </c>
      <c r="W240" s="518" t="str">
        <f>IF(AND(_A="A-330-200",'2024'!$J$4="CA",'2024'!$J$2=W233),'2024DATA'!$H$9,"")</f>
        <v/>
      </c>
      <c r="X240" s="518" t="str">
        <f>IF(AND(_A="A-330-200",'2024'!$J$4="CA",'2024'!$J$2=X233),'2024DATA'!$I$9,"")</f>
        <v/>
      </c>
      <c r="Y240" s="518" t="str">
        <f>IF(AND(_A="A-330-200",'2024'!$J$4="CA",'2024'!$J$2=Y233),'2024DATA'!$J$9,"")</f>
        <v/>
      </c>
      <c r="Z240" s="518" t="str">
        <f>IF(AND(_A="A-330-200",'2024'!$J$4="CA",'2024'!$J$2=Z233),'2024DATA'!$K$9,"")</f>
        <v/>
      </c>
      <c r="AA240" s="518" t="str">
        <f>IF(AND(_A="A-330-200",'2024'!$J$4="CA",'2024'!$J$2=AA233),'2024DATA'!$L$9,"")</f>
        <v/>
      </c>
      <c r="AB240" s="518" t="str">
        <f>IF(AND(_A="A-330-200",'2024'!$J$4="CA",'2024'!$J$2=AB233),'2024DATA'!$M$9,"")</f>
        <v/>
      </c>
      <c r="AC240" s="520" t="str">
        <f>IF(AND(_A="A-330-200",'2024'!$J$4="CA",'2024'!$J$2=AC233),'2024DATA'!$N$9,"")</f>
        <v/>
      </c>
      <c r="AD240" s="940" t="s">
        <v>66</v>
      </c>
      <c r="AE240" s="13" t="s">
        <v>61</v>
      </c>
      <c r="AF240" s="518" t="str">
        <f>IF(AND(_B="A-330-200",'2024'!$J$4="CA",'2024'!$J$2=AF233),'2024DATA'!$C$9,"")</f>
        <v/>
      </c>
      <c r="AG240" s="518" t="str">
        <f>IF(AND(_B="A-330-200",'2024'!$J$4="CA",'2024'!$J$2=AG233),'2024DATA'!$D$9,"")</f>
        <v/>
      </c>
      <c r="AH240" s="518" t="str">
        <f>IF(AND(_B="A-330-200",'2024'!$J$4="CA",'2024'!$J$2=AH233),'2024DATA'!$E$9,"")</f>
        <v/>
      </c>
      <c r="AI240" s="518" t="str">
        <f>IF(AND(_B="A-330-200",'2024'!$J$4="CA",'2024'!$J$2=AI233),'2024DATA'!$F$9,"")</f>
        <v/>
      </c>
      <c r="AJ240" s="518" t="str">
        <f>IF(AND(_B="A-330-200",'2024'!$J$4="CA",'2024'!$J$2=AJ233),'2024DATA'!$G$9,"")</f>
        <v/>
      </c>
      <c r="AK240" s="518" t="str">
        <f>IF(AND(_B="A-330-200",'2024'!$J$4="CA",'2024'!$J$2=AK233),'2024DATA'!$H$9,"")</f>
        <v/>
      </c>
      <c r="AL240" s="518" t="str">
        <f>IF(AND(_B="A-330-200",'2024'!$J$4="CA",'2024'!$J$2=AL233),'2024DATA'!$I$9,"")</f>
        <v/>
      </c>
      <c r="AM240" s="518" t="str">
        <f>IF(AND(_B="A-330-200",'2024'!$J$4="CA",'2024'!$J$2=AM233),'2024DATA'!$J$9,"")</f>
        <v/>
      </c>
      <c r="AN240" s="518" t="str">
        <f>IF(AND(_B="A-330-200",'2024'!$J$4="CA",'2024'!$J$2=AN233),'2024DATA'!$K$9,"")</f>
        <v/>
      </c>
      <c r="AO240" s="518" t="str">
        <f>IF(AND(_B="A-330-200",'2024'!$J$4="CA",'2024'!$J$2=AO233),'2024DATA'!$L$9,"")</f>
        <v/>
      </c>
      <c r="AP240" s="518" t="str">
        <f>IF(AND(_B="A-330-200",'2024'!$J$4="CA",'2024'!$J$2=AP233),'2024DATA'!$M$9,"")</f>
        <v/>
      </c>
      <c r="AQ240" s="520" t="str">
        <f>IF(AND(_B="A-330-200",'2024'!$J$4="CA",'2024'!$J$2=AQ233),'2024DATA'!$N$9,"")</f>
        <v/>
      </c>
      <c r="AR240" s="940" t="s">
        <v>66</v>
      </c>
      <c r="AS240" s="13" t="s">
        <v>61</v>
      </c>
      <c r="AT240" s="518" t="str">
        <f>IF(AND(_C="A-330-200",'2024'!$J$4="CA",'2024'!$J$2=AT233),'2024DATA'!$C$9,"")</f>
        <v/>
      </c>
      <c r="AU240" s="518" t="str">
        <f>IF(AND(_C="A-330-200",'2024'!$J$4="CA",'2024'!$J$2=AU233),'2024DATA'!$D$9,"")</f>
        <v/>
      </c>
      <c r="AV240" s="518" t="str">
        <f>IF(AND(_C="A-330-200",'2024'!$J$4="CA",'2024'!$J$2=AV233),'2024DATA'!$E$9,"")</f>
        <v/>
      </c>
      <c r="AW240" s="518" t="str">
        <f>IF(AND(_C="A-330-200",'2024'!$J$4="CA",'2024'!$J$2=AW233),'2024DATA'!$F$9,"")</f>
        <v/>
      </c>
      <c r="AX240" s="518" t="str">
        <f>IF(AND(_C="A-330-200",'2024'!$J$4="CA",'2024'!$J$2=AX233),'2024DATA'!$G$9,"")</f>
        <v/>
      </c>
      <c r="AY240" s="518" t="str">
        <f>IF(AND(_C="A-330-200",'2024'!$J$4="CA",'2024'!$J$2=AY233),'2024DATA'!$H$9,"")</f>
        <v/>
      </c>
      <c r="AZ240" s="518" t="str">
        <f>IF(AND(_C="A-330-200",'2024'!$J$4="CA",'2024'!$J$2=AZ233),'2024DATA'!$I$9,"")</f>
        <v/>
      </c>
      <c r="BA240" s="518" t="str">
        <f>IF(AND(_C="A-330-200",'2024'!$J$4="CA",'2024'!$J$2=BA233),'2024DATA'!$J$9,"")</f>
        <v/>
      </c>
      <c r="BB240" s="518" t="str">
        <f>IF(AND(_C="A-330-200",'2024'!$J$4="CA",'2024'!$J$2=BB233),'2024DATA'!$K$9,"")</f>
        <v/>
      </c>
      <c r="BC240" s="518" t="str">
        <f>IF(AND(_C="A-330-200",'2024'!$J$4="CA",'2024'!$J$2=BC233),'2024DATA'!$L$9,"")</f>
        <v/>
      </c>
      <c r="BD240" s="518" t="str">
        <f>IF(AND(_C="A-330-200",'2024'!$J$4="CA",'2024'!$J$2=BD233),'2024DATA'!$M$9,"")</f>
        <v/>
      </c>
      <c r="BE240" s="520" t="str">
        <f>IF(AND(_C="A-330-200",'2024'!$J$4="CA",'2024'!$J$2=BE233),'2024DATA'!$N$9,"")</f>
        <v/>
      </c>
      <c r="BF240" s="940" t="s">
        <v>66</v>
      </c>
      <c r="BG240" s="13" t="s">
        <v>61</v>
      </c>
      <c r="BH240" s="518" t="str">
        <f>IF(AND(_D="A-330-200",'2024'!$J$4="CA",'2024'!$J$2=BH233),'2024DATA'!$C$9,"")</f>
        <v/>
      </c>
      <c r="BI240" s="518" t="str">
        <f>IF(AND(_D="A-330-200",'2024'!$J$4="CA",'2024'!$J$2=BI233),'2024DATA'!$D$9,"")</f>
        <v/>
      </c>
      <c r="BJ240" s="518" t="str">
        <f>IF(AND(_D="A-330-200",'2024'!$J$4="CA",'2024'!$J$2=BJ233),'2024DATA'!$E$9,"")</f>
        <v/>
      </c>
      <c r="BK240" s="518" t="str">
        <f>IF(AND(_D="A-330-200",'2024'!$J$4="CA",'2024'!$J$2=BK233),'2024DATA'!$F$9,"")</f>
        <v/>
      </c>
      <c r="BL240" s="518" t="str">
        <f>IF(AND(_D="A-330-200",'2024'!$J$4="CA",'2024'!$J$2=BL233),'2024DATA'!$G$9,"")</f>
        <v/>
      </c>
      <c r="BM240" s="518" t="str">
        <f>IF(AND(_D="A-330-200",'2024'!$J$4="CA",'2024'!$J$2=BM233),'2024DATA'!$H$9,"")</f>
        <v/>
      </c>
      <c r="BN240" s="518" t="str">
        <f>IF(AND(_D="A-330-200",'2024'!$J$4="CA",'2024'!$J$2=BN233),'2024DATA'!$I$9,"")</f>
        <v/>
      </c>
      <c r="BO240" s="518" t="str">
        <f>IF(AND(_D="A-330-200",'2024'!$J$4="CA",'2024'!$J$2=BO233),'2024DATA'!$J$9,"")</f>
        <v/>
      </c>
      <c r="BP240" s="518" t="str">
        <f>IF(AND(_D="A-330-200",'2024'!$J$4="CA",'2024'!$J$2=BP233),'2024DATA'!$K$9,"")</f>
        <v/>
      </c>
      <c r="BQ240" s="518" t="str">
        <f>IF(AND(_D="A-330-200",'2024'!$J$4="CA",'2024'!$J$2=BQ233),'2024DATA'!$L$9,"")</f>
        <v/>
      </c>
      <c r="BR240" s="518" t="str">
        <f>IF(AND(_D="A-330-200",'2024'!$J$4="CA",'2024'!$J$2=BR233),'2024DATA'!$M$9,"")</f>
        <v/>
      </c>
      <c r="BS240" s="520" t="str">
        <f>IF(AND(_D="A-330-200",'2024'!$J$4="CA",'2024'!$J$2=BS233),'2024DATA'!$N$9,"")</f>
        <v/>
      </c>
      <c r="BT240" s="940" t="s">
        <v>66</v>
      </c>
      <c r="BU240" s="13" t="s">
        <v>61</v>
      </c>
      <c r="BV240" s="518" t="str">
        <f>IF(AND(_E="A-330-200",'2024'!$J$4="CA",'2024'!$J$2=BV233),'2024DATA'!$C$9,"")</f>
        <v/>
      </c>
      <c r="BW240" s="518" t="str">
        <f>IF(AND(_E="A-330-200",'2024'!$J$4="CA",'2024'!$J$2=BW233),'2024DATA'!$D$9,"")</f>
        <v/>
      </c>
      <c r="BX240" s="518" t="str">
        <f>IF(AND(_E="A-330-200",'2024'!$J$4="CA",'2024'!$J$2=BX233),'2024DATA'!$E$9,"")</f>
        <v/>
      </c>
      <c r="BY240" s="518" t="str">
        <f>IF(AND(_E="A-330-200",'2024'!$J$4="CA",'2024'!$J$2=BY233),'2024DATA'!$F$9,"")</f>
        <v/>
      </c>
      <c r="BZ240" s="518" t="str">
        <f>IF(AND(_E="A-330-200",'2024'!$J$4="CA",'2024'!$J$2=BZ233),'2024DATA'!$G$9,"")</f>
        <v/>
      </c>
      <c r="CA240" s="518" t="str">
        <f>IF(AND(_E="A-330-200",'2024'!$J$4="CA",'2024'!$J$2=CA233),'2024DATA'!$H$9,"")</f>
        <v/>
      </c>
      <c r="CB240" s="518" t="str">
        <f>IF(AND(_E="A-330-200",'2024'!$J$4="CA",'2024'!$J$2=CB233),'2024DATA'!$I$9,"")</f>
        <v/>
      </c>
      <c r="CC240" s="518" t="str">
        <f>IF(AND(_E="A-330-200",'2024'!$J$4="CA",'2024'!$J$2=CC233),'2024DATA'!$J$9,"")</f>
        <v/>
      </c>
      <c r="CD240" s="518" t="str">
        <f>IF(AND(_E="A-330-200",'2024'!$J$4="CA",'2024'!$J$2=CD233),'2024DATA'!$K$9,"")</f>
        <v/>
      </c>
      <c r="CE240" s="518" t="str">
        <f>IF(AND(_E="A-330-200",'2024'!$J$4="CA",'2024'!$J$2=CE233),'2024DATA'!$L$9,"")</f>
        <v/>
      </c>
      <c r="CF240" s="518" t="str">
        <f>IF(AND(_E="A-330-200",'2024'!$J$4="CA",'2024'!$J$2=CF233),'2024DATA'!$M$9,"")</f>
        <v/>
      </c>
      <c r="CG240" s="520" t="str">
        <f>IF(AND(_E="A-330-200",'2024'!$J$4="CA",'2024'!$J$2=CG233),'2024DATA'!$N$9,"")</f>
        <v/>
      </c>
      <c r="CH240" s="940" t="s">
        <v>66</v>
      </c>
      <c r="CI240" s="13" t="s">
        <v>61</v>
      </c>
      <c r="CJ240" s="518" t="str">
        <f>IF(AND(_F="A-330-200",'2024'!$J$4="CA",'2024'!$J$2=CJ233),'2024DATA'!$C$9,"")</f>
        <v/>
      </c>
      <c r="CK240" s="518" t="str">
        <f>IF(AND(_F="A-330-200",'2024'!$J$4="CA",'2024'!$J$2=CK233),'2024DATA'!$D$9,"")</f>
        <v/>
      </c>
      <c r="CL240" s="518" t="str">
        <f>IF(AND(_F="A-330-200",'2024'!$J$4="CA",'2024'!$J$2=CL233),'2024DATA'!$E$9,"")</f>
        <v/>
      </c>
      <c r="CM240" s="518" t="str">
        <f>IF(AND(_F="A-330-200",'2024'!$J$4="CA",'2024'!$J$2=CM233),'2024DATA'!$F$9,"")</f>
        <v/>
      </c>
      <c r="CN240" s="518" t="str">
        <f>IF(AND(_F="A-330-200",'2024'!$J$4="CA",'2024'!$J$2=CN233),'2024DATA'!$G$9,"")</f>
        <v/>
      </c>
      <c r="CO240" s="518" t="str">
        <f>IF(AND(_F="A-330-200",'2024'!$J$4="CA",'2024'!$J$2=CO233),'2024DATA'!$H$9,"")</f>
        <v/>
      </c>
      <c r="CP240" s="518" t="str">
        <f>IF(AND(_F="A-330-200",'2024'!$J$4="CA",'2024'!$J$2=CP233),'2024DATA'!$I$9,"")</f>
        <v/>
      </c>
      <c r="CQ240" s="518" t="str">
        <f>IF(AND(_F="A-330-200",'2024'!$J$4="CA",'2024'!$J$2=CQ233),'2024DATA'!$J$9,"")</f>
        <v/>
      </c>
      <c r="CR240" s="518" t="str">
        <f>IF(AND(_F="A-330-200",'2024'!$J$4="CA",'2024'!$J$2=CR233),'2024DATA'!$K$9,"")</f>
        <v/>
      </c>
      <c r="CS240" s="518" t="str">
        <f>IF(AND(_F="A-330-200",'2024'!$J$4="CA",'2024'!$J$2=CS233),'2024DATA'!$L$9,"")</f>
        <v/>
      </c>
      <c r="CT240" s="518" t="str">
        <f>IF(AND(_F="A-330-200",'2024'!$J$4="CA",'2024'!$J$2=CT233),'2024DATA'!$M$9,"")</f>
        <v/>
      </c>
      <c r="CU240" s="520" t="str">
        <f>IF(AND(_F="A-330-200",'2024'!$J$4="CA",'2024'!$J$2=CU233),'2024DATA'!$N$9,"")</f>
        <v/>
      </c>
    </row>
    <row r="241" spans="16:99" x14ac:dyDescent="0.25">
      <c r="P241" s="940"/>
      <c r="Q241" s="13" t="s">
        <v>62</v>
      </c>
      <c r="R241" s="518" t="str">
        <f>IF(AND(_A="A-330-200",'2024'!$J$4="FO",'2024'!$J$2=R233),'2024DATA'!$C$10,"")</f>
        <v/>
      </c>
      <c r="S241" s="518" t="str">
        <f>IF(AND(_A="A-330-200",'2024'!$J$4="FO",'2024'!$J$2=S233),'2024DATA'!$D$10,"")</f>
        <v/>
      </c>
      <c r="T241" s="518" t="str">
        <f>IF(AND(_A="A-330-200",'2024'!$J$4="FO",'2024'!$J$2=T233),'2024DATA'!$E$10,"")</f>
        <v/>
      </c>
      <c r="U241" s="518" t="str">
        <f>IF(AND(_A="A-330-200",'2024'!$J$4="FO",'2024'!$J$2=U233),'2024DATA'!$F$10,"")</f>
        <v/>
      </c>
      <c r="V241" s="518" t="str">
        <f>IF(AND(_A="A-330-200",'2024'!$J$4="FO",'2024'!$J$2=V233),'2024DATA'!$G$10,"")</f>
        <v/>
      </c>
      <c r="W241" s="518" t="str">
        <f>IF(AND(_A="A-330-200",'2024'!$J$4="FO",'2024'!$J$2=W233),'2024DATA'!$H$10,"")</f>
        <v/>
      </c>
      <c r="X241" s="518" t="str">
        <f>IF(AND(_A="A-330-200",'2024'!$J$4="FO",'2024'!$J$2=X233),'2024DATA'!$I$10,"")</f>
        <v/>
      </c>
      <c r="Y241" s="518" t="str">
        <f>IF(AND(_A="A-330-200",'2024'!$J$4="FO",'2024'!$J$2=Y233),'2024DATA'!$J$10,"")</f>
        <v/>
      </c>
      <c r="Z241" s="518" t="str">
        <f>IF(AND(_A="A-330-200",'2024'!$J$4="FO",'2024'!$J$2=Z233),'2024DATA'!$K$10,"")</f>
        <v/>
      </c>
      <c r="AA241" s="518" t="str">
        <f>IF(AND(_A="A-330-200",'2024'!$J$4="FO",'2024'!$J$2=AA233),'2024DATA'!$L$10,"")</f>
        <v/>
      </c>
      <c r="AB241" s="518" t="str">
        <f>IF(AND(_A="A-330-200",'2024'!$J$4="FO",'2024'!$J$2=AB233),'2024DATA'!$M$10,"")</f>
        <v/>
      </c>
      <c r="AC241" s="520" t="str">
        <f>IF(AND(_A="A-330-200",'2024'!$J$4="FO",'2024'!$J$2=AC233),'2024DATA'!$N$10,"")</f>
        <v/>
      </c>
      <c r="AD241" s="940"/>
      <c r="AE241" s="13" t="s">
        <v>62</v>
      </c>
      <c r="AF241" s="518" t="str">
        <f>IF(AND(_B="A-330-200",'2024'!$J$4="FO",'2024'!$J$2=AF233),'2024DATA'!$C$10,"")</f>
        <v/>
      </c>
      <c r="AG241" s="518" t="str">
        <f>IF(AND(_B="A-330-200",'2024'!$J$4="FO",'2024'!$J$2=AG233),'2024DATA'!$D$10,"")</f>
        <v/>
      </c>
      <c r="AH241" s="518" t="str">
        <f>IF(AND(_B="A-330-200",'2024'!$J$4="FO",'2024'!$J$2=AH233),'2024DATA'!$E$10,"")</f>
        <v/>
      </c>
      <c r="AI241" s="518" t="str">
        <f>IF(AND(_B="A-330-200",'2024'!$J$4="FO",'2024'!$J$2=AI233),'2024DATA'!$F$10,"")</f>
        <v/>
      </c>
      <c r="AJ241" s="518" t="str">
        <f>IF(AND(_B="A-330-200",'2024'!$J$4="FO",'2024'!$J$2=AJ233),'2024DATA'!$G$10,"")</f>
        <v/>
      </c>
      <c r="AK241" s="518" t="str">
        <f>IF(AND(_B="A-330-200",'2024'!$J$4="FO",'2024'!$J$2=AK233),'2024DATA'!$H$10,"")</f>
        <v/>
      </c>
      <c r="AL241" s="518" t="str">
        <f>IF(AND(_B="A-330-200",'2024'!$J$4="FO",'2024'!$J$2=AL233),'2024DATA'!$I$10,"")</f>
        <v/>
      </c>
      <c r="AM241" s="518" t="str">
        <f>IF(AND(_B="A-330-200",'2024'!$J$4="FO",'2024'!$J$2=AM233),'2024DATA'!$J$10,"")</f>
        <v/>
      </c>
      <c r="AN241" s="518" t="str">
        <f>IF(AND(_B="A-330-200",'2024'!$J$4="FO",'2024'!$J$2=AN233),'2024DATA'!$K$10,"")</f>
        <v/>
      </c>
      <c r="AO241" s="518" t="str">
        <f>IF(AND(_B="A-330-200",'2024'!$J$4="FO",'2024'!$J$2=AO233),'2024DATA'!$L$10,"")</f>
        <v/>
      </c>
      <c r="AP241" s="518" t="str">
        <f>IF(AND(_B="A-330-200",'2024'!$J$4="FO",'2024'!$J$2=AP233),'2024DATA'!$M$10,"")</f>
        <v/>
      </c>
      <c r="AQ241" s="520" t="str">
        <f>IF(AND(_B="A-330-200",'2024'!$J$4="FO",'2024'!$J$2=AQ233),'2024DATA'!$N$10,"")</f>
        <v/>
      </c>
      <c r="AR241" s="940"/>
      <c r="AS241" s="13" t="s">
        <v>62</v>
      </c>
      <c r="AT241" s="518" t="str">
        <f>IF(AND(_C="A-330-200",'2024'!$J$4="FO",'2024'!$J$2=AT233),'2024DATA'!$C$10,"")</f>
        <v/>
      </c>
      <c r="AU241" s="518" t="str">
        <f>IF(AND(_C="A-330-200",'2024'!$J$4="FO",'2024'!$J$2=AU233),'2024DATA'!$D$10,"")</f>
        <v/>
      </c>
      <c r="AV241" s="518" t="str">
        <f>IF(AND(_C="A-330-200",'2024'!$J$4="FO",'2024'!$J$2=AV233),'2024DATA'!$E$10,"")</f>
        <v/>
      </c>
      <c r="AW241" s="518" t="str">
        <f>IF(AND(_C="A-330-200",'2024'!$J$4="FO",'2024'!$J$2=AW233),'2024DATA'!$F$10,"")</f>
        <v/>
      </c>
      <c r="AX241" s="518" t="str">
        <f>IF(AND(_C="A-330-200",'2024'!$J$4="FO",'2024'!$J$2=AX233),'2024DATA'!$G$10,"")</f>
        <v/>
      </c>
      <c r="AY241" s="518" t="str">
        <f>IF(AND(_C="A-330-200",'2024'!$J$4="FO",'2024'!$J$2=AY233),'2024DATA'!$H$10,"")</f>
        <v/>
      </c>
      <c r="AZ241" s="518" t="str">
        <f>IF(AND(_C="A-330-200",'2024'!$J$4="FO",'2024'!$J$2=AZ233),'2024DATA'!$I$10,"")</f>
        <v/>
      </c>
      <c r="BA241" s="518" t="str">
        <f>IF(AND(_C="A-330-200",'2024'!$J$4="FO",'2024'!$J$2=BA233),'2024DATA'!$J$10,"")</f>
        <v/>
      </c>
      <c r="BB241" s="518" t="str">
        <f>IF(AND(_C="A-330-200",'2024'!$J$4="FO",'2024'!$J$2=BB233),'2024DATA'!$K$10,"")</f>
        <v/>
      </c>
      <c r="BC241" s="518" t="str">
        <f>IF(AND(_C="A-330-200",'2024'!$J$4="FO",'2024'!$J$2=BC233),'2024DATA'!$L$10,"")</f>
        <v/>
      </c>
      <c r="BD241" s="518" t="str">
        <f>IF(AND(_C="A-330-200",'2024'!$J$4="FO",'2024'!$J$2=BD233),'2024DATA'!$M$10,"")</f>
        <v/>
      </c>
      <c r="BE241" s="520" t="str">
        <f>IF(AND(_C="A-330-200",'2024'!$J$4="FO",'2024'!$J$2=BE233),'2024DATA'!$N$10,"")</f>
        <v/>
      </c>
      <c r="BF241" s="940"/>
      <c r="BG241" s="13" t="s">
        <v>62</v>
      </c>
      <c r="BH241" s="518" t="str">
        <f>IF(AND(_D="A-330-200",'2024'!$J$4="FO",'2024'!$J$2=BH233),'2024DATA'!$C$10,"")</f>
        <v/>
      </c>
      <c r="BI241" s="518" t="str">
        <f>IF(AND(_D="A-330-200",'2024'!$J$4="FO",'2024'!$J$2=BI233),'2024DATA'!$D$10,"")</f>
        <v/>
      </c>
      <c r="BJ241" s="518" t="str">
        <f>IF(AND(_D="A-330-200",'2024'!$J$4="FO",'2024'!$J$2=BJ233),'2024DATA'!$E$10,"")</f>
        <v/>
      </c>
      <c r="BK241" s="518" t="str">
        <f>IF(AND(_D="A-330-200",'2024'!$J$4="FO",'2024'!$J$2=BK233),'2024DATA'!$F$10,"")</f>
        <v/>
      </c>
      <c r="BL241" s="518" t="str">
        <f>IF(AND(_D="A-330-200",'2024'!$J$4="FO",'2024'!$J$2=BL233),'2024DATA'!$G$10,"")</f>
        <v/>
      </c>
      <c r="BM241" s="518" t="str">
        <f>IF(AND(_D="A-330-200",'2024'!$J$4="FO",'2024'!$J$2=BM233),'2024DATA'!$H$10,"")</f>
        <v/>
      </c>
      <c r="BN241" s="518" t="str">
        <f>IF(AND(_D="A-330-200",'2024'!$J$4="FO",'2024'!$J$2=BN233),'2024DATA'!$I$10,"")</f>
        <v/>
      </c>
      <c r="BO241" s="518" t="str">
        <f>IF(AND(_D="A-330-200",'2024'!$J$4="FO",'2024'!$J$2=BO233),'2024DATA'!$J$10,"")</f>
        <v/>
      </c>
      <c r="BP241" s="518" t="str">
        <f>IF(AND(_D="A-330-200",'2024'!$J$4="FO",'2024'!$J$2=BP233),'2024DATA'!$K$10,"")</f>
        <v/>
      </c>
      <c r="BQ241" s="518" t="str">
        <f>IF(AND(_D="A-330-200",'2024'!$J$4="FO",'2024'!$J$2=BQ233),'2024DATA'!$L$10,"")</f>
        <v/>
      </c>
      <c r="BR241" s="518" t="str">
        <f>IF(AND(_D="A-330-200",'2024'!$J$4="FO",'2024'!$J$2=BR233),'2024DATA'!$M$10,"")</f>
        <v/>
      </c>
      <c r="BS241" s="520" t="str">
        <f>IF(AND(_D="A-330-200",'2024'!$J$4="FO",'2024'!$J$2=BS233),'2024DATA'!$N$10,"")</f>
        <v/>
      </c>
      <c r="BT241" s="940"/>
      <c r="BU241" s="13" t="s">
        <v>62</v>
      </c>
      <c r="BV241" s="518" t="str">
        <f>IF(AND(_E="A-330-200",'2024'!$J$4="FO",'2024'!$J$2=BV233),'2024DATA'!$C$10,"")</f>
        <v/>
      </c>
      <c r="BW241" s="518" t="str">
        <f>IF(AND(_E="A-330-200",'2024'!$J$4="FO",'2024'!$J$2=BW233),'2024DATA'!$D$10,"")</f>
        <v/>
      </c>
      <c r="BX241" s="518" t="str">
        <f>IF(AND(_E="A-330-200",'2024'!$J$4="FO",'2024'!$J$2=BX233),'2024DATA'!$E$10,"")</f>
        <v/>
      </c>
      <c r="BY241" s="518" t="str">
        <f>IF(AND(_E="A-330-200",'2024'!$J$4="FO",'2024'!$J$2=BY233),'2024DATA'!$F$10,"")</f>
        <v/>
      </c>
      <c r="BZ241" s="518" t="str">
        <f>IF(AND(_E="A-330-200",'2024'!$J$4="FO",'2024'!$J$2=BZ233),'2024DATA'!$G$10,"")</f>
        <v/>
      </c>
      <c r="CA241" s="518" t="str">
        <f>IF(AND(_E="A-330-200",'2024'!$J$4="FO",'2024'!$J$2=CA233),'2024DATA'!$H$10,"")</f>
        <v/>
      </c>
      <c r="CB241" s="518" t="str">
        <f>IF(AND(_E="A-330-200",'2024'!$J$4="FO",'2024'!$J$2=CB233),'2024DATA'!$I$10,"")</f>
        <v/>
      </c>
      <c r="CC241" s="518" t="str">
        <f>IF(AND(_E="A-330-200",'2024'!$J$4="FO",'2024'!$J$2=CC233),'2024DATA'!$J$10,"")</f>
        <v/>
      </c>
      <c r="CD241" s="518" t="str">
        <f>IF(AND(_E="A-330-200",'2024'!$J$4="FO",'2024'!$J$2=CD233),'2024DATA'!$K$10,"")</f>
        <v/>
      </c>
      <c r="CE241" s="518" t="str">
        <f>IF(AND(_E="A-330-200",'2024'!$J$4="FO",'2024'!$J$2=CE233),'2024DATA'!$L$10,"")</f>
        <v/>
      </c>
      <c r="CF241" s="518" t="str">
        <f>IF(AND(_E="A-330-200",'2024'!$J$4="FO",'2024'!$J$2=CF233),'2024DATA'!$M$10,"")</f>
        <v/>
      </c>
      <c r="CG241" s="520" t="str">
        <f>IF(AND(_E="A-330-200",'2024'!$J$4="FO",'2024'!$J$2=CG233),'2024DATA'!$N$10,"")</f>
        <v/>
      </c>
      <c r="CH241" s="940"/>
      <c r="CI241" s="13" t="s">
        <v>62</v>
      </c>
      <c r="CJ241" s="518" t="str">
        <f>IF(AND(_F="A-330-200",'2024'!$J$4="FO",'2024'!$J$2=CJ233),'2024DATA'!$C$10,"")</f>
        <v/>
      </c>
      <c r="CK241" s="518" t="str">
        <f>IF(AND(_F="A-330-200",'2024'!$J$4="FO",'2024'!$J$2=CK233),'2024DATA'!$D$10,"")</f>
        <v/>
      </c>
      <c r="CL241" s="518" t="str">
        <f>IF(AND(_F="A-330-200",'2024'!$J$4="FO",'2024'!$J$2=CL233),'2024DATA'!$E$10,"")</f>
        <v/>
      </c>
      <c r="CM241" s="518" t="str">
        <f>IF(AND(_F="A-330-200",'2024'!$J$4="FO",'2024'!$J$2=CM233),'2024DATA'!$F$10,"")</f>
        <v/>
      </c>
      <c r="CN241" s="518" t="str">
        <f>IF(AND(_F="A-330-200",'2024'!$J$4="FO",'2024'!$J$2=CN233),'2024DATA'!$G$10,"")</f>
        <v/>
      </c>
      <c r="CO241" s="518" t="str">
        <f>IF(AND(_F="A-330-200",'2024'!$J$4="FO",'2024'!$J$2=CO233),'2024DATA'!$H$10,"")</f>
        <v/>
      </c>
      <c r="CP241" s="518" t="str">
        <f>IF(AND(_F="A-330-200",'2024'!$J$4="FO",'2024'!$J$2=CP233),'2024DATA'!$I$10,"")</f>
        <v/>
      </c>
      <c r="CQ241" s="518" t="str">
        <f>IF(AND(_F="A-330-200",'2024'!$J$4="FO",'2024'!$J$2=CQ233),'2024DATA'!$J$10,"")</f>
        <v/>
      </c>
      <c r="CR241" s="518" t="str">
        <f>IF(AND(_F="A-330-200",'2024'!$J$4="FO",'2024'!$J$2=CR233),'2024DATA'!$K$10,"")</f>
        <v/>
      </c>
      <c r="CS241" s="518" t="str">
        <f>IF(AND(_F="A-330-200",'2024'!$J$4="FO",'2024'!$J$2=CS233),'2024DATA'!$L$10,"")</f>
        <v/>
      </c>
      <c r="CT241" s="518" t="str">
        <f>IF(AND(_F="A-330-200",'2024'!$J$4="FO",'2024'!$J$2=CT233),'2024DATA'!$M$10,"")</f>
        <v/>
      </c>
      <c r="CU241" s="520" t="str">
        <f>IF(AND(_F="A-330-200",'2024'!$J$4="FO",'2024'!$J$2=CU233),'2024DATA'!$N$10,"")</f>
        <v/>
      </c>
    </row>
    <row r="242" spans="16:99" x14ac:dyDescent="0.25">
      <c r="P242" s="940" t="s">
        <v>42</v>
      </c>
      <c r="Q242" s="13" t="s">
        <v>61</v>
      </c>
      <c r="R242" s="518" t="str">
        <f>IF(AND(_A="B-767-400ER",'2024'!$J$4="CA",'2024'!$J$2=R233),'2024DATA'!$C$11,"")</f>
        <v/>
      </c>
      <c r="S242" s="518" t="str">
        <f>IF(AND(_A="B-767-400ER",'2024'!$J$4="CA",'2024'!$J$2=S233),'2024DATA'!$D$11,"")</f>
        <v/>
      </c>
      <c r="T242" s="518" t="str">
        <f>IF(AND(_A="B-767-400ER",'2024'!$J$4="CA",'2024'!$J$2=T233),'2024DATA'!$E$11,"")</f>
        <v/>
      </c>
      <c r="U242" s="518" t="str">
        <f>IF(AND(_A="B-767-400ER",'2024'!$J$4="CA",'2024'!$J$2=U233),'2024DATA'!$F$11,"")</f>
        <v/>
      </c>
      <c r="V242" s="518" t="str">
        <f>IF(AND(_A="B-767-400ER",'2024'!$J$4="CA",'2024'!$J$2=V233),'2024DATA'!$G$11,"")</f>
        <v/>
      </c>
      <c r="W242" s="518" t="str">
        <f>IF(AND(_A="B-767-400ER",'2024'!$J$4="CA",'2024'!$J$2=W233),'2024DATA'!$H$11,"")</f>
        <v/>
      </c>
      <c r="X242" s="518" t="str">
        <f>IF(AND(_A="B-767-400ER",'2024'!$J$4="CA",'2024'!$J$2=X233),'2024DATA'!$I$11,"")</f>
        <v/>
      </c>
      <c r="Y242" s="518" t="str">
        <f>IF(AND(_A="B-767-400ER",'2024'!$J$4="CA",'2024'!$J$2=Y233),'2024DATA'!$J$11,"")</f>
        <v/>
      </c>
      <c r="Z242" s="518" t="str">
        <f>IF(AND(_A="B-767-400ER",'2024'!$J$4="CA",'2024'!$J$2=Z233),'2024DATA'!$K$11,"")</f>
        <v/>
      </c>
      <c r="AA242" s="518" t="str">
        <f>IF(AND(_A="B-767-400ER",'2024'!$J$4="CA",'2024'!$J$2=AA233),'2024DATA'!$L$11,"")</f>
        <v/>
      </c>
      <c r="AB242" s="518" t="str">
        <f>IF(AND(_A="B-767-400ER",'2024'!$J$4="CA",'2024'!$J$2=AB233),'2024DATA'!$M$11,"")</f>
        <v/>
      </c>
      <c r="AC242" s="520" t="str">
        <f>IF(AND(_A="B-767-400ER",'2024'!$J$4="CA",'2024'!$J$2=AC233),'2024DATA'!$N$11,"")</f>
        <v/>
      </c>
      <c r="AD242" s="940" t="s">
        <v>42</v>
      </c>
      <c r="AE242" s="13" t="s">
        <v>61</v>
      </c>
      <c r="AF242" s="518" t="str">
        <f>IF(AND(_B="B-767-400ER",'2024'!$J$4="CA",'2024'!$J$2=AF233),'2024DATA'!$C$11,"")</f>
        <v/>
      </c>
      <c r="AG242" s="518" t="str">
        <f>IF(AND(_B="B-767-400ER",'2024'!$J$4="CA",'2024'!$J$2=AG233),'2024DATA'!$D$11,"")</f>
        <v/>
      </c>
      <c r="AH242" s="518" t="str">
        <f>IF(AND(_B="B-767-400ER",'2024'!$J$4="CA",'2024'!$J$2=AH233),'2024DATA'!$E$11,"")</f>
        <v/>
      </c>
      <c r="AI242" s="518" t="str">
        <f>IF(AND(_B="B-767-400ER",'2024'!$J$4="CA",'2024'!$J$2=AI233),'2024DATA'!$F$11,"")</f>
        <v/>
      </c>
      <c r="AJ242" s="518" t="str">
        <f>IF(AND(_B="B-767-400ER",'2024'!$J$4="CA",'2024'!$J$2=AJ233),'2024DATA'!$G$11,"")</f>
        <v/>
      </c>
      <c r="AK242" s="518" t="str">
        <f>IF(AND(_B="B-767-400ER",'2024'!$J$4="CA",'2024'!$J$2=AK233),'2024DATA'!$H$11,"")</f>
        <v/>
      </c>
      <c r="AL242" s="518" t="str">
        <f>IF(AND(_B="B-767-400ER",'2024'!$J$4="CA",'2024'!$J$2=AL233),'2024DATA'!$I$11,"")</f>
        <v/>
      </c>
      <c r="AM242" s="518" t="str">
        <f>IF(AND(_B="B-767-400ER",'2024'!$J$4="CA",'2024'!$J$2=AM233),'2024DATA'!$J$11,"")</f>
        <v/>
      </c>
      <c r="AN242" s="518" t="str">
        <f>IF(AND(_B="B-767-400ER",'2024'!$J$4="CA",'2024'!$J$2=AN233),'2024DATA'!$K$11,"")</f>
        <v/>
      </c>
      <c r="AO242" s="518" t="str">
        <f>IF(AND(_B="B-767-400ER",'2024'!$J$4="CA",'2024'!$J$2=AO233),'2024DATA'!$L$11,"")</f>
        <v/>
      </c>
      <c r="AP242" s="518" t="str">
        <f>IF(AND(_B="B-767-400ER",'2024'!$J$4="CA",'2024'!$J$2=AP233),'2024DATA'!$M$11,"")</f>
        <v/>
      </c>
      <c r="AQ242" s="520" t="str">
        <f>IF(AND(_B="B-767-400ER",'2024'!$J$4="CA",'2024'!$J$2=AQ233),'2024DATA'!$N$11,"")</f>
        <v/>
      </c>
      <c r="AR242" s="940" t="s">
        <v>42</v>
      </c>
      <c r="AS242" s="13" t="s">
        <v>61</v>
      </c>
      <c r="AT242" s="518" t="str">
        <f>IF(AND(_C="B-767-400ER",'2024'!$J$4="CA",'2024'!$J$2=AT233),'2024DATA'!$C$11,"")</f>
        <v/>
      </c>
      <c r="AU242" s="518" t="str">
        <f>IF(AND(_C="B-767-400ER",'2024'!$J$4="CA",'2024'!$J$2=AU233),'2024DATA'!$D$11,"")</f>
        <v/>
      </c>
      <c r="AV242" s="518" t="str">
        <f>IF(AND(_C="B-767-400ER",'2024'!$J$4="CA",'2024'!$J$2=AV233),'2024DATA'!$E$11,"")</f>
        <v/>
      </c>
      <c r="AW242" s="518" t="str">
        <f>IF(AND(_C="B-767-400ER",'2024'!$J$4="CA",'2024'!$J$2=AW233),'2024DATA'!$F$11,"")</f>
        <v/>
      </c>
      <c r="AX242" s="518" t="str">
        <f>IF(AND(_C="B-767-400ER",'2024'!$J$4="CA",'2024'!$J$2=AX233),'2024DATA'!$G$11,"")</f>
        <v/>
      </c>
      <c r="AY242" s="518" t="str">
        <f>IF(AND(_C="B-767-400ER",'2024'!$J$4="CA",'2024'!$J$2=AY233),'2024DATA'!$H$11,"")</f>
        <v/>
      </c>
      <c r="AZ242" s="518" t="str">
        <f>IF(AND(_C="B-767-400ER",'2024'!$J$4="CA",'2024'!$J$2=AZ233),'2024DATA'!$I$11,"")</f>
        <v/>
      </c>
      <c r="BA242" s="518" t="str">
        <f>IF(AND(_C="B-767-400ER",'2024'!$J$4="CA",'2024'!$J$2=BA233),'2024DATA'!$J$11,"")</f>
        <v/>
      </c>
      <c r="BB242" s="518" t="str">
        <f>IF(AND(_C="B-767-400ER",'2024'!$J$4="CA",'2024'!$J$2=BB233),'2024DATA'!$K$11,"")</f>
        <v/>
      </c>
      <c r="BC242" s="518" t="str">
        <f>IF(AND(_C="B-767-400ER",'2024'!$J$4="CA",'2024'!$J$2=BC233),'2024DATA'!$L$11,"")</f>
        <v/>
      </c>
      <c r="BD242" s="518" t="str">
        <f>IF(AND(_C="B-767-400ER",'2024'!$J$4="CA",'2024'!$J$2=BD233),'2024DATA'!$M$11,"")</f>
        <v/>
      </c>
      <c r="BE242" s="520" t="str">
        <f>IF(AND(_C="B-767-400ER",'2024'!$J$4="CA",'2024'!$J$2=BE233),'2024DATA'!$N$11,"")</f>
        <v/>
      </c>
      <c r="BF242" s="940" t="s">
        <v>42</v>
      </c>
      <c r="BG242" s="13" t="s">
        <v>61</v>
      </c>
      <c r="BH242" s="518" t="str">
        <f>IF(AND(_D="B-767-400ER",'2024'!$J$4="CA",'2024'!$J$2=BH233),'2024DATA'!$C$11,"")</f>
        <v/>
      </c>
      <c r="BI242" s="518" t="str">
        <f>IF(AND(_D="B-767-400ER",'2024'!$J$4="CA",'2024'!$J$2=BI233),'2024DATA'!$D$11,"")</f>
        <v/>
      </c>
      <c r="BJ242" s="518" t="str">
        <f>IF(AND(_D="B-767-400ER",'2024'!$J$4="CA",'2024'!$J$2=BJ233),'2024DATA'!$E$11,"")</f>
        <v/>
      </c>
      <c r="BK242" s="518" t="str">
        <f>IF(AND(_D="B-767-400ER",'2024'!$J$4="CA",'2024'!$J$2=BK233),'2024DATA'!$F$11,"")</f>
        <v/>
      </c>
      <c r="BL242" s="518" t="str">
        <f>IF(AND(_D="B-767-400ER",'2024'!$J$4="CA",'2024'!$J$2=BL233),'2024DATA'!$G$11,"")</f>
        <v/>
      </c>
      <c r="BM242" s="518" t="str">
        <f>IF(AND(_D="B-767-400ER",'2024'!$J$4="CA",'2024'!$J$2=BM233),'2024DATA'!$H$11,"")</f>
        <v/>
      </c>
      <c r="BN242" s="518" t="str">
        <f>IF(AND(_D="B-767-400ER",'2024'!$J$4="CA",'2024'!$J$2=BN233),'2024DATA'!$I$11,"")</f>
        <v/>
      </c>
      <c r="BO242" s="518" t="str">
        <f>IF(AND(_D="B-767-400ER",'2024'!$J$4="CA",'2024'!$J$2=BO233),'2024DATA'!$J$11,"")</f>
        <v/>
      </c>
      <c r="BP242" s="518" t="str">
        <f>IF(AND(_D="B-767-400ER",'2024'!$J$4="CA",'2024'!$J$2=BP233),'2024DATA'!$K$11,"")</f>
        <v/>
      </c>
      <c r="BQ242" s="518" t="str">
        <f>IF(AND(_D="B-767-400ER",'2024'!$J$4="CA",'2024'!$J$2=BQ233),'2024DATA'!$L$11,"")</f>
        <v/>
      </c>
      <c r="BR242" s="518" t="str">
        <f>IF(AND(_D="B-767-400ER",'2024'!$J$4="CA",'2024'!$J$2=BR233),'2024DATA'!$M$11,"")</f>
        <v/>
      </c>
      <c r="BS242" s="520" t="str">
        <f>IF(AND(_D="B-767-400ER",'2024'!$J$4="CA",'2024'!$J$2=BS233),'2024DATA'!$N$11,"")</f>
        <v/>
      </c>
      <c r="BT242" s="940" t="s">
        <v>42</v>
      </c>
      <c r="BU242" s="13" t="s">
        <v>61</v>
      </c>
      <c r="BV242" s="518" t="str">
        <f>IF(AND(_E="B-767-400ER",'2024'!$J$4="CA",'2024'!$J$2=BV233),'2024DATA'!$C$11,"")</f>
        <v/>
      </c>
      <c r="BW242" s="518" t="str">
        <f>IF(AND(_E="B-767-400ER",'2024'!$J$4="CA",'2024'!$J$2=BW233),'2024DATA'!$D$11,"")</f>
        <v/>
      </c>
      <c r="BX242" s="518" t="str">
        <f>IF(AND(_E="B-767-400ER",'2024'!$J$4="CA",'2024'!$J$2=BX233),'2024DATA'!$E$11,"")</f>
        <v/>
      </c>
      <c r="BY242" s="518" t="str">
        <f>IF(AND(_E="B-767-400ER",'2024'!$J$4="CA",'2024'!$J$2=BY233),'2024DATA'!$F$11,"")</f>
        <v/>
      </c>
      <c r="BZ242" s="518" t="str">
        <f>IF(AND(_E="B-767-400ER",'2024'!$J$4="CA",'2024'!$J$2=BZ233),'2024DATA'!$G$11,"")</f>
        <v/>
      </c>
      <c r="CA242" s="518" t="str">
        <f>IF(AND(_E="B-767-400ER",'2024'!$J$4="CA",'2024'!$J$2=CA233),'2024DATA'!$H$11,"")</f>
        <v/>
      </c>
      <c r="CB242" s="518" t="str">
        <f>IF(AND(_E="B-767-400ER",'2024'!$J$4="CA",'2024'!$J$2=CB233),'2024DATA'!$I$11,"")</f>
        <v/>
      </c>
      <c r="CC242" s="518" t="str">
        <f>IF(AND(_E="B-767-400ER",'2024'!$J$4="CA",'2024'!$J$2=CC233),'2024DATA'!$J$11,"")</f>
        <v/>
      </c>
      <c r="CD242" s="518" t="str">
        <f>IF(AND(_E="B-767-400ER",'2024'!$J$4="CA",'2024'!$J$2=CD233),'2024DATA'!$K$11,"")</f>
        <v/>
      </c>
      <c r="CE242" s="518" t="str">
        <f>IF(AND(_E="B-767-400ER",'2024'!$J$4="CA",'2024'!$J$2=CE233),'2024DATA'!$L$11,"")</f>
        <v/>
      </c>
      <c r="CF242" s="518" t="str">
        <f>IF(AND(_E="B-767-400ER",'2024'!$J$4="CA",'2024'!$J$2=CF233),'2024DATA'!$M$11,"")</f>
        <v/>
      </c>
      <c r="CG242" s="520" t="str">
        <f>IF(AND(_E="B-767-400ER",'2024'!$J$4="CA",'2024'!$J$2=CG233),'2024DATA'!$N$11,"")</f>
        <v/>
      </c>
      <c r="CH242" s="940" t="s">
        <v>42</v>
      </c>
      <c r="CI242" s="13" t="s">
        <v>61</v>
      </c>
      <c r="CJ242" s="518" t="str">
        <f>IF(AND(_F="B-767-400ER",'2024'!$J$4="CA",'2024'!$J$2=CJ233),'2024DATA'!$C$11,"")</f>
        <v/>
      </c>
      <c r="CK242" s="518" t="str">
        <f>IF(AND(_F="B-767-400ER",'2024'!$J$4="CA",'2024'!$J$2=CK233),'2024DATA'!$D$11,"")</f>
        <v/>
      </c>
      <c r="CL242" s="518" t="str">
        <f>IF(AND(_F="B-767-400ER",'2024'!$J$4="CA",'2024'!$J$2=CL233),'2024DATA'!$E$11,"")</f>
        <v/>
      </c>
      <c r="CM242" s="518" t="str">
        <f>IF(AND(_F="B-767-400ER",'2024'!$J$4="CA",'2024'!$J$2=CM233),'2024DATA'!$F$11,"")</f>
        <v/>
      </c>
      <c r="CN242" s="518" t="str">
        <f>IF(AND(_F="B-767-400ER",'2024'!$J$4="CA",'2024'!$J$2=CN233),'2024DATA'!$G$11,"")</f>
        <v/>
      </c>
      <c r="CO242" s="518" t="str">
        <f>IF(AND(_F="B-767-400ER",'2024'!$J$4="CA",'2024'!$J$2=CO233),'2024DATA'!$H$11,"")</f>
        <v/>
      </c>
      <c r="CP242" s="518" t="str">
        <f>IF(AND(_F="B-767-400ER",'2024'!$J$4="CA",'2024'!$J$2=CP233),'2024DATA'!$I$11,"")</f>
        <v/>
      </c>
      <c r="CQ242" s="518" t="str">
        <f>IF(AND(_F="B-767-400ER",'2024'!$J$4="CA",'2024'!$J$2=CQ233),'2024DATA'!$J$11,"")</f>
        <v/>
      </c>
      <c r="CR242" s="518" t="str">
        <f>IF(AND(_F="B-767-400ER",'2024'!$J$4="CA",'2024'!$J$2=CR233),'2024DATA'!$K$11,"")</f>
        <v/>
      </c>
      <c r="CS242" s="518" t="str">
        <f>IF(AND(_F="B-767-400ER",'2024'!$J$4="CA",'2024'!$J$2=CS233),'2024DATA'!$L$11,"")</f>
        <v/>
      </c>
      <c r="CT242" s="518" t="str">
        <f>IF(AND(_F="B-767-400ER",'2024'!$J$4="CA",'2024'!$J$2=CT233),'2024DATA'!$M$11,"")</f>
        <v/>
      </c>
      <c r="CU242" s="520" t="str">
        <f>IF(AND(_F="B-767-400ER",'2024'!$J$4="CA",'2024'!$J$2=CU233),'2024DATA'!$N$11,"")</f>
        <v/>
      </c>
    </row>
    <row r="243" spans="16:99" x14ac:dyDescent="0.25">
      <c r="P243" s="940"/>
      <c r="Q243" s="13" t="s">
        <v>62</v>
      </c>
      <c r="R243" s="518" t="str">
        <f>IF(AND(_A="B-767-400ER",'2024'!$J$4="FO",'2024'!$J$2=R233),'2024DATA'!$C$12,"")</f>
        <v/>
      </c>
      <c r="S243" s="518" t="str">
        <f>IF(AND(_A="B-767-400ER",'2024'!$J$4="FO",'2024'!$J$2=S233),'2024DATA'!$D$12,"")</f>
        <v/>
      </c>
      <c r="T243" s="518" t="str">
        <f>IF(AND(_A="B-767-400ER",'2024'!$J$4="FO",'2024'!$J$2=T233),'2024DATA'!$E$12,"")</f>
        <v/>
      </c>
      <c r="U243" s="518" t="str">
        <f>IF(AND(_A="B-767-400ER",'2024'!$J$4="FO",'2024'!$J$2=U233),'2024DATA'!$F$12,"")</f>
        <v/>
      </c>
      <c r="V243" s="518" t="str">
        <f>IF(AND(_A="B-767-400ER",'2024'!$J$4="FO",'2024'!$J$2=V233),'2024DATA'!$G$12,"")</f>
        <v/>
      </c>
      <c r="W243" s="518" t="str">
        <f>IF(AND(_A="B-767-400ER",'2024'!$J$4="FO",'2024'!$J$2=W233),'2024DATA'!$H$12,"")</f>
        <v/>
      </c>
      <c r="X243" s="518" t="str">
        <f>IF(AND(_A="B-767-400ER",'2024'!$J$4="FO",'2024'!$J$2=X233),'2024DATA'!$I$12,"")</f>
        <v/>
      </c>
      <c r="Y243" s="518" t="str">
        <f>IF(AND(_A="B-767-400ER",'2024'!$J$4="FO",'2024'!$J$2=Y233),'2024DATA'!$J$12,"")</f>
        <v/>
      </c>
      <c r="Z243" s="518" t="str">
        <f>IF(AND(_A="B-767-400ER",'2024'!$J$4="FO",'2024'!$J$2=Z233),'2024DATA'!$K$12,"")</f>
        <v/>
      </c>
      <c r="AA243" s="518" t="str">
        <f>IF(AND(_A="B-767-400ER",'2024'!$J$4="FO",'2024'!$J$2=AA233),'2024DATA'!$L$12,"")</f>
        <v/>
      </c>
      <c r="AB243" s="518" t="str">
        <f>IF(AND(_A="B-767-400ER",'2024'!$J$4="FO",'2024'!$J$2=AB233),'2024DATA'!$M$12,"")</f>
        <v/>
      </c>
      <c r="AC243" s="520" t="str">
        <f>IF(AND(_A="B-767-400ER",'2024'!$J$4="FO",'2024'!$J$2=AC233),'2024DATA'!$N$12,"")</f>
        <v/>
      </c>
      <c r="AD243" s="940"/>
      <c r="AE243" s="13" t="s">
        <v>62</v>
      </c>
      <c r="AF243" s="518" t="str">
        <f>IF(AND(_B="B-767-400ER",'2024'!$J$4="FO",'2024'!$J$2=AF233),'2024DATA'!$C$12,"")</f>
        <v/>
      </c>
      <c r="AG243" s="518" t="str">
        <f>IF(AND(_B="B-767-400ER",'2024'!$J$4="FO",'2024'!$J$2=AG233),'2024DATA'!$D$12,"")</f>
        <v/>
      </c>
      <c r="AH243" s="518" t="str">
        <f>IF(AND(_B="B-767-400ER",'2024'!$J$4="FO",'2024'!$J$2=AH233),'2024DATA'!$E$12,"")</f>
        <v/>
      </c>
      <c r="AI243" s="518" t="str">
        <f>IF(AND(_B="B-767-400ER",'2024'!$J$4="FO",'2024'!$J$2=AI233),'2024DATA'!$F$12,"")</f>
        <v/>
      </c>
      <c r="AJ243" s="518" t="str">
        <f>IF(AND(_B="B-767-400ER",'2024'!$J$4="FO",'2024'!$J$2=AJ233),'2024DATA'!$G$12,"")</f>
        <v/>
      </c>
      <c r="AK243" s="518" t="str">
        <f>IF(AND(_B="B-767-400ER",'2024'!$J$4="FO",'2024'!$J$2=AK233),'2024DATA'!$H$12,"")</f>
        <v/>
      </c>
      <c r="AL243" s="518" t="str">
        <f>IF(AND(_B="B-767-400ER",'2024'!$J$4="FO",'2024'!$J$2=AL233),'2024DATA'!$I$12,"")</f>
        <v/>
      </c>
      <c r="AM243" s="518" t="str">
        <f>IF(AND(_B="B-767-400ER",'2024'!$J$4="FO",'2024'!$J$2=AM233),'2024DATA'!$J$12,"")</f>
        <v/>
      </c>
      <c r="AN243" s="518" t="str">
        <f>IF(AND(_B="B-767-400ER",'2024'!$J$4="FO",'2024'!$J$2=AN233),'2024DATA'!$K$12,"")</f>
        <v/>
      </c>
      <c r="AO243" s="518" t="str">
        <f>IF(AND(_B="B-767-400ER",'2024'!$J$4="FO",'2024'!$J$2=AO233),'2024DATA'!$L$12,"")</f>
        <v/>
      </c>
      <c r="AP243" s="518" t="str">
        <f>IF(AND(_B="B-767-400ER",'2024'!$J$4="FO",'2024'!$J$2=AP233),'2024DATA'!$M$12,"")</f>
        <v/>
      </c>
      <c r="AQ243" s="520" t="str">
        <f>IF(AND(_B="B-767-400ER",'2024'!$J$4="FO",'2024'!$J$2=AQ233),'2024DATA'!$N$12,"")</f>
        <v/>
      </c>
      <c r="AR243" s="940"/>
      <c r="AS243" s="13" t="s">
        <v>62</v>
      </c>
      <c r="AT243" s="518" t="str">
        <f>IF(AND(_C="B-767-400ER",'2024'!$J$4="FO",'2024'!$J$2=AT233),'2024DATA'!$C$12,"")</f>
        <v/>
      </c>
      <c r="AU243" s="518" t="str">
        <f>IF(AND(_C="B-767-400ER",'2024'!$J$4="FO",'2024'!$J$2=AU233),'2024DATA'!$D$12,"")</f>
        <v/>
      </c>
      <c r="AV243" s="518" t="str">
        <f>IF(AND(_C="B-767-400ER",'2024'!$J$4="FO",'2024'!$J$2=AV233),'2024DATA'!$E$12,"")</f>
        <v/>
      </c>
      <c r="AW243" s="518" t="str">
        <f>IF(AND(_C="B-767-400ER",'2024'!$J$4="FO",'2024'!$J$2=AW233),'2024DATA'!$F$12,"")</f>
        <v/>
      </c>
      <c r="AX243" s="518" t="str">
        <f>IF(AND(_C="B-767-400ER",'2024'!$J$4="FO",'2024'!$J$2=AX233),'2024DATA'!$G$12,"")</f>
        <v/>
      </c>
      <c r="AY243" s="518" t="str">
        <f>IF(AND(_C="B-767-400ER",'2024'!$J$4="FO",'2024'!$J$2=AY233),'2024DATA'!$H$12,"")</f>
        <v/>
      </c>
      <c r="AZ243" s="518" t="str">
        <f>IF(AND(_C="B-767-400ER",'2024'!$J$4="FO",'2024'!$J$2=AZ233),'2024DATA'!$I$12,"")</f>
        <v/>
      </c>
      <c r="BA243" s="518" t="str">
        <f>IF(AND(_C="B-767-400ER",'2024'!$J$4="FO",'2024'!$J$2=BA233),'2024DATA'!$J$12,"")</f>
        <v/>
      </c>
      <c r="BB243" s="518" t="str">
        <f>IF(AND(_C="B-767-400ER",'2024'!$J$4="FO",'2024'!$J$2=BB233),'2024DATA'!$K$12,"")</f>
        <v/>
      </c>
      <c r="BC243" s="518" t="str">
        <f>IF(AND(_C="B-767-400ER",'2024'!$J$4="FO",'2024'!$J$2=BC233),'2024DATA'!$L$12,"")</f>
        <v/>
      </c>
      <c r="BD243" s="518" t="str">
        <f>IF(AND(_C="B-767-400ER",'2024'!$J$4="FO",'2024'!$J$2=BD233),'2024DATA'!$M$12,"")</f>
        <v/>
      </c>
      <c r="BE243" s="520" t="str">
        <f>IF(AND(_C="B-767-400ER",'2024'!$J$4="FO",'2024'!$J$2=BE233),'2024DATA'!$N$12,"")</f>
        <v/>
      </c>
      <c r="BF243" s="940"/>
      <c r="BG243" s="13" t="s">
        <v>62</v>
      </c>
      <c r="BH243" s="518" t="str">
        <f>IF(AND(_D="B-767-400ER",'2024'!$J$4="FO",'2024'!$J$2=BH233),'2024DATA'!$C$12,"")</f>
        <v/>
      </c>
      <c r="BI243" s="518" t="str">
        <f>IF(AND(_D="B-767-400ER",'2024'!$J$4="FO",'2024'!$J$2=BI233),'2024DATA'!$D$12,"")</f>
        <v/>
      </c>
      <c r="BJ243" s="518" t="str">
        <f>IF(AND(_D="B-767-400ER",'2024'!$J$4="FO",'2024'!$J$2=BJ233),'2024DATA'!$E$12,"")</f>
        <v/>
      </c>
      <c r="BK243" s="518" t="str">
        <f>IF(AND(_D="B-767-400ER",'2024'!$J$4="FO",'2024'!$J$2=BK233),'2024DATA'!$F$12,"")</f>
        <v/>
      </c>
      <c r="BL243" s="518" t="str">
        <f>IF(AND(_D="B-767-400ER",'2024'!$J$4="FO",'2024'!$J$2=BL233),'2024DATA'!$G$12,"")</f>
        <v/>
      </c>
      <c r="BM243" s="518" t="str">
        <f>IF(AND(_D="B-767-400ER",'2024'!$J$4="FO",'2024'!$J$2=BM233),'2024DATA'!$H$12,"")</f>
        <v/>
      </c>
      <c r="BN243" s="518" t="str">
        <f>IF(AND(_D="B-767-400ER",'2024'!$J$4="FO",'2024'!$J$2=BN233),'2024DATA'!$I$12,"")</f>
        <v/>
      </c>
      <c r="BO243" s="518" t="str">
        <f>IF(AND(_D="B-767-400ER",'2024'!$J$4="FO",'2024'!$J$2=BO233),'2024DATA'!$J$12,"")</f>
        <v/>
      </c>
      <c r="BP243" s="518" t="str">
        <f>IF(AND(_D="B-767-400ER",'2024'!$J$4="FO",'2024'!$J$2=BP233),'2024DATA'!$K$12,"")</f>
        <v/>
      </c>
      <c r="BQ243" s="518" t="str">
        <f>IF(AND(_D="B-767-400ER",'2024'!$J$4="FO",'2024'!$J$2=BQ233),'2024DATA'!$L$12,"")</f>
        <v/>
      </c>
      <c r="BR243" s="518" t="str">
        <f>IF(AND(_D="B-767-400ER",'2024'!$J$4="FO",'2024'!$J$2=BR233),'2024DATA'!$M$12,"")</f>
        <v/>
      </c>
      <c r="BS243" s="520" t="str">
        <f>IF(AND(_D="B-767-400ER",'2024'!$J$4="FO",'2024'!$J$2=BS233),'2024DATA'!$N$12,"")</f>
        <v/>
      </c>
      <c r="BT243" s="940"/>
      <c r="BU243" s="13" t="s">
        <v>62</v>
      </c>
      <c r="BV243" s="518" t="str">
        <f>IF(AND(_E="B-767-400ER",'2024'!$J$4="FO",'2024'!$J$2=BV233),'2024DATA'!$C$12,"")</f>
        <v/>
      </c>
      <c r="BW243" s="518" t="str">
        <f>IF(AND(_E="B-767-400ER",'2024'!$J$4="FO",'2024'!$J$2=BW233),'2024DATA'!$D$12,"")</f>
        <v/>
      </c>
      <c r="BX243" s="518" t="str">
        <f>IF(AND(_E="B-767-400ER",'2024'!$J$4="FO",'2024'!$J$2=BX233),'2024DATA'!$E$12,"")</f>
        <v/>
      </c>
      <c r="BY243" s="518" t="str">
        <f>IF(AND(_E="B-767-400ER",'2024'!$J$4="FO",'2024'!$J$2=BY233),'2024DATA'!$F$12,"")</f>
        <v/>
      </c>
      <c r="BZ243" s="518" t="str">
        <f>IF(AND(_E="B-767-400ER",'2024'!$J$4="FO",'2024'!$J$2=BZ233),'2024DATA'!$G$12,"")</f>
        <v/>
      </c>
      <c r="CA243" s="518" t="str">
        <f>IF(AND(_E="B-767-400ER",'2024'!$J$4="FO",'2024'!$J$2=CA233),'2024DATA'!$H$12,"")</f>
        <v/>
      </c>
      <c r="CB243" s="518" t="str">
        <f>IF(AND(_E="B-767-400ER",'2024'!$J$4="FO",'2024'!$J$2=CB233),'2024DATA'!$I$12,"")</f>
        <v/>
      </c>
      <c r="CC243" s="518" t="str">
        <f>IF(AND(_E="B-767-400ER",'2024'!$J$4="FO",'2024'!$J$2=CC233),'2024DATA'!$J$12,"")</f>
        <v/>
      </c>
      <c r="CD243" s="518" t="str">
        <f>IF(AND(_E="B-767-400ER",'2024'!$J$4="FO",'2024'!$J$2=CD233),'2024DATA'!$K$12,"")</f>
        <v/>
      </c>
      <c r="CE243" s="518" t="str">
        <f>IF(AND(_E="B-767-400ER",'2024'!$J$4="FO",'2024'!$J$2=CE233),'2024DATA'!$L$12,"")</f>
        <v/>
      </c>
      <c r="CF243" s="518" t="str">
        <f>IF(AND(_E="B-767-400ER",'2024'!$J$4="FO",'2024'!$J$2=CF233),'2024DATA'!$M$12,"")</f>
        <v/>
      </c>
      <c r="CG243" s="520" t="str">
        <f>IF(AND(_E="B-767-400ER",'2024'!$J$4="FO",'2024'!$J$2=CG233),'2024DATA'!$N$12,"")</f>
        <v/>
      </c>
      <c r="CH243" s="940"/>
      <c r="CI243" s="13" t="s">
        <v>62</v>
      </c>
      <c r="CJ243" s="518" t="str">
        <f>IF(AND(_F="B-767-400ER",'2024'!$J$4="FO",'2024'!$J$2=CJ233),'2024DATA'!$C$12,"")</f>
        <v/>
      </c>
      <c r="CK243" s="518" t="str">
        <f>IF(AND(_F="B-767-400ER",'2024'!$J$4="FO",'2024'!$J$2=CK233),'2024DATA'!$D$12,"")</f>
        <v/>
      </c>
      <c r="CL243" s="518" t="str">
        <f>IF(AND(_F="B-767-400ER",'2024'!$J$4="FO",'2024'!$J$2=CL233),'2024DATA'!$E$12,"")</f>
        <v/>
      </c>
      <c r="CM243" s="518" t="str">
        <f>IF(AND(_F="B-767-400ER",'2024'!$J$4="FO",'2024'!$J$2=CM233),'2024DATA'!$F$12,"")</f>
        <v/>
      </c>
      <c r="CN243" s="518" t="str">
        <f>IF(AND(_F="B-767-400ER",'2024'!$J$4="FO",'2024'!$J$2=CN233),'2024DATA'!$G$12,"")</f>
        <v/>
      </c>
      <c r="CO243" s="518" t="str">
        <f>IF(AND(_F="B-767-400ER",'2024'!$J$4="FO",'2024'!$J$2=CO233),'2024DATA'!$H$12,"")</f>
        <v/>
      </c>
      <c r="CP243" s="518" t="str">
        <f>IF(AND(_F="B-767-400ER",'2024'!$J$4="FO",'2024'!$J$2=CP233),'2024DATA'!$I$12,"")</f>
        <v/>
      </c>
      <c r="CQ243" s="518" t="str">
        <f>IF(AND(_F="B-767-400ER",'2024'!$J$4="FO",'2024'!$J$2=CQ233),'2024DATA'!$J$12,"")</f>
        <v/>
      </c>
      <c r="CR243" s="518" t="str">
        <f>IF(AND(_F="B-767-400ER",'2024'!$J$4="FO",'2024'!$J$2=CR233),'2024DATA'!$K$12,"")</f>
        <v/>
      </c>
      <c r="CS243" s="518" t="str">
        <f>IF(AND(_F="B-767-400ER",'2024'!$J$4="FO",'2024'!$J$2=CS233),'2024DATA'!$L$12,"")</f>
        <v/>
      </c>
      <c r="CT243" s="518" t="str">
        <f>IF(AND(_F="B-767-400ER",'2024'!$J$4="FO",'2024'!$J$2=CT233),'2024DATA'!$M$12,"")</f>
        <v/>
      </c>
      <c r="CU243" s="520" t="str">
        <f>IF(AND(_F="B-767-400ER",'2024'!$J$4="FO",'2024'!$J$2=CU233),'2024DATA'!$N$12,"")</f>
        <v/>
      </c>
    </row>
    <row r="244" spans="16:99" x14ac:dyDescent="0.25">
      <c r="P244" s="940" t="s">
        <v>43</v>
      </c>
      <c r="Q244" s="13" t="s">
        <v>61</v>
      </c>
      <c r="R244" s="518" t="str">
        <f>IF(AND(_A="B-767-300ER",'2024'!$J$4="CA",'2024'!$J$2=R233),'2024DATA'!$C$13,"")</f>
        <v/>
      </c>
      <c r="S244" s="518" t="str">
        <f>IF(AND(_A="B-767-300ER",'2024'!$J$4="CA",'2024'!$J$2=S233),'2024DATA'!$D$13,"")</f>
        <v/>
      </c>
      <c r="T244" s="518" t="str">
        <f>IF(AND(_A="B-767-300ER",'2024'!$J$4="CA",'2024'!$J$2=T233),'2024DATA'!$E$13,"")</f>
        <v/>
      </c>
      <c r="U244" s="518" t="str">
        <f>IF(AND(_A="B-767-300ER",'2024'!$J$4="CA",'2024'!$J$2=U233),'2024DATA'!$F$13,"")</f>
        <v/>
      </c>
      <c r="V244" s="518" t="str">
        <f>IF(AND(_A="B-767-300ER",'2024'!$J$4="CA",'2024'!$J$2=V233),'2024DATA'!$G$13,"")</f>
        <v/>
      </c>
      <c r="W244" s="518" t="str">
        <f>IF(AND(_A="B-767-300ER",'2024'!$J$4="CA",'2024'!$J$2=W233),'2024DATA'!$H$13,"")</f>
        <v/>
      </c>
      <c r="X244" s="518" t="str">
        <f>IF(AND(_A="B-767-300ER",'2024'!$J$4="CA",'2024'!$J$2=X233),'2024DATA'!$I$13,"")</f>
        <v/>
      </c>
      <c r="Y244" s="518" t="str">
        <f>IF(AND(_A="B-767-300ER",'2024'!$J$4="CA",'2024'!$J$2=Y233),'2024DATA'!$J$13,"")</f>
        <v/>
      </c>
      <c r="Z244" s="518" t="str">
        <f>IF(AND(_A="B-767-300ER",'2024'!$J$4="CA",'2024'!$J$2=Z233),'2024DATA'!$K$13,"")</f>
        <v/>
      </c>
      <c r="AA244" s="518" t="str">
        <f>IF(AND(_A="B-767-300ER",'2024'!$J$4="CA",'2024'!$J$2=AA233),'2024DATA'!$L$13,"")</f>
        <v/>
      </c>
      <c r="AB244" s="518" t="str">
        <f>IF(AND(_A="B-767-300ER",'2024'!$J$4="CA",'2024'!$J$2=AB233),'2024DATA'!$M$13,"")</f>
        <v/>
      </c>
      <c r="AC244" s="520" t="str">
        <f>IF(AND(_A="B-767-300ER",'2024'!$J$4="CA",'2024'!$J$2=AC233),'2024DATA'!$N$13,"")</f>
        <v/>
      </c>
      <c r="AD244" s="940" t="s">
        <v>43</v>
      </c>
      <c r="AE244" s="13" t="s">
        <v>61</v>
      </c>
      <c r="AF244" s="518" t="str">
        <f>IF(AND(_B="B-767-300ER",'2024'!$J$4="CA",'2024'!$J$2=AF233),'2024DATA'!$C$13,"")</f>
        <v/>
      </c>
      <c r="AG244" s="518" t="str">
        <f>IF(AND(_B="B-767-300ER",'2024'!$J$4="CA",'2024'!$J$2=AG233),'2024DATA'!$D$13,"")</f>
        <v/>
      </c>
      <c r="AH244" s="518" t="str">
        <f>IF(AND(_B="B-767-300ER",'2024'!$J$4="CA",'2024'!$J$2=AH233),'2024DATA'!$E$13,"")</f>
        <v/>
      </c>
      <c r="AI244" s="518" t="str">
        <f>IF(AND(_B="B-767-300ER",'2024'!$J$4="CA",'2024'!$J$2=AI233),'2024DATA'!$F$13,"")</f>
        <v/>
      </c>
      <c r="AJ244" s="518" t="str">
        <f>IF(AND(_B="B-767-300ER",'2024'!$J$4="CA",'2024'!$J$2=AJ233),'2024DATA'!$G$13,"")</f>
        <v/>
      </c>
      <c r="AK244" s="518" t="str">
        <f>IF(AND(_B="B-767-300ER",'2024'!$J$4="CA",'2024'!$J$2=AK233),'2024DATA'!$H$13,"")</f>
        <v/>
      </c>
      <c r="AL244" s="518" t="str">
        <f>IF(AND(_B="B-767-300ER",'2024'!$J$4="CA",'2024'!$J$2=AL233),'2024DATA'!$I$13,"")</f>
        <v/>
      </c>
      <c r="AM244" s="518" t="str">
        <f>IF(AND(_B="B-767-300ER",'2024'!$J$4="CA",'2024'!$J$2=AM233),'2024DATA'!$J$13,"")</f>
        <v/>
      </c>
      <c r="AN244" s="518" t="str">
        <f>IF(AND(_B="B-767-300ER",'2024'!$J$4="CA",'2024'!$J$2=AN233),'2024DATA'!$K$13,"")</f>
        <v/>
      </c>
      <c r="AO244" s="518" t="str">
        <f>IF(AND(_B="B-767-300ER",'2024'!$J$4="CA",'2024'!$J$2=AO233),'2024DATA'!$L$13,"")</f>
        <v/>
      </c>
      <c r="AP244" s="518" t="str">
        <f>IF(AND(_B="B-767-300ER",'2024'!$J$4="CA",'2024'!$J$2=AP233),'2024DATA'!$M$13,"")</f>
        <v/>
      </c>
      <c r="AQ244" s="520" t="str">
        <f>IF(AND(_B="B-767-300ER",'2024'!$J$4="CA",'2024'!$J$2=AQ233),'2024DATA'!$N$13,"")</f>
        <v/>
      </c>
      <c r="AR244" s="940" t="s">
        <v>43</v>
      </c>
      <c r="AS244" s="13" t="s">
        <v>61</v>
      </c>
      <c r="AT244" s="518" t="str">
        <f>IF(AND(_C="B-767-300ER",'2024'!$J$4="CA",'2024'!$J$2=AT233),'2024DATA'!$C$13,"")</f>
        <v/>
      </c>
      <c r="AU244" s="518" t="str">
        <f>IF(AND(_C="B-767-300ER",'2024'!$J$4="CA",'2024'!$J$2=AU233),'2024DATA'!$D$13,"")</f>
        <v/>
      </c>
      <c r="AV244" s="518" t="str">
        <f>IF(AND(_C="B-767-300ER",'2024'!$J$4="CA",'2024'!$J$2=AV233),'2024DATA'!$E$13,"")</f>
        <v/>
      </c>
      <c r="AW244" s="518" t="str">
        <f>IF(AND(_C="B-767-300ER",'2024'!$J$4="CA",'2024'!$J$2=AW233),'2024DATA'!$F$13,"")</f>
        <v/>
      </c>
      <c r="AX244" s="518" t="str">
        <f>IF(AND(_C="B-767-300ER",'2024'!$J$4="CA",'2024'!$J$2=AX233),'2024DATA'!$G$13,"")</f>
        <v/>
      </c>
      <c r="AY244" s="518" t="str">
        <f>IF(AND(_C="B-767-300ER",'2024'!$J$4="CA",'2024'!$J$2=AY233),'2024DATA'!$H$13,"")</f>
        <v/>
      </c>
      <c r="AZ244" s="518" t="str">
        <f>IF(AND(_C="B-767-300ER",'2024'!$J$4="CA",'2024'!$J$2=AZ233),'2024DATA'!$I$13,"")</f>
        <v/>
      </c>
      <c r="BA244" s="518" t="str">
        <f>IF(AND(_C="B-767-300ER",'2024'!$J$4="CA",'2024'!$J$2=BA233),'2024DATA'!$J$13,"")</f>
        <v/>
      </c>
      <c r="BB244" s="518" t="str">
        <f>IF(AND(_C="B-767-300ER",'2024'!$J$4="CA",'2024'!$J$2=BB233),'2024DATA'!$K$13,"")</f>
        <v/>
      </c>
      <c r="BC244" s="518" t="str">
        <f>IF(AND(_C="B-767-300ER",'2024'!$J$4="CA",'2024'!$J$2=BC233),'2024DATA'!$L$13,"")</f>
        <v/>
      </c>
      <c r="BD244" s="518" t="str">
        <f>IF(AND(_C="B-767-300ER",'2024'!$J$4="CA",'2024'!$J$2=BD233),'2024DATA'!$M$13,"")</f>
        <v/>
      </c>
      <c r="BE244" s="520" t="str">
        <f>IF(AND(_C="B-767-300ER",'2024'!$J$4="CA",'2024'!$J$2=BE233),'2024DATA'!$N$13,"")</f>
        <v/>
      </c>
      <c r="BF244" s="940" t="s">
        <v>43</v>
      </c>
      <c r="BG244" s="13" t="s">
        <v>61</v>
      </c>
      <c r="BH244" s="518" t="str">
        <f>IF(AND(_D="B-767-300ER",'2024'!$J$4="CA",'2024'!$J$2=BH233),'2024DATA'!$C$13,"")</f>
        <v/>
      </c>
      <c r="BI244" s="518" t="str">
        <f>IF(AND(_D="B-767-300ER",'2024'!$J$4="CA",'2024'!$J$2=BI233),'2024DATA'!$D$13,"")</f>
        <v/>
      </c>
      <c r="BJ244" s="518" t="str">
        <f>IF(AND(_D="B-767-300ER",'2024'!$J$4="CA",'2024'!$J$2=BJ233),'2024DATA'!$E$13,"")</f>
        <v/>
      </c>
      <c r="BK244" s="518" t="str">
        <f>IF(AND(_D="B-767-300ER",'2024'!$J$4="CA",'2024'!$J$2=BK233),'2024DATA'!$F$13,"")</f>
        <v/>
      </c>
      <c r="BL244" s="518" t="str">
        <f>IF(AND(_D="B-767-300ER",'2024'!$J$4="CA",'2024'!$J$2=BL233),'2024DATA'!$G$13,"")</f>
        <v/>
      </c>
      <c r="BM244" s="518" t="str">
        <f>IF(AND(_D="B-767-300ER",'2024'!$J$4="CA",'2024'!$J$2=BM233),'2024DATA'!$H$13,"")</f>
        <v/>
      </c>
      <c r="BN244" s="518" t="str">
        <f>IF(AND(_D="B-767-300ER",'2024'!$J$4="CA",'2024'!$J$2=BN233),'2024DATA'!$I$13,"")</f>
        <v/>
      </c>
      <c r="BO244" s="518" t="str">
        <f>IF(AND(_D="B-767-300ER",'2024'!$J$4="CA",'2024'!$J$2=BO233),'2024DATA'!$J$13,"")</f>
        <v/>
      </c>
      <c r="BP244" s="518" t="str">
        <f>IF(AND(_D="B-767-300ER",'2024'!$J$4="CA",'2024'!$J$2=BP233),'2024DATA'!$K$13,"")</f>
        <v/>
      </c>
      <c r="BQ244" s="518" t="str">
        <f>IF(AND(_D="B-767-300ER",'2024'!$J$4="CA",'2024'!$J$2=BQ233),'2024DATA'!$L$13,"")</f>
        <v/>
      </c>
      <c r="BR244" s="518" t="str">
        <f>IF(AND(_D="B-767-300ER",'2024'!$J$4="CA",'2024'!$J$2=BR233),'2024DATA'!$M$13,"")</f>
        <v/>
      </c>
      <c r="BS244" s="520" t="str">
        <f>IF(AND(_D="B-767-300ER",'2024'!$J$4="CA",'2024'!$J$2=BS233),'2024DATA'!$N$13,"")</f>
        <v/>
      </c>
      <c r="BT244" s="940" t="s">
        <v>43</v>
      </c>
      <c r="BU244" s="13" t="s">
        <v>61</v>
      </c>
      <c r="BV244" s="518" t="str">
        <f>IF(AND(_E="B-767-300ER",'2024'!$J$4="CA",'2024'!$J$2=BV233),'2024DATA'!$C$13,"")</f>
        <v/>
      </c>
      <c r="BW244" s="518" t="str">
        <f>IF(AND(_E="B-767-300ER",'2024'!$J$4="CA",'2024'!$J$2=BW233),'2024DATA'!$D$13,"")</f>
        <v/>
      </c>
      <c r="BX244" s="518" t="str">
        <f>IF(AND(_E="B-767-300ER",'2024'!$J$4="CA",'2024'!$J$2=BX233),'2024DATA'!$E$13,"")</f>
        <v/>
      </c>
      <c r="BY244" s="518" t="str">
        <f>IF(AND(_E="B-767-300ER",'2024'!$J$4="CA",'2024'!$J$2=BY233),'2024DATA'!$F$13,"")</f>
        <v/>
      </c>
      <c r="BZ244" s="518" t="str">
        <f>IF(AND(_E="B-767-300ER",'2024'!$J$4="CA",'2024'!$J$2=BZ233),'2024DATA'!$G$13,"")</f>
        <v/>
      </c>
      <c r="CA244" s="518" t="str">
        <f>IF(AND(_E="B-767-300ER",'2024'!$J$4="CA",'2024'!$J$2=CA233),'2024DATA'!$H$13,"")</f>
        <v/>
      </c>
      <c r="CB244" s="518" t="str">
        <f>IF(AND(_E="B-767-300ER",'2024'!$J$4="CA",'2024'!$J$2=CB233),'2024DATA'!$I$13,"")</f>
        <v/>
      </c>
      <c r="CC244" s="518" t="str">
        <f>IF(AND(_E="B-767-300ER",'2024'!$J$4="CA",'2024'!$J$2=CC233),'2024DATA'!$J$13,"")</f>
        <v/>
      </c>
      <c r="CD244" s="518" t="str">
        <f>IF(AND(_E="B-767-300ER",'2024'!$J$4="CA",'2024'!$J$2=CD233),'2024DATA'!$K$13,"")</f>
        <v/>
      </c>
      <c r="CE244" s="518" t="str">
        <f>IF(AND(_E="B-767-300ER",'2024'!$J$4="CA",'2024'!$J$2=CE233),'2024DATA'!$L$13,"")</f>
        <v/>
      </c>
      <c r="CF244" s="518" t="str">
        <f>IF(AND(_E="B-767-300ER",'2024'!$J$4="CA",'2024'!$J$2=CF233),'2024DATA'!$M$13,"")</f>
        <v/>
      </c>
      <c r="CG244" s="520" t="str">
        <f>IF(AND(_E="B-767-300ER",'2024'!$J$4="CA",'2024'!$J$2=CG233),'2024DATA'!$N$13,"")</f>
        <v/>
      </c>
      <c r="CH244" s="940" t="s">
        <v>43</v>
      </c>
      <c r="CI244" s="13" t="s">
        <v>61</v>
      </c>
      <c r="CJ244" s="518" t="str">
        <f>IF(AND(_F="B-767-300ER",'2024'!$J$4="CA",'2024'!$J$2=CJ233),'2024DATA'!$C$13,"")</f>
        <v/>
      </c>
      <c r="CK244" s="518" t="str">
        <f>IF(AND(_F="B-767-300ER",'2024'!$J$4="CA",'2024'!$J$2=CK233),'2024DATA'!$D$13,"")</f>
        <v/>
      </c>
      <c r="CL244" s="518" t="str">
        <f>IF(AND(_F="B-767-300ER",'2024'!$J$4="CA",'2024'!$J$2=CL233),'2024DATA'!$E$13,"")</f>
        <v/>
      </c>
      <c r="CM244" s="518" t="str">
        <f>IF(AND(_F="B-767-300ER",'2024'!$J$4="CA",'2024'!$J$2=CM233),'2024DATA'!$F$13,"")</f>
        <v/>
      </c>
      <c r="CN244" s="518" t="str">
        <f>IF(AND(_F="B-767-300ER",'2024'!$J$4="CA",'2024'!$J$2=CN233),'2024DATA'!$G$13,"")</f>
        <v/>
      </c>
      <c r="CO244" s="518" t="str">
        <f>IF(AND(_F="B-767-300ER",'2024'!$J$4="CA",'2024'!$J$2=CO233),'2024DATA'!$H$13,"")</f>
        <v/>
      </c>
      <c r="CP244" s="518" t="str">
        <f>IF(AND(_F="B-767-300ER",'2024'!$J$4="CA",'2024'!$J$2=CP233),'2024DATA'!$I$13,"")</f>
        <v/>
      </c>
      <c r="CQ244" s="518" t="str">
        <f>IF(AND(_F="B-767-300ER",'2024'!$J$4="CA",'2024'!$J$2=CQ233),'2024DATA'!$J$13,"")</f>
        <v/>
      </c>
      <c r="CR244" s="518" t="str">
        <f>IF(AND(_F="B-767-300ER",'2024'!$J$4="CA",'2024'!$J$2=CR233),'2024DATA'!$K$13,"")</f>
        <v/>
      </c>
      <c r="CS244" s="518" t="str">
        <f>IF(AND(_F="B-767-300ER",'2024'!$J$4="CA",'2024'!$J$2=CS233),'2024DATA'!$L$13,"")</f>
        <v/>
      </c>
      <c r="CT244" s="518" t="str">
        <f>IF(AND(_F="B-767-300ER",'2024'!$J$4="CA",'2024'!$J$2=CT233),'2024DATA'!$M$13,"")</f>
        <v/>
      </c>
      <c r="CU244" s="520" t="str">
        <f>IF(AND(_F="B-767-300ER",'2024'!$J$4="CA",'2024'!$J$2=CU233),'2024DATA'!$N$13,"")</f>
        <v/>
      </c>
    </row>
    <row r="245" spans="16:99" x14ac:dyDescent="0.25">
      <c r="P245" s="940"/>
      <c r="Q245" s="13" t="s">
        <v>62</v>
      </c>
      <c r="R245" s="518" t="str">
        <f>IF(AND(_A="B-767-300ER",'2024'!$J$4="FO",'2024'!$J$2=R233),'2024DATA'!$C$14,"")</f>
        <v/>
      </c>
      <c r="S245" s="518" t="str">
        <f>IF(AND(_A="B-767-300ER",'2024'!$J$4="FO",'2024'!$J$2=S233),'2024DATA'!$D$14,"")</f>
        <v/>
      </c>
      <c r="T245" s="518" t="str">
        <f>IF(AND(_A="B-767-300ER",'2024'!$J$4="FO",'2024'!$J$2=T233),'2024DATA'!$E$14,"")</f>
        <v/>
      </c>
      <c r="U245" s="518" t="str">
        <f>IF(AND(_A="B-767-300ER",'2024'!$J$4="FO",'2024'!$J$2=U233),'2024DATA'!$F$14,"")</f>
        <v/>
      </c>
      <c r="V245" s="518" t="str">
        <f>IF(AND(_A="B-767-300ER",'2024'!$J$4="FO",'2024'!$J$2=V233),'2024DATA'!$G$14,"")</f>
        <v/>
      </c>
      <c r="W245" s="518" t="str">
        <f>IF(AND(_A="B-767-300ER",'2024'!$J$4="FO",'2024'!$J$2=W233),'2024DATA'!$H$14,"")</f>
        <v/>
      </c>
      <c r="X245" s="518" t="str">
        <f>IF(AND(_A="B-767-300ER",'2024'!$J$4="FO",'2024'!$J$2=X233),'2024DATA'!$I$14,"")</f>
        <v/>
      </c>
      <c r="Y245" s="518" t="str">
        <f>IF(AND(_A="B-767-300ER",'2024'!$J$4="FO",'2024'!$J$2=Y233),'2024DATA'!$J$14,"")</f>
        <v/>
      </c>
      <c r="Z245" s="518" t="str">
        <f>IF(AND(_A="B-767-300ER",'2024'!$J$4="FO",'2024'!$J$2=Z233),'2024DATA'!$K$14,"")</f>
        <v/>
      </c>
      <c r="AA245" s="518" t="str">
        <f>IF(AND(_A="B-767-300ER",'2024'!$J$4="FO",'2024'!$J$2=AA233),'2024DATA'!$L$14,"")</f>
        <v/>
      </c>
      <c r="AB245" s="518" t="str">
        <f>IF(AND(_A="B-767-300ER",'2024'!$J$4="FO",'2024'!$J$2=AB233),'2024DATA'!$M$14,"")</f>
        <v/>
      </c>
      <c r="AC245" s="520" t="str">
        <f>IF(AND(_A="B-767-300ER",'2024'!$J$4="FO",'2024'!$J$2=AC233),'2024DATA'!$N$14,"")</f>
        <v/>
      </c>
      <c r="AD245" s="940"/>
      <c r="AE245" s="13" t="s">
        <v>62</v>
      </c>
      <c r="AF245" s="518" t="str">
        <f>IF(AND(_B="B-767-300ER",'2024'!$J$4="FO",'2024'!$J$2=AF233),'2024DATA'!$C$14,"")</f>
        <v/>
      </c>
      <c r="AG245" s="518" t="str">
        <f>IF(AND(_B="B-767-300ER",'2024'!$J$4="FO",'2024'!$J$2=AG233),'2024DATA'!$D$14,"")</f>
        <v/>
      </c>
      <c r="AH245" s="518" t="str">
        <f>IF(AND(_B="B-767-300ER",'2024'!$J$4="FO",'2024'!$J$2=AH233),'2024DATA'!$E$14,"")</f>
        <v/>
      </c>
      <c r="AI245" s="518" t="str">
        <f>IF(AND(_B="B-767-300ER",'2024'!$J$4="FO",'2024'!$J$2=AI233),'2024DATA'!$F$14,"")</f>
        <v/>
      </c>
      <c r="AJ245" s="518" t="str">
        <f>IF(AND(_B="B-767-300ER",'2024'!$J$4="FO",'2024'!$J$2=AJ233),'2024DATA'!$G$14,"")</f>
        <v/>
      </c>
      <c r="AK245" s="518" t="str">
        <f>IF(AND(_B="B-767-300ER",'2024'!$J$4="FO",'2024'!$J$2=AK233),'2024DATA'!$H$14,"")</f>
        <v/>
      </c>
      <c r="AL245" s="518" t="str">
        <f>IF(AND(_B="B-767-300ER",'2024'!$J$4="FO",'2024'!$J$2=AL233),'2024DATA'!$I$14,"")</f>
        <v/>
      </c>
      <c r="AM245" s="518" t="str">
        <f>IF(AND(_B="B-767-300ER",'2024'!$J$4="FO",'2024'!$J$2=AM233),'2024DATA'!$J$14,"")</f>
        <v/>
      </c>
      <c r="AN245" s="518" t="str">
        <f>IF(AND(_B="B-767-300ER",'2024'!$J$4="FO",'2024'!$J$2=AN233),'2024DATA'!$K$14,"")</f>
        <v/>
      </c>
      <c r="AO245" s="518" t="str">
        <f>IF(AND(_B="B-767-300ER",'2024'!$J$4="FO",'2024'!$J$2=AO233),'2024DATA'!$L$14,"")</f>
        <v/>
      </c>
      <c r="AP245" s="518" t="str">
        <f>IF(AND(_B="B-767-300ER",'2024'!$J$4="FO",'2024'!$J$2=AP233),'2024DATA'!$M$14,"")</f>
        <v/>
      </c>
      <c r="AQ245" s="520" t="str">
        <f>IF(AND(_B="B-767-300ER",'2024'!$J$4="FO",'2024'!$J$2=AQ233),'2024DATA'!$N$14,"")</f>
        <v/>
      </c>
      <c r="AR245" s="940"/>
      <c r="AS245" s="13" t="s">
        <v>62</v>
      </c>
      <c r="AT245" s="518" t="str">
        <f>IF(AND(_C="B-767-300ER",'2024'!$J$4="FO",'2024'!$J$2=AT233),'2024DATA'!$C$14,"")</f>
        <v/>
      </c>
      <c r="AU245" s="518" t="str">
        <f>IF(AND(_C="B-767-300ER",'2024'!$J$4="FO",'2024'!$J$2=AU233),'2024DATA'!$D$14,"")</f>
        <v/>
      </c>
      <c r="AV245" s="518" t="str">
        <f>IF(AND(_C="B-767-300ER",'2024'!$J$4="FO",'2024'!$J$2=AV233),'2024DATA'!$E$14,"")</f>
        <v/>
      </c>
      <c r="AW245" s="518" t="str">
        <f>IF(AND(_C="B-767-300ER",'2024'!$J$4="FO",'2024'!$J$2=AW233),'2024DATA'!$F$14,"")</f>
        <v/>
      </c>
      <c r="AX245" s="518" t="str">
        <f>IF(AND(_C="B-767-300ER",'2024'!$J$4="FO",'2024'!$J$2=AX233),'2024DATA'!$G$14,"")</f>
        <v/>
      </c>
      <c r="AY245" s="518" t="str">
        <f>IF(AND(_C="B-767-300ER",'2024'!$J$4="FO",'2024'!$J$2=AY233),'2024DATA'!$H$14,"")</f>
        <v/>
      </c>
      <c r="AZ245" s="518" t="str">
        <f>IF(AND(_C="B-767-300ER",'2024'!$J$4="FO",'2024'!$J$2=AZ233),'2024DATA'!$I$14,"")</f>
        <v/>
      </c>
      <c r="BA245" s="518" t="str">
        <f>IF(AND(_C="B-767-300ER",'2024'!$J$4="FO",'2024'!$J$2=BA233),'2024DATA'!$J$14,"")</f>
        <v/>
      </c>
      <c r="BB245" s="518" t="str">
        <f>IF(AND(_C="B-767-300ER",'2024'!$J$4="FO",'2024'!$J$2=BB233),'2024DATA'!$K$14,"")</f>
        <v/>
      </c>
      <c r="BC245" s="518" t="str">
        <f>IF(AND(_C="B-767-300ER",'2024'!$J$4="FO",'2024'!$J$2=BC233),'2024DATA'!$L$14,"")</f>
        <v/>
      </c>
      <c r="BD245" s="518" t="str">
        <f>IF(AND(_C="B-767-300ER",'2024'!$J$4="FO",'2024'!$J$2=BD233),'2024DATA'!$M$14,"")</f>
        <v/>
      </c>
      <c r="BE245" s="520" t="str">
        <f>IF(AND(_C="B-767-300ER",'2024'!$J$4="FO",'2024'!$J$2=BE233),'2024DATA'!$N$14,"")</f>
        <v/>
      </c>
      <c r="BF245" s="940"/>
      <c r="BG245" s="13" t="s">
        <v>62</v>
      </c>
      <c r="BH245" s="518" t="str">
        <f>IF(AND(_D="B-767-300ER",'2024'!$J$4="FO",'2024'!$J$2=BH233),'2024DATA'!$C$14,"")</f>
        <v/>
      </c>
      <c r="BI245" s="518" t="str">
        <f>IF(AND(_D="B-767-300ER",'2024'!$J$4="FO",'2024'!$J$2=BI233),'2024DATA'!$D$14,"")</f>
        <v/>
      </c>
      <c r="BJ245" s="518" t="str">
        <f>IF(AND(_D="B-767-300ER",'2024'!$J$4="FO",'2024'!$J$2=BJ233),'2024DATA'!$E$14,"")</f>
        <v/>
      </c>
      <c r="BK245" s="518" t="str">
        <f>IF(AND(_D="B-767-300ER",'2024'!$J$4="FO",'2024'!$J$2=BK233),'2024DATA'!$F$14,"")</f>
        <v/>
      </c>
      <c r="BL245" s="518" t="str">
        <f>IF(AND(_D="B-767-300ER",'2024'!$J$4="FO",'2024'!$J$2=BL233),'2024DATA'!$G$14,"")</f>
        <v/>
      </c>
      <c r="BM245" s="518" t="str">
        <f>IF(AND(_D="B-767-300ER",'2024'!$J$4="FO",'2024'!$J$2=BM233),'2024DATA'!$H$14,"")</f>
        <v/>
      </c>
      <c r="BN245" s="518" t="str">
        <f>IF(AND(_D="B-767-300ER",'2024'!$J$4="FO",'2024'!$J$2=BN233),'2024DATA'!$I$14,"")</f>
        <v/>
      </c>
      <c r="BO245" s="518" t="str">
        <f>IF(AND(_D="B-767-300ER",'2024'!$J$4="FO",'2024'!$J$2=BO233),'2024DATA'!$J$14,"")</f>
        <v/>
      </c>
      <c r="BP245" s="518" t="str">
        <f>IF(AND(_D="B-767-300ER",'2024'!$J$4="FO",'2024'!$J$2=BP233),'2024DATA'!$K$14,"")</f>
        <v/>
      </c>
      <c r="BQ245" s="518" t="str">
        <f>IF(AND(_D="B-767-300ER",'2024'!$J$4="FO",'2024'!$J$2=BQ233),'2024DATA'!$L$14,"")</f>
        <v/>
      </c>
      <c r="BR245" s="518" t="str">
        <f>IF(AND(_D="B-767-300ER",'2024'!$J$4="FO",'2024'!$J$2=BR233),'2024DATA'!$M$14,"")</f>
        <v/>
      </c>
      <c r="BS245" s="520" t="str">
        <f>IF(AND(_D="B-767-300ER",'2024'!$J$4="FO",'2024'!$J$2=BS233),'2024DATA'!$N$14,"")</f>
        <v/>
      </c>
      <c r="BT245" s="940"/>
      <c r="BU245" s="13" t="s">
        <v>62</v>
      </c>
      <c r="BV245" s="518" t="str">
        <f>IF(AND(_E="B-767-300ER",'2024'!$J$4="FO",'2024'!$J$2=BV233),'2024DATA'!$C$14,"")</f>
        <v/>
      </c>
      <c r="BW245" s="518" t="str">
        <f>IF(AND(_E="B-767-300ER",'2024'!$J$4="FO",'2024'!$J$2=BW233),'2024DATA'!$D$14,"")</f>
        <v/>
      </c>
      <c r="BX245" s="518" t="str">
        <f>IF(AND(_E="B-767-300ER",'2024'!$J$4="FO",'2024'!$J$2=BX233),'2024DATA'!$E$14,"")</f>
        <v/>
      </c>
      <c r="BY245" s="518" t="str">
        <f>IF(AND(_E="B-767-300ER",'2024'!$J$4="FO",'2024'!$J$2=BY233),'2024DATA'!$F$14,"")</f>
        <v/>
      </c>
      <c r="BZ245" s="518" t="str">
        <f>IF(AND(_E="B-767-300ER",'2024'!$J$4="FO",'2024'!$J$2=BZ233),'2024DATA'!$G$14,"")</f>
        <v/>
      </c>
      <c r="CA245" s="518" t="str">
        <f>IF(AND(_E="B-767-300ER",'2024'!$J$4="FO",'2024'!$J$2=CA233),'2024DATA'!$H$14,"")</f>
        <v/>
      </c>
      <c r="CB245" s="518" t="str">
        <f>IF(AND(_E="B-767-300ER",'2024'!$J$4="FO",'2024'!$J$2=CB233),'2024DATA'!$I$14,"")</f>
        <v/>
      </c>
      <c r="CC245" s="518" t="str">
        <f>IF(AND(_E="B-767-300ER",'2024'!$J$4="FO",'2024'!$J$2=CC233),'2024DATA'!$J$14,"")</f>
        <v/>
      </c>
      <c r="CD245" s="518" t="str">
        <f>IF(AND(_E="B-767-300ER",'2024'!$J$4="FO",'2024'!$J$2=CD233),'2024DATA'!$K$14,"")</f>
        <v/>
      </c>
      <c r="CE245" s="518" t="str">
        <f>IF(AND(_E="B-767-300ER",'2024'!$J$4="FO",'2024'!$J$2=CE233),'2024DATA'!$L$14,"")</f>
        <v/>
      </c>
      <c r="CF245" s="518" t="str">
        <f>IF(AND(_E="B-767-300ER",'2024'!$J$4="FO",'2024'!$J$2=CF233),'2024DATA'!$M$14,"")</f>
        <v/>
      </c>
      <c r="CG245" s="520" t="str">
        <f>IF(AND(_E="B-767-300ER",'2024'!$J$4="FO",'2024'!$J$2=CG233),'2024DATA'!$N$14,"")</f>
        <v/>
      </c>
      <c r="CH245" s="940"/>
      <c r="CI245" s="13" t="s">
        <v>62</v>
      </c>
      <c r="CJ245" s="518" t="str">
        <f>IF(AND(_F="B-767-300ER",'2024'!$J$4="FO",'2024'!$J$2=CJ233),'2024DATA'!$C$14,"")</f>
        <v/>
      </c>
      <c r="CK245" s="518" t="str">
        <f>IF(AND(_F="B-767-300ER",'2024'!$J$4="FO",'2024'!$J$2=CK233),'2024DATA'!$D$14,"")</f>
        <v/>
      </c>
      <c r="CL245" s="518" t="str">
        <f>IF(AND(_F="B-767-300ER",'2024'!$J$4="FO",'2024'!$J$2=CL233),'2024DATA'!$E$14,"")</f>
        <v/>
      </c>
      <c r="CM245" s="518" t="str">
        <f>IF(AND(_F="B-767-300ER",'2024'!$J$4="FO",'2024'!$J$2=CM233),'2024DATA'!$F$14,"")</f>
        <v/>
      </c>
      <c r="CN245" s="518" t="str">
        <f>IF(AND(_F="B-767-300ER",'2024'!$J$4="FO",'2024'!$J$2=CN233),'2024DATA'!$G$14,"")</f>
        <v/>
      </c>
      <c r="CO245" s="518" t="str">
        <f>IF(AND(_F="B-767-300ER",'2024'!$J$4="FO",'2024'!$J$2=CO233),'2024DATA'!$H$14,"")</f>
        <v/>
      </c>
      <c r="CP245" s="518" t="str">
        <f>IF(AND(_F="B-767-300ER",'2024'!$J$4="FO",'2024'!$J$2=CP233),'2024DATA'!$I$14,"")</f>
        <v/>
      </c>
      <c r="CQ245" s="518" t="str">
        <f>IF(AND(_F="B-767-300ER",'2024'!$J$4="FO",'2024'!$J$2=CQ233),'2024DATA'!$J$14,"")</f>
        <v/>
      </c>
      <c r="CR245" s="518" t="str">
        <f>IF(AND(_F="B-767-300ER",'2024'!$J$4="FO",'2024'!$J$2=CR233),'2024DATA'!$K$14,"")</f>
        <v/>
      </c>
      <c r="CS245" s="518" t="str">
        <f>IF(AND(_F="B-767-300ER",'2024'!$J$4="FO",'2024'!$J$2=CS233),'2024DATA'!$L$14,"")</f>
        <v/>
      </c>
      <c r="CT245" s="518" t="str">
        <f>IF(AND(_F="B-767-300ER",'2024'!$J$4="FO",'2024'!$J$2=CT233),'2024DATA'!$M$14,"")</f>
        <v/>
      </c>
      <c r="CU245" s="520" t="str">
        <f>IF(AND(_F="B-767-300ER",'2024'!$J$4="FO",'2024'!$J$2=CU233),'2024DATA'!$N$14,"")</f>
        <v/>
      </c>
    </row>
    <row r="246" spans="16:99" x14ac:dyDescent="0.25">
      <c r="P246" s="940" t="s">
        <v>67</v>
      </c>
      <c r="Q246" s="13" t="s">
        <v>61</v>
      </c>
      <c r="R246" s="518" t="str">
        <f>IF(AND(_A="B-767-300",'2024'!$J$4="CA",'2024'!$J$2=R233),'2024DATA'!$C$15,"")</f>
        <v/>
      </c>
      <c r="S246" s="518" t="str">
        <f>IF(AND(_A="B-767-300",'2024'!$J$4="CA",'2024'!$J$2=S233),'2024DATA'!$D$15,"")</f>
        <v/>
      </c>
      <c r="T246" s="518" t="str">
        <f>IF(AND(_A="B-767-300",'2024'!$J$4="CA",'2024'!$J$2=T233),'2024DATA'!$E$15,"")</f>
        <v/>
      </c>
      <c r="U246" s="518" t="str">
        <f>IF(AND(_A="B-767-300",'2024'!$J$4="CA",'2024'!$J$2=U233),'2024DATA'!$F$15,"")</f>
        <v/>
      </c>
      <c r="V246" s="518" t="str">
        <f>IF(AND(_A="B-767-300",'2024'!$J$4="CA",'2024'!$J$2=V233),'2024DATA'!$G$15,"")</f>
        <v/>
      </c>
      <c r="W246" s="518" t="str">
        <f>IF(AND(_A="B-767-300",'2024'!$J$4="CA",'2024'!$J$2=W233),'2024DATA'!$H$15,"")</f>
        <v/>
      </c>
      <c r="X246" s="518" t="str">
        <f>IF(AND(_A="B-767-300",'2024'!$J$4="CA",'2024'!$J$2=X233),'2024DATA'!$I$15,"")</f>
        <v/>
      </c>
      <c r="Y246" s="518" t="str">
        <f>IF(AND(_A="B-767-300",'2024'!$J$4="CA",'2024'!$J$2=Y233),'2024DATA'!$J$15,"")</f>
        <v/>
      </c>
      <c r="Z246" s="518" t="str">
        <f>IF(AND(_A="B-767-300",'2024'!$J$4="CA",'2024'!$J$2=Z233),'2024DATA'!$K$15,"")</f>
        <v/>
      </c>
      <c r="AA246" s="518" t="str">
        <f>IF(AND(_A="B-767-300",'2024'!$J$4="CA",'2024'!$J$2=AA233),'2024DATA'!$L$15,"")</f>
        <v/>
      </c>
      <c r="AB246" s="518" t="str">
        <f>IF(AND(_A="B-767-300",'2024'!$J$4="CA",'2024'!$J$2=AB233),'2024DATA'!$M$15,"")</f>
        <v/>
      </c>
      <c r="AC246" s="520" t="str">
        <f>IF(AND(_A="B-767-300",'2024'!$J$4="CA",'2024'!$J$2=AC233),'2024DATA'!$N$15,"")</f>
        <v/>
      </c>
      <c r="AD246" s="940" t="s">
        <v>67</v>
      </c>
      <c r="AE246" s="13" t="s">
        <v>61</v>
      </c>
      <c r="AF246" s="518" t="str">
        <f>IF(AND(_B="B-767-300",'2024'!$J$4="CA",'2024'!$J$2=AF233),'2024DATA'!$C$15,"")</f>
        <v/>
      </c>
      <c r="AG246" s="518" t="str">
        <f>IF(AND(_B="B-767-300",'2024'!$J$4="CA",'2024'!$J$2=AG233),'2024DATA'!$D$15,"")</f>
        <v/>
      </c>
      <c r="AH246" s="518" t="str">
        <f>IF(AND(_B="B-767-300",'2024'!$J$4="CA",'2024'!$J$2=AH233),'2024DATA'!$E$15,"")</f>
        <v/>
      </c>
      <c r="AI246" s="518" t="str">
        <f>IF(AND(_B="B-767-300",'2024'!$J$4="CA",'2024'!$J$2=AI233),'2024DATA'!$F$15,"")</f>
        <v/>
      </c>
      <c r="AJ246" s="518" t="str">
        <f>IF(AND(_B="B-767-300",'2024'!$J$4="CA",'2024'!$J$2=AJ233),'2024DATA'!$G$15,"")</f>
        <v/>
      </c>
      <c r="AK246" s="518" t="str">
        <f>IF(AND(_B="B-767-300",'2024'!$J$4="CA",'2024'!$J$2=AK233),'2024DATA'!$H$15,"")</f>
        <v/>
      </c>
      <c r="AL246" s="518" t="str">
        <f>IF(AND(_B="B-767-300",'2024'!$J$4="CA",'2024'!$J$2=AL233),'2024DATA'!$I$15,"")</f>
        <v/>
      </c>
      <c r="AM246" s="518" t="str">
        <f>IF(AND(_B="B-767-300",'2024'!$J$4="CA",'2024'!$J$2=AM233),'2024DATA'!$J$15,"")</f>
        <v/>
      </c>
      <c r="AN246" s="518" t="str">
        <f>IF(AND(_B="B-767-300",'2024'!$J$4="CA",'2024'!$J$2=AN233),'2024DATA'!$K$15,"")</f>
        <v/>
      </c>
      <c r="AO246" s="518" t="str">
        <f>IF(AND(_B="B-767-300",'2024'!$J$4="CA",'2024'!$J$2=AO233),'2024DATA'!$L$15,"")</f>
        <v/>
      </c>
      <c r="AP246" s="518" t="str">
        <f>IF(AND(_B="B-767-300",'2024'!$J$4="CA",'2024'!$J$2=AP233),'2024DATA'!$M$15,"")</f>
        <v/>
      </c>
      <c r="AQ246" s="520" t="str">
        <f>IF(AND(_B="B-767-300",'2024'!$J$4="CA",'2024'!$J$2=AQ233),'2024DATA'!$N$15,"")</f>
        <v/>
      </c>
      <c r="AR246" s="940" t="s">
        <v>67</v>
      </c>
      <c r="AS246" s="13" t="s">
        <v>61</v>
      </c>
      <c r="AT246" s="518" t="str">
        <f>IF(AND(_C="B-767-300",'2024'!$J$4="CA",'2024'!$J$2=AT233),'2024DATA'!$C$15,"")</f>
        <v/>
      </c>
      <c r="AU246" s="518" t="str">
        <f>IF(AND(_C="B-767-300",'2024'!$J$4="CA",'2024'!$J$2=AU233),'2024DATA'!$D$15,"")</f>
        <v/>
      </c>
      <c r="AV246" s="518" t="str">
        <f>IF(AND(_C="B-767-300",'2024'!$J$4="CA",'2024'!$J$2=AV233),'2024DATA'!$E$15,"")</f>
        <v/>
      </c>
      <c r="AW246" s="518" t="str">
        <f>IF(AND(_C="B-767-300",'2024'!$J$4="CA",'2024'!$J$2=AW233),'2024DATA'!$F$15,"")</f>
        <v/>
      </c>
      <c r="AX246" s="518" t="str">
        <f>IF(AND(_C="B-767-300",'2024'!$J$4="CA",'2024'!$J$2=AX233),'2024DATA'!$G$15,"")</f>
        <v/>
      </c>
      <c r="AY246" s="518" t="str">
        <f>IF(AND(_C="B-767-300",'2024'!$J$4="CA",'2024'!$J$2=AY233),'2024DATA'!$H$15,"")</f>
        <v/>
      </c>
      <c r="AZ246" s="518" t="str">
        <f>IF(AND(_C="B-767-300",'2024'!$J$4="CA",'2024'!$J$2=AZ233),'2024DATA'!$I$15,"")</f>
        <v/>
      </c>
      <c r="BA246" s="518" t="str">
        <f>IF(AND(_C="B-767-300",'2024'!$J$4="CA",'2024'!$J$2=BA233),'2024DATA'!$J$15,"")</f>
        <v/>
      </c>
      <c r="BB246" s="518" t="str">
        <f>IF(AND(_C="B-767-300",'2024'!$J$4="CA",'2024'!$J$2=BB233),'2024DATA'!$K$15,"")</f>
        <v/>
      </c>
      <c r="BC246" s="518" t="str">
        <f>IF(AND(_C="B-767-300",'2024'!$J$4="CA",'2024'!$J$2=BC233),'2024DATA'!$L$15,"")</f>
        <v/>
      </c>
      <c r="BD246" s="518" t="str">
        <f>IF(AND(_C="B-767-300",'2024'!$J$4="CA",'2024'!$J$2=BD233),'2024DATA'!$M$15,"")</f>
        <v/>
      </c>
      <c r="BE246" s="520" t="str">
        <f>IF(AND(_C="B-767-300",'2024'!$J$4="CA",'2024'!$J$2=BE233),'2024DATA'!$N$15,"")</f>
        <v/>
      </c>
      <c r="BF246" s="940" t="s">
        <v>67</v>
      </c>
      <c r="BG246" s="13" t="s">
        <v>61</v>
      </c>
      <c r="BH246" s="518" t="str">
        <f>IF(AND(_D="B-767-300",'2024'!$J$4="CA",'2024'!$J$2=BH233),'2024DATA'!$C$15,"")</f>
        <v/>
      </c>
      <c r="BI246" s="518" t="str">
        <f>IF(AND(_D="B-767-300",'2024'!$J$4="CA",'2024'!$J$2=BI233),'2024DATA'!$D$15,"")</f>
        <v/>
      </c>
      <c r="BJ246" s="518" t="str">
        <f>IF(AND(_D="B-767-300",'2024'!$J$4="CA",'2024'!$J$2=BJ233),'2024DATA'!$E$15,"")</f>
        <v/>
      </c>
      <c r="BK246" s="518" t="str">
        <f>IF(AND(_D="B-767-300",'2024'!$J$4="CA",'2024'!$J$2=BK233),'2024DATA'!$F$15,"")</f>
        <v/>
      </c>
      <c r="BL246" s="518" t="str">
        <f>IF(AND(_D="B-767-300",'2024'!$J$4="CA",'2024'!$J$2=BL233),'2024DATA'!$G$15,"")</f>
        <v/>
      </c>
      <c r="BM246" s="518" t="str">
        <f>IF(AND(_D="B-767-300",'2024'!$J$4="CA",'2024'!$J$2=BM233),'2024DATA'!$H$15,"")</f>
        <v/>
      </c>
      <c r="BN246" s="518" t="str">
        <f>IF(AND(_D="B-767-300",'2024'!$J$4="CA",'2024'!$J$2=BN233),'2024DATA'!$I$15,"")</f>
        <v/>
      </c>
      <c r="BO246" s="518" t="str">
        <f>IF(AND(_D="B-767-300",'2024'!$J$4="CA",'2024'!$J$2=BO233),'2024DATA'!$J$15,"")</f>
        <v/>
      </c>
      <c r="BP246" s="518" t="str">
        <f>IF(AND(_D="B-767-300",'2024'!$J$4="CA",'2024'!$J$2=BP233),'2024DATA'!$K$15,"")</f>
        <v/>
      </c>
      <c r="BQ246" s="518" t="str">
        <f>IF(AND(_D="B-767-300",'2024'!$J$4="CA",'2024'!$J$2=BQ233),'2024DATA'!$L$15,"")</f>
        <v/>
      </c>
      <c r="BR246" s="518" t="str">
        <f>IF(AND(_D="B-767-300",'2024'!$J$4="CA",'2024'!$J$2=BR233),'2024DATA'!$M$15,"")</f>
        <v/>
      </c>
      <c r="BS246" s="520" t="str">
        <f>IF(AND(_D="B-767-300",'2024'!$J$4="CA",'2024'!$J$2=BS233),'2024DATA'!$N$15,"")</f>
        <v/>
      </c>
      <c r="BT246" s="940" t="s">
        <v>67</v>
      </c>
      <c r="BU246" s="13" t="s">
        <v>61</v>
      </c>
      <c r="BV246" s="518" t="str">
        <f>IF(AND(_E="B-767-300",'2024'!$J$4="CA",'2024'!$J$2=BV233),'2024DATA'!$C$15,"")</f>
        <v/>
      </c>
      <c r="BW246" s="518" t="str">
        <f>IF(AND(_E="B-767-300",'2024'!$J$4="CA",'2024'!$J$2=BW233),'2024DATA'!$D$15,"")</f>
        <v/>
      </c>
      <c r="BX246" s="518" t="str">
        <f>IF(AND(_E="B-767-300",'2024'!$J$4="CA",'2024'!$J$2=BX233),'2024DATA'!$E$15,"")</f>
        <v/>
      </c>
      <c r="BY246" s="518" t="str">
        <f>IF(AND(_E="B-767-300",'2024'!$J$4="CA",'2024'!$J$2=BY233),'2024DATA'!$F$15,"")</f>
        <v/>
      </c>
      <c r="BZ246" s="518" t="str">
        <f>IF(AND(_E="B-767-300",'2024'!$J$4="CA",'2024'!$J$2=BZ233),'2024DATA'!$G$15,"")</f>
        <v/>
      </c>
      <c r="CA246" s="518" t="str">
        <f>IF(AND(_E="B-767-300",'2024'!$J$4="CA",'2024'!$J$2=CA233),'2024DATA'!$H$15,"")</f>
        <v/>
      </c>
      <c r="CB246" s="518" t="str">
        <f>IF(AND(_E="B-767-300",'2024'!$J$4="CA",'2024'!$J$2=CB233),'2024DATA'!$I$15,"")</f>
        <v/>
      </c>
      <c r="CC246" s="518" t="str">
        <f>IF(AND(_E="B-767-300",'2024'!$J$4="CA",'2024'!$J$2=CC233),'2024DATA'!$J$15,"")</f>
        <v/>
      </c>
      <c r="CD246" s="518" t="str">
        <f>IF(AND(_E="B-767-300",'2024'!$J$4="CA",'2024'!$J$2=CD233),'2024DATA'!$K$15,"")</f>
        <v/>
      </c>
      <c r="CE246" s="518" t="str">
        <f>IF(AND(_E="B-767-300",'2024'!$J$4="CA",'2024'!$J$2=CE233),'2024DATA'!$L$15,"")</f>
        <v/>
      </c>
      <c r="CF246" s="518" t="str">
        <f>IF(AND(_E="B-767-300",'2024'!$J$4="CA",'2024'!$J$2=CF233),'2024DATA'!$M$15,"")</f>
        <v/>
      </c>
      <c r="CG246" s="520" t="str">
        <f>IF(AND(_E="B-767-300",'2024'!$J$4="CA",'2024'!$J$2=CG233),'2024DATA'!$N$15,"")</f>
        <v/>
      </c>
      <c r="CH246" s="940" t="s">
        <v>67</v>
      </c>
      <c r="CI246" s="13" t="s">
        <v>61</v>
      </c>
      <c r="CJ246" s="518" t="str">
        <f>IF(AND(_F="B-767-300",'2024'!$J$4="CA",'2024'!$J$2=CJ233),'2024DATA'!$C$15,"")</f>
        <v/>
      </c>
      <c r="CK246" s="518" t="str">
        <f>IF(AND(_F="B-767-300",'2024'!$J$4="CA",'2024'!$J$2=CK233),'2024DATA'!$D$15,"")</f>
        <v/>
      </c>
      <c r="CL246" s="518" t="str">
        <f>IF(AND(_F="B-767-300",'2024'!$J$4="CA",'2024'!$J$2=CL233),'2024DATA'!$E$15,"")</f>
        <v/>
      </c>
      <c r="CM246" s="518" t="str">
        <f>IF(AND(_F="B-767-300",'2024'!$J$4="CA",'2024'!$J$2=CM233),'2024DATA'!$F$15,"")</f>
        <v/>
      </c>
      <c r="CN246" s="518" t="str">
        <f>IF(AND(_F="B-767-300",'2024'!$J$4="CA",'2024'!$J$2=CN233),'2024DATA'!$G$15,"")</f>
        <v/>
      </c>
      <c r="CO246" s="518" t="str">
        <f>IF(AND(_F="B-767-300",'2024'!$J$4="CA",'2024'!$J$2=CO233),'2024DATA'!$H$15,"")</f>
        <v/>
      </c>
      <c r="CP246" s="518" t="str">
        <f>IF(AND(_F="B-767-300",'2024'!$J$4="CA",'2024'!$J$2=CP233),'2024DATA'!$I$15,"")</f>
        <v/>
      </c>
      <c r="CQ246" s="518" t="str">
        <f>IF(AND(_F="B-767-300",'2024'!$J$4="CA",'2024'!$J$2=CQ233),'2024DATA'!$J$15,"")</f>
        <v/>
      </c>
      <c r="CR246" s="518" t="str">
        <f>IF(AND(_F="B-767-300",'2024'!$J$4="CA",'2024'!$J$2=CR233),'2024DATA'!$K$15,"")</f>
        <v/>
      </c>
      <c r="CS246" s="518" t="str">
        <f>IF(AND(_F="B-767-300",'2024'!$J$4="CA",'2024'!$J$2=CS233),'2024DATA'!$L$15,"")</f>
        <v/>
      </c>
      <c r="CT246" s="518" t="str">
        <f>IF(AND(_F="B-767-300",'2024'!$J$4="CA",'2024'!$J$2=CT233),'2024DATA'!$M$15,"")</f>
        <v/>
      </c>
      <c r="CU246" s="520" t="str">
        <f>IF(AND(_F="B-767-300",'2024'!$J$4="CA",'2024'!$J$2=CU233),'2024DATA'!$N$15,"")</f>
        <v/>
      </c>
    </row>
    <row r="247" spans="16:99" x14ac:dyDescent="0.25">
      <c r="P247" s="940"/>
      <c r="Q247" s="13" t="s">
        <v>62</v>
      </c>
      <c r="R247" s="518" t="str">
        <f>IF(AND(_A="B-767-300",'2024'!$J$4="FO",'2024'!$J$2=R233),'2024DATA'!$C$16,"")</f>
        <v/>
      </c>
      <c r="S247" s="518" t="str">
        <f>IF(AND(_A="B-767-300",'2024'!$J$4="FO",'2024'!$J$2=S233),'2024DATA'!$D$16,"")</f>
        <v/>
      </c>
      <c r="T247" s="518" t="str">
        <f>IF(AND(_A="B-767-300",'2024'!$J$4="FO",'2024'!$J$2=T233),'2024DATA'!$E$16,"")</f>
        <v/>
      </c>
      <c r="U247" s="518" t="str">
        <f>IF(AND(_A="B-767-300",'2024'!$J$4="FO",'2024'!$J$2=U233),'2024DATA'!$F$16,"")</f>
        <v/>
      </c>
      <c r="V247" s="518" t="str">
        <f>IF(AND(_A="B-767-300",'2024'!$J$4="FO",'2024'!$J$2=V233),'2024DATA'!$G$16,"")</f>
        <v/>
      </c>
      <c r="W247" s="518" t="str">
        <f>IF(AND(_A="B-767-300",'2024'!$J$4="FO",'2024'!$J$2=W233),'2024DATA'!$H$16,"")</f>
        <v/>
      </c>
      <c r="X247" s="518" t="str">
        <f>IF(AND(_A="B-767-300",'2024'!$J$4="FO",'2024'!$J$2=X233),'2024DATA'!$I$16,"")</f>
        <v/>
      </c>
      <c r="Y247" s="518" t="str">
        <f>IF(AND(_A="B-767-300",'2024'!$J$4="FO",'2024'!$J$2=Y233),'2024DATA'!$J$16,"")</f>
        <v/>
      </c>
      <c r="Z247" s="518" t="str">
        <f>IF(AND(_A="B-767-300",'2024'!$J$4="FO",'2024'!$J$2=Z233),'2024DATA'!$K$16,"")</f>
        <v/>
      </c>
      <c r="AA247" s="518" t="str">
        <f>IF(AND(_A="B-767-300",'2024'!$J$4="FO",'2024'!$J$2=AA233),'2024DATA'!$L$16,"")</f>
        <v/>
      </c>
      <c r="AB247" s="518" t="str">
        <f>IF(AND(_A="B-767-300",'2024'!$J$4="FO",'2024'!$J$2=AB233),'2024DATA'!$M$16,"")</f>
        <v/>
      </c>
      <c r="AC247" s="520" t="str">
        <f>IF(AND(_A="B-767-300",'2024'!$J$4="FO",'2024'!$J$2=AC233),'2024DATA'!$N$16,"")</f>
        <v/>
      </c>
      <c r="AD247" s="940"/>
      <c r="AE247" s="13" t="s">
        <v>62</v>
      </c>
      <c r="AF247" s="518" t="str">
        <f>IF(AND(_B="B-767-300",'2024'!$J$4="FO",'2024'!$J$2=AF233),'2024DATA'!$C$16,"")</f>
        <v/>
      </c>
      <c r="AG247" s="518" t="str">
        <f>IF(AND(_B="B-767-300",'2024'!$J$4="FO",'2024'!$J$2=AG233),'2024DATA'!$D$16,"")</f>
        <v/>
      </c>
      <c r="AH247" s="518" t="str">
        <f>IF(AND(_B="B-767-300",'2024'!$J$4="FO",'2024'!$J$2=AH233),'2024DATA'!$E$16,"")</f>
        <v/>
      </c>
      <c r="AI247" s="518" t="str">
        <f>IF(AND(_B="B-767-300",'2024'!$J$4="FO",'2024'!$J$2=AI233),'2024DATA'!$F$16,"")</f>
        <v/>
      </c>
      <c r="AJ247" s="518" t="str">
        <f>IF(AND(_B="B-767-300",'2024'!$J$4="FO",'2024'!$J$2=AJ233),'2024DATA'!$G$16,"")</f>
        <v/>
      </c>
      <c r="AK247" s="518" t="str">
        <f>IF(AND(_B="B-767-300",'2024'!$J$4="FO",'2024'!$J$2=AK233),'2024DATA'!$H$16,"")</f>
        <v/>
      </c>
      <c r="AL247" s="518" t="str">
        <f>IF(AND(_B="B-767-300",'2024'!$J$4="FO",'2024'!$J$2=AL233),'2024DATA'!$I$16,"")</f>
        <v/>
      </c>
      <c r="AM247" s="518" t="str">
        <f>IF(AND(_B="B-767-300",'2024'!$J$4="FO",'2024'!$J$2=AM233),'2024DATA'!$J$16,"")</f>
        <v/>
      </c>
      <c r="AN247" s="518" t="str">
        <f>IF(AND(_B="B-767-300",'2024'!$J$4="FO",'2024'!$J$2=AN233),'2024DATA'!$K$16,"")</f>
        <v/>
      </c>
      <c r="AO247" s="518" t="str">
        <f>IF(AND(_B="B-767-300",'2024'!$J$4="FO",'2024'!$J$2=AO233),'2024DATA'!$L$16,"")</f>
        <v/>
      </c>
      <c r="AP247" s="518" t="str">
        <f>IF(AND(_B="B-767-300",'2024'!$J$4="FO",'2024'!$J$2=AP233),'2024DATA'!$M$16,"")</f>
        <v/>
      </c>
      <c r="AQ247" s="520" t="str">
        <f>IF(AND(_B="B-767-300",'2024'!$J$4="FO",'2024'!$J$2=AQ233),'2024DATA'!$N$16,"")</f>
        <v/>
      </c>
      <c r="AR247" s="940"/>
      <c r="AS247" s="13" t="s">
        <v>62</v>
      </c>
      <c r="AT247" s="518" t="str">
        <f>IF(AND(_C="B-767-300",'2024'!$J$4="FO",'2024'!$J$2=AT233),'2024DATA'!$C$16,"")</f>
        <v/>
      </c>
      <c r="AU247" s="518" t="str">
        <f>IF(AND(_C="B-767-300",'2024'!$J$4="FO",'2024'!$J$2=AU233),'2024DATA'!$D$16,"")</f>
        <v/>
      </c>
      <c r="AV247" s="518" t="str">
        <f>IF(AND(_C="B-767-300",'2024'!$J$4="FO",'2024'!$J$2=AV233),'2024DATA'!$E$16,"")</f>
        <v/>
      </c>
      <c r="AW247" s="518" t="str">
        <f>IF(AND(_C="B-767-300",'2024'!$J$4="FO",'2024'!$J$2=AW233),'2024DATA'!$F$16,"")</f>
        <v/>
      </c>
      <c r="AX247" s="518" t="str">
        <f>IF(AND(_C="B-767-300",'2024'!$J$4="FO",'2024'!$J$2=AX233),'2024DATA'!$G$16,"")</f>
        <v/>
      </c>
      <c r="AY247" s="518" t="str">
        <f>IF(AND(_C="B-767-300",'2024'!$J$4="FO",'2024'!$J$2=AY233),'2024DATA'!$H$16,"")</f>
        <v/>
      </c>
      <c r="AZ247" s="518" t="str">
        <f>IF(AND(_C="B-767-300",'2024'!$J$4="FO",'2024'!$J$2=AZ233),'2024DATA'!$I$16,"")</f>
        <v/>
      </c>
      <c r="BA247" s="518" t="str">
        <f>IF(AND(_C="B-767-300",'2024'!$J$4="FO",'2024'!$J$2=BA233),'2024DATA'!$J$16,"")</f>
        <v/>
      </c>
      <c r="BB247" s="518" t="str">
        <f>IF(AND(_C="B-767-300",'2024'!$J$4="FO",'2024'!$J$2=BB233),'2024DATA'!$K$16,"")</f>
        <v/>
      </c>
      <c r="BC247" s="518" t="str">
        <f>IF(AND(_C="B-767-300",'2024'!$J$4="FO",'2024'!$J$2=BC233),'2024DATA'!$L$16,"")</f>
        <v/>
      </c>
      <c r="BD247" s="518" t="str">
        <f>IF(AND(_C="B-767-300",'2024'!$J$4="FO",'2024'!$J$2=BD233),'2024DATA'!$M$16,"")</f>
        <v/>
      </c>
      <c r="BE247" s="520" t="str">
        <f>IF(AND(_C="B-767-300",'2024'!$J$4="FO",'2024'!$J$2=BE233),'2024DATA'!$N$16,"")</f>
        <v/>
      </c>
      <c r="BF247" s="940"/>
      <c r="BG247" s="13" t="s">
        <v>62</v>
      </c>
      <c r="BH247" s="518" t="str">
        <f>IF(AND(_D="B-767-300",'2024'!$J$4="FO",'2024'!$J$2=BH233),'2024DATA'!$C$16,"")</f>
        <v/>
      </c>
      <c r="BI247" s="518" t="str">
        <f>IF(AND(_D="B-767-300",'2024'!$J$4="FO",'2024'!$J$2=BI233),'2024DATA'!$D$16,"")</f>
        <v/>
      </c>
      <c r="BJ247" s="518" t="str">
        <f>IF(AND(_D="B-767-300",'2024'!$J$4="FO",'2024'!$J$2=BJ233),'2024DATA'!$E$16,"")</f>
        <v/>
      </c>
      <c r="BK247" s="518" t="str">
        <f>IF(AND(_D="B-767-300",'2024'!$J$4="FO",'2024'!$J$2=BK233),'2024DATA'!$F$16,"")</f>
        <v/>
      </c>
      <c r="BL247" s="518" t="str">
        <f>IF(AND(_D="B-767-300",'2024'!$J$4="FO",'2024'!$J$2=BL233),'2024DATA'!$G$16,"")</f>
        <v/>
      </c>
      <c r="BM247" s="518" t="str">
        <f>IF(AND(_D="B-767-300",'2024'!$J$4="FO",'2024'!$J$2=BM233),'2024DATA'!$H$16,"")</f>
        <v/>
      </c>
      <c r="BN247" s="518" t="str">
        <f>IF(AND(_D="B-767-300",'2024'!$J$4="FO",'2024'!$J$2=BN233),'2024DATA'!$I$16,"")</f>
        <v/>
      </c>
      <c r="BO247" s="518" t="str">
        <f>IF(AND(_D="B-767-300",'2024'!$J$4="FO",'2024'!$J$2=BO233),'2024DATA'!$J$16,"")</f>
        <v/>
      </c>
      <c r="BP247" s="518" t="str">
        <f>IF(AND(_D="B-767-300",'2024'!$J$4="FO",'2024'!$J$2=BP233),'2024DATA'!$K$16,"")</f>
        <v/>
      </c>
      <c r="BQ247" s="518" t="str">
        <f>IF(AND(_D="B-767-300",'2024'!$J$4="FO",'2024'!$J$2=BQ233),'2024DATA'!$L$16,"")</f>
        <v/>
      </c>
      <c r="BR247" s="518" t="str">
        <f>IF(AND(_D="B-767-300",'2024'!$J$4="FO",'2024'!$J$2=BR233),'2024DATA'!$M$16,"")</f>
        <v/>
      </c>
      <c r="BS247" s="520" t="str">
        <f>IF(AND(_D="B-767-300",'2024'!$J$4="FO",'2024'!$J$2=BS233),'2024DATA'!$N$16,"")</f>
        <v/>
      </c>
      <c r="BT247" s="940"/>
      <c r="BU247" s="13" t="s">
        <v>62</v>
      </c>
      <c r="BV247" s="518" t="str">
        <f>IF(AND(_E="B-767-300",'2024'!$J$4="FO",'2024'!$J$2=BV233),'2024DATA'!$C$16,"")</f>
        <v/>
      </c>
      <c r="BW247" s="518" t="str">
        <f>IF(AND(_E="B-767-300",'2024'!$J$4="FO",'2024'!$J$2=BW233),'2024DATA'!$D$16,"")</f>
        <v/>
      </c>
      <c r="BX247" s="518" t="str">
        <f>IF(AND(_E="B-767-300",'2024'!$J$4="FO",'2024'!$J$2=BX233),'2024DATA'!$E$16,"")</f>
        <v/>
      </c>
      <c r="BY247" s="518" t="str">
        <f>IF(AND(_E="B-767-300",'2024'!$J$4="FO",'2024'!$J$2=BY233),'2024DATA'!$F$16,"")</f>
        <v/>
      </c>
      <c r="BZ247" s="518" t="str">
        <f>IF(AND(_E="B-767-300",'2024'!$J$4="FO",'2024'!$J$2=BZ233),'2024DATA'!$G$16,"")</f>
        <v/>
      </c>
      <c r="CA247" s="518" t="str">
        <f>IF(AND(_E="B-767-300",'2024'!$J$4="FO",'2024'!$J$2=CA233),'2024DATA'!$H$16,"")</f>
        <v/>
      </c>
      <c r="CB247" s="518" t="str">
        <f>IF(AND(_E="B-767-300",'2024'!$J$4="FO",'2024'!$J$2=CB233),'2024DATA'!$I$16,"")</f>
        <v/>
      </c>
      <c r="CC247" s="518" t="str">
        <f>IF(AND(_E="B-767-300",'2024'!$J$4="FO",'2024'!$J$2=CC233),'2024DATA'!$J$16,"")</f>
        <v/>
      </c>
      <c r="CD247" s="518" t="str">
        <f>IF(AND(_E="B-767-300",'2024'!$J$4="FO",'2024'!$J$2=CD233),'2024DATA'!$K$16,"")</f>
        <v/>
      </c>
      <c r="CE247" s="518" t="str">
        <f>IF(AND(_E="B-767-300",'2024'!$J$4="FO",'2024'!$J$2=CE233),'2024DATA'!$L$16,"")</f>
        <v/>
      </c>
      <c r="CF247" s="518" t="str">
        <f>IF(AND(_E="B-767-300",'2024'!$J$4="FO",'2024'!$J$2=CF233),'2024DATA'!$M$16,"")</f>
        <v/>
      </c>
      <c r="CG247" s="520" t="str">
        <f>IF(AND(_E="B-767-300",'2024'!$J$4="FO",'2024'!$J$2=CG233),'2024DATA'!$N$16,"")</f>
        <v/>
      </c>
      <c r="CH247" s="940"/>
      <c r="CI247" s="13" t="s">
        <v>62</v>
      </c>
      <c r="CJ247" s="518" t="str">
        <f>IF(AND(_F="B-767-300",'2024'!$J$4="FO",'2024'!$J$2=CJ233),'2024DATA'!$C$16,"")</f>
        <v/>
      </c>
      <c r="CK247" s="518" t="str">
        <f>IF(AND(_F="B-767-300",'2024'!$J$4="FO",'2024'!$J$2=CK233),'2024DATA'!$D$16,"")</f>
        <v/>
      </c>
      <c r="CL247" s="518" t="str">
        <f>IF(AND(_F="B-767-300",'2024'!$J$4="FO",'2024'!$J$2=CL233),'2024DATA'!$E$16,"")</f>
        <v/>
      </c>
      <c r="CM247" s="518" t="str">
        <f>IF(AND(_F="B-767-300",'2024'!$J$4="FO",'2024'!$J$2=CM233),'2024DATA'!$F$16,"")</f>
        <v/>
      </c>
      <c r="CN247" s="518" t="str">
        <f>IF(AND(_F="B-767-300",'2024'!$J$4="FO",'2024'!$J$2=CN233),'2024DATA'!$G$16,"")</f>
        <v/>
      </c>
      <c r="CO247" s="518" t="str">
        <f>IF(AND(_F="B-767-300",'2024'!$J$4="FO",'2024'!$J$2=CO233),'2024DATA'!$H$16,"")</f>
        <v/>
      </c>
      <c r="CP247" s="518" t="str">
        <f>IF(AND(_F="B-767-300",'2024'!$J$4="FO",'2024'!$J$2=CP233),'2024DATA'!$I$16,"")</f>
        <v/>
      </c>
      <c r="CQ247" s="518" t="str">
        <f>IF(AND(_F="B-767-300",'2024'!$J$4="FO",'2024'!$J$2=CQ233),'2024DATA'!$J$16,"")</f>
        <v/>
      </c>
      <c r="CR247" s="518" t="str">
        <f>IF(AND(_F="B-767-300",'2024'!$J$4="FO",'2024'!$J$2=CR233),'2024DATA'!$K$16,"")</f>
        <v/>
      </c>
      <c r="CS247" s="518" t="str">
        <f>IF(AND(_F="B-767-300",'2024'!$J$4="FO",'2024'!$J$2=CS233),'2024DATA'!$L$16,"")</f>
        <v/>
      </c>
      <c r="CT247" s="518" t="str">
        <f>IF(AND(_F="B-767-300",'2024'!$J$4="FO",'2024'!$J$2=CT233),'2024DATA'!$M$16,"")</f>
        <v/>
      </c>
      <c r="CU247" s="520" t="str">
        <f>IF(AND(_F="B-767-300",'2024'!$J$4="FO",'2024'!$J$2=CU233),'2024DATA'!$N$16,"")</f>
        <v/>
      </c>
    </row>
    <row r="248" spans="16:99" x14ac:dyDescent="0.25">
      <c r="P248" s="940" t="s">
        <v>68</v>
      </c>
      <c r="Q248" s="13" t="s">
        <v>61</v>
      </c>
      <c r="R248" s="518" t="str">
        <f>IF(AND(_A="B-767-200",'2024'!$J$4="CA",'2024'!$J$2=R233),'2024DATA'!$C$17,"")</f>
        <v/>
      </c>
      <c r="S248" s="518" t="str">
        <f>IF(AND(_A="B-767-200",'2024'!$J$4="CA",'2024'!$J$2=S233),'2024DATA'!$D$17,"")</f>
        <v/>
      </c>
      <c r="T248" s="518" t="str">
        <f>IF(AND(_A="B-767-200",'2024'!$J$4="CA",'2024'!$J$2=T233),'2024DATA'!$E$17,"")</f>
        <v/>
      </c>
      <c r="U248" s="518" t="str">
        <f>IF(AND(_A="B-767-200",'2024'!$J$4="CA",'2024'!$J$2=U233),'2024DATA'!$F$17,"")</f>
        <v/>
      </c>
      <c r="V248" s="518" t="str">
        <f>IF(AND(_A="B-767-200",'2024'!$J$4="CA",'2024'!$J$2=V233),'2024DATA'!$G$17,"")</f>
        <v/>
      </c>
      <c r="W248" s="518" t="str">
        <f>IF(AND(_A="B-767-200",'2024'!$J$4="CA",'2024'!$J$2=W233),'2024DATA'!$H$17,"")</f>
        <v/>
      </c>
      <c r="X248" s="518" t="str">
        <f>IF(AND(_A="B-767-200",'2024'!$J$4="CA",'2024'!$J$2=X233),'2024DATA'!$I$17,"")</f>
        <v/>
      </c>
      <c r="Y248" s="518" t="str">
        <f>IF(AND(_A="B-767-200",'2024'!$J$4="CA",'2024'!$J$2=Y233),'2024DATA'!$J$17,"")</f>
        <v/>
      </c>
      <c r="Z248" s="518" t="str">
        <f>IF(AND(_A="B-767-200",'2024'!$J$4="CA",'2024'!$J$2=Z233),'2024DATA'!$K$17,"")</f>
        <v/>
      </c>
      <c r="AA248" s="518" t="str">
        <f>IF(AND(_A="B-767-200",'2024'!$J$4="CA",'2024'!$J$2=AA233),'2024DATA'!$L$17,"")</f>
        <v/>
      </c>
      <c r="AB248" s="518" t="str">
        <f>IF(AND(_A="B-767-200",'2024'!$J$4="CA",'2024'!$J$2=AB233),'2024DATA'!$M$17,"")</f>
        <v/>
      </c>
      <c r="AC248" s="520" t="str">
        <f>IF(AND(_A="B-767-200",'2024'!$J$4="CA",'2024'!$J$2=AC233),'2024DATA'!$N$17,"")</f>
        <v/>
      </c>
      <c r="AD248" s="940" t="s">
        <v>68</v>
      </c>
      <c r="AE248" s="13" t="s">
        <v>61</v>
      </c>
      <c r="AF248" s="518" t="str">
        <f>IF(AND(_B="B-767-200",'2024'!$J$4="CA",'2024'!$J$2=AF233),'2024DATA'!$C$17,"")</f>
        <v/>
      </c>
      <c r="AG248" s="518" t="str">
        <f>IF(AND(_B="B-767-200",'2024'!$J$4="CA",'2024'!$J$2=AG233),'2024DATA'!$D$17,"")</f>
        <v/>
      </c>
      <c r="AH248" s="518" t="str">
        <f>IF(AND(_B="B-767-200",'2024'!$J$4="CA",'2024'!$J$2=AH233),'2024DATA'!$E$17,"")</f>
        <v/>
      </c>
      <c r="AI248" s="518" t="str">
        <f>IF(AND(_B="B-767-200",'2024'!$J$4="CA",'2024'!$J$2=AI233),'2024DATA'!$F$17,"")</f>
        <v/>
      </c>
      <c r="AJ248" s="518" t="str">
        <f>IF(AND(_B="B-767-200",'2024'!$J$4="CA",'2024'!$J$2=AJ233),'2024DATA'!$G$17,"")</f>
        <v/>
      </c>
      <c r="AK248" s="518" t="str">
        <f>IF(AND(_B="B-767-200",'2024'!$J$4="CA",'2024'!$J$2=AK233),'2024DATA'!$H$17,"")</f>
        <v/>
      </c>
      <c r="AL248" s="518" t="str">
        <f>IF(AND(_B="B-767-200",'2024'!$J$4="CA",'2024'!$J$2=AL233),'2024DATA'!$I$17,"")</f>
        <v/>
      </c>
      <c r="AM248" s="518" t="str">
        <f>IF(AND(_B="B-767-200",'2024'!$J$4="CA",'2024'!$J$2=AM233),'2024DATA'!$J$17,"")</f>
        <v/>
      </c>
      <c r="AN248" s="518" t="str">
        <f>IF(AND(_B="B-767-200",'2024'!$J$4="CA",'2024'!$J$2=AN233),'2024DATA'!$K$17,"")</f>
        <v/>
      </c>
      <c r="AO248" s="518" t="str">
        <f>IF(AND(_B="B-767-200",'2024'!$J$4="CA",'2024'!$J$2=AO233),'2024DATA'!$L$17,"")</f>
        <v/>
      </c>
      <c r="AP248" s="518" t="str">
        <f>IF(AND(_B="B-767-200",'2024'!$J$4="CA",'2024'!$J$2=AP233),'2024DATA'!$M$17,"")</f>
        <v/>
      </c>
      <c r="AQ248" s="520" t="str">
        <f>IF(AND(_B="B-767-200",'2024'!$J$4="CA",'2024'!$J$2=AQ233),'2024DATA'!$N$17,"")</f>
        <v/>
      </c>
      <c r="AR248" s="940" t="s">
        <v>68</v>
      </c>
      <c r="AS248" s="13" t="s">
        <v>61</v>
      </c>
      <c r="AT248" s="518" t="str">
        <f>IF(AND(_C="B-767-200",'2024'!$J$4="CA",'2024'!$J$2=AT233),'2024DATA'!$C$17,"")</f>
        <v/>
      </c>
      <c r="AU248" s="518" t="str">
        <f>IF(AND(_C="B-767-200",'2024'!$J$4="CA",'2024'!$J$2=AU233),'2024DATA'!$D$17,"")</f>
        <v/>
      </c>
      <c r="AV248" s="518" t="str">
        <f>IF(AND(_C="B-767-200",'2024'!$J$4="CA",'2024'!$J$2=AV233),'2024DATA'!$E$17,"")</f>
        <v/>
      </c>
      <c r="AW248" s="518" t="str">
        <f>IF(AND(_C="B-767-200",'2024'!$J$4="CA",'2024'!$J$2=AW233),'2024DATA'!$F$17,"")</f>
        <v/>
      </c>
      <c r="AX248" s="518" t="str">
        <f>IF(AND(_C="B-767-200",'2024'!$J$4="CA",'2024'!$J$2=AX233),'2024DATA'!$G$17,"")</f>
        <v/>
      </c>
      <c r="AY248" s="518" t="str">
        <f>IF(AND(_C="B-767-200",'2024'!$J$4="CA",'2024'!$J$2=AY233),'2024DATA'!$H$17,"")</f>
        <v/>
      </c>
      <c r="AZ248" s="518" t="str">
        <f>IF(AND(_C="B-767-200",'2024'!$J$4="CA",'2024'!$J$2=AZ233),'2024DATA'!$I$17,"")</f>
        <v/>
      </c>
      <c r="BA248" s="518" t="str">
        <f>IF(AND(_C="B-767-200",'2024'!$J$4="CA",'2024'!$J$2=BA233),'2024DATA'!$J$17,"")</f>
        <v/>
      </c>
      <c r="BB248" s="518" t="str">
        <f>IF(AND(_C="B-767-200",'2024'!$J$4="CA",'2024'!$J$2=BB233),'2024DATA'!$K$17,"")</f>
        <v/>
      </c>
      <c r="BC248" s="518" t="str">
        <f>IF(AND(_C="B-767-200",'2024'!$J$4="CA",'2024'!$J$2=BC233),'2024DATA'!$L$17,"")</f>
        <v/>
      </c>
      <c r="BD248" s="518" t="str">
        <f>IF(AND(_C="B-767-200",'2024'!$J$4="CA",'2024'!$J$2=BD233),'2024DATA'!$M$17,"")</f>
        <v/>
      </c>
      <c r="BE248" s="520" t="str">
        <f>IF(AND(_C="B-767-200",'2024'!$J$4="CA",'2024'!$J$2=BE233),'2024DATA'!$N$17,"")</f>
        <v/>
      </c>
      <c r="BF248" s="940" t="s">
        <v>68</v>
      </c>
      <c r="BG248" s="13" t="s">
        <v>61</v>
      </c>
      <c r="BH248" s="518" t="str">
        <f>IF(AND(_D="B-767-200",'2024'!$J$4="CA",'2024'!$J$2=BH233),'2024DATA'!$C$17,"")</f>
        <v/>
      </c>
      <c r="BI248" s="518" t="str">
        <f>IF(AND(_D="B-767-200",'2024'!$J$4="CA",'2024'!$J$2=BI233),'2024DATA'!$D$17,"")</f>
        <v/>
      </c>
      <c r="BJ248" s="518" t="str">
        <f>IF(AND(_D="B-767-200",'2024'!$J$4="CA",'2024'!$J$2=BJ233),'2024DATA'!$E$17,"")</f>
        <v/>
      </c>
      <c r="BK248" s="518" t="str">
        <f>IF(AND(_D="B-767-200",'2024'!$J$4="CA",'2024'!$J$2=BK233),'2024DATA'!$F$17,"")</f>
        <v/>
      </c>
      <c r="BL248" s="518" t="str">
        <f>IF(AND(_D="B-767-200",'2024'!$J$4="CA",'2024'!$J$2=BL233),'2024DATA'!$G$17,"")</f>
        <v/>
      </c>
      <c r="BM248" s="518" t="str">
        <f>IF(AND(_D="B-767-200",'2024'!$J$4="CA",'2024'!$J$2=BM233),'2024DATA'!$H$17,"")</f>
        <v/>
      </c>
      <c r="BN248" s="518" t="str">
        <f>IF(AND(_D="B-767-200",'2024'!$J$4="CA",'2024'!$J$2=BN233),'2024DATA'!$I$17,"")</f>
        <v/>
      </c>
      <c r="BO248" s="518" t="str">
        <f>IF(AND(_D="B-767-200",'2024'!$J$4="CA",'2024'!$J$2=BO233),'2024DATA'!$J$17,"")</f>
        <v/>
      </c>
      <c r="BP248" s="518" t="str">
        <f>IF(AND(_D="B-767-200",'2024'!$J$4="CA",'2024'!$J$2=BP233),'2024DATA'!$K$17,"")</f>
        <v/>
      </c>
      <c r="BQ248" s="518" t="str">
        <f>IF(AND(_D="B-767-200",'2024'!$J$4="CA",'2024'!$J$2=BQ233),'2024DATA'!$L$17,"")</f>
        <v/>
      </c>
      <c r="BR248" s="518" t="str">
        <f>IF(AND(_D="B-767-200",'2024'!$J$4="CA",'2024'!$J$2=BR233),'2024DATA'!$M$17,"")</f>
        <v/>
      </c>
      <c r="BS248" s="520" t="str">
        <f>IF(AND(_D="B-767-200",'2024'!$J$4="CA",'2024'!$J$2=BS233),'2024DATA'!$N$17,"")</f>
        <v/>
      </c>
      <c r="BT248" s="940" t="s">
        <v>68</v>
      </c>
      <c r="BU248" s="13" t="s">
        <v>61</v>
      </c>
      <c r="BV248" s="518" t="str">
        <f>IF(AND(_E="B-767-200",'2024'!$J$4="CA",'2024'!$J$2=BV233),'2024DATA'!$C$17,"")</f>
        <v/>
      </c>
      <c r="BW248" s="518" t="str">
        <f>IF(AND(_E="B-767-200",'2024'!$J$4="CA",'2024'!$J$2=BW233),'2024DATA'!$D$17,"")</f>
        <v/>
      </c>
      <c r="BX248" s="518" t="str">
        <f>IF(AND(_E="B-767-200",'2024'!$J$4="CA",'2024'!$J$2=BX233),'2024DATA'!$E$17,"")</f>
        <v/>
      </c>
      <c r="BY248" s="518" t="str">
        <f>IF(AND(_E="B-767-200",'2024'!$J$4="CA",'2024'!$J$2=BY233),'2024DATA'!$F$17,"")</f>
        <v/>
      </c>
      <c r="BZ248" s="518" t="str">
        <f>IF(AND(_E="B-767-200",'2024'!$J$4="CA",'2024'!$J$2=BZ233),'2024DATA'!$G$17,"")</f>
        <v/>
      </c>
      <c r="CA248" s="518" t="str">
        <f>IF(AND(_E="B-767-200",'2024'!$J$4="CA",'2024'!$J$2=CA233),'2024DATA'!$H$17,"")</f>
        <v/>
      </c>
      <c r="CB248" s="518" t="str">
        <f>IF(AND(_E="B-767-200",'2024'!$J$4="CA",'2024'!$J$2=CB233),'2024DATA'!$I$17,"")</f>
        <v/>
      </c>
      <c r="CC248" s="518" t="str">
        <f>IF(AND(_E="B-767-200",'2024'!$J$4="CA",'2024'!$J$2=CC233),'2024DATA'!$J$17,"")</f>
        <v/>
      </c>
      <c r="CD248" s="518" t="str">
        <f>IF(AND(_E="B-767-200",'2024'!$J$4="CA",'2024'!$J$2=CD233),'2024DATA'!$K$17,"")</f>
        <v/>
      </c>
      <c r="CE248" s="518" t="str">
        <f>IF(AND(_E="B-767-200",'2024'!$J$4="CA",'2024'!$J$2=CE233),'2024DATA'!$L$17,"")</f>
        <v/>
      </c>
      <c r="CF248" s="518" t="str">
        <f>IF(AND(_E="B-767-200",'2024'!$J$4="CA",'2024'!$J$2=CF233),'2024DATA'!$M$17,"")</f>
        <v/>
      </c>
      <c r="CG248" s="520" t="str">
        <f>IF(AND(_E="B-767-200",'2024'!$J$4="CA",'2024'!$J$2=CG233),'2024DATA'!$N$17,"")</f>
        <v/>
      </c>
      <c r="CH248" s="940" t="s">
        <v>68</v>
      </c>
      <c r="CI248" s="13" t="s">
        <v>61</v>
      </c>
      <c r="CJ248" s="518" t="str">
        <f>IF(AND(_F="B-767-200",'2024'!$J$4="CA",'2024'!$J$2=CJ233),'2024DATA'!$C$17,"")</f>
        <v/>
      </c>
      <c r="CK248" s="518" t="str">
        <f>IF(AND(_F="B-767-200",'2024'!$J$4="CA",'2024'!$J$2=CK233),'2024DATA'!$D$17,"")</f>
        <v/>
      </c>
      <c r="CL248" s="518" t="str">
        <f>IF(AND(_F="B-767-200",'2024'!$J$4="CA",'2024'!$J$2=CL233),'2024DATA'!$E$17,"")</f>
        <v/>
      </c>
      <c r="CM248" s="518" t="str">
        <f>IF(AND(_F="B-767-200",'2024'!$J$4="CA",'2024'!$J$2=CM233),'2024DATA'!$F$17,"")</f>
        <v/>
      </c>
      <c r="CN248" s="518" t="str">
        <f>IF(AND(_F="B-767-200",'2024'!$J$4="CA",'2024'!$J$2=CN233),'2024DATA'!$G$17,"")</f>
        <v/>
      </c>
      <c r="CO248" s="518" t="str">
        <f>IF(AND(_F="B-767-200",'2024'!$J$4="CA",'2024'!$J$2=CO233),'2024DATA'!$H$17,"")</f>
        <v/>
      </c>
      <c r="CP248" s="518" t="str">
        <f>IF(AND(_F="B-767-200",'2024'!$J$4="CA",'2024'!$J$2=CP233),'2024DATA'!$I$17,"")</f>
        <v/>
      </c>
      <c r="CQ248" s="518" t="str">
        <f>IF(AND(_F="B-767-200",'2024'!$J$4="CA",'2024'!$J$2=CQ233),'2024DATA'!$J$17,"")</f>
        <v/>
      </c>
      <c r="CR248" s="518" t="str">
        <f>IF(AND(_F="B-767-200",'2024'!$J$4="CA",'2024'!$J$2=CR233),'2024DATA'!$K$17,"")</f>
        <v/>
      </c>
      <c r="CS248" s="518" t="str">
        <f>IF(AND(_F="B-767-200",'2024'!$J$4="CA",'2024'!$J$2=CS233),'2024DATA'!$L$17,"")</f>
        <v/>
      </c>
      <c r="CT248" s="518" t="str">
        <f>IF(AND(_F="B-767-200",'2024'!$J$4="CA",'2024'!$J$2=CT233),'2024DATA'!$M$17,"")</f>
        <v/>
      </c>
      <c r="CU248" s="520" t="str">
        <f>IF(AND(_F="B-767-200",'2024'!$J$4="CA",'2024'!$J$2=CU233),'2024DATA'!$N$17,"")</f>
        <v/>
      </c>
    </row>
    <row r="249" spans="16:99" x14ac:dyDescent="0.25">
      <c r="P249" s="940"/>
      <c r="Q249" s="13" t="s">
        <v>62</v>
      </c>
      <c r="R249" s="518" t="str">
        <f>IF(AND(_A="B-767-200",'2024'!$J$4="FO",'2024'!$J$2=R233),'2024DATA'!$C$18,"")</f>
        <v/>
      </c>
      <c r="S249" s="518" t="str">
        <f>IF(AND(_A="B-767-200",'2024'!$J$4="FO",'2024'!$J$2=S233),'2024DATA'!$D$18,"")</f>
        <v/>
      </c>
      <c r="T249" s="518" t="str">
        <f>IF(AND(_A="B-767-200",'2024'!$J$4="FO",'2024'!$J$2=T233),'2024DATA'!$E$18,"")</f>
        <v/>
      </c>
      <c r="U249" s="518" t="str">
        <f>IF(AND(_A="B-767-200",'2024'!$J$4="FO",'2024'!$J$2=U233),'2024DATA'!$F$18,"")</f>
        <v/>
      </c>
      <c r="V249" s="518" t="str">
        <f>IF(AND(_A="B-767-200",'2024'!$J$4="FO",'2024'!$J$2=V233),'2024DATA'!$G$18,"")</f>
        <v/>
      </c>
      <c r="W249" s="518" t="str">
        <f>IF(AND(_A="B-767-200",'2024'!$J$4="FO",'2024'!$J$2=W233),'2024DATA'!$H$18,"")</f>
        <v/>
      </c>
      <c r="X249" s="518" t="str">
        <f>IF(AND(_A="B-767-200",'2024'!$J$4="FO",'2024'!$J$2=X233),'2024DATA'!$I$18,"")</f>
        <v/>
      </c>
      <c r="Y249" s="518" t="str">
        <f>IF(AND(_A="B-767-200",'2024'!$J$4="FO",'2024'!$J$2=Y233),'2024DATA'!$J$18,"")</f>
        <v/>
      </c>
      <c r="Z249" s="518" t="str">
        <f>IF(AND(_A="B-767-200",'2024'!$J$4="FO",'2024'!$J$2=Z233),'2024DATA'!$K$18,"")</f>
        <v/>
      </c>
      <c r="AA249" s="518" t="str">
        <f>IF(AND(_A="B-767-200",'2024'!$J$4="FO",'2024'!$J$2=AA233),'2024DATA'!$L$18,"")</f>
        <v/>
      </c>
      <c r="AB249" s="518" t="str">
        <f>IF(AND(_A="B-767-200",'2024'!$J$4="FO",'2024'!$J$2=AB233),'2024DATA'!$M$18,"")</f>
        <v/>
      </c>
      <c r="AC249" s="520" t="str">
        <f>IF(AND(_A="B-767-200",'2024'!$J$4="FO",'2024'!$J$2=AC233),'2024DATA'!$N$18,"")</f>
        <v/>
      </c>
      <c r="AD249" s="940"/>
      <c r="AE249" s="13" t="s">
        <v>62</v>
      </c>
      <c r="AF249" s="518" t="str">
        <f>IF(AND(_B="B-767-200",'2024'!$J$4="FO",'2024'!$J$2=AF233),'2024DATA'!$C$18,"")</f>
        <v/>
      </c>
      <c r="AG249" s="518" t="str">
        <f>IF(AND(_B="B-767-200",'2024'!$J$4="FO",'2024'!$J$2=AG233),'2024DATA'!$D$18,"")</f>
        <v/>
      </c>
      <c r="AH249" s="518" t="str">
        <f>IF(AND(_B="B-767-200",'2024'!$J$4="FO",'2024'!$J$2=AH233),'2024DATA'!$E$18,"")</f>
        <v/>
      </c>
      <c r="AI249" s="518" t="str">
        <f>IF(AND(_B="B-767-200",'2024'!$J$4="FO",'2024'!$J$2=AI233),'2024DATA'!$F$18,"")</f>
        <v/>
      </c>
      <c r="AJ249" s="518" t="str">
        <f>IF(AND(_B="B-767-200",'2024'!$J$4="FO",'2024'!$J$2=AJ233),'2024DATA'!$G$18,"")</f>
        <v/>
      </c>
      <c r="AK249" s="518" t="str">
        <f>IF(AND(_B="B-767-200",'2024'!$J$4="FO",'2024'!$J$2=AK233),'2024DATA'!$H$18,"")</f>
        <v/>
      </c>
      <c r="AL249" s="518" t="str">
        <f>IF(AND(_B="B-767-200",'2024'!$J$4="FO",'2024'!$J$2=AL233),'2024DATA'!$I$18,"")</f>
        <v/>
      </c>
      <c r="AM249" s="518" t="str">
        <f>IF(AND(_B="B-767-200",'2024'!$J$4="FO",'2024'!$J$2=AM233),'2024DATA'!$J$18,"")</f>
        <v/>
      </c>
      <c r="AN249" s="518" t="str">
        <f>IF(AND(_B="B-767-200",'2024'!$J$4="FO",'2024'!$J$2=AN233),'2024DATA'!$K$18,"")</f>
        <v/>
      </c>
      <c r="AO249" s="518" t="str">
        <f>IF(AND(_B="B-767-200",'2024'!$J$4="FO",'2024'!$J$2=AO233),'2024DATA'!$L$18,"")</f>
        <v/>
      </c>
      <c r="AP249" s="518" t="str">
        <f>IF(AND(_B="B-767-200",'2024'!$J$4="FO",'2024'!$J$2=AP233),'2024DATA'!$M$18,"")</f>
        <v/>
      </c>
      <c r="AQ249" s="520" t="str">
        <f>IF(AND(_B="B-767-200",'2024'!$J$4="FO",'2024'!$J$2=AQ233),'2024DATA'!$N$18,"")</f>
        <v/>
      </c>
      <c r="AR249" s="940"/>
      <c r="AS249" s="13" t="s">
        <v>62</v>
      </c>
      <c r="AT249" s="518" t="str">
        <f>IF(AND(_C="B-767-200",'2024'!$J$4="FO",'2024'!$J$2=AT233),'2024DATA'!$C$18,"")</f>
        <v/>
      </c>
      <c r="AU249" s="518" t="str">
        <f>IF(AND(_C="B-767-200",'2024'!$J$4="FO",'2024'!$J$2=AU233),'2024DATA'!$D$18,"")</f>
        <v/>
      </c>
      <c r="AV249" s="518" t="str">
        <f>IF(AND(_C="B-767-200",'2024'!$J$4="FO",'2024'!$J$2=AV233),'2024DATA'!$E$18,"")</f>
        <v/>
      </c>
      <c r="AW249" s="518" t="str">
        <f>IF(AND(_C="B-767-200",'2024'!$J$4="FO",'2024'!$J$2=AW233),'2024DATA'!$F$18,"")</f>
        <v/>
      </c>
      <c r="AX249" s="518" t="str">
        <f>IF(AND(_C="B-767-200",'2024'!$J$4="FO",'2024'!$J$2=AX233),'2024DATA'!$G$18,"")</f>
        <v/>
      </c>
      <c r="AY249" s="518" t="str">
        <f>IF(AND(_C="B-767-200",'2024'!$J$4="FO",'2024'!$J$2=AY233),'2024DATA'!$H$18,"")</f>
        <v/>
      </c>
      <c r="AZ249" s="518" t="str">
        <f>IF(AND(_C="B-767-200",'2024'!$J$4="FO",'2024'!$J$2=AZ233),'2024DATA'!$I$18,"")</f>
        <v/>
      </c>
      <c r="BA249" s="518" t="str">
        <f>IF(AND(_C="B-767-200",'2024'!$J$4="FO",'2024'!$J$2=BA233),'2024DATA'!$J$18,"")</f>
        <v/>
      </c>
      <c r="BB249" s="518" t="str">
        <f>IF(AND(_C="B-767-200",'2024'!$J$4="FO",'2024'!$J$2=BB233),'2024DATA'!$K$18,"")</f>
        <v/>
      </c>
      <c r="BC249" s="518" t="str">
        <f>IF(AND(_C="B-767-200",'2024'!$J$4="FO",'2024'!$J$2=BC233),'2024DATA'!$L$18,"")</f>
        <v/>
      </c>
      <c r="BD249" s="518" t="str">
        <f>IF(AND(_C="B-767-200",'2024'!$J$4="FO",'2024'!$J$2=BD233),'2024DATA'!$M$18,"")</f>
        <v/>
      </c>
      <c r="BE249" s="520" t="str">
        <f>IF(AND(_C="B-767-200",'2024'!$J$4="FO",'2024'!$J$2=BE233),'2024DATA'!$N$18,"")</f>
        <v/>
      </c>
      <c r="BF249" s="940"/>
      <c r="BG249" s="13" t="s">
        <v>62</v>
      </c>
      <c r="BH249" s="518" t="str">
        <f>IF(AND(_D="B-767-200",'2024'!$J$4="FO",'2024'!$J$2=BH233),'2024DATA'!$C$18,"")</f>
        <v/>
      </c>
      <c r="BI249" s="518" t="str">
        <f>IF(AND(_D="B-767-200",'2024'!$J$4="FO",'2024'!$J$2=BI233),'2024DATA'!$D$18,"")</f>
        <v/>
      </c>
      <c r="BJ249" s="518" t="str">
        <f>IF(AND(_D="B-767-200",'2024'!$J$4="FO",'2024'!$J$2=BJ233),'2024DATA'!$E$18,"")</f>
        <v/>
      </c>
      <c r="BK249" s="518" t="str">
        <f>IF(AND(_D="B-767-200",'2024'!$J$4="FO",'2024'!$J$2=BK233),'2024DATA'!$F$18,"")</f>
        <v/>
      </c>
      <c r="BL249" s="518" t="str">
        <f>IF(AND(_D="B-767-200",'2024'!$J$4="FO",'2024'!$J$2=BL233),'2024DATA'!$G$18,"")</f>
        <v/>
      </c>
      <c r="BM249" s="518" t="str">
        <f>IF(AND(_D="B-767-200",'2024'!$J$4="FO",'2024'!$J$2=BM233),'2024DATA'!$H$18,"")</f>
        <v/>
      </c>
      <c r="BN249" s="518" t="str">
        <f>IF(AND(_D="B-767-200",'2024'!$J$4="FO",'2024'!$J$2=BN233),'2024DATA'!$I$18,"")</f>
        <v/>
      </c>
      <c r="BO249" s="518" t="str">
        <f>IF(AND(_D="B-767-200",'2024'!$J$4="FO",'2024'!$J$2=BO233),'2024DATA'!$J$18,"")</f>
        <v/>
      </c>
      <c r="BP249" s="518" t="str">
        <f>IF(AND(_D="B-767-200",'2024'!$J$4="FO",'2024'!$J$2=BP233),'2024DATA'!$K$18,"")</f>
        <v/>
      </c>
      <c r="BQ249" s="518" t="str">
        <f>IF(AND(_D="B-767-200",'2024'!$J$4="FO",'2024'!$J$2=BQ233),'2024DATA'!$L$18,"")</f>
        <v/>
      </c>
      <c r="BR249" s="518" t="str">
        <f>IF(AND(_D="B-767-200",'2024'!$J$4="FO",'2024'!$J$2=BR233),'2024DATA'!$M$18,"")</f>
        <v/>
      </c>
      <c r="BS249" s="520" t="str">
        <f>IF(AND(_D="B-767-200",'2024'!$J$4="FO",'2024'!$J$2=BS233),'2024DATA'!$N$18,"")</f>
        <v/>
      </c>
      <c r="BT249" s="940"/>
      <c r="BU249" s="13" t="s">
        <v>62</v>
      </c>
      <c r="BV249" s="518" t="str">
        <f>IF(AND(_E="B-767-200",'2024'!$J$4="FO",'2024'!$J$2=BV233),'2024DATA'!$C$18,"")</f>
        <v/>
      </c>
      <c r="BW249" s="518" t="str">
        <f>IF(AND(_E="B-767-200",'2024'!$J$4="FO",'2024'!$J$2=BW233),'2024DATA'!$D$18,"")</f>
        <v/>
      </c>
      <c r="BX249" s="518" t="str">
        <f>IF(AND(_E="B-767-200",'2024'!$J$4="FO",'2024'!$J$2=BX233),'2024DATA'!$E$18,"")</f>
        <v/>
      </c>
      <c r="BY249" s="518" t="str">
        <f>IF(AND(_E="B-767-200",'2024'!$J$4="FO",'2024'!$J$2=BY233),'2024DATA'!$F$18,"")</f>
        <v/>
      </c>
      <c r="BZ249" s="518" t="str">
        <f>IF(AND(_E="B-767-200",'2024'!$J$4="FO",'2024'!$J$2=BZ233),'2024DATA'!$G$18,"")</f>
        <v/>
      </c>
      <c r="CA249" s="518" t="str">
        <f>IF(AND(_E="B-767-200",'2024'!$J$4="FO",'2024'!$J$2=CA233),'2024DATA'!$H$18,"")</f>
        <v/>
      </c>
      <c r="CB249" s="518" t="str">
        <f>IF(AND(_E="B-767-200",'2024'!$J$4="FO",'2024'!$J$2=CB233),'2024DATA'!$I$18,"")</f>
        <v/>
      </c>
      <c r="CC249" s="518" t="str">
        <f>IF(AND(_E="B-767-200",'2024'!$J$4="FO",'2024'!$J$2=CC233),'2024DATA'!$J$18,"")</f>
        <v/>
      </c>
      <c r="CD249" s="518" t="str">
        <f>IF(AND(_E="B-767-200",'2024'!$J$4="FO",'2024'!$J$2=CD233),'2024DATA'!$K$18,"")</f>
        <v/>
      </c>
      <c r="CE249" s="518" t="str">
        <f>IF(AND(_E="B-767-200",'2024'!$J$4="FO",'2024'!$J$2=CE233),'2024DATA'!$L$18,"")</f>
        <v/>
      </c>
      <c r="CF249" s="518" t="str">
        <f>IF(AND(_E="B-767-200",'2024'!$J$4="FO",'2024'!$J$2=CF233),'2024DATA'!$M$18,"")</f>
        <v/>
      </c>
      <c r="CG249" s="520" t="str">
        <f>IF(AND(_E="B-767-200",'2024'!$J$4="FO",'2024'!$J$2=CG233),'2024DATA'!$N$18,"")</f>
        <v/>
      </c>
      <c r="CH249" s="940"/>
      <c r="CI249" s="13" t="s">
        <v>62</v>
      </c>
      <c r="CJ249" s="518" t="str">
        <f>IF(AND(_F="B-767-200",'2024'!$J$4="FO",'2024'!$J$2=CJ233),'2024DATA'!$C$18,"")</f>
        <v/>
      </c>
      <c r="CK249" s="518" t="str">
        <f>IF(AND(_F="B-767-200",'2024'!$J$4="FO",'2024'!$J$2=CK233),'2024DATA'!$D$18,"")</f>
        <v/>
      </c>
      <c r="CL249" s="518" t="str">
        <f>IF(AND(_F="B-767-200",'2024'!$J$4="FO",'2024'!$J$2=CL233),'2024DATA'!$E$18,"")</f>
        <v/>
      </c>
      <c r="CM249" s="518" t="str">
        <f>IF(AND(_F="B-767-200",'2024'!$J$4="FO",'2024'!$J$2=CM233),'2024DATA'!$F$18,"")</f>
        <v/>
      </c>
      <c r="CN249" s="518" t="str">
        <f>IF(AND(_F="B-767-200",'2024'!$J$4="FO",'2024'!$J$2=CN233),'2024DATA'!$G$18,"")</f>
        <v/>
      </c>
      <c r="CO249" s="518" t="str">
        <f>IF(AND(_F="B-767-200",'2024'!$J$4="FO",'2024'!$J$2=CO233),'2024DATA'!$H$18,"")</f>
        <v/>
      </c>
      <c r="CP249" s="518" t="str">
        <f>IF(AND(_F="B-767-200",'2024'!$J$4="FO",'2024'!$J$2=CP233),'2024DATA'!$I$18,"")</f>
        <v/>
      </c>
      <c r="CQ249" s="518" t="str">
        <f>IF(AND(_F="B-767-200",'2024'!$J$4="FO",'2024'!$J$2=CQ233),'2024DATA'!$J$18,"")</f>
        <v/>
      </c>
      <c r="CR249" s="518" t="str">
        <f>IF(AND(_F="B-767-200",'2024'!$J$4="FO",'2024'!$J$2=CR233),'2024DATA'!$K$18,"")</f>
        <v/>
      </c>
      <c r="CS249" s="518" t="str">
        <f>IF(AND(_F="B-767-200",'2024'!$J$4="FO",'2024'!$J$2=CS233),'2024DATA'!$L$18,"")</f>
        <v/>
      </c>
      <c r="CT249" s="518" t="str">
        <f>IF(AND(_F="B-767-200",'2024'!$J$4="FO",'2024'!$J$2=CT233),'2024DATA'!$M$18,"")</f>
        <v/>
      </c>
      <c r="CU249" s="520" t="str">
        <f>IF(AND(_F="B-767-200",'2024'!$J$4="FO",'2024'!$J$2=CU233),'2024DATA'!$N$18,"")</f>
        <v/>
      </c>
    </row>
    <row r="250" spans="16:99" x14ac:dyDescent="0.25">
      <c r="P250" s="940" t="s">
        <v>45</v>
      </c>
      <c r="Q250" s="13" t="s">
        <v>61</v>
      </c>
      <c r="R250" s="518" t="str">
        <f>IF(AND(_A="B-757",'2024'!$J$4="CA",'2024'!$J$2=R233),'2024DATA'!$C$19,"")</f>
        <v/>
      </c>
      <c r="S250" s="518" t="str">
        <f>IF(AND(_A="B-757",'2024'!$J$4="CA",'2024'!$J$2=S233),'2024DATA'!$D$19,"")</f>
        <v/>
      </c>
      <c r="T250" s="518" t="str">
        <f>IF(AND(_A="B-757",'2024'!$J$4="CA",'2024'!$J$2=T233),'2024DATA'!$E$19,"")</f>
        <v/>
      </c>
      <c r="U250" s="518" t="str">
        <f>IF(AND(_A="B-757",'2024'!$J$4="CA",'2024'!$J$2=U233),'2024DATA'!$F$19,"")</f>
        <v/>
      </c>
      <c r="V250" s="518" t="str">
        <f>IF(AND(_A="B-757",'2024'!$J$4="CA",'2024'!$J$2=V233),'2024DATA'!$G$19,"")</f>
        <v/>
      </c>
      <c r="W250" s="518" t="str">
        <f>IF(AND(_A="B-757",'2024'!$J$4="CA",'2024'!$J$2=W233),'2024DATA'!$H$19,"")</f>
        <v/>
      </c>
      <c r="X250" s="518" t="str">
        <f>IF(AND(_A="B-757",'2024'!$J$4="CA",'2024'!$J$2=X233),'2024DATA'!$I$19,"")</f>
        <v/>
      </c>
      <c r="Y250" s="518" t="str">
        <f>IF(AND(_A="B-757",'2024'!$J$4="CA",'2024'!$J$2=Y233),'2024DATA'!$J$19,"")</f>
        <v/>
      </c>
      <c r="Z250" s="518" t="str">
        <f>IF(AND(_A="B-757",'2024'!$J$4="CA",'2024'!$J$2=Z233),'2024DATA'!$K$19,"")</f>
        <v/>
      </c>
      <c r="AA250" s="518" t="str">
        <f>IF(AND(_A="B-757",'2024'!$J$4="CA",'2024'!$J$2=AA233),'2024DATA'!$L$19,"")</f>
        <v/>
      </c>
      <c r="AB250" s="518" t="str">
        <f>IF(AND(_A="B-757",'2024'!$J$4="CA",'2024'!$J$2=AB233),'2024DATA'!$M$19,"")</f>
        <v/>
      </c>
      <c r="AC250" s="520" t="str">
        <f>IF(AND(_A="B-757",'2024'!$J$4="CA",'2024'!$J$2=AC233),'2024DATA'!$N$19,"")</f>
        <v/>
      </c>
      <c r="AD250" s="940" t="s">
        <v>45</v>
      </c>
      <c r="AE250" s="13" t="s">
        <v>61</v>
      </c>
      <c r="AF250" s="518" t="str">
        <f>IF(AND(_B="B-757",'2024'!$J$4="CA",'2024'!$J$2=AF233),'2024DATA'!$C$19,"")</f>
        <v/>
      </c>
      <c r="AG250" s="518" t="str">
        <f>IF(AND(_B="B-757",'2024'!$J$4="CA",'2024'!$J$2=AG233),'2024DATA'!$D$19,"")</f>
        <v/>
      </c>
      <c r="AH250" s="518" t="str">
        <f>IF(AND(_B="B-757",'2024'!$J$4="CA",'2024'!$J$2=AH233),'2024DATA'!$E$19,"")</f>
        <v/>
      </c>
      <c r="AI250" s="518" t="str">
        <f>IF(AND(_B="B-757",'2024'!$J$4="CA",'2024'!$J$2=AI233),'2024DATA'!$F$19,"")</f>
        <v/>
      </c>
      <c r="AJ250" s="518" t="str">
        <f>IF(AND(_B="B-757",'2024'!$J$4="CA",'2024'!$J$2=AJ233),'2024DATA'!$G$19,"")</f>
        <v/>
      </c>
      <c r="AK250" s="518" t="str">
        <f>IF(AND(_B="B-757",'2024'!$J$4="CA",'2024'!$J$2=AK233),'2024DATA'!$H$19,"")</f>
        <v/>
      </c>
      <c r="AL250" s="518" t="str">
        <f>IF(AND(_B="B-757",'2024'!$J$4="CA",'2024'!$J$2=AL233),'2024DATA'!$I$19,"")</f>
        <v/>
      </c>
      <c r="AM250" s="518" t="str">
        <f>IF(AND(_B="B-757",'2024'!$J$4="CA",'2024'!$J$2=AM233),'2024DATA'!$J$19,"")</f>
        <v/>
      </c>
      <c r="AN250" s="518" t="str">
        <f>IF(AND(_B="B-757",'2024'!$J$4="CA",'2024'!$J$2=AN233),'2024DATA'!$K$19,"")</f>
        <v/>
      </c>
      <c r="AO250" s="518" t="str">
        <f>IF(AND(_B="B-757",'2024'!$J$4="CA",'2024'!$J$2=AO233),'2024DATA'!$L$19,"")</f>
        <v/>
      </c>
      <c r="AP250" s="518" t="str">
        <f>IF(AND(_B="B-757",'2024'!$J$4="CA",'2024'!$J$2=AP233),'2024DATA'!$M$19,"")</f>
        <v/>
      </c>
      <c r="AQ250" s="520" t="str">
        <f>IF(AND(_B="B-757",'2024'!$J$4="CA",'2024'!$J$2=AQ233),'2024DATA'!$N$19,"")</f>
        <v/>
      </c>
      <c r="AR250" s="940" t="s">
        <v>45</v>
      </c>
      <c r="AS250" s="13" t="s">
        <v>61</v>
      </c>
      <c r="AT250" s="518" t="str">
        <f>IF(AND(_C="B-757",'2024'!$J$4="CA",'2024'!$J$2=AT233),'2024DATA'!$C$19,"")</f>
        <v/>
      </c>
      <c r="AU250" s="518" t="str">
        <f>IF(AND(_C="B-757",'2024'!$J$4="CA",'2024'!$J$2=AU233),'2024DATA'!$D$19,"")</f>
        <v/>
      </c>
      <c r="AV250" s="518" t="str">
        <f>IF(AND(_C="B-757",'2024'!$J$4="CA",'2024'!$J$2=AV233),'2024DATA'!$E$19,"")</f>
        <v/>
      </c>
      <c r="AW250" s="518" t="str">
        <f>IF(AND(_C="B-757",'2024'!$J$4="CA",'2024'!$J$2=AW233),'2024DATA'!$F$19,"")</f>
        <v/>
      </c>
      <c r="AX250" s="518" t="str">
        <f>IF(AND(_C="B-757",'2024'!$J$4="CA",'2024'!$J$2=AX233),'2024DATA'!$G$19,"")</f>
        <v/>
      </c>
      <c r="AY250" s="518" t="str">
        <f>IF(AND(_C="B-757",'2024'!$J$4="CA",'2024'!$J$2=AY233),'2024DATA'!$H$19,"")</f>
        <v/>
      </c>
      <c r="AZ250" s="518" t="str">
        <f>IF(AND(_C="B-757",'2024'!$J$4="CA",'2024'!$J$2=AZ233),'2024DATA'!$I$19,"")</f>
        <v/>
      </c>
      <c r="BA250" s="518" t="str">
        <f>IF(AND(_C="B-757",'2024'!$J$4="CA",'2024'!$J$2=BA233),'2024DATA'!$J$19,"")</f>
        <v/>
      </c>
      <c r="BB250" s="518" t="str">
        <f>IF(AND(_C="B-757",'2024'!$J$4="CA",'2024'!$J$2=BB233),'2024DATA'!$K$19,"")</f>
        <v/>
      </c>
      <c r="BC250" s="518" t="str">
        <f>IF(AND(_C="B-757",'2024'!$J$4="CA",'2024'!$J$2=BC233),'2024DATA'!$L$19,"")</f>
        <v/>
      </c>
      <c r="BD250" s="518" t="str">
        <f>IF(AND(_C="B-757",'2024'!$J$4="CA",'2024'!$J$2=BD233),'2024DATA'!$M$19,"")</f>
        <v/>
      </c>
      <c r="BE250" s="520" t="str">
        <f>IF(AND(_C="B-757",'2024'!$J$4="CA",'2024'!$J$2=BE233),'2024DATA'!$N$19,"")</f>
        <v/>
      </c>
      <c r="BF250" s="940" t="s">
        <v>45</v>
      </c>
      <c r="BG250" s="13" t="s">
        <v>61</v>
      </c>
      <c r="BH250" s="518" t="str">
        <f>IF(AND(_D="B-757",'2024'!$J$4="CA",'2024'!$J$2=BH233),'2024DATA'!$C$19,"")</f>
        <v/>
      </c>
      <c r="BI250" s="518" t="str">
        <f>IF(AND(_D="B-757",'2024'!$J$4="CA",'2024'!$J$2=BI233),'2024DATA'!$D$19,"")</f>
        <v/>
      </c>
      <c r="BJ250" s="518" t="str">
        <f>IF(AND(_D="B-757",'2024'!$J$4="CA",'2024'!$J$2=BJ233),'2024DATA'!$E$19,"")</f>
        <v/>
      </c>
      <c r="BK250" s="518" t="str">
        <f>IF(AND(_D="B-757",'2024'!$J$4="CA",'2024'!$J$2=BK233),'2024DATA'!$F$19,"")</f>
        <v/>
      </c>
      <c r="BL250" s="518" t="str">
        <f>IF(AND(_D="B-757",'2024'!$J$4="CA",'2024'!$J$2=BL233),'2024DATA'!$G$19,"")</f>
        <v/>
      </c>
      <c r="BM250" s="518" t="str">
        <f>IF(AND(_D="B-757",'2024'!$J$4="CA",'2024'!$J$2=BM233),'2024DATA'!$H$19,"")</f>
        <v/>
      </c>
      <c r="BN250" s="518" t="str">
        <f>IF(AND(_D="B-757",'2024'!$J$4="CA",'2024'!$J$2=BN233),'2024DATA'!$I$19,"")</f>
        <v/>
      </c>
      <c r="BO250" s="518" t="str">
        <f>IF(AND(_D="B-757",'2024'!$J$4="CA",'2024'!$J$2=BO233),'2024DATA'!$J$19,"")</f>
        <v/>
      </c>
      <c r="BP250" s="518" t="str">
        <f>IF(AND(_D="B-757",'2024'!$J$4="CA",'2024'!$J$2=BP233),'2024DATA'!$K$19,"")</f>
        <v/>
      </c>
      <c r="BQ250" s="518" t="str">
        <f>IF(AND(_D="B-757",'2024'!$J$4="CA",'2024'!$J$2=BQ233),'2024DATA'!$L$19,"")</f>
        <v/>
      </c>
      <c r="BR250" s="518" t="str">
        <f>IF(AND(_D="B-757",'2024'!$J$4="CA",'2024'!$J$2=BR233),'2024DATA'!$M$19,"")</f>
        <v/>
      </c>
      <c r="BS250" s="520" t="str">
        <f>IF(AND(_D="B-757",'2024'!$J$4="CA",'2024'!$J$2=BS233),'2024DATA'!$N$19,"")</f>
        <v/>
      </c>
      <c r="BT250" s="940" t="s">
        <v>45</v>
      </c>
      <c r="BU250" s="13" t="s">
        <v>61</v>
      </c>
      <c r="BV250" s="518" t="str">
        <f>IF(AND(_E="B-757",'2024'!$J$4="CA",'2024'!$J$2=BV233),'2024DATA'!$C$19,"")</f>
        <v/>
      </c>
      <c r="BW250" s="518" t="str">
        <f>IF(AND(_E="B-757",'2024'!$J$4="CA",'2024'!$J$2=BW233),'2024DATA'!$D$19,"")</f>
        <v/>
      </c>
      <c r="BX250" s="518" t="str">
        <f>IF(AND(_E="B-757",'2024'!$J$4="CA",'2024'!$J$2=BX233),'2024DATA'!$E$19,"")</f>
        <v/>
      </c>
      <c r="BY250" s="518" t="str">
        <f>IF(AND(_E="B-757",'2024'!$J$4="CA",'2024'!$J$2=BY233),'2024DATA'!$F$19,"")</f>
        <v/>
      </c>
      <c r="BZ250" s="518" t="str">
        <f>IF(AND(_E="B-757",'2024'!$J$4="CA",'2024'!$J$2=BZ233),'2024DATA'!$G$19,"")</f>
        <v/>
      </c>
      <c r="CA250" s="518" t="str">
        <f>IF(AND(_E="B-757",'2024'!$J$4="CA",'2024'!$J$2=CA233),'2024DATA'!$H$19,"")</f>
        <v/>
      </c>
      <c r="CB250" s="518" t="str">
        <f>IF(AND(_E="B-757",'2024'!$J$4="CA",'2024'!$J$2=CB233),'2024DATA'!$I$19,"")</f>
        <v/>
      </c>
      <c r="CC250" s="518" t="str">
        <f>IF(AND(_E="B-757",'2024'!$J$4="CA",'2024'!$J$2=CC233),'2024DATA'!$J$19,"")</f>
        <v/>
      </c>
      <c r="CD250" s="518" t="str">
        <f>IF(AND(_E="B-757",'2024'!$J$4="CA",'2024'!$J$2=CD233),'2024DATA'!$K$19,"")</f>
        <v/>
      </c>
      <c r="CE250" s="518" t="str">
        <f>IF(AND(_E="B-757",'2024'!$J$4="CA",'2024'!$J$2=CE233),'2024DATA'!$L$19,"")</f>
        <v/>
      </c>
      <c r="CF250" s="518" t="str">
        <f>IF(AND(_E="B-757",'2024'!$J$4="CA",'2024'!$J$2=CF233),'2024DATA'!$M$19,"")</f>
        <v/>
      </c>
      <c r="CG250" s="520" t="str">
        <f>IF(AND(_E="B-757",'2024'!$J$4="CA",'2024'!$J$2=CG233),'2024DATA'!$N$19,"")</f>
        <v/>
      </c>
      <c r="CH250" s="940" t="s">
        <v>45</v>
      </c>
      <c r="CI250" s="13" t="s">
        <v>61</v>
      </c>
      <c r="CJ250" s="518" t="str">
        <f>IF(AND(_F="B-757",'2024'!$J$4="CA",'2024'!$J$2=CJ233),'2024DATA'!$C$19,"")</f>
        <v/>
      </c>
      <c r="CK250" s="518" t="str">
        <f>IF(AND(_F="B-757",'2024'!$J$4="CA",'2024'!$J$2=CK233),'2024DATA'!$D$19,"")</f>
        <v/>
      </c>
      <c r="CL250" s="518" t="str">
        <f>IF(AND(_F="B-757",'2024'!$J$4="CA",'2024'!$J$2=CL233),'2024DATA'!$E$19,"")</f>
        <v/>
      </c>
      <c r="CM250" s="518" t="str">
        <f>IF(AND(_F="B-757",'2024'!$J$4="CA",'2024'!$J$2=CM233),'2024DATA'!$F$19,"")</f>
        <v/>
      </c>
      <c r="CN250" s="518" t="str">
        <f>IF(AND(_F="B-757",'2024'!$J$4="CA",'2024'!$J$2=CN233),'2024DATA'!$G$19,"")</f>
        <v/>
      </c>
      <c r="CO250" s="518" t="str">
        <f>IF(AND(_F="B-757",'2024'!$J$4="CA",'2024'!$J$2=CO233),'2024DATA'!$H$19,"")</f>
        <v/>
      </c>
      <c r="CP250" s="518" t="str">
        <f>IF(AND(_F="B-757",'2024'!$J$4="CA",'2024'!$J$2=CP233),'2024DATA'!$I$19,"")</f>
        <v/>
      </c>
      <c r="CQ250" s="518" t="str">
        <f>IF(AND(_F="B-757",'2024'!$J$4="CA",'2024'!$J$2=CQ233),'2024DATA'!$J$19,"")</f>
        <v/>
      </c>
      <c r="CR250" s="518" t="str">
        <f>IF(AND(_F="B-757",'2024'!$J$4="CA",'2024'!$J$2=CR233),'2024DATA'!$K$19,"")</f>
        <v/>
      </c>
      <c r="CS250" s="518" t="str">
        <f>IF(AND(_F="B-757",'2024'!$J$4="CA",'2024'!$J$2=CS233),'2024DATA'!$L$19,"")</f>
        <v/>
      </c>
      <c r="CT250" s="518" t="str">
        <f>IF(AND(_F="B-757",'2024'!$J$4="CA",'2024'!$J$2=CT233),'2024DATA'!$M$19,"")</f>
        <v/>
      </c>
      <c r="CU250" s="520" t="str">
        <f>IF(AND(_F="B-757",'2024'!$J$4="CA",'2024'!$J$2=CU233),'2024DATA'!$N$19,"")</f>
        <v/>
      </c>
    </row>
    <row r="251" spans="16:99" x14ac:dyDescent="0.25">
      <c r="P251" s="940"/>
      <c r="Q251" s="13" t="s">
        <v>62</v>
      </c>
      <c r="R251" s="518" t="str">
        <f>IF(AND(_A="B-757",'2024'!$J$4="FO",'2024'!$J$2=R233),'2024DATA'!$C$20,"")</f>
        <v/>
      </c>
      <c r="S251" s="518" t="str">
        <f>IF(AND(_A="B-757",'2024'!$J$4="FO",'2024'!$J$2=S233),'2024DATA'!$D$20,"")</f>
        <v/>
      </c>
      <c r="T251" s="518" t="str">
        <f>IF(AND(_A="B-757",'2024'!$J$4="FO",'2024'!$J$2=T233),'2024DATA'!$E$20,"")</f>
        <v/>
      </c>
      <c r="U251" s="518" t="str">
        <f>IF(AND(_A="B-757",'2024'!$J$4="FO",'2024'!$J$2=U233),'2024DATA'!$F$20,"")</f>
        <v/>
      </c>
      <c r="V251" s="518" t="str">
        <f>IF(AND(_A="B-757",'2024'!$J$4="FO",'2024'!$J$2=V233),'2024DATA'!$G$20,"")</f>
        <v/>
      </c>
      <c r="W251" s="518" t="str">
        <f>IF(AND(_A="B-757",'2024'!$J$4="FO",'2024'!$J$2=W233),'2024DATA'!$H$20,"")</f>
        <v/>
      </c>
      <c r="X251" s="518" t="str">
        <f>IF(AND(_A="B-757",'2024'!$J$4="FO",'2024'!$J$2=X233),'2024DATA'!$I$20,"")</f>
        <v/>
      </c>
      <c r="Y251" s="518" t="str">
        <f>IF(AND(_A="B-757",'2024'!$J$4="FO",'2024'!$J$2=Y233),'2024DATA'!$J$20,"")</f>
        <v/>
      </c>
      <c r="Z251" s="518" t="str">
        <f>IF(AND(_A="B-757",'2024'!$J$4="FO",'2024'!$J$2=Z233),'2024DATA'!$K$20,"")</f>
        <v/>
      </c>
      <c r="AA251" s="518" t="str">
        <f>IF(AND(_A="B-757",'2024'!$J$4="FO",'2024'!$J$2=AA233),'2024DATA'!$L$20,"")</f>
        <v/>
      </c>
      <c r="AB251" s="518" t="str">
        <f>IF(AND(_A="B-757",'2024'!$J$4="FO",'2024'!$J$2=AB233),'2024DATA'!$M$20,"")</f>
        <v/>
      </c>
      <c r="AC251" s="520" t="str">
        <f>IF(AND(_A="B-757",'2024'!$J$4="FO",'2024'!$J$2=AC233),'2024DATA'!$N$20,"")</f>
        <v/>
      </c>
      <c r="AD251" s="940"/>
      <c r="AE251" s="13" t="s">
        <v>62</v>
      </c>
      <c r="AF251" s="518" t="str">
        <f>IF(AND(_B="B-757",'2024'!$J$4="FO",'2024'!$J$2=AF233),'2024DATA'!$C$20,"")</f>
        <v/>
      </c>
      <c r="AG251" s="518" t="str">
        <f>IF(AND(_B="B-757",'2024'!$J$4="FO",'2024'!$J$2=AG233),'2024DATA'!$D$20,"")</f>
        <v/>
      </c>
      <c r="AH251" s="518" t="str">
        <f>IF(AND(_B="B-757",'2024'!$J$4="FO",'2024'!$J$2=AH233),'2024DATA'!$E$20,"")</f>
        <v/>
      </c>
      <c r="AI251" s="518" t="str">
        <f>IF(AND(_B="B-757",'2024'!$J$4="FO",'2024'!$J$2=AI233),'2024DATA'!$F$20,"")</f>
        <v/>
      </c>
      <c r="AJ251" s="518" t="str">
        <f>IF(AND(_B="B-757",'2024'!$J$4="FO",'2024'!$J$2=AJ233),'2024DATA'!$G$20,"")</f>
        <v/>
      </c>
      <c r="AK251" s="518" t="str">
        <f>IF(AND(_B="B-757",'2024'!$J$4="FO",'2024'!$J$2=AK233),'2024DATA'!$H$20,"")</f>
        <v/>
      </c>
      <c r="AL251" s="518" t="str">
        <f>IF(AND(_B="B-757",'2024'!$J$4="FO",'2024'!$J$2=AL233),'2024DATA'!$I$20,"")</f>
        <v/>
      </c>
      <c r="AM251" s="518" t="str">
        <f>IF(AND(_B="B-757",'2024'!$J$4="FO",'2024'!$J$2=AM233),'2024DATA'!$J$20,"")</f>
        <v/>
      </c>
      <c r="AN251" s="518" t="str">
        <f>IF(AND(_B="B-757",'2024'!$J$4="FO",'2024'!$J$2=AN233),'2024DATA'!$K$20,"")</f>
        <v/>
      </c>
      <c r="AO251" s="518" t="str">
        <f>IF(AND(_B="B-757",'2024'!$J$4="FO",'2024'!$J$2=AO233),'2024DATA'!$L$20,"")</f>
        <v/>
      </c>
      <c r="AP251" s="518" t="str">
        <f>IF(AND(_B="B-757",'2024'!$J$4="FO",'2024'!$J$2=AP233),'2024DATA'!$M$20,"")</f>
        <v/>
      </c>
      <c r="AQ251" s="520" t="str">
        <f>IF(AND(_B="B-757",'2024'!$J$4="FO",'2024'!$J$2=AQ233),'2024DATA'!$N$20,"")</f>
        <v/>
      </c>
      <c r="AR251" s="940"/>
      <c r="AS251" s="13" t="s">
        <v>62</v>
      </c>
      <c r="AT251" s="518" t="str">
        <f>IF(AND(_C="B-757",'2024'!$J$4="FO",'2024'!$J$2=AT233),'2024DATA'!$C$20,"")</f>
        <v/>
      </c>
      <c r="AU251" s="518" t="str">
        <f>IF(AND(_C="B-757",'2024'!$J$4="FO",'2024'!$J$2=AU233),'2024DATA'!$D$20,"")</f>
        <v/>
      </c>
      <c r="AV251" s="518" t="str">
        <f>IF(AND(_C="B-757",'2024'!$J$4="FO",'2024'!$J$2=AV233),'2024DATA'!$E$20,"")</f>
        <v/>
      </c>
      <c r="AW251" s="518" t="str">
        <f>IF(AND(_C="B-757",'2024'!$J$4="FO",'2024'!$J$2=AW233),'2024DATA'!$F$20,"")</f>
        <v/>
      </c>
      <c r="AX251" s="518" t="str">
        <f>IF(AND(_C="B-757",'2024'!$J$4="FO",'2024'!$J$2=AX233),'2024DATA'!$G$20,"")</f>
        <v/>
      </c>
      <c r="AY251" s="518" t="str">
        <f>IF(AND(_C="B-757",'2024'!$J$4="FO",'2024'!$J$2=AY233),'2024DATA'!$H$20,"")</f>
        <v/>
      </c>
      <c r="AZ251" s="518" t="str">
        <f>IF(AND(_C="B-757",'2024'!$J$4="FO",'2024'!$J$2=AZ233),'2024DATA'!$I$20,"")</f>
        <v/>
      </c>
      <c r="BA251" s="518" t="str">
        <f>IF(AND(_C="B-757",'2024'!$J$4="FO",'2024'!$J$2=BA233),'2024DATA'!$J$20,"")</f>
        <v/>
      </c>
      <c r="BB251" s="518" t="str">
        <f>IF(AND(_C="B-757",'2024'!$J$4="FO",'2024'!$J$2=BB233),'2024DATA'!$K$20,"")</f>
        <v/>
      </c>
      <c r="BC251" s="518" t="str">
        <f>IF(AND(_C="B-757",'2024'!$J$4="FO",'2024'!$J$2=BC233),'2024DATA'!$L$20,"")</f>
        <v/>
      </c>
      <c r="BD251" s="518" t="str">
        <f>IF(AND(_C="B-757",'2024'!$J$4="FO",'2024'!$J$2=BD233),'2024DATA'!$M$20,"")</f>
        <v/>
      </c>
      <c r="BE251" s="520" t="str">
        <f>IF(AND(_C="B-757",'2024'!$J$4="FO",'2024'!$J$2=BE233),'2024DATA'!$N$20,"")</f>
        <v/>
      </c>
      <c r="BF251" s="940"/>
      <c r="BG251" s="13" t="s">
        <v>62</v>
      </c>
      <c r="BH251" s="518" t="str">
        <f>IF(AND(_D="B-757",'2024'!$J$4="FO",'2024'!$J$2=BH233),'2024DATA'!$C$20,"")</f>
        <v/>
      </c>
      <c r="BI251" s="518" t="str">
        <f>IF(AND(_D="B-757",'2024'!$J$4="FO",'2024'!$J$2=BI233),'2024DATA'!$D$20,"")</f>
        <v/>
      </c>
      <c r="BJ251" s="518" t="str">
        <f>IF(AND(_D="B-757",'2024'!$J$4="FO",'2024'!$J$2=BJ233),'2024DATA'!$E$20,"")</f>
        <v/>
      </c>
      <c r="BK251" s="518" t="str">
        <f>IF(AND(_D="B-757",'2024'!$J$4="FO",'2024'!$J$2=BK233),'2024DATA'!$F$20,"")</f>
        <v/>
      </c>
      <c r="BL251" s="518" t="str">
        <f>IF(AND(_D="B-757",'2024'!$J$4="FO",'2024'!$J$2=BL233),'2024DATA'!$G$20,"")</f>
        <v/>
      </c>
      <c r="BM251" s="518" t="str">
        <f>IF(AND(_D="B-757",'2024'!$J$4="FO",'2024'!$J$2=BM233),'2024DATA'!$H$20,"")</f>
        <v/>
      </c>
      <c r="BN251" s="518" t="str">
        <f>IF(AND(_D="B-757",'2024'!$J$4="FO",'2024'!$J$2=BN233),'2024DATA'!$I$20,"")</f>
        <v/>
      </c>
      <c r="BO251" s="518" t="str">
        <f>IF(AND(_D="B-757",'2024'!$J$4="FO",'2024'!$J$2=BO233),'2024DATA'!$J$20,"")</f>
        <v/>
      </c>
      <c r="BP251" s="518" t="str">
        <f>IF(AND(_D="B-757",'2024'!$J$4="FO",'2024'!$J$2=BP233),'2024DATA'!$K$20,"")</f>
        <v/>
      </c>
      <c r="BQ251" s="518" t="str">
        <f>IF(AND(_D="B-757",'2024'!$J$4="FO",'2024'!$J$2=BQ233),'2024DATA'!$L$20,"")</f>
        <v/>
      </c>
      <c r="BR251" s="518" t="str">
        <f>IF(AND(_D="B-757",'2024'!$J$4="FO",'2024'!$J$2=BR233),'2024DATA'!$M$20,"")</f>
        <v/>
      </c>
      <c r="BS251" s="520" t="str">
        <f>IF(AND(_D="B-757",'2024'!$J$4="FO",'2024'!$J$2=BS233),'2024DATA'!$N$20,"")</f>
        <v/>
      </c>
      <c r="BT251" s="940"/>
      <c r="BU251" s="13" t="s">
        <v>62</v>
      </c>
      <c r="BV251" s="518" t="str">
        <f>IF(AND(_E="B-757",'2024'!$J$4="FO",'2024'!$J$2=BV233),'2024DATA'!$C$20,"")</f>
        <v/>
      </c>
      <c r="BW251" s="518" t="str">
        <f>IF(AND(_E="B-757",'2024'!$J$4="FO",'2024'!$J$2=BW233),'2024DATA'!$D$20,"")</f>
        <v/>
      </c>
      <c r="BX251" s="518" t="str">
        <f>IF(AND(_E="B-757",'2024'!$J$4="FO",'2024'!$J$2=BX233),'2024DATA'!$E$20,"")</f>
        <v/>
      </c>
      <c r="BY251" s="518" t="str">
        <f>IF(AND(_E="B-757",'2024'!$J$4="FO",'2024'!$J$2=BY233),'2024DATA'!$F$20,"")</f>
        <v/>
      </c>
      <c r="BZ251" s="518" t="str">
        <f>IF(AND(_E="B-757",'2024'!$J$4="FO",'2024'!$J$2=BZ233),'2024DATA'!$G$20,"")</f>
        <v/>
      </c>
      <c r="CA251" s="518" t="str">
        <f>IF(AND(_E="B-757",'2024'!$J$4="FO",'2024'!$J$2=CA233),'2024DATA'!$H$20,"")</f>
        <v/>
      </c>
      <c r="CB251" s="518" t="str">
        <f>IF(AND(_E="B-757",'2024'!$J$4="FO",'2024'!$J$2=CB233),'2024DATA'!$I$20,"")</f>
        <v/>
      </c>
      <c r="CC251" s="518" t="str">
        <f>IF(AND(_E="B-757",'2024'!$J$4="FO",'2024'!$J$2=CC233),'2024DATA'!$J$20,"")</f>
        <v/>
      </c>
      <c r="CD251" s="518" t="str">
        <f>IF(AND(_E="B-757",'2024'!$J$4="FO",'2024'!$J$2=CD233),'2024DATA'!$K$20,"")</f>
        <v/>
      </c>
      <c r="CE251" s="518" t="str">
        <f>IF(AND(_E="B-757",'2024'!$J$4="FO",'2024'!$J$2=CE233),'2024DATA'!$L$20,"")</f>
        <v/>
      </c>
      <c r="CF251" s="518" t="str">
        <f>IF(AND(_E="B-757",'2024'!$J$4="FO",'2024'!$J$2=CF233),'2024DATA'!$M$20,"")</f>
        <v/>
      </c>
      <c r="CG251" s="520" t="str">
        <f>IF(AND(_E="B-757",'2024'!$J$4="FO",'2024'!$J$2=CG233),'2024DATA'!$N$20,"")</f>
        <v/>
      </c>
      <c r="CH251" s="940"/>
      <c r="CI251" s="13" t="s">
        <v>62</v>
      </c>
      <c r="CJ251" s="518" t="str">
        <f>IF(AND(_F="B-757",'2024'!$J$4="FO",'2024'!$J$2=CJ233),'2024DATA'!$C$20,"")</f>
        <v/>
      </c>
      <c r="CK251" s="518" t="str">
        <f>IF(AND(_F="B-757",'2024'!$J$4="FO",'2024'!$J$2=CK233),'2024DATA'!$D$20,"")</f>
        <v/>
      </c>
      <c r="CL251" s="518" t="str">
        <f>IF(AND(_F="B-757",'2024'!$J$4="FO",'2024'!$J$2=CL233),'2024DATA'!$E$20,"")</f>
        <v/>
      </c>
      <c r="CM251" s="518" t="str">
        <f>IF(AND(_F="B-757",'2024'!$J$4="FO",'2024'!$J$2=CM233),'2024DATA'!$F$20,"")</f>
        <v/>
      </c>
      <c r="CN251" s="518" t="str">
        <f>IF(AND(_F="B-757",'2024'!$J$4="FO",'2024'!$J$2=CN233),'2024DATA'!$G$20,"")</f>
        <v/>
      </c>
      <c r="CO251" s="518" t="str">
        <f>IF(AND(_F="B-757",'2024'!$J$4="FO",'2024'!$J$2=CO233),'2024DATA'!$H$20,"")</f>
        <v/>
      </c>
      <c r="CP251" s="518" t="str">
        <f>IF(AND(_F="B-757",'2024'!$J$4="FO",'2024'!$J$2=CP233),'2024DATA'!$I$20,"")</f>
        <v/>
      </c>
      <c r="CQ251" s="518" t="str">
        <f>IF(AND(_F="B-757",'2024'!$J$4="FO",'2024'!$J$2=CQ233),'2024DATA'!$J$20,"")</f>
        <v/>
      </c>
      <c r="CR251" s="518" t="str">
        <f>IF(AND(_F="B-757",'2024'!$J$4="FO",'2024'!$J$2=CR233),'2024DATA'!$K$20,"")</f>
        <v/>
      </c>
      <c r="CS251" s="518" t="str">
        <f>IF(AND(_F="B-757",'2024'!$J$4="FO",'2024'!$J$2=CS233),'2024DATA'!$L$20,"")</f>
        <v/>
      </c>
      <c r="CT251" s="518" t="str">
        <f>IF(AND(_F="B-757",'2024'!$J$4="FO",'2024'!$J$2=CT233),'2024DATA'!$M$20,"")</f>
        <v/>
      </c>
      <c r="CU251" s="520" t="str">
        <f>IF(AND(_F="B-757",'2024'!$J$4="FO",'2024'!$J$2=CU233),'2024DATA'!$N$20,"")</f>
        <v/>
      </c>
    </row>
    <row r="252" spans="16:99" x14ac:dyDescent="0.25">
      <c r="P252" s="940" t="s">
        <v>47</v>
      </c>
      <c r="Q252" s="13" t="s">
        <v>61</v>
      </c>
      <c r="R252" s="518" t="str">
        <f>IF(AND(_A="B-737-900",'2024'!$J$4="CA",'2024'!$J$2=R233),'2024DATA'!$C$21,"")</f>
        <v/>
      </c>
      <c r="S252" s="518" t="str">
        <f>IF(AND(_A="B-737-900",'2024'!$J$4="CA",'2024'!$J$2=S233),'2024DATA'!$D$21,"")</f>
        <v/>
      </c>
      <c r="T252" s="518" t="str">
        <f>IF(AND(_A="B-737-900",'2024'!$J$4="CA",'2024'!$J$2=T233),'2024DATA'!$E$21,"")</f>
        <v/>
      </c>
      <c r="U252" s="518" t="str">
        <f>IF(AND(_A="B-737-900",'2024'!$J$4="CA",'2024'!$J$2=U233),'2024DATA'!$F$21,"")</f>
        <v/>
      </c>
      <c r="V252" s="518" t="str">
        <f>IF(AND(_A="B-737-900",'2024'!$J$4="CA",'2024'!$J$2=V233),'2024DATA'!$G$21,"")</f>
        <v/>
      </c>
      <c r="W252" s="518" t="str">
        <f>IF(AND(_A="B-737-900",'2024'!$J$4="CA",'2024'!$J$2=W233),'2024DATA'!$H$21,"")</f>
        <v/>
      </c>
      <c r="X252" s="518" t="str">
        <f>IF(AND(_A="B-737-900",'2024'!$J$4="CA",'2024'!$J$2=X233),'2024DATA'!$I$21,"")</f>
        <v/>
      </c>
      <c r="Y252" s="518" t="str">
        <f>IF(AND(_A="B-737-900",'2024'!$J$4="CA",'2024'!$J$2=Y233),'2024DATA'!$J$21,"")</f>
        <v/>
      </c>
      <c r="Z252" s="518" t="str">
        <f>IF(AND(_A="B-737-900",'2024'!$J$4="CA",'2024'!$J$2=Z233),'2024DATA'!$K$21,"")</f>
        <v/>
      </c>
      <c r="AA252" s="518" t="str">
        <f>IF(AND(_A="B-737-900",'2024'!$J$4="CA",'2024'!$J$2=AA233),'2024DATA'!$L$21,"")</f>
        <v/>
      </c>
      <c r="AB252" s="518" t="str">
        <f>IF(AND(_A="B-737-900",'2024'!$J$4="CA",'2024'!$J$2=AB233),'2024DATA'!$M$21,"")</f>
        <v/>
      </c>
      <c r="AC252" s="520" t="str">
        <f>IF(AND(_A="B-737-900",'2024'!$J$4="CA",'2024'!$J$2=AC233),'2024DATA'!$N$21,"")</f>
        <v/>
      </c>
      <c r="AD252" s="940" t="s">
        <v>47</v>
      </c>
      <c r="AE252" s="13" t="s">
        <v>61</v>
      </c>
      <c r="AF252" s="518" t="str">
        <f>IF(AND(_B="B-737-900",'2024'!$J$4="CA",'2024'!$J$2=AF233),'2024DATA'!$C$21,"")</f>
        <v/>
      </c>
      <c r="AG252" s="518" t="str">
        <f>IF(AND(_B="B-737-900",'2024'!$J$4="CA",'2024'!$J$2=AG233),'2024DATA'!$D$21,"")</f>
        <v/>
      </c>
      <c r="AH252" s="518" t="str">
        <f>IF(AND(_B="B-737-900",'2024'!$J$4="CA",'2024'!$J$2=AH233),'2024DATA'!$E$21,"")</f>
        <v/>
      </c>
      <c r="AI252" s="518" t="str">
        <f>IF(AND(_B="B-737-900",'2024'!$J$4="CA",'2024'!$J$2=AI233),'2024DATA'!$F$21,"")</f>
        <v/>
      </c>
      <c r="AJ252" s="518" t="str">
        <f>IF(AND(_B="B-737-900",'2024'!$J$4="CA",'2024'!$J$2=AJ233),'2024DATA'!$G$21,"")</f>
        <v/>
      </c>
      <c r="AK252" s="518" t="str">
        <f>IF(AND(_B="B-737-900",'2024'!$J$4="CA",'2024'!$J$2=AK233),'2024DATA'!$H$21,"")</f>
        <v/>
      </c>
      <c r="AL252" s="518" t="str">
        <f>IF(AND(_B="B-737-900",'2024'!$J$4="CA",'2024'!$J$2=AL233),'2024DATA'!$I$21,"")</f>
        <v/>
      </c>
      <c r="AM252" s="518" t="str">
        <f>IF(AND(_B="B-737-900",'2024'!$J$4="CA",'2024'!$J$2=AM233),'2024DATA'!$J$21,"")</f>
        <v/>
      </c>
      <c r="AN252" s="518" t="str">
        <f>IF(AND(_B="B-737-900",'2024'!$J$4="CA",'2024'!$J$2=AN233),'2024DATA'!$K$21,"")</f>
        <v/>
      </c>
      <c r="AO252" s="518" t="str">
        <f>IF(AND(_B="B-737-900",'2024'!$J$4="CA",'2024'!$J$2=AO233),'2024DATA'!$L$21,"")</f>
        <v/>
      </c>
      <c r="AP252" s="518" t="str">
        <f>IF(AND(_B="B-737-900",'2024'!$J$4="CA",'2024'!$J$2=AP233),'2024DATA'!$M$21,"")</f>
        <v/>
      </c>
      <c r="AQ252" s="520" t="str">
        <f>IF(AND(_B="B-737-900",'2024'!$J$4="CA",'2024'!$J$2=AQ233),'2024DATA'!$N$21,"")</f>
        <v/>
      </c>
      <c r="AR252" s="940" t="s">
        <v>47</v>
      </c>
      <c r="AS252" s="13" t="s">
        <v>61</v>
      </c>
      <c r="AT252" s="518" t="str">
        <f>IF(AND(_C="B-737-900",'2024'!$J$4="CA",'2024'!$J$2=AT233),'2024DATA'!$C$21,"")</f>
        <v/>
      </c>
      <c r="AU252" s="518" t="str">
        <f>IF(AND(_C="B-737-900",'2024'!$J$4="CA",'2024'!$J$2=AU233),'2024DATA'!$D$21,"")</f>
        <v/>
      </c>
      <c r="AV252" s="518" t="str">
        <f>IF(AND(_C="B-737-900",'2024'!$J$4="CA",'2024'!$J$2=AV233),'2024DATA'!$E$21,"")</f>
        <v/>
      </c>
      <c r="AW252" s="518" t="str">
        <f>IF(AND(_C="B-737-900",'2024'!$J$4="CA",'2024'!$J$2=AW233),'2024DATA'!$F$21,"")</f>
        <v/>
      </c>
      <c r="AX252" s="518" t="str">
        <f>IF(AND(_C="B-737-900",'2024'!$J$4="CA",'2024'!$J$2=AX233),'2024DATA'!$G$21,"")</f>
        <v/>
      </c>
      <c r="AY252" s="518" t="str">
        <f>IF(AND(_C="B-737-900",'2024'!$J$4="CA",'2024'!$J$2=AY233),'2024DATA'!$H$21,"")</f>
        <v/>
      </c>
      <c r="AZ252" s="518" t="str">
        <f>IF(AND(_C="B-737-900",'2024'!$J$4="CA",'2024'!$J$2=AZ233),'2024DATA'!$I$21,"")</f>
        <v/>
      </c>
      <c r="BA252" s="518" t="str">
        <f>IF(AND(_C="B-737-900",'2024'!$J$4="CA",'2024'!$J$2=BA233),'2024DATA'!$J$21,"")</f>
        <v/>
      </c>
      <c r="BB252" s="518" t="str">
        <f>IF(AND(_C="B-737-900",'2024'!$J$4="CA",'2024'!$J$2=BB233),'2024DATA'!$K$21,"")</f>
        <v/>
      </c>
      <c r="BC252" s="518" t="str">
        <f>IF(AND(_C="B-737-900",'2024'!$J$4="CA",'2024'!$J$2=BC233),'2024DATA'!$L$21,"")</f>
        <v/>
      </c>
      <c r="BD252" s="518" t="str">
        <f>IF(AND(_C="B-737-900",'2024'!$J$4="CA",'2024'!$J$2=BD233),'2024DATA'!$M$21,"")</f>
        <v/>
      </c>
      <c r="BE252" s="520" t="str">
        <f>IF(AND(_C="B-737-900",'2024'!$J$4="CA",'2024'!$J$2=BE233),'2024DATA'!$N$21,"")</f>
        <v/>
      </c>
      <c r="BF252" s="940" t="s">
        <v>47</v>
      </c>
      <c r="BG252" s="13" t="s">
        <v>61</v>
      </c>
      <c r="BH252" s="518" t="str">
        <f>IF(AND(_D="B-737-900",'2024'!$J$4="CA",'2024'!$J$2=BH233),'2024DATA'!$C$21,"")</f>
        <v/>
      </c>
      <c r="BI252" s="518" t="str">
        <f>IF(AND(_D="B-737-900",'2024'!$J$4="CA",'2024'!$J$2=BI233),'2024DATA'!$D$21,"")</f>
        <v/>
      </c>
      <c r="BJ252" s="518" t="str">
        <f>IF(AND(_D="B-737-900",'2024'!$J$4="CA",'2024'!$J$2=BJ233),'2024DATA'!$E$21,"")</f>
        <v/>
      </c>
      <c r="BK252" s="518" t="str">
        <f>IF(AND(_D="B-737-900",'2024'!$J$4="CA",'2024'!$J$2=BK233),'2024DATA'!$F$21,"")</f>
        <v/>
      </c>
      <c r="BL252" s="518" t="str">
        <f>IF(AND(_D="B-737-900",'2024'!$J$4="CA",'2024'!$J$2=BL233),'2024DATA'!$G$21,"")</f>
        <v/>
      </c>
      <c r="BM252" s="518" t="str">
        <f>IF(AND(_D="B-737-900",'2024'!$J$4="CA",'2024'!$J$2=BM233),'2024DATA'!$H$21,"")</f>
        <v/>
      </c>
      <c r="BN252" s="518" t="str">
        <f>IF(AND(_D="B-737-900",'2024'!$J$4="CA",'2024'!$J$2=BN233),'2024DATA'!$I$21,"")</f>
        <v/>
      </c>
      <c r="BO252" s="518" t="str">
        <f>IF(AND(_D="B-737-900",'2024'!$J$4="CA",'2024'!$J$2=BO233),'2024DATA'!$J$21,"")</f>
        <v/>
      </c>
      <c r="BP252" s="518" t="str">
        <f>IF(AND(_D="B-737-900",'2024'!$J$4="CA",'2024'!$J$2=BP233),'2024DATA'!$K$21,"")</f>
        <v/>
      </c>
      <c r="BQ252" s="518" t="str">
        <f>IF(AND(_D="B-737-900",'2024'!$J$4="CA",'2024'!$J$2=BQ233),'2024DATA'!$L$21,"")</f>
        <v/>
      </c>
      <c r="BR252" s="518" t="str">
        <f>IF(AND(_D="B-737-900",'2024'!$J$4="CA",'2024'!$J$2=BR233),'2024DATA'!$M$21,"")</f>
        <v/>
      </c>
      <c r="BS252" s="520" t="str">
        <f>IF(AND(_D="B-737-900",'2024'!$J$4="CA",'2024'!$J$2=BS233),'2024DATA'!$N$21,"")</f>
        <v/>
      </c>
      <c r="BT252" s="940" t="s">
        <v>47</v>
      </c>
      <c r="BU252" s="13" t="s">
        <v>61</v>
      </c>
      <c r="BV252" s="518" t="str">
        <f>IF(AND(_E="B-737-900",'2024'!$J$4="CA",'2024'!$J$2=BV233),'2024DATA'!$C$21,"")</f>
        <v/>
      </c>
      <c r="BW252" s="518" t="str">
        <f>IF(AND(_E="B-737-900",'2024'!$J$4="CA",'2024'!$J$2=BW233),'2024DATA'!$D$21,"")</f>
        <v/>
      </c>
      <c r="BX252" s="518" t="str">
        <f>IF(AND(_E="B-737-900",'2024'!$J$4="CA",'2024'!$J$2=BX233),'2024DATA'!$E$21,"")</f>
        <v/>
      </c>
      <c r="BY252" s="518" t="str">
        <f>IF(AND(_E="B-737-900",'2024'!$J$4="CA",'2024'!$J$2=BY233),'2024DATA'!$F$21,"")</f>
        <v/>
      </c>
      <c r="BZ252" s="518" t="str">
        <f>IF(AND(_E="B-737-900",'2024'!$J$4="CA",'2024'!$J$2=BZ233),'2024DATA'!$G$21,"")</f>
        <v/>
      </c>
      <c r="CA252" s="518" t="str">
        <f>IF(AND(_E="B-737-900",'2024'!$J$4="CA",'2024'!$J$2=CA233),'2024DATA'!$H$21,"")</f>
        <v/>
      </c>
      <c r="CB252" s="518" t="str">
        <f>IF(AND(_E="B-737-900",'2024'!$J$4="CA",'2024'!$J$2=CB233),'2024DATA'!$I$21,"")</f>
        <v/>
      </c>
      <c r="CC252" s="518" t="str">
        <f>IF(AND(_E="B-737-900",'2024'!$J$4="CA",'2024'!$J$2=CC233),'2024DATA'!$J$21,"")</f>
        <v/>
      </c>
      <c r="CD252" s="518" t="str">
        <f>IF(AND(_E="B-737-900",'2024'!$J$4="CA",'2024'!$J$2=CD233),'2024DATA'!$K$21,"")</f>
        <v/>
      </c>
      <c r="CE252" s="518" t="str">
        <f>IF(AND(_E="B-737-900",'2024'!$J$4="CA",'2024'!$J$2=CE233),'2024DATA'!$L$21,"")</f>
        <v/>
      </c>
      <c r="CF252" s="518" t="str">
        <f>IF(AND(_E="B-737-900",'2024'!$J$4="CA",'2024'!$J$2=CF233),'2024DATA'!$M$21,"")</f>
        <v/>
      </c>
      <c r="CG252" s="520" t="str">
        <f>IF(AND(_E="B-737-900",'2024'!$J$4="CA",'2024'!$J$2=CG233),'2024DATA'!$N$21,"")</f>
        <v/>
      </c>
      <c r="CH252" s="940" t="s">
        <v>47</v>
      </c>
      <c r="CI252" s="13" t="s">
        <v>61</v>
      </c>
      <c r="CJ252" s="518" t="str">
        <f>IF(AND(_F="B-737-900",'2024'!$J$4="CA",'2024'!$J$2=CJ233),'2024DATA'!$C$21,"")</f>
        <v/>
      </c>
      <c r="CK252" s="518" t="str">
        <f>IF(AND(_F="B-737-900",'2024'!$J$4="CA",'2024'!$J$2=CK233),'2024DATA'!$D$21,"")</f>
        <v/>
      </c>
      <c r="CL252" s="518" t="str">
        <f>IF(AND(_F="B-737-900",'2024'!$J$4="CA",'2024'!$J$2=CL233),'2024DATA'!$E$21,"")</f>
        <v/>
      </c>
      <c r="CM252" s="518" t="str">
        <f>IF(AND(_F="B-737-900",'2024'!$J$4="CA",'2024'!$J$2=CM233),'2024DATA'!$F$21,"")</f>
        <v/>
      </c>
      <c r="CN252" s="518" t="str">
        <f>IF(AND(_F="B-737-900",'2024'!$J$4="CA",'2024'!$J$2=CN233),'2024DATA'!$G$21,"")</f>
        <v/>
      </c>
      <c r="CO252" s="518" t="str">
        <f>IF(AND(_F="B-737-900",'2024'!$J$4="CA",'2024'!$J$2=CO233),'2024DATA'!$H$21,"")</f>
        <v/>
      </c>
      <c r="CP252" s="518" t="str">
        <f>IF(AND(_F="B-737-900",'2024'!$J$4="CA",'2024'!$J$2=CP233),'2024DATA'!$I$21,"")</f>
        <v/>
      </c>
      <c r="CQ252" s="518" t="str">
        <f>IF(AND(_F="B-737-900",'2024'!$J$4="CA",'2024'!$J$2=CQ233),'2024DATA'!$J$21,"")</f>
        <v/>
      </c>
      <c r="CR252" s="518" t="str">
        <f>IF(AND(_F="B-737-900",'2024'!$J$4="CA",'2024'!$J$2=CR233),'2024DATA'!$K$21,"")</f>
        <v/>
      </c>
      <c r="CS252" s="518" t="str">
        <f>IF(AND(_F="B-737-900",'2024'!$J$4="CA",'2024'!$J$2=CS233),'2024DATA'!$L$21,"")</f>
        <v/>
      </c>
      <c r="CT252" s="518" t="str">
        <f>IF(AND(_F="B-737-900",'2024'!$J$4="CA",'2024'!$J$2=CT233),'2024DATA'!$M$21,"")</f>
        <v/>
      </c>
      <c r="CU252" s="520" t="str">
        <f>IF(AND(_F="B-737-900",'2024'!$J$4="CA",'2024'!$J$2=CU233),'2024DATA'!$N$21,"")</f>
        <v/>
      </c>
    </row>
    <row r="253" spans="16:99" x14ac:dyDescent="0.25">
      <c r="P253" s="940"/>
      <c r="Q253" s="13" t="s">
        <v>62</v>
      </c>
      <c r="R253" s="518" t="str">
        <f>IF(AND(_A="B-737-900",'2024'!$J$4="FO",'2024'!$J$2=R233),'2024DATA'!$C$22,"")</f>
        <v/>
      </c>
      <c r="S253" s="518" t="str">
        <f>IF(AND(_A="B-737-900",'2024'!$J$4="FO",'2024'!$J$2=S233),'2024DATA'!$D$22,"")</f>
        <v/>
      </c>
      <c r="T253" s="518" t="str">
        <f>IF(AND(_A="B-737-900",'2024'!$J$4="FO",'2024'!$J$2=T233),'2024DATA'!$E$22,"")</f>
        <v/>
      </c>
      <c r="U253" s="518" t="str">
        <f>IF(AND(_A="B-737-900",'2024'!$J$4="FO",'2024'!$J$2=U233),'2024DATA'!$F$22,"")</f>
        <v/>
      </c>
      <c r="V253" s="518" t="str">
        <f>IF(AND(_A="B-737-900",'2024'!$J$4="FO",'2024'!$J$2=V233),'2024DATA'!$G$22,"")</f>
        <v/>
      </c>
      <c r="W253" s="518" t="str">
        <f>IF(AND(_A="B-737-900",'2024'!$J$4="FO",'2024'!$J$2=W233),'2024DATA'!$H$22,"")</f>
        <v/>
      </c>
      <c r="X253" s="518" t="str">
        <f>IF(AND(_A="B-737-900",'2024'!$J$4="FO",'2024'!$J$2=X233),'2024DATA'!$I$22,"")</f>
        <v/>
      </c>
      <c r="Y253" s="518" t="str">
        <f>IF(AND(_A="B-737-900",'2024'!$J$4="FO",'2024'!$J$2=Y233),'2024DATA'!$J$22,"")</f>
        <v/>
      </c>
      <c r="Z253" s="518" t="str">
        <f>IF(AND(_A="B-737-900",'2024'!$J$4="FO",'2024'!$J$2=Z233),'2024DATA'!$K$22,"")</f>
        <v/>
      </c>
      <c r="AA253" s="518" t="str">
        <f>IF(AND(_A="B-737-900",'2024'!$J$4="FO",'2024'!$J$2=AA233),'2024DATA'!$L$22,"")</f>
        <v/>
      </c>
      <c r="AB253" s="518" t="str">
        <f>IF(AND(_A="B-737-900",'2024'!$J$4="FO",'2024'!$J$2=AB233),'2024DATA'!$M$22,"")</f>
        <v/>
      </c>
      <c r="AC253" s="520" t="str">
        <f>IF(AND(_A="B-737-900",'2024'!$J$4="FO",'2024'!$J$2=AC233),'2024DATA'!$N$22,"")</f>
        <v/>
      </c>
      <c r="AD253" s="940"/>
      <c r="AE253" s="13" t="s">
        <v>62</v>
      </c>
      <c r="AF253" s="518" t="str">
        <f>IF(AND(_B="B-737-900",'2024'!$J$4="FO",'2024'!$J$2=AF233),'2024DATA'!$C$22,"")</f>
        <v/>
      </c>
      <c r="AG253" s="518" t="str">
        <f>IF(AND(_B="B-737-900",'2024'!$J$4="FO",'2024'!$J$2=AG233),'2024DATA'!$D$22,"")</f>
        <v/>
      </c>
      <c r="AH253" s="518" t="str">
        <f>IF(AND(_B="B-737-900",'2024'!$J$4="FO",'2024'!$J$2=AH233),'2024DATA'!$E$22,"")</f>
        <v/>
      </c>
      <c r="AI253" s="518" t="str">
        <f>IF(AND(_B="B-737-900",'2024'!$J$4="FO",'2024'!$J$2=AI233),'2024DATA'!$F$22,"")</f>
        <v/>
      </c>
      <c r="AJ253" s="518" t="str">
        <f>IF(AND(_B="B-737-900",'2024'!$J$4="FO",'2024'!$J$2=AJ233),'2024DATA'!$G$22,"")</f>
        <v/>
      </c>
      <c r="AK253" s="518" t="str">
        <f>IF(AND(_B="B-737-900",'2024'!$J$4="FO",'2024'!$J$2=AK233),'2024DATA'!$H$22,"")</f>
        <v/>
      </c>
      <c r="AL253" s="518" t="str">
        <f>IF(AND(_B="B-737-900",'2024'!$J$4="FO",'2024'!$J$2=AL233),'2024DATA'!$I$22,"")</f>
        <v/>
      </c>
      <c r="AM253" s="518" t="str">
        <f>IF(AND(_B="B-737-900",'2024'!$J$4="FO",'2024'!$J$2=AM233),'2024DATA'!$J$22,"")</f>
        <v/>
      </c>
      <c r="AN253" s="518" t="str">
        <f>IF(AND(_B="B-737-900",'2024'!$J$4="FO",'2024'!$J$2=AN233),'2024DATA'!$K$22,"")</f>
        <v/>
      </c>
      <c r="AO253" s="518" t="str">
        <f>IF(AND(_B="B-737-900",'2024'!$J$4="FO",'2024'!$J$2=AO233),'2024DATA'!$L$22,"")</f>
        <v/>
      </c>
      <c r="AP253" s="518" t="str">
        <f>IF(AND(_B="B-737-900",'2024'!$J$4="FO",'2024'!$J$2=AP233),'2024DATA'!$M$22,"")</f>
        <v/>
      </c>
      <c r="AQ253" s="520" t="str">
        <f>IF(AND(_B="B-737-900",'2024'!$J$4="FO",'2024'!$J$2=AQ233),'2024DATA'!$N$22,"")</f>
        <v/>
      </c>
      <c r="AR253" s="940"/>
      <c r="AS253" s="13" t="s">
        <v>62</v>
      </c>
      <c r="AT253" s="518" t="str">
        <f>IF(AND(_C="B-737-900",'2024'!$J$4="FO",'2024'!$J$2=AT233),'2024DATA'!$C$22,"")</f>
        <v/>
      </c>
      <c r="AU253" s="518" t="str">
        <f>IF(AND(_C="B-737-900",'2024'!$J$4="FO",'2024'!$J$2=AU233),'2024DATA'!$D$22,"")</f>
        <v/>
      </c>
      <c r="AV253" s="518" t="str">
        <f>IF(AND(_C="B-737-900",'2024'!$J$4="FO",'2024'!$J$2=AV233),'2024DATA'!$E$22,"")</f>
        <v/>
      </c>
      <c r="AW253" s="518" t="str">
        <f>IF(AND(_C="B-737-900",'2024'!$J$4="FO",'2024'!$J$2=AW233),'2024DATA'!$F$22,"")</f>
        <v/>
      </c>
      <c r="AX253" s="518" t="str">
        <f>IF(AND(_C="B-737-900",'2024'!$J$4="FO",'2024'!$J$2=AX233),'2024DATA'!$G$22,"")</f>
        <v/>
      </c>
      <c r="AY253" s="518" t="str">
        <f>IF(AND(_C="B-737-900",'2024'!$J$4="FO",'2024'!$J$2=AY233),'2024DATA'!$H$22,"")</f>
        <v/>
      </c>
      <c r="AZ253" s="518" t="str">
        <f>IF(AND(_C="B-737-900",'2024'!$J$4="FO",'2024'!$J$2=AZ233),'2024DATA'!$I$22,"")</f>
        <v/>
      </c>
      <c r="BA253" s="518" t="str">
        <f>IF(AND(_C="B-737-900",'2024'!$J$4="FO",'2024'!$J$2=BA233),'2024DATA'!$J$22,"")</f>
        <v/>
      </c>
      <c r="BB253" s="518" t="str">
        <f>IF(AND(_C="B-737-900",'2024'!$J$4="FO",'2024'!$J$2=BB233),'2024DATA'!$K$22,"")</f>
        <v/>
      </c>
      <c r="BC253" s="518" t="str">
        <f>IF(AND(_C="B-737-900",'2024'!$J$4="FO",'2024'!$J$2=BC233),'2024DATA'!$L$22,"")</f>
        <v/>
      </c>
      <c r="BD253" s="518" t="str">
        <f>IF(AND(_C="B-737-900",'2024'!$J$4="FO",'2024'!$J$2=BD233),'2024DATA'!$M$22,"")</f>
        <v/>
      </c>
      <c r="BE253" s="520" t="str">
        <f>IF(AND(_C="B-737-900",'2024'!$J$4="FO",'2024'!$J$2=BE233),'2024DATA'!$N$22,"")</f>
        <v/>
      </c>
      <c r="BF253" s="940"/>
      <c r="BG253" s="13" t="s">
        <v>62</v>
      </c>
      <c r="BH253" s="518" t="str">
        <f>IF(AND(_D="B-737-900",'2024'!$J$4="FO",'2024'!$J$2=BH233),'2024DATA'!$C$22,"")</f>
        <v/>
      </c>
      <c r="BI253" s="518" t="str">
        <f>IF(AND(_D="B-737-900",'2024'!$J$4="FO",'2024'!$J$2=BI233),'2024DATA'!$D$22,"")</f>
        <v/>
      </c>
      <c r="BJ253" s="518" t="str">
        <f>IF(AND(_D="B-737-900",'2024'!$J$4="FO",'2024'!$J$2=BJ233),'2024DATA'!$E$22,"")</f>
        <v/>
      </c>
      <c r="BK253" s="518" t="str">
        <f>IF(AND(_D="B-737-900",'2024'!$J$4="FO",'2024'!$J$2=BK233),'2024DATA'!$F$22,"")</f>
        <v/>
      </c>
      <c r="BL253" s="518" t="str">
        <f>IF(AND(_D="B-737-900",'2024'!$J$4="FO",'2024'!$J$2=BL233),'2024DATA'!$G$22,"")</f>
        <v/>
      </c>
      <c r="BM253" s="518" t="str">
        <f>IF(AND(_D="B-737-900",'2024'!$J$4="FO",'2024'!$J$2=BM233),'2024DATA'!$H$22,"")</f>
        <v/>
      </c>
      <c r="BN253" s="518" t="str">
        <f>IF(AND(_D="B-737-900",'2024'!$J$4="FO",'2024'!$J$2=BN233),'2024DATA'!$I$22,"")</f>
        <v/>
      </c>
      <c r="BO253" s="518" t="str">
        <f>IF(AND(_D="B-737-900",'2024'!$J$4="FO",'2024'!$J$2=BO233),'2024DATA'!$J$22,"")</f>
        <v/>
      </c>
      <c r="BP253" s="518" t="str">
        <f>IF(AND(_D="B-737-900",'2024'!$J$4="FO",'2024'!$J$2=BP233),'2024DATA'!$K$22,"")</f>
        <v/>
      </c>
      <c r="BQ253" s="518" t="str">
        <f>IF(AND(_D="B-737-900",'2024'!$J$4="FO",'2024'!$J$2=BQ233),'2024DATA'!$L$22,"")</f>
        <v/>
      </c>
      <c r="BR253" s="518" t="str">
        <f>IF(AND(_D="B-737-900",'2024'!$J$4="FO",'2024'!$J$2=BR233),'2024DATA'!$M$22,"")</f>
        <v/>
      </c>
      <c r="BS253" s="520" t="str">
        <f>IF(AND(_D="B-737-900",'2024'!$J$4="FO",'2024'!$J$2=BS233),'2024DATA'!$N$22,"")</f>
        <v/>
      </c>
      <c r="BT253" s="940"/>
      <c r="BU253" s="13" t="s">
        <v>62</v>
      </c>
      <c r="BV253" s="518" t="str">
        <f>IF(AND(_E="B-737-900",'2024'!$J$4="FO",'2024'!$J$2=BV233),'2024DATA'!$C$22,"")</f>
        <v/>
      </c>
      <c r="BW253" s="518" t="str">
        <f>IF(AND(_E="B-737-900",'2024'!$J$4="FO",'2024'!$J$2=BW233),'2024DATA'!$D$22,"")</f>
        <v/>
      </c>
      <c r="BX253" s="518" t="str">
        <f>IF(AND(_E="B-737-900",'2024'!$J$4="FO",'2024'!$J$2=BX233),'2024DATA'!$E$22,"")</f>
        <v/>
      </c>
      <c r="BY253" s="518" t="str">
        <f>IF(AND(_E="B-737-900",'2024'!$J$4="FO",'2024'!$J$2=BY233),'2024DATA'!$F$22,"")</f>
        <v/>
      </c>
      <c r="BZ253" s="518" t="str">
        <f>IF(AND(_E="B-737-900",'2024'!$J$4="FO",'2024'!$J$2=BZ233),'2024DATA'!$G$22,"")</f>
        <v/>
      </c>
      <c r="CA253" s="518" t="str">
        <f>IF(AND(_E="B-737-900",'2024'!$J$4="FO",'2024'!$J$2=CA233),'2024DATA'!$H$22,"")</f>
        <v/>
      </c>
      <c r="CB253" s="518" t="str">
        <f>IF(AND(_E="B-737-900",'2024'!$J$4="FO",'2024'!$J$2=CB233),'2024DATA'!$I$22,"")</f>
        <v/>
      </c>
      <c r="CC253" s="518" t="str">
        <f>IF(AND(_E="B-737-900",'2024'!$J$4="FO",'2024'!$J$2=CC233),'2024DATA'!$J$22,"")</f>
        <v/>
      </c>
      <c r="CD253" s="518" t="str">
        <f>IF(AND(_E="B-737-900",'2024'!$J$4="FO",'2024'!$J$2=CD233),'2024DATA'!$K$22,"")</f>
        <v/>
      </c>
      <c r="CE253" s="518" t="str">
        <f>IF(AND(_E="B-737-900",'2024'!$J$4="FO",'2024'!$J$2=CE233),'2024DATA'!$L$22,"")</f>
        <v/>
      </c>
      <c r="CF253" s="518" t="str">
        <f>IF(AND(_E="B-737-900",'2024'!$J$4="FO",'2024'!$J$2=CF233),'2024DATA'!$M$22,"")</f>
        <v/>
      </c>
      <c r="CG253" s="520" t="str">
        <f>IF(AND(_E="B-737-900",'2024'!$J$4="FO",'2024'!$J$2=CG233),'2024DATA'!$N$22,"")</f>
        <v/>
      </c>
      <c r="CH253" s="940"/>
      <c r="CI253" s="13" t="s">
        <v>62</v>
      </c>
      <c r="CJ253" s="518" t="str">
        <f>IF(AND(_F="B-737-900",'2024'!$J$4="FO",'2024'!$J$2=CJ233),'2024DATA'!$C$22,"")</f>
        <v/>
      </c>
      <c r="CK253" s="518" t="str">
        <f>IF(AND(_F="B-737-900",'2024'!$J$4="FO",'2024'!$J$2=CK233),'2024DATA'!$D$22,"")</f>
        <v/>
      </c>
      <c r="CL253" s="518" t="str">
        <f>IF(AND(_F="B-737-900",'2024'!$J$4="FO",'2024'!$J$2=CL233),'2024DATA'!$E$22,"")</f>
        <v/>
      </c>
      <c r="CM253" s="518" t="str">
        <f>IF(AND(_F="B-737-900",'2024'!$J$4="FO",'2024'!$J$2=CM233),'2024DATA'!$F$22,"")</f>
        <v/>
      </c>
      <c r="CN253" s="518" t="str">
        <f>IF(AND(_F="B-737-900",'2024'!$J$4="FO",'2024'!$J$2=CN233),'2024DATA'!$G$22,"")</f>
        <v/>
      </c>
      <c r="CO253" s="518" t="str">
        <f>IF(AND(_F="B-737-900",'2024'!$J$4="FO",'2024'!$J$2=CO233),'2024DATA'!$H$22,"")</f>
        <v/>
      </c>
      <c r="CP253" s="518" t="str">
        <f>IF(AND(_F="B-737-900",'2024'!$J$4="FO",'2024'!$J$2=CP233),'2024DATA'!$I$22,"")</f>
        <v/>
      </c>
      <c r="CQ253" s="518" t="str">
        <f>IF(AND(_F="B-737-900",'2024'!$J$4="FO",'2024'!$J$2=CQ233),'2024DATA'!$J$22,"")</f>
        <v/>
      </c>
      <c r="CR253" s="518" t="str">
        <f>IF(AND(_F="B-737-900",'2024'!$J$4="FO",'2024'!$J$2=CR233),'2024DATA'!$K$22,"")</f>
        <v/>
      </c>
      <c r="CS253" s="518" t="str">
        <f>IF(AND(_F="B-737-900",'2024'!$J$4="FO",'2024'!$J$2=CS233),'2024DATA'!$L$22,"")</f>
        <v/>
      </c>
      <c r="CT253" s="518" t="str">
        <f>IF(AND(_F="B-737-900",'2024'!$J$4="FO",'2024'!$J$2=CT233),'2024DATA'!$M$22,"")</f>
        <v/>
      </c>
      <c r="CU253" s="520" t="str">
        <f>IF(AND(_F="B-737-900",'2024'!$J$4="FO",'2024'!$J$2=CU233),'2024DATA'!$N$22,"")</f>
        <v/>
      </c>
    </row>
    <row r="254" spans="16:99" x14ac:dyDescent="0.25">
      <c r="P254" s="940" t="s">
        <v>69</v>
      </c>
      <c r="Q254" s="13" t="s">
        <v>61</v>
      </c>
      <c r="R254" s="518" t="str">
        <f>IF(AND(_A="B-737-800",'2024'!$J$4="CA",'2024'!$J$2=R233),'2024DATA'!$C$23,"")</f>
        <v/>
      </c>
      <c r="S254" s="518" t="str">
        <f>IF(AND(_A="B-737-800",'2024'!$J$4="CA",'2024'!$J$2=S233),'2024DATA'!$D$23,"")</f>
        <v/>
      </c>
      <c r="T254" s="518" t="str">
        <f>IF(AND(_A="B-737-800",'2024'!$J$4="CA",'2024'!$J$2=T233),'2024DATA'!$E$23,"")</f>
        <v/>
      </c>
      <c r="U254" s="518" t="str">
        <f>IF(AND(_A="B-737-800",'2024'!$J$4="CA",'2024'!$J$2=U233),'2024DATA'!$F$23,"")</f>
        <v/>
      </c>
      <c r="V254" s="518" t="str">
        <f>IF(AND(_A="B-737-800",'2024'!$J$4="CA",'2024'!$J$2=V233),'2024DATA'!$G$23,"")</f>
        <v/>
      </c>
      <c r="W254" s="518" t="str">
        <f>IF(AND(_A="B-737-800",'2024'!$J$4="CA",'2024'!$J$2=W233),'2024DATA'!$H$23,"")</f>
        <v/>
      </c>
      <c r="X254" s="518" t="str">
        <f>IF(AND(_A="B-737-800",'2024'!$J$4="CA",'2024'!$J$2=X233),'2024DATA'!$I$23,"")</f>
        <v/>
      </c>
      <c r="Y254" s="518" t="str">
        <f>IF(AND(_A="B-737-800",'2024'!$J$4="CA",'2024'!$J$2=Y233),'2024DATA'!$J$23,"")</f>
        <v/>
      </c>
      <c r="Z254" s="518" t="str">
        <f>IF(AND(_A="B-737-800",'2024'!$J$4="CA",'2024'!$J$2=Z233),'2024DATA'!$K$23,"")</f>
        <v/>
      </c>
      <c r="AA254" s="518" t="str">
        <f>IF(AND(_A="B-737-800",'2024'!$J$4="CA",'2024'!$J$2=AA233),'2024DATA'!$L$23,"")</f>
        <v/>
      </c>
      <c r="AB254" s="518" t="str">
        <f>IF(AND(_A="B-737-800",'2024'!$J$4="CA",'2024'!$J$2=AB233),'2024DATA'!$M$23,"")</f>
        <v/>
      </c>
      <c r="AC254" s="520" t="str">
        <f>IF(AND(_A="B-737-800",'2024'!$J$4="CA",'2024'!$J$2=AC233),'2024DATA'!$N$23,"")</f>
        <v/>
      </c>
      <c r="AD254" s="940" t="s">
        <v>69</v>
      </c>
      <c r="AE254" s="13" t="s">
        <v>61</v>
      </c>
      <c r="AF254" s="518" t="str">
        <f>IF(AND(_B="B-737-800",'2024'!$J$4="CA",'2024'!$J$2=AF233),'2024DATA'!$C$23,"")</f>
        <v/>
      </c>
      <c r="AG254" s="518" t="str">
        <f>IF(AND(_B="B-737-800",'2024'!$J$4="CA",'2024'!$J$2=AG233),'2024DATA'!$D$23,"")</f>
        <v/>
      </c>
      <c r="AH254" s="518" t="str">
        <f>IF(AND(_B="B-737-800",'2024'!$J$4="CA",'2024'!$J$2=AH233),'2024DATA'!$E$23,"")</f>
        <v/>
      </c>
      <c r="AI254" s="518" t="str">
        <f>IF(AND(_B="B-737-800",'2024'!$J$4="CA",'2024'!$J$2=AI233),'2024DATA'!$F$23,"")</f>
        <v/>
      </c>
      <c r="AJ254" s="518" t="str">
        <f>IF(AND(_B="B-737-800",'2024'!$J$4="CA",'2024'!$J$2=AJ233),'2024DATA'!$G$23,"")</f>
        <v/>
      </c>
      <c r="AK254" s="518" t="str">
        <f>IF(AND(_B="B-737-800",'2024'!$J$4="CA",'2024'!$J$2=AK233),'2024DATA'!$H$23,"")</f>
        <v/>
      </c>
      <c r="AL254" s="518" t="str">
        <f>IF(AND(_B="B-737-800",'2024'!$J$4="CA",'2024'!$J$2=AL233),'2024DATA'!$I$23,"")</f>
        <v/>
      </c>
      <c r="AM254" s="518" t="str">
        <f>IF(AND(_B="B-737-800",'2024'!$J$4="CA",'2024'!$J$2=AM233),'2024DATA'!$J$23,"")</f>
        <v/>
      </c>
      <c r="AN254" s="518" t="str">
        <f>IF(AND(_B="B-737-800",'2024'!$J$4="CA",'2024'!$J$2=AN233),'2024DATA'!$K$23,"")</f>
        <v/>
      </c>
      <c r="AO254" s="518" t="str">
        <f>IF(AND(_B="B-737-800",'2024'!$J$4="CA",'2024'!$J$2=AO233),'2024DATA'!$L$23,"")</f>
        <v/>
      </c>
      <c r="AP254" s="518" t="str">
        <f>IF(AND(_B="B-737-800",'2024'!$J$4="CA",'2024'!$J$2=AP233),'2024DATA'!$M$23,"")</f>
        <v/>
      </c>
      <c r="AQ254" s="520" t="str">
        <f>IF(AND(_B="B-737-800",'2024'!$J$4="CA",'2024'!$J$2=AQ233),'2024DATA'!$N$23,"")</f>
        <v/>
      </c>
      <c r="AR254" s="940" t="s">
        <v>69</v>
      </c>
      <c r="AS254" s="13" t="s">
        <v>61</v>
      </c>
      <c r="AT254" s="518" t="str">
        <f>IF(AND(_C="B-737-800",'2024'!$J$4="CA",'2024'!$J$2=AT233),'2024DATA'!$C$23,"")</f>
        <v/>
      </c>
      <c r="AU254" s="518" t="str">
        <f>IF(AND(_C="B-737-800",'2024'!$J$4="CA",'2024'!$J$2=AU233),'2024DATA'!$D$23,"")</f>
        <v/>
      </c>
      <c r="AV254" s="518" t="str">
        <f>IF(AND(_C="B-737-800",'2024'!$J$4="CA",'2024'!$J$2=AV233),'2024DATA'!$E$23,"")</f>
        <v/>
      </c>
      <c r="AW254" s="518" t="str">
        <f>IF(AND(_C="B-737-800",'2024'!$J$4="CA",'2024'!$J$2=AW233),'2024DATA'!$F$23,"")</f>
        <v/>
      </c>
      <c r="AX254" s="518" t="str">
        <f>IF(AND(_C="B-737-800",'2024'!$J$4="CA",'2024'!$J$2=AX233),'2024DATA'!$G$23,"")</f>
        <v/>
      </c>
      <c r="AY254" s="518" t="str">
        <f>IF(AND(_C="B-737-800",'2024'!$J$4="CA",'2024'!$J$2=AY233),'2024DATA'!$H$23,"")</f>
        <v/>
      </c>
      <c r="AZ254" s="518" t="str">
        <f>IF(AND(_C="B-737-800",'2024'!$J$4="CA",'2024'!$J$2=AZ233),'2024DATA'!$I$23,"")</f>
        <v/>
      </c>
      <c r="BA254" s="518" t="str">
        <f>IF(AND(_C="B-737-800",'2024'!$J$4="CA",'2024'!$J$2=BA233),'2024DATA'!$J$23,"")</f>
        <v/>
      </c>
      <c r="BB254" s="518" t="str">
        <f>IF(AND(_C="B-737-800",'2024'!$J$4="CA",'2024'!$J$2=BB233),'2024DATA'!$K$23,"")</f>
        <v/>
      </c>
      <c r="BC254" s="518" t="str">
        <f>IF(AND(_C="B-737-800",'2024'!$J$4="CA",'2024'!$J$2=BC233),'2024DATA'!$L$23,"")</f>
        <v/>
      </c>
      <c r="BD254" s="518" t="str">
        <f>IF(AND(_C="B-737-800",'2024'!$J$4="CA",'2024'!$J$2=BD233),'2024DATA'!$M$23,"")</f>
        <v/>
      </c>
      <c r="BE254" s="520" t="str">
        <f>IF(AND(_C="B-737-800",'2024'!$J$4="CA",'2024'!$J$2=BE233),'2024DATA'!$N$23,"")</f>
        <v/>
      </c>
      <c r="BF254" s="940" t="s">
        <v>69</v>
      </c>
      <c r="BG254" s="13" t="s">
        <v>61</v>
      </c>
      <c r="BH254" s="518" t="str">
        <f>IF(AND(_D="B-737-800",'2024'!$J$4="CA",'2024'!$J$2=BH233),'2024DATA'!$C$23,"")</f>
        <v/>
      </c>
      <c r="BI254" s="518" t="str">
        <f>IF(AND(_D="B-737-800",'2024'!$J$4="CA",'2024'!$J$2=BI233),'2024DATA'!$D$23,"")</f>
        <v/>
      </c>
      <c r="BJ254" s="518" t="str">
        <f>IF(AND(_D="B-737-800",'2024'!$J$4="CA",'2024'!$J$2=BJ233),'2024DATA'!$E$23,"")</f>
        <v/>
      </c>
      <c r="BK254" s="518" t="str">
        <f>IF(AND(_D="B-737-800",'2024'!$J$4="CA",'2024'!$J$2=BK233),'2024DATA'!$F$23,"")</f>
        <v/>
      </c>
      <c r="BL254" s="518" t="str">
        <f>IF(AND(_D="B-737-800",'2024'!$J$4="CA",'2024'!$J$2=BL233),'2024DATA'!$G$23,"")</f>
        <v/>
      </c>
      <c r="BM254" s="518" t="str">
        <f>IF(AND(_D="B-737-800",'2024'!$J$4="CA",'2024'!$J$2=BM233),'2024DATA'!$H$23,"")</f>
        <v/>
      </c>
      <c r="BN254" s="518" t="str">
        <f>IF(AND(_D="B-737-800",'2024'!$J$4="CA",'2024'!$J$2=BN233),'2024DATA'!$I$23,"")</f>
        <v/>
      </c>
      <c r="BO254" s="518" t="str">
        <f>IF(AND(_D="B-737-800",'2024'!$J$4="CA",'2024'!$J$2=BO233),'2024DATA'!$J$23,"")</f>
        <v/>
      </c>
      <c r="BP254" s="518" t="str">
        <f>IF(AND(_D="B-737-800",'2024'!$J$4="CA",'2024'!$J$2=BP233),'2024DATA'!$K$23,"")</f>
        <v/>
      </c>
      <c r="BQ254" s="518" t="str">
        <f>IF(AND(_D="B-737-800",'2024'!$J$4="CA",'2024'!$J$2=BQ233),'2024DATA'!$L$23,"")</f>
        <v/>
      </c>
      <c r="BR254" s="518" t="str">
        <f>IF(AND(_D="B-737-800",'2024'!$J$4="CA",'2024'!$J$2=BR233),'2024DATA'!$M$23,"")</f>
        <v/>
      </c>
      <c r="BS254" s="520" t="str">
        <f>IF(AND(_D="B-737-800",'2024'!$J$4="CA",'2024'!$J$2=BS233),'2024DATA'!$N$23,"")</f>
        <v/>
      </c>
      <c r="BT254" s="940" t="s">
        <v>69</v>
      </c>
      <c r="BU254" s="13" t="s">
        <v>61</v>
      </c>
      <c r="BV254" s="518" t="str">
        <f>IF(AND(_E="B-737-800",'2024'!$J$4="CA",'2024'!$J$2=BV233),'2024DATA'!$C$23,"")</f>
        <v/>
      </c>
      <c r="BW254" s="518" t="str">
        <f>IF(AND(_E="B-737-800",'2024'!$J$4="CA",'2024'!$J$2=BW233),'2024DATA'!$D$23,"")</f>
        <v/>
      </c>
      <c r="BX254" s="518" t="str">
        <f>IF(AND(_E="B-737-800",'2024'!$J$4="CA",'2024'!$J$2=BX233),'2024DATA'!$E$23,"")</f>
        <v/>
      </c>
      <c r="BY254" s="518" t="str">
        <f>IF(AND(_E="B-737-800",'2024'!$J$4="CA",'2024'!$J$2=BY233),'2024DATA'!$F$23,"")</f>
        <v/>
      </c>
      <c r="BZ254" s="518" t="str">
        <f>IF(AND(_E="B-737-800",'2024'!$J$4="CA",'2024'!$J$2=BZ233),'2024DATA'!$G$23,"")</f>
        <v/>
      </c>
      <c r="CA254" s="518" t="str">
        <f>IF(AND(_E="B-737-800",'2024'!$J$4="CA",'2024'!$J$2=CA233),'2024DATA'!$H$23,"")</f>
        <v/>
      </c>
      <c r="CB254" s="518" t="str">
        <f>IF(AND(_E="B-737-800",'2024'!$J$4="CA",'2024'!$J$2=CB233),'2024DATA'!$I$23,"")</f>
        <v/>
      </c>
      <c r="CC254" s="518" t="str">
        <f>IF(AND(_E="B-737-800",'2024'!$J$4="CA",'2024'!$J$2=CC233),'2024DATA'!$J$23,"")</f>
        <v/>
      </c>
      <c r="CD254" s="518" t="str">
        <f>IF(AND(_E="B-737-800",'2024'!$J$4="CA",'2024'!$J$2=CD233),'2024DATA'!$K$23,"")</f>
        <v/>
      </c>
      <c r="CE254" s="518" t="str">
        <f>IF(AND(_E="B-737-800",'2024'!$J$4="CA",'2024'!$J$2=CE233),'2024DATA'!$L$23,"")</f>
        <v/>
      </c>
      <c r="CF254" s="518" t="str">
        <f>IF(AND(_E="B-737-800",'2024'!$J$4="CA",'2024'!$J$2=CF233),'2024DATA'!$M$23,"")</f>
        <v/>
      </c>
      <c r="CG254" s="520" t="str">
        <f>IF(AND(_E="B-737-800",'2024'!$J$4="CA",'2024'!$J$2=CG233),'2024DATA'!$N$23,"")</f>
        <v/>
      </c>
      <c r="CH254" s="940" t="s">
        <v>69</v>
      </c>
      <c r="CI254" s="13" t="s">
        <v>61</v>
      </c>
      <c r="CJ254" s="518" t="str">
        <f>IF(AND(_F="B-737-800",'2024'!$J$4="CA",'2024'!$J$2=CJ233),'2024DATA'!$C$23,"")</f>
        <v/>
      </c>
      <c r="CK254" s="518" t="str">
        <f>IF(AND(_F="B-737-800",'2024'!$J$4="CA",'2024'!$J$2=CK233),'2024DATA'!$D$23,"")</f>
        <v/>
      </c>
      <c r="CL254" s="518" t="str">
        <f>IF(AND(_F="B-737-800",'2024'!$J$4="CA",'2024'!$J$2=CL233),'2024DATA'!$E$23,"")</f>
        <v/>
      </c>
      <c r="CM254" s="518" t="str">
        <f>IF(AND(_F="B-737-800",'2024'!$J$4="CA",'2024'!$J$2=CM233),'2024DATA'!$F$23,"")</f>
        <v/>
      </c>
      <c r="CN254" s="518" t="str">
        <f>IF(AND(_F="B-737-800",'2024'!$J$4="CA",'2024'!$J$2=CN233),'2024DATA'!$G$23,"")</f>
        <v/>
      </c>
      <c r="CO254" s="518" t="str">
        <f>IF(AND(_F="B-737-800",'2024'!$J$4="CA",'2024'!$J$2=CO233),'2024DATA'!$H$23,"")</f>
        <v/>
      </c>
      <c r="CP254" s="518" t="str">
        <f>IF(AND(_F="B-737-800",'2024'!$J$4="CA",'2024'!$J$2=CP233),'2024DATA'!$I$23,"")</f>
        <v/>
      </c>
      <c r="CQ254" s="518" t="str">
        <f>IF(AND(_F="B-737-800",'2024'!$J$4="CA",'2024'!$J$2=CQ233),'2024DATA'!$J$23,"")</f>
        <v/>
      </c>
      <c r="CR254" s="518" t="str">
        <f>IF(AND(_F="B-737-800",'2024'!$J$4="CA",'2024'!$J$2=CR233),'2024DATA'!$K$23,"")</f>
        <v/>
      </c>
      <c r="CS254" s="518" t="str">
        <f>IF(AND(_F="B-737-800",'2024'!$J$4="CA",'2024'!$J$2=CS233),'2024DATA'!$L$23,"")</f>
        <v/>
      </c>
      <c r="CT254" s="518" t="str">
        <f>IF(AND(_F="B-737-800",'2024'!$J$4="CA",'2024'!$J$2=CT233),'2024DATA'!$M$23,"")</f>
        <v/>
      </c>
      <c r="CU254" s="520" t="str">
        <f>IF(AND(_F="B-737-800",'2024'!$J$4="CA",'2024'!$J$2=CU233),'2024DATA'!$N$23,"")</f>
        <v/>
      </c>
    </row>
    <row r="255" spans="16:99" x14ac:dyDescent="0.25">
      <c r="P255" s="940"/>
      <c r="Q255" s="13" t="s">
        <v>62</v>
      </c>
      <c r="R255" s="518" t="str">
        <f>IF(AND(_A="B-737-800",'2024'!$J$4="FO",'2024'!$J$2=R233),'2024DATA'!$C$24,"")</f>
        <v/>
      </c>
      <c r="S255" s="518" t="str">
        <f>IF(AND(_A="B-737-800",'2024'!$J$4="FO",'2024'!$J$2=S233),'2024DATA'!$D$24,"")</f>
        <v/>
      </c>
      <c r="T255" s="518" t="str">
        <f>IF(AND(_A="B-737-800",'2024'!$J$4="FO",'2024'!$J$2=T233),'2024DATA'!$E$24,"")</f>
        <v/>
      </c>
      <c r="U255" s="518" t="str">
        <f>IF(AND(_A="B-737-800",'2024'!$J$4="FO",'2024'!$J$2=U233),'2024DATA'!$F$24,"")</f>
        <v/>
      </c>
      <c r="V255" s="518" t="str">
        <f>IF(AND(_A="B-737-800",'2024'!$J$4="FO",'2024'!$J$2=V233),'2024DATA'!$G$24,"")</f>
        <v/>
      </c>
      <c r="W255" s="518" t="str">
        <f>IF(AND(_A="B-737-800",'2024'!$J$4="FO",'2024'!$J$2=W233),'2024DATA'!$H$24,"")</f>
        <v/>
      </c>
      <c r="X255" s="518" t="str">
        <f>IF(AND(_A="B-737-800",'2024'!$J$4="FO",'2024'!$J$2=X233),'2024DATA'!$I$24,"")</f>
        <v/>
      </c>
      <c r="Y255" s="518" t="str">
        <f>IF(AND(_A="B-737-800",'2024'!$J$4="FO",'2024'!$J$2=Y233),'2024DATA'!$J$24,"")</f>
        <v/>
      </c>
      <c r="Z255" s="518" t="str">
        <f>IF(AND(_A="B-737-800",'2024'!$J$4="FO",'2024'!$J$2=Z233),'2024DATA'!$K$24,"")</f>
        <v/>
      </c>
      <c r="AA255" s="518" t="str">
        <f>IF(AND(_A="B-737-800",'2024'!$J$4="FO",'2024'!$J$2=AA233),'2024DATA'!$L$24,"")</f>
        <v/>
      </c>
      <c r="AB255" s="518" t="str">
        <f>IF(AND(_A="B-737-800",'2024'!$J$4="FO",'2024'!$J$2=AB233),'2024DATA'!$M$24,"")</f>
        <v/>
      </c>
      <c r="AC255" s="520" t="str">
        <f>IF(AND(_A="B-737-800",'2024'!$J$4="FO",'2024'!$J$2=AC233),'2024DATA'!$N$24,"")</f>
        <v/>
      </c>
      <c r="AD255" s="940"/>
      <c r="AE255" s="13" t="s">
        <v>62</v>
      </c>
      <c r="AF255" s="518" t="str">
        <f>IF(AND(_B="B-737-800",'2024'!$J$4="FO",'2024'!$J$2=AF233),'2024DATA'!$C$24,"")</f>
        <v/>
      </c>
      <c r="AG255" s="518" t="str">
        <f>IF(AND(_B="B-737-800",'2024'!$J$4="FO",'2024'!$J$2=AG233),'2024DATA'!$D$24,"")</f>
        <v/>
      </c>
      <c r="AH255" s="518" t="str">
        <f>IF(AND(_B="B-737-800",'2024'!$J$4="FO",'2024'!$J$2=AH233),'2024DATA'!$E$24,"")</f>
        <v/>
      </c>
      <c r="AI255" s="518" t="str">
        <f>IF(AND(_B="B-737-800",'2024'!$J$4="FO",'2024'!$J$2=AI233),'2024DATA'!$F$24,"")</f>
        <v/>
      </c>
      <c r="AJ255" s="518" t="str">
        <f>IF(AND(_B="B-737-800",'2024'!$J$4="FO",'2024'!$J$2=AJ233),'2024DATA'!$G$24,"")</f>
        <v/>
      </c>
      <c r="AK255" s="518" t="str">
        <f>IF(AND(_B="B-737-800",'2024'!$J$4="FO",'2024'!$J$2=AK233),'2024DATA'!$H$24,"")</f>
        <v/>
      </c>
      <c r="AL255" s="518" t="str">
        <f>IF(AND(_B="B-737-800",'2024'!$J$4="FO",'2024'!$J$2=AL233),'2024DATA'!$I$24,"")</f>
        <v/>
      </c>
      <c r="AM255" s="518" t="str">
        <f>IF(AND(_B="B-737-800",'2024'!$J$4="FO",'2024'!$J$2=AM233),'2024DATA'!$J$24,"")</f>
        <v/>
      </c>
      <c r="AN255" s="518" t="str">
        <f>IF(AND(_B="B-737-800",'2024'!$J$4="FO",'2024'!$J$2=AN233),'2024DATA'!$K$24,"")</f>
        <v/>
      </c>
      <c r="AO255" s="518" t="str">
        <f>IF(AND(_B="B-737-800",'2024'!$J$4="FO",'2024'!$J$2=AO233),'2024DATA'!$L$24,"")</f>
        <v/>
      </c>
      <c r="AP255" s="518" t="str">
        <f>IF(AND(_B="B-737-800",'2024'!$J$4="FO",'2024'!$J$2=AP233),'2024DATA'!$M$24,"")</f>
        <v/>
      </c>
      <c r="AQ255" s="520" t="str">
        <f>IF(AND(_B="B-737-800",'2024'!$J$4="FO",'2024'!$J$2=AQ233),'2024DATA'!$N$24,"")</f>
        <v/>
      </c>
      <c r="AR255" s="940"/>
      <c r="AS255" s="13" t="s">
        <v>62</v>
      </c>
      <c r="AT255" s="518" t="str">
        <f>IF(AND(_C="B-737-800",'2024'!$J$4="FO",'2024'!$J$2=AT233),'2024DATA'!$C$24,"")</f>
        <v/>
      </c>
      <c r="AU255" s="518" t="str">
        <f>IF(AND(_C="B-737-800",'2024'!$J$4="FO",'2024'!$J$2=AU233),'2024DATA'!$D$24,"")</f>
        <v/>
      </c>
      <c r="AV255" s="518" t="str">
        <f>IF(AND(_C="B-737-800",'2024'!$J$4="FO",'2024'!$J$2=AV233),'2024DATA'!$E$24,"")</f>
        <v/>
      </c>
      <c r="AW255" s="518" t="str">
        <f>IF(AND(_C="B-737-800",'2024'!$J$4="FO",'2024'!$J$2=AW233),'2024DATA'!$F$24,"")</f>
        <v/>
      </c>
      <c r="AX255" s="518" t="str">
        <f>IF(AND(_C="B-737-800",'2024'!$J$4="FO",'2024'!$J$2=AX233),'2024DATA'!$G$24,"")</f>
        <v/>
      </c>
      <c r="AY255" s="518" t="str">
        <f>IF(AND(_C="B-737-800",'2024'!$J$4="FO",'2024'!$J$2=AY233),'2024DATA'!$H$24,"")</f>
        <v/>
      </c>
      <c r="AZ255" s="518" t="str">
        <f>IF(AND(_C="B-737-800",'2024'!$J$4="FO",'2024'!$J$2=AZ233),'2024DATA'!$I$24,"")</f>
        <v/>
      </c>
      <c r="BA255" s="518" t="str">
        <f>IF(AND(_C="B-737-800",'2024'!$J$4="FO",'2024'!$J$2=BA233),'2024DATA'!$J$24,"")</f>
        <v/>
      </c>
      <c r="BB255" s="518" t="str">
        <f>IF(AND(_C="B-737-800",'2024'!$J$4="FO",'2024'!$J$2=BB233),'2024DATA'!$K$24,"")</f>
        <v/>
      </c>
      <c r="BC255" s="518" t="str">
        <f>IF(AND(_C="B-737-800",'2024'!$J$4="FO",'2024'!$J$2=BC233),'2024DATA'!$L$24,"")</f>
        <v/>
      </c>
      <c r="BD255" s="518" t="str">
        <f>IF(AND(_C="B-737-800",'2024'!$J$4="FO",'2024'!$J$2=BD233),'2024DATA'!$M$24,"")</f>
        <v/>
      </c>
      <c r="BE255" s="520" t="str">
        <f>IF(AND(_C="B-737-800",'2024'!$J$4="FO",'2024'!$J$2=BE233),'2024DATA'!$N$24,"")</f>
        <v/>
      </c>
      <c r="BF255" s="940"/>
      <c r="BG255" s="13" t="s">
        <v>62</v>
      </c>
      <c r="BH255" s="518" t="str">
        <f>IF(AND(_D="B-737-800",'2024'!$J$4="FO",'2024'!$J$2=BH233),'2024DATA'!$C$24,"")</f>
        <v/>
      </c>
      <c r="BI255" s="518" t="str">
        <f>IF(AND(_D="B-737-800",'2024'!$J$4="FO",'2024'!$J$2=BI233),'2024DATA'!$D$24,"")</f>
        <v/>
      </c>
      <c r="BJ255" s="518" t="str">
        <f>IF(AND(_D="B-737-800",'2024'!$J$4="FO",'2024'!$J$2=BJ233),'2024DATA'!$E$24,"")</f>
        <v/>
      </c>
      <c r="BK255" s="518" t="str">
        <f>IF(AND(_D="B-737-800",'2024'!$J$4="FO",'2024'!$J$2=BK233),'2024DATA'!$F$24,"")</f>
        <v/>
      </c>
      <c r="BL255" s="518" t="str">
        <f>IF(AND(_D="B-737-800",'2024'!$J$4="FO",'2024'!$J$2=BL233),'2024DATA'!$G$24,"")</f>
        <v/>
      </c>
      <c r="BM255" s="518" t="str">
        <f>IF(AND(_D="B-737-800",'2024'!$J$4="FO",'2024'!$J$2=BM233),'2024DATA'!$H$24,"")</f>
        <v/>
      </c>
      <c r="BN255" s="518" t="str">
        <f>IF(AND(_D="B-737-800",'2024'!$J$4="FO",'2024'!$J$2=BN233),'2024DATA'!$I$24,"")</f>
        <v/>
      </c>
      <c r="BO255" s="518" t="str">
        <f>IF(AND(_D="B-737-800",'2024'!$J$4="FO",'2024'!$J$2=BO233),'2024DATA'!$J$24,"")</f>
        <v/>
      </c>
      <c r="BP255" s="518" t="str">
        <f>IF(AND(_D="B-737-800",'2024'!$J$4="FO",'2024'!$J$2=BP233),'2024DATA'!$K$24,"")</f>
        <v/>
      </c>
      <c r="BQ255" s="518" t="str">
        <f>IF(AND(_D="B-737-800",'2024'!$J$4="FO",'2024'!$J$2=BQ233),'2024DATA'!$L$24,"")</f>
        <v/>
      </c>
      <c r="BR255" s="518" t="str">
        <f>IF(AND(_D="B-737-800",'2024'!$J$4="FO",'2024'!$J$2=BR233),'2024DATA'!$M$24,"")</f>
        <v/>
      </c>
      <c r="BS255" s="520" t="str">
        <f>IF(AND(_D="B-737-800",'2024'!$J$4="FO",'2024'!$J$2=BS233),'2024DATA'!$N$24,"")</f>
        <v/>
      </c>
      <c r="BT255" s="940"/>
      <c r="BU255" s="13" t="s">
        <v>62</v>
      </c>
      <c r="BV255" s="518" t="str">
        <f>IF(AND(_E="B-737-800",'2024'!$J$4="FO",'2024'!$J$2=BV233),'2024DATA'!$C$24,"")</f>
        <v/>
      </c>
      <c r="BW255" s="518" t="str">
        <f>IF(AND(_E="B-737-800",'2024'!$J$4="FO",'2024'!$J$2=BW233),'2024DATA'!$D$24,"")</f>
        <v/>
      </c>
      <c r="BX255" s="518" t="str">
        <f>IF(AND(_E="B-737-800",'2024'!$J$4="FO",'2024'!$J$2=BX233),'2024DATA'!$E$24,"")</f>
        <v/>
      </c>
      <c r="BY255" s="518" t="str">
        <f>IF(AND(_E="B-737-800",'2024'!$J$4="FO",'2024'!$J$2=BY233),'2024DATA'!$F$24,"")</f>
        <v/>
      </c>
      <c r="BZ255" s="518" t="str">
        <f>IF(AND(_E="B-737-800",'2024'!$J$4="FO",'2024'!$J$2=BZ233),'2024DATA'!$G$24,"")</f>
        <v/>
      </c>
      <c r="CA255" s="518" t="str">
        <f>IF(AND(_E="B-737-800",'2024'!$J$4="FO",'2024'!$J$2=CA233),'2024DATA'!$H$24,"")</f>
        <v/>
      </c>
      <c r="CB255" s="518" t="str">
        <f>IF(AND(_E="B-737-800",'2024'!$J$4="FO",'2024'!$J$2=CB233),'2024DATA'!$I$24,"")</f>
        <v/>
      </c>
      <c r="CC255" s="518" t="str">
        <f>IF(AND(_E="B-737-800",'2024'!$J$4="FO",'2024'!$J$2=CC233),'2024DATA'!$J$24,"")</f>
        <v/>
      </c>
      <c r="CD255" s="518" t="str">
        <f>IF(AND(_E="B-737-800",'2024'!$J$4="FO",'2024'!$J$2=CD233),'2024DATA'!$K$24,"")</f>
        <v/>
      </c>
      <c r="CE255" s="518" t="str">
        <f>IF(AND(_E="B-737-800",'2024'!$J$4="FO",'2024'!$J$2=CE233),'2024DATA'!$L$24,"")</f>
        <v/>
      </c>
      <c r="CF255" s="518" t="str">
        <f>IF(AND(_E="B-737-800",'2024'!$J$4="FO",'2024'!$J$2=CF233),'2024DATA'!$M$24,"")</f>
        <v/>
      </c>
      <c r="CG255" s="520" t="str">
        <f>IF(AND(_E="B-737-800",'2024'!$J$4="FO",'2024'!$J$2=CG233),'2024DATA'!$N$24,"")</f>
        <v/>
      </c>
      <c r="CH255" s="940"/>
      <c r="CI255" s="13" t="s">
        <v>62</v>
      </c>
      <c r="CJ255" s="518" t="str">
        <f>IF(AND(_F="B-737-800",'2024'!$J$4="FO",'2024'!$J$2=CJ233),'2024DATA'!$C$24,"")</f>
        <v/>
      </c>
      <c r="CK255" s="518" t="str">
        <f>IF(AND(_F="B-737-800",'2024'!$J$4="FO",'2024'!$J$2=CK233),'2024DATA'!$D$24,"")</f>
        <v/>
      </c>
      <c r="CL255" s="518" t="str">
        <f>IF(AND(_F="B-737-800",'2024'!$J$4="FO",'2024'!$J$2=CL233),'2024DATA'!$E$24,"")</f>
        <v/>
      </c>
      <c r="CM255" s="518" t="str">
        <f>IF(AND(_F="B-737-800",'2024'!$J$4="FO",'2024'!$J$2=CM233),'2024DATA'!$F$24,"")</f>
        <v/>
      </c>
      <c r="CN255" s="518" t="str">
        <f>IF(AND(_F="B-737-800",'2024'!$J$4="FO",'2024'!$J$2=CN233),'2024DATA'!$G$24,"")</f>
        <v/>
      </c>
      <c r="CO255" s="518" t="str">
        <f>IF(AND(_F="B-737-800",'2024'!$J$4="FO",'2024'!$J$2=CO233),'2024DATA'!$H$24,"")</f>
        <v/>
      </c>
      <c r="CP255" s="518" t="str">
        <f>IF(AND(_F="B-737-800",'2024'!$J$4="FO",'2024'!$J$2=CP233),'2024DATA'!$I$24,"")</f>
        <v/>
      </c>
      <c r="CQ255" s="518" t="str">
        <f>IF(AND(_F="B-737-800",'2024'!$J$4="FO",'2024'!$J$2=CQ233),'2024DATA'!$J$24,"")</f>
        <v/>
      </c>
      <c r="CR255" s="518" t="str">
        <f>IF(AND(_F="B-737-800",'2024'!$J$4="FO",'2024'!$J$2=CR233),'2024DATA'!$K$24,"")</f>
        <v/>
      </c>
      <c r="CS255" s="518" t="str">
        <f>IF(AND(_F="B-737-800",'2024'!$J$4="FO",'2024'!$J$2=CS233),'2024DATA'!$L$24,"")</f>
        <v/>
      </c>
      <c r="CT255" s="518" t="str">
        <f>IF(AND(_F="B-737-800",'2024'!$J$4="FO",'2024'!$J$2=CT233),'2024DATA'!$M$24,"")</f>
        <v/>
      </c>
      <c r="CU255" s="520" t="str">
        <f>IF(AND(_F="B-737-800",'2024'!$J$4="FO",'2024'!$J$2=CU233),'2024DATA'!$N$24,"")</f>
        <v/>
      </c>
    </row>
    <row r="256" spans="16:99" x14ac:dyDescent="0.25">
      <c r="P256" s="940" t="s">
        <v>46</v>
      </c>
      <c r="Q256" s="13" t="s">
        <v>61</v>
      </c>
      <c r="R256" s="518" t="str">
        <f>IF(AND(_A="A-321N",'2024'!$J$4="CA",'2024'!$J$2=R233),'2024DATA'!$C$25,"")</f>
        <v/>
      </c>
      <c r="S256" s="518" t="str">
        <f>IF(AND(_A="A-321N",'2024'!$J$4="CA",'2024'!$J$2=S233),'2024DATA'!$D$25,"")</f>
        <v/>
      </c>
      <c r="T256" s="518" t="str">
        <f>IF(AND(_A="A-321N",'2024'!$J$4="CA",'2024'!$J$2=T233),'2024DATA'!$E$25,"")</f>
        <v/>
      </c>
      <c r="U256" s="518" t="str">
        <f>IF(AND(_A="A-321N",'2024'!$J$4="CA",'2024'!$J$2=U233),'2024DATA'!$F$25,"")</f>
        <v/>
      </c>
      <c r="V256" s="518" t="str">
        <f>IF(AND(_A="A-321N",'2024'!$J$4="CA",'2024'!$J$2=V233),'2024DATA'!$G$25,"")</f>
        <v/>
      </c>
      <c r="W256" s="518" t="str">
        <f>IF(AND(_A="A-321N",'2024'!$J$4="CA",'2024'!$J$2=W233),'2024DATA'!$H$25,"")</f>
        <v/>
      </c>
      <c r="X256" s="518" t="str">
        <f>IF(AND(_A="A-321N",'2024'!$J$4="CA",'2024'!$J$2=X233),'2024DATA'!$I$25,"")</f>
        <v/>
      </c>
      <c r="Y256" s="518" t="str">
        <f>IF(AND(_A="A-321N",'2024'!$J$4="CA",'2024'!$J$2=Y233),'2024DATA'!$J$25,"")</f>
        <v/>
      </c>
      <c r="Z256" s="518" t="str">
        <f>IF(AND(_A="A-321N",'2024'!$J$4="CA",'2024'!$J$2=Z233),'2024DATA'!$K$25,"")</f>
        <v/>
      </c>
      <c r="AA256" s="518" t="str">
        <f>IF(AND(_A="A-321N",'2024'!$J$4="CA",'2024'!$J$2=AA233),'2024DATA'!$L$25,"")</f>
        <v/>
      </c>
      <c r="AB256" s="518" t="str">
        <f>IF(AND(_A="A-321N",'2024'!$J$4="CA",'2024'!$J$2=AB233),'2024DATA'!$M$25,"")</f>
        <v/>
      </c>
      <c r="AC256" s="520" t="str">
        <f>IF(AND(_A="A-321N",'2024'!$J$4="CA",'2024'!$J$2=AC233),'2024DATA'!$N$25,"")</f>
        <v/>
      </c>
      <c r="AD256" s="940" t="s">
        <v>46</v>
      </c>
      <c r="AE256" s="13" t="s">
        <v>61</v>
      </c>
      <c r="AF256" s="518" t="str">
        <f>IF(AND(_B="A-321N",'2024'!$J$4="CA",'2024'!$J$2=AF233),'2024DATA'!$C$25,"")</f>
        <v/>
      </c>
      <c r="AG256" s="518" t="str">
        <f>IF(AND(_B="A-321N",'2024'!$J$4="CA",'2024'!$J$2=AG233),'2024DATA'!$D$25,"")</f>
        <v/>
      </c>
      <c r="AH256" s="518" t="str">
        <f>IF(AND(_B="A-321N",'2024'!$J$4="CA",'2024'!$J$2=AH233),'2024DATA'!$E$25,"")</f>
        <v/>
      </c>
      <c r="AI256" s="518" t="str">
        <f>IF(AND(_B="A-321N",'2024'!$J$4="CA",'2024'!$J$2=AI233),'2024DATA'!$F$25,"")</f>
        <v/>
      </c>
      <c r="AJ256" s="518" t="str">
        <f>IF(AND(_B="A-321N",'2024'!$J$4="CA",'2024'!$J$2=AJ233),'2024DATA'!$G$25,"")</f>
        <v/>
      </c>
      <c r="AK256" s="518" t="str">
        <f>IF(AND(_B="A-321N",'2024'!$J$4="CA",'2024'!$J$2=AK233),'2024DATA'!$H$25,"")</f>
        <v/>
      </c>
      <c r="AL256" s="518" t="str">
        <f>IF(AND(_B="A-321N",'2024'!$J$4="CA",'2024'!$J$2=AL233),'2024DATA'!$I$25,"")</f>
        <v/>
      </c>
      <c r="AM256" s="518" t="str">
        <f>IF(AND(_B="A-321N",'2024'!$J$4="CA",'2024'!$J$2=AM233),'2024DATA'!$J$25,"")</f>
        <v/>
      </c>
      <c r="AN256" s="518" t="str">
        <f>IF(AND(_B="A-321N",'2024'!$J$4="CA",'2024'!$J$2=AN233),'2024DATA'!$K$25,"")</f>
        <v/>
      </c>
      <c r="AO256" s="518" t="str">
        <f>IF(AND(_B="A-321N",'2024'!$J$4="CA",'2024'!$J$2=AO233),'2024DATA'!$L$25,"")</f>
        <v/>
      </c>
      <c r="AP256" s="518" t="str">
        <f>IF(AND(_B="A-321N",'2024'!$J$4="CA",'2024'!$J$2=AP233),'2024DATA'!$M$25,"")</f>
        <v/>
      </c>
      <c r="AQ256" s="520" t="str">
        <f>IF(AND(_B="A-321N",'2024'!$J$4="CA",'2024'!$J$2=AQ233),'2024DATA'!$N$25,"")</f>
        <v/>
      </c>
      <c r="AR256" s="940" t="s">
        <v>46</v>
      </c>
      <c r="AS256" s="13" t="s">
        <v>61</v>
      </c>
      <c r="AT256" s="518" t="str">
        <f>IF(AND(_C="A-321N",'2024'!$J$4="CA",'2024'!$J$2=AT233),'2024DATA'!$C$25,"")</f>
        <v/>
      </c>
      <c r="AU256" s="518" t="str">
        <f>IF(AND(_C="A-321N",'2024'!$J$4="CA",'2024'!$J$2=AU233),'2024DATA'!$D$25,"")</f>
        <v/>
      </c>
      <c r="AV256" s="518" t="str">
        <f>IF(AND(_C="A-321N",'2024'!$J$4="CA",'2024'!$J$2=AV233),'2024DATA'!$E$25,"")</f>
        <v/>
      </c>
      <c r="AW256" s="518" t="str">
        <f>IF(AND(_C="A-321N",'2024'!$J$4="CA",'2024'!$J$2=AW233),'2024DATA'!$F$25,"")</f>
        <v/>
      </c>
      <c r="AX256" s="518" t="str">
        <f>IF(AND(_C="A-321N",'2024'!$J$4="CA",'2024'!$J$2=AX233),'2024DATA'!$G$25,"")</f>
        <v/>
      </c>
      <c r="AY256" s="518" t="str">
        <f>IF(AND(_C="A-321N",'2024'!$J$4="CA",'2024'!$J$2=AY233),'2024DATA'!$H$25,"")</f>
        <v/>
      </c>
      <c r="AZ256" s="518" t="str">
        <f>IF(AND(_C="A-321N",'2024'!$J$4="CA",'2024'!$J$2=AZ233),'2024DATA'!$I$25,"")</f>
        <v/>
      </c>
      <c r="BA256" s="518" t="str">
        <f>IF(AND(_C="A-321N",'2024'!$J$4="CA",'2024'!$J$2=BA233),'2024DATA'!$J$25,"")</f>
        <v/>
      </c>
      <c r="BB256" s="518" t="str">
        <f>IF(AND(_C="A-321N",'2024'!$J$4="CA",'2024'!$J$2=BB233),'2024DATA'!$K$25,"")</f>
        <v/>
      </c>
      <c r="BC256" s="518" t="str">
        <f>IF(AND(_C="A-321N",'2024'!$J$4="CA",'2024'!$J$2=BC233),'2024DATA'!$L$25,"")</f>
        <v/>
      </c>
      <c r="BD256" s="518" t="str">
        <f>IF(AND(_C="A-321N",'2024'!$J$4="CA",'2024'!$J$2=BD233),'2024DATA'!$M$25,"")</f>
        <v/>
      </c>
      <c r="BE256" s="520" t="str">
        <f>IF(AND(_C="A-321N",'2024'!$J$4="CA",'2024'!$J$2=BE233),'2024DATA'!$N$25,"")</f>
        <v/>
      </c>
      <c r="BF256" s="940" t="s">
        <v>46</v>
      </c>
      <c r="BG256" s="13" t="s">
        <v>61</v>
      </c>
      <c r="BH256" s="518" t="str">
        <f>IF(AND(_D="A-321N",'2024'!$J$4="CA",'2024'!$J$2=BH233),'2024DATA'!$C$25,"")</f>
        <v/>
      </c>
      <c r="BI256" s="518" t="str">
        <f>IF(AND(_D="A-321N",'2024'!$J$4="CA",'2024'!$J$2=BI233),'2024DATA'!$D$25,"")</f>
        <v/>
      </c>
      <c r="BJ256" s="518" t="str">
        <f>IF(AND(_D="A-321N",'2024'!$J$4="CA",'2024'!$J$2=BJ233),'2024DATA'!$E$25,"")</f>
        <v/>
      </c>
      <c r="BK256" s="518" t="str">
        <f>IF(AND(_D="A-321N",'2024'!$J$4="CA",'2024'!$J$2=BK233),'2024DATA'!$F$25,"")</f>
        <v/>
      </c>
      <c r="BL256" s="518" t="str">
        <f>IF(AND(_D="A-321N",'2024'!$J$4="CA",'2024'!$J$2=BL233),'2024DATA'!$G$25,"")</f>
        <v/>
      </c>
      <c r="BM256" s="518" t="str">
        <f>IF(AND(_D="A-321N",'2024'!$J$4="CA",'2024'!$J$2=BM233),'2024DATA'!$H$25,"")</f>
        <v/>
      </c>
      <c r="BN256" s="518" t="str">
        <f>IF(AND(_D="A-321N",'2024'!$J$4="CA",'2024'!$J$2=BN233),'2024DATA'!$I$25,"")</f>
        <v/>
      </c>
      <c r="BO256" s="518" t="str">
        <f>IF(AND(_D="A-321N",'2024'!$J$4="CA",'2024'!$J$2=BO233),'2024DATA'!$J$25,"")</f>
        <v/>
      </c>
      <c r="BP256" s="518" t="str">
        <f>IF(AND(_D="A-321N",'2024'!$J$4="CA",'2024'!$J$2=BP233),'2024DATA'!$K$25,"")</f>
        <v/>
      </c>
      <c r="BQ256" s="518" t="str">
        <f>IF(AND(_D="A-321N",'2024'!$J$4="CA",'2024'!$J$2=BQ233),'2024DATA'!$L$25,"")</f>
        <v/>
      </c>
      <c r="BR256" s="518" t="str">
        <f>IF(AND(_D="A-321N",'2024'!$J$4="CA",'2024'!$J$2=BR233),'2024DATA'!$M$25,"")</f>
        <v/>
      </c>
      <c r="BS256" s="520" t="str">
        <f>IF(AND(_D="A-321N",'2024'!$J$4="CA",'2024'!$J$2=BS233),'2024DATA'!$N$25,"")</f>
        <v/>
      </c>
      <c r="BT256" s="940" t="s">
        <v>46</v>
      </c>
      <c r="BU256" s="13" t="s">
        <v>61</v>
      </c>
      <c r="BV256" s="518" t="str">
        <f>IF(AND(_E="A-321N",'2024'!$J$4="CA",'2024'!$J$2=BV233),'2024DATA'!$C$25,"")</f>
        <v/>
      </c>
      <c r="BW256" s="518" t="str">
        <f>IF(AND(_E="A-321N",'2024'!$J$4="CA",'2024'!$J$2=BW233),'2024DATA'!$D$25,"")</f>
        <v/>
      </c>
      <c r="BX256" s="518" t="str">
        <f>IF(AND(_E="A-321N",'2024'!$J$4="CA",'2024'!$J$2=BX233),'2024DATA'!$E$25,"")</f>
        <v/>
      </c>
      <c r="BY256" s="518" t="str">
        <f>IF(AND(_E="A-321N",'2024'!$J$4="CA",'2024'!$J$2=BY233),'2024DATA'!$F$25,"")</f>
        <v/>
      </c>
      <c r="BZ256" s="518" t="str">
        <f>IF(AND(_E="A-321N",'2024'!$J$4="CA",'2024'!$J$2=BZ233),'2024DATA'!$G$25,"")</f>
        <v/>
      </c>
      <c r="CA256" s="518" t="str">
        <f>IF(AND(_E="A-321N",'2024'!$J$4="CA",'2024'!$J$2=CA233),'2024DATA'!$H$25,"")</f>
        <v/>
      </c>
      <c r="CB256" s="518" t="str">
        <f>IF(AND(_E="A-321N",'2024'!$J$4="CA",'2024'!$J$2=CB233),'2024DATA'!$I$25,"")</f>
        <v/>
      </c>
      <c r="CC256" s="518" t="str">
        <f>IF(AND(_E="A-321N",'2024'!$J$4="CA",'2024'!$J$2=CC233),'2024DATA'!$J$25,"")</f>
        <v/>
      </c>
      <c r="CD256" s="518" t="str">
        <f>IF(AND(_E="A-321N",'2024'!$J$4="CA",'2024'!$J$2=CD233),'2024DATA'!$K$25,"")</f>
        <v/>
      </c>
      <c r="CE256" s="518" t="str">
        <f>IF(AND(_E="A-321N",'2024'!$J$4="CA",'2024'!$J$2=CE233),'2024DATA'!$L$25,"")</f>
        <v/>
      </c>
      <c r="CF256" s="518" t="str">
        <f>IF(AND(_E="A-321N",'2024'!$J$4="CA",'2024'!$J$2=CF233),'2024DATA'!$M$25,"")</f>
        <v/>
      </c>
      <c r="CG256" s="520" t="str">
        <f>IF(AND(_E="A-321N",'2024'!$J$4="CA",'2024'!$J$2=CG233),'2024DATA'!$N$25,"")</f>
        <v/>
      </c>
      <c r="CH256" s="940" t="s">
        <v>46</v>
      </c>
      <c r="CI256" s="13" t="s">
        <v>61</v>
      </c>
      <c r="CJ256" s="518" t="str">
        <f>IF(AND(_F="A-321N",'2024'!$J$4="CA",'2024'!$J$2=CJ233),'2024DATA'!$C$25,"")</f>
        <v/>
      </c>
      <c r="CK256" s="518" t="str">
        <f>IF(AND(_F="A-321N",'2024'!$J$4="CA",'2024'!$J$2=CK233),'2024DATA'!$D$25,"")</f>
        <v/>
      </c>
      <c r="CL256" s="518" t="str">
        <f>IF(AND(_F="A-321N",'2024'!$J$4="CA",'2024'!$J$2=CL233),'2024DATA'!$E$25,"")</f>
        <v/>
      </c>
      <c r="CM256" s="518" t="str">
        <f>IF(AND(_F="A-321N",'2024'!$J$4="CA",'2024'!$J$2=CM233),'2024DATA'!$F$25,"")</f>
        <v/>
      </c>
      <c r="CN256" s="518" t="str">
        <f>IF(AND(_F="A-321N",'2024'!$J$4="CA",'2024'!$J$2=CN233),'2024DATA'!$G$25,"")</f>
        <v/>
      </c>
      <c r="CO256" s="518" t="str">
        <f>IF(AND(_F="A-321N",'2024'!$J$4="CA",'2024'!$J$2=CO233),'2024DATA'!$H$25,"")</f>
        <v/>
      </c>
      <c r="CP256" s="518" t="str">
        <f>IF(AND(_F="A-321N",'2024'!$J$4="CA",'2024'!$J$2=CP233),'2024DATA'!$I$25,"")</f>
        <v/>
      </c>
      <c r="CQ256" s="518" t="str">
        <f>IF(AND(_F="A-321N",'2024'!$J$4="CA",'2024'!$J$2=CQ233),'2024DATA'!$J$25,"")</f>
        <v/>
      </c>
      <c r="CR256" s="518" t="str">
        <f>IF(AND(_F="A-321N",'2024'!$J$4="CA",'2024'!$J$2=CR233),'2024DATA'!$K$25,"")</f>
        <v/>
      </c>
      <c r="CS256" s="518" t="str">
        <f>IF(AND(_F="A-321N",'2024'!$J$4="CA",'2024'!$J$2=CS233),'2024DATA'!$L$25,"")</f>
        <v/>
      </c>
      <c r="CT256" s="518" t="str">
        <f>IF(AND(_F="A-321N",'2024'!$J$4="CA",'2024'!$J$2=CT233),'2024DATA'!$M$25,"")</f>
        <v/>
      </c>
      <c r="CU256" s="520" t="str">
        <f>IF(AND(_F="A-321N",'2024'!$J$4="CA",'2024'!$J$2=CU233),'2024DATA'!$N$25,"")</f>
        <v/>
      </c>
    </row>
    <row r="257" spans="16:99" x14ac:dyDescent="0.25">
      <c r="P257" s="940"/>
      <c r="Q257" s="13" t="s">
        <v>62</v>
      </c>
      <c r="R257" s="518" t="str">
        <f>IF(AND(_A="A-321N",'2024'!$J$4="FO",'2024'!$J$2=R233),'2024DATA'!$C$26,"")</f>
        <v/>
      </c>
      <c r="S257" s="518" t="str">
        <f>IF(AND(_A="A-321N",'2024'!$J$4="FO",'2024'!$J$2=S233),'2024DATA'!$D$26,"")</f>
        <v/>
      </c>
      <c r="T257" s="518" t="str">
        <f>IF(AND(_A="A-321N",'2024'!$J$4="FO",'2024'!$J$2=T233),'2024DATA'!$E$26,"")</f>
        <v/>
      </c>
      <c r="U257" s="518" t="str">
        <f>IF(AND(_A="A-321N",'2024'!$J$4="FO",'2024'!$J$2=U233),'2024DATA'!$F$26,"")</f>
        <v/>
      </c>
      <c r="V257" s="518" t="str">
        <f>IF(AND(_A="A-321N",'2024'!$J$4="FO",'2024'!$J$2=V233),'2024DATA'!$G$26,"")</f>
        <v/>
      </c>
      <c r="W257" s="518" t="str">
        <f>IF(AND(_A="A-321N",'2024'!$J$4="FO",'2024'!$J$2=W233),'2024DATA'!$H$26,"")</f>
        <v/>
      </c>
      <c r="X257" s="518" t="str">
        <f>IF(AND(_A="A-321N",'2024'!$J$4="FO",'2024'!$J$2=X233),'2024DATA'!$I$26,"")</f>
        <v/>
      </c>
      <c r="Y257" s="518" t="str">
        <f>IF(AND(_A="A-321N",'2024'!$J$4="FO",'2024'!$J$2=Y233),'2024DATA'!$J$26,"")</f>
        <v/>
      </c>
      <c r="Z257" s="518" t="str">
        <f>IF(AND(_A="A-321N",'2024'!$J$4="FO",'2024'!$J$2=Z233),'2024DATA'!$K$26,"")</f>
        <v/>
      </c>
      <c r="AA257" s="518" t="str">
        <f>IF(AND(_A="A-321N",'2024'!$J$4="FO",'2024'!$J$2=AA233),'2024DATA'!$L$26,"")</f>
        <v/>
      </c>
      <c r="AB257" s="518" t="str">
        <f>IF(AND(_A="A-321N",'2024'!$J$4="FO",'2024'!$J$2=AB233),'2024DATA'!$M$26,"")</f>
        <v/>
      </c>
      <c r="AC257" s="520" t="str">
        <f>IF(AND(_A="A-321N",'2024'!$J$4="FO",'2024'!$J$2=AC233),'2024DATA'!$N$26,"")</f>
        <v/>
      </c>
      <c r="AD257" s="940"/>
      <c r="AE257" s="13" t="s">
        <v>62</v>
      </c>
      <c r="AF257" s="518" t="str">
        <f>IF(AND(_B="A-321N",'2024'!$J$4="FO",'2024'!$J$2=AF233),'2024DATA'!$C$26,"")</f>
        <v/>
      </c>
      <c r="AG257" s="518" t="str">
        <f>IF(AND(_B="A-321N",'2024'!$J$4="FO",'2024'!$J$2=AG233),'2024DATA'!$D$26,"")</f>
        <v/>
      </c>
      <c r="AH257" s="518" t="str">
        <f>IF(AND(_B="A-321N",'2024'!$J$4="FO",'2024'!$J$2=AH233),'2024DATA'!$E$26,"")</f>
        <v/>
      </c>
      <c r="AI257" s="518" t="str">
        <f>IF(AND(_B="A-321N",'2024'!$J$4="FO",'2024'!$J$2=AI233),'2024DATA'!$F$26,"")</f>
        <v/>
      </c>
      <c r="AJ257" s="518" t="str">
        <f>IF(AND(_B="A-321N",'2024'!$J$4="FO",'2024'!$J$2=AJ233),'2024DATA'!$G$26,"")</f>
        <v/>
      </c>
      <c r="AK257" s="518" t="str">
        <f>IF(AND(_B="A-321N",'2024'!$J$4="FO",'2024'!$J$2=AK233),'2024DATA'!$H$26,"")</f>
        <v/>
      </c>
      <c r="AL257" s="518" t="str">
        <f>IF(AND(_B="A-321N",'2024'!$J$4="FO",'2024'!$J$2=AL233),'2024DATA'!$I$26,"")</f>
        <v/>
      </c>
      <c r="AM257" s="518" t="str">
        <f>IF(AND(_B="A-321N",'2024'!$J$4="FO",'2024'!$J$2=AM233),'2024DATA'!$J$26,"")</f>
        <v/>
      </c>
      <c r="AN257" s="518" t="str">
        <f>IF(AND(_B="A-321N",'2024'!$J$4="FO",'2024'!$J$2=AN233),'2024DATA'!$K$26,"")</f>
        <v/>
      </c>
      <c r="AO257" s="518" t="str">
        <f>IF(AND(_B="A-321N",'2024'!$J$4="FO",'2024'!$J$2=AO233),'2024DATA'!$L$26,"")</f>
        <v/>
      </c>
      <c r="AP257" s="518" t="str">
        <f>IF(AND(_B="A-321N",'2024'!$J$4="FO",'2024'!$J$2=AP233),'2024DATA'!$M$26,"")</f>
        <v/>
      </c>
      <c r="AQ257" s="520" t="str">
        <f>IF(AND(_B="A-321N",'2024'!$J$4="FO",'2024'!$J$2=AQ233),'2024DATA'!$N$26,"")</f>
        <v/>
      </c>
      <c r="AR257" s="940"/>
      <c r="AS257" s="13" t="s">
        <v>62</v>
      </c>
      <c r="AT257" s="518" t="str">
        <f>IF(AND(_C="A-321N",'2024'!$J$4="FO",'2024'!$J$2=AT233),'2024DATA'!$C$26,"")</f>
        <v/>
      </c>
      <c r="AU257" s="518" t="str">
        <f>IF(AND(_C="A-321N",'2024'!$J$4="FO",'2024'!$J$2=AU233),'2024DATA'!$D$26,"")</f>
        <v/>
      </c>
      <c r="AV257" s="518" t="str">
        <f>IF(AND(_C="A-321N",'2024'!$J$4="FO",'2024'!$J$2=AV233),'2024DATA'!$E$26,"")</f>
        <v/>
      </c>
      <c r="AW257" s="518" t="str">
        <f>IF(AND(_C="A-321N",'2024'!$J$4="FO",'2024'!$J$2=AW233),'2024DATA'!$F$26,"")</f>
        <v/>
      </c>
      <c r="AX257" s="518" t="str">
        <f>IF(AND(_C="A-321N",'2024'!$J$4="FO",'2024'!$J$2=AX233),'2024DATA'!$G$26,"")</f>
        <v/>
      </c>
      <c r="AY257" s="518" t="str">
        <f>IF(AND(_C="A-321N",'2024'!$J$4="FO",'2024'!$J$2=AY233),'2024DATA'!$H$26,"")</f>
        <v/>
      </c>
      <c r="AZ257" s="518" t="str">
        <f>IF(AND(_C="A-321N",'2024'!$J$4="FO",'2024'!$J$2=AZ233),'2024DATA'!$I$26,"")</f>
        <v/>
      </c>
      <c r="BA257" s="518" t="str">
        <f>IF(AND(_C="A-321N",'2024'!$J$4="FO",'2024'!$J$2=BA233),'2024DATA'!$J$26,"")</f>
        <v/>
      </c>
      <c r="BB257" s="518" t="str">
        <f>IF(AND(_C="A-321N",'2024'!$J$4="FO",'2024'!$J$2=BB233),'2024DATA'!$K$26,"")</f>
        <v/>
      </c>
      <c r="BC257" s="518" t="str">
        <f>IF(AND(_C="A-321N",'2024'!$J$4="FO",'2024'!$J$2=BC233),'2024DATA'!$L$26,"")</f>
        <v/>
      </c>
      <c r="BD257" s="518" t="str">
        <f>IF(AND(_C="A-321N",'2024'!$J$4="FO",'2024'!$J$2=BD233),'2024DATA'!$M$26,"")</f>
        <v/>
      </c>
      <c r="BE257" s="520" t="str">
        <f>IF(AND(_C="A-321N",'2024'!$J$4="FO",'2024'!$J$2=BE233),'2024DATA'!$N$26,"")</f>
        <v/>
      </c>
      <c r="BF257" s="940"/>
      <c r="BG257" s="13" t="s">
        <v>62</v>
      </c>
      <c r="BH257" s="518" t="str">
        <f>IF(AND(_D="A-321N",'2024'!$J$4="FO",'2024'!$J$2=BH233),'2024DATA'!$C$26,"")</f>
        <v/>
      </c>
      <c r="BI257" s="518" t="str">
        <f>IF(AND(_D="A-321N",'2024'!$J$4="FO",'2024'!$J$2=BI233),'2024DATA'!$D$26,"")</f>
        <v/>
      </c>
      <c r="BJ257" s="518" t="str">
        <f>IF(AND(_D="A-321N",'2024'!$J$4="FO",'2024'!$J$2=BJ233),'2024DATA'!$E$26,"")</f>
        <v/>
      </c>
      <c r="BK257" s="518" t="str">
        <f>IF(AND(_D="A-321N",'2024'!$J$4="FO",'2024'!$J$2=BK233),'2024DATA'!$F$26,"")</f>
        <v/>
      </c>
      <c r="BL257" s="518" t="str">
        <f>IF(AND(_D="A-321N",'2024'!$J$4="FO",'2024'!$J$2=BL233),'2024DATA'!$G$26,"")</f>
        <v/>
      </c>
      <c r="BM257" s="518" t="str">
        <f>IF(AND(_D="A-321N",'2024'!$J$4="FO",'2024'!$J$2=BM233),'2024DATA'!$H$26,"")</f>
        <v/>
      </c>
      <c r="BN257" s="518" t="str">
        <f>IF(AND(_D="A-321N",'2024'!$J$4="FO",'2024'!$J$2=BN233),'2024DATA'!$I$26,"")</f>
        <v/>
      </c>
      <c r="BO257" s="518" t="str">
        <f>IF(AND(_D="A-321N",'2024'!$J$4="FO",'2024'!$J$2=BO233),'2024DATA'!$J$26,"")</f>
        <v/>
      </c>
      <c r="BP257" s="518" t="str">
        <f>IF(AND(_D="A-321N",'2024'!$J$4="FO",'2024'!$J$2=BP233),'2024DATA'!$K$26,"")</f>
        <v/>
      </c>
      <c r="BQ257" s="518" t="str">
        <f>IF(AND(_D="A-321N",'2024'!$J$4="FO",'2024'!$J$2=BQ233),'2024DATA'!$L$26,"")</f>
        <v/>
      </c>
      <c r="BR257" s="518" t="str">
        <f>IF(AND(_D="A-321N",'2024'!$J$4="FO",'2024'!$J$2=BR233),'2024DATA'!$M$26,"")</f>
        <v/>
      </c>
      <c r="BS257" s="520" t="str">
        <f>IF(AND(_D="A-321N",'2024'!$J$4="FO",'2024'!$J$2=BS233),'2024DATA'!$N$26,"")</f>
        <v/>
      </c>
      <c r="BT257" s="940"/>
      <c r="BU257" s="13" t="s">
        <v>62</v>
      </c>
      <c r="BV257" s="518" t="str">
        <f>IF(AND(_E="A-321N",'2024'!$J$4="FO",'2024'!$J$2=BV233),'2024DATA'!$C$26,"")</f>
        <v/>
      </c>
      <c r="BW257" s="518" t="str">
        <f>IF(AND(_E="A-321N",'2024'!$J$4="FO",'2024'!$J$2=BW233),'2024DATA'!$D$26,"")</f>
        <v/>
      </c>
      <c r="BX257" s="518" t="str">
        <f>IF(AND(_E="A-321N",'2024'!$J$4="FO",'2024'!$J$2=BX233),'2024DATA'!$E$26,"")</f>
        <v/>
      </c>
      <c r="BY257" s="518" t="str">
        <f>IF(AND(_E="A-321N",'2024'!$J$4="FO",'2024'!$J$2=BY233),'2024DATA'!$F$26,"")</f>
        <v/>
      </c>
      <c r="BZ257" s="518" t="str">
        <f>IF(AND(_E="A-321N",'2024'!$J$4="FO",'2024'!$J$2=BZ233),'2024DATA'!$G$26,"")</f>
        <v/>
      </c>
      <c r="CA257" s="518" t="str">
        <f>IF(AND(_E="A-321N",'2024'!$J$4="FO",'2024'!$J$2=CA233),'2024DATA'!$H$26,"")</f>
        <v/>
      </c>
      <c r="CB257" s="518" t="str">
        <f>IF(AND(_E="A-321N",'2024'!$J$4="FO",'2024'!$J$2=CB233),'2024DATA'!$I$26,"")</f>
        <v/>
      </c>
      <c r="CC257" s="518" t="str">
        <f>IF(AND(_E="A-321N",'2024'!$J$4="FO",'2024'!$J$2=CC233),'2024DATA'!$J$26,"")</f>
        <v/>
      </c>
      <c r="CD257" s="518" t="str">
        <f>IF(AND(_E="A-321N",'2024'!$J$4="FO",'2024'!$J$2=CD233),'2024DATA'!$K$26,"")</f>
        <v/>
      </c>
      <c r="CE257" s="518" t="str">
        <f>IF(AND(_E="A-321N",'2024'!$J$4="FO",'2024'!$J$2=CE233),'2024DATA'!$L$26,"")</f>
        <v/>
      </c>
      <c r="CF257" s="518" t="str">
        <f>IF(AND(_E="A-321N",'2024'!$J$4="FO",'2024'!$J$2=CF233),'2024DATA'!$M$26,"")</f>
        <v/>
      </c>
      <c r="CG257" s="520" t="str">
        <f>IF(AND(_E="A-321N",'2024'!$J$4="FO",'2024'!$J$2=CG233),'2024DATA'!$N$26,"")</f>
        <v/>
      </c>
      <c r="CH257" s="940"/>
      <c r="CI257" s="13" t="s">
        <v>62</v>
      </c>
      <c r="CJ257" s="518" t="str">
        <f>IF(AND(_F="A-321N",'2024'!$J$4="FO",'2024'!$J$2=CJ233),'2024DATA'!$C$26,"")</f>
        <v/>
      </c>
      <c r="CK257" s="518" t="str">
        <f>IF(AND(_F="A-321N",'2024'!$J$4="FO",'2024'!$J$2=CK233),'2024DATA'!$D$26,"")</f>
        <v/>
      </c>
      <c r="CL257" s="518" t="str">
        <f>IF(AND(_F="A-321N",'2024'!$J$4="FO",'2024'!$J$2=CL233),'2024DATA'!$E$26,"")</f>
        <v/>
      </c>
      <c r="CM257" s="518" t="str">
        <f>IF(AND(_F="A-321N",'2024'!$J$4="FO",'2024'!$J$2=CM233),'2024DATA'!$F$26,"")</f>
        <v/>
      </c>
      <c r="CN257" s="518" t="str">
        <f>IF(AND(_F="A-321N",'2024'!$J$4="FO",'2024'!$J$2=CN233),'2024DATA'!$G$26,"")</f>
        <v/>
      </c>
      <c r="CO257" s="518" t="str">
        <f>IF(AND(_F="A-321N",'2024'!$J$4="FO",'2024'!$J$2=CO233),'2024DATA'!$H$26,"")</f>
        <v/>
      </c>
      <c r="CP257" s="518" t="str">
        <f>IF(AND(_F="A-321N",'2024'!$J$4="FO",'2024'!$J$2=CP233),'2024DATA'!$I$26,"")</f>
        <v/>
      </c>
      <c r="CQ257" s="518" t="str">
        <f>IF(AND(_F="A-321N",'2024'!$J$4="FO",'2024'!$J$2=CQ233),'2024DATA'!$J$26,"")</f>
        <v/>
      </c>
      <c r="CR257" s="518" t="str">
        <f>IF(AND(_F="A-321N",'2024'!$J$4="FO",'2024'!$J$2=CR233),'2024DATA'!$K$26,"")</f>
        <v/>
      </c>
      <c r="CS257" s="518" t="str">
        <f>IF(AND(_F="A-321N",'2024'!$J$4="FO",'2024'!$J$2=CS233),'2024DATA'!$L$26,"")</f>
        <v/>
      </c>
      <c r="CT257" s="518" t="str">
        <f>IF(AND(_F="A-321N",'2024'!$J$4="FO",'2024'!$J$2=CT233),'2024DATA'!$M$26,"")</f>
        <v/>
      </c>
      <c r="CU257" s="520" t="str">
        <f>IF(AND(_F="A-321N",'2024'!$J$4="FO",'2024'!$J$2=CU233),'2024DATA'!$N$26,"")</f>
        <v/>
      </c>
    </row>
    <row r="258" spans="16:99" x14ac:dyDescent="0.25">
      <c r="P258" s="940" t="s">
        <v>48</v>
      </c>
      <c r="Q258" s="13" t="s">
        <v>61</v>
      </c>
      <c r="R258" s="518" t="str">
        <f>IF(AND(_A="A-321",'2024'!$J$4="CA",'2024'!$J$2=R233),'2024DATA'!$C$27,"")</f>
        <v/>
      </c>
      <c r="S258" s="518" t="str">
        <f>IF(AND(_A="A-321",'2024'!$J$4="CA",'2024'!$J$2=S233),'2024DATA'!$D$27,"")</f>
        <v/>
      </c>
      <c r="T258" s="518" t="str">
        <f>IF(AND(_A="A-321",'2024'!$J$4="CA",'2024'!$J$2=T233),'2024DATA'!$E$27,"")</f>
        <v/>
      </c>
      <c r="U258" s="518" t="str">
        <f>IF(AND(_A="A-321",'2024'!$J$4="CA",'2024'!$J$2=U233),'2024DATA'!$F$27,"")</f>
        <v/>
      </c>
      <c r="V258" s="518" t="str">
        <f>IF(AND(_A="A-321",'2024'!$J$4="CA",'2024'!$J$2=V233),'2024DATA'!$G$27,"")</f>
        <v/>
      </c>
      <c r="W258" s="518" t="str">
        <f>IF(AND(_A="A-321",'2024'!$J$4="CA",'2024'!$J$2=W233),'2024DATA'!$H$27,"")</f>
        <v/>
      </c>
      <c r="X258" s="518" t="str">
        <f>IF(AND(_A="A-321",'2024'!$J$4="CA",'2024'!$J$2=X233),'2024DATA'!$I$27,"")</f>
        <v/>
      </c>
      <c r="Y258" s="518" t="str">
        <f>IF(AND(_A="A-321",'2024'!$J$4="CA",'2024'!$J$2=Y233),'2024DATA'!$J$27,"")</f>
        <v/>
      </c>
      <c r="Z258" s="518" t="str">
        <f>IF(AND(_A="A-321",'2024'!$J$4="CA",'2024'!$J$2=Z233),'2024DATA'!$K$27,"")</f>
        <v/>
      </c>
      <c r="AA258" s="518" t="str">
        <f>IF(AND(_A="A-321",'2024'!$J$4="CA",'2024'!$J$2=AA233),'2024DATA'!$L$27,"")</f>
        <v/>
      </c>
      <c r="AB258" s="518" t="str">
        <f>IF(AND(_A="A-321",'2024'!$J$4="CA",'2024'!$J$2=AB233),'2024DATA'!$M$27,"")</f>
        <v/>
      </c>
      <c r="AC258" s="520" t="str">
        <f>IF(AND(_A="A-321",'2024'!$J$4="CA",'2024'!$J$2=AC233),'2024DATA'!$N$27,"")</f>
        <v/>
      </c>
      <c r="AD258" s="940" t="s">
        <v>48</v>
      </c>
      <c r="AE258" s="13" t="s">
        <v>61</v>
      </c>
      <c r="AF258" s="518" t="str">
        <f>IF(AND(_B="A-321",'2024'!$J$4="CA",'2024'!$J$2=AF233),'2024DATA'!$C$27,"")</f>
        <v/>
      </c>
      <c r="AG258" s="518" t="str">
        <f>IF(AND(_B="A-321",'2024'!$J$4="CA",'2024'!$J$2=AG233),'2024DATA'!$D$27,"")</f>
        <v/>
      </c>
      <c r="AH258" s="518" t="str">
        <f>IF(AND(_B="A-321",'2024'!$J$4="CA",'2024'!$J$2=AH233),'2024DATA'!$E$27,"")</f>
        <v/>
      </c>
      <c r="AI258" s="518" t="str">
        <f>IF(AND(_B="A-321",'2024'!$J$4="CA",'2024'!$J$2=AI233),'2024DATA'!$F$27,"")</f>
        <v/>
      </c>
      <c r="AJ258" s="518" t="str">
        <f>IF(AND(_B="A-321",'2024'!$J$4="CA",'2024'!$J$2=AJ233),'2024DATA'!$G$27,"")</f>
        <v/>
      </c>
      <c r="AK258" s="518" t="str">
        <f>IF(AND(_B="A-321",'2024'!$J$4="CA",'2024'!$J$2=AK233),'2024DATA'!$H$27,"")</f>
        <v/>
      </c>
      <c r="AL258" s="518" t="str">
        <f>IF(AND(_B="A-321",'2024'!$J$4="CA",'2024'!$J$2=AL233),'2024DATA'!$I$27,"")</f>
        <v/>
      </c>
      <c r="AM258" s="518" t="str">
        <f>IF(AND(_B="A-321",'2024'!$J$4="CA",'2024'!$J$2=AM233),'2024DATA'!$J$27,"")</f>
        <v/>
      </c>
      <c r="AN258" s="518" t="str">
        <f>IF(AND(_B="A-321",'2024'!$J$4="CA",'2024'!$J$2=AN233),'2024DATA'!$K$27,"")</f>
        <v/>
      </c>
      <c r="AO258" s="518" t="str">
        <f>IF(AND(_B="A-321",'2024'!$J$4="CA",'2024'!$J$2=AO233),'2024DATA'!$L$27,"")</f>
        <v/>
      </c>
      <c r="AP258" s="518" t="str">
        <f>IF(AND(_B="A-321",'2024'!$J$4="CA",'2024'!$J$2=AP233),'2024DATA'!$M$27,"")</f>
        <v/>
      </c>
      <c r="AQ258" s="520" t="str">
        <f>IF(AND(_B="A-321",'2024'!$J$4="CA",'2024'!$J$2=AQ233),'2024DATA'!$N$27,"")</f>
        <v/>
      </c>
      <c r="AR258" s="940" t="s">
        <v>48</v>
      </c>
      <c r="AS258" s="13" t="s">
        <v>61</v>
      </c>
      <c r="AT258" s="518" t="str">
        <f>IF(AND(_C="A-321",'2024'!$J$4="CA",'2024'!$J$2=AT233),'2024DATA'!$C$27,"")</f>
        <v/>
      </c>
      <c r="AU258" s="518" t="str">
        <f>IF(AND(_C="A-321",'2024'!$J$4="CA",'2024'!$J$2=AU233),'2024DATA'!$D$27,"")</f>
        <v/>
      </c>
      <c r="AV258" s="518" t="str">
        <f>IF(AND(_C="A-321",'2024'!$J$4="CA",'2024'!$J$2=AV233),'2024DATA'!$E$27,"")</f>
        <v/>
      </c>
      <c r="AW258" s="518" t="str">
        <f>IF(AND(_C="A-321",'2024'!$J$4="CA",'2024'!$J$2=AW233),'2024DATA'!$F$27,"")</f>
        <v/>
      </c>
      <c r="AX258" s="518" t="str">
        <f>IF(AND(_C="A-321",'2024'!$J$4="CA",'2024'!$J$2=AX233),'2024DATA'!$G$27,"")</f>
        <v/>
      </c>
      <c r="AY258" s="518" t="str">
        <f>IF(AND(_C="A-321",'2024'!$J$4="CA",'2024'!$J$2=AY233),'2024DATA'!$H$27,"")</f>
        <v/>
      </c>
      <c r="AZ258" s="518" t="str">
        <f>IF(AND(_C="A-321",'2024'!$J$4="CA",'2024'!$J$2=AZ233),'2024DATA'!$I$27,"")</f>
        <v/>
      </c>
      <c r="BA258" s="518" t="str">
        <f>IF(AND(_C="A-321",'2024'!$J$4="CA",'2024'!$J$2=BA233),'2024DATA'!$J$27,"")</f>
        <v/>
      </c>
      <c r="BB258" s="518" t="str">
        <f>IF(AND(_C="A-321",'2024'!$J$4="CA",'2024'!$J$2=BB233),'2024DATA'!$K$27,"")</f>
        <v/>
      </c>
      <c r="BC258" s="518" t="str">
        <f>IF(AND(_C="A-321",'2024'!$J$4="CA",'2024'!$J$2=BC233),'2024DATA'!$L$27,"")</f>
        <v/>
      </c>
      <c r="BD258" s="518" t="str">
        <f>IF(AND(_C="A-321",'2024'!$J$4="CA",'2024'!$J$2=BD233),'2024DATA'!$M$27,"")</f>
        <v/>
      </c>
      <c r="BE258" s="520" t="str">
        <f>IF(AND(_C="A-321",'2024'!$J$4="CA",'2024'!$J$2=BE233),'2024DATA'!$N$27,"")</f>
        <v/>
      </c>
      <c r="BF258" s="940" t="s">
        <v>48</v>
      </c>
      <c r="BG258" s="13" t="s">
        <v>61</v>
      </c>
      <c r="BH258" s="518" t="str">
        <f>IF(AND(_D="A-321",'2024'!$J$4="CA",'2024'!$J$2=BH233),'2024DATA'!$C$27,"")</f>
        <v/>
      </c>
      <c r="BI258" s="518" t="str">
        <f>IF(AND(_D="A-321",'2024'!$J$4="CA",'2024'!$J$2=BI233),'2024DATA'!$D$27,"")</f>
        <v/>
      </c>
      <c r="BJ258" s="518" t="str">
        <f>IF(AND(_D="A-321",'2024'!$J$4="CA",'2024'!$J$2=BJ233),'2024DATA'!$E$27,"")</f>
        <v/>
      </c>
      <c r="BK258" s="518" t="str">
        <f>IF(AND(_D="A-321",'2024'!$J$4="CA",'2024'!$J$2=BK233),'2024DATA'!$F$27,"")</f>
        <v/>
      </c>
      <c r="BL258" s="518" t="str">
        <f>IF(AND(_D="A-321",'2024'!$J$4="CA",'2024'!$J$2=BL233),'2024DATA'!$G$27,"")</f>
        <v/>
      </c>
      <c r="BM258" s="518" t="str">
        <f>IF(AND(_D="A-321",'2024'!$J$4="CA",'2024'!$J$2=BM233),'2024DATA'!$H$27,"")</f>
        <v/>
      </c>
      <c r="BN258" s="518" t="str">
        <f>IF(AND(_D="A-321",'2024'!$J$4="CA",'2024'!$J$2=BN233),'2024DATA'!$I$27,"")</f>
        <v/>
      </c>
      <c r="BO258" s="518" t="str">
        <f>IF(AND(_D="A-321",'2024'!$J$4="CA",'2024'!$J$2=BO233),'2024DATA'!$J$27,"")</f>
        <v/>
      </c>
      <c r="BP258" s="518" t="str">
        <f>IF(AND(_D="A-321",'2024'!$J$4="CA",'2024'!$J$2=BP233),'2024DATA'!$K$27,"")</f>
        <v/>
      </c>
      <c r="BQ258" s="518" t="str">
        <f>IF(AND(_D="A-321",'2024'!$J$4="CA",'2024'!$J$2=BQ233),'2024DATA'!$L$27,"")</f>
        <v/>
      </c>
      <c r="BR258" s="518" t="str">
        <f>IF(AND(_D="A-321",'2024'!$J$4="CA",'2024'!$J$2=BR233),'2024DATA'!$M$27,"")</f>
        <v/>
      </c>
      <c r="BS258" s="520" t="str">
        <f>IF(AND(_D="A-321",'2024'!$J$4="CA",'2024'!$J$2=BS233),'2024DATA'!$N$27,"")</f>
        <v/>
      </c>
      <c r="BT258" s="940" t="s">
        <v>48</v>
      </c>
      <c r="BU258" s="13" t="s">
        <v>61</v>
      </c>
      <c r="BV258" s="518" t="str">
        <f>IF(AND(_E="A-321",'2024'!$J$4="CA",'2024'!$J$2=BV233),'2024DATA'!$C$27,"")</f>
        <v/>
      </c>
      <c r="BW258" s="518" t="str">
        <f>IF(AND(_E="A-321",'2024'!$J$4="CA",'2024'!$J$2=BW233),'2024DATA'!$D$27,"")</f>
        <v/>
      </c>
      <c r="BX258" s="518" t="str">
        <f>IF(AND(_E="A-321",'2024'!$J$4="CA",'2024'!$J$2=BX233),'2024DATA'!$E$27,"")</f>
        <v/>
      </c>
      <c r="BY258" s="518" t="str">
        <f>IF(AND(_E="A-321",'2024'!$J$4="CA",'2024'!$J$2=BY233),'2024DATA'!$F$27,"")</f>
        <v/>
      </c>
      <c r="BZ258" s="518" t="str">
        <f>IF(AND(_E="A-321",'2024'!$J$4="CA",'2024'!$J$2=BZ233),'2024DATA'!$G$27,"")</f>
        <v/>
      </c>
      <c r="CA258" s="518" t="str">
        <f>IF(AND(_E="A-321",'2024'!$J$4="CA",'2024'!$J$2=CA233),'2024DATA'!$H$27,"")</f>
        <v/>
      </c>
      <c r="CB258" s="518" t="str">
        <f>IF(AND(_E="A-321",'2024'!$J$4="CA",'2024'!$J$2=CB233),'2024DATA'!$I$27,"")</f>
        <v/>
      </c>
      <c r="CC258" s="518" t="str">
        <f>IF(AND(_E="A-321",'2024'!$J$4="CA",'2024'!$J$2=CC233),'2024DATA'!$J$27,"")</f>
        <v/>
      </c>
      <c r="CD258" s="518" t="str">
        <f>IF(AND(_E="A-321",'2024'!$J$4="CA",'2024'!$J$2=CD233),'2024DATA'!$K$27,"")</f>
        <v/>
      </c>
      <c r="CE258" s="518" t="str">
        <f>IF(AND(_E="A-321",'2024'!$J$4="CA",'2024'!$J$2=CE233),'2024DATA'!$L$27,"")</f>
        <v/>
      </c>
      <c r="CF258" s="518" t="str">
        <f>IF(AND(_E="A-321",'2024'!$J$4="CA",'2024'!$J$2=CF233),'2024DATA'!$M$27,"")</f>
        <v/>
      </c>
      <c r="CG258" s="520" t="str">
        <f>IF(AND(_E="A-321",'2024'!$J$4="CA",'2024'!$J$2=CG233),'2024DATA'!$N$27,"")</f>
        <v/>
      </c>
      <c r="CH258" s="940" t="s">
        <v>48</v>
      </c>
      <c r="CI258" s="13" t="s">
        <v>61</v>
      </c>
      <c r="CJ258" s="518" t="str">
        <f>IF(AND(_F="A-321",'2024'!$J$4="CA",'2024'!$J$2=CJ233),'2024DATA'!$C$27,"")</f>
        <v/>
      </c>
      <c r="CK258" s="518" t="str">
        <f>IF(AND(_F="A-321",'2024'!$J$4="CA",'2024'!$J$2=CK233),'2024DATA'!$D$27,"")</f>
        <v/>
      </c>
      <c r="CL258" s="518" t="str">
        <f>IF(AND(_F="A-321",'2024'!$J$4="CA",'2024'!$J$2=CL233),'2024DATA'!$E$27,"")</f>
        <v/>
      </c>
      <c r="CM258" s="518" t="str">
        <f>IF(AND(_F="A-321",'2024'!$J$4="CA",'2024'!$J$2=CM233),'2024DATA'!$F$27,"")</f>
        <v/>
      </c>
      <c r="CN258" s="518" t="str">
        <f>IF(AND(_F="A-321",'2024'!$J$4="CA",'2024'!$J$2=CN233),'2024DATA'!$G$27,"")</f>
        <v/>
      </c>
      <c r="CO258" s="518" t="str">
        <f>IF(AND(_F="A-321",'2024'!$J$4="CA",'2024'!$J$2=CO233),'2024DATA'!$H$27,"")</f>
        <v/>
      </c>
      <c r="CP258" s="518" t="str">
        <f>IF(AND(_F="A-321",'2024'!$J$4="CA",'2024'!$J$2=CP233),'2024DATA'!$I$27,"")</f>
        <v/>
      </c>
      <c r="CQ258" s="518" t="str">
        <f>IF(AND(_F="A-321",'2024'!$J$4="CA",'2024'!$J$2=CQ233),'2024DATA'!$J$27,"")</f>
        <v/>
      </c>
      <c r="CR258" s="518" t="str">
        <f>IF(AND(_F="A-321",'2024'!$J$4="CA",'2024'!$J$2=CR233),'2024DATA'!$K$27,"")</f>
        <v/>
      </c>
      <c r="CS258" s="518" t="str">
        <f>IF(AND(_F="A-321",'2024'!$J$4="CA",'2024'!$J$2=CS233),'2024DATA'!$L$27,"")</f>
        <v/>
      </c>
      <c r="CT258" s="518" t="str">
        <f>IF(AND(_F="A-321",'2024'!$J$4="CA",'2024'!$J$2=CT233),'2024DATA'!$M$27,"")</f>
        <v/>
      </c>
      <c r="CU258" s="520" t="str">
        <f>IF(AND(_F="A-321",'2024'!$J$4="CA",'2024'!$J$2=CU233),'2024DATA'!$N$27,"")</f>
        <v/>
      </c>
    </row>
    <row r="259" spans="16:99" x14ac:dyDescent="0.25">
      <c r="P259" s="940"/>
      <c r="Q259" s="13" t="s">
        <v>62</v>
      </c>
      <c r="R259" s="518" t="str">
        <f>IF(AND(_A="A-321",'2024'!$J$4="FO",'2024'!$J$2=R233),'2024DATA'!$C$28,"")</f>
        <v/>
      </c>
      <c r="S259" s="518" t="str">
        <f>IF(AND(_A="A-321",'2024'!$J$4="FO",'2024'!$J$2=S233),'2024DATA'!$D$28,"")</f>
        <v/>
      </c>
      <c r="T259" s="518" t="str">
        <f>IF(AND(_A="A-321",'2024'!$J$4="FO",'2024'!$J$2=T233),'2024DATA'!$E$28,"")</f>
        <v/>
      </c>
      <c r="U259" s="518" t="str">
        <f>IF(AND(_A="A-321",'2024'!$J$4="FO",'2024'!$J$2=U233),'2024DATA'!$F$28,"")</f>
        <v/>
      </c>
      <c r="V259" s="518" t="str">
        <f>IF(AND(_A="A-321",'2024'!$J$4="FO",'2024'!$J$2=V233),'2024DATA'!$G$28,"")</f>
        <v/>
      </c>
      <c r="W259" s="518" t="str">
        <f>IF(AND(_A="A-321",'2024'!$J$4="FO",'2024'!$J$2=W233),'2024DATA'!$H$28,"")</f>
        <v/>
      </c>
      <c r="X259" s="518" t="str">
        <f>IF(AND(_A="A-321",'2024'!$J$4="FO",'2024'!$J$2=X233),'2024DATA'!$I$28,"")</f>
        <v/>
      </c>
      <c r="Y259" s="518" t="str">
        <f>IF(AND(_A="A-321",'2024'!$J$4="FO",'2024'!$J$2=Y233),'2024DATA'!$J$28,"")</f>
        <v/>
      </c>
      <c r="Z259" s="518" t="str">
        <f>IF(AND(_A="A-321",'2024'!$J$4="FO",'2024'!$J$2=Z233),'2024DATA'!$K$28,"")</f>
        <v/>
      </c>
      <c r="AA259" s="518" t="str">
        <f>IF(AND(_A="A-321",'2024'!$J$4="FO",'2024'!$J$2=AA233),'2024DATA'!$L$28,"")</f>
        <v/>
      </c>
      <c r="AB259" s="518" t="str">
        <f>IF(AND(_A="A-321",'2024'!$J$4="FO",'2024'!$J$2=AB233),'2024DATA'!$M$28,"")</f>
        <v/>
      </c>
      <c r="AC259" s="520" t="str">
        <f>IF(AND(_A="A-321",'2024'!$J$4="FO",'2024'!$J$2=AC233),'2024DATA'!$N$28,"")</f>
        <v/>
      </c>
      <c r="AD259" s="940"/>
      <c r="AE259" s="13" t="s">
        <v>62</v>
      </c>
      <c r="AF259" s="518" t="str">
        <f>IF(AND(_B="A-321",'2024'!$J$4="FO",'2024'!$J$2=AF233),'2024DATA'!$C$28,"")</f>
        <v/>
      </c>
      <c r="AG259" s="518" t="str">
        <f>IF(AND(_B="A-321",'2024'!$J$4="FO",'2024'!$J$2=AG233),'2024DATA'!$D$28,"")</f>
        <v/>
      </c>
      <c r="AH259" s="518" t="str">
        <f>IF(AND(_B="A-321",'2024'!$J$4="FO",'2024'!$J$2=AH233),'2024DATA'!$E$28,"")</f>
        <v/>
      </c>
      <c r="AI259" s="518" t="str">
        <f>IF(AND(_B="A-321",'2024'!$J$4="FO",'2024'!$J$2=AI233),'2024DATA'!$F$28,"")</f>
        <v/>
      </c>
      <c r="AJ259" s="518" t="str">
        <f>IF(AND(_B="A-321",'2024'!$J$4="FO",'2024'!$J$2=AJ233),'2024DATA'!$G$28,"")</f>
        <v/>
      </c>
      <c r="AK259" s="518" t="str">
        <f>IF(AND(_B="A-321",'2024'!$J$4="FO",'2024'!$J$2=AK233),'2024DATA'!$H$28,"")</f>
        <v/>
      </c>
      <c r="AL259" s="518" t="str">
        <f>IF(AND(_B="A-321",'2024'!$J$4="FO",'2024'!$J$2=AL233),'2024DATA'!$I$28,"")</f>
        <v/>
      </c>
      <c r="AM259" s="518" t="str">
        <f>IF(AND(_B="A-321",'2024'!$J$4="FO",'2024'!$J$2=AM233),'2024DATA'!$J$28,"")</f>
        <v/>
      </c>
      <c r="AN259" s="518" t="str">
        <f>IF(AND(_B="A-321",'2024'!$J$4="FO",'2024'!$J$2=AN233),'2024DATA'!$K$28,"")</f>
        <v/>
      </c>
      <c r="AO259" s="518" t="str">
        <f>IF(AND(_B="A-321",'2024'!$J$4="FO",'2024'!$J$2=AO233),'2024DATA'!$L$28,"")</f>
        <v/>
      </c>
      <c r="AP259" s="518" t="str">
        <f>IF(AND(_B="A-321",'2024'!$J$4="FO",'2024'!$J$2=AP233),'2024DATA'!$M$28,"")</f>
        <v/>
      </c>
      <c r="AQ259" s="520" t="str">
        <f>IF(AND(_B="A-321",'2024'!$J$4="FO",'2024'!$J$2=AQ233),'2024DATA'!$N$28,"")</f>
        <v/>
      </c>
      <c r="AR259" s="940"/>
      <c r="AS259" s="13" t="s">
        <v>62</v>
      </c>
      <c r="AT259" s="518" t="str">
        <f>IF(AND(_C="A-321",'2024'!$J$4="FO",'2024'!$J$2=AT233),'2024DATA'!$C$28,"")</f>
        <v/>
      </c>
      <c r="AU259" s="518" t="str">
        <f>IF(AND(_C="A-321",'2024'!$J$4="FO",'2024'!$J$2=AU233),'2024DATA'!$D$28,"")</f>
        <v/>
      </c>
      <c r="AV259" s="518" t="str">
        <f>IF(AND(_C="A-321",'2024'!$J$4="FO",'2024'!$J$2=AV233),'2024DATA'!$E$28,"")</f>
        <v/>
      </c>
      <c r="AW259" s="518" t="str">
        <f>IF(AND(_C="A-321",'2024'!$J$4="FO",'2024'!$J$2=AW233),'2024DATA'!$F$28,"")</f>
        <v/>
      </c>
      <c r="AX259" s="518" t="str">
        <f>IF(AND(_C="A-321",'2024'!$J$4="FO",'2024'!$J$2=AX233),'2024DATA'!$G$28,"")</f>
        <v/>
      </c>
      <c r="AY259" s="518" t="str">
        <f>IF(AND(_C="A-321",'2024'!$J$4="FO",'2024'!$J$2=AY233),'2024DATA'!$H$28,"")</f>
        <v/>
      </c>
      <c r="AZ259" s="518" t="str">
        <f>IF(AND(_C="A-321",'2024'!$J$4="FO",'2024'!$J$2=AZ233),'2024DATA'!$I$28,"")</f>
        <v/>
      </c>
      <c r="BA259" s="518" t="str">
        <f>IF(AND(_C="A-321",'2024'!$J$4="FO",'2024'!$J$2=BA233),'2024DATA'!$J$28,"")</f>
        <v/>
      </c>
      <c r="BB259" s="518" t="str">
        <f>IF(AND(_C="A-321",'2024'!$J$4="FO",'2024'!$J$2=BB233),'2024DATA'!$K$28,"")</f>
        <v/>
      </c>
      <c r="BC259" s="518" t="str">
        <f>IF(AND(_C="A-321",'2024'!$J$4="FO",'2024'!$J$2=BC233),'2024DATA'!$L$28,"")</f>
        <v/>
      </c>
      <c r="BD259" s="518" t="str">
        <f>IF(AND(_C="A-321",'2024'!$J$4="FO",'2024'!$J$2=BD233),'2024DATA'!$M$28,"")</f>
        <v/>
      </c>
      <c r="BE259" s="520" t="str">
        <f>IF(AND(_C="A-321",'2024'!$J$4="FO",'2024'!$J$2=BE233),'2024DATA'!$N$28,"")</f>
        <v/>
      </c>
      <c r="BF259" s="940"/>
      <c r="BG259" s="13" t="s">
        <v>62</v>
      </c>
      <c r="BH259" s="518" t="str">
        <f>IF(AND(_D="A-321",'2024'!$J$4="FO",'2024'!$J$2=BH233),'2024DATA'!$C$28,"")</f>
        <v/>
      </c>
      <c r="BI259" s="518" t="str">
        <f>IF(AND(_D="A-321",'2024'!$J$4="FO",'2024'!$J$2=BI233),'2024DATA'!$D$28,"")</f>
        <v/>
      </c>
      <c r="BJ259" s="518" t="str">
        <f>IF(AND(_D="A-321",'2024'!$J$4="FO",'2024'!$J$2=BJ233),'2024DATA'!$E$28,"")</f>
        <v/>
      </c>
      <c r="BK259" s="518" t="str">
        <f>IF(AND(_D="A-321",'2024'!$J$4="FO",'2024'!$J$2=BK233),'2024DATA'!$F$28,"")</f>
        <v/>
      </c>
      <c r="BL259" s="518" t="str">
        <f>IF(AND(_D="A-321",'2024'!$J$4="FO",'2024'!$J$2=BL233),'2024DATA'!$G$28,"")</f>
        <v/>
      </c>
      <c r="BM259" s="518" t="str">
        <f>IF(AND(_D="A-321",'2024'!$J$4="FO",'2024'!$J$2=BM233),'2024DATA'!$H$28,"")</f>
        <v/>
      </c>
      <c r="BN259" s="518" t="str">
        <f>IF(AND(_D="A-321",'2024'!$J$4="FO",'2024'!$J$2=BN233),'2024DATA'!$I$28,"")</f>
        <v/>
      </c>
      <c r="BO259" s="518" t="str">
        <f>IF(AND(_D="A-321",'2024'!$J$4="FO",'2024'!$J$2=BO233),'2024DATA'!$J$28,"")</f>
        <v/>
      </c>
      <c r="BP259" s="518" t="str">
        <f>IF(AND(_D="A-321",'2024'!$J$4="FO",'2024'!$J$2=BP233),'2024DATA'!$K$28,"")</f>
        <v/>
      </c>
      <c r="BQ259" s="518" t="str">
        <f>IF(AND(_D="A-321",'2024'!$J$4="FO",'2024'!$J$2=BQ233),'2024DATA'!$L$28,"")</f>
        <v/>
      </c>
      <c r="BR259" s="518" t="str">
        <f>IF(AND(_D="A-321",'2024'!$J$4="FO",'2024'!$J$2=BR233),'2024DATA'!$M$28,"")</f>
        <v/>
      </c>
      <c r="BS259" s="520" t="str">
        <f>IF(AND(_D="A-321",'2024'!$J$4="FO",'2024'!$J$2=BS233),'2024DATA'!$N$28,"")</f>
        <v/>
      </c>
      <c r="BT259" s="940"/>
      <c r="BU259" s="13" t="s">
        <v>62</v>
      </c>
      <c r="BV259" s="518" t="str">
        <f>IF(AND(_E="A-321",'2024'!$J$4="FO",'2024'!$J$2=BV233),'2024DATA'!$C$28,"")</f>
        <v/>
      </c>
      <c r="BW259" s="518" t="str">
        <f>IF(AND(_E="A-321",'2024'!$J$4="FO",'2024'!$J$2=BW233),'2024DATA'!$D$28,"")</f>
        <v/>
      </c>
      <c r="BX259" s="518" t="str">
        <f>IF(AND(_E="A-321",'2024'!$J$4="FO",'2024'!$J$2=BX233),'2024DATA'!$E$28,"")</f>
        <v/>
      </c>
      <c r="BY259" s="518" t="str">
        <f>IF(AND(_E="A-321",'2024'!$J$4="FO",'2024'!$J$2=BY233),'2024DATA'!$F$28,"")</f>
        <v/>
      </c>
      <c r="BZ259" s="518" t="str">
        <f>IF(AND(_E="A-321",'2024'!$J$4="FO",'2024'!$J$2=BZ233),'2024DATA'!$G$28,"")</f>
        <v/>
      </c>
      <c r="CA259" s="518" t="str">
        <f>IF(AND(_E="A-321",'2024'!$J$4="FO",'2024'!$J$2=CA233),'2024DATA'!$H$28,"")</f>
        <v/>
      </c>
      <c r="CB259" s="518" t="str">
        <f>IF(AND(_E="A-321",'2024'!$J$4="FO",'2024'!$J$2=CB233),'2024DATA'!$I$28,"")</f>
        <v/>
      </c>
      <c r="CC259" s="518" t="str">
        <f>IF(AND(_E="A-321",'2024'!$J$4="FO",'2024'!$J$2=CC233),'2024DATA'!$J$28,"")</f>
        <v/>
      </c>
      <c r="CD259" s="518" t="str">
        <f>IF(AND(_E="A-321",'2024'!$J$4="FO",'2024'!$J$2=CD233),'2024DATA'!$K$28,"")</f>
        <v/>
      </c>
      <c r="CE259" s="518" t="str">
        <f>IF(AND(_E="A-321",'2024'!$J$4="FO",'2024'!$J$2=CE233),'2024DATA'!$L$28,"")</f>
        <v/>
      </c>
      <c r="CF259" s="518" t="str">
        <f>IF(AND(_E="A-321",'2024'!$J$4="FO",'2024'!$J$2=CF233),'2024DATA'!$M$28,"")</f>
        <v/>
      </c>
      <c r="CG259" s="520" t="str">
        <f>IF(AND(_E="A-321",'2024'!$J$4="FO",'2024'!$J$2=CG233),'2024DATA'!$N$28,"")</f>
        <v/>
      </c>
      <c r="CH259" s="940"/>
      <c r="CI259" s="13" t="s">
        <v>62</v>
      </c>
      <c r="CJ259" s="518" t="str">
        <f>IF(AND(_F="A-321",'2024'!$J$4="FO",'2024'!$J$2=CJ233),'2024DATA'!$C$28,"")</f>
        <v/>
      </c>
      <c r="CK259" s="518" t="str">
        <f>IF(AND(_F="A-321",'2024'!$J$4="FO",'2024'!$J$2=CK233),'2024DATA'!$D$28,"")</f>
        <v/>
      </c>
      <c r="CL259" s="518" t="str">
        <f>IF(AND(_F="A-321",'2024'!$J$4="FO",'2024'!$J$2=CL233),'2024DATA'!$E$28,"")</f>
        <v/>
      </c>
      <c r="CM259" s="518" t="str">
        <f>IF(AND(_F="A-321",'2024'!$J$4="FO",'2024'!$J$2=CM233),'2024DATA'!$F$28,"")</f>
        <v/>
      </c>
      <c r="CN259" s="518" t="str">
        <f>IF(AND(_F="A-321",'2024'!$J$4="FO",'2024'!$J$2=CN233),'2024DATA'!$G$28,"")</f>
        <v/>
      </c>
      <c r="CO259" s="518" t="str">
        <f>IF(AND(_F="A-321",'2024'!$J$4="FO",'2024'!$J$2=CO233),'2024DATA'!$H$28,"")</f>
        <v/>
      </c>
      <c r="CP259" s="518" t="str">
        <f>IF(AND(_F="A-321",'2024'!$J$4="FO",'2024'!$J$2=CP233),'2024DATA'!$I$28,"")</f>
        <v/>
      </c>
      <c r="CQ259" s="518" t="str">
        <f>IF(AND(_F="A-321",'2024'!$J$4="FO",'2024'!$J$2=CQ233),'2024DATA'!$J$28,"")</f>
        <v/>
      </c>
      <c r="CR259" s="518" t="str">
        <f>IF(AND(_F="A-321",'2024'!$J$4="FO",'2024'!$J$2=CR233),'2024DATA'!$K$28,"")</f>
        <v/>
      </c>
      <c r="CS259" s="518" t="str">
        <f>IF(AND(_F="A-321",'2024'!$J$4="FO",'2024'!$J$2=CS233),'2024DATA'!$L$28,"")</f>
        <v/>
      </c>
      <c r="CT259" s="518" t="str">
        <f>IF(AND(_F="A-321",'2024'!$J$4="FO",'2024'!$J$2=CT233),'2024DATA'!$M$28,"")</f>
        <v/>
      </c>
      <c r="CU259" s="520" t="str">
        <f>IF(AND(_F="A-321",'2024'!$J$4="FO",'2024'!$J$2=CU233),'2024DATA'!$N$28,"")</f>
        <v/>
      </c>
    </row>
    <row r="260" spans="16:99" x14ac:dyDescent="0.25">
      <c r="P260" s="940" t="s">
        <v>70</v>
      </c>
      <c r="Q260" s="13" t="s">
        <v>61</v>
      </c>
      <c r="R260" s="518" t="str">
        <f>IF(AND(_A="A-320",'2024'!$J$4="CA",'2024'!$J$2=R233),'2024DATA'!$C$29,"")</f>
        <v/>
      </c>
      <c r="S260" s="518" t="str">
        <f>IF(AND(_A="A-320",'2024'!$J$4="CA",'2024'!$J$2=S233),'2024DATA'!$D$29,"")</f>
        <v/>
      </c>
      <c r="T260" s="518" t="str">
        <f>IF(AND(_A="A-320",'2024'!$J$4="CA",'2024'!$J$2=T233),'2024DATA'!$E$29,"")</f>
        <v/>
      </c>
      <c r="U260" s="518" t="str">
        <f>IF(AND(_A="A-320",'2024'!$J$4="CA",'2024'!$J$2=U233),'2024DATA'!$F$29,"")</f>
        <v/>
      </c>
      <c r="V260" s="518" t="str">
        <f>IF(AND(_A="A-320",'2024'!$J$4="CA",'2024'!$J$2=V233),'2024DATA'!$G$29,"")</f>
        <v/>
      </c>
      <c r="W260" s="518" t="str">
        <f>IF(AND(_A="A-320",'2024'!$J$4="CA",'2024'!$J$2=W233),'2024DATA'!$H$29,"")</f>
        <v/>
      </c>
      <c r="X260" s="518" t="str">
        <f>IF(AND(_A="A-320",'2024'!$J$4="CA",'2024'!$J$2=X233),'2024DATA'!$I$29,"")</f>
        <v/>
      </c>
      <c r="Y260" s="518" t="str">
        <f>IF(AND(_A="A-320",'2024'!$J$4="CA",'2024'!$J$2=Y233),'2024DATA'!$J$29,"")</f>
        <v/>
      </c>
      <c r="Z260" s="518" t="str">
        <f>IF(AND(_A="A-320",'2024'!$J$4="CA",'2024'!$J$2=Z233),'2024DATA'!$K$29,"")</f>
        <v/>
      </c>
      <c r="AA260" s="518" t="str">
        <f>IF(AND(_A="A-320",'2024'!$J$4="CA",'2024'!$J$2=AA233),'2024DATA'!$L$29,"")</f>
        <v/>
      </c>
      <c r="AB260" s="518" t="str">
        <f>IF(AND(_A="A-320",'2024'!$J$4="CA",'2024'!$J$2=AB233),'2024DATA'!$M$29,"")</f>
        <v/>
      </c>
      <c r="AC260" s="520" t="str">
        <f>IF(AND(_A="A-320",'2024'!$J$4="CA",'2024'!$J$2=AC233),'2024DATA'!$N$29,"")</f>
        <v/>
      </c>
      <c r="AD260" s="940" t="s">
        <v>70</v>
      </c>
      <c r="AE260" s="13" t="s">
        <v>61</v>
      </c>
      <c r="AF260" s="518" t="str">
        <f>IF(AND(_B="A-320",'2024'!$J$4="CA",'2024'!$J$2=AF233),'2024DATA'!$C$29,"")</f>
        <v/>
      </c>
      <c r="AG260" s="518" t="str">
        <f>IF(AND(_B="A-320",'2024'!$J$4="CA",'2024'!$J$2=AG233),'2024DATA'!$D$29,"")</f>
        <v/>
      </c>
      <c r="AH260" s="518" t="str">
        <f>IF(AND(_B="A-320",'2024'!$J$4="CA",'2024'!$J$2=AH233),'2024DATA'!$E$29,"")</f>
        <v/>
      </c>
      <c r="AI260" s="518" t="str">
        <f>IF(AND(_B="A-320",'2024'!$J$4="CA",'2024'!$J$2=AI233),'2024DATA'!$F$29,"")</f>
        <v/>
      </c>
      <c r="AJ260" s="518" t="str">
        <f>IF(AND(_B="A-320",'2024'!$J$4="CA",'2024'!$J$2=AJ233),'2024DATA'!$G$29,"")</f>
        <v/>
      </c>
      <c r="AK260" s="518" t="str">
        <f>IF(AND(_B="A-320",'2024'!$J$4="CA",'2024'!$J$2=AK233),'2024DATA'!$H$29,"")</f>
        <v/>
      </c>
      <c r="AL260" s="518" t="str">
        <f>IF(AND(_B="A-320",'2024'!$J$4="CA",'2024'!$J$2=AL233),'2024DATA'!$I$29,"")</f>
        <v/>
      </c>
      <c r="AM260" s="518" t="str">
        <f>IF(AND(_B="A-320",'2024'!$J$4="CA",'2024'!$J$2=AM233),'2024DATA'!$J$29,"")</f>
        <v/>
      </c>
      <c r="AN260" s="518" t="str">
        <f>IF(AND(_B="A-320",'2024'!$J$4="CA",'2024'!$J$2=AN233),'2024DATA'!$K$29,"")</f>
        <v/>
      </c>
      <c r="AO260" s="518" t="str">
        <f>IF(AND(_B="A-320",'2024'!$J$4="CA",'2024'!$J$2=AO233),'2024DATA'!$L$29,"")</f>
        <v/>
      </c>
      <c r="AP260" s="518" t="str">
        <f>IF(AND(_B="A-320",'2024'!$J$4="CA",'2024'!$J$2=AP233),'2024DATA'!$M$29,"")</f>
        <v/>
      </c>
      <c r="AQ260" s="520" t="str">
        <f>IF(AND(_B="A-320",'2024'!$J$4="CA",'2024'!$J$2=AQ233),'2024DATA'!$N$29,"")</f>
        <v/>
      </c>
      <c r="AR260" s="940" t="s">
        <v>70</v>
      </c>
      <c r="AS260" s="13" t="s">
        <v>61</v>
      </c>
      <c r="AT260" s="518" t="str">
        <f>IF(AND(_C="A-320",'2024'!$J$4="CA",'2024'!$J$2=AT233),'2024DATA'!$C$29,"")</f>
        <v/>
      </c>
      <c r="AU260" s="518" t="str">
        <f>IF(AND(_C="A-320",'2024'!$J$4="CA",'2024'!$J$2=AU233),'2024DATA'!$D$29,"")</f>
        <v/>
      </c>
      <c r="AV260" s="518" t="str">
        <f>IF(AND(_C="A-320",'2024'!$J$4="CA",'2024'!$J$2=AV233),'2024DATA'!$E$29,"")</f>
        <v/>
      </c>
      <c r="AW260" s="518" t="str">
        <f>IF(AND(_C="A-320",'2024'!$J$4="CA",'2024'!$J$2=AW233),'2024DATA'!$F$29,"")</f>
        <v/>
      </c>
      <c r="AX260" s="518" t="str">
        <f>IF(AND(_C="A-320",'2024'!$J$4="CA",'2024'!$J$2=AX233),'2024DATA'!$G$29,"")</f>
        <v/>
      </c>
      <c r="AY260" s="518" t="str">
        <f>IF(AND(_C="A-320",'2024'!$J$4="CA",'2024'!$J$2=AY233),'2024DATA'!$H$29,"")</f>
        <v/>
      </c>
      <c r="AZ260" s="518" t="str">
        <f>IF(AND(_C="A-320",'2024'!$J$4="CA",'2024'!$J$2=AZ233),'2024DATA'!$I$29,"")</f>
        <v/>
      </c>
      <c r="BA260" s="518" t="str">
        <f>IF(AND(_C="A-320",'2024'!$J$4="CA",'2024'!$J$2=BA233),'2024DATA'!$J$29,"")</f>
        <v/>
      </c>
      <c r="BB260" s="518" t="str">
        <f>IF(AND(_C="A-320",'2024'!$J$4="CA",'2024'!$J$2=BB233),'2024DATA'!$K$29,"")</f>
        <v/>
      </c>
      <c r="BC260" s="518" t="str">
        <f>IF(AND(_C="A-320",'2024'!$J$4="CA",'2024'!$J$2=BC233),'2024DATA'!$L$29,"")</f>
        <v/>
      </c>
      <c r="BD260" s="518" t="str">
        <f>IF(AND(_C="A-320",'2024'!$J$4="CA",'2024'!$J$2=BD233),'2024DATA'!$M$29,"")</f>
        <v/>
      </c>
      <c r="BE260" s="520" t="str">
        <f>IF(AND(_C="A-320",'2024'!$J$4="CA",'2024'!$J$2=BE233),'2024DATA'!$N$29,"")</f>
        <v/>
      </c>
      <c r="BF260" s="940" t="s">
        <v>70</v>
      </c>
      <c r="BG260" s="13" t="s">
        <v>61</v>
      </c>
      <c r="BH260" s="518" t="str">
        <f>IF(AND(_D="A-320",'2024'!$J$4="CA",'2024'!$J$2=BH233),'2024DATA'!$C$29,"")</f>
        <v/>
      </c>
      <c r="BI260" s="518" t="str">
        <f>IF(AND(_D="A-320",'2024'!$J$4="CA",'2024'!$J$2=BI233),'2024DATA'!$D$29,"")</f>
        <v/>
      </c>
      <c r="BJ260" s="518" t="str">
        <f>IF(AND(_D="A-320",'2024'!$J$4="CA",'2024'!$J$2=BJ233),'2024DATA'!$E$29,"")</f>
        <v/>
      </c>
      <c r="BK260" s="518" t="str">
        <f>IF(AND(_D="A-320",'2024'!$J$4="CA",'2024'!$J$2=BK233),'2024DATA'!$F$29,"")</f>
        <v/>
      </c>
      <c r="BL260" s="518" t="str">
        <f>IF(AND(_D="A-320",'2024'!$J$4="CA",'2024'!$J$2=BL233),'2024DATA'!$G$29,"")</f>
        <v/>
      </c>
      <c r="BM260" s="518" t="str">
        <f>IF(AND(_D="A-320",'2024'!$J$4="CA",'2024'!$J$2=BM233),'2024DATA'!$H$29,"")</f>
        <v/>
      </c>
      <c r="BN260" s="518" t="str">
        <f>IF(AND(_D="A-320",'2024'!$J$4="CA",'2024'!$J$2=BN233),'2024DATA'!$I$29,"")</f>
        <v/>
      </c>
      <c r="BO260" s="518" t="str">
        <f>IF(AND(_D="A-320",'2024'!$J$4="CA",'2024'!$J$2=BO233),'2024DATA'!$J$29,"")</f>
        <v/>
      </c>
      <c r="BP260" s="518" t="str">
        <f>IF(AND(_D="A-320",'2024'!$J$4="CA",'2024'!$J$2=BP233),'2024DATA'!$K$29,"")</f>
        <v/>
      </c>
      <c r="BQ260" s="518" t="str">
        <f>IF(AND(_D="A-320",'2024'!$J$4="CA",'2024'!$J$2=BQ233),'2024DATA'!$L$29,"")</f>
        <v/>
      </c>
      <c r="BR260" s="518" t="str">
        <f>IF(AND(_D="A-320",'2024'!$J$4="CA",'2024'!$J$2=BR233),'2024DATA'!$M$29,"")</f>
        <v/>
      </c>
      <c r="BS260" s="520" t="str">
        <f>IF(AND(_D="A-320",'2024'!$J$4="CA",'2024'!$J$2=BS233),'2024DATA'!$N$29,"")</f>
        <v/>
      </c>
      <c r="BT260" s="940" t="s">
        <v>70</v>
      </c>
      <c r="BU260" s="13" t="s">
        <v>61</v>
      </c>
      <c r="BV260" s="518" t="str">
        <f>IF(AND(_E="A-320",'2024'!$J$4="CA",'2024'!$J$2=BV233),'2024DATA'!$C$29,"")</f>
        <v/>
      </c>
      <c r="BW260" s="518" t="str">
        <f>IF(AND(_E="A-320",'2024'!$J$4="CA",'2024'!$J$2=BW233),'2024DATA'!$D$29,"")</f>
        <v/>
      </c>
      <c r="BX260" s="518" t="str">
        <f>IF(AND(_E="A-320",'2024'!$J$4="CA",'2024'!$J$2=BX233),'2024DATA'!$E$29,"")</f>
        <v/>
      </c>
      <c r="BY260" s="518" t="str">
        <f>IF(AND(_E="A-320",'2024'!$J$4="CA",'2024'!$J$2=BY233),'2024DATA'!$F$29,"")</f>
        <v/>
      </c>
      <c r="BZ260" s="518" t="str">
        <f>IF(AND(_E="A-320",'2024'!$J$4="CA",'2024'!$J$2=BZ233),'2024DATA'!$G$29,"")</f>
        <v/>
      </c>
      <c r="CA260" s="518" t="str">
        <f>IF(AND(_E="A-320",'2024'!$J$4="CA",'2024'!$J$2=CA233),'2024DATA'!$H$29,"")</f>
        <v/>
      </c>
      <c r="CB260" s="518" t="str">
        <f>IF(AND(_E="A-320",'2024'!$J$4="CA",'2024'!$J$2=CB233),'2024DATA'!$I$29,"")</f>
        <v/>
      </c>
      <c r="CC260" s="518" t="str">
        <f>IF(AND(_E="A-320",'2024'!$J$4="CA",'2024'!$J$2=CC233),'2024DATA'!$J$29,"")</f>
        <v/>
      </c>
      <c r="CD260" s="518" t="str">
        <f>IF(AND(_E="A-320",'2024'!$J$4="CA",'2024'!$J$2=CD233),'2024DATA'!$K$29,"")</f>
        <v/>
      </c>
      <c r="CE260" s="518" t="str">
        <f>IF(AND(_E="A-320",'2024'!$J$4="CA",'2024'!$J$2=CE233),'2024DATA'!$L$29,"")</f>
        <v/>
      </c>
      <c r="CF260" s="518" t="str">
        <f>IF(AND(_E="A-320",'2024'!$J$4="CA",'2024'!$J$2=CF233),'2024DATA'!$M$29,"")</f>
        <v/>
      </c>
      <c r="CG260" s="520" t="str">
        <f>IF(AND(_E="A-320",'2024'!$J$4="CA",'2024'!$J$2=CG233),'2024DATA'!$N$29,"")</f>
        <v/>
      </c>
      <c r="CH260" s="940" t="s">
        <v>70</v>
      </c>
      <c r="CI260" s="13" t="s">
        <v>61</v>
      </c>
      <c r="CJ260" s="518" t="str">
        <f>IF(AND(_F="A-320",'2024'!$J$4="CA",'2024'!$J$2=CJ233),'2024DATA'!$C$29,"")</f>
        <v/>
      </c>
      <c r="CK260" s="518" t="str">
        <f>IF(AND(_F="A-320",'2024'!$J$4="CA",'2024'!$J$2=CK233),'2024DATA'!$D$29,"")</f>
        <v/>
      </c>
      <c r="CL260" s="518" t="str">
        <f>IF(AND(_F="A-320",'2024'!$J$4="CA",'2024'!$J$2=CL233),'2024DATA'!$E$29,"")</f>
        <v/>
      </c>
      <c r="CM260" s="518" t="str">
        <f>IF(AND(_F="A-320",'2024'!$J$4="CA",'2024'!$J$2=CM233),'2024DATA'!$F$29,"")</f>
        <v/>
      </c>
      <c r="CN260" s="518" t="str">
        <f>IF(AND(_F="A-320",'2024'!$J$4="CA",'2024'!$J$2=CN233),'2024DATA'!$G$29,"")</f>
        <v/>
      </c>
      <c r="CO260" s="518" t="str">
        <f>IF(AND(_F="A-320",'2024'!$J$4="CA",'2024'!$J$2=CO233),'2024DATA'!$H$29,"")</f>
        <v/>
      </c>
      <c r="CP260" s="518" t="str">
        <f>IF(AND(_F="A-320",'2024'!$J$4="CA",'2024'!$J$2=CP233),'2024DATA'!$I$29,"")</f>
        <v/>
      </c>
      <c r="CQ260" s="518" t="str">
        <f>IF(AND(_F="A-320",'2024'!$J$4="CA",'2024'!$J$2=CQ233),'2024DATA'!$J$29,"")</f>
        <v/>
      </c>
      <c r="CR260" s="518" t="str">
        <f>IF(AND(_F="A-320",'2024'!$J$4="CA",'2024'!$J$2=CR233),'2024DATA'!$K$29,"")</f>
        <v/>
      </c>
      <c r="CS260" s="518" t="str">
        <f>IF(AND(_F="A-320",'2024'!$J$4="CA",'2024'!$J$2=CS233),'2024DATA'!$L$29,"")</f>
        <v/>
      </c>
      <c r="CT260" s="518" t="str">
        <f>IF(AND(_F="A-320",'2024'!$J$4="CA",'2024'!$J$2=CT233),'2024DATA'!$M$29,"")</f>
        <v/>
      </c>
      <c r="CU260" s="520" t="str">
        <f>IF(AND(_F="A-320",'2024'!$J$4="CA",'2024'!$J$2=CU233),'2024DATA'!$N$29,"")</f>
        <v/>
      </c>
    </row>
    <row r="261" spans="16:99" x14ac:dyDescent="0.25">
      <c r="P261" s="940"/>
      <c r="Q261" s="13" t="s">
        <v>62</v>
      </c>
      <c r="R261" s="518" t="str">
        <f>IF(AND(_A="A-320",'2024'!$J$4="FO",'2024'!$J$2=R233),'2024DATA'!$C$30,"")</f>
        <v/>
      </c>
      <c r="S261" s="518" t="str">
        <f>IF(AND(_A="A-320",'2024'!$J$4="FO",'2024'!$J$2=S233),'2024DATA'!$D$30,"")</f>
        <v/>
      </c>
      <c r="T261" s="518" t="str">
        <f>IF(AND(_A="A-320",'2024'!$J$4="FO",'2024'!$J$2=T233),'2024DATA'!$E$30,"")</f>
        <v/>
      </c>
      <c r="U261" s="518" t="str">
        <f>IF(AND(_A="A-320",'2024'!$J$4="FO",'2024'!$J$2=U233),'2024DATA'!$F$30,"")</f>
        <v/>
      </c>
      <c r="V261" s="518" t="str">
        <f>IF(AND(_A="A-320",'2024'!$J$4="FO",'2024'!$J$2=V233),'2024DATA'!$G$30,"")</f>
        <v/>
      </c>
      <c r="W261" s="518" t="str">
        <f>IF(AND(_A="A-320",'2024'!$J$4="FO",'2024'!$J$2=W233),'2024DATA'!$H$30,"")</f>
        <v/>
      </c>
      <c r="X261" s="518" t="str">
        <f>IF(AND(_A="A-320",'2024'!$J$4="FO",'2024'!$J$2=X233),'2024DATA'!$I$30,"")</f>
        <v/>
      </c>
      <c r="Y261" s="518" t="str">
        <f>IF(AND(_A="A-320",'2024'!$J$4="FO",'2024'!$J$2=Y233),'2024DATA'!$J$30,"")</f>
        <v/>
      </c>
      <c r="Z261" s="518" t="str">
        <f>IF(AND(_A="A-320",'2024'!$J$4="FO",'2024'!$J$2=Z233),'2024DATA'!$K$30,"")</f>
        <v/>
      </c>
      <c r="AA261" s="518" t="str">
        <f>IF(AND(_A="A-320",'2024'!$J$4="FO",'2024'!$J$2=AA233),'2024DATA'!$L$30,"")</f>
        <v/>
      </c>
      <c r="AB261" s="518" t="str">
        <f>IF(AND(_A="A-320",'2024'!$J$4="FO",'2024'!$J$2=AB233),'2024DATA'!$M$30,"")</f>
        <v/>
      </c>
      <c r="AC261" s="520" t="str">
        <f>IF(AND(_A="A-320",'2024'!$J$4="FO",'2024'!$J$2=AC233),'2024DATA'!$N$30,"")</f>
        <v/>
      </c>
      <c r="AD261" s="940"/>
      <c r="AE261" s="13" t="s">
        <v>62</v>
      </c>
      <c r="AF261" s="518" t="str">
        <f>IF(AND(_B="A-320",'2024'!$J$4="FO",'2024'!$J$2=AF233),'2024DATA'!$C$30,"")</f>
        <v/>
      </c>
      <c r="AG261" s="518" t="str">
        <f>IF(AND(_B="A-320",'2024'!$J$4="FO",'2024'!$J$2=AG233),'2024DATA'!$D$30,"")</f>
        <v/>
      </c>
      <c r="AH261" s="518" t="str">
        <f>IF(AND(_B="A-320",'2024'!$J$4="FO",'2024'!$J$2=AH233),'2024DATA'!$E$30,"")</f>
        <v/>
      </c>
      <c r="AI261" s="518" t="str">
        <f>IF(AND(_B="A-320",'2024'!$J$4="FO",'2024'!$J$2=AI233),'2024DATA'!$F$30,"")</f>
        <v/>
      </c>
      <c r="AJ261" s="518" t="str">
        <f>IF(AND(_B="A-320",'2024'!$J$4="FO",'2024'!$J$2=AJ233),'2024DATA'!$G$30,"")</f>
        <v/>
      </c>
      <c r="AK261" s="518" t="str">
        <f>IF(AND(_B="A-320",'2024'!$J$4="FO",'2024'!$J$2=AK233),'2024DATA'!$H$30,"")</f>
        <v/>
      </c>
      <c r="AL261" s="518" t="str">
        <f>IF(AND(_B="A-320",'2024'!$J$4="FO",'2024'!$J$2=AL233),'2024DATA'!$I$30,"")</f>
        <v/>
      </c>
      <c r="AM261" s="518" t="str">
        <f>IF(AND(_B="A-320",'2024'!$J$4="FO",'2024'!$J$2=AM233),'2024DATA'!$J$30,"")</f>
        <v/>
      </c>
      <c r="AN261" s="518" t="str">
        <f>IF(AND(_B="A-320",'2024'!$J$4="FO",'2024'!$J$2=AN233),'2024DATA'!$K$30,"")</f>
        <v/>
      </c>
      <c r="AO261" s="518" t="str">
        <f>IF(AND(_B="A-320",'2024'!$J$4="FO",'2024'!$J$2=AO233),'2024DATA'!$L$30,"")</f>
        <v/>
      </c>
      <c r="AP261" s="518" t="str">
        <f>IF(AND(_B="A-320",'2024'!$J$4="FO",'2024'!$J$2=AP233),'2024DATA'!$M$30,"")</f>
        <v/>
      </c>
      <c r="AQ261" s="520" t="str">
        <f>IF(AND(_B="A-320",'2024'!$J$4="FO",'2024'!$J$2=AQ233),'2024DATA'!$N$30,"")</f>
        <v/>
      </c>
      <c r="AR261" s="940"/>
      <c r="AS261" s="13" t="s">
        <v>62</v>
      </c>
      <c r="AT261" s="518" t="str">
        <f>IF(AND(_C="A-320",'2024'!$J$4="FO",'2024'!$J$2=AT233),'2024DATA'!$C$30,"")</f>
        <v/>
      </c>
      <c r="AU261" s="518" t="str">
        <f>IF(AND(_C="A-320",'2024'!$J$4="FO",'2024'!$J$2=AU233),'2024DATA'!$D$30,"")</f>
        <v/>
      </c>
      <c r="AV261" s="518" t="str">
        <f>IF(AND(_C="A-320",'2024'!$J$4="FO",'2024'!$J$2=AV233),'2024DATA'!$E$30,"")</f>
        <v/>
      </c>
      <c r="AW261" s="518" t="str">
        <f>IF(AND(_C="A-320",'2024'!$J$4="FO",'2024'!$J$2=AW233),'2024DATA'!$F$30,"")</f>
        <v/>
      </c>
      <c r="AX261" s="518" t="str">
        <f>IF(AND(_C="A-320",'2024'!$J$4="FO",'2024'!$J$2=AX233),'2024DATA'!$G$30,"")</f>
        <v/>
      </c>
      <c r="AY261" s="518" t="str">
        <f>IF(AND(_C="A-320",'2024'!$J$4="FO",'2024'!$J$2=AY233),'2024DATA'!$H$30,"")</f>
        <v/>
      </c>
      <c r="AZ261" s="518" t="str">
        <f>IF(AND(_C="A-320",'2024'!$J$4="FO",'2024'!$J$2=AZ233),'2024DATA'!$I$30,"")</f>
        <v/>
      </c>
      <c r="BA261" s="518" t="str">
        <f>IF(AND(_C="A-320",'2024'!$J$4="FO",'2024'!$J$2=BA233),'2024DATA'!$J$30,"")</f>
        <v/>
      </c>
      <c r="BB261" s="518" t="str">
        <f>IF(AND(_C="A-320",'2024'!$J$4="FO",'2024'!$J$2=BB233),'2024DATA'!$K$30,"")</f>
        <v/>
      </c>
      <c r="BC261" s="518" t="str">
        <f>IF(AND(_C="A-320",'2024'!$J$4="FO",'2024'!$J$2=BC233),'2024DATA'!$L$30,"")</f>
        <v/>
      </c>
      <c r="BD261" s="518" t="str">
        <f>IF(AND(_C="A-320",'2024'!$J$4="FO",'2024'!$J$2=BD233),'2024DATA'!$M$30,"")</f>
        <v/>
      </c>
      <c r="BE261" s="520" t="str">
        <f>IF(AND(_C="A-320",'2024'!$J$4="FO",'2024'!$J$2=BE233),'2024DATA'!$N$30,"")</f>
        <v/>
      </c>
      <c r="BF261" s="940"/>
      <c r="BG261" s="13" t="s">
        <v>62</v>
      </c>
      <c r="BH261" s="518" t="str">
        <f>IF(AND(_D="A-320",'2024'!$J$4="FO",'2024'!$J$2=BH233),'2024DATA'!$C$30,"")</f>
        <v/>
      </c>
      <c r="BI261" s="518" t="str">
        <f>IF(AND(_D="A-320",'2024'!$J$4="FO",'2024'!$J$2=BI233),'2024DATA'!$D$30,"")</f>
        <v/>
      </c>
      <c r="BJ261" s="518" t="str">
        <f>IF(AND(_D="A-320",'2024'!$J$4="FO",'2024'!$J$2=BJ233),'2024DATA'!$E$30,"")</f>
        <v/>
      </c>
      <c r="BK261" s="518" t="str">
        <f>IF(AND(_D="A-320",'2024'!$J$4="FO",'2024'!$J$2=BK233),'2024DATA'!$F$30,"")</f>
        <v/>
      </c>
      <c r="BL261" s="518" t="str">
        <f>IF(AND(_D="A-320",'2024'!$J$4="FO",'2024'!$J$2=BL233),'2024DATA'!$G$30,"")</f>
        <v/>
      </c>
      <c r="BM261" s="518" t="str">
        <f>IF(AND(_D="A-320",'2024'!$J$4="FO",'2024'!$J$2=BM233),'2024DATA'!$H$30,"")</f>
        <v/>
      </c>
      <c r="BN261" s="518" t="str">
        <f>IF(AND(_D="A-320",'2024'!$J$4="FO",'2024'!$J$2=BN233),'2024DATA'!$I$30,"")</f>
        <v/>
      </c>
      <c r="BO261" s="518" t="str">
        <f>IF(AND(_D="A-320",'2024'!$J$4="FO",'2024'!$J$2=BO233),'2024DATA'!$J$30,"")</f>
        <v/>
      </c>
      <c r="BP261" s="518" t="str">
        <f>IF(AND(_D="A-320",'2024'!$J$4="FO",'2024'!$J$2=BP233),'2024DATA'!$K$30,"")</f>
        <v/>
      </c>
      <c r="BQ261" s="518" t="str">
        <f>IF(AND(_D="A-320",'2024'!$J$4="FO",'2024'!$J$2=BQ233),'2024DATA'!$L$30,"")</f>
        <v/>
      </c>
      <c r="BR261" s="518" t="str">
        <f>IF(AND(_D="A-320",'2024'!$J$4="FO",'2024'!$J$2=BR233),'2024DATA'!$M$30,"")</f>
        <v/>
      </c>
      <c r="BS261" s="520" t="str">
        <f>IF(AND(_D="A-320",'2024'!$J$4="FO",'2024'!$J$2=BS233),'2024DATA'!$N$30,"")</f>
        <v/>
      </c>
      <c r="BT261" s="940"/>
      <c r="BU261" s="13" t="s">
        <v>62</v>
      </c>
      <c r="BV261" s="518" t="str">
        <f>IF(AND(_E="A-320",'2024'!$J$4="FO",'2024'!$J$2=BV233),'2024DATA'!$C$30,"")</f>
        <v/>
      </c>
      <c r="BW261" s="518" t="str">
        <f>IF(AND(_E="A-320",'2024'!$J$4="FO",'2024'!$J$2=BW233),'2024DATA'!$D$30,"")</f>
        <v/>
      </c>
      <c r="BX261" s="518" t="str">
        <f>IF(AND(_E="A-320",'2024'!$J$4="FO",'2024'!$J$2=BX233),'2024DATA'!$E$30,"")</f>
        <v/>
      </c>
      <c r="BY261" s="518" t="str">
        <f>IF(AND(_E="A-320",'2024'!$J$4="FO",'2024'!$J$2=BY233),'2024DATA'!$F$30,"")</f>
        <v/>
      </c>
      <c r="BZ261" s="518" t="str">
        <f>IF(AND(_E="A-320",'2024'!$J$4="FO",'2024'!$J$2=BZ233),'2024DATA'!$G$30,"")</f>
        <v/>
      </c>
      <c r="CA261" s="518" t="str">
        <f>IF(AND(_E="A-320",'2024'!$J$4="FO",'2024'!$J$2=CA233),'2024DATA'!$H$30,"")</f>
        <v/>
      </c>
      <c r="CB261" s="518" t="str">
        <f>IF(AND(_E="A-320",'2024'!$J$4="FO",'2024'!$J$2=CB233),'2024DATA'!$I$30,"")</f>
        <v/>
      </c>
      <c r="CC261" s="518" t="str">
        <f>IF(AND(_E="A-320",'2024'!$J$4="FO",'2024'!$J$2=CC233),'2024DATA'!$J$30,"")</f>
        <v/>
      </c>
      <c r="CD261" s="518" t="str">
        <f>IF(AND(_E="A-320",'2024'!$J$4="FO",'2024'!$J$2=CD233),'2024DATA'!$K$30,"")</f>
        <v/>
      </c>
      <c r="CE261" s="518" t="str">
        <f>IF(AND(_E="A-320",'2024'!$J$4="FO",'2024'!$J$2=CE233),'2024DATA'!$L$30,"")</f>
        <v/>
      </c>
      <c r="CF261" s="518" t="str">
        <f>IF(AND(_E="A-320",'2024'!$J$4="FO",'2024'!$J$2=CF233),'2024DATA'!$M$30,"")</f>
        <v/>
      </c>
      <c r="CG261" s="520" t="str">
        <f>IF(AND(_E="A-320",'2024'!$J$4="FO",'2024'!$J$2=CG233),'2024DATA'!$N$30,"")</f>
        <v/>
      </c>
      <c r="CH261" s="940"/>
      <c r="CI261" s="13" t="s">
        <v>62</v>
      </c>
      <c r="CJ261" s="518" t="str">
        <f>IF(AND(_F="A-320",'2024'!$J$4="FO",'2024'!$J$2=CJ233),'2024DATA'!$C$30,"")</f>
        <v/>
      </c>
      <c r="CK261" s="518" t="str">
        <f>IF(AND(_F="A-320",'2024'!$J$4="FO",'2024'!$J$2=CK233),'2024DATA'!$D$30,"")</f>
        <v/>
      </c>
      <c r="CL261" s="518" t="str">
        <f>IF(AND(_F="A-320",'2024'!$J$4="FO",'2024'!$J$2=CL233),'2024DATA'!$E$30,"")</f>
        <v/>
      </c>
      <c r="CM261" s="518" t="str">
        <f>IF(AND(_F="A-320",'2024'!$J$4="FO",'2024'!$J$2=CM233),'2024DATA'!$F$30,"")</f>
        <v/>
      </c>
      <c r="CN261" s="518" t="str">
        <f>IF(AND(_F="A-320",'2024'!$J$4="FO",'2024'!$J$2=CN233),'2024DATA'!$G$30,"")</f>
        <v/>
      </c>
      <c r="CO261" s="518" t="str">
        <f>IF(AND(_F="A-320",'2024'!$J$4="FO",'2024'!$J$2=CO233),'2024DATA'!$H$30,"")</f>
        <v/>
      </c>
      <c r="CP261" s="518" t="str">
        <f>IF(AND(_F="A-320",'2024'!$J$4="FO",'2024'!$J$2=CP233),'2024DATA'!$I$30,"")</f>
        <v/>
      </c>
      <c r="CQ261" s="518" t="str">
        <f>IF(AND(_F="A-320",'2024'!$J$4="FO",'2024'!$J$2=CQ233),'2024DATA'!$J$30,"")</f>
        <v/>
      </c>
      <c r="CR261" s="518" t="str">
        <f>IF(AND(_F="A-320",'2024'!$J$4="FO",'2024'!$J$2=CR233),'2024DATA'!$K$30,"")</f>
        <v/>
      </c>
      <c r="CS261" s="518" t="str">
        <f>IF(AND(_F="A-320",'2024'!$J$4="FO",'2024'!$J$2=CS233),'2024DATA'!$L$30,"")</f>
        <v/>
      </c>
      <c r="CT261" s="518" t="str">
        <f>IF(AND(_F="A-320",'2024'!$J$4="FO",'2024'!$J$2=CT233),'2024DATA'!$M$30,"")</f>
        <v/>
      </c>
      <c r="CU261" s="520" t="str">
        <f>IF(AND(_F="A-320",'2024'!$J$4="FO",'2024'!$J$2=CU233),'2024DATA'!$N$30,"")</f>
        <v/>
      </c>
    </row>
    <row r="262" spans="16:99" x14ac:dyDescent="0.25">
      <c r="P262" s="940" t="s">
        <v>71</v>
      </c>
      <c r="Q262" s="13" t="s">
        <v>61</v>
      </c>
      <c r="R262" s="518" t="str">
        <f>IF(AND(_A="A-319",'2024'!$J$4="CA",'2024'!$J$2=R233),'2024DATA'!$C$31,"")</f>
        <v/>
      </c>
      <c r="S262" s="518" t="str">
        <f>IF(AND(_A="A-319",'2024'!$J$4="CA",'2024'!$J$2=S233),'2024DATA'!$D$31,"")</f>
        <v/>
      </c>
      <c r="T262" s="518" t="str">
        <f>IF(AND(_A="A-319",'2024'!$J$4="CA",'2024'!$J$2=T233),'2024DATA'!$E$31,"")</f>
        <v/>
      </c>
      <c r="U262" s="518" t="str">
        <f>IF(AND(_A="A-319",'2024'!$J$4="CA",'2024'!$J$2=U233),'2024DATA'!$F$31,"")</f>
        <v/>
      </c>
      <c r="V262" s="518" t="str">
        <f>IF(AND(_A="A-319",'2024'!$J$4="CA",'2024'!$J$2=V233),'2024DATA'!$G$31,"")</f>
        <v/>
      </c>
      <c r="W262" s="518" t="str">
        <f>IF(AND(_A="A-319",'2024'!$J$4="CA",'2024'!$J$2=W233),'2024DATA'!$H$31,"")</f>
        <v/>
      </c>
      <c r="X262" s="518" t="str">
        <f>IF(AND(_A="A-319",'2024'!$J$4="CA",'2024'!$J$2=X233),'2024DATA'!$I$31,"")</f>
        <v/>
      </c>
      <c r="Y262" s="518" t="str">
        <f>IF(AND(_A="A-319",'2024'!$J$4="CA",'2024'!$J$2=Y233),'2024DATA'!$J$31,"")</f>
        <v/>
      </c>
      <c r="Z262" s="518" t="str">
        <f>IF(AND(_A="A-319",'2024'!$J$4="CA",'2024'!$J$2=Z233),'2024DATA'!$K$31,"")</f>
        <v/>
      </c>
      <c r="AA262" s="518" t="str">
        <f>IF(AND(_A="A-319",'2024'!$J$4="CA",'2024'!$J$2=AA233),'2024DATA'!$L$31,"")</f>
        <v/>
      </c>
      <c r="AB262" s="518" t="str">
        <f>IF(AND(_A="A-319",'2024'!$J$4="CA",'2024'!$J$2=AB233),'2024DATA'!$M$31,"")</f>
        <v/>
      </c>
      <c r="AC262" s="520" t="str">
        <f>IF(AND(_A="A-319",'2024'!$J$4="CA",'2024'!$J$2=AC233),'2024DATA'!$N$31,"")</f>
        <v/>
      </c>
      <c r="AD262" s="940" t="s">
        <v>71</v>
      </c>
      <c r="AE262" s="13" t="s">
        <v>61</v>
      </c>
      <c r="AF262" s="518" t="str">
        <f>IF(AND(_B="A-319",'2024'!$J$4="CA",'2024'!$J$2=AF233),'2024DATA'!$C$31,"")</f>
        <v/>
      </c>
      <c r="AG262" s="518" t="str">
        <f>IF(AND(_B="A-319",'2024'!$J$4="CA",'2024'!$J$2=AG233),'2024DATA'!$D$31,"")</f>
        <v/>
      </c>
      <c r="AH262" s="518" t="str">
        <f>IF(AND(_B="A-319",'2024'!$J$4="CA",'2024'!$J$2=AH233),'2024DATA'!$E$31,"")</f>
        <v/>
      </c>
      <c r="AI262" s="518" t="str">
        <f>IF(AND(_B="A-319",'2024'!$J$4="CA",'2024'!$J$2=AI233),'2024DATA'!$F$31,"")</f>
        <v/>
      </c>
      <c r="AJ262" s="518" t="str">
        <f>IF(AND(_B="A-319",'2024'!$J$4="CA",'2024'!$J$2=AJ233),'2024DATA'!$G$31,"")</f>
        <v/>
      </c>
      <c r="AK262" s="518" t="str">
        <f>IF(AND(_B="A-319",'2024'!$J$4="CA",'2024'!$J$2=AK233),'2024DATA'!$H$31,"")</f>
        <v/>
      </c>
      <c r="AL262" s="518" t="str">
        <f>IF(AND(_B="A-319",'2024'!$J$4="CA",'2024'!$J$2=AL233),'2024DATA'!$I$31,"")</f>
        <v/>
      </c>
      <c r="AM262" s="518" t="str">
        <f>IF(AND(_B="A-319",'2024'!$J$4="CA",'2024'!$J$2=AM233),'2024DATA'!$J$31,"")</f>
        <v/>
      </c>
      <c r="AN262" s="518" t="str">
        <f>IF(AND(_B="A-319",'2024'!$J$4="CA",'2024'!$J$2=AN233),'2024DATA'!$K$31,"")</f>
        <v/>
      </c>
      <c r="AO262" s="518" t="str">
        <f>IF(AND(_B="A-319",'2024'!$J$4="CA",'2024'!$J$2=AO233),'2024DATA'!$L$31,"")</f>
        <v/>
      </c>
      <c r="AP262" s="518" t="str">
        <f>IF(AND(_B="A-319",'2024'!$J$4="CA",'2024'!$J$2=AP233),'2024DATA'!$M$31,"")</f>
        <v/>
      </c>
      <c r="AQ262" s="520" t="str">
        <f>IF(AND(_B="A-319",'2024'!$J$4="CA",'2024'!$J$2=AQ233),'2024DATA'!$N$31,"")</f>
        <v/>
      </c>
      <c r="AR262" s="940" t="s">
        <v>71</v>
      </c>
      <c r="AS262" s="13" t="s">
        <v>61</v>
      </c>
      <c r="AT262" s="518" t="str">
        <f>IF(AND(_C="A-319",'2024'!$J$4="CA",'2024'!$J$2=AT233),'2024DATA'!$C$31,"")</f>
        <v/>
      </c>
      <c r="AU262" s="518" t="str">
        <f>IF(AND(_C="A-319",'2024'!$J$4="CA",'2024'!$J$2=AU233),'2024DATA'!$D$31,"")</f>
        <v/>
      </c>
      <c r="AV262" s="518" t="str">
        <f>IF(AND(_C="A-319",'2024'!$J$4="CA",'2024'!$J$2=AV233),'2024DATA'!$E$31,"")</f>
        <v/>
      </c>
      <c r="AW262" s="518" t="str">
        <f>IF(AND(_C="A-319",'2024'!$J$4="CA",'2024'!$J$2=AW233),'2024DATA'!$F$31,"")</f>
        <v/>
      </c>
      <c r="AX262" s="518" t="str">
        <f>IF(AND(_C="A-319",'2024'!$J$4="CA",'2024'!$J$2=AX233),'2024DATA'!$G$31,"")</f>
        <v/>
      </c>
      <c r="AY262" s="518" t="str">
        <f>IF(AND(_C="A-319",'2024'!$J$4="CA",'2024'!$J$2=AY233),'2024DATA'!$H$31,"")</f>
        <v/>
      </c>
      <c r="AZ262" s="518" t="str">
        <f>IF(AND(_C="A-319",'2024'!$J$4="CA",'2024'!$J$2=AZ233),'2024DATA'!$I$31,"")</f>
        <v/>
      </c>
      <c r="BA262" s="518" t="str">
        <f>IF(AND(_C="A-319",'2024'!$J$4="CA",'2024'!$J$2=BA233),'2024DATA'!$J$31,"")</f>
        <v/>
      </c>
      <c r="BB262" s="518" t="str">
        <f>IF(AND(_C="A-319",'2024'!$J$4="CA",'2024'!$J$2=BB233),'2024DATA'!$K$31,"")</f>
        <v/>
      </c>
      <c r="BC262" s="518" t="str">
        <f>IF(AND(_C="A-319",'2024'!$J$4="CA",'2024'!$J$2=BC233),'2024DATA'!$L$31,"")</f>
        <v/>
      </c>
      <c r="BD262" s="518" t="str">
        <f>IF(AND(_C="A-319",'2024'!$J$4="CA",'2024'!$J$2=BD233),'2024DATA'!$M$31,"")</f>
        <v/>
      </c>
      <c r="BE262" s="520" t="str">
        <f>IF(AND(_C="A-319",'2024'!$J$4="CA",'2024'!$J$2=BE233),'2024DATA'!$N$31,"")</f>
        <v/>
      </c>
      <c r="BF262" s="940" t="s">
        <v>71</v>
      </c>
      <c r="BG262" s="13" t="s">
        <v>61</v>
      </c>
      <c r="BH262" s="518" t="str">
        <f>IF(AND(_D="A-319",'2024'!$J$4="CA",'2024'!$J$2=BH233),'2024DATA'!$C$31,"")</f>
        <v/>
      </c>
      <c r="BI262" s="518" t="str">
        <f>IF(AND(_D="A-319",'2024'!$J$4="CA",'2024'!$J$2=BI233),'2024DATA'!$D$31,"")</f>
        <v/>
      </c>
      <c r="BJ262" s="518" t="str">
        <f>IF(AND(_D="A-319",'2024'!$J$4="CA",'2024'!$J$2=BJ233),'2024DATA'!$E$31,"")</f>
        <v/>
      </c>
      <c r="BK262" s="518" t="str">
        <f>IF(AND(_D="A-319",'2024'!$J$4="CA",'2024'!$J$2=BK233),'2024DATA'!$F$31,"")</f>
        <v/>
      </c>
      <c r="BL262" s="518" t="str">
        <f>IF(AND(_D="A-319",'2024'!$J$4="CA",'2024'!$J$2=BL233),'2024DATA'!$G$31,"")</f>
        <v/>
      </c>
      <c r="BM262" s="518" t="str">
        <f>IF(AND(_D="A-319",'2024'!$J$4="CA",'2024'!$J$2=BM233),'2024DATA'!$H$31,"")</f>
        <v/>
      </c>
      <c r="BN262" s="518" t="str">
        <f>IF(AND(_D="A-319",'2024'!$J$4="CA",'2024'!$J$2=BN233),'2024DATA'!$I$31,"")</f>
        <v/>
      </c>
      <c r="BO262" s="518" t="str">
        <f>IF(AND(_D="A-319",'2024'!$J$4="CA",'2024'!$J$2=BO233),'2024DATA'!$J$31,"")</f>
        <v/>
      </c>
      <c r="BP262" s="518" t="str">
        <f>IF(AND(_D="A-319",'2024'!$J$4="CA",'2024'!$J$2=BP233),'2024DATA'!$K$31,"")</f>
        <v/>
      </c>
      <c r="BQ262" s="518" t="str">
        <f>IF(AND(_D="A-319",'2024'!$J$4="CA",'2024'!$J$2=BQ233),'2024DATA'!$L$31,"")</f>
        <v/>
      </c>
      <c r="BR262" s="518" t="str">
        <f>IF(AND(_D="A-319",'2024'!$J$4="CA",'2024'!$J$2=BR233),'2024DATA'!$M$31,"")</f>
        <v/>
      </c>
      <c r="BS262" s="520" t="str">
        <f>IF(AND(_D="A-319",'2024'!$J$4="CA",'2024'!$J$2=BS233),'2024DATA'!$N$31,"")</f>
        <v/>
      </c>
      <c r="BT262" s="940" t="s">
        <v>71</v>
      </c>
      <c r="BU262" s="13" t="s">
        <v>61</v>
      </c>
      <c r="BV262" s="518" t="str">
        <f>IF(AND(_E="A-319",'2024'!$J$4="CA",'2024'!$J$2=BV233),'2024DATA'!$C$31,"")</f>
        <v/>
      </c>
      <c r="BW262" s="518" t="str">
        <f>IF(AND(_E="A-319",'2024'!$J$4="CA",'2024'!$J$2=BW233),'2024DATA'!$D$31,"")</f>
        <v/>
      </c>
      <c r="BX262" s="518" t="str">
        <f>IF(AND(_E="A-319",'2024'!$J$4="CA",'2024'!$J$2=BX233),'2024DATA'!$E$31,"")</f>
        <v/>
      </c>
      <c r="BY262" s="518" t="str">
        <f>IF(AND(_E="A-319",'2024'!$J$4="CA",'2024'!$J$2=BY233),'2024DATA'!$F$31,"")</f>
        <v/>
      </c>
      <c r="BZ262" s="518" t="str">
        <f>IF(AND(_E="A-319",'2024'!$J$4="CA",'2024'!$J$2=BZ233),'2024DATA'!$G$31,"")</f>
        <v/>
      </c>
      <c r="CA262" s="518" t="str">
        <f>IF(AND(_E="A-319",'2024'!$J$4="CA",'2024'!$J$2=CA233),'2024DATA'!$H$31,"")</f>
        <v/>
      </c>
      <c r="CB262" s="518" t="str">
        <f>IF(AND(_E="A-319",'2024'!$J$4="CA",'2024'!$J$2=CB233),'2024DATA'!$I$31,"")</f>
        <v/>
      </c>
      <c r="CC262" s="518" t="str">
        <f>IF(AND(_E="A-319",'2024'!$J$4="CA",'2024'!$J$2=CC233),'2024DATA'!$J$31,"")</f>
        <v/>
      </c>
      <c r="CD262" s="518" t="str">
        <f>IF(AND(_E="A-319",'2024'!$J$4="CA",'2024'!$J$2=CD233),'2024DATA'!$K$31,"")</f>
        <v/>
      </c>
      <c r="CE262" s="518" t="str">
        <f>IF(AND(_E="A-319",'2024'!$J$4="CA",'2024'!$J$2=CE233),'2024DATA'!$L$31,"")</f>
        <v/>
      </c>
      <c r="CF262" s="518" t="str">
        <f>IF(AND(_E="A-319",'2024'!$J$4="CA",'2024'!$J$2=CF233),'2024DATA'!$M$31,"")</f>
        <v/>
      </c>
      <c r="CG262" s="520" t="str">
        <f>IF(AND(_E="A-319",'2024'!$J$4="CA",'2024'!$J$2=CG233),'2024DATA'!$N$31,"")</f>
        <v/>
      </c>
      <c r="CH262" s="940" t="s">
        <v>71</v>
      </c>
      <c r="CI262" s="13" t="s">
        <v>61</v>
      </c>
      <c r="CJ262" s="518" t="str">
        <f>IF(AND(_F="A-319",'2024'!$J$4="CA",'2024'!$J$2=CJ233),'2024DATA'!$C$31,"")</f>
        <v/>
      </c>
      <c r="CK262" s="518" t="str">
        <f>IF(AND(_F="A-319",'2024'!$J$4="CA",'2024'!$J$2=CK233),'2024DATA'!$D$31,"")</f>
        <v/>
      </c>
      <c r="CL262" s="518" t="str">
        <f>IF(AND(_F="A-319",'2024'!$J$4="CA",'2024'!$J$2=CL233),'2024DATA'!$E$31,"")</f>
        <v/>
      </c>
      <c r="CM262" s="518" t="str">
        <f>IF(AND(_F="A-319",'2024'!$J$4="CA",'2024'!$J$2=CM233),'2024DATA'!$F$31,"")</f>
        <v/>
      </c>
      <c r="CN262" s="518" t="str">
        <f>IF(AND(_F="A-319",'2024'!$J$4="CA",'2024'!$J$2=CN233),'2024DATA'!$G$31,"")</f>
        <v/>
      </c>
      <c r="CO262" s="518" t="str">
        <f>IF(AND(_F="A-319",'2024'!$J$4="CA",'2024'!$J$2=CO233),'2024DATA'!$H$31,"")</f>
        <v/>
      </c>
      <c r="CP262" s="518" t="str">
        <f>IF(AND(_F="A-319",'2024'!$J$4="CA",'2024'!$J$2=CP233),'2024DATA'!$I$31,"")</f>
        <v/>
      </c>
      <c r="CQ262" s="518" t="str">
        <f>IF(AND(_F="A-319",'2024'!$J$4="CA",'2024'!$J$2=CQ233),'2024DATA'!$J$31,"")</f>
        <v/>
      </c>
      <c r="CR262" s="518" t="str">
        <f>IF(AND(_F="A-319",'2024'!$J$4="CA",'2024'!$J$2=CR233),'2024DATA'!$K$31,"")</f>
        <v/>
      </c>
      <c r="CS262" s="518" t="str">
        <f>IF(AND(_F="A-319",'2024'!$J$4="CA",'2024'!$J$2=CS233),'2024DATA'!$L$31,"")</f>
        <v/>
      </c>
      <c r="CT262" s="518" t="str">
        <f>IF(AND(_F="A-319",'2024'!$J$4="CA",'2024'!$J$2=CT233),'2024DATA'!$M$31,"")</f>
        <v/>
      </c>
      <c r="CU262" s="520" t="str">
        <f>IF(AND(_F="A-319",'2024'!$J$4="CA",'2024'!$J$2=CU233),'2024DATA'!$N$31,"")</f>
        <v/>
      </c>
    </row>
    <row r="263" spans="16:99" x14ac:dyDescent="0.25">
      <c r="P263" s="940"/>
      <c r="Q263" s="13" t="s">
        <v>62</v>
      </c>
      <c r="R263" s="518" t="str">
        <f>IF(AND(_A="A-319",'2024'!$J$4="FO",'2024'!$J$2=R233),'2024DATA'!$C$32,"")</f>
        <v/>
      </c>
      <c r="S263" s="518" t="str">
        <f>IF(AND(_A="A-319",'2024'!$J$4="FO",'2024'!$J$2=S233),'2024DATA'!$D$32,"")</f>
        <v/>
      </c>
      <c r="T263" s="518" t="str">
        <f>IF(AND(_A="A-319",'2024'!$J$4="FO",'2024'!$J$2=T233),'2024DATA'!$E$32,"")</f>
        <v/>
      </c>
      <c r="U263" s="518" t="str">
        <f>IF(AND(_A="A-319",'2024'!$J$4="FO",'2024'!$J$2=U233),'2024DATA'!$F$32,"")</f>
        <v/>
      </c>
      <c r="V263" s="518" t="str">
        <f>IF(AND(_A="A-319",'2024'!$J$4="FO",'2024'!$J$2=V233),'2024DATA'!$G$32,"")</f>
        <v/>
      </c>
      <c r="W263" s="518" t="str">
        <f>IF(AND(_A="A-319",'2024'!$J$4="FO",'2024'!$J$2=W233),'2024DATA'!$H$32,"")</f>
        <v/>
      </c>
      <c r="X263" s="518" t="str">
        <f>IF(AND(_A="A-319",'2024'!$J$4="FO",'2024'!$J$2=X233),'2024DATA'!$I$32,"")</f>
        <v/>
      </c>
      <c r="Y263" s="518" t="str">
        <f>IF(AND(_A="A-319",'2024'!$J$4="FO",'2024'!$J$2=Y233),'2024DATA'!$J$32,"")</f>
        <v/>
      </c>
      <c r="Z263" s="518" t="str">
        <f>IF(AND(_A="A-319",'2024'!$J$4="FO",'2024'!$J$2=Z233),'2024DATA'!$K$32,"")</f>
        <v/>
      </c>
      <c r="AA263" s="518" t="str">
        <f>IF(AND(_A="A-319",'2024'!$J$4="FO",'2024'!$J$2=AA233),'2024DATA'!$L$32,"")</f>
        <v/>
      </c>
      <c r="AB263" s="518" t="str">
        <f>IF(AND(_A="A-319",'2024'!$J$4="FO",'2024'!$J$2=AB233),'2024DATA'!$M$32,"")</f>
        <v/>
      </c>
      <c r="AC263" s="520" t="str">
        <f>IF(AND(_A="A-319",'2024'!$J$4="FO",'2024'!$J$2=AC233),'2024DATA'!$N$32,"")</f>
        <v/>
      </c>
      <c r="AD263" s="940"/>
      <c r="AE263" s="13" t="s">
        <v>62</v>
      </c>
      <c r="AF263" s="518" t="str">
        <f>IF(AND(_B="A-319",'2024'!$J$4="FO",'2024'!$J$2=AF233),'2024DATA'!$C$32,"")</f>
        <v/>
      </c>
      <c r="AG263" s="518" t="str">
        <f>IF(AND(_B="A-319",'2024'!$J$4="FO",'2024'!$J$2=AG233),'2024DATA'!$D$32,"")</f>
        <v/>
      </c>
      <c r="AH263" s="518" t="str">
        <f>IF(AND(_B="A-319",'2024'!$J$4="FO",'2024'!$J$2=AH233),'2024DATA'!$E$32,"")</f>
        <v/>
      </c>
      <c r="AI263" s="518" t="str">
        <f>IF(AND(_B="A-319",'2024'!$J$4="FO",'2024'!$J$2=AI233),'2024DATA'!$F$32,"")</f>
        <v/>
      </c>
      <c r="AJ263" s="518" t="str">
        <f>IF(AND(_B="A-319",'2024'!$J$4="FO",'2024'!$J$2=AJ233),'2024DATA'!$G$32,"")</f>
        <v/>
      </c>
      <c r="AK263" s="518" t="str">
        <f>IF(AND(_B="A-319",'2024'!$J$4="FO",'2024'!$J$2=AK233),'2024DATA'!$H$32,"")</f>
        <v/>
      </c>
      <c r="AL263" s="518" t="str">
        <f>IF(AND(_B="A-319",'2024'!$J$4="FO",'2024'!$J$2=AL233),'2024DATA'!$I$32,"")</f>
        <v/>
      </c>
      <c r="AM263" s="518" t="str">
        <f>IF(AND(_B="A-319",'2024'!$J$4="FO",'2024'!$J$2=AM233),'2024DATA'!$J$32,"")</f>
        <v/>
      </c>
      <c r="AN263" s="518" t="str">
        <f>IF(AND(_B="A-319",'2024'!$J$4="FO",'2024'!$J$2=AN233),'2024DATA'!$K$32,"")</f>
        <v/>
      </c>
      <c r="AO263" s="518" t="str">
        <f>IF(AND(_B="A-319",'2024'!$J$4="FO",'2024'!$J$2=AO233),'2024DATA'!$L$32,"")</f>
        <v/>
      </c>
      <c r="AP263" s="518" t="str">
        <f>IF(AND(_B="A-319",'2024'!$J$4="FO",'2024'!$J$2=AP233),'2024DATA'!$M$32,"")</f>
        <v/>
      </c>
      <c r="AQ263" s="520" t="str">
        <f>IF(AND(_B="A-319",'2024'!$J$4="FO",'2024'!$J$2=AQ233),'2024DATA'!$N$32,"")</f>
        <v/>
      </c>
      <c r="AR263" s="940"/>
      <c r="AS263" s="13" t="s">
        <v>62</v>
      </c>
      <c r="AT263" s="518" t="str">
        <f>IF(AND(_C="A-319",'2024'!$J$4="FO",'2024'!$J$2=AT233),'2024DATA'!$C$32,"")</f>
        <v/>
      </c>
      <c r="AU263" s="518" t="str">
        <f>IF(AND(_C="A-319",'2024'!$J$4="FO",'2024'!$J$2=AU233),'2024DATA'!$D$32,"")</f>
        <v/>
      </c>
      <c r="AV263" s="518" t="str">
        <f>IF(AND(_C="A-319",'2024'!$J$4="FO",'2024'!$J$2=AV233),'2024DATA'!$E$32,"")</f>
        <v/>
      </c>
      <c r="AW263" s="518" t="str">
        <f>IF(AND(_C="A-319",'2024'!$J$4="FO",'2024'!$J$2=AW233),'2024DATA'!$F$32,"")</f>
        <v/>
      </c>
      <c r="AX263" s="518" t="str">
        <f>IF(AND(_C="A-319",'2024'!$J$4="FO",'2024'!$J$2=AX233),'2024DATA'!$G$32,"")</f>
        <v/>
      </c>
      <c r="AY263" s="518" t="str">
        <f>IF(AND(_C="A-319",'2024'!$J$4="FO",'2024'!$J$2=AY233),'2024DATA'!$H$32,"")</f>
        <v/>
      </c>
      <c r="AZ263" s="518" t="str">
        <f>IF(AND(_C="A-319",'2024'!$J$4="FO",'2024'!$J$2=AZ233),'2024DATA'!$I$32,"")</f>
        <v/>
      </c>
      <c r="BA263" s="518" t="str">
        <f>IF(AND(_C="A-319",'2024'!$J$4="FO",'2024'!$J$2=BA233),'2024DATA'!$J$32,"")</f>
        <v/>
      </c>
      <c r="BB263" s="518" t="str">
        <f>IF(AND(_C="A-319",'2024'!$J$4="FO",'2024'!$J$2=BB233),'2024DATA'!$K$32,"")</f>
        <v/>
      </c>
      <c r="BC263" s="518" t="str">
        <f>IF(AND(_C="A-319",'2024'!$J$4="FO",'2024'!$J$2=BC233),'2024DATA'!$L$32,"")</f>
        <v/>
      </c>
      <c r="BD263" s="518" t="str">
        <f>IF(AND(_C="A-319",'2024'!$J$4="FO",'2024'!$J$2=BD233),'2024DATA'!$M$32,"")</f>
        <v/>
      </c>
      <c r="BE263" s="520" t="str">
        <f>IF(AND(_C="A-319",'2024'!$J$4="FO",'2024'!$J$2=BE233),'2024DATA'!$N$32,"")</f>
        <v/>
      </c>
      <c r="BF263" s="940"/>
      <c r="BG263" s="13" t="s">
        <v>62</v>
      </c>
      <c r="BH263" s="518" t="str">
        <f>IF(AND(_D="A-319",'2024'!$J$4="FO",'2024'!$J$2=BH233),'2024DATA'!$C$32,"")</f>
        <v/>
      </c>
      <c r="BI263" s="518" t="str">
        <f>IF(AND(_D="A-319",'2024'!$J$4="FO",'2024'!$J$2=BI233),'2024DATA'!$D$32,"")</f>
        <v/>
      </c>
      <c r="BJ263" s="518" t="str">
        <f>IF(AND(_D="A-319",'2024'!$J$4="FO",'2024'!$J$2=BJ233),'2024DATA'!$E$32,"")</f>
        <v/>
      </c>
      <c r="BK263" s="518" t="str">
        <f>IF(AND(_D="A-319",'2024'!$J$4="FO",'2024'!$J$2=BK233),'2024DATA'!$F$32,"")</f>
        <v/>
      </c>
      <c r="BL263" s="518" t="str">
        <f>IF(AND(_D="A-319",'2024'!$J$4="FO",'2024'!$J$2=BL233),'2024DATA'!$G$32,"")</f>
        <v/>
      </c>
      <c r="BM263" s="518" t="str">
        <f>IF(AND(_D="A-319",'2024'!$J$4="FO",'2024'!$J$2=BM233),'2024DATA'!$H$32,"")</f>
        <v/>
      </c>
      <c r="BN263" s="518" t="str">
        <f>IF(AND(_D="A-319",'2024'!$J$4="FO",'2024'!$J$2=BN233),'2024DATA'!$I$32,"")</f>
        <v/>
      </c>
      <c r="BO263" s="518" t="str">
        <f>IF(AND(_D="A-319",'2024'!$J$4="FO",'2024'!$J$2=BO233),'2024DATA'!$J$32,"")</f>
        <v/>
      </c>
      <c r="BP263" s="518" t="str">
        <f>IF(AND(_D="A-319",'2024'!$J$4="FO",'2024'!$J$2=BP233),'2024DATA'!$K$32,"")</f>
        <v/>
      </c>
      <c r="BQ263" s="518" t="str">
        <f>IF(AND(_D="A-319",'2024'!$J$4="FO",'2024'!$J$2=BQ233),'2024DATA'!$L$32,"")</f>
        <v/>
      </c>
      <c r="BR263" s="518" t="str">
        <f>IF(AND(_D="A-319",'2024'!$J$4="FO",'2024'!$J$2=BR233),'2024DATA'!$M$32,"")</f>
        <v/>
      </c>
      <c r="BS263" s="520" t="str">
        <f>IF(AND(_D="A-319",'2024'!$J$4="FO",'2024'!$J$2=BS233),'2024DATA'!$N$32,"")</f>
        <v/>
      </c>
      <c r="BT263" s="940"/>
      <c r="BU263" s="13" t="s">
        <v>62</v>
      </c>
      <c r="BV263" s="518" t="str">
        <f>IF(AND(_E="A-319",'2024'!$J$4="FO",'2024'!$J$2=BV233),'2024DATA'!$C$32,"")</f>
        <v/>
      </c>
      <c r="BW263" s="518" t="str">
        <f>IF(AND(_E="A-319",'2024'!$J$4="FO",'2024'!$J$2=BW233),'2024DATA'!$D$32,"")</f>
        <v/>
      </c>
      <c r="BX263" s="518" t="str">
        <f>IF(AND(_E="A-319",'2024'!$J$4="FO",'2024'!$J$2=BX233),'2024DATA'!$E$32,"")</f>
        <v/>
      </c>
      <c r="BY263" s="518" t="str">
        <f>IF(AND(_E="A-319",'2024'!$J$4="FO",'2024'!$J$2=BY233),'2024DATA'!$F$32,"")</f>
        <v/>
      </c>
      <c r="BZ263" s="518" t="str">
        <f>IF(AND(_E="A-319",'2024'!$J$4="FO",'2024'!$J$2=BZ233),'2024DATA'!$G$32,"")</f>
        <v/>
      </c>
      <c r="CA263" s="518" t="str">
        <f>IF(AND(_E="A-319",'2024'!$J$4="FO",'2024'!$J$2=CA233),'2024DATA'!$H$32,"")</f>
        <v/>
      </c>
      <c r="CB263" s="518" t="str">
        <f>IF(AND(_E="A-319",'2024'!$J$4="FO",'2024'!$J$2=CB233),'2024DATA'!$I$32,"")</f>
        <v/>
      </c>
      <c r="CC263" s="518" t="str">
        <f>IF(AND(_E="A-319",'2024'!$J$4="FO",'2024'!$J$2=CC233),'2024DATA'!$J$32,"")</f>
        <v/>
      </c>
      <c r="CD263" s="518" t="str">
        <f>IF(AND(_E="A-319",'2024'!$J$4="FO",'2024'!$J$2=CD233),'2024DATA'!$K$32,"")</f>
        <v/>
      </c>
      <c r="CE263" s="518" t="str">
        <f>IF(AND(_E="A-319",'2024'!$J$4="FO",'2024'!$J$2=CE233),'2024DATA'!$L$32,"")</f>
        <v/>
      </c>
      <c r="CF263" s="518" t="str">
        <f>IF(AND(_E="A-319",'2024'!$J$4="FO",'2024'!$J$2=CF233),'2024DATA'!$M$32,"")</f>
        <v/>
      </c>
      <c r="CG263" s="520" t="str">
        <f>IF(AND(_E="A-319",'2024'!$J$4="FO",'2024'!$J$2=CG233),'2024DATA'!$N$32,"")</f>
        <v/>
      </c>
      <c r="CH263" s="940"/>
      <c r="CI263" s="13" t="s">
        <v>62</v>
      </c>
      <c r="CJ263" s="518" t="str">
        <f>IF(AND(_F="A-319",'2024'!$J$4="FO",'2024'!$J$2=CJ233),'2024DATA'!$C$32,"")</f>
        <v/>
      </c>
      <c r="CK263" s="518" t="str">
        <f>IF(AND(_F="A-319",'2024'!$J$4="FO",'2024'!$J$2=CK233),'2024DATA'!$D$32,"")</f>
        <v/>
      </c>
      <c r="CL263" s="518" t="str">
        <f>IF(AND(_F="A-319",'2024'!$J$4="FO",'2024'!$J$2=CL233),'2024DATA'!$E$32,"")</f>
        <v/>
      </c>
      <c r="CM263" s="518" t="str">
        <f>IF(AND(_F="A-319",'2024'!$J$4="FO",'2024'!$J$2=CM233),'2024DATA'!$F$32,"")</f>
        <v/>
      </c>
      <c r="CN263" s="518" t="str">
        <f>IF(AND(_F="A-319",'2024'!$J$4="FO",'2024'!$J$2=CN233),'2024DATA'!$G$32,"")</f>
        <v/>
      </c>
      <c r="CO263" s="518" t="str">
        <f>IF(AND(_F="A-319",'2024'!$J$4="FO",'2024'!$J$2=CO233),'2024DATA'!$H$32,"")</f>
        <v/>
      </c>
      <c r="CP263" s="518" t="str">
        <f>IF(AND(_F="A-319",'2024'!$J$4="FO",'2024'!$J$2=CP233),'2024DATA'!$I$32,"")</f>
        <v/>
      </c>
      <c r="CQ263" s="518" t="str">
        <f>IF(AND(_F="A-319",'2024'!$J$4="FO",'2024'!$J$2=CQ233),'2024DATA'!$J$32,"")</f>
        <v/>
      </c>
      <c r="CR263" s="518" t="str">
        <f>IF(AND(_F="A-319",'2024'!$J$4="FO",'2024'!$J$2=CR233),'2024DATA'!$K$32,"")</f>
        <v/>
      </c>
      <c r="CS263" s="518" t="str">
        <f>IF(AND(_F="A-319",'2024'!$J$4="FO",'2024'!$J$2=CS233),'2024DATA'!$L$32,"")</f>
        <v/>
      </c>
      <c r="CT263" s="518" t="str">
        <f>IF(AND(_F="A-319",'2024'!$J$4="FO",'2024'!$J$2=CT233),'2024DATA'!$M$32,"")</f>
        <v/>
      </c>
      <c r="CU263" s="520" t="str">
        <f>IF(AND(_F="A-319",'2024'!$J$4="FO",'2024'!$J$2=CU233),'2024DATA'!$N$32,"")</f>
        <v/>
      </c>
    </row>
    <row r="264" spans="16:99" x14ac:dyDescent="0.25">
      <c r="P264" s="940" t="s">
        <v>51</v>
      </c>
      <c r="Q264" s="13" t="s">
        <v>61</v>
      </c>
      <c r="R264" s="518" t="str">
        <f>IF(AND(_A="A-220-300",'2024'!$J$4="CA",'2024'!$J$2=R233),'2024DATA'!$C$33,"")</f>
        <v/>
      </c>
      <c r="S264" s="518" t="str">
        <f>IF(AND(_A="A-220-300",'2024'!$J$4="CA",'2024'!$J$2=S233),'2024DATA'!$D$33,"")</f>
        <v/>
      </c>
      <c r="T264" s="518" t="str">
        <f>IF(AND(_A="A-220-300",'2024'!$J$4="CA",'2024'!$J$2=T233),'2024DATA'!$E$33,"")</f>
        <v/>
      </c>
      <c r="U264" s="518" t="str">
        <f>IF(AND(_A="A-220-300",'2024'!$J$4="CA",'2024'!$J$2=U233),'2024DATA'!$F$33,"")</f>
        <v/>
      </c>
      <c r="V264" s="518" t="str">
        <f>IF(AND(_A="A-220-300",'2024'!$J$4="CA",'2024'!$J$2=V233),'2024DATA'!$G$33,"")</f>
        <v/>
      </c>
      <c r="W264" s="518" t="str">
        <f>IF(AND(_A="A-220-300",'2024'!$J$4="CA",'2024'!$J$2=W233),'2024DATA'!$H$33,"")</f>
        <v/>
      </c>
      <c r="X264" s="518" t="str">
        <f>IF(AND(_A="A-220-300",'2024'!$J$4="CA",'2024'!$J$2=X233),'2024DATA'!$I$33,"")</f>
        <v/>
      </c>
      <c r="Y264" s="518" t="str">
        <f>IF(AND(_A="A-220-300",'2024'!$J$4="CA",'2024'!$J$2=Y233),'2024DATA'!$J$33,"")</f>
        <v/>
      </c>
      <c r="Z264" s="518" t="str">
        <f>IF(AND(_A="A-220-300",'2024'!$J$4="CA",'2024'!$J$2=Z233),'2024DATA'!$K$33,"")</f>
        <v/>
      </c>
      <c r="AA264" s="518" t="str">
        <f>IF(AND(_A="A-220-300",'2024'!$J$4="CA",'2024'!$J$2=AA233),'2024DATA'!$L$33,"")</f>
        <v/>
      </c>
      <c r="AB264" s="518" t="str">
        <f>IF(AND(_A="A-220-300",'2024'!$J$4="CA",'2024'!$J$2=AB233),'2024DATA'!$M$33,"")</f>
        <v/>
      </c>
      <c r="AC264" s="520" t="str">
        <f>IF(AND(_A="A-220-300",'2024'!$J$4="CA",'2024'!$J$2=AC233),'2024DATA'!$N$33,"")</f>
        <v/>
      </c>
      <c r="AD264" s="940" t="s">
        <v>51</v>
      </c>
      <c r="AE264" s="13" t="s">
        <v>61</v>
      </c>
      <c r="AF264" s="518" t="str">
        <f>IF(AND(_B="A-220-300",'2024'!$J$4="CA",'2024'!$J$2=AF233),'2024DATA'!$C$33,"")</f>
        <v/>
      </c>
      <c r="AG264" s="518" t="str">
        <f>IF(AND(_B="A-220-300",'2024'!$J$4="CA",'2024'!$J$2=AG233),'2024DATA'!$D$33,"")</f>
        <v/>
      </c>
      <c r="AH264" s="518" t="str">
        <f>IF(AND(_B="A-220-300",'2024'!$J$4="CA",'2024'!$J$2=AH233),'2024DATA'!$E$33,"")</f>
        <v/>
      </c>
      <c r="AI264" s="518" t="str">
        <f>IF(AND(_B="A-220-300",'2024'!$J$4="CA",'2024'!$J$2=AI233),'2024DATA'!$F$33,"")</f>
        <v/>
      </c>
      <c r="AJ264" s="518" t="str">
        <f>IF(AND(_B="A-220-300",'2024'!$J$4="CA",'2024'!$J$2=AJ233),'2024DATA'!$G$33,"")</f>
        <v/>
      </c>
      <c r="AK264" s="518" t="str">
        <f>IF(AND(_B="A-220-300",'2024'!$J$4="CA",'2024'!$J$2=AK233),'2024DATA'!$H$33,"")</f>
        <v/>
      </c>
      <c r="AL264" s="518" t="str">
        <f>IF(AND(_B="A-220-300",'2024'!$J$4="CA",'2024'!$J$2=AL233),'2024DATA'!$I$33,"")</f>
        <v/>
      </c>
      <c r="AM264" s="518" t="str">
        <f>IF(AND(_B="A-220-300",'2024'!$J$4="CA",'2024'!$J$2=AM233),'2024DATA'!$J$33,"")</f>
        <v/>
      </c>
      <c r="AN264" s="518" t="str">
        <f>IF(AND(_B="A-220-300",'2024'!$J$4="CA",'2024'!$J$2=AN233),'2024DATA'!$K$33,"")</f>
        <v/>
      </c>
      <c r="AO264" s="518" t="str">
        <f>IF(AND(_B="A-220-300",'2024'!$J$4="CA",'2024'!$J$2=AO233),'2024DATA'!$L$33,"")</f>
        <v/>
      </c>
      <c r="AP264" s="518" t="str">
        <f>IF(AND(_B="A-220-300",'2024'!$J$4="CA",'2024'!$J$2=AP233),'2024DATA'!$M$33,"")</f>
        <v/>
      </c>
      <c r="AQ264" s="520" t="str">
        <f>IF(AND(_B="A-220-300",'2024'!$J$4="CA",'2024'!$J$2=AQ233),'2024DATA'!$N$33,"")</f>
        <v/>
      </c>
      <c r="AR264" s="940" t="s">
        <v>51</v>
      </c>
      <c r="AS264" s="13" t="s">
        <v>61</v>
      </c>
      <c r="AT264" s="518" t="str">
        <f>IF(AND(_C="A-220-300",'2024'!$J$4="CA",'2024'!$J$2=AT233),'2024DATA'!$C$33,"")</f>
        <v/>
      </c>
      <c r="AU264" s="518" t="str">
        <f>IF(AND(_C="A-220-300",'2024'!$J$4="CA",'2024'!$J$2=AU233),'2024DATA'!$D$33,"")</f>
        <v/>
      </c>
      <c r="AV264" s="518" t="str">
        <f>IF(AND(_C="A-220-300",'2024'!$J$4="CA",'2024'!$J$2=AV233),'2024DATA'!$E$33,"")</f>
        <v/>
      </c>
      <c r="AW264" s="518" t="str">
        <f>IF(AND(_C="A-220-300",'2024'!$J$4="CA",'2024'!$J$2=AW233),'2024DATA'!$F$33,"")</f>
        <v/>
      </c>
      <c r="AX264" s="518" t="str">
        <f>IF(AND(_C="A-220-300",'2024'!$J$4="CA",'2024'!$J$2=AX233),'2024DATA'!$G$33,"")</f>
        <v/>
      </c>
      <c r="AY264" s="518" t="str">
        <f>IF(AND(_C="A-220-300",'2024'!$J$4="CA",'2024'!$J$2=AY233),'2024DATA'!$H$33,"")</f>
        <v/>
      </c>
      <c r="AZ264" s="518" t="str">
        <f>IF(AND(_C="A-220-300",'2024'!$J$4="CA",'2024'!$J$2=AZ233),'2024DATA'!$I$33,"")</f>
        <v/>
      </c>
      <c r="BA264" s="518" t="str">
        <f>IF(AND(_C="A-220-300",'2024'!$J$4="CA",'2024'!$J$2=BA233),'2024DATA'!$J$33,"")</f>
        <v/>
      </c>
      <c r="BB264" s="518" t="str">
        <f>IF(AND(_C="A-220-300",'2024'!$J$4="CA",'2024'!$J$2=BB233),'2024DATA'!$K$33,"")</f>
        <v/>
      </c>
      <c r="BC264" s="518" t="str">
        <f>IF(AND(_C="A-220-300",'2024'!$J$4="CA",'2024'!$J$2=BC233),'2024DATA'!$L$33,"")</f>
        <v/>
      </c>
      <c r="BD264" s="518" t="str">
        <f>IF(AND(_C="A-220-300",'2024'!$J$4="CA",'2024'!$J$2=BD233),'2024DATA'!$M$33,"")</f>
        <v/>
      </c>
      <c r="BE264" s="520" t="str">
        <f>IF(AND(_C="A-220-300",'2024'!$J$4="CA",'2024'!$J$2=BE233),'2024DATA'!$N$33,"")</f>
        <v/>
      </c>
      <c r="BF264" s="940" t="s">
        <v>51</v>
      </c>
      <c r="BG264" s="13" t="s">
        <v>61</v>
      </c>
      <c r="BH264" s="518" t="str">
        <f>IF(AND(_D="A-220-300",'2024'!$J$4="CA",'2024'!$J$2=BH233),'2024DATA'!$C$33,"")</f>
        <v/>
      </c>
      <c r="BI264" s="518" t="str">
        <f>IF(AND(_D="A-220-300",'2024'!$J$4="CA",'2024'!$J$2=BI233),'2024DATA'!$D$33,"")</f>
        <v/>
      </c>
      <c r="BJ264" s="518" t="str">
        <f>IF(AND(_D="A-220-300",'2024'!$J$4="CA",'2024'!$J$2=BJ233),'2024DATA'!$E$33,"")</f>
        <v/>
      </c>
      <c r="BK264" s="518" t="str">
        <f>IF(AND(_D="A-220-300",'2024'!$J$4="CA",'2024'!$J$2=BK233),'2024DATA'!$F$33,"")</f>
        <v/>
      </c>
      <c r="BL264" s="518" t="str">
        <f>IF(AND(_D="A-220-300",'2024'!$J$4="CA",'2024'!$J$2=BL233),'2024DATA'!$G$33,"")</f>
        <v/>
      </c>
      <c r="BM264" s="518" t="str">
        <f>IF(AND(_D="A-220-300",'2024'!$J$4="CA",'2024'!$J$2=BM233),'2024DATA'!$H$33,"")</f>
        <v/>
      </c>
      <c r="BN264" s="518" t="str">
        <f>IF(AND(_D="A-220-300",'2024'!$J$4="CA",'2024'!$J$2=BN233),'2024DATA'!$I$33,"")</f>
        <v/>
      </c>
      <c r="BO264" s="518" t="str">
        <f>IF(AND(_D="A-220-300",'2024'!$J$4="CA",'2024'!$J$2=BO233),'2024DATA'!$J$33,"")</f>
        <v/>
      </c>
      <c r="BP264" s="518" t="str">
        <f>IF(AND(_D="A-220-300",'2024'!$J$4="CA",'2024'!$J$2=BP233),'2024DATA'!$K$33,"")</f>
        <v/>
      </c>
      <c r="BQ264" s="518" t="str">
        <f>IF(AND(_D="A-220-300",'2024'!$J$4="CA",'2024'!$J$2=BQ233),'2024DATA'!$L$33,"")</f>
        <v/>
      </c>
      <c r="BR264" s="518" t="str">
        <f>IF(AND(_D="A-220-300",'2024'!$J$4="CA",'2024'!$J$2=BR233),'2024DATA'!$M$33,"")</f>
        <v/>
      </c>
      <c r="BS264" s="520" t="str">
        <f>IF(AND(_D="A-220-300",'2024'!$J$4="CA",'2024'!$J$2=BS233),'2024DATA'!$N$33,"")</f>
        <v/>
      </c>
      <c r="BT264" s="940" t="s">
        <v>51</v>
      </c>
      <c r="BU264" s="13" t="s">
        <v>61</v>
      </c>
      <c r="BV264" s="518" t="str">
        <f>IF(AND(_E="A-220-300",'2024'!$J$4="CA",'2024'!$J$2=BV233),'2024DATA'!$C$33,"")</f>
        <v/>
      </c>
      <c r="BW264" s="518" t="str">
        <f>IF(AND(_E="A-220-300",'2024'!$J$4="CA",'2024'!$J$2=BW233),'2024DATA'!$D$33,"")</f>
        <v/>
      </c>
      <c r="BX264" s="518" t="str">
        <f>IF(AND(_E="A-220-300",'2024'!$J$4="CA",'2024'!$J$2=BX233),'2024DATA'!$E$33,"")</f>
        <v/>
      </c>
      <c r="BY264" s="518" t="str">
        <f>IF(AND(_E="A-220-300",'2024'!$J$4="CA",'2024'!$J$2=BY233),'2024DATA'!$F$33,"")</f>
        <v/>
      </c>
      <c r="BZ264" s="518" t="str">
        <f>IF(AND(_E="A-220-300",'2024'!$J$4="CA",'2024'!$J$2=BZ233),'2024DATA'!$G$33,"")</f>
        <v/>
      </c>
      <c r="CA264" s="518" t="str">
        <f>IF(AND(_E="A-220-300",'2024'!$J$4="CA",'2024'!$J$2=CA233),'2024DATA'!$H$33,"")</f>
        <v/>
      </c>
      <c r="CB264" s="518" t="str">
        <f>IF(AND(_E="A-220-300",'2024'!$J$4="CA",'2024'!$J$2=CB233),'2024DATA'!$I$33,"")</f>
        <v/>
      </c>
      <c r="CC264" s="518" t="str">
        <f>IF(AND(_E="A-220-300",'2024'!$J$4="CA",'2024'!$J$2=CC233),'2024DATA'!$J$33,"")</f>
        <v/>
      </c>
      <c r="CD264" s="518" t="str">
        <f>IF(AND(_E="A-220-300",'2024'!$J$4="CA",'2024'!$J$2=CD233),'2024DATA'!$K$33,"")</f>
        <v/>
      </c>
      <c r="CE264" s="518" t="str">
        <f>IF(AND(_E="A-220-300",'2024'!$J$4="CA",'2024'!$J$2=CE233),'2024DATA'!$L$33,"")</f>
        <v/>
      </c>
      <c r="CF264" s="518" t="str">
        <f>IF(AND(_E="A-220-300",'2024'!$J$4="CA",'2024'!$J$2=CF233),'2024DATA'!$M$33,"")</f>
        <v/>
      </c>
      <c r="CG264" s="520" t="str">
        <f>IF(AND(_E="A-220-300",'2024'!$J$4="CA",'2024'!$J$2=CG233),'2024DATA'!$N$33,"")</f>
        <v/>
      </c>
      <c r="CH264" s="940" t="s">
        <v>51</v>
      </c>
      <c r="CI264" s="13" t="s">
        <v>61</v>
      </c>
      <c r="CJ264" s="518" t="str">
        <f>IF(AND(_F="A-220-300",'2024'!$J$4="CA",'2024'!$J$2=CJ233),'2024DATA'!$C$33,"")</f>
        <v/>
      </c>
      <c r="CK264" s="518" t="str">
        <f>IF(AND(_F="A-220-300",'2024'!$J$4="CA",'2024'!$J$2=CK233),'2024DATA'!$D$33,"")</f>
        <v/>
      </c>
      <c r="CL264" s="518" t="str">
        <f>IF(AND(_F="A-220-300",'2024'!$J$4="CA",'2024'!$J$2=CL233),'2024DATA'!$E$33,"")</f>
        <v/>
      </c>
      <c r="CM264" s="518" t="str">
        <f>IF(AND(_F="A-220-300",'2024'!$J$4="CA",'2024'!$J$2=CM233),'2024DATA'!$F$33,"")</f>
        <v/>
      </c>
      <c r="CN264" s="518" t="str">
        <f>IF(AND(_F="A-220-300",'2024'!$J$4="CA",'2024'!$J$2=CN233),'2024DATA'!$G$33,"")</f>
        <v/>
      </c>
      <c r="CO264" s="518" t="str">
        <f>IF(AND(_F="A-220-300",'2024'!$J$4="CA",'2024'!$J$2=CO233),'2024DATA'!$H$33,"")</f>
        <v/>
      </c>
      <c r="CP264" s="518" t="str">
        <f>IF(AND(_F="A-220-300",'2024'!$J$4="CA",'2024'!$J$2=CP233),'2024DATA'!$I$33,"")</f>
        <v/>
      </c>
      <c r="CQ264" s="518" t="str">
        <f>IF(AND(_F="A-220-300",'2024'!$J$4="CA",'2024'!$J$2=CQ233),'2024DATA'!$J$33,"")</f>
        <v/>
      </c>
      <c r="CR264" s="518" t="str">
        <f>IF(AND(_F="A-220-300",'2024'!$J$4="CA",'2024'!$J$2=CR233),'2024DATA'!$K$33,"")</f>
        <v/>
      </c>
      <c r="CS264" s="518" t="str">
        <f>IF(AND(_F="A-220-300",'2024'!$J$4="CA",'2024'!$J$2=CS233),'2024DATA'!$L$33,"")</f>
        <v/>
      </c>
      <c r="CT264" s="518" t="str">
        <f>IF(AND(_F="A-220-300",'2024'!$J$4="CA",'2024'!$J$2=CT233),'2024DATA'!$M$33,"")</f>
        <v/>
      </c>
      <c r="CU264" s="520" t="str">
        <f>IF(AND(_F="A-220-300",'2024'!$J$4="CA",'2024'!$J$2=CU233),'2024DATA'!$N$33,"")</f>
        <v/>
      </c>
    </row>
    <row r="265" spans="16:99" x14ac:dyDescent="0.25">
      <c r="P265" s="940"/>
      <c r="Q265" s="13" t="s">
        <v>62</v>
      </c>
      <c r="R265" s="518" t="str">
        <f>IF(AND(_A="A-220-300",'2024'!$J$4="FO",'2024'!$J$2=R233),'2024DATA'!$C$34,"")</f>
        <v/>
      </c>
      <c r="S265" s="518" t="str">
        <f>IF(AND(_A="A-220-300",'2024'!$J$4="FO",'2024'!$J$2=S233),'2024DATA'!$D$34,"")</f>
        <v/>
      </c>
      <c r="T265" s="518" t="str">
        <f>IF(AND(_A="A-220-300",'2024'!$J$4="FO",'2024'!$J$2=T233),'2024DATA'!$E$34,"")</f>
        <v/>
      </c>
      <c r="U265" s="518" t="str">
        <f>IF(AND(_A="A-220-300",'2024'!$J$4="FO",'2024'!$J$2=U233),'2024DATA'!$F$34,"")</f>
        <v/>
      </c>
      <c r="V265" s="518" t="str">
        <f>IF(AND(_A="A-220-300",'2024'!$J$4="FO",'2024'!$J$2=V233),'2024DATA'!$G$34,"")</f>
        <v/>
      </c>
      <c r="W265" s="518" t="str">
        <f>IF(AND(_A="A-220-300",'2024'!$J$4="FO",'2024'!$J$2=W233),'2024DATA'!$H$34,"")</f>
        <v/>
      </c>
      <c r="X265" s="518" t="str">
        <f>IF(AND(_A="A-220-300",'2024'!$J$4="FO",'2024'!$J$2=X233),'2024DATA'!$I$34,"")</f>
        <v/>
      </c>
      <c r="Y265" s="518" t="str">
        <f>IF(AND(_A="A-220-300",'2024'!$J$4="FO",'2024'!$J$2=Y233),'2024DATA'!$J$34,"")</f>
        <v/>
      </c>
      <c r="Z265" s="518" t="str">
        <f>IF(AND(_A="A-220-300",'2024'!$J$4="FO",'2024'!$J$2=Z233),'2024DATA'!$K$34,"")</f>
        <v/>
      </c>
      <c r="AA265" s="518" t="str">
        <f>IF(AND(_A="A-220-300",'2024'!$J$4="FO",'2024'!$J$2=AA233),'2024DATA'!$L$34,"")</f>
        <v/>
      </c>
      <c r="AB265" s="518" t="str">
        <f>IF(AND(_A="A-220-300",'2024'!$J$4="FO",'2024'!$J$2=AB233),'2024DATA'!$M$34,"")</f>
        <v/>
      </c>
      <c r="AC265" s="520" t="str">
        <f>IF(AND(_A="A-220-300",'2024'!$J$4="FO",'2024'!$J$2=AC233),'2024DATA'!$N$34,"")</f>
        <v/>
      </c>
      <c r="AD265" s="940"/>
      <c r="AE265" s="13" t="s">
        <v>62</v>
      </c>
      <c r="AF265" s="518" t="str">
        <f>IF(AND(_B="A-220-300",'2024'!$J$4="FO",'2024'!$J$2=AF233),'2024DATA'!$C$34,"")</f>
        <v/>
      </c>
      <c r="AG265" s="518" t="str">
        <f>IF(AND(_B="A-220-300",'2024'!$J$4="FO",'2024'!$J$2=AG233),'2024DATA'!$D$34,"")</f>
        <v/>
      </c>
      <c r="AH265" s="518" t="str">
        <f>IF(AND(_B="A-220-300",'2024'!$J$4="FO",'2024'!$J$2=AH233),'2024DATA'!$E$34,"")</f>
        <v/>
      </c>
      <c r="AI265" s="518" t="str">
        <f>IF(AND(_B="A-220-300",'2024'!$J$4="FO",'2024'!$J$2=AI233),'2024DATA'!$F$34,"")</f>
        <v/>
      </c>
      <c r="AJ265" s="518" t="str">
        <f>IF(AND(_B="A-220-300",'2024'!$J$4="FO",'2024'!$J$2=AJ233),'2024DATA'!$G$34,"")</f>
        <v/>
      </c>
      <c r="AK265" s="518" t="str">
        <f>IF(AND(_B="A-220-300",'2024'!$J$4="FO",'2024'!$J$2=AK233),'2024DATA'!$H$34,"")</f>
        <v/>
      </c>
      <c r="AL265" s="518" t="str">
        <f>IF(AND(_B="A-220-300",'2024'!$J$4="FO",'2024'!$J$2=AL233),'2024DATA'!$I$34,"")</f>
        <v/>
      </c>
      <c r="AM265" s="518" t="str">
        <f>IF(AND(_B="A-220-300",'2024'!$J$4="FO",'2024'!$J$2=AM233),'2024DATA'!$J$34,"")</f>
        <v/>
      </c>
      <c r="AN265" s="518" t="str">
        <f>IF(AND(_B="A-220-300",'2024'!$J$4="FO",'2024'!$J$2=AN233),'2024DATA'!$K$34,"")</f>
        <v/>
      </c>
      <c r="AO265" s="518" t="str">
        <f>IF(AND(_B="A-220-300",'2024'!$J$4="FO",'2024'!$J$2=AO233),'2024DATA'!$L$34,"")</f>
        <v/>
      </c>
      <c r="AP265" s="518" t="str">
        <f>IF(AND(_B="A-220-300",'2024'!$J$4="FO",'2024'!$J$2=AP233),'2024DATA'!$M$34,"")</f>
        <v/>
      </c>
      <c r="AQ265" s="520" t="str">
        <f>IF(AND(_B="A-220-300",'2024'!$J$4="FO",'2024'!$J$2=AQ233),'2024DATA'!$N$34,"")</f>
        <v/>
      </c>
      <c r="AR265" s="940"/>
      <c r="AS265" s="13" t="s">
        <v>62</v>
      </c>
      <c r="AT265" s="518" t="str">
        <f>IF(AND(_C="A-220-300",'2024'!$J$4="FO",'2024'!$J$2=AT233),'2024DATA'!$C$34,"")</f>
        <v/>
      </c>
      <c r="AU265" s="518" t="str">
        <f>IF(AND(_C="A-220-300",'2024'!$J$4="FO",'2024'!$J$2=AU233),'2024DATA'!$D$34,"")</f>
        <v/>
      </c>
      <c r="AV265" s="518" t="str">
        <f>IF(AND(_C="A-220-300",'2024'!$J$4="FO",'2024'!$J$2=AV233),'2024DATA'!$E$34,"")</f>
        <v/>
      </c>
      <c r="AW265" s="518" t="str">
        <f>IF(AND(_C="A-220-300",'2024'!$J$4="FO",'2024'!$J$2=AW233),'2024DATA'!$F$34,"")</f>
        <v/>
      </c>
      <c r="AX265" s="518" t="str">
        <f>IF(AND(_C="A-220-300",'2024'!$J$4="FO",'2024'!$J$2=AX233),'2024DATA'!$G$34,"")</f>
        <v/>
      </c>
      <c r="AY265" s="518" t="str">
        <f>IF(AND(_C="A-220-300",'2024'!$J$4="FO",'2024'!$J$2=AY233),'2024DATA'!$H$34,"")</f>
        <v/>
      </c>
      <c r="AZ265" s="518" t="str">
        <f>IF(AND(_C="A-220-300",'2024'!$J$4="FO",'2024'!$J$2=AZ233),'2024DATA'!$I$34,"")</f>
        <v/>
      </c>
      <c r="BA265" s="518" t="str">
        <f>IF(AND(_C="A-220-300",'2024'!$J$4="FO",'2024'!$J$2=BA233),'2024DATA'!$J$34,"")</f>
        <v/>
      </c>
      <c r="BB265" s="518" t="str">
        <f>IF(AND(_C="A-220-300",'2024'!$J$4="FO",'2024'!$J$2=BB233),'2024DATA'!$K$34,"")</f>
        <v/>
      </c>
      <c r="BC265" s="518" t="str">
        <f>IF(AND(_C="A-220-300",'2024'!$J$4="FO",'2024'!$J$2=BC233),'2024DATA'!$L$34,"")</f>
        <v/>
      </c>
      <c r="BD265" s="518" t="str">
        <f>IF(AND(_C="A-220-300",'2024'!$J$4="FO",'2024'!$J$2=BD233),'2024DATA'!$M$34,"")</f>
        <v/>
      </c>
      <c r="BE265" s="520" t="str">
        <f>IF(AND(_C="A-220-300",'2024'!$J$4="FO",'2024'!$J$2=BE233),'2024DATA'!$N$34,"")</f>
        <v/>
      </c>
      <c r="BF265" s="940"/>
      <c r="BG265" s="13" t="s">
        <v>62</v>
      </c>
      <c r="BH265" s="518" t="str">
        <f>IF(AND(_D="A-220-300",'2024'!$J$4="FO",'2024'!$J$2=BH233),'2024DATA'!$C$34,"")</f>
        <v/>
      </c>
      <c r="BI265" s="518" t="str">
        <f>IF(AND(_D="A-220-300",'2024'!$J$4="FO",'2024'!$J$2=BI233),'2024DATA'!$D$34,"")</f>
        <v/>
      </c>
      <c r="BJ265" s="518" t="str">
        <f>IF(AND(_D="A-220-300",'2024'!$J$4="FO",'2024'!$J$2=BJ233),'2024DATA'!$E$34,"")</f>
        <v/>
      </c>
      <c r="BK265" s="518" t="str">
        <f>IF(AND(_D="A-220-300",'2024'!$J$4="FO",'2024'!$J$2=BK233),'2024DATA'!$F$34,"")</f>
        <v/>
      </c>
      <c r="BL265" s="518" t="str">
        <f>IF(AND(_D="A-220-300",'2024'!$J$4="FO",'2024'!$J$2=BL233),'2024DATA'!$G$34,"")</f>
        <v/>
      </c>
      <c r="BM265" s="518" t="str">
        <f>IF(AND(_D="A-220-300",'2024'!$J$4="FO",'2024'!$J$2=BM233),'2024DATA'!$H$34,"")</f>
        <v/>
      </c>
      <c r="BN265" s="518" t="str">
        <f>IF(AND(_D="A-220-300",'2024'!$J$4="FO",'2024'!$J$2=BN233),'2024DATA'!$I$34,"")</f>
        <v/>
      </c>
      <c r="BO265" s="518" t="str">
        <f>IF(AND(_D="A-220-300",'2024'!$J$4="FO",'2024'!$J$2=BO233),'2024DATA'!$J$34,"")</f>
        <v/>
      </c>
      <c r="BP265" s="518" t="str">
        <f>IF(AND(_D="A-220-300",'2024'!$J$4="FO",'2024'!$J$2=BP233),'2024DATA'!$K$34,"")</f>
        <v/>
      </c>
      <c r="BQ265" s="518" t="str">
        <f>IF(AND(_D="A-220-300",'2024'!$J$4="FO",'2024'!$J$2=BQ233),'2024DATA'!$L$34,"")</f>
        <v/>
      </c>
      <c r="BR265" s="518" t="str">
        <f>IF(AND(_D="A-220-300",'2024'!$J$4="FO",'2024'!$J$2=BR233),'2024DATA'!$M$34,"")</f>
        <v/>
      </c>
      <c r="BS265" s="520" t="str">
        <f>IF(AND(_D="A-220-300",'2024'!$J$4="FO",'2024'!$J$2=BS233),'2024DATA'!$N$34,"")</f>
        <v/>
      </c>
      <c r="BT265" s="940"/>
      <c r="BU265" s="13" t="s">
        <v>62</v>
      </c>
      <c r="BV265" s="518" t="str">
        <f>IF(AND(_E="A-220-300",'2024'!$J$4="FO",'2024'!$J$2=BV233),'2024DATA'!$C$34,"")</f>
        <v/>
      </c>
      <c r="BW265" s="518" t="str">
        <f>IF(AND(_E="A-220-300",'2024'!$J$4="FO",'2024'!$J$2=BW233),'2024DATA'!$D$34,"")</f>
        <v/>
      </c>
      <c r="BX265" s="518" t="str">
        <f>IF(AND(_E="A-220-300",'2024'!$J$4="FO",'2024'!$J$2=BX233),'2024DATA'!$E$34,"")</f>
        <v/>
      </c>
      <c r="BY265" s="518" t="str">
        <f>IF(AND(_E="A-220-300",'2024'!$J$4="FO",'2024'!$J$2=BY233),'2024DATA'!$F$34,"")</f>
        <v/>
      </c>
      <c r="BZ265" s="518" t="str">
        <f>IF(AND(_E="A-220-300",'2024'!$J$4="FO",'2024'!$J$2=BZ233),'2024DATA'!$G$34,"")</f>
        <v/>
      </c>
      <c r="CA265" s="518" t="str">
        <f>IF(AND(_E="A-220-300",'2024'!$J$4="FO",'2024'!$J$2=CA233),'2024DATA'!$H$34,"")</f>
        <v/>
      </c>
      <c r="CB265" s="518" t="str">
        <f>IF(AND(_E="A-220-300",'2024'!$J$4="FO",'2024'!$J$2=CB233),'2024DATA'!$I$34,"")</f>
        <v/>
      </c>
      <c r="CC265" s="518" t="str">
        <f>IF(AND(_E="A-220-300",'2024'!$J$4="FO",'2024'!$J$2=CC233),'2024DATA'!$J$34,"")</f>
        <v/>
      </c>
      <c r="CD265" s="518" t="str">
        <f>IF(AND(_E="A-220-300",'2024'!$J$4="FO",'2024'!$J$2=CD233),'2024DATA'!$K$34,"")</f>
        <v/>
      </c>
      <c r="CE265" s="518" t="str">
        <f>IF(AND(_E="A-220-300",'2024'!$J$4="FO",'2024'!$J$2=CE233),'2024DATA'!$L$34,"")</f>
        <v/>
      </c>
      <c r="CF265" s="518" t="str">
        <f>IF(AND(_E="A-220-300",'2024'!$J$4="FO",'2024'!$J$2=CF233),'2024DATA'!$M$34,"")</f>
        <v/>
      </c>
      <c r="CG265" s="520" t="str">
        <f>IF(AND(_E="A-220-300",'2024'!$J$4="FO",'2024'!$J$2=CG233),'2024DATA'!$N$34,"")</f>
        <v/>
      </c>
      <c r="CH265" s="940"/>
      <c r="CI265" s="13" t="s">
        <v>62</v>
      </c>
      <c r="CJ265" s="518" t="str">
        <f>IF(AND(_F="A-220-300",'2024'!$J$4="FO",'2024'!$J$2=CJ233),'2024DATA'!$C$34,"")</f>
        <v/>
      </c>
      <c r="CK265" s="518" t="str">
        <f>IF(AND(_F="A-220-300",'2024'!$J$4="FO",'2024'!$J$2=CK233),'2024DATA'!$D$34,"")</f>
        <v/>
      </c>
      <c r="CL265" s="518" t="str">
        <f>IF(AND(_F="A-220-300",'2024'!$J$4="FO",'2024'!$J$2=CL233),'2024DATA'!$E$34,"")</f>
        <v/>
      </c>
      <c r="CM265" s="518" t="str">
        <f>IF(AND(_F="A-220-300",'2024'!$J$4="FO",'2024'!$J$2=CM233),'2024DATA'!$F$34,"")</f>
        <v/>
      </c>
      <c r="CN265" s="518" t="str">
        <f>IF(AND(_F="A-220-300",'2024'!$J$4="FO",'2024'!$J$2=CN233),'2024DATA'!$G$34,"")</f>
        <v/>
      </c>
      <c r="CO265" s="518" t="str">
        <f>IF(AND(_F="A-220-300",'2024'!$J$4="FO",'2024'!$J$2=CO233),'2024DATA'!$H$34,"")</f>
        <v/>
      </c>
      <c r="CP265" s="518" t="str">
        <f>IF(AND(_F="A-220-300",'2024'!$J$4="FO",'2024'!$J$2=CP233),'2024DATA'!$I$34,"")</f>
        <v/>
      </c>
      <c r="CQ265" s="518" t="str">
        <f>IF(AND(_F="A-220-300",'2024'!$J$4="FO",'2024'!$J$2=CQ233),'2024DATA'!$J$34,"")</f>
        <v/>
      </c>
      <c r="CR265" s="518" t="str">
        <f>IF(AND(_F="A-220-300",'2024'!$J$4="FO",'2024'!$J$2=CR233),'2024DATA'!$K$34,"")</f>
        <v/>
      </c>
      <c r="CS265" s="518" t="str">
        <f>IF(AND(_F="A-220-300",'2024'!$J$4="FO",'2024'!$J$2=CS233),'2024DATA'!$L$34,"")</f>
        <v/>
      </c>
      <c r="CT265" s="518" t="str">
        <f>IF(AND(_F="A-220-300",'2024'!$J$4="FO",'2024'!$J$2=CT233),'2024DATA'!$M$34,"")</f>
        <v/>
      </c>
      <c r="CU265" s="520" t="str">
        <f>IF(AND(_F="A-220-300",'2024'!$J$4="FO",'2024'!$J$2=CU233),'2024DATA'!$N$34,"")</f>
        <v/>
      </c>
    </row>
    <row r="266" spans="16:99" x14ac:dyDescent="0.25">
      <c r="P266" s="940" t="s">
        <v>52</v>
      </c>
      <c r="Q266" s="13" t="s">
        <v>61</v>
      </c>
      <c r="R266" s="518" t="str">
        <f>IF(AND(_A="A-220-100",'2024'!$J$4="CA",'2024'!$J$2=R233),'2024DATA'!$C$35,"")</f>
        <v/>
      </c>
      <c r="S266" s="518" t="str">
        <f>IF(AND(_A="A-220-100",'2024'!$J$4="CA",'2024'!$J$2=S233),'2024DATA'!$D$35,"")</f>
        <v/>
      </c>
      <c r="T266" s="518" t="str">
        <f>IF(AND(_A="A-220-100",'2024'!$J$4="CA",'2024'!$J$2=T233),'2024DATA'!$E$35,"")</f>
        <v/>
      </c>
      <c r="U266" s="518" t="str">
        <f>IF(AND(_A="A-220-100",'2024'!$J$4="CA",'2024'!$J$2=U233),'2024DATA'!$F$35,"")</f>
        <v/>
      </c>
      <c r="V266" s="518" t="str">
        <f>IF(AND(_A="A-220-100",'2024'!$J$4="CA",'2024'!$J$2=V233),'2024DATA'!$G$35,"")</f>
        <v/>
      </c>
      <c r="W266" s="518" t="str">
        <f>IF(AND(_A="A-220-100",'2024'!$J$4="CA",'2024'!$J$2=W233),'2024DATA'!$H$35,"")</f>
        <v/>
      </c>
      <c r="X266" s="518" t="str">
        <f>IF(AND(_A="A-220-100",'2024'!$J$4="CA",'2024'!$J$2=X233),'2024DATA'!$I$35,"")</f>
        <v/>
      </c>
      <c r="Y266" s="518" t="str">
        <f>IF(AND(_A="A-220-100",'2024'!$J$4="CA",'2024'!$J$2=Y233),'2024DATA'!$J$35,"")</f>
        <v/>
      </c>
      <c r="Z266" s="518" t="str">
        <f>IF(AND(_A="A-220-100",'2024'!$J$4="CA",'2024'!$J$2=Z233),'2024DATA'!$K$35,"")</f>
        <v/>
      </c>
      <c r="AA266" s="518" t="str">
        <f>IF(AND(_A="A-220-100",'2024'!$J$4="CA",'2024'!$J$2=AA233),'2024DATA'!$L$35,"")</f>
        <v/>
      </c>
      <c r="AB266" s="518" t="str">
        <f>IF(AND(_A="A-220-100",'2024'!$J$4="CA",'2024'!$J$2=AB233),'2024DATA'!$M$35,"")</f>
        <v/>
      </c>
      <c r="AC266" s="520" t="str">
        <f>IF(AND(_A="A-220-100",'2024'!$J$4="CA",'2024'!$J$2=AC233),'2024DATA'!$N$35,"")</f>
        <v/>
      </c>
      <c r="AD266" s="940" t="s">
        <v>52</v>
      </c>
      <c r="AE266" s="13" t="s">
        <v>61</v>
      </c>
      <c r="AF266" s="518" t="str">
        <f>IF(AND(_B="A-220-100",'2024'!$J$4="CA",'2024'!$J$2=AF233),'2024DATA'!$C$35,"")</f>
        <v/>
      </c>
      <c r="AG266" s="518" t="str">
        <f>IF(AND(_B="A-220-100",'2024'!$J$4="CA",'2024'!$J$2=AG233),'2024DATA'!$D$35,"")</f>
        <v/>
      </c>
      <c r="AH266" s="518" t="str">
        <f>IF(AND(_B="A-220-100",'2024'!$J$4="CA",'2024'!$J$2=AH233),'2024DATA'!$E$35,"")</f>
        <v/>
      </c>
      <c r="AI266" s="518" t="str">
        <f>IF(AND(_B="A-220-100",'2024'!$J$4="CA",'2024'!$J$2=AI233),'2024DATA'!$F$35,"")</f>
        <v/>
      </c>
      <c r="AJ266" s="518" t="str">
        <f>IF(AND(_B="A-220-100",'2024'!$J$4="CA",'2024'!$J$2=AJ233),'2024DATA'!$G$35,"")</f>
        <v/>
      </c>
      <c r="AK266" s="518" t="str">
        <f>IF(AND(_B="A-220-100",'2024'!$J$4="CA",'2024'!$J$2=AK233),'2024DATA'!$H$35,"")</f>
        <v/>
      </c>
      <c r="AL266" s="518" t="str">
        <f>IF(AND(_B="A-220-100",'2024'!$J$4="CA",'2024'!$J$2=AL233),'2024DATA'!$I$35,"")</f>
        <v/>
      </c>
      <c r="AM266" s="518" t="str">
        <f>IF(AND(_B="A-220-100",'2024'!$J$4="CA",'2024'!$J$2=AM233),'2024DATA'!$J$35,"")</f>
        <v/>
      </c>
      <c r="AN266" s="518" t="str">
        <f>IF(AND(_B="A-220-100",'2024'!$J$4="CA",'2024'!$J$2=AN233),'2024DATA'!$K$35,"")</f>
        <v/>
      </c>
      <c r="AO266" s="518" t="str">
        <f>IF(AND(_B="A-220-100",'2024'!$J$4="CA",'2024'!$J$2=AO233),'2024DATA'!$L$35,"")</f>
        <v/>
      </c>
      <c r="AP266" s="518" t="str">
        <f>IF(AND(_B="A-220-100",'2024'!$J$4="CA",'2024'!$J$2=AP233),'2024DATA'!$M$35,"")</f>
        <v/>
      </c>
      <c r="AQ266" s="520" t="str">
        <f>IF(AND(_B="A-220-100",'2024'!$J$4="CA",'2024'!$J$2=AQ233),'2024DATA'!$N$35,"")</f>
        <v/>
      </c>
      <c r="AR266" s="940" t="s">
        <v>52</v>
      </c>
      <c r="AS266" s="13" t="s">
        <v>61</v>
      </c>
      <c r="AT266" s="518" t="str">
        <f>IF(AND(_C="A-220-100",'2024'!$J$4="CA",'2024'!$J$2=AT233),'2024DATA'!$C$35,"")</f>
        <v/>
      </c>
      <c r="AU266" s="518" t="str">
        <f>IF(AND(_C="A-220-100",'2024'!$J$4="CA",'2024'!$J$2=AU233),'2024DATA'!$D$35,"")</f>
        <v/>
      </c>
      <c r="AV266" s="518" t="str">
        <f>IF(AND(_C="A-220-100",'2024'!$J$4="CA",'2024'!$J$2=AV233),'2024DATA'!$E$35,"")</f>
        <v/>
      </c>
      <c r="AW266" s="518" t="str">
        <f>IF(AND(_C="A-220-100",'2024'!$J$4="CA",'2024'!$J$2=AW233),'2024DATA'!$F$35,"")</f>
        <v/>
      </c>
      <c r="AX266" s="518" t="str">
        <f>IF(AND(_C="A-220-100",'2024'!$J$4="CA",'2024'!$J$2=AX233),'2024DATA'!$G$35,"")</f>
        <v/>
      </c>
      <c r="AY266" s="518" t="str">
        <f>IF(AND(_C="A-220-100",'2024'!$J$4="CA",'2024'!$J$2=AY233),'2024DATA'!$H$35,"")</f>
        <v/>
      </c>
      <c r="AZ266" s="518" t="str">
        <f>IF(AND(_C="A-220-100",'2024'!$J$4="CA",'2024'!$J$2=AZ233),'2024DATA'!$I$35,"")</f>
        <v/>
      </c>
      <c r="BA266" s="518" t="str">
        <f>IF(AND(_C="A-220-100",'2024'!$J$4="CA",'2024'!$J$2=BA233),'2024DATA'!$J$35,"")</f>
        <v/>
      </c>
      <c r="BB266" s="518" t="str">
        <f>IF(AND(_C="A-220-100",'2024'!$J$4="CA",'2024'!$J$2=BB233),'2024DATA'!$K$35,"")</f>
        <v/>
      </c>
      <c r="BC266" s="518" t="str">
        <f>IF(AND(_C="A-220-100",'2024'!$J$4="CA",'2024'!$J$2=BC233),'2024DATA'!$L$35,"")</f>
        <v/>
      </c>
      <c r="BD266" s="518" t="str">
        <f>IF(AND(_C="A-220-100",'2024'!$J$4="CA",'2024'!$J$2=BD233),'2024DATA'!$M$35,"")</f>
        <v/>
      </c>
      <c r="BE266" s="520" t="str">
        <f>IF(AND(_C="A-220-100",'2024'!$J$4="CA",'2024'!$J$2=BE233),'2024DATA'!$N$35,"")</f>
        <v/>
      </c>
      <c r="BF266" s="940" t="s">
        <v>52</v>
      </c>
      <c r="BG266" s="13" t="s">
        <v>61</v>
      </c>
      <c r="BH266" s="518" t="str">
        <f>IF(AND(_D="A-220-100",'2024'!$J$4="CA",'2024'!$J$2=BH233),'2024DATA'!$C$35,"")</f>
        <v/>
      </c>
      <c r="BI266" s="518" t="str">
        <f>IF(AND(_D="A-220-100",'2024'!$J$4="CA",'2024'!$J$2=BI233),'2024DATA'!$D$35,"")</f>
        <v/>
      </c>
      <c r="BJ266" s="518" t="str">
        <f>IF(AND(_D="A-220-100",'2024'!$J$4="CA",'2024'!$J$2=BJ233),'2024DATA'!$E$35,"")</f>
        <v/>
      </c>
      <c r="BK266" s="518" t="str">
        <f>IF(AND(_D="A-220-100",'2024'!$J$4="CA",'2024'!$J$2=BK233),'2024DATA'!$F$35,"")</f>
        <v/>
      </c>
      <c r="BL266" s="518" t="str">
        <f>IF(AND(_D="A-220-100",'2024'!$J$4="CA",'2024'!$J$2=BL233),'2024DATA'!$G$35,"")</f>
        <v/>
      </c>
      <c r="BM266" s="518" t="str">
        <f>IF(AND(_D="A-220-100",'2024'!$J$4="CA",'2024'!$J$2=BM233),'2024DATA'!$H$35,"")</f>
        <v/>
      </c>
      <c r="BN266" s="518" t="str">
        <f>IF(AND(_D="A-220-100",'2024'!$J$4="CA",'2024'!$J$2=BN233),'2024DATA'!$I$35,"")</f>
        <v/>
      </c>
      <c r="BO266" s="518" t="str">
        <f>IF(AND(_D="A-220-100",'2024'!$J$4="CA",'2024'!$J$2=BO233),'2024DATA'!$J$35,"")</f>
        <v/>
      </c>
      <c r="BP266" s="518" t="str">
        <f>IF(AND(_D="A-220-100",'2024'!$J$4="CA",'2024'!$J$2=BP233),'2024DATA'!$K$35,"")</f>
        <v/>
      </c>
      <c r="BQ266" s="518" t="str">
        <f>IF(AND(_D="A-220-100",'2024'!$J$4="CA",'2024'!$J$2=BQ233),'2024DATA'!$L$35,"")</f>
        <v/>
      </c>
      <c r="BR266" s="518" t="str">
        <f>IF(AND(_D="A-220-100",'2024'!$J$4="CA",'2024'!$J$2=BR233),'2024DATA'!$M$35,"")</f>
        <v/>
      </c>
      <c r="BS266" s="520" t="str">
        <f>IF(AND(_D="A-220-100",'2024'!$J$4="CA",'2024'!$J$2=BS233),'2024DATA'!$N$35,"")</f>
        <v/>
      </c>
      <c r="BT266" s="940" t="s">
        <v>52</v>
      </c>
      <c r="BU266" s="13" t="s">
        <v>61</v>
      </c>
      <c r="BV266" s="518" t="str">
        <f>IF(AND(_E="A-220-100",'2024'!$J$4="CA",'2024'!$J$2=BV233),'2024DATA'!$C$35,"")</f>
        <v/>
      </c>
      <c r="BW266" s="518" t="str">
        <f>IF(AND(_E="A-220-100",'2024'!$J$4="CA",'2024'!$J$2=BW233),'2024DATA'!$D$35,"")</f>
        <v/>
      </c>
      <c r="BX266" s="518" t="str">
        <f>IF(AND(_E="A-220-100",'2024'!$J$4="CA",'2024'!$J$2=BX233),'2024DATA'!$E$35,"")</f>
        <v/>
      </c>
      <c r="BY266" s="518" t="str">
        <f>IF(AND(_E="A-220-100",'2024'!$J$4="CA",'2024'!$J$2=BY233),'2024DATA'!$F$35,"")</f>
        <v/>
      </c>
      <c r="BZ266" s="518" t="str">
        <f>IF(AND(_E="A-220-100",'2024'!$J$4="CA",'2024'!$J$2=BZ233),'2024DATA'!$G$35,"")</f>
        <v/>
      </c>
      <c r="CA266" s="518" t="str">
        <f>IF(AND(_E="A-220-100",'2024'!$J$4="CA",'2024'!$J$2=CA233),'2024DATA'!$H$35,"")</f>
        <v/>
      </c>
      <c r="CB266" s="518" t="str">
        <f>IF(AND(_E="A-220-100",'2024'!$J$4="CA",'2024'!$J$2=CB233),'2024DATA'!$I$35,"")</f>
        <v/>
      </c>
      <c r="CC266" s="518" t="str">
        <f>IF(AND(_E="A-220-100",'2024'!$J$4="CA",'2024'!$J$2=CC233),'2024DATA'!$J$35,"")</f>
        <v/>
      </c>
      <c r="CD266" s="518" t="str">
        <f>IF(AND(_E="A-220-100",'2024'!$J$4="CA",'2024'!$J$2=CD233),'2024DATA'!$K$35,"")</f>
        <v/>
      </c>
      <c r="CE266" s="518" t="str">
        <f>IF(AND(_E="A-220-100",'2024'!$J$4="CA",'2024'!$J$2=CE233),'2024DATA'!$L$35,"")</f>
        <v/>
      </c>
      <c r="CF266" s="518" t="str">
        <f>IF(AND(_E="A-220-100",'2024'!$J$4="CA",'2024'!$J$2=CF233),'2024DATA'!$M$35,"")</f>
        <v/>
      </c>
      <c r="CG266" s="520" t="str">
        <f>IF(AND(_E="A-220-100",'2024'!$J$4="CA",'2024'!$J$2=CG233),'2024DATA'!$N$35,"")</f>
        <v/>
      </c>
      <c r="CH266" s="940" t="s">
        <v>52</v>
      </c>
      <c r="CI266" s="13" t="s">
        <v>61</v>
      </c>
      <c r="CJ266" s="518" t="str">
        <f>IF(AND(_F="A-220-100",'2024'!$J$4="CA",'2024'!$J$2=CJ233),'2024DATA'!$C$35,"")</f>
        <v/>
      </c>
      <c r="CK266" s="518" t="str">
        <f>IF(AND(_F="A-220-100",'2024'!$J$4="CA",'2024'!$J$2=CK233),'2024DATA'!$D$35,"")</f>
        <v/>
      </c>
      <c r="CL266" s="518" t="str">
        <f>IF(AND(_F="A-220-100",'2024'!$J$4="CA",'2024'!$J$2=CL233),'2024DATA'!$E$35,"")</f>
        <v/>
      </c>
      <c r="CM266" s="518" t="str">
        <f>IF(AND(_F="A-220-100",'2024'!$J$4="CA",'2024'!$J$2=CM233),'2024DATA'!$F$35,"")</f>
        <v/>
      </c>
      <c r="CN266" s="518" t="str">
        <f>IF(AND(_F="A-220-100",'2024'!$J$4="CA",'2024'!$J$2=CN233),'2024DATA'!$G$35,"")</f>
        <v/>
      </c>
      <c r="CO266" s="518" t="str">
        <f>IF(AND(_F="A-220-100",'2024'!$J$4="CA",'2024'!$J$2=CO233),'2024DATA'!$H$35,"")</f>
        <v/>
      </c>
      <c r="CP266" s="518" t="str">
        <f>IF(AND(_F="A-220-100",'2024'!$J$4="CA",'2024'!$J$2=CP233),'2024DATA'!$I$35,"")</f>
        <v/>
      </c>
      <c r="CQ266" s="518" t="str">
        <f>IF(AND(_F="A-220-100",'2024'!$J$4="CA",'2024'!$J$2=CQ233),'2024DATA'!$J$35,"")</f>
        <v/>
      </c>
      <c r="CR266" s="518" t="str">
        <f>IF(AND(_F="A-220-100",'2024'!$J$4="CA",'2024'!$J$2=CR233),'2024DATA'!$K$35,"")</f>
        <v/>
      </c>
      <c r="CS266" s="518" t="str">
        <f>IF(AND(_F="A-220-100",'2024'!$J$4="CA",'2024'!$J$2=CS233),'2024DATA'!$L$35,"")</f>
        <v/>
      </c>
      <c r="CT266" s="518" t="str">
        <f>IF(AND(_F="A-220-100",'2024'!$J$4="CA",'2024'!$J$2=CT233),'2024DATA'!$M$35,"")</f>
        <v/>
      </c>
      <c r="CU266" s="520" t="str">
        <f>IF(AND(_F="A-220-100",'2024'!$J$4="CA",'2024'!$J$2=CU233),'2024DATA'!$N$35,"")</f>
        <v/>
      </c>
    </row>
    <row r="267" spans="16:99" x14ac:dyDescent="0.25">
      <c r="P267" s="940"/>
      <c r="Q267" s="13" t="s">
        <v>62</v>
      </c>
      <c r="R267" s="518" t="str">
        <f>IF(AND(_A="A-220-100",'2024'!$J$4="FO",'2024'!$J$2=R233),'2024DATA'!$C$36,"")</f>
        <v/>
      </c>
      <c r="S267" s="518" t="str">
        <f>IF(AND(_A="A-220-100",'2024'!$J$4="FO",'2024'!$J$2=S233),'2024DATA'!$D$36,"")</f>
        <v/>
      </c>
      <c r="T267" s="518" t="str">
        <f>IF(AND(_A="A-220-100",'2024'!$J$4="FO",'2024'!$J$2=T233),'2024DATA'!$E$36,"")</f>
        <v/>
      </c>
      <c r="U267" s="518" t="str">
        <f>IF(AND(_A="A-220-100",'2024'!$J$4="FO",'2024'!$J$2=U233),'2024DATA'!$F$36,"")</f>
        <v/>
      </c>
      <c r="V267" s="518" t="str">
        <f>IF(AND(_A="A-220-100",'2024'!$J$4="FO",'2024'!$J$2=V233),'2024DATA'!$G$36,"")</f>
        <v/>
      </c>
      <c r="W267" s="518" t="str">
        <f>IF(AND(_A="A-220-100",'2024'!$J$4="FO",'2024'!$J$2=W233),'2024DATA'!$H$36,"")</f>
        <v/>
      </c>
      <c r="X267" s="518" t="str">
        <f>IF(AND(_A="A-220-100",'2024'!$J$4="FO",'2024'!$J$2=X233),'2024DATA'!$I$36,"")</f>
        <v/>
      </c>
      <c r="Y267" s="518" t="str">
        <f>IF(AND(_A="A-220-100",'2024'!$J$4="FO",'2024'!$J$2=Y233),'2024DATA'!$J$36,"")</f>
        <v/>
      </c>
      <c r="Z267" s="518" t="str">
        <f>IF(AND(_A="A-220-100",'2024'!$J$4="FO",'2024'!$J$2=Z233),'2024DATA'!$K$36,"")</f>
        <v/>
      </c>
      <c r="AA267" s="518" t="str">
        <f>IF(AND(_A="A-220-100",'2024'!$J$4="FO",'2024'!$J$2=AA233),'2024DATA'!$L$36,"")</f>
        <v/>
      </c>
      <c r="AB267" s="518" t="str">
        <f>IF(AND(_A="A-220-100",'2024'!$J$4="FO",'2024'!$J$2=AB233),'2024DATA'!$M$36,"")</f>
        <v/>
      </c>
      <c r="AC267" s="520" t="str">
        <f>IF(AND(_A="A-220-100",'2024'!$J$4="FO",'2024'!$J$2=AC233),'2024DATA'!$N$36,"")</f>
        <v/>
      </c>
      <c r="AD267" s="940"/>
      <c r="AE267" s="13" t="s">
        <v>62</v>
      </c>
      <c r="AF267" s="518" t="str">
        <f>IF(AND(_B="A-220-100",'2024'!$J$4="FO",'2024'!$J$2=AF233),'2024DATA'!$C$36,"")</f>
        <v/>
      </c>
      <c r="AG267" s="518" t="str">
        <f>IF(AND(_B="A-220-100",'2024'!$J$4="FO",'2024'!$J$2=AG233),'2024DATA'!$D$36,"")</f>
        <v/>
      </c>
      <c r="AH267" s="518" t="str">
        <f>IF(AND(_B="A-220-100",'2024'!$J$4="FO",'2024'!$J$2=AH233),'2024DATA'!$E$36,"")</f>
        <v/>
      </c>
      <c r="AI267" s="518" t="str">
        <f>IF(AND(_B="A-220-100",'2024'!$J$4="FO",'2024'!$J$2=AI233),'2024DATA'!$F$36,"")</f>
        <v/>
      </c>
      <c r="AJ267" s="518" t="str">
        <f>IF(AND(_B="A-220-100",'2024'!$J$4="FO",'2024'!$J$2=AJ233),'2024DATA'!$G$36,"")</f>
        <v/>
      </c>
      <c r="AK267" s="518" t="str">
        <f>IF(AND(_B="A-220-100",'2024'!$J$4="FO",'2024'!$J$2=AK233),'2024DATA'!$H$36,"")</f>
        <v/>
      </c>
      <c r="AL267" s="518" t="str">
        <f>IF(AND(_B="A-220-100",'2024'!$J$4="FO",'2024'!$J$2=AL233),'2024DATA'!$I$36,"")</f>
        <v/>
      </c>
      <c r="AM267" s="518" t="str">
        <f>IF(AND(_B="A-220-100",'2024'!$J$4="FO",'2024'!$J$2=AM233),'2024DATA'!$J$36,"")</f>
        <v/>
      </c>
      <c r="AN267" s="518" t="str">
        <f>IF(AND(_B="A-220-100",'2024'!$J$4="FO",'2024'!$J$2=AN233),'2024DATA'!$K$36,"")</f>
        <v/>
      </c>
      <c r="AO267" s="518" t="str">
        <f>IF(AND(_B="A-220-100",'2024'!$J$4="FO",'2024'!$J$2=AO233),'2024DATA'!$L$36,"")</f>
        <v/>
      </c>
      <c r="AP267" s="518" t="str">
        <f>IF(AND(_B="A-220-100",'2024'!$J$4="FO",'2024'!$J$2=AP233),'2024DATA'!$M$36,"")</f>
        <v/>
      </c>
      <c r="AQ267" s="520" t="str">
        <f>IF(AND(_B="A-220-100",'2024'!$J$4="FO",'2024'!$J$2=AQ233),'2024DATA'!$N$36,"")</f>
        <v/>
      </c>
      <c r="AR267" s="940"/>
      <c r="AS267" s="13" t="s">
        <v>62</v>
      </c>
      <c r="AT267" s="518" t="str">
        <f>IF(AND(_C="A-220-100",'2024'!$J$4="FO",'2024'!$J$2=AT233),'2024DATA'!$C$36,"")</f>
        <v/>
      </c>
      <c r="AU267" s="518" t="str">
        <f>IF(AND(_C="A-220-100",'2024'!$J$4="FO",'2024'!$J$2=AU233),'2024DATA'!$D$36,"")</f>
        <v/>
      </c>
      <c r="AV267" s="518" t="str">
        <f>IF(AND(_C="A-220-100",'2024'!$J$4="FO",'2024'!$J$2=AV233),'2024DATA'!$E$36,"")</f>
        <v/>
      </c>
      <c r="AW267" s="518" t="str">
        <f>IF(AND(_C="A-220-100",'2024'!$J$4="FO",'2024'!$J$2=AW233),'2024DATA'!$F$36,"")</f>
        <v/>
      </c>
      <c r="AX267" s="518" t="str">
        <f>IF(AND(_C="A-220-100",'2024'!$J$4="FO",'2024'!$J$2=AX233),'2024DATA'!$G$36,"")</f>
        <v/>
      </c>
      <c r="AY267" s="518" t="str">
        <f>IF(AND(_C="A-220-100",'2024'!$J$4="FO",'2024'!$J$2=AY233),'2024DATA'!$H$36,"")</f>
        <v/>
      </c>
      <c r="AZ267" s="518" t="str">
        <f>IF(AND(_C="A-220-100",'2024'!$J$4="FO",'2024'!$J$2=AZ233),'2024DATA'!$I$36,"")</f>
        <v/>
      </c>
      <c r="BA267" s="518" t="str">
        <f>IF(AND(_C="A-220-100",'2024'!$J$4="FO",'2024'!$J$2=BA233),'2024DATA'!$J$36,"")</f>
        <v/>
      </c>
      <c r="BB267" s="518" t="str">
        <f>IF(AND(_C="A-220-100",'2024'!$J$4="FO",'2024'!$J$2=BB233),'2024DATA'!$K$36,"")</f>
        <v/>
      </c>
      <c r="BC267" s="518" t="str">
        <f>IF(AND(_C="A-220-100",'2024'!$J$4="FO",'2024'!$J$2=BC233),'2024DATA'!$L$36,"")</f>
        <v/>
      </c>
      <c r="BD267" s="518" t="str">
        <f>IF(AND(_C="A-220-100",'2024'!$J$4="FO",'2024'!$J$2=BD233),'2024DATA'!$M$36,"")</f>
        <v/>
      </c>
      <c r="BE267" s="520" t="str">
        <f>IF(AND(_C="A-220-100",'2024'!$J$4="FO",'2024'!$J$2=BE233),'2024DATA'!$N$36,"")</f>
        <v/>
      </c>
      <c r="BF267" s="940"/>
      <c r="BG267" s="13" t="s">
        <v>62</v>
      </c>
      <c r="BH267" s="518" t="str">
        <f>IF(AND(_D="A-220-100",'2024'!$J$4="FO",'2024'!$J$2=BH233),'2024DATA'!$C$36,"")</f>
        <v/>
      </c>
      <c r="BI267" s="518" t="str">
        <f>IF(AND(_D="A-220-100",'2024'!$J$4="FO",'2024'!$J$2=BI233),'2024DATA'!$D$36,"")</f>
        <v/>
      </c>
      <c r="BJ267" s="518" t="str">
        <f>IF(AND(_D="A-220-100",'2024'!$J$4="FO",'2024'!$J$2=BJ233),'2024DATA'!$E$36,"")</f>
        <v/>
      </c>
      <c r="BK267" s="518" t="str">
        <f>IF(AND(_D="A-220-100",'2024'!$J$4="FO",'2024'!$J$2=BK233),'2024DATA'!$F$36,"")</f>
        <v/>
      </c>
      <c r="BL267" s="518" t="str">
        <f>IF(AND(_D="A-220-100",'2024'!$J$4="FO",'2024'!$J$2=BL233),'2024DATA'!$G$36,"")</f>
        <v/>
      </c>
      <c r="BM267" s="518" t="str">
        <f>IF(AND(_D="A-220-100",'2024'!$J$4="FO",'2024'!$J$2=BM233),'2024DATA'!$H$36,"")</f>
        <v/>
      </c>
      <c r="BN267" s="518" t="str">
        <f>IF(AND(_D="A-220-100",'2024'!$J$4="FO",'2024'!$J$2=BN233),'2024DATA'!$I$36,"")</f>
        <v/>
      </c>
      <c r="BO267" s="518" t="str">
        <f>IF(AND(_D="A-220-100",'2024'!$J$4="FO",'2024'!$J$2=BO233),'2024DATA'!$J$36,"")</f>
        <v/>
      </c>
      <c r="BP267" s="518" t="str">
        <f>IF(AND(_D="A-220-100",'2024'!$J$4="FO",'2024'!$J$2=BP233),'2024DATA'!$K$36,"")</f>
        <v/>
      </c>
      <c r="BQ267" s="518" t="str">
        <f>IF(AND(_D="A-220-100",'2024'!$J$4="FO",'2024'!$J$2=BQ233),'2024DATA'!$L$36,"")</f>
        <v/>
      </c>
      <c r="BR267" s="518" t="str">
        <f>IF(AND(_D="A-220-100",'2024'!$J$4="FO",'2024'!$J$2=BR233),'2024DATA'!$M$36,"")</f>
        <v/>
      </c>
      <c r="BS267" s="520" t="str">
        <f>IF(AND(_D="A-220-100",'2024'!$J$4="FO",'2024'!$J$2=BS233),'2024DATA'!$N$36,"")</f>
        <v/>
      </c>
      <c r="BT267" s="940"/>
      <c r="BU267" s="13" t="s">
        <v>62</v>
      </c>
      <c r="BV267" s="518" t="str">
        <f>IF(AND(_E="A-220-100",'2024'!$J$4="FO",'2024'!$J$2=BV233),'2024DATA'!$C$36,"")</f>
        <v/>
      </c>
      <c r="BW267" s="518" t="str">
        <f>IF(AND(_E="A-220-100",'2024'!$J$4="FO",'2024'!$J$2=BW233),'2024DATA'!$D$36,"")</f>
        <v/>
      </c>
      <c r="BX267" s="518" t="str">
        <f>IF(AND(_E="A-220-100",'2024'!$J$4="FO",'2024'!$J$2=BX233),'2024DATA'!$E$36,"")</f>
        <v/>
      </c>
      <c r="BY267" s="518" t="str">
        <f>IF(AND(_E="A-220-100",'2024'!$J$4="FO",'2024'!$J$2=BY233),'2024DATA'!$F$36,"")</f>
        <v/>
      </c>
      <c r="BZ267" s="518" t="str">
        <f>IF(AND(_E="A-220-100",'2024'!$J$4="FO",'2024'!$J$2=BZ233),'2024DATA'!$G$36,"")</f>
        <v/>
      </c>
      <c r="CA267" s="518" t="str">
        <f>IF(AND(_E="A-220-100",'2024'!$J$4="FO",'2024'!$J$2=CA233),'2024DATA'!$H$36,"")</f>
        <v/>
      </c>
      <c r="CB267" s="518" t="str">
        <f>IF(AND(_E="A-220-100",'2024'!$J$4="FO",'2024'!$J$2=CB233),'2024DATA'!$I$36,"")</f>
        <v/>
      </c>
      <c r="CC267" s="518" t="str">
        <f>IF(AND(_E="A-220-100",'2024'!$J$4="FO",'2024'!$J$2=CC233),'2024DATA'!$J$36,"")</f>
        <v/>
      </c>
      <c r="CD267" s="518" t="str">
        <f>IF(AND(_E="A-220-100",'2024'!$J$4="FO",'2024'!$J$2=CD233),'2024DATA'!$K$36,"")</f>
        <v/>
      </c>
      <c r="CE267" s="518" t="str">
        <f>IF(AND(_E="A-220-100",'2024'!$J$4="FO",'2024'!$J$2=CE233),'2024DATA'!$L$36,"")</f>
        <v/>
      </c>
      <c r="CF267" s="518" t="str">
        <f>IF(AND(_E="A-220-100",'2024'!$J$4="FO",'2024'!$J$2=CF233),'2024DATA'!$M$36,"")</f>
        <v/>
      </c>
      <c r="CG267" s="520" t="str">
        <f>IF(AND(_E="A-220-100",'2024'!$J$4="FO",'2024'!$J$2=CG233),'2024DATA'!$N$36,"")</f>
        <v/>
      </c>
      <c r="CH267" s="940"/>
      <c r="CI267" s="13" t="s">
        <v>62</v>
      </c>
      <c r="CJ267" s="518" t="str">
        <f>IF(AND(_F="A-220-100",'2024'!$J$4="FO",'2024'!$J$2=CJ233),'2024DATA'!$C$36,"")</f>
        <v/>
      </c>
      <c r="CK267" s="518" t="str">
        <f>IF(AND(_F="A-220-100",'2024'!$J$4="FO",'2024'!$J$2=CK233),'2024DATA'!$D$36,"")</f>
        <v/>
      </c>
      <c r="CL267" s="518" t="str">
        <f>IF(AND(_F="A-220-100",'2024'!$J$4="FO",'2024'!$J$2=CL233),'2024DATA'!$E$36,"")</f>
        <v/>
      </c>
      <c r="CM267" s="518" t="str">
        <f>IF(AND(_F="A-220-100",'2024'!$J$4="FO",'2024'!$J$2=CM233),'2024DATA'!$F$36,"")</f>
        <v/>
      </c>
      <c r="CN267" s="518" t="str">
        <f>IF(AND(_F="A-220-100",'2024'!$J$4="FO",'2024'!$J$2=CN233),'2024DATA'!$G$36,"")</f>
        <v/>
      </c>
      <c r="CO267" s="518" t="str">
        <f>IF(AND(_F="A-220-100",'2024'!$J$4="FO",'2024'!$J$2=CO233),'2024DATA'!$H$36,"")</f>
        <v/>
      </c>
      <c r="CP267" s="518" t="str">
        <f>IF(AND(_F="A-220-100",'2024'!$J$4="FO",'2024'!$J$2=CP233),'2024DATA'!$I$36,"")</f>
        <v/>
      </c>
      <c r="CQ267" s="518" t="str">
        <f>IF(AND(_F="A-220-100",'2024'!$J$4="FO",'2024'!$J$2=CQ233),'2024DATA'!$J$36,"")</f>
        <v/>
      </c>
      <c r="CR267" s="518" t="str">
        <f>IF(AND(_F="A-220-100",'2024'!$J$4="FO",'2024'!$J$2=CR233),'2024DATA'!$K$36,"")</f>
        <v/>
      </c>
      <c r="CS267" s="518" t="str">
        <f>IF(AND(_F="A-220-100",'2024'!$J$4="FO",'2024'!$J$2=CS233),'2024DATA'!$L$36,"")</f>
        <v/>
      </c>
      <c r="CT267" s="518" t="str">
        <f>IF(AND(_F="A-220-100",'2024'!$J$4="FO",'2024'!$J$2=CT233),'2024DATA'!$M$36,"")</f>
        <v/>
      </c>
      <c r="CU267" s="520" t="str">
        <f>IF(AND(_F="A-220-100",'2024'!$J$4="FO",'2024'!$J$2=CU233),'2024DATA'!$N$36,"")</f>
        <v/>
      </c>
    </row>
    <row r="268" spans="16:99" x14ac:dyDescent="0.25">
      <c r="P268" s="940" t="s">
        <v>53</v>
      </c>
      <c r="Q268" s="13" t="s">
        <v>61</v>
      </c>
      <c r="R268" s="518" t="str">
        <f>IF(AND(_A="B-717",'2024'!$J$4="CA",'2024'!$J$2=R233),'2024DATA'!$C$37,"")</f>
        <v/>
      </c>
      <c r="S268" s="518" t="str">
        <f>IF(AND(_A="B-717",'2024'!$J$4="CA",'2024'!$J$2=S233),'2024DATA'!$D$37,"")</f>
        <v/>
      </c>
      <c r="T268" s="518" t="str">
        <f>IF(AND(_A="B-717",'2024'!$J$4="CA",'2024'!$J$2=T233),'2024DATA'!$E$37,"")</f>
        <v/>
      </c>
      <c r="U268" s="518" t="str">
        <f>IF(AND(_A="B-717",'2024'!$J$4="CA",'2024'!$J$2=U233),'2024DATA'!$F$37,"")</f>
        <v/>
      </c>
      <c r="V268" s="518" t="str">
        <f>IF(AND(_A="B-717",'2024'!$J$4="CA",'2024'!$J$2=V233),'2024DATA'!$G$37,"")</f>
        <v/>
      </c>
      <c r="W268" s="518" t="str">
        <f>IF(AND(_A="B-717",'2024'!$J$4="CA",'2024'!$J$2=W233),'2024DATA'!$H$37,"")</f>
        <v/>
      </c>
      <c r="X268" s="518" t="str">
        <f>IF(AND(_A="B-717",'2024'!$J$4="CA",'2024'!$J$2=X233),'2024DATA'!$I$37,"")</f>
        <v/>
      </c>
      <c r="Y268" s="518" t="str">
        <f>IF(AND(_A="B-717",'2024'!$J$4="CA",'2024'!$J$2=Y233),'2024DATA'!$J$37,"")</f>
        <v/>
      </c>
      <c r="Z268" s="518" t="str">
        <f>IF(AND(_A="B-717",'2024'!$J$4="CA",'2024'!$J$2=Z233),'2024DATA'!$K$37,"")</f>
        <v/>
      </c>
      <c r="AA268" s="518" t="str">
        <f>IF(AND(_A="B-717",'2024'!$J$4="CA",'2024'!$J$2=AA233),'2024DATA'!$L$37,"")</f>
        <v/>
      </c>
      <c r="AB268" s="518" t="str">
        <f>IF(AND(_A="B-717",'2024'!$J$4="CA",'2024'!$J$2=AB233),'2024DATA'!$M$37,"")</f>
        <v/>
      </c>
      <c r="AC268" s="520" t="str">
        <f>IF(AND(_A="B-717",'2024'!$J$4="CA",'2024'!$J$2=AC233),'2024DATA'!$N$37,"")</f>
        <v/>
      </c>
      <c r="AD268" s="940" t="s">
        <v>53</v>
      </c>
      <c r="AE268" s="13" t="s">
        <v>61</v>
      </c>
      <c r="AF268" s="518" t="str">
        <f>IF(AND(_B="B-717",'2024'!$J$4="CA",'2024'!$J$2=AF233),'2024DATA'!$C$37,"")</f>
        <v/>
      </c>
      <c r="AG268" s="518" t="str">
        <f>IF(AND(_B="B-717",'2024'!$J$4="CA",'2024'!$J$2=AG233),'2024DATA'!$D$37,"")</f>
        <v/>
      </c>
      <c r="AH268" s="518" t="str">
        <f>IF(AND(_B="B-717",'2024'!$J$4="CA",'2024'!$J$2=AH233),'2024DATA'!$E$37,"")</f>
        <v/>
      </c>
      <c r="AI268" s="518" t="str">
        <f>IF(AND(_B="B-717",'2024'!$J$4="CA",'2024'!$J$2=AI233),'2024DATA'!$F$37,"")</f>
        <v/>
      </c>
      <c r="AJ268" s="518" t="str">
        <f>IF(AND(_B="B-717",'2024'!$J$4="CA",'2024'!$J$2=AJ233),'2024DATA'!$G$37,"")</f>
        <v/>
      </c>
      <c r="AK268" s="518" t="str">
        <f>IF(AND(_B="B-717",'2024'!$J$4="CA",'2024'!$J$2=AK233),'2024DATA'!$H$37,"")</f>
        <v/>
      </c>
      <c r="AL268" s="518" t="str">
        <f>IF(AND(_B="B-717",'2024'!$J$4="CA",'2024'!$J$2=AL233),'2024DATA'!$I$37,"")</f>
        <v/>
      </c>
      <c r="AM268" s="518" t="str">
        <f>IF(AND(_B="B-717",'2024'!$J$4="CA",'2024'!$J$2=AM233),'2024DATA'!$J$37,"")</f>
        <v/>
      </c>
      <c r="AN268" s="518" t="str">
        <f>IF(AND(_B="B-717",'2024'!$J$4="CA",'2024'!$J$2=AN233),'2024DATA'!$K$37,"")</f>
        <v/>
      </c>
      <c r="AO268" s="518" t="str">
        <f>IF(AND(_B="B-717",'2024'!$J$4="CA",'2024'!$J$2=AO233),'2024DATA'!$L$37,"")</f>
        <v/>
      </c>
      <c r="AP268" s="518" t="str">
        <f>IF(AND(_B="B-717",'2024'!$J$4="CA",'2024'!$J$2=AP233),'2024DATA'!$M$37,"")</f>
        <v/>
      </c>
      <c r="AQ268" s="520" t="str">
        <f>IF(AND(_B="B-717",'2024'!$J$4="CA",'2024'!$J$2=AQ233),'2024DATA'!$N$37,"")</f>
        <v/>
      </c>
      <c r="AR268" s="940" t="s">
        <v>53</v>
      </c>
      <c r="AS268" s="13" t="s">
        <v>61</v>
      </c>
      <c r="AT268" s="518" t="str">
        <f>IF(AND(_C="B-717",'2024'!$J$4="CA",'2024'!$J$2=AT233),'2024DATA'!$C$37,"")</f>
        <v/>
      </c>
      <c r="AU268" s="518" t="str">
        <f>IF(AND(_C="B-717",'2024'!$J$4="CA",'2024'!$J$2=AU233),'2024DATA'!$D$37,"")</f>
        <v/>
      </c>
      <c r="AV268" s="518" t="str">
        <f>IF(AND(_C="B-717",'2024'!$J$4="CA",'2024'!$J$2=AV233),'2024DATA'!$E$37,"")</f>
        <v/>
      </c>
      <c r="AW268" s="518" t="str">
        <f>IF(AND(_C="B-717",'2024'!$J$4="CA",'2024'!$J$2=AW233),'2024DATA'!$F$37,"")</f>
        <v/>
      </c>
      <c r="AX268" s="518" t="str">
        <f>IF(AND(_C="B-717",'2024'!$J$4="CA",'2024'!$J$2=AX233),'2024DATA'!$G$37,"")</f>
        <v/>
      </c>
      <c r="AY268" s="518" t="str">
        <f>IF(AND(_C="B-717",'2024'!$J$4="CA",'2024'!$J$2=AY233),'2024DATA'!$H$37,"")</f>
        <v/>
      </c>
      <c r="AZ268" s="518" t="str">
        <f>IF(AND(_C="B-717",'2024'!$J$4="CA",'2024'!$J$2=AZ233),'2024DATA'!$I$37,"")</f>
        <v/>
      </c>
      <c r="BA268" s="518" t="str">
        <f>IF(AND(_C="B-717",'2024'!$J$4="CA",'2024'!$J$2=BA233),'2024DATA'!$J$37,"")</f>
        <v/>
      </c>
      <c r="BB268" s="518" t="str">
        <f>IF(AND(_C="B-717",'2024'!$J$4="CA",'2024'!$J$2=BB233),'2024DATA'!$K$37,"")</f>
        <v/>
      </c>
      <c r="BC268" s="518" t="str">
        <f>IF(AND(_C="B-717",'2024'!$J$4="CA",'2024'!$J$2=BC233),'2024DATA'!$L$37,"")</f>
        <v/>
      </c>
      <c r="BD268" s="518" t="str">
        <f>IF(AND(_C="B-717",'2024'!$J$4="CA",'2024'!$J$2=BD233),'2024DATA'!$M$37,"")</f>
        <v/>
      </c>
      <c r="BE268" s="520" t="str">
        <f>IF(AND(_C="B-717",'2024'!$J$4="CA",'2024'!$J$2=BE233),'2024DATA'!$N$37,"")</f>
        <v/>
      </c>
      <c r="BF268" s="940" t="s">
        <v>53</v>
      </c>
      <c r="BG268" s="13" t="s">
        <v>61</v>
      </c>
      <c r="BH268" s="518" t="str">
        <f>IF(AND(_D="B-717",'2024'!$J$4="CA",'2024'!$J$2=BH233),'2024DATA'!$C$37,"")</f>
        <v/>
      </c>
      <c r="BI268" s="518" t="str">
        <f>IF(AND(_D="B-717",'2024'!$J$4="CA",'2024'!$J$2=BI233),'2024DATA'!$D$37,"")</f>
        <v/>
      </c>
      <c r="BJ268" s="518" t="str">
        <f>IF(AND(_D="B-717",'2024'!$J$4="CA",'2024'!$J$2=BJ233),'2024DATA'!$E$37,"")</f>
        <v/>
      </c>
      <c r="BK268" s="518" t="str">
        <f>IF(AND(_D="B-717",'2024'!$J$4="CA",'2024'!$J$2=BK233),'2024DATA'!$F$37,"")</f>
        <v/>
      </c>
      <c r="BL268" s="518" t="str">
        <f>IF(AND(_D="B-717",'2024'!$J$4="CA",'2024'!$J$2=BL233),'2024DATA'!$G$37,"")</f>
        <v/>
      </c>
      <c r="BM268" s="518" t="str">
        <f>IF(AND(_D="B-717",'2024'!$J$4="CA",'2024'!$J$2=BM233),'2024DATA'!$H$37,"")</f>
        <v/>
      </c>
      <c r="BN268" s="518" t="str">
        <f>IF(AND(_D="B-717",'2024'!$J$4="CA",'2024'!$J$2=BN233),'2024DATA'!$I$37,"")</f>
        <v/>
      </c>
      <c r="BO268" s="518" t="str">
        <f>IF(AND(_D="B-717",'2024'!$J$4="CA",'2024'!$J$2=BO233),'2024DATA'!$J$37,"")</f>
        <v/>
      </c>
      <c r="BP268" s="518" t="str">
        <f>IF(AND(_D="B-717",'2024'!$J$4="CA",'2024'!$J$2=BP233),'2024DATA'!$K$37,"")</f>
        <v/>
      </c>
      <c r="BQ268" s="518" t="str">
        <f>IF(AND(_D="B-717",'2024'!$J$4="CA",'2024'!$J$2=BQ233),'2024DATA'!$L$37,"")</f>
        <v/>
      </c>
      <c r="BR268" s="518" t="str">
        <f>IF(AND(_D="B-717",'2024'!$J$4="CA",'2024'!$J$2=BR233),'2024DATA'!$M$37,"")</f>
        <v/>
      </c>
      <c r="BS268" s="520" t="str">
        <f>IF(AND(_D="B-717",'2024'!$J$4="CA",'2024'!$J$2=BS233),'2024DATA'!$N$37,"")</f>
        <v/>
      </c>
      <c r="BT268" s="940" t="s">
        <v>53</v>
      </c>
      <c r="BU268" s="13" t="s">
        <v>61</v>
      </c>
      <c r="BV268" s="518" t="str">
        <f>IF(AND(_E="B-717",'2024'!$J$4="CA",'2024'!$J$2=BV233),'2024DATA'!$C$37,"")</f>
        <v/>
      </c>
      <c r="BW268" s="518" t="str">
        <f>IF(AND(_E="B-717",'2024'!$J$4="CA",'2024'!$J$2=BW233),'2024DATA'!$D$37,"")</f>
        <v/>
      </c>
      <c r="BX268" s="518" t="str">
        <f>IF(AND(_E="B-717",'2024'!$J$4="CA",'2024'!$J$2=BX233),'2024DATA'!$E$37,"")</f>
        <v/>
      </c>
      <c r="BY268" s="518" t="str">
        <f>IF(AND(_E="B-717",'2024'!$J$4="CA",'2024'!$J$2=BY233),'2024DATA'!$F$37,"")</f>
        <v/>
      </c>
      <c r="BZ268" s="518" t="str">
        <f>IF(AND(_E="B-717",'2024'!$J$4="CA",'2024'!$J$2=BZ233),'2024DATA'!$G$37,"")</f>
        <v/>
      </c>
      <c r="CA268" s="518" t="str">
        <f>IF(AND(_E="B-717",'2024'!$J$4="CA",'2024'!$J$2=CA233),'2024DATA'!$H$37,"")</f>
        <v/>
      </c>
      <c r="CB268" s="518" t="str">
        <f>IF(AND(_E="B-717",'2024'!$J$4="CA",'2024'!$J$2=CB233),'2024DATA'!$I$37,"")</f>
        <v/>
      </c>
      <c r="CC268" s="518" t="str">
        <f>IF(AND(_E="B-717",'2024'!$J$4="CA",'2024'!$J$2=CC233),'2024DATA'!$J$37,"")</f>
        <v/>
      </c>
      <c r="CD268" s="518" t="str">
        <f>IF(AND(_E="B-717",'2024'!$J$4="CA",'2024'!$J$2=CD233),'2024DATA'!$K$37,"")</f>
        <v/>
      </c>
      <c r="CE268" s="518" t="str">
        <f>IF(AND(_E="B-717",'2024'!$J$4="CA",'2024'!$J$2=CE233),'2024DATA'!$L$37,"")</f>
        <v/>
      </c>
      <c r="CF268" s="518" t="str">
        <f>IF(AND(_E="B-717",'2024'!$J$4="CA",'2024'!$J$2=CF233),'2024DATA'!$M$37,"")</f>
        <v/>
      </c>
      <c r="CG268" s="520" t="str">
        <f>IF(AND(_E="B-717",'2024'!$J$4="CA",'2024'!$J$2=CG233),'2024DATA'!$N$37,"")</f>
        <v/>
      </c>
      <c r="CH268" s="940" t="s">
        <v>53</v>
      </c>
      <c r="CI268" s="13" t="s">
        <v>61</v>
      </c>
      <c r="CJ268" s="518" t="str">
        <f>IF(AND(_F="B-717",'2024'!$J$4="CA",'2024'!$J$2=CJ233),'2024DATA'!$C$37,"")</f>
        <v/>
      </c>
      <c r="CK268" s="518" t="str">
        <f>IF(AND(_F="B-717",'2024'!$J$4="CA",'2024'!$J$2=CK233),'2024DATA'!$D$37,"")</f>
        <v/>
      </c>
      <c r="CL268" s="518" t="str">
        <f>IF(AND(_F="B-717",'2024'!$J$4="CA",'2024'!$J$2=CL233),'2024DATA'!$E$37,"")</f>
        <v/>
      </c>
      <c r="CM268" s="518" t="str">
        <f>IF(AND(_F="B-717",'2024'!$J$4="CA",'2024'!$J$2=CM233),'2024DATA'!$F$37,"")</f>
        <v/>
      </c>
      <c r="CN268" s="518" t="str">
        <f>IF(AND(_F="B-717",'2024'!$J$4="CA",'2024'!$J$2=CN233),'2024DATA'!$G$37,"")</f>
        <v/>
      </c>
      <c r="CO268" s="518" t="str">
        <f>IF(AND(_F="B-717",'2024'!$J$4="CA",'2024'!$J$2=CO233),'2024DATA'!$H$37,"")</f>
        <v/>
      </c>
      <c r="CP268" s="518" t="str">
        <f>IF(AND(_F="B-717",'2024'!$J$4="CA",'2024'!$J$2=CP233),'2024DATA'!$I$37,"")</f>
        <v/>
      </c>
      <c r="CQ268" s="518" t="str">
        <f>IF(AND(_F="B-717",'2024'!$J$4="CA",'2024'!$J$2=CQ233),'2024DATA'!$J$37,"")</f>
        <v/>
      </c>
      <c r="CR268" s="518" t="str">
        <f>IF(AND(_F="B-717",'2024'!$J$4="CA",'2024'!$J$2=CR233),'2024DATA'!$K$37,"")</f>
        <v/>
      </c>
      <c r="CS268" s="518" t="str">
        <f>IF(AND(_F="B-717",'2024'!$J$4="CA",'2024'!$J$2=CS233),'2024DATA'!$L$37,"")</f>
        <v/>
      </c>
      <c r="CT268" s="518" t="str">
        <f>IF(AND(_F="B-717",'2024'!$J$4="CA",'2024'!$J$2=CT233),'2024DATA'!$M$37,"")</f>
        <v/>
      </c>
      <c r="CU268" s="520" t="str">
        <f>IF(AND(_F="B-717",'2024'!$J$4="CA",'2024'!$J$2=CU233),'2024DATA'!$N$37,"")</f>
        <v/>
      </c>
    </row>
    <row r="269" spans="16:99" ht="15.75" thickBot="1" x14ac:dyDescent="0.3">
      <c r="P269" s="941"/>
      <c r="Q269" s="521" t="s">
        <v>62</v>
      </c>
      <c r="R269" s="518" t="str">
        <f>IF(AND(_A="B-717",'2024'!$J$4="FO",'2024'!$J$2=R233),'2024DATA'!$C$38,"")</f>
        <v/>
      </c>
      <c r="S269" s="518" t="str">
        <f>IF(AND(_A="B-717",'2024'!$J$4="FO",'2024'!$J$2=S233),'2024DATA'!$D$38,"")</f>
        <v/>
      </c>
      <c r="T269" s="518" t="str">
        <f>IF(AND(_A="B-717",'2024'!$J$4="FO",'2024'!$J$2=T233),'2024DATA'!$E$38,"")</f>
        <v/>
      </c>
      <c r="U269" s="518" t="str">
        <f>IF(AND(_A="B-717",'2024'!$J$4="FO",'2024'!$J$2=U233),'2024DATA'!$F$38,"")</f>
        <v/>
      </c>
      <c r="V269" s="518" t="str">
        <f>IF(AND(_A="B-717",'2024'!$J$4="FO",'2024'!$J$2=V233),'2024DATA'!$G$38,"")</f>
        <v/>
      </c>
      <c r="W269" s="518" t="str">
        <f>IF(AND(_A="B-717",'2024'!$J$4="FO",'2024'!$J$2=W233),'2024DATA'!$H$38,"")</f>
        <v/>
      </c>
      <c r="X269" s="518" t="str">
        <f>IF(AND(_A="B-717",'2024'!$J$4="FO",'2024'!$J$2=X233),'2024DATA'!$I$38,"")</f>
        <v/>
      </c>
      <c r="Y269" s="518" t="str">
        <f>IF(AND(_A="B-717",'2024'!$J$4="FO",'2024'!$J$2=Y233),'2024DATA'!$J$38,"")</f>
        <v/>
      </c>
      <c r="Z269" s="518" t="str">
        <f>IF(AND(_A="B-717",'2024'!$J$4="FO",'2024'!$J$2=Z233),'2024DATA'!$K$38,"")</f>
        <v/>
      </c>
      <c r="AA269" s="518" t="str">
        <f>IF(AND(_A="B-717",'2024'!$J$4="FO",'2024'!$J$2=AA233),'2024DATA'!$L$38,"")</f>
        <v/>
      </c>
      <c r="AB269" s="518" t="str">
        <f>IF(AND(_A="B-717",'2024'!$J$4="FO",'2024'!$J$2=AB233),'2024DATA'!$M$38,"")</f>
        <v/>
      </c>
      <c r="AC269" s="520" t="str">
        <f>IF(AND(_A="B-717",'2024'!$J$4="FO",'2024'!$J$2=AC233),'2024DATA'!$N$38,"")</f>
        <v/>
      </c>
      <c r="AD269" s="941"/>
      <c r="AE269" s="521" t="s">
        <v>62</v>
      </c>
      <c r="AF269" s="518" t="str">
        <f>IF(AND(_B="B-717",'2024'!$J$4="FO",'2024'!$J$2=AF233),'2024DATA'!$C$38,"")</f>
        <v/>
      </c>
      <c r="AG269" s="518" t="str">
        <f>IF(AND(_B="B-717",'2024'!$J$4="FO",'2024'!$J$2=AG233),'2024DATA'!$D$38,"")</f>
        <v/>
      </c>
      <c r="AH269" s="518" t="str">
        <f>IF(AND(_B="B-717",'2024'!$J$4="FO",'2024'!$J$2=AH233),'2024DATA'!$E$38,"")</f>
        <v/>
      </c>
      <c r="AI269" s="518" t="str">
        <f>IF(AND(_B="B-717",'2024'!$J$4="FO",'2024'!$J$2=AI233),'2024DATA'!$F$38,"")</f>
        <v/>
      </c>
      <c r="AJ269" s="518" t="str">
        <f>IF(AND(_B="B-717",'2024'!$J$4="FO",'2024'!$J$2=AJ233),'2024DATA'!$G$38,"")</f>
        <v/>
      </c>
      <c r="AK269" s="518" t="str">
        <f>IF(AND(_B="B-717",'2024'!$J$4="FO",'2024'!$J$2=AK233),'2024DATA'!$H$38,"")</f>
        <v/>
      </c>
      <c r="AL269" s="518" t="str">
        <f>IF(AND(_B="B-717",'2024'!$J$4="FO",'2024'!$J$2=AL233),'2024DATA'!$I$38,"")</f>
        <v/>
      </c>
      <c r="AM269" s="518" t="str">
        <f>IF(AND(_B="B-717",'2024'!$J$4="FO",'2024'!$J$2=AM233),'2024DATA'!$J$38,"")</f>
        <v/>
      </c>
      <c r="AN269" s="518" t="str">
        <f>IF(AND(_B="B-717",'2024'!$J$4="FO",'2024'!$J$2=AN233),'2024DATA'!$K$38,"")</f>
        <v/>
      </c>
      <c r="AO269" s="518" t="str">
        <f>IF(AND(_B="B-717",'2024'!$J$4="FO",'2024'!$J$2=AO233),'2024DATA'!$L$38,"")</f>
        <v/>
      </c>
      <c r="AP269" s="518" t="str">
        <f>IF(AND(_B="B-717",'2024'!$J$4="FO",'2024'!$J$2=AP233),'2024DATA'!$M$38,"")</f>
        <v/>
      </c>
      <c r="AQ269" s="520" t="str">
        <f>IF(AND(_B="B-717",'2024'!$J$4="FO",'2024'!$J$2=AQ233),'2024DATA'!$N$38,"")</f>
        <v/>
      </c>
      <c r="AR269" s="941"/>
      <c r="AS269" s="521" t="s">
        <v>62</v>
      </c>
      <c r="AT269" s="518" t="str">
        <f>IF(AND(_C="B-717",'2024'!$J$4="FO",'2024'!$J$2=AT233),'2024DATA'!$C$38,"")</f>
        <v/>
      </c>
      <c r="AU269" s="518" t="str">
        <f>IF(AND(_C="B-717",'2024'!$J$4="FO",'2024'!$J$2=AU233),'2024DATA'!$D$38,"")</f>
        <v/>
      </c>
      <c r="AV269" s="518" t="str">
        <f>IF(AND(_C="B-717",'2024'!$J$4="FO",'2024'!$J$2=AV233),'2024DATA'!$E$38,"")</f>
        <v/>
      </c>
      <c r="AW269" s="518" t="str">
        <f>IF(AND(_C="B-717",'2024'!$J$4="FO",'2024'!$J$2=AW233),'2024DATA'!$F$38,"")</f>
        <v/>
      </c>
      <c r="AX269" s="518" t="str">
        <f>IF(AND(_C="B-717",'2024'!$J$4="FO",'2024'!$J$2=AX233),'2024DATA'!$G$38,"")</f>
        <v/>
      </c>
      <c r="AY269" s="518" t="str">
        <f>IF(AND(_C="B-717",'2024'!$J$4="FO",'2024'!$J$2=AY233),'2024DATA'!$H$38,"")</f>
        <v/>
      </c>
      <c r="AZ269" s="518" t="str">
        <f>IF(AND(_C="B-717",'2024'!$J$4="FO",'2024'!$J$2=AZ233),'2024DATA'!$I$38,"")</f>
        <v/>
      </c>
      <c r="BA269" s="518" t="str">
        <f>IF(AND(_C="B-717",'2024'!$J$4="FO",'2024'!$J$2=BA233),'2024DATA'!$J$38,"")</f>
        <v/>
      </c>
      <c r="BB269" s="518" t="str">
        <f>IF(AND(_C="B-717",'2024'!$J$4="FO",'2024'!$J$2=BB233),'2024DATA'!$K$38,"")</f>
        <v/>
      </c>
      <c r="BC269" s="518" t="str">
        <f>IF(AND(_C="B-717",'2024'!$J$4="FO",'2024'!$J$2=BC233),'2024DATA'!$L$38,"")</f>
        <v/>
      </c>
      <c r="BD269" s="518" t="str">
        <f>IF(AND(_C="B-717",'2024'!$J$4="FO",'2024'!$J$2=BD233),'2024DATA'!$M$38,"")</f>
        <v/>
      </c>
      <c r="BE269" s="520" t="str">
        <f>IF(AND(_C="B-717",'2024'!$J$4="FO",'2024'!$J$2=BE233),'2024DATA'!$N$38,"")</f>
        <v/>
      </c>
      <c r="BF269" s="941"/>
      <c r="BG269" s="521" t="s">
        <v>62</v>
      </c>
      <c r="BH269" s="518" t="str">
        <f>IF(AND(_D="B-717",'2024'!$J$4="FO",'2024'!$J$2=BH233),'2024DATA'!$C$38,"")</f>
        <v/>
      </c>
      <c r="BI269" s="518" t="str">
        <f>IF(AND(_D="B-717",'2024'!$J$4="FO",'2024'!$J$2=BI233),'2024DATA'!$D$38,"")</f>
        <v/>
      </c>
      <c r="BJ269" s="518" t="str">
        <f>IF(AND(_D="B-717",'2024'!$J$4="FO",'2024'!$J$2=BJ233),'2024DATA'!$E$38,"")</f>
        <v/>
      </c>
      <c r="BK269" s="518" t="str">
        <f>IF(AND(_D="B-717",'2024'!$J$4="FO",'2024'!$J$2=BK233),'2024DATA'!$F$38,"")</f>
        <v/>
      </c>
      <c r="BL269" s="518" t="str">
        <f>IF(AND(_D="B-717",'2024'!$J$4="FO",'2024'!$J$2=BL233),'2024DATA'!$G$38,"")</f>
        <v/>
      </c>
      <c r="BM269" s="518" t="str">
        <f>IF(AND(_D="B-717",'2024'!$J$4="FO",'2024'!$J$2=BM233),'2024DATA'!$H$38,"")</f>
        <v/>
      </c>
      <c r="BN269" s="518" t="str">
        <f>IF(AND(_D="B-717",'2024'!$J$4="FO",'2024'!$J$2=BN233),'2024DATA'!$I$38,"")</f>
        <v/>
      </c>
      <c r="BO269" s="518" t="str">
        <f>IF(AND(_D="B-717",'2024'!$J$4="FO",'2024'!$J$2=BO233),'2024DATA'!$J$38,"")</f>
        <v/>
      </c>
      <c r="BP269" s="518" t="str">
        <f>IF(AND(_D="B-717",'2024'!$J$4="FO",'2024'!$J$2=BP233),'2024DATA'!$K$38,"")</f>
        <v/>
      </c>
      <c r="BQ269" s="518" t="str">
        <f>IF(AND(_D="B-717",'2024'!$J$4="FO",'2024'!$J$2=BQ233),'2024DATA'!$L$38,"")</f>
        <v/>
      </c>
      <c r="BR269" s="518" t="str">
        <f>IF(AND(_D="B-717",'2024'!$J$4="FO",'2024'!$J$2=BR233),'2024DATA'!$M$38,"")</f>
        <v/>
      </c>
      <c r="BS269" s="520" t="str">
        <f>IF(AND(_D="B-717",'2024'!$J$4="FO",'2024'!$J$2=BS233),'2024DATA'!$N$38,"")</f>
        <v/>
      </c>
      <c r="BT269" s="941"/>
      <c r="BU269" s="521" t="s">
        <v>62</v>
      </c>
      <c r="BV269" s="518" t="str">
        <f>IF(AND(_E="B-717",'2024'!$J$4="FO",'2024'!$J$2=BV233),'2024DATA'!$C$38,"")</f>
        <v/>
      </c>
      <c r="BW269" s="518" t="str">
        <f>IF(AND(_E="B-717",'2024'!$J$4="FO",'2024'!$J$2=BW233),'2024DATA'!$D$38,"")</f>
        <v/>
      </c>
      <c r="BX269" s="518" t="str">
        <f>IF(AND(_E="B-717",'2024'!$J$4="FO",'2024'!$J$2=BX233),'2024DATA'!$E$38,"")</f>
        <v/>
      </c>
      <c r="BY269" s="518" t="str">
        <f>IF(AND(_E="B-717",'2024'!$J$4="FO",'2024'!$J$2=BY233),'2024DATA'!$F$38,"")</f>
        <v/>
      </c>
      <c r="BZ269" s="518" t="str">
        <f>IF(AND(_E="B-717",'2024'!$J$4="FO",'2024'!$J$2=BZ233),'2024DATA'!$G$38,"")</f>
        <v/>
      </c>
      <c r="CA269" s="518" t="str">
        <f>IF(AND(_E="B-717",'2024'!$J$4="FO",'2024'!$J$2=CA233),'2024DATA'!$H$38,"")</f>
        <v/>
      </c>
      <c r="CB269" s="518" t="str">
        <f>IF(AND(_E="B-717",'2024'!$J$4="FO",'2024'!$J$2=CB233),'2024DATA'!$I$38,"")</f>
        <v/>
      </c>
      <c r="CC269" s="518" t="str">
        <f>IF(AND(_E="B-717",'2024'!$J$4="FO",'2024'!$J$2=CC233),'2024DATA'!$J$38,"")</f>
        <v/>
      </c>
      <c r="CD269" s="518" t="str">
        <f>IF(AND(_E="B-717",'2024'!$J$4="FO",'2024'!$J$2=CD233),'2024DATA'!$K$38,"")</f>
        <v/>
      </c>
      <c r="CE269" s="518" t="str">
        <f>IF(AND(_E="B-717",'2024'!$J$4="FO",'2024'!$J$2=CE233),'2024DATA'!$L$38,"")</f>
        <v/>
      </c>
      <c r="CF269" s="518" t="str">
        <f>IF(AND(_E="B-717",'2024'!$J$4="FO",'2024'!$J$2=CF233),'2024DATA'!$M$38,"")</f>
        <v/>
      </c>
      <c r="CG269" s="520" t="str">
        <f>IF(AND(_E="B-717",'2024'!$J$4="FO",'2024'!$J$2=CG233),'2024DATA'!$N$38,"")</f>
        <v/>
      </c>
      <c r="CH269" s="941"/>
      <c r="CI269" s="521" t="s">
        <v>62</v>
      </c>
      <c r="CJ269" s="518" t="str">
        <f>IF(AND(_F="B-717",'2024'!$J$4="FO",'2024'!$J$2=CJ233),'2024DATA'!$C$38,"")</f>
        <v/>
      </c>
      <c r="CK269" s="518" t="str">
        <f>IF(AND(_F="B-717",'2024'!$J$4="FO",'2024'!$J$2=CK233),'2024DATA'!$D$38,"")</f>
        <v/>
      </c>
      <c r="CL269" s="518" t="str">
        <f>IF(AND(_F="B-717",'2024'!$J$4="FO",'2024'!$J$2=CL233),'2024DATA'!$E$38,"")</f>
        <v/>
      </c>
      <c r="CM269" s="518" t="str">
        <f>IF(AND(_F="B-717",'2024'!$J$4="FO",'2024'!$J$2=CM233),'2024DATA'!$F$38,"")</f>
        <v/>
      </c>
      <c r="CN269" s="518" t="str">
        <f>IF(AND(_F="B-717",'2024'!$J$4="FO",'2024'!$J$2=CN233),'2024DATA'!$G$38,"")</f>
        <v/>
      </c>
      <c r="CO269" s="518" t="str">
        <f>IF(AND(_F="B-717",'2024'!$J$4="FO",'2024'!$J$2=CO233),'2024DATA'!$H$38,"")</f>
        <v/>
      </c>
      <c r="CP269" s="518" t="str">
        <f>IF(AND(_F="B-717",'2024'!$J$4="FO",'2024'!$J$2=CP233),'2024DATA'!$I$38,"")</f>
        <v/>
      </c>
      <c r="CQ269" s="518" t="str">
        <f>IF(AND(_F="B-717",'2024'!$J$4="FO",'2024'!$J$2=CQ233),'2024DATA'!$J$38,"")</f>
        <v/>
      </c>
      <c r="CR269" s="518" t="str">
        <f>IF(AND(_F="B-717",'2024'!$J$4="FO",'2024'!$J$2=CR233),'2024DATA'!$K$38,"")</f>
        <v/>
      </c>
      <c r="CS269" s="518" t="str">
        <f>IF(AND(_F="B-717",'2024'!$J$4="FO",'2024'!$J$2=CS233),'2024DATA'!$L$38,"")</f>
        <v/>
      </c>
      <c r="CT269" s="518" t="str">
        <f>IF(AND(_F="B-717",'2024'!$J$4="FO",'2024'!$J$2=CT233),'2024DATA'!$M$38,"")</f>
        <v/>
      </c>
      <c r="CU269" s="520" t="str">
        <f>IF(AND(_F="B-717",'2024'!$J$4="FO",'2024'!$J$2=CU233),'2024DATA'!$N$38,"")</f>
        <v/>
      </c>
    </row>
    <row r="270" spans="16:99" x14ac:dyDescent="0.25">
      <c r="P270" s="943" t="s">
        <v>103</v>
      </c>
      <c r="Q270" s="944"/>
      <c r="R270" s="944"/>
      <c r="S270" s="944"/>
      <c r="T270" s="944"/>
      <c r="U270" s="944"/>
      <c r="V270" s="944"/>
      <c r="W270" s="944"/>
      <c r="X270" s="944"/>
      <c r="Y270" s="944"/>
      <c r="Z270" s="944"/>
      <c r="AA270" s="944"/>
      <c r="AB270" s="944"/>
      <c r="AC270" s="945"/>
      <c r="AD270" s="943" t="s">
        <v>104</v>
      </c>
      <c r="AE270" s="944"/>
      <c r="AF270" s="944"/>
      <c r="AG270" s="944"/>
      <c r="AH270" s="944"/>
      <c r="AI270" s="944"/>
      <c r="AJ270" s="944"/>
      <c r="AK270" s="944"/>
      <c r="AL270" s="944"/>
      <c r="AM270" s="944"/>
      <c r="AN270" s="944"/>
      <c r="AO270" s="944"/>
      <c r="AP270" s="944"/>
      <c r="AQ270" s="945"/>
      <c r="AR270" s="943" t="s">
        <v>105</v>
      </c>
      <c r="AS270" s="944"/>
      <c r="AT270" s="944"/>
      <c r="AU270" s="944"/>
      <c r="AV270" s="944"/>
      <c r="AW270" s="944"/>
      <c r="AX270" s="944"/>
      <c r="AY270" s="944"/>
      <c r="AZ270" s="944"/>
      <c r="BA270" s="944"/>
      <c r="BB270" s="944"/>
      <c r="BC270" s="944"/>
      <c r="BD270" s="944"/>
      <c r="BE270" s="945"/>
      <c r="BF270" s="943" t="s">
        <v>106</v>
      </c>
      <c r="BG270" s="944"/>
      <c r="BH270" s="944"/>
      <c r="BI270" s="944"/>
      <c r="BJ270" s="944"/>
      <c r="BK270" s="944"/>
      <c r="BL270" s="944"/>
      <c r="BM270" s="944"/>
      <c r="BN270" s="944"/>
      <c r="BO270" s="944"/>
      <c r="BP270" s="944"/>
      <c r="BQ270" s="944"/>
      <c r="BR270" s="944"/>
      <c r="BS270" s="945"/>
      <c r="BT270" s="943" t="s">
        <v>107</v>
      </c>
      <c r="BU270" s="944"/>
      <c r="BV270" s="944"/>
      <c r="BW270" s="944"/>
      <c r="BX270" s="944"/>
      <c r="BY270" s="944"/>
      <c r="BZ270" s="944"/>
      <c r="CA270" s="944"/>
      <c r="CB270" s="944"/>
      <c r="CC270" s="944"/>
      <c r="CD270" s="944"/>
      <c r="CE270" s="944"/>
      <c r="CF270" s="944"/>
      <c r="CG270" s="945"/>
      <c r="CH270" s="943" t="s">
        <v>108</v>
      </c>
      <c r="CI270" s="944"/>
      <c r="CJ270" s="944"/>
      <c r="CK270" s="944"/>
      <c r="CL270" s="944"/>
      <c r="CM270" s="944"/>
      <c r="CN270" s="944"/>
      <c r="CO270" s="944"/>
      <c r="CP270" s="944"/>
      <c r="CQ270" s="944"/>
      <c r="CR270" s="944"/>
      <c r="CS270" s="944"/>
      <c r="CT270" s="944"/>
      <c r="CU270" s="945"/>
    </row>
    <row r="271" spans="16:99" x14ac:dyDescent="0.25">
      <c r="P271" s="600">
        <v>8</v>
      </c>
      <c r="Q271" s="577">
        <f>SUM(R272:AC307)</f>
        <v>0</v>
      </c>
      <c r="R271" s="3">
        <v>12</v>
      </c>
      <c r="S271" s="3">
        <v>11</v>
      </c>
      <c r="T271" s="3">
        <v>10</v>
      </c>
      <c r="U271" s="3">
        <v>9</v>
      </c>
      <c r="V271" s="3">
        <v>8</v>
      </c>
      <c r="W271" s="3">
        <v>7</v>
      </c>
      <c r="X271" s="3">
        <v>6</v>
      </c>
      <c r="Y271" s="3">
        <v>5</v>
      </c>
      <c r="Z271" s="3">
        <v>4</v>
      </c>
      <c r="AA271" s="3">
        <v>3</v>
      </c>
      <c r="AB271" s="3">
        <v>2</v>
      </c>
      <c r="AC271" s="519">
        <v>1</v>
      </c>
      <c r="AD271" s="577">
        <v>8</v>
      </c>
      <c r="AE271" s="577">
        <f>SUM(AF272:AQ307)</f>
        <v>0</v>
      </c>
      <c r="AF271" s="3">
        <v>12</v>
      </c>
      <c r="AG271" s="3">
        <v>11</v>
      </c>
      <c r="AH271" s="3">
        <v>10</v>
      </c>
      <c r="AI271" s="3">
        <v>9</v>
      </c>
      <c r="AJ271" s="3">
        <v>8</v>
      </c>
      <c r="AK271" s="3">
        <v>7</v>
      </c>
      <c r="AL271" s="3">
        <v>6</v>
      </c>
      <c r="AM271" s="3">
        <v>5</v>
      </c>
      <c r="AN271" s="3">
        <v>4</v>
      </c>
      <c r="AO271" s="3">
        <v>3</v>
      </c>
      <c r="AP271" s="3">
        <v>2</v>
      </c>
      <c r="AQ271" s="519">
        <v>1</v>
      </c>
      <c r="AR271" s="577">
        <v>8</v>
      </c>
      <c r="AS271" s="577">
        <f>SUM(AT272:BE307)</f>
        <v>0</v>
      </c>
      <c r="AT271" s="3">
        <v>12</v>
      </c>
      <c r="AU271" s="3">
        <v>11</v>
      </c>
      <c r="AV271" s="3">
        <v>10</v>
      </c>
      <c r="AW271" s="3">
        <v>9</v>
      </c>
      <c r="AX271" s="3">
        <v>8</v>
      </c>
      <c r="AY271" s="3">
        <v>7</v>
      </c>
      <c r="AZ271" s="3">
        <v>6</v>
      </c>
      <c r="BA271" s="3">
        <v>5</v>
      </c>
      <c r="BB271" s="3">
        <v>4</v>
      </c>
      <c r="BC271" s="3">
        <v>3</v>
      </c>
      <c r="BD271" s="3">
        <v>2</v>
      </c>
      <c r="BE271" s="519">
        <v>1</v>
      </c>
      <c r="BF271" s="577">
        <v>8</v>
      </c>
      <c r="BG271" s="577">
        <f>SUM(BH272:BS307)</f>
        <v>0</v>
      </c>
      <c r="BH271" s="3">
        <v>12</v>
      </c>
      <c r="BI271" s="3">
        <v>11</v>
      </c>
      <c r="BJ271" s="3">
        <v>10</v>
      </c>
      <c r="BK271" s="3">
        <v>9</v>
      </c>
      <c r="BL271" s="3">
        <v>8</v>
      </c>
      <c r="BM271" s="3">
        <v>7</v>
      </c>
      <c r="BN271" s="3">
        <v>6</v>
      </c>
      <c r="BO271" s="3">
        <v>5</v>
      </c>
      <c r="BP271" s="3">
        <v>4</v>
      </c>
      <c r="BQ271" s="3">
        <v>3</v>
      </c>
      <c r="BR271" s="3">
        <v>2</v>
      </c>
      <c r="BS271" s="519">
        <v>1</v>
      </c>
      <c r="BT271" s="577">
        <v>8</v>
      </c>
      <c r="BU271" s="577">
        <f>SUM(BV272:CG307)</f>
        <v>0</v>
      </c>
      <c r="BV271" s="3">
        <v>12</v>
      </c>
      <c r="BW271" s="3">
        <v>11</v>
      </c>
      <c r="BX271" s="3">
        <v>10</v>
      </c>
      <c r="BY271" s="3">
        <v>9</v>
      </c>
      <c r="BZ271" s="3">
        <v>8</v>
      </c>
      <c r="CA271" s="3">
        <v>7</v>
      </c>
      <c r="CB271" s="3">
        <v>6</v>
      </c>
      <c r="CC271" s="3">
        <v>5</v>
      </c>
      <c r="CD271" s="3">
        <v>4</v>
      </c>
      <c r="CE271" s="3">
        <v>3</v>
      </c>
      <c r="CF271" s="3">
        <v>2</v>
      </c>
      <c r="CG271" s="519">
        <v>1</v>
      </c>
      <c r="CH271" s="577">
        <v>8</v>
      </c>
      <c r="CI271" s="577">
        <f>SUM(CJ272:CU307)</f>
        <v>0</v>
      </c>
      <c r="CJ271" s="3">
        <v>12</v>
      </c>
      <c r="CK271" s="3">
        <v>11</v>
      </c>
      <c r="CL271" s="3">
        <v>10</v>
      </c>
      <c r="CM271" s="3">
        <v>9</v>
      </c>
      <c r="CN271" s="3">
        <v>8</v>
      </c>
      <c r="CO271" s="3">
        <v>7</v>
      </c>
      <c r="CP271" s="3">
        <v>6</v>
      </c>
      <c r="CQ271" s="3">
        <v>5</v>
      </c>
      <c r="CR271" s="3">
        <v>4</v>
      </c>
      <c r="CS271" s="3">
        <v>3</v>
      </c>
      <c r="CT271" s="3">
        <v>2</v>
      </c>
      <c r="CU271" s="519">
        <v>1</v>
      </c>
    </row>
    <row r="272" spans="16:99" x14ac:dyDescent="0.25">
      <c r="P272" s="940" t="s">
        <v>39</v>
      </c>
      <c r="Q272" s="13" t="s">
        <v>61</v>
      </c>
      <c r="R272" s="518" t="str">
        <f>IF(AND(_A="A-350",'2024'!$K$4="CA",'2024'!$K$2=R271),'2024DATA'!$C$3,"")</f>
        <v/>
      </c>
      <c r="S272" s="518" t="str">
        <f>IF(AND(_A="A-350",'2024'!$K$4="CA",'2024'!$K$2=S271),'2024DATA'!$D$3,"")</f>
        <v/>
      </c>
      <c r="T272" s="518" t="str">
        <f>IF(AND(_A="A-350",'2024'!$K$4="CA",'2024'!$K$2=T271),'2024DATA'!$E$3,"")</f>
        <v/>
      </c>
      <c r="U272" s="518" t="str">
        <f>IF(AND(_A="A-350",'2024'!$K$4="CA",'2024'!$K$2=U271),'2024DATA'!$F$3,"")</f>
        <v/>
      </c>
      <c r="V272" s="518" t="str">
        <f>IF(AND(_A="A-350",'2024'!$K$4="CA",'2024'!$K$2=V271),'2024DATA'!$G$3,"")</f>
        <v/>
      </c>
      <c r="W272" s="518" t="str">
        <f>IF(AND(_A="A-350",'2024'!$K$4="CA",'2024'!$K$2=W271),'2024DATA'!$H$3,"")</f>
        <v/>
      </c>
      <c r="X272" s="518" t="str">
        <f>IF(AND(_A="A-350",'2024'!$K$4="CA",'2024'!$K$2=X271),'2024DATA'!$I$3,"")</f>
        <v/>
      </c>
      <c r="Y272" s="518" t="str">
        <f>IF(AND(_A="A-350",'2024'!$K$4="CA",'2024'!$K$2=Y271),'2024DATA'!$J$3,"")</f>
        <v/>
      </c>
      <c r="Z272" s="518" t="str">
        <f>IF(AND(_A="A-350",'2024'!$K$4="CA",'2024'!$K$2=Z271),'2024DATA'!$K$3,"")</f>
        <v/>
      </c>
      <c r="AA272" s="518" t="str">
        <f>IF(AND(_A="A-350",'2024'!$K$4="CA",'2024'!$K$2=AA271),'2024DATA'!$L$3,"")</f>
        <v/>
      </c>
      <c r="AB272" s="518" t="str">
        <f>IF(AND(_A="A-350",'2024'!$K$4="CA",'2024'!$K$2=AB271),'2024DATA'!$M$3,"")</f>
        <v/>
      </c>
      <c r="AC272" s="520" t="str">
        <f>IF(AND(_A="A-350",'2024'!$K$4="CA",'2024'!$K$2=AC271),'2024DATA'!$N$3,"")</f>
        <v/>
      </c>
      <c r="AD272" s="940" t="s">
        <v>39</v>
      </c>
      <c r="AE272" s="13" t="s">
        <v>61</v>
      </c>
      <c r="AF272" s="518" t="str">
        <f>IF(AND(_B="A-350",'2024'!$K$4="CA",'2024'!$K$2=AF271),'2024DATA'!$C$3,"")</f>
        <v/>
      </c>
      <c r="AG272" s="518" t="str">
        <f>IF(AND(_B="A-350",'2024'!$K$4="CA",'2024'!$K$2=AG271),'2024DATA'!$D$3,"")</f>
        <v/>
      </c>
      <c r="AH272" s="518" t="str">
        <f>IF(AND(_B="A-350",'2024'!$K$4="CA",'2024'!$K$2=AH271),'2024DATA'!$E$3,"")</f>
        <v/>
      </c>
      <c r="AI272" s="518" t="str">
        <f>IF(AND(_B="A-350",'2024'!$K$4="CA",'2024'!$K$2=AI271),'2024DATA'!$F$3,"")</f>
        <v/>
      </c>
      <c r="AJ272" s="518" t="str">
        <f>IF(AND(_B="A-350",'2024'!$K$4="CA",'2024'!$K$2=AJ271),'2024DATA'!$G$3,"")</f>
        <v/>
      </c>
      <c r="AK272" s="518" t="str">
        <f>IF(AND(_B="A-350",'2024'!$K$4="CA",'2024'!$K$2=AK271),'2024DATA'!$H$3,"")</f>
        <v/>
      </c>
      <c r="AL272" s="518" t="str">
        <f>IF(AND(_B="A-350",'2024'!$K$4="CA",'2024'!$K$2=AL271),'2024DATA'!$I$3,"")</f>
        <v/>
      </c>
      <c r="AM272" s="518" t="str">
        <f>IF(AND(_B="A-350",'2024'!$K$4="CA",'2024'!$K$2=AM271),'2024DATA'!$J$3,"")</f>
        <v/>
      </c>
      <c r="AN272" s="518" t="str">
        <f>IF(AND(_B="A-350",'2024'!$K$4="CA",'2024'!$K$2=AN271),'2024DATA'!$K$3,"")</f>
        <v/>
      </c>
      <c r="AO272" s="518" t="str">
        <f>IF(AND(_B="A-350",'2024'!$K$4="CA",'2024'!$K$2=AO271),'2024DATA'!$L$3,"")</f>
        <v/>
      </c>
      <c r="AP272" s="518" t="str">
        <f>IF(AND(_B="A-350",'2024'!$K$4="CA",'2024'!$K$2=AP271),'2024DATA'!$M$3,"")</f>
        <v/>
      </c>
      <c r="AQ272" s="520" t="str">
        <f>IF(AND(_B="A-350",'2024'!$K$4="CA",'2024'!$K$2=AQ271),'2024DATA'!$N$3,"")</f>
        <v/>
      </c>
      <c r="AR272" s="940" t="s">
        <v>39</v>
      </c>
      <c r="AS272" s="13" t="s">
        <v>61</v>
      </c>
      <c r="AT272" s="518" t="str">
        <f>IF(AND(_C="A-350",'2024'!$K$4="CA",'2024'!$K$2=AT271),'2024DATA'!$C$3,"")</f>
        <v/>
      </c>
      <c r="AU272" s="518" t="str">
        <f>IF(AND(_C="A-350",'2024'!$K$4="CA",'2024'!$K$2=AU271),'2024DATA'!$D$3,"")</f>
        <v/>
      </c>
      <c r="AV272" s="518" t="str">
        <f>IF(AND(_C="A-350",'2024'!$K$4="CA",'2024'!$K$2=AV271),'2024DATA'!$E$3,"")</f>
        <v/>
      </c>
      <c r="AW272" s="518" t="str">
        <f>IF(AND(_C="A-350",'2024'!$K$4="CA",'2024'!$K$2=AW271),'2024DATA'!$F$3,"")</f>
        <v/>
      </c>
      <c r="AX272" s="518" t="str">
        <f>IF(AND(_C="A-350",'2024'!$K$4="CA",'2024'!$K$2=AX271),'2024DATA'!$G$3,"")</f>
        <v/>
      </c>
      <c r="AY272" s="518" t="str">
        <f>IF(AND(_C="A-350",'2024'!$K$4="CA",'2024'!$K$2=AY271),'2024DATA'!$H$3,"")</f>
        <v/>
      </c>
      <c r="AZ272" s="518" t="str">
        <f>IF(AND(_C="A-350",'2024'!$K$4="CA",'2024'!$K$2=AZ271),'2024DATA'!$I$3,"")</f>
        <v/>
      </c>
      <c r="BA272" s="518" t="str">
        <f>IF(AND(_C="A-350",'2024'!$K$4="CA",'2024'!$K$2=BA271),'2024DATA'!$J$3,"")</f>
        <v/>
      </c>
      <c r="BB272" s="518" t="str">
        <f>IF(AND(_C="A-350",'2024'!$K$4="CA",'2024'!$K$2=BB271),'2024DATA'!$K$3,"")</f>
        <v/>
      </c>
      <c r="BC272" s="518" t="str">
        <f>IF(AND(_C="A-350",'2024'!$K$4="CA",'2024'!$K$2=BC271),'2024DATA'!$L$3,"")</f>
        <v/>
      </c>
      <c r="BD272" s="518" t="str">
        <f>IF(AND(_C="A-350",'2024'!$K$4="CA",'2024'!$K$2=BD271),'2024DATA'!$M$3,"")</f>
        <v/>
      </c>
      <c r="BE272" s="520" t="str">
        <f>IF(AND(_C="A-350",'2024'!$K$4="CA",'2024'!$K$2=BE271),'2024DATA'!$N$3,"")</f>
        <v/>
      </c>
      <c r="BF272" s="940" t="s">
        <v>39</v>
      </c>
      <c r="BG272" s="13" t="s">
        <v>61</v>
      </c>
      <c r="BH272" s="518" t="str">
        <f>IF(AND(_D="A-350",'2024'!$K$4="CA",'2024'!$K$2=BH271),'2024DATA'!$C$3,"")</f>
        <v/>
      </c>
      <c r="BI272" s="518" t="str">
        <f>IF(AND(_D="A-350",'2024'!$K$4="CA",'2024'!$K$2=BI271),'2024DATA'!$D$3,"")</f>
        <v/>
      </c>
      <c r="BJ272" s="518" t="str">
        <f>IF(AND(_D="A-350",'2024'!$K$4="CA",'2024'!$K$2=BJ271),'2024DATA'!$E$3,"")</f>
        <v/>
      </c>
      <c r="BK272" s="518" t="str">
        <f>IF(AND(_D="A-350",'2024'!$K$4="CA",'2024'!$K$2=BK271),'2024DATA'!$F$3,"")</f>
        <v/>
      </c>
      <c r="BL272" s="518" t="str">
        <f>IF(AND(_D="A-350",'2024'!$K$4="CA",'2024'!$K$2=BL271),'2024DATA'!$G$3,"")</f>
        <v/>
      </c>
      <c r="BM272" s="518" t="str">
        <f>IF(AND(_D="A-350",'2024'!$K$4="CA",'2024'!$K$2=BM271),'2024DATA'!$H$3,"")</f>
        <v/>
      </c>
      <c r="BN272" s="518" t="str">
        <f>IF(AND(_D="A-350",'2024'!$K$4="CA",'2024'!$K$2=BN271),'2024DATA'!$I$3,"")</f>
        <v/>
      </c>
      <c r="BO272" s="518" t="str">
        <f>IF(AND(_D="A-350",'2024'!$K$4="CA",'2024'!$K$2=BO271),'2024DATA'!$J$3,"")</f>
        <v/>
      </c>
      <c r="BP272" s="518" t="str">
        <f>IF(AND(_D="A-350",'2024'!$K$4="CA",'2024'!$K$2=BP271),'2024DATA'!$K$3,"")</f>
        <v/>
      </c>
      <c r="BQ272" s="518" t="str">
        <f>IF(AND(_D="A-350",'2024'!$K$4="CA",'2024'!$K$2=BQ271),'2024DATA'!$L$3,"")</f>
        <v/>
      </c>
      <c r="BR272" s="518" t="str">
        <f>IF(AND(_D="A-350",'2024'!$K$4="CA",'2024'!$K$2=BR271),'2024DATA'!$M$3,"")</f>
        <v/>
      </c>
      <c r="BS272" s="520" t="str">
        <f>IF(AND(_D="A-350",'2024'!$K$4="CA",'2024'!$K$2=BS271),'2024DATA'!$N$3,"")</f>
        <v/>
      </c>
      <c r="BT272" s="940" t="s">
        <v>39</v>
      </c>
      <c r="BU272" s="13" t="s">
        <v>61</v>
      </c>
      <c r="BV272" s="518" t="str">
        <f>IF(AND(_E="A-350",'2024'!$K$4="CA",'2024'!$K$2=BV271),'2024DATA'!$C$3,"")</f>
        <v/>
      </c>
      <c r="BW272" s="518" t="str">
        <f>IF(AND(_E="A-350",'2024'!$K$4="CA",'2024'!$K$2=BW271),'2024DATA'!$D$3,"")</f>
        <v/>
      </c>
      <c r="BX272" s="518" t="str">
        <f>IF(AND(_E="A-350",'2024'!$K$4="CA",'2024'!$K$2=BX271),'2024DATA'!$E$3,"")</f>
        <v/>
      </c>
      <c r="BY272" s="518" t="str">
        <f>IF(AND(_E="A-350",'2024'!$K$4="CA",'2024'!$K$2=BY271),'2024DATA'!$F$3,"")</f>
        <v/>
      </c>
      <c r="BZ272" s="518" t="str">
        <f>IF(AND(_E="A-350",'2024'!$K$4="CA",'2024'!$K$2=BZ271),'2024DATA'!$G$3,"")</f>
        <v/>
      </c>
      <c r="CA272" s="518" t="str">
        <f>IF(AND(_E="A-350",'2024'!$K$4="CA",'2024'!$K$2=CA271),'2024DATA'!$H$3,"")</f>
        <v/>
      </c>
      <c r="CB272" s="518" t="str">
        <f>IF(AND(_E="A-350",'2024'!$K$4="CA",'2024'!$K$2=CB271),'2024DATA'!$I$3,"")</f>
        <v/>
      </c>
      <c r="CC272" s="518" t="str">
        <f>IF(AND(_E="A-350",'2024'!$K$4="CA",'2024'!$K$2=CC271),'2024DATA'!$J$3,"")</f>
        <v/>
      </c>
      <c r="CD272" s="518" t="str">
        <f>IF(AND(_E="A-350",'2024'!$K$4="CA",'2024'!$K$2=CD271),'2024DATA'!$K$3,"")</f>
        <v/>
      </c>
      <c r="CE272" s="518" t="str">
        <f>IF(AND(_E="A-350",'2024'!$K$4="CA",'2024'!$K$2=CE271),'2024DATA'!$L$3,"")</f>
        <v/>
      </c>
      <c r="CF272" s="518" t="str">
        <f>IF(AND(_E="A-350",'2024'!$K$4="CA",'2024'!$K$2=CF271),'2024DATA'!$M$3,"")</f>
        <v/>
      </c>
      <c r="CG272" s="520" t="str">
        <f>IF(AND(_E="A-350",'2024'!$K$4="CA",'2024'!$K$2=CG271),'2024DATA'!$N$3,"")</f>
        <v/>
      </c>
      <c r="CH272" s="940" t="s">
        <v>39</v>
      </c>
      <c r="CI272" s="13" t="s">
        <v>61</v>
      </c>
      <c r="CJ272" s="518" t="str">
        <f>IF(AND(_F="A-350",'2024'!$K$4="CA",'2024'!$K$2=CJ271),'2024DATA'!$C$3,"")</f>
        <v/>
      </c>
      <c r="CK272" s="518" t="str">
        <f>IF(AND(_F="A-350",'2024'!$K$4="CA",'2024'!$K$2=CK271),'2024DATA'!$D$3,"")</f>
        <v/>
      </c>
      <c r="CL272" s="518" t="str">
        <f>IF(AND(_F="A-350",'2024'!$K$4="CA",'2024'!$K$2=CL271),'2024DATA'!$E$3,"")</f>
        <v/>
      </c>
      <c r="CM272" s="518" t="str">
        <f>IF(AND(_F="A-350",'2024'!$K$4="CA",'2024'!$K$2=CM271),'2024DATA'!$F$3,"")</f>
        <v/>
      </c>
      <c r="CN272" s="518" t="str">
        <f>IF(AND(_F="A-350",'2024'!$K$4="CA",'2024'!$K$2=CN271),'2024DATA'!$G$3,"")</f>
        <v/>
      </c>
      <c r="CO272" s="518" t="str">
        <f>IF(AND(_F="A-350",'2024'!$K$4="CA",'2024'!$K$2=CO271),'2024DATA'!$H$3,"")</f>
        <v/>
      </c>
      <c r="CP272" s="518" t="str">
        <f>IF(AND(_F="A-350",'2024'!$K$4="CA",'2024'!$K$2=CP271),'2024DATA'!$I$3,"")</f>
        <v/>
      </c>
      <c r="CQ272" s="518" t="str">
        <f>IF(AND(_F="A-350",'2024'!$K$4="CA",'2024'!$K$2=CQ271),'2024DATA'!$J$3,"")</f>
        <v/>
      </c>
      <c r="CR272" s="518" t="str">
        <f>IF(AND(_F="A-350",'2024'!$K$4="CA",'2024'!$K$2=CR271),'2024DATA'!$K$3,"")</f>
        <v/>
      </c>
      <c r="CS272" s="518" t="str">
        <f>IF(AND(_F="A-350",'2024'!$K$4="CA",'2024'!$K$2=CS271),'2024DATA'!$L$3,"")</f>
        <v/>
      </c>
      <c r="CT272" s="518" t="str">
        <f>IF(AND(_F="A-350",'2024'!$K$4="CA",'2024'!$K$2=CT271),'2024DATA'!$M$3,"")</f>
        <v/>
      </c>
      <c r="CU272" s="520" t="str">
        <f>IF(AND(_F="A-350",'2024'!$K$4="CA",'2024'!$K$2=CU271),'2024DATA'!$N$3,"")</f>
        <v/>
      </c>
    </row>
    <row r="273" spans="16:99" x14ac:dyDescent="0.25">
      <c r="P273" s="940"/>
      <c r="Q273" s="13" t="s">
        <v>62</v>
      </c>
      <c r="R273" s="518" t="str">
        <f>IF(AND(_A="A-350",'2024'!$K$4="FO",'2024'!$K$2=R271),'2024DATA'!$C$4,"")</f>
        <v/>
      </c>
      <c r="S273" s="518" t="str">
        <f>IF(AND(_A="A-350",'2024'!$K$4="FO",'2024'!$K$2=S271),'2024DATA'!$D$4,"")</f>
        <v/>
      </c>
      <c r="T273" s="518" t="str">
        <f>IF(AND(_A="A-350",'2024'!$K$4="FO",'2024'!$K$2=T271),'2024DATA'!$E$4,"")</f>
        <v/>
      </c>
      <c r="U273" s="518" t="str">
        <f>IF(AND(_A="A-350",'2024'!$K$4="FO",'2024'!$K$2=U271),'2024DATA'!$F$4,"")</f>
        <v/>
      </c>
      <c r="V273" s="518" t="str">
        <f>IF(AND(_A="A-350",'2024'!$K$4="FO",'2024'!$K$2=V271),'2024DATA'!$G$4,"")</f>
        <v/>
      </c>
      <c r="W273" s="518" t="str">
        <f>IF(AND(_A="A-350",'2024'!$K$4="FO",'2024'!$K$2=W271),'2024DATA'!$H$4,"")</f>
        <v/>
      </c>
      <c r="X273" s="518" t="str">
        <f>IF(AND(_A="A-350",'2024'!$K$4="FO",'2024'!$K$2=X271),'2024DATA'!$I$4,"")</f>
        <v/>
      </c>
      <c r="Y273" s="518" t="str">
        <f>IF(AND(_A="A-350",'2024'!$K$4="FO",'2024'!$K$2=Y271),'2024DATA'!$J$4,"")</f>
        <v/>
      </c>
      <c r="Z273" s="518" t="str">
        <f>IF(AND(_A="A-350",'2024'!$K$4="FO",'2024'!$K$2=Z271),'2024DATA'!$K$4,"")</f>
        <v/>
      </c>
      <c r="AA273" s="518" t="str">
        <f>IF(AND(_A="A-350",'2024'!$K$4="FO",'2024'!$K$2=AA271),'2024DATA'!$L$4,"")</f>
        <v/>
      </c>
      <c r="AB273" s="518" t="str">
        <f>IF(AND(_A="A-350",'2024'!$K$4="FO",'2024'!$K$2=AB271),'2024DATA'!$M$4,"")</f>
        <v/>
      </c>
      <c r="AC273" s="520" t="str">
        <f>IF(AND(_A="A-350",'2024'!$K$4="FO",'2024'!$K$2=AC271),'2024DATA'!$N$4,"")</f>
        <v/>
      </c>
      <c r="AD273" s="940"/>
      <c r="AE273" s="13" t="s">
        <v>62</v>
      </c>
      <c r="AF273" s="518" t="str">
        <f>IF(AND(_B="A-350",'2024'!$K$4="FO",'2024'!$K$2=AF271),'2024DATA'!$C$4,"")</f>
        <v/>
      </c>
      <c r="AG273" s="518" t="str">
        <f>IF(AND(_B="A-350",'2024'!$K$4="FO",'2024'!$K$2=AG271),'2024DATA'!$D$4,"")</f>
        <v/>
      </c>
      <c r="AH273" s="518" t="str">
        <f>IF(AND(_B="A-350",'2024'!$K$4="FO",'2024'!$K$2=AH271),'2024DATA'!$E$4,"")</f>
        <v/>
      </c>
      <c r="AI273" s="518" t="str">
        <f>IF(AND(_B="A-350",'2024'!$K$4="FO",'2024'!$K$2=AI271),'2024DATA'!$F$4,"")</f>
        <v/>
      </c>
      <c r="AJ273" s="518" t="str">
        <f>IF(AND(_B="A-350",'2024'!$K$4="FO",'2024'!$K$2=AJ271),'2024DATA'!$G$4,"")</f>
        <v/>
      </c>
      <c r="AK273" s="518" t="str">
        <f>IF(AND(_B="A-350",'2024'!$K$4="FO",'2024'!$K$2=AK271),'2024DATA'!$H$4,"")</f>
        <v/>
      </c>
      <c r="AL273" s="518" t="str">
        <f>IF(AND(_B="A-350",'2024'!$K$4="FO",'2024'!$K$2=AL271),'2024DATA'!$I$4,"")</f>
        <v/>
      </c>
      <c r="AM273" s="518" t="str">
        <f>IF(AND(_B="A-350",'2024'!$K$4="FO",'2024'!$K$2=AM271),'2024DATA'!$J$4,"")</f>
        <v/>
      </c>
      <c r="AN273" s="518" t="str">
        <f>IF(AND(_B="A-350",'2024'!$K$4="FO",'2024'!$K$2=AN271),'2024DATA'!$K$4,"")</f>
        <v/>
      </c>
      <c r="AO273" s="518" t="str">
        <f>IF(AND(_B="A-350",'2024'!$K$4="FO",'2024'!$K$2=AO271),'2024DATA'!$L$4,"")</f>
        <v/>
      </c>
      <c r="AP273" s="518" t="str">
        <f>IF(AND(_B="A-350",'2024'!$K$4="FO",'2024'!$K$2=AP271),'2024DATA'!$M$4,"")</f>
        <v/>
      </c>
      <c r="AQ273" s="520" t="str">
        <f>IF(AND(_B="A-350",'2024'!$K$4="FO",'2024'!$K$2=AQ271),'2024DATA'!$N$4,"")</f>
        <v/>
      </c>
      <c r="AR273" s="940"/>
      <c r="AS273" s="13" t="s">
        <v>62</v>
      </c>
      <c r="AT273" s="518" t="str">
        <f>IF(AND(_C="A-350",'2024'!$K$4="FO",'2024'!$K$2=AT271),'2024DATA'!$C$4,"")</f>
        <v/>
      </c>
      <c r="AU273" s="518" t="str">
        <f>IF(AND(_C="A-350",'2024'!$K$4="FO",'2024'!$K$2=AU271),'2024DATA'!$D$4,"")</f>
        <v/>
      </c>
      <c r="AV273" s="518" t="str">
        <f>IF(AND(_C="A-350",'2024'!$K$4="FO",'2024'!$K$2=AV271),'2024DATA'!$E$4,"")</f>
        <v/>
      </c>
      <c r="AW273" s="518" t="str">
        <f>IF(AND(_C="A-350",'2024'!$K$4="FO",'2024'!$K$2=AW271),'2024DATA'!$F$4,"")</f>
        <v/>
      </c>
      <c r="AX273" s="518" t="str">
        <f>IF(AND(_C="A-350",'2024'!$K$4="FO",'2024'!$K$2=AX271),'2024DATA'!$G$4,"")</f>
        <v/>
      </c>
      <c r="AY273" s="518" t="str">
        <f>IF(AND(_C="A-350",'2024'!$K$4="FO",'2024'!$K$2=AY271),'2024DATA'!$H$4,"")</f>
        <v/>
      </c>
      <c r="AZ273" s="518" t="str">
        <f>IF(AND(_C="A-350",'2024'!$K$4="FO",'2024'!$K$2=AZ271),'2024DATA'!$I$4,"")</f>
        <v/>
      </c>
      <c r="BA273" s="518" t="str">
        <f>IF(AND(_C="A-350",'2024'!$K$4="FO",'2024'!$K$2=BA271),'2024DATA'!$J$4,"")</f>
        <v/>
      </c>
      <c r="BB273" s="518" t="str">
        <f>IF(AND(_C="A-350",'2024'!$K$4="FO",'2024'!$K$2=BB271),'2024DATA'!$K$4,"")</f>
        <v/>
      </c>
      <c r="BC273" s="518" t="str">
        <f>IF(AND(_C="A-350",'2024'!$K$4="FO",'2024'!$K$2=BC271),'2024DATA'!$L$4,"")</f>
        <v/>
      </c>
      <c r="BD273" s="518" t="str">
        <f>IF(AND(_C="A-350",'2024'!$K$4="FO",'2024'!$K$2=BD271),'2024DATA'!$M$4,"")</f>
        <v/>
      </c>
      <c r="BE273" s="520" t="str">
        <f>IF(AND(_C="A-350",'2024'!$K$4="FO",'2024'!$K$2=BE271),'2024DATA'!$N$4,"")</f>
        <v/>
      </c>
      <c r="BF273" s="940"/>
      <c r="BG273" s="13" t="s">
        <v>62</v>
      </c>
      <c r="BH273" s="518" t="str">
        <f>IF(AND(_D="A-350",'2024'!$K$4="FO",'2024'!$K$2=BH271),'2024DATA'!$C$4,"")</f>
        <v/>
      </c>
      <c r="BI273" s="518" t="str">
        <f>IF(AND(_D="A-350",'2024'!$K$4="FO",'2024'!$K$2=BI271),'2024DATA'!$D$4,"")</f>
        <v/>
      </c>
      <c r="BJ273" s="518" t="str">
        <f>IF(AND(_D="A-350",'2024'!$K$4="FO",'2024'!$K$2=BJ271),'2024DATA'!$E$4,"")</f>
        <v/>
      </c>
      <c r="BK273" s="518" t="str">
        <f>IF(AND(_D="A-350",'2024'!$K$4="FO",'2024'!$K$2=BK271),'2024DATA'!$F$4,"")</f>
        <v/>
      </c>
      <c r="BL273" s="518" t="str">
        <f>IF(AND(_D="A-350",'2024'!$K$4="FO",'2024'!$K$2=BL271),'2024DATA'!$G$4,"")</f>
        <v/>
      </c>
      <c r="BM273" s="518" t="str">
        <f>IF(AND(_D="A-350",'2024'!$K$4="FO",'2024'!$K$2=BM271),'2024DATA'!$H$4,"")</f>
        <v/>
      </c>
      <c r="BN273" s="518" t="str">
        <f>IF(AND(_D="A-350",'2024'!$K$4="FO",'2024'!$K$2=BN271),'2024DATA'!$I$4,"")</f>
        <v/>
      </c>
      <c r="BO273" s="518" t="str">
        <f>IF(AND(_D="A-350",'2024'!$K$4="FO",'2024'!$K$2=BO271),'2024DATA'!$J$4,"")</f>
        <v/>
      </c>
      <c r="BP273" s="518" t="str">
        <f>IF(AND(_D="A-350",'2024'!$K$4="FO",'2024'!$K$2=BP271),'2024DATA'!$K$4,"")</f>
        <v/>
      </c>
      <c r="BQ273" s="518" t="str">
        <f>IF(AND(_D="A-350",'2024'!$K$4="FO",'2024'!$K$2=BQ271),'2024DATA'!$L$4,"")</f>
        <v/>
      </c>
      <c r="BR273" s="518" t="str">
        <f>IF(AND(_D="A-350",'2024'!$K$4="FO",'2024'!$K$2=BR271),'2024DATA'!$M$4,"")</f>
        <v/>
      </c>
      <c r="BS273" s="520" t="str">
        <f>IF(AND(_D="A-350",'2024'!$K$4="FO",'2024'!$K$2=BS271),'2024DATA'!$N$4,"")</f>
        <v/>
      </c>
      <c r="BT273" s="940"/>
      <c r="BU273" s="13" t="s">
        <v>62</v>
      </c>
      <c r="BV273" s="518" t="str">
        <f>IF(AND(_E="A-350",'2024'!$K$4="FO",'2024'!$K$2=BV271),'2024DATA'!$C$4,"")</f>
        <v/>
      </c>
      <c r="BW273" s="518" t="str">
        <f>IF(AND(_E="A-350",'2024'!$K$4="FO",'2024'!$K$2=BW271),'2024DATA'!$D$4,"")</f>
        <v/>
      </c>
      <c r="BX273" s="518" t="str">
        <f>IF(AND(_E="A-350",'2024'!$K$4="FO",'2024'!$K$2=BX271),'2024DATA'!$E$4,"")</f>
        <v/>
      </c>
      <c r="BY273" s="518" t="str">
        <f>IF(AND(_E="A-350",'2024'!$K$4="FO",'2024'!$K$2=BY271),'2024DATA'!$F$4,"")</f>
        <v/>
      </c>
      <c r="BZ273" s="518" t="str">
        <f>IF(AND(_E="A-350",'2024'!$K$4="FO",'2024'!$K$2=BZ271),'2024DATA'!$G$4,"")</f>
        <v/>
      </c>
      <c r="CA273" s="518" t="str">
        <f>IF(AND(_E="A-350",'2024'!$K$4="FO",'2024'!$K$2=CA271),'2024DATA'!$H$4,"")</f>
        <v/>
      </c>
      <c r="CB273" s="518" t="str">
        <f>IF(AND(_E="A-350",'2024'!$K$4="FO",'2024'!$K$2=CB271),'2024DATA'!$I$4,"")</f>
        <v/>
      </c>
      <c r="CC273" s="518" t="str">
        <f>IF(AND(_E="A-350",'2024'!$K$4="FO",'2024'!$K$2=CC271),'2024DATA'!$J$4,"")</f>
        <v/>
      </c>
      <c r="CD273" s="518" t="str">
        <f>IF(AND(_E="A-350",'2024'!$K$4="FO",'2024'!$K$2=CD271),'2024DATA'!$K$4,"")</f>
        <v/>
      </c>
      <c r="CE273" s="518" t="str">
        <f>IF(AND(_E="A-350",'2024'!$K$4="FO",'2024'!$K$2=CE271),'2024DATA'!$L$4,"")</f>
        <v/>
      </c>
      <c r="CF273" s="518" t="str">
        <f>IF(AND(_E="A-350",'2024'!$K$4="FO",'2024'!$K$2=CF271),'2024DATA'!$M$4,"")</f>
        <v/>
      </c>
      <c r="CG273" s="520" t="str">
        <f>IF(AND(_E="A-350",'2024'!$K$4="FO",'2024'!$K$2=CG271),'2024DATA'!$N$4,"")</f>
        <v/>
      </c>
      <c r="CH273" s="940"/>
      <c r="CI273" s="13" t="s">
        <v>62</v>
      </c>
      <c r="CJ273" s="518" t="str">
        <f>IF(AND(_F="A-350",'2024'!$K$4="FO",'2024'!$K$2=CJ271),'2024DATA'!$C$4,"")</f>
        <v/>
      </c>
      <c r="CK273" s="518" t="str">
        <f>IF(AND(_F="A-350",'2024'!$K$4="FO",'2024'!$K$2=CK271),'2024DATA'!$D$4,"")</f>
        <v/>
      </c>
      <c r="CL273" s="518" t="str">
        <f>IF(AND(_F="A-350",'2024'!$K$4="FO",'2024'!$K$2=CL271),'2024DATA'!$E$4,"")</f>
        <v/>
      </c>
      <c r="CM273" s="518" t="str">
        <f>IF(AND(_F="A-350",'2024'!$K$4="FO",'2024'!$K$2=CM271),'2024DATA'!$F$4,"")</f>
        <v/>
      </c>
      <c r="CN273" s="518" t="str">
        <f>IF(AND(_F="A-350",'2024'!$K$4="FO",'2024'!$K$2=CN271),'2024DATA'!$G$4,"")</f>
        <v/>
      </c>
      <c r="CO273" s="518" t="str">
        <f>IF(AND(_F="A-350",'2024'!$K$4="FO",'2024'!$K$2=CO271),'2024DATA'!$H$4,"")</f>
        <v/>
      </c>
      <c r="CP273" s="518" t="str">
        <f>IF(AND(_F="A-350",'2024'!$K$4="FO",'2024'!$K$2=CP271),'2024DATA'!$I$4,"")</f>
        <v/>
      </c>
      <c r="CQ273" s="518" t="str">
        <f>IF(AND(_F="A-350",'2024'!$K$4="FO",'2024'!$K$2=CQ271),'2024DATA'!$J$4,"")</f>
        <v/>
      </c>
      <c r="CR273" s="518" t="str">
        <f>IF(AND(_F="A-350",'2024'!$K$4="FO",'2024'!$K$2=CR271),'2024DATA'!$K$4,"")</f>
        <v/>
      </c>
      <c r="CS273" s="518" t="str">
        <f>IF(AND(_F="A-350",'2024'!$K$4="FO",'2024'!$K$2=CS271),'2024DATA'!$L$4,"")</f>
        <v/>
      </c>
      <c r="CT273" s="518" t="str">
        <f>IF(AND(_F="A-350",'2024'!$K$4="FO",'2024'!$K$2=CT271),'2024DATA'!$M$4,"")</f>
        <v/>
      </c>
      <c r="CU273" s="520" t="str">
        <f>IF(AND(_F="A-350",'2024'!$K$4="FO",'2024'!$K$2=CU271),'2024DATA'!$N$4,"")</f>
        <v/>
      </c>
    </row>
    <row r="274" spans="16:99" x14ac:dyDescent="0.25">
      <c r="P274" s="940" t="s">
        <v>65</v>
      </c>
      <c r="Q274" s="13" t="s">
        <v>61</v>
      </c>
      <c r="R274" s="518" t="str">
        <f>IF(AND(_A="A-330-900",'2024'!$K$4="CA",'2024'!$K$2=R271),'2024DATA'!$C$5,"")</f>
        <v/>
      </c>
      <c r="S274" s="518" t="str">
        <f>IF(AND(_A="A-330-900",'2024'!$K$4="CA",'2024'!$K$2=S271),'2024DATA'!$D$5,"")</f>
        <v/>
      </c>
      <c r="T274" s="518" t="str">
        <f>IF(AND(_A="A-330-900",'2024'!$K$4="CA",'2024'!$K$2=T271),'2024DATA'!$E$5,"")</f>
        <v/>
      </c>
      <c r="U274" s="518" t="str">
        <f>IF(AND(_A="A-330-900",'2024'!$K$4="CA",'2024'!$K$2=U271),'2024DATA'!$F$5,"")</f>
        <v/>
      </c>
      <c r="V274" s="518" t="str">
        <f>IF(AND(_A="A-330-900",'2024'!$K$4="CA",'2024'!$K$2=V271),'2024DATA'!$G$5,"")</f>
        <v/>
      </c>
      <c r="W274" s="518" t="str">
        <f>IF(AND(_A="A-330-900",'2024'!$K$4="CA",'2024'!$K$2=W271),'2024DATA'!$H$5,"")</f>
        <v/>
      </c>
      <c r="X274" s="518" t="str">
        <f>IF(AND(_A="A-330-900",'2024'!$K$4="CA",'2024'!$K$2=X271),'2024DATA'!$I$5,"")</f>
        <v/>
      </c>
      <c r="Y274" s="518" t="str">
        <f>IF(AND(_A="A-330-900",'2024'!$K$4="CA",'2024'!$K$2=Y271),'2024DATA'!$J$5,"")</f>
        <v/>
      </c>
      <c r="Z274" s="518" t="str">
        <f>IF(AND(_A="A-330-900",'2024'!$K$4="CA",'2024'!$K$2=Z271),'2024DATA'!$K$5,"")</f>
        <v/>
      </c>
      <c r="AA274" s="518" t="str">
        <f>IF(AND(_A="A-330-900",'2024'!$K$4="CA",'2024'!$K$2=AA271),'2024DATA'!$L$5,"")</f>
        <v/>
      </c>
      <c r="AB274" s="518" t="str">
        <f>IF(AND(_A="A-330-900",'2024'!$K$4="CA",'2024'!$K$2=AB271),'2024DATA'!$M$5,"")</f>
        <v/>
      </c>
      <c r="AC274" s="520" t="str">
        <f>IF(AND(_A="A-330-900",'2024'!$K$4="CA",'2024'!$K$2=AC271),'2024DATA'!$N$5,"")</f>
        <v/>
      </c>
      <c r="AD274" s="940" t="s">
        <v>65</v>
      </c>
      <c r="AE274" s="13" t="s">
        <v>61</v>
      </c>
      <c r="AF274" s="518" t="str">
        <f>IF(AND(_B="A-330-900",'2024'!$K$4="CA",'2024'!$K$2=AF271),'2024DATA'!$C$5,"")</f>
        <v/>
      </c>
      <c r="AG274" s="518" t="str">
        <f>IF(AND(_B="A-330-900",'2024'!$K$4="CA",'2024'!$K$2=AG271),'2024DATA'!$D$5,"")</f>
        <v/>
      </c>
      <c r="AH274" s="518" t="str">
        <f>IF(AND(_B="A-330-900",'2024'!$K$4="CA",'2024'!$K$2=AH271),'2024DATA'!$E$5,"")</f>
        <v/>
      </c>
      <c r="AI274" s="518" t="str">
        <f>IF(AND(_B="A-330-900",'2024'!$K$4="CA",'2024'!$K$2=AI271),'2024DATA'!$F$5,"")</f>
        <v/>
      </c>
      <c r="AJ274" s="518" t="str">
        <f>IF(AND(_B="A-330-900",'2024'!$K$4="CA",'2024'!$K$2=AJ271),'2024DATA'!$G$5,"")</f>
        <v/>
      </c>
      <c r="AK274" s="518" t="str">
        <f>IF(AND(_B="A-330-900",'2024'!$K$4="CA",'2024'!$K$2=AK271),'2024DATA'!$H$5,"")</f>
        <v/>
      </c>
      <c r="AL274" s="518" t="str">
        <f>IF(AND(_B="A-330-900",'2024'!$K$4="CA",'2024'!$K$2=AL271),'2024DATA'!$I$5,"")</f>
        <v/>
      </c>
      <c r="AM274" s="518" t="str">
        <f>IF(AND(_B="A-330-900",'2024'!$K$4="CA",'2024'!$K$2=AM271),'2024DATA'!$J$5,"")</f>
        <v/>
      </c>
      <c r="AN274" s="518" t="str">
        <f>IF(AND(_B="A-330-900",'2024'!$K$4="CA",'2024'!$K$2=AN271),'2024DATA'!$K$5,"")</f>
        <v/>
      </c>
      <c r="AO274" s="518" t="str">
        <f>IF(AND(_B="A-330-900",'2024'!$K$4="CA",'2024'!$K$2=AO271),'2024DATA'!$L$5,"")</f>
        <v/>
      </c>
      <c r="AP274" s="518" t="str">
        <f>IF(AND(_B="A-330-900",'2024'!$K$4="CA",'2024'!$K$2=AP271),'2024DATA'!$M$5,"")</f>
        <v/>
      </c>
      <c r="AQ274" s="520" t="str">
        <f>IF(AND(_B="A-330-900",'2024'!$K$4="CA",'2024'!$K$2=AQ271),'2024DATA'!$N$5,"")</f>
        <v/>
      </c>
      <c r="AR274" s="940" t="s">
        <v>65</v>
      </c>
      <c r="AS274" s="13" t="s">
        <v>61</v>
      </c>
      <c r="AT274" s="518" t="str">
        <f>IF(AND(_C="A-330-900",'2024'!$K$4="CA",'2024'!$K$2=AT271),'2024DATA'!$C$5,"")</f>
        <v/>
      </c>
      <c r="AU274" s="518" t="str">
        <f>IF(AND(_C="A-330-900",'2024'!$K$4="CA",'2024'!$K$2=AU271),'2024DATA'!$D$5,"")</f>
        <v/>
      </c>
      <c r="AV274" s="518" t="str">
        <f>IF(AND(_C="A-330-900",'2024'!$K$4="CA",'2024'!$K$2=AV271),'2024DATA'!$E$5,"")</f>
        <v/>
      </c>
      <c r="AW274" s="518" t="str">
        <f>IF(AND(_C="A-330-900",'2024'!$K$4="CA",'2024'!$K$2=AW271),'2024DATA'!$F$5,"")</f>
        <v/>
      </c>
      <c r="AX274" s="518" t="str">
        <f>IF(AND(_C="A-330-900",'2024'!$K$4="CA",'2024'!$K$2=AX271),'2024DATA'!$G$5,"")</f>
        <v/>
      </c>
      <c r="AY274" s="518" t="str">
        <f>IF(AND(_C="A-330-900",'2024'!$K$4="CA",'2024'!$K$2=AY271),'2024DATA'!$H$5,"")</f>
        <v/>
      </c>
      <c r="AZ274" s="518" t="str">
        <f>IF(AND(_C="A-330-900",'2024'!$K$4="CA",'2024'!$K$2=AZ271),'2024DATA'!$I$5,"")</f>
        <v/>
      </c>
      <c r="BA274" s="518" t="str">
        <f>IF(AND(_C="A-330-900",'2024'!$K$4="CA",'2024'!$K$2=BA271),'2024DATA'!$J$5,"")</f>
        <v/>
      </c>
      <c r="BB274" s="518" t="str">
        <f>IF(AND(_C="A-330-900",'2024'!$K$4="CA",'2024'!$K$2=BB271),'2024DATA'!$K$5,"")</f>
        <v/>
      </c>
      <c r="BC274" s="518" t="str">
        <f>IF(AND(_C="A-330-900",'2024'!$K$4="CA",'2024'!$K$2=BC271),'2024DATA'!$L$5,"")</f>
        <v/>
      </c>
      <c r="BD274" s="518" t="str">
        <f>IF(AND(_C="A-330-900",'2024'!$K$4="CA",'2024'!$K$2=BD271),'2024DATA'!$M$5,"")</f>
        <v/>
      </c>
      <c r="BE274" s="520" t="str">
        <f>IF(AND(_C="A-330-900",'2024'!$K$4="CA",'2024'!$K$2=BE271),'2024DATA'!$N$5,"")</f>
        <v/>
      </c>
      <c r="BF274" s="940" t="s">
        <v>65</v>
      </c>
      <c r="BG274" s="13" t="s">
        <v>61</v>
      </c>
      <c r="BH274" s="518" t="str">
        <f>IF(AND(_D="A-330-900",'2024'!$K$4="CA",'2024'!$K$2=BH271),'2024DATA'!$C$5,"")</f>
        <v/>
      </c>
      <c r="BI274" s="518" t="str">
        <f>IF(AND(_D="A-330-900",'2024'!$K$4="CA",'2024'!$K$2=BI271),'2024DATA'!$D$5,"")</f>
        <v/>
      </c>
      <c r="BJ274" s="518" t="str">
        <f>IF(AND(_D="A-330-900",'2024'!$K$4="CA",'2024'!$K$2=BJ271),'2024DATA'!$E$5,"")</f>
        <v/>
      </c>
      <c r="BK274" s="518" t="str">
        <f>IF(AND(_D="A-330-900",'2024'!$K$4="CA",'2024'!$K$2=BK271),'2024DATA'!$F$5,"")</f>
        <v/>
      </c>
      <c r="BL274" s="518" t="str">
        <f>IF(AND(_D="A-330-900",'2024'!$K$4="CA",'2024'!$K$2=BL271),'2024DATA'!$G$5,"")</f>
        <v/>
      </c>
      <c r="BM274" s="518" t="str">
        <f>IF(AND(_D="A-330-900",'2024'!$K$4="CA",'2024'!$K$2=BM271),'2024DATA'!$H$5,"")</f>
        <v/>
      </c>
      <c r="BN274" s="518" t="str">
        <f>IF(AND(_D="A-330-900",'2024'!$K$4="CA",'2024'!$K$2=BN271),'2024DATA'!$I$5,"")</f>
        <v/>
      </c>
      <c r="BO274" s="518" t="str">
        <f>IF(AND(_D="A-330-900",'2024'!$K$4="CA",'2024'!$K$2=BO271),'2024DATA'!$J$5,"")</f>
        <v/>
      </c>
      <c r="BP274" s="518" t="str">
        <f>IF(AND(_D="A-330-900",'2024'!$K$4="CA",'2024'!$K$2=BP271),'2024DATA'!$K$5,"")</f>
        <v/>
      </c>
      <c r="BQ274" s="518" t="str">
        <f>IF(AND(_D="A-330-900",'2024'!$K$4="CA",'2024'!$K$2=BQ271),'2024DATA'!$L$5,"")</f>
        <v/>
      </c>
      <c r="BR274" s="518" t="str">
        <f>IF(AND(_D="A-330-900",'2024'!$K$4="CA",'2024'!$K$2=BR271),'2024DATA'!$M$5,"")</f>
        <v/>
      </c>
      <c r="BS274" s="520" t="str">
        <f>IF(AND(_D="A-330-900",'2024'!$K$4="CA",'2024'!$K$2=BS271),'2024DATA'!$N$5,"")</f>
        <v/>
      </c>
      <c r="BT274" s="940" t="s">
        <v>65</v>
      </c>
      <c r="BU274" s="13" t="s">
        <v>61</v>
      </c>
      <c r="BV274" s="518" t="str">
        <f>IF(AND(_E="A-330-900",'2024'!$K$4="CA",'2024'!$K$2=BV271),'2024DATA'!$C$5,"")</f>
        <v/>
      </c>
      <c r="BW274" s="518" t="str">
        <f>IF(AND(_E="A-330-900",'2024'!$K$4="CA",'2024'!$K$2=BW271),'2024DATA'!$D$5,"")</f>
        <v/>
      </c>
      <c r="BX274" s="518" t="str">
        <f>IF(AND(_E="A-330-900",'2024'!$K$4="CA",'2024'!$K$2=BX271),'2024DATA'!$E$5,"")</f>
        <v/>
      </c>
      <c r="BY274" s="518" t="str">
        <f>IF(AND(_E="A-330-900",'2024'!$K$4="CA",'2024'!$K$2=BY271),'2024DATA'!$F$5,"")</f>
        <v/>
      </c>
      <c r="BZ274" s="518" t="str">
        <f>IF(AND(_E="A-330-900",'2024'!$K$4="CA",'2024'!$K$2=BZ271),'2024DATA'!$G$5,"")</f>
        <v/>
      </c>
      <c r="CA274" s="518" t="str">
        <f>IF(AND(_E="A-330-900",'2024'!$K$4="CA",'2024'!$K$2=CA271),'2024DATA'!$H$5,"")</f>
        <v/>
      </c>
      <c r="CB274" s="518" t="str">
        <f>IF(AND(_E="A-330-900",'2024'!$K$4="CA",'2024'!$K$2=CB271),'2024DATA'!$I$5,"")</f>
        <v/>
      </c>
      <c r="CC274" s="518" t="str">
        <f>IF(AND(_E="A-330-900",'2024'!$K$4="CA",'2024'!$K$2=CC271),'2024DATA'!$J$5,"")</f>
        <v/>
      </c>
      <c r="CD274" s="518" t="str">
        <f>IF(AND(_E="A-330-900",'2024'!$K$4="CA",'2024'!$K$2=CD271),'2024DATA'!$K$5,"")</f>
        <v/>
      </c>
      <c r="CE274" s="518" t="str">
        <f>IF(AND(_E="A-330-900",'2024'!$K$4="CA",'2024'!$K$2=CE271),'2024DATA'!$L$5,"")</f>
        <v/>
      </c>
      <c r="CF274" s="518" t="str">
        <f>IF(AND(_E="A-330-900",'2024'!$K$4="CA",'2024'!$K$2=CF271),'2024DATA'!$M$5,"")</f>
        <v/>
      </c>
      <c r="CG274" s="520" t="str">
        <f>IF(AND(_E="A-330-900",'2024'!$K$4="CA",'2024'!$K$2=CG271),'2024DATA'!$N$5,"")</f>
        <v/>
      </c>
      <c r="CH274" s="940" t="s">
        <v>65</v>
      </c>
      <c r="CI274" s="13" t="s">
        <v>61</v>
      </c>
      <c r="CJ274" s="518" t="str">
        <f>IF(AND(_F="A-330-900",'2024'!$K$4="CA",'2024'!$K$2=CJ271),'2024DATA'!$C$5,"")</f>
        <v/>
      </c>
      <c r="CK274" s="518" t="str">
        <f>IF(AND(_F="A-330-900",'2024'!$K$4="CA",'2024'!$K$2=CK271),'2024DATA'!$D$5,"")</f>
        <v/>
      </c>
      <c r="CL274" s="518" t="str">
        <f>IF(AND(_F="A-330-900",'2024'!$K$4="CA",'2024'!$K$2=CL271),'2024DATA'!$E$5,"")</f>
        <v/>
      </c>
      <c r="CM274" s="518" t="str">
        <f>IF(AND(_F="A-330-900",'2024'!$K$4="CA",'2024'!$K$2=CM271),'2024DATA'!$F$5,"")</f>
        <v/>
      </c>
      <c r="CN274" s="518" t="str">
        <f>IF(AND(_F="A-330-900",'2024'!$K$4="CA",'2024'!$K$2=CN271),'2024DATA'!$G$5,"")</f>
        <v/>
      </c>
      <c r="CO274" s="518" t="str">
        <f>IF(AND(_F="A-330-900",'2024'!$K$4="CA",'2024'!$K$2=CO271),'2024DATA'!$H$5,"")</f>
        <v/>
      </c>
      <c r="CP274" s="518" t="str">
        <f>IF(AND(_F="A-330-900",'2024'!$K$4="CA",'2024'!$K$2=CP271),'2024DATA'!$I$5,"")</f>
        <v/>
      </c>
      <c r="CQ274" s="518" t="str">
        <f>IF(AND(_F="A-330-900",'2024'!$K$4="CA",'2024'!$K$2=CQ271),'2024DATA'!$J$5,"")</f>
        <v/>
      </c>
      <c r="CR274" s="518" t="str">
        <f>IF(AND(_F="A-330-900",'2024'!$K$4="CA",'2024'!$K$2=CR271),'2024DATA'!$K$5,"")</f>
        <v/>
      </c>
      <c r="CS274" s="518" t="str">
        <f>IF(AND(_F="A-330-900",'2024'!$K$4="CA",'2024'!$K$2=CS271),'2024DATA'!$L$5,"")</f>
        <v/>
      </c>
      <c r="CT274" s="518" t="str">
        <f>IF(AND(_F="A-330-900",'2024'!$K$4="CA",'2024'!$K$2=CT271),'2024DATA'!$M$5,"")</f>
        <v/>
      </c>
      <c r="CU274" s="520" t="str">
        <f>IF(AND(_F="A-330-900",'2024'!$K$4="CA",'2024'!$K$2=CU271),'2024DATA'!$N$5,"")</f>
        <v/>
      </c>
    </row>
    <row r="275" spans="16:99" x14ac:dyDescent="0.25">
      <c r="P275" s="940"/>
      <c r="Q275" s="13" t="s">
        <v>62</v>
      </c>
      <c r="R275" s="518" t="str">
        <f>IF(AND(_A="A-330-900",'2024'!$K$4="FO",'2024'!$K$2=R271),'2024DATA'!$C$6,"")</f>
        <v/>
      </c>
      <c r="S275" s="518" t="str">
        <f>IF(AND(_A="A-330-900",'2024'!$K$4="FO",'2024'!$K$2=S271),'2024DATA'!$D$6,"")</f>
        <v/>
      </c>
      <c r="T275" s="518" t="str">
        <f>IF(AND(_A="A-330-900",'2024'!$K$4="FO",'2024'!$K$2=T271),'2024DATA'!$E$6,"")</f>
        <v/>
      </c>
      <c r="U275" s="518" t="str">
        <f>IF(AND(_A="A-330-900",'2024'!$K$4="FO",'2024'!$K$2=U271),'2024DATA'!$F$6,"")</f>
        <v/>
      </c>
      <c r="V275" s="518" t="str">
        <f>IF(AND(_A="A-330-900",'2024'!$K$4="FO",'2024'!$K$2=V271),'2024DATA'!$G$6,"")</f>
        <v/>
      </c>
      <c r="W275" s="518" t="str">
        <f>IF(AND(_A="A-330-900",'2024'!$K$4="FO",'2024'!$K$2=W271),'2024DATA'!$H$6,"")</f>
        <v/>
      </c>
      <c r="X275" s="518" t="str">
        <f>IF(AND(_A="A-330-900",'2024'!$K$4="FO",'2024'!$K$2=X271),'2024DATA'!$I$6,"")</f>
        <v/>
      </c>
      <c r="Y275" s="518" t="str">
        <f>IF(AND(_A="A-330-900",'2024'!$K$4="FO",'2024'!$K$2=Y271),'2024DATA'!$J$6,"")</f>
        <v/>
      </c>
      <c r="Z275" s="518" t="str">
        <f>IF(AND(_A="A-330-900",'2024'!$K$4="FO",'2024'!$K$2=Z271),'2024DATA'!$K$6,"")</f>
        <v/>
      </c>
      <c r="AA275" s="518" t="str">
        <f>IF(AND(_A="A-330-900",'2024'!$K$4="FO",'2024'!$K$2=AA271),'2024DATA'!$L$6,"")</f>
        <v/>
      </c>
      <c r="AB275" s="518" t="str">
        <f>IF(AND(_A="A-330-900",'2024'!$K$4="FO",'2024'!$K$2=AB271),'2024DATA'!$M$6,"")</f>
        <v/>
      </c>
      <c r="AC275" s="520" t="str">
        <f>IF(AND(_A="A-330-900",'2024'!$K$4="FO",'2024'!$K$2=AC271),'2024DATA'!$N$6,"")</f>
        <v/>
      </c>
      <c r="AD275" s="940"/>
      <c r="AE275" s="13" t="s">
        <v>62</v>
      </c>
      <c r="AF275" s="518" t="str">
        <f>IF(AND(_B="A-330-900",'2024'!$K$4="FO",'2024'!$K$2=AF271),'2024DATA'!$C$6,"")</f>
        <v/>
      </c>
      <c r="AG275" s="518" t="str">
        <f>IF(AND(_B="A-330-900",'2024'!$K$4="FO",'2024'!$K$2=AG271),'2024DATA'!$D$6,"")</f>
        <v/>
      </c>
      <c r="AH275" s="518" t="str">
        <f>IF(AND(_B="A-330-900",'2024'!$K$4="FO",'2024'!$K$2=AH271),'2024DATA'!$E$6,"")</f>
        <v/>
      </c>
      <c r="AI275" s="518" t="str">
        <f>IF(AND(_B="A-330-900",'2024'!$K$4="FO",'2024'!$K$2=AI271),'2024DATA'!$F$6,"")</f>
        <v/>
      </c>
      <c r="AJ275" s="518" t="str">
        <f>IF(AND(_B="A-330-900",'2024'!$K$4="FO",'2024'!$K$2=AJ271),'2024DATA'!$G$6,"")</f>
        <v/>
      </c>
      <c r="AK275" s="518" t="str">
        <f>IF(AND(_B="A-330-900",'2024'!$K$4="FO",'2024'!$K$2=AK271),'2024DATA'!$H$6,"")</f>
        <v/>
      </c>
      <c r="AL275" s="518" t="str">
        <f>IF(AND(_B="A-330-900",'2024'!$K$4="FO",'2024'!$K$2=AL271),'2024DATA'!$I$6,"")</f>
        <v/>
      </c>
      <c r="AM275" s="518" t="str">
        <f>IF(AND(_B="A-330-900",'2024'!$K$4="FO",'2024'!$K$2=AM271),'2024DATA'!$J$6,"")</f>
        <v/>
      </c>
      <c r="AN275" s="518" t="str">
        <f>IF(AND(_B="A-330-900",'2024'!$K$4="FO",'2024'!$K$2=AN271),'2024DATA'!$K$6,"")</f>
        <v/>
      </c>
      <c r="AO275" s="518" t="str">
        <f>IF(AND(_B="A-330-900",'2024'!$K$4="FO",'2024'!$K$2=AO271),'2024DATA'!$L$6,"")</f>
        <v/>
      </c>
      <c r="AP275" s="518" t="str">
        <f>IF(AND(_B="A-330-900",'2024'!$K$4="FO",'2024'!$K$2=AP271),'2024DATA'!$M$6,"")</f>
        <v/>
      </c>
      <c r="AQ275" s="520" t="str">
        <f>IF(AND(_B="A-330-900",'2024'!$K$4="FO",'2024'!$K$2=AQ271),'2024DATA'!$N$6,"")</f>
        <v/>
      </c>
      <c r="AR275" s="940"/>
      <c r="AS275" s="13" t="s">
        <v>62</v>
      </c>
      <c r="AT275" s="518" t="str">
        <f>IF(AND(_C="A-330-900",'2024'!$K$4="FO",'2024'!$K$2=AT271),'2024DATA'!$C$6,"")</f>
        <v/>
      </c>
      <c r="AU275" s="518" t="str">
        <f>IF(AND(_C="A-330-900",'2024'!$K$4="FO",'2024'!$K$2=AU271),'2024DATA'!$D$6,"")</f>
        <v/>
      </c>
      <c r="AV275" s="518" t="str">
        <f>IF(AND(_C="A-330-900",'2024'!$K$4="FO",'2024'!$K$2=AV271),'2024DATA'!$E$6,"")</f>
        <v/>
      </c>
      <c r="AW275" s="518" t="str">
        <f>IF(AND(_C="A-330-900",'2024'!$K$4="FO",'2024'!$K$2=AW271),'2024DATA'!$F$6,"")</f>
        <v/>
      </c>
      <c r="AX275" s="518" t="str">
        <f>IF(AND(_C="A-330-900",'2024'!$K$4="FO",'2024'!$K$2=AX271),'2024DATA'!$G$6,"")</f>
        <v/>
      </c>
      <c r="AY275" s="518" t="str">
        <f>IF(AND(_C="A-330-900",'2024'!$K$4="FO",'2024'!$K$2=AY271),'2024DATA'!$H$6,"")</f>
        <v/>
      </c>
      <c r="AZ275" s="518" t="str">
        <f>IF(AND(_C="A-330-900",'2024'!$K$4="FO",'2024'!$K$2=AZ271),'2024DATA'!$I$6,"")</f>
        <v/>
      </c>
      <c r="BA275" s="518" t="str">
        <f>IF(AND(_C="A-330-900",'2024'!$K$4="FO",'2024'!$K$2=BA271),'2024DATA'!$J$6,"")</f>
        <v/>
      </c>
      <c r="BB275" s="518" t="str">
        <f>IF(AND(_C="A-330-900",'2024'!$K$4="FO",'2024'!$K$2=BB271),'2024DATA'!$K$6,"")</f>
        <v/>
      </c>
      <c r="BC275" s="518" t="str">
        <f>IF(AND(_C="A-330-900",'2024'!$K$4="FO",'2024'!$K$2=BC271),'2024DATA'!$L$6,"")</f>
        <v/>
      </c>
      <c r="BD275" s="518" t="str">
        <f>IF(AND(_C="A-330-900",'2024'!$K$4="FO",'2024'!$K$2=BD271),'2024DATA'!$M$6,"")</f>
        <v/>
      </c>
      <c r="BE275" s="520" t="str">
        <f>IF(AND(_C="A-330-900",'2024'!$K$4="FO",'2024'!$K$2=BE271),'2024DATA'!$N$6,"")</f>
        <v/>
      </c>
      <c r="BF275" s="940"/>
      <c r="BG275" s="13" t="s">
        <v>62</v>
      </c>
      <c r="BH275" s="518" t="str">
        <f>IF(AND(_D="A-330-900",'2024'!$K$4="FO",'2024'!$K$2=BH271),'2024DATA'!$C$6,"")</f>
        <v/>
      </c>
      <c r="BI275" s="518" t="str">
        <f>IF(AND(_D="A-330-900",'2024'!$K$4="FO",'2024'!$K$2=BI271),'2024DATA'!$D$6,"")</f>
        <v/>
      </c>
      <c r="BJ275" s="518" t="str">
        <f>IF(AND(_D="A-330-900",'2024'!$K$4="FO",'2024'!$K$2=BJ271),'2024DATA'!$E$6,"")</f>
        <v/>
      </c>
      <c r="BK275" s="518" t="str">
        <f>IF(AND(_D="A-330-900",'2024'!$K$4="FO",'2024'!$K$2=BK271),'2024DATA'!$F$6,"")</f>
        <v/>
      </c>
      <c r="BL275" s="518" t="str">
        <f>IF(AND(_D="A-330-900",'2024'!$K$4="FO",'2024'!$K$2=BL271),'2024DATA'!$G$6,"")</f>
        <v/>
      </c>
      <c r="BM275" s="518" t="str">
        <f>IF(AND(_D="A-330-900",'2024'!$K$4="FO",'2024'!$K$2=BM271),'2024DATA'!$H$6,"")</f>
        <v/>
      </c>
      <c r="BN275" s="518" t="str">
        <f>IF(AND(_D="A-330-900",'2024'!$K$4="FO",'2024'!$K$2=BN271),'2024DATA'!$I$6,"")</f>
        <v/>
      </c>
      <c r="BO275" s="518" t="str">
        <f>IF(AND(_D="A-330-900",'2024'!$K$4="FO",'2024'!$K$2=BO271),'2024DATA'!$J$6,"")</f>
        <v/>
      </c>
      <c r="BP275" s="518" t="str">
        <f>IF(AND(_D="A-330-900",'2024'!$K$4="FO",'2024'!$K$2=BP271),'2024DATA'!$K$6,"")</f>
        <v/>
      </c>
      <c r="BQ275" s="518" t="str">
        <f>IF(AND(_D="A-330-900",'2024'!$K$4="FO",'2024'!$K$2=BQ271),'2024DATA'!$L$6,"")</f>
        <v/>
      </c>
      <c r="BR275" s="518" t="str">
        <f>IF(AND(_D="A-330-900",'2024'!$K$4="FO",'2024'!$K$2=BR271),'2024DATA'!$M$6,"")</f>
        <v/>
      </c>
      <c r="BS275" s="520" t="str">
        <f>IF(AND(_D="A-330-900",'2024'!$K$4="FO",'2024'!$K$2=BS271),'2024DATA'!$N$6,"")</f>
        <v/>
      </c>
      <c r="BT275" s="940"/>
      <c r="BU275" s="13" t="s">
        <v>62</v>
      </c>
      <c r="BV275" s="518" t="str">
        <f>IF(AND(_E="A-330-900",'2024'!$K$4="FO",'2024'!$K$2=BV271),'2024DATA'!$C$6,"")</f>
        <v/>
      </c>
      <c r="BW275" s="518" t="str">
        <f>IF(AND(_E="A-330-900",'2024'!$K$4="FO",'2024'!$K$2=BW271),'2024DATA'!$D$6,"")</f>
        <v/>
      </c>
      <c r="BX275" s="518" t="str">
        <f>IF(AND(_E="A-330-900",'2024'!$K$4="FO",'2024'!$K$2=BX271),'2024DATA'!$E$6,"")</f>
        <v/>
      </c>
      <c r="BY275" s="518" t="str">
        <f>IF(AND(_E="A-330-900",'2024'!$K$4="FO",'2024'!$K$2=BY271),'2024DATA'!$F$6,"")</f>
        <v/>
      </c>
      <c r="BZ275" s="518" t="str">
        <f>IF(AND(_E="A-330-900",'2024'!$K$4="FO",'2024'!$K$2=BZ271),'2024DATA'!$G$6,"")</f>
        <v/>
      </c>
      <c r="CA275" s="518" t="str">
        <f>IF(AND(_E="A-330-900",'2024'!$K$4="FO",'2024'!$K$2=CA271),'2024DATA'!$H$6,"")</f>
        <v/>
      </c>
      <c r="CB275" s="518" t="str">
        <f>IF(AND(_E="A-330-900",'2024'!$K$4="FO",'2024'!$K$2=CB271),'2024DATA'!$I$6,"")</f>
        <v/>
      </c>
      <c r="CC275" s="518" t="str">
        <f>IF(AND(_E="A-330-900",'2024'!$K$4="FO",'2024'!$K$2=CC271),'2024DATA'!$J$6,"")</f>
        <v/>
      </c>
      <c r="CD275" s="518" t="str">
        <f>IF(AND(_E="A-330-900",'2024'!$K$4="FO",'2024'!$K$2=CD271),'2024DATA'!$K$6,"")</f>
        <v/>
      </c>
      <c r="CE275" s="518" t="str">
        <f>IF(AND(_E="A-330-900",'2024'!$K$4="FO",'2024'!$K$2=CE271),'2024DATA'!$L$6,"")</f>
        <v/>
      </c>
      <c r="CF275" s="518" t="str">
        <f>IF(AND(_E="A-330-900",'2024'!$K$4="FO",'2024'!$K$2=CF271),'2024DATA'!$M$6,"")</f>
        <v/>
      </c>
      <c r="CG275" s="520" t="str">
        <f>IF(AND(_E="A-330-900",'2024'!$K$4="FO",'2024'!$K$2=CG271),'2024DATA'!$N$6,"")</f>
        <v/>
      </c>
      <c r="CH275" s="940"/>
      <c r="CI275" s="13" t="s">
        <v>62</v>
      </c>
      <c r="CJ275" s="518" t="str">
        <f>IF(AND(_F="A-330-900",'2024'!$K$4="FO",'2024'!$K$2=CJ271),'2024DATA'!$C$6,"")</f>
        <v/>
      </c>
      <c r="CK275" s="518" t="str">
        <f>IF(AND(_F="A-330-900",'2024'!$K$4="FO",'2024'!$K$2=CK271),'2024DATA'!$D$6,"")</f>
        <v/>
      </c>
      <c r="CL275" s="518" t="str">
        <f>IF(AND(_F="A-330-900",'2024'!$K$4="FO",'2024'!$K$2=CL271),'2024DATA'!$E$6,"")</f>
        <v/>
      </c>
      <c r="CM275" s="518" t="str">
        <f>IF(AND(_F="A-330-900",'2024'!$K$4="FO",'2024'!$K$2=CM271),'2024DATA'!$F$6,"")</f>
        <v/>
      </c>
      <c r="CN275" s="518" t="str">
        <f>IF(AND(_F="A-330-900",'2024'!$K$4="FO",'2024'!$K$2=CN271),'2024DATA'!$G$6,"")</f>
        <v/>
      </c>
      <c r="CO275" s="518" t="str">
        <f>IF(AND(_F="A-330-900",'2024'!$K$4="FO",'2024'!$K$2=CO271),'2024DATA'!$H$6,"")</f>
        <v/>
      </c>
      <c r="CP275" s="518" t="str">
        <f>IF(AND(_F="A-330-900",'2024'!$K$4="FO",'2024'!$K$2=CP271),'2024DATA'!$I$6,"")</f>
        <v/>
      </c>
      <c r="CQ275" s="518" t="str">
        <f>IF(AND(_F="A-330-900",'2024'!$K$4="FO",'2024'!$K$2=CQ271),'2024DATA'!$J$6,"")</f>
        <v/>
      </c>
      <c r="CR275" s="518" t="str">
        <f>IF(AND(_F="A-330-900",'2024'!$K$4="FO",'2024'!$K$2=CR271),'2024DATA'!$K$6,"")</f>
        <v/>
      </c>
      <c r="CS275" s="518" t="str">
        <f>IF(AND(_F="A-330-900",'2024'!$K$4="FO",'2024'!$K$2=CS271),'2024DATA'!$L$6,"")</f>
        <v/>
      </c>
      <c r="CT275" s="518" t="str">
        <f>IF(AND(_F="A-330-900",'2024'!$K$4="FO",'2024'!$K$2=CT271),'2024DATA'!$M$6,"")</f>
        <v/>
      </c>
      <c r="CU275" s="520" t="str">
        <f>IF(AND(_F="A-330-900",'2024'!$K$4="FO",'2024'!$K$2=CU271),'2024DATA'!$N$6,"")</f>
        <v/>
      </c>
    </row>
    <row r="276" spans="16:99" x14ac:dyDescent="0.25">
      <c r="P276" s="940" t="s">
        <v>64</v>
      </c>
      <c r="Q276" s="13" t="s">
        <v>61</v>
      </c>
      <c r="R276" s="518" t="str">
        <f>IF(AND(_A="A-330-300",'2024'!$K$4="CA",'2024'!$K$2=R271),'2024DATA'!$C$7,"")</f>
        <v/>
      </c>
      <c r="S276" s="518" t="str">
        <f>IF(AND(_A="A-330-300",'2024'!$K$4="CA",'2024'!$K$2=S271),'2024DATA'!$D$7,"")</f>
        <v/>
      </c>
      <c r="T276" s="518" t="str">
        <f>IF(AND(_A="A-330-300",'2024'!$K$4="CA",'2024'!$K$2=T271),'2024DATA'!$E$7,"")</f>
        <v/>
      </c>
      <c r="U276" s="518" t="str">
        <f>IF(AND(_A="A-330-300",'2024'!$K$4="CA",'2024'!$K$2=U271),'2024DATA'!$F$7,"")</f>
        <v/>
      </c>
      <c r="V276" s="518" t="str">
        <f>IF(AND(_A="A-330-300",'2024'!$K$4="CA",'2024'!$K$2=V271),'2024DATA'!$G$7,"")</f>
        <v/>
      </c>
      <c r="W276" s="518" t="str">
        <f>IF(AND(_A="A-330-300",'2024'!$K$4="CA",'2024'!$K$2=W271),'2024DATA'!$H$7,"")</f>
        <v/>
      </c>
      <c r="X276" s="518" t="str">
        <f>IF(AND(_A="A-330-300",'2024'!$K$4="CA",'2024'!$K$2=X271),'2024DATA'!$I$7,"")</f>
        <v/>
      </c>
      <c r="Y276" s="518" t="str">
        <f>IF(AND(_A="A-330-300",'2024'!$K$4="CA",'2024'!$K$2=Y271),'2024DATA'!$J$7,"")</f>
        <v/>
      </c>
      <c r="Z276" s="518" t="str">
        <f>IF(AND(_A="A-330-300",'2024'!$K$4="CA",'2024'!$K$2=Z271),'2024DATA'!$K$7,"")</f>
        <v/>
      </c>
      <c r="AA276" s="518" t="str">
        <f>IF(AND(_A="A-330-300",'2024'!$K$4="CA",'2024'!$K$2=AA271),'2024DATA'!$L$7,"")</f>
        <v/>
      </c>
      <c r="AB276" s="518" t="str">
        <f>IF(AND(_A="A-330-300",'2024'!$K$4="CA",'2024'!$K$2=AB271),'2024DATA'!$M$7,"")</f>
        <v/>
      </c>
      <c r="AC276" s="520" t="str">
        <f>IF(AND(_A="A-330-300",'2024'!$K$4="CA",'2024'!$K$2=AC271),'2024DATA'!$N$7,"")</f>
        <v/>
      </c>
      <c r="AD276" s="940" t="s">
        <v>64</v>
      </c>
      <c r="AE276" s="13" t="s">
        <v>61</v>
      </c>
      <c r="AF276" s="518" t="str">
        <f>IF(AND(_B="A-330-300",'2024'!$K$4="CA",'2024'!$K$2=AF271),'2024DATA'!$C$7,"")</f>
        <v/>
      </c>
      <c r="AG276" s="518" t="str">
        <f>IF(AND(_B="A-330-300",'2024'!$K$4="CA",'2024'!$K$2=AG271),'2024DATA'!$D$7,"")</f>
        <v/>
      </c>
      <c r="AH276" s="518" t="str">
        <f>IF(AND(_B="A-330-300",'2024'!$K$4="CA",'2024'!$K$2=AH271),'2024DATA'!$E$7,"")</f>
        <v/>
      </c>
      <c r="AI276" s="518" t="str">
        <f>IF(AND(_B="A-330-300",'2024'!$K$4="CA",'2024'!$K$2=AI271),'2024DATA'!$F$7,"")</f>
        <v/>
      </c>
      <c r="AJ276" s="518" t="str">
        <f>IF(AND(_B="A-330-300",'2024'!$K$4="CA",'2024'!$K$2=AJ271),'2024DATA'!$G$7,"")</f>
        <v/>
      </c>
      <c r="AK276" s="518" t="str">
        <f>IF(AND(_B="A-330-300",'2024'!$K$4="CA",'2024'!$K$2=AK271),'2024DATA'!$H$7,"")</f>
        <v/>
      </c>
      <c r="AL276" s="518" t="str">
        <f>IF(AND(_B="A-330-300",'2024'!$K$4="CA",'2024'!$K$2=AL271),'2024DATA'!$I$7,"")</f>
        <v/>
      </c>
      <c r="AM276" s="518" t="str">
        <f>IF(AND(_B="A-330-300",'2024'!$K$4="CA",'2024'!$K$2=AM271),'2024DATA'!$J$7,"")</f>
        <v/>
      </c>
      <c r="AN276" s="518" t="str">
        <f>IF(AND(_B="A-330-300",'2024'!$K$4="CA",'2024'!$K$2=AN271),'2024DATA'!$K$7,"")</f>
        <v/>
      </c>
      <c r="AO276" s="518" t="str">
        <f>IF(AND(_B="A-330-300",'2024'!$K$4="CA",'2024'!$K$2=AO271),'2024DATA'!$L$7,"")</f>
        <v/>
      </c>
      <c r="AP276" s="518" t="str">
        <f>IF(AND(_B="A-330-300",'2024'!$K$4="CA",'2024'!$K$2=AP271),'2024DATA'!$M$7,"")</f>
        <v/>
      </c>
      <c r="AQ276" s="520" t="str">
        <f>IF(AND(_B="A-330-300",'2024'!$K$4="CA",'2024'!$K$2=AQ271),'2024DATA'!$N$7,"")</f>
        <v/>
      </c>
      <c r="AR276" s="940" t="s">
        <v>64</v>
      </c>
      <c r="AS276" s="13" t="s">
        <v>61</v>
      </c>
      <c r="AT276" s="518" t="str">
        <f>IF(AND(_C="A-330-300",'2024'!$K$4="CA",'2024'!$K$2=AT271),'2024DATA'!$C$7,"")</f>
        <v/>
      </c>
      <c r="AU276" s="518" t="str">
        <f>IF(AND(_C="A-330-300",'2024'!$K$4="CA",'2024'!$K$2=AU271),'2024DATA'!$D$7,"")</f>
        <v/>
      </c>
      <c r="AV276" s="518" t="str">
        <f>IF(AND(_C="A-330-300",'2024'!$K$4="CA",'2024'!$K$2=AV271),'2024DATA'!$E$7,"")</f>
        <v/>
      </c>
      <c r="AW276" s="518" t="str">
        <f>IF(AND(_C="A-330-300",'2024'!$K$4="CA",'2024'!$K$2=AW271),'2024DATA'!$F$7,"")</f>
        <v/>
      </c>
      <c r="AX276" s="518" t="str">
        <f>IF(AND(_C="A-330-300",'2024'!$K$4="CA",'2024'!$K$2=AX271),'2024DATA'!$G$7,"")</f>
        <v/>
      </c>
      <c r="AY276" s="518" t="str">
        <f>IF(AND(_C="A-330-300",'2024'!$K$4="CA",'2024'!$K$2=AY271),'2024DATA'!$H$7,"")</f>
        <v/>
      </c>
      <c r="AZ276" s="518" t="str">
        <f>IF(AND(_C="A-330-300",'2024'!$K$4="CA",'2024'!$K$2=AZ271),'2024DATA'!$I$7,"")</f>
        <v/>
      </c>
      <c r="BA276" s="518" t="str">
        <f>IF(AND(_C="A-330-300",'2024'!$K$4="CA",'2024'!$K$2=BA271),'2024DATA'!$J$7,"")</f>
        <v/>
      </c>
      <c r="BB276" s="518" t="str">
        <f>IF(AND(_C="A-330-300",'2024'!$K$4="CA",'2024'!$K$2=BB271),'2024DATA'!$K$7,"")</f>
        <v/>
      </c>
      <c r="BC276" s="518" t="str">
        <f>IF(AND(_C="A-330-300",'2024'!$K$4="CA",'2024'!$K$2=BC271),'2024DATA'!$L$7,"")</f>
        <v/>
      </c>
      <c r="BD276" s="518" t="str">
        <f>IF(AND(_C="A-330-300",'2024'!$K$4="CA",'2024'!$K$2=BD271),'2024DATA'!$M$7,"")</f>
        <v/>
      </c>
      <c r="BE276" s="520" t="str">
        <f>IF(AND(_C="A-330-300",'2024'!$K$4="CA",'2024'!$K$2=BE271),'2024DATA'!$N$7,"")</f>
        <v/>
      </c>
      <c r="BF276" s="940" t="s">
        <v>64</v>
      </c>
      <c r="BG276" s="13" t="s">
        <v>61</v>
      </c>
      <c r="BH276" s="518" t="str">
        <f>IF(AND(_D="A-330-300",'2024'!$K$4="CA",'2024'!$K$2=BH271),'2024DATA'!$C$7,"")</f>
        <v/>
      </c>
      <c r="BI276" s="518" t="str">
        <f>IF(AND(_D="A-330-300",'2024'!$K$4="CA",'2024'!$K$2=BI271),'2024DATA'!$D$7,"")</f>
        <v/>
      </c>
      <c r="BJ276" s="518" t="str">
        <f>IF(AND(_D="A-330-300",'2024'!$K$4="CA",'2024'!$K$2=BJ271),'2024DATA'!$E$7,"")</f>
        <v/>
      </c>
      <c r="BK276" s="518" t="str">
        <f>IF(AND(_D="A-330-300",'2024'!$K$4="CA",'2024'!$K$2=BK271),'2024DATA'!$F$7,"")</f>
        <v/>
      </c>
      <c r="BL276" s="518" t="str">
        <f>IF(AND(_D="A-330-300",'2024'!$K$4="CA",'2024'!$K$2=BL271),'2024DATA'!$G$7,"")</f>
        <v/>
      </c>
      <c r="BM276" s="518" t="str">
        <f>IF(AND(_D="A-330-300",'2024'!$K$4="CA",'2024'!$K$2=BM271),'2024DATA'!$H$7,"")</f>
        <v/>
      </c>
      <c r="BN276" s="518" t="str">
        <f>IF(AND(_D="A-330-300",'2024'!$K$4="CA",'2024'!$K$2=BN271),'2024DATA'!$I$7,"")</f>
        <v/>
      </c>
      <c r="BO276" s="518" t="str">
        <f>IF(AND(_D="A-330-300",'2024'!$K$4="CA",'2024'!$K$2=BO271),'2024DATA'!$J$7,"")</f>
        <v/>
      </c>
      <c r="BP276" s="518" t="str">
        <f>IF(AND(_D="A-330-300",'2024'!$K$4="CA",'2024'!$K$2=BP271),'2024DATA'!$K$7,"")</f>
        <v/>
      </c>
      <c r="BQ276" s="518" t="str">
        <f>IF(AND(_D="A-330-300",'2024'!$K$4="CA",'2024'!$K$2=BQ271),'2024DATA'!$L$7,"")</f>
        <v/>
      </c>
      <c r="BR276" s="518" t="str">
        <f>IF(AND(_D="A-330-300",'2024'!$K$4="CA",'2024'!$K$2=BR271),'2024DATA'!$M$7,"")</f>
        <v/>
      </c>
      <c r="BS276" s="520" t="str">
        <f>IF(AND(_D="A-330-300",'2024'!$K$4="CA",'2024'!$K$2=BS271),'2024DATA'!$N$7,"")</f>
        <v/>
      </c>
      <c r="BT276" s="940" t="s">
        <v>64</v>
      </c>
      <c r="BU276" s="13" t="s">
        <v>61</v>
      </c>
      <c r="BV276" s="518" t="str">
        <f>IF(AND(_E="A-330-300",'2024'!$K$4="CA",'2024'!$K$2=BV271),'2024DATA'!$C$7,"")</f>
        <v/>
      </c>
      <c r="BW276" s="518" t="str">
        <f>IF(AND(_E="A-330-300",'2024'!$K$4="CA",'2024'!$K$2=BW271),'2024DATA'!$D$7,"")</f>
        <v/>
      </c>
      <c r="BX276" s="518" t="str">
        <f>IF(AND(_E="A-330-300",'2024'!$K$4="CA",'2024'!$K$2=BX271),'2024DATA'!$E$7,"")</f>
        <v/>
      </c>
      <c r="BY276" s="518" t="str">
        <f>IF(AND(_E="A-330-300",'2024'!$K$4="CA",'2024'!$K$2=BY271),'2024DATA'!$F$7,"")</f>
        <v/>
      </c>
      <c r="BZ276" s="518" t="str">
        <f>IF(AND(_E="A-330-300",'2024'!$K$4="CA",'2024'!$K$2=BZ271),'2024DATA'!$G$7,"")</f>
        <v/>
      </c>
      <c r="CA276" s="518" t="str">
        <f>IF(AND(_E="A-330-300",'2024'!$K$4="CA",'2024'!$K$2=CA271),'2024DATA'!$H$7,"")</f>
        <v/>
      </c>
      <c r="CB276" s="518" t="str">
        <f>IF(AND(_E="A-330-300",'2024'!$K$4="CA",'2024'!$K$2=CB271),'2024DATA'!$I$7,"")</f>
        <v/>
      </c>
      <c r="CC276" s="518" t="str">
        <f>IF(AND(_E="A-330-300",'2024'!$K$4="CA",'2024'!$K$2=CC271),'2024DATA'!$J$7,"")</f>
        <v/>
      </c>
      <c r="CD276" s="518" t="str">
        <f>IF(AND(_E="A-330-300",'2024'!$K$4="CA",'2024'!$K$2=CD271),'2024DATA'!$K$7,"")</f>
        <v/>
      </c>
      <c r="CE276" s="518" t="str">
        <f>IF(AND(_E="A-330-300",'2024'!$K$4="CA",'2024'!$K$2=CE271),'2024DATA'!$L$7,"")</f>
        <v/>
      </c>
      <c r="CF276" s="518" t="str">
        <f>IF(AND(_E="A-330-300",'2024'!$K$4="CA",'2024'!$K$2=CF271),'2024DATA'!$M$7,"")</f>
        <v/>
      </c>
      <c r="CG276" s="520" t="str">
        <f>IF(AND(_E="A-330-300",'2024'!$K$4="CA",'2024'!$K$2=CG271),'2024DATA'!$N$7,"")</f>
        <v/>
      </c>
      <c r="CH276" s="940" t="s">
        <v>64</v>
      </c>
      <c r="CI276" s="13" t="s">
        <v>61</v>
      </c>
      <c r="CJ276" s="518" t="str">
        <f>IF(AND(_F="A-330-300",'2024'!$K$4="CA",'2024'!$K$2=CJ271),'2024DATA'!$C$7,"")</f>
        <v/>
      </c>
      <c r="CK276" s="518" t="str">
        <f>IF(AND(_F="A-330-300",'2024'!$K$4="CA",'2024'!$K$2=CK271),'2024DATA'!$D$7,"")</f>
        <v/>
      </c>
      <c r="CL276" s="518" t="str">
        <f>IF(AND(_F="A-330-300",'2024'!$K$4="CA",'2024'!$K$2=CL271),'2024DATA'!$E$7,"")</f>
        <v/>
      </c>
      <c r="CM276" s="518" t="str">
        <f>IF(AND(_F="A-330-300",'2024'!$K$4="CA",'2024'!$K$2=CM271),'2024DATA'!$F$7,"")</f>
        <v/>
      </c>
      <c r="CN276" s="518" t="str">
        <f>IF(AND(_F="A-330-300",'2024'!$K$4="CA",'2024'!$K$2=CN271),'2024DATA'!$G$7,"")</f>
        <v/>
      </c>
      <c r="CO276" s="518" t="str">
        <f>IF(AND(_F="A-330-300",'2024'!$K$4="CA",'2024'!$K$2=CO271),'2024DATA'!$H$7,"")</f>
        <v/>
      </c>
      <c r="CP276" s="518" t="str">
        <f>IF(AND(_F="A-330-300",'2024'!$K$4="CA",'2024'!$K$2=CP271),'2024DATA'!$I$7,"")</f>
        <v/>
      </c>
      <c r="CQ276" s="518" t="str">
        <f>IF(AND(_F="A-330-300",'2024'!$K$4="CA",'2024'!$K$2=CQ271),'2024DATA'!$J$7,"")</f>
        <v/>
      </c>
      <c r="CR276" s="518" t="str">
        <f>IF(AND(_F="A-330-300",'2024'!$K$4="CA",'2024'!$K$2=CR271),'2024DATA'!$K$7,"")</f>
        <v/>
      </c>
      <c r="CS276" s="518" t="str">
        <f>IF(AND(_F="A-330-300",'2024'!$K$4="CA",'2024'!$K$2=CS271),'2024DATA'!$L$7,"")</f>
        <v/>
      </c>
      <c r="CT276" s="518" t="str">
        <f>IF(AND(_F="A-330-300",'2024'!$K$4="CA",'2024'!$K$2=CT271),'2024DATA'!$M$7,"")</f>
        <v/>
      </c>
      <c r="CU276" s="520" t="str">
        <f>IF(AND(_F="A-330-300",'2024'!$K$4="CA",'2024'!$K$2=CU271),'2024DATA'!$N$7,"")</f>
        <v/>
      </c>
    </row>
    <row r="277" spans="16:99" x14ac:dyDescent="0.25">
      <c r="P277" s="940"/>
      <c r="Q277" s="13" t="s">
        <v>62</v>
      </c>
      <c r="R277" s="518" t="str">
        <f>IF(AND(_A="A-330-300",'2024'!$K$4="FO",'2024'!$K$2=R271),'2024DATA'!$C$8,"")</f>
        <v/>
      </c>
      <c r="S277" s="518" t="str">
        <f>IF(AND(_A="A-330-300",'2024'!$K$4="FO",'2024'!$K$2=S271),'2024DATA'!$D$8,"")</f>
        <v/>
      </c>
      <c r="T277" s="518" t="str">
        <f>IF(AND(_A="A-330-300",'2024'!$K$4="FO",'2024'!$K$2=T271),'2024DATA'!$E$8,"")</f>
        <v/>
      </c>
      <c r="U277" s="518" t="str">
        <f>IF(AND(_A="A-330-300",'2024'!$K$4="FO",'2024'!$K$2=U271),'2024DATA'!$F$8,"")</f>
        <v/>
      </c>
      <c r="V277" s="518" t="str">
        <f>IF(AND(_A="A-330-300",'2024'!$K$4="FO",'2024'!$K$2=V271),'2024DATA'!$G$8,"")</f>
        <v/>
      </c>
      <c r="W277" s="518" t="str">
        <f>IF(AND(_A="A-330-300",'2024'!$K$4="FO",'2024'!$K$2=W271),'2024DATA'!$H$8,"")</f>
        <v/>
      </c>
      <c r="X277" s="518" t="str">
        <f>IF(AND(_A="A-330-300",'2024'!$K$4="FO",'2024'!$K$2=X271),'2024DATA'!$I$8,"")</f>
        <v/>
      </c>
      <c r="Y277" s="518" t="str">
        <f>IF(AND(_A="A-330-300",'2024'!$K$4="FO",'2024'!$K$2=Y271),'2024DATA'!$J$8,"")</f>
        <v/>
      </c>
      <c r="Z277" s="518" t="str">
        <f>IF(AND(_A="A-330-300",'2024'!$K$4="FO",'2024'!$K$2=Z271),'2024DATA'!$K$8,"")</f>
        <v/>
      </c>
      <c r="AA277" s="518" t="str">
        <f>IF(AND(_A="A-330-300",'2024'!$K$4="FO",'2024'!$K$2=AA271),'2024DATA'!$L$8,"")</f>
        <v/>
      </c>
      <c r="AB277" s="518" t="str">
        <f>IF(AND(_A="A-330-300",'2024'!$K$4="FO",'2024'!$K$2=AB271),'2024DATA'!$M$8,"")</f>
        <v/>
      </c>
      <c r="AC277" s="520" t="str">
        <f>IF(AND(_A="A-330-300",'2024'!$K$4="FO",'2024'!$K$2=AC271),'2024DATA'!$N$8,"")</f>
        <v/>
      </c>
      <c r="AD277" s="940"/>
      <c r="AE277" s="13" t="s">
        <v>62</v>
      </c>
      <c r="AF277" s="518" t="str">
        <f>IF(AND(_B="A-330-300",'2024'!$K$4="FO",'2024'!$K$2=AF271),'2024DATA'!$C$8,"")</f>
        <v/>
      </c>
      <c r="AG277" s="518" t="str">
        <f>IF(AND(_B="A-330-300",'2024'!$K$4="FO",'2024'!$K$2=AG271),'2024DATA'!$D$8,"")</f>
        <v/>
      </c>
      <c r="AH277" s="518" t="str">
        <f>IF(AND(_B="A-330-300",'2024'!$K$4="FO",'2024'!$K$2=AH271),'2024DATA'!$E$8,"")</f>
        <v/>
      </c>
      <c r="AI277" s="518" t="str">
        <f>IF(AND(_B="A-330-300",'2024'!$K$4="FO",'2024'!$K$2=AI271),'2024DATA'!$F$8,"")</f>
        <v/>
      </c>
      <c r="AJ277" s="518" t="str">
        <f>IF(AND(_B="A-330-300",'2024'!$K$4="FO",'2024'!$K$2=AJ271),'2024DATA'!$G$8,"")</f>
        <v/>
      </c>
      <c r="AK277" s="518" t="str">
        <f>IF(AND(_B="A-330-300",'2024'!$K$4="FO",'2024'!$K$2=AK271),'2024DATA'!$H$8,"")</f>
        <v/>
      </c>
      <c r="AL277" s="518" t="str">
        <f>IF(AND(_B="A-330-300",'2024'!$K$4="FO",'2024'!$K$2=AL271),'2024DATA'!$I$8,"")</f>
        <v/>
      </c>
      <c r="AM277" s="518" t="str">
        <f>IF(AND(_B="A-330-300",'2024'!$K$4="FO",'2024'!$K$2=AM271),'2024DATA'!$J$8,"")</f>
        <v/>
      </c>
      <c r="AN277" s="518" t="str">
        <f>IF(AND(_B="A-330-300",'2024'!$K$4="FO",'2024'!$K$2=AN271),'2024DATA'!$K$8,"")</f>
        <v/>
      </c>
      <c r="AO277" s="518" t="str">
        <f>IF(AND(_B="A-330-300",'2024'!$K$4="FO",'2024'!$K$2=AO271),'2024DATA'!$L$8,"")</f>
        <v/>
      </c>
      <c r="AP277" s="518" t="str">
        <f>IF(AND(_B="A-330-300",'2024'!$K$4="FO",'2024'!$K$2=AP271),'2024DATA'!$M$8,"")</f>
        <v/>
      </c>
      <c r="AQ277" s="520" t="str">
        <f>IF(AND(_B="A-330-300",'2024'!$K$4="FO",'2024'!$K$2=AQ271),'2024DATA'!$N$8,"")</f>
        <v/>
      </c>
      <c r="AR277" s="940"/>
      <c r="AS277" s="13" t="s">
        <v>62</v>
      </c>
      <c r="AT277" s="518" t="str">
        <f>IF(AND(_C="A-330-300",'2024'!$K$4="FO",'2024'!$K$2=AT271),'2024DATA'!$C$8,"")</f>
        <v/>
      </c>
      <c r="AU277" s="518" t="str">
        <f>IF(AND(_C="A-330-300",'2024'!$K$4="FO",'2024'!$K$2=AU271),'2024DATA'!$D$8,"")</f>
        <v/>
      </c>
      <c r="AV277" s="518" t="str">
        <f>IF(AND(_C="A-330-300",'2024'!$K$4="FO",'2024'!$K$2=AV271),'2024DATA'!$E$8,"")</f>
        <v/>
      </c>
      <c r="AW277" s="518" t="str">
        <f>IF(AND(_C="A-330-300",'2024'!$K$4="FO",'2024'!$K$2=AW271),'2024DATA'!$F$8,"")</f>
        <v/>
      </c>
      <c r="AX277" s="518" t="str">
        <f>IF(AND(_C="A-330-300",'2024'!$K$4="FO",'2024'!$K$2=AX271),'2024DATA'!$G$8,"")</f>
        <v/>
      </c>
      <c r="AY277" s="518" t="str">
        <f>IF(AND(_C="A-330-300",'2024'!$K$4="FO",'2024'!$K$2=AY271),'2024DATA'!$H$8,"")</f>
        <v/>
      </c>
      <c r="AZ277" s="518" t="str">
        <f>IF(AND(_C="A-330-300",'2024'!$K$4="FO",'2024'!$K$2=AZ271),'2024DATA'!$I$8,"")</f>
        <v/>
      </c>
      <c r="BA277" s="518" t="str">
        <f>IF(AND(_C="A-330-300",'2024'!$K$4="FO",'2024'!$K$2=BA271),'2024DATA'!$J$8,"")</f>
        <v/>
      </c>
      <c r="BB277" s="518" t="str">
        <f>IF(AND(_C="A-330-300",'2024'!$K$4="FO",'2024'!$K$2=BB271),'2024DATA'!$K$8,"")</f>
        <v/>
      </c>
      <c r="BC277" s="518" t="str">
        <f>IF(AND(_C="A-330-300",'2024'!$K$4="FO",'2024'!$K$2=BC271),'2024DATA'!$L$8,"")</f>
        <v/>
      </c>
      <c r="BD277" s="518" t="str">
        <f>IF(AND(_C="A-330-300",'2024'!$K$4="FO",'2024'!$K$2=BD271),'2024DATA'!$M$8,"")</f>
        <v/>
      </c>
      <c r="BE277" s="520" t="str">
        <f>IF(AND(_C="A-330-300",'2024'!$K$4="FO",'2024'!$K$2=BE271),'2024DATA'!$N$8,"")</f>
        <v/>
      </c>
      <c r="BF277" s="940"/>
      <c r="BG277" s="13" t="s">
        <v>62</v>
      </c>
      <c r="BH277" s="518" t="str">
        <f>IF(AND(_D="A-330-300",'2024'!$K$4="FO",'2024'!$K$2=BH271),'2024DATA'!$C$8,"")</f>
        <v/>
      </c>
      <c r="BI277" s="518" t="str">
        <f>IF(AND(_D="A-330-300",'2024'!$K$4="FO",'2024'!$K$2=BI271),'2024DATA'!$D$8,"")</f>
        <v/>
      </c>
      <c r="BJ277" s="518" t="str">
        <f>IF(AND(_D="A-330-300",'2024'!$K$4="FO",'2024'!$K$2=BJ271),'2024DATA'!$E$8,"")</f>
        <v/>
      </c>
      <c r="BK277" s="518" t="str">
        <f>IF(AND(_D="A-330-300",'2024'!$K$4="FO",'2024'!$K$2=BK271),'2024DATA'!$F$8,"")</f>
        <v/>
      </c>
      <c r="BL277" s="518" t="str">
        <f>IF(AND(_D="A-330-300",'2024'!$K$4="FO",'2024'!$K$2=BL271),'2024DATA'!$G$8,"")</f>
        <v/>
      </c>
      <c r="BM277" s="518" t="str">
        <f>IF(AND(_D="A-330-300",'2024'!$K$4="FO",'2024'!$K$2=BM271),'2024DATA'!$H$8,"")</f>
        <v/>
      </c>
      <c r="BN277" s="518" t="str">
        <f>IF(AND(_D="A-330-300",'2024'!$K$4="FO",'2024'!$K$2=BN271),'2024DATA'!$I$8,"")</f>
        <v/>
      </c>
      <c r="BO277" s="518" t="str">
        <f>IF(AND(_D="A-330-300",'2024'!$K$4="FO",'2024'!$K$2=BO271),'2024DATA'!$J$8,"")</f>
        <v/>
      </c>
      <c r="BP277" s="518" t="str">
        <f>IF(AND(_D="A-330-300",'2024'!$K$4="FO",'2024'!$K$2=BP271),'2024DATA'!$K$8,"")</f>
        <v/>
      </c>
      <c r="BQ277" s="518" t="str">
        <f>IF(AND(_D="A-330-300",'2024'!$K$4="FO",'2024'!$K$2=BQ271),'2024DATA'!$L$8,"")</f>
        <v/>
      </c>
      <c r="BR277" s="518" t="str">
        <f>IF(AND(_D="A-330-300",'2024'!$K$4="FO",'2024'!$K$2=BR271),'2024DATA'!$M$8,"")</f>
        <v/>
      </c>
      <c r="BS277" s="520" t="str">
        <f>IF(AND(_D="A-330-300",'2024'!$K$4="FO",'2024'!$K$2=BS271),'2024DATA'!$N$8,"")</f>
        <v/>
      </c>
      <c r="BT277" s="940"/>
      <c r="BU277" s="13" t="s">
        <v>62</v>
      </c>
      <c r="BV277" s="518" t="str">
        <f>IF(AND(_E="A-330-300",'2024'!$K$4="FO",'2024'!$K$2=BV271),'2024DATA'!$C$8,"")</f>
        <v/>
      </c>
      <c r="BW277" s="518" t="str">
        <f>IF(AND(_E="A-330-300",'2024'!$K$4="FO",'2024'!$K$2=BW271),'2024DATA'!$D$8,"")</f>
        <v/>
      </c>
      <c r="BX277" s="518" t="str">
        <f>IF(AND(_E="A-330-300",'2024'!$K$4="FO",'2024'!$K$2=BX271),'2024DATA'!$E$8,"")</f>
        <v/>
      </c>
      <c r="BY277" s="518" t="str">
        <f>IF(AND(_E="A-330-300",'2024'!$K$4="FO",'2024'!$K$2=BY271),'2024DATA'!$F$8,"")</f>
        <v/>
      </c>
      <c r="BZ277" s="518" t="str">
        <f>IF(AND(_E="A-330-300",'2024'!$K$4="FO",'2024'!$K$2=BZ271),'2024DATA'!$G$8,"")</f>
        <v/>
      </c>
      <c r="CA277" s="518" t="str">
        <f>IF(AND(_E="A-330-300",'2024'!$K$4="FO",'2024'!$K$2=CA271),'2024DATA'!$H$8,"")</f>
        <v/>
      </c>
      <c r="CB277" s="518" t="str">
        <f>IF(AND(_E="A-330-300",'2024'!$K$4="FO",'2024'!$K$2=CB271),'2024DATA'!$I$8,"")</f>
        <v/>
      </c>
      <c r="CC277" s="518" t="str">
        <f>IF(AND(_E="A-330-300",'2024'!$K$4="FO",'2024'!$K$2=CC271),'2024DATA'!$J$8,"")</f>
        <v/>
      </c>
      <c r="CD277" s="518" t="str">
        <f>IF(AND(_E="A-330-300",'2024'!$K$4="FO",'2024'!$K$2=CD271),'2024DATA'!$K$8,"")</f>
        <v/>
      </c>
      <c r="CE277" s="518" t="str">
        <f>IF(AND(_E="A-330-300",'2024'!$K$4="FO",'2024'!$K$2=CE271),'2024DATA'!$L$8,"")</f>
        <v/>
      </c>
      <c r="CF277" s="518" t="str">
        <f>IF(AND(_E="A-330-300",'2024'!$K$4="FO",'2024'!$K$2=CF271),'2024DATA'!$M$8,"")</f>
        <v/>
      </c>
      <c r="CG277" s="520" t="str">
        <f>IF(AND(_E="A-330-300",'2024'!$K$4="FO",'2024'!$K$2=CG271),'2024DATA'!$N$8,"")</f>
        <v/>
      </c>
      <c r="CH277" s="940"/>
      <c r="CI277" s="13" t="s">
        <v>62</v>
      </c>
      <c r="CJ277" s="518" t="str">
        <f>IF(AND(_F="A-330-300",'2024'!$K$4="FO",'2024'!$K$2=CJ271),'2024DATA'!$C$8,"")</f>
        <v/>
      </c>
      <c r="CK277" s="518" t="str">
        <f>IF(AND(_F="A-330-300",'2024'!$K$4="FO",'2024'!$K$2=CK271),'2024DATA'!$D$8,"")</f>
        <v/>
      </c>
      <c r="CL277" s="518" t="str">
        <f>IF(AND(_F="A-330-300",'2024'!$K$4="FO",'2024'!$K$2=CL271),'2024DATA'!$E$8,"")</f>
        <v/>
      </c>
      <c r="CM277" s="518" t="str">
        <f>IF(AND(_F="A-330-300",'2024'!$K$4="FO",'2024'!$K$2=CM271),'2024DATA'!$F$8,"")</f>
        <v/>
      </c>
      <c r="CN277" s="518" t="str">
        <f>IF(AND(_F="A-330-300",'2024'!$K$4="FO",'2024'!$K$2=CN271),'2024DATA'!$G$8,"")</f>
        <v/>
      </c>
      <c r="CO277" s="518" t="str">
        <f>IF(AND(_F="A-330-300",'2024'!$K$4="FO",'2024'!$K$2=CO271),'2024DATA'!$H$8,"")</f>
        <v/>
      </c>
      <c r="CP277" s="518" t="str">
        <f>IF(AND(_F="A-330-300",'2024'!$K$4="FO",'2024'!$K$2=CP271),'2024DATA'!$I$8,"")</f>
        <v/>
      </c>
      <c r="CQ277" s="518" t="str">
        <f>IF(AND(_F="A-330-300",'2024'!$K$4="FO",'2024'!$K$2=CQ271),'2024DATA'!$J$8,"")</f>
        <v/>
      </c>
      <c r="CR277" s="518" t="str">
        <f>IF(AND(_F="A-330-300",'2024'!$K$4="FO",'2024'!$K$2=CR271),'2024DATA'!$K$8,"")</f>
        <v/>
      </c>
      <c r="CS277" s="518" t="str">
        <f>IF(AND(_F="A-330-300",'2024'!$K$4="FO",'2024'!$K$2=CS271),'2024DATA'!$L$8,"")</f>
        <v/>
      </c>
      <c r="CT277" s="518" t="str">
        <f>IF(AND(_F="A-330-300",'2024'!$K$4="FO",'2024'!$K$2=CT271),'2024DATA'!$M$8,"")</f>
        <v/>
      </c>
      <c r="CU277" s="520" t="str">
        <f>IF(AND(_F="A-330-300",'2024'!$K$4="FO",'2024'!$K$2=CU271),'2024DATA'!$N$8,"")</f>
        <v/>
      </c>
    </row>
    <row r="278" spans="16:99" x14ac:dyDescent="0.25">
      <c r="P278" s="940" t="s">
        <v>66</v>
      </c>
      <c r="Q278" s="13" t="s">
        <v>61</v>
      </c>
      <c r="R278" s="518" t="str">
        <f>IF(AND(_A="A-330-200",'2024'!$K$4="CA",'2024'!$K$2=R271),'2024DATA'!$C$9,"")</f>
        <v/>
      </c>
      <c r="S278" s="518" t="str">
        <f>IF(AND(_A="A-330-200",'2024'!$K$4="CA",'2024'!$K$2=S271),'2024DATA'!$D$9,"")</f>
        <v/>
      </c>
      <c r="T278" s="518" t="str">
        <f>IF(AND(_A="A-330-200",'2024'!$K$4="CA",'2024'!$K$2=T271),'2024DATA'!$E$9,"")</f>
        <v/>
      </c>
      <c r="U278" s="518" t="str">
        <f>IF(AND(_A="A-330-200",'2024'!$K$4="CA",'2024'!$K$2=U271),'2024DATA'!$F$9,"")</f>
        <v/>
      </c>
      <c r="V278" s="518" t="str">
        <f>IF(AND(_A="A-330-200",'2024'!$K$4="CA",'2024'!$K$2=V271),'2024DATA'!$G$9,"")</f>
        <v/>
      </c>
      <c r="W278" s="518" t="str">
        <f>IF(AND(_A="A-330-200",'2024'!$K$4="CA",'2024'!$K$2=W271),'2024DATA'!$H$9,"")</f>
        <v/>
      </c>
      <c r="X278" s="518" t="str">
        <f>IF(AND(_A="A-330-200",'2024'!$K$4="CA",'2024'!$K$2=X271),'2024DATA'!$I$9,"")</f>
        <v/>
      </c>
      <c r="Y278" s="518" t="str">
        <f>IF(AND(_A="A-330-200",'2024'!$K$4="CA",'2024'!$K$2=Y271),'2024DATA'!$J$9,"")</f>
        <v/>
      </c>
      <c r="Z278" s="518" t="str">
        <f>IF(AND(_A="A-330-200",'2024'!$K$4="CA",'2024'!$K$2=Z271),'2024DATA'!$K$9,"")</f>
        <v/>
      </c>
      <c r="AA278" s="518" t="str">
        <f>IF(AND(_A="A-330-200",'2024'!$K$4="CA",'2024'!$K$2=AA271),'2024DATA'!$L$9,"")</f>
        <v/>
      </c>
      <c r="AB278" s="518" t="str">
        <f>IF(AND(_A="A-330-200",'2024'!$K$4="CA",'2024'!$K$2=AB271),'2024DATA'!$M$9,"")</f>
        <v/>
      </c>
      <c r="AC278" s="520" t="str">
        <f>IF(AND(_A="A-330-200",'2024'!$K$4="CA",'2024'!$K$2=AC271),'2024DATA'!$N$9,"")</f>
        <v/>
      </c>
      <c r="AD278" s="940" t="s">
        <v>66</v>
      </c>
      <c r="AE278" s="13" t="s">
        <v>61</v>
      </c>
      <c r="AF278" s="518" t="str">
        <f>IF(AND(_B="A-330-200",'2024'!$K$4="CA",'2024'!$K$2=AF271),'2024DATA'!$C$9,"")</f>
        <v/>
      </c>
      <c r="AG278" s="518" t="str">
        <f>IF(AND(_B="A-330-200",'2024'!$K$4="CA",'2024'!$K$2=AG271),'2024DATA'!$D$9,"")</f>
        <v/>
      </c>
      <c r="AH278" s="518" t="str">
        <f>IF(AND(_B="A-330-200",'2024'!$K$4="CA",'2024'!$K$2=AH271),'2024DATA'!$E$9,"")</f>
        <v/>
      </c>
      <c r="AI278" s="518" t="str">
        <f>IF(AND(_B="A-330-200",'2024'!$K$4="CA",'2024'!$K$2=AI271),'2024DATA'!$F$9,"")</f>
        <v/>
      </c>
      <c r="AJ278" s="518" t="str">
        <f>IF(AND(_B="A-330-200",'2024'!$K$4="CA",'2024'!$K$2=AJ271),'2024DATA'!$G$9,"")</f>
        <v/>
      </c>
      <c r="AK278" s="518" t="str">
        <f>IF(AND(_B="A-330-200",'2024'!$K$4="CA",'2024'!$K$2=AK271),'2024DATA'!$H$9,"")</f>
        <v/>
      </c>
      <c r="AL278" s="518" t="str">
        <f>IF(AND(_B="A-330-200",'2024'!$K$4="CA",'2024'!$K$2=AL271),'2024DATA'!$I$9,"")</f>
        <v/>
      </c>
      <c r="AM278" s="518" t="str">
        <f>IF(AND(_B="A-330-200",'2024'!$K$4="CA",'2024'!$K$2=AM271),'2024DATA'!$J$9,"")</f>
        <v/>
      </c>
      <c r="AN278" s="518" t="str">
        <f>IF(AND(_B="A-330-200",'2024'!$K$4="CA",'2024'!$K$2=AN271),'2024DATA'!$K$9,"")</f>
        <v/>
      </c>
      <c r="AO278" s="518" t="str">
        <f>IF(AND(_B="A-330-200",'2024'!$K$4="CA",'2024'!$K$2=AO271),'2024DATA'!$L$9,"")</f>
        <v/>
      </c>
      <c r="AP278" s="518" t="str">
        <f>IF(AND(_B="A-330-200",'2024'!$K$4="CA",'2024'!$K$2=AP271),'2024DATA'!$M$9,"")</f>
        <v/>
      </c>
      <c r="AQ278" s="520" t="str">
        <f>IF(AND(_B="A-330-200",'2024'!$K$4="CA",'2024'!$K$2=AQ271),'2024DATA'!$N$9,"")</f>
        <v/>
      </c>
      <c r="AR278" s="940" t="s">
        <v>66</v>
      </c>
      <c r="AS278" s="13" t="s">
        <v>61</v>
      </c>
      <c r="AT278" s="518" t="str">
        <f>IF(AND(_C="A-330-200",'2024'!$K$4="CA",'2024'!$K$2=AT271),'2024DATA'!$C$9,"")</f>
        <v/>
      </c>
      <c r="AU278" s="518" t="str">
        <f>IF(AND(_C="A-330-200",'2024'!$K$4="CA",'2024'!$K$2=AU271),'2024DATA'!$D$9,"")</f>
        <v/>
      </c>
      <c r="AV278" s="518" t="str">
        <f>IF(AND(_C="A-330-200",'2024'!$K$4="CA",'2024'!$K$2=AV271),'2024DATA'!$E$9,"")</f>
        <v/>
      </c>
      <c r="AW278" s="518" t="str">
        <f>IF(AND(_C="A-330-200",'2024'!$K$4="CA",'2024'!$K$2=AW271),'2024DATA'!$F$9,"")</f>
        <v/>
      </c>
      <c r="AX278" s="518" t="str">
        <f>IF(AND(_C="A-330-200",'2024'!$K$4="CA",'2024'!$K$2=AX271),'2024DATA'!$G$9,"")</f>
        <v/>
      </c>
      <c r="AY278" s="518" t="str">
        <f>IF(AND(_C="A-330-200",'2024'!$K$4="CA",'2024'!$K$2=AY271),'2024DATA'!$H$9,"")</f>
        <v/>
      </c>
      <c r="AZ278" s="518" t="str">
        <f>IF(AND(_C="A-330-200",'2024'!$K$4="CA",'2024'!$K$2=AZ271),'2024DATA'!$I$9,"")</f>
        <v/>
      </c>
      <c r="BA278" s="518" t="str">
        <f>IF(AND(_C="A-330-200",'2024'!$K$4="CA",'2024'!$K$2=BA271),'2024DATA'!$J$9,"")</f>
        <v/>
      </c>
      <c r="BB278" s="518" t="str">
        <f>IF(AND(_C="A-330-200",'2024'!$K$4="CA",'2024'!$K$2=BB271),'2024DATA'!$K$9,"")</f>
        <v/>
      </c>
      <c r="BC278" s="518" t="str">
        <f>IF(AND(_C="A-330-200",'2024'!$K$4="CA",'2024'!$K$2=BC271),'2024DATA'!$L$9,"")</f>
        <v/>
      </c>
      <c r="BD278" s="518" t="str">
        <f>IF(AND(_C="A-330-200",'2024'!$K$4="CA",'2024'!$K$2=BD271),'2024DATA'!$M$9,"")</f>
        <v/>
      </c>
      <c r="BE278" s="520" t="str">
        <f>IF(AND(_C="A-330-200",'2024'!$K$4="CA",'2024'!$K$2=BE271),'2024DATA'!$N$9,"")</f>
        <v/>
      </c>
      <c r="BF278" s="940" t="s">
        <v>66</v>
      </c>
      <c r="BG278" s="13" t="s">
        <v>61</v>
      </c>
      <c r="BH278" s="518" t="str">
        <f>IF(AND(_D="A-330-200",'2024'!$K$4="CA",'2024'!$K$2=BH271),'2024DATA'!$C$9,"")</f>
        <v/>
      </c>
      <c r="BI278" s="518" t="str">
        <f>IF(AND(_D="A-330-200",'2024'!$K$4="CA",'2024'!$K$2=BI271),'2024DATA'!$D$9,"")</f>
        <v/>
      </c>
      <c r="BJ278" s="518" t="str">
        <f>IF(AND(_D="A-330-200",'2024'!$K$4="CA",'2024'!$K$2=BJ271),'2024DATA'!$E$9,"")</f>
        <v/>
      </c>
      <c r="BK278" s="518" t="str">
        <f>IF(AND(_D="A-330-200",'2024'!$K$4="CA",'2024'!$K$2=BK271),'2024DATA'!$F$9,"")</f>
        <v/>
      </c>
      <c r="BL278" s="518" t="str">
        <f>IF(AND(_D="A-330-200",'2024'!$K$4="CA",'2024'!$K$2=BL271),'2024DATA'!$G$9,"")</f>
        <v/>
      </c>
      <c r="BM278" s="518" t="str">
        <f>IF(AND(_D="A-330-200",'2024'!$K$4="CA",'2024'!$K$2=BM271),'2024DATA'!$H$9,"")</f>
        <v/>
      </c>
      <c r="BN278" s="518" t="str">
        <f>IF(AND(_D="A-330-200",'2024'!$K$4="CA",'2024'!$K$2=BN271),'2024DATA'!$I$9,"")</f>
        <v/>
      </c>
      <c r="BO278" s="518" t="str">
        <f>IF(AND(_D="A-330-200",'2024'!$K$4="CA",'2024'!$K$2=BO271),'2024DATA'!$J$9,"")</f>
        <v/>
      </c>
      <c r="BP278" s="518" t="str">
        <f>IF(AND(_D="A-330-200",'2024'!$K$4="CA",'2024'!$K$2=BP271),'2024DATA'!$K$9,"")</f>
        <v/>
      </c>
      <c r="BQ278" s="518" t="str">
        <f>IF(AND(_D="A-330-200",'2024'!$K$4="CA",'2024'!$K$2=BQ271),'2024DATA'!$L$9,"")</f>
        <v/>
      </c>
      <c r="BR278" s="518" t="str">
        <f>IF(AND(_D="A-330-200",'2024'!$K$4="CA",'2024'!$K$2=BR271),'2024DATA'!$M$9,"")</f>
        <v/>
      </c>
      <c r="BS278" s="520" t="str">
        <f>IF(AND(_D="A-330-200",'2024'!$K$4="CA",'2024'!$K$2=BS271),'2024DATA'!$N$9,"")</f>
        <v/>
      </c>
      <c r="BT278" s="940" t="s">
        <v>66</v>
      </c>
      <c r="BU278" s="13" t="s">
        <v>61</v>
      </c>
      <c r="BV278" s="518" t="str">
        <f>IF(AND(_E="A-330-200",'2024'!$K$4="CA",'2024'!$K$2=BV271),'2024DATA'!$C$9,"")</f>
        <v/>
      </c>
      <c r="BW278" s="518" t="str">
        <f>IF(AND(_E="A-330-200",'2024'!$K$4="CA",'2024'!$K$2=BW271),'2024DATA'!$D$9,"")</f>
        <v/>
      </c>
      <c r="BX278" s="518" t="str">
        <f>IF(AND(_E="A-330-200",'2024'!$K$4="CA",'2024'!$K$2=BX271),'2024DATA'!$E$9,"")</f>
        <v/>
      </c>
      <c r="BY278" s="518" t="str">
        <f>IF(AND(_E="A-330-200",'2024'!$K$4="CA",'2024'!$K$2=BY271),'2024DATA'!$F$9,"")</f>
        <v/>
      </c>
      <c r="BZ278" s="518" t="str">
        <f>IF(AND(_E="A-330-200",'2024'!$K$4="CA",'2024'!$K$2=BZ271),'2024DATA'!$G$9,"")</f>
        <v/>
      </c>
      <c r="CA278" s="518" t="str">
        <f>IF(AND(_E="A-330-200",'2024'!$K$4="CA",'2024'!$K$2=CA271),'2024DATA'!$H$9,"")</f>
        <v/>
      </c>
      <c r="CB278" s="518" t="str">
        <f>IF(AND(_E="A-330-200",'2024'!$K$4="CA",'2024'!$K$2=CB271),'2024DATA'!$I$9,"")</f>
        <v/>
      </c>
      <c r="CC278" s="518" t="str">
        <f>IF(AND(_E="A-330-200",'2024'!$K$4="CA",'2024'!$K$2=CC271),'2024DATA'!$J$9,"")</f>
        <v/>
      </c>
      <c r="CD278" s="518" t="str">
        <f>IF(AND(_E="A-330-200",'2024'!$K$4="CA",'2024'!$K$2=CD271),'2024DATA'!$K$9,"")</f>
        <v/>
      </c>
      <c r="CE278" s="518" t="str">
        <f>IF(AND(_E="A-330-200",'2024'!$K$4="CA",'2024'!$K$2=CE271),'2024DATA'!$L$9,"")</f>
        <v/>
      </c>
      <c r="CF278" s="518" t="str">
        <f>IF(AND(_E="A-330-200",'2024'!$K$4="CA",'2024'!$K$2=CF271),'2024DATA'!$M$9,"")</f>
        <v/>
      </c>
      <c r="CG278" s="520" t="str">
        <f>IF(AND(_E="A-330-200",'2024'!$K$4="CA",'2024'!$K$2=CG271),'2024DATA'!$N$9,"")</f>
        <v/>
      </c>
      <c r="CH278" s="940" t="s">
        <v>66</v>
      </c>
      <c r="CI278" s="13" t="s">
        <v>61</v>
      </c>
      <c r="CJ278" s="518" t="str">
        <f>IF(AND(_F="A-330-200",'2024'!$K$4="CA",'2024'!$K$2=CJ271),'2024DATA'!$C$9,"")</f>
        <v/>
      </c>
      <c r="CK278" s="518" t="str">
        <f>IF(AND(_F="A-330-200",'2024'!$K$4="CA",'2024'!$K$2=CK271),'2024DATA'!$D$9,"")</f>
        <v/>
      </c>
      <c r="CL278" s="518" t="str">
        <f>IF(AND(_F="A-330-200",'2024'!$K$4="CA",'2024'!$K$2=CL271),'2024DATA'!$E$9,"")</f>
        <v/>
      </c>
      <c r="CM278" s="518" t="str">
        <f>IF(AND(_F="A-330-200",'2024'!$K$4="CA",'2024'!$K$2=CM271),'2024DATA'!$F$9,"")</f>
        <v/>
      </c>
      <c r="CN278" s="518" t="str">
        <f>IF(AND(_F="A-330-200",'2024'!$K$4="CA",'2024'!$K$2=CN271),'2024DATA'!$G$9,"")</f>
        <v/>
      </c>
      <c r="CO278" s="518" t="str">
        <f>IF(AND(_F="A-330-200",'2024'!$K$4="CA",'2024'!$K$2=CO271),'2024DATA'!$H$9,"")</f>
        <v/>
      </c>
      <c r="CP278" s="518" t="str">
        <f>IF(AND(_F="A-330-200",'2024'!$K$4="CA",'2024'!$K$2=CP271),'2024DATA'!$I$9,"")</f>
        <v/>
      </c>
      <c r="CQ278" s="518" t="str">
        <f>IF(AND(_F="A-330-200",'2024'!$K$4="CA",'2024'!$K$2=CQ271),'2024DATA'!$J$9,"")</f>
        <v/>
      </c>
      <c r="CR278" s="518" t="str">
        <f>IF(AND(_F="A-330-200",'2024'!$K$4="CA",'2024'!$K$2=CR271),'2024DATA'!$K$9,"")</f>
        <v/>
      </c>
      <c r="CS278" s="518" t="str">
        <f>IF(AND(_F="A-330-200",'2024'!$K$4="CA",'2024'!$K$2=CS271),'2024DATA'!$L$9,"")</f>
        <v/>
      </c>
      <c r="CT278" s="518" t="str">
        <f>IF(AND(_F="A-330-200",'2024'!$K$4="CA",'2024'!$K$2=CT271),'2024DATA'!$M$9,"")</f>
        <v/>
      </c>
      <c r="CU278" s="520" t="str">
        <f>IF(AND(_F="A-330-200",'2024'!$K$4="CA",'2024'!$K$2=CU271),'2024DATA'!$N$9,"")</f>
        <v/>
      </c>
    </row>
    <row r="279" spans="16:99" x14ac:dyDescent="0.25">
      <c r="P279" s="940"/>
      <c r="Q279" s="13" t="s">
        <v>62</v>
      </c>
      <c r="R279" s="518" t="str">
        <f>IF(AND(_A="A-330-200",'2024'!$K$4="FO",'2024'!$K$2=R271),'2024DATA'!$C$10,"")</f>
        <v/>
      </c>
      <c r="S279" s="518" t="str">
        <f>IF(AND(_A="A-330-200",'2024'!$K$4="FO",'2024'!$K$2=S271),'2024DATA'!$D$10,"")</f>
        <v/>
      </c>
      <c r="T279" s="518" t="str">
        <f>IF(AND(_A="A-330-200",'2024'!$K$4="FO",'2024'!$K$2=T271),'2024DATA'!$E$10,"")</f>
        <v/>
      </c>
      <c r="U279" s="518" t="str">
        <f>IF(AND(_A="A-330-200",'2024'!$K$4="FO",'2024'!$K$2=U271),'2024DATA'!$F$10,"")</f>
        <v/>
      </c>
      <c r="V279" s="518" t="str">
        <f>IF(AND(_A="A-330-200",'2024'!$K$4="FO",'2024'!$K$2=V271),'2024DATA'!$G$10,"")</f>
        <v/>
      </c>
      <c r="W279" s="518" t="str">
        <f>IF(AND(_A="A-330-200",'2024'!$K$4="FO",'2024'!$K$2=W271),'2024DATA'!$H$10,"")</f>
        <v/>
      </c>
      <c r="X279" s="518" t="str">
        <f>IF(AND(_A="A-330-200",'2024'!$K$4="FO",'2024'!$K$2=X271),'2024DATA'!$I$10,"")</f>
        <v/>
      </c>
      <c r="Y279" s="518" t="str">
        <f>IF(AND(_A="A-330-200",'2024'!$K$4="FO",'2024'!$K$2=Y271),'2024DATA'!$J$10,"")</f>
        <v/>
      </c>
      <c r="Z279" s="518" t="str">
        <f>IF(AND(_A="A-330-200",'2024'!$K$4="FO",'2024'!$K$2=Z271),'2024DATA'!$K$10,"")</f>
        <v/>
      </c>
      <c r="AA279" s="518" t="str">
        <f>IF(AND(_A="A-330-200",'2024'!$K$4="FO",'2024'!$K$2=AA271),'2024DATA'!$L$10,"")</f>
        <v/>
      </c>
      <c r="AB279" s="518" t="str">
        <f>IF(AND(_A="A-330-200",'2024'!$K$4="FO",'2024'!$K$2=AB271),'2024DATA'!$M$10,"")</f>
        <v/>
      </c>
      <c r="AC279" s="520" t="str">
        <f>IF(AND(_A="A-330-200",'2024'!$K$4="FO",'2024'!$K$2=AC271),'2024DATA'!$N$10,"")</f>
        <v/>
      </c>
      <c r="AD279" s="940"/>
      <c r="AE279" s="13" t="s">
        <v>62</v>
      </c>
      <c r="AF279" s="518" t="str">
        <f>IF(AND(_B="A-330-200",'2024'!$K$4="FO",'2024'!$K$2=AF271),'2024DATA'!$C$10,"")</f>
        <v/>
      </c>
      <c r="AG279" s="518" t="str">
        <f>IF(AND(_B="A-330-200",'2024'!$K$4="FO",'2024'!$K$2=AG271),'2024DATA'!$D$10,"")</f>
        <v/>
      </c>
      <c r="AH279" s="518" t="str">
        <f>IF(AND(_B="A-330-200",'2024'!$K$4="FO",'2024'!$K$2=AH271),'2024DATA'!$E$10,"")</f>
        <v/>
      </c>
      <c r="AI279" s="518" t="str">
        <f>IF(AND(_B="A-330-200",'2024'!$K$4="FO",'2024'!$K$2=AI271),'2024DATA'!$F$10,"")</f>
        <v/>
      </c>
      <c r="AJ279" s="518" t="str">
        <f>IF(AND(_B="A-330-200",'2024'!$K$4="FO",'2024'!$K$2=AJ271),'2024DATA'!$G$10,"")</f>
        <v/>
      </c>
      <c r="AK279" s="518" t="str">
        <f>IF(AND(_B="A-330-200",'2024'!$K$4="FO",'2024'!$K$2=AK271),'2024DATA'!$H$10,"")</f>
        <v/>
      </c>
      <c r="AL279" s="518" t="str">
        <f>IF(AND(_B="A-330-200",'2024'!$K$4="FO",'2024'!$K$2=AL271),'2024DATA'!$I$10,"")</f>
        <v/>
      </c>
      <c r="AM279" s="518" t="str">
        <f>IF(AND(_B="A-330-200",'2024'!$K$4="FO",'2024'!$K$2=AM271),'2024DATA'!$J$10,"")</f>
        <v/>
      </c>
      <c r="AN279" s="518" t="str">
        <f>IF(AND(_B="A-330-200",'2024'!$K$4="FO",'2024'!$K$2=AN271),'2024DATA'!$K$10,"")</f>
        <v/>
      </c>
      <c r="AO279" s="518" t="str">
        <f>IF(AND(_B="A-330-200",'2024'!$K$4="FO",'2024'!$K$2=AO271),'2024DATA'!$L$10,"")</f>
        <v/>
      </c>
      <c r="AP279" s="518" t="str">
        <f>IF(AND(_B="A-330-200",'2024'!$K$4="FO",'2024'!$K$2=AP271),'2024DATA'!$M$10,"")</f>
        <v/>
      </c>
      <c r="AQ279" s="520" t="str">
        <f>IF(AND(_B="A-330-200",'2024'!$K$4="FO",'2024'!$K$2=AQ271),'2024DATA'!$N$10,"")</f>
        <v/>
      </c>
      <c r="AR279" s="940"/>
      <c r="AS279" s="13" t="s">
        <v>62</v>
      </c>
      <c r="AT279" s="518" t="str">
        <f>IF(AND(_C="A-330-200",'2024'!$K$4="FO",'2024'!$K$2=AT271),'2024DATA'!$C$10,"")</f>
        <v/>
      </c>
      <c r="AU279" s="518" t="str">
        <f>IF(AND(_C="A-330-200",'2024'!$K$4="FO",'2024'!$K$2=AU271),'2024DATA'!$D$10,"")</f>
        <v/>
      </c>
      <c r="AV279" s="518" t="str">
        <f>IF(AND(_C="A-330-200",'2024'!$K$4="FO",'2024'!$K$2=AV271),'2024DATA'!$E$10,"")</f>
        <v/>
      </c>
      <c r="AW279" s="518" t="str">
        <f>IF(AND(_C="A-330-200",'2024'!$K$4="FO",'2024'!$K$2=AW271),'2024DATA'!$F$10,"")</f>
        <v/>
      </c>
      <c r="AX279" s="518" t="str">
        <f>IF(AND(_C="A-330-200",'2024'!$K$4="FO",'2024'!$K$2=AX271),'2024DATA'!$G$10,"")</f>
        <v/>
      </c>
      <c r="AY279" s="518" t="str">
        <f>IF(AND(_C="A-330-200",'2024'!$K$4="FO",'2024'!$K$2=AY271),'2024DATA'!$H$10,"")</f>
        <v/>
      </c>
      <c r="AZ279" s="518" t="str">
        <f>IF(AND(_C="A-330-200",'2024'!$K$4="FO",'2024'!$K$2=AZ271),'2024DATA'!$I$10,"")</f>
        <v/>
      </c>
      <c r="BA279" s="518" t="str">
        <f>IF(AND(_C="A-330-200",'2024'!$K$4="FO",'2024'!$K$2=BA271),'2024DATA'!$J$10,"")</f>
        <v/>
      </c>
      <c r="BB279" s="518" t="str">
        <f>IF(AND(_C="A-330-200",'2024'!$K$4="FO",'2024'!$K$2=BB271),'2024DATA'!$K$10,"")</f>
        <v/>
      </c>
      <c r="BC279" s="518" t="str">
        <f>IF(AND(_C="A-330-200",'2024'!$K$4="FO",'2024'!$K$2=BC271),'2024DATA'!$L$10,"")</f>
        <v/>
      </c>
      <c r="BD279" s="518" t="str">
        <f>IF(AND(_C="A-330-200",'2024'!$K$4="FO",'2024'!$K$2=BD271),'2024DATA'!$M$10,"")</f>
        <v/>
      </c>
      <c r="BE279" s="520" t="str">
        <f>IF(AND(_C="A-330-200",'2024'!$K$4="FO",'2024'!$K$2=BE271),'2024DATA'!$N$10,"")</f>
        <v/>
      </c>
      <c r="BF279" s="940"/>
      <c r="BG279" s="13" t="s">
        <v>62</v>
      </c>
      <c r="BH279" s="518" t="str">
        <f>IF(AND(_D="A-330-200",'2024'!$K$4="FO",'2024'!$K$2=BH271),'2024DATA'!$C$10,"")</f>
        <v/>
      </c>
      <c r="BI279" s="518" t="str">
        <f>IF(AND(_D="A-330-200",'2024'!$K$4="FO",'2024'!$K$2=BI271),'2024DATA'!$D$10,"")</f>
        <v/>
      </c>
      <c r="BJ279" s="518" t="str">
        <f>IF(AND(_D="A-330-200",'2024'!$K$4="FO",'2024'!$K$2=BJ271),'2024DATA'!$E$10,"")</f>
        <v/>
      </c>
      <c r="BK279" s="518" t="str">
        <f>IF(AND(_D="A-330-200",'2024'!$K$4="FO",'2024'!$K$2=BK271),'2024DATA'!$F$10,"")</f>
        <v/>
      </c>
      <c r="BL279" s="518" t="str">
        <f>IF(AND(_D="A-330-200",'2024'!$K$4="FO",'2024'!$K$2=BL271),'2024DATA'!$G$10,"")</f>
        <v/>
      </c>
      <c r="BM279" s="518" t="str">
        <f>IF(AND(_D="A-330-200",'2024'!$K$4="FO",'2024'!$K$2=BM271),'2024DATA'!$H$10,"")</f>
        <v/>
      </c>
      <c r="BN279" s="518" t="str">
        <f>IF(AND(_D="A-330-200",'2024'!$K$4="FO",'2024'!$K$2=BN271),'2024DATA'!$I$10,"")</f>
        <v/>
      </c>
      <c r="BO279" s="518" t="str">
        <f>IF(AND(_D="A-330-200",'2024'!$K$4="FO",'2024'!$K$2=BO271),'2024DATA'!$J$10,"")</f>
        <v/>
      </c>
      <c r="BP279" s="518" t="str">
        <f>IF(AND(_D="A-330-200",'2024'!$K$4="FO",'2024'!$K$2=BP271),'2024DATA'!$K$10,"")</f>
        <v/>
      </c>
      <c r="BQ279" s="518" t="str">
        <f>IF(AND(_D="A-330-200",'2024'!$K$4="FO",'2024'!$K$2=BQ271),'2024DATA'!$L$10,"")</f>
        <v/>
      </c>
      <c r="BR279" s="518" t="str">
        <f>IF(AND(_D="A-330-200",'2024'!$K$4="FO",'2024'!$K$2=BR271),'2024DATA'!$M$10,"")</f>
        <v/>
      </c>
      <c r="BS279" s="520" t="str">
        <f>IF(AND(_D="A-330-200",'2024'!$K$4="FO",'2024'!$K$2=BS271),'2024DATA'!$N$10,"")</f>
        <v/>
      </c>
      <c r="BT279" s="940"/>
      <c r="BU279" s="13" t="s">
        <v>62</v>
      </c>
      <c r="BV279" s="518" t="str">
        <f>IF(AND(_E="A-330-200",'2024'!$K$4="FO",'2024'!$K$2=BV271),'2024DATA'!$C$10,"")</f>
        <v/>
      </c>
      <c r="BW279" s="518" t="str">
        <f>IF(AND(_E="A-330-200",'2024'!$K$4="FO",'2024'!$K$2=BW271),'2024DATA'!$D$10,"")</f>
        <v/>
      </c>
      <c r="BX279" s="518" t="str">
        <f>IF(AND(_E="A-330-200",'2024'!$K$4="FO",'2024'!$K$2=BX271),'2024DATA'!$E$10,"")</f>
        <v/>
      </c>
      <c r="BY279" s="518" t="str">
        <f>IF(AND(_E="A-330-200",'2024'!$K$4="FO",'2024'!$K$2=BY271),'2024DATA'!$F$10,"")</f>
        <v/>
      </c>
      <c r="BZ279" s="518" t="str">
        <f>IF(AND(_E="A-330-200",'2024'!$K$4="FO",'2024'!$K$2=BZ271),'2024DATA'!$G$10,"")</f>
        <v/>
      </c>
      <c r="CA279" s="518" t="str">
        <f>IF(AND(_E="A-330-200",'2024'!$K$4="FO",'2024'!$K$2=CA271),'2024DATA'!$H$10,"")</f>
        <v/>
      </c>
      <c r="CB279" s="518" t="str">
        <f>IF(AND(_E="A-330-200",'2024'!$K$4="FO",'2024'!$K$2=CB271),'2024DATA'!$I$10,"")</f>
        <v/>
      </c>
      <c r="CC279" s="518" t="str">
        <f>IF(AND(_E="A-330-200",'2024'!$K$4="FO",'2024'!$K$2=CC271),'2024DATA'!$J$10,"")</f>
        <v/>
      </c>
      <c r="CD279" s="518" t="str">
        <f>IF(AND(_E="A-330-200",'2024'!$K$4="FO",'2024'!$K$2=CD271),'2024DATA'!$K$10,"")</f>
        <v/>
      </c>
      <c r="CE279" s="518" t="str">
        <f>IF(AND(_E="A-330-200",'2024'!$K$4="FO",'2024'!$K$2=CE271),'2024DATA'!$L$10,"")</f>
        <v/>
      </c>
      <c r="CF279" s="518" t="str">
        <f>IF(AND(_E="A-330-200",'2024'!$K$4="FO",'2024'!$K$2=CF271),'2024DATA'!$M$10,"")</f>
        <v/>
      </c>
      <c r="CG279" s="520" t="str">
        <f>IF(AND(_E="A-330-200",'2024'!$K$4="FO",'2024'!$K$2=CG271),'2024DATA'!$N$10,"")</f>
        <v/>
      </c>
      <c r="CH279" s="940"/>
      <c r="CI279" s="13" t="s">
        <v>62</v>
      </c>
      <c r="CJ279" s="518" t="str">
        <f>IF(AND(_F="A-330-200",'2024'!$K$4="FO",'2024'!$K$2=CJ271),'2024DATA'!$C$10,"")</f>
        <v/>
      </c>
      <c r="CK279" s="518" t="str">
        <f>IF(AND(_F="A-330-200",'2024'!$K$4="FO",'2024'!$K$2=CK271),'2024DATA'!$D$10,"")</f>
        <v/>
      </c>
      <c r="CL279" s="518" t="str">
        <f>IF(AND(_F="A-330-200",'2024'!$K$4="FO",'2024'!$K$2=CL271),'2024DATA'!$E$10,"")</f>
        <v/>
      </c>
      <c r="CM279" s="518" t="str">
        <f>IF(AND(_F="A-330-200",'2024'!$K$4="FO",'2024'!$K$2=CM271),'2024DATA'!$F$10,"")</f>
        <v/>
      </c>
      <c r="CN279" s="518" t="str">
        <f>IF(AND(_F="A-330-200",'2024'!$K$4="FO",'2024'!$K$2=CN271),'2024DATA'!$G$10,"")</f>
        <v/>
      </c>
      <c r="CO279" s="518" t="str">
        <f>IF(AND(_F="A-330-200",'2024'!$K$4="FO",'2024'!$K$2=CO271),'2024DATA'!$H$10,"")</f>
        <v/>
      </c>
      <c r="CP279" s="518" t="str">
        <f>IF(AND(_F="A-330-200",'2024'!$K$4="FO",'2024'!$K$2=CP271),'2024DATA'!$I$10,"")</f>
        <v/>
      </c>
      <c r="CQ279" s="518" t="str">
        <f>IF(AND(_F="A-330-200",'2024'!$K$4="FO",'2024'!$K$2=CQ271),'2024DATA'!$J$10,"")</f>
        <v/>
      </c>
      <c r="CR279" s="518" t="str">
        <f>IF(AND(_F="A-330-200",'2024'!$K$4="FO",'2024'!$K$2=CR271),'2024DATA'!$K$10,"")</f>
        <v/>
      </c>
      <c r="CS279" s="518" t="str">
        <f>IF(AND(_F="A-330-200",'2024'!$K$4="FO",'2024'!$K$2=CS271),'2024DATA'!$L$10,"")</f>
        <v/>
      </c>
      <c r="CT279" s="518" t="str">
        <f>IF(AND(_F="A-330-200",'2024'!$K$4="FO",'2024'!$K$2=CT271),'2024DATA'!$M$10,"")</f>
        <v/>
      </c>
      <c r="CU279" s="520" t="str">
        <f>IF(AND(_F="A-330-200",'2024'!$K$4="FO",'2024'!$K$2=CU271),'2024DATA'!$N$10,"")</f>
        <v/>
      </c>
    </row>
    <row r="280" spans="16:99" x14ac:dyDescent="0.25">
      <c r="P280" s="940" t="s">
        <v>42</v>
      </c>
      <c r="Q280" s="13" t="s">
        <v>61</v>
      </c>
      <c r="R280" s="518" t="str">
        <f>IF(AND(_A="B-767-400ER",'2024'!$K$4="CA",'2024'!$K$2=R271),'2024DATA'!$C$11,"")</f>
        <v/>
      </c>
      <c r="S280" s="518" t="str">
        <f>IF(AND(_A="B-767-400ER",'2024'!$K$4="CA",'2024'!$K$2=S271),'2024DATA'!$D$11,"")</f>
        <v/>
      </c>
      <c r="T280" s="518" t="str">
        <f>IF(AND(_A="B-767-400ER",'2024'!$K$4="CA",'2024'!$K$2=T271),'2024DATA'!$E$11,"")</f>
        <v/>
      </c>
      <c r="U280" s="518" t="str">
        <f>IF(AND(_A="B-767-400ER",'2024'!$K$4="CA",'2024'!$K$2=U271),'2024DATA'!$F$11,"")</f>
        <v/>
      </c>
      <c r="V280" s="518" t="str">
        <f>IF(AND(_A="B-767-400ER",'2024'!$K$4="CA",'2024'!$K$2=V271),'2024DATA'!$G$11,"")</f>
        <v/>
      </c>
      <c r="W280" s="518" t="str">
        <f>IF(AND(_A="B-767-400ER",'2024'!$K$4="CA",'2024'!$K$2=W271),'2024DATA'!$H$11,"")</f>
        <v/>
      </c>
      <c r="X280" s="518" t="str">
        <f>IF(AND(_A="B-767-400ER",'2024'!$K$4="CA",'2024'!$K$2=X271),'2024DATA'!$I$11,"")</f>
        <v/>
      </c>
      <c r="Y280" s="518" t="str">
        <f>IF(AND(_A="B-767-400ER",'2024'!$K$4="CA",'2024'!$K$2=Y271),'2024DATA'!$J$11,"")</f>
        <v/>
      </c>
      <c r="Z280" s="518" t="str">
        <f>IF(AND(_A="B-767-400ER",'2024'!$K$4="CA",'2024'!$K$2=Z271),'2024DATA'!$K$11,"")</f>
        <v/>
      </c>
      <c r="AA280" s="518" t="str">
        <f>IF(AND(_A="B-767-400ER",'2024'!$K$4="CA",'2024'!$K$2=AA271),'2024DATA'!$L$11,"")</f>
        <v/>
      </c>
      <c r="AB280" s="518" t="str">
        <f>IF(AND(_A="B-767-400ER",'2024'!$K$4="CA",'2024'!$K$2=AB271),'2024DATA'!$M$11,"")</f>
        <v/>
      </c>
      <c r="AC280" s="520" t="str">
        <f>IF(AND(_A="B-767-400ER",'2024'!$K$4="CA",'2024'!$K$2=AC271),'2024DATA'!$N$11,"")</f>
        <v/>
      </c>
      <c r="AD280" s="940" t="s">
        <v>42</v>
      </c>
      <c r="AE280" s="13" t="s">
        <v>61</v>
      </c>
      <c r="AF280" s="518" t="str">
        <f>IF(AND(_B="B-767-400ER",'2024'!$K$4="CA",'2024'!$K$2=AF271),'2024DATA'!$C$11,"")</f>
        <v/>
      </c>
      <c r="AG280" s="518" t="str">
        <f>IF(AND(_B="B-767-400ER",'2024'!$K$4="CA",'2024'!$K$2=AG271),'2024DATA'!$D$11,"")</f>
        <v/>
      </c>
      <c r="AH280" s="518" t="str">
        <f>IF(AND(_B="B-767-400ER",'2024'!$K$4="CA",'2024'!$K$2=AH271),'2024DATA'!$E$11,"")</f>
        <v/>
      </c>
      <c r="AI280" s="518" t="str">
        <f>IF(AND(_B="B-767-400ER",'2024'!$K$4="CA",'2024'!$K$2=AI271),'2024DATA'!$F$11,"")</f>
        <v/>
      </c>
      <c r="AJ280" s="518" t="str">
        <f>IF(AND(_B="B-767-400ER",'2024'!$K$4="CA",'2024'!$K$2=AJ271),'2024DATA'!$G$11,"")</f>
        <v/>
      </c>
      <c r="AK280" s="518" t="str">
        <f>IF(AND(_B="B-767-400ER",'2024'!$K$4="CA",'2024'!$K$2=AK271),'2024DATA'!$H$11,"")</f>
        <v/>
      </c>
      <c r="AL280" s="518" t="str">
        <f>IF(AND(_B="B-767-400ER",'2024'!$K$4="CA",'2024'!$K$2=AL271),'2024DATA'!$I$11,"")</f>
        <v/>
      </c>
      <c r="AM280" s="518" t="str">
        <f>IF(AND(_B="B-767-400ER",'2024'!$K$4="CA",'2024'!$K$2=AM271),'2024DATA'!$J$11,"")</f>
        <v/>
      </c>
      <c r="AN280" s="518" t="str">
        <f>IF(AND(_B="B-767-400ER",'2024'!$K$4="CA",'2024'!$K$2=AN271),'2024DATA'!$K$11,"")</f>
        <v/>
      </c>
      <c r="AO280" s="518" t="str">
        <f>IF(AND(_B="B-767-400ER",'2024'!$K$4="CA",'2024'!$K$2=AO271),'2024DATA'!$L$11,"")</f>
        <v/>
      </c>
      <c r="AP280" s="518" t="str">
        <f>IF(AND(_B="B-767-400ER",'2024'!$K$4="CA",'2024'!$K$2=AP271),'2024DATA'!$M$11,"")</f>
        <v/>
      </c>
      <c r="AQ280" s="520" t="str">
        <f>IF(AND(_B="B-767-400ER",'2024'!$K$4="CA",'2024'!$K$2=AQ271),'2024DATA'!$N$11,"")</f>
        <v/>
      </c>
      <c r="AR280" s="940" t="s">
        <v>42</v>
      </c>
      <c r="AS280" s="13" t="s">
        <v>61</v>
      </c>
      <c r="AT280" s="518" t="str">
        <f>IF(AND(_C="B-767-400ER",'2024'!$K$4="CA",'2024'!$K$2=AT271),'2024DATA'!$C$11,"")</f>
        <v/>
      </c>
      <c r="AU280" s="518" t="str">
        <f>IF(AND(_C="B-767-400ER",'2024'!$K$4="CA",'2024'!$K$2=AU271),'2024DATA'!$D$11,"")</f>
        <v/>
      </c>
      <c r="AV280" s="518" t="str">
        <f>IF(AND(_C="B-767-400ER",'2024'!$K$4="CA",'2024'!$K$2=AV271),'2024DATA'!$E$11,"")</f>
        <v/>
      </c>
      <c r="AW280" s="518" t="str">
        <f>IF(AND(_C="B-767-400ER",'2024'!$K$4="CA",'2024'!$K$2=AW271),'2024DATA'!$F$11,"")</f>
        <v/>
      </c>
      <c r="AX280" s="518" t="str">
        <f>IF(AND(_C="B-767-400ER",'2024'!$K$4="CA",'2024'!$K$2=AX271),'2024DATA'!$G$11,"")</f>
        <v/>
      </c>
      <c r="AY280" s="518" t="str">
        <f>IF(AND(_C="B-767-400ER",'2024'!$K$4="CA",'2024'!$K$2=AY271),'2024DATA'!$H$11,"")</f>
        <v/>
      </c>
      <c r="AZ280" s="518" t="str">
        <f>IF(AND(_C="B-767-400ER",'2024'!$K$4="CA",'2024'!$K$2=AZ271),'2024DATA'!$I$11,"")</f>
        <v/>
      </c>
      <c r="BA280" s="518" t="str">
        <f>IF(AND(_C="B-767-400ER",'2024'!$K$4="CA",'2024'!$K$2=BA271),'2024DATA'!$J$11,"")</f>
        <v/>
      </c>
      <c r="BB280" s="518" t="str">
        <f>IF(AND(_C="B-767-400ER",'2024'!$K$4="CA",'2024'!$K$2=BB271),'2024DATA'!$K$11,"")</f>
        <v/>
      </c>
      <c r="BC280" s="518" t="str">
        <f>IF(AND(_C="B-767-400ER",'2024'!$K$4="CA",'2024'!$K$2=BC271),'2024DATA'!$L$11,"")</f>
        <v/>
      </c>
      <c r="BD280" s="518" t="str">
        <f>IF(AND(_C="B-767-400ER",'2024'!$K$4="CA",'2024'!$K$2=BD271),'2024DATA'!$M$11,"")</f>
        <v/>
      </c>
      <c r="BE280" s="520" t="str">
        <f>IF(AND(_C="B-767-400ER",'2024'!$K$4="CA",'2024'!$K$2=BE271),'2024DATA'!$N$11,"")</f>
        <v/>
      </c>
      <c r="BF280" s="940" t="s">
        <v>42</v>
      </c>
      <c r="BG280" s="13" t="s">
        <v>61</v>
      </c>
      <c r="BH280" s="518" t="str">
        <f>IF(AND(_D="B-767-400ER",'2024'!$K$4="CA",'2024'!$K$2=BH271),'2024DATA'!$C$11,"")</f>
        <v/>
      </c>
      <c r="BI280" s="518" t="str">
        <f>IF(AND(_D="B-767-400ER",'2024'!$K$4="CA",'2024'!$K$2=BI271),'2024DATA'!$D$11,"")</f>
        <v/>
      </c>
      <c r="BJ280" s="518" t="str">
        <f>IF(AND(_D="B-767-400ER",'2024'!$K$4="CA",'2024'!$K$2=BJ271),'2024DATA'!$E$11,"")</f>
        <v/>
      </c>
      <c r="BK280" s="518" t="str">
        <f>IF(AND(_D="B-767-400ER",'2024'!$K$4="CA",'2024'!$K$2=BK271),'2024DATA'!$F$11,"")</f>
        <v/>
      </c>
      <c r="BL280" s="518" t="str">
        <f>IF(AND(_D="B-767-400ER",'2024'!$K$4="CA",'2024'!$K$2=BL271),'2024DATA'!$G$11,"")</f>
        <v/>
      </c>
      <c r="BM280" s="518" t="str">
        <f>IF(AND(_D="B-767-400ER",'2024'!$K$4="CA",'2024'!$K$2=BM271),'2024DATA'!$H$11,"")</f>
        <v/>
      </c>
      <c r="BN280" s="518" t="str">
        <f>IF(AND(_D="B-767-400ER",'2024'!$K$4="CA",'2024'!$K$2=BN271),'2024DATA'!$I$11,"")</f>
        <v/>
      </c>
      <c r="BO280" s="518" t="str">
        <f>IF(AND(_D="B-767-400ER",'2024'!$K$4="CA",'2024'!$K$2=BO271),'2024DATA'!$J$11,"")</f>
        <v/>
      </c>
      <c r="BP280" s="518" t="str">
        <f>IF(AND(_D="B-767-400ER",'2024'!$K$4="CA",'2024'!$K$2=BP271),'2024DATA'!$K$11,"")</f>
        <v/>
      </c>
      <c r="BQ280" s="518" t="str">
        <f>IF(AND(_D="B-767-400ER",'2024'!$K$4="CA",'2024'!$K$2=BQ271),'2024DATA'!$L$11,"")</f>
        <v/>
      </c>
      <c r="BR280" s="518" t="str">
        <f>IF(AND(_D="B-767-400ER",'2024'!$K$4="CA",'2024'!$K$2=BR271),'2024DATA'!$M$11,"")</f>
        <v/>
      </c>
      <c r="BS280" s="520" t="str">
        <f>IF(AND(_D="B-767-400ER",'2024'!$K$4="CA",'2024'!$K$2=BS271),'2024DATA'!$N$11,"")</f>
        <v/>
      </c>
      <c r="BT280" s="940" t="s">
        <v>42</v>
      </c>
      <c r="BU280" s="13" t="s">
        <v>61</v>
      </c>
      <c r="BV280" s="518" t="str">
        <f>IF(AND(_E="B-767-400ER",'2024'!$K$4="CA",'2024'!$K$2=BV271),'2024DATA'!$C$11,"")</f>
        <v/>
      </c>
      <c r="BW280" s="518" t="str">
        <f>IF(AND(_E="B-767-400ER",'2024'!$K$4="CA",'2024'!$K$2=BW271),'2024DATA'!$D$11,"")</f>
        <v/>
      </c>
      <c r="BX280" s="518" t="str">
        <f>IF(AND(_E="B-767-400ER",'2024'!$K$4="CA",'2024'!$K$2=BX271),'2024DATA'!$E$11,"")</f>
        <v/>
      </c>
      <c r="BY280" s="518" t="str">
        <f>IF(AND(_E="B-767-400ER",'2024'!$K$4="CA",'2024'!$K$2=BY271),'2024DATA'!$F$11,"")</f>
        <v/>
      </c>
      <c r="BZ280" s="518" t="str">
        <f>IF(AND(_E="B-767-400ER",'2024'!$K$4="CA",'2024'!$K$2=BZ271),'2024DATA'!$G$11,"")</f>
        <v/>
      </c>
      <c r="CA280" s="518" t="str">
        <f>IF(AND(_E="B-767-400ER",'2024'!$K$4="CA",'2024'!$K$2=CA271),'2024DATA'!$H$11,"")</f>
        <v/>
      </c>
      <c r="CB280" s="518" t="str">
        <f>IF(AND(_E="B-767-400ER",'2024'!$K$4="CA",'2024'!$K$2=CB271),'2024DATA'!$I$11,"")</f>
        <v/>
      </c>
      <c r="CC280" s="518" t="str">
        <f>IF(AND(_E="B-767-400ER",'2024'!$K$4="CA",'2024'!$K$2=CC271),'2024DATA'!$J$11,"")</f>
        <v/>
      </c>
      <c r="CD280" s="518" t="str">
        <f>IF(AND(_E="B-767-400ER",'2024'!$K$4="CA",'2024'!$K$2=CD271),'2024DATA'!$K$11,"")</f>
        <v/>
      </c>
      <c r="CE280" s="518" t="str">
        <f>IF(AND(_E="B-767-400ER",'2024'!$K$4="CA",'2024'!$K$2=CE271),'2024DATA'!$L$11,"")</f>
        <v/>
      </c>
      <c r="CF280" s="518" t="str">
        <f>IF(AND(_E="B-767-400ER",'2024'!$K$4="CA",'2024'!$K$2=CF271),'2024DATA'!$M$11,"")</f>
        <v/>
      </c>
      <c r="CG280" s="520" t="str">
        <f>IF(AND(_E="B-767-400ER",'2024'!$K$4="CA",'2024'!$K$2=CG271),'2024DATA'!$N$11,"")</f>
        <v/>
      </c>
      <c r="CH280" s="940" t="s">
        <v>42</v>
      </c>
      <c r="CI280" s="13" t="s">
        <v>61</v>
      </c>
      <c r="CJ280" s="518" t="str">
        <f>IF(AND(_F="B-767-400ER",'2024'!$K$4="CA",'2024'!$K$2=CJ271),'2024DATA'!$C$11,"")</f>
        <v/>
      </c>
      <c r="CK280" s="518" t="str">
        <f>IF(AND(_F="B-767-400ER",'2024'!$K$4="CA",'2024'!$K$2=CK271),'2024DATA'!$D$11,"")</f>
        <v/>
      </c>
      <c r="CL280" s="518" t="str">
        <f>IF(AND(_F="B-767-400ER",'2024'!$K$4="CA",'2024'!$K$2=CL271),'2024DATA'!$E$11,"")</f>
        <v/>
      </c>
      <c r="CM280" s="518" t="str">
        <f>IF(AND(_F="B-767-400ER",'2024'!$K$4="CA",'2024'!$K$2=CM271),'2024DATA'!$F$11,"")</f>
        <v/>
      </c>
      <c r="CN280" s="518" t="str">
        <f>IF(AND(_F="B-767-400ER",'2024'!$K$4="CA",'2024'!$K$2=CN271),'2024DATA'!$G$11,"")</f>
        <v/>
      </c>
      <c r="CO280" s="518" t="str">
        <f>IF(AND(_F="B-767-400ER",'2024'!$K$4="CA",'2024'!$K$2=CO271),'2024DATA'!$H$11,"")</f>
        <v/>
      </c>
      <c r="CP280" s="518" t="str">
        <f>IF(AND(_F="B-767-400ER",'2024'!$K$4="CA",'2024'!$K$2=CP271),'2024DATA'!$I$11,"")</f>
        <v/>
      </c>
      <c r="CQ280" s="518" t="str">
        <f>IF(AND(_F="B-767-400ER",'2024'!$K$4="CA",'2024'!$K$2=CQ271),'2024DATA'!$J$11,"")</f>
        <v/>
      </c>
      <c r="CR280" s="518" t="str">
        <f>IF(AND(_F="B-767-400ER",'2024'!$K$4="CA",'2024'!$K$2=CR271),'2024DATA'!$K$11,"")</f>
        <v/>
      </c>
      <c r="CS280" s="518" t="str">
        <f>IF(AND(_F="B-767-400ER",'2024'!$K$4="CA",'2024'!$K$2=CS271),'2024DATA'!$L$11,"")</f>
        <v/>
      </c>
      <c r="CT280" s="518" t="str">
        <f>IF(AND(_F="B-767-400ER",'2024'!$K$4="CA",'2024'!$K$2=CT271),'2024DATA'!$M$11,"")</f>
        <v/>
      </c>
      <c r="CU280" s="520" t="str">
        <f>IF(AND(_F="B-767-400ER",'2024'!$K$4="CA",'2024'!$K$2=CU271),'2024DATA'!$N$11,"")</f>
        <v/>
      </c>
    </row>
    <row r="281" spans="16:99" x14ac:dyDescent="0.25">
      <c r="P281" s="940"/>
      <c r="Q281" s="13" t="s">
        <v>62</v>
      </c>
      <c r="R281" s="518" t="str">
        <f>IF(AND(_A="B-767-400ER",'2024'!$K$4="FO",'2024'!$K$2=R271),'2024DATA'!$C$12,"")</f>
        <v/>
      </c>
      <c r="S281" s="518" t="str">
        <f>IF(AND(_A="B-767-400ER",'2024'!$K$4="FO",'2024'!$K$2=S271),'2024DATA'!$D$12,"")</f>
        <v/>
      </c>
      <c r="T281" s="518" t="str">
        <f>IF(AND(_A="B-767-400ER",'2024'!$K$4="FO",'2024'!$K$2=T271),'2024DATA'!$E$12,"")</f>
        <v/>
      </c>
      <c r="U281" s="518" t="str">
        <f>IF(AND(_A="B-767-400ER",'2024'!$K$4="FO",'2024'!$K$2=U271),'2024DATA'!$F$12,"")</f>
        <v/>
      </c>
      <c r="V281" s="518" t="str">
        <f>IF(AND(_A="B-767-400ER",'2024'!$K$4="FO",'2024'!$K$2=V271),'2024DATA'!$G$12,"")</f>
        <v/>
      </c>
      <c r="W281" s="518" t="str">
        <f>IF(AND(_A="B-767-400ER",'2024'!$K$4="FO",'2024'!$K$2=W271),'2024DATA'!$H$12,"")</f>
        <v/>
      </c>
      <c r="X281" s="518" t="str">
        <f>IF(AND(_A="B-767-400ER",'2024'!$K$4="FO",'2024'!$K$2=X271),'2024DATA'!$I$12,"")</f>
        <v/>
      </c>
      <c r="Y281" s="518" t="str">
        <f>IF(AND(_A="B-767-400ER",'2024'!$K$4="FO",'2024'!$K$2=Y271),'2024DATA'!$J$12,"")</f>
        <v/>
      </c>
      <c r="Z281" s="518" t="str">
        <f>IF(AND(_A="B-767-400ER",'2024'!$K$4="FO",'2024'!$K$2=Z271),'2024DATA'!$K$12,"")</f>
        <v/>
      </c>
      <c r="AA281" s="518" t="str">
        <f>IF(AND(_A="B-767-400ER",'2024'!$K$4="FO",'2024'!$K$2=AA271),'2024DATA'!$L$12,"")</f>
        <v/>
      </c>
      <c r="AB281" s="518" t="str">
        <f>IF(AND(_A="B-767-400ER",'2024'!$K$4="FO",'2024'!$K$2=AB271),'2024DATA'!$M$12,"")</f>
        <v/>
      </c>
      <c r="AC281" s="520" t="str">
        <f>IF(AND(_A="B-767-400ER",'2024'!$K$4="FO",'2024'!$K$2=AC271),'2024DATA'!$N$12,"")</f>
        <v/>
      </c>
      <c r="AD281" s="940"/>
      <c r="AE281" s="13" t="s">
        <v>62</v>
      </c>
      <c r="AF281" s="518" t="str">
        <f>IF(AND(_B="B-767-400ER",'2024'!$K$4="FO",'2024'!$K$2=AF271),'2024DATA'!$C$12,"")</f>
        <v/>
      </c>
      <c r="AG281" s="518" t="str">
        <f>IF(AND(_B="B-767-400ER",'2024'!$K$4="FO",'2024'!$K$2=AG271),'2024DATA'!$D$12,"")</f>
        <v/>
      </c>
      <c r="AH281" s="518" t="str">
        <f>IF(AND(_B="B-767-400ER",'2024'!$K$4="FO",'2024'!$K$2=AH271),'2024DATA'!$E$12,"")</f>
        <v/>
      </c>
      <c r="AI281" s="518" t="str">
        <f>IF(AND(_B="B-767-400ER",'2024'!$K$4="FO",'2024'!$K$2=AI271),'2024DATA'!$F$12,"")</f>
        <v/>
      </c>
      <c r="AJ281" s="518" t="str">
        <f>IF(AND(_B="B-767-400ER",'2024'!$K$4="FO",'2024'!$K$2=AJ271),'2024DATA'!$G$12,"")</f>
        <v/>
      </c>
      <c r="AK281" s="518" t="str">
        <f>IF(AND(_B="B-767-400ER",'2024'!$K$4="FO",'2024'!$K$2=AK271),'2024DATA'!$H$12,"")</f>
        <v/>
      </c>
      <c r="AL281" s="518" t="str">
        <f>IF(AND(_B="B-767-400ER",'2024'!$K$4="FO",'2024'!$K$2=AL271),'2024DATA'!$I$12,"")</f>
        <v/>
      </c>
      <c r="AM281" s="518" t="str">
        <f>IF(AND(_B="B-767-400ER",'2024'!$K$4="FO",'2024'!$K$2=AM271),'2024DATA'!$J$12,"")</f>
        <v/>
      </c>
      <c r="AN281" s="518" t="str">
        <f>IF(AND(_B="B-767-400ER",'2024'!$K$4="FO",'2024'!$K$2=AN271),'2024DATA'!$K$12,"")</f>
        <v/>
      </c>
      <c r="AO281" s="518" t="str">
        <f>IF(AND(_B="B-767-400ER",'2024'!$K$4="FO",'2024'!$K$2=AO271),'2024DATA'!$L$12,"")</f>
        <v/>
      </c>
      <c r="AP281" s="518" t="str">
        <f>IF(AND(_B="B-767-400ER",'2024'!$K$4="FO",'2024'!$K$2=AP271),'2024DATA'!$M$12,"")</f>
        <v/>
      </c>
      <c r="AQ281" s="520" t="str">
        <f>IF(AND(_B="B-767-400ER",'2024'!$K$4="FO",'2024'!$K$2=AQ271),'2024DATA'!$N$12,"")</f>
        <v/>
      </c>
      <c r="AR281" s="940"/>
      <c r="AS281" s="13" t="s">
        <v>62</v>
      </c>
      <c r="AT281" s="518" t="str">
        <f>IF(AND(_C="B-767-400ER",'2024'!$K$4="FO",'2024'!$K$2=AT271),'2024DATA'!$C$12,"")</f>
        <v/>
      </c>
      <c r="AU281" s="518" t="str">
        <f>IF(AND(_C="B-767-400ER",'2024'!$K$4="FO",'2024'!$K$2=AU271),'2024DATA'!$D$12,"")</f>
        <v/>
      </c>
      <c r="AV281" s="518" t="str">
        <f>IF(AND(_C="B-767-400ER",'2024'!$K$4="FO",'2024'!$K$2=AV271),'2024DATA'!$E$12,"")</f>
        <v/>
      </c>
      <c r="AW281" s="518" t="str">
        <f>IF(AND(_C="B-767-400ER",'2024'!$K$4="FO",'2024'!$K$2=AW271),'2024DATA'!$F$12,"")</f>
        <v/>
      </c>
      <c r="AX281" s="518" t="str">
        <f>IF(AND(_C="B-767-400ER",'2024'!$K$4="FO",'2024'!$K$2=AX271),'2024DATA'!$G$12,"")</f>
        <v/>
      </c>
      <c r="AY281" s="518" t="str">
        <f>IF(AND(_C="B-767-400ER",'2024'!$K$4="FO",'2024'!$K$2=AY271),'2024DATA'!$H$12,"")</f>
        <v/>
      </c>
      <c r="AZ281" s="518" t="str">
        <f>IF(AND(_C="B-767-400ER",'2024'!$K$4="FO",'2024'!$K$2=AZ271),'2024DATA'!$I$12,"")</f>
        <v/>
      </c>
      <c r="BA281" s="518" t="str">
        <f>IF(AND(_C="B-767-400ER",'2024'!$K$4="FO",'2024'!$K$2=BA271),'2024DATA'!$J$12,"")</f>
        <v/>
      </c>
      <c r="BB281" s="518" t="str">
        <f>IF(AND(_C="B-767-400ER",'2024'!$K$4="FO",'2024'!$K$2=BB271),'2024DATA'!$K$12,"")</f>
        <v/>
      </c>
      <c r="BC281" s="518" t="str">
        <f>IF(AND(_C="B-767-400ER",'2024'!$K$4="FO",'2024'!$K$2=BC271),'2024DATA'!$L$12,"")</f>
        <v/>
      </c>
      <c r="BD281" s="518" t="str">
        <f>IF(AND(_C="B-767-400ER",'2024'!$K$4="FO",'2024'!$K$2=BD271),'2024DATA'!$M$12,"")</f>
        <v/>
      </c>
      <c r="BE281" s="520" t="str">
        <f>IF(AND(_C="B-767-400ER",'2024'!$K$4="FO",'2024'!$K$2=BE271),'2024DATA'!$N$12,"")</f>
        <v/>
      </c>
      <c r="BF281" s="940"/>
      <c r="BG281" s="13" t="s">
        <v>62</v>
      </c>
      <c r="BH281" s="518" t="str">
        <f>IF(AND(_D="B-767-400ER",'2024'!$K$4="FO",'2024'!$K$2=BH271),'2024DATA'!$C$12,"")</f>
        <v/>
      </c>
      <c r="BI281" s="518" t="str">
        <f>IF(AND(_D="B-767-400ER",'2024'!$K$4="FO",'2024'!$K$2=BI271),'2024DATA'!$D$12,"")</f>
        <v/>
      </c>
      <c r="BJ281" s="518" t="str">
        <f>IF(AND(_D="B-767-400ER",'2024'!$K$4="FO",'2024'!$K$2=BJ271),'2024DATA'!$E$12,"")</f>
        <v/>
      </c>
      <c r="BK281" s="518" t="str">
        <f>IF(AND(_D="B-767-400ER",'2024'!$K$4="FO",'2024'!$K$2=BK271),'2024DATA'!$F$12,"")</f>
        <v/>
      </c>
      <c r="BL281" s="518" t="str">
        <f>IF(AND(_D="B-767-400ER",'2024'!$K$4="FO",'2024'!$K$2=BL271),'2024DATA'!$G$12,"")</f>
        <v/>
      </c>
      <c r="BM281" s="518" t="str">
        <f>IF(AND(_D="B-767-400ER",'2024'!$K$4="FO",'2024'!$K$2=BM271),'2024DATA'!$H$12,"")</f>
        <v/>
      </c>
      <c r="BN281" s="518" t="str">
        <f>IF(AND(_D="B-767-400ER",'2024'!$K$4="FO",'2024'!$K$2=BN271),'2024DATA'!$I$12,"")</f>
        <v/>
      </c>
      <c r="BO281" s="518" t="str">
        <f>IF(AND(_D="B-767-400ER",'2024'!$K$4="FO",'2024'!$K$2=BO271),'2024DATA'!$J$12,"")</f>
        <v/>
      </c>
      <c r="BP281" s="518" t="str">
        <f>IF(AND(_D="B-767-400ER",'2024'!$K$4="FO",'2024'!$K$2=BP271),'2024DATA'!$K$12,"")</f>
        <v/>
      </c>
      <c r="BQ281" s="518" t="str">
        <f>IF(AND(_D="B-767-400ER",'2024'!$K$4="FO",'2024'!$K$2=BQ271),'2024DATA'!$L$12,"")</f>
        <v/>
      </c>
      <c r="BR281" s="518" t="str">
        <f>IF(AND(_D="B-767-400ER",'2024'!$K$4="FO",'2024'!$K$2=BR271),'2024DATA'!$M$12,"")</f>
        <v/>
      </c>
      <c r="BS281" s="520" t="str">
        <f>IF(AND(_D="B-767-400ER",'2024'!$K$4="FO",'2024'!$K$2=BS271),'2024DATA'!$N$12,"")</f>
        <v/>
      </c>
      <c r="BT281" s="940"/>
      <c r="BU281" s="13" t="s">
        <v>62</v>
      </c>
      <c r="BV281" s="518" t="str">
        <f>IF(AND(_E="B-767-400ER",'2024'!$K$4="FO",'2024'!$K$2=BV271),'2024DATA'!$C$12,"")</f>
        <v/>
      </c>
      <c r="BW281" s="518" t="str">
        <f>IF(AND(_E="B-767-400ER",'2024'!$K$4="FO",'2024'!$K$2=BW271),'2024DATA'!$D$12,"")</f>
        <v/>
      </c>
      <c r="BX281" s="518" t="str">
        <f>IF(AND(_E="B-767-400ER",'2024'!$K$4="FO",'2024'!$K$2=BX271),'2024DATA'!$E$12,"")</f>
        <v/>
      </c>
      <c r="BY281" s="518" t="str">
        <f>IF(AND(_E="B-767-400ER",'2024'!$K$4="FO",'2024'!$K$2=BY271),'2024DATA'!$F$12,"")</f>
        <v/>
      </c>
      <c r="BZ281" s="518" t="str">
        <f>IF(AND(_E="B-767-400ER",'2024'!$K$4="FO",'2024'!$K$2=BZ271),'2024DATA'!$G$12,"")</f>
        <v/>
      </c>
      <c r="CA281" s="518" t="str">
        <f>IF(AND(_E="B-767-400ER",'2024'!$K$4="FO",'2024'!$K$2=CA271),'2024DATA'!$H$12,"")</f>
        <v/>
      </c>
      <c r="CB281" s="518" t="str">
        <f>IF(AND(_E="B-767-400ER",'2024'!$K$4="FO",'2024'!$K$2=CB271),'2024DATA'!$I$12,"")</f>
        <v/>
      </c>
      <c r="CC281" s="518" t="str">
        <f>IF(AND(_E="B-767-400ER",'2024'!$K$4="FO",'2024'!$K$2=CC271),'2024DATA'!$J$12,"")</f>
        <v/>
      </c>
      <c r="CD281" s="518" t="str">
        <f>IF(AND(_E="B-767-400ER",'2024'!$K$4="FO",'2024'!$K$2=CD271),'2024DATA'!$K$12,"")</f>
        <v/>
      </c>
      <c r="CE281" s="518" t="str">
        <f>IF(AND(_E="B-767-400ER",'2024'!$K$4="FO",'2024'!$K$2=CE271),'2024DATA'!$L$12,"")</f>
        <v/>
      </c>
      <c r="CF281" s="518" t="str">
        <f>IF(AND(_E="B-767-400ER",'2024'!$K$4="FO",'2024'!$K$2=CF271),'2024DATA'!$M$12,"")</f>
        <v/>
      </c>
      <c r="CG281" s="520" t="str">
        <f>IF(AND(_E="B-767-400ER",'2024'!$K$4="FO",'2024'!$K$2=CG271),'2024DATA'!$N$12,"")</f>
        <v/>
      </c>
      <c r="CH281" s="940"/>
      <c r="CI281" s="13" t="s">
        <v>62</v>
      </c>
      <c r="CJ281" s="518" t="str">
        <f>IF(AND(_F="B-767-400ER",'2024'!$K$4="FO",'2024'!$K$2=CJ271),'2024DATA'!$C$12,"")</f>
        <v/>
      </c>
      <c r="CK281" s="518" t="str">
        <f>IF(AND(_F="B-767-400ER",'2024'!$K$4="FO",'2024'!$K$2=CK271),'2024DATA'!$D$12,"")</f>
        <v/>
      </c>
      <c r="CL281" s="518" t="str">
        <f>IF(AND(_F="B-767-400ER",'2024'!$K$4="FO",'2024'!$K$2=CL271),'2024DATA'!$E$12,"")</f>
        <v/>
      </c>
      <c r="CM281" s="518" t="str">
        <f>IF(AND(_F="B-767-400ER",'2024'!$K$4="FO",'2024'!$K$2=CM271),'2024DATA'!$F$12,"")</f>
        <v/>
      </c>
      <c r="CN281" s="518" t="str">
        <f>IF(AND(_F="B-767-400ER",'2024'!$K$4="FO",'2024'!$K$2=CN271),'2024DATA'!$G$12,"")</f>
        <v/>
      </c>
      <c r="CO281" s="518" t="str">
        <f>IF(AND(_F="B-767-400ER",'2024'!$K$4="FO",'2024'!$K$2=CO271),'2024DATA'!$H$12,"")</f>
        <v/>
      </c>
      <c r="CP281" s="518" t="str">
        <f>IF(AND(_F="B-767-400ER",'2024'!$K$4="FO",'2024'!$K$2=CP271),'2024DATA'!$I$12,"")</f>
        <v/>
      </c>
      <c r="CQ281" s="518" t="str">
        <f>IF(AND(_F="B-767-400ER",'2024'!$K$4="FO",'2024'!$K$2=CQ271),'2024DATA'!$J$12,"")</f>
        <v/>
      </c>
      <c r="CR281" s="518" t="str">
        <f>IF(AND(_F="B-767-400ER",'2024'!$K$4="FO",'2024'!$K$2=CR271),'2024DATA'!$K$12,"")</f>
        <v/>
      </c>
      <c r="CS281" s="518" t="str">
        <f>IF(AND(_F="B-767-400ER",'2024'!$K$4="FO",'2024'!$K$2=CS271),'2024DATA'!$L$12,"")</f>
        <v/>
      </c>
      <c r="CT281" s="518" t="str">
        <f>IF(AND(_F="B-767-400ER",'2024'!$K$4="FO",'2024'!$K$2=CT271),'2024DATA'!$M$12,"")</f>
        <v/>
      </c>
      <c r="CU281" s="520" t="str">
        <f>IF(AND(_F="B-767-400ER",'2024'!$K$4="FO",'2024'!$K$2=CU271),'2024DATA'!$N$12,"")</f>
        <v/>
      </c>
    </row>
    <row r="282" spans="16:99" x14ac:dyDescent="0.25">
      <c r="P282" s="940" t="s">
        <v>43</v>
      </c>
      <c r="Q282" s="13" t="s">
        <v>61</v>
      </c>
      <c r="R282" s="518" t="str">
        <f>IF(AND(_A="B-767-300ER",'2024'!$K$4="CA",'2024'!$K$2=R271),'2024DATA'!$C$13,"")</f>
        <v/>
      </c>
      <c r="S282" s="518" t="str">
        <f>IF(AND(_A="B-767-300ER",'2024'!$K$4="CA",'2024'!$K$2=S271),'2024DATA'!$D$13,"")</f>
        <v/>
      </c>
      <c r="T282" s="518" t="str">
        <f>IF(AND(_A="B-767-300ER",'2024'!$K$4="CA",'2024'!$K$2=T271),'2024DATA'!$E$13,"")</f>
        <v/>
      </c>
      <c r="U282" s="518" t="str">
        <f>IF(AND(_A="B-767-300ER",'2024'!$K$4="CA",'2024'!$K$2=U271),'2024DATA'!$F$13,"")</f>
        <v/>
      </c>
      <c r="V282" s="518" t="str">
        <f>IF(AND(_A="B-767-300ER",'2024'!$K$4="CA",'2024'!$K$2=V271),'2024DATA'!$G$13,"")</f>
        <v/>
      </c>
      <c r="W282" s="518" t="str">
        <f>IF(AND(_A="B-767-300ER",'2024'!$K$4="CA",'2024'!$K$2=W271),'2024DATA'!$H$13,"")</f>
        <v/>
      </c>
      <c r="X282" s="518" t="str">
        <f>IF(AND(_A="B-767-300ER",'2024'!$K$4="CA",'2024'!$K$2=X271),'2024DATA'!$I$13,"")</f>
        <v/>
      </c>
      <c r="Y282" s="518" t="str">
        <f>IF(AND(_A="B-767-300ER",'2024'!$K$4="CA",'2024'!$K$2=Y271),'2024DATA'!$J$13,"")</f>
        <v/>
      </c>
      <c r="Z282" s="518" t="str">
        <f>IF(AND(_A="B-767-300ER",'2024'!$K$4="CA",'2024'!$K$2=Z271),'2024DATA'!$K$13,"")</f>
        <v/>
      </c>
      <c r="AA282" s="518" t="str">
        <f>IF(AND(_A="B-767-300ER",'2024'!$K$4="CA",'2024'!$K$2=AA271),'2024DATA'!$L$13,"")</f>
        <v/>
      </c>
      <c r="AB282" s="518" t="str">
        <f>IF(AND(_A="B-767-300ER",'2024'!$K$4="CA",'2024'!$K$2=AB271),'2024DATA'!$M$13,"")</f>
        <v/>
      </c>
      <c r="AC282" s="520" t="str">
        <f>IF(AND(_A="B-767-300ER",'2024'!$K$4="CA",'2024'!$K$2=AC271),'2024DATA'!$N$13,"")</f>
        <v/>
      </c>
      <c r="AD282" s="940" t="s">
        <v>43</v>
      </c>
      <c r="AE282" s="13" t="s">
        <v>61</v>
      </c>
      <c r="AF282" s="518" t="str">
        <f>IF(AND(_B="B-767-300ER",'2024'!$K$4="CA",'2024'!$K$2=AF271),'2024DATA'!$C$13,"")</f>
        <v/>
      </c>
      <c r="AG282" s="518" t="str">
        <f>IF(AND(_B="B-767-300ER",'2024'!$K$4="CA",'2024'!$K$2=AG271),'2024DATA'!$D$13,"")</f>
        <v/>
      </c>
      <c r="AH282" s="518" t="str">
        <f>IF(AND(_B="B-767-300ER",'2024'!$K$4="CA",'2024'!$K$2=AH271),'2024DATA'!$E$13,"")</f>
        <v/>
      </c>
      <c r="AI282" s="518" t="str">
        <f>IF(AND(_B="B-767-300ER",'2024'!$K$4="CA",'2024'!$K$2=AI271),'2024DATA'!$F$13,"")</f>
        <v/>
      </c>
      <c r="AJ282" s="518" t="str">
        <f>IF(AND(_B="B-767-300ER",'2024'!$K$4="CA",'2024'!$K$2=AJ271),'2024DATA'!$G$13,"")</f>
        <v/>
      </c>
      <c r="AK282" s="518" t="str">
        <f>IF(AND(_B="B-767-300ER",'2024'!$K$4="CA",'2024'!$K$2=AK271),'2024DATA'!$H$13,"")</f>
        <v/>
      </c>
      <c r="AL282" s="518" t="str">
        <f>IF(AND(_B="B-767-300ER",'2024'!$K$4="CA",'2024'!$K$2=AL271),'2024DATA'!$I$13,"")</f>
        <v/>
      </c>
      <c r="AM282" s="518" t="str">
        <f>IF(AND(_B="B-767-300ER",'2024'!$K$4="CA",'2024'!$K$2=AM271),'2024DATA'!$J$13,"")</f>
        <v/>
      </c>
      <c r="AN282" s="518" t="str">
        <f>IF(AND(_B="B-767-300ER",'2024'!$K$4="CA",'2024'!$K$2=AN271),'2024DATA'!$K$13,"")</f>
        <v/>
      </c>
      <c r="AO282" s="518" t="str">
        <f>IF(AND(_B="B-767-300ER",'2024'!$K$4="CA",'2024'!$K$2=AO271),'2024DATA'!$L$13,"")</f>
        <v/>
      </c>
      <c r="AP282" s="518" t="str">
        <f>IF(AND(_B="B-767-300ER",'2024'!$K$4="CA",'2024'!$K$2=AP271),'2024DATA'!$M$13,"")</f>
        <v/>
      </c>
      <c r="AQ282" s="520" t="str">
        <f>IF(AND(_B="B-767-300ER",'2024'!$K$4="CA",'2024'!$K$2=AQ271),'2024DATA'!$N$13,"")</f>
        <v/>
      </c>
      <c r="AR282" s="940" t="s">
        <v>43</v>
      </c>
      <c r="AS282" s="13" t="s">
        <v>61</v>
      </c>
      <c r="AT282" s="518" t="str">
        <f>IF(AND(_C="B-767-300ER",'2024'!$K$4="CA",'2024'!$K$2=AT271),'2024DATA'!$C$13,"")</f>
        <v/>
      </c>
      <c r="AU282" s="518" t="str">
        <f>IF(AND(_C="B-767-300ER",'2024'!$K$4="CA",'2024'!$K$2=AU271),'2024DATA'!$D$13,"")</f>
        <v/>
      </c>
      <c r="AV282" s="518" t="str">
        <f>IF(AND(_C="B-767-300ER",'2024'!$K$4="CA",'2024'!$K$2=AV271),'2024DATA'!$E$13,"")</f>
        <v/>
      </c>
      <c r="AW282" s="518" t="str">
        <f>IF(AND(_C="B-767-300ER",'2024'!$K$4="CA",'2024'!$K$2=AW271),'2024DATA'!$F$13,"")</f>
        <v/>
      </c>
      <c r="AX282" s="518" t="str">
        <f>IF(AND(_C="B-767-300ER",'2024'!$K$4="CA",'2024'!$K$2=AX271),'2024DATA'!$G$13,"")</f>
        <v/>
      </c>
      <c r="AY282" s="518" t="str">
        <f>IF(AND(_C="B-767-300ER",'2024'!$K$4="CA",'2024'!$K$2=AY271),'2024DATA'!$H$13,"")</f>
        <v/>
      </c>
      <c r="AZ282" s="518" t="str">
        <f>IF(AND(_C="B-767-300ER",'2024'!$K$4="CA",'2024'!$K$2=AZ271),'2024DATA'!$I$13,"")</f>
        <v/>
      </c>
      <c r="BA282" s="518" t="str">
        <f>IF(AND(_C="B-767-300ER",'2024'!$K$4="CA",'2024'!$K$2=BA271),'2024DATA'!$J$13,"")</f>
        <v/>
      </c>
      <c r="BB282" s="518" t="str">
        <f>IF(AND(_C="B-767-300ER",'2024'!$K$4="CA",'2024'!$K$2=BB271),'2024DATA'!$K$13,"")</f>
        <v/>
      </c>
      <c r="BC282" s="518" t="str">
        <f>IF(AND(_C="B-767-300ER",'2024'!$K$4="CA",'2024'!$K$2=BC271),'2024DATA'!$L$13,"")</f>
        <v/>
      </c>
      <c r="BD282" s="518" t="str">
        <f>IF(AND(_C="B-767-300ER",'2024'!$K$4="CA",'2024'!$K$2=BD271),'2024DATA'!$M$13,"")</f>
        <v/>
      </c>
      <c r="BE282" s="520" t="str">
        <f>IF(AND(_C="B-767-300ER",'2024'!$K$4="CA",'2024'!$K$2=BE271),'2024DATA'!$N$13,"")</f>
        <v/>
      </c>
      <c r="BF282" s="940" t="s">
        <v>43</v>
      </c>
      <c r="BG282" s="13" t="s">
        <v>61</v>
      </c>
      <c r="BH282" s="518" t="str">
        <f>IF(AND(_D="B-767-300ER",'2024'!$K$4="CA",'2024'!$K$2=BH271),'2024DATA'!$C$13,"")</f>
        <v/>
      </c>
      <c r="BI282" s="518" t="str">
        <f>IF(AND(_D="B-767-300ER",'2024'!$K$4="CA",'2024'!$K$2=BI271),'2024DATA'!$D$13,"")</f>
        <v/>
      </c>
      <c r="BJ282" s="518" t="str">
        <f>IF(AND(_D="B-767-300ER",'2024'!$K$4="CA",'2024'!$K$2=BJ271),'2024DATA'!$E$13,"")</f>
        <v/>
      </c>
      <c r="BK282" s="518" t="str">
        <f>IF(AND(_D="B-767-300ER",'2024'!$K$4="CA",'2024'!$K$2=BK271),'2024DATA'!$F$13,"")</f>
        <v/>
      </c>
      <c r="BL282" s="518" t="str">
        <f>IF(AND(_D="B-767-300ER",'2024'!$K$4="CA",'2024'!$K$2=BL271),'2024DATA'!$G$13,"")</f>
        <v/>
      </c>
      <c r="BM282" s="518" t="str">
        <f>IF(AND(_D="B-767-300ER",'2024'!$K$4="CA",'2024'!$K$2=BM271),'2024DATA'!$H$13,"")</f>
        <v/>
      </c>
      <c r="BN282" s="518" t="str">
        <f>IF(AND(_D="B-767-300ER",'2024'!$K$4="CA",'2024'!$K$2=BN271),'2024DATA'!$I$13,"")</f>
        <v/>
      </c>
      <c r="BO282" s="518" t="str">
        <f>IF(AND(_D="B-767-300ER",'2024'!$K$4="CA",'2024'!$K$2=BO271),'2024DATA'!$J$13,"")</f>
        <v/>
      </c>
      <c r="BP282" s="518" t="str">
        <f>IF(AND(_D="B-767-300ER",'2024'!$K$4="CA",'2024'!$K$2=BP271),'2024DATA'!$K$13,"")</f>
        <v/>
      </c>
      <c r="BQ282" s="518" t="str">
        <f>IF(AND(_D="B-767-300ER",'2024'!$K$4="CA",'2024'!$K$2=BQ271),'2024DATA'!$L$13,"")</f>
        <v/>
      </c>
      <c r="BR282" s="518" t="str">
        <f>IF(AND(_D="B-767-300ER",'2024'!$K$4="CA",'2024'!$K$2=BR271),'2024DATA'!$M$13,"")</f>
        <v/>
      </c>
      <c r="BS282" s="520" t="str">
        <f>IF(AND(_D="B-767-300ER",'2024'!$K$4="CA",'2024'!$K$2=BS271),'2024DATA'!$N$13,"")</f>
        <v/>
      </c>
      <c r="BT282" s="940" t="s">
        <v>43</v>
      </c>
      <c r="BU282" s="13" t="s">
        <v>61</v>
      </c>
      <c r="BV282" s="518" t="str">
        <f>IF(AND(_E="B-767-300ER",'2024'!$K$4="CA",'2024'!$K$2=BV271),'2024DATA'!$C$13,"")</f>
        <v/>
      </c>
      <c r="BW282" s="518" t="str">
        <f>IF(AND(_E="B-767-300ER",'2024'!$K$4="CA",'2024'!$K$2=BW271),'2024DATA'!$D$13,"")</f>
        <v/>
      </c>
      <c r="BX282" s="518" t="str">
        <f>IF(AND(_E="B-767-300ER",'2024'!$K$4="CA",'2024'!$K$2=BX271),'2024DATA'!$E$13,"")</f>
        <v/>
      </c>
      <c r="BY282" s="518" t="str">
        <f>IF(AND(_E="B-767-300ER",'2024'!$K$4="CA",'2024'!$K$2=BY271),'2024DATA'!$F$13,"")</f>
        <v/>
      </c>
      <c r="BZ282" s="518" t="str">
        <f>IF(AND(_E="B-767-300ER",'2024'!$K$4="CA",'2024'!$K$2=BZ271),'2024DATA'!$G$13,"")</f>
        <v/>
      </c>
      <c r="CA282" s="518" t="str">
        <f>IF(AND(_E="B-767-300ER",'2024'!$K$4="CA",'2024'!$K$2=CA271),'2024DATA'!$H$13,"")</f>
        <v/>
      </c>
      <c r="CB282" s="518" t="str">
        <f>IF(AND(_E="B-767-300ER",'2024'!$K$4="CA",'2024'!$K$2=CB271),'2024DATA'!$I$13,"")</f>
        <v/>
      </c>
      <c r="CC282" s="518" t="str">
        <f>IF(AND(_E="B-767-300ER",'2024'!$K$4="CA",'2024'!$K$2=CC271),'2024DATA'!$J$13,"")</f>
        <v/>
      </c>
      <c r="CD282" s="518" t="str">
        <f>IF(AND(_E="B-767-300ER",'2024'!$K$4="CA",'2024'!$K$2=CD271),'2024DATA'!$K$13,"")</f>
        <v/>
      </c>
      <c r="CE282" s="518" t="str">
        <f>IF(AND(_E="B-767-300ER",'2024'!$K$4="CA",'2024'!$K$2=CE271),'2024DATA'!$L$13,"")</f>
        <v/>
      </c>
      <c r="CF282" s="518" t="str">
        <f>IF(AND(_E="B-767-300ER",'2024'!$K$4="CA",'2024'!$K$2=CF271),'2024DATA'!$M$13,"")</f>
        <v/>
      </c>
      <c r="CG282" s="520" t="str">
        <f>IF(AND(_E="B-767-300ER",'2024'!$K$4="CA",'2024'!$K$2=CG271),'2024DATA'!$N$13,"")</f>
        <v/>
      </c>
      <c r="CH282" s="940" t="s">
        <v>43</v>
      </c>
      <c r="CI282" s="13" t="s">
        <v>61</v>
      </c>
      <c r="CJ282" s="518" t="str">
        <f>IF(AND(_F="B-767-300ER",'2024'!$K$4="CA",'2024'!$K$2=CJ271),'2024DATA'!$C$13,"")</f>
        <v/>
      </c>
      <c r="CK282" s="518" t="str">
        <f>IF(AND(_F="B-767-300ER",'2024'!$K$4="CA",'2024'!$K$2=CK271),'2024DATA'!$D$13,"")</f>
        <v/>
      </c>
      <c r="CL282" s="518" t="str">
        <f>IF(AND(_F="B-767-300ER",'2024'!$K$4="CA",'2024'!$K$2=CL271),'2024DATA'!$E$13,"")</f>
        <v/>
      </c>
      <c r="CM282" s="518" t="str">
        <f>IF(AND(_F="B-767-300ER",'2024'!$K$4="CA",'2024'!$K$2=CM271),'2024DATA'!$F$13,"")</f>
        <v/>
      </c>
      <c r="CN282" s="518" t="str">
        <f>IF(AND(_F="B-767-300ER",'2024'!$K$4="CA",'2024'!$K$2=CN271),'2024DATA'!$G$13,"")</f>
        <v/>
      </c>
      <c r="CO282" s="518" t="str">
        <f>IF(AND(_F="B-767-300ER",'2024'!$K$4="CA",'2024'!$K$2=CO271),'2024DATA'!$H$13,"")</f>
        <v/>
      </c>
      <c r="CP282" s="518" t="str">
        <f>IF(AND(_F="B-767-300ER",'2024'!$K$4="CA",'2024'!$K$2=CP271),'2024DATA'!$I$13,"")</f>
        <v/>
      </c>
      <c r="CQ282" s="518" t="str">
        <f>IF(AND(_F="B-767-300ER",'2024'!$K$4="CA",'2024'!$K$2=CQ271),'2024DATA'!$J$13,"")</f>
        <v/>
      </c>
      <c r="CR282" s="518" t="str">
        <f>IF(AND(_F="B-767-300ER",'2024'!$K$4="CA",'2024'!$K$2=CR271),'2024DATA'!$K$13,"")</f>
        <v/>
      </c>
      <c r="CS282" s="518" t="str">
        <f>IF(AND(_F="B-767-300ER",'2024'!$K$4="CA",'2024'!$K$2=CS271),'2024DATA'!$L$13,"")</f>
        <v/>
      </c>
      <c r="CT282" s="518" t="str">
        <f>IF(AND(_F="B-767-300ER",'2024'!$K$4="CA",'2024'!$K$2=CT271),'2024DATA'!$M$13,"")</f>
        <v/>
      </c>
      <c r="CU282" s="520" t="str">
        <f>IF(AND(_F="B-767-300ER",'2024'!$K$4="CA",'2024'!$K$2=CU271),'2024DATA'!$N$13,"")</f>
        <v/>
      </c>
    </row>
    <row r="283" spans="16:99" x14ac:dyDescent="0.25">
      <c r="P283" s="940"/>
      <c r="Q283" s="13" t="s">
        <v>62</v>
      </c>
      <c r="R283" s="518" t="str">
        <f>IF(AND(_A="B-767-300ER",'2024'!$K$4="FO",'2024'!$K$2=R271),'2024DATA'!$C$14,"")</f>
        <v/>
      </c>
      <c r="S283" s="518" t="str">
        <f>IF(AND(_A="B-767-300ER",'2024'!$K$4="FO",'2024'!$K$2=S271),'2024DATA'!$D$14,"")</f>
        <v/>
      </c>
      <c r="T283" s="518" t="str">
        <f>IF(AND(_A="B-767-300ER",'2024'!$K$4="FO",'2024'!$K$2=T271),'2024DATA'!$E$14,"")</f>
        <v/>
      </c>
      <c r="U283" s="518" t="str">
        <f>IF(AND(_A="B-767-300ER",'2024'!$K$4="FO",'2024'!$K$2=U271),'2024DATA'!$F$14,"")</f>
        <v/>
      </c>
      <c r="V283" s="518" t="str">
        <f>IF(AND(_A="B-767-300ER",'2024'!$K$4="FO",'2024'!$K$2=V271),'2024DATA'!$G$14,"")</f>
        <v/>
      </c>
      <c r="W283" s="518" t="str">
        <f>IF(AND(_A="B-767-300ER",'2024'!$K$4="FO",'2024'!$K$2=W271),'2024DATA'!$H$14,"")</f>
        <v/>
      </c>
      <c r="X283" s="518" t="str">
        <f>IF(AND(_A="B-767-300ER",'2024'!$K$4="FO",'2024'!$K$2=X271),'2024DATA'!$I$14,"")</f>
        <v/>
      </c>
      <c r="Y283" s="518" t="str">
        <f>IF(AND(_A="B-767-300ER",'2024'!$K$4="FO",'2024'!$K$2=Y271),'2024DATA'!$J$14,"")</f>
        <v/>
      </c>
      <c r="Z283" s="518" t="str">
        <f>IF(AND(_A="B-767-300ER",'2024'!$K$4="FO",'2024'!$K$2=Z271),'2024DATA'!$K$14,"")</f>
        <v/>
      </c>
      <c r="AA283" s="518" t="str">
        <f>IF(AND(_A="B-767-300ER",'2024'!$K$4="FO",'2024'!$K$2=AA271),'2024DATA'!$L$14,"")</f>
        <v/>
      </c>
      <c r="AB283" s="518" t="str">
        <f>IF(AND(_A="B-767-300ER",'2024'!$K$4="FO",'2024'!$K$2=AB271),'2024DATA'!$M$14,"")</f>
        <v/>
      </c>
      <c r="AC283" s="520" t="str">
        <f>IF(AND(_A="B-767-300ER",'2024'!$K$4="FO",'2024'!$K$2=AC271),'2024DATA'!$N$14,"")</f>
        <v/>
      </c>
      <c r="AD283" s="940"/>
      <c r="AE283" s="13" t="s">
        <v>62</v>
      </c>
      <c r="AF283" s="518" t="str">
        <f>IF(AND(_B="B-767-300ER",'2024'!$K$4="FO",'2024'!$K$2=AF271),'2024DATA'!$C$14,"")</f>
        <v/>
      </c>
      <c r="AG283" s="518" t="str">
        <f>IF(AND(_B="B-767-300ER",'2024'!$K$4="FO",'2024'!$K$2=AG271),'2024DATA'!$D$14,"")</f>
        <v/>
      </c>
      <c r="AH283" s="518" t="str">
        <f>IF(AND(_B="B-767-300ER",'2024'!$K$4="FO",'2024'!$K$2=AH271),'2024DATA'!$E$14,"")</f>
        <v/>
      </c>
      <c r="AI283" s="518" t="str">
        <f>IF(AND(_B="B-767-300ER",'2024'!$K$4="FO",'2024'!$K$2=AI271),'2024DATA'!$F$14,"")</f>
        <v/>
      </c>
      <c r="AJ283" s="518" t="str">
        <f>IF(AND(_B="B-767-300ER",'2024'!$K$4="FO",'2024'!$K$2=AJ271),'2024DATA'!$G$14,"")</f>
        <v/>
      </c>
      <c r="AK283" s="518" t="str">
        <f>IF(AND(_B="B-767-300ER",'2024'!$K$4="FO",'2024'!$K$2=AK271),'2024DATA'!$H$14,"")</f>
        <v/>
      </c>
      <c r="AL283" s="518" t="str">
        <f>IF(AND(_B="B-767-300ER",'2024'!$K$4="FO",'2024'!$K$2=AL271),'2024DATA'!$I$14,"")</f>
        <v/>
      </c>
      <c r="AM283" s="518" t="str">
        <f>IF(AND(_B="B-767-300ER",'2024'!$K$4="FO",'2024'!$K$2=AM271),'2024DATA'!$J$14,"")</f>
        <v/>
      </c>
      <c r="AN283" s="518" t="str">
        <f>IF(AND(_B="B-767-300ER",'2024'!$K$4="FO",'2024'!$K$2=AN271),'2024DATA'!$K$14,"")</f>
        <v/>
      </c>
      <c r="AO283" s="518" t="str">
        <f>IF(AND(_B="B-767-300ER",'2024'!$K$4="FO",'2024'!$K$2=AO271),'2024DATA'!$L$14,"")</f>
        <v/>
      </c>
      <c r="AP283" s="518" t="str">
        <f>IF(AND(_B="B-767-300ER",'2024'!$K$4="FO",'2024'!$K$2=AP271),'2024DATA'!$M$14,"")</f>
        <v/>
      </c>
      <c r="AQ283" s="520" t="str">
        <f>IF(AND(_B="B-767-300ER",'2024'!$K$4="FO",'2024'!$K$2=AQ271),'2024DATA'!$N$14,"")</f>
        <v/>
      </c>
      <c r="AR283" s="940"/>
      <c r="AS283" s="13" t="s">
        <v>62</v>
      </c>
      <c r="AT283" s="518" t="str">
        <f>IF(AND(_C="B-767-300ER",'2024'!$K$4="FO",'2024'!$K$2=AT271),'2024DATA'!$C$14,"")</f>
        <v/>
      </c>
      <c r="AU283" s="518" t="str">
        <f>IF(AND(_C="B-767-300ER",'2024'!$K$4="FO",'2024'!$K$2=AU271),'2024DATA'!$D$14,"")</f>
        <v/>
      </c>
      <c r="AV283" s="518" t="str">
        <f>IF(AND(_C="B-767-300ER",'2024'!$K$4="FO",'2024'!$K$2=AV271),'2024DATA'!$E$14,"")</f>
        <v/>
      </c>
      <c r="AW283" s="518" t="str">
        <f>IF(AND(_C="B-767-300ER",'2024'!$K$4="FO",'2024'!$K$2=AW271),'2024DATA'!$F$14,"")</f>
        <v/>
      </c>
      <c r="AX283" s="518" t="str">
        <f>IF(AND(_C="B-767-300ER",'2024'!$K$4="FO",'2024'!$K$2=AX271),'2024DATA'!$G$14,"")</f>
        <v/>
      </c>
      <c r="AY283" s="518" t="str">
        <f>IF(AND(_C="B-767-300ER",'2024'!$K$4="FO",'2024'!$K$2=AY271),'2024DATA'!$H$14,"")</f>
        <v/>
      </c>
      <c r="AZ283" s="518" t="str">
        <f>IF(AND(_C="B-767-300ER",'2024'!$K$4="FO",'2024'!$K$2=AZ271),'2024DATA'!$I$14,"")</f>
        <v/>
      </c>
      <c r="BA283" s="518" t="str">
        <f>IF(AND(_C="B-767-300ER",'2024'!$K$4="FO",'2024'!$K$2=BA271),'2024DATA'!$J$14,"")</f>
        <v/>
      </c>
      <c r="BB283" s="518" t="str">
        <f>IF(AND(_C="B-767-300ER",'2024'!$K$4="FO",'2024'!$K$2=BB271),'2024DATA'!$K$14,"")</f>
        <v/>
      </c>
      <c r="BC283" s="518" t="str">
        <f>IF(AND(_C="B-767-300ER",'2024'!$K$4="FO",'2024'!$K$2=BC271),'2024DATA'!$L$14,"")</f>
        <v/>
      </c>
      <c r="BD283" s="518" t="str">
        <f>IF(AND(_C="B-767-300ER",'2024'!$K$4="FO",'2024'!$K$2=BD271),'2024DATA'!$M$14,"")</f>
        <v/>
      </c>
      <c r="BE283" s="520" t="str">
        <f>IF(AND(_C="B-767-300ER",'2024'!$K$4="FO",'2024'!$K$2=BE271),'2024DATA'!$N$14,"")</f>
        <v/>
      </c>
      <c r="BF283" s="940"/>
      <c r="BG283" s="13" t="s">
        <v>62</v>
      </c>
      <c r="BH283" s="518" t="str">
        <f>IF(AND(_D="B-767-300ER",'2024'!$K$4="FO",'2024'!$K$2=BH271),'2024DATA'!$C$14,"")</f>
        <v/>
      </c>
      <c r="BI283" s="518" t="str">
        <f>IF(AND(_D="B-767-300ER",'2024'!$K$4="FO",'2024'!$K$2=BI271),'2024DATA'!$D$14,"")</f>
        <v/>
      </c>
      <c r="BJ283" s="518" t="str">
        <f>IF(AND(_D="B-767-300ER",'2024'!$K$4="FO",'2024'!$K$2=BJ271),'2024DATA'!$E$14,"")</f>
        <v/>
      </c>
      <c r="BK283" s="518" t="str">
        <f>IF(AND(_D="B-767-300ER",'2024'!$K$4="FO",'2024'!$K$2=BK271),'2024DATA'!$F$14,"")</f>
        <v/>
      </c>
      <c r="BL283" s="518" t="str">
        <f>IF(AND(_D="B-767-300ER",'2024'!$K$4="FO",'2024'!$K$2=BL271),'2024DATA'!$G$14,"")</f>
        <v/>
      </c>
      <c r="BM283" s="518" t="str">
        <f>IF(AND(_D="B-767-300ER",'2024'!$K$4="FO",'2024'!$K$2=BM271),'2024DATA'!$H$14,"")</f>
        <v/>
      </c>
      <c r="BN283" s="518" t="str">
        <f>IF(AND(_D="B-767-300ER",'2024'!$K$4="FO",'2024'!$K$2=BN271),'2024DATA'!$I$14,"")</f>
        <v/>
      </c>
      <c r="BO283" s="518" t="str">
        <f>IF(AND(_D="B-767-300ER",'2024'!$K$4="FO",'2024'!$K$2=BO271),'2024DATA'!$J$14,"")</f>
        <v/>
      </c>
      <c r="BP283" s="518" t="str">
        <f>IF(AND(_D="B-767-300ER",'2024'!$K$4="FO",'2024'!$K$2=BP271),'2024DATA'!$K$14,"")</f>
        <v/>
      </c>
      <c r="BQ283" s="518" t="str">
        <f>IF(AND(_D="B-767-300ER",'2024'!$K$4="FO",'2024'!$K$2=BQ271),'2024DATA'!$L$14,"")</f>
        <v/>
      </c>
      <c r="BR283" s="518" t="str">
        <f>IF(AND(_D="B-767-300ER",'2024'!$K$4="FO",'2024'!$K$2=BR271),'2024DATA'!$M$14,"")</f>
        <v/>
      </c>
      <c r="BS283" s="520" t="str">
        <f>IF(AND(_D="B-767-300ER",'2024'!$K$4="FO",'2024'!$K$2=BS271),'2024DATA'!$N$14,"")</f>
        <v/>
      </c>
      <c r="BT283" s="940"/>
      <c r="BU283" s="13" t="s">
        <v>62</v>
      </c>
      <c r="BV283" s="518" t="str">
        <f>IF(AND(_E="B-767-300ER",'2024'!$K$4="FO",'2024'!$K$2=BV271),'2024DATA'!$C$14,"")</f>
        <v/>
      </c>
      <c r="BW283" s="518" t="str">
        <f>IF(AND(_E="B-767-300ER",'2024'!$K$4="FO",'2024'!$K$2=BW271),'2024DATA'!$D$14,"")</f>
        <v/>
      </c>
      <c r="BX283" s="518" t="str">
        <f>IF(AND(_E="B-767-300ER",'2024'!$K$4="FO",'2024'!$K$2=BX271),'2024DATA'!$E$14,"")</f>
        <v/>
      </c>
      <c r="BY283" s="518" t="str">
        <f>IF(AND(_E="B-767-300ER",'2024'!$K$4="FO",'2024'!$K$2=BY271),'2024DATA'!$F$14,"")</f>
        <v/>
      </c>
      <c r="BZ283" s="518" t="str">
        <f>IF(AND(_E="B-767-300ER",'2024'!$K$4="FO",'2024'!$K$2=BZ271),'2024DATA'!$G$14,"")</f>
        <v/>
      </c>
      <c r="CA283" s="518" t="str">
        <f>IF(AND(_E="B-767-300ER",'2024'!$K$4="FO",'2024'!$K$2=CA271),'2024DATA'!$H$14,"")</f>
        <v/>
      </c>
      <c r="CB283" s="518" t="str">
        <f>IF(AND(_E="B-767-300ER",'2024'!$K$4="FO",'2024'!$K$2=CB271),'2024DATA'!$I$14,"")</f>
        <v/>
      </c>
      <c r="CC283" s="518" t="str">
        <f>IF(AND(_E="B-767-300ER",'2024'!$K$4="FO",'2024'!$K$2=CC271),'2024DATA'!$J$14,"")</f>
        <v/>
      </c>
      <c r="CD283" s="518" t="str">
        <f>IF(AND(_E="B-767-300ER",'2024'!$K$4="FO",'2024'!$K$2=CD271),'2024DATA'!$K$14,"")</f>
        <v/>
      </c>
      <c r="CE283" s="518" t="str">
        <f>IF(AND(_E="B-767-300ER",'2024'!$K$4="FO",'2024'!$K$2=CE271),'2024DATA'!$L$14,"")</f>
        <v/>
      </c>
      <c r="CF283" s="518" t="str">
        <f>IF(AND(_E="B-767-300ER",'2024'!$K$4="FO",'2024'!$K$2=CF271),'2024DATA'!$M$14,"")</f>
        <v/>
      </c>
      <c r="CG283" s="520" t="str">
        <f>IF(AND(_E="B-767-300ER",'2024'!$K$4="FO",'2024'!$K$2=CG271),'2024DATA'!$N$14,"")</f>
        <v/>
      </c>
      <c r="CH283" s="940"/>
      <c r="CI283" s="13" t="s">
        <v>62</v>
      </c>
      <c r="CJ283" s="518" t="str">
        <f>IF(AND(_F="B-767-300ER",'2024'!$K$4="FO",'2024'!$K$2=CJ271),'2024DATA'!$C$14,"")</f>
        <v/>
      </c>
      <c r="CK283" s="518" t="str">
        <f>IF(AND(_F="B-767-300ER",'2024'!$K$4="FO",'2024'!$K$2=CK271),'2024DATA'!$D$14,"")</f>
        <v/>
      </c>
      <c r="CL283" s="518" t="str">
        <f>IF(AND(_F="B-767-300ER",'2024'!$K$4="FO",'2024'!$K$2=CL271),'2024DATA'!$E$14,"")</f>
        <v/>
      </c>
      <c r="CM283" s="518" t="str">
        <f>IF(AND(_F="B-767-300ER",'2024'!$K$4="FO",'2024'!$K$2=CM271),'2024DATA'!$F$14,"")</f>
        <v/>
      </c>
      <c r="CN283" s="518" t="str">
        <f>IF(AND(_F="B-767-300ER",'2024'!$K$4="FO",'2024'!$K$2=CN271),'2024DATA'!$G$14,"")</f>
        <v/>
      </c>
      <c r="CO283" s="518" t="str">
        <f>IF(AND(_F="B-767-300ER",'2024'!$K$4="FO",'2024'!$K$2=CO271),'2024DATA'!$H$14,"")</f>
        <v/>
      </c>
      <c r="CP283" s="518" t="str">
        <f>IF(AND(_F="B-767-300ER",'2024'!$K$4="FO",'2024'!$K$2=CP271),'2024DATA'!$I$14,"")</f>
        <v/>
      </c>
      <c r="CQ283" s="518" t="str">
        <f>IF(AND(_F="B-767-300ER",'2024'!$K$4="FO",'2024'!$K$2=CQ271),'2024DATA'!$J$14,"")</f>
        <v/>
      </c>
      <c r="CR283" s="518" t="str">
        <f>IF(AND(_F="B-767-300ER",'2024'!$K$4="FO",'2024'!$K$2=CR271),'2024DATA'!$K$14,"")</f>
        <v/>
      </c>
      <c r="CS283" s="518" t="str">
        <f>IF(AND(_F="B-767-300ER",'2024'!$K$4="FO",'2024'!$K$2=CS271),'2024DATA'!$L$14,"")</f>
        <v/>
      </c>
      <c r="CT283" s="518" t="str">
        <f>IF(AND(_F="B-767-300ER",'2024'!$K$4="FO",'2024'!$K$2=CT271),'2024DATA'!$M$14,"")</f>
        <v/>
      </c>
      <c r="CU283" s="520" t="str">
        <f>IF(AND(_F="B-767-300ER",'2024'!$K$4="FO",'2024'!$K$2=CU271),'2024DATA'!$N$14,"")</f>
        <v/>
      </c>
    </row>
    <row r="284" spans="16:99" x14ac:dyDescent="0.25">
      <c r="P284" s="940" t="s">
        <v>67</v>
      </c>
      <c r="Q284" s="13" t="s">
        <v>61</v>
      </c>
      <c r="R284" s="518" t="str">
        <f>IF(AND(_A="B-767-300",'2024'!$K$4="CA",'2024'!$K$2=R271),'2024DATA'!$C$15,"")</f>
        <v/>
      </c>
      <c r="S284" s="518" t="str">
        <f>IF(AND(_A="B-767-300",'2024'!$K$4="CA",'2024'!$K$2=S271),'2024DATA'!$D$15,"")</f>
        <v/>
      </c>
      <c r="T284" s="518" t="str">
        <f>IF(AND(_A="B-767-300",'2024'!$K$4="CA",'2024'!$K$2=T271),'2024DATA'!$E$15,"")</f>
        <v/>
      </c>
      <c r="U284" s="518" t="str">
        <f>IF(AND(_A="B-767-300",'2024'!$K$4="CA",'2024'!$K$2=U271),'2024DATA'!$F$15,"")</f>
        <v/>
      </c>
      <c r="V284" s="518" t="str">
        <f>IF(AND(_A="B-767-300",'2024'!$K$4="CA",'2024'!$K$2=V271),'2024DATA'!$G$15,"")</f>
        <v/>
      </c>
      <c r="W284" s="518" t="str">
        <f>IF(AND(_A="B-767-300",'2024'!$K$4="CA",'2024'!$K$2=W271),'2024DATA'!$H$15,"")</f>
        <v/>
      </c>
      <c r="X284" s="518" t="str">
        <f>IF(AND(_A="B-767-300",'2024'!$K$4="CA",'2024'!$K$2=X271),'2024DATA'!$I$15,"")</f>
        <v/>
      </c>
      <c r="Y284" s="518" t="str">
        <f>IF(AND(_A="B-767-300",'2024'!$K$4="CA",'2024'!$K$2=Y271),'2024DATA'!$J$15,"")</f>
        <v/>
      </c>
      <c r="Z284" s="518" t="str">
        <f>IF(AND(_A="B-767-300",'2024'!$K$4="CA",'2024'!$K$2=Z271),'2024DATA'!$K$15,"")</f>
        <v/>
      </c>
      <c r="AA284" s="518" t="str">
        <f>IF(AND(_A="B-767-300",'2024'!$K$4="CA",'2024'!$K$2=AA271),'2024DATA'!$L$15,"")</f>
        <v/>
      </c>
      <c r="AB284" s="518" t="str">
        <f>IF(AND(_A="B-767-300",'2024'!$K$4="CA",'2024'!$K$2=AB271),'2024DATA'!$M$15,"")</f>
        <v/>
      </c>
      <c r="AC284" s="520" t="str">
        <f>IF(AND(_A="B-767-300",'2024'!$K$4="CA",'2024'!$K$2=AC271),'2024DATA'!$N$15,"")</f>
        <v/>
      </c>
      <c r="AD284" s="940" t="s">
        <v>67</v>
      </c>
      <c r="AE284" s="13" t="s">
        <v>61</v>
      </c>
      <c r="AF284" s="518" t="str">
        <f>IF(AND(_B="B-767-300",'2024'!$K$4="CA",'2024'!$K$2=AF271),'2024DATA'!$C$15,"")</f>
        <v/>
      </c>
      <c r="AG284" s="518" t="str">
        <f>IF(AND(_B="B-767-300",'2024'!$K$4="CA",'2024'!$K$2=AG271),'2024DATA'!$D$15,"")</f>
        <v/>
      </c>
      <c r="AH284" s="518" t="str">
        <f>IF(AND(_B="B-767-300",'2024'!$K$4="CA",'2024'!$K$2=AH271),'2024DATA'!$E$15,"")</f>
        <v/>
      </c>
      <c r="AI284" s="518" t="str">
        <f>IF(AND(_B="B-767-300",'2024'!$K$4="CA",'2024'!$K$2=AI271),'2024DATA'!$F$15,"")</f>
        <v/>
      </c>
      <c r="AJ284" s="518" t="str">
        <f>IF(AND(_B="B-767-300",'2024'!$K$4="CA",'2024'!$K$2=AJ271),'2024DATA'!$G$15,"")</f>
        <v/>
      </c>
      <c r="AK284" s="518" t="str">
        <f>IF(AND(_B="B-767-300",'2024'!$K$4="CA",'2024'!$K$2=AK271),'2024DATA'!$H$15,"")</f>
        <v/>
      </c>
      <c r="AL284" s="518" t="str">
        <f>IF(AND(_B="B-767-300",'2024'!$K$4="CA",'2024'!$K$2=AL271),'2024DATA'!$I$15,"")</f>
        <v/>
      </c>
      <c r="AM284" s="518" t="str">
        <f>IF(AND(_B="B-767-300",'2024'!$K$4="CA",'2024'!$K$2=AM271),'2024DATA'!$J$15,"")</f>
        <v/>
      </c>
      <c r="AN284" s="518" t="str">
        <f>IF(AND(_B="B-767-300",'2024'!$K$4="CA",'2024'!$K$2=AN271),'2024DATA'!$K$15,"")</f>
        <v/>
      </c>
      <c r="AO284" s="518" t="str">
        <f>IF(AND(_B="B-767-300",'2024'!$K$4="CA",'2024'!$K$2=AO271),'2024DATA'!$L$15,"")</f>
        <v/>
      </c>
      <c r="AP284" s="518" t="str">
        <f>IF(AND(_B="B-767-300",'2024'!$K$4="CA",'2024'!$K$2=AP271),'2024DATA'!$M$15,"")</f>
        <v/>
      </c>
      <c r="AQ284" s="520" t="str">
        <f>IF(AND(_B="B-767-300",'2024'!$K$4="CA",'2024'!$K$2=AQ271),'2024DATA'!$N$15,"")</f>
        <v/>
      </c>
      <c r="AR284" s="940" t="s">
        <v>67</v>
      </c>
      <c r="AS284" s="13" t="s">
        <v>61</v>
      </c>
      <c r="AT284" s="518" t="str">
        <f>IF(AND(_C="B-767-300",'2024'!$K$4="CA",'2024'!$K$2=AT271),'2024DATA'!$C$15,"")</f>
        <v/>
      </c>
      <c r="AU284" s="518" t="str">
        <f>IF(AND(_C="B-767-300",'2024'!$K$4="CA",'2024'!$K$2=AU271),'2024DATA'!$D$15,"")</f>
        <v/>
      </c>
      <c r="AV284" s="518" t="str">
        <f>IF(AND(_C="B-767-300",'2024'!$K$4="CA",'2024'!$K$2=AV271),'2024DATA'!$E$15,"")</f>
        <v/>
      </c>
      <c r="AW284" s="518" t="str">
        <f>IF(AND(_C="B-767-300",'2024'!$K$4="CA",'2024'!$K$2=AW271),'2024DATA'!$F$15,"")</f>
        <v/>
      </c>
      <c r="AX284" s="518" t="str">
        <f>IF(AND(_C="B-767-300",'2024'!$K$4="CA",'2024'!$K$2=AX271),'2024DATA'!$G$15,"")</f>
        <v/>
      </c>
      <c r="AY284" s="518" t="str">
        <f>IF(AND(_C="B-767-300",'2024'!$K$4="CA",'2024'!$K$2=AY271),'2024DATA'!$H$15,"")</f>
        <v/>
      </c>
      <c r="AZ284" s="518" t="str">
        <f>IF(AND(_C="B-767-300",'2024'!$K$4="CA",'2024'!$K$2=AZ271),'2024DATA'!$I$15,"")</f>
        <v/>
      </c>
      <c r="BA284" s="518" t="str">
        <f>IF(AND(_C="B-767-300",'2024'!$K$4="CA",'2024'!$K$2=BA271),'2024DATA'!$J$15,"")</f>
        <v/>
      </c>
      <c r="BB284" s="518" t="str">
        <f>IF(AND(_C="B-767-300",'2024'!$K$4="CA",'2024'!$K$2=BB271),'2024DATA'!$K$15,"")</f>
        <v/>
      </c>
      <c r="BC284" s="518" t="str">
        <f>IF(AND(_C="B-767-300",'2024'!$K$4="CA",'2024'!$K$2=BC271),'2024DATA'!$L$15,"")</f>
        <v/>
      </c>
      <c r="BD284" s="518" t="str">
        <f>IF(AND(_C="B-767-300",'2024'!$K$4="CA",'2024'!$K$2=BD271),'2024DATA'!$M$15,"")</f>
        <v/>
      </c>
      <c r="BE284" s="520" t="str">
        <f>IF(AND(_C="B-767-300",'2024'!$K$4="CA",'2024'!$K$2=BE271),'2024DATA'!$N$15,"")</f>
        <v/>
      </c>
      <c r="BF284" s="940" t="s">
        <v>67</v>
      </c>
      <c r="BG284" s="13" t="s">
        <v>61</v>
      </c>
      <c r="BH284" s="518" t="str">
        <f>IF(AND(_D="B-767-300",'2024'!$K$4="CA",'2024'!$K$2=BH271),'2024DATA'!$C$15,"")</f>
        <v/>
      </c>
      <c r="BI284" s="518" t="str">
        <f>IF(AND(_D="B-767-300",'2024'!$K$4="CA",'2024'!$K$2=BI271),'2024DATA'!$D$15,"")</f>
        <v/>
      </c>
      <c r="BJ284" s="518" t="str">
        <f>IF(AND(_D="B-767-300",'2024'!$K$4="CA",'2024'!$K$2=BJ271),'2024DATA'!$E$15,"")</f>
        <v/>
      </c>
      <c r="BK284" s="518" t="str">
        <f>IF(AND(_D="B-767-300",'2024'!$K$4="CA",'2024'!$K$2=BK271),'2024DATA'!$F$15,"")</f>
        <v/>
      </c>
      <c r="BL284" s="518" t="str">
        <f>IF(AND(_D="B-767-300",'2024'!$K$4="CA",'2024'!$K$2=BL271),'2024DATA'!$G$15,"")</f>
        <v/>
      </c>
      <c r="BM284" s="518" t="str">
        <f>IF(AND(_D="B-767-300",'2024'!$K$4="CA",'2024'!$K$2=BM271),'2024DATA'!$H$15,"")</f>
        <v/>
      </c>
      <c r="BN284" s="518" t="str">
        <f>IF(AND(_D="B-767-300",'2024'!$K$4="CA",'2024'!$K$2=BN271),'2024DATA'!$I$15,"")</f>
        <v/>
      </c>
      <c r="BO284" s="518" t="str">
        <f>IF(AND(_D="B-767-300",'2024'!$K$4="CA",'2024'!$K$2=BO271),'2024DATA'!$J$15,"")</f>
        <v/>
      </c>
      <c r="BP284" s="518" t="str">
        <f>IF(AND(_D="B-767-300",'2024'!$K$4="CA",'2024'!$K$2=BP271),'2024DATA'!$K$15,"")</f>
        <v/>
      </c>
      <c r="BQ284" s="518" t="str">
        <f>IF(AND(_D="B-767-300",'2024'!$K$4="CA",'2024'!$K$2=BQ271),'2024DATA'!$L$15,"")</f>
        <v/>
      </c>
      <c r="BR284" s="518" t="str">
        <f>IF(AND(_D="B-767-300",'2024'!$K$4="CA",'2024'!$K$2=BR271),'2024DATA'!$M$15,"")</f>
        <v/>
      </c>
      <c r="BS284" s="520" t="str">
        <f>IF(AND(_D="B-767-300",'2024'!$K$4="CA",'2024'!$K$2=BS271),'2024DATA'!$N$15,"")</f>
        <v/>
      </c>
      <c r="BT284" s="940" t="s">
        <v>67</v>
      </c>
      <c r="BU284" s="13" t="s">
        <v>61</v>
      </c>
      <c r="BV284" s="518" t="str">
        <f>IF(AND(_E="B-767-300",'2024'!$K$4="CA",'2024'!$K$2=BV271),'2024DATA'!$C$15,"")</f>
        <v/>
      </c>
      <c r="BW284" s="518" t="str">
        <f>IF(AND(_E="B-767-300",'2024'!$K$4="CA",'2024'!$K$2=BW271),'2024DATA'!$D$15,"")</f>
        <v/>
      </c>
      <c r="BX284" s="518" t="str">
        <f>IF(AND(_E="B-767-300",'2024'!$K$4="CA",'2024'!$K$2=BX271),'2024DATA'!$E$15,"")</f>
        <v/>
      </c>
      <c r="BY284" s="518" t="str">
        <f>IF(AND(_E="B-767-300",'2024'!$K$4="CA",'2024'!$K$2=BY271),'2024DATA'!$F$15,"")</f>
        <v/>
      </c>
      <c r="BZ284" s="518" t="str">
        <f>IF(AND(_E="B-767-300",'2024'!$K$4="CA",'2024'!$K$2=BZ271),'2024DATA'!$G$15,"")</f>
        <v/>
      </c>
      <c r="CA284" s="518" t="str">
        <f>IF(AND(_E="B-767-300",'2024'!$K$4="CA",'2024'!$K$2=CA271),'2024DATA'!$H$15,"")</f>
        <v/>
      </c>
      <c r="CB284" s="518" t="str">
        <f>IF(AND(_E="B-767-300",'2024'!$K$4="CA",'2024'!$K$2=CB271),'2024DATA'!$I$15,"")</f>
        <v/>
      </c>
      <c r="CC284" s="518" t="str">
        <f>IF(AND(_E="B-767-300",'2024'!$K$4="CA",'2024'!$K$2=CC271),'2024DATA'!$J$15,"")</f>
        <v/>
      </c>
      <c r="CD284" s="518" t="str">
        <f>IF(AND(_E="B-767-300",'2024'!$K$4="CA",'2024'!$K$2=CD271),'2024DATA'!$K$15,"")</f>
        <v/>
      </c>
      <c r="CE284" s="518" t="str">
        <f>IF(AND(_E="B-767-300",'2024'!$K$4="CA",'2024'!$K$2=CE271),'2024DATA'!$L$15,"")</f>
        <v/>
      </c>
      <c r="CF284" s="518" t="str">
        <f>IF(AND(_E="B-767-300",'2024'!$K$4="CA",'2024'!$K$2=CF271),'2024DATA'!$M$15,"")</f>
        <v/>
      </c>
      <c r="CG284" s="520" t="str">
        <f>IF(AND(_E="B-767-300",'2024'!$K$4="CA",'2024'!$K$2=CG271),'2024DATA'!$N$15,"")</f>
        <v/>
      </c>
      <c r="CH284" s="940" t="s">
        <v>67</v>
      </c>
      <c r="CI284" s="13" t="s">
        <v>61</v>
      </c>
      <c r="CJ284" s="518" t="str">
        <f>IF(AND(_F="B-767-300",'2024'!$K$4="CA",'2024'!$K$2=CJ271),'2024DATA'!$C$15,"")</f>
        <v/>
      </c>
      <c r="CK284" s="518" t="str">
        <f>IF(AND(_F="B-767-300",'2024'!$K$4="CA",'2024'!$K$2=CK271),'2024DATA'!$D$15,"")</f>
        <v/>
      </c>
      <c r="CL284" s="518" t="str">
        <f>IF(AND(_F="B-767-300",'2024'!$K$4="CA",'2024'!$K$2=CL271),'2024DATA'!$E$15,"")</f>
        <v/>
      </c>
      <c r="CM284" s="518" t="str">
        <f>IF(AND(_F="B-767-300",'2024'!$K$4="CA",'2024'!$K$2=CM271),'2024DATA'!$F$15,"")</f>
        <v/>
      </c>
      <c r="CN284" s="518" t="str">
        <f>IF(AND(_F="B-767-300",'2024'!$K$4="CA",'2024'!$K$2=CN271),'2024DATA'!$G$15,"")</f>
        <v/>
      </c>
      <c r="CO284" s="518" t="str">
        <f>IF(AND(_F="B-767-300",'2024'!$K$4="CA",'2024'!$K$2=CO271),'2024DATA'!$H$15,"")</f>
        <v/>
      </c>
      <c r="CP284" s="518" t="str">
        <f>IF(AND(_F="B-767-300",'2024'!$K$4="CA",'2024'!$K$2=CP271),'2024DATA'!$I$15,"")</f>
        <v/>
      </c>
      <c r="CQ284" s="518" t="str">
        <f>IF(AND(_F="B-767-300",'2024'!$K$4="CA",'2024'!$K$2=CQ271),'2024DATA'!$J$15,"")</f>
        <v/>
      </c>
      <c r="CR284" s="518" t="str">
        <f>IF(AND(_F="B-767-300",'2024'!$K$4="CA",'2024'!$K$2=CR271),'2024DATA'!$K$15,"")</f>
        <v/>
      </c>
      <c r="CS284" s="518" t="str">
        <f>IF(AND(_F="B-767-300",'2024'!$K$4="CA",'2024'!$K$2=CS271),'2024DATA'!$L$15,"")</f>
        <v/>
      </c>
      <c r="CT284" s="518" t="str">
        <f>IF(AND(_F="B-767-300",'2024'!$K$4="CA",'2024'!$K$2=CT271),'2024DATA'!$M$15,"")</f>
        <v/>
      </c>
      <c r="CU284" s="520" t="str">
        <f>IF(AND(_F="B-767-300",'2024'!$K$4="CA",'2024'!$K$2=CU271),'2024DATA'!$N$15,"")</f>
        <v/>
      </c>
    </row>
    <row r="285" spans="16:99" x14ac:dyDescent="0.25">
      <c r="P285" s="940"/>
      <c r="Q285" s="13" t="s">
        <v>62</v>
      </c>
      <c r="R285" s="518" t="str">
        <f>IF(AND(_A="B-767-300",'2024'!$K$4="FO",'2024'!$K$2=R271),'2024DATA'!$C$16,"")</f>
        <v/>
      </c>
      <c r="S285" s="518" t="str">
        <f>IF(AND(_A="B-767-300",'2024'!$K$4="FO",'2024'!$K$2=S271),'2024DATA'!$D$16,"")</f>
        <v/>
      </c>
      <c r="T285" s="518" t="str">
        <f>IF(AND(_A="B-767-300",'2024'!$K$4="FO",'2024'!$K$2=T271),'2024DATA'!$E$16,"")</f>
        <v/>
      </c>
      <c r="U285" s="518" t="str">
        <f>IF(AND(_A="B-767-300",'2024'!$K$4="FO",'2024'!$K$2=U271),'2024DATA'!$F$16,"")</f>
        <v/>
      </c>
      <c r="V285" s="518" t="str">
        <f>IF(AND(_A="B-767-300",'2024'!$K$4="FO",'2024'!$K$2=V271),'2024DATA'!$G$16,"")</f>
        <v/>
      </c>
      <c r="W285" s="518" t="str">
        <f>IF(AND(_A="B-767-300",'2024'!$K$4="FO",'2024'!$K$2=W271),'2024DATA'!$H$16,"")</f>
        <v/>
      </c>
      <c r="X285" s="518" t="str">
        <f>IF(AND(_A="B-767-300",'2024'!$K$4="FO",'2024'!$K$2=X271),'2024DATA'!$I$16,"")</f>
        <v/>
      </c>
      <c r="Y285" s="518" t="str">
        <f>IF(AND(_A="B-767-300",'2024'!$K$4="FO",'2024'!$K$2=Y271),'2024DATA'!$J$16,"")</f>
        <v/>
      </c>
      <c r="Z285" s="518" t="str">
        <f>IF(AND(_A="B-767-300",'2024'!$K$4="FO",'2024'!$K$2=Z271),'2024DATA'!$K$16,"")</f>
        <v/>
      </c>
      <c r="AA285" s="518" t="str">
        <f>IF(AND(_A="B-767-300",'2024'!$K$4="FO",'2024'!$K$2=AA271),'2024DATA'!$L$16,"")</f>
        <v/>
      </c>
      <c r="AB285" s="518" t="str">
        <f>IF(AND(_A="B-767-300",'2024'!$K$4="FO",'2024'!$K$2=AB271),'2024DATA'!$M$16,"")</f>
        <v/>
      </c>
      <c r="AC285" s="520" t="str">
        <f>IF(AND(_A="B-767-300",'2024'!$K$4="FO",'2024'!$K$2=AC271),'2024DATA'!$N$16,"")</f>
        <v/>
      </c>
      <c r="AD285" s="940"/>
      <c r="AE285" s="13" t="s">
        <v>62</v>
      </c>
      <c r="AF285" s="518" t="str">
        <f>IF(AND(_B="B-767-300",'2024'!$K$4="FO",'2024'!$K$2=AF271),'2024DATA'!$C$16,"")</f>
        <v/>
      </c>
      <c r="AG285" s="518" t="str">
        <f>IF(AND(_B="B-767-300",'2024'!$K$4="FO",'2024'!$K$2=AG271),'2024DATA'!$D$16,"")</f>
        <v/>
      </c>
      <c r="AH285" s="518" t="str">
        <f>IF(AND(_B="B-767-300",'2024'!$K$4="FO",'2024'!$K$2=AH271),'2024DATA'!$E$16,"")</f>
        <v/>
      </c>
      <c r="AI285" s="518" t="str">
        <f>IF(AND(_B="B-767-300",'2024'!$K$4="FO",'2024'!$K$2=AI271),'2024DATA'!$F$16,"")</f>
        <v/>
      </c>
      <c r="AJ285" s="518" t="str">
        <f>IF(AND(_B="B-767-300",'2024'!$K$4="FO",'2024'!$K$2=AJ271),'2024DATA'!$G$16,"")</f>
        <v/>
      </c>
      <c r="AK285" s="518" t="str">
        <f>IF(AND(_B="B-767-300",'2024'!$K$4="FO",'2024'!$K$2=AK271),'2024DATA'!$H$16,"")</f>
        <v/>
      </c>
      <c r="AL285" s="518" t="str">
        <f>IF(AND(_B="B-767-300",'2024'!$K$4="FO",'2024'!$K$2=AL271),'2024DATA'!$I$16,"")</f>
        <v/>
      </c>
      <c r="AM285" s="518" t="str">
        <f>IF(AND(_B="B-767-300",'2024'!$K$4="FO",'2024'!$K$2=AM271),'2024DATA'!$J$16,"")</f>
        <v/>
      </c>
      <c r="AN285" s="518" t="str">
        <f>IF(AND(_B="B-767-300",'2024'!$K$4="FO",'2024'!$K$2=AN271),'2024DATA'!$K$16,"")</f>
        <v/>
      </c>
      <c r="AO285" s="518" t="str">
        <f>IF(AND(_B="B-767-300",'2024'!$K$4="FO",'2024'!$K$2=AO271),'2024DATA'!$L$16,"")</f>
        <v/>
      </c>
      <c r="AP285" s="518" t="str">
        <f>IF(AND(_B="B-767-300",'2024'!$K$4="FO",'2024'!$K$2=AP271),'2024DATA'!$M$16,"")</f>
        <v/>
      </c>
      <c r="AQ285" s="520" t="str">
        <f>IF(AND(_B="B-767-300",'2024'!$K$4="FO",'2024'!$K$2=AQ271),'2024DATA'!$N$16,"")</f>
        <v/>
      </c>
      <c r="AR285" s="940"/>
      <c r="AS285" s="13" t="s">
        <v>62</v>
      </c>
      <c r="AT285" s="518" t="str">
        <f>IF(AND(_C="B-767-300",'2024'!$K$4="FO",'2024'!$K$2=AT271),'2024DATA'!$C$16,"")</f>
        <v/>
      </c>
      <c r="AU285" s="518" t="str">
        <f>IF(AND(_C="B-767-300",'2024'!$K$4="FO",'2024'!$K$2=AU271),'2024DATA'!$D$16,"")</f>
        <v/>
      </c>
      <c r="AV285" s="518" t="str">
        <f>IF(AND(_C="B-767-300",'2024'!$K$4="FO",'2024'!$K$2=AV271),'2024DATA'!$E$16,"")</f>
        <v/>
      </c>
      <c r="AW285" s="518" t="str">
        <f>IF(AND(_C="B-767-300",'2024'!$K$4="FO",'2024'!$K$2=AW271),'2024DATA'!$F$16,"")</f>
        <v/>
      </c>
      <c r="AX285" s="518" t="str">
        <f>IF(AND(_C="B-767-300",'2024'!$K$4="FO",'2024'!$K$2=AX271),'2024DATA'!$G$16,"")</f>
        <v/>
      </c>
      <c r="AY285" s="518" t="str">
        <f>IF(AND(_C="B-767-300",'2024'!$K$4="FO",'2024'!$K$2=AY271),'2024DATA'!$H$16,"")</f>
        <v/>
      </c>
      <c r="AZ285" s="518" t="str">
        <f>IF(AND(_C="B-767-300",'2024'!$K$4="FO",'2024'!$K$2=AZ271),'2024DATA'!$I$16,"")</f>
        <v/>
      </c>
      <c r="BA285" s="518" t="str">
        <f>IF(AND(_C="B-767-300",'2024'!$K$4="FO",'2024'!$K$2=BA271),'2024DATA'!$J$16,"")</f>
        <v/>
      </c>
      <c r="BB285" s="518" t="str">
        <f>IF(AND(_C="B-767-300",'2024'!$K$4="FO",'2024'!$K$2=BB271),'2024DATA'!$K$16,"")</f>
        <v/>
      </c>
      <c r="BC285" s="518" t="str">
        <f>IF(AND(_C="B-767-300",'2024'!$K$4="FO",'2024'!$K$2=BC271),'2024DATA'!$L$16,"")</f>
        <v/>
      </c>
      <c r="BD285" s="518" t="str">
        <f>IF(AND(_C="B-767-300",'2024'!$K$4="FO",'2024'!$K$2=BD271),'2024DATA'!$M$16,"")</f>
        <v/>
      </c>
      <c r="BE285" s="520" t="str">
        <f>IF(AND(_C="B-767-300",'2024'!$K$4="FO",'2024'!$K$2=BE271),'2024DATA'!$N$16,"")</f>
        <v/>
      </c>
      <c r="BF285" s="940"/>
      <c r="BG285" s="13" t="s">
        <v>62</v>
      </c>
      <c r="BH285" s="518" t="str">
        <f>IF(AND(_D="B-767-300",'2024'!$K$4="FO",'2024'!$K$2=BH271),'2024DATA'!$C$16,"")</f>
        <v/>
      </c>
      <c r="BI285" s="518" t="str">
        <f>IF(AND(_D="B-767-300",'2024'!$K$4="FO",'2024'!$K$2=BI271),'2024DATA'!$D$16,"")</f>
        <v/>
      </c>
      <c r="BJ285" s="518" t="str">
        <f>IF(AND(_D="B-767-300",'2024'!$K$4="FO",'2024'!$K$2=BJ271),'2024DATA'!$E$16,"")</f>
        <v/>
      </c>
      <c r="BK285" s="518" t="str">
        <f>IF(AND(_D="B-767-300",'2024'!$K$4="FO",'2024'!$K$2=BK271),'2024DATA'!$F$16,"")</f>
        <v/>
      </c>
      <c r="BL285" s="518" t="str">
        <f>IF(AND(_D="B-767-300",'2024'!$K$4="FO",'2024'!$K$2=BL271),'2024DATA'!$G$16,"")</f>
        <v/>
      </c>
      <c r="BM285" s="518" t="str">
        <f>IF(AND(_D="B-767-300",'2024'!$K$4="FO",'2024'!$K$2=BM271),'2024DATA'!$H$16,"")</f>
        <v/>
      </c>
      <c r="BN285" s="518" t="str">
        <f>IF(AND(_D="B-767-300",'2024'!$K$4="FO",'2024'!$K$2=BN271),'2024DATA'!$I$16,"")</f>
        <v/>
      </c>
      <c r="BO285" s="518" t="str">
        <f>IF(AND(_D="B-767-300",'2024'!$K$4="FO",'2024'!$K$2=BO271),'2024DATA'!$J$16,"")</f>
        <v/>
      </c>
      <c r="BP285" s="518" t="str">
        <f>IF(AND(_D="B-767-300",'2024'!$K$4="FO",'2024'!$K$2=BP271),'2024DATA'!$K$16,"")</f>
        <v/>
      </c>
      <c r="BQ285" s="518" t="str">
        <f>IF(AND(_D="B-767-300",'2024'!$K$4="FO",'2024'!$K$2=BQ271),'2024DATA'!$L$16,"")</f>
        <v/>
      </c>
      <c r="BR285" s="518" t="str">
        <f>IF(AND(_D="B-767-300",'2024'!$K$4="FO",'2024'!$K$2=BR271),'2024DATA'!$M$16,"")</f>
        <v/>
      </c>
      <c r="BS285" s="520" t="str">
        <f>IF(AND(_D="B-767-300",'2024'!$K$4="FO",'2024'!$K$2=BS271),'2024DATA'!$N$16,"")</f>
        <v/>
      </c>
      <c r="BT285" s="940"/>
      <c r="BU285" s="13" t="s">
        <v>62</v>
      </c>
      <c r="BV285" s="518" t="str">
        <f>IF(AND(_E="B-767-300",'2024'!$K$4="FO",'2024'!$K$2=BV271),'2024DATA'!$C$16,"")</f>
        <v/>
      </c>
      <c r="BW285" s="518" t="str">
        <f>IF(AND(_E="B-767-300",'2024'!$K$4="FO",'2024'!$K$2=BW271),'2024DATA'!$D$16,"")</f>
        <v/>
      </c>
      <c r="BX285" s="518" t="str">
        <f>IF(AND(_E="B-767-300",'2024'!$K$4="FO",'2024'!$K$2=BX271),'2024DATA'!$E$16,"")</f>
        <v/>
      </c>
      <c r="BY285" s="518" t="str">
        <f>IF(AND(_E="B-767-300",'2024'!$K$4="FO",'2024'!$K$2=BY271),'2024DATA'!$F$16,"")</f>
        <v/>
      </c>
      <c r="BZ285" s="518" t="str">
        <f>IF(AND(_E="B-767-300",'2024'!$K$4="FO",'2024'!$K$2=BZ271),'2024DATA'!$G$16,"")</f>
        <v/>
      </c>
      <c r="CA285" s="518" t="str">
        <f>IF(AND(_E="B-767-300",'2024'!$K$4="FO",'2024'!$K$2=CA271),'2024DATA'!$H$16,"")</f>
        <v/>
      </c>
      <c r="CB285" s="518" t="str">
        <f>IF(AND(_E="B-767-300",'2024'!$K$4="FO",'2024'!$K$2=CB271),'2024DATA'!$I$16,"")</f>
        <v/>
      </c>
      <c r="CC285" s="518" t="str">
        <f>IF(AND(_E="B-767-300",'2024'!$K$4="FO",'2024'!$K$2=CC271),'2024DATA'!$J$16,"")</f>
        <v/>
      </c>
      <c r="CD285" s="518" t="str">
        <f>IF(AND(_E="B-767-300",'2024'!$K$4="FO",'2024'!$K$2=CD271),'2024DATA'!$K$16,"")</f>
        <v/>
      </c>
      <c r="CE285" s="518" t="str">
        <f>IF(AND(_E="B-767-300",'2024'!$K$4="FO",'2024'!$K$2=CE271),'2024DATA'!$L$16,"")</f>
        <v/>
      </c>
      <c r="CF285" s="518" t="str">
        <f>IF(AND(_E="B-767-300",'2024'!$K$4="FO",'2024'!$K$2=CF271),'2024DATA'!$M$16,"")</f>
        <v/>
      </c>
      <c r="CG285" s="520" t="str">
        <f>IF(AND(_E="B-767-300",'2024'!$K$4="FO",'2024'!$K$2=CG271),'2024DATA'!$N$16,"")</f>
        <v/>
      </c>
      <c r="CH285" s="940"/>
      <c r="CI285" s="13" t="s">
        <v>62</v>
      </c>
      <c r="CJ285" s="518" t="str">
        <f>IF(AND(_F="B-767-300",'2024'!$K$4="FO",'2024'!$K$2=CJ271),'2024DATA'!$C$16,"")</f>
        <v/>
      </c>
      <c r="CK285" s="518" t="str">
        <f>IF(AND(_F="B-767-300",'2024'!$K$4="FO",'2024'!$K$2=CK271),'2024DATA'!$D$16,"")</f>
        <v/>
      </c>
      <c r="CL285" s="518" t="str">
        <f>IF(AND(_F="B-767-300",'2024'!$K$4="FO",'2024'!$K$2=CL271),'2024DATA'!$E$16,"")</f>
        <v/>
      </c>
      <c r="CM285" s="518" t="str">
        <f>IF(AND(_F="B-767-300",'2024'!$K$4="FO",'2024'!$K$2=CM271),'2024DATA'!$F$16,"")</f>
        <v/>
      </c>
      <c r="CN285" s="518" t="str">
        <f>IF(AND(_F="B-767-300",'2024'!$K$4="FO",'2024'!$K$2=CN271),'2024DATA'!$G$16,"")</f>
        <v/>
      </c>
      <c r="CO285" s="518" t="str">
        <f>IF(AND(_F="B-767-300",'2024'!$K$4="FO",'2024'!$K$2=CO271),'2024DATA'!$H$16,"")</f>
        <v/>
      </c>
      <c r="CP285" s="518" t="str">
        <f>IF(AND(_F="B-767-300",'2024'!$K$4="FO",'2024'!$K$2=CP271),'2024DATA'!$I$16,"")</f>
        <v/>
      </c>
      <c r="CQ285" s="518" t="str">
        <f>IF(AND(_F="B-767-300",'2024'!$K$4="FO",'2024'!$K$2=CQ271),'2024DATA'!$J$16,"")</f>
        <v/>
      </c>
      <c r="CR285" s="518" t="str">
        <f>IF(AND(_F="B-767-300",'2024'!$K$4="FO",'2024'!$K$2=CR271),'2024DATA'!$K$16,"")</f>
        <v/>
      </c>
      <c r="CS285" s="518" t="str">
        <f>IF(AND(_F="B-767-300",'2024'!$K$4="FO",'2024'!$K$2=CS271),'2024DATA'!$L$16,"")</f>
        <v/>
      </c>
      <c r="CT285" s="518" t="str">
        <f>IF(AND(_F="B-767-300",'2024'!$K$4="FO",'2024'!$K$2=CT271),'2024DATA'!$M$16,"")</f>
        <v/>
      </c>
      <c r="CU285" s="520" t="str">
        <f>IF(AND(_F="B-767-300",'2024'!$K$4="FO",'2024'!$K$2=CU271),'2024DATA'!$N$16,"")</f>
        <v/>
      </c>
    </row>
    <row r="286" spans="16:99" x14ac:dyDescent="0.25">
      <c r="P286" s="940" t="s">
        <v>68</v>
      </c>
      <c r="Q286" s="13" t="s">
        <v>61</v>
      </c>
      <c r="R286" s="518" t="str">
        <f>IF(AND(_A="B-767-200",'2024'!$K$4="CA",'2024'!$K$2=R271),'2024DATA'!$C$17,"")</f>
        <v/>
      </c>
      <c r="S286" s="518" t="str">
        <f>IF(AND(_A="B-767-200",'2024'!$K$4="CA",'2024'!$K$2=S271),'2024DATA'!$D$17,"")</f>
        <v/>
      </c>
      <c r="T286" s="518" t="str">
        <f>IF(AND(_A="B-767-200",'2024'!$K$4="CA",'2024'!$K$2=T271),'2024DATA'!$E$17,"")</f>
        <v/>
      </c>
      <c r="U286" s="518" t="str">
        <f>IF(AND(_A="B-767-200",'2024'!$K$4="CA",'2024'!$K$2=U271),'2024DATA'!$F$17,"")</f>
        <v/>
      </c>
      <c r="V286" s="518" t="str">
        <f>IF(AND(_A="B-767-200",'2024'!$K$4="CA",'2024'!$K$2=V271),'2024DATA'!$G$17,"")</f>
        <v/>
      </c>
      <c r="W286" s="518" t="str">
        <f>IF(AND(_A="B-767-200",'2024'!$K$4="CA",'2024'!$K$2=W271),'2024DATA'!$H$17,"")</f>
        <v/>
      </c>
      <c r="X286" s="518" t="str">
        <f>IF(AND(_A="B-767-200",'2024'!$K$4="CA",'2024'!$K$2=X271),'2024DATA'!$I$17,"")</f>
        <v/>
      </c>
      <c r="Y286" s="518" t="str">
        <f>IF(AND(_A="B-767-200",'2024'!$K$4="CA",'2024'!$K$2=Y271),'2024DATA'!$J$17,"")</f>
        <v/>
      </c>
      <c r="Z286" s="518" t="str">
        <f>IF(AND(_A="B-767-200",'2024'!$K$4="CA",'2024'!$K$2=Z271),'2024DATA'!$K$17,"")</f>
        <v/>
      </c>
      <c r="AA286" s="518" t="str">
        <f>IF(AND(_A="B-767-200",'2024'!$K$4="CA",'2024'!$K$2=AA271),'2024DATA'!$L$17,"")</f>
        <v/>
      </c>
      <c r="AB286" s="518" t="str">
        <f>IF(AND(_A="B-767-200",'2024'!$K$4="CA",'2024'!$K$2=AB271),'2024DATA'!$M$17,"")</f>
        <v/>
      </c>
      <c r="AC286" s="520" t="str">
        <f>IF(AND(_A="B-767-200",'2024'!$K$4="CA",'2024'!$K$2=AC271),'2024DATA'!$N$17,"")</f>
        <v/>
      </c>
      <c r="AD286" s="940" t="s">
        <v>68</v>
      </c>
      <c r="AE286" s="13" t="s">
        <v>61</v>
      </c>
      <c r="AF286" s="518" t="str">
        <f>IF(AND(_B="B-767-200",'2024'!$K$4="CA",'2024'!$K$2=AF271),'2024DATA'!$C$17,"")</f>
        <v/>
      </c>
      <c r="AG286" s="518" t="str">
        <f>IF(AND(_B="B-767-200",'2024'!$K$4="CA",'2024'!$K$2=AG271),'2024DATA'!$D$17,"")</f>
        <v/>
      </c>
      <c r="AH286" s="518" t="str">
        <f>IF(AND(_B="B-767-200",'2024'!$K$4="CA",'2024'!$K$2=AH271),'2024DATA'!$E$17,"")</f>
        <v/>
      </c>
      <c r="AI286" s="518" t="str">
        <f>IF(AND(_B="B-767-200",'2024'!$K$4="CA",'2024'!$K$2=AI271),'2024DATA'!$F$17,"")</f>
        <v/>
      </c>
      <c r="AJ286" s="518" t="str">
        <f>IF(AND(_B="B-767-200",'2024'!$K$4="CA",'2024'!$K$2=AJ271),'2024DATA'!$G$17,"")</f>
        <v/>
      </c>
      <c r="AK286" s="518" t="str">
        <f>IF(AND(_B="B-767-200",'2024'!$K$4="CA",'2024'!$K$2=AK271),'2024DATA'!$H$17,"")</f>
        <v/>
      </c>
      <c r="AL286" s="518" t="str">
        <f>IF(AND(_B="B-767-200",'2024'!$K$4="CA",'2024'!$K$2=AL271),'2024DATA'!$I$17,"")</f>
        <v/>
      </c>
      <c r="AM286" s="518" t="str">
        <f>IF(AND(_B="B-767-200",'2024'!$K$4="CA",'2024'!$K$2=AM271),'2024DATA'!$J$17,"")</f>
        <v/>
      </c>
      <c r="AN286" s="518" t="str">
        <f>IF(AND(_B="B-767-200",'2024'!$K$4="CA",'2024'!$K$2=AN271),'2024DATA'!$K$17,"")</f>
        <v/>
      </c>
      <c r="AO286" s="518" t="str">
        <f>IF(AND(_B="B-767-200",'2024'!$K$4="CA",'2024'!$K$2=AO271),'2024DATA'!$L$17,"")</f>
        <v/>
      </c>
      <c r="AP286" s="518" t="str">
        <f>IF(AND(_B="B-767-200",'2024'!$K$4="CA",'2024'!$K$2=AP271),'2024DATA'!$M$17,"")</f>
        <v/>
      </c>
      <c r="AQ286" s="520" t="str">
        <f>IF(AND(_B="B-767-200",'2024'!$K$4="CA",'2024'!$K$2=AQ271),'2024DATA'!$N$17,"")</f>
        <v/>
      </c>
      <c r="AR286" s="940" t="s">
        <v>68</v>
      </c>
      <c r="AS286" s="13" t="s">
        <v>61</v>
      </c>
      <c r="AT286" s="518" t="str">
        <f>IF(AND(_C="B-767-200",'2024'!$K$4="CA",'2024'!$K$2=AT271),'2024DATA'!$C$17,"")</f>
        <v/>
      </c>
      <c r="AU286" s="518" t="str">
        <f>IF(AND(_C="B-767-200",'2024'!$K$4="CA",'2024'!$K$2=AU271),'2024DATA'!$D$17,"")</f>
        <v/>
      </c>
      <c r="AV286" s="518" t="str">
        <f>IF(AND(_C="B-767-200",'2024'!$K$4="CA",'2024'!$K$2=AV271),'2024DATA'!$E$17,"")</f>
        <v/>
      </c>
      <c r="AW286" s="518" t="str">
        <f>IF(AND(_C="B-767-200",'2024'!$K$4="CA",'2024'!$K$2=AW271),'2024DATA'!$F$17,"")</f>
        <v/>
      </c>
      <c r="AX286" s="518" t="str">
        <f>IF(AND(_C="B-767-200",'2024'!$K$4="CA",'2024'!$K$2=AX271),'2024DATA'!$G$17,"")</f>
        <v/>
      </c>
      <c r="AY286" s="518" t="str">
        <f>IF(AND(_C="B-767-200",'2024'!$K$4="CA",'2024'!$K$2=AY271),'2024DATA'!$H$17,"")</f>
        <v/>
      </c>
      <c r="AZ286" s="518" t="str">
        <f>IF(AND(_C="B-767-200",'2024'!$K$4="CA",'2024'!$K$2=AZ271),'2024DATA'!$I$17,"")</f>
        <v/>
      </c>
      <c r="BA286" s="518" t="str">
        <f>IF(AND(_C="B-767-200",'2024'!$K$4="CA",'2024'!$K$2=BA271),'2024DATA'!$J$17,"")</f>
        <v/>
      </c>
      <c r="BB286" s="518" t="str">
        <f>IF(AND(_C="B-767-200",'2024'!$K$4="CA",'2024'!$K$2=BB271),'2024DATA'!$K$17,"")</f>
        <v/>
      </c>
      <c r="BC286" s="518" t="str">
        <f>IF(AND(_C="B-767-200",'2024'!$K$4="CA",'2024'!$K$2=BC271),'2024DATA'!$L$17,"")</f>
        <v/>
      </c>
      <c r="BD286" s="518" t="str">
        <f>IF(AND(_C="B-767-200",'2024'!$K$4="CA",'2024'!$K$2=BD271),'2024DATA'!$M$17,"")</f>
        <v/>
      </c>
      <c r="BE286" s="520" t="str">
        <f>IF(AND(_C="B-767-200",'2024'!$K$4="CA",'2024'!$K$2=BE271),'2024DATA'!$N$17,"")</f>
        <v/>
      </c>
      <c r="BF286" s="940" t="s">
        <v>68</v>
      </c>
      <c r="BG286" s="13" t="s">
        <v>61</v>
      </c>
      <c r="BH286" s="518" t="str">
        <f>IF(AND(_D="B-767-200",'2024'!$K$4="CA",'2024'!$K$2=BH271),'2024DATA'!$C$17,"")</f>
        <v/>
      </c>
      <c r="BI286" s="518" t="str">
        <f>IF(AND(_D="B-767-200",'2024'!$K$4="CA",'2024'!$K$2=BI271),'2024DATA'!$D$17,"")</f>
        <v/>
      </c>
      <c r="BJ286" s="518" t="str">
        <f>IF(AND(_D="B-767-200",'2024'!$K$4="CA",'2024'!$K$2=BJ271),'2024DATA'!$E$17,"")</f>
        <v/>
      </c>
      <c r="BK286" s="518" t="str">
        <f>IF(AND(_D="B-767-200",'2024'!$K$4="CA",'2024'!$K$2=BK271),'2024DATA'!$F$17,"")</f>
        <v/>
      </c>
      <c r="BL286" s="518" t="str">
        <f>IF(AND(_D="B-767-200",'2024'!$K$4="CA",'2024'!$K$2=BL271),'2024DATA'!$G$17,"")</f>
        <v/>
      </c>
      <c r="BM286" s="518" t="str">
        <f>IF(AND(_D="B-767-200",'2024'!$K$4="CA",'2024'!$K$2=BM271),'2024DATA'!$H$17,"")</f>
        <v/>
      </c>
      <c r="BN286" s="518" t="str">
        <f>IF(AND(_D="B-767-200",'2024'!$K$4="CA",'2024'!$K$2=BN271),'2024DATA'!$I$17,"")</f>
        <v/>
      </c>
      <c r="BO286" s="518" t="str">
        <f>IF(AND(_D="B-767-200",'2024'!$K$4="CA",'2024'!$K$2=BO271),'2024DATA'!$J$17,"")</f>
        <v/>
      </c>
      <c r="BP286" s="518" t="str">
        <f>IF(AND(_D="B-767-200",'2024'!$K$4="CA",'2024'!$K$2=BP271),'2024DATA'!$K$17,"")</f>
        <v/>
      </c>
      <c r="BQ286" s="518" t="str">
        <f>IF(AND(_D="B-767-200",'2024'!$K$4="CA",'2024'!$K$2=BQ271),'2024DATA'!$L$17,"")</f>
        <v/>
      </c>
      <c r="BR286" s="518" t="str">
        <f>IF(AND(_D="B-767-200",'2024'!$K$4="CA",'2024'!$K$2=BR271),'2024DATA'!$M$17,"")</f>
        <v/>
      </c>
      <c r="BS286" s="520" t="str">
        <f>IF(AND(_D="B-767-200",'2024'!$K$4="CA",'2024'!$K$2=BS271),'2024DATA'!$N$17,"")</f>
        <v/>
      </c>
      <c r="BT286" s="940" t="s">
        <v>68</v>
      </c>
      <c r="BU286" s="13" t="s">
        <v>61</v>
      </c>
      <c r="BV286" s="518" t="str">
        <f>IF(AND(_E="B-767-200",'2024'!$K$4="CA",'2024'!$K$2=BV271),'2024DATA'!$C$17,"")</f>
        <v/>
      </c>
      <c r="BW286" s="518" t="str">
        <f>IF(AND(_E="B-767-200",'2024'!$K$4="CA",'2024'!$K$2=BW271),'2024DATA'!$D$17,"")</f>
        <v/>
      </c>
      <c r="BX286" s="518" t="str">
        <f>IF(AND(_E="B-767-200",'2024'!$K$4="CA",'2024'!$K$2=BX271),'2024DATA'!$E$17,"")</f>
        <v/>
      </c>
      <c r="BY286" s="518" t="str">
        <f>IF(AND(_E="B-767-200",'2024'!$K$4="CA",'2024'!$K$2=BY271),'2024DATA'!$F$17,"")</f>
        <v/>
      </c>
      <c r="BZ286" s="518" t="str">
        <f>IF(AND(_E="B-767-200",'2024'!$K$4="CA",'2024'!$K$2=BZ271),'2024DATA'!$G$17,"")</f>
        <v/>
      </c>
      <c r="CA286" s="518" t="str">
        <f>IF(AND(_E="B-767-200",'2024'!$K$4="CA",'2024'!$K$2=CA271),'2024DATA'!$H$17,"")</f>
        <v/>
      </c>
      <c r="CB286" s="518" t="str">
        <f>IF(AND(_E="B-767-200",'2024'!$K$4="CA",'2024'!$K$2=CB271),'2024DATA'!$I$17,"")</f>
        <v/>
      </c>
      <c r="CC286" s="518" t="str">
        <f>IF(AND(_E="B-767-200",'2024'!$K$4="CA",'2024'!$K$2=CC271),'2024DATA'!$J$17,"")</f>
        <v/>
      </c>
      <c r="CD286" s="518" t="str">
        <f>IF(AND(_E="B-767-200",'2024'!$K$4="CA",'2024'!$K$2=CD271),'2024DATA'!$K$17,"")</f>
        <v/>
      </c>
      <c r="CE286" s="518" t="str">
        <f>IF(AND(_E="B-767-200",'2024'!$K$4="CA",'2024'!$K$2=CE271),'2024DATA'!$L$17,"")</f>
        <v/>
      </c>
      <c r="CF286" s="518" t="str">
        <f>IF(AND(_E="B-767-200",'2024'!$K$4="CA",'2024'!$K$2=CF271),'2024DATA'!$M$17,"")</f>
        <v/>
      </c>
      <c r="CG286" s="520" t="str">
        <f>IF(AND(_E="B-767-200",'2024'!$K$4="CA",'2024'!$K$2=CG271),'2024DATA'!$N$17,"")</f>
        <v/>
      </c>
      <c r="CH286" s="940" t="s">
        <v>68</v>
      </c>
      <c r="CI286" s="13" t="s">
        <v>61</v>
      </c>
      <c r="CJ286" s="518" t="str">
        <f>IF(AND(_F="B-767-200",'2024'!$K$4="CA",'2024'!$K$2=CJ271),'2024DATA'!$C$17,"")</f>
        <v/>
      </c>
      <c r="CK286" s="518" t="str">
        <f>IF(AND(_F="B-767-200",'2024'!$K$4="CA",'2024'!$K$2=CK271),'2024DATA'!$D$17,"")</f>
        <v/>
      </c>
      <c r="CL286" s="518" t="str">
        <f>IF(AND(_F="B-767-200",'2024'!$K$4="CA",'2024'!$K$2=CL271),'2024DATA'!$E$17,"")</f>
        <v/>
      </c>
      <c r="CM286" s="518" t="str">
        <f>IF(AND(_F="B-767-200",'2024'!$K$4="CA",'2024'!$K$2=CM271),'2024DATA'!$F$17,"")</f>
        <v/>
      </c>
      <c r="CN286" s="518" t="str">
        <f>IF(AND(_F="B-767-200",'2024'!$K$4="CA",'2024'!$K$2=CN271),'2024DATA'!$G$17,"")</f>
        <v/>
      </c>
      <c r="CO286" s="518" t="str">
        <f>IF(AND(_F="B-767-200",'2024'!$K$4="CA",'2024'!$K$2=CO271),'2024DATA'!$H$17,"")</f>
        <v/>
      </c>
      <c r="CP286" s="518" t="str">
        <f>IF(AND(_F="B-767-200",'2024'!$K$4="CA",'2024'!$K$2=CP271),'2024DATA'!$I$17,"")</f>
        <v/>
      </c>
      <c r="CQ286" s="518" t="str">
        <f>IF(AND(_F="B-767-200",'2024'!$K$4="CA",'2024'!$K$2=CQ271),'2024DATA'!$J$17,"")</f>
        <v/>
      </c>
      <c r="CR286" s="518" t="str">
        <f>IF(AND(_F="B-767-200",'2024'!$K$4="CA",'2024'!$K$2=CR271),'2024DATA'!$K$17,"")</f>
        <v/>
      </c>
      <c r="CS286" s="518" t="str">
        <f>IF(AND(_F="B-767-200",'2024'!$K$4="CA",'2024'!$K$2=CS271),'2024DATA'!$L$17,"")</f>
        <v/>
      </c>
      <c r="CT286" s="518" t="str">
        <f>IF(AND(_F="B-767-200",'2024'!$K$4="CA",'2024'!$K$2=CT271),'2024DATA'!$M$17,"")</f>
        <v/>
      </c>
      <c r="CU286" s="520" t="str">
        <f>IF(AND(_F="B-767-200",'2024'!$K$4="CA",'2024'!$K$2=CU271),'2024DATA'!$N$17,"")</f>
        <v/>
      </c>
    </row>
    <row r="287" spans="16:99" x14ac:dyDescent="0.25">
      <c r="P287" s="940"/>
      <c r="Q287" s="13" t="s">
        <v>62</v>
      </c>
      <c r="R287" s="518" t="str">
        <f>IF(AND(_A="B-767-200",'2024'!$K$4="FO",'2024'!$K$2=R271),'2024DATA'!$C$18,"")</f>
        <v/>
      </c>
      <c r="S287" s="518" t="str">
        <f>IF(AND(_A="B-767-200",'2024'!$K$4="FO",'2024'!$K$2=S271),'2024DATA'!$D$18,"")</f>
        <v/>
      </c>
      <c r="T287" s="518" t="str">
        <f>IF(AND(_A="B-767-200",'2024'!$K$4="FO",'2024'!$K$2=T271),'2024DATA'!$E$18,"")</f>
        <v/>
      </c>
      <c r="U287" s="518" t="str">
        <f>IF(AND(_A="B-767-200",'2024'!$K$4="FO",'2024'!$K$2=U271),'2024DATA'!$F$18,"")</f>
        <v/>
      </c>
      <c r="V287" s="518" t="str">
        <f>IF(AND(_A="B-767-200",'2024'!$K$4="FO",'2024'!$K$2=V271),'2024DATA'!$G$18,"")</f>
        <v/>
      </c>
      <c r="W287" s="518" t="str">
        <f>IF(AND(_A="B-767-200",'2024'!$K$4="FO",'2024'!$K$2=W271),'2024DATA'!$H$18,"")</f>
        <v/>
      </c>
      <c r="X287" s="518" t="str">
        <f>IF(AND(_A="B-767-200",'2024'!$K$4="FO",'2024'!$K$2=X271),'2024DATA'!$I$18,"")</f>
        <v/>
      </c>
      <c r="Y287" s="518" t="str">
        <f>IF(AND(_A="B-767-200",'2024'!$K$4="FO",'2024'!$K$2=Y271),'2024DATA'!$J$18,"")</f>
        <v/>
      </c>
      <c r="Z287" s="518" t="str">
        <f>IF(AND(_A="B-767-200",'2024'!$K$4="FO",'2024'!$K$2=Z271),'2024DATA'!$K$18,"")</f>
        <v/>
      </c>
      <c r="AA287" s="518" t="str">
        <f>IF(AND(_A="B-767-200",'2024'!$K$4="FO",'2024'!$K$2=AA271),'2024DATA'!$L$18,"")</f>
        <v/>
      </c>
      <c r="AB287" s="518" t="str">
        <f>IF(AND(_A="B-767-200",'2024'!$K$4="FO",'2024'!$K$2=AB271),'2024DATA'!$M$18,"")</f>
        <v/>
      </c>
      <c r="AC287" s="520" t="str">
        <f>IF(AND(_A="B-767-200",'2024'!$K$4="FO",'2024'!$K$2=AC271),'2024DATA'!$N$18,"")</f>
        <v/>
      </c>
      <c r="AD287" s="940"/>
      <c r="AE287" s="13" t="s">
        <v>62</v>
      </c>
      <c r="AF287" s="518" t="str">
        <f>IF(AND(_B="B-767-200",'2024'!$K$4="FO",'2024'!$K$2=AF271),'2024DATA'!$C$18,"")</f>
        <v/>
      </c>
      <c r="AG287" s="518" t="str">
        <f>IF(AND(_B="B-767-200",'2024'!$K$4="FO",'2024'!$K$2=AG271),'2024DATA'!$D$18,"")</f>
        <v/>
      </c>
      <c r="AH287" s="518" t="str">
        <f>IF(AND(_B="B-767-200",'2024'!$K$4="FO",'2024'!$K$2=AH271),'2024DATA'!$E$18,"")</f>
        <v/>
      </c>
      <c r="AI287" s="518" t="str">
        <f>IF(AND(_B="B-767-200",'2024'!$K$4="FO",'2024'!$K$2=AI271),'2024DATA'!$F$18,"")</f>
        <v/>
      </c>
      <c r="AJ287" s="518" t="str">
        <f>IF(AND(_B="B-767-200",'2024'!$K$4="FO",'2024'!$K$2=AJ271),'2024DATA'!$G$18,"")</f>
        <v/>
      </c>
      <c r="AK287" s="518" t="str">
        <f>IF(AND(_B="B-767-200",'2024'!$K$4="FO",'2024'!$K$2=AK271),'2024DATA'!$H$18,"")</f>
        <v/>
      </c>
      <c r="AL287" s="518" t="str">
        <f>IF(AND(_B="B-767-200",'2024'!$K$4="FO",'2024'!$K$2=AL271),'2024DATA'!$I$18,"")</f>
        <v/>
      </c>
      <c r="AM287" s="518" t="str">
        <f>IF(AND(_B="B-767-200",'2024'!$K$4="FO",'2024'!$K$2=AM271),'2024DATA'!$J$18,"")</f>
        <v/>
      </c>
      <c r="AN287" s="518" t="str">
        <f>IF(AND(_B="B-767-200",'2024'!$K$4="FO",'2024'!$K$2=AN271),'2024DATA'!$K$18,"")</f>
        <v/>
      </c>
      <c r="AO287" s="518" t="str">
        <f>IF(AND(_B="B-767-200",'2024'!$K$4="FO",'2024'!$K$2=AO271),'2024DATA'!$L$18,"")</f>
        <v/>
      </c>
      <c r="AP287" s="518" t="str">
        <f>IF(AND(_B="B-767-200",'2024'!$K$4="FO",'2024'!$K$2=AP271),'2024DATA'!$M$18,"")</f>
        <v/>
      </c>
      <c r="AQ287" s="520" t="str">
        <f>IF(AND(_B="B-767-200",'2024'!$K$4="FO",'2024'!$K$2=AQ271),'2024DATA'!$N$18,"")</f>
        <v/>
      </c>
      <c r="AR287" s="940"/>
      <c r="AS287" s="13" t="s">
        <v>62</v>
      </c>
      <c r="AT287" s="518" t="str">
        <f>IF(AND(_C="B-767-200",'2024'!$K$4="FO",'2024'!$K$2=AT271),'2024DATA'!$C$18,"")</f>
        <v/>
      </c>
      <c r="AU287" s="518" t="str">
        <f>IF(AND(_C="B-767-200",'2024'!$K$4="FO",'2024'!$K$2=AU271),'2024DATA'!$D$18,"")</f>
        <v/>
      </c>
      <c r="AV287" s="518" t="str">
        <f>IF(AND(_C="B-767-200",'2024'!$K$4="FO",'2024'!$K$2=AV271),'2024DATA'!$E$18,"")</f>
        <v/>
      </c>
      <c r="AW287" s="518" t="str">
        <f>IF(AND(_C="B-767-200",'2024'!$K$4="FO",'2024'!$K$2=AW271),'2024DATA'!$F$18,"")</f>
        <v/>
      </c>
      <c r="AX287" s="518" t="str">
        <f>IF(AND(_C="B-767-200",'2024'!$K$4="FO",'2024'!$K$2=AX271),'2024DATA'!$G$18,"")</f>
        <v/>
      </c>
      <c r="AY287" s="518" t="str">
        <f>IF(AND(_C="B-767-200",'2024'!$K$4="FO",'2024'!$K$2=AY271),'2024DATA'!$H$18,"")</f>
        <v/>
      </c>
      <c r="AZ287" s="518" t="str">
        <f>IF(AND(_C="B-767-200",'2024'!$K$4="FO",'2024'!$K$2=AZ271),'2024DATA'!$I$18,"")</f>
        <v/>
      </c>
      <c r="BA287" s="518" t="str">
        <f>IF(AND(_C="B-767-200",'2024'!$K$4="FO",'2024'!$K$2=BA271),'2024DATA'!$J$18,"")</f>
        <v/>
      </c>
      <c r="BB287" s="518" t="str">
        <f>IF(AND(_C="B-767-200",'2024'!$K$4="FO",'2024'!$K$2=BB271),'2024DATA'!$K$18,"")</f>
        <v/>
      </c>
      <c r="BC287" s="518" t="str">
        <f>IF(AND(_C="B-767-200",'2024'!$K$4="FO",'2024'!$K$2=BC271),'2024DATA'!$L$18,"")</f>
        <v/>
      </c>
      <c r="BD287" s="518" t="str">
        <f>IF(AND(_C="B-767-200",'2024'!$K$4="FO",'2024'!$K$2=BD271),'2024DATA'!$M$18,"")</f>
        <v/>
      </c>
      <c r="BE287" s="520" t="str">
        <f>IF(AND(_C="B-767-200",'2024'!$K$4="FO",'2024'!$K$2=BE271),'2024DATA'!$N$18,"")</f>
        <v/>
      </c>
      <c r="BF287" s="940"/>
      <c r="BG287" s="13" t="s">
        <v>62</v>
      </c>
      <c r="BH287" s="518" t="str">
        <f>IF(AND(_D="B-767-200",'2024'!$K$4="FO",'2024'!$K$2=BH271),'2024DATA'!$C$18,"")</f>
        <v/>
      </c>
      <c r="BI287" s="518" t="str">
        <f>IF(AND(_D="B-767-200",'2024'!$K$4="FO",'2024'!$K$2=BI271),'2024DATA'!$D$18,"")</f>
        <v/>
      </c>
      <c r="BJ287" s="518" t="str">
        <f>IF(AND(_D="B-767-200",'2024'!$K$4="FO",'2024'!$K$2=BJ271),'2024DATA'!$E$18,"")</f>
        <v/>
      </c>
      <c r="BK287" s="518" t="str">
        <f>IF(AND(_D="B-767-200",'2024'!$K$4="FO",'2024'!$K$2=BK271),'2024DATA'!$F$18,"")</f>
        <v/>
      </c>
      <c r="BL287" s="518" t="str">
        <f>IF(AND(_D="B-767-200",'2024'!$K$4="FO",'2024'!$K$2=BL271),'2024DATA'!$G$18,"")</f>
        <v/>
      </c>
      <c r="BM287" s="518" t="str">
        <f>IF(AND(_D="B-767-200",'2024'!$K$4="FO",'2024'!$K$2=BM271),'2024DATA'!$H$18,"")</f>
        <v/>
      </c>
      <c r="BN287" s="518" t="str">
        <f>IF(AND(_D="B-767-200",'2024'!$K$4="FO",'2024'!$K$2=BN271),'2024DATA'!$I$18,"")</f>
        <v/>
      </c>
      <c r="BO287" s="518" t="str">
        <f>IF(AND(_D="B-767-200",'2024'!$K$4="FO",'2024'!$K$2=BO271),'2024DATA'!$J$18,"")</f>
        <v/>
      </c>
      <c r="BP287" s="518" t="str">
        <f>IF(AND(_D="B-767-200",'2024'!$K$4="FO",'2024'!$K$2=BP271),'2024DATA'!$K$18,"")</f>
        <v/>
      </c>
      <c r="BQ287" s="518" t="str">
        <f>IF(AND(_D="B-767-200",'2024'!$K$4="FO",'2024'!$K$2=BQ271),'2024DATA'!$L$18,"")</f>
        <v/>
      </c>
      <c r="BR287" s="518" t="str">
        <f>IF(AND(_D="B-767-200",'2024'!$K$4="FO",'2024'!$K$2=BR271),'2024DATA'!$M$18,"")</f>
        <v/>
      </c>
      <c r="BS287" s="520" t="str">
        <f>IF(AND(_D="B-767-200",'2024'!$K$4="FO",'2024'!$K$2=BS271),'2024DATA'!$N$18,"")</f>
        <v/>
      </c>
      <c r="BT287" s="940"/>
      <c r="BU287" s="13" t="s">
        <v>62</v>
      </c>
      <c r="BV287" s="518" t="str">
        <f>IF(AND(_E="B-767-200",'2024'!$K$4="FO",'2024'!$K$2=BV271),'2024DATA'!$C$18,"")</f>
        <v/>
      </c>
      <c r="BW287" s="518" t="str">
        <f>IF(AND(_E="B-767-200",'2024'!$K$4="FO",'2024'!$K$2=BW271),'2024DATA'!$D$18,"")</f>
        <v/>
      </c>
      <c r="BX287" s="518" t="str">
        <f>IF(AND(_E="B-767-200",'2024'!$K$4="FO",'2024'!$K$2=BX271),'2024DATA'!$E$18,"")</f>
        <v/>
      </c>
      <c r="BY287" s="518" t="str">
        <f>IF(AND(_E="B-767-200",'2024'!$K$4="FO",'2024'!$K$2=BY271),'2024DATA'!$F$18,"")</f>
        <v/>
      </c>
      <c r="BZ287" s="518" t="str">
        <f>IF(AND(_E="B-767-200",'2024'!$K$4="FO",'2024'!$K$2=BZ271),'2024DATA'!$G$18,"")</f>
        <v/>
      </c>
      <c r="CA287" s="518" t="str">
        <f>IF(AND(_E="B-767-200",'2024'!$K$4="FO",'2024'!$K$2=CA271),'2024DATA'!$H$18,"")</f>
        <v/>
      </c>
      <c r="CB287" s="518" t="str">
        <f>IF(AND(_E="B-767-200",'2024'!$K$4="FO",'2024'!$K$2=CB271),'2024DATA'!$I$18,"")</f>
        <v/>
      </c>
      <c r="CC287" s="518" t="str">
        <f>IF(AND(_E="B-767-200",'2024'!$K$4="FO",'2024'!$K$2=CC271),'2024DATA'!$J$18,"")</f>
        <v/>
      </c>
      <c r="CD287" s="518" t="str">
        <f>IF(AND(_E="B-767-200",'2024'!$K$4="FO",'2024'!$K$2=CD271),'2024DATA'!$K$18,"")</f>
        <v/>
      </c>
      <c r="CE287" s="518" t="str">
        <f>IF(AND(_E="B-767-200",'2024'!$K$4="FO",'2024'!$K$2=CE271),'2024DATA'!$L$18,"")</f>
        <v/>
      </c>
      <c r="CF287" s="518" t="str">
        <f>IF(AND(_E="B-767-200",'2024'!$K$4="FO",'2024'!$K$2=CF271),'2024DATA'!$M$18,"")</f>
        <v/>
      </c>
      <c r="CG287" s="520" t="str">
        <f>IF(AND(_E="B-767-200",'2024'!$K$4="FO",'2024'!$K$2=CG271),'2024DATA'!$N$18,"")</f>
        <v/>
      </c>
      <c r="CH287" s="940"/>
      <c r="CI287" s="13" t="s">
        <v>62</v>
      </c>
      <c r="CJ287" s="518" t="str">
        <f>IF(AND(_F="B-767-200",'2024'!$K$4="FO",'2024'!$K$2=CJ271),'2024DATA'!$C$18,"")</f>
        <v/>
      </c>
      <c r="CK287" s="518" t="str">
        <f>IF(AND(_F="B-767-200",'2024'!$K$4="FO",'2024'!$K$2=CK271),'2024DATA'!$D$18,"")</f>
        <v/>
      </c>
      <c r="CL287" s="518" t="str">
        <f>IF(AND(_F="B-767-200",'2024'!$K$4="FO",'2024'!$K$2=CL271),'2024DATA'!$E$18,"")</f>
        <v/>
      </c>
      <c r="CM287" s="518" t="str">
        <f>IF(AND(_F="B-767-200",'2024'!$K$4="FO",'2024'!$K$2=CM271),'2024DATA'!$F$18,"")</f>
        <v/>
      </c>
      <c r="CN287" s="518" t="str">
        <f>IF(AND(_F="B-767-200",'2024'!$K$4="FO",'2024'!$K$2=CN271),'2024DATA'!$G$18,"")</f>
        <v/>
      </c>
      <c r="CO287" s="518" t="str">
        <f>IF(AND(_F="B-767-200",'2024'!$K$4="FO",'2024'!$K$2=CO271),'2024DATA'!$H$18,"")</f>
        <v/>
      </c>
      <c r="CP287" s="518" t="str">
        <f>IF(AND(_F="B-767-200",'2024'!$K$4="FO",'2024'!$K$2=CP271),'2024DATA'!$I$18,"")</f>
        <v/>
      </c>
      <c r="CQ287" s="518" t="str">
        <f>IF(AND(_F="B-767-200",'2024'!$K$4="FO",'2024'!$K$2=CQ271),'2024DATA'!$J$18,"")</f>
        <v/>
      </c>
      <c r="CR287" s="518" t="str">
        <f>IF(AND(_F="B-767-200",'2024'!$K$4="FO",'2024'!$K$2=CR271),'2024DATA'!$K$18,"")</f>
        <v/>
      </c>
      <c r="CS287" s="518" t="str">
        <f>IF(AND(_F="B-767-200",'2024'!$K$4="FO",'2024'!$K$2=CS271),'2024DATA'!$L$18,"")</f>
        <v/>
      </c>
      <c r="CT287" s="518" t="str">
        <f>IF(AND(_F="B-767-200",'2024'!$K$4="FO",'2024'!$K$2=CT271),'2024DATA'!$M$18,"")</f>
        <v/>
      </c>
      <c r="CU287" s="520" t="str">
        <f>IF(AND(_F="B-767-200",'2024'!$K$4="FO",'2024'!$K$2=CU271),'2024DATA'!$N$18,"")</f>
        <v/>
      </c>
    </row>
    <row r="288" spans="16:99" x14ac:dyDescent="0.25">
      <c r="P288" s="940" t="s">
        <v>45</v>
      </c>
      <c r="Q288" s="13" t="s">
        <v>61</v>
      </c>
      <c r="R288" s="518" t="str">
        <f>IF(AND(_A="B-757",'2024'!$K$4="CA",'2024'!$K$2=R271),'2024DATA'!$C$19,"")</f>
        <v/>
      </c>
      <c r="S288" s="518" t="str">
        <f>IF(AND(_A="B-757",'2024'!$K$4="CA",'2024'!$K$2=S271),'2024DATA'!$D$19,"")</f>
        <v/>
      </c>
      <c r="T288" s="518" t="str">
        <f>IF(AND(_A="B-757",'2024'!$K$4="CA",'2024'!$K$2=T271),'2024DATA'!$E$19,"")</f>
        <v/>
      </c>
      <c r="U288" s="518" t="str">
        <f>IF(AND(_A="B-757",'2024'!$K$4="CA",'2024'!$K$2=U271),'2024DATA'!$F$19,"")</f>
        <v/>
      </c>
      <c r="V288" s="518" t="str">
        <f>IF(AND(_A="B-757",'2024'!$K$4="CA",'2024'!$K$2=V271),'2024DATA'!$G$19,"")</f>
        <v/>
      </c>
      <c r="W288" s="518" t="str">
        <f>IF(AND(_A="B-757",'2024'!$K$4="CA",'2024'!$K$2=W271),'2024DATA'!$H$19,"")</f>
        <v/>
      </c>
      <c r="X288" s="518" t="str">
        <f>IF(AND(_A="B-757",'2024'!$K$4="CA",'2024'!$K$2=X271),'2024DATA'!$I$19,"")</f>
        <v/>
      </c>
      <c r="Y288" s="518" t="str">
        <f>IF(AND(_A="B-757",'2024'!$K$4="CA",'2024'!$K$2=Y271),'2024DATA'!$J$19,"")</f>
        <v/>
      </c>
      <c r="Z288" s="518" t="str">
        <f>IF(AND(_A="B-757",'2024'!$K$4="CA",'2024'!$K$2=Z271),'2024DATA'!$K$19,"")</f>
        <v/>
      </c>
      <c r="AA288" s="518" t="str">
        <f>IF(AND(_A="B-757",'2024'!$K$4="CA",'2024'!$K$2=AA271),'2024DATA'!$L$19,"")</f>
        <v/>
      </c>
      <c r="AB288" s="518" t="str">
        <f>IF(AND(_A="B-757",'2024'!$K$4="CA",'2024'!$K$2=AB271),'2024DATA'!$M$19,"")</f>
        <v/>
      </c>
      <c r="AC288" s="520" t="str">
        <f>IF(AND(_A="B-757",'2024'!$K$4="CA",'2024'!$K$2=AC271),'2024DATA'!$N$19,"")</f>
        <v/>
      </c>
      <c r="AD288" s="940" t="s">
        <v>45</v>
      </c>
      <c r="AE288" s="13" t="s">
        <v>61</v>
      </c>
      <c r="AF288" s="518" t="str">
        <f>IF(AND(_B="B-757",'2024'!$K$4="CA",'2024'!$K$2=AF271),'2024DATA'!$C$19,"")</f>
        <v/>
      </c>
      <c r="AG288" s="518" t="str">
        <f>IF(AND(_B="B-757",'2024'!$K$4="CA",'2024'!$K$2=AG271),'2024DATA'!$D$19,"")</f>
        <v/>
      </c>
      <c r="AH288" s="518" t="str">
        <f>IF(AND(_B="B-757",'2024'!$K$4="CA",'2024'!$K$2=AH271),'2024DATA'!$E$19,"")</f>
        <v/>
      </c>
      <c r="AI288" s="518" t="str">
        <f>IF(AND(_B="B-757",'2024'!$K$4="CA",'2024'!$K$2=AI271),'2024DATA'!$F$19,"")</f>
        <v/>
      </c>
      <c r="AJ288" s="518" t="str">
        <f>IF(AND(_B="B-757",'2024'!$K$4="CA",'2024'!$K$2=AJ271),'2024DATA'!$G$19,"")</f>
        <v/>
      </c>
      <c r="AK288" s="518" t="str">
        <f>IF(AND(_B="B-757",'2024'!$K$4="CA",'2024'!$K$2=AK271),'2024DATA'!$H$19,"")</f>
        <v/>
      </c>
      <c r="AL288" s="518" t="str">
        <f>IF(AND(_B="B-757",'2024'!$K$4="CA",'2024'!$K$2=AL271),'2024DATA'!$I$19,"")</f>
        <v/>
      </c>
      <c r="AM288" s="518" t="str">
        <f>IF(AND(_B="B-757",'2024'!$K$4="CA",'2024'!$K$2=AM271),'2024DATA'!$J$19,"")</f>
        <v/>
      </c>
      <c r="AN288" s="518" t="str">
        <f>IF(AND(_B="B-757",'2024'!$K$4="CA",'2024'!$K$2=AN271),'2024DATA'!$K$19,"")</f>
        <v/>
      </c>
      <c r="AO288" s="518" t="str">
        <f>IF(AND(_B="B-757",'2024'!$K$4="CA",'2024'!$K$2=AO271),'2024DATA'!$L$19,"")</f>
        <v/>
      </c>
      <c r="AP288" s="518" t="str">
        <f>IF(AND(_B="B-757",'2024'!$K$4="CA",'2024'!$K$2=AP271),'2024DATA'!$M$19,"")</f>
        <v/>
      </c>
      <c r="AQ288" s="520" t="str">
        <f>IF(AND(_B="B-757",'2024'!$K$4="CA",'2024'!$K$2=AQ271),'2024DATA'!$N$19,"")</f>
        <v/>
      </c>
      <c r="AR288" s="940" t="s">
        <v>45</v>
      </c>
      <c r="AS288" s="13" t="s">
        <v>61</v>
      </c>
      <c r="AT288" s="518" t="str">
        <f>IF(AND(_C="B-757",'2024'!$K$4="CA",'2024'!$K$2=AT271),'2024DATA'!$C$19,"")</f>
        <v/>
      </c>
      <c r="AU288" s="518" t="str">
        <f>IF(AND(_C="B-757",'2024'!$K$4="CA",'2024'!$K$2=AU271),'2024DATA'!$D$19,"")</f>
        <v/>
      </c>
      <c r="AV288" s="518" t="str">
        <f>IF(AND(_C="B-757",'2024'!$K$4="CA",'2024'!$K$2=AV271),'2024DATA'!$E$19,"")</f>
        <v/>
      </c>
      <c r="AW288" s="518" t="str">
        <f>IF(AND(_C="B-757",'2024'!$K$4="CA",'2024'!$K$2=AW271),'2024DATA'!$F$19,"")</f>
        <v/>
      </c>
      <c r="AX288" s="518" t="str">
        <f>IF(AND(_C="B-757",'2024'!$K$4="CA",'2024'!$K$2=AX271),'2024DATA'!$G$19,"")</f>
        <v/>
      </c>
      <c r="AY288" s="518" t="str">
        <f>IF(AND(_C="B-757",'2024'!$K$4="CA",'2024'!$K$2=AY271),'2024DATA'!$H$19,"")</f>
        <v/>
      </c>
      <c r="AZ288" s="518" t="str">
        <f>IF(AND(_C="B-757",'2024'!$K$4="CA",'2024'!$K$2=AZ271),'2024DATA'!$I$19,"")</f>
        <v/>
      </c>
      <c r="BA288" s="518" t="str">
        <f>IF(AND(_C="B-757",'2024'!$K$4="CA",'2024'!$K$2=BA271),'2024DATA'!$J$19,"")</f>
        <v/>
      </c>
      <c r="BB288" s="518" t="str">
        <f>IF(AND(_C="B-757",'2024'!$K$4="CA",'2024'!$K$2=BB271),'2024DATA'!$K$19,"")</f>
        <v/>
      </c>
      <c r="BC288" s="518" t="str">
        <f>IF(AND(_C="B-757",'2024'!$K$4="CA",'2024'!$K$2=BC271),'2024DATA'!$L$19,"")</f>
        <v/>
      </c>
      <c r="BD288" s="518" t="str">
        <f>IF(AND(_C="B-757",'2024'!$K$4="CA",'2024'!$K$2=BD271),'2024DATA'!$M$19,"")</f>
        <v/>
      </c>
      <c r="BE288" s="520" t="str">
        <f>IF(AND(_C="B-757",'2024'!$K$4="CA",'2024'!$K$2=BE271),'2024DATA'!$N$19,"")</f>
        <v/>
      </c>
      <c r="BF288" s="940" t="s">
        <v>45</v>
      </c>
      <c r="BG288" s="13" t="s">
        <v>61</v>
      </c>
      <c r="BH288" s="518" t="str">
        <f>IF(AND(_D="B-757",'2024'!$K$4="CA",'2024'!$K$2=BH271),'2024DATA'!$C$19,"")</f>
        <v/>
      </c>
      <c r="BI288" s="518" t="str">
        <f>IF(AND(_D="B-757",'2024'!$K$4="CA",'2024'!$K$2=BI271),'2024DATA'!$D$19,"")</f>
        <v/>
      </c>
      <c r="BJ288" s="518" t="str">
        <f>IF(AND(_D="B-757",'2024'!$K$4="CA",'2024'!$K$2=BJ271),'2024DATA'!$E$19,"")</f>
        <v/>
      </c>
      <c r="BK288" s="518" t="str">
        <f>IF(AND(_D="B-757",'2024'!$K$4="CA",'2024'!$K$2=BK271),'2024DATA'!$F$19,"")</f>
        <v/>
      </c>
      <c r="BL288" s="518" t="str">
        <f>IF(AND(_D="B-757",'2024'!$K$4="CA",'2024'!$K$2=BL271),'2024DATA'!$G$19,"")</f>
        <v/>
      </c>
      <c r="BM288" s="518" t="str">
        <f>IF(AND(_D="B-757",'2024'!$K$4="CA",'2024'!$K$2=BM271),'2024DATA'!$H$19,"")</f>
        <v/>
      </c>
      <c r="BN288" s="518" t="str">
        <f>IF(AND(_D="B-757",'2024'!$K$4="CA",'2024'!$K$2=BN271),'2024DATA'!$I$19,"")</f>
        <v/>
      </c>
      <c r="BO288" s="518" t="str">
        <f>IF(AND(_D="B-757",'2024'!$K$4="CA",'2024'!$K$2=BO271),'2024DATA'!$J$19,"")</f>
        <v/>
      </c>
      <c r="BP288" s="518" t="str">
        <f>IF(AND(_D="B-757",'2024'!$K$4="CA",'2024'!$K$2=BP271),'2024DATA'!$K$19,"")</f>
        <v/>
      </c>
      <c r="BQ288" s="518" t="str">
        <f>IF(AND(_D="B-757",'2024'!$K$4="CA",'2024'!$K$2=BQ271),'2024DATA'!$L$19,"")</f>
        <v/>
      </c>
      <c r="BR288" s="518" t="str">
        <f>IF(AND(_D="B-757",'2024'!$K$4="CA",'2024'!$K$2=BR271),'2024DATA'!$M$19,"")</f>
        <v/>
      </c>
      <c r="BS288" s="520" t="str">
        <f>IF(AND(_D="B-757",'2024'!$K$4="CA",'2024'!$K$2=BS271),'2024DATA'!$N$19,"")</f>
        <v/>
      </c>
      <c r="BT288" s="940" t="s">
        <v>45</v>
      </c>
      <c r="BU288" s="13" t="s">
        <v>61</v>
      </c>
      <c r="BV288" s="518" t="str">
        <f>IF(AND(_E="B-757",'2024'!$K$4="CA",'2024'!$K$2=BV271),'2024DATA'!$C$19,"")</f>
        <v/>
      </c>
      <c r="BW288" s="518" t="str">
        <f>IF(AND(_E="B-757",'2024'!$K$4="CA",'2024'!$K$2=BW271),'2024DATA'!$D$19,"")</f>
        <v/>
      </c>
      <c r="BX288" s="518" t="str">
        <f>IF(AND(_E="B-757",'2024'!$K$4="CA",'2024'!$K$2=BX271),'2024DATA'!$E$19,"")</f>
        <v/>
      </c>
      <c r="BY288" s="518" t="str">
        <f>IF(AND(_E="B-757",'2024'!$K$4="CA",'2024'!$K$2=BY271),'2024DATA'!$F$19,"")</f>
        <v/>
      </c>
      <c r="BZ288" s="518" t="str">
        <f>IF(AND(_E="B-757",'2024'!$K$4="CA",'2024'!$K$2=BZ271),'2024DATA'!$G$19,"")</f>
        <v/>
      </c>
      <c r="CA288" s="518" t="str">
        <f>IF(AND(_E="B-757",'2024'!$K$4="CA",'2024'!$K$2=CA271),'2024DATA'!$H$19,"")</f>
        <v/>
      </c>
      <c r="CB288" s="518" t="str">
        <f>IF(AND(_E="B-757",'2024'!$K$4="CA",'2024'!$K$2=CB271),'2024DATA'!$I$19,"")</f>
        <v/>
      </c>
      <c r="CC288" s="518" t="str">
        <f>IF(AND(_E="B-757",'2024'!$K$4="CA",'2024'!$K$2=CC271),'2024DATA'!$J$19,"")</f>
        <v/>
      </c>
      <c r="CD288" s="518" t="str">
        <f>IF(AND(_E="B-757",'2024'!$K$4="CA",'2024'!$K$2=CD271),'2024DATA'!$K$19,"")</f>
        <v/>
      </c>
      <c r="CE288" s="518" t="str">
        <f>IF(AND(_E="B-757",'2024'!$K$4="CA",'2024'!$K$2=CE271),'2024DATA'!$L$19,"")</f>
        <v/>
      </c>
      <c r="CF288" s="518" t="str">
        <f>IF(AND(_E="B-757",'2024'!$K$4="CA",'2024'!$K$2=CF271),'2024DATA'!$M$19,"")</f>
        <v/>
      </c>
      <c r="CG288" s="520" t="str">
        <f>IF(AND(_E="B-757",'2024'!$K$4="CA",'2024'!$K$2=CG271),'2024DATA'!$N$19,"")</f>
        <v/>
      </c>
      <c r="CH288" s="940" t="s">
        <v>45</v>
      </c>
      <c r="CI288" s="13" t="s">
        <v>61</v>
      </c>
      <c r="CJ288" s="518" t="str">
        <f>IF(AND(_F="B-757",'2024'!$K$4="CA",'2024'!$K$2=CJ271),'2024DATA'!$C$19,"")</f>
        <v/>
      </c>
      <c r="CK288" s="518" t="str">
        <f>IF(AND(_F="B-757",'2024'!$K$4="CA",'2024'!$K$2=CK271),'2024DATA'!$D$19,"")</f>
        <v/>
      </c>
      <c r="CL288" s="518" t="str">
        <f>IF(AND(_F="B-757",'2024'!$K$4="CA",'2024'!$K$2=CL271),'2024DATA'!$E$19,"")</f>
        <v/>
      </c>
      <c r="CM288" s="518" t="str">
        <f>IF(AND(_F="B-757",'2024'!$K$4="CA",'2024'!$K$2=CM271),'2024DATA'!$F$19,"")</f>
        <v/>
      </c>
      <c r="CN288" s="518" t="str">
        <f>IF(AND(_F="B-757",'2024'!$K$4="CA",'2024'!$K$2=CN271),'2024DATA'!$G$19,"")</f>
        <v/>
      </c>
      <c r="CO288" s="518" t="str">
        <f>IF(AND(_F="B-757",'2024'!$K$4="CA",'2024'!$K$2=CO271),'2024DATA'!$H$19,"")</f>
        <v/>
      </c>
      <c r="CP288" s="518" t="str">
        <f>IF(AND(_F="B-757",'2024'!$K$4="CA",'2024'!$K$2=CP271),'2024DATA'!$I$19,"")</f>
        <v/>
      </c>
      <c r="CQ288" s="518" t="str">
        <f>IF(AND(_F="B-757",'2024'!$K$4="CA",'2024'!$K$2=CQ271),'2024DATA'!$J$19,"")</f>
        <v/>
      </c>
      <c r="CR288" s="518" t="str">
        <f>IF(AND(_F="B-757",'2024'!$K$4="CA",'2024'!$K$2=CR271),'2024DATA'!$K$19,"")</f>
        <v/>
      </c>
      <c r="CS288" s="518" t="str">
        <f>IF(AND(_F="B-757",'2024'!$K$4="CA",'2024'!$K$2=CS271),'2024DATA'!$L$19,"")</f>
        <v/>
      </c>
      <c r="CT288" s="518" t="str">
        <f>IF(AND(_F="B-757",'2024'!$K$4="CA",'2024'!$K$2=CT271),'2024DATA'!$M$19,"")</f>
        <v/>
      </c>
      <c r="CU288" s="520" t="str">
        <f>IF(AND(_F="B-757",'2024'!$K$4="CA",'2024'!$K$2=CU271),'2024DATA'!$N$19,"")</f>
        <v/>
      </c>
    </row>
    <row r="289" spans="16:99" x14ac:dyDescent="0.25">
      <c r="P289" s="940"/>
      <c r="Q289" s="13" t="s">
        <v>62</v>
      </c>
      <c r="R289" s="518" t="str">
        <f>IF(AND(_A="B-757",'2024'!$K$4="FO",'2024'!$K$2=R271),'2024DATA'!$C$20,"")</f>
        <v/>
      </c>
      <c r="S289" s="518" t="str">
        <f>IF(AND(_A="B-757",'2024'!$K$4="FO",'2024'!$K$2=S271),'2024DATA'!$D$20,"")</f>
        <v/>
      </c>
      <c r="T289" s="518" t="str">
        <f>IF(AND(_A="B-757",'2024'!$K$4="FO",'2024'!$K$2=T271),'2024DATA'!$E$20,"")</f>
        <v/>
      </c>
      <c r="U289" s="518" t="str">
        <f>IF(AND(_A="B-757",'2024'!$K$4="FO",'2024'!$K$2=U271),'2024DATA'!$F$20,"")</f>
        <v/>
      </c>
      <c r="V289" s="518" t="str">
        <f>IF(AND(_A="B-757",'2024'!$K$4="FO",'2024'!$K$2=V271),'2024DATA'!$G$20,"")</f>
        <v/>
      </c>
      <c r="W289" s="518" t="str">
        <f>IF(AND(_A="B-757",'2024'!$K$4="FO",'2024'!$K$2=W271),'2024DATA'!$H$20,"")</f>
        <v/>
      </c>
      <c r="X289" s="518" t="str">
        <f>IF(AND(_A="B-757",'2024'!$K$4="FO",'2024'!$K$2=X271),'2024DATA'!$I$20,"")</f>
        <v/>
      </c>
      <c r="Y289" s="518" t="str">
        <f>IF(AND(_A="B-757",'2024'!$K$4="FO",'2024'!$K$2=Y271),'2024DATA'!$J$20,"")</f>
        <v/>
      </c>
      <c r="Z289" s="518" t="str">
        <f>IF(AND(_A="B-757",'2024'!$K$4="FO",'2024'!$K$2=Z271),'2024DATA'!$K$20,"")</f>
        <v/>
      </c>
      <c r="AA289" s="518" t="str">
        <f>IF(AND(_A="B-757",'2024'!$K$4="FO",'2024'!$K$2=AA271),'2024DATA'!$L$20,"")</f>
        <v/>
      </c>
      <c r="AB289" s="518" t="str">
        <f>IF(AND(_A="B-757",'2024'!$K$4="FO",'2024'!$K$2=AB271),'2024DATA'!$M$20,"")</f>
        <v/>
      </c>
      <c r="AC289" s="520" t="str">
        <f>IF(AND(_A="B-757",'2024'!$K$4="FO",'2024'!$K$2=AC271),'2024DATA'!$N$20,"")</f>
        <v/>
      </c>
      <c r="AD289" s="940"/>
      <c r="AE289" s="13" t="s">
        <v>62</v>
      </c>
      <c r="AF289" s="518" t="str">
        <f>IF(AND(_B="B-757",'2024'!$K$4="FO",'2024'!$K$2=AF271),'2024DATA'!$C$20,"")</f>
        <v/>
      </c>
      <c r="AG289" s="518" t="str">
        <f>IF(AND(_B="B-757",'2024'!$K$4="FO",'2024'!$K$2=AG271),'2024DATA'!$D$20,"")</f>
        <v/>
      </c>
      <c r="AH289" s="518" t="str">
        <f>IF(AND(_B="B-757",'2024'!$K$4="FO",'2024'!$K$2=AH271),'2024DATA'!$E$20,"")</f>
        <v/>
      </c>
      <c r="AI289" s="518" t="str">
        <f>IF(AND(_B="B-757",'2024'!$K$4="FO",'2024'!$K$2=AI271),'2024DATA'!$F$20,"")</f>
        <v/>
      </c>
      <c r="AJ289" s="518" t="str">
        <f>IF(AND(_B="B-757",'2024'!$K$4="FO",'2024'!$K$2=AJ271),'2024DATA'!$G$20,"")</f>
        <v/>
      </c>
      <c r="AK289" s="518" t="str">
        <f>IF(AND(_B="B-757",'2024'!$K$4="FO",'2024'!$K$2=AK271),'2024DATA'!$H$20,"")</f>
        <v/>
      </c>
      <c r="AL289" s="518" t="str">
        <f>IF(AND(_B="B-757",'2024'!$K$4="FO",'2024'!$K$2=AL271),'2024DATA'!$I$20,"")</f>
        <v/>
      </c>
      <c r="AM289" s="518" t="str">
        <f>IF(AND(_B="B-757",'2024'!$K$4="FO",'2024'!$K$2=AM271),'2024DATA'!$J$20,"")</f>
        <v/>
      </c>
      <c r="AN289" s="518" t="str">
        <f>IF(AND(_B="B-757",'2024'!$K$4="FO",'2024'!$K$2=AN271),'2024DATA'!$K$20,"")</f>
        <v/>
      </c>
      <c r="AO289" s="518" t="str">
        <f>IF(AND(_B="B-757",'2024'!$K$4="FO",'2024'!$K$2=AO271),'2024DATA'!$L$20,"")</f>
        <v/>
      </c>
      <c r="AP289" s="518" t="str">
        <f>IF(AND(_B="B-757",'2024'!$K$4="FO",'2024'!$K$2=AP271),'2024DATA'!$M$20,"")</f>
        <v/>
      </c>
      <c r="AQ289" s="520" t="str">
        <f>IF(AND(_B="B-757",'2024'!$K$4="FO",'2024'!$K$2=AQ271),'2024DATA'!$N$20,"")</f>
        <v/>
      </c>
      <c r="AR289" s="940"/>
      <c r="AS289" s="13" t="s">
        <v>62</v>
      </c>
      <c r="AT289" s="518" t="str">
        <f>IF(AND(_C="B-757",'2024'!$K$4="FO",'2024'!$K$2=AT271),'2024DATA'!$C$20,"")</f>
        <v/>
      </c>
      <c r="AU289" s="518" t="str">
        <f>IF(AND(_C="B-757",'2024'!$K$4="FO",'2024'!$K$2=AU271),'2024DATA'!$D$20,"")</f>
        <v/>
      </c>
      <c r="AV289" s="518" t="str">
        <f>IF(AND(_C="B-757",'2024'!$K$4="FO",'2024'!$K$2=AV271),'2024DATA'!$E$20,"")</f>
        <v/>
      </c>
      <c r="AW289" s="518" t="str">
        <f>IF(AND(_C="B-757",'2024'!$K$4="FO",'2024'!$K$2=AW271),'2024DATA'!$F$20,"")</f>
        <v/>
      </c>
      <c r="AX289" s="518" t="str">
        <f>IF(AND(_C="B-757",'2024'!$K$4="FO",'2024'!$K$2=AX271),'2024DATA'!$G$20,"")</f>
        <v/>
      </c>
      <c r="AY289" s="518" t="str">
        <f>IF(AND(_C="B-757",'2024'!$K$4="FO",'2024'!$K$2=AY271),'2024DATA'!$H$20,"")</f>
        <v/>
      </c>
      <c r="AZ289" s="518" t="str">
        <f>IF(AND(_C="B-757",'2024'!$K$4="FO",'2024'!$K$2=AZ271),'2024DATA'!$I$20,"")</f>
        <v/>
      </c>
      <c r="BA289" s="518" t="str">
        <f>IF(AND(_C="B-757",'2024'!$K$4="FO",'2024'!$K$2=BA271),'2024DATA'!$J$20,"")</f>
        <v/>
      </c>
      <c r="BB289" s="518" t="str">
        <f>IF(AND(_C="B-757",'2024'!$K$4="FO",'2024'!$K$2=BB271),'2024DATA'!$K$20,"")</f>
        <v/>
      </c>
      <c r="BC289" s="518" t="str">
        <f>IF(AND(_C="B-757",'2024'!$K$4="FO",'2024'!$K$2=BC271),'2024DATA'!$L$20,"")</f>
        <v/>
      </c>
      <c r="BD289" s="518" t="str">
        <f>IF(AND(_C="B-757",'2024'!$K$4="FO",'2024'!$K$2=BD271),'2024DATA'!$M$20,"")</f>
        <v/>
      </c>
      <c r="BE289" s="520" t="str">
        <f>IF(AND(_C="B-757",'2024'!$K$4="FO",'2024'!$K$2=BE271),'2024DATA'!$N$20,"")</f>
        <v/>
      </c>
      <c r="BF289" s="940"/>
      <c r="BG289" s="13" t="s">
        <v>62</v>
      </c>
      <c r="BH289" s="518" t="str">
        <f>IF(AND(_D="B-757",'2024'!$K$4="FO",'2024'!$K$2=BH271),'2024DATA'!$C$20,"")</f>
        <v/>
      </c>
      <c r="BI289" s="518" t="str">
        <f>IF(AND(_D="B-757",'2024'!$K$4="FO",'2024'!$K$2=BI271),'2024DATA'!$D$20,"")</f>
        <v/>
      </c>
      <c r="BJ289" s="518" t="str">
        <f>IF(AND(_D="B-757",'2024'!$K$4="FO",'2024'!$K$2=BJ271),'2024DATA'!$E$20,"")</f>
        <v/>
      </c>
      <c r="BK289" s="518" t="str">
        <f>IF(AND(_D="B-757",'2024'!$K$4="FO",'2024'!$K$2=BK271),'2024DATA'!$F$20,"")</f>
        <v/>
      </c>
      <c r="BL289" s="518" t="str">
        <f>IF(AND(_D="B-757",'2024'!$K$4="FO",'2024'!$K$2=BL271),'2024DATA'!$G$20,"")</f>
        <v/>
      </c>
      <c r="BM289" s="518" t="str">
        <f>IF(AND(_D="B-757",'2024'!$K$4="FO",'2024'!$K$2=BM271),'2024DATA'!$H$20,"")</f>
        <v/>
      </c>
      <c r="BN289" s="518" t="str">
        <f>IF(AND(_D="B-757",'2024'!$K$4="FO",'2024'!$K$2=BN271),'2024DATA'!$I$20,"")</f>
        <v/>
      </c>
      <c r="BO289" s="518" t="str">
        <f>IF(AND(_D="B-757",'2024'!$K$4="FO",'2024'!$K$2=BO271),'2024DATA'!$J$20,"")</f>
        <v/>
      </c>
      <c r="BP289" s="518" t="str">
        <f>IF(AND(_D="B-757",'2024'!$K$4="FO",'2024'!$K$2=BP271),'2024DATA'!$K$20,"")</f>
        <v/>
      </c>
      <c r="BQ289" s="518" t="str">
        <f>IF(AND(_D="B-757",'2024'!$K$4="FO",'2024'!$K$2=BQ271),'2024DATA'!$L$20,"")</f>
        <v/>
      </c>
      <c r="BR289" s="518" t="str">
        <f>IF(AND(_D="B-757",'2024'!$K$4="FO",'2024'!$K$2=BR271),'2024DATA'!$M$20,"")</f>
        <v/>
      </c>
      <c r="BS289" s="520" t="str">
        <f>IF(AND(_D="B-757",'2024'!$K$4="FO",'2024'!$K$2=BS271),'2024DATA'!$N$20,"")</f>
        <v/>
      </c>
      <c r="BT289" s="940"/>
      <c r="BU289" s="13" t="s">
        <v>62</v>
      </c>
      <c r="BV289" s="518" t="str">
        <f>IF(AND(_E="B-757",'2024'!$K$4="FO",'2024'!$K$2=BV271),'2024DATA'!$C$20,"")</f>
        <v/>
      </c>
      <c r="BW289" s="518" t="str">
        <f>IF(AND(_E="B-757",'2024'!$K$4="FO",'2024'!$K$2=BW271),'2024DATA'!$D$20,"")</f>
        <v/>
      </c>
      <c r="BX289" s="518" t="str">
        <f>IF(AND(_E="B-757",'2024'!$K$4="FO",'2024'!$K$2=BX271),'2024DATA'!$E$20,"")</f>
        <v/>
      </c>
      <c r="BY289" s="518" t="str">
        <f>IF(AND(_E="B-757",'2024'!$K$4="FO",'2024'!$K$2=BY271),'2024DATA'!$F$20,"")</f>
        <v/>
      </c>
      <c r="BZ289" s="518" t="str">
        <f>IF(AND(_E="B-757",'2024'!$K$4="FO",'2024'!$K$2=BZ271),'2024DATA'!$G$20,"")</f>
        <v/>
      </c>
      <c r="CA289" s="518" t="str">
        <f>IF(AND(_E="B-757",'2024'!$K$4="FO",'2024'!$K$2=CA271),'2024DATA'!$H$20,"")</f>
        <v/>
      </c>
      <c r="CB289" s="518" t="str">
        <f>IF(AND(_E="B-757",'2024'!$K$4="FO",'2024'!$K$2=CB271),'2024DATA'!$I$20,"")</f>
        <v/>
      </c>
      <c r="CC289" s="518" t="str">
        <f>IF(AND(_E="B-757",'2024'!$K$4="FO",'2024'!$K$2=CC271),'2024DATA'!$J$20,"")</f>
        <v/>
      </c>
      <c r="CD289" s="518" t="str">
        <f>IF(AND(_E="B-757",'2024'!$K$4="FO",'2024'!$K$2=CD271),'2024DATA'!$K$20,"")</f>
        <v/>
      </c>
      <c r="CE289" s="518" t="str">
        <f>IF(AND(_E="B-757",'2024'!$K$4="FO",'2024'!$K$2=CE271),'2024DATA'!$L$20,"")</f>
        <v/>
      </c>
      <c r="CF289" s="518" t="str">
        <f>IF(AND(_E="B-757",'2024'!$K$4="FO",'2024'!$K$2=CF271),'2024DATA'!$M$20,"")</f>
        <v/>
      </c>
      <c r="CG289" s="520" t="str">
        <f>IF(AND(_E="B-757",'2024'!$K$4="FO",'2024'!$K$2=CG271),'2024DATA'!$N$20,"")</f>
        <v/>
      </c>
      <c r="CH289" s="940"/>
      <c r="CI289" s="13" t="s">
        <v>62</v>
      </c>
      <c r="CJ289" s="518" t="str">
        <f>IF(AND(_F="B-757",'2024'!$K$4="FO",'2024'!$K$2=CJ271),'2024DATA'!$C$20,"")</f>
        <v/>
      </c>
      <c r="CK289" s="518" t="str">
        <f>IF(AND(_F="B-757",'2024'!$K$4="FO",'2024'!$K$2=CK271),'2024DATA'!$D$20,"")</f>
        <v/>
      </c>
      <c r="CL289" s="518" t="str">
        <f>IF(AND(_F="B-757",'2024'!$K$4="FO",'2024'!$K$2=CL271),'2024DATA'!$E$20,"")</f>
        <v/>
      </c>
      <c r="CM289" s="518" t="str">
        <f>IF(AND(_F="B-757",'2024'!$K$4="FO",'2024'!$K$2=CM271),'2024DATA'!$F$20,"")</f>
        <v/>
      </c>
      <c r="CN289" s="518" t="str">
        <f>IF(AND(_F="B-757",'2024'!$K$4="FO",'2024'!$K$2=CN271),'2024DATA'!$G$20,"")</f>
        <v/>
      </c>
      <c r="CO289" s="518" t="str">
        <f>IF(AND(_F="B-757",'2024'!$K$4="FO",'2024'!$K$2=CO271),'2024DATA'!$H$20,"")</f>
        <v/>
      </c>
      <c r="CP289" s="518" t="str">
        <f>IF(AND(_F="B-757",'2024'!$K$4="FO",'2024'!$K$2=CP271),'2024DATA'!$I$20,"")</f>
        <v/>
      </c>
      <c r="CQ289" s="518" t="str">
        <f>IF(AND(_F="B-757",'2024'!$K$4="FO",'2024'!$K$2=CQ271),'2024DATA'!$J$20,"")</f>
        <v/>
      </c>
      <c r="CR289" s="518" t="str">
        <f>IF(AND(_F="B-757",'2024'!$K$4="FO",'2024'!$K$2=CR271),'2024DATA'!$K$20,"")</f>
        <v/>
      </c>
      <c r="CS289" s="518" t="str">
        <f>IF(AND(_F="B-757",'2024'!$K$4="FO",'2024'!$K$2=CS271),'2024DATA'!$L$20,"")</f>
        <v/>
      </c>
      <c r="CT289" s="518" t="str">
        <f>IF(AND(_F="B-757",'2024'!$K$4="FO",'2024'!$K$2=CT271),'2024DATA'!$M$20,"")</f>
        <v/>
      </c>
      <c r="CU289" s="520" t="str">
        <f>IF(AND(_F="B-757",'2024'!$K$4="FO",'2024'!$K$2=CU271),'2024DATA'!$N$20,"")</f>
        <v/>
      </c>
    </row>
    <row r="290" spans="16:99" x14ac:dyDescent="0.25">
      <c r="P290" s="940" t="s">
        <v>47</v>
      </c>
      <c r="Q290" s="13" t="s">
        <v>61</v>
      </c>
      <c r="R290" s="518" t="str">
        <f>IF(AND(_A="B-737-900",'2024'!$K$4="CA",'2024'!$K$2=R271),'2024DATA'!$C$21,"")</f>
        <v/>
      </c>
      <c r="S290" s="518" t="str">
        <f>IF(AND(_A="B-737-900",'2024'!$K$4="CA",'2024'!$K$2=S271),'2024DATA'!$D$21,"")</f>
        <v/>
      </c>
      <c r="T290" s="518" t="str">
        <f>IF(AND(_A="B-737-900",'2024'!$K$4="CA",'2024'!$K$2=T271),'2024DATA'!$E$21,"")</f>
        <v/>
      </c>
      <c r="U290" s="518" t="str">
        <f>IF(AND(_A="B-737-900",'2024'!$K$4="CA",'2024'!$K$2=U271),'2024DATA'!$F$21,"")</f>
        <v/>
      </c>
      <c r="V290" s="518" t="str">
        <f>IF(AND(_A="B-737-900",'2024'!$K$4="CA",'2024'!$K$2=V271),'2024DATA'!$G$21,"")</f>
        <v/>
      </c>
      <c r="W290" s="518" t="str">
        <f>IF(AND(_A="B-737-900",'2024'!$K$4="CA",'2024'!$K$2=W271),'2024DATA'!$H$21,"")</f>
        <v/>
      </c>
      <c r="X290" s="518" t="str">
        <f>IF(AND(_A="B-737-900",'2024'!$K$4="CA",'2024'!$K$2=X271),'2024DATA'!$I$21,"")</f>
        <v/>
      </c>
      <c r="Y290" s="518" t="str">
        <f>IF(AND(_A="B-737-900",'2024'!$K$4="CA",'2024'!$K$2=Y271),'2024DATA'!$J$21,"")</f>
        <v/>
      </c>
      <c r="Z290" s="518" t="str">
        <f>IF(AND(_A="B-737-900",'2024'!$K$4="CA",'2024'!$K$2=Z271),'2024DATA'!$K$21,"")</f>
        <v/>
      </c>
      <c r="AA290" s="518" t="str">
        <f>IF(AND(_A="B-737-900",'2024'!$K$4="CA",'2024'!$K$2=AA271),'2024DATA'!$L$21,"")</f>
        <v/>
      </c>
      <c r="AB290" s="518" t="str">
        <f>IF(AND(_A="B-737-900",'2024'!$K$4="CA",'2024'!$K$2=AB271),'2024DATA'!$M$21,"")</f>
        <v/>
      </c>
      <c r="AC290" s="520" t="str">
        <f>IF(AND(_A="B-737-900",'2024'!$K$4="CA",'2024'!$K$2=AC271),'2024DATA'!$N$21,"")</f>
        <v/>
      </c>
      <c r="AD290" s="940" t="s">
        <v>47</v>
      </c>
      <c r="AE290" s="13" t="s">
        <v>61</v>
      </c>
      <c r="AF290" s="518" t="str">
        <f>IF(AND(_B="B-737-900",'2024'!$K$4="CA",'2024'!$K$2=AF271),'2024DATA'!$C$21,"")</f>
        <v/>
      </c>
      <c r="AG290" s="518" t="str">
        <f>IF(AND(_B="B-737-900",'2024'!$K$4="CA",'2024'!$K$2=AG271),'2024DATA'!$D$21,"")</f>
        <v/>
      </c>
      <c r="AH290" s="518" t="str">
        <f>IF(AND(_B="B-737-900",'2024'!$K$4="CA",'2024'!$K$2=AH271),'2024DATA'!$E$21,"")</f>
        <v/>
      </c>
      <c r="AI290" s="518" t="str">
        <f>IF(AND(_B="B-737-900",'2024'!$K$4="CA",'2024'!$K$2=AI271),'2024DATA'!$F$21,"")</f>
        <v/>
      </c>
      <c r="AJ290" s="518" t="str">
        <f>IF(AND(_B="B-737-900",'2024'!$K$4="CA",'2024'!$K$2=AJ271),'2024DATA'!$G$21,"")</f>
        <v/>
      </c>
      <c r="AK290" s="518" t="str">
        <f>IF(AND(_B="B-737-900",'2024'!$K$4="CA",'2024'!$K$2=AK271),'2024DATA'!$H$21,"")</f>
        <v/>
      </c>
      <c r="AL290" s="518" t="str">
        <f>IF(AND(_B="B-737-900",'2024'!$K$4="CA",'2024'!$K$2=AL271),'2024DATA'!$I$21,"")</f>
        <v/>
      </c>
      <c r="AM290" s="518" t="str">
        <f>IF(AND(_B="B-737-900",'2024'!$K$4="CA",'2024'!$K$2=AM271),'2024DATA'!$J$21,"")</f>
        <v/>
      </c>
      <c r="AN290" s="518" t="str">
        <f>IF(AND(_B="B-737-900",'2024'!$K$4="CA",'2024'!$K$2=AN271),'2024DATA'!$K$21,"")</f>
        <v/>
      </c>
      <c r="AO290" s="518" t="str">
        <f>IF(AND(_B="B-737-900",'2024'!$K$4="CA",'2024'!$K$2=AO271),'2024DATA'!$L$21,"")</f>
        <v/>
      </c>
      <c r="AP290" s="518" t="str">
        <f>IF(AND(_B="B-737-900",'2024'!$K$4="CA",'2024'!$K$2=AP271),'2024DATA'!$M$21,"")</f>
        <v/>
      </c>
      <c r="AQ290" s="520" t="str">
        <f>IF(AND(_B="B-737-900",'2024'!$K$4="CA",'2024'!$K$2=AQ271),'2024DATA'!$N$21,"")</f>
        <v/>
      </c>
      <c r="AR290" s="940" t="s">
        <v>47</v>
      </c>
      <c r="AS290" s="13" t="s">
        <v>61</v>
      </c>
      <c r="AT290" s="518" t="str">
        <f>IF(AND(_C="B-737-900",'2024'!$K$4="CA",'2024'!$K$2=AT271),'2024DATA'!$C$21,"")</f>
        <v/>
      </c>
      <c r="AU290" s="518" t="str">
        <f>IF(AND(_C="B-737-900",'2024'!$K$4="CA",'2024'!$K$2=AU271),'2024DATA'!$D$21,"")</f>
        <v/>
      </c>
      <c r="AV290" s="518" t="str">
        <f>IF(AND(_C="B-737-900",'2024'!$K$4="CA",'2024'!$K$2=AV271),'2024DATA'!$E$21,"")</f>
        <v/>
      </c>
      <c r="AW290" s="518" t="str">
        <f>IF(AND(_C="B-737-900",'2024'!$K$4="CA",'2024'!$K$2=AW271),'2024DATA'!$F$21,"")</f>
        <v/>
      </c>
      <c r="AX290" s="518" t="str">
        <f>IF(AND(_C="B-737-900",'2024'!$K$4="CA",'2024'!$K$2=AX271),'2024DATA'!$G$21,"")</f>
        <v/>
      </c>
      <c r="AY290" s="518" t="str">
        <f>IF(AND(_C="B-737-900",'2024'!$K$4="CA",'2024'!$K$2=AY271),'2024DATA'!$H$21,"")</f>
        <v/>
      </c>
      <c r="AZ290" s="518" t="str">
        <f>IF(AND(_C="B-737-900",'2024'!$K$4="CA",'2024'!$K$2=AZ271),'2024DATA'!$I$21,"")</f>
        <v/>
      </c>
      <c r="BA290" s="518" t="str">
        <f>IF(AND(_C="B-737-900",'2024'!$K$4="CA",'2024'!$K$2=BA271),'2024DATA'!$J$21,"")</f>
        <v/>
      </c>
      <c r="BB290" s="518" t="str">
        <f>IF(AND(_C="B-737-900",'2024'!$K$4="CA",'2024'!$K$2=BB271),'2024DATA'!$K$21,"")</f>
        <v/>
      </c>
      <c r="BC290" s="518" t="str">
        <f>IF(AND(_C="B-737-900",'2024'!$K$4="CA",'2024'!$K$2=BC271),'2024DATA'!$L$21,"")</f>
        <v/>
      </c>
      <c r="BD290" s="518" t="str">
        <f>IF(AND(_C="B-737-900",'2024'!$K$4="CA",'2024'!$K$2=BD271),'2024DATA'!$M$21,"")</f>
        <v/>
      </c>
      <c r="BE290" s="520" t="str">
        <f>IF(AND(_C="B-737-900",'2024'!$K$4="CA",'2024'!$K$2=BE271),'2024DATA'!$N$21,"")</f>
        <v/>
      </c>
      <c r="BF290" s="940" t="s">
        <v>47</v>
      </c>
      <c r="BG290" s="13" t="s">
        <v>61</v>
      </c>
      <c r="BH290" s="518" t="str">
        <f>IF(AND(_D="B-737-900",'2024'!$K$4="CA",'2024'!$K$2=BH271),'2024DATA'!$C$21,"")</f>
        <v/>
      </c>
      <c r="BI290" s="518" t="str">
        <f>IF(AND(_D="B-737-900",'2024'!$K$4="CA",'2024'!$K$2=BI271),'2024DATA'!$D$21,"")</f>
        <v/>
      </c>
      <c r="BJ290" s="518" t="str">
        <f>IF(AND(_D="B-737-900",'2024'!$K$4="CA",'2024'!$K$2=BJ271),'2024DATA'!$E$21,"")</f>
        <v/>
      </c>
      <c r="BK290" s="518" t="str">
        <f>IF(AND(_D="B-737-900",'2024'!$K$4="CA",'2024'!$K$2=BK271),'2024DATA'!$F$21,"")</f>
        <v/>
      </c>
      <c r="BL290" s="518" t="str">
        <f>IF(AND(_D="B-737-900",'2024'!$K$4="CA",'2024'!$K$2=BL271),'2024DATA'!$G$21,"")</f>
        <v/>
      </c>
      <c r="BM290" s="518" t="str">
        <f>IF(AND(_D="B-737-900",'2024'!$K$4="CA",'2024'!$K$2=BM271),'2024DATA'!$H$21,"")</f>
        <v/>
      </c>
      <c r="BN290" s="518" t="str">
        <f>IF(AND(_D="B-737-900",'2024'!$K$4="CA",'2024'!$K$2=BN271),'2024DATA'!$I$21,"")</f>
        <v/>
      </c>
      <c r="BO290" s="518" t="str">
        <f>IF(AND(_D="B-737-900",'2024'!$K$4="CA",'2024'!$K$2=BO271),'2024DATA'!$J$21,"")</f>
        <v/>
      </c>
      <c r="BP290" s="518" t="str">
        <f>IF(AND(_D="B-737-900",'2024'!$K$4="CA",'2024'!$K$2=BP271),'2024DATA'!$K$21,"")</f>
        <v/>
      </c>
      <c r="BQ290" s="518" t="str">
        <f>IF(AND(_D="B-737-900",'2024'!$K$4="CA",'2024'!$K$2=BQ271),'2024DATA'!$L$21,"")</f>
        <v/>
      </c>
      <c r="BR290" s="518" t="str">
        <f>IF(AND(_D="B-737-900",'2024'!$K$4="CA",'2024'!$K$2=BR271),'2024DATA'!$M$21,"")</f>
        <v/>
      </c>
      <c r="BS290" s="520" t="str">
        <f>IF(AND(_D="B-737-900",'2024'!$K$4="CA",'2024'!$K$2=BS271),'2024DATA'!$N$21,"")</f>
        <v/>
      </c>
      <c r="BT290" s="940" t="s">
        <v>47</v>
      </c>
      <c r="BU290" s="13" t="s">
        <v>61</v>
      </c>
      <c r="BV290" s="518" t="str">
        <f>IF(AND(_E="B-737-900",'2024'!$K$4="CA",'2024'!$K$2=BV271),'2024DATA'!$C$21,"")</f>
        <v/>
      </c>
      <c r="BW290" s="518" t="str">
        <f>IF(AND(_E="B-737-900",'2024'!$K$4="CA",'2024'!$K$2=BW271),'2024DATA'!$D$21,"")</f>
        <v/>
      </c>
      <c r="BX290" s="518" t="str">
        <f>IF(AND(_E="B-737-900",'2024'!$K$4="CA",'2024'!$K$2=BX271),'2024DATA'!$E$21,"")</f>
        <v/>
      </c>
      <c r="BY290" s="518" t="str">
        <f>IF(AND(_E="B-737-900",'2024'!$K$4="CA",'2024'!$K$2=BY271),'2024DATA'!$F$21,"")</f>
        <v/>
      </c>
      <c r="BZ290" s="518" t="str">
        <f>IF(AND(_E="B-737-900",'2024'!$K$4="CA",'2024'!$K$2=BZ271),'2024DATA'!$G$21,"")</f>
        <v/>
      </c>
      <c r="CA290" s="518" t="str">
        <f>IF(AND(_E="B-737-900",'2024'!$K$4="CA",'2024'!$K$2=CA271),'2024DATA'!$H$21,"")</f>
        <v/>
      </c>
      <c r="CB290" s="518" t="str">
        <f>IF(AND(_E="B-737-900",'2024'!$K$4="CA",'2024'!$K$2=CB271),'2024DATA'!$I$21,"")</f>
        <v/>
      </c>
      <c r="CC290" s="518" t="str">
        <f>IF(AND(_E="B-737-900",'2024'!$K$4="CA",'2024'!$K$2=CC271),'2024DATA'!$J$21,"")</f>
        <v/>
      </c>
      <c r="CD290" s="518" t="str">
        <f>IF(AND(_E="B-737-900",'2024'!$K$4="CA",'2024'!$K$2=CD271),'2024DATA'!$K$21,"")</f>
        <v/>
      </c>
      <c r="CE290" s="518" t="str">
        <f>IF(AND(_E="B-737-900",'2024'!$K$4="CA",'2024'!$K$2=CE271),'2024DATA'!$L$21,"")</f>
        <v/>
      </c>
      <c r="CF290" s="518" t="str">
        <f>IF(AND(_E="B-737-900",'2024'!$K$4="CA",'2024'!$K$2=CF271),'2024DATA'!$M$21,"")</f>
        <v/>
      </c>
      <c r="CG290" s="520" t="str">
        <f>IF(AND(_E="B-737-900",'2024'!$K$4="CA",'2024'!$K$2=CG271),'2024DATA'!$N$21,"")</f>
        <v/>
      </c>
      <c r="CH290" s="940" t="s">
        <v>47</v>
      </c>
      <c r="CI290" s="13" t="s">
        <v>61</v>
      </c>
      <c r="CJ290" s="518" t="str">
        <f>IF(AND(_F="B-737-900",'2024'!$K$4="CA",'2024'!$K$2=CJ271),'2024DATA'!$C$21,"")</f>
        <v/>
      </c>
      <c r="CK290" s="518" t="str">
        <f>IF(AND(_F="B-737-900",'2024'!$K$4="CA",'2024'!$K$2=CK271),'2024DATA'!$D$21,"")</f>
        <v/>
      </c>
      <c r="CL290" s="518" t="str">
        <f>IF(AND(_F="B-737-900",'2024'!$K$4="CA",'2024'!$K$2=CL271),'2024DATA'!$E$21,"")</f>
        <v/>
      </c>
      <c r="CM290" s="518" t="str">
        <f>IF(AND(_F="B-737-900",'2024'!$K$4="CA",'2024'!$K$2=CM271),'2024DATA'!$F$21,"")</f>
        <v/>
      </c>
      <c r="CN290" s="518" t="str">
        <f>IF(AND(_F="B-737-900",'2024'!$K$4="CA",'2024'!$K$2=CN271),'2024DATA'!$G$21,"")</f>
        <v/>
      </c>
      <c r="CO290" s="518" t="str">
        <f>IF(AND(_F="B-737-900",'2024'!$K$4="CA",'2024'!$K$2=CO271),'2024DATA'!$H$21,"")</f>
        <v/>
      </c>
      <c r="CP290" s="518" t="str">
        <f>IF(AND(_F="B-737-900",'2024'!$K$4="CA",'2024'!$K$2=CP271),'2024DATA'!$I$21,"")</f>
        <v/>
      </c>
      <c r="CQ290" s="518" t="str">
        <f>IF(AND(_F="B-737-900",'2024'!$K$4="CA",'2024'!$K$2=CQ271),'2024DATA'!$J$21,"")</f>
        <v/>
      </c>
      <c r="CR290" s="518" t="str">
        <f>IF(AND(_F="B-737-900",'2024'!$K$4="CA",'2024'!$K$2=CR271),'2024DATA'!$K$21,"")</f>
        <v/>
      </c>
      <c r="CS290" s="518" t="str">
        <f>IF(AND(_F="B-737-900",'2024'!$K$4="CA",'2024'!$K$2=CS271),'2024DATA'!$L$21,"")</f>
        <v/>
      </c>
      <c r="CT290" s="518" t="str">
        <f>IF(AND(_F="B-737-900",'2024'!$K$4="CA",'2024'!$K$2=CT271),'2024DATA'!$M$21,"")</f>
        <v/>
      </c>
      <c r="CU290" s="520" t="str">
        <f>IF(AND(_F="B-737-900",'2024'!$K$4="CA",'2024'!$K$2=CU271),'2024DATA'!$N$21,"")</f>
        <v/>
      </c>
    </row>
    <row r="291" spans="16:99" x14ac:dyDescent="0.25">
      <c r="P291" s="940"/>
      <c r="Q291" s="13" t="s">
        <v>62</v>
      </c>
      <c r="R291" s="518" t="str">
        <f>IF(AND(_A="B-737-900",'2024'!$K$4="FO",'2024'!$K$2=R271),'2024DATA'!$C$22,"")</f>
        <v/>
      </c>
      <c r="S291" s="518" t="str">
        <f>IF(AND(_A="B-737-900",'2024'!$K$4="FO",'2024'!$K$2=S271),'2024DATA'!$D$22,"")</f>
        <v/>
      </c>
      <c r="T291" s="518" t="str">
        <f>IF(AND(_A="B-737-900",'2024'!$K$4="FO",'2024'!$K$2=T271),'2024DATA'!$E$22,"")</f>
        <v/>
      </c>
      <c r="U291" s="518" t="str">
        <f>IF(AND(_A="B-737-900",'2024'!$K$4="FO",'2024'!$K$2=U271),'2024DATA'!$F$22,"")</f>
        <v/>
      </c>
      <c r="V291" s="518" t="str">
        <f>IF(AND(_A="B-737-900",'2024'!$K$4="FO",'2024'!$K$2=V271),'2024DATA'!$G$22,"")</f>
        <v/>
      </c>
      <c r="W291" s="518" t="str">
        <f>IF(AND(_A="B-737-900",'2024'!$K$4="FO",'2024'!$K$2=W271),'2024DATA'!$H$22,"")</f>
        <v/>
      </c>
      <c r="X291" s="518" t="str">
        <f>IF(AND(_A="B-737-900",'2024'!$K$4="FO",'2024'!$K$2=X271),'2024DATA'!$I$22,"")</f>
        <v/>
      </c>
      <c r="Y291" s="518" t="str">
        <f>IF(AND(_A="B-737-900",'2024'!$K$4="FO",'2024'!$K$2=Y271),'2024DATA'!$J$22,"")</f>
        <v/>
      </c>
      <c r="Z291" s="518" t="str">
        <f>IF(AND(_A="B-737-900",'2024'!$K$4="FO",'2024'!$K$2=Z271),'2024DATA'!$K$22,"")</f>
        <v/>
      </c>
      <c r="AA291" s="518" t="str">
        <f>IF(AND(_A="B-737-900",'2024'!$K$4="FO",'2024'!$K$2=AA271),'2024DATA'!$L$22,"")</f>
        <v/>
      </c>
      <c r="AB291" s="518" t="str">
        <f>IF(AND(_A="B-737-900",'2024'!$K$4="FO",'2024'!$K$2=AB271),'2024DATA'!$M$22,"")</f>
        <v/>
      </c>
      <c r="AC291" s="520" t="str">
        <f>IF(AND(_A="B-737-900",'2024'!$K$4="FO",'2024'!$K$2=AC271),'2024DATA'!$N$22,"")</f>
        <v/>
      </c>
      <c r="AD291" s="940"/>
      <c r="AE291" s="13" t="s">
        <v>62</v>
      </c>
      <c r="AF291" s="518" t="str">
        <f>IF(AND(_B="B-737-900",'2024'!$K$4="FO",'2024'!$K$2=AF271),'2024DATA'!$C$22,"")</f>
        <v/>
      </c>
      <c r="AG291" s="518" t="str">
        <f>IF(AND(_B="B-737-900",'2024'!$K$4="FO",'2024'!$K$2=AG271),'2024DATA'!$D$22,"")</f>
        <v/>
      </c>
      <c r="AH291" s="518" t="str">
        <f>IF(AND(_B="B-737-900",'2024'!$K$4="FO",'2024'!$K$2=AH271),'2024DATA'!$E$22,"")</f>
        <v/>
      </c>
      <c r="AI291" s="518" t="str">
        <f>IF(AND(_B="B-737-900",'2024'!$K$4="FO",'2024'!$K$2=AI271),'2024DATA'!$F$22,"")</f>
        <v/>
      </c>
      <c r="AJ291" s="518" t="str">
        <f>IF(AND(_B="B-737-900",'2024'!$K$4="FO",'2024'!$K$2=AJ271),'2024DATA'!$G$22,"")</f>
        <v/>
      </c>
      <c r="AK291" s="518" t="str">
        <f>IF(AND(_B="B-737-900",'2024'!$K$4="FO",'2024'!$K$2=AK271),'2024DATA'!$H$22,"")</f>
        <v/>
      </c>
      <c r="AL291" s="518" t="str">
        <f>IF(AND(_B="B-737-900",'2024'!$K$4="FO",'2024'!$K$2=AL271),'2024DATA'!$I$22,"")</f>
        <v/>
      </c>
      <c r="AM291" s="518" t="str">
        <f>IF(AND(_B="B-737-900",'2024'!$K$4="FO",'2024'!$K$2=AM271),'2024DATA'!$J$22,"")</f>
        <v/>
      </c>
      <c r="AN291" s="518" t="str">
        <f>IF(AND(_B="B-737-900",'2024'!$K$4="FO",'2024'!$K$2=AN271),'2024DATA'!$K$22,"")</f>
        <v/>
      </c>
      <c r="AO291" s="518" t="str">
        <f>IF(AND(_B="B-737-900",'2024'!$K$4="FO",'2024'!$K$2=AO271),'2024DATA'!$L$22,"")</f>
        <v/>
      </c>
      <c r="AP291" s="518" t="str">
        <f>IF(AND(_B="B-737-900",'2024'!$K$4="FO",'2024'!$K$2=AP271),'2024DATA'!$M$22,"")</f>
        <v/>
      </c>
      <c r="AQ291" s="520" t="str">
        <f>IF(AND(_B="B-737-900",'2024'!$K$4="FO",'2024'!$K$2=AQ271),'2024DATA'!$N$22,"")</f>
        <v/>
      </c>
      <c r="AR291" s="940"/>
      <c r="AS291" s="13" t="s">
        <v>62</v>
      </c>
      <c r="AT291" s="518" t="str">
        <f>IF(AND(_C="B-737-900",'2024'!$K$4="FO",'2024'!$K$2=AT271),'2024DATA'!$C$22,"")</f>
        <v/>
      </c>
      <c r="AU291" s="518" t="str">
        <f>IF(AND(_C="B-737-900",'2024'!$K$4="FO",'2024'!$K$2=AU271),'2024DATA'!$D$22,"")</f>
        <v/>
      </c>
      <c r="AV291" s="518" t="str">
        <f>IF(AND(_C="B-737-900",'2024'!$K$4="FO",'2024'!$K$2=AV271),'2024DATA'!$E$22,"")</f>
        <v/>
      </c>
      <c r="AW291" s="518" t="str">
        <f>IF(AND(_C="B-737-900",'2024'!$K$4="FO",'2024'!$K$2=AW271),'2024DATA'!$F$22,"")</f>
        <v/>
      </c>
      <c r="AX291" s="518" t="str">
        <f>IF(AND(_C="B-737-900",'2024'!$K$4="FO",'2024'!$K$2=AX271),'2024DATA'!$G$22,"")</f>
        <v/>
      </c>
      <c r="AY291" s="518" t="str">
        <f>IF(AND(_C="B-737-900",'2024'!$K$4="FO",'2024'!$K$2=AY271),'2024DATA'!$H$22,"")</f>
        <v/>
      </c>
      <c r="AZ291" s="518" t="str">
        <f>IF(AND(_C="B-737-900",'2024'!$K$4="FO",'2024'!$K$2=AZ271),'2024DATA'!$I$22,"")</f>
        <v/>
      </c>
      <c r="BA291" s="518" t="str">
        <f>IF(AND(_C="B-737-900",'2024'!$K$4="FO",'2024'!$K$2=BA271),'2024DATA'!$J$22,"")</f>
        <v/>
      </c>
      <c r="BB291" s="518" t="str">
        <f>IF(AND(_C="B-737-900",'2024'!$K$4="FO",'2024'!$K$2=BB271),'2024DATA'!$K$22,"")</f>
        <v/>
      </c>
      <c r="BC291" s="518" t="str">
        <f>IF(AND(_C="B-737-900",'2024'!$K$4="FO",'2024'!$K$2=BC271),'2024DATA'!$L$22,"")</f>
        <v/>
      </c>
      <c r="BD291" s="518" t="str">
        <f>IF(AND(_C="B-737-900",'2024'!$K$4="FO",'2024'!$K$2=BD271),'2024DATA'!$M$22,"")</f>
        <v/>
      </c>
      <c r="BE291" s="520" t="str">
        <f>IF(AND(_C="B-737-900",'2024'!$K$4="FO",'2024'!$K$2=BE271),'2024DATA'!$N$22,"")</f>
        <v/>
      </c>
      <c r="BF291" s="940"/>
      <c r="BG291" s="13" t="s">
        <v>62</v>
      </c>
      <c r="BH291" s="518" t="str">
        <f>IF(AND(_D="B-737-900",'2024'!$K$4="FO",'2024'!$K$2=BH271),'2024DATA'!$C$22,"")</f>
        <v/>
      </c>
      <c r="BI291" s="518" t="str">
        <f>IF(AND(_D="B-737-900",'2024'!$K$4="FO",'2024'!$K$2=BI271),'2024DATA'!$D$22,"")</f>
        <v/>
      </c>
      <c r="BJ291" s="518" t="str">
        <f>IF(AND(_D="B-737-900",'2024'!$K$4="FO",'2024'!$K$2=BJ271),'2024DATA'!$E$22,"")</f>
        <v/>
      </c>
      <c r="BK291" s="518" t="str">
        <f>IF(AND(_D="B-737-900",'2024'!$K$4="FO",'2024'!$K$2=BK271),'2024DATA'!$F$22,"")</f>
        <v/>
      </c>
      <c r="BL291" s="518" t="str">
        <f>IF(AND(_D="B-737-900",'2024'!$K$4="FO",'2024'!$K$2=BL271),'2024DATA'!$G$22,"")</f>
        <v/>
      </c>
      <c r="BM291" s="518" t="str">
        <f>IF(AND(_D="B-737-900",'2024'!$K$4="FO",'2024'!$K$2=BM271),'2024DATA'!$H$22,"")</f>
        <v/>
      </c>
      <c r="BN291" s="518" t="str">
        <f>IF(AND(_D="B-737-900",'2024'!$K$4="FO",'2024'!$K$2=BN271),'2024DATA'!$I$22,"")</f>
        <v/>
      </c>
      <c r="BO291" s="518" t="str">
        <f>IF(AND(_D="B-737-900",'2024'!$K$4="FO",'2024'!$K$2=BO271),'2024DATA'!$J$22,"")</f>
        <v/>
      </c>
      <c r="BP291" s="518" t="str">
        <f>IF(AND(_D="B-737-900",'2024'!$K$4="FO",'2024'!$K$2=BP271),'2024DATA'!$K$22,"")</f>
        <v/>
      </c>
      <c r="BQ291" s="518" t="str">
        <f>IF(AND(_D="B-737-900",'2024'!$K$4="FO",'2024'!$K$2=BQ271),'2024DATA'!$L$22,"")</f>
        <v/>
      </c>
      <c r="BR291" s="518" t="str">
        <f>IF(AND(_D="B-737-900",'2024'!$K$4="FO",'2024'!$K$2=BR271),'2024DATA'!$M$22,"")</f>
        <v/>
      </c>
      <c r="BS291" s="520" t="str">
        <f>IF(AND(_D="B-737-900",'2024'!$K$4="FO",'2024'!$K$2=BS271),'2024DATA'!$N$22,"")</f>
        <v/>
      </c>
      <c r="BT291" s="940"/>
      <c r="BU291" s="13" t="s">
        <v>62</v>
      </c>
      <c r="BV291" s="518" t="str">
        <f>IF(AND(_E="B-737-900",'2024'!$K$4="FO",'2024'!$K$2=BV271),'2024DATA'!$C$22,"")</f>
        <v/>
      </c>
      <c r="BW291" s="518" t="str">
        <f>IF(AND(_E="B-737-900",'2024'!$K$4="FO",'2024'!$K$2=BW271),'2024DATA'!$D$22,"")</f>
        <v/>
      </c>
      <c r="BX291" s="518" t="str">
        <f>IF(AND(_E="B-737-900",'2024'!$K$4="FO",'2024'!$K$2=BX271),'2024DATA'!$E$22,"")</f>
        <v/>
      </c>
      <c r="BY291" s="518" t="str">
        <f>IF(AND(_E="B-737-900",'2024'!$K$4="FO",'2024'!$K$2=BY271),'2024DATA'!$F$22,"")</f>
        <v/>
      </c>
      <c r="BZ291" s="518" t="str">
        <f>IF(AND(_E="B-737-900",'2024'!$K$4="FO",'2024'!$K$2=BZ271),'2024DATA'!$G$22,"")</f>
        <v/>
      </c>
      <c r="CA291" s="518" t="str">
        <f>IF(AND(_E="B-737-900",'2024'!$K$4="FO",'2024'!$K$2=CA271),'2024DATA'!$H$22,"")</f>
        <v/>
      </c>
      <c r="CB291" s="518" t="str">
        <f>IF(AND(_E="B-737-900",'2024'!$K$4="FO",'2024'!$K$2=CB271),'2024DATA'!$I$22,"")</f>
        <v/>
      </c>
      <c r="CC291" s="518" t="str">
        <f>IF(AND(_E="B-737-900",'2024'!$K$4="FO",'2024'!$K$2=CC271),'2024DATA'!$J$22,"")</f>
        <v/>
      </c>
      <c r="CD291" s="518" t="str">
        <f>IF(AND(_E="B-737-900",'2024'!$K$4="FO",'2024'!$K$2=CD271),'2024DATA'!$K$22,"")</f>
        <v/>
      </c>
      <c r="CE291" s="518" t="str">
        <f>IF(AND(_E="B-737-900",'2024'!$K$4="FO",'2024'!$K$2=CE271),'2024DATA'!$L$22,"")</f>
        <v/>
      </c>
      <c r="CF291" s="518" t="str">
        <f>IF(AND(_E="B-737-900",'2024'!$K$4="FO",'2024'!$K$2=CF271),'2024DATA'!$M$22,"")</f>
        <v/>
      </c>
      <c r="CG291" s="520" t="str">
        <f>IF(AND(_E="B-737-900",'2024'!$K$4="FO",'2024'!$K$2=CG271),'2024DATA'!$N$22,"")</f>
        <v/>
      </c>
      <c r="CH291" s="940"/>
      <c r="CI291" s="13" t="s">
        <v>62</v>
      </c>
      <c r="CJ291" s="518" t="str">
        <f>IF(AND(_F="B-737-900",'2024'!$K$4="FO",'2024'!$K$2=CJ271),'2024DATA'!$C$22,"")</f>
        <v/>
      </c>
      <c r="CK291" s="518" t="str">
        <f>IF(AND(_F="B-737-900",'2024'!$K$4="FO",'2024'!$K$2=CK271),'2024DATA'!$D$22,"")</f>
        <v/>
      </c>
      <c r="CL291" s="518" t="str">
        <f>IF(AND(_F="B-737-900",'2024'!$K$4="FO",'2024'!$K$2=CL271),'2024DATA'!$E$22,"")</f>
        <v/>
      </c>
      <c r="CM291" s="518" t="str">
        <f>IF(AND(_F="B-737-900",'2024'!$K$4="FO",'2024'!$K$2=CM271),'2024DATA'!$F$22,"")</f>
        <v/>
      </c>
      <c r="CN291" s="518" t="str">
        <f>IF(AND(_F="B-737-900",'2024'!$K$4="FO",'2024'!$K$2=CN271),'2024DATA'!$G$22,"")</f>
        <v/>
      </c>
      <c r="CO291" s="518" t="str">
        <f>IF(AND(_F="B-737-900",'2024'!$K$4="FO",'2024'!$K$2=CO271),'2024DATA'!$H$22,"")</f>
        <v/>
      </c>
      <c r="CP291" s="518" t="str">
        <f>IF(AND(_F="B-737-900",'2024'!$K$4="FO",'2024'!$K$2=CP271),'2024DATA'!$I$22,"")</f>
        <v/>
      </c>
      <c r="CQ291" s="518" t="str">
        <f>IF(AND(_F="B-737-900",'2024'!$K$4="FO",'2024'!$K$2=CQ271),'2024DATA'!$J$22,"")</f>
        <v/>
      </c>
      <c r="CR291" s="518" t="str">
        <f>IF(AND(_F="B-737-900",'2024'!$K$4="FO",'2024'!$K$2=CR271),'2024DATA'!$K$22,"")</f>
        <v/>
      </c>
      <c r="CS291" s="518" t="str">
        <f>IF(AND(_F="B-737-900",'2024'!$K$4="FO",'2024'!$K$2=CS271),'2024DATA'!$L$22,"")</f>
        <v/>
      </c>
      <c r="CT291" s="518" t="str">
        <f>IF(AND(_F="B-737-900",'2024'!$K$4="FO",'2024'!$K$2=CT271),'2024DATA'!$M$22,"")</f>
        <v/>
      </c>
      <c r="CU291" s="520" t="str">
        <f>IF(AND(_F="B-737-900",'2024'!$K$4="FO",'2024'!$K$2=CU271),'2024DATA'!$N$22,"")</f>
        <v/>
      </c>
    </row>
    <row r="292" spans="16:99" x14ac:dyDescent="0.25">
      <c r="P292" s="940" t="s">
        <v>69</v>
      </c>
      <c r="Q292" s="13" t="s">
        <v>61</v>
      </c>
      <c r="R292" s="518" t="str">
        <f>IF(AND(_A="B-737-800",'2024'!$K$4="CA",'2024'!$K$2=R271),'2024DATA'!$C$23,"")</f>
        <v/>
      </c>
      <c r="S292" s="518" t="str">
        <f>IF(AND(_A="B-737-800",'2024'!$K$4="CA",'2024'!$K$2=S271),'2024DATA'!$D$23,"")</f>
        <v/>
      </c>
      <c r="T292" s="518" t="str">
        <f>IF(AND(_A="B-737-800",'2024'!$K$4="CA",'2024'!$K$2=T271),'2024DATA'!$E$23,"")</f>
        <v/>
      </c>
      <c r="U292" s="518" t="str">
        <f>IF(AND(_A="B-737-800",'2024'!$K$4="CA",'2024'!$K$2=U271),'2024DATA'!$F$23,"")</f>
        <v/>
      </c>
      <c r="V292" s="518" t="str">
        <f>IF(AND(_A="B-737-800",'2024'!$K$4="CA",'2024'!$K$2=V271),'2024DATA'!$G$23,"")</f>
        <v/>
      </c>
      <c r="W292" s="518" t="str">
        <f>IF(AND(_A="B-737-800",'2024'!$K$4="CA",'2024'!$K$2=W271),'2024DATA'!$H$23,"")</f>
        <v/>
      </c>
      <c r="X292" s="518" t="str">
        <f>IF(AND(_A="B-737-800",'2024'!$K$4="CA",'2024'!$K$2=X271),'2024DATA'!$I$23,"")</f>
        <v/>
      </c>
      <c r="Y292" s="518" t="str">
        <f>IF(AND(_A="B-737-800",'2024'!$K$4="CA",'2024'!$K$2=Y271),'2024DATA'!$J$23,"")</f>
        <v/>
      </c>
      <c r="Z292" s="518" t="str">
        <f>IF(AND(_A="B-737-800",'2024'!$K$4="CA",'2024'!$K$2=Z271),'2024DATA'!$K$23,"")</f>
        <v/>
      </c>
      <c r="AA292" s="518" t="str">
        <f>IF(AND(_A="B-737-800",'2024'!$K$4="CA",'2024'!$K$2=AA271),'2024DATA'!$L$23,"")</f>
        <v/>
      </c>
      <c r="AB292" s="518" t="str">
        <f>IF(AND(_A="B-737-800",'2024'!$K$4="CA",'2024'!$K$2=AB271),'2024DATA'!$M$23,"")</f>
        <v/>
      </c>
      <c r="AC292" s="520" t="str">
        <f>IF(AND(_A="B-737-800",'2024'!$K$4="CA",'2024'!$K$2=AC271),'2024DATA'!$N$23,"")</f>
        <v/>
      </c>
      <c r="AD292" s="940" t="s">
        <v>69</v>
      </c>
      <c r="AE292" s="13" t="s">
        <v>61</v>
      </c>
      <c r="AF292" s="518" t="str">
        <f>IF(AND(_B="B-737-800",'2024'!$K$4="CA",'2024'!$K$2=AF271),'2024DATA'!$C$23,"")</f>
        <v/>
      </c>
      <c r="AG292" s="518" t="str">
        <f>IF(AND(_B="B-737-800",'2024'!$K$4="CA",'2024'!$K$2=AG271),'2024DATA'!$D$23,"")</f>
        <v/>
      </c>
      <c r="AH292" s="518" t="str">
        <f>IF(AND(_B="B-737-800",'2024'!$K$4="CA",'2024'!$K$2=AH271),'2024DATA'!$E$23,"")</f>
        <v/>
      </c>
      <c r="AI292" s="518" t="str">
        <f>IF(AND(_B="B-737-800",'2024'!$K$4="CA",'2024'!$K$2=AI271),'2024DATA'!$F$23,"")</f>
        <v/>
      </c>
      <c r="AJ292" s="518" t="str">
        <f>IF(AND(_B="B-737-800",'2024'!$K$4="CA",'2024'!$K$2=AJ271),'2024DATA'!$G$23,"")</f>
        <v/>
      </c>
      <c r="AK292" s="518" t="str">
        <f>IF(AND(_B="B-737-800",'2024'!$K$4="CA",'2024'!$K$2=AK271),'2024DATA'!$H$23,"")</f>
        <v/>
      </c>
      <c r="AL292" s="518" t="str">
        <f>IF(AND(_B="B-737-800",'2024'!$K$4="CA",'2024'!$K$2=AL271),'2024DATA'!$I$23,"")</f>
        <v/>
      </c>
      <c r="AM292" s="518" t="str">
        <f>IF(AND(_B="B-737-800",'2024'!$K$4="CA",'2024'!$K$2=AM271),'2024DATA'!$J$23,"")</f>
        <v/>
      </c>
      <c r="AN292" s="518" t="str">
        <f>IF(AND(_B="B-737-800",'2024'!$K$4="CA",'2024'!$K$2=AN271),'2024DATA'!$K$23,"")</f>
        <v/>
      </c>
      <c r="AO292" s="518" t="str">
        <f>IF(AND(_B="B-737-800",'2024'!$K$4="CA",'2024'!$K$2=AO271),'2024DATA'!$L$23,"")</f>
        <v/>
      </c>
      <c r="AP292" s="518" t="str">
        <f>IF(AND(_B="B-737-800",'2024'!$K$4="CA",'2024'!$K$2=AP271),'2024DATA'!$M$23,"")</f>
        <v/>
      </c>
      <c r="AQ292" s="520" t="str">
        <f>IF(AND(_B="B-737-800",'2024'!$K$4="CA",'2024'!$K$2=AQ271),'2024DATA'!$N$23,"")</f>
        <v/>
      </c>
      <c r="AR292" s="940" t="s">
        <v>69</v>
      </c>
      <c r="AS292" s="13" t="s">
        <v>61</v>
      </c>
      <c r="AT292" s="518" t="str">
        <f>IF(AND(_C="B-737-800",'2024'!$K$4="CA",'2024'!$K$2=AT271),'2024DATA'!$C$23,"")</f>
        <v/>
      </c>
      <c r="AU292" s="518" t="str">
        <f>IF(AND(_C="B-737-800",'2024'!$K$4="CA",'2024'!$K$2=AU271),'2024DATA'!$D$23,"")</f>
        <v/>
      </c>
      <c r="AV292" s="518" t="str">
        <f>IF(AND(_C="B-737-800",'2024'!$K$4="CA",'2024'!$K$2=AV271),'2024DATA'!$E$23,"")</f>
        <v/>
      </c>
      <c r="AW292" s="518" t="str">
        <f>IF(AND(_C="B-737-800",'2024'!$K$4="CA",'2024'!$K$2=AW271),'2024DATA'!$F$23,"")</f>
        <v/>
      </c>
      <c r="AX292" s="518" t="str">
        <f>IF(AND(_C="B-737-800",'2024'!$K$4="CA",'2024'!$K$2=AX271),'2024DATA'!$G$23,"")</f>
        <v/>
      </c>
      <c r="AY292" s="518" t="str">
        <f>IF(AND(_C="B-737-800",'2024'!$K$4="CA",'2024'!$K$2=AY271),'2024DATA'!$H$23,"")</f>
        <v/>
      </c>
      <c r="AZ292" s="518" t="str">
        <f>IF(AND(_C="B-737-800",'2024'!$K$4="CA",'2024'!$K$2=AZ271),'2024DATA'!$I$23,"")</f>
        <v/>
      </c>
      <c r="BA292" s="518" t="str">
        <f>IF(AND(_C="B-737-800",'2024'!$K$4="CA",'2024'!$K$2=BA271),'2024DATA'!$J$23,"")</f>
        <v/>
      </c>
      <c r="BB292" s="518" t="str">
        <f>IF(AND(_C="B-737-800",'2024'!$K$4="CA",'2024'!$K$2=BB271),'2024DATA'!$K$23,"")</f>
        <v/>
      </c>
      <c r="BC292" s="518" t="str">
        <f>IF(AND(_C="B-737-800",'2024'!$K$4="CA",'2024'!$K$2=BC271),'2024DATA'!$L$23,"")</f>
        <v/>
      </c>
      <c r="BD292" s="518" t="str">
        <f>IF(AND(_C="B-737-800",'2024'!$K$4="CA",'2024'!$K$2=BD271),'2024DATA'!$M$23,"")</f>
        <v/>
      </c>
      <c r="BE292" s="520" t="str">
        <f>IF(AND(_C="B-737-800",'2024'!$K$4="CA",'2024'!$K$2=BE271),'2024DATA'!$N$23,"")</f>
        <v/>
      </c>
      <c r="BF292" s="940" t="s">
        <v>69</v>
      </c>
      <c r="BG292" s="13" t="s">
        <v>61</v>
      </c>
      <c r="BH292" s="518" t="str">
        <f>IF(AND(_D="B-737-800",'2024'!$K$4="CA",'2024'!$K$2=BH271),'2024DATA'!$C$23,"")</f>
        <v/>
      </c>
      <c r="BI292" s="518" t="str">
        <f>IF(AND(_D="B-737-800",'2024'!$K$4="CA",'2024'!$K$2=BI271),'2024DATA'!$D$23,"")</f>
        <v/>
      </c>
      <c r="BJ292" s="518" t="str">
        <f>IF(AND(_D="B-737-800",'2024'!$K$4="CA",'2024'!$K$2=BJ271),'2024DATA'!$E$23,"")</f>
        <v/>
      </c>
      <c r="BK292" s="518" t="str">
        <f>IF(AND(_D="B-737-800",'2024'!$K$4="CA",'2024'!$K$2=BK271),'2024DATA'!$F$23,"")</f>
        <v/>
      </c>
      <c r="BL292" s="518" t="str">
        <f>IF(AND(_D="B-737-800",'2024'!$K$4="CA",'2024'!$K$2=BL271),'2024DATA'!$G$23,"")</f>
        <v/>
      </c>
      <c r="BM292" s="518" t="str">
        <f>IF(AND(_D="B-737-800",'2024'!$K$4="CA",'2024'!$K$2=BM271),'2024DATA'!$H$23,"")</f>
        <v/>
      </c>
      <c r="BN292" s="518" t="str">
        <f>IF(AND(_D="B-737-800",'2024'!$K$4="CA",'2024'!$K$2=BN271),'2024DATA'!$I$23,"")</f>
        <v/>
      </c>
      <c r="BO292" s="518" t="str">
        <f>IF(AND(_D="B-737-800",'2024'!$K$4="CA",'2024'!$K$2=BO271),'2024DATA'!$J$23,"")</f>
        <v/>
      </c>
      <c r="BP292" s="518" t="str">
        <f>IF(AND(_D="B-737-800",'2024'!$K$4="CA",'2024'!$K$2=BP271),'2024DATA'!$K$23,"")</f>
        <v/>
      </c>
      <c r="BQ292" s="518" t="str">
        <f>IF(AND(_D="B-737-800",'2024'!$K$4="CA",'2024'!$K$2=BQ271),'2024DATA'!$L$23,"")</f>
        <v/>
      </c>
      <c r="BR292" s="518" t="str">
        <f>IF(AND(_D="B-737-800",'2024'!$K$4="CA",'2024'!$K$2=BR271),'2024DATA'!$M$23,"")</f>
        <v/>
      </c>
      <c r="BS292" s="520" t="str">
        <f>IF(AND(_D="B-737-800",'2024'!$K$4="CA",'2024'!$K$2=BS271),'2024DATA'!$N$23,"")</f>
        <v/>
      </c>
      <c r="BT292" s="940" t="s">
        <v>69</v>
      </c>
      <c r="BU292" s="13" t="s">
        <v>61</v>
      </c>
      <c r="BV292" s="518" t="str">
        <f>IF(AND(_E="B-737-800",'2024'!$K$4="CA",'2024'!$K$2=BV271),'2024DATA'!$C$23,"")</f>
        <v/>
      </c>
      <c r="BW292" s="518" t="str">
        <f>IF(AND(_E="B-737-800",'2024'!$K$4="CA",'2024'!$K$2=BW271),'2024DATA'!$D$23,"")</f>
        <v/>
      </c>
      <c r="BX292" s="518" t="str">
        <f>IF(AND(_E="B-737-800",'2024'!$K$4="CA",'2024'!$K$2=BX271),'2024DATA'!$E$23,"")</f>
        <v/>
      </c>
      <c r="BY292" s="518" t="str">
        <f>IF(AND(_E="B-737-800",'2024'!$K$4="CA",'2024'!$K$2=BY271),'2024DATA'!$F$23,"")</f>
        <v/>
      </c>
      <c r="BZ292" s="518" t="str">
        <f>IF(AND(_E="B-737-800",'2024'!$K$4="CA",'2024'!$K$2=BZ271),'2024DATA'!$G$23,"")</f>
        <v/>
      </c>
      <c r="CA292" s="518" t="str">
        <f>IF(AND(_E="B-737-800",'2024'!$K$4="CA",'2024'!$K$2=CA271),'2024DATA'!$H$23,"")</f>
        <v/>
      </c>
      <c r="CB292" s="518" t="str">
        <f>IF(AND(_E="B-737-800",'2024'!$K$4="CA",'2024'!$K$2=CB271),'2024DATA'!$I$23,"")</f>
        <v/>
      </c>
      <c r="CC292" s="518" t="str">
        <f>IF(AND(_E="B-737-800",'2024'!$K$4="CA",'2024'!$K$2=CC271),'2024DATA'!$J$23,"")</f>
        <v/>
      </c>
      <c r="CD292" s="518" t="str">
        <f>IF(AND(_E="B-737-800",'2024'!$K$4="CA",'2024'!$K$2=CD271),'2024DATA'!$K$23,"")</f>
        <v/>
      </c>
      <c r="CE292" s="518" t="str">
        <f>IF(AND(_E="B-737-800",'2024'!$K$4="CA",'2024'!$K$2=CE271),'2024DATA'!$L$23,"")</f>
        <v/>
      </c>
      <c r="CF292" s="518" t="str">
        <f>IF(AND(_E="B-737-800",'2024'!$K$4="CA",'2024'!$K$2=CF271),'2024DATA'!$M$23,"")</f>
        <v/>
      </c>
      <c r="CG292" s="520" t="str">
        <f>IF(AND(_E="B-737-800",'2024'!$K$4="CA",'2024'!$K$2=CG271),'2024DATA'!$N$23,"")</f>
        <v/>
      </c>
      <c r="CH292" s="940" t="s">
        <v>69</v>
      </c>
      <c r="CI292" s="13" t="s">
        <v>61</v>
      </c>
      <c r="CJ292" s="518" t="str">
        <f>IF(AND(_F="B-737-800",'2024'!$K$4="CA",'2024'!$K$2=CJ271),'2024DATA'!$C$23,"")</f>
        <v/>
      </c>
      <c r="CK292" s="518" t="str">
        <f>IF(AND(_F="B-737-800",'2024'!$K$4="CA",'2024'!$K$2=CK271),'2024DATA'!$D$23,"")</f>
        <v/>
      </c>
      <c r="CL292" s="518" t="str">
        <f>IF(AND(_F="B-737-800",'2024'!$K$4="CA",'2024'!$K$2=CL271),'2024DATA'!$E$23,"")</f>
        <v/>
      </c>
      <c r="CM292" s="518" t="str">
        <f>IF(AND(_F="B-737-800",'2024'!$K$4="CA",'2024'!$K$2=CM271),'2024DATA'!$F$23,"")</f>
        <v/>
      </c>
      <c r="CN292" s="518" t="str">
        <f>IF(AND(_F="B-737-800",'2024'!$K$4="CA",'2024'!$K$2=CN271),'2024DATA'!$G$23,"")</f>
        <v/>
      </c>
      <c r="CO292" s="518" t="str">
        <f>IF(AND(_F="B-737-800",'2024'!$K$4="CA",'2024'!$K$2=CO271),'2024DATA'!$H$23,"")</f>
        <v/>
      </c>
      <c r="CP292" s="518" t="str">
        <f>IF(AND(_F="B-737-800",'2024'!$K$4="CA",'2024'!$K$2=CP271),'2024DATA'!$I$23,"")</f>
        <v/>
      </c>
      <c r="CQ292" s="518" t="str">
        <f>IF(AND(_F="B-737-800",'2024'!$K$4="CA",'2024'!$K$2=CQ271),'2024DATA'!$J$23,"")</f>
        <v/>
      </c>
      <c r="CR292" s="518" t="str">
        <f>IF(AND(_F="B-737-800",'2024'!$K$4="CA",'2024'!$K$2=CR271),'2024DATA'!$K$23,"")</f>
        <v/>
      </c>
      <c r="CS292" s="518" t="str">
        <f>IF(AND(_F="B-737-800",'2024'!$K$4="CA",'2024'!$K$2=CS271),'2024DATA'!$L$23,"")</f>
        <v/>
      </c>
      <c r="CT292" s="518" t="str">
        <f>IF(AND(_F="B-737-800",'2024'!$K$4="CA",'2024'!$K$2=CT271),'2024DATA'!$M$23,"")</f>
        <v/>
      </c>
      <c r="CU292" s="520" t="str">
        <f>IF(AND(_F="B-737-800",'2024'!$K$4="CA",'2024'!$K$2=CU271),'2024DATA'!$N$23,"")</f>
        <v/>
      </c>
    </row>
    <row r="293" spans="16:99" x14ac:dyDescent="0.25">
      <c r="P293" s="940"/>
      <c r="Q293" s="13" t="s">
        <v>62</v>
      </c>
      <c r="R293" s="518" t="str">
        <f>IF(AND(_A="B-737-800",'2024'!$K$4="FO",'2024'!$K$2=R271),'2024DATA'!$C$24,"")</f>
        <v/>
      </c>
      <c r="S293" s="518" t="str">
        <f>IF(AND(_A="B-737-800",'2024'!$K$4="FO",'2024'!$K$2=S271),'2024DATA'!$D$24,"")</f>
        <v/>
      </c>
      <c r="T293" s="518" t="str">
        <f>IF(AND(_A="B-737-800",'2024'!$K$4="FO",'2024'!$K$2=T271),'2024DATA'!$E$24,"")</f>
        <v/>
      </c>
      <c r="U293" s="518" t="str">
        <f>IF(AND(_A="B-737-800",'2024'!$K$4="FO",'2024'!$K$2=U271),'2024DATA'!$F$24,"")</f>
        <v/>
      </c>
      <c r="V293" s="518" t="str">
        <f>IF(AND(_A="B-737-800",'2024'!$K$4="FO",'2024'!$K$2=V271),'2024DATA'!$G$24,"")</f>
        <v/>
      </c>
      <c r="W293" s="518" t="str">
        <f>IF(AND(_A="B-737-800",'2024'!$K$4="FO",'2024'!$K$2=W271),'2024DATA'!$H$24,"")</f>
        <v/>
      </c>
      <c r="X293" s="518" t="str">
        <f>IF(AND(_A="B-737-800",'2024'!$K$4="FO",'2024'!$K$2=X271),'2024DATA'!$I$24,"")</f>
        <v/>
      </c>
      <c r="Y293" s="518" t="str">
        <f>IF(AND(_A="B-737-800",'2024'!$K$4="FO",'2024'!$K$2=Y271),'2024DATA'!$J$24,"")</f>
        <v/>
      </c>
      <c r="Z293" s="518" t="str">
        <f>IF(AND(_A="B-737-800",'2024'!$K$4="FO",'2024'!$K$2=Z271),'2024DATA'!$K$24,"")</f>
        <v/>
      </c>
      <c r="AA293" s="518" t="str">
        <f>IF(AND(_A="B-737-800",'2024'!$K$4="FO",'2024'!$K$2=AA271),'2024DATA'!$L$24,"")</f>
        <v/>
      </c>
      <c r="AB293" s="518" t="str">
        <f>IF(AND(_A="B-737-800",'2024'!$K$4="FO",'2024'!$K$2=AB271),'2024DATA'!$M$24,"")</f>
        <v/>
      </c>
      <c r="AC293" s="520" t="str">
        <f>IF(AND(_A="B-737-800",'2024'!$K$4="FO",'2024'!$K$2=AC271),'2024DATA'!$N$24,"")</f>
        <v/>
      </c>
      <c r="AD293" s="940"/>
      <c r="AE293" s="13" t="s">
        <v>62</v>
      </c>
      <c r="AF293" s="518" t="str">
        <f>IF(AND(_B="B-737-800",'2024'!$K$4="FO",'2024'!$K$2=AF271),'2024DATA'!$C$24,"")</f>
        <v/>
      </c>
      <c r="AG293" s="518" t="str">
        <f>IF(AND(_B="B-737-800",'2024'!$K$4="FO",'2024'!$K$2=AG271),'2024DATA'!$D$24,"")</f>
        <v/>
      </c>
      <c r="AH293" s="518" t="str">
        <f>IF(AND(_B="B-737-800",'2024'!$K$4="FO",'2024'!$K$2=AH271),'2024DATA'!$E$24,"")</f>
        <v/>
      </c>
      <c r="AI293" s="518" t="str">
        <f>IF(AND(_B="B-737-800",'2024'!$K$4="FO",'2024'!$K$2=AI271),'2024DATA'!$F$24,"")</f>
        <v/>
      </c>
      <c r="AJ293" s="518" t="str">
        <f>IF(AND(_B="B-737-800",'2024'!$K$4="FO",'2024'!$K$2=AJ271),'2024DATA'!$G$24,"")</f>
        <v/>
      </c>
      <c r="AK293" s="518" t="str">
        <f>IF(AND(_B="B-737-800",'2024'!$K$4="FO",'2024'!$K$2=AK271),'2024DATA'!$H$24,"")</f>
        <v/>
      </c>
      <c r="AL293" s="518" t="str">
        <f>IF(AND(_B="B-737-800",'2024'!$K$4="FO",'2024'!$K$2=AL271),'2024DATA'!$I$24,"")</f>
        <v/>
      </c>
      <c r="AM293" s="518" t="str">
        <f>IF(AND(_B="B-737-800",'2024'!$K$4="FO",'2024'!$K$2=AM271),'2024DATA'!$J$24,"")</f>
        <v/>
      </c>
      <c r="AN293" s="518" t="str">
        <f>IF(AND(_B="B-737-800",'2024'!$K$4="FO",'2024'!$K$2=AN271),'2024DATA'!$K$24,"")</f>
        <v/>
      </c>
      <c r="AO293" s="518" t="str">
        <f>IF(AND(_B="B-737-800",'2024'!$K$4="FO",'2024'!$K$2=AO271),'2024DATA'!$L$24,"")</f>
        <v/>
      </c>
      <c r="AP293" s="518" t="str">
        <f>IF(AND(_B="B-737-800",'2024'!$K$4="FO",'2024'!$K$2=AP271),'2024DATA'!$M$24,"")</f>
        <v/>
      </c>
      <c r="AQ293" s="520" t="str">
        <f>IF(AND(_B="B-737-800",'2024'!$K$4="FO",'2024'!$K$2=AQ271),'2024DATA'!$N$24,"")</f>
        <v/>
      </c>
      <c r="AR293" s="940"/>
      <c r="AS293" s="13" t="s">
        <v>62</v>
      </c>
      <c r="AT293" s="518" t="str">
        <f>IF(AND(_C="B-737-800",'2024'!$K$4="FO",'2024'!$K$2=AT271),'2024DATA'!$C$24,"")</f>
        <v/>
      </c>
      <c r="AU293" s="518" t="str">
        <f>IF(AND(_C="B-737-800",'2024'!$K$4="FO",'2024'!$K$2=AU271),'2024DATA'!$D$24,"")</f>
        <v/>
      </c>
      <c r="AV293" s="518" t="str">
        <f>IF(AND(_C="B-737-800",'2024'!$K$4="FO",'2024'!$K$2=AV271),'2024DATA'!$E$24,"")</f>
        <v/>
      </c>
      <c r="AW293" s="518" t="str">
        <f>IF(AND(_C="B-737-800",'2024'!$K$4="FO",'2024'!$K$2=AW271),'2024DATA'!$F$24,"")</f>
        <v/>
      </c>
      <c r="AX293" s="518" t="str">
        <f>IF(AND(_C="B-737-800",'2024'!$K$4="FO",'2024'!$K$2=AX271),'2024DATA'!$G$24,"")</f>
        <v/>
      </c>
      <c r="AY293" s="518" t="str">
        <f>IF(AND(_C="B-737-800",'2024'!$K$4="FO",'2024'!$K$2=AY271),'2024DATA'!$H$24,"")</f>
        <v/>
      </c>
      <c r="AZ293" s="518" t="str">
        <f>IF(AND(_C="B-737-800",'2024'!$K$4="FO",'2024'!$K$2=AZ271),'2024DATA'!$I$24,"")</f>
        <v/>
      </c>
      <c r="BA293" s="518" t="str">
        <f>IF(AND(_C="B-737-800",'2024'!$K$4="FO",'2024'!$K$2=BA271),'2024DATA'!$J$24,"")</f>
        <v/>
      </c>
      <c r="BB293" s="518" t="str">
        <f>IF(AND(_C="B-737-800",'2024'!$K$4="FO",'2024'!$K$2=BB271),'2024DATA'!$K$24,"")</f>
        <v/>
      </c>
      <c r="BC293" s="518" t="str">
        <f>IF(AND(_C="B-737-800",'2024'!$K$4="FO",'2024'!$K$2=BC271),'2024DATA'!$L$24,"")</f>
        <v/>
      </c>
      <c r="BD293" s="518" t="str">
        <f>IF(AND(_C="B-737-800",'2024'!$K$4="FO",'2024'!$K$2=BD271),'2024DATA'!$M$24,"")</f>
        <v/>
      </c>
      <c r="BE293" s="520" t="str">
        <f>IF(AND(_C="B-737-800",'2024'!$K$4="FO",'2024'!$K$2=BE271),'2024DATA'!$N$24,"")</f>
        <v/>
      </c>
      <c r="BF293" s="940"/>
      <c r="BG293" s="13" t="s">
        <v>62</v>
      </c>
      <c r="BH293" s="518" t="str">
        <f>IF(AND(_D="B-737-800",'2024'!$K$4="FO",'2024'!$K$2=BH271),'2024DATA'!$C$24,"")</f>
        <v/>
      </c>
      <c r="BI293" s="518" t="str">
        <f>IF(AND(_D="B-737-800",'2024'!$K$4="FO",'2024'!$K$2=BI271),'2024DATA'!$D$24,"")</f>
        <v/>
      </c>
      <c r="BJ293" s="518" t="str">
        <f>IF(AND(_D="B-737-800",'2024'!$K$4="FO",'2024'!$K$2=BJ271),'2024DATA'!$E$24,"")</f>
        <v/>
      </c>
      <c r="BK293" s="518" t="str">
        <f>IF(AND(_D="B-737-800",'2024'!$K$4="FO",'2024'!$K$2=BK271),'2024DATA'!$F$24,"")</f>
        <v/>
      </c>
      <c r="BL293" s="518" t="str">
        <f>IF(AND(_D="B-737-800",'2024'!$K$4="FO",'2024'!$K$2=BL271),'2024DATA'!$G$24,"")</f>
        <v/>
      </c>
      <c r="BM293" s="518" t="str">
        <f>IF(AND(_D="B-737-800",'2024'!$K$4="FO",'2024'!$K$2=BM271),'2024DATA'!$H$24,"")</f>
        <v/>
      </c>
      <c r="BN293" s="518" t="str">
        <f>IF(AND(_D="B-737-800",'2024'!$K$4="FO",'2024'!$K$2=BN271),'2024DATA'!$I$24,"")</f>
        <v/>
      </c>
      <c r="BO293" s="518" t="str">
        <f>IF(AND(_D="B-737-800",'2024'!$K$4="FO",'2024'!$K$2=BO271),'2024DATA'!$J$24,"")</f>
        <v/>
      </c>
      <c r="BP293" s="518" t="str">
        <f>IF(AND(_D="B-737-800",'2024'!$K$4="FO",'2024'!$K$2=BP271),'2024DATA'!$K$24,"")</f>
        <v/>
      </c>
      <c r="BQ293" s="518" t="str">
        <f>IF(AND(_D="B-737-800",'2024'!$K$4="FO",'2024'!$K$2=BQ271),'2024DATA'!$L$24,"")</f>
        <v/>
      </c>
      <c r="BR293" s="518" t="str">
        <f>IF(AND(_D="B-737-800",'2024'!$K$4="FO",'2024'!$K$2=BR271),'2024DATA'!$M$24,"")</f>
        <v/>
      </c>
      <c r="BS293" s="520" t="str">
        <f>IF(AND(_D="B-737-800",'2024'!$K$4="FO",'2024'!$K$2=BS271),'2024DATA'!$N$24,"")</f>
        <v/>
      </c>
      <c r="BT293" s="940"/>
      <c r="BU293" s="13" t="s">
        <v>62</v>
      </c>
      <c r="BV293" s="518" t="str">
        <f>IF(AND(_E="B-737-800",'2024'!$K$4="FO",'2024'!$K$2=BV271),'2024DATA'!$C$24,"")</f>
        <v/>
      </c>
      <c r="BW293" s="518" t="str">
        <f>IF(AND(_E="B-737-800",'2024'!$K$4="FO",'2024'!$K$2=BW271),'2024DATA'!$D$24,"")</f>
        <v/>
      </c>
      <c r="BX293" s="518" t="str">
        <f>IF(AND(_E="B-737-800",'2024'!$K$4="FO",'2024'!$K$2=BX271),'2024DATA'!$E$24,"")</f>
        <v/>
      </c>
      <c r="BY293" s="518" t="str">
        <f>IF(AND(_E="B-737-800",'2024'!$K$4="FO",'2024'!$K$2=BY271),'2024DATA'!$F$24,"")</f>
        <v/>
      </c>
      <c r="BZ293" s="518" t="str">
        <f>IF(AND(_E="B-737-800",'2024'!$K$4="FO",'2024'!$K$2=BZ271),'2024DATA'!$G$24,"")</f>
        <v/>
      </c>
      <c r="CA293" s="518" t="str">
        <f>IF(AND(_E="B-737-800",'2024'!$K$4="FO",'2024'!$K$2=CA271),'2024DATA'!$H$24,"")</f>
        <v/>
      </c>
      <c r="CB293" s="518" t="str">
        <f>IF(AND(_E="B-737-800",'2024'!$K$4="FO",'2024'!$K$2=CB271),'2024DATA'!$I$24,"")</f>
        <v/>
      </c>
      <c r="CC293" s="518" t="str">
        <f>IF(AND(_E="B-737-800",'2024'!$K$4="FO",'2024'!$K$2=CC271),'2024DATA'!$J$24,"")</f>
        <v/>
      </c>
      <c r="CD293" s="518" t="str">
        <f>IF(AND(_E="B-737-800",'2024'!$K$4="FO",'2024'!$K$2=CD271),'2024DATA'!$K$24,"")</f>
        <v/>
      </c>
      <c r="CE293" s="518" t="str">
        <f>IF(AND(_E="B-737-800",'2024'!$K$4="FO",'2024'!$K$2=CE271),'2024DATA'!$L$24,"")</f>
        <v/>
      </c>
      <c r="CF293" s="518" t="str">
        <f>IF(AND(_E="B-737-800",'2024'!$K$4="FO",'2024'!$K$2=CF271),'2024DATA'!$M$24,"")</f>
        <v/>
      </c>
      <c r="CG293" s="520" t="str">
        <f>IF(AND(_E="B-737-800",'2024'!$K$4="FO",'2024'!$K$2=CG271),'2024DATA'!$N$24,"")</f>
        <v/>
      </c>
      <c r="CH293" s="940"/>
      <c r="CI293" s="13" t="s">
        <v>62</v>
      </c>
      <c r="CJ293" s="518" t="str">
        <f>IF(AND(_F="B-737-800",'2024'!$K$4="FO",'2024'!$K$2=CJ271),'2024DATA'!$C$24,"")</f>
        <v/>
      </c>
      <c r="CK293" s="518" t="str">
        <f>IF(AND(_F="B-737-800",'2024'!$K$4="FO",'2024'!$K$2=CK271),'2024DATA'!$D$24,"")</f>
        <v/>
      </c>
      <c r="CL293" s="518" t="str">
        <f>IF(AND(_F="B-737-800",'2024'!$K$4="FO",'2024'!$K$2=CL271),'2024DATA'!$E$24,"")</f>
        <v/>
      </c>
      <c r="CM293" s="518" t="str">
        <f>IF(AND(_F="B-737-800",'2024'!$K$4="FO",'2024'!$K$2=CM271),'2024DATA'!$F$24,"")</f>
        <v/>
      </c>
      <c r="CN293" s="518" t="str">
        <f>IF(AND(_F="B-737-800",'2024'!$K$4="FO",'2024'!$K$2=CN271),'2024DATA'!$G$24,"")</f>
        <v/>
      </c>
      <c r="CO293" s="518" t="str">
        <f>IF(AND(_F="B-737-800",'2024'!$K$4="FO",'2024'!$K$2=CO271),'2024DATA'!$H$24,"")</f>
        <v/>
      </c>
      <c r="CP293" s="518" t="str">
        <f>IF(AND(_F="B-737-800",'2024'!$K$4="FO",'2024'!$K$2=CP271),'2024DATA'!$I$24,"")</f>
        <v/>
      </c>
      <c r="CQ293" s="518" t="str">
        <f>IF(AND(_F="B-737-800",'2024'!$K$4="FO",'2024'!$K$2=CQ271),'2024DATA'!$J$24,"")</f>
        <v/>
      </c>
      <c r="CR293" s="518" t="str">
        <f>IF(AND(_F="B-737-800",'2024'!$K$4="FO",'2024'!$K$2=CR271),'2024DATA'!$K$24,"")</f>
        <v/>
      </c>
      <c r="CS293" s="518" t="str">
        <f>IF(AND(_F="B-737-800",'2024'!$K$4="FO",'2024'!$K$2=CS271),'2024DATA'!$L$24,"")</f>
        <v/>
      </c>
      <c r="CT293" s="518" t="str">
        <f>IF(AND(_F="B-737-800",'2024'!$K$4="FO",'2024'!$K$2=CT271),'2024DATA'!$M$24,"")</f>
        <v/>
      </c>
      <c r="CU293" s="520" t="str">
        <f>IF(AND(_F="B-737-800",'2024'!$K$4="FO",'2024'!$K$2=CU271),'2024DATA'!$N$24,"")</f>
        <v/>
      </c>
    </row>
    <row r="294" spans="16:99" x14ac:dyDescent="0.25">
      <c r="P294" s="940" t="s">
        <v>46</v>
      </c>
      <c r="Q294" s="13" t="s">
        <v>61</v>
      </c>
      <c r="R294" s="518" t="str">
        <f>IF(AND(_A="A-321N",'2024'!$K$4="CA",'2024'!$K$2=R271),'2024DATA'!$C$25,"")</f>
        <v/>
      </c>
      <c r="S294" s="518" t="str">
        <f>IF(AND(_A="A-321N",'2024'!$K$4="CA",'2024'!$K$2=S271),'2024DATA'!$D$25,"")</f>
        <v/>
      </c>
      <c r="T294" s="518" t="str">
        <f>IF(AND(_A="A-321N",'2024'!$K$4="CA",'2024'!$K$2=T271),'2024DATA'!$E$25,"")</f>
        <v/>
      </c>
      <c r="U294" s="518" t="str">
        <f>IF(AND(_A="A-321N",'2024'!$K$4="CA",'2024'!$K$2=U271),'2024DATA'!$F$25,"")</f>
        <v/>
      </c>
      <c r="V294" s="518" t="str">
        <f>IF(AND(_A="A-321N",'2024'!$K$4="CA",'2024'!$K$2=V271),'2024DATA'!$G$25,"")</f>
        <v/>
      </c>
      <c r="W294" s="518" t="str">
        <f>IF(AND(_A="A-321N",'2024'!$K$4="CA",'2024'!$K$2=W271),'2024DATA'!$H$25,"")</f>
        <v/>
      </c>
      <c r="X294" s="518" t="str">
        <f>IF(AND(_A="A-321N",'2024'!$K$4="CA",'2024'!$K$2=X271),'2024DATA'!$I$25,"")</f>
        <v/>
      </c>
      <c r="Y294" s="518" t="str">
        <f>IF(AND(_A="A-321N",'2024'!$K$4="CA",'2024'!$K$2=Y271),'2024DATA'!$J$25,"")</f>
        <v/>
      </c>
      <c r="Z294" s="518" t="str">
        <f>IF(AND(_A="A-321N",'2024'!$K$4="CA",'2024'!$K$2=Z271),'2024DATA'!$K$25,"")</f>
        <v/>
      </c>
      <c r="AA294" s="518" t="str">
        <f>IF(AND(_A="A-321N",'2024'!$K$4="CA",'2024'!$K$2=AA271),'2024DATA'!$L$25,"")</f>
        <v/>
      </c>
      <c r="AB294" s="518" t="str">
        <f>IF(AND(_A="A-321N",'2024'!$K$4="CA",'2024'!$K$2=AB271),'2024DATA'!$M$25,"")</f>
        <v/>
      </c>
      <c r="AC294" s="520" t="str">
        <f>IF(AND(_A="A-321N",'2024'!$K$4="CA",'2024'!$K$2=AC271),'2024DATA'!$N$25,"")</f>
        <v/>
      </c>
      <c r="AD294" s="940" t="s">
        <v>46</v>
      </c>
      <c r="AE294" s="13" t="s">
        <v>61</v>
      </c>
      <c r="AF294" s="518" t="str">
        <f>IF(AND(_B="A-321N",'2024'!$K$4="CA",'2024'!$K$2=AF271),'2024DATA'!$C$25,"")</f>
        <v/>
      </c>
      <c r="AG294" s="518" t="str">
        <f>IF(AND(_B="A-321N",'2024'!$K$4="CA",'2024'!$K$2=AG271),'2024DATA'!$D$25,"")</f>
        <v/>
      </c>
      <c r="AH294" s="518" t="str">
        <f>IF(AND(_B="A-321N",'2024'!$K$4="CA",'2024'!$K$2=AH271),'2024DATA'!$E$25,"")</f>
        <v/>
      </c>
      <c r="AI294" s="518" t="str">
        <f>IF(AND(_B="A-321N",'2024'!$K$4="CA",'2024'!$K$2=AI271),'2024DATA'!$F$25,"")</f>
        <v/>
      </c>
      <c r="AJ294" s="518" t="str">
        <f>IF(AND(_B="A-321N",'2024'!$K$4="CA",'2024'!$K$2=AJ271),'2024DATA'!$G$25,"")</f>
        <v/>
      </c>
      <c r="AK294" s="518" t="str">
        <f>IF(AND(_B="A-321N",'2024'!$K$4="CA",'2024'!$K$2=AK271),'2024DATA'!$H$25,"")</f>
        <v/>
      </c>
      <c r="AL294" s="518" t="str">
        <f>IF(AND(_B="A-321N",'2024'!$K$4="CA",'2024'!$K$2=AL271),'2024DATA'!$I$25,"")</f>
        <v/>
      </c>
      <c r="AM294" s="518" t="str">
        <f>IF(AND(_B="A-321N",'2024'!$K$4="CA",'2024'!$K$2=AM271),'2024DATA'!$J$25,"")</f>
        <v/>
      </c>
      <c r="AN294" s="518" t="str">
        <f>IF(AND(_B="A-321N",'2024'!$K$4="CA",'2024'!$K$2=AN271),'2024DATA'!$K$25,"")</f>
        <v/>
      </c>
      <c r="AO294" s="518" t="str">
        <f>IF(AND(_B="A-321N",'2024'!$K$4="CA",'2024'!$K$2=AO271),'2024DATA'!$L$25,"")</f>
        <v/>
      </c>
      <c r="AP294" s="518" t="str">
        <f>IF(AND(_B="A-321N",'2024'!$K$4="CA",'2024'!$K$2=AP271),'2024DATA'!$M$25,"")</f>
        <v/>
      </c>
      <c r="AQ294" s="520" t="str">
        <f>IF(AND(_B="A-321N",'2024'!$K$4="CA",'2024'!$K$2=AQ271),'2024DATA'!$N$25,"")</f>
        <v/>
      </c>
      <c r="AR294" s="940" t="s">
        <v>46</v>
      </c>
      <c r="AS294" s="13" t="s">
        <v>61</v>
      </c>
      <c r="AT294" s="518" t="str">
        <f>IF(AND(_C="A-321N",'2024'!$K$4="CA",'2024'!$K$2=AT271),'2024DATA'!$C$25,"")</f>
        <v/>
      </c>
      <c r="AU294" s="518" t="str">
        <f>IF(AND(_C="A-321N",'2024'!$K$4="CA",'2024'!$K$2=AU271),'2024DATA'!$D$25,"")</f>
        <v/>
      </c>
      <c r="AV294" s="518" t="str">
        <f>IF(AND(_C="A-321N",'2024'!$K$4="CA",'2024'!$K$2=AV271),'2024DATA'!$E$25,"")</f>
        <v/>
      </c>
      <c r="AW294" s="518" t="str">
        <f>IF(AND(_C="A-321N",'2024'!$K$4="CA",'2024'!$K$2=AW271),'2024DATA'!$F$25,"")</f>
        <v/>
      </c>
      <c r="AX294" s="518" t="str">
        <f>IF(AND(_C="A-321N",'2024'!$K$4="CA",'2024'!$K$2=AX271),'2024DATA'!$G$25,"")</f>
        <v/>
      </c>
      <c r="AY294" s="518" t="str">
        <f>IF(AND(_C="A-321N",'2024'!$K$4="CA",'2024'!$K$2=AY271),'2024DATA'!$H$25,"")</f>
        <v/>
      </c>
      <c r="AZ294" s="518" t="str">
        <f>IF(AND(_C="A-321N",'2024'!$K$4="CA",'2024'!$K$2=AZ271),'2024DATA'!$I$25,"")</f>
        <v/>
      </c>
      <c r="BA294" s="518" t="str">
        <f>IF(AND(_C="A-321N",'2024'!$K$4="CA",'2024'!$K$2=BA271),'2024DATA'!$J$25,"")</f>
        <v/>
      </c>
      <c r="BB294" s="518" t="str">
        <f>IF(AND(_C="A-321N",'2024'!$K$4="CA",'2024'!$K$2=BB271),'2024DATA'!$K$25,"")</f>
        <v/>
      </c>
      <c r="BC294" s="518" t="str">
        <f>IF(AND(_C="A-321N",'2024'!$K$4="CA",'2024'!$K$2=BC271),'2024DATA'!$L$25,"")</f>
        <v/>
      </c>
      <c r="BD294" s="518" t="str">
        <f>IF(AND(_C="A-321N",'2024'!$K$4="CA",'2024'!$K$2=BD271),'2024DATA'!$M$25,"")</f>
        <v/>
      </c>
      <c r="BE294" s="520" t="str">
        <f>IF(AND(_C="A-321N",'2024'!$K$4="CA",'2024'!$K$2=BE271),'2024DATA'!$N$25,"")</f>
        <v/>
      </c>
      <c r="BF294" s="940" t="s">
        <v>46</v>
      </c>
      <c r="BG294" s="13" t="s">
        <v>61</v>
      </c>
      <c r="BH294" s="518" t="str">
        <f>IF(AND(_D="A-321N",'2024'!$K$4="CA",'2024'!$K$2=BH271),'2024DATA'!$C$25,"")</f>
        <v/>
      </c>
      <c r="BI294" s="518" t="str">
        <f>IF(AND(_D="A-321N",'2024'!$K$4="CA",'2024'!$K$2=BI271),'2024DATA'!$D$25,"")</f>
        <v/>
      </c>
      <c r="BJ294" s="518" t="str">
        <f>IF(AND(_D="A-321N",'2024'!$K$4="CA",'2024'!$K$2=BJ271),'2024DATA'!$E$25,"")</f>
        <v/>
      </c>
      <c r="BK294" s="518" t="str">
        <f>IF(AND(_D="A-321N",'2024'!$K$4="CA",'2024'!$K$2=BK271),'2024DATA'!$F$25,"")</f>
        <v/>
      </c>
      <c r="BL294" s="518" t="str">
        <f>IF(AND(_D="A-321N",'2024'!$K$4="CA",'2024'!$K$2=BL271),'2024DATA'!$G$25,"")</f>
        <v/>
      </c>
      <c r="BM294" s="518" t="str">
        <f>IF(AND(_D="A-321N",'2024'!$K$4="CA",'2024'!$K$2=BM271),'2024DATA'!$H$25,"")</f>
        <v/>
      </c>
      <c r="BN294" s="518" t="str">
        <f>IF(AND(_D="A-321N",'2024'!$K$4="CA",'2024'!$K$2=BN271),'2024DATA'!$I$25,"")</f>
        <v/>
      </c>
      <c r="BO294" s="518" t="str">
        <f>IF(AND(_D="A-321N",'2024'!$K$4="CA",'2024'!$K$2=BO271),'2024DATA'!$J$25,"")</f>
        <v/>
      </c>
      <c r="BP294" s="518" t="str">
        <f>IF(AND(_D="A-321N",'2024'!$K$4="CA",'2024'!$K$2=BP271),'2024DATA'!$K$25,"")</f>
        <v/>
      </c>
      <c r="BQ294" s="518" t="str">
        <f>IF(AND(_D="A-321N",'2024'!$K$4="CA",'2024'!$K$2=BQ271),'2024DATA'!$L$25,"")</f>
        <v/>
      </c>
      <c r="BR294" s="518" t="str">
        <f>IF(AND(_D="A-321N",'2024'!$K$4="CA",'2024'!$K$2=BR271),'2024DATA'!$M$25,"")</f>
        <v/>
      </c>
      <c r="BS294" s="520" t="str">
        <f>IF(AND(_D="A-321N",'2024'!$K$4="CA",'2024'!$K$2=BS271),'2024DATA'!$N$25,"")</f>
        <v/>
      </c>
      <c r="BT294" s="940" t="s">
        <v>46</v>
      </c>
      <c r="BU294" s="13" t="s">
        <v>61</v>
      </c>
      <c r="BV294" s="518" t="str">
        <f>IF(AND(_E="A-321N",'2024'!$K$4="CA",'2024'!$K$2=BV271),'2024DATA'!$C$25,"")</f>
        <v/>
      </c>
      <c r="BW294" s="518" t="str">
        <f>IF(AND(_E="A-321N",'2024'!$K$4="CA",'2024'!$K$2=BW271),'2024DATA'!$D$25,"")</f>
        <v/>
      </c>
      <c r="BX294" s="518" t="str">
        <f>IF(AND(_E="A-321N",'2024'!$K$4="CA",'2024'!$K$2=BX271),'2024DATA'!$E$25,"")</f>
        <v/>
      </c>
      <c r="BY294" s="518" t="str">
        <f>IF(AND(_E="A-321N",'2024'!$K$4="CA",'2024'!$K$2=BY271),'2024DATA'!$F$25,"")</f>
        <v/>
      </c>
      <c r="BZ294" s="518" t="str">
        <f>IF(AND(_E="A-321N",'2024'!$K$4="CA",'2024'!$K$2=BZ271),'2024DATA'!$G$25,"")</f>
        <v/>
      </c>
      <c r="CA294" s="518" t="str">
        <f>IF(AND(_E="A-321N",'2024'!$K$4="CA",'2024'!$K$2=CA271),'2024DATA'!$H$25,"")</f>
        <v/>
      </c>
      <c r="CB294" s="518" t="str">
        <f>IF(AND(_E="A-321N",'2024'!$K$4="CA",'2024'!$K$2=CB271),'2024DATA'!$I$25,"")</f>
        <v/>
      </c>
      <c r="CC294" s="518" t="str">
        <f>IF(AND(_E="A-321N",'2024'!$K$4="CA",'2024'!$K$2=CC271),'2024DATA'!$J$25,"")</f>
        <v/>
      </c>
      <c r="CD294" s="518" t="str">
        <f>IF(AND(_E="A-321N",'2024'!$K$4="CA",'2024'!$K$2=CD271),'2024DATA'!$K$25,"")</f>
        <v/>
      </c>
      <c r="CE294" s="518" t="str">
        <f>IF(AND(_E="A-321N",'2024'!$K$4="CA",'2024'!$K$2=CE271),'2024DATA'!$L$25,"")</f>
        <v/>
      </c>
      <c r="CF294" s="518" t="str">
        <f>IF(AND(_E="A-321N",'2024'!$K$4="CA",'2024'!$K$2=CF271),'2024DATA'!$M$25,"")</f>
        <v/>
      </c>
      <c r="CG294" s="520" t="str">
        <f>IF(AND(_E="A-321N",'2024'!$K$4="CA",'2024'!$K$2=CG271),'2024DATA'!$N$25,"")</f>
        <v/>
      </c>
      <c r="CH294" s="940" t="s">
        <v>46</v>
      </c>
      <c r="CI294" s="13" t="s">
        <v>61</v>
      </c>
      <c r="CJ294" s="518" t="str">
        <f>IF(AND(_F="A-321N",'2024'!$K$4="CA",'2024'!$K$2=CJ271),'2024DATA'!$C$25,"")</f>
        <v/>
      </c>
      <c r="CK294" s="518" t="str">
        <f>IF(AND(_F="A-321N",'2024'!$K$4="CA",'2024'!$K$2=CK271),'2024DATA'!$D$25,"")</f>
        <v/>
      </c>
      <c r="CL294" s="518" t="str">
        <f>IF(AND(_F="A-321N",'2024'!$K$4="CA",'2024'!$K$2=CL271),'2024DATA'!$E$25,"")</f>
        <v/>
      </c>
      <c r="CM294" s="518" t="str">
        <f>IF(AND(_F="A-321N",'2024'!$K$4="CA",'2024'!$K$2=CM271),'2024DATA'!$F$25,"")</f>
        <v/>
      </c>
      <c r="CN294" s="518" t="str">
        <f>IF(AND(_F="A-321N",'2024'!$K$4="CA",'2024'!$K$2=CN271),'2024DATA'!$G$25,"")</f>
        <v/>
      </c>
      <c r="CO294" s="518" t="str">
        <f>IF(AND(_F="A-321N",'2024'!$K$4="CA",'2024'!$K$2=CO271),'2024DATA'!$H$25,"")</f>
        <v/>
      </c>
      <c r="CP294" s="518" t="str">
        <f>IF(AND(_F="A-321N",'2024'!$K$4="CA",'2024'!$K$2=CP271),'2024DATA'!$I$25,"")</f>
        <v/>
      </c>
      <c r="CQ294" s="518" t="str">
        <f>IF(AND(_F="A-321N",'2024'!$K$4="CA",'2024'!$K$2=CQ271),'2024DATA'!$J$25,"")</f>
        <v/>
      </c>
      <c r="CR294" s="518" t="str">
        <f>IF(AND(_F="A-321N",'2024'!$K$4="CA",'2024'!$K$2=CR271),'2024DATA'!$K$25,"")</f>
        <v/>
      </c>
      <c r="CS294" s="518" t="str">
        <f>IF(AND(_F="A-321N",'2024'!$K$4="CA",'2024'!$K$2=CS271),'2024DATA'!$L$25,"")</f>
        <v/>
      </c>
      <c r="CT294" s="518" t="str">
        <f>IF(AND(_F="A-321N",'2024'!$K$4="CA",'2024'!$K$2=CT271),'2024DATA'!$M$25,"")</f>
        <v/>
      </c>
      <c r="CU294" s="520" t="str">
        <f>IF(AND(_F="A-321N",'2024'!$K$4="CA",'2024'!$K$2=CU271),'2024DATA'!$N$25,"")</f>
        <v/>
      </c>
    </row>
    <row r="295" spans="16:99" x14ac:dyDescent="0.25">
      <c r="P295" s="940"/>
      <c r="Q295" s="13" t="s">
        <v>62</v>
      </c>
      <c r="R295" s="518" t="str">
        <f>IF(AND(_A="A-321N",'2024'!$K$4="FO",'2024'!$K$2=R271),'2024DATA'!$C$26,"")</f>
        <v/>
      </c>
      <c r="S295" s="518" t="str">
        <f>IF(AND(_A="A-321N",'2024'!$K$4="FO",'2024'!$K$2=S271),'2024DATA'!$D$26,"")</f>
        <v/>
      </c>
      <c r="T295" s="518" t="str">
        <f>IF(AND(_A="A-321N",'2024'!$K$4="FO",'2024'!$K$2=T271),'2024DATA'!$E$26,"")</f>
        <v/>
      </c>
      <c r="U295" s="518" t="str">
        <f>IF(AND(_A="A-321N",'2024'!$K$4="FO",'2024'!$K$2=U271),'2024DATA'!$F$26,"")</f>
        <v/>
      </c>
      <c r="V295" s="518" t="str">
        <f>IF(AND(_A="A-321N",'2024'!$K$4="FO",'2024'!$K$2=V271),'2024DATA'!$G$26,"")</f>
        <v/>
      </c>
      <c r="W295" s="518" t="str">
        <f>IF(AND(_A="A-321N",'2024'!$K$4="FO",'2024'!$K$2=W271),'2024DATA'!$H$26,"")</f>
        <v/>
      </c>
      <c r="X295" s="518" t="str">
        <f>IF(AND(_A="A-321N",'2024'!$K$4="FO",'2024'!$K$2=X271),'2024DATA'!$I$26,"")</f>
        <v/>
      </c>
      <c r="Y295" s="518" t="str">
        <f>IF(AND(_A="A-321N",'2024'!$K$4="FO",'2024'!$K$2=Y271),'2024DATA'!$J$26,"")</f>
        <v/>
      </c>
      <c r="Z295" s="518" t="str">
        <f>IF(AND(_A="A-321N",'2024'!$K$4="FO",'2024'!$K$2=Z271),'2024DATA'!$K$26,"")</f>
        <v/>
      </c>
      <c r="AA295" s="518" t="str">
        <f>IF(AND(_A="A-321N",'2024'!$K$4="FO",'2024'!$K$2=AA271),'2024DATA'!$L$26,"")</f>
        <v/>
      </c>
      <c r="AB295" s="518" t="str">
        <f>IF(AND(_A="A-321N",'2024'!$K$4="FO",'2024'!$K$2=AB271),'2024DATA'!$M$26,"")</f>
        <v/>
      </c>
      <c r="AC295" s="520" t="str">
        <f>IF(AND(_A="A-321N",'2024'!$K$4="FO",'2024'!$K$2=AC271),'2024DATA'!$N$26,"")</f>
        <v/>
      </c>
      <c r="AD295" s="940"/>
      <c r="AE295" s="13" t="s">
        <v>62</v>
      </c>
      <c r="AF295" s="518" t="str">
        <f>IF(AND(_B="A-321N",'2024'!$K$4="FO",'2024'!$K$2=AF271),'2024DATA'!$C$26,"")</f>
        <v/>
      </c>
      <c r="AG295" s="518" t="str">
        <f>IF(AND(_B="A-321N",'2024'!$K$4="FO",'2024'!$K$2=AG271),'2024DATA'!$D$26,"")</f>
        <v/>
      </c>
      <c r="AH295" s="518" t="str">
        <f>IF(AND(_B="A-321N",'2024'!$K$4="FO",'2024'!$K$2=AH271),'2024DATA'!$E$26,"")</f>
        <v/>
      </c>
      <c r="AI295" s="518" t="str">
        <f>IF(AND(_B="A-321N",'2024'!$K$4="FO",'2024'!$K$2=AI271),'2024DATA'!$F$26,"")</f>
        <v/>
      </c>
      <c r="AJ295" s="518" t="str">
        <f>IF(AND(_B="A-321N",'2024'!$K$4="FO",'2024'!$K$2=AJ271),'2024DATA'!$G$26,"")</f>
        <v/>
      </c>
      <c r="AK295" s="518" t="str">
        <f>IF(AND(_B="A-321N",'2024'!$K$4="FO",'2024'!$K$2=AK271),'2024DATA'!$H$26,"")</f>
        <v/>
      </c>
      <c r="AL295" s="518" t="str">
        <f>IF(AND(_B="A-321N",'2024'!$K$4="FO",'2024'!$K$2=AL271),'2024DATA'!$I$26,"")</f>
        <v/>
      </c>
      <c r="AM295" s="518" t="str">
        <f>IF(AND(_B="A-321N",'2024'!$K$4="FO",'2024'!$K$2=AM271),'2024DATA'!$J$26,"")</f>
        <v/>
      </c>
      <c r="AN295" s="518" t="str">
        <f>IF(AND(_B="A-321N",'2024'!$K$4="FO",'2024'!$K$2=AN271),'2024DATA'!$K$26,"")</f>
        <v/>
      </c>
      <c r="AO295" s="518" t="str">
        <f>IF(AND(_B="A-321N",'2024'!$K$4="FO",'2024'!$K$2=AO271),'2024DATA'!$L$26,"")</f>
        <v/>
      </c>
      <c r="AP295" s="518" t="str">
        <f>IF(AND(_B="A-321N",'2024'!$K$4="FO",'2024'!$K$2=AP271),'2024DATA'!$M$26,"")</f>
        <v/>
      </c>
      <c r="AQ295" s="520" t="str">
        <f>IF(AND(_B="A-321N",'2024'!$K$4="FO",'2024'!$K$2=AQ271),'2024DATA'!$N$26,"")</f>
        <v/>
      </c>
      <c r="AR295" s="940"/>
      <c r="AS295" s="13" t="s">
        <v>62</v>
      </c>
      <c r="AT295" s="518" t="str">
        <f>IF(AND(_C="A-321N",'2024'!$K$4="FO",'2024'!$K$2=AT271),'2024DATA'!$C$26,"")</f>
        <v/>
      </c>
      <c r="AU295" s="518" t="str">
        <f>IF(AND(_C="A-321N",'2024'!$K$4="FO",'2024'!$K$2=AU271),'2024DATA'!$D$26,"")</f>
        <v/>
      </c>
      <c r="AV295" s="518" t="str">
        <f>IF(AND(_C="A-321N",'2024'!$K$4="FO",'2024'!$K$2=AV271),'2024DATA'!$E$26,"")</f>
        <v/>
      </c>
      <c r="AW295" s="518" t="str">
        <f>IF(AND(_C="A-321N",'2024'!$K$4="FO",'2024'!$K$2=AW271),'2024DATA'!$F$26,"")</f>
        <v/>
      </c>
      <c r="AX295" s="518" t="str">
        <f>IF(AND(_C="A-321N",'2024'!$K$4="FO",'2024'!$K$2=AX271),'2024DATA'!$G$26,"")</f>
        <v/>
      </c>
      <c r="AY295" s="518" t="str">
        <f>IF(AND(_C="A-321N",'2024'!$K$4="FO",'2024'!$K$2=AY271),'2024DATA'!$H$26,"")</f>
        <v/>
      </c>
      <c r="AZ295" s="518" t="str">
        <f>IF(AND(_C="A-321N",'2024'!$K$4="FO",'2024'!$K$2=AZ271),'2024DATA'!$I$26,"")</f>
        <v/>
      </c>
      <c r="BA295" s="518" t="str">
        <f>IF(AND(_C="A-321N",'2024'!$K$4="FO",'2024'!$K$2=BA271),'2024DATA'!$J$26,"")</f>
        <v/>
      </c>
      <c r="BB295" s="518" t="str">
        <f>IF(AND(_C="A-321N",'2024'!$K$4="FO",'2024'!$K$2=BB271),'2024DATA'!$K$26,"")</f>
        <v/>
      </c>
      <c r="BC295" s="518" t="str">
        <f>IF(AND(_C="A-321N",'2024'!$K$4="FO",'2024'!$K$2=BC271),'2024DATA'!$L$26,"")</f>
        <v/>
      </c>
      <c r="BD295" s="518" t="str">
        <f>IF(AND(_C="A-321N",'2024'!$K$4="FO",'2024'!$K$2=BD271),'2024DATA'!$M$26,"")</f>
        <v/>
      </c>
      <c r="BE295" s="520" t="str">
        <f>IF(AND(_C="A-321N",'2024'!$K$4="FO",'2024'!$K$2=BE271),'2024DATA'!$N$26,"")</f>
        <v/>
      </c>
      <c r="BF295" s="940"/>
      <c r="BG295" s="13" t="s">
        <v>62</v>
      </c>
      <c r="BH295" s="518" t="str">
        <f>IF(AND(_D="A-321N",'2024'!$K$4="FO",'2024'!$K$2=BH271),'2024DATA'!$C$26,"")</f>
        <v/>
      </c>
      <c r="BI295" s="518" t="str">
        <f>IF(AND(_D="A-321N",'2024'!$K$4="FO",'2024'!$K$2=BI271),'2024DATA'!$D$26,"")</f>
        <v/>
      </c>
      <c r="BJ295" s="518" t="str">
        <f>IF(AND(_D="A-321N",'2024'!$K$4="FO",'2024'!$K$2=BJ271),'2024DATA'!$E$26,"")</f>
        <v/>
      </c>
      <c r="BK295" s="518" t="str">
        <f>IF(AND(_D="A-321N",'2024'!$K$4="FO",'2024'!$K$2=BK271),'2024DATA'!$F$26,"")</f>
        <v/>
      </c>
      <c r="BL295" s="518" t="str">
        <f>IF(AND(_D="A-321N",'2024'!$K$4="FO",'2024'!$K$2=BL271),'2024DATA'!$G$26,"")</f>
        <v/>
      </c>
      <c r="BM295" s="518" t="str">
        <f>IF(AND(_D="A-321N",'2024'!$K$4="FO",'2024'!$K$2=BM271),'2024DATA'!$H$26,"")</f>
        <v/>
      </c>
      <c r="BN295" s="518" t="str">
        <f>IF(AND(_D="A-321N",'2024'!$K$4="FO",'2024'!$K$2=BN271),'2024DATA'!$I$26,"")</f>
        <v/>
      </c>
      <c r="BO295" s="518" t="str">
        <f>IF(AND(_D="A-321N",'2024'!$K$4="FO",'2024'!$K$2=BO271),'2024DATA'!$J$26,"")</f>
        <v/>
      </c>
      <c r="BP295" s="518" t="str">
        <f>IF(AND(_D="A-321N",'2024'!$K$4="FO",'2024'!$K$2=BP271),'2024DATA'!$K$26,"")</f>
        <v/>
      </c>
      <c r="BQ295" s="518" t="str">
        <f>IF(AND(_D="A-321N",'2024'!$K$4="FO",'2024'!$K$2=BQ271),'2024DATA'!$L$26,"")</f>
        <v/>
      </c>
      <c r="BR295" s="518" t="str">
        <f>IF(AND(_D="A-321N",'2024'!$K$4="FO",'2024'!$K$2=BR271),'2024DATA'!$M$26,"")</f>
        <v/>
      </c>
      <c r="BS295" s="520" t="str">
        <f>IF(AND(_D="A-321N",'2024'!$K$4="FO",'2024'!$K$2=BS271),'2024DATA'!$N$26,"")</f>
        <v/>
      </c>
      <c r="BT295" s="940"/>
      <c r="BU295" s="13" t="s">
        <v>62</v>
      </c>
      <c r="BV295" s="518" t="str">
        <f>IF(AND(_E="A-321N",'2024'!$K$4="FO",'2024'!$K$2=BV271),'2024DATA'!$C$26,"")</f>
        <v/>
      </c>
      <c r="BW295" s="518" t="str">
        <f>IF(AND(_E="A-321N",'2024'!$K$4="FO",'2024'!$K$2=BW271),'2024DATA'!$D$26,"")</f>
        <v/>
      </c>
      <c r="BX295" s="518" t="str">
        <f>IF(AND(_E="A-321N",'2024'!$K$4="FO",'2024'!$K$2=BX271),'2024DATA'!$E$26,"")</f>
        <v/>
      </c>
      <c r="BY295" s="518" t="str">
        <f>IF(AND(_E="A-321N",'2024'!$K$4="FO",'2024'!$K$2=BY271),'2024DATA'!$F$26,"")</f>
        <v/>
      </c>
      <c r="BZ295" s="518" t="str">
        <f>IF(AND(_E="A-321N",'2024'!$K$4="FO",'2024'!$K$2=BZ271),'2024DATA'!$G$26,"")</f>
        <v/>
      </c>
      <c r="CA295" s="518" t="str">
        <f>IF(AND(_E="A-321N",'2024'!$K$4="FO",'2024'!$K$2=CA271),'2024DATA'!$H$26,"")</f>
        <v/>
      </c>
      <c r="CB295" s="518" t="str">
        <f>IF(AND(_E="A-321N",'2024'!$K$4="FO",'2024'!$K$2=CB271),'2024DATA'!$I$26,"")</f>
        <v/>
      </c>
      <c r="CC295" s="518" t="str">
        <f>IF(AND(_E="A-321N",'2024'!$K$4="FO",'2024'!$K$2=CC271),'2024DATA'!$J$26,"")</f>
        <v/>
      </c>
      <c r="CD295" s="518" t="str">
        <f>IF(AND(_E="A-321N",'2024'!$K$4="FO",'2024'!$K$2=CD271),'2024DATA'!$K$26,"")</f>
        <v/>
      </c>
      <c r="CE295" s="518" t="str">
        <f>IF(AND(_E="A-321N",'2024'!$K$4="FO",'2024'!$K$2=CE271),'2024DATA'!$L$26,"")</f>
        <v/>
      </c>
      <c r="CF295" s="518" t="str">
        <f>IF(AND(_E="A-321N",'2024'!$K$4="FO",'2024'!$K$2=CF271),'2024DATA'!$M$26,"")</f>
        <v/>
      </c>
      <c r="CG295" s="520" t="str">
        <f>IF(AND(_E="A-321N",'2024'!$K$4="FO",'2024'!$K$2=CG271),'2024DATA'!$N$26,"")</f>
        <v/>
      </c>
      <c r="CH295" s="940"/>
      <c r="CI295" s="13" t="s">
        <v>62</v>
      </c>
      <c r="CJ295" s="518" t="str">
        <f>IF(AND(_F="A-321N",'2024'!$K$4="FO",'2024'!$K$2=CJ271),'2024DATA'!$C$26,"")</f>
        <v/>
      </c>
      <c r="CK295" s="518" t="str">
        <f>IF(AND(_F="A-321N",'2024'!$K$4="FO",'2024'!$K$2=CK271),'2024DATA'!$D$26,"")</f>
        <v/>
      </c>
      <c r="CL295" s="518" t="str">
        <f>IF(AND(_F="A-321N",'2024'!$K$4="FO",'2024'!$K$2=CL271),'2024DATA'!$E$26,"")</f>
        <v/>
      </c>
      <c r="CM295" s="518" t="str">
        <f>IF(AND(_F="A-321N",'2024'!$K$4="FO",'2024'!$K$2=CM271),'2024DATA'!$F$26,"")</f>
        <v/>
      </c>
      <c r="CN295" s="518" t="str">
        <f>IF(AND(_F="A-321N",'2024'!$K$4="FO",'2024'!$K$2=CN271),'2024DATA'!$G$26,"")</f>
        <v/>
      </c>
      <c r="CO295" s="518" t="str">
        <f>IF(AND(_F="A-321N",'2024'!$K$4="FO",'2024'!$K$2=CO271),'2024DATA'!$H$26,"")</f>
        <v/>
      </c>
      <c r="CP295" s="518" t="str">
        <f>IF(AND(_F="A-321N",'2024'!$K$4="FO",'2024'!$K$2=CP271),'2024DATA'!$I$26,"")</f>
        <v/>
      </c>
      <c r="CQ295" s="518" t="str">
        <f>IF(AND(_F="A-321N",'2024'!$K$4="FO",'2024'!$K$2=CQ271),'2024DATA'!$J$26,"")</f>
        <v/>
      </c>
      <c r="CR295" s="518" t="str">
        <f>IF(AND(_F="A-321N",'2024'!$K$4="FO",'2024'!$K$2=CR271),'2024DATA'!$K$26,"")</f>
        <v/>
      </c>
      <c r="CS295" s="518" t="str">
        <f>IF(AND(_F="A-321N",'2024'!$K$4="FO",'2024'!$K$2=CS271),'2024DATA'!$L$26,"")</f>
        <v/>
      </c>
      <c r="CT295" s="518" t="str">
        <f>IF(AND(_F="A-321N",'2024'!$K$4="FO",'2024'!$K$2=CT271),'2024DATA'!$M$26,"")</f>
        <v/>
      </c>
      <c r="CU295" s="520" t="str">
        <f>IF(AND(_F="A-321N",'2024'!$K$4="FO",'2024'!$K$2=CU271),'2024DATA'!$N$26,"")</f>
        <v/>
      </c>
    </row>
    <row r="296" spans="16:99" x14ac:dyDescent="0.25">
      <c r="P296" s="940" t="s">
        <v>48</v>
      </c>
      <c r="Q296" s="13" t="s">
        <v>61</v>
      </c>
      <c r="R296" s="518" t="str">
        <f>IF(AND(_A="A-321",'2024'!$K$4="CA",'2024'!$K$2=R271),'2024DATA'!$C$27,"")</f>
        <v/>
      </c>
      <c r="S296" s="518" t="str">
        <f>IF(AND(_A="A-321",'2024'!$K$4="CA",'2024'!$K$2=S271),'2024DATA'!$D$27,"")</f>
        <v/>
      </c>
      <c r="T296" s="518" t="str">
        <f>IF(AND(_A="A-321",'2024'!$K$4="CA",'2024'!$K$2=T271),'2024DATA'!$E$27,"")</f>
        <v/>
      </c>
      <c r="U296" s="518" t="str">
        <f>IF(AND(_A="A-321",'2024'!$K$4="CA",'2024'!$K$2=U271),'2024DATA'!$F$27,"")</f>
        <v/>
      </c>
      <c r="V296" s="518" t="str">
        <f>IF(AND(_A="A-321",'2024'!$K$4="CA",'2024'!$K$2=V271),'2024DATA'!$G$27,"")</f>
        <v/>
      </c>
      <c r="W296" s="518" t="str">
        <f>IF(AND(_A="A-321",'2024'!$K$4="CA",'2024'!$K$2=W271),'2024DATA'!$H$27,"")</f>
        <v/>
      </c>
      <c r="X296" s="518" t="str">
        <f>IF(AND(_A="A-321",'2024'!$K$4="CA",'2024'!$K$2=X271),'2024DATA'!$I$27,"")</f>
        <v/>
      </c>
      <c r="Y296" s="518" t="str">
        <f>IF(AND(_A="A-321",'2024'!$K$4="CA",'2024'!$K$2=Y271),'2024DATA'!$J$27,"")</f>
        <v/>
      </c>
      <c r="Z296" s="518" t="str">
        <f>IF(AND(_A="A-321",'2024'!$K$4="CA",'2024'!$K$2=Z271),'2024DATA'!$K$27,"")</f>
        <v/>
      </c>
      <c r="AA296" s="518" t="str">
        <f>IF(AND(_A="A-321",'2024'!$K$4="CA",'2024'!$K$2=AA271),'2024DATA'!$L$27,"")</f>
        <v/>
      </c>
      <c r="AB296" s="518" t="str">
        <f>IF(AND(_A="A-321",'2024'!$K$4="CA",'2024'!$K$2=AB271),'2024DATA'!$M$27,"")</f>
        <v/>
      </c>
      <c r="AC296" s="520" t="str">
        <f>IF(AND(_A="A-321",'2024'!$K$4="CA",'2024'!$K$2=AC271),'2024DATA'!$N$27,"")</f>
        <v/>
      </c>
      <c r="AD296" s="940" t="s">
        <v>48</v>
      </c>
      <c r="AE296" s="13" t="s">
        <v>61</v>
      </c>
      <c r="AF296" s="518" t="str">
        <f>IF(AND(_B="A-321",'2024'!$K$4="CA",'2024'!$K$2=AF271),'2024DATA'!$C$27,"")</f>
        <v/>
      </c>
      <c r="AG296" s="518" t="str">
        <f>IF(AND(_B="A-321",'2024'!$K$4="CA",'2024'!$K$2=AG271),'2024DATA'!$D$27,"")</f>
        <v/>
      </c>
      <c r="AH296" s="518" t="str">
        <f>IF(AND(_B="A-321",'2024'!$K$4="CA",'2024'!$K$2=AH271),'2024DATA'!$E$27,"")</f>
        <v/>
      </c>
      <c r="AI296" s="518" t="str">
        <f>IF(AND(_B="A-321",'2024'!$K$4="CA",'2024'!$K$2=AI271),'2024DATA'!$F$27,"")</f>
        <v/>
      </c>
      <c r="AJ296" s="518" t="str">
        <f>IF(AND(_B="A-321",'2024'!$K$4="CA",'2024'!$K$2=AJ271),'2024DATA'!$G$27,"")</f>
        <v/>
      </c>
      <c r="AK296" s="518" t="str">
        <f>IF(AND(_B="A-321",'2024'!$K$4="CA",'2024'!$K$2=AK271),'2024DATA'!$H$27,"")</f>
        <v/>
      </c>
      <c r="AL296" s="518" t="str">
        <f>IF(AND(_B="A-321",'2024'!$K$4="CA",'2024'!$K$2=AL271),'2024DATA'!$I$27,"")</f>
        <v/>
      </c>
      <c r="AM296" s="518" t="str">
        <f>IF(AND(_B="A-321",'2024'!$K$4="CA",'2024'!$K$2=AM271),'2024DATA'!$J$27,"")</f>
        <v/>
      </c>
      <c r="AN296" s="518" t="str">
        <f>IF(AND(_B="A-321",'2024'!$K$4="CA",'2024'!$K$2=AN271),'2024DATA'!$K$27,"")</f>
        <v/>
      </c>
      <c r="AO296" s="518" t="str">
        <f>IF(AND(_B="A-321",'2024'!$K$4="CA",'2024'!$K$2=AO271),'2024DATA'!$L$27,"")</f>
        <v/>
      </c>
      <c r="AP296" s="518" t="str">
        <f>IF(AND(_B="A-321",'2024'!$K$4="CA",'2024'!$K$2=AP271),'2024DATA'!$M$27,"")</f>
        <v/>
      </c>
      <c r="AQ296" s="520" t="str">
        <f>IF(AND(_B="A-321",'2024'!$K$4="CA",'2024'!$K$2=AQ271),'2024DATA'!$N$27,"")</f>
        <v/>
      </c>
      <c r="AR296" s="940" t="s">
        <v>48</v>
      </c>
      <c r="AS296" s="13" t="s">
        <v>61</v>
      </c>
      <c r="AT296" s="518" t="str">
        <f>IF(AND(_C="A-321",'2024'!$K$4="CA",'2024'!$K$2=AT271),'2024DATA'!$C$27,"")</f>
        <v/>
      </c>
      <c r="AU296" s="518" t="str">
        <f>IF(AND(_C="A-321",'2024'!$K$4="CA",'2024'!$K$2=AU271),'2024DATA'!$D$27,"")</f>
        <v/>
      </c>
      <c r="AV296" s="518" t="str">
        <f>IF(AND(_C="A-321",'2024'!$K$4="CA",'2024'!$K$2=AV271),'2024DATA'!$E$27,"")</f>
        <v/>
      </c>
      <c r="AW296" s="518" t="str">
        <f>IF(AND(_C="A-321",'2024'!$K$4="CA",'2024'!$K$2=AW271),'2024DATA'!$F$27,"")</f>
        <v/>
      </c>
      <c r="AX296" s="518" t="str">
        <f>IF(AND(_C="A-321",'2024'!$K$4="CA",'2024'!$K$2=AX271),'2024DATA'!$G$27,"")</f>
        <v/>
      </c>
      <c r="AY296" s="518" t="str">
        <f>IF(AND(_C="A-321",'2024'!$K$4="CA",'2024'!$K$2=AY271),'2024DATA'!$H$27,"")</f>
        <v/>
      </c>
      <c r="AZ296" s="518" t="str">
        <f>IF(AND(_C="A-321",'2024'!$K$4="CA",'2024'!$K$2=AZ271),'2024DATA'!$I$27,"")</f>
        <v/>
      </c>
      <c r="BA296" s="518" t="str">
        <f>IF(AND(_C="A-321",'2024'!$K$4="CA",'2024'!$K$2=BA271),'2024DATA'!$J$27,"")</f>
        <v/>
      </c>
      <c r="BB296" s="518" t="str">
        <f>IF(AND(_C="A-321",'2024'!$K$4="CA",'2024'!$K$2=BB271),'2024DATA'!$K$27,"")</f>
        <v/>
      </c>
      <c r="BC296" s="518" t="str">
        <f>IF(AND(_C="A-321",'2024'!$K$4="CA",'2024'!$K$2=BC271),'2024DATA'!$L$27,"")</f>
        <v/>
      </c>
      <c r="BD296" s="518" t="str">
        <f>IF(AND(_C="A-321",'2024'!$K$4="CA",'2024'!$K$2=BD271),'2024DATA'!$M$27,"")</f>
        <v/>
      </c>
      <c r="BE296" s="520" t="str">
        <f>IF(AND(_C="A-321",'2024'!$K$4="CA",'2024'!$K$2=BE271),'2024DATA'!$N$27,"")</f>
        <v/>
      </c>
      <c r="BF296" s="940" t="s">
        <v>48</v>
      </c>
      <c r="BG296" s="13" t="s">
        <v>61</v>
      </c>
      <c r="BH296" s="518" t="str">
        <f>IF(AND(_D="A-321",'2024'!$K$4="CA",'2024'!$K$2=BH271),'2024DATA'!$C$27,"")</f>
        <v/>
      </c>
      <c r="BI296" s="518" t="str">
        <f>IF(AND(_D="A-321",'2024'!$K$4="CA",'2024'!$K$2=BI271),'2024DATA'!$D$27,"")</f>
        <v/>
      </c>
      <c r="BJ296" s="518" t="str">
        <f>IF(AND(_D="A-321",'2024'!$K$4="CA",'2024'!$K$2=BJ271),'2024DATA'!$E$27,"")</f>
        <v/>
      </c>
      <c r="BK296" s="518" t="str">
        <f>IF(AND(_D="A-321",'2024'!$K$4="CA",'2024'!$K$2=BK271),'2024DATA'!$F$27,"")</f>
        <v/>
      </c>
      <c r="BL296" s="518" t="str">
        <f>IF(AND(_D="A-321",'2024'!$K$4="CA",'2024'!$K$2=BL271),'2024DATA'!$G$27,"")</f>
        <v/>
      </c>
      <c r="BM296" s="518" t="str">
        <f>IF(AND(_D="A-321",'2024'!$K$4="CA",'2024'!$K$2=BM271),'2024DATA'!$H$27,"")</f>
        <v/>
      </c>
      <c r="BN296" s="518" t="str">
        <f>IF(AND(_D="A-321",'2024'!$K$4="CA",'2024'!$K$2=BN271),'2024DATA'!$I$27,"")</f>
        <v/>
      </c>
      <c r="BO296" s="518" t="str">
        <f>IF(AND(_D="A-321",'2024'!$K$4="CA",'2024'!$K$2=BO271),'2024DATA'!$J$27,"")</f>
        <v/>
      </c>
      <c r="BP296" s="518" t="str">
        <f>IF(AND(_D="A-321",'2024'!$K$4="CA",'2024'!$K$2=BP271),'2024DATA'!$K$27,"")</f>
        <v/>
      </c>
      <c r="BQ296" s="518" t="str">
        <f>IF(AND(_D="A-321",'2024'!$K$4="CA",'2024'!$K$2=BQ271),'2024DATA'!$L$27,"")</f>
        <v/>
      </c>
      <c r="BR296" s="518" t="str">
        <f>IF(AND(_D="A-321",'2024'!$K$4="CA",'2024'!$K$2=BR271),'2024DATA'!$M$27,"")</f>
        <v/>
      </c>
      <c r="BS296" s="520" t="str">
        <f>IF(AND(_D="A-321",'2024'!$K$4="CA",'2024'!$K$2=BS271),'2024DATA'!$N$27,"")</f>
        <v/>
      </c>
      <c r="BT296" s="940" t="s">
        <v>48</v>
      </c>
      <c r="BU296" s="13" t="s">
        <v>61</v>
      </c>
      <c r="BV296" s="518" t="str">
        <f>IF(AND(_E="A-321",'2024'!$K$4="CA",'2024'!$K$2=BV271),'2024DATA'!$C$27,"")</f>
        <v/>
      </c>
      <c r="BW296" s="518" t="str">
        <f>IF(AND(_E="A-321",'2024'!$K$4="CA",'2024'!$K$2=BW271),'2024DATA'!$D$27,"")</f>
        <v/>
      </c>
      <c r="BX296" s="518" t="str">
        <f>IF(AND(_E="A-321",'2024'!$K$4="CA",'2024'!$K$2=BX271),'2024DATA'!$E$27,"")</f>
        <v/>
      </c>
      <c r="BY296" s="518" t="str">
        <f>IF(AND(_E="A-321",'2024'!$K$4="CA",'2024'!$K$2=BY271),'2024DATA'!$F$27,"")</f>
        <v/>
      </c>
      <c r="BZ296" s="518" t="str">
        <f>IF(AND(_E="A-321",'2024'!$K$4="CA",'2024'!$K$2=BZ271),'2024DATA'!$G$27,"")</f>
        <v/>
      </c>
      <c r="CA296" s="518" t="str">
        <f>IF(AND(_E="A-321",'2024'!$K$4="CA",'2024'!$K$2=CA271),'2024DATA'!$H$27,"")</f>
        <v/>
      </c>
      <c r="CB296" s="518" t="str">
        <f>IF(AND(_E="A-321",'2024'!$K$4="CA",'2024'!$K$2=CB271),'2024DATA'!$I$27,"")</f>
        <v/>
      </c>
      <c r="CC296" s="518" t="str">
        <f>IF(AND(_E="A-321",'2024'!$K$4="CA",'2024'!$K$2=CC271),'2024DATA'!$J$27,"")</f>
        <v/>
      </c>
      <c r="CD296" s="518" t="str">
        <f>IF(AND(_E="A-321",'2024'!$K$4="CA",'2024'!$K$2=CD271),'2024DATA'!$K$27,"")</f>
        <v/>
      </c>
      <c r="CE296" s="518" t="str">
        <f>IF(AND(_E="A-321",'2024'!$K$4="CA",'2024'!$K$2=CE271),'2024DATA'!$L$27,"")</f>
        <v/>
      </c>
      <c r="CF296" s="518" t="str">
        <f>IF(AND(_E="A-321",'2024'!$K$4="CA",'2024'!$K$2=CF271),'2024DATA'!$M$27,"")</f>
        <v/>
      </c>
      <c r="CG296" s="520" t="str">
        <f>IF(AND(_E="A-321",'2024'!$K$4="CA",'2024'!$K$2=CG271),'2024DATA'!$N$27,"")</f>
        <v/>
      </c>
      <c r="CH296" s="940" t="s">
        <v>48</v>
      </c>
      <c r="CI296" s="13" t="s">
        <v>61</v>
      </c>
      <c r="CJ296" s="518" t="str">
        <f>IF(AND(_F="A-321",'2024'!$K$4="CA",'2024'!$K$2=CJ271),'2024DATA'!$C$27,"")</f>
        <v/>
      </c>
      <c r="CK296" s="518" t="str">
        <f>IF(AND(_F="A-321",'2024'!$K$4="CA",'2024'!$K$2=CK271),'2024DATA'!$D$27,"")</f>
        <v/>
      </c>
      <c r="CL296" s="518" t="str">
        <f>IF(AND(_F="A-321",'2024'!$K$4="CA",'2024'!$K$2=CL271),'2024DATA'!$E$27,"")</f>
        <v/>
      </c>
      <c r="CM296" s="518" t="str">
        <f>IF(AND(_F="A-321",'2024'!$K$4="CA",'2024'!$K$2=CM271),'2024DATA'!$F$27,"")</f>
        <v/>
      </c>
      <c r="CN296" s="518" t="str">
        <f>IF(AND(_F="A-321",'2024'!$K$4="CA",'2024'!$K$2=CN271),'2024DATA'!$G$27,"")</f>
        <v/>
      </c>
      <c r="CO296" s="518" t="str">
        <f>IF(AND(_F="A-321",'2024'!$K$4="CA",'2024'!$K$2=CO271),'2024DATA'!$H$27,"")</f>
        <v/>
      </c>
      <c r="CP296" s="518" t="str">
        <f>IF(AND(_F="A-321",'2024'!$K$4="CA",'2024'!$K$2=CP271),'2024DATA'!$I$27,"")</f>
        <v/>
      </c>
      <c r="CQ296" s="518" t="str">
        <f>IF(AND(_F="A-321",'2024'!$K$4="CA",'2024'!$K$2=CQ271),'2024DATA'!$J$27,"")</f>
        <v/>
      </c>
      <c r="CR296" s="518" t="str">
        <f>IF(AND(_F="A-321",'2024'!$K$4="CA",'2024'!$K$2=CR271),'2024DATA'!$K$27,"")</f>
        <v/>
      </c>
      <c r="CS296" s="518" t="str">
        <f>IF(AND(_F="A-321",'2024'!$K$4="CA",'2024'!$K$2=CS271),'2024DATA'!$L$27,"")</f>
        <v/>
      </c>
      <c r="CT296" s="518" t="str">
        <f>IF(AND(_F="A-321",'2024'!$K$4="CA",'2024'!$K$2=CT271),'2024DATA'!$M$27,"")</f>
        <v/>
      </c>
      <c r="CU296" s="520" t="str">
        <f>IF(AND(_F="A-321",'2024'!$K$4="CA",'2024'!$K$2=CU271),'2024DATA'!$N$27,"")</f>
        <v/>
      </c>
    </row>
    <row r="297" spans="16:99" x14ac:dyDescent="0.25">
      <c r="P297" s="940"/>
      <c r="Q297" s="13" t="s">
        <v>62</v>
      </c>
      <c r="R297" s="518" t="str">
        <f>IF(AND(_A="A-321",'2024'!$K$4="FO",'2024'!$K$2=R271),'2024DATA'!$C$28,"")</f>
        <v/>
      </c>
      <c r="S297" s="518" t="str">
        <f>IF(AND(_A="A-321",'2024'!$K$4="FO",'2024'!$K$2=S271),'2024DATA'!$D$28,"")</f>
        <v/>
      </c>
      <c r="T297" s="518" t="str">
        <f>IF(AND(_A="A-321",'2024'!$K$4="FO",'2024'!$K$2=T271),'2024DATA'!$E$28,"")</f>
        <v/>
      </c>
      <c r="U297" s="518" t="str">
        <f>IF(AND(_A="A-321",'2024'!$K$4="FO",'2024'!$K$2=U271),'2024DATA'!$F$28,"")</f>
        <v/>
      </c>
      <c r="V297" s="518" t="str">
        <f>IF(AND(_A="A-321",'2024'!$K$4="FO",'2024'!$K$2=V271),'2024DATA'!$G$28,"")</f>
        <v/>
      </c>
      <c r="W297" s="518" t="str">
        <f>IF(AND(_A="A-321",'2024'!$K$4="FO",'2024'!$K$2=W271),'2024DATA'!$H$28,"")</f>
        <v/>
      </c>
      <c r="X297" s="518" t="str">
        <f>IF(AND(_A="A-321",'2024'!$K$4="FO",'2024'!$K$2=X271),'2024DATA'!$I$28,"")</f>
        <v/>
      </c>
      <c r="Y297" s="518" t="str">
        <f>IF(AND(_A="A-321",'2024'!$K$4="FO",'2024'!$K$2=Y271),'2024DATA'!$J$28,"")</f>
        <v/>
      </c>
      <c r="Z297" s="518" t="str">
        <f>IF(AND(_A="A-321",'2024'!$K$4="FO",'2024'!$K$2=Z271),'2024DATA'!$K$28,"")</f>
        <v/>
      </c>
      <c r="AA297" s="518" t="str">
        <f>IF(AND(_A="A-321",'2024'!$K$4="FO",'2024'!$K$2=AA271),'2024DATA'!$L$28,"")</f>
        <v/>
      </c>
      <c r="AB297" s="518" t="str">
        <f>IF(AND(_A="A-321",'2024'!$K$4="FO",'2024'!$K$2=AB271),'2024DATA'!$M$28,"")</f>
        <v/>
      </c>
      <c r="AC297" s="520" t="str">
        <f>IF(AND(_A="A-321",'2024'!$K$4="FO",'2024'!$K$2=AC271),'2024DATA'!$N$28,"")</f>
        <v/>
      </c>
      <c r="AD297" s="940"/>
      <c r="AE297" s="13" t="s">
        <v>62</v>
      </c>
      <c r="AF297" s="518" t="str">
        <f>IF(AND(_B="A-321",'2024'!$K$4="FO",'2024'!$K$2=AF271),'2024DATA'!$C$28,"")</f>
        <v/>
      </c>
      <c r="AG297" s="518" t="str">
        <f>IF(AND(_B="A-321",'2024'!$K$4="FO",'2024'!$K$2=AG271),'2024DATA'!$D$28,"")</f>
        <v/>
      </c>
      <c r="AH297" s="518" t="str">
        <f>IF(AND(_B="A-321",'2024'!$K$4="FO",'2024'!$K$2=AH271),'2024DATA'!$E$28,"")</f>
        <v/>
      </c>
      <c r="AI297" s="518" t="str">
        <f>IF(AND(_B="A-321",'2024'!$K$4="FO",'2024'!$K$2=AI271),'2024DATA'!$F$28,"")</f>
        <v/>
      </c>
      <c r="AJ297" s="518" t="str">
        <f>IF(AND(_B="A-321",'2024'!$K$4="FO",'2024'!$K$2=AJ271),'2024DATA'!$G$28,"")</f>
        <v/>
      </c>
      <c r="AK297" s="518" t="str">
        <f>IF(AND(_B="A-321",'2024'!$K$4="FO",'2024'!$K$2=AK271),'2024DATA'!$H$28,"")</f>
        <v/>
      </c>
      <c r="AL297" s="518" t="str">
        <f>IF(AND(_B="A-321",'2024'!$K$4="FO",'2024'!$K$2=AL271),'2024DATA'!$I$28,"")</f>
        <v/>
      </c>
      <c r="AM297" s="518" t="str">
        <f>IF(AND(_B="A-321",'2024'!$K$4="FO",'2024'!$K$2=AM271),'2024DATA'!$J$28,"")</f>
        <v/>
      </c>
      <c r="AN297" s="518" t="str">
        <f>IF(AND(_B="A-321",'2024'!$K$4="FO",'2024'!$K$2=AN271),'2024DATA'!$K$28,"")</f>
        <v/>
      </c>
      <c r="AO297" s="518" t="str">
        <f>IF(AND(_B="A-321",'2024'!$K$4="FO",'2024'!$K$2=AO271),'2024DATA'!$L$28,"")</f>
        <v/>
      </c>
      <c r="AP297" s="518" t="str">
        <f>IF(AND(_B="A-321",'2024'!$K$4="FO",'2024'!$K$2=AP271),'2024DATA'!$M$28,"")</f>
        <v/>
      </c>
      <c r="AQ297" s="520" t="str">
        <f>IF(AND(_B="A-321",'2024'!$K$4="FO",'2024'!$K$2=AQ271),'2024DATA'!$N$28,"")</f>
        <v/>
      </c>
      <c r="AR297" s="940"/>
      <c r="AS297" s="13" t="s">
        <v>62</v>
      </c>
      <c r="AT297" s="518" t="str">
        <f>IF(AND(_C="A-321",'2024'!$K$4="FO",'2024'!$K$2=AT271),'2024DATA'!$C$28,"")</f>
        <v/>
      </c>
      <c r="AU297" s="518" t="str">
        <f>IF(AND(_C="A-321",'2024'!$K$4="FO",'2024'!$K$2=AU271),'2024DATA'!$D$28,"")</f>
        <v/>
      </c>
      <c r="AV297" s="518" t="str">
        <f>IF(AND(_C="A-321",'2024'!$K$4="FO",'2024'!$K$2=AV271),'2024DATA'!$E$28,"")</f>
        <v/>
      </c>
      <c r="AW297" s="518" t="str">
        <f>IF(AND(_C="A-321",'2024'!$K$4="FO",'2024'!$K$2=AW271),'2024DATA'!$F$28,"")</f>
        <v/>
      </c>
      <c r="AX297" s="518" t="str">
        <f>IF(AND(_C="A-321",'2024'!$K$4="FO",'2024'!$K$2=AX271),'2024DATA'!$G$28,"")</f>
        <v/>
      </c>
      <c r="AY297" s="518" t="str">
        <f>IF(AND(_C="A-321",'2024'!$K$4="FO",'2024'!$K$2=AY271),'2024DATA'!$H$28,"")</f>
        <v/>
      </c>
      <c r="AZ297" s="518" t="str">
        <f>IF(AND(_C="A-321",'2024'!$K$4="FO",'2024'!$K$2=AZ271),'2024DATA'!$I$28,"")</f>
        <v/>
      </c>
      <c r="BA297" s="518" t="str">
        <f>IF(AND(_C="A-321",'2024'!$K$4="FO",'2024'!$K$2=BA271),'2024DATA'!$J$28,"")</f>
        <v/>
      </c>
      <c r="BB297" s="518" t="str">
        <f>IF(AND(_C="A-321",'2024'!$K$4="FO",'2024'!$K$2=BB271),'2024DATA'!$K$28,"")</f>
        <v/>
      </c>
      <c r="BC297" s="518" t="str">
        <f>IF(AND(_C="A-321",'2024'!$K$4="FO",'2024'!$K$2=BC271),'2024DATA'!$L$28,"")</f>
        <v/>
      </c>
      <c r="BD297" s="518" t="str">
        <f>IF(AND(_C="A-321",'2024'!$K$4="FO",'2024'!$K$2=BD271),'2024DATA'!$M$28,"")</f>
        <v/>
      </c>
      <c r="BE297" s="520" t="str">
        <f>IF(AND(_C="A-321",'2024'!$K$4="FO",'2024'!$K$2=BE271),'2024DATA'!$N$28,"")</f>
        <v/>
      </c>
      <c r="BF297" s="940"/>
      <c r="BG297" s="13" t="s">
        <v>62</v>
      </c>
      <c r="BH297" s="518" t="str">
        <f>IF(AND(_D="A-321",'2024'!$K$4="FO",'2024'!$K$2=BH271),'2024DATA'!$C$28,"")</f>
        <v/>
      </c>
      <c r="BI297" s="518" t="str">
        <f>IF(AND(_D="A-321",'2024'!$K$4="FO",'2024'!$K$2=BI271),'2024DATA'!$D$28,"")</f>
        <v/>
      </c>
      <c r="BJ297" s="518" t="str">
        <f>IF(AND(_D="A-321",'2024'!$K$4="FO",'2024'!$K$2=BJ271),'2024DATA'!$E$28,"")</f>
        <v/>
      </c>
      <c r="BK297" s="518" t="str">
        <f>IF(AND(_D="A-321",'2024'!$K$4="FO",'2024'!$K$2=BK271),'2024DATA'!$F$28,"")</f>
        <v/>
      </c>
      <c r="BL297" s="518" t="str">
        <f>IF(AND(_D="A-321",'2024'!$K$4="FO",'2024'!$K$2=BL271),'2024DATA'!$G$28,"")</f>
        <v/>
      </c>
      <c r="BM297" s="518" t="str">
        <f>IF(AND(_D="A-321",'2024'!$K$4="FO",'2024'!$K$2=BM271),'2024DATA'!$H$28,"")</f>
        <v/>
      </c>
      <c r="BN297" s="518" t="str">
        <f>IF(AND(_D="A-321",'2024'!$K$4="FO",'2024'!$K$2=BN271),'2024DATA'!$I$28,"")</f>
        <v/>
      </c>
      <c r="BO297" s="518" t="str">
        <f>IF(AND(_D="A-321",'2024'!$K$4="FO",'2024'!$K$2=BO271),'2024DATA'!$J$28,"")</f>
        <v/>
      </c>
      <c r="BP297" s="518" t="str">
        <f>IF(AND(_D="A-321",'2024'!$K$4="FO",'2024'!$K$2=BP271),'2024DATA'!$K$28,"")</f>
        <v/>
      </c>
      <c r="BQ297" s="518" t="str">
        <f>IF(AND(_D="A-321",'2024'!$K$4="FO",'2024'!$K$2=BQ271),'2024DATA'!$L$28,"")</f>
        <v/>
      </c>
      <c r="BR297" s="518" t="str">
        <f>IF(AND(_D="A-321",'2024'!$K$4="FO",'2024'!$K$2=BR271),'2024DATA'!$M$28,"")</f>
        <v/>
      </c>
      <c r="BS297" s="520" t="str">
        <f>IF(AND(_D="A-321",'2024'!$K$4="FO",'2024'!$K$2=BS271),'2024DATA'!$N$28,"")</f>
        <v/>
      </c>
      <c r="BT297" s="940"/>
      <c r="BU297" s="13" t="s">
        <v>62</v>
      </c>
      <c r="BV297" s="518" t="str">
        <f>IF(AND(_E="A-321",'2024'!$K$4="FO",'2024'!$K$2=BV271),'2024DATA'!$C$28,"")</f>
        <v/>
      </c>
      <c r="BW297" s="518" t="str">
        <f>IF(AND(_E="A-321",'2024'!$K$4="FO",'2024'!$K$2=BW271),'2024DATA'!$D$28,"")</f>
        <v/>
      </c>
      <c r="BX297" s="518" t="str">
        <f>IF(AND(_E="A-321",'2024'!$K$4="FO",'2024'!$K$2=BX271),'2024DATA'!$E$28,"")</f>
        <v/>
      </c>
      <c r="BY297" s="518" t="str">
        <f>IF(AND(_E="A-321",'2024'!$K$4="FO",'2024'!$K$2=BY271),'2024DATA'!$F$28,"")</f>
        <v/>
      </c>
      <c r="BZ297" s="518" t="str">
        <f>IF(AND(_E="A-321",'2024'!$K$4="FO",'2024'!$K$2=BZ271),'2024DATA'!$G$28,"")</f>
        <v/>
      </c>
      <c r="CA297" s="518" t="str">
        <f>IF(AND(_E="A-321",'2024'!$K$4="FO",'2024'!$K$2=CA271),'2024DATA'!$H$28,"")</f>
        <v/>
      </c>
      <c r="CB297" s="518" t="str">
        <f>IF(AND(_E="A-321",'2024'!$K$4="FO",'2024'!$K$2=CB271),'2024DATA'!$I$28,"")</f>
        <v/>
      </c>
      <c r="CC297" s="518" t="str">
        <f>IF(AND(_E="A-321",'2024'!$K$4="FO",'2024'!$K$2=CC271),'2024DATA'!$J$28,"")</f>
        <v/>
      </c>
      <c r="CD297" s="518" t="str">
        <f>IF(AND(_E="A-321",'2024'!$K$4="FO",'2024'!$K$2=CD271),'2024DATA'!$K$28,"")</f>
        <v/>
      </c>
      <c r="CE297" s="518" t="str">
        <f>IF(AND(_E="A-321",'2024'!$K$4="FO",'2024'!$K$2=CE271),'2024DATA'!$L$28,"")</f>
        <v/>
      </c>
      <c r="CF297" s="518" t="str">
        <f>IF(AND(_E="A-321",'2024'!$K$4="FO",'2024'!$K$2=CF271),'2024DATA'!$M$28,"")</f>
        <v/>
      </c>
      <c r="CG297" s="520" t="str">
        <f>IF(AND(_E="A-321",'2024'!$K$4="FO",'2024'!$K$2=CG271),'2024DATA'!$N$28,"")</f>
        <v/>
      </c>
      <c r="CH297" s="940"/>
      <c r="CI297" s="13" t="s">
        <v>62</v>
      </c>
      <c r="CJ297" s="518" t="str">
        <f>IF(AND(_F="A-321",'2024'!$K$4="FO",'2024'!$K$2=CJ271),'2024DATA'!$C$28,"")</f>
        <v/>
      </c>
      <c r="CK297" s="518" t="str">
        <f>IF(AND(_F="A-321",'2024'!$K$4="FO",'2024'!$K$2=CK271),'2024DATA'!$D$28,"")</f>
        <v/>
      </c>
      <c r="CL297" s="518" t="str">
        <f>IF(AND(_F="A-321",'2024'!$K$4="FO",'2024'!$K$2=CL271),'2024DATA'!$E$28,"")</f>
        <v/>
      </c>
      <c r="CM297" s="518" t="str">
        <f>IF(AND(_F="A-321",'2024'!$K$4="FO",'2024'!$K$2=CM271),'2024DATA'!$F$28,"")</f>
        <v/>
      </c>
      <c r="CN297" s="518" t="str">
        <f>IF(AND(_F="A-321",'2024'!$K$4="FO",'2024'!$K$2=CN271),'2024DATA'!$G$28,"")</f>
        <v/>
      </c>
      <c r="CO297" s="518" t="str">
        <f>IF(AND(_F="A-321",'2024'!$K$4="FO",'2024'!$K$2=CO271),'2024DATA'!$H$28,"")</f>
        <v/>
      </c>
      <c r="CP297" s="518" t="str">
        <f>IF(AND(_F="A-321",'2024'!$K$4="FO",'2024'!$K$2=CP271),'2024DATA'!$I$28,"")</f>
        <v/>
      </c>
      <c r="CQ297" s="518" t="str">
        <f>IF(AND(_F="A-321",'2024'!$K$4="FO",'2024'!$K$2=CQ271),'2024DATA'!$J$28,"")</f>
        <v/>
      </c>
      <c r="CR297" s="518" t="str">
        <f>IF(AND(_F="A-321",'2024'!$K$4="FO",'2024'!$K$2=CR271),'2024DATA'!$K$28,"")</f>
        <v/>
      </c>
      <c r="CS297" s="518" t="str">
        <f>IF(AND(_F="A-321",'2024'!$K$4="FO",'2024'!$K$2=CS271),'2024DATA'!$L$28,"")</f>
        <v/>
      </c>
      <c r="CT297" s="518" t="str">
        <f>IF(AND(_F="A-321",'2024'!$K$4="FO",'2024'!$K$2=CT271),'2024DATA'!$M$28,"")</f>
        <v/>
      </c>
      <c r="CU297" s="520" t="str">
        <f>IF(AND(_F="A-321",'2024'!$K$4="FO",'2024'!$K$2=CU271),'2024DATA'!$N$28,"")</f>
        <v/>
      </c>
    </row>
    <row r="298" spans="16:99" x14ac:dyDescent="0.25">
      <c r="P298" s="940" t="s">
        <v>70</v>
      </c>
      <c r="Q298" s="13" t="s">
        <v>61</v>
      </c>
      <c r="R298" s="518" t="str">
        <f>IF(AND(_A="A-320",'2024'!$K$4="CA",'2024'!$K$2=R271),'2024DATA'!$C$29,"")</f>
        <v/>
      </c>
      <c r="S298" s="518" t="str">
        <f>IF(AND(_A="A-320",'2024'!$K$4="CA",'2024'!$K$2=S271),'2024DATA'!$D$29,"")</f>
        <v/>
      </c>
      <c r="T298" s="518" t="str">
        <f>IF(AND(_A="A-320",'2024'!$K$4="CA",'2024'!$K$2=T271),'2024DATA'!$E$29,"")</f>
        <v/>
      </c>
      <c r="U298" s="518" t="str">
        <f>IF(AND(_A="A-320",'2024'!$K$4="CA",'2024'!$K$2=U271),'2024DATA'!$F$29,"")</f>
        <v/>
      </c>
      <c r="V298" s="518" t="str">
        <f>IF(AND(_A="A-320",'2024'!$K$4="CA",'2024'!$K$2=V271),'2024DATA'!$G$29,"")</f>
        <v/>
      </c>
      <c r="W298" s="518" t="str">
        <f>IF(AND(_A="A-320",'2024'!$K$4="CA",'2024'!$K$2=W271),'2024DATA'!$H$29,"")</f>
        <v/>
      </c>
      <c r="X298" s="518" t="str">
        <f>IF(AND(_A="A-320",'2024'!$K$4="CA",'2024'!$K$2=X271),'2024DATA'!$I$29,"")</f>
        <v/>
      </c>
      <c r="Y298" s="518" t="str">
        <f>IF(AND(_A="A-320",'2024'!$K$4="CA",'2024'!$K$2=Y271),'2024DATA'!$J$29,"")</f>
        <v/>
      </c>
      <c r="Z298" s="518" t="str">
        <f>IF(AND(_A="A-320",'2024'!$K$4="CA",'2024'!$K$2=Z271),'2024DATA'!$K$29,"")</f>
        <v/>
      </c>
      <c r="AA298" s="518" t="str">
        <f>IF(AND(_A="A-320",'2024'!$K$4="CA",'2024'!$K$2=AA271),'2024DATA'!$L$29,"")</f>
        <v/>
      </c>
      <c r="AB298" s="518" t="str">
        <f>IF(AND(_A="A-320",'2024'!$K$4="CA",'2024'!$K$2=AB271),'2024DATA'!$M$29,"")</f>
        <v/>
      </c>
      <c r="AC298" s="520" t="str">
        <f>IF(AND(_A="A-320",'2024'!$K$4="CA",'2024'!$K$2=AC271),'2024DATA'!$N$29,"")</f>
        <v/>
      </c>
      <c r="AD298" s="940" t="s">
        <v>70</v>
      </c>
      <c r="AE298" s="13" t="s">
        <v>61</v>
      </c>
      <c r="AF298" s="518" t="str">
        <f>IF(AND(_B="A-320",'2024'!$K$4="CA",'2024'!$K$2=AF271),'2024DATA'!$C$29,"")</f>
        <v/>
      </c>
      <c r="AG298" s="518" t="str">
        <f>IF(AND(_B="A-320",'2024'!$K$4="CA",'2024'!$K$2=AG271),'2024DATA'!$D$29,"")</f>
        <v/>
      </c>
      <c r="AH298" s="518" t="str">
        <f>IF(AND(_B="A-320",'2024'!$K$4="CA",'2024'!$K$2=AH271),'2024DATA'!$E$29,"")</f>
        <v/>
      </c>
      <c r="AI298" s="518" t="str">
        <f>IF(AND(_B="A-320",'2024'!$K$4="CA",'2024'!$K$2=AI271),'2024DATA'!$F$29,"")</f>
        <v/>
      </c>
      <c r="AJ298" s="518" t="str">
        <f>IF(AND(_B="A-320",'2024'!$K$4="CA",'2024'!$K$2=AJ271),'2024DATA'!$G$29,"")</f>
        <v/>
      </c>
      <c r="AK298" s="518" t="str">
        <f>IF(AND(_B="A-320",'2024'!$K$4="CA",'2024'!$K$2=AK271),'2024DATA'!$H$29,"")</f>
        <v/>
      </c>
      <c r="AL298" s="518" t="str">
        <f>IF(AND(_B="A-320",'2024'!$K$4="CA",'2024'!$K$2=AL271),'2024DATA'!$I$29,"")</f>
        <v/>
      </c>
      <c r="AM298" s="518" t="str">
        <f>IF(AND(_B="A-320",'2024'!$K$4="CA",'2024'!$K$2=AM271),'2024DATA'!$J$29,"")</f>
        <v/>
      </c>
      <c r="AN298" s="518" t="str">
        <f>IF(AND(_B="A-320",'2024'!$K$4="CA",'2024'!$K$2=AN271),'2024DATA'!$K$29,"")</f>
        <v/>
      </c>
      <c r="AO298" s="518" t="str">
        <f>IF(AND(_B="A-320",'2024'!$K$4="CA",'2024'!$K$2=AO271),'2024DATA'!$L$29,"")</f>
        <v/>
      </c>
      <c r="AP298" s="518" t="str">
        <f>IF(AND(_B="A-320",'2024'!$K$4="CA",'2024'!$K$2=AP271),'2024DATA'!$M$29,"")</f>
        <v/>
      </c>
      <c r="AQ298" s="520" t="str">
        <f>IF(AND(_B="A-320",'2024'!$K$4="CA",'2024'!$K$2=AQ271),'2024DATA'!$N$29,"")</f>
        <v/>
      </c>
      <c r="AR298" s="940" t="s">
        <v>70</v>
      </c>
      <c r="AS298" s="13" t="s">
        <v>61</v>
      </c>
      <c r="AT298" s="518" t="str">
        <f>IF(AND(_C="A-320",'2024'!$K$4="CA",'2024'!$K$2=AT271),'2024DATA'!$C$29,"")</f>
        <v/>
      </c>
      <c r="AU298" s="518" t="str">
        <f>IF(AND(_C="A-320",'2024'!$K$4="CA",'2024'!$K$2=AU271),'2024DATA'!$D$29,"")</f>
        <v/>
      </c>
      <c r="AV298" s="518" t="str">
        <f>IF(AND(_C="A-320",'2024'!$K$4="CA",'2024'!$K$2=AV271),'2024DATA'!$E$29,"")</f>
        <v/>
      </c>
      <c r="AW298" s="518" t="str">
        <f>IF(AND(_C="A-320",'2024'!$K$4="CA",'2024'!$K$2=AW271),'2024DATA'!$F$29,"")</f>
        <v/>
      </c>
      <c r="AX298" s="518" t="str">
        <f>IF(AND(_C="A-320",'2024'!$K$4="CA",'2024'!$K$2=AX271),'2024DATA'!$G$29,"")</f>
        <v/>
      </c>
      <c r="AY298" s="518" t="str">
        <f>IF(AND(_C="A-320",'2024'!$K$4="CA",'2024'!$K$2=AY271),'2024DATA'!$H$29,"")</f>
        <v/>
      </c>
      <c r="AZ298" s="518" t="str">
        <f>IF(AND(_C="A-320",'2024'!$K$4="CA",'2024'!$K$2=AZ271),'2024DATA'!$I$29,"")</f>
        <v/>
      </c>
      <c r="BA298" s="518" t="str">
        <f>IF(AND(_C="A-320",'2024'!$K$4="CA",'2024'!$K$2=BA271),'2024DATA'!$J$29,"")</f>
        <v/>
      </c>
      <c r="BB298" s="518" t="str">
        <f>IF(AND(_C="A-320",'2024'!$K$4="CA",'2024'!$K$2=BB271),'2024DATA'!$K$29,"")</f>
        <v/>
      </c>
      <c r="BC298" s="518" t="str">
        <f>IF(AND(_C="A-320",'2024'!$K$4="CA",'2024'!$K$2=BC271),'2024DATA'!$L$29,"")</f>
        <v/>
      </c>
      <c r="BD298" s="518" t="str">
        <f>IF(AND(_C="A-320",'2024'!$K$4="CA",'2024'!$K$2=BD271),'2024DATA'!$M$29,"")</f>
        <v/>
      </c>
      <c r="BE298" s="520" t="str">
        <f>IF(AND(_C="A-320",'2024'!$K$4="CA",'2024'!$K$2=BE271),'2024DATA'!$N$29,"")</f>
        <v/>
      </c>
      <c r="BF298" s="940" t="s">
        <v>70</v>
      </c>
      <c r="BG298" s="13" t="s">
        <v>61</v>
      </c>
      <c r="BH298" s="518" t="str">
        <f>IF(AND(_D="A-320",'2024'!$K$4="CA",'2024'!$K$2=BH271),'2024DATA'!$C$29,"")</f>
        <v/>
      </c>
      <c r="BI298" s="518" t="str">
        <f>IF(AND(_D="A-320",'2024'!$K$4="CA",'2024'!$K$2=BI271),'2024DATA'!$D$29,"")</f>
        <v/>
      </c>
      <c r="BJ298" s="518" t="str">
        <f>IF(AND(_D="A-320",'2024'!$K$4="CA",'2024'!$K$2=BJ271),'2024DATA'!$E$29,"")</f>
        <v/>
      </c>
      <c r="BK298" s="518" t="str">
        <f>IF(AND(_D="A-320",'2024'!$K$4="CA",'2024'!$K$2=BK271),'2024DATA'!$F$29,"")</f>
        <v/>
      </c>
      <c r="BL298" s="518" t="str">
        <f>IF(AND(_D="A-320",'2024'!$K$4="CA",'2024'!$K$2=BL271),'2024DATA'!$G$29,"")</f>
        <v/>
      </c>
      <c r="BM298" s="518" t="str">
        <f>IF(AND(_D="A-320",'2024'!$K$4="CA",'2024'!$K$2=BM271),'2024DATA'!$H$29,"")</f>
        <v/>
      </c>
      <c r="BN298" s="518" t="str">
        <f>IF(AND(_D="A-320",'2024'!$K$4="CA",'2024'!$K$2=BN271),'2024DATA'!$I$29,"")</f>
        <v/>
      </c>
      <c r="BO298" s="518" t="str">
        <f>IF(AND(_D="A-320",'2024'!$K$4="CA",'2024'!$K$2=BO271),'2024DATA'!$J$29,"")</f>
        <v/>
      </c>
      <c r="BP298" s="518" t="str">
        <f>IF(AND(_D="A-320",'2024'!$K$4="CA",'2024'!$K$2=BP271),'2024DATA'!$K$29,"")</f>
        <v/>
      </c>
      <c r="BQ298" s="518" t="str">
        <f>IF(AND(_D="A-320",'2024'!$K$4="CA",'2024'!$K$2=BQ271),'2024DATA'!$L$29,"")</f>
        <v/>
      </c>
      <c r="BR298" s="518" t="str">
        <f>IF(AND(_D="A-320",'2024'!$K$4="CA",'2024'!$K$2=BR271),'2024DATA'!$M$29,"")</f>
        <v/>
      </c>
      <c r="BS298" s="520" t="str">
        <f>IF(AND(_D="A-320",'2024'!$K$4="CA",'2024'!$K$2=BS271),'2024DATA'!$N$29,"")</f>
        <v/>
      </c>
      <c r="BT298" s="940" t="s">
        <v>70</v>
      </c>
      <c r="BU298" s="13" t="s">
        <v>61</v>
      </c>
      <c r="BV298" s="518" t="str">
        <f>IF(AND(_E="A-320",'2024'!$K$4="CA",'2024'!$K$2=BV271),'2024DATA'!$C$29,"")</f>
        <v/>
      </c>
      <c r="BW298" s="518" t="str">
        <f>IF(AND(_E="A-320",'2024'!$K$4="CA",'2024'!$K$2=BW271),'2024DATA'!$D$29,"")</f>
        <v/>
      </c>
      <c r="BX298" s="518" t="str">
        <f>IF(AND(_E="A-320",'2024'!$K$4="CA",'2024'!$K$2=BX271),'2024DATA'!$E$29,"")</f>
        <v/>
      </c>
      <c r="BY298" s="518" t="str">
        <f>IF(AND(_E="A-320",'2024'!$K$4="CA",'2024'!$K$2=BY271),'2024DATA'!$F$29,"")</f>
        <v/>
      </c>
      <c r="BZ298" s="518" t="str">
        <f>IF(AND(_E="A-320",'2024'!$K$4="CA",'2024'!$K$2=BZ271),'2024DATA'!$G$29,"")</f>
        <v/>
      </c>
      <c r="CA298" s="518" t="str">
        <f>IF(AND(_E="A-320",'2024'!$K$4="CA",'2024'!$K$2=CA271),'2024DATA'!$H$29,"")</f>
        <v/>
      </c>
      <c r="CB298" s="518" t="str">
        <f>IF(AND(_E="A-320",'2024'!$K$4="CA",'2024'!$K$2=CB271),'2024DATA'!$I$29,"")</f>
        <v/>
      </c>
      <c r="CC298" s="518" t="str">
        <f>IF(AND(_E="A-320",'2024'!$K$4="CA",'2024'!$K$2=CC271),'2024DATA'!$J$29,"")</f>
        <v/>
      </c>
      <c r="CD298" s="518" t="str">
        <f>IF(AND(_E="A-320",'2024'!$K$4="CA",'2024'!$K$2=CD271),'2024DATA'!$K$29,"")</f>
        <v/>
      </c>
      <c r="CE298" s="518" t="str">
        <f>IF(AND(_E="A-320",'2024'!$K$4="CA",'2024'!$K$2=CE271),'2024DATA'!$L$29,"")</f>
        <v/>
      </c>
      <c r="CF298" s="518" t="str">
        <f>IF(AND(_E="A-320",'2024'!$K$4="CA",'2024'!$K$2=CF271),'2024DATA'!$M$29,"")</f>
        <v/>
      </c>
      <c r="CG298" s="520" t="str">
        <f>IF(AND(_E="A-320",'2024'!$K$4="CA",'2024'!$K$2=CG271),'2024DATA'!$N$29,"")</f>
        <v/>
      </c>
      <c r="CH298" s="940" t="s">
        <v>70</v>
      </c>
      <c r="CI298" s="13" t="s">
        <v>61</v>
      </c>
      <c r="CJ298" s="518" t="str">
        <f>IF(AND(_F="A-320",'2024'!$K$4="CA",'2024'!$K$2=CJ271),'2024DATA'!$C$29,"")</f>
        <v/>
      </c>
      <c r="CK298" s="518" t="str">
        <f>IF(AND(_F="A-320",'2024'!$K$4="CA",'2024'!$K$2=CK271),'2024DATA'!$D$29,"")</f>
        <v/>
      </c>
      <c r="CL298" s="518" t="str">
        <f>IF(AND(_F="A-320",'2024'!$K$4="CA",'2024'!$K$2=CL271),'2024DATA'!$E$29,"")</f>
        <v/>
      </c>
      <c r="CM298" s="518" t="str">
        <f>IF(AND(_F="A-320",'2024'!$K$4="CA",'2024'!$K$2=CM271),'2024DATA'!$F$29,"")</f>
        <v/>
      </c>
      <c r="CN298" s="518" t="str">
        <f>IF(AND(_F="A-320",'2024'!$K$4="CA",'2024'!$K$2=CN271),'2024DATA'!$G$29,"")</f>
        <v/>
      </c>
      <c r="CO298" s="518" t="str">
        <f>IF(AND(_F="A-320",'2024'!$K$4="CA",'2024'!$K$2=CO271),'2024DATA'!$H$29,"")</f>
        <v/>
      </c>
      <c r="CP298" s="518" t="str">
        <f>IF(AND(_F="A-320",'2024'!$K$4="CA",'2024'!$K$2=CP271),'2024DATA'!$I$29,"")</f>
        <v/>
      </c>
      <c r="CQ298" s="518" t="str">
        <f>IF(AND(_F="A-320",'2024'!$K$4="CA",'2024'!$K$2=CQ271),'2024DATA'!$J$29,"")</f>
        <v/>
      </c>
      <c r="CR298" s="518" t="str">
        <f>IF(AND(_F="A-320",'2024'!$K$4="CA",'2024'!$K$2=CR271),'2024DATA'!$K$29,"")</f>
        <v/>
      </c>
      <c r="CS298" s="518" t="str">
        <f>IF(AND(_F="A-320",'2024'!$K$4="CA",'2024'!$K$2=CS271),'2024DATA'!$L$29,"")</f>
        <v/>
      </c>
      <c r="CT298" s="518" t="str">
        <f>IF(AND(_F="A-320",'2024'!$K$4="CA",'2024'!$K$2=CT271),'2024DATA'!$M$29,"")</f>
        <v/>
      </c>
      <c r="CU298" s="520" t="str">
        <f>IF(AND(_F="A-320",'2024'!$K$4="CA",'2024'!$K$2=CU271),'2024DATA'!$N$29,"")</f>
        <v/>
      </c>
    </row>
    <row r="299" spans="16:99" x14ac:dyDescent="0.25">
      <c r="P299" s="940"/>
      <c r="Q299" s="13" t="s">
        <v>62</v>
      </c>
      <c r="R299" s="518" t="str">
        <f>IF(AND(_A="A-320",'2024'!$K$4="FO",'2024'!$K$2=R271),'2024DATA'!$C$30,"")</f>
        <v/>
      </c>
      <c r="S299" s="518" t="str">
        <f>IF(AND(_A="A-320",'2024'!$K$4="FO",'2024'!$K$2=S271),'2024DATA'!$D$30,"")</f>
        <v/>
      </c>
      <c r="T299" s="518" t="str">
        <f>IF(AND(_A="A-320",'2024'!$K$4="FO",'2024'!$K$2=T271),'2024DATA'!$E$30,"")</f>
        <v/>
      </c>
      <c r="U299" s="518" t="str">
        <f>IF(AND(_A="A-320",'2024'!$K$4="FO",'2024'!$K$2=U271),'2024DATA'!$F$30,"")</f>
        <v/>
      </c>
      <c r="V299" s="518" t="str">
        <f>IF(AND(_A="A-320",'2024'!$K$4="FO",'2024'!$K$2=V271),'2024DATA'!$G$30,"")</f>
        <v/>
      </c>
      <c r="W299" s="518" t="str">
        <f>IF(AND(_A="A-320",'2024'!$K$4="FO",'2024'!$K$2=W271),'2024DATA'!$H$30,"")</f>
        <v/>
      </c>
      <c r="X299" s="518" t="str">
        <f>IF(AND(_A="A-320",'2024'!$K$4="FO",'2024'!$K$2=X271),'2024DATA'!$I$30,"")</f>
        <v/>
      </c>
      <c r="Y299" s="518" t="str">
        <f>IF(AND(_A="A-320",'2024'!$K$4="FO",'2024'!$K$2=Y271),'2024DATA'!$J$30,"")</f>
        <v/>
      </c>
      <c r="Z299" s="518" t="str">
        <f>IF(AND(_A="A-320",'2024'!$K$4="FO",'2024'!$K$2=Z271),'2024DATA'!$K$30,"")</f>
        <v/>
      </c>
      <c r="AA299" s="518" t="str">
        <f>IF(AND(_A="A-320",'2024'!$K$4="FO",'2024'!$K$2=AA271),'2024DATA'!$L$30,"")</f>
        <v/>
      </c>
      <c r="AB299" s="518" t="str">
        <f>IF(AND(_A="A-320",'2024'!$K$4="FO",'2024'!$K$2=AB271),'2024DATA'!$M$30,"")</f>
        <v/>
      </c>
      <c r="AC299" s="520" t="str">
        <f>IF(AND(_A="A-320",'2024'!$K$4="FO",'2024'!$K$2=AC271),'2024DATA'!$N$30,"")</f>
        <v/>
      </c>
      <c r="AD299" s="940"/>
      <c r="AE299" s="13" t="s">
        <v>62</v>
      </c>
      <c r="AF299" s="518" t="str">
        <f>IF(AND(_B="A-320",'2024'!$K$4="FO",'2024'!$K$2=AF271),'2024DATA'!$C$30,"")</f>
        <v/>
      </c>
      <c r="AG299" s="518" t="str">
        <f>IF(AND(_B="A-320",'2024'!$K$4="FO",'2024'!$K$2=AG271),'2024DATA'!$D$30,"")</f>
        <v/>
      </c>
      <c r="AH299" s="518" t="str">
        <f>IF(AND(_B="A-320",'2024'!$K$4="FO",'2024'!$K$2=AH271),'2024DATA'!$E$30,"")</f>
        <v/>
      </c>
      <c r="AI299" s="518" t="str">
        <f>IF(AND(_B="A-320",'2024'!$K$4="FO",'2024'!$K$2=AI271),'2024DATA'!$F$30,"")</f>
        <v/>
      </c>
      <c r="AJ299" s="518" t="str">
        <f>IF(AND(_B="A-320",'2024'!$K$4="FO",'2024'!$K$2=AJ271),'2024DATA'!$G$30,"")</f>
        <v/>
      </c>
      <c r="AK299" s="518" t="str">
        <f>IF(AND(_B="A-320",'2024'!$K$4="FO",'2024'!$K$2=AK271),'2024DATA'!$H$30,"")</f>
        <v/>
      </c>
      <c r="AL299" s="518" t="str">
        <f>IF(AND(_B="A-320",'2024'!$K$4="FO",'2024'!$K$2=AL271),'2024DATA'!$I$30,"")</f>
        <v/>
      </c>
      <c r="AM299" s="518" t="str">
        <f>IF(AND(_B="A-320",'2024'!$K$4="FO",'2024'!$K$2=AM271),'2024DATA'!$J$30,"")</f>
        <v/>
      </c>
      <c r="AN299" s="518" t="str">
        <f>IF(AND(_B="A-320",'2024'!$K$4="FO",'2024'!$K$2=AN271),'2024DATA'!$K$30,"")</f>
        <v/>
      </c>
      <c r="AO299" s="518" t="str">
        <f>IF(AND(_B="A-320",'2024'!$K$4="FO",'2024'!$K$2=AO271),'2024DATA'!$L$30,"")</f>
        <v/>
      </c>
      <c r="AP299" s="518" t="str">
        <f>IF(AND(_B="A-320",'2024'!$K$4="FO",'2024'!$K$2=AP271),'2024DATA'!$M$30,"")</f>
        <v/>
      </c>
      <c r="AQ299" s="520" t="str">
        <f>IF(AND(_B="A-320",'2024'!$K$4="FO",'2024'!$K$2=AQ271),'2024DATA'!$N$30,"")</f>
        <v/>
      </c>
      <c r="AR299" s="940"/>
      <c r="AS299" s="13" t="s">
        <v>62</v>
      </c>
      <c r="AT299" s="518" t="str">
        <f>IF(AND(_C="A-320",'2024'!$K$4="FO",'2024'!$K$2=AT271),'2024DATA'!$C$30,"")</f>
        <v/>
      </c>
      <c r="AU299" s="518" t="str">
        <f>IF(AND(_C="A-320",'2024'!$K$4="FO",'2024'!$K$2=AU271),'2024DATA'!$D$30,"")</f>
        <v/>
      </c>
      <c r="AV299" s="518" t="str">
        <f>IF(AND(_C="A-320",'2024'!$K$4="FO",'2024'!$K$2=AV271),'2024DATA'!$E$30,"")</f>
        <v/>
      </c>
      <c r="AW299" s="518" t="str">
        <f>IF(AND(_C="A-320",'2024'!$K$4="FO",'2024'!$K$2=AW271),'2024DATA'!$F$30,"")</f>
        <v/>
      </c>
      <c r="AX299" s="518" t="str">
        <f>IF(AND(_C="A-320",'2024'!$K$4="FO",'2024'!$K$2=AX271),'2024DATA'!$G$30,"")</f>
        <v/>
      </c>
      <c r="AY299" s="518" t="str">
        <f>IF(AND(_C="A-320",'2024'!$K$4="FO",'2024'!$K$2=AY271),'2024DATA'!$H$30,"")</f>
        <v/>
      </c>
      <c r="AZ299" s="518" t="str">
        <f>IF(AND(_C="A-320",'2024'!$K$4="FO",'2024'!$K$2=AZ271),'2024DATA'!$I$30,"")</f>
        <v/>
      </c>
      <c r="BA299" s="518" t="str">
        <f>IF(AND(_C="A-320",'2024'!$K$4="FO",'2024'!$K$2=BA271),'2024DATA'!$J$30,"")</f>
        <v/>
      </c>
      <c r="BB299" s="518" t="str">
        <f>IF(AND(_C="A-320",'2024'!$K$4="FO",'2024'!$K$2=BB271),'2024DATA'!$K$30,"")</f>
        <v/>
      </c>
      <c r="BC299" s="518" t="str">
        <f>IF(AND(_C="A-320",'2024'!$K$4="FO",'2024'!$K$2=BC271),'2024DATA'!$L$30,"")</f>
        <v/>
      </c>
      <c r="BD299" s="518" t="str">
        <f>IF(AND(_C="A-320",'2024'!$K$4="FO",'2024'!$K$2=BD271),'2024DATA'!$M$30,"")</f>
        <v/>
      </c>
      <c r="BE299" s="520" t="str">
        <f>IF(AND(_C="A-320",'2024'!$K$4="FO",'2024'!$K$2=BE271),'2024DATA'!$N$30,"")</f>
        <v/>
      </c>
      <c r="BF299" s="940"/>
      <c r="BG299" s="13" t="s">
        <v>62</v>
      </c>
      <c r="BH299" s="518" t="str">
        <f>IF(AND(_D="A-320",'2024'!$K$4="FO",'2024'!$K$2=BH271),'2024DATA'!$C$30,"")</f>
        <v/>
      </c>
      <c r="BI299" s="518" t="str">
        <f>IF(AND(_D="A-320",'2024'!$K$4="FO",'2024'!$K$2=BI271),'2024DATA'!$D$30,"")</f>
        <v/>
      </c>
      <c r="BJ299" s="518" t="str">
        <f>IF(AND(_D="A-320",'2024'!$K$4="FO",'2024'!$K$2=BJ271),'2024DATA'!$E$30,"")</f>
        <v/>
      </c>
      <c r="BK299" s="518" t="str">
        <f>IF(AND(_D="A-320",'2024'!$K$4="FO",'2024'!$K$2=BK271),'2024DATA'!$F$30,"")</f>
        <v/>
      </c>
      <c r="BL299" s="518" t="str">
        <f>IF(AND(_D="A-320",'2024'!$K$4="FO",'2024'!$K$2=BL271),'2024DATA'!$G$30,"")</f>
        <v/>
      </c>
      <c r="BM299" s="518" t="str">
        <f>IF(AND(_D="A-320",'2024'!$K$4="FO",'2024'!$K$2=BM271),'2024DATA'!$H$30,"")</f>
        <v/>
      </c>
      <c r="BN299" s="518" t="str">
        <f>IF(AND(_D="A-320",'2024'!$K$4="FO",'2024'!$K$2=BN271),'2024DATA'!$I$30,"")</f>
        <v/>
      </c>
      <c r="BO299" s="518" t="str">
        <f>IF(AND(_D="A-320",'2024'!$K$4="FO",'2024'!$K$2=BO271),'2024DATA'!$J$30,"")</f>
        <v/>
      </c>
      <c r="BP299" s="518" t="str">
        <f>IF(AND(_D="A-320",'2024'!$K$4="FO",'2024'!$K$2=BP271),'2024DATA'!$K$30,"")</f>
        <v/>
      </c>
      <c r="BQ299" s="518" t="str">
        <f>IF(AND(_D="A-320",'2024'!$K$4="FO",'2024'!$K$2=BQ271),'2024DATA'!$L$30,"")</f>
        <v/>
      </c>
      <c r="BR299" s="518" t="str">
        <f>IF(AND(_D="A-320",'2024'!$K$4="FO",'2024'!$K$2=BR271),'2024DATA'!$M$30,"")</f>
        <v/>
      </c>
      <c r="BS299" s="520" t="str">
        <f>IF(AND(_D="A-320",'2024'!$K$4="FO",'2024'!$K$2=BS271),'2024DATA'!$N$30,"")</f>
        <v/>
      </c>
      <c r="BT299" s="940"/>
      <c r="BU299" s="13" t="s">
        <v>62</v>
      </c>
      <c r="BV299" s="518" t="str">
        <f>IF(AND(_E="A-320",'2024'!$K$4="FO",'2024'!$K$2=BV271),'2024DATA'!$C$30,"")</f>
        <v/>
      </c>
      <c r="BW299" s="518" t="str">
        <f>IF(AND(_E="A-320",'2024'!$K$4="FO",'2024'!$K$2=BW271),'2024DATA'!$D$30,"")</f>
        <v/>
      </c>
      <c r="BX299" s="518" t="str">
        <f>IF(AND(_E="A-320",'2024'!$K$4="FO",'2024'!$K$2=BX271),'2024DATA'!$E$30,"")</f>
        <v/>
      </c>
      <c r="BY299" s="518" t="str">
        <f>IF(AND(_E="A-320",'2024'!$K$4="FO",'2024'!$K$2=BY271),'2024DATA'!$F$30,"")</f>
        <v/>
      </c>
      <c r="BZ299" s="518" t="str">
        <f>IF(AND(_E="A-320",'2024'!$K$4="FO",'2024'!$K$2=BZ271),'2024DATA'!$G$30,"")</f>
        <v/>
      </c>
      <c r="CA299" s="518" t="str">
        <f>IF(AND(_E="A-320",'2024'!$K$4="FO",'2024'!$K$2=CA271),'2024DATA'!$H$30,"")</f>
        <v/>
      </c>
      <c r="CB299" s="518" t="str">
        <f>IF(AND(_E="A-320",'2024'!$K$4="FO",'2024'!$K$2=CB271),'2024DATA'!$I$30,"")</f>
        <v/>
      </c>
      <c r="CC299" s="518" t="str">
        <f>IF(AND(_E="A-320",'2024'!$K$4="FO",'2024'!$K$2=CC271),'2024DATA'!$J$30,"")</f>
        <v/>
      </c>
      <c r="CD299" s="518" t="str">
        <f>IF(AND(_E="A-320",'2024'!$K$4="FO",'2024'!$K$2=CD271),'2024DATA'!$K$30,"")</f>
        <v/>
      </c>
      <c r="CE299" s="518" t="str">
        <f>IF(AND(_E="A-320",'2024'!$K$4="FO",'2024'!$K$2=CE271),'2024DATA'!$L$30,"")</f>
        <v/>
      </c>
      <c r="CF299" s="518" t="str">
        <f>IF(AND(_E="A-320",'2024'!$K$4="FO",'2024'!$K$2=CF271),'2024DATA'!$M$30,"")</f>
        <v/>
      </c>
      <c r="CG299" s="520" t="str">
        <f>IF(AND(_E="A-320",'2024'!$K$4="FO",'2024'!$K$2=CG271),'2024DATA'!$N$30,"")</f>
        <v/>
      </c>
      <c r="CH299" s="940"/>
      <c r="CI299" s="13" t="s">
        <v>62</v>
      </c>
      <c r="CJ299" s="518" t="str">
        <f>IF(AND(_F="A-320",'2024'!$K$4="FO",'2024'!$K$2=CJ271),'2024DATA'!$C$30,"")</f>
        <v/>
      </c>
      <c r="CK299" s="518" t="str">
        <f>IF(AND(_F="A-320",'2024'!$K$4="FO",'2024'!$K$2=CK271),'2024DATA'!$D$30,"")</f>
        <v/>
      </c>
      <c r="CL299" s="518" t="str">
        <f>IF(AND(_F="A-320",'2024'!$K$4="FO",'2024'!$K$2=CL271),'2024DATA'!$E$30,"")</f>
        <v/>
      </c>
      <c r="CM299" s="518" t="str">
        <f>IF(AND(_F="A-320",'2024'!$K$4="FO",'2024'!$K$2=CM271),'2024DATA'!$F$30,"")</f>
        <v/>
      </c>
      <c r="CN299" s="518" t="str">
        <f>IF(AND(_F="A-320",'2024'!$K$4="FO",'2024'!$K$2=CN271),'2024DATA'!$G$30,"")</f>
        <v/>
      </c>
      <c r="CO299" s="518" t="str">
        <f>IF(AND(_F="A-320",'2024'!$K$4="FO",'2024'!$K$2=CO271),'2024DATA'!$H$30,"")</f>
        <v/>
      </c>
      <c r="CP299" s="518" t="str">
        <f>IF(AND(_F="A-320",'2024'!$K$4="FO",'2024'!$K$2=CP271),'2024DATA'!$I$30,"")</f>
        <v/>
      </c>
      <c r="CQ299" s="518" t="str">
        <f>IF(AND(_F="A-320",'2024'!$K$4="FO",'2024'!$K$2=CQ271),'2024DATA'!$J$30,"")</f>
        <v/>
      </c>
      <c r="CR299" s="518" t="str">
        <f>IF(AND(_F="A-320",'2024'!$K$4="FO",'2024'!$K$2=CR271),'2024DATA'!$K$30,"")</f>
        <v/>
      </c>
      <c r="CS299" s="518" t="str">
        <f>IF(AND(_F="A-320",'2024'!$K$4="FO",'2024'!$K$2=CS271),'2024DATA'!$L$30,"")</f>
        <v/>
      </c>
      <c r="CT299" s="518" t="str">
        <f>IF(AND(_F="A-320",'2024'!$K$4="FO",'2024'!$K$2=CT271),'2024DATA'!$M$30,"")</f>
        <v/>
      </c>
      <c r="CU299" s="520" t="str">
        <f>IF(AND(_F="A-320",'2024'!$K$4="FO",'2024'!$K$2=CU271),'2024DATA'!$N$30,"")</f>
        <v/>
      </c>
    </row>
    <row r="300" spans="16:99" x14ac:dyDescent="0.25">
      <c r="P300" s="940" t="s">
        <v>71</v>
      </c>
      <c r="Q300" s="13" t="s">
        <v>61</v>
      </c>
      <c r="R300" s="518" t="str">
        <f>IF(AND(_A="A-319",'2024'!$K$4="CA",'2024'!$K$2=R271),'2024DATA'!$C$31,"")</f>
        <v/>
      </c>
      <c r="S300" s="518" t="str">
        <f>IF(AND(_A="A-319",'2024'!$K$4="CA",'2024'!$K$2=S271),'2024DATA'!$D$31,"")</f>
        <v/>
      </c>
      <c r="T300" s="518" t="str">
        <f>IF(AND(_A="A-319",'2024'!$K$4="CA",'2024'!$K$2=T271),'2024DATA'!$E$31,"")</f>
        <v/>
      </c>
      <c r="U300" s="518" t="str">
        <f>IF(AND(_A="A-319",'2024'!$K$4="CA",'2024'!$K$2=U271),'2024DATA'!$F$31,"")</f>
        <v/>
      </c>
      <c r="V300" s="518" t="str">
        <f>IF(AND(_A="A-319",'2024'!$K$4="CA",'2024'!$K$2=V271),'2024DATA'!$G$31,"")</f>
        <v/>
      </c>
      <c r="W300" s="518" t="str">
        <f>IF(AND(_A="A-319",'2024'!$K$4="CA",'2024'!$K$2=W271),'2024DATA'!$H$31,"")</f>
        <v/>
      </c>
      <c r="X300" s="518" t="str">
        <f>IF(AND(_A="A-319",'2024'!$K$4="CA",'2024'!$K$2=X271),'2024DATA'!$I$31,"")</f>
        <v/>
      </c>
      <c r="Y300" s="518" t="str">
        <f>IF(AND(_A="A-319",'2024'!$K$4="CA",'2024'!$K$2=Y271),'2024DATA'!$J$31,"")</f>
        <v/>
      </c>
      <c r="Z300" s="518" t="str">
        <f>IF(AND(_A="A-319",'2024'!$K$4="CA",'2024'!$K$2=Z271),'2024DATA'!$K$31,"")</f>
        <v/>
      </c>
      <c r="AA300" s="518" t="str">
        <f>IF(AND(_A="A-319",'2024'!$K$4="CA",'2024'!$K$2=AA271),'2024DATA'!$L$31,"")</f>
        <v/>
      </c>
      <c r="AB300" s="518" t="str">
        <f>IF(AND(_A="A-319",'2024'!$K$4="CA",'2024'!$K$2=AB271),'2024DATA'!$M$31,"")</f>
        <v/>
      </c>
      <c r="AC300" s="520" t="str">
        <f>IF(AND(_A="A-319",'2024'!$K$4="CA",'2024'!$K$2=AC271),'2024DATA'!$N$31,"")</f>
        <v/>
      </c>
      <c r="AD300" s="940" t="s">
        <v>71</v>
      </c>
      <c r="AE300" s="13" t="s">
        <v>61</v>
      </c>
      <c r="AF300" s="518" t="str">
        <f>IF(AND(_B="A-319",'2024'!$K$4="CA",'2024'!$K$2=AF271),'2024DATA'!$C$31,"")</f>
        <v/>
      </c>
      <c r="AG300" s="518" t="str">
        <f>IF(AND(_B="A-319",'2024'!$K$4="CA",'2024'!$K$2=AG271),'2024DATA'!$D$31,"")</f>
        <v/>
      </c>
      <c r="AH300" s="518" t="str">
        <f>IF(AND(_B="A-319",'2024'!$K$4="CA",'2024'!$K$2=AH271),'2024DATA'!$E$31,"")</f>
        <v/>
      </c>
      <c r="AI300" s="518" t="str">
        <f>IF(AND(_B="A-319",'2024'!$K$4="CA",'2024'!$K$2=AI271),'2024DATA'!$F$31,"")</f>
        <v/>
      </c>
      <c r="AJ300" s="518" t="str">
        <f>IF(AND(_B="A-319",'2024'!$K$4="CA",'2024'!$K$2=AJ271),'2024DATA'!$G$31,"")</f>
        <v/>
      </c>
      <c r="AK300" s="518" t="str">
        <f>IF(AND(_B="A-319",'2024'!$K$4="CA",'2024'!$K$2=AK271),'2024DATA'!$H$31,"")</f>
        <v/>
      </c>
      <c r="AL300" s="518" t="str">
        <f>IF(AND(_B="A-319",'2024'!$K$4="CA",'2024'!$K$2=AL271),'2024DATA'!$I$31,"")</f>
        <v/>
      </c>
      <c r="AM300" s="518" t="str">
        <f>IF(AND(_B="A-319",'2024'!$K$4="CA",'2024'!$K$2=AM271),'2024DATA'!$J$31,"")</f>
        <v/>
      </c>
      <c r="AN300" s="518" t="str">
        <f>IF(AND(_B="A-319",'2024'!$K$4="CA",'2024'!$K$2=AN271),'2024DATA'!$K$31,"")</f>
        <v/>
      </c>
      <c r="AO300" s="518" t="str">
        <f>IF(AND(_B="A-319",'2024'!$K$4="CA",'2024'!$K$2=AO271),'2024DATA'!$L$31,"")</f>
        <v/>
      </c>
      <c r="AP300" s="518" t="str">
        <f>IF(AND(_B="A-319",'2024'!$K$4="CA",'2024'!$K$2=AP271),'2024DATA'!$M$31,"")</f>
        <v/>
      </c>
      <c r="AQ300" s="520" t="str">
        <f>IF(AND(_B="A-319",'2024'!$K$4="CA",'2024'!$K$2=AQ271),'2024DATA'!$N$31,"")</f>
        <v/>
      </c>
      <c r="AR300" s="940" t="s">
        <v>71</v>
      </c>
      <c r="AS300" s="13" t="s">
        <v>61</v>
      </c>
      <c r="AT300" s="518" t="str">
        <f>IF(AND(_C="A-319",'2024'!$K$4="CA",'2024'!$K$2=AT271),'2024DATA'!$C$31,"")</f>
        <v/>
      </c>
      <c r="AU300" s="518" t="str">
        <f>IF(AND(_C="A-319",'2024'!$K$4="CA",'2024'!$K$2=AU271),'2024DATA'!$D$31,"")</f>
        <v/>
      </c>
      <c r="AV300" s="518" t="str">
        <f>IF(AND(_C="A-319",'2024'!$K$4="CA",'2024'!$K$2=AV271),'2024DATA'!$E$31,"")</f>
        <v/>
      </c>
      <c r="AW300" s="518" t="str">
        <f>IF(AND(_C="A-319",'2024'!$K$4="CA",'2024'!$K$2=AW271),'2024DATA'!$F$31,"")</f>
        <v/>
      </c>
      <c r="AX300" s="518" t="str">
        <f>IF(AND(_C="A-319",'2024'!$K$4="CA",'2024'!$K$2=AX271),'2024DATA'!$G$31,"")</f>
        <v/>
      </c>
      <c r="AY300" s="518" t="str">
        <f>IF(AND(_C="A-319",'2024'!$K$4="CA",'2024'!$K$2=AY271),'2024DATA'!$H$31,"")</f>
        <v/>
      </c>
      <c r="AZ300" s="518" t="str">
        <f>IF(AND(_C="A-319",'2024'!$K$4="CA",'2024'!$K$2=AZ271),'2024DATA'!$I$31,"")</f>
        <v/>
      </c>
      <c r="BA300" s="518" t="str">
        <f>IF(AND(_C="A-319",'2024'!$K$4="CA",'2024'!$K$2=BA271),'2024DATA'!$J$31,"")</f>
        <v/>
      </c>
      <c r="BB300" s="518" t="str">
        <f>IF(AND(_C="A-319",'2024'!$K$4="CA",'2024'!$K$2=BB271),'2024DATA'!$K$31,"")</f>
        <v/>
      </c>
      <c r="BC300" s="518" t="str">
        <f>IF(AND(_C="A-319",'2024'!$K$4="CA",'2024'!$K$2=BC271),'2024DATA'!$L$31,"")</f>
        <v/>
      </c>
      <c r="BD300" s="518" t="str">
        <f>IF(AND(_C="A-319",'2024'!$K$4="CA",'2024'!$K$2=BD271),'2024DATA'!$M$31,"")</f>
        <v/>
      </c>
      <c r="BE300" s="520" t="str">
        <f>IF(AND(_C="A-319",'2024'!$K$4="CA",'2024'!$K$2=BE271),'2024DATA'!$N$31,"")</f>
        <v/>
      </c>
      <c r="BF300" s="940" t="s">
        <v>71</v>
      </c>
      <c r="BG300" s="13" t="s">
        <v>61</v>
      </c>
      <c r="BH300" s="518" t="str">
        <f>IF(AND(_D="A-319",'2024'!$K$4="CA",'2024'!$K$2=BH271),'2024DATA'!$C$31,"")</f>
        <v/>
      </c>
      <c r="BI300" s="518" t="str">
        <f>IF(AND(_D="A-319",'2024'!$K$4="CA",'2024'!$K$2=BI271),'2024DATA'!$D$31,"")</f>
        <v/>
      </c>
      <c r="BJ300" s="518" t="str">
        <f>IF(AND(_D="A-319",'2024'!$K$4="CA",'2024'!$K$2=BJ271),'2024DATA'!$E$31,"")</f>
        <v/>
      </c>
      <c r="BK300" s="518" t="str">
        <f>IF(AND(_D="A-319",'2024'!$K$4="CA",'2024'!$K$2=BK271),'2024DATA'!$F$31,"")</f>
        <v/>
      </c>
      <c r="BL300" s="518" t="str">
        <f>IF(AND(_D="A-319",'2024'!$K$4="CA",'2024'!$K$2=BL271),'2024DATA'!$G$31,"")</f>
        <v/>
      </c>
      <c r="BM300" s="518" t="str">
        <f>IF(AND(_D="A-319",'2024'!$K$4="CA",'2024'!$K$2=BM271),'2024DATA'!$H$31,"")</f>
        <v/>
      </c>
      <c r="BN300" s="518" t="str">
        <f>IF(AND(_D="A-319",'2024'!$K$4="CA",'2024'!$K$2=BN271),'2024DATA'!$I$31,"")</f>
        <v/>
      </c>
      <c r="BO300" s="518" t="str">
        <f>IF(AND(_D="A-319",'2024'!$K$4="CA",'2024'!$K$2=BO271),'2024DATA'!$J$31,"")</f>
        <v/>
      </c>
      <c r="BP300" s="518" t="str">
        <f>IF(AND(_D="A-319",'2024'!$K$4="CA",'2024'!$K$2=BP271),'2024DATA'!$K$31,"")</f>
        <v/>
      </c>
      <c r="BQ300" s="518" t="str">
        <f>IF(AND(_D="A-319",'2024'!$K$4="CA",'2024'!$K$2=BQ271),'2024DATA'!$L$31,"")</f>
        <v/>
      </c>
      <c r="BR300" s="518" t="str">
        <f>IF(AND(_D="A-319",'2024'!$K$4="CA",'2024'!$K$2=BR271),'2024DATA'!$M$31,"")</f>
        <v/>
      </c>
      <c r="BS300" s="520" t="str">
        <f>IF(AND(_D="A-319",'2024'!$K$4="CA",'2024'!$K$2=BS271),'2024DATA'!$N$31,"")</f>
        <v/>
      </c>
      <c r="BT300" s="940" t="s">
        <v>71</v>
      </c>
      <c r="BU300" s="13" t="s">
        <v>61</v>
      </c>
      <c r="BV300" s="518" t="str">
        <f>IF(AND(_E="A-319",'2024'!$K$4="CA",'2024'!$K$2=BV271),'2024DATA'!$C$31,"")</f>
        <v/>
      </c>
      <c r="BW300" s="518" t="str">
        <f>IF(AND(_E="A-319",'2024'!$K$4="CA",'2024'!$K$2=BW271),'2024DATA'!$D$31,"")</f>
        <v/>
      </c>
      <c r="BX300" s="518" t="str">
        <f>IF(AND(_E="A-319",'2024'!$K$4="CA",'2024'!$K$2=BX271),'2024DATA'!$E$31,"")</f>
        <v/>
      </c>
      <c r="BY300" s="518" t="str">
        <f>IF(AND(_E="A-319",'2024'!$K$4="CA",'2024'!$K$2=BY271),'2024DATA'!$F$31,"")</f>
        <v/>
      </c>
      <c r="BZ300" s="518" t="str">
        <f>IF(AND(_E="A-319",'2024'!$K$4="CA",'2024'!$K$2=BZ271),'2024DATA'!$G$31,"")</f>
        <v/>
      </c>
      <c r="CA300" s="518" t="str">
        <f>IF(AND(_E="A-319",'2024'!$K$4="CA",'2024'!$K$2=CA271),'2024DATA'!$H$31,"")</f>
        <v/>
      </c>
      <c r="CB300" s="518" t="str">
        <f>IF(AND(_E="A-319",'2024'!$K$4="CA",'2024'!$K$2=CB271),'2024DATA'!$I$31,"")</f>
        <v/>
      </c>
      <c r="CC300" s="518" t="str">
        <f>IF(AND(_E="A-319",'2024'!$K$4="CA",'2024'!$K$2=CC271),'2024DATA'!$J$31,"")</f>
        <v/>
      </c>
      <c r="CD300" s="518" t="str">
        <f>IF(AND(_E="A-319",'2024'!$K$4="CA",'2024'!$K$2=CD271),'2024DATA'!$K$31,"")</f>
        <v/>
      </c>
      <c r="CE300" s="518" t="str">
        <f>IF(AND(_E="A-319",'2024'!$K$4="CA",'2024'!$K$2=CE271),'2024DATA'!$L$31,"")</f>
        <v/>
      </c>
      <c r="CF300" s="518" t="str">
        <f>IF(AND(_E="A-319",'2024'!$K$4="CA",'2024'!$K$2=CF271),'2024DATA'!$M$31,"")</f>
        <v/>
      </c>
      <c r="CG300" s="520" t="str">
        <f>IF(AND(_E="A-319",'2024'!$K$4="CA",'2024'!$K$2=CG271),'2024DATA'!$N$31,"")</f>
        <v/>
      </c>
      <c r="CH300" s="940" t="s">
        <v>71</v>
      </c>
      <c r="CI300" s="13" t="s">
        <v>61</v>
      </c>
      <c r="CJ300" s="518" t="str">
        <f>IF(AND(_F="A-319",'2024'!$K$4="CA",'2024'!$K$2=CJ271),'2024DATA'!$C$31,"")</f>
        <v/>
      </c>
      <c r="CK300" s="518" t="str">
        <f>IF(AND(_F="A-319",'2024'!$K$4="CA",'2024'!$K$2=CK271),'2024DATA'!$D$31,"")</f>
        <v/>
      </c>
      <c r="CL300" s="518" t="str">
        <f>IF(AND(_F="A-319",'2024'!$K$4="CA",'2024'!$K$2=CL271),'2024DATA'!$E$31,"")</f>
        <v/>
      </c>
      <c r="CM300" s="518" t="str">
        <f>IF(AND(_F="A-319",'2024'!$K$4="CA",'2024'!$K$2=CM271),'2024DATA'!$F$31,"")</f>
        <v/>
      </c>
      <c r="CN300" s="518" t="str">
        <f>IF(AND(_F="A-319",'2024'!$K$4="CA",'2024'!$K$2=CN271),'2024DATA'!$G$31,"")</f>
        <v/>
      </c>
      <c r="CO300" s="518" t="str">
        <f>IF(AND(_F="A-319",'2024'!$K$4="CA",'2024'!$K$2=CO271),'2024DATA'!$H$31,"")</f>
        <v/>
      </c>
      <c r="CP300" s="518" t="str">
        <f>IF(AND(_F="A-319",'2024'!$K$4="CA",'2024'!$K$2=CP271),'2024DATA'!$I$31,"")</f>
        <v/>
      </c>
      <c r="CQ300" s="518" t="str">
        <f>IF(AND(_F="A-319",'2024'!$K$4="CA",'2024'!$K$2=CQ271),'2024DATA'!$J$31,"")</f>
        <v/>
      </c>
      <c r="CR300" s="518" t="str">
        <f>IF(AND(_F="A-319",'2024'!$K$4="CA",'2024'!$K$2=CR271),'2024DATA'!$K$31,"")</f>
        <v/>
      </c>
      <c r="CS300" s="518" t="str">
        <f>IF(AND(_F="A-319",'2024'!$K$4="CA",'2024'!$K$2=CS271),'2024DATA'!$L$31,"")</f>
        <v/>
      </c>
      <c r="CT300" s="518" t="str">
        <f>IF(AND(_F="A-319",'2024'!$K$4="CA",'2024'!$K$2=CT271),'2024DATA'!$M$31,"")</f>
        <v/>
      </c>
      <c r="CU300" s="520" t="str">
        <f>IF(AND(_F="A-319",'2024'!$K$4="CA",'2024'!$K$2=CU271),'2024DATA'!$N$31,"")</f>
        <v/>
      </c>
    </row>
    <row r="301" spans="16:99" x14ac:dyDescent="0.25">
      <c r="P301" s="940"/>
      <c r="Q301" s="13" t="s">
        <v>62</v>
      </c>
      <c r="R301" s="518" t="str">
        <f>IF(AND(_A="A-319",'2024'!$K$4="FO",'2024'!$K$2=R271),'2024DATA'!$C$32,"")</f>
        <v/>
      </c>
      <c r="S301" s="518" t="str">
        <f>IF(AND(_A="A-319",'2024'!$K$4="FO",'2024'!$K$2=S271),'2024DATA'!$D$32,"")</f>
        <v/>
      </c>
      <c r="T301" s="518" t="str">
        <f>IF(AND(_A="A-319",'2024'!$K$4="FO",'2024'!$K$2=T271),'2024DATA'!$E$32,"")</f>
        <v/>
      </c>
      <c r="U301" s="518" t="str">
        <f>IF(AND(_A="A-319",'2024'!$K$4="FO",'2024'!$K$2=U271),'2024DATA'!$F$32,"")</f>
        <v/>
      </c>
      <c r="V301" s="518" t="str">
        <f>IF(AND(_A="A-319",'2024'!$K$4="FO",'2024'!$K$2=V271),'2024DATA'!$G$32,"")</f>
        <v/>
      </c>
      <c r="W301" s="518" t="str">
        <f>IF(AND(_A="A-319",'2024'!$K$4="FO",'2024'!$K$2=W271),'2024DATA'!$H$32,"")</f>
        <v/>
      </c>
      <c r="X301" s="518" t="str">
        <f>IF(AND(_A="A-319",'2024'!$K$4="FO",'2024'!$K$2=X271),'2024DATA'!$I$32,"")</f>
        <v/>
      </c>
      <c r="Y301" s="518" t="str">
        <f>IF(AND(_A="A-319",'2024'!$K$4="FO",'2024'!$K$2=Y271),'2024DATA'!$J$32,"")</f>
        <v/>
      </c>
      <c r="Z301" s="518" t="str">
        <f>IF(AND(_A="A-319",'2024'!$K$4="FO",'2024'!$K$2=Z271),'2024DATA'!$K$32,"")</f>
        <v/>
      </c>
      <c r="AA301" s="518" t="str">
        <f>IF(AND(_A="A-319",'2024'!$K$4="FO",'2024'!$K$2=AA271),'2024DATA'!$L$32,"")</f>
        <v/>
      </c>
      <c r="AB301" s="518" t="str">
        <f>IF(AND(_A="A-319",'2024'!$K$4="FO",'2024'!$K$2=AB271),'2024DATA'!$M$32,"")</f>
        <v/>
      </c>
      <c r="AC301" s="520" t="str">
        <f>IF(AND(_A="A-319",'2024'!$K$4="FO",'2024'!$K$2=AC271),'2024DATA'!$N$32,"")</f>
        <v/>
      </c>
      <c r="AD301" s="940"/>
      <c r="AE301" s="13" t="s">
        <v>62</v>
      </c>
      <c r="AF301" s="518" t="str">
        <f>IF(AND(_B="A-319",'2024'!$K$4="FO",'2024'!$K$2=AF271),'2024DATA'!$C$32,"")</f>
        <v/>
      </c>
      <c r="AG301" s="518" t="str">
        <f>IF(AND(_B="A-319",'2024'!$K$4="FO",'2024'!$K$2=AG271),'2024DATA'!$D$32,"")</f>
        <v/>
      </c>
      <c r="AH301" s="518" t="str">
        <f>IF(AND(_B="A-319",'2024'!$K$4="FO",'2024'!$K$2=AH271),'2024DATA'!$E$32,"")</f>
        <v/>
      </c>
      <c r="AI301" s="518" t="str">
        <f>IF(AND(_B="A-319",'2024'!$K$4="FO",'2024'!$K$2=AI271),'2024DATA'!$F$32,"")</f>
        <v/>
      </c>
      <c r="AJ301" s="518" t="str">
        <f>IF(AND(_B="A-319",'2024'!$K$4="FO",'2024'!$K$2=AJ271),'2024DATA'!$G$32,"")</f>
        <v/>
      </c>
      <c r="AK301" s="518" t="str">
        <f>IF(AND(_B="A-319",'2024'!$K$4="FO",'2024'!$K$2=AK271),'2024DATA'!$H$32,"")</f>
        <v/>
      </c>
      <c r="AL301" s="518" t="str">
        <f>IF(AND(_B="A-319",'2024'!$K$4="FO",'2024'!$K$2=AL271),'2024DATA'!$I$32,"")</f>
        <v/>
      </c>
      <c r="AM301" s="518" t="str">
        <f>IF(AND(_B="A-319",'2024'!$K$4="FO",'2024'!$K$2=AM271),'2024DATA'!$J$32,"")</f>
        <v/>
      </c>
      <c r="AN301" s="518" t="str">
        <f>IF(AND(_B="A-319",'2024'!$K$4="FO",'2024'!$K$2=AN271),'2024DATA'!$K$32,"")</f>
        <v/>
      </c>
      <c r="AO301" s="518" t="str">
        <f>IF(AND(_B="A-319",'2024'!$K$4="FO",'2024'!$K$2=AO271),'2024DATA'!$L$32,"")</f>
        <v/>
      </c>
      <c r="AP301" s="518" t="str">
        <f>IF(AND(_B="A-319",'2024'!$K$4="FO",'2024'!$K$2=AP271),'2024DATA'!$M$32,"")</f>
        <v/>
      </c>
      <c r="AQ301" s="520" t="str">
        <f>IF(AND(_B="A-319",'2024'!$K$4="FO",'2024'!$K$2=AQ271),'2024DATA'!$N$32,"")</f>
        <v/>
      </c>
      <c r="AR301" s="940"/>
      <c r="AS301" s="13" t="s">
        <v>62</v>
      </c>
      <c r="AT301" s="518" t="str">
        <f>IF(AND(_C="A-319",'2024'!$K$4="FO",'2024'!$K$2=AT271),'2024DATA'!$C$32,"")</f>
        <v/>
      </c>
      <c r="AU301" s="518" t="str">
        <f>IF(AND(_C="A-319",'2024'!$K$4="FO",'2024'!$K$2=AU271),'2024DATA'!$D$32,"")</f>
        <v/>
      </c>
      <c r="AV301" s="518" t="str">
        <f>IF(AND(_C="A-319",'2024'!$K$4="FO",'2024'!$K$2=AV271),'2024DATA'!$E$32,"")</f>
        <v/>
      </c>
      <c r="AW301" s="518" t="str">
        <f>IF(AND(_C="A-319",'2024'!$K$4="FO",'2024'!$K$2=AW271),'2024DATA'!$F$32,"")</f>
        <v/>
      </c>
      <c r="AX301" s="518" t="str">
        <f>IF(AND(_C="A-319",'2024'!$K$4="FO",'2024'!$K$2=AX271),'2024DATA'!$G$32,"")</f>
        <v/>
      </c>
      <c r="AY301" s="518" t="str">
        <f>IF(AND(_C="A-319",'2024'!$K$4="FO",'2024'!$K$2=AY271),'2024DATA'!$H$32,"")</f>
        <v/>
      </c>
      <c r="AZ301" s="518" t="str">
        <f>IF(AND(_C="A-319",'2024'!$K$4="FO",'2024'!$K$2=AZ271),'2024DATA'!$I$32,"")</f>
        <v/>
      </c>
      <c r="BA301" s="518" t="str">
        <f>IF(AND(_C="A-319",'2024'!$K$4="FO",'2024'!$K$2=BA271),'2024DATA'!$J$32,"")</f>
        <v/>
      </c>
      <c r="BB301" s="518" t="str">
        <f>IF(AND(_C="A-319",'2024'!$K$4="FO",'2024'!$K$2=BB271),'2024DATA'!$K$32,"")</f>
        <v/>
      </c>
      <c r="BC301" s="518" t="str">
        <f>IF(AND(_C="A-319",'2024'!$K$4="FO",'2024'!$K$2=BC271),'2024DATA'!$L$32,"")</f>
        <v/>
      </c>
      <c r="BD301" s="518" t="str">
        <f>IF(AND(_C="A-319",'2024'!$K$4="FO",'2024'!$K$2=BD271),'2024DATA'!$M$32,"")</f>
        <v/>
      </c>
      <c r="BE301" s="520" t="str">
        <f>IF(AND(_C="A-319",'2024'!$K$4="FO",'2024'!$K$2=BE271),'2024DATA'!$N$32,"")</f>
        <v/>
      </c>
      <c r="BF301" s="940"/>
      <c r="BG301" s="13" t="s">
        <v>62</v>
      </c>
      <c r="BH301" s="518" t="str">
        <f>IF(AND(_D="A-319",'2024'!$K$4="FO",'2024'!$K$2=BH271),'2024DATA'!$C$32,"")</f>
        <v/>
      </c>
      <c r="BI301" s="518" t="str">
        <f>IF(AND(_D="A-319",'2024'!$K$4="FO",'2024'!$K$2=BI271),'2024DATA'!$D$32,"")</f>
        <v/>
      </c>
      <c r="BJ301" s="518" t="str">
        <f>IF(AND(_D="A-319",'2024'!$K$4="FO",'2024'!$K$2=BJ271),'2024DATA'!$E$32,"")</f>
        <v/>
      </c>
      <c r="BK301" s="518" t="str">
        <f>IF(AND(_D="A-319",'2024'!$K$4="FO",'2024'!$K$2=BK271),'2024DATA'!$F$32,"")</f>
        <v/>
      </c>
      <c r="BL301" s="518" t="str">
        <f>IF(AND(_D="A-319",'2024'!$K$4="FO",'2024'!$K$2=BL271),'2024DATA'!$G$32,"")</f>
        <v/>
      </c>
      <c r="BM301" s="518" t="str">
        <f>IF(AND(_D="A-319",'2024'!$K$4="FO",'2024'!$K$2=BM271),'2024DATA'!$H$32,"")</f>
        <v/>
      </c>
      <c r="BN301" s="518" t="str">
        <f>IF(AND(_D="A-319",'2024'!$K$4="FO",'2024'!$K$2=BN271),'2024DATA'!$I$32,"")</f>
        <v/>
      </c>
      <c r="BO301" s="518" t="str">
        <f>IF(AND(_D="A-319",'2024'!$K$4="FO",'2024'!$K$2=BO271),'2024DATA'!$J$32,"")</f>
        <v/>
      </c>
      <c r="BP301" s="518" t="str">
        <f>IF(AND(_D="A-319",'2024'!$K$4="FO",'2024'!$K$2=BP271),'2024DATA'!$K$32,"")</f>
        <v/>
      </c>
      <c r="BQ301" s="518" t="str">
        <f>IF(AND(_D="A-319",'2024'!$K$4="FO",'2024'!$K$2=BQ271),'2024DATA'!$L$32,"")</f>
        <v/>
      </c>
      <c r="BR301" s="518" t="str">
        <f>IF(AND(_D="A-319",'2024'!$K$4="FO",'2024'!$K$2=BR271),'2024DATA'!$M$32,"")</f>
        <v/>
      </c>
      <c r="BS301" s="520" t="str">
        <f>IF(AND(_D="A-319",'2024'!$K$4="FO",'2024'!$K$2=BS271),'2024DATA'!$N$32,"")</f>
        <v/>
      </c>
      <c r="BT301" s="940"/>
      <c r="BU301" s="13" t="s">
        <v>62</v>
      </c>
      <c r="BV301" s="518" t="str">
        <f>IF(AND(_E="A-319",'2024'!$K$4="FO",'2024'!$K$2=BV271),'2024DATA'!$C$32,"")</f>
        <v/>
      </c>
      <c r="BW301" s="518" t="str">
        <f>IF(AND(_E="A-319",'2024'!$K$4="FO",'2024'!$K$2=BW271),'2024DATA'!$D$32,"")</f>
        <v/>
      </c>
      <c r="BX301" s="518" t="str">
        <f>IF(AND(_E="A-319",'2024'!$K$4="FO",'2024'!$K$2=BX271),'2024DATA'!$E$32,"")</f>
        <v/>
      </c>
      <c r="BY301" s="518" t="str">
        <f>IF(AND(_E="A-319",'2024'!$K$4="FO",'2024'!$K$2=BY271),'2024DATA'!$F$32,"")</f>
        <v/>
      </c>
      <c r="BZ301" s="518" t="str">
        <f>IF(AND(_E="A-319",'2024'!$K$4="FO",'2024'!$K$2=BZ271),'2024DATA'!$G$32,"")</f>
        <v/>
      </c>
      <c r="CA301" s="518" t="str">
        <f>IF(AND(_E="A-319",'2024'!$K$4="FO",'2024'!$K$2=CA271),'2024DATA'!$H$32,"")</f>
        <v/>
      </c>
      <c r="CB301" s="518" t="str">
        <f>IF(AND(_E="A-319",'2024'!$K$4="FO",'2024'!$K$2=CB271),'2024DATA'!$I$32,"")</f>
        <v/>
      </c>
      <c r="CC301" s="518" t="str">
        <f>IF(AND(_E="A-319",'2024'!$K$4="FO",'2024'!$K$2=CC271),'2024DATA'!$J$32,"")</f>
        <v/>
      </c>
      <c r="CD301" s="518" t="str">
        <f>IF(AND(_E="A-319",'2024'!$K$4="FO",'2024'!$K$2=CD271),'2024DATA'!$K$32,"")</f>
        <v/>
      </c>
      <c r="CE301" s="518" t="str">
        <f>IF(AND(_E="A-319",'2024'!$K$4="FO",'2024'!$K$2=CE271),'2024DATA'!$L$32,"")</f>
        <v/>
      </c>
      <c r="CF301" s="518" t="str">
        <f>IF(AND(_E="A-319",'2024'!$K$4="FO",'2024'!$K$2=CF271),'2024DATA'!$M$32,"")</f>
        <v/>
      </c>
      <c r="CG301" s="520" t="str">
        <f>IF(AND(_E="A-319",'2024'!$K$4="FO",'2024'!$K$2=CG271),'2024DATA'!$N$32,"")</f>
        <v/>
      </c>
      <c r="CH301" s="940"/>
      <c r="CI301" s="13" t="s">
        <v>62</v>
      </c>
      <c r="CJ301" s="518" t="str">
        <f>IF(AND(_F="A-319",'2024'!$K$4="FO",'2024'!$K$2=CJ271),'2024DATA'!$C$32,"")</f>
        <v/>
      </c>
      <c r="CK301" s="518" t="str">
        <f>IF(AND(_F="A-319",'2024'!$K$4="FO",'2024'!$K$2=CK271),'2024DATA'!$D$32,"")</f>
        <v/>
      </c>
      <c r="CL301" s="518" t="str">
        <f>IF(AND(_F="A-319",'2024'!$K$4="FO",'2024'!$K$2=CL271),'2024DATA'!$E$32,"")</f>
        <v/>
      </c>
      <c r="CM301" s="518" t="str">
        <f>IF(AND(_F="A-319",'2024'!$K$4="FO",'2024'!$K$2=CM271),'2024DATA'!$F$32,"")</f>
        <v/>
      </c>
      <c r="CN301" s="518" t="str">
        <f>IF(AND(_F="A-319",'2024'!$K$4="FO",'2024'!$K$2=CN271),'2024DATA'!$G$32,"")</f>
        <v/>
      </c>
      <c r="CO301" s="518" t="str">
        <f>IF(AND(_F="A-319",'2024'!$K$4="FO",'2024'!$K$2=CO271),'2024DATA'!$H$32,"")</f>
        <v/>
      </c>
      <c r="CP301" s="518" t="str">
        <f>IF(AND(_F="A-319",'2024'!$K$4="FO",'2024'!$K$2=CP271),'2024DATA'!$I$32,"")</f>
        <v/>
      </c>
      <c r="CQ301" s="518" t="str">
        <f>IF(AND(_F="A-319",'2024'!$K$4="FO",'2024'!$K$2=CQ271),'2024DATA'!$J$32,"")</f>
        <v/>
      </c>
      <c r="CR301" s="518" t="str">
        <f>IF(AND(_F="A-319",'2024'!$K$4="FO",'2024'!$K$2=CR271),'2024DATA'!$K$32,"")</f>
        <v/>
      </c>
      <c r="CS301" s="518" t="str">
        <f>IF(AND(_F="A-319",'2024'!$K$4="FO",'2024'!$K$2=CS271),'2024DATA'!$L$32,"")</f>
        <v/>
      </c>
      <c r="CT301" s="518" t="str">
        <f>IF(AND(_F="A-319",'2024'!$K$4="FO",'2024'!$K$2=CT271),'2024DATA'!$M$32,"")</f>
        <v/>
      </c>
      <c r="CU301" s="520" t="str">
        <f>IF(AND(_F="A-319",'2024'!$K$4="FO",'2024'!$K$2=CU271),'2024DATA'!$N$32,"")</f>
        <v/>
      </c>
    </row>
    <row r="302" spans="16:99" x14ac:dyDescent="0.25">
      <c r="P302" s="940" t="s">
        <v>51</v>
      </c>
      <c r="Q302" s="13" t="s">
        <v>61</v>
      </c>
      <c r="R302" s="518" t="str">
        <f>IF(AND(_A="A-220-300",'2024'!$K$4="CA",'2024'!$K$2=R271),'2024DATA'!$C$33,"")</f>
        <v/>
      </c>
      <c r="S302" s="518" t="str">
        <f>IF(AND(_A="A-220-300",'2024'!$K$4="CA",'2024'!$K$2=S271),'2024DATA'!$D$33,"")</f>
        <v/>
      </c>
      <c r="T302" s="518" t="str">
        <f>IF(AND(_A="A-220-300",'2024'!$K$4="CA",'2024'!$K$2=T271),'2024DATA'!$E$33,"")</f>
        <v/>
      </c>
      <c r="U302" s="518" t="str">
        <f>IF(AND(_A="A-220-300",'2024'!$K$4="CA",'2024'!$K$2=U271),'2024DATA'!$F$33,"")</f>
        <v/>
      </c>
      <c r="V302" s="518" t="str">
        <f>IF(AND(_A="A-220-300",'2024'!$K$4="CA",'2024'!$K$2=V271),'2024DATA'!$G$33,"")</f>
        <v/>
      </c>
      <c r="W302" s="518" t="str">
        <f>IF(AND(_A="A-220-300",'2024'!$K$4="CA",'2024'!$K$2=W271),'2024DATA'!$H$33,"")</f>
        <v/>
      </c>
      <c r="X302" s="518" t="str">
        <f>IF(AND(_A="A-220-300",'2024'!$K$4="CA",'2024'!$K$2=X271),'2024DATA'!$I$33,"")</f>
        <v/>
      </c>
      <c r="Y302" s="518" t="str">
        <f>IF(AND(_A="A-220-300",'2024'!$K$4="CA",'2024'!$K$2=Y271),'2024DATA'!$J$33,"")</f>
        <v/>
      </c>
      <c r="Z302" s="518" t="str">
        <f>IF(AND(_A="A-220-300",'2024'!$K$4="CA",'2024'!$K$2=Z271),'2024DATA'!$K$33,"")</f>
        <v/>
      </c>
      <c r="AA302" s="518" t="str">
        <f>IF(AND(_A="A-220-300",'2024'!$K$4="CA",'2024'!$K$2=AA271),'2024DATA'!$L$33,"")</f>
        <v/>
      </c>
      <c r="AB302" s="518" t="str">
        <f>IF(AND(_A="A-220-300",'2024'!$K$4="CA",'2024'!$K$2=AB271),'2024DATA'!$M$33,"")</f>
        <v/>
      </c>
      <c r="AC302" s="520" t="str">
        <f>IF(AND(_A="A-220-300",'2024'!$K$4="CA",'2024'!$K$2=AC271),'2024DATA'!$N$33,"")</f>
        <v/>
      </c>
      <c r="AD302" s="940" t="s">
        <v>51</v>
      </c>
      <c r="AE302" s="13" t="s">
        <v>61</v>
      </c>
      <c r="AF302" s="518" t="str">
        <f>IF(AND(_B="A-220-300",'2024'!$K$4="CA",'2024'!$K$2=AF271),'2024DATA'!$C$33,"")</f>
        <v/>
      </c>
      <c r="AG302" s="518" t="str">
        <f>IF(AND(_B="A-220-300",'2024'!$K$4="CA",'2024'!$K$2=AG271),'2024DATA'!$D$33,"")</f>
        <v/>
      </c>
      <c r="AH302" s="518" t="str">
        <f>IF(AND(_B="A-220-300",'2024'!$K$4="CA",'2024'!$K$2=AH271),'2024DATA'!$E$33,"")</f>
        <v/>
      </c>
      <c r="AI302" s="518" t="str">
        <f>IF(AND(_B="A-220-300",'2024'!$K$4="CA",'2024'!$K$2=AI271),'2024DATA'!$F$33,"")</f>
        <v/>
      </c>
      <c r="AJ302" s="518" t="str">
        <f>IF(AND(_B="A-220-300",'2024'!$K$4="CA",'2024'!$K$2=AJ271),'2024DATA'!$G$33,"")</f>
        <v/>
      </c>
      <c r="AK302" s="518" t="str">
        <f>IF(AND(_B="A-220-300",'2024'!$K$4="CA",'2024'!$K$2=AK271),'2024DATA'!$H$33,"")</f>
        <v/>
      </c>
      <c r="AL302" s="518" t="str">
        <f>IF(AND(_B="A-220-300",'2024'!$K$4="CA",'2024'!$K$2=AL271),'2024DATA'!$I$33,"")</f>
        <v/>
      </c>
      <c r="AM302" s="518" t="str">
        <f>IF(AND(_B="A-220-300",'2024'!$K$4="CA",'2024'!$K$2=AM271),'2024DATA'!$J$33,"")</f>
        <v/>
      </c>
      <c r="AN302" s="518" t="str">
        <f>IF(AND(_B="A-220-300",'2024'!$K$4="CA",'2024'!$K$2=AN271),'2024DATA'!$K$33,"")</f>
        <v/>
      </c>
      <c r="AO302" s="518" t="str">
        <f>IF(AND(_B="A-220-300",'2024'!$K$4="CA",'2024'!$K$2=AO271),'2024DATA'!$L$33,"")</f>
        <v/>
      </c>
      <c r="AP302" s="518" t="str">
        <f>IF(AND(_B="A-220-300",'2024'!$K$4="CA",'2024'!$K$2=AP271),'2024DATA'!$M$33,"")</f>
        <v/>
      </c>
      <c r="AQ302" s="520" t="str">
        <f>IF(AND(_B="A-220-300",'2024'!$K$4="CA",'2024'!$K$2=AQ271),'2024DATA'!$N$33,"")</f>
        <v/>
      </c>
      <c r="AR302" s="940" t="s">
        <v>51</v>
      </c>
      <c r="AS302" s="13" t="s">
        <v>61</v>
      </c>
      <c r="AT302" s="518" t="str">
        <f>IF(AND(_C="A-220-300",'2024'!$K$4="CA",'2024'!$K$2=AT271),'2024DATA'!$C$33,"")</f>
        <v/>
      </c>
      <c r="AU302" s="518" t="str">
        <f>IF(AND(_C="A-220-300",'2024'!$K$4="CA",'2024'!$K$2=AU271),'2024DATA'!$D$33,"")</f>
        <v/>
      </c>
      <c r="AV302" s="518" t="str">
        <f>IF(AND(_C="A-220-300",'2024'!$K$4="CA",'2024'!$K$2=AV271),'2024DATA'!$E$33,"")</f>
        <v/>
      </c>
      <c r="AW302" s="518" t="str">
        <f>IF(AND(_C="A-220-300",'2024'!$K$4="CA",'2024'!$K$2=AW271),'2024DATA'!$F$33,"")</f>
        <v/>
      </c>
      <c r="AX302" s="518" t="str">
        <f>IF(AND(_C="A-220-300",'2024'!$K$4="CA",'2024'!$K$2=AX271),'2024DATA'!$G$33,"")</f>
        <v/>
      </c>
      <c r="AY302" s="518" t="str">
        <f>IF(AND(_C="A-220-300",'2024'!$K$4="CA",'2024'!$K$2=AY271),'2024DATA'!$H$33,"")</f>
        <v/>
      </c>
      <c r="AZ302" s="518" t="str">
        <f>IF(AND(_C="A-220-300",'2024'!$K$4="CA",'2024'!$K$2=AZ271),'2024DATA'!$I$33,"")</f>
        <v/>
      </c>
      <c r="BA302" s="518" t="str">
        <f>IF(AND(_C="A-220-300",'2024'!$K$4="CA",'2024'!$K$2=BA271),'2024DATA'!$J$33,"")</f>
        <v/>
      </c>
      <c r="BB302" s="518" t="str">
        <f>IF(AND(_C="A-220-300",'2024'!$K$4="CA",'2024'!$K$2=BB271),'2024DATA'!$K$33,"")</f>
        <v/>
      </c>
      <c r="BC302" s="518" t="str">
        <f>IF(AND(_C="A-220-300",'2024'!$K$4="CA",'2024'!$K$2=BC271),'2024DATA'!$L$33,"")</f>
        <v/>
      </c>
      <c r="BD302" s="518" t="str">
        <f>IF(AND(_C="A-220-300",'2024'!$K$4="CA",'2024'!$K$2=BD271),'2024DATA'!$M$33,"")</f>
        <v/>
      </c>
      <c r="BE302" s="520" t="str">
        <f>IF(AND(_C="A-220-300",'2024'!$K$4="CA",'2024'!$K$2=BE271),'2024DATA'!$N$33,"")</f>
        <v/>
      </c>
      <c r="BF302" s="940" t="s">
        <v>51</v>
      </c>
      <c r="BG302" s="13" t="s">
        <v>61</v>
      </c>
      <c r="BH302" s="518" t="str">
        <f>IF(AND(_D="A-220-300",'2024'!$K$4="CA",'2024'!$K$2=BH271),'2024DATA'!$C$33,"")</f>
        <v/>
      </c>
      <c r="BI302" s="518" t="str">
        <f>IF(AND(_D="A-220-300",'2024'!$K$4="CA",'2024'!$K$2=BI271),'2024DATA'!$D$33,"")</f>
        <v/>
      </c>
      <c r="BJ302" s="518" t="str">
        <f>IF(AND(_D="A-220-300",'2024'!$K$4="CA",'2024'!$K$2=BJ271),'2024DATA'!$E$33,"")</f>
        <v/>
      </c>
      <c r="BK302" s="518" t="str">
        <f>IF(AND(_D="A-220-300",'2024'!$K$4="CA",'2024'!$K$2=BK271),'2024DATA'!$F$33,"")</f>
        <v/>
      </c>
      <c r="BL302" s="518" t="str">
        <f>IF(AND(_D="A-220-300",'2024'!$K$4="CA",'2024'!$K$2=BL271),'2024DATA'!$G$33,"")</f>
        <v/>
      </c>
      <c r="BM302" s="518" t="str">
        <f>IF(AND(_D="A-220-300",'2024'!$K$4="CA",'2024'!$K$2=BM271),'2024DATA'!$H$33,"")</f>
        <v/>
      </c>
      <c r="BN302" s="518" t="str">
        <f>IF(AND(_D="A-220-300",'2024'!$K$4="CA",'2024'!$K$2=BN271),'2024DATA'!$I$33,"")</f>
        <v/>
      </c>
      <c r="BO302" s="518" t="str">
        <f>IF(AND(_D="A-220-300",'2024'!$K$4="CA",'2024'!$K$2=BO271),'2024DATA'!$J$33,"")</f>
        <v/>
      </c>
      <c r="BP302" s="518" t="str">
        <f>IF(AND(_D="A-220-300",'2024'!$K$4="CA",'2024'!$K$2=BP271),'2024DATA'!$K$33,"")</f>
        <v/>
      </c>
      <c r="BQ302" s="518" t="str">
        <f>IF(AND(_D="A-220-300",'2024'!$K$4="CA",'2024'!$K$2=BQ271),'2024DATA'!$L$33,"")</f>
        <v/>
      </c>
      <c r="BR302" s="518" t="str">
        <f>IF(AND(_D="A-220-300",'2024'!$K$4="CA",'2024'!$K$2=BR271),'2024DATA'!$M$33,"")</f>
        <v/>
      </c>
      <c r="BS302" s="520" t="str">
        <f>IF(AND(_D="A-220-300",'2024'!$K$4="CA",'2024'!$K$2=BS271),'2024DATA'!$N$33,"")</f>
        <v/>
      </c>
      <c r="BT302" s="940" t="s">
        <v>51</v>
      </c>
      <c r="BU302" s="13" t="s">
        <v>61</v>
      </c>
      <c r="BV302" s="518" t="str">
        <f>IF(AND(_E="A-220-300",'2024'!$K$4="CA",'2024'!$K$2=BV271),'2024DATA'!$C$33,"")</f>
        <v/>
      </c>
      <c r="BW302" s="518" t="str">
        <f>IF(AND(_E="A-220-300",'2024'!$K$4="CA",'2024'!$K$2=BW271),'2024DATA'!$D$33,"")</f>
        <v/>
      </c>
      <c r="BX302" s="518" t="str">
        <f>IF(AND(_E="A-220-300",'2024'!$K$4="CA",'2024'!$K$2=BX271),'2024DATA'!$E$33,"")</f>
        <v/>
      </c>
      <c r="BY302" s="518" t="str">
        <f>IF(AND(_E="A-220-300",'2024'!$K$4="CA",'2024'!$K$2=BY271),'2024DATA'!$F$33,"")</f>
        <v/>
      </c>
      <c r="BZ302" s="518" t="str">
        <f>IF(AND(_E="A-220-300",'2024'!$K$4="CA",'2024'!$K$2=BZ271),'2024DATA'!$G$33,"")</f>
        <v/>
      </c>
      <c r="CA302" s="518" t="str">
        <f>IF(AND(_E="A-220-300",'2024'!$K$4="CA",'2024'!$K$2=CA271),'2024DATA'!$H$33,"")</f>
        <v/>
      </c>
      <c r="CB302" s="518" t="str">
        <f>IF(AND(_E="A-220-300",'2024'!$K$4="CA",'2024'!$K$2=CB271),'2024DATA'!$I$33,"")</f>
        <v/>
      </c>
      <c r="CC302" s="518" t="str">
        <f>IF(AND(_E="A-220-300",'2024'!$K$4="CA",'2024'!$K$2=CC271),'2024DATA'!$J$33,"")</f>
        <v/>
      </c>
      <c r="CD302" s="518" t="str">
        <f>IF(AND(_E="A-220-300",'2024'!$K$4="CA",'2024'!$K$2=CD271),'2024DATA'!$K$33,"")</f>
        <v/>
      </c>
      <c r="CE302" s="518" t="str">
        <f>IF(AND(_E="A-220-300",'2024'!$K$4="CA",'2024'!$K$2=CE271),'2024DATA'!$L$33,"")</f>
        <v/>
      </c>
      <c r="CF302" s="518" t="str">
        <f>IF(AND(_E="A-220-300",'2024'!$K$4="CA",'2024'!$K$2=CF271),'2024DATA'!$M$33,"")</f>
        <v/>
      </c>
      <c r="CG302" s="520" t="str">
        <f>IF(AND(_E="A-220-300",'2024'!$K$4="CA",'2024'!$K$2=CG271),'2024DATA'!$N$33,"")</f>
        <v/>
      </c>
      <c r="CH302" s="940" t="s">
        <v>51</v>
      </c>
      <c r="CI302" s="13" t="s">
        <v>61</v>
      </c>
      <c r="CJ302" s="518" t="str">
        <f>IF(AND(_F="A-220-300",'2024'!$K$4="CA",'2024'!$K$2=CJ271),'2024DATA'!$C$33,"")</f>
        <v/>
      </c>
      <c r="CK302" s="518" t="str">
        <f>IF(AND(_F="A-220-300",'2024'!$K$4="CA",'2024'!$K$2=CK271),'2024DATA'!$D$33,"")</f>
        <v/>
      </c>
      <c r="CL302" s="518" t="str">
        <f>IF(AND(_F="A-220-300",'2024'!$K$4="CA",'2024'!$K$2=CL271),'2024DATA'!$E$33,"")</f>
        <v/>
      </c>
      <c r="CM302" s="518" t="str">
        <f>IF(AND(_F="A-220-300",'2024'!$K$4="CA",'2024'!$K$2=CM271),'2024DATA'!$F$33,"")</f>
        <v/>
      </c>
      <c r="CN302" s="518" t="str">
        <f>IF(AND(_F="A-220-300",'2024'!$K$4="CA",'2024'!$K$2=CN271),'2024DATA'!$G$33,"")</f>
        <v/>
      </c>
      <c r="CO302" s="518" t="str">
        <f>IF(AND(_F="A-220-300",'2024'!$K$4="CA",'2024'!$K$2=CO271),'2024DATA'!$H$33,"")</f>
        <v/>
      </c>
      <c r="CP302" s="518" t="str">
        <f>IF(AND(_F="A-220-300",'2024'!$K$4="CA",'2024'!$K$2=CP271),'2024DATA'!$I$33,"")</f>
        <v/>
      </c>
      <c r="CQ302" s="518" t="str">
        <f>IF(AND(_F="A-220-300",'2024'!$K$4="CA",'2024'!$K$2=CQ271),'2024DATA'!$J$33,"")</f>
        <v/>
      </c>
      <c r="CR302" s="518" t="str">
        <f>IF(AND(_F="A-220-300",'2024'!$K$4="CA",'2024'!$K$2=CR271),'2024DATA'!$K$33,"")</f>
        <v/>
      </c>
      <c r="CS302" s="518" t="str">
        <f>IF(AND(_F="A-220-300",'2024'!$K$4="CA",'2024'!$K$2=CS271),'2024DATA'!$L$33,"")</f>
        <v/>
      </c>
      <c r="CT302" s="518" t="str">
        <f>IF(AND(_F="A-220-300",'2024'!$K$4="CA",'2024'!$K$2=CT271),'2024DATA'!$M$33,"")</f>
        <v/>
      </c>
      <c r="CU302" s="520" t="str">
        <f>IF(AND(_F="A-220-300",'2024'!$K$4="CA",'2024'!$K$2=CU271),'2024DATA'!$N$33,"")</f>
        <v/>
      </c>
    </row>
    <row r="303" spans="16:99" x14ac:dyDescent="0.25">
      <c r="P303" s="940"/>
      <c r="Q303" s="13" t="s">
        <v>62</v>
      </c>
      <c r="R303" s="518" t="str">
        <f>IF(AND(_A="A-220-300",'2024'!$K$4="FO",'2024'!$K$2=R271),'2024DATA'!$C$34,"")</f>
        <v/>
      </c>
      <c r="S303" s="518" t="str">
        <f>IF(AND(_A="A-220-300",'2024'!$K$4="FO",'2024'!$K$2=S271),'2024DATA'!$D$34,"")</f>
        <v/>
      </c>
      <c r="T303" s="518" t="str">
        <f>IF(AND(_A="A-220-300",'2024'!$K$4="FO",'2024'!$K$2=T271),'2024DATA'!$E$34,"")</f>
        <v/>
      </c>
      <c r="U303" s="518" t="str">
        <f>IF(AND(_A="A-220-300",'2024'!$K$4="FO",'2024'!$K$2=U271),'2024DATA'!$F$34,"")</f>
        <v/>
      </c>
      <c r="V303" s="518" t="str">
        <f>IF(AND(_A="A-220-300",'2024'!$K$4="FO",'2024'!$K$2=V271),'2024DATA'!$G$34,"")</f>
        <v/>
      </c>
      <c r="W303" s="518" t="str">
        <f>IF(AND(_A="A-220-300",'2024'!$K$4="FO",'2024'!$K$2=W271),'2024DATA'!$H$34,"")</f>
        <v/>
      </c>
      <c r="X303" s="518" t="str">
        <f>IF(AND(_A="A-220-300",'2024'!$K$4="FO",'2024'!$K$2=X271),'2024DATA'!$I$34,"")</f>
        <v/>
      </c>
      <c r="Y303" s="518" t="str">
        <f>IF(AND(_A="A-220-300",'2024'!$K$4="FO",'2024'!$K$2=Y271),'2024DATA'!$J$34,"")</f>
        <v/>
      </c>
      <c r="Z303" s="518" t="str">
        <f>IF(AND(_A="A-220-300",'2024'!$K$4="FO",'2024'!$K$2=Z271),'2024DATA'!$K$34,"")</f>
        <v/>
      </c>
      <c r="AA303" s="518" t="str">
        <f>IF(AND(_A="A-220-300",'2024'!$K$4="FO",'2024'!$K$2=AA271),'2024DATA'!$L$34,"")</f>
        <v/>
      </c>
      <c r="AB303" s="518" t="str">
        <f>IF(AND(_A="A-220-300",'2024'!$K$4="FO",'2024'!$K$2=AB271),'2024DATA'!$M$34,"")</f>
        <v/>
      </c>
      <c r="AC303" s="520" t="str">
        <f>IF(AND(_A="A-220-300",'2024'!$K$4="FO",'2024'!$K$2=AC271),'2024DATA'!$N$34,"")</f>
        <v/>
      </c>
      <c r="AD303" s="940"/>
      <c r="AE303" s="13" t="s">
        <v>62</v>
      </c>
      <c r="AF303" s="518" t="str">
        <f>IF(AND(_B="A-220-300",'2024'!$K$4="FO",'2024'!$K$2=AF271),'2024DATA'!$C$34,"")</f>
        <v/>
      </c>
      <c r="AG303" s="518" t="str">
        <f>IF(AND(_B="A-220-300",'2024'!$K$4="FO",'2024'!$K$2=AG271),'2024DATA'!$D$34,"")</f>
        <v/>
      </c>
      <c r="AH303" s="518" t="str">
        <f>IF(AND(_B="A-220-300",'2024'!$K$4="FO",'2024'!$K$2=AH271),'2024DATA'!$E$34,"")</f>
        <v/>
      </c>
      <c r="AI303" s="518" t="str">
        <f>IF(AND(_B="A-220-300",'2024'!$K$4="FO",'2024'!$K$2=AI271),'2024DATA'!$F$34,"")</f>
        <v/>
      </c>
      <c r="AJ303" s="518" t="str">
        <f>IF(AND(_B="A-220-300",'2024'!$K$4="FO",'2024'!$K$2=AJ271),'2024DATA'!$G$34,"")</f>
        <v/>
      </c>
      <c r="AK303" s="518" t="str">
        <f>IF(AND(_B="A-220-300",'2024'!$K$4="FO",'2024'!$K$2=AK271),'2024DATA'!$H$34,"")</f>
        <v/>
      </c>
      <c r="AL303" s="518" t="str">
        <f>IF(AND(_B="A-220-300",'2024'!$K$4="FO",'2024'!$K$2=AL271),'2024DATA'!$I$34,"")</f>
        <v/>
      </c>
      <c r="AM303" s="518" t="str">
        <f>IF(AND(_B="A-220-300",'2024'!$K$4="FO",'2024'!$K$2=AM271),'2024DATA'!$J$34,"")</f>
        <v/>
      </c>
      <c r="AN303" s="518" t="str">
        <f>IF(AND(_B="A-220-300",'2024'!$K$4="FO",'2024'!$K$2=AN271),'2024DATA'!$K$34,"")</f>
        <v/>
      </c>
      <c r="AO303" s="518" t="str">
        <f>IF(AND(_B="A-220-300",'2024'!$K$4="FO",'2024'!$K$2=AO271),'2024DATA'!$L$34,"")</f>
        <v/>
      </c>
      <c r="AP303" s="518" t="str">
        <f>IF(AND(_B="A-220-300",'2024'!$K$4="FO",'2024'!$K$2=AP271),'2024DATA'!$M$34,"")</f>
        <v/>
      </c>
      <c r="AQ303" s="520" t="str">
        <f>IF(AND(_B="A-220-300",'2024'!$K$4="FO",'2024'!$K$2=AQ271),'2024DATA'!$N$34,"")</f>
        <v/>
      </c>
      <c r="AR303" s="940"/>
      <c r="AS303" s="13" t="s">
        <v>62</v>
      </c>
      <c r="AT303" s="518" t="str">
        <f>IF(AND(_C="A-220-300",'2024'!$K$4="FO",'2024'!$K$2=AT271),'2024DATA'!$C$34,"")</f>
        <v/>
      </c>
      <c r="AU303" s="518" t="str">
        <f>IF(AND(_C="A-220-300",'2024'!$K$4="FO",'2024'!$K$2=AU271),'2024DATA'!$D$34,"")</f>
        <v/>
      </c>
      <c r="AV303" s="518" t="str">
        <f>IF(AND(_C="A-220-300",'2024'!$K$4="FO",'2024'!$K$2=AV271),'2024DATA'!$E$34,"")</f>
        <v/>
      </c>
      <c r="AW303" s="518" t="str">
        <f>IF(AND(_C="A-220-300",'2024'!$K$4="FO",'2024'!$K$2=AW271),'2024DATA'!$F$34,"")</f>
        <v/>
      </c>
      <c r="AX303" s="518" t="str">
        <f>IF(AND(_C="A-220-300",'2024'!$K$4="FO",'2024'!$K$2=AX271),'2024DATA'!$G$34,"")</f>
        <v/>
      </c>
      <c r="AY303" s="518" t="str">
        <f>IF(AND(_C="A-220-300",'2024'!$K$4="FO",'2024'!$K$2=AY271),'2024DATA'!$H$34,"")</f>
        <v/>
      </c>
      <c r="AZ303" s="518" t="str">
        <f>IF(AND(_C="A-220-300",'2024'!$K$4="FO",'2024'!$K$2=AZ271),'2024DATA'!$I$34,"")</f>
        <v/>
      </c>
      <c r="BA303" s="518" t="str">
        <f>IF(AND(_C="A-220-300",'2024'!$K$4="FO",'2024'!$K$2=BA271),'2024DATA'!$J$34,"")</f>
        <v/>
      </c>
      <c r="BB303" s="518" t="str">
        <f>IF(AND(_C="A-220-300",'2024'!$K$4="FO",'2024'!$K$2=BB271),'2024DATA'!$K$34,"")</f>
        <v/>
      </c>
      <c r="BC303" s="518" t="str">
        <f>IF(AND(_C="A-220-300",'2024'!$K$4="FO",'2024'!$K$2=BC271),'2024DATA'!$L$34,"")</f>
        <v/>
      </c>
      <c r="BD303" s="518" t="str">
        <f>IF(AND(_C="A-220-300",'2024'!$K$4="FO",'2024'!$K$2=BD271),'2024DATA'!$M$34,"")</f>
        <v/>
      </c>
      <c r="BE303" s="520" t="str">
        <f>IF(AND(_C="A-220-300",'2024'!$K$4="FO",'2024'!$K$2=BE271),'2024DATA'!$N$34,"")</f>
        <v/>
      </c>
      <c r="BF303" s="940"/>
      <c r="BG303" s="13" t="s">
        <v>62</v>
      </c>
      <c r="BH303" s="518" t="str">
        <f>IF(AND(_D="A-220-300",'2024'!$K$4="FO",'2024'!$K$2=BH271),'2024DATA'!$C$34,"")</f>
        <v/>
      </c>
      <c r="BI303" s="518" t="str">
        <f>IF(AND(_D="A-220-300",'2024'!$K$4="FO",'2024'!$K$2=BI271),'2024DATA'!$D$34,"")</f>
        <v/>
      </c>
      <c r="BJ303" s="518" t="str">
        <f>IF(AND(_D="A-220-300",'2024'!$K$4="FO",'2024'!$K$2=BJ271),'2024DATA'!$E$34,"")</f>
        <v/>
      </c>
      <c r="BK303" s="518" t="str">
        <f>IF(AND(_D="A-220-300",'2024'!$K$4="FO",'2024'!$K$2=BK271),'2024DATA'!$F$34,"")</f>
        <v/>
      </c>
      <c r="BL303" s="518" t="str">
        <f>IF(AND(_D="A-220-300",'2024'!$K$4="FO",'2024'!$K$2=BL271),'2024DATA'!$G$34,"")</f>
        <v/>
      </c>
      <c r="BM303" s="518" t="str">
        <f>IF(AND(_D="A-220-300",'2024'!$K$4="FO",'2024'!$K$2=BM271),'2024DATA'!$H$34,"")</f>
        <v/>
      </c>
      <c r="BN303" s="518" t="str">
        <f>IF(AND(_D="A-220-300",'2024'!$K$4="FO",'2024'!$K$2=BN271),'2024DATA'!$I$34,"")</f>
        <v/>
      </c>
      <c r="BO303" s="518" t="str">
        <f>IF(AND(_D="A-220-300",'2024'!$K$4="FO",'2024'!$K$2=BO271),'2024DATA'!$J$34,"")</f>
        <v/>
      </c>
      <c r="BP303" s="518" t="str">
        <f>IF(AND(_D="A-220-300",'2024'!$K$4="FO",'2024'!$K$2=BP271),'2024DATA'!$K$34,"")</f>
        <v/>
      </c>
      <c r="BQ303" s="518" t="str">
        <f>IF(AND(_D="A-220-300",'2024'!$K$4="FO",'2024'!$K$2=BQ271),'2024DATA'!$L$34,"")</f>
        <v/>
      </c>
      <c r="BR303" s="518" t="str">
        <f>IF(AND(_D="A-220-300",'2024'!$K$4="FO",'2024'!$K$2=BR271),'2024DATA'!$M$34,"")</f>
        <v/>
      </c>
      <c r="BS303" s="520" t="str">
        <f>IF(AND(_D="A-220-300",'2024'!$K$4="FO",'2024'!$K$2=BS271),'2024DATA'!$N$34,"")</f>
        <v/>
      </c>
      <c r="BT303" s="940"/>
      <c r="BU303" s="13" t="s">
        <v>62</v>
      </c>
      <c r="BV303" s="518" t="str">
        <f>IF(AND(_E="A-220-300",'2024'!$K$4="FO",'2024'!$K$2=BV271),'2024DATA'!$C$34,"")</f>
        <v/>
      </c>
      <c r="BW303" s="518" t="str">
        <f>IF(AND(_E="A-220-300",'2024'!$K$4="FO",'2024'!$K$2=BW271),'2024DATA'!$D$34,"")</f>
        <v/>
      </c>
      <c r="BX303" s="518" t="str">
        <f>IF(AND(_E="A-220-300",'2024'!$K$4="FO",'2024'!$K$2=BX271),'2024DATA'!$E$34,"")</f>
        <v/>
      </c>
      <c r="BY303" s="518" t="str">
        <f>IF(AND(_E="A-220-300",'2024'!$K$4="FO",'2024'!$K$2=BY271),'2024DATA'!$F$34,"")</f>
        <v/>
      </c>
      <c r="BZ303" s="518" t="str">
        <f>IF(AND(_E="A-220-300",'2024'!$K$4="FO",'2024'!$K$2=BZ271),'2024DATA'!$G$34,"")</f>
        <v/>
      </c>
      <c r="CA303" s="518" t="str">
        <f>IF(AND(_E="A-220-300",'2024'!$K$4="FO",'2024'!$K$2=CA271),'2024DATA'!$H$34,"")</f>
        <v/>
      </c>
      <c r="CB303" s="518" t="str">
        <f>IF(AND(_E="A-220-300",'2024'!$K$4="FO",'2024'!$K$2=CB271),'2024DATA'!$I$34,"")</f>
        <v/>
      </c>
      <c r="CC303" s="518" t="str">
        <f>IF(AND(_E="A-220-300",'2024'!$K$4="FO",'2024'!$K$2=CC271),'2024DATA'!$J$34,"")</f>
        <v/>
      </c>
      <c r="CD303" s="518" t="str">
        <f>IF(AND(_E="A-220-300",'2024'!$K$4="FO",'2024'!$K$2=CD271),'2024DATA'!$K$34,"")</f>
        <v/>
      </c>
      <c r="CE303" s="518" t="str">
        <f>IF(AND(_E="A-220-300",'2024'!$K$4="FO",'2024'!$K$2=CE271),'2024DATA'!$L$34,"")</f>
        <v/>
      </c>
      <c r="CF303" s="518" t="str">
        <f>IF(AND(_E="A-220-300",'2024'!$K$4="FO",'2024'!$K$2=CF271),'2024DATA'!$M$34,"")</f>
        <v/>
      </c>
      <c r="CG303" s="520" t="str">
        <f>IF(AND(_E="A-220-300",'2024'!$K$4="FO",'2024'!$K$2=CG271),'2024DATA'!$N$34,"")</f>
        <v/>
      </c>
      <c r="CH303" s="940"/>
      <c r="CI303" s="13" t="s">
        <v>62</v>
      </c>
      <c r="CJ303" s="518" t="str">
        <f>IF(AND(_F="A-220-300",'2024'!$K$4="FO",'2024'!$K$2=CJ271),'2024DATA'!$C$34,"")</f>
        <v/>
      </c>
      <c r="CK303" s="518" t="str">
        <f>IF(AND(_F="A-220-300",'2024'!$K$4="FO",'2024'!$K$2=CK271),'2024DATA'!$D$34,"")</f>
        <v/>
      </c>
      <c r="CL303" s="518" t="str">
        <f>IF(AND(_F="A-220-300",'2024'!$K$4="FO",'2024'!$K$2=CL271),'2024DATA'!$E$34,"")</f>
        <v/>
      </c>
      <c r="CM303" s="518" t="str">
        <f>IF(AND(_F="A-220-300",'2024'!$K$4="FO",'2024'!$K$2=CM271),'2024DATA'!$F$34,"")</f>
        <v/>
      </c>
      <c r="CN303" s="518" t="str">
        <f>IF(AND(_F="A-220-300",'2024'!$K$4="FO",'2024'!$K$2=CN271),'2024DATA'!$G$34,"")</f>
        <v/>
      </c>
      <c r="CO303" s="518" t="str">
        <f>IF(AND(_F="A-220-300",'2024'!$K$4="FO",'2024'!$K$2=CO271),'2024DATA'!$H$34,"")</f>
        <v/>
      </c>
      <c r="CP303" s="518" t="str">
        <f>IF(AND(_F="A-220-300",'2024'!$K$4="FO",'2024'!$K$2=CP271),'2024DATA'!$I$34,"")</f>
        <v/>
      </c>
      <c r="CQ303" s="518" t="str">
        <f>IF(AND(_F="A-220-300",'2024'!$K$4="FO",'2024'!$K$2=CQ271),'2024DATA'!$J$34,"")</f>
        <v/>
      </c>
      <c r="CR303" s="518" t="str">
        <f>IF(AND(_F="A-220-300",'2024'!$K$4="FO",'2024'!$K$2=CR271),'2024DATA'!$K$34,"")</f>
        <v/>
      </c>
      <c r="CS303" s="518" t="str">
        <f>IF(AND(_F="A-220-300",'2024'!$K$4="FO",'2024'!$K$2=CS271),'2024DATA'!$L$34,"")</f>
        <v/>
      </c>
      <c r="CT303" s="518" t="str">
        <f>IF(AND(_F="A-220-300",'2024'!$K$4="FO",'2024'!$K$2=CT271),'2024DATA'!$M$34,"")</f>
        <v/>
      </c>
      <c r="CU303" s="520" t="str">
        <f>IF(AND(_F="A-220-300",'2024'!$K$4="FO",'2024'!$K$2=CU271),'2024DATA'!$N$34,"")</f>
        <v/>
      </c>
    </row>
    <row r="304" spans="16:99" x14ac:dyDescent="0.25">
      <c r="P304" s="940" t="s">
        <v>52</v>
      </c>
      <c r="Q304" s="13" t="s">
        <v>61</v>
      </c>
      <c r="R304" s="518" t="str">
        <f>IF(AND(_A="A-220-100",'2024'!$K$4="CA",'2024'!$K$2=R271),'2024DATA'!$C$35,"")</f>
        <v/>
      </c>
      <c r="S304" s="518" t="str">
        <f>IF(AND(_A="A-220-100",'2024'!$K$4="CA",'2024'!$K$2=S271),'2024DATA'!$D$35,"")</f>
        <v/>
      </c>
      <c r="T304" s="518" t="str">
        <f>IF(AND(_A="A-220-100",'2024'!$K$4="CA",'2024'!$K$2=T271),'2024DATA'!$E$35,"")</f>
        <v/>
      </c>
      <c r="U304" s="518" t="str">
        <f>IF(AND(_A="A-220-100",'2024'!$K$4="CA",'2024'!$K$2=U271),'2024DATA'!$F$35,"")</f>
        <v/>
      </c>
      <c r="V304" s="518" t="str">
        <f>IF(AND(_A="A-220-100",'2024'!$K$4="CA",'2024'!$K$2=V271),'2024DATA'!$G$35,"")</f>
        <v/>
      </c>
      <c r="W304" s="518" t="str">
        <f>IF(AND(_A="A-220-100",'2024'!$K$4="CA",'2024'!$K$2=W271),'2024DATA'!$H$35,"")</f>
        <v/>
      </c>
      <c r="X304" s="518" t="str">
        <f>IF(AND(_A="A-220-100",'2024'!$K$4="CA",'2024'!$K$2=X271),'2024DATA'!$I$35,"")</f>
        <v/>
      </c>
      <c r="Y304" s="518" t="str">
        <f>IF(AND(_A="A-220-100",'2024'!$K$4="CA",'2024'!$K$2=Y271),'2024DATA'!$J$35,"")</f>
        <v/>
      </c>
      <c r="Z304" s="518" t="str">
        <f>IF(AND(_A="A-220-100",'2024'!$K$4="CA",'2024'!$K$2=Z271),'2024DATA'!$K$35,"")</f>
        <v/>
      </c>
      <c r="AA304" s="518" t="str">
        <f>IF(AND(_A="A-220-100",'2024'!$K$4="CA",'2024'!$K$2=AA271),'2024DATA'!$L$35,"")</f>
        <v/>
      </c>
      <c r="AB304" s="518" t="str">
        <f>IF(AND(_A="A-220-100",'2024'!$K$4="CA",'2024'!$K$2=AB271),'2024DATA'!$M$35,"")</f>
        <v/>
      </c>
      <c r="AC304" s="520" t="str">
        <f>IF(AND(_A="A-220-100",'2024'!$K$4="CA",'2024'!$K$2=AC271),'2024DATA'!$N$35,"")</f>
        <v/>
      </c>
      <c r="AD304" s="940" t="s">
        <v>52</v>
      </c>
      <c r="AE304" s="13" t="s">
        <v>61</v>
      </c>
      <c r="AF304" s="518" t="str">
        <f>IF(AND(_B="A-220-100",'2024'!$K$4="CA",'2024'!$K$2=AF271),'2024DATA'!$C$35,"")</f>
        <v/>
      </c>
      <c r="AG304" s="518" t="str">
        <f>IF(AND(_B="A-220-100",'2024'!$K$4="CA",'2024'!$K$2=AG271),'2024DATA'!$D$35,"")</f>
        <v/>
      </c>
      <c r="AH304" s="518" t="str">
        <f>IF(AND(_B="A-220-100",'2024'!$K$4="CA",'2024'!$K$2=AH271),'2024DATA'!$E$35,"")</f>
        <v/>
      </c>
      <c r="AI304" s="518" t="str">
        <f>IF(AND(_B="A-220-100",'2024'!$K$4="CA",'2024'!$K$2=AI271),'2024DATA'!$F$35,"")</f>
        <v/>
      </c>
      <c r="AJ304" s="518" t="str">
        <f>IF(AND(_B="A-220-100",'2024'!$K$4="CA",'2024'!$K$2=AJ271),'2024DATA'!$G$35,"")</f>
        <v/>
      </c>
      <c r="AK304" s="518" t="str">
        <f>IF(AND(_B="A-220-100",'2024'!$K$4="CA",'2024'!$K$2=AK271),'2024DATA'!$H$35,"")</f>
        <v/>
      </c>
      <c r="AL304" s="518" t="str">
        <f>IF(AND(_B="A-220-100",'2024'!$K$4="CA",'2024'!$K$2=AL271),'2024DATA'!$I$35,"")</f>
        <v/>
      </c>
      <c r="AM304" s="518" t="str">
        <f>IF(AND(_B="A-220-100",'2024'!$K$4="CA",'2024'!$K$2=AM271),'2024DATA'!$J$35,"")</f>
        <v/>
      </c>
      <c r="AN304" s="518" t="str">
        <f>IF(AND(_B="A-220-100",'2024'!$K$4="CA",'2024'!$K$2=AN271),'2024DATA'!$K$35,"")</f>
        <v/>
      </c>
      <c r="AO304" s="518" t="str">
        <f>IF(AND(_B="A-220-100",'2024'!$K$4="CA",'2024'!$K$2=AO271),'2024DATA'!$L$35,"")</f>
        <v/>
      </c>
      <c r="AP304" s="518" t="str">
        <f>IF(AND(_B="A-220-100",'2024'!$K$4="CA",'2024'!$K$2=AP271),'2024DATA'!$M$35,"")</f>
        <v/>
      </c>
      <c r="AQ304" s="520" t="str">
        <f>IF(AND(_B="A-220-100",'2024'!$K$4="CA",'2024'!$K$2=AQ271),'2024DATA'!$N$35,"")</f>
        <v/>
      </c>
      <c r="AR304" s="940" t="s">
        <v>52</v>
      </c>
      <c r="AS304" s="13" t="s">
        <v>61</v>
      </c>
      <c r="AT304" s="518" t="str">
        <f>IF(AND(_C="A-220-100",'2024'!$K$4="CA",'2024'!$K$2=AT271),'2024DATA'!$C$35,"")</f>
        <v/>
      </c>
      <c r="AU304" s="518" t="str">
        <f>IF(AND(_C="A-220-100",'2024'!$K$4="CA",'2024'!$K$2=AU271),'2024DATA'!$D$35,"")</f>
        <v/>
      </c>
      <c r="AV304" s="518" t="str">
        <f>IF(AND(_C="A-220-100",'2024'!$K$4="CA",'2024'!$K$2=AV271),'2024DATA'!$E$35,"")</f>
        <v/>
      </c>
      <c r="AW304" s="518" t="str">
        <f>IF(AND(_C="A-220-100",'2024'!$K$4="CA",'2024'!$K$2=AW271),'2024DATA'!$F$35,"")</f>
        <v/>
      </c>
      <c r="AX304" s="518" t="str">
        <f>IF(AND(_C="A-220-100",'2024'!$K$4="CA",'2024'!$K$2=AX271),'2024DATA'!$G$35,"")</f>
        <v/>
      </c>
      <c r="AY304" s="518" t="str">
        <f>IF(AND(_C="A-220-100",'2024'!$K$4="CA",'2024'!$K$2=AY271),'2024DATA'!$H$35,"")</f>
        <v/>
      </c>
      <c r="AZ304" s="518" t="str">
        <f>IF(AND(_C="A-220-100",'2024'!$K$4="CA",'2024'!$K$2=AZ271),'2024DATA'!$I$35,"")</f>
        <v/>
      </c>
      <c r="BA304" s="518" t="str">
        <f>IF(AND(_C="A-220-100",'2024'!$K$4="CA",'2024'!$K$2=BA271),'2024DATA'!$J$35,"")</f>
        <v/>
      </c>
      <c r="BB304" s="518" t="str">
        <f>IF(AND(_C="A-220-100",'2024'!$K$4="CA",'2024'!$K$2=BB271),'2024DATA'!$K$35,"")</f>
        <v/>
      </c>
      <c r="BC304" s="518" t="str">
        <f>IF(AND(_C="A-220-100",'2024'!$K$4="CA",'2024'!$K$2=BC271),'2024DATA'!$L$35,"")</f>
        <v/>
      </c>
      <c r="BD304" s="518" t="str">
        <f>IF(AND(_C="A-220-100",'2024'!$K$4="CA",'2024'!$K$2=BD271),'2024DATA'!$M$35,"")</f>
        <v/>
      </c>
      <c r="BE304" s="520" t="str">
        <f>IF(AND(_C="A-220-100",'2024'!$K$4="CA",'2024'!$K$2=BE271),'2024DATA'!$N$35,"")</f>
        <v/>
      </c>
      <c r="BF304" s="940" t="s">
        <v>52</v>
      </c>
      <c r="BG304" s="13" t="s">
        <v>61</v>
      </c>
      <c r="BH304" s="518" t="str">
        <f>IF(AND(_D="A-220-100",'2024'!$K$4="CA",'2024'!$K$2=BH271),'2024DATA'!$C$35,"")</f>
        <v/>
      </c>
      <c r="BI304" s="518" t="str">
        <f>IF(AND(_D="A-220-100",'2024'!$K$4="CA",'2024'!$K$2=BI271),'2024DATA'!$D$35,"")</f>
        <v/>
      </c>
      <c r="BJ304" s="518" t="str">
        <f>IF(AND(_D="A-220-100",'2024'!$K$4="CA",'2024'!$K$2=BJ271),'2024DATA'!$E$35,"")</f>
        <v/>
      </c>
      <c r="BK304" s="518" t="str">
        <f>IF(AND(_D="A-220-100",'2024'!$K$4="CA",'2024'!$K$2=BK271),'2024DATA'!$F$35,"")</f>
        <v/>
      </c>
      <c r="BL304" s="518" t="str">
        <f>IF(AND(_D="A-220-100",'2024'!$K$4="CA",'2024'!$K$2=BL271),'2024DATA'!$G$35,"")</f>
        <v/>
      </c>
      <c r="BM304" s="518" t="str">
        <f>IF(AND(_D="A-220-100",'2024'!$K$4="CA",'2024'!$K$2=BM271),'2024DATA'!$H$35,"")</f>
        <v/>
      </c>
      <c r="BN304" s="518" t="str">
        <f>IF(AND(_D="A-220-100",'2024'!$K$4="CA",'2024'!$K$2=BN271),'2024DATA'!$I$35,"")</f>
        <v/>
      </c>
      <c r="BO304" s="518" t="str">
        <f>IF(AND(_D="A-220-100",'2024'!$K$4="CA",'2024'!$K$2=BO271),'2024DATA'!$J$35,"")</f>
        <v/>
      </c>
      <c r="BP304" s="518" t="str">
        <f>IF(AND(_D="A-220-100",'2024'!$K$4="CA",'2024'!$K$2=BP271),'2024DATA'!$K$35,"")</f>
        <v/>
      </c>
      <c r="BQ304" s="518" t="str">
        <f>IF(AND(_D="A-220-100",'2024'!$K$4="CA",'2024'!$K$2=BQ271),'2024DATA'!$L$35,"")</f>
        <v/>
      </c>
      <c r="BR304" s="518" t="str">
        <f>IF(AND(_D="A-220-100",'2024'!$K$4="CA",'2024'!$K$2=BR271),'2024DATA'!$M$35,"")</f>
        <v/>
      </c>
      <c r="BS304" s="520" t="str">
        <f>IF(AND(_D="A-220-100",'2024'!$K$4="CA",'2024'!$K$2=BS271),'2024DATA'!$N$35,"")</f>
        <v/>
      </c>
      <c r="BT304" s="940" t="s">
        <v>52</v>
      </c>
      <c r="BU304" s="13" t="s">
        <v>61</v>
      </c>
      <c r="BV304" s="518" t="str">
        <f>IF(AND(_E="A-220-100",'2024'!$K$4="CA",'2024'!$K$2=BV271),'2024DATA'!$C$35,"")</f>
        <v/>
      </c>
      <c r="BW304" s="518" t="str">
        <f>IF(AND(_E="A-220-100",'2024'!$K$4="CA",'2024'!$K$2=BW271),'2024DATA'!$D$35,"")</f>
        <v/>
      </c>
      <c r="BX304" s="518" t="str">
        <f>IF(AND(_E="A-220-100",'2024'!$K$4="CA",'2024'!$K$2=BX271),'2024DATA'!$E$35,"")</f>
        <v/>
      </c>
      <c r="BY304" s="518" t="str">
        <f>IF(AND(_E="A-220-100",'2024'!$K$4="CA",'2024'!$K$2=BY271),'2024DATA'!$F$35,"")</f>
        <v/>
      </c>
      <c r="BZ304" s="518" t="str">
        <f>IF(AND(_E="A-220-100",'2024'!$K$4="CA",'2024'!$K$2=BZ271),'2024DATA'!$G$35,"")</f>
        <v/>
      </c>
      <c r="CA304" s="518" t="str">
        <f>IF(AND(_E="A-220-100",'2024'!$K$4="CA",'2024'!$K$2=CA271),'2024DATA'!$H$35,"")</f>
        <v/>
      </c>
      <c r="CB304" s="518" t="str">
        <f>IF(AND(_E="A-220-100",'2024'!$K$4="CA",'2024'!$K$2=CB271),'2024DATA'!$I$35,"")</f>
        <v/>
      </c>
      <c r="CC304" s="518" t="str">
        <f>IF(AND(_E="A-220-100",'2024'!$K$4="CA",'2024'!$K$2=CC271),'2024DATA'!$J$35,"")</f>
        <v/>
      </c>
      <c r="CD304" s="518" t="str">
        <f>IF(AND(_E="A-220-100",'2024'!$K$4="CA",'2024'!$K$2=CD271),'2024DATA'!$K$35,"")</f>
        <v/>
      </c>
      <c r="CE304" s="518" t="str">
        <f>IF(AND(_E="A-220-100",'2024'!$K$4="CA",'2024'!$K$2=CE271),'2024DATA'!$L$35,"")</f>
        <v/>
      </c>
      <c r="CF304" s="518" t="str">
        <f>IF(AND(_E="A-220-100",'2024'!$K$4="CA",'2024'!$K$2=CF271),'2024DATA'!$M$35,"")</f>
        <v/>
      </c>
      <c r="CG304" s="520" t="str">
        <f>IF(AND(_E="A-220-100",'2024'!$K$4="CA",'2024'!$K$2=CG271),'2024DATA'!$N$35,"")</f>
        <v/>
      </c>
      <c r="CH304" s="940" t="s">
        <v>52</v>
      </c>
      <c r="CI304" s="13" t="s">
        <v>61</v>
      </c>
      <c r="CJ304" s="518" t="str">
        <f>IF(AND(_F="A-220-100",'2024'!$K$4="CA",'2024'!$K$2=CJ271),'2024DATA'!$C$35,"")</f>
        <v/>
      </c>
      <c r="CK304" s="518" t="str">
        <f>IF(AND(_F="A-220-100",'2024'!$K$4="CA",'2024'!$K$2=CK271),'2024DATA'!$D$35,"")</f>
        <v/>
      </c>
      <c r="CL304" s="518" t="str">
        <f>IF(AND(_F="A-220-100",'2024'!$K$4="CA",'2024'!$K$2=CL271),'2024DATA'!$E$35,"")</f>
        <v/>
      </c>
      <c r="CM304" s="518" t="str">
        <f>IF(AND(_F="A-220-100",'2024'!$K$4="CA",'2024'!$K$2=CM271),'2024DATA'!$F$35,"")</f>
        <v/>
      </c>
      <c r="CN304" s="518" t="str">
        <f>IF(AND(_F="A-220-100",'2024'!$K$4="CA",'2024'!$K$2=CN271),'2024DATA'!$G$35,"")</f>
        <v/>
      </c>
      <c r="CO304" s="518" t="str">
        <f>IF(AND(_F="A-220-100",'2024'!$K$4="CA",'2024'!$K$2=CO271),'2024DATA'!$H$35,"")</f>
        <v/>
      </c>
      <c r="CP304" s="518" t="str">
        <f>IF(AND(_F="A-220-100",'2024'!$K$4="CA",'2024'!$K$2=CP271),'2024DATA'!$I$35,"")</f>
        <v/>
      </c>
      <c r="CQ304" s="518" t="str">
        <f>IF(AND(_F="A-220-100",'2024'!$K$4="CA",'2024'!$K$2=CQ271),'2024DATA'!$J$35,"")</f>
        <v/>
      </c>
      <c r="CR304" s="518" t="str">
        <f>IF(AND(_F="A-220-100",'2024'!$K$4="CA",'2024'!$K$2=CR271),'2024DATA'!$K$35,"")</f>
        <v/>
      </c>
      <c r="CS304" s="518" t="str">
        <f>IF(AND(_F="A-220-100",'2024'!$K$4="CA",'2024'!$K$2=CS271),'2024DATA'!$L$35,"")</f>
        <v/>
      </c>
      <c r="CT304" s="518" t="str">
        <f>IF(AND(_F="A-220-100",'2024'!$K$4="CA",'2024'!$K$2=CT271),'2024DATA'!$M$35,"")</f>
        <v/>
      </c>
      <c r="CU304" s="520" t="str">
        <f>IF(AND(_F="A-220-100",'2024'!$K$4="CA",'2024'!$K$2=CU271),'2024DATA'!$N$35,"")</f>
        <v/>
      </c>
    </row>
    <row r="305" spans="16:99" x14ac:dyDescent="0.25">
      <c r="P305" s="940"/>
      <c r="Q305" s="13" t="s">
        <v>62</v>
      </c>
      <c r="R305" s="518" t="str">
        <f>IF(AND(_A="A-220-100",'2024'!$K$4="FO",'2024'!$K$2=R271),'2024DATA'!$C$36,"")</f>
        <v/>
      </c>
      <c r="S305" s="518" t="str">
        <f>IF(AND(_A="A-220-100",'2024'!$K$4="FO",'2024'!$K$2=S271),'2024DATA'!$D$36,"")</f>
        <v/>
      </c>
      <c r="T305" s="518" t="str">
        <f>IF(AND(_A="A-220-100",'2024'!$K$4="FO",'2024'!$K$2=T271),'2024DATA'!$E$36,"")</f>
        <v/>
      </c>
      <c r="U305" s="518" t="str">
        <f>IF(AND(_A="A-220-100",'2024'!$K$4="FO",'2024'!$K$2=U271),'2024DATA'!$F$36,"")</f>
        <v/>
      </c>
      <c r="V305" s="518" t="str">
        <f>IF(AND(_A="A-220-100",'2024'!$K$4="FO",'2024'!$K$2=V271),'2024DATA'!$G$36,"")</f>
        <v/>
      </c>
      <c r="W305" s="518" t="str">
        <f>IF(AND(_A="A-220-100",'2024'!$K$4="FO",'2024'!$K$2=W271),'2024DATA'!$H$36,"")</f>
        <v/>
      </c>
      <c r="X305" s="518" t="str">
        <f>IF(AND(_A="A-220-100",'2024'!$K$4="FO",'2024'!$K$2=X271),'2024DATA'!$I$36,"")</f>
        <v/>
      </c>
      <c r="Y305" s="518" t="str">
        <f>IF(AND(_A="A-220-100",'2024'!$K$4="FO",'2024'!$K$2=Y271),'2024DATA'!$J$36,"")</f>
        <v/>
      </c>
      <c r="Z305" s="518" t="str">
        <f>IF(AND(_A="A-220-100",'2024'!$K$4="FO",'2024'!$K$2=Z271),'2024DATA'!$K$36,"")</f>
        <v/>
      </c>
      <c r="AA305" s="518" t="str">
        <f>IF(AND(_A="A-220-100",'2024'!$K$4="FO",'2024'!$K$2=AA271),'2024DATA'!$L$36,"")</f>
        <v/>
      </c>
      <c r="AB305" s="518" t="str">
        <f>IF(AND(_A="A-220-100",'2024'!$K$4="FO",'2024'!$K$2=AB271),'2024DATA'!$M$36,"")</f>
        <v/>
      </c>
      <c r="AC305" s="520" t="str">
        <f>IF(AND(_A="A-220-100",'2024'!$K$4="FO",'2024'!$K$2=AC271),'2024DATA'!$N$36,"")</f>
        <v/>
      </c>
      <c r="AD305" s="940"/>
      <c r="AE305" s="13" t="s">
        <v>62</v>
      </c>
      <c r="AF305" s="518" t="str">
        <f>IF(AND(_B="A-220-100",'2024'!$K$4="FO",'2024'!$K$2=AF271),'2024DATA'!$C$36,"")</f>
        <v/>
      </c>
      <c r="AG305" s="518" t="str">
        <f>IF(AND(_B="A-220-100",'2024'!$K$4="FO",'2024'!$K$2=AG271),'2024DATA'!$D$36,"")</f>
        <v/>
      </c>
      <c r="AH305" s="518" t="str">
        <f>IF(AND(_B="A-220-100",'2024'!$K$4="FO",'2024'!$K$2=AH271),'2024DATA'!$E$36,"")</f>
        <v/>
      </c>
      <c r="AI305" s="518" t="str">
        <f>IF(AND(_B="A-220-100",'2024'!$K$4="FO",'2024'!$K$2=AI271),'2024DATA'!$F$36,"")</f>
        <v/>
      </c>
      <c r="AJ305" s="518" t="str">
        <f>IF(AND(_B="A-220-100",'2024'!$K$4="FO",'2024'!$K$2=AJ271),'2024DATA'!$G$36,"")</f>
        <v/>
      </c>
      <c r="AK305" s="518" t="str">
        <f>IF(AND(_B="A-220-100",'2024'!$K$4="FO",'2024'!$K$2=AK271),'2024DATA'!$H$36,"")</f>
        <v/>
      </c>
      <c r="AL305" s="518" t="str">
        <f>IF(AND(_B="A-220-100",'2024'!$K$4="FO",'2024'!$K$2=AL271),'2024DATA'!$I$36,"")</f>
        <v/>
      </c>
      <c r="AM305" s="518" t="str">
        <f>IF(AND(_B="A-220-100",'2024'!$K$4="FO",'2024'!$K$2=AM271),'2024DATA'!$J$36,"")</f>
        <v/>
      </c>
      <c r="AN305" s="518" t="str">
        <f>IF(AND(_B="A-220-100",'2024'!$K$4="FO",'2024'!$K$2=AN271),'2024DATA'!$K$36,"")</f>
        <v/>
      </c>
      <c r="AO305" s="518" t="str">
        <f>IF(AND(_B="A-220-100",'2024'!$K$4="FO",'2024'!$K$2=AO271),'2024DATA'!$L$36,"")</f>
        <v/>
      </c>
      <c r="AP305" s="518" t="str">
        <f>IF(AND(_B="A-220-100",'2024'!$K$4="FO",'2024'!$K$2=AP271),'2024DATA'!$M$36,"")</f>
        <v/>
      </c>
      <c r="AQ305" s="520" t="str">
        <f>IF(AND(_B="A-220-100",'2024'!$K$4="FO",'2024'!$K$2=AQ271),'2024DATA'!$N$36,"")</f>
        <v/>
      </c>
      <c r="AR305" s="940"/>
      <c r="AS305" s="13" t="s">
        <v>62</v>
      </c>
      <c r="AT305" s="518" t="str">
        <f>IF(AND(_C="A-220-100",'2024'!$K$4="FO",'2024'!$K$2=AT271),'2024DATA'!$C$36,"")</f>
        <v/>
      </c>
      <c r="AU305" s="518" t="str">
        <f>IF(AND(_C="A-220-100",'2024'!$K$4="FO",'2024'!$K$2=AU271),'2024DATA'!$D$36,"")</f>
        <v/>
      </c>
      <c r="AV305" s="518" t="str">
        <f>IF(AND(_C="A-220-100",'2024'!$K$4="FO",'2024'!$K$2=AV271),'2024DATA'!$E$36,"")</f>
        <v/>
      </c>
      <c r="AW305" s="518" t="str">
        <f>IF(AND(_C="A-220-100",'2024'!$K$4="FO",'2024'!$K$2=AW271),'2024DATA'!$F$36,"")</f>
        <v/>
      </c>
      <c r="AX305" s="518" t="str">
        <f>IF(AND(_C="A-220-100",'2024'!$K$4="FO",'2024'!$K$2=AX271),'2024DATA'!$G$36,"")</f>
        <v/>
      </c>
      <c r="AY305" s="518" t="str">
        <f>IF(AND(_C="A-220-100",'2024'!$K$4="FO",'2024'!$K$2=AY271),'2024DATA'!$H$36,"")</f>
        <v/>
      </c>
      <c r="AZ305" s="518" t="str">
        <f>IF(AND(_C="A-220-100",'2024'!$K$4="FO",'2024'!$K$2=AZ271),'2024DATA'!$I$36,"")</f>
        <v/>
      </c>
      <c r="BA305" s="518" t="str">
        <f>IF(AND(_C="A-220-100",'2024'!$K$4="FO",'2024'!$K$2=BA271),'2024DATA'!$J$36,"")</f>
        <v/>
      </c>
      <c r="BB305" s="518" t="str">
        <f>IF(AND(_C="A-220-100",'2024'!$K$4="FO",'2024'!$K$2=BB271),'2024DATA'!$K$36,"")</f>
        <v/>
      </c>
      <c r="BC305" s="518" t="str">
        <f>IF(AND(_C="A-220-100",'2024'!$K$4="FO",'2024'!$K$2=BC271),'2024DATA'!$L$36,"")</f>
        <v/>
      </c>
      <c r="BD305" s="518" t="str">
        <f>IF(AND(_C="A-220-100",'2024'!$K$4="FO",'2024'!$K$2=BD271),'2024DATA'!$M$36,"")</f>
        <v/>
      </c>
      <c r="BE305" s="520" t="str">
        <f>IF(AND(_C="A-220-100",'2024'!$K$4="FO",'2024'!$K$2=BE271),'2024DATA'!$N$36,"")</f>
        <v/>
      </c>
      <c r="BF305" s="940"/>
      <c r="BG305" s="13" t="s">
        <v>62</v>
      </c>
      <c r="BH305" s="518" t="str">
        <f>IF(AND(_D="A-220-100",'2024'!$K$4="FO",'2024'!$K$2=BH271),'2024DATA'!$C$36,"")</f>
        <v/>
      </c>
      <c r="BI305" s="518" t="str">
        <f>IF(AND(_D="A-220-100",'2024'!$K$4="FO",'2024'!$K$2=BI271),'2024DATA'!$D$36,"")</f>
        <v/>
      </c>
      <c r="BJ305" s="518" t="str">
        <f>IF(AND(_D="A-220-100",'2024'!$K$4="FO",'2024'!$K$2=BJ271),'2024DATA'!$E$36,"")</f>
        <v/>
      </c>
      <c r="BK305" s="518" t="str">
        <f>IF(AND(_D="A-220-100",'2024'!$K$4="FO",'2024'!$K$2=BK271),'2024DATA'!$F$36,"")</f>
        <v/>
      </c>
      <c r="BL305" s="518" t="str">
        <f>IF(AND(_D="A-220-100",'2024'!$K$4="FO",'2024'!$K$2=BL271),'2024DATA'!$G$36,"")</f>
        <v/>
      </c>
      <c r="BM305" s="518" t="str">
        <f>IF(AND(_D="A-220-100",'2024'!$K$4="FO",'2024'!$K$2=BM271),'2024DATA'!$H$36,"")</f>
        <v/>
      </c>
      <c r="BN305" s="518" t="str">
        <f>IF(AND(_D="A-220-100",'2024'!$K$4="FO",'2024'!$K$2=BN271),'2024DATA'!$I$36,"")</f>
        <v/>
      </c>
      <c r="BO305" s="518" t="str">
        <f>IF(AND(_D="A-220-100",'2024'!$K$4="FO",'2024'!$K$2=BO271),'2024DATA'!$J$36,"")</f>
        <v/>
      </c>
      <c r="BP305" s="518" t="str">
        <f>IF(AND(_D="A-220-100",'2024'!$K$4="FO",'2024'!$K$2=BP271),'2024DATA'!$K$36,"")</f>
        <v/>
      </c>
      <c r="BQ305" s="518" t="str">
        <f>IF(AND(_D="A-220-100",'2024'!$K$4="FO",'2024'!$K$2=BQ271),'2024DATA'!$L$36,"")</f>
        <v/>
      </c>
      <c r="BR305" s="518" t="str">
        <f>IF(AND(_D="A-220-100",'2024'!$K$4="FO",'2024'!$K$2=BR271),'2024DATA'!$M$36,"")</f>
        <v/>
      </c>
      <c r="BS305" s="520" t="str">
        <f>IF(AND(_D="A-220-100",'2024'!$K$4="FO",'2024'!$K$2=BS271),'2024DATA'!$N$36,"")</f>
        <v/>
      </c>
      <c r="BT305" s="940"/>
      <c r="BU305" s="13" t="s">
        <v>62</v>
      </c>
      <c r="BV305" s="518" t="str">
        <f>IF(AND(_E="A-220-100",'2024'!$K$4="FO",'2024'!$K$2=BV271),'2024DATA'!$C$36,"")</f>
        <v/>
      </c>
      <c r="BW305" s="518" t="str">
        <f>IF(AND(_E="A-220-100",'2024'!$K$4="FO",'2024'!$K$2=BW271),'2024DATA'!$D$36,"")</f>
        <v/>
      </c>
      <c r="BX305" s="518" t="str">
        <f>IF(AND(_E="A-220-100",'2024'!$K$4="FO",'2024'!$K$2=BX271),'2024DATA'!$E$36,"")</f>
        <v/>
      </c>
      <c r="BY305" s="518" t="str">
        <f>IF(AND(_E="A-220-100",'2024'!$K$4="FO",'2024'!$K$2=BY271),'2024DATA'!$F$36,"")</f>
        <v/>
      </c>
      <c r="BZ305" s="518" t="str">
        <f>IF(AND(_E="A-220-100",'2024'!$K$4="FO",'2024'!$K$2=BZ271),'2024DATA'!$G$36,"")</f>
        <v/>
      </c>
      <c r="CA305" s="518" t="str">
        <f>IF(AND(_E="A-220-100",'2024'!$K$4="FO",'2024'!$K$2=CA271),'2024DATA'!$H$36,"")</f>
        <v/>
      </c>
      <c r="CB305" s="518" t="str">
        <f>IF(AND(_E="A-220-100",'2024'!$K$4="FO",'2024'!$K$2=CB271),'2024DATA'!$I$36,"")</f>
        <v/>
      </c>
      <c r="CC305" s="518" t="str">
        <f>IF(AND(_E="A-220-100",'2024'!$K$4="FO",'2024'!$K$2=CC271),'2024DATA'!$J$36,"")</f>
        <v/>
      </c>
      <c r="CD305" s="518" t="str">
        <f>IF(AND(_E="A-220-100",'2024'!$K$4="FO",'2024'!$K$2=CD271),'2024DATA'!$K$36,"")</f>
        <v/>
      </c>
      <c r="CE305" s="518" t="str">
        <f>IF(AND(_E="A-220-100",'2024'!$K$4="FO",'2024'!$K$2=CE271),'2024DATA'!$L$36,"")</f>
        <v/>
      </c>
      <c r="CF305" s="518" t="str">
        <f>IF(AND(_E="A-220-100",'2024'!$K$4="FO",'2024'!$K$2=CF271),'2024DATA'!$M$36,"")</f>
        <v/>
      </c>
      <c r="CG305" s="520" t="str">
        <f>IF(AND(_E="A-220-100",'2024'!$K$4="FO",'2024'!$K$2=CG271),'2024DATA'!$N$36,"")</f>
        <v/>
      </c>
      <c r="CH305" s="940"/>
      <c r="CI305" s="13" t="s">
        <v>62</v>
      </c>
      <c r="CJ305" s="518" t="str">
        <f>IF(AND(_F="A-220-100",'2024'!$K$4="FO",'2024'!$K$2=CJ271),'2024DATA'!$C$36,"")</f>
        <v/>
      </c>
      <c r="CK305" s="518" t="str">
        <f>IF(AND(_F="A-220-100",'2024'!$K$4="FO",'2024'!$K$2=CK271),'2024DATA'!$D$36,"")</f>
        <v/>
      </c>
      <c r="CL305" s="518" t="str">
        <f>IF(AND(_F="A-220-100",'2024'!$K$4="FO",'2024'!$K$2=CL271),'2024DATA'!$E$36,"")</f>
        <v/>
      </c>
      <c r="CM305" s="518" t="str">
        <f>IF(AND(_F="A-220-100",'2024'!$K$4="FO",'2024'!$K$2=CM271),'2024DATA'!$F$36,"")</f>
        <v/>
      </c>
      <c r="CN305" s="518" t="str">
        <f>IF(AND(_F="A-220-100",'2024'!$K$4="FO",'2024'!$K$2=CN271),'2024DATA'!$G$36,"")</f>
        <v/>
      </c>
      <c r="CO305" s="518" t="str">
        <f>IF(AND(_F="A-220-100",'2024'!$K$4="FO",'2024'!$K$2=CO271),'2024DATA'!$H$36,"")</f>
        <v/>
      </c>
      <c r="CP305" s="518" t="str">
        <f>IF(AND(_F="A-220-100",'2024'!$K$4="FO",'2024'!$K$2=CP271),'2024DATA'!$I$36,"")</f>
        <v/>
      </c>
      <c r="CQ305" s="518" t="str">
        <f>IF(AND(_F="A-220-100",'2024'!$K$4="FO",'2024'!$K$2=CQ271),'2024DATA'!$J$36,"")</f>
        <v/>
      </c>
      <c r="CR305" s="518" t="str">
        <f>IF(AND(_F="A-220-100",'2024'!$K$4="FO",'2024'!$K$2=CR271),'2024DATA'!$K$36,"")</f>
        <v/>
      </c>
      <c r="CS305" s="518" t="str">
        <f>IF(AND(_F="A-220-100",'2024'!$K$4="FO",'2024'!$K$2=CS271),'2024DATA'!$L$36,"")</f>
        <v/>
      </c>
      <c r="CT305" s="518" t="str">
        <f>IF(AND(_F="A-220-100",'2024'!$K$4="FO",'2024'!$K$2=CT271),'2024DATA'!$M$36,"")</f>
        <v/>
      </c>
      <c r="CU305" s="520" t="str">
        <f>IF(AND(_F="A-220-100",'2024'!$K$4="FO",'2024'!$K$2=CU271),'2024DATA'!$N$36,"")</f>
        <v/>
      </c>
    </row>
    <row r="306" spans="16:99" x14ac:dyDescent="0.25">
      <c r="P306" s="940" t="s">
        <v>53</v>
      </c>
      <c r="Q306" s="13" t="s">
        <v>61</v>
      </c>
      <c r="R306" s="518" t="str">
        <f>IF(AND(_A="B-717",'2024'!$K$4="CA",'2024'!$K$2=R271),'2024DATA'!$C$37,"")</f>
        <v/>
      </c>
      <c r="S306" s="518" t="str">
        <f>IF(AND(_A="B-717",'2024'!$K$4="CA",'2024'!$K$2=S271),'2024DATA'!$D$37,"")</f>
        <v/>
      </c>
      <c r="T306" s="518" t="str">
        <f>IF(AND(_A="B-717",'2024'!$K$4="CA",'2024'!$K$2=T271),'2024DATA'!$E$37,"")</f>
        <v/>
      </c>
      <c r="U306" s="518" t="str">
        <f>IF(AND(_A="B-717",'2024'!$K$4="CA",'2024'!$K$2=U271),'2024DATA'!$F$37,"")</f>
        <v/>
      </c>
      <c r="V306" s="518" t="str">
        <f>IF(AND(_A="B-717",'2024'!$K$4="CA",'2024'!$K$2=V271),'2024DATA'!$G$37,"")</f>
        <v/>
      </c>
      <c r="W306" s="518" t="str">
        <f>IF(AND(_A="B-717",'2024'!$K$4="CA",'2024'!$K$2=W271),'2024DATA'!$H$37,"")</f>
        <v/>
      </c>
      <c r="X306" s="518" t="str">
        <f>IF(AND(_A="B-717",'2024'!$K$4="CA",'2024'!$K$2=X271),'2024DATA'!$I$37,"")</f>
        <v/>
      </c>
      <c r="Y306" s="518" t="str">
        <f>IF(AND(_A="B-717",'2024'!$K$4="CA",'2024'!$K$2=Y271),'2024DATA'!$J$37,"")</f>
        <v/>
      </c>
      <c r="Z306" s="518" t="str">
        <f>IF(AND(_A="B-717",'2024'!$K$4="CA",'2024'!$K$2=Z271),'2024DATA'!$K$37,"")</f>
        <v/>
      </c>
      <c r="AA306" s="518" t="str">
        <f>IF(AND(_A="B-717",'2024'!$K$4="CA",'2024'!$K$2=AA271),'2024DATA'!$L$37,"")</f>
        <v/>
      </c>
      <c r="AB306" s="518" t="str">
        <f>IF(AND(_A="B-717",'2024'!$K$4="CA",'2024'!$K$2=AB271),'2024DATA'!$M$37,"")</f>
        <v/>
      </c>
      <c r="AC306" s="520" t="str">
        <f>IF(AND(_A="B-717",'2024'!$K$4="CA",'2024'!$K$2=AC271),'2024DATA'!$N$37,"")</f>
        <v/>
      </c>
      <c r="AD306" s="940" t="s">
        <v>53</v>
      </c>
      <c r="AE306" s="13" t="s">
        <v>61</v>
      </c>
      <c r="AF306" s="518" t="str">
        <f>IF(AND(_B="B-717",'2024'!$K$4="CA",'2024'!$K$2=AF271),'2024DATA'!$C$37,"")</f>
        <v/>
      </c>
      <c r="AG306" s="518" t="str">
        <f>IF(AND(_B="B-717",'2024'!$K$4="CA",'2024'!$K$2=AG271),'2024DATA'!$D$37,"")</f>
        <v/>
      </c>
      <c r="AH306" s="518" t="str">
        <f>IF(AND(_B="B-717",'2024'!$K$4="CA",'2024'!$K$2=AH271),'2024DATA'!$E$37,"")</f>
        <v/>
      </c>
      <c r="AI306" s="518" t="str">
        <f>IF(AND(_B="B-717",'2024'!$K$4="CA",'2024'!$K$2=AI271),'2024DATA'!$F$37,"")</f>
        <v/>
      </c>
      <c r="AJ306" s="518" t="str">
        <f>IF(AND(_B="B-717",'2024'!$K$4="CA",'2024'!$K$2=AJ271),'2024DATA'!$G$37,"")</f>
        <v/>
      </c>
      <c r="AK306" s="518" t="str">
        <f>IF(AND(_B="B-717",'2024'!$K$4="CA",'2024'!$K$2=AK271),'2024DATA'!$H$37,"")</f>
        <v/>
      </c>
      <c r="AL306" s="518" t="str">
        <f>IF(AND(_B="B-717",'2024'!$K$4="CA",'2024'!$K$2=AL271),'2024DATA'!$I$37,"")</f>
        <v/>
      </c>
      <c r="AM306" s="518" t="str">
        <f>IF(AND(_B="B-717",'2024'!$K$4="CA",'2024'!$K$2=AM271),'2024DATA'!$J$37,"")</f>
        <v/>
      </c>
      <c r="AN306" s="518" t="str">
        <f>IF(AND(_B="B-717",'2024'!$K$4="CA",'2024'!$K$2=AN271),'2024DATA'!$K$37,"")</f>
        <v/>
      </c>
      <c r="AO306" s="518" t="str">
        <f>IF(AND(_B="B-717",'2024'!$K$4="CA",'2024'!$K$2=AO271),'2024DATA'!$L$37,"")</f>
        <v/>
      </c>
      <c r="AP306" s="518" t="str">
        <f>IF(AND(_B="B-717",'2024'!$K$4="CA",'2024'!$K$2=AP271),'2024DATA'!$M$37,"")</f>
        <v/>
      </c>
      <c r="AQ306" s="520" t="str">
        <f>IF(AND(_B="B-717",'2024'!$K$4="CA",'2024'!$K$2=AQ271),'2024DATA'!$N$37,"")</f>
        <v/>
      </c>
      <c r="AR306" s="940" t="s">
        <v>53</v>
      </c>
      <c r="AS306" s="13" t="s">
        <v>61</v>
      </c>
      <c r="AT306" s="518" t="str">
        <f>IF(AND(_C="B-717",'2024'!$K$4="CA",'2024'!$K$2=AT271),'2024DATA'!$C$37,"")</f>
        <v/>
      </c>
      <c r="AU306" s="518" t="str">
        <f>IF(AND(_C="B-717",'2024'!$K$4="CA",'2024'!$K$2=AU271),'2024DATA'!$D$37,"")</f>
        <v/>
      </c>
      <c r="AV306" s="518" t="str">
        <f>IF(AND(_C="B-717",'2024'!$K$4="CA",'2024'!$K$2=AV271),'2024DATA'!$E$37,"")</f>
        <v/>
      </c>
      <c r="AW306" s="518" t="str">
        <f>IF(AND(_C="B-717",'2024'!$K$4="CA",'2024'!$K$2=AW271),'2024DATA'!$F$37,"")</f>
        <v/>
      </c>
      <c r="AX306" s="518" t="str">
        <f>IF(AND(_C="B-717",'2024'!$K$4="CA",'2024'!$K$2=AX271),'2024DATA'!$G$37,"")</f>
        <v/>
      </c>
      <c r="AY306" s="518" t="str">
        <f>IF(AND(_C="B-717",'2024'!$K$4="CA",'2024'!$K$2=AY271),'2024DATA'!$H$37,"")</f>
        <v/>
      </c>
      <c r="AZ306" s="518" t="str">
        <f>IF(AND(_C="B-717",'2024'!$K$4="CA",'2024'!$K$2=AZ271),'2024DATA'!$I$37,"")</f>
        <v/>
      </c>
      <c r="BA306" s="518" t="str">
        <f>IF(AND(_C="B-717",'2024'!$K$4="CA",'2024'!$K$2=BA271),'2024DATA'!$J$37,"")</f>
        <v/>
      </c>
      <c r="BB306" s="518" t="str">
        <f>IF(AND(_C="B-717",'2024'!$K$4="CA",'2024'!$K$2=BB271),'2024DATA'!$K$37,"")</f>
        <v/>
      </c>
      <c r="BC306" s="518" t="str">
        <f>IF(AND(_C="B-717",'2024'!$K$4="CA",'2024'!$K$2=BC271),'2024DATA'!$L$37,"")</f>
        <v/>
      </c>
      <c r="BD306" s="518" t="str">
        <f>IF(AND(_C="B-717",'2024'!$K$4="CA",'2024'!$K$2=BD271),'2024DATA'!$M$37,"")</f>
        <v/>
      </c>
      <c r="BE306" s="520" t="str">
        <f>IF(AND(_C="B-717",'2024'!$K$4="CA",'2024'!$K$2=BE271),'2024DATA'!$N$37,"")</f>
        <v/>
      </c>
      <c r="BF306" s="940" t="s">
        <v>53</v>
      </c>
      <c r="BG306" s="13" t="s">
        <v>61</v>
      </c>
      <c r="BH306" s="518" t="str">
        <f>IF(AND(_D="B-717",'2024'!$K$4="CA",'2024'!$K$2=BH271),'2024DATA'!$C$37,"")</f>
        <v/>
      </c>
      <c r="BI306" s="518" t="str">
        <f>IF(AND(_D="B-717",'2024'!$K$4="CA",'2024'!$K$2=BI271),'2024DATA'!$D$37,"")</f>
        <v/>
      </c>
      <c r="BJ306" s="518" t="str">
        <f>IF(AND(_D="B-717",'2024'!$K$4="CA",'2024'!$K$2=BJ271),'2024DATA'!$E$37,"")</f>
        <v/>
      </c>
      <c r="BK306" s="518" t="str">
        <f>IF(AND(_D="B-717",'2024'!$K$4="CA",'2024'!$K$2=BK271),'2024DATA'!$F$37,"")</f>
        <v/>
      </c>
      <c r="BL306" s="518" t="str">
        <f>IF(AND(_D="B-717",'2024'!$K$4="CA",'2024'!$K$2=BL271),'2024DATA'!$G$37,"")</f>
        <v/>
      </c>
      <c r="BM306" s="518" t="str">
        <f>IF(AND(_D="B-717",'2024'!$K$4="CA",'2024'!$K$2=BM271),'2024DATA'!$H$37,"")</f>
        <v/>
      </c>
      <c r="BN306" s="518" t="str">
        <f>IF(AND(_D="B-717",'2024'!$K$4="CA",'2024'!$K$2=BN271),'2024DATA'!$I$37,"")</f>
        <v/>
      </c>
      <c r="BO306" s="518" t="str">
        <f>IF(AND(_D="B-717",'2024'!$K$4="CA",'2024'!$K$2=BO271),'2024DATA'!$J$37,"")</f>
        <v/>
      </c>
      <c r="BP306" s="518" t="str">
        <f>IF(AND(_D="B-717",'2024'!$K$4="CA",'2024'!$K$2=BP271),'2024DATA'!$K$37,"")</f>
        <v/>
      </c>
      <c r="BQ306" s="518" t="str">
        <f>IF(AND(_D="B-717",'2024'!$K$4="CA",'2024'!$K$2=BQ271),'2024DATA'!$L$37,"")</f>
        <v/>
      </c>
      <c r="BR306" s="518" t="str">
        <f>IF(AND(_D="B-717",'2024'!$K$4="CA",'2024'!$K$2=BR271),'2024DATA'!$M$37,"")</f>
        <v/>
      </c>
      <c r="BS306" s="520" t="str">
        <f>IF(AND(_D="B-717",'2024'!$K$4="CA",'2024'!$K$2=BS271),'2024DATA'!$N$37,"")</f>
        <v/>
      </c>
      <c r="BT306" s="940" t="s">
        <v>53</v>
      </c>
      <c r="BU306" s="13" t="s">
        <v>61</v>
      </c>
      <c r="BV306" s="518" t="str">
        <f>IF(AND(_E="B-717",'2024'!$K$4="CA",'2024'!$K$2=BV271),'2024DATA'!$C$37,"")</f>
        <v/>
      </c>
      <c r="BW306" s="518" t="str">
        <f>IF(AND(_E="B-717",'2024'!$K$4="CA",'2024'!$K$2=BW271),'2024DATA'!$D$37,"")</f>
        <v/>
      </c>
      <c r="BX306" s="518" t="str">
        <f>IF(AND(_E="B-717",'2024'!$K$4="CA",'2024'!$K$2=BX271),'2024DATA'!$E$37,"")</f>
        <v/>
      </c>
      <c r="BY306" s="518" t="str">
        <f>IF(AND(_E="B-717",'2024'!$K$4="CA",'2024'!$K$2=BY271),'2024DATA'!$F$37,"")</f>
        <v/>
      </c>
      <c r="BZ306" s="518" t="str">
        <f>IF(AND(_E="B-717",'2024'!$K$4="CA",'2024'!$K$2=BZ271),'2024DATA'!$G$37,"")</f>
        <v/>
      </c>
      <c r="CA306" s="518" t="str">
        <f>IF(AND(_E="B-717",'2024'!$K$4="CA",'2024'!$K$2=CA271),'2024DATA'!$H$37,"")</f>
        <v/>
      </c>
      <c r="CB306" s="518" t="str">
        <f>IF(AND(_E="B-717",'2024'!$K$4="CA",'2024'!$K$2=CB271),'2024DATA'!$I$37,"")</f>
        <v/>
      </c>
      <c r="CC306" s="518" t="str">
        <f>IF(AND(_E="B-717",'2024'!$K$4="CA",'2024'!$K$2=CC271),'2024DATA'!$J$37,"")</f>
        <v/>
      </c>
      <c r="CD306" s="518" t="str">
        <f>IF(AND(_E="B-717",'2024'!$K$4="CA",'2024'!$K$2=CD271),'2024DATA'!$K$37,"")</f>
        <v/>
      </c>
      <c r="CE306" s="518" t="str">
        <f>IF(AND(_E="B-717",'2024'!$K$4="CA",'2024'!$K$2=CE271),'2024DATA'!$L$37,"")</f>
        <v/>
      </c>
      <c r="CF306" s="518" t="str">
        <f>IF(AND(_E="B-717",'2024'!$K$4="CA",'2024'!$K$2=CF271),'2024DATA'!$M$37,"")</f>
        <v/>
      </c>
      <c r="CG306" s="520" t="str">
        <f>IF(AND(_E="B-717",'2024'!$K$4="CA",'2024'!$K$2=CG271),'2024DATA'!$N$37,"")</f>
        <v/>
      </c>
      <c r="CH306" s="940" t="s">
        <v>53</v>
      </c>
      <c r="CI306" s="13" t="s">
        <v>61</v>
      </c>
      <c r="CJ306" s="518" t="str">
        <f>IF(AND(_F="B-717",'2024'!$K$4="CA",'2024'!$K$2=CJ271),'2024DATA'!$C$37,"")</f>
        <v/>
      </c>
      <c r="CK306" s="518" t="str">
        <f>IF(AND(_F="B-717",'2024'!$K$4="CA",'2024'!$K$2=CK271),'2024DATA'!$D$37,"")</f>
        <v/>
      </c>
      <c r="CL306" s="518" t="str">
        <f>IF(AND(_F="B-717",'2024'!$K$4="CA",'2024'!$K$2=CL271),'2024DATA'!$E$37,"")</f>
        <v/>
      </c>
      <c r="CM306" s="518" t="str">
        <f>IF(AND(_F="B-717",'2024'!$K$4="CA",'2024'!$K$2=CM271),'2024DATA'!$F$37,"")</f>
        <v/>
      </c>
      <c r="CN306" s="518" t="str">
        <f>IF(AND(_F="B-717",'2024'!$K$4="CA",'2024'!$K$2=CN271),'2024DATA'!$G$37,"")</f>
        <v/>
      </c>
      <c r="CO306" s="518" t="str">
        <f>IF(AND(_F="B-717",'2024'!$K$4="CA",'2024'!$K$2=CO271),'2024DATA'!$H$37,"")</f>
        <v/>
      </c>
      <c r="CP306" s="518" t="str">
        <f>IF(AND(_F="B-717",'2024'!$K$4="CA",'2024'!$K$2=CP271),'2024DATA'!$I$37,"")</f>
        <v/>
      </c>
      <c r="CQ306" s="518" t="str">
        <f>IF(AND(_F="B-717",'2024'!$K$4="CA",'2024'!$K$2=CQ271),'2024DATA'!$J$37,"")</f>
        <v/>
      </c>
      <c r="CR306" s="518" t="str">
        <f>IF(AND(_F="B-717",'2024'!$K$4="CA",'2024'!$K$2=CR271),'2024DATA'!$K$37,"")</f>
        <v/>
      </c>
      <c r="CS306" s="518" t="str">
        <f>IF(AND(_F="B-717",'2024'!$K$4="CA",'2024'!$K$2=CS271),'2024DATA'!$L$37,"")</f>
        <v/>
      </c>
      <c r="CT306" s="518" t="str">
        <f>IF(AND(_F="B-717",'2024'!$K$4="CA",'2024'!$K$2=CT271),'2024DATA'!$M$37,"")</f>
        <v/>
      </c>
      <c r="CU306" s="520" t="str">
        <f>IF(AND(_F="B-717",'2024'!$K$4="CA",'2024'!$K$2=CU271),'2024DATA'!$N$37,"")</f>
        <v/>
      </c>
    </row>
    <row r="307" spans="16:99" ht="15.75" thickBot="1" x14ac:dyDescent="0.3">
      <c r="P307" s="942"/>
      <c r="Q307" s="2" t="s">
        <v>62</v>
      </c>
      <c r="R307" s="518" t="str">
        <f>IF(AND(_A="B-717",'2024'!$K$4="FO",'2024'!$K$2=R271),'2024DATA'!$C$38,"")</f>
        <v/>
      </c>
      <c r="S307" s="518" t="str">
        <f>IF(AND(_A="B-717",'2024'!$K$4="FO",'2024'!$K$2=S271),'2024DATA'!$D$38,"")</f>
        <v/>
      </c>
      <c r="T307" s="518" t="str">
        <f>IF(AND(_A="B-717",'2024'!$K$4="FO",'2024'!$K$2=T271),'2024DATA'!$E$38,"")</f>
        <v/>
      </c>
      <c r="U307" s="518" t="str">
        <f>IF(AND(_A="B-717",'2024'!$K$4="FO",'2024'!$K$2=U271),'2024DATA'!$F$38,"")</f>
        <v/>
      </c>
      <c r="V307" s="518" t="str">
        <f>IF(AND(_A="B-717",'2024'!$K$4="FO",'2024'!$K$2=V271),'2024DATA'!$G$38,"")</f>
        <v/>
      </c>
      <c r="W307" s="518" t="str">
        <f>IF(AND(_A="B-717",'2024'!$K$4="FO",'2024'!$K$2=W271),'2024DATA'!$H$38,"")</f>
        <v/>
      </c>
      <c r="X307" s="518" t="str">
        <f>IF(AND(_A="B-717",'2024'!$K$4="FO",'2024'!$K$2=X271),'2024DATA'!$I$38,"")</f>
        <v/>
      </c>
      <c r="Y307" s="518" t="str">
        <f>IF(AND(_A="B-717",'2024'!$K$4="FO",'2024'!$K$2=Y271),'2024DATA'!$J$38,"")</f>
        <v/>
      </c>
      <c r="Z307" s="518" t="str">
        <f>IF(AND(_A="B-717",'2024'!$K$4="FO",'2024'!$K$2=Z271),'2024DATA'!$K$38,"")</f>
        <v/>
      </c>
      <c r="AA307" s="518" t="str">
        <f>IF(AND(_A="B-717",'2024'!$K$4="FO",'2024'!$K$2=AA271),'2024DATA'!$L$38,"")</f>
        <v/>
      </c>
      <c r="AB307" s="518" t="str">
        <f>IF(AND(_A="B-717",'2024'!$K$4="FO",'2024'!$K$2=AB271),'2024DATA'!$M$38,"")</f>
        <v/>
      </c>
      <c r="AC307" s="520" t="str">
        <f>IF(AND(_A="B-717",'2024'!$K$4="FO",'2024'!$K$2=AC271),'2024DATA'!$N$38,"")</f>
        <v/>
      </c>
      <c r="AD307" s="942"/>
      <c r="AE307" s="2" t="s">
        <v>62</v>
      </c>
      <c r="AF307" s="518" t="str">
        <f>IF(AND(_B="B-717",'2024'!$K$4="FO",'2024'!$K$2=AF271),'2024DATA'!$C$38,"")</f>
        <v/>
      </c>
      <c r="AG307" s="518" t="str">
        <f>IF(AND(_B="B-717",'2024'!$K$4="FO",'2024'!$K$2=AG271),'2024DATA'!$D$38,"")</f>
        <v/>
      </c>
      <c r="AH307" s="518" t="str">
        <f>IF(AND(_B="B-717",'2024'!$K$4="FO",'2024'!$K$2=AH271),'2024DATA'!$E$38,"")</f>
        <v/>
      </c>
      <c r="AI307" s="518" t="str">
        <f>IF(AND(_B="B-717",'2024'!$K$4="FO",'2024'!$K$2=AI271),'2024DATA'!$F$38,"")</f>
        <v/>
      </c>
      <c r="AJ307" s="518" t="str">
        <f>IF(AND(_B="B-717",'2024'!$K$4="FO",'2024'!$K$2=AJ271),'2024DATA'!$G$38,"")</f>
        <v/>
      </c>
      <c r="AK307" s="518" t="str">
        <f>IF(AND(_B="B-717",'2024'!$K$4="FO",'2024'!$K$2=AK271),'2024DATA'!$H$38,"")</f>
        <v/>
      </c>
      <c r="AL307" s="518" t="str">
        <f>IF(AND(_B="B-717",'2024'!$K$4="FO",'2024'!$K$2=AL271),'2024DATA'!$I$38,"")</f>
        <v/>
      </c>
      <c r="AM307" s="518" t="str">
        <f>IF(AND(_B="B-717",'2024'!$K$4="FO",'2024'!$K$2=AM271),'2024DATA'!$J$38,"")</f>
        <v/>
      </c>
      <c r="AN307" s="518" t="str">
        <f>IF(AND(_B="B-717",'2024'!$K$4="FO",'2024'!$K$2=AN271),'2024DATA'!$K$38,"")</f>
        <v/>
      </c>
      <c r="AO307" s="518" t="str">
        <f>IF(AND(_B="B-717",'2024'!$K$4="FO",'2024'!$K$2=AO271),'2024DATA'!$L$38,"")</f>
        <v/>
      </c>
      <c r="AP307" s="518" t="str">
        <f>IF(AND(_B="B-717",'2024'!$K$4="FO",'2024'!$K$2=AP271),'2024DATA'!$M$38,"")</f>
        <v/>
      </c>
      <c r="AQ307" s="520" t="str">
        <f>IF(AND(_B="B-717",'2024'!$K$4="FO",'2024'!$K$2=AQ271),'2024DATA'!$N$38,"")</f>
        <v/>
      </c>
      <c r="AR307" s="942"/>
      <c r="AS307" s="2" t="s">
        <v>62</v>
      </c>
      <c r="AT307" s="518" t="str">
        <f>IF(AND(_C="B-717",'2024'!$K$4="FO",'2024'!$K$2=AT271),'2024DATA'!$C$38,"")</f>
        <v/>
      </c>
      <c r="AU307" s="518" t="str">
        <f>IF(AND(_C="B-717",'2024'!$K$4="FO",'2024'!$K$2=AU271),'2024DATA'!$D$38,"")</f>
        <v/>
      </c>
      <c r="AV307" s="518" t="str">
        <f>IF(AND(_C="B-717",'2024'!$K$4="FO",'2024'!$K$2=AV271),'2024DATA'!$E$38,"")</f>
        <v/>
      </c>
      <c r="AW307" s="518" t="str">
        <f>IF(AND(_C="B-717",'2024'!$K$4="FO",'2024'!$K$2=AW271),'2024DATA'!$F$38,"")</f>
        <v/>
      </c>
      <c r="AX307" s="518" t="str">
        <f>IF(AND(_C="B-717",'2024'!$K$4="FO",'2024'!$K$2=AX271),'2024DATA'!$G$38,"")</f>
        <v/>
      </c>
      <c r="AY307" s="518" t="str">
        <f>IF(AND(_C="B-717",'2024'!$K$4="FO",'2024'!$K$2=AY271),'2024DATA'!$H$38,"")</f>
        <v/>
      </c>
      <c r="AZ307" s="518" t="str">
        <f>IF(AND(_C="B-717",'2024'!$K$4="FO",'2024'!$K$2=AZ271),'2024DATA'!$I$38,"")</f>
        <v/>
      </c>
      <c r="BA307" s="518" t="str">
        <f>IF(AND(_C="B-717",'2024'!$K$4="FO",'2024'!$K$2=BA271),'2024DATA'!$J$38,"")</f>
        <v/>
      </c>
      <c r="BB307" s="518" t="str">
        <f>IF(AND(_C="B-717",'2024'!$K$4="FO",'2024'!$K$2=BB271),'2024DATA'!$K$38,"")</f>
        <v/>
      </c>
      <c r="BC307" s="518" t="str">
        <f>IF(AND(_C="B-717",'2024'!$K$4="FO",'2024'!$K$2=BC271),'2024DATA'!$L$38,"")</f>
        <v/>
      </c>
      <c r="BD307" s="518" t="str">
        <f>IF(AND(_C="B-717",'2024'!$K$4="FO",'2024'!$K$2=BD271),'2024DATA'!$M$38,"")</f>
        <v/>
      </c>
      <c r="BE307" s="520" t="str">
        <f>IF(AND(_C="B-717",'2024'!$K$4="FO",'2024'!$K$2=BE271),'2024DATA'!$N$38,"")</f>
        <v/>
      </c>
      <c r="BF307" s="942"/>
      <c r="BG307" s="2" t="s">
        <v>62</v>
      </c>
      <c r="BH307" s="518" t="str">
        <f>IF(AND(_D="B-717",'2024'!$K$4="FO",'2024'!$K$2=BH271),'2024DATA'!$C$38,"")</f>
        <v/>
      </c>
      <c r="BI307" s="518" t="str">
        <f>IF(AND(_D="B-717",'2024'!$K$4="FO",'2024'!$K$2=BI271),'2024DATA'!$D$38,"")</f>
        <v/>
      </c>
      <c r="BJ307" s="518" t="str">
        <f>IF(AND(_D="B-717",'2024'!$K$4="FO",'2024'!$K$2=BJ271),'2024DATA'!$E$38,"")</f>
        <v/>
      </c>
      <c r="BK307" s="518" t="str">
        <f>IF(AND(_D="B-717",'2024'!$K$4="FO",'2024'!$K$2=BK271),'2024DATA'!$F$38,"")</f>
        <v/>
      </c>
      <c r="BL307" s="518" t="str">
        <f>IF(AND(_D="B-717",'2024'!$K$4="FO",'2024'!$K$2=BL271),'2024DATA'!$G$38,"")</f>
        <v/>
      </c>
      <c r="BM307" s="518" t="str">
        <f>IF(AND(_D="B-717",'2024'!$K$4="FO",'2024'!$K$2=BM271),'2024DATA'!$H$38,"")</f>
        <v/>
      </c>
      <c r="BN307" s="518" t="str">
        <f>IF(AND(_D="B-717",'2024'!$K$4="FO",'2024'!$K$2=BN271),'2024DATA'!$I$38,"")</f>
        <v/>
      </c>
      <c r="BO307" s="518" t="str">
        <f>IF(AND(_D="B-717",'2024'!$K$4="FO",'2024'!$K$2=BO271),'2024DATA'!$J$38,"")</f>
        <v/>
      </c>
      <c r="BP307" s="518" t="str">
        <f>IF(AND(_D="B-717",'2024'!$K$4="FO",'2024'!$K$2=BP271),'2024DATA'!$K$38,"")</f>
        <v/>
      </c>
      <c r="BQ307" s="518" t="str">
        <f>IF(AND(_D="B-717",'2024'!$K$4="FO",'2024'!$K$2=BQ271),'2024DATA'!$L$38,"")</f>
        <v/>
      </c>
      <c r="BR307" s="518" t="str">
        <f>IF(AND(_D="B-717",'2024'!$K$4="FO",'2024'!$K$2=BR271),'2024DATA'!$M$38,"")</f>
        <v/>
      </c>
      <c r="BS307" s="520" t="str">
        <f>IF(AND(_D="B-717",'2024'!$K$4="FO",'2024'!$K$2=BS271),'2024DATA'!$N$38,"")</f>
        <v/>
      </c>
      <c r="BT307" s="942"/>
      <c r="BU307" s="2" t="s">
        <v>62</v>
      </c>
      <c r="BV307" s="518" t="str">
        <f>IF(AND(_E="B-717",'2024'!$K$4="FO",'2024'!$K$2=BV271),'2024DATA'!$C$38,"")</f>
        <v/>
      </c>
      <c r="BW307" s="518" t="str">
        <f>IF(AND(_E="B-717",'2024'!$K$4="FO",'2024'!$K$2=BW271),'2024DATA'!$D$38,"")</f>
        <v/>
      </c>
      <c r="BX307" s="518" t="str">
        <f>IF(AND(_E="B-717",'2024'!$K$4="FO",'2024'!$K$2=BX271),'2024DATA'!$E$38,"")</f>
        <v/>
      </c>
      <c r="BY307" s="518" t="str">
        <f>IF(AND(_E="B-717",'2024'!$K$4="FO",'2024'!$K$2=BY271),'2024DATA'!$F$38,"")</f>
        <v/>
      </c>
      <c r="BZ307" s="518" t="str">
        <f>IF(AND(_E="B-717",'2024'!$K$4="FO",'2024'!$K$2=BZ271),'2024DATA'!$G$38,"")</f>
        <v/>
      </c>
      <c r="CA307" s="518" t="str">
        <f>IF(AND(_E="B-717",'2024'!$K$4="FO",'2024'!$K$2=CA271),'2024DATA'!$H$38,"")</f>
        <v/>
      </c>
      <c r="CB307" s="518" t="str">
        <f>IF(AND(_E="B-717",'2024'!$K$4="FO",'2024'!$K$2=CB271),'2024DATA'!$I$38,"")</f>
        <v/>
      </c>
      <c r="CC307" s="518" t="str">
        <f>IF(AND(_E="B-717",'2024'!$K$4="FO",'2024'!$K$2=CC271),'2024DATA'!$J$38,"")</f>
        <v/>
      </c>
      <c r="CD307" s="518" t="str">
        <f>IF(AND(_E="B-717",'2024'!$K$4="FO",'2024'!$K$2=CD271),'2024DATA'!$K$38,"")</f>
        <v/>
      </c>
      <c r="CE307" s="518" t="str">
        <f>IF(AND(_E="B-717",'2024'!$K$4="FO",'2024'!$K$2=CE271),'2024DATA'!$L$38,"")</f>
        <v/>
      </c>
      <c r="CF307" s="518" t="str">
        <f>IF(AND(_E="B-717",'2024'!$K$4="FO",'2024'!$K$2=CF271),'2024DATA'!$M$38,"")</f>
        <v/>
      </c>
      <c r="CG307" s="520" t="str">
        <f>IF(AND(_E="B-717",'2024'!$K$4="FO",'2024'!$K$2=CG271),'2024DATA'!$N$38,"")</f>
        <v/>
      </c>
      <c r="CH307" s="942"/>
      <c r="CI307" s="2" t="s">
        <v>62</v>
      </c>
      <c r="CJ307" s="518" t="str">
        <f>IF(AND(_F="B-717",'2024'!$K$4="FO",'2024'!$K$2=CJ271),'2024DATA'!$C$38,"")</f>
        <v/>
      </c>
      <c r="CK307" s="518" t="str">
        <f>IF(AND(_F="B-717",'2024'!$K$4="FO",'2024'!$K$2=CK271),'2024DATA'!$D$38,"")</f>
        <v/>
      </c>
      <c r="CL307" s="518" t="str">
        <f>IF(AND(_F="B-717",'2024'!$K$4="FO",'2024'!$K$2=CL271),'2024DATA'!$E$38,"")</f>
        <v/>
      </c>
      <c r="CM307" s="518" t="str">
        <f>IF(AND(_F="B-717",'2024'!$K$4="FO",'2024'!$K$2=CM271),'2024DATA'!$F$38,"")</f>
        <v/>
      </c>
      <c r="CN307" s="518" t="str">
        <f>IF(AND(_F="B-717",'2024'!$K$4="FO",'2024'!$K$2=CN271),'2024DATA'!$G$38,"")</f>
        <v/>
      </c>
      <c r="CO307" s="518" t="str">
        <f>IF(AND(_F="B-717",'2024'!$K$4="FO",'2024'!$K$2=CO271),'2024DATA'!$H$38,"")</f>
        <v/>
      </c>
      <c r="CP307" s="518" t="str">
        <f>IF(AND(_F="B-717",'2024'!$K$4="FO",'2024'!$K$2=CP271),'2024DATA'!$I$38,"")</f>
        <v/>
      </c>
      <c r="CQ307" s="518" t="str">
        <f>IF(AND(_F="B-717",'2024'!$K$4="FO",'2024'!$K$2=CQ271),'2024DATA'!$J$38,"")</f>
        <v/>
      </c>
      <c r="CR307" s="518" t="str">
        <f>IF(AND(_F="B-717",'2024'!$K$4="FO",'2024'!$K$2=CR271),'2024DATA'!$K$38,"")</f>
        <v/>
      </c>
      <c r="CS307" s="518" t="str">
        <f>IF(AND(_F="B-717",'2024'!$K$4="FO",'2024'!$K$2=CS271),'2024DATA'!$L$38,"")</f>
        <v/>
      </c>
      <c r="CT307" s="518" t="str">
        <f>IF(AND(_F="B-717",'2024'!$K$4="FO",'2024'!$K$2=CT271),'2024DATA'!$M$38,"")</f>
        <v/>
      </c>
      <c r="CU307" s="520" t="str">
        <f>IF(AND(_F="B-717",'2024'!$K$4="FO",'2024'!$K$2=CU271),'2024DATA'!$N$38,"")</f>
        <v/>
      </c>
    </row>
    <row r="308" spans="16:99" x14ac:dyDescent="0.25">
      <c r="P308" s="943" t="s">
        <v>103</v>
      </c>
      <c r="Q308" s="944"/>
      <c r="R308" s="944"/>
      <c r="S308" s="944"/>
      <c r="T308" s="944"/>
      <c r="U308" s="944"/>
      <c r="V308" s="944"/>
      <c r="W308" s="944"/>
      <c r="X308" s="944"/>
      <c r="Y308" s="944"/>
      <c r="Z308" s="944"/>
      <c r="AA308" s="944"/>
      <c r="AB308" s="944"/>
      <c r="AC308" s="945"/>
      <c r="AD308" s="943" t="s">
        <v>104</v>
      </c>
      <c r="AE308" s="944"/>
      <c r="AF308" s="944"/>
      <c r="AG308" s="944"/>
      <c r="AH308" s="944"/>
      <c r="AI308" s="944"/>
      <c r="AJ308" s="944"/>
      <c r="AK308" s="944"/>
      <c r="AL308" s="944"/>
      <c r="AM308" s="944"/>
      <c r="AN308" s="944"/>
      <c r="AO308" s="944"/>
      <c r="AP308" s="944"/>
      <c r="AQ308" s="945"/>
      <c r="AR308" s="943" t="s">
        <v>105</v>
      </c>
      <c r="AS308" s="944"/>
      <c r="AT308" s="944"/>
      <c r="AU308" s="944"/>
      <c r="AV308" s="944"/>
      <c r="AW308" s="944"/>
      <c r="AX308" s="944"/>
      <c r="AY308" s="944"/>
      <c r="AZ308" s="944"/>
      <c r="BA308" s="944"/>
      <c r="BB308" s="944"/>
      <c r="BC308" s="944"/>
      <c r="BD308" s="944"/>
      <c r="BE308" s="945"/>
      <c r="BF308" s="943" t="s">
        <v>106</v>
      </c>
      <c r="BG308" s="944"/>
      <c r="BH308" s="944"/>
      <c r="BI308" s="944"/>
      <c r="BJ308" s="944"/>
      <c r="BK308" s="944"/>
      <c r="BL308" s="944"/>
      <c r="BM308" s="944"/>
      <c r="BN308" s="944"/>
      <c r="BO308" s="944"/>
      <c r="BP308" s="944"/>
      <c r="BQ308" s="944"/>
      <c r="BR308" s="944"/>
      <c r="BS308" s="945"/>
      <c r="BT308" s="943" t="s">
        <v>107</v>
      </c>
      <c r="BU308" s="944"/>
      <c r="BV308" s="944"/>
      <c r="BW308" s="944"/>
      <c r="BX308" s="944"/>
      <c r="BY308" s="944"/>
      <c r="BZ308" s="944"/>
      <c r="CA308" s="944"/>
      <c r="CB308" s="944"/>
      <c r="CC308" s="944"/>
      <c r="CD308" s="944"/>
      <c r="CE308" s="944"/>
      <c r="CF308" s="944"/>
      <c r="CG308" s="945"/>
      <c r="CH308" s="943" t="s">
        <v>108</v>
      </c>
      <c r="CI308" s="944"/>
      <c r="CJ308" s="944"/>
      <c r="CK308" s="944"/>
      <c r="CL308" s="944"/>
      <c r="CM308" s="944"/>
      <c r="CN308" s="944"/>
      <c r="CO308" s="944"/>
      <c r="CP308" s="944"/>
      <c r="CQ308" s="944"/>
      <c r="CR308" s="944"/>
      <c r="CS308" s="944"/>
      <c r="CT308" s="944"/>
      <c r="CU308" s="945"/>
    </row>
    <row r="309" spans="16:99" x14ac:dyDescent="0.25">
      <c r="P309" s="601">
        <v>9</v>
      </c>
      <c r="Q309" s="567">
        <f>SUM(R310:AC345)</f>
        <v>0</v>
      </c>
      <c r="R309" s="3">
        <v>12</v>
      </c>
      <c r="S309" s="3">
        <v>11</v>
      </c>
      <c r="T309" s="3">
        <v>10</v>
      </c>
      <c r="U309" s="3">
        <v>9</v>
      </c>
      <c r="V309" s="3">
        <v>8</v>
      </c>
      <c r="W309" s="3">
        <v>7</v>
      </c>
      <c r="X309" s="3">
        <v>6</v>
      </c>
      <c r="Y309" s="3">
        <v>5</v>
      </c>
      <c r="Z309" s="3">
        <v>4</v>
      </c>
      <c r="AA309" s="3">
        <v>3</v>
      </c>
      <c r="AB309" s="3">
        <v>2</v>
      </c>
      <c r="AC309" s="519">
        <v>1</v>
      </c>
      <c r="AD309" s="567">
        <v>9</v>
      </c>
      <c r="AE309" s="567">
        <f>SUM(AF310:AQ345)</f>
        <v>0</v>
      </c>
      <c r="AF309" s="3">
        <v>12</v>
      </c>
      <c r="AG309" s="3">
        <v>11</v>
      </c>
      <c r="AH309" s="3">
        <v>10</v>
      </c>
      <c r="AI309" s="3">
        <v>9</v>
      </c>
      <c r="AJ309" s="3">
        <v>8</v>
      </c>
      <c r="AK309" s="3">
        <v>7</v>
      </c>
      <c r="AL309" s="3">
        <v>6</v>
      </c>
      <c r="AM309" s="3">
        <v>5</v>
      </c>
      <c r="AN309" s="3">
        <v>4</v>
      </c>
      <c r="AO309" s="3">
        <v>3</v>
      </c>
      <c r="AP309" s="3">
        <v>2</v>
      </c>
      <c r="AQ309" s="519">
        <v>1</v>
      </c>
      <c r="AR309" s="567">
        <v>9</v>
      </c>
      <c r="AS309" s="567">
        <f>SUM(AT310:BE345)</f>
        <v>0</v>
      </c>
      <c r="AT309" s="3">
        <v>12</v>
      </c>
      <c r="AU309" s="3">
        <v>11</v>
      </c>
      <c r="AV309" s="3">
        <v>10</v>
      </c>
      <c r="AW309" s="3">
        <v>9</v>
      </c>
      <c r="AX309" s="3">
        <v>8</v>
      </c>
      <c r="AY309" s="3">
        <v>7</v>
      </c>
      <c r="AZ309" s="3">
        <v>6</v>
      </c>
      <c r="BA309" s="3">
        <v>5</v>
      </c>
      <c r="BB309" s="3">
        <v>4</v>
      </c>
      <c r="BC309" s="3">
        <v>3</v>
      </c>
      <c r="BD309" s="3">
        <v>2</v>
      </c>
      <c r="BE309" s="519">
        <v>1</v>
      </c>
      <c r="BF309" s="567">
        <v>9</v>
      </c>
      <c r="BG309" s="567">
        <f>SUM(BH310:BS345)</f>
        <v>0</v>
      </c>
      <c r="BH309" s="3">
        <v>12</v>
      </c>
      <c r="BI309" s="3">
        <v>11</v>
      </c>
      <c r="BJ309" s="3">
        <v>10</v>
      </c>
      <c r="BK309" s="3">
        <v>9</v>
      </c>
      <c r="BL309" s="3">
        <v>8</v>
      </c>
      <c r="BM309" s="3">
        <v>7</v>
      </c>
      <c r="BN309" s="3">
        <v>6</v>
      </c>
      <c r="BO309" s="3">
        <v>5</v>
      </c>
      <c r="BP309" s="3">
        <v>4</v>
      </c>
      <c r="BQ309" s="3">
        <v>3</v>
      </c>
      <c r="BR309" s="3">
        <v>2</v>
      </c>
      <c r="BS309" s="519">
        <v>1</v>
      </c>
      <c r="BT309" s="567">
        <v>9</v>
      </c>
      <c r="BU309" s="567">
        <f>SUM(BV310:CG345)</f>
        <v>0</v>
      </c>
      <c r="BV309" s="3">
        <v>12</v>
      </c>
      <c r="BW309" s="3">
        <v>11</v>
      </c>
      <c r="BX309" s="3">
        <v>10</v>
      </c>
      <c r="BY309" s="3">
        <v>9</v>
      </c>
      <c r="BZ309" s="3">
        <v>8</v>
      </c>
      <c r="CA309" s="3">
        <v>7</v>
      </c>
      <c r="CB309" s="3">
        <v>6</v>
      </c>
      <c r="CC309" s="3">
        <v>5</v>
      </c>
      <c r="CD309" s="3">
        <v>4</v>
      </c>
      <c r="CE309" s="3">
        <v>3</v>
      </c>
      <c r="CF309" s="3">
        <v>2</v>
      </c>
      <c r="CG309" s="519">
        <v>1</v>
      </c>
      <c r="CH309" s="567">
        <v>9</v>
      </c>
      <c r="CI309" s="567">
        <f>SUM(CJ310:CU345)</f>
        <v>0</v>
      </c>
      <c r="CJ309" s="3">
        <v>12</v>
      </c>
      <c r="CK309" s="3">
        <v>11</v>
      </c>
      <c r="CL309" s="3">
        <v>10</v>
      </c>
      <c r="CM309" s="3">
        <v>9</v>
      </c>
      <c r="CN309" s="3">
        <v>8</v>
      </c>
      <c r="CO309" s="3">
        <v>7</v>
      </c>
      <c r="CP309" s="3">
        <v>6</v>
      </c>
      <c r="CQ309" s="3">
        <v>5</v>
      </c>
      <c r="CR309" s="3">
        <v>4</v>
      </c>
      <c r="CS309" s="3">
        <v>3</v>
      </c>
      <c r="CT309" s="3">
        <v>2</v>
      </c>
      <c r="CU309" s="519">
        <v>1</v>
      </c>
    </row>
    <row r="310" spans="16:99" x14ac:dyDescent="0.25">
      <c r="P310" s="940" t="s">
        <v>39</v>
      </c>
      <c r="Q310" s="13" t="s">
        <v>61</v>
      </c>
      <c r="R310" s="518" t="str">
        <f>IF(AND(_A="A-350",'2024'!$L$4="CA",'2024'!$L$2=R309),'2024DATA'!$C$3,"")</f>
        <v/>
      </c>
      <c r="S310" s="518" t="str">
        <f>IF(AND(_A="A-350",'2024'!$L$4="CA",'2024'!$L$2=S309),'2024DATA'!$D$3,"")</f>
        <v/>
      </c>
      <c r="T310" s="518" t="str">
        <f>IF(AND(_A="A-350",'2024'!$L$4="CA",'2024'!$L$2=T309),'2024DATA'!$E$3,"")</f>
        <v/>
      </c>
      <c r="U310" s="518" t="str">
        <f>IF(AND(_A="A-350",'2024'!$L$4="CA",'2024'!$L$2=U309),'2024DATA'!$F$3,"")</f>
        <v/>
      </c>
      <c r="V310" s="518" t="str">
        <f>IF(AND(_A="A-350",'2024'!$L$4="CA",'2024'!$L$2=V309),'2024DATA'!$G$3,"")</f>
        <v/>
      </c>
      <c r="W310" s="518" t="str">
        <f>IF(AND(_A="A-350",'2024'!$L$4="CA",'2024'!$L$2=W309),'2024DATA'!$H$3,"")</f>
        <v/>
      </c>
      <c r="X310" s="518" t="str">
        <f>IF(AND(_A="A-350",'2024'!$L$4="CA",'2024'!$L$2=X309),'2024DATA'!$I$3,"")</f>
        <v/>
      </c>
      <c r="Y310" s="518" t="str">
        <f>IF(AND(_A="A-350",'2024'!$L$4="CA",'2024'!$L$2=Y309),'2024DATA'!$J$3,"")</f>
        <v/>
      </c>
      <c r="Z310" s="518" t="str">
        <f>IF(AND(_A="A-350",'2024'!$L$4="CA",'2024'!$L$2=Z309),'2024DATA'!$K$3,"")</f>
        <v/>
      </c>
      <c r="AA310" s="518" t="str">
        <f>IF(AND(_A="A-350",'2024'!$L$4="CA",'2024'!$L$2=AA309),'2024DATA'!$L$3,"")</f>
        <v/>
      </c>
      <c r="AB310" s="518" t="str">
        <f>IF(AND(_A="A-350",'2024'!$L$4="CA",'2024'!$L$2=AB309),'2024DATA'!$M$3,"")</f>
        <v/>
      </c>
      <c r="AC310" s="520" t="str">
        <f>IF(AND(_A="A-350",'2024'!$L$4="CA",'2024'!$L$2=AC309),'2024DATA'!$N$3,"")</f>
        <v/>
      </c>
      <c r="AD310" s="940" t="s">
        <v>39</v>
      </c>
      <c r="AE310" s="13" t="s">
        <v>61</v>
      </c>
      <c r="AF310" s="518" t="str">
        <f>IF(AND(_B="A-350",'2024'!$L$4="CA",'2024'!$L$2=AF309),'2024DATA'!$C$3,"")</f>
        <v/>
      </c>
      <c r="AG310" s="518" t="str">
        <f>IF(AND(_B="A-350",'2024'!$L$4="CA",'2024'!$L$2=AG309),'2024DATA'!$D$3,"")</f>
        <v/>
      </c>
      <c r="AH310" s="518" t="str">
        <f>IF(AND(_B="A-350",'2024'!$L$4="CA",'2024'!$L$2=AH309),'2024DATA'!$E$3,"")</f>
        <v/>
      </c>
      <c r="AI310" s="518" t="str">
        <f>IF(AND(_B="A-350",'2024'!$L$4="CA",'2024'!$L$2=AI309),'2024DATA'!$F$3,"")</f>
        <v/>
      </c>
      <c r="AJ310" s="518" t="str">
        <f>IF(AND(_B="A-350",'2024'!$L$4="CA",'2024'!$L$2=AJ309),'2024DATA'!$G$3,"")</f>
        <v/>
      </c>
      <c r="AK310" s="518" t="str">
        <f>IF(AND(_B="A-350",'2024'!$L$4="CA",'2024'!$L$2=AK309),'2024DATA'!$H$3,"")</f>
        <v/>
      </c>
      <c r="AL310" s="518" t="str">
        <f>IF(AND(_B="A-350",'2024'!$L$4="CA",'2024'!$L$2=AL309),'2024DATA'!$I$3,"")</f>
        <v/>
      </c>
      <c r="AM310" s="518" t="str">
        <f>IF(AND(_B="A-350",'2024'!$L$4="CA",'2024'!$L$2=AM309),'2024DATA'!$J$3,"")</f>
        <v/>
      </c>
      <c r="AN310" s="518" t="str">
        <f>IF(AND(_B="A-350",'2024'!$L$4="CA",'2024'!$L$2=AN309),'2024DATA'!$K$3,"")</f>
        <v/>
      </c>
      <c r="AO310" s="518" t="str">
        <f>IF(AND(_B="A-350",'2024'!$L$4="CA",'2024'!$L$2=AO309),'2024DATA'!$L$3,"")</f>
        <v/>
      </c>
      <c r="AP310" s="518" t="str">
        <f>IF(AND(_B="A-350",'2024'!$L$4="CA",'2024'!$L$2=AP309),'2024DATA'!$M$3,"")</f>
        <v/>
      </c>
      <c r="AQ310" s="520" t="str">
        <f>IF(AND(_B="A-350",'2024'!$L$4="CA",'2024'!$L$2=AQ309),'2024DATA'!$N$3,"")</f>
        <v/>
      </c>
      <c r="AR310" s="940" t="s">
        <v>39</v>
      </c>
      <c r="AS310" s="13" t="s">
        <v>61</v>
      </c>
      <c r="AT310" s="518" t="str">
        <f>IF(AND(_C="A-350",'2024'!$L$4="CA",'2024'!$L$2=AT309),'2024DATA'!$C$3,"")</f>
        <v/>
      </c>
      <c r="AU310" s="518" t="str">
        <f>IF(AND(_C="A-350",'2024'!$L$4="CA",'2024'!$L$2=AU309),'2024DATA'!$D$3,"")</f>
        <v/>
      </c>
      <c r="AV310" s="518" t="str">
        <f>IF(AND(_C="A-350",'2024'!$L$4="CA",'2024'!$L$2=AV309),'2024DATA'!$E$3,"")</f>
        <v/>
      </c>
      <c r="AW310" s="518" t="str">
        <f>IF(AND(_C="A-350",'2024'!$L$4="CA",'2024'!$L$2=AW309),'2024DATA'!$F$3,"")</f>
        <v/>
      </c>
      <c r="AX310" s="518" t="str">
        <f>IF(AND(_C="A-350",'2024'!$L$4="CA",'2024'!$L$2=AX309),'2024DATA'!$G$3,"")</f>
        <v/>
      </c>
      <c r="AY310" s="518" t="str">
        <f>IF(AND(_C="A-350",'2024'!$L$4="CA",'2024'!$L$2=AY309),'2024DATA'!$H$3,"")</f>
        <v/>
      </c>
      <c r="AZ310" s="518" t="str">
        <f>IF(AND(_C="A-350",'2024'!$L$4="CA",'2024'!$L$2=AZ309),'2024DATA'!$I$3,"")</f>
        <v/>
      </c>
      <c r="BA310" s="518" t="str">
        <f>IF(AND(_C="A-350",'2024'!$L$4="CA",'2024'!$L$2=BA309),'2024DATA'!$J$3,"")</f>
        <v/>
      </c>
      <c r="BB310" s="518" t="str">
        <f>IF(AND(_C="A-350",'2024'!$L$4="CA",'2024'!$L$2=BB309),'2024DATA'!$K$3,"")</f>
        <v/>
      </c>
      <c r="BC310" s="518" t="str">
        <f>IF(AND(_C="A-350",'2024'!$L$4="CA",'2024'!$L$2=BC309),'2024DATA'!$L$3,"")</f>
        <v/>
      </c>
      <c r="BD310" s="518" t="str">
        <f>IF(AND(_C="A-350",'2024'!$L$4="CA",'2024'!$L$2=BD309),'2024DATA'!$M$3,"")</f>
        <v/>
      </c>
      <c r="BE310" s="520" t="str">
        <f>IF(AND(_C="A-350",'2024'!$L$4="CA",'2024'!$L$2=BE309),'2024DATA'!$N$3,"")</f>
        <v/>
      </c>
      <c r="BF310" s="940" t="s">
        <v>39</v>
      </c>
      <c r="BG310" s="13" t="s">
        <v>61</v>
      </c>
      <c r="BH310" s="518" t="str">
        <f>IF(AND(_D="A-350",'2024'!$L$4="CA",'2024'!$L$2=BH309),'2024DATA'!$C$3,"")</f>
        <v/>
      </c>
      <c r="BI310" s="518" t="str">
        <f>IF(AND(_D="A-350",'2024'!$L$4="CA",'2024'!$L$2=BI309),'2024DATA'!$D$3,"")</f>
        <v/>
      </c>
      <c r="BJ310" s="518" t="str">
        <f>IF(AND(_D="A-350",'2024'!$L$4="CA",'2024'!$L$2=BJ309),'2024DATA'!$E$3,"")</f>
        <v/>
      </c>
      <c r="BK310" s="518" t="str">
        <f>IF(AND(_D="A-350",'2024'!$L$4="CA",'2024'!$L$2=BK309),'2024DATA'!$F$3,"")</f>
        <v/>
      </c>
      <c r="BL310" s="518" t="str">
        <f>IF(AND(_D="A-350",'2024'!$L$4="CA",'2024'!$L$2=BL309),'2024DATA'!$G$3,"")</f>
        <v/>
      </c>
      <c r="BM310" s="518" t="str">
        <f>IF(AND(_D="A-350",'2024'!$L$4="CA",'2024'!$L$2=BM309),'2024DATA'!$H$3,"")</f>
        <v/>
      </c>
      <c r="BN310" s="518" t="str">
        <f>IF(AND(_D="A-350",'2024'!$L$4="CA",'2024'!$L$2=BN309),'2024DATA'!$I$3,"")</f>
        <v/>
      </c>
      <c r="BO310" s="518" t="str">
        <f>IF(AND(_D="A-350",'2024'!$L$4="CA",'2024'!$L$2=BO309),'2024DATA'!$J$3,"")</f>
        <v/>
      </c>
      <c r="BP310" s="518" t="str">
        <f>IF(AND(_D="A-350",'2024'!$L$4="CA",'2024'!$L$2=BP309),'2024DATA'!$K$3,"")</f>
        <v/>
      </c>
      <c r="BQ310" s="518" t="str">
        <f>IF(AND(_D="A-350",'2024'!$L$4="CA",'2024'!$L$2=BQ309),'2024DATA'!$L$3,"")</f>
        <v/>
      </c>
      <c r="BR310" s="518" t="str">
        <f>IF(AND(_D="A-350",'2024'!$L$4="CA",'2024'!$L$2=BR309),'2024DATA'!$M$3,"")</f>
        <v/>
      </c>
      <c r="BS310" s="520" t="str">
        <f>IF(AND(_D="A-350",'2024'!$L$4="CA",'2024'!$L$2=BS309),'2024DATA'!$N$3,"")</f>
        <v/>
      </c>
      <c r="BT310" s="940" t="s">
        <v>39</v>
      </c>
      <c r="BU310" s="13" t="s">
        <v>61</v>
      </c>
      <c r="BV310" s="518" t="str">
        <f>IF(AND(_E="A-350",'2024'!$L$4="CA",'2024'!$L$2=BV309),'2024DATA'!$C$3,"")</f>
        <v/>
      </c>
      <c r="BW310" s="518" t="str">
        <f>IF(AND(_E="A-350",'2024'!$L$4="CA",'2024'!$L$2=BW309),'2024DATA'!$D$3,"")</f>
        <v/>
      </c>
      <c r="BX310" s="518" t="str">
        <f>IF(AND(_E="A-350",'2024'!$L$4="CA",'2024'!$L$2=BX309),'2024DATA'!$E$3,"")</f>
        <v/>
      </c>
      <c r="BY310" s="518" t="str">
        <f>IF(AND(_E="A-350",'2024'!$L$4="CA",'2024'!$L$2=BY309),'2024DATA'!$F$3,"")</f>
        <v/>
      </c>
      <c r="BZ310" s="518" t="str">
        <f>IF(AND(_E="A-350",'2024'!$L$4="CA",'2024'!$L$2=BZ309),'2024DATA'!$G$3,"")</f>
        <v/>
      </c>
      <c r="CA310" s="518" t="str">
        <f>IF(AND(_E="A-350",'2024'!$L$4="CA",'2024'!$L$2=CA309),'2024DATA'!$H$3,"")</f>
        <v/>
      </c>
      <c r="CB310" s="518" t="str">
        <f>IF(AND(_E="A-350",'2024'!$L$4="CA",'2024'!$L$2=CB309),'2024DATA'!$I$3,"")</f>
        <v/>
      </c>
      <c r="CC310" s="518" t="str">
        <f>IF(AND(_E="A-350",'2024'!$L$4="CA",'2024'!$L$2=CC309),'2024DATA'!$J$3,"")</f>
        <v/>
      </c>
      <c r="CD310" s="518" t="str">
        <f>IF(AND(_E="A-350",'2024'!$L$4="CA",'2024'!$L$2=CD309),'2024DATA'!$K$3,"")</f>
        <v/>
      </c>
      <c r="CE310" s="518" t="str">
        <f>IF(AND(_E="A-350",'2024'!$L$4="CA",'2024'!$L$2=CE309),'2024DATA'!$L$3,"")</f>
        <v/>
      </c>
      <c r="CF310" s="518" t="str">
        <f>IF(AND(_E="A-350",'2024'!$L$4="CA",'2024'!$L$2=CF309),'2024DATA'!$M$3,"")</f>
        <v/>
      </c>
      <c r="CG310" s="520" t="str">
        <f>IF(AND(_E="A-350",'2024'!$L$4="CA",'2024'!$L$2=CG309),'2024DATA'!$N$3,"")</f>
        <v/>
      </c>
      <c r="CH310" s="940" t="s">
        <v>39</v>
      </c>
      <c r="CI310" s="13" t="s">
        <v>61</v>
      </c>
      <c r="CJ310" s="518" t="str">
        <f>IF(AND(_F="A-350",'2024'!$L$4="CA",'2024'!$L$2=CJ309),'2024DATA'!$C$3,"")</f>
        <v/>
      </c>
      <c r="CK310" s="518" t="str">
        <f>IF(AND(_F="A-350",'2024'!$L$4="CA",'2024'!$L$2=CK309),'2024DATA'!$D$3,"")</f>
        <v/>
      </c>
      <c r="CL310" s="518" t="str">
        <f>IF(AND(_F="A-350",'2024'!$L$4="CA",'2024'!$L$2=CL309),'2024DATA'!$E$3,"")</f>
        <v/>
      </c>
      <c r="CM310" s="518" t="str">
        <f>IF(AND(_F="A-350",'2024'!$L$4="CA",'2024'!$L$2=CM309),'2024DATA'!$F$3,"")</f>
        <v/>
      </c>
      <c r="CN310" s="518" t="str">
        <f>IF(AND(_F="A-350",'2024'!$L$4="CA",'2024'!$L$2=CN309),'2024DATA'!$G$3,"")</f>
        <v/>
      </c>
      <c r="CO310" s="518" t="str">
        <f>IF(AND(_F="A-350",'2024'!$L$4="CA",'2024'!$L$2=CO309),'2024DATA'!$H$3,"")</f>
        <v/>
      </c>
      <c r="CP310" s="518" t="str">
        <f>IF(AND(_F="A-350",'2024'!$L$4="CA",'2024'!$L$2=CP309),'2024DATA'!$I$3,"")</f>
        <v/>
      </c>
      <c r="CQ310" s="518" t="str">
        <f>IF(AND(_F="A-350",'2024'!$L$4="CA",'2024'!$L$2=CQ309),'2024DATA'!$J$3,"")</f>
        <v/>
      </c>
      <c r="CR310" s="518" t="str">
        <f>IF(AND(_F="A-350",'2024'!$L$4="CA",'2024'!$L$2=CR309),'2024DATA'!$K$3,"")</f>
        <v/>
      </c>
      <c r="CS310" s="518" t="str">
        <f>IF(AND(_F="A-350",'2024'!$L$4="CA",'2024'!$L$2=CS309),'2024DATA'!$L$3,"")</f>
        <v/>
      </c>
      <c r="CT310" s="518" t="str">
        <f>IF(AND(_F="A-350",'2024'!$L$4="CA",'2024'!$L$2=CT309),'2024DATA'!$M$3,"")</f>
        <v/>
      </c>
      <c r="CU310" s="520" t="str">
        <f>IF(AND(_F="A-350",'2024'!$L$4="CA",'2024'!$L$2=CU309),'2024DATA'!$N$3,"")</f>
        <v/>
      </c>
    </row>
    <row r="311" spans="16:99" x14ac:dyDescent="0.25">
      <c r="P311" s="940"/>
      <c r="Q311" s="13" t="s">
        <v>62</v>
      </c>
      <c r="R311" s="518" t="str">
        <f>IF(AND(_A="A-350",'2024'!$L$4="FO",'2024'!$L$2=R309),'2024DATA'!$C$4,"")</f>
        <v/>
      </c>
      <c r="S311" s="518" t="str">
        <f>IF(AND(_A="A-350",'2024'!$L$4="FO",'2024'!$L$2=S309),'2024DATA'!$D$4,"")</f>
        <v/>
      </c>
      <c r="T311" s="518" t="str">
        <f>IF(AND(_A="A-350",'2024'!$L$4="FO",'2024'!$L$2=T309),'2024DATA'!$E$4,"")</f>
        <v/>
      </c>
      <c r="U311" s="518" t="str">
        <f>IF(AND(_A="A-350",'2024'!$L$4="FO",'2024'!$L$2=U309),'2024DATA'!$F$4,"")</f>
        <v/>
      </c>
      <c r="V311" s="518" t="str">
        <f>IF(AND(_A="A-350",'2024'!$L$4="FO",'2024'!$L$2=V309),'2024DATA'!$G$4,"")</f>
        <v/>
      </c>
      <c r="W311" s="518" t="str">
        <f>IF(AND(_A="A-350",'2024'!$L$4="FO",'2024'!$L$2=W309),'2024DATA'!$H$4,"")</f>
        <v/>
      </c>
      <c r="X311" s="518" t="str">
        <f>IF(AND(_A="A-350",'2024'!$L$4="FO",'2024'!$L$2=X309),'2024DATA'!$I$4,"")</f>
        <v/>
      </c>
      <c r="Y311" s="518" t="str">
        <f>IF(AND(_A="A-350",'2024'!$L$4="FO",'2024'!$L$2=Y309),'2024DATA'!$J$4,"")</f>
        <v/>
      </c>
      <c r="Z311" s="518" t="str">
        <f>IF(AND(_A="A-350",'2024'!$L$4="FO",'2024'!$L$2=Z309),'2024DATA'!$K$4,"")</f>
        <v/>
      </c>
      <c r="AA311" s="518" t="str">
        <f>IF(AND(_A="A-350",'2024'!$L$4="FO",'2024'!$L$2=AA309),'2024DATA'!$L$4,"")</f>
        <v/>
      </c>
      <c r="AB311" s="518" t="str">
        <f>IF(AND(_A="A-350",'2024'!$L$4="FO",'2024'!$L$2=AB309),'2024DATA'!$M$4,"")</f>
        <v/>
      </c>
      <c r="AC311" s="520" t="str">
        <f>IF(AND(_A="A-350",'2024'!$L$4="FO",'2024'!$L$2=AC309),'2024DATA'!$N$4,"")</f>
        <v/>
      </c>
      <c r="AD311" s="940"/>
      <c r="AE311" s="13" t="s">
        <v>62</v>
      </c>
      <c r="AF311" s="518" t="str">
        <f>IF(AND(_B="A-350",'2024'!$L$4="FO",'2024'!$L$2=AF309),'2024DATA'!$C$4,"")</f>
        <v/>
      </c>
      <c r="AG311" s="518" t="str">
        <f>IF(AND(_B="A-350",'2024'!$L$4="FO",'2024'!$L$2=AG309),'2024DATA'!$D$4,"")</f>
        <v/>
      </c>
      <c r="AH311" s="518" t="str">
        <f>IF(AND(_B="A-350",'2024'!$L$4="FO",'2024'!$L$2=AH309),'2024DATA'!$E$4,"")</f>
        <v/>
      </c>
      <c r="AI311" s="518" t="str">
        <f>IF(AND(_B="A-350",'2024'!$L$4="FO",'2024'!$L$2=AI309),'2024DATA'!$F$4,"")</f>
        <v/>
      </c>
      <c r="AJ311" s="518" t="str">
        <f>IF(AND(_B="A-350",'2024'!$L$4="FO",'2024'!$L$2=AJ309),'2024DATA'!$G$4,"")</f>
        <v/>
      </c>
      <c r="AK311" s="518" t="str">
        <f>IF(AND(_B="A-350",'2024'!$L$4="FO",'2024'!$L$2=AK309),'2024DATA'!$H$4,"")</f>
        <v/>
      </c>
      <c r="AL311" s="518" t="str">
        <f>IF(AND(_B="A-350",'2024'!$L$4="FO",'2024'!$L$2=AL309),'2024DATA'!$I$4,"")</f>
        <v/>
      </c>
      <c r="AM311" s="518" t="str">
        <f>IF(AND(_B="A-350",'2024'!$L$4="FO",'2024'!$L$2=AM309),'2024DATA'!$J$4,"")</f>
        <v/>
      </c>
      <c r="AN311" s="518" t="str">
        <f>IF(AND(_B="A-350",'2024'!$L$4="FO",'2024'!$L$2=AN309),'2024DATA'!$K$4,"")</f>
        <v/>
      </c>
      <c r="AO311" s="518" t="str">
        <f>IF(AND(_B="A-350",'2024'!$L$4="FO",'2024'!$L$2=AO309),'2024DATA'!$L$4,"")</f>
        <v/>
      </c>
      <c r="AP311" s="518" t="str">
        <f>IF(AND(_B="A-350",'2024'!$L$4="FO",'2024'!$L$2=AP309),'2024DATA'!$M$4,"")</f>
        <v/>
      </c>
      <c r="AQ311" s="520" t="str">
        <f>IF(AND(_B="A-350",'2024'!$L$4="FO",'2024'!$L$2=AQ309),'2024DATA'!$N$4,"")</f>
        <v/>
      </c>
      <c r="AR311" s="940"/>
      <c r="AS311" s="13" t="s">
        <v>62</v>
      </c>
      <c r="AT311" s="518" t="str">
        <f>IF(AND(_C="A-350",'2024'!$L$4="FO",'2024'!$L$2=AT309),'2024DATA'!$C$4,"")</f>
        <v/>
      </c>
      <c r="AU311" s="518" t="str">
        <f>IF(AND(_C="A-350",'2024'!$L$4="FO",'2024'!$L$2=AU309),'2024DATA'!$D$4,"")</f>
        <v/>
      </c>
      <c r="AV311" s="518" t="str">
        <f>IF(AND(_C="A-350",'2024'!$L$4="FO",'2024'!$L$2=AV309),'2024DATA'!$E$4,"")</f>
        <v/>
      </c>
      <c r="AW311" s="518" t="str">
        <f>IF(AND(_C="A-350",'2024'!$L$4="FO",'2024'!$L$2=AW309),'2024DATA'!$F$4,"")</f>
        <v/>
      </c>
      <c r="AX311" s="518" t="str">
        <f>IF(AND(_C="A-350",'2024'!$L$4="FO",'2024'!$L$2=AX309),'2024DATA'!$G$4,"")</f>
        <v/>
      </c>
      <c r="AY311" s="518" t="str">
        <f>IF(AND(_C="A-350",'2024'!$L$4="FO",'2024'!$L$2=AY309),'2024DATA'!$H$4,"")</f>
        <v/>
      </c>
      <c r="AZ311" s="518" t="str">
        <f>IF(AND(_C="A-350",'2024'!$L$4="FO",'2024'!$L$2=AZ309),'2024DATA'!$I$4,"")</f>
        <v/>
      </c>
      <c r="BA311" s="518" t="str">
        <f>IF(AND(_C="A-350",'2024'!$L$4="FO",'2024'!$L$2=BA309),'2024DATA'!$J$4,"")</f>
        <v/>
      </c>
      <c r="BB311" s="518" t="str">
        <f>IF(AND(_C="A-350",'2024'!$L$4="FO",'2024'!$L$2=BB309),'2024DATA'!$K$4,"")</f>
        <v/>
      </c>
      <c r="BC311" s="518" t="str">
        <f>IF(AND(_C="A-350",'2024'!$L$4="FO",'2024'!$L$2=BC309),'2024DATA'!$L$4,"")</f>
        <v/>
      </c>
      <c r="BD311" s="518" t="str">
        <f>IF(AND(_C="A-350",'2024'!$L$4="FO",'2024'!$L$2=BD309),'2024DATA'!$M$4,"")</f>
        <v/>
      </c>
      <c r="BE311" s="520" t="str">
        <f>IF(AND(_C="A-350",'2024'!$L$4="FO",'2024'!$L$2=BE309),'2024DATA'!$N$4,"")</f>
        <v/>
      </c>
      <c r="BF311" s="940"/>
      <c r="BG311" s="13" t="s">
        <v>62</v>
      </c>
      <c r="BH311" s="518" t="str">
        <f>IF(AND(_D="A-350",'2024'!$L$4="FO",'2024'!$L$2=BH309),'2024DATA'!$C$4,"")</f>
        <v/>
      </c>
      <c r="BI311" s="518" t="str">
        <f>IF(AND(_D="A-350",'2024'!$L$4="FO",'2024'!$L$2=BI309),'2024DATA'!$D$4,"")</f>
        <v/>
      </c>
      <c r="BJ311" s="518" t="str">
        <f>IF(AND(_D="A-350",'2024'!$L$4="FO",'2024'!$L$2=BJ309),'2024DATA'!$E$4,"")</f>
        <v/>
      </c>
      <c r="BK311" s="518" t="str">
        <f>IF(AND(_D="A-350",'2024'!$L$4="FO",'2024'!$L$2=BK309),'2024DATA'!$F$4,"")</f>
        <v/>
      </c>
      <c r="BL311" s="518" t="str">
        <f>IF(AND(_D="A-350",'2024'!$L$4="FO",'2024'!$L$2=BL309),'2024DATA'!$G$4,"")</f>
        <v/>
      </c>
      <c r="BM311" s="518" t="str">
        <f>IF(AND(_D="A-350",'2024'!$L$4="FO",'2024'!$L$2=BM309),'2024DATA'!$H$4,"")</f>
        <v/>
      </c>
      <c r="BN311" s="518" t="str">
        <f>IF(AND(_D="A-350",'2024'!$L$4="FO",'2024'!$L$2=BN309),'2024DATA'!$I$4,"")</f>
        <v/>
      </c>
      <c r="BO311" s="518" t="str">
        <f>IF(AND(_D="A-350",'2024'!$L$4="FO",'2024'!$L$2=BO309),'2024DATA'!$J$4,"")</f>
        <v/>
      </c>
      <c r="BP311" s="518" t="str">
        <f>IF(AND(_D="A-350",'2024'!$L$4="FO",'2024'!$L$2=BP309),'2024DATA'!$K$4,"")</f>
        <v/>
      </c>
      <c r="BQ311" s="518" t="str">
        <f>IF(AND(_D="A-350",'2024'!$L$4="FO",'2024'!$L$2=BQ309),'2024DATA'!$L$4,"")</f>
        <v/>
      </c>
      <c r="BR311" s="518" t="str">
        <f>IF(AND(_D="A-350",'2024'!$L$4="FO",'2024'!$L$2=BR309),'2024DATA'!$M$4,"")</f>
        <v/>
      </c>
      <c r="BS311" s="520" t="str">
        <f>IF(AND(_D="A-350",'2024'!$L$4="FO",'2024'!$L$2=BS309),'2024DATA'!$N$4,"")</f>
        <v/>
      </c>
      <c r="BT311" s="940"/>
      <c r="BU311" s="13" t="s">
        <v>62</v>
      </c>
      <c r="BV311" s="518" t="str">
        <f>IF(AND(_E="A-350",'2024'!$L$4="FO",'2024'!$L$2=BV309),'2024DATA'!$C$4,"")</f>
        <v/>
      </c>
      <c r="BW311" s="518" t="str">
        <f>IF(AND(_E="A-350",'2024'!$L$4="FO",'2024'!$L$2=BW309),'2024DATA'!$D$4,"")</f>
        <v/>
      </c>
      <c r="BX311" s="518" t="str">
        <f>IF(AND(_E="A-350",'2024'!$L$4="FO",'2024'!$L$2=BX309),'2024DATA'!$E$4,"")</f>
        <v/>
      </c>
      <c r="BY311" s="518" t="str">
        <f>IF(AND(_E="A-350",'2024'!$L$4="FO",'2024'!$L$2=BY309),'2024DATA'!$F$4,"")</f>
        <v/>
      </c>
      <c r="BZ311" s="518" t="str">
        <f>IF(AND(_E="A-350",'2024'!$L$4="FO",'2024'!$L$2=BZ309),'2024DATA'!$G$4,"")</f>
        <v/>
      </c>
      <c r="CA311" s="518" t="str">
        <f>IF(AND(_E="A-350",'2024'!$L$4="FO",'2024'!$L$2=CA309),'2024DATA'!$H$4,"")</f>
        <v/>
      </c>
      <c r="CB311" s="518" t="str">
        <f>IF(AND(_E="A-350",'2024'!$L$4="FO",'2024'!$L$2=CB309),'2024DATA'!$I$4,"")</f>
        <v/>
      </c>
      <c r="CC311" s="518" t="str">
        <f>IF(AND(_E="A-350",'2024'!$L$4="FO",'2024'!$L$2=CC309),'2024DATA'!$J$4,"")</f>
        <v/>
      </c>
      <c r="CD311" s="518" t="str">
        <f>IF(AND(_E="A-350",'2024'!$L$4="FO",'2024'!$L$2=CD309),'2024DATA'!$K$4,"")</f>
        <v/>
      </c>
      <c r="CE311" s="518" t="str">
        <f>IF(AND(_E="A-350",'2024'!$L$4="FO",'2024'!$L$2=CE309),'2024DATA'!$L$4,"")</f>
        <v/>
      </c>
      <c r="CF311" s="518" t="str">
        <f>IF(AND(_E="A-350",'2024'!$L$4="FO",'2024'!$L$2=CF309),'2024DATA'!$M$4,"")</f>
        <v/>
      </c>
      <c r="CG311" s="520" t="str">
        <f>IF(AND(_E="A-350",'2024'!$L$4="FO",'2024'!$L$2=CG309),'2024DATA'!$N$4,"")</f>
        <v/>
      </c>
      <c r="CH311" s="940"/>
      <c r="CI311" s="13" t="s">
        <v>62</v>
      </c>
      <c r="CJ311" s="518" t="str">
        <f>IF(AND(_F="A-350",'2024'!$L$4="FO",'2024'!$L$2=CJ309),'2024DATA'!$C$4,"")</f>
        <v/>
      </c>
      <c r="CK311" s="518" t="str">
        <f>IF(AND(_F="A-350",'2024'!$L$4="FO",'2024'!$L$2=CK309),'2024DATA'!$D$4,"")</f>
        <v/>
      </c>
      <c r="CL311" s="518" t="str">
        <f>IF(AND(_F="A-350",'2024'!$L$4="FO",'2024'!$L$2=CL309),'2024DATA'!$E$4,"")</f>
        <v/>
      </c>
      <c r="CM311" s="518" t="str">
        <f>IF(AND(_F="A-350",'2024'!$L$4="FO",'2024'!$L$2=CM309),'2024DATA'!$F$4,"")</f>
        <v/>
      </c>
      <c r="CN311" s="518" t="str">
        <f>IF(AND(_F="A-350",'2024'!$L$4="FO",'2024'!$L$2=CN309),'2024DATA'!$G$4,"")</f>
        <v/>
      </c>
      <c r="CO311" s="518" t="str">
        <f>IF(AND(_F="A-350",'2024'!$L$4="FO",'2024'!$L$2=CO309),'2024DATA'!$H$4,"")</f>
        <v/>
      </c>
      <c r="CP311" s="518" t="str">
        <f>IF(AND(_F="A-350",'2024'!$L$4="FO",'2024'!$L$2=CP309),'2024DATA'!$I$4,"")</f>
        <v/>
      </c>
      <c r="CQ311" s="518" t="str">
        <f>IF(AND(_F="A-350",'2024'!$L$4="FO",'2024'!$L$2=CQ309),'2024DATA'!$J$4,"")</f>
        <v/>
      </c>
      <c r="CR311" s="518" t="str">
        <f>IF(AND(_F="A-350",'2024'!$L$4="FO",'2024'!$L$2=CR309),'2024DATA'!$K$4,"")</f>
        <v/>
      </c>
      <c r="CS311" s="518" t="str">
        <f>IF(AND(_F="A-350",'2024'!$L$4="FO",'2024'!$L$2=CS309),'2024DATA'!$L$4,"")</f>
        <v/>
      </c>
      <c r="CT311" s="518" t="str">
        <f>IF(AND(_F="A-350",'2024'!$L$4="FO",'2024'!$L$2=CT309),'2024DATA'!$M$4,"")</f>
        <v/>
      </c>
      <c r="CU311" s="520" t="str">
        <f>IF(AND(_F="A-350",'2024'!$L$4="FO",'2024'!$L$2=CU309),'2024DATA'!$N$4,"")</f>
        <v/>
      </c>
    </row>
    <row r="312" spans="16:99" x14ac:dyDescent="0.25">
      <c r="P312" s="940" t="s">
        <v>65</v>
      </c>
      <c r="Q312" s="13" t="s">
        <v>61</v>
      </c>
      <c r="R312" s="518" t="str">
        <f>IF(AND(_A="A-330-900",'2024'!$L$4="CA",'2024'!$L$2=R309),'2024DATA'!$C$5,"")</f>
        <v/>
      </c>
      <c r="S312" s="518" t="str">
        <f>IF(AND(_A="A-330-900",'2024'!$L$4="CA",'2024'!$L$2=S309),'2024DATA'!$D$5,"")</f>
        <v/>
      </c>
      <c r="T312" s="518" t="str">
        <f>IF(AND(_A="A-330-900",'2024'!$L$4="CA",'2024'!$L$2=T309),'2024DATA'!$E$5,"")</f>
        <v/>
      </c>
      <c r="U312" s="518" t="str">
        <f>IF(AND(_A="A-330-900",'2024'!$L$4="CA",'2024'!$L$2=U309),'2024DATA'!$F$5,"")</f>
        <v/>
      </c>
      <c r="V312" s="518" t="str">
        <f>IF(AND(_A="A-330-900",'2024'!$L$4="CA",'2024'!$L$2=V309),'2024DATA'!$G$5,"")</f>
        <v/>
      </c>
      <c r="W312" s="518" t="str">
        <f>IF(AND(_A="A-330-900",'2024'!$L$4="CA",'2024'!$L$2=W309),'2024DATA'!$H$5,"")</f>
        <v/>
      </c>
      <c r="X312" s="518" t="str">
        <f>IF(AND(_A="A-330-900",'2024'!$L$4="CA",'2024'!$L$2=X309),'2024DATA'!$I$5,"")</f>
        <v/>
      </c>
      <c r="Y312" s="518" t="str">
        <f>IF(AND(_A="A-330-900",'2024'!$L$4="CA",'2024'!$L$2=Y309),'2024DATA'!$J$5,"")</f>
        <v/>
      </c>
      <c r="Z312" s="518" t="str">
        <f>IF(AND(_A="A-330-900",'2024'!$L$4="CA",'2024'!$L$2=Z309),'2024DATA'!$K$5,"")</f>
        <v/>
      </c>
      <c r="AA312" s="518" t="str">
        <f>IF(AND(_A="A-330-900",'2024'!$L$4="CA",'2024'!$L$2=AA309),'2024DATA'!$L$5,"")</f>
        <v/>
      </c>
      <c r="AB312" s="518" t="str">
        <f>IF(AND(_A="A-330-900",'2024'!$L$4="CA",'2024'!$L$2=AB309),'2024DATA'!$M$5,"")</f>
        <v/>
      </c>
      <c r="AC312" s="520" t="str">
        <f>IF(AND(_A="A-330-900",'2024'!$L$4="CA",'2024'!$L$2=AC309),'2024DATA'!$N$5,"")</f>
        <v/>
      </c>
      <c r="AD312" s="940" t="s">
        <v>65</v>
      </c>
      <c r="AE312" s="13" t="s">
        <v>61</v>
      </c>
      <c r="AF312" s="518" t="str">
        <f>IF(AND(_B="A-330-900",'2024'!$L$4="CA",'2024'!$L$2=AF309),'2024DATA'!$C$5,"")</f>
        <v/>
      </c>
      <c r="AG312" s="518" t="str">
        <f>IF(AND(_B="A-330-900",'2024'!$L$4="CA",'2024'!$L$2=AG309),'2024DATA'!$D$5,"")</f>
        <v/>
      </c>
      <c r="AH312" s="518" t="str">
        <f>IF(AND(_B="A-330-900",'2024'!$L$4="CA",'2024'!$L$2=AH309),'2024DATA'!$E$5,"")</f>
        <v/>
      </c>
      <c r="AI312" s="518" t="str">
        <f>IF(AND(_B="A-330-900",'2024'!$L$4="CA",'2024'!$L$2=AI309),'2024DATA'!$F$5,"")</f>
        <v/>
      </c>
      <c r="AJ312" s="518" t="str">
        <f>IF(AND(_B="A-330-900",'2024'!$L$4="CA",'2024'!$L$2=AJ309),'2024DATA'!$G$5,"")</f>
        <v/>
      </c>
      <c r="AK312" s="518" t="str">
        <f>IF(AND(_B="A-330-900",'2024'!$L$4="CA",'2024'!$L$2=AK309),'2024DATA'!$H$5,"")</f>
        <v/>
      </c>
      <c r="AL312" s="518" t="str">
        <f>IF(AND(_B="A-330-900",'2024'!$L$4="CA",'2024'!$L$2=AL309),'2024DATA'!$I$5,"")</f>
        <v/>
      </c>
      <c r="AM312" s="518" t="str">
        <f>IF(AND(_B="A-330-900",'2024'!$L$4="CA",'2024'!$L$2=AM309),'2024DATA'!$J$5,"")</f>
        <v/>
      </c>
      <c r="AN312" s="518" t="str">
        <f>IF(AND(_B="A-330-900",'2024'!$L$4="CA",'2024'!$L$2=AN309),'2024DATA'!$K$5,"")</f>
        <v/>
      </c>
      <c r="AO312" s="518" t="str">
        <f>IF(AND(_B="A-330-900",'2024'!$L$4="CA",'2024'!$L$2=AO309),'2024DATA'!$L$5,"")</f>
        <v/>
      </c>
      <c r="AP312" s="518" t="str">
        <f>IF(AND(_B="A-330-900",'2024'!$L$4="CA",'2024'!$L$2=AP309),'2024DATA'!$M$5,"")</f>
        <v/>
      </c>
      <c r="AQ312" s="520" t="str">
        <f>IF(AND(_B="A-330-900",'2024'!$L$4="CA",'2024'!$L$2=AQ309),'2024DATA'!$N$5,"")</f>
        <v/>
      </c>
      <c r="AR312" s="940" t="s">
        <v>65</v>
      </c>
      <c r="AS312" s="13" t="s">
        <v>61</v>
      </c>
      <c r="AT312" s="518" t="str">
        <f>IF(AND(_C="A-330-900",'2024'!$L$4="CA",'2024'!$L$2=AT309),'2024DATA'!$C$5,"")</f>
        <v/>
      </c>
      <c r="AU312" s="518" t="str">
        <f>IF(AND(_C="A-330-900",'2024'!$L$4="CA",'2024'!$L$2=AU309),'2024DATA'!$D$5,"")</f>
        <v/>
      </c>
      <c r="AV312" s="518" t="str">
        <f>IF(AND(_C="A-330-900",'2024'!$L$4="CA",'2024'!$L$2=AV309),'2024DATA'!$E$5,"")</f>
        <v/>
      </c>
      <c r="AW312" s="518" t="str">
        <f>IF(AND(_C="A-330-900",'2024'!$L$4="CA",'2024'!$L$2=AW309),'2024DATA'!$F$5,"")</f>
        <v/>
      </c>
      <c r="AX312" s="518" t="str">
        <f>IF(AND(_C="A-330-900",'2024'!$L$4="CA",'2024'!$L$2=AX309),'2024DATA'!$G$5,"")</f>
        <v/>
      </c>
      <c r="AY312" s="518" t="str">
        <f>IF(AND(_C="A-330-900",'2024'!$L$4="CA",'2024'!$L$2=AY309),'2024DATA'!$H$5,"")</f>
        <v/>
      </c>
      <c r="AZ312" s="518" t="str">
        <f>IF(AND(_C="A-330-900",'2024'!$L$4="CA",'2024'!$L$2=AZ309),'2024DATA'!$I$5,"")</f>
        <v/>
      </c>
      <c r="BA312" s="518" t="str">
        <f>IF(AND(_C="A-330-900",'2024'!$L$4="CA",'2024'!$L$2=BA309),'2024DATA'!$J$5,"")</f>
        <v/>
      </c>
      <c r="BB312" s="518" t="str">
        <f>IF(AND(_C="A-330-900",'2024'!$L$4="CA",'2024'!$L$2=BB309),'2024DATA'!$K$5,"")</f>
        <v/>
      </c>
      <c r="BC312" s="518" t="str">
        <f>IF(AND(_C="A-330-900",'2024'!$L$4="CA",'2024'!$L$2=BC309),'2024DATA'!$L$5,"")</f>
        <v/>
      </c>
      <c r="BD312" s="518" t="str">
        <f>IF(AND(_C="A-330-900",'2024'!$L$4="CA",'2024'!$L$2=BD309),'2024DATA'!$M$5,"")</f>
        <v/>
      </c>
      <c r="BE312" s="520" t="str">
        <f>IF(AND(_C="A-330-900",'2024'!$L$4="CA",'2024'!$L$2=BE309),'2024DATA'!$N$5,"")</f>
        <v/>
      </c>
      <c r="BF312" s="940" t="s">
        <v>65</v>
      </c>
      <c r="BG312" s="13" t="s">
        <v>61</v>
      </c>
      <c r="BH312" s="518" t="str">
        <f>IF(AND(_D="A-330-900",'2024'!$L$4="CA",'2024'!$L$2=BH309),'2024DATA'!$C$5,"")</f>
        <v/>
      </c>
      <c r="BI312" s="518" t="str">
        <f>IF(AND(_D="A-330-900",'2024'!$L$4="CA",'2024'!$L$2=BI309),'2024DATA'!$D$5,"")</f>
        <v/>
      </c>
      <c r="BJ312" s="518" t="str">
        <f>IF(AND(_D="A-330-900",'2024'!$L$4="CA",'2024'!$L$2=BJ309),'2024DATA'!$E$5,"")</f>
        <v/>
      </c>
      <c r="BK312" s="518" t="str">
        <f>IF(AND(_D="A-330-900",'2024'!$L$4="CA",'2024'!$L$2=BK309),'2024DATA'!$F$5,"")</f>
        <v/>
      </c>
      <c r="BL312" s="518" t="str">
        <f>IF(AND(_D="A-330-900",'2024'!$L$4="CA",'2024'!$L$2=BL309),'2024DATA'!$G$5,"")</f>
        <v/>
      </c>
      <c r="BM312" s="518" t="str">
        <f>IF(AND(_D="A-330-900",'2024'!$L$4="CA",'2024'!$L$2=BM309),'2024DATA'!$H$5,"")</f>
        <v/>
      </c>
      <c r="BN312" s="518" t="str">
        <f>IF(AND(_D="A-330-900",'2024'!$L$4="CA",'2024'!$L$2=BN309),'2024DATA'!$I$5,"")</f>
        <v/>
      </c>
      <c r="BO312" s="518" t="str">
        <f>IF(AND(_D="A-330-900",'2024'!$L$4="CA",'2024'!$L$2=BO309),'2024DATA'!$J$5,"")</f>
        <v/>
      </c>
      <c r="BP312" s="518" t="str">
        <f>IF(AND(_D="A-330-900",'2024'!$L$4="CA",'2024'!$L$2=BP309),'2024DATA'!$K$5,"")</f>
        <v/>
      </c>
      <c r="BQ312" s="518" t="str">
        <f>IF(AND(_D="A-330-900",'2024'!$L$4="CA",'2024'!$L$2=BQ309),'2024DATA'!$L$5,"")</f>
        <v/>
      </c>
      <c r="BR312" s="518" t="str">
        <f>IF(AND(_D="A-330-900",'2024'!$L$4="CA",'2024'!$L$2=BR309),'2024DATA'!$M$5,"")</f>
        <v/>
      </c>
      <c r="BS312" s="520" t="str">
        <f>IF(AND(_D="A-330-900",'2024'!$L$4="CA",'2024'!$L$2=BS309),'2024DATA'!$N$5,"")</f>
        <v/>
      </c>
      <c r="BT312" s="940" t="s">
        <v>65</v>
      </c>
      <c r="BU312" s="13" t="s">
        <v>61</v>
      </c>
      <c r="BV312" s="518" t="str">
        <f>IF(AND(_E="A-330-900",'2024'!$L$4="CA",'2024'!$L$2=BV309),'2024DATA'!$C$5,"")</f>
        <v/>
      </c>
      <c r="BW312" s="518" t="str">
        <f>IF(AND(_E="A-330-900",'2024'!$L$4="CA",'2024'!$L$2=BW309),'2024DATA'!$D$5,"")</f>
        <v/>
      </c>
      <c r="BX312" s="518" t="str">
        <f>IF(AND(_E="A-330-900",'2024'!$L$4="CA",'2024'!$L$2=BX309),'2024DATA'!$E$5,"")</f>
        <v/>
      </c>
      <c r="BY312" s="518" t="str">
        <f>IF(AND(_E="A-330-900",'2024'!$L$4="CA",'2024'!$L$2=BY309),'2024DATA'!$F$5,"")</f>
        <v/>
      </c>
      <c r="BZ312" s="518" t="str">
        <f>IF(AND(_E="A-330-900",'2024'!$L$4="CA",'2024'!$L$2=BZ309),'2024DATA'!$G$5,"")</f>
        <v/>
      </c>
      <c r="CA312" s="518" t="str">
        <f>IF(AND(_E="A-330-900",'2024'!$L$4="CA",'2024'!$L$2=CA309),'2024DATA'!$H$5,"")</f>
        <v/>
      </c>
      <c r="CB312" s="518" t="str">
        <f>IF(AND(_E="A-330-900",'2024'!$L$4="CA",'2024'!$L$2=CB309),'2024DATA'!$I$5,"")</f>
        <v/>
      </c>
      <c r="CC312" s="518" t="str">
        <f>IF(AND(_E="A-330-900",'2024'!$L$4="CA",'2024'!$L$2=CC309),'2024DATA'!$J$5,"")</f>
        <v/>
      </c>
      <c r="CD312" s="518" t="str">
        <f>IF(AND(_E="A-330-900",'2024'!$L$4="CA",'2024'!$L$2=CD309),'2024DATA'!$K$5,"")</f>
        <v/>
      </c>
      <c r="CE312" s="518" t="str">
        <f>IF(AND(_E="A-330-900",'2024'!$L$4="CA",'2024'!$L$2=CE309),'2024DATA'!$L$5,"")</f>
        <v/>
      </c>
      <c r="CF312" s="518" t="str">
        <f>IF(AND(_E="A-330-900",'2024'!$L$4="CA",'2024'!$L$2=CF309),'2024DATA'!$M$5,"")</f>
        <v/>
      </c>
      <c r="CG312" s="520" t="str">
        <f>IF(AND(_E="A-330-900",'2024'!$L$4="CA",'2024'!$L$2=CG309),'2024DATA'!$N$5,"")</f>
        <v/>
      </c>
      <c r="CH312" s="940" t="s">
        <v>65</v>
      </c>
      <c r="CI312" s="13" t="s">
        <v>61</v>
      </c>
      <c r="CJ312" s="518" t="str">
        <f>IF(AND(_F="A-330-900",'2024'!$L$4="CA",'2024'!$L$2=CJ309),'2024DATA'!$C$5,"")</f>
        <v/>
      </c>
      <c r="CK312" s="518" t="str">
        <f>IF(AND(_F="A-330-900",'2024'!$L$4="CA",'2024'!$L$2=CK309),'2024DATA'!$D$5,"")</f>
        <v/>
      </c>
      <c r="CL312" s="518" t="str">
        <f>IF(AND(_F="A-330-900",'2024'!$L$4="CA",'2024'!$L$2=CL309),'2024DATA'!$E$5,"")</f>
        <v/>
      </c>
      <c r="CM312" s="518" t="str">
        <f>IF(AND(_F="A-330-900",'2024'!$L$4="CA",'2024'!$L$2=CM309),'2024DATA'!$F$5,"")</f>
        <v/>
      </c>
      <c r="CN312" s="518" t="str">
        <f>IF(AND(_F="A-330-900",'2024'!$L$4="CA",'2024'!$L$2=CN309),'2024DATA'!$G$5,"")</f>
        <v/>
      </c>
      <c r="CO312" s="518" t="str">
        <f>IF(AND(_F="A-330-900",'2024'!$L$4="CA",'2024'!$L$2=CO309),'2024DATA'!$H$5,"")</f>
        <v/>
      </c>
      <c r="CP312" s="518" t="str">
        <f>IF(AND(_F="A-330-900",'2024'!$L$4="CA",'2024'!$L$2=CP309),'2024DATA'!$I$5,"")</f>
        <v/>
      </c>
      <c r="CQ312" s="518" t="str">
        <f>IF(AND(_F="A-330-900",'2024'!$L$4="CA",'2024'!$L$2=CQ309),'2024DATA'!$J$5,"")</f>
        <v/>
      </c>
      <c r="CR312" s="518" t="str">
        <f>IF(AND(_F="A-330-900",'2024'!$L$4="CA",'2024'!$L$2=CR309),'2024DATA'!$K$5,"")</f>
        <v/>
      </c>
      <c r="CS312" s="518" t="str">
        <f>IF(AND(_F="A-330-900",'2024'!$L$4="CA",'2024'!$L$2=CS309),'2024DATA'!$L$5,"")</f>
        <v/>
      </c>
      <c r="CT312" s="518" t="str">
        <f>IF(AND(_F="A-330-900",'2024'!$L$4="CA",'2024'!$L$2=CT309),'2024DATA'!$M$5,"")</f>
        <v/>
      </c>
      <c r="CU312" s="520" t="str">
        <f>IF(AND(_F="A-330-900",'2024'!$L$4="CA",'2024'!$L$2=CU309),'2024DATA'!$N$5,"")</f>
        <v/>
      </c>
    </row>
    <row r="313" spans="16:99" x14ac:dyDescent="0.25">
      <c r="P313" s="940"/>
      <c r="Q313" s="13" t="s">
        <v>62</v>
      </c>
      <c r="R313" s="518" t="str">
        <f>IF(AND(_A="A-330-900",'2024'!$L$4="FO",'2024'!$L$2=R309),'2024DATA'!$C$6,"")</f>
        <v/>
      </c>
      <c r="S313" s="518" t="str">
        <f>IF(AND(_A="A-330-900",'2024'!$L$4="FO",'2024'!$L$2=S309),'2024DATA'!$D$6,"")</f>
        <v/>
      </c>
      <c r="T313" s="518" t="str">
        <f>IF(AND(_A="A-330-900",'2024'!$L$4="FO",'2024'!$L$2=T309),'2024DATA'!$E$6,"")</f>
        <v/>
      </c>
      <c r="U313" s="518" t="str">
        <f>IF(AND(_A="A-330-900",'2024'!$L$4="FO",'2024'!$L$2=U309),'2024DATA'!$F$6,"")</f>
        <v/>
      </c>
      <c r="V313" s="518" t="str">
        <f>IF(AND(_A="A-330-900",'2024'!$L$4="FO",'2024'!$L$2=V309),'2024DATA'!$G$6,"")</f>
        <v/>
      </c>
      <c r="W313" s="518" t="str">
        <f>IF(AND(_A="A-330-900",'2024'!$L$4="FO",'2024'!$L$2=W309),'2024DATA'!$H$6,"")</f>
        <v/>
      </c>
      <c r="X313" s="518" t="str">
        <f>IF(AND(_A="A-330-900",'2024'!$L$4="FO",'2024'!$L$2=X309),'2024DATA'!$I$6,"")</f>
        <v/>
      </c>
      <c r="Y313" s="518" t="str">
        <f>IF(AND(_A="A-330-900",'2024'!$L$4="FO",'2024'!$L$2=Y309),'2024DATA'!$J$6,"")</f>
        <v/>
      </c>
      <c r="Z313" s="518" t="str">
        <f>IF(AND(_A="A-330-900",'2024'!$L$4="FO",'2024'!$L$2=Z309),'2024DATA'!$K$6,"")</f>
        <v/>
      </c>
      <c r="AA313" s="518" t="str">
        <f>IF(AND(_A="A-330-900",'2024'!$L$4="FO",'2024'!$L$2=AA309),'2024DATA'!$L$6,"")</f>
        <v/>
      </c>
      <c r="AB313" s="518" t="str">
        <f>IF(AND(_A="A-330-900",'2024'!$L$4="FO",'2024'!$L$2=AB309),'2024DATA'!$M$6,"")</f>
        <v/>
      </c>
      <c r="AC313" s="520" t="str">
        <f>IF(AND(_A="A-330-900",'2024'!$L$4="FO",'2024'!$L$2=AC309),'2024DATA'!$N$6,"")</f>
        <v/>
      </c>
      <c r="AD313" s="940"/>
      <c r="AE313" s="13" t="s">
        <v>62</v>
      </c>
      <c r="AF313" s="518" t="str">
        <f>IF(AND(_B="A-330-900",'2024'!$L$4="FO",'2024'!$L$2=AF309),'2024DATA'!$C$6,"")</f>
        <v/>
      </c>
      <c r="AG313" s="518" t="str">
        <f>IF(AND(_B="A-330-900",'2024'!$L$4="FO",'2024'!$L$2=AG309),'2024DATA'!$D$6,"")</f>
        <v/>
      </c>
      <c r="AH313" s="518" t="str">
        <f>IF(AND(_B="A-330-900",'2024'!$L$4="FO",'2024'!$L$2=AH309),'2024DATA'!$E$6,"")</f>
        <v/>
      </c>
      <c r="AI313" s="518" t="str">
        <f>IF(AND(_B="A-330-900",'2024'!$L$4="FO",'2024'!$L$2=AI309),'2024DATA'!$F$6,"")</f>
        <v/>
      </c>
      <c r="AJ313" s="518" t="str">
        <f>IF(AND(_B="A-330-900",'2024'!$L$4="FO",'2024'!$L$2=AJ309),'2024DATA'!$G$6,"")</f>
        <v/>
      </c>
      <c r="AK313" s="518" t="str">
        <f>IF(AND(_B="A-330-900",'2024'!$L$4="FO",'2024'!$L$2=AK309),'2024DATA'!$H$6,"")</f>
        <v/>
      </c>
      <c r="AL313" s="518" t="str">
        <f>IF(AND(_B="A-330-900",'2024'!$L$4="FO",'2024'!$L$2=AL309),'2024DATA'!$I$6,"")</f>
        <v/>
      </c>
      <c r="AM313" s="518" t="str">
        <f>IF(AND(_B="A-330-900",'2024'!$L$4="FO",'2024'!$L$2=AM309),'2024DATA'!$J$6,"")</f>
        <v/>
      </c>
      <c r="AN313" s="518" t="str">
        <f>IF(AND(_B="A-330-900",'2024'!$L$4="FO",'2024'!$L$2=AN309),'2024DATA'!$K$6,"")</f>
        <v/>
      </c>
      <c r="AO313" s="518" t="str">
        <f>IF(AND(_B="A-330-900",'2024'!$L$4="FO",'2024'!$L$2=AO309),'2024DATA'!$L$6,"")</f>
        <v/>
      </c>
      <c r="AP313" s="518" t="str">
        <f>IF(AND(_B="A-330-900",'2024'!$L$4="FO",'2024'!$L$2=AP309),'2024DATA'!$M$6,"")</f>
        <v/>
      </c>
      <c r="AQ313" s="520" t="str">
        <f>IF(AND(_B="A-330-900",'2024'!$L$4="FO",'2024'!$L$2=AQ309),'2024DATA'!$N$6,"")</f>
        <v/>
      </c>
      <c r="AR313" s="940"/>
      <c r="AS313" s="13" t="s">
        <v>62</v>
      </c>
      <c r="AT313" s="518" t="str">
        <f>IF(AND(_C="A-330-900",'2024'!$L$4="FO",'2024'!$L$2=AT309),'2024DATA'!$C$6,"")</f>
        <v/>
      </c>
      <c r="AU313" s="518" t="str">
        <f>IF(AND(_C="A-330-900",'2024'!$L$4="FO",'2024'!$L$2=AU309),'2024DATA'!$D$6,"")</f>
        <v/>
      </c>
      <c r="AV313" s="518" t="str">
        <f>IF(AND(_C="A-330-900",'2024'!$L$4="FO",'2024'!$L$2=AV309),'2024DATA'!$E$6,"")</f>
        <v/>
      </c>
      <c r="AW313" s="518" t="str">
        <f>IF(AND(_C="A-330-900",'2024'!$L$4="FO",'2024'!$L$2=AW309),'2024DATA'!$F$6,"")</f>
        <v/>
      </c>
      <c r="AX313" s="518" t="str">
        <f>IF(AND(_C="A-330-900",'2024'!$L$4="FO",'2024'!$L$2=AX309),'2024DATA'!$G$6,"")</f>
        <v/>
      </c>
      <c r="AY313" s="518" t="str">
        <f>IF(AND(_C="A-330-900",'2024'!$L$4="FO",'2024'!$L$2=AY309),'2024DATA'!$H$6,"")</f>
        <v/>
      </c>
      <c r="AZ313" s="518" t="str">
        <f>IF(AND(_C="A-330-900",'2024'!$L$4="FO",'2024'!$L$2=AZ309),'2024DATA'!$I$6,"")</f>
        <v/>
      </c>
      <c r="BA313" s="518" t="str">
        <f>IF(AND(_C="A-330-900",'2024'!$L$4="FO",'2024'!$L$2=BA309),'2024DATA'!$J$6,"")</f>
        <v/>
      </c>
      <c r="BB313" s="518" t="str">
        <f>IF(AND(_C="A-330-900",'2024'!$L$4="FO",'2024'!$L$2=BB309),'2024DATA'!$K$6,"")</f>
        <v/>
      </c>
      <c r="BC313" s="518" t="str">
        <f>IF(AND(_C="A-330-900",'2024'!$L$4="FO",'2024'!$L$2=BC309),'2024DATA'!$L$6,"")</f>
        <v/>
      </c>
      <c r="BD313" s="518" t="str">
        <f>IF(AND(_C="A-330-900",'2024'!$L$4="FO",'2024'!$L$2=BD309),'2024DATA'!$M$6,"")</f>
        <v/>
      </c>
      <c r="BE313" s="520" t="str">
        <f>IF(AND(_C="A-330-900",'2024'!$L$4="FO",'2024'!$L$2=BE309),'2024DATA'!$N$6,"")</f>
        <v/>
      </c>
      <c r="BF313" s="940"/>
      <c r="BG313" s="13" t="s">
        <v>62</v>
      </c>
      <c r="BH313" s="518" t="str">
        <f>IF(AND(_D="A-330-900",'2024'!$L$4="FO",'2024'!$L$2=BH309),'2024DATA'!$C$6,"")</f>
        <v/>
      </c>
      <c r="BI313" s="518" t="str">
        <f>IF(AND(_D="A-330-900",'2024'!$L$4="FO",'2024'!$L$2=BI309),'2024DATA'!$D$6,"")</f>
        <v/>
      </c>
      <c r="BJ313" s="518" t="str">
        <f>IF(AND(_D="A-330-900",'2024'!$L$4="FO",'2024'!$L$2=BJ309),'2024DATA'!$E$6,"")</f>
        <v/>
      </c>
      <c r="BK313" s="518" t="str">
        <f>IF(AND(_D="A-330-900",'2024'!$L$4="FO",'2024'!$L$2=BK309),'2024DATA'!$F$6,"")</f>
        <v/>
      </c>
      <c r="BL313" s="518" t="str">
        <f>IF(AND(_D="A-330-900",'2024'!$L$4="FO",'2024'!$L$2=BL309),'2024DATA'!$G$6,"")</f>
        <v/>
      </c>
      <c r="BM313" s="518" t="str">
        <f>IF(AND(_D="A-330-900",'2024'!$L$4="FO",'2024'!$L$2=BM309),'2024DATA'!$H$6,"")</f>
        <v/>
      </c>
      <c r="BN313" s="518" t="str">
        <f>IF(AND(_D="A-330-900",'2024'!$L$4="FO",'2024'!$L$2=BN309),'2024DATA'!$I$6,"")</f>
        <v/>
      </c>
      <c r="BO313" s="518" t="str">
        <f>IF(AND(_D="A-330-900",'2024'!$L$4="FO",'2024'!$L$2=BO309),'2024DATA'!$J$6,"")</f>
        <v/>
      </c>
      <c r="BP313" s="518" t="str">
        <f>IF(AND(_D="A-330-900",'2024'!$L$4="FO",'2024'!$L$2=BP309),'2024DATA'!$K$6,"")</f>
        <v/>
      </c>
      <c r="BQ313" s="518" t="str">
        <f>IF(AND(_D="A-330-900",'2024'!$L$4="FO",'2024'!$L$2=BQ309),'2024DATA'!$L$6,"")</f>
        <v/>
      </c>
      <c r="BR313" s="518" t="str">
        <f>IF(AND(_D="A-330-900",'2024'!$L$4="FO",'2024'!$L$2=BR309),'2024DATA'!$M$6,"")</f>
        <v/>
      </c>
      <c r="BS313" s="520" t="str">
        <f>IF(AND(_D="A-330-900",'2024'!$L$4="FO",'2024'!$L$2=BS309),'2024DATA'!$N$6,"")</f>
        <v/>
      </c>
      <c r="BT313" s="940"/>
      <c r="BU313" s="13" t="s">
        <v>62</v>
      </c>
      <c r="BV313" s="518" t="str">
        <f>IF(AND(_E="A-330-900",'2024'!$L$4="FO",'2024'!$L$2=BV309),'2024DATA'!$C$6,"")</f>
        <v/>
      </c>
      <c r="BW313" s="518" t="str">
        <f>IF(AND(_E="A-330-900",'2024'!$L$4="FO",'2024'!$L$2=BW309),'2024DATA'!$D$6,"")</f>
        <v/>
      </c>
      <c r="BX313" s="518" t="str">
        <f>IF(AND(_E="A-330-900",'2024'!$L$4="FO",'2024'!$L$2=BX309),'2024DATA'!$E$6,"")</f>
        <v/>
      </c>
      <c r="BY313" s="518" t="str">
        <f>IF(AND(_E="A-330-900",'2024'!$L$4="FO",'2024'!$L$2=BY309),'2024DATA'!$F$6,"")</f>
        <v/>
      </c>
      <c r="BZ313" s="518" t="str">
        <f>IF(AND(_E="A-330-900",'2024'!$L$4="FO",'2024'!$L$2=BZ309),'2024DATA'!$G$6,"")</f>
        <v/>
      </c>
      <c r="CA313" s="518" t="str">
        <f>IF(AND(_E="A-330-900",'2024'!$L$4="FO",'2024'!$L$2=CA309),'2024DATA'!$H$6,"")</f>
        <v/>
      </c>
      <c r="CB313" s="518" t="str">
        <f>IF(AND(_E="A-330-900",'2024'!$L$4="FO",'2024'!$L$2=CB309),'2024DATA'!$I$6,"")</f>
        <v/>
      </c>
      <c r="CC313" s="518" t="str">
        <f>IF(AND(_E="A-330-900",'2024'!$L$4="FO",'2024'!$L$2=CC309),'2024DATA'!$J$6,"")</f>
        <v/>
      </c>
      <c r="CD313" s="518" t="str">
        <f>IF(AND(_E="A-330-900",'2024'!$L$4="FO",'2024'!$L$2=CD309),'2024DATA'!$K$6,"")</f>
        <v/>
      </c>
      <c r="CE313" s="518" t="str">
        <f>IF(AND(_E="A-330-900",'2024'!$L$4="FO",'2024'!$L$2=CE309),'2024DATA'!$L$6,"")</f>
        <v/>
      </c>
      <c r="CF313" s="518" t="str">
        <f>IF(AND(_E="A-330-900",'2024'!$L$4="FO",'2024'!$L$2=CF309),'2024DATA'!$M$6,"")</f>
        <v/>
      </c>
      <c r="CG313" s="520" t="str">
        <f>IF(AND(_E="A-330-900",'2024'!$L$4="FO",'2024'!$L$2=CG309),'2024DATA'!$N$6,"")</f>
        <v/>
      </c>
      <c r="CH313" s="940"/>
      <c r="CI313" s="13" t="s">
        <v>62</v>
      </c>
      <c r="CJ313" s="518" t="str">
        <f>IF(AND(_F="A-330-900",'2024'!$L$4="FO",'2024'!$L$2=CJ309),'2024DATA'!$C$6,"")</f>
        <v/>
      </c>
      <c r="CK313" s="518" t="str">
        <f>IF(AND(_F="A-330-900",'2024'!$L$4="FO",'2024'!$L$2=CK309),'2024DATA'!$D$6,"")</f>
        <v/>
      </c>
      <c r="CL313" s="518" t="str">
        <f>IF(AND(_F="A-330-900",'2024'!$L$4="FO",'2024'!$L$2=CL309),'2024DATA'!$E$6,"")</f>
        <v/>
      </c>
      <c r="CM313" s="518" t="str">
        <f>IF(AND(_F="A-330-900",'2024'!$L$4="FO",'2024'!$L$2=CM309),'2024DATA'!$F$6,"")</f>
        <v/>
      </c>
      <c r="CN313" s="518" t="str">
        <f>IF(AND(_F="A-330-900",'2024'!$L$4="FO",'2024'!$L$2=CN309),'2024DATA'!$G$6,"")</f>
        <v/>
      </c>
      <c r="CO313" s="518" t="str">
        <f>IF(AND(_F="A-330-900",'2024'!$L$4="FO",'2024'!$L$2=CO309),'2024DATA'!$H$6,"")</f>
        <v/>
      </c>
      <c r="CP313" s="518" t="str">
        <f>IF(AND(_F="A-330-900",'2024'!$L$4="FO",'2024'!$L$2=CP309),'2024DATA'!$I$6,"")</f>
        <v/>
      </c>
      <c r="CQ313" s="518" t="str">
        <f>IF(AND(_F="A-330-900",'2024'!$L$4="FO",'2024'!$L$2=CQ309),'2024DATA'!$J$6,"")</f>
        <v/>
      </c>
      <c r="CR313" s="518" t="str">
        <f>IF(AND(_F="A-330-900",'2024'!$L$4="FO",'2024'!$L$2=CR309),'2024DATA'!$K$6,"")</f>
        <v/>
      </c>
      <c r="CS313" s="518" t="str">
        <f>IF(AND(_F="A-330-900",'2024'!$L$4="FO",'2024'!$L$2=CS309),'2024DATA'!$L$6,"")</f>
        <v/>
      </c>
      <c r="CT313" s="518" t="str">
        <f>IF(AND(_F="A-330-900",'2024'!$L$4="FO",'2024'!$L$2=CT309),'2024DATA'!$M$6,"")</f>
        <v/>
      </c>
      <c r="CU313" s="520" t="str">
        <f>IF(AND(_F="A-330-900",'2024'!$L$4="FO",'2024'!$L$2=CU309),'2024DATA'!$N$6,"")</f>
        <v/>
      </c>
    </row>
    <row r="314" spans="16:99" x14ac:dyDescent="0.25">
      <c r="P314" s="940" t="s">
        <v>64</v>
      </c>
      <c r="Q314" s="13" t="s">
        <v>61</v>
      </c>
      <c r="R314" s="518" t="str">
        <f>IF(AND(_A="A-330-300",'2024'!$L$4="CA",'2024'!$L$2=R309),'2024DATA'!$C$7,"")</f>
        <v/>
      </c>
      <c r="S314" s="518" t="str">
        <f>IF(AND(_A="A-330-300",'2024'!$L$4="CA",'2024'!$L$2=S309),'2024DATA'!$D$7,"")</f>
        <v/>
      </c>
      <c r="T314" s="518" t="str">
        <f>IF(AND(_A="A-330-300",'2024'!$L$4="CA",'2024'!$L$2=T309),'2024DATA'!$E$7,"")</f>
        <v/>
      </c>
      <c r="U314" s="518" t="str">
        <f>IF(AND(_A="A-330-300",'2024'!$L$4="CA",'2024'!$L$2=U309),'2024DATA'!$F$7,"")</f>
        <v/>
      </c>
      <c r="V314" s="518" t="str">
        <f>IF(AND(_A="A-330-300",'2024'!$L$4="CA",'2024'!$L$2=V309),'2024DATA'!$G$7,"")</f>
        <v/>
      </c>
      <c r="W314" s="518" t="str">
        <f>IF(AND(_A="A-330-300",'2024'!$L$4="CA",'2024'!$L$2=W309),'2024DATA'!$H$7,"")</f>
        <v/>
      </c>
      <c r="X314" s="518" t="str">
        <f>IF(AND(_A="A-330-300",'2024'!$L$4="CA",'2024'!$L$2=X309),'2024DATA'!$I$7,"")</f>
        <v/>
      </c>
      <c r="Y314" s="518" t="str">
        <f>IF(AND(_A="A-330-300",'2024'!$L$4="CA",'2024'!$L$2=Y309),'2024DATA'!$J$7,"")</f>
        <v/>
      </c>
      <c r="Z314" s="518" t="str">
        <f>IF(AND(_A="A-330-300",'2024'!$L$4="CA",'2024'!$L$2=Z309),'2024DATA'!$K$7,"")</f>
        <v/>
      </c>
      <c r="AA314" s="518" t="str">
        <f>IF(AND(_A="A-330-300",'2024'!$L$4="CA",'2024'!$L$2=AA309),'2024DATA'!$L$7,"")</f>
        <v/>
      </c>
      <c r="AB314" s="518" t="str">
        <f>IF(AND(_A="A-330-300",'2024'!$L$4="CA",'2024'!$L$2=AB309),'2024DATA'!$M$7,"")</f>
        <v/>
      </c>
      <c r="AC314" s="520" t="str">
        <f>IF(AND(_A="A-330-300",'2024'!$L$4="CA",'2024'!$L$2=AC309),'2024DATA'!$N$7,"")</f>
        <v/>
      </c>
      <c r="AD314" s="940" t="s">
        <v>64</v>
      </c>
      <c r="AE314" s="13" t="s">
        <v>61</v>
      </c>
      <c r="AF314" s="518" t="str">
        <f>IF(AND(_B="A-330-300",'2024'!$L$4="CA",'2024'!$L$2=AF309),'2024DATA'!$C$7,"")</f>
        <v/>
      </c>
      <c r="AG314" s="518" t="str">
        <f>IF(AND(_B="A-330-300",'2024'!$L$4="CA",'2024'!$L$2=AG309),'2024DATA'!$D$7,"")</f>
        <v/>
      </c>
      <c r="AH314" s="518" t="str">
        <f>IF(AND(_B="A-330-300",'2024'!$L$4="CA",'2024'!$L$2=AH309),'2024DATA'!$E$7,"")</f>
        <v/>
      </c>
      <c r="AI314" s="518" t="str">
        <f>IF(AND(_B="A-330-300",'2024'!$L$4="CA",'2024'!$L$2=AI309),'2024DATA'!$F$7,"")</f>
        <v/>
      </c>
      <c r="AJ314" s="518" t="str">
        <f>IF(AND(_B="A-330-300",'2024'!$L$4="CA",'2024'!$L$2=AJ309),'2024DATA'!$G$7,"")</f>
        <v/>
      </c>
      <c r="AK314" s="518" t="str">
        <f>IF(AND(_B="A-330-300",'2024'!$L$4="CA",'2024'!$L$2=AK309),'2024DATA'!$H$7,"")</f>
        <v/>
      </c>
      <c r="AL314" s="518" t="str">
        <f>IF(AND(_B="A-330-300",'2024'!$L$4="CA",'2024'!$L$2=AL309),'2024DATA'!$I$7,"")</f>
        <v/>
      </c>
      <c r="AM314" s="518" t="str">
        <f>IF(AND(_B="A-330-300",'2024'!$L$4="CA",'2024'!$L$2=AM309),'2024DATA'!$J$7,"")</f>
        <v/>
      </c>
      <c r="AN314" s="518" t="str">
        <f>IF(AND(_B="A-330-300",'2024'!$L$4="CA",'2024'!$L$2=AN309),'2024DATA'!$K$7,"")</f>
        <v/>
      </c>
      <c r="AO314" s="518" t="str">
        <f>IF(AND(_B="A-330-300",'2024'!$L$4="CA",'2024'!$L$2=AO309),'2024DATA'!$L$7,"")</f>
        <v/>
      </c>
      <c r="AP314" s="518" t="str">
        <f>IF(AND(_B="A-330-300",'2024'!$L$4="CA",'2024'!$L$2=AP309),'2024DATA'!$M$7,"")</f>
        <v/>
      </c>
      <c r="AQ314" s="520" t="str">
        <f>IF(AND(_B="A-330-300",'2024'!$L$4="CA",'2024'!$L$2=AQ309),'2024DATA'!$N$7,"")</f>
        <v/>
      </c>
      <c r="AR314" s="940" t="s">
        <v>64</v>
      </c>
      <c r="AS314" s="13" t="s">
        <v>61</v>
      </c>
      <c r="AT314" s="518" t="str">
        <f>IF(AND(_C="A-330-300",'2024'!$L$4="CA",'2024'!$L$2=AT309),'2024DATA'!$C$7,"")</f>
        <v/>
      </c>
      <c r="AU314" s="518" t="str">
        <f>IF(AND(_C="A-330-300",'2024'!$L$4="CA",'2024'!$L$2=AU309),'2024DATA'!$D$7,"")</f>
        <v/>
      </c>
      <c r="AV314" s="518" t="str">
        <f>IF(AND(_C="A-330-300",'2024'!$L$4="CA",'2024'!$L$2=AV309),'2024DATA'!$E$7,"")</f>
        <v/>
      </c>
      <c r="AW314" s="518" t="str">
        <f>IF(AND(_C="A-330-300",'2024'!$L$4="CA",'2024'!$L$2=AW309),'2024DATA'!$F$7,"")</f>
        <v/>
      </c>
      <c r="AX314" s="518" t="str">
        <f>IF(AND(_C="A-330-300",'2024'!$L$4="CA",'2024'!$L$2=AX309),'2024DATA'!$G$7,"")</f>
        <v/>
      </c>
      <c r="AY314" s="518" t="str">
        <f>IF(AND(_C="A-330-300",'2024'!$L$4="CA",'2024'!$L$2=AY309),'2024DATA'!$H$7,"")</f>
        <v/>
      </c>
      <c r="AZ314" s="518" t="str">
        <f>IF(AND(_C="A-330-300",'2024'!$L$4="CA",'2024'!$L$2=AZ309),'2024DATA'!$I$7,"")</f>
        <v/>
      </c>
      <c r="BA314" s="518" t="str">
        <f>IF(AND(_C="A-330-300",'2024'!$L$4="CA",'2024'!$L$2=BA309),'2024DATA'!$J$7,"")</f>
        <v/>
      </c>
      <c r="BB314" s="518" t="str">
        <f>IF(AND(_C="A-330-300",'2024'!$L$4="CA",'2024'!$L$2=BB309),'2024DATA'!$K$7,"")</f>
        <v/>
      </c>
      <c r="BC314" s="518" t="str">
        <f>IF(AND(_C="A-330-300",'2024'!$L$4="CA",'2024'!$L$2=BC309),'2024DATA'!$L$7,"")</f>
        <v/>
      </c>
      <c r="BD314" s="518" t="str">
        <f>IF(AND(_C="A-330-300",'2024'!$L$4="CA",'2024'!$L$2=BD309),'2024DATA'!$M$7,"")</f>
        <v/>
      </c>
      <c r="BE314" s="520" t="str">
        <f>IF(AND(_C="A-330-300",'2024'!$L$4="CA",'2024'!$L$2=BE309),'2024DATA'!$N$7,"")</f>
        <v/>
      </c>
      <c r="BF314" s="940" t="s">
        <v>64</v>
      </c>
      <c r="BG314" s="13" t="s">
        <v>61</v>
      </c>
      <c r="BH314" s="518" t="str">
        <f>IF(AND(_D="A-330-300",'2024'!$L$4="CA",'2024'!$L$2=BH309),'2024DATA'!$C$7,"")</f>
        <v/>
      </c>
      <c r="BI314" s="518" t="str">
        <f>IF(AND(_D="A-330-300",'2024'!$L$4="CA",'2024'!$L$2=BI309),'2024DATA'!$D$7,"")</f>
        <v/>
      </c>
      <c r="BJ314" s="518" t="str">
        <f>IF(AND(_D="A-330-300",'2024'!$L$4="CA",'2024'!$L$2=BJ309),'2024DATA'!$E$7,"")</f>
        <v/>
      </c>
      <c r="BK314" s="518" t="str">
        <f>IF(AND(_D="A-330-300",'2024'!$L$4="CA",'2024'!$L$2=BK309),'2024DATA'!$F$7,"")</f>
        <v/>
      </c>
      <c r="BL314" s="518" t="str">
        <f>IF(AND(_D="A-330-300",'2024'!$L$4="CA",'2024'!$L$2=BL309),'2024DATA'!$G$7,"")</f>
        <v/>
      </c>
      <c r="BM314" s="518" t="str">
        <f>IF(AND(_D="A-330-300",'2024'!$L$4="CA",'2024'!$L$2=BM309),'2024DATA'!$H$7,"")</f>
        <v/>
      </c>
      <c r="BN314" s="518" t="str">
        <f>IF(AND(_D="A-330-300",'2024'!$L$4="CA",'2024'!$L$2=BN309),'2024DATA'!$I$7,"")</f>
        <v/>
      </c>
      <c r="BO314" s="518" t="str">
        <f>IF(AND(_D="A-330-300",'2024'!$L$4="CA",'2024'!$L$2=BO309),'2024DATA'!$J$7,"")</f>
        <v/>
      </c>
      <c r="BP314" s="518" t="str">
        <f>IF(AND(_D="A-330-300",'2024'!$L$4="CA",'2024'!$L$2=BP309),'2024DATA'!$K$7,"")</f>
        <v/>
      </c>
      <c r="BQ314" s="518" t="str">
        <f>IF(AND(_D="A-330-300",'2024'!$L$4="CA",'2024'!$L$2=BQ309),'2024DATA'!$L$7,"")</f>
        <v/>
      </c>
      <c r="BR314" s="518" t="str">
        <f>IF(AND(_D="A-330-300",'2024'!$L$4="CA",'2024'!$L$2=BR309),'2024DATA'!$M$7,"")</f>
        <v/>
      </c>
      <c r="BS314" s="520" t="str">
        <f>IF(AND(_D="A-330-300",'2024'!$L$4="CA",'2024'!$L$2=BS309),'2024DATA'!$N$7,"")</f>
        <v/>
      </c>
      <c r="BT314" s="940" t="s">
        <v>64</v>
      </c>
      <c r="BU314" s="13" t="s">
        <v>61</v>
      </c>
      <c r="BV314" s="518" t="str">
        <f>IF(AND(_E="A-330-300",'2024'!$L$4="CA",'2024'!$L$2=BV309),'2024DATA'!$C$7,"")</f>
        <v/>
      </c>
      <c r="BW314" s="518" t="str">
        <f>IF(AND(_E="A-330-300",'2024'!$L$4="CA",'2024'!$L$2=BW309),'2024DATA'!$D$7,"")</f>
        <v/>
      </c>
      <c r="BX314" s="518" t="str">
        <f>IF(AND(_E="A-330-300",'2024'!$L$4="CA",'2024'!$L$2=BX309),'2024DATA'!$E$7,"")</f>
        <v/>
      </c>
      <c r="BY314" s="518" t="str">
        <f>IF(AND(_E="A-330-300",'2024'!$L$4="CA",'2024'!$L$2=BY309),'2024DATA'!$F$7,"")</f>
        <v/>
      </c>
      <c r="BZ314" s="518" t="str">
        <f>IF(AND(_E="A-330-300",'2024'!$L$4="CA",'2024'!$L$2=BZ309),'2024DATA'!$G$7,"")</f>
        <v/>
      </c>
      <c r="CA314" s="518" t="str">
        <f>IF(AND(_E="A-330-300",'2024'!$L$4="CA",'2024'!$L$2=CA309),'2024DATA'!$H$7,"")</f>
        <v/>
      </c>
      <c r="CB314" s="518" t="str">
        <f>IF(AND(_E="A-330-300",'2024'!$L$4="CA",'2024'!$L$2=CB309),'2024DATA'!$I$7,"")</f>
        <v/>
      </c>
      <c r="CC314" s="518" t="str">
        <f>IF(AND(_E="A-330-300",'2024'!$L$4="CA",'2024'!$L$2=CC309),'2024DATA'!$J$7,"")</f>
        <v/>
      </c>
      <c r="CD314" s="518" t="str">
        <f>IF(AND(_E="A-330-300",'2024'!$L$4="CA",'2024'!$L$2=CD309),'2024DATA'!$K$7,"")</f>
        <v/>
      </c>
      <c r="CE314" s="518" t="str">
        <f>IF(AND(_E="A-330-300",'2024'!$L$4="CA",'2024'!$L$2=CE309),'2024DATA'!$L$7,"")</f>
        <v/>
      </c>
      <c r="CF314" s="518" t="str">
        <f>IF(AND(_E="A-330-300",'2024'!$L$4="CA",'2024'!$L$2=CF309),'2024DATA'!$M$7,"")</f>
        <v/>
      </c>
      <c r="CG314" s="520" t="str">
        <f>IF(AND(_E="A-330-300",'2024'!$L$4="CA",'2024'!$L$2=CG309),'2024DATA'!$N$7,"")</f>
        <v/>
      </c>
      <c r="CH314" s="940" t="s">
        <v>64</v>
      </c>
      <c r="CI314" s="13" t="s">
        <v>61</v>
      </c>
      <c r="CJ314" s="518" t="str">
        <f>IF(AND(_F="A-330-300",'2024'!$L$4="CA",'2024'!$L$2=CJ309),'2024DATA'!$C$7,"")</f>
        <v/>
      </c>
      <c r="CK314" s="518" t="str">
        <f>IF(AND(_F="A-330-300",'2024'!$L$4="CA",'2024'!$L$2=CK309),'2024DATA'!$D$7,"")</f>
        <v/>
      </c>
      <c r="CL314" s="518" t="str">
        <f>IF(AND(_F="A-330-300",'2024'!$L$4="CA",'2024'!$L$2=CL309),'2024DATA'!$E$7,"")</f>
        <v/>
      </c>
      <c r="CM314" s="518" t="str">
        <f>IF(AND(_F="A-330-300",'2024'!$L$4="CA",'2024'!$L$2=CM309),'2024DATA'!$F$7,"")</f>
        <v/>
      </c>
      <c r="CN314" s="518" t="str">
        <f>IF(AND(_F="A-330-300",'2024'!$L$4="CA",'2024'!$L$2=CN309),'2024DATA'!$G$7,"")</f>
        <v/>
      </c>
      <c r="CO314" s="518" t="str">
        <f>IF(AND(_F="A-330-300",'2024'!$L$4="CA",'2024'!$L$2=CO309),'2024DATA'!$H$7,"")</f>
        <v/>
      </c>
      <c r="CP314" s="518" t="str">
        <f>IF(AND(_F="A-330-300",'2024'!$L$4="CA",'2024'!$L$2=CP309),'2024DATA'!$I$7,"")</f>
        <v/>
      </c>
      <c r="CQ314" s="518" t="str">
        <f>IF(AND(_F="A-330-300",'2024'!$L$4="CA",'2024'!$L$2=CQ309),'2024DATA'!$J$7,"")</f>
        <v/>
      </c>
      <c r="CR314" s="518" t="str">
        <f>IF(AND(_F="A-330-300",'2024'!$L$4="CA",'2024'!$L$2=CR309),'2024DATA'!$K$7,"")</f>
        <v/>
      </c>
      <c r="CS314" s="518" t="str">
        <f>IF(AND(_F="A-330-300",'2024'!$L$4="CA",'2024'!$L$2=CS309),'2024DATA'!$L$7,"")</f>
        <v/>
      </c>
      <c r="CT314" s="518" t="str">
        <f>IF(AND(_F="A-330-300",'2024'!$L$4="CA",'2024'!$L$2=CT309),'2024DATA'!$M$7,"")</f>
        <v/>
      </c>
      <c r="CU314" s="520" t="str">
        <f>IF(AND(_F="A-330-300",'2024'!$L$4="CA",'2024'!$L$2=CU309),'2024DATA'!$N$7,"")</f>
        <v/>
      </c>
    </row>
    <row r="315" spans="16:99" x14ac:dyDescent="0.25">
      <c r="P315" s="940"/>
      <c r="Q315" s="13" t="s">
        <v>62</v>
      </c>
      <c r="R315" s="518" t="str">
        <f>IF(AND(_A="A-330-300",'2024'!$L$4="FO",'2024'!$L$2=R309),'2024DATA'!$C$8,"")</f>
        <v/>
      </c>
      <c r="S315" s="518" t="str">
        <f>IF(AND(_A="A-330-300",'2024'!$L$4="FO",'2024'!$L$2=S309),'2024DATA'!$D$8,"")</f>
        <v/>
      </c>
      <c r="T315" s="518" t="str">
        <f>IF(AND(_A="A-330-300",'2024'!$L$4="FO",'2024'!$L$2=T309),'2024DATA'!$E$8,"")</f>
        <v/>
      </c>
      <c r="U315" s="518" t="str">
        <f>IF(AND(_A="A-330-300",'2024'!$L$4="FO",'2024'!$L$2=U309),'2024DATA'!$F$8,"")</f>
        <v/>
      </c>
      <c r="V315" s="518" t="str">
        <f>IF(AND(_A="A-330-300",'2024'!$L$4="FO",'2024'!$L$2=V309),'2024DATA'!$G$8,"")</f>
        <v/>
      </c>
      <c r="W315" s="518" t="str">
        <f>IF(AND(_A="A-330-300",'2024'!$L$4="FO",'2024'!$L$2=W309),'2024DATA'!$H$8,"")</f>
        <v/>
      </c>
      <c r="X315" s="518" t="str">
        <f>IF(AND(_A="A-330-300",'2024'!$L$4="FO",'2024'!$L$2=X309),'2024DATA'!$I$8,"")</f>
        <v/>
      </c>
      <c r="Y315" s="518" t="str">
        <f>IF(AND(_A="A-330-300",'2024'!$L$4="FO",'2024'!$L$2=Y309),'2024DATA'!$J$8,"")</f>
        <v/>
      </c>
      <c r="Z315" s="518" t="str">
        <f>IF(AND(_A="A-330-300",'2024'!$L$4="FO",'2024'!$L$2=Z309),'2024DATA'!$K$8,"")</f>
        <v/>
      </c>
      <c r="AA315" s="518" t="str">
        <f>IF(AND(_A="A-330-300",'2024'!$L$4="FO",'2024'!$L$2=AA309),'2024DATA'!$L$8,"")</f>
        <v/>
      </c>
      <c r="AB315" s="518" t="str">
        <f>IF(AND(_A="A-330-300",'2024'!$L$4="FO",'2024'!$L$2=AB309),'2024DATA'!$M$8,"")</f>
        <v/>
      </c>
      <c r="AC315" s="520" t="str">
        <f>IF(AND(_A="A-330-300",'2024'!$L$4="FO",'2024'!$L$2=AC309),'2024DATA'!$N$8,"")</f>
        <v/>
      </c>
      <c r="AD315" s="940"/>
      <c r="AE315" s="13" t="s">
        <v>62</v>
      </c>
      <c r="AF315" s="518" t="str">
        <f>IF(AND(_B="A-330-300",'2024'!$L$4="FO",'2024'!$L$2=AF309),'2024DATA'!$C$8,"")</f>
        <v/>
      </c>
      <c r="AG315" s="518" t="str">
        <f>IF(AND(_B="A-330-300",'2024'!$L$4="FO",'2024'!$L$2=AG309),'2024DATA'!$D$8,"")</f>
        <v/>
      </c>
      <c r="AH315" s="518" t="str">
        <f>IF(AND(_B="A-330-300",'2024'!$L$4="FO",'2024'!$L$2=AH309),'2024DATA'!$E$8,"")</f>
        <v/>
      </c>
      <c r="AI315" s="518" t="str">
        <f>IF(AND(_B="A-330-300",'2024'!$L$4="FO",'2024'!$L$2=AI309),'2024DATA'!$F$8,"")</f>
        <v/>
      </c>
      <c r="AJ315" s="518" t="str">
        <f>IF(AND(_B="A-330-300",'2024'!$L$4="FO",'2024'!$L$2=AJ309),'2024DATA'!$G$8,"")</f>
        <v/>
      </c>
      <c r="AK315" s="518" t="str">
        <f>IF(AND(_B="A-330-300",'2024'!$L$4="FO",'2024'!$L$2=AK309),'2024DATA'!$H$8,"")</f>
        <v/>
      </c>
      <c r="AL315" s="518" t="str">
        <f>IF(AND(_B="A-330-300",'2024'!$L$4="FO",'2024'!$L$2=AL309),'2024DATA'!$I$8,"")</f>
        <v/>
      </c>
      <c r="AM315" s="518" t="str">
        <f>IF(AND(_B="A-330-300",'2024'!$L$4="FO",'2024'!$L$2=AM309),'2024DATA'!$J$8,"")</f>
        <v/>
      </c>
      <c r="AN315" s="518" t="str">
        <f>IF(AND(_B="A-330-300",'2024'!$L$4="FO",'2024'!$L$2=AN309),'2024DATA'!$K$8,"")</f>
        <v/>
      </c>
      <c r="AO315" s="518" t="str">
        <f>IF(AND(_B="A-330-300",'2024'!$L$4="FO",'2024'!$L$2=AO309),'2024DATA'!$L$8,"")</f>
        <v/>
      </c>
      <c r="AP315" s="518" t="str">
        <f>IF(AND(_B="A-330-300",'2024'!$L$4="FO",'2024'!$L$2=AP309),'2024DATA'!$M$8,"")</f>
        <v/>
      </c>
      <c r="AQ315" s="520" t="str">
        <f>IF(AND(_B="A-330-300",'2024'!$L$4="FO",'2024'!$L$2=AQ309),'2024DATA'!$N$8,"")</f>
        <v/>
      </c>
      <c r="AR315" s="940"/>
      <c r="AS315" s="13" t="s">
        <v>62</v>
      </c>
      <c r="AT315" s="518" t="str">
        <f>IF(AND(_C="A-330-300",'2024'!$L$4="FO",'2024'!$L$2=AT309),'2024DATA'!$C$8,"")</f>
        <v/>
      </c>
      <c r="AU315" s="518" t="str">
        <f>IF(AND(_C="A-330-300",'2024'!$L$4="FO",'2024'!$L$2=AU309),'2024DATA'!$D$8,"")</f>
        <v/>
      </c>
      <c r="AV315" s="518" t="str">
        <f>IF(AND(_C="A-330-300",'2024'!$L$4="FO",'2024'!$L$2=AV309),'2024DATA'!$E$8,"")</f>
        <v/>
      </c>
      <c r="AW315" s="518" t="str">
        <f>IF(AND(_C="A-330-300",'2024'!$L$4="FO",'2024'!$L$2=AW309),'2024DATA'!$F$8,"")</f>
        <v/>
      </c>
      <c r="AX315" s="518" t="str">
        <f>IF(AND(_C="A-330-300",'2024'!$L$4="FO",'2024'!$L$2=AX309),'2024DATA'!$G$8,"")</f>
        <v/>
      </c>
      <c r="AY315" s="518" t="str">
        <f>IF(AND(_C="A-330-300",'2024'!$L$4="FO",'2024'!$L$2=AY309),'2024DATA'!$H$8,"")</f>
        <v/>
      </c>
      <c r="AZ315" s="518" t="str">
        <f>IF(AND(_C="A-330-300",'2024'!$L$4="FO",'2024'!$L$2=AZ309),'2024DATA'!$I$8,"")</f>
        <v/>
      </c>
      <c r="BA315" s="518" t="str">
        <f>IF(AND(_C="A-330-300",'2024'!$L$4="FO",'2024'!$L$2=BA309),'2024DATA'!$J$8,"")</f>
        <v/>
      </c>
      <c r="BB315" s="518" t="str">
        <f>IF(AND(_C="A-330-300",'2024'!$L$4="FO",'2024'!$L$2=BB309),'2024DATA'!$K$8,"")</f>
        <v/>
      </c>
      <c r="BC315" s="518" t="str">
        <f>IF(AND(_C="A-330-300",'2024'!$L$4="FO",'2024'!$L$2=BC309),'2024DATA'!$L$8,"")</f>
        <v/>
      </c>
      <c r="BD315" s="518" t="str">
        <f>IF(AND(_C="A-330-300",'2024'!$L$4="FO",'2024'!$L$2=BD309),'2024DATA'!$M$8,"")</f>
        <v/>
      </c>
      <c r="BE315" s="520" t="str">
        <f>IF(AND(_C="A-330-300",'2024'!$L$4="FO",'2024'!$L$2=BE309),'2024DATA'!$N$8,"")</f>
        <v/>
      </c>
      <c r="BF315" s="940"/>
      <c r="BG315" s="13" t="s">
        <v>62</v>
      </c>
      <c r="BH315" s="518" t="str">
        <f>IF(AND(_D="A-330-300",'2024'!$L$4="FO",'2024'!$L$2=BH309),'2024DATA'!$C$8,"")</f>
        <v/>
      </c>
      <c r="BI315" s="518" t="str">
        <f>IF(AND(_D="A-330-300",'2024'!$L$4="FO",'2024'!$L$2=BI309),'2024DATA'!$D$8,"")</f>
        <v/>
      </c>
      <c r="BJ315" s="518" t="str">
        <f>IF(AND(_D="A-330-300",'2024'!$L$4="FO",'2024'!$L$2=BJ309),'2024DATA'!$E$8,"")</f>
        <v/>
      </c>
      <c r="BK315" s="518" t="str">
        <f>IF(AND(_D="A-330-300",'2024'!$L$4="FO",'2024'!$L$2=BK309),'2024DATA'!$F$8,"")</f>
        <v/>
      </c>
      <c r="BL315" s="518" t="str">
        <f>IF(AND(_D="A-330-300",'2024'!$L$4="FO",'2024'!$L$2=BL309),'2024DATA'!$G$8,"")</f>
        <v/>
      </c>
      <c r="BM315" s="518" t="str">
        <f>IF(AND(_D="A-330-300",'2024'!$L$4="FO",'2024'!$L$2=BM309),'2024DATA'!$H$8,"")</f>
        <v/>
      </c>
      <c r="BN315" s="518" t="str">
        <f>IF(AND(_D="A-330-300",'2024'!$L$4="FO",'2024'!$L$2=BN309),'2024DATA'!$I$8,"")</f>
        <v/>
      </c>
      <c r="BO315" s="518" t="str">
        <f>IF(AND(_D="A-330-300",'2024'!$L$4="FO",'2024'!$L$2=BO309),'2024DATA'!$J$8,"")</f>
        <v/>
      </c>
      <c r="BP315" s="518" t="str">
        <f>IF(AND(_D="A-330-300",'2024'!$L$4="FO",'2024'!$L$2=BP309),'2024DATA'!$K$8,"")</f>
        <v/>
      </c>
      <c r="BQ315" s="518" t="str">
        <f>IF(AND(_D="A-330-300",'2024'!$L$4="FO",'2024'!$L$2=BQ309),'2024DATA'!$L$8,"")</f>
        <v/>
      </c>
      <c r="BR315" s="518" t="str">
        <f>IF(AND(_D="A-330-300",'2024'!$L$4="FO",'2024'!$L$2=BR309),'2024DATA'!$M$8,"")</f>
        <v/>
      </c>
      <c r="BS315" s="520" t="str">
        <f>IF(AND(_D="A-330-300",'2024'!$L$4="FO",'2024'!$L$2=BS309),'2024DATA'!$N$8,"")</f>
        <v/>
      </c>
      <c r="BT315" s="940"/>
      <c r="BU315" s="13" t="s">
        <v>62</v>
      </c>
      <c r="BV315" s="518" t="str">
        <f>IF(AND(_E="A-330-300",'2024'!$L$4="FO",'2024'!$L$2=BV309),'2024DATA'!$C$8,"")</f>
        <v/>
      </c>
      <c r="BW315" s="518" t="str">
        <f>IF(AND(_E="A-330-300",'2024'!$L$4="FO",'2024'!$L$2=BW309),'2024DATA'!$D$8,"")</f>
        <v/>
      </c>
      <c r="BX315" s="518" t="str">
        <f>IF(AND(_E="A-330-300",'2024'!$L$4="FO",'2024'!$L$2=BX309),'2024DATA'!$E$8,"")</f>
        <v/>
      </c>
      <c r="BY315" s="518" t="str">
        <f>IF(AND(_E="A-330-300",'2024'!$L$4="FO",'2024'!$L$2=BY309),'2024DATA'!$F$8,"")</f>
        <v/>
      </c>
      <c r="BZ315" s="518" t="str">
        <f>IF(AND(_E="A-330-300",'2024'!$L$4="FO",'2024'!$L$2=BZ309),'2024DATA'!$G$8,"")</f>
        <v/>
      </c>
      <c r="CA315" s="518" t="str">
        <f>IF(AND(_E="A-330-300",'2024'!$L$4="FO",'2024'!$L$2=CA309),'2024DATA'!$H$8,"")</f>
        <v/>
      </c>
      <c r="CB315" s="518" t="str">
        <f>IF(AND(_E="A-330-300",'2024'!$L$4="FO",'2024'!$L$2=CB309),'2024DATA'!$I$8,"")</f>
        <v/>
      </c>
      <c r="CC315" s="518" t="str">
        <f>IF(AND(_E="A-330-300",'2024'!$L$4="FO",'2024'!$L$2=CC309),'2024DATA'!$J$8,"")</f>
        <v/>
      </c>
      <c r="CD315" s="518" t="str">
        <f>IF(AND(_E="A-330-300",'2024'!$L$4="FO",'2024'!$L$2=CD309),'2024DATA'!$K$8,"")</f>
        <v/>
      </c>
      <c r="CE315" s="518" t="str">
        <f>IF(AND(_E="A-330-300",'2024'!$L$4="FO",'2024'!$L$2=CE309),'2024DATA'!$L$8,"")</f>
        <v/>
      </c>
      <c r="CF315" s="518" t="str">
        <f>IF(AND(_E="A-330-300",'2024'!$L$4="FO",'2024'!$L$2=CF309),'2024DATA'!$M$8,"")</f>
        <v/>
      </c>
      <c r="CG315" s="520" t="str">
        <f>IF(AND(_E="A-330-300",'2024'!$L$4="FO",'2024'!$L$2=CG309),'2024DATA'!$N$8,"")</f>
        <v/>
      </c>
      <c r="CH315" s="940"/>
      <c r="CI315" s="13" t="s">
        <v>62</v>
      </c>
      <c r="CJ315" s="518" t="str">
        <f>IF(AND(_F="A-330-300",'2024'!$L$4="FO",'2024'!$L$2=CJ309),'2024DATA'!$C$8,"")</f>
        <v/>
      </c>
      <c r="CK315" s="518" t="str">
        <f>IF(AND(_F="A-330-300",'2024'!$L$4="FO",'2024'!$L$2=CK309),'2024DATA'!$D$8,"")</f>
        <v/>
      </c>
      <c r="CL315" s="518" t="str">
        <f>IF(AND(_F="A-330-300",'2024'!$L$4="FO",'2024'!$L$2=CL309),'2024DATA'!$E$8,"")</f>
        <v/>
      </c>
      <c r="CM315" s="518" t="str">
        <f>IF(AND(_F="A-330-300",'2024'!$L$4="FO",'2024'!$L$2=CM309),'2024DATA'!$F$8,"")</f>
        <v/>
      </c>
      <c r="CN315" s="518" t="str">
        <f>IF(AND(_F="A-330-300",'2024'!$L$4="FO",'2024'!$L$2=CN309),'2024DATA'!$G$8,"")</f>
        <v/>
      </c>
      <c r="CO315" s="518" t="str">
        <f>IF(AND(_F="A-330-300",'2024'!$L$4="FO",'2024'!$L$2=CO309),'2024DATA'!$H$8,"")</f>
        <v/>
      </c>
      <c r="CP315" s="518" t="str">
        <f>IF(AND(_F="A-330-300",'2024'!$L$4="FO",'2024'!$L$2=CP309),'2024DATA'!$I$8,"")</f>
        <v/>
      </c>
      <c r="CQ315" s="518" t="str">
        <f>IF(AND(_F="A-330-300",'2024'!$L$4="FO",'2024'!$L$2=CQ309),'2024DATA'!$J$8,"")</f>
        <v/>
      </c>
      <c r="CR315" s="518" t="str">
        <f>IF(AND(_F="A-330-300",'2024'!$L$4="FO",'2024'!$L$2=CR309),'2024DATA'!$K$8,"")</f>
        <v/>
      </c>
      <c r="CS315" s="518" t="str">
        <f>IF(AND(_F="A-330-300",'2024'!$L$4="FO",'2024'!$L$2=CS309),'2024DATA'!$L$8,"")</f>
        <v/>
      </c>
      <c r="CT315" s="518" t="str">
        <f>IF(AND(_F="A-330-300",'2024'!$L$4="FO",'2024'!$L$2=CT309),'2024DATA'!$M$8,"")</f>
        <v/>
      </c>
      <c r="CU315" s="520" t="str">
        <f>IF(AND(_F="A-330-300",'2024'!$L$4="FO",'2024'!$L$2=CU309),'2024DATA'!$N$8,"")</f>
        <v/>
      </c>
    </row>
    <row r="316" spans="16:99" x14ac:dyDescent="0.25">
      <c r="P316" s="940" t="s">
        <v>66</v>
      </c>
      <c r="Q316" s="13" t="s">
        <v>61</v>
      </c>
      <c r="R316" s="518" t="str">
        <f>IF(AND(_A="A-330-200",'2024'!$L$4="CA",'2024'!$L$2=R309),'2024DATA'!$C$9,"")</f>
        <v/>
      </c>
      <c r="S316" s="518" t="str">
        <f>IF(AND(_A="A-330-200",'2024'!$L$4="CA",'2024'!$L$2=S309),'2024DATA'!$D$9,"")</f>
        <v/>
      </c>
      <c r="T316" s="518" t="str">
        <f>IF(AND(_A="A-330-200",'2024'!$L$4="CA",'2024'!$L$2=T309),'2024DATA'!$E$9,"")</f>
        <v/>
      </c>
      <c r="U316" s="518" t="str">
        <f>IF(AND(_A="A-330-200",'2024'!$L$4="CA",'2024'!$L$2=U309),'2024DATA'!$F$9,"")</f>
        <v/>
      </c>
      <c r="V316" s="518" t="str">
        <f>IF(AND(_A="A-330-200",'2024'!$L$4="CA",'2024'!$L$2=V309),'2024DATA'!$G$9,"")</f>
        <v/>
      </c>
      <c r="W316" s="518" t="str">
        <f>IF(AND(_A="A-330-200",'2024'!$L$4="CA",'2024'!$L$2=W309),'2024DATA'!$H$9,"")</f>
        <v/>
      </c>
      <c r="X316" s="518" t="str">
        <f>IF(AND(_A="A-330-200",'2024'!$L$4="CA",'2024'!$L$2=X309),'2024DATA'!$I$9,"")</f>
        <v/>
      </c>
      <c r="Y316" s="518" t="str">
        <f>IF(AND(_A="A-330-200",'2024'!$L$4="CA",'2024'!$L$2=Y309),'2024DATA'!$J$9,"")</f>
        <v/>
      </c>
      <c r="Z316" s="518" t="str">
        <f>IF(AND(_A="A-330-200",'2024'!$L$4="CA",'2024'!$L$2=Z309),'2024DATA'!$K$9,"")</f>
        <v/>
      </c>
      <c r="AA316" s="518" t="str">
        <f>IF(AND(_A="A-330-200",'2024'!$L$4="CA",'2024'!$L$2=AA309),'2024DATA'!$L$9,"")</f>
        <v/>
      </c>
      <c r="AB316" s="518" t="str">
        <f>IF(AND(_A="A-330-200",'2024'!$L$4="CA",'2024'!$L$2=AB309),'2024DATA'!$M$9,"")</f>
        <v/>
      </c>
      <c r="AC316" s="520" t="str">
        <f>IF(AND(_A="A-330-200",'2024'!$L$4="CA",'2024'!$L$2=AC309),'2024DATA'!$N$9,"")</f>
        <v/>
      </c>
      <c r="AD316" s="940" t="s">
        <v>66</v>
      </c>
      <c r="AE316" s="13" t="s">
        <v>61</v>
      </c>
      <c r="AF316" s="518" t="str">
        <f>IF(AND(_B="A-330-200",'2024'!$L$4="CA",'2024'!$L$2=AF309),'2024DATA'!$C$9,"")</f>
        <v/>
      </c>
      <c r="AG316" s="518" t="str">
        <f>IF(AND(_B="A-330-200",'2024'!$L$4="CA",'2024'!$L$2=AG309),'2024DATA'!$D$9,"")</f>
        <v/>
      </c>
      <c r="AH316" s="518" t="str">
        <f>IF(AND(_B="A-330-200",'2024'!$L$4="CA",'2024'!$L$2=AH309),'2024DATA'!$E$9,"")</f>
        <v/>
      </c>
      <c r="AI316" s="518" t="str">
        <f>IF(AND(_B="A-330-200",'2024'!$L$4="CA",'2024'!$L$2=AI309),'2024DATA'!$F$9,"")</f>
        <v/>
      </c>
      <c r="AJ316" s="518" t="str">
        <f>IF(AND(_B="A-330-200",'2024'!$L$4="CA",'2024'!$L$2=AJ309),'2024DATA'!$G$9,"")</f>
        <v/>
      </c>
      <c r="AK316" s="518" t="str">
        <f>IF(AND(_B="A-330-200",'2024'!$L$4="CA",'2024'!$L$2=AK309),'2024DATA'!$H$9,"")</f>
        <v/>
      </c>
      <c r="AL316" s="518" t="str">
        <f>IF(AND(_B="A-330-200",'2024'!$L$4="CA",'2024'!$L$2=AL309),'2024DATA'!$I$9,"")</f>
        <v/>
      </c>
      <c r="AM316" s="518" t="str">
        <f>IF(AND(_B="A-330-200",'2024'!$L$4="CA",'2024'!$L$2=AM309),'2024DATA'!$J$9,"")</f>
        <v/>
      </c>
      <c r="AN316" s="518" t="str">
        <f>IF(AND(_B="A-330-200",'2024'!$L$4="CA",'2024'!$L$2=AN309),'2024DATA'!$K$9,"")</f>
        <v/>
      </c>
      <c r="AO316" s="518" t="str">
        <f>IF(AND(_B="A-330-200",'2024'!$L$4="CA",'2024'!$L$2=AO309),'2024DATA'!$L$9,"")</f>
        <v/>
      </c>
      <c r="AP316" s="518" t="str">
        <f>IF(AND(_B="A-330-200",'2024'!$L$4="CA",'2024'!$L$2=AP309),'2024DATA'!$M$9,"")</f>
        <v/>
      </c>
      <c r="AQ316" s="520" t="str">
        <f>IF(AND(_B="A-330-200",'2024'!$L$4="CA",'2024'!$L$2=AQ309),'2024DATA'!$N$9,"")</f>
        <v/>
      </c>
      <c r="AR316" s="940" t="s">
        <v>66</v>
      </c>
      <c r="AS316" s="13" t="s">
        <v>61</v>
      </c>
      <c r="AT316" s="518" t="str">
        <f>IF(AND(_C="A-330-200",'2024'!$L$4="CA",'2024'!$L$2=AT309),'2024DATA'!$C$9,"")</f>
        <v/>
      </c>
      <c r="AU316" s="518" t="str">
        <f>IF(AND(_C="A-330-200",'2024'!$L$4="CA",'2024'!$L$2=AU309),'2024DATA'!$D$9,"")</f>
        <v/>
      </c>
      <c r="AV316" s="518" t="str">
        <f>IF(AND(_C="A-330-200",'2024'!$L$4="CA",'2024'!$L$2=AV309),'2024DATA'!$E$9,"")</f>
        <v/>
      </c>
      <c r="AW316" s="518" t="str">
        <f>IF(AND(_C="A-330-200",'2024'!$L$4="CA",'2024'!$L$2=AW309),'2024DATA'!$F$9,"")</f>
        <v/>
      </c>
      <c r="AX316" s="518" t="str">
        <f>IF(AND(_C="A-330-200",'2024'!$L$4="CA",'2024'!$L$2=AX309),'2024DATA'!$G$9,"")</f>
        <v/>
      </c>
      <c r="AY316" s="518" t="str">
        <f>IF(AND(_C="A-330-200",'2024'!$L$4="CA",'2024'!$L$2=AY309),'2024DATA'!$H$9,"")</f>
        <v/>
      </c>
      <c r="AZ316" s="518" t="str">
        <f>IF(AND(_C="A-330-200",'2024'!$L$4="CA",'2024'!$L$2=AZ309),'2024DATA'!$I$9,"")</f>
        <v/>
      </c>
      <c r="BA316" s="518" t="str">
        <f>IF(AND(_C="A-330-200",'2024'!$L$4="CA",'2024'!$L$2=BA309),'2024DATA'!$J$9,"")</f>
        <v/>
      </c>
      <c r="BB316" s="518" t="str">
        <f>IF(AND(_C="A-330-200",'2024'!$L$4="CA",'2024'!$L$2=BB309),'2024DATA'!$K$9,"")</f>
        <v/>
      </c>
      <c r="BC316" s="518" t="str">
        <f>IF(AND(_C="A-330-200",'2024'!$L$4="CA",'2024'!$L$2=BC309),'2024DATA'!$L$9,"")</f>
        <v/>
      </c>
      <c r="BD316" s="518" t="str">
        <f>IF(AND(_C="A-330-200",'2024'!$L$4="CA",'2024'!$L$2=BD309),'2024DATA'!$M$9,"")</f>
        <v/>
      </c>
      <c r="BE316" s="520" t="str">
        <f>IF(AND(_C="A-330-200",'2024'!$L$4="CA",'2024'!$L$2=BE309),'2024DATA'!$N$9,"")</f>
        <v/>
      </c>
      <c r="BF316" s="940" t="s">
        <v>66</v>
      </c>
      <c r="BG316" s="13" t="s">
        <v>61</v>
      </c>
      <c r="BH316" s="518" t="str">
        <f>IF(AND(_D="A-330-200",'2024'!$L$4="CA",'2024'!$L$2=BH309),'2024DATA'!$C$9,"")</f>
        <v/>
      </c>
      <c r="BI316" s="518" t="str">
        <f>IF(AND(_D="A-330-200",'2024'!$L$4="CA",'2024'!$L$2=BI309),'2024DATA'!$D$9,"")</f>
        <v/>
      </c>
      <c r="BJ316" s="518" t="str">
        <f>IF(AND(_D="A-330-200",'2024'!$L$4="CA",'2024'!$L$2=BJ309),'2024DATA'!$E$9,"")</f>
        <v/>
      </c>
      <c r="BK316" s="518" t="str">
        <f>IF(AND(_D="A-330-200",'2024'!$L$4="CA",'2024'!$L$2=BK309),'2024DATA'!$F$9,"")</f>
        <v/>
      </c>
      <c r="BL316" s="518" t="str">
        <f>IF(AND(_D="A-330-200",'2024'!$L$4="CA",'2024'!$L$2=BL309),'2024DATA'!$G$9,"")</f>
        <v/>
      </c>
      <c r="BM316" s="518" t="str">
        <f>IF(AND(_D="A-330-200",'2024'!$L$4="CA",'2024'!$L$2=BM309),'2024DATA'!$H$9,"")</f>
        <v/>
      </c>
      <c r="BN316" s="518" t="str">
        <f>IF(AND(_D="A-330-200",'2024'!$L$4="CA",'2024'!$L$2=BN309),'2024DATA'!$I$9,"")</f>
        <v/>
      </c>
      <c r="BO316" s="518" t="str">
        <f>IF(AND(_D="A-330-200",'2024'!$L$4="CA",'2024'!$L$2=BO309),'2024DATA'!$J$9,"")</f>
        <v/>
      </c>
      <c r="BP316" s="518" t="str">
        <f>IF(AND(_D="A-330-200",'2024'!$L$4="CA",'2024'!$L$2=BP309),'2024DATA'!$K$9,"")</f>
        <v/>
      </c>
      <c r="BQ316" s="518" t="str">
        <f>IF(AND(_D="A-330-200",'2024'!$L$4="CA",'2024'!$L$2=BQ309),'2024DATA'!$L$9,"")</f>
        <v/>
      </c>
      <c r="BR316" s="518" t="str">
        <f>IF(AND(_D="A-330-200",'2024'!$L$4="CA",'2024'!$L$2=BR309),'2024DATA'!$M$9,"")</f>
        <v/>
      </c>
      <c r="BS316" s="520" t="str">
        <f>IF(AND(_D="A-330-200",'2024'!$L$4="CA",'2024'!$L$2=BS309),'2024DATA'!$N$9,"")</f>
        <v/>
      </c>
      <c r="BT316" s="940" t="s">
        <v>66</v>
      </c>
      <c r="BU316" s="13" t="s">
        <v>61</v>
      </c>
      <c r="BV316" s="518" t="str">
        <f>IF(AND(_E="A-330-200",'2024'!$L$4="CA",'2024'!$L$2=BV309),'2024DATA'!$C$9,"")</f>
        <v/>
      </c>
      <c r="BW316" s="518" t="str">
        <f>IF(AND(_E="A-330-200",'2024'!$L$4="CA",'2024'!$L$2=BW309),'2024DATA'!$D$9,"")</f>
        <v/>
      </c>
      <c r="BX316" s="518" t="str">
        <f>IF(AND(_E="A-330-200",'2024'!$L$4="CA",'2024'!$L$2=BX309),'2024DATA'!$E$9,"")</f>
        <v/>
      </c>
      <c r="BY316" s="518" t="str">
        <f>IF(AND(_E="A-330-200",'2024'!$L$4="CA",'2024'!$L$2=BY309),'2024DATA'!$F$9,"")</f>
        <v/>
      </c>
      <c r="BZ316" s="518" t="str">
        <f>IF(AND(_E="A-330-200",'2024'!$L$4="CA",'2024'!$L$2=BZ309),'2024DATA'!$G$9,"")</f>
        <v/>
      </c>
      <c r="CA316" s="518" t="str">
        <f>IF(AND(_E="A-330-200",'2024'!$L$4="CA",'2024'!$L$2=CA309),'2024DATA'!$H$9,"")</f>
        <v/>
      </c>
      <c r="CB316" s="518" t="str">
        <f>IF(AND(_E="A-330-200",'2024'!$L$4="CA",'2024'!$L$2=CB309),'2024DATA'!$I$9,"")</f>
        <v/>
      </c>
      <c r="CC316" s="518" t="str">
        <f>IF(AND(_E="A-330-200",'2024'!$L$4="CA",'2024'!$L$2=CC309),'2024DATA'!$J$9,"")</f>
        <v/>
      </c>
      <c r="CD316" s="518" t="str">
        <f>IF(AND(_E="A-330-200",'2024'!$L$4="CA",'2024'!$L$2=CD309),'2024DATA'!$K$9,"")</f>
        <v/>
      </c>
      <c r="CE316" s="518" t="str">
        <f>IF(AND(_E="A-330-200",'2024'!$L$4="CA",'2024'!$L$2=CE309),'2024DATA'!$L$9,"")</f>
        <v/>
      </c>
      <c r="CF316" s="518" t="str">
        <f>IF(AND(_E="A-330-200",'2024'!$L$4="CA",'2024'!$L$2=CF309),'2024DATA'!$M$9,"")</f>
        <v/>
      </c>
      <c r="CG316" s="520" t="str">
        <f>IF(AND(_E="A-330-200",'2024'!$L$4="CA",'2024'!$L$2=CG309),'2024DATA'!$N$9,"")</f>
        <v/>
      </c>
      <c r="CH316" s="940" t="s">
        <v>66</v>
      </c>
      <c r="CI316" s="13" t="s">
        <v>61</v>
      </c>
      <c r="CJ316" s="518" t="str">
        <f>IF(AND(_F="A-330-200",'2024'!$L$4="CA",'2024'!$L$2=CJ309),'2024DATA'!$C$9,"")</f>
        <v/>
      </c>
      <c r="CK316" s="518" t="str">
        <f>IF(AND(_F="A-330-200",'2024'!$L$4="CA",'2024'!$L$2=CK309),'2024DATA'!$D$9,"")</f>
        <v/>
      </c>
      <c r="CL316" s="518" t="str">
        <f>IF(AND(_F="A-330-200",'2024'!$L$4="CA",'2024'!$L$2=CL309),'2024DATA'!$E$9,"")</f>
        <v/>
      </c>
      <c r="CM316" s="518" t="str">
        <f>IF(AND(_F="A-330-200",'2024'!$L$4="CA",'2024'!$L$2=CM309),'2024DATA'!$F$9,"")</f>
        <v/>
      </c>
      <c r="CN316" s="518" t="str">
        <f>IF(AND(_F="A-330-200",'2024'!$L$4="CA",'2024'!$L$2=CN309),'2024DATA'!$G$9,"")</f>
        <v/>
      </c>
      <c r="CO316" s="518" t="str">
        <f>IF(AND(_F="A-330-200",'2024'!$L$4="CA",'2024'!$L$2=CO309),'2024DATA'!$H$9,"")</f>
        <v/>
      </c>
      <c r="CP316" s="518" t="str">
        <f>IF(AND(_F="A-330-200",'2024'!$L$4="CA",'2024'!$L$2=CP309),'2024DATA'!$I$9,"")</f>
        <v/>
      </c>
      <c r="CQ316" s="518" t="str">
        <f>IF(AND(_F="A-330-200",'2024'!$L$4="CA",'2024'!$L$2=CQ309),'2024DATA'!$J$9,"")</f>
        <v/>
      </c>
      <c r="CR316" s="518" t="str">
        <f>IF(AND(_F="A-330-200",'2024'!$L$4="CA",'2024'!$L$2=CR309),'2024DATA'!$K$9,"")</f>
        <v/>
      </c>
      <c r="CS316" s="518" t="str">
        <f>IF(AND(_F="A-330-200",'2024'!$L$4="CA",'2024'!$L$2=CS309),'2024DATA'!$L$9,"")</f>
        <v/>
      </c>
      <c r="CT316" s="518" t="str">
        <f>IF(AND(_F="A-330-200",'2024'!$L$4="CA",'2024'!$L$2=CT309),'2024DATA'!$M$9,"")</f>
        <v/>
      </c>
      <c r="CU316" s="520" t="str">
        <f>IF(AND(_F="A-330-200",'2024'!$L$4="CA",'2024'!$L$2=CU309),'2024DATA'!$N$9,"")</f>
        <v/>
      </c>
    </row>
    <row r="317" spans="16:99" x14ac:dyDescent="0.25">
      <c r="P317" s="940"/>
      <c r="Q317" s="13" t="s">
        <v>62</v>
      </c>
      <c r="R317" s="518" t="str">
        <f>IF(AND(_A="A-330-200",'2024'!$L$4="FO",'2024'!$L$2=R309),'2024DATA'!$C$10,"")</f>
        <v/>
      </c>
      <c r="S317" s="518" t="str">
        <f>IF(AND(_A="A-330-200",'2024'!$L$4="FO",'2024'!$L$2=S309),'2024DATA'!$D$10,"")</f>
        <v/>
      </c>
      <c r="T317" s="518" t="str">
        <f>IF(AND(_A="A-330-200",'2024'!$L$4="FO",'2024'!$L$2=T309),'2024DATA'!$E$10,"")</f>
        <v/>
      </c>
      <c r="U317" s="518" t="str">
        <f>IF(AND(_A="A-330-200",'2024'!$L$4="FO",'2024'!$L$2=U309),'2024DATA'!$F$10,"")</f>
        <v/>
      </c>
      <c r="V317" s="518" t="str">
        <f>IF(AND(_A="A-330-200",'2024'!$L$4="FO",'2024'!$L$2=V309),'2024DATA'!$G$10,"")</f>
        <v/>
      </c>
      <c r="W317" s="518" t="str">
        <f>IF(AND(_A="A-330-200",'2024'!$L$4="FO",'2024'!$L$2=W309),'2024DATA'!$H$10,"")</f>
        <v/>
      </c>
      <c r="X317" s="518" t="str">
        <f>IF(AND(_A="A-330-200",'2024'!$L$4="FO",'2024'!$L$2=X309),'2024DATA'!$I$10,"")</f>
        <v/>
      </c>
      <c r="Y317" s="518" t="str">
        <f>IF(AND(_A="A-330-200",'2024'!$L$4="FO",'2024'!$L$2=Y309),'2024DATA'!$J$10,"")</f>
        <v/>
      </c>
      <c r="Z317" s="518" t="str">
        <f>IF(AND(_A="A-330-200",'2024'!$L$4="FO",'2024'!$L$2=Z309),'2024DATA'!$K$10,"")</f>
        <v/>
      </c>
      <c r="AA317" s="518" t="str">
        <f>IF(AND(_A="A-330-200",'2024'!$L$4="FO",'2024'!$L$2=AA309),'2024DATA'!$L$10,"")</f>
        <v/>
      </c>
      <c r="AB317" s="518" t="str">
        <f>IF(AND(_A="A-330-200",'2024'!$L$4="FO",'2024'!$L$2=AB309),'2024DATA'!$M$10,"")</f>
        <v/>
      </c>
      <c r="AC317" s="520" t="str">
        <f>IF(AND(_A="A-330-200",'2024'!$L$4="FO",'2024'!$L$2=AC309),'2024DATA'!$N$10,"")</f>
        <v/>
      </c>
      <c r="AD317" s="940"/>
      <c r="AE317" s="13" t="s">
        <v>62</v>
      </c>
      <c r="AF317" s="518" t="str">
        <f>IF(AND(_B="A-330-200",'2024'!$L$4="FO",'2024'!$L$2=AF309),'2024DATA'!$C$10,"")</f>
        <v/>
      </c>
      <c r="AG317" s="518" t="str">
        <f>IF(AND(_B="A-330-200",'2024'!$L$4="FO",'2024'!$L$2=AG309),'2024DATA'!$D$10,"")</f>
        <v/>
      </c>
      <c r="AH317" s="518" t="str">
        <f>IF(AND(_B="A-330-200",'2024'!$L$4="FO",'2024'!$L$2=AH309),'2024DATA'!$E$10,"")</f>
        <v/>
      </c>
      <c r="AI317" s="518" t="str">
        <f>IF(AND(_B="A-330-200",'2024'!$L$4="FO",'2024'!$L$2=AI309),'2024DATA'!$F$10,"")</f>
        <v/>
      </c>
      <c r="AJ317" s="518" t="str">
        <f>IF(AND(_B="A-330-200",'2024'!$L$4="FO",'2024'!$L$2=AJ309),'2024DATA'!$G$10,"")</f>
        <v/>
      </c>
      <c r="AK317" s="518" t="str">
        <f>IF(AND(_B="A-330-200",'2024'!$L$4="FO",'2024'!$L$2=AK309),'2024DATA'!$H$10,"")</f>
        <v/>
      </c>
      <c r="AL317" s="518" t="str">
        <f>IF(AND(_B="A-330-200",'2024'!$L$4="FO",'2024'!$L$2=AL309),'2024DATA'!$I$10,"")</f>
        <v/>
      </c>
      <c r="AM317" s="518" t="str">
        <f>IF(AND(_B="A-330-200",'2024'!$L$4="FO",'2024'!$L$2=AM309),'2024DATA'!$J$10,"")</f>
        <v/>
      </c>
      <c r="AN317" s="518" t="str">
        <f>IF(AND(_B="A-330-200",'2024'!$L$4="FO",'2024'!$L$2=AN309),'2024DATA'!$K$10,"")</f>
        <v/>
      </c>
      <c r="AO317" s="518" t="str">
        <f>IF(AND(_B="A-330-200",'2024'!$L$4="FO",'2024'!$L$2=AO309),'2024DATA'!$L$10,"")</f>
        <v/>
      </c>
      <c r="AP317" s="518" t="str">
        <f>IF(AND(_B="A-330-200",'2024'!$L$4="FO",'2024'!$L$2=AP309),'2024DATA'!$M$10,"")</f>
        <v/>
      </c>
      <c r="AQ317" s="520" t="str">
        <f>IF(AND(_B="A-330-200",'2024'!$L$4="FO",'2024'!$L$2=AQ309),'2024DATA'!$N$10,"")</f>
        <v/>
      </c>
      <c r="AR317" s="940"/>
      <c r="AS317" s="13" t="s">
        <v>62</v>
      </c>
      <c r="AT317" s="518" t="str">
        <f>IF(AND(_C="A-330-200",'2024'!$L$4="FO",'2024'!$L$2=AT309),'2024DATA'!$C$10,"")</f>
        <v/>
      </c>
      <c r="AU317" s="518" t="str">
        <f>IF(AND(_C="A-330-200",'2024'!$L$4="FO",'2024'!$L$2=AU309),'2024DATA'!$D$10,"")</f>
        <v/>
      </c>
      <c r="AV317" s="518" t="str">
        <f>IF(AND(_C="A-330-200",'2024'!$L$4="FO",'2024'!$L$2=AV309),'2024DATA'!$E$10,"")</f>
        <v/>
      </c>
      <c r="AW317" s="518" t="str">
        <f>IF(AND(_C="A-330-200",'2024'!$L$4="FO",'2024'!$L$2=AW309),'2024DATA'!$F$10,"")</f>
        <v/>
      </c>
      <c r="AX317" s="518" t="str">
        <f>IF(AND(_C="A-330-200",'2024'!$L$4="FO",'2024'!$L$2=AX309),'2024DATA'!$G$10,"")</f>
        <v/>
      </c>
      <c r="AY317" s="518" t="str">
        <f>IF(AND(_C="A-330-200",'2024'!$L$4="FO",'2024'!$L$2=AY309),'2024DATA'!$H$10,"")</f>
        <v/>
      </c>
      <c r="AZ317" s="518" t="str">
        <f>IF(AND(_C="A-330-200",'2024'!$L$4="FO",'2024'!$L$2=AZ309),'2024DATA'!$I$10,"")</f>
        <v/>
      </c>
      <c r="BA317" s="518" t="str">
        <f>IF(AND(_C="A-330-200",'2024'!$L$4="FO",'2024'!$L$2=BA309),'2024DATA'!$J$10,"")</f>
        <v/>
      </c>
      <c r="BB317" s="518" t="str">
        <f>IF(AND(_C="A-330-200",'2024'!$L$4="FO",'2024'!$L$2=BB309),'2024DATA'!$K$10,"")</f>
        <v/>
      </c>
      <c r="BC317" s="518" t="str">
        <f>IF(AND(_C="A-330-200",'2024'!$L$4="FO",'2024'!$L$2=BC309),'2024DATA'!$L$10,"")</f>
        <v/>
      </c>
      <c r="BD317" s="518" t="str">
        <f>IF(AND(_C="A-330-200",'2024'!$L$4="FO",'2024'!$L$2=BD309),'2024DATA'!$M$10,"")</f>
        <v/>
      </c>
      <c r="BE317" s="520" t="str">
        <f>IF(AND(_C="A-330-200",'2024'!$L$4="FO",'2024'!$L$2=BE309),'2024DATA'!$N$10,"")</f>
        <v/>
      </c>
      <c r="BF317" s="940"/>
      <c r="BG317" s="13" t="s">
        <v>62</v>
      </c>
      <c r="BH317" s="518" t="str">
        <f>IF(AND(_D="A-330-200",'2024'!$L$4="FO",'2024'!$L$2=BH309),'2024DATA'!$C$10,"")</f>
        <v/>
      </c>
      <c r="BI317" s="518" t="str">
        <f>IF(AND(_D="A-330-200",'2024'!$L$4="FO",'2024'!$L$2=BI309),'2024DATA'!$D$10,"")</f>
        <v/>
      </c>
      <c r="BJ317" s="518" t="str">
        <f>IF(AND(_D="A-330-200",'2024'!$L$4="FO",'2024'!$L$2=BJ309),'2024DATA'!$E$10,"")</f>
        <v/>
      </c>
      <c r="BK317" s="518" t="str">
        <f>IF(AND(_D="A-330-200",'2024'!$L$4="FO",'2024'!$L$2=BK309),'2024DATA'!$F$10,"")</f>
        <v/>
      </c>
      <c r="BL317" s="518" t="str">
        <f>IF(AND(_D="A-330-200",'2024'!$L$4="FO",'2024'!$L$2=BL309),'2024DATA'!$G$10,"")</f>
        <v/>
      </c>
      <c r="BM317" s="518" t="str">
        <f>IF(AND(_D="A-330-200",'2024'!$L$4="FO",'2024'!$L$2=BM309),'2024DATA'!$H$10,"")</f>
        <v/>
      </c>
      <c r="BN317" s="518" t="str">
        <f>IF(AND(_D="A-330-200",'2024'!$L$4="FO",'2024'!$L$2=BN309),'2024DATA'!$I$10,"")</f>
        <v/>
      </c>
      <c r="BO317" s="518" t="str">
        <f>IF(AND(_D="A-330-200",'2024'!$L$4="FO",'2024'!$L$2=BO309),'2024DATA'!$J$10,"")</f>
        <v/>
      </c>
      <c r="BP317" s="518" t="str">
        <f>IF(AND(_D="A-330-200",'2024'!$L$4="FO",'2024'!$L$2=BP309),'2024DATA'!$K$10,"")</f>
        <v/>
      </c>
      <c r="BQ317" s="518" t="str">
        <f>IF(AND(_D="A-330-200",'2024'!$L$4="FO",'2024'!$L$2=BQ309),'2024DATA'!$L$10,"")</f>
        <v/>
      </c>
      <c r="BR317" s="518" t="str">
        <f>IF(AND(_D="A-330-200",'2024'!$L$4="FO",'2024'!$L$2=BR309),'2024DATA'!$M$10,"")</f>
        <v/>
      </c>
      <c r="BS317" s="520" t="str">
        <f>IF(AND(_D="A-330-200",'2024'!$L$4="FO",'2024'!$L$2=BS309),'2024DATA'!$N$10,"")</f>
        <v/>
      </c>
      <c r="BT317" s="940"/>
      <c r="BU317" s="13" t="s">
        <v>62</v>
      </c>
      <c r="BV317" s="518" t="str">
        <f>IF(AND(_E="A-330-200",'2024'!$L$4="FO",'2024'!$L$2=BV309),'2024DATA'!$C$10,"")</f>
        <v/>
      </c>
      <c r="BW317" s="518" t="str">
        <f>IF(AND(_E="A-330-200",'2024'!$L$4="FO",'2024'!$L$2=BW309),'2024DATA'!$D$10,"")</f>
        <v/>
      </c>
      <c r="BX317" s="518" t="str">
        <f>IF(AND(_E="A-330-200",'2024'!$L$4="FO",'2024'!$L$2=BX309),'2024DATA'!$E$10,"")</f>
        <v/>
      </c>
      <c r="BY317" s="518" t="str">
        <f>IF(AND(_E="A-330-200",'2024'!$L$4="FO",'2024'!$L$2=BY309),'2024DATA'!$F$10,"")</f>
        <v/>
      </c>
      <c r="BZ317" s="518" t="str">
        <f>IF(AND(_E="A-330-200",'2024'!$L$4="FO",'2024'!$L$2=BZ309),'2024DATA'!$G$10,"")</f>
        <v/>
      </c>
      <c r="CA317" s="518" t="str">
        <f>IF(AND(_E="A-330-200",'2024'!$L$4="FO",'2024'!$L$2=CA309),'2024DATA'!$H$10,"")</f>
        <v/>
      </c>
      <c r="CB317" s="518" t="str">
        <f>IF(AND(_E="A-330-200",'2024'!$L$4="FO",'2024'!$L$2=CB309),'2024DATA'!$I$10,"")</f>
        <v/>
      </c>
      <c r="CC317" s="518" t="str">
        <f>IF(AND(_E="A-330-200",'2024'!$L$4="FO",'2024'!$L$2=CC309),'2024DATA'!$J$10,"")</f>
        <v/>
      </c>
      <c r="CD317" s="518" t="str">
        <f>IF(AND(_E="A-330-200",'2024'!$L$4="FO",'2024'!$L$2=CD309),'2024DATA'!$K$10,"")</f>
        <v/>
      </c>
      <c r="CE317" s="518" t="str">
        <f>IF(AND(_E="A-330-200",'2024'!$L$4="FO",'2024'!$L$2=CE309),'2024DATA'!$L$10,"")</f>
        <v/>
      </c>
      <c r="CF317" s="518" t="str">
        <f>IF(AND(_E="A-330-200",'2024'!$L$4="FO",'2024'!$L$2=CF309),'2024DATA'!$M$10,"")</f>
        <v/>
      </c>
      <c r="CG317" s="520" t="str">
        <f>IF(AND(_E="A-330-200",'2024'!$L$4="FO",'2024'!$L$2=CG309),'2024DATA'!$N$10,"")</f>
        <v/>
      </c>
      <c r="CH317" s="940"/>
      <c r="CI317" s="13" t="s">
        <v>62</v>
      </c>
      <c r="CJ317" s="518" t="str">
        <f>IF(AND(_F="A-330-200",'2024'!$L$4="FO",'2024'!$L$2=CJ309),'2024DATA'!$C$10,"")</f>
        <v/>
      </c>
      <c r="CK317" s="518" t="str">
        <f>IF(AND(_F="A-330-200",'2024'!$L$4="FO",'2024'!$L$2=CK309),'2024DATA'!$D$10,"")</f>
        <v/>
      </c>
      <c r="CL317" s="518" t="str">
        <f>IF(AND(_F="A-330-200",'2024'!$L$4="FO",'2024'!$L$2=CL309),'2024DATA'!$E$10,"")</f>
        <v/>
      </c>
      <c r="CM317" s="518" t="str">
        <f>IF(AND(_F="A-330-200",'2024'!$L$4="FO",'2024'!$L$2=CM309),'2024DATA'!$F$10,"")</f>
        <v/>
      </c>
      <c r="CN317" s="518" t="str">
        <f>IF(AND(_F="A-330-200",'2024'!$L$4="FO",'2024'!$L$2=CN309),'2024DATA'!$G$10,"")</f>
        <v/>
      </c>
      <c r="CO317" s="518" t="str">
        <f>IF(AND(_F="A-330-200",'2024'!$L$4="FO",'2024'!$L$2=CO309),'2024DATA'!$H$10,"")</f>
        <v/>
      </c>
      <c r="CP317" s="518" t="str">
        <f>IF(AND(_F="A-330-200",'2024'!$L$4="FO",'2024'!$L$2=CP309),'2024DATA'!$I$10,"")</f>
        <v/>
      </c>
      <c r="CQ317" s="518" t="str">
        <f>IF(AND(_F="A-330-200",'2024'!$L$4="FO",'2024'!$L$2=CQ309),'2024DATA'!$J$10,"")</f>
        <v/>
      </c>
      <c r="CR317" s="518" t="str">
        <f>IF(AND(_F="A-330-200",'2024'!$L$4="FO",'2024'!$L$2=CR309),'2024DATA'!$K$10,"")</f>
        <v/>
      </c>
      <c r="CS317" s="518" t="str">
        <f>IF(AND(_F="A-330-200",'2024'!$L$4="FO",'2024'!$L$2=CS309),'2024DATA'!$L$10,"")</f>
        <v/>
      </c>
      <c r="CT317" s="518" t="str">
        <f>IF(AND(_F="A-330-200",'2024'!$L$4="FO",'2024'!$L$2=CT309),'2024DATA'!$M$10,"")</f>
        <v/>
      </c>
      <c r="CU317" s="520" t="str">
        <f>IF(AND(_F="A-330-200",'2024'!$L$4="FO",'2024'!$L$2=CU309),'2024DATA'!$N$10,"")</f>
        <v/>
      </c>
    </row>
    <row r="318" spans="16:99" x14ac:dyDescent="0.25">
      <c r="P318" s="940" t="s">
        <v>42</v>
      </c>
      <c r="Q318" s="13" t="s">
        <v>61</v>
      </c>
      <c r="R318" s="518" t="str">
        <f>IF(AND(_A="B-767-400ER",'2024'!$L$4="CA",'2024'!$L$2=R309),'2024DATA'!$C$11,"")</f>
        <v/>
      </c>
      <c r="S318" s="518" t="str">
        <f>IF(AND(_A="B-767-400ER",'2024'!$L$4="CA",'2024'!$L$2=S309),'2024DATA'!$D$11,"")</f>
        <v/>
      </c>
      <c r="T318" s="518" t="str">
        <f>IF(AND(_A="B-767-400ER",'2024'!$L$4="CA",'2024'!$L$2=T309),'2024DATA'!$E$11,"")</f>
        <v/>
      </c>
      <c r="U318" s="518" t="str">
        <f>IF(AND(_A="B-767-400ER",'2024'!$L$4="CA",'2024'!$L$2=U309),'2024DATA'!$F$11,"")</f>
        <v/>
      </c>
      <c r="V318" s="518" t="str">
        <f>IF(AND(_A="B-767-400ER",'2024'!$L$4="CA",'2024'!$L$2=V309),'2024DATA'!$G$11,"")</f>
        <v/>
      </c>
      <c r="W318" s="518" t="str">
        <f>IF(AND(_A="B-767-400ER",'2024'!$L$4="CA",'2024'!$L$2=W309),'2024DATA'!$H$11,"")</f>
        <v/>
      </c>
      <c r="X318" s="518" t="str">
        <f>IF(AND(_A="B-767-400ER",'2024'!$L$4="CA",'2024'!$L$2=X309),'2024DATA'!$I$11,"")</f>
        <v/>
      </c>
      <c r="Y318" s="518" t="str">
        <f>IF(AND(_A="B-767-400ER",'2024'!$L$4="CA",'2024'!$L$2=Y309),'2024DATA'!$J$11,"")</f>
        <v/>
      </c>
      <c r="Z318" s="518" t="str">
        <f>IF(AND(_A="B-767-400ER",'2024'!$L$4="CA",'2024'!$L$2=Z309),'2024DATA'!$K$11,"")</f>
        <v/>
      </c>
      <c r="AA318" s="518" t="str">
        <f>IF(AND(_A="B-767-400ER",'2024'!$L$4="CA",'2024'!$L$2=AA309),'2024DATA'!$L$11,"")</f>
        <v/>
      </c>
      <c r="AB318" s="518" t="str">
        <f>IF(AND(_A="B-767-400ER",'2024'!$L$4="CA",'2024'!$L$2=AB309),'2024DATA'!$M$11,"")</f>
        <v/>
      </c>
      <c r="AC318" s="520" t="str">
        <f>IF(AND(_A="B-767-400ER",'2024'!$L$4="CA",'2024'!$L$2=AC309),'2024DATA'!$N$11,"")</f>
        <v/>
      </c>
      <c r="AD318" s="940" t="s">
        <v>42</v>
      </c>
      <c r="AE318" s="13" t="s">
        <v>61</v>
      </c>
      <c r="AF318" s="518" t="str">
        <f>IF(AND(_B="B-767-400ER",'2024'!$L$4="CA",'2024'!$L$2=AF309),'2024DATA'!$C$11,"")</f>
        <v/>
      </c>
      <c r="AG318" s="518" t="str">
        <f>IF(AND(_B="B-767-400ER",'2024'!$L$4="CA",'2024'!$L$2=AG309),'2024DATA'!$D$11,"")</f>
        <v/>
      </c>
      <c r="AH318" s="518" t="str">
        <f>IF(AND(_B="B-767-400ER",'2024'!$L$4="CA",'2024'!$L$2=AH309),'2024DATA'!$E$11,"")</f>
        <v/>
      </c>
      <c r="AI318" s="518" t="str">
        <f>IF(AND(_B="B-767-400ER",'2024'!$L$4="CA",'2024'!$L$2=AI309),'2024DATA'!$F$11,"")</f>
        <v/>
      </c>
      <c r="AJ318" s="518" t="str">
        <f>IF(AND(_B="B-767-400ER",'2024'!$L$4="CA",'2024'!$L$2=AJ309),'2024DATA'!$G$11,"")</f>
        <v/>
      </c>
      <c r="AK318" s="518" t="str">
        <f>IF(AND(_B="B-767-400ER",'2024'!$L$4="CA",'2024'!$L$2=AK309),'2024DATA'!$H$11,"")</f>
        <v/>
      </c>
      <c r="AL318" s="518" t="str">
        <f>IF(AND(_B="B-767-400ER",'2024'!$L$4="CA",'2024'!$L$2=AL309),'2024DATA'!$I$11,"")</f>
        <v/>
      </c>
      <c r="AM318" s="518" t="str">
        <f>IF(AND(_B="B-767-400ER",'2024'!$L$4="CA",'2024'!$L$2=AM309),'2024DATA'!$J$11,"")</f>
        <v/>
      </c>
      <c r="AN318" s="518" t="str">
        <f>IF(AND(_B="B-767-400ER",'2024'!$L$4="CA",'2024'!$L$2=AN309),'2024DATA'!$K$11,"")</f>
        <v/>
      </c>
      <c r="AO318" s="518" t="str">
        <f>IF(AND(_B="B-767-400ER",'2024'!$L$4="CA",'2024'!$L$2=AO309),'2024DATA'!$L$11,"")</f>
        <v/>
      </c>
      <c r="AP318" s="518" t="str">
        <f>IF(AND(_B="B-767-400ER",'2024'!$L$4="CA",'2024'!$L$2=AP309),'2024DATA'!$M$11,"")</f>
        <v/>
      </c>
      <c r="AQ318" s="520" t="str">
        <f>IF(AND(_B="B-767-400ER",'2024'!$L$4="CA",'2024'!$L$2=AQ309),'2024DATA'!$N$11,"")</f>
        <v/>
      </c>
      <c r="AR318" s="940" t="s">
        <v>42</v>
      </c>
      <c r="AS318" s="13" t="s">
        <v>61</v>
      </c>
      <c r="AT318" s="518" t="str">
        <f>IF(AND(_C="B-767-400ER",'2024'!$L$4="CA",'2024'!$L$2=AT309),'2024DATA'!$C$11,"")</f>
        <v/>
      </c>
      <c r="AU318" s="518" t="str">
        <f>IF(AND(_C="B-767-400ER",'2024'!$L$4="CA",'2024'!$L$2=AU309),'2024DATA'!$D$11,"")</f>
        <v/>
      </c>
      <c r="AV318" s="518" t="str">
        <f>IF(AND(_C="B-767-400ER",'2024'!$L$4="CA",'2024'!$L$2=AV309),'2024DATA'!$E$11,"")</f>
        <v/>
      </c>
      <c r="AW318" s="518" t="str">
        <f>IF(AND(_C="B-767-400ER",'2024'!$L$4="CA",'2024'!$L$2=AW309),'2024DATA'!$F$11,"")</f>
        <v/>
      </c>
      <c r="AX318" s="518" t="str">
        <f>IF(AND(_C="B-767-400ER",'2024'!$L$4="CA",'2024'!$L$2=AX309),'2024DATA'!$G$11,"")</f>
        <v/>
      </c>
      <c r="AY318" s="518" t="str">
        <f>IF(AND(_C="B-767-400ER",'2024'!$L$4="CA",'2024'!$L$2=AY309),'2024DATA'!$H$11,"")</f>
        <v/>
      </c>
      <c r="AZ318" s="518" t="str">
        <f>IF(AND(_C="B-767-400ER",'2024'!$L$4="CA",'2024'!$L$2=AZ309),'2024DATA'!$I$11,"")</f>
        <v/>
      </c>
      <c r="BA318" s="518" t="str">
        <f>IF(AND(_C="B-767-400ER",'2024'!$L$4="CA",'2024'!$L$2=BA309),'2024DATA'!$J$11,"")</f>
        <v/>
      </c>
      <c r="BB318" s="518" t="str">
        <f>IF(AND(_C="B-767-400ER",'2024'!$L$4="CA",'2024'!$L$2=BB309),'2024DATA'!$K$11,"")</f>
        <v/>
      </c>
      <c r="BC318" s="518" t="str">
        <f>IF(AND(_C="B-767-400ER",'2024'!$L$4="CA",'2024'!$L$2=BC309),'2024DATA'!$L$11,"")</f>
        <v/>
      </c>
      <c r="BD318" s="518" t="str">
        <f>IF(AND(_C="B-767-400ER",'2024'!$L$4="CA",'2024'!$L$2=BD309),'2024DATA'!$M$11,"")</f>
        <v/>
      </c>
      <c r="BE318" s="520" t="str">
        <f>IF(AND(_C="B-767-400ER",'2024'!$L$4="CA",'2024'!$L$2=BE309),'2024DATA'!$N$11,"")</f>
        <v/>
      </c>
      <c r="BF318" s="940" t="s">
        <v>42</v>
      </c>
      <c r="BG318" s="13" t="s">
        <v>61</v>
      </c>
      <c r="BH318" s="518" t="str">
        <f>IF(AND(_D="B-767-400ER",'2024'!$L$4="CA",'2024'!$L$2=BH309),'2024DATA'!$C$11,"")</f>
        <v/>
      </c>
      <c r="BI318" s="518" t="str">
        <f>IF(AND(_D="B-767-400ER",'2024'!$L$4="CA",'2024'!$L$2=BI309),'2024DATA'!$D$11,"")</f>
        <v/>
      </c>
      <c r="BJ318" s="518" t="str">
        <f>IF(AND(_D="B-767-400ER",'2024'!$L$4="CA",'2024'!$L$2=BJ309),'2024DATA'!$E$11,"")</f>
        <v/>
      </c>
      <c r="BK318" s="518" t="str">
        <f>IF(AND(_D="B-767-400ER",'2024'!$L$4="CA",'2024'!$L$2=BK309),'2024DATA'!$F$11,"")</f>
        <v/>
      </c>
      <c r="BL318" s="518" t="str">
        <f>IF(AND(_D="B-767-400ER",'2024'!$L$4="CA",'2024'!$L$2=BL309),'2024DATA'!$G$11,"")</f>
        <v/>
      </c>
      <c r="BM318" s="518" t="str">
        <f>IF(AND(_D="B-767-400ER",'2024'!$L$4="CA",'2024'!$L$2=BM309),'2024DATA'!$H$11,"")</f>
        <v/>
      </c>
      <c r="BN318" s="518" t="str">
        <f>IF(AND(_D="B-767-400ER",'2024'!$L$4="CA",'2024'!$L$2=BN309),'2024DATA'!$I$11,"")</f>
        <v/>
      </c>
      <c r="BO318" s="518" t="str">
        <f>IF(AND(_D="B-767-400ER",'2024'!$L$4="CA",'2024'!$L$2=BO309),'2024DATA'!$J$11,"")</f>
        <v/>
      </c>
      <c r="BP318" s="518" t="str">
        <f>IF(AND(_D="B-767-400ER",'2024'!$L$4="CA",'2024'!$L$2=BP309),'2024DATA'!$K$11,"")</f>
        <v/>
      </c>
      <c r="BQ318" s="518" t="str">
        <f>IF(AND(_D="B-767-400ER",'2024'!$L$4="CA",'2024'!$L$2=BQ309),'2024DATA'!$L$11,"")</f>
        <v/>
      </c>
      <c r="BR318" s="518" t="str">
        <f>IF(AND(_D="B-767-400ER",'2024'!$L$4="CA",'2024'!$L$2=BR309),'2024DATA'!$M$11,"")</f>
        <v/>
      </c>
      <c r="BS318" s="520" t="str">
        <f>IF(AND(_D="B-767-400ER",'2024'!$L$4="CA",'2024'!$L$2=BS309),'2024DATA'!$N$11,"")</f>
        <v/>
      </c>
      <c r="BT318" s="940" t="s">
        <v>42</v>
      </c>
      <c r="BU318" s="13" t="s">
        <v>61</v>
      </c>
      <c r="BV318" s="518" t="str">
        <f>IF(AND(_E="B-767-400ER",'2024'!$L$4="CA",'2024'!$L$2=BV309),'2024DATA'!$C$11,"")</f>
        <v/>
      </c>
      <c r="BW318" s="518" t="str">
        <f>IF(AND(_E="B-767-400ER",'2024'!$L$4="CA",'2024'!$L$2=BW309),'2024DATA'!$D$11,"")</f>
        <v/>
      </c>
      <c r="BX318" s="518" t="str">
        <f>IF(AND(_E="B-767-400ER",'2024'!$L$4="CA",'2024'!$L$2=BX309),'2024DATA'!$E$11,"")</f>
        <v/>
      </c>
      <c r="BY318" s="518" t="str">
        <f>IF(AND(_E="B-767-400ER",'2024'!$L$4="CA",'2024'!$L$2=BY309),'2024DATA'!$F$11,"")</f>
        <v/>
      </c>
      <c r="BZ318" s="518" t="str">
        <f>IF(AND(_E="B-767-400ER",'2024'!$L$4="CA",'2024'!$L$2=BZ309),'2024DATA'!$G$11,"")</f>
        <v/>
      </c>
      <c r="CA318" s="518" t="str">
        <f>IF(AND(_E="B-767-400ER",'2024'!$L$4="CA",'2024'!$L$2=CA309),'2024DATA'!$H$11,"")</f>
        <v/>
      </c>
      <c r="CB318" s="518" t="str">
        <f>IF(AND(_E="B-767-400ER",'2024'!$L$4="CA",'2024'!$L$2=CB309),'2024DATA'!$I$11,"")</f>
        <v/>
      </c>
      <c r="CC318" s="518" t="str">
        <f>IF(AND(_E="B-767-400ER",'2024'!$L$4="CA",'2024'!$L$2=CC309),'2024DATA'!$J$11,"")</f>
        <v/>
      </c>
      <c r="CD318" s="518" t="str">
        <f>IF(AND(_E="B-767-400ER",'2024'!$L$4="CA",'2024'!$L$2=CD309),'2024DATA'!$K$11,"")</f>
        <v/>
      </c>
      <c r="CE318" s="518" t="str">
        <f>IF(AND(_E="B-767-400ER",'2024'!$L$4="CA",'2024'!$L$2=CE309),'2024DATA'!$L$11,"")</f>
        <v/>
      </c>
      <c r="CF318" s="518" t="str">
        <f>IF(AND(_E="B-767-400ER",'2024'!$L$4="CA",'2024'!$L$2=CF309),'2024DATA'!$M$11,"")</f>
        <v/>
      </c>
      <c r="CG318" s="520" t="str">
        <f>IF(AND(_E="B-767-400ER",'2024'!$L$4="CA",'2024'!$L$2=CG309),'2024DATA'!$N$11,"")</f>
        <v/>
      </c>
      <c r="CH318" s="940" t="s">
        <v>42</v>
      </c>
      <c r="CI318" s="13" t="s">
        <v>61</v>
      </c>
      <c r="CJ318" s="518" t="str">
        <f>IF(AND(_F="B-767-400ER",'2024'!$L$4="CA",'2024'!$L$2=CJ309),'2024DATA'!$C$11,"")</f>
        <v/>
      </c>
      <c r="CK318" s="518" t="str">
        <f>IF(AND(_F="B-767-400ER",'2024'!$L$4="CA",'2024'!$L$2=CK309),'2024DATA'!$D$11,"")</f>
        <v/>
      </c>
      <c r="CL318" s="518" t="str">
        <f>IF(AND(_F="B-767-400ER",'2024'!$L$4="CA",'2024'!$L$2=CL309),'2024DATA'!$E$11,"")</f>
        <v/>
      </c>
      <c r="CM318" s="518" t="str">
        <f>IF(AND(_F="B-767-400ER",'2024'!$L$4="CA",'2024'!$L$2=CM309),'2024DATA'!$F$11,"")</f>
        <v/>
      </c>
      <c r="CN318" s="518" t="str">
        <f>IF(AND(_F="B-767-400ER",'2024'!$L$4="CA",'2024'!$L$2=CN309),'2024DATA'!$G$11,"")</f>
        <v/>
      </c>
      <c r="CO318" s="518" t="str">
        <f>IF(AND(_F="B-767-400ER",'2024'!$L$4="CA",'2024'!$L$2=CO309),'2024DATA'!$H$11,"")</f>
        <v/>
      </c>
      <c r="CP318" s="518" t="str">
        <f>IF(AND(_F="B-767-400ER",'2024'!$L$4="CA",'2024'!$L$2=CP309),'2024DATA'!$I$11,"")</f>
        <v/>
      </c>
      <c r="CQ318" s="518" t="str">
        <f>IF(AND(_F="B-767-400ER",'2024'!$L$4="CA",'2024'!$L$2=CQ309),'2024DATA'!$J$11,"")</f>
        <v/>
      </c>
      <c r="CR318" s="518" t="str">
        <f>IF(AND(_F="B-767-400ER",'2024'!$L$4="CA",'2024'!$L$2=CR309),'2024DATA'!$K$11,"")</f>
        <v/>
      </c>
      <c r="CS318" s="518" t="str">
        <f>IF(AND(_F="B-767-400ER",'2024'!$L$4="CA",'2024'!$L$2=CS309),'2024DATA'!$L$11,"")</f>
        <v/>
      </c>
      <c r="CT318" s="518" t="str">
        <f>IF(AND(_F="B-767-400ER",'2024'!$L$4="CA",'2024'!$L$2=CT309),'2024DATA'!$M$11,"")</f>
        <v/>
      </c>
      <c r="CU318" s="520" t="str">
        <f>IF(AND(_F="B-767-400ER",'2024'!$L$4="CA",'2024'!$L$2=CU309),'2024DATA'!$N$11,"")</f>
        <v/>
      </c>
    </row>
    <row r="319" spans="16:99" x14ac:dyDescent="0.25">
      <c r="P319" s="940"/>
      <c r="Q319" s="13" t="s">
        <v>62</v>
      </c>
      <c r="R319" s="518" t="str">
        <f>IF(AND(_A="B-767-400ER",'2024'!$L$4="FO",'2024'!$L$2=R309),'2024DATA'!$C$12,"")</f>
        <v/>
      </c>
      <c r="S319" s="518" t="str">
        <f>IF(AND(_A="B-767-400ER",'2024'!$L$4="FO",'2024'!$L$2=S309),'2024DATA'!$D$12,"")</f>
        <v/>
      </c>
      <c r="T319" s="518" t="str">
        <f>IF(AND(_A="B-767-400ER",'2024'!$L$4="FO",'2024'!$L$2=T309),'2024DATA'!$E$12,"")</f>
        <v/>
      </c>
      <c r="U319" s="518" t="str">
        <f>IF(AND(_A="B-767-400ER",'2024'!$L$4="FO",'2024'!$L$2=U309),'2024DATA'!$F$12,"")</f>
        <v/>
      </c>
      <c r="V319" s="518" t="str">
        <f>IF(AND(_A="B-767-400ER",'2024'!$L$4="FO",'2024'!$L$2=V309),'2024DATA'!$G$12,"")</f>
        <v/>
      </c>
      <c r="W319" s="518" t="str">
        <f>IF(AND(_A="B-767-400ER",'2024'!$L$4="FO",'2024'!$L$2=W309),'2024DATA'!$H$12,"")</f>
        <v/>
      </c>
      <c r="X319" s="518" t="str">
        <f>IF(AND(_A="B-767-400ER",'2024'!$L$4="FO",'2024'!$L$2=X309),'2024DATA'!$I$12,"")</f>
        <v/>
      </c>
      <c r="Y319" s="518" t="str">
        <f>IF(AND(_A="B-767-400ER",'2024'!$L$4="FO",'2024'!$L$2=Y309),'2024DATA'!$J$12,"")</f>
        <v/>
      </c>
      <c r="Z319" s="518" t="str">
        <f>IF(AND(_A="B-767-400ER",'2024'!$L$4="FO",'2024'!$L$2=Z309),'2024DATA'!$K$12,"")</f>
        <v/>
      </c>
      <c r="AA319" s="518" t="str">
        <f>IF(AND(_A="B-767-400ER",'2024'!$L$4="FO",'2024'!$L$2=AA309),'2024DATA'!$L$12,"")</f>
        <v/>
      </c>
      <c r="AB319" s="518" t="str">
        <f>IF(AND(_A="B-767-400ER",'2024'!$L$4="FO",'2024'!$L$2=AB309),'2024DATA'!$M$12,"")</f>
        <v/>
      </c>
      <c r="AC319" s="520" t="str">
        <f>IF(AND(_A="B-767-400ER",'2024'!$L$4="FO",'2024'!$L$2=AC309),'2024DATA'!$N$12,"")</f>
        <v/>
      </c>
      <c r="AD319" s="940"/>
      <c r="AE319" s="13" t="s">
        <v>62</v>
      </c>
      <c r="AF319" s="518" t="str">
        <f>IF(AND(_B="B-767-400ER",'2024'!$L$4="FO",'2024'!$L$2=AF309),'2024DATA'!$C$12,"")</f>
        <v/>
      </c>
      <c r="AG319" s="518" t="str">
        <f>IF(AND(_B="B-767-400ER",'2024'!$L$4="FO",'2024'!$L$2=AG309),'2024DATA'!$D$12,"")</f>
        <v/>
      </c>
      <c r="AH319" s="518" t="str">
        <f>IF(AND(_B="B-767-400ER",'2024'!$L$4="FO",'2024'!$L$2=AH309),'2024DATA'!$E$12,"")</f>
        <v/>
      </c>
      <c r="AI319" s="518" t="str">
        <f>IF(AND(_B="B-767-400ER",'2024'!$L$4="FO",'2024'!$L$2=AI309),'2024DATA'!$F$12,"")</f>
        <v/>
      </c>
      <c r="AJ319" s="518" t="str">
        <f>IF(AND(_B="B-767-400ER",'2024'!$L$4="FO",'2024'!$L$2=AJ309),'2024DATA'!$G$12,"")</f>
        <v/>
      </c>
      <c r="AK319" s="518" t="str">
        <f>IF(AND(_B="B-767-400ER",'2024'!$L$4="FO",'2024'!$L$2=AK309),'2024DATA'!$H$12,"")</f>
        <v/>
      </c>
      <c r="AL319" s="518" t="str">
        <f>IF(AND(_B="B-767-400ER",'2024'!$L$4="FO",'2024'!$L$2=AL309),'2024DATA'!$I$12,"")</f>
        <v/>
      </c>
      <c r="AM319" s="518" t="str">
        <f>IF(AND(_B="B-767-400ER",'2024'!$L$4="FO",'2024'!$L$2=AM309),'2024DATA'!$J$12,"")</f>
        <v/>
      </c>
      <c r="AN319" s="518" t="str">
        <f>IF(AND(_B="B-767-400ER",'2024'!$L$4="FO",'2024'!$L$2=AN309),'2024DATA'!$K$12,"")</f>
        <v/>
      </c>
      <c r="AO319" s="518" t="str">
        <f>IF(AND(_B="B-767-400ER",'2024'!$L$4="FO",'2024'!$L$2=AO309),'2024DATA'!$L$12,"")</f>
        <v/>
      </c>
      <c r="AP319" s="518" t="str">
        <f>IF(AND(_B="B-767-400ER",'2024'!$L$4="FO",'2024'!$L$2=AP309),'2024DATA'!$M$12,"")</f>
        <v/>
      </c>
      <c r="AQ319" s="520" t="str">
        <f>IF(AND(_B="B-767-400ER",'2024'!$L$4="FO",'2024'!$L$2=AQ309),'2024DATA'!$N$12,"")</f>
        <v/>
      </c>
      <c r="AR319" s="940"/>
      <c r="AS319" s="13" t="s">
        <v>62</v>
      </c>
      <c r="AT319" s="518" t="str">
        <f>IF(AND(_C="B-767-400ER",'2024'!$L$4="FO",'2024'!$L$2=AT309),'2024DATA'!$C$12,"")</f>
        <v/>
      </c>
      <c r="AU319" s="518" t="str">
        <f>IF(AND(_C="B-767-400ER",'2024'!$L$4="FO",'2024'!$L$2=AU309),'2024DATA'!$D$12,"")</f>
        <v/>
      </c>
      <c r="AV319" s="518" t="str">
        <f>IF(AND(_C="B-767-400ER",'2024'!$L$4="FO",'2024'!$L$2=AV309),'2024DATA'!$E$12,"")</f>
        <v/>
      </c>
      <c r="AW319" s="518" t="str">
        <f>IF(AND(_C="B-767-400ER",'2024'!$L$4="FO",'2024'!$L$2=AW309),'2024DATA'!$F$12,"")</f>
        <v/>
      </c>
      <c r="AX319" s="518" t="str">
        <f>IF(AND(_C="B-767-400ER",'2024'!$L$4="FO",'2024'!$L$2=AX309),'2024DATA'!$G$12,"")</f>
        <v/>
      </c>
      <c r="AY319" s="518" t="str">
        <f>IF(AND(_C="B-767-400ER",'2024'!$L$4="FO",'2024'!$L$2=AY309),'2024DATA'!$H$12,"")</f>
        <v/>
      </c>
      <c r="AZ319" s="518" t="str">
        <f>IF(AND(_C="B-767-400ER",'2024'!$L$4="FO",'2024'!$L$2=AZ309),'2024DATA'!$I$12,"")</f>
        <v/>
      </c>
      <c r="BA319" s="518" t="str">
        <f>IF(AND(_C="B-767-400ER",'2024'!$L$4="FO",'2024'!$L$2=BA309),'2024DATA'!$J$12,"")</f>
        <v/>
      </c>
      <c r="BB319" s="518" t="str">
        <f>IF(AND(_C="B-767-400ER",'2024'!$L$4="FO",'2024'!$L$2=BB309),'2024DATA'!$K$12,"")</f>
        <v/>
      </c>
      <c r="BC319" s="518" t="str">
        <f>IF(AND(_C="B-767-400ER",'2024'!$L$4="FO",'2024'!$L$2=BC309),'2024DATA'!$L$12,"")</f>
        <v/>
      </c>
      <c r="BD319" s="518" t="str">
        <f>IF(AND(_C="B-767-400ER",'2024'!$L$4="FO",'2024'!$L$2=BD309),'2024DATA'!$M$12,"")</f>
        <v/>
      </c>
      <c r="BE319" s="520" t="str">
        <f>IF(AND(_C="B-767-400ER",'2024'!$L$4="FO",'2024'!$L$2=BE309),'2024DATA'!$N$12,"")</f>
        <v/>
      </c>
      <c r="BF319" s="940"/>
      <c r="BG319" s="13" t="s">
        <v>62</v>
      </c>
      <c r="BH319" s="518" t="str">
        <f>IF(AND(_D="B-767-400ER",'2024'!$L$4="FO",'2024'!$L$2=BH309),'2024DATA'!$C$12,"")</f>
        <v/>
      </c>
      <c r="BI319" s="518" t="str">
        <f>IF(AND(_D="B-767-400ER",'2024'!$L$4="FO",'2024'!$L$2=BI309),'2024DATA'!$D$12,"")</f>
        <v/>
      </c>
      <c r="BJ319" s="518" t="str">
        <f>IF(AND(_D="B-767-400ER",'2024'!$L$4="FO",'2024'!$L$2=BJ309),'2024DATA'!$E$12,"")</f>
        <v/>
      </c>
      <c r="BK319" s="518" t="str">
        <f>IF(AND(_D="B-767-400ER",'2024'!$L$4="FO",'2024'!$L$2=BK309),'2024DATA'!$F$12,"")</f>
        <v/>
      </c>
      <c r="BL319" s="518" t="str">
        <f>IF(AND(_D="B-767-400ER",'2024'!$L$4="FO",'2024'!$L$2=BL309),'2024DATA'!$G$12,"")</f>
        <v/>
      </c>
      <c r="BM319" s="518" t="str">
        <f>IF(AND(_D="B-767-400ER",'2024'!$L$4="FO",'2024'!$L$2=BM309),'2024DATA'!$H$12,"")</f>
        <v/>
      </c>
      <c r="BN319" s="518" t="str">
        <f>IF(AND(_D="B-767-400ER",'2024'!$L$4="FO",'2024'!$L$2=BN309),'2024DATA'!$I$12,"")</f>
        <v/>
      </c>
      <c r="BO319" s="518" t="str">
        <f>IF(AND(_D="B-767-400ER",'2024'!$L$4="FO",'2024'!$L$2=BO309),'2024DATA'!$J$12,"")</f>
        <v/>
      </c>
      <c r="BP319" s="518" t="str">
        <f>IF(AND(_D="B-767-400ER",'2024'!$L$4="FO",'2024'!$L$2=BP309),'2024DATA'!$K$12,"")</f>
        <v/>
      </c>
      <c r="BQ319" s="518" t="str">
        <f>IF(AND(_D="B-767-400ER",'2024'!$L$4="FO",'2024'!$L$2=BQ309),'2024DATA'!$L$12,"")</f>
        <v/>
      </c>
      <c r="BR319" s="518" t="str">
        <f>IF(AND(_D="B-767-400ER",'2024'!$L$4="FO",'2024'!$L$2=BR309),'2024DATA'!$M$12,"")</f>
        <v/>
      </c>
      <c r="BS319" s="520" t="str">
        <f>IF(AND(_D="B-767-400ER",'2024'!$L$4="FO",'2024'!$L$2=BS309),'2024DATA'!$N$12,"")</f>
        <v/>
      </c>
      <c r="BT319" s="940"/>
      <c r="BU319" s="13" t="s">
        <v>62</v>
      </c>
      <c r="BV319" s="518" t="str">
        <f>IF(AND(_E="B-767-400ER",'2024'!$L$4="FO",'2024'!$L$2=BV309),'2024DATA'!$C$12,"")</f>
        <v/>
      </c>
      <c r="BW319" s="518" t="str">
        <f>IF(AND(_E="B-767-400ER",'2024'!$L$4="FO",'2024'!$L$2=BW309),'2024DATA'!$D$12,"")</f>
        <v/>
      </c>
      <c r="BX319" s="518" t="str">
        <f>IF(AND(_E="B-767-400ER",'2024'!$L$4="FO",'2024'!$L$2=BX309),'2024DATA'!$E$12,"")</f>
        <v/>
      </c>
      <c r="BY319" s="518" t="str">
        <f>IF(AND(_E="B-767-400ER",'2024'!$L$4="FO",'2024'!$L$2=BY309),'2024DATA'!$F$12,"")</f>
        <v/>
      </c>
      <c r="BZ319" s="518" t="str">
        <f>IF(AND(_E="B-767-400ER",'2024'!$L$4="FO",'2024'!$L$2=BZ309),'2024DATA'!$G$12,"")</f>
        <v/>
      </c>
      <c r="CA319" s="518" t="str">
        <f>IF(AND(_E="B-767-400ER",'2024'!$L$4="FO",'2024'!$L$2=CA309),'2024DATA'!$H$12,"")</f>
        <v/>
      </c>
      <c r="CB319" s="518" t="str">
        <f>IF(AND(_E="B-767-400ER",'2024'!$L$4="FO",'2024'!$L$2=CB309),'2024DATA'!$I$12,"")</f>
        <v/>
      </c>
      <c r="CC319" s="518" t="str">
        <f>IF(AND(_E="B-767-400ER",'2024'!$L$4="FO",'2024'!$L$2=CC309),'2024DATA'!$J$12,"")</f>
        <v/>
      </c>
      <c r="CD319" s="518" t="str">
        <f>IF(AND(_E="B-767-400ER",'2024'!$L$4="FO",'2024'!$L$2=CD309),'2024DATA'!$K$12,"")</f>
        <v/>
      </c>
      <c r="CE319" s="518" t="str">
        <f>IF(AND(_E="B-767-400ER",'2024'!$L$4="FO",'2024'!$L$2=CE309),'2024DATA'!$L$12,"")</f>
        <v/>
      </c>
      <c r="CF319" s="518" t="str">
        <f>IF(AND(_E="B-767-400ER",'2024'!$L$4="FO",'2024'!$L$2=CF309),'2024DATA'!$M$12,"")</f>
        <v/>
      </c>
      <c r="CG319" s="520" t="str">
        <f>IF(AND(_E="B-767-400ER",'2024'!$L$4="FO",'2024'!$L$2=CG309),'2024DATA'!$N$12,"")</f>
        <v/>
      </c>
      <c r="CH319" s="940"/>
      <c r="CI319" s="13" t="s">
        <v>62</v>
      </c>
      <c r="CJ319" s="518" t="str">
        <f>IF(AND(_F="B-767-400ER",'2024'!$L$4="FO",'2024'!$L$2=CJ309),'2024DATA'!$C$12,"")</f>
        <v/>
      </c>
      <c r="CK319" s="518" t="str">
        <f>IF(AND(_F="B-767-400ER",'2024'!$L$4="FO",'2024'!$L$2=CK309),'2024DATA'!$D$12,"")</f>
        <v/>
      </c>
      <c r="CL319" s="518" t="str">
        <f>IF(AND(_F="B-767-400ER",'2024'!$L$4="FO",'2024'!$L$2=CL309),'2024DATA'!$E$12,"")</f>
        <v/>
      </c>
      <c r="CM319" s="518" t="str">
        <f>IF(AND(_F="B-767-400ER",'2024'!$L$4="FO",'2024'!$L$2=CM309),'2024DATA'!$F$12,"")</f>
        <v/>
      </c>
      <c r="CN319" s="518" t="str">
        <f>IF(AND(_F="B-767-400ER",'2024'!$L$4="FO",'2024'!$L$2=CN309),'2024DATA'!$G$12,"")</f>
        <v/>
      </c>
      <c r="CO319" s="518" t="str">
        <f>IF(AND(_F="B-767-400ER",'2024'!$L$4="FO",'2024'!$L$2=CO309),'2024DATA'!$H$12,"")</f>
        <v/>
      </c>
      <c r="CP319" s="518" t="str">
        <f>IF(AND(_F="B-767-400ER",'2024'!$L$4="FO",'2024'!$L$2=CP309),'2024DATA'!$I$12,"")</f>
        <v/>
      </c>
      <c r="CQ319" s="518" t="str">
        <f>IF(AND(_F="B-767-400ER",'2024'!$L$4="FO",'2024'!$L$2=CQ309),'2024DATA'!$J$12,"")</f>
        <v/>
      </c>
      <c r="CR319" s="518" t="str">
        <f>IF(AND(_F="B-767-400ER",'2024'!$L$4="FO",'2024'!$L$2=CR309),'2024DATA'!$K$12,"")</f>
        <v/>
      </c>
      <c r="CS319" s="518" t="str">
        <f>IF(AND(_F="B-767-400ER",'2024'!$L$4="FO",'2024'!$L$2=CS309),'2024DATA'!$L$12,"")</f>
        <v/>
      </c>
      <c r="CT319" s="518" t="str">
        <f>IF(AND(_F="B-767-400ER",'2024'!$L$4="FO",'2024'!$L$2=CT309),'2024DATA'!$M$12,"")</f>
        <v/>
      </c>
      <c r="CU319" s="520" t="str">
        <f>IF(AND(_F="B-767-400ER",'2024'!$L$4="FO",'2024'!$L$2=CU309),'2024DATA'!$N$12,"")</f>
        <v/>
      </c>
    </row>
    <row r="320" spans="16:99" x14ac:dyDescent="0.25">
      <c r="P320" s="940" t="s">
        <v>43</v>
      </c>
      <c r="Q320" s="13" t="s">
        <v>61</v>
      </c>
      <c r="R320" s="518" t="str">
        <f>IF(AND(_A="B-767-300ER",'2024'!$L$4="CA",'2024'!$L$2=R309),'2024DATA'!$C$13,"")</f>
        <v/>
      </c>
      <c r="S320" s="518" t="str">
        <f>IF(AND(_A="B-767-300ER",'2024'!$L$4="CA",'2024'!$L$2=S309),'2024DATA'!$D$13,"")</f>
        <v/>
      </c>
      <c r="T320" s="518" t="str">
        <f>IF(AND(_A="B-767-300ER",'2024'!$L$4="CA",'2024'!$L$2=T309),'2024DATA'!$E$13,"")</f>
        <v/>
      </c>
      <c r="U320" s="518" t="str">
        <f>IF(AND(_A="B-767-300ER",'2024'!$L$4="CA",'2024'!$L$2=U309),'2024DATA'!$F$13,"")</f>
        <v/>
      </c>
      <c r="V320" s="518" t="str">
        <f>IF(AND(_A="B-767-300ER",'2024'!$L$4="CA",'2024'!$L$2=V309),'2024DATA'!$G$13,"")</f>
        <v/>
      </c>
      <c r="W320" s="518" t="str">
        <f>IF(AND(_A="B-767-300ER",'2024'!$L$4="CA",'2024'!$L$2=W309),'2024DATA'!$H$13,"")</f>
        <v/>
      </c>
      <c r="X320" s="518" t="str">
        <f>IF(AND(_A="B-767-300ER",'2024'!$L$4="CA",'2024'!$L$2=X309),'2024DATA'!$I$13,"")</f>
        <v/>
      </c>
      <c r="Y320" s="518" t="str">
        <f>IF(AND(_A="B-767-300ER",'2024'!$L$4="CA",'2024'!$L$2=Y309),'2024DATA'!$J$13,"")</f>
        <v/>
      </c>
      <c r="Z320" s="518" t="str">
        <f>IF(AND(_A="B-767-300ER",'2024'!$L$4="CA",'2024'!$L$2=Z309),'2024DATA'!$K$13,"")</f>
        <v/>
      </c>
      <c r="AA320" s="518" t="str">
        <f>IF(AND(_A="B-767-300ER",'2024'!$L$4="CA",'2024'!$L$2=AA309),'2024DATA'!$L$13,"")</f>
        <v/>
      </c>
      <c r="AB320" s="518" t="str">
        <f>IF(AND(_A="B-767-300ER",'2024'!$L$4="CA",'2024'!$L$2=AB309),'2024DATA'!$M$13,"")</f>
        <v/>
      </c>
      <c r="AC320" s="520" t="str">
        <f>IF(AND(_A="B-767-300ER",'2024'!$L$4="CA",'2024'!$L$2=AC309),'2024DATA'!$N$13,"")</f>
        <v/>
      </c>
      <c r="AD320" s="940" t="s">
        <v>43</v>
      </c>
      <c r="AE320" s="13" t="s">
        <v>61</v>
      </c>
      <c r="AF320" s="518" t="str">
        <f>IF(AND(_B="B-767-300ER",'2024'!$L$4="CA",'2024'!$L$2=AF309),'2024DATA'!$C$13,"")</f>
        <v/>
      </c>
      <c r="AG320" s="518" t="str">
        <f>IF(AND(_B="B-767-300ER",'2024'!$L$4="CA",'2024'!$L$2=AG309),'2024DATA'!$D$13,"")</f>
        <v/>
      </c>
      <c r="AH320" s="518" t="str">
        <f>IF(AND(_B="B-767-300ER",'2024'!$L$4="CA",'2024'!$L$2=AH309),'2024DATA'!$E$13,"")</f>
        <v/>
      </c>
      <c r="AI320" s="518" t="str">
        <f>IF(AND(_B="B-767-300ER",'2024'!$L$4="CA",'2024'!$L$2=AI309),'2024DATA'!$F$13,"")</f>
        <v/>
      </c>
      <c r="AJ320" s="518" t="str">
        <f>IF(AND(_B="B-767-300ER",'2024'!$L$4="CA",'2024'!$L$2=AJ309),'2024DATA'!$G$13,"")</f>
        <v/>
      </c>
      <c r="AK320" s="518" t="str">
        <f>IF(AND(_B="B-767-300ER",'2024'!$L$4="CA",'2024'!$L$2=AK309),'2024DATA'!$H$13,"")</f>
        <v/>
      </c>
      <c r="AL320" s="518" t="str">
        <f>IF(AND(_B="B-767-300ER",'2024'!$L$4="CA",'2024'!$L$2=AL309),'2024DATA'!$I$13,"")</f>
        <v/>
      </c>
      <c r="AM320" s="518" t="str">
        <f>IF(AND(_B="B-767-300ER",'2024'!$L$4="CA",'2024'!$L$2=AM309),'2024DATA'!$J$13,"")</f>
        <v/>
      </c>
      <c r="AN320" s="518" t="str">
        <f>IF(AND(_B="B-767-300ER",'2024'!$L$4="CA",'2024'!$L$2=AN309),'2024DATA'!$K$13,"")</f>
        <v/>
      </c>
      <c r="AO320" s="518" t="str">
        <f>IF(AND(_B="B-767-300ER",'2024'!$L$4="CA",'2024'!$L$2=AO309),'2024DATA'!$L$13,"")</f>
        <v/>
      </c>
      <c r="AP320" s="518" t="str">
        <f>IF(AND(_B="B-767-300ER",'2024'!$L$4="CA",'2024'!$L$2=AP309),'2024DATA'!$M$13,"")</f>
        <v/>
      </c>
      <c r="AQ320" s="520" t="str">
        <f>IF(AND(_B="B-767-300ER",'2024'!$L$4="CA",'2024'!$L$2=AQ309),'2024DATA'!$N$13,"")</f>
        <v/>
      </c>
      <c r="AR320" s="940" t="s">
        <v>43</v>
      </c>
      <c r="AS320" s="13" t="s">
        <v>61</v>
      </c>
      <c r="AT320" s="518" t="str">
        <f>IF(AND(_C="B-767-300ER",'2024'!$L$4="CA",'2024'!$L$2=AT309),'2024DATA'!$C$13,"")</f>
        <v/>
      </c>
      <c r="AU320" s="518" t="str">
        <f>IF(AND(_C="B-767-300ER",'2024'!$L$4="CA",'2024'!$L$2=AU309),'2024DATA'!$D$13,"")</f>
        <v/>
      </c>
      <c r="AV320" s="518" t="str">
        <f>IF(AND(_C="B-767-300ER",'2024'!$L$4="CA",'2024'!$L$2=AV309),'2024DATA'!$E$13,"")</f>
        <v/>
      </c>
      <c r="AW320" s="518" t="str">
        <f>IF(AND(_C="B-767-300ER",'2024'!$L$4="CA",'2024'!$L$2=AW309),'2024DATA'!$F$13,"")</f>
        <v/>
      </c>
      <c r="AX320" s="518" t="str">
        <f>IF(AND(_C="B-767-300ER",'2024'!$L$4="CA",'2024'!$L$2=AX309),'2024DATA'!$G$13,"")</f>
        <v/>
      </c>
      <c r="AY320" s="518" t="str">
        <f>IF(AND(_C="B-767-300ER",'2024'!$L$4="CA",'2024'!$L$2=AY309),'2024DATA'!$H$13,"")</f>
        <v/>
      </c>
      <c r="AZ320" s="518" t="str">
        <f>IF(AND(_C="B-767-300ER",'2024'!$L$4="CA",'2024'!$L$2=AZ309),'2024DATA'!$I$13,"")</f>
        <v/>
      </c>
      <c r="BA320" s="518" t="str">
        <f>IF(AND(_C="B-767-300ER",'2024'!$L$4="CA",'2024'!$L$2=BA309),'2024DATA'!$J$13,"")</f>
        <v/>
      </c>
      <c r="BB320" s="518" t="str">
        <f>IF(AND(_C="B-767-300ER",'2024'!$L$4="CA",'2024'!$L$2=BB309),'2024DATA'!$K$13,"")</f>
        <v/>
      </c>
      <c r="BC320" s="518" t="str">
        <f>IF(AND(_C="B-767-300ER",'2024'!$L$4="CA",'2024'!$L$2=BC309),'2024DATA'!$L$13,"")</f>
        <v/>
      </c>
      <c r="BD320" s="518" t="str">
        <f>IF(AND(_C="B-767-300ER",'2024'!$L$4="CA",'2024'!$L$2=BD309),'2024DATA'!$M$13,"")</f>
        <v/>
      </c>
      <c r="BE320" s="520" t="str">
        <f>IF(AND(_C="B-767-300ER",'2024'!$L$4="CA",'2024'!$L$2=BE309),'2024DATA'!$N$13,"")</f>
        <v/>
      </c>
      <c r="BF320" s="940" t="s">
        <v>43</v>
      </c>
      <c r="BG320" s="13" t="s">
        <v>61</v>
      </c>
      <c r="BH320" s="518" t="str">
        <f>IF(AND(_D="B-767-300ER",'2024'!$L$4="CA",'2024'!$L$2=BH309),'2024DATA'!$C$13,"")</f>
        <v/>
      </c>
      <c r="BI320" s="518" t="str">
        <f>IF(AND(_D="B-767-300ER",'2024'!$L$4="CA",'2024'!$L$2=BI309),'2024DATA'!$D$13,"")</f>
        <v/>
      </c>
      <c r="BJ320" s="518" t="str">
        <f>IF(AND(_D="B-767-300ER",'2024'!$L$4="CA",'2024'!$L$2=BJ309),'2024DATA'!$E$13,"")</f>
        <v/>
      </c>
      <c r="BK320" s="518" t="str">
        <f>IF(AND(_D="B-767-300ER",'2024'!$L$4="CA",'2024'!$L$2=BK309),'2024DATA'!$F$13,"")</f>
        <v/>
      </c>
      <c r="BL320" s="518" t="str">
        <f>IF(AND(_D="B-767-300ER",'2024'!$L$4="CA",'2024'!$L$2=BL309),'2024DATA'!$G$13,"")</f>
        <v/>
      </c>
      <c r="BM320" s="518" t="str">
        <f>IF(AND(_D="B-767-300ER",'2024'!$L$4="CA",'2024'!$L$2=BM309),'2024DATA'!$H$13,"")</f>
        <v/>
      </c>
      <c r="BN320" s="518" t="str">
        <f>IF(AND(_D="B-767-300ER",'2024'!$L$4="CA",'2024'!$L$2=BN309),'2024DATA'!$I$13,"")</f>
        <v/>
      </c>
      <c r="BO320" s="518" t="str">
        <f>IF(AND(_D="B-767-300ER",'2024'!$L$4="CA",'2024'!$L$2=BO309),'2024DATA'!$J$13,"")</f>
        <v/>
      </c>
      <c r="BP320" s="518" t="str">
        <f>IF(AND(_D="B-767-300ER",'2024'!$L$4="CA",'2024'!$L$2=BP309),'2024DATA'!$K$13,"")</f>
        <v/>
      </c>
      <c r="BQ320" s="518" t="str">
        <f>IF(AND(_D="B-767-300ER",'2024'!$L$4="CA",'2024'!$L$2=BQ309),'2024DATA'!$L$13,"")</f>
        <v/>
      </c>
      <c r="BR320" s="518" t="str">
        <f>IF(AND(_D="B-767-300ER",'2024'!$L$4="CA",'2024'!$L$2=BR309),'2024DATA'!$M$13,"")</f>
        <v/>
      </c>
      <c r="BS320" s="520" t="str">
        <f>IF(AND(_D="B-767-300ER",'2024'!$L$4="CA",'2024'!$L$2=BS309),'2024DATA'!$N$13,"")</f>
        <v/>
      </c>
      <c r="BT320" s="940" t="s">
        <v>43</v>
      </c>
      <c r="BU320" s="13" t="s">
        <v>61</v>
      </c>
      <c r="BV320" s="518" t="str">
        <f>IF(AND(_E="B-767-300ER",'2024'!$L$4="CA",'2024'!$L$2=BV309),'2024DATA'!$C$13,"")</f>
        <v/>
      </c>
      <c r="BW320" s="518" t="str">
        <f>IF(AND(_E="B-767-300ER",'2024'!$L$4="CA",'2024'!$L$2=BW309),'2024DATA'!$D$13,"")</f>
        <v/>
      </c>
      <c r="BX320" s="518" t="str">
        <f>IF(AND(_E="B-767-300ER",'2024'!$L$4="CA",'2024'!$L$2=BX309),'2024DATA'!$E$13,"")</f>
        <v/>
      </c>
      <c r="BY320" s="518" t="str">
        <f>IF(AND(_E="B-767-300ER",'2024'!$L$4="CA",'2024'!$L$2=BY309),'2024DATA'!$F$13,"")</f>
        <v/>
      </c>
      <c r="BZ320" s="518" t="str">
        <f>IF(AND(_E="B-767-300ER",'2024'!$L$4="CA",'2024'!$L$2=BZ309),'2024DATA'!$G$13,"")</f>
        <v/>
      </c>
      <c r="CA320" s="518" t="str">
        <f>IF(AND(_E="B-767-300ER",'2024'!$L$4="CA",'2024'!$L$2=CA309),'2024DATA'!$H$13,"")</f>
        <v/>
      </c>
      <c r="CB320" s="518" t="str">
        <f>IF(AND(_E="B-767-300ER",'2024'!$L$4="CA",'2024'!$L$2=CB309),'2024DATA'!$I$13,"")</f>
        <v/>
      </c>
      <c r="CC320" s="518" t="str">
        <f>IF(AND(_E="B-767-300ER",'2024'!$L$4="CA",'2024'!$L$2=CC309),'2024DATA'!$J$13,"")</f>
        <v/>
      </c>
      <c r="CD320" s="518" t="str">
        <f>IF(AND(_E="B-767-300ER",'2024'!$L$4="CA",'2024'!$L$2=CD309),'2024DATA'!$K$13,"")</f>
        <v/>
      </c>
      <c r="CE320" s="518" t="str">
        <f>IF(AND(_E="B-767-300ER",'2024'!$L$4="CA",'2024'!$L$2=CE309),'2024DATA'!$L$13,"")</f>
        <v/>
      </c>
      <c r="CF320" s="518" t="str">
        <f>IF(AND(_E="B-767-300ER",'2024'!$L$4="CA",'2024'!$L$2=CF309),'2024DATA'!$M$13,"")</f>
        <v/>
      </c>
      <c r="CG320" s="520" t="str">
        <f>IF(AND(_E="B-767-300ER",'2024'!$L$4="CA",'2024'!$L$2=CG309),'2024DATA'!$N$13,"")</f>
        <v/>
      </c>
      <c r="CH320" s="940" t="s">
        <v>43</v>
      </c>
      <c r="CI320" s="13" t="s">
        <v>61</v>
      </c>
      <c r="CJ320" s="518" t="str">
        <f>IF(AND(_F="B-767-300ER",'2024'!$L$4="CA",'2024'!$L$2=CJ309),'2024DATA'!$C$13,"")</f>
        <v/>
      </c>
      <c r="CK320" s="518" t="str">
        <f>IF(AND(_F="B-767-300ER",'2024'!$L$4="CA",'2024'!$L$2=CK309),'2024DATA'!$D$13,"")</f>
        <v/>
      </c>
      <c r="CL320" s="518" t="str">
        <f>IF(AND(_F="B-767-300ER",'2024'!$L$4="CA",'2024'!$L$2=CL309),'2024DATA'!$E$13,"")</f>
        <v/>
      </c>
      <c r="CM320" s="518" t="str">
        <f>IF(AND(_F="B-767-300ER",'2024'!$L$4="CA",'2024'!$L$2=CM309),'2024DATA'!$F$13,"")</f>
        <v/>
      </c>
      <c r="CN320" s="518" t="str">
        <f>IF(AND(_F="B-767-300ER",'2024'!$L$4="CA",'2024'!$L$2=CN309),'2024DATA'!$G$13,"")</f>
        <v/>
      </c>
      <c r="CO320" s="518" t="str">
        <f>IF(AND(_F="B-767-300ER",'2024'!$L$4="CA",'2024'!$L$2=CO309),'2024DATA'!$H$13,"")</f>
        <v/>
      </c>
      <c r="CP320" s="518" t="str">
        <f>IF(AND(_F="B-767-300ER",'2024'!$L$4="CA",'2024'!$L$2=CP309),'2024DATA'!$I$13,"")</f>
        <v/>
      </c>
      <c r="CQ320" s="518" t="str">
        <f>IF(AND(_F="B-767-300ER",'2024'!$L$4="CA",'2024'!$L$2=CQ309),'2024DATA'!$J$13,"")</f>
        <v/>
      </c>
      <c r="CR320" s="518" t="str">
        <f>IF(AND(_F="B-767-300ER",'2024'!$L$4="CA",'2024'!$L$2=CR309),'2024DATA'!$K$13,"")</f>
        <v/>
      </c>
      <c r="CS320" s="518" t="str">
        <f>IF(AND(_F="B-767-300ER",'2024'!$L$4="CA",'2024'!$L$2=CS309),'2024DATA'!$L$13,"")</f>
        <v/>
      </c>
      <c r="CT320" s="518" t="str">
        <f>IF(AND(_F="B-767-300ER",'2024'!$L$4="CA",'2024'!$L$2=CT309),'2024DATA'!$M$13,"")</f>
        <v/>
      </c>
      <c r="CU320" s="520" t="str">
        <f>IF(AND(_F="B-767-300ER",'2024'!$L$4="CA",'2024'!$L$2=CU309),'2024DATA'!$N$13,"")</f>
        <v/>
      </c>
    </row>
    <row r="321" spans="16:99" x14ac:dyDescent="0.25">
      <c r="P321" s="940"/>
      <c r="Q321" s="13" t="s">
        <v>62</v>
      </c>
      <c r="R321" s="518" t="str">
        <f>IF(AND(_A="B-767-300ER",'2024'!$L$4="FO",'2024'!$L$2=R309),'2024DATA'!$C$14,"")</f>
        <v/>
      </c>
      <c r="S321" s="518" t="str">
        <f>IF(AND(_A="B-767-300ER",'2024'!$L$4="FO",'2024'!$L$2=S309),'2024DATA'!$D$14,"")</f>
        <v/>
      </c>
      <c r="T321" s="518" t="str">
        <f>IF(AND(_A="B-767-300ER",'2024'!$L$4="FO",'2024'!$L$2=T309),'2024DATA'!$E$14,"")</f>
        <v/>
      </c>
      <c r="U321" s="518" t="str">
        <f>IF(AND(_A="B-767-300ER",'2024'!$L$4="FO",'2024'!$L$2=U309),'2024DATA'!$F$14,"")</f>
        <v/>
      </c>
      <c r="V321" s="518" t="str">
        <f>IF(AND(_A="B-767-300ER",'2024'!$L$4="FO",'2024'!$L$2=V309),'2024DATA'!$G$14,"")</f>
        <v/>
      </c>
      <c r="W321" s="518" t="str">
        <f>IF(AND(_A="B-767-300ER",'2024'!$L$4="FO",'2024'!$L$2=W309),'2024DATA'!$H$14,"")</f>
        <v/>
      </c>
      <c r="X321" s="518" t="str">
        <f>IF(AND(_A="B-767-300ER",'2024'!$L$4="FO",'2024'!$L$2=X309),'2024DATA'!$I$14,"")</f>
        <v/>
      </c>
      <c r="Y321" s="518" t="str">
        <f>IF(AND(_A="B-767-300ER",'2024'!$L$4="FO",'2024'!$L$2=Y309),'2024DATA'!$J$14,"")</f>
        <v/>
      </c>
      <c r="Z321" s="518" t="str">
        <f>IF(AND(_A="B-767-300ER",'2024'!$L$4="FO",'2024'!$L$2=Z309),'2024DATA'!$K$14,"")</f>
        <v/>
      </c>
      <c r="AA321" s="518" t="str">
        <f>IF(AND(_A="B-767-300ER",'2024'!$L$4="FO",'2024'!$L$2=AA309),'2024DATA'!$L$14,"")</f>
        <v/>
      </c>
      <c r="AB321" s="518" t="str">
        <f>IF(AND(_A="B-767-300ER",'2024'!$L$4="FO",'2024'!$L$2=AB309),'2024DATA'!$M$14,"")</f>
        <v/>
      </c>
      <c r="AC321" s="520" t="str">
        <f>IF(AND(_A="B-767-300ER",'2024'!$L$4="FO",'2024'!$L$2=AC309),'2024DATA'!$N$14,"")</f>
        <v/>
      </c>
      <c r="AD321" s="940"/>
      <c r="AE321" s="13" t="s">
        <v>62</v>
      </c>
      <c r="AF321" s="518" t="str">
        <f>IF(AND(_B="B-767-300ER",'2024'!$L$4="FO",'2024'!$L$2=AF309),'2024DATA'!$C$14,"")</f>
        <v/>
      </c>
      <c r="AG321" s="518" t="str">
        <f>IF(AND(_B="B-767-300ER",'2024'!$L$4="FO",'2024'!$L$2=AG309),'2024DATA'!$D$14,"")</f>
        <v/>
      </c>
      <c r="AH321" s="518" t="str">
        <f>IF(AND(_B="B-767-300ER",'2024'!$L$4="FO",'2024'!$L$2=AH309),'2024DATA'!$E$14,"")</f>
        <v/>
      </c>
      <c r="AI321" s="518" t="str">
        <f>IF(AND(_B="B-767-300ER",'2024'!$L$4="FO",'2024'!$L$2=AI309),'2024DATA'!$F$14,"")</f>
        <v/>
      </c>
      <c r="AJ321" s="518" t="str">
        <f>IF(AND(_B="B-767-300ER",'2024'!$L$4="FO",'2024'!$L$2=AJ309),'2024DATA'!$G$14,"")</f>
        <v/>
      </c>
      <c r="AK321" s="518" t="str">
        <f>IF(AND(_B="B-767-300ER",'2024'!$L$4="FO",'2024'!$L$2=AK309),'2024DATA'!$H$14,"")</f>
        <v/>
      </c>
      <c r="AL321" s="518" t="str">
        <f>IF(AND(_B="B-767-300ER",'2024'!$L$4="FO",'2024'!$L$2=AL309),'2024DATA'!$I$14,"")</f>
        <v/>
      </c>
      <c r="AM321" s="518" t="str">
        <f>IF(AND(_B="B-767-300ER",'2024'!$L$4="FO",'2024'!$L$2=AM309),'2024DATA'!$J$14,"")</f>
        <v/>
      </c>
      <c r="AN321" s="518" t="str">
        <f>IF(AND(_B="B-767-300ER",'2024'!$L$4="FO",'2024'!$L$2=AN309),'2024DATA'!$K$14,"")</f>
        <v/>
      </c>
      <c r="AO321" s="518" t="str">
        <f>IF(AND(_B="B-767-300ER",'2024'!$L$4="FO",'2024'!$L$2=AO309),'2024DATA'!$L$14,"")</f>
        <v/>
      </c>
      <c r="AP321" s="518" t="str">
        <f>IF(AND(_B="B-767-300ER",'2024'!$L$4="FO",'2024'!$L$2=AP309),'2024DATA'!$M$14,"")</f>
        <v/>
      </c>
      <c r="AQ321" s="520" t="str">
        <f>IF(AND(_B="B-767-300ER",'2024'!$L$4="FO",'2024'!$L$2=AQ309),'2024DATA'!$N$14,"")</f>
        <v/>
      </c>
      <c r="AR321" s="940"/>
      <c r="AS321" s="13" t="s">
        <v>62</v>
      </c>
      <c r="AT321" s="518" t="str">
        <f>IF(AND(_C="B-767-300ER",'2024'!$L$4="FO",'2024'!$L$2=AT309),'2024DATA'!$C$14,"")</f>
        <v/>
      </c>
      <c r="AU321" s="518" t="str">
        <f>IF(AND(_C="B-767-300ER",'2024'!$L$4="FO",'2024'!$L$2=AU309),'2024DATA'!$D$14,"")</f>
        <v/>
      </c>
      <c r="AV321" s="518" t="str">
        <f>IF(AND(_C="B-767-300ER",'2024'!$L$4="FO",'2024'!$L$2=AV309),'2024DATA'!$E$14,"")</f>
        <v/>
      </c>
      <c r="AW321" s="518" t="str">
        <f>IF(AND(_C="B-767-300ER",'2024'!$L$4="FO",'2024'!$L$2=AW309),'2024DATA'!$F$14,"")</f>
        <v/>
      </c>
      <c r="AX321" s="518" t="str">
        <f>IF(AND(_C="B-767-300ER",'2024'!$L$4="FO",'2024'!$L$2=AX309),'2024DATA'!$G$14,"")</f>
        <v/>
      </c>
      <c r="AY321" s="518" t="str">
        <f>IF(AND(_C="B-767-300ER",'2024'!$L$4="FO",'2024'!$L$2=AY309),'2024DATA'!$H$14,"")</f>
        <v/>
      </c>
      <c r="AZ321" s="518" t="str">
        <f>IF(AND(_C="B-767-300ER",'2024'!$L$4="FO",'2024'!$L$2=AZ309),'2024DATA'!$I$14,"")</f>
        <v/>
      </c>
      <c r="BA321" s="518" t="str">
        <f>IF(AND(_C="B-767-300ER",'2024'!$L$4="FO",'2024'!$L$2=BA309),'2024DATA'!$J$14,"")</f>
        <v/>
      </c>
      <c r="BB321" s="518" t="str">
        <f>IF(AND(_C="B-767-300ER",'2024'!$L$4="FO",'2024'!$L$2=BB309),'2024DATA'!$K$14,"")</f>
        <v/>
      </c>
      <c r="BC321" s="518" t="str">
        <f>IF(AND(_C="B-767-300ER",'2024'!$L$4="FO",'2024'!$L$2=BC309),'2024DATA'!$L$14,"")</f>
        <v/>
      </c>
      <c r="BD321" s="518" t="str">
        <f>IF(AND(_C="B-767-300ER",'2024'!$L$4="FO",'2024'!$L$2=BD309),'2024DATA'!$M$14,"")</f>
        <v/>
      </c>
      <c r="BE321" s="520" t="str">
        <f>IF(AND(_C="B-767-300ER",'2024'!$L$4="FO",'2024'!$L$2=BE309),'2024DATA'!$N$14,"")</f>
        <v/>
      </c>
      <c r="BF321" s="940"/>
      <c r="BG321" s="13" t="s">
        <v>62</v>
      </c>
      <c r="BH321" s="518" t="str">
        <f>IF(AND(_D="B-767-300ER",'2024'!$L$4="FO",'2024'!$L$2=BH309),'2024DATA'!$C$14,"")</f>
        <v/>
      </c>
      <c r="BI321" s="518" t="str">
        <f>IF(AND(_D="B-767-300ER",'2024'!$L$4="FO",'2024'!$L$2=BI309),'2024DATA'!$D$14,"")</f>
        <v/>
      </c>
      <c r="BJ321" s="518" t="str">
        <f>IF(AND(_D="B-767-300ER",'2024'!$L$4="FO",'2024'!$L$2=BJ309),'2024DATA'!$E$14,"")</f>
        <v/>
      </c>
      <c r="BK321" s="518" t="str">
        <f>IF(AND(_D="B-767-300ER",'2024'!$L$4="FO",'2024'!$L$2=BK309),'2024DATA'!$F$14,"")</f>
        <v/>
      </c>
      <c r="BL321" s="518" t="str">
        <f>IF(AND(_D="B-767-300ER",'2024'!$L$4="FO",'2024'!$L$2=BL309),'2024DATA'!$G$14,"")</f>
        <v/>
      </c>
      <c r="BM321" s="518" t="str">
        <f>IF(AND(_D="B-767-300ER",'2024'!$L$4="FO",'2024'!$L$2=BM309),'2024DATA'!$H$14,"")</f>
        <v/>
      </c>
      <c r="BN321" s="518" t="str">
        <f>IF(AND(_D="B-767-300ER",'2024'!$L$4="FO",'2024'!$L$2=BN309),'2024DATA'!$I$14,"")</f>
        <v/>
      </c>
      <c r="BO321" s="518" t="str">
        <f>IF(AND(_D="B-767-300ER",'2024'!$L$4="FO",'2024'!$L$2=BO309),'2024DATA'!$J$14,"")</f>
        <v/>
      </c>
      <c r="BP321" s="518" t="str">
        <f>IF(AND(_D="B-767-300ER",'2024'!$L$4="FO",'2024'!$L$2=BP309),'2024DATA'!$K$14,"")</f>
        <v/>
      </c>
      <c r="BQ321" s="518" t="str">
        <f>IF(AND(_D="B-767-300ER",'2024'!$L$4="FO",'2024'!$L$2=BQ309),'2024DATA'!$L$14,"")</f>
        <v/>
      </c>
      <c r="BR321" s="518" t="str">
        <f>IF(AND(_D="B-767-300ER",'2024'!$L$4="FO",'2024'!$L$2=BR309),'2024DATA'!$M$14,"")</f>
        <v/>
      </c>
      <c r="BS321" s="520" t="str">
        <f>IF(AND(_D="B-767-300ER",'2024'!$L$4="FO",'2024'!$L$2=BS309),'2024DATA'!$N$14,"")</f>
        <v/>
      </c>
      <c r="BT321" s="940"/>
      <c r="BU321" s="13" t="s">
        <v>62</v>
      </c>
      <c r="BV321" s="518" t="str">
        <f>IF(AND(_E="B-767-300ER",'2024'!$L$4="FO",'2024'!$L$2=BV309),'2024DATA'!$C$14,"")</f>
        <v/>
      </c>
      <c r="BW321" s="518" t="str">
        <f>IF(AND(_E="B-767-300ER",'2024'!$L$4="FO",'2024'!$L$2=BW309),'2024DATA'!$D$14,"")</f>
        <v/>
      </c>
      <c r="BX321" s="518" t="str">
        <f>IF(AND(_E="B-767-300ER",'2024'!$L$4="FO",'2024'!$L$2=BX309),'2024DATA'!$E$14,"")</f>
        <v/>
      </c>
      <c r="BY321" s="518" t="str">
        <f>IF(AND(_E="B-767-300ER",'2024'!$L$4="FO",'2024'!$L$2=BY309),'2024DATA'!$F$14,"")</f>
        <v/>
      </c>
      <c r="BZ321" s="518" t="str">
        <f>IF(AND(_E="B-767-300ER",'2024'!$L$4="FO",'2024'!$L$2=BZ309),'2024DATA'!$G$14,"")</f>
        <v/>
      </c>
      <c r="CA321" s="518" t="str">
        <f>IF(AND(_E="B-767-300ER",'2024'!$L$4="FO",'2024'!$L$2=CA309),'2024DATA'!$H$14,"")</f>
        <v/>
      </c>
      <c r="CB321" s="518" t="str">
        <f>IF(AND(_E="B-767-300ER",'2024'!$L$4="FO",'2024'!$L$2=CB309),'2024DATA'!$I$14,"")</f>
        <v/>
      </c>
      <c r="CC321" s="518" t="str">
        <f>IF(AND(_E="B-767-300ER",'2024'!$L$4="FO",'2024'!$L$2=CC309),'2024DATA'!$J$14,"")</f>
        <v/>
      </c>
      <c r="CD321" s="518" t="str">
        <f>IF(AND(_E="B-767-300ER",'2024'!$L$4="FO",'2024'!$L$2=CD309),'2024DATA'!$K$14,"")</f>
        <v/>
      </c>
      <c r="CE321" s="518" t="str">
        <f>IF(AND(_E="B-767-300ER",'2024'!$L$4="FO",'2024'!$L$2=CE309),'2024DATA'!$L$14,"")</f>
        <v/>
      </c>
      <c r="CF321" s="518" t="str">
        <f>IF(AND(_E="B-767-300ER",'2024'!$L$4="FO",'2024'!$L$2=CF309),'2024DATA'!$M$14,"")</f>
        <v/>
      </c>
      <c r="CG321" s="520" t="str">
        <f>IF(AND(_E="B-767-300ER",'2024'!$L$4="FO",'2024'!$L$2=CG309),'2024DATA'!$N$14,"")</f>
        <v/>
      </c>
      <c r="CH321" s="940"/>
      <c r="CI321" s="13" t="s">
        <v>62</v>
      </c>
      <c r="CJ321" s="518" t="str">
        <f>IF(AND(_F="B-767-300ER",'2024'!$L$4="FO",'2024'!$L$2=CJ309),'2024DATA'!$C$14,"")</f>
        <v/>
      </c>
      <c r="CK321" s="518" t="str">
        <f>IF(AND(_F="B-767-300ER",'2024'!$L$4="FO",'2024'!$L$2=CK309),'2024DATA'!$D$14,"")</f>
        <v/>
      </c>
      <c r="CL321" s="518" t="str">
        <f>IF(AND(_F="B-767-300ER",'2024'!$L$4="FO",'2024'!$L$2=CL309),'2024DATA'!$E$14,"")</f>
        <v/>
      </c>
      <c r="CM321" s="518" t="str">
        <f>IF(AND(_F="B-767-300ER",'2024'!$L$4="FO",'2024'!$L$2=CM309),'2024DATA'!$F$14,"")</f>
        <v/>
      </c>
      <c r="CN321" s="518" t="str">
        <f>IF(AND(_F="B-767-300ER",'2024'!$L$4="FO",'2024'!$L$2=CN309),'2024DATA'!$G$14,"")</f>
        <v/>
      </c>
      <c r="CO321" s="518" t="str">
        <f>IF(AND(_F="B-767-300ER",'2024'!$L$4="FO",'2024'!$L$2=CO309),'2024DATA'!$H$14,"")</f>
        <v/>
      </c>
      <c r="CP321" s="518" t="str">
        <f>IF(AND(_F="B-767-300ER",'2024'!$L$4="FO",'2024'!$L$2=CP309),'2024DATA'!$I$14,"")</f>
        <v/>
      </c>
      <c r="CQ321" s="518" t="str">
        <f>IF(AND(_F="B-767-300ER",'2024'!$L$4="FO",'2024'!$L$2=CQ309),'2024DATA'!$J$14,"")</f>
        <v/>
      </c>
      <c r="CR321" s="518" t="str">
        <f>IF(AND(_F="B-767-300ER",'2024'!$L$4="FO",'2024'!$L$2=CR309),'2024DATA'!$K$14,"")</f>
        <v/>
      </c>
      <c r="CS321" s="518" t="str">
        <f>IF(AND(_F="B-767-300ER",'2024'!$L$4="FO",'2024'!$L$2=CS309),'2024DATA'!$L$14,"")</f>
        <v/>
      </c>
      <c r="CT321" s="518" t="str">
        <f>IF(AND(_F="B-767-300ER",'2024'!$L$4="FO",'2024'!$L$2=CT309),'2024DATA'!$M$14,"")</f>
        <v/>
      </c>
      <c r="CU321" s="520" t="str">
        <f>IF(AND(_F="B-767-300ER",'2024'!$L$4="FO",'2024'!$L$2=CU309),'2024DATA'!$N$14,"")</f>
        <v/>
      </c>
    </row>
    <row r="322" spans="16:99" x14ac:dyDescent="0.25">
      <c r="P322" s="940" t="s">
        <v>67</v>
      </c>
      <c r="Q322" s="13" t="s">
        <v>61</v>
      </c>
      <c r="R322" s="518" t="str">
        <f>IF(AND(_A="B-767-300",'2024'!$L$4="CA",'2024'!$L$2=R309),'2024DATA'!$C$15,"")</f>
        <v/>
      </c>
      <c r="S322" s="518" t="str">
        <f>IF(AND(_A="B-767-300",'2024'!$L$4="CA",'2024'!$L$2=S309),'2024DATA'!$D$15,"")</f>
        <v/>
      </c>
      <c r="T322" s="518" t="str">
        <f>IF(AND(_A="B-767-300",'2024'!$L$4="CA",'2024'!$L$2=T309),'2024DATA'!$E$15,"")</f>
        <v/>
      </c>
      <c r="U322" s="518" t="str">
        <f>IF(AND(_A="B-767-300",'2024'!$L$4="CA",'2024'!$L$2=U309),'2024DATA'!$F$15,"")</f>
        <v/>
      </c>
      <c r="V322" s="518" t="str">
        <f>IF(AND(_A="B-767-300",'2024'!$L$4="CA",'2024'!$L$2=V309),'2024DATA'!$G$15,"")</f>
        <v/>
      </c>
      <c r="W322" s="518" t="str">
        <f>IF(AND(_A="B-767-300",'2024'!$L$4="CA",'2024'!$L$2=W309),'2024DATA'!$H$15,"")</f>
        <v/>
      </c>
      <c r="X322" s="518" t="str">
        <f>IF(AND(_A="B-767-300",'2024'!$L$4="CA",'2024'!$L$2=X309),'2024DATA'!$I$15,"")</f>
        <v/>
      </c>
      <c r="Y322" s="518" t="str">
        <f>IF(AND(_A="B-767-300",'2024'!$L$4="CA",'2024'!$L$2=Y309),'2024DATA'!$J$15,"")</f>
        <v/>
      </c>
      <c r="Z322" s="518" t="str">
        <f>IF(AND(_A="B-767-300",'2024'!$L$4="CA",'2024'!$L$2=Z309),'2024DATA'!$K$15,"")</f>
        <v/>
      </c>
      <c r="AA322" s="518" t="str">
        <f>IF(AND(_A="B-767-300",'2024'!$L$4="CA",'2024'!$L$2=AA309),'2024DATA'!$L$15,"")</f>
        <v/>
      </c>
      <c r="AB322" s="518" t="str">
        <f>IF(AND(_A="B-767-300",'2024'!$L$4="CA",'2024'!$L$2=AB309),'2024DATA'!$M$15,"")</f>
        <v/>
      </c>
      <c r="AC322" s="520" t="str">
        <f>IF(AND(_A="B-767-300",'2024'!$L$4="CA",'2024'!$L$2=AC309),'2024DATA'!$N$15,"")</f>
        <v/>
      </c>
      <c r="AD322" s="940" t="s">
        <v>67</v>
      </c>
      <c r="AE322" s="13" t="s">
        <v>61</v>
      </c>
      <c r="AF322" s="518" t="str">
        <f>IF(AND(_B="B-767-300",'2024'!$L$4="CA",'2024'!$L$2=AF309),'2024DATA'!$C$15,"")</f>
        <v/>
      </c>
      <c r="AG322" s="518" t="str">
        <f>IF(AND(_B="B-767-300",'2024'!$L$4="CA",'2024'!$L$2=AG309),'2024DATA'!$D$15,"")</f>
        <v/>
      </c>
      <c r="AH322" s="518" t="str">
        <f>IF(AND(_B="B-767-300",'2024'!$L$4="CA",'2024'!$L$2=AH309),'2024DATA'!$E$15,"")</f>
        <v/>
      </c>
      <c r="AI322" s="518" t="str">
        <f>IF(AND(_B="B-767-300",'2024'!$L$4="CA",'2024'!$L$2=AI309),'2024DATA'!$F$15,"")</f>
        <v/>
      </c>
      <c r="AJ322" s="518" t="str">
        <f>IF(AND(_B="B-767-300",'2024'!$L$4="CA",'2024'!$L$2=AJ309),'2024DATA'!$G$15,"")</f>
        <v/>
      </c>
      <c r="AK322" s="518" t="str">
        <f>IF(AND(_B="B-767-300",'2024'!$L$4="CA",'2024'!$L$2=AK309),'2024DATA'!$H$15,"")</f>
        <v/>
      </c>
      <c r="AL322" s="518" t="str">
        <f>IF(AND(_B="B-767-300",'2024'!$L$4="CA",'2024'!$L$2=AL309),'2024DATA'!$I$15,"")</f>
        <v/>
      </c>
      <c r="AM322" s="518" t="str">
        <f>IF(AND(_B="B-767-300",'2024'!$L$4="CA",'2024'!$L$2=AM309),'2024DATA'!$J$15,"")</f>
        <v/>
      </c>
      <c r="AN322" s="518" t="str">
        <f>IF(AND(_B="B-767-300",'2024'!$L$4="CA",'2024'!$L$2=AN309),'2024DATA'!$K$15,"")</f>
        <v/>
      </c>
      <c r="AO322" s="518" t="str">
        <f>IF(AND(_B="B-767-300",'2024'!$L$4="CA",'2024'!$L$2=AO309),'2024DATA'!$L$15,"")</f>
        <v/>
      </c>
      <c r="AP322" s="518" t="str">
        <f>IF(AND(_B="B-767-300",'2024'!$L$4="CA",'2024'!$L$2=AP309),'2024DATA'!$M$15,"")</f>
        <v/>
      </c>
      <c r="AQ322" s="520" t="str">
        <f>IF(AND(_B="B-767-300",'2024'!$L$4="CA",'2024'!$L$2=AQ309),'2024DATA'!$N$15,"")</f>
        <v/>
      </c>
      <c r="AR322" s="940" t="s">
        <v>67</v>
      </c>
      <c r="AS322" s="13" t="s">
        <v>61</v>
      </c>
      <c r="AT322" s="518" t="str">
        <f>IF(AND(_C="B-767-300",'2024'!$L$4="CA",'2024'!$L$2=AT309),'2024DATA'!$C$15,"")</f>
        <v/>
      </c>
      <c r="AU322" s="518" t="str">
        <f>IF(AND(_C="B-767-300",'2024'!$L$4="CA",'2024'!$L$2=AU309),'2024DATA'!$D$15,"")</f>
        <v/>
      </c>
      <c r="AV322" s="518" t="str">
        <f>IF(AND(_C="B-767-300",'2024'!$L$4="CA",'2024'!$L$2=AV309),'2024DATA'!$E$15,"")</f>
        <v/>
      </c>
      <c r="AW322" s="518" t="str">
        <f>IF(AND(_C="B-767-300",'2024'!$L$4="CA",'2024'!$L$2=AW309),'2024DATA'!$F$15,"")</f>
        <v/>
      </c>
      <c r="AX322" s="518" t="str">
        <f>IF(AND(_C="B-767-300",'2024'!$L$4="CA",'2024'!$L$2=AX309),'2024DATA'!$G$15,"")</f>
        <v/>
      </c>
      <c r="AY322" s="518" t="str">
        <f>IF(AND(_C="B-767-300",'2024'!$L$4="CA",'2024'!$L$2=AY309),'2024DATA'!$H$15,"")</f>
        <v/>
      </c>
      <c r="AZ322" s="518" t="str">
        <f>IF(AND(_C="B-767-300",'2024'!$L$4="CA",'2024'!$L$2=AZ309),'2024DATA'!$I$15,"")</f>
        <v/>
      </c>
      <c r="BA322" s="518" t="str">
        <f>IF(AND(_C="B-767-300",'2024'!$L$4="CA",'2024'!$L$2=BA309),'2024DATA'!$J$15,"")</f>
        <v/>
      </c>
      <c r="BB322" s="518" t="str">
        <f>IF(AND(_C="B-767-300",'2024'!$L$4="CA",'2024'!$L$2=BB309),'2024DATA'!$K$15,"")</f>
        <v/>
      </c>
      <c r="BC322" s="518" t="str">
        <f>IF(AND(_C="B-767-300",'2024'!$L$4="CA",'2024'!$L$2=BC309),'2024DATA'!$L$15,"")</f>
        <v/>
      </c>
      <c r="BD322" s="518" t="str">
        <f>IF(AND(_C="B-767-300",'2024'!$L$4="CA",'2024'!$L$2=BD309),'2024DATA'!$M$15,"")</f>
        <v/>
      </c>
      <c r="BE322" s="520" t="str">
        <f>IF(AND(_C="B-767-300",'2024'!$L$4="CA",'2024'!$L$2=BE309),'2024DATA'!$N$15,"")</f>
        <v/>
      </c>
      <c r="BF322" s="940" t="s">
        <v>67</v>
      </c>
      <c r="BG322" s="13" t="s">
        <v>61</v>
      </c>
      <c r="BH322" s="518" t="str">
        <f>IF(AND(_D="B-767-300",'2024'!$L$4="CA",'2024'!$L$2=BH309),'2024DATA'!$C$15,"")</f>
        <v/>
      </c>
      <c r="BI322" s="518" t="str">
        <f>IF(AND(_D="B-767-300",'2024'!$L$4="CA",'2024'!$L$2=BI309),'2024DATA'!$D$15,"")</f>
        <v/>
      </c>
      <c r="BJ322" s="518" t="str">
        <f>IF(AND(_D="B-767-300",'2024'!$L$4="CA",'2024'!$L$2=BJ309),'2024DATA'!$E$15,"")</f>
        <v/>
      </c>
      <c r="BK322" s="518" t="str">
        <f>IF(AND(_D="B-767-300",'2024'!$L$4="CA",'2024'!$L$2=BK309),'2024DATA'!$F$15,"")</f>
        <v/>
      </c>
      <c r="BL322" s="518" t="str">
        <f>IF(AND(_D="B-767-300",'2024'!$L$4="CA",'2024'!$L$2=BL309),'2024DATA'!$G$15,"")</f>
        <v/>
      </c>
      <c r="BM322" s="518" t="str">
        <f>IF(AND(_D="B-767-300",'2024'!$L$4="CA",'2024'!$L$2=BM309),'2024DATA'!$H$15,"")</f>
        <v/>
      </c>
      <c r="BN322" s="518" t="str">
        <f>IF(AND(_D="B-767-300",'2024'!$L$4="CA",'2024'!$L$2=BN309),'2024DATA'!$I$15,"")</f>
        <v/>
      </c>
      <c r="BO322" s="518" t="str">
        <f>IF(AND(_D="B-767-300",'2024'!$L$4="CA",'2024'!$L$2=BO309),'2024DATA'!$J$15,"")</f>
        <v/>
      </c>
      <c r="BP322" s="518" t="str">
        <f>IF(AND(_D="B-767-300",'2024'!$L$4="CA",'2024'!$L$2=BP309),'2024DATA'!$K$15,"")</f>
        <v/>
      </c>
      <c r="BQ322" s="518" t="str">
        <f>IF(AND(_D="B-767-300",'2024'!$L$4="CA",'2024'!$L$2=BQ309),'2024DATA'!$L$15,"")</f>
        <v/>
      </c>
      <c r="BR322" s="518" t="str">
        <f>IF(AND(_D="B-767-300",'2024'!$L$4="CA",'2024'!$L$2=BR309),'2024DATA'!$M$15,"")</f>
        <v/>
      </c>
      <c r="BS322" s="520" t="str">
        <f>IF(AND(_D="B-767-300",'2024'!$L$4="CA",'2024'!$L$2=BS309),'2024DATA'!$N$15,"")</f>
        <v/>
      </c>
      <c r="BT322" s="940" t="s">
        <v>67</v>
      </c>
      <c r="BU322" s="13" t="s">
        <v>61</v>
      </c>
      <c r="BV322" s="518" t="str">
        <f>IF(AND(_E="B-767-300",'2024'!$L$4="CA",'2024'!$L$2=BV309),'2024DATA'!$C$15,"")</f>
        <v/>
      </c>
      <c r="BW322" s="518" t="str">
        <f>IF(AND(_E="B-767-300",'2024'!$L$4="CA",'2024'!$L$2=BW309),'2024DATA'!$D$15,"")</f>
        <v/>
      </c>
      <c r="BX322" s="518" t="str">
        <f>IF(AND(_E="B-767-300",'2024'!$L$4="CA",'2024'!$L$2=BX309),'2024DATA'!$E$15,"")</f>
        <v/>
      </c>
      <c r="BY322" s="518" t="str">
        <f>IF(AND(_E="B-767-300",'2024'!$L$4="CA",'2024'!$L$2=BY309),'2024DATA'!$F$15,"")</f>
        <v/>
      </c>
      <c r="BZ322" s="518" t="str">
        <f>IF(AND(_E="B-767-300",'2024'!$L$4="CA",'2024'!$L$2=BZ309),'2024DATA'!$G$15,"")</f>
        <v/>
      </c>
      <c r="CA322" s="518" t="str">
        <f>IF(AND(_E="B-767-300",'2024'!$L$4="CA",'2024'!$L$2=CA309),'2024DATA'!$H$15,"")</f>
        <v/>
      </c>
      <c r="CB322" s="518" t="str">
        <f>IF(AND(_E="B-767-300",'2024'!$L$4="CA",'2024'!$L$2=CB309),'2024DATA'!$I$15,"")</f>
        <v/>
      </c>
      <c r="CC322" s="518" t="str">
        <f>IF(AND(_E="B-767-300",'2024'!$L$4="CA",'2024'!$L$2=CC309),'2024DATA'!$J$15,"")</f>
        <v/>
      </c>
      <c r="CD322" s="518" t="str">
        <f>IF(AND(_E="B-767-300",'2024'!$L$4="CA",'2024'!$L$2=CD309),'2024DATA'!$K$15,"")</f>
        <v/>
      </c>
      <c r="CE322" s="518" t="str">
        <f>IF(AND(_E="B-767-300",'2024'!$L$4="CA",'2024'!$L$2=CE309),'2024DATA'!$L$15,"")</f>
        <v/>
      </c>
      <c r="CF322" s="518" t="str">
        <f>IF(AND(_E="B-767-300",'2024'!$L$4="CA",'2024'!$L$2=CF309),'2024DATA'!$M$15,"")</f>
        <v/>
      </c>
      <c r="CG322" s="520" t="str">
        <f>IF(AND(_E="B-767-300",'2024'!$L$4="CA",'2024'!$L$2=CG309),'2024DATA'!$N$15,"")</f>
        <v/>
      </c>
      <c r="CH322" s="940" t="s">
        <v>67</v>
      </c>
      <c r="CI322" s="13" t="s">
        <v>61</v>
      </c>
      <c r="CJ322" s="518" t="str">
        <f>IF(AND(_F="B-767-300",'2024'!$L$4="CA",'2024'!$L$2=CJ309),'2024DATA'!$C$15,"")</f>
        <v/>
      </c>
      <c r="CK322" s="518" t="str">
        <f>IF(AND(_F="B-767-300",'2024'!$L$4="CA",'2024'!$L$2=CK309),'2024DATA'!$D$15,"")</f>
        <v/>
      </c>
      <c r="CL322" s="518" t="str">
        <f>IF(AND(_F="B-767-300",'2024'!$L$4="CA",'2024'!$L$2=CL309),'2024DATA'!$E$15,"")</f>
        <v/>
      </c>
      <c r="CM322" s="518" t="str">
        <f>IF(AND(_F="B-767-300",'2024'!$L$4="CA",'2024'!$L$2=CM309),'2024DATA'!$F$15,"")</f>
        <v/>
      </c>
      <c r="CN322" s="518" t="str">
        <f>IF(AND(_F="B-767-300",'2024'!$L$4="CA",'2024'!$L$2=CN309),'2024DATA'!$G$15,"")</f>
        <v/>
      </c>
      <c r="CO322" s="518" t="str">
        <f>IF(AND(_F="B-767-300",'2024'!$L$4="CA",'2024'!$L$2=CO309),'2024DATA'!$H$15,"")</f>
        <v/>
      </c>
      <c r="CP322" s="518" t="str">
        <f>IF(AND(_F="B-767-300",'2024'!$L$4="CA",'2024'!$L$2=CP309),'2024DATA'!$I$15,"")</f>
        <v/>
      </c>
      <c r="CQ322" s="518" t="str">
        <f>IF(AND(_F="B-767-300",'2024'!$L$4="CA",'2024'!$L$2=CQ309),'2024DATA'!$J$15,"")</f>
        <v/>
      </c>
      <c r="CR322" s="518" t="str">
        <f>IF(AND(_F="B-767-300",'2024'!$L$4="CA",'2024'!$L$2=CR309),'2024DATA'!$K$15,"")</f>
        <v/>
      </c>
      <c r="CS322" s="518" t="str">
        <f>IF(AND(_F="B-767-300",'2024'!$L$4="CA",'2024'!$L$2=CS309),'2024DATA'!$L$15,"")</f>
        <v/>
      </c>
      <c r="CT322" s="518" t="str">
        <f>IF(AND(_F="B-767-300",'2024'!$L$4="CA",'2024'!$L$2=CT309),'2024DATA'!$M$15,"")</f>
        <v/>
      </c>
      <c r="CU322" s="520" t="str">
        <f>IF(AND(_F="B-767-300",'2024'!$L$4="CA",'2024'!$L$2=CU309),'2024DATA'!$N$15,"")</f>
        <v/>
      </c>
    </row>
    <row r="323" spans="16:99" x14ac:dyDescent="0.25">
      <c r="P323" s="940"/>
      <c r="Q323" s="13" t="s">
        <v>62</v>
      </c>
      <c r="R323" s="518" t="str">
        <f>IF(AND(_A="B-767-300",'2024'!$L$4="FO",'2024'!$L$2=R309),'2024DATA'!$C$16,"")</f>
        <v/>
      </c>
      <c r="S323" s="518" t="str">
        <f>IF(AND(_A="B-767-300",'2024'!$L$4="FO",'2024'!$L$2=S309),'2024DATA'!$D$16,"")</f>
        <v/>
      </c>
      <c r="T323" s="518" t="str">
        <f>IF(AND(_A="B-767-300",'2024'!$L$4="FO",'2024'!$L$2=T309),'2024DATA'!$E$16,"")</f>
        <v/>
      </c>
      <c r="U323" s="518" t="str">
        <f>IF(AND(_A="B-767-300",'2024'!$L$4="FO",'2024'!$L$2=U309),'2024DATA'!$F$16,"")</f>
        <v/>
      </c>
      <c r="V323" s="518" t="str">
        <f>IF(AND(_A="B-767-300",'2024'!$L$4="FO",'2024'!$L$2=V309),'2024DATA'!$G$16,"")</f>
        <v/>
      </c>
      <c r="W323" s="518" t="str">
        <f>IF(AND(_A="B-767-300",'2024'!$L$4="FO",'2024'!$L$2=W309),'2024DATA'!$H$16,"")</f>
        <v/>
      </c>
      <c r="X323" s="518" t="str">
        <f>IF(AND(_A="B-767-300",'2024'!$L$4="FO",'2024'!$L$2=X309),'2024DATA'!$I$16,"")</f>
        <v/>
      </c>
      <c r="Y323" s="518" t="str">
        <f>IF(AND(_A="B-767-300",'2024'!$L$4="FO",'2024'!$L$2=Y309),'2024DATA'!$J$16,"")</f>
        <v/>
      </c>
      <c r="Z323" s="518" t="str">
        <f>IF(AND(_A="B-767-300",'2024'!$L$4="FO",'2024'!$L$2=Z309),'2024DATA'!$K$16,"")</f>
        <v/>
      </c>
      <c r="AA323" s="518" t="str">
        <f>IF(AND(_A="B-767-300",'2024'!$L$4="FO",'2024'!$L$2=AA309),'2024DATA'!$L$16,"")</f>
        <v/>
      </c>
      <c r="AB323" s="518" t="str">
        <f>IF(AND(_A="B-767-300",'2024'!$L$4="FO",'2024'!$L$2=AB309),'2024DATA'!$M$16,"")</f>
        <v/>
      </c>
      <c r="AC323" s="520" t="str">
        <f>IF(AND(_A="B-767-300",'2024'!$L$4="FO",'2024'!$L$2=AC309),'2024DATA'!$N$16,"")</f>
        <v/>
      </c>
      <c r="AD323" s="940"/>
      <c r="AE323" s="13" t="s">
        <v>62</v>
      </c>
      <c r="AF323" s="518" t="str">
        <f>IF(AND(_B="B-767-300",'2024'!$L$4="FO",'2024'!$L$2=AF309),'2024DATA'!$C$16,"")</f>
        <v/>
      </c>
      <c r="AG323" s="518" t="str">
        <f>IF(AND(_B="B-767-300",'2024'!$L$4="FO",'2024'!$L$2=AG309),'2024DATA'!$D$16,"")</f>
        <v/>
      </c>
      <c r="AH323" s="518" t="str">
        <f>IF(AND(_B="B-767-300",'2024'!$L$4="FO",'2024'!$L$2=AH309),'2024DATA'!$E$16,"")</f>
        <v/>
      </c>
      <c r="AI323" s="518" t="str">
        <f>IF(AND(_B="B-767-300",'2024'!$L$4="FO",'2024'!$L$2=AI309),'2024DATA'!$F$16,"")</f>
        <v/>
      </c>
      <c r="AJ323" s="518" t="str">
        <f>IF(AND(_B="B-767-300",'2024'!$L$4="FO",'2024'!$L$2=AJ309),'2024DATA'!$G$16,"")</f>
        <v/>
      </c>
      <c r="AK323" s="518" t="str">
        <f>IF(AND(_B="B-767-300",'2024'!$L$4="FO",'2024'!$L$2=AK309),'2024DATA'!$H$16,"")</f>
        <v/>
      </c>
      <c r="AL323" s="518" t="str">
        <f>IF(AND(_B="B-767-300",'2024'!$L$4="FO",'2024'!$L$2=AL309),'2024DATA'!$I$16,"")</f>
        <v/>
      </c>
      <c r="AM323" s="518" t="str">
        <f>IF(AND(_B="B-767-300",'2024'!$L$4="FO",'2024'!$L$2=AM309),'2024DATA'!$J$16,"")</f>
        <v/>
      </c>
      <c r="AN323" s="518" t="str">
        <f>IF(AND(_B="B-767-300",'2024'!$L$4="FO",'2024'!$L$2=AN309),'2024DATA'!$K$16,"")</f>
        <v/>
      </c>
      <c r="AO323" s="518" t="str">
        <f>IF(AND(_B="B-767-300",'2024'!$L$4="FO",'2024'!$L$2=AO309),'2024DATA'!$L$16,"")</f>
        <v/>
      </c>
      <c r="AP323" s="518" t="str">
        <f>IF(AND(_B="B-767-300",'2024'!$L$4="FO",'2024'!$L$2=AP309),'2024DATA'!$M$16,"")</f>
        <v/>
      </c>
      <c r="AQ323" s="520" t="str">
        <f>IF(AND(_B="B-767-300",'2024'!$L$4="FO",'2024'!$L$2=AQ309),'2024DATA'!$N$16,"")</f>
        <v/>
      </c>
      <c r="AR323" s="940"/>
      <c r="AS323" s="13" t="s">
        <v>62</v>
      </c>
      <c r="AT323" s="518" t="str">
        <f>IF(AND(_C="B-767-300",'2024'!$L$4="FO",'2024'!$L$2=AT309),'2024DATA'!$C$16,"")</f>
        <v/>
      </c>
      <c r="AU323" s="518" t="str">
        <f>IF(AND(_C="B-767-300",'2024'!$L$4="FO",'2024'!$L$2=AU309),'2024DATA'!$D$16,"")</f>
        <v/>
      </c>
      <c r="AV323" s="518" t="str">
        <f>IF(AND(_C="B-767-300",'2024'!$L$4="FO",'2024'!$L$2=AV309),'2024DATA'!$E$16,"")</f>
        <v/>
      </c>
      <c r="AW323" s="518" t="str">
        <f>IF(AND(_C="B-767-300",'2024'!$L$4="FO",'2024'!$L$2=AW309),'2024DATA'!$F$16,"")</f>
        <v/>
      </c>
      <c r="AX323" s="518" t="str">
        <f>IF(AND(_C="B-767-300",'2024'!$L$4="FO",'2024'!$L$2=AX309),'2024DATA'!$G$16,"")</f>
        <v/>
      </c>
      <c r="AY323" s="518" t="str">
        <f>IF(AND(_C="B-767-300",'2024'!$L$4="FO",'2024'!$L$2=AY309),'2024DATA'!$H$16,"")</f>
        <v/>
      </c>
      <c r="AZ323" s="518" t="str">
        <f>IF(AND(_C="B-767-300",'2024'!$L$4="FO",'2024'!$L$2=AZ309),'2024DATA'!$I$16,"")</f>
        <v/>
      </c>
      <c r="BA323" s="518" t="str">
        <f>IF(AND(_C="B-767-300",'2024'!$L$4="FO",'2024'!$L$2=BA309),'2024DATA'!$J$16,"")</f>
        <v/>
      </c>
      <c r="BB323" s="518" t="str">
        <f>IF(AND(_C="B-767-300",'2024'!$L$4="FO",'2024'!$L$2=BB309),'2024DATA'!$K$16,"")</f>
        <v/>
      </c>
      <c r="BC323" s="518" t="str">
        <f>IF(AND(_C="B-767-300",'2024'!$L$4="FO",'2024'!$L$2=BC309),'2024DATA'!$L$16,"")</f>
        <v/>
      </c>
      <c r="BD323" s="518" t="str">
        <f>IF(AND(_C="B-767-300",'2024'!$L$4="FO",'2024'!$L$2=BD309),'2024DATA'!$M$16,"")</f>
        <v/>
      </c>
      <c r="BE323" s="520" t="str">
        <f>IF(AND(_C="B-767-300",'2024'!$L$4="FO",'2024'!$L$2=BE309),'2024DATA'!$N$16,"")</f>
        <v/>
      </c>
      <c r="BF323" s="940"/>
      <c r="BG323" s="13" t="s">
        <v>62</v>
      </c>
      <c r="BH323" s="518" t="str">
        <f>IF(AND(_D="B-767-300",'2024'!$L$4="FO",'2024'!$L$2=BH309),'2024DATA'!$C$16,"")</f>
        <v/>
      </c>
      <c r="BI323" s="518" t="str">
        <f>IF(AND(_D="B-767-300",'2024'!$L$4="FO",'2024'!$L$2=BI309),'2024DATA'!$D$16,"")</f>
        <v/>
      </c>
      <c r="BJ323" s="518" t="str">
        <f>IF(AND(_D="B-767-300",'2024'!$L$4="FO",'2024'!$L$2=BJ309),'2024DATA'!$E$16,"")</f>
        <v/>
      </c>
      <c r="BK323" s="518" t="str">
        <f>IF(AND(_D="B-767-300",'2024'!$L$4="FO",'2024'!$L$2=BK309),'2024DATA'!$F$16,"")</f>
        <v/>
      </c>
      <c r="BL323" s="518" t="str">
        <f>IF(AND(_D="B-767-300",'2024'!$L$4="FO",'2024'!$L$2=BL309),'2024DATA'!$G$16,"")</f>
        <v/>
      </c>
      <c r="BM323" s="518" t="str">
        <f>IF(AND(_D="B-767-300",'2024'!$L$4="FO",'2024'!$L$2=BM309),'2024DATA'!$H$16,"")</f>
        <v/>
      </c>
      <c r="BN323" s="518" t="str">
        <f>IF(AND(_D="B-767-300",'2024'!$L$4="FO",'2024'!$L$2=BN309),'2024DATA'!$I$16,"")</f>
        <v/>
      </c>
      <c r="BO323" s="518" t="str">
        <f>IF(AND(_D="B-767-300",'2024'!$L$4="FO",'2024'!$L$2=BO309),'2024DATA'!$J$16,"")</f>
        <v/>
      </c>
      <c r="BP323" s="518" t="str">
        <f>IF(AND(_D="B-767-300",'2024'!$L$4="FO",'2024'!$L$2=BP309),'2024DATA'!$K$16,"")</f>
        <v/>
      </c>
      <c r="BQ323" s="518" t="str">
        <f>IF(AND(_D="B-767-300",'2024'!$L$4="FO",'2024'!$L$2=BQ309),'2024DATA'!$L$16,"")</f>
        <v/>
      </c>
      <c r="BR323" s="518" t="str">
        <f>IF(AND(_D="B-767-300",'2024'!$L$4="FO",'2024'!$L$2=BR309),'2024DATA'!$M$16,"")</f>
        <v/>
      </c>
      <c r="BS323" s="520" t="str">
        <f>IF(AND(_D="B-767-300",'2024'!$L$4="FO",'2024'!$L$2=BS309),'2024DATA'!$N$16,"")</f>
        <v/>
      </c>
      <c r="BT323" s="940"/>
      <c r="BU323" s="13" t="s">
        <v>62</v>
      </c>
      <c r="BV323" s="518" t="str">
        <f>IF(AND(_E="B-767-300",'2024'!$L$4="FO",'2024'!$L$2=BV309),'2024DATA'!$C$16,"")</f>
        <v/>
      </c>
      <c r="BW323" s="518" t="str">
        <f>IF(AND(_E="B-767-300",'2024'!$L$4="FO",'2024'!$L$2=BW309),'2024DATA'!$D$16,"")</f>
        <v/>
      </c>
      <c r="BX323" s="518" t="str">
        <f>IF(AND(_E="B-767-300",'2024'!$L$4="FO",'2024'!$L$2=BX309),'2024DATA'!$E$16,"")</f>
        <v/>
      </c>
      <c r="BY323" s="518" t="str">
        <f>IF(AND(_E="B-767-300",'2024'!$L$4="FO",'2024'!$L$2=BY309),'2024DATA'!$F$16,"")</f>
        <v/>
      </c>
      <c r="BZ323" s="518" t="str">
        <f>IF(AND(_E="B-767-300",'2024'!$L$4="FO",'2024'!$L$2=BZ309),'2024DATA'!$G$16,"")</f>
        <v/>
      </c>
      <c r="CA323" s="518" t="str">
        <f>IF(AND(_E="B-767-300",'2024'!$L$4="FO",'2024'!$L$2=CA309),'2024DATA'!$H$16,"")</f>
        <v/>
      </c>
      <c r="CB323" s="518" t="str">
        <f>IF(AND(_E="B-767-300",'2024'!$L$4="FO",'2024'!$L$2=CB309),'2024DATA'!$I$16,"")</f>
        <v/>
      </c>
      <c r="CC323" s="518" t="str">
        <f>IF(AND(_E="B-767-300",'2024'!$L$4="FO",'2024'!$L$2=CC309),'2024DATA'!$J$16,"")</f>
        <v/>
      </c>
      <c r="CD323" s="518" t="str">
        <f>IF(AND(_E="B-767-300",'2024'!$L$4="FO",'2024'!$L$2=CD309),'2024DATA'!$K$16,"")</f>
        <v/>
      </c>
      <c r="CE323" s="518" t="str">
        <f>IF(AND(_E="B-767-300",'2024'!$L$4="FO",'2024'!$L$2=CE309),'2024DATA'!$L$16,"")</f>
        <v/>
      </c>
      <c r="CF323" s="518" t="str">
        <f>IF(AND(_E="B-767-300",'2024'!$L$4="FO",'2024'!$L$2=CF309),'2024DATA'!$M$16,"")</f>
        <v/>
      </c>
      <c r="CG323" s="520" t="str">
        <f>IF(AND(_E="B-767-300",'2024'!$L$4="FO",'2024'!$L$2=CG309),'2024DATA'!$N$16,"")</f>
        <v/>
      </c>
      <c r="CH323" s="940"/>
      <c r="CI323" s="13" t="s">
        <v>62</v>
      </c>
      <c r="CJ323" s="518" t="str">
        <f>IF(AND(_F="B-767-300",'2024'!$L$4="FO",'2024'!$L$2=CJ309),'2024DATA'!$C$16,"")</f>
        <v/>
      </c>
      <c r="CK323" s="518" t="str">
        <f>IF(AND(_F="B-767-300",'2024'!$L$4="FO",'2024'!$L$2=CK309),'2024DATA'!$D$16,"")</f>
        <v/>
      </c>
      <c r="CL323" s="518" t="str">
        <f>IF(AND(_F="B-767-300",'2024'!$L$4="FO",'2024'!$L$2=CL309),'2024DATA'!$E$16,"")</f>
        <v/>
      </c>
      <c r="CM323" s="518" t="str">
        <f>IF(AND(_F="B-767-300",'2024'!$L$4="FO",'2024'!$L$2=CM309),'2024DATA'!$F$16,"")</f>
        <v/>
      </c>
      <c r="CN323" s="518" t="str">
        <f>IF(AND(_F="B-767-300",'2024'!$L$4="FO",'2024'!$L$2=CN309),'2024DATA'!$G$16,"")</f>
        <v/>
      </c>
      <c r="CO323" s="518" t="str">
        <f>IF(AND(_F="B-767-300",'2024'!$L$4="FO",'2024'!$L$2=CO309),'2024DATA'!$H$16,"")</f>
        <v/>
      </c>
      <c r="CP323" s="518" t="str">
        <f>IF(AND(_F="B-767-300",'2024'!$L$4="FO",'2024'!$L$2=CP309),'2024DATA'!$I$16,"")</f>
        <v/>
      </c>
      <c r="CQ323" s="518" t="str">
        <f>IF(AND(_F="B-767-300",'2024'!$L$4="FO",'2024'!$L$2=CQ309),'2024DATA'!$J$16,"")</f>
        <v/>
      </c>
      <c r="CR323" s="518" t="str">
        <f>IF(AND(_F="B-767-300",'2024'!$L$4="FO",'2024'!$L$2=CR309),'2024DATA'!$K$16,"")</f>
        <v/>
      </c>
      <c r="CS323" s="518" t="str">
        <f>IF(AND(_F="B-767-300",'2024'!$L$4="FO",'2024'!$L$2=CS309),'2024DATA'!$L$16,"")</f>
        <v/>
      </c>
      <c r="CT323" s="518" t="str">
        <f>IF(AND(_F="B-767-300",'2024'!$L$4="FO",'2024'!$L$2=CT309),'2024DATA'!$M$16,"")</f>
        <v/>
      </c>
      <c r="CU323" s="520" t="str">
        <f>IF(AND(_F="B-767-300",'2024'!$L$4="FO",'2024'!$L$2=CU309),'2024DATA'!$N$16,"")</f>
        <v/>
      </c>
    </row>
    <row r="324" spans="16:99" x14ac:dyDescent="0.25">
      <c r="P324" s="940" t="s">
        <v>68</v>
      </c>
      <c r="Q324" s="13" t="s">
        <v>61</v>
      </c>
      <c r="R324" s="518" t="str">
        <f>IF(AND(_A="B-767-200",'2024'!$L$4="CA",'2024'!$L$2=R309),'2024DATA'!$C$17,"")</f>
        <v/>
      </c>
      <c r="S324" s="518" t="str">
        <f>IF(AND(_A="B-767-200",'2024'!$L$4="CA",'2024'!$L$2=S309),'2024DATA'!$D$17,"")</f>
        <v/>
      </c>
      <c r="T324" s="518" t="str">
        <f>IF(AND(_A="B-767-200",'2024'!$L$4="CA",'2024'!$L$2=T309),'2024DATA'!$E$17,"")</f>
        <v/>
      </c>
      <c r="U324" s="518" t="str">
        <f>IF(AND(_A="B-767-200",'2024'!$L$4="CA",'2024'!$L$2=U309),'2024DATA'!$F$17,"")</f>
        <v/>
      </c>
      <c r="V324" s="518" t="str">
        <f>IF(AND(_A="B-767-200",'2024'!$L$4="CA",'2024'!$L$2=V309),'2024DATA'!$G$17,"")</f>
        <v/>
      </c>
      <c r="W324" s="518" t="str">
        <f>IF(AND(_A="B-767-200",'2024'!$L$4="CA",'2024'!$L$2=W309),'2024DATA'!$H$17,"")</f>
        <v/>
      </c>
      <c r="X324" s="518" t="str">
        <f>IF(AND(_A="B-767-200",'2024'!$L$4="CA",'2024'!$L$2=X309),'2024DATA'!$I$17,"")</f>
        <v/>
      </c>
      <c r="Y324" s="518" t="str">
        <f>IF(AND(_A="B-767-200",'2024'!$L$4="CA",'2024'!$L$2=Y309),'2024DATA'!$J$17,"")</f>
        <v/>
      </c>
      <c r="Z324" s="518" t="str">
        <f>IF(AND(_A="B-767-200",'2024'!$L$4="CA",'2024'!$L$2=Z309),'2024DATA'!$K$17,"")</f>
        <v/>
      </c>
      <c r="AA324" s="518" t="str">
        <f>IF(AND(_A="B-767-200",'2024'!$L$4="CA",'2024'!$L$2=AA309),'2024DATA'!$L$17,"")</f>
        <v/>
      </c>
      <c r="AB324" s="518" t="str">
        <f>IF(AND(_A="B-767-200",'2024'!$L$4="CA",'2024'!$L$2=AB309),'2024DATA'!$M$17,"")</f>
        <v/>
      </c>
      <c r="AC324" s="520" t="str">
        <f>IF(AND(_A="B-767-200",'2024'!$L$4="CA",'2024'!$L$2=AC309),'2024DATA'!$N$17,"")</f>
        <v/>
      </c>
      <c r="AD324" s="940" t="s">
        <v>68</v>
      </c>
      <c r="AE324" s="13" t="s">
        <v>61</v>
      </c>
      <c r="AF324" s="518" t="str">
        <f>IF(AND(_B="B-767-200",'2024'!$L$4="CA",'2024'!$L$2=AF309),'2024DATA'!$C$17,"")</f>
        <v/>
      </c>
      <c r="AG324" s="518" t="str">
        <f>IF(AND(_B="B-767-200",'2024'!$L$4="CA",'2024'!$L$2=AG309),'2024DATA'!$D$17,"")</f>
        <v/>
      </c>
      <c r="AH324" s="518" t="str">
        <f>IF(AND(_B="B-767-200",'2024'!$L$4="CA",'2024'!$L$2=AH309),'2024DATA'!$E$17,"")</f>
        <v/>
      </c>
      <c r="AI324" s="518" t="str">
        <f>IF(AND(_B="B-767-200",'2024'!$L$4="CA",'2024'!$L$2=AI309),'2024DATA'!$F$17,"")</f>
        <v/>
      </c>
      <c r="AJ324" s="518" t="str">
        <f>IF(AND(_B="B-767-200",'2024'!$L$4="CA",'2024'!$L$2=AJ309),'2024DATA'!$G$17,"")</f>
        <v/>
      </c>
      <c r="AK324" s="518" t="str">
        <f>IF(AND(_B="B-767-200",'2024'!$L$4="CA",'2024'!$L$2=AK309),'2024DATA'!$H$17,"")</f>
        <v/>
      </c>
      <c r="AL324" s="518" t="str">
        <f>IF(AND(_B="B-767-200",'2024'!$L$4="CA",'2024'!$L$2=AL309),'2024DATA'!$I$17,"")</f>
        <v/>
      </c>
      <c r="AM324" s="518" t="str">
        <f>IF(AND(_B="B-767-200",'2024'!$L$4="CA",'2024'!$L$2=AM309),'2024DATA'!$J$17,"")</f>
        <v/>
      </c>
      <c r="AN324" s="518" t="str">
        <f>IF(AND(_B="B-767-200",'2024'!$L$4="CA",'2024'!$L$2=AN309),'2024DATA'!$K$17,"")</f>
        <v/>
      </c>
      <c r="AO324" s="518" t="str">
        <f>IF(AND(_B="B-767-200",'2024'!$L$4="CA",'2024'!$L$2=AO309),'2024DATA'!$L$17,"")</f>
        <v/>
      </c>
      <c r="AP324" s="518" t="str">
        <f>IF(AND(_B="B-767-200",'2024'!$L$4="CA",'2024'!$L$2=AP309),'2024DATA'!$M$17,"")</f>
        <v/>
      </c>
      <c r="AQ324" s="520" t="str">
        <f>IF(AND(_B="B-767-200",'2024'!$L$4="CA",'2024'!$L$2=AQ309),'2024DATA'!$N$17,"")</f>
        <v/>
      </c>
      <c r="AR324" s="940" t="s">
        <v>68</v>
      </c>
      <c r="AS324" s="13" t="s">
        <v>61</v>
      </c>
      <c r="AT324" s="518" t="str">
        <f>IF(AND(_C="B-767-200",'2024'!$L$4="CA",'2024'!$L$2=AT309),'2024DATA'!$C$17,"")</f>
        <v/>
      </c>
      <c r="AU324" s="518" t="str">
        <f>IF(AND(_C="B-767-200",'2024'!$L$4="CA",'2024'!$L$2=AU309),'2024DATA'!$D$17,"")</f>
        <v/>
      </c>
      <c r="AV324" s="518" t="str">
        <f>IF(AND(_C="B-767-200",'2024'!$L$4="CA",'2024'!$L$2=AV309),'2024DATA'!$E$17,"")</f>
        <v/>
      </c>
      <c r="AW324" s="518" t="str">
        <f>IF(AND(_C="B-767-200",'2024'!$L$4="CA",'2024'!$L$2=AW309),'2024DATA'!$F$17,"")</f>
        <v/>
      </c>
      <c r="AX324" s="518" t="str">
        <f>IF(AND(_C="B-767-200",'2024'!$L$4="CA",'2024'!$L$2=AX309),'2024DATA'!$G$17,"")</f>
        <v/>
      </c>
      <c r="AY324" s="518" t="str">
        <f>IF(AND(_C="B-767-200",'2024'!$L$4="CA",'2024'!$L$2=AY309),'2024DATA'!$H$17,"")</f>
        <v/>
      </c>
      <c r="AZ324" s="518" t="str">
        <f>IF(AND(_C="B-767-200",'2024'!$L$4="CA",'2024'!$L$2=AZ309),'2024DATA'!$I$17,"")</f>
        <v/>
      </c>
      <c r="BA324" s="518" t="str">
        <f>IF(AND(_C="B-767-200",'2024'!$L$4="CA",'2024'!$L$2=BA309),'2024DATA'!$J$17,"")</f>
        <v/>
      </c>
      <c r="BB324" s="518" t="str">
        <f>IF(AND(_C="B-767-200",'2024'!$L$4="CA",'2024'!$L$2=BB309),'2024DATA'!$K$17,"")</f>
        <v/>
      </c>
      <c r="BC324" s="518" t="str">
        <f>IF(AND(_C="B-767-200",'2024'!$L$4="CA",'2024'!$L$2=BC309),'2024DATA'!$L$17,"")</f>
        <v/>
      </c>
      <c r="BD324" s="518" t="str">
        <f>IF(AND(_C="B-767-200",'2024'!$L$4="CA",'2024'!$L$2=BD309),'2024DATA'!$M$17,"")</f>
        <v/>
      </c>
      <c r="BE324" s="520" t="str">
        <f>IF(AND(_C="B-767-200",'2024'!$L$4="CA",'2024'!$L$2=BE309),'2024DATA'!$N$17,"")</f>
        <v/>
      </c>
      <c r="BF324" s="940" t="s">
        <v>68</v>
      </c>
      <c r="BG324" s="13" t="s">
        <v>61</v>
      </c>
      <c r="BH324" s="518" t="str">
        <f>IF(AND(_D="B-767-200",'2024'!$L$4="CA",'2024'!$L$2=BH309),'2024DATA'!$C$17,"")</f>
        <v/>
      </c>
      <c r="BI324" s="518" t="str">
        <f>IF(AND(_D="B-767-200",'2024'!$L$4="CA",'2024'!$L$2=BI309),'2024DATA'!$D$17,"")</f>
        <v/>
      </c>
      <c r="BJ324" s="518" t="str">
        <f>IF(AND(_D="B-767-200",'2024'!$L$4="CA",'2024'!$L$2=BJ309),'2024DATA'!$E$17,"")</f>
        <v/>
      </c>
      <c r="BK324" s="518" t="str">
        <f>IF(AND(_D="B-767-200",'2024'!$L$4="CA",'2024'!$L$2=BK309),'2024DATA'!$F$17,"")</f>
        <v/>
      </c>
      <c r="BL324" s="518" t="str">
        <f>IF(AND(_D="B-767-200",'2024'!$L$4="CA",'2024'!$L$2=BL309),'2024DATA'!$G$17,"")</f>
        <v/>
      </c>
      <c r="BM324" s="518" t="str">
        <f>IF(AND(_D="B-767-200",'2024'!$L$4="CA",'2024'!$L$2=BM309),'2024DATA'!$H$17,"")</f>
        <v/>
      </c>
      <c r="BN324" s="518" t="str">
        <f>IF(AND(_D="B-767-200",'2024'!$L$4="CA",'2024'!$L$2=BN309),'2024DATA'!$I$17,"")</f>
        <v/>
      </c>
      <c r="BO324" s="518" t="str">
        <f>IF(AND(_D="B-767-200",'2024'!$L$4="CA",'2024'!$L$2=BO309),'2024DATA'!$J$17,"")</f>
        <v/>
      </c>
      <c r="BP324" s="518" t="str">
        <f>IF(AND(_D="B-767-200",'2024'!$L$4="CA",'2024'!$L$2=BP309),'2024DATA'!$K$17,"")</f>
        <v/>
      </c>
      <c r="BQ324" s="518" t="str">
        <f>IF(AND(_D="B-767-200",'2024'!$L$4="CA",'2024'!$L$2=BQ309),'2024DATA'!$L$17,"")</f>
        <v/>
      </c>
      <c r="BR324" s="518" t="str">
        <f>IF(AND(_D="B-767-200",'2024'!$L$4="CA",'2024'!$L$2=BR309),'2024DATA'!$M$17,"")</f>
        <v/>
      </c>
      <c r="BS324" s="520" t="str">
        <f>IF(AND(_D="B-767-200",'2024'!$L$4="CA",'2024'!$L$2=BS309),'2024DATA'!$N$17,"")</f>
        <v/>
      </c>
      <c r="BT324" s="940" t="s">
        <v>68</v>
      </c>
      <c r="BU324" s="13" t="s">
        <v>61</v>
      </c>
      <c r="BV324" s="518" t="str">
        <f>IF(AND(_E="B-767-200",'2024'!$L$4="CA",'2024'!$L$2=BV309),'2024DATA'!$C$17,"")</f>
        <v/>
      </c>
      <c r="BW324" s="518" t="str">
        <f>IF(AND(_E="B-767-200",'2024'!$L$4="CA",'2024'!$L$2=BW309),'2024DATA'!$D$17,"")</f>
        <v/>
      </c>
      <c r="BX324" s="518" t="str">
        <f>IF(AND(_E="B-767-200",'2024'!$L$4="CA",'2024'!$L$2=BX309),'2024DATA'!$E$17,"")</f>
        <v/>
      </c>
      <c r="BY324" s="518" t="str">
        <f>IF(AND(_E="B-767-200",'2024'!$L$4="CA",'2024'!$L$2=BY309),'2024DATA'!$F$17,"")</f>
        <v/>
      </c>
      <c r="BZ324" s="518" t="str">
        <f>IF(AND(_E="B-767-200",'2024'!$L$4="CA",'2024'!$L$2=BZ309),'2024DATA'!$G$17,"")</f>
        <v/>
      </c>
      <c r="CA324" s="518" t="str">
        <f>IF(AND(_E="B-767-200",'2024'!$L$4="CA",'2024'!$L$2=CA309),'2024DATA'!$H$17,"")</f>
        <v/>
      </c>
      <c r="CB324" s="518" t="str">
        <f>IF(AND(_E="B-767-200",'2024'!$L$4="CA",'2024'!$L$2=CB309),'2024DATA'!$I$17,"")</f>
        <v/>
      </c>
      <c r="CC324" s="518" t="str">
        <f>IF(AND(_E="B-767-200",'2024'!$L$4="CA",'2024'!$L$2=CC309),'2024DATA'!$J$17,"")</f>
        <v/>
      </c>
      <c r="CD324" s="518" t="str">
        <f>IF(AND(_E="B-767-200",'2024'!$L$4="CA",'2024'!$L$2=CD309),'2024DATA'!$K$17,"")</f>
        <v/>
      </c>
      <c r="CE324" s="518" t="str">
        <f>IF(AND(_E="B-767-200",'2024'!$L$4="CA",'2024'!$L$2=CE309),'2024DATA'!$L$17,"")</f>
        <v/>
      </c>
      <c r="CF324" s="518" t="str">
        <f>IF(AND(_E="B-767-200",'2024'!$L$4="CA",'2024'!$L$2=CF309),'2024DATA'!$M$17,"")</f>
        <v/>
      </c>
      <c r="CG324" s="520" t="str">
        <f>IF(AND(_E="B-767-200",'2024'!$L$4="CA",'2024'!$L$2=CG309),'2024DATA'!$N$17,"")</f>
        <v/>
      </c>
      <c r="CH324" s="940" t="s">
        <v>68</v>
      </c>
      <c r="CI324" s="13" t="s">
        <v>61</v>
      </c>
      <c r="CJ324" s="518" t="str">
        <f>IF(AND(_F="B-767-200",'2024'!$L$4="CA",'2024'!$L$2=CJ309),'2024DATA'!$C$17,"")</f>
        <v/>
      </c>
      <c r="CK324" s="518" t="str">
        <f>IF(AND(_F="B-767-200",'2024'!$L$4="CA",'2024'!$L$2=CK309),'2024DATA'!$D$17,"")</f>
        <v/>
      </c>
      <c r="CL324" s="518" t="str">
        <f>IF(AND(_F="B-767-200",'2024'!$L$4="CA",'2024'!$L$2=CL309),'2024DATA'!$E$17,"")</f>
        <v/>
      </c>
      <c r="CM324" s="518" t="str">
        <f>IF(AND(_F="B-767-200",'2024'!$L$4="CA",'2024'!$L$2=CM309),'2024DATA'!$F$17,"")</f>
        <v/>
      </c>
      <c r="CN324" s="518" t="str">
        <f>IF(AND(_F="B-767-200",'2024'!$L$4="CA",'2024'!$L$2=CN309),'2024DATA'!$G$17,"")</f>
        <v/>
      </c>
      <c r="CO324" s="518" t="str">
        <f>IF(AND(_F="B-767-200",'2024'!$L$4="CA",'2024'!$L$2=CO309),'2024DATA'!$H$17,"")</f>
        <v/>
      </c>
      <c r="CP324" s="518" t="str">
        <f>IF(AND(_F="B-767-200",'2024'!$L$4="CA",'2024'!$L$2=CP309),'2024DATA'!$I$17,"")</f>
        <v/>
      </c>
      <c r="CQ324" s="518" t="str">
        <f>IF(AND(_F="B-767-200",'2024'!$L$4="CA",'2024'!$L$2=CQ309),'2024DATA'!$J$17,"")</f>
        <v/>
      </c>
      <c r="CR324" s="518" t="str">
        <f>IF(AND(_F="B-767-200",'2024'!$L$4="CA",'2024'!$L$2=CR309),'2024DATA'!$K$17,"")</f>
        <v/>
      </c>
      <c r="CS324" s="518" t="str">
        <f>IF(AND(_F="B-767-200",'2024'!$L$4="CA",'2024'!$L$2=CS309),'2024DATA'!$L$17,"")</f>
        <v/>
      </c>
      <c r="CT324" s="518" t="str">
        <f>IF(AND(_F="B-767-200",'2024'!$L$4="CA",'2024'!$L$2=CT309),'2024DATA'!$M$17,"")</f>
        <v/>
      </c>
      <c r="CU324" s="520" t="str">
        <f>IF(AND(_F="B-767-200",'2024'!$L$4="CA",'2024'!$L$2=CU309),'2024DATA'!$N$17,"")</f>
        <v/>
      </c>
    </row>
    <row r="325" spans="16:99" x14ac:dyDescent="0.25">
      <c r="P325" s="940"/>
      <c r="Q325" s="13" t="s">
        <v>62</v>
      </c>
      <c r="R325" s="518" t="str">
        <f>IF(AND(_A="B-767-200",'2024'!$L$4="FO",'2024'!$L$2=R309),'2024DATA'!$C$18,"")</f>
        <v/>
      </c>
      <c r="S325" s="518" t="str">
        <f>IF(AND(_A="B-767-200",'2024'!$L$4="FO",'2024'!$L$2=S309),'2024DATA'!$D$18,"")</f>
        <v/>
      </c>
      <c r="T325" s="518" t="str">
        <f>IF(AND(_A="B-767-200",'2024'!$L$4="FO",'2024'!$L$2=T309),'2024DATA'!$E$18,"")</f>
        <v/>
      </c>
      <c r="U325" s="518" t="str">
        <f>IF(AND(_A="B-767-200",'2024'!$L$4="FO",'2024'!$L$2=U309),'2024DATA'!$F$18,"")</f>
        <v/>
      </c>
      <c r="V325" s="518" t="str">
        <f>IF(AND(_A="B-767-200",'2024'!$L$4="FO",'2024'!$L$2=V309),'2024DATA'!$G$18,"")</f>
        <v/>
      </c>
      <c r="W325" s="518" t="str">
        <f>IF(AND(_A="B-767-200",'2024'!$L$4="FO",'2024'!$L$2=W309),'2024DATA'!$H$18,"")</f>
        <v/>
      </c>
      <c r="X325" s="518" t="str">
        <f>IF(AND(_A="B-767-200",'2024'!$L$4="FO",'2024'!$L$2=X309),'2024DATA'!$I$18,"")</f>
        <v/>
      </c>
      <c r="Y325" s="518" t="str">
        <f>IF(AND(_A="B-767-200",'2024'!$L$4="FO",'2024'!$L$2=Y309),'2024DATA'!$J$18,"")</f>
        <v/>
      </c>
      <c r="Z325" s="518" t="str">
        <f>IF(AND(_A="B-767-200",'2024'!$L$4="FO",'2024'!$L$2=Z309),'2024DATA'!$K$18,"")</f>
        <v/>
      </c>
      <c r="AA325" s="518" t="str">
        <f>IF(AND(_A="B-767-200",'2024'!$L$4="FO",'2024'!$L$2=AA309),'2024DATA'!$L$18,"")</f>
        <v/>
      </c>
      <c r="AB325" s="518" t="str">
        <f>IF(AND(_A="B-767-200",'2024'!$L$4="FO",'2024'!$L$2=AB309),'2024DATA'!$M$18,"")</f>
        <v/>
      </c>
      <c r="AC325" s="520" t="str">
        <f>IF(AND(_A="B-767-200",'2024'!$L$4="FO",'2024'!$L$2=AC309),'2024DATA'!$N$18,"")</f>
        <v/>
      </c>
      <c r="AD325" s="940"/>
      <c r="AE325" s="13" t="s">
        <v>62</v>
      </c>
      <c r="AF325" s="518" t="str">
        <f>IF(AND(_B="B-767-200",'2024'!$L$4="FO",'2024'!$L$2=AF309),'2024DATA'!$C$18,"")</f>
        <v/>
      </c>
      <c r="AG325" s="518" t="str">
        <f>IF(AND(_B="B-767-200",'2024'!$L$4="FO",'2024'!$L$2=AG309),'2024DATA'!$D$18,"")</f>
        <v/>
      </c>
      <c r="AH325" s="518" t="str">
        <f>IF(AND(_B="B-767-200",'2024'!$L$4="FO",'2024'!$L$2=AH309),'2024DATA'!$E$18,"")</f>
        <v/>
      </c>
      <c r="AI325" s="518" t="str">
        <f>IF(AND(_B="B-767-200",'2024'!$L$4="FO",'2024'!$L$2=AI309),'2024DATA'!$F$18,"")</f>
        <v/>
      </c>
      <c r="AJ325" s="518" t="str">
        <f>IF(AND(_B="B-767-200",'2024'!$L$4="FO",'2024'!$L$2=AJ309),'2024DATA'!$G$18,"")</f>
        <v/>
      </c>
      <c r="AK325" s="518" t="str">
        <f>IF(AND(_B="B-767-200",'2024'!$L$4="FO",'2024'!$L$2=AK309),'2024DATA'!$H$18,"")</f>
        <v/>
      </c>
      <c r="AL325" s="518" t="str">
        <f>IF(AND(_B="B-767-200",'2024'!$L$4="FO",'2024'!$L$2=AL309),'2024DATA'!$I$18,"")</f>
        <v/>
      </c>
      <c r="AM325" s="518" t="str">
        <f>IF(AND(_B="B-767-200",'2024'!$L$4="FO",'2024'!$L$2=AM309),'2024DATA'!$J$18,"")</f>
        <v/>
      </c>
      <c r="AN325" s="518" t="str">
        <f>IF(AND(_B="B-767-200",'2024'!$L$4="FO",'2024'!$L$2=AN309),'2024DATA'!$K$18,"")</f>
        <v/>
      </c>
      <c r="AO325" s="518" t="str">
        <f>IF(AND(_B="B-767-200",'2024'!$L$4="FO",'2024'!$L$2=AO309),'2024DATA'!$L$18,"")</f>
        <v/>
      </c>
      <c r="AP325" s="518" t="str">
        <f>IF(AND(_B="B-767-200",'2024'!$L$4="FO",'2024'!$L$2=AP309),'2024DATA'!$M$18,"")</f>
        <v/>
      </c>
      <c r="AQ325" s="520" t="str">
        <f>IF(AND(_B="B-767-200",'2024'!$L$4="FO",'2024'!$L$2=AQ309),'2024DATA'!$N$18,"")</f>
        <v/>
      </c>
      <c r="AR325" s="940"/>
      <c r="AS325" s="13" t="s">
        <v>62</v>
      </c>
      <c r="AT325" s="518" t="str">
        <f>IF(AND(_C="B-767-200",'2024'!$L$4="FO",'2024'!$L$2=AT309),'2024DATA'!$C$18,"")</f>
        <v/>
      </c>
      <c r="AU325" s="518" t="str">
        <f>IF(AND(_C="B-767-200",'2024'!$L$4="FO",'2024'!$L$2=AU309),'2024DATA'!$D$18,"")</f>
        <v/>
      </c>
      <c r="AV325" s="518" t="str">
        <f>IF(AND(_C="B-767-200",'2024'!$L$4="FO",'2024'!$L$2=AV309),'2024DATA'!$E$18,"")</f>
        <v/>
      </c>
      <c r="AW325" s="518" t="str">
        <f>IF(AND(_C="B-767-200",'2024'!$L$4="FO",'2024'!$L$2=AW309),'2024DATA'!$F$18,"")</f>
        <v/>
      </c>
      <c r="AX325" s="518" t="str">
        <f>IF(AND(_C="B-767-200",'2024'!$L$4="FO",'2024'!$L$2=AX309),'2024DATA'!$G$18,"")</f>
        <v/>
      </c>
      <c r="AY325" s="518" t="str">
        <f>IF(AND(_C="B-767-200",'2024'!$L$4="FO",'2024'!$L$2=AY309),'2024DATA'!$H$18,"")</f>
        <v/>
      </c>
      <c r="AZ325" s="518" t="str">
        <f>IF(AND(_C="B-767-200",'2024'!$L$4="FO",'2024'!$L$2=AZ309),'2024DATA'!$I$18,"")</f>
        <v/>
      </c>
      <c r="BA325" s="518" t="str">
        <f>IF(AND(_C="B-767-200",'2024'!$L$4="FO",'2024'!$L$2=BA309),'2024DATA'!$J$18,"")</f>
        <v/>
      </c>
      <c r="BB325" s="518" t="str">
        <f>IF(AND(_C="B-767-200",'2024'!$L$4="FO",'2024'!$L$2=BB309),'2024DATA'!$K$18,"")</f>
        <v/>
      </c>
      <c r="BC325" s="518" t="str">
        <f>IF(AND(_C="B-767-200",'2024'!$L$4="FO",'2024'!$L$2=BC309),'2024DATA'!$L$18,"")</f>
        <v/>
      </c>
      <c r="BD325" s="518" t="str">
        <f>IF(AND(_C="B-767-200",'2024'!$L$4="FO",'2024'!$L$2=BD309),'2024DATA'!$M$18,"")</f>
        <v/>
      </c>
      <c r="BE325" s="520" t="str">
        <f>IF(AND(_C="B-767-200",'2024'!$L$4="FO",'2024'!$L$2=BE309),'2024DATA'!$N$18,"")</f>
        <v/>
      </c>
      <c r="BF325" s="940"/>
      <c r="BG325" s="13" t="s">
        <v>62</v>
      </c>
      <c r="BH325" s="518" t="str">
        <f>IF(AND(_D="B-767-200",'2024'!$L$4="FO",'2024'!$L$2=BH309),'2024DATA'!$C$18,"")</f>
        <v/>
      </c>
      <c r="BI325" s="518" t="str">
        <f>IF(AND(_D="B-767-200",'2024'!$L$4="FO",'2024'!$L$2=BI309),'2024DATA'!$D$18,"")</f>
        <v/>
      </c>
      <c r="BJ325" s="518" t="str">
        <f>IF(AND(_D="B-767-200",'2024'!$L$4="FO",'2024'!$L$2=BJ309),'2024DATA'!$E$18,"")</f>
        <v/>
      </c>
      <c r="BK325" s="518" t="str">
        <f>IF(AND(_D="B-767-200",'2024'!$L$4="FO",'2024'!$L$2=BK309),'2024DATA'!$F$18,"")</f>
        <v/>
      </c>
      <c r="BL325" s="518" t="str">
        <f>IF(AND(_D="B-767-200",'2024'!$L$4="FO",'2024'!$L$2=BL309),'2024DATA'!$G$18,"")</f>
        <v/>
      </c>
      <c r="BM325" s="518" t="str">
        <f>IF(AND(_D="B-767-200",'2024'!$L$4="FO",'2024'!$L$2=BM309),'2024DATA'!$H$18,"")</f>
        <v/>
      </c>
      <c r="BN325" s="518" t="str">
        <f>IF(AND(_D="B-767-200",'2024'!$L$4="FO",'2024'!$L$2=BN309),'2024DATA'!$I$18,"")</f>
        <v/>
      </c>
      <c r="BO325" s="518" t="str">
        <f>IF(AND(_D="B-767-200",'2024'!$L$4="FO",'2024'!$L$2=BO309),'2024DATA'!$J$18,"")</f>
        <v/>
      </c>
      <c r="BP325" s="518" t="str">
        <f>IF(AND(_D="B-767-200",'2024'!$L$4="FO",'2024'!$L$2=BP309),'2024DATA'!$K$18,"")</f>
        <v/>
      </c>
      <c r="BQ325" s="518" t="str">
        <f>IF(AND(_D="B-767-200",'2024'!$L$4="FO",'2024'!$L$2=BQ309),'2024DATA'!$L$18,"")</f>
        <v/>
      </c>
      <c r="BR325" s="518" t="str">
        <f>IF(AND(_D="B-767-200",'2024'!$L$4="FO",'2024'!$L$2=BR309),'2024DATA'!$M$18,"")</f>
        <v/>
      </c>
      <c r="BS325" s="520" t="str">
        <f>IF(AND(_D="B-767-200",'2024'!$L$4="FO",'2024'!$L$2=BS309),'2024DATA'!$N$18,"")</f>
        <v/>
      </c>
      <c r="BT325" s="940"/>
      <c r="BU325" s="13" t="s">
        <v>62</v>
      </c>
      <c r="BV325" s="518" t="str">
        <f>IF(AND(_E="B-767-200",'2024'!$L$4="FO",'2024'!$L$2=BV309),'2024DATA'!$C$18,"")</f>
        <v/>
      </c>
      <c r="BW325" s="518" t="str">
        <f>IF(AND(_E="B-767-200",'2024'!$L$4="FO",'2024'!$L$2=BW309),'2024DATA'!$D$18,"")</f>
        <v/>
      </c>
      <c r="BX325" s="518" t="str">
        <f>IF(AND(_E="B-767-200",'2024'!$L$4="FO",'2024'!$L$2=BX309),'2024DATA'!$E$18,"")</f>
        <v/>
      </c>
      <c r="BY325" s="518" t="str">
        <f>IF(AND(_E="B-767-200",'2024'!$L$4="FO",'2024'!$L$2=BY309),'2024DATA'!$F$18,"")</f>
        <v/>
      </c>
      <c r="BZ325" s="518" t="str">
        <f>IF(AND(_E="B-767-200",'2024'!$L$4="FO",'2024'!$L$2=BZ309),'2024DATA'!$G$18,"")</f>
        <v/>
      </c>
      <c r="CA325" s="518" t="str">
        <f>IF(AND(_E="B-767-200",'2024'!$L$4="FO",'2024'!$L$2=CA309),'2024DATA'!$H$18,"")</f>
        <v/>
      </c>
      <c r="CB325" s="518" t="str">
        <f>IF(AND(_E="B-767-200",'2024'!$L$4="FO",'2024'!$L$2=CB309),'2024DATA'!$I$18,"")</f>
        <v/>
      </c>
      <c r="CC325" s="518" t="str">
        <f>IF(AND(_E="B-767-200",'2024'!$L$4="FO",'2024'!$L$2=CC309),'2024DATA'!$J$18,"")</f>
        <v/>
      </c>
      <c r="CD325" s="518" t="str">
        <f>IF(AND(_E="B-767-200",'2024'!$L$4="FO",'2024'!$L$2=CD309),'2024DATA'!$K$18,"")</f>
        <v/>
      </c>
      <c r="CE325" s="518" t="str">
        <f>IF(AND(_E="B-767-200",'2024'!$L$4="FO",'2024'!$L$2=CE309),'2024DATA'!$L$18,"")</f>
        <v/>
      </c>
      <c r="CF325" s="518" t="str">
        <f>IF(AND(_E="B-767-200",'2024'!$L$4="FO",'2024'!$L$2=CF309),'2024DATA'!$M$18,"")</f>
        <v/>
      </c>
      <c r="CG325" s="520" t="str">
        <f>IF(AND(_E="B-767-200",'2024'!$L$4="FO",'2024'!$L$2=CG309),'2024DATA'!$N$18,"")</f>
        <v/>
      </c>
      <c r="CH325" s="940"/>
      <c r="CI325" s="13" t="s">
        <v>62</v>
      </c>
      <c r="CJ325" s="518" t="str">
        <f>IF(AND(_F="B-767-200",'2024'!$L$4="FO",'2024'!$L$2=CJ309),'2024DATA'!$C$18,"")</f>
        <v/>
      </c>
      <c r="CK325" s="518" t="str">
        <f>IF(AND(_F="B-767-200",'2024'!$L$4="FO",'2024'!$L$2=CK309),'2024DATA'!$D$18,"")</f>
        <v/>
      </c>
      <c r="CL325" s="518" t="str">
        <f>IF(AND(_F="B-767-200",'2024'!$L$4="FO",'2024'!$L$2=CL309),'2024DATA'!$E$18,"")</f>
        <v/>
      </c>
      <c r="CM325" s="518" t="str">
        <f>IF(AND(_F="B-767-200",'2024'!$L$4="FO",'2024'!$L$2=CM309),'2024DATA'!$F$18,"")</f>
        <v/>
      </c>
      <c r="CN325" s="518" t="str">
        <f>IF(AND(_F="B-767-200",'2024'!$L$4="FO",'2024'!$L$2=CN309),'2024DATA'!$G$18,"")</f>
        <v/>
      </c>
      <c r="CO325" s="518" t="str">
        <f>IF(AND(_F="B-767-200",'2024'!$L$4="FO",'2024'!$L$2=CO309),'2024DATA'!$H$18,"")</f>
        <v/>
      </c>
      <c r="CP325" s="518" t="str">
        <f>IF(AND(_F="B-767-200",'2024'!$L$4="FO",'2024'!$L$2=CP309),'2024DATA'!$I$18,"")</f>
        <v/>
      </c>
      <c r="CQ325" s="518" t="str">
        <f>IF(AND(_F="B-767-200",'2024'!$L$4="FO",'2024'!$L$2=CQ309),'2024DATA'!$J$18,"")</f>
        <v/>
      </c>
      <c r="CR325" s="518" t="str">
        <f>IF(AND(_F="B-767-200",'2024'!$L$4="FO",'2024'!$L$2=CR309),'2024DATA'!$K$18,"")</f>
        <v/>
      </c>
      <c r="CS325" s="518" t="str">
        <f>IF(AND(_F="B-767-200",'2024'!$L$4="FO",'2024'!$L$2=CS309),'2024DATA'!$L$18,"")</f>
        <v/>
      </c>
      <c r="CT325" s="518" t="str">
        <f>IF(AND(_F="B-767-200",'2024'!$L$4="FO",'2024'!$L$2=CT309),'2024DATA'!$M$18,"")</f>
        <v/>
      </c>
      <c r="CU325" s="520" t="str">
        <f>IF(AND(_F="B-767-200",'2024'!$L$4="FO",'2024'!$L$2=CU309),'2024DATA'!$N$18,"")</f>
        <v/>
      </c>
    </row>
    <row r="326" spans="16:99" x14ac:dyDescent="0.25">
      <c r="P326" s="940" t="s">
        <v>45</v>
      </c>
      <c r="Q326" s="13" t="s">
        <v>61</v>
      </c>
      <c r="R326" s="518" t="str">
        <f>IF(AND(_A="B-757",'2024'!$L$4="CA",'2024'!$L$2=R309),'2024DATA'!$C$19,"")</f>
        <v/>
      </c>
      <c r="S326" s="518" t="str">
        <f>IF(AND(_A="B-757",'2024'!$L$4="CA",'2024'!$L$2=S309),'2024DATA'!$D$19,"")</f>
        <v/>
      </c>
      <c r="T326" s="518" t="str">
        <f>IF(AND(_A="B-757",'2024'!$L$4="CA",'2024'!$L$2=T309),'2024DATA'!$E$19,"")</f>
        <v/>
      </c>
      <c r="U326" s="518" t="str">
        <f>IF(AND(_A="B-757",'2024'!$L$4="CA",'2024'!$L$2=U309),'2024DATA'!$F$19,"")</f>
        <v/>
      </c>
      <c r="V326" s="518" t="str">
        <f>IF(AND(_A="B-757",'2024'!$L$4="CA",'2024'!$L$2=V309),'2024DATA'!$G$19,"")</f>
        <v/>
      </c>
      <c r="W326" s="518" t="str">
        <f>IF(AND(_A="B-757",'2024'!$L$4="CA",'2024'!$L$2=W309),'2024DATA'!$H$19,"")</f>
        <v/>
      </c>
      <c r="X326" s="518" t="str">
        <f>IF(AND(_A="B-757",'2024'!$L$4="CA",'2024'!$L$2=X309),'2024DATA'!$I$19,"")</f>
        <v/>
      </c>
      <c r="Y326" s="518" t="str">
        <f>IF(AND(_A="B-757",'2024'!$L$4="CA",'2024'!$L$2=Y309),'2024DATA'!$J$19,"")</f>
        <v/>
      </c>
      <c r="Z326" s="518" t="str">
        <f>IF(AND(_A="B-757",'2024'!$L$4="CA",'2024'!$L$2=Z309),'2024DATA'!$K$19,"")</f>
        <v/>
      </c>
      <c r="AA326" s="518" t="str">
        <f>IF(AND(_A="B-757",'2024'!$L$4="CA",'2024'!$L$2=AA309),'2024DATA'!$L$19,"")</f>
        <v/>
      </c>
      <c r="AB326" s="518" t="str">
        <f>IF(AND(_A="B-757",'2024'!$L$4="CA",'2024'!$L$2=AB309),'2024DATA'!$M$19,"")</f>
        <v/>
      </c>
      <c r="AC326" s="520" t="str">
        <f>IF(AND(_A="B-757",'2024'!$L$4="CA",'2024'!$L$2=AC309),'2024DATA'!$N$19,"")</f>
        <v/>
      </c>
      <c r="AD326" s="940" t="s">
        <v>45</v>
      </c>
      <c r="AE326" s="13" t="s">
        <v>61</v>
      </c>
      <c r="AF326" s="518" t="str">
        <f>IF(AND(_B="B-757",'2024'!$L$4="CA",'2024'!$L$2=AF309),'2024DATA'!$C$19,"")</f>
        <v/>
      </c>
      <c r="AG326" s="518" t="str">
        <f>IF(AND(_B="B-757",'2024'!$L$4="CA",'2024'!$L$2=AG309),'2024DATA'!$D$19,"")</f>
        <v/>
      </c>
      <c r="AH326" s="518" t="str">
        <f>IF(AND(_B="B-757",'2024'!$L$4="CA",'2024'!$L$2=AH309),'2024DATA'!$E$19,"")</f>
        <v/>
      </c>
      <c r="AI326" s="518" t="str">
        <f>IF(AND(_B="B-757",'2024'!$L$4="CA",'2024'!$L$2=AI309),'2024DATA'!$F$19,"")</f>
        <v/>
      </c>
      <c r="AJ326" s="518" t="str">
        <f>IF(AND(_B="B-757",'2024'!$L$4="CA",'2024'!$L$2=AJ309),'2024DATA'!$G$19,"")</f>
        <v/>
      </c>
      <c r="AK326" s="518" t="str">
        <f>IF(AND(_B="B-757",'2024'!$L$4="CA",'2024'!$L$2=AK309),'2024DATA'!$H$19,"")</f>
        <v/>
      </c>
      <c r="AL326" s="518" t="str">
        <f>IF(AND(_B="B-757",'2024'!$L$4="CA",'2024'!$L$2=AL309),'2024DATA'!$I$19,"")</f>
        <v/>
      </c>
      <c r="AM326" s="518" t="str">
        <f>IF(AND(_B="B-757",'2024'!$L$4="CA",'2024'!$L$2=AM309),'2024DATA'!$J$19,"")</f>
        <v/>
      </c>
      <c r="AN326" s="518" t="str">
        <f>IF(AND(_B="B-757",'2024'!$L$4="CA",'2024'!$L$2=AN309),'2024DATA'!$K$19,"")</f>
        <v/>
      </c>
      <c r="AO326" s="518" t="str">
        <f>IF(AND(_B="B-757",'2024'!$L$4="CA",'2024'!$L$2=AO309),'2024DATA'!$L$19,"")</f>
        <v/>
      </c>
      <c r="AP326" s="518" t="str">
        <f>IF(AND(_B="B-757",'2024'!$L$4="CA",'2024'!$L$2=AP309),'2024DATA'!$M$19,"")</f>
        <v/>
      </c>
      <c r="AQ326" s="520" t="str">
        <f>IF(AND(_B="B-757",'2024'!$L$4="CA",'2024'!$L$2=AQ309),'2024DATA'!$N$19,"")</f>
        <v/>
      </c>
      <c r="AR326" s="940" t="s">
        <v>45</v>
      </c>
      <c r="AS326" s="13" t="s">
        <v>61</v>
      </c>
      <c r="AT326" s="518" t="str">
        <f>IF(AND(_C="B-757",'2024'!$L$4="CA",'2024'!$L$2=AT309),'2024DATA'!$C$19,"")</f>
        <v/>
      </c>
      <c r="AU326" s="518" t="str">
        <f>IF(AND(_C="B-757",'2024'!$L$4="CA",'2024'!$L$2=AU309),'2024DATA'!$D$19,"")</f>
        <v/>
      </c>
      <c r="AV326" s="518" t="str">
        <f>IF(AND(_C="B-757",'2024'!$L$4="CA",'2024'!$L$2=AV309),'2024DATA'!$E$19,"")</f>
        <v/>
      </c>
      <c r="AW326" s="518" t="str">
        <f>IF(AND(_C="B-757",'2024'!$L$4="CA",'2024'!$L$2=AW309),'2024DATA'!$F$19,"")</f>
        <v/>
      </c>
      <c r="AX326" s="518" t="str">
        <f>IF(AND(_C="B-757",'2024'!$L$4="CA",'2024'!$L$2=AX309),'2024DATA'!$G$19,"")</f>
        <v/>
      </c>
      <c r="AY326" s="518" t="str">
        <f>IF(AND(_C="B-757",'2024'!$L$4="CA",'2024'!$L$2=AY309),'2024DATA'!$H$19,"")</f>
        <v/>
      </c>
      <c r="AZ326" s="518" t="str">
        <f>IF(AND(_C="B-757",'2024'!$L$4="CA",'2024'!$L$2=AZ309),'2024DATA'!$I$19,"")</f>
        <v/>
      </c>
      <c r="BA326" s="518" t="str">
        <f>IF(AND(_C="B-757",'2024'!$L$4="CA",'2024'!$L$2=BA309),'2024DATA'!$J$19,"")</f>
        <v/>
      </c>
      <c r="BB326" s="518" t="str">
        <f>IF(AND(_C="B-757",'2024'!$L$4="CA",'2024'!$L$2=BB309),'2024DATA'!$K$19,"")</f>
        <v/>
      </c>
      <c r="BC326" s="518" t="str">
        <f>IF(AND(_C="B-757",'2024'!$L$4="CA",'2024'!$L$2=BC309),'2024DATA'!$L$19,"")</f>
        <v/>
      </c>
      <c r="BD326" s="518" t="str">
        <f>IF(AND(_C="B-757",'2024'!$L$4="CA",'2024'!$L$2=BD309),'2024DATA'!$M$19,"")</f>
        <v/>
      </c>
      <c r="BE326" s="520" t="str">
        <f>IF(AND(_C="B-757",'2024'!$L$4="CA",'2024'!$L$2=BE309),'2024DATA'!$N$19,"")</f>
        <v/>
      </c>
      <c r="BF326" s="940" t="s">
        <v>45</v>
      </c>
      <c r="BG326" s="13" t="s">
        <v>61</v>
      </c>
      <c r="BH326" s="518" t="str">
        <f>IF(AND(_D="B-757",'2024'!$L$4="CA",'2024'!$L$2=BH309),'2024DATA'!$C$19,"")</f>
        <v/>
      </c>
      <c r="BI326" s="518" t="str">
        <f>IF(AND(_D="B-757",'2024'!$L$4="CA",'2024'!$L$2=BI309),'2024DATA'!$D$19,"")</f>
        <v/>
      </c>
      <c r="BJ326" s="518" t="str">
        <f>IF(AND(_D="B-757",'2024'!$L$4="CA",'2024'!$L$2=BJ309),'2024DATA'!$E$19,"")</f>
        <v/>
      </c>
      <c r="BK326" s="518" t="str">
        <f>IF(AND(_D="B-757",'2024'!$L$4="CA",'2024'!$L$2=BK309),'2024DATA'!$F$19,"")</f>
        <v/>
      </c>
      <c r="BL326" s="518" t="str">
        <f>IF(AND(_D="B-757",'2024'!$L$4="CA",'2024'!$L$2=BL309),'2024DATA'!$G$19,"")</f>
        <v/>
      </c>
      <c r="BM326" s="518" t="str">
        <f>IF(AND(_D="B-757",'2024'!$L$4="CA",'2024'!$L$2=BM309),'2024DATA'!$H$19,"")</f>
        <v/>
      </c>
      <c r="BN326" s="518" t="str">
        <f>IF(AND(_D="B-757",'2024'!$L$4="CA",'2024'!$L$2=BN309),'2024DATA'!$I$19,"")</f>
        <v/>
      </c>
      <c r="BO326" s="518" t="str">
        <f>IF(AND(_D="B-757",'2024'!$L$4="CA",'2024'!$L$2=BO309),'2024DATA'!$J$19,"")</f>
        <v/>
      </c>
      <c r="BP326" s="518" t="str">
        <f>IF(AND(_D="B-757",'2024'!$L$4="CA",'2024'!$L$2=BP309),'2024DATA'!$K$19,"")</f>
        <v/>
      </c>
      <c r="BQ326" s="518" t="str">
        <f>IF(AND(_D="B-757",'2024'!$L$4="CA",'2024'!$L$2=BQ309),'2024DATA'!$L$19,"")</f>
        <v/>
      </c>
      <c r="BR326" s="518" t="str">
        <f>IF(AND(_D="B-757",'2024'!$L$4="CA",'2024'!$L$2=BR309),'2024DATA'!$M$19,"")</f>
        <v/>
      </c>
      <c r="BS326" s="520" t="str">
        <f>IF(AND(_D="B-757",'2024'!$L$4="CA",'2024'!$L$2=BS309),'2024DATA'!$N$19,"")</f>
        <v/>
      </c>
      <c r="BT326" s="940" t="s">
        <v>45</v>
      </c>
      <c r="BU326" s="13" t="s">
        <v>61</v>
      </c>
      <c r="BV326" s="518" t="str">
        <f>IF(AND(_E="B-757",'2024'!$L$4="CA",'2024'!$L$2=BV309),'2024DATA'!$C$19,"")</f>
        <v/>
      </c>
      <c r="BW326" s="518" t="str">
        <f>IF(AND(_E="B-757",'2024'!$L$4="CA",'2024'!$L$2=BW309),'2024DATA'!$D$19,"")</f>
        <v/>
      </c>
      <c r="BX326" s="518" t="str">
        <f>IF(AND(_E="B-757",'2024'!$L$4="CA",'2024'!$L$2=BX309),'2024DATA'!$E$19,"")</f>
        <v/>
      </c>
      <c r="BY326" s="518" t="str">
        <f>IF(AND(_E="B-757",'2024'!$L$4="CA",'2024'!$L$2=BY309),'2024DATA'!$F$19,"")</f>
        <v/>
      </c>
      <c r="BZ326" s="518" t="str">
        <f>IF(AND(_E="B-757",'2024'!$L$4="CA",'2024'!$L$2=BZ309),'2024DATA'!$G$19,"")</f>
        <v/>
      </c>
      <c r="CA326" s="518" t="str">
        <f>IF(AND(_E="B-757",'2024'!$L$4="CA",'2024'!$L$2=CA309),'2024DATA'!$H$19,"")</f>
        <v/>
      </c>
      <c r="CB326" s="518" t="str">
        <f>IF(AND(_E="B-757",'2024'!$L$4="CA",'2024'!$L$2=CB309),'2024DATA'!$I$19,"")</f>
        <v/>
      </c>
      <c r="CC326" s="518" t="str">
        <f>IF(AND(_E="B-757",'2024'!$L$4="CA",'2024'!$L$2=CC309),'2024DATA'!$J$19,"")</f>
        <v/>
      </c>
      <c r="CD326" s="518" t="str">
        <f>IF(AND(_E="B-757",'2024'!$L$4="CA",'2024'!$L$2=CD309),'2024DATA'!$K$19,"")</f>
        <v/>
      </c>
      <c r="CE326" s="518" t="str">
        <f>IF(AND(_E="B-757",'2024'!$L$4="CA",'2024'!$L$2=CE309),'2024DATA'!$L$19,"")</f>
        <v/>
      </c>
      <c r="CF326" s="518" t="str">
        <f>IF(AND(_E="B-757",'2024'!$L$4="CA",'2024'!$L$2=CF309),'2024DATA'!$M$19,"")</f>
        <v/>
      </c>
      <c r="CG326" s="520" t="str">
        <f>IF(AND(_E="B-757",'2024'!$L$4="CA",'2024'!$L$2=CG309),'2024DATA'!$N$19,"")</f>
        <v/>
      </c>
      <c r="CH326" s="940" t="s">
        <v>45</v>
      </c>
      <c r="CI326" s="13" t="s">
        <v>61</v>
      </c>
      <c r="CJ326" s="518" t="str">
        <f>IF(AND(_F="B-757",'2024'!$L$4="CA",'2024'!$L$2=CJ309),'2024DATA'!$C$19,"")</f>
        <v/>
      </c>
      <c r="CK326" s="518" t="str">
        <f>IF(AND(_F="B-757",'2024'!$L$4="CA",'2024'!$L$2=CK309),'2024DATA'!$D$19,"")</f>
        <v/>
      </c>
      <c r="CL326" s="518" t="str">
        <f>IF(AND(_F="B-757",'2024'!$L$4="CA",'2024'!$L$2=CL309),'2024DATA'!$E$19,"")</f>
        <v/>
      </c>
      <c r="CM326" s="518" t="str">
        <f>IF(AND(_F="B-757",'2024'!$L$4="CA",'2024'!$L$2=CM309),'2024DATA'!$F$19,"")</f>
        <v/>
      </c>
      <c r="CN326" s="518" t="str">
        <f>IF(AND(_F="B-757",'2024'!$L$4="CA",'2024'!$L$2=CN309),'2024DATA'!$G$19,"")</f>
        <v/>
      </c>
      <c r="CO326" s="518" t="str">
        <f>IF(AND(_F="B-757",'2024'!$L$4="CA",'2024'!$L$2=CO309),'2024DATA'!$H$19,"")</f>
        <v/>
      </c>
      <c r="CP326" s="518" t="str">
        <f>IF(AND(_F="B-757",'2024'!$L$4="CA",'2024'!$L$2=CP309),'2024DATA'!$I$19,"")</f>
        <v/>
      </c>
      <c r="CQ326" s="518" t="str">
        <f>IF(AND(_F="B-757",'2024'!$L$4="CA",'2024'!$L$2=CQ309),'2024DATA'!$J$19,"")</f>
        <v/>
      </c>
      <c r="CR326" s="518" t="str">
        <f>IF(AND(_F="B-757",'2024'!$L$4="CA",'2024'!$L$2=CR309),'2024DATA'!$K$19,"")</f>
        <v/>
      </c>
      <c r="CS326" s="518" t="str">
        <f>IF(AND(_F="B-757",'2024'!$L$4="CA",'2024'!$L$2=CS309),'2024DATA'!$L$19,"")</f>
        <v/>
      </c>
      <c r="CT326" s="518" t="str">
        <f>IF(AND(_F="B-757",'2024'!$L$4="CA",'2024'!$L$2=CT309),'2024DATA'!$M$19,"")</f>
        <v/>
      </c>
      <c r="CU326" s="520" t="str">
        <f>IF(AND(_F="B-757",'2024'!$L$4="CA",'2024'!$L$2=CU309),'2024DATA'!$N$19,"")</f>
        <v/>
      </c>
    </row>
    <row r="327" spans="16:99" x14ac:dyDescent="0.25">
      <c r="P327" s="940"/>
      <c r="Q327" s="13" t="s">
        <v>62</v>
      </c>
      <c r="R327" s="518" t="str">
        <f>IF(AND(_A="B-757",'2024'!$L$4="FO",'2024'!$L$2=R309),'2024DATA'!$C$20,"")</f>
        <v/>
      </c>
      <c r="S327" s="518" t="str">
        <f>IF(AND(_A="B-757",'2024'!$L$4="FO",'2024'!$L$2=S309),'2024DATA'!$D$20,"")</f>
        <v/>
      </c>
      <c r="T327" s="518" t="str">
        <f>IF(AND(_A="B-757",'2024'!$L$4="FO",'2024'!$L$2=T309),'2024DATA'!$E$20,"")</f>
        <v/>
      </c>
      <c r="U327" s="518" t="str">
        <f>IF(AND(_A="B-757",'2024'!$L$4="FO",'2024'!$L$2=U309),'2024DATA'!$F$20,"")</f>
        <v/>
      </c>
      <c r="V327" s="518" t="str">
        <f>IF(AND(_A="B-757",'2024'!$L$4="FO",'2024'!$L$2=V309),'2024DATA'!$G$20,"")</f>
        <v/>
      </c>
      <c r="W327" s="518" t="str">
        <f>IF(AND(_A="B-757",'2024'!$L$4="FO",'2024'!$L$2=W309),'2024DATA'!$H$20,"")</f>
        <v/>
      </c>
      <c r="X327" s="518" t="str">
        <f>IF(AND(_A="B-757",'2024'!$L$4="FO",'2024'!$L$2=X309),'2024DATA'!$I$20,"")</f>
        <v/>
      </c>
      <c r="Y327" s="518" t="str">
        <f>IF(AND(_A="B-757",'2024'!$L$4="FO",'2024'!$L$2=Y309),'2024DATA'!$J$20,"")</f>
        <v/>
      </c>
      <c r="Z327" s="518" t="str">
        <f>IF(AND(_A="B-757",'2024'!$L$4="FO",'2024'!$L$2=Z309),'2024DATA'!$K$20,"")</f>
        <v/>
      </c>
      <c r="AA327" s="518" t="str">
        <f>IF(AND(_A="B-757",'2024'!$L$4="FO",'2024'!$L$2=AA309),'2024DATA'!$L$20,"")</f>
        <v/>
      </c>
      <c r="AB327" s="518" t="str">
        <f>IF(AND(_A="B-757",'2024'!$L$4="FO",'2024'!$L$2=AB309),'2024DATA'!$M$20,"")</f>
        <v/>
      </c>
      <c r="AC327" s="520" t="str">
        <f>IF(AND(_A="B-757",'2024'!$L$4="FO",'2024'!$L$2=AC309),'2024DATA'!$N$20,"")</f>
        <v/>
      </c>
      <c r="AD327" s="940"/>
      <c r="AE327" s="13" t="s">
        <v>62</v>
      </c>
      <c r="AF327" s="518" t="str">
        <f>IF(AND(_B="B-757",'2024'!$L$4="FO",'2024'!$L$2=AF309),'2024DATA'!$C$20,"")</f>
        <v/>
      </c>
      <c r="AG327" s="518" t="str">
        <f>IF(AND(_B="B-757",'2024'!$L$4="FO",'2024'!$L$2=AG309),'2024DATA'!$D$20,"")</f>
        <v/>
      </c>
      <c r="AH327" s="518" t="str">
        <f>IF(AND(_B="B-757",'2024'!$L$4="FO",'2024'!$L$2=AH309),'2024DATA'!$E$20,"")</f>
        <v/>
      </c>
      <c r="AI327" s="518" t="str">
        <f>IF(AND(_B="B-757",'2024'!$L$4="FO",'2024'!$L$2=AI309),'2024DATA'!$F$20,"")</f>
        <v/>
      </c>
      <c r="AJ327" s="518" t="str">
        <f>IF(AND(_B="B-757",'2024'!$L$4="FO",'2024'!$L$2=AJ309),'2024DATA'!$G$20,"")</f>
        <v/>
      </c>
      <c r="AK327" s="518" t="str">
        <f>IF(AND(_B="B-757",'2024'!$L$4="FO",'2024'!$L$2=AK309),'2024DATA'!$H$20,"")</f>
        <v/>
      </c>
      <c r="AL327" s="518" t="str">
        <f>IF(AND(_B="B-757",'2024'!$L$4="FO",'2024'!$L$2=AL309),'2024DATA'!$I$20,"")</f>
        <v/>
      </c>
      <c r="AM327" s="518" t="str">
        <f>IF(AND(_B="B-757",'2024'!$L$4="FO",'2024'!$L$2=AM309),'2024DATA'!$J$20,"")</f>
        <v/>
      </c>
      <c r="AN327" s="518" t="str">
        <f>IF(AND(_B="B-757",'2024'!$L$4="FO",'2024'!$L$2=AN309),'2024DATA'!$K$20,"")</f>
        <v/>
      </c>
      <c r="AO327" s="518" t="str">
        <f>IF(AND(_B="B-757",'2024'!$L$4="FO",'2024'!$L$2=AO309),'2024DATA'!$L$20,"")</f>
        <v/>
      </c>
      <c r="AP327" s="518" t="str">
        <f>IF(AND(_B="B-757",'2024'!$L$4="FO",'2024'!$L$2=AP309),'2024DATA'!$M$20,"")</f>
        <v/>
      </c>
      <c r="AQ327" s="520" t="str">
        <f>IF(AND(_B="B-757",'2024'!$L$4="FO",'2024'!$L$2=AQ309),'2024DATA'!$N$20,"")</f>
        <v/>
      </c>
      <c r="AR327" s="940"/>
      <c r="AS327" s="13" t="s">
        <v>62</v>
      </c>
      <c r="AT327" s="518" t="str">
        <f>IF(AND(_C="B-757",'2024'!$L$4="FO",'2024'!$L$2=AT309),'2024DATA'!$C$20,"")</f>
        <v/>
      </c>
      <c r="AU327" s="518" t="str">
        <f>IF(AND(_C="B-757",'2024'!$L$4="FO",'2024'!$L$2=AU309),'2024DATA'!$D$20,"")</f>
        <v/>
      </c>
      <c r="AV327" s="518" t="str">
        <f>IF(AND(_C="B-757",'2024'!$L$4="FO",'2024'!$L$2=AV309),'2024DATA'!$E$20,"")</f>
        <v/>
      </c>
      <c r="AW327" s="518" t="str">
        <f>IF(AND(_C="B-757",'2024'!$L$4="FO",'2024'!$L$2=AW309),'2024DATA'!$F$20,"")</f>
        <v/>
      </c>
      <c r="AX327" s="518" t="str">
        <f>IF(AND(_C="B-757",'2024'!$L$4="FO",'2024'!$L$2=AX309),'2024DATA'!$G$20,"")</f>
        <v/>
      </c>
      <c r="AY327" s="518" t="str">
        <f>IF(AND(_C="B-757",'2024'!$L$4="FO",'2024'!$L$2=AY309),'2024DATA'!$H$20,"")</f>
        <v/>
      </c>
      <c r="AZ327" s="518" t="str">
        <f>IF(AND(_C="B-757",'2024'!$L$4="FO",'2024'!$L$2=AZ309),'2024DATA'!$I$20,"")</f>
        <v/>
      </c>
      <c r="BA327" s="518" t="str">
        <f>IF(AND(_C="B-757",'2024'!$L$4="FO",'2024'!$L$2=BA309),'2024DATA'!$J$20,"")</f>
        <v/>
      </c>
      <c r="BB327" s="518" t="str">
        <f>IF(AND(_C="B-757",'2024'!$L$4="FO",'2024'!$L$2=BB309),'2024DATA'!$K$20,"")</f>
        <v/>
      </c>
      <c r="BC327" s="518" t="str">
        <f>IF(AND(_C="B-757",'2024'!$L$4="FO",'2024'!$L$2=BC309),'2024DATA'!$L$20,"")</f>
        <v/>
      </c>
      <c r="BD327" s="518" t="str">
        <f>IF(AND(_C="B-757",'2024'!$L$4="FO",'2024'!$L$2=BD309),'2024DATA'!$M$20,"")</f>
        <v/>
      </c>
      <c r="BE327" s="520" t="str">
        <f>IF(AND(_C="B-757",'2024'!$L$4="FO",'2024'!$L$2=BE309),'2024DATA'!$N$20,"")</f>
        <v/>
      </c>
      <c r="BF327" s="940"/>
      <c r="BG327" s="13" t="s">
        <v>62</v>
      </c>
      <c r="BH327" s="518" t="str">
        <f>IF(AND(_D="B-757",'2024'!$L$4="FO",'2024'!$L$2=BH309),'2024DATA'!$C$20,"")</f>
        <v/>
      </c>
      <c r="BI327" s="518" t="str">
        <f>IF(AND(_D="B-757",'2024'!$L$4="FO",'2024'!$L$2=BI309),'2024DATA'!$D$20,"")</f>
        <v/>
      </c>
      <c r="BJ327" s="518" t="str">
        <f>IF(AND(_D="B-757",'2024'!$L$4="FO",'2024'!$L$2=BJ309),'2024DATA'!$E$20,"")</f>
        <v/>
      </c>
      <c r="BK327" s="518" t="str">
        <f>IF(AND(_D="B-757",'2024'!$L$4="FO",'2024'!$L$2=BK309),'2024DATA'!$F$20,"")</f>
        <v/>
      </c>
      <c r="BL327" s="518" t="str">
        <f>IF(AND(_D="B-757",'2024'!$L$4="FO",'2024'!$L$2=BL309),'2024DATA'!$G$20,"")</f>
        <v/>
      </c>
      <c r="BM327" s="518" t="str">
        <f>IF(AND(_D="B-757",'2024'!$L$4="FO",'2024'!$L$2=BM309),'2024DATA'!$H$20,"")</f>
        <v/>
      </c>
      <c r="BN327" s="518" t="str">
        <f>IF(AND(_D="B-757",'2024'!$L$4="FO",'2024'!$L$2=BN309),'2024DATA'!$I$20,"")</f>
        <v/>
      </c>
      <c r="BO327" s="518" t="str">
        <f>IF(AND(_D="B-757",'2024'!$L$4="FO",'2024'!$L$2=BO309),'2024DATA'!$J$20,"")</f>
        <v/>
      </c>
      <c r="BP327" s="518" t="str">
        <f>IF(AND(_D="B-757",'2024'!$L$4="FO",'2024'!$L$2=BP309),'2024DATA'!$K$20,"")</f>
        <v/>
      </c>
      <c r="BQ327" s="518" t="str">
        <f>IF(AND(_D="B-757",'2024'!$L$4="FO",'2024'!$L$2=BQ309),'2024DATA'!$L$20,"")</f>
        <v/>
      </c>
      <c r="BR327" s="518" t="str">
        <f>IF(AND(_D="B-757",'2024'!$L$4="FO",'2024'!$L$2=BR309),'2024DATA'!$M$20,"")</f>
        <v/>
      </c>
      <c r="BS327" s="520" t="str">
        <f>IF(AND(_D="B-757",'2024'!$L$4="FO",'2024'!$L$2=BS309),'2024DATA'!$N$20,"")</f>
        <v/>
      </c>
      <c r="BT327" s="940"/>
      <c r="BU327" s="13" t="s">
        <v>62</v>
      </c>
      <c r="BV327" s="518" t="str">
        <f>IF(AND(_E="B-757",'2024'!$L$4="FO",'2024'!$L$2=BV309),'2024DATA'!$C$20,"")</f>
        <v/>
      </c>
      <c r="BW327" s="518" t="str">
        <f>IF(AND(_E="B-757",'2024'!$L$4="FO",'2024'!$L$2=BW309),'2024DATA'!$D$20,"")</f>
        <v/>
      </c>
      <c r="BX327" s="518" t="str">
        <f>IF(AND(_E="B-757",'2024'!$L$4="FO",'2024'!$L$2=BX309),'2024DATA'!$E$20,"")</f>
        <v/>
      </c>
      <c r="BY327" s="518" t="str">
        <f>IF(AND(_E="B-757",'2024'!$L$4="FO",'2024'!$L$2=BY309),'2024DATA'!$F$20,"")</f>
        <v/>
      </c>
      <c r="BZ327" s="518" t="str">
        <f>IF(AND(_E="B-757",'2024'!$L$4="FO",'2024'!$L$2=BZ309),'2024DATA'!$G$20,"")</f>
        <v/>
      </c>
      <c r="CA327" s="518" t="str">
        <f>IF(AND(_E="B-757",'2024'!$L$4="FO",'2024'!$L$2=CA309),'2024DATA'!$H$20,"")</f>
        <v/>
      </c>
      <c r="CB327" s="518" t="str">
        <f>IF(AND(_E="B-757",'2024'!$L$4="FO",'2024'!$L$2=CB309),'2024DATA'!$I$20,"")</f>
        <v/>
      </c>
      <c r="CC327" s="518" t="str">
        <f>IF(AND(_E="B-757",'2024'!$L$4="FO",'2024'!$L$2=CC309),'2024DATA'!$J$20,"")</f>
        <v/>
      </c>
      <c r="CD327" s="518" t="str">
        <f>IF(AND(_E="B-757",'2024'!$L$4="FO",'2024'!$L$2=CD309),'2024DATA'!$K$20,"")</f>
        <v/>
      </c>
      <c r="CE327" s="518" t="str">
        <f>IF(AND(_E="B-757",'2024'!$L$4="FO",'2024'!$L$2=CE309),'2024DATA'!$L$20,"")</f>
        <v/>
      </c>
      <c r="CF327" s="518" t="str">
        <f>IF(AND(_E="B-757",'2024'!$L$4="FO",'2024'!$L$2=CF309),'2024DATA'!$M$20,"")</f>
        <v/>
      </c>
      <c r="CG327" s="520" t="str">
        <f>IF(AND(_E="B-757",'2024'!$L$4="FO",'2024'!$L$2=CG309),'2024DATA'!$N$20,"")</f>
        <v/>
      </c>
      <c r="CH327" s="940"/>
      <c r="CI327" s="13" t="s">
        <v>62</v>
      </c>
      <c r="CJ327" s="518" t="str">
        <f>IF(AND(_F="B-757",'2024'!$L$4="FO",'2024'!$L$2=CJ309),'2024DATA'!$C$20,"")</f>
        <v/>
      </c>
      <c r="CK327" s="518" t="str">
        <f>IF(AND(_F="B-757",'2024'!$L$4="FO",'2024'!$L$2=CK309),'2024DATA'!$D$20,"")</f>
        <v/>
      </c>
      <c r="CL327" s="518" t="str">
        <f>IF(AND(_F="B-757",'2024'!$L$4="FO",'2024'!$L$2=CL309),'2024DATA'!$E$20,"")</f>
        <v/>
      </c>
      <c r="CM327" s="518" t="str">
        <f>IF(AND(_F="B-757",'2024'!$L$4="FO",'2024'!$L$2=CM309),'2024DATA'!$F$20,"")</f>
        <v/>
      </c>
      <c r="CN327" s="518" t="str">
        <f>IF(AND(_F="B-757",'2024'!$L$4="FO",'2024'!$L$2=CN309),'2024DATA'!$G$20,"")</f>
        <v/>
      </c>
      <c r="CO327" s="518" t="str">
        <f>IF(AND(_F="B-757",'2024'!$L$4="FO",'2024'!$L$2=CO309),'2024DATA'!$H$20,"")</f>
        <v/>
      </c>
      <c r="CP327" s="518" t="str">
        <f>IF(AND(_F="B-757",'2024'!$L$4="FO",'2024'!$L$2=CP309),'2024DATA'!$I$20,"")</f>
        <v/>
      </c>
      <c r="CQ327" s="518" t="str">
        <f>IF(AND(_F="B-757",'2024'!$L$4="FO",'2024'!$L$2=CQ309),'2024DATA'!$J$20,"")</f>
        <v/>
      </c>
      <c r="CR327" s="518" t="str">
        <f>IF(AND(_F="B-757",'2024'!$L$4="FO",'2024'!$L$2=CR309),'2024DATA'!$K$20,"")</f>
        <v/>
      </c>
      <c r="CS327" s="518" t="str">
        <f>IF(AND(_F="B-757",'2024'!$L$4="FO",'2024'!$L$2=CS309),'2024DATA'!$L$20,"")</f>
        <v/>
      </c>
      <c r="CT327" s="518" t="str">
        <f>IF(AND(_F="B-757",'2024'!$L$4="FO",'2024'!$L$2=CT309),'2024DATA'!$M$20,"")</f>
        <v/>
      </c>
      <c r="CU327" s="520" t="str">
        <f>IF(AND(_F="B-757",'2024'!$L$4="FO",'2024'!$L$2=CU309),'2024DATA'!$N$20,"")</f>
        <v/>
      </c>
    </row>
    <row r="328" spans="16:99" x14ac:dyDescent="0.25">
      <c r="P328" s="940" t="s">
        <v>47</v>
      </c>
      <c r="Q328" s="13" t="s">
        <v>61</v>
      </c>
      <c r="R328" s="518" t="str">
        <f>IF(AND(_A="B-737-900",'2024'!$L$4="CA",'2024'!$L$2=R309),'2024DATA'!$C$21,"")</f>
        <v/>
      </c>
      <c r="S328" s="518" t="str">
        <f>IF(AND(_A="B-737-900",'2024'!$L$4="CA",'2024'!$L$2=S309),'2024DATA'!$D$21,"")</f>
        <v/>
      </c>
      <c r="T328" s="518" t="str">
        <f>IF(AND(_A="B-737-900",'2024'!$L$4="CA",'2024'!$L$2=T309),'2024DATA'!$E$21,"")</f>
        <v/>
      </c>
      <c r="U328" s="518" t="str">
        <f>IF(AND(_A="B-737-900",'2024'!$L$4="CA",'2024'!$L$2=U309),'2024DATA'!$F$21,"")</f>
        <v/>
      </c>
      <c r="V328" s="518" t="str">
        <f>IF(AND(_A="B-737-900",'2024'!$L$4="CA",'2024'!$L$2=V309),'2024DATA'!$G$21,"")</f>
        <v/>
      </c>
      <c r="W328" s="518" t="str">
        <f>IF(AND(_A="B-737-900",'2024'!$L$4="CA",'2024'!$L$2=W309),'2024DATA'!$H$21,"")</f>
        <v/>
      </c>
      <c r="X328" s="518" t="str">
        <f>IF(AND(_A="B-737-900",'2024'!$L$4="CA",'2024'!$L$2=X309),'2024DATA'!$I$21,"")</f>
        <v/>
      </c>
      <c r="Y328" s="518" t="str">
        <f>IF(AND(_A="B-737-900",'2024'!$L$4="CA",'2024'!$L$2=Y309),'2024DATA'!$J$21,"")</f>
        <v/>
      </c>
      <c r="Z328" s="518" t="str">
        <f>IF(AND(_A="B-737-900",'2024'!$L$4="CA",'2024'!$L$2=Z309),'2024DATA'!$K$21,"")</f>
        <v/>
      </c>
      <c r="AA328" s="518" t="str">
        <f>IF(AND(_A="B-737-900",'2024'!$L$4="CA",'2024'!$L$2=AA309),'2024DATA'!$L$21,"")</f>
        <v/>
      </c>
      <c r="AB328" s="518" t="str">
        <f>IF(AND(_A="B-737-900",'2024'!$L$4="CA",'2024'!$L$2=AB309),'2024DATA'!$M$21,"")</f>
        <v/>
      </c>
      <c r="AC328" s="520" t="str">
        <f>IF(AND(_A="B-737-900",'2024'!$L$4="CA",'2024'!$L$2=AC309),'2024DATA'!$N$21,"")</f>
        <v/>
      </c>
      <c r="AD328" s="940" t="s">
        <v>47</v>
      </c>
      <c r="AE328" s="13" t="s">
        <v>61</v>
      </c>
      <c r="AF328" s="518" t="str">
        <f>IF(AND(_B="B-737-900",'2024'!$L$4="CA",'2024'!$L$2=AF309),'2024DATA'!$C$21,"")</f>
        <v/>
      </c>
      <c r="AG328" s="518" t="str">
        <f>IF(AND(_B="B-737-900",'2024'!$L$4="CA",'2024'!$L$2=AG309),'2024DATA'!$D$21,"")</f>
        <v/>
      </c>
      <c r="AH328" s="518" t="str">
        <f>IF(AND(_B="B-737-900",'2024'!$L$4="CA",'2024'!$L$2=AH309),'2024DATA'!$E$21,"")</f>
        <v/>
      </c>
      <c r="AI328" s="518" t="str">
        <f>IF(AND(_B="B-737-900",'2024'!$L$4="CA",'2024'!$L$2=AI309),'2024DATA'!$F$21,"")</f>
        <v/>
      </c>
      <c r="AJ328" s="518" t="str">
        <f>IF(AND(_B="B-737-900",'2024'!$L$4="CA",'2024'!$L$2=AJ309),'2024DATA'!$G$21,"")</f>
        <v/>
      </c>
      <c r="AK328" s="518" t="str">
        <f>IF(AND(_B="B-737-900",'2024'!$L$4="CA",'2024'!$L$2=AK309),'2024DATA'!$H$21,"")</f>
        <v/>
      </c>
      <c r="AL328" s="518" t="str">
        <f>IF(AND(_B="B-737-900",'2024'!$L$4="CA",'2024'!$L$2=AL309),'2024DATA'!$I$21,"")</f>
        <v/>
      </c>
      <c r="AM328" s="518" t="str">
        <f>IF(AND(_B="B-737-900",'2024'!$L$4="CA",'2024'!$L$2=AM309),'2024DATA'!$J$21,"")</f>
        <v/>
      </c>
      <c r="AN328" s="518" t="str">
        <f>IF(AND(_B="B-737-900",'2024'!$L$4="CA",'2024'!$L$2=AN309),'2024DATA'!$K$21,"")</f>
        <v/>
      </c>
      <c r="AO328" s="518" t="str">
        <f>IF(AND(_B="B-737-900",'2024'!$L$4="CA",'2024'!$L$2=AO309),'2024DATA'!$L$21,"")</f>
        <v/>
      </c>
      <c r="AP328" s="518" t="str">
        <f>IF(AND(_B="B-737-900",'2024'!$L$4="CA",'2024'!$L$2=AP309),'2024DATA'!$M$21,"")</f>
        <v/>
      </c>
      <c r="AQ328" s="520" t="str">
        <f>IF(AND(_B="B-737-900",'2024'!$L$4="CA",'2024'!$L$2=AQ309),'2024DATA'!$N$21,"")</f>
        <v/>
      </c>
      <c r="AR328" s="940" t="s">
        <v>47</v>
      </c>
      <c r="AS328" s="13" t="s">
        <v>61</v>
      </c>
      <c r="AT328" s="518" t="str">
        <f>IF(AND(_C="B-737-900",'2024'!$L$4="CA",'2024'!$L$2=AT309),'2024DATA'!$C$21,"")</f>
        <v/>
      </c>
      <c r="AU328" s="518" t="str">
        <f>IF(AND(_C="B-737-900",'2024'!$L$4="CA",'2024'!$L$2=AU309),'2024DATA'!$D$21,"")</f>
        <v/>
      </c>
      <c r="AV328" s="518" t="str">
        <f>IF(AND(_C="B-737-900",'2024'!$L$4="CA",'2024'!$L$2=AV309),'2024DATA'!$E$21,"")</f>
        <v/>
      </c>
      <c r="AW328" s="518" t="str">
        <f>IF(AND(_C="B-737-900",'2024'!$L$4="CA",'2024'!$L$2=AW309),'2024DATA'!$F$21,"")</f>
        <v/>
      </c>
      <c r="AX328" s="518" t="str">
        <f>IF(AND(_C="B-737-900",'2024'!$L$4="CA",'2024'!$L$2=AX309),'2024DATA'!$G$21,"")</f>
        <v/>
      </c>
      <c r="AY328" s="518" t="str">
        <f>IF(AND(_C="B-737-900",'2024'!$L$4="CA",'2024'!$L$2=AY309),'2024DATA'!$H$21,"")</f>
        <v/>
      </c>
      <c r="AZ328" s="518" t="str">
        <f>IF(AND(_C="B-737-900",'2024'!$L$4="CA",'2024'!$L$2=AZ309),'2024DATA'!$I$21,"")</f>
        <v/>
      </c>
      <c r="BA328" s="518" t="str">
        <f>IF(AND(_C="B-737-900",'2024'!$L$4="CA",'2024'!$L$2=BA309),'2024DATA'!$J$21,"")</f>
        <v/>
      </c>
      <c r="BB328" s="518" t="str">
        <f>IF(AND(_C="B-737-900",'2024'!$L$4="CA",'2024'!$L$2=BB309),'2024DATA'!$K$21,"")</f>
        <v/>
      </c>
      <c r="BC328" s="518" t="str">
        <f>IF(AND(_C="B-737-900",'2024'!$L$4="CA",'2024'!$L$2=BC309),'2024DATA'!$L$21,"")</f>
        <v/>
      </c>
      <c r="BD328" s="518" t="str">
        <f>IF(AND(_C="B-737-900",'2024'!$L$4="CA",'2024'!$L$2=BD309),'2024DATA'!$M$21,"")</f>
        <v/>
      </c>
      <c r="BE328" s="520" t="str">
        <f>IF(AND(_C="B-737-900",'2024'!$L$4="CA",'2024'!$L$2=BE309),'2024DATA'!$N$21,"")</f>
        <v/>
      </c>
      <c r="BF328" s="940" t="s">
        <v>47</v>
      </c>
      <c r="BG328" s="13" t="s">
        <v>61</v>
      </c>
      <c r="BH328" s="518" t="str">
        <f>IF(AND(_D="B-737-900",'2024'!$L$4="CA",'2024'!$L$2=BH309),'2024DATA'!$C$21,"")</f>
        <v/>
      </c>
      <c r="BI328" s="518" t="str">
        <f>IF(AND(_D="B-737-900",'2024'!$L$4="CA",'2024'!$L$2=BI309),'2024DATA'!$D$21,"")</f>
        <v/>
      </c>
      <c r="BJ328" s="518" t="str">
        <f>IF(AND(_D="B-737-900",'2024'!$L$4="CA",'2024'!$L$2=BJ309),'2024DATA'!$E$21,"")</f>
        <v/>
      </c>
      <c r="BK328" s="518" t="str">
        <f>IF(AND(_D="B-737-900",'2024'!$L$4="CA",'2024'!$L$2=BK309),'2024DATA'!$F$21,"")</f>
        <v/>
      </c>
      <c r="BL328" s="518" t="str">
        <f>IF(AND(_D="B-737-900",'2024'!$L$4="CA",'2024'!$L$2=BL309),'2024DATA'!$G$21,"")</f>
        <v/>
      </c>
      <c r="BM328" s="518" t="str">
        <f>IF(AND(_D="B-737-900",'2024'!$L$4="CA",'2024'!$L$2=BM309),'2024DATA'!$H$21,"")</f>
        <v/>
      </c>
      <c r="BN328" s="518" t="str">
        <f>IF(AND(_D="B-737-900",'2024'!$L$4="CA",'2024'!$L$2=BN309),'2024DATA'!$I$21,"")</f>
        <v/>
      </c>
      <c r="BO328" s="518" t="str">
        <f>IF(AND(_D="B-737-900",'2024'!$L$4="CA",'2024'!$L$2=BO309),'2024DATA'!$J$21,"")</f>
        <v/>
      </c>
      <c r="BP328" s="518" t="str">
        <f>IF(AND(_D="B-737-900",'2024'!$L$4="CA",'2024'!$L$2=BP309),'2024DATA'!$K$21,"")</f>
        <v/>
      </c>
      <c r="BQ328" s="518" t="str">
        <f>IF(AND(_D="B-737-900",'2024'!$L$4="CA",'2024'!$L$2=BQ309),'2024DATA'!$L$21,"")</f>
        <v/>
      </c>
      <c r="BR328" s="518" t="str">
        <f>IF(AND(_D="B-737-900",'2024'!$L$4="CA",'2024'!$L$2=BR309),'2024DATA'!$M$21,"")</f>
        <v/>
      </c>
      <c r="BS328" s="520" t="str">
        <f>IF(AND(_D="B-737-900",'2024'!$L$4="CA",'2024'!$L$2=BS309),'2024DATA'!$N$21,"")</f>
        <v/>
      </c>
      <c r="BT328" s="940" t="s">
        <v>47</v>
      </c>
      <c r="BU328" s="13" t="s">
        <v>61</v>
      </c>
      <c r="BV328" s="518" t="str">
        <f>IF(AND(_E="B-737-900",'2024'!$L$4="CA",'2024'!$L$2=BV309),'2024DATA'!$C$21,"")</f>
        <v/>
      </c>
      <c r="BW328" s="518" t="str">
        <f>IF(AND(_E="B-737-900",'2024'!$L$4="CA",'2024'!$L$2=BW309),'2024DATA'!$D$21,"")</f>
        <v/>
      </c>
      <c r="BX328" s="518" t="str">
        <f>IF(AND(_E="B-737-900",'2024'!$L$4="CA",'2024'!$L$2=BX309),'2024DATA'!$E$21,"")</f>
        <v/>
      </c>
      <c r="BY328" s="518" t="str">
        <f>IF(AND(_E="B-737-900",'2024'!$L$4="CA",'2024'!$L$2=BY309),'2024DATA'!$F$21,"")</f>
        <v/>
      </c>
      <c r="BZ328" s="518" t="str">
        <f>IF(AND(_E="B-737-900",'2024'!$L$4="CA",'2024'!$L$2=BZ309),'2024DATA'!$G$21,"")</f>
        <v/>
      </c>
      <c r="CA328" s="518" t="str">
        <f>IF(AND(_E="B-737-900",'2024'!$L$4="CA",'2024'!$L$2=CA309),'2024DATA'!$H$21,"")</f>
        <v/>
      </c>
      <c r="CB328" s="518" t="str">
        <f>IF(AND(_E="B-737-900",'2024'!$L$4="CA",'2024'!$L$2=CB309),'2024DATA'!$I$21,"")</f>
        <v/>
      </c>
      <c r="CC328" s="518" t="str">
        <f>IF(AND(_E="B-737-900",'2024'!$L$4="CA",'2024'!$L$2=CC309),'2024DATA'!$J$21,"")</f>
        <v/>
      </c>
      <c r="CD328" s="518" t="str">
        <f>IF(AND(_E="B-737-900",'2024'!$L$4="CA",'2024'!$L$2=CD309),'2024DATA'!$K$21,"")</f>
        <v/>
      </c>
      <c r="CE328" s="518" t="str">
        <f>IF(AND(_E="B-737-900",'2024'!$L$4="CA",'2024'!$L$2=CE309),'2024DATA'!$L$21,"")</f>
        <v/>
      </c>
      <c r="CF328" s="518" t="str">
        <f>IF(AND(_E="B-737-900",'2024'!$L$4="CA",'2024'!$L$2=CF309),'2024DATA'!$M$21,"")</f>
        <v/>
      </c>
      <c r="CG328" s="520" t="str">
        <f>IF(AND(_E="B-737-900",'2024'!$L$4="CA",'2024'!$L$2=CG309),'2024DATA'!$N$21,"")</f>
        <v/>
      </c>
      <c r="CH328" s="940" t="s">
        <v>47</v>
      </c>
      <c r="CI328" s="13" t="s">
        <v>61</v>
      </c>
      <c r="CJ328" s="518" t="str">
        <f>IF(AND(_F="B-737-900",'2024'!$L$4="CA",'2024'!$L$2=CJ309),'2024DATA'!$C$21,"")</f>
        <v/>
      </c>
      <c r="CK328" s="518" t="str">
        <f>IF(AND(_F="B-737-900",'2024'!$L$4="CA",'2024'!$L$2=CK309),'2024DATA'!$D$21,"")</f>
        <v/>
      </c>
      <c r="CL328" s="518" t="str">
        <f>IF(AND(_F="B-737-900",'2024'!$L$4="CA",'2024'!$L$2=CL309),'2024DATA'!$E$21,"")</f>
        <v/>
      </c>
      <c r="CM328" s="518" t="str">
        <f>IF(AND(_F="B-737-900",'2024'!$L$4="CA",'2024'!$L$2=CM309),'2024DATA'!$F$21,"")</f>
        <v/>
      </c>
      <c r="CN328" s="518" t="str">
        <f>IF(AND(_F="B-737-900",'2024'!$L$4="CA",'2024'!$L$2=CN309),'2024DATA'!$G$21,"")</f>
        <v/>
      </c>
      <c r="CO328" s="518" t="str">
        <f>IF(AND(_F="B-737-900",'2024'!$L$4="CA",'2024'!$L$2=CO309),'2024DATA'!$H$21,"")</f>
        <v/>
      </c>
      <c r="CP328" s="518" t="str">
        <f>IF(AND(_F="B-737-900",'2024'!$L$4="CA",'2024'!$L$2=CP309),'2024DATA'!$I$21,"")</f>
        <v/>
      </c>
      <c r="CQ328" s="518" t="str">
        <f>IF(AND(_F="B-737-900",'2024'!$L$4="CA",'2024'!$L$2=CQ309),'2024DATA'!$J$21,"")</f>
        <v/>
      </c>
      <c r="CR328" s="518" t="str">
        <f>IF(AND(_F="B-737-900",'2024'!$L$4="CA",'2024'!$L$2=CR309),'2024DATA'!$K$21,"")</f>
        <v/>
      </c>
      <c r="CS328" s="518" t="str">
        <f>IF(AND(_F="B-737-900",'2024'!$L$4="CA",'2024'!$L$2=CS309),'2024DATA'!$L$21,"")</f>
        <v/>
      </c>
      <c r="CT328" s="518" t="str">
        <f>IF(AND(_F="B-737-900",'2024'!$L$4="CA",'2024'!$L$2=CT309),'2024DATA'!$M$21,"")</f>
        <v/>
      </c>
      <c r="CU328" s="520" t="str">
        <f>IF(AND(_F="B-737-900",'2024'!$L$4="CA",'2024'!$L$2=CU309),'2024DATA'!$N$21,"")</f>
        <v/>
      </c>
    </row>
    <row r="329" spans="16:99" x14ac:dyDescent="0.25">
      <c r="P329" s="940"/>
      <c r="Q329" s="13" t="s">
        <v>62</v>
      </c>
      <c r="R329" s="518" t="str">
        <f>IF(AND(_A="B-737-900",'2024'!$L$4="FO",'2024'!$L$2=R309),'2024DATA'!$C$22,"")</f>
        <v/>
      </c>
      <c r="S329" s="518" t="str">
        <f>IF(AND(_A="B-737-900",'2024'!$L$4="FO",'2024'!$L$2=S309),'2024DATA'!$D$22,"")</f>
        <v/>
      </c>
      <c r="T329" s="518" t="str">
        <f>IF(AND(_A="B-737-900",'2024'!$L$4="FO",'2024'!$L$2=T309),'2024DATA'!$E$22,"")</f>
        <v/>
      </c>
      <c r="U329" s="518" t="str">
        <f>IF(AND(_A="B-737-900",'2024'!$L$4="FO",'2024'!$L$2=U309),'2024DATA'!$F$22,"")</f>
        <v/>
      </c>
      <c r="V329" s="518" t="str">
        <f>IF(AND(_A="B-737-900",'2024'!$L$4="FO",'2024'!$L$2=V309),'2024DATA'!$G$22,"")</f>
        <v/>
      </c>
      <c r="W329" s="518" t="str">
        <f>IF(AND(_A="B-737-900",'2024'!$L$4="FO",'2024'!$L$2=W309),'2024DATA'!$H$22,"")</f>
        <v/>
      </c>
      <c r="X329" s="518" t="str">
        <f>IF(AND(_A="B-737-900",'2024'!$L$4="FO",'2024'!$L$2=X309),'2024DATA'!$I$22,"")</f>
        <v/>
      </c>
      <c r="Y329" s="518" t="str">
        <f>IF(AND(_A="B-737-900",'2024'!$L$4="FO",'2024'!$L$2=Y309),'2024DATA'!$J$22,"")</f>
        <v/>
      </c>
      <c r="Z329" s="518" t="str">
        <f>IF(AND(_A="B-737-900",'2024'!$L$4="FO",'2024'!$L$2=Z309),'2024DATA'!$K$22,"")</f>
        <v/>
      </c>
      <c r="AA329" s="518" t="str">
        <f>IF(AND(_A="B-737-900",'2024'!$L$4="FO",'2024'!$L$2=AA309),'2024DATA'!$L$22,"")</f>
        <v/>
      </c>
      <c r="AB329" s="518" t="str">
        <f>IF(AND(_A="B-737-900",'2024'!$L$4="FO",'2024'!$L$2=AB309),'2024DATA'!$M$22,"")</f>
        <v/>
      </c>
      <c r="AC329" s="520" t="str">
        <f>IF(AND(_A="B-737-900",'2024'!$L$4="FO",'2024'!$L$2=AC309),'2024DATA'!$N$22,"")</f>
        <v/>
      </c>
      <c r="AD329" s="940"/>
      <c r="AE329" s="13" t="s">
        <v>62</v>
      </c>
      <c r="AF329" s="518" t="str">
        <f>IF(AND(_B="B-737-900",'2024'!$L$4="FO",'2024'!$L$2=AF309),'2024DATA'!$C$22,"")</f>
        <v/>
      </c>
      <c r="AG329" s="518" t="str">
        <f>IF(AND(_B="B-737-900",'2024'!$L$4="FO",'2024'!$L$2=AG309),'2024DATA'!$D$22,"")</f>
        <v/>
      </c>
      <c r="AH329" s="518" t="str">
        <f>IF(AND(_B="B-737-900",'2024'!$L$4="FO",'2024'!$L$2=AH309),'2024DATA'!$E$22,"")</f>
        <v/>
      </c>
      <c r="AI329" s="518" t="str">
        <f>IF(AND(_B="B-737-900",'2024'!$L$4="FO",'2024'!$L$2=AI309),'2024DATA'!$F$22,"")</f>
        <v/>
      </c>
      <c r="AJ329" s="518" t="str">
        <f>IF(AND(_B="B-737-900",'2024'!$L$4="FO",'2024'!$L$2=AJ309),'2024DATA'!$G$22,"")</f>
        <v/>
      </c>
      <c r="AK329" s="518" t="str">
        <f>IF(AND(_B="B-737-900",'2024'!$L$4="FO",'2024'!$L$2=AK309),'2024DATA'!$H$22,"")</f>
        <v/>
      </c>
      <c r="AL329" s="518" t="str">
        <f>IF(AND(_B="B-737-900",'2024'!$L$4="FO",'2024'!$L$2=AL309),'2024DATA'!$I$22,"")</f>
        <v/>
      </c>
      <c r="AM329" s="518" t="str">
        <f>IF(AND(_B="B-737-900",'2024'!$L$4="FO",'2024'!$L$2=AM309),'2024DATA'!$J$22,"")</f>
        <v/>
      </c>
      <c r="AN329" s="518" t="str">
        <f>IF(AND(_B="B-737-900",'2024'!$L$4="FO",'2024'!$L$2=AN309),'2024DATA'!$K$22,"")</f>
        <v/>
      </c>
      <c r="AO329" s="518" t="str">
        <f>IF(AND(_B="B-737-900",'2024'!$L$4="FO",'2024'!$L$2=AO309),'2024DATA'!$L$22,"")</f>
        <v/>
      </c>
      <c r="AP329" s="518" t="str">
        <f>IF(AND(_B="B-737-900",'2024'!$L$4="FO",'2024'!$L$2=AP309),'2024DATA'!$M$22,"")</f>
        <v/>
      </c>
      <c r="AQ329" s="520" t="str">
        <f>IF(AND(_B="B-737-900",'2024'!$L$4="FO",'2024'!$L$2=AQ309),'2024DATA'!$N$22,"")</f>
        <v/>
      </c>
      <c r="AR329" s="940"/>
      <c r="AS329" s="13" t="s">
        <v>62</v>
      </c>
      <c r="AT329" s="518" t="str">
        <f>IF(AND(_C="B-737-900",'2024'!$L$4="FO",'2024'!$L$2=AT309),'2024DATA'!$C$22,"")</f>
        <v/>
      </c>
      <c r="AU329" s="518" t="str">
        <f>IF(AND(_C="B-737-900",'2024'!$L$4="FO",'2024'!$L$2=AU309),'2024DATA'!$D$22,"")</f>
        <v/>
      </c>
      <c r="AV329" s="518" t="str">
        <f>IF(AND(_C="B-737-900",'2024'!$L$4="FO",'2024'!$L$2=AV309),'2024DATA'!$E$22,"")</f>
        <v/>
      </c>
      <c r="AW329" s="518" t="str">
        <f>IF(AND(_C="B-737-900",'2024'!$L$4="FO",'2024'!$L$2=AW309),'2024DATA'!$F$22,"")</f>
        <v/>
      </c>
      <c r="AX329" s="518" t="str">
        <f>IF(AND(_C="B-737-900",'2024'!$L$4="FO",'2024'!$L$2=AX309),'2024DATA'!$G$22,"")</f>
        <v/>
      </c>
      <c r="AY329" s="518" t="str">
        <f>IF(AND(_C="B-737-900",'2024'!$L$4="FO",'2024'!$L$2=AY309),'2024DATA'!$H$22,"")</f>
        <v/>
      </c>
      <c r="AZ329" s="518" t="str">
        <f>IF(AND(_C="B-737-900",'2024'!$L$4="FO",'2024'!$L$2=AZ309),'2024DATA'!$I$22,"")</f>
        <v/>
      </c>
      <c r="BA329" s="518" t="str">
        <f>IF(AND(_C="B-737-900",'2024'!$L$4="FO",'2024'!$L$2=BA309),'2024DATA'!$J$22,"")</f>
        <v/>
      </c>
      <c r="BB329" s="518" t="str">
        <f>IF(AND(_C="B-737-900",'2024'!$L$4="FO",'2024'!$L$2=BB309),'2024DATA'!$K$22,"")</f>
        <v/>
      </c>
      <c r="BC329" s="518" t="str">
        <f>IF(AND(_C="B-737-900",'2024'!$L$4="FO",'2024'!$L$2=BC309),'2024DATA'!$L$22,"")</f>
        <v/>
      </c>
      <c r="BD329" s="518" t="str">
        <f>IF(AND(_C="B-737-900",'2024'!$L$4="FO",'2024'!$L$2=BD309),'2024DATA'!$M$22,"")</f>
        <v/>
      </c>
      <c r="BE329" s="520" t="str">
        <f>IF(AND(_C="B-737-900",'2024'!$L$4="FO",'2024'!$L$2=BE309),'2024DATA'!$N$22,"")</f>
        <v/>
      </c>
      <c r="BF329" s="940"/>
      <c r="BG329" s="13" t="s">
        <v>62</v>
      </c>
      <c r="BH329" s="518" t="str">
        <f>IF(AND(_D="B-737-900",'2024'!$L$4="FO",'2024'!$L$2=BH309),'2024DATA'!$C$22,"")</f>
        <v/>
      </c>
      <c r="BI329" s="518" t="str">
        <f>IF(AND(_D="B-737-900",'2024'!$L$4="FO",'2024'!$L$2=BI309),'2024DATA'!$D$22,"")</f>
        <v/>
      </c>
      <c r="BJ329" s="518" t="str">
        <f>IF(AND(_D="B-737-900",'2024'!$L$4="FO",'2024'!$L$2=BJ309),'2024DATA'!$E$22,"")</f>
        <v/>
      </c>
      <c r="BK329" s="518" t="str">
        <f>IF(AND(_D="B-737-900",'2024'!$L$4="FO",'2024'!$L$2=BK309),'2024DATA'!$F$22,"")</f>
        <v/>
      </c>
      <c r="BL329" s="518" t="str">
        <f>IF(AND(_D="B-737-900",'2024'!$L$4="FO",'2024'!$L$2=BL309),'2024DATA'!$G$22,"")</f>
        <v/>
      </c>
      <c r="BM329" s="518" t="str">
        <f>IF(AND(_D="B-737-900",'2024'!$L$4="FO",'2024'!$L$2=BM309),'2024DATA'!$H$22,"")</f>
        <v/>
      </c>
      <c r="BN329" s="518" t="str">
        <f>IF(AND(_D="B-737-900",'2024'!$L$4="FO",'2024'!$L$2=BN309),'2024DATA'!$I$22,"")</f>
        <v/>
      </c>
      <c r="BO329" s="518" t="str">
        <f>IF(AND(_D="B-737-900",'2024'!$L$4="FO",'2024'!$L$2=BO309),'2024DATA'!$J$22,"")</f>
        <v/>
      </c>
      <c r="BP329" s="518" t="str">
        <f>IF(AND(_D="B-737-900",'2024'!$L$4="FO",'2024'!$L$2=BP309),'2024DATA'!$K$22,"")</f>
        <v/>
      </c>
      <c r="BQ329" s="518" t="str">
        <f>IF(AND(_D="B-737-900",'2024'!$L$4="FO",'2024'!$L$2=BQ309),'2024DATA'!$L$22,"")</f>
        <v/>
      </c>
      <c r="BR329" s="518" t="str">
        <f>IF(AND(_D="B-737-900",'2024'!$L$4="FO",'2024'!$L$2=BR309),'2024DATA'!$M$22,"")</f>
        <v/>
      </c>
      <c r="BS329" s="520" t="str">
        <f>IF(AND(_D="B-737-900",'2024'!$L$4="FO",'2024'!$L$2=BS309),'2024DATA'!$N$22,"")</f>
        <v/>
      </c>
      <c r="BT329" s="940"/>
      <c r="BU329" s="13" t="s">
        <v>62</v>
      </c>
      <c r="BV329" s="518" t="str">
        <f>IF(AND(_E="B-737-900",'2024'!$L$4="FO",'2024'!$L$2=BV309),'2024DATA'!$C$22,"")</f>
        <v/>
      </c>
      <c r="BW329" s="518" t="str">
        <f>IF(AND(_E="B-737-900",'2024'!$L$4="FO",'2024'!$L$2=BW309),'2024DATA'!$D$22,"")</f>
        <v/>
      </c>
      <c r="BX329" s="518" t="str">
        <f>IF(AND(_E="B-737-900",'2024'!$L$4="FO",'2024'!$L$2=BX309),'2024DATA'!$E$22,"")</f>
        <v/>
      </c>
      <c r="BY329" s="518" t="str">
        <f>IF(AND(_E="B-737-900",'2024'!$L$4="FO",'2024'!$L$2=BY309),'2024DATA'!$F$22,"")</f>
        <v/>
      </c>
      <c r="BZ329" s="518" t="str">
        <f>IF(AND(_E="B-737-900",'2024'!$L$4="FO",'2024'!$L$2=BZ309),'2024DATA'!$G$22,"")</f>
        <v/>
      </c>
      <c r="CA329" s="518" t="str">
        <f>IF(AND(_E="B-737-900",'2024'!$L$4="FO",'2024'!$L$2=CA309),'2024DATA'!$H$22,"")</f>
        <v/>
      </c>
      <c r="CB329" s="518" t="str">
        <f>IF(AND(_E="B-737-900",'2024'!$L$4="FO",'2024'!$L$2=CB309),'2024DATA'!$I$22,"")</f>
        <v/>
      </c>
      <c r="CC329" s="518" t="str">
        <f>IF(AND(_E="B-737-900",'2024'!$L$4="FO",'2024'!$L$2=CC309),'2024DATA'!$J$22,"")</f>
        <v/>
      </c>
      <c r="CD329" s="518" t="str">
        <f>IF(AND(_E="B-737-900",'2024'!$L$4="FO",'2024'!$L$2=CD309),'2024DATA'!$K$22,"")</f>
        <v/>
      </c>
      <c r="CE329" s="518" t="str">
        <f>IF(AND(_E="B-737-900",'2024'!$L$4="FO",'2024'!$L$2=CE309),'2024DATA'!$L$22,"")</f>
        <v/>
      </c>
      <c r="CF329" s="518" t="str">
        <f>IF(AND(_E="B-737-900",'2024'!$L$4="FO",'2024'!$L$2=CF309),'2024DATA'!$M$22,"")</f>
        <v/>
      </c>
      <c r="CG329" s="520" t="str">
        <f>IF(AND(_E="B-737-900",'2024'!$L$4="FO",'2024'!$L$2=CG309),'2024DATA'!$N$22,"")</f>
        <v/>
      </c>
      <c r="CH329" s="940"/>
      <c r="CI329" s="13" t="s">
        <v>62</v>
      </c>
      <c r="CJ329" s="518" t="str">
        <f>IF(AND(_F="B-737-900",'2024'!$L$4="FO",'2024'!$L$2=CJ309),'2024DATA'!$C$22,"")</f>
        <v/>
      </c>
      <c r="CK329" s="518" t="str">
        <f>IF(AND(_F="B-737-900",'2024'!$L$4="FO",'2024'!$L$2=CK309),'2024DATA'!$D$22,"")</f>
        <v/>
      </c>
      <c r="CL329" s="518" t="str">
        <f>IF(AND(_F="B-737-900",'2024'!$L$4="FO",'2024'!$L$2=CL309),'2024DATA'!$E$22,"")</f>
        <v/>
      </c>
      <c r="CM329" s="518" t="str">
        <f>IF(AND(_F="B-737-900",'2024'!$L$4="FO",'2024'!$L$2=CM309),'2024DATA'!$F$22,"")</f>
        <v/>
      </c>
      <c r="CN329" s="518" t="str">
        <f>IF(AND(_F="B-737-900",'2024'!$L$4="FO",'2024'!$L$2=CN309),'2024DATA'!$G$22,"")</f>
        <v/>
      </c>
      <c r="CO329" s="518" t="str">
        <f>IF(AND(_F="B-737-900",'2024'!$L$4="FO",'2024'!$L$2=CO309),'2024DATA'!$H$22,"")</f>
        <v/>
      </c>
      <c r="CP329" s="518" t="str">
        <f>IF(AND(_F="B-737-900",'2024'!$L$4="FO",'2024'!$L$2=CP309),'2024DATA'!$I$22,"")</f>
        <v/>
      </c>
      <c r="CQ329" s="518" t="str">
        <f>IF(AND(_F="B-737-900",'2024'!$L$4="FO",'2024'!$L$2=CQ309),'2024DATA'!$J$22,"")</f>
        <v/>
      </c>
      <c r="CR329" s="518" t="str">
        <f>IF(AND(_F="B-737-900",'2024'!$L$4="FO",'2024'!$L$2=CR309),'2024DATA'!$K$22,"")</f>
        <v/>
      </c>
      <c r="CS329" s="518" t="str">
        <f>IF(AND(_F="B-737-900",'2024'!$L$4="FO",'2024'!$L$2=CS309),'2024DATA'!$L$22,"")</f>
        <v/>
      </c>
      <c r="CT329" s="518" t="str">
        <f>IF(AND(_F="B-737-900",'2024'!$L$4="FO",'2024'!$L$2=CT309),'2024DATA'!$M$22,"")</f>
        <v/>
      </c>
      <c r="CU329" s="520" t="str">
        <f>IF(AND(_F="B-737-900",'2024'!$L$4="FO",'2024'!$L$2=CU309),'2024DATA'!$N$22,"")</f>
        <v/>
      </c>
    </row>
    <row r="330" spans="16:99" x14ac:dyDescent="0.25">
      <c r="P330" s="940" t="s">
        <v>69</v>
      </c>
      <c r="Q330" s="13" t="s">
        <v>61</v>
      </c>
      <c r="R330" s="518" t="str">
        <f>IF(AND(_A="B-737-800",'2024'!$L$4="CA",'2024'!$L$2=R309),'2024DATA'!$C$23,"")</f>
        <v/>
      </c>
      <c r="S330" s="518" t="str">
        <f>IF(AND(_A="B-737-800",'2024'!$L$4="CA",'2024'!$L$2=S309),'2024DATA'!$D$23,"")</f>
        <v/>
      </c>
      <c r="T330" s="518" t="str">
        <f>IF(AND(_A="B-737-800",'2024'!$L$4="CA",'2024'!$L$2=T309),'2024DATA'!$E$23,"")</f>
        <v/>
      </c>
      <c r="U330" s="518" t="str">
        <f>IF(AND(_A="B-737-800",'2024'!$L$4="CA",'2024'!$L$2=U309),'2024DATA'!$F$23,"")</f>
        <v/>
      </c>
      <c r="V330" s="518" t="str">
        <f>IF(AND(_A="B-737-800",'2024'!$L$4="CA",'2024'!$L$2=V309),'2024DATA'!$G$23,"")</f>
        <v/>
      </c>
      <c r="W330" s="518" t="str">
        <f>IF(AND(_A="B-737-800",'2024'!$L$4="CA",'2024'!$L$2=W309),'2024DATA'!$H$23,"")</f>
        <v/>
      </c>
      <c r="X330" s="518" t="str">
        <f>IF(AND(_A="B-737-800",'2024'!$L$4="CA",'2024'!$L$2=X309),'2024DATA'!$I$23,"")</f>
        <v/>
      </c>
      <c r="Y330" s="518" t="str">
        <f>IF(AND(_A="B-737-800",'2024'!$L$4="CA",'2024'!$L$2=Y309),'2024DATA'!$J$23,"")</f>
        <v/>
      </c>
      <c r="Z330" s="518" t="str">
        <f>IF(AND(_A="B-737-800",'2024'!$L$4="CA",'2024'!$L$2=Z309),'2024DATA'!$K$23,"")</f>
        <v/>
      </c>
      <c r="AA330" s="518" t="str">
        <f>IF(AND(_A="B-737-800",'2024'!$L$4="CA",'2024'!$L$2=AA309),'2024DATA'!$L$23,"")</f>
        <v/>
      </c>
      <c r="AB330" s="518" t="str">
        <f>IF(AND(_A="B-737-800",'2024'!$L$4="CA",'2024'!$L$2=AB309),'2024DATA'!$M$23,"")</f>
        <v/>
      </c>
      <c r="AC330" s="520" t="str">
        <f>IF(AND(_A="B-737-800",'2024'!$L$4="CA",'2024'!$L$2=AC309),'2024DATA'!$N$23,"")</f>
        <v/>
      </c>
      <c r="AD330" s="940" t="s">
        <v>69</v>
      </c>
      <c r="AE330" s="13" t="s">
        <v>61</v>
      </c>
      <c r="AF330" s="518" t="str">
        <f>IF(AND(_B="B-737-800",'2024'!$L$4="CA",'2024'!$L$2=AF309),'2024DATA'!$C$23,"")</f>
        <v/>
      </c>
      <c r="AG330" s="518" t="str">
        <f>IF(AND(_B="B-737-800",'2024'!$L$4="CA",'2024'!$L$2=AG309),'2024DATA'!$D$23,"")</f>
        <v/>
      </c>
      <c r="AH330" s="518" t="str">
        <f>IF(AND(_B="B-737-800",'2024'!$L$4="CA",'2024'!$L$2=AH309),'2024DATA'!$E$23,"")</f>
        <v/>
      </c>
      <c r="AI330" s="518" t="str">
        <f>IF(AND(_B="B-737-800",'2024'!$L$4="CA",'2024'!$L$2=AI309),'2024DATA'!$F$23,"")</f>
        <v/>
      </c>
      <c r="AJ330" s="518" t="str">
        <f>IF(AND(_B="B-737-800",'2024'!$L$4="CA",'2024'!$L$2=AJ309),'2024DATA'!$G$23,"")</f>
        <v/>
      </c>
      <c r="AK330" s="518" t="str">
        <f>IF(AND(_B="B-737-800",'2024'!$L$4="CA",'2024'!$L$2=AK309),'2024DATA'!$H$23,"")</f>
        <v/>
      </c>
      <c r="AL330" s="518" t="str">
        <f>IF(AND(_B="B-737-800",'2024'!$L$4="CA",'2024'!$L$2=AL309),'2024DATA'!$I$23,"")</f>
        <v/>
      </c>
      <c r="AM330" s="518" t="str">
        <f>IF(AND(_B="B-737-800",'2024'!$L$4="CA",'2024'!$L$2=AM309),'2024DATA'!$J$23,"")</f>
        <v/>
      </c>
      <c r="AN330" s="518" t="str">
        <f>IF(AND(_B="B-737-800",'2024'!$L$4="CA",'2024'!$L$2=AN309),'2024DATA'!$K$23,"")</f>
        <v/>
      </c>
      <c r="AO330" s="518" t="str">
        <f>IF(AND(_B="B-737-800",'2024'!$L$4="CA",'2024'!$L$2=AO309),'2024DATA'!$L$23,"")</f>
        <v/>
      </c>
      <c r="AP330" s="518" t="str">
        <f>IF(AND(_B="B-737-800",'2024'!$L$4="CA",'2024'!$L$2=AP309),'2024DATA'!$M$23,"")</f>
        <v/>
      </c>
      <c r="AQ330" s="520" t="str">
        <f>IF(AND(_B="B-737-800",'2024'!$L$4="CA",'2024'!$L$2=AQ309),'2024DATA'!$N$23,"")</f>
        <v/>
      </c>
      <c r="AR330" s="940" t="s">
        <v>69</v>
      </c>
      <c r="AS330" s="13" t="s">
        <v>61</v>
      </c>
      <c r="AT330" s="518" t="str">
        <f>IF(AND(_C="B-737-800",'2024'!$L$4="CA",'2024'!$L$2=AT309),'2024DATA'!$C$23,"")</f>
        <v/>
      </c>
      <c r="AU330" s="518" t="str">
        <f>IF(AND(_C="B-737-800",'2024'!$L$4="CA",'2024'!$L$2=AU309),'2024DATA'!$D$23,"")</f>
        <v/>
      </c>
      <c r="AV330" s="518" t="str">
        <f>IF(AND(_C="B-737-800",'2024'!$L$4="CA",'2024'!$L$2=AV309),'2024DATA'!$E$23,"")</f>
        <v/>
      </c>
      <c r="AW330" s="518" t="str">
        <f>IF(AND(_C="B-737-800",'2024'!$L$4="CA",'2024'!$L$2=AW309),'2024DATA'!$F$23,"")</f>
        <v/>
      </c>
      <c r="AX330" s="518" t="str">
        <f>IF(AND(_C="B-737-800",'2024'!$L$4="CA",'2024'!$L$2=AX309),'2024DATA'!$G$23,"")</f>
        <v/>
      </c>
      <c r="AY330" s="518" t="str">
        <f>IF(AND(_C="B-737-800",'2024'!$L$4="CA",'2024'!$L$2=AY309),'2024DATA'!$H$23,"")</f>
        <v/>
      </c>
      <c r="AZ330" s="518" t="str">
        <f>IF(AND(_C="B-737-800",'2024'!$L$4="CA",'2024'!$L$2=AZ309),'2024DATA'!$I$23,"")</f>
        <v/>
      </c>
      <c r="BA330" s="518" t="str">
        <f>IF(AND(_C="B-737-800",'2024'!$L$4="CA",'2024'!$L$2=BA309),'2024DATA'!$J$23,"")</f>
        <v/>
      </c>
      <c r="BB330" s="518" t="str">
        <f>IF(AND(_C="B-737-800",'2024'!$L$4="CA",'2024'!$L$2=BB309),'2024DATA'!$K$23,"")</f>
        <v/>
      </c>
      <c r="BC330" s="518" t="str">
        <f>IF(AND(_C="B-737-800",'2024'!$L$4="CA",'2024'!$L$2=BC309),'2024DATA'!$L$23,"")</f>
        <v/>
      </c>
      <c r="BD330" s="518" t="str">
        <f>IF(AND(_C="B-737-800",'2024'!$L$4="CA",'2024'!$L$2=BD309),'2024DATA'!$M$23,"")</f>
        <v/>
      </c>
      <c r="BE330" s="520" t="str">
        <f>IF(AND(_C="B-737-800",'2024'!$L$4="CA",'2024'!$L$2=BE309),'2024DATA'!$N$23,"")</f>
        <v/>
      </c>
      <c r="BF330" s="940" t="s">
        <v>69</v>
      </c>
      <c r="BG330" s="13" t="s">
        <v>61</v>
      </c>
      <c r="BH330" s="518" t="str">
        <f>IF(AND(_D="B-737-800",'2024'!$L$4="CA",'2024'!$L$2=BH309),'2024DATA'!$C$23,"")</f>
        <v/>
      </c>
      <c r="BI330" s="518" t="str">
        <f>IF(AND(_D="B-737-800",'2024'!$L$4="CA",'2024'!$L$2=BI309),'2024DATA'!$D$23,"")</f>
        <v/>
      </c>
      <c r="BJ330" s="518" t="str">
        <f>IF(AND(_D="B-737-800",'2024'!$L$4="CA",'2024'!$L$2=BJ309),'2024DATA'!$E$23,"")</f>
        <v/>
      </c>
      <c r="BK330" s="518" t="str">
        <f>IF(AND(_D="B-737-800",'2024'!$L$4="CA",'2024'!$L$2=BK309),'2024DATA'!$F$23,"")</f>
        <v/>
      </c>
      <c r="BL330" s="518" t="str">
        <f>IF(AND(_D="B-737-800",'2024'!$L$4="CA",'2024'!$L$2=BL309),'2024DATA'!$G$23,"")</f>
        <v/>
      </c>
      <c r="BM330" s="518" t="str">
        <f>IF(AND(_D="B-737-800",'2024'!$L$4="CA",'2024'!$L$2=BM309),'2024DATA'!$H$23,"")</f>
        <v/>
      </c>
      <c r="BN330" s="518" t="str">
        <f>IF(AND(_D="B-737-800",'2024'!$L$4="CA",'2024'!$L$2=BN309),'2024DATA'!$I$23,"")</f>
        <v/>
      </c>
      <c r="BO330" s="518" t="str">
        <f>IF(AND(_D="B-737-800",'2024'!$L$4="CA",'2024'!$L$2=BO309),'2024DATA'!$J$23,"")</f>
        <v/>
      </c>
      <c r="BP330" s="518" t="str">
        <f>IF(AND(_D="B-737-800",'2024'!$L$4="CA",'2024'!$L$2=BP309),'2024DATA'!$K$23,"")</f>
        <v/>
      </c>
      <c r="BQ330" s="518" t="str">
        <f>IF(AND(_D="B-737-800",'2024'!$L$4="CA",'2024'!$L$2=BQ309),'2024DATA'!$L$23,"")</f>
        <v/>
      </c>
      <c r="BR330" s="518" t="str">
        <f>IF(AND(_D="B-737-800",'2024'!$L$4="CA",'2024'!$L$2=BR309),'2024DATA'!$M$23,"")</f>
        <v/>
      </c>
      <c r="BS330" s="520" t="str">
        <f>IF(AND(_D="B-737-800",'2024'!$L$4="CA",'2024'!$L$2=BS309),'2024DATA'!$N$23,"")</f>
        <v/>
      </c>
      <c r="BT330" s="940" t="s">
        <v>69</v>
      </c>
      <c r="BU330" s="13" t="s">
        <v>61</v>
      </c>
      <c r="BV330" s="518" t="str">
        <f>IF(AND(_E="B-737-800",'2024'!$L$4="CA",'2024'!$L$2=BV309),'2024DATA'!$C$23,"")</f>
        <v/>
      </c>
      <c r="BW330" s="518" t="str">
        <f>IF(AND(_E="B-737-800",'2024'!$L$4="CA",'2024'!$L$2=BW309),'2024DATA'!$D$23,"")</f>
        <v/>
      </c>
      <c r="BX330" s="518" t="str">
        <f>IF(AND(_E="B-737-800",'2024'!$L$4="CA",'2024'!$L$2=BX309),'2024DATA'!$E$23,"")</f>
        <v/>
      </c>
      <c r="BY330" s="518" t="str">
        <f>IF(AND(_E="B-737-800",'2024'!$L$4="CA",'2024'!$L$2=BY309),'2024DATA'!$F$23,"")</f>
        <v/>
      </c>
      <c r="BZ330" s="518" t="str">
        <f>IF(AND(_E="B-737-800",'2024'!$L$4="CA",'2024'!$L$2=BZ309),'2024DATA'!$G$23,"")</f>
        <v/>
      </c>
      <c r="CA330" s="518" t="str">
        <f>IF(AND(_E="B-737-800",'2024'!$L$4="CA",'2024'!$L$2=CA309),'2024DATA'!$H$23,"")</f>
        <v/>
      </c>
      <c r="CB330" s="518" t="str">
        <f>IF(AND(_E="B-737-800",'2024'!$L$4="CA",'2024'!$L$2=CB309),'2024DATA'!$I$23,"")</f>
        <v/>
      </c>
      <c r="CC330" s="518" t="str">
        <f>IF(AND(_E="B-737-800",'2024'!$L$4="CA",'2024'!$L$2=CC309),'2024DATA'!$J$23,"")</f>
        <v/>
      </c>
      <c r="CD330" s="518" t="str">
        <f>IF(AND(_E="B-737-800",'2024'!$L$4="CA",'2024'!$L$2=CD309),'2024DATA'!$K$23,"")</f>
        <v/>
      </c>
      <c r="CE330" s="518" t="str">
        <f>IF(AND(_E="B-737-800",'2024'!$L$4="CA",'2024'!$L$2=CE309),'2024DATA'!$L$23,"")</f>
        <v/>
      </c>
      <c r="CF330" s="518" t="str">
        <f>IF(AND(_E="B-737-800",'2024'!$L$4="CA",'2024'!$L$2=CF309),'2024DATA'!$M$23,"")</f>
        <v/>
      </c>
      <c r="CG330" s="520" t="str">
        <f>IF(AND(_E="B-737-800",'2024'!$L$4="CA",'2024'!$L$2=CG309),'2024DATA'!$N$23,"")</f>
        <v/>
      </c>
      <c r="CH330" s="940" t="s">
        <v>69</v>
      </c>
      <c r="CI330" s="13" t="s">
        <v>61</v>
      </c>
      <c r="CJ330" s="518" t="str">
        <f>IF(AND(_F="B-737-800",'2024'!$L$4="CA",'2024'!$L$2=CJ309),'2024DATA'!$C$23,"")</f>
        <v/>
      </c>
      <c r="CK330" s="518" t="str">
        <f>IF(AND(_F="B-737-800",'2024'!$L$4="CA",'2024'!$L$2=CK309),'2024DATA'!$D$23,"")</f>
        <v/>
      </c>
      <c r="CL330" s="518" t="str">
        <f>IF(AND(_F="B-737-800",'2024'!$L$4="CA",'2024'!$L$2=CL309),'2024DATA'!$E$23,"")</f>
        <v/>
      </c>
      <c r="CM330" s="518" t="str">
        <f>IF(AND(_F="B-737-800",'2024'!$L$4="CA",'2024'!$L$2=CM309),'2024DATA'!$F$23,"")</f>
        <v/>
      </c>
      <c r="CN330" s="518" t="str">
        <f>IF(AND(_F="B-737-800",'2024'!$L$4="CA",'2024'!$L$2=CN309),'2024DATA'!$G$23,"")</f>
        <v/>
      </c>
      <c r="CO330" s="518" t="str">
        <f>IF(AND(_F="B-737-800",'2024'!$L$4="CA",'2024'!$L$2=CO309),'2024DATA'!$H$23,"")</f>
        <v/>
      </c>
      <c r="CP330" s="518" t="str">
        <f>IF(AND(_F="B-737-800",'2024'!$L$4="CA",'2024'!$L$2=CP309),'2024DATA'!$I$23,"")</f>
        <v/>
      </c>
      <c r="CQ330" s="518" t="str">
        <f>IF(AND(_F="B-737-800",'2024'!$L$4="CA",'2024'!$L$2=CQ309),'2024DATA'!$J$23,"")</f>
        <v/>
      </c>
      <c r="CR330" s="518" t="str">
        <f>IF(AND(_F="B-737-800",'2024'!$L$4="CA",'2024'!$L$2=CR309),'2024DATA'!$K$23,"")</f>
        <v/>
      </c>
      <c r="CS330" s="518" t="str">
        <f>IF(AND(_F="B-737-800",'2024'!$L$4="CA",'2024'!$L$2=CS309),'2024DATA'!$L$23,"")</f>
        <v/>
      </c>
      <c r="CT330" s="518" t="str">
        <f>IF(AND(_F="B-737-800",'2024'!$L$4="CA",'2024'!$L$2=CT309),'2024DATA'!$M$23,"")</f>
        <v/>
      </c>
      <c r="CU330" s="520" t="str">
        <f>IF(AND(_F="B-737-800",'2024'!$L$4="CA",'2024'!$L$2=CU309),'2024DATA'!$N$23,"")</f>
        <v/>
      </c>
    </row>
    <row r="331" spans="16:99" x14ac:dyDescent="0.25">
      <c r="P331" s="940"/>
      <c r="Q331" s="13" t="s">
        <v>62</v>
      </c>
      <c r="R331" s="518" t="str">
        <f>IF(AND(_A="B-737-800",'2024'!$L$4="FO",'2024'!$L$2=R309),'2024DATA'!$C$24,"")</f>
        <v/>
      </c>
      <c r="S331" s="518" t="str">
        <f>IF(AND(_A="B-737-800",'2024'!$L$4="FO",'2024'!$L$2=S309),'2024DATA'!$D$24,"")</f>
        <v/>
      </c>
      <c r="T331" s="518" t="str">
        <f>IF(AND(_A="B-737-800",'2024'!$L$4="FO",'2024'!$L$2=T309),'2024DATA'!$E$24,"")</f>
        <v/>
      </c>
      <c r="U331" s="518" t="str">
        <f>IF(AND(_A="B-737-800",'2024'!$L$4="FO",'2024'!$L$2=U309),'2024DATA'!$F$24,"")</f>
        <v/>
      </c>
      <c r="V331" s="518" t="str">
        <f>IF(AND(_A="B-737-800",'2024'!$L$4="FO",'2024'!$L$2=V309),'2024DATA'!$G$24,"")</f>
        <v/>
      </c>
      <c r="W331" s="518" t="str">
        <f>IF(AND(_A="B-737-800",'2024'!$L$4="FO",'2024'!$L$2=W309),'2024DATA'!$H$24,"")</f>
        <v/>
      </c>
      <c r="X331" s="518" t="str">
        <f>IF(AND(_A="B-737-800",'2024'!$L$4="FO",'2024'!$L$2=X309),'2024DATA'!$I$24,"")</f>
        <v/>
      </c>
      <c r="Y331" s="518" t="str">
        <f>IF(AND(_A="B-737-800",'2024'!$L$4="FO",'2024'!$L$2=Y309),'2024DATA'!$J$24,"")</f>
        <v/>
      </c>
      <c r="Z331" s="518" t="str">
        <f>IF(AND(_A="B-737-800",'2024'!$L$4="FO",'2024'!$L$2=Z309),'2024DATA'!$K$24,"")</f>
        <v/>
      </c>
      <c r="AA331" s="518" t="str">
        <f>IF(AND(_A="B-737-800",'2024'!$L$4="FO",'2024'!$L$2=AA309),'2024DATA'!$L$24,"")</f>
        <v/>
      </c>
      <c r="AB331" s="518" t="str">
        <f>IF(AND(_A="B-737-800",'2024'!$L$4="FO",'2024'!$L$2=AB309),'2024DATA'!$M$24,"")</f>
        <v/>
      </c>
      <c r="AC331" s="520" t="str">
        <f>IF(AND(_A="B-737-800",'2024'!$L$4="FO",'2024'!$L$2=AC309),'2024DATA'!$N$24,"")</f>
        <v/>
      </c>
      <c r="AD331" s="940"/>
      <c r="AE331" s="13" t="s">
        <v>62</v>
      </c>
      <c r="AF331" s="518" t="str">
        <f>IF(AND(_B="B-737-800",'2024'!$L$4="FO",'2024'!$L$2=AF309),'2024DATA'!$C$24,"")</f>
        <v/>
      </c>
      <c r="AG331" s="518" t="str">
        <f>IF(AND(_B="B-737-800",'2024'!$L$4="FO",'2024'!$L$2=AG309),'2024DATA'!$D$24,"")</f>
        <v/>
      </c>
      <c r="AH331" s="518" t="str">
        <f>IF(AND(_B="B-737-800",'2024'!$L$4="FO",'2024'!$L$2=AH309),'2024DATA'!$E$24,"")</f>
        <v/>
      </c>
      <c r="AI331" s="518" t="str">
        <f>IF(AND(_B="B-737-800",'2024'!$L$4="FO",'2024'!$L$2=AI309),'2024DATA'!$F$24,"")</f>
        <v/>
      </c>
      <c r="AJ331" s="518" t="str">
        <f>IF(AND(_B="B-737-800",'2024'!$L$4="FO",'2024'!$L$2=AJ309),'2024DATA'!$G$24,"")</f>
        <v/>
      </c>
      <c r="AK331" s="518" t="str">
        <f>IF(AND(_B="B-737-800",'2024'!$L$4="FO",'2024'!$L$2=AK309),'2024DATA'!$H$24,"")</f>
        <v/>
      </c>
      <c r="AL331" s="518" t="str">
        <f>IF(AND(_B="B-737-800",'2024'!$L$4="FO",'2024'!$L$2=AL309),'2024DATA'!$I$24,"")</f>
        <v/>
      </c>
      <c r="AM331" s="518" t="str">
        <f>IF(AND(_B="B-737-800",'2024'!$L$4="FO",'2024'!$L$2=AM309),'2024DATA'!$J$24,"")</f>
        <v/>
      </c>
      <c r="AN331" s="518" t="str">
        <f>IF(AND(_B="B-737-800",'2024'!$L$4="FO",'2024'!$L$2=AN309),'2024DATA'!$K$24,"")</f>
        <v/>
      </c>
      <c r="AO331" s="518" t="str">
        <f>IF(AND(_B="B-737-800",'2024'!$L$4="FO",'2024'!$L$2=AO309),'2024DATA'!$L$24,"")</f>
        <v/>
      </c>
      <c r="AP331" s="518" t="str">
        <f>IF(AND(_B="B-737-800",'2024'!$L$4="FO",'2024'!$L$2=AP309),'2024DATA'!$M$24,"")</f>
        <v/>
      </c>
      <c r="AQ331" s="520" t="str">
        <f>IF(AND(_B="B-737-800",'2024'!$L$4="FO",'2024'!$L$2=AQ309),'2024DATA'!$N$24,"")</f>
        <v/>
      </c>
      <c r="AR331" s="940"/>
      <c r="AS331" s="13" t="s">
        <v>62</v>
      </c>
      <c r="AT331" s="518" t="str">
        <f>IF(AND(_C="B-737-800",'2024'!$L$4="FO",'2024'!$L$2=AT309),'2024DATA'!$C$24,"")</f>
        <v/>
      </c>
      <c r="AU331" s="518" t="str">
        <f>IF(AND(_C="B-737-800",'2024'!$L$4="FO",'2024'!$L$2=AU309),'2024DATA'!$D$24,"")</f>
        <v/>
      </c>
      <c r="AV331" s="518" t="str">
        <f>IF(AND(_C="B-737-800",'2024'!$L$4="FO",'2024'!$L$2=AV309),'2024DATA'!$E$24,"")</f>
        <v/>
      </c>
      <c r="AW331" s="518" t="str">
        <f>IF(AND(_C="B-737-800",'2024'!$L$4="FO",'2024'!$L$2=AW309),'2024DATA'!$F$24,"")</f>
        <v/>
      </c>
      <c r="AX331" s="518" t="str">
        <f>IF(AND(_C="B-737-800",'2024'!$L$4="FO",'2024'!$L$2=AX309),'2024DATA'!$G$24,"")</f>
        <v/>
      </c>
      <c r="AY331" s="518" t="str">
        <f>IF(AND(_C="B-737-800",'2024'!$L$4="FO",'2024'!$L$2=AY309),'2024DATA'!$H$24,"")</f>
        <v/>
      </c>
      <c r="AZ331" s="518" t="str">
        <f>IF(AND(_C="B-737-800",'2024'!$L$4="FO",'2024'!$L$2=AZ309),'2024DATA'!$I$24,"")</f>
        <v/>
      </c>
      <c r="BA331" s="518" t="str">
        <f>IF(AND(_C="B-737-800",'2024'!$L$4="FO",'2024'!$L$2=BA309),'2024DATA'!$J$24,"")</f>
        <v/>
      </c>
      <c r="BB331" s="518" t="str">
        <f>IF(AND(_C="B-737-800",'2024'!$L$4="FO",'2024'!$L$2=BB309),'2024DATA'!$K$24,"")</f>
        <v/>
      </c>
      <c r="BC331" s="518" t="str">
        <f>IF(AND(_C="B-737-800",'2024'!$L$4="FO",'2024'!$L$2=BC309),'2024DATA'!$L$24,"")</f>
        <v/>
      </c>
      <c r="BD331" s="518" t="str">
        <f>IF(AND(_C="B-737-800",'2024'!$L$4="FO",'2024'!$L$2=BD309),'2024DATA'!$M$24,"")</f>
        <v/>
      </c>
      <c r="BE331" s="520" t="str">
        <f>IF(AND(_C="B-737-800",'2024'!$L$4="FO",'2024'!$L$2=BE309),'2024DATA'!$N$24,"")</f>
        <v/>
      </c>
      <c r="BF331" s="940"/>
      <c r="BG331" s="13" t="s">
        <v>62</v>
      </c>
      <c r="BH331" s="518" t="str">
        <f>IF(AND(_D="B-737-800",'2024'!$L$4="FO",'2024'!$L$2=BH309),'2024DATA'!$C$24,"")</f>
        <v/>
      </c>
      <c r="BI331" s="518" t="str">
        <f>IF(AND(_D="B-737-800",'2024'!$L$4="FO",'2024'!$L$2=BI309),'2024DATA'!$D$24,"")</f>
        <v/>
      </c>
      <c r="BJ331" s="518" t="str">
        <f>IF(AND(_D="B-737-800",'2024'!$L$4="FO",'2024'!$L$2=BJ309),'2024DATA'!$E$24,"")</f>
        <v/>
      </c>
      <c r="BK331" s="518" t="str">
        <f>IF(AND(_D="B-737-800",'2024'!$L$4="FO",'2024'!$L$2=BK309),'2024DATA'!$F$24,"")</f>
        <v/>
      </c>
      <c r="BL331" s="518" t="str">
        <f>IF(AND(_D="B-737-800",'2024'!$L$4="FO",'2024'!$L$2=BL309),'2024DATA'!$G$24,"")</f>
        <v/>
      </c>
      <c r="BM331" s="518" t="str">
        <f>IF(AND(_D="B-737-800",'2024'!$L$4="FO",'2024'!$L$2=BM309),'2024DATA'!$H$24,"")</f>
        <v/>
      </c>
      <c r="BN331" s="518" t="str">
        <f>IF(AND(_D="B-737-800",'2024'!$L$4="FO",'2024'!$L$2=BN309),'2024DATA'!$I$24,"")</f>
        <v/>
      </c>
      <c r="BO331" s="518" t="str">
        <f>IF(AND(_D="B-737-800",'2024'!$L$4="FO",'2024'!$L$2=BO309),'2024DATA'!$J$24,"")</f>
        <v/>
      </c>
      <c r="BP331" s="518" t="str">
        <f>IF(AND(_D="B-737-800",'2024'!$L$4="FO",'2024'!$L$2=BP309),'2024DATA'!$K$24,"")</f>
        <v/>
      </c>
      <c r="BQ331" s="518" t="str">
        <f>IF(AND(_D="B-737-800",'2024'!$L$4="FO",'2024'!$L$2=BQ309),'2024DATA'!$L$24,"")</f>
        <v/>
      </c>
      <c r="BR331" s="518" t="str">
        <f>IF(AND(_D="B-737-800",'2024'!$L$4="FO",'2024'!$L$2=BR309),'2024DATA'!$M$24,"")</f>
        <v/>
      </c>
      <c r="BS331" s="520" t="str">
        <f>IF(AND(_D="B-737-800",'2024'!$L$4="FO",'2024'!$L$2=BS309),'2024DATA'!$N$24,"")</f>
        <v/>
      </c>
      <c r="BT331" s="940"/>
      <c r="BU331" s="13" t="s">
        <v>62</v>
      </c>
      <c r="BV331" s="518" t="str">
        <f>IF(AND(_E="B-737-800",'2024'!$L$4="FO",'2024'!$L$2=BV309),'2024DATA'!$C$24,"")</f>
        <v/>
      </c>
      <c r="BW331" s="518" t="str">
        <f>IF(AND(_E="B-737-800",'2024'!$L$4="FO",'2024'!$L$2=BW309),'2024DATA'!$D$24,"")</f>
        <v/>
      </c>
      <c r="BX331" s="518" t="str">
        <f>IF(AND(_E="B-737-800",'2024'!$L$4="FO",'2024'!$L$2=BX309),'2024DATA'!$E$24,"")</f>
        <v/>
      </c>
      <c r="BY331" s="518" t="str">
        <f>IF(AND(_E="B-737-800",'2024'!$L$4="FO",'2024'!$L$2=BY309),'2024DATA'!$F$24,"")</f>
        <v/>
      </c>
      <c r="BZ331" s="518" t="str">
        <f>IF(AND(_E="B-737-800",'2024'!$L$4="FO",'2024'!$L$2=BZ309),'2024DATA'!$G$24,"")</f>
        <v/>
      </c>
      <c r="CA331" s="518" t="str">
        <f>IF(AND(_E="B-737-800",'2024'!$L$4="FO",'2024'!$L$2=CA309),'2024DATA'!$H$24,"")</f>
        <v/>
      </c>
      <c r="CB331" s="518" t="str">
        <f>IF(AND(_E="B-737-800",'2024'!$L$4="FO",'2024'!$L$2=CB309),'2024DATA'!$I$24,"")</f>
        <v/>
      </c>
      <c r="CC331" s="518" t="str">
        <f>IF(AND(_E="B-737-800",'2024'!$L$4="FO",'2024'!$L$2=CC309),'2024DATA'!$J$24,"")</f>
        <v/>
      </c>
      <c r="CD331" s="518" t="str">
        <f>IF(AND(_E="B-737-800",'2024'!$L$4="FO",'2024'!$L$2=CD309),'2024DATA'!$K$24,"")</f>
        <v/>
      </c>
      <c r="CE331" s="518" t="str">
        <f>IF(AND(_E="B-737-800",'2024'!$L$4="FO",'2024'!$L$2=CE309),'2024DATA'!$L$24,"")</f>
        <v/>
      </c>
      <c r="CF331" s="518" t="str">
        <f>IF(AND(_E="B-737-800",'2024'!$L$4="FO",'2024'!$L$2=CF309),'2024DATA'!$M$24,"")</f>
        <v/>
      </c>
      <c r="CG331" s="520" t="str">
        <f>IF(AND(_E="B-737-800",'2024'!$L$4="FO",'2024'!$L$2=CG309),'2024DATA'!$N$24,"")</f>
        <v/>
      </c>
      <c r="CH331" s="940"/>
      <c r="CI331" s="13" t="s">
        <v>62</v>
      </c>
      <c r="CJ331" s="518" t="str">
        <f>IF(AND(_F="B-737-800",'2024'!$L$4="FO",'2024'!$L$2=CJ309),'2024DATA'!$C$24,"")</f>
        <v/>
      </c>
      <c r="CK331" s="518" t="str">
        <f>IF(AND(_F="B-737-800",'2024'!$L$4="FO",'2024'!$L$2=CK309),'2024DATA'!$D$24,"")</f>
        <v/>
      </c>
      <c r="CL331" s="518" t="str">
        <f>IF(AND(_F="B-737-800",'2024'!$L$4="FO",'2024'!$L$2=CL309),'2024DATA'!$E$24,"")</f>
        <v/>
      </c>
      <c r="CM331" s="518" t="str">
        <f>IF(AND(_F="B-737-800",'2024'!$L$4="FO",'2024'!$L$2=CM309),'2024DATA'!$F$24,"")</f>
        <v/>
      </c>
      <c r="CN331" s="518" t="str">
        <f>IF(AND(_F="B-737-800",'2024'!$L$4="FO",'2024'!$L$2=CN309),'2024DATA'!$G$24,"")</f>
        <v/>
      </c>
      <c r="CO331" s="518" t="str">
        <f>IF(AND(_F="B-737-800",'2024'!$L$4="FO",'2024'!$L$2=CO309),'2024DATA'!$H$24,"")</f>
        <v/>
      </c>
      <c r="CP331" s="518" t="str">
        <f>IF(AND(_F="B-737-800",'2024'!$L$4="FO",'2024'!$L$2=CP309),'2024DATA'!$I$24,"")</f>
        <v/>
      </c>
      <c r="CQ331" s="518" t="str">
        <f>IF(AND(_F="B-737-800",'2024'!$L$4="FO",'2024'!$L$2=CQ309),'2024DATA'!$J$24,"")</f>
        <v/>
      </c>
      <c r="CR331" s="518" t="str">
        <f>IF(AND(_F="B-737-800",'2024'!$L$4="FO",'2024'!$L$2=CR309),'2024DATA'!$K$24,"")</f>
        <v/>
      </c>
      <c r="CS331" s="518" t="str">
        <f>IF(AND(_F="B-737-800",'2024'!$L$4="FO",'2024'!$L$2=CS309),'2024DATA'!$L$24,"")</f>
        <v/>
      </c>
      <c r="CT331" s="518" t="str">
        <f>IF(AND(_F="B-737-800",'2024'!$L$4="FO",'2024'!$L$2=CT309),'2024DATA'!$M$24,"")</f>
        <v/>
      </c>
      <c r="CU331" s="520" t="str">
        <f>IF(AND(_F="B-737-800",'2024'!$L$4="FO",'2024'!$L$2=CU309),'2024DATA'!$N$24,"")</f>
        <v/>
      </c>
    </row>
    <row r="332" spans="16:99" x14ac:dyDescent="0.25">
      <c r="P332" s="940" t="s">
        <v>46</v>
      </c>
      <c r="Q332" s="13" t="s">
        <v>61</v>
      </c>
      <c r="R332" s="518" t="str">
        <f>IF(AND(_A="A-321N",'2024'!$L$4="CA",'2024'!$L$2=R309),'2024DATA'!$C$25,"")</f>
        <v/>
      </c>
      <c r="S332" s="518" t="str">
        <f>IF(AND(_A="A-321N",'2024'!$L$4="CA",'2024'!$L$2=S309),'2024DATA'!$D$25,"")</f>
        <v/>
      </c>
      <c r="T332" s="518" t="str">
        <f>IF(AND(_A="A-321N",'2024'!$L$4="CA",'2024'!$L$2=T309),'2024DATA'!$E$25,"")</f>
        <v/>
      </c>
      <c r="U332" s="518" t="str">
        <f>IF(AND(_A="A-321N",'2024'!$L$4="CA",'2024'!$L$2=U309),'2024DATA'!$F$25,"")</f>
        <v/>
      </c>
      <c r="V332" s="518" t="str">
        <f>IF(AND(_A="A-321N",'2024'!$L$4="CA",'2024'!$L$2=V309),'2024DATA'!$G$25,"")</f>
        <v/>
      </c>
      <c r="W332" s="518" t="str">
        <f>IF(AND(_A="A-321N",'2024'!$L$4="CA",'2024'!$L$2=W309),'2024DATA'!$H$25,"")</f>
        <v/>
      </c>
      <c r="X332" s="518" t="str">
        <f>IF(AND(_A="A-321N",'2024'!$L$4="CA",'2024'!$L$2=X309),'2024DATA'!$I$25,"")</f>
        <v/>
      </c>
      <c r="Y332" s="518" t="str">
        <f>IF(AND(_A="A-321N",'2024'!$L$4="CA",'2024'!$L$2=Y309),'2024DATA'!$J$25,"")</f>
        <v/>
      </c>
      <c r="Z332" s="518" t="str">
        <f>IF(AND(_A="A-321N",'2024'!$L$4="CA",'2024'!$L$2=Z309),'2024DATA'!$K$25,"")</f>
        <v/>
      </c>
      <c r="AA332" s="518" t="str">
        <f>IF(AND(_A="A-321N",'2024'!$L$4="CA",'2024'!$L$2=AA309),'2024DATA'!$L$25,"")</f>
        <v/>
      </c>
      <c r="AB332" s="518" t="str">
        <f>IF(AND(_A="A-321N",'2024'!$L$4="CA",'2024'!$L$2=AB309),'2024DATA'!$M$25,"")</f>
        <v/>
      </c>
      <c r="AC332" s="520" t="str">
        <f>IF(AND(_A="A-321N",'2024'!$L$4="CA",'2024'!$L$2=AC309),'2024DATA'!$N$25,"")</f>
        <v/>
      </c>
      <c r="AD332" s="940" t="s">
        <v>46</v>
      </c>
      <c r="AE332" s="13" t="s">
        <v>61</v>
      </c>
      <c r="AF332" s="518" t="str">
        <f>IF(AND(_B="A-321N",'2024'!$L$4="CA",'2024'!$L$2=AF309),'2024DATA'!$C$25,"")</f>
        <v/>
      </c>
      <c r="AG332" s="518" t="str">
        <f>IF(AND(_B="A-321N",'2024'!$L$4="CA",'2024'!$L$2=AG309),'2024DATA'!$D$25,"")</f>
        <v/>
      </c>
      <c r="AH332" s="518" t="str">
        <f>IF(AND(_B="A-321N",'2024'!$L$4="CA",'2024'!$L$2=AH309),'2024DATA'!$E$25,"")</f>
        <v/>
      </c>
      <c r="AI332" s="518" t="str">
        <f>IF(AND(_B="A-321N",'2024'!$L$4="CA",'2024'!$L$2=AI309),'2024DATA'!$F$25,"")</f>
        <v/>
      </c>
      <c r="AJ332" s="518" t="str">
        <f>IF(AND(_B="A-321N",'2024'!$L$4="CA",'2024'!$L$2=AJ309),'2024DATA'!$G$25,"")</f>
        <v/>
      </c>
      <c r="AK332" s="518" t="str">
        <f>IF(AND(_B="A-321N",'2024'!$L$4="CA",'2024'!$L$2=AK309),'2024DATA'!$H$25,"")</f>
        <v/>
      </c>
      <c r="AL332" s="518" t="str">
        <f>IF(AND(_B="A-321N",'2024'!$L$4="CA",'2024'!$L$2=AL309),'2024DATA'!$I$25,"")</f>
        <v/>
      </c>
      <c r="AM332" s="518" t="str">
        <f>IF(AND(_B="A-321N",'2024'!$L$4="CA",'2024'!$L$2=AM309),'2024DATA'!$J$25,"")</f>
        <v/>
      </c>
      <c r="AN332" s="518" t="str">
        <f>IF(AND(_B="A-321N",'2024'!$L$4="CA",'2024'!$L$2=AN309),'2024DATA'!$K$25,"")</f>
        <v/>
      </c>
      <c r="AO332" s="518" t="str">
        <f>IF(AND(_B="A-321N",'2024'!$L$4="CA",'2024'!$L$2=AO309),'2024DATA'!$L$25,"")</f>
        <v/>
      </c>
      <c r="AP332" s="518" t="str">
        <f>IF(AND(_B="A-321N",'2024'!$L$4="CA",'2024'!$L$2=AP309),'2024DATA'!$M$25,"")</f>
        <v/>
      </c>
      <c r="AQ332" s="520" t="str">
        <f>IF(AND(_B="A-321N",'2024'!$L$4="CA",'2024'!$L$2=AQ309),'2024DATA'!$N$25,"")</f>
        <v/>
      </c>
      <c r="AR332" s="940" t="s">
        <v>46</v>
      </c>
      <c r="AS332" s="13" t="s">
        <v>61</v>
      </c>
      <c r="AT332" s="518" t="str">
        <f>IF(AND(_C="A-321N",'2024'!$L$4="CA",'2024'!$L$2=AT309),'2024DATA'!$C$25,"")</f>
        <v/>
      </c>
      <c r="AU332" s="518" t="str">
        <f>IF(AND(_C="A-321N",'2024'!$L$4="CA",'2024'!$L$2=AU309),'2024DATA'!$D$25,"")</f>
        <v/>
      </c>
      <c r="AV332" s="518" t="str">
        <f>IF(AND(_C="A-321N",'2024'!$L$4="CA",'2024'!$L$2=AV309),'2024DATA'!$E$25,"")</f>
        <v/>
      </c>
      <c r="AW332" s="518" t="str">
        <f>IF(AND(_C="A-321N",'2024'!$L$4="CA",'2024'!$L$2=AW309),'2024DATA'!$F$25,"")</f>
        <v/>
      </c>
      <c r="AX332" s="518" t="str">
        <f>IF(AND(_C="A-321N",'2024'!$L$4="CA",'2024'!$L$2=AX309),'2024DATA'!$G$25,"")</f>
        <v/>
      </c>
      <c r="AY332" s="518" t="str">
        <f>IF(AND(_C="A-321N",'2024'!$L$4="CA",'2024'!$L$2=AY309),'2024DATA'!$H$25,"")</f>
        <v/>
      </c>
      <c r="AZ332" s="518" t="str">
        <f>IF(AND(_C="A-321N",'2024'!$L$4="CA",'2024'!$L$2=AZ309),'2024DATA'!$I$25,"")</f>
        <v/>
      </c>
      <c r="BA332" s="518" t="str">
        <f>IF(AND(_C="A-321N",'2024'!$L$4="CA",'2024'!$L$2=BA309),'2024DATA'!$J$25,"")</f>
        <v/>
      </c>
      <c r="BB332" s="518" t="str">
        <f>IF(AND(_C="A-321N",'2024'!$L$4="CA",'2024'!$L$2=BB309),'2024DATA'!$K$25,"")</f>
        <v/>
      </c>
      <c r="BC332" s="518" t="str">
        <f>IF(AND(_C="A-321N",'2024'!$L$4="CA",'2024'!$L$2=BC309),'2024DATA'!$L$25,"")</f>
        <v/>
      </c>
      <c r="BD332" s="518" t="str">
        <f>IF(AND(_C="A-321N",'2024'!$L$4="CA",'2024'!$L$2=BD309),'2024DATA'!$M$25,"")</f>
        <v/>
      </c>
      <c r="BE332" s="520" t="str">
        <f>IF(AND(_C="A-321N",'2024'!$L$4="CA",'2024'!$L$2=BE309),'2024DATA'!$N$25,"")</f>
        <v/>
      </c>
      <c r="BF332" s="940" t="s">
        <v>46</v>
      </c>
      <c r="BG332" s="13" t="s">
        <v>61</v>
      </c>
      <c r="BH332" s="518" t="str">
        <f>IF(AND(_D="A-321N",'2024'!$L$4="CA",'2024'!$L$2=BH309),'2024DATA'!$C$25,"")</f>
        <v/>
      </c>
      <c r="BI332" s="518" t="str">
        <f>IF(AND(_D="A-321N",'2024'!$L$4="CA",'2024'!$L$2=BI309),'2024DATA'!$D$25,"")</f>
        <v/>
      </c>
      <c r="BJ332" s="518" t="str">
        <f>IF(AND(_D="A-321N",'2024'!$L$4="CA",'2024'!$L$2=BJ309),'2024DATA'!$E$25,"")</f>
        <v/>
      </c>
      <c r="BK332" s="518" t="str">
        <f>IF(AND(_D="A-321N",'2024'!$L$4="CA",'2024'!$L$2=BK309),'2024DATA'!$F$25,"")</f>
        <v/>
      </c>
      <c r="BL332" s="518" t="str">
        <f>IF(AND(_D="A-321N",'2024'!$L$4="CA",'2024'!$L$2=BL309),'2024DATA'!$G$25,"")</f>
        <v/>
      </c>
      <c r="BM332" s="518" t="str">
        <f>IF(AND(_D="A-321N",'2024'!$L$4="CA",'2024'!$L$2=BM309),'2024DATA'!$H$25,"")</f>
        <v/>
      </c>
      <c r="BN332" s="518" t="str">
        <f>IF(AND(_D="A-321N",'2024'!$L$4="CA",'2024'!$L$2=BN309),'2024DATA'!$I$25,"")</f>
        <v/>
      </c>
      <c r="BO332" s="518" t="str">
        <f>IF(AND(_D="A-321N",'2024'!$L$4="CA",'2024'!$L$2=BO309),'2024DATA'!$J$25,"")</f>
        <v/>
      </c>
      <c r="BP332" s="518" t="str">
        <f>IF(AND(_D="A-321N",'2024'!$L$4="CA",'2024'!$L$2=BP309),'2024DATA'!$K$25,"")</f>
        <v/>
      </c>
      <c r="BQ332" s="518" t="str">
        <f>IF(AND(_D="A-321N",'2024'!$L$4="CA",'2024'!$L$2=BQ309),'2024DATA'!$L$25,"")</f>
        <v/>
      </c>
      <c r="BR332" s="518" t="str">
        <f>IF(AND(_D="A-321N",'2024'!$L$4="CA",'2024'!$L$2=BR309),'2024DATA'!$M$25,"")</f>
        <v/>
      </c>
      <c r="BS332" s="520" t="str">
        <f>IF(AND(_D="A-321N",'2024'!$L$4="CA",'2024'!$L$2=BS309),'2024DATA'!$N$25,"")</f>
        <v/>
      </c>
      <c r="BT332" s="940" t="s">
        <v>46</v>
      </c>
      <c r="BU332" s="13" t="s">
        <v>61</v>
      </c>
      <c r="BV332" s="518" t="str">
        <f>IF(AND(_E="A-321N",'2024'!$L$4="CA",'2024'!$L$2=BV309),'2024DATA'!$C$25,"")</f>
        <v/>
      </c>
      <c r="BW332" s="518" t="str">
        <f>IF(AND(_E="A-321N",'2024'!$L$4="CA",'2024'!$L$2=BW309),'2024DATA'!$D$25,"")</f>
        <v/>
      </c>
      <c r="BX332" s="518" t="str">
        <f>IF(AND(_E="A-321N",'2024'!$L$4="CA",'2024'!$L$2=BX309),'2024DATA'!$E$25,"")</f>
        <v/>
      </c>
      <c r="BY332" s="518" t="str">
        <f>IF(AND(_E="A-321N",'2024'!$L$4="CA",'2024'!$L$2=BY309),'2024DATA'!$F$25,"")</f>
        <v/>
      </c>
      <c r="BZ332" s="518" t="str">
        <f>IF(AND(_E="A-321N",'2024'!$L$4="CA",'2024'!$L$2=BZ309),'2024DATA'!$G$25,"")</f>
        <v/>
      </c>
      <c r="CA332" s="518" t="str">
        <f>IF(AND(_E="A-321N",'2024'!$L$4="CA",'2024'!$L$2=CA309),'2024DATA'!$H$25,"")</f>
        <v/>
      </c>
      <c r="CB332" s="518" t="str">
        <f>IF(AND(_E="A-321N",'2024'!$L$4="CA",'2024'!$L$2=CB309),'2024DATA'!$I$25,"")</f>
        <v/>
      </c>
      <c r="CC332" s="518" t="str">
        <f>IF(AND(_E="A-321N",'2024'!$L$4="CA",'2024'!$L$2=CC309),'2024DATA'!$J$25,"")</f>
        <v/>
      </c>
      <c r="CD332" s="518" t="str">
        <f>IF(AND(_E="A-321N",'2024'!$L$4="CA",'2024'!$L$2=CD309),'2024DATA'!$K$25,"")</f>
        <v/>
      </c>
      <c r="CE332" s="518" t="str">
        <f>IF(AND(_E="A-321N",'2024'!$L$4="CA",'2024'!$L$2=CE309),'2024DATA'!$L$25,"")</f>
        <v/>
      </c>
      <c r="CF332" s="518" t="str">
        <f>IF(AND(_E="A-321N",'2024'!$L$4="CA",'2024'!$L$2=CF309),'2024DATA'!$M$25,"")</f>
        <v/>
      </c>
      <c r="CG332" s="520" t="str">
        <f>IF(AND(_E="A-321N",'2024'!$L$4="CA",'2024'!$L$2=CG309),'2024DATA'!$N$25,"")</f>
        <v/>
      </c>
      <c r="CH332" s="940" t="s">
        <v>46</v>
      </c>
      <c r="CI332" s="13" t="s">
        <v>61</v>
      </c>
      <c r="CJ332" s="518" t="str">
        <f>IF(AND(_F="A-321N",'2024'!$L$4="CA",'2024'!$L$2=CJ309),'2024DATA'!$C$25,"")</f>
        <v/>
      </c>
      <c r="CK332" s="518" t="str">
        <f>IF(AND(_F="A-321N",'2024'!$L$4="CA",'2024'!$L$2=CK309),'2024DATA'!$D$25,"")</f>
        <v/>
      </c>
      <c r="CL332" s="518" t="str">
        <f>IF(AND(_F="A-321N",'2024'!$L$4="CA",'2024'!$L$2=CL309),'2024DATA'!$E$25,"")</f>
        <v/>
      </c>
      <c r="CM332" s="518" t="str">
        <f>IF(AND(_F="A-321N",'2024'!$L$4="CA",'2024'!$L$2=CM309),'2024DATA'!$F$25,"")</f>
        <v/>
      </c>
      <c r="CN332" s="518" t="str">
        <f>IF(AND(_F="A-321N",'2024'!$L$4="CA",'2024'!$L$2=CN309),'2024DATA'!$G$25,"")</f>
        <v/>
      </c>
      <c r="CO332" s="518" t="str">
        <f>IF(AND(_F="A-321N",'2024'!$L$4="CA",'2024'!$L$2=CO309),'2024DATA'!$H$25,"")</f>
        <v/>
      </c>
      <c r="CP332" s="518" t="str">
        <f>IF(AND(_F="A-321N",'2024'!$L$4="CA",'2024'!$L$2=CP309),'2024DATA'!$I$25,"")</f>
        <v/>
      </c>
      <c r="CQ332" s="518" t="str">
        <f>IF(AND(_F="A-321N",'2024'!$L$4="CA",'2024'!$L$2=CQ309),'2024DATA'!$J$25,"")</f>
        <v/>
      </c>
      <c r="CR332" s="518" t="str">
        <f>IF(AND(_F="A-321N",'2024'!$L$4="CA",'2024'!$L$2=CR309),'2024DATA'!$K$25,"")</f>
        <v/>
      </c>
      <c r="CS332" s="518" t="str">
        <f>IF(AND(_F="A-321N",'2024'!$L$4="CA",'2024'!$L$2=CS309),'2024DATA'!$L$25,"")</f>
        <v/>
      </c>
      <c r="CT332" s="518" t="str">
        <f>IF(AND(_F="A-321N",'2024'!$L$4="CA",'2024'!$L$2=CT309),'2024DATA'!$M$25,"")</f>
        <v/>
      </c>
      <c r="CU332" s="520" t="str">
        <f>IF(AND(_F="A-321N",'2024'!$L$4="CA",'2024'!$L$2=CU309),'2024DATA'!$N$25,"")</f>
        <v/>
      </c>
    </row>
    <row r="333" spans="16:99" x14ac:dyDescent="0.25">
      <c r="P333" s="940"/>
      <c r="Q333" s="13" t="s">
        <v>62</v>
      </c>
      <c r="R333" s="518" t="str">
        <f>IF(AND(_A="A-321N",'2024'!$L$4="FO",'2024'!$L$2=R309),'2024DATA'!$C$26,"")</f>
        <v/>
      </c>
      <c r="S333" s="518" t="str">
        <f>IF(AND(_A="A-321N",'2024'!$L$4="FO",'2024'!$L$2=S309),'2024DATA'!$D$26,"")</f>
        <v/>
      </c>
      <c r="T333" s="518" t="str">
        <f>IF(AND(_A="A-321N",'2024'!$L$4="FO",'2024'!$L$2=T309),'2024DATA'!$E$26,"")</f>
        <v/>
      </c>
      <c r="U333" s="518" t="str">
        <f>IF(AND(_A="A-321N",'2024'!$L$4="FO",'2024'!$L$2=U309),'2024DATA'!$F$26,"")</f>
        <v/>
      </c>
      <c r="V333" s="518" t="str">
        <f>IF(AND(_A="A-321N",'2024'!$L$4="FO",'2024'!$L$2=V309),'2024DATA'!$G$26,"")</f>
        <v/>
      </c>
      <c r="W333" s="518" t="str">
        <f>IF(AND(_A="A-321N",'2024'!$L$4="FO",'2024'!$L$2=W309),'2024DATA'!$H$26,"")</f>
        <v/>
      </c>
      <c r="X333" s="518" t="str">
        <f>IF(AND(_A="A-321N",'2024'!$L$4="FO",'2024'!$L$2=X309),'2024DATA'!$I$26,"")</f>
        <v/>
      </c>
      <c r="Y333" s="518" t="str">
        <f>IF(AND(_A="A-321N",'2024'!$L$4="FO",'2024'!$L$2=Y309),'2024DATA'!$J$26,"")</f>
        <v/>
      </c>
      <c r="Z333" s="518" t="str">
        <f>IF(AND(_A="A-321N",'2024'!$L$4="FO",'2024'!$L$2=Z309),'2024DATA'!$K$26,"")</f>
        <v/>
      </c>
      <c r="AA333" s="518" t="str">
        <f>IF(AND(_A="A-321N",'2024'!$L$4="FO",'2024'!$L$2=AA309),'2024DATA'!$L$26,"")</f>
        <v/>
      </c>
      <c r="AB333" s="518" t="str">
        <f>IF(AND(_A="A-321N",'2024'!$L$4="FO",'2024'!$L$2=AB309),'2024DATA'!$M$26,"")</f>
        <v/>
      </c>
      <c r="AC333" s="520" t="str">
        <f>IF(AND(_A="A-321N",'2024'!$L$4="FO",'2024'!$L$2=AC309),'2024DATA'!$N$26,"")</f>
        <v/>
      </c>
      <c r="AD333" s="940"/>
      <c r="AE333" s="13" t="s">
        <v>62</v>
      </c>
      <c r="AF333" s="518" t="str">
        <f>IF(AND(_B="A-321N",'2024'!$L$4="FO",'2024'!$L$2=AF309),'2024DATA'!$C$26,"")</f>
        <v/>
      </c>
      <c r="AG333" s="518" t="str">
        <f>IF(AND(_B="A-321N",'2024'!$L$4="FO",'2024'!$L$2=AG309),'2024DATA'!$D$26,"")</f>
        <v/>
      </c>
      <c r="AH333" s="518" t="str">
        <f>IF(AND(_B="A-321N",'2024'!$L$4="FO",'2024'!$L$2=AH309),'2024DATA'!$E$26,"")</f>
        <v/>
      </c>
      <c r="AI333" s="518" t="str">
        <f>IF(AND(_B="A-321N",'2024'!$L$4="FO",'2024'!$L$2=AI309),'2024DATA'!$F$26,"")</f>
        <v/>
      </c>
      <c r="AJ333" s="518" t="str">
        <f>IF(AND(_B="A-321N",'2024'!$L$4="FO",'2024'!$L$2=AJ309),'2024DATA'!$G$26,"")</f>
        <v/>
      </c>
      <c r="AK333" s="518" t="str">
        <f>IF(AND(_B="A-321N",'2024'!$L$4="FO",'2024'!$L$2=AK309),'2024DATA'!$H$26,"")</f>
        <v/>
      </c>
      <c r="AL333" s="518" t="str">
        <f>IF(AND(_B="A-321N",'2024'!$L$4="FO",'2024'!$L$2=AL309),'2024DATA'!$I$26,"")</f>
        <v/>
      </c>
      <c r="AM333" s="518" t="str">
        <f>IF(AND(_B="A-321N",'2024'!$L$4="FO",'2024'!$L$2=AM309),'2024DATA'!$J$26,"")</f>
        <v/>
      </c>
      <c r="AN333" s="518" t="str">
        <f>IF(AND(_B="A-321N",'2024'!$L$4="FO",'2024'!$L$2=AN309),'2024DATA'!$K$26,"")</f>
        <v/>
      </c>
      <c r="AO333" s="518" t="str">
        <f>IF(AND(_B="A-321N",'2024'!$L$4="FO",'2024'!$L$2=AO309),'2024DATA'!$L$26,"")</f>
        <v/>
      </c>
      <c r="AP333" s="518" t="str">
        <f>IF(AND(_B="A-321N",'2024'!$L$4="FO",'2024'!$L$2=AP309),'2024DATA'!$M$26,"")</f>
        <v/>
      </c>
      <c r="AQ333" s="520" t="str">
        <f>IF(AND(_B="A-321N",'2024'!$L$4="FO",'2024'!$L$2=AQ309),'2024DATA'!$N$26,"")</f>
        <v/>
      </c>
      <c r="AR333" s="940"/>
      <c r="AS333" s="13" t="s">
        <v>62</v>
      </c>
      <c r="AT333" s="518" t="str">
        <f>IF(AND(_C="A-321N",'2024'!$L$4="FO",'2024'!$L$2=AT309),'2024DATA'!$C$26,"")</f>
        <v/>
      </c>
      <c r="AU333" s="518" t="str">
        <f>IF(AND(_C="A-321N",'2024'!$L$4="FO",'2024'!$L$2=AU309),'2024DATA'!$D$26,"")</f>
        <v/>
      </c>
      <c r="AV333" s="518" t="str">
        <f>IF(AND(_C="A-321N",'2024'!$L$4="FO",'2024'!$L$2=AV309),'2024DATA'!$E$26,"")</f>
        <v/>
      </c>
      <c r="AW333" s="518" t="str">
        <f>IF(AND(_C="A-321N",'2024'!$L$4="FO",'2024'!$L$2=AW309),'2024DATA'!$F$26,"")</f>
        <v/>
      </c>
      <c r="AX333" s="518" t="str">
        <f>IF(AND(_C="A-321N",'2024'!$L$4="FO",'2024'!$L$2=AX309),'2024DATA'!$G$26,"")</f>
        <v/>
      </c>
      <c r="AY333" s="518" t="str">
        <f>IF(AND(_C="A-321N",'2024'!$L$4="FO",'2024'!$L$2=AY309),'2024DATA'!$H$26,"")</f>
        <v/>
      </c>
      <c r="AZ333" s="518" t="str">
        <f>IF(AND(_C="A-321N",'2024'!$L$4="FO",'2024'!$L$2=AZ309),'2024DATA'!$I$26,"")</f>
        <v/>
      </c>
      <c r="BA333" s="518" t="str">
        <f>IF(AND(_C="A-321N",'2024'!$L$4="FO",'2024'!$L$2=BA309),'2024DATA'!$J$26,"")</f>
        <v/>
      </c>
      <c r="BB333" s="518" t="str">
        <f>IF(AND(_C="A-321N",'2024'!$L$4="FO",'2024'!$L$2=BB309),'2024DATA'!$K$26,"")</f>
        <v/>
      </c>
      <c r="BC333" s="518" t="str">
        <f>IF(AND(_C="A-321N",'2024'!$L$4="FO",'2024'!$L$2=BC309),'2024DATA'!$L$26,"")</f>
        <v/>
      </c>
      <c r="BD333" s="518" t="str">
        <f>IF(AND(_C="A-321N",'2024'!$L$4="FO",'2024'!$L$2=BD309),'2024DATA'!$M$26,"")</f>
        <v/>
      </c>
      <c r="BE333" s="520" t="str">
        <f>IF(AND(_C="A-321N",'2024'!$L$4="FO",'2024'!$L$2=BE309),'2024DATA'!$N$26,"")</f>
        <v/>
      </c>
      <c r="BF333" s="940"/>
      <c r="BG333" s="13" t="s">
        <v>62</v>
      </c>
      <c r="BH333" s="518" t="str">
        <f>IF(AND(_D="A-321N",'2024'!$L$4="FO",'2024'!$L$2=BH309),'2024DATA'!$C$26,"")</f>
        <v/>
      </c>
      <c r="BI333" s="518" t="str">
        <f>IF(AND(_D="A-321N",'2024'!$L$4="FO",'2024'!$L$2=BI309),'2024DATA'!$D$26,"")</f>
        <v/>
      </c>
      <c r="BJ333" s="518" t="str">
        <f>IF(AND(_D="A-321N",'2024'!$L$4="FO",'2024'!$L$2=BJ309),'2024DATA'!$E$26,"")</f>
        <v/>
      </c>
      <c r="BK333" s="518" t="str">
        <f>IF(AND(_D="A-321N",'2024'!$L$4="FO",'2024'!$L$2=BK309),'2024DATA'!$F$26,"")</f>
        <v/>
      </c>
      <c r="BL333" s="518" t="str">
        <f>IF(AND(_D="A-321N",'2024'!$L$4="FO",'2024'!$L$2=BL309),'2024DATA'!$G$26,"")</f>
        <v/>
      </c>
      <c r="BM333" s="518" t="str">
        <f>IF(AND(_D="A-321N",'2024'!$L$4="FO",'2024'!$L$2=BM309),'2024DATA'!$H$26,"")</f>
        <v/>
      </c>
      <c r="BN333" s="518" t="str">
        <f>IF(AND(_D="A-321N",'2024'!$L$4="FO",'2024'!$L$2=BN309),'2024DATA'!$I$26,"")</f>
        <v/>
      </c>
      <c r="BO333" s="518" t="str">
        <f>IF(AND(_D="A-321N",'2024'!$L$4="FO",'2024'!$L$2=BO309),'2024DATA'!$J$26,"")</f>
        <v/>
      </c>
      <c r="BP333" s="518" t="str">
        <f>IF(AND(_D="A-321N",'2024'!$L$4="FO",'2024'!$L$2=BP309),'2024DATA'!$K$26,"")</f>
        <v/>
      </c>
      <c r="BQ333" s="518" t="str">
        <f>IF(AND(_D="A-321N",'2024'!$L$4="FO",'2024'!$L$2=BQ309),'2024DATA'!$L$26,"")</f>
        <v/>
      </c>
      <c r="BR333" s="518" t="str">
        <f>IF(AND(_D="A-321N",'2024'!$L$4="FO",'2024'!$L$2=BR309),'2024DATA'!$M$26,"")</f>
        <v/>
      </c>
      <c r="BS333" s="520" t="str">
        <f>IF(AND(_D="A-321N",'2024'!$L$4="FO",'2024'!$L$2=BS309),'2024DATA'!$N$26,"")</f>
        <v/>
      </c>
      <c r="BT333" s="940"/>
      <c r="BU333" s="13" t="s">
        <v>62</v>
      </c>
      <c r="BV333" s="518" t="str">
        <f>IF(AND(_E="A-321N",'2024'!$L$4="FO",'2024'!$L$2=BV309),'2024DATA'!$C$26,"")</f>
        <v/>
      </c>
      <c r="BW333" s="518" t="str">
        <f>IF(AND(_E="A-321N",'2024'!$L$4="FO",'2024'!$L$2=BW309),'2024DATA'!$D$26,"")</f>
        <v/>
      </c>
      <c r="BX333" s="518" t="str">
        <f>IF(AND(_E="A-321N",'2024'!$L$4="FO",'2024'!$L$2=BX309),'2024DATA'!$E$26,"")</f>
        <v/>
      </c>
      <c r="BY333" s="518" t="str">
        <f>IF(AND(_E="A-321N",'2024'!$L$4="FO",'2024'!$L$2=BY309),'2024DATA'!$F$26,"")</f>
        <v/>
      </c>
      <c r="BZ333" s="518" t="str">
        <f>IF(AND(_E="A-321N",'2024'!$L$4="FO",'2024'!$L$2=BZ309),'2024DATA'!$G$26,"")</f>
        <v/>
      </c>
      <c r="CA333" s="518" t="str">
        <f>IF(AND(_E="A-321N",'2024'!$L$4="FO",'2024'!$L$2=CA309),'2024DATA'!$H$26,"")</f>
        <v/>
      </c>
      <c r="CB333" s="518" t="str">
        <f>IF(AND(_E="A-321N",'2024'!$L$4="FO",'2024'!$L$2=CB309),'2024DATA'!$I$26,"")</f>
        <v/>
      </c>
      <c r="CC333" s="518" t="str">
        <f>IF(AND(_E="A-321N",'2024'!$L$4="FO",'2024'!$L$2=CC309),'2024DATA'!$J$26,"")</f>
        <v/>
      </c>
      <c r="CD333" s="518" t="str">
        <f>IF(AND(_E="A-321N",'2024'!$L$4="FO",'2024'!$L$2=CD309),'2024DATA'!$K$26,"")</f>
        <v/>
      </c>
      <c r="CE333" s="518" t="str">
        <f>IF(AND(_E="A-321N",'2024'!$L$4="FO",'2024'!$L$2=CE309),'2024DATA'!$L$26,"")</f>
        <v/>
      </c>
      <c r="CF333" s="518" t="str">
        <f>IF(AND(_E="A-321N",'2024'!$L$4="FO",'2024'!$L$2=CF309),'2024DATA'!$M$26,"")</f>
        <v/>
      </c>
      <c r="CG333" s="520" t="str">
        <f>IF(AND(_E="A-321N",'2024'!$L$4="FO",'2024'!$L$2=CG309),'2024DATA'!$N$26,"")</f>
        <v/>
      </c>
      <c r="CH333" s="940"/>
      <c r="CI333" s="13" t="s">
        <v>62</v>
      </c>
      <c r="CJ333" s="518" t="str">
        <f>IF(AND(_F="A-321N",'2024'!$L$4="FO",'2024'!$L$2=CJ309),'2024DATA'!$C$26,"")</f>
        <v/>
      </c>
      <c r="CK333" s="518" t="str">
        <f>IF(AND(_F="A-321N",'2024'!$L$4="FO",'2024'!$L$2=CK309),'2024DATA'!$D$26,"")</f>
        <v/>
      </c>
      <c r="CL333" s="518" t="str">
        <f>IF(AND(_F="A-321N",'2024'!$L$4="FO",'2024'!$L$2=CL309),'2024DATA'!$E$26,"")</f>
        <v/>
      </c>
      <c r="CM333" s="518" t="str">
        <f>IF(AND(_F="A-321N",'2024'!$L$4="FO",'2024'!$L$2=CM309),'2024DATA'!$F$26,"")</f>
        <v/>
      </c>
      <c r="CN333" s="518" t="str">
        <f>IF(AND(_F="A-321N",'2024'!$L$4="FO",'2024'!$L$2=CN309),'2024DATA'!$G$26,"")</f>
        <v/>
      </c>
      <c r="CO333" s="518" t="str">
        <f>IF(AND(_F="A-321N",'2024'!$L$4="FO",'2024'!$L$2=CO309),'2024DATA'!$H$26,"")</f>
        <v/>
      </c>
      <c r="CP333" s="518" t="str">
        <f>IF(AND(_F="A-321N",'2024'!$L$4="FO",'2024'!$L$2=CP309),'2024DATA'!$I$26,"")</f>
        <v/>
      </c>
      <c r="CQ333" s="518" t="str">
        <f>IF(AND(_F="A-321N",'2024'!$L$4="FO",'2024'!$L$2=CQ309),'2024DATA'!$J$26,"")</f>
        <v/>
      </c>
      <c r="CR333" s="518" t="str">
        <f>IF(AND(_F="A-321N",'2024'!$L$4="FO",'2024'!$L$2=CR309),'2024DATA'!$K$26,"")</f>
        <v/>
      </c>
      <c r="CS333" s="518" t="str">
        <f>IF(AND(_F="A-321N",'2024'!$L$4="FO",'2024'!$L$2=CS309),'2024DATA'!$L$26,"")</f>
        <v/>
      </c>
      <c r="CT333" s="518" t="str">
        <f>IF(AND(_F="A-321N",'2024'!$L$4="FO",'2024'!$L$2=CT309),'2024DATA'!$M$26,"")</f>
        <v/>
      </c>
      <c r="CU333" s="520" t="str">
        <f>IF(AND(_F="A-321N",'2024'!$L$4="FO",'2024'!$L$2=CU309),'2024DATA'!$N$26,"")</f>
        <v/>
      </c>
    </row>
    <row r="334" spans="16:99" x14ac:dyDescent="0.25">
      <c r="P334" s="940" t="s">
        <v>48</v>
      </c>
      <c r="Q334" s="13" t="s">
        <v>61</v>
      </c>
      <c r="R334" s="518" t="str">
        <f>IF(AND(_A="A-321",'2024'!$L$4="CA",'2024'!$L$2=R309),'2024DATA'!$C$27,"")</f>
        <v/>
      </c>
      <c r="S334" s="518" t="str">
        <f>IF(AND(_A="A-321",'2024'!$L$4="CA",'2024'!$L$2=S309),'2024DATA'!$D$27,"")</f>
        <v/>
      </c>
      <c r="T334" s="518" t="str">
        <f>IF(AND(_A="A-321",'2024'!$L$4="CA",'2024'!$L$2=T309),'2024DATA'!$E$27,"")</f>
        <v/>
      </c>
      <c r="U334" s="518" t="str">
        <f>IF(AND(_A="A-321",'2024'!$L$4="CA",'2024'!$L$2=U309),'2024DATA'!$F$27,"")</f>
        <v/>
      </c>
      <c r="V334" s="518" t="str">
        <f>IF(AND(_A="A-321",'2024'!$L$4="CA",'2024'!$L$2=V309),'2024DATA'!$G$27,"")</f>
        <v/>
      </c>
      <c r="W334" s="518" t="str">
        <f>IF(AND(_A="A-321",'2024'!$L$4="CA",'2024'!$L$2=W309),'2024DATA'!$H$27,"")</f>
        <v/>
      </c>
      <c r="X334" s="518" t="str">
        <f>IF(AND(_A="A-321",'2024'!$L$4="CA",'2024'!$L$2=X309),'2024DATA'!$I$27,"")</f>
        <v/>
      </c>
      <c r="Y334" s="518" t="str">
        <f>IF(AND(_A="A-321",'2024'!$L$4="CA",'2024'!$L$2=Y309),'2024DATA'!$J$27,"")</f>
        <v/>
      </c>
      <c r="Z334" s="518" t="str">
        <f>IF(AND(_A="A-321",'2024'!$L$4="CA",'2024'!$L$2=Z309),'2024DATA'!$K$27,"")</f>
        <v/>
      </c>
      <c r="AA334" s="518" t="str">
        <f>IF(AND(_A="A-321",'2024'!$L$4="CA",'2024'!$L$2=AA309),'2024DATA'!$L$27,"")</f>
        <v/>
      </c>
      <c r="AB334" s="518" t="str">
        <f>IF(AND(_A="A-321",'2024'!$L$4="CA",'2024'!$L$2=AB309),'2024DATA'!$M$27,"")</f>
        <v/>
      </c>
      <c r="AC334" s="520" t="str">
        <f>IF(AND(_A="A-321",'2024'!$L$4="CA",'2024'!$L$2=AC309),'2024DATA'!$N$27,"")</f>
        <v/>
      </c>
      <c r="AD334" s="940" t="s">
        <v>48</v>
      </c>
      <c r="AE334" s="13" t="s">
        <v>61</v>
      </c>
      <c r="AF334" s="518" t="str">
        <f>IF(AND(_B="A-321",'2024'!$L$4="CA",'2024'!$L$2=AF309),'2024DATA'!$C$27,"")</f>
        <v/>
      </c>
      <c r="AG334" s="518" t="str">
        <f>IF(AND(_B="A-321",'2024'!$L$4="CA",'2024'!$L$2=AG309),'2024DATA'!$D$27,"")</f>
        <v/>
      </c>
      <c r="AH334" s="518" t="str">
        <f>IF(AND(_B="A-321",'2024'!$L$4="CA",'2024'!$L$2=AH309),'2024DATA'!$E$27,"")</f>
        <v/>
      </c>
      <c r="AI334" s="518" t="str">
        <f>IF(AND(_B="A-321",'2024'!$L$4="CA",'2024'!$L$2=AI309),'2024DATA'!$F$27,"")</f>
        <v/>
      </c>
      <c r="AJ334" s="518" t="str">
        <f>IF(AND(_B="A-321",'2024'!$L$4="CA",'2024'!$L$2=AJ309),'2024DATA'!$G$27,"")</f>
        <v/>
      </c>
      <c r="AK334" s="518" t="str">
        <f>IF(AND(_B="A-321",'2024'!$L$4="CA",'2024'!$L$2=AK309),'2024DATA'!$H$27,"")</f>
        <v/>
      </c>
      <c r="AL334" s="518" t="str">
        <f>IF(AND(_B="A-321",'2024'!$L$4="CA",'2024'!$L$2=AL309),'2024DATA'!$I$27,"")</f>
        <v/>
      </c>
      <c r="AM334" s="518" t="str">
        <f>IF(AND(_B="A-321",'2024'!$L$4="CA",'2024'!$L$2=AM309),'2024DATA'!$J$27,"")</f>
        <v/>
      </c>
      <c r="AN334" s="518" t="str">
        <f>IF(AND(_B="A-321",'2024'!$L$4="CA",'2024'!$L$2=AN309),'2024DATA'!$K$27,"")</f>
        <v/>
      </c>
      <c r="AO334" s="518" t="str">
        <f>IF(AND(_B="A-321",'2024'!$L$4="CA",'2024'!$L$2=AO309),'2024DATA'!$L$27,"")</f>
        <v/>
      </c>
      <c r="AP334" s="518" t="str">
        <f>IF(AND(_B="A-321",'2024'!$L$4="CA",'2024'!$L$2=AP309),'2024DATA'!$M$27,"")</f>
        <v/>
      </c>
      <c r="AQ334" s="520" t="str">
        <f>IF(AND(_B="A-321",'2024'!$L$4="CA",'2024'!$L$2=AQ309),'2024DATA'!$N$27,"")</f>
        <v/>
      </c>
      <c r="AR334" s="940" t="s">
        <v>48</v>
      </c>
      <c r="AS334" s="13" t="s">
        <v>61</v>
      </c>
      <c r="AT334" s="518" t="str">
        <f>IF(AND(_C="A-321",'2024'!$L$4="CA",'2024'!$L$2=AT309),'2024DATA'!$C$27,"")</f>
        <v/>
      </c>
      <c r="AU334" s="518" t="str">
        <f>IF(AND(_C="A-321",'2024'!$L$4="CA",'2024'!$L$2=AU309),'2024DATA'!$D$27,"")</f>
        <v/>
      </c>
      <c r="AV334" s="518" t="str">
        <f>IF(AND(_C="A-321",'2024'!$L$4="CA",'2024'!$L$2=AV309),'2024DATA'!$E$27,"")</f>
        <v/>
      </c>
      <c r="AW334" s="518" t="str">
        <f>IF(AND(_C="A-321",'2024'!$L$4="CA",'2024'!$L$2=AW309),'2024DATA'!$F$27,"")</f>
        <v/>
      </c>
      <c r="AX334" s="518" t="str">
        <f>IF(AND(_C="A-321",'2024'!$L$4="CA",'2024'!$L$2=AX309),'2024DATA'!$G$27,"")</f>
        <v/>
      </c>
      <c r="AY334" s="518" t="str">
        <f>IF(AND(_C="A-321",'2024'!$L$4="CA",'2024'!$L$2=AY309),'2024DATA'!$H$27,"")</f>
        <v/>
      </c>
      <c r="AZ334" s="518" t="str">
        <f>IF(AND(_C="A-321",'2024'!$L$4="CA",'2024'!$L$2=AZ309),'2024DATA'!$I$27,"")</f>
        <v/>
      </c>
      <c r="BA334" s="518" t="str">
        <f>IF(AND(_C="A-321",'2024'!$L$4="CA",'2024'!$L$2=BA309),'2024DATA'!$J$27,"")</f>
        <v/>
      </c>
      <c r="BB334" s="518" t="str">
        <f>IF(AND(_C="A-321",'2024'!$L$4="CA",'2024'!$L$2=BB309),'2024DATA'!$K$27,"")</f>
        <v/>
      </c>
      <c r="BC334" s="518" t="str">
        <f>IF(AND(_C="A-321",'2024'!$L$4="CA",'2024'!$L$2=BC309),'2024DATA'!$L$27,"")</f>
        <v/>
      </c>
      <c r="BD334" s="518" t="str">
        <f>IF(AND(_C="A-321",'2024'!$L$4="CA",'2024'!$L$2=BD309),'2024DATA'!$M$27,"")</f>
        <v/>
      </c>
      <c r="BE334" s="520" t="str">
        <f>IF(AND(_C="A-321",'2024'!$L$4="CA",'2024'!$L$2=BE309),'2024DATA'!$N$27,"")</f>
        <v/>
      </c>
      <c r="BF334" s="940" t="s">
        <v>48</v>
      </c>
      <c r="BG334" s="13" t="s">
        <v>61</v>
      </c>
      <c r="BH334" s="518" t="str">
        <f>IF(AND(_D="A-321",'2024'!$L$4="CA",'2024'!$L$2=BH309),'2024DATA'!$C$27,"")</f>
        <v/>
      </c>
      <c r="BI334" s="518" t="str">
        <f>IF(AND(_D="A-321",'2024'!$L$4="CA",'2024'!$L$2=BI309),'2024DATA'!$D$27,"")</f>
        <v/>
      </c>
      <c r="BJ334" s="518" t="str">
        <f>IF(AND(_D="A-321",'2024'!$L$4="CA",'2024'!$L$2=BJ309),'2024DATA'!$E$27,"")</f>
        <v/>
      </c>
      <c r="BK334" s="518" t="str">
        <f>IF(AND(_D="A-321",'2024'!$L$4="CA",'2024'!$L$2=BK309),'2024DATA'!$F$27,"")</f>
        <v/>
      </c>
      <c r="BL334" s="518" t="str">
        <f>IF(AND(_D="A-321",'2024'!$L$4="CA",'2024'!$L$2=BL309),'2024DATA'!$G$27,"")</f>
        <v/>
      </c>
      <c r="BM334" s="518" t="str">
        <f>IF(AND(_D="A-321",'2024'!$L$4="CA",'2024'!$L$2=BM309),'2024DATA'!$H$27,"")</f>
        <v/>
      </c>
      <c r="BN334" s="518" t="str">
        <f>IF(AND(_D="A-321",'2024'!$L$4="CA",'2024'!$L$2=BN309),'2024DATA'!$I$27,"")</f>
        <v/>
      </c>
      <c r="BO334" s="518" t="str">
        <f>IF(AND(_D="A-321",'2024'!$L$4="CA",'2024'!$L$2=BO309),'2024DATA'!$J$27,"")</f>
        <v/>
      </c>
      <c r="BP334" s="518" t="str">
        <f>IF(AND(_D="A-321",'2024'!$L$4="CA",'2024'!$L$2=BP309),'2024DATA'!$K$27,"")</f>
        <v/>
      </c>
      <c r="BQ334" s="518" t="str">
        <f>IF(AND(_D="A-321",'2024'!$L$4="CA",'2024'!$L$2=BQ309),'2024DATA'!$L$27,"")</f>
        <v/>
      </c>
      <c r="BR334" s="518" t="str">
        <f>IF(AND(_D="A-321",'2024'!$L$4="CA",'2024'!$L$2=BR309),'2024DATA'!$M$27,"")</f>
        <v/>
      </c>
      <c r="BS334" s="520" t="str">
        <f>IF(AND(_D="A-321",'2024'!$L$4="CA",'2024'!$L$2=BS309),'2024DATA'!$N$27,"")</f>
        <v/>
      </c>
      <c r="BT334" s="940" t="s">
        <v>48</v>
      </c>
      <c r="BU334" s="13" t="s">
        <v>61</v>
      </c>
      <c r="BV334" s="518" t="str">
        <f>IF(AND(_E="A-321",'2024'!$L$4="CA",'2024'!$L$2=BV309),'2024DATA'!$C$27,"")</f>
        <v/>
      </c>
      <c r="BW334" s="518" t="str">
        <f>IF(AND(_E="A-321",'2024'!$L$4="CA",'2024'!$L$2=BW309),'2024DATA'!$D$27,"")</f>
        <v/>
      </c>
      <c r="BX334" s="518" t="str">
        <f>IF(AND(_E="A-321",'2024'!$L$4="CA",'2024'!$L$2=BX309),'2024DATA'!$E$27,"")</f>
        <v/>
      </c>
      <c r="BY334" s="518" t="str">
        <f>IF(AND(_E="A-321",'2024'!$L$4="CA",'2024'!$L$2=BY309),'2024DATA'!$F$27,"")</f>
        <v/>
      </c>
      <c r="BZ334" s="518" t="str">
        <f>IF(AND(_E="A-321",'2024'!$L$4="CA",'2024'!$L$2=BZ309),'2024DATA'!$G$27,"")</f>
        <v/>
      </c>
      <c r="CA334" s="518" t="str">
        <f>IF(AND(_E="A-321",'2024'!$L$4="CA",'2024'!$L$2=CA309),'2024DATA'!$H$27,"")</f>
        <v/>
      </c>
      <c r="CB334" s="518" t="str">
        <f>IF(AND(_E="A-321",'2024'!$L$4="CA",'2024'!$L$2=CB309),'2024DATA'!$I$27,"")</f>
        <v/>
      </c>
      <c r="CC334" s="518" t="str">
        <f>IF(AND(_E="A-321",'2024'!$L$4="CA",'2024'!$L$2=CC309),'2024DATA'!$J$27,"")</f>
        <v/>
      </c>
      <c r="CD334" s="518" t="str">
        <f>IF(AND(_E="A-321",'2024'!$L$4="CA",'2024'!$L$2=CD309),'2024DATA'!$K$27,"")</f>
        <v/>
      </c>
      <c r="CE334" s="518" t="str">
        <f>IF(AND(_E="A-321",'2024'!$L$4="CA",'2024'!$L$2=CE309),'2024DATA'!$L$27,"")</f>
        <v/>
      </c>
      <c r="CF334" s="518" t="str">
        <f>IF(AND(_E="A-321",'2024'!$L$4="CA",'2024'!$L$2=CF309),'2024DATA'!$M$27,"")</f>
        <v/>
      </c>
      <c r="CG334" s="520" t="str">
        <f>IF(AND(_E="A-321",'2024'!$L$4="CA",'2024'!$L$2=CG309),'2024DATA'!$N$27,"")</f>
        <v/>
      </c>
      <c r="CH334" s="940" t="s">
        <v>48</v>
      </c>
      <c r="CI334" s="13" t="s">
        <v>61</v>
      </c>
      <c r="CJ334" s="518" t="str">
        <f>IF(AND(_F="A-321",'2024'!$L$4="CA",'2024'!$L$2=CJ309),'2024DATA'!$C$27,"")</f>
        <v/>
      </c>
      <c r="CK334" s="518" t="str">
        <f>IF(AND(_F="A-321",'2024'!$L$4="CA",'2024'!$L$2=CK309),'2024DATA'!$D$27,"")</f>
        <v/>
      </c>
      <c r="CL334" s="518" t="str">
        <f>IF(AND(_F="A-321",'2024'!$L$4="CA",'2024'!$L$2=CL309),'2024DATA'!$E$27,"")</f>
        <v/>
      </c>
      <c r="CM334" s="518" t="str">
        <f>IF(AND(_F="A-321",'2024'!$L$4="CA",'2024'!$L$2=CM309),'2024DATA'!$F$27,"")</f>
        <v/>
      </c>
      <c r="CN334" s="518" t="str">
        <f>IF(AND(_F="A-321",'2024'!$L$4="CA",'2024'!$L$2=CN309),'2024DATA'!$G$27,"")</f>
        <v/>
      </c>
      <c r="CO334" s="518" t="str">
        <f>IF(AND(_F="A-321",'2024'!$L$4="CA",'2024'!$L$2=CO309),'2024DATA'!$H$27,"")</f>
        <v/>
      </c>
      <c r="CP334" s="518" t="str">
        <f>IF(AND(_F="A-321",'2024'!$L$4="CA",'2024'!$L$2=CP309),'2024DATA'!$I$27,"")</f>
        <v/>
      </c>
      <c r="CQ334" s="518" t="str">
        <f>IF(AND(_F="A-321",'2024'!$L$4="CA",'2024'!$L$2=CQ309),'2024DATA'!$J$27,"")</f>
        <v/>
      </c>
      <c r="CR334" s="518" t="str">
        <f>IF(AND(_F="A-321",'2024'!$L$4="CA",'2024'!$L$2=CR309),'2024DATA'!$K$27,"")</f>
        <v/>
      </c>
      <c r="CS334" s="518" t="str">
        <f>IF(AND(_F="A-321",'2024'!$L$4="CA",'2024'!$L$2=CS309),'2024DATA'!$L$27,"")</f>
        <v/>
      </c>
      <c r="CT334" s="518" t="str">
        <f>IF(AND(_F="A-321",'2024'!$L$4="CA",'2024'!$L$2=CT309),'2024DATA'!$M$27,"")</f>
        <v/>
      </c>
      <c r="CU334" s="520" t="str">
        <f>IF(AND(_F="A-321",'2024'!$L$4="CA",'2024'!$L$2=CU309),'2024DATA'!$N$27,"")</f>
        <v/>
      </c>
    </row>
    <row r="335" spans="16:99" x14ac:dyDescent="0.25">
      <c r="P335" s="940"/>
      <c r="Q335" s="13" t="s">
        <v>62</v>
      </c>
      <c r="R335" s="518" t="str">
        <f>IF(AND(_A="A-321",'2024'!$L$4="FO",'2024'!$L$2=R309),'2024DATA'!$C$28,"")</f>
        <v/>
      </c>
      <c r="S335" s="518" t="str">
        <f>IF(AND(_A="A-321",'2024'!$L$4="FO",'2024'!$L$2=S309),'2024DATA'!$D$28,"")</f>
        <v/>
      </c>
      <c r="T335" s="518" t="str">
        <f>IF(AND(_A="A-321",'2024'!$L$4="FO",'2024'!$L$2=T309),'2024DATA'!$E$28,"")</f>
        <v/>
      </c>
      <c r="U335" s="518" t="str">
        <f>IF(AND(_A="A-321",'2024'!$L$4="FO",'2024'!$L$2=U309),'2024DATA'!$F$28,"")</f>
        <v/>
      </c>
      <c r="V335" s="518" t="str">
        <f>IF(AND(_A="A-321",'2024'!$L$4="FO",'2024'!$L$2=V309),'2024DATA'!$G$28,"")</f>
        <v/>
      </c>
      <c r="W335" s="518" t="str">
        <f>IF(AND(_A="A-321",'2024'!$L$4="FO",'2024'!$L$2=W309),'2024DATA'!$H$28,"")</f>
        <v/>
      </c>
      <c r="X335" s="518" t="str">
        <f>IF(AND(_A="A-321",'2024'!$L$4="FO",'2024'!$L$2=X309),'2024DATA'!$I$28,"")</f>
        <v/>
      </c>
      <c r="Y335" s="518" t="str">
        <f>IF(AND(_A="A-321",'2024'!$L$4="FO",'2024'!$L$2=Y309),'2024DATA'!$J$28,"")</f>
        <v/>
      </c>
      <c r="Z335" s="518" t="str">
        <f>IF(AND(_A="A-321",'2024'!$L$4="FO",'2024'!$L$2=Z309),'2024DATA'!$K$28,"")</f>
        <v/>
      </c>
      <c r="AA335" s="518" t="str">
        <f>IF(AND(_A="A-321",'2024'!$L$4="FO",'2024'!$L$2=AA309),'2024DATA'!$L$28,"")</f>
        <v/>
      </c>
      <c r="AB335" s="518" t="str">
        <f>IF(AND(_A="A-321",'2024'!$L$4="FO",'2024'!$L$2=AB309),'2024DATA'!$M$28,"")</f>
        <v/>
      </c>
      <c r="AC335" s="520" t="str">
        <f>IF(AND(_A="A-321",'2024'!$L$4="FO",'2024'!$L$2=AC309),'2024DATA'!$N$28,"")</f>
        <v/>
      </c>
      <c r="AD335" s="940"/>
      <c r="AE335" s="13" t="s">
        <v>62</v>
      </c>
      <c r="AF335" s="518" t="str">
        <f>IF(AND(_B="A-321",'2024'!$L$4="FO",'2024'!$L$2=AF309),'2024DATA'!$C$28,"")</f>
        <v/>
      </c>
      <c r="AG335" s="518" t="str">
        <f>IF(AND(_B="A-321",'2024'!$L$4="FO",'2024'!$L$2=AG309),'2024DATA'!$D$28,"")</f>
        <v/>
      </c>
      <c r="AH335" s="518" t="str">
        <f>IF(AND(_B="A-321",'2024'!$L$4="FO",'2024'!$L$2=AH309),'2024DATA'!$E$28,"")</f>
        <v/>
      </c>
      <c r="AI335" s="518" t="str">
        <f>IF(AND(_B="A-321",'2024'!$L$4="FO",'2024'!$L$2=AI309),'2024DATA'!$F$28,"")</f>
        <v/>
      </c>
      <c r="AJ335" s="518" t="str">
        <f>IF(AND(_B="A-321",'2024'!$L$4="FO",'2024'!$L$2=AJ309),'2024DATA'!$G$28,"")</f>
        <v/>
      </c>
      <c r="AK335" s="518" t="str">
        <f>IF(AND(_B="A-321",'2024'!$L$4="FO",'2024'!$L$2=AK309),'2024DATA'!$H$28,"")</f>
        <v/>
      </c>
      <c r="AL335" s="518" t="str">
        <f>IF(AND(_B="A-321",'2024'!$L$4="FO",'2024'!$L$2=AL309),'2024DATA'!$I$28,"")</f>
        <v/>
      </c>
      <c r="AM335" s="518" t="str">
        <f>IF(AND(_B="A-321",'2024'!$L$4="FO",'2024'!$L$2=AM309),'2024DATA'!$J$28,"")</f>
        <v/>
      </c>
      <c r="AN335" s="518" t="str">
        <f>IF(AND(_B="A-321",'2024'!$L$4="FO",'2024'!$L$2=AN309),'2024DATA'!$K$28,"")</f>
        <v/>
      </c>
      <c r="AO335" s="518" t="str">
        <f>IF(AND(_B="A-321",'2024'!$L$4="FO",'2024'!$L$2=AO309),'2024DATA'!$L$28,"")</f>
        <v/>
      </c>
      <c r="AP335" s="518" t="str">
        <f>IF(AND(_B="A-321",'2024'!$L$4="FO",'2024'!$L$2=AP309),'2024DATA'!$M$28,"")</f>
        <v/>
      </c>
      <c r="AQ335" s="520" t="str">
        <f>IF(AND(_B="A-321",'2024'!$L$4="FO",'2024'!$L$2=AQ309),'2024DATA'!$N$28,"")</f>
        <v/>
      </c>
      <c r="AR335" s="940"/>
      <c r="AS335" s="13" t="s">
        <v>62</v>
      </c>
      <c r="AT335" s="518" t="str">
        <f>IF(AND(_C="A-321",'2024'!$L$4="FO",'2024'!$L$2=AT309),'2024DATA'!$C$28,"")</f>
        <v/>
      </c>
      <c r="AU335" s="518" t="str">
        <f>IF(AND(_C="A-321",'2024'!$L$4="FO",'2024'!$L$2=AU309),'2024DATA'!$D$28,"")</f>
        <v/>
      </c>
      <c r="AV335" s="518" t="str">
        <f>IF(AND(_C="A-321",'2024'!$L$4="FO",'2024'!$L$2=AV309),'2024DATA'!$E$28,"")</f>
        <v/>
      </c>
      <c r="AW335" s="518" t="str">
        <f>IF(AND(_C="A-321",'2024'!$L$4="FO",'2024'!$L$2=AW309),'2024DATA'!$F$28,"")</f>
        <v/>
      </c>
      <c r="AX335" s="518" t="str">
        <f>IF(AND(_C="A-321",'2024'!$L$4="FO",'2024'!$L$2=AX309),'2024DATA'!$G$28,"")</f>
        <v/>
      </c>
      <c r="AY335" s="518" t="str">
        <f>IF(AND(_C="A-321",'2024'!$L$4="FO",'2024'!$L$2=AY309),'2024DATA'!$H$28,"")</f>
        <v/>
      </c>
      <c r="AZ335" s="518" t="str">
        <f>IF(AND(_C="A-321",'2024'!$L$4="FO",'2024'!$L$2=AZ309),'2024DATA'!$I$28,"")</f>
        <v/>
      </c>
      <c r="BA335" s="518" t="str">
        <f>IF(AND(_C="A-321",'2024'!$L$4="FO",'2024'!$L$2=BA309),'2024DATA'!$J$28,"")</f>
        <v/>
      </c>
      <c r="BB335" s="518" t="str">
        <f>IF(AND(_C="A-321",'2024'!$L$4="FO",'2024'!$L$2=BB309),'2024DATA'!$K$28,"")</f>
        <v/>
      </c>
      <c r="BC335" s="518" t="str">
        <f>IF(AND(_C="A-321",'2024'!$L$4="FO",'2024'!$L$2=BC309),'2024DATA'!$L$28,"")</f>
        <v/>
      </c>
      <c r="BD335" s="518" t="str">
        <f>IF(AND(_C="A-321",'2024'!$L$4="FO",'2024'!$L$2=BD309),'2024DATA'!$M$28,"")</f>
        <v/>
      </c>
      <c r="BE335" s="520" t="str">
        <f>IF(AND(_C="A-321",'2024'!$L$4="FO",'2024'!$L$2=BE309),'2024DATA'!$N$28,"")</f>
        <v/>
      </c>
      <c r="BF335" s="940"/>
      <c r="BG335" s="13" t="s">
        <v>62</v>
      </c>
      <c r="BH335" s="518" t="str">
        <f>IF(AND(_D="A-321",'2024'!$L$4="FO",'2024'!$L$2=BH309),'2024DATA'!$C$28,"")</f>
        <v/>
      </c>
      <c r="BI335" s="518" t="str">
        <f>IF(AND(_D="A-321",'2024'!$L$4="FO",'2024'!$L$2=BI309),'2024DATA'!$D$28,"")</f>
        <v/>
      </c>
      <c r="BJ335" s="518" t="str">
        <f>IF(AND(_D="A-321",'2024'!$L$4="FO",'2024'!$L$2=BJ309),'2024DATA'!$E$28,"")</f>
        <v/>
      </c>
      <c r="BK335" s="518" t="str">
        <f>IF(AND(_D="A-321",'2024'!$L$4="FO",'2024'!$L$2=BK309),'2024DATA'!$F$28,"")</f>
        <v/>
      </c>
      <c r="BL335" s="518" t="str">
        <f>IF(AND(_D="A-321",'2024'!$L$4="FO",'2024'!$L$2=BL309),'2024DATA'!$G$28,"")</f>
        <v/>
      </c>
      <c r="BM335" s="518" t="str">
        <f>IF(AND(_D="A-321",'2024'!$L$4="FO",'2024'!$L$2=BM309),'2024DATA'!$H$28,"")</f>
        <v/>
      </c>
      <c r="BN335" s="518" t="str">
        <f>IF(AND(_D="A-321",'2024'!$L$4="FO",'2024'!$L$2=BN309),'2024DATA'!$I$28,"")</f>
        <v/>
      </c>
      <c r="BO335" s="518" t="str">
        <f>IF(AND(_D="A-321",'2024'!$L$4="FO",'2024'!$L$2=BO309),'2024DATA'!$J$28,"")</f>
        <v/>
      </c>
      <c r="BP335" s="518" t="str">
        <f>IF(AND(_D="A-321",'2024'!$L$4="FO",'2024'!$L$2=BP309),'2024DATA'!$K$28,"")</f>
        <v/>
      </c>
      <c r="BQ335" s="518" t="str">
        <f>IF(AND(_D="A-321",'2024'!$L$4="FO",'2024'!$L$2=BQ309),'2024DATA'!$L$28,"")</f>
        <v/>
      </c>
      <c r="BR335" s="518" t="str">
        <f>IF(AND(_D="A-321",'2024'!$L$4="FO",'2024'!$L$2=BR309),'2024DATA'!$M$28,"")</f>
        <v/>
      </c>
      <c r="BS335" s="520" t="str">
        <f>IF(AND(_D="A-321",'2024'!$L$4="FO",'2024'!$L$2=BS309),'2024DATA'!$N$28,"")</f>
        <v/>
      </c>
      <c r="BT335" s="940"/>
      <c r="BU335" s="13" t="s">
        <v>62</v>
      </c>
      <c r="BV335" s="518" t="str">
        <f>IF(AND(_E="A-321",'2024'!$L$4="FO",'2024'!$L$2=BV309),'2024DATA'!$C$28,"")</f>
        <v/>
      </c>
      <c r="BW335" s="518" t="str">
        <f>IF(AND(_E="A-321",'2024'!$L$4="FO",'2024'!$L$2=BW309),'2024DATA'!$D$28,"")</f>
        <v/>
      </c>
      <c r="BX335" s="518" t="str">
        <f>IF(AND(_E="A-321",'2024'!$L$4="FO",'2024'!$L$2=BX309),'2024DATA'!$E$28,"")</f>
        <v/>
      </c>
      <c r="BY335" s="518" t="str">
        <f>IF(AND(_E="A-321",'2024'!$L$4="FO",'2024'!$L$2=BY309),'2024DATA'!$F$28,"")</f>
        <v/>
      </c>
      <c r="BZ335" s="518" t="str">
        <f>IF(AND(_E="A-321",'2024'!$L$4="FO",'2024'!$L$2=BZ309),'2024DATA'!$G$28,"")</f>
        <v/>
      </c>
      <c r="CA335" s="518" t="str">
        <f>IF(AND(_E="A-321",'2024'!$L$4="FO",'2024'!$L$2=CA309),'2024DATA'!$H$28,"")</f>
        <v/>
      </c>
      <c r="CB335" s="518" t="str">
        <f>IF(AND(_E="A-321",'2024'!$L$4="FO",'2024'!$L$2=CB309),'2024DATA'!$I$28,"")</f>
        <v/>
      </c>
      <c r="CC335" s="518" t="str">
        <f>IF(AND(_E="A-321",'2024'!$L$4="FO",'2024'!$L$2=CC309),'2024DATA'!$J$28,"")</f>
        <v/>
      </c>
      <c r="CD335" s="518" t="str">
        <f>IF(AND(_E="A-321",'2024'!$L$4="FO",'2024'!$L$2=CD309),'2024DATA'!$K$28,"")</f>
        <v/>
      </c>
      <c r="CE335" s="518" t="str">
        <f>IF(AND(_E="A-321",'2024'!$L$4="FO",'2024'!$L$2=CE309),'2024DATA'!$L$28,"")</f>
        <v/>
      </c>
      <c r="CF335" s="518" t="str">
        <f>IF(AND(_E="A-321",'2024'!$L$4="FO",'2024'!$L$2=CF309),'2024DATA'!$M$28,"")</f>
        <v/>
      </c>
      <c r="CG335" s="520" t="str">
        <f>IF(AND(_E="A-321",'2024'!$L$4="FO",'2024'!$L$2=CG309),'2024DATA'!$N$28,"")</f>
        <v/>
      </c>
      <c r="CH335" s="940"/>
      <c r="CI335" s="13" t="s">
        <v>62</v>
      </c>
      <c r="CJ335" s="518" t="str">
        <f>IF(AND(_F="A-321",'2024'!$L$4="FO",'2024'!$L$2=CJ309),'2024DATA'!$C$28,"")</f>
        <v/>
      </c>
      <c r="CK335" s="518" t="str">
        <f>IF(AND(_F="A-321",'2024'!$L$4="FO",'2024'!$L$2=CK309),'2024DATA'!$D$28,"")</f>
        <v/>
      </c>
      <c r="CL335" s="518" t="str">
        <f>IF(AND(_F="A-321",'2024'!$L$4="FO",'2024'!$L$2=CL309),'2024DATA'!$E$28,"")</f>
        <v/>
      </c>
      <c r="CM335" s="518" t="str">
        <f>IF(AND(_F="A-321",'2024'!$L$4="FO",'2024'!$L$2=CM309),'2024DATA'!$F$28,"")</f>
        <v/>
      </c>
      <c r="CN335" s="518" t="str">
        <f>IF(AND(_F="A-321",'2024'!$L$4="FO",'2024'!$L$2=CN309),'2024DATA'!$G$28,"")</f>
        <v/>
      </c>
      <c r="CO335" s="518" t="str">
        <f>IF(AND(_F="A-321",'2024'!$L$4="FO",'2024'!$L$2=CO309),'2024DATA'!$H$28,"")</f>
        <v/>
      </c>
      <c r="CP335" s="518" t="str">
        <f>IF(AND(_F="A-321",'2024'!$L$4="FO",'2024'!$L$2=CP309),'2024DATA'!$I$28,"")</f>
        <v/>
      </c>
      <c r="CQ335" s="518" t="str">
        <f>IF(AND(_F="A-321",'2024'!$L$4="FO",'2024'!$L$2=CQ309),'2024DATA'!$J$28,"")</f>
        <v/>
      </c>
      <c r="CR335" s="518" t="str">
        <f>IF(AND(_F="A-321",'2024'!$L$4="FO",'2024'!$L$2=CR309),'2024DATA'!$K$28,"")</f>
        <v/>
      </c>
      <c r="CS335" s="518" t="str">
        <f>IF(AND(_F="A-321",'2024'!$L$4="FO",'2024'!$L$2=CS309),'2024DATA'!$L$28,"")</f>
        <v/>
      </c>
      <c r="CT335" s="518" t="str">
        <f>IF(AND(_F="A-321",'2024'!$L$4="FO",'2024'!$L$2=CT309),'2024DATA'!$M$28,"")</f>
        <v/>
      </c>
      <c r="CU335" s="520" t="str">
        <f>IF(AND(_F="A-321",'2024'!$L$4="FO",'2024'!$L$2=CU309),'2024DATA'!$N$28,"")</f>
        <v/>
      </c>
    </row>
    <row r="336" spans="16:99" x14ac:dyDescent="0.25">
      <c r="P336" s="940" t="s">
        <v>70</v>
      </c>
      <c r="Q336" s="13" t="s">
        <v>61</v>
      </c>
      <c r="R336" s="518" t="str">
        <f>IF(AND(_A="A-320",'2024'!$L$4="CA",'2024'!$L$2=R309),'2024DATA'!$C$29,"")</f>
        <v/>
      </c>
      <c r="S336" s="518" t="str">
        <f>IF(AND(_A="A-320",'2024'!$L$4="CA",'2024'!$L$2=S309),'2024DATA'!$D$29,"")</f>
        <v/>
      </c>
      <c r="T336" s="518" t="str">
        <f>IF(AND(_A="A-320",'2024'!$L$4="CA",'2024'!$L$2=T309),'2024DATA'!$E$29,"")</f>
        <v/>
      </c>
      <c r="U336" s="518" t="str">
        <f>IF(AND(_A="A-320",'2024'!$L$4="CA",'2024'!$L$2=U309),'2024DATA'!$F$29,"")</f>
        <v/>
      </c>
      <c r="V336" s="518" t="str">
        <f>IF(AND(_A="A-320",'2024'!$L$4="CA",'2024'!$L$2=V309),'2024DATA'!$G$29,"")</f>
        <v/>
      </c>
      <c r="W336" s="518" t="str">
        <f>IF(AND(_A="A-320",'2024'!$L$4="CA",'2024'!$L$2=W309),'2024DATA'!$H$29,"")</f>
        <v/>
      </c>
      <c r="X336" s="518" t="str">
        <f>IF(AND(_A="A-320",'2024'!$L$4="CA",'2024'!$L$2=X309),'2024DATA'!$I$29,"")</f>
        <v/>
      </c>
      <c r="Y336" s="518" t="str">
        <f>IF(AND(_A="A-320",'2024'!$L$4="CA",'2024'!$L$2=Y309),'2024DATA'!$J$29,"")</f>
        <v/>
      </c>
      <c r="Z336" s="518" t="str">
        <f>IF(AND(_A="A-320",'2024'!$L$4="CA",'2024'!$L$2=Z309),'2024DATA'!$K$29,"")</f>
        <v/>
      </c>
      <c r="AA336" s="518" t="str">
        <f>IF(AND(_A="A-320",'2024'!$L$4="CA",'2024'!$L$2=AA309),'2024DATA'!$L$29,"")</f>
        <v/>
      </c>
      <c r="AB336" s="518" t="str">
        <f>IF(AND(_A="A-320",'2024'!$L$4="CA",'2024'!$L$2=AB309),'2024DATA'!$M$29,"")</f>
        <v/>
      </c>
      <c r="AC336" s="520" t="str">
        <f>IF(AND(_A="A-320",'2024'!$L$4="CA",'2024'!$L$2=AC309),'2024DATA'!$N$29,"")</f>
        <v/>
      </c>
      <c r="AD336" s="940" t="s">
        <v>70</v>
      </c>
      <c r="AE336" s="13" t="s">
        <v>61</v>
      </c>
      <c r="AF336" s="518" t="str">
        <f>IF(AND(_B="A-320",'2024'!$L$4="CA",'2024'!$L$2=AF309),'2024DATA'!$C$29,"")</f>
        <v/>
      </c>
      <c r="AG336" s="518" t="str">
        <f>IF(AND(_B="A-320",'2024'!$L$4="CA",'2024'!$L$2=AG309),'2024DATA'!$D$29,"")</f>
        <v/>
      </c>
      <c r="AH336" s="518" t="str">
        <f>IF(AND(_B="A-320",'2024'!$L$4="CA",'2024'!$L$2=AH309),'2024DATA'!$E$29,"")</f>
        <v/>
      </c>
      <c r="AI336" s="518" t="str">
        <f>IF(AND(_B="A-320",'2024'!$L$4="CA",'2024'!$L$2=AI309),'2024DATA'!$F$29,"")</f>
        <v/>
      </c>
      <c r="AJ336" s="518" t="str">
        <f>IF(AND(_B="A-320",'2024'!$L$4="CA",'2024'!$L$2=AJ309),'2024DATA'!$G$29,"")</f>
        <v/>
      </c>
      <c r="AK336" s="518" t="str">
        <f>IF(AND(_B="A-320",'2024'!$L$4="CA",'2024'!$L$2=AK309),'2024DATA'!$H$29,"")</f>
        <v/>
      </c>
      <c r="AL336" s="518" t="str">
        <f>IF(AND(_B="A-320",'2024'!$L$4="CA",'2024'!$L$2=AL309),'2024DATA'!$I$29,"")</f>
        <v/>
      </c>
      <c r="AM336" s="518" t="str">
        <f>IF(AND(_B="A-320",'2024'!$L$4="CA",'2024'!$L$2=AM309),'2024DATA'!$J$29,"")</f>
        <v/>
      </c>
      <c r="AN336" s="518" t="str">
        <f>IF(AND(_B="A-320",'2024'!$L$4="CA",'2024'!$L$2=AN309),'2024DATA'!$K$29,"")</f>
        <v/>
      </c>
      <c r="AO336" s="518" t="str">
        <f>IF(AND(_B="A-320",'2024'!$L$4="CA",'2024'!$L$2=AO309),'2024DATA'!$L$29,"")</f>
        <v/>
      </c>
      <c r="AP336" s="518" t="str">
        <f>IF(AND(_B="A-320",'2024'!$L$4="CA",'2024'!$L$2=AP309),'2024DATA'!$M$29,"")</f>
        <v/>
      </c>
      <c r="AQ336" s="520" t="str">
        <f>IF(AND(_B="A-320",'2024'!$L$4="CA",'2024'!$L$2=AQ309),'2024DATA'!$N$29,"")</f>
        <v/>
      </c>
      <c r="AR336" s="940" t="s">
        <v>70</v>
      </c>
      <c r="AS336" s="13" t="s">
        <v>61</v>
      </c>
      <c r="AT336" s="518" t="str">
        <f>IF(AND(_C="A-320",'2024'!$L$4="CA",'2024'!$L$2=AT309),'2024DATA'!$C$29,"")</f>
        <v/>
      </c>
      <c r="AU336" s="518" t="str">
        <f>IF(AND(_C="A-320",'2024'!$L$4="CA",'2024'!$L$2=AU309),'2024DATA'!$D$29,"")</f>
        <v/>
      </c>
      <c r="AV336" s="518" t="str">
        <f>IF(AND(_C="A-320",'2024'!$L$4="CA",'2024'!$L$2=AV309),'2024DATA'!$E$29,"")</f>
        <v/>
      </c>
      <c r="AW336" s="518" t="str">
        <f>IF(AND(_C="A-320",'2024'!$L$4="CA",'2024'!$L$2=AW309),'2024DATA'!$F$29,"")</f>
        <v/>
      </c>
      <c r="AX336" s="518" t="str">
        <f>IF(AND(_C="A-320",'2024'!$L$4="CA",'2024'!$L$2=AX309),'2024DATA'!$G$29,"")</f>
        <v/>
      </c>
      <c r="AY336" s="518" t="str">
        <f>IF(AND(_C="A-320",'2024'!$L$4="CA",'2024'!$L$2=AY309),'2024DATA'!$H$29,"")</f>
        <v/>
      </c>
      <c r="AZ336" s="518" t="str">
        <f>IF(AND(_C="A-320",'2024'!$L$4="CA",'2024'!$L$2=AZ309),'2024DATA'!$I$29,"")</f>
        <v/>
      </c>
      <c r="BA336" s="518" t="str">
        <f>IF(AND(_C="A-320",'2024'!$L$4="CA",'2024'!$L$2=BA309),'2024DATA'!$J$29,"")</f>
        <v/>
      </c>
      <c r="BB336" s="518" t="str">
        <f>IF(AND(_C="A-320",'2024'!$L$4="CA",'2024'!$L$2=BB309),'2024DATA'!$K$29,"")</f>
        <v/>
      </c>
      <c r="BC336" s="518" t="str">
        <f>IF(AND(_C="A-320",'2024'!$L$4="CA",'2024'!$L$2=BC309),'2024DATA'!$L$29,"")</f>
        <v/>
      </c>
      <c r="BD336" s="518" t="str">
        <f>IF(AND(_C="A-320",'2024'!$L$4="CA",'2024'!$L$2=BD309),'2024DATA'!$M$29,"")</f>
        <v/>
      </c>
      <c r="BE336" s="520" t="str">
        <f>IF(AND(_C="A-320",'2024'!$L$4="CA",'2024'!$L$2=BE309),'2024DATA'!$N$29,"")</f>
        <v/>
      </c>
      <c r="BF336" s="940" t="s">
        <v>70</v>
      </c>
      <c r="BG336" s="13" t="s">
        <v>61</v>
      </c>
      <c r="BH336" s="518" t="str">
        <f>IF(AND(_D="A-320",'2024'!$L$4="CA",'2024'!$L$2=BH309),'2024DATA'!$C$29,"")</f>
        <v/>
      </c>
      <c r="BI336" s="518" t="str">
        <f>IF(AND(_D="A-320",'2024'!$L$4="CA",'2024'!$L$2=BI309),'2024DATA'!$D$29,"")</f>
        <v/>
      </c>
      <c r="BJ336" s="518" t="str">
        <f>IF(AND(_D="A-320",'2024'!$L$4="CA",'2024'!$L$2=BJ309),'2024DATA'!$E$29,"")</f>
        <v/>
      </c>
      <c r="BK336" s="518" t="str">
        <f>IF(AND(_D="A-320",'2024'!$L$4="CA",'2024'!$L$2=BK309),'2024DATA'!$F$29,"")</f>
        <v/>
      </c>
      <c r="BL336" s="518" t="str">
        <f>IF(AND(_D="A-320",'2024'!$L$4="CA",'2024'!$L$2=BL309),'2024DATA'!$G$29,"")</f>
        <v/>
      </c>
      <c r="BM336" s="518" t="str">
        <f>IF(AND(_D="A-320",'2024'!$L$4="CA",'2024'!$L$2=BM309),'2024DATA'!$H$29,"")</f>
        <v/>
      </c>
      <c r="BN336" s="518" t="str">
        <f>IF(AND(_D="A-320",'2024'!$L$4="CA",'2024'!$L$2=BN309),'2024DATA'!$I$29,"")</f>
        <v/>
      </c>
      <c r="BO336" s="518" t="str">
        <f>IF(AND(_D="A-320",'2024'!$L$4="CA",'2024'!$L$2=BO309),'2024DATA'!$J$29,"")</f>
        <v/>
      </c>
      <c r="BP336" s="518" t="str">
        <f>IF(AND(_D="A-320",'2024'!$L$4="CA",'2024'!$L$2=BP309),'2024DATA'!$K$29,"")</f>
        <v/>
      </c>
      <c r="BQ336" s="518" t="str">
        <f>IF(AND(_D="A-320",'2024'!$L$4="CA",'2024'!$L$2=BQ309),'2024DATA'!$L$29,"")</f>
        <v/>
      </c>
      <c r="BR336" s="518" t="str">
        <f>IF(AND(_D="A-320",'2024'!$L$4="CA",'2024'!$L$2=BR309),'2024DATA'!$M$29,"")</f>
        <v/>
      </c>
      <c r="BS336" s="520" t="str">
        <f>IF(AND(_D="A-320",'2024'!$L$4="CA",'2024'!$L$2=BS309),'2024DATA'!$N$29,"")</f>
        <v/>
      </c>
      <c r="BT336" s="940" t="s">
        <v>70</v>
      </c>
      <c r="BU336" s="13" t="s">
        <v>61</v>
      </c>
      <c r="BV336" s="518" t="str">
        <f>IF(AND(_E="A-320",'2024'!$L$4="CA",'2024'!$L$2=BV309),'2024DATA'!$C$29,"")</f>
        <v/>
      </c>
      <c r="BW336" s="518" t="str">
        <f>IF(AND(_E="A-320",'2024'!$L$4="CA",'2024'!$L$2=BW309),'2024DATA'!$D$29,"")</f>
        <v/>
      </c>
      <c r="BX336" s="518" t="str">
        <f>IF(AND(_E="A-320",'2024'!$L$4="CA",'2024'!$L$2=BX309),'2024DATA'!$E$29,"")</f>
        <v/>
      </c>
      <c r="BY336" s="518" t="str">
        <f>IF(AND(_E="A-320",'2024'!$L$4="CA",'2024'!$L$2=BY309),'2024DATA'!$F$29,"")</f>
        <v/>
      </c>
      <c r="BZ336" s="518" t="str">
        <f>IF(AND(_E="A-320",'2024'!$L$4="CA",'2024'!$L$2=BZ309),'2024DATA'!$G$29,"")</f>
        <v/>
      </c>
      <c r="CA336" s="518" t="str">
        <f>IF(AND(_E="A-320",'2024'!$L$4="CA",'2024'!$L$2=CA309),'2024DATA'!$H$29,"")</f>
        <v/>
      </c>
      <c r="CB336" s="518" t="str">
        <f>IF(AND(_E="A-320",'2024'!$L$4="CA",'2024'!$L$2=CB309),'2024DATA'!$I$29,"")</f>
        <v/>
      </c>
      <c r="CC336" s="518" t="str">
        <f>IF(AND(_E="A-320",'2024'!$L$4="CA",'2024'!$L$2=CC309),'2024DATA'!$J$29,"")</f>
        <v/>
      </c>
      <c r="CD336" s="518" t="str">
        <f>IF(AND(_E="A-320",'2024'!$L$4="CA",'2024'!$L$2=CD309),'2024DATA'!$K$29,"")</f>
        <v/>
      </c>
      <c r="CE336" s="518" t="str">
        <f>IF(AND(_E="A-320",'2024'!$L$4="CA",'2024'!$L$2=CE309),'2024DATA'!$L$29,"")</f>
        <v/>
      </c>
      <c r="CF336" s="518" t="str">
        <f>IF(AND(_E="A-320",'2024'!$L$4="CA",'2024'!$L$2=CF309),'2024DATA'!$M$29,"")</f>
        <v/>
      </c>
      <c r="CG336" s="520" t="str">
        <f>IF(AND(_E="A-320",'2024'!$L$4="CA",'2024'!$L$2=CG309),'2024DATA'!$N$29,"")</f>
        <v/>
      </c>
      <c r="CH336" s="940" t="s">
        <v>70</v>
      </c>
      <c r="CI336" s="13" t="s">
        <v>61</v>
      </c>
      <c r="CJ336" s="518" t="str">
        <f>IF(AND(_F="A-320",'2024'!$L$4="CA",'2024'!$L$2=CJ309),'2024DATA'!$C$29,"")</f>
        <v/>
      </c>
      <c r="CK336" s="518" t="str">
        <f>IF(AND(_F="A-320",'2024'!$L$4="CA",'2024'!$L$2=CK309),'2024DATA'!$D$29,"")</f>
        <v/>
      </c>
      <c r="CL336" s="518" t="str">
        <f>IF(AND(_F="A-320",'2024'!$L$4="CA",'2024'!$L$2=CL309),'2024DATA'!$E$29,"")</f>
        <v/>
      </c>
      <c r="CM336" s="518" t="str">
        <f>IF(AND(_F="A-320",'2024'!$L$4="CA",'2024'!$L$2=CM309),'2024DATA'!$F$29,"")</f>
        <v/>
      </c>
      <c r="CN336" s="518" t="str">
        <f>IF(AND(_F="A-320",'2024'!$L$4="CA",'2024'!$L$2=CN309),'2024DATA'!$G$29,"")</f>
        <v/>
      </c>
      <c r="CO336" s="518" t="str">
        <f>IF(AND(_F="A-320",'2024'!$L$4="CA",'2024'!$L$2=CO309),'2024DATA'!$H$29,"")</f>
        <v/>
      </c>
      <c r="CP336" s="518" t="str">
        <f>IF(AND(_F="A-320",'2024'!$L$4="CA",'2024'!$L$2=CP309),'2024DATA'!$I$29,"")</f>
        <v/>
      </c>
      <c r="CQ336" s="518" t="str">
        <f>IF(AND(_F="A-320",'2024'!$L$4="CA",'2024'!$L$2=CQ309),'2024DATA'!$J$29,"")</f>
        <v/>
      </c>
      <c r="CR336" s="518" t="str">
        <f>IF(AND(_F="A-320",'2024'!$L$4="CA",'2024'!$L$2=CR309),'2024DATA'!$K$29,"")</f>
        <v/>
      </c>
      <c r="CS336" s="518" t="str">
        <f>IF(AND(_F="A-320",'2024'!$L$4="CA",'2024'!$L$2=CS309),'2024DATA'!$L$29,"")</f>
        <v/>
      </c>
      <c r="CT336" s="518" t="str">
        <f>IF(AND(_F="A-320",'2024'!$L$4="CA",'2024'!$L$2=CT309),'2024DATA'!$M$29,"")</f>
        <v/>
      </c>
      <c r="CU336" s="520" t="str">
        <f>IF(AND(_F="A-320",'2024'!$L$4="CA",'2024'!$L$2=CU309),'2024DATA'!$N$29,"")</f>
        <v/>
      </c>
    </row>
    <row r="337" spans="16:99" x14ac:dyDescent="0.25">
      <c r="P337" s="940"/>
      <c r="Q337" s="13" t="s">
        <v>62</v>
      </c>
      <c r="R337" s="518" t="str">
        <f>IF(AND(_A="A-320",'2024'!$L$4="FO",'2024'!$L$2=R309),'2024DATA'!$C$30,"")</f>
        <v/>
      </c>
      <c r="S337" s="518" t="str">
        <f>IF(AND(_A="A-320",'2024'!$L$4="FO",'2024'!$L$2=S309),'2024DATA'!$D$30,"")</f>
        <v/>
      </c>
      <c r="T337" s="518" t="str">
        <f>IF(AND(_A="A-320",'2024'!$L$4="FO",'2024'!$L$2=T309),'2024DATA'!$E$30,"")</f>
        <v/>
      </c>
      <c r="U337" s="518" t="str">
        <f>IF(AND(_A="A-320",'2024'!$L$4="FO",'2024'!$L$2=U309),'2024DATA'!$F$30,"")</f>
        <v/>
      </c>
      <c r="V337" s="518" t="str">
        <f>IF(AND(_A="A-320",'2024'!$L$4="FO",'2024'!$L$2=V309),'2024DATA'!$G$30,"")</f>
        <v/>
      </c>
      <c r="W337" s="518" t="str">
        <f>IF(AND(_A="A-320",'2024'!$L$4="FO",'2024'!$L$2=W309),'2024DATA'!$H$30,"")</f>
        <v/>
      </c>
      <c r="X337" s="518" t="str">
        <f>IF(AND(_A="A-320",'2024'!$L$4="FO",'2024'!$L$2=X309),'2024DATA'!$I$30,"")</f>
        <v/>
      </c>
      <c r="Y337" s="518" t="str">
        <f>IF(AND(_A="A-320",'2024'!$L$4="FO",'2024'!$L$2=Y309),'2024DATA'!$J$30,"")</f>
        <v/>
      </c>
      <c r="Z337" s="518" t="str">
        <f>IF(AND(_A="A-320",'2024'!$L$4="FO",'2024'!$L$2=Z309),'2024DATA'!$K$30,"")</f>
        <v/>
      </c>
      <c r="AA337" s="518" t="str">
        <f>IF(AND(_A="A-320",'2024'!$L$4="FO",'2024'!$L$2=AA309),'2024DATA'!$L$30,"")</f>
        <v/>
      </c>
      <c r="AB337" s="518" t="str">
        <f>IF(AND(_A="A-320",'2024'!$L$4="FO",'2024'!$L$2=AB309),'2024DATA'!$M$30,"")</f>
        <v/>
      </c>
      <c r="AC337" s="520" t="str">
        <f>IF(AND(_A="A-320",'2024'!$L$4="FO",'2024'!$L$2=AC309),'2024DATA'!$N$30,"")</f>
        <v/>
      </c>
      <c r="AD337" s="940"/>
      <c r="AE337" s="13" t="s">
        <v>62</v>
      </c>
      <c r="AF337" s="518" t="str">
        <f>IF(AND(_B="A-320",'2024'!$L$4="FO",'2024'!$L$2=AF309),'2024DATA'!$C$30,"")</f>
        <v/>
      </c>
      <c r="AG337" s="518" t="str">
        <f>IF(AND(_B="A-320",'2024'!$L$4="FO",'2024'!$L$2=AG309),'2024DATA'!$D$30,"")</f>
        <v/>
      </c>
      <c r="AH337" s="518" t="str">
        <f>IF(AND(_B="A-320",'2024'!$L$4="FO",'2024'!$L$2=AH309),'2024DATA'!$E$30,"")</f>
        <v/>
      </c>
      <c r="AI337" s="518" t="str">
        <f>IF(AND(_B="A-320",'2024'!$L$4="FO",'2024'!$L$2=AI309),'2024DATA'!$F$30,"")</f>
        <v/>
      </c>
      <c r="AJ337" s="518" t="str">
        <f>IF(AND(_B="A-320",'2024'!$L$4="FO",'2024'!$L$2=AJ309),'2024DATA'!$G$30,"")</f>
        <v/>
      </c>
      <c r="AK337" s="518" t="str">
        <f>IF(AND(_B="A-320",'2024'!$L$4="FO",'2024'!$L$2=AK309),'2024DATA'!$H$30,"")</f>
        <v/>
      </c>
      <c r="AL337" s="518" t="str">
        <f>IF(AND(_B="A-320",'2024'!$L$4="FO",'2024'!$L$2=AL309),'2024DATA'!$I$30,"")</f>
        <v/>
      </c>
      <c r="AM337" s="518" t="str">
        <f>IF(AND(_B="A-320",'2024'!$L$4="FO",'2024'!$L$2=AM309),'2024DATA'!$J$30,"")</f>
        <v/>
      </c>
      <c r="AN337" s="518" t="str">
        <f>IF(AND(_B="A-320",'2024'!$L$4="FO",'2024'!$L$2=AN309),'2024DATA'!$K$30,"")</f>
        <v/>
      </c>
      <c r="AO337" s="518" t="str">
        <f>IF(AND(_B="A-320",'2024'!$L$4="FO",'2024'!$L$2=AO309),'2024DATA'!$L$30,"")</f>
        <v/>
      </c>
      <c r="AP337" s="518" t="str">
        <f>IF(AND(_B="A-320",'2024'!$L$4="FO",'2024'!$L$2=AP309),'2024DATA'!$M$30,"")</f>
        <v/>
      </c>
      <c r="AQ337" s="520" t="str">
        <f>IF(AND(_B="A-320",'2024'!$L$4="FO",'2024'!$L$2=AQ309),'2024DATA'!$N$30,"")</f>
        <v/>
      </c>
      <c r="AR337" s="940"/>
      <c r="AS337" s="13" t="s">
        <v>62</v>
      </c>
      <c r="AT337" s="518" t="str">
        <f>IF(AND(_C="A-320",'2024'!$L$4="FO",'2024'!$L$2=AT309),'2024DATA'!$C$30,"")</f>
        <v/>
      </c>
      <c r="AU337" s="518" t="str">
        <f>IF(AND(_C="A-320",'2024'!$L$4="FO",'2024'!$L$2=AU309),'2024DATA'!$D$30,"")</f>
        <v/>
      </c>
      <c r="AV337" s="518" t="str">
        <f>IF(AND(_C="A-320",'2024'!$L$4="FO",'2024'!$L$2=AV309),'2024DATA'!$E$30,"")</f>
        <v/>
      </c>
      <c r="AW337" s="518" t="str">
        <f>IF(AND(_C="A-320",'2024'!$L$4="FO",'2024'!$L$2=AW309),'2024DATA'!$F$30,"")</f>
        <v/>
      </c>
      <c r="AX337" s="518" t="str">
        <f>IF(AND(_C="A-320",'2024'!$L$4="FO",'2024'!$L$2=AX309),'2024DATA'!$G$30,"")</f>
        <v/>
      </c>
      <c r="AY337" s="518" t="str">
        <f>IF(AND(_C="A-320",'2024'!$L$4="FO",'2024'!$L$2=AY309),'2024DATA'!$H$30,"")</f>
        <v/>
      </c>
      <c r="AZ337" s="518" t="str">
        <f>IF(AND(_C="A-320",'2024'!$L$4="FO",'2024'!$L$2=AZ309),'2024DATA'!$I$30,"")</f>
        <v/>
      </c>
      <c r="BA337" s="518" t="str">
        <f>IF(AND(_C="A-320",'2024'!$L$4="FO",'2024'!$L$2=BA309),'2024DATA'!$J$30,"")</f>
        <v/>
      </c>
      <c r="BB337" s="518" t="str">
        <f>IF(AND(_C="A-320",'2024'!$L$4="FO",'2024'!$L$2=BB309),'2024DATA'!$K$30,"")</f>
        <v/>
      </c>
      <c r="BC337" s="518" t="str">
        <f>IF(AND(_C="A-320",'2024'!$L$4="FO",'2024'!$L$2=BC309),'2024DATA'!$L$30,"")</f>
        <v/>
      </c>
      <c r="BD337" s="518" t="str">
        <f>IF(AND(_C="A-320",'2024'!$L$4="FO",'2024'!$L$2=BD309),'2024DATA'!$M$30,"")</f>
        <v/>
      </c>
      <c r="BE337" s="520" t="str">
        <f>IF(AND(_C="A-320",'2024'!$L$4="FO",'2024'!$L$2=BE309),'2024DATA'!$N$30,"")</f>
        <v/>
      </c>
      <c r="BF337" s="940"/>
      <c r="BG337" s="13" t="s">
        <v>62</v>
      </c>
      <c r="BH337" s="518" t="str">
        <f>IF(AND(_D="A-320",'2024'!$L$4="FO",'2024'!$L$2=BH309),'2024DATA'!$C$30,"")</f>
        <v/>
      </c>
      <c r="BI337" s="518" t="str">
        <f>IF(AND(_D="A-320",'2024'!$L$4="FO",'2024'!$L$2=BI309),'2024DATA'!$D$30,"")</f>
        <v/>
      </c>
      <c r="BJ337" s="518" t="str">
        <f>IF(AND(_D="A-320",'2024'!$L$4="FO",'2024'!$L$2=BJ309),'2024DATA'!$E$30,"")</f>
        <v/>
      </c>
      <c r="BK337" s="518" t="str">
        <f>IF(AND(_D="A-320",'2024'!$L$4="FO",'2024'!$L$2=BK309),'2024DATA'!$F$30,"")</f>
        <v/>
      </c>
      <c r="BL337" s="518" t="str">
        <f>IF(AND(_D="A-320",'2024'!$L$4="FO",'2024'!$L$2=BL309),'2024DATA'!$G$30,"")</f>
        <v/>
      </c>
      <c r="BM337" s="518" t="str">
        <f>IF(AND(_D="A-320",'2024'!$L$4="FO",'2024'!$L$2=BM309),'2024DATA'!$H$30,"")</f>
        <v/>
      </c>
      <c r="BN337" s="518" t="str">
        <f>IF(AND(_D="A-320",'2024'!$L$4="FO",'2024'!$L$2=BN309),'2024DATA'!$I$30,"")</f>
        <v/>
      </c>
      <c r="BO337" s="518" t="str">
        <f>IF(AND(_D="A-320",'2024'!$L$4="FO",'2024'!$L$2=BO309),'2024DATA'!$J$30,"")</f>
        <v/>
      </c>
      <c r="BP337" s="518" t="str">
        <f>IF(AND(_D="A-320",'2024'!$L$4="FO",'2024'!$L$2=BP309),'2024DATA'!$K$30,"")</f>
        <v/>
      </c>
      <c r="BQ337" s="518" t="str">
        <f>IF(AND(_D="A-320",'2024'!$L$4="FO",'2024'!$L$2=BQ309),'2024DATA'!$L$30,"")</f>
        <v/>
      </c>
      <c r="BR337" s="518" t="str">
        <f>IF(AND(_D="A-320",'2024'!$L$4="FO",'2024'!$L$2=BR309),'2024DATA'!$M$30,"")</f>
        <v/>
      </c>
      <c r="BS337" s="520" t="str">
        <f>IF(AND(_D="A-320",'2024'!$L$4="FO",'2024'!$L$2=BS309),'2024DATA'!$N$30,"")</f>
        <v/>
      </c>
      <c r="BT337" s="940"/>
      <c r="BU337" s="13" t="s">
        <v>62</v>
      </c>
      <c r="BV337" s="518" t="str">
        <f>IF(AND(_E="A-320",'2024'!$L$4="FO",'2024'!$L$2=BV309),'2024DATA'!$C$30,"")</f>
        <v/>
      </c>
      <c r="BW337" s="518" t="str">
        <f>IF(AND(_E="A-320",'2024'!$L$4="FO",'2024'!$L$2=BW309),'2024DATA'!$D$30,"")</f>
        <v/>
      </c>
      <c r="BX337" s="518" t="str">
        <f>IF(AND(_E="A-320",'2024'!$L$4="FO",'2024'!$L$2=BX309),'2024DATA'!$E$30,"")</f>
        <v/>
      </c>
      <c r="BY337" s="518" t="str">
        <f>IF(AND(_E="A-320",'2024'!$L$4="FO",'2024'!$L$2=BY309),'2024DATA'!$F$30,"")</f>
        <v/>
      </c>
      <c r="BZ337" s="518" t="str">
        <f>IF(AND(_E="A-320",'2024'!$L$4="FO",'2024'!$L$2=BZ309),'2024DATA'!$G$30,"")</f>
        <v/>
      </c>
      <c r="CA337" s="518" t="str">
        <f>IF(AND(_E="A-320",'2024'!$L$4="FO",'2024'!$L$2=CA309),'2024DATA'!$H$30,"")</f>
        <v/>
      </c>
      <c r="CB337" s="518" t="str">
        <f>IF(AND(_E="A-320",'2024'!$L$4="FO",'2024'!$L$2=CB309),'2024DATA'!$I$30,"")</f>
        <v/>
      </c>
      <c r="CC337" s="518" t="str">
        <f>IF(AND(_E="A-320",'2024'!$L$4="FO",'2024'!$L$2=CC309),'2024DATA'!$J$30,"")</f>
        <v/>
      </c>
      <c r="CD337" s="518" t="str">
        <f>IF(AND(_E="A-320",'2024'!$L$4="FO",'2024'!$L$2=CD309),'2024DATA'!$K$30,"")</f>
        <v/>
      </c>
      <c r="CE337" s="518" t="str">
        <f>IF(AND(_E="A-320",'2024'!$L$4="FO",'2024'!$L$2=CE309),'2024DATA'!$L$30,"")</f>
        <v/>
      </c>
      <c r="CF337" s="518" t="str">
        <f>IF(AND(_E="A-320",'2024'!$L$4="FO",'2024'!$L$2=CF309),'2024DATA'!$M$30,"")</f>
        <v/>
      </c>
      <c r="CG337" s="520" t="str">
        <f>IF(AND(_E="A-320",'2024'!$L$4="FO",'2024'!$L$2=CG309),'2024DATA'!$N$30,"")</f>
        <v/>
      </c>
      <c r="CH337" s="940"/>
      <c r="CI337" s="13" t="s">
        <v>62</v>
      </c>
      <c r="CJ337" s="518" t="str">
        <f>IF(AND(_F="A-320",'2024'!$L$4="FO",'2024'!$L$2=CJ309),'2024DATA'!$C$30,"")</f>
        <v/>
      </c>
      <c r="CK337" s="518" t="str">
        <f>IF(AND(_F="A-320",'2024'!$L$4="FO",'2024'!$L$2=CK309),'2024DATA'!$D$30,"")</f>
        <v/>
      </c>
      <c r="CL337" s="518" t="str">
        <f>IF(AND(_F="A-320",'2024'!$L$4="FO",'2024'!$L$2=CL309),'2024DATA'!$E$30,"")</f>
        <v/>
      </c>
      <c r="CM337" s="518" t="str">
        <f>IF(AND(_F="A-320",'2024'!$L$4="FO",'2024'!$L$2=CM309),'2024DATA'!$F$30,"")</f>
        <v/>
      </c>
      <c r="CN337" s="518" t="str">
        <f>IF(AND(_F="A-320",'2024'!$L$4="FO",'2024'!$L$2=CN309),'2024DATA'!$G$30,"")</f>
        <v/>
      </c>
      <c r="CO337" s="518" t="str">
        <f>IF(AND(_F="A-320",'2024'!$L$4="FO",'2024'!$L$2=CO309),'2024DATA'!$H$30,"")</f>
        <v/>
      </c>
      <c r="CP337" s="518" t="str">
        <f>IF(AND(_F="A-320",'2024'!$L$4="FO",'2024'!$L$2=CP309),'2024DATA'!$I$30,"")</f>
        <v/>
      </c>
      <c r="CQ337" s="518" t="str">
        <f>IF(AND(_F="A-320",'2024'!$L$4="FO",'2024'!$L$2=CQ309),'2024DATA'!$J$30,"")</f>
        <v/>
      </c>
      <c r="CR337" s="518" t="str">
        <f>IF(AND(_F="A-320",'2024'!$L$4="FO",'2024'!$L$2=CR309),'2024DATA'!$K$30,"")</f>
        <v/>
      </c>
      <c r="CS337" s="518" t="str">
        <f>IF(AND(_F="A-320",'2024'!$L$4="FO",'2024'!$L$2=CS309),'2024DATA'!$L$30,"")</f>
        <v/>
      </c>
      <c r="CT337" s="518" t="str">
        <f>IF(AND(_F="A-320",'2024'!$L$4="FO",'2024'!$L$2=CT309),'2024DATA'!$M$30,"")</f>
        <v/>
      </c>
      <c r="CU337" s="520" t="str">
        <f>IF(AND(_F="A-320",'2024'!$L$4="FO",'2024'!$L$2=CU309),'2024DATA'!$N$30,"")</f>
        <v/>
      </c>
    </row>
    <row r="338" spans="16:99" x14ac:dyDescent="0.25">
      <c r="P338" s="940" t="s">
        <v>71</v>
      </c>
      <c r="Q338" s="13" t="s">
        <v>61</v>
      </c>
      <c r="R338" s="518" t="str">
        <f>IF(AND(_A="A-319",'2024'!$L$4="CA",'2024'!$L$2=R309),'2024DATA'!$C$31,"")</f>
        <v/>
      </c>
      <c r="S338" s="518" t="str">
        <f>IF(AND(_A="A-319",'2024'!$L$4="CA",'2024'!$L$2=S309),'2024DATA'!$D$31,"")</f>
        <v/>
      </c>
      <c r="T338" s="518" t="str">
        <f>IF(AND(_A="A-319",'2024'!$L$4="CA",'2024'!$L$2=T309),'2024DATA'!$E$31,"")</f>
        <v/>
      </c>
      <c r="U338" s="518" t="str">
        <f>IF(AND(_A="A-319",'2024'!$L$4="CA",'2024'!$L$2=U309),'2024DATA'!$F$31,"")</f>
        <v/>
      </c>
      <c r="V338" s="518" t="str">
        <f>IF(AND(_A="A-319",'2024'!$L$4="CA",'2024'!$L$2=V309),'2024DATA'!$G$31,"")</f>
        <v/>
      </c>
      <c r="W338" s="518" t="str">
        <f>IF(AND(_A="A-319",'2024'!$L$4="CA",'2024'!$L$2=W309),'2024DATA'!$H$31,"")</f>
        <v/>
      </c>
      <c r="X338" s="518" t="str">
        <f>IF(AND(_A="A-319",'2024'!$L$4="CA",'2024'!$L$2=X309),'2024DATA'!$I$31,"")</f>
        <v/>
      </c>
      <c r="Y338" s="518" t="str">
        <f>IF(AND(_A="A-319",'2024'!$L$4="CA",'2024'!$L$2=Y309),'2024DATA'!$J$31,"")</f>
        <v/>
      </c>
      <c r="Z338" s="518" t="str">
        <f>IF(AND(_A="A-319",'2024'!$L$4="CA",'2024'!$L$2=Z309),'2024DATA'!$K$31,"")</f>
        <v/>
      </c>
      <c r="AA338" s="518" t="str">
        <f>IF(AND(_A="A-319",'2024'!$L$4="CA",'2024'!$L$2=AA309),'2024DATA'!$L$31,"")</f>
        <v/>
      </c>
      <c r="AB338" s="518" t="str">
        <f>IF(AND(_A="A-319",'2024'!$L$4="CA",'2024'!$L$2=AB309),'2024DATA'!$M$31,"")</f>
        <v/>
      </c>
      <c r="AC338" s="520" t="str">
        <f>IF(AND(_A="A-319",'2024'!$L$4="CA",'2024'!$L$2=AC309),'2024DATA'!$N$31,"")</f>
        <v/>
      </c>
      <c r="AD338" s="940" t="s">
        <v>71</v>
      </c>
      <c r="AE338" s="13" t="s">
        <v>61</v>
      </c>
      <c r="AF338" s="518" t="str">
        <f>IF(AND(_B="A-319",'2024'!$L$4="CA",'2024'!$L$2=AF309),'2024DATA'!$C$31,"")</f>
        <v/>
      </c>
      <c r="AG338" s="518" t="str">
        <f>IF(AND(_B="A-319",'2024'!$L$4="CA",'2024'!$L$2=AG309),'2024DATA'!$D$31,"")</f>
        <v/>
      </c>
      <c r="AH338" s="518" t="str">
        <f>IF(AND(_B="A-319",'2024'!$L$4="CA",'2024'!$L$2=AH309),'2024DATA'!$E$31,"")</f>
        <v/>
      </c>
      <c r="AI338" s="518" t="str">
        <f>IF(AND(_B="A-319",'2024'!$L$4="CA",'2024'!$L$2=AI309),'2024DATA'!$F$31,"")</f>
        <v/>
      </c>
      <c r="AJ338" s="518" t="str">
        <f>IF(AND(_B="A-319",'2024'!$L$4="CA",'2024'!$L$2=AJ309),'2024DATA'!$G$31,"")</f>
        <v/>
      </c>
      <c r="AK338" s="518" t="str">
        <f>IF(AND(_B="A-319",'2024'!$L$4="CA",'2024'!$L$2=AK309),'2024DATA'!$H$31,"")</f>
        <v/>
      </c>
      <c r="AL338" s="518" t="str">
        <f>IF(AND(_B="A-319",'2024'!$L$4="CA",'2024'!$L$2=AL309),'2024DATA'!$I$31,"")</f>
        <v/>
      </c>
      <c r="AM338" s="518" t="str">
        <f>IF(AND(_B="A-319",'2024'!$L$4="CA",'2024'!$L$2=AM309),'2024DATA'!$J$31,"")</f>
        <v/>
      </c>
      <c r="AN338" s="518" t="str">
        <f>IF(AND(_B="A-319",'2024'!$L$4="CA",'2024'!$L$2=AN309),'2024DATA'!$K$31,"")</f>
        <v/>
      </c>
      <c r="AO338" s="518" t="str">
        <f>IF(AND(_B="A-319",'2024'!$L$4="CA",'2024'!$L$2=AO309),'2024DATA'!$L$31,"")</f>
        <v/>
      </c>
      <c r="AP338" s="518" t="str">
        <f>IF(AND(_B="A-319",'2024'!$L$4="CA",'2024'!$L$2=AP309),'2024DATA'!$M$31,"")</f>
        <v/>
      </c>
      <c r="AQ338" s="520" t="str">
        <f>IF(AND(_B="A-319",'2024'!$L$4="CA",'2024'!$L$2=AQ309),'2024DATA'!$N$31,"")</f>
        <v/>
      </c>
      <c r="AR338" s="940" t="s">
        <v>71</v>
      </c>
      <c r="AS338" s="13" t="s">
        <v>61</v>
      </c>
      <c r="AT338" s="518" t="str">
        <f>IF(AND(_C="A-319",'2024'!$L$4="CA",'2024'!$L$2=AT309),'2024DATA'!$C$31,"")</f>
        <v/>
      </c>
      <c r="AU338" s="518" t="str">
        <f>IF(AND(_C="A-319",'2024'!$L$4="CA",'2024'!$L$2=AU309),'2024DATA'!$D$31,"")</f>
        <v/>
      </c>
      <c r="AV338" s="518" t="str">
        <f>IF(AND(_C="A-319",'2024'!$L$4="CA",'2024'!$L$2=AV309),'2024DATA'!$E$31,"")</f>
        <v/>
      </c>
      <c r="AW338" s="518" t="str">
        <f>IF(AND(_C="A-319",'2024'!$L$4="CA",'2024'!$L$2=AW309),'2024DATA'!$F$31,"")</f>
        <v/>
      </c>
      <c r="AX338" s="518" t="str">
        <f>IF(AND(_C="A-319",'2024'!$L$4="CA",'2024'!$L$2=AX309),'2024DATA'!$G$31,"")</f>
        <v/>
      </c>
      <c r="AY338" s="518" t="str">
        <f>IF(AND(_C="A-319",'2024'!$L$4="CA",'2024'!$L$2=AY309),'2024DATA'!$H$31,"")</f>
        <v/>
      </c>
      <c r="AZ338" s="518" t="str">
        <f>IF(AND(_C="A-319",'2024'!$L$4="CA",'2024'!$L$2=AZ309),'2024DATA'!$I$31,"")</f>
        <v/>
      </c>
      <c r="BA338" s="518" t="str">
        <f>IF(AND(_C="A-319",'2024'!$L$4="CA",'2024'!$L$2=BA309),'2024DATA'!$J$31,"")</f>
        <v/>
      </c>
      <c r="BB338" s="518" t="str">
        <f>IF(AND(_C="A-319",'2024'!$L$4="CA",'2024'!$L$2=BB309),'2024DATA'!$K$31,"")</f>
        <v/>
      </c>
      <c r="BC338" s="518" t="str">
        <f>IF(AND(_C="A-319",'2024'!$L$4="CA",'2024'!$L$2=BC309),'2024DATA'!$L$31,"")</f>
        <v/>
      </c>
      <c r="BD338" s="518" t="str">
        <f>IF(AND(_C="A-319",'2024'!$L$4="CA",'2024'!$L$2=BD309),'2024DATA'!$M$31,"")</f>
        <v/>
      </c>
      <c r="BE338" s="520" t="str">
        <f>IF(AND(_C="A-319",'2024'!$L$4="CA",'2024'!$L$2=BE309),'2024DATA'!$N$31,"")</f>
        <v/>
      </c>
      <c r="BF338" s="940" t="s">
        <v>71</v>
      </c>
      <c r="BG338" s="13" t="s">
        <v>61</v>
      </c>
      <c r="BH338" s="518" t="str">
        <f>IF(AND(_D="A-319",'2024'!$L$4="CA",'2024'!$L$2=BH309),'2024DATA'!$C$31,"")</f>
        <v/>
      </c>
      <c r="BI338" s="518" t="str">
        <f>IF(AND(_D="A-319",'2024'!$L$4="CA",'2024'!$L$2=BI309),'2024DATA'!$D$31,"")</f>
        <v/>
      </c>
      <c r="BJ338" s="518" t="str">
        <f>IF(AND(_D="A-319",'2024'!$L$4="CA",'2024'!$L$2=BJ309),'2024DATA'!$E$31,"")</f>
        <v/>
      </c>
      <c r="BK338" s="518" t="str">
        <f>IF(AND(_D="A-319",'2024'!$L$4="CA",'2024'!$L$2=BK309),'2024DATA'!$F$31,"")</f>
        <v/>
      </c>
      <c r="BL338" s="518" t="str">
        <f>IF(AND(_D="A-319",'2024'!$L$4="CA",'2024'!$L$2=BL309),'2024DATA'!$G$31,"")</f>
        <v/>
      </c>
      <c r="BM338" s="518" t="str">
        <f>IF(AND(_D="A-319",'2024'!$L$4="CA",'2024'!$L$2=BM309),'2024DATA'!$H$31,"")</f>
        <v/>
      </c>
      <c r="BN338" s="518" t="str">
        <f>IF(AND(_D="A-319",'2024'!$L$4="CA",'2024'!$L$2=BN309),'2024DATA'!$I$31,"")</f>
        <v/>
      </c>
      <c r="BO338" s="518" t="str">
        <f>IF(AND(_D="A-319",'2024'!$L$4="CA",'2024'!$L$2=BO309),'2024DATA'!$J$31,"")</f>
        <v/>
      </c>
      <c r="BP338" s="518" t="str">
        <f>IF(AND(_D="A-319",'2024'!$L$4="CA",'2024'!$L$2=BP309),'2024DATA'!$K$31,"")</f>
        <v/>
      </c>
      <c r="BQ338" s="518" t="str">
        <f>IF(AND(_D="A-319",'2024'!$L$4="CA",'2024'!$L$2=BQ309),'2024DATA'!$L$31,"")</f>
        <v/>
      </c>
      <c r="BR338" s="518" t="str">
        <f>IF(AND(_D="A-319",'2024'!$L$4="CA",'2024'!$L$2=BR309),'2024DATA'!$M$31,"")</f>
        <v/>
      </c>
      <c r="BS338" s="520" t="str">
        <f>IF(AND(_D="A-319",'2024'!$L$4="CA",'2024'!$L$2=BS309),'2024DATA'!$N$31,"")</f>
        <v/>
      </c>
      <c r="BT338" s="940" t="s">
        <v>71</v>
      </c>
      <c r="BU338" s="13" t="s">
        <v>61</v>
      </c>
      <c r="BV338" s="518" t="str">
        <f>IF(AND(_E="A-319",'2024'!$L$4="CA",'2024'!$L$2=BV309),'2024DATA'!$C$31,"")</f>
        <v/>
      </c>
      <c r="BW338" s="518" t="str">
        <f>IF(AND(_E="A-319",'2024'!$L$4="CA",'2024'!$L$2=BW309),'2024DATA'!$D$31,"")</f>
        <v/>
      </c>
      <c r="BX338" s="518" t="str">
        <f>IF(AND(_E="A-319",'2024'!$L$4="CA",'2024'!$L$2=BX309),'2024DATA'!$E$31,"")</f>
        <v/>
      </c>
      <c r="BY338" s="518" t="str">
        <f>IF(AND(_E="A-319",'2024'!$L$4="CA",'2024'!$L$2=BY309),'2024DATA'!$F$31,"")</f>
        <v/>
      </c>
      <c r="BZ338" s="518" t="str">
        <f>IF(AND(_E="A-319",'2024'!$L$4="CA",'2024'!$L$2=BZ309),'2024DATA'!$G$31,"")</f>
        <v/>
      </c>
      <c r="CA338" s="518" t="str">
        <f>IF(AND(_E="A-319",'2024'!$L$4="CA",'2024'!$L$2=CA309),'2024DATA'!$H$31,"")</f>
        <v/>
      </c>
      <c r="CB338" s="518" t="str">
        <f>IF(AND(_E="A-319",'2024'!$L$4="CA",'2024'!$L$2=CB309),'2024DATA'!$I$31,"")</f>
        <v/>
      </c>
      <c r="CC338" s="518" t="str">
        <f>IF(AND(_E="A-319",'2024'!$L$4="CA",'2024'!$L$2=CC309),'2024DATA'!$J$31,"")</f>
        <v/>
      </c>
      <c r="CD338" s="518" t="str">
        <f>IF(AND(_E="A-319",'2024'!$L$4="CA",'2024'!$L$2=CD309),'2024DATA'!$K$31,"")</f>
        <v/>
      </c>
      <c r="CE338" s="518" t="str">
        <f>IF(AND(_E="A-319",'2024'!$L$4="CA",'2024'!$L$2=CE309),'2024DATA'!$L$31,"")</f>
        <v/>
      </c>
      <c r="CF338" s="518" t="str">
        <f>IF(AND(_E="A-319",'2024'!$L$4="CA",'2024'!$L$2=CF309),'2024DATA'!$M$31,"")</f>
        <v/>
      </c>
      <c r="CG338" s="520" t="str">
        <f>IF(AND(_E="A-319",'2024'!$L$4="CA",'2024'!$L$2=CG309),'2024DATA'!$N$31,"")</f>
        <v/>
      </c>
      <c r="CH338" s="940" t="s">
        <v>71</v>
      </c>
      <c r="CI338" s="13" t="s">
        <v>61</v>
      </c>
      <c r="CJ338" s="518" t="str">
        <f>IF(AND(_F="A-319",'2024'!$L$4="CA",'2024'!$L$2=CJ309),'2024DATA'!$C$31,"")</f>
        <v/>
      </c>
      <c r="CK338" s="518" t="str">
        <f>IF(AND(_F="A-319",'2024'!$L$4="CA",'2024'!$L$2=CK309),'2024DATA'!$D$31,"")</f>
        <v/>
      </c>
      <c r="CL338" s="518" t="str">
        <f>IF(AND(_F="A-319",'2024'!$L$4="CA",'2024'!$L$2=CL309),'2024DATA'!$E$31,"")</f>
        <v/>
      </c>
      <c r="CM338" s="518" t="str">
        <f>IF(AND(_F="A-319",'2024'!$L$4="CA",'2024'!$L$2=CM309),'2024DATA'!$F$31,"")</f>
        <v/>
      </c>
      <c r="CN338" s="518" t="str">
        <f>IF(AND(_F="A-319",'2024'!$L$4="CA",'2024'!$L$2=CN309),'2024DATA'!$G$31,"")</f>
        <v/>
      </c>
      <c r="CO338" s="518" t="str">
        <f>IF(AND(_F="A-319",'2024'!$L$4="CA",'2024'!$L$2=CO309),'2024DATA'!$H$31,"")</f>
        <v/>
      </c>
      <c r="CP338" s="518" t="str">
        <f>IF(AND(_F="A-319",'2024'!$L$4="CA",'2024'!$L$2=CP309),'2024DATA'!$I$31,"")</f>
        <v/>
      </c>
      <c r="CQ338" s="518" t="str">
        <f>IF(AND(_F="A-319",'2024'!$L$4="CA",'2024'!$L$2=CQ309),'2024DATA'!$J$31,"")</f>
        <v/>
      </c>
      <c r="CR338" s="518" t="str">
        <f>IF(AND(_F="A-319",'2024'!$L$4="CA",'2024'!$L$2=CR309),'2024DATA'!$K$31,"")</f>
        <v/>
      </c>
      <c r="CS338" s="518" t="str">
        <f>IF(AND(_F="A-319",'2024'!$L$4="CA",'2024'!$L$2=CS309),'2024DATA'!$L$31,"")</f>
        <v/>
      </c>
      <c r="CT338" s="518" t="str">
        <f>IF(AND(_F="A-319",'2024'!$L$4="CA",'2024'!$L$2=CT309),'2024DATA'!$M$31,"")</f>
        <v/>
      </c>
      <c r="CU338" s="520" t="str">
        <f>IF(AND(_F="A-319",'2024'!$L$4="CA",'2024'!$L$2=CU309),'2024DATA'!$N$31,"")</f>
        <v/>
      </c>
    </row>
    <row r="339" spans="16:99" x14ac:dyDescent="0.25">
      <c r="P339" s="940"/>
      <c r="Q339" s="13" t="s">
        <v>62</v>
      </c>
      <c r="R339" s="518" t="str">
        <f>IF(AND(_A="A-319",'2024'!$L$4="FO",'2024'!$L$2=R309),'2024DATA'!$C$32,"")</f>
        <v/>
      </c>
      <c r="S339" s="518" t="str">
        <f>IF(AND(_A="A-319",'2024'!$L$4="FO",'2024'!$L$2=S309),'2024DATA'!$D$32,"")</f>
        <v/>
      </c>
      <c r="T339" s="518" t="str">
        <f>IF(AND(_A="A-319",'2024'!$L$4="FO",'2024'!$L$2=T309),'2024DATA'!$E$32,"")</f>
        <v/>
      </c>
      <c r="U339" s="518" t="str">
        <f>IF(AND(_A="A-319",'2024'!$L$4="FO",'2024'!$L$2=U309),'2024DATA'!$F$32,"")</f>
        <v/>
      </c>
      <c r="V339" s="518" t="str">
        <f>IF(AND(_A="A-319",'2024'!$L$4="FO",'2024'!$L$2=V309),'2024DATA'!$G$32,"")</f>
        <v/>
      </c>
      <c r="W339" s="518" t="str">
        <f>IF(AND(_A="A-319",'2024'!$L$4="FO",'2024'!$L$2=W309),'2024DATA'!$H$32,"")</f>
        <v/>
      </c>
      <c r="X339" s="518" t="str">
        <f>IF(AND(_A="A-319",'2024'!$L$4="FO",'2024'!$L$2=X309),'2024DATA'!$I$32,"")</f>
        <v/>
      </c>
      <c r="Y339" s="518" t="str">
        <f>IF(AND(_A="A-319",'2024'!$L$4="FO",'2024'!$L$2=Y309),'2024DATA'!$J$32,"")</f>
        <v/>
      </c>
      <c r="Z339" s="518" t="str">
        <f>IF(AND(_A="A-319",'2024'!$L$4="FO",'2024'!$L$2=Z309),'2024DATA'!$K$32,"")</f>
        <v/>
      </c>
      <c r="AA339" s="518" t="str">
        <f>IF(AND(_A="A-319",'2024'!$L$4="FO",'2024'!$L$2=AA309),'2024DATA'!$L$32,"")</f>
        <v/>
      </c>
      <c r="AB339" s="518" t="str">
        <f>IF(AND(_A="A-319",'2024'!$L$4="FO",'2024'!$L$2=AB309),'2024DATA'!$M$32,"")</f>
        <v/>
      </c>
      <c r="AC339" s="520" t="str">
        <f>IF(AND(_A="A-319",'2024'!$L$4="FO",'2024'!$L$2=AC309),'2024DATA'!$N$32,"")</f>
        <v/>
      </c>
      <c r="AD339" s="940"/>
      <c r="AE339" s="13" t="s">
        <v>62</v>
      </c>
      <c r="AF339" s="518" t="str">
        <f>IF(AND(_B="A-319",'2024'!$L$4="FO",'2024'!$L$2=AF309),'2024DATA'!$C$32,"")</f>
        <v/>
      </c>
      <c r="AG339" s="518" t="str">
        <f>IF(AND(_B="A-319",'2024'!$L$4="FO",'2024'!$L$2=AG309),'2024DATA'!$D$32,"")</f>
        <v/>
      </c>
      <c r="AH339" s="518" t="str">
        <f>IF(AND(_B="A-319",'2024'!$L$4="FO",'2024'!$L$2=AH309),'2024DATA'!$E$32,"")</f>
        <v/>
      </c>
      <c r="AI339" s="518" t="str">
        <f>IF(AND(_B="A-319",'2024'!$L$4="FO",'2024'!$L$2=AI309),'2024DATA'!$F$32,"")</f>
        <v/>
      </c>
      <c r="AJ339" s="518" t="str">
        <f>IF(AND(_B="A-319",'2024'!$L$4="FO",'2024'!$L$2=AJ309),'2024DATA'!$G$32,"")</f>
        <v/>
      </c>
      <c r="AK339" s="518" t="str">
        <f>IF(AND(_B="A-319",'2024'!$L$4="FO",'2024'!$L$2=AK309),'2024DATA'!$H$32,"")</f>
        <v/>
      </c>
      <c r="AL339" s="518" t="str">
        <f>IF(AND(_B="A-319",'2024'!$L$4="FO",'2024'!$L$2=AL309),'2024DATA'!$I$32,"")</f>
        <v/>
      </c>
      <c r="AM339" s="518" t="str">
        <f>IF(AND(_B="A-319",'2024'!$L$4="FO",'2024'!$L$2=AM309),'2024DATA'!$J$32,"")</f>
        <v/>
      </c>
      <c r="AN339" s="518" t="str">
        <f>IF(AND(_B="A-319",'2024'!$L$4="FO",'2024'!$L$2=AN309),'2024DATA'!$K$32,"")</f>
        <v/>
      </c>
      <c r="AO339" s="518" t="str">
        <f>IF(AND(_B="A-319",'2024'!$L$4="FO",'2024'!$L$2=AO309),'2024DATA'!$L$32,"")</f>
        <v/>
      </c>
      <c r="AP339" s="518" t="str">
        <f>IF(AND(_B="A-319",'2024'!$L$4="FO",'2024'!$L$2=AP309),'2024DATA'!$M$32,"")</f>
        <v/>
      </c>
      <c r="AQ339" s="520" t="str">
        <f>IF(AND(_B="A-319",'2024'!$L$4="FO",'2024'!$L$2=AQ309),'2024DATA'!$N$32,"")</f>
        <v/>
      </c>
      <c r="AR339" s="940"/>
      <c r="AS339" s="13" t="s">
        <v>62</v>
      </c>
      <c r="AT339" s="518" t="str">
        <f>IF(AND(_C="A-319",'2024'!$L$4="FO",'2024'!$L$2=AT309),'2024DATA'!$C$32,"")</f>
        <v/>
      </c>
      <c r="AU339" s="518" t="str">
        <f>IF(AND(_C="A-319",'2024'!$L$4="FO",'2024'!$L$2=AU309),'2024DATA'!$D$32,"")</f>
        <v/>
      </c>
      <c r="AV339" s="518" t="str">
        <f>IF(AND(_C="A-319",'2024'!$L$4="FO",'2024'!$L$2=AV309),'2024DATA'!$E$32,"")</f>
        <v/>
      </c>
      <c r="AW339" s="518" t="str">
        <f>IF(AND(_C="A-319",'2024'!$L$4="FO",'2024'!$L$2=AW309),'2024DATA'!$F$32,"")</f>
        <v/>
      </c>
      <c r="AX339" s="518" t="str">
        <f>IF(AND(_C="A-319",'2024'!$L$4="FO",'2024'!$L$2=AX309),'2024DATA'!$G$32,"")</f>
        <v/>
      </c>
      <c r="AY339" s="518" t="str">
        <f>IF(AND(_C="A-319",'2024'!$L$4="FO",'2024'!$L$2=AY309),'2024DATA'!$H$32,"")</f>
        <v/>
      </c>
      <c r="AZ339" s="518" t="str">
        <f>IF(AND(_C="A-319",'2024'!$L$4="FO",'2024'!$L$2=AZ309),'2024DATA'!$I$32,"")</f>
        <v/>
      </c>
      <c r="BA339" s="518" t="str">
        <f>IF(AND(_C="A-319",'2024'!$L$4="FO",'2024'!$L$2=BA309),'2024DATA'!$J$32,"")</f>
        <v/>
      </c>
      <c r="BB339" s="518" t="str">
        <f>IF(AND(_C="A-319",'2024'!$L$4="FO",'2024'!$L$2=BB309),'2024DATA'!$K$32,"")</f>
        <v/>
      </c>
      <c r="BC339" s="518" t="str">
        <f>IF(AND(_C="A-319",'2024'!$L$4="FO",'2024'!$L$2=BC309),'2024DATA'!$L$32,"")</f>
        <v/>
      </c>
      <c r="BD339" s="518" t="str">
        <f>IF(AND(_C="A-319",'2024'!$L$4="FO",'2024'!$L$2=BD309),'2024DATA'!$M$32,"")</f>
        <v/>
      </c>
      <c r="BE339" s="520" t="str">
        <f>IF(AND(_C="A-319",'2024'!$L$4="FO",'2024'!$L$2=BE309),'2024DATA'!$N$32,"")</f>
        <v/>
      </c>
      <c r="BF339" s="940"/>
      <c r="BG339" s="13" t="s">
        <v>62</v>
      </c>
      <c r="BH339" s="518" t="str">
        <f>IF(AND(_D="A-319",'2024'!$L$4="FO",'2024'!$L$2=BH309),'2024DATA'!$C$32,"")</f>
        <v/>
      </c>
      <c r="BI339" s="518" t="str">
        <f>IF(AND(_D="A-319",'2024'!$L$4="FO",'2024'!$L$2=BI309),'2024DATA'!$D$32,"")</f>
        <v/>
      </c>
      <c r="BJ339" s="518" t="str">
        <f>IF(AND(_D="A-319",'2024'!$L$4="FO",'2024'!$L$2=BJ309),'2024DATA'!$E$32,"")</f>
        <v/>
      </c>
      <c r="BK339" s="518" t="str">
        <f>IF(AND(_D="A-319",'2024'!$L$4="FO",'2024'!$L$2=BK309),'2024DATA'!$F$32,"")</f>
        <v/>
      </c>
      <c r="BL339" s="518" t="str">
        <f>IF(AND(_D="A-319",'2024'!$L$4="FO",'2024'!$L$2=BL309),'2024DATA'!$G$32,"")</f>
        <v/>
      </c>
      <c r="BM339" s="518" t="str">
        <f>IF(AND(_D="A-319",'2024'!$L$4="FO",'2024'!$L$2=BM309),'2024DATA'!$H$32,"")</f>
        <v/>
      </c>
      <c r="BN339" s="518" t="str">
        <f>IF(AND(_D="A-319",'2024'!$L$4="FO",'2024'!$L$2=BN309),'2024DATA'!$I$32,"")</f>
        <v/>
      </c>
      <c r="BO339" s="518" t="str">
        <f>IF(AND(_D="A-319",'2024'!$L$4="FO",'2024'!$L$2=BO309),'2024DATA'!$J$32,"")</f>
        <v/>
      </c>
      <c r="BP339" s="518" t="str">
        <f>IF(AND(_D="A-319",'2024'!$L$4="FO",'2024'!$L$2=BP309),'2024DATA'!$K$32,"")</f>
        <v/>
      </c>
      <c r="BQ339" s="518" t="str">
        <f>IF(AND(_D="A-319",'2024'!$L$4="FO",'2024'!$L$2=BQ309),'2024DATA'!$L$32,"")</f>
        <v/>
      </c>
      <c r="BR339" s="518" t="str">
        <f>IF(AND(_D="A-319",'2024'!$L$4="FO",'2024'!$L$2=BR309),'2024DATA'!$M$32,"")</f>
        <v/>
      </c>
      <c r="BS339" s="520" t="str">
        <f>IF(AND(_D="A-319",'2024'!$L$4="FO",'2024'!$L$2=BS309),'2024DATA'!$N$32,"")</f>
        <v/>
      </c>
      <c r="BT339" s="940"/>
      <c r="BU339" s="13" t="s">
        <v>62</v>
      </c>
      <c r="BV339" s="518" t="str">
        <f>IF(AND(_E="A-319",'2024'!$L$4="FO",'2024'!$L$2=BV309),'2024DATA'!$C$32,"")</f>
        <v/>
      </c>
      <c r="BW339" s="518" t="str">
        <f>IF(AND(_E="A-319",'2024'!$L$4="FO",'2024'!$L$2=BW309),'2024DATA'!$D$32,"")</f>
        <v/>
      </c>
      <c r="BX339" s="518" t="str">
        <f>IF(AND(_E="A-319",'2024'!$L$4="FO",'2024'!$L$2=BX309),'2024DATA'!$E$32,"")</f>
        <v/>
      </c>
      <c r="BY339" s="518" t="str">
        <f>IF(AND(_E="A-319",'2024'!$L$4="FO",'2024'!$L$2=BY309),'2024DATA'!$F$32,"")</f>
        <v/>
      </c>
      <c r="BZ339" s="518" t="str">
        <f>IF(AND(_E="A-319",'2024'!$L$4="FO",'2024'!$L$2=BZ309),'2024DATA'!$G$32,"")</f>
        <v/>
      </c>
      <c r="CA339" s="518" t="str">
        <f>IF(AND(_E="A-319",'2024'!$L$4="FO",'2024'!$L$2=CA309),'2024DATA'!$H$32,"")</f>
        <v/>
      </c>
      <c r="CB339" s="518" t="str">
        <f>IF(AND(_E="A-319",'2024'!$L$4="FO",'2024'!$L$2=CB309),'2024DATA'!$I$32,"")</f>
        <v/>
      </c>
      <c r="CC339" s="518" t="str">
        <f>IF(AND(_E="A-319",'2024'!$L$4="FO",'2024'!$L$2=CC309),'2024DATA'!$J$32,"")</f>
        <v/>
      </c>
      <c r="CD339" s="518" t="str">
        <f>IF(AND(_E="A-319",'2024'!$L$4="FO",'2024'!$L$2=CD309),'2024DATA'!$K$32,"")</f>
        <v/>
      </c>
      <c r="CE339" s="518" t="str">
        <f>IF(AND(_E="A-319",'2024'!$L$4="FO",'2024'!$L$2=CE309),'2024DATA'!$L$32,"")</f>
        <v/>
      </c>
      <c r="CF339" s="518" t="str">
        <f>IF(AND(_E="A-319",'2024'!$L$4="FO",'2024'!$L$2=CF309),'2024DATA'!$M$32,"")</f>
        <v/>
      </c>
      <c r="CG339" s="520" t="str">
        <f>IF(AND(_E="A-319",'2024'!$L$4="FO",'2024'!$L$2=CG309),'2024DATA'!$N$32,"")</f>
        <v/>
      </c>
      <c r="CH339" s="940"/>
      <c r="CI339" s="13" t="s">
        <v>62</v>
      </c>
      <c r="CJ339" s="518" t="str">
        <f>IF(AND(_F="A-319",'2024'!$L$4="FO",'2024'!$L$2=CJ309),'2024DATA'!$C$32,"")</f>
        <v/>
      </c>
      <c r="CK339" s="518" t="str">
        <f>IF(AND(_F="A-319",'2024'!$L$4="FO",'2024'!$L$2=CK309),'2024DATA'!$D$32,"")</f>
        <v/>
      </c>
      <c r="CL339" s="518" t="str">
        <f>IF(AND(_F="A-319",'2024'!$L$4="FO",'2024'!$L$2=CL309),'2024DATA'!$E$32,"")</f>
        <v/>
      </c>
      <c r="CM339" s="518" t="str">
        <f>IF(AND(_F="A-319",'2024'!$L$4="FO",'2024'!$L$2=CM309),'2024DATA'!$F$32,"")</f>
        <v/>
      </c>
      <c r="CN339" s="518" t="str">
        <f>IF(AND(_F="A-319",'2024'!$L$4="FO",'2024'!$L$2=CN309),'2024DATA'!$G$32,"")</f>
        <v/>
      </c>
      <c r="CO339" s="518" t="str">
        <f>IF(AND(_F="A-319",'2024'!$L$4="FO",'2024'!$L$2=CO309),'2024DATA'!$H$32,"")</f>
        <v/>
      </c>
      <c r="CP339" s="518" t="str">
        <f>IF(AND(_F="A-319",'2024'!$L$4="FO",'2024'!$L$2=CP309),'2024DATA'!$I$32,"")</f>
        <v/>
      </c>
      <c r="CQ339" s="518" t="str">
        <f>IF(AND(_F="A-319",'2024'!$L$4="FO",'2024'!$L$2=CQ309),'2024DATA'!$J$32,"")</f>
        <v/>
      </c>
      <c r="CR339" s="518" t="str">
        <f>IF(AND(_F="A-319",'2024'!$L$4="FO",'2024'!$L$2=CR309),'2024DATA'!$K$32,"")</f>
        <v/>
      </c>
      <c r="CS339" s="518" t="str">
        <f>IF(AND(_F="A-319",'2024'!$L$4="FO",'2024'!$L$2=CS309),'2024DATA'!$L$32,"")</f>
        <v/>
      </c>
      <c r="CT339" s="518" t="str">
        <f>IF(AND(_F="A-319",'2024'!$L$4="FO",'2024'!$L$2=CT309),'2024DATA'!$M$32,"")</f>
        <v/>
      </c>
      <c r="CU339" s="520" t="str">
        <f>IF(AND(_F="A-319",'2024'!$L$4="FO",'2024'!$L$2=CU309),'2024DATA'!$N$32,"")</f>
        <v/>
      </c>
    </row>
    <row r="340" spans="16:99" x14ac:dyDescent="0.25">
      <c r="P340" s="940" t="s">
        <v>51</v>
      </c>
      <c r="Q340" s="13" t="s">
        <v>61</v>
      </c>
      <c r="R340" s="518" t="str">
        <f>IF(AND(_A="A-220-300",'2024'!$L$4="CA",'2024'!$L$2=R309),'2024DATA'!$C$33,"")</f>
        <v/>
      </c>
      <c r="S340" s="518" t="str">
        <f>IF(AND(_A="A-220-300",'2024'!$L$4="CA",'2024'!$L$2=S309),'2024DATA'!$D$33,"")</f>
        <v/>
      </c>
      <c r="T340" s="518" t="str">
        <f>IF(AND(_A="A-220-300",'2024'!$L$4="CA",'2024'!$L$2=T309),'2024DATA'!$E$33,"")</f>
        <v/>
      </c>
      <c r="U340" s="518" t="str">
        <f>IF(AND(_A="A-220-300",'2024'!$L$4="CA",'2024'!$L$2=U309),'2024DATA'!$F$33,"")</f>
        <v/>
      </c>
      <c r="V340" s="518" t="str">
        <f>IF(AND(_A="A-220-300",'2024'!$L$4="CA",'2024'!$L$2=V309),'2024DATA'!$G$33,"")</f>
        <v/>
      </c>
      <c r="W340" s="518" t="str">
        <f>IF(AND(_A="A-220-300",'2024'!$L$4="CA",'2024'!$L$2=W309),'2024DATA'!$H$33,"")</f>
        <v/>
      </c>
      <c r="X340" s="518" t="str">
        <f>IF(AND(_A="A-220-300",'2024'!$L$4="CA",'2024'!$L$2=X309),'2024DATA'!$I$33,"")</f>
        <v/>
      </c>
      <c r="Y340" s="518" t="str">
        <f>IF(AND(_A="A-220-300",'2024'!$L$4="CA",'2024'!$L$2=Y309),'2024DATA'!$J$33,"")</f>
        <v/>
      </c>
      <c r="Z340" s="518" t="str">
        <f>IF(AND(_A="A-220-300",'2024'!$L$4="CA",'2024'!$L$2=Z309),'2024DATA'!$K$33,"")</f>
        <v/>
      </c>
      <c r="AA340" s="518" t="str">
        <f>IF(AND(_A="A-220-300",'2024'!$L$4="CA",'2024'!$L$2=AA309),'2024DATA'!$L$33,"")</f>
        <v/>
      </c>
      <c r="AB340" s="518" t="str">
        <f>IF(AND(_A="A-220-300",'2024'!$L$4="CA",'2024'!$L$2=AB309),'2024DATA'!$M$33,"")</f>
        <v/>
      </c>
      <c r="AC340" s="520" t="str">
        <f>IF(AND(_A="A-220-300",'2024'!$L$4="CA",'2024'!$L$2=AC309),'2024DATA'!$N$33,"")</f>
        <v/>
      </c>
      <c r="AD340" s="940" t="s">
        <v>51</v>
      </c>
      <c r="AE340" s="13" t="s">
        <v>61</v>
      </c>
      <c r="AF340" s="518" t="str">
        <f>IF(AND(_B="A-220-300",'2024'!$L$4="CA",'2024'!$L$2=AF309),'2024DATA'!$C$33,"")</f>
        <v/>
      </c>
      <c r="AG340" s="518" t="str">
        <f>IF(AND(_B="A-220-300",'2024'!$L$4="CA",'2024'!$L$2=AG309),'2024DATA'!$D$33,"")</f>
        <v/>
      </c>
      <c r="AH340" s="518" t="str">
        <f>IF(AND(_B="A-220-300",'2024'!$L$4="CA",'2024'!$L$2=AH309),'2024DATA'!$E$33,"")</f>
        <v/>
      </c>
      <c r="AI340" s="518" t="str">
        <f>IF(AND(_B="A-220-300",'2024'!$L$4="CA",'2024'!$L$2=AI309),'2024DATA'!$F$33,"")</f>
        <v/>
      </c>
      <c r="AJ340" s="518" t="str">
        <f>IF(AND(_B="A-220-300",'2024'!$L$4="CA",'2024'!$L$2=AJ309),'2024DATA'!$G$33,"")</f>
        <v/>
      </c>
      <c r="AK340" s="518" t="str">
        <f>IF(AND(_B="A-220-300",'2024'!$L$4="CA",'2024'!$L$2=AK309),'2024DATA'!$H$33,"")</f>
        <v/>
      </c>
      <c r="AL340" s="518" t="str">
        <f>IF(AND(_B="A-220-300",'2024'!$L$4="CA",'2024'!$L$2=AL309),'2024DATA'!$I$33,"")</f>
        <v/>
      </c>
      <c r="AM340" s="518" t="str">
        <f>IF(AND(_B="A-220-300",'2024'!$L$4="CA",'2024'!$L$2=AM309),'2024DATA'!$J$33,"")</f>
        <v/>
      </c>
      <c r="AN340" s="518" t="str">
        <f>IF(AND(_B="A-220-300",'2024'!$L$4="CA",'2024'!$L$2=AN309),'2024DATA'!$K$33,"")</f>
        <v/>
      </c>
      <c r="AO340" s="518" t="str">
        <f>IF(AND(_B="A-220-300",'2024'!$L$4="CA",'2024'!$L$2=AO309),'2024DATA'!$L$33,"")</f>
        <v/>
      </c>
      <c r="AP340" s="518" t="str">
        <f>IF(AND(_B="A-220-300",'2024'!$L$4="CA",'2024'!$L$2=AP309),'2024DATA'!$M$33,"")</f>
        <v/>
      </c>
      <c r="AQ340" s="520" t="str">
        <f>IF(AND(_B="A-220-300",'2024'!$L$4="CA",'2024'!$L$2=AQ309),'2024DATA'!$N$33,"")</f>
        <v/>
      </c>
      <c r="AR340" s="940" t="s">
        <v>51</v>
      </c>
      <c r="AS340" s="13" t="s">
        <v>61</v>
      </c>
      <c r="AT340" s="518" t="str">
        <f>IF(AND(_C="A-220-300",'2024'!$L$4="CA",'2024'!$L$2=AT309),'2024DATA'!$C$33,"")</f>
        <v/>
      </c>
      <c r="AU340" s="518" t="str">
        <f>IF(AND(_C="A-220-300",'2024'!$L$4="CA",'2024'!$L$2=AU309),'2024DATA'!$D$33,"")</f>
        <v/>
      </c>
      <c r="AV340" s="518" t="str">
        <f>IF(AND(_C="A-220-300",'2024'!$L$4="CA",'2024'!$L$2=AV309),'2024DATA'!$E$33,"")</f>
        <v/>
      </c>
      <c r="AW340" s="518" t="str">
        <f>IF(AND(_C="A-220-300",'2024'!$L$4="CA",'2024'!$L$2=AW309),'2024DATA'!$F$33,"")</f>
        <v/>
      </c>
      <c r="AX340" s="518" t="str">
        <f>IF(AND(_C="A-220-300",'2024'!$L$4="CA",'2024'!$L$2=AX309),'2024DATA'!$G$33,"")</f>
        <v/>
      </c>
      <c r="AY340" s="518" t="str">
        <f>IF(AND(_C="A-220-300",'2024'!$L$4="CA",'2024'!$L$2=AY309),'2024DATA'!$H$33,"")</f>
        <v/>
      </c>
      <c r="AZ340" s="518" t="str">
        <f>IF(AND(_C="A-220-300",'2024'!$L$4="CA",'2024'!$L$2=AZ309),'2024DATA'!$I$33,"")</f>
        <v/>
      </c>
      <c r="BA340" s="518" t="str">
        <f>IF(AND(_C="A-220-300",'2024'!$L$4="CA",'2024'!$L$2=BA309),'2024DATA'!$J$33,"")</f>
        <v/>
      </c>
      <c r="BB340" s="518" t="str">
        <f>IF(AND(_C="A-220-300",'2024'!$L$4="CA",'2024'!$L$2=BB309),'2024DATA'!$K$33,"")</f>
        <v/>
      </c>
      <c r="BC340" s="518" t="str">
        <f>IF(AND(_C="A-220-300",'2024'!$L$4="CA",'2024'!$L$2=BC309),'2024DATA'!$L$33,"")</f>
        <v/>
      </c>
      <c r="BD340" s="518" t="str">
        <f>IF(AND(_C="A-220-300",'2024'!$L$4="CA",'2024'!$L$2=BD309),'2024DATA'!$M$33,"")</f>
        <v/>
      </c>
      <c r="BE340" s="520" t="str">
        <f>IF(AND(_C="A-220-300",'2024'!$L$4="CA",'2024'!$L$2=BE309),'2024DATA'!$N$33,"")</f>
        <v/>
      </c>
      <c r="BF340" s="940" t="s">
        <v>51</v>
      </c>
      <c r="BG340" s="13" t="s">
        <v>61</v>
      </c>
      <c r="BH340" s="518" t="str">
        <f>IF(AND(_D="A-220-300",'2024'!$L$4="CA",'2024'!$L$2=BH309),'2024DATA'!$C$33,"")</f>
        <v/>
      </c>
      <c r="BI340" s="518" t="str">
        <f>IF(AND(_D="A-220-300",'2024'!$L$4="CA",'2024'!$L$2=BI309),'2024DATA'!$D$33,"")</f>
        <v/>
      </c>
      <c r="BJ340" s="518" t="str">
        <f>IF(AND(_D="A-220-300",'2024'!$L$4="CA",'2024'!$L$2=BJ309),'2024DATA'!$E$33,"")</f>
        <v/>
      </c>
      <c r="BK340" s="518" t="str">
        <f>IF(AND(_D="A-220-300",'2024'!$L$4="CA",'2024'!$L$2=BK309),'2024DATA'!$F$33,"")</f>
        <v/>
      </c>
      <c r="BL340" s="518" t="str">
        <f>IF(AND(_D="A-220-300",'2024'!$L$4="CA",'2024'!$L$2=BL309),'2024DATA'!$G$33,"")</f>
        <v/>
      </c>
      <c r="BM340" s="518" t="str">
        <f>IF(AND(_D="A-220-300",'2024'!$L$4="CA",'2024'!$L$2=BM309),'2024DATA'!$H$33,"")</f>
        <v/>
      </c>
      <c r="BN340" s="518" t="str">
        <f>IF(AND(_D="A-220-300",'2024'!$L$4="CA",'2024'!$L$2=BN309),'2024DATA'!$I$33,"")</f>
        <v/>
      </c>
      <c r="BO340" s="518" t="str">
        <f>IF(AND(_D="A-220-300",'2024'!$L$4="CA",'2024'!$L$2=BO309),'2024DATA'!$J$33,"")</f>
        <v/>
      </c>
      <c r="BP340" s="518" t="str">
        <f>IF(AND(_D="A-220-300",'2024'!$L$4="CA",'2024'!$L$2=BP309),'2024DATA'!$K$33,"")</f>
        <v/>
      </c>
      <c r="BQ340" s="518" t="str">
        <f>IF(AND(_D="A-220-300",'2024'!$L$4="CA",'2024'!$L$2=BQ309),'2024DATA'!$L$33,"")</f>
        <v/>
      </c>
      <c r="BR340" s="518" t="str">
        <f>IF(AND(_D="A-220-300",'2024'!$L$4="CA",'2024'!$L$2=BR309),'2024DATA'!$M$33,"")</f>
        <v/>
      </c>
      <c r="BS340" s="520" t="str">
        <f>IF(AND(_D="A-220-300",'2024'!$L$4="CA",'2024'!$L$2=BS309),'2024DATA'!$N$33,"")</f>
        <v/>
      </c>
      <c r="BT340" s="940" t="s">
        <v>51</v>
      </c>
      <c r="BU340" s="13" t="s">
        <v>61</v>
      </c>
      <c r="BV340" s="518" t="str">
        <f>IF(AND(_E="A-220-300",'2024'!$L$4="CA",'2024'!$L$2=BV309),'2024DATA'!$C$33,"")</f>
        <v/>
      </c>
      <c r="BW340" s="518" t="str">
        <f>IF(AND(_E="A-220-300",'2024'!$L$4="CA",'2024'!$L$2=BW309),'2024DATA'!$D$33,"")</f>
        <v/>
      </c>
      <c r="BX340" s="518" t="str">
        <f>IF(AND(_E="A-220-300",'2024'!$L$4="CA",'2024'!$L$2=BX309),'2024DATA'!$E$33,"")</f>
        <v/>
      </c>
      <c r="BY340" s="518" t="str">
        <f>IF(AND(_E="A-220-300",'2024'!$L$4="CA",'2024'!$L$2=BY309),'2024DATA'!$F$33,"")</f>
        <v/>
      </c>
      <c r="BZ340" s="518" t="str">
        <f>IF(AND(_E="A-220-300",'2024'!$L$4="CA",'2024'!$L$2=BZ309),'2024DATA'!$G$33,"")</f>
        <v/>
      </c>
      <c r="CA340" s="518" t="str">
        <f>IF(AND(_E="A-220-300",'2024'!$L$4="CA",'2024'!$L$2=CA309),'2024DATA'!$H$33,"")</f>
        <v/>
      </c>
      <c r="CB340" s="518" t="str">
        <f>IF(AND(_E="A-220-300",'2024'!$L$4="CA",'2024'!$L$2=CB309),'2024DATA'!$I$33,"")</f>
        <v/>
      </c>
      <c r="CC340" s="518" t="str">
        <f>IF(AND(_E="A-220-300",'2024'!$L$4="CA",'2024'!$L$2=CC309),'2024DATA'!$J$33,"")</f>
        <v/>
      </c>
      <c r="CD340" s="518" t="str">
        <f>IF(AND(_E="A-220-300",'2024'!$L$4="CA",'2024'!$L$2=CD309),'2024DATA'!$K$33,"")</f>
        <v/>
      </c>
      <c r="CE340" s="518" t="str">
        <f>IF(AND(_E="A-220-300",'2024'!$L$4="CA",'2024'!$L$2=CE309),'2024DATA'!$L$33,"")</f>
        <v/>
      </c>
      <c r="CF340" s="518" t="str">
        <f>IF(AND(_E="A-220-300",'2024'!$L$4="CA",'2024'!$L$2=CF309),'2024DATA'!$M$33,"")</f>
        <v/>
      </c>
      <c r="CG340" s="520" t="str">
        <f>IF(AND(_E="A-220-300",'2024'!$L$4="CA",'2024'!$L$2=CG309),'2024DATA'!$N$33,"")</f>
        <v/>
      </c>
      <c r="CH340" s="940" t="s">
        <v>51</v>
      </c>
      <c r="CI340" s="13" t="s">
        <v>61</v>
      </c>
      <c r="CJ340" s="518" t="str">
        <f>IF(AND(_F="A-220-300",'2024'!$L$4="CA",'2024'!$L$2=CJ309),'2024DATA'!$C$33,"")</f>
        <v/>
      </c>
      <c r="CK340" s="518" t="str">
        <f>IF(AND(_F="A-220-300",'2024'!$L$4="CA",'2024'!$L$2=CK309),'2024DATA'!$D$33,"")</f>
        <v/>
      </c>
      <c r="CL340" s="518" t="str">
        <f>IF(AND(_F="A-220-300",'2024'!$L$4="CA",'2024'!$L$2=CL309),'2024DATA'!$E$33,"")</f>
        <v/>
      </c>
      <c r="CM340" s="518" t="str">
        <f>IF(AND(_F="A-220-300",'2024'!$L$4="CA",'2024'!$L$2=CM309),'2024DATA'!$F$33,"")</f>
        <v/>
      </c>
      <c r="CN340" s="518" t="str">
        <f>IF(AND(_F="A-220-300",'2024'!$L$4="CA",'2024'!$L$2=CN309),'2024DATA'!$G$33,"")</f>
        <v/>
      </c>
      <c r="CO340" s="518" t="str">
        <f>IF(AND(_F="A-220-300",'2024'!$L$4="CA",'2024'!$L$2=CO309),'2024DATA'!$H$33,"")</f>
        <v/>
      </c>
      <c r="CP340" s="518" t="str">
        <f>IF(AND(_F="A-220-300",'2024'!$L$4="CA",'2024'!$L$2=CP309),'2024DATA'!$I$33,"")</f>
        <v/>
      </c>
      <c r="CQ340" s="518" t="str">
        <f>IF(AND(_F="A-220-300",'2024'!$L$4="CA",'2024'!$L$2=CQ309),'2024DATA'!$J$33,"")</f>
        <v/>
      </c>
      <c r="CR340" s="518" t="str">
        <f>IF(AND(_F="A-220-300",'2024'!$L$4="CA",'2024'!$L$2=CR309),'2024DATA'!$K$33,"")</f>
        <v/>
      </c>
      <c r="CS340" s="518" t="str">
        <f>IF(AND(_F="A-220-300",'2024'!$L$4="CA",'2024'!$L$2=CS309),'2024DATA'!$L$33,"")</f>
        <v/>
      </c>
      <c r="CT340" s="518" t="str">
        <f>IF(AND(_F="A-220-300",'2024'!$L$4="CA",'2024'!$L$2=CT309),'2024DATA'!$M$33,"")</f>
        <v/>
      </c>
      <c r="CU340" s="520" t="str">
        <f>IF(AND(_F="A-220-300",'2024'!$L$4="CA",'2024'!$L$2=CU309),'2024DATA'!$N$33,"")</f>
        <v/>
      </c>
    </row>
    <row r="341" spans="16:99" x14ac:dyDescent="0.25">
      <c r="P341" s="940"/>
      <c r="Q341" s="13" t="s">
        <v>62</v>
      </c>
      <c r="R341" s="518" t="str">
        <f>IF(AND(_A="A-220-300",'2024'!$L$4="FO",'2024'!$L$2=R309),'2024DATA'!$C$34,"")</f>
        <v/>
      </c>
      <c r="S341" s="518" t="str">
        <f>IF(AND(_A="A-220-300",'2024'!$L$4="FO",'2024'!$L$2=S309),'2024DATA'!$D$34,"")</f>
        <v/>
      </c>
      <c r="T341" s="518" t="str">
        <f>IF(AND(_A="A-220-300",'2024'!$L$4="FO",'2024'!$L$2=T309),'2024DATA'!$E$34,"")</f>
        <v/>
      </c>
      <c r="U341" s="518" t="str">
        <f>IF(AND(_A="A-220-300",'2024'!$L$4="FO",'2024'!$L$2=U309),'2024DATA'!$F$34,"")</f>
        <v/>
      </c>
      <c r="V341" s="518" t="str">
        <f>IF(AND(_A="A-220-300",'2024'!$L$4="FO",'2024'!$L$2=V309),'2024DATA'!$G$34,"")</f>
        <v/>
      </c>
      <c r="W341" s="518" t="str">
        <f>IF(AND(_A="A-220-300",'2024'!$L$4="FO",'2024'!$L$2=W309),'2024DATA'!$H$34,"")</f>
        <v/>
      </c>
      <c r="X341" s="518" t="str">
        <f>IF(AND(_A="A-220-300",'2024'!$L$4="FO",'2024'!$L$2=X309),'2024DATA'!$I$34,"")</f>
        <v/>
      </c>
      <c r="Y341" s="518" t="str">
        <f>IF(AND(_A="A-220-300",'2024'!$L$4="FO",'2024'!$L$2=Y309),'2024DATA'!$J$34,"")</f>
        <v/>
      </c>
      <c r="Z341" s="518" t="str">
        <f>IF(AND(_A="A-220-300",'2024'!$L$4="FO",'2024'!$L$2=Z309),'2024DATA'!$K$34,"")</f>
        <v/>
      </c>
      <c r="AA341" s="518" t="str">
        <f>IF(AND(_A="A-220-300",'2024'!$L$4="FO",'2024'!$L$2=AA309),'2024DATA'!$L$34,"")</f>
        <v/>
      </c>
      <c r="AB341" s="518" t="str">
        <f>IF(AND(_A="A-220-300",'2024'!$L$4="FO",'2024'!$L$2=AB309),'2024DATA'!$M$34,"")</f>
        <v/>
      </c>
      <c r="AC341" s="520" t="str">
        <f>IF(AND(_A="A-220-300",'2024'!$L$4="FO",'2024'!$L$2=AC309),'2024DATA'!$N$34,"")</f>
        <v/>
      </c>
      <c r="AD341" s="940"/>
      <c r="AE341" s="13" t="s">
        <v>62</v>
      </c>
      <c r="AF341" s="518" t="str">
        <f>IF(AND(_B="A-220-300",'2024'!$L$4="FO",'2024'!$L$2=AF309),'2024DATA'!$C$34,"")</f>
        <v/>
      </c>
      <c r="AG341" s="518" t="str">
        <f>IF(AND(_B="A-220-300",'2024'!$L$4="FO",'2024'!$L$2=AG309),'2024DATA'!$D$34,"")</f>
        <v/>
      </c>
      <c r="AH341" s="518" t="str">
        <f>IF(AND(_B="A-220-300",'2024'!$L$4="FO",'2024'!$L$2=AH309),'2024DATA'!$E$34,"")</f>
        <v/>
      </c>
      <c r="AI341" s="518" t="str">
        <f>IF(AND(_B="A-220-300",'2024'!$L$4="FO",'2024'!$L$2=AI309),'2024DATA'!$F$34,"")</f>
        <v/>
      </c>
      <c r="AJ341" s="518" t="str">
        <f>IF(AND(_B="A-220-300",'2024'!$L$4="FO",'2024'!$L$2=AJ309),'2024DATA'!$G$34,"")</f>
        <v/>
      </c>
      <c r="AK341" s="518" t="str">
        <f>IF(AND(_B="A-220-300",'2024'!$L$4="FO",'2024'!$L$2=AK309),'2024DATA'!$H$34,"")</f>
        <v/>
      </c>
      <c r="AL341" s="518" t="str">
        <f>IF(AND(_B="A-220-300",'2024'!$L$4="FO",'2024'!$L$2=AL309),'2024DATA'!$I$34,"")</f>
        <v/>
      </c>
      <c r="AM341" s="518" t="str">
        <f>IF(AND(_B="A-220-300",'2024'!$L$4="FO",'2024'!$L$2=AM309),'2024DATA'!$J$34,"")</f>
        <v/>
      </c>
      <c r="AN341" s="518" t="str">
        <f>IF(AND(_B="A-220-300",'2024'!$L$4="FO",'2024'!$L$2=AN309),'2024DATA'!$K$34,"")</f>
        <v/>
      </c>
      <c r="AO341" s="518" t="str">
        <f>IF(AND(_B="A-220-300",'2024'!$L$4="FO",'2024'!$L$2=AO309),'2024DATA'!$L$34,"")</f>
        <v/>
      </c>
      <c r="AP341" s="518" t="str">
        <f>IF(AND(_B="A-220-300",'2024'!$L$4="FO",'2024'!$L$2=AP309),'2024DATA'!$M$34,"")</f>
        <v/>
      </c>
      <c r="AQ341" s="520" t="str">
        <f>IF(AND(_B="A-220-300",'2024'!$L$4="FO",'2024'!$L$2=AQ309),'2024DATA'!$N$34,"")</f>
        <v/>
      </c>
      <c r="AR341" s="940"/>
      <c r="AS341" s="13" t="s">
        <v>62</v>
      </c>
      <c r="AT341" s="518" t="str">
        <f>IF(AND(_C="A-220-300",'2024'!$L$4="FO",'2024'!$L$2=AT309),'2024DATA'!$C$34,"")</f>
        <v/>
      </c>
      <c r="AU341" s="518" t="str">
        <f>IF(AND(_C="A-220-300",'2024'!$L$4="FO",'2024'!$L$2=AU309),'2024DATA'!$D$34,"")</f>
        <v/>
      </c>
      <c r="AV341" s="518" t="str">
        <f>IF(AND(_C="A-220-300",'2024'!$L$4="FO",'2024'!$L$2=AV309),'2024DATA'!$E$34,"")</f>
        <v/>
      </c>
      <c r="AW341" s="518" t="str">
        <f>IF(AND(_C="A-220-300",'2024'!$L$4="FO",'2024'!$L$2=AW309),'2024DATA'!$F$34,"")</f>
        <v/>
      </c>
      <c r="AX341" s="518" t="str">
        <f>IF(AND(_C="A-220-300",'2024'!$L$4="FO",'2024'!$L$2=AX309),'2024DATA'!$G$34,"")</f>
        <v/>
      </c>
      <c r="AY341" s="518" t="str">
        <f>IF(AND(_C="A-220-300",'2024'!$L$4="FO",'2024'!$L$2=AY309),'2024DATA'!$H$34,"")</f>
        <v/>
      </c>
      <c r="AZ341" s="518" t="str">
        <f>IF(AND(_C="A-220-300",'2024'!$L$4="FO",'2024'!$L$2=AZ309),'2024DATA'!$I$34,"")</f>
        <v/>
      </c>
      <c r="BA341" s="518" t="str">
        <f>IF(AND(_C="A-220-300",'2024'!$L$4="FO",'2024'!$L$2=BA309),'2024DATA'!$J$34,"")</f>
        <v/>
      </c>
      <c r="BB341" s="518" t="str">
        <f>IF(AND(_C="A-220-300",'2024'!$L$4="FO",'2024'!$L$2=BB309),'2024DATA'!$K$34,"")</f>
        <v/>
      </c>
      <c r="BC341" s="518" t="str">
        <f>IF(AND(_C="A-220-300",'2024'!$L$4="FO",'2024'!$L$2=BC309),'2024DATA'!$L$34,"")</f>
        <v/>
      </c>
      <c r="BD341" s="518" t="str">
        <f>IF(AND(_C="A-220-300",'2024'!$L$4="FO",'2024'!$L$2=BD309),'2024DATA'!$M$34,"")</f>
        <v/>
      </c>
      <c r="BE341" s="520" t="str">
        <f>IF(AND(_C="A-220-300",'2024'!$L$4="FO",'2024'!$L$2=BE309),'2024DATA'!$N$34,"")</f>
        <v/>
      </c>
      <c r="BF341" s="940"/>
      <c r="BG341" s="13" t="s">
        <v>62</v>
      </c>
      <c r="BH341" s="518" t="str">
        <f>IF(AND(_D="A-220-300",'2024'!$L$4="FO",'2024'!$L$2=BH309),'2024DATA'!$C$34,"")</f>
        <v/>
      </c>
      <c r="BI341" s="518" t="str">
        <f>IF(AND(_D="A-220-300",'2024'!$L$4="FO",'2024'!$L$2=BI309),'2024DATA'!$D$34,"")</f>
        <v/>
      </c>
      <c r="BJ341" s="518" t="str">
        <f>IF(AND(_D="A-220-300",'2024'!$L$4="FO",'2024'!$L$2=BJ309),'2024DATA'!$E$34,"")</f>
        <v/>
      </c>
      <c r="BK341" s="518" t="str">
        <f>IF(AND(_D="A-220-300",'2024'!$L$4="FO",'2024'!$L$2=BK309),'2024DATA'!$F$34,"")</f>
        <v/>
      </c>
      <c r="BL341" s="518" t="str">
        <f>IF(AND(_D="A-220-300",'2024'!$L$4="FO",'2024'!$L$2=BL309),'2024DATA'!$G$34,"")</f>
        <v/>
      </c>
      <c r="BM341" s="518" t="str">
        <f>IF(AND(_D="A-220-300",'2024'!$L$4="FO",'2024'!$L$2=BM309),'2024DATA'!$H$34,"")</f>
        <v/>
      </c>
      <c r="BN341" s="518" t="str">
        <f>IF(AND(_D="A-220-300",'2024'!$L$4="FO",'2024'!$L$2=BN309),'2024DATA'!$I$34,"")</f>
        <v/>
      </c>
      <c r="BO341" s="518" t="str">
        <f>IF(AND(_D="A-220-300",'2024'!$L$4="FO",'2024'!$L$2=BO309),'2024DATA'!$J$34,"")</f>
        <v/>
      </c>
      <c r="BP341" s="518" t="str">
        <f>IF(AND(_D="A-220-300",'2024'!$L$4="FO",'2024'!$L$2=BP309),'2024DATA'!$K$34,"")</f>
        <v/>
      </c>
      <c r="BQ341" s="518" t="str">
        <f>IF(AND(_D="A-220-300",'2024'!$L$4="FO",'2024'!$L$2=BQ309),'2024DATA'!$L$34,"")</f>
        <v/>
      </c>
      <c r="BR341" s="518" t="str">
        <f>IF(AND(_D="A-220-300",'2024'!$L$4="FO",'2024'!$L$2=BR309),'2024DATA'!$M$34,"")</f>
        <v/>
      </c>
      <c r="BS341" s="520" t="str">
        <f>IF(AND(_D="A-220-300",'2024'!$L$4="FO",'2024'!$L$2=BS309),'2024DATA'!$N$34,"")</f>
        <v/>
      </c>
      <c r="BT341" s="940"/>
      <c r="BU341" s="13" t="s">
        <v>62</v>
      </c>
      <c r="BV341" s="518" t="str">
        <f>IF(AND(_E="A-220-300",'2024'!$L$4="FO",'2024'!$L$2=BV309),'2024DATA'!$C$34,"")</f>
        <v/>
      </c>
      <c r="BW341" s="518" t="str">
        <f>IF(AND(_E="A-220-300",'2024'!$L$4="FO",'2024'!$L$2=BW309),'2024DATA'!$D$34,"")</f>
        <v/>
      </c>
      <c r="BX341" s="518" t="str">
        <f>IF(AND(_E="A-220-300",'2024'!$L$4="FO",'2024'!$L$2=BX309),'2024DATA'!$E$34,"")</f>
        <v/>
      </c>
      <c r="BY341" s="518" t="str">
        <f>IF(AND(_E="A-220-300",'2024'!$L$4="FO",'2024'!$L$2=BY309),'2024DATA'!$F$34,"")</f>
        <v/>
      </c>
      <c r="BZ341" s="518" t="str">
        <f>IF(AND(_E="A-220-300",'2024'!$L$4="FO",'2024'!$L$2=BZ309),'2024DATA'!$G$34,"")</f>
        <v/>
      </c>
      <c r="CA341" s="518" t="str">
        <f>IF(AND(_E="A-220-300",'2024'!$L$4="FO",'2024'!$L$2=CA309),'2024DATA'!$H$34,"")</f>
        <v/>
      </c>
      <c r="CB341" s="518" t="str">
        <f>IF(AND(_E="A-220-300",'2024'!$L$4="FO",'2024'!$L$2=CB309),'2024DATA'!$I$34,"")</f>
        <v/>
      </c>
      <c r="CC341" s="518" t="str">
        <f>IF(AND(_E="A-220-300",'2024'!$L$4="FO",'2024'!$L$2=CC309),'2024DATA'!$J$34,"")</f>
        <v/>
      </c>
      <c r="CD341" s="518" t="str">
        <f>IF(AND(_E="A-220-300",'2024'!$L$4="FO",'2024'!$L$2=CD309),'2024DATA'!$K$34,"")</f>
        <v/>
      </c>
      <c r="CE341" s="518" t="str">
        <f>IF(AND(_E="A-220-300",'2024'!$L$4="FO",'2024'!$L$2=CE309),'2024DATA'!$L$34,"")</f>
        <v/>
      </c>
      <c r="CF341" s="518" t="str">
        <f>IF(AND(_E="A-220-300",'2024'!$L$4="FO",'2024'!$L$2=CF309),'2024DATA'!$M$34,"")</f>
        <v/>
      </c>
      <c r="CG341" s="520" t="str">
        <f>IF(AND(_E="A-220-300",'2024'!$L$4="FO",'2024'!$L$2=CG309),'2024DATA'!$N$34,"")</f>
        <v/>
      </c>
      <c r="CH341" s="940"/>
      <c r="CI341" s="13" t="s">
        <v>62</v>
      </c>
      <c r="CJ341" s="518" t="str">
        <f>IF(AND(_F="A-220-300",'2024'!$L$4="FO",'2024'!$L$2=CJ309),'2024DATA'!$C$34,"")</f>
        <v/>
      </c>
      <c r="CK341" s="518" t="str">
        <f>IF(AND(_F="A-220-300",'2024'!$L$4="FO",'2024'!$L$2=CK309),'2024DATA'!$D$34,"")</f>
        <v/>
      </c>
      <c r="CL341" s="518" t="str">
        <f>IF(AND(_F="A-220-300",'2024'!$L$4="FO",'2024'!$L$2=CL309),'2024DATA'!$E$34,"")</f>
        <v/>
      </c>
      <c r="CM341" s="518" t="str">
        <f>IF(AND(_F="A-220-300",'2024'!$L$4="FO",'2024'!$L$2=CM309),'2024DATA'!$F$34,"")</f>
        <v/>
      </c>
      <c r="CN341" s="518" t="str">
        <f>IF(AND(_F="A-220-300",'2024'!$L$4="FO",'2024'!$L$2=CN309),'2024DATA'!$G$34,"")</f>
        <v/>
      </c>
      <c r="CO341" s="518" t="str">
        <f>IF(AND(_F="A-220-300",'2024'!$L$4="FO",'2024'!$L$2=CO309),'2024DATA'!$H$34,"")</f>
        <v/>
      </c>
      <c r="CP341" s="518" t="str">
        <f>IF(AND(_F="A-220-300",'2024'!$L$4="FO",'2024'!$L$2=CP309),'2024DATA'!$I$34,"")</f>
        <v/>
      </c>
      <c r="CQ341" s="518" t="str">
        <f>IF(AND(_F="A-220-300",'2024'!$L$4="FO",'2024'!$L$2=CQ309),'2024DATA'!$J$34,"")</f>
        <v/>
      </c>
      <c r="CR341" s="518" t="str">
        <f>IF(AND(_F="A-220-300",'2024'!$L$4="FO",'2024'!$L$2=CR309),'2024DATA'!$K$34,"")</f>
        <v/>
      </c>
      <c r="CS341" s="518" t="str">
        <f>IF(AND(_F="A-220-300",'2024'!$L$4="FO",'2024'!$L$2=CS309),'2024DATA'!$L$34,"")</f>
        <v/>
      </c>
      <c r="CT341" s="518" t="str">
        <f>IF(AND(_F="A-220-300",'2024'!$L$4="FO",'2024'!$L$2=CT309),'2024DATA'!$M$34,"")</f>
        <v/>
      </c>
      <c r="CU341" s="520" t="str">
        <f>IF(AND(_F="A-220-300",'2024'!$L$4="FO",'2024'!$L$2=CU309),'2024DATA'!$N$34,"")</f>
        <v/>
      </c>
    </row>
    <row r="342" spans="16:99" x14ac:dyDescent="0.25">
      <c r="P342" s="940" t="s">
        <v>52</v>
      </c>
      <c r="Q342" s="13" t="s">
        <v>61</v>
      </c>
      <c r="R342" s="518" t="str">
        <f>IF(AND(_A="A-220-100",'2024'!$L$4="CA",'2024'!$L$2=R309),'2024DATA'!$C$35,"")</f>
        <v/>
      </c>
      <c r="S342" s="518" t="str">
        <f>IF(AND(_A="A-220-100",'2024'!$L$4="CA",'2024'!$L$2=S309),'2024DATA'!$D$35,"")</f>
        <v/>
      </c>
      <c r="T342" s="518" t="str">
        <f>IF(AND(_A="A-220-100",'2024'!$L$4="CA",'2024'!$L$2=T309),'2024DATA'!$E$35,"")</f>
        <v/>
      </c>
      <c r="U342" s="518" t="str">
        <f>IF(AND(_A="A-220-100",'2024'!$L$4="CA",'2024'!$L$2=U309),'2024DATA'!$F$35,"")</f>
        <v/>
      </c>
      <c r="V342" s="518" t="str">
        <f>IF(AND(_A="A-220-100",'2024'!$L$4="CA",'2024'!$L$2=V309),'2024DATA'!$G$35,"")</f>
        <v/>
      </c>
      <c r="W342" s="518" t="str">
        <f>IF(AND(_A="A-220-100",'2024'!$L$4="CA",'2024'!$L$2=W309),'2024DATA'!$H$35,"")</f>
        <v/>
      </c>
      <c r="X342" s="518" t="str">
        <f>IF(AND(_A="A-220-100",'2024'!$L$4="CA",'2024'!$L$2=X309),'2024DATA'!$I$35,"")</f>
        <v/>
      </c>
      <c r="Y342" s="518" t="str">
        <f>IF(AND(_A="A-220-100",'2024'!$L$4="CA",'2024'!$L$2=Y309),'2024DATA'!$J$35,"")</f>
        <v/>
      </c>
      <c r="Z342" s="518" t="str">
        <f>IF(AND(_A="A-220-100",'2024'!$L$4="CA",'2024'!$L$2=Z309),'2024DATA'!$K$35,"")</f>
        <v/>
      </c>
      <c r="AA342" s="518" t="str">
        <f>IF(AND(_A="A-220-100",'2024'!$L$4="CA",'2024'!$L$2=AA309),'2024DATA'!$L$35,"")</f>
        <v/>
      </c>
      <c r="AB342" s="518" t="str">
        <f>IF(AND(_A="A-220-100",'2024'!$L$4="CA",'2024'!$L$2=AB309),'2024DATA'!$M$35,"")</f>
        <v/>
      </c>
      <c r="AC342" s="520" t="str">
        <f>IF(AND(_A="A-220-100",'2024'!$L$4="CA",'2024'!$L$2=AC309),'2024DATA'!$N$35,"")</f>
        <v/>
      </c>
      <c r="AD342" s="940" t="s">
        <v>52</v>
      </c>
      <c r="AE342" s="13" t="s">
        <v>61</v>
      </c>
      <c r="AF342" s="518" t="str">
        <f>IF(AND(_B="A-220-100",'2024'!$L$4="CA",'2024'!$L$2=AF309),'2024DATA'!$C$35,"")</f>
        <v/>
      </c>
      <c r="AG342" s="518" t="str">
        <f>IF(AND(_B="A-220-100",'2024'!$L$4="CA",'2024'!$L$2=AG309),'2024DATA'!$D$35,"")</f>
        <v/>
      </c>
      <c r="AH342" s="518" t="str">
        <f>IF(AND(_B="A-220-100",'2024'!$L$4="CA",'2024'!$L$2=AH309),'2024DATA'!$E$35,"")</f>
        <v/>
      </c>
      <c r="AI342" s="518" t="str">
        <f>IF(AND(_B="A-220-100",'2024'!$L$4="CA",'2024'!$L$2=AI309),'2024DATA'!$F$35,"")</f>
        <v/>
      </c>
      <c r="AJ342" s="518" t="str">
        <f>IF(AND(_B="A-220-100",'2024'!$L$4="CA",'2024'!$L$2=AJ309),'2024DATA'!$G$35,"")</f>
        <v/>
      </c>
      <c r="AK342" s="518" t="str">
        <f>IF(AND(_B="A-220-100",'2024'!$L$4="CA",'2024'!$L$2=AK309),'2024DATA'!$H$35,"")</f>
        <v/>
      </c>
      <c r="AL342" s="518" t="str">
        <f>IF(AND(_B="A-220-100",'2024'!$L$4="CA",'2024'!$L$2=AL309),'2024DATA'!$I$35,"")</f>
        <v/>
      </c>
      <c r="AM342" s="518" t="str">
        <f>IF(AND(_B="A-220-100",'2024'!$L$4="CA",'2024'!$L$2=AM309),'2024DATA'!$J$35,"")</f>
        <v/>
      </c>
      <c r="AN342" s="518" t="str">
        <f>IF(AND(_B="A-220-100",'2024'!$L$4="CA",'2024'!$L$2=AN309),'2024DATA'!$K$35,"")</f>
        <v/>
      </c>
      <c r="AO342" s="518" t="str">
        <f>IF(AND(_B="A-220-100",'2024'!$L$4="CA",'2024'!$L$2=AO309),'2024DATA'!$L$35,"")</f>
        <v/>
      </c>
      <c r="AP342" s="518" t="str">
        <f>IF(AND(_B="A-220-100",'2024'!$L$4="CA",'2024'!$L$2=AP309),'2024DATA'!$M$35,"")</f>
        <v/>
      </c>
      <c r="AQ342" s="520" t="str">
        <f>IF(AND(_B="A-220-100",'2024'!$L$4="CA",'2024'!$L$2=AQ309),'2024DATA'!$N$35,"")</f>
        <v/>
      </c>
      <c r="AR342" s="940" t="s">
        <v>52</v>
      </c>
      <c r="AS342" s="13" t="s">
        <v>61</v>
      </c>
      <c r="AT342" s="518" t="str">
        <f>IF(AND(_C="A-220-100",'2024'!$L$4="CA",'2024'!$L$2=AT309),'2024DATA'!$C$35,"")</f>
        <v/>
      </c>
      <c r="AU342" s="518" t="str">
        <f>IF(AND(_C="A-220-100",'2024'!$L$4="CA",'2024'!$L$2=AU309),'2024DATA'!$D$35,"")</f>
        <v/>
      </c>
      <c r="AV342" s="518" t="str">
        <f>IF(AND(_C="A-220-100",'2024'!$L$4="CA",'2024'!$L$2=AV309),'2024DATA'!$E$35,"")</f>
        <v/>
      </c>
      <c r="AW342" s="518" t="str">
        <f>IF(AND(_C="A-220-100",'2024'!$L$4="CA",'2024'!$L$2=AW309),'2024DATA'!$F$35,"")</f>
        <v/>
      </c>
      <c r="AX342" s="518" t="str">
        <f>IF(AND(_C="A-220-100",'2024'!$L$4="CA",'2024'!$L$2=AX309),'2024DATA'!$G$35,"")</f>
        <v/>
      </c>
      <c r="AY342" s="518" t="str">
        <f>IF(AND(_C="A-220-100",'2024'!$L$4="CA",'2024'!$L$2=AY309),'2024DATA'!$H$35,"")</f>
        <v/>
      </c>
      <c r="AZ342" s="518" t="str">
        <f>IF(AND(_C="A-220-100",'2024'!$L$4="CA",'2024'!$L$2=AZ309),'2024DATA'!$I$35,"")</f>
        <v/>
      </c>
      <c r="BA342" s="518" t="str">
        <f>IF(AND(_C="A-220-100",'2024'!$L$4="CA",'2024'!$L$2=BA309),'2024DATA'!$J$35,"")</f>
        <v/>
      </c>
      <c r="BB342" s="518" t="str">
        <f>IF(AND(_C="A-220-100",'2024'!$L$4="CA",'2024'!$L$2=BB309),'2024DATA'!$K$35,"")</f>
        <v/>
      </c>
      <c r="BC342" s="518" t="str">
        <f>IF(AND(_C="A-220-100",'2024'!$L$4="CA",'2024'!$L$2=BC309),'2024DATA'!$L$35,"")</f>
        <v/>
      </c>
      <c r="BD342" s="518" t="str">
        <f>IF(AND(_C="A-220-100",'2024'!$L$4="CA",'2024'!$L$2=BD309),'2024DATA'!$M$35,"")</f>
        <v/>
      </c>
      <c r="BE342" s="520" t="str">
        <f>IF(AND(_C="A-220-100",'2024'!$L$4="CA",'2024'!$L$2=BE309),'2024DATA'!$N$35,"")</f>
        <v/>
      </c>
      <c r="BF342" s="940" t="s">
        <v>52</v>
      </c>
      <c r="BG342" s="13" t="s">
        <v>61</v>
      </c>
      <c r="BH342" s="518" t="str">
        <f>IF(AND(_D="A-220-100",'2024'!$L$4="CA",'2024'!$L$2=BH309),'2024DATA'!$C$35,"")</f>
        <v/>
      </c>
      <c r="BI342" s="518" t="str">
        <f>IF(AND(_D="A-220-100",'2024'!$L$4="CA",'2024'!$L$2=BI309),'2024DATA'!$D$35,"")</f>
        <v/>
      </c>
      <c r="BJ342" s="518" t="str">
        <f>IF(AND(_D="A-220-100",'2024'!$L$4="CA",'2024'!$L$2=BJ309),'2024DATA'!$E$35,"")</f>
        <v/>
      </c>
      <c r="BK342" s="518" t="str">
        <f>IF(AND(_D="A-220-100",'2024'!$L$4="CA",'2024'!$L$2=BK309),'2024DATA'!$F$35,"")</f>
        <v/>
      </c>
      <c r="BL342" s="518" t="str">
        <f>IF(AND(_D="A-220-100",'2024'!$L$4="CA",'2024'!$L$2=BL309),'2024DATA'!$G$35,"")</f>
        <v/>
      </c>
      <c r="BM342" s="518" t="str">
        <f>IF(AND(_D="A-220-100",'2024'!$L$4="CA",'2024'!$L$2=BM309),'2024DATA'!$H$35,"")</f>
        <v/>
      </c>
      <c r="BN342" s="518" t="str">
        <f>IF(AND(_D="A-220-100",'2024'!$L$4="CA",'2024'!$L$2=BN309),'2024DATA'!$I$35,"")</f>
        <v/>
      </c>
      <c r="BO342" s="518" t="str">
        <f>IF(AND(_D="A-220-100",'2024'!$L$4="CA",'2024'!$L$2=BO309),'2024DATA'!$J$35,"")</f>
        <v/>
      </c>
      <c r="BP342" s="518" t="str">
        <f>IF(AND(_D="A-220-100",'2024'!$L$4="CA",'2024'!$L$2=BP309),'2024DATA'!$K$35,"")</f>
        <v/>
      </c>
      <c r="BQ342" s="518" t="str">
        <f>IF(AND(_D="A-220-100",'2024'!$L$4="CA",'2024'!$L$2=BQ309),'2024DATA'!$L$35,"")</f>
        <v/>
      </c>
      <c r="BR342" s="518" t="str">
        <f>IF(AND(_D="A-220-100",'2024'!$L$4="CA",'2024'!$L$2=BR309),'2024DATA'!$M$35,"")</f>
        <v/>
      </c>
      <c r="BS342" s="520" t="str">
        <f>IF(AND(_D="A-220-100",'2024'!$L$4="CA",'2024'!$L$2=BS309),'2024DATA'!$N$35,"")</f>
        <v/>
      </c>
      <c r="BT342" s="940" t="s">
        <v>52</v>
      </c>
      <c r="BU342" s="13" t="s">
        <v>61</v>
      </c>
      <c r="BV342" s="518" t="str">
        <f>IF(AND(_E="A-220-100",'2024'!$L$4="CA",'2024'!$L$2=BV309),'2024DATA'!$C$35,"")</f>
        <v/>
      </c>
      <c r="BW342" s="518" t="str">
        <f>IF(AND(_E="A-220-100",'2024'!$L$4="CA",'2024'!$L$2=BW309),'2024DATA'!$D$35,"")</f>
        <v/>
      </c>
      <c r="BX342" s="518" t="str">
        <f>IF(AND(_E="A-220-100",'2024'!$L$4="CA",'2024'!$L$2=BX309),'2024DATA'!$E$35,"")</f>
        <v/>
      </c>
      <c r="BY342" s="518" t="str">
        <f>IF(AND(_E="A-220-100",'2024'!$L$4="CA",'2024'!$L$2=BY309),'2024DATA'!$F$35,"")</f>
        <v/>
      </c>
      <c r="BZ342" s="518" t="str">
        <f>IF(AND(_E="A-220-100",'2024'!$L$4="CA",'2024'!$L$2=BZ309),'2024DATA'!$G$35,"")</f>
        <v/>
      </c>
      <c r="CA342" s="518" t="str">
        <f>IF(AND(_E="A-220-100",'2024'!$L$4="CA",'2024'!$L$2=CA309),'2024DATA'!$H$35,"")</f>
        <v/>
      </c>
      <c r="CB342" s="518" t="str">
        <f>IF(AND(_E="A-220-100",'2024'!$L$4="CA",'2024'!$L$2=CB309),'2024DATA'!$I$35,"")</f>
        <v/>
      </c>
      <c r="CC342" s="518" t="str">
        <f>IF(AND(_E="A-220-100",'2024'!$L$4="CA",'2024'!$L$2=CC309),'2024DATA'!$J$35,"")</f>
        <v/>
      </c>
      <c r="CD342" s="518" t="str">
        <f>IF(AND(_E="A-220-100",'2024'!$L$4="CA",'2024'!$L$2=CD309),'2024DATA'!$K$35,"")</f>
        <v/>
      </c>
      <c r="CE342" s="518" t="str">
        <f>IF(AND(_E="A-220-100",'2024'!$L$4="CA",'2024'!$L$2=CE309),'2024DATA'!$L$35,"")</f>
        <v/>
      </c>
      <c r="CF342" s="518" t="str">
        <f>IF(AND(_E="A-220-100",'2024'!$L$4="CA",'2024'!$L$2=CF309),'2024DATA'!$M$35,"")</f>
        <v/>
      </c>
      <c r="CG342" s="520" t="str">
        <f>IF(AND(_E="A-220-100",'2024'!$L$4="CA",'2024'!$L$2=CG309),'2024DATA'!$N$35,"")</f>
        <v/>
      </c>
      <c r="CH342" s="940" t="s">
        <v>52</v>
      </c>
      <c r="CI342" s="13" t="s">
        <v>61</v>
      </c>
      <c r="CJ342" s="518" t="str">
        <f>IF(AND(_F="A-220-100",'2024'!$L$4="CA",'2024'!$L$2=CJ309),'2024DATA'!$C$35,"")</f>
        <v/>
      </c>
      <c r="CK342" s="518" t="str">
        <f>IF(AND(_F="A-220-100",'2024'!$L$4="CA",'2024'!$L$2=CK309),'2024DATA'!$D$35,"")</f>
        <v/>
      </c>
      <c r="CL342" s="518" t="str">
        <f>IF(AND(_F="A-220-100",'2024'!$L$4="CA",'2024'!$L$2=CL309),'2024DATA'!$E$35,"")</f>
        <v/>
      </c>
      <c r="CM342" s="518" t="str">
        <f>IF(AND(_F="A-220-100",'2024'!$L$4="CA",'2024'!$L$2=CM309),'2024DATA'!$F$35,"")</f>
        <v/>
      </c>
      <c r="CN342" s="518" t="str">
        <f>IF(AND(_F="A-220-100",'2024'!$L$4="CA",'2024'!$L$2=CN309),'2024DATA'!$G$35,"")</f>
        <v/>
      </c>
      <c r="CO342" s="518" t="str">
        <f>IF(AND(_F="A-220-100",'2024'!$L$4="CA",'2024'!$L$2=CO309),'2024DATA'!$H$35,"")</f>
        <v/>
      </c>
      <c r="CP342" s="518" t="str">
        <f>IF(AND(_F="A-220-100",'2024'!$L$4="CA",'2024'!$L$2=CP309),'2024DATA'!$I$35,"")</f>
        <v/>
      </c>
      <c r="CQ342" s="518" t="str">
        <f>IF(AND(_F="A-220-100",'2024'!$L$4="CA",'2024'!$L$2=CQ309),'2024DATA'!$J$35,"")</f>
        <v/>
      </c>
      <c r="CR342" s="518" t="str">
        <f>IF(AND(_F="A-220-100",'2024'!$L$4="CA",'2024'!$L$2=CR309),'2024DATA'!$K$35,"")</f>
        <v/>
      </c>
      <c r="CS342" s="518" t="str">
        <f>IF(AND(_F="A-220-100",'2024'!$L$4="CA",'2024'!$L$2=CS309),'2024DATA'!$L$35,"")</f>
        <v/>
      </c>
      <c r="CT342" s="518" t="str">
        <f>IF(AND(_F="A-220-100",'2024'!$L$4="CA",'2024'!$L$2=CT309),'2024DATA'!$M$35,"")</f>
        <v/>
      </c>
      <c r="CU342" s="520" t="str">
        <f>IF(AND(_F="A-220-100",'2024'!$L$4="CA",'2024'!$L$2=CU309),'2024DATA'!$N$35,"")</f>
        <v/>
      </c>
    </row>
    <row r="343" spans="16:99" x14ac:dyDescent="0.25">
      <c r="P343" s="940"/>
      <c r="Q343" s="13" t="s">
        <v>62</v>
      </c>
      <c r="R343" s="518" t="str">
        <f>IF(AND(_A="A-220-100",'2024'!$L$4="FO",'2024'!$L$2=R309),'2024DATA'!$C$36,"")</f>
        <v/>
      </c>
      <c r="S343" s="518" t="str">
        <f>IF(AND(_A="A-220-100",'2024'!$L$4="FO",'2024'!$L$2=S309),'2024DATA'!$D$36,"")</f>
        <v/>
      </c>
      <c r="T343" s="518" t="str">
        <f>IF(AND(_A="A-220-100",'2024'!$L$4="FO",'2024'!$L$2=T309),'2024DATA'!$E$36,"")</f>
        <v/>
      </c>
      <c r="U343" s="518" t="str">
        <f>IF(AND(_A="A-220-100",'2024'!$L$4="FO",'2024'!$L$2=U309),'2024DATA'!$F$36,"")</f>
        <v/>
      </c>
      <c r="V343" s="518" t="str">
        <f>IF(AND(_A="A-220-100",'2024'!$L$4="FO",'2024'!$L$2=V309),'2024DATA'!$G$36,"")</f>
        <v/>
      </c>
      <c r="W343" s="518" t="str">
        <f>IF(AND(_A="A-220-100",'2024'!$L$4="FO",'2024'!$L$2=W309),'2024DATA'!$H$36,"")</f>
        <v/>
      </c>
      <c r="X343" s="518" t="str">
        <f>IF(AND(_A="A-220-100",'2024'!$L$4="FO",'2024'!$L$2=X309),'2024DATA'!$I$36,"")</f>
        <v/>
      </c>
      <c r="Y343" s="518" t="str">
        <f>IF(AND(_A="A-220-100",'2024'!$L$4="FO",'2024'!$L$2=Y309),'2024DATA'!$J$36,"")</f>
        <v/>
      </c>
      <c r="Z343" s="518" t="str">
        <f>IF(AND(_A="A-220-100",'2024'!$L$4="FO",'2024'!$L$2=Z309),'2024DATA'!$K$36,"")</f>
        <v/>
      </c>
      <c r="AA343" s="518" t="str">
        <f>IF(AND(_A="A-220-100",'2024'!$L$4="FO",'2024'!$L$2=AA309),'2024DATA'!$L$36,"")</f>
        <v/>
      </c>
      <c r="AB343" s="518" t="str">
        <f>IF(AND(_A="A-220-100",'2024'!$L$4="FO",'2024'!$L$2=AB309),'2024DATA'!$M$36,"")</f>
        <v/>
      </c>
      <c r="AC343" s="520" t="str">
        <f>IF(AND(_A="A-220-100",'2024'!$L$4="FO",'2024'!$L$2=AC309),'2024DATA'!$N$36,"")</f>
        <v/>
      </c>
      <c r="AD343" s="940"/>
      <c r="AE343" s="13" t="s">
        <v>62</v>
      </c>
      <c r="AF343" s="518" t="str">
        <f>IF(AND(_B="A-220-100",'2024'!$L$4="FO",'2024'!$L$2=AF309),'2024DATA'!$C$36,"")</f>
        <v/>
      </c>
      <c r="AG343" s="518" t="str">
        <f>IF(AND(_B="A-220-100",'2024'!$L$4="FO",'2024'!$L$2=AG309),'2024DATA'!$D$36,"")</f>
        <v/>
      </c>
      <c r="AH343" s="518" t="str">
        <f>IF(AND(_B="A-220-100",'2024'!$L$4="FO",'2024'!$L$2=AH309),'2024DATA'!$E$36,"")</f>
        <v/>
      </c>
      <c r="AI343" s="518" t="str">
        <f>IF(AND(_B="A-220-100",'2024'!$L$4="FO",'2024'!$L$2=AI309),'2024DATA'!$F$36,"")</f>
        <v/>
      </c>
      <c r="AJ343" s="518" t="str">
        <f>IF(AND(_B="A-220-100",'2024'!$L$4="FO",'2024'!$L$2=AJ309),'2024DATA'!$G$36,"")</f>
        <v/>
      </c>
      <c r="AK343" s="518" t="str">
        <f>IF(AND(_B="A-220-100",'2024'!$L$4="FO",'2024'!$L$2=AK309),'2024DATA'!$H$36,"")</f>
        <v/>
      </c>
      <c r="AL343" s="518" t="str">
        <f>IF(AND(_B="A-220-100",'2024'!$L$4="FO",'2024'!$L$2=AL309),'2024DATA'!$I$36,"")</f>
        <v/>
      </c>
      <c r="AM343" s="518" t="str">
        <f>IF(AND(_B="A-220-100",'2024'!$L$4="FO",'2024'!$L$2=AM309),'2024DATA'!$J$36,"")</f>
        <v/>
      </c>
      <c r="AN343" s="518" t="str">
        <f>IF(AND(_B="A-220-100",'2024'!$L$4="FO",'2024'!$L$2=AN309),'2024DATA'!$K$36,"")</f>
        <v/>
      </c>
      <c r="AO343" s="518" t="str">
        <f>IF(AND(_B="A-220-100",'2024'!$L$4="FO",'2024'!$L$2=AO309),'2024DATA'!$L$36,"")</f>
        <v/>
      </c>
      <c r="AP343" s="518" t="str">
        <f>IF(AND(_B="A-220-100",'2024'!$L$4="FO",'2024'!$L$2=AP309),'2024DATA'!$M$36,"")</f>
        <v/>
      </c>
      <c r="AQ343" s="520" t="str">
        <f>IF(AND(_B="A-220-100",'2024'!$L$4="FO",'2024'!$L$2=AQ309),'2024DATA'!$N$36,"")</f>
        <v/>
      </c>
      <c r="AR343" s="940"/>
      <c r="AS343" s="13" t="s">
        <v>62</v>
      </c>
      <c r="AT343" s="518" t="str">
        <f>IF(AND(_C="A-220-100",'2024'!$L$4="FO",'2024'!$L$2=AT309),'2024DATA'!$C$36,"")</f>
        <v/>
      </c>
      <c r="AU343" s="518" t="str">
        <f>IF(AND(_C="A-220-100",'2024'!$L$4="FO",'2024'!$L$2=AU309),'2024DATA'!$D$36,"")</f>
        <v/>
      </c>
      <c r="AV343" s="518" t="str">
        <f>IF(AND(_C="A-220-100",'2024'!$L$4="FO",'2024'!$L$2=AV309),'2024DATA'!$E$36,"")</f>
        <v/>
      </c>
      <c r="AW343" s="518" t="str">
        <f>IF(AND(_C="A-220-100",'2024'!$L$4="FO",'2024'!$L$2=AW309),'2024DATA'!$F$36,"")</f>
        <v/>
      </c>
      <c r="AX343" s="518" t="str">
        <f>IF(AND(_C="A-220-100",'2024'!$L$4="FO",'2024'!$L$2=AX309),'2024DATA'!$G$36,"")</f>
        <v/>
      </c>
      <c r="AY343" s="518" t="str">
        <f>IF(AND(_C="A-220-100",'2024'!$L$4="FO",'2024'!$L$2=AY309),'2024DATA'!$H$36,"")</f>
        <v/>
      </c>
      <c r="AZ343" s="518" t="str">
        <f>IF(AND(_C="A-220-100",'2024'!$L$4="FO",'2024'!$L$2=AZ309),'2024DATA'!$I$36,"")</f>
        <v/>
      </c>
      <c r="BA343" s="518" t="str">
        <f>IF(AND(_C="A-220-100",'2024'!$L$4="FO",'2024'!$L$2=BA309),'2024DATA'!$J$36,"")</f>
        <v/>
      </c>
      <c r="BB343" s="518" t="str">
        <f>IF(AND(_C="A-220-100",'2024'!$L$4="FO",'2024'!$L$2=BB309),'2024DATA'!$K$36,"")</f>
        <v/>
      </c>
      <c r="BC343" s="518" t="str">
        <f>IF(AND(_C="A-220-100",'2024'!$L$4="FO",'2024'!$L$2=BC309),'2024DATA'!$L$36,"")</f>
        <v/>
      </c>
      <c r="BD343" s="518" t="str">
        <f>IF(AND(_C="A-220-100",'2024'!$L$4="FO",'2024'!$L$2=BD309),'2024DATA'!$M$36,"")</f>
        <v/>
      </c>
      <c r="BE343" s="520" t="str">
        <f>IF(AND(_C="A-220-100",'2024'!$L$4="FO",'2024'!$L$2=BE309),'2024DATA'!$N$36,"")</f>
        <v/>
      </c>
      <c r="BF343" s="940"/>
      <c r="BG343" s="13" t="s">
        <v>62</v>
      </c>
      <c r="BH343" s="518" t="str">
        <f>IF(AND(_D="A-220-100",'2024'!$L$4="FO",'2024'!$L$2=BH309),'2024DATA'!$C$36,"")</f>
        <v/>
      </c>
      <c r="BI343" s="518" t="str">
        <f>IF(AND(_D="A-220-100",'2024'!$L$4="FO",'2024'!$L$2=BI309),'2024DATA'!$D$36,"")</f>
        <v/>
      </c>
      <c r="BJ343" s="518" t="str">
        <f>IF(AND(_D="A-220-100",'2024'!$L$4="FO",'2024'!$L$2=BJ309),'2024DATA'!$E$36,"")</f>
        <v/>
      </c>
      <c r="BK343" s="518" t="str">
        <f>IF(AND(_D="A-220-100",'2024'!$L$4="FO",'2024'!$L$2=BK309),'2024DATA'!$F$36,"")</f>
        <v/>
      </c>
      <c r="BL343" s="518" t="str">
        <f>IF(AND(_D="A-220-100",'2024'!$L$4="FO",'2024'!$L$2=BL309),'2024DATA'!$G$36,"")</f>
        <v/>
      </c>
      <c r="BM343" s="518" t="str">
        <f>IF(AND(_D="A-220-100",'2024'!$L$4="FO",'2024'!$L$2=BM309),'2024DATA'!$H$36,"")</f>
        <v/>
      </c>
      <c r="BN343" s="518" t="str">
        <f>IF(AND(_D="A-220-100",'2024'!$L$4="FO",'2024'!$L$2=BN309),'2024DATA'!$I$36,"")</f>
        <v/>
      </c>
      <c r="BO343" s="518" t="str">
        <f>IF(AND(_D="A-220-100",'2024'!$L$4="FO",'2024'!$L$2=BO309),'2024DATA'!$J$36,"")</f>
        <v/>
      </c>
      <c r="BP343" s="518" t="str">
        <f>IF(AND(_D="A-220-100",'2024'!$L$4="FO",'2024'!$L$2=BP309),'2024DATA'!$K$36,"")</f>
        <v/>
      </c>
      <c r="BQ343" s="518" t="str">
        <f>IF(AND(_D="A-220-100",'2024'!$L$4="FO",'2024'!$L$2=BQ309),'2024DATA'!$L$36,"")</f>
        <v/>
      </c>
      <c r="BR343" s="518" t="str">
        <f>IF(AND(_D="A-220-100",'2024'!$L$4="FO",'2024'!$L$2=BR309),'2024DATA'!$M$36,"")</f>
        <v/>
      </c>
      <c r="BS343" s="520" t="str">
        <f>IF(AND(_D="A-220-100",'2024'!$L$4="FO",'2024'!$L$2=BS309),'2024DATA'!$N$36,"")</f>
        <v/>
      </c>
      <c r="BT343" s="940"/>
      <c r="BU343" s="13" t="s">
        <v>62</v>
      </c>
      <c r="BV343" s="518" t="str">
        <f>IF(AND(_E="A-220-100",'2024'!$L$4="FO",'2024'!$L$2=BV309),'2024DATA'!$C$36,"")</f>
        <v/>
      </c>
      <c r="BW343" s="518" t="str">
        <f>IF(AND(_E="A-220-100",'2024'!$L$4="FO",'2024'!$L$2=BW309),'2024DATA'!$D$36,"")</f>
        <v/>
      </c>
      <c r="BX343" s="518" t="str">
        <f>IF(AND(_E="A-220-100",'2024'!$L$4="FO",'2024'!$L$2=BX309),'2024DATA'!$E$36,"")</f>
        <v/>
      </c>
      <c r="BY343" s="518" t="str">
        <f>IF(AND(_E="A-220-100",'2024'!$L$4="FO",'2024'!$L$2=BY309),'2024DATA'!$F$36,"")</f>
        <v/>
      </c>
      <c r="BZ343" s="518" t="str">
        <f>IF(AND(_E="A-220-100",'2024'!$L$4="FO",'2024'!$L$2=BZ309),'2024DATA'!$G$36,"")</f>
        <v/>
      </c>
      <c r="CA343" s="518" t="str">
        <f>IF(AND(_E="A-220-100",'2024'!$L$4="FO",'2024'!$L$2=CA309),'2024DATA'!$H$36,"")</f>
        <v/>
      </c>
      <c r="CB343" s="518" t="str">
        <f>IF(AND(_E="A-220-100",'2024'!$L$4="FO",'2024'!$L$2=CB309),'2024DATA'!$I$36,"")</f>
        <v/>
      </c>
      <c r="CC343" s="518" t="str">
        <f>IF(AND(_E="A-220-100",'2024'!$L$4="FO",'2024'!$L$2=CC309),'2024DATA'!$J$36,"")</f>
        <v/>
      </c>
      <c r="CD343" s="518" t="str">
        <f>IF(AND(_E="A-220-100",'2024'!$L$4="FO",'2024'!$L$2=CD309),'2024DATA'!$K$36,"")</f>
        <v/>
      </c>
      <c r="CE343" s="518" t="str">
        <f>IF(AND(_E="A-220-100",'2024'!$L$4="FO",'2024'!$L$2=CE309),'2024DATA'!$L$36,"")</f>
        <v/>
      </c>
      <c r="CF343" s="518" t="str">
        <f>IF(AND(_E="A-220-100",'2024'!$L$4="FO",'2024'!$L$2=CF309),'2024DATA'!$M$36,"")</f>
        <v/>
      </c>
      <c r="CG343" s="520" t="str">
        <f>IF(AND(_E="A-220-100",'2024'!$L$4="FO",'2024'!$L$2=CG309),'2024DATA'!$N$36,"")</f>
        <v/>
      </c>
      <c r="CH343" s="940"/>
      <c r="CI343" s="13" t="s">
        <v>62</v>
      </c>
      <c r="CJ343" s="518" t="str">
        <f>IF(AND(_F="A-220-100",'2024'!$L$4="FO",'2024'!$L$2=CJ309),'2024DATA'!$C$36,"")</f>
        <v/>
      </c>
      <c r="CK343" s="518" t="str">
        <f>IF(AND(_F="A-220-100",'2024'!$L$4="FO",'2024'!$L$2=CK309),'2024DATA'!$D$36,"")</f>
        <v/>
      </c>
      <c r="CL343" s="518" t="str">
        <f>IF(AND(_F="A-220-100",'2024'!$L$4="FO",'2024'!$L$2=CL309),'2024DATA'!$E$36,"")</f>
        <v/>
      </c>
      <c r="CM343" s="518" t="str">
        <f>IF(AND(_F="A-220-100",'2024'!$L$4="FO",'2024'!$L$2=CM309),'2024DATA'!$F$36,"")</f>
        <v/>
      </c>
      <c r="CN343" s="518" t="str">
        <f>IF(AND(_F="A-220-100",'2024'!$L$4="FO",'2024'!$L$2=CN309),'2024DATA'!$G$36,"")</f>
        <v/>
      </c>
      <c r="CO343" s="518" t="str">
        <f>IF(AND(_F="A-220-100",'2024'!$L$4="FO",'2024'!$L$2=CO309),'2024DATA'!$H$36,"")</f>
        <v/>
      </c>
      <c r="CP343" s="518" t="str">
        <f>IF(AND(_F="A-220-100",'2024'!$L$4="FO",'2024'!$L$2=CP309),'2024DATA'!$I$36,"")</f>
        <v/>
      </c>
      <c r="CQ343" s="518" t="str">
        <f>IF(AND(_F="A-220-100",'2024'!$L$4="FO",'2024'!$L$2=CQ309),'2024DATA'!$J$36,"")</f>
        <v/>
      </c>
      <c r="CR343" s="518" t="str">
        <f>IF(AND(_F="A-220-100",'2024'!$L$4="FO",'2024'!$L$2=CR309),'2024DATA'!$K$36,"")</f>
        <v/>
      </c>
      <c r="CS343" s="518" t="str">
        <f>IF(AND(_F="A-220-100",'2024'!$L$4="FO",'2024'!$L$2=CS309),'2024DATA'!$L$36,"")</f>
        <v/>
      </c>
      <c r="CT343" s="518" t="str">
        <f>IF(AND(_F="A-220-100",'2024'!$L$4="FO",'2024'!$L$2=CT309),'2024DATA'!$M$36,"")</f>
        <v/>
      </c>
      <c r="CU343" s="520" t="str">
        <f>IF(AND(_F="A-220-100",'2024'!$L$4="FO",'2024'!$L$2=CU309),'2024DATA'!$N$36,"")</f>
        <v/>
      </c>
    </row>
    <row r="344" spans="16:99" x14ac:dyDescent="0.25">
      <c r="P344" s="940" t="s">
        <v>53</v>
      </c>
      <c r="Q344" s="13" t="s">
        <v>61</v>
      </c>
      <c r="R344" s="518" t="str">
        <f>IF(AND(_A="B-717",'2024'!$L$4="CA",'2024'!$L$2=R309),'2024DATA'!$C$37,"")</f>
        <v/>
      </c>
      <c r="S344" s="518" t="str">
        <f>IF(AND(_A="B-717",'2024'!$L$4="CA",'2024'!$L$2=S309),'2024DATA'!$D$37,"")</f>
        <v/>
      </c>
      <c r="T344" s="518" t="str">
        <f>IF(AND(_A="B-717",'2024'!$L$4="CA",'2024'!$L$2=T309),'2024DATA'!$E$37,"")</f>
        <v/>
      </c>
      <c r="U344" s="518" t="str">
        <f>IF(AND(_A="B-717",'2024'!$L$4="CA",'2024'!$L$2=U309),'2024DATA'!$F$37,"")</f>
        <v/>
      </c>
      <c r="V344" s="518" t="str">
        <f>IF(AND(_A="B-717",'2024'!$L$4="CA",'2024'!$L$2=V309),'2024DATA'!$G$37,"")</f>
        <v/>
      </c>
      <c r="W344" s="518" t="str">
        <f>IF(AND(_A="B-717",'2024'!$L$4="CA",'2024'!$L$2=W309),'2024DATA'!$H$37,"")</f>
        <v/>
      </c>
      <c r="X344" s="518" t="str">
        <f>IF(AND(_A="B-717",'2024'!$L$4="CA",'2024'!$L$2=X309),'2024DATA'!$I$37,"")</f>
        <v/>
      </c>
      <c r="Y344" s="518" t="str">
        <f>IF(AND(_A="B-717",'2024'!$L$4="CA",'2024'!$L$2=Y309),'2024DATA'!$J$37,"")</f>
        <v/>
      </c>
      <c r="Z344" s="518" t="str">
        <f>IF(AND(_A="B-717",'2024'!$L$4="CA",'2024'!$L$2=Z309),'2024DATA'!$K$37,"")</f>
        <v/>
      </c>
      <c r="AA344" s="518" t="str">
        <f>IF(AND(_A="B-717",'2024'!$L$4="CA",'2024'!$L$2=AA309),'2024DATA'!$L$37,"")</f>
        <v/>
      </c>
      <c r="AB344" s="518" t="str">
        <f>IF(AND(_A="B-717",'2024'!$L$4="CA",'2024'!$L$2=AB309),'2024DATA'!$M$37,"")</f>
        <v/>
      </c>
      <c r="AC344" s="520" t="str">
        <f>IF(AND(_A="B-717",'2024'!$L$4="CA",'2024'!$L$2=AC309),'2024DATA'!$N$37,"")</f>
        <v/>
      </c>
      <c r="AD344" s="940" t="s">
        <v>53</v>
      </c>
      <c r="AE344" s="13" t="s">
        <v>61</v>
      </c>
      <c r="AF344" s="518" t="str">
        <f>IF(AND(_B="B-717",'2024'!$L$4="CA",'2024'!$L$2=AF309),'2024DATA'!$C$37,"")</f>
        <v/>
      </c>
      <c r="AG344" s="518" t="str">
        <f>IF(AND(_B="B-717",'2024'!$L$4="CA",'2024'!$L$2=AG309),'2024DATA'!$D$37,"")</f>
        <v/>
      </c>
      <c r="AH344" s="518" t="str">
        <f>IF(AND(_B="B-717",'2024'!$L$4="CA",'2024'!$L$2=AH309),'2024DATA'!$E$37,"")</f>
        <v/>
      </c>
      <c r="AI344" s="518" t="str">
        <f>IF(AND(_B="B-717",'2024'!$L$4="CA",'2024'!$L$2=AI309),'2024DATA'!$F$37,"")</f>
        <v/>
      </c>
      <c r="AJ344" s="518" t="str">
        <f>IF(AND(_B="B-717",'2024'!$L$4="CA",'2024'!$L$2=AJ309),'2024DATA'!$G$37,"")</f>
        <v/>
      </c>
      <c r="AK344" s="518" t="str">
        <f>IF(AND(_B="B-717",'2024'!$L$4="CA",'2024'!$L$2=AK309),'2024DATA'!$H$37,"")</f>
        <v/>
      </c>
      <c r="AL344" s="518" t="str">
        <f>IF(AND(_B="B-717",'2024'!$L$4="CA",'2024'!$L$2=AL309),'2024DATA'!$I$37,"")</f>
        <v/>
      </c>
      <c r="AM344" s="518" t="str">
        <f>IF(AND(_B="B-717",'2024'!$L$4="CA",'2024'!$L$2=AM309),'2024DATA'!$J$37,"")</f>
        <v/>
      </c>
      <c r="AN344" s="518" t="str">
        <f>IF(AND(_B="B-717",'2024'!$L$4="CA",'2024'!$L$2=AN309),'2024DATA'!$K$37,"")</f>
        <v/>
      </c>
      <c r="AO344" s="518" t="str">
        <f>IF(AND(_B="B-717",'2024'!$L$4="CA",'2024'!$L$2=AO309),'2024DATA'!$L$37,"")</f>
        <v/>
      </c>
      <c r="AP344" s="518" t="str">
        <f>IF(AND(_B="B-717",'2024'!$L$4="CA",'2024'!$L$2=AP309),'2024DATA'!$M$37,"")</f>
        <v/>
      </c>
      <c r="AQ344" s="520" t="str">
        <f>IF(AND(_B="B-717",'2024'!$L$4="CA",'2024'!$L$2=AQ309),'2024DATA'!$N$37,"")</f>
        <v/>
      </c>
      <c r="AR344" s="940" t="s">
        <v>53</v>
      </c>
      <c r="AS344" s="13" t="s">
        <v>61</v>
      </c>
      <c r="AT344" s="518" t="str">
        <f>IF(AND(_C="B-717",'2024'!$L$4="CA",'2024'!$L$2=AT309),'2024DATA'!$C$37,"")</f>
        <v/>
      </c>
      <c r="AU344" s="518" t="str">
        <f>IF(AND(_C="B-717",'2024'!$L$4="CA",'2024'!$L$2=AU309),'2024DATA'!$D$37,"")</f>
        <v/>
      </c>
      <c r="AV344" s="518" t="str">
        <f>IF(AND(_C="B-717",'2024'!$L$4="CA",'2024'!$L$2=AV309),'2024DATA'!$E$37,"")</f>
        <v/>
      </c>
      <c r="AW344" s="518" t="str">
        <f>IF(AND(_C="B-717",'2024'!$L$4="CA",'2024'!$L$2=AW309),'2024DATA'!$F$37,"")</f>
        <v/>
      </c>
      <c r="AX344" s="518" t="str">
        <f>IF(AND(_C="B-717",'2024'!$L$4="CA",'2024'!$L$2=AX309),'2024DATA'!$G$37,"")</f>
        <v/>
      </c>
      <c r="AY344" s="518" t="str">
        <f>IF(AND(_C="B-717",'2024'!$L$4="CA",'2024'!$L$2=AY309),'2024DATA'!$H$37,"")</f>
        <v/>
      </c>
      <c r="AZ344" s="518" t="str">
        <f>IF(AND(_C="B-717",'2024'!$L$4="CA",'2024'!$L$2=AZ309),'2024DATA'!$I$37,"")</f>
        <v/>
      </c>
      <c r="BA344" s="518" t="str">
        <f>IF(AND(_C="B-717",'2024'!$L$4="CA",'2024'!$L$2=BA309),'2024DATA'!$J$37,"")</f>
        <v/>
      </c>
      <c r="BB344" s="518" t="str">
        <f>IF(AND(_C="B-717",'2024'!$L$4="CA",'2024'!$L$2=BB309),'2024DATA'!$K$37,"")</f>
        <v/>
      </c>
      <c r="BC344" s="518" t="str">
        <f>IF(AND(_C="B-717",'2024'!$L$4="CA",'2024'!$L$2=BC309),'2024DATA'!$L$37,"")</f>
        <v/>
      </c>
      <c r="BD344" s="518" t="str">
        <f>IF(AND(_C="B-717",'2024'!$L$4="CA",'2024'!$L$2=BD309),'2024DATA'!$M$37,"")</f>
        <v/>
      </c>
      <c r="BE344" s="520" t="str">
        <f>IF(AND(_C="B-717",'2024'!$L$4="CA",'2024'!$L$2=BE309),'2024DATA'!$N$37,"")</f>
        <v/>
      </c>
      <c r="BF344" s="940" t="s">
        <v>53</v>
      </c>
      <c r="BG344" s="13" t="s">
        <v>61</v>
      </c>
      <c r="BH344" s="518" t="str">
        <f>IF(AND(_D="B-717",'2024'!$L$4="CA",'2024'!$L$2=BH309),'2024DATA'!$C$37,"")</f>
        <v/>
      </c>
      <c r="BI344" s="518" t="str">
        <f>IF(AND(_D="B-717",'2024'!$L$4="CA",'2024'!$L$2=BI309),'2024DATA'!$D$37,"")</f>
        <v/>
      </c>
      <c r="BJ344" s="518" t="str">
        <f>IF(AND(_D="B-717",'2024'!$L$4="CA",'2024'!$L$2=BJ309),'2024DATA'!$E$37,"")</f>
        <v/>
      </c>
      <c r="BK344" s="518" t="str">
        <f>IF(AND(_D="B-717",'2024'!$L$4="CA",'2024'!$L$2=BK309),'2024DATA'!$F$37,"")</f>
        <v/>
      </c>
      <c r="BL344" s="518" t="str">
        <f>IF(AND(_D="B-717",'2024'!$L$4="CA",'2024'!$L$2=BL309),'2024DATA'!$G$37,"")</f>
        <v/>
      </c>
      <c r="BM344" s="518" t="str">
        <f>IF(AND(_D="B-717",'2024'!$L$4="CA",'2024'!$L$2=BM309),'2024DATA'!$H$37,"")</f>
        <v/>
      </c>
      <c r="BN344" s="518" t="str">
        <f>IF(AND(_D="B-717",'2024'!$L$4="CA",'2024'!$L$2=BN309),'2024DATA'!$I$37,"")</f>
        <v/>
      </c>
      <c r="BO344" s="518" t="str">
        <f>IF(AND(_D="B-717",'2024'!$L$4="CA",'2024'!$L$2=BO309),'2024DATA'!$J$37,"")</f>
        <v/>
      </c>
      <c r="BP344" s="518" t="str">
        <f>IF(AND(_D="B-717",'2024'!$L$4="CA",'2024'!$L$2=BP309),'2024DATA'!$K$37,"")</f>
        <v/>
      </c>
      <c r="BQ344" s="518" t="str">
        <f>IF(AND(_D="B-717",'2024'!$L$4="CA",'2024'!$L$2=BQ309),'2024DATA'!$L$37,"")</f>
        <v/>
      </c>
      <c r="BR344" s="518" t="str">
        <f>IF(AND(_D="B-717",'2024'!$L$4="CA",'2024'!$L$2=BR309),'2024DATA'!$M$37,"")</f>
        <v/>
      </c>
      <c r="BS344" s="520" t="str">
        <f>IF(AND(_D="B-717",'2024'!$L$4="CA",'2024'!$L$2=BS309),'2024DATA'!$N$37,"")</f>
        <v/>
      </c>
      <c r="BT344" s="940" t="s">
        <v>53</v>
      </c>
      <c r="BU344" s="13" t="s">
        <v>61</v>
      </c>
      <c r="BV344" s="518" t="str">
        <f>IF(AND(_E="B-717",'2024'!$L$4="CA",'2024'!$L$2=BV309),'2024DATA'!$C$37,"")</f>
        <v/>
      </c>
      <c r="BW344" s="518" t="str">
        <f>IF(AND(_E="B-717",'2024'!$L$4="CA",'2024'!$L$2=BW309),'2024DATA'!$D$37,"")</f>
        <v/>
      </c>
      <c r="BX344" s="518" t="str">
        <f>IF(AND(_E="B-717",'2024'!$L$4="CA",'2024'!$L$2=BX309),'2024DATA'!$E$37,"")</f>
        <v/>
      </c>
      <c r="BY344" s="518" t="str">
        <f>IF(AND(_E="B-717",'2024'!$L$4="CA",'2024'!$L$2=BY309),'2024DATA'!$F$37,"")</f>
        <v/>
      </c>
      <c r="BZ344" s="518" t="str">
        <f>IF(AND(_E="B-717",'2024'!$L$4="CA",'2024'!$L$2=BZ309),'2024DATA'!$G$37,"")</f>
        <v/>
      </c>
      <c r="CA344" s="518" t="str">
        <f>IF(AND(_E="B-717",'2024'!$L$4="CA",'2024'!$L$2=CA309),'2024DATA'!$H$37,"")</f>
        <v/>
      </c>
      <c r="CB344" s="518" t="str">
        <f>IF(AND(_E="B-717",'2024'!$L$4="CA",'2024'!$L$2=CB309),'2024DATA'!$I$37,"")</f>
        <v/>
      </c>
      <c r="CC344" s="518" t="str">
        <f>IF(AND(_E="B-717",'2024'!$L$4="CA",'2024'!$L$2=CC309),'2024DATA'!$J$37,"")</f>
        <v/>
      </c>
      <c r="CD344" s="518" t="str">
        <f>IF(AND(_E="B-717",'2024'!$L$4="CA",'2024'!$L$2=CD309),'2024DATA'!$K$37,"")</f>
        <v/>
      </c>
      <c r="CE344" s="518" t="str">
        <f>IF(AND(_E="B-717",'2024'!$L$4="CA",'2024'!$L$2=CE309),'2024DATA'!$L$37,"")</f>
        <v/>
      </c>
      <c r="CF344" s="518" t="str">
        <f>IF(AND(_E="B-717",'2024'!$L$4="CA",'2024'!$L$2=CF309),'2024DATA'!$M$37,"")</f>
        <v/>
      </c>
      <c r="CG344" s="520" t="str">
        <f>IF(AND(_E="B-717",'2024'!$L$4="CA",'2024'!$L$2=CG309),'2024DATA'!$N$37,"")</f>
        <v/>
      </c>
      <c r="CH344" s="940" t="s">
        <v>53</v>
      </c>
      <c r="CI344" s="13" t="s">
        <v>61</v>
      </c>
      <c r="CJ344" s="518" t="str">
        <f>IF(AND(_F="B-717",'2024'!$L$4="CA",'2024'!$L$2=CJ309),'2024DATA'!$C$37,"")</f>
        <v/>
      </c>
      <c r="CK344" s="518" t="str">
        <f>IF(AND(_F="B-717",'2024'!$L$4="CA",'2024'!$L$2=CK309),'2024DATA'!$D$37,"")</f>
        <v/>
      </c>
      <c r="CL344" s="518" t="str">
        <f>IF(AND(_F="B-717",'2024'!$L$4="CA",'2024'!$L$2=CL309),'2024DATA'!$E$37,"")</f>
        <v/>
      </c>
      <c r="CM344" s="518" t="str">
        <f>IF(AND(_F="B-717",'2024'!$L$4="CA",'2024'!$L$2=CM309),'2024DATA'!$F$37,"")</f>
        <v/>
      </c>
      <c r="CN344" s="518" t="str">
        <f>IF(AND(_F="B-717",'2024'!$L$4="CA",'2024'!$L$2=CN309),'2024DATA'!$G$37,"")</f>
        <v/>
      </c>
      <c r="CO344" s="518" t="str">
        <f>IF(AND(_F="B-717",'2024'!$L$4="CA",'2024'!$L$2=CO309),'2024DATA'!$H$37,"")</f>
        <v/>
      </c>
      <c r="CP344" s="518" t="str">
        <f>IF(AND(_F="B-717",'2024'!$L$4="CA",'2024'!$L$2=CP309),'2024DATA'!$I$37,"")</f>
        <v/>
      </c>
      <c r="CQ344" s="518" t="str">
        <f>IF(AND(_F="B-717",'2024'!$L$4="CA",'2024'!$L$2=CQ309),'2024DATA'!$J$37,"")</f>
        <v/>
      </c>
      <c r="CR344" s="518" t="str">
        <f>IF(AND(_F="B-717",'2024'!$L$4="CA",'2024'!$L$2=CR309),'2024DATA'!$K$37,"")</f>
        <v/>
      </c>
      <c r="CS344" s="518" t="str">
        <f>IF(AND(_F="B-717",'2024'!$L$4="CA",'2024'!$L$2=CS309),'2024DATA'!$L$37,"")</f>
        <v/>
      </c>
      <c r="CT344" s="518" t="str">
        <f>IF(AND(_F="B-717",'2024'!$L$4="CA",'2024'!$L$2=CT309),'2024DATA'!$M$37,"")</f>
        <v/>
      </c>
      <c r="CU344" s="520" t="str">
        <f>IF(AND(_F="B-717",'2024'!$L$4="CA",'2024'!$L$2=CU309),'2024DATA'!$N$37,"")</f>
        <v/>
      </c>
    </row>
    <row r="345" spans="16:99" ht="15.75" thickBot="1" x14ac:dyDescent="0.3">
      <c r="P345" s="941"/>
      <c r="Q345" s="521" t="s">
        <v>62</v>
      </c>
      <c r="R345" s="518" t="str">
        <f>IF(AND(_A="B-717",'2024'!$L$4="FO",'2024'!$L$2=R309),'2024DATA'!$C$38,"")</f>
        <v/>
      </c>
      <c r="S345" s="518" t="str">
        <f>IF(AND(_A="B-717",'2024'!$L$4="FO",'2024'!$L$2=S309),'2024DATA'!$D$38,"")</f>
        <v/>
      </c>
      <c r="T345" s="518" t="str">
        <f>IF(AND(_A="B-717",'2024'!$L$4="FO",'2024'!$L$2=T309),'2024DATA'!$E$38,"")</f>
        <v/>
      </c>
      <c r="U345" s="518" t="str">
        <f>IF(AND(_A="B-717",'2024'!$L$4="FO",'2024'!$L$2=U309),'2024DATA'!$F$38,"")</f>
        <v/>
      </c>
      <c r="V345" s="518" t="str">
        <f>IF(AND(_A="B-717",'2024'!$L$4="FO",'2024'!$L$2=V309),'2024DATA'!$G$38,"")</f>
        <v/>
      </c>
      <c r="W345" s="518" t="str">
        <f>IF(AND(_A="B-717",'2024'!$L$4="FO",'2024'!$L$2=W309),'2024DATA'!$H$38,"")</f>
        <v/>
      </c>
      <c r="X345" s="518" t="str">
        <f>IF(AND(_A="B-717",'2024'!$L$4="FO",'2024'!$L$2=X309),'2024DATA'!$I$38,"")</f>
        <v/>
      </c>
      <c r="Y345" s="518" t="str">
        <f>IF(AND(_A="B-717",'2024'!$L$4="FO",'2024'!$L$2=Y309),'2024DATA'!$J$38,"")</f>
        <v/>
      </c>
      <c r="Z345" s="518" t="str">
        <f>IF(AND(_A="B-717",'2024'!$L$4="FO",'2024'!$L$2=Z309),'2024DATA'!$K$38,"")</f>
        <v/>
      </c>
      <c r="AA345" s="518" t="str">
        <f>IF(AND(_A="B-717",'2024'!$L$4="FO",'2024'!$L$2=AA309),'2024DATA'!$L$38,"")</f>
        <v/>
      </c>
      <c r="AB345" s="518" t="str">
        <f>IF(AND(_A="B-717",'2024'!$L$4="FO",'2024'!$L$2=AB309),'2024DATA'!$M$38,"")</f>
        <v/>
      </c>
      <c r="AC345" s="520" t="str">
        <f>IF(AND(_A="B-717",'2024'!$L$4="FO",'2024'!$L$2=AC309),'2024DATA'!$N$38,"")</f>
        <v/>
      </c>
      <c r="AD345" s="941"/>
      <c r="AE345" s="521" t="s">
        <v>62</v>
      </c>
      <c r="AF345" s="518" t="str">
        <f>IF(AND(_B="B-717",'2024'!$L$4="FO",'2024'!$L$2=AF309),'2024DATA'!$C$38,"")</f>
        <v/>
      </c>
      <c r="AG345" s="518" t="str">
        <f>IF(AND(_B="B-717",'2024'!$L$4="FO",'2024'!$L$2=AG309),'2024DATA'!$D$38,"")</f>
        <v/>
      </c>
      <c r="AH345" s="518" t="str">
        <f>IF(AND(_B="B-717",'2024'!$L$4="FO",'2024'!$L$2=AH309),'2024DATA'!$E$38,"")</f>
        <v/>
      </c>
      <c r="AI345" s="518" t="str">
        <f>IF(AND(_B="B-717",'2024'!$L$4="FO",'2024'!$L$2=AI309),'2024DATA'!$F$38,"")</f>
        <v/>
      </c>
      <c r="AJ345" s="518" t="str">
        <f>IF(AND(_B="B-717",'2024'!$L$4="FO",'2024'!$L$2=AJ309),'2024DATA'!$G$38,"")</f>
        <v/>
      </c>
      <c r="AK345" s="518" t="str">
        <f>IF(AND(_B="B-717",'2024'!$L$4="FO",'2024'!$L$2=AK309),'2024DATA'!$H$38,"")</f>
        <v/>
      </c>
      <c r="AL345" s="518" t="str">
        <f>IF(AND(_B="B-717",'2024'!$L$4="FO",'2024'!$L$2=AL309),'2024DATA'!$I$38,"")</f>
        <v/>
      </c>
      <c r="AM345" s="518" t="str">
        <f>IF(AND(_B="B-717",'2024'!$L$4="FO",'2024'!$L$2=AM309),'2024DATA'!$J$38,"")</f>
        <v/>
      </c>
      <c r="AN345" s="518" t="str">
        <f>IF(AND(_B="B-717",'2024'!$L$4="FO",'2024'!$L$2=AN309),'2024DATA'!$K$38,"")</f>
        <v/>
      </c>
      <c r="AO345" s="518" t="str">
        <f>IF(AND(_B="B-717",'2024'!$L$4="FO",'2024'!$L$2=AO309),'2024DATA'!$L$38,"")</f>
        <v/>
      </c>
      <c r="AP345" s="518" t="str">
        <f>IF(AND(_B="B-717",'2024'!$L$4="FO",'2024'!$L$2=AP309),'2024DATA'!$M$38,"")</f>
        <v/>
      </c>
      <c r="AQ345" s="520" t="str">
        <f>IF(AND(_B="B-717",'2024'!$L$4="FO",'2024'!$L$2=AQ309),'2024DATA'!$N$38,"")</f>
        <v/>
      </c>
      <c r="AR345" s="941"/>
      <c r="AS345" s="521" t="s">
        <v>62</v>
      </c>
      <c r="AT345" s="518" t="str">
        <f>IF(AND(_C="B-717",'2024'!$L$4="FO",'2024'!$L$2=AT309),'2024DATA'!$C$38,"")</f>
        <v/>
      </c>
      <c r="AU345" s="518" t="str">
        <f>IF(AND(_C="B-717",'2024'!$L$4="FO",'2024'!$L$2=AU309),'2024DATA'!$D$38,"")</f>
        <v/>
      </c>
      <c r="AV345" s="518" t="str">
        <f>IF(AND(_C="B-717",'2024'!$L$4="FO",'2024'!$L$2=AV309),'2024DATA'!$E$38,"")</f>
        <v/>
      </c>
      <c r="AW345" s="518" t="str">
        <f>IF(AND(_C="B-717",'2024'!$L$4="FO",'2024'!$L$2=AW309),'2024DATA'!$F$38,"")</f>
        <v/>
      </c>
      <c r="AX345" s="518" t="str">
        <f>IF(AND(_C="B-717",'2024'!$L$4="FO",'2024'!$L$2=AX309),'2024DATA'!$G$38,"")</f>
        <v/>
      </c>
      <c r="AY345" s="518" t="str">
        <f>IF(AND(_C="B-717",'2024'!$L$4="FO",'2024'!$L$2=AY309),'2024DATA'!$H$38,"")</f>
        <v/>
      </c>
      <c r="AZ345" s="518" t="str">
        <f>IF(AND(_C="B-717",'2024'!$L$4="FO",'2024'!$L$2=AZ309),'2024DATA'!$I$38,"")</f>
        <v/>
      </c>
      <c r="BA345" s="518" t="str">
        <f>IF(AND(_C="B-717",'2024'!$L$4="FO",'2024'!$L$2=BA309),'2024DATA'!$J$38,"")</f>
        <v/>
      </c>
      <c r="BB345" s="518" t="str">
        <f>IF(AND(_C="B-717",'2024'!$L$4="FO",'2024'!$L$2=BB309),'2024DATA'!$K$38,"")</f>
        <v/>
      </c>
      <c r="BC345" s="518" t="str">
        <f>IF(AND(_C="B-717",'2024'!$L$4="FO",'2024'!$L$2=BC309),'2024DATA'!$L$38,"")</f>
        <v/>
      </c>
      <c r="BD345" s="518" t="str">
        <f>IF(AND(_C="B-717",'2024'!$L$4="FO",'2024'!$L$2=BD309),'2024DATA'!$M$38,"")</f>
        <v/>
      </c>
      <c r="BE345" s="520" t="str">
        <f>IF(AND(_C="B-717",'2024'!$L$4="FO",'2024'!$L$2=BE309),'2024DATA'!$N$38,"")</f>
        <v/>
      </c>
      <c r="BF345" s="941"/>
      <c r="BG345" s="521" t="s">
        <v>62</v>
      </c>
      <c r="BH345" s="518" t="str">
        <f>IF(AND(_D="B-717",'2024'!$L$4="FO",'2024'!$L$2=BH309),'2024DATA'!$C$38,"")</f>
        <v/>
      </c>
      <c r="BI345" s="518" t="str">
        <f>IF(AND(_D="B-717",'2024'!$L$4="FO",'2024'!$L$2=BI309),'2024DATA'!$D$38,"")</f>
        <v/>
      </c>
      <c r="BJ345" s="518" t="str">
        <f>IF(AND(_D="B-717",'2024'!$L$4="FO",'2024'!$L$2=BJ309),'2024DATA'!$E$38,"")</f>
        <v/>
      </c>
      <c r="BK345" s="518" t="str">
        <f>IF(AND(_D="B-717",'2024'!$L$4="FO",'2024'!$L$2=BK309),'2024DATA'!$F$38,"")</f>
        <v/>
      </c>
      <c r="BL345" s="518" t="str">
        <f>IF(AND(_D="B-717",'2024'!$L$4="FO",'2024'!$L$2=BL309),'2024DATA'!$G$38,"")</f>
        <v/>
      </c>
      <c r="BM345" s="518" t="str">
        <f>IF(AND(_D="B-717",'2024'!$L$4="FO",'2024'!$L$2=BM309),'2024DATA'!$H$38,"")</f>
        <v/>
      </c>
      <c r="BN345" s="518" t="str">
        <f>IF(AND(_D="B-717",'2024'!$L$4="FO",'2024'!$L$2=BN309),'2024DATA'!$I$38,"")</f>
        <v/>
      </c>
      <c r="BO345" s="518" t="str">
        <f>IF(AND(_D="B-717",'2024'!$L$4="FO",'2024'!$L$2=BO309),'2024DATA'!$J$38,"")</f>
        <v/>
      </c>
      <c r="BP345" s="518" t="str">
        <f>IF(AND(_D="B-717",'2024'!$L$4="FO",'2024'!$L$2=BP309),'2024DATA'!$K$38,"")</f>
        <v/>
      </c>
      <c r="BQ345" s="518" t="str">
        <f>IF(AND(_D="B-717",'2024'!$L$4="FO",'2024'!$L$2=BQ309),'2024DATA'!$L$38,"")</f>
        <v/>
      </c>
      <c r="BR345" s="518" t="str">
        <f>IF(AND(_D="B-717",'2024'!$L$4="FO",'2024'!$L$2=BR309),'2024DATA'!$M$38,"")</f>
        <v/>
      </c>
      <c r="BS345" s="520" t="str">
        <f>IF(AND(_D="B-717",'2024'!$L$4="FO",'2024'!$L$2=BS309),'2024DATA'!$N$38,"")</f>
        <v/>
      </c>
      <c r="BT345" s="941"/>
      <c r="BU345" s="521" t="s">
        <v>62</v>
      </c>
      <c r="BV345" s="518" t="str">
        <f>IF(AND(_E="B-717",'2024'!$L$4="FO",'2024'!$L$2=BV309),'2024DATA'!$C$38,"")</f>
        <v/>
      </c>
      <c r="BW345" s="518" t="str">
        <f>IF(AND(_E="B-717",'2024'!$L$4="FO",'2024'!$L$2=BW309),'2024DATA'!$D$38,"")</f>
        <v/>
      </c>
      <c r="BX345" s="518" t="str">
        <f>IF(AND(_E="B-717",'2024'!$L$4="FO",'2024'!$L$2=BX309),'2024DATA'!$E$38,"")</f>
        <v/>
      </c>
      <c r="BY345" s="518" t="str">
        <f>IF(AND(_E="B-717",'2024'!$L$4="FO",'2024'!$L$2=BY309),'2024DATA'!$F$38,"")</f>
        <v/>
      </c>
      <c r="BZ345" s="518" t="str">
        <f>IF(AND(_E="B-717",'2024'!$L$4="FO",'2024'!$L$2=BZ309),'2024DATA'!$G$38,"")</f>
        <v/>
      </c>
      <c r="CA345" s="518" t="str">
        <f>IF(AND(_E="B-717",'2024'!$L$4="FO",'2024'!$L$2=CA309),'2024DATA'!$H$38,"")</f>
        <v/>
      </c>
      <c r="CB345" s="518" t="str">
        <f>IF(AND(_E="B-717",'2024'!$L$4="FO",'2024'!$L$2=CB309),'2024DATA'!$I$38,"")</f>
        <v/>
      </c>
      <c r="CC345" s="518" t="str">
        <f>IF(AND(_E="B-717",'2024'!$L$4="FO",'2024'!$L$2=CC309),'2024DATA'!$J$38,"")</f>
        <v/>
      </c>
      <c r="CD345" s="518" t="str">
        <f>IF(AND(_E="B-717",'2024'!$L$4="FO",'2024'!$L$2=CD309),'2024DATA'!$K$38,"")</f>
        <v/>
      </c>
      <c r="CE345" s="518" t="str">
        <f>IF(AND(_E="B-717",'2024'!$L$4="FO",'2024'!$L$2=CE309),'2024DATA'!$L$38,"")</f>
        <v/>
      </c>
      <c r="CF345" s="518" t="str">
        <f>IF(AND(_E="B-717",'2024'!$L$4="FO",'2024'!$L$2=CF309),'2024DATA'!$M$38,"")</f>
        <v/>
      </c>
      <c r="CG345" s="520" t="str">
        <f>IF(AND(_E="B-717",'2024'!$L$4="FO",'2024'!$L$2=CG309),'2024DATA'!$N$38,"")</f>
        <v/>
      </c>
      <c r="CH345" s="941"/>
      <c r="CI345" s="521" t="s">
        <v>62</v>
      </c>
      <c r="CJ345" s="518" t="str">
        <f>IF(AND(_F="B-717",'2024'!$L$4="FO",'2024'!$L$2=CJ309),'2024DATA'!$C$38,"")</f>
        <v/>
      </c>
      <c r="CK345" s="518" t="str">
        <f>IF(AND(_F="B-717",'2024'!$L$4="FO",'2024'!$L$2=CK309),'2024DATA'!$D$38,"")</f>
        <v/>
      </c>
      <c r="CL345" s="518" t="str">
        <f>IF(AND(_F="B-717",'2024'!$L$4="FO",'2024'!$L$2=CL309),'2024DATA'!$E$38,"")</f>
        <v/>
      </c>
      <c r="CM345" s="518" t="str">
        <f>IF(AND(_F="B-717",'2024'!$L$4="FO",'2024'!$L$2=CM309),'2024DATA'!$F$38,"")</f>
        <v/>
      </c>
      <c r="CN345" s="518" t="str">
        <f>IF(AND(_F="B-717",'2024'!$L$4="FO",'2024'!$L$2=CN309),'2024DATA'!$G$38,"")</f>
        <v/>
      </c>
      <c r="CO345" s="518" t="str">
        <f>IF(AND(_F="B-717",'2024'!$L$4="FO",'2024'!$L$2=CO309),'2024DATA'!$H$38,"")</f>
        <v/>
      </c>
      <c r="CP345" s="518" t="str">
        <f>IF(AND(_F="B-717",'2024'!$L$4="FO",'2024'!$L$2=CP309),'2024DATA'!$I$38,"")</f>
        <v/>
      </c>
      <c r="CQ345" s="518" t="str">
        <f>IF(AND(_F="B-717",'2024'!$L$4="FO",'2024'!$L$2=CQ309),'2024DATA'!$J$38,"")</f>
        <v/>
      </c>
      <c r="CR345" s="518" t="str">
        <f>IF(AND(_F="B-717",'2024'!$L$4="FO",'2024'!$L$2=CR309),'2024DATA'!$K$38,"")</f>
        <v/>
      </c>
      <c r="CS345" s="518" t="str">
        <f>IF(AND(_F="B-717",'2024'!$L$4="FO",'2024'!$L$2=CS309),'2024DATA'!$L$38,"")</f>
        <v/>
      </c>
      <c r="CT345" s="518" t="str">
        <f>IF(AND(_F="B-717",'2024'!$L$4="FO",'2024'!$L$2=CT309),'2024DATA'!$M$38,"")</f>
        <v/>
      </c>
      <c r="CU345" s="520" t="str">
        <f>IF(AND(_F="B-717",'2024'!$L$4="FO",'2024'!$L$2=CU309),'2024DATA'!$N$38,"")</f>
        <v/>
      </c>
    </row>
    <row r="346" spans="16:99" x14ac:dyDescent="0.25">
      <c r="P346" s="943" t="s">
        <v>103</v>
      </c>
      <c r="Q346" s="944"/>
      <c r="R346" s="944"/>
      <c r="S346" s="944"/>
      <c r="T346" s="944"/>
      <c r="U346" s="944"/>
      <c r="V346" s="944"/>
      <c r="W346" s="944"/>
      <c r="X346" s="944"/>
      <c r="Y346" s="944"/>
      <c r="Z346" s="944"/>
      <c r="AA346" s="944"/>
      <c r="AB346" s="944"/>
      <c r="AC346" s="945"/>
      <c r="AD346" s="943" t="s">
        <v>104</v>
      </c>
      <c r="AE346" s="944"/>
      <c r="AF346" s="944"/>
      <c r="AG346" s="944"/>
      <c r="AH346" s="944"/>
      <c r="AI346" s="944"/>
      <c r="AJ346" s="944"/>
      <c r="AK346" s="944"/>
      <c r="AL346" s="944"/>
      <c r="AM346" s="944"/>
      <c r="AN346" s="944"/>
      <c r="AO346" s="944"/>
      <c r="AP346" s="944"/>
      <c r="AQ346" s="945"/>
      <c r="AR346" s="943" t="s">
        <v>105</v>
      </c>
      <c r="AS346" s="944"/>
      <c r="AT346" s="944"/>
      <c r="AU346" s="944"/>
      <c r="AV346" s="944"/>
      <c r="AW346" s="944"/>
      <c r="AX346" s="944"/>
      <c r="AY346" s="944"/>
      <c r="AZ346" s="944"/>
      <c r="BA346" s="944"/>
      <c r="BB346" s="944"/>
      <c r="BC346" s="944"/>
      <c r="BD346" s="944"/>
      <c r="BE346" s="945"/>
      <c r="BF346" s="943" t="s">
        <v>106</v>
      </c>
      <c r="BG346" s="944"/>
      <c r="BH346" s="944"/>
      <c r="BI346" s="944"/>
      <c r="BJ346" s="944"/>
      <c r="BK346" s="944"/>
      <c r="BL346" s="944"/>
      <c r="BM346" s="944"/>
      <c r="BN346" s="944"/>
      <c r="BO346" s="944"/>
      <c r="BP346" s="944"/>
      <c r="BQ346" s="944"/>
      <c r="BR346" s="944"/>
      <c r="BS346" s="945"/>
      <c r="BT346" s="943" t="s">
        <v>107</v>
      </c>
      <c r="BU346" s="944"/>
      <c r="BV346" s="944"/>
      <c r="BW346" s="944"/>
      <c r="BX346" s="944"/>
      <c r="BY346" s="944"/>
      <c r="BZ346" s="944"/>
      <c r="CA346" s="944"/>
      <c r="CB346" s="944"/>
      <c r="CC346" s="944"/>
      <c r="CD346" s="944"/>
      <c r="CE346" s="944"/>
      <c r="CF346" s="944"/>
      <c r="CG346" s="945"/>
      <c r="CH346" s="943" t="s">
        <v>108</v>
      </c>
      <c r="CI346" s="944"/>
      <c r="CJ346" s="944"/>
      <c r="CK346" s="944"/>
      <c r="CL346" s="944"/>
      <c r="CM346" s="944"/>
      <c r="CN346" s="944"/>
      <c r="CO346" s="944"/>
      <c r="CP346" s="944"/>
      <c r="CQ346" s="944"/>
      <c r="CR346" s="944"/>
      <c r="CS346" s="944"/>
      <c r="CT346" s="944"/>
      <c r="CU346" s="945"/>
    </row>
    <row r="347" spans="16:99" x14ac:dyDescent="0.25">
      <c r="P347" s="593">
        <v>10</v>
      </c>
      <c r="Q347" s="569">
        <f>SUM(R348:AC383)</f>
        <v>0</v>
      </c>
      <c r="R347" s="3">
        <v>12</v>
      </c>
      <c r="S347" s="3">
        <v>11</v>
      </c>
      <c r="T347" s="3">
        <v>10</v>
      </c>
      <c r="U347" s="3">
        <v>9</v>
      </c>
      <c r="V347" s="3">
        <v>8</v>
      </c>
      <c r="W347" s="3">
        <v>7</v>
      </c>
      <c r="X347" s="3">
        <v>6</v>
      </c>
      <c r="Y347" s="3">
        <v>5</v>
      </c>
      <c r="Z347" s="3">
        <v>4</v>
      </c>
      <c r="AA347" s="3">
        <v>3</v>
      </c>
      <c r="AB347" s="3">
        <v>2</v>
      </c>
      <c r="AC347" s="519">
        <v>1</v>
      </c>
      <c r="AD347" s="569">
        <v>10</v>
      </c>
      <c r="AE347" s="569">
        <f>SUM(AF348:AQ383)</f>
        <v>0</v>
      </c>
      <c r="AF347" s="3">
        <v>12</v>
      </c>
      <c r="AG347" s="3">
        <v>11</v>
      </c>
      <c r="AH347" s="3">
        <v>10</v>
      </c>
      <c r="AI347" s="3">
        <v>9</v>
      </c>
      <c r="AJ347" s="3">
        <v>8</v>
      </c>
      <c r="AK347" s="3">
        <v>7</v>
      </c>
      <c r="AL347" s="3">
        <v>6</v>
      </c>
      <c r="AM347" s="3">
        <v>5</v>
      </c>
      <c r="AN347" s="3">
        <v>4</v>
      </c>
      <c r="AO347" s="3">
        <v>3</v>
      </c>
      <c r="AP347" s="3">
        <v>2</v>
      </c>
      <c r="AQ347" s="519">
        <v>1</v>
      </c>
      <c r="AR347" s="569">
        <v>10</v>
      </c>
      <c r="AS347" s="569">
        <f>SUM(AT348:BE383)</f>
        <v>0</v>
      </c>
      <c r="AT347" s="3">
        <v>12</v>
      </c>
      <c r="AU347" s="3">
        <v>11</v>
      </c>
      <c r="AV347" s="3">
        <v>10</v>
      </c>
      <c r="AW347" s="3">
        <v>9</v>
      </c>
      <c r="AX347" s="3">
        <v>8</v>
      </c>
      <c r="AY347" s="3">
        <v>7</v>
      </c>
      <c r="AZ347" s="3">
        <v>6</v>
      </c>
      <c r="BA347" s="3">
        <v>5</v>
      </c>
      <c r="BB347" s="3">
        <v>4</v>
      </c>
      <c r="BC347" s="3">
        <v>3</v>
      </c>
      <c r="BD347" s="3">
        <v>2</v>
      </c>
      <c r="BE347" s="519">
        <v>1</v>
      </c>
      <c r="BF347" s="569">
        <v>10</v>
      </c>
      <c r="BG347" s="569">
        <f>SUM(BH348:BS383)</f>
        <v>0</v>
      </c>
      <c r="BH347" s="3">
        <v>12</v>
      </c>
      <c r="BI347" s="3">
        <v>11</v>
      </c>
      <c r="BJ347" s="3">
        <v>10</v>
      </c>
      <c r="BK347" s="3">
        <v>9</v>
      </c>
      <c r="BL347" s="3">
        <v>8</v>
      </c>
      <c r="BM347" s="3">
        <v>7</v>
      </c>
      <c r="BN347" s="3">
        <v>6</v>
      </c>
      <c r="BO347" s="3">
        <v>5</v>
      </c>
      <c r="BP347" s="3">
        <v>4</v>
      </c>
      <c r="BQ347" s="3">
        <v>3</v>
      </c>
      <c r="BR347" s="3">
        <v>2</v>
      </c>
      <c r="BS347" s="519">
        <v>1</v>
      </c>
      <c r="BT347" s="569">
        <v>10</v>
      </c>
      <c r="BU347" s="569">
        <f>SUM(BV348:CG383)</f>
        <v>0</v>
      </c>
      <c r="BV347" s="3">
        <v>12</v>
      </c>
      <c r="BW347" s="3">
        <v>11</v>
      </c>
      <c r="BX347" s="3">
        <v>10</v>
      </c>
      <c r="BY347" s="3">
        <v>9</v>
      </c>
      <c r="BZ347" s="3">
        <v>8</v>
      </c>
      <c r="CA347" s="3">
        <v>7</v>
      </c>
      <c r="CB347" s="3">
        <v>6</v>
      </c>
      <c r="CC347" s="3">
        <v>5</v>
      </c>
      <c r="CD347" s="3">
        <v>4</v>
      </c>
      <c r="CE347" s="3">
        <v>3</v>
      </c>
      <c r="CF347" s="3">
        <v>2</v>
      </c>
      <c r="CG347" s="519">
        <v>1</v>
      </c>
      <c r="CH347" s="569">
        <v>10</v>
      </c>
      <c r="CI347" s="569">
        <f>SUM(CJ348:CU383)</f>
        <v>0</v>
      </c>
      <c r="CJ347" s="3">
        <v>12</v>
      </c>
      <c r="CK347" s="3">
        <v>11</v>
      </c>
      <c r="CL347" s="3">
        <v>10</v>
      </c>
      <c r="CM347" s="3">
        <v>9</v>
      </c>
      <c r="CN347" s="3">
        <v>8</v>
      </c>
      <c r="CO347" s="3">
        <v>7</v>
      </c>
      <c r="CP347" s="3">
        <v>6</v>
      </c>
      <c r="CQ347" s="3">
        <v>5</v>
      </c>
      <c r="CR347" s="3">
        <v>4</v>
      </c>
      <c r="CS347" s="3">
        <v>3</v>
      </c>
      <c r="CT347" s="3">
        <v>2</v>
      </c>
      <c r="CU347" s="519">
        <v>1</v>
      </c>
    </row>
    <row r="348" spans="16:99" x14ac:dyDescent="0.25">
      <c r="P348" s="940" t="s">
        <v>39</v>
      </c>
      <c r="Q348" s="13" t="s">
        <v>61</v>
      </c>
      <c r="R348" s="518" t="str">
        <f>IF(AND(_A="A-350",'2024'!$M$4="CA",'2024'!$M$2=R347),'2024DATA'!$C$3,"")</f>
        <v/>
      </c>
      <c r="S348" s="518" t="str">
        <f>IF(AND(_A="A-350",'2024'!$M$4="CA",'2024'!$M$2=S347),'2024DATA'!$D$3,"")</f>
        <v/>
      </c>
      <c r="T348" s="518" t="str">
        <f>IF(AND(_A="A-350",'2024'!$M$4="CA",'2024'!$M$2=T347),'2024DATA'!$E$3,"")</f>
        <v/>
      </c>
      <c r="U348" s="518" t="str">
        <f>IF(AND(_A="A-350",'2024'!$M$4="CA",'2024'!$M$2=U347),'2024DATA'!$F$3,"")</f>
        <v/>
      </c>
      <c r="V348" s="518" t="str">
        <f>IF(AND(_A="A-350",'2024'!$M$4="CA",'2024'!$M$2=V347),'2024DATA'!$G$3,"")</f>
        <v/>
      </c>
      <c r="W348" s="518" t="str">
        <f>IF(AND(_A="A-350",'2024'!$M$4="CA",'2024'!$M$2=W347),'2024DATA'!$H$3,"")</f>
        <v/>
      </c>
      <c r="X348" s="518" t="str">
        <f>IF(AND(_A="A-350",'2024'!$M$4="CA",'2024'!$M$2=X347),'2024DATA'!$I$3,"")</f>
        <v/>
      </c>
      <c r="Y348" s="518" t="str">
        <f>IF(AND(_A="A-350",'2024'!$M$4="CA",'2024'!$M$2=Y347),'2024DATA'!$J$3,"")</f>
        <v/>
      </c>
      <c r="Z348" s="518" t="str">
        <f>IF(AND(_A="A-350",'2024'!$M$4="CA",'2024'!$M$2=Z347),'2024DATA'!$K$3,"")</f>
        <v/>
      </c>
      <c r="AA348" s="518" t="str">
        <f>IF(AND(_A="A-350",'2024'!$M$4="CA",'2024'!$M$2=AA347),'2024DATA'!$L$3,"")</f>
        <v/>
      </c>
      <c r="AB348" s="518" t="str">
        <f>IF(AND(_A="A-350",'2024'!$M$4="CA",'2024'!$M$2=AB347),'2024DATA'!$M$3,"")</f>
        <v/>
      </c>
      <c r="AC348" s="520" t="str">
        <f>IF(AND(_A="A-350",'2024'!$M$4="CA",'2024'!$M$2=AC347),'2024DATA'!$N$3,"")</f>
        <v/>
      </c>
      <c r="AD348" s="940" t="s">
        <v>39</v>
      </c>
      <c r="AE348" s="13" t="s">
        <v>61</v>
      </c>
      <c r="AF348" s="518" t="str">
        <f>IF(AND(_B="A-350",'2024'!$M$4="CA",'2024'!$M$2=AF347),'2024DATA'!$C$3,"")</f>
        <v/>
      </c>
      <c r="AG348" s="518" t="str">
        <f>IF(AND(_B="A-350",'2024'!$M$4="CA",'2024'!$M$2=AG347),'2024DATA'!$D$3,"")</f>
        <v/>
      </c>
      <c r="AH348" s="518" t="str">
        <f>IF(AND(_B="A-350",'2024'!$M$4="CA",'2024'!$M$2=AH347),'2024DATA'!$E$3,"")</f>
        <v/>
      </c>
      <c r="AI348" s="518" t="str">
        <f>IF(AND(_B="A-350",'2024'!$M$4="CA",'2024'!$M$2=AI347),'2024DATA'!$F$3,"")</f>
        <v/>
      </c>
      <c r="AJ348" s="518" t="str">
        <f>IF(AND(_B="A-350",'2024'!$M$4="CA",'2024'!$M$2=AJ347),'2024DATA'!$G$3,"")</f>
        <v/>
      </c>
      <c r="AK348" s="518" t="str">
        <f>IF(AND(_B="A-350",'2024'!$M$4="CA",'2024'!$M$2=AK347),'2024DATA'!$H$3,"")</f>
        <v/>
      </c>
      <c r="AL348" s="518" t="str">
        <f>IF(AND(_B="A-350",'2024'!$M$4="CA",'2024'!$M$2=AL347),'2024DATA'!$I$3,"")</f>
        <v/>
      </c>
      <c r="AM348" s="518" t="str">
        <f>IF(AND(_B="A-350",'2024'!$M$4="CA",'2024'!$M$2=AM347),'2024DATA'!$J$3,"")</f>
        <v/>
      </c>
      <c r="AN348" s="518" t="str">
        <f>IF(AND(_B="A-350",'2024'!$M$4="CA",'2024'!$M$2=AN347),'2024DATA'!$K$3,"")</f>
        <v/>
      </c>
      <c r="AO348" s="518" t="str">
        <f>IF(AND(_B="A-350",'2024'!$M$4="CA",'2024'!$M$2=AO347),'2024DATA'!$L$3,"")</f>
        <v/>
      </c>
      <c r="AP348" s="518" t="str">
        <f>IF(AND(_B="A-350",'2024'!$M$4="CA",'2024'!$M$2=AP347),'2024DATA'!$M$3,"")</f>
        <v/>
      </c>
      <c r="AQ348" s="520" t="str">
        <f>IF(AND(_B="A-350",'2024'!$M$4="CA",'2024'!$M$2=AQ347),'2024DATA'!$N$3,"")</f>
        <v/>
      </c>
      <c r="AR348" s="940" t="s">
        <v>39</v>
      </c>
      <c r="AS348" s="13" t="s">
        <v>61</v>
      </c>
      <c r="AT348" s="518" t="str">
        <f>IF(AND(_C="A-350",'2024'!$M$4="CA",'2024'!$M$2=AT347),'2024DATA'!$C$3,"")</f>
        <v/>
      </c>
      <c r="AU348" s="518" t="str">
        <f>IF(AND(_C="A-350",'2024'!$M$4="CA",'2024'!$M$2=AU347),'2024DATA'!$D$3,"")</f>
        <v/>
      </c>
      <c r="AV348" s="518" t="str">
        <f>IF(AND(_C="A-350",'2024'!$M$4="CA",'2024'!$M$2=AV347),'2024DATA'!$E$3,"")</f>
        <v/>
      </c>
      <c r="AW348" s="518" t="str">
        <f>IF(AND(_C="A-350",'2024'!$M$4="CA",'2024'!$M$2=AW347),'2024DATA'!$F$3,"")</f>
        <v/>
      </c>
      <c r="AX348" s="518" t="str">
        <f>IF(AND(_C="A-350",'2024'!$M$4="CA",'2024'!$M$2=AX347),'2024DATA'!$G$3,"")</f>
        <v/>
      </c>
      <c r="AY348" s="518" t="str">
        <f>IF(AND(_C="A-350",'2024'!$M$4="CA",'2024'!$M$2=AY347),'2024DATA'!$H$3,"")</f>
        <v/>
      </c>
      <c r="AZ348" s="518" t="str">
        <f>IF(AND(_C="A-350",'2024'!$M$4="CA",'2024'!$M$2=AZ347),'2024DATA'!$I$3,"")</f>
        <v/>
      </c>
      <c r="BA348" s="518" t="str">
        <f>IF(AND(_C="A-350",'2024'!$M$4="CA",'2024'!$M$2=BA347),'2024DATA'!$J$3,"")</f>
        <v/>
      </c>
      <c r="BB348" s="518" t="str">
        <f>IF(AND(_C="A-350",'2024'!$M$4="CA",'2024'!$M$2=BB347),'2024DATA'!$K$3,"")</f>
        <v/>
      </c>
      <c r="BC348" s="518" t="str">
        <f>IF(AND(_C="A-350",'2024'!$M$4="CA",'2024'!$M$2=BC347),'2024DATA'!$L$3,"")</f>
        <v/>
      </c>
      <c r="BD348" s="518" t="str">
        <f>IF(AND(_C="A-350",'2024'!$M$4="CA",'2024'!$M$2=BD347),'2024DATA'!$M$3,"")</f>
        <v/>
      </c>
      <c r="BE348" s="520" t="str">
        <f>IF(AND(_C="A-350",'2024'!$M$4="CA",'2024'!$M$2=BE347),'2024DATA'!$N$3,"")</f>
        <v/>
      </c>
      <c r="BF348" s="940" t="s">
        <v>39</v>
      </c>
      <c r="BG348" s="13" t="s">
        <v>61</v>
      </c>
      <c r="BH348" s="518" t="str">
        <f>IF(AND(_D="A-350",'2024'!$M$4="CA",'2024'!$M$2=BH347),'2024DATA'!$C$3,"")</f>
        <v/>
      </c>
      <c r="BI348" s="518" t="str">
        <f>IF(AND(_D="A-350",'2024'!$M$4="CA",'2024'!$M$2=BI347),'2024DATA'!$D$3,"")</f>
        <v/>
      </c>
      <c r="BJ348" s="518" t="str">
        <f>IF(AND(_D="A-350",'2024'!$M$4="CA",'2024'!$M$2=BJ347),'2024DATA'!$E$3,"")</f>
        <v/>
      </c>
      <c r="BK348" s="518" t="str">
        <f>IF(AND(_D="A-350",'2024'!$M$4="CA",'2024'!$M$2=BK347),'2024DATA'!$F$3,"")</f>
        <v/>
      </c>
      <c r="BL348" s="518" t="str">
        <f>IF(AND(_D="A-350",'2024'!$M$4="CA",'2024'!$M$2=BL347),'2024DATA'!$G$3,"")</f>
        <v/>
      </c>
      <c r="BM348" s="518" t="str">
        <f>IF(AND(_D="A-350",'2024'!$M$4="CA",'2024'!$M$2=BM347),'2024DATA'!$H$3,"")</f>
        <v/>
      </c>
      <c r="BN348" s="518" t="str">
        <f>IF(AND(_D="A-350",'2024'!$M$4="CA",'2024'!$M$2=BN347),'2024DATA'!$I$3,"")</f>
        <v/>
      </c>
      <c r="BO348" s="518" t="str">
        <f>IF(AND(_D="A-350",'2024'!$M$4="CA",'2024'!$M$2=BO347),'2024DATA'!$J$3,"")</f>
        <v/>
      </c>
      <c r="BP348" s="518" t="str">
        <f>IF(AND(_D="A-350",'2024'!$M$4="CA",'2024'!$M$2=BP347),'2024DATA'!$K$3,"")</f>
        <v/>
      </c>
      <c r="BQ348" s="518" t="str">
        <f>IF(AND(_D="A-350",'2024'!$M$4="CA",'2024'!$M$2=BQ347),'2024DATA'!$L$3,"")</f>
        <v/>
      </c>
      <c r="BR348" s="518" t="str">
        <f>IF(AND(_D="A-350",'2024'!$M$4="CA",'2024'!$M$2=BR347),'2024DATA'!$M$3,"")</f>
        <v/>
      </c>
      <c r="BS348" s="520" t="str">
        <f>IF(AND(_D="A-350",'2024'!$M$4="CA",'2024'!$M$2=BS347),'2024DATA'!$N$3,"")</f>
        <v/>
      </c>
      <c r="BT348" s="940" t="s">
        <v>39</v>
      </c>
      <c r="BU348" s="13" t="s">
        <v>61</v>
      </c>
      <c r="BV348" s="518" t="str">
        <f>IF(AND(_E="A-350",'2024'!$M$4="CA",'2024'!$M$2=BV347),'2024DATA'!$C$3,"")</f>
        <v/>
      </c>
      <c r="BW348" s="518" t="str">
        <f>IF(AND(_E="A-350",'2024'!$M$4="CA",'2024'!$M$2=BW347),'2024DATA'!$D$3,"")</f>
        <v/>
      </c>
      <c r="BX348" s="518" t="str">
        <f>IF(AND(_E="A-350",'2024'!$M$4="CA",'2024'!$M$2=BX347),'2024DATA'!$E$3,"")</f>
        <v/>
      </c>
      <c r="BY348" s="518" t="str">
        <f>IF(AND(_E="A-350",'2024'!$M$4="CA",'2024'!$M$2=BY347),'2024DATA'!$F$3,"")</f>
        <v/>
      </c>
      <c r="BZ348" s="518" t="str">
        <f>IF(AND(_E="A-350",'2024'!$M$4="CA",'2024'!$M$2=BZ347),'2024DATA'!$G$3,"")</f>
        <v/>
      </c>
      <c r="CA348" s="518" t="str">
        <f>IF(AND(_E="A-350",'2024'!$M$4="CA",'2024'!$M$2=CA347),'2024DATA'!$H$3,"")</f>
        <v/>
      </c>
      <c r="CB348" s="518" t="str">
        <f>IF(AND(_E="A-350",'2024'!$M$4="CA",'2024'!$M$2=CB347),'2024DATA'!$I$3,"")</f>
        <v/>
      </c>
      <c r="CC348" s="518" t="str">
        <f>IF(AND(_E="A-350",'2024'!$M$4="CA",'2024'!$M$2=CC347),'2024DATA'!$J$3,"")</f>
        <v/>
      </c>
      <c r="CD348" s="518" t="str">
        <f>IF(AND(_E="A-350",'2024'!$M$4="CA",'2024'!$M$2=CD347),'2024DATA'!$K$3,"")</f>
        <v/>
      </c>
      <c r="CE348" s="518" t="str">
        <f>IF(AND(_E="A-350",'2024'!$M$4="CA",'2024'!$M$2=CE347),'2024DATA'!$L$3,"")</f>
        <v/>
      </c>
      <c r="CF348" s="518" t="str">
        <f>IF(AND(_E="A-350",'2024'!$M$4="CA",'2024'!$M$2=CF347),'2024DATA'!$M$3,"")</f>
        <v/>
      </c>
      <c r="CG348" s="520" t="str">
        <f>IF(AND(_E="A-350",'2024'!$M$4="CA",'2024'!$M$2=CG347),'2024DATA'!$N$3,"")</f>
        <v/>
      </c>
      <c r="CH348" s="940" t="s">
        <v>39</v>
      </c>
      <c r="CI348" s="13" t="s">
        <v>61</v>
      </c>
      <c r="CJ348" s="518" t="str">
        <f>IF(AND(_F="A-350",'2024'!$M$4="CA",'2024'!$M$2=CJ347),'2024DATA'!$C$3,"")</f>
        <v/>
      </c>
      <c r="CK348" s="518" t="str">
        <f>IF(AND(_F="A-350",'2024'!$M$4="CA",'2024'!$M$2=CK347),'2024DATA'!$D$3,"")</f>
        <v/>
      </c>
      <c r="CL348" s="518" t="str">
        <f>IF(AND(_F="A-350",'2024'!$M$4="CA",'2024'!$M$2=CL347),'2024DATA'!$E$3,"")</f>
        <v/>
      </c>
      <c r="CM348" s="518" t="str">
        <f>IF(AND(_F="A-350",'2024'!$M$4="CA",'2024'!$M$2=CM347),'2024DATA'!$F$3,"")</f>
        <v/>
      </c>
      <c r="CN348" s="518" t="str">
        <f>IF(AND(_F="A-350",'2024'!$M$4="CA",'2024'!$M$2=CN347),'2024DATA'!$G$3,"")</f>
        <v/>
      </c>
      <c r="CO348" s="518" t="str">
        <f>IF(AND(_F="A-350",'2024'!$M$4="CA",'2024'!$M$2=CO347),'2024DATA'!$H$3,"")</f>
        <v/>
      </c>
      <c r="CP348" s="518" t="str">
        <f>IF(AND(_F="A-350",'2024'!$M$4="CA",'2024'!$M$2=CP347),'2024DATA'!$I$3,"")</f>
        <v/>
      </c>
      <c r="CQ348" s="518" t="str">
        <f>IF(AND(_F="A-350",'2024'!$M$4="CA",'2024'!$M$2=CQ347),'2024DATA'!$J$3,"")</f>
        <v/>
      </c>
      <c r="CR348" s="518" t="str">
        <f>IF(AND(_F="A-350",'2024'!$M$4="CA",'2024'!$M$2=CR347),'2024DATA'!$K$3,"")</f>
        <v/>
      </c>
      <c r="CS348" s="518" t="str">
        <f>IF(AND(_F="A-350",'2024'!$M$4="CA",'2024'!$M$2=CS347),'2024DATA'!$L$3,"")</f>
        <v/>
      </c>
      <c r="CT348" s="518" t="str">
        <f>IF(AND(_F="A-350",'2024'!$M$4="CA",'2024'!$M$2=CT347),'2024DATA'!$M$3,"")</f>
        <v/>
      </c>
      <c r="CU348" s="520" t="str">
        <f>IF(AND(_F="A-350",'2024'!$M$4="CA",'2024'!$M$2=CU347),'2024DATA'!$N$3,"")</f>
        <v/>
      </c>
    </row>
    <row r="349" spans="16:99" x14ac:dyDescent="0.25">
      <c r="P349" s="940"/>
      <c r="Q349" s="13" t="s">
        <v>62</v>
      </c>
      <c r="R349" s="518" t="str">
        <f>IF(AND(_A="A-350",'2024'!$M$4="FO",'2024'!$M$2=R347),'2024DATA'!$C$4,"")</f>
        <v/>
      </c>
      <c r="S349" s="518" t="str">
        <f>IF(AND(_A="A-350",'2024'!$M$4="FO",'2024'!$M$2=S347),'2024DATA'!$D$4,"")</f>
        <v/>
      </c>
      <c r="T349" s="518" t="str">
        <f>IF(AND(_A="A-350",'2024'!$M$4="FO",'2024'!$M$2=T347),'2024DATA'!$E$4,"")</f>
        <v/>
      </c>
      <c r="U349" s="518" t="str">
        <f>IF(AND(_A="A-350",'2024'!$M$4="FO",'2024'!$M$2=U347),'2024DATA'!$F$4,"")</f>
        <v/>
      </c>
      <c r="V349" s="518" t="str">
        <f>IF(AND(_A="A-350",'2024'!$M$4="FO",'2024'!$M$2=V347),'2024DATA'!$G$4,"")</f>
        <v/>
      </c>
      <c r="W349" s="518" t="str">
        <f>IF(AND(_A="A-350",'2024'!$M$4="FO",'2024'!$M$2=W347),'2024DATA'!$H$4,"")</f>
        <v/>
      </c>
      <c r="X349" s="518" t="str">
        <f>IF(AND(_A="A-350",'2024'!$M$4="FO",'2024'!$M$2=X347),'2024DATA'!$I$4,"")</f>
        <v/>
      </c>
      <c r="Y349" s="518" t="str">
        <f>IF(AND(_A="A-350",'2024'!$M$4="FO",'2024'!$M$2=Y347),'2024DATA'!$J$4,"")</f>
        <v/>
      </c>
      <c r="Z349" s="518" t="str">
        <f>IF(AND(_A="A-350",'2024'!$M$4="FO",'2024'!$M$2=Z347),'2024DATA'!$K$4,"")</f>
        <v/>
      </c>
      <c r="AA349" s="518" t="str">
        <f>IF(AND(_A="A-350",'2024'!$M$4="FO",'2024'!$M$2=AA347),'2024DATA'!$L$4,"")</f>
        <v/>
      </c>
      <c r="AB349" s="518" t="str">
        <f>IF(AND(_A="A-350",'2024'!$M$4="FO",'2024'!$M$2=AB347),'2024DATA'!$M$4,"")</f>
        <v/>
      </c>
      <c r="AC349" s="520" t="str">
        <f>IF(AND(_A="A-350",'2024'!$M$4="FO",'2024'!$M$2=AC347),'2024DATA'!$N$4,"")</f>
        <v/>
      </c>
      <c r="AD349" s="940"/>
      <c r="AE349" s="13" t="s">
        <v>62</v>
      </c>
      <c r="AF349" s="518" t="str">
        <f>IF(AND(_B="A-350",'2024'!$M$4="FO",'2024'!$M$2=AF347),'2024DATA'!$C$4,"")</f>
        <v/>
      </c>
      <c r="AG349" s="518" t="str">
        <f>IF(AND(_B="A-350",'2024'!$M$4="FO",'2024'!$M$2=AG347),'2024DATA'!$D$4,"")</f>
        <v/>
      </c>
      <c r="AH349" s="518" t="str">
        <f>IF(AND(_B="A-350",'2024'!$M$4="FO",'2024'!$M$2=AH347),'2024DATA'!$E$4,"")</f>
        <v/>
      </c>
      <c r="AI349" s="518" t="str">
        <f>IF(AND(_B="A-350",'2024'!$M$4="FO",'2024'!$M$2=AI347),'2024DATA'!$F$4,"")</f>
        <v/>
      </c>
      <c r="AJ349" s="518" t="str">
        <f>IF(AND(_B="A-350",'2024'!$M$4="FO",'2024'!$M$2=AJ347),'2024DATA'!$G$4,"")</f>
        <v/>
      </c>
      <c r="AK349" s="518" t="str">
        <f>IF(AND(_B="A-350",'2024'!$M$4="FO",'2024'!$M$2=AK347),'2024DATA'!$H$4,"")</f>
        <v/>
      </c>
      <c r="AL349" s="518" t="str">
        <f>IF(AND(_B="A-350",'2024'!$M$4="FO",'2024'!$M$2=AL347),'2024DATA'!$I$4,"")</f>
        <v/>
      </c>
      <c r="AM349" s="518" t="str">
        <f>IF(AND(_B="A-350",'2024'!$M$4="FO",'2024'!$M$2=AM347),'2024DATA'!$J$4,"")</f>
        <v/>
      </c>
      <c r="AN349" s="518" t="str">
        <f>IF(AND(_B="A-350",'2024'!$M$4="FO",'2024'!$M$2=AN347),'2024DATA'!$K$4,"")</f>
        <v/>
      </c>
      <c r="AO349" s="518" t="str">
        <f>IF(AND(_B="A-350",'2024'!$M$4="FO",'2024'!$M$2=AO347),'2024DATA'!$L$4,"")</f>
        <v/>
      </c>
      <c r="AP349" s="518" t="str">
        <f>IF(AND(_B="A-350",'2024'!$M$4="FO",'2024'!$M$2=AP347),'2024DATA'!$M$4,"")</f>
        <v/>
      </c>
      <c r="AQ349" s="520" t="str">
        <f>IF(AND(_B="A-350",'2024'!$M$4="FO",'2024'!$M$2=AQ347),'2024DATA'!$N$4,"")</f>
        <v/>
      </c>
      <c r="AR349" s="940"/>
      <c r="AS349" s="13" t="s">
        <v>62</v>
      </c>
      <c r="AT349" s="518" t="str">
        <f>IF(AND(_C="A-350",'2024'!$M$4="FO",'2024'!$M$2=AT347),'2024DATA'!$C$4,"")</f>
        <v/>
      </c>
      <c r="AU349" s="518" t="str">
        <f>IF(AND(_C="A-350",'2024'!$M$4="FO",'2024'!$M$2=AU347),'2024DATA'!$D$4,"")</f>
        <v/>
      </c>
      <c r="AV349" s="518" t="str">
        <f>IF(AND(_C="A-350",'2024'!$M$4="FO",'2024'!$M$2=AV347),'2024DATA'!$E$4,"")</f>
        <v/>
      </c>
      <c r="AW349" s="518" t="str">
        <f>IF(AND(_C="A-350",'2024'!$M$4="FO",'2024'!$M$2=AW347),'2024DATA'!$F$4,"")</f>
        <v/>
      </c>
      <c r="AX349" s="518" t="str">
        <f>IF(AND(_C="A-350",'2024'!$M$4="FO",'2024'!$M$2=AX347),'2024DATA'!$G$4,"")</f>
        <v/>
      </c>
      <c r="AY349" s="518" t="str">
        <f>IF(AND(_C="A-350",'2024'!$M$4="FO",'2024'!$M$2=AY347),'2024DATA'!$H$4,"")</f>
        <v/>
      </c>
      <c r="AZ349" s="518" t="str">
        <f>IF(AND(_C="A-350",'2024'!$M$4="FO",'2024'!$M$2=AZ347),'2024DATA'!$I$4,"")</f>
        <v/>
      </c>
      <c r="BA349" s="518" t="str">
        <f>IF(AND(_C="A-350",'2024'!$M$4="FO",'2024'!$M$2=BA347),'2024DATA'!$J$4,"")</f>
        <v/>
      </c>
      <c r="BB349" s="518" t="str">
        <f>IF(AND(_C="A-350",'2024'!$M$4="FO",'2024'!$M$2=BB347),'2024DATA'!$K$4,"")</f>
        <v/>
      </c>
      <c r="BC349" s="518" t="str">
        <f>IF(AND(_C="A-350",'2024'!$M$4="FO",'2024'!$M$2=BC347),'2024DATA'!$L$4,"")</f>
        <v/>
      </c>
      <c r="BD349" s="518" t="str">
        <f>IF(AND(_C="A-350",'2024'!$M$4="FO",'2024'!$M$2=BD347),'2024DATA'!$M$4,"")</f>
        <v/>
      </c>
      <c r="BE349" s="520" t="str">
        <f>IF(AND(_C="A-350",'2024'!$M$4="FO",'2024'!$M$2=BE347),'2024DATA'!$N$4,"")</f>
        <v/>
      </c>
      <c r="BF349" s="940"/>
      <c r="BG349" s="13" t="s">
        <v>62</v>
      </c>
      <c r="BH349" s="518" t="str">
        <f>IF(AND(_D="A-350",'2024'!$M$4="FO",'2024'!$M$2=BH347),'2024DATA'!$C$4,"")</f>
        <v/>
      </c>
      <c r="BI349" s="518" t="str">
        <f>IF(AND(_D="A-350",'2024'!$M$4="FO",'2024'!$M$2=BI347),'2024DATA'!$D$4,"")</f>
        <v/>
      </c>
      <c r="BJ349" s="518" t="str">
        <f>IF(AND(_D="A-350",'2024'!$M$4="FO",'2024'!$M$2=BJ347),'2024DATA'!$E$4,"")</f>
        <v/>
      </c>
      <c r="BK349" s="518" t="str">
        <f>IF(AND(_D="A-350",'2024'!$M$4="FO",'2024'!$M$2=BK347),'2024DATA'!$F$4,"")</f>
        <v/>
      </c>
      <c r="BL349" s="518" t="str">
        <f>IF(AND(_D="A-350",'2024'!$M$4="FO",'2024'!$M$2=BL347),'2024DATA'!$G$4,"")</f>
        <v/>
      </c>
      <c r="BM349" s="518" t="str">
        <f>IF(AND(_D="A-350",'2024'!$M$4="FO",'2024'!$M$2=BM347),'2024DATA'!$H$4,"")</f>
        <v/>
      </c>
      <c r="BN349" s="518" t="str">
        <f>IF(AND(_D="A-350",'2024'!$M$4="FO",'2024'!$M$2=BN347),'2024DATA'!$I$4,"")</f>
        <v/>
      </c>
      <c r="BO349" s="518" t="str">
        <f>IF(AND(_D="A-350",'2024'!$M$4="FO",'2024'!$M$2=BO347),'2024DATA'!$J$4,"")</f>
        <v/>
      </c>
      <c r="BP349" s="518" t="str">
        <f>IF(AND(_D="A-350",'2024'!$M$4="FO",'2024'!$M$2=BP347),'2024DATA'!$K$4,"")</f>
        <v/>
      </c>
      <c r="BQ349" s="518" t="str">
        <f>IF(AND(_D="A-350",'2024'!$M$4="FO",'2024'!$M$2=BQ347),'2024DATA'!$L$4,"")</f>
        <v/>
      </c>
      <c r="BR349" s="518" t="str">
        <f>IF(AND(_D="A-350",'2024'!$M$4="FO",'2024'!$M$2=BR347),'2024DATA'!$M$4,"")</f>
        <v/>
      </c>
      <c r="BS349" s="520" t="str">
        <f>IF(AND(_D="A-350",'2024'!$M$4="FO",'2024'!$M$2=BS347),'2024DATA'!$N$4,"")</f>
        <v/>
      </c>
      <c r="BT349" s="940"/>
      <c r="BU349" s="13" t="s">
        <v>62</v>
      </c>
      <c r="BV349" s="518" t="str">
        <f>IF(AND(_E="A-350",'2024'!$M$4="FO",'2024'!$M$2=BV347),'2024DATA'!$C$4,"")</f>
        <v/>
      </c>
      <c r="BW349" s="518" t="str">
        <f>IF(AND(_E="A-350",'2024'!$M$4="FO",'2024'!$M$2=BW347),'2024DATA'!$D$4,"")</f>
        <v/>
      </c>
      <c r="BX349" s="518" t="str">
        <f>IF(AND(_E="A-350",'2024'!$M$4="FO",'2024'!$M$2=BX347),'2024DATA'!$E$4,"")</f>
        <v/>
      </c>
      <c r="BY349" s="518" t="str">
        <f>IF(AND(_E="A-350",'2024'!$M$4="FO",'2024'!$M$2=BY347),'2024DATA'!$F$4,"")</f>
        <v/>
      </c>
      <c r="BZ349" s="518" t="str">
        <f>IF(AND(_E="A-350",'2024'!$M$4="FO",'2024'!$M$2=BZ347),'2024DATA'!$G$4,"")</f>
        <v/>
      </c>
      <c r="CA349" s="518" t="str">
        <f>IF(AND(_E="A-350",'2024'!$M$4="FO",'2024'!$M$2=CA347),'2024DATA'!$H$4,"")</f>
        <v/>
      </c>
      <c r="CB349" s="518" t="str">
        <f>IF(AND(_E="A-350",'2024'!$M$4="FO",'2024'!$M$2=CB347),'2024DATA'!$I$4,"")</f>
        <v/>
      </c>
      <c r="CC349" s="518" t="str">
        <f>IF(AND(_E="A-350",'2024'!$M$4="FO",'2024'!$M$2=CC347),'2024DATA'!$J$4,"")</f>
        <v/>
      </c>
      <c r="CD349" s="518" t="str">
        <f>IF(AND(_E="A-350",'2024'!$M$4="FO",'2024'!$M$2=CD347),'2024DATA'!$K$4,"")</f>
        <v/>
      </c>
      <c r="CE349" s="518" t="str">
        <f>IF(AND(_E="A-350",'2024'!$M$4="FO",'2024'!$M$2=CE347),'2024DATA'!$L$4,"")</f>
        <v/>
      </c>
      <c r="CF349" s="518" t="str">
        <f>IF(AND(_E="A-350",'2024'!$M$4="FO",'2024'!$M$2=CF347),'2024DATA'!$M$4,"")</f>
        <v/>
      </c>
      <c r="CG349" s="520" t="str">
        <f>IF(AND(_E="A-350",'2024'!$M$4="FO",'2024'!$M$2=CG347),'2024DATA'!$N$4,"")</f>
        <v/>
      </c>
      <c r="CH349" s="940"/>
      <c r="CI349" s="13" t="s">
        <v>62</v>
      </c>
      <c r="CJ349" s="518" t="str">
        <f>IF(AND(_F="A-350",'2024'!$M$4="FO",'2024'!$M$2=CJ347),'2024DATA'!$C$4,"")</f>
        <v/>
      </c>
      <c r="CK349" s="518" t="str">
        <f>IF(AND(_F="A-350",'2024'!$M$4="FO",'2024'!$M$2=CK347),'2024DATA'!$D$4,"")</f>
        <v/>
      </c>
      <c r="CL349" s="518" t="str">
        <f>IF(AND(_F="A-350",'2024'!$M$4="FO",'2024'!$M$2=CL347),'2024DATA'!$E$4,"")</f>
        <v/>
      </c>
      <c r="CM349" s="518" t="str">
        <f>IF(AND(_F="A-350",'2024'!$M$4="FO",'2024'!$M$2=CM347),'2024DATA'!$F$4,"")</f>
        <v/>
      </c>
      <c r="CN349" s="518" t="str">
        <f>IF(AND(_F="A-350",'2024'!$M$4="FO",'2024'!$M$2=CN347),'2024DATA'!$G$4,"")</f>
        <v/>
      </c>
      <c r="CO349" s="518" t="str">
        <f>IF(AND(_F="A-350",'2024'!$M$4="FO",'2024'!$M$2=CO347),'2024DATA'!$H$4,"")</f>
        <v/>
      </c>
      <c r="CP349" s="518" t="str">
        <f>IF(AND(_F="A-350",'2024'!$M$4="FO",'2024'!$M$2=CP347),'2024DATA'!$I$4,"")</f>
        <v/>
      </c>
      <c r="CQ349" s="518" t="str">
        <f>IF(AND(_F="A-350",'2024'!$M$4="FO",'2024'!$M$2=CQ347),'2024DATA'!$J$4,"")</f>
        <v/>
      </c>
      <c r="CR349" s="518" t="str">
        <f>IF(AND(_F="A-350",'2024'!$M$4="FO",'2024'!$M$2=CR347),'2024DATA'!$K$4,"")</f>
        <v/>
      </c>
      <c r="CS349" s="518" t="str">
        <f>IF(AND(_F="A-350",'2024'!$M$4="FO",'2024'!$M$2=CS347),'2024DATA'!$L$4,"")</f>
        <v/>
      </c>
      <c r="CT349" s="518" t="str">
        <f>IF(AND(_F="A-350",'2024'!$M$4="FO",'2024'!$M$2=CT347),'2024DATA'!$M$4,"")</f>
        <v/>
      </c>
      <c r="CU349" s="520" t="str">
        <f>IF(AND(_F="A-350",'2024'!$M$4="FO",'2024'!$M$2=CU347),'2024DATA'!$N$4,"")</f>
        <v/>
      </c>
    </row>
    <row r="350" spans="16:99" x14ac:dyDescent="0.25">
      <c r="P350" s="940" t="s">
        <v>65</v>
      </c>
      <c r="Q350" s="13" t="s">
        <v>61</v>
      </c>
      <c r="R350" s="518" t="str">
        <f>IF(AND(_A="A-330-900",'2024'!$M$4="CA",'2024'!$M$2=R347),'2024DATA'!$C$5,"")</f>
        <v/>
      </c>
      <c r="S350" s="518" t="str">
        <f>IF(AND(_A="A-330-900",'2024'!$M$4="CA",'2024'!$M$2=S347),'2024DATA'!$D$5,"")</f>
        <v/>
      </c>
      <c r="T350" s="518" t="str">
        <f>IF(AND(_A="A-330-900",'2024'!$M$4="CA",'2024'!$M$2=T347),'2024DATA'!$E$5,"")</f>
        <v/>
      </c>
      <c r="U350" s="518" t="str">
        <f>IF(AND(_A="A-330-900",'2024'!$M$4="CA",'2024'!$M$2=U347),'2024DATA'!$F$5,"")</f>
        <v/>
      </c>
      <c r="V350" s="518" t="str">
        <f>IF(AND(_A="A-330-900",'2024'!$M$4="CA",'2024'!$M$2=V347),'2024DATA'!$G$5,"")</f>
        <v/>
      </c>
      <c r="W350" s="518" t="str">
        <f>IF(AND(_A="A-330-900",'2024'!$M$4="CA",'2024'!$M$2=W347),'2024DATA'!$H$5,"")</f>
        <v/>
      </c>
      <c r="X350" s="518" t="str">
        <f>IF(AND(_A="A-330-900",'2024'!$M$4="CA",'2024'!$M$2=X347),'2024DATA'!$I$5,"")</f>
        <v/>
      </c>
      <c r="Y350" s="518" t="str">
        <f>IF(AND(_A="A-330-900",'2024'!$M$4="CA",'2024'!$M$2=Y347),'2024DATA'!$J$5,"")</f>
        <v/>
      </c>
      <c r="Z350" s="518" t="str">
        <f>IF(AND(_A="A-330-900",'2024'!$M$4="CA",'2024'!$M$2=Z347),'2024DATA'!$K$5,"")</f>
        <v/>
      </c>
      <c r="AA350" s="518" t="str">
        <f>IF(AND(_A="A-330-900",'2024'!$M$4="CA",'2024'!$M$2=AA347),'2024DATA'!$L$5,"")</f>
        <v/>
      </c>
      <c r="AB350" s="518" t="str">
        <f>IF(AND(_A="A-330-900",'2024'!$M$4="CA",'2024'!$M$2=AB347),'2024DATA'!$M$5,"")</f>
        <v/>
      </c>
      <c r="AC350" s="520" t="str">
        <f>IF(AND(_A="A-330-900",'2024'!$M$4="CA",'2024'!$M$2=AC347),'2024DATA'!$N$5,"")</f>
        <v/>
      </c>
      <c r="AD350" s="940" t="s">
        <v>65</v>
      </c>
      <c r="AE350" s="13" t="s">
        <v>61</v>
      </c>
      <c r="AF350" s="518" t="str">
        <f>IF(AND(_B="A-330-900",'2024'!$M$4="CA",'2024'!$M$2=AF347),'2024DATA'!$C$5,"")</f>
        <v/>
      </c>
      <c r="AG350" s="518" t="str">
        <f>IF(AND(_B="A-330-900",'2024'!$M$4="CA",'2024'!$M$2=AG347),'2024DATA'!$D$5,"")</f>
        <v/>
      </c>
      <c r="AH350" s="518" t="str">
        <f>IF(AND(_B="A-330-900",'2024'!$M$4="CA",'2024'!$M$2=AH347),'2024DATA'!$E$5,"")</f>
        <v/>
      </c>
      <c r="AI350" s="518" t="str">
        <f>IF(AND(_B="A-330-900",'2024'!$M$4="CA",'2024'!$M$2=AI347),'2024DATA'!$F$5,"")</f>
        <v/>
      </c>
      <c r="AJ350" s="518" t="str">
        <f>IF(AND(_B="A-330-900",'2024'!$M$4="CA",'2024'!$M$2=AJ347),'2024DATA'!$G$5,"")</f>
        <v/>
      </c>
      <c r="AK350" s="518" t="str">
        <f>IF(AND(_B="A-330-900",'2024'!$M$4="CA",'2024'!$M$2=AK347),'2024DATA'!$H$5,"")</f>
        <v/>
      </c>
      <c r="AL350" s="518" t="str">
        <f>IF(AND(_B="A-330-900",'2024'!$M$4="CA",'2024'!$M$2=AL347),'2024DATA'!$I$5,"")</f>
        <v/>
      </c>
      <c r="AM350" s="518" t="str">
        <f>IF(AND(_B="A-330-900",'2024'!$M$4="CA",'2024'!$M$2=AM347),'2024DATA'!$J$5,"")</f>
        <v/>
      </c>
      <c r="AN350" s="518" t="str">
        <f>IF(AND(_B="A-330-900",'2024'!$M$4="CA",'2024'!$M$2=AN347),'2024DATA'!$K$5,"")</f>
        <v/>
      </c>
      <c r="AO350" s="518" t="str">
        <f>IF(AND(_B="A-330-900",'2024'!$M$4="CA",'2024'!$M$2=AO347),'2024DATA'!$L$5,"")</f>
        <v/>
      </c>
      <c r="AP350" s="518" t="str">
        <f>IF(AND(_B="A-330-900",'2024'!$M$4="CA",'2024'!$M$2=AP347),'2024DATA'!$M$5,"")</f>
        <v/>
      </c>
      <c r="AQ350" s="520" t="str">
        <f>IF(AND(_B="A-330-900",'2024'!$M$4="CA",'2024'!$M$2=AQ347),'2024DATA'!$N$5,"")</f>
        <v/>
      </c>
      <c r="AR350" s="940" t="s">
        <v>65</v>
      </c>
      <c r="AS350" s="13" t="s">
        <v>61</v>
      </c>
      <c r="AT350" s="518" t="str">
        <f>IF(AND(_C="A-330-900",'2024'!$M$4="CA",'2024'!$M$2=AT347),'2024DATA'!$C$5,"")</f>
        <v/>
      </c>
      <c r="AU350" s="518" t="str">
        <f>IF(AND(_C="A-330-900",'2024'!$M$4="CA",'2024'!$M$2=AU347),'2024DATA'!$D$5,"")</f>
        <v/>
      </c>
      <c r="AV350" s="518" t="str">
        <f>IF(AND(_C="A-330-900",'2024'!$M$4="CA",'2024'!$M$2=AV347),'2024DATA'!$E$5,"")</f>
        <v/>
      </c>
      <c r="AW350" s="518" t="str">
        <f>IF(AND(_C="A-330-900",'2024'!$M$4="CA",'2024'!$M$2=AW347),'2024DATA'!$F$5,"")</f>
        <v/>
      </c>
      <c r="AX350" s="518" t="str">
        <f>IF(AND(_C="A-330-900",'2024'!$M$4="CA",'2024'!$M$2=AX347),'2024DATA'!$G$5,"")</f>
        <v/>
      </c>
      <c r="AY350" s="518" t="str">
        <f>IF(AND(_C="A-330-900",'2024'!$M$4="CA",'2024'!$M$2=AY347),'2024DATA'!$H$5,"")</f>
        <v/>
      </c>
      <c r="AZ350" s="518" t="str">
        <f>IF(AND(_C="A-330-900",'2024'!$M$4="CA",'2024'!$M$2=AZ347),'2024DATA'!$I$5,"")</f>
        <v/>
      </c>
      <c r="BA350" s="518" t="str">
        <f>IF(AND(_C="A-330-900",'2024'!$M$4="CA",'2024'!$M$2=BA347),'2024DATA'!$J$5,"")</f>
        <v/>
      </c>
      <c r="BB350" s="518" t="str">
        <f>IF(AND(_C="A-330-900",'2024'!$M$4="CA",'2024'!$M$2=BB347),'2024DATA'!$K$5,"")</f>
        <v/>
      </c>
      <c r="BC350" s="518" t="str">
        <f>IF(AND(_C="A-330-900",'2024'!$M$4="CA",'2024'!$M$2=BC347),'2024DATA'!$L$5,"")</f>
        <v/>
      </c>
      <c r="BD350" s="518" t="str">
        <f>IF(AND(_C="A-330-900",'2024'!$M$4="CA",'2024'!$M$2=BD347),'2024DATA'!$M$5,"")</f>
        <v/>
      </c>
      <c r="BE350" s="520" t="str">
        <f>IF(AND(_C="A-330-900",'2024'!$M$4="CA",'2024'!$M$2=BE347),'2024DATA'!$N$5,"")</f>
        <v/>
      </c>
      <c r="BF350" s="940" t="s">
        <v>65</v>
      </c>
      <c r="BG350" s="13" t="s">
        <v>61</v>
      </c>
      <c r="BH350" s="518" t="str">
        <f>IF(AND(_D="A-330-900",'2024'!$M$4="CA",'2024'!$M$2=BH347),'2024DATA'!$C$5,"")</f>
        <v/>
      </c>
      <c r="BI350" s="518" t="str">
        <f>IF(AND(_D="A-330-900",'2024'!$M$4="CA",'2024'!$M$2=BI347),'2024DATA'!$D$5,"")</f>
        <v/>
      </c>
      <c r="BJ350" s="518" t="str">
        <f>IF(AND(_D="A-330-900",'2024'!$M$4="CA",'2024'!$M$2=BJ347),'2024DATA'!$E$5,"")</f>
        <v/>
      </c>
      <c r="BK350" s="518" t="str">
        <f>IF(AND(_D="A-330-900",'2024'!$M$4="CA",'2024'!$M$2=BK347),'2024DATA'!$F$5,"")</f>
        <v/>
      </c>
      <c r="BL350" s="518" t="str">
        <f>IF(AND(_D="A-330-900",'2024'!$M$4="CA",'2024'!$M$2=BL347),'2024DATA'!$G$5,"")</f>
        <v/>
      </c>
      <c r="BM350" s="518" t="str">
        <f>IF(AND(_D="A-330-900",'2024'!$M$4="CA",'2024'!$M$2=BM347),'2024DATA'!$H$5,"")</f>
        <v/>
      </c>
      <c r="BN350" s="518" t="str">
        <f>IF(AND(_D="A-330-900",'2024'!$M$4="CA",'2024'!$M$2=BN347),'2024DATA'!$I$5,"")</f>
        <v/>
      </c>
      <c r="BO350" s="518" t="str">
        <f>IF(AND(_D="A-330-900",'2024'!$M$4="CA",'2024'!$M$2=BO347),'2024DATA'!$J$5,"")</f>
        <v/>
      </c>
      <c r="BP350" s="518" t="str">
        <f>IF(AND(_D="A-330-900",'2024'!$M$4="CA",'2024'!$M$2=BP347),'2024DATA'!$K$5,"")</f>
        <v/>
      </c>
      <c r="BQ350" s="518" t="str">
        <f>IF(AND(_D="A-330-900",'2024'!$M$4="CA",'2024'!$M$2=BQ347),'2024DATA'!$L$5,"")</f>
        <v/>
      </c>
      <c r="BR350" s="518" t="str">
        <f>IF(AND(_D="A-330-900",'2024'!$M$4="CA",'2024'!$M$2=BR347),'2024DATA'!$M$5,"")</f>
        <v/>
      </c>
      <c r="BS350" s="520" t="str">
        <f>IF(AND(_D="A-330-900",'2024'!$M$4="CA",'2024'!$M$2=BS347),'2024DATA'!$N$5,"")</f>
        <v/>
      </c>
      <c r="BT350" s="940" t="s">
        <v>65</v>
      </c>
      <c r="BU350" s="13" t="s">
        <v>61</v>
      </c>
      <c r="BV350" s="518" t="str">
        <f>IF(AND(_E="A-330-900",'2024'!$M$4="CA",'2024'!$M$2=BV347),'2024DATA'!$C$5,"")</f>
        <v/>
      </c>
      <c r="BW350" s="518" t="str">
        <f>IF(AND(_E="A-330-900",'2024'!$M$4="CA",'2024'!$M$2=BW347),'2024DATA'!$D$5,"")</f>
        <v/>
      </c>
      <c r="BX350" s="518" t="str">
        <f>IF(AND(_E="A-330-900",'2024'!$M$4="CA",'2024'!$M$2=BX347),'2024DATA'!$E$5,"")</f>
        <v/>
      </c>
      <c r="BY350" s="518" t="str">
        <f>IF(AND(_E="A-330-900",'2024'!$M$4="CA",'2024'!$M$2=BY347),'2024DATA'!$F$5,"")</f>
        <v/>
      </c>
      <c r="BZ350" s="518" t="str">
        <f>IF(AND(_E="A-330-900",'2024'!$M$4="CA",'2024'!$M$2=BZ347),'2024DATA'!$G$5,"")</f>
        <v/>
      </c>
      <c r="CA350" s="518" t="str">
        <f>IF(AND(_E="A-330-900",'2024'!$M$4="CA",'2024'!$M$2=CA347),'2024DATA'!$H$5,"")</f>
        <v/>
      </c>
      <c r="CB350" s="518" t="str">
        <f>IF(AND(_E="A-330-900",'2024'!$M$4="CA",'2024'!$M$2=CB347),'2024DATA'!$I$5,"")</f>
        <v/>
      </c>
      <c r="CC350" s="518" t="str">
        <f>IF(AND(_E="A-330-900",'2024'!$M$4="CA",'2024'!$M$2=CC347),'2024DATA'!$J$5,"")</f>
        <v/>
      </c>
      <c r="CD350" s="518" t="str">
        <f>IF(AND(_E="A-330-900",'2024'!$M$4="CA",'2024'!$M$2=CD347),'2024DATA'!$K$5,"")</f>
        <v/>
      </c>
      <c r="CE350" s="518" t="str">
        <f>IF(AND(_E="A-330-900",'2024'!$M$4="CA",'2024'!$M$2=CE347),'2024DATA'!$L$5,"")</f>
        <v/>
      </c>
      <c r="CF350" s="518" t="str">
        <f>IF(AND(_E="A-330-900",'2024'!$M$4="CA",'2024'!$M$2=CF347),'2024DATA'!$M$5,"")</f>
        <v/>
      </c>
      <c r="CG350" s="520" t="str">
        <f>IF(AND(_E="A-330-900",'2024'!$M$4="CA",'2024'!$M$2=CG347),'2024DATA'!$N$5,"")</f>
        <v/>
      </c>
      <c r="CH350" s="940" t="s">
        <v>65</v>
      </c>
      <c r="CI350" s="13" t="s">
        <v>61</v>
      </c>
      <c r="CJ350" s="518" t="str">
        <f>IF(AND(_F="A-330-900",'2024'!$M$4="CA",'2024'!$M$2=CJ347),'2024DATA'!$C$5,"")</f>
        <v/>
      </c>
      <c r="CK350" s="518" t="str">
        <f>IF(AND(_F="A-330-900",'2024'!$M$4="CA",'2024'!$M$2=CK347),'2024DATA'!$D$5,"")</f>
        <v/>
      </c>
      <c r="CL350" s="518" t="str">
        <f>IF(AND(_F="A-330-900",'2024'!$M$4="CA",'2024'!$M$2=CL347),'2024DATA'!$E$5,"")</f>
        <v/>
      </c>
      <c r="CM350" s="518" t="str">
        <f>IF(AND(_F="A-330-900",'2024'!$M$4="CA",'2024'!$M$2=CM347),'2024DATA'!$F$5,"")</f>
        <v/>
      </c>
      <c r="CN350" s="518" t="str">
        <f>IF(AND(_F="A-330-900",'2024'!$M$4="CA",'2024'!$M$2=CN347),'2024DATA'!$G$5,"")</f>
        <v/>
      </c>
      <c r="CO350" s="518" t="str">
        <f>IF(AND(_F="A-330-900",'2024'!$M$4="CA",'2024'!$M$2=CO347),'2024DATA'!$H$5,"")</f>
        <v/>
      </c>
      <c r="CP350" s="518" t="str">
        <f>IF(AND(_F="A-330-900",'2024'!$M$4="CA",'2024'!$M$2=CP347),'2024DATA'!$I$5,"")</f>
        <v/>
      </c>
      <c r="CQ350" s="518" t="str">
        <f>IF(AND(_F="A-330-900",'2024'!$M$4="CA",'2024'!$M$2=CQ347),'2024DATA'!$J$5,"")</f>
        <v/>
      </c>
      <c r="CR350" s="518" t="str">
        <f>IF(AND(_F="A-330-900",'2024'!$M$4="CA",'2024'!$M$2=CR347),'2024DATA'!$K$5,"")</f>
        <v/>
      </c>
      <c r="CS350" s="518" t="str">
        <f>IF(AND(_F="A-330-900",'2024'!$M$4="CA",'2024'!$M$2=CS347),'2024DATA'!$L$5,"")</f>
        <v/>
      </c>
      <c r="CT350" s="518" t="str">
        <f>IF(AND(_F="A-330-900",'2024'!$M$4="CA",'2024'!$M$2=CT347),'2024DATA'!$M$5,"")</f>
        <v/>
      </c>
      <c r="CU350" s="520" t="str">
        <f>IF(AND(_F="A-330-900",'2024'!$M$4="CA",'2024'!$M$2=CU347),'2024DATA'!$N$5,"")</f>
        <v/>
      </c>
    </row>
    <row r="351" spans="16:99" x14ac:dyDescent="0.25">
      <c r="P351" s="940"/>
      <c r="Q351" s="13" t="s">
        <v>62</v>
      </c>
      <c r="R351" s="518" t="str">
        <f>IF(AND(_A="A-330-900",'2024'!$M$4="FO",'2024'!$M$2=R347),'2024DATA'!$C$6,"")</f>
        <v/>
      </c>
      <c r="S351" s="518" t="str">
        <f>IF(AND(_A="A-330-900",'2024'!$M$4="FO",'2024'!$M$2=S347),'2024DATA'!$D$6,"")</f>
        <v/>
      </c>
      <c r="T351" s="518" t="str">
        <f>IF(AND(_A="A-330-900",'2024'!$M$4="FO",'2024'!$M$2=T347),'2024DATA'!$E$6,"")</f>
        <v/>
      </c>
      <c r="U351" s="518" t="str">
        <f>IF(AND(_A="A-330-900",'2024'!$M$4="FO",'2024'!$M$2=U347),'2024DATA'!$F$6,"")</f>
        <v/>
      </c>
      <c r="V351" s="518" t="str">
        <f>IF(AND(_A="A-330-900",'2024'!$M$4="FO",'2024'!$M$2=V347),'2024DATA'!$G$6,"")</f>
        <v/>
      </c>
      <c r="W351" s="518" t="str">
        <f>IF(AND(_A="A-330-900",'2024'!$M$4="FO",'2024'!$M$2=W347),'2024DATA'!$H$6,"")</f>
        <v/>
      </c>
      <c r="X351" s="518" t="str">
        <f>IF(AND(_A="A-330-900",'2024'!$M$4="FO",'2024'!$M$2=X347),'2024DATA'!$I$6,"")</f>
        <v/>
      </c>
      <c r="Y351" s="518" t="str">
        <f>IF(AND(_A="A-330-900",'2024'!$M$4="FO",'2024'!$M$2=Y347),'2024DATA'!$J$6,"")</f>
        <v/>
      </c>
      <c r="Z351" s="518" t="str">
        <f>IF(AND(_A="A-330-900",'2024'!$M$4="FO",'2024'!$M$2=Z347),'2024DATA'!$K$6,"")</f>
        <v/>
      </c>
      <c r="AA351" s="518" t="str">
        <f>IF(AND(_A="A-330-900",'2024'!$M$4="FO",'2024'!$M$2=AA347),'2024DATA'!$L$6,"")</f>
        <v/>
      </c>
      <c r="AB351" s="518" t="str">
        <f>IF(AND(_A="A-330-900",'2024'!$M$4="FO",'2024'!$M$2=AB347),'2024DATA'!$M$6,"")</f>
        <v/>
      </c>
      <c r="AC351" s="520" t="str">
        <f>IF(AND(_A="A-330-900",'2024'!$M$4="FO",'2024'!$M$2=AC347),'2024DATA'!$N$6,"")</f>
        <v/>
      </c>
      <c r="AD351" s="940"/>
      <c r="AE351" s="13" t="s">
        <v>62</v>
      </c>
      <c r="AF351" s="518" t="str">
        <f>IF(AND(_B="A-330-900",'2024'!$M$4="FO",'2024'!$M$2=AF347),'2024DATA'!$C$6,"")</f>
        <v/>
      </c>
      <c r="AG351" s="518" t="str">
        <f>IF(AND(_B="A-330-900",'2024'!$M$4="FO",'2024'!$M$2=AG347),'2024DATA'!$D$6,"")</f>
        <v/>
      </c>
      <c r="AH351" s="518" t="str">
        <f>IF(AND(_B="A-330-900",'2024'!$M$4="FO",'2024'!$M$2=AH347),'2024DATA'!$E$6,"")</f>
        <v/>
      </c>
      <c r="AI351" s="518" t="str">
        <f>IF(AND(_B="A-330-900",'2024'!$M$4="FO",'2024'!$M$2=AI347),'2024DATA'!$F$6,"")</f>
        <v/>
      </c>
      <c r="AJ351" s="518" t="str">
        <f>IF(AND(_B="A-330-900",'2024'!$M$4="FO",'2024'!$M$2=AJ347),'2024DATA'!$G$6,"")</f>
        <v/>
      </c>
      <c r="AK351" s="518" t="str">
        <f>IF(AND(_B="A-330-900",'2024'!$M$4="FO",'2024'!$M$2=AK347),'2024DATA'!$H$6,"")</f>
        <v/>
      </c>
      <c r="AL351" s="518" t="str">
        <f>IF(AND(_B="A-330-900",'2024'!$M$4="FO",'2024'!$M$2=AL347),'2024DATA'!$I$6,"")</f>
        <v/>
      </c>
      <c r="AM351" s="518" t="str">
        <f>IF(AND(_B="A-330-900",'2024'!$M$4="FO",'2024'!$M$2=AM347),'2024DATA'!$J$6,"")</f>
        <v/>
      </c>
      <c r="AN351" s="518" t="str">
        <f>IF(AND(_B="A-330-900",'2024'!$M$4="FO",'2024'!$M$2=AN347),'2024DATA'!$K$6,"")</f>
        <v/>
      </c>
      <c r="AO351" s="518" t="str">
        <f>IF(AND(_B="A-330-900",'2024'!$M$4="FO",'2024'!$M$2=AO347),'2024DATA'!$L$6,"")</f>
        <v/>
      </c>
      <c r="AP351" s="518" t="str">
        <f>IF(AND(_B="A-330-900",'2024'!$M$4="FO",'2024'!$M$2=AP347),'2024DATA'!$M$6,"")</f>
        <v/>
      </c>
      <c r="AQ351" s="520" t="str">
        <f>IF(AND(_B="A-330-900",'2024'!$M$4="FO",'2024'!$M$2=AQ347),'2024DATA'!$N$6,"")</f>
        <v/>
      </c>
      <c r="AR351" s="940"/>
      <c r="AS351" s="13" t="s">
        <v>62</v>
      </c>
      <c r="AT351" s="518" t="str">
        <f>IF(AND(_C="A-330-900",'2024'!$M$4="FO",'2024'!$M$2=AT347),'2024DATA'!$C$6,"")</f>
        <v/>
      </c>
      <c r="AU351" s="518" t="str">
        <f>IF(AND(_C="A-330-900",'2024'!$M$4="FO",'2024'!$M$2=AU347),'2024DATA'!$D$6,"")</f>
        <v/>
      </c>
      <c r="AV351" s="518" t="str">
        <f>IF(AND(_C="A-330-900",'2024'!$M$4="FO",'2024'!$M$2=AV347),'2024DATA'!$E$6,"")</f>
        <v/>
      </c>
      <c r="AW351" s="518" t="str">
        <f>IF(AND(_C="A-330-900",'2024'!$M$4="FO",'2024'!$M$2=AW347),'2024DATA'!$F$6,"")</f>
        <v/>
      </c>
      <c r="AX351" s="518" t="str">
        <f>IF(AND(_C="A-330-900",'2024'!$M$4="FO",'2024'!$M$2=AX347),'2024DATA'!$G$6,"")</f>
        <v/>
      </c>
      <c r="AY351" s="518" t="str">
        <f>IF(AND(_C="A-330-900",'2024'!$M$4="FO",'2024'!$M$2=AY347),'2024DATA'!$H$6,"")</f>
        <v/>
      </c>
      <c r="AZ351" s="518" t="str">
        <f>IF(AND(_C="A-330-900",'2024'!$M$4="FO",'2024'!$M$2=AZ347),'2024DATA'!$I$6,"")</f>
        <v/>
      </c>
      <c r="BA351" s="518" t="str">
        <f>IF(AND(_C="A-330-900",'2024'!$M$4="FO",'2024'!$M$2=BA347),'2024DATA'!$J$6,"")</f>
        <v/>
      </c>
      <c r="BB351" s="518" t="str">
        <f>IF(AND(_C="A-330-900",'2024'!$M$4="FO",'2024'!$M$2=BB347),'2024DATA'!$K$6,"")</f>
        <v/>
      </c>
      <c r="BC351" s="518" t="str">
        <f>IF(AND(_C="A-330-900",'2024'!$M$4="FO",'2024'!$M$2=BC347),'2024DATA'!$L$6,"")</f>
        <v/>
      </c>
      <c r="BD351" s="518" t="str">
        <f>IF(AND(_C="A-330-900",'2024'!$M$4="FO",'2024'!$M$2=BD347),'2024DATA'!$M$6,"")</f>
        <v/>
      </c>
      <c r="BE351" s="520" t="str">
        <f>IF(AND(_C="A-330-900",'2024'!$M$4="FO",'2024'!$M$2=BE347),'2024DATA'!$N$6,"")</f>
        <v/>
      </c>
      <c r="BF351" s="940"/>
      <c r="BG351" s="13" t="s">
        <v>62</v>
      </c>
      <c r="BH351" s="518" t="str">
        <f>IF(AND(_D="A-330-900",'2024'!$M$4="FO",'2024'!$M$2=BH347),'2024DATA'!$C$6,"")</f>
        <v/>
      </c>
      <c r="BI351" s="518" t="str">
        <f>IF(AND(_D="A-330-900",'2024'!$M$4="FO",'2024'!$M$2=BI347),'2024DATA'!$D$6,"")</f>
        <v/>
      </c>
      <c r="BJ351" s="518" t="str">
        <f>IF(AND(_D="A-330-900",'2024'!$M$4="FO",'2024'!$M$2=BJ347),'2024DATA'!$E$6,"")</f>
        <v/>
      </c>
      <c r="BK351" s="518" t="str">
        <f>IF(AND(_D="A-330-900",'2024'!$M$4="FO",'2024'!$M$2=BK347),'2024DATA'!$F$6,"")</f>
        <v/>
      </c>
      <c r="BL351" s="518" t="str">
        <f>IF(AND(_D="A-330-900",'2024'!$M$4="FO",'2024'!$M$2=BL347),'2024DATA'!$G$6,"")</f>
        <v/>
      </c>
      <c r="BM351" s="518" t="str">
        <f>IF(AND(_D="A-330-900",'2024'!$M$4="FO",'2024'!$M$2=BM347),'2024DATA'!$H$6,"")</f>
        <v/>
      </c>
      <c r="BN351" s="518" t="str">
        <f>IF(AND(_D="A-330-900",'2024'!$M$4="FO",'2024'!$M$2=BN347),'2024DATA'!$I$6,"")</f>
        <v/>
      </c>
      <c r="BO351" s="518" t="str">
        <f>IF(AND(_D="A-330-900",'2024'!$M$4="FO",'2024'!$M$2=BO347),'2024DATA'!$J$6,"")</f>
        <v/>
      </c>
      <c r="BP351" s="518" t="str">
        <f>IF(AND(_D="A-330-900",'2024'!$M$4="FO",'2024'!$M$2=BP347),'2024DATA'!$K$6,"")</f>
        <v/>
      </c>
      <c r="BQ351" s="518" t="str">
        <f>IF(AND(_D="A-330-900",'2024'!$M$4="FO",'2024'!$M$2=BQ347),'2024DATA'!$L$6,"")</f>
        <v/>
      </c>
      <c r="BR351" s="518" t="str">
        <f>IF(AND(_D="A-330-900",'2024'!$M$4="FO",'2024'!$M$2=BR347),'2024DATA'!$M$6,"")</f>
        <v/>
      </c>
      <c r="BS351" s="520" t="str">
        <f>IF(AND(_D="A-330-900",'2024'!$M$4="FO",'2024'!$M$2=BS347),'2024DATA'!$N$6,"")</f>
        <v/>
      </c>
      <c r="BT351" s="940"/>
      <c r="BU351" s="13" t="s">
        <v>62</v>
      </c>
      <c r="BV351" s="518" t="str">
        <f>IF(AND(_E="A-330-900",'2024'!$M$4="FO",'2024'!$M$2=BV347),'2024DATA'!$C$6,"")</f>
        <v/>
      </c>
      <c r="BW351" s="518" t="str">
        <f>IF(AND(_E="A-330-900",'2024'!$M$4="FO",'2024'!$M$2=BW347),'2024DATA'!$D$6,"")</f>
        <v/>
      </c>
      <c r="BX351" s="518" t="str">
        <f>IF(AND(_E="A-330-900",'2024'!$M$4="FO",'2024'!$M$2=BX347),'2024DATA'!$E$6,"")</f>
        <v/>
      </c>
      <c r="BY351" s="518" t="str">
        <f>IF(AND(_E="A-330-900",'2024'!$M$4="FO",'2024'!$M$2=BY347),'2024DATA'!$F$6,"")</f>
        <v/>
      </c>
      <c r="BZ351" s="518" t="str">
        <f>IF(AND(_E="A-330-900",'2024'!$M$4="FO",'2024'!$M$2=BZ347),'2024DATA'!$G$6,"")</f>
        <v/>
      </c>
      <c r="CA351" s="518" t="str">
        <f>IF(AND(_E="A-330-900",'2024'!$M$4="FO",'2024'!$M$2=CA347),'2024DATA'!$H$6,"")</f>
        <v/>
      </c>
      <c r="CB351" s="518" t="str">
        <f>IF(AND(_E="A-330-900",'2024'!$M$4="FO",'2024'!$M$2=CB347),'2024DATA'!$I$6,"")</f>
        <v/>
      </c>
      <c r="CC351" s="518" t="str">
        <f>IF(AND(_E="A-330-900",'2024'!$M$4="FO",'2024'!$M$2=CC347),'2024DATA'!$J$6,"")</f>
        <v/>
      </c>
      <c r="CD351" s="518" t="str">
        <f>IF(AND(_E="A-330-900",'2024'!$M$4="FO",'2024'!$M$2=CD347),'2024DATA'!$K$6,"")</f>
        <v/>
      </c>
      <c r="CE351" s="518" t="str">
        <f>IF(AND(_E="A-330-900",'2024'!$M$4="FO",'2024'!$M$2=CE347),'2024DATA'!$L$6,"")</f>
        <v/>
      </c>
      <c r="CF351" s="518" t="str">
        <f>IF(AND(_E="A-330-900",'2024'!$M$4="FO",'2024'!$M$2=CF347),'2024DATA'!$M$6,"")</f>
        <v/>
      </c>
      <c r="CG351" s="520" t="str">
        <f>IF(AND(_E="A-330-900",'2024'!$M$4="FO",'2024'!$M$2=CG347),'2024DATA'!$N$6,"")</f>
        <v/>
      </c>
      <c r="CH351" s="940"/>
      <c r="CI351" s="13" t="s">
        <v>62</v>
      </c>
      <c r="CJ351" s="518" t="str">
        <f>IF(AND(_F="A-330-900",'2024'!$M$4="FO",'2024'!$M$2=CJ347),'2024DATA'!$C$6,"")</f>
        <v/>
      </c>
      <c r="CK351" s="518" t="str">
        <f>IF(AND(_F="A-330-900",'2024'!$M$4="FO",'2024'!$M$2=CK347),'2024DATA'!$D$6,"")</f>
        <v/>
      </c>
      <c r="CL351" s="518" t="str">
        <f>IF(AND(_F="A-330-900",'2024'!$M$4="FO",'2024'!$M$2=CL347),'2024DATA'!$E$6,"")</f>
        <v/>
      </c>
      <c r="CM351" s="518" t="str">
        <f>IF(AND(_F="A-330-900",'2024'!$M$4="FO",'2024'!$M$2=CM347),'2024DATA'!$F$6,"")</f>
        <v/>
      </c>
      <c r="CN351" s="518" t="str">
        <f>IF(AND(_F="A-330-900",'2024'!$M$4="FO",'2024'!$M$2=CN347),'2024DATA'!$G$6,"")</f>
        <v/>
      </c>
      <c r="CO351" s="518" t="str">
        <f>IF(AND(_F="A-330-900",'2024'!$M$4="FO",'2024'!$M$2=CO347),'2024DATA'!$H$6,"")</f>
        <v/>
      </c>
      <c r="CP351" s="518" t="str">
        <f>IF(AND(_F="A-330-900",'2024'!$M$4="FO",'2024'!$M$2=CP347),'2024DATA'!$I$6,"")</f>
        <v/>
      </c>
      <c r="CQ351" s="518" t="str">
        <f>IF(AND(_F="A-330-900",'2024'!$M$4="FO",'2024'!$M$2=CQ347),'2024DATA'!$J$6,"")</f>
        <v/>
      </c>
      <c r="CR351" s="518" t="str">
        <f>IF(AND(_F="A-330-900",'2024'!$M$4="FO",'2024'!$M$2=CR347),'2024DATA'!$K$6,"")</f>
        <v/>
      </c>
      <c r="CS351" s="518" t="str">
        <f>IF(AND(_F="A-330-900",'2024'!$M$4="FO",'2024'!$M$2=CS347),'2024DATA'!$L$6,"")</f>
        <v/>
      </c>
      <c r="CT351" s="518" t="str">
        <f>IF(AND(_F="A-330-900",'2024'!$M$4="FO",'2024'!$M$2=CT347),'2024DATA'!$M$6,"")</f>
        <v/>
      </c>
      <c r="CU351" s="520" t="str">
        <f>IF(AND(_F="A-330-900",'2024'!$M$4="FO",'2024'!$M$2=CU347),'2024DATA'!$N$6,"")</f>
        <v/>
      </c>
    </row>
    <row r="352" spans="16:99" x14ac:dyDescent="0.25">
      <c r="P352" s="940" t="s">
        <v>64</v>
      </c>
      <c r="Q352" s="13" t="s">
        <v>61</v>
      </c>
      <c r="R352" s="518" t="str">
        <f>IF(AND(_A="A-330-300",'2024'!$M$4="CA",'2024'!$M$2=R347),'2024DATA'!$C$7,"")</f>
        <v/>
      </c>
      <c r="S352" s="518" t="str">
        <f>IF(AND(_A="A-330-300",'2024'!$M$4="CA",'2024'!$M$2=S347),'2024DATA'!$D$7,"")</f>
        <v/>
      </c>
      <c r="T352" s="518" t="str">
        <f>IF(AND(_A="A-330-300",'2024'!$M$4="CA",'2024'!$M$2=T347),'2024DATA'!$E$7,"")</f>
        <v/>
      </c>
      <c r="U352" s="518" t="str">
        <f>IF(AND(_A="A-330-300",'2024'!$M$4="CA",'2024'!$M$2=U347),'2024DATA'!$F$7,"")</f>
        <v/>
      </c>
      <c r="V352" s="518" t="str">
        <f>IF(AND(_A="A-330-300",'2024'!$M$4="CA",'2024'!$M$2=V347),'2024DATA'!$G$7,"")</f>
        <v/>
      </c>
      <c r="W352" s="518" t="str">
        <f>IF(AND(_A="A-330-300",'2024'!$M$4="CA",'2024'!$M$2=W347),'2024DATA'!$H$7,"")</f>
        <v/>
      </c>
      <c r="X352" s="518" t="str">
        <f>IF(AND(_A="A-330-300",'2024'!$M$4="CA",'2024'!$M$2=X347),'2024DATA'!$I$7,"")</f>
        <v/>
      </c>
      <c r="Y352" s="518" t="str">
        <f>IF(AND(_A="A-330-300",'2024'!$M$4="CA",'2024'!$M$2=Y347),'2024DATA'!$J$7,"")</f>
        <v/>
      </c>
      <c r="Z352" s="518" t="str">
        <f>IF(AND(_A="A-330-300",'2024'!$M$4="CA",'2024'!$M$2=Z347),'2024DATA'!$K$7,"")</f>
        <v/>
      </c>
      <c r="AA352" s="518" t="str">
        <f>IF(AND(_A="A-330-300",'2024'!$M$4="CA",'2024'!$M$2=AA347),'2024DATA'!$L$7,"")</f>
        <v/>
      </c>
      <c r="AB352" s="518" t="str">
        <f>IF(AND(_A="A-330-300",'2024'!$M$4="CA",'2024'!$M$2=AB347),'2024DATA'!$M$7,"")</f>
        <v/>
      </c>
      <c r="AC352" s="520" t="str">
        <f>IF(AND(_A="A-330-300",'2024'!$M$4="CA",'2024'!$M$2=AC347),'2024DATA'!$N$7,"")</f>
        <v/>
      </c>
      <c r="AD352" s="940" t="s">
        <v>64</v>
      </c>
      <c r="AE352" s="13" t="s">
        <v>61</v>
      </c>
      <c r="AF352" s="518" t="str">
        <f>IF(AND(_B="A-330-300",'2024'!$M$4="CA",'2024'!$M$2=AF347),'2024DATA'!$C$7,"")</f>
        <v/>
      </c>
      <c r="AG352" s="518" t="str">
        <f>IF(AND(_B="A-330-300",'2024'!$M$4="CA",'2024'!$M$2=AG347),'2024DATA'!$D$7,"")</f>
        <v/>
      </c>
      <c r="AH352" s="518" t="str">
        <f>IF(AND(_B="A-330-300",'2024'!$M$4="CA",'2024'!$M$2=AH347),'2024DATA'!$E$7,"")</f>
        <v/>
      </c>
      <c r="AI352" s="518" t="str">
        <f>IF(AND(_B="A-330-300",'2024'!$M$4="CA",'2024'!$M$2=AI347),'2024DATA'!$F$7,"")</f>
        <v/>
      </c>
      <c r="AJ352" s="518" t="str">
        <f>IF(AND(_B="A-330-300",'2024'!$M$4="CA",'2024'!$M$2=AJ347),'2024DATA'!$G$7,"")</f>
        <v/>
      </c>
      <c r="AK352" s="518" t="str">
        <f>IF(AND(_B="A-330-300",'2024'!$M$4="CA",'2024'!$M$2=AK347),'2024DATA'!$H$7,"")</f>
        <v/>
      </c>
      <c r="AL352" s="518" t="str">
        <f>IF(AND(_B="A-330-300",'2024'!$M$4="CA",'2024'!$M$2=AL347),'2024DATA'!$I$7,"")</f>
        <v/>
      </c>
      <c r="AM352" s="518" t="str">
        <f>IF(AND(_B="A-330-300",'2024'!$M$4="CA",'2024'!$M$2=AM347),'2024DATA'!$J$7,"")</f>
        <v/>
      </c>
      <c r="AN352" s="518" t="str">
        <f>IF(AND(_B="A-330-300",'2024'!$M$4="CA",'2024'!$M$2=AN347),'2024DATA'!$K$7,"")</f>
        <v/>
      </c>
      <c r="AO352" s="518" t="str">
        <f>IF(AND(_B="A-330-300",'2024'!$M$4="CA",'2024'!$M$2=AO347),'2024DATA'!$L$7,"")</f>
        <v/>
      </c>
      <c r="AP352" s="518" t="str">
        <f>IF(AND(_B="A-330-300",'2024'!$M$4="CA",'2024'!$M$2=AP347),'2024DATA'!$M$7,"")</f>
        <v/>
      </c>
      <c r="AQ352" s="520" t="str">
        <f>IF(AND(_B="A-330-300",'2024'!$M$4="CA",'2024'!$M$2=AQ347),'2024DATA'!$N$7,"")</f>
        <v/>
      </c>
      <c r="AR352" s="940" t="s">
        <v>64</v>
      </c>
      <c r="AS352" s="13" t="s">
        <v>61</v>
      </c>
      <c r="AT352" s="518" t="str">
        <f>IF(AND(_C="A-330-300",'2024'!$M$4="CA",'2024'!$M$2=AT347),'2024DATA'!$C$7,"")</f>
        <v/>
      </c>
      <c r="AU352" s="518" t="str">
        <f>IF(AND(_C="A-330-300",'2024'!$M$4="CA",'2024'!$M$2=AU347),'2024DATA'!$D$7,"")</f>
        <v/>
      </c>
      <c r="AV352" s="518" t="str">
        <f>IF(AND(_C="A-330-300",'2024'!$M$4="CA",'2024'!$M$2=AV347),'2024DATA'!$E$7,"")</f>
        <v/>
      </c>
      <c r="AW352" s="518" t="str">
        <f>IF(AND(_C="A-330-300",'2024'!$M$4="CA",'2024'!$M$2=AW347),'2024DATA'!$F$7,"")</f>
        <v/>
      </c>
      <c r="AX352" s="518" t="str">
        <f>IF(AND(_C="A-330-300",'2024'!$M$4="CA",'2024'!$M$2=AX347),'2024DATA'!$G$7,"")</f>
        <v/>
      </c>
      <c r="AY352" s="518" t="str">
        <f>IF(AND(_C="A-330-300",'2024'!$M$4="CA",'2024'!$M$2=AY347),'2024DATA'!$H$7,"")</f>
        <v/>
      </c>
      <c r="AZ352" s="518" t="str">
        <f>IF(AND(_C="A-330-300",'2024'!$M$4="CA",'2024'!$M$2=AZ347),'2024DATA'!$I$7,"")</f>
        <v/>
      </c>
      <c r="BA352" s="518" t="str">
        <f>IF(AND(_C="A-330-300",'2024'!$M$4="CA",'2024'!$M$2=BA347),'2024DATA'!$J$7,"")</f>
        <v/>
      </c>
      <c r="BB352" s="518" t="str">
        <f>IF(AND(_C="A-330-300",'2024'!$M$4="CA",'2024'!$M$2=BB347),'2024DATA'!$K$7,"")</f>
        <v/>
      </c>
      <c r="BC352" s="518" t="str">
        <f>IF(AND(_C="A-330-300",'2024'!$M$4="CA",'2024'!$M$2=BC347),'2024DATA'!$L$7,"")</f>
        <v/>
      </c>
      <c r="BD352" s="518" t="str">
        <f>IF(AND(_C="A-330-300",'2024'!$M$4="CA",'2024'!$M$2=BD347),'2024DATA'!$M$7,"")</f>
        <v/>
      </c>
      <c r="BE352" s="520" t="str">
        <f>IF(AND(_C="A-330-300",'2024'!$M$4="CA",'2024'!$M$2=BE347),'2024DATA'!$N$7,"")</f>
        <v/>
      </c>
      <c r="BF352" s="940" t="s">
        <v>64</v>
      </c>
      <c r="BG352" s="13" t="s">
        <v>61</v>
      </c>
      <c r="BH352" s="518" t="str">
        <f>IF(AND(_D="A-330-300",'2024'!$M$4="CA",'2024'!$M$2=BH347),'2024DATA'!$C$7,"")</f>
        <v/>
      </c>
      <c r="BI352" s="518" t="str">
        <f>IF(AND(_D="A-330-300",'2024'!$M$4="CA",'2024'!$M$2=BI347),'2024DATA'!$D$7,"")</f>
        <v/>
      </c>
      <c r="BJ352" s="518" t="str">
        <f>IF(AND(_D="A-330-300",'2024'!$M$4="CA",'2024'!$M$2=BJ347),'2024DATA'!$E$7,"")</f>
        <v/>
      </c>
      <c r="BK352" s="518" t="str">
        <f>IF(AND(_D="A-330-300",'2024'!$M$4="CA",'2024'!$M$2=BK347),'2024DATA'!$F$7,"")</f>
        <v/>
      </c>
      <c r="BL352" s="518" t="str">
        <f>IF(AND(_D="A-330-300",'2024'!$M$4="CA",'2024'!$M$2=BL347),'2024DATA'!$G$7,"")</f>
        <v/>
      </c>
      <c r="BM352" s="518" t="str">
        <f>IF(AND(_D="A-330-300",'2024'!$M$4="CA",'2024'!$M$2=BM347),'2024DATA'!$H$7,"")</f>
        <v/>
      </c>
      <c r="BN352" s="518" t="str">
        <f>IF(AND(_D="A-330-300",'2024'!$M$4="CA",'2024'!$M$2=BN347),'2024DATA'!$I$7,"")</f>
        <v/>
      </c>
      <c r="BO352" s="518" t="str">
        <f>IF(AND(_D="A-330-300",'2024'!$M$4="CA",'2024'!$M$2=BO347),'2024DATA'!$J$7,"")</f>
        <v/>
      </c>
      <c r="BP352" s="518" t="str">
        <f>IF(AND(_D="A-330-300",'2024'!$M$4="CA",'2024'!$M$2=BP347),'2024DATA'!$K$7,"")</f>
        <v/>
      </c>
      <c r="BQ352" s="518" t="str">
        <f>IF(AND(_D="A-330-300",'2024'!$M$4="CA",'2024'!$M$2=BQ347),'2024DATA'!$L$7,"")</f>
        <v/>
      </c>
      <c r="BR352" s="518" t="str">
        <f>IF(AND(_D="A-330-300",'2024'!$M$4="CA",'2024'!$M$2=BR347),'2024DATA'!$M$7,"")</f>
        <v/>
      </c>
      <c r="BS352" s="520" t="str">
        <f>IF(AND(_D="A-330-300",'2024'!$M$4="CA",'2024'!$M$2=BS347),'2024DATA'!$N$7,"")</f>
        <v/>
      </c>
      <c r="BT352" s="940" t="s">
        <v>64</v>
      </c>
      <c r="BU352" s="13" t="s">
        <v>61</v>
      </c>
      <c r="BV352" s="518" t="str">
        <f>IF(AND(_E="A-330-300",'2024'!$M$4="CA",'2024'!$M$2=BV347),'2024DATA'!$C$7,"")</f>
        <v/>
      </c>
      <c r="BW352" s="518" t="str">
        <f>IF(AND(_E="A-330-300",'2024'!$M$4="CA",'2024'!$M$2=BW347),'2024DATA'!$D$7,"")</f>
        <v/>
      </c>
      <c r="BX352" s="518" t="str">
        <f>IF(AND(_E="A-330-300",'2024'!$M$4="CA",'2024'!$M$2=BX347),'2024DATA'!$E$7,"")</f>
        <v/>
      </c>
      <c r="BY352" s="518" t="str">
        <f>IF(AND(_E="A-330-300",'2024'!$M$4="CA",'2024'!$M$2=BY347),'2024DATA'!$F$7,"")</f>
        <v/>
      </c>
      <c r="BZ352" s="518" t="str">
        <f>IF(AND(_E="A-330-300",'2024'!$M$4="CA",'2024'!$M$2=BZ347),'2024DATA'!$G$7,"")</f>
        <v/>
      </c>
      <c r="CA352" s="518" t="str">
        <f>IF(AND(_E="A-330-300",'2024'!$M$4="CA",'2024'!$M$2=CA347),'2024DATA'!$H$7,"")</f>
        <v/>
      </c>
      <c r="CB352" s="518" t="str">
        <f>IF(AND(_E="A-330-300",'2024'!$M$4="CA",'2024'!$M$2=CB347),'2024DATA'!$I$7,"")</f>
        <v/>
      </c>
      <c r="CC352" s="518" t="str">
        <f>IF(AND(_E="A-330-300",'2024'!$M$4="CA",'2024'!$M$2=CC347),'2024DATA'!$J$7,"")</f>
        <v/>
      </c>
      <c r="CD352" s="518" t="str">
        <f>IF(AND(_E="A-330-300",'2024'!$M$4="CA",'2024'!$M$2=CD347),'2024DATA'!$K$7,"")</f>
        <v/>
      </c>
      <c r="CE352" s="518" t="str">
        <f>IF(AND(_E="A-330-300",'2024'!$M$4="CA",'2024'!$M$2=CE347),'2024DATA'!$L$7,"")</f>
        <v/>
      </c>
      <c r="CF352" s="518" t="str">
        <f>IF(AND(_E="A-330-300",'2024'!$M$4="CA",'2024'!$M$2=CF347),'2024DATA'!$M$7,"")</f>
        <v/>
      </c>
      <c r="CG352" s="520" t="str">
        <f>IF(AND(_E="A-330-300",'2024'!$M$4="CA",'2024'!$M$2=CG347),'2024DATA'!$N$7,"")</f>
        <v/>
      </c>
      <c r="CH352" s="940" t="s">
        <v>64</v>
      </c>
      <c r="CI352" s="13" t="s">
        <v>61</v>
      </c>
      <c r="CJ352" s="518" t="str">
        <f>IF(AND(_F="A-330-300",'2024'!$M$4="CA",'2024'!$M$2=CJ347),'2024DATA'!$C$7,"")</f>
        <v/>
      </c>
      <c r="CK352" s="518" t="str">
        <f>IF(AND(_F="A-330-300",'2024'!$M$4="CA",'2024'!$M$2=CK347),'2024DATA'!$D$7,"")</f>
        <v/>
      </c>
      <c r="CL352" s="518" t="str">
        <f>IF(AND(_F="A-330-300",'2024'!$M$4="CA",'2024'!$M$2=CL347),'2024DATA'!$E$7,"")</f>
        <v/>
      </c>
      <c r="CM352" s="518" t="str">
        <f>IF(AND(_F="A-330-300",'2024'!$M$4="CA",'2024'!$M$2=CM347),'2024DATA'!$F$7,"")</f>
        <v/>
      </c>
      <c r="CN352" s="518" t="str">
        <f>IF(AND(_F="A-330-300",'2024'!$M$4="CA",'2024'!$M$2=CN347),'2024DATA'!$G$7,"")</f>
        <v/>
      </c>
      <c r="CO352" s="518" t="str">
        <f>IF(AND(_F="A-330-300",'2024'!$M$4="CA",'2024'!$M$2=CO347),'2024DATA'!$H$7,"")</f>
        <v/>
      </c>
      <c r="CP352" s="518" t="str">
        <f>IF(AND(_F="A-330-300",'2024'!$M$4="CA",'2024'!$M$2=CP347),'2024DATA'!$I$7,"")</f>
        <v/>
      </c>
      <c r="CQ352" s="518" t="str">
        <f>IF(AND(_F="A-330-300",'2024'!$M$4="CA",'2024'!$M$2=CQ347),'2024DATA'!$J$7,"")</f>
        <v/>
      </c>
      <c r="CR352" s="518" t="str">
        <f>IF(AND(_F="A-330-300",'2024'!$M$4="CA",'2024'!$M$2=CR347),'2024DATA'!$K$7,"")</f>
        <v/>
      </c>
      <c r="CS352" s="518" t="str">
        <f>IF(AND(_F="A-330-300",'2024'!$M$4="CA",'2024'!$M$2=CS347),'2024DATA'!$L$7,"")</f>
        <v/>
      </c>
      <c r="CT352" s="518" t="str">
        <f>IF(AND(_F="A-330-300",'2024'!$M$4="CA",'2024'!$M$2=CT347),'2024DATA'!$M$7,"")</f>
        <v/>
      </c>
      <c r="CU352" s="520" t="str">
        <f>IF(AND(_F="A-330-300",'2024'!$M$4="CA",'2024'!$M$2=CU347),'2024DATA'!$N$7,"")</f>
        <v/>
      </c>
    </row>
    <row r="353" spans="16:99" x14ac:dyDescent="0.25">
      <c r="P353" s="940"/>
      <c r="Q353" s="13" t="s">
        <v>62</v>
      </c>
      <c r="R353" s="518" t="str">
        <f>IF(AND(_A="A-330-300",'2024'!$M$4="FO",'2024'!$M$2=R347),'2024DATA'!$C$8,"")</f>
        <v/>
      </c>
      <c r="S353" s="518" t="str">
        <f>IF(AND(_A="A-330-300",'2024'!$M$4="FO",'2024'!$M$2=S347),'2024DATA'!$D$8,"")</f>
        <v/>
      </c>
      <c r="T353" s="518" t="str">
        <f>IF(AND(_A="A-330-300",'2024'!$M$4="FO",'2024'!$M$2=T347),'2024DATA'!$E$8,"")</f>
        <v/>
      </c>
      <c r="U353" s="518" t="str">
        <f>IF(AND(_A="A-330-300",'2024'!$M$4="FO",'2024'!$M$2=U347),'2024DATA'!$F$8,"")</f>
        <v/>
      </c>
      <c r="V353" s="518" t="str">
        <f>IF(AND(_A="A-330-300",'2024'!$M$4="FO",'2024'!$M$2=V347),'2024DATA'!$G$8,"")</f>
        <v/>
      </c>
      <c r="W353" s="518" t="str">
        <f>IF(AND(_A="A-330-300",'2024'!$M$4="FO",'2024'!$M$2=W347),'2024DATA'!$H$8,"")</f>
        <v/>
      </c>
      <c r="X353" s="518" t="str">
        <f>IF(AND(_A="A-330-300",'2024'!$M$4="FO",'2024'!$M$2=X347),'2024DATA'!$I$8,"")</f>
        <v/>
      </c>
      <c r="Y353" s="518" t="str">
        <f>IF(AND(_A="A-330-300",'2024'!$M$4="FO",'2024'!$M$2=Y347),'2024DATA'!$J$8,"")</f>
        <v/>
      </c>
      <c r="Z353" s="518" t="str">
        <f>IF(AND(_A="A-330-300",'2024'!$M$4="FO",'2024'!$M$2=Z347),'2024DATA'!$K$8,"")</f>
        <v/>
      </c>
      <c r="AA353" s="518" t="str">
        <f>IF(AND(_A="A-330-300",'2024'!$M$4="FO",'2024'!$M$2=AA347),'2024DATA'!$L$8,"")</f>
        <v/>
      </c>
      <c r="AB353" s="518" t="str">
        <f>IF(AND(_A="A-330-300",'2024'!$M$4="FO",'2024'!$M$2=AB347),'2024DATA'!$M$8,"")</f>
        <v/>
      </c>
      <c r="AC353" s="520" t="str">
        <f>IF(AND(_A="A-330-300",'2024'!$M$4="FO",'2024'!$M$2=AC347),'2024DATA'!$N$8,"")</f>
        <v/>
      </c>
      <c r="AD353" s="940"/>
      <c r="AE353" s="13" t="s">
        <v>62</v>
      </c>
      <c r="AF353" s="518" t="str">
        <f>IF(AND(_B="A-330-300",'2024'!$M$4="FO",'2024'!$M$2=AF347),'2024DATA'!$C$8,"")</f>
        <v/>
      </c>
      <c r="AG353" s="518" t="str">
        <f>IF(AND(_B="A-330-300",'2024'!$M$4="FO",'2024'!$M$2=AG347),'2024DATA'!$D$8,"")</f>
        <v/>
      </c>
      <c r="AH353" s="518" t="str">
        <f>IF(AND(_B="A-330-300",'2024'!$M$4="FO",'2024'!$M$2=AH347),'2024DATA'!$E$8,"")</f>
        <v/>
      </c>
      <c r="AI353" s="518" t="str">
        <f>IF(AND(_B="A-330-300",'2024'!$M$4="FO",'2024'!$M$2=AI347),'2024DATA'!$F$8,"")</f>
        <v/>
      </c>
      <c r="AJ353" s="518" t="str">
        <f>IF(AND(_B="A-330-300",'2024'!$M$4="FO",'2024'!$M$2=AJ347),'2024DATA'!$G$8,"")</f>
        <v/>
      </c>
      <c r="AK353" s="518" t="str">
        <f>IF(AND(_B="A-330-300",'2024'!$M$4="FO",'2024'!$M$2=AK347),'2024DATA'!$H$8,"")</f>
        <v/>
      </c>
      <c r="AL353" s="518" t="str">
        <f>IF(AND(_B="A-330-300",'2024'!$M$4="FO",'2024'!$M$2=AL347),'2024DATA'!$I$8,"")</f>
        <v/>
      </c>
      <c r="AM353" s="518" t="str">
        <f>IF(AND(_B="A-330-300",'2024'!$M$4="FO",'2024'!$M$2=AM347),'2024DATA'!$J$8,"")</f>
        <v/>
      </c>
      <c r="AN353" s="518" t="str">
        <f>IF(AND(_B="A-330-300",'2024'!$M$4="FO",'2024'!$M$2=AN347),'2024DATA'!$K$8,"")</f>
        <v/>
      </c>
      <c r="AO353" s="518" t="str">
        <f>IF(AND(_B="A-330-300",'2024'!$M$4="FO",'2024'!$M$2=AO347),'2024DATA'!$L$8,"")</f>
        <v/>
      </c>
      <c r="AP353" s="518" t="str">
        <f>IF(AND(_B="A-330-300",'2024'!$M$4="FO",'2024'!$M$2=AP347),'2024DATA'!$M$8,"")</f>
        <v/>
      </c>
      <c r="AQ353" s="520" t="str">
        <f>IF(AND(_B="A-330-300",'2024'!$M$4="FO",'2024'!$M$2=AQ347),'2024DATA'!$N$8,"")</f>
        <v/>
      </c>
      <c r="AR353" s="940"/>
      <c r="AS353" s="13" t="s">
        <v>62</v>
      </c>
      <c r="AT353" s="518" t="str">
        <f>IF(AND(_C="A-330-300",'2024'!$M$4="FO",'2024'!$M$2=AT347),'2024DATA'!$C$8,"")</f>
        <v/>
      </c>
      <c r="AU353" s="518" t="str">
        <f>IF(AND(_C="A-330-300",'2024'!$M$4="FO",'2024'!$M$2=AU347),'2024DATA'!$D$8,"")</f>
        <v/>
      </c>
      <c r="AV353" s="518" t="str">
        <f>IF(AND(_C="A-330-300",'2024'!$M$4="FO",'2024'!$M$2=AV347),'2024DATA'!$E$8,"")</f>
        <v/>
      </c>
      <c r="AW353" s="518" t="str">
        <f>IF(AND(_C="A-330-300",'2024'!$M$4="FO",'2024'!$M$2=AW347),'2024DATA'!$F$8,"")</f>
        <v/>
      </c>
      <c r="AX353" s="518" t="str">
        <f>IF(AND(_C="A-330-300",'2024'!$M$4="FO",'2024'!$M$2=AX347),'2024DATA'!$G$8,"")</f>
        <v/>
      </c>
      <c r="AY353" s="518" t="str">
        <f>IF(AND(_C="A-330-300",'2024'!$M$4="FO",'2024'!$M$2=AY347),'2024DATA'!$H$8,"")</f>
        <v/>
      </c>
      <c r="AZ353" s="518" t="str">
        <f>IF(AND(_C="A-330-300",'2024'!$M$4="FO",'2024'!$M$2=AZ347),'2024DATA'!$I$8,"")</f>
        <v/>
      </c>
      <c r="BA353" s="518" t="str">
        <f>IF(AND(_C="A-330-300",'2024'!$M$4="FO",'2024'!$M$2=BA347),'2024DATA'!$J$8,"")</f>
        <v/>
      </c>
      <c r="BB353" s="518" t="str">
        <f>IF(AND(_C="A-330-300",'2024'!$M$4="FO",'2024'!$M$2=BB347),'2024DATA'!$K$8,"")</f>
        <v/>
      </c>
      <c r="BC353" s="518" t="str">
        <f>IF(AND(_C="A-330-300",'2024'!$M$4="FO",'2024'!$M$2=BC347),'2024DATA'!$L$8,"")</f>
        <v/>
      </c>
      <c r="BD353" s="518" t="str">
        <f>IF(AND(_C="A-330-300",'2024'!$M$4="FO",'2024'!$M$2=BD347),'2024DATA'!$M$8,"")</f>
        <v/>
      </c>
      <c r="BE353" s="520" t="str">
        <f>IF(AND(_C="A-330-300",'2024'!$M$4="FO",'2024'!$M$2=BE347),'2024DATA'!$N$8,"")</f>
        <v/>
      </c>
      <c r="BF353" s="940"/>
      <c r="BG353" s="13" t="s">
        <v>62</v>
      </c>
      <c r="BH353" s="518" t="str">
        <f>IF(AND(_D="A-330-300",'2024'!$M$4="FO",'2024'!$M$2=BH347),'2024DATA'!$C$8,"")</f>
        <v/>
      </c>
      <c r="BI353" s="518" t="str">
        <f>IF(AND(_D="A-330-300",'2024'!$M$4="FO",'2024'!$M$2=BI347),'2024DATA'!$D$8,"")</f>
        <v/>
      </c>
      <c r="BJ353" s="518" t="str">
        <f>IF(AND(_D="A-330-300",'2024'!$M$4="FO",'2024'!$M$2=BJ347),'2024DATA'!$E$8,"")</f>
        <v/>
      </c>
      <c r="BK353" s="518" t="str">
        <f>IF(AND(_D="A-330-300",'2024'!$M$4="FO",'2024'!$M$2=BK347),'2024DATA'!$F$8,"")</f>
        <v/>
      </c>
      <c r="BL353" s="518" t="str">
        <f>IF(AND(_D="A-330-300",'2024'!$M$4="FO",'2024'!$M$2=BL347),'2024DATA'!$G$8,"")</f>
        <v/>
      </c>
      <c r="BM353" s="518" t="str">
        <f>IF(AND(_D="A-330-300",'2024'!$M$4="FO",'2024'!$M$2=BM347),'2024DATA'!$H$8,"")</f>
        <v/>
      </c>
      <c r="BN353" s="518" t="str">
        <f>IF(AND(_D="A-330-300",'2024'!$M$4="FO",'2024'!$M$2=BN347),'2024DATA'!$I$8,"")</f>
        <v/>
      </c>
      <c r="BO353" s="518" t="str">
        <f>IF(AND(_D="A-330-300",'2024'!$M$4="FO",'2024'!$M$2=BO347),'2024DATA'!$J$8,"")</f>
        <v/>
      </c>
      <c r="BP353" s="518" t="str">
        <f>IF(AND(_D="A-330-300",'2024'!$M$4="FO",'2024'!$M$2=BP347),'2024DATA'!$K$8,"")</f>
        <v/>
      </c>
      <c r="BQ353" s="518" t="str">
        <f>IF(AND(_D="A-330-300",'2024'!$M$4="FO",'2024'!$M$2=BQ347),'2024DATA'!$L$8,"")</f>
        <v/>
      </c>
      <c r="BR353" s="518" t="str">
        <f>IF(AND(_D="A-330-300",'2024'!$M$4="FO",'2024'!$M$2=BR347),'2024DATA'!$M$8,"")</f>
        <v/>
      </c>
      <c r="BS353" s="520" t="str">
        <f>IF(AND(_D="A-330-300",'2024'!$M$4="FO",'2024'!$M$2=BS347),'2024DATA'!$N$8,"")</f>
        <v/>
      </c>
      <c r="BT353" s="940"/>
      <c r="BU353" s="13" t="s">
        <v>62</v>
      </c>
      <c r="BV353" s="518" t="str">
        <f>IF(AND(_E="A-330-300",'2024'!$M$4="FO",'2024'!$M$2=BV347),'2024DATA'!$C$8,"")</f>
        <v/>
      </c>
      <c r="BW353" s="518" t="str">
        <f>IF(AND(_E="A-330-300",'2024'!$M$4="FO",'2024'!$M$2=BW347),'2024DATA'!$D$8,"")</f>
        <v/>
      </c>
      <c r="BX353" s="518" t="str">
        <f>IF(AND(_E="A-330-300",'2024'!$M$4="FO",'2024'!$M$2=BX347),'2024DATA'!$E$8,"")</f>
        <v/>
      </c>
      <c r="BY353" s="518" t="str">
        <f>IF(AND(_E="A-330-300",'2024'!$M$4="FO",'2024'!$M$2=BY347),'2024DATA'!$F$8,"")</f>
        <v/>
      </c>
      <c r="BZ353" s="518" t="str">
        <f>IF(AND(_E="A-330-300",'2024'!$M$4="FO",'2024'!$M$2=BZ347),'2024DATA'!$G$8,"")</f>
        <v/>
      </c>
      <c r="CA353" s="518" t="str">
        <f>IF(AND(_E="A-330-300",'2024'!$M$4="FO",'2024'!$M$2=CA347),'2024DATA'!$H$8,"")</f>
        <v/>
      </c>
      <c r="CB353" s="518" t="str">
        <f>IF(AND(_E="A-330-300",'2024'!$M$4="FO",'2024'!$M$2=CB347),'2024DATA'!$I$8,"")</f>
        <v/>
      </c>
      <c r="CC353" s="518" t="str">
        <f>IF(AND(_E="A-330-300",'2024'!$M$4="FO",'2024'!$M$2=CC347),'2024DATA'!$J$8,"")</f>
        <v/>
      </c>
      <c r="CD353" s="518" t="str">
        <f>IF(AND(_E="A-330-300",'2024'!$M$4="FO",'2024'!$M$2=CD347),'2024DATA'!$K$8,"")</f>
        <v/>
      </c>
      <c r="CE353" s="518" t="str">
        <f>IF(AND(_E="A-330-300",'2024'!$M$4="FO",'2024'!$M$2=CE347),'2024DATA'!$L$8,"")</f>
        <v/>
      </c>
      <c r="CF353" s="518" t="str">
        <f>IF(AND(_E="A-330-300",'2024'!$M$4="FO",'2024'!$M$2=CF347),'2024DATA'!$M$8,"")</f>
        <v/>
      </c>
      <c r="CG353" s="520" t="str">
        <f>IF(AND(_E="A-330-300",'2024'!$M$4="FO",'2024'!$M$2=CG347),'2024DATA'!$N$8,"")</f>
        <v/>
      </c>
      <c r="CH353" s="940"/>
      <c r="CI353" s="13" t="s">
        <v>62</v>
      </c>
      <c r="CJ353" s="518" t="str">
        <f>IF(AND(_F="A-330-300",'2024'!$M$4="FO",'2024'!$M$2=CJ347),'2024DATA'!$C$8,"")</f>
        <v/>
      </c>
      <c r="CK353" s="518" t="str">
        <f>IF(AND(_F="A-330-300",'2024'!$M$4="FO",'2024'!$M$2=CK347),'2024DATA'!$D$8,"")</f>
        <v/>
      </c>
      <c r="CL353" s="518" t="str">
        <f>IF(AND(_F="A-330-300",'2024'!$M$4="FO",'2024'!$M$2=CL347),'2024DATA'!$E$8,"")</f>
        <v/>
      </c>
      <c r="CM353" s="518" t="str">
        <f>IF(AND(_F="A-330-300",'2024'!$M$4="FO",'2024'!$M$2=CM347),'2024DATA'!$F$8,"")</f>
        <v/>
      </c>
      <c r="CN353" s="518" t="str">
        <f>IF(AND(_F="A-330-300",'2024'!$M$4="FO",'2024'!$M$2=CN347),'2024DATA'!$G$8,"")</f>
        <v/>
      </c>
      <c r="CO353" s="518" t="str">
        <f>IF(AND(_F="A-330-300",'2024'!$M$4="FO",'2024'!$M$2=CO347),'2024DATA'!$H$8,"")</f>
        <v/>
      </c>
      <c r="CP353" s="518" t="str">
        <f>IF(AND(_F="A-330-300",'2024'!$M$4="FO",'2024'!$M$2=CP347),'2024DATA'!$I$8,"")</f>
        <v/>
      </c>
      <c r="CQ353" s="518" t="str">
        <f>IF(AND(_F="A-330-300",'2024'!$M$4="FO",'2024'!$M$2=CQ347),'2024DATA'!$J$8,"")</f>
        <v/>
      </c>
      <c r="CR353" s="518" t="str">
        <f>IF(AND(_F="A-330-300",'2024'!$M$4="FO",'2024'!$M$2=CR347),'2024DATA'!$K$8,"")</f>
        <v/>
      </c>
      <c r="CS353" s="518" t="str">
        <f>IF(AND(_F="A-330-300",'2024'!$M$4="FO",'2024'!$M$2=CS347),'2024DATA'!$L$8,"")</f>
        <v/>
      </c>
      <c r="CT353" s="518" t="str">
        <f>IF(AND(_F="A-330-300",'2024'!$M$4="FO",'2024'!$M$2=CT347),'2024DATA'!$M$8,"")</f>
        <v/>
      </c>
      <c r="CU353" s="520" t="str">
        <f>IF(AND(_F="A-330-300",'2024'!$M$4="FO",'2024'!$M$2=CU347),'2024DATA'!$N$8,"")</f>
        <v/>
      </c>
    </row>
    <row r="354" spans="16:99" x14ac:dyDescent="0.25">
      <c r="P354" s="940" t="s">
        <v>66</v>
      </c>
      <c r="Q354" s="13" t="s">
        <v>61</v>
      </c>
      <c r="R354" s="518" t="str">
        <f>IF(AND(_A="A-330-200",'2024'!$M$4="CA",'2024'!$M$2=R347),'2024DATA'!$C$9,"")</f>
        <v/>
      </c>
      <c r="S354" s="518" t="str">
        <f>IF(AND(_A="A-330-200",'2024'!$M$4="CA",'2024'!$M$2=S347),'2024DATA'!$D$9,"")</f>
        <v/>
      </c>
      <c r="T354" s="518" t="str">
        <f>IF(AND(_A="A-330-200",'2024'!$M$4="CA",'2024'!$M$2=T347),'2024DATA'!$E$9,"")</f>
        <v/>
      </c>
      <c r="U354" s="518" t="str">
        <f>IF(AND(_A="A-330-200",'2024'!$M$4="CA",'2024'!$M$2=U347),'2024DATA'!$F$9,"")</f>
        <v/>
      </c>
      <c r="V354" s="518" t="str">
        <f>IF(AND(_A="A-330-200",'2024'!$M$4="CA",'2024'!$M$2=V347),'2024DATA'!$G$9,"")</f>
        <v/>
      </c>
      <c r="W354" s="518" t="str">
        <f>IF(AND(_A="A-330-200",'2024'!$M$4="CA",'2024'!$M$2=W347),'2024DATA'!$H$9,"")</f>
        <v/>
      </c>
      <c r="X354" s="518" t="str">
        <f>IF(AND(_A="A-330-200",'2024'!$M$4="CA",'2024'!$M$2=X347),'2024DATA'!$I$9,"")</f>
        <v/>
      </c>
      <c r="Y354" s="518" t="str">
        <f>IF(AND(_A="A-330-200",'2024'!$M$4="CA",'2024'!$M$2=Y347),'2024DATA'!$J$9,"")</f>
        <v/>
      </c>
      <c r="Z354" s="518" t="str">
        <f>IF(AND(_A="A-330-200",'2024'!$M$4="CA",'2024'!$M$2=Z347),'2024DATA'!$K$9,"")</f>
        <v/>
      </c>
      <c r="AA354" s="518" t="str">
        <f>IF(AND(_A="A-330-200",'2024'!$M$4="CA",'2024'!$M$2=AA347),'2024DATA'!$L$9,"")</f>
        <v/>
      </c>
      <c r="AB354" s="518" t="str">
        <f>IF(AND(_A="A-330-200",'2024'!$M$4="CA",'2024'!$M$2=AB347),'2024DATA'!$M$9,"")</f>
        <v/>
      </c>
      <c r="AC354" s="520" t="str">
        <f>IF(AND(_A="A-330-200",'2024'!$M$4="CA",'2024'!$M$2=AC347),'2024DATA'!$N$9,"")</f>
        <v/>
      </c>
      <c r="AD354" s="940" t="s">
        <v>66</v>
      </c>
      <c r="AE354" s="13" t="s">
        <v>61</v>
      </c>
      <c r="AF354" s="518" t="str">
        <f>IF(AND(_B="A-330-200",'2024'!$M$4="CA",'2024'!$M$2=AF347),'2024DATA'!$C$9,"")</f>
        <v/>
      </c>
      <c r="AG354" s="518" t="str">
        <f>IF(AND(_B="A-330-200",'2024'!$M$4="CA",'2024'!$M$2=AG347),'2024DATA'!$D$9,"")</f>
        <v/>
      </c>
      <c r="AH354" s="518" t="str">
        <f>IF(AND(_B="A-330-200",'2024'!$M$4="CA",'2024'!$M$2=AH347),'2024DATA'!$E$9,"")</f>
        <v/>
      </c>
      <c r="AI354" s="518" t="str">
        <f>IF(AND(_B="A-330-200",'2024'!$M$4="CA",'2024'!$M$2=AI347),'2024DATA'!$F$9,"")</f>
        <v/>
      </c>
      <c r="AJ354" s="518" t="str">
        <f>IF(AND(_B="A-330-200",'2024'!$M$4="CA",'2024'!$M$2=AJ347),'2024DATA'!$G$9,"")</f>
        <v/>
      </c>
      <c r="AK354" s="518" t="str">
        <f>IF(AND(_B="A-330-200",'2024'!$M$4="CA",'2024'!$M$2=AK347),'2024DATA'!$H$9,"")</f>
        <v/>
      </c>
      <c r="AL354" s="518" t="str">
        <f>IF(AND(_B="A-330-200",'2024'!$M$4="CA",'2024'!$M$2=AL347),'2024DATA'!$I$9,"")</f>
        <v/>
      </c>
      <c r="AM354" s="518" t="str">
        <f>IF(AND(_B="A-330-200",'2024'!$M$4="CA",'2024'!$M$2=AM347),'2024DATA'!$J$9,"")</f>
        <v/>
      </c>
      <c r="AN354" s="518" t="str">
        <f>IF(AND(_B="A-330-200",'2024'!$M$4="CA",'2024'!$M$2=AN347),'2024DATA'!$K$9,"")</f>
        <v/>
      </c>
      <c r="AO354" s="518" t="str">
        <f>IF(AND(_B="A-330-200",'2024'!$M$4="CA",'2024'!$M$2=AO347),'2024DATA'!$L$9,"")</f>
        <v/>
      </c>
      <c r="AP354" s="518" t="str">
        <f>IF(AND(_B="A-330-200",'2024'!$M$4="CA",'2024'!$M$2=AP347),'2024DATA'!$M$9,"")</f>
        <v/>
      </c>
      <c r="AQ354" s="520" t="str">
        <f>IF(AND(_B="A-330-200",'2024'!$M$4="CA",'2024'!$M$2=AQ347),'2024DATA'!$N$9,"")</f>
        <v/>
      </c>
      <c r="AR354" s="940" t="s">
        <v>66</v>
      </c>
      <c r="AS354" s="13" t="s">
        <v>61</v>
      </c>
      <c r="AT354" s="518" t="str">
        <f>IF(AND(_C="A-330-200",'2024'!$M$4="CA",'2024'!$M$2=AT347),'2024DATA'!$C$9,"")</f>
        <v/>
      </c>
      <c r="AU354" s="518" t="str">
        <f>IF(AND(_C="A-330-200",'2024'!$M$4="CA",'2024'!$M$2=AU347),'2024DATA'!$D$9,"")</f>
        <v/>
      </c>
      <c r="AV354" s="518" t="str">
        <f>IF(AND(_C="A-330-200",'2024'!$M$4="CA",'2024'!$M$2=AV347),'2024DATA'!$E$9,"")</f>
        <v/>
      </c>
      <c r="AW354" s="518" t="str">
        <f>IF(AND(_C="A-330-200",'2024'!$M$4="CA",'2024'!$M$2=AW347),'2024DATA'!$F$9,"")</f>
        <v/>
      </c>
      <c r="AX354" s="518" t="str">
        <f>IF(AND(_C="A-330-200",'2024'!$M$4="CA",'2024'!$M$2=AX347),'2024DATA'!$G$9,"")</f>
        <v/>
      </c>
      <c r="AY354" s="518" t="str">
        <f>IF(AND(_C="A-330-200",'2024'!$M$4="CA",'2024'!$M$2=AY347),'2024DATA'!$H$9,"")</f>
        <v/>
      </c>
      <c r="AZ354" s="518" t="str">
        <f>IF(AND(_C="A-330-200",'2024'!$M$4="CA",'2024'!$M$2=AZ347),'2024DATA'!$I$9,"")</f>
        <v/>
      </c>
      <c r="BA354" s="518" t="str">
        <f>IF(AND(_C="A-330-200",'2024'!$M$4="CA",'2024'!$M$2=BA347),'2024DATA'!$J$9,"")</f>
        <v/>
      </c>
      <c r="BB354" s="518" t="str">
        <f>IF(AND(_C="A-330-200",'2024'!$M$4="CA",'2024'!$M$2=BB347),'2024DATA'!$K$9,"")</f>
        <v/>
      </c>
      <c r="BC354" s="518" t="str">
        <f>IF(AND(_C="A-330-200",'2024'!$M$4="CA",'2024'!$M$2=BC347),'2024DATA'!$L$9,"")</f>
        <v/>
      </c>
      <c r="BD354" s="518" t="str">
        <f>IF(AND(_C="A-330-200",'2024'!$M$4="CA",'2024'!$M$2=BD347),'2024DATA'!$M$9,"")</f>
        <v/>
      </c>
      <c r="BE354" s="520" t="str">
        <f>IF(AND(_C="A-330-200",'2024'!$M$4="CA",'2024'!$M$2=BE347),'2024DATA'!$N$9,"")</f>
        <v/>
      </c>
      <c r="BF354" s="940" t="s">
        <v>66</v>
      </c>
      <c r="BG354" s="13" t="s">
        <v>61</v>
      </c>
      <c r="BH354" s="518" t="str">
        <f>IF(AND(_D="A-330-200",'2024'!$M$4="CA",'2024'!$M$2=BH347),'2024DATA'!$C$9,"")</f>
        <v/>
      </c>
      <c r="BI354" s="518" t="str">
        <f>IF(AND(_D="A-330-200",'2024'!$M$4="CA",'2024'!$M$2=BI347),'2024DATA'!$D$9,"")</f>
        <v/>
      </c>
      <c r="BJ354" s="518" t="str">
        <f>IF(AND(_D="A-330-200",'2024'!$M$4="CA",'2024'!$M$2=BJ347),'2024DATA'!$E$9,"")</f>
        <v/>
      </c>
      <c r="BK354" s="518" t="str">
        <f>IF(AND(_D="A-330-200",'2024'!$M$4="CA",'2024'!$M$2=BK347),'2024DATA'!$F$9,"")</f>
        <v/>
      </c>
      <c r="BL354" s="518" t="str">
        <f>IF(AND(_D="A-330-200",'2024'!$M$4="CA",'2024'!$M$2=BL347),'2024DATA'!$G$9,"")</f>
        <v/>
      </c>
      <c r="BM354" s="518" t="str">
        <f>IF(AND(_D="A-330-200",'2024'!$M$4="CA",'2024'!$M$2=BM347),'2024DATA'!$H$9,"")</f>
        <v/>
      </c>
      <c r="BN354" s="518" t="str">
        <f>IF(AND(_D="A-330-200",'2024'!$M$4="CA",'2024'!$M$2=BN347),'2024DATA'!$I$9,"")</f>
        <v/>
      </c>
      <c r="BO354" s="518" t="str">
        <f>IF(AND(_D="A-330-200",'2024'!$M$4="CA",'2024'!$M$2=BO347),'2024DATA'!$J$9,"")</f>
        <v/>
      </c>
      <c r="BP354" s="518" t="str">
        <f>IF(AND(_D="A-330-200",'2024'!$M$4="CA",'2024'!$M$2=BP347),'2024DATA'!$K$9,"")</f>
        <v/>
      </c>
      <c r="BQ354" s="518" t="str">
        <f>IF(AND(_D="A-330-200",'2024'!$M$4="CA",'2024'!$M$2=BQ347),'2024DATA'!$L$9,"")</f>
        <v/>
      </c>
      <c r="BR354" s="518" t="str">
        <f>IF(AND(_D="A-330-200",'2024'!$M$4="CA",'2024'!$M$2=BR347),'2024DATA'!$M$9,"")</f>
        <v/>
      </c>
      <c r="BS354" s="520" t="str">
        <f>IF(AND(_D="A-330-200",'2024'!$M$4="CA",'2024'!$M$2=BS347),'2024DATA'!$N$9,"")</f>
        <v/>
      </c>
      <c r="BT354" s="940" t="s">
        <v>66</v>
      </c>
      <c r="BU354" s="13" t="s">
        <v>61</v>
      </c>
      <c r="BV354" s="518" t="str">
        <f>IF(AND(_E="A-330-200",'2024'!$M$4="CA",'2024'!$M$2=BV347),'2024DATA'!$C$9,"")</f>
        <v/>
      </c>
      <c r="BW354" s="518" t="str">
        <f>IF(AND(_E="A-330-200",'2024'!$M$4="CA",'2024'!$M$2=BW347),'2024DATA'!$D$9,"")</f>
        <v/>
      </c>
      <c r="BX354" s="518" t="str">
        <f>IF(AND(_E="A-330-200",'2024'!$M$4="CA",'2024'!$M$2=BX347),'2024DATA'!$E$9,"")</f>
        <v/>
      </c>
      <c r="BY354" s="518" t="str">
        <f>IF(AND(_E="A-330-200",'2024'!$M$4="CA",'2024'!$M$2=BY347),'2024DATA'!$F$9,"")</f>
        <v/>
      </c>
      <c r="BZ354" s="518" t="str">
        <f>IF(AND(_E="A-330-200",'2024'!$M$4="CA",'2024'!$M$2=BZ347),'2024DATA'!$G$9,"")</f>
        <v/>
      </c>
      <c r="CA354" s="518" t="str">
        <f>IF(AND(_E="A-330-200",'2024'!$M$4="CA",'2024'!$M$2=CA347),'2024DATA'!$H$9,"")</f>
        <v/>
      </c>
      <c r="CB354" s="518" t="str">
        <f>IF(AND(_E="A-330-200",'2024'!$M$4="CA",'2024'!$M$2=CB347),'2024DATA'!$I$9,"")</f>
        <v/>
      </c>
      <c r="CC354" s="518" t="str">
        <f>IF(AND(_E="A-330-200",'2024'!$M$4="CA",'2024'!$M$2=CC347),'2024DATA'!$J$9,"")</f>
        <v/>
      </c>
      <c r="CD354" s="518" t="str">
        <f>IF(AND(_E="A-330-200",'2024'!$M$4="CA",'2024'!$M$2=CD347),'2024DATA'!$K$9,"")</f>
        <v/>
      </c>
      <c r="CE354" s="518" t="str">
        <f>IF(AND(_E="A-330-200",'2024'!$M$4="CA",'2024'!$M$2=CE347),'2024DATA'!$L$9,"")</f>
        <v/>
      </c>
      <c r="CF354" s="518" t="str">
        <f>IF(AND(_E="A-330-200",'2024'!$M$4="CA",'2024'!$M$2=CF347),'2024DATA'!$M$9,"")</f>
        <v/>
      </c>
      <c r="CG354" s="520" t="str">
        <f>IF(AND(_E="A-330-200",'2024'!$M$4="CA",'2024'!$M$2=CG347),'2024DATA'!$N$9,"")</f>
        <v/>
      </c>
      <c r="CH354" s="940" t="s">
        <v>66</v>
      </c>
      <c r="CI354" s="13" t="s">
        <v>61</v>
      </c>
      <c r="CJ354" s="518" t="str">
        <f>IF(AND(_F="A-330-200",'2024'!$M$4="CA",'2024'!$M$2=CJ347),'2024DATA'!$C$9,"")</f>
        <v/>
      </c>
      <c r="CK354" s="518" t="str">
        <f>IF(AND(_F="A-330-200",'2024'!$M$4="CA",'2024'!$M$2=CK347),'2024DATA'!$D$9,"")</f>
        <v/>
      </c>
      <c r="CL354" s="518" t="str">
        <f>IF(AND(_F="A-330-200",'2024'!$M$4="CA",'2024'!$M$2=CL347),'2024DATA'!$E$9,"")</f>
        <v/>
      </c>
      <c r="CM354" s="518" t="str">
        <f>IF(AND(_F="A-330-200",'2024'!$M$4="CA",'2024'!$M$2=CM347),'2024DATA'!$F$9,"")</f>
        <v/>
      </c>
      <c r="CN354" s="518" t="str">
        <f>IF(AND(_F="A-330-200",'2024'!$M$4="CA",'2024'!$M$2=CN347),'2024DATA'!$G$9,"")</f>
        <v/>
      </c>
      <c r="CO354" s="518" t="str">
        <f>IF(AND(_F="A-330-200",'2024'!$M$4="CA",'2024'!$M$2=CO347),'2024DATA'!$H$9,"")</f>
        <v/>
      </c>
      <c r="CP354" s="518" t="str">
        <f>IF(AND(_F="A-330-200",'2024'!$M$4="CA",'2024'!$M$2=CP347),'2024DATA'!$I$9,"")</f>
        <v/>
      </c>
      <c r="CQ354" s="518" t="str">
        <f>IF(AND(_F="A-330-200",'2024'!$M$4="CA",'2024'!$M$2=CQ347),'2024DATA'!$J$9,"")</f>
        <v/>
      </c>
      <c r="CR354" s="518" t="str">
        <f>IF(AND(_F="A-330-200",'2024'!$M$4="CA",'2024'!$M$2=CR347),'2024DATA'!$K$9,"")</f>
        <v/>
      </c>
      <c r="CS354" s="518" t="str">
        <f>IF(AND(_F="A-330-200",'2024'!$M$4="CA",'2024'!$M$2=CS347),'2024DATA'!$L$9,"")</f>
        <v/>
      </c>
      <c r="CT354" s="518" t="str">
        <f>IF(AND(_F="A-330-200",'2024'!$M$4="CA",'2024'!$M$2=CT347),'2024DATA'!$M$9,"")</f>
        <v/>
      </c>
      <c r="CU354" s="520" t="str">
        <f>IF(AND(_F="A-330-200",'2024'!$M$4="CA",'2024'!$M$2=CU347),'2024DATA'!$N$9,"")</f>
        <v/>
      </c>
    </row>
    <row r="355" spans="16:99" x14ac:dyDescent="0.25">
      <c r="P355" s="940"/>
      <c r="Q355" s="13" t="s">
        <v>62</v>
      </c>
      <c r="R355" s="518" t="str">
        <f>IF(AND(_A="A-330-200",'2024'!$M$4="FO",'2024'!$M$2=R347),'2024DATA'!$C$10,"")</f>
        <v/>
      </c>
      <c r="S355" s="518" t="str">
        <f>IF(AND(_A="A-330-200",'2024'!$M$4="FO",'2024'!$M$2=S347),'2024DATA'!$D$10,"")</f>
        <v/>
      </c>
      <c r="T355" s="518" t="str">
        <f>IF(AND(_A="A-330-200",'2024'!$M$4="FO",'2024'!$M$2=T347),'2024DATA'!$E$10,"")</f>
        <v/>
      </c>
      <c r="U355" s="518" t="str">
        <f>IF(AND(_A="A-330-200",'2024'!$M$4="FO",'2024'!$M$2=U347),'2024DATA'!$F$10,"")</f>
        <v/>
      </c>
      <c r="V355" s="518" t="str">
        <f>IF(AND(_A="A-330-200",'2024'!$M$4="FO",'2024'!$M$2=V347),'2024DATA'!$G$10,"")</f>
        <v/>
      </c>
      <c r="W355" s="518" t="str">
        <f>IF(AND(_A="A-330-200",'2024'!$M$4="FO",'2024'!$M$2=W347),'2024DATA'!$H$10,"")</f>
        <v/>
      </c>
      <c r="X355" s="518" t="str">
        <f>IF(AND(_A="A-330-200",'2024'!$M$4="FO",'2024'!$M$2=X347),'2024DATA'!$I$10,"")</f>
        <v/>
      </c>
      <c r="Y355" s="518" t="str">
        <f>IF(AND(_A="A-330-200",'2024'!$M$4="FO",'2024'!$M$2=Y347),'2024DATA'!$J$10,"")</f>
        <v/>
      </c>
      <c r="Z355" s="518" t="str">
        <f>IF(AND(_A="A-330-200",'2024'!$M$4="FO",'2024'!$M$2=Z347),'2024DATA'!$K$10,"")</f>
        <v/>
      </c>
      <c r="AA355" s="518" t="str">
        <f>IF(AND(_A="A-330-200",'2024'!$M$4="FO",'2024'!$M$2=AA347),'2024DATA'!$L$10,"")</f>
        <v/>
      </c>
      <c r="AB355" s="518" t="str">
        <f>IF(AND(_A="A-330-200",'2024'!$M$4="FO",'2024'!$M$2=AB347),'2024DATA'!$M$10,"")</f>
        <v/>
      </c>
      <c r="AC355" s="520" t="str">
        <f>IF(AND(_A="A-330-200",'2024'!$M$4="FO",'2024'!$M$2=AC347),'2024DATA'!$N$10,"")</f>
        <v/>
      </c>
      <c r="AD355" s="940"/>
      <c r="AE355" s="13" t="s">
        <v>62</v>
      </c>
      <c r="AF355" s="518" t="str">
        <f>IF(AND(_B="A-330-200",'2024'!$M$4="FO",'2024'!$M$2=AF347),'2024DATA'!$C$10,"")</f>
        <v/>
      </c>
      <c r="AG355" s="518" t="str">
        <f>IF(AND(_B="A-330-200",'2024'!$M$4="FO",'2024'!$M$2=AG347),'2024DATA'!$D$10,"")</f>
        <v/>
      </c>
      <c r="AH355" s="518" t="str">
        <f>IF(AND(_B="A-330-200",'2024'!$M$4="FO",'2024'!$M$2=AH347),'2024DATA'!$E$10,"")</f>
        <v/>
      </c>
      <c r="AI355" s="518" t="str">
        <f>IF(AND(_B="A-330-200",'2024'!$M$4="FO",'2024'!$M$2=AI347),'2024DATA'!$F$10,"")</f>
        <v/>
      </c>
      <c r="AJ355" s="518" t="str">
        <f>IF(AND(_B="A-330-200",'2024'!$M$4="FO",'2024'!$M$2=AJ347),'2024DATA'!$G$10,"")</f>
        <v/>
      </c>
      <c r="AK355" s="518" t="str">
        <f>IF(AND(_B="A-330-200",'2024'!$M$4="FO",'2024'!$M$2=AK347),'2024DATA'!$H$10,"")</f>
        <v/>
      </c>
      <c r="AL355" s="518" t="str">
        <f>IF(AND(_B="A-330-200",'2024'!$M$4="FO",'2024'!$M$2=AL347),'2024DATA'!$I$10,"")</f>
        <v/>
      </c>
      <c r="AM355" s="518" t="str">
        <f>IF(AND(_B="A-330-200",'2024'!$M$4="FO",'2024'!$M$2=AM347),'2024DATA'!$J$10,"")</f>
        <v/>
      </c>
      <c r="AN355" s="518" t="str">
        <f>IF(AND(_B="A-330-200",'2024'!$M$4="FO",'2024'!$M$2=AN347),'2024DATA'!$K$10,"")</f>
        <v/>
      </c>
      <c r="AO355" s="518" t="str">
        <f>IF(AND(_B="A-330-200",'2024'!$M$4="FO",'2024'!$M$2=AO347),'2024DATA'!$L$10,"")</f>
        <v/>
      </c>
      <c r="AP355" s="518" t="str">
        <f>IF(AND(_B="A-330-200",'2024'!$M$4="FO",'2024'!$M$2=AP347),'2024DATA'!$M$10,"")</f>
        <v/>
      </c>
      <c r="AQ355" s="520" t="str">
        <f>IF(AND(_B="A-330-200",'2024'!$M$4="FO",'2024'!$M$2=AQ347),'2024DATA'!$N$10,"")</f>
        <v/>
      </c>
      <c r="AR355" s="940"/>
      <c r="AS355" s="13" t="s">
        <v>62</v>
      </c>
      <c r="AT355" s="518" t="str">
        <f>IF(AND(_C="A-330-200",'2024'!$M$4="FO",'2024'!$M$2=AT347),'2024DATA'!$C$10,"")</f>
        <v/>
      </c>
      <c r="AU355" s="518" t="str">
        <f>IF(AND(_C="A-330-200",'2024'!$M$4="FO",'2024'!$M$2=AU347),'2024DATA'!$D$10,"")</f>
        <v/>
      </c>
      <c r="AV355" s="518" t="str">
        <f>IF(AND(_C="A-330-200",'2024'!$M$4="FO",'2024'!$M$2=AV347),'2024DATA'!$E$10,"")</f>
        <v/>
      </c>
      <c r="AW355" s="518" t="str">
        <f>IF(AND(_C="A-330-200",'2024'!$M$4="FO",'2024'!$M$2=AW347),'2024DATA'!$F$10,"")</f>
        <v/>
      </c>
      <c r="AX355" s="518" t="str">
        <f>IF(AND(_C="A-330-200",'2024'!$M$4="FO",'2024'!$M$2=AX347),'2024DATA'!$G$10,"")</f>
        <v/>
      </c>
      <c r="AY355" s="518" t="str">
        <f>IF(AND(_C="A-330-200",'2024'!$M$4="FO",'2024'!$M$2=AY347),'2024DATA'!$H$10,"")</f>
        <v/>
      </c>
      <c r="AZ355" s="518" t="str">
        <f>IF(AND(_C="A-330-200",'2024'!$M$4="FO",'2024'!$M$2=AZ347),'2024DATA'!$I$10,"")</f>
        <v/>
      </c>
      <c r="BA355" s="518" t="str">
        <f>IF(AND(_C="A-330-200",'2024'!$M$4="FO",'2024'!$M$2=BA347),'2024DATA'!$J$10,"")</f>
        <v/>
      </c>
      <c r="BB355" s="518" t="str">
        <f>IF(AND(_C="A-330-200",'2024'!$M$4="FO",'2024'!$M$2=BB347),'2024DATA'!$K$10,"")</f>
        <v/>
      </c>
      <c r="BC355" s="518" t="str">
        <f>IF(AND(_C="A-330-200",'2024'!$M$4="FO",'2024'!$M$2=BC347),'2024DATA'!$L$10,"")</f>
        <v/>
      </c>
      <c r="BD355" s="518" t="str">
        <f>IF(AND(_C="A-330-200",'2024'!$M$4="FO",'2024'!$M$2=BD347),'2024DATA'!$M$10,"")</f>
        <v/>
      </c>
      <c r="BE355" s="520" t="str">
        <f>IF(AND(_C="A-330-200",'2024'!$M$4="FO",'2024'!$M$2=BE347),'2024DATA'!$N$10,"")</f>
        <v/>
      </c>
      <c r="BF355" s="940"/>
      <c r="BG355" s="13" t="s">
        <v>62</v>
      </c>
      <c r="BH355" s="518" t="str">
        <f>IF(AND(_D="A-330-200",'2024'!$M$4="FO",'2024'!$M$2=BH347),'2024DATA'!$C$10,"")</f>
        <v/>
      </c>
      <c r="BI355" s="518" t="str">
        <f>IF(AND(_D="A-330-200",'2024'!$M$4="FO",'2024'!$M$2=BI347),'2024DATA'!$D$10,"")</f>
        <v/>
      </c>
      <c r="BJ355" s="518" t="str">
        <f>IF(AND(_D="A-330-200",'2024'!$M$4="FO",'2024'!$M$2=BJ347),'2024DATA'!$E$10,"")</f>
        <v/>
      </c>
      <c r="BK355" s="518" t="str">
        <f>IF(AND(_D="A-330-200",'2024'!$M$4="FO",'2024'!$M$2=BK347),'2024DATA'!$F$10,"")</f>
        <v/>
      </c>
      <c r="BL355" s="518" t="str">
        <f>IF(AND(_D="A-330-200",'2024'!$M$4="FO",'2024'!$M$2=BL347),'2024DATA'!$G$10,"")</f>
        <v/>
      </c>
      <c r="BM355" s="518" t="str">
        <f>IF(AND(_D="A-330-200",'2024'!$M$4="FO",'2024'!$M$2=BM347),'2024DATA'!$H$10,"")</f>
        <v/>
      </c>
      <c r="BN355" s="518" t="str">
        <f>IF(AND(_D="A-330-200",'2024'!$M$4="FO",'2024'!$M$2=BN347),'2024DATA'!$I$10,"")</f>
        <v/>
      </c>
      <c r="BO355" s="518" t="str">
        <f>IF(AND(_D="A-330-200",'2024'!$M$4="FO",'2024'!$M$2=BO347),'2024DATA'!$J$10,"")</f>
        <v/>
      </c>
      <c r="BP355" s="518" t="str">
        <f>IF(AND(_D="A-330-200",'2024'!$M$4="FO",'2024'!$M$2=BP347),'2024DATA'!$K$10,"")</f>
        <v/>
      </c>
      <c r="BQ355" s="518" t="str">
        <f>IF(AND(_D="A-330-200",'2024'!$M$4="FO",'2024'!$M$2=BQ347),'2024DATA'!$L$10,"")</f>
        <v/>
      </c>
      <c r="BR355" s="518" t="str">
        <f>IF(AND(_D="A-330-200",'2024'!$M$4="FO",'2024'!$M$2=BR347),'2024DATA'!$M$10,"")</f>
        <v/>
      </c>
      <c r="BS355" s="520" t="str">
        <f>IF(AND(_D="A-330-200",'2024'!$M$4="FO",'2024'!$M$2=BS347),'2024DATA'!$N$10,"")</f>
        <v/>
      </c>
      <c r="BT355" s="940"/>
      <c r="BU355" s="13" t="s">
        <v>62</v>
      </c>
      <c r="BV355" s="518" t="str">
        <f>IF(AND(_E="A-330-200",'2024'!$M$4="FO",'2024'!$M$2=BV347),'2024DATA'!$C$10,"")</f>
        <v/>
      </c>
      <c r="BW355" s="518" t="str">
        <f>IF(AND(_E="A-330-200",'2024'!$M$4="FO",'2024'!$M$2=BW347),'2024DATA'!$D$10,"")</f>
        <v/>
      </c>
      <c r="BX355" s="518" t="str">
        <f>IF(AND(_E="A-330-200",'2024'!$M$4="FO",'2024'!$M$2=BX347),'2024DATA'!$E$10,"")</f>
        <v/>
      </c>
      <c r="BY355" s="518" t="str">
        <f>IF(AND(_E="A-330-200",'2024'!$M$4="FO",'2024'!$M$2=BY347),'2024DATA'!$F$10,"")</f>
        <v/>
      </c>
      <c r="BZ355" s="518" t="str">
        <f>IF(AND(_E="A-330-200",'2024'!$M$4="FO",'2024'!$M$2=BZ347),'2024DATA'!$G$10,"")</f>
        <v/>
      </c>
      <c r="CA355" s="518" t="str">
        <f>IF(AND(_E="A-330-200",'2024'!$M$4="FO",'2024'!$M$2=CA347),'2024DATA'!$H$10,"")</f>
        <v/>
      </c>
      <c r="CB355" s="518" t="str">
        <f>IF(AND(_E="A-330-200",'2024'!$M$4="FO",'2024'!$M$2=CB347),'2024DATA'!$I$10,"")</f>
        <v/>
      </c>
      <c r="CC355" s="518" t="str">
        <f>IF(AND(_E="A-330-200",'2024'!$M$4="FO",'2024'!$M$2=CC347),'2024DATA'!$J$10,"")</f>
        <v/>
      </c>
      <c r="CD355" s="518" t="str">
        <f>IF(AND(_E="A-330-200",'2024'!$M$4="FO",'2024'!$M$2=CD347),'2024DATA'!$K$10,"")</f>
        <v/>
      </c>
      <c r="CE355" s="518" t="str">
        <f>IF(AND(_E="A-330-200",'2024'!$M$4="FO",'2024'!$M$2=CE347),'2024DATA'!$L$10,"")</f>
        <v/>
      </c>
      <c r="CF355" s="518" t="str">
        <f>IF(AND(_E="A-330-200",'2024'!$M$4="FO",'2024'!$M$2=CF347),'2024DATA'!$M$10,"")</f>
        <v/>
      </c>
      <c r="CG355" s="520" t="str">
        <f>IF(AND(_E="A-330-200",'2024'!$M$4="FO",'2024'!$M$2=CG347),'2024DATA'!$N$10,"")</f>
        <v/>
      </c>
      <c r="CH355" s="940"/>
      <c r="CI355" s="13" t="s">
        <v>62</v>
      </c>
      <c r="CJ355" s="518" t="str">
        <f>IF(AND(_F="A-330-200",'2024'!$M$4="FO",'2024'!$M$2=CJ347),'2024DATA'!$C$10,"")</f>
        <v/>
      </c>
      <c r="CK355" s="518" t="str">
        <f>IF(AND(_F="A-330-200",'2024'!$M$4="FO",'2024'!$M$2=CK347),'2024DATA'!$D$10,"")</f>
        <v/>
      </c>
      <c r="CL355" s="518" t="str">
        <f>IF(AND(_F="A-330-200",'2024'!$M$4="FO",'2024'!$M$2=CL347),'2024DATA'!$E$10,"")</f>
        <v/>
      </c>
      <c r="CM355" s="518" t="str">
        <f>IF(AND(_F="A-330-200",'2024'!$M$4="FO",'2024'!$M$2=CM347),'2024DATA'!$F$10,"")</f>
        <v/>
      </c>
      <c r="CN355" s="518" t="str">
        <f>IF(AND(_F="A-330-200",'2024'!$M$4="FO",'2024'!$M$2=CN347),'2024DATA'!$G$10,"")</f>
        <v/>
      </c>
      <c r="CO355" s="518" t="str">
        <f>IF(AND(_F="A-330-200",'2024'!$M$4="FO",'2024'!$M$2=CO347),'2024DATA'!$H$10,"")</f>
        <v/>
      </c>
      <c r="CP355" s="518" t="str">
        <f>IF(AND(_F="A-330-200",'2024'!$M$4="FO",'2024'!$M$2=CP347),'2024DATA'!$I$10,"")</f>
        <v/>
      </c>
      <c r="CQ355" s="518" t="str">
        <f>IF(AND(_F="A-330-200",'2024'!$M$4="FO",'2024'!$M$2=CQ347),'2024DATA'!$J$10,"")</f>
        <v/>
      </c>
      <c r="CR355" s="518" t="str">
        <f>IF(AND(_F="A-330-200",'2024'!$M$4="FO",'2024'!$M$2=CR347),'2024DATA'!$K$10,"")</f>
        <v/>
      </c>
      <c r="CS355" s="518" t="str">
        <f>IF(AND(_F="A-330-200",'2024'!$M$4="FO",'2024'!$M$2=CS347),'2024DATA'!$L$10,"")</f>
        <v/>
      </c>
      <c r="CT355" s="518" t="str">
        <f>IF(AND(_F="A-330-200",'2024'!$M$4="FO",'2024'!$M$2=CT347),'2024DATA'!$M$10,"")</f>
        <v/>
      </c>
      <c r="CU355" s="520" t="str">
        <f>IF(AND(_F="A-330-200",'2024'!$M$4="FO",'2024'!$M$2=CU347),'2024DATA'!$N$10,"")</f>
        <v/>
      </c>
    </row>
    <row r="356" spans="16:99" x14ac:dyDescent="0.25">
      <c r="P356" s="940" t="s">
        <v>42</v>
      </c>
      <c r="Q356" s="13" t="s">
        <v>61</v>
      </c>
      <c r="R356" s="518" t="str">
        <f>IF(AND(_A="B-767-400ER",'2024'!$M$4="CA",'2024'!$M$2=R347),'2024DATA'!$C$11,"")</f>
        <v/>
      </c>
      <c r="S356" s="518" t="str">
        <f>IF(AND(_A="B-767-400ER",'2024'!$M$4="CA",'2024'!$M$2=S347),'2024DATA'!$D$11,"")</f>
        <v/>
      </c>
      <c r="T356" s="518" t="str">
        <f>IF(AND(_A="B-767-400ER",'2024'!$M$4="CA",'2024'!$M$2=T347),'2024DATA'!$E$11,"")</f>
        <v/>
      </c>
      <c r="U356" s="518" t="str">
        <f>IF(AND(_A="B-767-400ER",'2024'!$M$4="CA",'2024'!$M$2=U347),'2024DATA'!$F$11,"")</f>
        <v/>
      </c>
      <c r="V356" s="518" t="str">
        <f>IF(AND(_A="B-767-400ER",'2024'!$M$4="CA",'2024'!$M$2=V347),'2024DATA'!$G$11,"")</f>
        <v/>
      </c>
      <c r="W356" s="518" t="str">
        <f>IF(AND(_A="B-767-400ER",'2024'!$M$4="CA",'2024'!$M$2=W347),'2024DATA'!$H$11,"")</f>
        <v/>
      </c>
      <c r="X356" s="518" t="str">
        <f>IF(AND(_A="B-767-400ER",'2024'!$M$4="CA",'2024'!$M$2=X347),'2024DATA'!$I$11,"")</f>
        <v/>
      </c>
      <c r="Y356" s="518" t="str">
        <f>IF(AND(_A="B-767-400ER",'2024'!$M$4="CA",'2024'!$M$2=Y347),'2024DATA'!$J$11,"")</f>
        <v/>
      </c>
      <c r="Z356" s="518" t="str">
        <f>IF(AND(_A="B-767-400ER",'2024'!$M$4="CA",'2024'!$M$2=Z347),'2024DATA'!$K$11,"")</f>
        <v/>
      </c>
      <c r="AA356" s="518" t="str">
        <f>IF(AND(_A="B-767-400ER",'2024'!$M$4="CA",'2024'!$M$2=AA347),'2024DATA'!$L$11,"")</f>
        <v/>
      </c>
      <c r="AB356" s="518" t="str">
        <f>IF(AND(_A="B-767-400ER",'2024'!$M$4="CA",'2024'!$M$2=AB347),'2024DATA'!$M$11,"")</f>
        <v/>
      </c>
      <c r="AC356" s="520" t="str">
        <f>IF(AND(_A="B-767-400ER",'2024'!$M$4="CA",'2024'!$M$2=AC347),'2024DATA'!$N$11,"")</f>
        <v/>
      </c>
      <c r="AD356" s="940" t="s">
        <v>42</v>
      </c>
      <c r="AE356" s="13" t="s">
        <v>61</v>
      </c>
      <c r="AF356" s="518" t="str">
        <f>IF(AND(_B="B-767-400ER",'2024'!$M$4="CA",'2024'!$M$2=AF347),'2024DATA'!$C$11,"")</f>
        <v/>
      </c>
      <c r="AG356" s="518" t="str">
        <f>IF(AND(_B="B-767-400ER",'2024'!$M$4="CA",'2024'!$M$2=AG347),'2024DATA'!$D$11,"")</f>
        <v/>
      </c>
      <c r="AH356" s="518" t="str">
        <f>IF(AND(_B="B-767-400ER",'2024'!$M$4="CA",'2024'!$M$2=AH347),'2024DATA'!$E$11,"")</f>
        <v/>
      </c>
      <c r="AI356" s="518" t="str">
        <f>IF(AND(_B="B-767-400ER",'2024'!$M$4="CA",'2024'!$M$2=AI347),'2024DATA'!$F$11,"")</f>
        <v/>
      </c>
      <c r="AJ356" s="518" t="str">
        <f>IF(AND(_B="B-767-400ER",'2024'!$M$4="CA",'2024'!$M$2=AJ347),'2024DATA'!$G$11,"")</f>
        <v/>
      </c>
      <c r="AK356" s="518" t="str">
        <f>IF(AND(_B="B-767-400ER",'2024'!$M$4="CA",'2024'!$M$2=AK347),'2024DATA'!$H$11,"")</f>
        <v/>
      </c>
      <c r="AL356" s="518" t="str">
        <f>IF(AND(_B="B-767-400ER",'2024'!$M$4="CA",'2024'!$M$2=AL347),'2024DATA'!$I$11,"")</f>
        <v/>
      </c>
      <c r="AM356" s="518" t="str">
        <f>IF(AND(_B="B-767-400ER",'2024'!$M$4="CA",'2024'!$M$2=AM347),'2024DATA'!$J$11,"")</f>
        <v/>
      </c>
      <c r="AN356" s="518" t="str">
        <f>IF(AND(_B="B-767-400ER",'2024'!$M$4="CA",'2024'!$M$2=AN347),'2024DATA'!$K$11,"")</f>
        <v/>
      </c>
      <c r="AO356" s="518" t="str">
        <f>IF(AND(_B="B-767-400ER",'2024'!$M$4="CA",'2024'!$M$2=AO347),'2024DATA'!$L$11,"")</f>
        <v/>
      </c>
      <c r="AP356" s="518" t="str">
        <f>IF(AND(_B="B-767-400ER",'2024'!$M$4="CA",'2024'!$M$2=AP347),'2024DATA'!$M$11,"")</f>
        <v/>
      </c>
      <c r="AQ356" s="520" t="str">
        <f>IF(AND(_B="B-767-400ER",'2024'!$M$4="CA",'2024'!$M$2=AQ347),'2024DATA'!$N$11,"")</f>
        <v/>
      </c>
      <c r="AR356" s="940" t="s">
        <v>42</v>
      </c>
      <c r="AS356" s="13" t="s">
        <v>61</v>
      </c>
      <c r="AT356" s="518" t="str">
        <f>IF(AND(_C="B-767-400ER",'2024'!$M$4="CA",'2024'!$M$2=AT347),'2024DATA'!$C$11,"")</f>
        <v/>
      </c>
      <c r="AU356" s="518" t="str">
        <f>IF(AND(_C="B-767-400ER",'2024'!$M$4="CA",'2024'!$M$2=AU347),'2024DATA'!$D$11,"")</f>
        <v/>
      </c>
      <c r="AV356" s="518" t="str">
        <f>IF(AND(_C="B-767-400ER",'2024'!$M$4="CA",'2024'!$M$2=AV347),'2024DATA'!$E$11,"")</f>
        <v/>
      </c>
      <c r="AW356" s="518" t="str">
        <f>IF(AND(_C="B-767-400ER",'2024'!$M$4="CA",'2024'!$M$2=AW347),'2024DATA'!$F$11,"")</f>
        <v/>
      </c>
      <c r="AX356" s="518" t="str">
        <f>IF(AND(_C="B-767-400ER",'2024'!$M$4="CA",'2024'!$M$2=AX347),'2024DATA'!$G$11,"")</f>
        <v/>
      </c>
      <c r="AY356" s="518" t="str">
        <f>IF(AND(_C="B-767-400ER",'2024'!$M$4="CA",'2024'!$M$2=AY347),'2024DATA'!$H$11,"")</f>
        <v/>
      </c>
      <c r="AZ356" s="518" t="str">
        <f>IF(AND(_C="B-767-400ER",'2024'!$M$4="CA",'2024'!$M$2=AZ347),'2024DATA'!$I$11,"")</f>
        <v/>
      </c>
      <c r="BA356" s="518" t="str">
        <f>IF(AND(_C="B-767-400ER",'2024'!$M$4="CA",'2024'!$M$2=BA347),'2024DATA'!$J$11,"")</f>
        <v/>
      </c>
      <c r="BB356" s="518" t="str">
        <f>IF(AND(_C="B-767-400ER",'2024'!$M$4="CA",'2024'!$M$2=BB347),'2024DATA'!$K$11,"")</f>
        <v/>
      </c>
      <c r="BC356" s="518" t="str">
        <f>IF(AND(_C="B-767-400ER",'2024'!$M$4="CA",'2024'!$M$2=BC347),'2024DATA'!$L$11,"")</f>
        <v/>
      </c>
      <c r="BD356" s="518" t="str">
        <f>IF(AND(_C="B-767-400ER",'2024'!$M$4="CA",'2024'!$M$2=BD347),'2024DATA'!$M$11,"")</f>
        <v/>
      </c>
      <c r="BE356" s="520" t="str">
        <f>IF(AND(_C="B-767-400ER",'2024'!$M$4="CA",'2024'!$M$2=BE347),'2024DATA'!$N$11,"")</f>
        <v/>
      </c>
      <c r="BF356" s="940" t="s">
        <v>42</v>
      </c>
      <c r="BG356" s="13" t="s">
        <v>61</v>
      </c>
      <c r="BH356" s="518" t="str">
        <f>IF(AND(_D="B-767-400ER",'2024'!$M$4="CA",'2024'!$M$2=BH347),'2024DATA'!$C$11,"")</f>
        <v/>
      </c>
      <c r="BI356" s="518" t="str">
        <f>IF(AND(_D="B-767-400ER",'2024'!$M$4="CA",'2024'!$M$2=BI347),'2024DATA'!$D$11,"")</f>
        <v/>
      </c>
      <c r="BJ356" s="518" t="str">
        <f>IF(AND(_D="B-767-400ER",'2024'!$M$4="CA",'2024'!$M$2=BJ347),'2024DATA'!$E$11,"")</f>
        <v/>
      </c>
      <c r="BK356" s="518" t="str">
        <f>IF(AND(_D="B-767-400ER",'2024'!$M$4="CA",'2024'!$M$2=BK347),'2024DATA'!$F$11,"")</f>
        <v/>
      </c>
      <c r="BL356" s="518" t="str">
        <f>IF(AND(_D="B-767-400ER",'2024'!$M$4="CA",'2024'!$M$2=BL347),'2024DATA'!$G$11,"")</f>
        <v/>
      </c>
      <c r="BM356" s="518" t="str">
        <f>IF(AND(_D="B-767-400ER",'2024'!$M$4="CA",'2024'!$M$2=BM347),'2024DATA'!$H$11,"")</f>
        <v/>
      </c>
      <c r="BN356" s="518" t="str">
        <f>IF(AND(_D="B-767-400ER",'2024'!$M$4="CA",'2024'!$M$2=BN347),'2024DATA'!$I$11,"")</f>
        <v/>
      </c>
      <c r="BO356" s="518" t="str">
        <f>IF(AND(_D="B-767-400ER",'2024'!$M$4="CA",'2024'!$M$2=BO347),'2024DATA'!$J$11,"")</f>
        <v/>
      </c>
      <c r="BP356" s="518" t="str">
        <f>IF(AND(_D="B-767-400ER",'2024'!$M$4="CA",'2024'!$M$2=BP347),'2024DATA'!$K$11,"")</f>
        <v/>
      </c>
      <c r="BQ356" s="518" t="str">
        <f>IF(AND(_D="B-767-400ER",'2024'!$M$4="CA",'2024'!$M$2=BQ347),'2024DATA'!$L$11,"")</f>
        <v/>
      </c>
      <c r="BR356" s="518" t="str">
        <f>IF(AND(_D="B-767-400ER",'2024'!$M$4="CA",'2024'!$M$2=BR347),'2024DATA'!$M$11,"")</f>
        <v/>
      </c>
      <c r="BS356" s="520" t="str">
        <f>IF(AND(_D="B-767-400ER",'2024'!$M$4="CA",'2024'!$M$2=BS347),'2024DATA'!$N$11,"")</f>
        <v/>
      </c>
      <c r="BT356" s="940" t="s">
        <v>42</v>
      </c>
      <c r="BU356" s="13" t="s">
        <v>61</v>
      </c>
      <c r="BV356" s="518" t="str">
        <f>IF(AND(_E="B-767-400ER",'2024'!$M$4="CA",'2024'!$M$2=BV347),'2024DATA'!$C$11,"")</f>
        <v/>
      </c>
      <c r="BW356" s="518" t="str">
        <f>IF(AND(_E="B-767-400ER",'2024'!$M$4="CA",'2024'!$M$2=BW347),'2024DATA'!$D$11,"")</f>
        <v/>
      </c>
      <c r="BX356" s="518" t="str">
        <f>IF(AND(_E="B-767-400ER",'2024'!$M$4="CA",'2024'!$M$2=BX347),'2024DATA'!$E$11,"")</f>
        <v/>
      </c>
      <c r="BY356" s="518" t="str">
        <f>IF(AND(_E="B-767-400ER",'2024'!$M$4="CA",'2024'!$M$2=BY347),'2024DATA'!$F$11,"")</f>
        <v/>
      </c>
      <c r="BZ356" s="518" t="str">
        <f>IF(AND(_E="B-767-400ER",'2024'!$M$4="CA",'2024'!$M$2=BZ347),'2024DATA'!$G$11,"")</f>
        <v/>
      </c>
      <c r="CA356" s="518" t="str">
        <f>IF(AND(_E="B-767-400ER",'2024'!$M$4="CA",'2024'!$M$2=CA347),'2024DATA'!$H$11,"")</f>
        <v/>
      </c>
      <c r="CB356" s="518" t="str">
        <f>IF(AND(_E="B-767-400ER",'2024'!$M$4="CA",'2024'!$M$2=CB347),'2024DATA'!$I$11,"")</f>
        <v/>
      </c>
      <c r="CC356" s="518" t="str">
        <f>IF(AND(_E="B-767-400ER",'2024'!$M$4="CA",'2024'!$M$2=CC347),'2024DATA'!$J$11,"")</f>
        <v/>
      </c>
      <c r="CD356" s="518" t="str">
        <f>IF(AND(_E="B-767-400ER",'2024'!$M$4="CA",'2024'!$M$2=CD347),'2024DATA'!$K$11,"")</f>
        <v/>
      </c>
      <c r="CE356" s="518" t="str">
        <f>IF(AND(_E="B-767-400ER",'2024'!$M$4="CA",'2024'!$M$2=CE347),'2024DATA'!$L$11,"")</f>
        <v/>
      </c>
      <c r="CF356" s="518" t="str">
        <f>IF(AND(_E="B-767-400ER",'2024'!$M$4="CA",'2024'!$M$2=CF347),'2024DATA'!$M$11,"")</f>
        <v/>
      </c>
      <c r="CG356" s="520" t="str">
        <f>IF(AND(_E="B-767-400ER",'2024'!$M$4="CA",'2024'!$M$2=CG347),'2024DATA'!$N$11,"")</f>
        <v/>
      </c>
      <c r="CH356" s="940" t="s">
        <v>42</v>
      </c>
      <c r="CI356" s="13" t="s">
        <v>61</v>
      </c>
      <c r="CJ356" s="518" t="str">
        <f>IF(AND(_F="B-767-400ER",'2024'!$M$4="CA",'2024'!$M$2=CJ347),'2024DATA'!$C$11,"")</f>
        <v/>
      </c>
      <c r="CK356" s="518" t="str">
        <f>IF(AND(_F="B-767-400ER",'2024'!$M$4="CA",'2024'!$M$2=CK347),'2024DATA'!$D$11,"")</f>
        <v/>
      </c>
      <c r="CL356" s="518" t="str">
        <f>IF(AND(_F="B-767-400ER",'2024'!$M$4="CA",'2024'!$M$2=CL347),'2024DATA'!$E$11,"")</f>
        <v/>
      </c>
      <c r="CM356" s="518" t="str">
        <f>IF(AND(_F="B-767-400ER",'2024'!$M$4="CA",'2024'!$M$2=CM347),'2024DATA'!$F$11,"")</f>
        <v/>
      </c>
      <c r="CN356" s="518" t="str">
        <f>IF(AND(_F="B-767-400ER",'2024'!$M$4="CA",'2024'!$M$2=CN347),'2024DATA'!$G$11,"")</f>
        <v/>
      </c>
      <c r="CO356" s="518" t="str">
        <f>IF(AND(_F="B-767-400ER",'2024'!$M$4="CA",'2024'!$M$2=CO347),'2024DATA'!$H$11,"")</f>
        <v/>
      </c>
      <c r="CP356" s="518" t="str">
        <f>IF(AND(_F="B-767-400ER",'2024'!$M$4="CA",'2024'!$M$2=CP347),'2024DATA'!$I$11,"")</f>
        <v/>
      </c>
      <c r="CQ356" s="518" t="str">
        <f>IF(AND(_F="B-767-400ER",'2024'!$M$4="CA",'2024'!$M$2=CQ347),'2024DATA'!$J$11,"")</f>
        <v/>
      </c>
      <c r="CR356" s="518" t="str">
        <f>IF(AND(_F="B-767-400ER",'2024'!$M$4="CA",'2024'!$M$2=CR347),'2024DATA'!$K$11,"")</f>
        <v/>
      </c>
      <c r="CS356" s="518" t="str">
        <f>IF(AND(_F="B-767-400ER",'2024'!$M$4="CA",'2024'!$M$2=CS347),'2024DATA'!$L$11,"")</f>
        <v/>
      </c>
      <c r="CT356" s="518" t="str">
        <f>IF(AND(_F="B-767-400ER",'2024'!$M$4="CA",'2024'!$M$2=CT347),'2024DATA'!$M$11,"")</f>
        <v/>
      </c>
      <c r="CU356" s="520" t="str">
        <f>IF(AND(_F="B-767-400ER",'2024'!$M$4="CA",'2024'!$M$2=CU347),'2024DATA'!$N$11,"")</f>
        <v/>
      </c>
    </row>
    <row r="357" spans="16:99" x14ac:dyDescent="0.25">
      <c r="P357" s="940"/>
      <c r="Q357" s="13" t="s">
        <v>62</v>
      </c>
      <c r="R357" s="518" t="str">
        <f>IF(AND(_A="B-767-400ER",'2024'!$M$4="FO",'2024'!$M$2=R347),'2024DATA'!$C$12,"")</f>
        <v/>
      </c>
      <c r="S357" s="518" t="str">
        <f>IF(AND(_A="B-767-400ER",'2024'!$M$4="FO",'2024'!$M$2=S347),'2024DATA'!$D$12,"")</f>
        <v/>
      </c>
      <c r="T357" s="518" t="str">
        <f>IF(AND(_A="B-767-400ER",'2024'!$M$4="FO",'2024'!$M$2=T347),'2024DATA'!$E$12,"")</f>
        <v/>
      </c>
      <c r="U357" s="518" t="str">
        <f>IF(AND(_A="B-767-400ER",'2024'!$M$4="FO",'2024'!$M$2=U347),'2024DATA'!$F$12,"")</f>
        <v/>
      </c>
      <c r="V357" s="518" t="str">
        <f>IF(AND(_A="B-767-400ER",'2024'!$M$4="FO",'2024'!$M$2=V347),'2024DATA'!$G$12,"")</f>
        <v/>
      </c>
      <c r="W357" s="518" t="str">
        <f>IF(AND(_A="B-767-400ER",'2024'!$M$4="FO",'2024'!$M$2=W347),'2024DATA'!$H$12,"")</f>
        <v/>
      </c>
      <c r="X357" s="518" t="str">
        <f>IF(AND(_A="B-767-400ER",'2024'!$M$4="FO",'2024'!$M$2=X347),'2024DATA'!$I$12,"")</f>
        <v/>
      </c>
      <c r="Y357" s="518" t="str">
        <f>IF(AND(_A="B-767-400ER",'2024'!$M$4="FO",'2024'!$M$2=Y347),'2024DATA'!$J$12,"")</f>
        <v/>
      </c>
      <c r="Z357" s="518" t="str">
        <f>IF(AND(_A="B-767-400ER",'2024'!$M$4="FO",'2024'!$M$2=Z347),'2024DATA'!$K$12,"")</f>
        <v/>
      </c>
      <c r="AA357" s="518" t="str">
        <f>IF(AND(_A="B-767-400ER",'2024'!$M$4="FO",'2024'!$M$2=AA347),'2024DATA'!$L$12,"")</f>
        <v/>
      </c>
      <c r="AB357" s="518" t="str">
        <f>IF(AND(_A="B-767-400ER",'2024'!$M$4="FO",'2024'!$M$2=AB347),'2024DATA'!$M$12,"")</f>
        <v/>
      </c>
      <c r="AC357" s="520" t="str">
        <f>IF(AND(_A="B-767-400ER",'2024'!$M$4="FO",'2024'!$M$2=AC347),'2024DATA'!$N$12,"")</f>
        <v/>
      </c>
      <c r="AD357" s="940"/>
      <c r="AE357" s="13" t="s">
        <v>62</v>
      </c>
      <c r="AF357" s="518" t="str">
        <f>IF(AND(_B="B-767-400ER",'2024'!$M$4="FO",'2024'!$M$2=AF347),'2024DATA'!$C$12,"")</f>
        <v/>
      </c>
      <c r="AG357" s="518" t="str">
        <f>IF(AND(_B="B-767-400ER",'2024'!$M$4="FO",'2024'!$M$2=AG347),'2024DATA'!$D$12,"")</f>
        <v/>
      </c>
      <c r="AH357" s="518" t="str">
        <f>IF(AND(_B="B-767-400ER",'2024'!$M$4="FO",'2024'!$M$2=AH347),'2024DATA'!$E$12,"")</f>
        <v/>
      </c>
      <c r="AI357" s="518" t="str">
        <f>IF(AND(_B="B-767-400ER",'2024'!$M$4="FO",'2024'!$M$2=AI347),'2024DATA'!$F$12,"")</f>
        <v/>
      </c>
      <c r="AJ357" s="518" t="str">
        <f>IF(AND(_B="B-767-400ER",'2024'!$M$4="FO",'2024'!$M$2=AJ347),'2024DATA'!$G$12,"")</f>
        <v/>
      </c>
      <c r="AK357" s="518" t="str">
        <f>IF(AND(_B="B-767-400ER",'2024'!$M$4="FO",'2024'!$M$2=AK347),'2024DATA'!$H$12,"")</f>
        <v/>
      </c>
      <c r="AL357" s="518" t="str">
        <f>IF(AND(_B="B-767-400ER",'2024'!$M$4="FO",'2024'!$M$2=AL347),'2024DATA'!$I$12,"")</f>
        <v/>
      </c>
      <c r="AM357" s="518" t="str">
        <f>IF(AND(_B="B-767-400ER",'2024'!$M$4="FO",'2024'!$M$2=AM347),'2024DATA'!$J$12,"")</f>
        <v/>
      </c>
      <c r="AN357" s="518" t="str">
        <f>IF(AND(_B="B-767-400ER",'2024'!$M$4="FO",'2024'!$M$2=AN347),'2024DATA'!$K$12,"")</f>
        <v/>
      </c>
      <c r="AO357" s="518" t="str">
        <f>IF(AND(_B="B-767-400ER",'2024'!$M$4="FO",'2024'!$M$2=AO347),'2024DATA'!$L$12,"")</f>
        <v/>
      </c>
      <c r="AP357" s="518" t="str">
        <f>IF(AND(_B="B-767-400ER",'2024'!$M$4="FO",'2024'!$M$2=AP347),'2024DATA'!$M$12,"")</f>
        <v/>
      </c>
      <c r="AQ357" s="520" t="str">
        <f>IF(AND(_B="B-767-400ER",'2024'!$M$4="FO",'2024'!$M$2=AQ347),'2024DATA'!$N$12,"")</f>
        <v/>
      </c>
      <c r="AR357" s="940"/>
      <c r="AS357" s="13" t="s">
        <v>62</v>
      </c>
      <c r="AT357" s="518" t="str">
        <f>IF(AND(_C="B-767-400ER",'2024'!$M$4="FO",'2024'!$M$2=AT347),'2024DATA'!$C$12,"")</f>
        <v/>
      </c>
      <c r="AU357" s="518" t="str">
        <f>IF(AND(_C="B-767-400ER",'2024'!$M$4="FO",'2024'!$M$2=AU347),'2024DATA'!$D$12,"")</f>
        <v/>
      </c>
      <c r="AV357" s="518" t="str">
        <f>IF(AND(_C="B-767-400ER",'2024'!$M$4="FO",'2024'!$M$2=AV347),'2024DATA'!$E$12,"")</f>
        <v/>
      </c>
      <c r="AW357" s="518" t="str">
        <f>IF(AND(_C="B-767-400ER",'2024'!$M$4="FO",'2024'!$M$2=AW347),'2024DATA'!$F$12,"")</f>
        <v/>
      </c>
      <c r="AX357" s="518" t="str">
        <f>IF(AND(_C="B-767-400ER",'2024'!$M$4="FO",'2024'!$M$2=AX347),'2024DATA'!$G$12,"")</f>
        <v/>
      </c>
      <c r="AY357" s="518" t="str">
        <f>IF(AND(_C="B-767-400ER",'2024'!$M$4="FO",'2024'!$M$2=AY347),'2024DATA'!$H$12,"")</f>
        <v/>
      </c>
      <c r="AZ357" s="518" t="str">
        <f>IF(AND(_C="B-767-400ER",'2024'!$M$4="FO",'2024'!$M$2=AZ347),'2024DATA'!$I$12,"")</f>
        <v/>
      </c>
      <c r="BA357" s="518" t="str">
        <f>IF(AND(_C="B-767-400ER",'2024'!$M$4="FO",'2024'!$M$2=BA347),'2024DATA'!$J$12,"")</f>
        <v/>
      </c>
      <c r="BB357" s="518" t="str">
        <f>IF(AND(_C="B-767-400ER",'2024'!$M$4="FO",'2024'!$M$2=BB347),'2024DATA'!$K$12,"")</f>
        <v/>
      </c>
      <c r="BC357" s="518" t="str">
        <f>IF(AND(_C="B-767-400ER",'2024'!$M$4="FO",'2024'!$M$2=BC347),'2024DATA'!$L$12,"")</f>
        <v/>
      </c>
      <c r="BD357" s="518" t="str">
        <f>IF(AND(_C="B-767-400ER",'2024'!$M$4="FO",'2024'!$M$2=BD347),'2024DATA'!$M$12,"")</f>
        <v/>
      </c>
      <c r="BE357" s="520" t="str">
        <f>IF(AND(_C="B-767-400ER",'2024'!$M$4="FO",'2024'!$M$2=BE347),'2024DATA'!$N$12,"")</f>
        <v/>
      </c>
      <c r="BF357" s="940"/>
      <c r="BG357" s="13" t="s">
        <v>62</v>
      </c>
      <c r="BH357" s="518" t="str">
        <f>IF(AND(_D="B-767-400ER",'2024'!$M$4="FO",'2024'!$M$2=BH347),'2024DATA'!$C$12,"")</f>
        <v/>
      </c>
      <c r="BI357" s="518" t="str">
        <f>IF(AND(_D="B-767-400ER",'2024'!$M$4="FO",'2024'!$M$2=BI347),'2024DATA'!$D$12,"")</f>
        <v/>
      </c>
      <c r="BJ357" s="518" t="str">
        <f>IF(AND(_D="B-767-400ER",'2024'!$M$4="FO",'2024'!$M$2=BJ347),'2024DATA'!$E$12,"")</f>
        <v/>
      </c>
      <c r="BK357" s="518" t="str">
        <f>IF(AND(_D="B-767-400ER",'2024'!$M$4="FO",'2024'!$M$2=BK347),'2024DATA'!$F$12,"")</f>
        <v/>
      </c>
      <c r="BL357" s="518" t="str">
        <f>IF(AND(_D="B-767-400ER",'2024'!$M$4="FO",'2024'!$M$2=BL347),'2024DATA'!$G$12,"")</f>
        <v/>
      </c>
      <c r="BM357" s="518" t="str">
        <f>IF(AND(_D="B-767-400ER",'2024'!$M$4="FO",'2024'!$M$2=BM347),'2024DATA'!$H$12,"")</f>
        <v/>
      </c>
      <c r="BN357" s="518" t="str">
        <f>IF(AND(_D="B-767-400ER",'2024'!$M$4="FO",'2024'!$M$2=BN347),'2024DATA'!$I$12,"")</f>
        <v/>
      </c>
      <c r="BO357" s="518" t="str">
        <f>IF(AND(_D="B-767-400ER",'2024'!$M$4="FO",'2024'!$M$2=BO347),'2024DATA'!$J$12,"")</f>
        <v/>
      </c>
      <c r="BP357" s="518" t="str">
        <f>IF(AND(_D="B-767-400ER",'2024'!$M$4="FO",'2024'!$M$2=BP347),'2024DATA'!$K$12,"")</f>
        <v/>
      </c>
      <c r="BQ357" s="518" t="str">
        <f>IF(AND(_D="B-767-400ER",'2024'!$M$4="FO",'2024'!$M$2=BQ347),'2024DATA'!$L$12,"")</f>
        <v/>
      </c>
      <c r="BR357" s="518" t="str">
        <f>IF(AND(_D="B-767-400ER",'2024'!$M$4="FO",'2024'!$M$2=BR347),'2024DATA'!$M$12,"")</f>
        <v/>
      </c>
      <c r="BS357" s="520" t="str">
        <f>IF(AND(_D="B-767-400ER",'2024'!$M$4="FO",'2024'!$M$2=BS347),'2024DATA'!$N$12,"")</f>
        <v/>
      </c>
      <c r="BT357" s="940"/>
      <c r="BU357" s="13" t="s">
        <v>62</v>
      </c>
      <c r="BV357" s="518" t="str">
        <f>IF(AND(_E="B-767-400ER",'2024'!$M$4="FO",'2024'!$M$2=BV347),'2024DATA'!$C$12,"")</f>
        <v/>
      </c>
      <c r="BW357" s="518" t="str">
        <f>IF(AND(_E="B-767-400ER",'2024'!$M$4="FO",'2024'!$M$2=BW347),'2024DATA'!$D$12,"")</f>
        <v/>
      </c>
      <c r="BX357" s="518" t="str">
        <f>IF(AND(_E="B-767-400ER",'2024'!$M$4="FO",'2024'!$M$2=BX347),'2024DATA'!$E$12,"")</f>
        <v/>
      </c>
      <c r="BY357" s="518" t="str">
        <f>IF(AND(_E="B-767-400ER",'2024'!$M$4="FO",'2024'!$M$2=BY347),'2024DATA'!$F$12,"")</f>
        <v/>
      </c>
      <c r="BZ357" s="518" t="str">
        <f>IF(AND(_E="B-767-400ER",'2024'!$M$4="FO",'2024'!$M$2=BZ347),'2024DATA'!$G$12,"")</f>
        <v/>
      </c>
      <c r="CA357" s="518" t="str">
        <f>IF(AND(_E="B-767-400ER",'2024'!$M$4="FO",'2024'!$M$2=CA347),'2024DATA'!$H$12,"")</f>
        <v/>
      </c>
      <c r="CB357" s="518" t="str">
        <f>IF(AND(_E="B-767-400ER",'2024'!$M$4="FO",'2024'!$M$2=CB347),'2024DATA'!$I$12,"")</f>
        <v/>
      </c>
      <c r="CC357" s="518" t="str">
        <f>IF(AND(_E="B-767-400ER",'2024'!$M$4="FO",'2024'!$M$2=CC347),'2024DATA'!$J$12,"")</f>
        <v/>
      </c>
      <c r="CD357" s="518" t="str">
        <f>IF(AND(_E="B-767-400ER",'2024'!$M$4="FO",'2024'!$M$2=CD347),'2024DATA'!$K$12,"")</f>
        <v/>
      </c>
      <c r="CE357" s="518" t="str">
        <f>IF(AND(_E="B-767-400ER",'2024'!$M$4="FO",'2024'!$M$2=CE347),'2024DATA'!$L$12,"")</f>
        <v/>
      </c>
      <c r="CF357" s="518" t="str">
        <f>IF(AND(_E="B-767-400ER",'2024'!$M$4="FO",'2024'!$M$2=CF347),'2024DATA'!$M$12,"")</f>
        <v/>
      </c>
      <c r="CG357" s="520" t="str">
        <f>IF(AND(_E="B-767-400ER",'2024'!$M$4="FO",'2024'!$M$2=CG347),'2024DATA'!$N$12,"")</f>
        <v/>
      </c>
      <c r="CH357" s="940"/>
      <c r="CI357" s="13" t="s">
        <v>62</v>
      </c>
      <c r="CJ357" s="518" t="str">
        <f>IF(AND(_F="B-767-400ER",'2024'!$M$4="FO",'2024'!$M$2=CJ347),'2024DATA'!$C$12,"")</f>
        <v/>
      </c>
      <c r="CK357" s="518" t="str">
        <f>IF(AND(_F="B-767-400ER",'2024'!$M$4="FO",'2024'!$M$2=CK347),'2024DATA'!$D$12,"")</f>
        <v/>
      </c>
      <c r="CL357" s="518" t="str">
        <f>IF(AND(_F="B-767-400ER",'2024'!$M$4="FO",'2024'!$M$2=CL347),'2024DATA'!$E$12,"")</f>
        <v/>
      </c>
      <c r="CM357" s="518" t="str">
        <f>IF(AND(_F="B-767-400ER",'2024'!$M$4="FO",'2024'!$M$2=CM347),'2024DATA'!$F$12,"")</f>
        <v/>
      </c>
      <c r="CN357" s="518" t="str">
        <f>IF(AND(_F="B-767-400ER",'2024'!$M$4="FO",'2024'!$M$2=CN347),'2024DATA'!$G$12,"")</f>
        <v/>
      </c>
      <c r="CO357" s="518" t="str">
        <f>IF(AND(_F="B-767-400ER",'2024'!$M$4="FO",'2024'!$M$2=CO347),'2024DATA'!$H$12,"")</f>
        <v/>
      </c>
      <c r="CP357" s="518" t="str">
        <f>IF(AND(_F="B-767-400ER",'2024'!$M$4="FO",'2024'!$M$2=CP347),'2024DATA'!$I$12,"")</f>
        <v/>
      </c>
      <c r="CQ357" s="518" t="str">
        <f>IF(AND(_F="B-767-400ER",'2024'!$M$4="FO",'2024'!$M$2=CQ347),'2024DATA'!$J$12,"")</f>
        <v/>
      </c>
      <c r="CR357" s="518" t="str">
        <f>IF(AND(_F="B-767-400ER",'2024'!$M$4="FO",'2024'!$M$2=CR347),'2024DATA'!$K$12,"")</f>
        <v/>
      </c>
      <c r="CS357" s="518" t="str">
        <f>IF(AND(_F="B-767-400ER",'2024'!$M$4="FO",'2024'!$M$2=CS347),'2024DATA'!$L$12,"")</f>
        <v/>
      </c>
      <c r="CT357" s="518" t="str">
        <f>IF(AND(_F="B-767-400ER",'2024'!$M$4="FO",'2024'!$M$2=CT347),'2024DATA'!$M$12,"")</f>
        <v/>
      </c>
      <c r="CU357" s="520" t="str">
        <f>IF(AND(_F="B-767-400ER",'2024'!$M$4="FO",'2024'!$M$2=CU347),'2024DATA'!$N$12,"")</f>
        <v/>
      </c>
    </row>
    <row r="358" spans="16:99" x14ac:dyDescent="0.25">
      <c r="P358" s="940" t="s">
        <v>43</v>
      </c>
      <c r="Q358" s="13" t="s">
        <v>61</v>
      </c>
      <c r="R358" s="518" t="str">
        <f>IF(AND(_A="B-767-300ER",'2024'!$M$4="CA",'2024'!$M$2=R347),'2024DATA'!$C$13,"")</f>
        <v/>
      </c>
      <c r="S358" s="518" t="str">
        <f>IF(AND(_A="B-767-300ER",'2024'!$M$4="CA",'2024'!$M$2=S347),'2024DATA'!$D$13,"")</f>
        <v/>
      </c>
      <c r="T358" s="518" t="str">
        <f>IF(AND(_A="B-767-300ER",'2024'!$M$4="CA",'2024'!$M$2=T347),'2024DATA'!$E$13,"")</f>
        <v/>
      </c>
      <c r="U358" s="518" t="str">
        <f>IF(AND(_A="B-767-300ER",'2024'!$M$4="CA",'2024'!$M$2=U347),'2024DATA'!$F$13,"")</f>
        <v/>
      </c>
      <c r="V358" s="518" t="str">
        <f>IF(AND(_A="B-767-300ER",'2024'!$M$4="CA",'2024'!$M$2=V347),'2024DATA'!$G$13,"")</f>
        <v/>
      </c>
      <c r="W358" s="518" t="str">
        <f>IF(AND(_A="B-767-300ER",'2024'!$M$4="CA",'2024'!$M$2=W347),'2024DATA'!$H$13,"")</f>
        <v/>
      </c>
      <c r="X358" s="518" t="str">
        <f>IF(AND(_A="B-767-300ER",'2024'!$M$4="CA",'2024'!$M$2=X347),'2024DATA'!$I$13,"")</f>
        <v/>
      </c>
      <c r="Y358" s="518" t="str">
        <f>IF(AND(_A="B-767-300ER",'2024'!$M$4="CA",'2024'!$M$2=Y347),'2024DATA'!$J$13,"")</f>
        <v/>
      </c>
      <c r="Z358" s="518" t="str">
        <f>IF(AND(_A="B-767-300ER",'2024'!$M$4="CA",'2024'!$M$2=Z347),'2024DATA'!$K$13,"")</f>
        <v/>
      </c>
      <c r="AA358" s="518" t="str">
        <f>IF(AND(_A="B-767-300ER",'2024'!$M$4="CA",'2024'!$M$2=AA347),'2024DATA'!$L$13,"")</f>
        <v/>
      </c>
      <c r="AB358" s="518" t="str">
        <f>IF(AND(_A="B-767-300ER",'2024'!$M$4="CA",'2024'!$M$2=AB347),'2024DATA'!$M$13,"")</f>
        <v/>
      </c>
      <c r="AC358" s="520" t="str">
        <f>IF(AND(_A="B-767-300ER",'2024'!$M$4="CA",'2024'!$M$2=AC347),'2024DATA'!$N$13,"")</f>
        <v/>
      </c>
      <c r="AD358" s="940" t="s">
        <v>43</v>
      </c>
      <c r="AE358" s="13" t="s">
        <v>61</v>
      </c>
      <c r="AF358" s="518" t="str">
        <f>IF(AND(_B="B-767-300ER",'2024'!$M$4="CA",'2024'!$M$2=AF347),'2024DATA'!$C$13,"")</f>
        <v/>
      </c>
      <c r="AG358" s="518" t="str">
        <f>IF(AND(_B="B-767-300ER",'2024'!$M$4="CA",'2024'!$M$2=AG347),'2024DATA'!$D$13,"")</f>
        <v/>
      </c>
      <c r="AH358" s="518" t="str">
        <f>IF(AND(_B="B-767-300ER",'2024'!$M$4="CA",'2024'!$M$2=AH347),'2024DATA'!$E$13,"")</f>
        <v/>
      </c>
      <c r="AI358" s="518" t="str">
        <f>IF(AND(_B="B-767-300ER",'2024'!$M$4="CA",'2024'!$M$2=AI347),'2024DATA'!$F$13,"")</f>
        <v/>
      </c>
      <c r="AJ358" s="518" t="str">
        <f>IF(AND(_B="B-767-300ER",'2024'!$M$4="CA",'2024'!$M$2=AJ347),'2024DATA'!$G$13,"")</f>
        <v/>
      </c>
      <c r="AK358" s="518" t="str">
        <f>IF(AND(_B="B-767-300ER",'2024'!$M$4="CA",'2024'!$M$2=AK347),'2024DATA'!$H$13,"")</f>
        <v/>
      </c>
      <c r="AL358" s="518" t="str">
        <f>IF(AND(_B="B-767-300ER",'2024'!$M$4="CA",'2024'!$M$2=AL347),'2024DATA'!$I$13,"")</f>
        <v/>
      </c>
      <c r="AM358" s="518" t="str">
        <f>IF(AND(_B="B-767-300ER",'2024'!$M$4="CA",'2024'!$M$2=AM347),'2024DATA'!$J$13,"")</f>
        <v/>
      </c>
      <c r="AN358" s="518" t="str">
        <f>IF(AND(_B="B-767-300ER",'2024'!$M$4="CA",'2024'!$M$2=AN347),'2024DATA'!$K$13,"")</f>
        <v/>
      </c>
      <c r="AO358" s="518" t="str">
        <f>IF(AND(_B="B-767-300ER",'2024'!$M$4="CA",'2024'!$M$2=AO347),'2024DATA'!$L$13,"")</f>
        <v/>
      </c>
      <c r="AP358" s="518" t="str">
        <f>IF(AND(_B="B-767-300ER",'2024'!$M$4="CA",'2024'!$M$2=AP347),'2024DATA'!$M$13,"")</f>
        <v/>
      </c>
      <c r="AQ358" s="520" t="str">
        <f>IF(AND(_B="B-767-300ER",'2024'!$M$4="CA",'2024'!$M$2=AQ347),'2024DATA'!$N$13,"")</f>
        <v/>
      </c>
      <c r="AR358" s="940" t="s">
        <v>43</v>
      </c>
      <c r="AS358" s="13" t="s">
        <v>61</v>
      </c>
      <c r="AT358" s="518" t="str">
        <f>IF(AND(_C="B-767-300ER",'2024'!$M$4="CA",'2024'!$M$2=AT347),'2024DATA'!$C$13,"")</f>
        <v/>
      </c>
      <c r="AU358" s="518" t="str">
        <f>IF(AND(_C="B-767-300ER",'2024'!$M$4="CA",'2024'!$M$2=AU347),'2024DATA'!$D$13,"")</f>
        <v/>
      </c>
      <c r="AV358" s="518" t="str">
        <f>IF(AND(_C="B-767-300ER",'2024'!$M$4="CA",'2024'!$M$2=AV347),'2024DATA'!$E$13,"")</f>
        <v/>
      </c>
      <c r="AW358" s="518" t="str">
        <f>IF(AND(_C="B-767-300ER",'2024'!$M$4="CA",'2024'!$M$2=AW347),'2024DATA'!$F$13,"")</f>
        <v/>
      </c>
      <c r="AX358" s="518" t="str">
        <f>IF(AND(_C="B-767-300ER",'2024'!$M$4="CA",'2024'!$M$2=AX347),'2024DATA'!$G$13,"")</f>
        <v/>
      </c>
      <c r="AY358" s="518" t="str">
        <f>IF(AND(_C="B-767-300ER",'2024'!$M$4="CA",'2024'!$M$2=AY347),'2024DATA'!$H$13,"")</f>
        <v/>
      </c>
      <c r="AZ358" s="518" t="str">
        <f>IF(AND(_C="B-767-300ER",'2024'!$M$4="CA",'2024'!$M$2=AZ347),'2024DATA'!$I$13,"")</f>
        <v/>
      </c>
      <c r="BA358" s="518" t="str">
        <f>IF(AND(_C="B-767-300ER",'2024'!$M$4="CA",'2024'!$M$2=BA347),'2024DATA'!$J$13,"")</f>
        <v/>
      </c>
      <c r="BB358" s="518" t="str">
        <f>IF(AND(_C="B-767-300ER",'2024'!$M$4="CA",'2024'!$M$2=BB347),'2024DATA'!$K$13,"")</f>
        <v/>
      </c>
      <c r="BC358" s="518" t="str">
        <f>IF(AND(_C="B-767-300ER",'2024'!$M$4="CA",'2024'!$M$2=BC347),'2024DATA'!$L$13,"")</f>
        <v/>
      </c>
      <c r="BD358" s="518" t="str">
        <f>IF(AND(_C="B-767-300ER",'2024'!$M$4="CA",'2024'!$M$2=BD347),'2024DATA'!$M$13,"")</f>
        <v/>
      </c>
      <c r="BE358" s="520" t="str">
        <f>IF(AND(_C="B-767-300ER",'2024'!$M$4="CA",'2024'!$M$2=BE347),'2024DATA'!$N$13,"")</f>
        <v/>
      </c>
      <c r="BF358" s="940" t="s">
        <v>43</v>
      </c>
      <c r="BG358" s="13" t="s">
        <v>61</v>
      </c>
      <c r="BH358" s="518" t="str">
        <f>IF(AND(_D="B-767-300ER",'2024'!$M$4="CA",'2024'!$M$2=BH347),'2024DATA'!$C$13,"")</f>
        <v/>
      </c>
      <c r="BI358" s="518" t="str">
        <f>IF(AND(_D="B-767-300ER",'2024'!$M$4="CA",'2024'!$M$2=BI347),'2024DATA'!$D$13,"")</f>
        <v/>
      </c>
      <c r="BJ358" s="518" t="str">
        <f>IF(AND(_D="B-767-300ER",'2024'!$M$4="CA",'2024'!$M$2=BJ347),'2024DATA'!$E$13,"")</f>
        <v/>
      </c>
      <c r="BK358" s="518" t="str">
        <f>IF(AND(_D="B-767-300ER",'2024'!$M$4="CA",'2024'!$M$2=BK347),'2024DATA'!$F$13,"")</f>
        <v/>
      </c>
      <c r="BL358" s="518" t="str">
        <f>IF(AND(_D="B-767-300ER",'2024'!$M$4="CA",'2024'!$M$2=BL347),'2024DATA'!$G$13,"")</f>
        <v/>
      </c>
      <c r="BM358" s="518" t="str">
        <f>IF(AND(_D="B-767-300ER",'2024'!$M$4="CA",'2024'!$M$2=BM347),'2024DATA'!$H$13,"")</f>
        <v/>
      </c>
      <c r="BN358" s="518" t="str">
        <f>IF(AND(_D="B-767-300ER",'2024'!$M$4="CA",'2024'!$M$2=BN347),'2024DATA'!$I$13,"")</f>
        <v/>
      </c>
      <c r="BO358" s="518" t="str">
        <f>IF(AND(_D="B-767-300ER",'2024'!$M$4="CA",'2024'!$M$2=BO347),'2024DATA'!$J$13,"")</f>
        <v/>
      </c>
      <c r="BP358" s="518" t="str">
        <f>IF(AND(_D="B-767-300ER",'2024'!$M$4="CA",'2024'!$M$2=BP347),'2024DATA'!$K$13,"")</f>
        <v/>
      </c>
      <c r="BQ358" s="518" t="str">
        <f>IF(AND(_D="B-767-300ER",'2024'!$M$4="CA",'2024'!$M$2=BQ347),'2024DATA'!$L$13,"")</f>
        <v/>
      </c>
      <c r="BR358" s="518" t="str">
        <f>IF(AND(_D="B-767-300ER",'2024'!$M$4="CA",'2024'!$M$2=BR347),'2024DATA'!$M$13,"")</f>
        <v/>
      </c>
      <c r="BS358" s="520" t="str">
        <f>IF(AND(_D="B-767-300ER",'2024'!$M$4="CA",'2024'!$M$2=BS347),'2024DATA'!$N$13,"")</f>
        <v/>
      </c>
      <c r="BT358" s="940" t="s">
        <v>43</v>
      </c>
      <c r="BU358" s="13" t="s">
        <v>61</v>
      </c>
      <c r="BV358" s="518" t="str">
        <f>IF(AND(_E="B-767-300ER",'2024'!$M$4="CA",'2024'!$M$2=BV347),'2024DATA'!$C$13,"")</f>
        <v/>
      </c>
      <c r="BW358" s="518" t="str">
        <f>IF(AND(_E="B-767-300ER",'2024'!$M$4="CA",'2024'!$M$2=BW347),'2024DATA'!$D$13,"")</f>
        <v/>
      </c>
      <c r="BX358" s="518" t="str">
        <f>IF(AND(_E="B-767-300ER",'2024'!$M$4="CA",'2024'!$M$2=BX347),'2024DATA'!$E$13,"")</f>
        <v/>
      </c>
      <c r="BY358" s="518" t="str">
        <f>IF(AND(_E="B-767-300ER",'2024'!$M$4="CA",'2024'!$M$2=BY347),'2024DATA'!$F$13,"")</f>
        <v/>
      </c>
      <c r="BZ358" s="518" t="str">
        <f>IF(AND(_E="B-767-300ER",'2024'!$M$4="CA",'2024'!$M$2=BZ347),'2024DATA'!$G$13,"")</f>
        <v/>
      </c>
      <c r="CA358" s="518" t="str">
        <f>IF(AND(_E="B-767-300ER",'2024'!$M$4="CA",'2024'!$M$2=CA347),'2024DATA'!$H$13,"")</f>
        <v/>
      </c>
      <c r="CB358" s="518" t="str">
        <f>IF(AND(_E="B-767-300ER",'2024'!$M$4="CA",'2024'!$M$2=CB347),'2024DATA'!$I$13,"")</f>
        <v/>
      </c>
      <c r="CC358" s="518" t="str">
        <f>IF(AND(_E="B-767-300ER",'2024'!$M$4="CA",'2024'!$M$2=CC347),'2024DATA'!$J$13,"")</f>
        <v/>
      </c>
      <c r="CD358" s="518" t="str">
        <f>IF(AND(_E="B-767-300ER",'2024'!$M$4="CA",'2024'!$M$2=CD347),'2024DATA'!$K$13,"")</f>
        <v/>
      </c>
      <c r="CE358" s="518" t="str">
        <f>IF(AND(_E="B-767-300ER",'2024'!$M$4="CA",'2024'!$M$2=CE347),'2024DATA'!$L$13,"")</f>
        <v/>
      </c>
      <c r="CF358" s="518" t="str">
        <f>IF(AND(_E="B-767-300ER",'2024'!$M$4="CA",'2024'!$M$2=CF347),'2024DATA'!$M$13,"")</f>
        <v/>
      </c>
      <c r="CG358" s="520" t="str">
        <f>IF(AND(_E="B-767-300ER",'2024'!$M$4="CA",'2024'!$M$2=CG347),'2024DATA'!$N$13,"")</f>
        <v/>
      </c>
      <c r="CH358" s="940" t="s">
        <v>43</v>
      </c>
      <c r="CI358" s="13" t="s">
        <v>61</v>
      </c>
      <c r="CJ358" s="518" t="str">
        <f>IF(AND(_F="B-767-300ER",'2024'!$M$4="CA",'2024'!$M$2=CJ347),'2024DATA'!$C$13,"")</f>
        <v/>
      </c>
      <c r="CK358" s="518" t="str">
        <f>IF(AND(_F="B-767-300ER",'2024'!$M$4="CA",'2024'!$M$2=CK347),'2024DATA'!$D$13,"")</f>
        <v/>
      </c>
      <c r="CL358" s="518" t="str">
        <f>IF(AND(_F="B-767-300ER",'2024'!$M$4="CA",'2024'!$M$2=CL347),'2024DATA'!$E$13,"")</f>
        <v/>
      </c>
      <c r="CM358" s="518" t="str">
        <f>IF(AND(_F="B-767-300ER",'2024'!$M$4="CA",'2024'!$M$2=CM347),'2024DATA'!$F$13,"")</f>
        <v/>
      </c>
      <c r="CN358" s="518" t="str">
        <f>IF(AND(_F="B-767-300ER",'2024'!$M$4="CA",'2024'!$M$2=CN347),'2024DATA'!$G$13,"")</f>
        <v/>
      </c>
      <c r="CO358" s="518" t="str">
        <f>IF(AND(_F="B-767-300ER",'2024'!$M$4="CA",'2024'!$M$2=CO347),'2024DATA'!$H$13,"")</f>
        <v/>
      </c>
      <c r="CP358" s="518" t="str">
        <f>IF(AND(_F="B-767-300ER",'2024'!$M$4="CA",'2024'!$M$2=CP347),'2024DATA'!$I$13,"")</f>
        <v/>
      </c>
      <c r="CQ358" s="518" t="str">
        <f>IF(AND(_F="B-767-300ER",'2024'!$M$4="CA",'2024'!$M$2=CQ347),'2024DATA'!$J$13,"")</f>
        <v/>
      </c>
      <c r="CR358" s="518" t="str">
        <f>IF(AND(_F="B-767-300ER",'2024'!$M$4="CA",'2024'!$M$2=CR347),'2024DATA'!$K$13,"")</f>
        <v/>
      </c>
      <c r="CS358" s="518" t="str">
        <f>IF(AND(_F="B-767-300ER",'2024'!$M$4="CA",'2024'!$M$2=CS347),'2024DATA'!$L$13,"")</f>
        <v/>
      </c>
      <c r="CT358" s="518" t="str">
        <f>IF(AND(_F="B-767-300ER",'2024'!$M$4="CA",'2024'!$M$2=CT347),'2024DATA'!$M$13,"")</f>
        <v/>
      </c>
      <c r="CU358" s="520" t="str">
        <f>IF(AND(_F="B-767-300ER",'2024'!$M$4="CA",'2024'!$M$2=CU347),'2024DATA'!$N$13,"")</f>
        <v/>
      </c>
    </row>
    <row r="359" spans="16:99" x14ac:dyDescent="0.25">
      <c r="P359" s="940"/>
      <c r="Q359" s="13" t="s">
        <v>62</v>
      </c>
      <c r="R359" s="518" t="str">
        <f>IF(AND(_A="B-767-300ER",'2024'!$M$4="FO",'2024'!$M$2=R347),'2024DATA'!$C$14,"")</f>
        <v/>
      </c>
      <c r="S359" s="518" t="str">
        <f>IF(AND(_A="B-767-300ER",'2024'!$M$4="FO",'2024'!$M$2=S347),'2024DATA'!$D$14,"")</f>
        <v/>
      </c>
      <c r="T359" s="518" t="str">
        <f>IF(AND(_A="B-767-300ER",'2024'!$M$4="FO",'2024'!$M$2=T347),'2024DATA'!$E$14,"")</f>
        <v/>
      </c>
      <c r="U359" s="518" t="str">
        <f>IF(AND(_A="B-767-300ER",'2024'!$M$4="FO",'2024'!$M$2=U347),'2024DATA'!$F$14,"")</f>
        <v/>
      </c>
      <c r="V359" s="518" t="str">
        <f>IF(AND(_A="B-767-300ER",'2024'!$M$4="FO",'2024'!$M$2=V347),'2024DATA'!$G$14,"")</f>
        <v/>
      </c>
      <c r="W359" s="518" t="str">
        <f>IF(AND(_A="B-767-300ER",'2024'!$M$4="FO",'2024'!$M$2=W347),'2024DATA'!$H$14,"")</f>
        <v/>
      </c>
      <c r="X359" s="518" t="str">
        <f>IF(AND(_A="B-767-300ER",'2024'!$M$4="FO",'2024'!$M$2=X347),'2024DATA'!$I$14,"")</f>
        <v/>
      </c>
      <c r="Y359" s="518" t="str">
        <f>IF(AND(_A="B-767-300ER",'2024'!$M$4="FO",'2024'!$M$2=Y347),'2024DATA'!$J$14,"")</f>
        <v/>
      </c>
      <c r="Z359" s="518" t="str">
        <f>IF(AND(_A="B-767-300ER",'2024'!$M$4="FO",'2024'!$M$2=Z347),'2024DATA'!$K$14,"")</f>
        <v/>
      </c>
      <c r="AA359" s="518" t="str">
        <f>IF(AND(_A="B-767-300ER",'2024'!$M$4="FO",'2024'!$M$2=AA347),'2024DATA'!$L$14,"")</f>
        <v/>
      </c>
      <c r="AB359" s="518" t="str">
        <f>IF(AND(_A="B-767-300ER",'2024'!$M$4="FO",'2024'!$M$2=AB347),'2024DATA'!$M$14,"")</f>
        <v/>
      </c>
      <c r="AC359" s="520" t="str">
        <f>IF(AND(_A="B-767-300ER",'2024'!$M$4="FO",'2024'!$M$2=AC347),'2024DATA'!$N$14,"")</f>
        <v/>
      </c>
      <c r="AD359" s="940"/>
      <c r="AE359" s="13" t="s">
        <v>62</v>
      </c>
      <c r="AF359" s="518" t="str">
        <f>IF(AND(_B="B-767-300ER",'2024'!$M$4="FO",'2024'!$M$2=AF347),'2024DATA'!$C$14,"")</f>
        <v/>
      </c>
      <c r="AG359" s="518" t="str">
        <f>IF(AND(_B="B-767-300ER",'2024'!$M$4="FO",'2024'!$M$2=AG347),'2024DATA'!$D$14,"")</f>
        <v/>
      </c>
      <c r="AH359" s="518" t="str">
        <f>IF(AND(_B="B-767-300ER",'2024'!$M$4="FO",'2024'!$M$2=AH347),'2024DATA'!$E$14,"")</f>
        <v/>
      </c>
      <c r="AI359" s="518" t="str">
        <f>IF(AND(_B="B-767-300ER",'2024'!$M$4="FO",'2024'!$M$2=AI347),'2024DATA'!$F$14,"")</f>
        <v/>
      </c>
      <c r="AJ359" s="518" t="str">
        <f>IF(AND(_B="B-767-300ER",'2024'!$M$4="FO",'2024'!$M$2=AJ347),'2024DATA'!$G$14,"")</f>
        <v/>
      </c>
      <c r="AK359" s="518" t="str">
        <f>IF(AND(_B="B-767-300ER",'2024'!$M$4="FO",'2024'!$M$2=AK347),'2024DATA'!$H$14,"")</f>
        <v/>
      </c>
      <c r="AL359" s="518" t="str">
        <f>IF(AND(_B="B-767-300ER",'2024'!$M$4="FO",'2024'!$M$2=AL347),'2024DATA'!$I$14,"")</f>
        <v/>
      </c>
      <c r="AM359" s="518" t="str">
        <f>IF(AND(_B="B-767-300ER",'2024'!$M$4="FO",'2024'!$M$2=AM347),'2024DATA'!$J$14,"")</f>
        <v/>
      </c>
      <c r="AN359" s="518" t="str">
        <f>IF(AND(_B="B-767-300ER",'2024'!$M$4="FO",'2024'!$M$2=AN347),'2024DATA'!$K$14,"")</f>
        <v/>
      </c>
      <c r="AO359" s="518" t="str">
        <f>IF(AND(_B="B-767-300ER",'2024'!$M$4="FO",'2024'!$M$2=AO347),'2024DATA'!$L$14,"")</f>
        <v/>
      </c>
      <c r="AP359" s="518" t="str">
        <f>IF(AND(_B="B-767-300ER",'2024'!$M$4="FO",'2024'!$M$2=AP347),'2024DATA'!$M$14,"")</f>
        <v/>
      </c>
      <c r="AQ359" s="520" t="str">
        <f>IF(AND(_B="B-767-300ER",'2024'!$M$4="FO",'2024'!$M$2=AQ347),'2024DATA'!$N$14,"")</f>
        <v/>
      </c>
      <c r="AR359" s="940"/>
      <c r="AS359" s="13" t="s">
        <v>62</v>
      </c>
      <c r="AT359" s="518" t="str">
        <f>IF(AND(_C="B-767-300ER",'2024'!$M$4="FO",'2024'!$M$2=AT347),'2024DATA'!$C$14,"")</f>
        <v/>
      </c>
      <c r="AU359" s="518" t="str">
        <f>IF(AND(_C="B-767-300ER",'2024'!$M$4="FO",'2024'!$M$2=AU347),'2024DATA'!$D$14,"")</f>
        <v/>
      </c>
      <c r="AV359" s="518" t="str">
        <f>IF(AND(_C="B-767-300ER",'2024'!$M$4="FO",'2024'!$M$2=AV347),'2024DATA'!$E$14,"")</f>
        <v/>
      </c>
      <c r="AW359" s="518" t="str">
        <f>IF(AND(_C="B-767-300ER",'2024'!$M$4="FO",'2024'!$M$2=AW347),'2024DATA'!$F$14,"")</f>
        <v/>
      </c>
      <c r="AX359" s="518" t="str">
        <f>IF(AND(_C="B-767-300ER",'2024'!$M$4="FO",'2024'!$M$2=AX347),'2024DATA'!$G$14,"")</f>
        <v/>
      </c>
      <c r="AY359" s="518" t="str">
        <f>IF(AND(_C="B-767-300ER",'2024'!$M$4="FO",'2024'!$M$2=AY347),'2024DATA'!$H$14,"")</f>
        <v/>
      </c>
      <c r="AZ359" s="518" t="str">
        <f>IF(AND(_C="B-767-300ER",'2024'!$M$4="FO",'2024'!$M$2=AZ347),'2024DATA'!$I$14,"")</f>
        <v/>
      </c>
      <c r="BA359" s="518" t="str">
        <f>IF(AND(_C="B-767-300ER",'2024'!$M$4="FO",'2024'!$M$2=BA347),'2024DATA'!$J$14,"")</f>
        <v/>
      </c>
      <c r="BB359" s="518" t="str">
        <f>IF(AND(_C="B-767-300ER",'2024'!$M$4="FO",'2024'!$M$2=BB347),'2024DATA'!$K$14,"")</f>
        <v/>
      </c>
      <c r="BC359" s="518" t="str">
        <f>IF(AND(_C="B-767-300ER",'2024'!$M$4="FO",'2024'!$M$2=BC347),'2024DATA'!$L$14,"")</f>
        <v/>
      </c>
      <c r="BD359" s="518" t="str">
        <f>IF(AND(_C="B-767-300ER",'2024'!$M$4="FO",'2024'!$M$2=BD347),'2024DATA'!$M$14,"")</f>
        <v/>
      </c>
      <c r="BE359" s="520" t="str">
        <f>IF(AND(_C="B-767-300ER",'2024'!$M$4="FO",'2024'!$M$2=BE347),'2024DATA'!$N$14,"")</f>
        <v/>
      </c>
      <c r="BF359" s="940"/>
      <c r="BG359" s="13" t="s">
        <v>62</v>
      </c>
      <c r="BH359" s="518" t="str">
        <f>IF(AND(_D="B-767-300ER",'2024'!$M$4="FO",'2024'!$M$2=BH347),'2024DATA'!$C$14,"")</f>
        <v/>
      </c>
      <c r="BI359" s="518" t="str">
        <f>IF(AND(_D="B-767-300ER",'2024'!$M$4="FO",'2024'!$M$2=BI347),'2024DATA'!$D$14,"")</f>
        <v/>
      </c>
      <c r="BJ359" s="518" t="str">
        <f>IF(AND(_D="B-767-300ER",'2024'!$M$4="FO",'2024'!$M$2=BJ347),'2024DATA'!$E$14,"")</f>
        <v/>
      </c>
      <c r="BK359" s="518" t="str">
        <f>IF(AND(_D="B-767-300ER",'2024'!$M$4="FO",'2024'!$M$2=BK347),'2024DATA'!$F$14,"")</f>
        <v/>
      </c>
      <c r="BL359" s="518" t="str">
        <f>IF(AND(_D="B-767-300ER",'2024'!$M$4="FO",'2024'!$M$2=BL347),'2024DATA'!$G$14,"")</f>
        <v/>
      </c>
      <c r="BM359" s="518" t="str">
        <f>IF(AND(_D="B-767-300ER",'2024'!$M$4="FO",'2024'!$M$2=BM347),'2024DATA'!$H$14,"")</f>
        <v/>
      </c>
      <c r="BN359" s="518" t="str">
        <f>IF(AND(_D="B-767-300ER",'2024'!$M$4="FO",'2024'!$M$2=BN347),'2024DATA'!$I$14,"")</f>
        <v/>
      </c>
      <c r="BO359" s="518" t="str">
        <f>IF(AND(_D="B-767-300ER",'2024'!$M$4="FO",'2024'!$M$2=BO347),'2024DATA'!$J$14,"")</f>
        <v/>
      </c>
      <c r="BP359" s="518" t="str">
        <f>IF(AND(_D="B-767-300ER",'2024'!$M$4="FO",'2024'!$M$2=BP347),'2024DATA'!$K$14,"")</f>
        <v/>
      </c>
      <c r="BQ359" s="518" t="str">
        <f>IF(AND(_D="B-767-300ER",'2024'!$M$4="FO",'2024'!$M$2=BQ347),'2024DATA'!$L$14,"")</f>
        <v/>
      </c>
      <c r="BR359" s="518" t="str">
        <f>IF(AND(_D="B-767-300ER",'2024'!$M$4="FO",'2024'!$M$2=BR347),'2024DATA'!$M$14,"")</f>
        <v/>
      </c>
      <c r="BS359" s="520" t="str">
        <f>IF(AND(_D="B-767-300ER",'2024'!$M$4="FO",'2024'!$M$2=BS347),'2024DATA'!$N$14,"")</f>
        <v/>
      </c>
      <c r="BT359" s="940"/>
      <c r="BU359" s="13" t="s">
        <v>62</v>
      </c>
      <c r="BV359" s="518" t="str">
        <f>IF(AND(_E="B-767-300ER",'2024'!$M$4="FO",'2024'!$M$2=BV347),'2024DATA'!$C$14,"")</f>
        <v/>
      </c>
      <c r="BW359" s="518" t="str">
        <f>IF(AND(_E="B-767-300ER",'2024'!$M$4="FO",'2024'!$M$2=BW347),'2024DATA'!$D$14,"")</f>
        <v/>
      </c>
      <c r="BX359" s="518" t="str">
        <f>IF(AND(_E="B-767-300ER",'2024'!$M$4="FO",'2024'!$M$2=BX347),'2024DATA'!$E$14,"")</f>
        <v/>
      </c>
      <c r="BY359" s="518" t="str">
        <f>IF(AND(_E="B-767-300ER",'2024'!$M$4="FO",'2024'!$M$2=BY347),'2024DATA'!$F$14,"")</f>
        <v/>
      </c>
      <c r="BZ359" s="518" t="str">
        <f>IF(AND(_E="B-767-300ER",'2024'!$M$4="FO",'2024'!$M$2=BZ347),'2024DATA'!$G$14,"")</f>
        <v/>
      </c>
      <c r="CA359" s="518" t="str">
        <f>IF(AND(_E="B-767-300ER",'2024'!$M$4="FO",'2024'!$M$2=CA347),'2024DATA'!$H$14,"")</f>
        <v/>
      </c>
      <c r="CB359" s="518" t="str">
        <f>IF(AND(_E="B-767-300ER",'2024'!$M$4="FO",'2024'!$M$2=CB347),'2024DATA'!$I$14,"")</f>
        <v/>
      </c>
      <c r="CC359" s="518" t="str">
        <f>IF(AND(_E="B-767-300ER",'2024'!$M$4="FO",'2024'!$M$2=CC347),'2024DATA'!$J$14,"")</f>
        <v/>
      </c>
      <c r="CD359" s="518" t="str">
        <f>IF(AND(_E="B-767-300ER",'2024'!$M$4="FO",'2024'!$M$2=CD347),'2024DATA'!$K$14,"")</f>
        <v/>
      </c>
      <c r="CE359" s="518" t="str">
        <f>IF(AND(_E="B-767-300ER",'2024'!$M$4="FO",'2024'!$M$2=CE347),'2024DATA'!$L$14,"")</f>
        <v/>
      </c>
      <c r="CF359" s="518" t="str">
        <f>IF(AND(_E="B-767-300ER",'2024'!$M$4="FO",'2024'!$M$2=CF347),'2024DATA'!$M$14,"")</f>
        <v/>
      </c>
      <c r="CG359" s="520" t="str">
        <f>IF(AND(_E="B-767-300ER",'2024'!$M$4="FO",'2024'!$M$2=CG347),'2024DATA'!$N$14,"")</f>
        <v/>
      </c>
      <c r="CH359" s="940"/>
      <c r="CI359" s="13" t="s">
        <v>62</v>
      </c>
      <c r="CJ359" s="518" t="str">
        <f>IF(AND(_F="B-767-300ER",'2024'!$M$4="FO",'2024'!$M$2=CJ347),'2024DATA'!$C$14,"")</f>
        <v/>
      </c>
      <c r="CK359" s="518" t="str">
        <f>IF(AND(_F="B-767-300ER",'2024'!$M$4="FO",'2024'!$M$2=CK347),'2024DATA'!$D$14,"")</f>
        <v/>
      </c>
      <c r="CL359" s="518" t="str">
        <f>IF(AND(_F="B-767-300ER",'2024'!$M$4="FO",'2024'!$M$2=CL347),'2024DATA'!$E$14,"")</f>
        <v/>
      </c>
      <c r="CM359" s="518" t="str">
        <f>IF(AND(_F="B-767-300ER",'2024'!$M$4="FO",'2024'!$M$2=CM347),'2024DATA'!$F$14,"")</f>
        <v/>
      </c>
      <c r="CN359" s="518" t="str">
        <f>IF(AND(_F="B-767-300ER",'2024'!$M$4="FO",'2024'!$M$2=CN347),'2024DATA'!$G$14,"")</f>
        <v/>
      </c>
      <c r="CO359" s="518" t="str">
        <f>IF(AND(_F="B-767-300ER",'2024'!$M$4="FO",'2024'!$M$2=CO347),'2024DATA'!$H$14,"")</f>
        <v/>
      </c>
      <c r="CP359" s="518" t="str">
        <f>IF(AND(_F="B-767-300ER",'2024'!$M$4="FO",'2024'!$M$2=CP347),'2024DATA'!$I$14,"")</f>
        <v/>
      </c>
      <c r="CQ359" s="518" t="str">
        <f>IF(AND(_F="B-767-300ER",'2024'!$M$4="FO",'2024'!$M$2=CQ347),'2024DATA'!$J$14,"")</f>
        <v/>
      </c>
      <c r="CR359" s="518" t="str">
        <f>IF(AND(_F="B-767-300ER",'2024'!$M$4="FO",'2024'!$M$2=CR347),'2024DATA'!$K$14,"")</f>
        <v/>
      </c>
      <c r="CS359" s="518" t="str">
        <f>IF(AND(_F="B-767-300ER",'2024'!$M$4="FO",'2024'!$M$2=CS347),'2024DATA'!$L$14,"")</f>
        <v/>
      </c>
      <c r="CT359" s="518" t="str">
        <f>IF(AND(_F="B-767-300ER",'2024'!$M$4="FO",'2024'!$M$2=CT347),'2024DATA'!$M$14,"")</f>
        <v/>
      </c>
      <c r="CU359" s="520" t="str">
        <f>IF(AND(_F="B-767-300ER",'2024'!$M$4="FO",'2024'!$M$2=CU347),'2024DATA'!$N$14,"")</f>
        <v/>
      </c>
    </row>
    <row r="360" spans="16:99" x14ac:dyDescent="0.25">
      <c r="P360" s="940" t="s">
        <v>67</v>
      </c>
      <c r="Q360" s="13" t="s">
        <v>61</v>
      </c>
      <c r="R360" s="518" t="str">
        <f>IF(AND(_A="B-767-300",'2024'!$M$4="CA",'2024'!$M$2=R347),'2024DATA'!$C$15,"")</f>
        <v/>
      </c>
      <c r="S360" s="518" t="str">
        <f>IF(AND(_A="B-767-300",'2024'!$M$4="CA",'2024'!$M$2=S347),'2024DATA'!$D$15,"")</f>
        <v/>
      </c>
      <c r="T360" s="518" t="str">
        <f>IF(AND(_A="B-767-300",'2024'!$M$4="CA",'2024'!$M$2=T347),'2024DATA'!$E$15,"")</f>
        <v/>
      </c>
      <c r="U360" s="518" t="str">
        <f>IF(AND(_A="B-767-300",'2024'!$M$4="CA",'2024'!$M$2=U347),'2024DATA'!$F$15,"")</f>
        <v/>
      </c>
      <c r="V360" s="518" t="str">
        <f>IF(AND(_A="B-767-300",'2024'!$M$4="CA",'2024'!$M$2=V347),'2024DATA'!$G$15,"")</f>
        <v/>
      </c>
      <c r="W360" s="518" t="str">
        <f>IF(AND(_A="B-767-300",'2024'!$M$4="CA",'2024'!$M$2=W347),'2024DATA'!$H$15,"")</f>
        <v/>
      </c>
      <c r="X360" s="518" t="str">
        <f>IF(AND(_A="B-767-300",'2024'!$M$4="CA",'2024'!$M$2=X347),'2024DATA'!$I$15,"")</f>
        <v/>
      </c>
      <c r="Y360" s="518" t="str">
        <f>IF(AND(_A="B-767-300",'2024'!$M$4="CA",'2024'!$M$2=Y347),'2024DATA'!$J$15,"")</f>
        <v/>
      </c>
      <c r="Z360" s="518" t="str">
        <f>IF(AND(_A="B-767-300",'2024'!$M$4="CA",'2024'!$M$2=Z347),'2024DATA'!$K$15,"")</f>
        <v/>
      </c>
      <c r="AA360" s="518" t="str">
        <f>IF(AND(_A="B-767-300",'2024'!$M$4="CA",'2024'!$M$2=AA347),'2024DATA'!$L$15,"")</f>
        <v/>
      </c>
      <c r="AB360" s="518" t="str">
        <f>IF(AND(_A="B-767-300",'2024'!$M$4="CA",'2024'!$M$2=AB347),'2024DATA'!$M$15,"")</f>
        <v/>
      </c>
      <c r="AC360" s="520" t="str">
        <f>IF(AND(_A="B-767-300",'2024'!$M$4="CA",'2024'!$M$2=AC347),'2024DATA'!$N$15,"")</f>
        <v/>
      </c>
      <c r="AD360" s="940" t="s">
        <v>67</v>
      </c>
      <c r="AE360" s="13" t="s">
        <v>61</v>
      </c>
      <c r="AF360" s="518" t="str">
        <f>IF(AND(_B="B-767-300",'2024'!$M$4="CA",'2024'!$M$2=AF347),'2024DATA'!$C$15,"")</f>
        <v/>
      </c>
      <c r="AG360" s="518" t="str">
        <f>IF(AND(_B="B-767-300",'2024'!$M$4="CA",'2024'!$M$2=AG347),'2024DATA'!$D$15,"")</f>
        <v/>
      </c>
      <c r="AH360" s="518" t="str">
        <f>IF(AND(_B="B-767-300",'2024'!$M$4="CA",'2024'!$M$2=AH347),'2024DATA'!$E$15,"")</f>
        <v/>
      </c>
      <c r="AI360" s="518" t="str">
        <f>IF(AND(_B="B-767-300",'2024'!$M$4="CA",'2024'!$M$2=AI347),'2024DATA'!$F$15,"")</f>
        <v/>
      </c>
      <c r="AJ360" s="518" t="str">
        <f>IF(AND(_B="B-767-300",'2024'!$M$4="CA",'2024'!$M$2=AJ347),'2024DATA'!$G$15,"")</f>
        <v/>
      </c>
      <c r="AK360" s="518" t="str">
        <f>IF(AND(_B="B-767-300",'2024'!$M$4="CA",'2024'!$M$2=AK347),'2024DATA'!$H$15,"")</f>
        <v/>
      </c>
      <c r="AL360" s="518" t="str">
        <f>IF(AND(_B="B-767-300",'2024'!$M$4="CA",'2024'!$M$2=AL347),'2024DATA'!$I$15,"")</f>
        <v/>
      </c>
      <c r="AM360" s="518" t="str">
        <f>IF(AND(_B="B-767-300",'2024'!$M$4="CA",'2024'!$M$2=AM347),'2024DATA'!$J$15,"")</f>
        <v/>
      </c>
      <c r="AN360" s="518" t="str">
        <f>IF(AND(_B="B-767-300",'2024'!$M$4="CA",'2024'!$M$2=AN347),'2024DATA'!$K$15,"")</f>
        <v/>
      </c>
      <c r="AO360" s="518" t="str">
        <f>IF(AND(_B="B-767-300",'2024'!$M$4="CA",'2024'!$M$2=AO347),'2024DATA'!$L$15,"")</f>
        <v/>
      </c>
      <c r="AP360" s="518" t="str">
        <f>IF(AND(_B="B-767-300",'2024'!$M$4="CA",'2024'!$M$2=AP347),'2024DATA'!$M$15,"")</f>
        <v/>
      </c>
      <c r="AQ360" s="520" t="str">
        <f>IF(AND(_B="B-767-300",'2024'!$M$4="CA",'2024'!$M$2=AQ347),'2024DATA'!$N$15,"")</f>
        <v/>
      </c>
      <c r="AR360" s="940" t="s">
        <v>67</v>
      </c>
      <c r="AS360" s="13" t="s">
        <v>61</v>
      </c>
      <c r="AT360" s="518" t="str">
        <f>IF(AND(_C="B-767-300",'2024'!$M$4="CA",'2024'!$M$2=AT347),'2024DATA'!$C$15,"")</f>
        <v/>
      </c>
      <c r="AU360" s="518" t="str">
        <f>IF(AND(_C="B-767-300",'2024'!$M$4="CA",'2024'!$M$2=AU347),'2024DATA'!$D$15,"")</f>
        <v/>
      </c>
      <c r="AV360" s="518" t="str">
        <f>IF(AND(_C="B-767-300",'2024'!$M$4="CA",'2024'!$M$2=AV347),'2024DATA'!$E$15,"")</f>
        <v/>
      </c>
      <c r="AW360" s="518" t="str">
        <f>IF(AND(_C="B-767-300",'2024'!$M$4="CA",'2024'!$M$2=AW347),'2024DATA'!$F$15,"")</f>
        <v/>
      </c>
      <c r="AX360" s="518" t="str">
        <f>IF(AND(_C="B-767-300",'2024'!$M$4="CA",'2024'!$M$2=AX347),'2024DATA'!$G$15,"")</f>
        <v/>
      </c>
      <c r="AY360" s="518" t="str">
        <f>IF(AND(_C="B-767-300",'2024'!$M$4="CA",'2024'!$M$2=AY347),'2024DATA'!$H$15,"")</f>
        <v/>
      </c>
      <c r="AZ360" s="518" t="str">
        <f>IF(AND(_C="B-767-300",'2024'!$M$4="CA",'2024'!$M$2=AZ347),'2024DATA'!$I$15,"")</f>
        <v/>
      </c>
      <c r="BA360" s="518" t="str">
        <f>IF(AND(_C="B-767-300",'2024'!$M$4="CA",'2024'!$M$2=BA347),'2024DATA'!$J$15,"")</f>
        <v/>
      </c>
      <c r="BB360" s="518" t="str">
        <f>IF(AND(_C="B-767-300",'2024'!$M$4="CA",'2024'!$M$2=BB347),'2024DATA'!$K$15,"")</f>
        <v/>
      </c>
      <c r="BC360" s="518" t="str">
        <f>IF(AND(_C="B-767-300",'2024'!$M$4="CA",'2024'!$M$2=BC347),'2024DATA'!$L$15,"")</f>
        <v/>
      </c>
      <c r="BD360" s="518" t="str">
        <f>IF(AND(_C="B-767-300",'2024'!$M$4="CA",'2024'!$M$2=BD347),'2024DATA'!$M$15,"")</f>
        <v/>
      </c>
      <c r="BE360" s="520" t="str">
        <f>IF(AND(_C="B-767-300",'2024'!$M$4="CA",'2024'!$M$2=BE347),'2024DATA'!$N$15,"")</f>
        <v/>
      </c>
      <c r="BF360" s="940" t="s">
        <v>67</v>
      </c>
      <c r="BG360" s="13" t="s">
        <v>61</v>
      </c>
      <c r="BH360" s="518" t="str">
        <f>IF(AND(_D="B-767-300",'2024'!$M$4="CA",'2024'!$M$2=BH347),'2024DATA'!$C$15,"")</f>
        <v/>
      </c>
      <c r="BI360" s="518" t="str">
        <f>IF(AND(_D="B-767-300",'2024'!$M$4="CA",'2024'!$M$2=BI347),'2024DATA'!$D$15,"")</f>
        <v/>
      </c>
      <c r="BJ360" s="518" t="str">
        <f>IF(AND(_D="B-767-300",'2024'!$M$4="CA",'2024'!$M$2=BJ347),'2024DATA'!$E$15,"")</f>
        <v/>
      </c>
      <c r="BK360" s="518" t="str">
        <f>IF(AND(_D="B-767-300",'2024'!$M$4="CA",'2024'!$M$2=BK347),'2024DATA'!$F$15,"")</f>
        <v/>
      </c>
      <c r="BL360" s="518" t="str">
        <f>IF(AND(_D="B-767-300",'2024'!$M$4="CA",'2024'!$M$2=BL347),'2024DATA'!$G$15,"")</f>
        <v/>
      </c>
      <c r="BM360" s="518" t="str">
        <f>IF(AND(_D="B-767-300",'2024'!$M$4="CA",'2024'!$M$2=BM347),'2024DATA'!$H$15,"")</f>
        <v/>
      </c>
      <c r="BN360" s="518" t="str">
        <f>IF(AND(_D="B-767-300",'2024'!$M$4="CA",'2024'!$M$2=BN347),'2024DATA'!$I$15,"")</f>
        <v/>
      </c>
      <c r="BO360" s="518" t="str">
        <f>IF(AND(_D="B-767-300",'2024'!$M$4="CA",'2024'!$M$2=BO347),'2024DATA'!$J$15,"")</f>
        <v/>
      </c>
      <c r="BP360" s="518" t="str">
        <f>IF(AND(_D="B-767-300",'2024'!$M$4="CA",'2024'!$M$2=BP347),'2024DATA'!$K$15,"")</f>
        <v/>
      </c>
      <c r="BQ360" s="518" t="str">
        <f>IF(AND(_D="B-767-300",'2024'!$M$4="CA",'2024'!$M$2=BQ347),'2024DATA'!$L$15,"")</f>
        <v/>
      </c>
      <c r="BR360" s="518" t="str">
        <f>IF(AND(_D="B-767-300",'2024'!$M$4="CA",'2024'!$M$2=BR347),'2024DATA'!$M$15,"")</f>
        <v/>
      </c>
      <c r="BS360" s="520" t="str">
        <f>IF(AND(_D="B-767-300",'2024'!$M$4="CA",'2024'!$M$2=BS347),'2024DATA'!$N$15,"")</f>
        <v/>
      </c>
      <c r="BT360" s="940" t="s">
        <v>67</v>
      </c>
      <c r="BU360" s="13" t="s">
        <v>61</v>
      </c>
      <c r="BV360" s="518" t="str">
        <f>IF(AND(_E="B-767-300",'2024'!$M$4="CA",'2024'!$M$2=BV347),'2024DATA'!$C$15,"")</f>
        <v/>
      </c>
      <c r="BW360" s="518" t="str">
        <f>IF(AND(_E="B-767-300",'2024'!$M$4="CA",'2024'!$M$2=BW347),'2024DATA'!$D$15,"")</f>
        <v/>
      </c>
      <c r="BX360" s="518" t="str">
        <f>IF(AND(_E="B-767-300",'2024'!$M$4="CA",'2024'!$M$2=BX347),'2024DATA'!$E$15,"")</f>
        <v/>
      </c>
      <c r="BY360" s="518" t="str">
        <f>IF(AND(_E="B-767-300",'2024'!$M$4="CA",'2024'!$M$2=BY347),'2024DATA'!$F$15,"")</f>
        <v/>
      </c>
      <c r="BZ360" s="518" t="str">
        <f>IF(AND(_E="B-767-300",'2024'!$M$4="CA",'2024'!$M$2=BZ347),'2024DATA'!$G$15,"")</f>
        <v/>
      </c>
      <c r="CA360" s="518" t="str">
        <f>IF(AND(_E="B-767-300",'2024'!$M$4="CA",'2024'!$M$2=CA347),'2024DATA'!$H$15,"")</f>
        <v/>
      </c>
      <c r="CB360" s="518" t="str">
        <f>IF(AND(_E="B-767-300",'2024'!$M$4="CA",'2024'!$M$2=CB347),'2024DATA'!$I$15,"")</f>
        <v/>
      </c>
      <c r="CC360" s="518" t="str">
        <f>IF(AND(_E="B-767-300",'2024'!$M$4="CA",'2024'!$M$2=CC347),'2024DATA'!$J$15,"")</f>
        <v/>
      </c>
      <c r="CD360" s="518" t="str">
        <f>IF(AND(_E="B-767-300",'2024'!$M$4="CA",'2024'!$M$2=CD347),'2024DATA'!$K$15,"")</f>
        <v/>
      </c>
      <c r="CE360" s="518" t="str">
        <f>IF(AND(_E="B-767-300",'2024'!$M$4="CA",'2024'!$M$2=CE347),'2024DATA'!$L$15,"")</f>
        <v/>
      </c>
      <c r="CF360" s="518" t="str">
        <f>IF(AND(_E="B-767-300",'2024'!$M$4="CA",'2024'!$M$2=CF347),'2024DATA'!$M$15,"")</f>
        <v/>
      </c>
      <c r="CG360" s="520" t="str">
        <f>IF(AND(_E="B-767-300",'2024'!$M$4="CA",'2024'!$M$2=CG347),'2024DATA'!$N$15,"")</f>
        <v/>
      </c>
      <c r="CH360" s="940" t="s">
        <v>67</v>
      </c>
      <c r="CI360" s="13" t="s">
        <v>61</v>
      </c>
      <c r="CJ360" s="518" t="str">
        <f>IF(AND(_F="B-767-300",'2024'!$M$4="CA",'2024'!$M$2=CJ347),'2024DATA'!$C$15,"")</f>
        <v/>
      </c>
      <c r="CK360" s="518" t="str">
        <f>IF(AND(_F="B-767-300",'2024'!$M$4="CA",'2024'!$M$2=CK347),'2024DATA'!$D$15,"")</f>
        <v/>
      </c>
      <c r="CL360" s="518" t="str">
        <f>IF(AND(_F="B-767-300",'2024'!$M$4="CA",'2024'!$M$2=CL347),'2024DATA'!$E$15,"")</f>
        <v/>
      </c>
      <c r="CM360" s="518" t="str">
        <f>IF(AND(_F="B-767-300",'2024'!$M$4="CA",'2024'!$M$2=CM347),'2024DATA'!$F$15,"")</f>
        <v/>
      </c>
      <c r="CN360" s="518" t="str">
        <f>IF(AND(_F="B-767-300",'2024'!$M$4="CA",'2024'!$M$2=CN347),'2024DATA'!$G$15,"")</f>
        <v/>
      </c>
      <c r="CO360" s="518" t="str">
        <f>IF(AND(_F="B-767-300",'2024'!$M$4="CA",'2024'!$M$2=CO347),'2024DATA'!$H$15,"")</f>
        <v/>
      </c>
      <c r="CP360" s="518" t="str">
        <f>IF(AND(_F="B-767-300",'2024'!$M$4="CA",'2024'!$M$2=CP347),'2024DATA'!$I$15,"")</f>
        <v/>
      </c>
      <c r="CQ360" s="518" t="str">
        <f>IF(AND(_F="B-767-300",'2024'!$M$4="CA",'2024'!$M$2=CQ347),'2024DATA'!$J$15,"")</f>
        <v/>
      </c>
      <c r="CR360" s="518" t="str">
        <f>IF(AND(_F="B-767-300",'2024'!$M$4="CA",'2024'!$M$2=CR347),'2024DATA'!$K$15,"")</f>
        <v/>
      </c>
      <c r="CS360" s="518" t="str">
        <f>IF(AND(_F="B-767-300",'2024'!$M$4="CA",'2024'!$M$2=CS347),'2024DATA'!$L$15,"")</f>
        <v/>
      </c>
      <c r="CT360" s="518" t="str">
        <f>IF(AND(_F="B-767-300",'2024'!$M$4="CA",'2024'!$M$2=CT347),'2024DATA'!$M$15,"")</f>
        <v/>
      </c>
      <c r="CU360" s="520" t="str">
        <f>IF(AND(_F="B-767-300",'2024'!$M$4="CA",'2024'!$M$2=CU347),'2024DATA'!$N$15,"")</f>
        <v/>
      </c>
    </row>
    <row r="361" spans="16:99" x14ac:dyDescent="0.25">
      <c r="P361" s="940"/>
      <c r="Q361" s="13" t="s">
        <v>62</v>
      </c>
      <c r="R361" s="518" t="str">
        <f>IF(AND(_A="B-767-300",'2024'!$M$4="FO",'2024'!$M$2=R347),'2024DATA'!$C$16,"")</f>
        <v/>
      </c>
      <c r="S361" s="518" t="str">
        <f>IF(AND(_A="B-767-300",'2024'!$M$4="FO",'2024'!$M$2=S347),'2024DATA'!$D$16,"")</f>
        <v/>
      </c>
      <c r="T361" s="518" t="str">
        <f>IF(AND(_A="B-767-300",'2024'!$M$4="FO",'2024'!$M$2=T347),'2024DATA'!$E$16,"")</f>
        <v/>
      </c>
      <c r="U361" s="518" t="str">
        <f>IF(AND(_A="B-767-300",'2024'!$M$4="FO",'2024'!$M$2=U347),'2024DATA'!$F$16,"")</f>
        <v/>
      </c>
      <c r="V361" s="518" t="str">
        <f>IF(AND(_A="B-767-300",'2024'!$M$4="FO",'2024'!$M$2=V347),'2024DATA'!$G$16,"")</f>
        <v/>
      </c>
      <c r="W361" s="518" t="str">
        <f>IF(AND(_A="B-767-300",'2024'!$M$4="FO",'2024'!$M$2=W347),'2024DATA'!$H$16,"")</f>
        <v/>
      </c>
      <c r="X361" s="518" t="str">
        <f>IF(AND(_A="B-767-300",'2024'!$M$4="FO",'2024'!$M$2=X347),'2024DATA'!$I$16,"")</f>
        <v/>
      </c>
      <c r="Y361" s="518" t="str">
        <f>IF(AND(_A="B-767-300",'2024'!$M$4="FO",'2024'!$M$2=Y347),'2024DATA'!$J$16,"")</f>
        <v/>
      </c>
      <c r="Z361" s="518" t="str">
        <f>IF(AND(_A="B-767-300",'2024'!$M$4="FO",'2024'!$M$2=Z347),'2024DATA'!$K$16,"")</f>
        <v/>
      </c>
      <c r="AA361" s="518" t="str">
        <f>IF(AND(_A="B-767-300",'2024'!$M$4="FO",'2024'!$M$2=AA347),'2024DATA'!$L$16,"")</f>
        <v/>
      </c>
      <c r="AB361" s="518" t="str">
        <f>IF(AND(_A="B-767-300",'2024'!$M$4="FO",'2024'!$M$2=AB347),'2024DATA'!$M$16,"")</f>
        <v/>
      </c>
      <c r="AC361" s="520" t="str">
        <f>IF(AND(_A="B-767-300",'2024'!$M$4="FO",'2024'!$M$2=AC347),'2024DATA'!$N$16,"")</f>
        <v/>
      </c>
      <c r="AD361" s="940"/>
      <c r="AE361" s="13" t="s">
        <v>62</v>
      </c>
      <c r="AF361" s="518" t="str">
        <f>IF(AND(_B="B-767-300",'2024'!$M$4="FO",'2024'!$M$2=AF347),'2024DATA'!$C$16,"")</f>
        <v/>
      </c>
      <c r="AG361" s="518" t="str">
        <f>IF(AND(_B="B-767-300",'2024'!$M$4="FO",'2024'!$M$2=AG347),'2024DATA'!$D$16,"")</f>
        <v/>
      </c>
      <c r="AH361" s="518" t="str">
        <f>IF(AND(_B="B-767-300",'2024'!$M$4="FO",'2024'!$M$2=AH347),'2024DATA'!$E$16,"")</f>
        <v/>
      </c>
      <c r="AI361" s="518" t="str">
        <f>IF(AND(_B="B-767-300",'2024'!$M$4="FO",'2024'!$M$2=AI347),'2024DATA'!$F$16,"")</f>
        <v/>
      </c>
      <c r="AJ361" s="518" t="str">
        <f>IF(AND(_B="B-767-300",'2024'!$M$4="FO",'2024'!$M$2=AJ347),'2024DATA'!$G$16,"")</f>
        <v/>
      </c>
      <c r="AK361" s="518" t="str">
        <f>IF(AND(_B="B-767-300",'2024'!$M$4="FO",'2024'!$M$2=AK347),'2024DATA'!$H$16,"")</f>
        <v/>
      </c>
      <c r="AL361" s="518" t="str">
        <f>IF(AND(_B="B-767-300",'2024'!$M$4="FO",'2024'!$M$2=AL347),'2024DATA'!$I$16,"")</f>
        <v/>
      </c>
      <c r="AM361" s="518" t="str">
        <f>IF(AND(_B="B-767-300",'2024'!$M$4="FO",'2024'!$M$2=AM347),'2024DATA'!$J$16,"")</f>
        <v/>
      </c>
      <c r="AN361" s="518" t="str">
        <f>IF(AND(_B="B-767-300",'2024'!$M$4="FO",'2024'!$M$2=AN347),'2024DATA'!$K$16,"")</f>
        <v/>
      </c>
      <c r="AO361" s="518" t="str">
        <f>IF(AND(_B="B-767-300",'2024'!$M$4="FO",'2024'!$M$2=AO347),'2024DATA'!$L$16,"")</f>
        <v/>
      </c>
      <c r="AP361" s="518" t="str">
        <f>IF(AND(_B="B-767-300",'2024'!$M$4="FO",'2024'!$M$2=AP347),'2024DATA'!$M$16,"")</f>
        <v/>
      </c>
      <c r="AQ361" s="520" t="str">
        <f>IF(AND(_B="B-767-300",'2024'!$M$4="FO",'2024'!$M$2=AQ347),'2024DATA'!$N$16,"")</f>
        <v/>
      </c>
      <c r="AR361" s="940"/>
      <c r="AS361" s="13" t="s">
        <v>62</v>
      </c>
      <c r="AT361" s="518" t="str">
        <f>IF(AND(_C="B-767-300",'2024'!$M$4="FO",'2024'!$M$2=AT347),'2024DATA'!$C$16,"")</f>
        <v/>
      </c>
      <c r="AU361" s="518" t="str">
        <f>IF(AND(_C="B-767-300",'2024'!$M$4="FO",'2024'!$M$2=AU347),'2024DATA'!$D$16,"")</f>
        <v/>
      </c>
      <c r="AV361" s="518" t="str">
        <f>IF(AND(_C="B-767-300",'2024'!$M$4="FO",'2024'!$M$2=AV347),'2024DATA'!$E$16,"")</f>
        <v/>
      </c>
      <c r="AW361" s="518" t="str">
        <f>IF(AND(_C="B-767-300",'2024'!$M$4="FO",'2024'!$M$2=AW347),'2024DATA'!$F$16,"")</f>
        <v/>
      </c>
      <c r="AX361" s="518" t="str">
        <f>IF(AND(_C="B-767-300",'2024'!$M$4="FO",'2024'!$M$2=AX347),'2024DATA'!$G$16,"")</f>
        <v/>
      </c>
      <c r="AY361" s="518" t="str">
        <f>IF(AND(_C="B-767-300",'2024'!$M$4="FO",'2024'!$M$2=AY347),'2024DATA'!$H$16,"")</f>
        <v/>
      </c>
      <c r="AZ361" s="518" t="str">
        <f>IF(AND(_C="B-767-300",'2024'!$M$4="FO",'2024'!$M$2=AZ347),'2024DATA'!$I$16,"")</f>
        <v/>
      </c>
      <c r="BA361" s="518" t="str">
        <f>IF(AND(_C="B-767-300",'2024'!$M$4="FO",'2024'!$M$2=BA347),'2024DATA'!$J$16,"")</f>
        <v/>
      </c>
      <c r="BB361" s="518" t="str">
        <f>IF(AND(_C="B-767-300",'2024'!$M$4="FO",'2024'!$M$2=BB347),'2024DATA'!$K$16,"")</f>
        <v/>
      </c>
      <c r="BC361" s="518" t="str">
        <f>IF(AND(_C="B-767-300",'2024'!$M$4="FO",'2024'!$M$2=BC347),'2024DATA'!$L$16,"")</f>
        <v/>
      </c>
      <c r="BD361" s="518" t="str">
        <f>IF(AND(_C="B-767-300",'2024'!$M$4="FO",'2024'!$M$2=BD347),'2024DATA'!$M$16,"")</f>
        <v/>
      </c>
      <c r="BE361" s="520" t="str">
        <f>IF(AND(_C="B-767-300",'2024'!$M$4="FO",'2024'!$M$2=BE347),'2024DATA'!$N$16,"")</f>
        <v/>
      </c>
      <c r="BF361" s="940"/>
      <c r="BG361" s="13" t="s">
        <v>62</v>
      </c>
      <c r="BH361" s="518" t="str">
        <f>IF(AND(_D="B-767-300",'2024'!$M$4="FO",'2024'!$M$2=BH347),'2024DATA'!$C$16,"")</f>
        <v/>
      </c>
      <c r="BI361" s="518" t="str">
        <f>IF(AND(_D="B-767-300",'2024'!$M$4="FO",'2024'!$M$2=BI347),'2024DATA'!$D$16,"")</f>
        <v/>
      </c>
      <c r="BJ361" s="518" t="str">
        <f>IF(AND(_D="B-767-300",'2024'!$M$4="FO",'2024'!$M$2=BJ347),'2024DATA'!$E$16,"")</f>
        <v/>
      </c>
      <c r="BK361" s="518" t="str">
        <f>IF(AND(_D="B-767-300",'2024'!$M$4="FO",'2024'!$M$2=BK347),'2024DATA'!$F$16,"")</f>
        <v/>
      </c>
      <c r="BL361" s="518" t="str">
        <f>IF(AND(_D="B-767-300",'2024'!$M$4="FO",'2024'!$M$2=BL347),'2024DATA'!$G$16,"")</f>
        <v/>
      </c>
      <c r="BM361" s="518" t="str">
        <f>IF(AND(_D="B-767-300",'2024'!$M$4="FO",'2024'!$M$2=BM347),'2024DATA'!$H$16,"")</f>
        <v/>
      </c>
      <c r="BN361" s="518" t="str">
        <f>IF(AND(_D="B-767-300",'2024'!$M$4="FO",'2024'!$M$2=BN347),'2024DATA'!$I$16,"")</f>
        <v/>
      </c>
      <c r="BO361" s="518" t="str">
        <f>IF(AND(_D="B-767-300",'2024'!$M$4="FO",'2024'!$M$2=BO347),'2024DATA'!$J$16,"")</f>
        <v/>
      </c>
      <c r="BP361" s="518" t="str">
        <f>IF(AND(_D="B-767-300",'2024'!$M$4="FO",'2024'!$M$2=BP347),'2024DATA'!$K$16,"")</f>
        <v/>
      </c>
      <c r="BQ361" s="518" t="str">
        <f>IF(AND(_D="B-767-300",'2024'!$M$4="FO",'2024'!$M$2=BQ347),'2024DATA'!$L$16,"")</f>
        <v/>
      </c>
      <c r="BR361" s="518" t="str">
        <f>IF(AND(_D="B-767-300",'2024'!$M$4="FO",'2024'!$M$2=BR347),'2024DATA'!$M$16,"")</f>
        <v/>
      </c>
      <c r="BS361" s="520" t="str">
        <f>IF(AND(_D="B-767-300",'2024'!$M$4="FO",'2024'!$M$2=BS347),'2024DATA'!$N$16,"")</f>
        <v/>
      </c>
      <c r="BT361" s="940"/>
      <c r="BU361" s="13" t="s">
        <v>62</v>
      </c>
      <c r="BV361" s="518" t="str">
        <f>IF(AND(_E="B-767-300",'2024'!$M$4="FO",'2024'!$M$2=BV347),'2024DATA'!$C$16,"")</f>
        <v/>
      </c>
      <c r="BW361" s="518" t="str">
        <f>IF(AND(_E="B-767-300",'2024'!$M$4="FO",'2024'!$M$2=BW347),'2024DATA'!$D$16,"")</f>
        <v/>
      </c>
      <c r="BX361" s="518" t="str">
        <f>IF(AND(_E="B-767-300",'2024'!$M$4="FO",'2024'!$M$2=BX347),'2024DATA'!$E$16,"")</f>
        <v/>
      </c>
      <c r="BY361" s="518" t="str">
        <f>IF(AND(_E="B-767-300",'2024'!$M$4="FO",'2024'!$M$2=BY347),'2024DATA'!$F$16,"")</f>
        <v/>
      </c>
      <c r="BZ361" s="518" t="str">
        <f>IF(AND(_E="B-767-300",'2024'!$M$4="FO",'2024'!$M$2=BZ347),'2024DATA'!$G$16,"")</f>
        <v/>
      </c>
      <c r="CA361" s="518" t="str">
        <f>IF(AND(_E="B-767-300",'2024'!$M$4="FO",'2024'!$M$2=CA347),'2024DATA'!$H$16,"")</f>
        <v/>
      </c>
      <c r="CB361" s="518" t="str">
        <f>IF(AND(_E="B-767-300",'2024'!$M$4="FO",'2024'!$M$2=CB347),'2024DATA'!$I$16,"")</f>
        <v/>
      </c>
      <c r="CC361" s="518" t="str">
        <f>IF(AND(_E="B-767-300",'2024'!$M$4="FO",'2024'!$M$2=CC347),'2024DATA'!$J$16,"")</f>
        <v/>
      </c>
      <c r="CD361" s="518" t="str">
        <f>IF(AND(_E="B-767-300",'2024'!$M$4="FO",'2024'!$M$2=CD347),'2024DATA'!$K$16,"")</f>
        <v/>
      </c>
      <c r="CE361" s="518" t="str">
        <f>IF(AND(_E="B-767-300",'2024'!$M$4="FO",'2024'!$M$2=CE347),'2024DATA'!$L$16,"")</f>
        <v/>
      </c>
      <c r="CF361" s="518" t="str">
        <f>IF(AND(_E="B-767-300",'2024'!$M$4="FO",'2024'!$M$2=CF347),'2024DATA'!$M$16,"")</f>
        <v/>
      </c>
      <c r="CG361" s="520" t="str">
        <f>IF(AND(_E="B-767-300",'2024'!$M$4="FO",'2024'!$M$2=CG347),'2024DATA'!$N$16,"")</f>
        <v/>
      </c>
      <c r="CH361" s="940"/>
      <c r="CI361" s="13" t="s">
        <v>62</v>
      </c>
      <c r="CJ361" s="518" t="str">
        <f>IF(AND(_F="B-767-300",'2024'!$M$4="FO",'2024'!$M$2=CJ347),'2024DATA'!$C$16,"")</f>
        <v/>
      </c>
      <c r="CK361" s="518" t="str">
        <f>IF(AND(_F="B-767-300",'2024'!$M$4="FO",'2024'!$M$2=CK347),'2024DATA'!$D$16,"")</f>
        <v/>
      </c>
      <c r="CL361" s="518" t="str">
        <f>IF(AND(_F="B-767-300",'2024'!$M$4="FO",'2024'!$M$2=CL347),'2024DATA'!$E$16,"")</f>
        <v/>
      </c>
      <c r="CM361" s="518" t="str">
        <f>IF(AND(_F="B-767-300",'2024'!$M$4="FO",'2024'!$M$2=CM347),'2024DATA'!$F$16,"")</f>
        <v/>
      </c>
      <c r="CN361" s="518" t="str">
        <f>IF(AND(_F="B-767-300",'2024'!$M$4="FO",'2024'!$M$2=CN347),'2024DATA'!$G$16,"")</f>
        <v/>
      </c>
      <c r="CO361" s="518" t="str">
        <f>IF(AND(_F="B-767-300",'2024'!$M$4="FO",'2024'!$M$2=CO347),'2024DATA'!$H$16,"")</f>
        <v/>
      </c>
      <c r="CP361" s="518" t="str">
        <f>IF(AND(_F="B-767-300",'2024'!$M$4="FO",'2024'!$M$2=CP347),'2024DATA'!$I$16,"")</f>
        <v/>
      </c>
      <c r="CQ361" s="518" t="str">
        <f>IF(AND(_F="B-767-300",'2024'!$M$4="FO",'2024'!$M$2=CQ347),'2024DATA'!$J$16,"")</f>
        <v/>
      </c>
      <c r="CR361" s="518" t="str">
        <f>IF(AND(_F="B-767-300",'2024'!$M$4="FO",'2024'!$M$2=CR347),'2024DATA'!$K$16,"")</f>
        <v/>
      </c>
      <c r="CS361" s="518" t="str">
        <f>IF(AND(_F="B-767-300",'2024'!$M$4="FO",'2024'!$M$2=CS347),'2024DATA'!$L$16,"")</f>
        <v/>
      </c>
      <c r="CT361" s="518" t="str">
        <f>IF(AND(_F="B-767-300",'2024'!$M$4="FO",'2024'!$M$2=CT347),'2024DATA'!$M$16,"")</f>
        <v/>
      </c>
      <c r="CU361" s="520" t="str">
        <f>IF(AND(_F="B-767-300",'2024'!$M$4="FO",'2024'!$M$2=CU347),'2024DATA'!$N$16,"")</f>
        <v/>
      </c>
    </row>
    <row r="362" spans="16:99" x14ac:dyDescent="0.25">
      <c r="P362" s="940" t="s">
        <v>68</v>
      </c>
      <c r="Q362" s="13" t="s">
        <v>61</v>
      </c>
      <c r="R362" s="518" t="str">
        <f>IF(AND(_A="B-767-200",'2024'!$M$4="CA",'2024'!$M$2=R347),'2024DATA'!$C$17,"")</f>
        <v/>
      </c>
      <c r="S362" s="518" t="str">
        <f>IF(AND(_A="B-767-200",'2024'!$M$4="CA",'2024'!$M$2=S347),'2024DATA'!$D$17,"")</f>
        <v/>
      </c>
      <c r="T362" s="518" t="str">
        <f>IF(AND(_A="B-767-200",'2024'!$M$4="CA",'2024'!$M$2=T347),'2024DATA'!$E$17,"")</f>
        <v/>
      </c>
      <c r="U362" s="518" t="str">
        <f>IF(AND(_A="B-767-200",'2024'!$M$4="CA",'2024'!$M$2=U347),'2024DATA'!$F$17,"")</f>
        <v/>
      </c>
      <c r="V362" s="518" t="str">
        <f>IF(AND(_A="B-767-200",'2024'!$M$4="CA",'2024'!$M$2=V347),'2024DATA'!$G$17,"")</f>
        <v/>
      </c>
      <c r="W362" s="518" t="str">
        <f>IF(AND(_A="B-767-200",'2024'!$M$4="CA",'2024'!$M$2=W347),'2024DATA'!$H$17,"")</f>
        <v/>
      </c>
      <c r="X362" s="518" t="str">
        <f>IF(AND(_A="B-767-200",'2024'!$M$4="CA",'2024'!$M$2=X347),'2024DATA'!$I$17,"")</f>
        <v/>
      </c>
      <c r="Y362" s="518" t="str">
        <f>IF(AND(_A="B-767-200",'2024'!$M$4="CA",'2024'!$M$2=Y347),'2024DATA'!$J$17,"")</f>
        <v/>
      </c>
      <c r="Z362" s="518" t="str">
        <f>IF(AND(_A="B-767-200",'2024'!$M$4="CA",'2024'!$M$2=Z347),'2024DATA'!$K$17,"")</f>
        <v/>
      </c>
      <c r="AA362" s="518" t="str">
        <f>IF(AND(_A="B-767-200",'2024'!$M$4="CA",'2024'!$M$2=AA347),'2024DATA'!$L$17,"")</f>
        <v/>
      </c>
      <c r="AB362" s="518" t="str">
        <f>IF(AND(_A="B-767-200",'2024'!$M$4="CA",'2024'!$M$2=AB347),'2024DATA'!$M$17,"")</f>
        <v/>
      </c>
      <c r="AC362" s="520" t="str">
        <f>IF(AND(_A="B-767-200",'2024'!$M$4="CA",'2024'!$M$2=AC347),'2024DATA'!$N$17,"")</f>
        <v/>
      </c>
      <c r="AD362" s="940" t="s">
        <v>68</v>
      </c>
      <c r="AE362" s="13" t="s">
        <v>61</v>
      </c>
      <c r="AF362" s="518" t="str">
        <f>IF(AND(_B="B-767-200",'2024'!$M$4="CA",'2024'!$M$2=AF347),'2024DATA'!$C$17,"")</f>
        <v/>
      </c>
      <c r="AG362" s="518" t="str">
        <f>IF(AND(_B="B-767-200",'2024'!$M$4="CA",'2024'!$M$2=AG347),'2024DATA'!$D$17,"")</f>
        <v/>
      </c>
      <c r="AH362" s="518" t="str">
        <f>IF(AND(_B="B-767-200",'2024'!$M$4="CA",'2024'!$M$2=AH347),'2024DATA'!$E$17,"")</f>
        <v/>
      </c>
      <c r="AI362" s="518" t="str">
        <f>IF(AND(_B="B-767-200",'2024'!$M$4="CA",'2024'!$M$2=AI347),'2024DATA'!$F$17,"")</f>
        <v/>
      </c>
      <c r="AJ362" s="518" t="str">
        <f>IF(AND(_B="B-767-200",'2024'!$M$4="CA",'2024'!$M$2=AJ347),'2024DATA'!$G$17,"")</f>
        <v/>
      </c>
      <c r="AK362" s="518" t="str">
        <f>IF(AND(_B="B-767-200",'2024'!$M$4="CA",'2024'!$M$2=AK347),'2024DATA'!$H$17,"")</f>
        <v/>
      </c>
      <c r="AL362" s="518" t="str">
        <f>IF(AND(_B="B-767-200",'2024'!$M$4="CA",'2024'!$M$2=AL347),'2024DATA'!$I$17,"")</f>
        <v/>
      </c>
      <c r="AM362" s="518" t="str">
        <f>IF(AND(_B="B-767-200",'2024'!$M$4="CA",'2024'!$M$2=AM347),'2024DATA'!$J$17,"")</f>
        <v/>
      </c>
      <c r="AN362" s="518" t="str">
        <f>IF(AND(_B="B-767-200",'2024'!$M$4="CA",'2024'!$M$2=AN347),'2024DATA'!$K$17,"")</f>
        <v/>
      </c>
      <c r="AO362" s="518" t="str">
        <f>IF(AND(_B="B-767-200",'2024'!$M$4="CA",'2024'!$M$2=AO347),'2024DATA'!$L$17,"")</f>
        <v/>
      </c>
      <c r="AP362" s="518" t="str">
        <f>IF(AND(_B="B-767-200",'2024'!$M$4="CA",'2024'!$M$2=AP347),'2024DATA'!$M$17,"")</f>
        <v/>
      </c>
      <c r="AQ362" s="520" t="str">
        <f>IF(AND(_B="B-767-200",'2024'!$M$4="CA",'2024'!$M$2=AQ347),'2024DATA'!$N$17,"")</f>
        <v/>
      </c>
      <c r="AR362" s="940" t="s">
        <v>68</v>
      </c>
      <c r="AS362" s="13" t="s">
        <v>61</v>
      </c>
      <c r="AT362" s="518" t="str">
        <f>IF(AND(_C="B-767-200",'2024'!$M$4="CA",'2024'!$M$2=AT347),'2024DATA'!$C$17,"")</f>
        <v/>
      </c>
      <c r="AU362" s="518" t="str">
        <f>IF(AND(_C="B-767-200",'2024'!$M$4="CA",'2024'!$M$2=AU347),'2024DATA'!$D$17,"")</f>
        <v/>
      </c>
      <c r="AV362" s="518" t="str">
        <f>IF(AND(_C="B-767-200",'2024'!$M$4="CA",'2024'!$M$2=AV347),'2024DATA'!$E$17,"")</f>
        <v/>
      </c>
      <c r="AW362" s="518" t="str">
        <f>IF(AND(_C="B-767-200",'2024'!$M$4="CA",'2024'!$M$2=AW347),'2024DATA'!$F$17,"")</f>
        <v/>
      </c>
      <c r="AX362" s="518" t="str">
        <f>IF(AND(_C="B-767-200",'2024'!$M$4="CA",'2024'!$M$2=AX347),'2024DATA'!$G$17,"")</f>
        <v/>
      </c>
      <c r="AY362" s="518" t="str">
        <f>IF(AND(_C="B-767-200",'2024'!$M$4="CA",'2024'!$M$2=AY347),'2024DATA'!$H$17,"")</f>
        <v/>
      </c>
      <c r="AZ362" s="518" t="str">
        <f>IF(AND(_C="B-767-200",'2024'!$M$4="CA",'2024'!$M$2=AZ347),'2024DATA'!$I$17,"")</f>
        <v/>
      </c>
      <c r="BA362" s="518" t="str">
        <f>IF(AND(_C="B-767-200",'2024'!$M$4="CA",'2024'!$M$2=BA347),'2024DATA'!$J$17,"")</f>
        <v/>
      </c>
      <c r="BB362" s="518" t="str">
        <f>IF(AND(_C="B-767-200",'2024'!$M$4="CA",'2024'!$M$2=BB347),'2024DATA'!$K$17,"")</f>
        <v/>
      </c>
      <c r="BC362" s="518" t="str">
        <f>IF(AND(_C="B-767-200",'2024'!$M$4="CA",'2024'!$M$2=BC347),'2024DATA'!$L$17,"")</f>
        <v/>
      </c>
      <c r="BD362" s="518" t="str">
        <f>IF(AND(_C="B-767-200",'2024'!$M$4="CA",'2024'!$M$2=BD347),'2024DATA'!$M$17,"")</f>
        <v/>
      </c>
      <c r="BE362" s="520" t="str">
        <f>IF(AND(_C="B-767-200",'2024'!$M$4="CA",'2024'!$M$2=BE347),'2024DATA'!$N$17,"")</f>
        <v/>
      </c>
      <c r="BF362" s="940" t="s">
        <v>68</v>
      </c>
      <c r="BG362" s="13" t="s">
        <v>61</v>
      </c>
      <c r="BH362" s="518" t="str">
        <f>IF(AND(_D="B-767-200",'2024'!$M$4="CA",'2024'!$M$2=BH347),'2024DATA'!$C$17,"")</f>
        <v/>
      </c>
      <c r="BI362" s="518" t="str">
        <f>IF(AND(_D="B-767-200",'2024'!$M$4="CA",'2024'!$M$2=BI347),'2024DATA'!$D$17,"")</f>
        <v/>
      </c>
      <c r="BJ362" s="518" t="str">
        <f>IF(AND(_D="B-767-200",'2024'!$M$4="CA",'2024'!$M$2=BJ347),'2024DATA'!$E$17,"")</f>
        <v/>
      </c>
      <c r="BK362" s="518" t="str">
        <f>IF(AND(_D="B-767-200",'2024'!$M$4="CA",'2024'!$M$2=BK347),'2024DATA'!$F$17,"")</f>
        <v/>
      </c>
      <c r="BL362" s="518" t="str">
        <f>IF(AND(_D="B-767-200",'2024'!$M$4="CA",'2024'!$M$2=BL347),'2024DATA'!$G$17,"")</f>
        <v/>
      </c>
      <c r="BM362" s="518" t="str">
        <f>IF(AND(_D="B-767-200",'2024'!$M$4="CA",'2024'!$M$2=BM347),'2024DATA'!$H$17,"")</f>
        <v/>
      </c>
      <c r="BN362" s="518" t="str">
        <f>IF(AND(_D="B-767-200",'2024'!$M$4="CA",'2024'!$M$2=BN347),'2024DATA'!$I$17,"")</f>
        <v/>
      </c>
      <c r="BO362" s="518" t="str">
        <f>IF(AND(_D="B-767-200",'2024'!$M$4="CA",'2024'!$M$2=BO347),'2024DATA'!$J$17,"")</f>
        <v/>
      </c>
      <c r="BP362" s="518" t="str">
        <f>IF(AND(_D="B-767-200",'2024'!$M$4="CA",'2024'!$M$2=BP347),'2024DATA'!$K$17,"")</f>
        <v/>
      </c>
      <c r="BQ362" s="518" t="str">
        <f>IF(AND(_D="B-767-200",'2024'!$M$4="CA",'2024'!$M$2=BQ347),'2024DATA'!$L$17,"")</f>
        <v/>
      </c>
      <c r="BR362" s="518" t="str">
        <f>IF(AND(_D="B-767-200",'2024'!$M$4="CA",'2024'!$M$2=BR347),'2024DATA'!$M$17,"")</f>
        <v/>
      </c>
      <c r="BS362" s="520" t="str">
        <f>IF(AND(_D="B-767-200",'2024'!$M$4="CA",'2024'!$M$2=BS347),'2024DATA'!$N$17,"")</f>
        <v/>
      </c>
      <c r="BT362" s="940" t="s">
        <v>68</v>
      </c>
      <c r="BU362" s="13" t="s">
        <v>61</v>
      </c>
      <c r="BV362" s="518" t="str">
        <f>IF(AND(_E="B-767-200",'2024'!$M$4="CA",'2024'!$M$2=BV347),'2024DATA'!$C$17,"")</f>
        <v/>
      </c>
      <c r="BW362" s="518" t="str">
        <f>IF(AND(_E="B-767-200",'2024'!$M$4="CA",'2024'!$M$2=BW347),'2024DATA'!$D$17,"")</f>
        <v/>
      </c>
      <c r="BX362" s="518" t="str">
        <f>IF(AND(_E="B-767-200",'2024'!$M$4="CA",'2024'!$M$2=BX347),'2024DATA'!$E$17,"")</f>
        <v/>
      </c>
      <c r="BY362" s="518" t="str">
        <f>IF(AND(_E="B-767-200",'2024'!$M$4="CA",'2024'!$M$2=BY347),'2024DATA'!$F$17,"")</f>
        <v/>
      </c>
      <c r="BZ362" s="518" t="str">
        <f>IF(AND(_E="B-767-200",'2024'!$M$4="CA",'2024'!$M$2=BZ347),'2024DATA'!$G$17,"")</f>
        <v/>
      </c>
      <c r="CA362" s="518" t="str">
        <f>IF(AND(_E="B-767-200",'2024'!$M$4="CA",'2024'!$M$2=CA347),'2024DATA'!$H$17,"")</f>
        <v/>
      </c>
      <c r="CB362" s="518" t="str">
        <f>IF(AND(_E="B-767-200",'2024'!$M$4="CA",'2024'!$M$2=CB347),'2024DATA'!$I$17,"")</f>
        <v/>
      </c>
      <c r="CC362" s="518" t="str">
        <f>IF(AND(_E="B-767-200",'2024'!$M$4="CA",'2024'!$M$2=CC347),'2024DATA'!$J$17,"")</f>
        <v/>
      </c>
      <c r="CD362" s="518" t="str">
        <f>IF(AND(_E="B-767-200",'2024'!$M$4="CA",'2024'!$M$2=CD347),'2024DATA'!$K$17,"")</f>
        <v/>
      </c>
      <c r="CE362" s="518" t="str">
        <f>IF(AND(_E="B-767-200",'2024'!$M$4="CA",'2024'!$M$2=CE347),'2024DATA'!$L$17,"")</f>
        <v/>
      </c>
      <c r="CF362" s="518" t="str">
        <f>IF(AND(_E="B-767-200",'2024'!$M$4="CA",'2024'!$M$2=CF347),'2024DATA'!$M$17,"")</f>
        <v/>
      </c>
      <c r="CG362" s="520" t="str">
        <f>IF(AND(_E="B-767-200",'2024'!$M$4="CA",'2024'!$M$2=CG347),'2024DATA'!$N$17,"")</f>
        <v/>
      </c>
      <c r="CH362" s="940" t="s">
        <v>68</v>
      </c>
      <c r="CI362" s="13" t="s">
        <v>61</v>
      </c>
      <c r="CJ362" s="518" t="str">
        <f>IF(AND(_F="B-767-200",'2024'!$M$4="CA",'2024'!$M$2=CJ347),'2024DATA'!$C$17,"")</f>
        <v/>
      </c>
      <c r="CK362" s="518" t="str">
        <f>IF(AND(_F="B-767-200",'2024'!$M$4="CA",'2024'!$M$2=CK347),'2024DATA'!$D$17,"")</f>
        <v/>
      </c>
      <c r="CL362" s="518" t="str">
        <f>IF(AND(_F="B-767-200",'2024'!$M$4="CA",'2024'!$M$2=CL347),'2024DATA'!$E$17,"")</f>
        <v/>
      </c>
      <c r="CM362" s="518" t="str">
        <f>IF(AND(_F="B-767-200",'2024'!$M$4="CA",'2024'!$M$2=CM347),'2024DATA'!$F$17,"")</f>
        <v/>
      </c>
      <c r="CN362" s="518" t="str">
        <f>IF(AND(_F="B-767-200",'2024'!$M$4="CA",'2024'!$M$2=CN347),'2024DATA'!$G$17,"")</f>
        <v/>
      </c>
      <c r="CO362" s="518" t="str">
        <f>IF(AND(_F="B-767-200",'2024'!$M$4="CA",'2024'!$M$2=CO347),'2024DATA'!$H$17,"")</f>
        <v/>
      </c>
      <c r="CP362" s="518" t="str">
        <f>IF(AND(_F="B-767-200",'2024'!$M$4="CA",'2024'!$M$2=CP347),'2024DATA'!$I$17,"")</f>
        <v/>
      </c>
      <c r="CQ362" s="518" t="str">
        <f>IF(AND(_F="B-767-200",'2024'!$M$4="CA",'2024'!$M$2=CQ347),'2024DATA'!$J$17,"")</f>
        <v/>
      </c>
      <c r="CR362" s="518" t="str">
        <f>IF(AND(_F="B-767-200",'2024'!$M$4="CA",'2024'!$M$2=CR347),'2024DATA'!$K$17,"")</f>
        <v/>
      </c>
      <c r="CS362" s="518" t="str">
        <f>IF(AND(_F="B-767-200",'2024'!$M$4="CA",'2024'!$M$2=CS347),'2024DATA'!$L$17,"")</f>
        <v/>
      </c>
      <c r="CT362" s="518" t="str">
        <f>IF(AND(_F="B-767-200",'2024'!$M$4="CA",'2024'!$M$2=CT347),'2024DATA'!$M$17,"")</f>
        <v/>
      </c>
      <c r="CU362" s="520" t="str">
        <f>IF(AND(_F="B-767-200",'2024'!$M$4="CA",'2024'!$M$2=CU347),'2024DATA'!$N$17,"")</f>
        <v/>
      </c>
    </row>
    <row r="363" spans="16:99" x14ac:dyDescent="0.25">
      <c r="P363" s="940"/>
      <c r="Q363" s="13" t="s">
        <v>62</v>
      </c>
      <c r="R363" s="518" t="str">
        <f>IF(AND(_A="B-767-200",'2024'!$M$4="FO",'2024'!$M$2=R347),'2024DATA'!$C$18,"")</f>
        <v/>
      </c>
      <c r="S363" s="518" t="str">
        <f>IF(AND(_A="B-767-200",'2024'!$M$4="FO",'2024'!$M$2=S347),'2024DATA'!$D$18,"")</f>
        <v/>
      </c>
      <c r="T363" s="518" t="str">
        <f>IF(AND(_A="B-767-200",'2024'!$M$4="FO",'2024'!$M$2=T347),'2024DATA'!$E$18,"")</f>
        <v/>
      </c>
      <c r="U363" s="518" t="str">
        <f>IF(AND(_A="B-767-200",'2024'!$M$4="FO",'2024'!$M$2=U347),'2024DATA'!$F$18,"")</f>
        <v/>
      </c>
      <c r="V363" s="518" t="str">
        <f>IF(AND(_A="B-767-200",'2024'!$M$4="FO",'2024'!$M$2=V347),'2024DATA'!$G$18,"")</f>
        <v/>
      </c>
      <c r="W363" s="518" t="str">
        <f>IF(AND(_A="B-767-200",'2024'!$M$4="FO",'2024'!$M$2=W347),'2024DATA'!$H$18,"")</f>
        <v/>
      </c>
      <c r="X363" s="518" t="str">
        <f>IF(AND(_A="B-767-200",'2024'!$M$4="FO",'2024'!$M$2=X347),'2024DATA'!$I$18,"")</f>
        <v/>
      </c>
      <c r="Y363" s="518" t="str">
        <f>IF(AND(_A="B-767-200",'2024'!$M$4="FO",'2024'!$M$2=Y347),'2024DATA'!$J$18,"")</f>
        <v/>
      </c>
      <c r="Z363" s="518" t="str">
        <f>IF(AND(_A="B-767-200",'2024'!$M$4="FO",'2024'!$M$2=Z347),'2024DATA'!$K$18,"")</f>
        <v/>
      </c>
      <c r="AA363" s="518" t="str">
        <f>IF(AND(_A="B-767-200",'2024'!$M$4="FO",'2024'!$M$2=AA347),'2024DATA'!$L$18,"")</f>
        <v/>
      </c>
      <c r="AB363" s="518" t="str">
        <f>IF(AND(_A="B-767-200",'2024'!$M$4="FO",'2024'!$M$2=AB347),'2024DATA'!$M$18,"")</f>
        <v/>
      </c>
      <c r="AC363" s="520" t="str">
        <f>IF(AND(_A="B-767-200",'2024'!$M$4="FO",'2024'!$M$2=AC347),'2024DATA'!$N$18,"")</f>
        <v/>
      </c>
      <c r="AD363" s="940"/>
      <c r="AE363" s="13" t="s">
        <v>62</v>
      </c>
      <c r="AF363" s="518" t="str">
        <f>IF(AND(_B="B-767-200",'2024'!$M$4="FO",'2024'!$M$2=AF347),'2024DATA'!$C$18,"")</f>
        <v/>
      </c>
      <c r="AG363" s="518" t="str">
        <f>IF(AND(_B="B-767-200",'2024'!$M$4="FO",'2024'!$M$2=AG347),'2024DATA'!$D$18,"")</f>
        <v/>
      </c>
      <c r="AH363" s="518" t="str">
        <f>IF(AND(_B="B-767-200",'2024'!$M$4="FO",'2024'!$M$2=AH347),'2024DATA'!$E$18,"")</f>
        <v/>
      </c>
      <c r="AI363" s="518" t="str">
        <f>IF(AND(_B="B-767-200",'2024'!$M$4="FO",'2024'!$M$2=AI347),'2024DATA'!$F$18,"")</f>
        <v/>
      </c>
      <c r="AJ363" s="518" t="str">
        <f>IF(AND(_B="B-767-200",'2024'!$M$4="FO",'2024'!$M$2=AJ347),'2024DATA'!$G$18,"")</f>
        <v/>
      </c>
      <c r="AK363" s="518" t="str">
        <f>IF(AND(_B="B-767-200",'2024'!$M$4="FO",'2024'!$M$2=AK347),'2024DATA'!$H$18,"")</f>
        <v/>
      </c>
      <c r="AL363" s="518" t="str">
        <f>IF(AND(_B="B-767-200",'2024'!$M$4="FO",'2024'!$M$2=AL347),'2024DATA'!$I$18,"")</f>
        <v/>
      </c>
      <c r="AM363" s="518" t="str">
        <f>IF(AND(_B="B-767-200",'2024'!$M$4="FO",'2024'!$M$2=AM347),'2024DATA'!$J$18,"")</f>
        <v/>
      </c>
      <c r="AN363" s="518" t="str">
        <f>IF(AND(_B="B-767-200",'2024'!$M$4="FO",'2024'!$M$2=AN347),'2024DATA'!$K$18,"")</f>
        <v/>
      </c>
      <c r="AO363" s="518" t="str">
        <f>IF(AND(_B="B-767-200",'2024'!$M$4="FO",'2024'!$M$2=AO347),'2024DATA'!$L$18,"")</f>
        <v/>
      </c>
      <c r="AP363" s="518" t="str">
        <f>IF(AND(_B="B-767-200",'2024'!$M$4="FO",'2024'!$M$2=AP347),'2024DATA'!$M$18,"")</f>
        <v/>
      </c>
      <c r="AQ363" s="520" t="str">
        <f>IF(AND(_B="B-767-200",'2024'!$M$4="FO",'2024'!$M$2=AQ347),'2024DATA'!$N$18,"")</f>
        <v/>
      </c>
      <c r="AR363" s="940"/>
      <c r="AS363" s="13" t="s">
        <v>62</v>
      </c>
      <c r="AT363" s="518" t="str">
        <f>IF(AND(_C="B-767-200",'2024'!$M$4="FO",'2024'!$M$2=AT347),'2024DATA'!$C$18,"")</f>
        <v/>
      </c>
      <c r="AU363" s="518" t="str">
        <f>IF(AND(_C="B-767-200",'2024'!$M$4="FO",'2024'!$M$2=AU347),'2024DATA'!$D$18,"")</f>
        <v/>
      </c>
      <c r="AV363" s="518" t="str">
        <f>IF(AND(_C="B-767-200",'2024'!$M$4="FO",'2024'!$M$2=AV347),'2024DATA'!$E$18,"")</f>
        <v/>
      </c>
      <c r="AW363" s="518" t="str">
        <f>IF(AND(_C="B-767-200",'2024'!$M$4="FO",'2024'!$M$2=AW347),'2024DATA'!$F$18,"")</f>
        <v/>
      </c>
      <c r="AX363" s="518" t="str">
        <f>IF(AND(_C="B-767-200",'2024'!$M$4="FO",'2024'!$M$2=AX347),'2024DATA'!$G$18,"")</f>
        <v/>
      </c>
      <c r="AY363" s="518" t="str">
        <f>IF(AND(_C="B-767-200",'2024'!$M$4="FO",'2024'!$M$2=AY347),'2024DATA'!$H$18,"")</f>
        <v/>
      </c>
      <c r="AZ363" s="518" t="str">
        <f>IF(AND(_C="B-767-200",'2024'!$M$4="FO",'2024'!$M$2=AZ347),'2024DATA'!$I$18,"")</f>
        <v/>
      </c>
      <c r="BA363" s="518" t="str">
        <f>IF(AND(_C="B-767-200",'2024'!$M$4="FO",'2024'!$M$2=BA347),'2024DATA'!$J$18,"")</f>
        <v/>
      </c>
      <c r="BB363" s="518" t="str">
        <f>IF(AND(_C="B-767-200",'2024'!$M$4="FO",'2024'!$M$2=BB347),'2024DATA'!$K$18,"")</f>
        <v/>
      </c>
      <c r="BC363" s="518" t="str">
        <f>IF(AND(_C="B-767-200",'2024'!$M$4="FO",'2024'!$M$2=BC347),'2024DATA'!$L$18,"")</f>
        <v/>
      </c>
      <c r="BD363" s="518" t="str">
        <f>IF(AND(_C="B-767-200",'2024'!$M$4="FO",'2024'!$M$2=BD347),'2024DATA'!$M$18,"")</f>
        <v/>
      </c>
      <c r="BE363" s="520" t="str">
        <f>IF(AND(_C="B-767-200",'2024'!$M$4="FO",'2024'!$M$2=BE347),'2024DATA'!$N$18,"")</f>
        <v/>
      </c>
      <c r="BF363" s="940"/>
      <c r="BG363" s="13" t="s">
        <v>62</v>
      </c>
      <c r="BH363" s="518" t="str">
        <f>IF(AND(_D="B-767-200",'2024'!$M$4="FO",'2024'!$M$2=BH347),'2024DATA'!$C$18,"")</f>
        <v/>
      </c>
      <c r="BI363" s="518" t="str">
        <f>IF(AND(_D="B-767-200",'2024'!$M$4="FO",'2024'!$M$2=BI347),'2024DATA'!$D$18,"")</f>
        <v/>
      </c>
      <c r="BJ363" s="518" t="str">
        <f>IF(AND(_D="B-767-200",'2024'!$M$4="FO",'2024'!$M$2=BJ347),'2024DATA'!$E$18,"")</f>
        <v/>
      </c>
      <c r="BK363" s="518" t="str">
        <f>IF(AND(_D="B-767-200",'2024'!$M$4="FO",'2024'!$M$2=BK347),'2024DATA'!$F$18,"")</f>
        <v/>
      </c>
      <c r="BL363" s="518" t="str">
        <f>IF(AND(_D="B-767-200",'2024'!$M$4="FO",'2024'!$M$2=BL347),'2024DATA'!$G$18,"")</f>
        <v/>
      </c>
      <c r="BM363" s="518" t="str">
        <f>IF(AND(_D="B-767-200",'2024'!$M$4="FO",'2024'!$M$2=BM347),'2024DATA'!$H$18,"")</f>
        <v/>
      </c>
      <c r="BN363" s="518" t="str">
        <f>IF(AND(_D="B-767-200",'2024'!$M$4="FO",'2024'!$M$2=BN347),'2024DATA'!$I$18,"")</f>
        <v/>
      </c>
      <c r="BO363" s="518" t="str">
        <f>IF(AND(_D="B-767-200",'2024'!$M$4="FO",'2024'!$M$2=BO347),'2024DATA'!$J$18,"")</f>
        <v/>
      </c>
      <c r="BP363" s="518" t="str">
        <f>IF(AND(_D="B-767-200",'2024'!$M$4="FO",'2024'!$M$2=BP347),'2024DATA'!$K$18,"")</f>
        <v/>
      </c>
      <c r="BQ363" s="518" t="str">
        <f>IF(AND(_D="B-767-200",'2024'!$M$4="FO",'2024'!$M$2=BQ347),'2024DATA'!$L$18,"")</f>
        <v/>
      </c>
      <c r="BR363" s="518" t="str">
        <f>IF(AND(_D="B-767-200",'2024'!$M$4="FO",'2024'!$M$2=BR347),'2024DATA'!$M$18,"")</f>
        <v/>
      </c>
      <c r="BS363" s="520" t="str">
        <f>IF(AND(_D="B-767-200",'2024'!$M$4="FO",'2024'!$M$2=BS347),'2024DATA'!$N$18,"")</f>
        <v/>
      </c>
      <c r="BT363" s="940"/>
      <c r="BU363" s="13" t="s">
        <v>62</v>
      </c>
      <c r="BV363" s="518" t="str">
        <f>IF(AND(_E="B-767-200",'2024'!$M$4="FO",'2024'!$M$2=BV347),'2024DATA'!$C$18,"")</f>
        <v/>
      </c>
      <c r="BW363" s="518" t="str">
        <f>IF(AND(_E="B-767-200",'2024'!$M$4="FO",'2024'!$M$2=BW347),'2024DATA'!$D$18,"")</f>
        <v/>
      </c>
      <c r="BX363" s="518" t="str">
        <f>IF(AND(_E="B-767-200",'2024'!$M$4="FO",'2024'!$M$2=BX347),'2024DATA'!$E$18,"")</f>
        <v/>
      </c>
      <c r="BY363" s="518" t="str">
        <f>IF(AND(_E="B-767-200",'2024'!$M$4="FO",'2024'!$M$2=BY347),'2024DATA'!$F$18,"")</f>
        <v/>
      </c>
      <c r="BZ363" s="518" t="str">
        <f>IF(AND(_E="B-767-200",'2024'!$M$4="FO",'2024'!$M$2=BZ347),'2024DATA'!$G$18,"")</f>
        <v/>
      </c>
      <c r="CA363" s="518" t="str">
        <f>IF(AND(_E="B-767-200",'2024'!$M$4="FO",'2024'!$M$2=CA347),'2024DATA'!$H$18,"")</f>
        <v/>
      </c>
      <c r="CB363" s="518" t="str">
        <f>IF(AND(_E="B-767-200",'2024'!$M$4="FO",'2024'!$M$2=CB347),'2024DATA'!$I$18,"")</f>
        <v/>
      </c>
      <c r="CC363" s="518" t="str">
        <f>IF(AND(_E="B-767-200",'2024'!$M$4="FO",'2024'!$M$2=CC347),'2024DATA'!$J$18,"")</f>
        <v/>
      </c>
      <c r="CD363" s="518" t="str">
        <f>IF(AND(_E="B-767-200",'2024'!$M$4="FO",'2024'!$M$2=CD347),'2024DATA'!$K$18,"")</f>
        <v/>
      </c>
      <c r="CE363" s="518" t="str">
        <f>IF(AND(_E="B-767-200",'2024'!$M$4="FO",'2024'!$M$2=CE347),'2024DATA'!$L$18,"")</f>
        <v/>
      </c>
      <c r="CF363" s="518" t="str">
        <f>IF(AND(_E="B-767-200",'2024'!$M$4="FO",'2024'!$M$2=CF347),'2024DATA'!$M$18,"")</f>
        <v/>
      </c>
      <c r="CG363" s="520" t="str">
        <f>IF(AND(_E="B-767-200",'2024'!$M$4="FO",'2024'!$M$2=CG347),'2024DATA'!$N$18,"")</f>
        <v/>
      </c>
      <c r="CH363" s="940"/>
      <c r="CI363" s="13" t="s">
        <v>62</v>
      </c>
      <c r="CJ363" s="518" t="str">
        <f>IF(AND(_F="B-767-200",'2024'!$M$4="FO",'2024'!$M$2=CJ347),'2024DATA'!$C$18,"")</f>
        <v/>
      </c>
      <c r="CK363" s="518" t="str">
        <f>IF(AND(_F="B-767-200",'2024'!$M$4="FO",'2024'!$M$2=CK347),'2024DATA'!$D$18,"")</f>
        <v/>
      </c>
      <c r="CL363" s="518" t="str">
        <f>IF(AND(_F="B-767-200",'2024'!$M$4="FO",'2024'!$M$2=CL347),'2024DATA'!$E$18,"")</f>
        <v/>
      </c>
      <c r="CM363" s="518" t="str">
        <f>IF(AND(_F="B-767-200",'2024'!$M$4="FO",'2024'!$M$2=CM347),'2024DATA'!$F$18,"")</f>
        <v/>
      </c>
      <c r="CN363" s="518" t="str">
        <f>IF(AND(_F="B-767-200",'2024'!$M$4="FO",'2024'!$M$2=CN347),'2024DATA'!$G$18,"")</f>
        <v/>
      </c>
      <c r="CO363" s="518" t="str">
        <f>IF(AND(_F="B-767-200",'2024'!$M$4="FO",'2024'!$M$2=CO347),'2024DATA'!$H$18,"")</f>
        <v/>
      </c>
      <c r="CP363" s="518" t="str">
        <f>IF(AND(_F="B-767-200",'2024'!$M$4="FO",'2024'!$M$2=CP347),'2024DATA'!$I$18,"")</f>
        <v/>
      </c>
      <c r="CQ363" s="518" t="str">
        <f>IF(AND(_F="B-767-200",'2024'!$M$4="FO",'2024'!$M$2=CQ347),'2024DATA'!$J$18,"")</f>
        <v/>
      </c>
      <c r="CR363" s="518" t="str">
        <f>IF(AND(_F="B-767-200",'2024'!$M$4="FO",'2024'!$M$2=CR347),'2024DATA'!$K$18,"")</f>
        <v/>
      </c>
      <c r="CS363" s="518" t="str">
        <f>IF(AND(_F="B-767-200",'2024'!$M$4="FO",'2024'!$M$2=CS347),'2024DATA'!$L$18,"")</f>
        <v/>
      </c>
      <c r="CT363" s="518" t="str">
        <f>IF(AND(_F="B-767-200",'2024'!$M$4="FO",'2024'!$M$2=CT347),'2024DATA'!$M$18,"")</f>
        <v/>
      </c>
      <c r="CU363" s="520" t="str">
        <f>IF(AND(_F="B-767-200",'2024'!$M$4="FO",'2024'!$M$2=CU347),'2024DATA'!$N$18,"")</f>
        <v/>
      </c>
    </row>
    <row r="364" spans="16:99" x14ac:dyDescent="0.25">
      <c r="P364" s="940" t="s">
        <v>45</v>
      </c>
      <c r="Q364" s="13" t="s">
        <v>61</v>
      </c>
      <c r="R364" s="518" t="str">
        <f>IF(AND(_A="B-757",'2024'!$M$4="CA",'2024'!$M$2=R347),'2024DATA'!$C$19,"")</f>
        <v/>
      </c>
      <c r="S364" s="518" t="str">
        <f>IF(AND(_A="B-757",'2024'!$M$4="CA",'2024'!$M$2=S347),'2024DATA'!$D$19,"")</f>
        <v/>
      </c>
      <c r="T364" s="518" t="str">
        <f>IF(AND(_A="B-757",'2024'!$M$4="CA",'2024'!$M$2=T347),'2024DATA'!$E$19,"")</f>
        <v/>
      </c>
      <c r="U364" s="518" t="str">
        <f>IF(AND(_A="B-757",'2024'!$M$4="CA",'2024'!$M$2=U347),'2024DATA'!$F$19,"")</f>
        <v/>
      </c>
      <c r="V364" s="518" t="str">
        <f>IF(AND(_A="B-757",'2024'!$M$4="CA",'2024'!$M$2=V347),'2024DATA'!$G$19,"")</f>
        <v/>
      </c>
      <c r="W364" s="518" t="str">
        <f>IF(AND(_A="B-757",'2024'!$M$4="CA",'2024'!$M$2=W347),'2024DATA'!$H$19,"")</f>
        <v/>
      </c>
      <c r="X364" s="518" t="str">
        <f>IF(AND(_A="B-757",'2024'!$M$4="CA",'2024'!$M$2=X347),'2024DATA'!$I$19,"")</f>
        <v/>
      </c>
      <c r="Y364" s="518" t="str">
        <f>IF(AND(_A="B-757",'2024'!$M$4="CA",'2024'!$M$2=Y347),'2024DATA'!$J$19,"")</f>
        <v/>
      </c>
      <c r="Z364" s="518" t="str">
        <f>IF(AND(_A="B-757",'2024'!$M$4="CA",'2024'!$M$2=Z347),'2024DATA'!$K$19,"")</f>
        <v/>
      </c>
      <c r="AA364" s="518" t="str">
        <f>IF(AND(_A="B-757",'2024'!$M$4="CA",'2024'!$M$2=AA347),'2024DATA'!$L$19,"")</f>
        <v/>
      </c>
      <c r="AB364" s="518" t="str">
        <f>IF(AND(_A="B-757",'2024'!$M$4="CA",'2024'!$M$2=AB347),'2024DATA'!$M$19,"")</f>
        <v/>
      </c>
      <c r="AC364" s="520" t="str">
        <f>IF(AND(_A="B-757",'2024'!$M$4="CA",'2024'!$M$2=AC347),'2024DATA'!$N$19,"")</f>
        <v/>
      </c>
      <c r="AD364" s="940" t="s">
        <v>45</v>
      </c>
      <c r="AE364" s="13" t="s">
        <v>61</v>
      </c>
      <c r="AF364" s="518" t="str">
        <f>IF(AND(_B="B-757",'2024'!$M$4="CA",'2024'!$M$2=AF347),'2024DATA'!$C$19,"")</f>
        <v/>
      </c>
      <c r="AG364" s="518" t="str">
        <f>IF(AND(_B="B-757",'2024'!$M$4="CA",'2024'!$M$2=AG347),'2024DATA'!$D$19,"")</f>
        <v/>
      </c>
      <c r="AH364" s="518" t="str">
        <f>IF(AND(_B="B-757",'2024'!$M$4="CA",'2024'!$M$2=AH347),'2024DATA'!$E$19,"")</f>
        <v/>
      </c>
      <c r="AI364" s="518" t="str">
        <f>IF(AND(_B="B-757",'2024'!$M$4="CA",'2024'!$M$2=AI347),'2024DATA'!$F$19,"")</f>
        <v/>
      </c>
      <c r="AJ364" s="518" t="str">
        <f>IF(AND(_B="B-757",'2024'!$M$4="CA",'2024'!$M$2=AJ347),'2024DATA'!$G$19,"")</f>
        <v/>
      </c>
      <c r="AK364" s="518" t="str">
        <f>IF(AND(_B="B-757",'2024'!$M$4="CA",'2024'!$M$2=AK347),'2024DATA'!$H$19,"")</f>
        <v/>
      </c>
      <c r="AL364" s="518" t="str">
        <f>IF(AND(_B="B-757",'2024'!$M$4="CA",'2024'!$M$2=AL347),'2024DATA'!$I$19,"")</f>
        <v/>
      </c>
      <c r="AM364" s="518" t="str">
        <f>IF(AND(_B="B-757",'2024'!$M$4="CA",'2024'!$M$2=AM347),'2024DATA'!$J$19,"")</f>
        <v/>
      </c>
      <c r="AN364" s="518" t="str">
        <f>IF(AND(_B="B-757",'2024'!$M$4="CA",'2024'!$M$2=AN347),'2024DATA'!$K$19,"")</f>
        <v/>
      </c>
      <c r="AO364" s="518" t="str">
        <f>IF(AND(_B="B-757",'2024'!$M$4="CA",'2024'!$M$2=AO347),'2024DATA'!$L$19,"")</f>
        <v/>
      </c>
      <c r="AP364" s="518" t="str">
        <f>IF(AND(_B="B-757",'2024'!$M$4="CA",'2024'!$M$2=AP347),'2024DATA'!$M$19,"")</f>
        <v/>
      </c>
      <c r="AQ364" s="520" t="str">
        <f>IF(AND(_B="B-757",'2024'!$M$4="CA",'2024'!$M$2=AQ347),'2024DATA'!$N$19,"")</f>
        <v/>
      </c>
      <c r="AR364" s="940" t="s">
        <v>45</v>
      </c>
      <c r="AS364" s="13" t="s">
        <v>61</v>
      </c>
      <c r="AT364" s="518" t="str">
        <f>IF(AND(_C="B-757",'2024'!$M$4="CA",'2024'!$M$2=AT347),'2024DATA'!$C$19,"")</f>
        <v/>
      </c>
      <c r="AU364" s="518" t="str">
        <f>IF(AND(_C="B-757",'2024'!$M$4="CA",'2024'!$M$2=AU347),'2024DATA'!$D$19,"")</f>
        <v/>
      </c>
      <c r="AV364" s="518" t="str">
        <f>IF(AND(_C="B-757",'2024'!$M$4="CA",'2024'!$M$2=AV347),'2024DATA'!$E$19,"")</f>
        <v/>
      </c>
      <c r="AW364" s="518" t="str">
        <f>IF(AND(_C="B-757",'2024'!$M$4="CA",'2024'!$M$2=AW347),'2024DATA'!$F$19,"")</f>
        <v/>
      </c>
      <c r="AX364" s="518" t="str">
        <f>IF(AND(_C="B-757",'2024'!$M$4="CA",'2024'!$M$2=AX347),'2024DATA'!$G$19,"")</f>
        <v/>
      </c>
      <c r="AY364" s="518" t="str">
        <f>IF(AND(_C="B-757",'2024'!$M$4="CA",'2024'!$M$2=AY347),'2024DATA'!$H$19,"")</f>
        <v/>
      </c>
      <c r="AZ364" s="518" t="str">
        <f>IF(AND(_C="B-757",'2024'!$M$4="CA",'2024'!$M$2=AZ347),'2024DATA'!$I$19,"")</f>
        <v/>
      </c>
      <c r="BA364" s="518" t="str">
        <f>IF(AND(_C="B-757",'2024'!$M$4="CA",'2024'!$M$2=BA347),'2024DATA'!$J$19,"")</f>
        <v/>
      </c>
      <c r="BB364" s="518" t="str">
        <f>IF(AND(_C="B-757",'2024'!$M$4="CA",'2024'!$M$2=BB347),'2024DATA'!$K$19,"")</f>
        <v/>
      </c>
      <c r="BC364" s="518" t="str">
        <f>IF(AND(_C="B-757",'2024'!$M$4="CA",'2024'!$M$2=BC347),'2024DATA'!$L$19,"")</f>
        <v/>
      </c>
      <c r="BD364" s="518" t="str">
        <f>IF(AND(_C="B-757",'2024'!$M$4="CA",'2024'!$M$2=BD347),'2024DATA'!$M$19,"")</f>
        <v/>
      </c>
      <c r="BE364" s="520" t="str">
        <f>IF(AND(_C="B-757",'2024'!$M$4="CA",'2024'!$M$2=BE347),'2024DATA'!$N$19,"")</f>
        <v/>
      </c>
      <c r="BF364" s="940" t="s">
        <v>45</v>
      </c>
      <c r="BG364" s="13" t="s">
        <v>61</v>
      </c>
      <c r="BH364" s="518" t="str">
        <f>IF(AND(_D="B-757",'2024'!$M$4="CA",'2024'!$M$2=BH347),'2024DATA'!$C$19,"")</f>
        <v/>
      </c>
      <c r="BI364" s="518" t="str">
        <f>IF(AND(_D="B-757",'2024'!$M$4="CA",'2024'!$M$2=BI347),'2024DATA'!$D$19,"")</f>
        <v/>
      </c>
      <c r="BJ364" s="518" t="str">
        <f>IF(AND(_D="B-757",'2024'!$M$4="CA",'2024'!$M$2=BJ347),'2024DATA'!$E$19,"")</f>
        <v/>
      </c>
      <c r="BK364" s="518" t="str">
        <f>IF(AND(_D="B-757",'2024'!$M$4="CA",'2024'!$M$2=BK347),'2024DATA'!$F$19,"")</f>
        <v/>
      </c>
      <c r="BL364" s="518" t="str">
        <f>IF(AND(_D="B-757",'2024'!$M$4="CA",'2024'!$M$2=BL347),'2024DATA'!$G$19,"")</f>
        <v/>
      </c>
      <c r="BM364" s="518" t="str">
        <f>IF(AND(_D="B-757",'2024'!$M$4="CA",'2024'!$M$2=BM347),'2024DATA'!$H$19,"")</f>
        <v/>
      </c>
      <c r="BN364" s="518" t="str">
        <f>IF(AND(_D="B-757",'2024'!$M$4="CA",'2024'!$M$2=BN347),'2024DATA'!$I$19,"")</f>
        <v/>
      </c>
      <c r="BO364" s="518" t="str">
        <f>IF(AND(_D="B-757",'2024'!$M$4="CA",'2024'!$M$2=BO347),'2024DATA'!$J$19,"")</f>
        <v/>
      </c>
      <c r="BP364" s="518" t="str">
        <f>IF(AND(_D="B-757",'2024'!$M$4="CA",'2024'!$M$2=BP347),'2024DATA'!$K$19,"")</f>
        <v/>
      </c>
      <c r="BQ364" s="518" t="str">
        <f>IF(AND(_D="B-757",'2024'!$M$4="CA",'2024'!$M$2=BQ347),'2024DATA'!$L$19,"")</f>
        <v/>
      </c>
      <c r="BR364" s="518" t="str">
        <f>IF(AND(_D="B-757",'2024'!$M$4="CA",'2024'!$M$2=BR347),'2024DATA'!$M$19,"")</f>
        <v/>
      </c>
      <c r="BS364" s="520" t="str">
        <f>IF(AND(_D="B-757",'2024'!$M$4="CA",'2024'!$M$2=BS347),'2024DATA'!$N$19,"")</f>
        <v/>
      </c>
      <c r="BT364" s="940" t="s">
        <v>45</v>
      </c>
      <c r="BU364" s="13" t="s">
        <v>61</v>
      </c>
      <c r="BV364" s="518" t="str">
        <f>IF(AND(_E="B-757",'2024'!$M$4="CA",'2024'!$M$2=BV347),'2024DATA'!$C$19,"")</f>
        <v/>
      </c>
      <c r="BW364" s="518" t="str">
        <f>IF(AND(_E="B-757",'2024'!$M$4="CA",'2024'!$M$2=BW347),'2024DATA'!$D$19,"")</f>
        <v/>
      </c>
      <c r="BX364" s="518" t="str">
        <f>IF(AND(_E="B-757",'2024'!$M$4="CA",'2024'!$M$2=BX347),'2024DATA'!$E$19,"")</f>
        <v/>
      </c>
      <c r="BY364" s="518" t="str">
        <f>IF(AND(_E="B-757",'2024'!$M$4="CA",'2024'!$M$2=BY347),'2024DATA'!$F$19,"")</f>
        <v/>
      </c>
      <c r="BZ364" s="518" t="str">
        <f>IF(AND(_E="B-757",'2024'!$M$4="CA",'2024'!$M$2=BZ347),'2024DATA'!$G$19,"")</f>
        <v/>
      </c>
      <c r="CA364" s="518" t="str">
        <f>IF(AND(_E="B-757",'2024'!$M$4="CA",'2024'!$M$2=CA347),'2024DATA'!$H$19,"")</f>
        <v/>
      </c>
      <c r="CB364" s="518" t="str">
        <f>IF(AND(_E="B-757",'2024'!$M$4="CA",'2024'!$M$2=CB347),'2024DATA'!$I$19,"")</f>
        <v/>
      </c>
      <c r="CC364" s="518" t="str">
        <f>IF(AND(_E="B-757",'2024'!$M$4="CA",'2024'!$M$2=CC347),'2024DATA'!$J$19,"")</f>
        <v/>
      </c>
      <c r="CD364" s="518" t="str">
        <f>IF(AND(_E="B-757",'2024'!$M$4="CA",'2024'!$M$2=CD347),'2024DATA'!$K$19,"")</f>
        <v/>
      </c>
      <c r="CE364" s="518" t="str">
        <f>IF(AND(_E="B-757",'2024'!$M$4="CA",'2024'!$M$2=CE347),'2024DATA'!$L$19,"")</f>
        <v/>
      </c>
      <c r="CF364" s="518" t="str">
        <f>IF(AND(_E="B-757",'2024'!$M$4="CA",'2024'!$M$2=CF347),'2024DATA'!$M$19,"")</f>
        <v/>
      </c>
      <c r="CG364" s="520" t="str">
        <f>IF(AND(_E="B-757",'2024'!$M$4="CA",'2024'!$M$2=CG347),'2024DATA'!$N$19,"")</f>
        <v/>
      </c>
      <c r="CH364" s="940" t="s">
        <v>45</v>
      </c>
      <c r="CI364" s="13" t="s">
        <v>61</v>
      </c>
      <c r="CJ364" s="518" t="str">
        <f>IF(AND(_F="B-757",'2024'!$M$4="CA",'2024'!$M$2=CJ347),'2024DATA'!$C$19,"")</f>
        <v/>
      </c>
      <c r="CK364" s="518" t="str">
        <f>IF(AND(_F="B-757",'2024'!$M$4="CA",'2024'!$M$2=CK347),'2024DATA'!$D$19,"")</f>
        <v/>
      </c>
      <c r="CL364" s="518" t="str">
        <f>IF(AND(_F="B-757",'2024'!$M$4="CA",'2024'!$M$2=CL347),'2024DATA'!$E$19,"")</f>
        <v/>
      </c>
      <c r="CM364" s="518" t="str">
        <f>IF(AND(_F="B-757",'2024'!$M$4="CA",'2024'!$M$2=CM347),'2024DATA'!$F$19,"")</f>
        <v/>
      </c>
      <c r="CN364" s="518" t="str">
        <f>IF(AND(_F="B-757",'2024'!$M$4="CA",'2024'!$M$2=CN347),'2024DATA'!$G$19,"")</f>
        <v/>
      </c>
      <c r="CO364" s="518" t="str">
        <f>IF(AND(_F="B-757",'2024'!$M$4="CA",'2024'!$M$2=CO347),'2024DATA'!$H$19,"")</f>
        <v/>
      </c>
      <c r="CP364" s="518" t="str">
        <f>IF(AND(_F="B-757",'2024'!$M$4="CA",'2024'!$M$2=CP347),'2024DATA'!$I$19,"")</f>
        <v/>
      </c>
      <c r="CQ364" s="518" t="str">
        <f>IF(AND(_F="B-757",'2024'!$M$4="CA",'2024'!$M$2=CQ347),'2024DATA'!$J$19,"")</f>
        <v/>
      </c>
      <c r="CR364" s="518" t="str">
        <f>IF(AND(_F="B-757",'2024'!$M$4="CA",'2024'!$M$2=CR347),'2024DATA'!$K$19,"")</f>
        <v/>
      </c>
      <c r="CS364" s="518" t="str">
        <f>IF(AND(_F="B-757",'2024'!$M$4="CA",'2024'!$M$2=CS347),'2024DATA'!$L$19,"")</f>
        <v/>
      </c>
      <c r="CT364" s="518" t="str">
        <f>IF(AND(_F="B-757",'2024'!$M$4="CA",'2024'!$M$2=CT347),'2024DATA'!$M$19,"")</f>
        <v/>
      </c>
      <c r="CU364" s="520" t="str">
        <f>IF(AND(_F="B-757",'2024'!$M$4="CA",'2024'!$M$2=CU347),'2024DATA'!$N$19,"")</f>
        <v/>
      </c>
    </row>
    <row r="365" spans="16:99" x14ac:dyDescent="0.25">
      <c r="P365" s="940"/>
      <c r="Q365" s="13" t="s">
        <v>62</v>
      </c>
      <c r="R365" s="518" t="str">
        <f>IF(AND(_A="B-757",'2024'!$M$4="FO",'2024'!$M$2=R347),'2024DATA'!$C$20,"")</f>
        <v/>
      </c>
      <c r="S365" s="518" t="str">
        <f>IF(AND(_A="B-757",'2024'!$M$4="FO",'2024'!$M$2=S347),'2024DATA'!$D$20,"")</f>
        <v/>
      </c>
      <c r="T365" s="518" t="str">
        <f>IF(AND(_A="B-757",'2024'!$M$4="FO",'2024'!$M$2=T347),'2024DATA'!$E$20,"")</f>
        <v/>
      </c>
      <c r="U365" s="518" t="str">
        <f>IF(AND(_A="B-757",'2024'!$M$4="FO",'2024'!$M$2=U347),'2024DATA'!$F$20,"")</f>
        <v/>
      </c>
      <c r="V365" s="518" t="str">
        <f>IF(AND(_A="B-757",'2024'!$M$4="FO",'2024'!$M$2=V347),'2024DATA'!$G$20,"")</f>
        <v/>
      </c>
      <c r="W365" s="518" t="str">
        <f>IF(AND(_A="B-757",'2024'!$M$4="FO",'2024'!$M$2=W347),'2024DATA'!$H$20,"")</f>
        <v/>
      </c>
      <c r="X365" s="518" t="str">
        <f>IF(AND(_A="B-757",'2024'!$M$4="FO",'2024'!$M$2=X347),'2024DATA'!$I$20,"")</f>
        <v/>
      </c>
      <c r="Y365" s="518" t="str">
        <f>IF(AND(_A="B-757",'2024'!$M$4="FO",'2024'!$M$2=Y347),'2024DATA'!$J$20,"")</f>
        <v/>
      </c>
      <c r="Z365" s="518" t="str">
        <f>IF(AND(_A="B-757",'2024'!$M$4="FO",'2024'!$M$2=Z347),'2024DATA'!$K$20,"")</f>
        <v/>
      </c>
      <c r="AA365" s="518" t="str">
        <f>IF(AND(_A="B-757",'2024'!$M$4="FO",'2024'!$M$2=AA347),'2024DATA'!$L$20,"")</f>
        <v/>
      </c>
      <c r="AB365" s="518" t="str">
        <f>IF(AND(_A="B-757",'2024'!$M$4="FO",'2024'!$M$2=AB347),'2024DATA'!$M$20,"")</f>
        <v/>
      </c>
      <c r="AC365" s="520" t="str">
        <f>IF(AND(_A="B-757",'2024'!$M$4="FO",'2024'!$M$2=AC347),'2024DATA'!$N$20,"")</f>
        <v/>
      </c>
      <c r="AD365" s="940"/>
      <c r="AE365" s="13" t="s">
        <v>62</v>
      </c>
      <c r="AF365" s="518" t="str">
        <f>IF(AND(_B="B-757",'2024'!$M$4="FO",'2024'!$M$2=AF347),'2024DATA'!$C$20,"")</f>
        <v/>
      </c>
      <c r="AG365" s="518" t="str">
        <f>IF(AND(_B="B-757",'2024'!$M$4="FO",'2024'!$M$2=AG347),'2024DATA'!$D$20,"")</f>
        <v/>
      </c>
      <c r="AH365" s="518" t="str">
        <f>IF(AND(_B="B-757",'2024'!$M$4="FO",'2024'!$M$2=AH347),'2024DATA'!$E$20,"")</f>
        <v/>
      </c>
      <c r="AI365" s="518" t="str">
        <f>IF(AND(_B="B-757",'2024'!$M$4="FO",'2024'!$M$2=AI347),'2024DATA'!$F$20,"")</f>
        <v/>
      </c>
      <c r="AJ365" s="518" t="str">
        <f>IF(AND(_B="B-757",'2024'!$M$4="FO",'2024'!$M$2=AJ347),'2024DATA'!$G$20,"")</f>
        <v/>
      </c>
      <c r="AK365" s="518" t="str">
        <f>IF(AND(_B="B-757",'2024'!$M$4="FO",'2024'!$M$2=AK347),'2024DATA'!$H$20,"")</f>
        <v/>
      </c>
      <c r="AL365" s="518" t="str">
        <f>IF(AND(_B="B-757",'2024'!$M$4="FO",'2024'!$M$2=AL347),'2024DATA'!$I$20,"")</f>
        <v/>
      </c>
      <c r="AM365" s="518" t="str">
        <f>IF(AND(_B="B-757",'2024'!$M$4="FO",'2024'!$M$2=AM347),'2024DATA'!$J$20,"")</f>
        <v/>
      </c>
      <c r="AN365" s="518" t="str">
        <f>IF(AND(_B="B-757",'2024'!$M$4="FO",'2024'!$M$2=AN347),'2024DATA'!$K$20,"")</f>
        <v/>
      </c>
      <c r="AO365" s="518" t="str">
        <f>IF(AND(_B="B-757",'2024'!$M$4="FO",'2024'!$M$2=AO347),'2024DATA'!$L$20,"")</f>
        <v/>
      </c>
      <c r="AP365" s="518" t="str">
        <f>IF(AND(_B="B-757",'2024'!$M$4="FO",'2024'!$M$2=AP347),'2024DATA'!$M$20,"")</f>
        <v/>
      </c>
      <c r="AQ365" s="520" t="str">
        <f>IF(AND(_B="B-757",'2024'!$M$4="FO",'2024'!$M$2=AQ347),'2024DATA'!$N$20,"")</f>
        <v/>
      </c>
      <c r="AR365" s="940"/>
      <c r="AS365" s="13" t="s">
        <v>62</v>
      </c>
      <c r="AT365" s="518" t="str">
        <f>IF(AND(_C="B-757",'2024'!$M$4="FO",'2024'!$M$2=AT347),'2024DATA'!$C$20,"")</f>
        <v/>
      </c>
      <c r="AU365" s="518" t="str">
        <f>IF(AND(_C="B-757",'2024'!$M$4="FO",'2024'!$M$2=AU347),'2024DATA'!$D$20,"")</f>
        <v/>
      </c>
      <c r="AV365" s="518" t="str">
        <f>IF(AND(_C="B-757",'2024'!$M$4="FO",'2024'!$M$2=AV347),'2024DATA'!$E$20,"")</f>
        <v/>
      </c>
      <c r="AW365" s="518" t="str">
        <f>IF(AND(_C="B-757",'2024'!$M$4="FO",'2024'!$M$2=AW347),'2024DATA'!$F$20,"")</f>
        <v/>
      </c>
      <c r="AX365" s="518" t="str">
        <f>IF(AND(_C="B-757",'2024'!$M$4="FO",'2024'!$M$2=AX347),'2024DATA'!$G$20,"")</f>
        <v/>
      </c>
      <c r="AY365" s="518" t="str">
        <f>IF(AND(_C="B-757",'2024'!$M$4="FO",'2024'!$M$2=AY347),'2024DATA'!$H$20,"")</f>
        <v/>
      </c>
      <c r="AZ365" s="518" t="str">
        <f>IF(AND(_C="B-757",'2024'!$M$4="FO",'2024'!$M$2=AZ347),'2024DATA'!$I$20,"")</f>
        <v/>
      </c>
      <c r="BA365" s="518" t="str">
        <f>IF(AND(_C="B-757",'2024'!$M$4="FO",'2024'!$M$2=BA347),'2024DATA'!$J$20,"")</f>
        <v/>
      </c>
      <c r="BB365" s="518" t="str">
        <f>IF(AND(_C="B-757",'2024'!$M$4="FO",'2024'!$M$2=BB347),'2024DATA'!$K$20,"")</f>
        <v/>
      </c>
      <c r="BC365" s="518" t="str">
        <f>IF(AND(_C="B-757",'2024'!$M$4="FO",'2024'!$M$2=BC347),'2024DATA'!$L$20,"")</f>
        <v/>
      </c>
      <c r="BD365" s="518" t="str">
        <f>IF(AND(_C="B-757",'2024'!$M$4="FO",'2024'!$M$2=BD347),'2024DATA'!$M$20,"")</f>
        <v/>
      </c>
      <c r="BE365" s="520" t="str">
        <f>IF(AND(_C="B-757",'2024'!$M$4="FO",'2024'!$M$2=BE347),'2024DATA'!$N$20,"")</f>
        <v/>
      </c>
      <c r="BF365" s="940"/>
      <c r="BG365" s="13" t="s">
        <v>62</v>
      </c>
      <c r="BH365" s="518" t="str">
        <f>IF(AND(_D="B-757",'2024'!$M$4="FO",'2024'!$M$2=BH347),'2024DATA'!$C$20,"")</f>
        <v/>
      </c>
      <c r="BI365" s="518" t="str">
        <f>IF(AND(_D="B-757",'2024'!$M$4="FO",'2024'!$M$2=BI347),'2024DATA'!$D$20,"")</f>
        <v/>
      </c>
      <c r="BJ365" s="518" t="str">
        <f>IF(AND(_D="B-757",'2024'!$M$4="FO",'2024'!$M$2=BJ347),'2024DATA'!$E$20,"")</f>
        <v/>
      </c>
      <c r="BK365" s="518" t="str">
        <f>IF(AND(_D="B-757",'2024'!$M$4="FO",'2024'!$M$2=BK347),'2024DATA'!$F$20,"")</f>
        <v/>
      </c>
      <c r="BL365" s="518" t="str">
        <f>IF(AND(_D="B-757",'2024'!$M$4="FO",'2024'!$M$2=BL347),'2024DATA'!$G$20,"")</f>
        <v/>
      </c>
      <c r="BM365" s="518" t="str">
        <f>IF(AND(_D="B-757",'2024'!$M$4="FO",'2024'!$M$2=BM347),'2024DATA'!$H$20,"")</f>
        <v/>
      </c>
      <c r="BN365" s="518" t="str">
        <f>IF(AND(_D="B-757",'2024'!$M$4="FO",'2024'!$M$2=BN347),'2024DATA'!$I$20,"")</f>
        <v/>
      </c>
      <c r="BO365" s="518" t="str">
        <f>IF(AND(_D="B-757",'2024'!$M$4="FO",'2024'!$M$2=BO347),'2024DATA'!$J$20,"")</f>
        <v/>
      </c>
      <c r="BP365" s="518" t="str">
        <f>IF(AND(_D="B-757",'2024'!$M$4="FO",'2024'!$M$2=BP347),'2024DATA'!$K$20,"")</f>
        <v/>
      </c>
      <c r="BQ365" s="518" t="str">
        <f>IF(AND(_D="B-757",'2024'!$M$4="FO",'2024'!$M$2=BQ347),'2024DATA'!$L$20,"")</f>
        <v/>
      </c>
      <c r="BR365" s="518" t="str">
        <f>IF(AND(_D="B-757",'2024'!$M$4="FO",'2024'!$M$2=BR347),'2024DATA'!$M$20,"")</f>
        <v/>
      </c>
      <c r="BS365" s="520" t="str">
        <f>IF(AND(_D="B-757",'2024'!$M$4="FO",'2024'!$M$2=BS347),'2024DATA'!$N$20,"")</f>
        <v/>
      </c>
      <c r="BT365" s="940"/>
      <c r="BU365" s="13" t="s">
        <v>62</v>
      </c>
      <c r="BV365" s="518" t="str">
        <f>IF(AND(_E="B-757",'2024'!$M$4="FO",'2024'!$M$2=BV347),'2024DATA'!$C$20,"")</f>
        <v/>
      </c>
      <c r="BW365" s="518" t="str">
        <f>IF(AND(_E="B-757",'2024'!$M$4="FO",'2024'!$M$2=BW347),'2024DATA'!$D$20,"")</f>
        <v/>
      </c>
      <c r="BX365" s="518" t="str">
        <f>IF(AND(_E="B-757",'2024'!$M$4="FO",'2024'!$M$2=BX347),'2024DATA'!$E$20,"")</f>
        <v/>
      </c>
      <c r="BY365" s="518" t="str">
        <f>IF(AND(_E="B-757",'2024'!$M$4="FO",'2024'!$M$2=BY347),'2024DATA'!$F$20,"")</f>
        <v/>
      </c>
      <c r="BZ365" s="518" t="str">
        <f>IF(AND(_E="B-757",'2024'!$M$4="FO",'2024'!$M$2=BZ347),'2024DATA'!$G$20,"")</f>
        <v/>
      </c>
      <c r="CA365" s="518" t="str">
        <f>IF(AND(_E="B-757",'2024'!$M$4="FO",'2024'!$M$2=CA347),'2024DATA'!$H$20,"")</f>
        <v/>
      </c>
      <c r="CB365" s="518" t="str">
        <f>IF(AND(_E="B-757",'2024'!$M$4="FO",'2024'!$M$2=CB347),'2024DATA'!$I$20,"")</f>
        <v/>
      </c>
      <c r="CC365" s="518" t="str">
        <f>IF(AND(_E="B-757",'2024'!$M$4="FO",'2024'!$M$2=CC347),'2024DATA'!$J$20,"")</f>
        <v/>
      </c>
      <c r="CD365" s="518" t="str">
        <f>IF(AND(_E="B-757",'2024'!$M$4="FO",'2024'!$M$2=CD347),'2024DATA'!$K$20,"")</f>
        <v/>
      </c>
      <c r="CE365" s="518" t="str">
        <f>IF(AND(_E="B-757",'2024'!$M$4="FO",'2024'!$M$2=CE347),'2024DATA'!$L$20,"")</f>
        <v/>
      </c>
      <c r="CF365" s="518" t="str">
        <f>IF(AND(_E="B-757",'2024'!$M$4="FO",'2024'!$M$2=CF347),'2024DATA'!$M$20,"")</f>
        <v/>
      </c>
      <c r="CG365" s="520" t="str">
        <f>IF(AND(_E="B-757",'2024'!$M$4="FO",'2024'!$M$2=CG347),'2024DATA'!$N$20,"")</f>
        <v/>
      </c>
      <c r="CH365" s="940"/>
      <c r="CI365" s="13" t="s">
        <v>62</v>
      </c>
      <c r="CJ365" s="518" t="str">
        <f>IF(AND(_F="B-757",'2024'!$M$4="FO",'2024'!$M$2=CJ347),'2024DATA'!$C$20,"")</f>
        <v/>
      </c>
      <c r="CK365" s="518" t="str">
        <f>IF(AND(_F="B-757",'2024'!$M$4="FO",'2024'!$M$2=CK347),'2024DATA'!$D$20,"")</f>
        <v/>
      </c>
      <c r="CL365" s="518" t="str">
        <f>IF(AND(_F="B-757",'2024'!$M$4="FO",'2024'!$M$2=CL347),'2024DATA'!$E$20,"")</f>
        <v/>
      </c>
      <c r="CM365" s="518" t="str">
        <f>IF(AND(_F="B-757",'2024'!$M$4="FO",'2024'!$M$2=CM347),'2024DATA'!$F$20,"")</f>
        <v/>
      </c>
      <c r="CN365" s="518" t="str">
        <f>IF(AND(_F="B-757",'2024'!$M$4="FO",'2024'!$M$2=CN347),'2024DATA'!$G$20,"")</f>
        <v/>
      </c>
      <c r="CO365" s="518" t="str">
        <f>IF(AND(_F="B-757",'2024'!$M$4="FO",'2024'!$M$2=CO347),'2024DATA'!$H$20,"")</f>
        <v/>
      </c>
      <c r="CP365" s="518" t="str">
        <f>IF(AND(_F="B-757",'2024'!$M$4="FO",'2024'!$M$2=CP347),'2024DATA'!$I$20,"")</f>
        <v/>
      </c>
      <c r="CQ365" s="518" t="str">
        <f>IF(AND(_F="B-757",'2024'!$M$4="FO",'2024'!$M$2=CQ347),'2024DATA'!$J$20,"")</f>
        <v/>
      </c>
      <c r="CR365" s="518" t="str">
        <f>IF(AND(_F="B-757",'2024'!$M$4="FO",'2024'!$M$2=CR347),'2024DATA'!$K$20,"")</f>
        <v/>
      </c>
      <c r="CS365" s="518" t="str">
        <f>IF(AND(_F="B-757",'2024'!$M$4="FO",'2024'!$M$2=CS347),'2024DATA'!$L$20,"")</f>
        <v/>
      </c>
      <c r="CT365" s="518" t="str">
        <f>IF(AND(_F="B-757",'2024'!$M$4="FO",'2024'!$M$2=CT347),'2024DATA'!$M$20,"")</f>
        <v/>
      </c>
      <c r="CU365" s="520" t="str">
        <f>IF(AND(_F="B-757",'2024'!$M$4="FO",'2024'!$M$2=CU347),'2024DATA'!$N$20,"")</f>
        <v/>
      </c>
    </row>
    <row r="366" spans="16:99" x14ac:dyDescent="0.25">
      <c r="P366" s="940" t="s">
        <v>47</v>
      </c>
      <c r="Q366" s="13" t="s">
        <v>61</v>
      </c>
      <c r="R366" s="518" t="str">
        <f>IF(AND(_A="B-737-900",'2024'!$M$4="CA",'2024'!$M$2=R347),'2024DATA'!$C$21,"")</f>
        <v/>
      </c>
      <c r="S366" s="518" t="str">
        <f>IF(AND(_A="B-737-900",'2024'!$M$4="CA",'2024'!$M$2=S347),'2024DATA'!$D$21,"")</f>
        <v/>
      </c>
      <c r="T366" s="518" t="str">
        <f>IF(AND(_A="B-737-900",'2024'!$M$4="CA",'2024'!$M$2=T347),'2024DATA'!$E$21,"")</f>
        <v/>
      </c>
      <c r="U366" s="518" t="str">
        <f>IF(AND(_A="B-737-900",'2024'!$M$4="CA",'2024'!$M$2=U347),'2024DATA'!$F$21,"")</f>
        <v/>
      </c>
      <c r="V366" s="518" t="str">
        <f>IF(AND(_A="B-737-900",'2024'!$M$4="CA",'2024'!$M$2=V347),'2024DATA'!$G$21,"")</f>
        <v/>
      </c>
      <c r="W366" s="518" t="str">
        <f>IF(AND(_A="B-737-900",'2024'!$M$4="CA",'2024'!$M$2=W347),'2024DATA'!$H$21,"")</f>
        <v/>
      </c>
      <c r="X366" s="518" t="str">
        <f>IF(AND(_A="B-737-900",'2024'!$M$4="CA",'2024'!$M$2=X347),'2024DATA'!$I$21,"")</f>
        <v/>
      </c>
      <c r="Y366" s="518" t="str">
        <f>IF(AND(_A="B-737-900",'2024'!$M$4="CA",'2024'!$M$2=Y347),'2024DATA'!$J$21,"")</f>
        <v/>
      </c>
      <c r="Z366" s="518" t="str">
        <f>IF(AND(_A="B-737-900",'2024'!$M$4="CA",'2024'!$M$2=Z347),'2024DATA'!$K$21,"")</f>
        <v/>
      </c>
      <c r="AA366" s="518" t="str">
        <f>IF(AND(_A="B-737-900",'2024'!$M$4="CA",'2024'!$M$2=AA347),'2024DATA'!$L$21,"")</f>
        <v/>
      </c>
      <c r="AB366" s="518" t="str">
        <f>IF(AND(_A="B-737-900",'2024'!$M$4="CA",'2024'!$M$2=AB347),'2024DATA'!$M$21,"")</f>
        <v/>
      </c>
      <c r="AC366" s="520" t="str">
        <f>IF(AND(_A="B-737-900",'2024'!$M$4="CA",'2024'!$M$2=AC347),'2024DATA'!$N$21,"")</f>
        <v/>
      </c>
      <c r="AD366" s="940" t="s">
        <v>47</v>
      </c>
      <c r="AE366" s="13" t="s">
        <v>61</v>
      </c>
      <c r="AF366" s="518" t="str">
        <f>IF(AND(_B="B-737-900",'2024'!$M$4="CA",'2024'!$M$2=AF347),'2024DATA'!$C$21,"")</f>
        <v/>
      </c>
      <c r="AG366" s="518" t="str">
        <f>IF(AND(_B="B-737-900",'2024'!$M$4="CA",'2024'!$M$2=AG347),'2024DATA'!$D$21,"")</f>
        <v/>
      </c>
      <c r="AH366" s="518" t="str">
        <f>IF(AND(_B="B-737-900",'2024'!$M$4="CA",'2024'!$M$2=AH347),'2024DATA'!$E$21,"")</f>
        <v/>
      </c>
      <c r="AI366" s="518" t="str">
        <f>IF(AND(_B="B-737-900",'2024'!$M$4="CA",'2024'!$M$2=AI347),'2024DATA'!$F$21,"")</f>
        <v/>
      </c>
      <c r="AJ366" s="518" t="str">
        <f>IF(AND(_B="B-737-900",'2024'!$M$4="CA",'2024'!$M$2=AJ347),'2024DATA'!$G$21,"")</f>
        <v/>
      </c>
      <c r="AK366" s="518" t="str">
        <f>IF(AND(_B="B-737-900",'2024'!$M$4="CA",'2024'!$M$2=AK347),'2024DATA'!$H$21,"")</f>
        <v/>
      </c>
      <c r="AL366" s="518" t="str">
        <f>IF(AND(_B="B-737-900",'2024'!$M$4="CA",'2024'!$M$2=AL347),'2024DATA'!$I$21,"")</f>
        <v/>
      </c>
      <c r="AM366" s="518" t="str">
        <f>IF(AND(_B="B-737-900",'2024'!$M$4="CA",'2024'!$M$2=AM347),'2024DATA'!$J$21,"")</f>
        <v/>
      </c>
      <c r="AN366" s="518" t="str">
        <f>IF(AND(_B="B-737-900",'2024'!$M$4="CA",'2024'!$M$2=AN347),'2024DATA'!$K$21,"")</f>
        <v/>
      </c>
      <c r="AO366" s="518" t="str">
        <f>IF(AND(_B="B-737-900",'2024'!$M$4="CA",'2024'!$M$2=AO347),'2024DATA'!$L$21,"")</f>
        <v/>
      </c>
      <c r="AP366" s="518" t="str">
        <f>IF(AND(_B="B-737-900",'2024'!$M$4="CA",'2024'!$M$2=AP347),'2024DATA'!$M$21,"")</f>
        <v/>
      </c>
      <c r="AQ366" s="520" t="str">
        <f>IF(AND(_B="B-737-900",'2024'!$M$4="CA",'2024'!$M$2=AQ347),'2024DATA'!$N$21,"")</f>
        <v/>
      </c>
      <c r="AR366" s="940" t="s">
        <v>47</v>
      </c>
      <c r="AS366" s="13" t="s">
        <v>61</v>
      </c>
      <c r="AT366" s="518" t="str">
        <f>IF(AND(_C="B-737-900",'2024'!$M$4="CA",'2024'!$M$2=AT347),'2024DATA'!$C$21,"")</f>
        <v/>
      </c>
      <c r="AU366" s="518" t="str">
        <f>IF(AND(_C="B-737-900",'2024'!$M$4="CA",'2024'!$M$2=AU347),'2024DATA'!$D$21,"")</f>
        <v/>
      </c>
      <c r="AV366" s="518" t="str">
        <f>IF(AND(_C="B-737-900",'2024'!$M$4="CA",'2024'!$M$2=AV347),'2024DATA'!$E$21,"")</f>
        <v/>
      </c>
      <c r="AW366" s="518" t="str">
        <f>IF(AND(_C="B-737-900",'2024'!$M$4="CA",'2024'!$M$2=AW347),'2024DATA'!$F$21,"")</f>
        <v/>
      </c>
      <c r="AX366" s="518" t="str">
        <f>IF(AND(_C="B-737-900",'2024'!$M$4="CA",'2024'!$M$2=AX347),'2024DATA'!$G$21,"")</f>
        <v/>
      </c>
      <c r="AY366" s="518" t="str">
        <f>IF(AND(_C="B-737-900",'2024'!$M$4="CA",'2024'!$M$2=AY347),'2024DATA'!$H$21,"")</f>
        <v/>
      </c>
      <c r="AZ366" s="518" t="str">
        <f>IF(AND(_C="B-737-900",'2024'!$M$4="CA",'2024'!$M$2=AZ347),'2024DATA'!$I$21,"")</f>
        <v/>
      </c>
      <c r="BA366" s="518" t="str">
        <f>IF(AND(_C="B-737-900",'2024'!$M$4="CA",'2024'!$M$2=BA347),'2024DATA'!$J$21,"")</f>
        <v/>
      </c>
      <c r="BB366" s="518" t="str">
        <f>IF(AND(_C="B-737-900",'2024'!$M$4="CA",'2024'!$M$2=BB347),'2024DATA'!$K$21,"")</f>
        <v/>
      </c>
      <c r="BC366" s="518" t="str">
        <f>IF(AND(_C="B-737-900",'2024'!$M$4="CA",'2024'!$M$2=BC347),'2024DATA'!$L$21,"")</f>
        <v/>
      </c>
      <c r="BD366" s="518" t="str">
        <f>IF(AND(_C="B-737-900",'2024'!$M$4="CA",'2024'!$M$2=BD347),'2024DATA'!$M$21,"")</f>
        <v/>
      </c>
      <c r="BE366" s="520" t="str">
        <f>IF(AND(_C="B-737-900",'2024'!$M$4="CA",'2024'!$M$2=BE347),'2024DATA'!$N$21,"")</f>
        <v/>
      </c>
      <c r="BF366" s="940" t="s">
        <v>47</v>
      </c>
      <c r="BG366" s="13" t="s">
        <v>61</v>
      </c>
      <c r="BH366" s="518" t="str">
        <f>IF(AND(_D="B-737-900",'2024'!$M$4="CA",'2024'!$M$2=BH347),'2024DATA'!$C$21,"")</f>
        <v/>
      </c>
      <c r="BI366" s="518" t="str">
        <f>IF(AND(_D="B-737-900",'2024'!$M$4="CA",'2024'!$M$2=BI347),'2024DATA'!$D$21,"")</f>
        <v/>
      </c>
      <c r="BJ366" s="518" t="str">
        <f>IF(AND(_D="B-737-900",'2024'!$M$4="CA",'2024'!$M$2=BJ347),'2024DATA'!$E$21,"")</f>
        <v/>
      </c>
      <c r="BK366" s="518" t="str">
        <f>IF(AND(_D="B-737-900",'2024'!$M$4="CA",'2024'!$M$2=BK347),'2024DATA'!$F$21,"")</f>
        <v/>
      </c>
      <c r="BL366" s="518" t="str">
        <f>IF(AND(_D="B-737-900",'2024'!$M$4="CA",'2024'!$M$2=BL347),'2024DATA'!$G$21,"")</f>
        <v/>
      </c>
      <c r="BM366" s="518" t="str">
        <f>IF(AND(_D="B-737-900",'2024'!$M$4="CA",'2024'!$M$2=BM347),'2024DATA'!$H$21,"")</f>
        <v/>
      </c>
      <c r="BN366" s="518" t="str">
        <f>IF(AND(_D="B-737-900",'2024'!$M$4="CA",'2024'!$M$2=BN347),'2024DATA'!$I$21,"")</f>
        <v/>
      </c>
      <c r="BO366" s="518" t="str">
        <f>IF(AND(_D="B-737-900",'2024'!$M$4="CA",'2024'!$M$2=BO347),'2024DATA'!$J$21,"")</f>
        <v/>
      </c>
      <c r="BP366" s="518" t="str">
        <f>IF(AND(_D="B-737-900",'2024'!$M$4="CA",'2024'!$M$2=BP347),'2024DATA'!$K$21,"")</f>
        <v/>
      </c>
      <c r="BQ366" s="518" t="str">
        <f>IF(AND(_D="B-737-900",'2024'!$M$4="CA",'2024'!$M$2=BQ347),'2024DATA'!$L$21,"")</f>
        <v/>
      </c>
      <c r="BR366" s="518" t="str">
        <f>IF(AND(_D="B-737-900",'2024'!$M$4="CA",'2024'!$M$2=BR347),'2024DATA'!$M$21,"")</f>
        <v/>
      </c>
      <c r="BS366" s="520" t="str">
        <f>IF(AND(_D="B-737-900",'2024'!$M$4="CA",'2024'!$M$2=BS347),'2024DATA'!$N$21,"")</f>
        <v/>
      </c>
      <c r="BT366" s="940" t="s">
        <v>47</v>
      </c>
      <c r="BU366" s="13" t="s">
        <v>61</v>
      </c>
      <c r="BV366" s="518" t="str">
        <f>IF(AND(_E="B-737-900",'2024'!$M$4="CA",'2024'!$M$2=BV347),'2024DATA'!$C$21,"")</f>
        <v/>
      </c>
      <c r="BW366" s="518" t="str">
        <f>IF(AND(_E="B-737-900",'2024'!$M$4="CA",'2024'!$M$2=BW347),'2024DATA'!$D$21,"")</f>
        <v/>
      </c>
      <c r="BX366" s="518" t="str">
        <f>IF(AND(_E="B-737-900",'2024'!$M$4="CA",'2024'!$M$2=BX347),'2024DATA'!$E$21,"")</f>
        <v/>
      </c>
      <c r="BY366" s="518" t="str">
        <f>IF(AND(_E="B-737-900",'2024'!$M$4="CA",'2024'!$M$2=BY347),'2024DATA'!$F$21,"")</f>
        <v/>
      </c>
      <c r="BZ366" s="518" t="str">
        <f>IF(AND(_E="B-737-900",'2024'!$M$4="CA",'2024'!$M$2=BZ347),'2024DATA'!$G$21,"")</f>
        <v/>
      </c>
      <c r="CA366" s="518" t="str">
        <f>IF(AND(_E="B-737-900",'2024'!$M$4="CA",'2024'!$M$2=CA347),'2024DATA'!$H$21,"")</f>
        <v/>
      </c>
      <c r="CB366" s="518" t="str">
        <f>IF(AND(_E="B-737-900",'2024'!$M$4="CA",'2024'!$M$2=CB347),'2024DATA'!$I$21,"")</f>
        <v/>
      </c>
      <c r="CC366" s="518" t="str">
        <f>IF(AND(_E="B-737-900",'2024'!$M$4="CA",'2024'!$M$2=CC347),'2024DATA'!$J$21,"")</f>
        <v/>
      </c>
      <c r="CD366" s="518" t="str">
        <f>IF(AND(_E="B-737-900",'2024'!$M$4="CA",'2024'!$M$2=CD347),'2024DATA'!$K$21,"")</f>
        <v/>
      </c>
      <c r="CE366" s="518" t="str">
        <f>IF(AND(_E="B-737-900",'2024'!$M$4="CA",'2024'!$M$2=CE347),'2024DATA'!$L$21,"")</f>
        <v/>
      </c>
      <c r="CF366" s="518" t="str">
        <f>IF(AND(_E="B-737-900",'2024'!$M$4="CA",'2024'!$M$2=CF347),'2024DATA'!$M$21,"")</f>
        <v/>
      </c>
      <c r="CG366" s="520" t="str">
        <f>IF(AND(_E="B-737-900",'2024'!$M$4="CA",'2024'!$M$2=CG347),'2024DATA'!$N$21,"")</f>
        <v/>
      </c>
      <c r="CH366" s="940" t="s">
        <v>47</v>
      </c>
      <c r="CI366" s="13" t="s">
        <v>61</v>
      </c>
      <c r="CJ366" s="518" t="str">
        <f>IF(AND(_F="B-737-900",'2024'!$M$4="CA",'2024'!$M$2=CJ347),'2024DATA'!$C$21,"")</f>
        <v/>
      </c>
      <c r="CK366" s="518" t="str">
        <f>IF(AND(_F="B-737-900",'2024'!$M$4="CA",'2024'!$M$2=CK347),'2024DATA'!$D$21,"")</f>
        <v/>
      </c>
      <c r="CL366" s="518" t="str">
        <f>IF(AND(_F="B-737-900",'2024'!$M$4="CA",'2024'!$M$2=CL347),'2024DATA'!$E$21,"")</f>
        <v/>
      </c>
      <c r="CM366" s="518" t="str">
        <f>IF(AND(_F="B-737-900",'2024'!$M$4="CA",'2024'!$M$2=CM347),'2024DATA'!$F$21,"")</f>
        <v/>
      </c>
      <c r="CN366" s="518" t="str">
        <f>IF(AND(_F="B-737-900",'2024'!$M$4="CA",'2024'!$M$2=CN347),'2024DATA'!$G$21,"")</f>
        <v/>
      </c>
      <c r="CO366" s="518" t="str">
        <f>IF(AND(_F="B-737-900",'2024'!$M$4="CA",'2024'!$M$2=CO347),'2024DATA'!$H$21,"")</f>
        <v/>
      </c>
      <c r="CP366" s="518" t="str">
        <f>IF(AND(_F="B-737-900",'2024'!$M$4="CA",'2024'!$M$2=CP347),'2024DATA'!$I$21,"")</f>
        <v/>
      </c>
      <c r="CQ366" s="518" t="str">
        <f>IF(AND(_F="B-737-900",'2024'!$M$4="CA",'2024'!$M$2=CQ347),'2024DATA'!$J$21,"")</f>
        <v/>
      </c>
      <c r="CR366" s="518" t="str">
        <f>IF(AND(_F="B-737-900",'2024'!$M$4="CA",'2024'!$M$2=CR347),'2024DATA'!$K$21,"")</f>
        <v/>
      </c>
      <c r="CS366" s="518" t="str">
        <f>IF(AND(_F="B-737-900",'2024'!$M$4="CA",'2024'!$M$2=CS347),'2024DATA'!$L$21,"")</f>
        <v/>
      </c>
      <c r="CT366" s="518" t="str">
        <f>IF(AND(_F="B-737-900",'2024'!$M$4="CA",'2024'!$M$2=CT347),'2024DATA'!$M$21,"")</f>
        <v/>
      </c>
      <c r="CU366" s="520" t="str">
        <f>IF(AND(_F="B-737-900",'2024'!$M$4="CA",'2024'!$M$2=CU347),'2024DATA'!$N$21,"")</f>
        <v/>
      </c>
    </row>
    <row r="367" spans="16:99" x14ac:dyDescent="0.25">
      <c r="P367" s="940"/>
      <c r="Q367" s="13" t="s">
        <v>62</v>
      </c>
      <c r="R367" s="518" t="str">
        <f>IF(AND(_A="B-737-900",'2024'!$M$4="FO",'2024'!$M$2=R347),'2024DATA'!$C$22,"")</f>
        <v/>
      </c>
      <c r="S367" s="518" t="str">
        <f>IF(AND(_A="B-737-900",'2024'!$M$4="FO",'2024'!$M$2=S347),'2024DATA'!$D$22,"")</f>
        <v/>
      </c>
      <c r="T367" s="518" t="str">
        <f>IF(AND(_A="B-737-900",'2024'!$M$4="FO",'2024'!$M$2=T347),'2024DATA'!$E$22,"")</f>
        <v/>
      </c>
      <c r="U367" s="518" t="str">
        <f>IF(AND(_A="B-737-900",'2024'!$M$4="FO",'2024'!$M$2=U347),'2024DATA'!$F$22,"")</f>
        <v/>
      </c>
      <c r="V367" s="518" t="str">
        <f>IF(AND(_A="B-737-900",'2024'!$M$4="FO",'2024'!$M$2=V347),'2024DATA'!$G$22,"")</f>
        <v/>
      </c>
      <c r="W367" s="518" t="str">
        <f>IF(AND(_A="B-737-900",'2024'!$M$4="FO",'2024'!$M$2=W347),'2024DATA'!$H$22,"")</f>
        <v/>
      </c>
      <c r="X367" s="518" t="str">
        <f>IF(AND(_A="B-737-900",'2024'!$M$4="FO",'2024'!$M$2=X347),'2024DATA'!$I$22,"")</f>
        <v/>
      </c>
      <c r="Y367" s="518" t="str">
        <f>IF(AND(_A="B-737-900",'2024'!$M$4="FO",'2024'!$M$2=Y347),'2024DATA'!$J$22,"")</f>
        <v/>
      </c>
      <c r="Z367" s="518" t="str">
        <f>IF(AND(_A="B-737-900",'2024'!$M$4="FO",'2024'!$M$2=Z347),'2024DATA'!$K$22,"")</f>
        <v/>
      </c>
      <c r="AA367" s="518" t="str">
        <f>IF(AND(_A="B-737-900",'2024'!$M$4="FO",'2024'!$M$2=AA347),'2024DATA'!$L$22,"")</f>
        <v/>
      </c>
      <c r="AB367" s="518" t="str">
        <f>IF(AND(_A="B-737-900",'2024'!$M$4="FO",'2024'!$M$2=AB347),'2024DATA'!$M$22,"")</f>
        <v/>
      </c>
      <c r="AC367" s="520" t="str">
        <f>IF(AND(_A="B-737-900",'2024'!$M$4="FO",'2024'!$M$2=AC347),'2024DATA'!$N$22,"")</f>
        <v/>
      </c>
      <c r="AD367" s="940"/>
      <c r="AE367" s="13" t="s">
        <v>62</v>
      </c>
      <c r="AF367" s="518" t="str">
        <f>IF(AND(_B="B-737-900",'2024'!$M$4="FO",'2024'!$M$2=AF347),'2024DATA'!$C$22,"")</f>
        <v/>
      </c>
      <c r="AG367" s="518" t="str">
        <f>IF(AND(_B="B-737-900",'2024'!$M$4="FO",'2024'!$M$2=AG347),'2024DATA'!$D$22,"")</f>
        <v/>
      </c>
      <c r="AH367" s="518" t="str">
        <f>IF(AND(_B="B-737-900",'2024'!$M$4="FO",'2024'!$M$2=AH347),'2024DATA'!$E$22,"")</f>
        <v/>
      </c>
      <c r="AI367" s="518" t="str">
        <f>IF(AND(_B="B-737-900",'2024'!$M$4="FO",'2024'!$M$2=AI347),'2024DATA'!$F$22,"")</f>
        <v/>
      </c>
      <c r="AJ367" s="518" t="str">
        <f>IF(AND(_B="B-737-900",'2024'!$M$4="FO",'2024'!$M$2=AJ347),'2024DATA'!$G$22,"")</f>
        <v/>
      </c>
      <c r="AK367" s="518" t="str">
        <f>IF(AND(_B="B-737-900",'2024'!$M$4="FO",'2024'!$M$2=AK347),'2024DATA'!$H$22,"")</f>
        <v/>
      </c>
      <c r="AL367" s="518" t="str">
        <f>IF(AND(_B="B-737-900",'2024'!$M$4="FO",'2024'!$M$2=AL347),'2024DATA'!$I$22,"")</f>
        <v/>
      </c>
      <c r="AM367" s="518" t="str">
        <f>IF(AND(_B="B-737-900",'2024'!$M$4="FO",'2024'!$M$2=AM347),'2024DATA'!$J$22,"")</f>
        <v/>
      </c>
      <c r="AN367" s="518" t="str">
        <f>IF(AND(_B="B-737-900",'2024'!$M$4="FO",'2024'!$M$2=AN347),'2024DATA'!$K$22,"")</f>
        <v/>
      </c>
      <c r="AO367" s="518" t="str">
        <f>IF(AND(_B="B-737-900",'2024'!$M$4="FO",'2024'!$M$2=AO347),'2024DATA'!$L$22,"")</f>
        <v/>
      </c>
      <c r="AP367" s="518" t="str">
        <f>IF(AND(_B="B-737-900",'2024'!$M$4="FO",'2024'!$M$2=AP347),'2024DATA'!$M$22,"")</f>
        <v/>
      </c>
      <c r="AQ367" s="520" t="str">
        <f>IF(AND(_B="B-737-900",'2024'!$M$4="FO",'2024'!$M$2=AQ347),'2024DATA'!$N$22,"")</f>
        <v/>
      </c>
      <c r="AR367" s="940"/>
      <c r="AS367" s="13" t="s">
        <v>62</v>
      </c>
      <c r="AT367" s="518" t="str">
        <f>IF(AND(_C="B-737-900",'2024'!$M$4="FO",'2024'!$M$2=AT347),'2024DATA'!$C$22,"")</f>
        <v/>
      </c>
      <c r="AU367" s="518" t="str">
        <f>IF(AND(_C="B-737-900",'2024'!$M$4="FO",'2024'!$M$2=AU347),'2024DATA'!$D$22,"")</f>
        <v/>
      </c>
      <c r="AV367" s="518" t="str">
        <f>IF(AND(_C="B-737-900",'2024'!$M$4="FO",'2024'!$M$2=AV347),'2024DATA'!$E$22,"")</f>
        <v/>
      </c>
      <c r="AW367" s="518" t="str">
        <f>IF(AND(_C="B-737-900",'2024'!$M$4="FO",'2024'!$M$2=AW347),'2024DATA'!$F$22,"")</f>
        <v/>
      </c>
      <c r="AX367" s="518" t="str">
        <f>IF(AND(_C="B-737-900",'2024'!$M$4="FO",'2024'!$M$2=AX347),'2024DATA'!$G$22,"")</f>
        <v/>
      </c>
      <c r="AY367" s="518" t="str">
        <f>IF(AND(_C="B-737-900",'2024'!$M$4="FO",'2024'!$M$2=AY347),'2024DATA'!$H$22,"")</f>
        <v/>
      </c>
      <c r="AZ367" s="518" t="str">
        <f>IF(AND(_C="B-737-900",'2024'!$M$4="FO",'2024'!$M$2=AZ347),'2024DATA'!$I$22,"")</f>
        <v/>
      </c>
      <c r="BA367" s="518" t="str">
        <f>IF(AND(_C="B-737-900",'2024'!$M$4="FO",'2024'!$M$2=BA347),'2024DATA'!$J$22,"")</f>
        <v/>
      </c>
      <c r="BB367" s="518" t="str">
        <f>IF(AND(_C="B-737-900",'2024'!$M$4="FO",'2024'!$M$2=BB347),'2024DATA'!$K$22,"")</f>
        <v/>
      </c>
      <c r="BC367" s="518" t="str">
        <f>IF(AND(_C="B-737-900",'2024'!$M$4="FO",'2024'!$M$2=BC347),'2024DATA'!$L$22,"")</f>
        <v/>
      </c>
      <c r="BD367" s="518" t="str">
        <f>IF(AND(_C="B-737-900",'2024'!$M$4="FO",'2024'!$M$2=BD347),'2024DATA'!$M$22,"")</f>
        <v/>
      </c>
      <c r="BE367" s="520" t="str">
        <f>IF(AND(_C="B-737-900",'2024'!$M$4="FO",'2024'!$M$2=BE347),'2024DATA'!$N$22,"")</f>
        <v/>
      </c>
      <c r="BF367" s="940"/>
      <c r="BG367" s="13" t="s">
        <v>62</v>
      </c>
      <c r="BH367" s="518" t="str">
        <f>IF(AND(_D="B-737-900",'2024'!$M$4="FO",'2024'!$M$2=BH347),'2024DATA'!$C$22,"")</f>
        <v/>
      </c>
      <c r="BI367" s="518" t="str">
        <f>IF(AND(_D="B-737-900",'2024'!$M$4="FO",'2024'!$M$2=BI347),'2024DATA'!$D$22,"")</f>
        <v/>
      </c>
      <c r="BJ367" s="518" t="str">
        <f>IF(AND(_D="B-737-900",'2024'!$M$4="FO",'2024'!$M$2=BJ347),'2024DATA'!$E$22,"")</f>
        <v/>
      </c>
      <c r="BK367" s="518" t="str">
        <f>IF(AND(_D="B-737-900",'2024'!$M$4="FO",'2024'!$M$2=BK347),'2024DATA'!$F$22,"")</f>
        <v/>
      </c>
      <c r="BL367" s="518" t="str">
        <f>IF(AND(_D="B-737-900",'2024'!$M$4="FO",'2024'!$M$2=BL347),'2024DATA'!$G$22,"")</f>
        <v/>
      </c>
      <c r="BM367" s="518" t="str">
        <f>IF(AND(_D="B-737-900",'2024'!$M$4="FO",'2024'!$M$2=BM347),'2024DATA'!$H$22,"")</f>
        <v/>
      </c>
      <c r="BN367" s="518" t="str">
        <f>IF(AND(_D="B-737-900",'2024'!$M$4="FO",'2024'!$M$2=BN347),'2024DATA'!$I$22,"")</f>
        <v/>
      </c>
      <c r="BO367" s="518" t="str">
        <f>IF(AND(_D="B-737-900",'2024'!$M$4="FO",'2024'!$M$2=BO347),'2024DATA'!$J$22,"")</f>
        <v/>
      </c>
      <c r="BP367" s="518" t="str">
        <f>IF(AND(_D="B-737-900",'2024'!$M$4="FO",'2024'!$M$2=BP347),'2024DATA'!$K$22,"")</f>
        <v/>
      </c>
      <c r="BQ367" s="518" t="str">
        <f>IF(AND(_D="B-737-900",'2024'!$M$4="FO",'2024'!$M$2=BQ347),'2024DATA'!$L$22,"")</f>
        <v/>
      </c>
      <c r="BR367" s="518" t="str">
        <f>IF(AND(_D="B-737-900",'2024'!$M$4="FO",'2024'!$M$2=BR347),'2024DATA'!$M$22,"")</f>
        <v/>
      </c>
      <c r="BS367" s="520" t="str">
        <f>IF(AND(_D="B-737-900",'2024'!$M$4="FO",'2024'!$M$2=BS347),'2024DATA'!$N$22,"")</f>
        <v/>
      </c>
      <c r="BT367" s="940"/>
      <c r="BU367" s="13" t="s">
        <v>62</v>
      </c>
      <c r="BV367" s="518" t="str">
        <f>IF(AND(_E="B-737-900",'2024'!$M$4="FO",'2024'!$M$2=BV347),'2024DATA'!$C$22,"")</f>
        <v/>
      </c>
      <c r="BW367" s="518" t="str">
        <f>IF(AND(_E="B-737-900",'2024'!$M$4="FO",'2024'!$M$2=BW347),'2024DATA'!$D$22,"")</f>
        <v/>
      </c>
      <c r="BX367" s="518" t="str">
        <f>IF(AND(_E="B-737-900",'2024'!$M$4="FO",'2024'!$M$2=BX347),'2024DATA'!$E$22,"")</f>
        <v/>
      </c>
      <c r="BY367" s="518" t="str">
        <f>IF(AND(_E="B-737-900",'2024'!$M$4="FO",'2024'!$M$2=BY347),'2024DATA'!$F$22,"")</f>
        <v/>
      </c>
      <c r="BZ367" s="518" t="str">
        <f>IF(AND(_E="B-737-900",'2024'!$M$4="FO",'2024'!$M$2=BZ347),'2024DATA'!$G$22,"")</f>
        <v/>
      </c>
      <c r="CA367" s="518" t="str">
        <f>IF(AND(_E="B-737-900",'2024'!$M$4="FO",'2024'!$M$2=CA347),'2024DATA'!$H$22,"")</f>
        <v/>
      </c>
      <c r="CB367" s="518" t="str">
        <f>IF(AND(_E="B-737-900",'2024'!$M$4="FO",'2024'!$M$2=CB347),'2024DATA'!$I$22,"")</f>
        <v/>
      </c>
      <c r="CC367" s="518" t="str">
        <f>IF(AND(_E="B-737-900",'2024'!$M$4="FO",'2024'!$M$2=CC347),'2024DATA'!$J$22,"")</f>
        <v/>
      </c>
      <c r="CD367" s="518" t="str">
        <f>IF(AND(_E="B-737-900",'2024'!$M$4="FO",'2024'!$M$2=CD347),'2024DATA'!$K$22,"")</f>
        <v/>
      </c>
      <c r="CE367" s="518" t="str">
        <f>IF(AND(_E="B-737-900",'2024'!$M$4="FO",'2024'!$M$2=CE347),'2024DATA'!$L$22,"")</f>
        <v/>
      </c>
      <c r="CF367" s="518" t="str">
        <f>IF(AND(_E="B-737-900",'2024'!$M$4="FO",'2024'!$M$2=CF347),'2024DATA'!$M$22,"")</f>
        <v/>
      </c>
      <c r="CG367" s="520" t="str">
        <f>IF(AND(_E="B-737-900",'2024'!$M$4="FO",'2024'!$M$2=CG347),'2024DATA'!$N$22,"")</f>
        <v/>
      </c>
      <c r="CH367" s="940"/>
      <c r="CI367" s="13" t="s">
        <v>62</v>
      </c>
      <c r="CJ367" s="518" t="str">
        <f>IF(AND(_F="B-737-900",'2024'!$M$4="FO",'2024'!$M$2=CJ347),'2024DATA'!$C$22,"")</f>
        <v/>
      </c>
      <c r="CK367" s="518" t="str">
        <f>IF(AND(_F="B-737-900",'2024'!$M$4="FO",'2024'!$M$2=CK347),'2024DATA'!$D$22,"")</f>
        <v/>
      </c>
      <c r="CL367" s="518" t="str">
        <f>IF(AND(_F="B-737-900",'2024'!$M$4="FO",'2024'!$M$2=CL347),'2024DATA'!$E$22,"")</f>
        <v/>
      </c>
      <c r="CM367" s="518" t="str">
        <f>IF(AND(_F="B-737-900",'2024'!$M$4="FO",'2024'!$M$2=CM347),'2024DATA'!$F$22,"")</f>
        <v/>
      </c>
      <c r="CN367" s="518" t="str">
        <f>IF(AND(_F="B-737-900",'2024'!$M$4="FO",'2024'!$M$2=CN347),'2024DATA'!$G$22,"")</f>
        <v/>
      </c>
      <c r="CO367" s="518" t="str">
        <f>IF(AND(_F="B-737-900",'2024'!$M$4="FO",'2024'!$M$2=CO347),'2024DATA'!$H$22,"")</f>
        <v/>
      </c>
      <c r="CP367" s="518" t="str">
        <f>IF(AND(_F="B-737-900",'2024'!$M$4="FO",'2024'!$M$2=CP347),'2024DATA'!$I$22,"")</f>
        <v/>
      </c>
      <c r="CQ367" s="518" t="str">
        <f>IF(AND(_F="B-737-900",'2024'!$M$4="FO",'2024'!$M$2=CQ347),'2024DATA'!$J$22,"")</f>
        <v/>
      </c>
      <c r="CR367" s="518" t="str">
        <f>IF(AND(_F="B-737-900",'2024'!$M$4="FO",'2024'!$M$2=CR347),'2024DATA'!$K$22,"")</f>
        <v/>
      </c>
      <c r="CS367" s="518" t="str">
        <f>IF(AND(_F="B-737-900",'2024'!$M$4="FO",'2024'!$M$2=CS347),'2024DATA'!$L$22,"")</f>
        <v/>
      </c>
      <c r="CT367" s="518" t="str">
        <f>IF(AND(_F="B-737-900",'2024'!$M$4="FO",'2024'!$M$2=CT347),'2024DATA'!$M$22,"")</f>
        <v/>
      </c>
      <c r="CU367" s="520" t="str">
        <f>IF(AND(_F="B-737-900",'2024'!$M$4="FO",'2024'!$M$2=CU347),'2024DATA'!$N$22,"")</f>
        <v/>
      </c>
    </row>
    <row r="368" spans="16:99" x14ac:dyDescent="0.25">
      <c r="P368" s="940" t="s">
        <v>69</v>
      </c>
      <c r="Q368" s="13" t="s">
        <v>61</v>
      </c>
      <c r="R368" s="518" t="str">
        <f>IF(AND(_A="B-737-800",'2024'!$M$4="CA",'2024'!$M$2=R347),'2024DATA'!$C$23,"")</f>
        <v/>
      </c>
      <c r="S368" s="518" t="str">
        <f>IF(AND(_A="B-737-800",'2024'!$M$4="CA",'2024'!$M$2=S347),'2024DATA'!$D$23,"")</f>
        <v/>
      </c>
      <c r="T368" s="518" t="str">
        <f>IF(AND(_A="B-737-800",'2024'!$M$4="CA",'2024'!$M$2=T347),'2024DATA'!$E$23,"")</f>
        <v/>
      </c>
      <c r="U368" s="518" t="str">
        <f>IF(AND(_A="B-737-800",'2024'!$M$4="CA",'2024'!$M$2=U347),'2024DATA'!$F$23,"")</f>
        <v/>
      </c>
      <c r="V368" s="518" t="str">
        <f>IF(AND(_A="B-737-800",'2024'!$M$4="CA",'2024'!$M$2=V347),'2024DATA'!$G$23,"")</f>
        <v/>
      </c>
      <c r="W368" s="518" t="str">
        <f>IF(AND(_A="B-737-800",'2024'!$M$4="CA",'2024'!$M$2=W347),'2024DATA'!$H$23,"")</f>
        <v/>
      </c>
      <c r="X368" s="518" t="str">
        <f>IF(AND(_A="B-737-800",'2024'!$M$4="CA",'2024'!$M$2=X347),'2024DATA'!$I$23,"")</f>
        <v/>
      </c>
      <c r="Y368" s="518" t="str">
        <f>IF(AND(_A="B-737-800",'2024'!$M$4="CA",'2024'!$M$2=Y347),'2024DATA'!$J$23,"")</f>
        <v/>
      </c>
      <c r="Z368" s="518" t="str">
        <f>IF(AND(_A="B-737-800",'2024'!$M$4="CA",'2024'!$M$2=Z347),'2024DATA'!$K$23,"")</f>
        <v/>
      </c>
      <c r="AA368" s="518" t="str">
        <f>IF(AND(_A="B-737-800",'2024'!$M$4="CA",'2024'!$M$2=AA347),'2024DATA'!$L$23,"")</f>
        <v/>
      </c>
      <c r="AB368" s="518" t="str">
        <f>IF(AND(_A="B-737-800",'2024'!$M$4="CA",'2024'!$M$2=AB347),'2024DATA'!$M$23,"")</f>
        <v/>
      </c>
      <c r="AC368" s="520" t="str">
        <f>IF(AND(_A="B-737-800",'2024'!$M$4="CA",'2024'!$M$2=AC347),'2024DATA'!$N$23,"")</f>
        <v/>
      </c>
      <c r="AD368" s="940" t="s">
        <v>69</v>
      </c>
      <c r="AE368" s="13" t="s">
        <v>61</v>
      </c>
      <c r="AF368" s="518" t="str">
        <f>IF(AND(_B="B-737-800",'2024'!$M$4="CA",'2024'!$M$2=AF347),'2024DATA'!$C$23,"")</f>
        <v/>
      </c>
      <c r="AG368" s="518" t="str">
        <f>IF(AND(_B="B-737-800",'2024'!$M$4="CA",'2024'!$M$2=AG347),'2024DATA'!$D$23,"")</f>
        <v/>
      </c>
      <c r="AH368" s="518" t="str">
        <f>IF(AND(_B="B-737-800",'2024'!$M$4="CA",'2024'!$M$2=AH347),'2024DATA'!$E$23,"")</f>
        <v/>
      </c>
      <c r="AI368" s="518" t="str">
        <f>IF(AND(_B="B-737-800",'2024'!$M$4="CA",'2024'!$M$2=AI347),'2024DATA'!$F$23,"")</f>
        <v/>
      </c>
      <c r="AJ368" s="518" t="str">
        <f>IF(AND(_B="B-737-800",'2024'!$M$4="CA",'2024'!$M$2=AJ347),'2024DATA'!$G$23,"")</f>
        <v/>
      </c>
      <c r="AK368" s="518" t="str">
        <f>IF(AND(_B="B-737-800",'2024'!$M$4="CA",'2024'!$M$2=AK347),'2024DATA'!$H$23,"")</f>
        <v/>
      </c>
      <c r="AL368" s="518" t="str">
        <f>IF(AND(_B="B-737-800",'2024'!$M$4="CA",'2024'!$M$2=AL347),'2024DATA'!$I$23,"")</f>
        <v/>
      </c>
      <c r="AM368" s="518" t="str">
        <f>IF(AND(_B="B-737-800",'2024'!$M$4="CA",'2024'!$M$2=AM347),'2024DATA'!$J$23,"")</f>
        <v/>
      </c>
      <c r="AN368" s="518" t="str">
        <f>IF(AND(_B="B-737-800",'2024'!$M$4="CA",'2024'!$M$2=AN347),'2024DATA'!$K$23,"")</f>
        <v/>
      </c>
      <c r="AO368" s="518" t="str">
        <f>IF(AND(_B="B-737-800",'2024'!$M$4="CA",'2024'!$M$2=AO347),'2024DATA'!$L$23,"")</f>
        <v/>
      </c>
      <c r="AP368" s="518" t="str">
        <f>IF(AND(_B="B-737-800",'2024'!$M$4="CA",'2024'!$M$2=AP347),'2024DATA'!$M$23,"")</f>
        <v/>
      </c>
      <c r="AQ368" s="520" t="str">
        <f>IF(AND(_B="B-737-800",'2024'!$M$4="CA",'2024'!$M$2=AQ347),'2024DATA'!$N$23,"")</f>
        <v/>
      </c>
      <c r="AR368" s="940" t="s">
        <v>69</v>
      </c>
      <c r="AS368" s="13" t="s">
        <v>61</v>
      </c>
      <c r="AT368" s="518" t="str">
        <f>IF(AND(_C="B-737-800",'2024'!$M$4="CA",'2024'!$M$2=AT347),'2024DATA'!$C$23,"")</f>
        <v/>
      </c>
      <c r="AU368" s="518" t="str">
        <f>IF(AND(_C="B-737-800",'2024'!$M$4="CA",'2024'!$M$2=AU347),'2024DATA'!$D$23,"")</f>
        <v/>
      </c>
      <c r="AV368" s="518" t="str">
        <f>IF(AND(_C="B-737-800",'2024'!$M$4="CA",'2024'!$M$2=AV347),'2024DATA'!$E$23,"")</f>
        <v/>
      </c>
      <c r="AW368" s="518" t="str">
        <f>IF(AND(_C="B-737-800",'2024'!$M$4="CA",'2024'!$M$2=AW347),'2024DATA'!$F$23,"")</f>
        <v/>
      </c>
      <c r="AX368" s="518" t="str">
        <f>IF(AND(_C="B-737-800",'2024'!$M$4="CA",'2024'!$M$2=AX347),'2024DATA'!$G$23,"")</f>
        <v/>
      </c>
      <c r="AY368" s="518" t="str">
        <f>IF(AND(_C="B-737-800",'2024'!$M$4="CA",'2024'!$M$2=AY347),'2024DATA'!$H$23,"")</f>
        <v/>
      </c>
      <c r="AZ368" s="518" t="str">
        <f>IF(AND(_C="B-737-800",'2024'!$M$4="CA",'2024'!$M$2=AZ347),'2024DATA'!$I$23,"")</f>
        <v/>
      </c>
      <c r="BA368" s="518" t="str">
        <f>IF(AND(_C="B-737-800",'2024'!$M$4="CA",'2024'!$M$2=BA347),'2024DATA'!$J$23,"")</f>
        <v/>
      </c>
      <c r="BB368" s="518" t="str">
        <f>IF(AND(_C="B-737-800",'2024'!$M$4="CA",'2024'!$M$2=BB347),'2024DATA'!$K$23,"")</f>
        <v/>
      </c>
      <c r="BC368" s="518" t="str">
        <f>IF(AND(_C="B-737-800",'2024'!$M$4="CA",'2024'!$M$2=BC347),'2024DATA'!$L$23,"")</f>
        <v/>
      </c>
      <c r="BD368" s="518" t="str">
        <f>IF(AND(_C="B-737-800",'2024'!$M$4="CA",'2024'!$M$2=BD347),'2024DATA'!$M$23,"")</f>
        <v/>
      </c>
      <c r="BE368" s="520" t="str">
        <f>IF(AND(_C="B-737-800",'2024'!$M$4="CA",'2024'!$M$2=BE347),'2024DATA'!$N$23,"")</f>
        <v/>
      </c>
      <c r="BF368" s="940" t="s">
        <v>69</v>
      </c>
      <c r="BG368" s="13" t="s">
        <v>61</v>
      </c>
      <c r="BH368" s="518" t="str">
        <f>IF(AND(_D="B-737-800",'2024'!$M$4="CA",'2024'!$M$2=BH347),'2024DATA'!$C$23,"")</f>
        <v/>
      </c>
      <c r="BI368" s="518" t="str">
        <f>IF(AND(_D="B-737-800",'2024'!$M$4="CA",'2024'!$M$2=BI347),'2024DATA'!$D$23,"")</f>
        <v/>
      </c>
      <c r="BJ368" s="518" t="str">
        <f>IF(AND(_D="B-737-800",'2024'!$M$4="CA",'2024'!$M$2=BJ347),'2024DATA'!$E$23,"")</f>
        <v/>
      </c>
      <c r="BK368" s="518" t="str">
        <f>IF(AND(_D="B-737-800",'2024'!$M$4="CA",'2024'!$M$2=BK347),'2024DATA'!$F$23,"")</f>
        <v/>
      </c>
      <c r="BL368" s="518" t="str">
        <f>IF(AND(_D="B-737-800",'2024'!$M$4="CA",'2024'!$M$2=BL347),'2024DATA'!$G$23,"")</f>
        <v/>
      </c>
      <c r="BM368" s="518" t="str">
        <f>IF(AND(_D="B-737-800",'2024'!$M$4="CA",'2024'!$M$2=BM347),'2024DATA'!$H$23,"")</f>
        <v/>
      </c>
      <c r="BN368" s="518" t="str">
        <f>IF(AND(_D="B-737-800",'2024'!$M$4="CA",'2024'!$M$2=BN347),'2024DATA'!$I$23,"")</f>
        <v/>
      </c>
      <c r="BO368" s="518" t="str">
        <f>IF(AND(_D="B-737-800",'2024'!$M$4="CA",'2024'!$M$2=BO347),'2024DATA'!$J$23,"")</f>
        <v/>
      </c>
      <c r="BP368" s="518" t="str">
        <f>IF(AND(_D="B-737-800",'2024'!$M$4="CA",'2024'!$M$2=BP347),'2024DATA'!$K$23,"")</f>
        <v/>
      </c>
      <c r="BQ368" s="518" t="str">
        <f>IF(AND(_D="B-737-800",'2024'!$M$4="CA",'2024'!$M$2=BQ347),'2024DATA'!$L$23,"")</f>
        <v/>
      </c>
      <c r="BR368" s="518" t="str">
        <f>IF(AND(_D="B-737-800",'2024'!$M$4="CA",'2024'!$M$2=BR347),'2024DATA'!$M$23,"")</f>
        <v/>
      </c>
      <c r="BS368" s="520" t="str">
        <f>IF(AND(_D="B-737-800",'2024'!$M$4="CA",'2024'!$M$2=BS347),'2024DATA'!$N$23,"")</f>
        <v/>
      </c>
      <c r="BT368" s="940" t="s">
        <v>69</v>
      </c>
      <c r="BU368" s="13" t="s">
        <v>61</v>
      </c>
      <c r="BV368" s="518" t="str">
        <f>IF(AND(_E="B-737-800",'2024'!$M$4="CA",'2024'!$M$2=BV347),'2024DATA'!$C$23,"")</f>
        <v/>
      </c>
      <c r="BW368" s="518" t="str">
        <f>IF(AND(_E="B-737-800",'2024'!$M$4="CA",'2024'!$M$2=BW347),'2024DATA'!$D$23,"")</f>
        <v/>
      </c>
      <c r="BX368" s="518" t="str">
        <f>IF(AND(_E="B-737-800",'2024'!$M$4="CA",'2024'!$M$2=BX347),'2024DATA'!$E$23,"")</f>
        <v/>
      </c>
      <c r="BY368" s="518" t="str">
        <f>IF(AND(_E="B-737-800",'2024'!$M$4="CA",'2024'!$M$2=BY347),'2024DATA'!$F$23,"")</f>
        <v/>
      </c>
      <c r="BZ368" s="518" t="str">
        <f>IF(AND(_E="B-737-800",'2024'!$M$4="CA",'2024'!$M$2=BZ347),'2024DATA'!$G$23,"")</f>
        <v/>
      </c>
      <c r="CA368" s="518" t="str">
        <f>IF(AND(_E="B-737-800",'2024'!$M$4="CA",'2024'!$M$2=CA347),'2024DATA'!$H$23,"")</f>
        <v/>
      </c>
      <c r="CB368" s="518" t="str">
        <f>IF(AND(_E="B-737-800",'2024'!$M$4="CA",'2024'!$M$2=CB347),'2024DATA'!$I$23,"")</f>
        <v/>
      </c>
      <c r="CC368" s="518" t="str">
        <f>IF(AND(_E="B-737-800",'2024'!$M$4="CA",'2024'!$M$2=CC347),'2024DATA'!$J$23,"")</f>
        <v/>
      </c>
      <c r="CD368" s="518" t="str">
        <f>IF(AND(_E="B-737-800",'2024'!$M$4="CA",'2024'!$M$2=CD347),'2024DATA'!$K$23,"")</f>
        <v/>
      </c>
      <c r="CE368" s="518" t="str">
        <f>IF(AND(_E="B-737-800",'2024'!$M$4="CA",'2024'!$M$2=CE347),'2024DATA'!$L$23,"")</f>
        <v/>
      </c>
      <c r="CF368" s="518" t="str">
        <f>IF(AND(_E="B-737-800",'2024'!$M$4="CA",'2024'!$M$2=CF347),'2024DATA'!$M$23,"")</f>
        <v/>
      </c>
      <c r="CG368" s="520" t="str">
        <f>IF(AND(_E="B-737-800",'2024'!$M$4="CA",'2024'!$M$2=CG347),'2024DATA'!$N$23,"")</f>
        <v/>
      </c>
      <c r="CH368" s="940" t="s">
        <v>69</v>
      </c>
      <c r="CI368" s="13" t="s">
        <v>61</v>
      </c>
      <c r="CJ368" s="518" t="str">
        <f>IF(AND(_F="B-737-800",'2024'!$M$4="CA",'2024'!$M$2=CJ347),'2024DATA'!$C$23,"")</f>
        <v/>
      </c>
      <c r="CK368" s="518" t="str">
        <f>IF(AND(_F="B-737-800",'2024'!$M$4="CA",'2024'!$M$2=CK347),'2024DATA'!$D$23,"")</f>
        <v/>
      </c>
      <c r="CL368" s="518" t="str">
        <f>IF(AND(_F="B-737-800",'2024'!$M$4="CA",'2024'!$M$2=CL347),'2024DATA'!$E$23,"")</f>
        <v/>
      </c>
      <c r="CM368" s="518" t="str">
        <f>IF(AND(_F="B-737-800",'2024'!$M$4="CA",'2024'!$M$2=CM347),'2024DATA'!$F$23,"")</f>
        <v/>
      </c>
      <c r="CN368" s="518" t="str">
        <f>IF(AND(_F="B-737-800",'2024'!$M$4="CA",'2024'!$M$2=CN347),'2024DATA'!$G$23,"")</f>
        <v/>
      </c>
      <c r="CO368" s="518" t="str">
        <f>IF(AND(_F="B-737-800",'2024'!$M$4="CA",'2024'!$M$2=CO347),'2024DATA'!$H$23,"")</f>
        <v/>
      </c>
      <c r="CP368" s="518" t="str">
        <f>IF(AND(_F="B-737-800",'2024'!$M$4="CA",'2024'!$M$2=CP347),'2024DATA'!$I$23,"")</f>
        <v/>
      </c>
      <c r="CQ368" s="518" t="str">
        <f>IF(AND(_F="B-737-800",'2024'!$M$4="CA",'2024'!$M$2=CQ347),'2024DATA'!$J$23,"")</f>
        <v/>
      </c>
      <c r="CR368" s="518" t="str">
        <f>IF(AND(_F="B-737-800",'2024'!$M$4="CA",'2024'!$M$2=CR347),'2024DATA'!$K$23,"")</f>
        <v/>
      </c>
      <c r="CS368" s="518" t="str">
        <f>IF(AND(_F="B-737-800",'2024'!$M$4="CA",'2024'!$M$2=CS347),'2024DATA'!$L$23,"")</f>
        <v/>
      </c>
      <c r="CT368" s="518" t="str">
        <f>IF(AND(_F="B-737-800",'2024'!$M$4="CA",'2024'!$M$2=CT347),'2024DATA'!$M$23,"")</f>
        <v/>
      </c>
      <c r="CU368" s="520" t="str">
        <f>IF(AND(_F="B-737-800",'2024'!$M$4="CA",'2024'!$M$2=CU347),'2024DATA'!$N$23,"")</f>
        <v/>
      </c>
    </row>
    <row r="369" spans="16:99" x14ac:dyDescent="0.25">
      <c r="P369" s="940"/>
      <c r="Q369" s="13" t="s">
        <v>62</v>
      </c>
      <c r="R369" s="518" t="str">
        <f>IF(AND(_A="B-737-800",'2024'!$M$4="FO",'2024'!$M$2=R347),'2024DATA'!$C$24,"")</f>
        <v/>
      </c>
      <c r="S369" s="518" t="str">
        <f>IF(AND(_A="B-737-800",'2024'!$M$4="FO",'2024'!$M$2=S347),'2024DATA'!$D$24,"")</f>
        <v/>
      </c>
      <c r="T369" s="518" t="str">
        <f>IF(AND(_A="B-737-800",'2024'!$M$4="FO",'2024'!$M$2=T347),'2024DATA'!$E$24,"")</f>
        <v/>
      </c>
      <c r="U369" s="518" t="str">
        <f>IF(AND(_A="B-737-800",'2024'!$M$4="FO",'2024'!$M$2=U347),'2024DATA'!$F$24,"")</f>
        <v/>
      </c>
      <c r="V369" s="518" t="str">
        <f>IF(AND(_A="B-737-800",'2024'!$M$4="FO",'2024'!$M$2=V347),'2024DATA'!$G$24,"")</f>
        <v/>
      </c>
      <c r="W369" s="518" t="str">
        <f>IF(AND(_A="B-737-800",'2024'!$M$4="FO",'2024'!$M$2=W347),'2024DATA'!$H$24,"")</f>
        <v/>
      </c>
      <c r="X369" s="518" t="str">
        <f>IF(AND(_A="B-737-800",'2024'!$M$4="FO",'2024'!$M$2=X347),'2024DATA'!$I$24,"")</f>
        <v/>
      </c>
      <c r="Y369" s="518" t="str">
        <f>IF(AND(_A="B-737-800",'2024'!$M$4="FO",'2024'!$M$2=Y347),'2024DATA'!$J$24,"")</f>
        <v/>
      </c>
      <c r="Z369" s="518" t="str">
        <f>IF(AND(_A="B-737-800",'2024'!$M$4="FO",'2024'!$M$2=Z347),'2024DATA'!$K$24,"")</f>
        <v/>
      </c>
      <c r="AA369" s="518" t="str">
        <f>IF(AND(_A="B-737-800",'2024'!$M$4="FO",'2024'!$M$2=AA347),'2024DATA'!$L$24,"")</f>
        <v/>
      </c>
      <c r="AB369" s="518" t="str">
        <f>IF(AND(_A="B-737-800",'2024'!$M$4="FO",'2024'!$M$2=AB347),'2024DATA'!$M$24,"")</f>
        <v/>
      </c>
      <c r="AC369" s="520" t="str">
        <f>IF(AND(_A="B-737-800",'2024'!$M$4="FO",'2024'!$M$2=AC347),'2024DATA'!$N$24,"")</f>
        <v/>
      </c>
      <c r="AD369" s="940"/>
      <c r="AE369" s="13" t="s">
        <v>62</v>
      </c>
      <c r="AF369" s="518" t="str">
        <f>IF(AND(_B="B-737-800",'2024'!$M$4="FO",'2024'!$M$2=AF347),'2024DATA'!$C$24,"")</f>
        <v/>
      </c>
      <c r="AG369" s="518" t="str">
        <f>IF(AND(_B="B-737-800",'2024'!$M$4="FO",'2024'!$M$2=AG347),'2024DATA'!$D$24,"")</f>
        <v/>
      </c>
      <c r="AH369" s="518" t="str">
        <f>IF(AND(_B="B-737-800",'2024'!$M$4="FO",'2024'!$M$2=AH347),'2024DATA'!$E$24,"")</f>
        <v/>
      </c>
      <c r="AI369" s="518" t="str">
        <f>IF(AND(_B="B-737-800",'2024'!$M$4="FO",'2024'!$M$2=AI347),'2024DATA'!$F$24,"")</f>
        <v/>
      </c>
      <c r="AJ369" s="518" t="str">
        <f>IF(AND(_B="B-737-800",'2024'!$M$4="FO",'2024'!$M$2=AJ347),'2024DATA'!$G$24,"")</f>
        <v/>
      </c>
      <c r="AK369" s="518" t="str">
        <f>IF(AND(_B="B-737-800",'2024'!$M$4="FO",'2024'!$M$2=AK347),'2024DATA'!$H$24,"")</f>
        <v/>
      </c>
      <c r="AL369" s="518" t="str">
        <f>IF(AND(_B="B-737-800",'2024'!$M$4="FO",'2024'!$M$2=AL347),'2024DATA'!$I$24,"")</f>
        <v/>
      </c>
      <c r="AM369" s="518" t="str">
        <f>IF(AND(_B="B-737-800",'2024'!$M$4="FO",'2024'!$M$2=AM347),'2024DATA'!$J$24,"")</f>
        <v/>
      </c>
      <c r="AN369" s="518" t="str">
        <f>IF(AND(_B="B-737-800",'2024'!$M$4="FO",'2024'!$M$2=AN347),'2024DATA'!$K$24,"")</f>
        <v/>
      </c>
      <c r="AO369" s="518" t="str">
        <f>IF(AND(_B="B-737-800",'2024'!$M$4="FO",'2024'!$M$2=AO347),'2024DATA'!$L$24,"")</f>
        <v/>
      </c>
      <c r="AP369" s="518" t="str">
        <f>IF(AND(_B="B-737-800",'2024'!$M$4="FO",'2024'!$M$2=AP347),'2024DATA'!$M$24,"")</f>
        <v/>
      </c>
      <c r="AQ369" s="520" t="str">
        <f>IF(AND(_B="B-737-800",'2024'!$M$4="FO",'2024'!$M$2=AQ347),'2024DATA'!$N$24,"")</f>
        <v/>
      </c>
      <c r="AR369" s="940"/>
      <c r="AS369" s="13" t="s">
        <v>62</v>
      </c>
      <c r="AT369" s="518" t="str">
        <f>IF(AND(_C="B-737-800",'2024'!$M$4="FO",'2024'!$M$2=AT347),'2024DATA'!$C$24,"")</f>
        <v/>
      </c>
      <c r="AU369" s="518" t="str">
        <f>IF(AND(_C="B-737-800",'2024'!$M$4="FO",'2024'!$M$2=AU347),'2024DATA'!$D$24,"")</f>
        <v/>
      </c>
      <c r="AV369" s="518" t="str">
        <f>IF(AND(_C="B-737-800",'2024'!$M$4="FO",'2024'!$M$2=AV347),'2024DATA'!$E$24,"")</f>
        <v/>
      </c>
      <c r="AW369" s="518" t="str">
        <f>IF(AND(_C="B-737-800",'2024'!$M$4="FO",'2024'!$M$2=AW347),'2024DATA'!$F$24,"")</f>
        <v/>
      </c>
      <c r="AX369" s="518" t="str">
        <f>IF(AND(_C="B-737-800",'2024'!$M$4="FO",'2024'!$M$2=AX347),'2024DATA'!$G$24,"")</f>
        <v/>
      </c>
      <c r="AY369" s="518" t="str">
        <f>IF(AND(_C="B-737-800",'2024'!$M$4="FO",'2024'!$M$2=AY347),'2024DATA'!$H$24,"")</f>
        <v/>
      </c>
      <c r="AZ369" s="518" t="str">
        <f>IF(AND(_C="B-737-800",'2024'!$M$4="FO",'2024'!$M$2=AZ347),'2024DATA'!$I$24,"")</f>
        <v/>
      </c>
      <c r="BA369" s="518" t="str">
        <f>IF(AND(_C="B-737-800",'2024'!$M$4="FO",'2024'!$M$2=BA347),'2024DATA'!$J$24,"")</f>
        <v/>
      </c>
      <c r="BB369" s="518" t="str">
        <f>IF(AND(_C="B-737-800",'2024'!$M$4="FO",'2024'!$M$2=BB347),'2024DATA'!$K$24,"")</f>
        <v/>
      </c>
      <c r="BC369" s="518" t="str">
        <f>IF(AND(_C="B-737-800",'2024'!$M$4="FO",'2024'!$M$2=BC347),'2024DATA'!$L$24,"")</f>
        <v/>
      </c>
      <c r="BD369" s="518" t="str">
        <f>IF(AND(_C="B-737-800",'2024'!$M$4="FO",'2024'!$M$2=BD347),'2024DATA'!$M$24,"")</f>
        <v/>
      </c>
      <c r="BE369" s="520" t="str">
        <f>IF(AND(_C="B-737-800",'2024'!$M$4="FO",'2024'!$M$2=BE347),'2024DATA'!$N$24,"")</f>
        <v/>
      </c>
      <c r="BF369" s="940"/>
      <c r="BG369" s="13" t="s">
        <v>62</v>
      </c>
      <c r="BH369" s="518" t="str">
        <f>IF(AND(_D="B-737-800",'2024'!$M$4="FO",'2024'!$M$2=BH347),'2024DATA'!$C$24,"")</f>
        <v/>
      </c>
      <c r="BI369" s="518" t="str">
        <f>IF(AND(_D="B-737-800",'2024'!$M$4="FO",'2024'!$M$2=BI347),'2024DATA'!$D$24,"")</f>
        <v/>
      </c>
      <c r="BJ369" s="518" t="str">
        <f>IF(AND(_D="B-737-800",'2024'!$M$4="FO",'2024'!$M$2=BJ347),'2024DATA'!$E$24,"")</f>
        <v/>
      </c>
      <c r="BK369" s="518" t="str">
        <f>IF(AND(_D="B-737-800",'2024'!$M$4="FO",'2024'!$M$2=BK347),'2024DATA'!$F$24,"")</f>
        <v/>
      </c>
      <c r="BL369" s="518" t="str">
        <f>IF(AND(_D="B-737-800",'2024'!$M$4="FO",'2024'!$M$2=BL347),'2024DATA'!$G$24,"")</f>
        <v/>
      </c>
      <c r="BM369" s="518" t="str">
        <f>IF(AND(_D="B-737-800",'2024'!$M$4="FO",'2024'!$M$2=BM347),'2024DATA'!$H$24,"")</f>
        <v/>
      </c>
      <c r="BN369" s="518" t="str">
        <f>IF(AND(_D="B-737-800",'2024'!$M$4="FO",'2024'!$M$2=BN347),'2024DATA'!$I$24,"")</f>
        <v/>
      </c>
      <c r="BO369" s="518" t="str">
        <f>IF(AND(_D="B-737-800",'2024'!$M$4="FO",'2024'!$M$2=BO347),'2024DATA'!$J$24,"")</f>
        <v/>
      </c>
      <c r="BP369" s="518" t="str">
        <f>IF(AND(_D="B-737-800",'2024'!$M$4="FO",'2024'!$M$2=BP347),'2024DATA'!$K$24,"")</f>
        <v/>
      </c>
      <c r="BQ369" s="518" t="str">
        <f>IF(AND(_D="B-737-800",'2024'!$M$4="FO",'2024'!$M$2=BQ347),'2024DATA'!$L$24,"")</f>
        <v/>
      </c>
      <c r="BR369" s="518" t="str">
        <f>IF(AND(_D="B-737-800",'2024'!$M$4="FO",'2024'!$M$2=BR347),'2024DATA'!$M$24,"")</f>
        <v/>
      </c>
      <c r="BS369" s="520" t="str">
        <f>IF(AND(_D="B-737-800",'2024'!$M$4="FO",'2024'!$M$2=BS347),'2024DATA'!$N$24,"")</f>
        <v/>
      </c>
      <c r="BT369" s="940"/>
      <c r="BU369" s="13" t="s">
        <v>62</v>
      </c>
      <c r="BV369" s="518" t="str">
        <f>IF(AND(_E="B-737-800",'2024'!$M$4="FO",'2024'!$M$2=BV347),'2024DATA'!$C$24,"")</f>
        <v/>
      </c>
      <c r="BW369" s="518" t="str">
        <f>IF(AND(_E="B-737-800",'2024'!$M$4="FO",'2024'!$M$2=BW347),'2024DATA'!$D$24,"")</f>
        <v/>
      </c>
      <c r="BX369" s="518" t="str">
        <f>IF(AND(_E="B-737-800",'2024'!$M$4="FO",'2024'!$M$2=BX347),'2024DATA'!$E$24,"")</f>
        <v/>
      </c>
      <c r="BY369" s="518" t="str">
        <f>IF(AND(_E="B-737-800",'2024'!$M$4="FO",'2024'!$M$2=BY347),'2024DATA'!$F$24,"")</f>
        <v/>
      </c>
      <c r="BZ369" s="518" t="str">
        <f>IF(AND(_E="B-737-800",'2024'!$M$4="FO",'2024'!$M$2=BZ347),'2024DATA'!$G$24,"")</f>
        <v/>
      </c>
      <c r="CA369" s="518" t="str">
        <f>IF(AND(_E="B-737-800",'2024'!$M$4="FO",'2024'!$M$2=CA347),'2024DATA'!$H$24,"")</f>
        <v/>
      </c>
      <c r="CB369" s="518" t="str">
        <f>IF(AND(_E="B-737-800",'2024'!$M$4="FO",'2024'!$M$2=CB347),'2024DATA'!$I$24,"")</f>
        <v/>
      </c>
      <c r="CC369" s="518" t="str">
        <f>IF(AND(_E="B-737-800",'2024'!$M$4="FO",'2024'!$M$2=CC347),'2024DATA'!$J$24,"")</f>
        <v/>
      </c>
      <c r="CD369" s="518" t="str">
        <f>IF(AND(_E="B-737-800",'2024'!$M$4="FO",'2024'!$M$2=CD347),'2024DATA'!$K$24,"")</f>
        <v/>
      </c>
      <c r="CE369" s="518" t="str">
        <f>IF(AND(_E="B-737-800",'2024'!$M$4="FO",'2024'!$M$2=CE347),'2024DATA'!$L$24,"")</f>
        <v/>
      </c>
      <c r="CF369" s="518" t="str">
        <f>IF(AND(_E="B-737-800",'2024'!$M$4="FO",'2024'!$M$2=CF347),'2024DATA'!$M$24,"")</f>
        <v/>
      </c>
      <c r="CG369" s="520" t="str">
        <f>IF(AND(_E="B-737-800",'2024'!$M$4="FO",'2024'!$M$2=CG347),'2024DATA'!$N$24,"")</f>
        <v/>
      </c>
      <c r="CH369" s="940"/>
      <c r="CI369" s="13" t="s">
        <v>62</v>
      </c>
      <c r="CJ369" s="518" t="str">
        <f>IF(AND(_F="B-737-800",'2024'!$M$4="FO",'2024'!$M$2=CJ347),'2024DATA'!$C$24,"")</f>
        <v/>
      </c>
      <c r="CK369" s="518" t="str">
        <f>IF(AND(_F="B-737-800",'2024'!$M$4="FO",'2024'!$M$2=CK347),'2024DATA'!$D$24,"")</f>
        <v/>
      </c>
      <c r="CL369" s="518" t="str">
        <f>IF(AND(_F="B-737-800",'2024'!$M$4="FO",'2024'!$M$2=CL347),'2024DATA'!$E$24,"")</f>
        <v/>
      </c>
      <c r="CM369" s="518" t="str">
        <f>IF(AND(_F="B-737-800",'2024'!$M$4="FO",'2024'!$M$2=CM347),'2024DATA'!$F$24,"")</f>
        <v/>
      </c>
      <c r="CN369" s="518" t="str">
        <f>IF(AND(_F="B-737-800",'2024'!$M$4="FO",'2024'!$M$2=CN347),'2024DATA'!$G$24,"")</f>
        <v/>
      </c>
      <c r="CO369" s="518" t="str">
        <f>IF(AND(_F="B-737-800",'2024'!$M$4="FO",'2024'!$M$2=CO347),'2024DATA'!$H$24,"")</f>
        <v/>
      </c>
      <c r="CP369" s="518" t="str">
        <f>IF(AND(_F="B-737-800",'2024'!$M$4="FO",'2024'!$M$2=CP347),'2024DATA'!$I$24,"")</f>
        <v/>
      </c>
      <c r="CQ369" s="518" t="str">
        <f>IF(AND(_F="B-737-800",'2024'!$M$4="FO",'2024'!$M$2=CQ347),'2024DATA'!$J$24,"")</f>
        <v/>
      </c>
      <c r="CR369" s="518" t="str">
        <f>IF(AND(_F="B-737-800",'2024'!$M$4="FO",'2024'!$M$2=CR347),'2024DATA'!$K$24,"")</f>
        <v/>
      </c>
      <c r="CS369" s="518" t="str">
        <f>IF(AND(_F="B-737-800",'2024'!$M$4="FO",'2024'!$M$2=CS347),'2024DATA'!$L$24,"")</f>
        <v/>
      </c>
      <c r="CT369" s="518" t="str">
        <f>IF(AND(_F="B-737-800",'2024'!$M$4="FO",'2024'!$M$2=CT347),'2024DATA'!$M$24,"")</f>
        <v/>
      </c>
      <c r="CU369" s="520" t="str">
        <f>IF(AND(_F="B-737-800",'2024'!$M$4="FO",'2024'!$M$2=CU347),'2024DATA'!$N$24,"")</f>
        <v/>
      </c>
    </row>
    <row r="370" spans="16:99" x14ac:dyDescent="0.25">
      <c r="P370" s="940" t="s">
        <v>46</v>
      </c>
      <c r="Q370" s="13" t="s">
        <v>61</v>
      </c>
      <c r="R370" s="518" t="str">
        <f>IF(AND(_A="A-321N",'2024'!$M$4="CA",'2024'!$M$2=R347),'2024DATA'!$C$25,"")</f>
        <v/>
      </c>
      <c r="S370" s="518" t="str">
        <f>IF(AND(_A="A-321N",'2024'!$M$4="CA",'2024'!$M$2=S347),'2024DATA'!$D$25,"")</f>
        <v/>
      </c>
      <c r="T370" s="518" t="str">
        <f>IF(AND(_A="A-321N",'2024'!$M$4="CA",'2024'!$M$2=T347),'2024DATA'!$E$25,"")</f>
        <v/>
      </c>
      <c r="U370" s="518" t="str">
        <f>IF(AND(_A="A-321N",'2024'!$M$4="CA",'2024'!$M$2=U347),'2024DATA'!$F$25,"")</f>
        <v/>
      </c>
      <c r="V370" s="518" t="str">
        <f>IF(AND(_A="A-321N",'2024'!$M$4="CA",'2024'!$M$2=V347),'2024DATA'!$G$25,"")</f>
        <v/>
      </c>
      <c r="W370" s="518" t="str">
        <f>IF(AND(_A="A-321N",'2024'!$M$4="CA",'2024'!$M$2=W347),'2024DATA'!$H$25,"")</f>
        <v/>
      </c>
      <c r="X370" s="518" t="str">
        <f>IF(AND(_A="A-321N",'2024'!$M$4="CA",'2024'!$M$2=X347),'2024DATA'!$I$25,"")</f>
        <v/>
      </c>
      <c r="Y370" s="518" t="str">
        <f>IF(AND(_A="A-321N",'2024'!$M$4="CA",'2024'!$M$2=Y347),'2024DATA'!$J$25,"")</f>
        <v/>
      </c>
      <c r="Z370" s="518" t="str">
        <f>IF(AND(_A="A-321N",'2024'!$M$4="CA",'2024'!$M$2=Z347),'2024DATA'!$K$25,"")</f>
        <v/>
      </c>
      <c r="AA370" s="518" t="str">
        <f>IF(AND(_A="A-321N",'2024'!$M$4="CA",'2024'!$M$2=AA347),'2024DATA'!$L$25,"")</f>
        <v/>
      </c>
      <c r="AB370" s="518" t="str">
        <f>IF(AND(_A="A-321N",'2024'!$M$4="CA",'2024'!$M$2=AB347),'2024DATA'!$M$25,"")</f>
        <v/>
      </c>
      <c r="AC370" s="520" t="str">
        <f>IF(AND(_A="A-321N",'2024'!$M$4="CA",'2024'!$M$2=AC347),'2024DATA'!$N$25,"")</f>
        <v/>
      </c>
      <c r="AD370" s="940" t="s">
        <v>46</v>
      </c>
      <c r="AE370" s="13" t="s">
        <v>61</v>
      </c>
      <c r="AF370" s="518" t="str">
        <f>IF(AND(_B="A-321N",'2024'!$M$4="CA",'2024'!$M$2=AF347),'2024DATA'!$C$25,"")</f>
        <v/>
      </c>
      <c r="AG370" s="518" t="str">
        <f>IF(AND(_B="A-321N",'2024'!$M$4="CA",'2024'!$M$2=AG347),'2024DATA'!$D$25,"")</f>
        <v/>
      </c>
      <c r="AH370" s="518" t="str">
        <f>IF(AND(_B="A-321N",'2024'!$M$4="CA",'2024'!$M$2=AH347),'2024DATA'!$E$25,"")</f>
        <v/>
      </c>
      <c r="AI370" s="518" t="str">
        <f>IF(AND(_B="A-321N",'2024'!$M$4="CA",'2024'!$M$2=AI347),'2024DATA'!$F$25,"")</f>
        <v/>
      </c>
      <c r="AJ370" s="518" t="str">
        <f>IF(AND(_B="A-321N",'2024'!$M$4="CA",'2024'!$M$2=AJ347),'2024DATA'!$G$25,"")</f>
        <v/>
      </c>
      <c r="AK370" s="518" t="str">
        <f>IF(AND(_B="A-321N",'2024'!$M$4="CA",'2024'!$M$2=AK347),'2024DATA'!$H$25,"")</f>
        <v/>
      </c>
      <c r="AL370" s="518" t="str">
        <f>IF(AND(_B="A-321N",'2024'!$M$4="CA",'2024'!$M$2=AL347),'2024DATA'!$I$25,"")</f>
        <v/>
      </c>
      <c r="AM370" s="518" t="str">
        <f>IF(AND(_B="A-321N",'2024'!$M$4="CA",'2024'!$M$2=AM347),'2024DATA'!$J$25,"")</f>
        <v/>
      </c>
      <c r="AN370" s="518" t="str">
        <f>IF(AND(_B="A-321N",'2024'!$M$4="CA",'2024'!$M$2=AN347),'2024DATA'!$K$25,"")</f>
        <v/>
      </c>
      <c r="AO370" s="518" t="str">
        <f>IF(AND(_B="A-321N",'2024'!$M$4="CA",'2024'!$M$2=AO347),'2024DATA'!$L$25,"")</f>
        <v/>
      </c>
      <c r="AP370" s="518" t="str">
        <f>IF(AND(_B="A-321N",'2024'!$M$4="CA",'2024'!$M$2=AP347),'2024DATA'!$M$25,"")</f>
        <v/>
      </c>
      <c r="AQ370" s="520" t="str">
        <f>IF(AND(_B="A-321N",'2024'!$M$4="CA",'2024'!$M$2=AQ347),'2024DATA'!$N$25,"")</f>
        <v/>
      </c>
      <c r="AR370" s="940" t="s">
        <v>46</v>
      </c>
      <c r="AS370" s="13" t="s">
        <v>61</v>
      </c>
      <c r="AT370" s="518" t="str">
        <f>IF(AND(_C="A-321N",'2024'!$M$4="CA",'2024'!$M$2=AT347),'2024DATA'!$C$25,"")</f>
        <v/>
      </c>
      <c r="AU370" s="518" t="str">
        <f>IF(AND(_C="A-321N",'2024'!$M$4="CA",'2024'!$M$2=AU347),'2024DATA'!$D$25,"")</f>
        <v/>
      </c>
      <c r="AV370" s="518" t="str">
        <f>IF(AND(_C="A-321N",'2024'!$M$4="CA",'2024'!$M$2=AV347),'2024DATA'!$E$25,"")</f>
        <v/>
      </c>
      <c r="AW370" s="518" t="str">
        <f>IF(AND(_C="A-321N",'2024'!$M$4="CA",'2024'!$M$2=AW347),'2024DATA'!$F$25,"")</f>
        <v/>
      </c>
      <c r="AX370" s="518" t="str">
        <f>IF(AND(_C="A-321N",'2024'!$M$4="CA",'2024'!$M$2=AX347),'2024DATA'!$G$25,"")</f>
        <v/>
      </c>
      <c r="AY370" s="518" t="str">
        <f>IF(AND(_C="A-321N",'2024'!$M$4="CA",'2024'!$M$2=AY347),'2024DATA'!$H$25,"")</f>
        <v/>
      </c>
      <c r="AZ370" s="518" t="str">
        <f>IF(AND(_C="A-321N",'2024'!$M$4="CA",'2024'!$M$2=AZ347),'2024DATA'!$I$25,"")</f>
        <v/>
      </c>
      <c r="BA370" s="518" t="str">
        <f>IF(AND(_C="A-321N",'2024'!$M$4="CA",'2024'!$M$2=BA347),'2024DATA'!$J$25,"")</f>
        <v/>
      </c>
      <c r="BB370" s="518" t="str">
        <f>IF(AND(_C="A-321N",'2024'!$M$4="CA",'2024'!$M$2=BB347),'2024DATA'!$K$25,"")</f>
        <v/>
      </c>
      <c r="BC370" s="518" t="str">
        <f>IF(AND(_C="A-321N",'2024'!$M$4="CA",'2024'!$M$2=BC347),'2024DATA'!$L$25,"")</f>
        <v/>
      </c>
      <c r="BD370" s="518" t="str">
        <f>IF(AND(_C="A-321N",'2024'!$M$4="CA",'2024'!$M$2=BD347),'2024DATA'!$M$25,"")</f>
        <v/>
      </c>
      <c r="BE370" s="520" t="str">
        <f>IF(AND(_C="A-321N",'2024'!$M$4="CA",'2024'!$M$2=BE347),'2024DATA'!$N$25,"")</f>
        <v/>
      </c>
      <c r="BF370" s="940" t="s">
        <v>46</v>
      </c>
      <c r="BG370" s="13" t="s">
        <v>61</v>
      </c>
      <c r="BH370" s="518" t="str">
        <f>IF(AND(_D="A-321N",'2024'!$M$4="CA",'2024'!$M$2=BH347),'2024DATA'!$C$25,"")</f>
        <v/>
      </c>
      <c r="BI370" s="518" t="str">
        <f>IF(AND(_D="A-321N",'2024'!$M$4="CA",'2024'!$M$2=BI347),'2024DATA'!$D$25,"")</f>
        <v/>
      </c>
      <c r="BJ370" s="518" t="str">
        <f>IF(AND(_D="A-321N",'2024'!$M$4="CA",'2024'!$M$2=BJ347),'2024DATA'!$E$25,"")</f>
        <v/>
      </c>
      <c r="BK370" s="518" t="str">
        <f>IF(AND(_D="A-321N",'2024'!$M$4="CA",'2024'!$M$2=BK347),'2024DATA'!$F$25,"")</f>
        <v/>
      </c>
      <c r="BL370" s="518" t="str">
        <f>IF(AND(_D="A-321N",'2024'!$M$4="CA",'2024'!$M$2=BL347),'2024DATA'!$G$25,"")</f>
        <v/>
      </c>
      <c r="BM370" s="518" t="str">
        <f>IF(AND(_D="A-321N",'2024'!$M$4="CA",'2024'!$M$2=BM347),'2024DATA'!$H$25,"")</f>
        <v/>
      </c>
      <c r="BN370" s="518" t="str">
        <f>IF(AND(_D="A-321N",'2024'!$M$4="CA",'2024'!$M$2=BN347),'2024DATA'!$I$25,"")</f>
        <v/>
      </c>
      <c r="BO370" s="518" t="str">
        <f>IF(AND(_D="A-321N",'2024'!$M$4="CA",'2024'!$M$2=BO347),'2024DATA'!$J$25,"")</f>
        <v/>
      </c>
      <c r="BP370" s="518" t="str">
        <f>IF(AND(_D="A-321N",'2024'!$M$4="CA",'2024'!$M$2=BP347),'2024DATA'!$K$25,"")</f>
        <v/>
      </c>
      <c r="BQ370" s="518" t="str">
        <f>IF(AND(_D="A-321N",'2024'!$M$4="CA",'2024'!$M$2=BQ347),'2024DATA'!$L$25,"")</f>
        <v/>
      </c>
      <c r="BR370" s="518" t="str">
        <f>IF(AND(_D="A-321N",'2024'!$M$4="CA",'2024'!$M$2=BR347),'2024DATA'!$M$25,"")</f>
        <v/>
      </c>
      <c r="BS370" s="520" t="str">
        <f>IF(AND(_D="A-321N",'2024'!$M$4="CA",'2024'!$M$2=BS347),'2024DATA'!$N$25,"")</f>
        <v/>
      </c>
      <c r="BT370" s="940" t="s">
        <v>46</v>
      </c>
      <c r="BU370" s="13" t="s">
        <v>61</v>
      </c>
      <c r="BV370" s="518" t="str">
        <f>IF(AND(_E="A-321N",'2024'!$M$4="CA",'2024'!$M$2=BV347),'2024DATA'!$C$25,"")</f>
        <v/>
      </c>
      <c r="BW370" s="518" t="str">
        <f>IF(AND(_E="A-321N",'2024'!$M$4="CA",'2024'!$M$2=BW347),'2024DATA'!$D$25,"")</f>
        <v/>
      </c>
      <c r="BX370" s="518" t="str">
        <f>IF(AND(_E="A-321N",'2024'!$M$4="CA",'2024'!$M$2=BX347),'2024DATA'!$E$25,"")</f>
        <v/>
      </c>
      <c r="BY370" s="518" t="str">
        <f>IF(AND(_E="A-321N",'2024'!$M$4="CA",'2024'!$M$2=BY347),'2024DATA'!$F$25,"")</f>
        <v/>
      </c>
      <c r="BZ370" s="518" t="str">
        <f>IF(AND(_E="A-321N",'2024'!$M$4="CA",'2024'!$M$2=BZ347),'2024DATA'!$G$25,"")</f>
        <v/>
      </c>
      <c r="CA370" s="518" t="str">
        <f>IF(AND(_E="A-321N",'2024'!$M$4="CA",'2024'!$M$2=CA347),'2024DATA'!$H$25,"")</f>
        <v/>
      </c>
      <c r="CB370" s="518" t="str">
        <f>IF(AND(_E="A-321N",'2024'!$M$4="CA",'2024'!$M$2=CB347),'2024DATA'!$I$25,"")</f>
        <v/>
      </c>
      <c r="CC370" s="518" t="str">
        <f>IF(AND(_E="A-321N",'2024'!$M$4="CA",'2024'!$M$2=CC347),'2024DATA'!$J$25,"")</f>
        <v/>
      </c>
      <c r="CD370" s="518" t="str">
        <f>IF(AND(_E="A-321N",'2024'!$M$4="CA",'2024'!$M$2=CD347),'2024DATA'!$K$25,"")</f>
        <v/>
      </c>
      <c r="CE370" s="518" t="str">
        <f>IF(AND(_E="A-321N",'2024'!$M$4="CA",'2024'!$M$2=CE347),'2024DATA'!$L$25,"")</f>
        <v/>
      </c>
      <c r="CF370" s="518" t="str">
        <f>IF(AND(_E="A-321N",'2024'!$M$4="CA",'2024'!$M$2=CF347),'2024DATA'!$M$25,"")</f>
        <v/>
      </c>
      <c r="CG370" s="520" t="str">
        <f>IF(AND(_E="A-321N",'2024'!$M$4="CA",'2024'!$M$2=CG347),'2024DATA'!$N$25,"")</f>
        <v/>
      </c>
      <c r="CH370" s="940" t="s">
        <v>46</v>
      </c>
      <c r="CI370" s="13" t="s">
        <v>61</v>
      </c>
      <c r="CJ370" s="518" t="str">
        <f>IF(AND(_F="A-321N",'2024'!$M$4="CA",'2024'!$M$2=CJ347),'2024DATA'!$C$25,"")</f>
        <v/>
      </c>
      <c r="CK370" s="518" t="str">
        <f>IF(AND(_F="A-321N",'2024'!$M$4="CA",'2024'!$M$2=CK347),'2024DATA'!$D$25,"")</f>
        <v/>
      </c>
      <c r="CL370" s="518" t="str">
        <f>IF(AND(_F="A-321N",'2024'!$M$4="CA",'2024'!$M$2=CL347),'2024DATA'!$E$25,"")</f>
        <v/>
      </c>
      <c r="CM370" s="518" t="str">
        <f>IF(AND(_F="A-321N",'2024'!$M$4="CA",'2024'!$M$2=CM347),'2024DATA'!$F$25,"")</f>
        <v/>
      </c>
      <c r="CN370" s="518" t="str">
        <f>IF(AND(_F="A-321N",'2024'!$M$4="CA",'2024'!$M$2=CN347),'2024DATA'!$G$25,"")</f>
        <v/>
      </c>
      <c r="CO370" s="518" t="str">
        <f>IF(AND(_F="A-321N",'2024'!$M$4="CA",'2024'!$M$2=CO347),'2024DATA'!$H$25,"")</f>
        <v/>
      </c>
      <c r="CP370" s="518" t="str">
        <f>IF(AND(_F="A-321N",'2024'!$M$4="CA",'2024'!$M$2=CP347),'2024DATA'!$I$25,"")</f>
        <v/>
      </c>
      <c r="CQ370" s="518" t="str">
        <f>IF(AND(_F="A-321N",'2024'!$M$4="CA",'2024'!$M$2=CQ347),'2024DATA'!$J$25,"")</f>
        <v/>
      </c>
      <c r="CR370" s="518" t="str">
        <f>IF(AND(_F="A-321N",'2024'!$M$4="CA",'2024'!$M$2=CR347),'2024DATA'!$K$25,"")</f>
        <v/>
      </c>
      <c r="CS370" s="518" t="str">
        <f>IF(AND(_F="A-321N",'2024'!$M$4="CA",'2024'!$M$2=CS347),'2024DATA'!$L$25,"")</f>
        <v/>
      </c>
      <c r="CT370" s="518" t="str">
        <f>IF(AND(_F="A-321N",'2024'!$M$4="CA",'2024'!$M$2=CT347),'2024DATA'!$M$25,"")</f>
        <v/>
      </c>
      <c r="CU370" s="520" t="str">
        <f>IF(AND(_F="A-321N",'2024'!$M$4="CA",'2024'!$M$2=CU347),'2024DATA'!$N$25,"")</f>
        <v/>
      </c>
    </row>
    <row r="371" spans="16:99" x14ac:dyDescent="0.25">
      <c r="P371" s="940"/>
      <c r="Q371" s="13" t="s">
        <v>62</v>
      </c>
      <c r="R371" s="518" t="str">
        <f>IF(AND(_A="A-321N",'2024'!$M$4="FO",'2024'!$M$2=R347),'2024DATA'!$C$26,"")</f>
        <v/>
      </c>
      <c r="S371" s="518" t="str">
        <f>IF(AND(_A="A-321N",'2024'!$M$4="FO",'2024'!$M$2=S347),'2024DATA'!$D$26,"")</f>
        <v/>
      </c>
      <c r="T371" s="518" t="str">
        <f>IF(AND(_A="A-321N",'2024'!$M$4="FO",'2024'!$M$2=T347),'2024DATA'!$E$26,"")</f>
        <v/>
      </c>
      <c r="U371" s="518" t="str">
        <f>IF(AND(_A="A-321N",'2024'!$M$4="FO",'2024'!$M$2=U347),'2024DATA'!$F$26,"")</f>
        <v/>
      </c>
      <c r="V371" s="518" t="str">
        <f>IF(AND(_A="A-321N",'2024'!$M$4="FO",'2024'!$M$2=V347),'2024DATA'!$G$26,"")</f>
        <v/>
      </c>
      <c r="W371" s="518" t="str">
        <f>IF(AND(_A="A-321N",'2024'!$M$4="FO",'2024'!$M$2=W347),'2024DATA'!$H$26,"")</f>
        <v/>
      </c>
      <c r="X371" s="518" t="str">
        <f>IF(AND(_A="A-321N",'2024'!$M$4="FO",'2024'!$M$2=X347),'2024DATA'!$I$26,"")</f>
        <v/>
      </c>
      <c r="Y371" s="518" t="str">
        <f>IF(AND(_A="A-321N",'2024'!$M$4="FO",'2024'!$M$2=Y347),'2024DATA'!$J$26,"")</f>
        <v/>
      </c>
      <c r="Z371" s="518" t="str">
        <f>IF(AND(_A="A-321N",'2024'!$M$4="FO",'2024'!$M$2=Z347),'2024DATA'!$K$26,"")</f>
        <v/>
      </c>
      <c r="AA371" s="518" t="str">
        <f>IF(AND(_A="A-321N",'2024'!$M$4="FO",'2024'!$M$2=AA347),'2024DATA'!$L$26,"")</f>
        <v/>
      </c>
      <c r="AB371" s="518" t="str">
        <f>IF(AND(_A="A-321N",'2024'!$M$4="FO",'2024'!$M$2=AB347),'2024DATA'!$M$26,"")</f>
        <v/>
      </c>
      <c r="AC371" s="520" t="str">
        <f>IF(AND(_A="A-321N",'2024'!$M$4="FO",'2024'!$M$2=AC347),'2024DATA'!$N$26,"")</f>
        <v/>
      </c>
      <c r="AD371" s="940"/>
      <c r="AE371" s="13" t="s">
        <v>62</v>
      </c>
      <c r="AF371" s="518" t="str">
        <f>IF(AND(_B="A-321N",'2024'!$M$4="FO",'2024'!$M$2=AF347),'2024DATA'!$C$26,"")</f>
        <v/>
      </c>
      <c r="AG371" s="518" t="str">
        <f>IF(AND(_B="A-321N",'2024'!$M$4="FO",'2024'!$M$2=AG347),'2024DATA'!$D$26,"")</f>
        <v/>
      </c>
      <c r="AH371" s="518" t="str">
        <f>IF(AND(_B="A-321N",'2024'!$M$4="FO",'2024'!$M$2=AH347),'2024DATA'!$E$26,"")</f>
        <v/>
      </c>
      <c r="AI371" s="518" t="str">
        <f>IF(AND(_B="A-321N",'2024'!$M$4="FO",'2024'!$M$2=AI347),'2024DATA'!$F$26,"")</f>
        <v/>
      </c>
      <c r="AJ371" s="518" t="str">
        <f>IF(AND(_B="A-321N",'2024'!$M$4="FO",'2024'!$M$2=AJ347),'2024DATA'!$G$26,"")</f>
        <v/>
      </c>
      <c r="AK371" s="518" t="str">
        <f>IF(AND(_B="A-321N",'2024'!$M$4="FO",'2024'!$M$2=AK347),'2024DATA'!$H$26,"")</f>
        <v/>
      </c>
      <c r="AL371" s="518" t="str">
        <f>IF(AND(_B="A-321N",'2024'!$M$4="FO",'2024'!$M$2=AL347),'2024DATA'!$I$26,"")</f>
        <v/>
      </c>
      <c r="AM371" s="518" t="str">
        <f>IF(AND(_B="A-321N",'2024'!$M$4="FO",'2024'!$M$2=AM347),'2024DATA'!$J$26,"")</f>
        <v/>
      </c>
      <c r="AN371" s="518" t="str">
        <f>IF(AND(_B="A-321N",'2024'!$M$4="FO",'2024'!$M$2=AN347),'2024DATA'!$K$26,"")</f>
        <v/>
      </c>
      <c r="AO371" s="518" t="str">
        <f>IF(AND(_B="A-321N",'2024'!$M$4="FO",'2024'!$M$2=AO347),'2024DATA'!$L$26,"")</f>
        <v/>
      </c>
      <c r="AP371" s="518" t="str">
        <f>IF(AND(_B="A-321N",'2024'!$M$4="FO",'2024'!$M$2=AP347),'2024DATA'!$M$26,"")</f>
        <v/>
      </c>
      <c r="AQ371" s="520" t="str">
        <f>IF(AND(_B="A-321N",'2024'!$M$4="FO",'2024'!$M$2=AQ347),'2024DATA'!$N$26,"")</f>
        <v/>
      </c>
      <c r="AR371" s="940"/>
      <c r="AS371" s="13" t="s">
        <v>62</v>
      </c>
      <c r="AT371" s="518" t="str">
        <f>IF(AND(_C="A-321N",'2024'!$M$4="FO",'2024'!$M$2=AT347),'2024DATA'!$C$26,"")</f>
        <v/>
      </c>
      <c r="AU371" s="518" t="str">
        <f>IF(AND(_C="A-321N",'2024'!$M$4="FO",'2024'!$M$2=AU347),'2024DATA'!$D$26,"")</f>
        <v/>
      </c>
      <c r="AV371" s="518" t="str">
        <f>IF(AND(_C="A-321N",'2024'!$M$4="FO",'2024'!$M$2=AV347),'2024DATA'!$E$26,"")</f>
        <v/>
      </c>
      <c r="AW371" s="518" t="str">
        <f>IF(AND(_C="A-321N",'2024'!$M$4="FO",'2024'!$M$2=AW347),'2024DATA'!$F$26,"")</f>
        <v/>
      </c>
      <c r="AX371" s="518" t="str">
        <f>IF(AND(_C="A-321N",'2024'!$M$4="FO",'2024'!$M$2=AX347),'2024DATA'!$G$26,"")</f>
        <v/>
      </c>
      <c r="AY371" s="518" t="str">
        <f>IF(AND(_C="A-321N",'2024'!$M$4="FO",'2024'!$M$2=AY347),'2024DATA'!$H$26,"")</f>
        <v/>
      </c>
      <c r="AZ371" s="518" t="str">
        <f>IF(AND(_C="A-321N",'2024'!$M$4="FO",'2024'!$M$2=AZ347),'2024DATA'!$I$26,"")</f>
        <v/>
      </c>
      <c r="BA371" s="518" t="str">
        <f>IF(AND(_C="A-321N",'2024'!$M$4="FO",'2024'!$M$2=BA347),'2024DATA'!$J$26,"")</f>
        <v/>
      </c>
      <c r="BB371" s="518" t="str">
        <f>IF(AND(_C="A-321N",'2024'!$M$4="FO",'2024'!$M$2=BB347),'2024DATA'!$K$26,"")</f>
        <v/>
      </c>
      <c r="BC371" s="518" t="str">
        <f>IF(AND(_C="A-321N",'2024'!$M$4="FO",'2024'!$M$2=BC347),'2024DATA'!$L$26,"")</f>
        <v/>
      </c>
      <c r="BD371" s="518" t="str">
        <f>IF(AND(_C="A-321N",'2024'!$M$4="FO",'2024'!$M$2=BD347),'2024DATA'!$M$26,"")</f>
        <v/>
      </c>
      <c r="BE371" s="520" t="str">
        <f>IF(AND(_C="A-321N",'2024'!$M$4="FO",'2024'!$M$2=BE347),'2024DATA'!$N$26,"")</f>
        <v/>
      </c>
      <c r="BF371" s="940"/>
      <c r="BG371" s="13" t="s">
        <v>62</v>
      </c>
      <c r="BH371" s="518" t="str">
        <f>IF(AND(_D="A-321N",'2024'!$M$4="FO",'2024'!$M$2=BH347),'2024DATA'!$C$26,"")</f>
        <v/>
      </c>
      <c r="BI371" s="518" t="str">
        <f>IF(AND(_D="A-321N",'2024'!$M$4="FO",'2024'!$M$2=BI347),'2024DATA'!$D$26,"")</f>
        <v/>
      </c>
      <c r="BJ371" s="518" t="str">
        <f>IF(AND(_D="A-321N",'2024'!$M$4="FO",'2024'!$M$2=BJ347),'2024DATA'!$E$26,"")</f>
        <v/>
      </c>
      <c r="BK371" s="518" t="str">
        <f>IF(AND(_D="A-321N",'2024'!$M$4="FO",'2024'!$M$2=BK347),'2024DATA'!$F$26,"")</f>
        <v/>
      </c>
      <c r="BL371" s="518" t="str">
        <f>IF(AND(_D="A-321N",'2024'!$M$4="FO",'2024'!$M$2=BL347),'2024DATA'!$G$26,"")</f>
        <v/>
      </c>
      <c r="BM371" s="518" t="str">
        <f>IF(AND(_D="A-321N",'2024'!$M$4="FO",'2024'!$M$2=BM347),'2024DATA'!$H$26,"")</f>
        <v/>
      </c>
      <c r="BN371" s="518" t="str">
        <f>IF(AND(_D="A-321N",'2024'!$M$4="FO",'2024'!$M$2=BN347),'2024DATA'!$I$26,"")</f>
        <v/>
      </c>
      <c r="BO371" s="518" t="str">
        <f>IF(AND(_D="A-321N",'2024'!$M$4="FO",'2024'!$M$2=BO347),'2024DATA'!$J$26,"")</f>
        <v/>
      </c>
      <c r="BP371" s="518" t="str">
        <f>IF(AND(_D="A-321N",'2024'!$M$4="FO",'2024'!$M$2=BP347),'2024DATA'!$K$26,"")</f>
        <v/>
      </c>
      <c r="BQ371" s="518" t="str">
        <f>IF(AND(_D="A-321N",'2024'!$M$4="FO",'2024'!$M$2=BQ347),'2024DATA'!$L$26,"")</f>
        <v/>
      </c>
      <c r="BR371" s="518" t="str">
        <f>IF(AND(_D="A-321N",'2024'!$M$4="FO",'2024'!$M$2=BR347),'2024DATA'!$M$26,"")</f>
        <v/>
      </c>
      <c r="BS371" s="520" t="str">
        <f>IF(AND(_D="A-321N",'2024'!$M$4="FO",'2024'!$M$2=BS347),'2024DATA'!$N$26,"")</f>
        <v/>
      </c>
      <c r="BT371" s="940"/>
      <c r="BU371" s="13" t="s">
        <v>62</v>
      </c>
      <c r="BV371" s="518" t="str">
        <f>IF(AND(_E="A-321N",'2024'!$M$4="FO",'2024'!$M$2=BV347),'2024DATA'!$C$26,"")</f>
        <v/>
      </c>
      <c r="BW371" s="518" t="str">
        <f>IF(AND(_E="A-321N",'2024'!$M$4="FO",'2024'!$M$2=BW347),'2024DATA'!$D$26,"")</f>
        <v/>
      </c>
      <c r="BX371" s="518" t="str">
        <f>IF(AND(_E="A-321N",'2024'!$M$4="FO",'2024'!$M$2=BX347),'2024DATA'!$E$26,"")</f>
        <v/>
      </c>
      <c r="BY371" s="518" t="str">
        <f>IF(AND(_E="A-321N",'2024'!$M$4="FO",'2024'!$M$2=BY347),'2024DATA'!$F$26,"")</f>
        <v/>
      </c>
      <c r="BZ371" s="518" t="str">
        <f>IF(AND(_E="A-321N",'2024'!$M$4="FO",'2024'!$M$2=BZ347),'2024DATA'!$G$26,"")</f>
        <v/>
      </c>
      <c r="CA371" s="518" t="str">
        <f>IF(AND(_E="A-321N",'2024'!$M$4="FO",'2024'!$M$2=CA347),'2024DATA'!$H$26,"")</f>
        <v/>
      </c>
      <c r="CB371" s="518" t="str">
        <f>IF(AND(_E="A-321N",'2024'!$M$4="FO",'2024'!$M$2=CB347),'2024DATA'!$I$26,"")</f>
        <v/>
      </c>
      <c r="CC371" s="518" t="str">
        <f>IF(AND(_E="A-321N",'2024'!$M$4="FO",'2024'!$M$2=CC347),'2024DATA'!$J$26,"")</f>
        <v/>
      </c>
      <c r="CD371" s="518" t="str">
        <f>IF(AND(_E="A-321N",'2024'!$M$4="FO",'2024'!$M$2=CD347),'2024DATA'!$K$26,"")</f>
        <v/>
      </c>
      <c r="CE371" s="518" t="str">
        <f>IF(AND(_E="A-321N",'2024'!$M$4="FO",'2024'!$M$2=CE347),'2024DATA'!$L$26,"")</f>
        <v/>
      </c>
      <c r="CF371" s="518" t="str">
        <f>IF(AND(_E="A-321N",'2024'!$M$4="FO",'2024'!$M$2=CF347),'2024DATA'!$M$26,"")</f>
        <v/>
      </c>
      <c r="CG371" s="520" t="str">
        <f>IF(AND(_E="A-321N",'2024'!$M$4="FO",'2024'!$M$2=CG347),'2024DATA'!$N$26,"")</f>
        <v/>
      </c>
      <c r="CH371" s="940"/>
      <c r="CI371" s="13" t="s">
        <v>62</v>
      </c>
      <c r="CJ371" s="518" t="str">
        <f>IF(AND(_F="A-321N",'2024'!$M$4="FO",'2024'!$M$2=CJ347),'2024DATA'!$C$26,"")</f>
        <v/>
      </c>
      <c r="CK371" s="518" t="str">
        <f>IF(AND(_F="A-321N",'2024'!$M$4="FO",'2024'!$M$2=CK347),'2024DATA'!$D$26,"")</f>
        <v/>
      </c>
      <c r="CL371" s="518" t="str">
        <f>IF(AND(_F="A-321N",'2024'!$M$4="FO",'2024'!$M$2=CL347),'2024DATA'!$E$26,"")</f>
        <v/>
      </c>
      <c r="CM371" s="518" t="str">
        <f>IF(AND(_F="A-321N",'2024'!$M$4="FO",'2024'!$M$2=CM347),'2024DATA'!$F$26,"")</f>
        <v/>
      </c>
      <c r="CN371" s="518" t="str">
        <f>IF(AND(_F="A-321N",'2024'!$M$4="FO",'2024'!$M$2=CN347),'2024DATA'!$G$26,"")</f>
        <v/>
      </c>
      <c r="CO371" s="518" t="str">
        <f>IF(AND(_F="A-321N",'2024'!$M$4="FO",'2024'!$M$2=CO347),'2024DATA'!$H$26,"")</f>
        <v/>
      </c>
      <c r="CP371" s="518" t="str">
        <f>IF(AND(_F="A-321N",'2024'!$M$4="FO",'2024'!$M$2=CP347),'2024DATA'!$I$26,"")</f>
        <v/>
      </c>
      <c r="CQ371" s="518" t="str">
        <f>IF(AND(_F="A-321N",'2024'!$M$4="FO",'2024'!$M$2=CQ347),'2024DATA'!$J$26,"")</f>
        <v/>
      </c>
      <c r="CR371" s="518" t="str">
        <f>IF(AND(_F="A-321N",'2024'!$M$4="FO",'2024'!$M$2=CR347),'2024DATA'!$K$26,"")</f>
        <v/>
      </c>
      <c r="CS371" s="518" t="str">
        <f>IF(AND(_F="A-321N",'2024'!$M$4="FO",'2024'!$M$2=CS347),'2024DATA'!$L$26,"")</f>
        <v/>
      </c>
      <c r="CT371" s="518" t="str">
        <f>IF(AND(_F="A-321N",'2024'!$M$4="FO",'2024'!$M$2=CT347),'2024DATA'!$M$26,"")</f>
        <v/>
      </c>
      <c r="CU371" s="520" t="str">
        <f>IF(AND(_F="A-321N",'2024'!$M$4="FO",'2024'!$M$2=CU347),'2024DATA'!$N$26,"")</f>
        <v/>
      </c>
    </row>
    <row r="372" spans="16:99" x14ac:dyDescent="0.25">
      <c r="P372" s="940" t="s">
        <v>48</v>
      </c>
      <c r="Q372" s="13" t="s">
        <v>61</v>
      </c>
      <c r="R372" s="518" t="str">
        <f>IF(AND(_A="A-321",'2024'!$M$4="CA",'2024'!$M$2=R347),'2024DATA'!$C$27,"")</f>
        <v/>
      </c>
      <c r="S372" s="518" t="str">
        <f>IF(AND(_A="A-321",'2024'!$M$4="CA",'2024'!$M$2=S347),'2024DATA'!$D$27,"")</f>
        <v/>
      </c>
      <c r="T372" s="518" t="str">
        <f>IF(AND(_A="A-321",'2024'!$M$4="CA",'2024'!$M$2=T347),'2024DATA'!$E$27,"")</f>
        <v/>
      </c>
      <c r="U372" s="518" t="str">
        <f>IF(AND(_A="A-321",'2024'!$M$4="CA",'2024'!$M$2=U347),'2024DATA'!$F$27,"")</f>
        <v/>
      </c>
      <c r="V372" s="518" t="str">
        <f>IF(AND(_A="A-321",'2024'!$M$4="CA",'2024'!$M$2=V347),'2024DATA'!$G$27,"")</f>
        <v/>
      </c>
      <c r="W372" s="518" t="str">
        <f>IF(AND(_A="A-321",'2024'!$M$4="CA",'2024'!$M$2=W347),'2024DATA'!$H$27,"")</f>
        <v/>
      </c>
      <c r="X372" s="518" t="str">
        <f>IF(AND(_A="A-321",'2024'!$M$4="CA",'2024'!$M$2=X347),'2024DATA'!$I$27,"")</f>
        <v/>
      </c>
      <c r="Y372" s="518" t="str">
        <f>IF(AND(_A="A-321",'2024'!$M$4="CA",'2024'!$M$2=Y347),'2024DATA'!$J$27,"")</f>
        <v/>
      </c>
      <c r="Z372" s="518" t="str">
        <f>IF(AND(_A="A-321",'2024'!$M$4="CA",'2024'!$M$2=Z347),'2024DATA'!$K$27,"")</f>
        <v/>
      </c>
      <c r="AA372" s="518" t="str">
        <f>IF(AND(_A="A-321",'2024'!$M$4="CA",'2024'!$M$2=AA347),'2024DATA'!$L$27,"")</f>
        <v/>
      </c>
      <c r="AB372" s="518" t="str">
        <f>IF(AND(_A="A-321",'2024'!$M$4="CA",'2024'!$M$2=AB347),'2024DATA'!$M$27,"")</f>
        <v/>
      </c>
      <c r="AC372" s="520" t="str">
        <f>IF(AND(_A="A-321",'2024'!$M$4="CA",'2024'!$M$2=AC347),'2024DATA'!$N$27,"")</f>
        <v/>
      </c>
      <c r="AD372" s="940" t="s">
        <v>48</v>
      </c>
      <c r="AE372" s="13" t="s">
        <v>61</v>
      </c>
      <c r="AF372" s="518" t="str">
        <f>IF(AND(_B="A-321",'2024'!$M$4="CA",'2024'!$M$2=AF347),'2024DATA'!$C$27,"")</f>
        <v/>
      </c>
      <c r="AG372" s="518" t="str">
        <f>IF(AND(_B="A-321",'2024'!$M$4="CA",'2024'!$M$2=AG347),'2024DATA'!$D$27,"")</f>
        <v/>
      </c>
      <c r="AH372" s="518" t="str">
        <f>IF(AND(_B="A-321",'2024'!$M$4="CA",'2024'!$M$2=AH347),'2024DATA'!$E$27,"")</f>
        <v/>
      </c>
      <c r="AI372" s="518" t="str">
        <f>IF(AND(_B="A-321",'2024'!$M$4="CA",'2024'!$M$2=AI347),'2024DATA'!$F$27,"")</f>
        <v/>
      </c>
      <c r="AJ372" s="518" t="str">
        <f>IF(AND(_B="A-321",'2024'!$M$4="CA",'2024'!$M$2=AJ347),'2024DATA'!$G$27,"")</f>
        <v/>
      </c>
      <c r="AK372" s="518" t="str">
        <f>IF(AND(_B="A-321",'2024'!$M$4="CA",'2024'!$M$2=AK347),'2024DATA'!$H$27,"")</f>
        <v/>
      </c>
      <c r="AL372" s="518" t="str">
        <f>IF(AND(_B="A-321",'2024'!$M$4="CA",'2024'!$M$2=AL347),'2024DATA'!$I$27,"")</f>
        <v/>
      </c>
      <c r="AM372" s="518" t="str">
        <f>IF(AND(_B="A-321",'2024'!$M$4="CA",'2024'!$M$2=AM347),'2024DATA'!$J$27,"")</f>
        <v/>
      </c>
      <c r="AN372" s="518" t="str">
        <f>IF(AND(_B="A-321",'2024'!$M$4="CA",'2024'!$M$2=AN347),'2024DATA'!$K$27,"")</f>
        <v/>
      </c>
      <c r="AO372" s="518" t="str">
        <f>IF(AND(_B="A-321",'2024'!$M$4="CA",'2024'!$M$2=AO347),'2024DATA'!$L$27,"")</f>
        <v/>
      </c>
      <c r="AP372" s="518" t="str">
        <f>IF(AND(_B="A-321",'2024'!$M$4="CA",'2024'!$M$2=AP347),'2024DATA'!$M$27,"")</f>
        <v/>
      </c>
      <c r="AQ372" s="520" t="str">
        <f>IF(AND(_B="A-321",'2024'!$M$4="CA",'2024'!$M$2=AQ347),'2024DATA'!$N$27,"")</f>
        <v/>
      </c>
      <c r="AR372" s="940" t="s">
        <v>48</v>
      </c>
      <c r="AS372" s="13" t="s">
        <v>61</v>
      </c>
      <c r="AT372" s="518" t="str">
        <f>IF(AND(_C="A-321",'2024'!$M$4="CA",'2024'!$M$2=AT347),'2024DATA'!$C$27,"")</f>
        <v/>
      </c>
      <c r="AU372" s="518" t="str">
        <f>IF(AND(_C="A-321",'2024'!$M$4="CA",'2024'!$M$2=AU347),'2024DATA'!$D$27,"")</f>
        <v/>
      </c>
      <c r="AV372" s="518" t="str">
        <f>IF(AND(_C="A-321",'2024'!$M$4="CA",'2024'!$M$2=AV347),'2024DATA'!$E$27,"")</f>
        <v/>
      </c>
      <c r="AW372" s="518" t="str">
        <f>IF(AND(_C="A-321",'2024'!$M$4="CA",'2024'!$M$2=AW347),'2024DATA'!$F$27,"")</f>
        <v/>
      </c>
      <c r="AX372" s="518" t="str">
        <f>IF(AND(_C="A-321",'2024'!$M$4="CA",'2024'!$M$2=AX347),'2024DATA'!$G$27,"")</f>
        <v/>
      </c>
      <c r="AY372" s="518" t="str">
        <f>IF(AND(_C="A-321",'2024'!$M$4="CA",'2024'!$M$2=AY347),'2024DATA'!$H$27,"")</f>
        <v/>
      </c>
      <c r="AZ372" s="518" t="str">
        <f>IF(AND(_C="A-321",'2024'!$M$4="CA",'2024'!$M$2=AZ347),'2024DATA'!$I$27,"")</f>
        <v/>
      </c>
      <c r="BA372" s="518" t="str">
        <f>IF(AND(_C="A-321",'2024'!$M$4="CA",'2024'!$M$2=BA347),'2024DATA'!$J$27,"")</f>
        <v/>
      </c>
      <c r="BB372" s="518" t="str">
        <f>IF(AND(_C="A-321",'2024'!$M$4="CA",'2024'!$M$2=BB347),'2024DATA'!$K$27,"")</f>
        <v/>
      </c>
      <c r="BC372" s="518" t="str">
        <f>IF(AND(_C="A-321",'2024'!$M$4="CA",'2024'!$M$2=BC347),'2024DATA'!$L$27,"")</f>
        <v/>
      </c>
      <c r="BD372" s="518" t="str">
        <f>IF(AND(_C="A-321",'2024'!$M$4="CA",'2024'!$M$2=BD347),'2024DATA'!$M$27,"")</f>
        <v/>
      </c>
      <c r="BE372" s="520" t="str">
        <f>IF(AND(_C="A-321",'2024'!$M$4="CA",'2024'!$M$2=BE347),'2024DATA'!$N$27,"")</f>
        <v/>
      </c>
      <c r="BF372" s="940" t="s">
        <v>48</v>
      </c>
      <c r="BG372" s="13" t="s">
        <v>61</v>
      </c>
      <c r="BH372" s="518" t="str">
        <f>IF(AND(_D="A-321",'2024'!$M$4="CA",'2024'!$M$2=BH347),'2024DATA'!$C$27,"")</f>
        <v/>
      </c>
      <c r="BI372" s="518" t="str">
        <f>IF(AND(_D="A-321",'2024'!$M$4="CA",'2024'!$M$2=BI347),'2024DATA'!$D$27,"")</f>
        <v/>
      </c>
      <c r="BJ372" s="518" t="str">
        <f>IF(AND(_D="A-321",'2024'!$M$4="CA",'2024'!$M$2=BJ347),'2024DATA'!$E$27,"")</f>
        <v/>
      </c>
      <c r="BK372" s="518" t="str">
        <f>IF(AND(_D="A-321",'2024'!$M$4="CA",'2024'!$M$2=BK347),'2024DATA'!$F$27,"")</f>
        <v/>
      </c>
      <c r="BL372" s="518" t="str">
        <f>IF(AND(_D="A-321",'2024'!$M$4="CA",'2024'!$M$2=BL347),'2024DATA'!$G$27,"")</f>
        <v/>
      </c>
      <c r="BM372" s="518" t="str">
        <f>IF(AND(_D="A-321",'2024'!$M$4="CA",'2024'!$M$2=BM347),'2024DATA'!$H$27,"")</f>
        <v/>
      </c>
      <c r="BN372" s="518" t="str">
        <f>IF(AND(_D="A-321",'2024'!$M$4="CA",'2024'!$M$2=BN347),'2024DATA'!$I$27,"")</f>
        <v/>
      </c>
      <c r="BO372" s="518" t="str">
        <f>IF(AND(_D="A-321",'2024'!$M$4="CA",'2024'!$M$2=BO347),'2024DATA'!$J$27,"")</f>
        <v/>
      </c>
      <c r="BP372" s="518" t="str">
        <f>IF(AND(_D="A-321",'2024'!$M$4="CA",'2024'!$M$2=BP347),'2024DATA'!$K$27,"")</f>
        <v/>
      </c>
      <c r="BQ372" s="518" t="str">
        <f>IF(AND(_D="A-321",'2024'!$M$4="CA",'2024'!$M$2=BQ347),'2024DATA'!$L$27,"")</f>
        <v/>
      </c>
      <c r="BR372" s="518" t="str">
        <f>IF(AND(_D="A-321",'2024'!$M$4="CA",'2024'!$M$2=BR347),'2024DATA'!$M$27,"")</f>
        <v/>
      </c>
      <c r="BS372" s="520" t="str">
        <f>IF(AND(_D="A-321",'2024'!$M$4="CA",'2024'!$M$2=BS347),'2024DATA'!$N$27,"")</f>
        <v/>
      </c>
      <c r="BT372" s="940" t="s">
        <v>48</v>
      </c>
      <c r="BU372" s="13" t="s">
        <v>61</v>
      </c>
      <c r="BV372" s="518" t="str">
        <f>IF(AND(_E="A-321",'2024'!$M$4="CA",'2024'!$M$2=BV347),'2024DATA'!$C$27,"")</f>
        <v/>
      </c>
      <c r="BW372" s="518" t="str">
        <f>IF(AND(_E="A-321",'2024'!$M$4="CA",'2024'!$M$2=BW347),'2024DATA'!$D$27,"")</f>
        <v/>
      </c>
      <c r="BX372" s="518" t="str">
        <f>IF(AND(_E="A-321",'2024'!$M$4="CA",'2024'!$M$2=BX347),'2024DATA'!$E$27,"")</f>
        <v/>
      </c>
      <c r="BY372" s="518" t="str">
        <f>IF(AND(_E="A-321",'2024'!$M$4="CA",'2024'!$M$2=BY347),'2024DATA'!$F$27,"")</f>
        <v/>
      </c>
      <c r="BZ372" s="518" t="str">
        <f>IF(AND(_E="A-321",'2024'!$M$4="CA",'2024'!$M$2=BZ347),'2024DATA'!$G$27,"")</f>
        <v/>
      </c>
      <c r="CA372" s="518" t="str">
        <f>IF(AND(_E="A-321",'2024'!$M$4="CA",'2024'!$M$2=CA347),'2024DATA'!$H$27,"")</f>
        <v/>
      </c>
      <c r="CB372" s="518" t="str">
        <f>IF(AND(_E="A-321",'2024'!$M$4="CA",'2024'!$M$2=CB347),'2024DATA'!$I$27,"")</f>
        <v/>
      </c>
      <c r="CC372" s="518" t="str">
        <f>IF(AND(_E="A-321",'2024'!$M$4="CA",'2024'!$M$2=CC347),'2024DATA'!$J$27,"")</f>
        <v/>
      </c>
      <c r="CD372" s="518" t="str">
        <f>IF(AND(_E="A-321",'2024'!$M$4="CA",'2024'!$M$2=CD347),'2024DATA'!$K$27,"")</f>
        <v/>
      </c>
      <c r="CE372" s="518" t="str">
        <f>IF(AND(_E="A-321",'2024'!$M$4="CA",'2024'!$M$2=CE347),'2024DATA'!$L$27,"")</f>
        <v/>
      </c>
      <c r="CF372" s="518" t="str">
        <f>IF(AND(_E="A-321",'2024'!$M$4="CA",'2024'!$M$2=CF347),'2024DATA'!$M$27,"")</f>
        <v/>
      </c>
      <c r="CG372" s="520" t="str">
        <f>IF(AND(_E="A-321",'2024'!$M$4="CA",'2024'!$M$2=CG347),'2024DATA'!$N$27,"")</f>
        <v/>
      </c>
      <c r="CH372" s="940" t="s">
        <v>48</v>
      </c>
      <c r="CI372" s="13" t="s">
        <v>61</v>
      </c>
      <c r="CJ372" s="518" t="str">
        <f>IF(AND(_F="A-321",'2024'!$M$4="CA",'2024'!$M$2=CJ347),'2024DATA'!$C$27,"")</f>
        <v/>
      </c>
      <c r="CK372" s="518" t="str">
        <f>IF(AND(_F="A-321",'2024'!$M$4="CA",'2024'!$M$2=CK347),'2024DATA'!$D$27,"")</f>
        <v/>
      </c>
      <c r="CL372" s="518" t="str">
        <f>IF(AND(_F="A-321",'2024'!$M$4="CA",'2024'!$M$2=CL347),'2024DATA'!$E$27,"")</f>
        <v/>
      </c>
      <c r="CM372" s="518" t="str">
        <f>IF(AND(_F="A-321",'2024'!$M$4="CA",'2024'!$M$2=CM347),'2024DATA'!$F$27,"")</f>
        <v/>
      </c>
      <c r="CN372" s="518" t="str">
        <f>IF(AND(_F="A-321",'2024'!$M$4="CA",'2024'!$M$2=CN347),'2024DATA'!$G$27,"")</f>
        <v/>
      </c>
      <c r="CO372" s="518" t="str">
        <f>IF(AND(_F="A-321",'2024'!$M$4="CA",'2024'!$M$2=CO347),'2024DATA'!$H$27,"")</f>
        <v/>
      </c>
      <c r="CP372" s="518" t="str">
        <f>IF(AND(_F="A-321",'2024'!$M$4="CA",'2024'!$M$2=CP347),'2024DATA'!$I$27,"")</f>
        <v/>
      </c>
      <c r="CQ372" s="518" t="str">
        <f>IF(AND(_F="A-321",'2024'!$M$4="CA",'2024'!$M$2=CQ347),'2024DATA'!$J$27,"")</f>
        <v/>
      </c>
      <c r="CR372" s="518" t="str">
        <f>IF(AND(_F="A-321",'2024'!$M$4="CA",'2024'!$M$2=CR347),'2024DATA'!$K$27,"")</f>
        <v/>
      </c>
      <c r="CS372" s="518" t="str">
        <f>IF(AND(_F="A-321",'2024'!$M$4="CA",'2024'!$M$2=CS347),'2024DATA'!$L$27,"")</f>
        <v/>
      </c>
      <c r="CT372" s="518" t="str">
        <f>IF(AND(_F="A-321",'2024'!$M$4="CA",'2024'!$M$2=CT347),'2024DATA'!$M$27,"")</f>
        <v/>
      </c>
      <c r="CU372" s="520" t="str">
        <f>IF(AND(_F="A-321",'2024'!$M$4="CA",'2024'!$M$2=CU347),'2024DATA'!$N$27,"")</f>
        <v/>
      </c>
    </row>
    <row r="373" spans="16:99" x14ac:dyDescent="0.25">
      <c r="P373" s="940"/>
      <c r="Q373" s="13" t="s">
        <v>62</v>
      </c>
      <c r="R373" s="518" t="str">
        <f>IF(AND(_A="A-321",'2024'!$M$4="FO",'2024'!$M$2=R347),'2024DATA'!$C$28,"")</f>
        <v/>
      </c>
      <c r="S373" s="518" t="str">
        <f>IF(AND(_A="A-321",'2024'!$M$4="FO",'2024'!$M$2=S347),'2024DATA'!$D$28,"")</f>
        <v/>
      </c>
      <c r="T373" s="518" t="str">
        <f>IF(AND(_A="A-321",'2024'!$M$4="FO",'2024'!$M$2=T347),'2024DATA'!$E$28,"")</f>
        <v/>
      </c>
      <c r="U373" s="518" t="str">
        <f>IF(AND(_A="A-321",'2024'!$M$4="FO",'2024'!$M$2=U347),'2024DATA'!$F$28,"")</f>
        <v/>
      </c>
      <c r="V373" s="518" t="str">
        <f>IF(AND(_A="A-321",'2024'!$M$4="FO",'2024'!$M$2=V347),'2024DATA'!$G$28,"")</f>
        <v/>
      </c>
      <c r="W373" s="518" t="str">
        <f>IF(AND(_A="A-321",'2024'!$M$4="FO",'2024'!$M$2=W347),'2024DATA'!$H$28,"")</f>
        <v/>
      </c>
      <c r="X373" s="518" t="str">
        <f>IF(AND(_A="A-321",'2024'!$M$4="FO",'2024'!$M$2=X347),'2024DATA'!$I$28,"")</f>
        <v/>
      </c>
      <c r="Y373" s="518" t="str">
        <f>IF(AND(_A="A-321",'2024'!$M$4="FO",'2024'!$M$2=Y347),'2024DATA'!$J$28,"")</f>
        <v/>
      </c>
      <c r="Z373" s="518" t="str">
        <f>IF(AND(_A="A-321",'2024'!$M$4="FO",'2024'!$M$2=Z347),'2024DATA'!$K$28,"")</f>
        <v/>
      </c>
      <c r="AA373" s="518" t="str">
        <f>IF(AND(_A="A-321",'2024'!$M$4="FO",'2024'!$M$2=AA347),'2024DATA'!$L$28,"")</f>
        <v/>
      </c>
      <c r="AB373" s="518" t="str">
        <f>IF(AND(_A="A-321",'2024'!$M$4="FO",'2024'!$M$2=AB347),'2024DATA'!$M$28,"")</f>
        <v/>
      </c>
      <c r="AC373" s="520" t="str">
        <f>IF(AND(_A="A-321",'2024'!$M$4="FO",'2024'!$M$2=AC347),'2024DATA'!$N$28,"")</f>
        <v/>
      </c>
      <c r="AD373" s="940"/>
      <c r="AE373" s="13" t="s">
        <v>62</v>
      </c>
      <c r="AF373" s="518" t="str">
        <f>IF(AND(_B="A-321",'2024'!$M$4="FO",'2024'!$M$2=AF347),'2024DATA'!$C$28,"")</f>
        <v/>
      </c>
      <c r="AG373" s="518" t="str">
        <f>IF(AND(_B="A-321",'2024'!$M$4="FO",'2024'!$M$2=AG347),'2024DATA'!$D$28,"")</f>
        <v/>
      </c>
      <c r="AH373" s="518" t="str">
        <f>IF(AND(_B="A-321",'2024'!$M$4="FO",'2024'!$M$2=AH347),'2024DATA'!$E$28,"")</f>
        <v/>
      </c>
      <c r="AI373" s="518" t="str">
        <f>IF(AND(_B="A-321",'2024'!$M$4="FO",'2024'!$M$2=AI347),'2024DATA'!$F$28,"")</f>
        <v/>
      </c>
      <c r="AJ373" s="518" t="str">
        <f>IF(AND(_B="A-321",'2024'!$M$4="FO",'2024'!$M$2=AJ347),'2024DATA'!$G$28,"")</f>
        <v/>
      </c>
      <c r="AK373" s="518" t="str">
        <f>IF(AND(_B="A-321",'2024'!$M$4="FO",'2024'!$M$2=AK347),'2024DATA'!$H$28,"")</f>
        <v/>
      </c>
      <c r="AL373" s="518" t="str">
        <f>IF(AND(_B="A-321",'2024'!$M$4="FO",'2024'!$M$2=AL347),'2024DATA'!$I$28,"")</f>
        <v/>
      </c>
      <c r="AM373" s="518" t="str">
        <f>IF(AND(_B="A-321",'2024'!$M$4="FO",'2024'!$M$2=AM347),'2024DATA'!$J$28,"")</f>
        <v/>
      </c>
      <c r="AN373" s="518" t="str">
        <f>IF(AND(_B="A-321",'2024'!$M$4="FO",'2024'!$M$2=AN347),'2024DATA'!$K$28,"")</f>
        <v/>
      </c>
      <c r="AO373" s="518" t="str">
        <f>IF(AND(_B="A-321",'2024'!$M$4="FO",'2024'!$M$2=AO347),'2024DATA'!$L$28,"")</f>
        <v/>
      </c>
      <c r="AP373" s="518" t="str">
        <f>IF(AND(_B="A-321",'2024'!$M$4="FO",'2024'!$M$2=AP347),'2024DATA'!$M$28,"")</f>
        <v/>
      </c>
      <c r="AQ373" s="520" t="str">
        <f>IF(AND(_B="A-321",'2024'!$M$4="FO",'2024'!$M$2=AQ347),'2024DATA'!$N$28,"")</f>
        <v/>
      </c>
      <c r="AR373" s="940"/>
      <c r="AS373" s="13" t="s">
        <v>62</v>
      </c>
      <c r="AT373" s="518" t="str">
        <f>IF(AND(_C="A-321",'2024'!$M$4="FO",'2024'!$M$2=AT347),'2024DATA'!$C$28,"")</f>
        <v/>
      </c>
      <c r="AU373" s="518" t="str">
        <f>IF(AND(_C="A-321",'2024'!$M$4="FO",'2024'!$M$2=AU347),'2024DATA'!$D$28,"")</f>
        <v/>
      </c>
      <c r="AV373" s="518" t="str">
        <f>IF(AND(_C="A-321",'2024'!$M$4="FO",'2024'!$M$2=AV347),'2024DATA'!$E$28,"")</f>
        <v/>
      </c>
      <c r="AW373" s="518" t="str">
        <f>IF(AND(_C="A-321",'2024'!$M$4="FO",'2024'!$M$2=AW347),'2024DATA'!$F$28,"")</f>
        <v/>
      </c>
      <c r="AX373" s="518" t="str">
        <f>IF(AND(_C="A-321",'2024'!$M$4="FO",'2024'!$M$2=AX347),'2024DATA'!$G$28,"")</f>
        <v/>
      </c>
      <c r="AY373" s="518" t="str">
        <f>IF(AND(_C="A-321",'2024'!$M$4="FO",'2024'!$M$2=AY347),'2024DATA'!$H$28,"")</f>
        <v/>
      </c>
      <c r="AZ373" s="518" t="str">
        <f>IF(AND(_C="A-321",'2024'!$M$4="FO",'2024'!$M$2=AZ347),'2024DATA'!$I$28,"")</f>
        <v/>
      </c>
      <c r="BA373" s="518" t="str">
        <f>IF(AND(_C="A-321",'2024'!$M$4="FO",'2024'!$M$2=BA347),'2024DATA'!$J$28,"")</f>
        <v/>
      </c>
      <c r="BB373" s="518" t="str">
        <f>IF(AND(_C="A-321",'2024'!$M$4="FO",'2024'!$M$2=BB347),'2024DATA'!$K$28,"")</f>
        <v/>
      </c>
      <c r="BC373" s="518" t="str">
        <f>IF(AND(_C="A-321",'2024'!$M$4="FO",'2024'!$M$2=BC347),'2024DATA'!$L$28,"")</f>
        <v/>
      </c>
      <c r="BD373" s="518" t="str">
        <f>IF(AND(_C="A-321",'2024'!$M$4="FO",'2024'!$M$2=BD347),'2024DATA'!$M$28,"")</f>
        <v/>
      </c>
      <c r="BE373" s="520" t="str">
        <f>IF(AND(_C="A-321",'2024'!$M$4="FO",'2024'!$M$2=BE347),'2024DATA'!$N$28,"")</f>
        <v/>
      </c>
      <c r="BF373" s="940"/>
      <c r="BG373" s="13" t="s">
        <v>62</v>
      </c>
      <c r="BH373" s="518" t="str">
        <f>IF(AND(_D="A-321",'2024'!$M$4="FO",'2024'!$M$2=BH347),'2024DATA'!$C$28,"")</f>
        <v/>
      </c>
      <c r="BI373" s="518" t="str">
        <f>IF(AND(_D="A-321",'2024'!$M$4="FO",'2024'!$M$2=BI347),'2024DATA'!$D$28,"")</f>
        <v/>
      </c>
      <c r="BJ373" s="518" t="str">
        <f>IF(AND(_D="A-321",'2024'!$M$4="FO",'2024'!$M$2=BJ347),'2024DATA'!$E$28,"")</f>
        <v/>
      </c>
      <c r="BK373" s="518" t="str">
        <f>IF(AND(_D="A-321",'2024'!$M$4="FO",'2024'!$M$2=BK347),'2024DATA'!$F$28,"")</f>
        <v/>
      </c>
      <c r="BL373" s="518" t="str">
        <f>IF(AND(_D="A-321",'2024'!$M$4="FO",'2024'!$M$2=BL347),'2024DATA'!$G$28,"")</f>
        <v/>
      </c>
      <c r="BM373" s="518" t="str">
        <f>IF(AND(_D="A-321",'2024'!$M$4="FO",'2024'!$M$2=BM347),'2024DATA'!$H$28,"")</f>
        <v/>
      </c>
      <c r="BN373" s="518" t="str">
        <f>IF(AND(_D="A-321",'2024'!$M$4="FO",'2024'!$M$2=BN347),'2024DATA'!$I$28,"")</f>
        <v/>
      </c>
      <c r="BO373" s="518" t="str">
        <f>IF(AND(_D="A-321",'2024'!$M$4="FO",'2024'!$M$2=BO347),'2024DATA'!$J$28,"")</f>
        <v/>
      </c>
      <c r="BP373" s="518" t="str">
        <f>IF(AND(_D="A-321",'2024'!$M$4="FO",'2024'!$M$2=BP347),'2024DATA'!$K$28,"")</f>
        <v/>
      </c>
      <c r="BQ373" s="518" t="str">
        <f>IF(AND(_D="A-321",'2024'!$M$4="FO",'2024'!$M$2=BQ347),'2024DATA'!$L$28,"")</f>
        <v/>
      </c>
      <c r="BR373" s="518" t="str">
        <f>IF(AND(_D="A-321",'2024'!$M$4="FO",'2024'!$M$2=BR347),'2024DATA'!$M$28,"")</f>
        <v/>
      </c>
      <c r="BS373" s="520" t="str">
        <f>IF(AND(_D="A-321",'2024'!$M$4="FO",'2024'!$M$2=BS347),'2024DATA'!$N$28,"")</f>
        <v/>
      </c>
      <c r="BT373" s="940"/>
      <c r="BU373" s="13" t="s">
        <v>62</v>
      </c>
      <c r="BV373" s="518" t="str">
        <f>IF(AND(_E="A-321",'2024'!$M$4="FO",'2024'!$M$2=BV347),'2024DATA'!$C$28,"")</f>
        <v/>
      </c>
      <c r="BW373" s="518" t="str">
        <f>IF(AND(_E="A-321",'2024'!$M$4="FO",'2024'!$M$2=BW347),'2024DATA'!$D$28,"")</f>
        <v/>
      </c>
      <c r="BX373" s="518" t="str">
        <f>IF(AND(_E="A-321",'2024'!$M$4="FO",'2024'!$M$2=BX347),'2024DATA'!$E$28,"")</f>
        <v/>
      </c>
      <c r="BY373" s="518" t="str">
        <f>IF(AND(_E="A-321",'2024'!$M$4="FO",'2024'!$M$2=BY347),'2024DATA'!$F$28,"")</f>
        <v/>
      </c>
      <c r="BZ373" s="518" t="str">
        <f>IF(AND(_E="A-321",'2024'!$M$4="FO",'2024'!$M$2=BZ347),'2024DATA'!$G$28,"")</f>
        <v/>
      </c>
      <c r="CA373" s="518" t="str">
        <f>IF(AND(_E="A-321",'2024'!$M$4="FO",'2024'!$M$2=CA347),'2024DATA'!$H$28,"")</f>
        <v/>
      </c>
      <c r="CB373" s="518" t="str">
        <f>IF(AND(_E="A-321",'2024'!$M$4="FO",'2024'!$M$2=CB347),'2024DATA'!$I$28,"")</f>
        <v/>
      </c>
      <c r="CC373" s="518" t="str">
        <f>IF(AND(_E="A-321",'2024'!$M$4="FO",'2024'!$M$2=CC347),'2024DATA'!$J$28,"")</f>
        <v/>
      </c>
      <c r="CD373" s="518" t="str">
        <f>IF(AND(_E="A-321",'2024'!$M$4="FO",'2024'!$M$2=CD347),'2024DATA'!$K$28,"")</f>
        <v/>
      </c>
      <c r="CE373" s="518" t="str">
        <f>IF(AND(_E="A-321",'2024'!$M$4="FO",'2024'!$M$2=CE347),'2024DATA'!$L$28,"")</f>
        <v/>
      </c>
      <c r="CF373" s="518" t="str">
        <f>IF(AND(_E="A-321",'2024'!$M$4="FO",'2024'!$M$2=CF347),'2024DATA'!$M$28,"")</f>
        <v/>
      </c>
      <c r="CG373" s="520" t="str">
        <f>IF(AND(_E="A-321",'2024'!$M$4="FO",'2024'!$M$2=CG347),'2024DATA'!$N$28,"")</f>
        <v/>
      </c>
      <c r="CH373" s="940"/>
      <c r="CI373" s="13" t="s">
        <v>62</v>
      </c>
      <c r="CJ373" s="518" t="str">
        <f>IF(AND(_F="A-321",'2024'!$M$4="FO",'2024'!$M$2=CJ347),'2024DATA'!$C$28,"")</f>
        <v/>
      </c>
      <c r="CK373" s="518" t="str">
        <f>IF(AND(_F="A-321",'2024'!$M$4="FO",'2024'!$M$2=CK347),'2024DATA'!$D$28,"")</f>
        <v/>
      </c>
      <c r="CL373" s="518" t="str">
        <f>IF(AND(_F="A-321",'2024'!$M$4="FO",'2024'!$M$2=CL347),'2024DATA'!$E$28,"")</f>
        <v/>
      </c>
      <c r="CM373" s="518" t="str">
        <f>IF(AND(_F="A-321",'2024'!$M$4="FO",'2024'!$M$2=CM347),'2024DATA'!$F$28,"")</f>
        <v/>
      </c>
      <c r="CN373" s="518" t="str">
        <f>IF(AND(_F="A-321",'2024'!$M$4="FO",'2024'!$M$2=CN347),'2024DATA'!$G$28,"")</f>
        <v/>
      </c>
      <c r="CO373" s="518" t="str">
        <f>IF(AND(_F="A-321",'2024'!$M$4="FO",'2024'!$M$2=CO347),'2024DATA'!$H$28,"")</f>
        <v/>
      </c>
      <c r="CP373" s="518" t="str">
        <f>IF(AND(_F="A-321",'2024'!$M$4="FO",'2024'!$M$2=CP347),'2024DATA'!$I$28,"")</f>
        <v/>
      </c>
      <c r="CQ373" s="518" t="str">
        <f>IF(AND(_F="A-321",'2024'!$M$4="FO",'2024'!$M$2=CQ347),'2024DATA'!$J$28,"")</f>
        <v/>
      </c>
      <c r="CR373" s="518" t="str">
        <f>IF(AND(_F="A-321",'2024'!$M$4="FO",'2024'!$M$2=CR347),'2024DATA'!$K$28,"")</f>
        <v/>
      </c>
      <c r="CS373" s="518" t="str">
        <f>IF(AND(_F="A-321",'2024'!$M$4="FO",'2024'!$M$2=CS347),'2024DATA'!$L$28,"")</f>
        <v/>
      </c>
      <c r="CT373" s="518" t="str">
        <f>IF(AND(_F="A-321",'2024'!$M$4="FO",'2024'!$M$2=CT347),'2024DATA'!$M$28,"")</f>
        <v/>
      </c>
      <c r="CU373" s="520" t="str">
        <f>IF(AND(_F="A-321",'2024'!$M$4="FO",'2024'!$M$2=CU347),'2024DATA'!$N$28,"")</f>
        <v/>
      </c>
    </row>
    <row r="374" spans="16:99" x14ac:dyDescent="0.25">
      <c r="P374" s="940" t="s">
        <v>70</v>
      </c>
      <c r="Q374" s="13" t="s">
        <v>61</v>
      </c>
      <c r="R374" s="518" t="str">
        <f>IF(AND(_A="A-320",'2024'!$M$4="CA",'2024'!$M$2=R347),'2024DATA'!$C$29,"")</f>
        <v/>
      </c>
      <c r="S374" s="518" t="str">
        <f>IF(AND(_A="A-320",'2024'!$M$4="CA",'2024'!$M$2=S347),'2024DATA'!$D$29,"")</f>
        <v/>
      </c>
      <c r="T374" s="518" t="str">
        <f>IF(AND(_A="A-320",'2024'!$M$4="CA",'2024'!$M$2=T347),'2024DATA'!$E$29,"")</f>
        <v/>
      </c>
      <c r="U374" s="518" t="str">
        <f>IF(AND(_A="A-320",'2024'!$M$4="CA",'2024'!$M$2=U347),'2024DATA'!$F$29,"")</f>
        <v/>
      </c>
      <c r="V374" s="518" t="str">
        <f>IF(AND(_A="A-320",'2024'!$M$4="CA",'2024'!$M$2=V347),'2024DATA'!$G$29,"")</f>
        <v/>
      </c>
      <c r="W374" s="518" t="str">
        <f>IF(AND(_A="A-320",'2024'!$M$4="CA",'2024'!$M$2=W347),'2024DATA'!$H$29,"")</f>
        <v/>
      </c>
      <c r="X374" s="518" t="str">
        <f>IF(AND(_A="A-320",'2024'!$M$4="CA",'2024'!$M$2=X347),'2024DATA'!$I$29,"")</f>
        <v/>
      </c>
      <c r="Y374" s="518" t="str">
        <f>IF(AND(_A="A-320",'2024'!$M$4="CA",'2024'!$M$2=Y347),'2024DATA'!$J$29,"")</f>
        <v/>
      </c>
      <c r="Z374" s="518" t="str">
        <f>IF(AND(_A="A-320",'2024'!$M$4="CA",'2024'!$M$2=Z347),'2024DATA'!$K$29,"")</f>
        <v/>
      </c>
      <c r="AA374" s="518" t="str">
        <f>IF(AND(_A="A-320",'2024'!$M$4="CA",'2024'!$M$2=AA347),'2024DATA'!$L$29,"")</f>
        <v/>
      </c>
      <c r="AB374" s="518" t="str">
        <f>IF(AND(_A="A-320",'2024'!$M$4="CA",'2024'!$M$2=AB347),'2024DATA'!$M$29,"")</f>
        <v/>
      </c>
      <c r="AC374" s="520" t="str">
        <f>IF(AND(_A="A-320",'2024'!$M$4="CA",'2024'!$M$2=AC347),'2024DATA'!$N$29,"")</f>
        <v/>
      </c>
      <c r="AD374" s="940" t="s">
        <v>70</v>
      </c>
      <c r="AE374" s="13" t="s">
        <v>61</v>
      </c>
      <c r="AF374" s="518" t="str">
        <f>IF(AND(_B="A-320",'2024'!$M$4="CA",'2024'!$M$2=AF347),'2024DATA'!$C$29,"")</f>
        <v/>
      </c>
      <c r="AG374" s="518" t="str">
        <f>IF(AND(_B="A-320",'2024'!$M$4="CA",'2024'!$M$2=AG347),'2024DATA'!$D$29,"")</f>
        <v/>
      </c>
      <c r="AH374" s="518" t="str">
        <f>IF(AND(_B="A-320",'2024'!$M$4="CA",'2024'!$M$2=AH347),'2024DATA'!$E$29,"")</f>
        <v/>
      </c>
      <c r="AI374" s="518" t="str">
        <f>IF(AND(_B="A-320",'2024'!$M$4="CA",'2024'!$M$2=AI347),'2024DATA'!$F$29,"")</f>
        <v/>
      </c>
      <c r="AJ374" s="518" t="str">
        <f>IF(AND(_B="A-320",'2024'!$M$4="CA",'2024'!$M$2=AJ347),'2024DATA'!$G$29,"")</f>
        <v/>
      </c>
      <c r="AK374" s="518" t="str">
        <f>IF(AND(_B="A-320",'2024'!$M$4="CA",'2024'!$M$2=AK347),'2024DATA'!$H$29,"")</f>
        <v/>
      </c>
      <c r="AL374" s="518" t="str">
        <f>IF(AND(_B="A-320",'2024'!$M$4="CA",'2024'!$M$2=AL347),'2024DATA'!$I$29,"")</f>
        <v/>
      </c>
      <c r="AM374" s="518" t="str">
        <f>IF(AND(_B="A-320",'2024'!$M$4="CA",'2024'!$M$2=AM347),'2024DATA'!$J$29,"")</f>
        <v/>
      </c>
      <c r="AN374" s="518" t="str">
        <f>IF(AND(_B="A-320",'2024'!$M$4="CA",'2024'!$M$2=AN347),'2024DATA'!$K$29,"")</f>
        <v/>
      </c>
      <c r="AO374" s="518" t="str">
        <f>IF(AND(_B="A-320",'2024'!$M$4="CA",'2024'!$M$2=AO347),'2024DATA'!$L$29,"")</f>
        <v/>
      </c>
      <c r="AP374" s="518" t="str">
        <f>IF(AND(_B="A-320",'2024'!$M$4="CA",'2024'!$M$2=AP347),'2024DATA'!$M$29,"")</f>
        <v/>
      </c>
      <c r="AQ374" s="520" t="str">
        <f>IF(AND(_B="A-320",'2024'!$M$4="CA",'2024'!$M$2=AQ347),'2024DATA'!$N$29,"")</f>
        <v/>
      </c>
      <c r="AR374" s="940" t="s">
        <v>70</v>
      </c>
      <c r="AS374" s="13" t="s">
        <v>61</v>
      </c>
      <c r="AT374" s="518" t="str">
        <f>IF(AND(_C="A-320",'2024'!$M$4="CA",'2024'!$M$2=AT347),'2024DATA'!$C$29,"")</f>
        <v/>
      </c>
      <c r="AU374" s="518" t="str">
        <f>IF(AND(_C="A-320",'2024'!$M$4="CA",'2024'!$M$2=AU347),'2024DATA'!$D$29,"")</f>
        <v/>
      </c>
      <c r="AV374" s="518" t="str">
        <f>IF(AND(_C="A-320",'2024'!$M$4="CA",'2024'!$M$2=AV347),'2024DATA'!$E$29,"")</f>
        <v/>
      </c>
      <c r="AW374" s="518" t="str">
        <f>IF(AND(_C="A-320",'2024'!$M$4="CA",'2024'!$M$2=AW347),'2024DATA'!$F$29,"")</f>
        <v/>
      </c>
      <c r="AX374" s="518" t="str">
        <f>IF(AND(_C="A-320",'2024'!$M$4="CA",'2024'!$M$2=AX347),'2024DATA'!$G$29,"")</f>
        <v/>
      </c>
      <c r="AY374" s="518" t="str">
        <f>IF(AND(_C="A-320",'2024'!$M$4="CA",'2024'!$M$2=AY347),'2024DATA'!$H$29,"")</f>
        <v/>
      </c>
      <c r="AZ374" s="518" t="str">
        <f>IF(AND(_C="A-320",'2024'!$M$4="CA",'2024'!$M$2=AZ347),'2024DATA'!$I$29,"")</f>
        <v/>
      </c>
      <c r="BA374" s="518" t="str">
        <f>IF(AND(_C="A-320",'2024'!$M$4="CA",'2024'!$M$2=BA347),'2024DATA'!$J$29,"")</f>
        <v/>
      </c>
      <c r="BB374" s="518" t="str">
        <f>IF(AND(_C="A-320",'2024'!$M$4="CA",'2024'!$M$2=BB347),'2024DATA'!$K$29,"")</f>
        <v/>
      </c>
      <c r="BC374" s="518" t="str">
        <f>IF(AND(_C="A-320",'2024'!$M$4="CA",'2024'!$M$2=BC347),'2024DATA'!$L$29,"")</f>
        <v/>
      </c>
      <c r="BD374" s="518" t="str">
        <f>IF(AND(_C="A-320",'2024'!$M$4="CA",'2024'!$M$2=BD347),'2024DATA'!$M$29,"")</f>
        <v/>
      </c>
      <c r="BE374" s="520" t="str">
        <f>IF(AND(_C="A-320",'2024'!$M$4="CA",'2024'!$M$2=BE347),'2024DATA'!$N$29,"")</f>
        <v/>
      </c>
      <c r="BF374" s="940" t="s">
        <v>70</v>
      </c>
      <c r="BG374" s="13" t="s">
        <v>61</v>
      </c>
      <c r="BH374" s="518" t="str">
        <f>IF(AND(_D="A-320",'2024'!$M$4="CA",'2024'!$M$2=BH347),'2024DATA'!$C$29,"")</f>
        <v/>
      </c>
      <c r="BI374" s="518" t="str">
        <f>IF(AND(_D="A-320",'2024'!$M$4="CA",'2024'!$M$2=BI347),'2024DATA'!$D$29,"")</f>
        <v/>
      </c>
      <c r="BJ374" s="518" t="str">
        <f>IF(AND(_D="A-320",'2024'!$M$4="CA",'2024'!$M$2=BJ347),'2024DATA'!$E$29,"")</f>
        <v/>
      </c>
      <c r="BK374" s="518" t="str">
        <f>IF(AND(_D="A-320",'2024'!$M$4="CA",'2024'!$M$2=BK347),'2024DATA'!$F$29,"")</f>
        <v/>
      </c>
      <c r="BL374" s="518" t="str">
        <f>IF(AND(_D="A-320",'2024'!$M$4="CA",'2024'!$M$2=BL347),'2024DATA'!$G$29,"")</f>
        <v/>
      </c>
      <c r="BM374" s="518" t="str">
        <f>IF(AND(_D="A-320",'2024'!$M$4="CA",'2024'!$M$2=BM347),'2024DATA'!$H$29,"")</f>
        <v/>
      </c>
      <c r="BN374" s="518" t="str">
        <f>IF(AND(_D="A-320",'2024'!$M$4="CA",'2024'!$M$2=BN347),'2024DATA'!$I$29,"")</f>
        <v/>
      </c>
      <c r="BO374" s="518" t="str">
        <f>IF(AND(_D="A-320",'2024'!$M$4="CA",'2024'!$M$2=BO347),'2024DATA'!$J$29,"")</f>
        <v/>
      </c>
      <c r="BP374" s="518" t="str">
        <f>IF(AND(_D="A-320",'2024'!$M$4="CA",'2024'!$M$2=BP347),'2024DATA'!$K$29,"")</f>
        <v/>
      </c>
      <c r="BQ374" s="518" t="str">
        <f>IF(AND(_D="A-320",'2024'!$M$4="CA",'2024'!$M$2=BQ347),'2024DATA'!$L$29,"")</f>
        <v/>
      </c>
      <c r="BR374" s="518" t="str">
        <f>IF(AND(_D="A-320",'2024'!$M$4="CA",'2024'!$M$2=BR347),'2024DATA'!$M$29,"")</f>
        <v/>
      </c>
      <c r="BS374" s="520" t="str">
        <f>IF(AND(_D="A-320",'2024'!$M$4="CA",'2024'!$M$2=BS347),'2024DATA'!$N$29,"")</f>
        <v/>
      </c>
      <c r="BT374" s="940" t="s">
        <v>70</v>
      </c>
      <c r="BU374" s="13" t="s">
        <v>61</v>
      </c>
      <c r="BV374" s="518" t="str">
        <f>IF(AND(_E="A-320",'2024'!$M$4="CA",'2024'!$M$2=BV347),'2024DATA'!$C$29,"")</f>
        <v/>
      </c>
      <c r="BW374" s="518" t="str">
        <f>IF(AND(_E="A-320",'2024'!$M$4="CA",'2024'!$M$2=BW347),'2024DATA'!$D$29,"")</f>
        <v/>
      </c>
      <c r="BX374" s="518" t="str">
        <f>IF(AND(_E="A-320",'2024'!$M$4="CA",'2024'!$M$2=BX347),'2024DATA'!$E$29,"")</f>
        <v/>
      </c>
      <c r="BY374" s="518" t="str">
        <f>IF(AND(_E="A-320",'2024'!$M$4="CA",'2024'!$M$2=BY347),'2024DATA'!$F$29,"")</f>
        <v/>
      </c>
      <c r="BZ374" s="518" t="str">
        <f>IF(AND(_E="A-320",'2024'!$M$4="CA",'2024'!$M$2=BZ347),'2024DATA'!$G$29,"")</f>
        <v/>
      </c>
      <c r="CA374" s="518" t="str">
        <f>IF(AND(_E="A-320",'2024'!$M$4="CA",'2024'!$M$2=CA347),'2024DATA'!$H$29,"")</f>
        <v/>
      </c>
      <c r="CB374" s="518" t="str">
        <f>IF(AND(_E="A-320",'2024'!$M$4="CA",'2024'!$M$2=CB347),'2024DATA'!$I$29,"")</f>
        <v/>
      </c>
      <c r="CC374" s="518" t="str">
        <f>IF(AND(_E="A-320",'2024'!$M$4="CA",'2024'!$M$2=CC347),'2024DATA'!$J$29,"")</f>
        <v/>
      </c>
      <c r="CD374" s="518" t="str">
        <f>IF(AND(_E="A-320",'2024'!$M$4="CA",'2024'!$M$2=CD347),'2024DATA'!$K$29,"")</f>
        <v/>
      </c>
      <c r="CE374" s="518" t="str">
        <f>IF(AND(_E="A-320",'2024'!$M$4="CA",'2024'!$M$2=CE347),'2024DATA'!$L$29,"")</f>
        <v/>
      </c>
      <c r="CF374" s="518" t="str">
        <f>IF(AND(_E="A-320",'2024'!$M$4="CA",'2024'!$M$2=CF347),'2024DATA'!$M$29,"")</f>
        <v/>
      </c>
      <c r="CG374" s="520" t="str">
        <f>IF(AND(_E="A-320",'2024'!$M$4="CA",'2024'!$M$2=CG347),'2024DATA'!$N$29,"")</f>
        <v/>
      </c>
      <c r="CH374" s="940" t="s">
        <v>70</v>
      </c>
      <c r="CI374" s="13" t="s">
        <v>61</v>
      </c>
      <c r="CJ374" s="518" t="str">
        <f>IF(AND(_F="A-320",'2024'!$M$4="CA",'2024'!$M$2=CJ347),'2024DATA'!$C$29,"")</f>
        <v/>
      </c>
      <c r="CK374" s="518" t="str">
        <f>IF(AND(_F="A-320",'2024'!$M$4="CA",'2024'!$M$2=CK347),'2024DATA'!$D$29,"")</f>
        <v/>
      </c>
      <c r="CL374" s="518" t="str">
        <f>IF(AND(_F="A-320",'2024'!$M$4="CA",'2024'!$M$2=CL347),'2024DATA'!$E$29,"")</f>
        <v/>
      </c>
      <c r="CM374" s="518" t="str">
        <f>IF(AND(_F="A-320",'2024'!$M$4="CA",'2024'!$M$2=CM347),'2024DATA'!$F$29,"")</f>
        <v/>
      </c>
      <c r="CN374" s="518" t="str">
        <f>IF(AND(_F="A-320",'2024'!$M$4="CA",'2024'!$M$2=CN347),'2024DATA'!$G$29,"")</f>
        <v/>
      </c>
      <c r="CO374" s="518" t="str">
        <f>IF(AND(_F="A-320",'2024'!$M$4="CA",'2024'!$M$2=CO347),'2024DATA'!$H$29,"")</f>
        <v/>
      </c>
      <c r="CP374" s="518" t="str">
        <f>IF(AND(_F="A-320",'2024'!$M$4="CA",'2024'!$M$2=CP347),'2024DATA'!$I$29,"")</f>
        <v/>
      </c>
      <c r="CQ374" s="518" t="str">
        <f>IF(AND(_F="A-320",'2024'!$M$4="CA",'2024'!$M$2=CQ347),'2024DATA'!$J$29,"")</f>
        <v/>
      </c>
      <c r="CR374" s="518" t="str">
        <f>IF(AND(_F="A-320",'2024'!$M$4="CA",'2024'!$M$2=CR347),'2024DATA'!$K$29,"")</f>
        <v/>
      </c>
      <c r="CS374" s="518" t="str">
        <f>IF(AND(_F="A-320",'2024'!$M$4="CA",'2024'!$M$2=CS347),'2024DATA'!$L$29,"")</f>
        <v/>
      </c>
      <c r="CT374" s="518" t="str">
        <f>IF(AND(_F="A-320",'2024'!$M$4="CA",'2024'!$M$2=CT347),'2024DATA'!$M$29,"")</f>
        <v/>
      </c>
      <c r="CU374" s="520" t="str">
        <f>IF(AND(_F="A-320",'2024'!$M$4="CA",'2024'!$M$2=CU347),'2024DATA'!$N$29,"")</f>
        <v/>
      </c>
    </row>
    <row r="375" spans="16:99" x14ac:dyDescent="0.25">
      <c r="P375" s="940"/>
      <c r="Q375" s="13" t="s">
        <v>62</v>
      </c>
      <c r="R375" s="518" t="str">
        <f>IF(AND(_A="A-320",'2024'!$M$4="FO",'2024'!$M$2=R347),'2024DATA'!$C$30,"")</f>
        <v/>
      </c>
      <c r="S375" s="518" t="str">
        <f>IF(AND(_A="A-320",'2024'!$M$4="FO",'2024'!$M$2=S347),'2024DATA'!$D$30,"")</f>
        <v/>
      </c>
      <c r="T375" s="518" t="str">
        <f>IF(AND(_A="A-320",'2024'!$M$4="FO",'2024'!$M$2=T347),'2024DATA'!$E$30,"")</f>
        <v/>
      </c>
      <c r="U375" s="518" t="str">
        <f>IF(AND(_A="A-320",'2024'!$M$4="FO",'2024'!$M$2=U347),'2024DATA'!$F$30,"")</f>
        <v/>
      </c>
      <c r="V375" s="518" t="str">
        <f>IF(AND(_A="A-320",'2024'!$M$4="FO",'2024'!$M$2=V347),'2024DATA'!$G$30,"")</f>
        <v/>
      </c>
      <c r="W375" s="518" t="str">
        <f>IF(AND(_A="A-320",'2024'!$M$4="FO",'2024'!$M$2=W347),'2024DATA'!$H$30,"")</f>
        <v/>
      </c>
      <c r="X375" s="518" t="str">
        <f>IF(AND(_A="A-320",'2024'!$M$4="FO",'2024'!$M$2=X347),'2024DATA'!$I$30,"")</f>
        <v/>
      </c>
      <c r="Y375" s="518" t="str">
        <f>IF(AND(_A="A-320",'2024'!$M$4="FO",'2024'!$M$2=Y347),'2024DATA'!$J$30,"")</f>
        <v/>
      </c>
      <c r="Z375" s="518" t="str">
        <f>IF(AND(_A="A-320",'2024'!$M$4="FO",'2024'!$M$2=Z347),'2024DATA'!$K$30,"")</f>
        <v/>
      </c>
      <c r="AA375" s="518" t="str">
        <f>IF(AND(_A="A-320",'2024'!$M$4="FO",'2024'!$M$2=AA347),'2024DATA'!$L$30,"")</f>
        <v/>
      </c>
      <c r="AB375" s="518" t="str">
        <f>IF(AND(_A="A-320",'2024'!$M$4="FO",'2024'!$M$2=AB347),'2024DATA'!$M$30,"")</f>
        <v/>
      </c>
      <c r="AC375" s="520" t="str">
        <f>IF(AND(_A="A-320",'2024'!$M$4="FO",'2024'!$M$2=AC347),'2024DATA'!$N$30,"")</f>
        <v/>
      </c>
      <c r="AD375" s="940"/>
      <c r="AE375" s="13" t="s">
        <v>62</v>
      </c>
      <c r="AF375" s="518" t="str">
        <f>IF(AND(_B="A-320",'2024'!$M$4="FO",'2024'!$M$2=AF347),'2024DATA'!$C$30,"")</f>
        <v/>
      </c>
      <c r="AG375" s="518" t="str">
        <f>IF(AND(_B="A-320",'2024'!$M$4="FO",'2024'!$M$2=AG347),'2024DATA'!$D$30,"")</f>
        <v/>
      </c>
      <c r="AH375" s="518" t="str">
        <f>IF(AND(_B="A-320",'2024'!$M$4="FO",'2024'!$M$2=AH347),'2024DATA'!$E$30,"")</f>
        <v/>
      </c>
      <c r="AI375" s="518" t="str">
        <f>IF(AND(_B="A-320",'2024'!$M$4="FO",'2024'!$M$2=AI347),'2024DATA'!$F$30,"")</f>
        <v/>
      </c>
      <c r="AJ375" s="518" t="str">
        <f>IF(AND(_B="A-320",'2024'!$M$4="FO",'2024'!$M$2=AJ347),'2024DATA'!$G$30,"")</f>
        <v/>
      </c>
      <c r="AK375" s="518" t="str">
        <f>IF(AND(_B="A-320",'2024'!$M$4="FO",'2024'!$M$2=AK347),'2024DATA'!$H$30,"")</f>
        <v/>
      </c>
      <c r="AL375" s="518" t="str">
        <f>IF(AND(_B="A-320",'2024'!$M$4="FO",'2024'!$M$2=AL347),'2024DATA'!$I$30,"")</f>
        <v/>
      </c>
      <c r="AM375" s="518" t="str">
        <f>IF(AND(_B="A-320",'2024'!$M$4="FO",'2024'!$M$2=AM347),'2024DATA'!$J$30,"")</f>
        <v/>
      </c>
      <c r="AN375" s="518" t="str">
        <f>IF(AND(_B="A-320",'2024'!$M$4="FO",'2024'!$M$2=AN347),'2024DATA'!$K$30,"")</f>
        <v/>
      </c>
      <c r="AO375" s="518" t="str">
        <f>IF(AND(_B="A-320",'2024'!$M$4="FO",'2024'!$M$2=AO347),'2024DATA'!$L$30,"")</f>
        <v/>
      </c>
      <c r="AP375" s="518" t="str">
        <f>IF(AND(_B="A-320",'2024'!$M$4="FO",'2024'!$M$2=AP347),'2024DATA'!$M$30,"")</f>
        <v/>
      </c>
      <c r="AQ375" s="520" t="str">
        <f>IF(AND(_B="A-320",'2024'!$M$4="FO",'2024'!$M$2=AQ347),'2024DATA'!$N$30,"")</f>
        <v/>
      </c>
      <c r="AR375" s="940"/>
      <c r="AS375" s="13" t="s">
        <v>62</v>
      </c>
      <c r="AT375" s="518" t="str">
        <f>IF(AND(_C="A-320",'2024'!$M$4="FO",'2024'!$M$2=AT347),'2024DATA'!$C$30,"")</f>
        <v/>
      </c>
      <c r="AU375" s="518" t="str">
        <f>IF(AND(_C="A-320",'2024'!$M$4="FO",'2024'!$M$2=AU347),'2024DATA'!$D$30,"")</f>
        <v/>
      </c>
      <c r="AV375" s="518" t="str">
        <f>IF(AND(_C="A-320",'2024'!$M$4="FO",'2024'!$M$2=AV347),'2024DATA'!$E$30,"")</f>
        <v/>
      </c>
      <c r="AW375" s="518" t="str">
        <f>IF(AND(_C="A-320",'2024'!$M$4="FO",'2024'!$M$2=AW347),'2024DATA'!$F$30,"")</f>
        <v/>
      </c>
      <c r="AX375" s="518" t="str">
        <f>IF(AND(_C="A-320",'2024'!$M$4="FO",'2024'!$M$2=AX347),'2024DATA'!$G$30,"")</f>
        <v/>
      </c>
      <c r="AY375" s="518" t="str">
        <f>IF(AND(_C="A-320",'2024'!$M$4="FO",'2024'!$M$2=AY347),'2024DATA'!$H$30,"")</f>
        <v/>
      </c>
      <c r="AZ375" s="518" t="str">
        <f>IF(AND(_C="A-320",'2024'!$M$4="FO",'2024'!$M$2=AZ347),'2024DATA'!$I$30,"")</f>
        <v/>
      </c>
      <c r="BA375" s="518" t="str">
        <f>IF(AND(_C="A-320",'2024'!$M$4="FO",'2024'!$M$2=BA347),'2024DATA'!$J$30,"")</f>
        <v/>
      </c>
      <c r="BB375" s="518" t="str">
        <f>IF(AND(_C="A-320",'2024'!$M$4="FO",'2024'!$M$2=BB347),'2024DATA'!$K$30,"")</f>
        <v/>
      </c>
      <c r="BC375" s="518" t="str">
        <f>IF(AND(_C="A-320",'2024'!$M$4="FO",'2024'!$M$2=BC347),'2024DATA'!$L$30,"")</f>
        <v/>
      </c>
      <c r="BD375" s="518" t="str">
        <f>IF(AND(_C="A-320",'2024'!$M$4="FO",'2024'!$M$2=BD347),'2024DATA'!$M$30,"")</f>
        <v/>
      </c>
      <c r="BE375" s="520" t="str">
        <f>IF(AND(_C="A-320",'2024'!$M$4="FO",'2024'!$M$2=BE347),'2024DATA'!$N$30,"")</f>
        <v/>
      </c>
      <c r="BF375" s="940"/>
      <c r="BG375" s="13" t="s">
        <v>62</v>
      </c>
      <c r="BH375" s="518" t="str">
        <f>IF(AND(_D="A-320",'2024'!$M$4="FO",'2024'!$M$2=BH347),'2024DATA'!$C$30,"")</f>
        <v/>
      </c>
      <c r="BI375" s="518" t="str">
        <f>IF(AND(_D="A-320",'2024'!$M$4="FO",'2024'!$M$2=BI347),'2024DATA'!$D$30,"")</f>
        <v/>
      </c>
      <c r="BJ375" s="518" t="str">
        <f>IF(AND(_D="A-320",'2024'!$M$4="FO",'2024'!$M$2=BJ347),'2024DATA'!$E$30,"")</f>
        <v/>
      </c>
      <c r="BK375" s="518" t="str">
        <f>IF(AND(_D="A-320",'2024'!$M$4="FO",'2024'!$M$2=BK347),'2024DATA'!$F$30,"")</f>
        <v/>
      </c>
      <c r="BL375" s="518" t="str">
        <f>IF(AND(_D="A-320",'2024'!$M$4="FO",'2024'!$M$2=BL347),'2024DATA'!$G$30,"")</f>
        <v/>
      </c>
      <c r="BM375" s="518" t="str">
        <f>IF(AND(_D="A-320",'2024'!$M$4="FO",'2024'!$M$2=BM347),'2024DATA'!$H$30,"")</f>
        <v/>
      </c>
      <c r="BN375" s="518" t="str">
        <f>IF(AND(_D="A-320",'2024'!$M$4="FO",'2024'!$M$2=BN347),'2024DATA'!$I$30,"")</f>
        <v/>
      </c>
      <c r="BO375" s="518" t="str">
        <f>IF(AND(_D="A-320",'2024'!$M$4="FO",'2024'!$M$2=BO347),'2024DATA'!$J$30,"")</f>
        <v/>
      </c>
      <c r="BP375" s="518" t="str">
        <f>IF(AND(_D="A-320",'2024'!$M$4="FO",'2024'!$M$2=BP347),'2024DATA'!$K$30,"")</f>
        <v/>
      </c>
      <c r="BQ375" s="518" t="str">
        <f>IF(AND(_D="A-320",'2024'!$M$4="FO",'2024'!$M$2=BQ347),'2024DATA'!$L$30,"")</f>
        <v/>
      </c>
      <c r="BR375" s="518" t="str">
        <f>IF(AND(_D="A-320",'2024'!$M$4="FO",'2024'!$M$2=BR347),'2024DATA'!$M$30,"")</f>
        <v/>
      </c>
      <c r="BS375" s="520" t="str">
        <f>IF(AND(_D="A-320",'2024'!$M$4="FO",'2024'!$M$2=BS347),'2024DATA'!$N$30,"")</f>
        <v/>
      </c>
      <c r="BT375" s="940"/>
      <c r="BU375" s="13" t="s">
        <v>62</v>
      </c>
      <c r="BV375" s="518" t="str">
        <f>IF(AND(_E="A-320",'2024'!$M$4="FO",'2024'!$M$2=BV347),'2024DATA'!$C$30,"")</f>
        <v/>
      </c>
      <c r="BW375" s="518" t="str">
        <f>IF(AND(_E="A-320",'2024'!$M$4="FO",'2024'!$M$2=BW347),'2024DATA'!$D$30,"")</f>
        <v/>
      </c>
      <c r="BX375" s="518" t="str">
        <f>IF(AND(_E="A-320",'2024'!$M$4="FO",'2024'!$M$2=BX347),'2024DATA'!$E$30,"")</f>
        <v/>
      </c>
      <c r="BY375" s="518" t="str">
        <f>IF(AND(_E="A-320",'2024'!$M$4="FO",'2024'!$M$2=BY347),'2024DATA'!$F$30,"")</f>
        <v/>
      </c>
      <c r="BZ375" s="518" t="str">
        <f>IF(AND(_E="A-320",'2024'!$M$4="FO",'2024'!$M$2=BZ347),'2024DATA'!$G$30,"")</f>
        <v/>
      </c>
      <c r="CA375" s="518" t="str">
        <f>IF(AND(_E="A-320",'2024'!$M$4="FO",'2024'!$M$2=CA347),'2024DATA'!$H$30,"")</f>
        <v/>
      </c>
      <c r="CB375" s="518" t="str">
        <f>IF(AND(_E="A-320",'2024'!$M$4="FO",'2024'!$M$2=CB347),'2024DATA'!$I$30,"")</f>
        <v/>
      </c>
      <c r="CC375" s="518" t="str">
        <f>IF(AND(_E="A-320",'2024'!$M$4="FO",'2024'!$M$2=CC347),'2024DATA'!$J$30,"")</f>
        <v/>
      </c>
      <c r="CD375" s="518" t="str">
        <f>IF(AND(_E="A-320",'2024'!$M$4="FO",'2024'!$M$2=CD347),'2024DATA'!$K$30,"")</f>
        <v/>
      </c>
      <c r="CE375" s="518" t="str">
        <f>IF(AND(_E="A-320",'2024'!$M$4="FO",'2024'!$M$2=CE347),'2024DATA'!$L$30,"")</f>
        <v/>
      </c>
      <c r="CF375" s="518" t="str">
        <f>IF(AND(_E="A-320",'2024'!$M$4="FO",'2024'!$M$2=CF347),'2024DATA'!$M$30,"")</f>
        <v/>
      </c>
      <c r="CG375" s="520" t="str">
        <f>IF(AND(_E="A-320",'2024'!$M$4="FO",'2024'!$M$2=CG347),'2024DATA'!$N$30,"")</f>
        <v/>
      </c>
      <c r="CH375" s="940"/>
      <c r="CI375" s="13" t="s">
        <v>62</v>
      </c>
      <c r="CJ375" s="518" t="str">
        <f>IF(AND(_F="A-320",'2024'!$M$4="FO",'2024'!$M$2=CJ347),'2024DATA'!$C$30,"")</f>
        <v/>
      </c>
      <c r="CK375" s="518" t="str">
        <f>IF(AND(_F="A-320",'2024'!$M$4="FO",'2024'!$M$2=CK347),'2024DATA'!$D$30,"")</f>
        <v/>
      </c>
      <c r="CL375" s="518" t="str">
        <f>IF(AND(_F="A-320",'2024'!$M$4="FO",'2024'!$M$2=CL347),'2024DATA'!$E$30,"")</f>
        <v/>
      </c>
      <c r="CM375" s="518" t="str">
        <f>IF(AND(_F="A-320",'2024'!$M$4="FO",'2024'!$M$2=CM347),'2024DATA'!$F$30,"")</f>
        <v/>
      </c>
      <c r="CN375" s="518" t="str">
        <f>IF(AND(_F="A-320",'2024'!$M$4="FO",'2024'!$M$2=CN347),'2024DATA'!$G$30,"")</f>
        <v/>
      </c>
      <c r="CO375" s="518" t="str">
        <f>IF(AND(_F="A-320",'2024'!$M$4="FO",'2024'!$M$2=CO347),'2024DATA'!$H$30,"")</f>
        <v/>
      </c>
      <c r="CP375" s="518" t="str">
        <f>IF(AND(_F="A-320",'2024'!$M$4="FO",'2024'!$M$2=CP347),'2024DATA'!$I$30,"")</f>
        <v/>
      </c>
      <c r="CQ375" s="518" t="str">
        <f>IF(AND(_F="A-320",'2024'!$M$4="FO",'2024'!$M$2=CQ347),'2024DATA'!$J$30,"")</f>
        <v/>
      </c>
      <c r="CR375" s="518" t="str">
        <f>IF(AND(_F="A-320",'2024'!$M$4="FO",'2024'!$M$2=CR347),'2024DATA'!$K$30,"")</f>
        <v/>
      </c>
      <c r="CS375" s="518" t="str">
        <f>IF(AND(_F="A-320",'2024'!$M$4="FO",'2024'!$M$2=CS347),'2024DATA'!$L$30,"")</f>
        <v/>
      </c>
      <c r="CT375" s="518" t="str">
        <f>IF(AND(_F="A-320",'2024'!$M$4="FO",'2024'!$M$2=CT347),'2024DATA'!$M$30,"")</f>
        <v/>
      </c>
      <c r="CU375" s="520" t="str">
        <f>IF(AND(_F="A-320",'2024'!$M$4="FO",'2024'!$M$2=CU347),'2024DATA'!$N$30,"")</f>
        <v/>
      </c>
    </row>
    <row r="376" spans="16:99" x14ac:dyDescent="0.25">
      <c r="P376" s="940" t="s">
        <v>71</v>
      </c>
      <c r="Q376" s="13" t="s">
        <v>61</v>
      </c>
      <c r="R376" s="518" t="str">
        <f>IF(AND(_A="A-319",'2024'!$M$4="CA",'2024'!$M$2=R347),'2024DATA'!$C$31,"")</f>
        <v/>
      </c>
      <c r="S376" s="518" t="str">
        <f>IF(AND(_A="A-319",'2024'!$M$4="CA",'2024'!$M$2=S347),'2024DATA'!$D$31,"")</f>
        <v/>
      </c>
      <c r="T376" s="518" t="str">
        <f>IF(AND(_A="A-319",'2024'!$M$4="CA",'2024'!$M$2=T347),'2024DATA'!$E$31,"")</f>
        <v/>
      </c>
      <c r="U376" s="518" t="str">
        <f>IF(AND(_A="A-319",'2024'!$M$4="CA",'2024'!$M$2=U347),'2024DATA'!$F$31,"")</f>
        <v/>
      </c>
      <c r="V376" s="518" t="str">
        <f>IF(AND(_A="A-319",'2024'!$M$4="CA",'2024'!$M$2=V347),'2024DATA'!$G$31,"")</f>
        <v/>
      </c>
      <c r="W376" s="518" t="str">
        <f>IF(AND(_A="A-319",'2024'!$M$4="CA",'2024'!$M$2=W347),'2024DATA'!$H$31,"")</f>
        <v/>
      </c>
      <c r="X376" s="518" t="str">
        <f>IF(AND(_A="A-319",'2024'!$M$4="CA",'2024'!$M$2=X347),'2024DATA'!$I$31,"")</f>
        <v/>
      </c>
      <c r="Y376" s="518" t="str">
        <f>IF(AND(_A="A-319",'2024'!$M$4="CA",'2024'!$M$2=Y347),'2024DATA'!$J$31,"")</f>
        <v/>
      </c>
      <c r="Z376" s="518" t="str">
        <f>IF(AND(_A="A-319",'2024'!$M$4="CA",'2024'!$M$2=Z347),'2024DATA'!$K$31,"")</f>
        <v/>
      </c>
      <c r="AA376" s="518" t="str">
        <f>IF(AND(_A="A-319",'2024'!$M$4="CA",'2024'!$M$2=AA347),'2024DATA'!$L$31,"")</f>
        <v/>
      </c>
      <c r="AB376" s="518" t="str">
        <f>IF(AND(_A="A-319",'2024'!$M$4="CA",'2024'!$M$2=AB347),'2024DATA'!$M$31,"")</f>
        <v/>
      </c>
      <c r="AC376" s="520" t="str">
        <f>IF(AND(_A="A-319",'2024'!$M$4="CA",'2024'!$M$2=AC347),'2024DATA'!$N$31,"")</f>
        <v/>
      </c>
      <c r="AD376" s="940" t="s">
        <v>71</v>
      </c>
      <c r="AE376" s="13" t="s">
        <v>61</v>
      </c>
      <c r="AF376" s="518" t="str">
        <f>IF(AND(_B="A-319",'2024'!$M$4="CA",'2024'!$M$2=AF347),'2024DATA'!$C$31,"")</f>
        <v/>
      </c>
      <c r="AG376" s="518" t="str">
        <f>IF(AND(_B="A-319",'2024'!$M$4="CA",'2024'!$M$2=AG347),'2024DATA'!$D$31,"")</f>
        <v/>
      </c>
      <c r="AH376" s="518" t="str">
        <f>IF(AND(_B="A-319",'2024'!$M$4="CA",'2024'!$M$2=AH347),'2024DATA'!$E$31,"")</f>
        <v/>
      </c>
      <c r="AI376" s="518" t="str">
        <f>IF(AND(_B="A-319",'2024'!$M$4="CA",'2024'!$M$2=AI347),'2024DATA'!$F$31,"")</f>
        <v/>
      </c>
      <c r="AJ376" s="518" t="str">
        <f>IF(AND(_B="A-319",'2024'!$M$4="CA",'2024'!$M$2=AJ347),'2024DATA'!$G$31,"")</f>
        <v/>
      </c>
      <c r="AK376" s="518" t="str">
        <f>IF(AND(_B="A-319",'2024'!$M$4="CA",'2024'!$M$2=AK347),'2024DATA'!$H$31,"")</f>
        <v/>
      </c>
      <c r="AL376" s="518" t="str">
        <f>IF(AND(_B="A-319",'2024'!$M$4="CA",'2024'!$M$2=AL347),'2024DATA'!$I$31,"")</f>
        <v/>
      </c>
      <c r="AM376" s="518" t="str">
        <f>IF(AND(_B="A-319",'2024'!$M$4="CA",'2024'!$M$2=AM347),'2024DATA'!$J$31,"")</f>
        <v/>
      </c>
      <c r="AN376" s="518" t="str">
        <f>IF(AND(_B="A-319",'2024'!$M$4="CA",'2024'!$M$2=AN347),'2024DATA'!$K$31,"")</f>
        <v/>
      </c>
      <c r="AO376" s="518" t="str">
        <f>IF(AND(_B="A-319",'2024'!$M$4="CA",'2024'!$M$2=AO347),'2024DATA'!$L$31,"")</f>
        <v/>
      </c>
      <c r="AP376" s="518" t="str">
        <f>IF(AND(_B="A-319",'2024'!$M$4="CA",'2024'!$M$2=AP347),'2024DATA'!$M$31,"")</f>
        <v/>
      </c>
      <c r="AQ376" s="520" t="str">
        <f>IF(AND(_B="A-319",'2024'!$M$4="CA",'2024'!$M$2=AQ347),'2024DATA'!$N$31,"")</f>
        <v/>
      </c>
      <c r="AR376" s="940" t="s">
        <v>71</v>
      </c>
      <c r="AS376" s="13" t="s">
        <v>61</v>
      </c>
      <c r="AT376" s="518" t="str">
        <f>IF(AND(_C="A-319",'2024'!$M$4="CA",'2024'!$M$2=AT347),'2024DATA'!$C$31,"")</f>
        <v/>
      </c>
      <c r="AU376" s="518" t="str">
        <f>IF(AND(_C="A-319",'2024'!$M$4="CA",'2024'!$M$2=AU347),'2024DATA'!$D$31,"")</f>
        <v/>
      </c>
      <c r="AV376" s="518" t="str">
        <f>IF(AND(_C="A-319",'2024'!$M$4="CA",'2024'!$M$2=AV347),'2024DATA'!$E$31,"")</f>
        <v/>
      </c>
      <c r="AW376" s="518" t="str">
        <f>IF(AND(_C="A-319",'2024'!$M$4="CA",'2024'!$M$2=AW347),'2024DATA'!$F$31,"")</f>
        <v/>
      </c>
      <c r="AX376" s="518" t="str">
        <f>IF(AND(_C="A-319",'2024'!$M$4="CA",'2024'!$M$2=AX347),'2024DATA'!$G$31,"")</f>
        <v/>
      </c>
      <c r="AY376" s="518" t="str">
        <f>IF(AND(_C="A-319",'2024'!$M$4="CA",'2024'!$M$2=AY347),'2024DATA'!$H$31,"")</f>
        <v/>
      </c>
      <c r="AZ376" s="518" t="str">
        <f>IF(AND(_C="A-319",'2024'!$M$4="CA",'2024'!$M$2=AZ347),'2024DATA'!$I$31,"")</f>
        <v/>
      </c>
      <c r="BA376" s="518" t="str">
        <f>IF(AND(_C="A-319",'2024'!$M$4="CA",'2024'!$M$2=BA347),'2024DATA'!$J$31,"")</f>
        <v/>
      </c>
      <c r="BB376" s="518" t="str">
        <f>IF(AND(_C="A-319",'2024'!$M$4="CA",'2024'!$M$2=BB347),'2024DATA'!$K$31,"")</f>
        <v/>
      </c>
      <c r="BC376" s="518" t="str">
        <f>IF(AND(_C="A-319",'2024'!$M$4="CA",'2024'!$M$2=BC347),'2024DATA'!$L$31,"")</f>
        <v/>
      </c>
      <c r="BD376" s="518" t="str">
        <f>IF(AND(_C="A-319",'2024'!$M$4="CA",'2024'!$M$2=BD347),'2024DATA'!$M$31,"")</f>
        <v/>
      </c>
      <c r="BE376" s="520" t="str">
        <f>IF(AND(_C="A-319",'2024'!$M$4="CA",'2024'!$M$2=BE347),'2024DATA'!$N$31,"")</f>
        <v/>
      </c>
      <c r="BF376" s="940" t="s">
        <v>71</v>
      </c>
      <c r="BG376" s="13" t="s">
        <v>61</v>
      </c>
      <c r="BH376" s="518" t="str">
        <f>IF(AND(_D="A-319",'2024'!$M$4="CA",'2024'!$M$2=BH347),'2024DATA'!$C$31,"")</f>
        <v/>
      </c>
      <c r="BI376" s="518" t="str">
        <f>IF(AND(_D="A-319",'2024'!$M$4="CA",'2024'!$M$2=BI347),'2024DATA'!$D$31,"")</f>
        <v/>
      </c>
      <c r="BJ376" s="518" t="str">
        <f>IF(AND(_D="A-319",'2024'!$M$4="CA",'2024'!$M$2=BJ347),'2024DATA'!$E$31,"")</f>
        <v/>
      </c>
      <c r="BK376" s="518" t="str">
        <f>IF(AND(_D="A-319",'2024'!$M$4="CA",'2024'!$M$2=BK347),'2024DATA'!$F$31,"")</f>
        <v/>
      </c>
      <c r="BL376" s="518" t="str">
        <f>IF(AND(_D="A-319",'2024'!$M$4="CA",'2024'!$M$2=BL347),'2024DATA'!$G$31,"")</f>
        <v/>
      </c>
      <c r="BM376" s="518" t="str">
        <f>IF(AND(_D="A-319",'2024'!$M$4="CA",'2024'!$M$2=BM347),'2024DATA'!$H$31,"")</f>
        <v/>
      </c>
      <c r="BN376" s="518" t="str">
        <f>IF(AND(_D="A-319",'2024'!$M$4="CA",'2024'!$M$2=BN347),'2024DATA'!$I$31,"")</f>
        <v/>
      </c>
      <c r="BO376" s="518" t="str">
        <f>IF(AND(_D="A-319",'2024'!$M$4="CA",'2024'!$M$2=BO347),'2024DATA'!$J$31,"")</f>
        <v/>
      </c>
      <c r="BP376" s="518" t="str">
        <f>IF(AND(_D="A-319",'2024'!$M$4="CA",'2024'!$M$2=BP347),'2024DATA'!$K$31,"")</f>
        <v/>
      </c>
      <c r="BQ376" s="518" t="str">
        <f>IF(AND(_D="A-319",'2024'!$M$4="CA",'2024'!$M$2=BQ347),'2024DATA'!$L$31,"")</f>
        <v/>
      </c>
      <c r="BR376" s="518" t="str">
        <f>IF(AND(_D="A-319",'2024'!$M$4="CA",'2024'!$M$2=BR347),'2024DATA'!$M$31,"")</f>
        <v/>
      </c>
      <c r="BS376" s="520" t="str">
        <f>IF(AND(_D="A-319",'2024'!$M$4="CA",'2024'!$M$2=BS347),'2024DATA'!$N$31,"")</f>
        <v/>
      </c>
      <c r="BT376" s="940" t="s">
        <v>71</v>
      </c>
      <c r="BU376" s="13" t="s">
        <v>61</v>
      </c>
      <c r="BV376" s="518" t="str">
        <f>IF(AND(_E="A-319",'2024'!$M$4="CA",'2024'!$M$2=BV347),'2024DATA'!$C$31,"")</f>
        <v/>
      </c>
      <c r="BW376" s="518" t="str">
        <f>IF(AND(_E="A-319",'2024'!$M$4="CA",'2024'!$M$2=BW347),'2024DATA'!$D$31,"")</f>
        <v/>
      </c>
      <c r="BX376" s="518" t="str">
        <f>IF(AND(_E="A-319",'2024'!$M$4="CA",'2024'!$M$2=BX347),'2024DATA'!$E$31,"")</f>
        <v/>
      </c>
      <c r="BY376" s="518" t="str">
        <f>IF(AND(_E="A-319",'2024'!$M$4="CA",'2024'!$M$2=BY347),'2024DATA'!$F$31,"")</f>
        <v/>
      </c>
      <c r="BZ376" s="518" t="str">
        <f>IF(AND(_E="A-319",'2024'!$M$4="CA",'2024'!$M$2=BZ347),'2024DATA'!$G$31,"")</f>
        <v/>
      </c>
      <c r="CA376" s="518" t="str">
        <f>IF(AND(_E="A-319",'2024'!$M$4="CA",'2024'!$M$2=CA347),'2024DATA'!$H$31,"")</f>
        <v/>
      </c>
      <c r="CB376" s="518" t="str">
        <f>IF(AND(_E="A-319",'2024'!$M$4="CA",'2024'!$M$2=CB347),'2024DATA'!$I$31,"")</f>
        <v/>
      </c>
      <c r="CC376" s="518" t="str">
        <f>IF(AND(_E="A-319",'2024'!$M$4="CA",'2024'!$M$2=CC347),'2024DATA'!$J$31,"")</f>
        <v/>
      </c>
      <c r="CD376" s="518" t="str">
        <f>IF(AND(_E="A-319",'2024'!$M$4="CA",'2024'!$M$2=CD347),'2024DATA'!$K$31,"")</f>
        <v/>
      </c>
      <c r="CE376" s="518" t="str">
        <f>IF(AND(_E="A-319",'2024'!$M$4="CA",'2024'!$M$2=CE347),'2024DATA'!$L$31,"")</f>
        <v/>
      </c>
      <c r="CF376" s="518" t="str">
        <f>IF(AND(_E="A-319",'2024'!$M$4="CA",'2024'!$M$2=CF347),'2024DATA'!$M$31,"")</f>
        <v/>
      </c>
      <c r="CG376" s="520" t="str">
        <f>IF(AND(_E="A-319",'2024'!$M$4="CA",'2024'!$M$2=CG347),'2024DATA'!$N$31,"")</f>
        <v/>
      </c>
      <c r="CH376" s="940" t="s">
        <v>71</v>
      </c>
      <c r="CI376" s="13" t="s">
        <v>61</v>
      </c>
      <c r="CJ376" s="518" t="str">
        <f>IF(AND(_F="A-319",'2024'!$M$4="CA",'2024'!$M$2=CJ347),'2024DATA'!$C$31,"")</f>
        <v/>
      </c>
      <c r="CK376" s="518" t="str">
        <f>IF(AND(_F="A-319",'2024'!$M$4="CA",'2024'!$M$2=CK347),'2024DATA'!$D$31,"")</f>
        <v/>
      </c>
      <c r="CL376" s="518" t="str">
        <f>IF(AND(_F="A-319",'2024'!$M$4="CA",'2024'!$M$2=CL347),'2024DATA'!$E$31,"")</f>
        <v/>
      </c>
      <c r="CM376" s="518" t="str">
        <f>IF(AND(_F="A-319",'2024'!$M$4="CA",'2024'!$M$2=CM347),'2024DATA'!$F$31,"")</f>
        <v/>
      </c>
      <c r="CN376" s="518" t="str">
        <f>IF(AND(_F="A-319",'2024'!$M$4="CA",'2024'!$M$2=CN347),'2024DATA'!$G$31,"")</f>
        <v/>
      </c>
      <c r="CO376" s="518" t="str">
        <f>IF(AND(_F="A-319",'2024'!$M$4="CA",'2024'!$M$2=CO347),'2024DATA'!$H$31,"")</f>
        <v/>
      </c>
      <c r="CP376" s="518" t="str">
        <f>IF(AND(_F="A-319",'2024'!$M$4="CA",'2024'!$M$2=CP347),'2024DATA'!$I$31,"")</f>
        <v/>
      </c>
      <c r="CQ376" s="518" t="str">
        <f>IF(AND(_F="A-319",'2024'!$M$4="CA",'2024'!$M$2=CQ347),'2024DATA'!$J$31,"")</f>
        <v/>
      </c>
      <c r="CR376" s="518" t="str">
        <f>IF(AND(_F="A-319",'2024'!$M$4="CA",'2024'!$M$2=CR347),'2024DATA'!$K$31,"")</f>
        <v/>
      </c>
      <c r="CS376" s="518" t="str">
        <f>IF(AND(_F="A-319",'2024'!$M$4="CA",'2024'!$M$2=CS347),'2024DATA'!$L$31,"")</f>
        <v/>
      </c>
      <c r="CT376" s="518" t="str">
        <f>IF(AND(_F="A-319",'2024'!$M$4="CA",'2024'!$M$2=CT347),'2024DATA'!$M$31,"")</f>
        <v/>
      </c>
      <c r="CU376" s="520" t="str">
        <f>IF(AND(_F="A-319",'2024'!$M$4="CA",'2024'!$M$2=CU347),'2024DATA'!$N$31,"")</f>
        <v/>
      </c>
    </row>
    <row r="377" spans="16:99" x14ac:dyDescent="0.25">
      <c r="P377" s="940"/>
      <c r="Q377" s="13" t="s">
        <v>62</v>
      </c>
      <c r="R377" s="518" t="str">
        <f>IF(AND(_A="A-319",'2024'!$M$4="FO",'2024'!$M$2=R347),'2024DATA'!$C$32,"")</f>
        <v/>
      </c>
      <c r="S377" s="518" t="str">
        <f>IF(AND(_A="A-319",'2024'!$M$4="FO",'2024'!$M$2=S347),'2024DATA'!$D$32,"")</f>
        <v/>
      </c>
      <c r="T377" s="518" t="str">
        <f>IF(AND(_A="A-319",'2024'!$M$4="FO",'2024'!$M$2=T347),'2024DATA'!$E$32,"")</f>
        <v/>
      </c>
      <c r="U377" s="518" t="str">
        <f>IF(AND(_A="A-319",'2024'!$M$4="FO",'2024'!$M$2=U347),'2024DATA'!$F$32,"")</f>
        <v/>
      </c>
      <c r="V377" s="518" t="str">
        <f>IF(AND(_A="A-319",'2024'!$M$4="FO",'2024'!$M$2=V347),'2024DATA'!$G$32,"")</f>
        <v/>
      </c>
      <c r="W377" s="518" t="str">
        <f>IF(AND(_A="A-319",'2024'!$M$4="FO",'2024'!$M$2=W347),'2024DATA'!$H$32,"")</f>
        <v/>
      </c>
      <c r="X377" s="518" t="str">
        <f>IF(AND(_A="A-319",'2024'!$M$4="FO",'2024'!$M$2=X347),'2024DATA'!$I$32,"")</f>
        <v/>
      </c>
      <c r="Y377" s="518" t="str">
        <f>IF(AND(_A="A-319",'2024'!$M$4="FO",'2024'!$M$2=Y347),'2024DATA'!$J$32,"")</f>
        <v/>
      </c>
      <c r="Z377" s="518" t="str">
        <f>IF(AND(_A="A-319",'2024'!$M$4="FO",'2024'!$M$2=Z347),'2024DATA'!$K$32,"")</f>
        <v/>
      </c>
      <c r="AA377" s="518" t="str">
        <f>IF(AND(_A="A-319",'2024'!$M$4="FO",'2024'!$M$2=AA347),'2024DATA'!$L$32,"")</f>
        <v/>
      </c>
      <c r="AB377" s="518" t="str">
        <f>IF(AND(_A="A-319",'2024'!$M$4="FO",'2024'!$M$2=AB347),'2024DATA'!$M$32,"")</f>
        <v/>
      </c>
      <c r="AC377" s="520" t="str">
        <f>IF(AND(_A="A-319",'2024'!$M$4="FO",'2024'!$M$2=AC347),'2024DATA'!$N$32,"")</f>
        <v/>
      </c>
      <c r="AD377" s="940"/>
      <c r="AE377" s="13" t="s">
        <v>62</v>
      </c>
      <c r="AF377" s="518" t="str">
        <f>IF(AND(_B="A-319",'2024'!$M$4="FO",'2024'!$M$2=AF347),'2024DATA'!$C$32,"")</f>
        <v/>
      </c>
      <c r="AG377" s="518" t="str">
        <f>IF(AND(_B="A-319",'2024'!$M$4="FO",'2024'!$M$2=AG347),'2024DATA'!$D$32,"")</f>
        <v/>
      </c>
      <c r="AH377" s="518" t="str">
        <f>IF(AND(_B="A-319",'2024'!$M$4="FO",'2024'!$M$2=AH347),'2024DATA'!$E$32,"")</f>
        <v/>
      </c>
      <c r="AI377" s="518" t="str">
        <f>IF(AND(_B="A-319",'2024'!$M$4="FO",'2024'!$M$2=AI347),'2024DATA'!$F$32,"")</f>
        <v/>
      </c>
      <c r="AJ377" s="518" t="str">
        <f>IF(AND(_B="A-319",'2024'!$M$4="FO",'2024'!$M$2=AJ347),'2024DATA'!$G$32,"")</f>
        <v/>
      </c>
      <c r="AK377" s="518" t="str">
        <f>IF(AND(_B="A-319",'2024'!$M$4="FO",'2024'!$M$2=AK347),'2024DATA'!$H$32,"")</f>
        <v/>
      </c>
      <c r="AL377" s="518" t="str">
        <f>IF(AND(_B="A-319",'2024'!$M$4="FO",'2024'!$M$2=AL347),'2024DATA'!$I$32,"")</f>
        <v/>
      </c>
      <c r="AM377" s="518" t="str">
        <f>IF(AND(_B="A-319",'2024'!$M$4="FO",'2024'!$M$2=AM347),'2024DATA'!$J$32,"")</f>
        <v/>
      </c>
      <c r="AN377" s="518" t="str">
        <f>IF(AND(_B="A-319",'2024'!$M$4="FO",'2024'!$M$2=AN347),'2024DATA'!$K$32,"")</f>
        <v/>
      </c>
      <c r="AO377" s="518" t="str">
        <f>IF(AND(_B="A-319",'2024'!$M$4="FO",'2024'!$M$2=AO347),'2024DATA'!$L$32,"")</f>
        <v/>
      </c>
      <c r="AP377" s="518" t="str">
        <f>IF(AND(_B="A-319",'2024'!$M$4="FO",'2024'!$M$2=AP347),'2024DATA'!$M$32,"")</f>
        <v/>
      </c>
      <c r="AQ377" s="520" t="str">
        <f>IF(AND(_B="A-319",'2024'!$M$4="FO",'2024'!$M$2=AQ347),'2024DATA'!$N$32,"")</f>
        <v/>
      </c>
      <c r="AR377" s="940"/>
      <c r="AS377" s="13" t="s">
        <v>62</v>
      </c>
      <c r="AT377" s="518" t="str">
        <f>IF(AND(_C="A-319",'2024'!$M$4="FO",'2024'!$M$2=AT347),'2024DATA'!$C$32,"")</f>
        <v/>
      </c>
      <c r="AU377" s="518" t="str">
        <f>IF(AND(_C="A-319",'2024'!$M$4="FO",'2024'!$M$2=AU347),'2024DATA'!$D$32,"")</f>
        <v/>
      </c>
      <c r="AV377" s="518" t="str">
        <f>IF(AND(_C="A-319",'2024'!$M$4="FO",'2024'!$M$2=AV347),'2024DATA'!$E$32,"")</f>
        <v/>
      </c>
      <c r="AW377" s="518" t="str">
        <f>IF(AND(_C="A-319",'2024'!$M$4="FO",'2024'!$M$2=AW347),'2024DATA'!$F$32,"")</f>
        <v/>
      </c>
      <c r="AX377" s="518" t="str">
        <f>IF(AND(_C="A-319",'2024'!$M$4="FO",'2024'!$M$2=AX347),'2024DATA'!$G$32,"")</f>
        <v/>
      </c>
      <c r="AY377" s="518" t="str">
        <f>IF(AND(_C="A-319",'2024'!$M$4="FO",'2024'!$M$2=AY347),'2024DATA'!$H$32,"")</f>
        <v/>
      </c>
      <c r="AZ377" s="518" t="str">
        <f>IF(AND(_C="A-319",'2024'!$M$4="FO",'2024'!$M$2=AZ347),'2024DATA'!$I$32,"")</f>
        <v/>
      </c>
      <c r="BA377" s="518" t="str">
        <f>IF(AND(_C="A-319",'2024'!$M$4="FO",'2024'!$M$2=BA347),'2024DATA'!$J$32,"")</f>
        <v/>
      </c>
      <c r="BB377" s="518" t="str">
        <f>IF(AND(_C="A-319",'2024'!$M$4="FO",'2024'!$M$2=BB347),'2024DATA'!$K$32,"")</f>
        <v/>
      </c>
      <c r="BC377" s="518" t="str">
        <f>IF(AND(_C="A-319",'2024'!$M$4="FO",'2024'!$M$2=BC347),'2024DATA'!$L$32,"")</f>
        <v/>
      </c>
      <c r="BD377" s="518" t="str">
        <f>IF(AND(_C="A-319",'2024'!$M$4="FO",'2024'!$M$2=BD347),'2024DATA'!$M$32,"")</f>
        <v/>
      </c>
      <c r="BE377" s="520" t="str">
        <f>IF(AND(_C="A-319",'2024'!$M$4="FO",'2024'!$M$2=BE347),'2024DATA'!$N$32,"")</f>
        <v/>
      </c>
      <c r="BF377" s="940"/>
      <c r="BG377" s="13" t="s">
        <v>62</v>
      </c>
      <c r="BH377" s="518" t="str">
        <f>IF(AND(_D="A-319",'2024'!$M$4="FO",'2024'!$M$2=BH347),'2024DATA'!$C$32,"")</f>
        <v/>
      </c>
      <c r="BI377" s="518" t="str">
        <f>IF(AND(_D="A-319",'2024'!$M$4="FO",'2024'!$M$2=BI347),'2024DATA'!$D$32,"")</f>
        <v/>
      </c>
      <c r="BJ377" s="518" t="str">
        <f>IF(AND(_D="A-319",'2024'!$M$4="FO",'2024'!$M$2=BJ347),'2024DATA'!$E$32,"")</f>
        <v/>
      </c>
      <c r="BK377" s="518" t="str">
        <f>IF(AND(_D="A-319",'2024'!$M$4="FO",'2024'!$M$2=BK347),'2024DATA'!$F$32,"")</f>
        <v/>
      </c>
      <c r="BL377" s="518" t="str">
        <f>IF(AND(_D="A-319",'2024'!$M$4="FO",'2024'!$M$2=BL347),'2024DATA'!$G$32,"")</f>
        <v/>
      </c>
      <c r="BM377" s="518" t="str">
        <f>IF(AND(_D="A-319",'2024'!$M$4="FO",'2024'!$M$2=BM347),'2024DATA'!$H$32,"")</f>
        <v/>
      </c>
      <c r="BN377" s="518" t="str">
        <f>IF(AND(_D="A-319",'2024'!$M$4="FO",'2024'!$M$2=BN347),'2024DATA'!$I$32,"")</f>
        <v/>
      </c>
      <c r="BO377" s="518" t="str">
        <f>IF(AND(_D="A-319",'2024'!$M$4="FO",'2024'!$M$2=BO347),'2024DATA'!$J$32,"")</f>
        <v/>
      </c>
      <c r="BP377" s="518" t="str">
        <f>IF(AND(_D="A-319",'2024'!$M$4="FO",'2024'!$M$2=BP347),'2024DATA'!$K$32,"")</f>
        <v/>
      </c>
      <c r="BQ377" s="518" t="str">
        <f>IF(AND(_D="A-319",'2024'!$M$4="FO",'2024'!$M$2=BQ347),'2024DATA'!$L$32,"")</f>
        <v/>
      </c>
      <c r="BR377" s="518" t="str">
        <f>IF(AND(_D="A-319",'2024'!$M$4="FO",'2024'!$M$2=BR347),'2024DATA'!$M$32,"")</f>
        <v/>
      </c>
      <c r="BS377" s="520" t="str">
        <f>IF(AND(_D="A-319",'2024'!$M$4="FO",'2024'!$M$2=BS347),'2024DATA'!$N$32,"")</f>
        <v/>
      </c>
      <c r="BT377" s="940"/>
      <c r="BU377" s="13" t="s">
        <v>62</v>
      </c>
      <c r="BV377" s="518" t="str">
        <f>IF(AND(_E="A-319",'2024'!$M$4="FO",'2024'!$M$2=BV347),'2024DATA'!$C$32,"")</f>
        <v/>
      </c>
      <c r="BW377" s="518" t="str">
        <f>IF(AND(_E="A-319",'2024'!$M$4="FO",'2024'!$M$2=BW347),'2024DATA'!$D$32,"")</f>
        <v/>
      </c>
      <c r="BX377" s="518" t="str">
        <f>IF(AND(_E="A-319",'2024'!$M$4="FO",'2024'!$M$2=BX347),'2024DATA'!$E$32,"")</f>
        <v/>
      </c>
      <c r="BY377" s="518" t="str">
        <f>IF(AND(_E="A-319",'2024'!$M$4="FO",'2024'!$M$2=BY347),'2024DATA'!$F$32,"")</f>
        <v/>
      </c>
      <c r="BZ377" s="518" t="str">
        <f>IF(AND(_E="A-319",'2024'!$M$4="FO",'2024'!$M$2=BZ347),'2024DATA'!$G$32,"")</f>
        <v/>
      </c>
      <c r="CA377" s="518" t="str">
        <f>IF(AND(_E="A-319",'2024'!$M$4="FO",'2024'!$M$2=CA347),'2024DATA'!$H$32,"")</f>
        <v/>
      </c>
      <c r="CB377" s="518" t="str">
        <f>IF(AND(_E="A-319",'2024'!$M$4="FO",'2024'!$M$2=CB347),'2024DATA'!$I$32,"")</f>
        <v/>
      </c>
      <c r="CC377" s="518" t="str">
        <f>IF(AND(_E="A-319",'2024'!$M$4="FO",'2024'!$M$2=CC347),'2024DATA'!$J$32,"")</f>
        <v/>
      </c>
      <c r="CD377" s="518" t="str">
        <f>IF(AND(_E="A-319",'2024'!$M$4="FO",'2024'!$M$2=CD347),'2024DATA'!$K$32,"")</f>
        <v/>
      </c>
      <c r="CE377" s="518" t="str">
        <f>IF(AND(_E="A-319",'2024'!$M$4="FO",'2024'!$M$2=CE347),'2024DATA'!$L$32,"")</f>
        <v/>
      </c>
      <c r="CF377" s="518" t="str">
        <f>IF(AND(_E="A-319",'2024'!$M$4="FO",'2024'!$M$2=CF347),'2024DATA'!$M$32,"")</f>
        <v/>
      </c>
      <c r="CG377" s="520" t="str">
        <f>IF(AND(_E="A-319",'2024'!$M$4="FO",'2024'!$M$2=CG347),'2024DATA'!$N$32,"")</f>
        <v/>
      </c>
      <c r="CH377" s="940"/>
      <c r="CI377" s="13" t="s">
        <v>62</v>
      </c>
      <c r="CJ377" s="518" t="str">
        <f>IF(AND(_F="A-319",'2024'!$M$4="FO",'2024'!$M$2=CJ347),'2024DATA'!$C$32,"")</f>
        <v/>
      </c>
      <c r="CK377" s="518" t="str">
        <f>IF(AND(_F="A-319",'2024'!$M$4="FO",'2024'!$M$2=CK347),'2024DATA'!$D$32,"")</f>
        <v/>
      </c>
      <c r="CL377" s="518" t="str">
        <f>IF(AND(_F="A-319",'2024'!$M$4="FO",'2024'!$M$2=CL347),'2024DATA'!$E$32,"")</f>
        <v/>
      </c>
      <c r="CM377" s="518" t="str">
        <f>IF(AND(_F="A-319",'2024'!$M$4="FO",'2024'!$M$2=CM347),'2024DATA'!$F$32,"")</f>
        <v/>
      </c>
      <c r="CN377" s="518" t="str">
        <f>IF(AND(_F="A-319",'2024'!$M$4="FO",'2024'!$M$2=CN347),'2024DATA'!$G$32,"")</f>
        <v/>
      </c>
      <c r="CO377" s="518" t="str">
        <f>IF(AND(_F="A-319",'2024'!$M$4="FO",'2024'!$M$2=CO347),'2024DATA'!$H$32,"")</f>
        <v/>
      </c>
      <c r="CP377" s="518" t="str">
        <f>IF(AND(_F="A-319",'2024'!$M$4="FO",'2024'!$M$2=CP347),'2024DATA'!$I$32,"")</f>
        <v/>
      </c>
      <c r="CQ377" s="518" t="str">
        <f>IF(AND(_F="A-319",'2024'!$M$4="FO",'2024'!$M$2=CQ347),'2024DATA'!$J$32,"")</f>
        <v/>
      </c>
      <c r="CR377" s="518" t="str">
        <f>IF(AND(_F="A-319",'2024'!$M$4="FO",'2024'!$M$2=CR347),'2024DATA'!$K$32,"")</f>
        <v/>
      </c>
      <c r="CS377" s="518" t="str">
        <f>IF(AND(_F="A-319",'2024'!$M$4="FO",'2024'!$M$2=CS347),'2024DATA'!$L$32,"")</f>
        <v/>
      </c>
      <c r="CT377" s="518" t="str">
        <f>IF(AND(_F="A-319",'2024'!$M$4="FO",'2024'!$M$2=CT347),'2024DATA'!$M$32,"")</f>
        <v/>
      </c>
      <c r="CU377" s="520" t="str">
        <f>IF(AND(_F="A-319",'2024'!$M$4="FO",'2024'!$M$2=CU347),'2024DATA'!$N$32,"")</f>
        <v/>
      </c>
    </row>
    <row r="378" spans="16:99" x14ac:dyDescent="0.25">
      <c r="P378" s="940" t="s">
        <v>51</v>
      </c>
      <c r="Q378" s="13" t="s">
        <v>61</v>
      </c>
      <c r="R378" s="518" t="str">
        <f>IF(AND(_A="A-220-300",'2024'!$M$4="CA",'2024'!$M$2=R347),'2024DATA'!$C$33,"")</f>
        <v/>
      </c>
      <c r="S378" s="518" t="str">
        <f>IF(AND(_A="A-220-300",'2024'!$M$4="CA",'2024'!$M$2=S347),'2024DATA'!$D$33,"")</f>
        <v/>
      </c>
      <c r="T378" s="518" t="str">
        <f>IF(AND(_A="A-220-300",'2024'!$M$4="CA",'2024'!$M$2=T347),'2024DATA'!$E$33,"")</f>
        <v/>
      </c>
      <c r="U378" s="518" t="str">
        <f>IF(AND(_A="A-220-300",'2024'!$M$4="CA",'2024'!$M$2=U347),'2024DATA'!$F$33,"")</f>
        <v/>
      </c>
      <c r="V378" s="518" t="str">
        <f>IF(AND(_A="A-220-300",'2024'!$M$4="CA",'2024'!$M$2=V347),'2024DATA'!$G$33,"")</f>
        <v/>
      </c>
      <c r="W378" s="518" t="str">
        <f>IF(AND(_A="A-220-300",'2024'!$M$4="CA",'2024'!$M$2=W347),'2024DATA'!$H$33,"")</f>
        <v/>
      </c>
      <c r="X378" s="518" t="str">
        <f>IF(AND(_A="A-220-300",'2024'!$M$4="CA",'2024'!$M$2=X347),'2024DATA'!$I$33,"")</f>
        <v/>
      </c>
      <c r="Y378" s="518" t="str">
        <f>IF(AND(_A="A-220-300",'2024'!$M$4="CA",'2024'!$M$2=Y347),'2024DATA'!$J$33,"")</f>
        <v/>
      </c>
      <c r="Z378" s="518" t="str">
        <f>IF(AND(_A="A-220-300",'2024'!$M$4="CA",'2024'!$M$2=Z347),'2024DATA'!$K$33,"")</f>
        <v/>
      </c>
      <c r="AA378" s="518" t="str">
        <f>IF(AND(_A="A-220-300",'2024'!$M$4="CA",'2024'!$M$2=AA347),'2024DATA'!$L$33,"")</f>
        <v/>
      </c>
      <c r="AB378" s="518" t="str">
        <f>IF(AND(_A="A-220-300",'2024'!$M$4="CA",'2024'!$M$2=AB347),'2024DATA'!$M$33,"")</f>
        <v/>
      </c>
      <c r="AC378" s="520" t="str">
        <f>IF(AND(_A="A-220-300",'2024'!$M$4="CA",'2024'!$M$2=AC347),'2024DATA'!$N$33,"")</f>
        <v/>
      </c>
      <c r="AD378" s="940" t="s">
        <v>51</v>
      </c>
      <c r="AE378" s="13" t="s">
        <v>61</v>
      </c>
      <c r="AF378" s="518" t="str">
        <f>IF(AND(_B="A-220-300",'2024'!$M$4="CA",'2024'!$M$2=AF347),'2024DATA'!$C$33,"")</f>
        <v/>
      </c>
      <c r="AG378" s="518" t="str">
        <f>IF(AND(_B="A-220-300",'2024'!$M$4="CA",'2024'!$M$2=AG347),'2024DATA'!$D$33,"")</f>
        <v/>
      </c>
      <c r="AH378" s="518" t="str">
        <f>IF(AND(_B="A-220-300",'2024'!$M$4="CA",'2024'!$M$2=AH347),'2024DATA'!$E$33,"")</f>
        <v/>
      </c>
      <c r="AI378" s="518" t="str">
        <f>IF(AND(_B="A-220-300",'2024'!$M$4="CA",'2024'!$M$2=AI347),'2024DATA'!$F$33,"")</f>
        <v/>
      </c>
      <c r="AJ378" s="518" t="str">
        <f>IF(AND(_B="A-220-300",'2024'!$M$4="CA",'2024'!$M$2=AJ347),'2024DATA'!$G$33,"")</f>
        <v/>
      </c>
      <c r="AK378" s="518" t="str">
        <f>IF(AND(_B="A-220-300",'2024'!$M$4="CA",'2024'!$M$2=AK347),'2024DATA'!$H$33,"")</f>
        <v/>
      </c>
      <c r="AL378" s="518" t="str">
        <f>IF(AND(_B="A-220-300",'2024'!$M$4="CA",'2024'!$M$2=AL347),'2024DATA'!$I$33,"")</f>
        <v/>
      </c>
      <c r="AM378" s="518" t="str">
        <f>IF(AND(_B="A-220-300",'2024'!$M$4="CA",'2024'!$M$2=AM347),'2024DATA'!$J$33,"")</f>
        <v/>
      </c>
      <c r="AN378" s="518" t="str">
        <f>IF(AND(_B="A-220-300",'2024'!$M$4="CA",'2024'!$M$2=AN347),'2024DATA'!$K$33,"")</f>
        <v/>
      </c>
      <c r="AO378" s="518" t="str">
        <f>IF(AND(_B="A-220-300",'2024'!$M$4="CA",'2024'!$M$2=AO347),'2024DATA'!$L$33,"")</f>
        <v/>
      </c>
      <c r="AP378" s="518" t="str">
        <f>IF(AND(_B="A-220-300",'2024'!$M$4="CA",'2024'!$M$2=AP347),'2024DATA'!$M$33,"")</f>
        <v/>
      </c>
      <c r="AQ378" s="520" t="str">
        <f>IF(AND(_B="A-220-300",'2024'!$M$4="CA",'2024'!$M$2=AQ347),'2024DATA'!$N$33,"")</f>
        <v/>
      </c>
      <c r="AR378" s="940" t="s">
        <v>51</v>
      </c>
      <c r="AS378" s="13" t="s">
        <v>61</v>
      </c>
      <c r="AT378" s="518" t="str">
        <f>IF(AND(_C="A-220-300",'2024'!$M$4="CA",'2024'!$M$2=AT347),'2024DATA'!$C$33,"")</f>
        <v/>
      </c>
      <c r="AU378" s="518" t="str">
        <f>IF(AND(_C="A-220-300",'2024'!$M$4="CA",'2024'!$M$2=AU347),'2024DATA'!$D$33,"")</f>
        <v/>
      </c>
      <c r="AV378" s="518" t="str">
        <f>IF(AND(_C="A-220-300",'2024'!$M$4="CA",'2024'!$M$2=AV347),'2024DATA'!$E$33,"")</f>
        <v/>
      </c>
      <c r="AW378" s="518" t="str">
        <f>IF(AND(_C="A-220-300",'2024'!$M$4="CA",'2024'!$M$2=AW347),'2024DATA'!$F$33,"")</f>
        <v/>
      </c>
      <c r="AX378" s="518" t="str">
        <f>IF(AND(_C="A-220-300",'2024'!$M$4="CA",'2024'!$M$2=AX347),'2024DATA'!$G$33,"")</f>
        <v/>
      </c>
      <c r="AY378" s="518" t="str">
        <f>IF(AND(_C="A-220-300",'2024'!$M$4="CA",'2024'!$M$2=AY347),'2024DATA'!$H$33,"")</f>
        <v/>
      </c>
      <c r="AZ378" s="518" t="str">
        <f>IF(AND(_C="A-220-300",'2024'!$M$4="CA",'2024'!$M$2=AZ347),'2024DATA'!$I$33,"")</f>
        <v/>
      </c>
      <c r="BA378" s="518" t="str">
        <f>IF(AND(_C="A-220-300",'2024'!$M$4="CA",'2024'!$M$2=BA347),'2024DATA'!$J$33,"")</f>
        <v/>
      </c>
      <c r="BB378" s="518" t="str">
        <f>IF(AND(_C="A-220-300",'2024'!$M$4="CA",'2024'!$M$2=BB347),'2024DATA'!$K$33,"")</f>
        <v/>
      </c>
      <c r="BC378" s="518" t="str">
        <f>IF(AND(_C="A-220-300",'2024'!$M$4="CA",'2024'!$M$2=BC347),'2024DATA'!$L$33,"")</f>
        <v/>
      </c>
      <c r="BD378" s="518" t="str">
        <f>IF(AND(_C="A-220-300",'2024'!$M$4="CA",'2024'!$M$2=BD347),'2024DATA'!$M$33,"")</f>
        <v/>
      </c>
      <c r="BE378" s="520" t="str">
        <f>IF(AND(_C="A-220-300",'2024'!$M$4="CA",'2024'!$M$2=BE347),'2024DATA'!$N$33,"")</f>
        <v/>
      </c>
      <c r="BF378" s="940" t="s">
        <v>51</v>
      </c>
      <c r="BG378" s="13" t="s">
        <v>61</v>
      </c>
      <c r="BH378" s="518" t="str">
        <f>IF(AND(_D="A-220-300",'2024'!$M$4="CA",'2024'!$M$2=BH347),'2024DATA'!$C$33,"")</f>
        <v/>
      </c>
      <c r="BI378" s="518" t="str">
        <f>IF(AND(_D="A-220-300",'2024'!$M$4="CA",'2024'!$M$2=BI347),'2024DATA'!$D$33,"")</f>
        <v/>
      </c>
      <c r="BJ378" s="518" t="str">
        <f>IF(AND(_D="A-220-300",'2024'!$M$4="CA",'2024'!$M$2=BJ347),'2024DATA'!$E$33,"")</f>
        <v/>
      </c>
      <c r="BK378" s="518" t="str">
        <f>IF(AND(_D="A-220-300",'2024'!$M$4="CA",'2024'!$M$2=BK347),'2024DATA'!$F$33,"")</f>
        <v/>
      </c>
      <c r="BL378" s="518" t="str">
        <f>IF(AND(_D="A-220-300",'2024'!$M$4="CA",'2024'!$M$2=BL347),'2024DATA'!$G$33,"")</f>
        <v/>
      </c>
      <c r="BM378" s="518" t="str">
        <f>IF(AND(_D="A-220-300",'2024'!$M$4="CA",'2024'!$M$2=BM347),'2024DATA'!$H$33,"")</f>
        <v/>
      </c>
      <c r="BN378" s="518" t="str">
        <f>IF(AND(_D="A-220-300",'2024'!$M$4="CA",'2024'!$M$2=BN347),'2024DATA'!$I$33,"")</f>
        <v/>
      </c>
      <c r="BO378" s="518" t="str">
        <f>IF(AND(_D="A-220-300",'2024'!$M$4="CA",'2024'!$M$2=BO347),'2024DATA'!$J$33,"")</f>
        <v/>
      </c>
      <c r="BP378" s="518" t="str">
        <f>IF(AND(_D="A-220-300",'2024'!$M$4="CA",'2024'!$M$2=BP347),'2024DATA'!$K$33,"")</f>
        <v/>
      </c>
      <c r="BQ378" s="518" t="str">
        <f>IF(AND(_D="A-220-300",'2024'!$M$4="CA",'2024'!$M$2=BQ347),'2024DATA'!$L$33,"")</f>
        <v/>
      </c>
      <c r="BR378" s="518" t="str">
        <f>IF(AND(_D="A-220-300",'2024'!$M$4="CA",'2024'!$M$2=BR347),'2024DATA'!$M$33,"")</f>
        <v/>
      </c>
      <c r="BS378" s="520" t="str">
        <f>IF(AND(_D="A-220-300",'2024'!$M$4="CA",'2024'!$M$2=BS347),'2024DATA'!$N$33,"")</f>
        <v/>
      </c>
      <c r="BT378" s="940" t="s">
        <v>51</v>
      </c>
      <c r="BU378" s="13" t="s">
        <v>61</v>
      </c>
      <c r="BV378" s="518" t="str">
        <f>IF(AND(_E="A-220-300",'2024'!$M$4="CA",'2024'!$M$2=BV347),'2024DATA'!$C$33,"")</f>
        <v/>
      </c>
      <c r="BW378" s="518" t="str">
        <f>IF(AND(_E="A-220-300",'2024'!$M$4="CA",'2024'!$M$2=BW347),'2024DATA'!$D$33,"")</f>
        <v/>
      </c>
      <c r="BX378" s="518" t="str">
        <f>IF(AND(_E="A-220-300",'2024'!$M$4="CA",'2024'!$M$2=BX347),'2024DATA'!$E$33,"")</f>
        <v/>
      </c>
      <c r="BY378" s="518" t="str">
        <f>IF(AND(_E="A-220-300",'2024'!$M$4="CA",'2024'!$M$2=BY347),'2024DATA'!$F$33,"")</f>
        <v/>
      </c>
      <c r="BZ378" s="518" t="str">
        <f>IF(AND(_E="A-220-300",'2024'!$M$4="CA",'2024'!$M$2=BZ347),'2024DATA'!$G$33,"")</f>
        <v/>
      </c>
      <c r="CA378" s="518" t="str">
        <f>IF(AND(_E="A-220-300",'2024'!$M$4="CA",'2024'!$M$2=CA347),'2024DATA'!$H$33,"")</f>
        <v/>
      </c>
      <c r="CB378" s="518" t="str">
        <f>IF(AND(_E="A-220-300",'2024'!$M$4="CA",'2024'!$M$2=CB347),'2024DATA'!$I$33,"")</f>
        <v/>
      </c>
      <c r="CC378" s="518" t="str">
        <f>IF(AND(_E="A-220-300",'2024'!$M$4="CA",'2024'!$M$2=CC347),'2024DATA'!$J$33,"")</f>
        <v/>
      </c>
      <c r="CD378" s="518" t="str">
        <f>IF(AND(_E="A-220-300",'2024'!$M$4="CA",'2024'!$M$2=CD347),'2024DATA'!$K$33,"")</f>
        <v/>
      </c>
      <c r="CE378" s="518" t="str">
        <f>IF(AND(_E="A-220-300",'2024'!$M$4="CA",'2024'!$M$2=CE347),'2024DATA'!$L$33,"")</f>
        <v/>
      </c>
      <c r="CF378" s="518" t="str">
        <f>IF(AND(_E="A-220-300",'2024'!$M$4="CA",'2024'!$M$2=CF347),'2024DATA'!$M$33,"")</f>
        <v/>
      </c>
      <c r="CG378" s="520" t="str">
        <f>IF(AND(_E="A-220-300",'2024'!$M$4="CA",'2024'!$M$2=CG347),'2024DATA'!$N$33,"")</f>
        <v/>
      </c>
      <c r="CH378" s="940" t="s">
        <v>51</v>
      </c>
      <c r="CI378" s="13" t="s">
        <v>61</v>
      </c>
      <c r="CJ378" s="518" t="str">
        <f>IF(AND(_F="A-220-300",'2024'!$M$4="CA",'2024'!$M$2=CJ347),'2024DATA'!$C$33,"")</f>
        <v/>
      </c>
      <c r="CK378" s="518" t="str">
        <f>IF(AND(_F="A-220-300",'2024'!$M$4="CA",'2024'!$M$2=CK347),'2024DATA'!$D$33,"")</f>
        <v/>
      </c>
      <c r="CL378" s="518" t="str">
        <f>IF(AND(_F="A-220-300",'2024'!$M$4="CA",'2024'!$M$2=CL347),'2024DATA'!$E$33,"")</f>
        <v/>
      </c>
      <c r="CM378" s="518" t="str">
        <f>IF(AND(_F="A-220-300",'2024'!$M$4="CA",'2024'!$M$2=CM347),'2024DATA'!$F$33,"")</f>
        <v/>
      </c>
      <c r="CN378" s="518" t="str">
        <f>IF(AND(_F="A-220-300",'2024'!$M$4="CA",'2024'!$M$2=CN347),'2024DATA'!$G$33,"")</f>
        <v/>
      </c>
      <c r="CO378" s="518" t="str">
        <f>IF(AND(_F="A-220-300",'2024'!$M$4="CA",'2024'!$M$2=CO347),'2024DATA'!$H$33,"")</f>
        <v/>
      </c>
      <c r="CP378" s="518" t="str">
        <f>IF(AND(_F="A-220-300",'2024'!$M$4="CA",'2024'!$M$2=CP347),'2024DATA'!$I$33,"")</f>
        <v/>
      </c>
      <c r="CQ378" s="518" t="str">
        <f>IF(AND(_F="A-220-300",'2024'!$M$4="CA",'2024'!$M$2=CQ347),'2024DATA'!$J$33,"")</f>
        <v/>
      </c>
      <c r="CR378" s="518" t="str">
        <f>IF(AND(_F="A-220-300",'2024'!$M$4="CA",'2024'!$M$2=CR347),'2024DATA'!$K$33,"")</f>
        <v/>
      </c>
      <c r="CS378" s="518" t="str">
        <f>IF(AND(_F="A-220-300",'2024'!$M$4="CA",'2024'!$M$2=CS347),'2024DATA'!$L$33,"")</f>
        <v/>
      </c>
      <c r="CT378" s="518" t="str">
        <f>IF(AND(_F="A-220-300",'2024'!$M$4="CA",'2024'!$M$2=CT347),'2024DATA'!$M$33,"")</f>
        <v/>
      </c>
      <c r="CU378" s="520" t="str">
        <f>IF(AND(_F="A-220-300",'2024'!$M$4="CA",'2024'!$M$2=CU347),'2024DATA'!$N$33,"")</f>
        <v/>
      </c>
    </row>
    <row r="379" spans="16:99" x14ac:dyDescent="0.25">
      <c r="P379" s="940"/>
      <c r="Q379" s="13" t="s">
        <v>62</v>
      </c>
      <c r="R379" s="518" t="str">
        <f>IF(AND(_A="A-220-300",'2024'!$M$4="FO",'2024'!$M$2=R347),'2024DATA'!$C$34,"")</f>
        <v/>
      </c>
      <c r="S379" s="518" t="str">
        <f>IF(AND(_A="A-220-300",'2024'!$M$4="FO",'2024'!$M$2=S347),'2024DATA'!$D$34,"")</f>
        <v/>
      </c>
      <c r="T379" s="518" t="str">
        <f>IF(AND(_A="A-220-300",'2024'!$M$4="FO",'2024'!$M$2=T347),'2024DATA'!$E$34,"")</f>
        <v/>
      </c>
      <c r="U379" s="518" t="str">
        <f>IF(AND(_A="A-220-300",'2024'!$M$4="FO",'2024'!$M$2=U347),'2024DATA'!$F$34,"")</f>
        <v/>
      </c>
      <c r="V379" s="518" t="str">
        <f>IF(AND(_A="A-220-300",'2024'!$M$4="FO",'2024'!$M$2=V347),'2024DATA'!$G$34,"")</f>
        <v/>
      </c>
      <c r="W379" s="518" t="str">
        <f>IF(AND(_A="A-220-300",'2024'!$M$4="FO",'2024'!$M$2=W347),'2024DATA'!$H$34,"")</f>
        <v/>
      </c>
      <c r="X379" s="518" t="str">
        <f>IF(AND(_A="A-220-300",'2024'!$M$4="FO",'2024'!$M$2=X347),'2024DATA'!$I$34,"")</f>
        <v/>
      </c>
      <c r="Y379" s="518" t="str">
        <f>IF(AND(_A="A-220-300",'2024'!$M$4="FO",'2024'!$M$2=Y347),'2024DATA'!$J$34,"")</f>
        <v/>
      </c>
      <c r="Z379" s="518" t="str">
        <f>IF(AND(_A="A-220-300",'2024'!$M$4="FO",'2024'!$M$2=Z347),'2024DATA'!$K$34,"")</f>
        <v/>
      </c>
      <c r="AA379" s="518" t="str">
        <f>IF(AND(_A="A-220-300",'2024'!$M$4="FO",'2024'!$M$2=AA347),'2024DATA'!$L$34,"")</f>
        <v/>
      </c>
      <c r="AB379" s="518" t="str">
        <f>IF(AND(_A="A-220-300",'2024'!$M$4="FO",'2024'!$M$2=AB347),'2024DATA'!$M$34,"")</f>
        <v/>
      </c>
      <c r="AC379" s="520" t="str">
        <f>IF(AND(_A="A-220-300",'2024'!$M$4="FO",'2024'!$M$2=AC347),'2024DATA'!$N$34,"")</f>
        <v/>
      </c>
      <c r="AD379" s="940"/>
      <c r="AE379" s="13" t="s">
        <v>62</v>
      </c>
      <c r="AF379" s="518" t="str">
        <f>IF(AND(_B="A-220-300",'2024'!$M$4="FO",'2024'!$M$2=AF347),'2024DATA'!$C$34,"")</f>
        <v/>
      </c>
      <c r="AG379" s="518" t="str">
        <f>IF(AND(_B="A-220-300",'2024'!$M$4="FO",'2024'!$M$2=AG347),'2024DATA'!$D$34,"")</f>
        <v/>
      </c>
      <c r="AH379" s="518" t="str">
        <f>IF(AND(_B="A-220-300",'2024'!$M$4="FO",'2024'!$M$2=AH347),'2024DATA'!$E$34,"")</f>
        <v/>
      </c>
      <c r="AI379" s="518" t="str">
        <f>IF(AND(_B="A-220-300",'2024'!$M$4="FO",'2024'!$M$2=AI347),'2024DATA'!$F$34,"")</f>
        <v/>
      </c>
      <c r="AJ379" s="518" t="str">
        <f>IF(AND(_B="A-220-300",'2024'!$M$4="FO",'2024'!$M$2=AJ347),'2024DATA'!$G$34,"")</f>
        <v/>
      </c>
      <c r="AK379" s="518" t="str">
        <f>IF(AND(_B="A-220-300",'2024'!$M$4="FO",'2024'!$M$2=AK347),'2024DATA'!$H$34,"")</f>
        <v/>
      </c>
      <c r="AL379" s="518" t="str">
        <f>IF(AND(_B="A-220-300",'2024'!$M$4="FO",'2024'!$M$2=AL347),'2024DATA'!$I$34,"")</f>
        <v/>
      </c>
      <c r="AM379" s="518" t="str">
        <f>IF(AND(_B="A-220-300",'2024'!$M$4="FO",'2024'!$M$2=AM347),'2024DATA'!$J$34,"")</f>
        <v/>
      </c>
      <c r="AN379" s="518" t="str">
        <f>IF(AND(_B="A-220-300",'2024'!$M$4="FO",'2024'!$M$2=AN347),'2024DATA'!$K$34,"")</f>
        <v/>
      </c>
      <c r="AO379" s="518" t="str">
        <f>IF(AND(_B="A-220-300",'2024'!$M$4="FO",'2024'!$M$2=AO347),'2024DATA'!$L$34,"")</f>
        <v/>
      </c>
      <c r="AP379" s="518" t="str">
        <f>IF(AND(_B="A-220-300",'2024'!$M$4="FO",'2024'!$M$2=AP347),'2024DATA'!$M$34,"")</f>
        <v/>
      </c>
      <c r="AQ379" s="520" t="str">
        <f>IF(AND(_B="A-220-300",'2024'!$M$4="FO",'2024'!$M$2=AQ347),'2024DATA'!$N$34,"")</f>
        <v/>
      </c>
      <c r="AR379" s="940"/>
      <c r="AS379" s="13" t="s">
        <v>62</v>
      </c>
      <c r="AT379" s="518" t="str">
        <f>IF(AND(_C="A-220-300",'2024'!$M$4="FO",'2024'!$M$2=AT347),'2024DATA'!$C$34,"")</f>
        <v/>
      </c>
      <c r="AU379" s="518" t="str">
        <f>IF(AND(_C="A-220-300",'2024'!$M$4="FO",'2024'!$M$2=AU347),'2024DATA'!$D$34,"")</f>
        <v/>
      </c>
      <c r="AV379" s="518" t="str">
        <f>IF(AND(_C="A-220-300",'2024'!$M$4="FO",'2024'!$M$2=AV347),'2024DATA'!$E$34,"")</f>
        <v/>
      </c>
      <c r="AW379" s="518" t="str">
        <f>IF(AND(_C="A-220-300",'2024'!$M$4="FO",'2024'!$M$2=AW347),'2024DATA'!$F$34,"")</f>
        <v/>
      </c>
      <c r="AX379" s="518" t="str">
        <f>IF(AND(_C="A-220-300",'2024'!$M$4="FO",'2024'!$M$2=AX347),'2024DATA'!$G$34,"")</f>
        <v/>
      </c>
      <c r="AY379" s="518" t="str">
        <f>IF(AND(_C="A-220-300",'2024'!$M$4="FO",'2024'!$M$2=AY347),'2024DATA'!$H$34,"")</f>
        <v/>
      </c>
      <c r="AZ379" s="518" t="str">
        <f>IF(AND(_C="A-220-300",'2024'!$M$4="FO",'2024'!$M$2=AZ347),'2024DATA'!$I$34,"")</f>
        <v/>
      </c>
      <c r="BA379" s="518" t="str">
        <f>IF(AND(_C="A-220-300",'2024'!$M$4="FO",'2024'!$M$2=BA347),'2024DATA'!$J$34,"")</f>
        <v/>
      </c>
      <c r="BB379" s="518" t="str">
        <f>IF(AND(_C="A-220-300",'2024'!$M$4="FO",'2024'!$M$2=BB347),'2024DATA'!$K$34,"")</f>
        <v/>
      </c>
      <c r="BC379" s="518" t="str">
        <f>IF(AND(_C="A-220-300",'2024'!$M$4="FO",'2024'!$M$2=BC347),'2024DATA'!$L$34,"")</f>
        <v/>
      </c>
      <c r="BD379" s="518" t="str">
        <f>IF(AND(_C="A-220-300",'2024'!$M$4="FO",'2024'!$M$2=BD347),'2024DATA'!$M$34,"")</f>
        <v/>
      </c>
      <c r="BE379" s="520" t="str">
        <f>IF(AND(_C="A-220-300",'2024'!$M$4="FO",'2024'!$M$2=BE347),'2024DATA'!$N$34,"")</f>
        <v/>
      </c>
      <c r="BF379" s="940"/>
      <c r="BG379" s="13" t="s">
        <v>62</v>
      </c>
      <c r="BH379" s="518" t="str">
        <f>IF(AND(_D="A-220-300",'2024'!$M$4="FO",'2024'!$M$2=BH347),'2024DATA'!$C$34,"")</f>
        <v/>
      </c>
      <c r="BI379" s="518" t="str">
        <f>IF(AND(_D="A-220-300",'2024'!$M$4="FO",'2024'!$M$2=BI347),'2024DATA'!$D$34,"")</f>
        <v/>
      </c>
      <c r="BJ379" s="518" t="str">
        <f>IF(AND(_D="A-220-300",'2024'!$M$4="FO",'2024'!$M$2=BJ347),'2024DATA'!$E$34,"")</f>
        <v/>
      </c>
      <c r="BK379" s="518" t="str">
        <f>IF(AND(_D="A-220-300",'2024'!$M$4="FO",'2024'!$M$2=BK347),'2024DATA'!$F$34,"")</f>
        <v/>
      </c>
      <c r="BL379" s="518" t="str">
        <f>IF(AND(_D="A-220-300",'2024'!$M$4="FO",'2024'!$M$2=BL347),'2024DATA'!$G$34,"")</f>
        <v/>
      </c>
      <c r="BM379" s="518" t="str">
        <f>IF(AND(_D="A-220-300",'2024'!$M$4="FO",'2024'!$M$2=BM347),'2024DATA'!$H$34,"")</f>
        <v/>
      </c>
      <c r="BN379" s="518" t="str">
        <f>IF(AND(_D="A-220-300",'2024'!$M$4="FO",'2024'!$M$2=BN347),'2024DATA'!$I$34,"")</f>
        <v/>
      </c>
      <c r="BO379" s="518" t="str">
        <f>IF(AND(_D="A-220-300",'2024'!$M$4="FO",'2024'!$M$2=BO347),'2024DATA'!$J$34,"")</f>
        <v/>
      </c>
      <c r="BP379" s="518" t="str">
        <f>IF(AND(_D="A-220-300",'2024'!$M$4="FO",'2024'!$M$2=BP347),'2024DATA'!$K$34,"")</f>
        <v/>
      </c>
      <c r="BQ379" s="518" t="str">
        <f>IF(AND(_D="A-220-300",'2024'!$M$4="FO",'2024'!$M$2=BQ347),'2024DATA'!$L$34,"")</f>
        <v/>
      </c>
      <c r="BR379" s="518" t="str">
        <f>IF(AND(_D="A-220-300",'2024'!$M$4="FO",'2024'!$M$2=BR347),'2024DATA'!$M$34,"")</f>
        <v/>
      </c>
      <c r="BS379" s="520" t="str">
        <f>IF(AND(_D="A-220-300",'2024'!$M$4="FO",'2024'!$M$2=BS347),'2024DATA'!$N$34,"")</f>
        <v/>
      </c>
      <c r="BT379" s="940"/>
      <c r="BU379" s="13" t="s">
        <v>62</v>
      </c>
      <c r="BV379" s="518" t="str">
        <f>IF(AND(_E="A-220-300",'2024'!$M$4="FO",'2024'!$M$2=BV347),'2024DATA'!$C$34,"")</f>
        <v/>
      </c>
      <c r="BW379" s="518" t="str">
        <f>IF(AND(_E="A-220-300",'2024'!$M$4="FO",'2024'!$M$2=BW347),'2024DATA'!$D$34,"")</f>
        <v/>
      </c>
      <c r="BX379" s="518" t="str">
        <f>IF(AND(_E="A-220-300",'2024'!$M$4="FO",'2024'!$M$2=BX347),'2024DATA'!$E$34,"")</f>
        <v/>
      </c>
      <c r="BY379" s="518" t="str">
        <f>IF(AND(_E="A-220-300",'2024'!$M$4="FO",'2024'!$M$2=BY347),'2024DATA'!$F$34,"")</f>
        <v/>
      </c>
      <c r="BZ379" s="518" t="str">
        <f>IF(AND(_E="A-220-300",'2024'!$M$4="FO",'2024'!$M$2=BZ347),'2024DATA'!$G$34,"")</f>
        <v/>
      </c>
      <c r="CA379" s="518" t="str">
        <f>IF(AND(_E="A-220-300",'2024'!$M$4="FO",'2024'!$M$2=CA347),'2024DATA'!$H$34,"")</f>
        <v/>
      </c>
      <c r="CB379" s="518" t="str">
        <f>IF(AND(_E="A-220-300",'2024'!$M$4="FO",'2024'!$M$2=CB347),'2024DATA'!$I$34,"")</f>
        <v/>
      </c>
      <c r="CC379" s="518" t="str">
        <f>IF(AND(_E="A-220-300",'2024'!$M$4="FO",'2024'!$M$2=CC347),'2024DATA'!$J$34,"")</f>
        <v/>
      </c>
      <c r="CD379" s="518" t="str">
        <f>IF(AND(_E="A-220-300",'2024'!$M$4="FO",'2024'!$M$2=CD347),'2024DATA'!$K$34,"")</f>
        <v/>
      </c>
      <c r="CE379" s="518" t="str">
        <f>IF(AND(_E="A-220-300",'2024'!$M$4="FO",'2024'!$M$2=CE347),'2024DATA'!$L$34,"")</f>
        <v/>
      </c>
      <c r="CF379" s="518" t="str">
        <f>IF(AND(_E="A-220-300",'2024'!$M$4="FO",'2024'!$M$2=CF347),'2024DATA'!$M$34,"")</f>
        <v/>
      </c>
      <c r="CG379" s="520" t="str">
        <f>IF(AND(_E="A-220-300",'2024'!$M$4="FO",'2024'!$M$2=CG347),'2024DATA'!$N$34,"")</f>
        <v/>
      </c>
      <c r="CH379" s="940"/>
      <c r="CI379" s="13" t="s">
        <v>62</v>
      </c>
      <c r="CJ379" s="518" t="str">
        <f>IF(AND(_F="A-220-300",'2024'!$M$4="FO",'2024'!$M$2=CJ347),'2024DATA'!$C$34,"")</f>
        <v/>
      </c>
      <c r="CK379" s="518" t="str">
        <f>IF(AND(_F="A-220-300",'2024'!$M$4="FO",'2024'!$M$2=CK347),'2024DATA'!$D$34,"")</f>
        <v/>
      </c>
      <c r="CL379" s="518" t="str">
        <f>IF(AND(_F="A-220-300",'2024'!$M$4="FO",'2024'!$M$2=CL347),'2024DATA'!$E$34,"")</f>
        <v/>
      </c>
      <c r="CM379" s="518" t="str">
        <f>IF(AND(_F="A-220-300",'2024'!$M$4="FO",'2024'!$M$2=CM347),'2024DATA'!$F$34,"")</f>
        <v/>
      </c>
      <c r="CN379" s="518" t="str">
        <f>IF(AND(_F="A-220-300",'2024'!$M$4="FO",'2024'!$M$2=CN347),'2024DATA'!$G$34,"")</f>
        <v/>
      </c>
      <c r="CO379" s="518" t="str">
        <f>IF(AND(_F="A-220-300",'2024'!$M$4="FO",'2024'!$M$2=CO347),'2024DATA'!$H$34,"")</f>
        <v/>
      </c>
      <c r="CP379" s="518" t="str">
        <f>IF(AND(_F="A-220-300",'2024'!$M$4="FO",'2024'!$M$2=CP347),'2024DATA'!$I$34,"")</f>
        <v/>
      </c>
      <c r="CQ379" s="518" t="str">
        <f>IF(AND(_F="A-220-300",'2024'!$M$4="FO",'2024'!$M$2=CQ347),'2024DATA'!$J$34,"")</f>
        <v/>
      </c>
      <c r="CR379" s="518" t="str">
        <f>IF(AND(_F="A-220-300",'2024'!$M$4="FO",'2024'!$M$2=CR347),'2024DATA'!$K$34,"")</f>
        <v/>
      </c>
      <c r="CS379" s="518" t="str">
        <f>IF(AND(_F="A-220-300",'2024'!$M$4="FO",'2024'!$M$2=CS347),'2024DATA'!$L$34,"")</f>
        <v/>
      </c>
      <c r="CT379" s="518" t="str">
        <f>IF(AND(_F="A-220-300",'2024'!$M$4="FO",'2024'!$M$2=CT347),'2024DATA'!$M$34,"")</f>
        <v/>
      </c>
      <c r="CU379" s="520" t="str">
        <f>IF(AND(_F="A-220-300",'2024'!$M$4="FO",'2024'!$M$2=CU347),'2024DATA'!$N$34,"")</f>
        <v/>
      </c>
    </row>
    <row r="380" spans="16:99" x14ac:dyDescent="0.25">
      <c r="P380" s="940" t="s">
        <v>52</v>
      </c>
      <c r="Q380" s="13" t="s">
        <v>61</v>
      </c>
      <c r="R380" s="518" t="str">
        <f>IF(AND(_A="A-220-100",'2024'!$M$4="CA",'2024'!$M$2=R347),'2024DATA'!$C$35,"")</f>
        <v/>
      </c>
      <c r="S380" s="518" t="str">
        <f>IF(AND(_A="A-220-100",'2024'!$M$4="CA",'2024'!$M$2=S347),'2024DATA'!$D$35,"")</f>
        <v/>
      </c>
      <c r="T380" s="518" t="str">
        <f>IF(AND(_A="A-220-100",'2024'!$M$4="CA",'2024'!$M$2=T347),'2024DATA'!$E$35,"")</f>
        <v/>
      </c>
      <c r="U380" s="518" t="str">
        <f>IF(AND(_A="A-220-100",'2024'!$M$4="CA",'2024'!$M$2=U347),'2024DATA'!$F$35,"")</f>
        <v/>
      </c>
      <c r="V380" s="518" t="str">
        <f>IF(AND(_A="A-220-100",'2024'!$M$4="CA",'2024'!$M$2=V347),'2024DATA'!$G$35,"")</f>
        <v/>
      </c>
      <c r="W380" s="518" t="str">
        <f>IF(AND(_A="A-220-100",'2024'!$M$4="CA",'2024'!$M$2=W347),'2024DATA'!$H$35,"")</f>
        <v/>
      </c>
      <c r="X380" s="518" t="str">
        <f>IF(AND(_A="A-220-100",'2024'!$M$4="CA",'2024'!$M$2=X347),'2024DATA'!$I$35,"")</f>
        <v/>
      </c>
      <c r="Y380" s="518" t="str">
        <f>IF(AND(_A="A-220-100",'2024'!$M$4="CA",'2024'!$M$2=Y347),'2024DATA'!$J$35,"")</f>
        <v/>
      </c>
      <c r="Z380" s="518" t="str">
        <f>IF(AND(_A="A-220-100",'2024'!$M$4="CA",'2024'!$M$2=Z347),'2024DATA'!$K$35,"")</f>
        <v/>
      </c>
      <c r="AA380" s="518" t="str">
        <f>IF(AND(_A="A-220-100",'2024'!$M$4="CA",'2024'!$M$2=AA347),'2024DATA'!$L$35,"")</f>
        <v/>
      </c>
      <c r="AB380" s="518" t="str">
        <f>IF(AND(_A="A-220-100",'2024'!$M$4="CA",'2024'!$M$2=AB347),'2024DATA'!$M$35,"")</f>
        <v/>
      </c>
      <c r="AC380" s="520" t="str">
        <f>IF(AND(_A="A-220-100",'2024'!$M$4="CA",'2024'!$M$2=AC347),'2024DATA'!$N$35,"")</f>
        <v/>
      </c>
      <c r="AD380" s="940" t="s">
        <v>52</v>
      </c>
      <c r="AE380" s="13" t="s">
        <v>61</v>
      </c>
      <c r="AF380" s="518" t="str">
        <f>IF(AND(_B="A-220-100",'2024'!$M$4="CA",'2024'!$M$2=AF347),'2024DATA'!$C$35,"")</f>
        <v/>
      </c>
      <c r="AG380" s="518" t="str">
        <f>IF(AND(_B="A-220-100",'2024'!$M$4="CA",'2024'!$M$2=AG347),'2024DATA'!$D$35,"")</f>
        <v/>
      </c>
      <c r="AH380" s="518" t="str">
        <f>IF(AND(_B="A-220-100",'2024'!$M$4="CA",'2024'!$M$2=AH347),'2024DATA'!$E$35,"")</f>
        <v/>
      </c>
      <c r="AI380" s="518" t="str">
        <f>IF(AND(_B="A-220-100",'2024'!$M$4="CA",'2024'!$M$2=AI347),'2024DATA'!$F$35,"")</f>
        <v/>
      </c>
      <c r="AJ380" s="518" t="str">
        <f>IF(AND(_B="A-220-100",'2024'!$M$4="CA",'2024'!$M$2=AJ347),'2024DATA'!$G$35,"")</f>
        <v/>
      </c>
      <c r="AK380" s="518" t="str">
        <f>IF(AND(_B="A-220-100",'2024'!$M$4="CA",'2024'!$M$2=AK347),'2024DATA'!$H$35,"")</f>
        <v/>
      </c>
      <c r="AL380" s="518" t="str">
        <f>IF(AND(_B="A-220-100",'2024'!$M$4="CA",'2024'!$M$2=AL347),'2024DATA'!$I$35,"")</f>
        <v/>
      </c>
      <c r="AM380" s="518" t="str">
        <f>IF(AND(_B="A-220-100",'2024'!$M$4="CA",'2024'!$M$2=AM347),'2024DATA'!$J$35,"")</f>
        <v/>
      </c>
      <c r="AN380" s="518" t="str">
        <f>IF(AND(_B="A-220-100",'2024'!$M$4="CA",'2024'!$M$2=AN347),'2024DATA'!$K$35,"")</f>
        <v/>
      </c>
      <c r="AO380" s="518" t="str">
        <f>IF(AND(_B="A-220-100",'2024'!$M$4="CA",'2024'!$M$2=AO347),'2024DATA'!$L$35,"")</f>
        <v/>
      </c>
      <c r="AP380" s="518" t="str">
        <f>IF(AND(_B="A-220-100",'2024'!$M$4="CA",'2024'!$M$2=AP347),'2024DATA'!$M$35,"")</f>
        <v/>
      </c>
      <c r="AQ380" s="520" t="str">
        <f>IF(AND(_B="A-220-100",'2024'!$M$4="CA",'2024'!$M$2=AQ347),'2024DATA'!$N$35,"")</f>
        <v/>
      </c>
      <c r="AR380" s="940" t="s">
        <v>52</v>
      </c>
      <c r="AS380" s="13" t="s">
        <v>61</v>
      </c>
      <c r="AT380" s="518" t="str">
        <f>IF(AND(_C="A-220-100",'2024'!$M$4="CA",'2024'!$M$2=AT347),'2024DATA'!$C$35,"")</f>
        <v/>
      </c>
      <c r="AU380" s="518" t="str">
        <f>IF(AND(_C="A-220-100",'2024'!$M$4="CA",'2024'!$M$2=AU347),'2024DATA'!$D$35,"")</f>
        <v/>
      </c>
      <c r="AV380" s="518" t="str">
        <f>IF(AND(_C="A-220-100",'2024'!$M$4="CA",'2024'!$M$2=AV347),'2024DATA'!$E$35,"")</f>
        <v/>
      </c>
      <c r="AW380" s="518" t="str">
        <f>IF(AND(_C="A-220-100",'2024'!$M$4="CA",'2024'!$M$2=AW347),'2024DATA'!$F$35,"")</f>
        <v/>
      </c>
      <c r="AX380" s="518" t="str">
        <f>IF(AND(_C="A-220-100",'2024'!$M$4="CA",'2024'!$M$2=AX347),'2024DATA'!$G$35,"")</f>
        <v/>
      </c>
      <c r="AY380" s="518" t="str">
        <f>IF(AND(_C="A-220-100",'2024'!$M$4="CA",'2024'!$M$2=AY347),'2024DATA'!$H$35,"")</f>
        <v/>
      </c>
      <c r="AZ380" s="518" t="str">
        <f>IF(AND(_C="A-220-100",'2024'!$M$4="CA",'2024'!$M$2=AZ347),'2024DATA'!$I$35,"")</f>
        <v/>
      </c>
      <c r="BA380" s="518" t="str">
        <f>IF(AND(_C="A-220-100",'2024'!$M$4="CA",'2024'!$M$2=BA347),'2024DATA'!$J$35,"")</f>
        <v/>
      </c>
      <c r="BB380" s="518" t="str">
        <f>IF(AND(_C="A-220-100",'2024'!$M$4="CA",'2024'!$M$2=BB347),'2024DATA'!$K$35,"")</f>
        <v/>
      </c>
      <c r="BC380" s="518" t="str">
        <f>IF(AND(_C="A-220-100",'2024'!$M$4="CA",'2024'!$M$2=BC347),'2024DATA'!$L$35,"")</f>
        <v/>
      </c>
      <c r="BD380" s="518" t="str">
        <f>IF(AND(_C="A-220-100",'2024'!$M$4="CA",'2024'!$M$2=BD347),'2024DATA'!$M$35,"")</f>
        <v/>
      </c>
      <c r="BE380" s="520" t="str">
        <f>IF(AND(_C="A-220-100",'2024'!$M$4="CA",'2024'!$M$2=BE347),'2024DATA'!$N$35,"")</f>
        <v/>
      </c>
      <c r="BF380" s="940" t="s">
        <v>52</v>
      </c>
      <c r="BG380" s="13" t="s">
        <v>61</v>
      </c>
      <c r="BH380" s="518" t="str">
        <f>IF(AND(_D="A-220-100",'2024'!$M$4="CA",'2024'!$M$2=BH347),'2024DATA'!$C$35,"")</f>
        <v/>
      </c>
      <c r="BI380" s="518" t="str">
        <f>IF(AND(_D="A-220-100",'2024'!$M$4="CA",'2024'!$M$2=BI347),'2024DATA'!$D$35,"")</f>
        <v/>
      </c>
      <c r="BJ380" s="518" t="str">
        <f>IF(AND(_D="A-220-100",'2024'!$M$4="CA",'2024'!$M$2=BJ347),'2024DATA'!$E$35,"")</f>
        <v/>
      </c>
      <c r="BK380" s="518" t="str">
        <f>IF(AND(_D="A-220-100",'2024'!$M$4="CA",'2024'!$M$2=BK347),'2024DATA'!$F$35,"")</f>
        <v/>
      </c>
      <c r="BL380" s="518" t="str">
        <f>IF(AND(_D="A-220-100",'2024'!$M$4="CA",'2024'!$M$2=BL347),'2024DATA'!$G$35,"")</f>
        <v/>
      </c>
      <c r="BM380" s="518" t="str">
        <f>IF(AND(_D="A-220-100",'2024'!$M$4="CA",'2024'!$M$2=BM347),'2024DATA'!$H$35,"")</f>
        <v/>
      </c>
      <c r="BN380" s="518" t="str">
        <f>IF(AND(_D="A-220-100",'2024'!$M$4="CA",'2024'!$M$2=BN347),'2024DATA'!$I$35,"")</f>
        <v/>
      </c>
      <c r="BO380" s="518" t="str">
        <f>IF(AND(_D="A-220-100",'2024'!$M$4="CA",'2024'!$M$2=BO347),'2024DATA'!$J$35,"")</f>
        <v/>
      </c>
      <c r="BP380" s="518" t="str">
        <f>IF(AND(_D="A-220-100",'2024'!$M$4="CA",'2024'!$M$2=BP347),'2024DATA'!$K$35,"")</f>
        <v/>
      </c>
      <c r="BQ380" s="518" t="str">
        <f>IF(AND(_D="A-220-100",'2024'!$M$4="CA",'2024'!$M$2=BQ347),'2024DATA'!$L$35,"")</f>
        <v/>
      </c>
      <c r="BR380" s="518" t="str">
        <f>IF(AND(_D="A-220-100",'2024'!$M$4="CA",'2024'!$M$2=BR347),'2024DATA'!$M$35,"")</f>
        <v/>
      </c>
      <c r="BS380" s="520" t="str">
        <f>IF(AND(_D="A-220-100",'2024'!$M$4="CA",'2024'!$M$2=BS347),'2024DATA'!$N$35,"")</f>
        <v/>
      </c>
      <c r="BT380" s="940" t="s">
        <v>52</v>
      </c>
      <c r="BU380" s="13" t="s">
        <v>61</v>
      </c>
      <c r="BV380" s="518" t="str">
        <f>IF(AND(_E="A-220-100",'2024'!$M$4="CA",'2024'!$M$2=BV347),'2024DATA'!$C$35,"")</f>
        <v/>
      </c>
      <c r="BW380" s="518" t="str">
        <f>IF(AND(_E="A-220-100",'2024'!$M$4="CA",'2024'!$M$2=BW347),'2024DATA'!$D$35,"")</f>
        <v/>
      </c>
      <c r="BX380" s="518" t="str">
        <f>IF(AND(_E="A-220-100",'2024'!$M$4="CA",'2024'!$M$2=BX347),'2024DATA'!$E$35,"")</f>
        <v/>
      </c>
      <c r="BY380" s="518" t="str">
        <f>IF(AND(_E="A-220-100",'2024'!$M$4="CA",'2024'!$M$2=BY347),'2024DATA'!$F$35,"")</f>
        <v/>
      </c>
      <c r="BZ380" s="518" t="str">
        <f>IF(AND(_E="A-220-100",'2024'!$M$4="CA",'2024'!$M$2=BZ347),'2024DATA'!$G$35,"")</f>
        <v/>
      </c>
      <c r="CA380" s="518" t="str">
        <f>IF(AND(_E="A-220-100",'2024'!$M$4="CA",'2024'!$M$2=CA347),'2024DATA'!$H$35,"")</f>
        <v/>
      </c>
      <c r="CB380" s="518" t="str">
        <f>IF(AND(_E="A-220-100",'2024'!$M$4="CA",'2024'!$M$2=CB347),'2024DATA'!$I$35,"")</f>
        <v/>
      </c>
      <c r="CC380" s="518" t="str">
        <f>IF(AND(_E="A-220-100",'2024'!$M$4="CA",'2024'!$M$2=CC347),'2024DATA'!$J$35,"")</f>
        <v/>
      </c>
      <c r="CD380" s="518" t="str">
        <f>IF(AND(_E="A-220-100",'2024'!$M$4="CA",'2024'!$M$2=CD347),'2024DATA'!$K$35,"")</f>
        <v/>
      </c>
      <c r="CE380" s="518" t="str">
        <f>IF(AND(_E="A-220-100",'2024'!$M$4="CA",'2024'!$M$2=CE347),'2024DATA'!$L$35,"")</f>
        <v/>
      </c>
      <c r="CF380" s="518" t="str">
        <f>IF(AND(_E="A-220-100",'2024'!$M$4="CA",'2024'!$M$2=CF347),'2024DATA'!$M$35,"")</f>
        <v/>
      </c>
      <c r="CG380" s="520" t="str">
        <f>IF(AND(_E="A-220-100",'2024'!$M$4="CA",'2024'!$M$2=CG347),'2024DATA'!$N$35,"")</f>
        <v/>
      </c>
      <c r="CH380" s="940" t="s">
        <v>52</v>
      </c>
      <c r="CI380" s="13" t="s">
        <v>61</v>
      </c>
      <c r="CJ380" s="518" t="str">
        <f>IF(AND(_F="A-220-100",'2024'!$M$4="CA",'2024'!$M$2=CJ347),'2024DATA'!$C$35,"")</f>
        <v/>
      </c>
      <c r="CK380" s="518" t="str">
        <f>IF(AND(_F="A-220-100",'2024'!$M$4="CA",'2024'!$M$2=CK347),'2024DATA'!$D$35,"")</f>
        <v/>
      </c>
      <c r="CL380" s="518" t="str">
        <f>IF(AND(_F="A-220-100",'2024'!$M$4="CA",'2024'!$M$2=CL347),'2024DATA'!$E$35,"")</f>
        <v/>
      </c>
      <c r="CM380" s="518" t="str">
        <f>IF(AND(_F="A-220-100",'2024'!$M$4="CA",'2024'!$M$2=CM347),'2024DATA'!$F$35,"")</f>
        <v/>
      </c>
      <c r="CN380" s="518" t="str">
        <f>IF(AND(_F="A-220-100",'2024'!$M$4="CA",'2024'!$M$2=CN347),'2024DATA'!$G$35,"")</f>
        <v/>
      </c>
      <c r="CO380" s="518" t="str">
        <f>IF(AND(_F="A-220-100",'2024'!$M$4="CA",'2024'!$M$2=CO347),'2024DATA'!$H$35,"")</f>
        <v/>
      </c>
      <c r="CP380" s="518" t="str">
        <f>IF(AND(_F="A-220-100",'2024'!$M$4="CA",'2024'!$M$2=CP347),'2024DATA'!$I$35,"")</f>
        <v/>
      </c>
      <c r="CQ380" s="518" t="str">
        <f>IF(AND(_F="A-220-100",'2024'!$M$4="CA",'2024'!$M$2=CQ347),'2024DATA'!$J$35,"")</f>
        <v/>
      </c>
      <c r="CR380" s="518" t="str">
        <f>IF(AND(_F="A-220-100",'2024'!$M$4="CA",'2024'!$M$2=CR347),'2024DATA'!$K$35,"")</f>
        <v/>
      </c>
      <c r="CS380" s="518" t="str">
        <f>IF(AND(_F="A-220-100",'2024'!$M$4="CA",'2024'!$M$2=CS347),'2024DATA'!$L$35,"")</f>
        <v/>
      </c>
      <c r="CT380" s="518" t="str">
        <f>IF(AND(_F="A-220-100",'2024'!$M$4="CA",'2024'!$M$2=CT347),'2024DATA'!$M$35,"")</f>
        <v/>
      </c>
      <c r="CU380" s="520" t="str">
        <f>IF(AND(_F="A-220-100",'2024'!$M$4="CA",'2024'!$M$2=CU347),'2024DATA'!$N$35,"")</f>
        <v/>
      </c>
    </row>
    <row r="381" spans="16:99" x14ac:dyDescent="0.25">
      <c r="P381" s="940"/>
      <c r="Q381" s="13" t="s">
        <v>62</v>
      </c>
      <c r="R381" s="518" t="str">
        <f>IF(AND(_A="A-220-100",'2024'!$M$4="FO",'2024'!$M$2=R347),'2024DATA'!$C$36,"")</f>
        <v/>
      </c>
      <c r="S381" s="518" t="str">
        <f>IF(AND(_A="A-220-100",'2024'!$M$4="FO",'2024'!$M$2=S347),'2024DATA'!$D$36,"")</f>
        <v/>
      </c>
      <c r="T381" s="518" t="str">
        <f>IF(AND(_A="A-220-100",'2024'!$M$4="FO",'2024'!$M$2=T347),'2024DATA'!$E$36,"")</f>
        <v/>
      </c>
      <c r="U381" s="518" t="str">
        <f>IF(AND(_A="A-220-100",'2024'!$M$4="FO",'2024'!$M$2=U347),'2024DATA'!$F$36,"")</f>
        <v/>
      </c>
      <c r="V381" s="518" t="str">
        <f>IF(AND(_A="A-220-100",'2024'!$M$4="FO",'2024'!$M$2=V347),'2024DATA'!$G$36,"")</f>
        <v/>
      </c>
      <c r="W381" s="518" t="str">
        <f>IF(AND(_A="A-220-100",'2024'!$M$4="FO",'2024'!$M$2=W347),'2024DATA'!$H$36,"")</f>
        <v/>
      </c>
      <c r="X381" s="518" t="str">
        <f>IF(AND(_A="A-220-100",'2024'!$M$4="FO",'2024'!$M$2=X347),'2024DATA'!$I$36,"")</f>
        <v/>
      </c>
      <c r="Y381" s="518" t="str">
        <f>IF(AND(_A="A-220-100",'2024'!$M$4="FO",'2024'!$M$2=Y347),'2024DATA'!$J$36,"")</f>
        <v/>
      </c>
      <c r="Z381" s="518" t="str">
        <f>IF(AND(_A="A-220-100",'2024'!$M$4="FO",'2024'!$M$2=Z347),'2024DATA'!$K$36,"")</f>
        <v/>
      </c>
      <c r="AA381" s="518" t="str">
        <f>IF(AND(_A="A-220-100",'2024'!$M$4="FO",'2024'!$M$2=AA347),'2024DATA'!$L$36,"")</f>
        <v/>
      </c>
      <c r="AB381" s="518" t="str">
        <f>IF(AND(_A="A-220-100",'2024'!$M$4="FO",'2024'!$M$2=AB347),'2024DATA'!$M$36,"")</f>
        <v/>
      </c>
      <c r="AC381" s="520" t="str">
        <f>IF(AND(_A="A-220-100",'2024'!$M$4="FO",'2024'!$M$2=AC347),'2024DATA'!$N$36,"")</f>
        <v/>
      </c>
      <c r="AD381" s="940"/>
      <c r="AE381" s="13" t="s">
        <v>62</v>
      </c>
      <c r="AF381" s="518" t="str">
        <f>IF(AND(_B="A-220-100",'2024'!$M$4="FO",'2024'!$M$2=AF347),'2024DATA'!$C$36,"")</f>
        <v/>
      </c>
      <c r="AG381" s="518" t="str">
        <f>IF(AND(_B="A-220-100",'2024'!$M$4="FO",'2024'!$M$2=AG347),'2024DATA'!$D$36,"")</f>
        <v/>
      </c>
      <c r="AH381" s="518" t="str">
        <f>IF(AND(_B="A-220-100",'2024'!$M$4="FO",'2024'!$M$2=AH347),'2024DATA'!$E$36,"")</f>
        <v/>
      </c>
      <c r="AI381" s="518" t="str">
        <f>IF(AND(_B="A-220-100",'2024'!$M$4="FO",'2024'!$M$2=AI347),'2024DATA'!$F$36,"")</f>
        <v/>
      </c>
      <c r="AJ381" s="518" t="str">
        <f>IF(AND(_B="A-220-100",'2024'!$M$4="FO",'2024'!$M$2=AJ347),'2024DATA'!$G$36,"")</f>
        <v/>
      </c>
      <c r="AK381" s="518" t="str">
        <f>IF(AND(_B="A-220-100",'2024'!$M$4="FO",'2024'!$M$2=AK347),'2024DATA'!$H$36,"")</f>
        <v/>
      </c>
      <c r="AL381" s="518" t="str">
        <f>IF(AND(_B="A-220-100",'2024'!$M$4="FO",'2024'!$M$2=AL347),'2024DATA'!$I$36,"")</f>
        <v/>
      </c>
      <c r="AM381" s="518" t="str">
        <f>IF(AND(_B="A-220-100",'2024'!$M$4="FO",'2024'!$M$2=AM347),'2024DATA'!$J$36,"")</f>
        <v/>
      </c>
      <c r="AN381" s="518" t="str">
        <f>IF(AND(_B="A-220-100",'2024'!$M$4="FO",'2024'!$M$2=AN347),'2024DATA'!$K$36,"")</f>
        <v/>
      </c>
      <c r="AO381" s="518" t="str">
        <f>IF(AND(_B="A-220-100",'2024'!$M$4="FO",'2024'!$M$2=AO347),'2024DATA'!$L$36,"")</f>
        <v/>
      </c>
      <c r="AP381" s="518" t="str">
        <f>IF(AND(_B="A-220-100",'2024'!$M$4="FO",'2024'!$M$2=AP347),'2024DATA'!$M$36,"")</f>
        <v/>
      </c>
      <c r="AQ381" s="520" t="str">
        <f>IF(AND(_B="A-220-100",'2024'!$M$4="FO",'2024'!$M$2=AQ347),'2024DATA'!$N$36,"")</f>
        <v/>
      </c>
      <c r="AR381" s="940"/>
      <c r="AS381" s="13" t="s">
        <v>62</v>
      </c>
      <c r="AT381" s="518" t="str">
        <f>IF(AND(_C="A-220-100",'2024'!$M$4="FO",'2024'!$M$2=AT347),'2024DATA'!$C$36,"")</f>
        <v/>
      </c>
      <c r="AU381" s="518" t="str">
        <f>IF(AND(_C="A-220-100",'2024'!$M$4="FO",'2024'!$M$2=AU347),'2024DATA'!$D$36,"")</f>
        <v/>
      </c>
      <c r="AV381" s="518" t="str">
        <f>IF(AND(_C="A-220-100",'2024'!$M$4="FO",'2024'!$M$2=AV347),'2024DATA'!$E$36,"")</f>
        <v/>
      </c>
      <c r="AW381" s="518" t="str">
        <f>IF(AND(_C="A-220-100",'2024'!$M$4="FO",'2024'!$M$2=AW347),'2024DATA'!$F$36,"")</f>
        <v/>
      </c>
      <c r="AX381" s="518" t="str">
        <f>IF(AND(_C="A-220-100",'2024'!$M$4="FO",'2024'!$M$2=AX347),'2024DATA'!$G$36,"")</f>
        <v/>
      </c>
      <c r="AY381" s="518" t="str">
        <f>IF(AND(_C="A-220-100",'2024'!$M$4="FO",'2024'!$M$2=AY347),'2024DATA'!$H$36,"")</f>
        <v/>
      </c>
      <c r="AZ381" s="518" t="str">
        <f>IF(AND(_C="A-220-100",'2024'!$M$4="FO",'2024'!$M$2=AZ347),'2024DATA'!$I$36,"")</f>
        <v/>
      </c>
      <c r="BA381" s="518" t="str">
        <f>IF(AND(_C="A-220-100",'2024'!$M$4="FO",'2024'!$M$2=BA347),'2024DATA'!$J$36,"")</f>
        <v/>
      </c>
      <c r="BB381" s="518" t="str">
        <f>IF(AND(_C="A-220-100",'2024'!$M$4="FO",'2024'!$M$2=BB347),'2024DATA'!$K$36,"")</f>
        <v/>
      </c>
      <c r="BC381" s="518" t="str">
        <f>IF(AND(_C="A-220-100",'2024'!$M$4="FO",'2024'!$M$2=BC347),'2024DATA'!$L$36,"")</f>
        <v/>
      </c>
      <c r="BD381" s="518" t="str">
        <f>IF(AND(_C="A-220-100",'2024'!$M$4="FO",'2024'!$M$2=BD347),'2024DATA'!$M$36,"")</f>
        <v/>
      </c>
      <c r="BE381" s="520" t="str">
        <f>IF(AND(_C="A-220-100",'2024'!$M$4="FO",'2024'!$M$2=BE347),'2024DATA'!$N$36,"")</f>
        <v/>
      </c>
      <c r="BF381" s="940"/>
      <c r="BG381" s="13" t="s">
        <v>62</v>
      </c>
      <c r="BH381" s="518" t="str">
        <f>IF(AND(_D="A-220-100",'2024'!$M$4="FO",'2024'!$M$2=BH347),'2024DATA'!$C$36,"")</f>
        <v/>
      </c>
      <c r="BI381" s="518" t="str">
        <f>IF(AND(_D="A-220-100",'2024'!$M$4="FO",'2024'!$M$2=BI347),'2024DATA'!$D$36,"")</f>
        <v/>
      </c>
      <c r="BJ381" s="518" t="str">
        <f>IF(AND(_D="A-220-100",'2024'!$M$4="FO",'2024'!$M$2=BJ347),'2024DATA'!$E$36,"")</f>
        <v/>
      </c>
      <c r="BK381" s="518" t="str">
        <f>IF(AND(_D="A-220-100",'2024'!$M$4="FO",'2024'!$M$2=BK347),'2024DATA'!$F$36,"")</f>
        <v/>
      </c>
      <c r="BL381" s="518" t="str">
        <f>IF(AND(_D="A-220-100",'2024'!$M$4="FO",'2024'!$M$2=BL347),'2024DATA'!$G$36,"")</f>
        <v/>
      </c>
      <c r="BM381" s="518" t="str">
        <f>IF(AND(_D="A-220-100",'2024'!$M$4="FO",'2024'!$M$2=BM347),'2024DATA'!$H$36,"")</f>
        <v/>
      </c>
      <c r="BN381" s="518" t="str">
        <f>IF(AND(_D="A-220-100",'2024'!$M$4="FO",'2024'!$M$2=BN347),'2024DATA'!$I$36,"")</f>
        <v/>
      </c>
      <c r="BO381" s="518" t="str">
        <f>IF(AND(_D="A-220-100",'2024'!$M$4="FO",'2024'!$M$2=BO347),'2024DATA'!$J$36,"")</f>
        <v/>
      </c>
      <c r="BP381" s="518" t="str">
        <f>IF(AND(_D="A-220-100",'2024'!$M$4="FO",'2024'!$M$2=BP347),'2024DATA'!$K$36,"")</f>
        <v/>
      </c>
      <c r="BQ381" s="518" t="str">
        <f>IF(AND(_D="A-220-100",'2024'!$M$4="FO",'2024'!$M$2=BQ347),'2024DATA'!$L$36,"")</f>
        <v/>
      </c>
      <c r="BR381" s="518" t="str">
        <f>IF(AND(_D="A-220-100",'2024'!$M$4="FO",'2024'!$M$2=BR347),'2024DATA'!$M$36,"")</f>
        <v/>
      </c>
      <c r="BS381" s="520" t="str">
        <f>IF(AND(_D="A-220-100",'2024'!$M$4="FO",'2024'!$M$2=BS347),'2024DATA'!$N$36,"")</f>
        <v/>
      </c>
      <c r="BT381" s="940"/>
      <c r="BU381" s="13" t="s">
        <v>62</v>
      </c>
      <c r="BV381" s="518" t="str">
        <f>IF(AND(_E="A-220-100",'2024'!$M$4="FO",'2024'!$M$2=BV347),'2024DATA'!$C$36,"")</f>
        <v/>
      </c>
      <c r="BW381" s="518" t="str">
        <f>IF(AND(_E="A-220-100",'2024'!$M$4="FO",'2024'!$M$2=BW347),'2024DATA'!$D$36,"")</f>
        <v/>
      </c>
      <c r="BX381" s="518" t="str">
        <f>IF(AND(_E="A-220-100",'2024'!$M$4="FO",'2024'!$M$2=BX347),'2024DATA'!$E$36,"")</f>
        <v/>
      </c>
      <c r="BY381" s="518" t="str">
        <f>IF(AND(_E="A-220-100",'2024'!$M$4="FO",'2024'!$M$2=BY347),'2024DATA'!$F$36,"")</f>
        <v/>
      </c>
      <c r="BZ381" s="518" t="str">
        <f>IF(AND(_E="A-220-100",'2024'!$M$4="FO",'2024'!$M$2=BZ347),'2024DATA'!$G$36,"")</f>
        <v/>
      </c>
      <c r="CA381" s="518" t="str">
        <f>IF(AND(_E="A-220-100",'2024'!$M$4="FO",'2024'!$M$2=CA347),'2024DATA'!$H$36,"")</f>
        <v/>
      </c>
      <c r="CB381" s="518" t="str">
        <f>IF(AND(_E="A-220-100",'2024'!$M$4="FO",'2024'!$M$2=CB347),'2024DATA'!$I$36,"")</f>
        <v/>
      </c>
      <c r="CC381" s="518" t="str">
        <f>IF(AND(_E="A-220-100",'2024'!$M$4="FO",'2024'!$M$2=CC347),'2024DATA'!$J$36,"")</f>
        <v/>
      </c>
      <c r="CD381" s="518" t="str">
        <f>IF(AND(_E="A-220-100",'2024'!$M$4="FO",'2024'!$M$2=CD347),'2024DATA'!$K$36,"")</f>
        <v/>
      </c>
      <c r="CE381" s="518" t="str">
        <f>IF(AND(_E="A-220-100",'2024'!$M$4="FO",'2024'!$M$2=CE347),'2024DATA'!$L$36,"")</f>
        <v/>
      </c>
      <c r="CF381" s="518" t="str">
        <f>IF(AND(_E="A-220-100",'2024'!$M$4="FO",'2024'!$M$2=CF347),'2024DATA'!$M$36,"")</f>
        <v/>
      </c>
      <c r="CG381" s="520" t="str">
        <f>IF(AND(_E="A-220-100",'2024'!$M$4="FO",'2024'!$M$2=CG347),'2024DATA'!$N$36,"")</f>
        <v/>
      </c>
      <c r="CH381" s="940"/>
      <c r="CI381" s="13" t="s">
        <v>62</v>
      </c>
      <c r="CJ381" s="518" t="str">
        <f>IF(AND(_F="A-220-100",'2024'!$M$4="FO",'2024'!$M$2=CJ347),'2024DATA'!$C$36,"")</f>
        <v/>
      </c>
      <c r="CK381" s="518" t="str">
        <f>IF(AND(_F="A-220-100",'2024'!$M$4="FO",'2024'!$M$2=CK347),'2024DATA'!$D$36,"")</f>
        <v/>
      </c>
      <c r="CL381" s="518" t="str">
        <f>IF(AND(_F="A-220-100",'2024'!$M$4="FO",'2024'!$M$2=CL347),'2024DATA'!$E$36,"")</f>
        <v/>
      </c>
      <c r="CM381" s="518" t="str">
        <f>IF(AND(_F="A-220-100",'2024'!$M$4="FO",'2024'!$M$2=CM347),'2024DATA'!$F$36,"")</f>
        <v/>
      </c>
      <c r="CN381" s="518" t="str">
        <f>IF(AND(_F="A-220-100",'2024'!$M$4="FO",'2024'!$M$2=CN347),'2024DATA'!$G$36,"")</f>
        <v/>
      </c>
      <c r="CO381" s="518" t="str">
        <f>IF(AND(_F="A-220-100",'2024'!$M$4="FO",'2024'!$M$2=CO347),'2024DATA'!$H$36,"")</f>
        <v/>
      </c>
      <c r="CP381" s="518" t="str">
        <f>IF(AND(_F="A-220-100",'2024'!$M$4="FO",'2024'!$M$2=CP347),'2024DATA'!$I$36,"")</f>
        <v/>
      </c>
      <c r="CQ381" s="518" t="str">
        <f>IF(AND(_F="A-220-100",'2024'!$M$4="FO",'2024'!$M$2=CQ347),'2024DATA'!$J$36,"")</f>
        <v/>
      </c>
      <c r="CR381" s="518" t="str">
        <f>IF(AND(_F="A-220-100",'2024'!$M$4="FO",'2024'!$M$2=CR347),'2024DATA'!$K$36,"")</f>
        <v/>
      </c>
      <c r="CS381" s="518" t="str">
        <f>IF(AND(_F="A-220-100",'2024'!$M$4="FO",'2024'!$M$2=CS347),'2024DATA'!$L$36,"")</f>
        <v/>
      </c>
      <c r="CT381" s="518" t="str">
        <f>IF(AND(_F="A-220-100",'2024'!$M$4="FO",'2024'!$M$2=CT347),'2024DATA'!$M$36,"")</f>
        <v/>
      </c>
      <c r="CU381" s="520" t="str">
        <f>IF(AND(_F="A-220-100",'2024'!$M$4="FO",'2024'!$M$2=CU347),'2024DATA'!$N$36,"")</f>
        <v/>
      </c>
    </row>
    <row r="382" spans="16:99" x14ac:dyDescent="0.25">
      <c r="P382" s="940" t="s">
        <v>53</v>
      </c>
      <c r="Q382" s="13" t="s">
        <v>61</v>
      </c>
      <c r="R382" s="518" t="str">
        <f>IF(AND(_A="B-717",'2024'!$M$4="CA",'2024'!$M$2=R347),'2024DATA'!$C$37,"")</f>
        <v/>
      </c>
      <c r="S382" s="518" t="str">
        <f>IF(AND(_A="B-717",'2024'!$M$4="CA",'2024'!$M$2=S347),'2024DATA'!$D$37,"")</f>
        <v/>
      </c>
      <c r="T382" s="518" t="str">
        <f>IF(AND(_A="B-717",'2024'!$M$4="CA",'2024'!$M$2=T347),'2024DATA'!$E$37,"")</f>
        <v/>
      </c>
      <c r="U382" s="518" t="str">
        <f>IF(AND(_A="B-717",'2024'!$M$4="CA",'2024'!$M$2=U347),'2024DATA'!$F$37,"")</f>
        <v/>
      </c>
      <c r="V382" s="518" t="str">
        <f>IF(AND(_A="B-717",'2024'!$M$4="CA",'2024'!$M$2=V347),'2024DATA'!$G$37,"")</f>
        <v/>
      </c>
      <c r="W382" s="518" t="str">
        <f>IF(AND(_A="B-717",'2024'!$M$4="CA",'2024'!$M$2=W347),'2024DATA'!$H$37,"")</f>
        <v/>
      </c>
      <c r="X382" s="518" t="str">
        <f>IF(AND(_A="B-717",'2024'!$M$4="CA",'2024'!$M$2=X347),'2024DATA'!$I$37,"")</f>
        <v/>
      </c>
      <c r="Y382" s="518" t="str">
        <f>IF(AND(_A="B-717",'2024'!$M$4="CA",'2024'!$M$2=Y347),'2024DATA'!$J$37,"")</f>
        <v/>
      </c>
      <c r="Z382" s="518" t="str">
        <f>IF(AND(_A="B-717",'2024'!$M$4="CA",'2024'!$M$2=Z347),'2024DATA'!$K$37,"")</f>
        <v/>
      </c>
      <c r="AA382" s="518" t="str">
        <f>IF(AND(_A="B-717",'2024'!$M$4="CA",'2024'!$M$2=AA347),'2024DATA'!$L$37,"")</f>
        <v/>
      </c>
      <c r="AB382" s="518" t="str">
        <f>IF(AND(_A="B-717",'2024'!$M$4="CA",'2024'!$M$2=AB347),'2024DATA'!$M$37,"")</f>
        <v/>
      </c>
      <c r="AC382" s="520" t="str">
        <f>IF(AND(_A="B-717",'2024'!$M$4="CA",'2024'!$M$2=AC347),'2024DATA'!$N$37,"")</f>
        <v/>
      </c>
      <c r="AD382" s="940" t="s">
        <v>53</v>
      </c>
      <c r="AE382" s="13" t="s">
        <v>61</v>
      </c>
      <c r="AF382" s="518" t="str">
        <f>IF(AND(_B="B-717",'2024'!$M$4="CA",'2024'!$M$2=AF347),'2024DATA'!$C$37,"")</f>
        <v/>
      </c>
      <c r="AG382" s="518" t="str">
        <f>IF(AND(_B="B-717",'2024'!$M$4="CA",'2024'!$M$2=AG347),'2024DATA'!$D$37,"")</f>
        <v/>
      </c>
      <c r="AH382" s="518" t="str">
        <f>IF(AND(_B="B-717",'2024'!$M$4="CA",'2024'!$M$2=AH347),'2024DATA'!$E$37,"")</f>
        <v/>
      </c>
      <c r="AI382" s="518" t="str">
        <f>IF(AND(_B="B-717",'2024'!$M$4="CA",'2024'!$M$2=AI347),'2024DATA'!$F$37,"")</f>
        <v/>
      </c>
      <c r="AJ382" s="518" t="str">
        <f>IF(AND(_B="B-717",'2024'!$M$4="CA",'2024'!$M$2=AJ347),'2024DATA'!$G$37,"")</f>
        <v/>
      </c>
      <c r="AK382" s="518" t="str">
        <f>IF(AND(_B="B-717",'2024'!$M$4="CA",'2024'!$M$2=AK347),'2024DATA'!$H$37,"")</f>
        <v/>
      </c>
      <c r="AL382" s="518" t="str">
        <f>IF(AND(_B="B-717",'2024'!$M$4="CA",'2024'!$M$2=AL347),'2024DATA'!$I$37,"")</f>
        <v/>
      </c>
      <c r="AM382" s="518" t="str">
        <f>IF(AND(_B="B-717",'2024'!$M$4="CA",'2024'!$M$2=AM347),'2024DATA'!$J$37,"")</f>
        <v/>
      </c>
      <c r="AN382" s="518" t="str">
        <f>IF(AND(_B="B-717",'2024'!$M$4="CA",'2024'!$M$2=AN347),'2024DATA'!$K$37,"")</f>
        <v/>
      </c>
      <c r="AO382" s="518" t="str">
        <f>IF(AND(_B="B-717",'2024'!$M$4="CA",'2024'!$M$2=AO347),'2024DATA'!$L$37,"")</f>
        <v/>
      </c>
      <c r="AP382" s="518" t="str">
        <f>IF(AND(_B="B-717",'2024'!$M$4="CA",'2024'!$M$2=AP347),'2024DATA'!$M$37,"")</f>
        <v/>
      </c>
      <c r="AQ382" s="520" t="str">
        <f>IF(AND(_B="B-717",'2024'!$M$4="CA",'2024'!$M$2=AQ347),'2024DATA'!$N$37,"")</f>
        <v/>
      </c>
      <c r="AR382" s="940" t="s">
        <v>53</v>
      </c>
      <c r="AS382" s="13" t="s">
        <v>61</v>
      </c>
      <c r="AT382" s="518" t="str">
        <f>IF(AND(_C="B-717",'2024'!$M$4="CA",'2024'!$M$2=AT347),'2024DATA'!$C$37,"")</f>
        <v/>
      </c>
      <c r="AU382" s="518" t="str">
        <f>IF(AND(_C="B-717",'2024'!$M$4="CA",'2024'!$M$2=AU347),'2024DATA'!$D$37,"")</f>
        <v/>
      </c>
      <c r="AV382" s="518" t="str">
        <f>IF(AND(_C="B-717",'2024'!$M$4="CA",'2024'!$M$2=AV347),'2024DATA'!$E$37,"")</f>
        <v/>
      </c>
      <c r="AW382" s="518" t="str">
        <f>IF(AND(_C="B-717",'2024'!$M$4="CA",'2024'!$M$2=AW347),'2024DATA'!$F$37,"")</f>
        <v/>
      </c>
      <c r="AX382" s="518" t="str">
        <f>IF(AND(_C="B-717",'2024'!$M$4="CA",'2024'!$M$2=AX347),'2024DATA'!$G$37,"")</f>
        <v/>
      </c>
      <c r="AY382" s="518" t="str">
        <f>IF(AND(_C="B-717",'2024'!$M$4="CA",'2024'!$M$2=AY347),'2024DATA'!$H$37,"")</f>
        <v/>
      </c>
      <c r="AZ382" s="518" t="str">
        <f>IF(AND(_C="B-717",'2024'!$M$4="CA",'2024'!$M$2=AZ347),'2024DATA'!$I$37,"")</f>
        <v/>
      </c>
      <c r="BA382" s="518" t="str">
        <f>IF(AND(_C="B-717",'2024'!$M$4="CA",'2024'!$M$2=BA347),'2024DATA'!$J$37,"")</f>
        <v/>
      </c>
      <c r="BB382" s="518" t="str">
        <f>IF(AND(_C="B-717",'2024'!$M$4="CA",'2024'!$M$2=BB347),'2024DATA'!$K$37,"")</f>
        <v/>
      </c>
      <c r="BC382" s="518" t="str">
        <f>IF(AND(_C="B-717",'2024'!$M$4="CA",'2024'!$M$2=BC347),'2024DATA'!$L$37,"")</f>
        <v/>
      </c>
      <c r="BD382" s="518" t="str">
        <f>IF(AND(_C="B-717",'2024'!$M$4="CA",'2024'!$M$2=BD347),'2024DATA'!$M$37,"")</f>
        <v/>
      </c>
      <c r="BE382" s="520" t="str">
        <f>IF(AND(_C="B-717",'2024'!$M$4="CA",'2024'!$M$2=BE347),'2024DATA'!$N$37,"")</f>
        <v/>
      </c>
      <c r="BF382" s="940" t="s">
        <v>53</v>
      </c>
      <c r="BG382" s="13" t="s">
        <v>61</v>
      </c>
      <c r="BH382" s="518" t="str">
        <f>IF(AND(_D="B-717",'2024'!$M$4="CA",'2024'!$M$2=BH347),'2024DATA'!$C$37,"")</f>
        <v/>
      </c>
      <c r="BI382" s="518" t="str">
        <f>IF(AND(_D="B-717",'2024'!$M$4="CA",'2024'!$M$2=BI347),'2024DATA'!$D$37,"")</f>
        <v/>
      </c>
      <c r="BJ382" s="518" t="str">
        <f>IF(AND(_D="B-717",'2024'!$M$4="CA",'2024'!$M$2=BJ347),'2024DATA'!$E$37,"")</f>
        <v/>
      </c>
      <c r="BK382" s="518" t="str">
        <f>IF(AND(_D="B-717",'2024'!$M$4="CA",'2024'!$M$2=BK347),'2024DATA'!$F$37,"")</f>
        <v/>
      </c>
      <c r="BL382" s="518" t="str">
        <f>IF(AND(_D="B-717",'2024'!$M$4="CA",'2024'!$M$2=BL347),'2024DATA'!$G$37,"")</f>
        <v/>
      </c>
      <c r="BM382" s="518" t="str">
        <f>IF(AND(_D="B-717",'2024'!$M$4="CA",'2024'!$M$2=BM347),'2024DATA'!$H$37,"")</f>
        <v/>
      </c>
      <c r="BN382" s="518" t="str">
        <f>IF(AND(_D="B-717",'2024'!$M$4="CA",'2024'!$M$2=BN347),'2024DATA'!$I$37,"")</f>
        <v/>
      </c>
      <c r="BO382" s="518" t="str">
        <f>IF(AND(_D="B-717",'2024'!$M$4="CA",'2024'!$M$2=BO347),'2024DATA'!$J$37,"")</f>
        <v/>
      </c>
      <c r="BP382" s="518" t="str">
        <f>IF(AND(_D="B-717",'2024'!$M$4="CA",'2024'!$M$2=BP347),'2024DATA'!$K$37,"")</f>
        <v/>
      </c>
      <c r="BQ382" s="518" t="str">
        <f>IF(AND(_D="B-717",'2024'!$M$4="CA",'2024'!$M$2=BQ347),'2024DATA'!$L$37,"")</f>
        <v/>
      </c>
      <c r="BR382" s="518" t="str">
        <f>IF(AND(_D="B-717",'2024'!$M$4="CA",'2024'!$M$2=BR347),'2024DATA'!$M$37,"")</f>
        <v/>
      </c>
      <c r="BS382" s="520" t="str">
        <f>IF(AND(_D="B-717",'2024'!$M$4="CA",'2024'!$M$2=BS347),'2024DATA'!$N$37,"")</f>
        <v/>
      </c>
      <c r="BT382" s="940" t="s">
        <v>53</v>
      </c>
      <c r="BU382" s="13" t="s">
        <v>61</v>
      </c>
      <c r="BV382" s="518" t="str">
        <f>IF(AND(_E="B-717",'2024'!$M$4="CA",'2024'!$M$2=BV347),'2024DATA'!$C$37,"")</f>
        <v/>
      </c>
      <c r="BW382" s="518" t="str">
        <f>IF(AND(_E="B-717",'2024'!$M$4="CA",'2024'!$M$2=BW347),'2024DATA'!$D$37,"")</f>
        <v/>
      </c>
      <c r="BX382" s="518" t="str">
        <f>IF(AND(_E="B-717",'2024'!$M$4="CA",'2024'!$M$2=BX347),'2024DATA'!$E$37,"")</f>
        <v/>
      </c>
      <c r="BY382" s="518" t="str">
        <f>IF(AND(_E="B-717",'2024'!$M$4="CA",'2024'!$M$2=BY347),'2024DATA'!$F$37,"")</f>
        <v/>
      </c>
      <c r="BZ382" s="518" t="str">
        <f>IF(AND(_E="B-717",'2024'!$M$4="CA",'2024'!$M$2=BZ347),'2024DATA'!$G$37,"")</f>
        <v/>
      </c>
      <c r="CA382" s="518" t="str">
        <f>IF(AND(_E="B-717",'2024'!$M$4="CA",'2024'!$M$2=CA347),'2024DATA'!$H$37,"")</f>
        <v/>
      </c>
      <c r="CB382" s="518" t="str">
        <f>IF(AND(_E="B-717",'2024'!$M$4="CA",'2024'!$M$2=CB347),'2024DATA'!$I$37,"")</f>
        <v/>
      </c>
      <c r="CC382" s="518" t="str">
        <f>IF(AND(_E="B-717",'2024'!$M$4="CA",'2024'!$M$2=CC347),'2024DATA'!$J$37,"")</f>
        <v/>
      </c>
      <c r="CD382" s="518" t="str">
        <f>IF(AND(_E="B-717",'2024'!$M$4="CA",'2024'!$M$2=CD347),'2024DATA'!$K$37,"")</f>
        <v/>
      </c>
      <c r="CE382" s="518" t="str">
        <f>IF(AND(_E="B-717",'2024'!$M$4="CA",'2024'!$M$2=CE347),'2024DATA'!$L$37,"")</f>
        <v/>
      </c>
      <c r="CF382" s="518" t="str">
        <f>IF(AND(_E="B-717",'2024'!$M$4="CA",'2024'!$M$2=CF347),'2024DATA'!$M$37,"")</f>
        <v/>
      </c>
      <c r="CG382" s="520" t="str">
        <f>IF(AND(_E="B-717",'2024'!$M$4="CA",'2024'!$M$2=CG347),'2024DATA'!$N$37,"")</f>
        <v/>
      </c>
      <c r="CH382" s="940" t="s">
        <v>53</v>
      </c>
      <c r="CI382" s="13" t="s">
        <v>61</v>
      </c>
      <c r="CJ382" s="518" t="str">
        <f>IF(AND(_F="B-717",'2024'!$M$4="CA",'2024'!$M$2=CJ347),'2024DATA'!$C$37,"")</f>
        <v/>
      </c>
      <c r="CK382" s="518" t="str">
        <f>IF(AND(_F="B-717",'2024'!$M$4="CA",'2024'!$M$2=CK347),'2024DATA'!$D$37,"")</f>
        <v/>
      </c>
      <c r="CL382" s="518" t="str">
        <f>IF(AND(_F="B-717",'2024'!$M$4="CA",'2024'!$M$2=CL347),'2024DATA'!$E$37,"")</f>
        <v/>
      </c>
      <c r="CM382" s="518" t="str">
        <f>IF(AND(_F="B-717",'2024'!$M$4="CA",'2024'!$M$2=CM347),'2024DATA'!$F$37,"")</f>
        <v/>
      </c>
      <c r="CN382" s="518" t="str">
        <f>IF(AND(_F="B-717",'2024'!$M$4="CA",'2024'!$M$2=CN347),'2024DATA'!$G$37,"")</f>
        <v/>
      </c>
      <c r="CO382" s="518" t="str">
        <f>IF(AND(_F="B-717",'2024'!$M$4="CA",'2024'!$M$2=CO347),'2024DATA'!$H$37,"")</f>
        <v/>
      </c>
      <c r="CP382" s="518" t="str">
        <f>IF(AND(_F="B-717",'2024'!$M$4="CA",'2024'!$M$2=CP347),'2024DATA'!$I$37,"")</f>
        <v/>
      </c>
      <c r="CQ382" s="518" t="str">
        <f>IF(AND(_F="B-717",'2024'!$M$4="CA",'2024'!$M$2=CQ347),'2024DATA'!$J$37,"")</f>
        <v/>
      </c>
      <c r="CR382" s="518" t="str">
        <f>IF(AND(_F="B-717",'2024'!$M$4="CA",'2024'!$M$2=CR347),'2024DATA'!$K$37,"")</f>
        <v/>
      </c>
      <c r="CS382" s="518" t="str">
        <f>IF(AND(_F="B-717",'2024'!$M$4="CA",'2024'!$M$2=CS347),'2024DATA'!$L$37,"")</f>
        <v/>
      </c>
      <c r="CT382" s="518" t="str">
        <f>IF(AND(_F="B-717",'2024'!$M$4="CA",'2024'!$M$2=CT347),'2024DATA'!$M$37,"")</f>
        <v/>
      </c>
      <c r="CU382" s="520" t="str">
        <f>IF(AND(_F="B-717",'2024'!$M$4="CA",'2024'!$M$2=CU347),'2024DATA'!$N$37,"")</f>
        <v/>
      </c>
    </row>
    <row r="383" spans="16:99" ht="15.75" thickBot="1" x14ac:dyDescent="0.3">
      <c r="P383" s="942"/>
      <c r="Q383" s="2" t="s">
        <v>62</v>
      </c>
      <c r="R383" s="518" t="str">
        <f>IF(AND(_A="B-717",'2024'!$M$4="FO",'2024'!$M$2=R347),'2024DATA'!$C$38,"")</f>
        <v/>
      </c>
      <c r="S383" s="518" t="str">
        <f>IF(AND(_A="B-717",'2024'!$M$4="FO",'2024'!$M$2=S347),'2024DATA'!$D$38,"")</f>
        <v/>
      </c>
      <c r="T383" s="518" t="str">
        <f>IF(AND(_A="B-717",'2024'!$M$4="FO",'2024'!$M$2=T347),'2024DATA'!$E$38,"")</f>
        <v/>
      </c>
      <c r="U383" s="518" t="str">
        <f>IF(AND(_A="B-717",'2024'!$M$4="FO",'2024'!$M$2=U347),'2024DATA'!$F$38,"")</f>
        <v/>
      </c>
      <c r="V383" s="518" t="str">
        <f>IF(AND(_A="B-717",'2024'!$M$4="FO",'2024'!$M$2=V347),'2024DATA'!$G$38,"")</f>
        <v/>
      </c>
      <c r="W383" s="518" t="str">
        <f>IF(AND(_A="B-717",'2024'!$M$4="FO",'2024'!$M$2=W347),'2024DATA'!$H$38,"")</f>
        <v/>
      </c>
      <c r="X383" s="518" t="str">
        <f>IF(AND(_A="B-717",'2024'!$M$4="FO",'2024'!$M$2=X347),'2024DATA'!$I$38,"")</f>
        <v/>
      </c>
      <c r="Y383" s="518" t="str">
        <f>IF(AND(_A="B-717",'2024'!$M$4="FO",'2024'!$M$2=Y347),'2024DATA'!$J$38,"")</f>
        <v/>
      </c>
      <c r="Z383" s="518" t="str">
        <f>IF(AND(_A="B-717",'2024'!$M$4="FO",'2024'!$M$2=Z347),'2024DATA'!$K$38,"")</f>
        <v/>
      </c>
      <c r="AA383" s="518" t="str">
        <f>IF(AND(_A="B-717",'2024'!$M$4="FO",'2024'!$M$2=AA347),'2024DATA'!$L$38,"")</f>
        <v/>
      </c>
      <c r="AB383" s="518" t="str">
        <f>IF(AND(_A="B-717",'2024'!$M$4="FO",'2024'!$M$2=AB347),'2024DATA'!$M$38,"")</f>
        <v/>
      </c>
      <c r="AC383" s="520" t="str">
        <f>IF(AND(_A="B-717",'2024'!$M$4="FO",'2024'!$M$2=AC347),'2024DATA'!$N$38,"")</f>
        <v/>
      </c>
      <c r="AD383" s="942"/>
      <c r="AE383" s="2" t="s">
        <v>62</v>
      </c>
      <c r="AF383" s="518" t="str">
        <f>IF(AND(_B="B-717",'2024'!$M$4="FO",'2024'!$M$2=AF347),'2024DATA'!$C$38,"")</f>
        <v/>
      </c>
      <c r="AG383" s="518" t="str">
        <f>IF(AND(_B="B-717",'2024'!$M$4="FO",'2024'!$M$2=AG347),'2024DATA'!$D$38,"")</f>
        <v/>
      </c>
      <c r="AH383" s="518" t="str">
        <f>IF(AND(_B="B-717",'2024'!$M$4="FO",'2024'!$M$2=AH347),'2024DATA'!$E$38,"")</f>
        <v/>
      </c>
      <c r="AI383" s="518" t="str">
        <f>IF(AND(_B="B-717",'2024'!$M$4="FO",'2024'!$M$2=AI347),'2024DATA'!$F$38,"")</f>
        <v/>
      </c>
      <c r="AJ383" s="518" t="str">
        <f>IF(AND(_B="B-717",'2024'!$M$4="FO",'2024'!$M$2=AJ347),'2024DATA'!$G$38,"")</f>
        <v/>
      </c>
      <c r="AK383" s="518" t="str">
        <f>IF(AND(_B="B-717",'2024'!$M$4="FO",'2024'!$M$2=AK347),'2024DATA'!$H$38,"")</f>
        <v/>
      </c>
      <c r="AL383" s="518" t="str">
        <f>IF(AND(_B="B-717",'2024'!$M$4="FO",'2024'!$M$2=AL347),'2024DATA'!$I$38,"")</f>
        <v/>
      </c>
      <c r="AM383" s="518" t="str">
        <f>IF(AND(_B="B-717",'2024'!$M$4="FO",'2024'!$M$2=AM347),'2024DATA'!$J$38,"")</f>
        <v/>
      </c>
      <c r="AN383" s="518" t="str">
        <f>IF(AND(_B="B-717",'2024'!$M$4="FO",'2024'!$M$2=AN347),'2024DATA'!$K$38,"")</f>
        <v/>
      </c>
      <c r="AO383" s="518" t="str">
        <f>IF(AND(_B="B-717",'2024'!$M$4="FO",'2024'!$M$2=AO347),'2024DATA'!$L$38,"")</f>
        <v/>
      </c>
      <c r="AP383" s="518" t="str">
        <f>IF(AND(_B="B-717",'2024'!$M$4="FO",'2024'!$M$2=AP347),'2024DATA'!$M$38,"")</f>
        <v/>
      </c>
      <c r="AQ383" s="520" t="str">
        <f>IF(AND(_B="B-717",'2024'!$M$4="FO",'2024'!$M$2=AQ347),'2024DATA'!$N$38,"")</f>
        <v/>
      </c>
      <c r="AR383" s="942"/>
      <c r="AS383" s="2" t="s">
        <v>62</v>
      </c>
      <c r="AT383" s="518" t="str">
        <f>IF(AND(_C="B-717",'2024'!$M$4="FO",'2024'!$M$2=AT347),'2024DATA'!$C$38,"")</f>
        <v/>
      </c>
      <c r="AU383" s="518" t="str">
        <f>IF(AND(_C="B-717",'2024'!$M$4="FO",'2024'!$M$2=AU347),'2024DATA'!$D$38,"")</f>
        <v/>
      </c>
      <c r="AV383" s="518" t="str">
        <f>IF(AND(_C="B-717",'2024'!$M$4="FO",'2024'!$M$2=AV347),'2024DATA'!$E$38,"")</f>
        <v/>
      </c>
      <c r="AW383" s="518" t="str">
        <f>IF(AND(_C="B-717",'2024'!$M$4="FO",'2024'!$M$2=AW347),'2024DATA'!$F$38,"")</f>
        <v/>
      </c>
      <c r="AX383" s="518" t="str">
        <f>IF(AND(_C="B-717",'2024'!$M$4="FO",'2024'!$M$2=AX347),'2024DATA'!$G$38,"")</f>
        <v/>
      </c>
      <c r="AY383" s="518" t="str">
        <f>IF(AND(_C="B-717",'2024'!$M$4="FO",'2024'!$M$2=AY347),'2024DATA'!$H$38,"")</f>
        <v/>
      </c>
      <c r="AZ383" s="518" t="str">
        <f>IF(AND(_C="B-717",'2024'!$M$4="FO",'2024'!$M$2=AZ347),'2024DATA'!$I$38,"")</f>
        <v/>
      </c>
      <c r="BA383" s="518" t="str">
        <f>IF(AND(_C="B-717",'2024'!$M$4="FO",'2024'!$M$2=BA347),'2024DATA'!$J$38,"")</f>
        <v/>
      </c>
      <c r="BB383" s="518" t="str">
        <f>IF(AND(_C="B-717",'2024'!$M$4="FO",'2024'!$M$2=BB347),'2024DATA'!$K$38,"")</f>
        <v/>
      </c>
      <c r="BC383" s="518" t="str">
        <f>IF(AND(_C="B-717",'2024'!$M$4="FO",'2024'!$M$2=BC347),'2024DATA'!$L$38,"")</f>
        <v/>
      </c>
      <c r="BD383" s="518" t="str">
        <f>IF(AND(_C="B-717",'2024'!$M$4="FO",'2024'!$M$2=BD347),'2024DATA'!$M$38,"")</f>
        <v/>
      </c>
      <c r="BE383" s="520" t="str">
        <f>IF(AND(_C="B-717",'2024'!$M$4="FO",'2024'!$M$2=BE347),'2024DATA'!$N$38,"")</f>
        <v/>
      </c>
      <c r="BF383" s="942"/>
      <c r="BG383" s="2" t="s">
        <v>62</v>
      </c>
      <c r="BH383" s="518" t="str">
        <f>IF(AND(_D="B-717",'2024'!$M$4="FO",'2024'!$M$2=BH347),'2024DATA'!$C$38,"")</f>
        <v/>
      </c>
      <c r="BI383" s="518" t="str">
        <f>IF(AND(_D="B-717",'2024'!$M$4="FO",'2024'!$M$2=BI347),'2024DATA'!$D$38,"")</f>
        <v/>
      </c>
      <c r="BJ383" s="518" t="str">
        <f>IF(AND(_D="B-717",'2024'!$M$4="FO",'2024'!$M$2=BJ347),'2024DATA'!$E$38,"")</f>
        <v/>
      </c>
      <c r="BK383" s="518" t="str">
        <f>IF(AND(_D="B-717",'2024'!$M$4="FO",'2024'!$M$2=BK347),'2024DATA'!$F$38,"")</f>
        <v/>
      </c>
      <c r="BL383" s="518" t="str">
        <f>IF(AND(_D="B-717",'2024'!$M$4="FO",'2024'!$M$2=BL347),'2024DATA'!$G$38,"")</f>
        <v/>
      </c>
      <c r="BM383" s="518" t="str">
        <f>IF(AND(_D="B-717",'2024'!$M$4="FO",'2024'!$M$2=BM347),'2024DATA'!$H$38,"")</f>
        <v/>
      </c>
      <c r="BN383" s="518" t="str">
        <f>IF(AND(_D="B-717",'2024'!$M$4="FO",'2024'!$M$2=BN347),'2024DATA'!$I$38,"")</f>
        <v/>
      </c>
      <c r="BO383" s="518" t="str">
        <f>IF(AND(_D="B-717",'2024'!$M$4="FO",'2024'!$M$2=BO347),'2024DATA'!$J$38,"")</f>
        <v/>
      </c>
      <c r="BP383" s="518" t="str">
        <f>IF(AND(_D="B-717",'2024'!$M$4="FO",'2024'!$M$2=BP347),'2024DATA'!$K$38,"")</f>
        <v/>
      </c>
      <c r="BQ383" s="518" t="str">
        <f>IF(AND(_D="B-717",'2024'!$M$4="FO",'2024'!$M$2=BQ347),'2024DATA'!$L$38,"")</f>
        <v/>
      </c>
      <c r="BR383" s="518" t="str">
        <f>IF(AND(_D="B-717",'2024'!$M$4="FO",'2024'!$M$2=BR347),'2024DATA'!$M$38,"")</f>
        <v/>
      </c>
      <c r="BS383" s="520" t="str">
        <f>IF(AND(_D="B-717",'2024'!$M$4="FO",'2024'!$M$2=BS347),'2024DATA'!$N$38,"")</f>
        <v/>
      </c>
      <c r="BT383" s="942"/>
      <c r="BU383" s="2" t="s">
        <v>62</v>
      </c>
      <c r="BV383" s="518" t="str">
        <f>IF(AND(_E="B-717",'2024'!$M$4="FO",'2024'!$M$2=BV347),'2024DATA'!$C$38,"")</f>
        <v/>
      </c>
      <c r="BW383" s="518" t="str">
        <f>IF(AND(_E="B-717",'2024'!$M$4="FO",'2024'!$M$2=BW347),'2024DATA'!$D$38,"")</f>
        <v/>
      </c>
      <c r="BX383" s="518" t="str">
        <f>IF(AND(_E="B-717",'2024'!$M$4="FO",'2024'!$M$2=BX347),'2024DATA'!$E$38,"")</f>
        <v/>
      </c>
      <c r="BY383" s="518" t="str">
        <f>IF(AND(_E="B-717",'2024'!$M$4="FO",'2024'!$M$2=BY347),'2024DATA'!$F$38,"")</f>
        <v/>
      </c>
      <c r="BZ383" s="518" t="str">
        <f>IF(AND(_E="B-717",'2024'!$M$4="FO",'2024'!$M$2=BZ347),'2024DATA'!$G$38,"")</f>
        <v/>
      </c>
      <c r="CA383" s="518" t="str">
        <f>IF(AND(_E="B-717",'2024'!$M$4="FO",'2024'!$M$2=CA347),'2024DATA'!$H$38,"")</f>
        <v/>
      </c>
      <c r="CB383" s="518" t="str">
        <f>IF(AND(_E="B-717",'2024'!$M$4="FO",'2024'!$M$2=CB347),'2024DATA'!$I$38,"")</f>
        <v/>
      </c>
      <c r="CC383" s="518" t="str">
        <f>IF(AND(_E="B-717",'2024'!$M$4="FO",'2024'!$M$2=CC347),'2024DATA'!$J$38,"")</f>
        <v/>
      </c>
      <c r="CD383" s="518" t="str">
        <f>IF(AND(_E="B-717",'2024'!$M$4="FO",'2024'!$M$2=CD347),'2024DATA'!$K$38,"")</f>
        <v/>
      </c>
      <c r="CE383" s="518" t="str">
        <f>IF(AND(_E="B-717",'2024'!$M$4="FO",'2024'!$M$2=CE347),'2024DATA'!$L$38,"")</f>
        <v/>
      </c>
      <c r="CF383" s="518" t="str">
        <f>IF(AND(_E="B-717",'2024'!$M$4="FO",'2024'!$M$2=CF347),'2024DATA'!$M$38,"")</f>
        <v/>
      </c>
      <c r="CG383" s="520" t="str">
        <f>IF(AND(_E="B-717",'2024'!$M$4="FO",'2024'!$M$2=CG347),'2024DATA'!$N$38,"")</f>
        <v/>
      </c>
      <c r="CH383" s="942"/>
      <c r="CI383" s="2" t="s">
        <v>62</v>
      </c>
      <c r="CJ383" s="518" t="str">
        <f>IF(AND(_F="B-717",'2024'!$M$4="FO",'2024'!$M$2=CJ347),'2024DATA'!$C$38,"")</f>
        <v/>
      </c>
      <c r="CK383" s="518" t="str">
        <f>IF(AND(_F="B-717",'2024'!$M$4="FO",'2024'!$M$2=CK347),'2024DATA'!$D$38,"")</f>
        <v/>
      </c>
      <c r="CL383" s="518" t="str">
        <f>IF(AND(_F="B-717",'2024'!$M$4="FO",'2024'!$M$2=CL347),'2024DATA'!$E$38,"")</f>
        <v/>
      </c>
      <c r="CM383" s="518" t="str">
        <f>IF(AND(_F="B-717",'2024'!$M$4="FO",'2024'!$M$2=CM347),'2024DATA'!$F$38,"")</f>
        <v/>
      </c>
      <c r="CN383" s="518" t="str">
        <f>IF(AND(_F="B-717",'2024'!$M$4="FO",'2024'!$M$2=CN347),'2024DATA'!$G$38,"")</f>
        <v/>
      </c>
      <c r="CO383" s="518" t="str">
        <f>IF(AND(_F="B-717",'2024'!$M$4="FO",'2024'!$M$2=CO347),'2024DATA'!$H$38,"")</f>
        <v/>
      </c>
      <c r="CP383" s="518" t="str">
        <f>IF(AND(_F="B-717",'2024'!$M$4="FO",'2024'!$M$2=CP347),'2024DATA'!$I$38,"")</f>
        <v/>
      </c>
      <c r="CQ383" s="518" t="str">
        <f>IF(AND(_F="B-717",'2024'!$M$4="FO",'2024'!$M$2=CQ347),'2024DATA'!$J$38,"")</f>
        <v/>
      </c>
      <c r="CR383" s="518" t="str">
        <f>IF(AND(_F="B-717",'2024'!$M$4="FO",'2024'!$M$2=CR347),'2024DATA'!$K$38,"")</f>
        <v/>
      </c>
      <c r="CS383" s="518" t="str">
        <f>IF(AND(_F="B-717",'2024'!$M$4="FO",'2024'!$M$2=CS347),'2024DATA'!$L$38,"")</f>
        <v/>
      </c>
      <c r="CT383" s="518" t="str">
        <f>IF(AND(_F="B-717",'2024'!$M$4="FO",'2024'!$M$2=CT347),'2024DATA'!$M$38,"")</f>
        <v/>
      </c>
      <c r="CU383" s="520" t="str">
        <f>IF(AND(_F="B-717",'2024'!$M$4="FO",'2024'!$M$2=CU347),'2024DATA'!$N$38,"")</f>
        <v/>
      </c>
    </row>
    <row r="384" spans="16:99" x14ac:dyDescent="0.25">
      <c r="P384" s="943" t="s">
        <v>103</v>
      </c>
      <c r="Q384" s="944"/>
      <c r="R384" s="944"/>
      <c r="S384" s="944"/>
      <c r="T384" s="944"/>
      <c r="U384" s="944"/>
      <c r="V384" s="944"/>
      <c r="W384" s="944"/>
      <c r="X384" s="944"/>
      <c r="Y384" s="944"/>
      <c r="Z384" s="944"/>
      <c r="AA384" s="944"/>
      <c r="AB384" s="944"/>
      <c r="AC384" s="945"/>
      <c r="AD384" s="943" t="s">
        <v>104</v>
      </c>
      <c r="AE384" s="944"/>
      <c r="AF384" s="944"/>
      <c r="AG384" s="944"/>
      <c r="AH384" s="944"/>
      <c r="AI384" s="944"/>
      <c r="AJ384" s="944"/>
      <c r="AK384" s="944"/>
      <c r="AL384" s="944"/>
      <c r="AM384" s="944"/>
      <c r="AN384" s="944"/>
      <c r="AO384" s="944"/>
      <c r="AP384" s="944"/>
      <c r="AQ384" s="945"/>
      <c r="AR384" s="943" t="s">
        <v>105</v>
      </c>
      <c r="AS384" s="944"/>
      <c r="AT384" s="944"/>
      <c r="AU384" s="944"/>
      <c r="AV384" s="944"/>
      <c r="AW384" s="944"/>
      <c r="AX384" s="944"/>
      <c r="AY384" s="944"/>
      <c r="AZ384" s="944"/>
      <c r="BA384" s="944"/>
      <c r="BB384" s="944"/>
      <c r="BC384" s="944"/>
      <c r="BD384" s="944"/>
      <c r="BE384" s="945"/>
      <c r="BF384" s="943" t="s">
        <v>106</v>
      </c>
      <c r="BG384" s="944"/>
      <c r="BH384" s="944"/>
      <c r="BI384" s="944"/>
      <c r="BJ384" s="944"/>
      <c r="BK384" s="944"/>
      <c r="BL384" s="944"/>
      <c r="BM384" s="944"/>
      <c r="BN384" s="944"/>
      <c r="BO384" s="944"/>
      <c r="BP384" s="944"/>
      <c r="BQ384" s="944"/>
      <c r="BR384" s="944"/>
      <c r="BS384" s="945"/>
      <c r="BT384" s="943" t="s">
        <v>107</v>
      </c>
      <c r="BU384" s="944"/>
      <c r="BV384" s="944"/>
      <c r="BW384" s="944"/>
      <c r="BX384" s="944"/>
      <c r="BY384" s="944"/>
      <c r="BZ384" s="944"/>
      <c r="CA384" s="944"/>
      <c r="CB384" s="944"/>
      <c r="CC384" s="944"/>
      <c r="CD384" s="944"/>
      <c r="CE384" s="944"/>
      <c r="CF384" s="944"/>
      <c r="CG384" s="945"/>
      <c r="CH384" s="943" t="s">
        <v>108</v>
      </c>
      <c r="CI384" s="944"/>
      <c r="CJ384" s="944"/>
      <c r="CK384" s="944"/>
      <c r="CL384" s="944"/>
      <c r="CM384" s="944"/>
      <c r="CN384" s="944"/>
      <c r="CO384" s="944"/>
      <c r="CP384" s="944"/>
      <c r="CQ384" s="944"/>
      <c r="CR384" s="944"/>
      <c r="CS384" s="944"/>
      <c r="CT384" s="944"/>
      <c r="CU384" s="945"/>
    </row>
    <row r="385" spans="16:99" x14ac:dyDescent="0.25">
      <c r="P385" s="594">
        <v>11</v>
      </c>
      <c r="Q385" s="575">
        <f>SUM(R386:AC421)</f>
        <v>0</v>
      </c>
      <c r="R385" s="3">
        <v>12</v>
      </c>
      <c r="S385" s="3">
        <v>11</v>
      </c>
      <c r="T385" s="3">
        <v>10</v>
      </c>
      <c r="U385" s="3">
        <v>9</v>
      </c>
      <c r="V385" s="3">
        <v>8</v>
      </c>
      <c r="W385" s="3">
        <v>7</v>
      </c>
      <c r="X385" s="3">
        <v>6</v>
      </c>
      <c r="Y385" s="3">
        <v>5</v>
      </c>
      <c r="Z385" s="3">
        <v>4</v>
      </c>
      <c r="AA385" s="3">
        <v>3</v>
      </c>
      <c r="AB385" s="3">
        <v>2</v>
      </c>
      <c r="AC385" s="519">
        <v>1</v>
      </c>
      <c r="AD385" s="575">
        <v>11</v>
      </c>
      <c r="AE385" s="575">
        <f>SUM(AF386:AQ421)</f>
        <v>0</v>
      </c>
      <c r="AF385" s="3">
        <v>12</v>
      </c>
      <c r="AG385" s="3">
        <v>11</v>
      </c>
      <c r="AH385" s="3">
        <v>10</v>
      </c>
      <c r="AI385" s="3">
        <v>9</v>
      </c>
      <c r="AJ385" s="3">
        <v>8</v>
      </c>
      <c r="AK385" s="3">
        <v>7</v>
      </c>
      <c r="AL385" s="3">
        <v>6</v>
      </c>
      <c r="AM385" s="3">
        <v>5</v>
      </c>
      <c r="AN385" s="3">
        <v>4</v>
      </c>
      <c r="AO385" s="3">
        <v>3</v>
      </c>
      <c r="AP385" s="3">
        <v>2</v>
      </c>
      <c r="AQ385" s="519">
        <v>1</v>
      </c>
      <c r="AR385" s="575">
        <v>11</v>
      </c>
      <c r="AS385" s="575">
        <f>SUM(AT386:BE421)</f>
        <v>0</v>
      </c>
      <c r="AT385" s="3">
        <v>12</v>
      </c>
      <c r="AU385" s="3">
        <v>11</v>
      </c>
      <c r="AV385" s="3">
        <v>10</v>
      </c>
      <c r="AW385" s="3">
        <v>9</v>
      </c>
      <c r="AX385" s="3">
        <v>8</v>
      </c>
      <c r="AY385" s="3">
        <v>7</v>
      </c>
      <c r="AZ385" s="3">
        <v>6</v>
      </c>
      <c r="BA385" s="3">
        <v>5</v>
      </c>
      <c r="BB385" s="3">
        <v>4</v>
      </c>
      <c r="BC385" s="3">
        <v>3</v>
      </c>
      <c r="BD385" s="3">
        <v>2</v>
      </c>
      <c r="BE385" s="519">
        <v>1</v>
      </c>
      <c r="BF385" s="575">
        <v>11</v>
      </c>
      <c r="BG385" s="575">
        <f>SUM(BH386:BS421)</f>
        <v>0</v>
      </c>
      <c r="BH385" s="3">
        <v>12</v>
      </c>
      <c r="BI385" s="3">
        <v>11</v>
      </c>
      <c r="BJ385" s="3">
        <v>10</v>
      </c>
      <c r="BK385" s="3">
        <v>9</v>
      </c>
      <c r="BL385" s="3">
        <v>8</v>
      </c>
      <c r="BM385" s="3">
        <v>7</v>
      </c>
      <c r="BN385" s="3">
        <v>6</v>
      </c>
      <c r="BO385" s="3">
        <v>5</v>
      </c>
      <c r="BP385" s="3">
        <v>4</v>
      </c>
      <c r="BQ385" s="3">
        <v>3</v>
      </c>
      <c r="BR385" s="3">
        <v>2</v>
      </c>
      <c r="BS385" s="519">
        <v>1</v>
      </c>
      <c r="BT385" s="575">
        <v>11</v>
      </c>
      <c r="BU385" s="575">
        <f>SUM(BV386:CG421)</f>
        <v>0</v>
      </c>
      <c r="BV385" s="3">
        <v>12</v>
      </c>
      <c r="BW385" s="3">
        <v>11</v>
      </c>
      <c r="BX385" s="3">
        <v>10</v>
      </c>
      <c r="BY385" s="3">
        <v>9</v>
      </c>
      <c r="BZ385" s="3">
        <v>8</v>
      </c>
      <c r="CA385" s="3">
        <v>7</v>
      </c>
      <c r="CB385" s="3">
        <v>6</v>
      </c>
      <c r="CC385" s="3">
        <v>5</v>
      </c>
      <c r="CD385" s="3">
        <v>4</v>
      </c>
      <c r="CE385" s="3">
        <v>3</v>
      </c>
      <c r="CF385" s="3">
        <v>2</v>
      </c>
      <c r="CG385" s="519">
        <v>1</v>
      </c>
      <c r="CH385" s="575">
        <v>11</v>
      </c>
      <c r="CI385" s="575">
        <f>SUM(CJ386:CU421)</f>
        <v>0</v>
      </c>
      <c r="CJ385" s="3">
        <v>12</v>
      </c>
      <c r="CK385" s="3">
        <v>11</v>
      </c>
      <c r="CL385" s="3">
        <v>10</v>
      </c>
      <c r="CM385" s="3">
        <v>9</v>
      </c>
      <c r="CN385" s="3">
        <v>8</v>
      </c>
      <c r="CO385" s="3">
        <v>7</v>
      </c>
      <c r="CP385" s="3">
        <v>6</v>
      </c>
      <c r="CQ385" s="3">
        <v>5</v>
      </c>
      <c r="CR385" s="3">
        <v>4</v>
      </c>
      <c r="CS385" s="3">
        <v>3</v>
      </c>
      <c r="CT385" s="3">
        <v>2</v>
      </c>
      <c r="CU385" s="519">
        <v>1</v>
      </c>
    </row>
    <row r="386" spans="16:99" x14ac:dyDescent="0.25">
      <c r="P386" s="940" t="s">
        <v>39</v>
      </c>
      <c r="Q386" s="13" t="s">
        <v>61</v>
      </c>
      <c r="R386" s="518" t="str">
        <f>IF(AND(_A="A-350",'2024'!$N$4="CA",'2024'!$N$2=R385),'2024DATA'!$C$3,"")</f>
        <v/>
      </c>
      <c r="S386" s="518" t="str">
        <f>IF(AND(_A="A-350",'2024'!$N$4="CA",'2024'!$N$2=S385),'2024DATA'!$D$3,"")</f>
        <v/>
      </c>
      <c r="T386" s="518" t="str">
        <f>IF(AND(_A="A-350",'2024'!$N$4="CA",'2024'!$N$2=T385),'2024DATA'!$E$3,"")</f>
        <v/>
      </c>
      <c r="U386" s="518" t="str">
        <f>IF(AND(_A="A-350",'2024'!$N$4="CA",'2024'!$N$2=U385),'2024DATA'!$F$3,"")</f>
        <v/>
      </c>
      <c r="V386" s="518" t="str">
        <f>IF(AND(_A="A-350",'2024'!$N$4="CA",'2024'!$N$2=V385),'2024DATA'!$G$3,"")</f>
        <v/>
      </c>
      <c r="W386" s="518" t="str">
        <f>IF(AND(_A="A-350",'2024'!$N$4="CA",'2024'!$N$2=W385),'2024DATA'!$H$3,"")</f>
        <v/>
      </c>
      <c r="X386" s="518" t="str">
        <f>IF(AND(_A="A-350",'2024'!$N$4="CA",'2024'!$N$2=X385),'2024DATA'!$I$3,"")</f>
        <v/>
      </c>
      <c r="Y386" s="518" t="str">
        <f>IF(AND(_A="A-350",'2024'!$N$4="CA",'2024'!$N$2=Y385),'2024DATA'!$J$3,"")</f>
        <v/>
      </c>
      <c r="Z386" s="518" t="str">
        <f>IF(AND(_A="A-350",'2024'!$N$4="CA",'2024'!$N$2=Z385),'2024DATA'!$K$3,"")</f>
        <v/>
      </c>
      <c r="AA386" s="518" t="str">
        <f>IF(AND(_A="A-350",'2024'!$N$4="CA",'2024'!$N$2=AA385),'2024DATA'!$L$3,"")</f>
        <v/>
      </c>
      <c r="AB386" s="518" t="str">
        <f>IF(AND(_A="A-350",'2024'!$N$4="CA",'2024'!$N$2=AB385),'2024DATA'!$M$3,"")</f>
        <v/>
      </c>
      <c r="AC386" s="520" t="str">
        <f>IF(AND(_A="A-350",'2024'!$N$4="CA",'2024'!$N$2=AC385),'2024DATA'!$N$3,"")</f>
        <v/>
      </c>
      <c r="AD386" s="940" t="s">
        <v>39</v>
      </c>
      <c r="AE386" s="13" t="s">
        <v>61</v>
      </c>
      <c r="AF386" s="518" t="str">
        <f>IF(AND(_B="A-350",'2024'!$N$4="CA",'2024'!$N$2=AF385),'2024DATA'!$C$3,"")</f>
        <v/>
      </c>
      <c r="AG386" s="518" t="str">
        <f>IF(AND(_B="A-350",'2024'!$N$4="CA",'2024'!$N$2=AG385),'2024DATA'!$D$3,"")</f>
        <v/>
      </c>
      <c r="AH386" s="518" t="str">
        <f>IF(AND(_B="A-350",'2024'!$N$4="CA",'2024'!$N$2=AH385),'2024DATA'!$E$3,"")</f>
        <v/>
      </c>
      <c r="AI386" s="518" t="str">
        <f>IF(AND(_B="A-350",'2024'!$N$4="CA",'2024'!$N$2=AI385),'2024DATA'!$F$3,"")</f>
        <v/>
      </c>
      <c r="AJ386" s="518" t="str">
        <f>IF(AND(_B="A-350",'2024'!$N$4="CA",'2024'!$N$2=AJ385),'2024DATA'!$G$3,"")</f>
        <v/>
      </c>
      <c r="AK386" s="518" t="str">
        <f>IF(AND(_B="A-350",'2024'!$N$4="CA",'2024'!$N$2=AK385),'2024DATA'!$H$3,"")</f>
        <v/>
      </c>
      <c r="AL386" s="518" t="str">
        <f>IF(AND(_B="A-350",'2024'!$N$4="CA",'2024'!$N$2=AL385),'2024DATA'!$I$3,"")</f>
        <v/>
      </c>
      <c r="AM386" s="518" t="str">
        <f>IF(AND(_B="A-350",'2024'!$N$4="CA",'2024'!$N$2=AM385),'2024DATA'!$J$3,"")</f>
        <v/>
      </c>
      <c r="AN386" s="518" t="str">
        <f>IF(AND(_B="A-350",'2024'!$N$4="CA",'2024'!$N$2=AN385),'2024DATA'!$K$3,"")</f>
        <v/>
      </c>
      <c r="AO386" s="518" t="str">
        <f>IF(AND(_B="A-350",'2024'!$N$4="CA",'2024'!$N$2=AO385),'2024DATA'!$L$3,"")</f>
        <v/>
      </c>
      <c r="AP386" s="518" t="str">
        <f>IF(AND(_B="A-350",'2024'!$N$4="CA",'2024'!$N$2=AP385),'2024DATA'!$M$3,"")</f>
        <v/>
      </c>
      <c r="AQ386" s="520" t="str">
        <f>IF(AND(_B="A-350",'2024'!$N$4="CA",'2024'!$N$2=AQ385),'2024DATA'!$N$3,"")</f>
        <v/>
      </c>
      <c r="AR386" s="940" t="s">
        <v>39</v>
      </c>
      <c r="AS386" s="13" t="s">
        <v>61</v>
      </c>
      <c r="AT386" s="518" t="str">
        <f>IF(AND(_C="A-350",'2024'!$N$4="CA",'2024'!$N$2=AT385),'2024DATA'!$C$3,"")</f>
        <v/>
      </c>
      <c r="AU386" s="518" t="str">
        <f>IF(AND(_C="A-350",'2024'!$N$4="CA",'2024'!$N$2=AU385),'2024DATA'!$D$3,"")</f>
        <v/>
      </c>
      <c r="AV386" s="518" t="str">
        <f>IF(AND(_C="A-350",'2024'!$N$4="CA",'2024'!$N$2=AV385),'2024DATA'!$E$3,"")</f>
        <v/>
      </c>
      <c r="AW386" s="518" t="str">
        <f>IF(AND(_C="A-350",'2024'!$N$4="CA",'2024'!$N$2=AW385),'2024DATA'!$F$3,"")</f>
        <v/>
      </c>
      <c r="AX386" s="518" t="str">
        <f>IF(AND(_C="A-350",'2024'!$N$4="CA",'2024'!$N$2=AX385),'2024DATA'!$G$3,"")</f>
        <v/>
      </c>
      <c r="AY386" s="518" t="str">
        <f>IF(AND(_C="A-350",'2024'!$N$4="CA",'2024'!$N$2=AY385),'2024DATA'!$H$3,"")</f>
        <v/>
      </c>
      <c r="AZ386" s="518" t="str">
        <f>IF(AND(_C="A-350",'2024'!$N$4="CA",'2024'!$N$2=AZ385),'2024DATA'!$I$3,"")</f>
        <v/>
      </c>
      <c r="BA386" s="518" t="str">
        <f>IF(AND(_C="A-350",'2024'!$N$4="CA",'2024'!$N$2=BA385),'2024DATA'!$J$3,"")</f>
        <v/>
      </c>
      <c r="BB386" s="518" t="str">
        <f>IF(AND(_C="A-350",'2024'!$N$4="CA",'2024'!$N$2=BB385),'2024DATA'!$K$3,"")</f>
        <v/>
      </c>
      <c r="BC386" s="518" t="str">
        <f>IF(AND(_C="A-350",'2024'!$N$4="CA",'2024'!$N$2=BC385),'2024DATA'!$L$3,"")</f>
        <v/>
      </c>
      <c r="BD386" s="518" t="str">
        <f>IF(AND(_C="A-350",'2024'!$N$4="CA",'2024'!$N$2=BD385),'2024DATA'!$M$3,"")</f>
        <v/>
      </c>
      <c r="BE386" s="520" t="str">
        <f>IF(AND(_C="A-350",'2024'!$N$4="CA",'2024'!$N$2=BE385),'2024DATA'!$N$3,"")</f>
        <v/>
      </c>
      <c r="BF386" s="940" t="s">
        <v>39</v>
      </c>
      <c r="BG386" s="13" t="s">
        <v>61</v>
      </c>
      <c r="BH386" s="518" t="str">
        <f>IF(AND(_D="A-350",'2024'!$N$4="CA",'2024'!$N$2=BH385),'2024DATA'!$C$3,"")</f>
        <v/>
      </c>
      <c r="BI386" s="518" t="str">
        <f>IF(AND(_D="A-350",'2024'!$N$4="CA",'2024'!$N$2=BI385),'2024DATA'!$D$3,"")</f>
        <v/>
      </c>
      <c r="BJ386" s="518" t="str">
        <f>IF(AND(_D="A-350",'2024'!$N$4="CA",'2024'!$N$2=BJ385),'2024DATA'!$E$3,"")</f>
        <v/>
      </c>
      <c r="BK386" s="518" t="str">
        <f>IF(AND(_D="A-350",'2024'!$N$4="CA",'2024'!$N$2=BK385),'2024DATA'!$F$3,"")</f>
        <v/>
      </c>
      <c r="BL386" s="518" t="str">
        <f>IF(AND(_D="A-350",'2024'!$N$4="CA",'2024'!$N$2=BL385),'2024DATA'!$G$3,"")</f>
        <v/>
      </c>
      <c r="BM386" s="518" t="str">
        <f>IF(AND(_D="A-350",'2024'!$N$4="CA",'2024'!$N$2=BM385),'2024DATA'!$H$3,"")</f>
        <v/>
      </c>
      <c r="BN386" s="518" t="str">
        <f>IF(AND(_D="A-350",'2024'!$N$4="CA",'2024'!$N$2=BN385),'2024DATA'!$I$3,"")</f>
        <v/>
      </c>
      <c r="BO386" s="518" t="str">
        <f>IF(AND(_D="A-350",'2024'!$N$4="CA",'2024'!$N$2=BO385),'2024DATA'!$J$3,"")</f>
        <v/>
      </c>
      <c r="BP386" s="518" t="str">
        <f>IF(AND(_D="A-350",'2024'!$N$4="CA",'2024'!$N$2=BP385),'2024DATA'!$K$3,"")</f>
        <v/>
      </c>
      <c r="BQ386" s="518" t="str">
        <f>IF(AND(_D="A-350",'2024'!$N$4="CA",'2024'!$N$2=BQ385),'2024DATA'!$L$3,"")</f>
        <v/>
      </c>
      <c r="BR386" s="518" t="str">
        <f>IF(AND(_D="A-350",'2024'!$N$4="CA",'2024'!$N$2=BR385),'2024DATA'!$M$3,"")</f>
        <v/>
      </c>
      <c r="BS386" s="520" t="str">
        <f>IF(AND(_D="A-350",'2024'!$N$4="CA",'2024'!$N$2=BS385),'2024DATA'!$N$3,"")</f>
        <v/>
      </c>
      <c r="BT386" s="940" t="s">
        <v>39</v>
      </c>
      <c r="BU386" s="13" t="s">
        <v>61</v>
      </c>
      <c r="BV386" s="518" t="str">
        <f>IF(AND(_E="A-350",'2024'!$N$4="CA",'2024'!$N$2=BV385),'2024DATA'!$C$3,"")</f>
        <v/>
      </c>
      <c r="BW386" s="518" t="str">
        <f>IF(AND(_E="A-350",'2024'!$N$4="CA",'2024'!$N$2=BW385),'2024DATA'!$D$3,"")</f>
        <v/>
      </c>
      <c r="BX386" s="518" t="str">
        <f>IF(AND(_E="A-350",'2024'!$N$4="CA",'2024'!$N$2=BX385),'2024DATA'!$E$3,"")</f>
        <v/>
      </c>
      <c r="BY386" s="518" t="str">
        <f>IF(AND(_E="A-350",'2024'!$N$4="CA",'2024'!$N$2=BY385),'2024DATA'!$F$3,"")</f>
        <v/>
      </c>
      <c r="BZ386" s="518" t="str">
        <f>IF(AND(_E="A-350",'2024'!$N$4="CA",'2024'!$N$2=BZ385),'2024DATA'!$G$3,"")</f>
        <v/>
      </c>
      <c r="CA386" s="518" t="str">
        <f>IF(AND(_E="A-350",'2024'!$N$4="CA",'2024'!$N$2=CA385),'2024DATA'!$H$3,"")</f>
        <v/>
      </c>
      <c r="CB386" s="518" t="str">
        <f>IF(AND(_E="A-350",'2024'!$N$4="CA",'2024'!$N$2=CB385),'2024DATA'!$I$3,"")</f>
        <v/>
      </c>
      <c r="CC386" s="518" t="str">
        <f>IF(AND(_E="A-350",'2024'!$N$4="CA",'2024'!$N$2=CC385),'2024DATA'!$J$3,"")</f>
        <v/>
      </c>
      <c r="CD386" s="518" t="str">
        <f>IF(AND(_E="A-350",'2024'!$N$4="CA",'2024'!$N$2=CD385),'2024DATA'!$K$3,"")</f>
        <v/>
      </c>
      <c r="CE386" s="518" t="str">
        <f>IF(AND(_E="A-350",'2024'!$N$4="CA",'2024'!$N$2=CE385),'2024DATA'!$L$3,"")</f>
        <v/>
      </c>
      <c r="CF386" s="518" t="str">
        <f>IF(AND(_E="A-350",'2024'!$N$4="CA",'2024'!$N$2=CF385),'2024DATA'!$M$3,"")</f>
        <v/>
      </c>
      <c r="CG386" s="520" t="str">
        <f>IF(AND(_E="A-350",'2024'!$N$4="CA",'2024'!$N$2=CG385),'2024DATA'!$N$3,"")</f>
        <v/>
      </c>
      <c r="CH386" s="940" t="s">
        <v>39</v>
      </c>
      <c r="CI386" s="13" t="s">
        <v>61</v>
      </c>
      <c r="CJ386" s="518" t="str">
        <f>IF(AND(_F="A-350",'2024'!$N$4="CA",'2024'!$N$2=CJ385),'2024DATA'!$C$3,"")</f>
        <v/>
      </c>
      <c r="CK386" s="518" t="str">
        <f>IF(AND(_F="A-350",'2024'!$N$4="CA",'2024'!$N$2=CK385),'2024DATA'!$D$3,"")</f>
        <v/>
      </c>
      <c r="CL386" s="518" t="str">
        <f>IF(AND(_F="A-350",'2024'!$N$4="CA",'2024'!$N$2=CL385),'2024DATA'!$E$3,"")</f>
        <v/>
      </c>
      <c r="CM386" s="518" t="str">
        <f>IF(AND(_F="A-350",'2024'!$N$4="CA",'2024'!$N$2=CM385),'2024DATA'!$F$3,"")</f>
        <v/>
      </c>
      <c r="CN386" s="518" t="str">
        <f>IF(AND(_F="A-350",'2024'!$N$4="CA",'2024'!$N$2=CN385),'2024DATA'!$G$3,"")</f>
        <v/>
      </c>
      <c r="CO386" s="518" t="str">
        <f>IF(AND(_F="A-350",'2024'!$N$4="CA",'2024'!$N$2=CO385),'2024DATA'!$H$3,"")</f>
        <v/>
      </c>
      <c r="CP386" s="518" t="str">
        <f>IF(AND(_F="A-350",'2024'!$N$4="CA",'2024'!$N$2=CP385),'2024DATA'!$I$3,"")</f>
        <v/>
      </c>
      <c r="CQ386" s="518" t="str">
        <f>IF(AND(_F="A-350",'2024'!$N$4="CA",'2024'!$N$2=CQ385),'2024DATA'!$J$3,"")</f>
        <v/>
      </c>
      <c r="CR386" s="518" t="str">
        <f>IF(AND(_F="A-350",'2024'!$N$4="CA",'2024'!$N$2=CR385),'2024DATA'!$K$3,"")</f>
        <v/>
      </c>
      <c r="CS386" s="518" t="str">
        <f>IF(AND(_F="A-350",'2024'!$N$4="CA",'2024'!$N$2=CS385),'2024DATA'!$L$3,"")</f>
        <v/>
      </c>
      <c r="CT386" s="518" t="str">
        <f>IF(AND(_F="A-350",'2024'!$N$4="CA",'2024'!$N$2=CT385),'2024DATA'!$M$3,"")</f>
        <v/>
      </c>
      <c r="CU386" s="520" t="str">
        <f>IF(AND(_F="A-350",'2024'!$N$4="CA",'2024'!$N$2=CU385),'2024DATA'!$N$3,"")</f>
        <v/>
      </c>
    </row>
    <row r="387" spans="16:99" x14ac:dyDescent="0.25">
      <c r="P387" s="940"/>
      <c r="Q387" s="13" t="s">
        <v>62</v>
      </c>
      <c r="R387" s="518" t="str">
        <f>IF(AND(_A="A-350",'2024'!$N$4="FO",'2024'!$N$2=R385),'2024DATA'!$C$4,"")</f>
        <v/>
      </c>
      <c r="S387" s="518" t="str">
        <f>IF(AND(_A="A-350",'2024'!$N$4="FO",'2024'!$N$2=S385),'2024DATA'!$D$4,"")</f>
        <v/>
      </c>
      <c r="T387" s="518" t="str">
        <f>IF(AND(_A="A-350",'2024'!$N$4="FO",'2024'!$N$2=T385),'2024DATA'!$E$4,"")</f>
        <v/>
      </c>
      <c r="U387" s="518" t="str">
        <f>IF(AND(_A="A-350",'2024'!$N$4="FO",'2024'!$N$2=U385),'2024DATA'!$F$4,"")</f>
        <v/>
      </c>
      <c r="V387" s="518" t="str">
        <f>IF(AND(_A="A-350",'2024'!$N$4="FO",'2024'!$N$2=V385),'2024DATA'!$G$4,"")</f>
        <v/>
      </c>
      <c r="W387" s="518" t="str">
        <f>IF(AND(_A="A-350",'2024'!$N$4="FO",'2024'!$N$2=W385),'2024DATA'!$H$4,"")</f>
        <v/>
      </c>
      <c r="X387" s="518" t="str">
        <f>IF(AND(_A="A-350",'2024'!$N$4="FO",'2024'!$N$2=X385),'2024DATA'!$I$4,"")</f>
        <v/>
      </c>
      <c r="Y387" s="518" t="str">
        <f>IF(AND(_A="A-350",'2024'!$N$4="FO",'2024'!$N$2=Y385),'2024DATA'!$J$4,"")</f>
        <v/>
      </c>
      <c r="Z387" s="518" t="str">
        <f>IF(AND(_A="A-350",'2024'!$N$4="FO",'2024'!$N$2=Z385),'2024DATA'!$K$4,"")</f>
        <v/>
      </c>
      <c r="AA387" s="518" t="str">
        <f>IF(AND(_A="A-350",'2024'!$N$4="FO",'2024'!$N$2=AA385),'2024DATA'!$L$4,"")</f>
        <v/>
      </c>
      <c r="AB387" s="518" t="str">
        <f>IF(AND(_A="A-350",'2024'!$N$4="FO",'2024'!$N$2=AB385),'2024DATA'!$M$4,"")</f>
        <v/>
      </c>
      <c r="AC387" s="520" t="str">
        <f>IF(AND(_A="A-350",'2024'!$N$4="FO",'2024'!$N$2=AC385),'2024DATA'!$N$4,"")</f>
        <v/>
      </c>
      <c r="AD387" s="940"/>
      <c r="AE387" s="13" t="s">
        <v>62</v>
      </c>
      <c r="AF387" s="518" t="str">
        <f>IF(AND(_B="A-350",'2024'!$N$4="FO",'2024'!$N$2=AF385),'2024DATA'!$C$4,"")</f>
        <v/>
      </c>
      <c r="AG387" s="518" t="str">
        <f>IF(AND(_B="A-350",'2024'!$N$4="FO",'2024'!$N$2=AG385),'2024DATA'!$D$4,"")</f>
        <v/>
      </c>
      <c r="AH387" s="518" t="str">
        <f>IF(AND(_B="A-350",'2024'!$N$4="FO",'2024'!$N$2=AH385),'2024DATA'!$E$4,"")</f>
        <v/>
      </c>
      <c r="AI387" s="518" t="str">
        <f>IF(AND(_B="A-350",'2024'!$N$4="FO",'2024'!$N$2=AI385),'2024DATA'!$F$4,"")</f>
        <v/>
      </c>
      <c r="AJ387" s="518" t="str">
        <f>IF(AND(_B="A-350",'2024'!$N$4="FO",'2024'!$N$2=AJ385),'2024DATA'!$G$4,"")</f>
        <v/>
      </c>
      <c r="AK387" s="518" t="str">
        <f>IF(AND(_B="A-350",'2024'!$N$4="FO",'2024'!$N$2=AK385),'2024DATA'!$H$4,"")</f>
        <v/>
      </c>
      <c r="AL387" s="518" t="str">
        <f>IF(AND(_B="A-350",'2024'!$N$4="FO",'2024'!$N$2=AL385),'2024DATA'!$I$4,"")</f>
        <v/>
      </c>
      <c r="AM387" s="518" t="str">
        <f>IF(AND(_B="A-350",'2024'!$N$4="FO",'2024'!$N$2=AM385),'2024DATA'!$J$4,"")</f>
        <v/>
      </c>
      <c r="AN387" s="518" t="str">
        <f>IF(AND(_B="A-350",'2024'!$N$4="FO",'2024'!$N$2=AN385),'2024DATA'!$K$4,"")</f>
        <v/>
      </c>
      <c r="AO387" s="518" t="str">
        <f>IF(AND(_B="A-350",'2024'!$N$4="FO",'2024'!$N$2=AO385),'2024DATA'!$L$4,"")</f>
        <v/>
      </c>
      <c r="AP387" s="518" t="str">
        <f>IF(AND(_B="A-350",'2024'!$N$4="FO",'2024'!$N$2=AP385),'2024DATA'!$M$4,"")</f>
        <v/>
      </c>
      <c r="AQ387" s="520" t="str">
        <f>IF(AND(_B="A-350",'2024'!$N$4="FO",'2024'!$N$2=AQ385),'2024DATA'!$N$4,"")</f>
        <v/>
      </c>
      <c r="AR387" s="940"/>
      <c r="AS387" s="13" t="s">
        <v>62</v>
      </c>
      <c r="AT387" s="518" t="str">
        <f>IF(AND(_C="A-350",'2024'!$N$4="FO",'2024'!$N$2=AT385),'2024DATA'!$C$4,"")</f>
        <v/>
      </c>
      <c r="AU387" s="518" t="str">
        <f>IF(AND(_C="A-350",'2024'!$N$4="FO",'2024'!$N$2=AU385),'2024DATA'!$D$4,"")</f>
        <v/>
      </c>
      <c r="AV387" s="518" t="str">
        <f>IF(AND(_C="A-350",'2024'!$N$4="FO",'2024'!$N$2=AV385),'2024DATA'!$E$4,"")</f>
        <v/>
      </c>
      <c r="AW387" s="518" t="str">
        <f>IF(AND(_C="A-350",'2024'!$N$4="FO",'2024'!$N$2=AW385),'2024DATA'!$F$4,"")</f>
        <v/>
      </c>
      <c r="AX387" s="518" t="str">
        <f>IF(AND(_C="A-350",'2024'!$N$4="FO",'2024'!$N$2=AX385),'2024DATA'!$G$4,"")</f>
        <v/>
      </c>
      <c r="AY387" s="518" t="str">
        <f>IF(AND(_C="A-350",'2024'!$N$4="FO",'2024'!$N$2=AY385),'2024DATA'!$H$4,"")</f>
        <v/>
      </c>
      <c r="AZ387" s="518" t="str">
        <f>IF(AND(_C="A-350",'2024'!$N$4="FO",'2024'!$N$2=AZ385),'2024DATA'!$I$4,"")</f>
        <v/>
      </c>
      <c r="BA387" s="518" t="str">
        <f>IF(AND(_C="A-350",'2024'!$N$4="FO",'2024'!$N$2=BA385),'2024DATA'!$J$4,"")</f>
        <v/>
      </c>
      <c r="BB387" s="518" t="str">
        <f>IF(AND(_C="A-350",'2024'!$N$4="FO",'2024'!$N$2=BB385),'2024DATA'!$K$4,"")</f>
        <v/>
      </c>
      <c r="BC387" s="518" t="str">
        <f>IF(AND(_C="A-350",'2024'!$N$4="FO",'2024'!$N$2=BC385),'2024DATA'!$L$4,"")</f>
        <v/>
      </c>
      <c r="BD387" s="518" t="str">
        <f>IF(AND(_C="A-350",'2024'!$N$4="FO",'2024'!$N$2=BD385),'2024DATA'!$M$4,"")</f>
        <v/>
      </c>
      <c r="BE387" s="520" t="str">
        <f>IF(AND(_C="A-350",'2024'!$N$4="FO",'2024'!$N$2=BE385),'2024DATA'!$N$4,"")</f>
        <v/>
      </c>
      <c r="BF387" s="940"/>
      <c r="BG387" s="13" t="s">
        <v>62</v>
      </c>
      <c r="BH387" s="518" t="str">
        <f>IF(AND(_D="A-350",'2024'!$N$4="FO",'2024'!$N$2=BH385),'2024DATA'!$C$4,"")</f>
        <v/>
      </c>
      <c r="BI387" s="518" t="str">
        <f>IF(AND(_D="A-350",'2024'!$N$4="FO",'2024'!$N$2=BI385),'2024DATA'!$D$4,"")</f>
        <v/>
      </c>
      <c r="BJ387" s="518" t="str">
        <f>IF(AND(_D="A-350",'2024'!$N$4="FO",'2024'!$N$2=BJ385),'2024DATA'!$E$4,"")</f>
        <v/>
      </c>
      <c r="BK387" s="518" t="str">
        <f>IF(AND(_D="A-350",'2024'!$N$4="FO",'2024'!$N$2=BK385),'2024DATA'!$F$4,"")</f>
        <v/>
      </c>
      <c r="BL387" s="518" t="str">
        <f>IF(AND(_D="A-350",'2024'!$N$4="FO",'2024'!$N$2=BL385),'2024DATA'!$G$4,"")</f>
        <v/>
      </c>
      <c r="BM387" s="518" t="str">
        <f>IF(AND(_D="A-350",'2024'!$N$4="FO",'2024'!$N$2=BM385),'2024DATA'!$H$4,"")</f>
        <v/>
      </c>
      <c r="BN387" s="518" t="str">
        <f>IF(AND(_D="A-350",'2024'!$N$4="FO",'2024'!$N$2=BN385),'2024DATA'!$I$4,"")</f>
        <v/>
      </c>
      <c r="BO387" s="518" t="str">
        <f>IF(AND(_D="A-350",'2024'!$N$4="FO",'2024'!$N$2=BO385),'2024DATA'!$J$4,"")</f>
        <v/>
      </c>
      <c r="BP387" s="518" t="str">
        <f>IF(AND(_D="A-350",'2024'!$N$4="FO",'2024'!$N$2=BP385),'2024DATA'!$K$4,"")</f>
        <v/>
      </c>
      <c r="BQ387" s="518" t="str">
        <f>IF(AND(_D="A-350",'2024'!$N$4="FO",'2024'!$N$2=BQ385),'2024DATA'!$L$4,"")</f>
        <v/>
      </c>
      <c r="BR387" s="518" t="str">
        <f>IF(AND(_D="A-350",'2024'!$N$4="FO",'2024'!$N$2=BR385),'2024DATA'!$M$4,"")</f>
        <v/>
      </c>
      <c r="BS387" s="520" t="str">
        <f>IF(AND(_D="A-350",'2024'!$N$4="FO",'2024'!$N$2=BS385),'2024DATA'!$N$4,"")</f>
        <v/>
      </c>
      <c r="BT387" s="940"/>
      <c r="BU387" s="13" t="s">
        <v>62</v>
      </c>
      <c r="BV387" s="518" t="str">
        <f>IF(AND(_E="A-350",'2024'!$N$4="FO",'2024'!$N$2=BV385),'2024DATA'!$C$4,"")</f>
        <v/>
      </c>
      <c r="BW387" s="518" t="str">
        <f>IF(AND(_E="A-350",'2024'!$N$4="FO",'2024'!$N$2=BW385),'2024DATA'!$D$4,"")</f>
        <v/>
      </c>
      <c r="BX387" s="518" t="str">
        <f>IF(AND(_E="A-350",'2024'!$N$4="FO",'2024'!$N$2=BX385),'2024DATA'!$E$4,"")</f>
        <v/>
      </c>
      <c r="BY387" s="518" t="str">
        <f>IF(AND(_E="A-350",'2024'!$N$4="FO",'2024'!$N$2=BY385),'2024DATA'!$F$4,"")</f>
        <v/>
      </c>
      <c r="BZ387" s="518" t="str">
        <f>IF(AND(_E="A-350",'2024'!$N$4="FO",'2024'!$N$2=BZ385),'2024DATA'!$G$4,"")</f>
        <v/>
      </c>
      <c r="CA387" s="518" t="str">
        <f>IF(AND(_E="A-350",'2024'!$N$4="FO",'2024'!$N$2=CA385),'2024DATA'!$H$4,"")</f>
        <v/>
      </c>
      <c r="CB387" s="518" t="str">
        <f>IF(AND(_E="A-350",'2024'!$N$4="FO",'2024'!$N$2=CB385),'2024DATA'!$I$4,"")</f>
        <v/>
      </c>
      <c r="CC387" s="518" t="str">
        <f>IF(AND(_E="A-350",'2024'!$N$4="FO",'2024'!$N$2=CC385),'2024DATA'!$J$4,"")</f>
        <v/>
      </c>
      <c r="CD387" s="518" t="str">
        <f>IF(AND(_E="A-350",'2024'!$N$4="FO",'2024'!$N$2=CD385),'2024DATA'!$K$4,"")</f>
        <v/>
      </c>
      <c r="CE387" s="518" t="str">
        <f>IF(AND(_E="A-350",'2024'!$N$4="FO",'2024'!$N$2=CE385),'2024DATA'!$L$4,"")</f>
        <v/>
      </c>
      <c r="CF387" s="518" t="str">
        <f>IF(AND(_E="A-350",'2024'!$N$4="FO",'2024'!$N$2=CF385),'2024DATA'!$M$4,"")</f>
        <v/>
      </c>
      <c r="CG387" s="520" t="str">
        <f>IF(AND(_E="A-350",'2024'!$N$4="FO",'2024'!$N$2=CG385),'2024DATA'!$N$4,"")</f>
        <v/>
      </c>
      <c r="CH387" s="940"/>
      <c r="CI387" s="13" t="s">
        <v>62</v>
      </c>
      <c r="CJ387" s="518" t="str">
        <f>IF(AND(_F="A-350",'2024'!$N$4="FO",'2024'!$N$2=CJ385),'2024DATA'!$C$4,"")</f>
        <v/>
      </c>
      <c r="CK387" s="518" t="str">
        <f>IF(AND(_F="A-350",'2024'!$N$4="FO",'2024'!$N$2=CK385),'2024DATA'!$D$4,"")</f>
        <v/>
      </c>
      <c r="CL387" s="518" t="str">
        <f>IF(AND(_F="A-350",'2024'!$N$4="FO",'2024'!$N$2=CL385),'2024DATA'!$E$4,"")</f>
        <v/>
      </c>
      <c r="CM387" s="518" t="str">
        <f>IF(AND(_F="A-350",'2024'!$N$4="FO",'2024'!$N$2=CM385),'2024DATA'!$F$4,"")</f>
        <v/>
      </c>
      <c r="CN387" s="518" t="str">
        <f>IF(AND(_F="A-350",'2024'!$N$4="FO",'2024'!$N$2=CN385),'2024DATA'!$G$4,"")</f>
        <v/>
      </c>
      <c r="CO387" s="518" t="str">
        <f>IF(AND(_F="A-350",'2024'!$N$4="FO",'2024'!$N$2=CO385),'2024DATA'!$H$4,"")</f>
        <v/>
      </c>
      <c r="CP387" s="518" t="str">
        <f>IF(AND(_F="A-350",'2024'!$N$4="FO",'2024'!$N$2=CP385),'2024DATA'!$I$4,"")</f>
        <v/>
      </c>
      <c r="CQ387" s="518" t="str">
        <f>IF(AND(_F="A-350",'2024'!$N$4="FO",'2024'!$N$2=CQ385),'2024DATA'!$J$4,"")</f>
        <v/>
      </c>
      <c r="CR387" s="518" t="str">
        <f>IF(AND(_F="A-350",'2024'!$N$4="FO",'2024'!$N$2=CR385),'2024DATA'!$K$4,"")</f>
        <v/>
      </c>
      <c r="CS387" s="518" t="str">
        <f>IF(AND(_F="A-350",'2024'!$N$4="FO",'2024'!$N$2=CS385),'2024DATA'!$L$4,"")</f>
        <v/>
      </c>
      <c r="CT387" s="518" t="str">
        <f>IF(AND(_F="A-350",'2024'!$N$4="FO",'2024'!$N$2=CT385),'2024DATA'!$M$4,"")</f>
        <v/>
      </c>
      <c r="CU387" s="520" t="str">
        <f>IF(AND(_F="A-350",'2024'!$N$4="FO",'2024'!$N$2=CU385),'2024DATA'!$N$4,"")</f>
        <v/>
      </c>
    </row>
    <row r="388" spans="16:99" x14ac:dyDescent="0.25">
      <c r="P388" s="940" t="s">
        <v>65</v>
      </c>
      <c r="Q388" s="13" t="s">
        <v>61</v>
      </c>
      <c r="R388" s="518" t="str">
        <f>IF(AND(_A="A-330-900",'2024'!$N$4="CA",'2024'!$N$2=R385),'2024DATA'!$C$5,"")</f>
        <v/>
      </c>
      <c r="S388" s="518" t="str">
        <f>IF(AND(_A="A-330-900",'2024'!$N$4="CA",'2024'!$N$2=S385),'2024DATA'!$D$5,"")</f>
        <v/>
      </c>
      <c r="T388" s="518" t="str">
        <f>IF(AND(_A="A-330-900",'2024'!$N$4="CA",'2024'!$N$2=T385),'2024DATA'!$E$5,"")</f>
        <v/>
      </c>
      <c r="U388" s="518" t="str">
        <f>IF(AND(_A="A-330-900",'2024'!$N$4="CA",'2024'!$N$2=U385),'2024DATA'!$F$5,"")</f>
        <v/>
      </c>
      <c r="V388" s="518" t="str">
        <f>IF(AND(_A="A-330-900",'2024'!$N$4="CA",'2024'!$N$2=V385),'2024DATA'!$G$5,"")</f>
        <v/>
      </c>
      <c r="W388" s="518" t="str">
        <f>IF(AND(_A="A-330-900",'2024'!$N$4="CA",'2024'!$N$2=W385),'2024DATA'!$H$5,"")</f>
        <v/>
      </c>
      <c r="X388" s="518" t="str">
        <f>IF(AND(_A="A-330-900",'2024'!$N$4="CA",'2024'!$N$2=X385),'2024DATA'!$I$5,"")</f>
        <v/>
      </c>
      <c r="Y388" s="518" t="str">
        <f>IF(AND(_A="A-330-900",'2024'!$N$4="CA",'2024'!$N$2=Y385),'2024DATA'!$J$5,"")</f>
        <v/>
      </c>
      <c r="Z388" s="518" t="str">
        <f>IF(AND(_A="A-330-900",'2024'!$N$4="CA",'2024'!$N$2=Z385),'2024DATA'!$K$5,"")</f>
        <v/>
      </c>
      <c r="AA388" s="518" t="str">
        <f>IF(AND(_A="A-330-900",'2024'!$N$4="CA",'2024'!$N$2=AA385),'2024DATA'!$L$5,"")</f>
        <v/>
      </c>
      <c r="AB388" s="518" t="str">
        <f>IF(AND(_A="A-330-900",'2024'!$N$4="CA",'2024'!$N$2=AB385),'2024DATA'!$M$5,"")</f>
        <v/>
      </c>
      <c r="AC388" s="520" t="str">
        <f>IF(AND(_A="A-330-900",'2024'!$N$4="CA",'2024'!$N$2=AC385),'2024DATA'!$N$5,"")</f>
        <v/>
      </c>
      <c r="AD388" s="940" t="s">
        <v>65</v>
      </c>
      <c r="AE388" s="13" t="s">
        <v>61</v>
      </c>
      <c r="AF388" s="518" t="str">
        <f>IF(AND(_B="A-330-900",'2024'!$N$4="CA",'2024'!$N$2=AF385),'2024DATA'!$C$5,"")</f>
        <v/>
      </c>
      <c r="AG388" s="518" t="str">
        <f>IF(AND(_B="A-330-900",'2024'!$N$4="CA",'2024'!$N$2=AG385),'2024DATA'!$D$5,"")</f>
        <v/>
      </c>
      <c r="AH388" s="518" t="str">
        <f>IF(AND(_B="A-330-900",'2024'!$N$4="CA",'2024'!$N$2=AH385),'2024DATA'!$E$5,"")</f>
        <v/>
      </c>
      <c r="AI388" s="518" t="str">
        <f>IF(AND(_B="A-330-900",'2024'!$N$4="CA",'2024'!$N$2=AI385),'2024DATA'!$F$5,"")</f>
        <v/>
      </c>
      <c r="AJ388" s="518" t="str">
        <f>IF(AND(_B="A-330-900",'2024'!$N$4="CA",'2024'!$N$2=AJ385),'2024DATA'!$G$5,"")</f>
        <v/>
      </c>
      <c r="AK388" s="518" t="str">
        <f>IF(AND(_B="A-330-900",'2024'!$N$4="CA",'2024'!$N$2=AK385),'2024DATA'!$H$5,"")</f>
        <v/>
      </c>
      <c r="AL388" s="518" t="str">
        <f>IF(AND(_B="A-330-900",'2024'!$N$4="CA",'2024'!$N$2=AL385),'2024DATA'!$I$5,"")</f>
        <v/>
      </c>
      <c r="AM388" s="518" t="str">
        <f>IF(AND(_B="A-330-900",'2024'!$N$4="CA",'2024'!$N$2=AM385),'2024DATA'!$J$5,"")</f>
        <v/>
      </c>
      <c r="AN388" s="518" t="str">
        <f>IF(AND(_B="A-330-900",'2024'!$N$4="CA",'2024'!$N$2=AN385),'2024DATA'!$K$5,"")</f>
        <v/>
      </c>
      <c r="AO388" s="518" t="str">
        <f>IF(AND(_B="A-330-900",'2024'!$N$4="CA",'2024'!$N$2=AO385),'2024DATA'!$L$5,"")</f>
        <v/>
      </c>
      <c r="AP388" s="518" t="str">
        <f>IF(AND(_B="A-330-900",'2024'!$N$4="CA",'2024'!$N$2=AP385),'2024DATA'!$M$5,"")</f>
        <v/>
      </c>
      <c r="AQ388" s="520" t="str">
        <f>IF(AND(_B="A-330-900",'2024'!$N$4="CA",'2024'!$N$2=AQ385),'2024DATA'!$N$5,"")</f>
        <v/>
      </c>
      <c r="AR388" s="940" t="s">
        <v>65</v>
      </c>
      <c r="AS388" s="13" t="s">
        <v>61</v>
      </c>
      <c r="AT388" s="518" t="str">
        <f>IF(AND(_C="A-330-900",'2024'!$N$4="CA",'2024'!$N$2=AT385),'2024DATA'!$C$5,"")</f>
        <v/>
      </c>
      <c r="AU388" s="518" t="str">
        <f>IF(AND(_C="A-330-900",'2024'!$N$4="CA",'2024'!$N$2=AU385),'2024DATA'!$D$5,"")</f>
        <v/>
      </c>
      <c r="AV388" s="518" t="str">
        <f>IF(AND(_C="A-330-900",'2024'!$N$4="CA",'2024'!$N$2=AV385),'2024DATA'!$E$5,"")</f>
        <v/>
      </c>
      <c r="AW388" s="518" t="str">
        <f>IF(AND(_C="A-330-900",'2024'!$N$4="CA",'2024'!$N$2=AW385),'2024DATA'!$F$5,"")</f>
        <v/>
      </c>
      <c r="AX388" s="518" t="str">
        <f>IF(AND(_C="A-330-900",'2024'!$N$4="CA",'2024'!$N$2=AX385),'2024DATA'!$G$5,"")</f>
        <v/>
      </c>
      <c r="AY388" s="518" t="str">
        <f>IF(AND(_C="A-330-900",'2024'!$N$4="CA",'2024'!$N$2=AY385),'2024DATA'!$H$5,"")</f>
        <v/>
      </c>
      <c r="AZ388" s="518" t="str">
        <f>IF(AND(_C="A-330-900",'2024'!$N$4="CA",'2024'!$N$2=AZ385),'2024DATA'!$I$5,"")</f>
        <v/>
      </c>
      <c r="BA388" s="518" t="str">
        <f>IF(AND(_C="A-330-900",'2024'!$N$4="CA",'2024'!$N$2=BA385),'2024DATA'!$J$5,"")</f>
        <v/>
      </c>
      <c r="BB388" s="518" t="str">
        <f>IF(AND(_C="A-330-900",'2024'!$N$4="CA",'2024'!$N$2=BB385),'2024DATA'!$K$5,"")</f>
        <v/>
      </c>
      <c r="BC388" s="518" t="str">
        <f>IF(AND(_C="A-330-900",'2024'!$N$4="CA",'2024'!$N$2=BC385),'2024DATA'!$L$5,"")</f>
        <v/>
      </c>
      <c r="BD388" s="518" t="str">
        <f>IF(AND(_C="A-330-900",'2024'!$N$4="CA",'2024'!$N$2=BD385),'2024DATA'!$M$5,"")</f>
        <v/>
      </c>
      <c r="BE388" s="520" t="str">
        <f>IF(AND(_C="A-330-900",'2024'!$N$4="CA",'2024'!$N$2=BE385),'2024DATA'!$N$5,"")</f>
        <v/>
      </c>
      <c r="BF388" s="940" t="s">
        <v>65</v>
      </c>
      <c r="BG388" s="13" t="s">
        <v>61</v>
      </c>
      <c r="BH388" s="518" t="str">
        <f>IF(AND(_D="A-330-900",'2024'!$N$4="CA",'2024'!$N$2=BH385),'2024DATA'!$C$5,"")</f>
        <v/>
      </c>
      <c r="BI388" s="518" t="str">
        <f>IF(AND(_D="A-330-900",'2024'!$N$4="CA",'2024'!$N$2=BI385),'2024DATA'!$D$5,"")</f>
        <v/>
      </c>
      <c r="BJ388" s="518" t="str">
        <f>IF(AND(_D="A-330-900",'2024'!$N$4="CA",'2024'!$N$2=BJ385),'2024DATA'!$E$5,"")</f>
        <v/>
      </c>
      <c r="BK388" s="518" t="str">
        <f>IF(AND(_D="A-330-900",'2024'!$N$4="CA",'2024'!$N$2=BK385),'2024DATA'!$F$5,"")</f>
        <v/>
      </c>
      <c r="BL388" s="518" t="str">
        <f>IF(AND(_D="A-330-900",'2024'!$N$4="CA",'2024'!$N$2=BL385),'2024DATA'!$G$5,"")</f>
        <v/>
      </c>
      <c r="BM388" s="518" t="str">
        <f>IF(AND(_D="A-330-900",'2024'!$N$4="CA",'2024'!$N$2=BM385),'2024DATA'!$H$5,"")</f>
        <v/>
      </c>
      <c r="BN388" s="518" t="str">
        <f>IF(AND(_D="A-330-900",'2024'!$N$4="CA",'2024'!$N$2=BN385),'2024DATA'!$I$5,"")</f>
        <v/>
      </c>
      <c r="BO388" s="518" t="str">
        <f>IF(AND(_D="A-330-900",'2024'!$N$4="CA",'2024'!$N$2=BO385),'2024DATA'!$J$5,"")</f>
        <v/>
      </c>
      <c r="BP388" s="518" t="str">
        <f>IF(AND(_D="A-330-900",'2024'!$N$4="CA",'2024'!$N$2=BP385),'2024DATA'!$K$5,"")</f>
        <v/>
      </c>
      <c r="BQ388" s="518" t="str">
        <f>IF(AND(_D="A-330-900",'2024'!$N$4="CA",'2024'!$N$2=BQ385),'2024DATA'!$L$5,"")</f>
        <v/>
      </c>
      <c r="BR388" s="518" t="str">
        <f>IF(AND(_D="A-330-900",'2024'!$N$4="CA",'2024'!$N$2=BR385),'2024DATA'!$M$5,"")</f>
        <v/>
      </c>
      <c r="BS388" s="520" t="str">
        <f>IF(AND(_D="A-330-900",'2024'!$N$4="CA",'2024'!$N$2=BS385),'2024DATA'!$N$5,"")</f>
        <v/>
      </c>
      <c r="BT388" s="940" t="s">
        <v>65</v>
      </c>
      <c r="BU388" s="13" t="s">
        <v>61</v>
      </c>
      <c r="BV388" s="518" t="str">
        <f>IF(AND(_E="A-330-900",'2024'!$N$4="CA",'2024'!$N$2=BV385),'2024DATA'!$C$5,"")</f>
        <v/>
      </c>
      <c r="BW388" s="518" t="str">
        <f>IF(AND(_E="A-330-900",'2024'!$N$4="CA",'2024'!$N$2=BW385),'2024DATA'!$D$5,"")</f>
        <v/>
      </c>
      <c r="BX388" s="518" t="str">
        <f>IF(AND(_E="A-330-900",'2024'!$N$4="CA",'2024'!$N$2=BX385),'2024DATA'!$E$5,"")</f>
        <v/>
      </c>
      <c r="BY388" s="518" t="str">
        <f>IF(AND(_E="A-330-900",'2024'!$N$4="CA",'2024'!$N$2=BY385),'2024DATA'!$F$5,"")</f>
        <v/>
      </c>
      <c r="BZ388" s="518" t="str">
        <f>IF(AND(_E="A-330-900",'2024'!$N$4="CA",'2024'!$N$2=BZ385),'2024DATA'!$G$5,"")</f>
        <v/>
      </c>
      <c r="CA388" s="518" t="str">
        <f>IF(AND(_E="A-330-900",'2024'!$N$4="CA",'2024'!$N$2=CA385),'2024DATA'!$H$5,"")</f>
        <v/>
      </c>
      <c r="CB388" s="518" t="str">
        <f>IF(AND(_E="A-330-900",'2024'!$N$4="CA",'2024'!$N$2=CB385),'2024DATA'!$I$5,"")</f>
        <v/>
      </c>
      <c r="CC388" s="518" t="str">
        <f>IF(AND(_E="A-330-900",'2024'!$N$4="CA",'2024'!$N$2=CC385),'2024DATA'!$J$5,"")</f>
        <v/>
      </c>
      <c r="CD388" s="518" t="str">
        <f>IF(AND(_E="A-330-900",'2024'!$N$4="CA",'2024'!$N$2=CD385),'2024DATA'!$K$5,"")</f>
        <v/>
      </c>
      <c r="CE388" s="518" t="str">
        <f>IF(AND(_E="A-330-900",'2024'!$N$4="CA",'2024'!$N$2=CE385),'2024DATA'!$L$5,"")</f>
        <v/>
      </c>
      <c r="CF388" s="518" t="str">
        <f>IF(AND(_E="A-330-900",'2024'!$N$4="CA",'2024'!$N$2=CF385),'2024DATA'!$M$5,"")</f>
        <v/>
      </c>
      <c r="CG388" s="520" t="str">
        <f>IF(AND(_E="A-330-900",'2024'!$N$4="CA",'2024'!$N$2=CG385),'2024DATA'!$N$5,"")</f>
        <v/>
      </c>
      <c r="CH388" s="940" t="s">
        <v>65</v>
      </c>
      <c r="CI388" s="13" t="s">
        <v>61</v>
      </c>
      <c r="CJ388" s="518" t="str">
        <f>IF(AND(_F="A-330-900",'2024'!$N$4="CA",'2024'!$N$2=CJ385),'2024DATA'!$C$5,"")</f>
        <v/>
      </c>
      <c r="CK388" s="518" t="str">
        <f>IF(AND(_F="A-330-900",'2024'!$N$4="CA",'2024'!$N$2=CK385),'2024DATA'!$D$5,"")</f>
        <v/>
      </c>
      <c r="CL388" s="518" t="str">
        <f>IF(AND(_F="A-330-900",'2024'!$N$4="CA",'2024'!$N$2=CL385),'2024DATA'!$E$5,"")</f>
        <v/>
      </c>
      <c r="CM388" s="518" t="str">
        <f>IF(AND(_F="A-330-900",'2024'!$N$4="CA",'2024'!$N$2=CM385),'2024DATA'!$F$5,"")</f>
        <v/>
      </c>
      <c r="CN388" s="518" t="str">
        <f>IF(AND(_F="A-330-900",'2024'!$N$4="CA",'2024'!$N$2=CN385),'2024DATA'!$G$5,"")</f>
        <v/>
      </c>
      <c r="CO388" s="518" t="str">
        <f>IF(AND(_F="A-330-900",'2024'!$N$4="CA",'2024'!$N$2=CO385),'2024DATA'!$H$5,"")</f>
        <v/>
      </c>
      <c r="CP388" s="518" t="str">
        <f>IF(AND(_F="A-330-900",'2024'!$N$4="CA",'2024'!$N$2=CP385),'2024DATA'!$I$5,"")</f>
        <v/>
      </c>
      <c r="CQ388" s="518" t="str">
        <f>IF(AND(_F="A-330-900",'2024'!$N$4="CA",'2024'!$N$2=CQ385),'2024DATA'!$J$5,"")</f>
        <v/>
      </c>
      <c r="CR388" s="518" t="str">
        <f>IF(AND(_F="A-330-900",'2024'!$N$4="CA",'2024'!$N$2=CR385),'2024DATA'!$K$5,"")</f>
        <v/>
      </c>
      <c r="CS388" s="518" t="str">
        <f>IF(AND(_F="A-330-900",'2024'!$N$4="CA",'2024'!$N$2=CS385),'2024DATA'!$L$5,"")</f>
        <v/>
      </c>
      <c r="CT388" s="518" t="str">
        <f>IF(AND(_F="A-330-900",'2024'!$N$4="CA",'2024'!$N$2=CT385),'2024DATA'!$M$5,"")</f>
        <v/>
      </c>
      <c r="CU388" s="520" t="str">
        <f>IF(AND(_F="A-330-900",'2024'!$N$4="CA",'2024'!$N$2=CU385),'2024DATA'!$N$5,"")</f>
        <v/>
      </c>
    </row>
    <row r="389" spans="16:99" x14ac:dyDescent="0.25">
      <c r="P389" s="940"/>
      <c r="Q389" s="13" t="s">
        <v>62</v>
      </c>
      <c r="R389" s="518" t="str">
        <f>IF(AND(_A="A-330-900",'2024'!$N$4="FO",'2024'!$N$2=R385),'2024DATA'!$C$6,"")</f>
        <v/>
      </c>
      <c r="S389" s="518" t="str">
        <f>IF(AND(_A="A-330-900",'2024'!$N$4="FO",'2024'!$N$2=S385),'2024DATA'!$D$6,"")</f>
        <v/>
      </c>
      <c r="T389" s="518" t="str">
        <f>IF(AND(_A="A-330-900",'2024'!$N$4="FO",'2024'!$N$2=T385),'2024DATA'!$E$6,"")</f>
        <v/>
      </c>
      <c r="U389" s="518" t="str">
        <f>IF(AND(_A="A-330-900",'2024'!$N$4="FO",'2024'!$N$2=U385),'2024DATA'!$F$6,"")</f>
        <v/>
      </c>
      <c r="V389" s="518" t="str">
        <f>IF(AND(_A="A-330-900",'2024'!$N$4="FO",'2024'!$N$2=V385),'2024DATA'!$G$6,"")</f>
        <v/>
      </c>
      <c r="W389" s="518" t="str">
        <f>IF(AND(_A="A-330-900",'2024'!$N$4="FO",'2024'!$N$2=W385),'2024DATA'!$H$6,"")</f>
        <v/>
      </c>
      <c r="X389" s="518" t="str">
        <f>IF(AND(_A="A-330-900",'2024'!$N$4="FO",'2024'!$N$2=X385),'2024DATA'!$I$6,"")</f>
        <v/>
      </c>
      <c r="Y389" s="518" t="str">
        <f>IF(AND(_A="A-330-900",'2024'!$N$4="FO",'2024'!$N$2=Y385),'2024DATA'!$J$6,"")</f>
        <v/>
      </c>
      <c r="Z389" s="518" t="str">
        <f>IF(AND(_A="A-330-900",'2024'!$N$4="FO",'2024'!$N$2=Z385),'2024DATA'!$K$6,"")</f>
        <v/>
      </c>
      <c r="AA389" s="518" t="str">
        <f>IF(AND(_A="A-330-900",'2024'!$N$4="FO",'2024'!$N$2=AA385),'2024DATA'!$L$6,"")</f>
        <v/>
      </c>
      <c r="AB389" s="518" t="str">
        <f>IF(AND(_A="A-330-900",'2024'!$N$4="FO",'2024'!$N$2=AB385),'2024DATA'!$M$6,"")</f>
        <v/>
      </c>
      <c r="AC389" s="520" t="str">
        <f>IF(AND(_A="A-330-900",'2024'!$N$4="FO",'2024'!$N$2=AC385),'2024DATA'!$N$6,"")</f>
        <v/>
      </c>
      <c r="AD389" s="940"/>
      <c r="AE389" s="13" t="s">
        <v>62</v>
      </c>
      <c r="AF389" s="518" t="str">
        <f>IF(AND(_B="A-330-900",'2024'!$N$4="FO",'2024'!$N$2=AF385),'2024DATA'!$C$6,"")</f>
        <v/>
      </c>
      <c r="AG389" s="518" t="str">
        <f>IF(AND(_B="A-330-900",'2024'!$N$4="FO",'2024'!$N$2=AG385),'2024DATA'!$D$6,"")</f>
        <v/>
      </c>
      <c r="AH389" s="518" t="str">
        <f>IF(AND(_B="A-330-900",'2024'!$N$4="FO",'2024'!$N$2=AH385),'2024DATA'!$E$6,"")</f>
        <v/>
      </c>
      <c r="AI389" s="518" t="str">
        <f>IF(AND(_B="A-330-900",'2024'!$N$4="FO",'2024'!$N$2=AI385),'2024DATA'!$F$6,"")</f>
        <v/>
      </c>
      <c r="AJ389" s="518" t="str">
        <f>IF(AND(_B="A-330-900",'2024'!$N$4="FO",'2024'!$N$2=AJ385),'2024DATA'!$G$6,"")</f>
        <v/>
      </c>
      <c r="AK389" s="518" t="str">
        <f>IF(AND(_B="A-330-900",'2024'!$N$4="FO",'2024'!$N$2=AK385),'2024DATA'!$H$6,"")</f>
        <v/>
      </c>
      <c r="AL389" s="518" t="str">
        <f>IF(AND(_B="A-330-900",'2024'!$N$4="FO",'2024'!$N$2=AL385),'2024DATA'!$I$6,"")</f>
        <v/>
      </c>
      <c r="AM389" s="518" t="str">
        <f>IF(AND(_B="A-330-900",'2024'!$N$4="FO",'2024'!$N$2=AM385),'2024DATA'!$J$6,"")</f>
        <v/>
      </c>
      <c r="AN389" s="518" t="str">
        <f>IF(AND(_B="A-330-900",'2024'!$N$4="FO",'2024'!$N$2=AN385),'2024DATA'!$K$6,"")</f>
        <v/>
      </c>
      <c r="AO389" s="518" t="str">
        <f>IF(AND(_B="A-330-900",'2024'!$N$4="FO",'2024'!$N$2=AO385),'2024DATA'!$L$6,"")</f>
        <v/>
      </c>
      <c r="AP389" s="518" t="str">
        <f>IF(AND(_B="A-330-900",'2024'!$N$4="FO",'2024'!$N$2=AP385),'2024DATA'!$M$6,"")</f>
        <v/>
      </c>
      <c r="AQ389" s="520" t="str">
        <f>IF(AND(_B="A-330-900",'2024'!$N$4="FO",'2024'!$N$2=AQ385),'2024DATA'!$N$6,"")</f>
        <v/>
      </c>
      <c r="AR389" s="940"/>
      <c r="AS389" s="13" t="s">
        <v>62</v>
      </c>
      <c r="AT389" s="518" t="str">
        <f>IF(AND(_C="A-330-900",'2024'!$N$4="FO",'2024'!$N$2=AT385),'2024DATA'!$C$6,"")</f>
        <v/>
      </c>
      <c r="AU389" s="518" t="str">
        <f>IF(AND(_C="A-330-900",'2024'!$N$4="FO",'2024'!$N$2=AU385),'2024DATA'!$D$6,"")</f>
        <v/>
      </c>
      <c r="AV389" s="518" t="str">
        <f>IF(AND(_C="A-330-900",'2024'!$N$4="FO",'2024'!$N$2=AV385),'2024DATA'!$E$6,"")</f>
        <v/>
      </c>
      <c r="AW389" s="518" t="str">
        <f>IF(AND(_C="A-330-900",'2024'!$N$4="FO",'2024'!$N$2=AW385),'2024DATA'!$F$6,"")</f>
        <v/>
      </c>
      <c r="AX389" s="518" t="str">
        <f>IF(AND(_C="A-330-900",'2024'!$N$4="FO",'2024'!$N$2=AX385),'2024DATA'!$G$6,"")</f>
        <v/>
      </c>
      <c r="AY389" s="518" t="str">
        <f>IF(AND(_C="A-330-900",'2024'!$N$4="FO",'2024'!$N$2=AY385),'2024DATA'!$H$6,"")</f>
        <v/>
      </c>
      <c r="AZ389" s="518" t="str">
        <f>IF(AND(_C="A-330-900",'2024'!$N$4="FO",'2024'!$N$2=AZ385),'2024DATA'!$I$6,"")</f>
        <v/>
      </c>
      <c r="BA389" s="518" t="str">
        <f>IF(AND(_C="A-330-900",'2024'!$N$4="FO",'2024'!$N$2=BA385),'2024DATA'!$J$6,"")</f>
        <v/>
      </c>
      <c r="BB389" s="518" t="str">
        <f>IF(AND(_C="A-330-900",'2024'!$N$4="FO",'2024'!$N$2=BB385),'2024DATA'!$K$6,"")</f>
        <v/>
      </c>
      <c r="BC389" s="518" t="str">
        <f>IF(AND(_C="A-330-900",'2024'!$N$4="FO",'2024'!$N$2=BC385),'2024DATA'!$L$6,"")</f>
        <v/>
      </c>
      <c r="BD389" s="518" t="str">
        <f>IF(AND(_C="A-330-900",'2024'!$N$4="FO",'2024'!$N$2=BD385),'2024DATA'!$M$6,"")</f>
        <v/>
      </c>
      <c r="BE389" s="520" t="str">
        <f>IF(AND(_C="A-330-900",'2024'!$N$4="FO",'2024'!$N$2=BE385),'2024DATA'!$N$6,"")</f>
        <v/>
      </c>
      <c r="BF389" s="940"/>
      <c r="BG389" s="13" t="s">
        <v>62</v>
      </c>
      <c r="BH389" s="518" t="str">
        <f>IF(AND(_D="A-330-900",'2024'!$N$4="FO",'2024'!$N$2=BH385),'2024DATA'!$C$6,"")</f>
        <v/>
      </c>
      <c r="BI389" s="518" t="str">
        <f>IF(AND(_D="A-330-900",'2024'!$N$4="FO",'2024'!$N$2=BI385),'2024DATA'!$D$6,"")</f>
        <v/>
      </c>
      <c r="BJ389" s="518" t="str">
        <f>IF(AND(_D="A-330-900",'2024'!$N$4="FO",'2024'!$N$2=BJ385),'2024DATA'!$E$6,"")</f>
        <v/>
      </c>
      <c r="BK389" s="518" t="str">
        <f>IF(AND(_D="A-330-900",'2024'!$N$4="FO",'2024'!$N$2=BK385),'2024DATA'!$F$6,"")</f>
        <v/>
      </c>
      <c r="BL389" s="518" t="str">
        <f>IF(AND(_D="A-330-900",'2024'!$N$4="FO",'2024'!$N$2=BL385),'2024DATA'!$G$6,"")</f>
        <v/>
      </c>
      <c r="BM389" s="518" t="str">
        <f>IF(AND(_D="A-330-900",'2024'!$N$4="FO",'2024'!$N$2=BM385),'2024DATA'!$H$6,"")</f>
        <v/>
      </c>
      <c r="BN389" s="518" t="str">
        <f>IF(AND(_D="A-330-900",'2024'!$N$4="FO",'2024'!$N$2=BN385),'2024DATA'!$I$6,"")</f>
        <v/>
      </c>
      <c r="BO389" s="518" t="str">
        <f>IF(AND(_D="A-330-900",'2024'!$N$4="FO",'2024'!$N$2=BO385),'2024DATA'!$J$6,"")</f>
        <v/>
      </c>
      <c r="BP389" s="518" t="str">
        <f>IF(AND(_D="A-330-900",'2024'!$N$4="FO",'2024'!$N$2=BP385),'2024DATA'!$K$6,"")</f>
        <v/>
      </c>
      <c r="BQ389" s="518" t="str">
        <f>IF(AND(_D="A-330-900",'2024'!$N$4="FO",'2024'!$N$2=BQ385),'2024DATA'!$L$6,"")</f>
        <v/>
      </c>
      <c r="BR389" s="518" t="str">
        <f>IF(AND(_D="A-330-900",'2024'!$N$4="FO",'2024'!$N$2=BR385),'2024DATA'!$M$6,"")</f>
        <v/>
      </c>
      <c r="BS389" s="520" t="str">
        <f>IF(AND(_D="A-330-900",'2024'!$N$4="FO",'2024'!$N$2=BS385),'2024DATA'!$N$6,"")</f>
        <v/>
      </c>
      <c r="BT389" s="940"/>
      <c r="BU389" s="13" t="s">
        <v>62</v>
      </c>
      <c r="BV389" s="518" t="str">
        <f>IF(AND(_E="A-330-900",'2024'!$N$4="FO",'2024'!$N$2=BV385),'2024DATA'!$C$6,"")</f>
        <v/>
      </c>
      <c r="BW389" s="518" t="str">
        <f>IF(AND(_E="A-330-900",'2024'!$N$4="FO",'2024'!$N$2=BW385),'2024DATA'!$D$6,"")</f>
        <v/>
      </c>
      <c r="BX389" s="518" t="str">
        <f>IF(AND(_E="A-330-900",'2024'!$N$4="FO",'2024'!$N$2=BX385),'2024DATA'!$E$6,"")</f>
        <v/>
      </c>
      <c r="BY389" s="518" t="str">
        <f>IF(AND(_E="A-330-900",'2024'!$N$4="FO",'2024'!$N$2=BY385),'2024DATA'!$F$6,"")</f>
        <v/>
      </c>
      <c r="BZ389" s="518" t="str">
        <f>IF(AND(_E="A-330-900",'2024'!$N$4="FO",'2024'!$N$2=BZ385),'2024DATA'!$G$6,"")</f>
        <v/>
      </c>
      <c r="CA389" s="518" t="str">
        <f>IF(AND(_E="A-330-900",'2024'!$N$4="FO",'2024'!$N$2=CA385),'2024DATA'!$H$6,"")</f>
        <v/>
      </c>
      <c r="CB389" s="518" t="str">
        <f>IF(AND(_E="A-330-900",'2024'!$N$4="FO",'2024'!$N$2=CB385),'2024DATA'!$I$6,"")</f>
        <v/>
      </c>
      <c r="CC389" s="518" t="str">
        <f>IF(AND(_E="A-330-900",'2024'!$N$4="FO",'2024'!$N$2=CC385),'2024DATA'!$J$6,"")</f>
        <v/>
      </c>
      <c r="CD389" s="518" t="str">
        <f>IF(AND(_E="A-330-900",'2024'!$N$4="FO",'2024'!$N$2=CD385),'2024DATA'!$K$6,"")</f>
        <v/>
      </c>
      <c r="CE389" s="518" t="str">
        <f>IF(AND(_E="A-330-900",'2024'!$N$4="FO",'2024'!$N$2=CE385),'2024DATA'!$L$6,"")</f>
        <v/>
      </c>
      <c r="CF389" s="518" t="str">
        <f>IF(AND(_E="A-330-900",'2024'!$N$4="FO",'2024'!$N$2=CF385),'2024DATA'!$M$6,"")</f>
        <v/>
      </c>
      <c r="CG389" s="520" t="str">
        <f>IF(AND(_E="A-330-900",'2024'!$N$4="FO",'2024'!$N$2=CG385),'2024DATA'!$N$6,"")</f>
        <v/>
      </c>
      <c r="CH389" s="940"/>
      <c r="CI389" s="13" t="s">
        <v>62</v>
      </c>
      <c r="CJ389" s="518" t="str">
        <f>IF(AND(_F="A-330-900",'2024'!$N$4="FO",'2024'!$N$2=CJ385),'2024DATA'!$C$6,"")</f>
        <v/>
      </c>
      <c r="CK389" s="518" t="str">
        <f>IF(AND(_F="A-330-900",'2024'!$N$4="FO",'2024'!$N$2=CK385),'2024DATA'!$D$6,"")</f>
        <v/>
      </c>
      <c r="CL389" s="518" t="str">
        <f>IF(AND(_F="A-330-900",'2024'!$N$4="FO",'2024'!$N$2=CL385),'2024DATA'!$E$6,"")</f>
        <v/>
      </c>
      <c r="CM389" s="518" t="str">
        <f>IF(AND(_F="A-330-900",'2024'!$N$4="FO",'2024'!$N$2=CM385),'2024DATA'!$F$6,"")</f>
        <v/>
      </c>
      <c r="CN389" s="518" t="str">
        <f>IF(AND(_F="A-330-900",'2024'!$N$4="FO",'2024'!$N$2=CN385),'2024DATA'!$G$6,"")</f>
        <v/>
      </c>
      <c r="CO389" s="518" t="str">
        <f>IF(AND(_F="A-330-900",'2024'!$N$4="FO",'2024'!$N$2=CO385),'2024DATA'!$H$6,"")</f>
        <v/>
      </c>
      <c r="CP389" s="518" t="str">
        <f>IF(AND(_F="A-330-900",'2024'!$N$4="FO",'2024'!$N$2=CP385),'2024DATA'!$I$6,"")</f>
        <v/>
      </c>
      <c r="CQ389" s="518" t="str">
        <f>IF(AND(_F="A-330-900",'2024'!$N$4="FO",'2024'!$N$2=CQ385),'2024DATA'!$J$6,"")</f>
        <v/>
      </c>
      <c r="CR389" s="518" t="str">
        <f>IF(AND(_F="A-330-900",'2024'!$N$4="FO",'2024'!$N$2=CR385),'2024DATA'!$K$6,"")</f>
        <v/>
      </c>
      <c r="CS389" s="518" t="str">
        <f>IF(AND(_F="A-330-900",'2024'!$N$4="FO",'2024'!$N$2=CS385),'2024DATA'!$L$6,"")</f>
        <v/>
      </c>
      <c r="CT389" s="518" t="str">
        <f>IF(AND(_F="A-330-900",'2024'!$N$4="FO",'2024'!$N$2=CT385),'2024DATA'!$M$6,"")</f>
        <v/>
      </c>
      <c r="CU389" s="520" t="str">
        <f>IF(AND(_F="A-330-900",'2024'!$N$4="FO",'2024'!$N$2=CU385),'2024DATA'!$N$6,"")</f>
        <v/>
      </c>
    </row>
    <row r="390" spans="16:99" x14ac:dyDescent="0.25">
      <c r="P390" s="940" t="s">
        <v>64</v>
      </c>
      <c r="Q390" s="13" t="s">
        <v>61</v>
      </c>
      <c r="R390" s="518" t="str">
        <f>IF(AND(_A="A-330-300",'2024'!$N$4="CA",'2024'!$N$2=R385),'2024DATA'!$C$7,"")</f>
        <v/>
      </c>
      <c r="S390" s="518" t="str">
        <f>IF(AND(_A="A-330-300",'2024'!$N$4="CA",'2024'!$N$2=S385),'2024DATA'!$D$7,"")</f>
        <v/>
      </c>
      <c r="T390" s="518" t="str">
        <f>IF(AND(_A="A-330-300",'2024'!$N$4="CA",'2024'!$N$2=T385),'2024DATA'!$E$7,"")</f>
        <v/>
      </c>
      <c r="U390" s="518" t="str">
        <f>IF(AND(_A="A-330-300",'2024'!$N$4="CA",'2024'!$N$2=U385),'2024DATA'!$F$7,"")</f>
        <v/>
      </c>
      <c r="V390" s="518" t="str">
        <f>IF(AND(_A="A-330-300",'2024'!$N$4="CA",'2024'!$N$2=V385),'2024DATA'!$G$7,"")</f>
        <v/>
      </c>
      <c r="W390" s="518" t="str">
        <f>IF(AND(_A="A-330-300",'2024'!$N$4="CA",'2024'!$N$2=W385),'2024DATA'!$H$7,"")</f>
        <v/>
      </c>
      <c r="X390" s="518" t="str">
        <f>IF(AND(_A="A-330-300",'2024'!$N$4="CA",'2024'!$N$2=X385),'2024DATA'!$I$7,"")</f>
        <v/>
      </c>
      <c r="Y390" s="518" t="str">
        <f>IF(AND(_A="A-330-300",'2024'!$N$4="CA",'2024'!$N$2=Y385),'2024DATA'!$J$7,"")</f>
        <v/>
      </c>
      <c r="Z390" s="518" t="str">
        <f>IF(AND(_A="A-330-300",'2024'!$N$4="CA",'2024'!$N$2=Z385),'2024DATA'!$K$7,"")</f>
        <v/>
      </c>
      <c r="AA390" s="518" t="str">
        <f>IF(AND(_A="A-330-300",'2024'!$N$4="CA",'2024'!$N$2=AA385),'2024DATA'!$L$7,"")</f>
        <v/>
      </c>
      <c r="AB390" s="518" t="str">
        <f>IF(AND(_A="A-330-300",'2024'!$N$4="CA",'2024'!$N$2=AB385),'2024DATA'!$M$7,"")</f>
        <v/>
      </c>
      <c r="AC390" s="520" t="str">
        <f>IF(AND(_A="A-330-300",'2024'!$N$4="CA",'2024'!$N$2=AC385),'2024DATA'!$N$7,"")</f>
        <v/>
      </c>
      <c r="AD390" s="940" t="s">
        <v>64</v>
      </c>
      <c r="AE390" s="13" t="s">
        <v>61</v>
      </c>
      <c r="AF390" s="518" t="str">
        <f>IF(AND(_B="A-330-300",'2024'!$N$4="CA",'2024'!$N$2=AF385),'2024DATA'!$C$7,"")</f>
        <v/>
      </c>
      <c r="AG390" s="518" t="str">
        <f>IF(AND(_B="A-330-300",'2024'!$N$4="CA",'2024'!$N$2=AG385),'2024DATA'!$D$7,"")</f>
        <v/>
      </c>
      <c r="AH390" s="518" t="str">
        <f>IF(AND(_B="A-330-300",'2024'!$N$4="CA",'2024'!$N$2=AH385),'2024DATA'!$E$7,"")</f>
        <v/>
      </c>
      <c r="AI390" s="518" t="str">
        <f>IF(AND(_B="A-330-300",'2024'!$N$4="CA",'2024'!$N$2=AI385),'2024DATA'!$F$7,"")</f>
        <v/>
      </c>
      <c r="AJ390" s="518" t="str">
        <f>IF(AND(_B="A-330-300",'2024'!$N$4="CA",'2024'!$N$2=AJ385),'2024DATA'!$G$7,"")</f>
        <v/>
      </c>
      <c r="AK390" s="518" t="str">
        <f>IF(AND(_B="A-330-300",'2024'!$N$4="CA",'2024'!$N$2=AK385),'2024DATA'!$H$7,"")</f>
        <v/>
      </c>
      <c r="AL390" s="518" t="str">
        <f>IF(AND(_B="A-330-300",'2024'!$N$4="CA",'2024'!$N$2=AL385),'2024DATA'!$I$7,"")</f>
        <v/>
      </c>
      <c r="AM390" s="518" t="str">
        <f>IF(AND(_B="A-330-300",'2024'!$N$4="CA",'2024'!$N$2=AM385),'2024DATA'!$J$7,"")</f>
        <v/>
      </c>
      <c r="AN390" s="518" t="str">
        <f>IF(AND(_B="A-330-300",'2024'!$N$4="CA",'2024'!$N$2=AN385),'2024DATA'!$K$7,"")</f>
        <v/>
      </c>
      <c r="AO390" s="518" t="str">
        <f>IF(AND(_B="A-330-300",'2024'!$N$4="CA",'2024'!$N$2=AO385),'2024DATA'!$L$7,"")</f>
        <v/>
      </c>
      <c r="AP390" s="518" t="str">
        <f>IF(AND(_B="A-330-300",'2024'!$N$4="CA",'2024'!$N$2=AP385),'2024DATA'!$M$7,"")</f>
        <v/>
      </c>
      <c r="AQ390" s="520" t="str">
        <f>IF(AND(_B="A-330-300",'2024'!$N$4="CA",'2024'!$N$2=AQ385),'2024DATA'!$N$7,"")</f>
        <v/>
      </c>
      <c r="AR390" s="940" t="s">
        <v>64</v>
      </c>
      <c r="AS390" s="13" t="s">
        <v>61</v>
      </c>
      <c r="AT390" s="518" t="str">
        <f>IF(AND(_C="A-330-300",'2024'!$N$4="CA",'2024'!$N$2=AT385),'2024DATA'!$C$7,"")</f>
        <v/>
      </c>
      <c r="AU390" s="518" t="str">
        <f>IF(AND(_C="A-330-300",'2024'!$N$4="CA",'2024'!$N$2=AU385),'2024DATA'!$D$7,"")</f>
        <v/>
      </c>
      <c r="AV390" s="518" t="str">
        <f>IF(AND(_C="A-330-300",'2024'!$N$4="CA",'2024'!$N$2=AV385),'2024DATA'!$E$7,"")</f>
        <v/>
      </c>
      <c r="AW390" s="518" t="str">
        <f>IF(AND(_C="A-330-300",'2024'!$N$4="CA",'2024'!$N$2=AW385),'2024DATA'!$F$7,"")</f>
        <v/>
      </c>
      <c r="AX390" s="518" t="str">
        <f>IF(AND(_C="A-330-300",'2024'!$N$4="CA",'2024'!$N$2=AX385),'2024DATA'!$G$7,"")</f>
        <v/>
      </c>
      <c r="AY390" s="518" t="str">
        <f>IF(AND(_C="A-330-300",'2024'!$N$4="CA",'2024'!$N$2=AY385),'2024DATA'!$H$7,"")</f>
        <v/>
      </c>
      <c r="AZ390" s="518" t="str">
        <f>IF(AND(_C="A-330-300",'2024'!$N$4="CA",'2024'!$N$2=AZ385),'2024DATA'!$I$7,"")</f>
        <v/>
      </c>
      <c r="BA390" s="518" t="str">
        <f>IF(AND(_C="A-330-300",'2024'!$N$4="CA",'2024'!$N$2=BA385),'2024DATA'!$J$7,"")</f>
        <v/>
      </c>
      <c r="BB390" s="518" t="str">
        <f>IF(AND(_C="A-330-300",'2024'!$N$4="CA",'2024'!$N$2=BB385),'2024DATA'!$K$7,"")</f>
        <v/>
      </c>
      <c r="BC390" s="518" t="str">
        <f>IF(AND(_C="A-330-300",'2024'!$N$4="CA",'2024'!$N$2=BC385),'2024DATA'!$L$7,"")</f>
        <v/>
      </c>
      <c r="BD390" s="518" t="str">
        <f>IF(AND(_C="A-330-300",'2024'!$N$4="CA",'2024'!$N$2=BD385),'2024DATA'!$M$7,"")</f>
        <v/>
      </c>
      <c r="BE390" s="520" t="str">
        <f>IF(AND(_C="A-330-300",'2024'!$N$4="CA",'2024'!$N$2=BE385),'2024DATA'!$N$7,"")</f>
        <v/>
      </c>
      <c r="BF390" s="940" t="s">
        <v>64</v>
      </c>
      <c r="BG390" s="13" t="s">
        <v>61</v>
      </c>
      <c r="BH390" s="518" t="str">
        <f>IF(AND(_D="A-330-300",'2024'!$N$4="CA",'2024'!$N$2=BH385),'2024DATA'!$C$7,"")</f>
        <v/>
      </c>
      <c r="BI390" s="518" t="str">
        <f>IF(AND(_D="A-330-300",'2024'!$N$4="CA",'2024'!$N$2=BI385),'2024DATA'!$D$7,"")</f>
        <v/>
      </c>
      <c r="BJ390" s="518" t="str">
        <f>IF(AND(_D="A-330-300",'2024'!$N$4="CA",'2024'!$N$2=BJ385),'2024DATA'!$E$7,"")</f>
        <v/>
      </c>
      <c r="BK390" s="518" t="str">
        <f>IF(AND(_D="A-330-300",'2024'!$N$4="CA",'2024'!$N$2=BK385),'2024DATA'!$F$7,"")</f>
        <v/>
      </c>
      <c r="BL390" s="518" t="str">
        <f>IF(AND(_D="A-330-300",'2024'!$N$4="CA",'2024'!$N$2=BL385),'2024DATA'!$G$7,"")</f>
        <v/>
      </c>
      <c r="BM390" s="518" t="str">
        <f>IF(AND(_D="A-330-300",'2024'!$N$4="CA",'2024'!$N$2=BM385),'2024DATA'!$H$7,"")</f>
        <v/>
      </c>
      <c r="BN390" s="518" t="str">
        <f>IF(AND(_D="A-330-300",'2024'!$N$4="CA",'2024'!$N$2=BN385),'2024DATA'!$I$7,"")</f>
        <v/>
      </c>
      <c r="BO390" s="518" t="str">
        <f>IF(AND(_D="A-330-300",'2024'!$N$4="CA",'2024'!$N$2=BO385),'2024DATA'!$J$7,"")</f>
        <v/>
      </c>
      <c r="BP390" s="518" t="str">
        <f>IF(AND(_D="A-330-300",'2024'!$N$4="CA",'2024'!$N$2=BP385),'2024DATA'!$K$7,"")</f>
        <v/>
      </c>
      <c r="BQ390" s="518" t="str">
        <f>IF(AND(_D="A-330-300",'2024'!$N$4="CA",'2024'!$N$2=BQ385),'2024DATA'!$L$7,"")</f>
        <v/>
      </c>
      <c r="BR390" s="518" t="str">
        <f>IF(AND(_D="A-330-300",'2024'!$N$4="CA",'2024'!$N$2=BR385),'2024DATA'!$M$7,"")</f>
        <v/>
      </c>
      <c r="BS390" s="520" t="str">
        <f>IF(AND(_D="A-330-300",'2024'!$N$4="CA",'2024'!$N$2=BS385),'2024DATA'!$N$7,"")</f>
        <v/>
      </c>
      <c r="BT390" s="940" t="s">
        <v>64</v>
      </c>
      <c r="BU390" s="13" t="s">
        <v>61</v>
      </c>
      <c r="BV390" s="518" t="str">
        <f>IF(AND(_E="A-330-300",'2024'!$N$4="CA",'2024'!$N$2=BV385),'2024DATA'!$C$7,"")</f>
        <v/>
      </c>
      <c r="BW390" s="518" t="str">
        <f>IF(AND(_E="A-330-300",'2024'!$N$4="CA",'2024'!$N$2=BW385),'2024DATA'!$D$7,"")</f>
        <v/>
      </c>
      <c r="BX390" s="518" t="str">
        <f>IF(AND(_E="A-330-300",'2024'!$N$4="CA",'2024'!$N$2=BX385),'2024DATA'!$E$7,"")</f>
        <v/>
      </c>
      <c r="BY390" s="518" t="str">
        <f>IF(AND(_E="A-330-300",'2024'!$N$4="CA",'2024'!$N$2=BY385),'2024DATA'!$F$7,"")</f>
        <v/>
      </c>
      <c r="BZ390" s="518" t="str">
        <f>IF(AND(_E="A-330-300",'2024'!$N$4="CA",'2024'!$N$2=BZ385),'2024DATA'!$G$7,"")</f>
        <v/>
      </c>
      <c r="CA390" s="518" t="str">
        <f>IF(AND(_E="A-330-300",'2024'!$N$4="CA",'2024'!$N$2=CA385),'2024DATA'!$H$7,"")</f>
        <v/>
      </c>
      <c r="CB390" s="518" t="str">
        <f>IF(AND(_E="A-330-300",'2024'!$N$4="CA",'2024'!$N$2=CB385),'2024DATA'!$I$7,"")</f>
        <v/>
      </c>
      <c r="CC390" s="518" t="str">
        <f>IF(AND(_E="A-330-300",'2024'!$N$4="CA",'2024'!$N$2=CC385),'2024DATA'!$J$7,"")</f>
        <v/>
      </c>
      <c r="CD390" s="518" t="str">
        <f>IF(AND(_E="A-330-300",'2024'!$N$4="CA",'2024'!$N$2=CD385),'2024DATA'!$K$7,"")</f>
        <v/>
      </c>
      <c r="CE390" s="518" t="str">
        <f>IF(AND(_E="A-330-300",'2024'!$N$4="CA",'2024'!$N$2=CE385),'2024DATA'!$L$7,"")</f>
        <v/>
      </c>
      <c r="CF390" s="518" t="str">
        <f>IF(AND(_E="A-330-300",'2024'!$N$4="CA",'2024'!$N$2=CF385),'2024DATA'!$M$7,"")</f>
        <v/>
      </c>
      <c r="CG390" s="520" t="str">
        <f>IF(AND(_E="A-330-300",'2024'!$N$4="CA",'2024'!$N$2=CG385),'2024DATA'!$N$7,"")</f>
        <v/>
      </c>
      <c r="CH390" s="940" t="s">
        <v>64</v>
      </c>
      <c r="CI390" s="13" t="s">
        <v>61</v>
      </c>
      <c r="CJ390" s="518" t="str">
        <f>IF(AND(_F="A-330-300",'2024'!$N$4="CA",'2024'!$N$2=CJ385),'2024DATA'!$C$7,"")</f>
        <v/>
      </c>
      <c r="CK390" s="518" t="str">
        <f>IF(AND(_F="A-330-300",'2024'!$N$4="CA",'2024'!$N$2=CK385),'2024DATA'!$D$7,"")</f>
        <v/>
      </c>
      <c r="CL390" s="518" t="str">
        <f>IF(AND(_F="A-330-300",'2024'!$N$4="CA",'2024'!$N$2=CL385),'2024DATA'!$E$7,"")</f>
        <v/>
      </c>
      <c r="CM390" s="518" t="str">
        <f>IF(AND(_F="A-330-300",'2024'!$N$4="CA",'2024'!$N$2=CM385),'2024DATA'!$F$7,"")</f>
        <v/>
      </c>
      <c r="CN390" s="518" t="str">
        <f>IF(AND(_F="A-330-300",'2024'!$N$4="CA",'2024'!$N$2=CN385),'2024DATA'!$G$7,"")</f>
        <v/>
      </c>
      <c r="CO390" s="518" t="str">
        <f>IF(AND(_F="A-330-300",'2024'!$N$4="CA",'2024'!$N$2=CO385),'2024DATA'!$H$7,"")</f>
        <v/>
      </c>
      <c r="CP390" s="518" t="str">
        <f>IF(AND(_F="A-330-300",'2024'!$N$4="CA",'2024'!$N$2=CP385),'2024DATA'!$I$7,"")</f>
        <v/>
      </c>
      <c r="CQ390" s="518" t="str">
        <f>IF(AND(_F="A-330-300",'2024'!$N$4="CA",'2024'!$N$2=CQ385),'2024DATA'!$J$7,"")</f>
        <v/>
      </c>
      <c r="CR390" s="518" t="str">
        <f>IF(AND(_F="A-330-300",'2024'!$N$4="CA",'2024'!$N$2=CR385),'2024DATA'!$K$7,"")</f>
        <v/>
      </c>
      <c r="CS390" s="518" t="str">
        <f>IF(AND(_F="A-330-300",'2024'!$N$4="CA",'2024'!$N$2=CS385),'2024DATA'!$L$7,"")</f>
        <v/>
      </c>
      <c r="CT390" s="518" t="str">
        <f>IF(AND(_F="A-330-300",'2024'!$N$4="CA",'2024'!$N$2=CT385),'2024DATA'!$M$7,"")</f>
        <v/>
      </c>
      <c r="CU390" s="520" t="str">
        <f>IF(AND(_F="A-330-300",'2024'!$N$4="CA",'2024'!$N$2=CU385),'2024DATA'!$N$7,"")</f>
        <v/>
      </c>
    </row>
    <row r="391" spans="16:99" x14ac:dyDescent="0.25">
      <c r="P391" s="940"/>
      <c r="Q391" s="13" t="s">
        <v>62</v>
      </c>
      <c r="R391" s="518" t="str">
        <f>IF(AND(_A="A-330-300",'2024'!$N$4="FO",'2024'!$N$2=R385),'2024DATA'!$C$8,"")</f>
        <v/>
      </c>
      <c r="S391" s="518" t="str">
        <f>IF(AND(_A="A-330-300",'2024'!$N$4="FO",'2024'!$N$2=S385),'2024DATA'!$D$8,"")</f>
        <v/>
      </c>
      <c r="T391" s="518" t="str">
        <f>IF(AND(_A="A-330-300",'2024'!$N$4="FO",'2024'!$N$2=T385),'2024DATA'!$E$8,"")</f>
        <v/>
      </c>
      <c r="U391" s="518" t="str">
        <f>IF(AND(_A="A-330-300",'2024'!$N$4="FO",'2024'!$N$2=U385),'2024DATA'!$F$8,"")</f>
        <v/>
      </c>
      <c r="V391" s="518" t="str">
        <f>IF(AND(_A="A-330-300",'2024'!$N$4="FO",'2024'!$N$2=V385),'2024DATA'!$G$8,"")</f>
        <v/>
      </c>
      <c r="W391" s="518" t="str">
        <f>IF(AND(_A="A-330-300",'2024'!$N$4="FO",'2024'!$N$2=W385),'2024DATA'!$H$8,"")</f>
        <v/>
      </c>
      <c r="X391" s="518" t="str">
        <f>IF(AND(_A="A-330-300",'2024'!$N$4="FO",'2024'!$N$2=X385),'2024DATA'!$I$8,"")</f>
        <v/>
      </c>
      <c r="Y391" s="518" t="str">
        <f>IF(AND(_A="A-330-300",'2024'!$N$4="FO",'2024'!$N$2=Y385),'2024DATA'!$J$8,"")</f>
        <v/>
      </c>
      <c r="Z391" s="518" t="str">
        <f>IF(AND(_A="A-330-300",'2024'!$N$4="FO",'2024'!$N$2=Z385),'2024DATA'!$K$8,"")</f>
        <v/>
      </c>
      <c r="AA391" s="518" t="str">
        <f>IF(AND(_A="A-330-300",'2024'!$N$4="FO",'2024'!$N$2=AA385),'2024DATA'!$L$8,"")</f>
        <v/>
      </c>
      <c r="AB391" s="518" t="str">
        <f>IF(AND(_A="A-330-300",'2024'!$N$4="FO",'2024'!$N$2=AB385),'2024DATA'!$M$8,"")</f>
        <v/>
      </c>
      <c r="AC391" s="520" t="str">
        <f>IF(AND(_A="A-330-300",'2024'!$N$4="FO",'2024'!$N$2=AC385),'2024DATA'!$N$8,"")</f>
        <v/>
      </c>
      <c r="AD391" s="940"/>
      <c r="AE391" s="13" t="s">
        <v>62</v>
      </c>
      <c r="AF391" s="518" t="str">
        <f>IF(AND(_B="A-330-300",'2024'!$N$4="FO",'2024'!$N$2=AF385),'2024DATA'!$C$8,"")</f>
        <v/>
      </c>
      <c r="AG391" s="518" t="str">
        <f>IF(AND(_B="A-330-300",'2024'!$N$4="FO",'2024'!$N$2=AG385),'2024DATA'!$D$8,"")</f>
        <v/>
      </c>
      <c r="AH391" s="518" t="str">
        <f>IF(AND(_B="A-330-300",'2024'!$N$4="FO",'2024'!$N$2=AH385),'2024DATA'!$E$8,"")</f>
        <v/>
      </c>
      <c r="AI391" s="518" t="str">
        <f>IF(AND(_B="A-330-300",'2024'!$N$4="FO",'2024'!$N$2=AI385),'2024DATA'!$F$8,"")</f>
        <v/>
      </c>
      <c r="AJ391" s="518" t="str">
        <f>IF(AND(_B="A-330-300",'2024'!$N$4="FO",'2024'!$N$2=AJ385),'2024DATA'!$G$8,"")</f>
        <v/>
      </c>
      <c r="AK391" s="518" t="str">
        <f>IF(AND(_B="A-330-300",'2024'!$N$4="FO",'2024'!$N$2=AK385),'2024DATA'!$H$8,"")</f>
        <v/>
      </c>
      <c r="AL391" s="518" t="str">
        <f>IF(AND(_B="A-330-300",'2024'!$N$4="FO",'2024'!$N$2=AL385),'2024DATA'!$I$8,"")</f>
        <v/>
      </c>
      <c r="AM391" s="518" t="str">
        <f>IF(AND(_B="A-330-300",'2024'!$N$4="FO",'2024'!$N$2=AM385),'2024DATA'!$J$8,"")</f>
        <v/>
      </c>
      <c r="AN391" s="518" t="str">
        <f>IF(AND(_B="A-330-300",'2024'!$N$4="FO",'2024'!$N$2=AN385),'2024DATA'!$K$8,"")</f>
        <v/>
      </c>
      <c r="AO391" s="518" t="str">
        <f>IF(AND(_B="A-330-300",'2024'!$N$4="FO",'2024'!$N$2=AO385),'2024DATA'!$L$8,"")</f>
        <v/>
      </c>
      <c r="AP391" s="518" t="str">
        <f>IF(AND(_B="A-330-300",'2024'!$N$4="FO",'2024'!$N$2=AP385),'2024DATA'!$M$8,"")</f>
        <v/>
      </c>
      <c r="AQ391" s="520" t="str">
        <f>IF(AND(_B="A-330-300",'2024'!$N$4="FO",'2024'!$N$2=AQ385),'2024DATA'!$N$8,"")</f>
        <v/>
      </c>
      <c r="AR391" s="940"/>
      <c r="AS391" s="13" t="s">
        <v>62</v>
      </c>
      <c r="AT391" s="518" t="str">
        <f>IF(AND(_C="A-330-300",'2024'!$N$4="FO",'2024'!$N$2=AT385),'2024DATA'!$C$8,"")</f>
        <v/>
      </c>
      <c r="AU391" s="518" t="str">
        <f>IF(AND(_C="A-330-300",'2024'!$N$4="FO",'2024'!$N$2=AU385),'2024DATA'!$D$8,"")</f>
        <v/>
      </c>
      <c r="AV391" s="518" t="str">
        <f>IF(AND(_C="A-330-300",'2024'!$N$4="FO",'2024'!$N$2=AV385),'2024DATA'!$E$8,"")</f>
        <v/>
      </c>
      <c r="AW391" s="518" t="str">
        <f>IF(AND(_C="A-330-300",'2024'!$N$4="FO",'2024'!$N$2=AW385),'2024DATA'!$F$8,"")</f>
        <v/>
      </c>
      <c r="AX391" s="518" t="str">
        <f>IF(AND(_C="A-330-300",'2024'!$N$4="FO",'2024'!$N$2=AX385),'2024DATA'!$G$8,"")</f>
        <v/>
      </c>
      <c r="AY391" s="518" t="str">
        <f>IF(AND(_C="A-330-300",'2024'!$N$4="FO",'2024'!$N$2=AY385),'2024DATA'!$H$8,"")</f>
        <v/>
      </c>
      <c r="AZ391" s="518" t="str">
        <f>IF(AND(_C="A-330-300",'2024'!$N$4="FO",'2024'!$N$2=AZ385),'2024DATA'!$I$8,"")</f>
        <v/>
      </c>
      <c r="BA391" s="518" t="str">
        <f>IF(AND(_C="A-330-300",'2024'!$N$4="FO",'2024'!$N$2=BA385),'2024DATA'!$J$8,"")</f>
        <v/>
      </c>
      <c r="BB391" s="518" t="str">
        <f>IF(AND(_C="A-330-300",'2024'!$N$4="FO",'2024'!$N$2=BB385),'2024DATA'!$K$8,"")</f>
        <v/>
      </c>
      <c r="BC391" s="518" t="str">
        <f>IF(AND(_C="A-330-300",'2024'!$N$4="FO",'2024'!$N$2=BC385),'2024DATA'!$L$8,"")</f>
        <v/>
      </c>
      <c r="BD391" s="518" t="str">
        <f>IF(AND(_C="A-330-300",'2024'!$N$4="FO",'2024'!$N$2=BD385),'2024DATA'!$M$8,"")</f>
        <v/>
      </c>
      <c r="BE391" s="520" t="str">
        <f>IF(AND(_C="A-330-300",'2024'!$N$4="FO",'2024'!$N$2=BE385),'2024DATA'!$N$8,"")</f>
        <v/>
      </c>
      <c r="BF391" s="940"/>
      <c r="BG391" s="13" t="s">
        <v>62</v>
      </c>
      <c r="BH391" s="518" t="str">
        <f>IF(AND(_D="A-330-300",'2024'!$N$4="FO",'2024'!$N$2=BH385),'2024DATA'!$C$8,"")</f>
        <v/>
      </c>
      <c r="BI391" s="518" t="str">
        <f>IF(AND(_D="A-330-300",'2024'!$N$4="FO",'2024'!$N$2=BI385),'2024DATA'!$D$8,"")</f>
        <v/>
      </c>
      <c r="BJ391" s="518" t="str">
        <f>IF(AND(_D="A-330-300",'2024'!$N$4="FO",'2024'!$N$2=BJ385),'2024DATA'!$E$8,"")</f>
        <v/>
      </c>
      <c r="BK391" s="518" t="str">
        <f>IF(AND(_D="A-330-300",'2024'!$N$4="FO",'2024'!$N$2=BK385),'2024DATA'!$F$8,"")</f>
        <v/>
      </c>
      <c r="BL391" s="518" t="str">
        <f>IF(AND(_D="A-330-300",'2024'!$N$4="FO",'2024'!$N$2=BL385),'2024DATA'!$G$8,"")</f>
        <v/>
      </c>
      <c r="BM391" s="518" t="str">
        <f>IF(AND(_D="A-330-300",'2024'!$N$4="FO",'2024'!$N$2=BM385),'2024DATA'!$H$8,"")</f>
        <v/>
      </c>
      <c r="BN391" s="518" t="str">
        <f>IF(AND(_D="A-330-300",'2024'!$N$4="FO",'2024'!$N$2=BN385),'2024DATA'!$I$8,"")</f>
        <v/>
      </c>
      <c r="BO391" s="518" t="str">
        <f>IF(AND(_D="A-330-300",'2024'!$N$4="FO",'2024'!$N$2=BO385),'2024DATA'!$J$8,"")</f>
        <v/>
      </c>
      <c r="BP391" s="518" t="str">
        <f>IF(AND(_D="A-330-300",'2024'!$N$4="FO",'2024'!$N$2=BP385),'2024DATA'!$K$8,"")</f>
        <v/>
      </c>
      <c r="BQ391" s="518" t="str">
        <f>IF(AND(_D="A-330-300",'2024'!$N$4="FO",'2024'!$N$2=BQ385),'2024DATA'!$L$8,"")</f>
        <v/>
      </c>
      <c r="BR391" s="518" t="str">
        <f>IF(AND(_D="A-330-300",'2024'!$N$4="FO",'2024'!$N$2=BR385),'2024DATA'!$M$8,"")</f>
        <v/>
      </c>
      <c r="BS391" s="520" t="str">
        <f>IF(AND(_D="A-330-300",'2024'!$N$4="FO",'2024'!$N$2=BS385),'2024DATA'!$N$8,"")</f>
        <v/>
      </c>
      <c r="BT391" s="940"/>
      <c r="BU391" s="13" t="s">
        <v>62</v>
      </c>
      <c r="BV391" s="518" t="str">
        <f>IF(AND(_E="A-330-300",'2024'!$N$4="FO",'2024'!$N$2=BV385),'2024DATA'!$C$8,"")</f>
        <v/>
      </c>
      <c r="BW391" s="518" t="str">
        <f>IF(AND(_E="A-330-300",'2024'!$N$4="FO",'2024'!$N$2=BW385),'2024DATA'!$D$8,"")</f>
        <v/>
      </c>
      <c r="BX391" s="518" t="str">
        <f>IF(AND(_E="A-330-300",'2024'!$N$4="FO",'2024'!$N$2=BX385),'2024DATA'!$E$8,"")</f>
        <v/>
      </c>
      <c r="BY391" s="518" t="str">
        <f>IF(AND(_E="A-330-300",'2024'!$N$4="FO",'2024'!$N$2=BY385),'2024DATA'!$F$8,"")</f>
        <v/>
      </c>
      <c r="BZ391" s="518" t="str">
        <f>IF(AND(_E="A-330-300",'2024'!$N$4="FO",'2024'!$N$2=BZ385),'2024DATA'!$G$8,"")</f>
        <v/>
      </c>
      <c r="CA391" s="518" t="str">
        <f>IF(AND(_E="A-330-300",'2024'!$N$4="FO",'2024'!$N$2=CA385),'2024DATA'!$H$8,"")</f>
        <v/>
      </c>
      <c r="CB391" s="518" t="str">
        <f>IF(AND(_E="A-330-300",'2024'!$N$4="FO",'2024'!$N$2=CB385),'2024DATA'!$I$8,"")</f>
        <v/>
      </c>
      <c r="CC391" s="518" t="str">
        <f>IF(AND(_E="A-330-300",'2024'!$N$4="FO",'2024'!$N$2=CC385),'2024DATA'!$J$8,"")</f>
        <v/>
      </c>
      <c r="CD391" s="518" t="str">
        <f>IF(AND(_E="A-330-300",'2024'!$N$4="FO",'2024'!$N$2=CD385),'2024DATA'!$K$8,"")</f>
        <v/>
      </c>
      <c r="CE391" s="518" t="str">
        <f>IF(AND(_E="A-330-300",'2024'!$N$4="FO",'2024'!$N$2=CE385),'2024DATA'!$L$8,"")</f>
        <v/>
      </c>
      <c r="CF391" s="518" t="str">
        <f>IF(AND(_E="A-330-300",'2024'!$N$4="FO",'2024'!$N$2=CF385),'2024DATA'!$M$8,"")</f>
        <v/>
      </c>
      <c r="CG391" s="520" t="str">
        <f>IF(AND(_E="A-330-300",'2024'!$N$4="FO",'2024'!$N$2=CG385),'2024DATA'!$N$8,"")</f>
        <v/>
      </c>
      <c r="CH391" s="940"/>
      <c r="CI391" s="13" t="s">
        <v>62</v>
      </c>
      <c r="CJ391" s="518" t="str">
        <f>IF(AND(_F="A-330-300",'2024'!$N$4="FO",'2024'!$N$2=CJ385),'2024DATA'!$C$8,"")</f>
        <v/>
      </c>
      <c r="CK391" s="518" t="str">
        <f>IF(AND(_F="A-330-300",'2024'!$N$4="FO",'2024'!$N$2=CK385),'2024DATA'!$D$8,"")</f>
        <v/>
      </c>
      <c r="CL391" s="518" t="str">
        <f>IF(AND(_F="A-330-300",'2024'!$N$4="FO",'2024'!$N$2=CL385),'2024DATA'!$E$8,"")</f>
        <v/>
      </c>
      <c r="CM391" s="518" t="str">
        <f>IF(AND(_F="A-330-300",'2024'!$N$4="FO",'2024'!$N$2=CM385),'2024DATA'!$F$8,"")</f>
        <v/>
      </c>
      <c r="CN391" s="518" t="str">
        <f>IF(AND(_F="A-330-300",'2024'!$N$4="FO",'2024'!$N$2=CN385),'2024DATA'!$G$8,"")</f>
        <v/>
      </c>
      <c r="CO391" s="518" t="str">
        <f>IF(AND(_F="A-330-300",'2024'!$N$4="FO",'2024'!$N$2=CO385),'2024DATA'!$H$8,"")</f>
        <v/>
      </c>
      <c r="CP391" s="518" t="str">
        <f>IF(AND(_F="A-330-300",'2024'!$N$4="FO",'2024'!$N$2=CP385),'2024DATA'!$I$8,"")</f>
        <v/>
      </c>
      <c r="CQ391" s="518" t="str">
        <f>IF(AND(_F="A-330-300",'2024'!$N$4="FO",'2024'!$N$2=CQ385),'2024DATA'!$J$8,"")</f>
        <v/>
      </c>
      <c r="CR391" s="518" t="str">
        <f>IF(AND(_F="A-330-300",'2024'!$N$4="FO",'2024'!$N$2=CR385),'2024DATA'!$K$8,"")</f>
        <v/>
      </c>
      <c r="CS391" s="518" t="str">
        <f>IF(AND(_F="A-330-300",'2024'!$N$4="FO",'2024'!$N$2=CS385),'2024DATA'!$L$8,"")</f>
        <v/>
      </c>
      <c r="CT391" s="518" t="str">
        <f>IF(AND(_F="A-330-300",'2024'!$N$4="FO",'2024'!$N$2=CT385),'2024DATA'!$M$8,"")</f>
        <v/>
      </c>
      <c r="CU391" s="520" t="str">
        <f>IF(AND(_F="A-330-300",'2024'!$N$4="FO",'2024'!$N$2=CU385),'2024DATA'!$N$8,"")</f>
        <v/>
      </c>
    </row>
    <row r="392" spans="16:99" x14ac:dyDescent="0.25">
      <c r="P392" s="940" t="s">
        <v>66</v>
      </c>
      <c r="Q392" s="13" t="s">
        <v>61</v>
      </c>
      <c r="R392" s="518" t="str">
        <f>IF(AND(_A="A-330-200",'2024'!$N$4="CA",'2024'!$N$2=R385),'2024DATA'!$C$9,"")</f>
        <v/>
      </c>
      <c r="S392" s="518" t="str">
        <f>IF(AND(_A="A-330-200",'2024'!$N$4="CA",'2024'!$N$2=S385),'2024DATA'!$D$9,"")</f>
        <v/>
      </c>
      <c r="T392" s="518" t="str">
        <f>IF(AND(_A="A-330-200",'2024'!$N$4="CA",'2024'!$N$2=T385),'2024DATA'!$E$9,"")</f>
        <v/>
      </c>
      <c r="U392" s="518" t="str">
        <f>IF(AND(_A="A-330-200",'2024'!$N$4="CA",'2024'!$N$2=U385),'2024DATA'!$F$9,"")</f>
        <v/>
      </c>
      <c r="V392" s="518" t="str">
        <f>IF(AND(_A="A-330-200",'2024'!$N$4="CA",'2024'!$N$2=V385),'2024DATA'!$G$9,"")</f>
        <v/>
      </c>
      <c r="W392" s="518" t="str">
        <f>IF(AND(_A="A-330-200",'2024'!$N$4="CA",'2024'!$N$2=W385),'2024DATA'!$H$9,"")</f>
        <v/>
      </c>
      <c r="X392" s="518" t="str">
        <f>IF(AND(_A="A-330-200",'2024'!$N$4="CA",'2024'!$N$2=X385),'2024DATA'!$I$9,"")</f>
        <v/>
      </c>
      <c r="Y392" s="518" t="str">
        <f>IF(AND(_A="A-330-200",'2024'!$N$4="CA",'2024'!$N$2=Y385),'2024DATA'!$J$9,"")</f>
        <v/>
      </c>
      <c r="Z392" s="518" t="str">
        <f>IF(AND(_A="A-330-200",'2024'!$N$4="CA",'2024'!$N$2=Z385),'2024DATA'!$K$9,"")</f>
        <v/>
      </c>
      <c r="AA392" s="518" t="str">
        <f>IF(AND(_A="A-330-200",'2024'!$N$4="CA",'2024'!$N$2=AA385),'2024DATA'!$L$9,"")</f>
        <v/>
      </c>
      <c r="AB392" s="518" t="str">
        <f>IF(AND(_A="A-330-200",'2024'!$N$4="CA",'2024'!$N$2=AB385),'2024DATA'!$M$9,"")</f>
        <v/>
      </c>
      <c r="AC392" s="520" t="str">
        <f>IF(AND(_A="A-330-200",'2024'!$N$4="CA",'2024'!$N$2=AC385),'2024DATA'!$N$9,"")</f>
        <v/>
      </c>
      <c r="AD392" s="940" t="s">
        <v>66</v>
      </c>
      <c r="AE392" s="13" t="s">
        <v>61</v>
      </c>
      <c r="AF392" s="518" t="str">
        <f>IF(AND(_B="A-330-200",'2024'!$N$4="CA",'2024'!$N$2=AF385),'2024DATA'!$C$9,"")</f>
        <v/>
      </c>
      <c r="AG392" s="518" t="str">
        <f>IF(AND(_B="A-330-200",'2024'!$N$4="CA",'2024'!$N$2=AG385),'2024DATA'!$D$9,"")</f>
        <v/>
      </c>
      <c r="AH392" s="518" t="str">
        <f>IF(AND(_B="A-330-200",'2024'!$N$4="CA",'2024'!$N$2=AH385),'2024DATA'!$E$9,"")</f>
        <v/>
      </c>
      <c r="AI392" s="518" t="str">
        <f>IF(AND(_B="A-330-200",'2024'!$N$4="CA",'2024'!$N$2=AI385),'2024DATA'!$F$9,"")</f>
        <v/>
      </c>
      <c r="AJ392" s="518" t="str">
        <f>IF(AND(_B="A-330-200",'2024'!$N$4="CA",'2024'!$N$2=AJ385),'2024DATA'!$G$9,"")</f>
        <v/>
      </c>
      <c r="AK392" s="518" t="str">
        <f>IF(AND(_B="A-330-200",'2024'!$N$4="CA",'2024'!$N$2=AK385),'2024DATA'!$H$9,"")</f>
        <v/>
      </c>
      <c r="AL392" s="518" t="str">
        <f>IF(AND(_B="A-330-200",'2024'!$N$4="CA",'2024'!$N$2=AL385),'2024DATA'!$I$9,"")</f>
        <v/>
      </c>
      <c r="AM392" s="518" t="str">
        <f>IF(AND(_B="A-330-200",'2024'!$N$4="CA",'2024'!$N$2=AM385),'2024DATA'!$J$9,"")</f>
        <v/>
      </c>
      <c r="AN392" s="518" t="str">
        <f>IF(AND(_B="A-330-200",'2024'!$N$4="CA",'2024'!$N$2=AN385),'2024DATA'!$K$9,"")</f>
        <v/>
      </c>
      <c r="AO392" s="518" t="str">
        <f>IF(AND(_B="A-330-200",'2024'!$N$4="CA",'2024'!$N$2=AO385),'2024DATA'!$L$9,"")</f>
        <v/>
      </c>
      <c r="AP392" s="518" t="str">
        <f>IF(AND(_B="A-330-200",'2024'!$N$4="CA",'2024'!$N$2=AP385),'2024DATA'!$M$9,"")</f>
        <v/>
      </c>
      <c r="AQ392" s="520" t="str">
        <f>IF(AND(_B="A-330-200",'2024'!$N$4="CA",'2024'!$N$2=AQ385),'2024DATA'!$N$9,"")</f>
        <v/>
      </c>
      <c r="AR392" s="940" t="s">
        <v>66</v>
      </c>
      <c r="AS392" s="13" t="s">
        <v>61</v>
      </c>
      <c r="AT392" s="518" t="str">
        <f>IF(AND(_C="A-330-200",'2024'!$N$4="CA",'2024'!$N$2=AT385),'2024DATA'!$C$9,"")</f>
        <v/>
      </c>
      <c r="AU392" s="518" t="str">
        <f>IF(AND(_C="A-330-200",'2024'!$N$4="CA",'2024'!$N$2=AU385),'2024DATA'!$D$9,"")</f>
        <v/>
      </c>
      <c r="AV392" s="518" t="str">
        <f>IF(AND(_C="A-330-200",'2024'!$N$4="CA",'2024'!$N$2=AV385),'2024DATA'!$E$9,"")</f>
        <v/>
      </c>
      <c r="AW392" s="518" t="str">
        <f>IF(AND(_C="A-330-200",'2024'!$N$4="CA",'2024'!$N$2=AW385),'2024DATA'!$F$9,"")</f>
        <v/>
      </c>
      <c r="AX392" s="518" t="str">
        <f>IF(AND(_C="A-330-200",'2024'!$N$4="CA",'2024'!$N$2=AX385),'2024DATA'!$G$9,"")</f>
        <v/>
      </c>
      <c r="AY392" s="518" t="str">
        <f>IF(AND(_C="A-330-200",'2024'!$N$4="CA",'2024'!$N$2=AY385),'2024DATA'!$H$9,"")</f>
        <v/>
      </c>
      <c r="AZ392" s="518" t="str">
        <f>IF(AND(_C="A-330-200",'2024'!$N$4="CA",'2024'!$N$2=AZ385),'2024DATA'!$I$9,"")</f>
        <v/>
      </c>
      <c r="BA392" s="518" t="str">
        <f>IF(AND(_C="A-330-200",'2024'!$N$4="CA",'2024'!$N$2=BA385),'2024DATA'!$J$9,"")</f>
        <v/>
      </c>
      <c r="BB392" s="518" t="str">
        <f>IF(AND(_C="A-330-200",'2024'!$N$4="CA",'2024'!$N$2=BB385),'2024DATA'!$K$9,"")</f>
        <v/>
      </c>
      <c r="BC392" s="518" t="str">
        <f>IF(AND(_C="A-330-200",'2024'!$N$4="CA",'2024'!$N$2=BC385),'2024DATA'!$L$9,"")</f>
        <v/>
      </c>
      <c r="BD392" s="518" t="str">
        <f>IF(AND(_C="A-330-200",'2024'!$N$4="CA",'2024'!$N$2=BD385),'2024DATA'!$M$9,"")</f>
        <v/>
      </c>
      <c r="BE392" s="520" t="str">
        <f>IF(AND(_C="A-330-200",'2024'!$N$4="CA",'2024'!$N$2=BE385),'2024DATA'!$N$9,"")</f>
        <v/>
      </c>
      <c r="BF392" s="940" t="s">
        <v>66</v>
      </c>
      <c r="BG392" s="13" t="s">
        <v>61</v>
      </c>
      <c r="BH392" s="518" t="str">
        <f>IF(AND(_D="A-330-200",'2024'!$N$4="CA",'2024'!$N$2=BH385),'2024DATA'!$C$9,"")</f>
        <v/>
      </c>
      <c r="BI392" s="518" t="str">
        <f>IF(AND(_D="A-330-200",'2024'!$N$4="CA",'2024'!$N$2=BI385),'2024DATA'!$D$9,"")</f>
        <v/>
      </c>
      <c r="BJ392" s="518" t="str">
        <f>IF(AND(_D="A-330-200",'2024'!$N$4="CA",'2024'!$N$2=BJ385),'2024DATA'!$E$9,"")</f>
        <v/>
      </c>
      <c r="BK392" s="518" t="str">
        <f>IF(AND(_D="A-330-200",'2024'!$N$4="CA",'2024'!$N$2=BK385),'2024DATA'!$F$9,"")</f>
        <v/>
      </c>
      <c r="BL392" s="518" t="str">
        <f>IF(AND(_D="A-330-200",'2024'!$N$4="CA",'2024'!$N$2=BL385),'2024DATA'!$G$9,"")</f>
        <v/>
      </c>
      <c r="BM392" s="518" t="str">
        <f>IF(AND(_D="A-330-200",'2024'!$N$4="CA",'2024'!$N$2=BM385),'2024DATA'!$H$9,"")</f>
        <v/>
      </c>
      <c r="BN392" s="518" t="str">
        <f>IF(AND(_D="A-330-200",'2024'!$N$4="CA",'2024'!$N$2=BN385),'2024DATA'!$I$9,"")</f>
        <v/>
      </c>
      <c r="BO392" s="518" t="str">
        <f>IF(AND(_D="A-330-200",'2024'!$N$4="CA",'2024'!$N$2=BO385),'2024DATA'!$J$9,"")</f>
        <v/>
      </c>
      <c r="BP392" s="518" t="str">
        <f>IF(AND(_D="A-330-200",'2024'!$N$4="CA",'2024'!$N$2=BP385),'2024DATA'!$K$9,"")</f>
        <v/>
      </c>
      <c r="BQ392" s="518" t="str">
        <f>IF(AND(_D="A-330-200",'2024'!$N$4="CA",'2024'!$N$2=BQ385),'2024DATA'!$L$9,"")</f>
        <v/>
      </c>
      <c r="BR392" s="518" t="str">
        <f>IF(AND(_D="A-330-200",'2024'!$N$4="CA",'2024'!$N$2=BR385),'2024DATA'!$M$9,"")</f>
        <v/>
      </c>
      <c r="BS392" s="520" t="str">
        <f>IF(AND(_D="A-330-200",'2024'!$N$4="CA",'2024'!$N$2=BS385),'2024DATA'!$N$9,"")</f>
        <v/>
      </c>
      <c r="BT392" s="940" t="s">
        <v>66</v>
      </c>
      <c r="BU392" s="13" t="s">
        <v>61</v>
      </c>
      <c r="BV392" s="518" t="str">
        <f>IF(AND(_E="A-330-200",'2024'!$N$4="CA",'2024'!$N$2=BV385),'2024DATA'!$C$9,"")</f>
        <v/>
      </c>
      <c r="BW392" s="518" t="str">
        <f>IF(AND(_E="A-330-200",'2024'!$N$4="CA",'2024'!$N$2=BW385),'2024DATA'!$D$9,"")</f>
        <v/>
      </c>
      <c r="BX392" s="518" t="str">
        <f>IF(AND(_E="A-330-200",'2024'!$N$4="CA",'2024'!$N$2=BX385),'2024DATA'!$E$9,"")</f>
        <v/>
      </c>
      <c r="BY392" s="518" t="str">
        <f>IF(AND(_E="A-330-200",'2024'!$N$4="CA",'2024'!$N$2=BY385),'2024DATA'!$F$9,"")</f>
        <v/>
      </c>
      <c r="BZ392" s="518" t="str">
        <f>IF(AND(_E="A-330-200",'2024'!$N$4="CA",'2024'!$N$2=BZ385),'2024DATA'!$G$9,"")</f>
        <v/>
      </c>
      <c r="CA392" s="518" t="str">
        <f>IF(AND(_E="A-330-200",'2024'!$N$4="CA",'2024'!$N$2=CA385),'2024DATA'!$H$9,"")</f>
        <v/>
      </c>
      <c r="CB392" s="518" t="str">
        <f>IF(AND(_E="A-330-200",'2024'!$N$4="CA",'2024'!$N$2=CB385),'2024DATA'!$I$9,"")</f>
        <v/>
      </c>
      <c r="CC392" s="518" t="str">
        <f>IF(AND(_E="A-330-200",'2024'!$N$4="CA",'2024'!$N$2=CC385),'2024DATA'!$J$9,"")</f>
        <v/>
      </c>
      <c r="CD392" s="518" t="str">
        <f>IF(AND(_E="A-330-200",'2024'!$N$4="CA",'2024'!$N$2=CD385),'2024DATA'!$K$9,"")</f>
        <v/>
      </c>
      <c r="CE392" s="518" t="str">
        <f>IF(AND(_E="A-330-200",'2024'!$N$4="CA",'2024'!$N$2=CE385),'2024DATA'!$L$9,"")</f>
        <v/>
      </c>
      <c r="CF392" s="518" t="str">
        <f>IF(AND(_E="A-330-200",'2024'!$N$4="CA",'2024'!$N$2=CF385),'2024DATA'!$M$9,"")</f>
        <v/>
      </c>
      <c r="CG392" s="520" t="str">
        <f>IF(AND(_E="A-330-200",'2024'!$N$4="CA",'2024'!$N$2=CG385),'2024DATA'!$N$9,"")</f>
        <v/>
      </c>
      <c r="CH392" s="940" t="s">
        <v>66</v>
      </c>
      <c r="CI392" s="13" t="s">
        <v>61</v>
      </c>
      <c r="CJ392" s="518" t="str">
        <f>IF(AND(_F="A-330-200",'2024'!$N$4="CA",'2024'!$N$2=CJ385),'2024DATA'!$C$9,"")</f>
        <v/>
      </c>
      <c r="CK392" s="518" t="str">
        <f>IF(AND(_F="A-330-200",'2024'!$N$4="CA",'2024'!$N$2=CK385),'2024DATA'!$D$9,"")</f>
        <v/>
      </c>
      <c r="CL392" s="518" t="str">
        <f>IF(AND(_F="A-330-200",'2024'!$N$4="CA",'2024'!$N$2=CL385),'2024DATA'!$E$9,"")</f>
        <v/>
      </c>
      <c r="CM392" s="518" t="str">
        <f>IF(AND(_F="A-330-200",'2024'!$N$4="CA",'2024'!$N$2=CM385),'2024DATA'!$F$9,"")</f>
        <v/>
      </c>
      <c r="CN392" s="518" t="str">
        <f>IF(AND(_F="A-330-200",'2024'!$N$4="CA",'2024'!$N$2=CN385),'2024DATA'!$G$9,"")</f>
        <v/>
      </c>
      <c r="CO392" s="518" t="str">
        <f>IF(AND(_F="A-330-200",'2024'!$N$4="CA",'2024'!$N$2=CO385),'2024DATA'!$H$9,"")</f>
        <v/>
      </c>
      <c r="CP392" s="518" t="str">
        <f>IF(AND(_F="A-330-200",'2024'!$N$4="CA",'2024'!$N$2=CP385),'2024DATA'!$I$9,"")</f>
        <v/>
      </c>
      <c r="CQ392" s="518" t="str">
        <f>IF(AND(_F="A-330-200",'2024'!$N$4="CA",'2024'!$N$2=CQ385),'2024DATA'!$J$9,"")</f>
        <v/>
      </c>
      <c r="CR392" s="518" t="str">
        <f>IF(AND(_F="A-330-200",'2024'!$N$4="CA",'2024'!$N$2=CR385),'2024DATA'!$K$9,"")</f>
        <v/>
      </c>
      <c r="CS392" s="518" t="str">
        <f>IF(AND(_F="A-330-200",'2024'!$N$4="CA",'2024'!$N$2=CS385),'2024DATA'!$L$9,"")</f>
        <v/>
      </c>
      <c r="CT392" s="518" t="str">
        <f>IF(AND(_F="A-330-200",'2024'!$N$4="CA",'2024'!$N$2=CT385),'2024DATA'!$M$9,"")</f>
        <v/>
      </c>
      <c r="CU392" s="520" t="str">
        <f>IF(AND(_F="A-330-200",'2024'!$N$4="CA",'2024'!$N$2=CU385),'2024DATA'!$N$9,"")</f>
        <v/>
      </c>
    </row>
    <row r="393" spans="16:99" x14ac:dyDescent="0.25">
      <c r="P393" s="940"/>
      <c r="Q393" s="13" t="s">
        <v>62</v>
      </c>
      <c r="R393" s="518" t="str">
        <f>IF(AND(_A="A-330-200",'2024'!$N$4="FO",'2024'!$N$2=R385),'2024DATA'!$C$10,"")</f>
        <v/>
      </c>
      <c r="S393" s="518" t="str">
        <f>IF(AND(_A="A-330-200",'2024'!$N$4="FO",'2024'!$N$2=S385),'2024DATA'!$D$10,"")</f>
        <v/>
      </c>
      <c r="T393" s="518" t="str">
        <f>IF(AND(_A="A-330-200",'2024'!$N$4="FO",'2024'!$N$2=T385),'2024DATA'!$E$10,"")</f>
        <v/>
      </c>
      <c r="U393" s="518" t="str">
        <f>IF(AND(_A="A-330-200",'2024'!$N$4="FO",'2024'!$N$2=U385),'2024DATA'!$F$10,"")</f>
        <v/>
      </c>
      <c r="V393" s="518" t="str">
        <f>IF(AND(_A="A-330-200",'2024'!$N$4="FO",'2024'!$N$2=V385),'2024DATA'!$G$10,"")</f>
        <v/>
      </c>
      <c r="W393" s="518" t="str">
        <f>IF(AND(_A="A-330-200",'2024'!$N$4="FO",'2024'!$N$2=W385),'2024DATA'!$H$10,"")</f>
        <v/>
      </c>
      <c r="X393" s="518" t="str">
        <f>IF(AND(_A="A-330-200",'2024'!$N$4="FO",'2024'!$N$2=X385),'2024DATA'!$I$10,"")</f>
        <v/>
      </c>
      <c r="Y393" s="518" t="str">
        <f>IF(AND(_A="A-330-200",'2024'!$N$4="FO",'2024'!$N$2=Y385),'2024DATA'!$J$10,"")</f>
        <v/>
      </c>
      <c r="Z393" s="518" t="str">
        <f>IF(AND(_A="A-330-200",'2024'!$N$4="FO",'2024'!$N$2=Z385),'2024DATA'!$K$10,"")</f>
        <v/>
      </c>
      <c r="AA393" s="518" t="str">
        <f>IF(AND(_A="A-330-200",'2024'!$N$4="FO",'2024'!$N$2=AA385),'2024DATA'!$L$10,"")</f>
        <v/>
      </c>
      <c r="AB393" s="518" t="str">
        <f>IF(AND(_A="A-330-200",'2024'!$N$4="FO",'2024'!$N$2=AB385),'2024DATA'!$M$10,"")</f>
        <v/>
      </c>
      <c r="AC393" s="520" t="str">
        <f>IF(AND(_A="A-330-200",'2024'!$N$4="FO",'2024'!$N$2=AC385),'2024DATA'!$N$10,"")</f>
        <v/>
      </c>
      <c r="AD393" s="940"/>
      <c r="AE393" s="13" t="s">
        <v>62</v>
      </c>
      <c r="AF393" s="518" t="str">
        <f>IF(AND(_B="A-330-200",'2024'!$N$4="FO",'2024'!$N$2=AF385),'2024DATA'!$C$10,"")</f>
        <v/>
      </c>
      <c r="AG393" s="518" t="str">
        <f>IF(AND(_B="A-330-200",'2024'!$N$4="FO",'2024'!$N$2=AG385),'2024DATA'!$D$10,"")</f>
        <v/>
      </c>
      <c r="AH393" s="518" t="str">
        <f>IF(AND(_B="A-330-200",'2024'!$N$4="FO",'2024'!$N$2=AH385),'2024DATA'!$E$10,"")</f>
        <v/>
      </c>
      <c r="AI393" s="518" t="str">
        <f>IF(AND(_B="A-330-200",'2024'!$N$4="FO",'2024'!$N$2=AI385),'2024DATA'!$F$10,"")</f>
        <v/>
      </c>
      <c r="AJ393" s="518" t="str">
        <f>IF(AND(_B="A-330-200",'2024'!$N$4="FO",'2024'!$N$2=AJ385),'2024DATA'!$G$10,"")</f>
        <v/>
      </c>
      <c r="AK393" s="518" t="str">
        <f>IF(AND(_B="A-330-200",'2024'!$N$4="FO",'2024'!$N$2=AK385),'2024DATA'!$H$10,"")</f>
        <v/>
      </c>
      <c r="AL393" s="518" t="str">
        <f>IF(AND(_B="A-330-200",'2024'!$N$4="FO",'2024'!$N$2=AL385),'2024DATA'!$I$10,"")</f>
        <v/>
      </c>
      <c r="AM393" s="518" t="str">
        <f>IF(AND(_B="A-330-200",'2024'!$N$4="FO",'2024'!$N$2=AM385),'2024DATA'!$J$10,"")</f>
        <v/>
      </c>
      <c r="AN393" s="518" t="str">
        <f>IF(AND(_B="A-330-200",'2024'!$N$4="FO",'2024'!$N$2=AN385),'2024DATA'!$K$10,"")</f>
        <v/>
      </c>
      <c r="AO393" s="518" t="str">
        <f>IF(AND(_B="A-330-200",'2024'!$N$4="FO",'2024'!$N$2=AO385),'2024DATA'!$L$10,"")</f>
        <v/>
      </c>
      <c r="AP393" s="518" t="str">
        <f>IF(AND(_B="A-330-200",'2024'!$N$4="FO",'2024'!$N$2=AP385),'2024DATA'!$M$10,"")</f>
        <v/>
      </c>
      <c r="AQ393" s="520" t="str">
        <f>IF(AND(_B="A-330-200",'2024'!$N$4="FO",'2024'!$N$2=AQ385),'2024DATA'!$N$10,"")</f>
        <v/>
      </c>
      <c r="AR393" s="940"/>
      <c r="AS393" s="13" t="s">
        <v>62</v>
      </c>
      <c r="AT393" s="518" t="str">
        <f>IF(AND(_C="A-330-200",'2024'!$N$4="FO",'2024'!$N$2=AT385),'2024DATA'!$C$10,"")</f>
        <v/>
      </c>
      <c r="AU393" s="518" t="str">
        <f>IF(AND(_C="A-330-200",'2024'!$N$4="FO",'2024'!$N$2=AU385),'2024DATA'!$D$10,"")</f>
        <v/>
      </c>
      <c r="AV393" s="518" t="str">
        <f>IF(AND(_C="A-330-200",'2024'!$N$4="FO",'2024'!$N$2=AV385),'2024DATA'!$E$10,"")</f>
        <v/>
      </c>
      <c r="AW393" s="518" t="str">
        <f>IF(AND(_C="A-330-200",'2024'!$N$4="FO",'2024'!$N$2=AW385),'2024DATA'!$F$10,"")</f>
        <v/>
      </c>
      <c r="AX393" s="518" t="str">
        <f>IF(AND(_C="A-330-200",'2024'!$N$4="FO",'2024'!$N$2=AX385),'2024DATA'!$G$10,"")</f>
        <v/>
      </c>
      <c r="AY393" s="518" t="str">
        <f>IF(AND(_C="A-330-200",'2024'!$N$4="FO",'2024'!$N$2=AY385),'2024DATA'!$H$10,"")</f>
        <v/>
      </c>
      <c r="AZ393" s="518" t="str">
        <f>IF(AND(_C="A-330-200",'2024'!$N$4="FO",'2024'!$N$2=AZ385),'2024DATA'!$I$10,"")</f>
        <v/>
      </c>
      <c r="BA393" s="518" t="str">
        <f>IF(AND(_C="A-330-200",'2024'!$N$4="FO",'2024'!$N$2=BA385),'2024DATA'!$J$10,"")</f>
        <v/>
      </c>
      <c r="BB393" s="518" t="str">
        <f>IF(AND(_C="A-330-200",'2024'!$N$4="FO",'2024'!$N$2=BB385),'2024DATA'!$K$10,"")</f>
        <v/>
      </c>
      <c r="BC393" s="518" t="str">
        <f>IF(AND(_C="A-330-200",'2024'!$N$4="FO",'2024'!$N$2=BC385),'2024DATA'!$L$10,"")</f>
        <v/>
      </c>
      <c r="BD393" s="518" t="str">
        <f>IF(AND(_C="A-330-200",'2024'!$N$4="FO",'2024'!$N$2=BD385),'2024DATA'!$M$10,"")</f>
        <v/>
      </c>
      <c r="BE393" s="520" t="str">
        <f>IF(AND(_C="A-330-200",'2024'!$N$4="FO",'2024'!$N$2=BE385),'2024DATA'!$N$10,"")</f>
        <v/>
      </c>
      <c r="BF393" s="940"/>
      <c r="BG393" s="13" t="s">
        <v>62</v>
      </c>
      <c r="BH393" s="518" t="str">
        <f>IF(AND(_D="A-330-200",'2024'!$N$4="FO",'2024'!$N$2=BH385),'2024DATA'!$C$10,"")</f>
        <v/>
      </c>
      <c r="BI393" s="518" t="str">
        <f>IF(AND(_D="A-330-200",'2024'!$N$4="FO",'2024'!$N$2=BI385),'2024DATA'!$D$10,"")</f>
        <v/>
      </c>
      <c r="BJ393" s="518" t="str">
        <f>IF(AND(_D="A-330-200",'2024'!$N$4="FO",'2024'!$N$2=BJ385),'2024DATA'!$E$10,"")</f>
        <v/>
      </c>
      <c r="BK393" s="518" t="str">
        <f>IF(AND(_D="A-330-200",'2024'!$N$4="FO",'2024'!$N$2=BK385),'2024DATA'!$F$10,"")</f>
        <v/>
      </c>
      <c r="BL393" s="518" t="str">
        <f>IF(AND(_D="A-330-200",'2024'!$N$4="FO",'2024'!$N$2=BL385),'2024DATA'!$G$10,"")</f>
        <v/>
      </c>
      <c r="BM393" s="518" t="str">
        <f>IF(AND(_D="A-330-200",'2024'!$N$4="FO",'2024'!$N$2=BM385),'2024DATA'!$H$10,"")</f>
        <v/>
      </c>
      <c r="BN393" s="518" t="str">
        <f>IF(AND(_D="A-330-200",'2024'!$N$4="FO",'2024'!$N$2=BN385),'2024DATA'!$I$10,"")</f>
        <v/>
      </c>
      <c r="BO393" s="518" t="str">
        <f>IF(AND(_D="A-330-200",'2024'!$N$4="FO",'2024'!$N$2=BO385),'2024DATA'!$J$10,"")</f>
        <v/>
      </c>
      <c r="BP393" s="518" t="str">
        <f>IF(AND(_D="A-330-200",'2024'!$N$4="FO",'2024'!$N$2=BP385),'2024DATA'!$K$10,"")</f>
        <v/>
      </c>
      <c r="BQ393" s="518" t="str">
        <f>IF(AND(_D="A-330-200",'2024'!$N$4="FO",'2024'!$N$2=BQ385),'2024DATA'!$L$10,"")</f>
        <v/>
      </c>
      <c r="BR393" s="518" t="str">
        <f>IF(AND(_D="A-330-200",'2024'!$N$4="FO",'2024'!$N$2=BR385),'2024DATA'!$M$10,"")</f>
        <v/>
      </c>
      <c r="BS393" s="520" t="str">
        <f>IF(AND(_D="A-330-200",'2024'!$N$4="FO",'2024'!$N$2=BS385),'2024DATA'!$N$10,"")</f>
        <v/>
      </c>
      <c r="BT393" s="940"/>
      <c r="BU393" s="13" t="s">
        <v>62</v>
      </c>
      <c r="BV393" s="518" t="str">
        <f>IF(AND(_E="A-330-200",'2024'!$N$4="FO",'2024'!$N$2=BV385),'2024DATA'!$C$10,"")</f>
        <v/>
      </c>
      <c r="BW393" s="518" t="str">
        <f>IF(AND(_E="A-330-200",'2024'!$N$4="FO",'2024'!$N$2=BW385),'2024DATA'!$D$10,"")</f>
        <v/>
      </c>
      <c r="BX393" s="518" t="str">
        <f>IF(AND(_E="A-330-200",'2024'!$N$4="FO",'2024'!$N$2=BX385),'2024DATA'!$E$10,"")</f>
        <v/>
      </c>
      <c r="BY393" s="518" t="str">
        <f>IF(AND(_E="A-330-200",'2024'!$N$4="FO",'2024'!$N$2=BY385),'2024DATA'!$F$10,"")</f>
        <v/>
      </c>
      <c r="BZ393" s="518" t="str">
        <f>IF(AND(_E="A-330-200",'2024'!$N$4="FO",'2024'!$N$2=BZ385),'2024DATA'!$G$10,"")</f>
        <v/>
      </c>
      <c r="CA393" s="518" t="str">
        <f>IF(AND(_E="A-330-200",'2024'!$N$4="FO",'2024'!$N$2=CA385),'2024DATA'!$H$10,"")</f>
        <v/>
      </c>
      <c r="CB393" s="518" t="str">
        <f>IF(AND(_E="A-330-200",'2024'!$N$4="FO",'2024'!$N$2=CB385),'2024DATA'!$I$10,"")</f>
        <v/>
      </c>
      <c r="CC393" s="518" t="str">
        <f>IF(AND(_E="A-330-200",'2024'!$N$4="FO",'2024'!$N$2=CC385),'2024DATA'!$J$10,"")</f>
        <v/>
      </c>
      <c r="CD393" s="518" t="str">
        <f>IF(AND(_E="A-330-200",'2024'!$N$4="FO",'2024'!$N$2=CD385),'2024DATA'!$K$10,"")</f>
        <v/>
      </c>
      <c r="CE393" s="518" t="str">
        <f>IF(AND(_E="A-330-200",'2024'!$N$4="FO",'2024'!$N$2=CE385),'2024DATA'!$L$10,"")</f>
        <v/>
      </c>
      <c r="CF393" s="518" t="str">
        <f>IF(AND(_E="A-330-200",'2024'!$N$4="FO",'2024'!$N$2=CF385),'2024DATA'!$M$10,"")</f>
        <v/>
      </c>
      <c r="CG393" s="520" t="str">
        <f>IF(AND(_E="A-330-200",'2024'!$N$4="FO",'2024'!$N$2=CG385),'2024DATA'!$N$10,"")</f>
        <v/>
      </c>
      <c r="CH393" s="940"/>
      <c r="CI393" s="13" t="s">
        <v>62</v>
      </c>
      <c r="CJ393" s="518" t="str">
        <f>IF(AND(_F="A-330-200",'2024'!$N$4="FO",'2024'!$N$2=CJ385),'2024DATA'!$C$10,"")</f>
        <v/>
      </c>
      <c r="CK393" s="518" t="str">
        <f>IF(AND(_F="A-330-200",'2024'!$N$4="FO",'2024'!$N$2=CK385),'2024DATA'!$D$10,"")</f>
        <v/>
      </c>
      <c r="CL393" s="518" t="str">
        <f>IF(AND(_F="A-330-200",'2024'!$N$4="FO",'2024'!$N$2=CL385),'2024DATA'!$E$10,"")</f>
        <v/>
      </c>
      <c r="CM393" s="518" t="str">
        <f>IF(AND(_F="A-330-200",'2024'!$N$4="FO",'2024'!$N$2=CM385),'2024DATA'!$F$10,"")</f>
        <v/>
      </c>
      <c r="CN393" s="518" t="str">
        <f>IF(AND(_F="A-330-200",'2024'!$N$4="FO",'2024'!$N$2=CN385),'2024DATA'!$G$10,"")</f>
        <v/>
      </c>
      <c r="CO393" s="518" t="str">
        <f>IF(AND(_F="A-330-200",'2024'!$N$4="FO",'2024'!$N$2=CO385),'2024DATA'!$H$10,"")</f>
        <v/>
      </c>
      <c r="CP393" s="518" t="str">
        <f>IF(AND(_F="A-330-200",'2024'!$N$4="FO",'2024'!$N$2=CP385),'2024DATA'!$I$10,"")</f>
        <v/>
      </c>
      <c r="CQ393" s="518" t="str">
        <f>IF(AND(_F="A-330-200",'2024'!$N$4="FO",'2024'!$N$2=CQ385),'2024DATA'!$J$10,"")</f>
        <v/>
      </c>
      <c r="CR393" s="518" t="str">
        <f>IF(AND(_F="A-330-200",'2024'!$N$4="FO",'2024'!$N$2=CR385),'2024DATA'!$K$10,"")</f>
        <v/>
      </c>
      <c r="CS393" s="518" t="str">
        <f>IF(AND(_F="A-330-200",'2024'!$N$4="FO",'2024'!$N$2=CS385),'2024DATA'!$L$10,"")</f>
        <v/>
      </c>
      <c r="CT393" s="518" t="str">
        <f>IF(AND(_F="A-330-200",'2024'!$N$4="FO",'2024'!$N$2=CT385),'2024DATA'!$M$10,"")</f>
        <v/>
      </c>
      <c r="CU393" s="520" t="str">
        <f>IF(AND(_F="A-330-200",'2024'!$N$4="FO",'2024'!$N$2=CU385),'2024DATA'!$N$10,"")</f>
        <v/>
      </c>
    </row>
    <row r="394" spans="16:99" x14ac:dyDescent="0.25">
      <c r="P394" s="940" t="s">
        <v>42</v>
      </c>
      <c r="Q394" s="13" t="s">
        <v>61</v>
      </c>
      <c r="R394" s="518" t="str">
        <f>IF(AND(_A="B-767-400ER",'2024'!$N$4="CA",'2024'!$N$2=R385),'2024DATA'!$C$11,"")</f>
        <v/>
      </c>
      <c r="S394" s="518" t="str">
        <f>IF(AND(_A="B-767-400ER",'2024'!$N$4="CA",'2024'!$N$2=S385),'2024DATA'!$D$11,"")</f>
        <v/>
      </c>
      <c r="T394" s="518" t="str">
        <f>IF(AND(_A="B-767-400ER",'2024'!$N$4="CA",'2024'!$N$2=T385),'2024DATA'!$E$11,"")</f>
        <v/>
      </c>
      <c r="U394" s="518" t="str">
        <f>IF(AND(_A="B-767-400ER",'2024'!$N$4="CA",'2024'!$N$2=U385),'2024DATA'!$F$11,"")</f>
        <v/>
      </c>
      <c r="V394" s="518" t="str">
        <f>IF(AND(_A="B-767-400ER",'2024'!$N$4="CA",'2024'!$N$2=V385),'2024DATA'!$G$11,"")</f>
        <v/>
      </c>
      <c r="W394" s="518" t="str">
        <f>IF(AND(_A="B-767-400ER",'2024'!$N$4="CA",'2024'!$N$2=W385),'2024DATA'!$H$11,"")</f>
        <v/>
      </c>
      <c r="X394" s="518" t="str">
        <f>IF(AND(_A="B-767-400ER",'2024'!$N$4="CA",'2024'!$N$2=X385),'2024DATA'!$I$11,"")</f>
        <v/>
      </c>
      <c r="Y394" s="518" t="str">
        <f>IF(AND(_A="B-767-400ER",'2024'!$N$4="CA",'2024'!$N$2=Y385),'2024DATA'!$J$11,"")</f>
        <v/>
      </c>
      <c r="Z394" s="518" t="str">
        <f>IF(AND(_A="B-767-400ER",'2024'!$N$4="CA",'2024'!$N$2=Z385),'2024DATA'!$K$11,"")</f>
        <v/>
      </c>
      <c r="AA394" s="518" t="str">
        <f>IF(AND(_A="B-767-400ER",'2024'!$N$4="CA",'2024'!$N$2=AA385),'2024DATA'!$L$11,"")</f>
        <v/>
      </c>
      <c r="AB394" s="518" t="str">
        <f>IF(AND(_A="B-767-400ER",'2024'!$N$4="CA",'2024'!$N$2=AB385),'2024DATA'!$M$11,"")</f>
        <v/>
      </c>
      <c r="AC394" s="520" t="str">
        <f>IF(AND(_A="B-767-400ER",'2024'!$N$4="CA",'2024'!$N$2=AC385),'2024DATA'!$N$11,"")</f>
        <v/>
      </c>
      <c r="AD394" s="940" t="s">
        <v>42</v>
      </c>
      <c r="AE394" s="13" t="s">
        <v>61</v>
      </c>
      <c r="AF394" s="518" t="str">
        <f>IF(AND(_B="B-767-400ER",'2024'!$N$4="CA",'2024'!$N$2=AF385),'2024DATA'!$C$11,"")</f>
        <v/>
      </c>
      <c r="AG394" s="518" t="str">
        <f>IF(AND(_B="B-767-400ER",'2024'!$N$4="CA",'2024'!$N$2=AG385),'2024DATA'!$D$11,"")</f>
        <v/>
      </c>
      <c r="AH394" s="518" t="str">
        <f>IF(AND(_B="B-767-400ER",'2024'!$N$4="CA",'2024'!$N$2=AH385),'2024DATA'!$E$11,"")</f>
        <v/>
      </c>
      <c r="AI394" s="518" t="str">
        <f>IF(AND(_B="B-767-400ER",'2024'!$N$4="CA",'2024'!$N$2=AI385),'2024DATA'!$F$11,"")</f>
        <v/>
      </c>
      <c r="AJ394" s="518" t="str">
        <f>IF(AND(_B="B-767-400ER",'2024'!$N$4="CA",'2024'!$N$2=AJ385),'2024DATA'!$G$11,"")</f>
        <v/>
      </c>
      <c r="AK394" s="518" t="str">
        <f>IF(AND(_B="B-767-400ER",'2024'!$N$4="CA",'2024'!$N$2=AK385),'2024DATA'!$H$11,"")</f>
        <v/>
      </c>
      <c r="AL394" s="518" t="str">
        <f>IF(AND(_B="B-767-400ER",'2024'!$N$4="CA",'2024'!$N$2=AL385),'2024DATA'!$I$11,"")</f>
        <v/>
      </c>
      <c r="AM394" s="518" t="str">
        <f>IF(AND(_B="B-767-400ER",'2024'!$N$4="CA",'2024'!$N$2=AM385),'2024DATA'!$J$11,"")</f>
        <v/>
      </c>
      <c r="AN394" s="518" t="str">
        <f>IF(AND(_B="B-767-400ER",'2024'!$N$4="CA",'2024'!$N$2=AN385),'2024DATA'!$K$11,"")</f>
        <v/>
      </c>
      <c r="AO394" s="518" t="str">
        <f>IF(AND(_B="B-767-400ER",'2024'!$N$4="CA",'2024'!$N$2=AO385),'2024DATA'!$L$11,"")</f>
        <v/>
      </c>
      <c r="AP394" s="518" t="str">
        <f>IF(AND(_B="B-767-400ER",'2024'!$N$4="CA",'2024'!$N$2=AP385),'2024DATA'!$M$11,"")</f>
        <v/>
      </c>
      <c r="AQ394" s="520" t="str">
        <f>IF(AND(_B="B-767-400ER",'2024'!$N$4="CA",'2024'!$N$2=AQ385),'2024DATA'!$N$11,"")</f>
        <v/>
      </c>
      <c r="AR394" s="940" t="s">
        <v>42</v>
      </c>
      <c r="AS394" s="13" t="s">
        <v>61</v>
      </c>
      <c r="AT394" s="518" t="str">
        <f>IF(AND(_C="B-767-400ER",'2024'!$N$4="CA",'2024'!$N$2=AT385),'2024DATA'!$C$11,"")</f>
        <v/>
      </c>
      <c r="AU394" s="518" t="str">
        <f>IF(AND(_C="B-767-400ER",'2024'!$N$4="CA",'2024'!$N$2=AU385),'2024DATA'!$D$11,"")</f>
        <v/>
      </c>
      <c r="AV394" s="518" t="str">
        <f>IF(AND(_C="B-767-400ER",'2024'!$N$4="CA",'2024'!$N$2=AV385),'2024DATA'!$E$11,"")</f>
        <v/>
      </c>
      <c r="AW394" s="518" t="str">
        <f>IF(AND(_C="B-767-400ER",'2024'!$N$4="CA",'2024'!$N$2=AW385),'2024DATA'!$F$11,"")</f>
        <v/>
      </c>
      <c r="AX394" s="518" t="str">
        <f>IF(AND(_C="B-767-400ER",'2024'!$N$4="CA",'2024'!$N$2=AX385),'2024DATA'!$G$11,"")</f>
        <v/>
      </c>
      <c r="AY394" s="518" t="str">
        <f>IF(AND(_C="B-767-400ER",'2024'!$N$4="CA",'2024'!$N$2=AY385),'2024DATA'!$H$11,"")</f>
        <v/>
      </c>
      <c r="AZ394" s="518" t="str">
        <f>IF(AND(_C="B-767-400ER",'2024'!$N$4="CA",'2024'!$N$2=AZ385),'2024DATA'!$I$11,"")</f>
        <v/>
      </c>
      <c r="BA394" s="518" t="str">
        <f>IF(AND(_C="B-767-400ER",'2024'!$N$4="CA",'2024'!$N$2=BA385),'2024DATA'!$J$11,"")</f>
        <v/>
      </c>
      <c r="BB394" s="518" t="str">
        <f>IF(AND(_C="B-767-400ER",'2024'!$N$4="CA",'2024'!$N$2=BB385),'2024DATA'!$K$11,"")</f>
        <v/>
      </c>
      <c r="BC394" s="518" t="str">
        <f>IF(AND(_C="B-767-400ER",'2024'!$N$4="CA",'2024'!$N$2=BC385),'2024DATA'!$L$11,"")</f>
        <v/>
      </c>
      <c r="BD394" s="518" t="str">
        <f>IF(AND(_C="B-767-400ER",'2024'!$N$4="CA",'2024'!$N$2=BD385),'2024DATA'!$M$11,"")</f>
        <v/>
      </c>
      <c r="BE394" s="520" t="str">
        <f>IF(AND(_C="B-767-400ER",'2024'!$N$4="CA",'2024'!$N$2=BE385),'2024DATA'!$N$11,"")</f>
        <v/>
      </c>
      <c r="BF394" s="940" t="s">
        <v>42</v>
      </c>
      <c r="BG394" s="13" t="s">
        <v>61</v>
      </c>
      <c r="BH394" s="518" t="str">
        <f>IF(AND(_D="B-767-400ER",'2024'!$N$4="CA",'2024'!$N$2=BH385),'2024DATA'!$C$11,"")</f>
        <v/>
      </c>
      <c r="BI394" s="518" t="str">
        <f>IF(AND(_D="B-767-400ER",'2024'!$N$4="CA",'2024'!$N$2=BI385),'2024DATA'!$D$11,"")</f>
        <v/>
      </c>
      <c r="BJ394" s="518" t="str">
        <f>IF(AND(_D="B-767-400ER",'2024'!$N$4="CA",'2024'!$N$2=BJ385),'2024DATA'!$E$11,"")</f>
        <v/>
      </c>
      <c r="BK394" s="518" t="str">
        <f>IF(AND(_D="B-767-400ER",'2024'!$N$4="CA",'2024'!$N$2=BK385),'2024DATA'!$F$11,"")</f>
        <v/>
      </c>
      <c r="BL394" s="518" t="str">
        <f>IF(AND(_D="B-767-400ER",'2024'!$N$4="CA",'2024'!$N$2=BL385),'2024DATA'!$G$11,"")</f>
        <v/>
      </c>
      <c r="BM394" s="518" t="str">
        <f>IF(AND(_D="B-767-400ER",'2024'!$N$4="CA",'2024'!$N$2=BM385),'2024DATA'!$H$11,"")</f>
        <v/>
      </c>
      <c r="BN394" s="518" t="str">
        <f>IF(AND(_D="B-767-400ER",'2024'!$N$4="CA",'2024'!$N$2=BN385),'2024DATA'!$I$11,"")</f>
        <v/>
      </c>
      <c r="BO394" s="518" t="str">
        <f>IF(AND(_D="B-767-400ER",'2024'!$N$4="CA",'2024'!$N$2=BO385),'2024DATA'!$J$11,"")</f>
        <v/>
      </c>
      <c r="BP394" s="518" t="str">
        <f>IF(AND(_D="B-767-400ER",'2024'!$N$4="CA",'2024'!$N$2=BP385),'2024DATA'!$K$11,"")</f>
        <v/>
      </c>
      <c r="BQ394" s="518" t="str">
        <f>IF(AND(_D="B-767-400ER",'2024'!$N$4="CA",'2024'!$N$2=BQ385),'2024DATA'!$L$11,"")</f>
        <v/>
      </c>
      <c r="BR394" s="518" t="str">
        <f>IF(AND(_D="B-767-400ER",'2024'!$N$4="CA",'2024'!$N$2=BR385),'2024DATA'!$M$11,"")</f>
        <v/>
      </c>
      <c r="BS394" s="520" t="str">
        <f>IF(AND(_D="B-767-400ER",'2024'!$N$4="CA",'2024'!$N$2=BS385),'2024DATA'!$N$11,"")</f>
        <v/>
      </c>
      <c r="BT394" s="940" t="s">
        <v>42</v>
      </c>
      <c r="BU394" s="13" t="s">
        <v>61</v>
      </c>
      <c r="BV394" s="518" t="str">
        <f>IF(AND(_E="B-767-400ER",'2024'!$N$4="CA",'2024'!$N$2=BV385),'2024DATA'!$C$11,"")</f>
        <v/>
      </c>
      <c r="BW394" s="518" t="str">
        <f>IF(AND(_E="B-767-400ER",'2024'!$N$4="CA",'2024'!$N$2=BW385),'2024DATA'!$D$11,"")</f>
        <v/>
      </c>
      <c r="BX394" s="518" t="str">
        <f>IF(AND(_E="B-767-400ER",'2024'!$N$4="CA",'2024'!$N$2=BX385),'2024DATA'!$E$11,"")</f>
        <v/>
      </c>
      <c r="BY394" s="518" t="str">
        <f>IF(AND(_E="B-767-400ER",'2024'!$N$4="CA",'2024'!$N$2=BY385),'2024DATA'!$F$11,"")</f>
        <v/>
      </c>
      <c r="BZ394" s="518" t="str">
        <f>IF(AND(_E="B-767-400ER",'2024'!$N$4="CA",'2024'!$N$2=BZ385),'2024DATA'!$G$11,"")</f>
        <v/>
      </c>
      <c r="CA394" s="518" t="str">
        <f>IF(AND(_E="B-767-400ER",'2024'!$N$4="CA",'2024'!$N$2=CA385),'2024DATA'!$H$11,"")</f>
        <v/>
      </c>
      <c r="CB394" s="518" t="str">
        <f>IF(AND(_E="B-767-400ER",'2024'!$N$4="CA",'2024'!$N$2=CB385),'2024DATA'!$I$11,"")</f>
        <v/>
      </c>
      <c r="CC394" s="518" t="str">
        <f>IF(AND(_E="B-767-400ER",'2024'!$N$4="CA",'2024'!$N$2=CC385),'2024DATA'!$J$11,"")</f>
        <v/>
      </c>
      <c r="CD394" s="518" t="str">
        <f>IF(AND(_E="B-767-400ER",'2024'!$N$4="CA",'2024'!$N$2=CD385),'2024DATA'!$K$11,"")</f>
        <v/>
      </c>
      <c r="CE394" s="518" t="str">
        <f>IF(AND(_E="B-767-400ER",'2024'!$N$4="CA",'2024'!$N$2=CE385),'2024DATA'!$L$11,"")</f>
        <v/>
      </c>
      <c r="CF394" s="518" t="str">
        <f>IF(AND(_E="B-767-400ER",'2024'!$N$4="CA",'2024'!$N$2=CF385),'2024DATA'!$M$11,"")</f>
        <v/>
      </c>
      <c r="CG394" s="520" t="str">
        <f>IF(AND(_E="B-767-400ER",'2024'!$N$4="CA",'2024'!$N$2=CG385),'2024DATA'!$N$11,"")</f>
        <v/>
      </c>
      <c r="CH394" s="940" t="s">
        <v>42</v>
      </c>
      <c r="CI394" s="13" t="s">
        <v>61</v>
      </c>
      <c r="CJ394" s="518" t="str">
        <f>IF(AND(_F="B-767-400ER",'2024'!$N$4="CA",'2024'!$N$2=CJ385),'2024DATA'!$C$11,"")</f>
        <v/>
      </c>
      <c r="CK394" s="518" t="str">
        <f>IF(AND(_F="B-767-400ER",'2024'!$N$4="CA",'2024'!$N$2=CK385),'2024DATA'!$D$11,"")</f>
        <v/>
      </c>
      <c r="CL394" s="518" t="str">
        <f>IF(AND(_F="B-767-400ER",'2024'!$N$4="CA",'2024'!$N$2=CL385),'2024DATA'!$E$11,"")</f>
        <v/>
      </c>
      <c r="CM394" s="518" t="str">
        <f>IF(AND(_F="B-767-400ER",'2024'!$N$4="CA",'2024'!$N$2=CM385),'2024DATA'!$F$11,"")</f>
        <v/>
      </c>
      <c r="CN394" s="518" t="str">
        <f>IF(AND(_F="B-767-400ER",'2024'!$N$4="CA",'2024'!$N$2=CN385),'2024DATA'!$G$11,"")</f>
        <v/>
      </c>
      <c r="CO394" s="518" t="str">
        <f>IF(AND(_F="B-767-400ER",'2024'!$N$4="CA",'2024'!$N$2=CO385),'2024DATA'!$H$11,"")</f>
        <v/>
      </c>
      <c r="CP394" s="518" t="str">
        <f>IF(AND(_F="B-767-400ER",'2024'!$N$4="CA",'2024'!$N$2=CP385),'2024DATA'!$I$11,"")</f>
        <v/>
      </c>
      <c r="CQ394" s="518" t="str">
        <f>IF(AND(_F="B-767-400ER",'2024'!$N$4="CA",'2024'!$N$2=CQ385),'2024DATA'!$J$11,"")</f>
        <v/>
      </c>
      <c r="CR394" s="518" t="str">
        <f>IF(AND(_F="B-767-400ER",'2024'!$N$4="CA",'2024'!$N$2=CR385),'2024DATA'!$K$11,"")</f>
        <v/>
      </c>
      <c r="CS394" s="518" t="str">
        <f>IF(AND(_F="B-767-400ER",'2024'!$N$4="CA",'2024'!$N$2=CS385),'2024DATA'!$L$11,"")</f>
        <v/>
      </c>
      <c r="CT394" s="518" t="str">
        <f>IF(AND(_F="B-767-400ER",'2024'!$N$4="CA",'2024'!$N$2=CT385),'2024DATA'!$M$11,"")</f>
        <v/>
      </c>
      <c r="CU394" s="520" t="str">
        <f>IF(AND(_F="B-767-400ER",'2024'!$N$4="CA",'2024'!$N$2=CU385),'2024DATA'!$N$11,"")</f>
        <v/>
      </c>
    </row>
    <row r="395" spans="16:99" x14ac:dyDescent="0.25">
      <c r="P395" s="940"/>
      <c r="Q395" s="13" t="s">
        <v>62</v>
      </c>
      <c r="R395" s="518" t="str">
        <f>IF(AND(_A="B-767-400ER",'2024'!$N$4="FO",'2024'!$N$2=R385),'2024DATA'!$C$12,"")</f>
        <v/>
      </c>
      <c r="S395" s="518" t="str">
        <f>IF(AND(_A="B-767-400ER",'2024'!$N$4="FO",'2024'!$N$2=S385),'2024DATA'!$D$12,"")</f>
        <v/>
      </c>
      <c r="T395" s="518" t="str">
        <f>IF(AND(_A="B-767-400ER",'2024'!$N$4="FO",'2024'!$N$2=T385),'2024DATA'!$E$12,"")</f>
        <v/>
      </c>
      <c r="U395" s="518" t="str">
        <f>IF(AND(_A="B-767-400ER",'2024'!$N$4="FO",'2024'!$N$2=U385),'2024DATA'!$F$12,"")</f>
        <v/>
      </c>
      <c r="V395" s="518" t="str">
        <f>IF(AND(_A="B-767-400ER",'2024'!$N$4="FO",'2024'!$N$2=V385),'2024DATA'!$G$12,"")</f>
        <v/>
      </c>
      <c r="W395" s="518" t="str">
        <f>IF(AND(_A="B-767-400ER",'2024'!$N$4="FO",'2024'!$N$2=W385),'2024DATA'!$H$12,"")</f>
        <v/>
      </c>
      <c r="X395" s="518" t="str">
        <f>IF(AND(_A="B-767-400ER",'2024'!$N$4="FO",'2024'!$N$2=X385),'2024DATA'!$I$12,"")</f>
        <v/>
      </c>
      <c r="Y395" s="518" t="str">
        <f>IF(AND(_A="B-767-400ER",'2024'!$N$4="FO",'2024'!$N$2=Y385),'2024DATA'!$J$12,"")</f>
        <v/>
      </c>
      <c r="Z395" s="518" t="str">
        <f>IF(AND(_A="B-767-400ER",'2024'!$N$4="FO",'2024'!$N$2=Z385),'2024DATA'!$K$12,"")</f>
        <v/>
      </c>
      <c r="AA395" s="518" t="str">
        <f>IF(AND(_A="B-767-400ER",'2024'!$N$4="FO",'2024'!$N$2=AA385),'2024DATA'!$L$12,"")</f>
        <v/>
      </c>
      <c r="AB395" s="518" t="str">
        <f>IF(AND(_A="B-767-400ER",'2024'!$N$4="FO",'2024'!$N$2=AB385),'2024DATA'!$M$12,"")</f>
        <v/>
      </c>
      <c r="AC395" s="520" t="str">
        <f>IF(AND(_A="B-767-400ER",'2024'!$N$4="FO",'2024'!$N$2=AC385),'2024DATA'!$N$12,"")</f>
        <v/>
      </c>
      <c r="AD395" s="940"/>
      <c r="AE395" s="13" t="s">
        <v>62</v>
      </c>
      <c r="AF395" s="518" t="str">
        <f>IF(AND(_B="B-767-400ER",'2024'!$N$4="FO",'2024'!$N$2=AF385),'2024DATA'!$C$12,"")</f>
        <v/>
      </c>
      <c r="AG395" s="518" t="str">
        <f>IF(AND(_B="B-767-400ER",'2024'!$N$4="FO",'2024'!$N$2=AG385),'2024DATA'!$D$12,"")</f>
        <v/>
      </c>
      <c r="AH395" s="518" t="str">
        <f>IF(AND(_B="B-767-400ER",'2024'!$N$4="FO",'2024'!$N$2=AH385),'2024DATA'!$E$12,"")</f>
        <v/>
      </c>
      <c r="AI395" s="518" t="str">
        <f>IF(AND(_B="B-767-400ER",'2024'!$N$4="FO",'2024'!$N$2=AI385),'2024DATA'!$F$12,"")</f>
        <v/>
      </c>
      <c r="AJ395" s="518" t="str">
        <f>IF(AND(_B="B-767-400ER",'2024'!$N$4="FO",'2024'!$N$2=AJ385),'2024DATA'!$G$12,"")</f>
        <v/>
      </c>
      <c r="AK395" s="518" t="str">
        <f>IF(AND(_B="B-767-400ER",'2024'!$N$4="FO",'2024'!$N$2=AK385),'2024DATA'!$H$12,"")</f>
        <v/>
      </c>
      <c r="AL395" s="518" t="str">
        <f>IF(AND(_B="B-767-400ER",'2024'!$N$4="FO",'2024'!$N$2=AL385),'2024DATA'!$I$12,"")</f>
        <v/>
      </c>
      <c r="AM395" s="518" t="str">
        <f>IF(AND(_B="B-767-400ER",'2024'!$N$4="FO",'2024'!$N$2=AM385),'2024DATA'!$J$12,"")</f>
        <v/>
      </c>
      <c r="AN395" s="518" t="str">
        <f>IF(AND(_B="B-767-400ER",'2024'!$N$4="FO",'2024'!$N$2=AN385),'2024DATA'!$K$12,"")</f>
        <v/>
      </c>
      <c r="AO395" s="518" t="str">
        <f>IF(AND(_B="B-767-400ER",'2024'!$N$4="FO",'2024'!$N$2=AO385),'2024DATA'!$L$12,"")</f>
        <v/>
      </c>
      <c r="AP395" s="518" t="str">
        <f>IF(AND(_B="B-767-400ER",'2024'!$N$4="FO",'2024'!$N$2=AP385),'2024DATA'!$M$12,"")</f>
        <v/>
      </c>
      <c r="AQ395" s="520" t="str">
        <f>IF(AND(_B="B-767-400ER",'2024'!$N$4="FO",'2024'!$N$2=AQ385),'2024DATA'!$N$12,"")</f>
        <v/>
      </c>
      <c r="AR395" s="940"/>
      <c r="AS395" s="13" t="s">
        <v>62</v>
      </c>
      <c r="AT395" s="518" t="str">
        <f>IF(AND(_C="B-767-400ER",'2024'!$N$4="FO",'2024'!$N$2=AT385),'2024DATA'!$C$12,"")</f>
        <v/>
      </c>
      <c r="AU395" s="518" t="str">
        <f>IF(AND(_C="B-767-400ER",'2024'!$N$4="FO",'2024'!$N$2=AU385),'2024DATA'!$D$12,"")</f>
        <v/>
      </c>
      <c r="AV395" s="518" t="str">
        <f>IF(AND(_C="B-767-400ER",'2024'!$N$4="FO",'2024'!$N$2=AV385),'2024DATA'!$E$12,"")</f>
        <v/>
      </c>
      <c r="AW395" s="518" t="str">
        <f>IF(AND(_C="B-767-400ER",'2024'!$N$4="FO",'2024'!$N$2=AW385),'2024DATA'!$F$12,"")</f>
        <v/>
      </c>
      <c r="AX395" s="518" t="str">
        <f>IF(AND(_C="B-767-400ER",'2024'!$N$4="FO",'2024'!$N$2=AX385),'2024DATA'!$G$12,"")</f>
        <v/>
      </c>
      <c r="AY395" s="518" t="str">
        <f>IF(AND(_C="B-767-400ER",'2024'!$N$4="FO",'2024'!$N$2=AY385),'2024DATA'!$H$12,"")</f>
        <v/>
      </c>
      <c r="AZ395" s="518" t="str">
        <f>IF(AND(_C="B-767-400ER",'2024'!$N$4="FO",'2024'!$N$2=AZ385),'2024DATA'!$I$12,"")</f>
        <v/>
      </c>
      <c r="BA395" s="518" t="str">
        <f>IF(AND(_C="B-767-400ER",'2024'!$N$4="FO",'2024'!$N$2=BA385),'2024DATA'!$J$12,"")</f>
        <v/>
      </c>
      <c r="BB395" s="518" t="str">
        <f>IF(AND(_C="B-767-400ER",'2024'!$N$4="FO",'2024'!$N$2=BB385),'2024DATA'!$K$12,"")</f>
        <v/>
      </c>
      <c r="BC395" s="518" t="str">
        <f>IF(AND(_C="B-767-400ER",'2024'!$N$4="FO",'2024'!$N$2=BC385),'2024DATA'!$L$12,"")</f>
        <v/>
      </c>
      <c r="BD395" s="518" t="str">
        <f>IF(AND(_C="B-767-400ER",'2024'!$N$4="FO",'2024'!$N$2=BD385),'2024DATA'!$M$12,"")</f>
        <v/>
      </c>
      <c r="BE395" s="520" t="str">
        <f>IF(AND(_C="B-767-400ER",'2024'!$N$4="FO",'2024'!$N$2=BE385),'2024DATA'!$N$12,"")</f>
        <v/>
      </c>
      <c r="BF395" s="940"/>
      <c r="BG395" s="13" t="s">
        <v>62</v>
      </c>
      <c r="BH395" s="518" t="str">
        <f>IF(AND(_D="B-767-400ER",'2024'!$N$4="FO",'2024'!$N$2=BH385),'2024DATA'!$C$12,"")</f>
        <v/>
      </c>
      <c r="BI395" s="518" t="str">
        <f>IF(AND(_D="B-767-400ER",'2024'!$N$4="FO",'2024'!$N$2=BI385),'2024DATA'!$D$12,"")</f>
        <v/>
      </c>
      <c r="BJ395" s="518" t="str">
        <f>IF(AND(_D="B-767-400ER",'2024'!$N$4="FO",'2024'!$N$2=BJ385),'2024DATA'!$E$12,"")</f>
        <v/>
      </c>
      <c r="BK395" s="518" t="str">
        <f>IF(AND(_D="B-767-400ER",'2024'!$N$4="FO",'2024'!$N$2=BK385),'2024DATA'!$F$12,"")</f>
        <v/>
      </c>
      <c r="BL395" s="518" t="str">
        <f>IF(AND(_D="B-767-400ER",'2024'!$N$4="FO",'2024'!$N$2=BL385),'2024DATA'!$G$12,"")</f>
        <v/>
      </c>
      <c r="BM395" s="518" t="str">
        <f>IF(AND(_D="B-767-400ER",'2024'!$N$4="FO",'2024'!$N$2=BM385),'2024DATA'!$H$12,"")</f>
        <v/>
      </c>
      <c r="BN395" s="518" t="str">
        <f>IF(AND(_D="B-767-400ER",'2024'!$N$4="FO",'2024'!$N$2=BN385),'2024DATA'!$I$12,"")</f>
        <v/>
      </c>
      <c r="BO395" s="518" t="str">
        <f>IF(AND(_D="B-767-400ER",'2024'!$N$4="FO",'2024'!$N$2=BO385),'2024DATA'!$J$12,"")</f>
        <v/>
      </c>
      <c r="BP395" s="518" t="str">
        <f>IF(AND(_D="B-767-400ER",'2024'!$N$4="FO",'2024'!$N$2=BP385),'2024DATA'!$K$12,"")</f>
        <v/>
      </c>
      <c r="BQ395" s="518" t="str">
        <f>IF(AND(_D="B-767-400ER",'2024'!$N$4="FO",'2024'!$N$2=BQ385),'2024DATA'!$L$12,"")</f>
        <v/>
      </c>
      <c r="BR395" s="518" t="str">
        <f>IF(AND(_D="B-767-400ER",'2024'!$N$4="FO",'2024'!$N$2=BR385),'2024DATA'!$M$12,"")</f>
        <v/>
      </c>
      <c r="BS395" s="520" t="str">
        <f>IF(AND(_D="B-767-400ER",'2024'!$N$4="FO",'2024'!$N$2=BS385),'2024DATA'!$N$12,"")</f>
        <v/>
      </c>
      <c r="BT395" s="940"/>
      <c r="BU395" s="13" t="s">
        <v>62</v>
      </c>
      <c r="BV395" s="518" t="str">
        <f>IF(AND(_E="B-767-400ER",'2024'!$N$4="FO",'2024'!$N$2=BV385),'2024DATA'!$C$12,"")</f>
        <v/>
      </c>
      <c r="BW395" s="518" t="str">
        <f>IF(AND(_E="B-767-400ER",'2024'!$N$4="FO",'2024'!$N$2=BW385),'2024DATA'!$D$12,"")</f>
        <v/>
      </c>
      <c r="BX395" s="518" t="str">
        <f>IF(AND(_E="B-767-400ER",'2024'!$N$4="FO",'2024'!$N$2=BX385),'2024DATA'!$E$12,"")</f>
        <v/>
      </c>
      <c r="BY395" s="518" t="str">
        <f>IF(AND(_E="B-767-400ER",'2024'!$N$4="FO",'2024'!$N$2=BY385),'2024DATA'!$F$12,"")</f>
        <v/>
      </c>
      <c r="BZ395" s="518" t="str">
        <f>IF(AND(_E="B-767-400ER",'2024'!$N$4="FO",'2024'!$N$2=BZ385),'2024DATA'!$G$12,"")</f>
        <v/>
      </c>
      <c r="CA395" s="518" t="str">
        <f>IF(AND(_E="B-767-400ER",'2024'!$N$4="FO",'2024'!$N$2=CA385),'2024DATA'!$H$12,"")</f>
        <v/>
      </c>
      <c r="CB395" s="518" t="str">
        <f>IF(AND(_E="B-767-400ER",'2024'!$N$4="FO",'2024'!$N$2=CB385),'2024DATA'!$I$12,"")</f>
        <v/>
      </c>
      <c r="CC395" s="518" t="str">
        <f>IF(AND(_E="B-767-400ER",'2024'!$N$4="FO",'2024'!$N$2=CC385),'2024DATA'!$J$12,"")</f>
        <v/>
      </c>
      <c r="CD395" s="518" t="str">
        <f>IF(AND(_E="B-767-400ER",'2024'!$N$4="FO",'2024'!$N$2=CD385),'2024DATA'!$K$12,"")</f>
        <v/>
      </c>
      <c r="CE395" s="518" t="str">
        <f>IF(AND(_E="B-767-400ER",'2024'!$N$4="FO",'2024'!$N$2=CE385),'2024DATA'!$L$12,"")</f>
        <v/>
      </c>
      <c r="CF395" s="518" t="str">
        <f>IF(AND(_E="B-767-400ER",'2024'!$N$4="FO",'2024'!$N$2=CF385),'2024DATA'!$M$12,"")</f>
        <v/>
      </c>
      <c r="CG395" s="520" t="str">
        <f>IF(AND(_E="B-767-400ER",'2024'!$N$4="FO",'2024'!$N$2=CG385),'2024DATA'!$N$12,"")</f>
        <v/>
      </c>
      <c r="CH395" s="940"/>
      <c r="CI395" s="13" t="s">
        <v>62</v>
      </c>
      <c r="CJ395" s="518" t="str">
        <f>IF(AND(_F="B-767-400ER",'2024'!$N$4="FO",'2024'!$N$2=CJ385),'2024DATA'!$C$12,"")</f>
        <v/>
      </c>
      <c r="CK395" s="518" t="str">
        <f>IF(AND(_F="B-767-400ER",'2024'!$N$4="FO",'2024'!$N$2=CK385),'2024DATA'!$D$12,"")</f>
        <v/>
      </c>
      <c r="CL395" s="518" t="str">
        <f>IF(AND(_F="B-767-400ER",'2024'!$N$4="FO",'2024'!$N$2=CL385),'2024DATA'!$E$12,"")</f>
        <v/>
      </c>
      <c r="CM395" s="518" t="str">
        <f>IF(AND(_F="B-767-400ER",'2024'!$N$4="FO",'2024'!$N$2=CM385),'2024DATA'!$F$12,"")</f>
        <v/>
      </c>
      <c r="CN395" s="518" t="str">
        <f>IF(AND(_F="B-767-400ER",'2024'!$N$4="FO",'2024'!$N$2=CN385),'2024DATA'!$G$12,"")</f>
        <v/>
      </c>
      <c r="CO395" s="518" t="str">
        <f>IF(AND(_F="B-767-400ER",'2024'!$N$4="FO",'2024'!$N$2=CO385),'2024DATA'!$H$12,"")</f>
        <v/>
      </c>
      <c r="CP395" s="518" t="str">
        <f>IF(AND(_F="B-767-400ER",'2024'!$N$4="FO",'2024'!$N$2=CP385),'2024DATA'!$I$12,"")</f>
        <v/>
      </c>
      <c r="CQ395" s="518" t="str">
        <f>IF(AND(_F="B-767-400ER",'2024'!$N$4="FO",'2024'!$N$2=CQ385),'2024DATA'!$J$12,"")</f>
        <v/>
      </c>
      <c r="CR395" s="518" t="str">
        <f>IF(AND(_F="B-767-400ER",'2024'!$N$4="FO",'2024'!$N$2=CR385),'2024DATA'!$K$12,"")</f>
        <v/>
      </c>
      <c r="CS395" s="518" t="str">
        <f>IF(AND(_F="B-767-400ER",'2024'!$N$4="FO",'2024'!$N$2=CS385),'2024DATA'!$L$12,"")</f>
        <v/>
      </c>
      <c r="CT395" s="518" t="str">
        <f>IF(AND(_F="B-767-400ER",'2024'!$N$4="FO",'2024'!$N$2=CT385),'2024DATA'!$M$12,"")</f>
        <v/>
      </c>
      <c r="CU395" s="520" t="str">
        <f>IF(AND(_F="B-767-400ER",'2024'!$N$4="FO",'2024'!$N$2=CU385),'2024DATA'!$N$12,"")</f>
        <v/>
      </c>
    </row>
    <row r="396" spans="16:99" x14ac:dyDescent="0.25">
      <c r="P396" s="940" t="s">
        <v>43</v>
      </c>
      <c r="Q396" s="13" t="s">
        <v>61</v>
      </c>
      <c r="R396" s="518" t="str">
        <f>IF(AND(_A="B-767-300ER",'2024'!$N$4="CA",'2024'!$N$2=R385),'2024DATA'!$C$13,"")</f>
        <v/>
      </c>
      <c r="S396" s="518" t="str">
        <f>IF(AND(_A="B-767-300ER",'2024'!$N$4="CA",'2024'!$N$2=S385),'2024DATA'!$D$13,"")</f>
        <v/>
      </c>
      <c r="T396" s="518" t="str">
        <f>IF(AND(_A="B-767-300ER",'2024'!$N$4="CA",'2024'!$N$2=T385),'2024DATA'!$E$13,"")</f>
        <v/>
      </c>
      <c r="U396" s="518" t="str">
        <f>IF(AND(_A="B-767-300ER",'2024'!$N$4="CA",'2024'!$N$2=U385),'2024DATA'!$F$13,"")</f>
        <v/>
      </c>
      <c r="V396" s="518" t="str">
        <f>IF(AND(_A="B-767-300ER",'2024'!$N$4="CA",'2024'!$N$2=V385),'2024DATA'!$G$13,"")</f>
        <v/>
      </c>
      <c r="W396" s="518" t="str">
        <f>IF(AND(_A="B-767-300ER",'2024'!$N$4="CA",'2024'!$N$2=W385),'2024DATA'!$H$13,"")</f>
        <v/>
      </c>
      <c r="X396" s="518" t="str">
        <f>IF(AND(_A="B-767-300ER",'2024'!$N$4="CA",'2024'!$N$2=X385),'2024DATA'!$I$13,"")</f>
        <v/>
      </c>
      <c r="Y396" s="518" t="str">
        <f>IF(AND(_A="B-767-300ER",'2024'!$N$4="CA",'2024'!$N$2=Y385),'2024DATA'!$J$13,"")</f>
        <v/>
      </c>
      <c r="Z396" s="518" t="str">
        <f>IF(AND(_A="B-767-300ER",'2024'!$N$4="CA",'2024'!$N$2=Z385),'2024DATA'!$K$13,"")</f>
        <v/>
      </c>
      <c r="AA396" s="518" t="str">
        <f>IF(AND(_A="B-767-300ER",'2024'!$N$4="CA",'2024'!$N$2=AA385),'2024DATA'!$L$13,"")</f>
        <v/>
      </c>
      <c r="AB396" s="518" t="str">
        <f>IF(AND(_A="B-767-300ER",'2024'!$N$4="CA",'2024'!$N$2=AB385),'2024DATA'!$M$13,"")</f>
        <v/>
      </c>
      <c r="AC396" s="520" t="str">
        <f>IF(AND(_A="B-767-300ER",'2024'!$N$4="CA",'2024'!$N$2=AC385),'2024DATA'!$N$13,"")</f>
        <v/>
      </c>
      <c r="AD396" s="940" t="s">
        <v>43</v>
      </c>
      <c r="AE396" s="13" t="s">
        <v>61</v>
      </c>
      <c r="AF396" s="518" t="str">
        <f>IF(AND(_B="B-767-300ER",'2024'!$N$4="CA",'2024'!$N$2=AF385),'2024DATA'!$C$13,"")</f>
        <v/>
      </c>
      <c r="AG396" s="518" t="str">
        <f>IF(AND(_B="B-767-300ER",'2024'!$N$4="CA",'2024'!$N$2=AG385),'2024DATA'!$D$13,"")</f>
        <v/>
      </c>
      <c r="AH396" s="518" t="str">
        <f>IF(AND(_B="B-767-300ER",'2024'!$N$4="CA",'2024'!$N$2=AH385),'2024DATA'!$E$13,"")</f>
        <v/>
      </c>
      <c r="AI396" s="518" t="str">
        <f>IF(AND(_B="B-767-300ER",'2024'!$N$4="CA",'2024'!$N$2=AI385),'2024DATA'!$F$13,"")</f>
        <v/>
      </c>
      <c r="AJ396" s="518" t="str">
        <f>IF(AND(_B="B-767-300ER",'2024'!$N$4="CA",'2024'!$N$2=AJ385),'2024DATA'!$G$13,"")</f>
        <v/>
      </c>
      <c r="AK396" s="518" t="str">
        <f>IF(AND(_B="B-767-300ER",'2024'!$N$4="CA",'2024'!$N$2=AK385),'2024DATA'!$H$13,"")</f>
        <v/>
      </c>
      <c r="AL396" s="518" t="str">
        <f>IF(AND(_B="B-767-300ER",'2024'!$N$4="CA",'2024'!$N$2=AL385),'2024DATA'!$I$13,"")</f>
        <v/>
      </c>
      <c r="AM396" s="518" t="str">
        <f>IF(AND(_B="B-767-300ER",'2024'!$N$4="CA",'2024'!$N$2=AM385),'2024DATA'!$J$13,"")</f>
        <v/>
      </c>
      <c r="AN396" s="518" t="str">
        <f>IF(AND(_B="B-767-300ER",'2024'!$N$4="CA",'2024'!$N$2=AN385),'2024DATA'!$K$13,"")</f>
        <v/>
      </c>
      <c r="AO396" s="518" t="str">
        <f>IF(AND(_B="B-767-300ER",'2024'!$N$4="CA",'2024'!$N$2=AO385),'2024DATA'!$L$13,"")</f>
        <v/>
      </c>
      <c r="AP396" s="518" t="str">
        <f>IF(AND(_B="B-767-300ER",'2024'!$N$4="CA",'2024'!$N$2=AP385),'2024DATA'!$M$13,"")</f>
        <v/>
      </c>
      <c r="AQ396" s="520" t="str">
        <f>IF(AND(_B="B-767-300ER",'2024'!$N$4="CA",'2024'!$N$2=AQ385),'2024DATA'!$N$13,"")</f>
        <v/>
      </c>
      <c r="AR396" s="940" t="s">
        <v>43</v>
      </c>
      <c r="AS396" s="13" t="s">
        <v>61</v>
      </c>
      <c r="AT396" s="518" t="str">
        <f>IF(AND(_C="B-767-300ER",'2024'!$N$4="CA",'2024'!$N$2=AT385),'2024DATA'!$C$13,"")</f>
        <v/>
      </c>
      <c r="AU396" s="518" t="str">
        <f>IF(AND(_C="B-767-300ER",'2024'!$N$4="CA",'2024'!$N$2=AU385),'2024DATA'!$D$13,"")</f>
        <v/>
      </c>
      <c r="AV396" s="518" t="str">
        <f>IF(AND(_C="B-767-300ER",'2024'!$N$4="CA",'2024'!$N$2=AV385),'2024DATA'!$E$13,"")</f>
        <v/>
      </c>
      <c r="AW396" s="518" t="str">
        <f>IF(AND(_C="B-767-300ER",'2024'!$N$4="CA",'2024'!$N$2=AW385),'2024DATA'!$F$13,"")</f>
        <v/>
      </c>
      <c r="AX396" s="518" t="str">
        <f>IF(AND(_C="B-767-300ER",'2024'!$N$4="CA",'2024'!$N$2=AX385),'2024DATA'!$G$13,"")</f>
        <v/>
      </c>
      <c r="AY396" s="518" t="str">
        <f>IF(AND(_C="B-767-300ER",'2024'!$N$4="CA",'2024'!$N$2=AY385),'2024DATA'!$H$13,"")</f>
        <v/>
      </c>
      <c r="AZ396" s="518" t="str">
        <f>IF(AND(_C="B-767-300ER",'2024'!$N$4="CA",'2024'!$N$2=AZ385),'2024DATA'!$I$13,"")</f>
        <v/>
      </c>
      <c r="BA396" s="518" t="str">
        <f>IF(AND(_C="B-767-300ER",'2024'!$N$4="CA",'2024'!$N$2=BA385),'2024DATA'!$J$13,"")</f>
        <v/>
      </c>
      <c r="BB396" s="518" t="str">
        <f>IF(AND(_C="B-767-300ER",'2024'!$N$4="CA",'2024'!$N$2=BB385),'2024DATA'!$K$13,"")</f>
        <v/>
      </c>
      <c r="BC396" s="518" t="str">
        <f>IF(AND(_C="B-767-300ER",'2024'!$N$4="CA",'2024'!$N$2=BC385),'2024DATA'!$L$13,"")</f>
        <v/>
      </c>
      <c r="BD396" s="518" t="str">
        <f>IF(AND(_C="B-767-300ER",'2024'!$N$4="CA",'2024'!$N$2=BD385),'2024DATA'!$M$13,"")</f>
        <v/>
      </c>
      <c r="BE396" s="520" t="str">
        <f>IF(AND(_C="B-767-300ER",'2024'!$N$4="CA",'2024'!$N$2=BE385),'2024DATA'!$N$13,"")</f>
        <v/>
      </c>
      <c r="BF396" s="940" t="s">
        <v>43</v>
      </c>
      <c r="BG396" s="13" t="s">
        <v>61</v>
      </c>
      <c r="BH396" s="518" t="str">
        <f>IF(AND(_D="B-767-300ER",'2024'!$N$4="CA",'2024'!$N$2=BH385),'2024DATA'!$C$13,"")</f>
        <v/>
      </c>
      <c r="BI396" s="518" t="str">
        <f>IF(AND(_D="B-767-300ER",'2024'!$N$4="CA",'2024'!$N$2=BI385),'2024DATA'!$D$13,"")</f>
        <v/>
      </c>
      <c r="BJ396" s="518" t="str">
        <f>IF(AND(_D="B-767-300ER",'2024'!$N$4="CA",'2024'!$N$2=BJ385),'2024DATA'!$E$13,"")</f>
        <v/>
      </c>
      <c r="BK396" s="518" t="str">
        <f>IF(AND(_D="B-767-300ER",'2024'!$N$4="CA",'2024'!$N$2=BK385),'2024DATA'!$F$13,"")</f>
        <v/>
      </c>
      <c r="BL396" s="518" t="str">
        <f>IF(AND(_D="B-767-300ER",'2024'!$N$4="CA",'2024'!$N$2=BL385),'2024DATA'!$G$13,"")</f>
        <v/>
      </c>
      <c r="BM396" s="518" t="str">
        <f>IF(AND(_D="B-767-300ER",'2024'!$N$4="CA",'2024'!$N$2=BM385),'2024DATA'!$H$13,"")</f>
        <v/>
      </c>
      <c r="BN396" s="518" t="str">
        <f>IF(AND(_D="B-767-300ER",'2024'!$N$4="CA",'2024'!$N$2=BN385),'2024DATA'!$I$13,"")</f>
        <v/>
      </c>
      <c r="BO396" s="518" t="str">
        <f>IF(AND(_D="B-767-300ER",'2024'!$N$4="CA",'2024'!$N$2=BO385),'2024DATA'!$J$13,"")</f>
        <v/>
      </c>
      <c r="BP396" s="518" t="str">
        <f>IF(AND(_D="B-767-300ER",'2024'!$N$4="CA",'2024'!$N$2=BP385),'2024DATA'!$K$13,"")</f>
        <v/>
      </c>
      <c r="BQ396" s="518" t="str">
        <f>IF(AND(_D="B-767-300ER",'2024'!$N$4="CA",'2024'!$N$2=BQ385),'2024DATA'!$L$13,"")</f>
        <v/>
      </c>
      <c r="BR396" s="518" t="str">
        <f>IF(AND(_D="B-767-300ER",'2024'!$N$4="CA",'2024'!$N$2=BR385),'2024DATA'!$M$13,"")</f>
        <v/>
      </c>
      <c r="BS396" s="520" t="str">
        <f>IF(AND(_D="B-767-300ER",'2024'!$N$4="CA",'2024'!$N$2=BS385),'2024DATA'!$N$13,"")</f>
        <v/>
      </c>
      <c r="BT396" s="940" t="s">
        <v>43</v>
      </c>
      <c r="BU396" s="13" t="s">
        <v>61</v>
      </c>
      <c r="BV396" s="518" t="str">
        <f>IF(AND(_E="B-767-300ER",'2024'!$N$4="CA",'2024'!$N$2=BV385),'2024DATA'!$C$13,"")</f>
        <v/>
      </c>
      <c r="BW396" s="518" t="str">
        <f>IF(AND(_E="B-767-300ER",'2024'!$N$4="CA",'2024'!$N$2=BW385),'2024DATA'!$D$13,"")</f>
        <v/>
      </c>
      <c r="BX396" s="518" t="str">
        <f>IF(AND(_E="B-767-300ER",'2024'!$N$4="CA",'2024'!$N$2=BX385),'2024DATA'!$E$13,"")</f>
        <v/>
      </c>
      <c r="BY396" s="518" t="str">
        <f>IF(AND(_E="B-767-300ER",'2024'!$N$4="CA",'2024'!$N$2=BY385),'2024DATA'!$F$13,"")</f>
        <v/>
      </c>
      <c r="BZ396" s="518" t="str">
        <f>IF(AND(_E="B-767-300ER",'2024'!$N$4="CA",'2024'!$N$2=BZ385),'2024DATA'!$G$13,"")</f>
        <v/>
      </c>
      <c r="CA396" s="518" t="str">
        <f>IF(AND(_E="B-767-300ER",'2024'!$N$4="CA",'2024'!$N$2=CA385),'2024DATA'!$H$13,"")</f>
        <v/>
      </c>
      <c r="CB396" s="518" t="str">
        <f>IF(AND(_E="B-767-300ER",'2024'!$N$4="CA",'2024'!$N$2=CB385),'2024DATA'!$I$13,"")</f>
        <v/>
      </c>
      <c r="CC396" s="518" t="str">
        <f>IF(AND(_E="B-767-300ER",'2024'!$N$4="CA",'2024'!$N$2=CC385),'2024DATA'!$J$13,"")</f>
        <v/>
      </c>
      <c r="CD396" s="518" t="str">
        <f>IF(AND(_E="B-767-300ER",'2024'!$N$4="CA",'2024'!$N$2=CD385),'2024DATA'!$K$13,"")</f>
        <v/>
      </c>
      <c r="CE396" s="518" t="str">
        <f>IF(AND(_E="B-767-300ER",'2024'!$N$4="CA",'2024'!$N$2=CE385),'2024DATA'!$L$13,"")</f>
        <v/>
      </c>
      <c r="CF396" s="518" t="str">
        <f>IF(AND(_E="B-767-300ER",'2024'!$N$4="CA",'2024'!$N$2=CF385),'2024DATA'!$M$13,"")</f>
        <v/>
      </c>
      <c r="CG396" s="520" t="str">
        <f>IF(AND(_E="B-767-300ER",'2024'!$N$4="CA",'2024'!$N$2=CG385),'2024DATA'!$N$13,"")</f>
        <v/>
      </c>
      <c r="CH396" s="940" t="s">
        <v>43</v>
      </c>
      <c r="CI396" s="13" t="s">
        <v>61</v>
      </c>
      <c r="CJ396" s="518" t="str">
        <f>IF(AND(_F="B-767-300ER",'2024'!$N$4="CA",'2024'!$N$2=CJ385),'2024DATA'!$C$13,"")</f>
        <v/>
      </c>
      <c r="CK396" s="518" t="str">
        <f>IF(AND(_F="B-767-300ER",'2024'!$N$4="CA",'2024'!$N$2=CK385),'2024DATA'!$D$13,"")</f>
        <v/>
      </c>
      <c r="CL396" s="518" t="str">
        <f>IF(AND(_F="B-767-300ER",'2024'!$N$4="CA",'2024'!$N$2=CL385),'2024DATA'!$E$13,"")</f>
        <v/>
      </c>
      <c r="CM396" s="518" t="str">
        <f>IF(AND(_F="B-767-300ER",'2024'!$N$4="CA",'2024'!$N$2=CM385),'2024DATA'!$F$13,"")</f>
        <v/>
      </c>
      <c r="CN396" s="518" t="str">
        <f>IF(AND(_F="B-767-300ER",'2024'!$N$4="CA",'2024'!$N$2=CN385),'2024DATA'!$G$13,"")</f>
        <v/>
      </c>
      <c r="CO396" s="518" t="str">
        <f>IF(AND(_F="B-767-300ER",'2024'!$N$4="CA",'2024'!$N$2=CO385),'2024DATA'!$H$13,"")</f>
        <v/>
      </c>
      <c r="CP396" s="518" t="str">
        <f>IF(AND(_F="B-767-300ER",'2024'!$N$4="CA",'2024'!$N$2=CP385),'2024DATA'!$I$13,"")</f>
        <v/>
      </c>
      <c r="CQ396" s="518" t="str">
        <f>IF(AND(_F="B-767-300ER",'2024'!$N$4="CA",'2024'!$N$2=CQ385),'2024DATA'!$J$13,"")</f>
        <v/>
      </c>
      <c r="CR396" s="518" t="str">
        <f>IF(AND(_F="B-767-300ER",'2024'!$N$4="CA",'2024'!$N$2=CR385),'2024DATA'!$K$13,"")</f>
        <v/>
      </c>
      <c r="CS396" s="518" t="str">
        <f>IF(AND(_F="B-767-300ER",'2024'!$N$4="CA",'2024'!$N$2=CS385),'2024DATA'!$L$13,"")</f>
        <v/>
      </c>
      <c r="CT396" s="518" t="str">
        <f>IF(AND(_F="B-767-300ER",'2024'!$N$4="CA",'2024'!$N$2=CT385),'2024DATA'!$M$13,"")</f>
        <v/>
      </c>
      <c r="CU396" s="520" t="str">
        <f>IF(AND(_F="B-767-300ER",'2024'!$N$4="CA",'2024'!$N$2=CU385),'2024DATA'!$N$13,"")</f>
        <v/>
      </c>
    </row>
    <row r="397" spans="16:99" x14ac:dyDescent="0.25">
      <c r="P397" s="940"/>
      <c r="Q397" s="13" t="s">
        <v>62</v>
      </c>
      <c r="R397" s="518" t="str">
        <f>IF(AND(_A="B-767-300ER",'2024'!$N$4="FO",'2024'!$N$2=R385),'2024DATA'!$C$14,"")</f>
        <v/>
      </c>
      <c r="S397" s="518" t="str">
        <f>IF(AND(_A="B-767-300ER",'2024'!$N$4="FO",'2024'!$N$2=S385),'2024DATA'!$D$14,"")</f>
        <v/>
      </c>
      <c r="T397" s="518" t="str">
        <f>IF(AND(_A="B-767-300ER",'2024'!$N$4="FO",'2024'!$N$2=T385),'2024DATA'!$E$14,"")</f>
        <v/>
      </c>
      <c r="U397" s="518" t="str">
        <f>IF(AND(_A="B-767-300ER",'2024'!$N$4="FO",'2024'!$N$2=U385),'2024DATA'!$F$14,"")</f>
        <v/>
      </c>
      <c r="V397" s="518" t="str">
        <f>IF(AND(_A="B-767-300ER",'2024'!$N$4="FO",'2024'!$N$2=V385),'2024DATA'!$G$14,"")</f>
        <v/>
      </c>
      <c r="W397" s="518" t="str">
        <f>IF(AND(_A="B-767-300ER",'2024'!$N$4="FO",'2024'!$N$2=W385),'2024DATA'!$H$14,"")</f>
        <v/>
      </c>
      <c r="X397" s="518" t="str">
        <f>IF(AND(_A="B-767-300ER",'2024'!$N$4="FO",'2024'!$N$2=X385),'2024DATA'!$I$14,"")</f>
        <v/>
      </c>
      <c r="Y397" s="518" t="str">
        <f>IF(AND(_A="B-767-300ER",'2024'!$N$4="FO",'2024'!$N$2=Y385),'2024DATA'!$J$14,"")</f>
        <v/>
      </c>
      <c r="Z397" s="518" t="str">
        <f>IF(AND(_A="B-767-300ER",'2024'!$N$4="FO",'2024'!$N$2=Z385),'2024DATA'!$K$14,"")</f>
        <v/>
      </c>
      <c r="AA397" s="518" t="str">
        <f>IF(AND(_A="B-767-300ER",'2024'!$N$4="FO",'2024'!$N$2=AA385),'2024DATA'!$L$14,"")</f>
        <v/>
      </c>
      <c r="AB397" s="518" t="str">
        <f>IF(AND(_A="B-767-300ER",'2024'!$N$4="FO",'2024'!$N$2=AB385),'2024DATA'!$M$14,"")</f>
        <v/>
      </c>
      <c r="AC397" s="520" t="str">
        <f>IF(AND(_A="B-767-300ER",'2024'!$N$4="FO",'2024'!$N$2=AC385),'2024DATA'!$N$14,"")</f>
        <v/>
      </c>
      <c r="AD397" s="940"/>
      <c r="AE397" s="13" t="s">
        <v>62</v>
      </c>
      <c r="AF397" s="518" t="str">
        <f>IF(AND(_B="B-767-300ER",'2024'!$N$4="FO",'2024'!$N$2=AF385),'2024DATA'!$C$14,"")</f>
        <v/>
      </c>
      <c r="AG397" s="518" t="str">
        <f>IF(AND(_B="B-767-300ER",'2024'!$N$4="FO",'2024'!$N$2=AG385),'2024DATA'!$D$14,"")</f>
        <v/>
      </c>
      <c r="AH397" s="518" t="str">
        <f>IF(AND(_B="B-767-300ER",'2024'!$N$4="FO",'2024'!$N$2=AH385),'2024DATA'!$E$14,"")</f>
        <v/>
      </c>
      <c r="AI397" s="518" t="str">
        <f>IF(AND(_B="B-767-300ER",'2024'!$N$4="FO",'2024'!$N$2=AI385),'2024DATA'!$F$14,"")</f>
        <v/>
      </c>
      <c r="AJ397" s="518" t="str">
        <f>IF(AND(_B="B-767-300ER",'2024'!$N$4="FO",'2024'!$N$2=AJ385),'2024DATA'!$G$14,"")</f>
        <v/>
      </c>
      <c r="AK397" s="518" t="str">
        <f>IF(AND(_B="B-767-300ER",'2024'!$N$4="FO",'2024'!$N$2=AK385),'2024DATA'!$H$14,"")</f>
        <v/>
      </c>
      <c r="AL397" s="518" t="str">
        <f>IF(AND(_B="B-767-300ER",'2024'!$N$4="FO",'2024'!$N$2=AL385),'2024DATA'!$I$14,"")</f>
        <v/>
      </c>
      <c r="AM397" s="518" t="str">
        <f>IF(AND(_B="B-767-300ER",'2024'!$N$4="FO",'2024'!$N$2=AM385),'2024DATA'!$J$14,"")</f>
        <v/>
      </c>
      <c r="AN397" s="518" t="str">
        <f>IF(AND(_B="B-767-300ER",'2024'!$N$4="FO",'2024'!$N$2=AN385),'2024DATA'!$K$14,"")</f>
        <v/>
      </c>
      <c r="AO397" s="518" t="str">
        <f>IF(AND(_B="B-767-300ER",'2024'!$N$4="FO",'2024'!$N$2=AO385),'2024DATA'!$L$14,"")</f>
        <v/>
      </c>
      <c r="AP397" s="518" t="str">
        <f>IF(AND(_B="B-767-300ER",'2024'!$N$4="FO",'2024'!$N$2=AP385),'2024DATA'!$M$14,"")</f>
        <v/>
      </c>
      <c r="AQ397" s="520" t="str">
        <f>IF(AND(_B="B-767-300ER",'2024'!$N$4="FO",'2024'!$N$2=AQ385),'2024DATA'!$N$14,"")</f>
        <v/>
      </c>
      <c r="AR397" s="940"/>
      <c r="AS397" s="13" t="s">
        <v>62</v>
      </c>
      <c r="AT397" s="518" t="str">
        <f>IF(AND(_C="B-767-300ER",'2024'!$N$4="FO",'2024'!$N$2=AT385),'2024DATA'!$C$14,"")</f>
        <v/>
      </c>
      <c r="AU397" s="518" t="str">
        <f>IF(AND(_C="B-767-300ER",'2024'!$N$4="FO",'2024'!$N$2=AU385),'2024DATA'!$D$14,"")</f>
        <v/>
      </c>
      <c r="AV397" s="518" t="str">
        <f>IF(AND(_C="B-767-300ER",'2024'!$N$4="FO",'2024'!$N$2=AV385),'2024DATA'!$E$14,"")</f>
        <v/>
      </c>
      <c r="AW397" s="518" t="str">
        <f>IF(AND(_C="B-767-300ER",'2024'!$N$4="FO",'2024'!$N$2=AW385),'2024DATA'!$F$14,"")</f>
        <v/>
      </c>
      <c r="AX397" s="518" t="str">
        <f>IF(AND(_C="B-767-300ER",'2024'!$N$4="FO",'2024'!$N$2=AX385),'2024DATA'!$G$14,"")</f>
        <v/>
      </c>
      <c r="AY397" s="518" t="str">
        <f>IF(AND(_C="B-767-300ER",'2024'!$N$4="FO",'2024'!$N$2=AY385),'2024DATA'!$H$14,"")</f>
        <v/>
      </c>
      <c r="AZ397" s="518" t="str">
        <f>IF(AND(_C="B-767-300ER",'2024'!$N$4="FO",'2024'!$N$2=AZ385),'2024DATA'!$I$14,"")</f>
        <v/>
      </c>
      <c r="BA397" s="518" t="str">
        <f>IF(AND(_C="B-767-300ER",'2024'!$N$4="FO",'2024'!$N$2=BA385),'2024DATA'!$J$14,"")</f>
        <v/>
      </c>
      <c r="BB397" s="518" t="str">
        <f>IF(AND(_C="B-767-300ER",'2024'!$N$4="FO",'2024'!$N$2=BB385),'2024DATA'!$K$14,"")</f>
        <v/>
      </c>
      <c r="BC397" s="518" t="str">
        <f>IF(AND(_C="B-767-300ER",'2024'!$N$4="FO",'2024'!$N$2=BC385),'2024DATA'!$L$14,"")</f>
        <v/>
      </c>
      <c r="BD397" s="518" t="str">
        <f>IF(AND(_C="B-767-300ER",'2024'!$N$4="FO",'2024'!$N$2=BD385),'2024DATA'!$M$14,"")</f>
        <v/>
      </c>
      <c r="BE397" s="520" t="str">
        <f>IF(AND(_C="B-767-300ER",'2024'!$N$4="FO",'2024'!$N$2=BE385),'2024DATA'!$N$14,"")</f>
        <v/>
      </c>
      <c r="BF397" s="940"/>
      <c r="BG397" s="13" t="s">
        <v>62</v>
      </c>
      <c r="BH397" s="518" t="str">
        <f>IF(AND(_D="B-767-300ER",'2024'!$N$4="FO",'2024'!$N$2=BH385),'2024DATA'!$C$14,"")</f>
        <v/>
      </c>
      <c r="BI397" s="518" t="str">
        <f>IF(AND(_D="B-767-300ER",'2024'!$N$4="FO",'2024'!$N$2=BI385),'2024DATA'!$D$14,"")</f>
        <v/>
      </c>
      <c r="BJ397" s="518" t="str">
        <f>IF(AND(_D="B-767-300ER",'2024'!$N$4="FO",'2024'!$N$2=BJ385),'2024DATA'!$E$14,"")</f>
        <v/>
      </c>
      <c r="BK397" s="518" t="str">
        <f>IF(AND(_D="B-767-300ER",'2024'!$N$4="FO",'2024'!$N$2=BK385),'2024DATA'!$F$14,"")</f>
        <v/>
      </c>
      <c r="BL397" s="518" t="str">
        <f>IF(AND(_D="B-767-300ER",'2024'!$N$4="FO",'2024'!$N$2=BL385),'2024DATA'!$G$14,"")</f>
        <v/>
      </c>
      <c r="BM397" s="518" t="str">
        <f>IF(AND(_D="B-767-300ER",'2024'!$N$4="FO",'2024'!$N$2=BM385),'2024DATA'!$H$14,"")</f>
        <v/>
      </c>
      <c r="BN397" s="518" t="str">
        <f>IF(AND(_D="B-767-300ER",'2024'!$N$4="FO",'2024'!$N$2=BN385),'2024DATA'!$I$14,"")</f>
        <v/>
      </c>
      <c r="BO397" s="518" t="str">
        <f>IF(AND(_D="B-767-300ER",'2024'!$N$4="FO",'2024'!$N$2=BO385),'2024DATA'!$J$14,"")</f>
        <v/>
      </c>
      <c r="BP397" s="518" t="str">
        <f>IF(AND(_D="B-767-300ER",'2024'!$N$4="FO",'2024'!$N$2=BP385),'2024DATA'!$K$14,"")</f>
        <v/>
      </c>
      <c r="BQ397" s="518" t="str">
        <f>IF(AND(_D="B-767-300ER",'2024'!$N$4="FO",'2024'!$N$2=BQ385),'2024DATA'!$L$14,"")</f>
        <v/>
      </c>
      <c r="BR397" s="518" t="str">
        <f>IF(AND(_D="B-767-300ER",'2024'!$N$4="FO",'2024'!$N$2=BR385),'2024DATA'!$M$14,"")</f>
        <v/>
      </c>
      <c r="BS397" s="520" t="str">
        <f>IF(AND(_D="B-767-300ER",'2024'!$N$4="FO",'2024'!$N$2=BS385),'2024DATA'!$N$14,"")</f>
        <v/>
      </c>
      <c r="BT397" s="940"/>
      <c r="BU397" s="13" t="s">
        <v>62</v>
      </c>
      <c r="BV397" s="518" t="str">
        <f>IF(AND(_E="B-767-300ER",'2024'!$N$4="FO",'2024'!$N$2=BV385),'2024DATA'!$C$14,"")</f>
        <v/>
      </c>
      <c r="BW397" s="518" t="str">
        <f>IF(AND(_E="B-767-300ER",'2024'!$N$4="FO",'2024'!$N$2=BW385),'2024DATA'!$D$14,"")</f>
        <v/>
      </c>
      <c r="BX397" s="518" t="str">
        <f>IF(AND(_E="B-767-300ER",'2024'!$N$4="FO",'2024'!$N$2=BX385),'2024DATA'!$E$14,"")</f>
        <v/>
      </c>
      <c r="BY397" s="518" t="str">
        <f>IF(AND(_E="B-767-300ER",'2024'!$N$4="FO",'2024'!$N$2=BY385),'2024DATA'!$F$14,"")</f>
        <v/>
      </c>
      <c r="BZ397" s="518" t="str">
        <f>IF(AND(_E="B-767-300ER",'2024'!$N$4="FO",'2024'!$N$2=BZ385),'2024DATA'!$G$14,"")</f>
        <v/>
      </c>
      <c r="CA397" s="518" t="str">
        <f>IF(AND(_E="B-767-300ER",'2024'!$N$4="FO",'2024'!$N$2=CA385),'2024DATA'!$H$14,"")</f>
        <v/>
      </c>
      <c r="CB397" s="518" t="str">
        <f>IF(AND(_E="B-767-300ER",'2024'!$N$4="FO",'2024'!$N$2=CB385),'2024DATA'!$I$14,"")</f>
        <v/>
      </c>
      <c r="CC397" s="518" t="str">
        <f>IF(AND(_E="B-767-300ER",'2024'!$N$4="FO",'2024'!$N$2=CC385),'2024DATA'!$J$14,"")</f>
        <v/>
      </c>
      <c r="CD397" s="518" t="str">
        <f>IF(AND(_E="B-767-300ER",'2024'!$N$4="FO",'2024'!$N$2=CD385),'2024DATA'!$K$14,"")</f>
        <v/>
      </c>
      <c r="CE397" s="518" t="str">
        <f>IF(AND(_E="B-767-300ER",'2024'!$N$4="FO",'2024'!$N$2=CE385),'2024DATA'!$L$14,"")</f>
        <v/>
      </c>
      <c r="CF397" s="518" t="str">
        <f>IF(AND(_E="B-767-300ER",'2024'!$N$4="FO",'2024'!$N$2=CF385),'2024DATA'!$M$14,"")</f>
        <v/>
      </c>
      <c r="CG397" s="520" t="str">
        <f>IF(AND(_E="B-767-300ER",'2024'!$N$4="FO",'2024'!$N$2=CG385),'2024DATA'!$N$14,"")</f>
        <v/>
      </c>
      <c r="CH397" s="940"/>
      <c r="CI397" s="13" t="s">
        <v>62</v>
      </c>
      <c r="CJ397" s="518" t="str">
        <f>IF(AND(_F="B-767-300ER",'2024'!$N$4="FO",'2024'!$N$2=CJ385),'2024DATA'!$C$14,"")</f>
        <v/>
      </c>
      <c r="CK397" s="518" t="str">
        <f>IF(AND(_F="B-767-300ER",'2024'!$N$4="FO",'2024'!$N$2=CK385),'2024DATA'!$D$14,"")</f>
        <v/>
      </c>
      <c r="CL397" s="518" t="str">
        <f>IF(AND(_F="B-767-300ER",'2024'!$N$4="FO",'2024'!$N$2=CL385),'2024DATA'!$E$14,"")</f>
        <v/>
      </c>
      <c r="CM397" s="518" t="str">
        <f>IF(AND(_F="B-767-300ER",'2024'!$N$4="FO",'2024'!$N$2=CM385),'2024DATA'!$F$14,"")</f>
        <v/>
      </c>
      <c r="CN397" s="518" t="str">
        <f>IF(AND(_F="B-767-300ER",'2024'!$N$4="FO",'2024'!$N$2=CN385),'2024DATA'!$G$14,"")</f>
        <v/>
      </c>
      <c r="CO397" s="518" t="str">
        <f>IF(AND(_F="B-767-300ER",'2024'!$N$4="FO",'2024'!$N$2=CO385),'2024DATA'!$H$14,"")</f>
        <v/>
      </c>
      <c r="CP397" s="518" t="str">
        <f>IF(AND(_F="B-767-300ER",'2024'!$N$4="FO",'2024'!$N$2=CP385),'2024DATA'!$I$14,"")</f>
        <v/>
      </c>
      <c r="CQ397" s="518" t="str">
        <f>IF(AND(_F="B-767-300ER",'2024'!$N$4="FO",'2024'!$N$2=CQ385),'2024DATA'!$J$14,"")</f>
        <v/>
      </c>
      <c r="CR397" s="518" t="str">
        <f>IF(AND(_F="B-767-300ER",'2024'!$N$4="FO",'2024'!$N$2=CR385),'2024DATA'!$K$14,"")</f>
        <v/>
      </c>
      <c r="CS397" s="518" t="str">
        <f>IF(AND(_F="B-767-300ER",'2024'!$N$4="FO",'2024'!$N$2=CS385),'2024DATA'!$L$14,"")</f>
        <v/>
      </c>
      <c r="CT397" s="518" t="str">
        <f>IF(AND(_F="B-767-300ER",'2024'!$N$4="FO",'2024'!$N$2=CT385),'2024DATA'!$M$14,"")</f>
        <v/>
      </c>
      <c r="CU397" s="520" t="str">
        <f>IF(AND(_F="B-767-300ER",'2024'!$N$4="FO",'2024'!$N$2=CU385),'2024DATA'!$N$14,"")</f>
        <v/>
      </c>
    </row>
    <row r="398" spans="16:99" x14ac:dyDescent="0.25">
      <c r="P398" s="940" t="s">
        <v>67</v>
      </c>
      <c r="Q398" s="13" t="s">
        <v>61</v>
      </c>
      <c r="R398" s="518" t="str">
        <f>IF(AND(_A="B-767-300",'2024'!$N$4="CA",'2024'!$N$2=R385),'2024DATA'!$C$15,"")</f>
        <v/>
      </c>
      <c r="S398" s="518" t="str">
        <f>IF(AND(_A="B-767-300",'2024'!$N$4="CA",'2024'!$N$2=S385),'2024DATA'!$D$15,"")</f>
        <v/>
      </c>
      <c r="T398" s="518" t="str">
        <f>IF(AND(_A="B-767-300",'2024'!$N$4="CA",'2024'!$N$2=T385),'2024DATA'!$E$15,"")</f>
        <v/>
      </c>
      <c r="U398" s="518" t="str">
        <f>IF(AND(_A="B-767-300",'2024'!$N$4="CA",'2024'!$N$2=U385),'2024DATA'!$F$15,"")</f>
        <v/>
      </c>
      <c r="V398" s="518" t="str">
        <f>IF(AND(_A="B-767-300",'2024'!$N$4="CA",'2024'!$N$2=V385),'2024DATA'!$G$15,"")</f>
        <v/>
      </c>
      <c r="W398" s="518" t="str">
        <f>IF(AND(_A="B-767-300",'2024'!$N$4="CA",'2024'!$N$2=W385),'2024DATA'!$H$15,"")</f>
        <v/>
      </c>
      <c r="X398" s="518" t="str">
        <f>IF(AND(_A="B-767-300",'2024'!$N$4="CA",'2024'!$N$2=X385),'2024DATA'!$I$15,"")</f>
        <v/>
      </c>
      <c r="Y398" s="518" t="str">
        <f>IF(AND(_A="B-767-300",'2024'!$N$4="CA",'2024'!$N$2=Y385),'2024DATA'!$J$15,"")</f>
        <v/>
      </c>
      <c r="Z398" s="518" t="str">
        <f>IF(AND(_A="B-767-300",'2024'!$N$4="CA",'2024'!$N$2=Z385),'2024DATA'!$K$15,"")</f>
        <v/>
      </c>
      <c r="AA398" s="518" t="str">
        <f>IF(AND(_A="B-767-300",'2024'!$N$4="CA",'2024'!$N$2=AA385),'2024DATA'!$L$15,"")</f>
        <v/>
      </c>
      <c r="AB398" s="518" t="str">
        <f>IF(AND(_A="B-767-300",'2024'!$N$4="CA",'2024'!$N$2=AB385),'2024DATA'!$M$15,"")</f>
        <v/>
      </c>
      <c r="AC398" s="520" t="str">
        <f>IF(AND(_A="B-767-300",'2024'!$N$4="CA",'2024'!$N$2=AC385),'2024DATA'!$N$15,"")</f>
        <v/>
      </c>
      <c r="AD398" s="940" t="s">
        <v>67</v>
      </c>
      <c r="AE398" s="13" t="s">
        <v>61</v>
      </c>
      <c r="AF398" s="518" t="str">
        <f>IF(AND(_B="B-767-300",'2024'!$N$4="CA",'2024'!$N$2=AF385),'2024DATA'!$C$15,"")</f>
        <v/>
      </c>
      <c r="AG398" s="518" t="str">
        <f>IF(AND(_B="B-767-300",'2024'!$N$4="CA",'2024'!$N$2=AG385),'2024DATA'!$D$15,"")</f>
        <v/>
      </c>
      <c r="AH398" s="518" t="str">
        <f>IF(AND(_B="B-767-300",'2024'!$N$4="CA",'2024'!$N$2=AH385),'2024DATA'!$E$15,"")</f>
        <v/>
      </c>
      <c r="AI398" s="518" t="str">
        <f>IF(AND(_B="B-767-300",'2024'!$N$4="CA",'2024'!$N$2=AI385),'2024DATA'!$F$15,"")</f>
        <v/>
      </c>
      <c r="AJ398" s="518" t="str">
        <f>IF(AND(_B="B-767-300",'2024'!$N$4="CA",'2024'!$N$2=AJ385),'2024DATA'!$G$15,"")</f>
        <v/>
      </c>
      <c r="AK398" s="518" t="str">
        <f>IF(AND(_B="B-767-300",'2024'!$N$4="CA",'2024'!$N$2=AK385),'2024DATA'!$H$15,"")</f>
        <v/>
      </c>
      <c r="AL398" s="518" t="str">
        <f>IF(AND(_B="B-767-300",'2024'!$N$4="CA",'2024'!$N$2=AL385),'2024DATA'!$I$15,"")</f>
        <v/>
      </c>
      <c r="AM398" s="518" t="str">
        <f>IF(AND(_B="B-767-300",'2024'!$N$4="CA",'2024'!$N$2=AM385),'2024DATA'!$J$15,"")</f>
        <v/>
      </c>
      <c r="AN398" s="518" t="str">
        <f>IF(AND(_B="B-767-300",'2024'!$N$4="CA",'2024'!$N$2=AN385),'2024DATA'!$K$15,"")</f>
        <v/>
      </c>
      <c r="AO398" s="518" t="str">
        <f>IF(AND(_B="B-767-300",'2024'!$N$4="CA",'2024'!$N$2=AO385),'2024DATA'!$L$15,"")</f>
        <v/>
      </c>
      <c r="AP398" s="518" t="str">
        <f>IF(AND(_B="B-767-300",'2024'!$N$4="CA",'2024'!$N$2=AP385),'2024DATA'!$M$15,"")</f>
        <v/>
      </c>
      <c r="AQ398" s="520" t="str">
        <f>IF(AND(_B="B-767-300",'2024'!$N$4="CA",'2024'!$N$2=AQ385),'2024DATA'!$N$15,"")</f>
        <v/>
      </c>
      <c r="AR398" s="940" t="s">
        <v>67</v>
      </c>
      <c r="AS398" s="13" t="s">
        <v>61</v>
      </c>
      <c r="AT398" s="518" t="str">
        <f>IF(AND(_C="B-767-300",'2024'!$N$4="CA",'2024'!$N$2=AT385),'2024DATA'!$C$15,"")</f>
        <v/>
      </c>
      <c r="AU398" s="518" t="str">
        <f>IF(AND(_C="B-767-300",'2024'!$N$4="CA",'2024'!$N$2=AU385),'2024DATA'!$D$15,"")</f>
        <v/>
      </c>
      <c r="AV398" s="518" t="str">
        <f>IF(AND(_C="B-767-300",'2024'!$N$4="CA",'2024'!$N$2=AV385),'2024DATA'!$E$15,"")</f>
        <v/>
      </c>
      <c r="AW398" s="518" t="str">
        <f>IF(AND(_C="B-767-300",'2024'!$N$4="CA",'2024'!$N$2=AW385),'2024DATA'!$F$15,"")</f>
        <v/>
      </c>
      <c r="AX398" s="518" t="str">
        <f>IF(AND(_C="B-767-300",'2024'!$N$4="CA",'2024'!$N$2=AX385),'2024DATA'!$G$15,"")</f>
        <v/>
      </c>
      <c r="AY398" s="518" t="str">
        <f>IF(AND(_C="B-767-300",'2024'!$N$4="CA",'2024'!$N$2=AY385),'2024DATA'!$H$15,"")</f>
        <v/>
      </c>
      <c r="AZ398" s="518" t="str">
        <f>IF(AND(_C="B-767-300",'2024'!$N$4="CA",'2024'!$N$2=AZ385),'2024DATA'!$I$15,"")</f>
        <v/>
      </c>
      <c r="BA398" s="518" t="str">
        <f>IF(AND(_C="B-767-300",'2024'!$N$4="CA",'2024'!$N$2=BA385),'2024DATA'!$J$15,"")</f>
        <v/>
      </c>
      <c r="BB398" s="518" t="str">
        <f>IF(AND(_C="B-767-300",'2024'!$N$4="CA",'2024'!$N$2=BB385),'2024DATA'!$K$15,"")</f>
        <v/>
      </c>
      <c r="BC398" s="518" t="str">
        <f>IF(AND(_C="B-767-300",'2024'!$N$4="CA",'2024'!$N$2=BC385),'2024DATA'!$L$15,"")</f>
        <v/>
      </c>
      <c r="BD398" s="518" t="str">
        <f>IF(AND(_C="B-767-300",'2024'!$N$4="CA",'2024'!$N$2=BD385),'2024DATA'!$M$15,"")</f>
        <v/>
      </c>
      <c r="BE398" s="520" t="str">
        <f>IF(AND(_C="B-767-300",'2024'!$N$4="CA",'2024'!$N$2=BE385),'2024DATA'!$N$15,"")</f>
        <v/>
      </c>
      <c r="BF398" s="940" t="s">
        <v>67</v>
      </c>
      <c r="BG398" s="13" t="s">
        <v>61</v>
      </c>
      <c r="BH398" s="518" t="str">
        <f>IF(AND(_D="B-767-300",'2024'!$N$4="CA",'2024'!$N$2=BH385),'2024DATA'!$C$15,"")</f>
        <v/>
      </c>
      <c r="BI398" s="518" t="str">
        <f>IF(AND(_D="B-767-300",'2024'!$N$4="CA",'2024'!$N$2=BI385),'2024DATA'!$D$15,"")</f>
        <v/>
      </c>
      <c r="BJ398" s="518" t="str">
        <f>IF(AND(_D="B-767-300",'2024'!$N$4="CA",'2024'!$N$2=BJ385),'2024DATA'!$E$15,"")</f>
        <v/>
      </c>
      <c r="BK398" s="518" t="str">
        <f>IF(AND(_D="B-767-300",'2024'!$N$4="CA",'2024'!$N$2=BK385),'2024DATA'!$F$15,"")</f>
        <v/>
      </c>
      <c r="BL398" s="518" t="str">
        <f>IF(AND(_D="B-767-300",'2024'!$N$4="CA",'2024'!$N$2=BL385),'2024DATA'!$G$15,"")</f>
        <v/>
      </c>
      <c r="BM398" s="518" t="str">
        <f>IF(AND(_D="B-767-300",'2024'!$N$4="CA",'2024'!$N$2=BM385),'2024DATA'!$H$15,"")</f>
        <v/>
      </c>
      <c r="BN398" s="518" t="str">
        <f>IF(AND(_D="B-767-300",'2024'!$N$4="CA",'2024'!$N$2=BN385),'2024DATA'!$I$15,"")</f>
        <v/>
      </c>
      <c r="BO398" s="518" t="str">
        <f>IF(AND(_D="B-767-300",'2024'!$N$4="CA",'2024'!$N$2=BO385),'2024DATA'!$J$15,"")</f>
        <v/>
      </c>
      <c r="BP398" s="518" t="str">
        <f>IF(AND(_D="B-767-300",'2024'!$N$4="CA",'2024'!$N$2=BP385),'2024DATA'!$K$15,"")</f>
        <v/>
      </c>
      <c r="BQ398" s="518" t="str">
        <f>IF(AND(_D="B-767-300",'2024'!$N$4="CA",'2024'!$N$2=BQ385),'2024DATA'!$L$15,"")</f>
        <v/>
      </c>
      <c r="BR398" s="518" t="str">
        <f>IF(AND(_D="B-767-300",'2024'!$N$4="CA",'2024'!$N$2=BR385),'2024DATA'!$M$15,"")</f>
        <v/>
      </c>
      <c r="BS398" s="520" t="str">
        <f>IF(AND(_D="B-767-300",'2024'!$N$4="CA",'2024'!$N$2=BS385),'2024DATA'!$N$15,"")</f>
        <v/>
      </c>
      <c r="BT398" s="940" t="s">
        <v>67</v>
      </c>
      <c r="BU398" s="13" t="s">
        <v>61</v>
      </c>
      <c r="BV398" s="518" t="str">
        <f>IF(AND(_E="B-767-300",'2024'!$N$4="CA",'2024'!$N$2=BV385),'2024DATA'!$C$15,"")</f>
        <v/>
      </c>
      <c r="BW398" s="518" t="str">
        <f>IF(AND(_E="B-767-300",'2024'!$N$4="CA",'2024'!$N$2=BW385),'2024DATA'!$D$15,"")</f>
        <v/>
      </c>
      <c r="BX398" s="518" t="str">
        <f>IF(AND(_E="B-767-300",'2024'!$N$4="CA",'2024'!$N$2=BX385),'2024DATA'!$E$15,"")</f>
        <v/>
      </c>
      <c r="BY398" s="518" t="str">
        <f>IF(AND(_E="B-767-300",'2024'!$N$4="CA",'2024'!$N$2=BY385),'2024DATA'!$F$15,"")</f>
        <v/>
      </c>
      <c r="BZ398" s="518" t="str">
        <f>IF(AND(_E="B-767-300",'2024'!$N$4="CA",'2024'!$N$2=BZ385),'2024DATA'!$G$15,"")</f>
        <v/>
      </c>
      <c r="CA398" s="518" t="str">
        <f>IF(AND(_E="B-767-300",'2024'!$N$4="CA",'2024'!$N$2=CA385),'2024DATA'!$H$15,"")</f>
        <v/>
      </c>
      <c r="CB398" s="518" t="str">
        <f>IF(AND(_E="B-767-300",'2024'!$N$4="CA",'2024'!$N$2=CB385),'2024DATA'!$I$15,"")</f>
        <v/>
      </c>
      <c r="CC398" s="518" t="str">
        <f>IF(AND(_E="B-767-300",'2024'!$N$4="CA",'2024'!$N$2=CC385),'2024DATA'!$J$15,"")</f>
        <v/>
      </c>
      <c r="CD398" s="518" t="str">
        <f>IF(AND(_E="B-767-300",'2024'!$N$4="CA",'2024'!$N$2=CD385),'2024DATA'!$K$15,"")</f>
        <v/>
      </c>
      <c r="CE398" s="518" t="str">
        <f>IF(AND(_E="B-767-300",'2024'!$N$4="CA",'2024'!$N$2=CE385),'2024DATA'!$L$15,"")</f>
        <v/>
      </c>
      <c r="CF398" s="518" t="str">
        <f>IF(AND(_E="B-767-300",'2024'!$N$4="CA",'2024'!$N$2=CF385),'2024DATA'!$M$15,"")</f>
        <v/>
      </c>
      <c r="CG398" s="520" t="str">
        <f>IF(AND(_E="B-767-300",'2024'!$N$4="CA",'2024'!$N$2=CG385),'2024DATA'!$N$15,"")</f>
        <v/>
      </c>
      <c r="CH398" s="940" t="s">
        <v>67</v>
      </c>
      <c r="CI398" s="13" t="s">
        <v>61</v>
      </c>
      <c r="CJ398" s="518" t="str">
        <f>IF(AND(_F="B-767-300",'2024'!$N$4="CA",'2024'!$N$2=CJ385),'2024DATA'!$C$15,"")</f>
        <v/>
      </c>
      <c r="CK398" s="518" t="str">
        <f>IF(AND(_F="B-767-300",'2024'!$N$4="CA",'2024'!$N$2=CK385),'2024DATA'!$D$15,"")</f>
        <v/>
      </c>
      <c r="CL398" s="518" t="str">
        <f>IF(AND(_F="B-767-300",'2024'!$N$4="CA",'2024'!$N$2=CL385),'2024DATA'!$E$15,"")</f>
        <v/>
      </c>
      <c r="CM398" s="518" t="str">
        <f>IF(AND(_F="B-767-300",'2024'!$N$4="CA",'2024'!$N$2=CM385),'2024DATA'!$F$15,"")</f>
        <v/>
      </c>
      <c r="CN398" s="518" t="str">
        <f>IF(AND(_F="B-767-300",'2024'!$N$4="CA",'2024'!$N$2=CN385),'2024DATA'!$G$15,"")</f>
        <v/>
      </c>
      <c r="CO398" s="518" t="str">
        <f>IF(AND(_F="B-767-300",'2024'!$N$4="CA",'2024'!$N$2=CO385),'2024DATA'!$H$15,"")</f>
        <v/>
      </c>
      <c r="CP398" s="518" t="str">
        <f>IF(AND(_F="B-767-300",'2024'!$N$4="CA",'2024'!$N$2=CP385),'2024DATA'!$I$15,"")</f>
        <v/>
      </c>
      <c r="CQ398" s="518" t="str">
        <f>IF(AND(_F="B-767-300",'2024'!$N$4="CA",'2024'!$N$2=CQ385),'2024DATA'!$J$15,"")</f>
        <v/>
      </c>
      <c r="CR398" s="518" t="str">
        <f>IF(AND(_F="B-767-300",'2024'!$N$4="CA",'2024'!$N$2=CR385),'2024DATA'!$K$15,"")</f>
        <v/>
      </c>
      <c r="CS398" s="518" t="str">
        <f>IF(AND(_F="B-767-300",'2024'!$N$4="CA",'2024'!$N$2=CS385),'2024DATA'!$L$15,"")</f>
        <v/>
      </c>
      <c r="CT398" s="518" t="str">
        <f>IF(AND(_F="B-767-300",'2024'!$N$4="CA",'2024'!$N$2=CT385),'2024DATA'!$M$15,"")</f>
        <v/>
      </c>
      <c r="CU398" s="520" t="str">
        <f>IF(AND(_F="B-767-300",'2024'!$N$4="CA",'2024'!$N$2=CU385),'2024DATA'!$N$15,"")</f>
        <v/>
      </c>
    </row>
    <row r="399" spans="16:99" x14ac:dyDescent="0.25">
      <c r="P399" s="940"/>
      <c r="Q399" s="13" t="s">
        <v>62</v>
      </c>
      <c r="R399" s="518" t="str">
        <f>IF(AND(_A="B-767-300",'2024'!$N$4="FO",'2024'!$N$2=R385),'2024DATA'!$C$16,"")</f>
        <v/>
      </c>
      <c r="S399" s="518" t="str">
        <f>IF(AND(_A="B-767-300",'2024'!$N$4="FO",'2024'!$N$2=S385),'2024DATA'!$D$16,"")</f>
        <v/>
      </c>
      <c r="T399" s="518" t="str">
        <f>IF(AND(_A="B-767-300",'2024'!$N$4="FO",'2024'!$N$2=T385),'2024DATA'!$E$16,"")</f>
        <v/>
      </c>
      <c r="U399" s="518" t="str">
        <f>IF(AND(_A="B-767-300",'2024'!$N$4="FO",'2024'!$N$2=U385),'2024DATA'!$F$16,"")</f>
        <v/>
      </c>
      <c r="V399" s="518" t="str">
        <f>IF(AND(_A="B-767-300",'2024'!$N$4="FO",'2024'!$N$2=V385),'2024DATA'!$G$16,"")</f>
        <v/>
      </c>
      <c r="W399" s="518" t="str">
        <f>IF(AND(_A="B-767-300",'2024'!$N$4="FO",'2024'!$N$2=W385),'2024DATA'!$H$16,"")</f>
        <v/>
      </c>
      <c r="X399" s="518" t="str">
        <f>IF(AND(_A="B-767-300",'2024'!$N$4="FO",'2024'!$N$2=X385),'2024DATA'!$I$16,"")</f>
        <v/>
      </c>
      <c r="Y399" s="518" t="str">
        <f>IF(AND(_A="B-767-300",'2024'!$N$4="FO",'2024'!$N$2=Y385),'2024DATA'!$J$16,"")</f>
        <v/>
      </c>
      <c r="Z399" s="518" t="str">
        <f>IF(AND(_A="B-767-300",'2024'!$N$4="FO",'2024'!$N$2=Z385),'2024DATA'!$K$16,"")</f>
        <v/>
      </c>
      <c r="AA399" s="518" t="str">
        <f>IF(AND(_A="B-767-300",'2024'!$N$4="FO",'2024'!$N$2=AA385),'2024DATA'!$L$16,"")</f>
        <v/>
      </c>
      <c r="AB399" s="518" t="str">
        <f>IF(AND(_A="B-767-300",'2024'!$N$4="FO",'2024'!$N$2=AB385),'2024DATA'!$M$16,"")</f>
        <v/>
      </c>
      <c r="AC399" s="520" t="str">
        <f>IF(AND(_A="B-767-300",'2024'!$N$4="FO",'2024'!$N$2=AC385),'2024DATA'!$N$16,"")</f>
        <v/>
      </c>
      <c r="AD399" s="940"/>
      <c r="AE399" s="13" t="s">
        <v>62</v>
      </c>
      <c r="AF399" s="518" t="str">
        <f>IF(AND(_B="B-767-300",'2024'!$N$4="FO",'2024'!$N$2=AF385),'2024DATA'!$C$16,"")</f>
        <v/>
      </c>
      <c r="AG399" s="518" t="str">
        <f>IF(AND(_B="B-767-300",'2024'!$N$4="FO",'2024'!$N$2=AG385),'2024DATA'!$D$16,"")</f>
        <v/>
      </c>
      <c r="AH399" s="518" t="str">
        <f>IF(AND(_B="B-767-300",'2024'!$N$4="FO",'2024'!$N$2=AH385),'2024DATA'!$E$16,"")</f>
        <v/>
      </c>
      <c r="AI399" s="518" t="str">
        <f>IF(AND(_B="B-767-300",'2024'!$N$4="FO",'2024'!$N$2=AI385),'2024DATA'!$F$16,"")</f>
        <v/>
      </c>
      <c r="AJ399" s="518" t="str">
        <f>IF(AND(_B="B-767-300",'2024'!$N$4="FO",'2024'!$N$2=AJ385),'2024DATA'!$G$16,"")</f>
        <v/>
      </c>
      <c r="AK399" s="518" t="str">
        <f>IF(AND(_B="B-767-300",'2024'!$N$4="FO",'2024'!$N$2=AK385),'2024DATA'!$H$16,"")</f>
        <v/>
      </c>
      <c r="AL399" s="518" t="str">
        <f>IF(AND(_B="B-767-300",'2024'!$N$4="FO",'2024'!$N$2=AL385),'2024DATA'!$I$16,"")</f>
        <v/>
      </c>
      <c r="AM399" s="518" t="str">
        <f>IF(AND(_B="B-767-300",'2024'!$N$4="FO",'2024'!$N$2=AM385),'2024DATA'!$J$16,"")</f>
        <v/>
      </c>
      <c r="AN399" s="518" t="str">
        <f>IF(AND(_B="B-767-300",'2024'!$N$4="FO",'2024'!$N$2=AN385),'2024DATA'!$K$16,"")</f>
        <v/>
      </c>
      <c r="AO399" s="518" t="str">
        <f>IF(AND(_B="B-767-300",'2024'!$N$4="FO",'2024'!$N$2=AO385),'2024DATA'!$L$16,"")</f>
        <v/>
      </c>
      <c r="AP399" s="518" t="str">
        <f>IF(AND(_B="B-767-300",'2024'!$N$4="FO",'2024'!$N$2=AP385),'2024DATA'!$M$16,"")</f>
        <v/>
      </c>
      <c r="AQ399" s="520" t="str">
        <f>IF(AND(_B="B-767-300",'2024'!$N$4="FO",'2024'!$N$2=AQ385),'2024DATA'!$N$16,"")</f>
        <v/>
      </c>
      <c r="AR399" s="940"/>
      <c r="AS399" s="13" t="s">
        <v>62</v>
      </c>
      <c r="AT399" s="518" t="str">
        <f>IF(AND(_C="B-767-300",'2024'!$N$4="FO",'2024'!$N$2=AT385),'2024DATA'!$C$16,"")</f>
        <v/>
      </c>
      <c r="AU399" s="518" t="str">
        <f>IF(AND(_C="B-767-300",'2024'!$N$4="FO",'2024'!$N$2=AU385),'2024DATA'!$D$16,"")</f>
        <v/>
      </c>
      <c r="AV399" s="518" t="str">
        <f>IF(AND(_C="B-767-300",'2024'!$N$4="FO",'2024'!$N$2=AV385),'2024DATA'!$E$16,"")</f>
        <v/>
      </c>
      <c r="AW399" s="518" t="str">
        <f>IF(AND(_C="B-767-300",'2024'!$N$4="FO",'2024'!$N$2=AW385),'2024DATA'!$F$16,"")</f>
        <v/>
      </c>
      <c r="AX399" s="518" t="str">
        <f>IF(AND(_C="B-767-300",'2024'!$N$4="FO",'2024'!$N$2=AX385),'2024DATA'!$G$16,"")</f>
        <v/>
      </c>
      <c r="AY399" s="518" t="str">
        <f>IF(AND(_C="B-767-300",'2024'!$N$4="FO",'2024'!$N$2=AY385),'2024DATA'!$H$16,"")</f>
        <v/>
      </c>
      <c r="AZ399" s="518" t="str">
        <f>IF(AND(_C="B-767-300",'2024'!$N$4="FO",'2024'!$N$2=AZ385),'2024DATA'!$I$16,"")</f>
        <v/>
      </c>
      <c r="BA399" s="518" t="str">
        <f>IF(AND(_C="B-767-300",'2024'!$N$4="FO",'2024'!$N$2=BA385),'2024DATA'!$J$16,"")</f>
        <v/>
      </c>
      <c r="BB399" s="518" t="str">
        <f>IF(AND(_C="B-767-300",'2024'!$N$4="FO",'2024'!$N$2=BB385),'2024DATA'!$K$16,"")</f>
        <v/>
      </c>
      <c r="BC399" s="518" t="str">
        <f>IF(AND(_C="B-767-300",'2024'!$N$4="FO",'2024'!$N$2=BC385),'2024DATA'!$L$16,"")</f>
        <v/>
      </c>
      <c r="BD399" s="518" t="str">
        <f>IF(AND(_C="B-767-300",'2024'!$N$4="FO",'2024'!$N$2=BD385),'2024DATA'!$M$16,"")</f>
        <v/>
      </c>
      <c r="BE399" s="520" t="str">
        <f>IF(AND(_C="B-767-300",'2024'!$N$4="FO",'2024'!$N$2=BE385),'2024DATA'!$N$16,"")</f>
        <v/>
      </c>
      <c r="BF399" s="940"/>
      <c r="BG399" s="13" t="s">
        <v>62</v>
      </c>
      <c r="BH399" s="518" t="str">
        <f>IF(AND(_D="B-767-300",'2024'!$N$4="FO",'2024'!$N$2=BH385),'2024DATA'!$C$16,"")</f>
        <v/>
      </c>
      <c r="BI399" s="518" t="str">
        <f>IF(AND(_D="B-767-300",'2024'!$N$4="FO",'2024'!$N$2=BI385),'2024DATA'!$D$16,"")</f>
        <v/>
      </c>
      <c r="BJ399" s="518" t="str">
        <f>IF(AND(_D="B-767-300",'2024'!$N$4="FO",'2024'!$N$2=BJ385),'2024DATA'!$E$16,"")</f>
        <v/>
      </c>
      <c r="BK399" s="518" t="str">
        <f>IF(AND(_D="B-767-300",'2024'!$N$4="FO",'2024'!$N$2=BK385),'2024DATA'!$F$16,"")</f>
        <v/>
      </c>
      <c r="BL399" s="518" t="str">
        <f>IF(AND(_D="B-767-300",'2024'!$N$4="FO",'2024'!$N$2=BL385),'2024DATA'!$G$16,"")</f>
        <v/>
      </c>
      <c r="BM399" s="518" t="str">
        <f>IF(AND(_D="B-767-300",'2024'!$N$4="FO",'2024'!$N$2=BM385),'2024DATA'!$H$16,"")</f>
        <v/>
      </c>
      <c r="BN399" s="518" t="str">
        <f>IF(AND(_D="B-767-300",'2024'!$N$4="FO",'2024'!$N$2=BN385),'2024DATA'!$I$16,"")</f>
        <v/>
      </c>
      <c r="BO399" s="518" t="str">
        <f>IF(AND(_D="B-767-300",'2024'!$N$4="FO",'2024'!$N$2=BO385),'2024DATA'!$J$16,"")</f>
        <v/>
      </c>
      <c r="BP399" s="518" t="str">
        <f>IF(AND(_D="B-767-300",'2024'!$N$4="FO",'2024'!$N$2=BP385),'2024DATA'!$K$16,"")</f>
        <v/>
      </c>
      <c r="BQ399" s="518" t="str">
        <f>IF(AND(_D="B-767-300",'2024'!$N$4="FO",'2024'!$N$2=BQ385),'2024DATA'!$L$16,"")</f>
        <v/>
      </c>
      <c r="BR399" s="518" t="str">
        <f>IF(AND(_D="B-767-300",'2024'!$N$4="FO",'2024'!$N$2=BR385),'2024DATA'!$M$16,"")</f>
        <v/>
      </c>
      <c r="BS399" s="520" t="str">
        <f>IF(AND(_D="B-767-300",'2024'!$N$4="FO",'2024'!$N$2=BS385),'2024DATA'!$N$16,"")</f>
        <v/>
      </c>
      <c r="BT399" s="940"/>
      <c r="BU399" s="13" t="s">
        <v>62</v>
      </c>
      <c r="BV399" s="518" t="str">
        <f>IF(AND(_E="B-767-300",'2024'!$N$4="FO",'2024'!$N$2=BV385),'2024DATA'!$C$16,"")</f>
        <v/>
      </c>
      <c r="BW399" s="518" t="str">
        <f>IF(AND(_E="B-767-300",'2024'!$N$4="FO",'2024'!$N$2=BW385),'2024DATA'!$D$16,"")</f>
        <v/>
      </c>
      <c r="BX399" s="518" t="str">
        <f>IF(AND(_E="B-767-300",'2024'!$N$4="FO",'2024'!$N$2=BX385),'2024DATA'!$E$16,"")</f>
        <v/>
      </c>
      <c r="BY399" s="518" t="str">
        <f>IF(AND(_E="B-767-300",'2024'!$N$4="FO",'2024'!$N$2=BY385),'2024DATA'!$F$16,"")</f>
        <v/>
      </c>
      <c r="BZ399" s="518" t="str">
        <f>IF(AND(_E="B-767-300",'2024'!$N$4="FO",'2024'!$N$2=BZ385),'2024DATA'!$G$16,"")</f>
        <v/>
      </c>
      <c r="CA399" s="518" t="str">
        <f>IF(AND(_E="B-767-300",'2024'!$N$4="FO",'2024'!$N$2=CA385),'2024DATA'!$H$16,"")</f>
        <v/>
      </c>
      <c r="CB399" s="518" t="str">
        <f>IF(AND(_E="B-767-300",'2024'!$N$4="FO",'2024'!$N$2=CB385),'2024DATA'!$I$16,"")</f>
        <v/>
      </c>
      <c r="CC399" s="518" t="str">
        <f>IF(AND(_E="B-767-300",'2024'!$N$4="FO",'2024'!$N$2=CC385),'2024DATA'!$J$16,"")</f>
        <v/>
      </c>
      <c r="CD399" s="518" t="str">
        <f>IF(AND(_E="B-767-300",'2024'!$N$4="FO",'2024'!$N$2=CD385),'2024DATA'!$K$16,"")</f>
        <v/>
      </c>
      <c r="CE399" s="518" t="str">
        <f>IF(AND(_E="B-767-300",'2024'!$N$4="FO",'2024'!$N$2=CE385),'2024DATA'!$L$16,"")</f>
        <v/>
      </c>
      <c r="CF399" s="518" t="str">
        <f>IF(AND(_E="B-767-300",'2024'!$N$4="FO",'2024'!$N$2=CF385),'2024DATA'!$M$16,"")</f>
        <v/>
      </c>
      <c r="CG399" s="520" t="str">
        <f>IF(AND(_E="B-767-300",'2024'!$N$4="FO",'2024'!$N$2=CG385),'2024DATA'!$N$16,"")</f>
        <v/>
      </c>
      <c r="CH399" s="940"/>
      <c r="CI399" s="13" t="s">
        <v>62</v>
      </c>
      <c r="CJ399" s="518" t="str">
        <f>IF(AND(_F="B-767-300",'2024'!$N$4="FO",'2024'!$N$2=CJ385),'2024DATA'!$C$16,"")</f>
        <v/>
      </c>
      <c r="CK399" s="518" t="str">
        <f>IF(AND(_F="B-767-300",'2024'!$N$4="FO",'2024'!$N$2=CK385),'2024DATA'!$D$16,"")</f>
        <v/>
      </c>
      <c r="CL399" s="518" t="str">
        <f>IF(AND(_F="B-767-300",'2024'!$N$4="FO",'2024'!$N$2=CL385),'2024DATA'!$E$16,"")</f>
        <v/>
      </c>
      <c r="CM399" s="518" t="str">
        <f>IF(AND(_F="B-767-300",'2024'!$N$4="FO",'2024'!$N$2=CM385),'2024DATA'!$F$16,"")</f>
        <v/>
      </c>
      <c r="CN399" s="518" t="str">
        <f>IF(AND(_F="B-767-300",'2024'!$N$4="FO",'2024'!$N$2=CN385),'2024DATA'!$G$16,"")</f>
        <v/>
      </c>
      <c r="CO399" s="518" t="str">
        <f>IF(AND(_F="B-767-300",'2024'!$N$4="FO",'2024'!$N$2=CO385),'2024DATA'!$H$16,"")</f>
        <v/>
      </c>
      <c r="CP399" s="518" t="str">
        <f>IF(AND(_F="B-767-300",'2024'!$N$4="FO",'2024'!$N$2=CP385),'2024DATA'!$I$16,"")</f>
        <v/>
      </c>
      <c r="CQ399" s="518" t="str">
        <f>IF(AND(_F="B-767-300",'2024'!$N$4="FO",'2024'!$N$2=CQ385),'2024DATA'!$J$16,"")</f>
        <v/>
      </c>
      <c r="CR399" s="518" t="str">
        <f>IF(AND(_F="B-767-300",'2024'!$N$4="FO",'2024'!$N$2=CR385),'2024DATA'!$K$16,"")</f>
        <v/>
      </c>
      <c r="CS399" s="518" t="str">
        <f>IF(AND(_F="B-767-300",'2024'!$N$4="FO",'2024'!$N$2=CS385),'2024DATA'!$L$16,"")</f>
        <v/>
      </c>
      <c r="CT399" s="518" t="str">
        <f>IF(AND(_F="B-767-300",'2024'!$N$4="FO",'2024'!$N$2=CT385),'2024DATA'!$M$16,"")</f>
        <v/>
      </c>
      <c r="CU399" s="520" t="str">
        <f>IF(AND(_F="B-767-300",'2024'!$N$4="FO",'2024'!$N$2=CU385),'2024DATA'!$N$16,"")</f>
        <v/>
      </c>
    </row>
    <row r="400" spans="16:99" x14ac:dyDescent="0.25">
      <c r="P400" s="940" t="s">
        <v>68</v>
      </c>
      <c r="Q400" s="13" t="s">
        <v>61</v>
      </c>
      <c r="R400" s="518" t="str">
        <f>IF(AND(_A="B-767-200",'2024'!$N$4="CA",'2024'!$N$2=R385),'2024DATA'!$C$17,"")</f>
        <v/>
      </c>
      <c r="S400" s="518" t="str">
        <f>IF(AND(_A="B-767-200",'2024'!$N$4="CA",'2024'!$N$2=S385),'2024DATA'!$D$17,"")</f>
        <v/>
      </c>
      <c r="T400" s="518" t="str">
        <f>IF(AND(_A="B-767-200",'2024'!$N$4="CA",'2024'!$N$2=T385),'2024DATA'!$E$17,"")</f>
        <v/>
      </c>
      <c r="U400" s="518" t="str">
        <f>IF(AND(_A="B-767-200",'2024'!$N$4="CA",'2024'!$N$2=U385),'2024DATA'!$F$17,"")</f>
        <v/>
      </c>
      <c r="V400" s="518" t="str">
        <f>IF(AND(_A="B-767-200",'2024'!$N$4="CA",'2024'!$N$2=V385),'2024DATA'!$G$17,"")</f>
        <v/>
      </c>
      <c r="W400" s="518" t="str">
        <f>IF(AND(_A="B-767-200",'2024'!$N$4="CA",'2024'!$N$2=W385),'2024DATA'!$H$17,"")</f>
        <v/>
      </c>
      <c r="X400" s="518" t="str">
        <f>IF(AND(_A="B-767-200",'2024'!$N$4="CA",'2024'!$N$2=X385),'2024DATA'!$I$17,"")</f>
        <v/>
      </c>
      <c r="Y400" s="518" t="str">
        <f>IF(AND(_A="B-767-200",'2024'!$N$4="CA",'2024'!$N$2=Y385),'2024DATA'!$J$17,"")</f>
        <v/>
      </c>
      <c r="Z400" s="518" t="str">
        <f>IF(AND(_A="B-767-200",'2024'!$N$4="CA",'2024'!$N$2=Z385),'2024DATA'!$K$17,"")</f>
        <v/>
      </c>
      <c r="AA400" s="518" t="str">
        <f>IF(AND(_A="B-767-200",'2024'!$N$4="CA",'2024'!$N$2=AA385),'2024DATA'!$L$17,"")</f>
        <v/>
      </c>
      <c r="AB400" s="518" t="str">
        <f>IF(AND(_A="B-767-200",'2024'!$N$4="CA",'2024'!$N$2=AB385),'2024DATA'!$M$17,"")</f>
        <v/>
      </c>
      <c r="AC400" s="520" t="str">
        <f>IF(AND(_A="B-767-200",'2024'!$N$4="CA",'2024'!$N$2=AC385),'2024DATA'!$N$17,"")</f>
        <v/>
      </c>
      <c r="AD400" s="940" t="s">
        <v>68</v>
      </c>
      <c r="AE400" s="13" t="s">
        <v>61</v>
      </c>
      <c r="AF400" s="518" t="str">
        <f>IF(AND(_B="B-767-200",'2024'!$N$4="CA",'2024'!$N$2=AF385),'2024DATA'!$C$17,"")</f>
        <v/>
      </c>
      <c r="AG400" s="518" t="str">
        <f>IF(AND(_B="B-767-200",'2024'!$N$4="CA",'2024'!$N$2=AG385),'2024DATA'!$D$17,"")</f>
        <v/>
      </c>
      <c r="AH400" s="518" t="str">
        <f>IF(AND(_B="B-767-200",'2024'!$N$4="CA",'2024'!$N$2=AH385),'2024DATA'!$E$17,"")</f>
        <v/>
      </c>
      <c r="AI400" s="518" t="str">
        <f>IF(AND(_B="B-767-200",'2024'!$N$4="CA",'2024'!$N$2=AI385),'2024DATA'!$F$17,"")</f>
        <v/>
      </c>
      <c r="AJ400" s="518" t="str">
        <f>IF(AND(_B="B-767-200",'2024'!$N$4="CA",'2024'!$N$2=AJ385),'2024DATA'!$G$17,"")</f>
        <v/>
      </c>
      <c r="AK400" s="518" t="str">
        <f>IF(AND(_B="B-767-200",'2024'!$N$4="CA",'2024'!$N$2=AK385),'2024DATA'!$H$17,"")</f>
        <v/>
      </c>
      <c r="AL400" s="518" t="str">
        <f>IF(AND(_B="B-767-200",'2024'!$N$4="CA",'2024'!$N$2=AL385),'2024DATA'!$I$17,"")</f>
        <v/>
      </c>
      <c r="AM400" s="518" t="str">
        <f>IF(AND(_B="B-767-200",'2024'!$N$4="CA",'2024'!$N$2=AM385),'2024DATA'!$J$17,"")</f>
        <v/>
      </c>
      <c r="AN400" s="518" t="str">
        <f>IF(AND(_B="B-767-200",'2024'!$N$4="CA",'2024'!$N$2=AN385),'2024DATA'!$K$17,"")</f>
        <v/>
      </c>
      <c r="AO400" s="518" t="str">
        <f>IF(AND(_B="B-767-200",'2024'!$N$4="CA",'2024'!$N$2=AO385),'2024DATA'!$L$17,"")</f>
        <v/>
      </c>
      <c r="AP400" s="518" t="str">
        <f>IF(AND(_B="B-767-200",'2024'!$N$4="CA",'2024'!$N$2=AP385),'2024DATA'!$M$17,"")</f>
        <v/>
      </c>
      <c r="AQ400" s="520" t="str">
        <f>IF(AND(_B="B-767-200",'2024'!$N$4="CA",'2024'!$N$2=AQ385),'2024DATA'!$N$17,"")</f>
        <v/>
      </c>
      <c r="AR400" s="940" t="s">
        <v>68</v>
      </c>
      <c r="AS400" s="13" t="s">
        <v>61</v>
      </c>
      <c r="AT400" s="518" t="str">
        <f>IF(AND(_C="B-767-200",'2024'!$N$4="CA",'2024'!$N$2=AT385),'2024DATA'!$C$17,"")</f>
        <v/>
      </c>
      <c r="AU400" s="518" t="str">
        <f>IF(AND(_C="B-767-200",'2024'!$N$4="CA",'2024'!$N$2=AU385),'2024DATA'!$D$17,"")</f>
        <v/>
      </c>
      <c r="AV400" s="518" t="str">
        <f>IF(AND(_C="B-767-200",'2024'!$N$4="CA",'2024'!$N$2=AV385),'2024DATA'!$E$17,"")</f>
        <v/>
      </c>
      <c r="AW400" s="518" t="str">
        <f>IF(AND(_C="B-767-200",'2024'!$N$4="CA",'2024'!$N$2=AW385),'2024DATA'!$F$17,"")</f>
        <v/>
      </c>
      <c r="AX400" s="518" t="str">
        <f>IF(AND(_C="B-767-200",'2024'!$N$4="CA",'2024'!$N$2=AX385),'2024DATA'!$G$17,"")</f>
        <v/>
      </c>
      <c r="AY400" s="518" t="str">
        <f>IF(AND(_C="B-767-200",'2024'!$N$4="CA",'2024'!$N$2=AY385),'2024DATA'!$H$17,"")</f>
        <v/>
      </c>
      <c r="AZ400" s="518" t="str">
        <f>IF(AND(_C="B-767-200",'2024'!$N$4="CA",'2024'!$N$2=AZ385),'2024DATA'!$I$17,"")</f>
        <v/>
      </c>
      <c r="BA400" s="518" t="str">
        <f>IF(AND(_C="B-767-200",'2024'!$N$4="CA",'2024'!$N$2=BA385),'2024DATA'!$J$17,"")</f>
        <v/>
      </c>
      <c r="BB400" s="518" t="str">
        <f>IF(AND(_C="B-767-200",'2024'!$N$4="CA",'2024'!$N$2=BB385),'2024DATA'!$K$17,"")</f>
        <v/>
      </c>
      <c r="BC400" s="518" t="str">
        <f>IF(AND(_C="B-767-200",'2024'!$N$4="CA",'2024'!$N$2=BC385),'2024DATA'!$L$17,"")</f>
        <v/>
      </c>
      <c r="BD400" s="518" t="str">
        <f>IF(AND(_C="B-767-200",'2024'!$N$4="CA",'2024'!$N$2=BD385),'2024DATA'!$M$17,"")</f>
        <v/>
      </c>
      <c r="BE400" s="520" t="str">
        <f>IF(AND(_C="B-767-200",'2024'!$N$4="CA",'2024'!$N$2=BE385),'2024DATA'!$N$17,"")</f>
        <v/>
      </c>
      <c r="BF400" s="940" t="s">
        <v>68</v>
      </c>
      <c r="BG400" s="13" t="s">
        <v>61</v>
      </c>
      <c r="BH400" s="518" t="str">
        <f>IF(AND(_D="B-767-200",'2024'!$N$4="CA",'2024'!$N$2=BH385),'2024DATA'!$C$17,"")</f>
        <v/>
      </c>
      <c r="BI400" s="518" t="str">
        <f>IF(AND(_D="B-767-200",'2024'!$N$4="CA",'2024'!$N$2=BI385),'2024DATA'!$D$17,"")</f>
        <v/>
      </c>
      <c r="BJ400" s="518" t="str">
        <f>IF(AND(_D="B-767-200",'2024'!$N$4="CA",'2024'!$N$2=BJ385),'2024DATA'!$E$17,"")</f>
        <v/>
      </c>
      <c r="BK400" s="518" t="str">
        <f>IF(AND(_D="B-767-200",'2024'!$N$4="CA",'2024'!$N$2=BK385),'2024DATA'!$F$17,"")</f>
        <v/>
      </c>
      <c r="BL400" s="518" t="str">
        <f>IF(AND(_D="B-767-200",'2024'!$N$4="CA",'2024'!$N$2=BL385),'2024DATA'!$G$17,"")</f>
        <v/>
      </c>
      <c r="BM400" s="518" t="str">
        <f>IF(AND(_D="B-767-200",'2024'!$N$4="CA",'2024'!$N$2=BM385),'2024DATA'!$H$17,"")</f>
        <v/>
      </c>
      <c r="BN400" s="518" t="str">
        <f>IF(AND(_D="B-767-200",'2024'!$N$4="CA",'2024'!$N$2=BN385),'2024DATA'!$I$17,"")</f>
        <v/>
      </c>
      <c r="BO400" s="518" t="str">
        <f>IF(AND(_D="B-767-200",'2024'!$N$4="CA",'2024'!$N$2=BO385),'2024DATA'!$J$17,"")</f>
        <v/>
      </c>
      <c r="BP400" s="518" t="str">
        <f>IF(AND(_D="B-767-200",'2024'!$N$4="CA",'2024'!$N$2=BP385),'2024DATA'!$K$17,"")</f>
        <v/>
      </c>
      <c r="BQ400" s="518" t="str">
        <f>IF(AND(_D="B-767-200",'2024'!$N$4="CA",'2024'!$N$2=BQ385),'2024DATA'!$L$17,"")</f>
        <v/>
      </c>
      <c r="BR400" s="518" t="str">
        <f>IF(AND(_D="B-767-200",'2024'!$N$4="CA",'2024'!$N$2=BR385),'2024DATA'!$M$17,"")</f>
        <v/>
      </c>
      <c r="BS400" s="520" t="str">
        <f>IF(AND(_D="B-767-200",'2024'!$N$4="CA",'2024'!$N$2=BS385),'2024DATA'!$N$17,"")</f>
        <v/>
      </c>
      <c r="BT400" s="940" t="s">
        <v>68</v>
      </c>
      <c r="BU400" s="13" t="s">
        <v>61</v>
      </c>
      <c r="BV400" s="518" t="str">
        <f>IF(AND(_E="B-767-200",'2024'!$N$4="CA",'2024'!$N$2=BV385),'2024DATA'!$C$17,"")</f>
        <v/>
      </c>
      <c r="BW400" s="518" t="str">
        <f>IF(AND(_E="B-767-200",'2024'!$N$4="CA",'2024'!$N$2=BW385),'2024DATA'!$D$17,"")</f>
        <v/>
      </c>
      <c r="BX400" s="518" t="str">
        <f>IF(AND(_E="B-767-200",'2024'!$N$4="CA",'2024'!$N$2=BX385),'2024DATA'!$E$17,"")</f>
        <v/>
      </c>
      <c r="BY400" s="518" t="str">
        <f>IF(AND(_E="B-767-200",'2024'!$N$4="CA",'2024'!$N$2=BY385),'2024DATA'!$F$17,"")</f>
        <v/>
      </c>
      <c r="BZ400" s="518" t="str">
        <f>IF(AND(_E="B-767-200",'2024'!$N$4="CA",'2024'!$N$2=BZ385),'2024DATA'!$G$17,"")</f>
        <v/>
      </c>
      <c r="CA400" s="518" t="str">
        <f>IF(AND(_E="B-767-200",'2024'!$N$4="CA",'2024'!$N$2=CA385),'2024DATA'!$H$17,"")</f>
        <v/>
      </c>
      <c r="CB400" s="518" t="str">
        <f>IF(AND(_E="B-767-200",'2024'!$N$4="CA",'2024'!$N$2=CB385),'2024DATA'!$I$17,"")</f>
        <v/>
      </c>
      <c r="CC400" s="518" t="str">
        <f>IF(AND(_E="B-767-200",'2024'!$N$4="CA",'2024'!$N$2=CC385),'2024DATA'!$J$17,"")</f>
        <v/>
      </c>
      <c r="CD400" s="518" t="str">
        <f>IF(AND(_E="B-767-200",'2024'!$N$4="CA",'2024'!$N$2=CD385),'2024DATA'!$K$17,"")</f>
        <v/>
      </c>
      <c r="CE400" s="518" t="str">
        <f>IF(AND(_E="B-767-200",'2024'!$N$4="CA",'2024'!$N$2=CE385),'2024DATA'!$L$17,"")</f>
        <v/>
      </c>
      <c r="CF400" s="518" t="str">
        <f>IF(AND(_E="B-767-200",'2024'!$N$4="CA",'2024'!$N$2=CF385),'2024DATA'!$M$17,"")</f>
        <v/>
      </c>
      <c r="CG400" s="520" t="str">
        <f>IF(AND(_E="B-767-200",'2024'!$N$4="CA",'2024'!$N$2=CG385),'2024DATA'!$N$17,"")</f>
        <v/>
      </c>
      <c r="CH400" s="940" t="s">
        <v>68</v>
      </c>
      <c r="CI400" s="13" t="s">
        <v>61</v>
      </c>
      <c r="CJ400" s="518" t="str">
        <f>IF(AND(_F="B-767-200",'2024'!$N$4="CA",'2024'!$N$2=CJ385),'2024DATA'!$C$17,"")</f>
        <v/>
      </c>
      <c r="CK400" s="518" t="str">
        <f>IF(AND(_F="B-767-200",'2024'!$N$4="CA",'2024'!$N$2=CK385),'2024DATA'!$D$17,"")</f>
        <v/>
      </c>
      <c r="CL400" s="518" t="str">
        <f>IF(AND(_F="B-767-200",'2024'!$N$4="CA",'2024'!$N$2=CL385),'2024DATA'!$E$17,"")</f>
        <v/>
      </c>
      <c r="CM400" s="518" t="str">
        <f>IF(AND(_F="B-767-200",'2024'!$N$4="CA",'2024'!$N$2=CM385),'2024DATA'!$F$17,"")</f>
        <v/>
      </c>
      <c r="CN400" s="518" t="str">
        <f>IF(AND(_F="B-767-200",'2024'!$N$4="CA",'2024'!$N$2=CN385),'2024DATA'!$G$17,"")</f>
        <v/>
      </c>
      <c r="CO400" s="518" t="str">
        <f>IF(AND(_F="B-767-200",'2024'!$N$4="CA",'2024'!$N$2=CO385),'2024DATA'!$H$17,"")</f>
        <v/>
      </c>
      <c r="CP400" s="518" t="str">
        <f>IF(AND(_F="B-767-200",'2024'!$N$4="CA",'2024'!$N$2=CP385),'2024DATA'!$I$17,"")</f>
        <v/>
      </c>
      <c r="CQ400" s="518" t="str">
        <f>IF(AND(_F="B-767-200",'2024'!$N$4="CA",'2024'!$N$2=CQ385),'2024DATA'!$J$17,"")</f>
        <v/>
      </c>
      <c r="CR400" s="518" t="str">
        <f>IF(AND(_F="B-767-200",'2024'!$N$4="CA",'2024'!$N$2=CR385),'2024DATA'!$K$17,"")</f>
        <v/>
      </c>
      <c r="CS400" s="518" t="str">
        <f>IF(AND(_F="B-767-200",'2024'!$N$4="CA",'2024'!$N$2=CS385),'2024DATA'!$L$17,"")</f>
        <v/>
      </c>
      <c r="CT400" s="518" t="str">
        <f>IF(AND(_F="B-767-200",'2024'!$N$4="CA",'2024'!$N$2=CT385),'2024DATA'!$M$17,"")</f>
        <v/>
      </c>
      <c r="CU400" s="520" t="str">
        <f>IF(AND(_F="B-767-200",'2024'!$N$4="CA",'2024'!$N$2=CU385),'2024DATA'!$N$17,"")</f>
        <v/>
      </c>
    </row>
    <row r="401" spans="16:99" x14ac:dyDescent="0.25">
      <c r="P401" s="940"/>
      <c r="Q401" s="13" t="s">
        <v>62</v>
      </c>
      <c r="R401" s="518" t="str">
        <f>IF(AND(_A="B-767-200",'2024'!$N$4="FO",'2024'!$N$2=R385),'2024DATA'!$C$18,"")</f>
        <v/>
      </c>
      <c r="S401" s="518" t="str">
        <f>IF(AND(_A="B-767-200",'2024'!$N$4="FO",'2024'!$N$2=S385),'2024DATA'!$D$18,"")</f>
        <v/>
      </c>
      <c r="T401" s="518" t="str">
        <f>IF(AND(_A="B-767-200",'2024'!$N$4="FO",'2024'!$N$2=T385),'2024DATA'!$E$18,"")</f>
        <v/>
      </c>
      <c r="U401" s="518" t="str">
        <f>IF(AND(_A="B-767-200",'2024'!$N$4="FO",'2024'!$N$2=U385),'2024DATA'!$F$18,"")</f>
        <v/>
      </c>
      <c r="V401" s="518" t="str">
        <f>IF(AND(_A="B-767-200",'2024'!$N$4="FO",'2024'!$N$2=V385),'2024DATA'!$G$18,"")</f>
        <v/>
      </c>
      <c r="W401" s="518" t="str">
        <f>IF(AND(_A="B-767-200",'2024'!$N$4="FO",'2024'!$N$2=W385),'2024DATA'!$H$18,"")</f>
        <v/>
      </c>
      <c r="X401" s="518" t="str">
        <f>IF(AND(_A="B-767-200",'2024'!$N$4="FO",'2024'!$N$2=X385),'2024DATA'!$I$18,"")</f>
        <v/>
      </c>
      <c r="Y401" s="518" t="str">
        <f>IF(AND(_A="B-767-200",'2024'!$N$4="FO",'2024'!$N$2=Y385),'2024DATA'!$J$18,"")</f>
        <v/>
      </c>
      <c r="Z401" s="518" t="str">
        <f>IF(AND(_A="B-767-200",'2024'!$N$4="FO",'2024'!$N$2=Z385),'2024DATA'!$K$18,"")</f>
        <v/>
      </c>
      <c r="AA401" s="518" t="str">
        <f>IF(AND(_A="B-767-200",'2024'!$N$4="FO",'2024'!$N$2=AA385),'2024DATA'!$L$18,"")</f>
        <v/>
      </c>
      <c r="AB401" s="518" t="str">
        <f>IF(AND(_A="B-767-200",'2024'!$N$4="FO",'2024'!$N$2=AB385),'2024DATA'!$M$18,"")</f>
        <v/>
      </c>
      <c r="AC401" s="520" t="str">
        <f>IF(AND(_A="B-767-200",'2024'!$N$4="FO",'2024'!$N$2=AC385),'2024DATA'!$N$18,"")</f>
        <v/>
      </c>
      <c r="AD401" s="940"/>
      <c r="AE401" s="13" t="s">
        <v>62</v>
      </c>
      <c r="AF401" s="518" t="str">
        <f>IF(AND(_B="B-767-200",'2024'!$N$4="FO",'2024'!$N$2=AF385),'2024DATA'!$C$18,"")</f>
        <v/>
      </c>
      <c r="AG401" s="518" t="str">
        <f>IF(AND(_B="B-767-200",'2024'!$N$4="FO",'2024'!$N$2=AG385),'2024DATA'!$D$18,"")</f>
        <v/>
      </c>
      <c r="AH401" s="518" t="str">
        <f>IF(AND(_B="B-767-200",'2024'!$N$4="FO",'2024'!$N$2=AH385),'2024DATA'!$E$18,"")</f>
        <v/>
      </c>
      <c r="AI401" s="518" t="str">
        <f>IF(AND(_B="B-767-200",'2024'!$N$4="FO",'2024'!$N$2=AI385),'2024DATA'!$F$18,"")</f>
        <v/>
      </c>
      <c r="AJ401" s="518" t="str">
        <f>IF(AND(_B="B-767-200",'2024'!$N$4="FO",'2024'!$N$2=AJ385),'2024DATA'!$G$18,"")</f>
        <v/>
      </c>
      <c r="AK401" s="518" t="str">
        <f>IF(AND(_B="B-767-200",'2024'!$N$4="FO",'2024'!$N$2=AK385),'2024DATA'!$H$18,"")</f>
        <v/>
      </c>
      <c r="AL401" s="518" t="str">
        <f>IF(AND(_B="B-767-200",'2024'!$N$4="FO",'2024'!$N$2=AL385),'2024DATA'!$I$18,"")</f>
        <v/>
      </c>
      <c r="AM401" s="518" t="str">
        <f>IF(AND(_B="B-767-200",'2024'!$N$4="FO",'2024'!$N$2=AM385),'2024DATA'!$J$18,"")</f>
        <v/>
      </c>
      <c r="AN401" s="518" t="str">
        <f>IF(AND(_B="B-767-200",'2024'!$N$4="FO",'2024'!$N$2=AN385),'2024DATA'!$K$18,"")</f>
        <v/>
      </c>
      <c r="AO401" s="518" t="str">
        <f>IF(AND(_B="B-767-200",'2024'!$N$4="FO",'2024'!$N$2=AO385),'2024DATA'!$L$18,"")</f>
        <v/>
      </c>
      <c r="AP401" s="518" t="str">
        <f>IF(AND(_B="B-767-200",'2024'!$N$4="FO",'2024'!$N$2=AP385),'2024DATA'!$M$18,"")</f>
        <v/>
      </c>
      <c r="AQ401" s="520" t="str">
        <f>IF(AND(_B="B-767-200",'2024'!$N$4="FO",'2024'!$N$2=AQ385),'2024DATA'!$N$18,"")</f>
        <v/>
      </c>
      <c r="AR401" s="940"/>
      <c r="AS401" s="13" t="s">
        <v>62</v>
      </c>
      <c r="AT401" s="518" t="str">
        <f>IF(AND(_C="B-767-200",'2024'!$N$4="FO",'2024'!$N$2=AT385),'2024DATA'!$C$18,"")</f>
        <v/>
      </c>
      <c r="AU401" s="518" t="str">
        <f>IF(AND(_C="B-767-200",'2024'!$N$4="FO",'2024'!$N$2=AU385),'2024DATA'!$D$18,"")</f>
        <v/>
      </c>
      <c r="AV401" s="518" t="str">
        <f>IF(AND(_C="B-767-200",'2024'!$N$4="FO",'2024'!$N$2=AV385),'2024DATA'!$E$18,"")</f>
        <v/>
      </c>
      <c r="AW401" s="518" t="str">
        <f>IF(AND(_C="B-767-200",'2024'!$N$4="FO",'2024'!$N$2=AW385),'2024DATA'!$F$18,"")</f>
        <v/>
      </c>
      <c r="AX401" s="518" t="str">
        <f>IF(AND(_C="B-767-200",'2024'!$N$4="FO",'2024'!$N$2=AX385),'2024DATA'!$G$18,"")</f>
        <v/>
      </c>
      <c r="AY401" s="518" t="str">
        <f>IF(AND(_C="B-767-200",'2024'!$N$4="FO",'2024'!$N$2=AY385),'2024DATA'!$H$18,"")</f>
        <v/>
      </c>
      <c r="AZ401" s="518" t="str">
        <f>IF(AND(_C="B-767-200",'2024'!$N$4="FO",'2024'!$N$2=AZ385),'2024DATA'!$I$18,"")</f>
        <v/>
      </c>
      <c r="BA401" s="518" t="str">
        <f>IF(AND(_C="B-767-200",'2024'!$N$4="FO",'2024'!$N$2=BA385),'2024DATA'!$J$18,"")</f>
        <v/>
      </c>
      <c r="BB401" s="518" t="str">
        <f>IF(AND(_C="B-767-200",'2024'!$N$4="FO",'2024'!$N$2=BB385),'2024DATA'!$K$18,"")</f>
        <v/>
      </c>
      <c r="BC401" s="518" t="str">
        <f>IF(AND(_C="B-767-200",'2024'!$N$4="FO",'2024'!$N$2=BC385),'2024DATA'!$L$18,"")</f>
        <v/>
      </c>
      <c r="BD401" s="518" t="str">
        <f>IF(AND(_C="B-767-200",'2024'!$N$4="FO",'2024'!$N$2=BD385),'2024DATA'!$M$18,"")</f>
        <v/>
      </c>
      <c r="BE401" s="520" t="str">
        <f>IF(AND(_C="B-767-200",'2024'!$N$4="FO",'2024'!$N$2=BE385),'2024DATA'!$N$18,"")</f>
        <v/>
      </c>
      <c r="BF401" s="940"/>
      <c r="BG401" s="13" t="s">
        <v>62</v>
      </c>
      <c r="BH401" s="518" t="str">
        <f>IF(AND(_D="B-767-200",'2024'!$N$4="FO",'2024'!$N$2=BH385),'2024DATA'!$C$18,"")</f>
        <v/>
      </c>
      <c r="BI401" s="518" t="str">
        <f>IF(AND(_D="B-767-200",'2024'!$N$4="FO",'2024'!$N$2=BI385),'2024DATA'!$D$18,"")</f>
        <v/>
      </c>
      <c r="BJ401" s="518" t="str">
        <f>IF(AND(_D="B-767-200",'2024'!$N$4="FO",'2024'!$N$2=BJ385),'2024DATA'!$E$18,"")</f>
        <v/>
      </c>
      <c r="BK401" s="518" t="str">
        <f>IF(AND(_D="B-767-200",'2024'!$N$4="FO",'2024'!$N$2=BK385),'2024DATA'!$F$18,"")</f>
        <v/>
      </c>
      <c r="BL401" s="518" t="str">
        <f>IF(AND(_D="B-767-200",'2024'!$N$4="FO",'2024'!$N$2=BL385),'2024DATA'!$G$18,"")</f>
        <v/>
      </c>
      <c r="BM401" s="518" t="str">
        <f>IF(AND(_D="B-767-200",'2024'!$N$4="FO",'2024'!$N$2=BM385),'2024DATA'!$H$18,"")</f>
        <v/>
      </c>
      <c r="BN401" s="518" t="str">
        <f>IF(AND(_D="B-767-200",'2024'!$N$4="FO",'2024'!$N$2=BN385),'2024DATA'!$I$18,"")</f>
        <v/>
      </c>
      <c r="BO401" s="518" t="str">
        <f>IF(AND(_D="B-767-200",'2024'!$N$4="FO",'2024'!$N$2=BO385),'2024DATA'!$J$18,"")</f>
        <v/>
      </c>
      <c r="BP401" s="518" t="str">
        <f>IF(AND(_D="B-767-200",'2024'!$N$4="FO",'2024'!$N$2=BP385),'2024DATA'!$K$18,"")</f>
        <v/>
      </c>
      <c r="BQ401" s="518" t="str">
        <f>IF(AND(_D="B-767-200",'2024'!$N$4="FO",'2024'!$N$2=BQ385),'2024DATA'!$L$18,"")</f>
        <v/>
      </c>
      <c r="BR401" s="518" t="str">
        <f>IF(AND(_D="B-767-200",'2024'!$N$4="FO",'2024'!$N$2=BR385),'2024DATA'!$M$18,"")</f>
        <v/>
      </c>
      <c r="BS401" s="520" t="str">
        <f>IF(AND(_D="B-767-200",'2024'!$N$4="FO",'2024'!$N$2=BS385),'2024DATA'!$N$18,"")</f>
        <v/>
      </c>
      <c r="BT401" s="940"/>
      <c r="BU401" s="13" t="s">
        <v>62</v>
      </c>
      <c r="BV401" s="518" t="str">
        <f>IF(AND(_E="B-767-200",'2024'!$N$4="FO",'2024'!$N$2=BV385),'2024DATA'!$C$18,"")</f>
        <v/>
      </c>
      <c r="BW401" s="518" t="str">
        <f>IF(AND(_E="B-767-200",'2024'!$N$4="FO",'2024'!$N$2=BW385),'2024DATA'!$D$18,"")</f>
        <v/>
      </c>
      <c r="BX401" s="518" t="str">
        <f>IF(AND(_E="B-767-200",'2024'!$N$4="FO",'2024'!$N$2=BX385),'2024DATA'!$E$18,"")</f>
        <v/>
      </c>
      <c r="BY401" s="518" t="str">
        <f>IF(AND(_E="B-767-200",'2024'!$N$4="FO",'2024'!$N$2=BY385),'2024DATA'!$F$18,"")</f>
        <v/>
      </c>
      <c r="BZ401" s="518" t="str">
        <f>IF(AND(_E="B-767-200",'2024'!$N$4="FO",'2024'!$N$2=BZ385),'2024DATA'!$G$18,"")</f>
        <v/>
      </c>
      <c r="CA401" s="518" t="str">
        <f>IF(AND(_E="B-767-200",'2024'!$N$4="FO",'2024'!$N$2=CA385),'2024DATA'!$H$18,"")</f>
        <v/>
      </c>
      <c r="CB401" s="518" t="str">
        <f>IF(AND(_E="B-767-200",'2024'!$N$4="FO",'2024'!$N$2=CB385),'2024DATA'!$I$18,"")</f>
        <v/>
      </c>
      <c r="CC401" s="518" t="str">
        <f>IF(AND(_E="B-767-200",'2024'!$N$4="FO",'2024'!$N$2=CC385),'2024DATA'!$J$18,"")</f>
        <v/>
      </c>
      <c r="CD401" s="518" t="str">
        <f>IF(AND(_E="B-767-200",'2024'!$N$4="FO",'2024'!$N$2=CD385),'2024DATA'!$K$18,"")</f>
        <v/>
      </c>
      <c r="CE401" s="518" t="str">
        <f>IF(AND(_E="B-767-200",'2024'!$N$4="FO",'2024'!$N$2=CE385),'2024DATA'!$L$18,"")</f>
        <v/>
      </c>
      <c r="CF401" s="518" t="str">
        <f>IF(AND(_E="B-767-200",'2024'!$N$4="FO",'2024'!$N$2=CF385),'2024DATA'!$M$18,"")</f>
        <v/>
      </c>
      <c r="CG401" s="520" t="str">
        <f>IF(AND(_E="B-767-200",'2024'!$N$4="FO",'2024'!$N$2=CG385),'2024DATA'!$N$18,"")</f>
        <v/>
      </c>
      <c r="CH401" s="940"/>
      <c r="CI401" s="13" t="s">
        <v>62</v>
      </c>
      <c r="CJ401" s="518" t="str">
        <f>IF(AND(_F="B-767-200",'2024'!$N$4="FO",'2024'!$N$2=CJ385),'2024DATA'!$C$18,"")</f>
        <v/>
      </c>
      <c r="CK401" s="518" t="str">
        <f>IF(AND(_F="B-767-200",'2024'!$N$4="FO",'2024'!$N$2=CK385),'2024DATA'!$D$18,"")</f>
        <v/>
      </c>
      <c r="CL401" s="518" t="str">
        <f>IF(AND(_F="B-767-200",'2024'!$N$4="FO",'2024'!$N$2=CL385),'2024DATA'!$E$18,"")</f>
        <v/>
      </c>
      <c r="CM401" s="518" t="str">
        <f>IF(AND(_F="B-767-200",'2024'!$N$4="FO",'2024'!$N$2=CM385),'2024DATA'!$F$18,"")</f>
        <v/>
      </c>
      <c r="CN401" s="518" t="str">
        <f>IF(AND(_F="B-767-200",'2024'!$N$4="FO",'2024'!$N$2=CN385),'2024DATA'!$G$18,"")</f>
        <v/>
      </c>
      <c r="CO401" s="518" t="str">
        <f>IF(AND(_F="B-767-200",'2024'!$N$4="FO",'2024'!$N$2=CO385),'2024DATA'!$H$18,"")</f>
        <v/>
      </c>
      <c r="CP401" s="518" t="str">
        <f>IF(AND(_F="B-767-200",'2024'!$N$4="FO",'2024'!$N$2=CP385),'2024DATA'!$I$18,"")</f>
        <v/>
      </c>
      <c r="CQ401" s="518" t="str">
        <f>IF(AND(_F="B-767-200",'2024'!$N$4="FO",'2024'!$N$2=CQ385),'2024DATA'!$J$18,"")</f>
        <v/>
      </c>
      <c r="CR401" s="518" t="str">
        <f>IF(AND(_F="B-767-200",'2024'!$N$4="FO",'2024'!$N$2=CR385),'2024DATA'!$K$18,"")</f>
        <v/>
      </c>
      <c r="CS401" s="518" t="str">
        <f>IF(AND(_F="B-767-200",'2024'!$N$4="FO",'2024'!$N$2=CS385),'2024DATA'!$L$18,"")</f>
        <v/>
      </c>
      <c r="CT401" s="518" t="str">
        <f>IF(AND(_F="B-767-200",'2024'!$N$4="FO",'2024'!$N$2=CT385),'2024DATA'!$M$18,"")</f>
        <v/>
      </c>
      <c r="CU401" s="520" t="str">
        <f>IF(AND(_F="B-767-200",'2024'!$N$4="FO",'2024'!$N$2=CU385),'2024DATA'!$N$18,"")</f>
        <v/>
      </c>
    </row>
    <row r="402" spans="16:99" x14ac:dyDescent="0.25">
      <c r="P402" s="940" t="s">
        <v>45</v>
      </c>
      <c r="Q402" s="13" t="s">
        <v>61</v>
      </c>
      <c r="R402" s="518" t="str">
        <f>IF(AND(_A="B-757",'2024'!$N$4="CA",'2024'!$N$2=R385),'2024DATA'!$C$19,"")</f>
        <v/>
      </c>
      <c r="S402" s="518" t="str">
        <f>IF(AND(_A="B-757",'2024'!$N$4="CA",'2024'!$N$2=S385),'2024DATA'!$D$19,"")</f>
        <v/>
      </c>
      <c r="T402" s="518" t="str">
        <f>IF(AND(_A="B-757",'2024'!$N$4="CA",'2024'!$N$2=T385),'2024DATA'!$E$19,"")</f>
        <v/>
      </c>
      <c r="U402" s="518" t="str">
        <f>IF(AND(_A="B-757",'2024'!$N$4="CA",'2024'!$N$2=U385),'2024DATA'!$F$19,"")</f>
        <v/>
      </c>
      <c r="V402" s="518" t="str">
        <f>IF(AND(_A="B-757",'2024'!$N$4="CA",'2024'!$N$2=V385),'2024DATA'!$G$19,"")</f>
        <v/>
      </c>
      <c r="W402" s="518" t="str">
        <f>IF(AND(_A="B-757",'2024'!$N$4="CA",'2024'!$N$2=W385),'2024DATA'!$H$19,"")</f>
        <v/>
      </c>
      <c r="X402" s="518" t="str">
        <f>IF(AND(_A="B-757",'2024'!$N$4="CA",'2024'!$N$2=X385),'2024DATA'!$I$19,"")</f>
        <v/>
      </c>
      <c r="Y402" s="518" t="str">
        <f>IF(AND(_A="B-757",'2024'!$N$4="CA",'2024'!$N$2=Y385),'2024DATA'!$J$19,"")</f>
        <v/>
      </c>
      <c r="Z402" s="518" t="str">
        <f>IF(AND(_A="B-757",'2024'!$N$4="CA",'2024'!$N$2=Z385),'2024DATA'!$K$19,"")</f>
        <v/>
      </c>
      <c r="AA402" s="518" t="str">
        <f>IF(AND(_A="B-757",'2024'!$N$4="CA",'2024'!$N$2=AA385),'2024DATA'!$L$19,"")</f>
        <v/>
      </c>
      <c r="AB402" s="518" t="str">
        <f>IF(AND(_A="B-757",'2024'!$N$4="CA",'2024'!$N$2=AB385),'2024DATA'!$M$19,"")</f>
        <v/>
      </c>
      <c r="AC402" s="520" t="str">
        <f>IF(AND(_A="B-757",'2024'!$N$4="CA",'2024'!$N$2=AC385),'2024DATA'!$N$19,"")</f>
        <v/>
      </c>
      <c r="AD402" s="940" t="s">
        <v>45</v>
      </c>
      <c r="AE402" s="13" t="s">
        <v>61</v>
      </c>
      <c r="AF402" s="518" t="str">
        <f>IF(AND(_B="B-757",'2024'!$N$4="CA",'2024'!$N$2=AF385),'2024DATA'!$C$19,"")</f>
        <v/>
      </c>
      <c r="AG402" s="518" t="str">
        <f>IF(AND(_B="B-757",'2024'!$N$4="CA",'2024'!$N$2=AG385),'2024DATA'!$D$19,"")</f>
        <v/>
      </c>
      <c r="AH402" s="518" t="str">
        <f>IF(AND(_B="B-757",'2024'!$N$4="CA",'2024'!$N$2=AH385),'2024DATA'!$E$19,"")</f>
        <v/>
      </c>
      <c r="AI402" s="518" t="str">
        <f>IF(AND(_B="B-757",'2024'!$N$4="CA",'2024'!$N$2=AI385),'2024DATA'!$F$19,"")</f>
        <v/>
      </c>
      <c r="AJ402" s="518" t="str">
        <f>IF(AND(_B="B-757",'2024'!$N$4="CA",'2024'!$N$2=AJ385),'2024DATA'!$G$19,"")</f>
        <v/>
      </c>
      <c r="AK402" s="518" t="str">
        <f>IF(AND(_B="B-757",'2024'!$N$4="CA",'2024'!$N$2=AK385),'2024DATA'!$H$19,"")</f>
        <v/>
      </c>
      <c r="AL402" s="518" t="str">
        <f>IF(AND(_B="B-757",'2024'!$N$4="CA",'2024'!$N$2=AL385),'2024DATA'!$I$19,"")</f>
        <v/>
      </c>
      <c r="AM402" s="518" t="str">
        <f>IF(AND(_B="B-757",'2024'!$N$4="CA",'2024'!$N$2=AM385),'2024DATA'!$J$19,"")</f>
        <v/>
      </c>
      <c r="AN402" s="518" t="str">
        <f>IF(AND(_B="B-757",'2024'!$N$4="CA",'2024'!$N$2=AN385),'2024DATA'!$K$19,"")</f>
        <v/>
      </c>
      <c r="AO402" s="518" t="str">
        <f>IF(AND(_B="B-757",'2024'!$N$4="CA",'2024'!$N$2=AO385),'2024DATA'!$L$19,"")</f>
        <v/>
      </c>
      <c r="AP402" s="518" t="str">
        <f>IF(AND(_B="B-757",'2024'!$N$4="CA",'2024'!$N$2=AP385),'2024DATA'!$M$19,"")</f>
        <v/>
      </c>
      <c r="AQ402" s="520" t="str">
        <f>IF(AND(_B="B-757",'2024'!$N$4="CA",'2024'!$N$2=AQ385),'2024DATA'!$N$19,"")</f>
        <v/>
      </c>
      <c r="AR402" s="940" t="s">
        <v>45</v>
      </c>
      <c r="AS402" s="13" t="s">
        <v>61</v>
      </c>
      <c r="AT402" s="518" t="str">
        <f>IF(AND(_C="B-757",'2024'!$N$4="CA",'2024'!$N$2=AT385),'2024DATA'!$C$19,"")</f>
        <v/>
      </c>
      <c r="AU402" s="518" t="str">
        <f>IF(AND(_C="B-757",'2024'!$N$4="CA",'2024'!$N$2=AU385),'2024DATA'!$D$19,"")</f>
        <v/>
      </c>
      <c r="AV402" s="518" t="str">
        <f>IF(AND(_C="B-757",'2024'!$N$4="CA",'2024'!$N$2=AV385),'2024DATA'!$E$19,"")</f>
        <v/>
      </c>
      <c r="AW402" s="518" t="str">
        <f>IF(AND(_C="B-757",'2024'!$N$4="CA",'2024'!$N$2=AW385),'2024DATA'!$F$19,"")</f>
        <v/>
      </c>
      <c r="AX402" s="518" t="str">
        <f>IF(AND(_C="B-757",'2024'!$N$4="CA",'2024'!$N$2=AX385),'2024DATA'!$G$19,"")</f>
        <v/>
      </c>
      <c r="AY402" s="518" t="str">
        <f>IF(AND(_C="B-757",'2024'!$N$4="CA",'2024'!$N$2=AY385),'2024DATA'!$H$19,"")</f>
        <v/>
      </c>
      <c r="AZ402" s="518" t="str">
        <f>IF(AND(_C="B-757",'2024'!$N$4="CA",'2024'!$N$2=AZ385),'2024DATA'!$I$19,"")</f>
        <v/>
      </c>
      <c r="BA402" s="518" t="str">
        <f>IF(AND(_C="B-757",'2024'!$N$4="CA",'2024'!$N$2=BA385),'2024DATA'!$J$19,"")</f>
        <v/>
      </c>
      <c r="BB402" s="518" t="str">
        <f>IF(AND(_C="B-757",'2024'!$N$4="CA",'2024'!$N$2=BB385),'2024DATA'!$K$19,"")</f>
        <v/>
      </c>
      <c r="BC402" s="518" t="str">
        <f>IF(AND(_C="B-757",'2024'!$N$4="CA",'2024'!$N$2=BC385),'2024DATA'!$L$19,"")</f>
        <v/>
      </c>
      <c r="BD402" s="518" t="str">
        <f>IF(AND(_C="B-757",'2024'!$N$4="CA",'2024'!$N$2=BD385),'2024DATA'!$M$19,"")</f>
        <v/>
      </c>
      <c r="BE402" s="520" t="str">
        <f>IF(AND(_C="B-757",'2024'!$N$4="CA",'2024'!$N$2=BE385),'2024DATA'!$N$19,"")</f>
        <v/>
      </c>
      <c r="BF402" s="940" t="s">
        <v>45</v>
      </c>
      <c r="BG402" s="13" t="s">
        <v>61</v>
      </c>
      <c r="BH402" s="518" t="str">
        <f>IF(AND(_D="B-757",'2024'!$N$4="CA",'2024'!$N$2=BH385),'2024DATA'!$C$19,"")</f>
        <v/>
      </c>
      <c r="BI402" s="518" t="str">
        <f>IF(AND(_D="B-757",'2024'!$N$4="CA",'2024'!$N$2=BI385),'2024DATA'!$D$19,"")</f>
        <v/>
      </c>
      <c r="BJ402" s="518" t="str">
        <f>IF(AND(_D="B-757",'2024'!$N$4="CA",'2024'!$N$2=BJ385),'2024DATA'!$E$19,"")</f>
        <v/>
      </c>
      <c r="BK402" s="518" t="str">
        <f>IF(AND(_D="B-757",'2024'!$N$4="CA",'2024'!$N$2=BK385),'2024DATA'!$F$19,"")</f>
        <v/>
      </c>
      <c r="BL402" s="518" t="str">
        <f>IF(AND(_D="B-757",'2024'!$N$4="CA",'2024'!$N$2=BL385),'2024DATA'!$G$19,"")</f>
        <v/>
      </c>
      <c r="BM402" s="518" t="str">
        <f>IF(AND(_D="B-757",'2024'!$N$4="CA",'2024'!$N$2=BM385),'2024DATA'!$H$19,"")</f>
        <v/>
      </c>
      <c r="BN402" s="518" t="str">
        <f>IF(AND(_D="B-757",'2024'!$N$4="CA",'2024'!$N$2=BN385),'2024DATA'!$I$19,"")</f>
        <v/>
      </c>
      <c r="BO402" s="518" t="str">
        <f>IF(AND(_D="B-757",'2024'!$N$4="CA",'2024'!$N$2=BO385),'2024DATA'!$J$19,"")</f>
        <v/>
      </c>
      <c r="BP402" s="518" t="str">
        <f>IF(AND(_D="B-757",'2024'!$N$4="CA",'2024'!$N$2=BP385),'2024DATA'!$K$19,"")</f>
        <v/>
      </c>
      <c r="BQ402" s="518" t="str">
        <f>IF(AND(_D="B-757",'2024'!$N$4="CA",'2024'!$N$2=BQ385),'2024DATA'!$L$19,"")</f>
        <v/>
      </c>
      <c r="BR402" s="518" t="str">
        <f>IF(AND(_D="B-757",'2024'!$N$4="CA",'2024'!$N$2=BR385),'2024DATA'!$M$19,"")</f>
        <v/>
      </c>
      <c r="BS402" s="520" t="str">
        <f>IF(AND(_D="B-757",'2024'!$N$4="CA",'2024'!$N$2=BS385),'2024DATA'!$N$19,"")</f>
        <v/>
      </c>
      <c r="BT402" s="940" t="s">
        <v>45</v>
      </c>
      <c r="BU402" s="13" t="s">
        <v>61</v>
      </c>
      <c r="BV402" s="518" t="str">
        <f>IF(AND(_E="B-757",'2024'!$N$4="CA",'2024'!$N$2=BV385),'2024DATA'!$C$19,"")</f>
        <v/>
      </c>
      <c r="BW402" s="518" t="str">
        <f>IF(AND(_E="B-757",'2024'!$N$4="CA",'2024'!$N$2=BW385),'2024DATA'!$D$19,"")</f>
        <v/>
      </c>
      <c r="BX402" s="518" t="str">
        <f>IF(AND(_E="B-757",'2024'!$N$4="CA",'2024'!$N$2=BX385),'2024DATA'!$E$19,"")</f>
        <v/>
      </c>
      <c r="BY402" s="518" t="str">
        <f>IF(AND(_E="B-757",'2024'!$N$4="CA",'2024'!$N$2=BY385),'2024DATA'!$F$19,"")</f>
        <v/>
      </c>
      <c r="BZ402" s="518" t="str">
        <f>IF(AND(_E="B-757",'2024'!$N$4="CA",'2024'!$N$2=BZ385),'2024DATA'!$G$19,"")</f>
        <v/>
      </c>
      <c r="CA402" s="518" t="str">
        <f>IF(AND(_E="B-757",'2024'!$N$4="CA",'2024'!$N$2=CA385),'2024DATA'!$H$19,"")</f>
        <v/>
      </c>
      <c r="CB402" s="518" t="str">
        <f>IF(AND(_E="B-757",'2024'!$N$4="CA",'2024'!$N$2=CB385),'2024DATA'!$I$19,"")</f>
        <v/>
      </c>
      <c r="CC402" s="518" t="str">
        <f>IF(AND(_E="B-757",'2024'!$N$4="CA",'2024'!$N$2=CC385),'2024DATA'!$J$19,"")</f>
        <v/>
      </c>
      <c r="CD402" s="518" t="str">
        <f>IF(AND(_E="B-757",'2024'!$N$4="CA",'2024'!$N$2=CD385),'2024DATA'!$K$19,"")</f>
        <v/>
      </c>
      <c r="CE402" s="518" t="str">
        <f>IF(AND(_E="B-757",'2024'!$N$4="CA",'2024'!$N$2=CE385),'2024DATA'!$L$19,"")</f>
        <v/>
      </c>
      <c r="CF402" s="518" t="str">
        <f>IF(AND(_E="B-757",'2024'!$N$4="CA",'2024'!$N$2=CF385),'2024DATA'!$M$19,"")</f>
        <v/>
      </c>
      <c r="CG402" s="520" t="str">
        <f>IF(AND(_E="B-757",'2024'!$N$4="CA",'2024'!$N$2=CG385),'2024DATA'!$N$19,"")</f>
        <v/>
      </c>
      <c r="CH402" s="940" t="s">
        <v>45</v>
      </c>
      <c r="CI402" s="13" t="s">
        <v>61</v>
      </c>
      <c r="CJ402" s="518" t="str">
        <f>IF(AND(_F="B-757",'2024'!$N$4="CA",'2024'!$N$2=CJ385),'2024DATA'!$C$19,"")</f>
        <v/>
      </c>
      <c r="CK402" s="518" t="str">
        <f>IF(AND(_F="B-757",'2024'!$N$4="CA",'2024'!$N$2=CK385),'2024DATA'!$D$19,"")</f>
        <v/>
      </c>
      <c r="CL402" s="518" t="str">
        <f>IF(AND(_F="B-757",'2024'!$N$4="CA",'2024'!$N$2=CL385),'2024DATA'!$E$19,"")</f>
        <v/>
      </c>
      <c r="CM402" s="518" t="str">
        <f>IF(AND(_F="B-757",'2024'!$N$4="CA",'2024'!$N$2=CM385),'2024DATA'!$F$19,"")</f>
        <v/>
      </c>
      <c r="CN402" s="518" t="str">
        <f>IF(AND(_F="B-757",'2024'!$N$4="CA",'2024'!$N$2=CN385),'2024DATA'!$G$19,"")</f>
        <v/>
      </c>
      <c r="CO402" s="518" t="str">
        <f>IF(AND(_F="B-757",'2024'!$N$4="CA",'2024'!$N$2=CO385),'2024DATA'!$H$19,"")</f>
        <v/>
      </c>
      <c r="CP402" s="518" t="str">
        <f>IF(AND(_F="B-757",'2024'!$N$4="CA",'2024'!$N$2=CP385),'2024DATA'!$I$19,"")</f>
        <v/>
      </c>
      <c r="CQ402" s="518" t="str">
        <f>IF(AND(_F="B-757",'2024'!$N$4="CA",'2024'!$N$2=CQ385),'2024DATA'!$J$19,"")</f>
        <v/>
      </c>
      <c r="CR402" s="518" t="str">
        <f>IF(AND(_F="B-757",'2024'!$N$4="CA",'2024'!$N$2=CR385),'2024DATA'!$K$19,"")</f>
        <v/>
      </c>
      <c r="CS402" s="518" t="str">
        <f>IF(AND(_F="B-757",'2024'!$N$4="CA",'2024'!$N$2=CS385),'2024DATA'!$L$19,"")</f>
        <v/>
      </c>
      <c r="CT402" s="518" t="str">
        <f>IF(AND(_F="B-757",'2024'!$N$4="CA",'2024'!$N$2=CT385),'2024DATA'!$M$19,"")</f>
        <v/>
      </c>
      <c r="CU402" s="520" t="str">
        <f>IF(AND(_F="B-757",'2024'!$N$4="CA",'2024'!$N$2=CU385),'2024DATA'!$N$19,"")</f>
        <v/>
      </c>
    </row>
    <row r="403" spans="16:99" x14ac:dyDescent="0.25">
      <c r="P403" s="940"/>
      <c r="Q403" s="13" t="s">
        <v>62</v>
      </c>
      <c r="R403" s="518" t="str">
        <f>IF(AND(_A="B-757",'2024'!$N$4="FO",'2024'!$N$2=R385),'2024DATA'!$C$20,"")</f>
        <v/>
      </c>
      <c r="S403" s="518" t="str">
        <f>IF(AND(_A="B-757",'2024'!$N$4="FO",'2024'!$N$2=S385),'2024DATA'!$D$20,"")</f>
        <v/>
      </c>
      <c r="T403" s="518" t="str">
        <f>IF(AND(_A="B-757",'2024'!$N$4="FO",'2024'!$N$2=T385),'2024DATA'!$E$20,"")</f>
        <v/>
      </c>
      <c r="U403" s="518" t="str">
        <f>IF(AND(_A="B-757",'2024'!$N$4="FO",'2024'!$N$2=U385),'2024DATA'!$F$20,"")</f>
        <v/>
      </c>
      <c r="V403" s="518" t="str">
        <f>IF(AND(_A="B-757",'2024'!$N$4="FO",'2024'!$N$2=V385),'2024DATA'!$G$20,"")</f>
        <v/>
      </c>
      <c r="W403" s="518" t="str">
        <f>IF(AND(_A="B-757",'2024'!$N$4="FO",'2024'!$N$2=W385),'2024DATA'!$H$20,"")</f>
        <v/>
      </c>
      <c r="X403" s="518" t="str">
        <f>IF(AND(_A="B-757",'2024'!$N$4="FO",'2024'!$N$2=X385),'2024DATA'!$I$20,"")</f>
        <v/>
      </c>
      <c r="Y403" s="518" t="str">
        <f>IF(AND(_A="B-757",'2024'!$N$4="FO",'2024'!$N$2=Y385),'2024DATA'!$J$20,"")</f>
        <v/>
      </c>
      <c r="Z403" s="518" t="str">
        <f>IF(AND(_A="B-757",'2024'!$N$4="FO",'2024'!$N$2=Z385),'2024DATA'!$K$20,"")</f>
        <v/>
      </c>
      <c r="AA403" s="518" t="str">
        <f>IF(AND(_A="B-757",'2024'!$N$4="FO",'2024'!$N$2=AA385),'2024DATA'!$L$20,"")</f>
        <v/>
      </c>
      <c r="AB403" s="518" t="str">
        <f>IF(AND(_A="B-757",'2024'!$N$4="FO",'2024'!$N$2=AB385),'2024DATA'!$M$20,"")</f>
        <v/>
      </c>
      <c r="AC403" s="520" t="str">
        <f>IF(AND(_A="B-757",'2024'!$N$4="FO",'2024'!$N$2=AC385),'2024DATA'!$N$20,"")</f>
        <v/>
      </c>
      <c r="AD403" s="940"/>
      <c r="AE403" s="13" t="s">
        <v>62</v>
      </c>
      <c r="AF403" s="518" t="str">
        <f>IF(AND(_B="B-757",'2024'!$N$4="FO",'2024'!$N$2=AF385),'2024DATA'!$C$20,"")</f>
        <v/>
      </c>
      <c r="AG403" s="518" t="str">
        <f>IF(AND(_B="B-757",'2024'!$N$4="FO",'2024'!$N$2=AG385),'2024DATA'!$D$20,"")</f>
        <v/>
      </c>
      <c r="AH403" s="518" t="str">
        <f>IF(AND(_B="B-757",'2024'!$N$4="FO",'2024'!$N$2=AH385),'2024DATA'!$E$20,"")</f>
        <v/>
      </c>
      <c r="AI403" s="518" t="str">
        <f>IF(AND(_B="B-757",'2024'!$N$4="FO",'2024'!$N$2=AI385),'2024DATA'!$F$20,"")</f>
        <v/>
      </c>
      <c r="AJ403" s="518" t="str">
        <f>IF(AND(_B="B-757",'2024'!$N$4="FO",'2024'!$N$2=AJ385),'2024DATA'!$G$20,"")</f>
        <v/>
      </c>
      <c r="AK403" s="518" t="str">
        <f>IF(AND(_B="B-757",'2024'!$N$4="FO",'2024'!$N$2=AK385),'2024DATA'!$H$20,"")</f>
        <v/>
      </c>
      <c r="AL403" s="518" t="str">
        <f>IF(AND(_B="B-757",'2024'!$N$4="FO",'2024'!$N$2=AL385),'2024DATA'!$I$20,"")</f>
        <v/>
      </c>
      <c r="AM403" s="518" t="str">
        <f>IF(AND(_B="B-757",'2024'!$N$4="FO",'2024'!$N$2=AM385),'2024DATA'!$J$20,"")</f>
        <v/>
      </c>
      <c r="AN403" s="518" t="str">
        <f>IF(AND(_B="B-757",'2024'!$N$4="FO",'2024'!$N$2=AN385),'2024DATA'!$K$20,"")</f>
        <v/>
      </c>
      <c r="AO403" s="518" t="str">
        <f>IF(AND(_B="B-757",'2024'!$N$4="FO",'2024'!$N$2=AO385),'2024DATA'!$L$20,"")</f>
        <v/>
      </c>
      <c r="AP403" s="518" t="str">
        <f>IF(AND(_B="B-757",'2024'!$N$4="FO",'2024'!$N$2=AP385),'2024DATA'!$M$20,"")</f>
        <v/>
      </c>
      <c r="AQ403" s="520" t="str">
        <f>IF(AND(_B="B-757",'2024'!$N$4="FO",'2024'!$N$2=AQ385),'2024DATA'!$N$20,"")</f>
        <v/>
      </c>
      <c r="AR403" s="940"/>
      <c r="AS403" s="13" t="s">
        <v>62</v>
      </c>
      <c r="AT403" s="518" t="str">
        <f>IF(AND(_C="B-757",'2024'!$N$4="FO",'2024'!$N$2=AT385),'2024DATA'!$C$20,"")</f>
        <v/>
      </c>
      <c r="AU403" s="518" t="str">
        <f>IF(AND(_C="B-757",'2024'!$N$4="FO",'2024'!$N$2=AU385),'2024DATA'!$D$20,"")</f>
        <v/>
      </c>
      <c r="AV403" s="518" t="str">
        <f>IF(AND(_C="B-757",'2024'!$N$4="FO",'2024'!$N$2=AV385),'2024DATA'!$E$20,"")</f>
        <v/>
      </c>
      <c r="AW403" s="518" t="str">
        <f>IF(AND(_C="B-757",'2024'!$N$4="FO",'2024'!$N$2=AW385),'2024DATA'!$F$20,"")</f>
        <v/>
      </c>
      <c r="AX403" s="518" t="str">
        <f>IF(AND(_C="B-757",'2024'!$N$4="FO",'2024'!$N$2=AX385),'2024DATA'!$G$20,"")</f>
        <v/>
      </c>
      <c r="AY403" s="518" t="str">
        <f>IF(AND(_C="B-757",'2024'!$N$4="FO",'2024'!$N$2=AY385),'2024DATA'!$H$20,"")</f>
        <v/>
      </c>
      <c r="AZ403" s="518" t="str">
        <f>IF(AND(_C="B-757",'2024'!$N$4="FO",'2024'!$N$2=AZ385),'2024DATA'!$I$20,"")</f>
        <v/>
      </c>
      <c r="BA403" s="518" t="str">
        <f>IF(AND(_C="B-757",'2024'!$N$4="FO",'2024'!$N$2=BA385),'2024DATA'!$J$20,"")</f>
        <v/>
      </c>
      <c r="BB403" s="518" t="str">
        <f>IF(AND(_C="B-757",'2024'!$N$4="FO",'2024'!$N$2=BB385),'2024DATA'!$K$20,"")</f>
        <v/>
      </c>
      <c r="BC403" s="518" t="str">
        <f>IF(AND(_C="B-757",'2024'!$N$4="FO",'2024'!$N$2=BC385),'2024DATA'!$L$20,"")</f>
        <v/>
      </c>
      <c r="BD403" s="518" t="str">
        <f>IF(AND(_C="B-757",'2024'!$N$4="FO",'2024'!$N$2=BD385),'2024DATA'!$M$20,"")</f>
        <v/>
      </c>
      <c r="BE403" s="520" t="str">
        <f>IF(AND(_C="B-757",'2024'!$N$4="FO",'2024'!$N$2=BE385),'2024DATA'!$N$20,"")</f>
        <v/>
      </c>
      <c r="BF403" s="940"/>
      <c r="BG403" s="13" t="s">
        <v>62</v>
      </c>
      <c r="BH403" s="518" t="str">
        <f>IF(AND(_D="B-757",'2024'!$N$4="FO",'2024'!$N$2=BH385),'2024DATA'!$C$20,"")</f>
        <v/>
      </c>
      <c r="BI403" s="518" t="str">
        <f>IF(AND(_D="B-757",'2024'!$N$4="FO",'2024'!$N$2=BI385),'2024DATA'!$D$20,"")</f>
        <v/>
      </c>
      <c r="BJ403" s="518" t="str">
        <f>IF(AND(_D="B-757",'2024'!$N$4="FO",'2024'!$N$2=BJ385),'2024DATA'!$E$20,"")</f>
        <v/>
      </c>
      <c r="BK403" s="518" t="str">
        <f>IF(AND(_D="B-757",'2024'!$N$4="FO",'2024'!$N$2=BK385),'2024DATA'!$F$20,"")</f>
        <v/>
      </c>
      <c r="BL403" s="518" t="str">
        <f>IF(AND(_D="B-757",'2024'!$N$4="FO",'2024'!$N$2=BL385),'2024DATA'!$G$20,"")</f>
        <v/>
      </c>
      <c r="BM403" s="518" t="str">
        <f>IF(AND(_D="B-757",'2024'!$N$4="FO",'2024'!$N$2=BM385),'2024DATA'!$H$20,"")</f>
        <v/>
      </c>
      <c r="BN403" s="518" t="str">
        <f>IF(AND(_D="B-757",'2024'!$N$4="FO",'2024'!$N$2=BN385),'2024DATA'!$I$20,"")</f>
        <v/>
      </c>
      <c r="BO403" s="518" t="str">
        <f>IF(AND(_D="B-757",'2024'!$N$4="FO",'2024'!$N$2=BO385),'2024DATA'!$J$20,"")</f>
        <v/>
      </c>
      <c r="BP403" s="518" t="str">
        <f>IF(AND(_D="B-757",'2024'!$N$4="FO",'2024'!$N$2=BP385),'2024DATA'!$K$20,"")</f>
        <v/>
      </c>
      <c r="BQ403" s="518" t="str">
        <f>IF(AND(_D="B-757",'2024'!$N$4="FO",'2024'!$N$2=BQ385),'2024DATA'!$L$20,"")</f>
        <v/>
      </c>
      <c r="BR403" s="518" t="str">
        <f>IF(AND(_D="B-757",'2024'!$N$4="FO",'2024'!$N$2=BR385),'2024DATA'!$M$20,"")</f>
        <v/>
      </c>
      <c r="BS403" s="520" t="str">
        <f>IF(AND(_D="B-757",'2024'!$N$4="FO",'2024'!$N$2=BS385),'2024DATA'!$N$20,"")</f>
        <v/>
      </c>
      <c r="BT403" s="940"/>
      <c r="BU403" s="13" t="s">
        <v>62</v>
      </c>
      <c r="BV403" s="518" t="str">
        <f>IF(AND(_E="B-757",'2024'!$N$4="FO",'2024'!$N$2=BV385),'2024DATA'!$C$20,"")</f>
        <v/>
      </c>
      <c r="BW403" s="518" t="str">
        <f>IF(AND(_E="B-757",'2024'!$N$4="FO",'2024'!$N$2=BW385),'2024DATA'!$D$20,"")</f>
        <v/>
      </c>
      <c r="BX403" s="518" t="str">
        <f>IF(AND(_E="B-757",'2024'!$N$4="FO",'2024'!$N$2=BX385),'2024DATA'!$E$20,"")</f>
        <v/>
      </c>
      <c r="BY403" s="518" t="str">
        <f>IF(AND(_E="B-757",'2024'!$N$4="FO",'2024'!$N$2=BY385),'2024DATA'!$F$20,"")</f>
        <v/>
      </c>
      <c r="BZ403" s="518" t="str">
        <f>IF(AND(_E="B-757",'2024'!$N$4="FO",'2024'!$N$2=BZ385),'2024DATA'!$G$20,"")</f>
        <v/>
      </c>
      <c r="CA403" s="518" t="str">
        <f>IF(AND(_E="B-757",'2024'!$N$4="FO",'2024'!$N$2=CA385),'2024DATA'!$H$20,"")</f>
        <v/>
      </c>
      <c r="CB403" s="518" t="str">
        <f>IF(AND(_E="B-757",'2024'!$N$4="FO",'2024'!$N$2=CB385),'2024DATA'!$I$20,"")</f>
        <v/>
      </c>
      <c r="CC403" s="518" t="str">
        <f>IF(AND(_E="B-757",'2024'!$N$4="FO",'2024'!$N$2=CC385),'2024DATA'!$J$20,"")</f>
        <v/>
      </c>
      <c r="CD403" s="518" t="str">
        <f>IF(AND(_E="B-757",'2024'!$N$4="FO",'2024'!$N$2=CD385),'2024DATA'!$K$20,"")</f>
        <v/>
      </c>
      <c r="CE403" s="518" t="str">
        <f>IF(AND(_E="B-757",'2024'!$N$4="FO",'2024'!$N$2=CE385),'2024DATA'!$L$20,"")</f>
        <v/>
      </c>
      <c r="CF403" s="518" t="str">
        <f>IF(AND(_E="B-757",'2024'!$N$4="FO",'2024'!$N$2=CF385),'2024DATA'!$M$20,"")</f>
        <v/>
      </c>
      <c r="CG403" s="520" t="str">
        <f>IF(AND(_E="B-757",'2024'!$N$4="FO",'2024'!$N$2=CG385),'2024DATA'!$N$20,"")</f>
        <v/>
      </c>
      <c r="CH403" s="940"/>
      <c r="CI403" s="13" t="s">
        <v>62</v>
      </c>
      <c r="CJ403" s="518" t="str">
        <f>IF(AND(_F="B-757",'2024'!$N$4="FO",'2024'!$N$2=CJ385),'2024DATA'!$C$20,"")</f>
        <v/>
      </c>
      <c r="CK403" s="518" t="str">
        <f>IF(AND(_F="B-757",'2024'!$N$4="FO",'2024'!$N$2=CK385),'2024DATA'!$D$20,"")</f>
        <v/>
      </c>
      <c r="CL403" s="518" t="str">
        <f>IF(AND(_F="B-757",'2024'!$N$4="FO",'2024'!$N$2=CL385),'2024DATA'!$E$20,"")</f>
        <v/>
      </c>
      <c r="CM403" s="518" t="str">
        <f>IF(AND(_F="B-757",'2024'!$N$4="FO",'2024'!$N$2=CM385),'2024DATA'!$F$20,"")</f>
        <v/>
      </c>
      <c r="CN403" s="518" t="str">
        <f>IF(AND(_F="B-757",'2024'!$N$4="FO",'2024'!$N$2=CN385),'2024DATA'!$G$20,"")</f>
        <v/>
      </c>
      <c r="CO403" s="518" t="str">
        <f>IF(AND(_F="B-757",'2024'!$N$4="FO",'2024'!$N$2=CO385),'2024DATA'!$H$20,"")</f>
        <v/>
      </c>
      <c r="CP403" s="518" t="str">
        <f>IF(AND(_F="B-757",'2024'!$N$4="FO",'2024'!$N$2=CP385),'2024DATA'!$I$20,"")</f>
        <v/>
      </c>
      <c r="CQ403" s="518" t="str">
        <f>IF(AND(_F="B-757",'2024'!$N$4="FO",'2024'!$N$2=CQ385),'2024DATA'!$J$20,"")</f>
        <v/>
      </c>
      <c r="CR403" s="518" t="str">
        <f>IF(AND(_F="B-757",'2024'!$N$4="FO",'2024'!$N$2=CR385),'2024DATA'!$K$20,"")</f>
        <v/>
      </c>
      <c r="CS403" s="518" t="str">
        <f>IF(AND(_F="B-757",'2024'!$N$4="FO",'2024'!$N$2=CS385),'2024DATA'!$L$20,"")</f>
        <v/>
      </c>
      <c r="CT403" s="518" t="str">
        <f>IF(AND(_F="B-757",'2024'!$N$4="FO",'2024'!$N$2=CT385),'2024DATA'!$M$20,"")</f>
        <v/>
      </c>
      <c r="CU403" s="520" t="str">
        <f>IF(AND(_F="B-757",'2024'!$N$4="FO",'2024'!$N$2=CU385),'2024DATA'!$N$20,"")</f>
        <v/>
      </c>
    </row>
    <row r="404" spans="16:99" x14ac:dyDescent="0.25">
      <c r="P404" s="940" t="s">
        <v>47</v>
      </c>
      <c r="Q404" s="13" t="s">
        <v>61</v>
      </c>
      <c r="R404" s="518" t="str">
        <f>IF(AND(_A="B-737-900",'2024'!$N$4="CA",'2024'!$N$2=R385),'2024DATA'!$C$21,"")</f>
        <v/>
      </c>
      <c r="S404" s="518" t="str">
        <f>IF(AND(_A="B-737-900",'2024'!$N$4="CA",'2024'!$N$2=S385),'2024DATA'!$D$21,"")</f>
        <v/>
      </c>
      <c r="T404" s="518" t="str">
        <f>IF(AND(_A="B-737-900",'2024'!$N$4="CA",'2024'!$N$2=T385),'2024DATA'!$E$21,"")</f>
        <v/>
      </c>
      <c r="U404" s="518" t="str">
        <f>IF(AND(_A="B-737-900",'2024'!$N$4="CA",'2024'!$N$2=U385),'2024DATA'!$F$21,"")</f>
        <v/>
      </c>
      <c r="V404" s="518" t="str">
        <f>IF(AND(_A="B-737-900",'2024'!$N$4="CA",'2024'!$N$2=V385),'2024DATA'!$G$21,"")</f>
        <v/>
      </c>
      <c r="W404" s="518" t="str">
        <f>IF(AND(_A="B-737-900",'2024'!$N$4="CA",'2024'!$N$2=W385),'2024DATA'!$H$21,"")</f>
        <v/>
      </c>
      <c r="X404" s="518" t="str">
        <f>IF(AND(_A="B-737-900",'2024'!$N$4="CA",'2024'!$N$2=X385),'2024DATA'!$I$21,"")</f>
        <v/>
      </c>
      <c r="Y404" s="518" t="str">
        <f>IF(AND(_A="B-737-900",'2024'!$N$4="CA",'2024'!$N$2=Y385),'2024DATA'!$J$21,"")</f>
        <v/>
      </c>
      <c r="Z404" s="518" t="str">
        <f>IF(AND(_A="B-737-900",'2024'!$N$4="CA",'2024'!$N$2=Z385),'2024DATA'!$K$21,"")</f>
        <v/>
      </c>
      <c r="AA404" s="518" t="str">
        <f>IF(AND(_A="B-737-900",'2024'!$N$4="CA",'2024'!$N$2=AA385),'2024DATA'!$L$21,"")</f>
        <v/>
      </c>
      <c r="AB404" s="518" t="str">
        <f>IF(AND(_A="B-737-900",'2024'!$N$4="CA",'2024'!$N$2=AB385),'2024DATA'!$M$21,"")</f>
        <v/>
      </c>
      <c r="AC404" s="520" t="str">
        <f>IF(AND(_A="B-737-900",'2024'!$N$4="CA",'2024'!$N$2=AC385),'2024DATA'!$N$21,"")</f>
        <v/>
      </c>
      <c r="AD404" s="940" t="s">
        <v>47</v>
      </c>
      <c r="AE404" s="13" t="s">
        <v>61</v>
      </c>
      <c r="AF404" s="518" t="str">
        <f>IF(AND(_B="B-737-900",'2024'!$N$4="CA",'2024'!$N$2=AF385),'2024DATA'!$C$21,"")</f>
        <v/>
      </c>
      <c r="AG404" s="518" t="str">
        <f>IF(AND(_B="B-737-900",'2024'!$N$4="CA",'2024'!$N$2=AG385),'2024DATA'!$D$21,"")</f>
        <v/>
      </c>
      <c r="AH404" s="518" t="str">
        <f>IF(AND(_B="B-737-900",'2024'!$N$4="CA",'2024'!$N$2=AH385),'2024DATA'!$E$21,"")</f>
        <v/>
      </c>
      <c r="AI404" s="518" t="str">
        <f>IF(AND(_B="B-737-900",'2024'!$N$4="CA",'2024'!$N$2=AI385),'2024DATA'!$F$21,"")</f>
        <v/>
      </c>
      <c r="AJ404" s="518" t="str">
        <f>IF(AND(_B="B-737-900",'2024'!$N$4="CA",'2024'!$N$2=AJ385),'2024DATA'!$G$21,"")</f>
        <v/>
      </c>
      <c r="AK404" s="518" t="str">
        <f>IF(AND(_B="B-737-900",'2024'!$N$4="CA",'2024'!$N$2=AK385),'2024DATA'!$H$21,"")</f>
        <v/>
      </c>
      <c r="AL404" s="518" t="str">
        <f>IF(AND(_B="B-737-900",'2024'!$N$4="CA",'2024'!$N$2=AL385),'2024DATA'!$I$21,"")</f>
        <v/>
      </c>
      <c r="AM404" s="518" t="str">
        <f>IF(AND(_B="B-737-900",'2024'!$N$4="CA",'2024'!$N$2=AM385),'2024DATA'!$J$21,"")</f>
        <v/>
      </c>
      <c r="AN404" s="518" t="str">
        <f>IF(AND(_B="B-737-900",'2024'!$N$4="CA",'2024'!$N$2=AN385),'2024DATA'!$K$21,"")</f>
        <v/>
      </c>
      <c r="AO404" s="518" t="str">
        <f>IF(AND(_B="B-737-900",'2024'!$N$4="CA",'2024'!$N$2=AO385),'2024DATA'!$L$21,"")</f>
        <v/>
      </c>
      <c r="AP404" s="518" t="str">
        <f>IF(AND(_B="B-737-900",'2024'!$N$4="CA",'2024'!$N$2=AP385),'2024DATA'!$M$21,"")</f>
        <v/>
      </c>
      <c r="AQ404" s="520" t="str">
        <f>IF(AND(_B="B-737-900",'2024'!$N$4="CA",'2024'!$N$2=AQ385),'2024DATA'!$N$21,"")</f>
        <v/>
      </c>
      <c r="AR404" s="940" t="s">
        <v>47</v>
      </c>
      <c r="AS404" s="13" t="s">
        <v>61</v>
      </c>
      <c r="AT404" s="518" t="str">
        <f>IF(AND(_C="B-737-900",'2024'!$N$4="CA",'2024'!$N$2=AT385),'2024DATA'!$C$21,"")</f>
        <v/>
      </c>
      <c r="AU404" s="518" t="str">
        <f>IF(AND(_C="B-737-900",'2024'!$N$4="CA",'2024'!$N$2=AU385),'2024DATA'!$D$21,"")</f>
        <v/>
      </c>
      <c r="AV404" s="518" t="str">
        <f>IF(AND(_C="B-737-900",'2024'!$N$4="CA",'2024'!$N$2=AV385),'2024DATA'!$E$21,"")</f>
        <v/>
      </c>
      <c r="AW404" s="518" t="str">
        <f>IF(AND(_C="B-737-900",'2024'!$N$4="CA",'2024'!$N$2=AW385),'2024DATA'!$F$21,"")</f>
        <v/>
      </c>
      <c r="AX404" s="518" t="str">
        <f>IF(AND(_C="B-737-900",'2024'!$N$4="CA",'2024'!$N$2=AX385),'2024DATA'!$G$21,"")</f>
        <v/>
      </c>
      <c r="AY404" s="518" t="str">
        <f>IF(AND(_C="B-737-900",'2024'!$N$4="CA",'2024'!$N$2=AY385),'2024DATA'!$H$21,"")</f>
        <v/>
      </c>
      <c r="AZ404" s="518" t="str">
        <f>IF(AND(_C="B-737-900",'2024'!$N$4="CA",'2024'!$N$2=AZ385),'2024DATA'!$I$21,"")</f>
        <v/>
      </c>
      <c r="BA404" s="518" t="str">
        <f>IF(AND(_C="B-737-900",'2024'!$N$4="CA",'2024'!$N$2=BA385),'2024DATA'!$J$21,"")</f>
        <v/>
      </c>
      <c r="BB404" s="518" t="str">
        <f>IF(AND(_C="B-737-900",'2024'!$N$4="CA",'2024'!$N$2=BB385),'2024DATA'!$K$21,"")</f>
        <v/>
      </c>
      <c r="BC404" s="518" t="str">
        <f>IF(AND(_C="B-737-900",'2024'!$N$4="CA",'2024'!$N$2=BC385),'2024DATA'!$L$21,"")</f>
        <v/>
      </c>
      <c r="BD404" s="518" t="str">
        <f>IF(AND(_C="B-737-900",'2024'!$N$4="CA",'2024'!$N$2=BD385),'2024DATA'!$M$21,"")</f>
        <v/>
      </c>
      <c r="BE404" s="520" t="str">
        <f>IF(AND(_C="B-737-900",'2024'!$N$4="CA",'2024'!$N$2=BE385),'2024DATA'!$N$21,"")</f>
        <v/>
      </c>
      <c r="BF404" s="940" t="s">
        <v>47</v>
      </c>
      <c r="BG404" s="13" t="s">
        <v>61</v>
      </c>
      <c r="BH404" s="518" t="str">
        <f>IF(AND(_D="B-737-900",'2024'!$N$4="CA",'2024'!$N$2=BH385),'2024DATA'!$C$21,"")</f>
        <v/>
      </c>
      <c r="BI404" s="518" t="str">
        <f>IF(AND(_D="B-737-900",'2024'!$N$4="CA",'2024'!$N$2=BI385),'2024DATA'!$D$21,"")</f>
        <v/>
      </c>
      <c r="BJ404" s="518" t="str">
        <f>IF(AND(_D="B-737-900",'2024'!$N$4="CA",'2024'!$N$2=BJ385),'2024DATA'!$E$21,"")</f>
        <v/>
      </c>
      <c r="BK404" s="518" t="str">
        <f>IF(AND(_D="B-737-900",'2024'!$N$4="CA",'2024'!$N$2=BK385),'2024DATA'!$F$21,"")</f>
        <v/>
      </c>
      <c r="BL404" s="518" t="str">
        <f>IF(AND(_D="B-737-900",'2024'!$N$4="CA",'2024'!$N$2=BL385),'2024DATA'!$G$21,"")</f>
        <v/>
      </c>
      <c r="BM404" s="518" t="str">
        <f>IF(AND(_D="B-737-900",'2024'!$N$4="CA",'2024'!$N$2=BM385),'2024DATA'!$H$21,"")</f>
        <v/>
      </c>
      <c r="BN404" s="518" t="str">
        <f>IF(AND(_D="B-737-900",'2024'!$N$4="CA",'2024'!$N$2=BN385),'2024DATA'!$I$21,"")</f>
        <v/>
      </c>
      <c r="BO404" s="518" t="str">
        <f>IF(AND(_D="B-737-900",'2024'!$N$4="CA",'2024'!$N$2=BO385),'2024DATA'!$J$21,"")</f>
        <v/>
      </c>
      <c r="BP404" s="518" t="str">
        <f>IF(AND(_D="B-737-900",'2024'!$N$4="CA",'2024'!$N$2=BP385),'2024DATA'!$K$21,"")</f>
        <v/>
      </c>
      <c r="BQ404" s="518" t="str">
        <f>IF(AND(_D="B-737-900",'2024'!$N$4="CA",'2024'!$N$2=BQ385),'2024DATA'!$L$21,"")</f>
        <v/>
      </c>
      <c r="BR404" s="518" t="str">
        <f>IF(AND(_D="B-737-900",'2024'!$N$4="CA",'2024'!$N$2=BR385),'2024DATA'!$M$21,"")</f>
        <v/>
      </c>
      <c r="BS404" s="520" t="str">
        <f>IF(AND(_D="B-737-900",'2024'!$N$4="CA",'2024'!$N$2=BS385),'2024DATA'!$N$21,"")</f>
        <v/>
      </c>
      <c r="BT404" s="940" t="s">
        <v>47</v>
      </c>
      <c r="BU404" s="13" t="s">
        <v>61</v>
      </c>
      <c r="BV404" s="518" t="str">
        <f>IF(AND(_E="B-737-900",'2024'!$N$4="CA",'2024'!$N$2=BV385),'2024DATA'!$C$21,"")</f>
        <v/>
      </c>
      <c r="BW404" s="518" t="str">
        <f>IF(AND(_E="B-737-900",'2024'!$N$4="CA",'2024'!$N$2=BW385),'2024DATA'!$D$21,"")</f>
        <v/>
      </c>
      <c r="BX404" s="518" t="str">
        <f>IF(AND(_E="B-737-900",'2024'!$N$4="CA",'2024'!$N$2=BX385),'2024DATA'!$E$21,"")</f>
        <v/>
      </c>
      <c r="BY404" s="518" t="str">
        <f>IF(AND(_E="B-737-900",'2024'!$N$4="CA",'2024'!$N$2=BY385),'2024DATA'!$F$21,"")</f>
        <v/>
      </c>
      <c r="BZ404" s="518" t="str">
        <f>IF(AND(_E="B-737-900",'2024'!$N$4="CA",'2024'!$N$2=BZ385),'2024DATA'!$G$21,"")</f>
        <v/>
      </c>
      <c r="CA404" s="518" t="str">
        <f>IF(AND(_E="B-737-900",'2024'!$N$4="CA",'2024'!$N$2=CA385),'2024DATA'!$H$21,"")</f>
        <v/>
      </c>
      <c r="CB404" s="518" t="str">
        <f>IF(AND(_E="B-737-900",'2024'!$N$4="CA",'2024'!$N$2=CB385),'2024DATA'!$I$21,"")</f>
        <v/>
      </c>
      <c r="CC404" s="518" t="str">
        <f>IF(AND(_E="B-737-900",'2024'!$N$4="CA",'2024'!$N$2=CC385),'2024DATA'!$J$21,"")</f>
        <v/>
      </c>
      <c r="CD404" s="518" t="str">
        <f>IF(AND(_E="B-737-900",'2024'!$N$4="CA",'2024'!$N$2=CD385),'2024DATA'!$K$21,"")</f>
        <v/>
      </c>
      <c r="CE404" s="518" t="str">
        <f>IF(AND(_E="B-737-900",'2024'!$N$4="CA",'2024'!$N$2=CE385),'2024DATA'!$L$21,"")</f>
        <v/>
      </c>
      <c r="CF404" s="518" t="str">
        <f>IF(AND(_E="B-737-900",'2024'!$N$4="CA",'2024'!$N$2=CF385),'2024DATA'!$M$21,"")</f>
        <v/>
      </c>
      <c r="CG404" s="520" t="str">
        <f>IF(AND(_E="B-737-900",'2024'!$N$4="CA",'2024'!$N$2=CG385),'2024DATA'!$N$21,"")</f>
        <v/>
      </c>
      <c r="CH404" s="940" t="s">
        <v>47</v>
      </c>
      <c r="CI404" s="13" t="s">
        <v>61</v>
      </c>
      <c r="CJ404" s="518" t="str">
        <f>IF(AND(_F="B-737-900",'2024'!$N$4="CA",'2024'!$N$2=CJ385),'2024DATA'!$C$21,"")</f>
        <v/>
      </c>
      <c r="CK404" s="518" t="str">
        <f>IF(AND(_F="B-737-900",'2024'!$N$4="CA",'2024'!$N$2=CK385),'2024DATA'!$D$21,"")</f>
        <v/>
      </c>
      <c r="CL404" s="518" t="str">
        <f>IF(AND(_F="B-737-900",'2024'!$N$4="CA",'2024'!$N$2=CL385),'2024DATA'!$E$21,"")</f>
        <v/>
      </c>
      <c r="CM404" s="518" t="str">
        <f>IF(AND(_F="B-737-900",'2024'!$N$4="CA",'2024'!$N$2=CM385),'2024DATA'!$F$21,"")</f>
        <v/>
      </c>
      <c r="CN404" s="518" t="str">
        <f>IF(AND(_F="B-737-900",'2024'!$N$4="CA",'2024'!$N$2=CN385),'2024DATA'!$G$21,"")</f>
        <v/>
      </c>
      <c r="CO404" s="518" t="str">
        <f>IF(AND(_F="B-737-900",'2024'!$N$4="CA",'2024'!$N$2=CO385),'2024DATA'!$H$21,"")</f>
        <v/>
      </c>
      <c r="CP404" s="518" t="str">
        <f>IF(AND(_F="B-737-900",'2024'!$N$4="CA",'2024'!$N$2=CP385),'2024DATA'!$I$21,"")</f>
        <v/>
      </c>
      <c r="CQ404" s="518" t="str">
        <f>IF(AND(_F="B-737-900",'2024'!$N$4="CA",'2024'!$N$2=CQ385),'2024DATA'!$J$21,"")</f>
        <v/>
      </c>
      <c r="CR404" s="518" t="str">
        <f>IF(AND(_F="B-737-900",'2024'!$N$4="CA",'2024'!$N$2=CR385),'2024DATA'!$K$21,"")</f>
        <v/>
      </c>
      <c r="CS404" s="518" t="str">
        <f>IF(AND(_F="B-737-900",'2024'!$N$4="CA",'2024'!$N$2=CS385),'2024DATA'!$L$21,"")</f>
        <v/>
      </c>
      <c r="CT404" s="518" t="str">
        <f>IF(AND(_F="B-737-900",'2024'!$N$4="CA",'2024'!$N$2=CT385),'2024DATA'!$M$21,"")</f>
        <v/>
      </c>
      <c r="CU404" s="520" t="str">
        <f>IF(AND(_F="B-737-900",'2024'!$N$4="CA",'2024'!$N$2=CU385),'2024DATA'!$N$21,"")</f>
        <v/>
      </c>
    </row>
    <row r="405" spans="16:99" x14ac:dyDescent="0.25">
      <c r="P405" s="940"/>
      <c r="Q405" s="13" t="s">
        <v>62</v>
      </c>
      <c r="R405" s="518" t="str">
        <f>IF(AND(_A="B-737-900",'2024'!$N$4="FO",'2024'!$N$2=R385),'2024DATA'!$C$22,"")</f>
        <v/>
      </c>
      <c r="S405" s="518" t="str">
        <f>IF(AND(_A="B-737-900",'2024'!$N$4="FO",'2024'!$N$2=S385),'2024DATA'!$D$22,"")</f>
        <v/>
      </c>
      <c r="T405" s="518" t="str">
        <f>IF(AND(_A="B-737-900",'2024'!$N$4="FO",'2024'!$N$2=T385),'2024DATA'!$E$22,"")</f>
        <v/>
      </c>
      <c r="U405" s="518" t="str">
        <f>IF(AND(_A="B-737-900",'2024'!$N$4="FO",'2024'!$N$2=U385),'2024DATA'!$F$22,"")</f>
        <v/>
      </c>
      <c r="V405" s="518" t="str">
        <f>IF(AND(_A="B-737-900",'2024'!$N$4="FO",'2024'!$N$2=V385),'2024DATA'!$G$22,"")</f>
        <v/>
      </c>
      <c r="W405" s="518" t="str">
        <f>IF(AND(_A="B-737-900",'2024'!$N$4="FO",'2024'!$N$2=W385),'2024DATA'!$H$22,"")</f>
        <v/>
      </c>
      <c r="X405" s="518" t="str">
        <f>IF(AND(_A="B-737-900",'2024'!$N$4="FO",'2024'!$N$2=X385),'2024DATA'!$I$22,"")</f>
        <v/>
      </c>
      <c r="Y405" s="518" t="str">
        <f>IF(AND(_A="B-737-900",'2024'!$N$4="FO",'2024'!$N$2=Y385),'2024DATA'!$J$22,"")</f>
        <v/>
      </c>
      <c r="Z405" s="518" t="str">
        <f>IF(AND(_A="B-737-900",'2024'!$N$4="FO",'2024'!$N$2=Z385),'2024DATA'!$K$22,"")</f>
        <v/>
      </c>
      <c r="AA405" s="518" t="str">
        <f>IF(AND(_A="B-737-900",'2024'!$N$4="FO",'2024'!$N$2=AA385),'2024DATA'!$L$22,"")</f>
        <v/>
      </c>
      <c r="AB405" s="518" t="str">
        <f>IF(AND(_A="B-737-900",'2024'!$N$4="FO",'2024'!$N$2=AB385),'2024DATA'!$M$22,"")</f>
        <v/>
      </c>
      <c r="AC405" s="520" t="str">
        <f>IF(AND(_A="B-737-900",'2024'!$N$4="FO",'2024'!$N$2=AC385),'2024DATA'!$N$22,"")</f>
        <v/>
      </c>
      <c r="AD405" s="940"/>
      <c r="AE405" s="13" t="s">
        <v>62</v>
      </c>
      <c r="AF405" s="518" t="str">
        <f>IF(AND(_B="B-737-900",'2024'!$N$4="FO",'2024'!$N$2=AF385),'2024DATA'!$C$22,"")</f>
        <v/>
      </c>
      <c r="AG405" s="518" t="str">
        <f>IF(AND(_B="B-737-900",'2024'!$N$4="FO",'2024'!$N$2=AG385),'2024DATA'!$D$22,"")</f>
        <v/>
      </c>
      <c r="AH405" s="518" t="str">
        <f>IF(AND(_B="B-737-900",'2024'!$N$4="FO",'2024'!$N$2=AH385),'2024DATA'!$E$22,"")</f>
        <v/>
      </c>
      <c r="AI405" s="518" t="str">
        <f>IF(AND(_B="B-737-900",'2024'!$N$4="FO",'2024'!$N$2=AI385),'2024DATA'!$F$22,"")</f>
        <v/>
      </c>
      <c r="AJ405" s="518" t="str">
        <f>IF(AND(_B="B-737-900",'2024'!$N$4="FO",'2024'!$N$2=AJ385),'2024DATA'!$G$22,"")</f>
        <v/>
      </c>
      <c r="AK405" s="518" t="str">
        <f>IF(AND(_B="B-737-900",'2024'!$N$4="FO",'2024'!$N$2=AK385),'2024DATA'!$H$22,"")</f>
        <v/>
      </c>
      <c r="AL405" s="518" t="str">
        <f>IF(AND(_B="B-737-900",'2024'!$N$4="FO",'2024'!$N$2=AL385),'2024DATA'!$I$22,"")</f>
        <v/>
      </c>
      <c r="AM405" s="518" t="str">
        <f>IF(AND(_B="B-737-900",'2024'!$N$4="FO",'2024'!$N$2=AM385),'2024DATA'!$J$22,"")</f>
        <v/>
      </c>
      <c r="AN405" s="518" t="str">
        <f>IF(AND(_B="B-737-900",'2024'!$N$4="FO",'2024'!$N$2=AN385),'2024DATA'!$K$22,"")</f>
        <v/>
      </c>
      <c r="AO405" s="518" t="str">
        <f>IF(AND(_B="B-737-900",'2024'!$N$4="FO",'2024'!$N$2=AO385),'2024DATA'!$L$22,"")</f>
        <v/>
      </c>
      <c r="AP405" s="518" t="str">
        <f>IF(AND(_B="B-737-900",'2024'!$N$4="FO",'2024'!$N$2=AP385),'2024DATA'!$M$22,"")</f>
        <v/>
      </c>
      <c r="AQ405" s="520" t="str">
        <f>IF(AND(_B="B-737-900",'2024'!$N$4="FO",'2024'!$N$2=AQ385),'2024DATA'!$N$22,"")</f>
        <v/>
      </c>
      <c r="AR405" s="940"/>
      <c r="AS405" s="13" t="s">
        <v>62</v>
      </c>
      <c r="AT405" s="518" t="str">
        <f>IF(AND(_C="B-737-900",'2024'!$N$4="FO",'2024'!$N$2=AT385),'2024DATA'!$C$22,"")</f>
        <v/>
      </c>
      <c r="AU405" s="518" t="str">
        <f>IF(AND(_C="B-737-900",'2024'!$N$4="FO",'2024'!$N$2=AU385),'2024DATA'!$D$22,"")</f>
        <v/>
      </c>
      <c r="AV405" s="518" t="str">
        <f>IF(AND(_C="B-737-900",'2024'!$N$4="FO",'2024'!$N$2=AV385),'2024DATA'!$E$22,"")</f>
        <v/>
      </c>
      <c r="AW405" s="518" t="str">
        <f>IF(AND(_C="B-737-900",'2024'!$N$4="FO",'2024'!$N$2=AW385),'2024DATA'!$F$22,"")</f>
        <v/>
      </c>
      <c r="AX405" s="518" t="str">
        <f>IF(AND(_C="B-737-900",'2024'!$N$4="FO",'2024'!$N$2=AX385),'2024DATA'!$G$22,"")</f>
        <v/>
      </c>
      <c r="AY405" s="518" t="str">
        <f>IF(AND(_C="B-737-900",'2024'!$N$4="FO",'2024'!$N$2=AY385),'2024DATA'!$H$22,"")</f>
        <v/>
      </c>
      <c r="AZ405" s="518" t="str">
        <f>IF(AND(_C="B-737-900",'2024'!$N$4="FO",'2024'!$N$2=AZ385),'2024DATA'!$I$22,"")</f>
        <v/>
      </c>
      <c r="BA405" s="518" t="str">
        <f>IF(AND(_C="B-737-900",'2024'!$N$4="FO",'2024'!$N$2=BA385),'2024DATA'!$J$22,"")</f>
        <v/>
      </c>
      <c r="BB405" s="518" t="str">
        <f>IF(AND(_C="B-737-900",'2024'!$N$4="FO",'2024'!$N$2=BB385),'2024DATA'!$K$22,"")</f>
        <v/>
      </c>
      <c r="BC405" s="518" t="str">
        <f>IF(AND(_C="B-737-900",'2024'!$N$4="FO",'2024'!$N$2=BC385),'2024DATA'!$L$22,"")</f>
        <v/>
      </c>
      <c r="BD405" s="518" t="str">
        <f>IF(AND(_C="B-737-900",'2024'!$N$4="FO",'2024'!$N$2=BD385),'2024DATA'!$M$22,"")</f>
        <v/>
      </c>
      <c r="BE405" s="520" t="str">
        <f>IF(AND(_C="B-737-900",'2024'!$N$4="FO",'2024'!$N$2=BE385),'2024DATA'!$N$22,"")</f>
        <v/>
      </c>
      <c r="BF405" s="940"/>
      <c r="BG405" s="13" t="s">
        <v>62</v>
      </c>
      <c r="BH405" s="518" t="str">
        <f>IF(AND(_D="B-737-900",'2024'!$N$4="FO",'2024'!$N$2=BH385),'2024DATA'!$C$22,"")</f>
        <v/>
      </c>
      <c r="BI405" s="518" t="str">
        <f>IF(AND(_D="B-737-900",'2024'!$N$4="FO",'2024'!$N$2=BI385),'2024DATA'!$D$22,"")</f>
        <v/>
      </c>
      <c r="BJ405" s="518" t="str">
        <f>IF(AND(_D="B-737-900",'2024'!$N$4="FO",'2024'!$N$2=BJ385),'2024DATA'!$E$22,"")</f>
        <v/>
      </c>
      <c r="BK405" s="518" t="str">
        <f>IF(AND(_D="B-737-900",'2024'!$N$4="FO",'2024'!$N$2=BK385),'2024DATA'!$F$22,"")</f>
        <v/>
      </c>
      <c r="BL405" s="518" t="str">
        <f>IF(AND(_D="B-737-900",'2024'!$N$4="FO",'2024'!$N$2=BL385),'2024DATA'!$G$22,"")</f>
        <v/>
      </c>
      <c r="BM405" s="518" t="str">
        <f>IF(AND(_D="B-737-900",'2024'!$N$4="FO",'2024'!$N$2=BM385),'2024DATA'!$H$22,"")</f>
        <v/>
      </c>
      <c r="BN405" s="518" t="str">
        <f>IF(AND(_D="B-737-900",'2024'!$N$4="FO",'2024'!$N$2=BN385),'2024DATA'!$I$22,"")</f>
        <v/>
      </c>
      <c r="BO405" s="518" t="str">
        <f>IF(AND(_D="B-737-900",'2024'!$N$4="FO",'2024'!$N$2=BO385),'2024DATA'!$J$22,"")</f>
        <v/>
      </c>
      <c r="BP405" s="518" t="str">
        <f>IF(AND(_D="B-737-900",'2024'!$N$4="FO",'2024'!$N$2=BP385),'2024DATA'!$K$22,"")</f>
        <v/>
      </c>
      <c r="BQ405" s="518" t="str">
        <f>IF(AND(_D="B-737-900",'2024'!$N$4="FO",'2024'!$N$2=BQ385),'2024DATA'!$L$22,"")</f>
        <v/>
      </c>
      <c r="BR405" s="518" t="str">
        <f>IF(AND(_D="B-737-900",'2024'!$N$4="FO",'2024'!$N$2=BR385),'2024DATA'!$M$22,"")</f>
        <v/>
      </c>
      <c r="BS405" s="520" t="str">
        <f>IF(AND(_D="B-737-900",'2024'!$N$4="FO",'2024'!$N$2=BS385),'2024DATA'!$N$22,"")</f>
        <v/>
      </c>
      <c r="BT405" s="940"/>
      <c r="BU405" s="13" t="s">
        <v>62</v>
      </c>
      <c r="BV405" s="518" t="str">
        <f>IF(AND(_E="B-737-900",'2024'!$N$4="FO",'2024'!$N$2=BV385),'2024DATA'!$C$22,"")</f>
        <v/>
      </c>
      <c r="BW405" s="518" t="str">
        <f>IF(AND(_E="B-737-900",'2024'!$N$4="FO",'2024'!$N$2=BW385),'2024DATA'!$D$22,"")</f>
        <v/>
      </c>
      <c r="BX405" s="518" t="str">
        <f>IF(AND(_E="B-737-900",'2024'!$N$4="FO",'2024'!$N$2=BX385),'2024DATA'!$E$22,"")</f>
        <v/>
      </c>
      <c r="BY405" s="518" t="str">
        <f>IF(AND(_E="B-737-900",'2024'!$N$4="FO",'2024'!$N$2=BY385),'2024DATA'!$F$22,"")</f>
        <v/>
      </c>
      <c r="BZ405" s="518" t="str">
        <f>IF(AND(_E="B-737-900",'2024'!$N$4="FO",'2024'!$N$2=BZ385),'2024DATA'!$G$22,"")</f>
        <v/>
      </c>
      <c r="CA405" s="518" t="str">
        <f>IF(AND(_E="B-737-900",'2024'!$N$4="FO",'2024'!$N$2=CA385),'2024DATA'!$H$22,"")</f>
        <v/>
      </c>
      <c r="CB405" s="518" t="str">
        <f>IF(AND(_E="B-737-900",'2024'!$N$4="FO",'2024'!$N$2=CB385),'2024DATA'!$I$22,"")</f>
        <v/>
      </c>
      <c r="CC405" s="518" t="str">
        <f>IF(AND(_E="B-737-900",'2024'!$N$4="FO",'2024'!$N$2=CC385),'2024DATA'!$J$22,"")</f>
        <v/>
      </c>
      <c r="CD405" s="518" t="str">
        <f>IF(AND(_E="B-737-900",'2024'!$N$4="FO",'2024'!$N$2=CD385),'2024DATA'!$K$22,"")</f>
        <v/>
      </c>
      <c r="CE405" s="518" t="str">
        <f>IF(AND(_E="B-737-900",'2024'!$N$4="FO",'2024'!$N$2=CE385),'2024DATA'!$L$22,"")</f>
        <v/>
      </c>
      <c r="CF405" s="518" t="str">
        <f>IF(AND(_E="B-737-900",'2024'!$N$4="FO",'2024'!$N$2=CF385),'2024DATA'!$M$22,"")</f>
        <v/>
      </c>
      <c r="CG405" s="520" t="str">
        <f>IF(AND(_E="B-737-900",'2024'!$N$4="FO",'2024'!$N$2=CG385),'2024DATA'!$N$22,"")</f>
        <v/>
      </c>
      <c r="CH405" s="940"/>
      <c r="CI405" s="13" t="s">
        <v>62</v>
      </c>
      <c r="CJ405" s="518" t="str">
        <f>IF(AND(_F="B-737-900",'2024'!$N$4="FO",'2024'!$N$2=CJ385),'2024DATA'!$C$22,"")</f>
        <v/>
      </c>
      <c r="CK405" s="518" t="str">
        <f>IF(AND(_F="B-737-900",'2024'!$N$4="FO",'2024'!$N$2=CK385),'2024DATA'!$D$22,"")</f>
        <v/>
      </c>
      <c r="CL405" s="518" t="str">
        <f>IF(AND(_F="B-737-900",'2024'!$N$4="FO",'2024'!$N$2=CL385),'2024DATA'!$E$22,"")</f>
        <v/>
      </c>
      <c r="CM405" s="518" t="str">
        <f>IF(AND(_F="B-737-900",'2024'!$N$4="FO",'2024'!$N$2=CM385),'2024DATA'!$F$22,"")</f>
        <v/>
      </c>
      <c r="CN405" s="518" t="str">
        <f>IF(AND(_F="B-737-900",'2024'!$N$4="FO",'2024'!$N$2=CN385),'2024DATA'!$G$22,"")</f>
        <v/>
      </c>
      <c r="CO405" s="518" t="str">
        <f>IF(AND(_F="B-737-900",'2024'!$N$4="FO",'2024'!$N$2=CO385),'2024DATA'!$H$22,"")</f>
        <v/>
      </c>
      <c r="CP405" s="518" t="str">
        <f>IF(AND(_F="B-737-900",'2024'!$N$4="FO",'2024'!$N$2=CP385),'2024DATA'!$I$22,"")</f>
        <v/>
      </c>
      <c r="CQ405" s="518" t="str">
        <f>IF(AND(_F="B-737-900",'2024'!$N$4="FO",'2024'!$N$2=CQ385),'2024DATA'!$J$22,"")</f>
        <v/>
      </c>
      <c r="CR405" s="518" t="str">
        <f>IF(AND(_F="B-737-900",'2024'!$N$4="FO",'2024'!$N$2=CR385),'2024DATA'!$K$22,"")</f>
        <v/>
      </c>
      <c r="CS405" s="518" t="str">
        <f>IF(AND(_F="B-737-900",'2024'!$N$4="FO",'2024'!$N$2=CS385),'2024DATA'!$L$22,"")</f>
        <v/>
      </c>
      <c r="CT405" s="518" t="str">
        <f>IF(AND(_F="B-737-900",'2024'!$N$4="FO",'2024'!$N$2=CT385),'2024DATA'!$M$22,"")</f>
        <v/>
      </c>
      <c r="CU405" s="520" t="str">
        <f>IF(AND(_F="B-737-900",'2024'!$N$4="FO",'2024'!$N$2=CU385),'2024DATA'!$N$22,"")</f>
        <v/>
      </c>
    </row>
    <row r="406" spans="16:99" x14ac:dyDescent="0.25">
      <c r="P406" s="940" t="s">
        <v>69</v>
      </c>
      <c r="Q406" s="13" t="s">
        <v>61</v>
      </c>
      <c r="R406" s="518" t="str">
        <f>IF(AND(_A="B-737-800",'2024'!$N$4="CA",'2024'!$N$2=R385),'2024DATA'!$C$23,"")</f>
        <v/>
      </c>
      <c r="S406" s="518" t="str">
        <f>IF(AND(_A="B-737-800",'2024'!$N$4="CA",'2024'!$N$2=S385),'2024DATA'!$D$23,"")</f>
        <v/>
      </c>
      <c r="T406" s="518" t="str">
        <f>IF(AND(_A="B-737-800",'2024'!$N$4="CA",'2024'!$N$2=T385),'2024DATA'!$E$23,"")</f>
        <v/>
      </c>
      <c r="U406" s="518" t="str">
        <f>IF(AND(_A="B-737-800",'2024'!$N$4="CA",'2024'!$N$2=U385),'2024DATA'!$F$23,"")</f>
        <v/>
      </c>
      <c r="V406" s="518" t="str">
        <f>IF(AND(_A="B-737-800",'2024'!$N$4="CA",'2024'!$N$2=V385),'2024DATA'!$G$23,"")</f>
        <v/>
      </c>
      <c r="W406" s="518" t="str">
        <f>IF(AND(_A="B-737-800",'2024'!$N$4="CA",'2024'!$N$2=W385),'2024DATA'!$H$23,"")</f>
        <v/>
      </c>
      <c r="X406" s="518" t="str">
        <f>IF(AND(_A="B-737-800",'2024'!$N$4="CA",'2024'!$N$2=X385),'2024DATA'!$I$23,"")</f>
        <v/>
      </c>
      <c r="Y406" s="518" t="str">
        <f>IF(AND(_A="B-737-800",'2024'!$N$4="CA",'2024'!$N$2=Y385),'2024DATA'!$J$23,"")</f>
        <v/>
      </c>
      <c r="Z406" s="518" t="str">
        <f>IF(AND(_A="B-737-800",'2024'!$N$4="CA",'2024'!$N$2=Z385),'2024DATA'!$K$23,"")</f>
        <v/>
      </c>
      <c r="AA406" s="518" t="str">
        <f>IF(AND(_A="B-737-800",'2024'!$N$4="CA",'2024'!$N$2=AA385),'2024DATA'!$L$23,"")</f>
        <v/>
      </c>
      <c r="AB406" s="518" t="str">
        <f>IF(AND(_A="B-737-800",'2024'!$N$4="CA",'2024'!$N$2=AB385),'2024DATA'!$M$23,"")</f>
        <v/>
      </c>
      <c r="AC406" s="520" t="str">
        <f>IF(AND(_A="B-737-800",'2024'!$N$4="CA",'2024'!$N$2=AC385),'2024DATA'!$N$23,"")</f>
        <v/>
      </c>
      <c r="AD406" s="940" t="s">
        <v>69</v>
      </c>
      <c r="AE406" s="13" t="s">
        <v>61</v>
      </c>
      <c r="AF406" s="518" t="str">
        <f>IF(AND(_B="B-737-800",'2024'!$N$4="CA",'2024'!$N$2=AF385),'2024DATA'!$C$23,"")</f>
        <v/>
      </c>
      <c r="AG406" s="518" t="str">
        <f>IF(AND(_B="B-737-800",'2024'!$N$4="CA",'2024'!$N$2=AG385),'2024DATA'!$D$23,"")</f>
        <v/>
      </c>
      <c r="AH406" s="518" t="str">
        <f>IF(AND(_B="B-737-800",'2024'!$N$4="CA",'2024'!$N$2=AH385),'2024DATA'!$E$23,"")</f>
        <v/>
      </c>
      <c r="AI406" s="518" t="str">
        <f>IF(AND(_B="B-737-800",'2024'!$N$4="CA",'2024'!$N$2=AI385),'2024DATA'!$F$23,"")</f>
        <v/>
      </c>
      <c r="AJ406" s="518" t="str">
        <f>IF(AND(_B="B-737-800",'2024'!$N$4="CA",'2024'!$N$2=AJ385),'2024DATA'!$G$23,"")</f>
        <v/>
      </c>
      <c r="AK406" s="518" t="str">
        <f>IF(AND(_B="B-737-800",'2024'!$N$4="CA",'2024'!$N$2=AK385),'2024DATA'!$H$23,"")</f>
        <v/>
      </c>
      <c r="AL406" s="518" t="str">
        <f>IF(AND(_B="B-737-800",'2024'!$N$4="CA",'2024'!$N$2=AL385),'2024DATA'!$I$23,"")</f>
        <v/>
      </c>
      <c r="AM406" s="518" t="str">
        <f>IF(AND(_B="B-737-800",'2024'!$N$4="CA",'2024'!$N$2=AM385),'2024DATA'!$J$23,"")</f>
        <v/>
      </c>
      <c r="AN406" s="518" t="str">
        <f>IF(AND(_B="B-737-800",'2024'!$N$4="CA",'2024'!$N$2=AN385),'2024DATA'!$K$23,"")</f>
        <v/>
      </c>
      <c r="AO406" s="518" t="str">
        <f>IF(AND(_B="B-737-800",'2024'!$N$4="CA",'2024'!$N$2=AO385),'2024DATA'!$L$23,"")</f>
        <v/>
      </c>
      <c r="AP406" s="518" t="str">
        <f>IF(AND(_B="B-737-800",'2024'!$N$4="CA",'2024'!$N$2=AP385),'2024DATA'!$M$23,"")</f>
        <v/>
      </c>
      <c r="AQ406" s="520" t="str">
        <f>IF(AND(_B="B-737-800",'2024'!$N$4="CA",'2024'!$N$2=AQ385),'2024DATA'!$N$23,"")</f>
        <v/>
      </c>
      <c r="AR406" s="940" t="s">
        <v>69</v>
      </c>
      <c r="AS406" s="13" t="s">
        <v>61</v>
      </c>
      <c r="AT406" s="518" t="str">
        <f>IF(AND(_C="B-737-800",'2024'!$N$4="CA",'2024'!$N$2=AT385),'2024DATA'!$C$23,"")</f>
        <v/>
      </c>
      <c r="AU406" s="518" t="str">
        <f>IF(AND(_C="B-737-800",'2024'!$N$4="CA",'2024'!$N$2=AU385),'2024DATA'!$D$23,"")</f>
        <v/>
      </c>
      <c r="AV406" s="518" t="str">
        <f>IF(AND(_C="B-737-800",'2024'!$N$4="CA",'2024'!$N$2=AV385),'2024DATA'!$E$23,"")</f>
        <v/>
      </c>
      <c r="AW406" s="518" t="str">
        <f>IF(AND(_C="B-737-800",'2024'!$N$4="CA",'2024'!$N$2=AW385),'2024DATA'!$F$23,"")</f>
        <v/>
      </c>
      <c r="AX406" s="518" t="str">
        <f>IF(AND(_C="B-737-800",'2024'!$N$4="CA",'2024'!$N$2=AX385),'2024DATA'!$G$23,"")</f>
        <v/>
      </c>
      <c r="AY406" s="518" t="str">
        <f>IF(AND(_C="B-737-800",'2024'!$N$4="CA",'2024'!$N$2=AY385),'2024DATA'!$H$23,"")</f>
        <v/>
      </c>
      <c r="AZ406" s="518" t="str">
        <f>IF(AND(_C="B-737-800",'2024'!$N$4="CA",'2024'!$N$2=AZ385),'2024DATA'!$I$23,"")</f>
        <v/>
      </c>
      <c r="BA406" s="518" t="str">
        <f>IF(AND(_C="B-737-800",'2024'!$N$4="CA",'2024'!$N$2=BA385),'2024DATA'!$J$23,"")</f>
        <v/>
      </c>
      <c r="BB406" s="518" t="str">
        <f>IF(AND(_C="B-737-800",'2024'!$N$4="CA",'2024'!$N$2=BB385),'2024DATA'!$K$23,"")</f>
        <v/>
      </c>
      <c r="BC406" s="518" t="str">
        <f>IF(AND(_C="B-737-800",'2024'!$N$4="CA",'2024'!$N$2=BC385),'2024DATA'!$L$23,"")</f>
        <v/>
      </c>
      <c r="BD406" s="518" t="str">
        <f>IF(AND(_C="B-737-800",'2024'!$N$4="CA",'2024'!$N$2=BD385),'2024DATA'!$M$23,"")</f>
        <v/>
      </c>
      <c r="BE406" s="520" t="str">
        <f>IF(AND(_C="B-737-800",'2024'!$N$4="CA",'2024'!$N$2=BE385),'2024DATA'!$N$23,"")</f>
        <v/>
      </c>
      <c r="BF406" s="940" t="s">
        <v>69</v>
      </c>
      <c r="BG406" s="13" t="s">
        <v>61</v>
      </c>
      <c r="BH406" s="518" t="str">
        <f>IF(AND(_D="B-737-800",'2024'!$N$4="CA",'2024'!$N$2=BH385),'2024DATA'!$C$23,"")</f>
        <v/>
      </c>
      <c r="BI406" s="518" t="str">
        <f>IF(AND(_D="B-737-800",'2024'!$N$4="CA",'2024'!$N$2=BI385),'2024DATA'!$D$23,"")</f>
        <v/>
      </c>
      <c r="BJ406" s="518" t="str">
        <f>IF(AND(_D="B-737-800",'2024'!$N$4="CA",'2024'!$N$2=BJ385),'2024DATA'!$E$23,"")</f>
        <v/>
      </c>
      <c r="BK406" s="518" t="str">
        <f>IF(AND(_D="B-737-800",'2024'!$N$4="CA",'2024'!$N$2=BK385),'2024DATA'!$F$23,"")</f>
        <v/>
      </c>
      <c r="BL406" s="518" t="str">
        <f>IF(AND(_D="B-737-800",'2024'!$N$4="CA",'2024'!$N$2=BL385),'2024DATA'!$G$23,"")</f>
        <v/>
      </c>
      <c r="BM406" s="518" t="str">
        <f>IF(AND(_D="B-737-800",'2024'!$N$4="CA",'2024'!$N$2=BM385),'2024DATA'!$H$23,"")</f>
        <v/>
      </c>
      <c r="BN406" s="518" t="str">
        <f>IF(AND(_D="B-737-800",'2024'!$N$4="CA",'2024'!$N$2=BN385),'2024DATA'!$I$23,"")</f>
        <v/>
      </c>
      <c r="BO406" s="518" t="str">
        <f>IF(AND(_D="B-737-800",'2024'!$N$4="CA",'2024'!$N$2=BO385),'2024DATA'!$J$23,"")</f>
        <v/>
      </c>
      <c r="BP406" s="518" t="str">
        <f>IF(AND(_D="B-737-800",'2024'!$N$4="CA",'2024'!$N$2=BP385),'2024DATA'!$K$23,"")</f>
        <v/>
      </c>
      <c r="BQ406" s="518" t="str">
        <f>IF(AND(_D="B-737-800",'2024'!$N$4="CA",'2024'!$N$2=BQ385),'2024DATA'!$L$23,"")</f>
        <v/>
      </c>
      <c r="BR406" s="518" t="str">
        <f>IF(AND(_D="B-737-800",'2024'!$N$4="CA",'2024'!$N$2=BR385),'2024DATA'!$M$23,"")</f>
        <v/>
      </c>
      <c r="BS406" s="520" t="str">
        <f>IF(AND(_D="B-737-800",'2024'!$N$4="CA",'2024'!$N$2=BS385),'2024DATA'!$N$23,"")</f>
        <v/>
      </c>
      <c r="BT406" s="940" t="s">
        <v>69</v>
      </c>
      <c r="BU406" s="13" t="s">
        <v>61</v>
      </c>
      <c r="BV406" s="518" t="str">
        <f>IF(AND(_E="B-737-800",'2024'!$N$4="CA",'2024'!$N$2=BV385),'2024DATA'!$C$23,"")</f>
        <v/>
      </c>
      <c r="BW406" s="518" t="str">
        <f>IF(AND(_E="B-737-800",'2024'!$N$4="CA",'2024'!$N$2=BW385),'2024DATA'!$D$23,"")</f>
        <v/>
      </c>
      <c r="BX406" s="518" t="str">
        <f>IF(AND(_E="B-737-800",'2024'!$N$4="CA",'2024'!$N$2=BX385),'2024DATA'!$E$23,"")</f>
        <v/>
      </c>
      <c r="BY406" s="518" t="str">
        <f>IF(AND(_E="B-737-800",'2024'!$N$4="CA",'2024'!$N$2=BY385),'2024DATA'!$F$23,"")</f>
        <v/>
      </c>
      <c r="BZ406" s="518" t="str">
        <f>IF(AND(_E="B-737-800",'2024'!$N$4="CA",'2024'!$N$2=BZ385),'2024DATA'!$G$23,"")</f>
        <v/>
      </c>
      <c r="CA406" s="518" t="str">
        <f>IF(AND(_E="B-737-800",'2024'!$N$4="CA",'2024'!$N$2=CA385),'2024DATA'!$H$23,"")</f>
        <v/>
      </c>
      <c r="CB406" s="518" t="str">
        <f>IF(AND(_E="B-737-800",'2024'!$N$4="CA",'2024'!$N$2=CB385),'2024DATA'!$I$23,"")</f>
        <v/>
      </c>
      <c r="CC406" s="518" t="str">
        <f>IF(AND(_E="B-737-800",'2024'!$N$4="CA",'2024'!$N$2=CC385),'2024DATA'!$J$23,"")</f>
        <v/>
      </c>
      <c r="CD406" s="518" t="str">
        <f>IF(AND(_E="B-737-800",'2024'!$N$4="CA",'2024'!$N$2=CD385),'2024DATA'!$K$23,"")</f>
        <v/>
      </c>
      <c r="CE406" s="518" t="str">
        <f>IF(AND(_E="B-737-800",'2024'!$N$4="CA",'2024'!$N$2=CE385),'2024DATA'!$L$23,"")</f>
        <v/>
      </c>
      <c r="CF406" s="518" t="str">
        <f>IF(AND(_E="B-737-800",'2024'!$N$4="CA",'2024'!$N$2=CF385),'2024DATA'!$M$23,"")</f>
        <v/>
      </c>
      <c r="CG406" s="520" t="str">
        <f>IF(AND(_E="B-737-800",'2024'!$N$4="CA",'2024'!$N$2=CG385),'2024DATA'!$N$23,"")</f>
        <v/>
      </c>
      <c r="CH406" s="940" t="s">
        <v>69</v>
      </c>
      <c r="CI406" s="13" t="s">
        <v>61</v>
      </c>
      <c r="CJ406" s="518" t="str">
        <f>IF(AND(_F="B-737-800",'2024'!$N$4="CA",'2024'!$N$2=CJ385),'2024DATA'!$C$23,"")</f>
        <v/>
      </c>
      <c r="CK406" s="518" t="str">
        <f>IF(AND(_F="B-737-800",'2024'!$N$4="CA",'2024'!$N$2=CK385),'2024DATA'!$D$23,"")</f>
        <v/>
      </c>
      <c r="CL406" s="518" t="str">
        <f>IF(AND(_F="B-737-800",'2024'!$N$4="CA",'2024'!$N$2=CL385),'2024DATA'!$E$23,"")</f>
        <v/>
      </c>
      <c r="CM406" s="518" t="str">
        <f>IF(AND(_F="B-737-800",'2024'!$N$4="CA",'2024'!$N$2=CM385),'2024DATA'!$F$23,"")</f>
        <v/>
      </c>
      <c r="CN406" s="518" t="str">
        <f>IF(AND(_F="B-737-800",'2024'!$N$4="CA",'2024'!$N$2=CN385),'2024DATA'!$G$23,"")</f>
        <v/>
      </c>
      <c r="CO406" s="518" t="str">
        <f>IF(AND(_F="B-737-800",'2024'!$N$4="CA",'2024'!$N$2=CO385),'2024DATA'!$H$23,"")</f>
        <v/>
      </c>
      <c r="CP406" s="518" t="str">
        <f>IF(AND(_F="B-737-800",'2024'!$N$4="CA",'2024'!$N$2=CP385),'2024DATA'!$I$23,"")</f>
        <v/>
      </c>
      <c r="CQ406" s="518" t="str">
        <f>IF(AND(_F="B-737-800",'2024'!$N$4="CA",'2024'!$N$2=CQ385),'2024DATA'!$J$23,"")</f>
        <v/>
      </c>
      <c r="CR406" s="518" t="str">
        <f>IF(AND(_F="B-737-800",'2024'!$N$4="CA",'2024'!$N$2=CR385),'2024DATA'!$K$23,"")</f>
        <v/>
      </c>
      <c r="CS406" s="518" t="str">
        <f>IF(AND(_F="B-737-800",'2024'!$N$4="CA",'2024'!$N$2=CS385),'2024DATA'!$L$23,"")</f>
        <v/>
      </c>
      <c r="CT406" s="518" t="str">
        <f>IF(AND(_F="B-737-800",'2024'!$N$4="CA",'2024'!$N$2=CT385),'2024DATA'!$M$23,"")</f>
        <v/>
      </c>
      <c r="CU406" s="520" t="str">
        <f>IF(AND(_F="B-737-800",'2024'!$N$4="CA",'2024'!$N$2=CU385),'2024DATA'!$N$23,"")</f>
        <v/>
      </c>
    </row>
    <row r="407" spans="16:99" x14ac:dyDescent="0.25">
      <c r="P407" s="940"/>
      <c r="Q407" s="13" t="s">
        <v>62</v>
      </c>
      <c r="R407" s="518" t="str">
        <f>IF(AND(_A="B-737-800",'2024'!$N$4="FO",'2024'!$N$2=R385),'2024DATA'!$C$24,"")</f>
        <v/>
      </c>
      <c r="S407" s="518" t="str">
        <f>IF(AND(_A="B-737-800",'2024'!$N$4="FO",'2024'!$N$2=S385),'2024DATA'!$D$24,"")</f>
        <v/>
      </c>
      <c r="T407" s="518" t="str">
        <f>IF(AND(_A="B-737-800",'2024'!$N$4="FO",'2024'!$N$2=T385),'2024DATA'!$E$24,"")</f>
        <v/>
      </c>
      <c r="U407" s="518" t="str">
        <f>IF(AND(_A="B-737-800",'2024'!$N$4="FO",'2024'!$N$2=U385),'2024DATA'!$F$24,"")</f>
        <v/>
      </c>
      <c r="V407" s="518" t="str">
        <f>IF(AND(_A="B-737-800",'2024'!$N$4="FO",'2024'!$N$2=V385),'2024DATA'!$G$24,"")</f>
        <v/>
      </c>
      <c r="W407" s="518" t="str">
        <f>IF(AND(_A="B-737-800",'2024'!$N$4="FO",'2024'!$N$2=W385),'2024DATA'!$H$24,"")</f>
        <v/>
      </c>
      <c r="X407" s="518" t="str">
        <f>IF(AND(_A="B-737-800",'2024'!$N$4="FO",'2024'!$N$2=X385),'2024DATA'!$I$24,"")</f>
        <v/>
      </c>
      <c r="Y407" s="518" t="str">
        <f>IF(AND(_A="B-737-800",'2024'!$N$4="FO",'2024'!$N$2=Y385),'2024DATA'!$J$24,"")</f>
        <v/>
      </c>
      <c r="Z407" s="518" t="str">
        <f>IF(AND(_A="B-737-800",'2024'!$N$4="FO",'2024'!$N$2=Z385),'2024DATA'!$K$24,"")</f>
        <v/>
      </c>
      <c r="AA407" s="518" t="str">
        <f>IF(AND(_A="B-737-800",'2024'!$N$4="FO",'2024'!$N$2=AA385),'2024DATA'!$L$24,"")</f>
        <v/>
      </c>
      <c r="AB407" s="518" t="str">
        <f>IF(AND(_A="B-737-800",'2024'!$N$4="FO",'2024'!$N$2=AB385),'2024DATA'!$M$24,"")</f>
        <v/>
      </c>
      <c r="AC407" s="520" t="str">
        <f>IF(AND(_A="B-737-800",'2024'!$N$4="FO",'2024'!$N$2=AC385),'2024DATA'!$N$24,"")</f>
        <v/>
      </c>
      <c r="AD407" s="940"/>
      <c r="AE407" s="13" t="s">
        <v>62</v>
      </c>
      <c r="AF407" s="518" t="str">
        <f>IF(AND(_B="B-737-800",'2024'!$N$4="FO",'2024'!$N$2=AF385),'2024DATA'!$C$24,"")</f>
        <v/>
      </c>
      <c r="AG407" s="518" t="str">
        <f>IF(AND(_B="B-737-800",'2024'!$N$4="FO",'2024'!$N$2=AG385),'2024DATA'!$D$24,"")</f>
        <v/>
      </c>
      <c r="AH407" s="518" t="str">
        <f>IF(AND(_B="B-737-800",'2024'!$N$4="FO",'2024'!$N$2=AH385),'2024DATA'!$E$24,"")</f>
        <v/>
      </c>
      <c r="AI407" s="518" t="str">
        <f>IF(AND(_B="B-737-800",'2024'!$N$4="FO",'2024'!$N$2=AI385),'2024DATA'!$F$24,"")</f>
        <v/>
      </c>
      <c r="AJ407" s="518" t="str">
        <f>IF(AND(_B="B-737-800",'2024'!$N$4="FO",'2024'!$N$2=AJ385),'2024DATA'!$G$24,"")</f>
        <v/>
      </c>
      <c r="AK407" s="518" t="str">
        <f>IF(AND(_B="B-737-800",'2024'!$N$4="FO",'2024'!$N$2=AK385),'2024DATA'!$H$24,"")</f>
        <v/>
      </c>
      <c r="AL407" s="518" t="str">
        <f>IF(AND(_B="B-737-800",'2024'!$N$4="FO",'2024'!$N$2=AL385),'2024DATA'!$I$24,"")</f>
        <v/>
      </c>
      <c r="AM407" s="518" t="str">
        <f>IF(AND(_B="B-737-800",'2024'!$N$4="FO",'2024'!$N$2=AM385),'2024DATA'!$J$24,"")</f>
        <v/>
      </c>
      <c r="AN407" s="518" t="str">
        <f>IF(AND(_B="B-737-800",'2024'!$N$4="FO",'2024'!$N$2=AN385),'2024DATA'!$K$24,"")</f>
        <v/>
      </c>
      <c r="AO407" s="518" t="str">
        <f>IF(AND(_B="B-737-800",'2024'!$N$4="FO",'2024'!$N$2=AO385),'2024DATA'!$L$24,"")</f>
        <v/>
      </c>
      <c r="AP407" s="518" t="str">
        <f>IF(AND(_B="B-737-800",'2024'!$N$4="FO",'2024'!$N$2=AP385),'2024DATA'!$M$24,"")</f>
        <v/>
      </c>
      <c r="AQ407" s="520" t="str">
        <f>IF(AND(_B="B-737-800",'2024'!$N$4="FO",'2024'!$N$2=AQ385),'2024DATA'!$N$24,"")</f>
        <v/>
      </c>
      <c r="AR407" s="940"/>
      <c r="AS407" s="13" t="s">
        <v>62</v>
      </c>
      <c r="AT407" s="518" t="str">
        <f>IF(AND(_C="B-737-800",'2024'!$N$4="FO",'2024'!$N$2=AT385),'2024DATA'!$C$24,"")</f>
        <v/>
      </c>
      <c r="AU407" s="518" t="str">
        <f>IF(AND(_C="B-737-800",'2024'!$N$4="FO",'2024'!$N$2=AU385),'2024DATA'!$D$24,"")</f>
        <v/>
      </c>
      <c r="AV407" s="518" t="str">
        <f>IF(AND(_C="B-737-800",'2024'!$N$4="FO",'2024'!$N$2=AV385),'2024DATA'!$E$24,"")</f>
        <v/>
      </c>
      <c r="AW407" s="518" t="str">
        <f>IF(AND(_C="B-737-800",'2024'!$N$4="FO",'2024'!$N$2=AW385),'2024DATA'!$F$24,"")</f>
        <v/>
      </c>
      <c r="AX407" s="518" t="str">
        <f>IF(AND(_C="B-737-800",'2024'!$N$4="FO",'2024'!$N$2=AX385),'2024DATA'!$G$24,"")</f>
        <v/>
      </c>
      <c r="AY407" s="518" t="str">
        <f>IF(AND(_C="B-737-800",'2024'!$N$4="FO",'2024'!$N$2=AY385),'2024DATA'!$H$24,"")</f>
        <v/>
      </c>
      <c r="AZ407" s="518" t="str">
        <f>IF(AND(_C="B-737-800",'2024'!$N$4="FO",'2024'!$N$2=AZ385),'2024DATA'!$I$24,"")</f>
        <v/>
      </c>
      <c r="BA407" s="518" t="str">
        <f>IF(AND(_C="B-737-800",'2024'!$N$4="FO",'2024'!$N$2=BA385),'2024DATA'!$J$24,"")</f>
        <v/>
      </c>
      <c r="BB407" s="518" t="str">
        <f>IF(AND(_C="B-737-800",'2024'!$N$4="FO",'2024'!$N$2=BB385),'2024DATA'!$K$24,"")</f>
        <v/>
      </c>
      <c r="BC407" s="518" t="str">
        <f>IF(AND(_C="B-737-800",'2024'!$N$4="FO",'2024'!$N$2=BC385),'2024DATA'!$L$24,"")</f>
        <v/>
      </c>
      <c r="BD407" s="518" t="str">
        <f>IF(AND(_C="B-737-800",'2024'!$N$4="FO",'2024'!$N$2=BD385),'2024DATA'!$M$24,"")</f>
        <v/>
      </c>
      <c r="BE407" s="520" t="str">
        <f>IF(AND(_C="B-737-800",'2024'!$N$4="FO",'2024'!$N$2=BE385),'2024DATA'!$N$24,"")</f>
        <v/>
      </c>
      <c r="BF407" s="940"/>
      <c r="BG407" s="13" t="s">
        <v>62</v>
      </c>
      <c r="BH407" s="518" t="str">
        <f>IF(AND(_D="B-737-800",'2024'!$N$4="FO",'2024'!$N$2=BH385),'2024DATA'!$C$24,"")</f>
        <v/>
      </c>
      <c r="BI407" s="518" t="str">
        <f>IF(AND(_D="B-737-800",'2024'!$N$4="FO",'2024'!$N$2=BI385),'2024DATA'!$D$24,"")</f>
        <v/>
      </c>
      <c r="BJ407" s="518" t="str">
        <f>IF(AND(_D="B-737-800",'2024'!$N$4="FO",'2024'!$N$2=BJ385),'2024DATA'!$E$24,"")</f>
        <v/>
      </c>
      <c r="BK407" s="518" t="str">
        <f>IF(AND(_D="B-737-800",'2024'!$N$4="FO",'2024'!$N$2=BK385),'2024DATA'!$F$24,"")</f>
        <v/>
      </c>
      <c r="BL407" s="518" t="str">
        <f>IF(AND(_D="B-737-800",'2024'!$N$4="FO",'2024'!$N$2=BL385),'2024DATA'!$G$24,"")</f>
        <v/>
      </c>
      <c r="BM407" s="518" t="str">
        <f>IF(AND(_D="B-737-800",'2024'!$N$4="FO",'2024'!$N$2=BM385),'2024DATA'!$H$24,"")</f>
        <v/>
      </c>
      <c r="BN407" s="518" t="str">
        <f>IF(AND(_D="B-737-800",'2024'!$N$4="FO",'2024'!$N$2=BN385),'2024DATA'!$I$24,"")</f>
        <v/>
      </c>
      <c r="BO407" s="518" t="str">
        <f>IF(AND(_D="B-737-800",'2024'!$N$4="FO",'2024'!$N$2=BO385),'2024DATA'!$J$24,"")</f>
        <v/>
      </c>
      <c r="BP407" s="518" t="str">
        <f>IF(AND(_D="B-737-800",'2024'!$N$4="FO",'2024'!$N$2=BP385),'2024DATA'!$K$24,"")</f>
        <v/>
      </c>
      <c r="BQ407" s="518" t="str">
        <f>IF(AND(_D="B-737-800",'2024'!$N$4="FO",'2024'!$N$2=BQ385),'2024DATA'!$L$24,"")</f>
        <v/>
      </c>
      <c r="BR407" s="518" t="str">
        <f>IF(AND(_D="B-737-800",'2024'!$N$4="FO",'2024'!$N$2=BR385),'2024DATA'!$M$24,"")</f>
        <v/>
      </c>
      <c r="BS407" s="520" t="str">
        <f>IF(AND(_D="B-737-800",'2024'!$N$4="FO",'2024'!$N$2=BS385),'2024DATA'!$N$24,"")</f>
        <v/>
      </c>
      <c r="BT407" s="940"/>
      <c r="BU407" s="13" t="s">
        <v>62</v>
      </c>
      <c r="BV407" s="518" t="str">
        <f>IF(AND(_E="B-737-800",'2024'!$N$4="FO",'2024'!$N$2=BV385),'2024DATA'!$C$24,"")</f>
        <v/>
      </c>
      <c r="BW407" s="518" t="str">
        <f>IF(AND(_E="B-737-800",'2024'!$N$4="FO",'2024'!$N$2=BW385),'2024DATA'!$D$24,"")</f>
        <v/>
      </c>
      <c r="BX407" s="518" t="str">
        <f>IF(AND(_E="B-737-800",'2024'!$N$4="FO",'2024'!$N$2=BX385),'2024DATA'!$E$24,"")</f>
        <v/>
      </c>
      <c r="BY407" s="518" t="str">
        <f>IF(AND(_E="B-737-800",'2024'!$N$4="FO",'2024'!$N$2=BY385),'2024DATA'!$F$24,"")</f>
        <v/>
      </c>
      <c r="BZ407" s="518" t="str">
        <f>IF(AND(_E="B-737-800",'2024'!$N$4="FO",'2024'!$N$2=BZ385),'2024DATA'!$G$24,"")</f>
        <v/>
      </c>
      <c r="CA407" s="518" t="str">
        <f>IF(AND(_E="B-737-800",'2024'!$N$4="FO",'2024'!$N$2=CA385),'2024DATA'!$H$24,"")</f>
        <v/>
      </c>
      <c r="CB407" s="518" t="str">
        <f>IF(AND(_E="B-737-800",'2024'!$N$4="FO",'2024'!$N$2=CB385),'2024DATA'!$I$24,"")</f>
        <v/>
      </c>
      <c r="CC407" s="518" t="str">
        <f>IF(AND(_E="B-737-800",'2024'!$N$4="FO",'2024'!$N$2=CC385),'2024DATA'!$J$24,"")</f>
        <v/>
      </c>
      <c r="CD407" s="518" t="str">
        <f>IF(AND(_E="B-737-800",'2024'!$N$4="FO",'2024'!$N$2=CD385),'2024DATA'!$K$24,"")</f>
        <v/>
      </c>
      <c r="CE407" s="518" t="str">
        <f>IF(AND(_E="B-737-800",'2024'!$N$4="FO",'2024'!$N$2=CE385),'2024DATA'!$L$24,"")</f>
        <v/>
      </c>
      <c r="CF407" s="518" t="str">
        <f>IF(AND(_E="B-737-800",'2024'!$N$4="FO",'2024'!$N$2=CF385),'2024DATA'!$M$24,"")</f>
        <v/>
      </c>
      <c r="CG407" s="520" t="str">
        <f>IF(AND(_E="B-737-800",'2024'!$N$4="FO",'2024'!$N$2=CG385),'2024DATA'!$N$24,"")</f>
        <v/>
      </c>
      <c r="CH407" s="940"/>
      <c r="CI407" s="13" t="s">
        <v>62</v>
      </c>
      <c r="CJ407" s="518" t="str">
        <f>IF(AND(_F="B-737-800",'2024'!$N$4="FO",'2024'!$N$2=CJ385),'2024DATA'!$C$24,"")</f>
        <v/>
      </c>
      <c r="CK407" s="518" t="str">
        <f>IF(AND(_F="B-737-800",'2024'!$N$4="FO",'2024'!$N$2=CK385),'2024DATA'!$D$24,"")</f>
        <v/>
      </c>
      <c r="CL407" s="518" t="str">
        <f>IF(AND(_F="B-737-800",'2024'!$N$4="FO",'2024'!$N$2=CL385),'2024DATA'!$E$24,"")</f>
        <v/>
      </c>
      <c r="CM407" s="518" t="str">
        <f>IF(AND(_F="B-737-800",'2024'!$N$4="FO",'2024'!$N$2=CM385),'2024DATA'!$F$24,"")</f>
        <v/>
      </c>
      <c r="CN407" s="518" t="str">
        <f>IF(AND(_F="B-737-800",'2024'!$N$4="FO",'2024'!$N$2=CN385),'2024DATA'!$G$24,"")</f>
        <v/>
      </c>
      <c r="CO407" s="518" t="str">
        <f>IF(AND(_F="B-737-800",'2024'!$N$4="FO",'2024'!$N$2=CO385),'2024DATA'!$H$24,"")</f>
        <v/>
      </c>
      <c r="CP407" s="518" t="str">
        <f>IF(AND(_F="B-737-800",'2024'!$N$4="FO",'2024'!$N$2=CP385),'2024DATA'!$I$24,"")</f>
        <v/>
      </c>
      <c r="CQ407" s="518" t="str">
        <f>IF(AND(_F="B-737-800",'2024'!$N$4="FO",'2024'!$N$2=CQ385),'2024DATA'!$J$24,"")</f>
        <v/>
      </c>
      <c r="CR407" s="518" t="str">
        <f>IF(AND(_F="B-737-800",'2024'!$N$4="FO",'2024'!$N$2=CR385),'2024DATA'!$K$24,"")</f>
        <v/>
      </c>
      <c r="CS407" s="518" t="str">
        <f>IF(AND(_F="B-737-800",'2024'!$N$4="FO",'2024'!$N$2=CS385),'2024DATA'!$L$24,"")</f>
        <v/>
      </c>
      <c r="CT407" s="518" t="str">
        <f>IF(AND(_F="B-737-800",'2024'!$N$4="FO",'2024'!$N$2=CT385),'2024DATA'!$M$24,"")</f>
        <v/>
      </c>
      <c r="CU407" s="520" t="str">
        <f>IF(AND(_F="B-737-800",'2024'!$N$4="FO",'2024'!$N$2=CU385),'2024DATA'!$N$24,"")</f>
        <v/>
      </c>
    </row>
    <row r="408" spans="16:99" x14ac:dyDescent="0.25">
      <c r="P408" s="940" t="s">
        <v>46</v>
      </c>
      <c r="Q408" s="13" t="s">
        <v>61</v>
      </c>
      <c r="R408" s="518" t="str">
        <f>IF(AND(_A="A-321N",'2024'!$N$4="CA",'2024'!$N$2=R385),'2024DATA'!$C$25,"")</f>
        <v/>
      </c>
      <c r="S408" s="518" t="str">
        <f>IF(AND(_A="A-321N",'2024'!$N$4="CA",'2024'!$N$2=S385),'2024DATA'!$D$25,"")</f>
        <v/>
      </c>
      <c r="T408" s="518" t="str">
        <f>IF(AND(_A="A-321N",'2024'!$N$4="CA",'2024'!$N$2=T385),'2024DATA'!$E$25,"")</f>
        <v/>
      </c>
      <c r="U408" s="518" t="str">
        <f>IF(AND(_A="A-321N",'2024'!$N$4="CA",'2024'!$N$2=U385),'2024DATA'!$F$25,"")</f>
        <v/>
      </c>
      <c r="V408" s="518" t="str">
        <f>IF(AND(_A="A-321N",'2024'!$N$4="CA",'2024'!$N$2=V385),'2024DATA'!$G$25,"")</f>
        <v/>
      </c>
      <c r="W408" s="518" t="str">
        <f>IF(AND(_A="A-321N",'2024'!$N$4="CA",'2024'!$N$2=W385),'2024DATA'!$H$25,"")</f>
        <v/>
      </c>
      <c r="X408" s="518" t="str">
        <f>IF(AND(_A="A-321N",'2024'!$N$4="CA",'2024'!$N$2=X385),'2024DATA'!$I$25,"")</f>
        <v/>
      </c>
      <c r="Y408" s="518" t="str">
        <f>IF(AND(_A="A-321N",'2024'!$N$4="CA",'2024'!$N$2=Y385),'2024DATA'!$J$25,"")</f>
        <v/>
      </c>
      <c r="Z408" s="518" t="str">
        <f>IF(AND(_A="A-321N",'2024'!$N$4="CA",'2024'!$N$2=Z385),'2024DATA'!$K$25,"")</f>
        <v/>
      </c>
      <c r="AA408" s="518" t="str">
        <f>IF(AND(_A="A-321N",'2024'!$N$4="CA",'2024'!$N$2=AA385),'2024DATA'!$L$25,"")</f>
        <v/>
      </c>
      <c r="AB408" s="518" t="str">
        <f>IF(AND(_A="A-321N",'2024'!$N$4="CA",'2024'!$N$2=AB385),'2024DATA'!$M$25,"")</f>
        <v/>
      </c>
      <c r="AC408" s="520" t="str">
        <f>IF(AND(_A="A-321N",'2024'!$N$4="CA",'2024'!$N$2=AC385),'2024DATA'!$N$25,"")</f>
        <v/>
      </c>
      <c r="AD408" s="940" t="s">
        <v>46</v>
      </c>
      <c r="AE408" s="13" t="s">
        <v>61</v>
      </c>
      <c r="AF408" s="518" t="str">
        <f>IF(AND(_B="A-321N",'2024'!$N$4="CA",'2024'!$N$2=AF385),'2024DATA'!$C$25,"")</f>
        <v/>
      </c>
      <c r="AG408" s="518" t="str">
        <f>IF(AND(_B="A-321N",'2024'!$N$4="CA",'2024'!$N$2=AG385),'2024DATA'!$D$25,"")</f>
        <v/>
      </c>
      <c r="AH408" s="518" t="str">
        <f>IF(AND(_B="A-321N",'2024'!$N$4="CA",'2024'!$N$2=AH385),'2024DATA'!$E$25,"")</f>
        <v/>
      </c>
      <c r="AI408" s="518" t="str">
        <f>IF(AND(_B="A-321N",'2024'!$N$4="CA",'2024'!$N$2=AI385),'2024DATA'!$F$25,"")</f>
        <v/>
      </c>
      <c r="AJ408" s="518" t="str">
        <f>IF(AND(_B="A-321N",'2024'!$N$4="CA",'2024'!$N$2=AJ385),'2024DATA'!$G$25,"")</f>
        <v/>
      </c>
      <c r="AK408" s="518" t="str">
        <f>IF(AND(_B="A-321N",'2024'!$N$4="CA",'2024'!$N$2=AK385),'2024DATA'!$H$25,"")</f>
        <v/>
      </c>
      <c r="AL408" s="518" t="str">
        <f>IF(AND(_B="A-321N",'2024'!$N$4="CA",'2024'!$N$2=AL385),'2024DATA'!$I$25,"")</f>
        <v/>
      </c>
      <c r="AM408" s="518" t="str">
        <f>IF(AND(_B="A-321N",'2024'!$N$4="CA",'2024'!$N$2=AM385),'2024DATA'!$J$25,"")</f>
        <v/>
      </c>
      <c r="AN408" s="518" t="str">
        <f>IF(AND(_B="A-321N",'2024'!$N$4="CA",'2024'!$N$2=AN385),'2024DATA'!$K$25,"")</f>
        <v/>
      </c>
      <c r="AO408" s="518" t="str">
        <f>IF(AND(_B="A-321N",'2024'!$N$4="CA",'2024'!$N$2=AO385),'2024DATA'!$L$25,"")</f>
        <v/>
      </c>
      <c r="AP408" s="518" t="str">
        <f>IF(AND(_B="A-321N",'2024'!$N$4="CA",'2024'!$N$2=AP385),'2024DATA'!$M$25,"")</f>
        <v/>
      </c>
      <c r="AQ408" s="520" t="str">
        <f>IF(AND(_B="A-321N",'2024'!$N$4="CA",'2024'!$N$2=AQ385),'2024DATA'!$N$25,"")</f>
        <v/>
      </c>
      <c r="AR408" s="940" t="s">
        <v>46</v>
      </c>
      <c r="AS408" s="13" t="s">
        <v>61</v>
      </c>
      <c r="AT408" s="518" t="str">
        <f>IF(AND(_C="A-321N",'2024'!$N$4="CA",'2024'!$N$2=AT385),'2024DATA'!$C$25,"")</f>
        <v/>
      </c>
      <c r="AU408" s="518" t="str">
        <f>IF(AND(_C="A-321N",'2024'!$N$4="CA",'2024'!$N$2=AU385),'2024DATA'!$D$25,"")</f>
        <v/>
      </c>
      <c r="AV408" s="518" t="str">
        <f>IF(AND(_C="A-321N",'2024'!$N$4="CA",'2024'!$N$2=AV385),'2024DATA'!$E$25,"")</f>
        <v/>
      </c>
      <c r="AW408" s="518" t="str">
        <f>IF(AND(_C="A-321N",'2024'!$N$4="CA",'2024'!$N$2=AW385),'2024DATA'!$F$25,"")</f>
        <v/>
      </c>
      <c r="AX408" s="518" t="str">
        <f>IF(AND(_C="A-321N",'2024'!$N$4="CA",'2024'!$N$2=AX385),'2024DATA'!$G$25,"")</f>
        <v/>
      </c>
      <c r="AY408" s="518" t="str">
        <f>IF(AND(_C="A-321N",'2024'!$N$4="CA",'2024'!$N$2=AY385),'2024DATA'!$H$25,"")</f>
        <v/>
      </c>
      <c r="AZ408" s="518" t="str">
        <f>IF(AND(_C="A-321N",'2024'!$N$4="CA",'2024'!$N$2=AZ385),'2024DATA'!$I$25,"")</f>
        <v/>
      </c>
      <c r="BA408" s="518" t="str">
        <f>IF(AND(_C="A-321N",'2024'!$N$4="CA",'2024'!$N$2=BA385),'2024DATA'!$J$25,"")</f>
        <v/>
      </c>
      <c r="BB408" s="518" t="str">
        <f>IF(AND(_C="A-321N",'2024'!$N$4="CA",'2024'!$N$2=BB385),'2024DATA'!$K$25,"")</f>
        <v/>
      </c>
      <c r="BC408" s="518" t="str">
        <f>IF(AND(_C="A-321N",'2024'!$N$4="CA",'2024'!$N$2=BC385),'2024DATA'!$L$25,"")</f>
        <v/>
      </c>
      <c r="BD408" s="518" t="str">
        <f>IF(AND(_C="A-321N",'2024'!$N$4="CA",'2024'!$N$2=BD385),'2024DATA'!$M$25,"")</f>
        <v/>
      </c>
      <c r="BE408" s="520" t="str">
        <f>IF(AND(_C="A-321N",'2024'!$N$4="CA",'2024'!$N$2=BE385),'2024DATA'!$N$25,"")</f>
        <v/>
      </c>
      <c r="BF408" s="940" t="s">
        <v>46</v>
      </c>
      <c r="BG408" s="13" t="s">
        <v>61</v>
      </c>
      <c r="BH408" s="518" t="str">
        <f>IF(AND(_D="A-321N",'2024'!$N$4="CA",'2024'!$N$2=BH385),'2024DATA'!$C$25,"")</f>
        <v/>
      </c>
      <c r="BI408" s="518" t="str">
        <f>IF(AND(_D="A-321N",'2024'!$N$4="CA",'2024'!$N$2=BI385),'2024DATA'!$D$25,"")</f>
        <v/>
      </c>
      <c r="BJ408" s="518" t="str">
        <f>IF(AND(_D="A-321N",'2024'!$N$4="CA",'2024'!$N$2=BJ385),'2024DATA'!$E$25,"")</f>
        <v/>
      </c>
      <c r="BK408" s="518" t="str">
        <f>IF(AND(_D="A-321N",'2024'!$N$4="CA",'2024'!$N$2=BK385),'2024DATA'!$F$25,"")</f>
        <v/>
      </c>
      <c r="BL408" s="518" t="str">
        <f>IF(AND(_D="A-321N",'2024'!$N$4="CA",'2024'!$N$2=BL385),'2024DATA'!$G$25,"")</f>
        <v/>
      </c>
      <c r="BM408" s="518" t="str">
        <f>IF(AND(_D="A-321N",'2024'!$N$4="CA",'2024'!$N$2=BM385),'2024DATA'!$H$25,"")</f>
        <v/>
      </c>
      <c r="BN408" s="518" t="str">
        <f>IF(AND(_D="A-321N",'2024'!$N$4="CA",'2024'!$N$2=BN385),'2024DATA'!$I$25,"")</f>
        <v/>
      </c>
      <c r="BO408" s="518" t="str">
        <f>IF(AND(_D="A-321N",'2024'!$N$4="CA",'2024'!$N$2=BO385),'2024DATA'!$J$25,"")</f>
        <v/>
      </c>
      <c r="BP408" s="518" t="str">
        <f>IF(AND(_D="A-321N",'2024'!$N$4="CA",'2024'!$N$2=BP385),'2024DATA'!$K$25,"")</f>
        <v/>
      </c>
      <c r="BQ408" s="518" t="str">
        <f>IF(AND(_D="A-321N",'2024'!$N$4="CA",'2024'!$N$2=BQ385),'2024DATA'!$L$25,"")</f>
        <v/>
      </c>
      <c r="BR408" s="518" t="str">
        <f>IF(AND(_D="A-321N",'2024'!$N$4="CA",'2024'!$N$2=BR385),'2024DATA'!$M$25,"")</f>
        <v/>
      </c>
      <c r="BS408" s="520" t="str">
        <f>IF(AND(_D="A-321N",'2024'!$N$4="CA",'2024'!$N$2=BS385),'2024DATA'!$N$25,"")</f>
        <v/>
      </c>
      <c r="BT408" s="940" t="s">
        <v>46</v>
      </c>
      <c r="BU408" s="13" t="s">
        <v>61</v>
      </c>
      <c r="BV408" s="518" t="str">
        <f>IF(AND(_E="A-321N",'2024'!$N$4="CA",'2024'!$N$2=BV385),'2024DATA'!$C$25,"")</f>
        <v/>
      </c>
      <c r="BW408" s="518" t="str">
        <f>IF(AND(_E="A-321N",'2024'!$N$4="CA",'2024'!$N$2=BW385),'2024DATA'!$D$25,"")</f>
        <v/>
      </c>
      <c r="BX408" s="518" t="str">
        <f>IF(AND(_E="A-321N",'2024'!$N$4="CA",'2024'!$N$2=BX385),'2024DATA'!$E$25,"")</f>
        <v/>
      </c>
      <c r="BY408" s="518" t="str">
        <f>IF(AND(_E="A-321N",'2024'!$N$4="CA",'2024'!$N$2=BY385),'2024DATA'!$F$25,"")</f>
        <v/>
      </c>
      <c r="BZ408" s="518" t="str">
        <f>IF(AND(_E="A-321N",'2024'!$N$4="CA",'2024'!$N$2=BZ385),'2024DATA'!$G$25,"")</f>
        <v/>
      </c>
      <c r="CA408" s="518" t="str">
        <f>IF(AND(_E="A-321N",'2024'!$N$4="CA",'2024'!$N$2=CA385),'2024DATA'!$H$25,"")</f>
        <v/>
      </c>
      <c r="CB408" s="518" t="str">
        <f>IF(AND(_E="A-321N",'2024'!$N$4="CA",'2024'!$N$2=CB385),'2024DATA'!$I$25,"")</f>
        <v/>
      </c>
      <c r="CC408" s="518" t="str">
        <f>IF(AND(_E="A-321N",'2024'!$N$4="CA",'2024'!$N$2=CC385),'2024DATA'!$J$25,"")</f>
        <v/>
      </c>
      <c r="CD408" s="518" t="str">
        <f>IF(AND(_E="A-321N",'2024'!$N$4="CA",'2024'!$N$2=CD385),'2024DATA'!$K$25,"")</f>
        <v/>
      </c>
      <c r="CE408" s="518" t="str">
        <f>IF(AND(_E="A-321N",'2024'!$N$4="CA",'2024'!$N$2=CE385),'2024DATA'!$L$25,"")</f>
        <v/>
      </c>
      <c r="CF408" s="518" t="str">
        <f>IF(AND(_E="A-321N",'2024'!$N$4="CA",'2024'!$N$2=CF385),'2024DATA'!$M$25,"")</f>
        <v/>
      </c>
      <c r="CG408" s="520" t="str">
        <f>IF(AND(_E="A-321N",'2024'!$N$4="CA",'2024'!$N$2=CG385),'2024DATA'!$N$25,"")</f>
        <v/>
      </c>
      <c r="CH408" s="940" t="s">
        <v>46</v>
      </c>
      <c r="CI408" s="13" t="s">
        <v>61</v>
      </c>
      <c r="CJ408" s="518" t="str">
        <f>IF(AND(_F="A-321N",'2024'!$N$4="CA",'2024'!$N$2=CJ385),'2024DATA'!$C$25,"")</f>
        <v/>
      </c>
      <c r="CK408" s="518" t="str">
        <f>IF(AND(_F="A-321N",'2024'!$N$4="CA",'2024'!$N$2=CK385),'2024DATA'!$D$25,"")</f>
        <v/>
      </c>
      <c r="CL408" s="518" t="str">
        <f>IF(AND(_F="A-321N",'2024'!$N$4="CA",'2024'!$N$2=CL385),'2024DATA'!$E$25,"")</f>
        <v/>
      </c>
      <c r="CM408" s="518" t="str">
        <f>IF(AND(_F="A-321N",'2024'!$N$4="CA",'2024'!$N$2=CM385),'2024DATA'!$F$25,"")</f>
        <v/>
      </c>
      <c r="CN408" s="518" t="str">
        <f>IF(AND(_F="A-321N",'2024'!$N$4="CA",'2024'!$N$2=CN385),'2024DATA'!$G$25,"")</f>
        <v/>
      </c>
      <c r="CO408" s="518" t="str">
        <f>IF(AND(_F="A-321N",'2024'!$N$4="CA",'2024'!$N$2=CO385),'2024DATA'!$H$25,"")</f>
        <v/>
      </c>
      <c r="CP408" s="518" t="str">
        <f>IF(AND(_F="A-321N",'2024'!$N$4="CA",'2024'!$N$2=CP385),'2024DATA'!$I$25,"")</f>
        <v/>
      </c>
      <c r="CQ408" s="518" t="str">
        <f>IF(AND(_F="A-321N",'2024'!$N$4="CA",'2024'!$N$2=CQ385),'2024DATA'!$J$25,"")</f>
        <v/>
      </c>
      <c r="CR408" s="518" t="str">
        <f>IF(AND(_F="A-321N",'2024'!$N$4="CA",'2024'!$N$2=CR385),'2024DATA'!$K$25,"")</f>
        <v/>
      </c>
      <c r="CS408" s="518" t="str">
        <f>IF(AND(_F="A-321N",'2024'!$N$4="CA",'2024'!$N$2=CS385),'2024DATA'!$L$25,"")</f>
        <v/>
      </c>
      <c r="CT408" s="518" t="str">
        <f>IF(AND(_F="A-321N",'2024'!$N$4="CA",'2024'!$N$2=CT385),'2024DATA'!$M$25,"")</f>
        <v/>
      </c>
      <c r="CU408" s="520" t="str">
        <f>IF(AND(_F="A-321N",'2024'!$N$4="CA",'2024'!$N$2=CU385),'2024DATA'!$N$25,"")</f>
        <v/>
      </c>
    </row>
    <row r="409" spans="16:99" x14ac:dyDescent="0.25">
      <c r="P409" s="940"/>
      <c r="Q409" s="13" t="s">
        <v>62</v>
      </c>
      <c r="R409" s="518" t="str">
        <f>IF(AND(_A="A-321N",'2024'!$N$4="FO",'2024'!$N$2=R385),'2024DATA'!$C$26,"")</f>
        <v/>
      </c>
      <c r="S409" s="518" t="str">
        <f>IF(AND(_A="A-321N",'2024'!$N$4="FO",'2024'!$N$2=S385),'2024DATA'!$D$26,"")</f>
        <v/>
      </c>
      <c r="T409" s="518" t="str">
        <f>IF(AND(_A="A-321N",'2024'!$N$4="FO",'2024'!$N$2=T385),'2024DATA'!$E$26,"")</f>
        <v/>
      </c>
      <c r="U409" s="518" t="str">
        <f>IF(AND(_A="A-321N",'2024'!$N$4="FO",'2024'!$N$2=U385),'2024DATA'!$F$26,"")</f>
        <v/>
      </c>
      <c r="V409" s="518" t="str">
        <f>IF(AND(_A="A-321N",'2024'!$N$4="FO",'2024'!$N$2=V385),'2024DATA'!$G$26,"")</f>
        <v/>
      </c>
      <c r="W409" s="518" t="str">
        <f>IF(AND(_A="A-321N",'2024'!$N$4="FO",'2024'!$N$2=W385),'2024DATA'!$H$26,"")</f>
        <v/>
      </c>
      <c r="X409" s="518" t="str">
        <f>IF(AND(_A="A-321N",'2024'!$N$4="FO",'2024'!$N$2=X385),'2024DATA'!$I$26,"")</f>
        <v/>
      </c>
      <c r="Y409" s="518" t="str">
        <f>IF(AND(_A="A-321N",'2024'!$N$4="FO",'2024'!$N$2=Y385),'2024DATA'!$J$26,"")</f>
        <v/>
      </c>
      <c r="Z409" s="518" t="str">
        <f>IF(AND(_A="A-321N",'2024'!$N$4="FO",'2024'!$N$2=Z385),'2024DATA'!$K$26,"")</f>
        <v/>
      </c>
      <c r="AA409" s="518" t="str">
        <f>IF(AND(_A="A-321N",'2024'!$N$4="FO",'2024'!$N$2=AA385),'2024DATA'!$L$26,"")</f>
        <v/>
      </c>
      <c r="AB409" s="518" t="str">
        <f>IF(AND(_A="A-321N",'2024'!$N$4="FO",'2024'!$N$2=AB385),'2024DATA'!$M$26,"")</f>
        <v/>
      </c>
      <c r="AC409" s="520" t="str">
        <f>IF(AND(_A="A-321N",'2024'!$N$4="FO",'2024'!$N$2=AC385),'2024DATA'!$N$26,"")</f>
        <v/>
      </c>
      <c r="AD409" s="940"/>
      <c r="AE409" s="13" t="s">
        <v>62</v>
      </c>
      <c r="AF409" s="518" t="str">
        <f>IF(AND(_B="A-321N",'2024'!$N$4="FO",'2024'!$N$2=AF385),'2024DATA'!$C$26,"")</f>
        <v/>
      </c>
      <c r="AG409" s="518" t="str">
        <f>IF(AND(_B="A-321N",'2024'!$N$4="FO",'2024'!$N$2=AG385),'2024DATA'!$D$26,"")</f>
        <v/>
      </c>
      <c r="AH409" s="518" t="str">
        <f>IF(AND(_B="A-321N",'2024'!$N$4="FO",'2024'!$N$2=AH385),'2024DATA'!$E$26,"")</f>
        <v/>
      </c>
      <c r="AI409" s="518" t="str">
        <f>IF(AND(_B="A-321N",'2024'!$N$4="FO",'2024'!$N$2=AI385),'2024DATA'!$F$26,"")</f>
        <v/>
      </c>
      <c r="AJ409" s="518" t="str">
        <f>IF(AND(_B="A-321N",'2024'!$N$4="FO",'2024'!$N$2=AJ385),'2024DATA'!$G$26,"")</f>
        <v/>
      </c>
      <c r="AK409" s="518" t="str">
        <f>IF(AND(_B="A-321N",'2024'!$N$4="FO",'2024'!$N$2=AK385),'2024DATA'!$H$26,"")</f>
        <v/>
      </c>
      <c r="AL409" s="518" t="str">
        <f>IF(AND(_B="A-321N",'2024'!$N$4="FO",'2024'!$N$2=AL385),'2024DATA'!$I$26,"")</f>
        <v/>
      </c>
      <c r="AM409" s="518" t="str">
        <f>IF(AND(_B="A-321N",'2024'!$N$4="FO",'2024'!$N$2=AM385),'2024DATA'!$J$26,"")</f>
        <v/>
      </c>
      <c r="AN409" s="518" t="str">
        <f>IF(AND(_B="A-321N",'2024'!$N$4="FO",'2024'!$N$2=AN385),'2024DATA'!$K$26,"")</f>
        <v/>
      </c>
      <c r="AO409" s="518" t="str">
        <f>IF(AND(_B="A-321N",'2024'!$N$4="FO",'2024'!$N$2=AO385),'2024DATA'!$L$26,"")</f>
        <v/>
      </c>
      <c r="AP409" s="518" t="str">
        <f>IF(AND(_B="A-321N",'2024'!$N$4="FO",'2024'!$N$2=AP385),'2024DATA'!$M$26,"")</f>
        <v/>
      </c>
      <c r="AQ409" s="520" t="str">
        <f>IF(AND(_B="A-321N",'2024'!$N$4="FO",'2024'!$N$2=AQ385),'2024DATA'!$N$26,"")</f>
        <v/>
      </c>
      <c r="AR409" s="940"/>
      <c r="AS409" s="13" t="s">
        <v>62</v>
      </c>
      <c r="AT409" s="518" t="str">
        <f>IF(AND(_C="A-321N",'2024'!$N$4="FO",'2024'!$N$2=AT385),'2024DATA'!$C$26,"")</f>
        <v/>
      </c>
      <c r="AU409" s="518" t="str">
        <f>IF(AND(_C="A-321N",'2024'!$N$4="FO",'2024'!$N$2=AU385),'2024DATA'!$D$26,"")</f>
        <v/>
      </c>
      <c r="AV409" s="518" t="str">
        <f>IF(AND(_C="A-321N",'2024'!$N$4="FO",'2024'!$N$2=AV385),'2024DATA'!$E$26,"")</f>
        <v/>
      </c>
      <c r="AW409" s="518" t="str">
        <f>IF(AND(_C="A-321N",'2024'!$N$4="FO",'2024'!$N$2=AW385),'2024DATA'!$F$26,"")</f>
        <v/>
      </c>
      <c r="AX409" s="518" t="str">
        <f>IF(AND(_C="A-321N",'2024'!$N$4="FO",'2024'!$N$2=AX385),'2024DATA'!$G$26,"")</f>
        <v/>
      </c>
      <c r="AY409" s="518" t="str">
        <f>IF(AND(_C="A-321N",'2024'!$N$4="FO",'2024'!$N$2=AY385),'2024DATA'!$H$26,"")</f>
        <v/>
      </c>
      <c r="AZ409" s="518" t="str">
        <f>IF(AND(_C="A-321N",'2024'!$N$4="FO",'2024'!$N$2=AZ385),'2024DATA'!$I$26,"")</f>
        <v/>
      </c>
      <c r="BA409" s="518" t="str">
        <f>IF(AND(_C="A-321N",'2024'!$N$4="FO",'2024'!$N$2=BA385),'2024DATA'!$J$26,"")</f>
        <v/>
      </c>
      <c r="BB409" s="518" t="str">
        <f>IF(AND(_C="A-321N",'2024'!$N$4="FO",'2024'!$N$2=BB385),'2024DATA'!$K$26,"")</f>
        <v/>
      </c>
      <c r="BC409" s="518" t="str">
        <f>IF(AND(_C="A-321N",'2024'!$N$4="FO",'2024'!$N$2=BC385),'2024DATA'!$L$26,"")</f>
        <v/>
      </c>
      <c r="BD409" s="518" t="str">
        <f>IF(AND(_C="A-321N",'2024'!$N$4="FO",'2024'!$N$2=BD385),'2024DATA'!$M$26,"")</f>
        <v/>
      </c>
      <c r="BE409" s="520" t="str">
        <f>IF(AND(_C="A-321N",'2024'!$N$4="FO",'2024'!$N$2=BE385),'2024DATA'!$N$26,"")</f>
        <v/>
      </c>
      <c r="BF409" s="940"/>
      <c r="BG409" s="13" t="s">
        <v>62</v>
      </c>
      <c r="BH409" s="518" t="str">
        <f>IF(AND(_D="A-321N",'2024'!$N$4="FO",'2024'!$N$2=BH385),'2024DATA'!$C$26,"")</f>
        <v/>
      </c>
      <c r="BI409" s="518" t="str">
        <f>IF(AND(_D="A-321N",'2024'!$N$4="FO",'2024'!$N$2=BI385),'2024DATA'!$D$26,"")</f>
        <v/>
      </c>
      <c r="BJ409" s="518" t="str">
        <f>IF(AND(_D="A-321N",'2024'!$N$4="FO",'2024'!$N$2=BJ385),'2024DATA'!$E$26,"")</f>
        <v/>
      </c>
      <c r="BK409" s="518" t="str">
        <f>IF(AND(_D="A-321N",'2024'!$N$4="FO",'2024'!$N$2=BK385),'2024DATA'!$F$26,"")</f>
        <v/>
      </c>
      <c r="BL409" s="518" t="str">
        <f>IF(AND(_D="A-321N",'2024'!$N$4="FO",'2024'!$N$2=BL385),'2024DATA'!$G$26,"")</f>
        <v/>
      </c>
      <c r="BM409" s="518" t="str">
        <f>IF(AND(_D="A-321N",'2024'!$N$4="FO",'2024'!$N$2=BM385),'2024DATA'!$H$26,"")</f>
        <v/>
      </c>
      <c r="BN409" s="518" t="str">
        <f>IF(AND(_D="A-321N",'2024'!$N$4="FO",'2024'!$N$2=BN385),'2024DATA'!$I$26,"")</f>
        <v/>
      </c>
      <c r="BO409" s="518" t="str">
        <f>IF(AND(_D="A-321N",'2024'!$N$4="FO",'2024'!$N$2=BO385),'2024DATA'!$J$26,"")</f>
        <v/>
      </c>
      <c r="BP409" s="518" t="str">
        <f>IF(AND(_D="A-321N",'2024'!$N$4="FO",'2024'!$N$2=BP385),'2024DATA'!$K$26,"")</f>
        <v/>
      </c>
      <c r="BQ409" s="518" t="str">
        <f>IF(AND(_D="A-321N",'2024'!$N$4="FO",'2024'!$N$2=BQ385),'2024DATA'!$L$26,"")</f>
        <v/>
      </c>
      <c r="BR409" s="518" t="str">
        <f>IF(AND(_D="A-321N",'2024'!$N$4="FO",'2024'!$N$2=BR385),'2024DATA'!$M$26,"")</f>
        <v/>
      </c>
      <c r="BS409" s="520" t="str">
        <f>IF(AND(_D="A-321N",'2024'!$N$4="FO",'2024'!$N$2=BS385),'2024DATA'!$N$26,"")</f>
        <v/>
      </c>
      <c r="BT409" s="940"/>
      <c r="BU409" s="13" t="s">
        <v>62</v>
      </c>
      <c r="BV409" s="518" t="str">
        <f>IF(AND(_E="A-321N",'2024'!$N$4="FO",'2024'!$N$2=BV385),'2024DATA'!$C$26,"")</f>
        <v/>
      </c>
      <c r="BW409" s="518" t="str">
        <f>IF(AND(_E="A-321N",'2024'!$N$4="FO",'2024'!$N$2=BW385),'2024DATA'!$D$26,"")</f>
        <v/>
      </c>
      <c r="BX409" s="518" t="str">
        <f>IF(AND(_E="A-321N",'2024'!$N$4="FO",'2024'!$N$2=BX385),'2024DATA'!$E$26,"")</f>
        <v/>
      </c>
      <c r="BY409" s="518" t="str">
        <f>IF(AND(_E="A-321N",'2024'!$N$4="FO",'2024'!$N$2=BY385),'2024DATA'!$F$26,"")</f>
        <v/>
      </c>
      <c r="BZ409" s="518" t="str">
        <f>IF(AND(_E="A-321N",'2024'!$N$4="FO",'2024'!$N$2=BZ385),'2024DATA'!$G$26,"")</f>
        <v/>
      </c>
      <c r="CA409" s="518" t="str">
        <f>IF(AND(_E="A-321N",'2024'!$N$4="FO",'2024'!$N$2=CA385),'2024DATA'!$H$26,"")</f>
        <v/>
      </c>
      <c r="CB409" s="518" t="str">
        <f>IF(AND(_E="A-321N",'2024'!$N$4="FO",'2024'!$N$2=CB385),'2024DATA'!$I$26,"")</f>
        <v/>
      </c>
      <c r="CC409" s="518" t="str">
        <f>IF(AND(_E="A-321N",'2024'!$N$4="FO",'2024'!$N$2=CC385),'2024DATA'!$J$26,"")</f>
        <v/>
      </c>
      <c r="CD409" s="518" t="str">
        <f>IF(AND(_E="A-321N",'2024'!$N$4="FO",'2024'!$N$2=CD385),'2024DATA'!$K$26,"")</f>
        <v/>
      </c>
      <c r="CE409" s="518" t="str">
        <f>IF(AND(_E="A-321N",'2024'!$N$4="FO",'2024'!$N$2=CE385),'2024DATA'!$L$26,"")</f>
        <v/>
      </c>
      <c r="CF409" s="518" t="str">
        <f>IF(AND(_E="A-321N",'2024'!$N$4="FO",'2024'!$N$2=CF385),'2024DATA'!$M$26,"")</f>
        <v/>
      </c>
      <c r="CG409" s="520" t="str">
        <f>IF(AND(_E="A-321N",'2024'!$N$4="FO",'2024'!$N$2=CG385),'2024DATA'!$N$26,"")</f>
        <v/>
      </c>
      <c r="CH409" s="940"/>
      <c r="CI409" s="13" t="s">
        <v>62</v>
      </c>
      <c r="CJ409" s="518" t="str">
        <f>IF(AND(_F="A-321N",'2024'!$N$4="FO",'2024'!$N$2=CJ385),'2024DATA'!$C$26,"")</f>
        <v/>
      </c>
      <c r="CK409" s="518" t="str">
        <f>IF(AND(_F="A-321N",'2024'!$N$4="FO",'2024'!$N$2=CK385),'2024DATA'!$D$26,"")</f>
        <v/>
      </c>
      <c r="CL409" s="518" t="str">
        <f>IF(AND(_F="A-321N",'2024'!$N$4="FO",'2024'!$N$2=CL385),'2024DATA'!$E$26,"")</f>
        <v/>
      </c>
      <c r="CM409" s="518" t="str">
        <f>IF(AND(_F="A-321N",'2024'!$N$4="FO",'2024'!$N$2=CM385),'2024DATA'!$F$26,"")</f>
        <v/>
      </c>
      <c r="CN409" s="518" t="str">
        <f>IF(AND(_F="A-321N",'2024'!$N$4="FO",'2024'!$N$2=CN385),'2024DATA'!$G$26,"")</f>
        <v/>
      </c>
      <c r="CO409" s="518" t="str">
        <f>IF(AND(_F="A-321N",'2024'!$N$4="FO",'2024'!$N$2=CO385),'2024DATA'!$H$26,"")</f>
        <v/>
      </c>
      <c r="CP409" s="518" t="str">
        <f>IF(AND(_F="A-321N",'2024'!$N$4="FO",'2024'!$N$2=CP385),'2024DATA'!$I$26,"")</f>
        <v/>
      </c>
      <c r="CQ409" s="518" t="str">
        <f>IF(AND(_F="A-321N",'2024'!$N$4="FO",'2024'!$N$2=CQ385),'2024DATA'!$J$26,"")</f>
        <v/>
      </c>
      <c r="CR409" s="518" t="str">
        <f>IF(AND(_F="A-321N",'2024'!$N$4="FO",'2024'!$N$2=CR385),'2024DATA'!$K$26,"")</f>
        <v/>
      </c>
      <c r="CS409" s="518" t="str">
        <f>IF(AND(_F="A-321N",'2024'!$N$4="FO",'2024'!$N$2=CS385),'2024DATA'!$L$26,"")</f>
        <v/>
      </c>
      <c r="CT409" s="518" t="str">
        <f>IF(AND(_F="A-321N",'2024'!$N$4="FO",'2024'!$N$2=CT385),'2024DATA'!$M$26,"")</f>
        <v/>
      </c>
      <c r="CU409" s="520" t="str">
        <f>IF(AND(_F="A-321N",'2024'!$N$4="FO",'2024'!$N$2=CU385),'2024DATA'!$N$26,"")</f>
        <v/>
      </c>
    </row>
    <row r="410" spans="16:99" x14ac:dyDescent="0.25">
      <c r="P410" s="940" t="s">
        <v>48</v>
      </c>
      <c r="Q410" s="13" t="s">
        <v>61</v>
      </c>
      <c r="R410" s="518" t="str">
        <f>IF(AND(_A="A-321",'2024'!$N$4="CA",'2024'!$N$2=R385),'2024DATA'!$C$27,"")</f>
        <v/>
      </c>
      <c r="S410" s="518" t="str">
        <f>IF(AND(_A="A-321",'2024'!$N$4="CA",'2024'!$N$2=S385),'2024DATA'!$D$27,"")</f>
        <v/>
      </c>
      <c r="T410" s="518" t="str">
        <f>IF(AND(_A="A-321",'2024'!$N$4="CA",'2024'!$N$2=T385),'2024DATA'!$E$27,"")</f>
        <v/>
      </c>
      <c r="U410" s="518" t="str">
        <f>IF(AND(_A="A-321",'2024'!$N$4="CA",'2024'!$N$2=U385),'2024DATA'!$F$27,"")</f>
        <v/>
      </c>
      <c r="V410" s="518" t="str">
        <f>IF(AND(_A="A-321",'2024'!$N$4="CA",'2024'!$N$2=V385),'2024DATA'!$G$27,"")</f>
        <v/>
      </c>
      <c r="W410" s="518" t="str">
        <f>IF(AND(_A="A-321",'2024'!$N$4="CA",'2024'!$N$2=W385),'2024DATA'!$H$27,"")</f>
        <v/>
      </c>
      <c r="X410" s="518" t="str">
        <f>IF(AND(_A="A-321",'2024'!$N$4="CA",'2024'!$N$2=X385),'2024DATA'!$I$27,"")</f>
        <v/>
      </c>
      <c r="Y410" s="518" t="str">
        <f>IF(AND(_A="A-321",'2024'!$N$4="CA",'2024'!$N$2=Y385),'2024DATA'!$J$27,"")</f>
        <v/>
      </c>
      <c r="Z410" s="518" t="str">
        <f>IF(AND(_A="A-321",'2024'!$N$4="CA",'2024'!$N$2=Z385),'2024DATA'!$K$27,"")</f>
        <v/>
      </c>
      <c r="AA410" s="518" t="str">
        <f>IF(AND(_A="A-321",'2024'!$N$4="CA",'2024'!$N$2=AA385),'2024DATA'!$L$27,"")</f>
        <v/>
      </c>
      <c r="AB410" s="518" t="str">
        <f>IF(AND(_A="A-321",'2024'!$N$4="CA",'2024'!$N$2=AB385),'2024DATA'!$M$27,"")</f>
        <v/>
      </c>
      <c r="AC410" s="520" t="str">
        <f>IF(AND(_A="A-321",'2024'!$N$4="CA",'2024'!$N$2=AC385),'2024DATA'!$N$27,"")</f>
        <v/>
      </c>
      <c r="AD410" s="940" t="s">
        <v>48</v>
      </c>
      <c r="AE410" s="13" t="s">
        <v>61</v>
      </c>
      <c r="AF410" s="518" t="str">
        <f>IF(AND(_B="A-321",'2024'!$N$4="CA",'2024'!$N$2=AF385),'2024DATA'!$C$27,"")</f>
        <v/>
      </c>
      <c r="AG410" s="518" t="str">
        <f>IF(AND(_B="A-321",'2024'!$N$4="CA",'2024'!$N$2=AG385),'2024DATA'!$D$27,"")</f>
        <v/>
      </c>
      <c r="AH410" s="518" t="str">
        <f>IF(AND(_B="A-321",'2024'!$N$4="CA",'2024'!$N$2=AH385),'2024DATA'!$E$27,"")</f>
        <v/>
      </c>
      <c r="AI410" s="518" t="str">
        <f>IF(AND(_B="A-321",'2024'!$N$4="CA",'2024'!$N$2=AI385),'2024DATA'!$F$27,"")</f>
        <v/>
      </c>
      <c r="AJ410" s="518" t="str">
        <f>IF(AND(_B="A-321",'2024'!$N$4="CA",'2024'!$N$2=AJ385),'2024DATA'!$G$27,"")</f>
        <v/>
      </c>
      <c r="AK410" s="518" t="str">
        <f>IF(AND(_B="A-321",'2024'!$N$4="CA",'2024'!$N$2=AK385),'2024DATA'!$H$27,"")</f>
        <v/>
      </c>
      <c r="AL410" s="518" t="str">
        <f>IF(AND(_B="A-321",'2024'!$N$4="CA",'2024'!$N$2=AL385),'2024DATA'!$I$27,"")</f>
        <v/>
      </c>
      <c r="AM410" s="518" t="str">
        <f>IF(AND(_B="A-321",'2024'!$N$4="CA",'2024'!$N$2=AM385),'2024DATA'!$J$27,"")</f>
        <v/>
      </c>
      <c r="AN410" s="518" t="str">
        <f>IF(AND(_B="A-321",'2024'!$N$4="CA",'2024'!$N$2=AN385),'2024DATA'!$K$27,"")</f>
        <v/>
      </c>
      <c r="AO410" s="518" t="str">
        <f>IF(AND(_B="A-321",'2024'!$N$4="CA",'2024'!$N$2=AO385),'2024DATA'!$L$27,"")</f>
        <v/>
      </c>
      <c r="AP410" s="518" t="str">
        <f>IF(AND(_B="A-321",'2024'!$N$4="CA",'2024'!$N$2=AP385),'2024DATA'!$M$27,"")</f>
        <v/>
      </c>
      <c r="AQ410" s="520" t="str">
        <f>IF(AND(_B="A-321",'2024'!$N$4="CA",'2024'!$N$2=AQ385),'2024DATA'!$N$27,"")</f>
        <v/>
      </c>
      <c r="AR410" s="940" t="s">
        <v>48</v>
      </c>
      <c r="AS410" s="13" t="s">
        <v>61</v>
      </c>
      <c r="AT410" s="518" t="str">
        <f>IF(AND(_C="A-321",'2024'!$N$4="CA",'2024'!$N$2=AT385),'2024DATA'!$C$27,"")</f>
        <v/>
      </c>
      <c r="AU410" s="518" t="str">
        <f>IF(AND(_C="A-321",'2024'!$N$4="CA",'2024'!$N$2=AU385),'2024DATA'!$D$27,"")</f>
        <v/>
      </c>
      <c r="AV410" s="518" t="str">
        <f>IF(AND(_C="A-321",'2024'!$N$4="CA",'2024'!$N$2=AV385),'2024DATA'!$E$27,"")</f>
        <v/>
      </c>
      <c r="AW410" s="518" t="str">
        <f>IF(AND(_C="A-321",'2024'!$N$4="CA",'2024'!$N$2=AW385),'2024DATA'!$F$27,"")</f>
        <v/>
      </c>
      <c r="AX410" s="518" t="str">
        <f>IF(AND(_C="A-321",'2024'!$N$4="CA",'2024'!$N$2=AX385),'2024DATA'!$G$27,"")</f>
        <v/>
      </c>
      <c r="AY410" s="518" t="str">
        <f>IF(AND(_C="A-321",'2024'!$N$4="CA",'2024'!$N$2=AY385),'2024DATA'!$H$27,"")</f>
        <v/>
      </c>
      <c r="AZ410" s="518" t="str">
        <f>IF(AND(_C="A-321",'2024'!$N$4="CA",'2024'!$N$2=AZ385),'2024DATA'!$I$27,"")</f>
        <v/>
      </c>
      <c r="BA410" s="518" t="str">
        <f>IF(AND(_C="A-321",'2024'!$N$4="CA",'2024'!$N$2=BA385),'2024DATA'!$J$27,"")</f>
        <v/>
      </c>
      <c r="BB410" s="518" t="str">
        <f>IF(AND(_C="A-321",'2024'!$N$4="CA",'2024'!$N$2=BB385),'2024DATA'!$K$27,"")</f>
        <v/>
      </c>
      <c r="BC410" s="518" t="str">
        <f>IF(AND(_C="A-321",'2024'!$N$4="CA",'2024'!$N$2=BC385),'2024DATA'!$L$27,"")</f>
        <v/>
      </c>
      <c r="BD410" s="518" t="str">
        <f>IF(AND(_C="A-321",'2024'!$N$4="CA",'2024'!$N$2=BD385),'2024DATA'!$M$27,"")</f>
        <v/>
      </c>
      <c r="BE410" s="520" t="str">
        <f>IF(AND(_C="A-321",'2024'!$N$4="CA",'2024'!$N$2=BE385),'2024DATA'!$N$27,"")</f>
        <v/>
      </c>
      <c r="BF410" s="940" t="s">
        <v>48</v>
      </c>
      <c r="BG410" s="13" t="s">
        <v>61</v>
      </c>
      <c r="BH410" s="518" t="str">
        <f>IF(AND(_D="A-321",'2024'!$N$4="CA",'2024'!$N$2=BH385),'2024DATA'!$C$27,"")</f>
        <v/>
      </c>
      <c r="BI410" s="518" t="str">
        <f>IF(AND(_D="A-321",'2024'!$N$4="CA",'2024'!$N$2=BI385),'2024DATA'!$D$27,"")</f>
        <v/>
      </c>
      <c r="BJ410" s="518" t="str">
        <f>IF(AND(_D="A-321",'2024'!$N$4="CA",'2024'!$N$2=BJ385),'2024DATA'!$E$27,"")</f>
        <v/>
      </c>
      <c r="BK410" s="518" t="str">
        <f>IF(AND(_D="A-321",'2024'!$N$4="CA",'2024'!$N$2=BK385),'2024DATA'!$F$27,"")</f>
        <v/>
      </c>
      <c r="BL410" s="518" t="str">
        <f>IF(AND(_D="A-321",'2024'!$N$4="CA",'2024'!$N$2=BL385),'2024DATA'!$G$27,"")</f>
        <v/>
      </c>
      <c r="BM410" s="518" t="str">
        <f>IF(AND(_D="A-321",'2024'!$N$4="CA",'2024'!$N$2=BM385),'2024DATA'!$H$27,"")</f>
        <v/>
      </c>
      <c r="BN410" s="518" t="str">
        <f>IF(AND(_D="A-321",'2024'!$N$4="CA",'2024'!$N$2=BN385),'2024DATA'!$I$27,"")</f>
        <v/>
      </c>
      <c r="BO410" s="518" t="str">
        <f>IF(AND(_D="A-321",'2024'!$N$4="CA",'2024'!$N$2=BO385),'2024DATA'!$J$27,"")</f>
        <v/>
      </c>
      <c r="BP410" s="518" t="str">
        <f>IF(AND(_D="A-321",'2024'!$N$4="CA",'2024'!$N$2=BP385),'2024DATA'!$K$27,"")</f>
        <v/>
      </c>
      <c r="BQ410" s="518" t="str">
        <f>IF(AND(_D="A-321",'2024'!$N$4="CA",'2024'!$N$2=BQ385),'2024DATA'!$L$27,"")</f>
        <v/>
      </c>
      <c r="BR410" s="518" t="str">
        <f>IF(AND(_D="A-321",'2024'!$N$4="CA",'2024'!$N$2=BR385),'2024DATA'!$M$27,"")</f>
        <v/>
      </c>
      <c r="BS410" s="520" t="str">
        <f>IF(AND(_D="A-321",'2024'!$N$4="CA",'2024'!$N$2=BS385),'2024DATA'!$N$27,"")</f>
        <v/>
      </c>
      <c r="BT410" s="940" t="s">
        <v>48</v>
      </c>
      <c r="BU410" s="13" t="s">
        <v>61</v>
      </c>
      <c r="BV410" s="518" t="str">
        <f>IF(AND(_E="A-321",'2024'!$N$4="CA",'2024'!$N$2=BV385),'2024DATA'!$C$27,"")</f>
        <v/>
      </c>
      <c r="BW410" s="518" t="str">
        <f>IF(AND(_E="A-321",'2024'!$N$4="CA",'2024'!$N$2=BW385),'2024DATA'!$D$27,"")</f>
        <v/>
      </c>
      <c r="BX410" s="518" t="str">
        <f>IF(AND(_E="A-321",'2024'!$N$4="CA",'2024'!$N$2=BX385),'2024DATA'!$E$27,"")</f>
        <v/>
      </c>
      <c r="BY410" s="518" t="str">
        <f>IF(AND(_E="A-321",'2024'!$N$4="CA",'2024'!$N$2=BY385),'2024DATA'!$F$27,"")</f>
        <v/>
      </c>
      <c r="BZ410" s="518" t="str">
        <f>IF(AND(_E="A-321",'2024'!$N$4="CA",'2024'!$N$2=BZ385),'2024DATA'!$G$27,"")</f>
        <v/>
      </c>
      <c r="CA410" s="518" t="str">
        <f>IF(AND(_E="A-321",'2024'!$N$4="CA",'2024'!$N$2=CA385),'2024DATA'!$H$27,"")</f>
        <v/>
      </c>
      <c r="CB410" s="518" t="str">
        <f>IF(AND(_E="A-321",'2024'!$N$4="CA",'2024'!$N$2=CB385),'2024DATA'!$I$27,"")</f>
        <v/>
      </c>
      <c r="CC410" s="518" t="str">
        <f>IF(AND(_E="A-321",'2024'!$N$4="CA",'2024'!$N$2=CC385),'2024DATA'!$J$27,"")</f>
        <v/>
      </c>
      <c r="CD410" s="518" t="str">
        <f>IF(AND(_E="A-321",'2024'!$N$4="CA",'2024'!$N$2=CD385),'2024DATA'!$K$27,"")</f>
        <v/>
      </c>
      <c r="CE410" s="518" t="str">
        <f>IF(AND(_E="A-321",'2024'!$N$4="CA",'2024'!$N$2=CE385),'2024DATA'!$L$27,"")</f>
        <v/>
      </c>
      <c r="CF410" s="518" t="str">
        <f>IF(AND(_E="A-321",'2024'!$N$4="CA",'2024'!$N$2=CF385),'2024DATA'!$M$27,"")</f>
        <v/>
      </c>
      <c r="CG410" s="520" t="str">
        <f>IF(AND(_E="A-321",'2024'!$N$4="CA",'2024'!$N$2=CG385),'2024DATA'!$N$27,"")</f>
        <v/>
      </c>
      <c r="CH410" s="940" t="s">
        <v>48</v>
      </c>
      <c r="CI410" s="13" t="s">
        <v>61</v>
      </c>
      <c r="CJ410" s="518" t="str">
        <f>IF(AND(_F="A-321",'2024'!$N$4="CA",'2024'!$N$2=CJ385),'2024DATA'!$C$27,"")</f>
        <v/>
      </c>
      <c r="CK410" s="518" t="str">
        <f>IF(AND(_F="A-321",'2024'!$N$4="CA",'2024'!$N$2=CK385),'2024DATA'!$D$27,"")</f>
        <v/>
      </c>
      <c r="CL410" s="518" t="str">
        <f>IF(AND(_F="A-321",'2024'!$N$4="CA",'2024'!$N$2=CL385),'2024DATA'!$E$27,"")</f>
        <v/>
      </c>
      <c r="CM410" s="518" t="str">
        <f>IF(AND(_F="A-321",'2024'!$N$4="CA",'2024'!$N$2=CM385),'2024DATA'!$F$27,"")</f>
        <v/>
      </c>
      <c r="CN410" s="518" t="str">
        <f>IF(AND(_F="A-321",'2024'!$N$4="CA",'2024'!$N$2=CN385),'2024DATA'!$G$27,"")</f>
        <v/>
      </c>
      <c r="CO410" s="518" t="str">
        <f>IF(AND(_F="A-321",'2024'!$N$4="CA",'2024'!$N$2=CO385),'2024DATA'!$H$27,"")</f>
        <v/>
      </c>
      <c r="CP410" s="518" t="str">
        <f>IF(AND(_F="A-321",'2024'!$N$4="CA",'2024'!$N$2=CP385),'2024DATA'!$I$27,"")</f>
        <v/>
      </c>
      <c r="CQ410" s="518" t="str">
        <f>IF(AND(_F="A-321",'2024'!$N$4="CA",'2024'!$N$2=CQ385),'2024DATA'!$J$27,"")</f>
        <v/>
      </c>
      <c r="CR410" s="518" t="str">
        <f>IF(AND(_F="A-321",'2024'!$N$4="CA",'2024'!$N$2=CR385),'2024DATA'!$K$27,"")</f>
        <v/>
      </c>
      <c r="CS410" s="518" t="str">
        <f>IF(AND(_F="A-321",'2024'!$N$4="CA",'2024'!$N$2=CS385),'2024DATA'!$L$27,"")</f>
        <v/>
      </c>
      <c r="CT410" s="518" t="str">
        <f>IF(AND(_F="A-321",'2024'!$N$4="CA",'2024'!$N$2=CT385),'2024DATA'!$M$27,"")</f>
        <v/>
      </c>
      <c r="CU410" s="520" t="str">
        <f>IF(AND(_F="A-321",'2024'!$N$4="CA",'2024'!$N$2=CU385),'2024DATA'!$N$27,"")</f>
        <v/>
      </c>
    </row>
    <row r="411" spans="16:99" x14ac:dyDescent="0.25">
      <c r="P411" s="940"/>
      <c r="Q411" s="13" t="s">
        <v>62</v>
      </c>
      <c r="R411" s="518" t="str">
        <f>IF(AND(_A="A-321",'2024'!$N$4="FO",'2024'!$N$2=R385),'2024DATA'!$C$28,"")</f>
        <v/>
      </c>
      <c r="S411" s="518" t="str">
        <f>IF(AND(_A="A-321",'2024'!$N$4="FO",'2024'!$N$2=S385),'2024DATA'!$D$28,"")</f>
        <v/>
      </c>
      <c r="T411" s="518" t="str">
        <f>IF(AND(_A="A-321",'2024'!$N$4="FO",'2024'!$N$2=T385),'2024DATA'!$E$28,"")</f>
        <v/>
      </c>
      <c r="U411" s="518" t="str">
        <f>IF(AND(_A="A-321",'2024'!$N$4="FO",'2024'!$N$2=U385),'2024DATA'!$F$28,"")</f>
        <v/>
      </c>
      <c r="V411" s="518" t="str">
        <f>IF(AND(_A="A-321",'2024'!$N$4="FO",'2024'!$N$2=V385),'2024DATA'!$G$28,"")</f>
        <v/>
      </c>
      <c r="W411" s="518" t="str">
        <f>IF(AND(_A="A-321",'2024'!$N$4="FO",'2024'!$N$2=W385),'2024DATA'!$H$28,"")</f>
        <v/>
      </c>
      <c r="X411" s="518" t="str">
        <f>IF(AND(_A="A-321",'2024'!$N$4="FO",'2024'!$N$2=X385),'2024DATA'!$I$28,"")</f>
        <v/>
      </c>
      <c r="Y411" s="518" t="str">
        <f>IF(AND(_A="A-321",'2024'!$N$4="FO",'2024'!$N$2=Y385),'2024DATA'!$J$28,"")</f>
        <v/>
      </c>
      <c r="Z411" s="518" t="str">
        <f>IF(AND(_A="A-321",'2024'!$N$4="FO",'2024'!$N$2=Z385),'2024DATA'!$K$28,"")</f>
        <v/>
      </c>
      <c r="AA411" s="518" t="str">
        <f>IF(AND(_A="A-321",'2024'!$N$4="FO",'2024'!$N$2=AA385),'2024DATA'!$L$28,"")</f>
        <v/>
      </c>
      <c r="AB411" s="518" t="str">
        <f>IF(AND(_A="A-321",'2024'!$N$4="FO",'2024'!$N$2=AB385),'2024DATA'!$M$28,"")</f>
        <v/>
      </c>
      <c r="AC411" s="520" t="str">
        <f>IF(AND(_A="A-321",'2024'!$N$4="FO",'2024'!$N$2=AC385),'2024DATA'!$N$28,"")</f>
        <v/>
      </c>
      <c r="AD411" s="940"/>
      <c r="AE411" s="13" t="s">
        <v>62</v>
      </c>
      <c r="AF411" s="518" t="str">
        <f>IF(AND(_B="A-321",'2024'!$N$4="FO",'2024'!$N$2=AF385),'2024DATA'!$C$28,"")</f>
        <v/>
      </c>
      <c r="AG411" s="518" t="str">
        <f>IF(AND(_B="A-321",'2024'!$N$4="FO",'2024'!$N$2=AG385),'2024DATA'!$D$28,"")</f>
        <v/>
      </c>
      <c r="AH411" s="518" t="str">
        <f>IF(AND(_B="A-321",'2024'!$N$4="FO",'2024'!$N$2=AH385),'2024DATA'!$E$28,"")</f>
        <v/>
      </c>
      <c r="AI411" s="518" t="str">
        <f>IF(AND(_B="A-321",'2024'!$N$4="FO",'2024'!$N$2=AI385),'2024DATA'!$F$28,"")</f>
        <v/>
      </c>
      <c r="AJ411" s="518" t="str">
        <f>IF(AND(_B="A-321",'2024'!$N$4="FO",'2024'!$N$2=AJ385),'2024DATA'!$G$28,"")</f>
        <v/>
      </c>
      <c r="AK411" s="518" t="str">
        <f>IF(AND(_B="A-321",'2024'!$N$4="FO",'2024'!$N$2=AK385),'2024DATA'!$H$28,"")</f>
        <v/>
      </c>
      <c r="AL411" s="518" t="str">
        <f>IF(AND(_B="A-321",'2024'!$N$4="FO",'2024'!$N$2=AL385),'2024DATA'!$I$28,"")</f>
        <v/>
      </c>
      <c r="AM411" s="518" t="str">
        <f>IF(AND(_B="A-321",'2024'!$N$4="FO",'2024'!$N$2=AM385),'2024DATA'!$J$28,"")</f>
        <v/>
      </c>
      <c r="AN411" s="518" t="str">
        <f>IF(AND(_B="A-321",'2024'!$N$4="FO",'2024'!$N$2=AN385),'2024DATA'!$K$28,"")</f>
        <v/>
      </c>
      <c r="AO411" s="518" t="str">
        <f>IF(AND(_B="A-321",'2024'!$N$4="FO",'2024'!$N$2=AO385),'2024DATA'!$L$28,"")</f>
        <v/>
      </c>
      <c r="AP411" s="518" t="str">
        <f>IF(AND(_B="A-321",'2024'!$N$4="FO",'2024'!$N$2=AP385),'2024DATA'!$M$28,"")</f>
        <v/>
      </c>
      <c r="AQ411" s="520" t="str">
        <f>IF(AND(_B="A-321",'2024'!$N$4="FO",'2024'!$N$2=AQ385),'2024DATA'!$N$28,"")</f>
        <v/>
      </c>
      <c r="AR411" s="940"/>
      <c r="AS411" s="13" t="s">
        <v>62</v>
      </c>
      <c r="AT411" s="518" t="str">
        <f>IF(AND(_C="A-321",'2024'!$N$4="FO",'2024'!$N$2=AT385),'2024DATA'!$C$28,"")</f>
        <v/>
      </c>
      <c r="AU411" s="518" t="str">
        <f>IF(AND(_C="A-321",'2024'!$N$4="FO",'2024'!$N$2=AU385),'2024DATA'!$D$28,"")</f>
        <v/>
      </c>
      <c r="AV411" s="518" t="str">
        <f>IF(AND(_C="A-321",'2024'!$N$4="FO",'2024'!$N$2=AV385),'2024DATA'!$E$28,"")</f>
        <v/>
      </c>
      <c r="AW411" s="518" t="str">
        <f>IF(AND(_C="A-321",'2024'!$N$4="FO",'2024'!$N$2=AW385),'2024DATA'!$F$28,"")</f>
        <v/>
      </c>
      <c r="AX411" s="518" t="str">
        <f>IF(AND(_C="A-321",'2024'!$N$4="FO",'2024'!$N$2=AX385),'2024DATA'!$G$28,"")</f>
        <v/>
      </c>
      <c r="AY411" s="518" t="str">
        <f>IF(AND(_C="A-321",'2024'!$N$4="FO",'2024'!$N$2=AY385),'2024DATA'!$H$28,"")</f>
        <v/>
      </c>
      <c r="AZ411" s="518" t="str">
        <f>IF(AND(_C="A-321",'2024'!$N$4="FO",'2024'!$N$2=AZ385),'2024DATA'!$I$28,"")</f>
        <v/>
      </c>
      <c r="BA411" s="518" t="str">
        <f>IF(AND(_C="A-321",'2024'!$N$4="FO",'2024'!$N$2=BA385),'2024DATA'!$J$28,"")</f>
        <v/>
      </c>
      <c r="BB411" s="518" t="str">
        <f>IF(AND(_C="A-321",'2024'!$N$4="FO",'2024'!$N$2=BB385),'2024DATA'!$K$28,"")</f>
        <v/>
      </c>
      <c r="BC411" s="518" t="str">
        <f>IF(AND(_C="A-321",'2024'!$N$4="FO",'2024'!$N$2=BC385),'2024DATA'!$L$28,"")</f>
        <v/>
      </c>
      <c r="BD411" s="518" t="str">
        <f>IF(AND(_C="A-321",'2024'!$N$4="FO",'2024'!$N$2=BD385),'2024DATA'!$M$28,"")</f>
        <v/>
      </c>
      <c r="BE411" s="520" t="str">
        <f>IF(AND(_C="A-321",'2024'!$N$4="FO",'2024'!$N$2=BE385),'2024DATA'!$N$28,"")</f>
        <v/>
      </c>
      <c r="BF411" s="940"/>
      <c r="BG411" s="13" t="s">
        <v>62</v>
      </c>
      <c r="BH411" s="518" t="str">
        <f>IF(AND(_D="A-321",'2024'!$N$4="FO",'2024'!$N$2=BH385),'2024DATA'!$C$28,"")</f>
        <v/>
      </c>
      <c r="BI411" s="518" t="str">
        <f>IF(AND(_D="A-321",'2024'!$N$4="FO",'2024'!$N$2=BI385),'2024DATA'!$D$28,"")</f>
        <v/>
      </c>
      <c r="BJ411" s="518" t="str">
        <f>IF(AND(_D="A-321",'2024'!$N$4="FO",'2024'!$N$2=BJ385),'2024DATA'!$E$28,"")</f>
        <v/>
      </c>
      <c r="BK411" s="518" t="str">
        <f>IF(AND(_D="A-321",'2024'!$N$4="FO",'2024'!$N$2=BK385),'2024DATA'!$F$28,"")</f>
        <v/>
      </c>
      <c r="BL411" s="518" t="str">
        <f>IF(AND(_D="A-321",'2024'!$N$4="FO",'2024'!$N$2=BL385),'2024DATA'!$G$28,"")</f>
        <v/>
      </c>
      <c r="BM411" s="518" t="str">
        <f>IF(AND(_D="A-321",'2024'!$N$4="FO",'2024'!$N$2=BM385),'2024DATA'!$H$28,"")</f>
        <v/>
      </c>
      <c r="BN411" s="518" t="str">
        <f>IF(AND(_D="A-321",'2024'!$N$4="FO",'2024'!$N$2=BN385),'2024DATA'!$I$28,"")</f>
        <v/>
      </c>
      <c r="BO411" s="518" t="str">
        <f>IF(AND(_D="A-321",'2024'!$N$4="FO",'2024'!$N$2=BO385),'2024DATA'!$J$28,"")</f>
        <v/>
      </c>
      <c r="BP411" s="518" t="str">
        <f>IF(AND(_D="A-321",'2024'!$N$4="FO",'2024'!$N$2=BP385),'2024DATA'!$K$28,"")</f>
        <v/>
      </c>
      <c r="BQ411" s="518" t="str">
        <f>IF(AND(_D="A-321",'2024'!$N$4="FO",'2024'!$N$2=BQ385),'2024DATA'!$L$28,"")</f>
        <v/>
      </c>
      <c r="BR411" s="518" t="str">
        <f>IF(AND(_D="A-321",'2024'!$N$4="FO",'2024'!$N$2=BR385),'2024DATA'!$M$28,"")</f>
        <v/>
      </c>
      <c r="BS411" s="520" t="str">
        <f>IF(AND(_D="A-321",'2024'!$N$4="FO",'2024'!$N$2=BS385),'2024DATA'!$N$28,"")</f>
        <v/>
      </c>
      <c r="BT411" s="940"/>
      <c r="BU411" s="13" t="s">
        <v>62</v>
      </c>
      <c r="BV411" s="518" t="str">
        <f>IF(AND(_E="A-321",'2024'!$N$4="FO",'2024'!$N$2=BV385),'2024DATA'!$C$28,"")</f>
        <v/>
      </c>
      <c r="BW411" s="518" t="str">
        <f>IF(AND(_E="A-321",'2024'!$N$4="FO",'2024'!$N$2=BW385),'2024DATA'!$D$28,"")</f>
        <v/>
      </c>
      <c r="BX411" s="518" t="str">
        <f>IF(AND(_E="A-321",'2024'!$N$4="FO",'2024'!$N$2=BX385),'2024DATA'!$E$28,"")</f>
        <v/>
      </c>
      <c r="BY411" s="518" t="str">
        <f>IF(AND(_E="A-321",'2024'!$N$4="FO",'2024'!$N$2=BY385),'2024DATA'!$F$28,"")</f>
        <v/>
      </c>
      <c r="BZ411" s="518" t="str">
        <f>IF(AND(_E="A-321",'2024'!$N$4="FO",'2024'!$N$2=BZ385),'2024DATA'!$G$28,"")</f>
        <v/>
      </c>
      <c r="CA411" s="518" t="str">
        <f>IF(AND(_E="A-321",'2024'!$N$4="FO",'2024'!$N$2=CA385),'2024DATA'!$H$28,"")</f>
        <v/>
      </c>
      <c r="CB411" s="518" t="str">
        <f>IF(AND(_E="A-321",'2024'!$N$4="FO",'2024'!$N$2=CB385),'2024DATA'!$I$28,"")</f>
        <v/>
      </c>
      <c r="CC411" s="518" t="str">
        <f>IF(AND(_E="A-321",'2024'!$N$4="FO",'2024'!$N$2=CC385),'2024DATA'!$J$28,"")</f>
        <v/>
      </c>
      <c r="CD411" s="518" t="str">
        <f>IF(AND(_E="A-321",'2024'!$N$4="FO",'2024'!$N$2=CD385),'2024DATA'!$K$28,"")</f>
        <v/>
      </c>
      <c r="CE411" s="518" t="str">
        <f>IF(AND(_E="A-321",'2024'!$N$4="FO",'2024'!$N$2=CE385),'2024DATA'!$L$28,"")</f>
        <v/>
      </c>
      <c r="CF411" s="518" t="str">
        <f>IF(AND(_E="A-321",'2024'!$N$4="FO",'2024'!$N$2=CF385),'2024DATA'!$M$28,"")</f>
        <v/>
      </c>
      <c r="CG411" s="520" t="str">
        <f>IF(AND(_E="A-321",'2024'!$N$4="FO",'2024'!$N$2=CG385),'2024DATA'!$N$28,"")</f>
        <v/>
      </c>
      <c r="CH411" s="940"/>
      <c r="CI411" s="13" t="s">
        <v>62</v>
      </c>
      <c r="CJ411" s="518" t="str">
        <f>IF(AND(_F="A-321",'2024'!$N$4="FO",'2024'!$N$2=CJ385),'2024DATA'!$C$28,"")</f>
        <v/>
      </c>
      <c r="CK411" s="518" t="str">
        <f>IF(AND(_F="A-321",'2024'!$N$4="FO",'2024'!$N$2=CK385),'2024DATA'!$D$28,"")</f>
        <v/>
      </c>
      <c r="CL411" s="518" t="str">
        <f>IF(AND(_F="A-321",'2024'!$N$4="FO",'2024'!$N$2=CL385),'2024DATA'!$E$28,"")</f>
        <v/>
      </c>
      <c r="CM411" s="518" t="str">
        <f>IF(AND(_F="A-321",'2024'!$N$4="FO",'2024'!$N$2=CM385),'2024DATA'!$F$28,"")</f>
        <v/>
      </c>
      <c r="CN411" s="518" t="str">
        <f>IF(AND(_F="A-321",'2024'!$N$4="FO",'2024'!$N$2=CN385),'2024DATA'!$G$28,"")</f>
        <v/>
      </c>
      <c r="CO411" s="518" t="str">
        <f>IF(AND(_F="A-321",'2024'!$N$4="FO",'2024'!$N$2=CO385),'2024DATA'!$H$28,"")</f>
        <v/>
      </c>
      <c r="CP411" s="518" t="str">
        <f>IF(AND(_F="A-321",'2024'!$N$4="FO",'2024'!$N$2=CP385),'2024DATA'!$I$28,"")</f>
        <v/>
      </c>
      <c r="CQ411" s="518" t="str">
        <f>IF(AND(_F="A-321",'2024'!$N$4="FO",'2024'!$N$2=CQ385),'2024DATA'!$J$28,"")</f>
        <v/>
      </c>
      <c r="CR411" s="518" t="str">
        <f>IF(AND(_F="A-321",'2024'!$N$4="FO",'2024'!$N$2=CR385),'2024DATA'!$K$28,"")</f>
        <v/>
      </c>
      <c r="CS411" s="518" t="str">
        <f>IF(AND(_F="A-321",'2024'!$N$4="FO",'2024'!$N$2=CS385),'2024DATA'!$L$28,"")</f>
        <v/>
      </c>
      <c r="CT411" s="518" t="str">
        <f>IF(AND(_F="A-321",'2024'!$N$4="FO",'2024'!$N$2=CT385),'2024DATA'!$M$28,"")</f>
        <v/>
      </c>
      <c r="CU411" s="520" t="str">
        <f>IF(AND(_F="A-321",'2024'!$N$4="FO",'2024'!$N$2=CU385),'2024DATA'!$N$28,"")</f>
        <v/>
      </c>
    </row>
    <row r="412" spans="16:99" x14ac:dyDescent="0.25">
      <c r="P412" s="940" t="s">
        <v>70</v>
      </c>
      <c r="Q412" s="13" t="s">
        <v>61</v>
      </c>
      <c r="R412" s="518" t="str">
        <f>IF(AND(_A="A-320",'2024'!$N$4="CA",'2024'!$N$2=R385),'2024DATA'!$C$29,"")</f>
        <v/>
      </c>
      <c r="S412" s="518" t="str">
        <f>IF(AND(_A="A-320",'2024'!$N$4="CA",'2024'!$N$2=S385),'2024DATA'!$D$29,"")</f>
        <v/>
      </c>
      <c r="T412" s="518" t="str">
        <f>IF(AND(_A="A-320",'2024'!$N$4="CA",'2024'!$N$2=T385),'2024DATA'!$E$29,"")</f>
        <v/>
      </c>
      <c r="U412" s="518" t="str">
        <f>IF(AND(_A="A-320",'2024'!$N$4="CA",'2024'!$N$2=U385),'2024DATA'!$F$29,"")</f>
        <v/>
      </c>
      <c r="V412" s="518" t="str">
        <f>IF(AND(_A="A-320",'2024'!$N$4="CA",'2024'!$N$2=V385),'2024DATA'!$G$29,"")</f>
        <v/>
      </c>
      <c r="W412" s="518" t="str">
        <f>IF(AND(_A="A-320",'2024'!$N$4="CA",'2024'!$N$2=W385),'2024DATA'!$H$29,"")</f>
        <v/>
      </c>
      <c r="X412" s="518" t="str">
        <f>IF(AND(_A="A-320",'2024'!$N$4="CA",'2024'!$N$2=X385),'2024DATA'!$I$29,"")</f>
        <v/>
      </c>
      <c r="Y412" s="518" t="str">
        <f>IF(AND(_A="A-320",'2024'!$N$4="CA",'2024'!$N$2=Y385),'2024DATA'!$J$29,"")</f>
        <v/>
      </c>
      <c r="Z412" s="518" t="str">
        <f>IF(AND(_A="A-320",'2024'!$N$4="CA",'2024'!$N$2=Z385),'2024DATA'!$K$29,"")</f>
        <v/>
      </c>
      <c r="AA412" s="518" t="str">
        <f>IF(AND(_A="A-320",'2024'!$N$4="CA",'2024'!$N$2=AA385),'2024DATA'!$L$29,"")</f>
        <v/>
      </c>
      <c r="AB412" s="518" t="str">
        <f>IF(AND(_A="A-320",'2024'!$N$4="CA",'2024'!$N$2=AB385),'2024DATA'!$M$29,"")</f>
        <v/>
      </c>
      <c r="AC412" s="520" t="str">
        <f>IF(AND(_A="A-320",'2024'!$N$4="CA",'2024'!$N$2=AC385),'2024DATA'!$N$29,"")</f>
        <v/>
      </c>
      <c r="AD412" s="940" t="s">
        <v>70</v>
      </c>
      <c r="AE412" s="13" t="s">
        <v>61</v>
      </c>
      <c r="AF412" s="518" t="str">
        <f>IF(AND(_B="A-320",'2024'!$N$4="CA",'2024'!$N$2=AF385),'2024DATA'!$C$29,"")</f>
        <v/>
      </c>
      <c r="AG412" s="518" t="str">
        <f>IF(AND(_B="A-320",'2024'!$N$4="CA",'2024'!$N$2=AG385),'2024DATA'!$D$29,"")</f>
        <v/>
      </c>
      <c r="AH412" s="518" t="str">
        <f>IF(AND(_B="A-320",'2024'!$N$4="CA",'2024'!$N$2=AH385),'2024DATA'!$E$29,"")</f>
        <v/>
      </c>
      <c r="AI412" s="518" t="str">
        <f>IF(AND(_B="A-320",'2024'!$N$4="CA",'2024'!$N$2=AI385),'2024DATA'!$F$29,"")</f>
        <v/>
      </c>
      <c r="AJ412" s="518" t="str">
        <f>IF(AND(_B="A-320",'2024'!$N$4="CA",'2024'!$N$2=AJ385),'2024DATA'!$G$29,"")</f>
        <v/>
      </c>
      <c r="AK412" s="518" t="str">
        <f>IF(AND(_B="A-320",'2024'!$N$4="CA",'2024'!$N$2=AK385),'2024DATA'!$H$29,"")</f>
        <v/>
      </c>
      <c r="AL412" s="518" t="str">
        <f>IF(AND(_B="A-320",'2024'!$N$4="CA",'2024'!$N$2=AL385),'2024DATA'!$I$29,"")</f>
        <v/>
      </c>
      <c r="AM412" s="518" t="str">
        <f>IF(AND(_B="A-320",'2024'!$N$4="CA",'2024'!$N$2=AM385),'2024DATA'!$J$29,"")</f>
        <v/>
      </c>
      <c r="AN412" s="518" t="str">
        <f>IF(AND(_B="A-320",'2024'!$N$4="CA",'2024'!$N$2=AN385),'2024DATA'!$K$29,"")</f>
        <v/>
      </c>
      <c r="AO412" s="518" t="str">
        <f>IF(AND(_B="A-320",'2024'!$N$4="CA",'2024'!$N$2=AO385),'2024DATA'!$L$29,"")</f>
        <v/>
      </c>
      <c r="AP412" s="518" t="str">
        <f>IF(AND(_B="A-320",'2024'!$N$4="CA",'2024'!$N$2=AP385),'2024DATA'!$M$29,"")</f>
        <v/>
      </c>
      <c r="AQ412" s="520" t="str">
        <f>IF(AND(_B="A-320",'2024'!$N$4="CA",'2024'!$N$2=AQ385),'2024DATA'!$N$29,"")</f>
        <v/>
      </c>
      <c r="AR412" s="940" t="s">
        <v>70</v>
      </c>
      <c r="AS412" s="13" t="s">
        <v>61</v>
      </c>
      <c r="AT412" s="518" t="str">
        <f>IF(AND(_C="A-320",'2024'!$N$4="CA",'2024'!$N$2=AT385),'2024DATA'!$C$29,"")</f>
        <v/>
      </c>
      <c r="AU412" s="518" t="str">
        <f>IF(AND(_C="A-320",'2024'!$N$4="CA",'2024'!$N$2=AU385),'2024DATA'!$D$29,"")</f>
        <v/>
      </c>
      <c r="AV412" s="518" t="str">
        <f>IF(AND(_C="A-320",'2024'!$N$4="CA",'2024'!$N$2=AV385),'2024DATA'!$E$29,"")</f>
        <v/>
      </c>
      <c r="AW412" s="518" t="str">
        <f>IF(AND(_C="A-320",'2024'!$N$4="CA",'2024'!$N$2=AW385),'2024DATA'!$F$29,"")</f>
        <v/>
      </c>
      <c r="AX412" s="518" t="str">
        <f>IF(AND(_C="A-320",'2024'!$N$4="CA",'2024'!$N$2=AX385),'2024DATA'!$G$29,"")</f>
        <v/>
      </c>
      <c r="AY412" s="518" t="str">
        <f>IF(AND(_C="A-320",'2024'!$N$4="CA",'2024'!$N$2=AY385),'2024DATA'!$H$29,"")</f>
        <v/>
      </c>
      <c r="AZ412" s="518" t="str">
        <f>IF(AND(_C="A-320",'2024'!$N$4="CA",'2024'!$N$2=AZ385),'2024DATA'!$I$29,"")</f>
        <v/>
      </c>
      <c r="BA412" s="518" t="str">
        <f>IF(AND(_C="A-320",'2024'!$N$4="CA",'2024'!$N$2=BA385),'2024DATA'!$J$29,"")</f>
        <v/>
      </c>
      <c r="BB412" s="518" t="str">
        <f>IF(AND(_C="A-320",'2024'!$N$4="CA",'2024'!$N$2=BB385),'2024DATA'!$K$29,"")</f>
        <v/>
      </c>
      <c r="BC412" s="518" t="str">
        <f>IF(AND(_C="A-320",'2024'!$N$4="CA",'2024'!$N$2=BC385),'2024DATA'!$L$29,"")</f>
        <v/>
      </c>
      <c r="BD412" s="518" t="str">
        <f>IF(AND(_C="A-320",'2024'!$N$4="CA",'2024'!$N$2=BD385),'2024DATA'!$M$29,"")</f>
        <v/>
      </c>
      <c r="BE412" s="520" t="str">
        <f>IF(AND(_C="A-320",'2024'!$N$4="CA",'2024'!$N$2=BE385),'2024DATA'!$N$29,"")</f>
        <v/>
      </c>
      <c r="BF412" s="940" t="s">
        <v>70</v>
      </c>
      <c r="BG412" s="13" t="s">
        <v>61</v>
      </c>
      <c r="BH412" s="518" t="str">
        <f>IF(AND(_D="A-320",'2024'!$N$4="CA",'2024'!$N$2=BH385),'2024DATA'!$C$29,"")</f>
        <v/>
      </c>
      <c r="BI412" s="518" t="str">
        <f>IF(AND(_D="A-320",'2024'!$N$4="CA",'2024'!$N$2=BI385),'2024DATA'!$D$29,"")</f>
        <v/>
      </c>
      <c r="BJ412" s="518" t="str">
        <f>IF(AND(_D="A-320",'2024'!$N$4="CA",'2024'!$N$2=BJ385),'2024DATA'!$E$29,"")</f>
        <v/>
      </c>
      <c r="BK412" s="518" t="str">
        <f>IF(AND(_D="A-320",'2024'!$N$4="CA",'2024'!$N$2=BK385),'2024DATA'!$F$29,"")</f>
        <v/>
      </c>
      <c r="BL412" s="518" t="str">
        <f>IF(AND(_D="A-320",'2024'!$N$4="CA",'2024'!$N$2=BL385),'2024DATA'!$G$29,"")</f>
        <v/>
      </c>
      <c r="BM412" s="518" t="str">
        <f>IF(AND(_D="A-320",'2024'!$N$4="CA",'2024'!$N$2=BM385),'2024DATA'!$H$29,"")</f>
        <v/>
      </c>
      <c r="BN412" s="518" t="str">
        <f>IF(AND(_D="A-320",'2024'!$N$4="CA",'2024'!$N$2=BN385),'2024DATA'!$I$29,"")</f>
        <v/>
      </c>
      <c r="BO412" s="518" t="str">
        <f>IF(AND(_D="A-320",'2024'!$N$4="CA",'2024'!$N$2=BO385),'2024DATA'!$J$29,"")</f>
        <v/>
      </c>
      <c r="BP412" s="518" t="str">
        <f>IF(AND(_D="A-320",'2024'!$N$4="CA",'2024'!$N$2=BP385),'2024DATA'!$K$29,"")</f>
        <v/>
      </c>
      <c r="BQ412" s="518" t="str">
        <f>IF(AND(_D="A-320",'2024'!$N$4="CA",'2024'!$N$2=BQ385),'2024DATA'!$L$29,"")</f>
        <v/>
      </c>
      <c r="BR412" s="518" t="str">
        <f>IF(AND(_D="A-320",'2024'!$N$4="CA",'2024'!$N$2=BR385),'2024DATA'!$M$29,"")</f>
        <v/>
      </c>
      <c r="BS412" s="520" t="str">
        <f>IF(AND(_D="A-320",'2024'!$N$4="CA",'2024'!$N$2=BS385),'2024DATA'!$N$29,"")</f>
        <v/>
      </c>
      <c r="BT412" s="940" t="s">
        <v>70</v>
      </c>
      <c r="BU412" s="13" t="s">
        <v>61</v>
      </c>
      <c r="BV412" s="518" t="str">
        <f>IF(AND(_E="A-320",'2024'!$N$4="CA",'2024'!$N$2=BV385),'2024DATA'!$C$29,"")</f>
        <v/>
      </c>
      <c r="BW412" s="518" t="str">
        <f>IF(AND(_E="A-320",'2024'!$N$4="CA",'2024'!$N$2=BW385),'2024DATA'!$D$29,"")</f>
        <v/>
      </c>
      <c r="BX412" s="518" t="str">
        <f>IF(AND(_E="A-320",'2024'!$N$4="CA",'2024'!$N$2=BX385),'2024DATA'!$E$29,"")</f>
        <v/>
      </c>
      <c r="BY412" s="518" t="str">
        <f>IF(AND(_E="A-320",'2024'!$N$4="CA",'2024'!$N$2=BY385),'2024DATA'!$F$29,"")</f>
        <v/>
      </c>
      <c r="BZ412" s="518" t="str">
        <f>IF(AND(_E="A-320",'2024'!$N$4="CA",'2024'!$N$2=BZ385),'2024DATA'!$G$29,"")</f>
        <v/>
      </c>
      <c r="CA412" s="518" t="str">
        <f>IF(AND(_E="A-320",'2024'!$N$4="CA",'2024'!$N$2=CA385),'2024DATA'!$H$29,"")</f>
        <v/>
      </c>
      <c r="CB412" s="518" t="str">
        <f>IF(AND(_E="A-320",'2024'!$N$4="CA",'2024'!$N$2=CB385),'2024DATA'!$I$29,"")</f>
        <v/>
      </c>
      <c r="CC412" s="518" t="str">
        <f>IF(AND(_E="A-320",'2024'!$N$4="CA",'2024'!$N$2=CC385),'2024DATA'!$J$29,"")</f>
        <v/>
      </c>
      <c r="CD412" s="518" t="str">
        <f>IF(AND(_E="A-320",'2024'!$N$4="CA",'2024'!$N$2=CD385),'2024DATA'!$K$29,"")</f>
        <v/>
      </c>
      <c r="CE412" s="518" t="str">
        <f>IF(AND(_E="A-320",'2024'!$N$4="CA",'2024'!$N$2=CE385),'2024DATA'!$L$29,"")</f>
        <v/>
      </c>
      <c r="CF412" s="518" t="str">
        <f>IF(AND(_E="A-320",'2024'!$N$4="CA",'2024'!$N$2=CF385),'2024DATA'!$M$29,"")</f>
        <v/>
      </c>
      <c r="CG412" s="520" t="str">
        <f>IF(AND(_E="A-320",'2024'!$N$4="CA",'2024'!$N$2=CG385),'2024DATA'!$N$29,"")</f>
        <v/>
      </c>
      <c r="CH412" s="940" t="s">
        <v>70</v>
      </c>
      <c r="CI412" s="13" t="s">
        <v>61</v>
      </c>
      <c r="CJ412" s="518" t="str">
        <f>IF(AND(_F="A-320",'2024'!$N$4="CA",'2024'!$N$2=CJ385),'2024DATA'!$C$29,"")</f>
        <v/>
      </c>
      <c r="CK412" s="518" t="str">
        <f>IF(AND(_F="A-320",'2024'!$N$4="CA",'2024'!$N$2=CK385),'2024DATA'!$D$29,"")</f>
        <v/>
      </c>
      <c r="CL412" s="518" t="str">
        <f>IF(AND(_F="A-320",'2024'!$N$4="CA",'2024'!$N$2=CL385),'2024DATA'!$E$29,"")</f>
        <v/>
      </c>
      <c r="CM412" s="518" t="str">
        <f>IF(AND(_F="A-320",'2024'!$N$4="CA",'2024'!$N$2=CM385),'2024DATA'!$F$29,"")</f>
        <v/>
      </c>
      <c r="CN412" s="518" t="str">
        <f>IF(AND(_F="A-320",'2024'!$N$4="CA",'2024'!$N$2=CN385),'2024DATA'!$G$29,"")</f>
        <v/>
      </c>
      <c r="CO412" s="518" t="str">
        <f>IF(AND(_F="A-320",'2024'!$N$4="CA",'2024'!$N$2=CO385),'2024DATA'!$H$29,"")</f>
        <v/>
      </c>
      <c r="CP412" s="518" t="str">
        <f>IF(AND(_F="A-320",'2024'!$N$4="CA",'2024'!$N$2=CP385),'2024DATA'!$I$29,"")</f>
        <v/>
      </c>
      <c r="CQ412" s="518" t="str">
        <f>IF(AND(_F="A-320",'2024'!$N$4="CA",'2024'!$N$2=CQ385),'2024DATA'!$J$29,"")</f>
        <v/>
      </c>
      <c r="CR412" s="518" t="str">
        <f>IF(AND(_F="A-320",'2024'!$N$4="CA",'2024'!$N$2=CR385),'2024DATA'!$K$29,"")</f>
        <v/>
      </c>
      <c r="CS412" s="518" t="str">
        <f>IF(AND(_F="A-320",'2024'!$N$4="CA",'2024'!$N$2=CS385),'2024DATA'!$L$29,"")</f>
        <v/>
      </c>
      <c r="CT412" s="518" t="str">
        <f>IF(AND(_F="A-320",'2024'!$N$4="CA",'2024'!$N$2=CT385),'2024DATA'!$M$29,"")</f>
        <v/>
      </c>
      <c r="CU412" s="520" t="str">
        <f>IF(AND(_F="A-320",'2024'!$N$4="CA",'2024'!$N$2=CU385),'2024DATA'!$N$29,"")</f>
        <v/>
      </c>
    </row>
    <row r="413" spans="16:99" x14ac:dyDescent="0.25">
      <c r="P413" s="940"/>
      <c r="Q413" s="13" t="s">
        <v>62</v>
      </c>
      <c r="R413" s="518" t="str">
        <f>IF(AND(_A="A-320",'2024'!$N$4="FO",'2024'!$N$2=R385),'2024DATA'!$C$30,"")</f>
        <v/>
      </c>
      <c r="S413" s="518" t="str">
        <f>IF(AND(_A="A-320",'2024'!$N$4="FO",'2024'!$N$2=S385),'2024DATA'!$D$30,"")</f>
        <v/>
      </c>
      <c r="T413" s="518" t="str">
        <f>IF(AND(_A="A-320",'2024'!$N$4="FO",'2024'!$N$2=T385),'2024DATA'!$E$30,"")</f>
        <v/>
      </c>
      <c r="U413" s="518" t="str">
        <f>IF(AND(_A="A-320",'2024'!$N$4="FO",'2024'!$N$2=U385),'2024DATA'!$F$30,"")</f>
        <v/>
      </c>
      <c r="V413" s="518" t="str">
        <f>IF(AND(_A="A-320",'2024'!$N$4="FO",'2024'!$N$2=V385),'2024DATA'!$G$30,"")</f>
        <v/>
      </c>
      <c r="W413" s="518" t="str">
        <f>IF(AND(_A="A-320",'2024'!$N$4="FO",'2024'!$N$2=W385),'2024DATA'!$H$30,"")</f>
        <v/>
      </c>
      <c r="X413" s="518" t="str">
        <f>IF(AND(_A="A-320",'2024'!$N$4="FO",'2024'!$N$2=X385),'2024DATA'!$I$30,"")</f>
        <v/>
      </c>
      <c r="Y413" s="518" t="str">
        <f>IF(AND(_A="A-320",'2024'!$N$4="FO",'2024'!$N$2=Y385),'2024DATA'!$J$30,"")</f>
        <v/>
      </c>
      <c r="Z413" s="518" t="str">
        <f>IF(AND(_A="A-320",'2024'!$N$4="FO",'2024'!$N$2=Z385),'2024DATA'!$K$30,"")</f>
        <v/>
      </c>
      <c r="AA413" s="518" t="str">
        <f>IF(AND(_A="A-320",'2024'!$N$4="FO",'2024'!$N$2=AA385),'2024DATA'!$L$30,"")</f>
        <v/>
      </c>
      <c r="AB413" s="518" t="str">
        <f>IF(AND(_A="A-320",'2024'!$N$4="FO",'2024'!$N$2=AB385),'2024DATA'!$M$30,"")</f>
        <v/>
      </c>
      <c r="AC413" s="520" t="str">
        <f>IF(AND(_A="A-320",'2024'!$N$4="FO",'2024'!$N$2=AC385),'2024DATA'!$N$30,"")</f>
        <v/>
      </c>
      <c r="AD413" s="940"/>
      <c r="AE413" s="13" t="s">
        <v>62</v>
      </c>
      <c r="AF413" s="518" t="str">
        <f>IF(AND(_B="A-320",'2024'!$N$4="FO",'2024'!$N$2=AF385),'2024DATA'!$C$30,"")</f>
        <v/>
      </c>
      <c r="AG413" s="518" t="str">
        <f>IF(AND(_B="A-320",'2024'!$N$4="FO",'2024'!$N$2=AG385),'2024DATA'!$D$30,"")</f>
        <v/>
      </c>
      <c r="AH413" s="518" t="str">
        <f>IF(AND(_B="A-320",'2024'!$N$4="FO",'2024'!$N$2=AH385),'2024DATA'!$E$30,"")</f>
        <v/>
      </c>
      <c r="AI413" s="518" t="str">
        <f>IF(AND(_B="A-320",'2024'!$N$4="FO",'2024'!$N$2=AI385),'2024DATA'!$F$30,"")</f>
        <v/>
      </c>
      <c r="AJ413" s="518" t="str">
        <f>IF(AND(_B="A-320",'2024'!$N$4="FO",'2024'!$N$2=AJ385),'2024DATA'!$G$30,"")</f>
        <v/>
      </c>
      <c r="AK413" s="518" t="str">
        <f>IF(AND(_B="A-320",'2024'!$N$4="FO",'2024'!$N$2=AK385),'2024DATA'!$H$30,"")</f>
        <v/>
      </c>
      <c r="AL413" s="518" t="str">
        <f>IF(AND(_B="A-320",'2024'!$N$4="FO",'2024'!$N$2=AL385),'2024DATA'!$I$30,"")</f>
        <v/>
      </c>
      <c r="AM413" s="518" t="str">
        <f>IF(AND(_B="A-320",'2024'!$N$4="FO",'2024'!$N$2=AM385),'2024DATA'!$J$30,"")</f>
        <v/>
      </c>
      <c r="AN413" s="518" t="str">
        <f>IF(AND(_B="A-320",'2024'!$N$4="FO",'2024'!$N$2=AN385),'2024DATA'!$K$30,"")</f>
        <v/>
      </c>
      <c r="AO413" s="518" t="str">
        <f>IF(AND(_B="A-320",'2024'!$N$4="FO",'2024'!$N$2=AO385),'2024DATA'!$L$30,"")</f>
        <v/>
      </c>
      <c r="AP413" s="518" t="str">
        <f>IF(AND(_B="A-320",'2024'!$N$4="FO",'2024'!$N$2=AP385),'2024DATA'!$M$30,"")</f>
        <v/>
      </c>
      <c r="AQ413" s="520" t="str">
        <f>IF(AND(_B="A-320",'2024'!$N$4="FO",'2024'!$N$2=AQ385),'2024DATA'!$N$30,"")</f>
        <v/>
      </c>
      <c r="AR413" s="940"/>
      <c r="AS413" s="13" t="s">
        <v>62</v>
      </c>
      <c r="AT413" s="518" t="str">
        <f>IF(AND(_C="A-320",'2024'!$N$4="FO",'2024'!$N$2=AT385),'2024DATA'!$C$30,"")</f>
        <v/>
      </c>
      <c r="AU413" s="518" t="str">
        <f>IF(AND(_C="A-320",'2024'!$N$4="FO",'2024'!$N$2=AU385),'2024DATA'!$D$30,"")</f>
        <v/>
      </c>
      <c r="AV413" s="518" t="str">
        <f>IF(AND(_C="A-320",'2024'!$N$4="FO",'2024'!$N$2=AV385),'2024DATA'!$E$30,"")</f>
        <v/>
      </c>
      <c r="AW413" s="518" t="str">
        <f>IF(AND(_C="A-320",'2024'!$N$4="FO",'2024'!$N$2=AW385),'2024DATA'!$F$30,"")</f>
        <v/>
      </c>
      <c r="AX413" s="518" t="str">
        <f>IF(AND(_C="A-320",'2024'!$N$4="FO",'2024'!$N$2=AX385),'2024DATA'!$G$30,"")</f>
        <v/>
      </c>
      <c r="AY413" s="518" t="str">
        <f>IF(AND(_C="A-320",'2024'!$N$4="FO",'2024'!$N$2=AY385),'2024DATA'!$H$30,"")</f>
        <v/>
      </c>
      <c r="AZ413" s="518" t="str">
        <f>IF(AND(_C="A-320",'2024'!$N$4="FO",'2024'!$N$2=AZ385),'2024DATA'!$I$30,"")</f>
        <v/>
      </c>
      <c r="BA413" s="518" t="str">
        <f>IF(AND(_C="A-320",'2024'!$N$4="FO",'2024'!$N$2=BA385),'2024DATA'!$J$30,"")</f>
        <v/>
      </c>
      <c r="BB413" s="518" t="str">
        <f>IF(AND(_C="A-320",'2024'!$N$4="FO",'2024'!$N$2=BB385),'2024DATA'!$K$30,"")</f>
        <v/>
      </c>
      <c r="BC413" s="518" t="str">
        <f>IF(AND(_C="A-320",'2024'!$N$4="FO",'2024'!$N$2=BC385),'2024DATA'!$L$30,"")</f>
        <v/>
      </c>
      <c r="BD413" s="518" t="str">
        <f>IF(AND(_C="A-320",'2024'!$N$4="FO",'2024'!$N$2=BD385),'2024DATA'!$M$30,"")</f>
        <v/>
      </c>
      <c r="BE413" s="520" t="str">
        <f>IF(AND(_C="A-320",'2024'!$N$4="FO",'2024'!$N$2=BE385),'2024DATA'!$N$30,"")</f>
        <v/>
      </c>
      <c r="BF413" s="940"/>
      <c r="BG413" s="13" t="s">
        <v>62</v>
      </c>
      <c r="BH413" s="518" t="str">
        <f>IF(AND(_D="A-320",'2024'!$N$4="FO",'2024'!$N$2=BH385),'2024DATA'!$C$30,"")</f>
        <v/>
      </c>
      <c r="BI413" s="518" t="str">
        <f>IF(AND(_D="A-320",'2024'!$N$4="FO",'2024'!$N$2=BI385),'2024DATA'!$D$30,"")</f>
        <v/>
      </c>
      <c r="BJ413" s="518" t="str">
        <f>IF(AND(_D="A-320",'2024'!$N$4="FO",'2024'!$N$2=BJ385),'2024DATA'!$E$30,"")</f>
        <v/>
      </c>
      <c r="BK413" s="518" t="str">
        <f>IF(AND(_D="A-320",'2024'!$N$4="FO",'2024'!$N$2=BK385),'2024DATA'!$F$30,"")</f>
        <v/>
      </c>
      <c r="BL413" s="518" t="str">
        <f>IF(AND(_D="A-320",'2024'!$N$4="FO",'2024'!$N$2=BL385),'2024DATA'!$G$30,"")</f>
        <v/>
      </c>
      <c r="BM413" s="518" t="str">
        <f>IF(AND(_D="A-320",'2024'!$N$4="FO",'2024'!$N$2=BM385),'2024DATA'!$H$30,"")</f>
        <v/>
      </c>
      <c r="BN413" s="518" t="str">
        <f>IF(AND(_D="A-320",'2024'!$N$4="FO",'2024'!$N$2=BN385),'2024DATA'!$I$30,"")</f>
        <v/>
      </c>
      <c r="BO413" s="518" t="str">
        <f>IF(AND(_D="A-320",'2024'!$N$4="FO",'2024'!$N$2=BO385),'2024DATA'!$J$30,"")</f>
        <v/>
      </c>
      <c r="BP413" s="518" t="str">
        <f>IF(AND(_D="A-320",'2024'!$N$4="FO",'2024'!$N$2=BP385),'2024DATA'!$K$30,"")</f>
        <v/>
      </c>
      <c r="BQ413" s="518" t="str">
        <f>IF(AND(_D="A-320",'2024'!$N$4="FO",'2024'!$N$2=BQ385),'2024DATA'!$L$30,"")</f>
        <v/>
      </c>
      <c r="BR413" s="518" t="str">
        <f>IF(AND(_D="A-320",'2024'!$N$4="FO",'2024'!$N$2=BR385),'2024DATA'!$M$30,"")</f>
        <v/>
      </c>
      <c r="BS413" s="520" t="str">
        <f>IF(AND(_D="A-320",'2024'!$N$4="FO",'2024'!$N$2=BS385),'2024DATA'!$N$30,"")</f>
        <v/>
      </c>
      <c r="BT413" s="940"/>
      <c r="BU413" s="13" t="s">
        <v>62</v>
      </c>
      <c r="BV413" s="518" t="str">
        <f>IF(AND(_E="A-320",'2024'!$N$4="FO",'2024'!$N$2=BV385),'2024DATA'!$C$30,"")</f>
        <v/>
      </c>
      <c r="BW413" s="518" t="str">
        <f>IF(AND(_E="A-320",'2024'!$N$4="FO",'2024'!$N$2=BW385),'2024DATA'!$D$30,"")</f>
        <v/>
      </c>
      <c r="BX413" s="518" t="str">
        <f>IF(AND(_E="A-320",'2024'!$N$4="FO",'2024'!$N$2=BX385),'2024DATA'!$E$30,"")</f>
        <v/>
      </c>
      <c r="BY413" s="518" t="str">
        <f>IF(AND(_E="A-320",'2024'!$N$4="FO",'2024'!$N$2=BY385),'2024DATA'!$F$30,"")</f>
        <v/>
      </c>
      <c r="BZ413" s="518" t="str">
        <f>IF(AND(_E="A-320",'2024'!$N$4="FO",'2024'!$N$2=BZ385),'2024DATA'!$G$30,"")</f>
        <v/>
      </c>
      <c r="CA413" s="518" t="str">
        <f>IF(AND(_E="A-320",'2024'!$N$4="FO",'2024'!$N$2=CA385),'2024DATA'!$H$30,"")</f>
        <v/>
      </c>
      <c r="CB413" s="518" t="str">
        <f>IF(AND(_E="A-320",'2024'!$N$4="FO",'2024'!$N$2=CB385),'2024DATA'!$I$30,"")</f>
        <v/>
      </c>
      <c r="CC413" s="518" t="str">
        <f>IF(AND(_E="A-320",'2024'!$N$4="FO",'2024'!$N$2=CC385),'2024DATA'!$J$30,"")</f>
        <v/>
      </c>
      <c r="CD413" s="518" t="str">
        <f>IF(AND(_E="A-320",'2024'!$N$4="FO",'2024'!$N$2=CD385),'2024DATA'!$K$30,"")</f>
        <v/>
      </c>
      <c r="CE413" s="518" t="str">
        <f>IF(AND(_E="A-320",'2024'!$N$4="FO",'2024'!$N$2=CE385),'2024DATA'!$L$30,"")</f>
        <v/>
      </c>
      <c r="CF413" s="518" t="str">
        <f>IF(AND(_E="A-320",'2024'!$N$4="FO",'2024'!$N$2=CF385),'2024DATA'!$M$30,"")</f>
        <v/>
      </c>
      <c r="CG413" s="520" t="str">
        <f>IF(AND(_E="A-320",'2024'!$N$4="FO",'2024'!$N$2=CG385),'2024DATA'!$N$30,"")</f>
        <v/>
      </c>
      <c r="CH413" s="940"/>
      <c r="CI413" s="13" t="s">
        <v>62</v>
      </c>
      <c r="CJ413" s="518" t="str">
        <f>IF(AND(_F="A-320",'2024'!$N$4="FO",'2024'!$N$2=CJ385),'2024DATA'!$C$30,"")</f>
        <v/>
      </c>
      <c r="CK413" s="518" t="str">
        <f>IF(AND(_F="A-320",'2024'!$N$4="FO",'2024'!$N$2=CK385),'2024DATA'!$D$30,"")</f>
        <v/>
      </c>
      <c r="CL413" s="518" t="str">
        <f>IF(AND(_F="A-320",'2024'!$N$4="FO",'2024'!$N$2=CL385),'2024DATA'!$E$30,"")</f>
        <v/>
      </c>
      <c r="CM413" s="518" t="str">
        <f>IF(AND(_F="A-320",'2024'!$N$4="FO",'2024'!$N$2=CM385),'2024DATA'!$F$30,"")</f>
        <v/>
      </c>
      <c r="CN413" s="518" t="str">
        <f>IF(AND(_F="A-320",'2024'!$N$4="FO",'2024'!$N$2=CN385),'2024DATA'!$G$30,"")</f>
        <v/>
      </c>
      <c r="CO413" s="518" t="str">
        <f>IF(AND(_F="A-320",'2024'!$N$4="FO",'2024'!$N$2=CO385),'2024DATA'!$H$30,"")</f>
        <v/>
      </c>
      <c r="CP413" s="518" t="str">
        <f>IF(AND(_F="A-320",'2024'!$N$4="FO",'2024'!$N$2=CP385),'2024DATA'!$I$30,"")</f>
        <v/>
      </c>
      <c r="CQ413" s="518" t="str">
        <f>IF(AND(_F="A-320",'2024'!$N$4="FO",'2024'!$N$2=CQ385),'2024DATA'!$J$30,"")</f>
        <v/>
      </c>
      <c r="CR413" s="518" t="str">
        <f>IF(AND(_F="A-320",'2024'!$N$4="FO",'2024'!$N$2=CR385),'2024DATA'!$K$30,"")</f>
        <v/>
      </c>
      <c r="CS413" s="518" t="str">
        <f>IF(AND(_F="A-320",'2024'!$N$4="FO",'2024'!$N$2=CS385),'2024DATA'!$L$30,"")</f>
        <v/>
      </c>
      <c r="CT413" s="518" t="str">
        <f>IF(AND(_F="A-320",'2024'!$N$4="FO",'2024'!$N$2=CT385),'2024DATA'!$M$30,"")</f>
        <v/>
      </c>
      <c r="CU413" s="520" t="str">
        <f>IF(AND(_F="A-320",'2024'!$N$4="FO",'2024'!$N$2=CU385),'2024DATA'!$N$30,"")</f>
        <v/>
      </c>
    </row>
    <row r="414" spans="16:99" x14ac:dyDescent="0.25">
      <c r="P414" s="940" t="s">
        <v>71</v>
      </c>
      <c r="Q414" s="13" t="s">
        <v>61</v>
      </c>
      <c r="R414" s="518" t="str">
        <f>IF(AND(_A="A-319",'2024'!$N$4="CA",'2024'!$N$2=R385),'2024DATA'!$C$31,"")</f>
        <v/>
      </c>
      <c r="S414" s="518" t="str">
        <f>IF(AND(_A="A-319",'2024'!$N$4="CA",'2024'!$N$2=S385),'2024DATA'!$D$31,"")</f>
        <v/>
      </c>
      <c r="T414" s="518" t="str">
        <f>IF(AND(_A="A-319",'2024'!$N$4="CA",'2024'!$N$2=T385),'2024DATA'!$E$31,"")</f>
        <v/>
      </c>
      <c r="U414" s="518" t="str">
        <f>IF(AND(_A="A-319",'2024'!$N$4="CA",'2024'!$N$2=U385),'2024DATA'!$F$31,"")</f>
        <v/>
      </c>
      <c r="V414" s="518" t="str">
        <f>IF(AND(_A="A-319",'2024'!$N$4="CA",'2024'!$N$2=V385),'2024DATA'!$G$31,"")</f>
        <v/>
      </c>
      <c r="W414" s="518" t="str">
        <f>IF(AND(_A="A-319",'2024'!$N$4="CA",'2024'!$N$2=W385),'2024DATA'!$H$31,"")</f>
        <v/>
      </c>
      <c r="X414" s="518" t="str">
        <f>IF(AND(_A="A-319",'2024'!$N$4="CA",'2024'!$N$2=X385),'2024DATA'!$I$31,"")</f>
        <v/>
      </c>
      <c r="Y414" s="518" t="str">
        <f>IF(AND(_A="A-319",'2024'!$N$4="CA",'2024'!$N$2=Y385),'2024DATA'!$J$31,"")</f>
        <v/>
      </c>
      <c r="Z414" s="518" t="str">
        <f>IF(AND(_A="A-319",'2024'!$N$4="CA",'2024'!$N$2=Z385),'2024DATA'!$K$31,"")</f>
        <v/>
      </c>
      <c r="AA414" s="518" t="str">
        <f>IF(AND(_A="A-319",'2024'!$N$4="CA",'2024'!$N$2=AA385),'2024DATA'!$L$31,"")</f>
        <v/>
      </c>
      <c r="AB414" s="518" t="str">
        <f>IF(AND(_A="A-319",'2024'!$N$4="CA",'2024'!$N$2=AB385),'2024DATA'!$M$31,"")</f>
        <v/>
      </c>
      <c r="AC414" s="520" t="str">
        <f>IF(AND(_A="A-319",'2024'!$N$4="CA",'2024'!$N$2=AC385),'2024DATA'!$N$31,"")</f>
        <v/>
      </c>
      <c r="AD414" s="940" t="s">
        <v>71</v>
      </c>
      <c r="AE414" s="13" t="s">
        <v>61</v>
      </c>
      <c r="AF414" s="518" t="str">
        <f>IF(AND(_B="A-319",'2024'!$N$4="CA",'2024'!$N$2=AF385),'2024DATA'!$C$31,"")</f>
        <v/>
      </c>
      <c r="AG414" s="518" t="str">
        <f>IF(AND(_B="A-319",'2024'!$N$4="CA",'2024'!$N$2=AG385),'2024DATA'!$D$31,"")</f>
        <v/>
      </c>
      <c r="AH414" s="518" t="str">
        <f>IF(AND(_B="A-319",'2024'!$N$4="CA",'2024'!$N$2=AH385),'2024DATA'!$E$31,"")</f>
        <v/>
      </c>
      <c r="AI414" s="518" t="str">
        <f>IF(AND(_B="A-319",'2024'!$N$4="CA",'2024'!$N$2=AI385),'2024DATA'!$F$31,"")</f>
        <v/>
      </c>
      <c r="AJ414" s="518" t="str">
        <f>IF(AND(_B="A-319",'2024'!$N$4="CA",'2024'!$N$2=AJ385),'2024DATA'!$G$31,"")</f>
        <v/>
      </c>
      <c r="AK414" s="518" t="str">
        <f>IF(AND(_B="A-319",'2024'!$N$4="CA",'2024'!$N$2=AK385),'2024DATA'!$H$31,"")</f>
        <v/>
      </c>
      <c r="AL414" s="518" t="str">
        <f>IF(AND(_B="A-319",'2024'!$N$4="CA",'2024'!$N$2=AL385),'2024DATA'!$I$31,"")</f>
        <v/>
      </c>
      <c r="AM414" s="518" t="str">
        <f>IF(AND(_B="A-319",'2024'!$N$4="CA",'2024'!$N$2=AM385),'2024DATA'!$J$31,"")</f>
        <v/>
      </c>
      <c r="AN414" s="518" t="str">
        <f>IF(AND(_B="A-319",'2024'!$N$4="CA",'2024'!$N$2=AN385),'2024DATA'!$K$31,"")</f>
        <v/>
      </c>
      <c r="AO414" s="518" t="str">
        <f>IF(AND(_B="A-319",'2024'!$N$4="CA",'2024'!$N$2=AO385),'2024DATA'!$L$31,"")</f>
        <v/>
      </c>
      <c r="AP414" s="518" t="str">
        <f>IF(AND(_B="A-319",'2024'!$N$4="CA",'2024'!$N$2=AP385),'2024DATA'!$M$31,"")</f>
        <v/>
      </c>
      <c r="AQ414" s="520" t="str">
        <f>IF(AND(_B="A-319",'2024'!$N$4="CA",'2024'!$N$2=AQ385),'2024DATA'!$N$31,"")</f>
        <v/>
      </c>
      <c r="AR414" s="940" t="s">
        <v>71</v>
      </c>
      <c r="AS414" s="13" t="s">
        <v>61</v>
      </c>
      <c r="AT414" s="518" t="str">
        <f>IF(AND(_C="A-319",'2024'!$N$4="CA",'2024'!$N$2=AT385),'2024DATA'!$C$31,"")</f>
        <v/>
      </c>
      <c r="AU414" s="518" t="str">
        <f>IF(AND(_C="A-319",'2024'!$N$4="CA",'2024'!$N$2=AU385),'2024DATA'!$D$31,"")</f>
        <v/>
      </c>
      <c r="AV414" s="518" t="str">
        <f>IF(AND(_C="A-319",'2024'!$N$4="CA",'2024'!$N$2=AV385),'2024DATA'!$E$31,"")</f>
        <v/>
      </c>
      <c r="AW414" s="518" t="str">
        <f>IF(AND(_C="A-319",'2024'!$N$4="CA",'2024'!$N$2=AW385),'2024DATA'!$F$31,"")</f>
        <v/>
      </c>
      <c r="AX414" s="518" t="str">
        <f>IF(AND(_C="A-319",'2024'!$N$4="CA",'2024'!$N$2=AX385),'2024DATA'!$G$31,"")</f>
        <v/>
      </c>
      <c r="AY414" s="518" t="str">
        <f>IF(AND(_C="A-319",'2024'!$N$4="CA",'2024'!$N$2=AY385),'2024DATA'!$H$31,"")</f>
        <v/>
      </c>
      <c r="AZ414" s="518" t="str">
        <f>IF(AND(_C="A-319",'2024'!$N$4="CA",'2024'!$N$2=AZ385),'2024DATA'!$I$31,"")</f>
        <v/>
      </c>
      <c r="BA414" s="518" t="str">
        <f>IF(AND(_C="A-319",'2024'!$N$4="CA",'2024'!$N$2=BA385),'2024DATA'!$J$31,"")</f>
        <v/>
      </c>
      <c r="BB414" s="518" t="str">
        <f>IF(AND(_C="A-319",'2024'!$N$4="CA",'2024'!$N$2=BB385),'2024DATA'!$K$31,"")</f>
        <v/>
      </c>
      <c r="BC414" s="518" t="str">
        <f>IF(AND(_C="A-319",'2024'!$N$4="CA",'2024'!$N$2=BC385),'2024DATA'!$L$31,"")</f>
        <v/>
      </c>
      <c r="BD414" s="518" t="str">
        <f>IF(AND(_C="A-319",'2024'!$N$4="CA",'2024'!$N$2=BD385),'2024DATA'!$M$31,"")</f>
        <v/>
      </c>
      <c r="BE414" s="520" t="str">
        <f>IF(AND(_C="A-319",'2024'!$N$4="CA",'2024'!$N$2=BE385),'2024DATA'!$N$31,"")</f>
        <v/>
      </c>
      <c r="BF414" s="940" t="s">
        <v>71</v>
      </c>
      <c r="BG414" s="13" t="s">
        <v>61</v>
      </c>
      <c r="BH414" s="518" t="str">
        <f>IF(AND(_D="A-319",'2024'!$N$4="CA",'2024'!$N$2=BH385),'2024DATA'!$C$31,"")</f>
        <v/>
      </c>
      <c r="BI414" s="518" t="str">
        <f>IF(AND(_D="A-319",'2024'!$N$4="CA",'2024'!$N$2=BI385),'2024DATA'!$D$31,"")</f>
        <v/>
      </c>
      <c r="BJ414" s="518" t="str">
        <f>IF(AND(_D="A-319",'2024'!$N$4="CA",'2024'!$N$2=BJ385),'2024DATA'!$E$31,"")</f>
        <v/>
      </c>
      <c r="BK414" s="518" t="str">
        <f>IF(AND(_D="A-319",'2024'!$N$4="CA",'2024'!$N$2=BK385),'2024DATA'!$F$31,"")</f>
        <v/>
      </c>
      <c r="BL414" s="518" t="str">
        <f>IF(AND(_D="A-319",'2024'!$N$4="CA",'2024'!$N$2=BL385),'2024DATA'!$G$31,"")</f>
        <v/>
      </c>
      <c r="BM414" s="518" t="str">
        <f>IF(AND(_D="A-319",'2024'!$N$4="CA",'2024'!$N$2=BM385),'2024DATA'!$H$31,"")</f>
        <v/>
      </c>
      <c r="BN414" s="518" t="str">
        <f>IF(AND(_D="A-319",'2024'!$N$4="CA",'2024'!$N$2=BN385),'2024DATA'!$I$31,"")</f>
        <v/>
      </c>
      <c r="BO414" s="518" t="str">
        <f>IF(AND(_D="A-319",'2024'!$N$4="CA",'2024'!$N$2=BO385),'2024DATA'!$J$31,"")</f>
        <v/>
      </c>
      <c r="BP414" s="518" t="str">
        <f>IF(AND(_D="A-319",'2024'!$N$4="CA",'2024'!$N$2=BP385),'2024DATA'!$K$31,"")</f>
        <v/>
      </c>
      <c r="BQ414" s="518" t="str">
        <f>IF(AND(_D="A-319",'2024'!$N$4="CA",'2024'!$N$2=BQ385),'2024DATA'!$L$31,"")</f>
        <v/>
      </c>
      <c r="BR414" s="518" t="str">
        <f>IF(AND(_D="A-319",'2024'!$N$4="CA",'2024'!$N$2=BR385),'2024DATA'!$M$31,"")</f>
        <v/>
      </c>
      <c r="BS414" s="520" t="str">
        <f>IF(AND(_D="A-319",'2024'!$N$4="CA",'2024'!$N$2=BS385),'2024DATA'!$N$31,"")</f>
        <v/>
      </c>
      <c r="BT414" s="940" t="s">
        <v>71</v>
      </c>
      <c r="BU414" s="13" t="s">
        <v>61</v>
      </c>
      <c r="BV414" s="518" t="str">
        <f>IF(AND(_E="A-319",'2024'!$N$4="CA",'2024'!$N$2=BV385),'2024DATA'!$C$31,"")</f>
        <v/>
      </c>
      <c r="BW414" s="518" t="str">
        <f>IF(AND(_E="A-319",'2024'!$N$4="CA",'2024'!$N$2=BW385),'2024DATA'!$D$31,"")</f>
        <v/>
      </c>
      <c r="BX414" s="518" t="str">
        <f>IF(AND(_E="A-319",'2024'!$N$4="CA",'2024'!$N$2=BX385),'2024DATA'!$E$31,"")</f>
        <v/>
      </c>
      <c r="BY414" s="518" t="str">
        <f>IF(AND(_E="A-319",'2024'!$N$4="CA",'2024'!$N$2=BY385),'2024DATA'!$F$31,"")</f>
        <v/>
      </c>
      <c r="BZ414" s="518" t="str">
        <f>IF(AND(_E="A-319",'2024'!$N$4="CA",'2024'!$N$2=BZ385),'2024DATA'!$G$31,"")</f>
        <v/>
      </c>
      <c r="CA414" s="518" t="str">
        <f>IF(AND(_E="A-319",'2024'!$N$4="CA",'2024'!$N$2=CA385),'2024DATA'!$H$31,"")</f>
        <v/>
      </c>
      <c r="CB414" s="518" t="str">
        <f>IF(AND(_E="A-319",'2024'!$N$4="CA",'2024'!$N$2=CB385),'2024DATA'!$I$31,"")</f>
        <v/>
      </c>
      <c r="CC414" s="518" t="str">
        <f>IF(AND(_E="A-319",'2024'!$N$4="CA",'2024'!$N$2=CC385),'2024DATA'!$J$31,"")</f>
        <v/>
      </c>
      <c r="CD414" s="518" t="str">
        <f>IF(AND(_E="A-319",'2024'!$N$4="CA",'2024'!$N$2=CD385),'2024DATA'!$K$31,"")</f>
        <v/>
      </c>
      <c r="CE414" s="518" t="str">
        <f>IF(AND(_E="A-319",'2024'!$N$4="CA",'2024'!$N$2=CE385),'2024DATA'!$L$31,"")</f>
        <v/>
      </c>
      <c r="CF414" s="518" t="str">
        <f>IF(AND(_E="A-319",'2024'!$N$4="CA",'2024'!$N$2=CF385),'2024DATA'!$M$31,"")</f>
        <v/>
      </c>
      <c r="CG414" s="520" t="str">
        <f>IF(AND(_E="A-319",'2024'!$N$4="CA",'2024'!$N$2=CG385),'2024DATA'!$N$31,"")</f>
        <v/>
      </c>
      <c r="CH414" s="940" t="s">
        <v>71</v>
      </c>
      <c r="CI414" s="13" t="s">
        <v>61</v>
      </c>
      <c r="CJ414" s="518" t="str">
        <f>IF(AND(_F="A-319",'2024'!$N$4="CA",'2024'!$N$2=CJ385),'2024DATA'!$C$31,"")</f>
        <v/>
      </c>
      <c r="CK414" s="518" t="str">
        <f>IF(AND(_F="A-319",'2024'!$N$4="CA",'2024'!$N$2=CK385),'2024DATA'!$D$31,"")</f>
        <v/>
      </c>
      <c r="CL414" s="518" t="str">
        <f>IF(AND(_F="A-319",'2024'!$N$4="CA",'2024'!$N$2=CL385),'2024DATA'!$E$31,"")</f>
        <v/>
      </c>
      <c r="CM414" s="518" t="str">
        <f>IF(AND(_F="A-319",'2024'!$N$4="CA",'2024'!$N$2=CM385),'2024DATA'!$F$31,"")</f>
        <v/>
      </c>
      <c r="CN414" s="518" t="str">
        <f>IF(AND(_F="A-319",'2024'!$N$4="CA",'2024'!$N$2=CN385),'2024DATA'!$G$31,"")</f>
        <v/>
      </c>
      <c r="CO414" s="518" t="str">
        <f>IF(AND(_F="A-319",'2024'!$N$4="CA",'2024'!$N$2=CO385),'2024DATA'!$H$31,"")</f>
        <v/>
      </c>
      <c r="CP414" s="518" t="str">
        <f>IF(AND(_F="A-319",'2024'!$N$4="CA",'2024'!$N$2=CP385),'2024DATA'!$I$31,"")</f>
        <v/>
      </c>
      <c r="CQ414" s="518" t="str">
        <f>IF(AND(_F="A-319",'2024'!$N$4="CA",'2024'!$N$2=CQ385),'2024DATA'!$J$31,"")</f>
        <v/>
      </c>
      <c r="CR414" s="518" t="str">
        <f>IF(AND(_F="A-319",'2024'!$N$4="CA",'2024'!$N$2=CR385),'2024DATA'!$K$31,"")</f>
        <v/>
      </c>
      <c r="CS414" s="518" t="str">
        <f>IF(AND(_F="A-319",'2024'!$N$4="CA",'2024'!$N$2=CS385),'2024DATA'!$L$31,"")</f>
        <v/>
      </c>
      <c r="CT414" s="518" t="str">
        <f>IF(AND(_F="A-319",'2024'!$N$4="CA",'2024'!$N$2=CT385),'2024DATA'!$M$31,"")</f>
        <v/>
      </c>
      <c r="CU414" s="520" t="str">
        <f>IF(AND(_F="A-319",'2024'!$N$4="CA",'2024'!$N$2=CU385),'2024DATA'!$N$31,"")</f>
        <v/>
      </c>
    </row>
    <row r="415" spans="16:99" x14ac:dyDescent="0.25">
      <c r="P415" s="940"/>
      <c r="Q415" s="13" t="s">
        <v>62</v>
      </c>
      <c r="R415" s="518" t="str">
        <f>IF(AND(_A="A-319",'2024'!$N$4="FO",'2024'!$N$2=R385),'2024DATA'!$C$32,"")</f>
        <v/>
      </c>
      <c r="S415" s="518" t="str">
        <f>IF(AND(_A="A-319",'2024'!$N$4="FO",'2024'!$N$2=S385),'2024DATA'!$D$32,"")</f>
        <v/>
      </c>
      <c r="T415" s="518" t="str">
        <f>IF(AND(_A="A-319",'2024'!$N$4="FO",'2024'!$N$2=T385),'2024DATA'!$E$32,"")</f>
        <v/>
      </c>
      <c r="U415" s="518" t="str">
        <f>IF(AND(_A="A-319",'2024'!$N$4="FO",'2024'!$N$2=U385),'2024DATA'!$F$32,"")</f>
        <v/>
      </c>
      <c r="V415" s="518" t="str">
        <f>IF(AND(_A="A-319",'2024'!$N$4="FO",'2024'!$N$2=V385),'2024DATA'!$G$32,"")</f>
        <v/>
      </c>
      <c r="W415" s="518" t="str">
        <f>IF(AND(_A="A-319",'2024'!$N$4="FO",'2024'!$N$2=W385),'2024DATA'!$H$32,"")</f>
        <v/>
      </c>
      <c r="X415" s="518" t="str">
        <f>IF(AND(_A="A-319",'2024'!$N$4="FO",'2024'!$N$2=X385),'2024DATA'!$I$32,"")</f>
        <v/>
      </c>
      <c r="Y415" s="518" t="str">
        <f>IF(AND(_A="A-319",'2024'!$N$4="FO",'2024'!$N$2=Y385),'2024DATA'!$J$32,"")</f>
        <v/>
      </c>
      <c r="Z415" s="518" t="str">
        <f>IF(AND(_A="A-319",'2024'!$N$4="FO",'2024'!$N$2=Z385),'2024DATA'!$K$32,"")</f>
        <v/>
      </c>
      <c r="AA415" s="518" t="str">
        <f>IF(AND(_A="A-319",'2024'!$N$4="FO",'2024'!$N$2=AA385),'2024DATA'!$L$32,"")</f>
        <v/>
      </c>
      <c r="AB415" s="518" t="str">
        <f>IF(AND(_A="A-319",'2024'!$N$4="FO",'2024'!$N$2=AB385),'2024DATA'!$M$32,"")</f>
        <v/>
      </c>
      <c r="AC415" s="520" t="str">
        <f>IF(AND(_A="A-319",'2024'!$N$4="FO",'2024'!$N$2=AC385),'2024DATA'!$N$32,"")</f>
        <v/>
      </c>
      <c r="AD415" s="940"/>
      <c r="AE415" s="13" t="s">
        <v>62</v>
      </c>
      <c r="AF415" s="518" t="str">
        <f>IF(AND(_B="A-319",'2024'!$N$4="FO",'2024'!$N$2=AF385),'2024DATA'!$C$32,"")</f>
        <v/>
      </c>
      <c r="AG415" s="518" t="str">
        <f>IF(AND(_B="A-319",'2024'!$N$4="FO",'2024'!$N$2=AG385),'2024DATA'!$D$32,"")</f>
        <v/>
      </c>
      <c r="AH415" s="518" t="str">
        <f>IF(AND(_B="A-319",'2024'!$N$4="FO",'2024'!$N$2=AH385),'2024DATA'!$E$32,"")</f>
        <v/>
      </c>
      <c r="AI415" s="518" t="str">
        <f>IF(AND(_B="A-319",'2024'!$N$4="FO",'2024'!$N$2=AI385),'2024DATA'!$F$32,"")</f>
        <v/>
      </c>
      <c r="AJ415" s="518" t="str">
        <f>IF(AND(_B="A-319",'2024'!$N$4="FO",'2024'!$N$2=AJ385),'2024DATA'!$G$32,"")</f>
        <v/>
      </c>
      <c r="AK415" s="518" t="str">
        <f>IF(AND(_B="A-319",'2024'!$N$4="FO",'2024'!$N$2=AK385),'2024DATA'!$H$32,"")</f>
        <v/>
      </c>
      <c r="AL415" s="518" t="str">
        <f>IF(AND(_B="A-319",'2024'!$N$4="FO",'2024'!$N$2=AL385),'2024DATA'!$I$32,"")</f>
        <v/>
      </c>
      <c r="AM415" s="518" t="str">
        <f>IF(AND(_B="A-319",'2024'!$N$4="FO",'2024'!$N$2=AM385),'2024DATA'!$J$32,"")</f>
        <v/>
      </c>
      <c r="AN415" s="518" t="str">
        <f>IF(AND(_B="A-319",'2024'!$N$4="FO",'2024'!$N$2=AN385),'2024DATA'!$K$32,"")</f>
        <v/>
      </c>
      <c r="AO415" s="518" t="str">
        <f>IF(AND(_B="A-319",'2024'!$N$4="FO",'2024'!$N$2=AO385),'2024DATA'!$L$32,"")</f>
        <v/>
      </c>
      <c r="AP415" s="518" t="str">
        <f>IF(AND(_B="A-319",'2024'!$N$4="FO",'2024'!$N$2=AP385),'2024DATA'!$M$32,"")</f>
        <v/>
      </c>
      <c r="AQ415" s="520" t="str">
        <f>IF(AND(_B="A-319",'2024'!$N$4="FO",'2024'!$N$2=AQ385),'2024DATA'!$N$32,"")</f>
        <v/>
      </c>
      <c r="AR415" s="940"/>
      <c r="AS415" s="13" t="s">
        <v>62</v>
      </c>
      <c r="AT415" s="518" t="str">
        <f>IF(AND(_C="A-319",'2024'!$N$4="FO",'2024'!$N$2=AT385),'2024DATA'!$C$32,"")</f>
        <v/>
      </c>
      <c r="AU415" s="518" t="str">
        <f>IF(AND(_C="A-319",'2024'!$N$4="FO",'2024'!$N$2=AU385),'2024DATA'!$D$32,"")</f>
        <v/>
      </c>
      <c r="AV415" s="518" t="str">
        <f>IF(AND(_C="A-319",'2024'!$N$4="FO",'2024'!$N$2=AV385),'2024DATA'!$E$32,"")</f>
        <v/>
      </c>
      <c r="AW415" s="518" t="str">
        <f>IF(AND(_C="A-319",'2024'!$N$4="FO",'2024'!$N$2=AW385),'2024DATA'!$F$32,"")</f>
        <v/>
      </c>
      <c r="AX415" s="518" t="str">
        <f>IF(AND(_C="A-319",'2024'!$N$4="FO",'2024'!$N$2=AX385),'2024DATA'!$G$32,"")</f>
        <v/>
      </c>
      <c r="AY415" s="518" t="str">
        <f>IF(AND(_C="A-319",'2024'!$N$4="FO",'2024'!$N$2=AY385),'2024DATA'!$H$32,"")</f>
        <v/>
      </c>
      <c r="AZ415" s="518" t="str">
        <f>IF(AND(_C="A-319",'2024'!$N$4="FO",'2024'!$N$2=AZ385),'2024DATA'!$I$32,"")</f>
        <v/>
      </c>
      <c r="BA415" s="518" t="str">
        <f>IF(AND(_C="A-319",'2024'!$N$4="FO",'2024'!$N$2=BA385),'2024DATA'!$J$32,"")</f>
        <v/>
      </c>
      <c r="BB415" s="518" t="str">
        <f>IF(AND(_C="A-319",'2024'!$N$4="FO",'2024'!$N$2=BB385),'2024DATA'!$K$32,"")</f>
        <v/>
      </c>
      <c r="BC415" s="518" t="str">
        <f>IF(AND(_C="A-319",'2024'!$N$4="FO",'2024'!$N$2=BC385),'2024DATA'!$L$32,"")</f>
        <v/>
      </c>
      <c r="BD415" s="518" t="str">
        <f>IF(AND(_C="A-319",'2024'!$N$4="FO",'2024'!$N$2=BD385),'2024DATA'!$M$32,"")</f>
        <v/>
      </c>
      <c r="BE415" s="520" t="str">
        <f>IF(AND(_C="A-319",'2024'!$N$4="FO",'2024'!$N$2=BE385),'2024DATA'!$N$32,"")</f>
        <v/>
      </c>
      <c r="BF415" s="940"/>
      <c r="BG415" s="13" t="s">
        <v>62</v>
      </c>
      <c r="BH415" s="518" t="str">
        <f>IF(AND(_D="A-319",'2024'!$N$4="FO",'2024'!$N$2=BH385),'2024DATA'!$C$32,"")</f>
        <v/>
      </c>
      <c r="BI415" s="518" t="str">
        <f>IF(AND(_D="A-319",'2024'!$N$4="FO",'2024'!$N$2=BI385),'2024DATA'!$D$32,"")</f>
        <v/>
      </c>
      <c r="BJ415" s="518" t="str">
        <f>IF(AND(_D="A-319",'2024'!$N$4="FO",'2024'!$N$2=BJ385),'2024DATA'!$E$32,"")</f>
        <v/>
      </c>
      <c r="BK415" s="518" t="str">
        <f>IF(AND(_D="A-319",'2024'!$N$4="FO",'2024'!$N$2=BK385),'2024DATA'!$F$32,"")</f>
        <v/>
      </c>
      <c r="BL415" s="518" t="str">
        <f>IF(AND(_D="A-319",'2024'!$N$4="FO",'2024'!$N$2=BL385),'2024DATA'!$G$32,"")</f>
        <v/>
      </c>
      <c r="BM415" s="518" t="str">
        <f>IF(AND(_D="A-319",'2024'!$N$4="FO",'2024'!$N$2=BM385),'2024DATA'!$H$32,"")</f>
        <v/>
      </c>
      <c r="BN415" s="518" t="str">
        <f>IF(AND(_D="A-319",'2024'!$N$4="FO",'2024'!$N$2=BN385),'2024DATA'!$I$32,"")</f>
        <v/>
      </c>
      <c r="BO415" s="518" t="str">
        <f>IF(AND(_D="A-319",'2024'!$N$4="FO",'2024'!$N$2=BO385),'2024DATA'!$J$32,"")</f>
        <v/>
      </c>
      <c r="BP415" s="518" t="str">
        <f>IF(AND(_D="A-319",'2024'!$N$4="FO",'2024'!$N$2=BP385),'2024DATA'!$K$32,"")</f>
        <v/>
      </c>
      <c r="BQ415" s="518" t="str">
        <f>IF(AND(_D="A-319",'2024'!$N$4="FO",'2024'!$N$2=BQ385),'2024DATA'!$L$32,"")</f>
        <v/>
      </c>
      <c r="BR415" s="518" t="str">
        <f>IF(AND(_D="A-319",'2024'!$N$4="FO",'2024'!$N$2=BR385),'2024DATA'!$M$32,"")</f>
        <v/>
      </c>
      <c r="BS415" s="520" t="str">
        <f>IF(AND(_D="A-319",'2024'!$N$4="FO",'2024'!$N$2=BS385),'2024DATA'!$N$32,"")</f>
        <v/>
      </c>
      <c r="BT415" s="940"/>
      <c r="BU415" s="13" t="s">
        <v>62</v>
      </c>
      <c r="BV415" s="518" t="str">
        <f>IF(AND(_E="A-319",'2024'!$N$4="FO",'2024'!$N$2=BV385),'2024DATA'!$C$32,"")</f>
        <v/>
      </c>
      <c r="BW415" s="518" t="str">
        <f>IF(AND(_E="A-319",'2024'!$N$4="FO",'2024'!$N$2=BW385),'2024DATA'!$D$32,"")</f>
        <v/>
      </c>
      <c r="BX415" s="518" t="str">
        <f>IF(AND(_E="A-319",'2024'!$N$4="FO",'2024'!$N$2=BX385),'2024DATA'!$E$32,"")</f>
        <v/>
      </c>
      <c r="BY415" s="518" t="str">
        <f>IF(AND(_E="A-319",'2024'!$N$4="FO",'2024'!$N$2=BY385),'2024DATA'!$F$32,"")</f>
        <v/>
      </c>
      <c r="BZ415" s="518" t="str">
        <f>IF(AND(_E="A-319",'2024'!$N$4="FO",'2024'!$N$2=BZ385),'2024DATA'!$G$32,"")</f>
        <v/>
      </c>
      <c r="CA415" s="518" t="str">
        <f>IF(AND(_E="A-319",'2024'!$N$4="FO",'2024'!$N$2=CA385),'2024DATA'!$H$32,"")</f>
        <v/>
      </c>
      <c r="CB415" s="518" t="str">
        <f>IF(AND(_E="A-319",'2024'!$N$4="FO",'2024'!$N$2=CB385),'2024DATA'!$I$32,"")</f>
        <v/>
      </c>
      <c r="CC415" s="518" t="str">
        <f>IF(AND(_E="A-319",'2024'!$N$4="FO",'2024'!$N$2=CC385),'2024DATA'!$J$32,"")</f>
        <v/>
      </c>
      <c r="CD415" s="518" t="str">
        <f>IF(AND(_E="A-319",'2024'!$N$4="FO",'2024'!$N$2=CD385),'2024DATA'!$K$32,"")</f>
        <v/>
      </c>
      <c r="CE415" s="518" t="str">
        <f>IF(AND(_E="A-319",'2024'!$N$4="FO",'2024'!$N$2=CE385),'2024DATA'!$L$32,"")</f>
        <v/>
      </c>
      <c r="CF415" s="518" t="str">
        <f>IF(AND(_E="A-319",'2024'!$N$4="FO",'2024'!$N$2=CF385),'2024DATA'!$M$32,"")</f>
        <v/>
      </c>
      <c r="CG415" s="520" t="str">
        <f>IF(AND(_E="A-319",'2024'!$N$4="FO",'2024'!$N$2=CG385),'2024DATA'!$N$32,"")</f>
        <v/>
      </c>
      <c r="CH415" s="940"/>
      <c r="CI415" s="13" t="s">
        <v>62</v>
      </c>
      <c r="CJ415" s="518" t="str">
        <f>IF(AND(_F="A-319",'2024'!$N$4="FO",'2024'!$N$2=CJ385),'2024DATA'!$C$32,"")</f>
        <v/>
      </c>
      <c r="CK415" s="518" t="str">
        <f>IF(AND(_F="A-319",'2024'!$N$4="FO",'2024'!$N$2=CK385),'2024DATA'!$D$32,"")</f>
        <v/>
      </c>
      <c r="CL415" s="518" t="str">
        <f>IF(AND(_F="A-319",'2024'!$N$4="FO",'2024'!$N$2=CL385),'2024DATA'!$E$32,"")</f>
        <v/>
      </c>
      <c r="CM415" s="518" t="str">
        <f>IF(AND(_F="A-319",'2024'!$N$4="FO",'2024'!$N$2=CM385),'2024DATA'!$F$32,"")</f>
        <v/>
      </c>
      <c r="CN415" s="518" t="str">
        <f>IF(AND(_F="A-319",'2024'!$N$4="FO",'2024'!$N$2=CN385),'2024DATA'!$G$32,"")</f>
        <v/>
      </c>
      <c r="CO415" s="518" t="str">
        <f>IF(AND(_F="A-319",'2024'!$N$4="FO",'2024'!$N$2=CO385),'2024DATA'!$H$32,"")</f>
        <v/>
      </c>
      <c r="CP415" s="518" t="str">
        <f>IF(AND(_F="A-319",'2024'!$N$4="FO",'2024'!$N$2=CP385),'2024DATA'!$I$32,"")</f>
        <v/>
      </c>
      <c r="CQ415" s="518" t="str">
        <f>IF(AND(_F="A-319",'2024'!$N$4="FO",'2024'!$N$2=CQ385),'2024DATA'!$J$32,"")</f>
        <v/>
      </c>
      <c r="CR415" s="518" t="str">
        <f>IF(AND(_F="A-319",'2024'!$N$4="FO",'2024'!$N$2=CR385),'2024DATA'!$K$32,"")</f>
        <v/>
      </c>
      <c r="CS415" s="518" t="str">
        <f>IF(AND(_F="A-319",'2024'!$N$4="FO",'2024'!$N$2=CS385),'2024DATA'!$L$32,"")</f>
        <v/>
      </c>
      <c r="CT415" s="518" t="str">
        <f>IF(AND(_F="A-319",'2024'!$N$4="FO",'2024'!$N$2=CT385),'2024DATA'!$M$32,"")</f>
        <v/>
      </c>
      <c r="CU415" s="520" t="str">
        <f>IF(AND(_F="A-319",'2024'!$N$4="FO",'2024'!$N$2=CU385),'2024DATA'!$N$32,"")</f>
        <v/>
      </c>
    </row>
    <row r="416" spans="16:99" x14ac:dyDescent="0.25">
      <c r="P416" s="940" t="s">
        <v>51</v>
      </c>
      <c r="Q416" s="13" t="s">
        <v>61</v>
      </c>
      <c r="R416" s="518" t="str">
        <f>IF(AND(_A="A-220-300",'2024'!$N$4="CA",'2024'!$N$2=R385),'2024DATA'!$C$33,"")</f>
        <v/>
      </c>
      <c r="S416" s="518" t="str">
        <f>IF(AND(_A="A-220-300",'2024'!$N$4="CA",'2024'!$N$2=S385),'2024DATA'!$D$33,"")</f>
        <v/>
      </c>
      <c r="T416" s="518" t="str">
        <f>IF(AND(_A="A-220-300",'2024'!$N$4="CA",'2024'!$N$2=T385),'2024DATA'!$E$33,"")</f>
        <v/>
      </c>
      <c r="U416" s="518" t="str">
        <f>IF(AND(_A="A-220-300",'2024'!$N$4="CA",'2024'!$N$2=U385),'2024DATA'!$F$33,"")</f>
        <v/>
      </c>
      <c r="V416" s="518" t="str">
        <f>IF(AND(_A="A-220-300",'2024'!$N$4="CA",'2024'!$N$2=V385),'2024DATA'!$G$33,"")</f>
        <v/>
      </c>
      <c r="W416" s="518" t="str">
        <f>IF(AND(_A="A-220-300",'2024'!$N$4="CA",'2024'!$N$2=W385),'2024DATA'!$H$33,"")</f>
        <v/>
      </c>
      <c r="X416" s="518" t="str">
        <f>IF(AND(_A="A-220-300",'2024'!$N$4="CA",'2024'!$N$2=X385),'2024DATA'!$I$33,"")</f>
        <v/>
      </c>
      <c r="Y416" s="518" t="str">
        <f>IF(AND(_A="A-220-300",'2024'!$N$4="CA",'2024'!$N$2=Y385),'2024DATA'!$J$33,"")</f>
        <v/>
      </c>
      <c r="Z416" s="518" t="str">
        <f>IF(AND(_A="A-220-300",'2024'!$N$4="CA",'2024'!$N$2=Z385),'2024DATA'!$K$33,"")</f>
        <v/>
      </c>
      <c r="AA416" s="518" t="str">
        <f>IF(AND(_A="A-220-300",'2024'!$N$4="CA",'2024'!$N$2=AA385),'2024DATA'!$L$33,"")</f>
        <v/>
      </c>
      <c r="AB416" s="518" t="str">
        <f>IF(AND(_A="A-220-300",'2024'!$N$4="CA",'2024'!$N$2=AB385),'2024DATA'!$M$33,"")</f>
        <v/>
      </c>
      <c r="AC416" s="520" t="str">
        <f>IF(AND(_A="A-220-300",'2024'!$N$4="CA",'2024'!$N$2=AC385),'2024DATA'!$N$33,"")</f>
        <v/>
      </c>
      <c r="AD416" s="940" t="s">
        <v>51</v>
      </c>
      <c r="AE416" s="13" t="s">
        <v>61</v>
      </c>
      <c r="AF416" s="518" t="str">
        <f>IF(AND(_B="A-220-300",'2024'!$N$4="CA",'2024'!$N$2=AF385),'2024DATA'!$C$33,"")</f>
        <v/>
      </c>
      <c r="AG416" s="518" t="str">
        <f>IF(AND(_B="A-220-300",'2024'!$N$4="CA",'2024'!$N$2=AG385),'2024DATA'!$D$33,"")</f>
        <v/>
      </c>
      <c r="AH416" s="518" t="str">
        <f>IF(AND(_B="A-220-300",'2024'!$N$4="CA",'2024'!$N$2=AH385),'2024DATA'!$E$33,"")</f>
        <v/>
      </c>
      <c r="AI416" s="518" t="str">
        <f>IF(AND(_B="A-220-300",'2024'!$N$4="CA",'2024'!$N$2=AI385),'2024DATA'!$F$33,"")</f>
        <v/>
      </c>
      <c r="AJ416" s="518" t="str">
        <f>IF(AND(_B="A-220-300",'2024'!$N$4="CA",'2024'!$N$2=AJ385),'2024DATA'!$G$33,"")</f>
        <v/>
      </c>
      <c r="AK416" s="518" t="str">
        <f>IF(AND(_B="A-220-300",'2024'!$N$4="CA",'2024'!$N$2=AK385),'2024DATA'!$H$33,"")</f>
        <v/>
      </c>
      <c r="AL416" s="518" t="str">
        <f>IF(AND(_B="A-220-300",'2024'!$N$4="CA",'2024'!$N$2=AL385),'2024DATA'!$I$33,"")</f>
        <v/>
      </c>
      <c r="AM416" s="518" t="str">
        <f>IF(AND(_B="A-220-300",'2024'!$N$4="CA",'2024'!$N$2=AM385),'2024DATA'!$J$33,"")</f>
        <v/>
      </c>
      <c r="AN416" s="518" t="str">
        <f>IF(AND(_B="A-220-300",'2024'!$N$4="CA",'2024'!$N$2=AN385),'2024DATA'!$K$33,"")</f>
        <v/>
      </c>
      <c r="AO416" s="518" t="str">
        <f>IF(AND(_B="A-220-300",'2024'!$N$4="CA",'2024'!$N$2=AO385),'2024DATA'!$L$33,"")</f>
        <v/>
      </c>
      <c r="AP416" s="518" t="str">
        <f>IF(AND(_B="A-220-300",'2024'!$N$4="CA",'2024'!$N$2=AP385),'2024DATA'!$M$33,"")</f>
        <v/>
      </c>
      <c r="AQ416" s="520" t="str">
        <f>IF(AND(_B="A-220-300",'2024'!$N$4="CA",'2024'!$N$2=AQ385),'2024DATA'!$N$33,"")</f>
        <v/>
      </c>
      <c r="AR416" s="940" t="s">
        <v>51</v>
      </c>
      <c r="AS416" s="13" t="s">
        <v>61</v>
      </c>
      <c r="AT416" s="518" t="str">
        <f>IF(AND(_C="A-220-300",'2024'!$N$4="CA",'2024'!$N$2=AT385),'2024DATA'!$C$33,"")</f>
        <v/>
      </c>
      <c r="AU416" s="518" t="str">
        <f>IF(AND(_C="A-220-300",'2024'!$N$4="CA",'2024'!$N$2=AU385),'2024DATA'!$D$33,"")</f>
        <v/>
      </c>
      <c r="AV416" s="518" t="str">
        <f>IF(AND(_C="A-220-300",'2024'!$N$4="CA",'2024'!$N$2=AV385),'2024DATA'!$E$33,"")</f>
        <v/>
      </c>
      <c r="AW416" s="518" t="str">
        <f>IF(AND(_C="A-220-300",'2024'!$N$4="CA",'2024'!$N$2=AW385),'2024DATA'!$F$33,"")</f>
        <v/>
      </c>
      <c r="AX416" s="518" t="str">
        <f>IF(AND(_C="A-220-300",'2024'!$N$4="CA",'2024'!$N$2=AX385),'2024DATA'!$G$33,"")</f>
        <v/>
      </c>
      <c r="AY416" s="518" t="str">
        <f>IF(AND(_C="A-220-300",'2024'!$N$4="CA",'2024'!$N$2=AY385),'2024DATA'!$H$33,"")</f>
        <v/>
      </c>
      <c r="AZ416" s="518" t="str">
        <f>IF(AND(_C="A-220-300",'2024'!$N$4="CA",'2024'!$N$2=AZ385),'2024DATA'!$I$33,"")</f>
        <v/>
      </c>
      <c r="BA416" s="518" t="str">
        <f>IF(AND(_C="A-220-300",'2024'!$N$4="CA",'2024'!$N$2=BA385),'2024DATA'!$J$33,"")</f>
        <v/>
      </c>
      <c r="BB416" s="518" t="str">
        <f>IF(AND(_C="A-220-300",'2024'!$N$4="CA",'2024'!$N$2=BB385),'2024DATA'!$K$33,"")</f>
        <v/>
      </c>
      <c r="BC416" s="518" t="str">
        <f>IF(AND(_C="A-220-300",'2024'!$N$4="CA",'2024'!$N$2=BC385),'2024DATA'!$L$33,"")</f>
        <v/>
      </c>
      <c r="BD416" s="518" t="str">
        <f>IF(AND(_C="A-220-300",'2024'!$N$4="CA",'2024'!$N$2=BD385),'2024DATA'!$M$33,"")</f>
        <v/>
      </c>
      <c r="BE416" s="520" t="str">
        <f>IF(AND(_C="A-220-300",'2024'!$N$4="CA",'2024'!$N$2=BE385),'2024DATA'!$N$33,"")</f>
        <v/>
      </c>
      <c r="BF416" s="940" t="s">
        <v>51</v>
      </c>
      <c r="BG416" s="13" t="s">
        <v>61</v>
      </c>
      <c r="BH416" s="518" t="str">
        <f>IF(AND(_D="A-220-300",'2024'!$N$4="CA",'2024'!$N$2=BH385),'2024DATA'!$C$33,"")</f>
        <v/>
      </c>
      <c r="BI416" s="518" t="str">
        <f>IF(AND(_D="A-220-300",'2024'!$N$4="CA",'2024'!$N$2=BI385),'2024DATA'!$D$33,"")</f>
        <v/>
      </c>
      <c r="BJ416" s="518" t="str">
        <f>IF(AND(_D="A-220-300",'2024'!$N$4="CA",'2024'!$N$2=BJ385),'2024DATA'!$E$33,"")</f>
        <v/>
      </c>
      <c r="BK416" s="518" t="str">
        <f>IF(AND(_D="A-220-300",'2024'!$N$4="CA",'2024'!$N$2=BK385),'2024DATA'!$F$33,"")</f>
        <v/>
      </c>
      <c r="BL416" s="518" t="str">
        <f>IF(AND(_D="A-220-300",'2024'!$N$4="CA",'2024'!$N$2=BL385),'2024DATA'!$G$33,"")</f>
        <v/>
      </c>
      <c r="BM416" s="518" t="str">
        <f>IF(AND(_D="A-220-300",'2024'!$N$4="CA",'2024'!$N$2=BM385),'2024DATA'!$H$33,"")</f>
        <v/>
      </c>
      <c r="BN416" s="518" t="str">
        <f>IF(AND(_D="A-220-300",'2024'!$N$4="CA",'2024'!$N$2=BN385),'2024DATA'!$I$33,"")</f>
        <v/>
      </c>
      <c r="BO416" s="518" t="str">
        <f>IF(AND(_D="A-220-300",'2024'!$N$4="CA",'2024'!$N$2=BO385),'2024DATA'!$J$33,"")</f>
        <v/>
      </c>
      <c r="BP416" s="518" t="str">
        <f>IF(AND(_D="A-220-300",'2024'!$N$4="CA",'2024'!$N$2=BP385),'2024DATA'!$K$33,"")</f>
        <v/>
      </c>
      <c r="BQ416" s="518" t="str">
        <f>IF(AND(_D="A-220-300",'2024'!$N$4="CA",'2024'!$N$2=BQ385),'2024DATA'!$L$33,"")</f>
        <v/>
      </c>
      <c r="BR416" s="518" t="str">
        <f>IF(AND(_D="A-220-300",'2024'!$N$4="CA",'2024'!$N$2=BR385),'2024DATA'!$M$33,"")</f>
        <v/>
      </c>
      <c r="BS416" s="520" t="str">
        <f>IF(AND(_D="A-220-300",'2024'!$N$4="CA",'2024'!$N$2=BS385),'2024DATA'!$N$33,"")</f>
        <v/>
      </c>
      <c r="BT416" s="940" t="s">
        <v>51</v>
      </c>
      <c r="BU416" s="13" t="s">
        <v>61</v>
      </c>
      <c r="BV416" s="518" t="str">
        <f>IF(AND(_E="A-220-300",'2024'!$N$4="CA",'2024'!$N$2=BV385),'2024DATA'!$C$33,"")</f>
        <v/>
      </c>
      <c r="BW416" s="518" t="str">
        <f>IF(AND(_E="A-220-300",'2024'!$N$4="CA",'2024'!$N$2=BW385),'2024DATA'!$D$33,"")</f>
        <v/>
      </c>
      <c r="BX416" s="518" t="str">
        <f>IF(AND(_E="A-220-300",'2024'!$N$4="CA",'2024'!$N$2=BX385),'2024DATA'!$E$33,"")</f>
        <v/>
      </c>
      <c r="BY416" s="518" t="str">
        <f>IF(AND(_E="A-220-300",'2024'!$N$4="CA",'2024'!$N$2=BY385),'2024DATA'!$F$33,"")</f>
        <v/>
      </c>
      <c r="BZ416" s="518" t="str">
        <f>IF(AND(_E="A-220-300",'2024'!$N$4="CA",'2024'!$N$2=BZ385),'2024DATA'!$G$33,"")</f>
        <v/>
      </c>
      <c r="CA416" s="518" t="str">
        <f>IF(AND(_E="A-220-300",'2024'!$N$4="CA",'2024'!$N$2=CA385),'2024DATA'!$H$33,"")</f>
        <v/>
      </c>
      <c r="CB416" s="518" t="str">
        <f>IF(AND(_E="A-220-300",'2024'!$N$4="CA",'2024'!$N$2=CB385),'2024DATA'!$I$33,"")</f>
        <v/>
      </c>
      <c r="CC416" s="518" t="str">
        <f>IF(AND(_E="A-220-300",'2024'!$N$4="CA",'2024'!$N$2=CC385),'2024DATA'!$J$33,"")</f>
        <v/>
      </c>
      <c r="CD416" s="518" t="str">
        <f>IF(AND(_E="A-220-300",'2024'!$N$4="CA",'2024'!$N$2=CD385),'2024DATA'!$K$33,"")</f>
        <v/>
      </c>
      <c r="CE416" s="518" t="str">
        <f>IF(AND(_E="A-220-300",'2024'!$N$4="CA",'2024'!$N$2=CE385),'2024DATA'!$L$33,"")</f>
        <v/>
      </c>
      <c r="CF416" s="518" t="str">
        <f>IF(AND(_E="A-220-300",'2024'!$N$4="CA",'2024'!$N$2=CF385),'2024DATA'!$M$33,"")</f>
        <v/>
      </c>
      <c r="CG416" s="520" t="str">
        <f>IF(AND(_E="A-220-300",'2024'!$N$4="CA",'2024'!$N$2=CG385),'2024DATA'!$N$33,"")</f>
        <v/>
      </c>
      <c r="CH416" s="940" t="s">
        <v>51</v>
      </c>
      <c r="CI416" s="13" t="s">
        <v>61</v>
      </c>
      <c r="CJ416" s="518" t="str">
        <f>IF(AND(_F="A-220-300",'2024'!$N$4="CA",'2024'!$N$2=CJ385),'2024DATA'!$C$33,"")</f>
        <v/>
      </c>
      <c r="CK416" s="518" t="str">
        <f>IF(AND(_F="A-220-300",'2024'!$N$4="CA",'2024'!$N$2=CK385),'2024DATA'!$D$33,"")</f>
        <v/>
      </c>
      <c r="CL416" s="518" t="str">
        <f>IF(AND(_F="A-220-300",'2024'!$N$4="CA",'2024'!$N$2=CL385),'2024DATA'!$E$33,"")</f>
        <v/>
      </c>
      <c r="CM416" s="518" t="str">
        <f>IF(AND(_F="A-220-300",'2024'!$N$4="CA",'2024'!$N$2=CM385),'2024DATA'!$F$33,"")</f>
        <v/>
      </c>
      <c r="CN416" s="518" t="str">
        <f>IF(AND(_F="A-220-300",'2024'!$N$4="CA",'2024'!$N$2=CN385),'2024DATA'!$G$33,"")</f>
        <v/>
      </c>
      <c r="CO416" s="518" t="str">
        <f>IF(AND(_F="A-220-300",'2024'!$N$4="CA",'2024'!$N$2=CO385),'2024DATA'!$H$33,"")</f>
        <v/>
      </c>
      <c r="CP416" s="518" t="str">
        <f>IF(AND(_F="A-220-300",'2024'!$N$4="CA",'2024'!$N$2=CP385),'2024DATA'!$I$33,"")</f>
        <v/>
      </c>
      <c r="CQ416" s="518" t="str">
        <f>IF(AND(_F="A-220-300",'2024'!$N$4="CA",'2024'!$N$2=CQ385),'2024DATA'!$J$33,"")</f>
        <v/>
      </c>
      <c r="CR416" s="518" t="str">
        <f>IF(AND(_F="A-220-300",'2024'!$N$4="CA",'2024'!$N$2=CR385),'2024DATA'!$K$33,"")</f>
        <v/>
      </c>
      <c r="CS416" s="518" t="str">
        <f>IF(AND(_F="A-220-300",'2024'!$N$4="CA",'2024'!$N$2=CS385),'2024DATA'!$L$33,"")</f>
        <v/>
      </c>
      <c r="CT416" s="518" t="str">
        <f>IF(AND(_F="A-220-300",'2024'!$N$4="CA",'2024'!$N$2=CT385),'2024DATA'!$M$33,"")</f>
        <v/>
      </c>
      <c r="CU416" s="520" t="str">
        <f>IF(AND(_F="A-220-300",'2024'!$N$4="CA",'2024'!$N$2=CU385),'2024DATA'!$N$33,"")</f>
        <v/>
      </c>
    </row>
    <row r="417" spans="16:99" x14ac:dyDescent="0.25">
      <c r="P417" s="940"/>
      <c r="Q417" s="13" t="s">
        <v>62</v>
      </c>
      <c r="R417" s="518" t="str">
        <f>IF(AND(_A="A-220-300",'2024'!$N$4="FO",'2024'!$N$2=R385),'2024DATA'!$C$34,"")</f>
        <v/>
      </c>
      <c r="S417" s="518" t="str">
        <f>IF(AND(_A="A-220-300",'2024'!$N$4="FO",'2024'!$N$2=S385),'2024DATA'!$D$34,"")</f>
        <v/>
      </c>
      <c r="T417" s="518" t="str">
        <f>IF(AND(_A="A-220-300",'2024'!$N$4="FO",'2024'!$N$2=T385),'2024DATA'!$E$34,"")</f>
        <v/>
      </c>
      <c r="U417" s="518" t="str">
        <f>IF(AND(_A="A-220-300",'2024'!$N$4="FO",'2024'!$N$2=U385),'2024DATA'!$F$34,"")</f>
        <v/>
      </c>
      <c r="V417" s="518" t="str">
        <f>IF(AND(_A="A-220-300",'2024'!$N$4="FO",'2024'!$N$2=V385),'2024DATA'!$G$34,"")</f>
        <v/>
      </c>
      <c r="W417" s="518" t="str">
        <f>IF(AND(_A="A-220-300",'2024'!$N$4="FO",'2024'!$N$2=W385),'2024DATA'!$H$34,"")</f>
        <v/>
      </c>
      <c r="X417" s="518" t="str">
        <f>IF(AND(_A="A-220-300",'2024'!$N$4="FO",'2024'!$N$2=X385),'2024DATA'!$I$34,"")</f>
        <v/>
      </c>
      <c r="Y417" s="518" t="str">
        <f>IF(AND(_A="A-220-300",'2024'!$N$4="FO",'2024'!$N$2=Y385),'2024DATA'!$J$34,"")</f>
        <v/>
      </c>
      <c r="Z417" s="518" t="str">
        <f>IF(AND(_A="A-220-300",'2024'!$N$4="FO",'2024'!$N$2=Z385),'2024DATA'!$K$34,"")</f>
        <v/>
      </c>
      <c r="AA417" s="518" t="str">
        <f>IF(AND(_A="A-220-300",'2024'!$N$4="FO",'2024'!$N$2=AA385),'2024DATA'!$L$34,"")</f>
        <v/>
      </c>
      <c r="AB417" s="518" t="str">
        <f>IF(AND(_A="A-220-300",'2024'!$N$4="FO",'2024'!$N$2=AB385),'2024DATA'!$M$34,"")</f>
        <v/>
      </c>
      <c r="AC417" s="520" t="str">
        <f>IF(AND(_A="A-220-300",'2024'!$N$4="FO",'2024'!$N$2=AC385),'2024DATA'!$N$34,"")</f>
        <v/>
      </c>
      <c r="AD417" s="940"/>
      <c r="AE417" s="13" t="s">
        <v>62</v>
      </c>
      <c r="AF417" s="518" t="str">
        <f>IF(AND(_B="A-220-300",'2024'!$N$4="FO",'2024'!$N$2=AF385),'2024DATA'!$C$34,"")</f>
        <v/>
      </c>
      <c r="AG417" s="518" t="str">
        <f>IF(AND(_B="A-220-300",'2024'!$N$4="FO",'2024'!$N$2=AG385),'2024DATA'!$D$34,"")</f>
        <v/>
      </c>
      <c r="AH417" s="518" t="str">
        <f>IF(AND(_B="A-220-300",'2024'!$N$4="FO",'2024'!$N$2=AH385),'2024DATA'!$E$34,"")</f>
        <v/>
      </c>
      <c r="AI417" s="518" t="str">
        <f>IF(AND(_B="A-220-300",'2024'!$N$4="FO",'2024'!$N$2=AI385),'2024DATA'!$F$34,"")</f>
        <v/>
      </c>
      <c r="AJ417" s="518" t="str">
        <f>IF(AND(_B="A-220-300",'2024'!$N$4="FO",'2024'!$N$2=AJ385),'2024DATA'!$G$34,"")</f>
        <v/>
      </c>
      <c r="AK417" s="518" t="str">
        <f>IF(AND(_B="A-220-300",'2024'!$N$4="FO",'2024'!$N$2=AK385),'2024DATA'!$H$34,"")</f>
        <v/>
      </c>
      <c r="AL417" s="518" t="str">
        <f>IF(AND(_B="A-220-300",'2024'!$N$4="FO",'2024'!$N$2=AL385),'2024DATA'!$I$34,"")</f>
        <v/>
      </c>
      <c r="AM417" s="518" t="str">
        <f>IF(AND(_B="A-220-300",'2024'!$N$4="FO",'2024'!$N$2=AM385),'2024DATA'!$J$34,"")</f>
        <v/>
      </c>
      <c r="AN417" s="518" t="str">
        <f>IF(AND(_B="A-220-300",'2024'!$N$4="FO",'2024'!$N$2=AN385),'2024DATA'!$K$34,"")</f>
        <v/>
      </c>
      <c r="AO417" s="518" t="str">
        <f>IF(AND(_B="A-220-300",'2024'!$N$4="FO",'2024'!$N$2=AO385),'2024DATA'!$L$34,"")</f>
        <v/>
      </c>
      <c r="AP417" s="518" t="str">
        <f>IF(AND(_B="A-220-300",'2024'!$N$4="FO",'2024'!$N$2=AP385),'2024DATA'!$M$34,"")</f>
        <v/>
      </c>
      <c r="AQ417" s="520" t="str">
        <f>IF(AND(_B="A-220-300",'2024'!$N$4="FO",'2024'!$N$2=AQ385),'2024DATA'!$N$34,"")</f>
        <v/>
      </c>
      <c r="AR417" s="940"/>
      <c r="AS417" s="13" t="s">
        <v>62</v>
      </c>
      <c r="AT417" s="518" t="str">
        <f>IF(AND(_C="A-220-300",'2024'!$N$4="FO",'2024'!$N$2=AT385),'2024DATA'!$C$34,"")</f>
        <v/>
      </c>
      <c r="AU417" s="518" t="str">
        <f>IF(AND(_C="A-220-300",'2024'!$N$4="FO",'2024'!$N$2=AU385),'2024DATA'!$D$34,"")</f>
        <v/>
      </c>
      <c r="AV417" s="518" t="str">
        <f>IF(AND(_C="A-220-300",'2024'!$N$4="FO",'2024'!$N$2=AV385),'2024DATA'!$E$34,"")</f>
        <v/>
      </c>
      <c r="AW417" s="518" t="str">
        <f>IF(AND(_C="A-220-300",'2024'!$N$4="FO",'2024'!$N$2=AW385),'2024DATA'!$F$34,"")</f>
        <v/>
      </c>
      <c r="AX417" s="518" t="str">
        <f>IF(AND(_C="A-220-300",'2024'!$N$4="FO",'2024'!$N$2=AX385),'2024DATA'!$G$34,"")</f>
        <v/>
      </c>
      <c r="AY417" s="518" t="str">
        <f>IF(AND(_C="A-220-300",'2024'!$N$4="FO",'2024'!$N$2=AY385),'2024DATA'!$H$34,"")</f>
        <v/>
      </c>
      <c r="AZ417" s="518" t="str">
        <f>IF(AND(_C="A-220-300",'2024'!$N$4="FO",'2024'!$N$2=AZ385),'2024DATA'!$I$34,"")</f>
        <v/>
      </c>
      <c r="BA417" s="518" t="str">
        <f>IF(AND(_C="A-220-300",'2024'!$N$4="FO",'2024'!$N$2=BA385),'2024DATA'!$J$34,"")</f>
        <v/>
      </c>
      <c r="BB417" s="518" t="str">
        <f>IF(AND(_C="A-220-300",'2024'!$N$4="FO",'2024'!$N$2=BB385),'2024DATA'!$K$34,"")</f>
        <v/>
      </c>
      <c r="BC417" s="518" t="str">
        <f>IF(AND(_C="A-220-300",'2024'!$N$4="FO",'2024'!$N$2=BC385),'2024DATA'!$L$34,"")</f>
        <v/>
      </c>
      <c r="BD417" s="518" t="str">
        <f>IF(AND(_C="A-220-300",'2024'!$N$4="FO",'2024'!$N$2=BD385),'2024DATA'!$M$34,"")</f>
        <v/>
      </c>
      <c r="BE417" s="520" t="str">
        <f>IF(AND(_C="A-220-300",'2024'!$N$4="FO",'2024'!$N$2=BE385),'2024DATA'!$N$34,"")</f>
        <v/>
      </c>
      <c r="BF417" s="940"/>
      <c r="BG417" s="13" t="s">
        <v>62</v>
      </c>
      <c r="BH417" s="518" t="str">
        <f>IF(AND(_D="A-220-300",'2024'!$N$4="FO",'2024'!$N$2=BH385),'2024DATA'!$C$34,"")</f>
        <v/>
      </c>
      <c r="BI417" s="518" t="str">
        <f>IF(AND(_D="A-220-300",'2024'!$N$4="FO",'2024'!$N$2=BI385),'2024DATA'!$D$34,"")</f>
        <v/>
      </c>
      <c r="BJ417" s="518" t="str">
        <f>IF(AND(_D="A-220-300",'2024'!$N$4="FO",'2024'!$N$2=BJ385),'2024DATA'!$E$34,"")</f>
        <v/>
      </c>
      <c r="BK417" s="518" t="str">
        <f>IF(AND(_D="A-220-300",'2024'!$N$4="FO",'2024'!$N$2=BK385),'2024DATA'!$F$34,"")</f>
        <v/>
      </c>
      <c r="BL417" s="518" t="str">
        <f>IF(AND(_D="A-220-300",'2024'!$N$4="FO",'2024'!$N$2=BL385),'2024DATA'!$G$34,"")</f>
        <v/>
      </c>
      <c r="BM417" s="518" t="str">
        <f>IF(AND(_D="A-220-300",'2024'!$N$4="FO",'2024'!$N$2=BM385),'2024DATA'!$H$34,"")</f>
        <v/>
      </c>
      <c r="BN417" s="518" t="str">
        <f>IF(AND(_D="A-220-300",'2024'!$N$4="FO",'2024'!$N$2=BN385),'2024DATA'!$I$34,"")</f>
        <v/>
      </c>
      <c r="BO417" s="518" t="str">
        <f>IF(AND(_D="A-220-300",'2024'!$N$4="FO",'2024'!$N$2=BO385),'2024DATA'!$J$34,"")</f>
        <v/>
      </c>
      <c r="BP417" s="518" t="str">
        <f>IF(AND(_D="A-220-300",'2024'!$N$4="FO",'2024'!$N$2=BP385),'2024DATA'!$K$34,"")</f>
        <v/>
      </c>
      <c r="BQ417" s="518" t="str">
        <f>IF(AND(_D="A-220-300",'2024'!$N$4="FO",'2024'!$N$2=BQ385),'2024DATA'!$L$34,"")</f>
        <v/>
      </c>
      <c r="BR417" s="518" t="str">
        <f>IF(AND(_D="A-220-300",'2024'!$N$4="FO",'2024'!$N$2=BR385),'2024DATA'!$M$34,"")</f>
        <v/>
      </c>
      <c r="BS417" s="520" t="str">
        <f>IF(AND(_D="A-220-300",'2024'!$N$4="FO",'2024'!$N$2=BS385),'2024DATA'!$N$34,"")</f>
        <v/>
      </c>
      <c r="BT417" s="940"/>
      <c r="BU417" s="13" t="s">
        <v>62</v>
      </c>
      <c r="BV417" s="518" t="str">
        <f>IF(AND(_E="A-220-300",'2024'!$N$4="FO",'2024'!$N$2=BV385),'2024DATA'!$C$34,"")</f>
        <v/>
      </c>
      <c r="BW417" s="518" t="str">
        <f>IF(AND(_E="A-220-300",'2024'!$N$4="FO",'2024'!$N$2=BW385),'2024DATA'!$D$34,"")</f>
        <v/>
      </c>
      <c r="BX417" s="518" t="str">
        <f>IF(AND(_E="A-220-300",'2024'!$N$4="FO",'2024'!$N$2=BX385),'2024DATA'!$E$34,"")</f>
        <v/>
      </c>
      <c r="BY417" s="518" t="str">
        <f>IF(AND(_E="A-220-300",'2024'!$N$4="FO",'2024'!$N$2=BY385),'2024DATA'!$F$34,"")</f>
        <v/>
      </c>
      <c r="BZ417" s="518" t="str">
        <f>IF(AND(_E="A-220-300",'2024'!$N$4="FO",'2024'!$N$2=BZ385),'2024DATA'!$G$34,"")</f>
        <v/>
      </c>
      <c r="CA417" s="518" t="str">
        <f>IF(AND(_E="A-220-300",'2024'!$N$4="FO",'2024'!$N$2=CA385),'2024DATA'!$H$34,"")</f>
        <v/>
      </c>
      <c r="CB417" s="518" t="str">
        <f>IF(AND(_E="A-220-300",'2024'!$N$4="FO",'2024'!$N$2=CB385),'2024DATA'!$I$34,"")</f>
        <v/>
      </c>
      <c r="CC417" s="518" t="str">
        <f>IF(AND(_E="A-220-300",'2024'!$N$4="FO",'2024'!$N$2=CC385),'2024DATA'!$J$34,"")</f>
        <v/>
      </c>
      <c r="CD417" s="518" t="str">
        <f>IF(AND(_E="A-220-300",'2024'!$N$4="FO",'2024'!$N$2=CD385),'2024DATA'!$K$34,"")</f>
        <v/>
      </c>
      <c r="CE417" s="518" t="str">
        <f>IF(AND(_E="A-220-300",'2024'!$N$4="FO",'2024'!$N$2=CE385),'2024DATA'!$L$34,"")</f>
        <v/>
      </c>
      <c r="CF417" s="518" t="str">
        <f>IF(AND(_E="A-220-300",'2024'!$N$4="FO",'2024'!$N$2=CF385),'2024DATA'!$M$34,"")</f>
        <v/>
      </c>
      <c r="CG417" s="520" t="str">
        <f>IF(AND(_E="A-220-300",'2024'!$N$4="FO",'2024'!$N$2=CG385),'2024DATA'!$N$34,"")</f>
        <v/>
      </c>
      <c r="CH417" s="940"/>
      <c r="CI417" s="13" t="s">
        <v>62</v>
      </c>
      <c r="CJ417" s="518" t="str">
        <f>IF(AND(_F="A-220-300",'2024'!$N$4="FO",'2024'!$N$2=CJ385),'2024DATA'!$C$34,"")</f>
        <v/>
      </c>
      <c r="CK417" s="518" t="str">
        <f>IF(AND(_F="A-220-300",'2024'!$N$4="FO",'2024'!$N$2=CK385),'2024DATA'!$D$34,"")</f>
        <v/>
      </c>
      <c r="CL417" s="518" t="str">
        <f>IF(AND(_F="A-220-300",'2024'!$N$4="FO",'2024'!$N$2=CL385),'2024DATA'!$E$34,"")</f>
        <v/>
      </c>
      <c r="CM417" s="518" t="str">
        <f>IF(AND(_F="A-220-300",'2024'!$N$4="FO",'2024'!$N$2=CM385),'2024DATA'!$F$34,"")</f>
        <v/>
      </c>
      <c r="CN417" s="518" t="str">
        <f>IF(AND(_F="A-220-300",'2024'!$N$4="FO",'2024'!$N$2=CN385),'2024DATA'!$G$34,"")</f>
        <v/>
      </c>
      <c r="CO417" s="518" t="str">
        <f>IF(AND(_F="A-220-300",'2024'!$N$4="FO",'2024'!$N$2=CO385),'2024DATA'!$H$34,"")</f>
        <v/>
      </c>
      <c r="CP417" s="518" t="str">
        <f>IF(AND(_F="A-220-300",'2024'!$N$4="FO",'2024'!$N$2=CP385),'2024DATA'!$I$34,"")</f>
        <v/>
      </c>
      <c r="CQ417" s="518" t="str">
        <f>IF(AND(_F="A-220-300",'2024'!$N$4="FO",'2024'!$N$2=CQ385),'2024DATA'!$J$34,"")</f>
        <v/>
      </c>
      <c r="CR417" s="518" t="str">
        <f>IF(AND(_F="A-220-300",'2024'!$N$4="FO",'2024'!$N$2=CR385),'2024DATA'!$K$34,"")</f>
        <v/>
      </c>
      <c r="CS417" s="518" t="str">
        <f>IF(AND(_F="A-220-300",'2024'!$N$4="FO",'2024'!$N$2=CS385),'2024DATA'!$L$34,"")</f>
        <v/>
      </c>
      <c r="CT417" s="518" t="str">
        <f>IF(AND(_F="A-220-300",'2024'!$N$4="FO",'2024'!$N$2=CT385),'2024DATA'!$M$34,"")</f>
        <v/>
      </c>
      <c r="CU417" s="520" t="str">
        <f>IF(AND(_F="A-220-300",'2024'!$N$4="FO",'2024'!$N$2=CU385),'2024DATA'!$N$34,"")</f>
        <v/>
      </c>
    </row>
    <row r="418" spans="16:99" x14ac:dyDescent="0.25">
      <c r="P418" s="940" t="s">
        <v>52</v>
      </c>
      <c r="Q418" s="13" t="s">
        <v>61</v>
      </c>
      <c r="R418" s="518" t="str">
        <f>IF(AND(_A="A-220-100",'2024'!$N$4="CA",'2024'!$N$2=R385),'2024DATA'!$C$35,"")</f>
        <v/>
      </c>
      <c r="S418" s="518" t="str">
        <f>IF(AND(_A="A-220-100",'2024'!$N$4="CA",'2024'!$N$2=S385),'2024DATA'!$D$35,"")</f>
        <v/>
      </c>
      <c r="T418" s="518" t="str">
        <f>IF(AND(_A="A-220-100",'2024'!$N$4="CA",'2024'!$N$2=T385),'2024DATA'!$E$35,"")</f>
        <v/>
      </c>
      <c r="U418" s="518" t="str">
        <f>IF(AND(_A="A-220-100",'2024'!$N$4="CA",'2024'!$N$2=U385),'2024DATA'!$F$35,"")</f>
        <v/>
      </c>
      <c r="V418" s="518" t="str">
        <f>IF(AND(_A="A-220-100",'2024'!$N$4="CA",'2024'!$N$2=V385),'2024DATA'!$G$35,"")</f>
        <v/>
      </c>
      <c r="W418" s="518" t="str">
        <f>IF(AND(_A="A-220-100",'2024'!$N$4="CA",'2024'!$N$2=W385),'2024DATA'!$H$35,"")</f>
        <v/>
      </c>
      <c r="X418" s="518" t="str">
        <f>IF(AND(_A="A-220-100",'2024'!$N$4="CA",'2024'!$N$2=X385),'2024DATA'!$I$35,"")</f>
        <v/>
      </c>
      <c r="Y418" s="518" t="str">
        <f>IF(AND(_A="A-220-100",'2024'!$N$4="CA",'2024'!$N$2=Y385),'2024DATA'!$J$35,"")</f>
        <v/>
      </c>
      <c r="Z418" s="518" t="str">
        <f>IF(AND(_A="A-220-100",'2024'!$N$4="CA",'2024'!$N$2=Z385),'2024DATA'!$K$35,"")</f>
        <v/>
      </c>
      <c r="AA418" s="518" t="str">
        <f>IF(AND(_A="A-220-100",'2024'!$N$4="CA",'2024'!$N$2=AA385),'2024DATA'!$L$35,"")</f>
        <v/>
      </c>
      <c r="AB418" s="518" t="str">
        <f>IF(AND(_A="A-220-100",'2024'!$N$4="CA",'2024'!$N$2=AB385),'2024DATA'!$M$35,"")</f>
        <v/>
      </c>
      <c r="AC418" s="520" t="str">
        <f>IF(AND(_A="A-220-100",'2024'!$N$4="CA",'2024'!$N$2=AC385),'2024DATA'!$N$35,"")</f>
        <v/>
      </c>
      <c r="AD418" s="940" t="s">
        <v>52</v>
      </c>
      <c r="AE418" s="13" t="s">
        <v>61</v>
      </c>
      <c r="AF418" s="518" t="str">
        <f>IF(AND(_B="A-220-100",'2024'!$N$4="CA",'2024'!$N$2=AF385),'2024DATA'!$C$35,"")</f>
        <v/>
      </c>
      <c r="AG418" s="518" t="str">
        <f>IF(AND(_B="A-220-100",'2024'!$N$4="CA",'2024'!$N$2=AG385),'2024DATA'!$D$35,"")</f>
        <v/>
      </c>
      <c r="AH418" s="518" t="str">
        <f>IF(AND(_B="A-220-100",'2024'!$N$4="CA",'2024'!$N$2=AH385),'2024DATA'!$E$35,"")</f>
        <v/>
      </c>
      <c r="AI418" s="518" t="str">
        <f>IF(AND(_B="A-220-100",'2024'!$N$4="CA",'2024'!$N$2=AI385),'2024DATA'!$F$35,"")</f>
        <v/>
      </c>
      <c r="AJ418" s="518" t="str">
        <f>IF(AND(_B="A-220-100",'2024'!$N$4="CA",'2024'!$N$2=AJ385),'2024DATA'!$G$35,"")</f>
        <v/>
      </c>
      <c r="AK418" s="518" t="str">
        <f>IF(AND(_B="A-220-100",'2024'!$N$4="CA",'2024'!$N$2=AK385),'2024DATA'!$H$35,"")</f>
        <v/>
      </c>
      <c r="AL418" s="518" t="str">
        <f>IF(AND(_B="A-220-100",'2024'!$N$4="CA",'2024'!$N$2=AL385),'2024DATA'!$I$35,"")</f>
        <v/>
      </c>
      <c r="AM418" s="518" t="str">
        <f>IF(AND(_B="A-220-100",'2024'!$N$4="CA",'2024'!$N$2=AM385),'2024DATA'!$J$35,"")</f>
        <v/>
      </c>
      <c r="AN418" s="518" t="str">
        <f>IF(AND(_B="A-220-100",'2024'!$N$4="CA",'2024'!$N$2=AN385),'2024DATA'!$K$35,"")</f>
        <v/>
      </c>
      <c r="AO418" s="518" t="str">
        <f>IF(AND(_B="A-220-100",'2024'!$N$4="CA",'2024'!$N$2=AO385),'2024DATA'!$L$35,"")</f>
        <v/>
      </c>
      <c r="AP418" s="518" t="str">
        <f>IF(AND(_B="A-220-100",'2024'!$N$4="CA",'2024'!$N$2=AP385),'2024DATA'!$M$35,"")</f>
        <v/>
      </c>
      <c r="AQ418" s="520" t="str">
        <f>IF(AND(_B="A-220-100",'2024'!$N$4="CA",'2024'!$N$2=AQ385),'2024DATA'!$N$35,"")</f>
        <v/>
      </c>
      <c r="AR418" s="940" t="s">
        <v>52</v>
      </c>
      <c r="AS418" s="13" t="s">
        <v>61</v>
      </c>
      <c r="AT418" s="518" t="str">
        <f>IF(AND(_C="A-220-100",'2024'!$N$4="CA",'2024'!$N$2=AT385),'2024DATA'!$C$35,"")</f>
        <v/>
      </c>
      <c r="AU418" s="518" t="str">
        <f>IF(AND(_C="A-220-100",'2024'!$N$4="CA",'2024'!$N$2=AU385),'2024DATA'!$D$35,"")</f>
        <v/>
      </c>
      <c r="AV418" s="518" t="str">
        <f>IF(AND(_C="A-220-100",'2024'!$N$4="CA",'2024'!$N$2=AV385),'2024DATA'!$E$35,"")</f>
        <v/>
      </c>
      <c r="AW418" s="518" t="str">
        <f>IF(AND(_C="A-220-100",'2024'!$N$4="CA",'2024'!$N$2=AW385),'2024DATA'!$F$35,"")</f>
        <v/>
      </c>
      <c r="AX418" s="518" t="str">
        <f>IF(AND(_C="A-220-100",'2024'!$N$4="CA",'2024'!$N$2=AX385),'2024DATA'!$G$35,"")</f>
        <v/>
      </c>
      <c r="AY418" s="518" t="str">
        <f>IF(AND(_C="A-220-100",'2024'!$N$4="CA",'2024'!$N$2=AY385),'2024DATA'!$H$35,"")</f>
        <v/>
      </c>
      <c r="AZ418" s="518" t="str">
        <f>IF(AND(_C="A-220-100",'2024'!$N$4="CA",'2024'!$N$2=AZ385),'2024DATA'!$I$35,"")</f>
        <v/>
      </c>
      <c r="BA418" s="518" t="str">
        <f>IF(AND(_C="A-220-100",'2024'!$N$4="CA",'2024'!$N$2=BA385),'2024DATA'!$J$35,"")</f>
        <v/>
      </c>
      <c r="BB418" s="518" t="str">
        <f>IF(AND(_C="A-220-100",'2024'!$N$4="CA",'2024'!$N$2=BB385),'2024DATA'!$K$35,"")</f>
        <v/>
      </c>
      <c r="BC418" s="518" t="str">
        <f>IF(AND(_C="A-220-100",'2024'!$N$4="CA",'2024'!$N$2=BC385),'2024DATA'!$L$35,"")</f>
        <v/>
      </c>
      <c r="BD418" s="518" t="str">
        <f>IF(AND(_C="A-220-100",'2024'!$N$4="CA",'2024'!$N$2=BD385),'2024DATA'!$M$35,"")</f>
        <v/>
      </c>
      <c r="BE418" s="520" t="str">
        <f>IF(AND(_C="A-220-100",'2024'!$N$4="CA",'2024'!$N$2=BE385),'2024DATA'!$N$35,"")</f>
        <v/>
      </c>
      <c r="BF418" s="940" t="s">
        <v>52</v>
      </c>
      <c r="BG418" s="13" t="s">
        <v>61</v>
      </c>
      <c r="BH418" s="518" t="str">
        <f>IF(AND(_D="A-220-100",'2024'!$N$4="CA",'2024'!$N$2=BH385),'2024DATA'!$C$35,"")</f>
        <v/>
      </c>
      <c r="BI418" s="518" t="str">
        <f>IF(AND(_D="A-220-100",'2024'!$N$4="CA",'2024'!$N$2=BI385),'2024DATA'!$D$35,"")</f>
        <v/>
      </c>
      <c r="BJ418" s="518" t="str">
        <f>IF(AND(_D="A-220-100",'2024'!$N$4="CA",'2024'!$N$2=BJ385),'2024DATA'!$E$35,"")</f>
        <v/>
      </c>
      <c r="BK418" s="518" t="str">
        <f>IF(AND(_D="A-220-100",'2024'!$N$4="CA",'2024'!$N$2=BK385),'2024DATA'!$F$35,"")</f>
        <v/>
      </c>
      <c r="BL418" s="518" t="str">
        <f>IF(AND(_D="A-220-100",'2024'!$N$4="CA",'2024'!$N$2=BL385),'2024DATA'!$G$35,"")</f>
        <v/>
      </c>
      <c r="BM418" s="518" t="str">
        <f>IF(AND(_D="A-220-100",'2024'!$N$4="CA",'2024'!$N$2=BM385),'2024DATA'!$H$35,"")</f>
        <v/>
      </c>
      <c r="BN418" s="518" t="str">
        <f>IF(AND(_D="A-220-100",'2024'!$N$4="CA",'2024'!$N$2=BN385),'2024DATA'!$I$35,"")</f>
        <v/>
      </c>
      <c r="BO418" s="518" t="str">
        <f>IF(AND(_D="A-220-100",'2024'!$N$4="CA",'2024'!$N$2=BO385),'2024DATA'!$J$35,"")</f>
        <v/>
      </c>
      <c r="BP418" s="518" t="str">
        <f>IF(AND(_D="A-220-100",'2024'!$N$4="CA",'2024'!$N$2=BP385),'2024DATA'!$K$35,"")</f>
        <v/>
      </c>
      <c r="BQ418" s="518" t="str">
        <f>IF(AND(_D="A-220-100",'2024'!$N$4="CA",'2024'!$N$2=BQ385),'2024DATA'!$L$35,"")</f>
        <v/>
      </c>
      <c r="BR418" s="518" t="str">
        <f>IF(AND(_D="A-220-100",'2024'!$N$4="CA",'2024'!$N$2=BR385),'2024DATA'!$M$35,"")</f>
        <v/>
      </c>
      <c r="BS418" s="520" t="str">
        <f>IF(AND(_D="A-220-100",'2024'!$N$4="CA",'2024'!$N$2=BS385),'2024DATA'!$N$35,"")</f>
        <v/>
      </c>
      <c r="BT418" s="940" t="s">
        <v>52</v>
      </c>
      <c r="BU418" s="13" t="s">
        <v>61</v>
      </c>
      <c r="BV418" s="518" t="str">
        <f>IF(AND(_E="A-220-100",'2024'!$N$4="CA",'2024'!$N$2=BV385),'2024DATA'!$C$35,"")</f>
        <v/>
      </c>
      <c r="BW418" s="518" t="str">
        <f>IF(AND(_E="A-220-100",'2024'!$N$4="CA",'2024'!$N$2=BW385),'2024DATA'!$D$35,"")</f>
        <v/>
      </c>
      <c r="BX418" s="518" t="str">
        <f>IF(AND(_E="A-220-100",'2024'!$N$4="CA",'2024'!$N$2=BX385),'2024DATA'!$E$35,"")</f>
        <v/>
      </c>
      <c r="BY418" s="518" t="str">
        <f>IF(AND(_E="A-220-100",'2024'!$N$4="CA",'2024'!$N$2=BY385),'2024DATA'!$F$35,"")</f>
        <v/>
      </c>
      <c r="BZ418" s="518" t="str">
        <f>IF(AND(_E="A-220-100",'2024'!$N$4="CA",'2024'!$N$2=BZ385),'2024DATA'!$G$35,"")</f>
        <v/>
      </c>
      <c r="CA418" s="518" t="str">
        <f>IF(AND(_E="A-220-100",'2024'!$N$4="CA",'2024'!$N$2=CA385),'2024DATA'!$H$35,"")</f>
        <v/>
      </c>
      <c r="CB418" s="518" t="str">
        <f>IF(AND(_E="A-220-100",'2024'!$N$4="CA",'2024'!$N$2=CB385),'2024DATA'!$I$35,"")</f>
        <v/>
      </c>
      <c r="CC418" s="518" t="str">
        <f>IF(AND(_E="A-220-100",'2024'!$N$4="CA",'2024'!$N$2=CC385),'2024DATA'!$J$35,"")</f>
        <v/>
      </c>
      <c r="CD418" s="518" t="str">
        <f>IF(AND(_E="A-220-100",'2024'!$N$4="CA",'2024'!$N$2=CD385),'2024DATA'!$K$35,"")</f>
        <v/>
      </c>
      <c r="CE418" s="518" t="str">
        <f>IF(AND(_E="A-220-100",'2024'!$N$4="CA",'2024'!$N$2=CE385),'2024DATA'!$L$35,"")</f>
        <v/>
      </c>
      <c r="CF418" s="518" t="str">
        <f>IF(AND(_E="A-220-100",'2024'!$N$4="CA",'2024'!$N$2=CF385),'2024DATA'!$M$35,"")</f>
        <v/>
      </c>
      <c r="CG418" s="520" t="str">
        <f>IF(AND(_E="A-220-100",'2024'!$N$4="CA",'2024'!$N$2=CG385),'2024DATA'!$N$35,"")</f>
        <v/>
      </c>
      <c r="CH418" s="940" t="s">
        <v>52</v>
      </c>
      <c r="CI418" s="13" t="s">
        <v>61</v>
      </c>
      <c r="CJ418" s="518" t="str">
        <f>IF(AND(_F="A-220-100",'2024'!$N$4="CA",'2024'!$N$2=CJ385),'2024DATA'!$C$35,"")</f>
        <v/>
      </c>
      <c r="CK418" s="518" t="str">
        <f>IF(AND(_F="A-220-100",'2024'!$N$4="CA",'2024'!$N$2=CK385),'2024DATA'!$D$35,"")</f>
        <v/>
      </c>
      <c r="CL418" s="518" t="str">
        <f>IF(AND(_F="A-220-100",'2024'!$N$4="CA",'2024'!$N$2=CL385),'2024DATA'!$E$35,"")</f>
        <v/>
      </c>
      <c r="CM418" s="518" t="str">
        <f>IF(AND(_F="A-220-100",'2024'!$N$4="CA",'2024'!$N$2=CM385),'2024DATA'!$F$35,"")</f>
        <v/>
      </c>
      <c r="CN418" s="518" t="str">
        <f>IF(AND(_F="A-220-100",'2024'!$N$4="CA",'2024'!$N$2=CN385),'2024DATA'!$G$35,"")</f>
        <v/>
      </c>
      <c r="CO418" s="518" t="str">
        <f>IF(AND(_F="A-220-100",'2024'!$N$4="CA",'2024'!$N$2=CO385),'2024DATA'!$H$35,"")</f>
        <v/>
      </c>
      <c r="CP418" s="518" t="str">
        <f>IF(AND(_F="A-220-100",'2024'!$N$4="CA",'2024'!$N$2=CP385),'2024DATA'!$I$35,"")</f>
        <v/>
      </c>
      <c r="CQ418" s="518" t="str">
        <f>IF(AND(_F="A-220-100",'2024'!$N$4="CA",'2024'!$N$2=CQ385),'2024DATA'!$J$35,"")</f>
        <v/>
      </c>
      <c r="CR418" s="518" t="str">
        <f>IF(AND(_F="A-220-100",'2024'!$N$4="CA",'2024'!$N$2=CR385),'2024DATA'!$K$35,"")</f>
        <v/>
      </c>
      <c r="CS418" s="518" t="str">
        <f>IF(AND(_F="A-220-100",'2024'!$N$4="CA",'2024'!$N$2=CS385),'2024DATA'!$L$35,"")</f>
        <v/>
      </c>
      <c r="CT418" s="518" t="str">
        <f>IF(AND(_F="A-220-100",'2024'!$N$4="CA",'2024'!$N$2=CT385),'2024DATA'!$M$35,"")</f>
        <v/>
      </c>
      <c r="CU418" s="520" t="str">
        <f>IF(AND(_F="A-220-100",'2024'!$N$4="CA",'2024'!$N$2=CU385),'2024DATA'!$N$35,"")</f>
        <v/>
      </c>
    </row>
    <row r="419" spans="16:99" x14ac:dyDescent="0.25">
      <c r="P419" s="940"/>
      <c r="Q419" s="13" t="s">
        <v>62</v>
      </c>
      <c r="R419" s="518" t="str">
        <f>IF(AND(_A="A-220-100",'2024'!$N$4="FO",'2024'!$N$2=R385),'2024DATA'!$C$36,"")</f>
        <v/>
      </c>
      <c r="S419" s="518" t="str">
        <f>IF(AND(_A="A-220-100",'2024'!$N$4="FO",'2024'!$N$2=S385),'2024DATA'!$D$36,"")</f>
        <v/>
      </c>
      <c r="T419" s="518" t="str">
        <f>IF(AND(_A="A-220-100",'2024'!$N$4="FO",'2024'!$N$2=T385),'2024DATA'!$E$36,"")</f>
        <v/>
      </c>
      <c r="U419" s="518" t="str">
        <f>IF(AND(_A="A-220-100",'2024'!$N$4="FO",'2024'!$N$2=U385),'2024DATA'!$F$36,"")</f>
        <v/>
      </c>
      <c r="V419" s="518" t="str">
        <f>IF(AND(_A="A-220-100",'2024'!$N$4="FO",'2024'!$N$2=V385),'2024DATA'!$G$36,"")</f>
        <v/>
      </c>
      <c r="W419" s="518" t="str">
        <f>IF(AND(_A="A-220-100",'2024'!$N$4="FO",'2024'!$N$2=W385),'2024DATA'!$H$36,"")</f>
        <v/>
      </c>
      <c r="X419" s="518" t="str">
        <f>IF(AND(_A="A-220-100",'2024'!$N$4="FO",'2024'!$N$2=X385),'2024DATA'!$I$36,"")</f>
        <v/>
      </c>
      <c r="Y419" s="518" t="str">
        <f>IF(AND(_A="A-220-100",'2024'!$N$4="FO",'2024'!$N$2=Y385),'2024DATA'!$J$36,"")</f>
        <v/>
      </c>
      <c r="Z419" s="518" t="str">
        <f>IF(AND(_A="A-220-100",'2024'!$N$4="FO",'2024'!$N$2=Z385),'2024DATA'!$K$36,"")</f>
        <v/>
      </c>
      <c r="AA419" s="518" t="str">
        <f>IF(AND(_A="A-220-100",'2024'!$N$4="FO",'2024'!$N$2=AA385),'2024DATA'!$L$36,"")</f>
        <v/>
      </c>
      <c r="AB419" s="518" t="str">
        <f>IF(AND(_A="A-220-100",'2024'!$N$4="FO",'2024'!$N$2=AB385),'2024DATA'!$M$36,"")</f>
        <v/>
      </c>
      <c r="AC419" s="520" t="str">
        <f>IF(AND(_A="A-220-100",'2024'!$N$4="FO",'2024'!$N$2=AC385),'2024DATA'!$N$36,"")</f>
        <v/>
      </c>
      <c r="AD419" s="940"/>
      <c r="AE419" s="13" t="s">
        <v>62</v>
      </c>
      <c r="AF419" s="518" t="str">
        <f>IF(AND(_B="A-220-100",'2024'!$N$4="FO",'2024'!$N$2=AF385),'2024DATA'!$C$36,"")</f>
        <v/>
      </c>
      <c r="AG419" s="518" t="str">
        <f>IF(AND(_B="A-220-100",'2024'!$N$4="FO",'2024'!$N$2=AG385),'2024DATA'!$D$36,"")</f>
        <v/>
      </c>
      <c r="AH419" s="518" t="str">
        <f>IF(AND(_B="A-220-100",'2024'!$N$4="FO",'2024'!$N$2=AH385),'2024DATA'!$E$36,"")</f>
        <v/>
      </c>
      <c r="AI419" s="518" t="str">
        <f>IF(AND(_B="A-220-100",'2024'!$N$4="FO",'2024'!$N$2=AI385),'2024DATA'!$F$36,"")</f>
        <v/>
      </c>
      <c r="AJ419" s="518" t="str">
        <f>IF(AND(_B="A-220-100",'2024'!$N$4="FO",'2024'!$N$2=AJ385),'2024DATA'!$G$36,"")</f>
        <v/>
      </c>
      <c r="AK419" s="518" t="str">
        <f>IF(AND(_B="A-220-100",'2024'!$N$4="FO",'2024'!$N$2=AK385),'2024DATA'!$H$36,"")</f>
        <v/>
      </c>
      <c r="AL419" s="518" t="str">
        <f>IF(AND(_B="A-220-100",'2024'!$N$4="FO",'2024'!$N$2=AL385),'2024DATA'!$I$36,"")</f>
        <v/>
      </c>
      <c r="AM419" s="518" t="str">
        <f>IF(AND(_B="A-220-100",'2024'!$N$4="FO",'2024'!$N$2=AM385),'2024DATA'!$J$36,"")</f>
        <v/>
      </c>
      <c r="AN419" s="518" t="str">
        <f>IF(AND(_B="A-220-100",'2024'!$N$4="FO",'2024'!$N$2=AN385),'2024DATA'!$K$36,"")</f>
        <v/>
      </c>
      <c r="AO419" s="518" t="str">
        <f>IF(AND(_B="A-220-100",'2024'!$N$4="FO",'2024'!$N$2=AO385),'2024DATA'!$L$36,"")</f>
        <v/>
      </c>
      <c r="AP419" s="518" t="str">
        <f>IF(AND(_B="A-220-100",'2024'!$N$4="FO",'2024'!$N$2=AP385),'2024DATA'!$M$36,"")</f>
        <v/>
      </c>
      <c r="AQ419" s="520" t="str">
        <f>IF(AND(_B="A-220-100",'2024'!$N$4="FO",'2024'!$N$2=AQ385),'2024DATA'!$N$36,"")</f>
        <v/>
      </c>
      <c r="AR419" s="940"/>
      <c r="AS419" s="13" t="s">
        <v>62</v>
      </c>
      <c r="AT419" s="518" t="str">
        <f>IF(AND(_C="A-220-100",'2024'!$N$4="FO",'2024'!$N$2=AT385),'2024DATA'!$C$36,"")</f>
        <v/>
      </c>
      <c r="AU419" s="518" t="str">
        <f>IF(AND(_C="A-220-100",'2024'!$N$4="FO",'2024'!$N$2=AU385),'2024DATA'!$D$36,"")</f>
        <v/>
      </c>
      <c r="AV419" s="518" t="str">
        <f>IF(AND(_C="A-220-100",'2024'!$N$4="FO",'2024'!$N$2=AV385),'2024DATA'!$E$36,"")</f>
        <v/>
      </c>
      <c r="AW419" s="518" t="str">
        <f>IF(AND(_C="A-220-100",'2024'!$N$4="FO",'2024'!$N$2=AW385),'2024DATA'!$F$36,"")</f>
        <v/>
      </c>
      <c r="AX419" s="518" t="str">
        <f>IF(AND(_C="A-220-100",'2024'!$N$4="FO",'2024'!$N$2=AX385),'2024DATA'!$G$36,"")</f>
        <v/>
      </c>
      <c r="AY419" s="518" t="str">
        <f>IF(AND(_C="A-220-100",'2024'!$N$4="FO",'2024'!$N$2=AY385),'2024DATA'!$H$36,"")</f>
        <v/>
      </c>
      <c r="AZ419" s="518" t="str">
        <f>IF(AND(_C="A-220-100",'2024'!$N$4="FO",'2024'!$N$2=AZ385),'2024DATA'!$I$36,"")</f>
        <v/>
      </c>
      <c r="BA419" s="518" t="str">
        <f>IF(AND(_C="A-220-100",'2024'!$N$4="FO",'2024'!$N$2=BA385),'2024DATA'!$J$36,"")</f>
        <v/>
      </c>
      <c r="BB419" s="518" t="str">
        <f>IF(AND(_C="A-220-100",'2024'!$N$4="FO",'2024'!$N$2=BB385),'2024DATA'!$K$36,"")</f>
        <v/>
      </c>
      <c r="BC419" s="518" t="str">
        <f>IF(AND(_C="A-220-100",'2024'!$N$4="FO",'2024'!$N$2=BC385),'2024DATA'!$L$36,"")</f>
        <v/>
      </c>
      <c r="BD419" s="518" t="str">
        <f>IF(AND(_C="A-220-100",'2024'!$N$4="FO",'2024'!$N$2=BD385),'2024DATA'!$M$36,"")</f>
        <v/>
      </c>
      <c r="BE419" s="520" t="str">
        <f>IF(AND(_C="A-220-100",'2024'!$N$4="FO",'2024'!$N$2=BE385),'2024DATA'!$N$36,"")</f>
        <v/>
      </c>
      <c r="BF419" s="940"/>
      <c r="BG419" s="13" t="s">
        <v>62</v>
      </c>
      <c r="BH419" s="518" t="str">
        <f>IF(AND(_D="A-220-100",'2024'!$N$4="FO",'2024'!$N$2=BH385),'2024DATA'!$C$36,"")</f>
        <v/>
      </c>
      <c r="BI419" s="518" t="str">
        <f>IF(AND(_D="A-220-100",'2024'!$N$4="FO",'2024'!$N$2=BI385),'2024DATA'!$D$36,"")</f>
        <v/>
      </c>
      <c r="BJ419" s="518" t="str">
        <f>IF(AND(_D="A-220-100",'2024'!$N$4="FO",'2024'!$N$2=BJ385),'2024DATA'!$E$36,"")</f>
        <v/>
      </c>
      <c r="BK419" s="518" t="str">
        <f>IF(AND(_D="A-220-100",'2024'!$N$4="FO",'2024'!$N$2=BK385),'2024DATA'!$F$36,"")</f>
        <v/>
      </c>
      <c r="BL419" s="518" t="str">
        <f>IF(AND(_D="A-220-100",'2024'!$N$4="FO",'2024'!$N$2=BL385),'2024DATA'!$G$36,"")</f>
        <v/>
      </c>
      <c r="BM419" s="518" t="str">
        <f>IF(AND(_D="A-220-100",'2024'!$N$4="FO",'2024'!$N$2=BM385),'2024DATA'!$H$36,"")</f>
        <v/>
      </c>
      <c r="BN419" s="518" t="str">
        <f>IF(AND(_D="A-220-100",'2024'!$N$4="FO",'2024'!$N$2=BN385),'2024DATA'!$I$36,"")</f>
        <v/>
      </c>
      <c r="BO419" s="518" t="str">
        <f>IF(AND(_D="A-220-100",'2024'!$N$4="FO",'2024'!$N$2=BO385),'2024DATA'!$J$36,"")</f>
        <v/>
      </c>
      <c r="BP419" s="518" t="str">
        <f>IF(AND(_D="A-220-100",'2024'!$N$4="FO",'2024'!$N$2=BP385),'2024DATA'!$K$36,"")</f>
        <v/>
      </c>
      <c r="BQ419" s="518" t="str">
        <f>IF(AND(_D="A-220-100",'2024'!$N$4="FO",'2024'!$N$2=BQ385),'2024DATA'!$L$36,"")</f>
        <v/>
      </c>
      <c r="BR419" s="518" t="str">
        <f>IF(AND(_D="A-220-100",'2024'!$N$4="FO",'2024'!$N$2=BR385),'2024DATA'!$M$36,"")</f>
        <v/>
      </c>
      <c r="BS419" s="520" t="str">
        <f>IF(AND(_D="A-220-100",'2024'!$N$4="FO",'2024'!$N$2=BS385),'2024DATA'!$N$36,"")</f>
        <v/>
      </c>
      <c r="BT419" s="940"/>
      <c r="BU419" s="13" t="s">
        <v>62</v>
      </c>
      <c r="BV419" s="518" t="str">
        <f>IF(AND(_E="A-220-100",'2024'!$N$4="FO",'2024'!$N$2=BV385),'2024DATA'!$C$36,"")</f>
        <v/>
      </c>
      <c r="BW419" s="518" t="str">
        <f>IF(AND(_E="A-220-100",'2024'!$N$4="FO",'2024'!$N$2=BW385),'2024DATA'!$D$36,"")</f>
        <v/>
      </c>
      <c r="BX419" s="518" t="str">
        <f>IF(AND(_E="A-220-100",'2024'!$N$4="FO",'2024'!$N$2=BX385),'2024DATA'!$E$36,"")</f>
        <v/>
      </c>
      <c r="BY419" s="518" t="str">
        <f>IF(AND(_E="A-220-100",'2024'!$N$4="FO",'2024'!$N$2=BY385),'2024DATA'!$F$36,"")</f>
        <v/>
      </c>
      <c r="BZ419" s="518" t="str">
        <f>IF(AND(_E="A-220-100",'2024'!$N$4="FO",'2024'!$N$2=BZ385),'2024DATA'!$G$36,"")</f>
        <v/>
      </c>
      <c r="CA419" s="518" t="str">
        <f>IF(AND(_E="A-220-100",'2024'!$N$4="FO",'2024'!$N$2=CA385),'2024DATA'!$H$36,"")</f>
        <v/>
      </c>
      <c r="CB419" s="518" t="str">
        <f>IF(AND(_E="A-220-100",'2024'!$N$4="FO",'2024'!$N$2=CB385),'2024DATA'!$I$36,"")</f>
        <v/>
      </c>
      <c r="CC419" s="518" t="str">
        <f>IF(AND(_E="A-220-100",'2024'!$N$4="FO",'2024'!$N$2=CC385),'2024DATA'!$J$36,"")</f>
        <v/>
      </c>
      <c r="CD419" s="518" t="str">
        <f>IF(AND(_E="A-220-100",'2024'!$N$4="FO",'2024'!$N$2=CD385),'2024DATA'!$K$36,"")</f>
        <v/>
      </c>
      <c r="CE419" s="518" t="str">
        <f>IF(AND(_E="A-220-100",'2024'!$N$4="FO",'2024'!$N$2=CE385),'2024DATA'!$L$36,"")</f>
        <v/>
      </c>
      <c r="CF419" s="518" t="str">
        <f>IF(AND(_E="A-220-100",'2024'!$N$4="FO",'2024'!$N$2=CF385),'2024DATA'!$M$36,"")</f>
        <v/>
      </c>
      <c r="CG419" s="520" t="str">
        <f>IF(AND(_E="A-220-100",'2024'!$N$4="FO",'2024'!$N$2=CG385),'2024DATA'!$N$36,"")</f>
        <v/>
      </c>
      <c r="CH419" s="940"/>
      <c r="CI419" s="13" t="s">
        <v>62</v>
      </c>
      <c r="CJ419" s="518" t="str">
        <f>IF(AND(_F="A-220-100",'2024'!$N$4="FO",'2024'!$N$2=CJ385),'2024DATA'!$C$36,"")</f>
        <v/>
      </c>
      <c r="CK419" s="518" t="str">
        <f>IF(AND(_F="A-220-100",'2024'!$N$4="FO",'2024'!$N$2=CK385),'2024DATA'!$D$36,"")</f>
        <v/>
      </c>
      <c r="CL419" s="518" t="str">
        <f>IF(AND(_F="A-220-100",'2024'!$N$4="FO",'2024'!$N$2=CL385),'2024DATA'!$E$36,"")</f>
        <v/>
      </c>
      <c r="CM419" s="518" t="str">
        <f>IF(AND(_F="A-220-100",'2024'!$N$4="FO",'2024'!$N$2=CM385),'2024DATA'!$F$36,"")</f>
        <v/>
      </c>
      <c r="CN419" s="518" t="str">
        <f>IF(AND(_F="A-220-100",'2024'!$N$4="FO",'2024'!$N$2=CN385),'2024DATA'!$G$36,"")</f>
        <v/>
      </c>
      <c r="CO419" s="518" t="str">
        <f>IF(AND(_F="A-220-100",'2024'!$N$4="FO",'2024'!$N$2=CO385),'2024DATA'!$H$36,"")</f>
        <v/>
      </c>
      <c r="CP419" s="518" t="str">
        <f>IF(AND(_F="A-220-100",'2024'!$N$4="FO",'2024'!$N$2=CP385),'2024DATA'!$I$36,"")</f>
        <v/>
      </c>
      <c r="CQ419" s="518" t="str">
        <f>IF(AND(_F="A-220-100",'2024'!$N$4="FO",'2024'!$N$2=CQ385),'2024DATA'!$J$36,"")</f>
        <v/>
      </c>
      <c r="CR419" s="518" t="str">
        <f>IF(AND(_F="A-220-100",'2024'!$N$4="FO",'2024'!$N$2=CR385),'2024DATA'!$K$36,"")</f>
        <v/>
      </c>
      <c r="CS419" s="518" t="str">
        <f>IF(AND(_F="A-220-100",'2024'!$N$4="FO",'2024'!$N$2=CS385),'2024DATA'!$L$36,"")</f>
        <v/>
      </c>
      <c r="CT419" s="518" t="str">
        <f>IF(AND(_F="A-220-100",'2024'!$N$4="FO",'2024'!$N$2=CT385),'2024DATA'!$M$36,"")</f>
        <v/>
      </c>
      <c r="CU419" s="520" t="str">
        <f>IF(AND(_F="A-220-100",'2024'!$N$4="FO",'2024'!$N$2=CU385),'2024DATA'!$N$36,"")</f>
        <v/>
      </c>
    </row>
    <row r="420" spans="16:99" x14ac:dyDescent="0.25">
      <c r="P420" s="940" t="s">
        <v>53</v>
      </c>
      <c r="Q420" s="13" t="s">
        <v>61</v>
      </c>
      <c r="R420" s="518" t="str">
        <f>IF(AND(_A="B-717",'2024'!$N$4="CA",'2024'!$N$2=R385),'2024DATA'!$C$37,"")</f>
        <v/>
      </c>
      <c r="S420" s="518" t="str">
        <f>IF(AND(_A="B-717",'2024'!$N$4="CA",'2024'!$N$2=S385),'2024DATA'!$D$37,"")</f>
        <v/>
      </c>
      <c r="T420" s="518" t="str">
        <f>IF(AND(_A="B-717",'2024'!$N$4="CA",'2024'!$N$2=T385),'2024DATA'!$E$37,"")</f>
        <v/>
      </c>
      <c r="U420" s="518" t="str">
        <f>IF(AND(_A="B-717",'2024'!$N$4="CA",'2024'!$N$2=U385),'2024DATA'!$F$37,"")</f>
        <v/>
      </c>
      <c r="V420" s="518" t="str">
        <f>IF(AND(_A="B-717",'2024'!$N$4="CA",'2024'!$N$2=V385),'2024DATA'!$G$37,"")</f>
        <v/>
      </c>
      <c r="W420" s="518" t="str">
        <f>IF(AND(_A="B-717",'2024'!$N$4="CA",'2024'!$N$2=W385),'2024DATA'!$H$37,"")</f>
        <v/>
      </c>
      <c r="X420" s="518" t="str">
        <f>IF(AND(_A="B-717",'2024'!$N$4="CA",'2024'!$N$2=X385),'2024DATA'!$I$37,"")</f>
        <v/>
      </c>
      <c r="Y420" s="518" t="str">
        <f>IF(AND(_A="B-717",'2024'!$N$4="CA",'2024'!$N$2=Y385),'2024DATA'!$J$37,"")</f>
        <v/>
      </c>
      <c r="Z420" s="518" t="str">
        <f>IF(AND(_A="B-717",'2024'!$N$4="CA",'2024'!$N$2=Z385),'2024DATA'!$K$37,"")</f>
        <v/>
      </c>
      <c r="AA420" s="518" t="str">
        <f>IF(AND(_A="B-717",'2024'!$N$4="CA",'2024'!$N$2=AA385),'2024DATA'!$L$37,"")</f>
        <v/>
      </c>
      <c r="AB420" s="518" t="str">
        <f>IF(AND(_A="B-717",'2024'!$N$4="CA",'2024'!$N$2=AB385),'2024DATA'!$M$37,"")</f>
        <v/>
      </c>
      <c r="AC420" s="520" t="str">
        <f>IF(AND(_A="B-717",'2024'!$N$4="CA",'2024'!$N$2=AC385),'2024DATA'!$N$37,"")</f>
        <v/>
      </c>
      <c r="AD420" s="940" t="s">
        <v>53</v>
      </c>
      <c r="AE420" s="13" t="s">
        <v>61</v>
      </c>
      <c r="AF420" s="518" t="str">
        <f>IF(AND(_B="B-717",'2024'!$N$4="CA",'2024'!$N$2=AF385),'2024DATA'!$C$37,"")</f>
        <v/>
      </c>
      <c r="AG420" s="518" t="str">
        <f>IF(AND(_B="B-717",'2024'!$N$4="CA",'2024'!$N$2=AG385),'2024DATA'!$D$37,"")</f>
        <v/>
      </c>
      <c r="AH420" s="518" t="str">
        <f>IF(AND(_B="B-717",'2024'!$N$4="CA",'2024'!$N$2=AH385),'2024DATA'!$E$37,"")</f>
        <v/>
      </c>
      <c r="AI420" s="518" t="str">
        <f>IF(AND(_B="B-717",'2024'!$N$4="CA",'2024'!$N$2=AI385),'2024DATA'!$F$37,"")</f>
        <v/>
      </c>
      <c r="AJ420" s="518" t="str">
        <f>IF(AND(_B="B-717",'2024'!$N$4="CA",'2024'!$N$2=AJ385),'2024DATA'!$G$37,"")</f>
        <v/>
      </c>
      <c r="AK420" s="518" t="str">
        <f>IF(AND(_B="B-717",'2024'!$N$4="CA",'2024'!$N$2=AK385),'2024DATA'!$H$37,"")</f>
        <v/>
      </c>
      <c r="AL420" s="518" t="str">
        <f>IF(AND(_B="B-717",'2024'!$N$4="CA",'2024'!$N$2=AL385),'2024DATA'!$I$37,"")</f>
        <v/>
      </c>
      <c r="AM420" s="518" t="str">
        <f>IF(AND(_B="B-717",'2024'!$N$4="CA",'2024'!$N$2=AM385),'2024DATA'!$J$37,"")</f>
        <v/>
      </c>
      <c r="AN420" s="518" t="str">
        <f>IF(AND(_B="B-717",'2024'!$N$4="CA",'2024'!$N$2=AN385),'2024DATA'!$K$37,"")</f>
        <v/>
      </c>
      <c r="AO420" s="518" t="str">
        <f>IF(AND(_B="B-717",'2024'!$N$4="CA",'2024'!$N$2=AO385),'2024DATA'!$L$37,"")</f>
        <v/>
      </c>
      <c r="AP420" s="518" t="str">
        <f>IF(AND(_B="B-717",'2024'!$N$4="CA",'2024'!$N$2=AP385),'2024DATA'!$M$37,"")</f>
        <v/>
      </c>
      <c r="AQ420" s="520" t="str">
        <f>IF(AND(_B="B-717",'2024'!$N$4="CA",'2024'!$N$2=AQ385),'2024DATA'!$N$37,"")</f>
        <v/>
      </c>
      <c r="AR420" s="940" t="s">
        <v>53</v>
      </c>
      <c r="AS420" s="13" t="s">
        <v>61</v>
      </c>
      <c r="AT420" s="518" t="str">
        <f>IF(AND(_C="B-717",'2024'!$N$4="CA",'2024'!$N$2=AT385),'2024DATA'!$C$37,"")</f>
        <v/>
      </c>
      <c r="AU420" s="518" t="str">
        <f>IF(AND(_C="B-717",'2024'!$N$4="CA",'2024'!$N$2=AU385),'2024DATA'!$D$37,"")</f>
        <v/>
      </c>
      <c r="AV420" s="518" t="str">
        <f>IF(AND(_C="B-717",'2024'!$N$4="CA",'2024'!$N$2=AV385),'2024DATA'!$E$37,"")</f>
        <v/>
      </c>
      <c r="AW420" s="518" t="str">
        <f>IF(AND(_C="B-717",'2024'!$N$4="CA",'2024'!$N$2=AW385),'2024DATA'!$F$37,"")</f>
        <v/>
      </c>
      <c r="AX420" s="518" t="str">
        <f>IF(AND(_C="B-717",'2024'!$N$4="CA",'2024'!$N$2=AX385),'2024DATA'!$G$37,"")</f>
        <v/>
      </c>
      <c r="AY420" s="518" t="str">
        <f>IF(AND(_C="B-717",'2024'!$N$4="CA",'2024'!$N$2=AY385),'2024DATA'!$H$37,"")</f>
        <v/>
      </c>
      <c r="AZ420" s="518" t="str">
        <f>IF(AND(_C="B-717",'2024'!$N$4="CA",'2024'!$N$2=AZ385),'2024DATA'!$I$37,"")</f>
        <v/>
      </c>
      <c r="BA420" s="518" t="str">
        <f>IF(AND(_C="B-717",'2024'!$N$4="CA",'2024'!$N$2=BA385),'2024DATA'!$J$37,"")</f>
        <v/>
      </c>
      <c r="BB420" s="518" t="str">
        <f>IF(AND(_C="B-717",'2024'!$N$4="CA",'2024'!$N$2=BB385),'2024DATA'!$K$37,"")</f>
        <v/>
      </c>
      <c r="BC420" s="518" t="str">
        <f>IF(AND(_C="B-717",'2024'!$N$4="CA",'2024'!$N$2=BC385),'2024DATA'!$L$37,"")</f>
        <v/>
      </c>
      <c r="BD420" s="518" t="str">
        <f>IF(AND(_C="B-717",'2024'!$N$4="CA",'2024'!$N$2=BD385),'2024DATA'!$M$37,"")</f>
        <v/>
      </c>
      <c r="BE420" s="520" t="str">
        <f>IF(AND(_C="B-717",'2024'!$N$4="CA",'2024'!$N$2=BE385),'2024DATA'!$N$37,"")</f>
        <v/>
      </c>
      <c r="BF420" s="940" t="s">
        <v>53</v>
      </c>
      <c r="BG420" s="13" t="s">
        <v>61</v>
      </c>
      <c r="BH420" s="518" t="str">
        <f>IF(AND(_D="B-717",'2024'!$N$4="CA",'2024'!$N$2=BH385),'2024DATA'!$C$37,"")</f>
        <v/>
      </c>
      <c r="BI420" s="518" t="str">
        <f>IF(AND(_D="B-717",'2024'!$N$4="CA",'2024'!$N$2=BI385),'2024DATA'!$D$37,"")</f>
        <v/>
      </c>
      <c r="BJ420" s="518" t="str">
        <f>IF(AND(_D="B-717",'2024'!$N$4="CA",'2024'!$N$2=BJ385),'2024DATA'!$E$37,"")</f>
        <v/>
      </c>
      <c r="BK420" s="518" t="str">
        <f>IF(AND(_D="B-717",'2024'!$N$4="CA",'2024'!$N$2=BK385),'2024DATA'!$F$37,"")</f>
        <v/>
      </c>
      <c r="BL420" s="518" t="str">
        <f>IF(AND(_D="B-717",'2024'!$N$4="CA",'2024'!$N$2=BL385),'2024DATA'!$G$37,"")</f>
        <v/>
      </c>
      <c r="BM420" s="518" t="str">
        <f>IF(AND(_D="B-717",'2024'!$N$4="CA",'2024'!$N$2=BM385),'2024DATA'!$H$37,"")</f>
        <v/>
      </c>
      <c r="BN420" s="518" t="str">
        <f>IF(AND(_D="B-717",'2024'!$N$4="CA",'2024'!$N$2=BN385),'2024DATA'!$I$37,"")</f>
        <v/>
      </c>
      <c r="BO420" s="518" t="str">
        <f>IF(AND(_D="B-717",'2024'!$N$4="CA",'2024'!$N$2=BO385),'2024DATA'!$J$37,"")</f>
        <v/>
      </c>
      <c r="BP420" s="518" t="str">
        <f>IF(AND(_D="B-717",'2024'!$N$4="CA",'2024'!$N$2=BP385),'2024DATA'!$K$37,"")</f>
        <v/>
      </c>
      <c r="BQ420" s="518" t="str">
        <f>IF(AND(_D="B-717",'2024'!$N$4="CA",'2024'!$N$2=BQ385),'2024DATA'!$L$37,"")</f>
        <v/>
      </c>
      <c r="BR420" s="518" t="str">
        <f>IF(AND(_D="B-717",'2024'!$N$4="CA",'2024'!$N$2=BR385),'2024DATA'!$M$37,"")</f>
        <v/>
      </c>
      <c r="BS420" s="520" t="str">
        <f>IF(AND(_D="B-717",'2024'!$N$4="CA",'2024'!$N$2=BS385),'2024DATA'!$N$37,"")</f>
        <v/>
      </c>
      <c r="BT420" s="940" t="s">
        <v>53</v>
      </c>
      <c r="BU420" s="13" t="s">
        <v>61</v>
      </c>
      <c r="BV420" s="518" t="str">
        <f>IF(AND(_E="B-717",'2024'!$N$4="CA",'2024'!$N$2=BV385),'2024DATA'!$C$37,"")</f>
        <v/>
      </c>
      <c r="BW420" s="518" t="str">
        <f>IF(AND(_E="B-717",'2024'!$N$4="CA",'2024'!$N$2=BW385),'2024DATA'!$D$37,"")</f>
        <v/>
      </c>
      <c r="BX420" s="518" t="str">
        <f>IF(AND(_E="B-717",'2024'!$N$4="CA",'2024'!$N$2=BX385),'2024DATA'!$E$37,"")</f>
        <v/>
      </c>
      <c r="BY420" s="518" t="str">
        <f>IF(AND(_E="B-717",'2024'!$N$4="CA",'2024'!$N$2=BY385),'2024DATA'!$F$37,"")</f>
        <v/>
      </c>
      <c r="BZ420" s="518" t="str">
        <f>IF(AND(_E="B-717",'2024'!$N$4="CA",'2024'!$N$2=BZ385),'2024DATA'!$G$37,"")</f>
        <v/>
      </c>
      <c r="CA420" s="518" t="str">
        <f>IF(AND(_E="B-717",'2024'!$N$4="CA",'2024'!$N$2=CA385),'2024DATA'!$H$37,"")</f>
        <v/>
      </c>
      <c r="CB420" s="518" t="str">
        <f>IF(AND(_E="B-717",'2024'!$N$4="CA",'2024'!$N$2=CB385),'2024DATA'!$I$37,"")</f>
        <v/>
      </c>
      <c r="CC420" s="518" t="str">
        <f>IF(AND(_E="B-717",'2024'!$N$4="CA",'2024'!$N$2=CC385),'2024DATA'!$J$37,"")</f>
        <v/>
      </c>
      <c r="CD420" s="518" t="str">
        <f>IF(AND(_E="B-717",'2024'!$N$4="CA",'2024'!$N$2=CD385),'2024DATA'!$K$37,"")</f>
        <v/>
      </c>
      <c r="CE420" s="518" t="str">
        <f>IF(AND(_E="B-717",'2024'!$N$4="CA",'2024'!$N$2=CE385),'2024DATA'!$L$37,"")</f>
        <v/>
      </c>
      <c r="CF420" s="518" t="str">
        <f>IF(AND(_E="B-717",'2024'!$N$4="CA",'2024'!$N$2=CF385),'2024DATA'!$M$37,"")</f>
        <v/>
      </c>
      <c r="CG420" s="520" t="str">
        <f>IF(AND(_E="B-717",'2024'!$N$4="CA",'2024'!$N$2=CG385),'2024DATA'!$N$37,"")</f>
        <v/>
      </c>
      <c r="CH420" s="940" t="s">
        <v>53</v>
      </c>
      <c r="CI420" s="13" t="s">
        <v>61</v>
      </c>
      <c r="CJ420" s="518" t="str">
        <f>IF(AND(_F="B-717",'2024'!$N$4="CA",'2024'!$N$2=CJ385),'2024DATA'!$C$37,"")</f>
        <v/>
      </c>
      <c r="CK420" s="518" t="str">
        <f>IF(AND(_F="B-717",'2024'!$N$4="CA",'2024'!$N$2=CK385),'2024DATA'!$D$37,"")</f>
        <v/>
      </c>
      <c r="CL420" s="518" t="str">
        <f>IF(AND(_F="B-717",'2024'!$N$4="CA",'2024'!$N$2=CL385),'2024DATA'!$E$37,"")</f>
        <v/>
      </c>
      <c r="CM420" s="518" t="str">
        <f>IF(AND(_F="B-717",'2024'!$N$4="CA",'2024'!$N$2=CM385),'2024DATA'!$F$37,"")</f>
        <v/>
      </c>
      <c r="CN420" s="518" t="str">
        <f>IF(AND(_F="B-717",'2024'!$N$4="CA",'2024'!$N$2=CN385),'2024DATA'!$G$37,"")</f>
        <v/>
      </c>
      <c r="CO420" s="518" t="str">
        <f>IF(AND(_F="B-717",'2024'!$N$4="CA",'2024'!$N$2=CO385),'2024DATA'!$H$37,"")</f>
        <v/>
      </c>
      <c r="CP420" s="518" t="str">
        <f>IF(AND(_F="B-717",'2024'!$N$4="CA",'2024'!$N$2=CP385),'2024DATA'!$I$37,"")</f>
        <v/>
      </c>
      <c r="CQ420" s="518" t="str">
        <f>IF(AND(_F="B-717",'2024'!$N$4="CA",'2024'!$N$2=CQ385),'2024DATA'!$J$37,"")</f>
        <v/>
      </c>
      <c r="CR420" s="518" t="str">
        <f>IF(AND(_F="B-717",'2024'!$N$4="CA",'2024'!$N$2=CR385),'2024DATA'!$K$37,"")</f>
        <v/>
      </c>
      <c r="CS420" s="518" t="str">
        <f>IF(AND(_F="B-717",'2024'!$N$4="CA",'2024'!$N$2=CS385),'2024DATA'!$L$37,"")</f>
        <v/>
      </c>
      <c r="CT420" s="518" t="str">
        <f>IF(AND(_F="B-717",'2024'!$N$4="CA",'2024'!$N$2=CT385),'2024DATA'!$M$37,"")</f>
        <v/>
      </c>
      <c r="CU420" s="520" t="str">
        <f>IF(AND(_F="B-717",'2024'!$N$4="CA",'2024'!$N$2=CU385),'2024DATA'!$N$37,"")</f>
        <v/>
      </c>
    </row>
    <row r="421" spans="16:99" ht="15.75" thickBot="1" x14ac:dyDescent="0.3">
      <c r="P421" s="941"/>
      <c r="Q421" s="521" t="s">
        <v>62</v>
      </c>
      <c r="R421" s="518" t="str">
        <f>IF(AND(_A="B-717",'2024'!$N$4="FO",'2024'!$N$2=R385),'2024DATA'!$C$38,"")</f>
        <v/>
      </c>
      <c r="S421" s="518" t="str">
        <f>IF(AND(_A="B-717",'2024'!$N$4="FO",'2024'!$N$2=S385),'2024DATA'!$D$38,"")</f>
        <v/>
      </c>
      <c r="T421" s="518" t="str">
        <f>IF(AND(_A="B-717",'2024'!$N$4="FO",'2024'!$N$2=T385),'2024DATA'!$E$38,"")</f>
        <v/>
      </c>
      <c r="U421" s="518" t="str">
        <f>IF(AND(_A="B-717",'2024'!$N$4="FO",'2024'!$N$2=U385),'2024DATA'!$F$38,"")</f>
        <v/>
      </c>
      <c r="V421" s="518" t="str">
        <f>IF(AND(_A="B-717",'2024'!$N$4="FO",'2024'!$N$2=V385),'2024DATA'!$G$38,"")</f>
        <v/>
      </c>
      <c r="W421" s="518" t="str">
        <f>IF(AND(_A="B-717",'2024'!$N$4="FO",'2024'!$N$2=W385),'2024DATA'!$H$38,"")</f>
        <v/>
      </c>
      <c r="X421" s="518" t="str">
        <f>IF(AND(_A="B-717",'2024'!$N$4="FO",'2024'!$N$2=X385),'2024DATA'!$I$38,"")</f>
        <v/>
      </c>
      <c r="Y421" s="518" t="str">
        <f>IF(AND(_A="B-717",'2024'!$N$4="FO",'2024'!$N$2=Y385),'2024DATA'!$J$38,"")</f>
        <v/>
      </c>
      <c r="Z421" s="518" t="str">
        <f>IF(AND(_A="B-717",'2024'!$N$4="FO",'2024'!$N$2=Z385),'2024DATA'!$K$38,"")</f>
        <v/>
      </c>
      <c r="AA421" s="518" t="str">
        <f>IF(AND(_A="B-717",'2024'!$N$4="FO",'2024'!$N$2=AA385),'2024DATA'!$L$38,"")</f>
        <v/>
      </c>
      <c r="AB421" s="518" t="str">
        <f>IF(AND(_A="B-717",'2024'!$N$4="FO",'2024'!$N$2=AB385),'2024DATA'!$M$38,"")</f>
        <v/>
      </c>
      <c r="AC421" s="520" t="str">
        <f>IF(AND(_A="B-717",'2024'!$N$4="FO",'2024'!$N$2=AC385),'2024DATA'!$N$38,"")</f>
        <v/>
      </c>
      <c r="AD421" s="941"/>
      <c r="AE421" s="521" t="s">
        <v>62</v>
      </c>
      <c r="AF421" s="518" t="str">
        <f>IF(AND(_B="B-717",'2024'!$N$4="FO",'2024'!$N$2=AF385),'2024DATA'!$C$38,"")</f>
        <v/>
      </c>
      <c r="AG421" s="518" t="str">
        <f>IF(AND(_B="B-717",'2024'!$N$4="FO",'2024'!$N$2=AG385),'2024DATA'!$D$38,"")</f>
        <v/>
      </c>
      <c r="AH421" s="518" t="str">
        <f>IF(AND(_B="B-717",'2024'!$N$4="FO",'2024'!$N$2=AH385),'2024DATA'!$E$38,"")</f>
        <v/>
      </c>
      <c r="AI421" s="518" t="str">
        <f>IF(AND(_B="B-717",'2024'!$N$4="FO",'2024'!$N$2=AI385),'2024DATA'!$F$38,"")</f>
        <v/>
      </c>
      <c r="AJ421" s="518" t="str">
        <f>IF(AND(_B="B-717",'2024'!$N$4="FO",'2024'!$N$2=AJ385),'2024DATA'!$G$38,"")</f>
        <v/>
      </c>
      <c r="AK421" s="518" t="str">
        <f>IF(AND(_B="B-717",'2024'!$N$4="FO",'2024'!$N$2=AK385),'2024DATA'!$H$38,"")</f>
        <v/>
      </c>
      <c r="AL421" s="518" t="str">
        <f>IF(AND(_B="B-717",'2024'!$N$4="FO",'2024'!$N$2=AL385),'2024DATA'!$I$38,"")</f>
        <v/>
      </c>
      <c r="AM421" s="518" t="str">
        <f>IF(AND(_B="B-717",'2024'!$N$4="FO",'2024'!$N$2=AM385),'2024DATA'!$J$38,"")</f>
        <v/>
      </c>
      <c r="AN421" s="518" t="str">
        <f>IF(AND(_B="B-717",'2024'!$N$4="FO",'2024'!$N$2=AN385),'2024DATA'!$K$38,"")</f>
        <v/>
      </c>
      <c r="AO421" s="518" t="str">
        <f>IF(AND(_B="B-717",'2024'!$N$4="FO",'2024'!$N$2=AO385),'2024DATA'!$L$38,"")</f>
        <v/>
      </c>
      <c r="AP421" s="518" t="str">
        <f>IF(AND(_B="B-717",'2024'!$N$4="FO",'2024'!$N$2=AP385),'2024DATA'!$M$38,"")</f>
        <v/>
      </c>
      <c r="AQ421" s="520" t="str">
        <f>IF(AND(_B="B-717",'2024'!$N$4="FO",'2024'!$N$2=AQ385),'2024DATA'!$N$38,"")</f>
        <v/>
      </c>
      <c r="AR421" s="941"/>
      <c r="AS421" s="521" t="s">
        <v>62</v>
      </c>
      <c r="AT421" s="518" t="str">
        <f>IF(AND(_C="B-717",'2024'!$N$4="FO",'2024'!$N$2=AT385),'2024DATA'!$C$38,"")</f>
        <v/>
      </c>
      <c r="AU421" s="518" t="str">
        <f>IF(AND(_C="B-717",'2024'!$N$4="FO",'2024'!$N$2=AU385),'2024DATA'!$D$38,"")</f>
        <v/>
      </c>
      <c r="AV421" s="518" t="str">
        <f>IF(AND(_C="B-717",'2024'!$N$4="FO",'2024'!$N$2=AV385),'2024DATA'!$E$38,"")</f>
        <v/>
      </c>
      <c r="AW421" s="518" t="str">
        <f>IF(AND(_C="B-717",'2024'!$N$4="FO",'2024'!$N$2=AW385),'2024DATA'!$F$38,"")</f>
        <v/>
      </c>
      <c r="AX421" s="518" t="str">
        <f>IF(AND(_C="B-717",'2024'!$N$4="FO",'2024'!$N$2=AX385),'2024DATA'!$G$38,"")</f>
        <v/>
      </c>
      <c r="AY421" s="518" t="str">
        <f>IF(AND(_C="B-717",'2024'!$N$4="FO",'2024'!$N$2=AY385),'2024DATA'!$H$38,"")</f>
        <v/>
      </c>
      <c r="AZ421" s="518" t="str">
        <f>IF(AND(_C="B-717",'2024'!$N$4="FO",'2024'!$N$2=AZ385),'2024DATA'!$I$38,"")</f>
        <v/>
      </c>
      <c r="BA421" s="518" t="str">
        <f>IF(AND(_C="B-717",'2024'!$N$4="FO",'2024'!$N$2=BA385),'2024DATA'!$J$38,"")</f>
        <v/>
      </c>
      <c r="BB421" s="518" t="str">
        <f>IF(AND(_C="B-717",'2024'!$N$4="FO",'2024'!$N$2=BB385),'2024DATA'!$K$38,"")</f>
        <v/>
      </c>
      <c r="BC421" s="518" t="str">
        <f>IF(AND(_C="B-717",'2024'!$N$4="FO",'2024'!$N$2=BC385),'2024DATA'!$L$38,"")</f>
        <v/>
      </c>
      <c r="BD421" s="518" t="str">
        <f>IF(AND(_C="B-717",'2024'!$N$4="FO",'2024'!$N$2=BD385),'2024DATA'!$M$38,"")</f>
        <v/>
      </c>
      <c r="BE421" s="520" t="str">
        <f>IF(AND(_C="B-717",'2024'!$N$4="FO",'2024'!$N$2=BE385),'2024DATA'!$N$38,"")</f>
        <v/>
      </c>
      <c r="BF421" s="941"/>
      <c r="BG421" s="521" t="s">
        <v>62</v>
      </c>
      <c r="BH421" s="518" t="str">
        <f>IF(AND(_D="B-717",'2024'!$N$4="FO",'2024'!$N$2=BH385),'2024DATA'!$C$38,"")</f>
        <v/>
      </c>
      <c r="BI421" s="518" t="str">
        <f>IF(AND(_D="B-717",'2024'!$N$4="FO",'2024'!$N$2=BI385),'2024DATA'!$D$38,"")</f>
        <v/>
      </c>
      <c r="BJ421" s="518" t="str">
        <f>IF(AND(_D="B-717",'2024'!$N$4="FO",'2024'!$N$2=BJ385),'2024DATA'!$E$38,"")</f>
        <v/>
      </c>
      <c r="BK421" s="518" t="str">
        <f>IF(AND(_D="B-717",'2024'!$N$4="FO",'2024'!$N$2=BK385),'2024DATA'!$F$38,"")</f>
        <v/>
      </c>
      <c r="BL421" s="518" t="str">
        <f>IF(AND(_D="B-717",'2024'!$N$4="FO",'2024'!$N$2=BL385),'2024DATA'!$G$38,"")</f>
        <v/>
      </c>
      <c r="BM421" s="518" t="str">
        <f>IF(AND(_D="B-717",'2024'!$N$4="FO",'2024'!$N$2=BM385),'2024DATA'!$H$38,"")</f>
        <v/>
      </c>
      <c r="BN421" s="518" t="str">
        <f>IF(AND(_D="B-717",'2024'!$N$4="FO",'2024'!$N$2=BN385),'2024DATA'!$I$38,"")</f>
        <v/>
      </c>
      <c r="BO421" s="518" t="str">
        <f>IF(AND(_D="B-717",'2024'!$N$4="FO",'2024'!$N$2=BO385),'2024DATA'!$J$38,"")</f>
        <v/>
      </c>
      <c r="BP421" s="518" t="str">
        <f>IF(AND(_D="B-717",'2024'!$N$4="FO",'2024'!$N$2=BP385),'2024DATA'!$K$38,"")</f>
        <v/>
      </c>
      <c r="BQ421" s="518" t="str">
        <f>IF(AND(_D="B-717",'2024'!$N$4="FO",'2024'!$N$2=BQ385),'2024DATA'!$L$38,"")</f>
        <v/>
      </c>
      <c r="BR421" s="518" t="str">
        <f>IF(AND(_D="B-717",'2024'!$N$4="FO",'2024'!$N$2=BR385),'2024DATA'!$M$38,"")</f>
        <v/>
      </c>
      <c r="BS421" s="520" t="str">
        <f>IF(AND(_D="B-717",'2024'!$N$4="FO",'2024'!$N$2=BS385),'2024DATA'!$N$38,"")</f>
        <v/>
      </c>
      <c r="BT421" s="941"/>
      <c r="BU421" s="521" t="s">
        <v>62</v>
      </c>
      <c r="BV421" s="518" t="str">
        <f>IF(AND(_E="B-717",'2024'!$N$4="FO",'2024'!$N$2=BV385),'2024DATA'!$C$38,"")</f>
        <v/>
      </c>
      <c r="BW421" s="518" t="str">
        <f>IF(AND(_E="B-717",'2024'!$N$4="FO",'2024'!$N$2=BW385),'2024DATA'!$D$38,"")</f>
        <v/>
      </c>
      <c r="BX421" s="518" t="str">
        <f>IF(AND(_E="B-717",'2024'!$N$4="FO",'2024'!$N$2=BX385),'2024DATA'!$E$38,"")</f>
        <v/>
      </c>
      <c r="BY421" s="518" t="str">
        <f>IF(AND(_E="B-717",'2024'!$N$4="FO",'2024'!$N$2=BY385),'2024DATA'!$F$38,"")</f>
        <v/>
      </c>
      <c r="BZ421" s="518" t="str">
        <f>IF(AND(_E="B-717",'2024'!$N$4="FO",'2024'!$N$2=BZ385),'2024DATA'!$G$38,"")</f>
        <v/>
      </c>
      <c r="CA421" s="518" t="str">
        <f>IF(AND(_E="B-717",'2024'!$N$4="FO",'2024'!$N$2=CA385),'2024DATA'!$H$38,"")</f>
        <v/>
      </c>
      <c r="CB421" s="518" t="str">
        <f>IF(AND(_E="B-717",'2024'!$N$4="FO",'2024'!$N$2=CB385),'2024DATA'!$I$38,"")</f>
        <v/>
      </c>
      <c r="CC421" s="518" t="str">
        <f>IF(AND(_E="B-717",'2024'!$N$4="FO",'2024'!$N$2=CC385),'2024DATA'!$J$38,"")</f>
        <v/>
      </c>
      <c r="CD421" s="518" t="str">
        <f>IF(AND(_E="B-717",'2024'!$N$4="FO",'2024'!$N$2=CD385),'2024DATA'!$K$38,"")</f>
        <v/>
      </c>
      <c r="CE421" s="518" t="str">
        <f>IF(AND(_E="B-717",'2024'!$N$4="FO",'2024'!$N$2=CE385),'2024DATA'!$L$38,"")</f>
        <v/>
      </c>
      <c r="CF421" s="518" t="str">
        <f>IF(AND(_E="B-717",'2024'!$N$4="FO",'2024'!$N$2=CF385),'2024DATA'!$M$38,"")</f>
        <v/>
      </c>
      <c r="CG421" s="520" t="str">
        <f>IF(AND(_E="B-717",'2024'!$N$4="FO",'2024'!$N$2=CG385),'2024DATA'!$N$38,"")</f>
        <v/>
      </c>
      <c r="CH421" s="941"/>
      <c r="CI421" s="521" t="s">
        <v>62</v>
      </c>
      <c r="CJ421" s="518" t="str">
        <f>IF(AND(_F="B-717",'2024'!$N$4="FO",'2024'!$N$2=CJ385),'2024DATA'!$C$38,"")</f>
        <v/>
      </c>
      <c r="CK421" s="518" t="str">
        <f>IF(AND(_F="B-717",'2024'!$N$4="FO",'2024'!$N$2=CK385),'2024DATA'!$D$38,"")</f>
        <v/>
      </c>
      <c r="CL421" s="518" t="str">
        <f>IF(AND(_F="B-717",'2024'!$N$4="FO",'2024'!$N$2=CL385),'2024DATA'!$E$38,"")</f>
        <v/>
      </c>
      <c r="CM421" s="518" t="str">
        <f>IF(AND(_F="B-717",'2024'!$N$4="FO",'2024'!$N$2=CM385),'2024DATA'!$F$38,"")</f>
        <v/>
      </c>
      <c r="CN421" s="518" t="str">
        <f>IF(AND(_F="B-717",'2024'!$N$4="FO",'2024'!$N$2=CN385),'2024DATA'!$G$38,"")</f>
        <v/>
      </c>
      <c r="CO421" s="518" t="str">
        <f>IF(AND(_F="B-717",'2024'!$N$4="FO",'2024'!$N$2=CO385),'2024DATA'!$H$38,"")</f>
        <v/>
      </c>
      <c r="CP421" s="518" t="str">
        <f>IF(AND(_F="B-717",'2024'!$N$4="FO",'2024'!$N$2=CP385),'2024DATA'!$I$38,"")</f>
        <v/>
      </c>
      <c r="CQ421" s="518" t="str">
        <f>IF(AND(_F="B-717",'2024'!$N$4="FO",'2024'!$N$2=CQ385),'2024DATA'!$J$38,"")</f>
        <v/>
      </c>
      <c r="CR421" s="518" t="str">
        <f>IF(AND(_F="B-717",'2024'!$N$4="FO",'2024'!$N$2=CR385),'2024DATA'!$K$38,"")</f>
        <v/>
      </c>
      <c r="CS421" s="518" t="str">
        <f>IF(AND(_F="B-717",'2024'!$N$4="FO",'2024'!$N$2=CS385),'2024DATA'!$L$38,"")</f>
        <v/>
      </c>
      <c r="CT421" s="518" t="str">
        <f>IF(AND(_F="B-717",'2024'!$N$4="FO",'2024'!$N$2=CT385),'2024DATA'!$M$38,"")</f>
        <v/>
      </c>
      <c r="CU421" s="520" t="str">
        <f>IF(AND(_F="B-717",'2024'!$N$4="FO",'2024'!$N$2=CU385),'2024DATA'!$N$38,"")</f>
        <v/>
      </c>
    </row>
    <row r="422" spans="16:99" x14ac:dyDescent="0.25">
      <c r="P422" s="943" t="s">
        <v>103</v>
      </c>
      <c r="Q422" s="944"/>
      <c r="R422" s="944"/>
      <c r="S422" s="944"/>
      <c r="T422" s="944"/>
      <c r="U422" s="944"/>
      <c r="V422" s="944"/>
      <c r="W422" s="944"/>
      <c r="X422" s="944"/>
      <c r="Y422" s="944"/>
      <c r="Z422" s="944"/>
      <c r="AA422" s="944"/>
      <c r="AB422" s="944"/>
      <c r="AC422" s="945"/>
      <c r="AD422" s="943" t="s">
        <v>104</v>
      </c>
      <c r="AE422" s="944"/>
      <c r="AF422" s="944"/>
      <c r="AG422" s="944"/>
      <c r="AH422" s="944"/>
      <c r="AI422" s="944"/>
      <c r="AJ422" s="944"/>
      <c r="AK422" s="944"/>
      <c r="AL422" s="944"/>
      <c r="AM422" s="944"/>
      <c r="AN422" s="944"/>
      <c r="AO422" s="944"/>
      <c r="AP422" s="944"/>
      <c r="AQ422" s="945"/>
      <c r="AR422" s="943" t="s">
        <v>105</v>
      </c>
      <c r="AS422" s="944"/>
      <c r="AT422" s="944"/>
      <c r="AU422" s="944"/>
      <c r="AV422" s="944"/>
      <c r="AW422" s="944"/>
      <c r="AX422" s="944"/>
      <c r="AY422" s="944"/>
      <c r="AZ422" s="944"/>
      <c r="BA422" s="944"/>
      <c r="BB422" s="944"/>
      <c r="BC422" s="944"/>
      <c r="BD422" s="944"/>
      <c r="BE422" s="945"/>
      <c r="BF422" s="943" t="s">
        <v>106</v>
      </c>
      <c r="BG422" s="944"/>
      <c r="BH422" s="944"/>
      <c r="BI422" s="944"/>
      <c r="BJ422" s="944"/>
      <c r="BK422" s="944"/>
      <c r="BL422" s="944"/>
      <c r="BM422" s="944"/>
      <c r="BN422" s="944"/>
      <c r="BO422" s="944"/>
      <c r="BP422" s="944"/>
      <c r="BQ422" s="944"/>
      <c r="BR422" s="944"/>
      <c r="BS422" s="945"/>
      <c r="BT422" s="943" t="s">
        <v>107</v>
      </c>
      <c r="BU422" s="944"/>
      <c r="BV422" s="944"/>
      <c r="BW422" s="944"/>
      <c r="BX422" s="944"/>
      <c r="BY422" s="944"/>
      <c r="BZ422" s="944"/>
      <c r="CA422" s="944"/>
      <c r="CB422" s="944"/>
      <c r="CC422" s="944"/>
      <c r="CD422" s="944"/>
      <c r="CE422" s="944"/>
      <c r="CF422" s="944"/>
      <c r="CG422" s="945"/>
      <c r="CH422" s="943" t="s">
        <v>108</v>
      </c>
      <c r="CI422" s="944"/>
      <c r="CJ422" s="944"/>
      <c r="CK422" s="944"/>
      <c r="CL422" s="944"/>
      <c r="CM422" s="944"/>
      <c r="CN422" s="944"/>
      <c r="CO422" s="944"/>
      <c r="CP422" s="944"/>
      <c r="CQ422" s="944"/>
      <c r="CR422" s="944"/>
      <c r="CS422" s="944"/>
      <c r="CT422" s="944"/>
      <c r="CU422" s="945"/>
    </row>
    <row r="423" spans="16:99" x14ac:dyDescent="0.25">
      <c r="P423" s="595">
        <v>12</v>
      </c>
      <c r="Q423" s="573">
        <f>SUM(R424:AC459)</f>
        <v>0</v>
      </c>
      <c r="R423" s="3">
        <v>12</v>
      </c>
      <c r="S423" s="3">
        <v>11</v>
      </c>
      <c r="T423" s="3">
        <v>10</v>
      </c>
      <c r="U423" s="3">
        <v>9</v>
      </c>
      <c r="V423" s="3">
        <v>8</v>
      </c>
      <c r="W423" s="3">
        <v>7</v>
      </c>
      <c r="X423" s="3">
        <v>6</v>
      </c>
      <c r="Y423" s="3">
        <v>5</v>
      </c>
      <c r="Z423" s="3">
        <v>4</v>
      </c>
      <c r="AA423" s="3">
        <v>3</v>
      </c>
      <c r="AB423" s="3">
        <v>2</v>
      </c>
      <c r="AC423" s="519">
        <v>1</v>
      </c>
      <c r="AD423" s="573">
        <v>12</v>
      </c>
      <c r="AE423" s="573">
        <f>SUM(AF424:AQ459)</f>
        <v>0</v>
      </c>
      <c r="AF423" s="3">
        <v>12</v>
      </c>
      <c r="AG423" s="3">
        <v>11</v>
      </c>
      <c r="AH423" s="3">
        <v>10</v>
      </c>
      <c r="AI423" s="3">
        <v>9</v>
      </c>
      <c r="AJ423" s="3">
        <v>8</v>
      </c>
      <c r="AK423" s="3">
        <v>7</v>
      </c>
      <c r="AL423" s="3">
        <v>6</v>
      </c>
      <c r="AM423" s="3">
        <v>5</v>
      </c>
      <c r="AN423" s="3">
        <v>4</v>
      </c>
      <c r="AO423" s="3">
        <v>3</v>
      </c>
      <c r="AP423" s="3">
        <v>2</v>
      </c>
      <c r="AQ423" s="519">
        <v>1</v>
      </c>
      <c r="AR423" s="573">
        <v>12</v>
      </c>
      <c r="AS423" s="573">
        <f>SUM(AT424:BE459)</f>
        <v>0</v>
      </c>
      <c r="AT423" s="3">
        <v>12</v>
      </c>
      <c r="AU423" s="3">
        <v>11</v>
      </c>
      <c r="AV423" s="3">
        <v>10</v>
      </c>
      <c r="AW423" s="3">
        <v>9</v>
      </c>
      <c r="AX423" s="3">
        <v>8</v>
      </c>
      <c r="AY423" s="3">
        <v>7</v>
      </c>
      <c r="AZ423" s="3">
        <v>6</v>
      </c>
      <c r="BA423" s="3">
        <v>5</v>
      </c>
      <c r="BB423" s="3">
        <v>4</v>
      </c>
      <c r="BC423" s="3">
        <v>3</v>
      </c>
      <c r="BD423" s="3">
        <v>2</v>
      </c>
      <c r="BE423" s="519">
        <v>1</v>
      </c>
      <c r="BF423" s="573">
        <v>12</v>
      </c>
      <c r="BG423" s="573">
        <f>SUM(BH424:BS459)</f>
        <v>0</v>
      </c>
      <c r="BH423" s="3">
        <v>12</v>
      </c>
      <c r="BI423" s="3">
        <v>11</v>
      </c>
      <c r="BJ423" s="3">
        <v>10</v>
      </c>
      <c r="BK423" s="3">
        <v>9</v>
      </c>
      <c r="BL423" s="3">
        <v>8</v>
      </c>
      <c r="BM423" s="3">
        <v>7</v>
      </c>
      <c r="BN423" s="3">
        <v>6</v>
      </c>
      <c r="BO423" s="3">
        <v>5</v>
      </c>
      <c r="BP423" s="3">
        <v>4</v>
      </c>
      <c r="BQ423" s="3">
        <v>3</v>
      </c>
      <c r="BR423" s="3">
        <v>2</v>
      </c>
      <c r="BS423" s="519">
        <v>1</v>
      </c>
      <c r="BT423" s="573">
        <v>12</v>
      </c>
      <c r="BU423" s="573">
        <f>SUM(BV424:CG459)</f>
        <v>0</v>
      </c>
      <c r="BV423" s="3">
        <v>12</v>
      </c>
      <c r="BW423" s="3">
        <v>11</v>
      </c>
      <c r="BX423" s="3">
        <v>10</v>
      </c>
      <c r="BY423" s="3">
        <v>9</v>
      </c>
      <c r="BZ423" s="3">
        <v>8</v>
      </c>
      <c r="CA423" s="3">
        <v>7</v>
      </c>
      <c r="CB423" s="3">
        <v>6</v>
      </c>
      <c r="CC423" s="3">
        <v>5</v>
      </c>
      <c r="CD423" s="3">
        <v>4</v>
      </c>
      <c r="CE423" s="3">
        <v>3</v>
      </c>
      <c r="CF423" s="3">
        <v>2</v>
      </c>
      <c r="CG423" s="519">
        <v>1</v>
      </c>
      <c r="CH423" s="573">
        <v>12</v>
      </c>
      <c r="CI423" s="573">
        <f>SUM(CJ424:CU459)</f>
        <v>0</v>
      </c>
      <c r="CJ423" s="3">
        <v>12</v>
      </c>
      <c r="CK423" s="3">
        <v>11</v>
      </c>
      <c r="CL423" s="3">
        <v>10</v>
      </c>
      <c r="CM423" s="3">
        <v>9</v>
      </c>
      <c r="CN423" s="3">
        <v>8</v>
      </c>
      <c r="CO423" s="3">
        <v>7</v>
      </c>
      <c r="CP423" s="3">
        <v>6</v>
      </c>
      <c r="CQ423" s="3">
        <v>5</v>
      </c>
      <c r="CR423" s="3">
        <v>4</v>
      </c>
      <c r="CS423" s="3">
        <v>3</v>
      </c>
      <c r="CT423" s="3">
        <v>2</v>
      </c>
      <c r="CU423" s="519">
        <v>1</v>
      </c>
    </row>
    <row r="424" spans="16:99" x14ac:dyDescent="0.25">
      <c r="P424" s="940" t="s">
        <v>39</v>
      </c>
      <c r="Q424" s="13" t="s">
        <v>61</v>
      </c>
      <c r="R424" s="518" t="str">
        <f>IF(AND(_A="A-350",'2024'!$O$4="CA",'2024'!$O$2=R423),'2024DATA'!$C$3,"")</f>
        <v/>
      </c>
      <c r="S424" s="518" t="str">
        <f>IF(AND(_A="A-350",'2024'!$O$4="CA",'2024'!$O$2=S423),'2024DATA'!$D$3,"")</f>
        <v/>
      </c>
      <c r="T424" s="518" t="str">
        <f>IF(AND(_A="A-350",'2024'!$O$4="CA",'2024'!$O$2=T423),'2024DATA'!$E$3,"")</f>
        <v/>
      </c>
      <c r="U424" s="518" t="str">
        <f>IF(AND(_A="A-350",'2024'!$O$4="CA",'2024'!$O$2=U423),'2024DATA'!$F$3,"")</f>
        <v/>
      </c>
      <c r="V424" s="518" t="str">
        <f>IF(AND(_A="A-350",'2024'!$O$4="CA",'2024'!$O$2=V423),'2024DATA'!$G$3,"")</f>
        <v/>
      </c>
      <c r="W424" s="518" t="str">
        <f>IF(AND(_A="A-350",'2024'!$O$4="CA",'2024'!$O$2=W423),'2024DATA'!$H$3,"")</f>
        <v/>
      </c>
      <c r="X424" s="518" t="str">
        <f>IF(AND(_A="A-350",'2024'!$O$4="CA",'2024'!$O$2=X423),'2024DATA'!$I$3,"")</f>
        <v/>
      </c>
      <c r="Y424" s="518" t="str">
        <f>IF(AND(_A="A-350",'2024'!$O$4="CA",'2024'!$O$2=Y423),'2024DATA'!$J$3,"")</f>
        <v/>
      </c>
      <c r="Z424" s="518" t="str">
        <f>IF(AND(_A="A-350",'2024'!$O$4="CA",'2024'!$O$2=Z423),'2024DATA'!$K$3,"")</f>
        <v/>
      </c>
      <c r="AA424" s="518" t="str">
        <f>IF(AND(_A="A-350",'2024'!$O$4="CA",'2024'!$O$2=AA423),'2024DATA'!$L$3,"")</f>
        <v/>
      </c>
      <c r="AB424" s="518" t="str">
        <f>IF(AND(_A="A-350",'2024'!$O$4="CA",'2024'!$O$2=AB423),'2024DATA'!$M$3,"")</f>
        <v/>
      </c>
      <c r="AC424" s="520" t="str">
        <f>IF(AND(_A="A-350",'2024'!$O$4="CA",'2024'!$O$2=AC423),'2024DATA'!$N$3,"")</f>
        <v/>
      </c>
      <c r="AD424" s="940" t="s">
        <v>39</v>
      </c>
      <c r="AE424" s="13" t="s">
        <v>61</v>
      </c>
      <c r="AF424" s="518" t="str">
        <f>IF(AND(_B="A-350",'2024'!$O$4="CA",'2024'!$O$2=AF423),'2024DATA'!$C$3,"")</f>
        <v/>
      </c>
      <c r="AG424" s="518" t="str">
        <f>IF(AND(_B="A-350",'2024'!$O$4="CA",'2024'!$O$2=AG423),'2024DATA'!$D$3,"")</f>
        <v/>
      </c>
      <c r="AH424" s="518" t="str">
        <f>IF(AND(_B="A-350",'2024'!$O$4="CA",'2024'!$O$2=AH423),'2024DATA'!$E$3,"")</f>
        <v/>
      </c>
      <c r="AI424" s="518" t="str">
        <f>IF(AND(_B="A-350",'2024'!$O$4="CA",'2024'!$O$2=AI423),'2024DATA'!$F$3,"")</f>
        <v/>
      </c>
      <c r="AJ424" s="518" t="str">
        <f>IF(AND(_B="A-350",'2024'!$O$4="CA",'2024'!$O$2=AJ423),'2024DATA'!$G$3,"")</f>
        <v/>
      </c>
      <c r="AK424" s="518" t="str">
        <f>IF(AND(_B="A-350",'2024'!$O$4="CA",'2024'!$O$2=AK423),'2024DATA'!$H$3,"")</f>
        <v/>
      </c>
      <c r="AL424" s="518" t="str">
        <f>IF(AND(_B="A-350",'2024'!$O$4="CA",'2024'!$O$2=AL423),'2024DATA'!$I$3,"")</f>
        <v/>
      </c>
      <c r="AM424" s="518" t="str">
        <f>IF(AND(_B="A-350",'2024'!$O$4="CA",'2024'!$O$2=AM423),'2024DATA'!$J$3,"")</f>
        <v/>
      </c>
      <c r="AN424" s="518" t="str">
        <f>IF(AND(_B="A-350",'2024'!$O$4="CA",'2024'!$O$2=AN423),'2024DATA'!$K$3,"")</f>
        <v/>
      </c>
      <c r="AO424" s="518" t="str">
        <f>IF(AND(_B="A-350",'2024'!$O$4="CA",'2024'!$O$2=AO423),'2024DATA'!$L$3,"")</f>
        <v/>
      </c>
      <c r="AP424" s="518" t="str">
        <f>IF(AND(_B="A-350",'2024'!$O$4="CA",'2024'!$O$2=AP423),'2024DATA'!$M$3,"")</f>
        <v/>
      </c>
      <c r="AQ424" s="520" t="str">
        <f>IF(AND(_B="A-350",'2024'!$O$4="CA",'2024'!$O$2=AQ423),'2024DATA'!$N$3,"")</f>
        <v/>
      </c>
      <c r="AR424" s="940" t="s">
        <v>39</v>
      </c>
      <c r="AS424" s="13" t="s">
        <v>61</v>
      </c>
      <c r="AT424" s="518" t="str">
        <f>IF(AND(_C="A-350",'2024'!$O$4="CA",'2024'!$O$2=AT423),'2024DATA'!$C$3,"")</f>
        <v/>
      </c>
      <c r="AU424" s="518" t="str">
        <f>IF(AND(_C="A-350",'2024'!$O$4="CA",'2024'!$O$2=AU423),'2024DATA'!$D$3,"")</f>
        <v/>
      </c>
      <c r="AV424" s="518" t="str">
        <f>IF(AND(_C="A-350",'2024'!$O$4="CA",'2024'!$O$2=AV423),'2024DATA'!$E$3,"")</f>
        <v/>
      </c>
      <c r="AW424" s="518" t="str">
        <f>IF(AND(_C="A-350",'2024'!$O$4="CA",'2024'!$O$2=AW423),'2024DATA'!$F$3,"")</f>
        <v/>
      </c>
      <c r="AX424" s="518" t="str">
        <f>IF(AND(_C="A-350",'2024'!$O$4="CA",'2024'!$O$2=AX423),'2024DATA'!$G$3,"")</f>
        <v/>
      </c>
      <c r="AY424" s="518" t="str">
        <f>IF(AND(_C="A-350",'2024'!$O$4="CA",'2024'!$O$2=AY423),'2024DATA'!$H$3,"")</f>
        <v/>
      </c>
      <c r="AZ424" s="518" t="str">
        <f>IF(AND(_C="A-350",'2024'!$O$4="CA",'2024'!$O$2=AZ423),'2024DATA'!$I$3,"")</f>
        <v/>
      </c>
      <c r="BA424" s="518" t="str">
        <f>IF(AND(_C="A-350",'2024'!$O$4="CA",'2024'!$O$2=BA423),'2024DATA'!$J$3,"")</f>
        <v/>
      </c>
      <c r="BB424" s="518" t="str">
        <f>IF(AND(_C="A-350",'2024'!$O$4="CA",'2024'!$O$2=BB423),'2024DATA'!$K$3,"")</f>
        <v/>
      </c>
      <c r="BC424" s="518" t="str">
        <f>IF(AND(_C="A-350",'2024'!$O$4="CA",'2024'!$O$2=BC423),'2024DATA'!$L$3,"")</f>
        <v/>
      </c>
      <c r="BD424" s="518" t="str">
        <f>IF(AND(_C="A-350",'2024'!$O$4="CA",'2024'!$O$2=BD423),'2024DATA'!$M$3,"")</f>
        <v/>
      </c>
      <c r="BE424" s="520" t="str">
        <f>IF(AND(_C="A-350",'2024'!$O$4="CA",'2024'!$O$2=BE423),'2024DATA'!$N$3,"")</f>
        <v/>
      </c>
      <c r="BF424" s="940" t="s">
        <v>39</v>
      </c>
      <c r="BG424" s="13" t="s">
        <v>61</v>
      </c>
      <c r="BH424" s="518" t="str">
        <f>IF(AND(_D="A-350",'2024'!$O$4="CA",'2024'!$O$2=BH423),'2024DATA'!$C$3,"")</f>
        <v/>
      </c>
      <c r="BI424" s="518" t="str">
        <f>IF(AND(_D="A-350",'2024'!$O$4="CA",'2024'!$O$2=BI423),'2024DATA'!$D$3,"")</f>
        <v/>
      </c>
      <c r="BJ424" s="518" t="str">
        <f>IF(AND(_D="A-350",'2024'!$O$4="CA",'2024'!$O$2=BJ423),'2024DATA'!$E$3,"")</f>
        <v/>
      </c>
      <c r="BK424" s="518" t="str">
        <f>IF(AND(_D="A-350",'2024'!$O$4="CA",'2024'!$O$2=BK423),'2024DATA'!$F$3,"")</f>
        <v/>
      </c>
      <c r="BL424" s="518" t="str">
        <f>IF(AND(_D="A-350",'2024'!$O$4="CA",'2024'!$O$2=BL423),'2024DATA'!$G$3,"")</f>
        <v/>
      </c>
      <c r="BM424" s="518" t="str">
        <f>IF(AND(_D="A-350",'2024'!$O$4="CA",'2024'!$O$2=BM423),'2024DATA'!$H$3,"")</f>
        <v/>
      </c>
      <c r="BN424" s="518" t="str">
        <f>IF(AND(_D="A-350",'2024'!$O$4="CA",'2024'!$O$2=BN423),'2024DATA'!$I$3,"")</f>
        <v/>
      </c>
      <c r="BO424" s="518" t="str">
        <f>IF(AND(_D="A-350",'2024'!$O$4="CA",'2024'!$O$2=BO423),'2024DATA'!$J$3,"")</f>
        <v/>
      </c>
      <c r="BP424" s="518" t="str">
        <f>IF(AND(_D="A-350",'2024'!$O$4="CA",'2024'!$O$2=BP423),'2024DATA'!$K$3,"")</f>
        <v/>
      </c>
      <c r="BQ424" s="518" t="str">
        <f>IF(AND(_D="A-350",'2024'!$O$4="CA",'2024'!$O$2=BQ423),'2024DATA'!$L$3,"")</f>
        <v/>
      </c>
      <c r="BR424" s="518" t="str">
        <f>IF(AND(_D="A-350",'2024'!$O$4="CA",'2024'!$O$2=BR423),'2024DATA'!$M$3,"")</f>
        <v/>
      </c>
      <c r="BS424" s="520" t="str">
        <f>IF(AND(_D="A-350",'2024'!$O$4="CA",'2024'!$O$2=BS423),'2024DATA'!$N$3,"")</f>
        <v/>
      </c>
      <c r="BT424" s="940" t="s">
        <v>39</v>
      </c>
      <c r="BU424" s="13" t="s">
        <v>61</v>
      </c>
      <c r="BV424" s="518" t="str">
        <f>IF(AND(_E="A-350",'2024'!$O$4="CA",'2024'!$O$2=BV423),'2024DATA'!$C$3,"")</f>
        <v/>
      </c>
      <c r="BW424" s="518" t="str">
        <f>IF(AND(_E="A-350",'2024'!$O$4="CA",'2024'!$O$2=BW423),'2024DATA'!$D$3,"")</f>
        <v/>
      </c>
      <c r="BX424" s="518" t="str">
        <f>IF(AND(_E="A-350",'2024'!$O$4="CA",'2024'!$O$2=BX423),'2024DATA'!$E$3,"")</f>
        <v/>
      </c>
      <c r="BY424" s="518" t="str">
        <f>IF(AND(_E="A-350",'2024'!$O$4="CA",'2024'!$O$2=BY423),'2024DATA'!$F$3,"")</f>
        <v/>
      </c>
      <c r="BZ424" s="518" t="str">
        <f>IF(AND(_E="A-350",'2024'!$O$4="CA",'2024'!$O$2=BZ423),'2024DATA'!$G$3,"")</f>
        <v/>
      </c>
      <c r="CA424" s="518" t="str">
        <f>IF(AND(_E="A-350",'2024'!$O$4="CA",'2024'!$O$2=CA423),'2024DATA'!$H$3,"")</f>
        <v/>
      </c>
      <c r="CB424" s="518" t="str">
        <f>IF(AND(_E="A-350",'2024'!$O$4="CA",'2024'!$O$2=CB423),'2024DATA'!$I$3,"")</f>
        <v/>
      </c>
      <c r="CC424" s="518" t="str">
        <f>IF(AND(_E="A-350",'2024'!$O$4="CA",'2024'!$O$2=CC423),'2024DATA'!$J$3,"")</f>
        <v/>
      </c>
      <c r="CD424" s="518" t="str">
        <f>IF(AND(_E="A-350",'2024'!$O$4="CA",'2024'!$O$2=CD423),'2024DATA'!$K$3,"")</f>
        <v/>
      </c>
      <c r="CE424" s="518" t="str">
        <f>IF(AND(_E="A-350",'2024'!$O$4="CA",'2024'!$O$2=CE423),'2024DATA'!$L$3,"")</f>
        <v/>
      </c>
      <c r="CF424" s="518" t="str">
        <f>IF(AND(_E="A-350",'2024'!$O$4="CA",'2024'!$O$2=CF423),'2024DATA'!$M$3,"")</f>
        <v/>
      </c>
      <c r="CG424" s="520" t="str">
        <f>IF(AND(_E="A-350",'2024'!$O$4="CA",'2024'!$O$2=CG423),'2024DATA'!$N$3,"")</f>
        <v/>
      </c>
      <c r="CH424" s="940" t="s">
        <v>39</v>
      </c>
      <c r="CI424" s="13" t="s">
        <v>61</v>
      </c>
      <c r="CJ424" s="518" t="str">
        <f>IF(AND(_F="A-350",'2024'!$O$4="CA",'2024'!$O$2=CJ423),'2024DATA'!$C$3,"")</f>
        <v/>
      </c>
      <c r="CK424" s="518" t="str">
        <f>IF(AND(_F="A-350",'2024'!$O$4="CA",'2024'!$O$2=CK423),'2024DATA'!$D$3,"")</f>
        <v/>
      </c>
      <c r="CL424" s="518" t="str">
        <f>IF(AND(_F="A-350",'2024'!$O$4="CA",'2024'!$O$2=CL423),'2024DATA'!$E$3,"")</f>
        <v/>
      </c>
      <c r="CM424" s="518" t="str">
        <f>IF(AND(_F="A-350",'2024'!$O$4="CA",'2024'!$O$2=CM423),'2024DATA'!$F$3,"")</f>
        <v/>
      </c>
      <c r="CN424" s="518" t="str">
        <f>IF(AND(_F="A-350",'2024'!$O$4="CA",'2024'!$O$2=CN423),'2024DATA'!$G$3,"")</f>
        <v/>
      </c>
      <c r="CO424" s="518" t="str">
        <f>IF(AND(_F="A-350",'2024'!$O$4="CA",'2024'!$O$2=CO423),'2024DATA'!$H$3,"")</f>
        <v/>
      </c>
      <c r="CP424" s="518" t="str">
        <f>IF(AND(_F="A-350",'2024'!$O$4="CA",'2024'!$O$2=CP423),'2024DATA'!$I$3,"")</f>
        <v/>
      </c>
      <c r="CQ424" s="518" t="str">
        <f>IF(AND(_F="A-350",'2024'!$O$4="CA",'2024'!$O$2=CQ423),'2024DATA'!$J$3,"")</f>
        <v/>
      </c>
      <c r="CR424" s="518" t="str">
        <f>IF(AND(_F="A-350",'2024'!$O$4="CA",'2024'!$O$2=CR423),'2024DATA'!$K$3,"")</f>
        <v/>
      </c>
      <c r="CS424" s="518" t="str">
        <f>IF(AND(_F="A-350",'2024'!$O$4="CA",'2024'!$O$2=CS423),'2024DATA'!$L$3,"")</f>
        <v/>
      </c>
      <c r="CT424" s="518" t="str">
        <f>IF(AND(_F="A-350",'2024'!$O$4="CA",'2024'!$O$2=CT423),'2024DATA'!$M$3,"")</f>
        <v/>
      </c>
      <c r="CU424" s="520" t="str">
        <f>IF(AND(_F="A-350",'2024'!$O$4="CA",'2024'!$O$2=CU423),'2024DATA'!$N$3,"")</f>
        <v/>
      </c>
    </row>
    <row r="425" spans="16:99" x14ac:dyDescent="0.25">
      <c r="P425" s="940"/>
      <c r="Q425" s="13" t="s">
        <v>62</v>
      </c>
      <c r="R425" s="518" t="str">
        <f>IF(AND(_A="A-350",'2024'!$O$4="FO",'2024'!$O$2=R423),'2024DATA'!$C$4,"")</f>
        <v/>
      </c>
      <c r="S425" s="518" t="str">
        <f>IF(AND(_A="A-350",'2024'!$O$4="FO",'2024'!$O$2=S423),'2024DATA'!$D$4,"")</f>
        <v/>
      </c>
      <c r="T425" s="518" t="str">
        <f>IF(AND(_A="A-350",'2024'!$O$4="FO",'2024'!$O$2=T423),'2024DATA'!$E$4,"")</f>
        <v/>
      </c>
      <c r="U425" s="518" t="str">
        <f>IF(AND(_A="A-350",'2024'!$O$4="FO",'2024'!$O$2=U423),'2024DATA'!$F$4,"")</f>
        <v/>
      </c>
      <c r="V425" s="518" t="str">
        <f>IF(AND(_A="A-350",'2024'!$O$4="FO",'2024'!$O$2=V423),'2024DATA'!$G$4,"")</f>
        <v/>
      </c>
      <c r="W425" s="518" t="str">
        <f>IF(AND(_A="A-350",'2024'!$O$4="FO",'2024'!$O$2=W423),'2024DATA'!$H$4,"")</f>
        <v/>
      </c>
      <c r="X425" s="518" t="str">
        <f>IF(AND(_A="A-350",'2024'!$O$4="FO",'2024'!$O$2=X423),'2024DATA'!$I$4,"")</f>
        <v/>
      </c>
      <c r="Y425" s="518" t="str">
        <f>IF(AND(_A="A-350",'2024'!$O$4="FO",'2024'!$O$2=Y423),'2024DATA'!$J$4,"")</f>
        <v/>
      </c>
      <c r="Z425" s="518" t="str">
        <f>IF(AND(_A="A-350",'2024'!$O$4="FO",'2024'!$O$2=Z423),'2024DATA'!$K$4,"")</f>
        <v/>
      </c>
      <c r="AA425" s="518" t="str">
        <f>IF(AND(_A="A-350",'2024'!$O$4="FO",'2024'!$O$2=AA423),'2024DATA'!$L$4,"")</f>
        <v/>
      </c>
      <c r="AB425" s="518" t="str">
        <f>IF(AND(_A="A-350",'2024'!$O$4="FO",'2024'!$O$2=AB423),'2024DATA'!$M$4,"")</f>
        <v/>
      </c>
      <c r="AC425" s="520" t="str">
        <f>IF(AND(_A="A-350",'2024'!$O$4="FO",'2024'!$O$2=AC423),'2024DATA'!$N$4,"")</f>
        <v/>
      </c>
      <c r="AD425" s="940"/>
      <c r="AE425" s="13" t="s">
        <v>62</v>
      </c>
      <c r="AF425" s="518" t="str">
        <f>IF(AND(_B="A-350",'2024'!$O$4="FO",'2024'!$O$2=AF423),'2024DATA'!$C$4,"")</f>
        <v/>
      </c>
      <c r="AG425" s="518" t="str">
        <f>IF(AND(_B="A-350",'2024'!$O$4="FO",'2024'!$O$2=AG423),'2024DATA'!$D$4,"")</f>
        <v/>
      </c>
      <c r="AH425" s="518" t="str">
        <f>IF(AND(_B="A-350",'2024'!$O$4="FO",'2024'!$O$2=AH423),'2024DATA'!$E$4,"")</f>
        <v/>
      </c>
      <c r="AI425" s="518" t="str">
        <f>IF(AND(_B="A-350",'2024'!$O$4="FO",'2024'!$O$2=AI423),'2024DATA'!$F$4,"")</f>
        <v/>
      </c>
      <c r="AJ425" s="518" t="str">
        <f>IF(AND(_B="A-350",'2024'!$O$4="FO",'2024'!$O$2=AJ423),'2024DATA'!$G$4,"")</f>
        <v/>
      </c>
      <c r="AK425" s="518" t="str">
        <f>IF(AND(_B="A-350",'2024'!$O$4="FO",'2024'!$O$2=AK423),'2024DATA'!$H$4,"")</f>
        <v/>
      </c>
      <c r="AL425" s="518" t="str">
        <f>IF(AND(_B="A-350",'2024'!$O$4="FO",'2024'!$O$2=AL423),'2024DATA'!$I$4,"")</f>
        <v/>
      </c>
      <c r="AM425" s="518" t="str">
        <f>IF(AND(_B="A-350",'2024'!$O$4="FO",'2024'!$O$2=AM423),'2024DATA'!$J$4,"")</f>
        <v/>
      </c>
      <c r="AN425" s="518" t="str">
        <f>IF(AND(_B="A-350",'2024'!$O$4="FO",'2024'!$O$2=AN423),'2024DATA'!$K$4,"")</f>
        <v/>
      </c>
      <c r="AO425" s="518" t="str">
        <f>IF(AND(_B="A-350",'2024'!$O$4="FO",'2024'!$O$2=AO423),'2024DATA'!$L$4,"")</f>
        <v/>
      </c>
      <c r="AP425" s="518" t="str">
        <f>IF(AND(_B="A-350",'2024'!$O$4="FO",'2024'!$O$2=AP423),'2024DATA'!$M$4,"")</f>
        <v/>
      </c>
      <c r="AQ425" s="520" t="str">
        <f>IF(AND(_B="A-350",'2024'!$O$4="FO",'2024'!$O$2=AQ423),'2024DATA'!$N$4,"")</f>
        <v/>
      </c>
      <c r="AR425" s="940"/>
      <c r="AS425" s="13" t="s">
        <v>62</v>
      </c>
      <c r="AT425" s="518" t="str">
        <f>IF(AND(_C="A-350",'2024'!$O$4="FO",'2024'!$O$2=AT423),'2024DATA'!$C$4,"")</f>
        <v/>
      </c>
      <c r="AU425" s="518" t="str">
        <f>IF(AND(_C="A-350",'2024'!$O$4="FO",'2024'!$O$2=AU423),'2024DATA'!$D$4,"")</f>
        <v/>
      </c>
      <c r="AV425" s="518" t="str">
        <f>IF(AND(_C="A-350",'2024'!$O$4="FO",'2024'!$O$2=AV423),'2024DATA'!$E$4,"")</f>
        <v/>
      </c>
      <c r="AW425" s="518" t="str">
        <f>IF(AND(_C="A-350",'2024'!$O$4="FO",'2024'!$O$2=AW423),'2024DATA'!$F$4,"")</f>
        <v/>
      </c>
      <c r="AX425" s="518" t="str">
        <f>IF(AND(_C="A-350",'2024'!$O$4="FO",'2024'!$O$2=AX423),'2024DATA'!$G$4,"")</f>
        <v/>
      </c>
      <c r="AY425" s="518" t="str">
        <f>IF(AND(_C="A-350",'2024'!$O$4="FO",'2024'!$O$2=AY423),'2024DATA'!$H$4,"")</f>
        <v/>
      </c>
      <c r="AZ425" s="518" t="str">
        <f>IF(AND(_C="A-350",'2024'!$O$4="FO",'2024'!$O$2=AZ423),'2024DATA'!$I$4,"")</f>
        <v/>
      </c>
      <c r="BA425" s="518" t="str">
        <f>IF(AND(_C="A-350",'2024'!$O$4="FO",'2024'!$O$2=BA423),'2024DATA'!$J$4,"")</f>
        <v/>
      </c>
      <c r="BB425" s="518" t="str">
        <f>IF(AND(_C="A-350",'2024'!$O$4="FO",'2024'!$O$2=BB423),'2024DATA'!$K$4,"")</f>
        <v/>
      </c>
      <c r="BC425" s="518" t="str">
        <f>IF(AND(_C="A-350",'2024'!$O$4="FO",'2024'!$O$2=BC423),'2024DATA'!$L$4,"")</f>
        <v/>
      </c>
      <c r="BD425" s="518" t="str">
        <f>IF(AND(_C="A-350",'2024'!$O$4="FO",'2024'!$O$2=BD423),'2024DATA'!$M$4,"")</f>
        <v/>
      </c>
      <c r="BE425" s="520" t="str">
        <f>IF(AND(_C="A-350",'2024'!$O$4="FO",'2024'!$O$2=BE423),'2024DATA'!$N$4,"")</f>
        <v/>
      </c>
      <c r="BF425" s="940"/>
      <c r="BG425" s="13" t="s">
        <v>62</v>
      </c>
      <c r="BH425" s="518" t="str">
        <f>IF(AND(_D="A-350",'2024'!$O$4="FO",'2024'!$O$2=BH423),'2024DATA'!$C$4,"")</f>
        <v/>
      </c>
      <c r="BI425" s="518" t="str">
        <f>IF(AND(_D="A-350",'2024'!$O$4="FO",'2024'!$O$2=BI423),'2024DATA'!$D$4,"")</f>
        <v/>
      </c>
      <c r="BJ425" s="518" t="str">
        <f>IF(AND(_D="A-350",'2024'!$O$4="FO",'2024'!$O$2=BJ423),'2024DATA'!$E$4,"")</f>
        <v/>
      </c>
      <c r="BK425" s="518" t="str">
        <f>IF(AND(_D="A-350",'2024'!$O$4="FO",'2024'!$O$2=BK423),'2024DATA'!$F$4,"")</f>
        <v/>
      </c>
      <c r="BL425" s="518" t="str">
        <f>IF(AND(_D="A-350",'2024'!$O$4="FO",'2024'!$O$2=BL423),'2024DATA'!$G$4,"")</f>
        <v/>
      </c>
      <c r="BM425" s="518" t="str">
        <f>IF(AND(_D="A-350",'2024'!$O$4="FO",'2024'!$O$2=BM423),'2024DATA'!$H$4,"")</f>
        <v/>
      </c>
      <c r="BN425" s="518" t="str">
        <f>IF(AND(_D="A-350",'2024'!$O$4="FO",'2024'!$O$2=BN423),'2024DATA'!$I$4,"")</f>
        <v/>
      </c>
      <c r="BO425" s="518" t="str">
        <f>IF(AND(_D="A-350",'2024'!$O$4="FO",'2024'!$O$2=BO423),'2024DATA'!$J$4,"")</f>
        <v/>
      </c>
      <c r="BP425" s="518" t="str">
        <f>IF(AND(_D="A-350",'2024'!$O$4="FO",'2024'!$O$2=BP423),'2024DATA'!$K$4,"")</f>
        <v/>
      </c>
      <c r="BQ425" s="518" t="str">
        <f>IF(AND(_D="A-350",'2024'!$O$4="FO",'2024'!$O$2=BQ423),'2024DATA'!$L$4,"")</f>
        <v/>
      </c>
      <c r="BR425" s="518" t="str">
        <f>IF(AND(_D="A-350",'2024'!$O$4="FO",'2024'!$O$2=BR423),'2024DATA'!$M$4,"")</f>
        <v/>
      </c>
      <c r="BS425" s="520" t="str">
        <f>IF(AND(_D="A-350",'2024'!$O$4="FO",'2024'!$O$2=BS423),'2024DATA'!$N$4,"")</f>
        <v/>
      </c>
      <c r="BT425" s="940"/>
      <c r="BU425" s="13" t="s">
        <v>62</v>
      </c>
      <c r="BV425" s="518" t="str">
        <f>IF(AND(_E="A-350",'2024'!$O$4="FO",'2024'!$O$2=BV423),'2024DATA'!$C$4,"")</f>
        <v/>
      </c>
      <c r="BW425" s="518" t="str">
        <f>IF(AND(_E="A-350",'2024'!$O$4="FO",'2024'!$O$2=BW423),'2024DATA'!$D$4,"")</f>
        <v/>
      </c>
      <c r="BX425" s="518" t="str">
        <f>IF(AND(_E="A-350",'2024'!$O$4="FO",'2024'!$O$2=BX423),'2024DATA'!$E$4,"")</f>
        <v/>
      </c>
      <c r="BY425" s="518" t="str">
        <f>IF(AND(_E="A-350",'2024'!$O$4="FO",'2024'!$O$2=BY423),'2024DATA'!$F$4,"")</f>
        <v/>
      </c>
      <c r="BZ425" s="518" t="str">
        <f>IF(AND(_E="A-350",'2024'!$O$4="FO",'2024'!$O$2=BZ423),'2024DATA'!$G$4,"")</f>
        <v/>
      </c>
      <c r="CA425" s="518" t="str">
        <f>IF(AND(_E="A-350",'2024'!$O$4="FO",'2024'!$O$2=CA423),'2024DATA'!$H$4,"")</f>
        <v/>
      </c>
      <c r="CB425" s="518" t="str">
        <f>IF(AND(_E="A-350",'2024'!$O$4="FO",'2024'!$O$2=CB423),'2024DATA'!$I$4,"")</f>
        <v/>
      </c>
      <c r="CC425" s="518" t="str">
        <f>IF(AND(_E="A-350",'2024'!$O$4="FO",'2024'!$O$2=CC423),'2024DATA'!$J$4,"")</f>
        <v/>
      </c>
      <c r="CD425" s="518" t="str">
        <f>IF(AND(_E="A-350",'2024'!$O$4="FO",'2024'!$O$2=CD423),'2024DATA'!$K$4,"")</f>
        <v/>
      </c>
      <c r="CE425" s="518" t="str">
        <f>IF(AND(_E="A-350",'2024'!$O$4="FO",'2024'!$O$2=CE423),'2024DATA'!$L$4,"")</f>
        <v/>
      </c>
      <c r="CF425" s="518" t="str">
        <f>IF(AND(_E="A-350",'2024'!$O$4="FO",'2024'!$O$2=CF423),'2024DATA'!$M$4,"")</f>
        <v/>
      </c>
      <c r="CG425" s="520" t="str">
        <f>IF(AND(_E="A-350",'2024'!$O$4="FO",'2024'!$O$2=CG423),'2024DATA'!$N$4,"")</f>
        <v/>
      </c>
      <c r="CH425" s="940"/>
      <c r="CI425" s="13" t="s">
        <v>62</v>
      </c>
      <c r="CJ425" s="518" t="str">
        <f>IF(AND(_F="A-350",'2024'!$O$4="FO",'2024'!$O$2=CJ423),'2024DATA'!$C$4,"")</f>
        <v/>
      </c>
      <c r="CK425" s="518" t="str">
        <f>IF(AND(_F="A-350",'2024'!$O$4="FO",'2024'!$O$2=CK423),'2024DATA'!$D$4,"")</f>
        <v/>
      </c>
      <c r="CL425" s="518" t="str">
        <f>IF(AND(_F="A-350",'2024'!$O$4="FO",'2024'!$O$2=CL423),'2024DATA'!$E$4,"")</f>
        <v/>
      </c>
      <c r="CM425" s="518" t="str">
        <f>IF(AND(_F="A-350",'2024'!$O$4="FO",'2024'!$O$2=CM423),'2024DATA'!$F$4,"")</f>
        <v/>
      </c>
      <c r="CN425" s="518" t="str">
        <f>IF(AND(_F="A-350",'2024'!$O$4="FO",'2024'!$O$2=CN423),'2024DATA'!$G$4,"")</f>
        <v/>
      </c>
      <c r="CO425" s="518" t="str">
        <f>IF(AND(_F="A-350",'2024'!$O$4="FO",'2024'!$O$2=CO423),'2024DATA'!$H$4,"")</f>
        <v/>
      </c>
      <c r="CP425" s="518" t="str">
        <f>IF(AND(_F="A-350",'2024'!$O$4="FO",'2024'!$O$2=CP423),'2024DATA'!$I$4,"")</f>
        <v/>
      </c>
      <c r="CQ425" s="518" t="str">
        <f>IF(AND(_F="A-350",'2024'!$O$4="FO",'2024'!$O$2=CQ423),'2024DATA'!$J$4,"")</f>
        <v/>
      </c>
      <c r="CR425" s="518" t="str">
        <f>IF(AND(_F="A-350",'2024'!$O$4="FO",'2024'!$O$2=CR423),'2024DATA'!$K$4,"")</f>
        <v/>
      </c>
      <c r="CS425" s="518" t="str">
        <f>IF(AND(_F="A-350",'2024'!$O$4="FO",'2024'!$O$2=CS423),'2024DATA'!$L$4,"")</f>
        <v/>
      </c>
      <c r="CT425" s="518" t="str">
        <f>IF(AND(_F="A-350",'2024'!$O$4="FO",'2024'!$O$2=CT423),'2024DATA'!$M$4,"")</f>
        <v/>
      </c>
      <c r="CU425" s="520" t="str">
        <f>IF(AND(_F="A-350",'2024'!$O$4="FO",'2024'!$O$2=CU423),'2024DATA'!$N$4,"")</f>
        <v/>
      </c>
    </row>
    <row r="426" spans="16:99" x14ac:dyDescent="0.25">
      <c r="P426" s="940" t="s">
        <v>65</v>
      </c>
      <c r="Q426" s="13" t="s">
        <v>61</v>
      </c>
      <c r="R426" s="518" t="str">
        <f>IF(AND(_A="A-330-900",'2024'!$O$4="CA",'2024'!$O$2=R423),'2024DATA'!$C$5,"")</f>
        <v/>
      </c>
      <c r="S426" s="518" t="str">
        <f>IF(AND(_A="A-330-900",'2024'!$O$4="CA",'2024'!$O$2=S423),'2024DATA'!$D$5,"")</f>
        <v/>
      </c>
      <c r="T426" s="518" t="str">
        <f>IF(AND(_A="A-330-900",'2024'!$O$4="CA",'2024'!$O$2=T423),'2024DATA'!$E$5,"")</f>
        <v/>
      </c>
      <c r="U426" s="518" t="str">
        <f>IF(AND(_A="A-330-900",'2024'!$O$4="CA",'2024'!$O$2=U423),'2024DATA'!$F$5,"")</f>
        <v/>
      </c>
      <c r="V426" s="518" t="str">
        <f>IF(AND(_A="A-330-900",'2024'!$O$4="CA",'2024'!$O$2=V423),'2024DATA'!$G$5,"")</f>
        <v/>
      </c>
      <c r="W426" s="518" t="str">
        <f>IF(AND(_A="A-330-900",'2024'!$O$4="CA",'2024'!$O$2=W423),'2024DATA'!$H$5,"")</f>
        <v/>
      </c>
      <c r="X426" s="518" t="str">
        <f>IF(AND(_A="A-330-900",'2024'!$O$4="CA",'2024'!$O$2=X423),'2024DATA'!$I$5,"")</f>
        <v/>
      </c>
      <c r="Y426" s="518" t="str">
        <f>IF(AND(_A="A-330-900",'2024'!$O$4="CA",'2024'!$O$2=Y423),'2024DATA'!$J$5,"")</f>
        <v/>
      </c>
      <c r="Z426" s="518" t="str">
        <f>IF(AND(_A="A-330-900",'2024'!$O$4="CA",'2024'!$O$2=Z423),'2024DATA'!$K$5,"")</f>
        <v/>
      </c>
      <c r="AA426" s="518" t="str">
        <f>IF(AND(_A="A-330-900",'2024'!$O$4="CA",'2024'!$O$2=AA423),'2024DATA'!$L$5,"")</f>
        <v/>
      </c>
      <c r="AB426" s="518" t="str">
        <f>IF(AND(_A="A-330-900",'2024'!$O$4="CA",'2024'!$O$2=AB423),'2024DATA'!$M$5,"")</f>
        <v/>
      </c>
      <c r="AC426" s="520" t="str">
        <f>IF(AND(_A="A-330-900",'2024'!$O$4="CA",'2024'!$O$2=AC423),'2024DATA'!$N$5,"")</f>
        <v/>
      </c>
      <c r="AD426" s="940" t="s">
        <v>65</v>
      </c>
      <c r="AE426" s="13" t="s">
        <v>61</v>
      </c>
      <c r="AF426" s="518" t="str">
        <f>IF(AND(_B="A-330-900",'2024'!$O$4="CA",'2024'!$O$2=AF423),'2024DATA'!$C$5,"")</f>
        <v/>
      </c>
      <c r="AG426" s="518" t="str">
        <f>IF(AND(_B="A-330-900",'2024'!$O$4="CA",'2024'!$O$2=AG423),'2024DATA'!$D$5,"")</f>
        <v/>
      </c>
      <c r="AH426" s="518" t="str">
        <f>IF(AND(_B="A-330-900",'2024'!$O$4="CA",'2024'!$O$2=AH423),'2024DATA'!$E$5,"")</f>
        <v/>
      </c>
      <c r="AI426" s="518" t="str">
        <f>IF(AND(_B="A-330-900",'2024'!$O$4="CA",'2024'!$O$2=AI423),'2024DATA'!$F$5,"")</f>
        <v/>
      </c>
      <c r="AJ426" s="518" t="str">
        <f>IF(AND(_B="A-330-900",'2024'!$O$4="CA",'2024'!$O$2=AJ423),'2024DATA'!$G$5,"")</f>
        <v/>
      </c>
      <c r="AK426" s="518" t="str">
        <f>IF(AND(_B="A-330-900",'2024'!$O$4="CA",'2024'!$O$2=AK423),'2024DATA'!$H$5,"")</f>
        <v/>
      </c>
      <c r="AL426" s="518" t="str">
        <f>IF(AND(_B="A-330-900",'2024'!$O$4="CA",'2024'!$O$2=AL423),'2024DATA'!$I$5,"")</f>
        <v/>
      </c>
      <c r="AM426" s="518" t="str">
        <f>IF(AND(_B="A-330-900",'2024'!$O$4="CA",'2024'!$O$2=AM423),'2024DATA'!$J$5,"")</f>
        <v/>
      </c>
      <c r="AN426" s="518" t="str">
        <f>IF(AND(_B="A-330-900",'2024'!$O$4="CA",'2024'!$O$2=AN423),'2024DATA'!$K$5,"")</f>
        <v/>
      </c>
      <c r="AO426" s="518" t="str">
        <f>IF(AND(_B="A-330-900",'2024'!$O$4="CA",'2024'!$O$2=AO423),'2024DATA'!$L$5,"")</f>
        <v/>
      </c>
      <c r="AP426" s="518" t="str">
        <f>IF(AND(_B="A-330-900",'2024'!$O$4="CA",'2024'!$O$2=AP423),'2024DATA'!$M$5,"")</f>
        <v/>
      </c>
      <c r="AQ426" s="520" t="str">
        <f>IF(AND(_B="A-330-900",'2024'!$O$4="CA",'2024'!$O$2=AQ423),'2024DATA'!$N$5,"")</f>
        <v/>
      </c>
      <c r="AR426" s="940" t="s">
        <v>65</v>
      </c>
      <c r="AS426" s="13" t="s">
        <v>61</v>
      </c>
      <c r="AT426" s="518" t="str">
        <f>IF(AND(_C="A-330-900",'2024'!$O$4="CA",'2024'!$O$2=AT423),'2024DATA'!$C$5,"")</f>
        <v/>
      </c>
      <c r="AU426" s="518" t="str">
        <f>IF(AND(_C="A-330-900",'2024'!$O$4="CA",'2024'!$O$2=AU423),'2024DATA'!$D$5,"")</f>
        <v/>
      </c>
      <c r="AV426" s="518" t="str">
        <f>IF(AND(_C="A-330-900",'2024'!$O$4="CA",'2024'!$O$2=AV423),'2024DATA'!$E$5,"")</f>
        <v/>
      </c>
      <c r="AW426" s="518" t="str">
        <f>IF(AND(_C="A-330-900",'2024'!$O$4="CA",'2024'!$O$2=AW423),'2024DATA'!$F$5,"")</f>
        <v/>
      </c>
      <c r="AX426" s="518" t="str">
        <f>IF(AND(_C="A-330-900",'2024'!$O$4="CA",'2024'!$O$2=AX423),'2024DATA'!$G$5,"")</f>
        <v/>
      </c>
      <c r="AY426" s="518" t="str">
        <f>IF(AND(_C="A-330-900",'2024'!$O$4="CA",'2024'!$O$2=AY423),'2024DATA'!$H$5,"")</f>
        <v/>
      </c>
      <c r="AZ426" s="518" t="str">
        <f>IF(AND(_C="A-330-900",'2024'!$O$4="CA",'2024'!$O$2=AZ423),'2024DATA'!$I$5,"")</f>
        <v/>
      </c>
      <c r="BA426" s="518" t="str">
        <f>IF(AND(_C="A-330-900",'2024'!$O$4="CA",'2024'!$O$2=BA423),'2024DATA'!$J$5,"")</f>
        <v/>
      </c>
      <c r="BB426" s="518" t="str">
        <f>IF(AND(_C="A-330-900",'2024'!$O$4="CA",'2024'!$O$2=BB423),'2024DATA'!$K$5,"")</f>
        <v/>
      </c>
      <c r="BC426" s="518" t="str">
        <f>IF(AND(_C="A-330-900",'2024'!$O$4="CA",'2024'!$O$2=BC423),'2024DATA'!$L$5,"")</f>
        <v/>
      </c>
      <c r="BD426" s="518" t="str">
        <f>IF(AND(_C="A-330-900",'2024'!$O$4="CA",'2024'!$O$2=BD423),'2024DATA'!$M$5,"")</f>
        <v/>
      </c>
      <c r="BE426" s="520" t="str">
        <f>IF(AND(_C="A-330-900",'2024'!$O$4="CA",'2024'!$O$2=BE423),'2024DATA'!$N$5,"")</f>
        <v/>
      </c>
      <c r="BF426" s="940" t="s">
        <v>65</v>
      </c>
      <c r="BG426" s="13" t="s">
        <v>61</v>
      </c>
      <c r="BH426" s="518" t="str">
        <f>IF(AND(_D="A-330-900",'2024'!$O$4="CA",'2024'!$O$2=BH423),'2024DATA'!$C$5,"")</f>
        <v/>
      </c>
      <c r="BI426" s="518" t="str">
        <f>IF(AND(_D="A-330-900",'2024'!$O$4="CA",'2024'!$O$2=BI423),'2024DATA'!$D$5,"")</f>
        <v/>
      </c>
      <c r="BJ426" s="518" t="str">
        <f>IF(AND(_D="A-330-900",'2024'!$O$4="CA",'2024'!$O$2=BJ423),'2024DATA'!$E$5,"")</f>
        <v/>
      </c>
      <c r="BK426" s="518" t="str">
        <f>IF(AND(_D="A-330-900",'2024'!$O$4="CA",'2024'!$O$2=BK423),'2024DATA'!$F$5,"")</f>
        <v/>
      </c>
      <c r="BL426" s="518" t="str">
        <f>IF(AND(_D="A-330-900",'2024'!$O$4="CA",'2024'!$O$2=BL423),'2024DATA'!$G$5,"")</f>
        <v/>
      </c>
      <c r="BM426" s="518" t="str">
        <f>IF(AND(_D="A-330-900",'2024'!$O$4="CA",'2024'!$O$2=BM423),'2024DATA'!$H$5,"")</f>
        <v/>
      </c>
      <c r="BN426" s="518" t="str">
        <f>IF(AND(_D="A-330-900",'2024'!$O$4="CA",'2024'!$O$2=BN423),'2024DATA'!$I$5,"")</f>
        <v/>
      </c>
      <c r="BO426" s="518" t="str">
        <f>IF(AND(_D="A-330-900",'2024'!$O$4="CA",'2024'!$O$2=BO423),'2024DATA'!$J$5,"")</f>
        <v/>
      </c>
      <c r="BP426" s="518" t="str">
        <f>IF(AND(_D="A-330-900",'2024'!$O$4="CA",'2024'!$O$2=BP423),'2024DATA'!$K$5,"")</f>
        <v/>
      </c>
      <c r="BQ426" s="518" t="str">
        <f>IF(AND(_D="A-330-900",'2024'!$O$4="CA",'2024'!$O$2=BQ423),'2024DATA'!$L$5,"")</f>
        <v/>
      </c>
      <c r="BR426" s="518" t="str">
        <f>IF(AND(_D="A-330-900",'2024'!$O$4="CA",'2024'!$O$2=BR423),'2024DATA'!$M$5,"")</f>
        <v/>
      </c>
      <c r="BS426" s="520" t="str">
        <f>IF(AND(_D="A-330-900",'2024'!$O$4="CA",'2024'!$O$2=BS423),'2024DATA'!$N$5,"")</f>
        <v/>
      </c>
      <c r="BT426" s="940" t="s">
        <v>65</v>
      </c>
      <c r="BU426" s="13" t="s">
        <v>61</v>
      </c>
      <c r="BV426" s="518" t="str">
        <f>IF(AND(_E="A-330-900",'2024'!$O$4="CA",'2024'!$O$2=BV423),'2024DATA'!$C$5,"")</f>
        <v/>
      </c>
      <c r="BW426" s="518" t="str">
        <f>IF(AND(_E="A-330-900",'2024'!$O$4="CA",'2024'!$O$2=BW423),'2024DATA'!$D$5,"")</f>
        <v/>
      </c>
      <c r="BX426" s="518" t="str">
        <f>IF(AND(_E="A-330-900",'2024'!$O$4="CA",'2024'!$O$2=BX423),'2024DATA'!$E$5,"")</f>
        <v/>
      </c>
      <c r="BY426" s="518" t="str">
        <f>IF(AND(_E="A-330-900",'2024'!$O$4="CA",'2024'!$O$2=BY423),'2024DATA'!$F$5,"")</f>
        <v/>
      </c>
      <c r="BZ426" s="518" t="str">
        <f>IF(AND(_E="A-330-900",'2024'!$O$4="CA",'2024'!$O$2=BZ423),'2024DATA'!$G$5,"")</f>
        <v/>
      </c>
      <c r="CA426" s="518" t="str">
        <f>IF(AND(_E="A-330-900",'2024'!$O$4="CA",'2024'!$O$2=CA423),'2024DATA'!$H$5,"")</f>
        <v/>
      </c>
      <c r="CB426" s="518" t="str">
        <f>IF(AND(_E="A-330-900",'2024'!$O$4="CA",'2024'!$O$2=CB423),'2024DATA'!$I$5,"")</f>
        <v/>
      </c>
      <c r="CC426" s="518" t="str">
        <f>IF(AND(_E="A-330-900",'2024'!$O$4="CA",'2024'!$O$2=CC423),'2024DATA'!$J$5,"")</f>
        <v/>
      </c>
      <c r="CD426" s="518" t="str">
        <f>IF(AND(_E="A-330-900",'2024'!$O$4="CA",'2024'!$O$2=CD423),'2024DATA'!$K$5,"")</f>
        <v/>
      </c>
      <c r="CE426" s="518" t="str">
        <f>IF(AND(_E="A-330-900",'2024'!$O$4="CA",'2024'!$O$2=CE423),'2024DATA'!$L$5,"")</f>
        <v/>
      </c>
      <c r="CF426" s="518" t="str">
        <f>IF(AND(_E="A-330-900",'2024'!$O$4="CA",'2024'!$O$2=CF423),'2024DATA'!$M$5,"")</f>
        <v/>
      </c>
      <c r="CG426" s="520" t="str">
        <f>IF(AND(_E="A-330-900",'2024'!$O$4="CA",'2024'!$O$2=CG423),'2024DATA'!$N$5,"")</f>
        <v/>
      </c>
      <c r="CH426" s="940" t="s">
        <v>65</v>
      </c>
      <c r="CI426" s="13" t="s">
        <v>61</v>
      </c>
      <c r="CJ426" s="518" t="str">
        <f>IF(AND(_F="A-330-900",'2024'!$O$4="CA",'2024'!$O$2=CJ423),'2024DATA'!$C$5,"")</f>
        <v/>
      </c>
      <c r="CK426" s="518" t="str">
        <f>IF(AND(_F="A-330-900",'2024'!$O$4="CA",'2024'!$O$2=CK423),'2024DATA'!$D$5,"")</f>
        <v/>
      </c>
      <c r="CL426" s="518" t="str">
        <f>IF(AND(_F="A-330-900",'2024'!$O$4="CA",'2024'!$O$2=CL423),'2024DATA'!$E$5,"")</f>
        <v/>
      </c>
      <c r="CM426" s="518" t="str">
        <f>IF(AND(_F="A-330-900",'2024'!$O$4="CA",'2024'!$O$2=CM423),'2024DATA'!$F$5,"")</f>
        <v/>
      </c>
      <c r="CN426" s="518" t="str">
        <f>IF(AND(_F="A-330-900",'2024'!$O$4="CA",'2024'!$O$2=CN423),'2024DATA'!$G$5,"")</f>
        <v/>
      </c>
      <c r="CO426" s="518" t="str">
        <f>IF(AND(_F="A-330-900",'2024'!$O$4="CA",'2024'!$O$2=CO423),'2024DATA'!$H$5,"")</f>
        <v/>
      </c>
      <c r="CP426" s="518" t="str">
        <f>IF(AND(_F="A-330-900",'2024'!$O$4="CA",'2024'!$O$2=CP423),'2024DATA'!$I$5,"")</f>
        <v/>
      </c>
      <c r="CQ426" s="518" t="str">
        <f>IF(AND(_F="A-330-900",'2024'!$O$4="CA",'2024'!$O$2=CQ423),'2024DATA'!$J$5,"")</f>
        <v/>
      </c>
      <c r="CR426" s="518" t="str">
        <f>IF(AND(_F="A-330-900",'2024'!$O$4="CA",'2024'!$O$2=CR423),'2024DATA'!$K$5,"")</f>
        <v/>
      </c>
      <c r="CS426" s="518" t="str">
        <f>IF(AND(_F="A-330-900",'2024'!$O$4="CA",'2024'!$O$2=CS423),'2024DATA'!$L$5,"")</f>
        <v/>
      </c>
      <c r="CT426" s="518" t="str">
        <f>IF(AND(_F="A-330-900",'2024'!$O$4="CA",'2024'!$O$2=CT423),'2024DATA'!$M$5,"")</f>
        <v/>
      </c>
      <c r="CU426" s="520" t="str">
        <f>IF(AND(_F="A-330-900",'2024'!$O$4="CA",'2024'!$O$2=CU423),'2024DATA'!$N$5,"")</f>
        <v/>
      </c>
    </row>
    <row r="427" spans="16:99" x14ac:dyDescent="0.25">
      <c r="P427" s="940"/>
      <c r="Q427" s="13" t="s">
        <v>62</v>
      </c>
      <c r="R427" s="518" t="str">
        <f>IF(AND(_A="A-330-900",'2024'!$O$4="FO",'2024'!$O$2=R423),'2024DATA'!$C$6,"")</f>
        <v/>
      </c>
      <c r="S427" s="518" t="str">
        <f>IF(AND(_A="A-330-900",'2024'!$O$4="FO",'2024'!$O$2=S423),'2024DATA'!$D$6,"")</f>
        <v/>
      </c>
      <c r="T427" s="518" t="str">
        <f>IF(AND(_A="A-330-900",'2024'!$O$4="FO",'2024'!$O$2=T423),'2024DATA'!$E$6,"")</f>
        <v/>
      </c>
      <c r="U427" s="518" t="str">
        <f>IF(AND(_A="A-330-900",'2024'!$O$4="FO",'2024'!$O$2=U423),'2024DATA'!$F$6,"")</f>
        <v/>
      </c>
      <c r="V427" s="518" t="str">
        <f>IF(AND(_A="A-330-900",'2024'!$O$4="FO",'2024'!$O$2=V423),'2024DATA'!$G$6,"")</f>
        <v/>
      </c>
      <c r="W427" s="518" t="str">
        <f>IF(AND(_A="A-330-900",'2024'!$O$4="FO",'2024'!$O$2=W423),'2024DATA'!$H$6,"")</f>
        <v/>
      </c>
      <c r="X427" s="518" t="str">
        <f>IF(AND(_A="A-330-900",'2024'!$O$4="FO",'2024'!$O$2=X423),'2024DATA'!$I$6,"")</f>
        <v/>
      </c>
      <c r="Y427" s="518" t="str">
        <f>IF(AND(_A="A-330-900",'2024'!$O$4="FO",'2024'!$O$2=Y423),'2024DATA'!$J$6,"")</f>
        <v/>
      </c>
      <c r="Z427" s="518" t="str">
        <f>IF(AND(_A="A-330-900",'2024'!$O$4="FO",'2024'!$O$2=Z423),'2024DATA'!$K$6,"")</f>
        <v/>
      </c>
      <c r="AA427" s="518" t="str">
        <f>IF(AND(_A="A-330-900",'2024'!$O$4="FO",'2024'!$O$2=AA423),'2024DATA'!$L$6,"")</f>
        <v/>
      </c>
      <c r="AB427" s="518" t="str">
        <f>IF(AND(_A="A-330-900",'2024'!$O$4="FO",'2024'!$O$2=AB423),'2024DATA'!$M$6,"")</f>
        <v/>
      </c>
      <c r="AC427" s="520" t="str">
        <f>IF(AND(_A="A-330-900",'2024'!$O$4="FO",'2024'!$O$2=AC423),'2024DATA'!$N$6,"")</f>
        <v/>
      </c>
      <c r="AD427" s="940"/>
      <c r="AE427" s="13" t="s">
        <v>62</v>
      </c>
      <c r="AF427" s="518" t="str">
        <f>IF(AND(_B="A-330-900",'2024'!$O$4="FO",'2024'!$O$2=AF423),'2024DATA'!$C$6,"")</f>
        <v/>
      </c>
      <c r="AG427" s="518" t="str">
        <f>IF(AND(_B="A-330-900",'2024'!$O$4="FO",'2024'!$O$2=AG423),'2024DATA'!$D$6,"")</f>
        <v/>
      </c>
      <c r="AH427" s="518" t="str">
        <f>IF(AND(_B="A-330-900",'2024'!$O$4="FO",'2024'!$O$2=AH423),'2024DATA'!$E$6,"")</f>
        <v/>
      </c>
      <c r="AI427" s="518" t="str">
        <f>IF(AND(_B="A-330-900",'2024'!$O$4="FO",'2024'!$O$2=AI423),'2024DATA'!$F$6,"")</f>
        <v/>
      </c>
      <c r="AJ427" s="518" t="str">
        <f>IF(AND(_B="A-330-900",'2024'!$O$4="FO",'2024'!$O$2=AJ423),'2024DATA'!$G$6,"")</f>
        <v/>
      </c>
      <c r="AK427" s="518" t="str">
        <f>IF(AND(_B="A-330-900",'2024'!$O$4="FO",'2024'!$O$2=AK423),'2024DATA'!$H$6,"")</f>
        <v/>
      </c>
      <c r="AL427" s="518" t="str">
        <f>IF(AND(_B="A-330-900",'2024'!$O$4="FO",'2024'!$O$2=AL423),'2024DATA'!$I$6,"")</f>
        <v/>
      </c>
      <c r="AM427" s="518" t="str">
        <f>IF(AND(_B="A-330-900",'2024'!$O$4="FO",'2024'!$O$2=AM423),'2024DATA'!$J$6,"")</f>
        <v/>
      </c>
      <c r="AN427" s="518" t="str">
        <f>IF(AND(_B="A-330-900",'2024'!$O$4="FO",'2024'!$O$2=AN423),'2024DATA'!$K$6,"")</f>
        <v/>
      </c>
      <c r="AO427" s="518" t="str">
        <f>IF(AND(_B="A-330-900",'2024'!$O$4="FO",'2024'!$O$2=AO423),'2024DATA'!$L$6,"")</f>
        <v/>
      </c>
      <c r="AP427" s="518" t="str">
        <f>IF(AND(_B="A-330-900",'2024'!$O$4="FO",'2024'!$O$2=AP423),'2024DATA'!$M$6,"")</f>
        <v/>
      </c>
      <c r="AQ427" s="520" t="str">
        <f>IF(AND(_B="A-330-900",'2024'!$O$4="FO",'2024'!$O$2=AQ423),'2024DATA'!$N$6,"")</f>
        <v/>
      </c>
      <c r="AR427" s="940"/>
      <c r="AS427" s="13" t="s">
        <v>62</v>
      </c>
      <c r="AT427" s="518" t="str">
        <f>IF(AND(_C="A-330-900",'2024'!$O$4="FO",'2024'!$O$2=AT423),'2024DATA'!$C$6,"")</f>
        <v/>
      </c>
      <c r="AU427" s="518" t="str">
        <f>IF(AND(_C="A-330-900",'2024'!$O$4="FO",'2024'!$O$2=AU423),'2024DATA'!$D$6,"")</f>
        <v/>
      </c>
      <c r="AV427" s="518" t="str">
        <f>IF(AND(_C="A-330-900",'2024'!$O$4="FO",'2024'!$O$2=AV423),'2024DATA'!$E$6,"")</f>
        <v/>
      </c>
      <c r="AW427" s="518" t="str">
        <f>IF(AND(_C="A-330-900",'2024'!$O$4="FO",'2024'!$O$2=AW423),'2024DATA'!$F$6,"")</f>
        <v/>
      </c>
      <c r="AX427" s="518" t="str">
        <f>IF(AND(_C="A-330-900",'2024'!$O$4="FO",'2024'!$O$2=AX423),'2024DATA'!$G$6,"")</f>
        <v/>
      </c>
      <c r="AY427" s="518" t="str">
        <f>IF(AND(_C="A-330-900",'2024'!$O$4="FO",'2024'!$O$2=AY423),'2024DATA'!$H$6,"")</f>
        <v/>
      </c>
      <c r="AZ427" s="518" t="str">
        <f>IF(AND(_C="A-330-900",'2024'!$O$4="FO",'2024'!$O$2=AZ423),'2024DATA'!$I$6,"")</f>
        <v/>
      </c>
      <c r="BA427" s="518" t="str">
        <f>IF(AND(_C="A-330-900",'2024'!$O$4="FO",'2024'!$O$2=BA423),'2024DATA'!$J$6,"")</f>
        <v/>
      </c>
      <c r="BB427" s="518" t="str">
        <f>IF(AND(_C="A-330-900",'2024'!$O$4="FO",'2024'!$O$2=BB423),'2024DATA'!$K$6,"")</f>
        <v/>
      </c>
      <c r="BC427" s="518" t="str">
        <f>IF(AND(_C="A-330-900",'2024'!$O$4="FO",'2024'!$O$2=BC423),'2024DATA'!$L$6,"")</f>
        <v/>
      </c>
      <c r="BD427" s="518" t="str">
        <f>IF(AND(_C="A-330-900",'2024'!$O$4="FO",'2024'!$O$2=BD423),'2024DATA'!$M$6,"")</f>
        <v/>
      </c>
      <c r="BE427" s="520" t="str">
        <f>IF(AND(_C="A-330-900",'2024'!$O$4="FO",'2024'!$O$2=BE423),'2024DATA'!$N$6,"")</f>
        <v/>
      </c>
      <c r="BF427" s="940"/>
      <c r="BG427" s="13" t="s">
        <v>62</v>
      </c>
      <c r="BH427" s="518" t="str">
        <f>IF(AND(_D="A-330-900",'2024'!$O$4="FO",'2024'!$O$2=BH423),'2024DATA'!$C$6,"")</f>
        <v/>
      </c>
      <c r="BI427" s="518" t="str">
        <f>IF(AND(_D="A-330-900",'2024'!$O$4="FO",'2024'!$O$2=BI423),'2024DATA'!$D$6,"")</f>
        <v/>
      </c>
      <c r="BJ427" s="518" t="str">
        <f>IF(AND(_D="A-330-900",'2024'!$O$4="FO",'2024'!$O$2=BJ423),'2024DATA'!$E$6,"")</f>
        <v/>
      </c>
      <c r="BK427" s="518" t="str">
        <f>IF(AND(_D="A-330-900",'2024'!$O$4="FO",'2024'!$O$2=BK423),'2024DATA'!$F$6,"")</f>
        <v/>
      </c>
      <c r="BL427" s="518" t="str">
        <f>IF(AND(_D="A-330-900",'2024'!$O$4="FO",'2024'!$O$2=BL423),'2024DATA'!$G$6,"")</f>
        <v/>
      </c>
      <c r="BM427" s="518" t="str">
        <f>IF(AND(_D="A-330-900",'2024'!$O$4="FO",'2024'!$O$2=BM423),'2024DATA'!$H$6,"")</f>
        <v/>
      </c>
      <c r="BN427" s="518" t="str">
        <f>IF(AND(_D="A-330-900",'2024'!$O$4="FO",'2024'!$O$2=BN423),'2024DATA'!$I$6,"")</f>
        <v/>
      </c>
      <c r="BO427" s="518" t="str">
        <f>IF(AND(_D="A-330-900",'2024'!$O$4="FO",'2024'!$O$2=BO423),'2024DATA'!$J$6,"")</f>
        <v/>
      </c>
      <c r="BP427" s="518" t="str">
        <f>IF(AND(_D="A-330-900",'2024'!$O$4="FO",'2024'!$O$2=BP423),'2024DATA'!$K$6,"")</f>
        <v/>
      </c>
      <c r="BQ427" s="518" t="str">
        <f>IF(AND(_D="A-330-900",'2024'!$O$4="FO",'2024'!$O$2=BQ423),'2024DATA'!$L$6,"")</f>
        <v/>
      </c>
      <c r="BR427" s="518" t="str">
        <f>IF(AND(_D="A-330-900",'2024'!$O$4="FO",'2024'!$O$2=BR423),'2024DATA'!$M$6,"")</f>
        <v/>
      </c>
      <c r="BS427" s="520" t="str">
        <f>IF(AND(_D="A-330-900",'2024'!$O$4="FO",'2024'!$O$2=BS423),'2024DATA'!$N$6,"")</f>
        <v/>
      </c>
      <c r="BT427" s="940"/>
      <c r="BU427" s="13" t="s">
        <v>62</v>
      </c>
      <c r="BV427" s="518" t="str">
        <f>IF(AND(_E="A-330-900",'2024'!$O$4="FO",'2024'!$O$2=BV423),'2024DATA'!$C$6,"")</f>
        <v/>
      </c>
      <c r="BW427" s="518" t="str">
        <f>IF(AND(_E="A-330-900",'2024'!$O$4="FO",'2024'!$O$2=BW423),'2024DATA'!$D$6,"")</f>
        <v/>
      </c>
      <c r="BX427" s="518" t="str">
        <f>IF(AND(_E="A-330-900",'2024'!$O$4="FO",'2024'!$O$2=BX423),'2024DATA'!$E$6,"")</f>
        <v/>
      </c>
      <c r="BY427" s="518" t="str">
        <f>IF(AND(_E="A-330-900",'2024'!$O$4="FO",'2024'!$O$2=BY423),'2024DATA'!$F$6,"")</f>
        <v/>
      </c>
      <c r="BZ427" s="518" t="str">
        <f>IF(AND(_E="A-330-900",'2024'!$O$4="FO",'2024'!$O$2=BZ423),'2024DATA'!$G$6,"")</f>
        <v/>
      </c>
      <c r="CA427" s="518" t="str">
        <f>IF(AND(_E="A-330-900",'2024'!$O$4="FO",'2024'!$O$2=CA423),'2024DATA'!$H$6,"")</f>
        <v/>
      </c>
      <c r="CB427" s="518" t="str">
        <f>IF(AND(_E="A-330-900",'2024'!$O$4="FO",'2024'!$O$2=CB423),'2024DATA'!$I$6,"")</f>
        <v/>
      </c>
      <c r="CC427" s="518" t="str">
        <f>IF(AND(_E="A-330-900",'2024'!$O$4="FO",'2024'!$O$2=CC423),'2024DATA'!$J$6,"")</f>
        <v/>
      </c>
      <c r="CD427" s="518" t="str">
        <f>IF(AND(_E="A-330-900",'2024'!$O$4="FO",'2024'!$O$2=CD423),'2024DATA'!$K$6,"")</f>
        <v/>
      </c>
      <c r="CE427" s="518" t="str">
        <f>IF(AND(_E="A-330-900",'2024'!$O$4="FO",'2024'!$O$2=CE423),'2024DATA'!$L$6,"")</f>
        <v/>
      </c>
      <c r="CF427" s="518" t="str">
        <f>IF(AND(_E="A-330-900",'2024'!$O$4="FO",'2024'!$O$2=CF423),'2024DATA'!$M$6,"")</f>
        <v/>
      </c>
      <c r="CG427" s="520" t="str">
        <f>IF(AND(_E="A-330-900",'2024'!$O$4="FO",'2024'!$O$2=CG423),'2024DATA'!$N$6,"")</f>
        <v/>
      </c>
      <c r="CH427" s="940"/>
      <c r="CI427" s="13" t="s">
        <v>62</v>
      </c>
      <c r="CJ427" s="518" t="str">
        <f>IF(AND(_F="A-330-900",'2024'!$O$4="FO",'2024'!$O$2=CJ423),'2024DATA'!$C$6,"")</f>
        <v/>
      </c>
      <c r="CK427" s="518" t="str">
        <f>IF(AND(_F="A-330-900",'2024'!$O$4="FO",'2024'!$O$2=CK423),'2024DATA'!$D$6,"")</f>
        <v/>
      </c>
      <c r="CL427" s="518" t="str">
        <f>IF(AND(_F="A-330-900",'2024'!$O$4="FO",'2024'!$O$2=CL423),'2024DATA'!$E$6,"")</f>
        <v/>
      </c>
      <c r="CM427" s="518" t="str">
        <f>IF(AND(_F="A-330-900",'2024'!$O$4="FO",'2024'!$O$2=CM423),'2024DATA'!$F$6,"")</f>
        <v/>
      </c>
      <c r="CN427" s="518" t="str">
        <f>IF(AND(_F="A-330-900",'2024'!$O$4="FO",'2024'!$O$2=CN423),'2024DATA'!$G$6,"")</f>
        <v/>
      </c>
      <c r="CO427" s="518" t="str">
        <f>IF(AND(_F="A-330-900",'2024'!$O$4="FO",'2024'!$O$2=CO423),'2024DATA'!$H$6,"")</f>
        <v/>
      </c>
      <c r="CP427" s="518" t="str">
        <f>IF(AND(_F="A-330-900",'2024'!$O$4="FO",'2024'!$O$2=CP423),'2024DATA'!$I$6,"")</f>
        <v/>
      </c>
      <c r="CQ427" s="518" t="str">
        <f>IF(AND(_F="A-330-900",'2024'!$O$4="FO",'2024'!$O$2=CQ423),'2024DATA'!$J$6,"")</f>
        <v/>
      </c>
      <c r="CR427" s="518" t="str">
        <f>IF(AND(_F="A-330-900",'2024'!$O$4="FO",'2024'!$O$2=CR423),'2024DATA'!$K$6,"")</f>
        <v/>
      </c>
      <c r="CS427" s="518" t="str">
        <f>IF(AND(_F="A-330-900",'2024'!$O$4="FO",'2024'!$O$2=CS423),'2024DATA'!$L$6,"")</f>
        <v/>
      </c>
      <c r="CT427" s="518" t="str">
        <f>IF(AND(_F="A-330-900",'2024'!$O$4="FO",'2024'!$O$2=CT423),'2024DATA'!$M$6,"")</f>
        <v/>
      </c>
      <c r="CU427" s="520" t="str">
        <f>IF(AND(_F="A-330-900",'2024'!$O$4="FO",'2024'!$O$2=CU423),'2024DATA'!$N$6,"")</f>
        <v/>
      </c>
    </row>
    <row r="428" spans="16:99" x14ac:dyDescent="0.25">
      <c r="P428" s="940" t="s">
        <v>64</v>
      </c>
      <c r="Q428" s="13" t="s">
        <v>61</v>
      </c>
      <c r="R428" s="518" t="str">
        <f>IF(AND(_A="A-330-300",'2024'!$O$4="CA",'2024'!$O$2=R423),'2024DATA'!$C$7,"")</f>
        <v/>
      </c>
      <c r="S428" s="518" t="str">
        <f>IF(AND(_A="A-330-300",'2024'!$O$4="CA",'2024'!$O$2=S423),'2024DATA'!$D$7,"")</f>
        <v/>
      </c>
      <c r="T428" s="518" t="str">
        <f>IF(AND(_A="A-330-300",'2024'!$O$4="CA",'2024'!$O$2=T423),'2024DATA'!$E$7,"")</f>
        <v/>
      </c>
      <c r="U428" s="518" t="str">
        <f>IF(AND(_A="A-330-300",'2024'!$O$4="CA",'2024'!$O$2=U423),'2024DATA'!$F$7,"")</f>
        <v/>
      </c>
      <c r="V428" s="518" t="str">
        <f>IF(AND(_A="A-330-300",'2024'!$O$4="CA",'2024'!$O$2=V423),'2024DATA'!$G$7,"")</f>
        <v/>
      </c>
      <c r="W428" s="518" t="str">
        <f>IF(AND(_A="A-330-300",'2024'!$O$4="CA",'2024'!$O$2=W423),'2024DATA'!$H$7,"")</f>
        <v/>
      </c>
      <c r="X428" s="518" t="str">
        <f>IF(AND(_A="A-330-300",'2024'!$O$4="CA",'2024'!$O$2=X423),'2024DATA'!$I$7,"")</f>
        <v/>
      </c>
      <c r="Y428" s="518" t="str">
        <f>IF(AND(_A="A-330-300",'2024'!$O$4="CA",'2024'!$O$2=Y423),'2024DATA'!$J$7,"")</f>
        <v/>
      </c>
      <c r="Z428" s="518" t="str">
        <f>IF(AND(_A="A-330-300",'2024'!$O$4="CA",'2024'!$O$2=Z423),'2024DATA'!$K$7,"")</f>
        <v/>
      </c>
      <c r="AA428" s="518" t="str">
        <f>IF(AND(_A="A-330-300",'2024'!$O$4="CA",'2024'!$O$2=AA423),'2024DATA'!$L$7,"")</f>
        <v/>
      </c>
      <c r="AB428" s="518" t="str">
        <f>IF(AND(_A="A-330-300",'2024'!$O$4="CA",'2024'!$O$2=AB423),'2024DATA'!$M$7,"")</f>
        <v/>
      </c>
      <c r="AC428" s="520" t="str">
        <f>IF(AND(_A="A-330-300",'2024'!$O$4="CA",'2024'!$O$2=AC423),'2024DATA'!$N$7,"")</f>
        <v/>
      </c>
      <c r="AD428" s="940" t="s">
        <v>64</v>
      </c>
      <c r="AE428" s="13" t="s">
        <v>61</v>
      </c>
      <c r="AF428" s="518" t="str">
        <f>IF(AND(_B="A-330-300",'2024'!$O$4="CA",'2024'!$O$2=AF423),'2024DATA'!$C$7,"")</f>
        <v/>
      </c>
      <c r="AG428" s="518" t="str">
        <f>IF(AND(_B="A-330-300",'2024'!$O$4="CA",'2024'!$O$2=AG423),'2024DATA'!$D$7,"")</f>
        <v/>
      </c>
      <c r="AH428" s="518" t="str">
        <f>IF(AND(_B="A-330-300",'2024'!$O$4="CA",'2024'!$O$2=AH423),'2024DATA'!$E$7,"")</f>
        <v/>
      </c>
      <c r="AI428" s="518" t="str">
        <f>IF(AND(_B="A-330-300",'2024'!$O$4="CA",'2024'!$O$2=AI423),'2024DATA'!$F$7,"")</f>
        <v/>
      </c>
      <c r="AJ428" s="518" t="str">
        <f>IF(AND(_B="A-330-300",'2024'!$O$4="CA",'2024'!$O$2=AJ423),'2024DATA'!$G$7,"")</f>
        <v/>
      </c>
      <c r="AK428" s="518" t="str">
        <f>IF(AND(_B="A-330-300",'2024'!$O$4="CA",'2024'!$O$2=AK423),'2024DATA'!$H$7,"")</f>
        <v/>
      </c>
      <c r="AL428" s="518" t="str">
        <f>IF(AND(_B="A-330-300",'2024'!$O$4="CA",'2024'!$O$2=AL423),'2024DATA'!$I$7,"")</f>
        <v/>
      </c>
      <c r="AM428" s="518" t="str">
        <f>IF(AND(_B="A-330-300",'2024'!$O$4="CA",'2024'!$O$2=AM423),'2024DATA'!$J$7,"")</f>
        <v/>
      </c>
      <c r="AN428" s="518" t="str">
        <f>IF(AND(_B="A-330-300",'2024'!$O$4="CA",'2024'!$O$2=AN423),'2024DATA'!$K$7,"")</f>
        <v/>
      </c>
      <c r="AO428" s="518" t="str">
        <f>IF(AND(_B="A-330-300",'2024'!$O$4="CA",'2024'!$O$2=AO423),'2024DATA'!$L$7,"")</f>
        <v/>
      </c>
      <c r="AP428" s="518" t="str">
        <f>IF(AND(_B="A-330-300",'2024'!$O$4="CA",'2024'!$O$2=AP423),'2024DATA'!$M$7,"")</f>
        <v/>
      </c>
      <c r="AQ428" s="520" t="str">
        <f>IF(AND(_B="A-330-300",'2024'!$O$4="CA",'2024'!$O$2=AQ423),'2024DATA'!$N$7,"")</f>
        <v/>
      </c>
      <c r="AR428" s="940" t="s">
        <v>64</v>
      </c>
      <c r="AS428" s="13" t="s">
        <v>61</v>
      </c>
      <c r="AT428" s="518" t="str">
        <f>IF(AND(_C="A-330-300",'2024'!$O$4="CA",'2024'!$O$2=AT423),'2024DATA'!$C$7,"")</f>
        <v/>
      </c>
      <c r="AU428" s="518" t="str">
        <f>IF(AND(_C="A-330-300",'2024'!$O$4="CA",'2024'!$O$2=AU423),'2024DATA'!$D$7,"")</f>
        <v/>
      </c>
      <c r="AV428" s="518" t="str">
        <f>IF(AND(_C="A-330-300",'2024'!$O$4="CA",'2024'!$O$2=AV423),'2024DATA'!$E$7,"")</f>
        <v/>
      </c>
      <c r="AW428" s="518" t="str">
        <f>IF(AND(_C="A-330-300",'2024'!$O$4="CA",'2024'!$O$2=AW423),'2024DATA'!$F$7,"")</f>
        <v/>
      </c>
      <c r="AX428" s="518" t="str">
        <f>IF(AND(_C="A-330-300",'2024'!$O$4="CA",'2024'!$O$2=AX423),'2024DATA'!$G$7,"")</f>
        <v/>
      </c>
      <c r="AY428" s="518" t="str">
        <f>IF(AND(_C="A-330-300",'2024'!$O$4="CA",'2024'!$O$2=AY423),'2024DATA'!$H$7,"")</f>
        <v/>
      </c>
      <c r="AZ428" s="518" t="str">
        <f>IF(AND(_C="A-330-300",'2024'!$O$4="CA",'2024'!$O$2=AZ423),'2024DATA'!$I$7,"")</f>
        <v/>
      </c>
      <c r="BA428" s="518" t="str">
        <f>IF(AND(_C="A-330-300",'2024'!$O$4="CA",'2024'!$O$2=BA423),'2024DATA'!$J$7,"")</f>
        <v/>
      </c>
      <c r="BB428" s="518" t="str">
        <f>IF(AND(_C="A-330-300",'2024'!$O$4="CA",'2024'!$O$2=BB423),'2024DATA'!$K$7,"")</f>
        <v/>
      </c>
      <c r="BC428" s="518" t="str">
        <f>IF(AND(_C="A-330-300",'2024'!$O$4="CA",'2024'!$O$2=BC423),'2024DATA'!$L$7,"")</f>
        <v/>
      </c>
      <c r="BD428" s="518" t="str">
        <f>IF(AND(_C="A-330-300",'2024'!$O$4="CA",'2024'!$O$2=BD423),'2024DATA'!$M$7,"")</f>
        <v/>
      </c>
      <c r="BE428" s="520" t="str">
        <f>IF(AND(_C="A-330-300",'2024'!$O$4="CA",'2024'!$O$2=BE423),'2024DATA'!$N$7,"")</f>
        <v/>
      </c>
      <c r="BF428" s="940" t="s">
        <v>64</v>
      </c>
      <c r="BG428" s="13" t="s">
        <v>61</v>
      </c>
      <c r="BH428" s="518" t="str">
        <f>IF(AND(_D="A-330-300",'2024'!$O$4="CA",'2024'!$O$2=BH423),'2024DATA'!$C$7,"")</f>
        <v/>
      </c>
      <c r="BI428" s="518" t="str">
        <f>IF(AND(_D="A-330-300",'2024'!$O$4="CA",'2024'!$O$2=BI423),'2024DATA'!$D$7,"")</f>
        <v/>
      </c>
      <c r="BJ428" s="518" t="str">
        <f>IF(AND(_D="A-330-300",'2024'!$O$4="CA",'2024'!$O$2=BJ423),'2024DATA'!$E$7,"")</f>
        <v/>
      </c>
      <c r="BK428" s="518" t="str">
        <f>IF(AND(_D="A-330-300",'2024'!$O$4="CA",'2024'!$O$2=BK423),'2024DATA'!$F$7,"")</f>
        <v/>
      </c>
      <c r="BL428" s="518" t="str">
        <f>IF(AND(_D="A-330-300",'2024'!$O$4="CA",'2024'!$O$2=BL423),'2024DATA'!$G$7,"")</f>
        <v/>
      </c>
      <c r="BM428" s="518" t="str">
        <f>IF(AND(_D="A-330-300",'2024'!$O$4="CA",'2024'!$O$2=BM423),'2024DATA'!$H$7,"")</f>
        <v/>
      </c>
      <c r="BN428" s="518" t="str">
        <f>IF(AND(_D="A-330-300",'2024'!$O$4="CA",'2024'!$O$2=BN423),'2024DATA'!$I$7,"")</f>
        <v/>
      </c>
      <c r="BO428" s="518" t="str">
        <f>IF(AND(_D="A-330-300",'2024'!$O$4="CA",'2024'!$O$2=BO423),'2024DATA'!$J$7,"")</f>
        <v/>
      </c>
      <c r="BP428" s="518" t="str">
        <f>IF(AND(_D="A-330-300",'2024'!$O$4="CA",'2024'!$O$2=BP423),'2024DATA'!$K$7,"")</f>
        <v/>
      </c>
      <c r="BQ428" s="518" t="str">
        <f>IF(AND(_D="A-330-300",'2024'!$O$4="CA",'2024'!$O$2=BQ423),'2024DATA'!$L$7,"")</f>
        <v/>
      </c>
      <c r="BR428" s="518" t="str">
        <f>IF(AND(_D="A-330-300",'2024'!$O$4="CA",'2024'!$O$2=BR423),'2024DATA'!$M$7,"")</f>
        <v/>
      </c>
      <c r="BS428" s="520" t="str">
        <f>IF(AND(_D="A-330-300",'2024'!$O$4="CA",'2024'!$O$2=BS423),'2024DATA'!$N$7,"")</f>
        <v/>
      </c>
      <c r="BT428" s="940" t="s">
        <v>64</v>
      </c>
      <c r="BU428" s="13" t="s">
        <v>61</v>
      </c>
      <c r="BV428" s="518" t="str">
        <f>IF(AND(_E="A-330-300",'2024'!$O$4="CA",'2024'!$O$2=BV423),'2024DATA'!$C$7,"")</f>
        <v/>
      </c>
      <c r="BW428" s="518" t="str">
        <f>IF(AND(_E="A-330-300",'2024'!$O$4="CA",'2024'!$O$2=BW423),'2024DATA'!$D$7,"")</f>
        <v/>
      </c>
      <c r="BX428" s="518" t="str">
        <f>IF(AND(_E="A-330-300",'2024'!$O$4="CA",'2024'!$O$2=BX423),'2024DATA'!$E$7,"")</f>
        <v/>
      </c>
      <c r="BY428" s="518" t="str">
        <f>IF(AND(_E="A-330-300",'2024'!$O$4="CA",'2024'!$O$2=BY423),'2024DATA'!$F$7,"")</f>
        <v/>
      </c>
      <c r="BZ428" s="518" t="str">
        <f>IF(AND(_E="A-330-300",'2024'!$O$4="CA",'2024'!$O$2=BZ423),'2024DATA'!$G$7,"")</f>
        <v/>
      </c>
      <c r="CA428" s="518" t="str">
        <f>IF(AND(_E="A-330-300",'2024'!$O$4="CA",'2024'!$O$2=CA423),'2024DATA'!$H$7,"")</f>
        <v/>
      </c>
      <c r="CB428" s="518" t="str">
        <f>IF(AND(_E="A-330-300",'2024'!$O$4="CA",'2024'!$O$2=CB423),'2024DATA'!$I$7,"")</f>
        <v/>
      </c>
      <c r="CC428" s="518" t="str">
        <f>IF(AND(_E="A-330-300",'2024'!$O$4="CA",'2024'!$O$2=CC423),'2024DATA'!$J$7,"")</f>
        <v/>
      </c>
      <c r="CD428" s="518" t="str">
        <f>IF(AND(_E="A-330-300",'2024'!$O$4="CA",'2024'!$O$2=CD423),'2024DATA'!$K$7,"")</f>
        <v/>
      </c>
      <c r="CE428" s="518" t="str">
        <f>IF(AND(_E="A-330-300",'2024'!$O$4="CA",'2024'!$O$2=CE423),'2024DATA'!$L$7,"")</f>
        <v/>
      </c>
      <c r="CF428" s="518" t="str">
        <f>IF(AND(_E="A-330-300",'2024'!$O$4="CA",'2024'!$O$2=CF423),'2024DATA'!$M$7,"")</f>
        <v/>
      </c>
      <c r="CG428" s="520" t="str">
        <f>IF(AND(_E="A-330-300",'2024'!$O$4="CA",'2024'!$O$2=CG423),'2024DATA'!$N$7,"")</f>
        <v/>
      </c>
      <c r="CH428" s="940" t="s">
        <v>64</v>
      </c>
      <c r="CI428" s="13" t="s">
        <v>61</v>
      </c>
      <c r="CJ428" s="518" t="str">
        <f>IF(AND(_F="A-330-300",'2024'!$O$4="CA",'2024'!$O$2=CJ423),'2024DATA'!$C$7,"")</f>
        <v/>
      </c>
      <c r="CK428" s="518" t="str">
        <f>IF(AND(_F="A-330-300",'2024'!$O$4="CA",'2024'!$O$2=CK423),'2024DATA'!$D$7,"")</f>
        <v/>
      </c>
      <c r="CL428" s="518" t="str">
        <f>IF(AND(_F="A-330-300",'2024'!$O$4="CA",'2024'!$O$2=CL423),'2024DATA'!$E$7,"")</f>
        <v/>
      </c>
      <c r="CM428" s="518" t="str">
        <f>IF(AND(_F="A-330-300",'2024'!$O$4="CA",'2024'!$O$2=CM423),'2024DATA'!$F$7,"")</f>
        <v/>
      </c>
      <c r="CN428" s="518" t="str">
        <f>IF(AND(_F="A-330-300",'2024'!$O$4="CA",'2024'!$O$2=CN423),'2024DATA'!$G$7,"")</f>
        <v/>
      </c>
      <c r="CO428" s="518" t="str">
        <f>IF(AND(_F="A-330-300",'2024'!$O$4="CA",'2024'!$O$2=CO423),'2024DATA'!$H$7,"")</f>
        <v/>
      </c>
      <c r="CP428" s="518" t="str">
        <f>IF(AND(_F="A-330-300",'2024'!$O$4="CA",'2024'!$O$2=CP423),'2024DATA'!$I$7,"")</f>
        <v/>
      </c>
      <c r="CQ428" s="518" t="str">
        <f>IF(AND(_F="A-330-300",'2024'!$O$4="CA",'2024'!$O$2=CQ423),'2024DATA'!$J$7,"")</f>
        <v/>
      </c>
      <c r="CR428" s="518" t="str">
        <f>IF(AND(_F="A-330-300",'2024'!$O$4="CA",'2024'!$O$2=CR423),'2024DATA'!$K$7,"")</f>
        <v/>
      </c>
      <c r="CS428" s="518" t="str">
        <f>IF(AND(_F="A-330-300",'2024'!$O$4="CA",'2024'!$O$2=CS423),'2024DATA'!$L$7,"")</f>
        <v/>
      </c>
      <c r="CT428" s="518" t="str">
        <f>IF(AND(_F="A-330-300",'2024'!$O$4="CA",'2024'!$O$2=CT423),'2024DATA'!$M$7,"")</f>
        <v/>
      </c>
      <c r="CU428" s="520" t="str">
        <f>IF(AND(_F="A-330-300",'2024'!$O$4="CA",'2024'!$O$2=CU423),'2024DATA'!$N$7,"")</f>
        <v/>
      </c>
    </row>
    <row r="429" spans="16:99" x14ac:dyDescent="0.25">
      <c r="P429" s="940"/>
      <c r="Q429" s="13" t="s">
        <v>62</v>
      </c>
      <c r="R429" s="518" t="str">
        <f>IF(AND(_A="A-330-300",'2024'!$O$4="FO",'2024'!$O$2=R423),'2024DATA'!$C$8,"")</f>
        <v/>
      </c>
      <c r="S429" s="518" t="str">
        <f>IF(AND(_A="A-330-300",'2024'!$O$4="FO",'2024'!$O$2=S423),'2024DATA'!$D$8,"")</f>
        <v/>
      </c>
      <c r="T429" s="518" t="str">
        <f>IF(AND(_A="A-330-300",'2024'!$O$4="FO",'2024'!$O$2=T423),'2024DATA'!$E$8,"")</f>
        <v/>
      </c>
      <c r="U429" s="518" t="str">
        <f>IF(AND(_A="A-330-300",'2024'!$O$4="FO",'2024'!$O$2=U423),'2024DATA'!$F$8,"")</f>
        <v/>
      </c>
      <c r="V429" s="518" t="str">
        <f>IF(AND(_A="A-330-300",'2024'!$O$4="FO",'2024'!$O$2=V423),'2024DATA'!$G$8,"")</f>
        <v/>
      </c>
      <c r="W429" s="518" t="str">
        <f>IF(AND(_A="A-330-300",'2024'!$O$4="FO",'2024'!$O$2=W423),'2024DATA'!$H$8,"")</f>
        <v/>
      </c>
      <c r="X429" s="518" t="str">
        <f>IF(AND(_A="A-330-300",'2024'!$O$4="FO",'2024'!$O$2=X423),'2024DATA'!$I$8,"")</f>
        <v/>
      </c>
      <c r="Y429" s="518" t="str">
        <f>IF(AND(_A="A-330-300",'2024'!$O$4="FO",'2024'!$O$2=Y423),'2024DATA'!$J$8,"")</f>
        <v/>
      </c>
      <c r="Z429" s="518" t="str">
        <f>IF(AND(_A="A-330-300",'2024'!$O$4="FO",'2024'!$O$2=Z423),'2024DATA'!$K$8,"")</f>
        <v/>
      </c>
      <c r="AA429" s="518" t="str">
        <f>IF(AND(_A="A-330-300",'2024'!$O$4="FO",'2024'!$O$2=AA423),'2024DATA'!$L$8,"")</f>
        <v/>
      </c>
      <c r="AB429" s="518" t="str">
        <f>IF(AND(_A="A-330-300",'2024'!$O$4="FO",'2024'!$O$2=AB423),'2024DATA'!$M$8,"")</f>
        <v/>
      </c>
      <c r="AC429" s="520" t="str">
        <f>IF(AND(_A="A-330-300",'2024'!$O$4="FO",'2024'!$O$2=AC423),'2024DATA'!$N$8,"")</f>
        <v/>
      </c>
      <c r="AD429" s="940"/>
      <c r="AE429" s="13" t="s">
        <v>62</v>
      </c>
      <c r="AF429" s="518" t="str">
        <f>IF(AND(_B="A-330-300",'2024'!$O$4="FO",'2024'!$O$2=AF423),'2024DATA'!$C$8,"")</f>
        <v/>
      </c>
      <c r="AG429" s="518" t="str">
        <f>IF(AND(_B="A-330-300",'2024'!$O$4="FO",'2024'!$O$2=AG423),'2024DATA'!$D$8,"")</f>
        <v/>
      </c>
      <c r="AH429" s="518" t="str">
        <f>IF(AND(_B="A-330-300",'2024'!$O$4="FO",'2024'!$O$2=AH423),'2024DATA'!$E$8,"")</f>
        <v/>
      </c>
      <c r="AI429" s="518" t="str">
        <f>IF(AND(_B="A-330-300",'2024'!$O$4="FO",'2024'!$O$2=AI423),'2024DATA'!$F$8,"")</f>
        <v/>
      </c>
      <c r="AJ429" s="518" t="str">
        <f>IF(AND(_B="A-330-300",'2024'!$O$4="FO",'2024'!$O$2=AJ423),'2024DATA'!$G$8,"")</f>
        <v/>
      </c>
      <c r="AK429" s="518" t="str">
        <f>IF(AND(_B="A-330-300",'2024'!$O$4="FO",'2024'!$O$2=AK423),'2024DATA'!$H$8,"")</f>
        <v/>
      </c>
      <c r="AL429" s="518" t="str">
        <f>IF(AND(_B="A-330-300",'2024'!$O$4="FO",'2024'!$O$2=AL423),'2024DATA'!$I$8,"")</f>
        <v/>
      </c>
      <c r="AM429" s="518" t="str">
        <f>IF(AND(_B="A-330-300",'2024'!$O$4="FO",'2024'!$O$2=AM423),'2024DATA'!$J$8,"")</f>
        <v/>
      </c>
      <c r="AN429" s="518" t="str">
        <f>IF(AND(_B="A-330-300",'2024'!$O$4="FO",'2024'!$O$2=AN423),'2024DATA'!$K$8,"")</f>
        <v/>
      </c>
      <c r="AO429" s="518" t="str">
        <f>IF(AND(_B="A-330-300",'2024'!$O$4="FO",'2024'!$O$2=AO423),'2024DATA'!$L$8,"")</f>
        <v/>
      </c>
      <c r="AP429" s="518" t="str">
        <f>IF(AND(_B="A-330-300",'2024'!$O$4="FO",'2024'!$O$2=AP423),'2024DATA'!$M$8,"")</f>
        <v/>
      </c>
      <c r="AQ429" s="520" t="str">
        <f>IF(AND(_B="A-330-300",'2024'!$O$4="FO",'2024'!$O$2=AQ423),'2024DATA'!$N$8,"")</f>
        <v/>
      </c>
      <c r="AR429" s="940"/>
      <c r="AS429" s="13" t="s">
        <v>62</v>
      </c>
      <c r="AT429" s="518" t="str">
        <f>IF(AND(_C="A-330-300",'2024'!$O$4="FO",'2024'!$O$2=AT423),'2024DATA'!$C$8,"")</f>
        <v/>
      </c>
      <c r="AU429" s="518" t="str">
        <f>IF(AND(_C="A-330-300",'2024'!$O$4="FO",'2024'!$O$2=AU423),'2024DATA'!$D$8,"")</f>
        <v/>
      </c>
      <c r="AV429" s="518" t="str">
        <f>IF(AND(_C="A-330-300",'2024'!$O$4="FO",'2024'!$O$2=AV423),'2024DATA'!$E$8,"")</f>
        <v/>
      </c>
      <c r="AW429" s="518" t="str">
        <f>IF(AND(_C="A-330-300",'2024'!$O$4="FO",'2024'!$O$2=AW423),'2024DATA'!$F$8,"")</f>
        <v/>
      </c>
      <c r="AX429" s="518" t="str">
        <f>IF(AND(_C="A-330-300",'2024'!$O$4="FO",'2024'!$O$2=AX423),'2024DATA'!$G$8,"")</f>
        <v/>
      </c>
      <c r="AY429" s="518" t="str">
        <f>IF(AND(_C="A-330-300",'2024'!$O$4="FO",'2024'!$O$2=AY423),'2024DATA'!$H$8,"")</f>
        <v/>
      </c>
      <c r="AZ429" s="518" t="str">
        <f>IF(AND(_C="A-330-300",'2024'!$O$4="FO",'2024'!$O$2=AZ423),'2024DATA'!$I$8,"")</f>
        <v/>
      </c>
      <c r="BA429" s="518" t="str">
        <f>IF(AND(_C="A-330-300",'2024'!$O$4="FO",'2024'!$O$2=BA423),'2024DATA'!$J$8,"")</f>
        <v/>
      </c>
      <c r="BB429" s="518" t="str">
        <f>IF(AND(_C="A-330-300",'2024'!$O$4="FO",'2024'!$O$2=BB423),'2024DATA'!$K$8,"")</f>
        <v/>
      </c>
      <c r="BC429" s="518" t="str">
        <f>IF(AND(_C="A-330-300",'2024'!$O$4="FO",'2024'!$O$2=BC423),'2024DATA'!$L$8,"")</f>
        <v/>
      </c>
      <c r="BD429" s="518" t="str">
        <f>IF(AND(_C="A-330-300",'2024'!$O$4="FO",'2024'!$O$2=BD423),'2024DATA'!$M$8,"")</f>
        <v/>
      </c>
      <c r="BE429" s="520" t="str">
        <f>IF(AND(_C="A-330-300",'2024'!$O$4="FO",'2024'!$O$2=BE423),'2024DATA'!$N$8,"")</f>
        <v/>
      </c>
      <c r="BF429" s="940"/>
      <c r="BG429" s="13" t="s">
        <v>62</v>
      </c>
      <c r="BH429" s="518" t="str">
        <f>IF(AND(_D="A-330-300",'2024'!$O$4="FO",'2024'!$O$2=BH423),'2024DATA'!$C$8,"")</f>
        <v/>
      </c>
      <c r="BI429" s="518" t="str">
        <f>IF(AND(_D="A-330-300",'2024'!$O$4="FO",'2024'!$O$2=BI423),'2024DATA'!$D$8,"")</f>
        <v/>
      </c>
      <c r="BJ429" s="518" t="str">
        <f>IF(AND(_D="A-330-300",'2024'!$O$4="FO",'2024'!$O$2=BJ423),'2024DATA'!$E$8,"")</f>
        <v/>
      </c>
      <c r="BK429" s="518" t="str">
        <f>IF(AND(_D="A-330-300",'2024'!$O$4="FO",'2024'!$O$2=BK423),'2024DATA'!$F$8,"")</f>
        <v/>
      </c>
      <c r="BL429" s="518" t="str">
        <f>IF(AND(_D="A-330-300",'2024'!$O$4="FO",'2024'!$O$2=BL423),'2024DATA'!$G$8,"")</f>
        <v/>
      </c>
      <c r="BM429" s="518" t="str">
        <f>IF(AND(_D="A-330-300",'2024'!$O$4="FO",'2024'!$O$2=BM423),'2024DATA'!$H$8,"")</f>
        <v/>
      </c>
      <c r="BN429" s="518" t="str">
        <f>IF(AND(_D="A-330-300",'2024'!$O$4="FO",'2024'!$O$2=BN423),'2024DATA'!$I$8,"")</f>
        <v/>
      </c>
      <c r="BO429" s="518" t="str">
        <f>IF(AND(_D="A-330-300",'2024'!$O$4="FO",'2024'!$O$2=BO423),'2024DATA'!$J$8,"")</f>
        <v/>
      </c>
      <c r="BP429" s="518" t="str">
        <f>IF(AND(_D="A-330-300",'2024'!$O$4="FO",'2024'!$O$2=BP423),'2024DATA'!$K$8,"")</f>
        <v/>
      </c>
      <c r="BQ429" s="518" t="str">
        <f>IF(AND(_D="A-330-300",'2024'!$O$4="FO",'2024'!$O$2=BQ423),'2024DATA'!$L$8,"")</f>
        <v/>
      </c>
      <c r="BR429" s="518" t="str">
        <f>IF(AND(_D="A-330-300",'2024'!$O$4="FO",'2024'!$O$2=BR423),'2024DATA'!$M$8,"")</f>
        <v/>
      </c>
      <c r="BS429" s="520" t="str">
        <f>IF(AND(_D="A-330-300",'2024'!$O$4="FO",'2024'!$O$2=BS423),'2024DATA'!$N$8,"")</f>
        <v/>
      </c>
      <c r="BT429" s="940"/>
      <c r="BU429" s="13" t="s">
        <v>62</v>
      </c>
      <c r="BV429" s="518" t="str">
        <f>IF(AND(_E="A-330-300",'2024'!$O$4="FO",'2024'!$O$2=BV423),'2024DATA'!$C$8,"")</f>
        <v/>
      </c>
      <c r="BW429" s="518" t="str">
        <f>IF(AND(_E="A-330-300",'2024'!$O$4="FO",'2024'!$O$2=BW423),'2024DATA'!$D$8,"")</f>
        <v/>
      </c>
      <c r="BX429" s="518" t="str">
        <f>IF(AND(_E="A-330-300",'2024'!$O$4="FO",'2024'!$O$2=BX423),'2024DATA'!$E$8,"")</f>
        <v/>
      </c>
      <c r="BY429" s="518" t="str">
        <f>IF(AND(_E="A-330-300",'2024'!$O$4="FO",'2024'!$O$2=BY423),'2024DATA'!$F$8,"")</f>
        <v/>
      </c>
      <c r="BZ429" s="518" t="str">
        <f>IF(AND(_E="A-330-300",'2024'!$O$4="FO",'2024'!$O$2=BZ423),'2024DATA'!$G$8,"")</f>
        <v/>
      </c>
      <c r="CA429" s="518" t="str">
        <f>IF(AND(_E="A-330-300",'2024'!$O$4="FO",'2024'!$O$2=CA423),'2024DATA'!$H$8,"")</f>
        <v/>
      </c>
      <c r="CB429" s="518" t="str">
        <f>IF(AND(_E="A-330-300",'2024'!$O$4="FO",'2024'!$O$2=CB423),'2024DATA'!$I$8,"")</f>
        <v/>
      </c>
      <c r="CC429" s="518" t="str">
        <f>IF(AND(_E="A-330-300",'2024'!$O$4="FO",'2024'!$O$2=CC423),'2024DATA'!$J$8,"")</f>
        <v/>
      </c>
      <c r="CD429" s="518" t="str">
        <f>IF(AND(_E="A-330-300",'2024'!$O$4="FO",'2024'!$O$2=CD423),'2024DATA'!$K$8,"")</f>
        <v/>
      </c>
      <c r="CE429" s="518" t="str">
        <f>IF(AND(_E="A-330-300",'2024'!$O$4="FO",'2024'!$O$2=CE423),'2024DATA'!$L$8,"")</f>
        <v/>
      </c>
      <c r="CF429" s="518" t="str">
        <f>IF(AND(_E="A-330-300",'2024'!$O$4="FO",'2024'!$O$2=CF423),'2024DATA'!$M$8,"")</f>
        <v/>
      </c>
      <c r="CG429" s="520" t="str">
        <f>IF(AND(_E="A-330-300",'2024'!$O$4="FO",'2024'!$O$2=CG423),'2024DATA'!$N$8,"")</f>
        <v/>
      </c>
      <c r="CH429" s="940"/>
      <c r="CI429" s="13" t="s">
        <v>62</v>
      </c>
      <c r="CJ429" s="518" t="str">
        <f>IF(AND(_F="A-330-300",'2024'!$O$4="FO",'2024'!$O$2=CJ423),'2024DATA'!$C$8,"")</f>
        <v/>
      </c>
      <c r="CK429" s="518" t="str">
        <f>IF(AND(_F="A-330-300",'2024'!$O$4="FO",'2024'!$O$2=CK423),'2024DATA'!$D$8,"")</f>
        <v/>
      </c>
      <c r="CL429" s="518" t="str">
        <f>IF(AND(_F="A-330-300",'2024'!$O$4="FO",'2024'!$O$2=CL423),'2024DATA'!$E$8,"")</f>
        <v/>
      </c>
      <c r="CM429" s="518" t="str">
        <f>IF(AND(_F="A-330-300",'2024'!$O$4="FO",'2024'!$O$2=CM423),'2024DATA'!$F$8,"")</f>
        <v/>
      </c>
      <c r="CN429" s="518" t="str">
        <f>IF(AND(_F="A-330-300",'2024'!$O$4="FO",'2024'!$O$2=CN423),'2024DATA'!$G$8,"")</f>
        <v/>
      </c>
      <c r="CO429" s="518" t="str">
        <f>IF(AND(_F="A-330-300",'2024'!$O$4="FO",'2024'!$O$2=CO423),'2024DATA'!$H$8,"")</f>
        <v/>
      </c>
      <c r="CP429" s="518" t="str">
        <f>IF(AND(_F="A-330-300",'2024'!$O$4="FO",'2024'!$O$2=CP423),'2024DATA'!$I$8,"")</f>
        <v/>
      </c>
      <c r="CQ429" s="518" t="str">
        <f>IF(AND(_F="A-330-300",'2024'!$O$4="FO",'2024'!$O$2=CQ423),'2024DATA'!$J$8,"")</f>
        <v/>
      </c>
      <c r="CR429" s="518" t="str">
        <f>IF(AND(_F="A-330-300",'2024'!$O$4="FO",'2024'!$O$2=CR423),'2024DATA'!$K$8,"")</f>
        <v/>
      </c>
      <c r="CS429" s="518" t="str">
        <f>IF(AND(_F="A-330-300",'2024'!$O$4="FO",'2024'!$O$2=CS423),'2024DATA'!$L$8,"")</f>
        <v/>
      </c>
      <c r="CT429" s="518" t="str">
        <f>IF(AND(_F="A-330-300",'2024'!$O$4="FO",'2024'!$O$2=CT423),'2024DATA'!$M$8,"")</f>
        <v/>
      </c>
      <c r="CU429" s="520" t="str">
        <f>IF(AND(_F="A-330-300",'2024'!$O$4="FO",'2024'!$O$2=CU423),'2024DATA'!$N$8,"")</f>
        <v/>
      </c>
    </row>
    <row r="430" spans="16:99" x14ac:dyDescent="0.25">
      <c r="P430" s="940" t="s">
        <v>66</v>
      </c>
      <c r="Q430" s="13" t="s">
        <v>61</v>
      </c>
      <c r="R430" s="518" t="str">
        <f>IF(AND(_A="A-330-200",'2024'!$O$4="CA",'2024'!$O$2=R423),'2024DATA'!$C$9,"")</f>
        <v/>
      </c>
      <c r="S430" s="518" t="str">
        <f>IF(AND(_A="A-330-200",'2024'!$O$4="CA",'2024'!$O$2=S423),'2024DATA'!$D$9,"")</f>
        <v/>
      </c>
      <c r="T430" s="518" t="str">
        <f>IF(AND(_A="A-330-200",'2024'!$O$4="CA",'2024'!$O$2=T423),'2024DATA'!$E$9,"")</f>
        <v/>
      </c>
      <c r="U430" s="518" t="str">
        <f>IF(AND(_A="A-330-200",'2024'!$O$4="CA",'2024'!$O$2=U423),'2024DATA'!$F$9,"")</f>
        <v/>
      </c>
      <c r="V430" s="518" t="str">
        <f>IF(AND(_A="A-330-200",'2024'!$O$4="CA",'2024'!$O$2=V423),'2024DATA'!$G$9,"")</f>
        <v/>
      </c>
      <c r="W430" s="518" t="str">
        <f>IF(AND(_A="A-330-200",'2024'!$O$4="CA",'2024'!$O$2=W423),'2024DATA'!$H$9,"")</f>
        <v/>
      </c>
      <c r="X430" s="518" t="str">
        <f>IF(AND(_A="A-330-200",'2024'!$O$4="CA",'2024'!$O$2=X423),'2024DATA'!$I$9,"")</f>
        <v/>
      </c>
      <c r="Y430" s="518" t="str">
        <f>IF(AND(_A="A-330-200",'2024'!$O$4="CA",'2024'!$O$2=Y423),'2024DATA'!$J$9,"")</f>
        <v/>
      </c>
      <c r="Z430" s="518" t="str">
        <f>IF(AND(_A="A-330-200",'2024'!$O$4="CA",'2024'!$O$2=Z423),'2024DATA'!$K$9,"")</f>
        <v/>
      </c>
      <c r="AA430" s="518" t="str">
        <f>IF(AND(_A="A-330-200",'2024'!$O$4="CA",'2024'!$O$2=AA423),'2024DATA'!$L$9,"")</f>
        <v/>
      </c>
      <c r="AB430" s="518" t="str">
        <f>IF(AND(_A="A-330-200",'2024'!$O$4="CA",'2024'!$O$2=AB423),'2024DATA'!$M$9,"")</f>
        <v/>
      </c>
      <c r="AC430" s="520" t="str">
        <f>IF(AND(_A="A-330-200",'2024'!$O$4="CA",'2024'!$O$2=AC423),'2024DATA'!$N$9,"")</f>
        <v/>
      </c>
      <c r="AD430" s="940" t="s">
        <v>66</v>
      </c>
      <c r="AE430" s="13" t="s">
        <v>61</v>
      </c>
      <c r="AF430" s="518" t="str">
        <f>IF(AND(_B="A-330-200",'2024'!$O$4="CA",'2024'!$O$2=AF423),'2024DATA'!$C$9,"")</f>
        <v/>
      </c>
      <c r="AG430" s="518" t="str">
        <f>IF(AND(_B="A-330-200",'2024'!$O$4="CA",'2024'!$O$2=AG423),'2024DATA'!$D$9,"")</f>
        <v/>
      </c>
      <c r="AH430" s="518" t="str">
        <f>IF(AND(_B="A-330-200",'2024'!$O$4="CA",'2024'!$O$2=AH423),'2024DATA'!$E$9,"")</f>
        <v/>
      </c>
      <c r="AI430" s="518" t="str">
        <f>IF(AND(_B="A-330-200",'2024'!$O$4="CA",'2024'!$O$2=AI423),'2024DATA'!$F$9,"")</f>
        <v/>
      </c>
      <c r="AJ430" s="518" t="str">
        <f>IF(AND(_B="A-330-200",'2024'!$O$4="CA",'2024'!$O$2=AJ423),'2024DATA'!$G$9,"")</f>
        <v/>
      </c>
      <c r="AK430" s="518" t="str">
        <f>IF(AND(_B="A-330-200",'2024'!$O$4="CA",'2024'!$O$2=AK423),'2024DATA'!$H$9,"")</f>
        <v/>
      </c>
      <c r="AL430" s="518" t="str">
        <f>IF(AND(_B="A-330-200",'2024'!$O$4="CA",'2024'!$O$2=AL423),'2024DATA'!$I$9,"")</f>
        <v/>
      </c>
      <c r="AM430" s="518" t="str">
        <f>IF(AND(_B="A-330-200",'2024'!$O$4="CA",'2024'!$O$2=AM423),'2024DATA'!$J$9,"")</f>
        <v/>
      </c>
      <c r="AN430" s="518" t="str">
        <f>IF(AND(_B="A-330-200",'2024'!$O$4="CA",'2024'!$O$2=AN423),'2024DATA'!$K$9,"")</f>
        <v/>
      </c>
      <c r="AO430" s="518" t="str">
        <f>IF(AND(_B="A-330-200",'2024'!$O$4="CA",'2024'!$O$2=AO423),'2024DATA'!$L$9,"")</f>
        <v/>
      </c>
      <c r="AP430" s="518" t="str">
        <f>IF(AND(_B="A-330-200",'2024'!$O$4="CA",'2024'!$O$2=AP423),'2024DATA'!$M$9,"")</f>
        <v/>
      </c>
      <c r="AQ430" s="520" t="str">
        <f>IF(AND(_B="A-330-200",'2024'!$O$4="CA",'2024'!$O$2=AQ423),'2024DATA'!$N$9,"")</f>
        <v/>
      </c>
      <c r="AR430" s="940" t="s">
        <v>66</v>
      </c>
      <c r="AS430" s="13" t="s">
        <v>61</v>
      </c>
      <c r="AT430" s="518" t="str">
        <f>IF(AND(_C="A-330-200",'2024'!$O$4="CA",'2024'!$O$2=AT423),'2024DATA'!$C$9,"")</f>
        <v/>
      </c>
      <c r="AU430" s="518" t="str">
        <f>IF(AND(_C="A-330-200",'2024'!$O$4="CA",'2024'!$O$2=AU423),'2024DATA'!$D$9,"")</f>
        <v/>
      </c>
      <c r="AV430" s="518" t="str">
        <f>IF(AND(_C="A-330-200",'2024'!$O$4="CA",'2024'!$O$2=AV423),'2024DATA'!$E$9,"")</f>
        <v/>
      </c>
      <c r="AW430" s="518" t="str">
        <f>IF(AND(_C="A-330-200",'2024'!$O$4="CA",'2024'!$O$2=AW423),'2024DATA'!$F$9,"")</f>
        <v/>
      </c>
      <c r="AX430" s="518" t="str">
        <f>IF(AND(_C="A-330-200",'2024'!$O$4="CA",'2024'!$O$2=AX423),'2024DATA'!$G$9,"")</f>
        <v/>
      </c>
      <c r="AY430" s="518" t="str">
        <f>IF(AND(_C="A-330-200",'2024'!$O$4="CA",'2024'!$O$2=AY423),'2024DATA'!$H$9,"")</f>
        <v/>
      </c>
      <c r="AZ430" s="518" t="str">
        <f>IF(AND(_C="A-330-200",'2024'!$O$4="CA",'2024'!$O$2=AZ423),'2024DATA'!$I$9,"")</f>
        <v/>
      </c>
      <c r="BA430" s="518" t="str">
        <f>IF(AND(_C="A-330-200",'2024'!$O$4="CA",'2024'!$O$2=BA423),'2024DATA'!$J$9,"")</f>
        <v/>
      </c>
      <c r="BB430" s="518" t="str">
        <f>IF(AND(_C="A-330-200",'2024'!$O$4="CA",'2024'!$O$2=BB423),'2024DATA'!$K$9,"")</f>
        <v/>
      </c>
      <c r="BC430" s="518" t="str">
        <f>IF(AND(_C="A-330-200",'2024'!$O$4="CA",'2024'!$O$2=BC423),'2024DATA'!$L$9,"")</f>
        <v/>
      </c>
      <c r="BD430" s="518" t="str">
        <f>IF(AND(_C="A-330-200",'2024'!$O$4="CA",'2024'!$O$2=BD423),'2024DATA'!$M$9,"")</f>
        <v/>
      </c>
      <c r="BE430" s="520" t="str">
        <f>IF(AND(_C="A-330-200",'2024'!$O$4="CA",'2024'!$O$2=BE423),'2024DATA'!$N$9,"")</f>
        <v/>
      </c>
      <c r="BF430" s="940" t="s">
        <v>66</v>
      </c>
      <c r="BG430" s="13" t="s">
        <v>61</v>
      </c>
      <c r="BH430" s="518" t="str">
        <f>IF(AND(_D="A-330-200",'2024'!$O$4="CA",'2024'!$O$2=BH423),'2024DATA'!$C$9,"")</f>
        <v/>
      </c>
      <c r="BI430" s="518" t="str">
        <f>IF(AND(_D="A-330-200",'2024'!$O$4="CA",'2024'!$O$2=BI423),'2024DATA'!$D$9,"")</f>
        <v/>
      </c>
      <c r="BJ430" s="518" t="str">
        <f>IF(AND(_D="A-330-200",'2024'!$O$4="CA",'2024'!$O$2=BJ423),'2024DATA'!$E$9,"")</f>
        <v/>
      </c>
      <c r="BK430" s="518" t="str">
        <f>IF(AND(_D="A-330-200",'2024'!$O$4="CA",'2024'!$O$2=BK423),'2024DATA'!$F$9,"")</f>
        <v/>
      </c>
      <c r="BL430" s="518" t="str">
        <f>IF(AND(_D="A-330-200",'2024'!$O$4="CA",'2024'!$O$2=BL423),'2024DATA'!$G$9,"")</f>
        <v/>
      </c>
      <c r="BM430" s="518" t="str">
        <f>IF(AND(_D="A-330-200",'2024'!$O$4="CA",'2024'!$O$2=BM423),'2024DATA'!$H$9,"")</f>
        <v/>
      </c>
      <c r="BN430" s="518" t="str">
        <f>IF(AND(_D="A-330-200",'2024'!$O$4="CA",'2024'!$O$2=BN423),'2024DATA'!$I$9,"")</f>
        <v/>
      </c>
      <c r="BO430" s="518" t="str">
        <f>IF(AND(_D="A-330-200",'2024'!$O$4="CA",'2024'!$O$2=BO423),'2024DATA'!$J$9,"")</f>
        <v/>
      </c>
      <c r="BP430" s="518" t="str">
        <f>IF(AND(_D="A-330-200",'2024'!$O$4="CA",'2024'!$O$2=BP423),'2024DATA'!$K$9,"")</f>
        <v/>
      </c>
      <c r="BQ430" s="518" t="str">
        <f>IF(AND(_D="A-330-200",'2024'!$O$4="CA",'2024'!$O$2=BQ423),'2024DATA'!$L$9,"")</f>
        <v/>
      </c>
      <c r="BR430" s="518" t="str">
        <f>IF(AND(_D="A-330-200",'2024'!$O$4="CA",'2024'!$O$2=BR423),'2024DATA'!$M$9,"")</f>
        <v/>
      </c>
      <c r="BS430" s="520" t="str">
        <f>IF(AND(_D="A-330-200",'2024'!$O$4="CA",'2024'!$O$2=BS423),'2024DATA'!$N$9,"")</f>
        <v/>
      </c>
      <c r="BT430" s="940" t="s">
        <v>66</v>
      </c>
      <c r="BU430" s="13" t="s">
        <v>61</v>
      </c>
      <c r="BV430" s="518" t="str">
        <f>IF(AND(_E="A-330-200",'2024'!$O$4="CA",'2024'!$O$2=BV423),'2024DATA'!$C$9,"")</f>
        <v/>
      </c>
      <c r="BW430" s="518" t="str">
        <f>IF(AND(_E="A-330-200",'2024'!$O$4="CA",'2024'!$O$2=BW423),'2024DATA'!$D$9,"")</f>
        <v/>
      </c>
      <c r="BX430" s="518" t="str">
        <f>IF(AND(_E="A-330-200",'2024'!$O$4="CA",'2024'!$O$2=BX423),'2024DATA'!$E$9,"")</f>
        <v/>
      </c>
      <c r="BY430" s="518" t="str">
        <f>IF(AND(_E="A-330-200",'2024'!$O$4="CA",'2024'!$O$2=BY423),'2024DATA'!$F$9,"")</f>
        <v/>
      </c>
      <c r="BZ430" s="518" t="str">
        <f>IF(AND(_E="A-330-200",'2024'!$O$4="CA",'2024'!$O$2=BZ423),'2024DATA'!$G$9,"")</f>
        <v/>
      </c>
      <c r="CA430" s="518" t="str">
        <f>IF(AND(_E="A-330-200",'2024'!$O$4="CA",'2024'!$O$2=CA423),'2024DATA'!$H$9,"")</f>
        <v/>
      </c>
      <c r="CB430" s="518" t="str">
        <f>IF(AND(_E="A-330-200",'2024'!$O$4="CA",'2024'!$O$2=CB423),'2024DATA'!$I$9,"")</f>
        <v/>
      </c>
      <c r="CC430" s="518" t="str">
        <f>IF(AND(_E="A-330-200",'2024'!$O$4="CA",'2024'!$O$2=CC423),'2024DATA'!$J$9,"")</f>
        <v/>
      </c>
      <c r="CD430" s="518" t="str">
        <f>IF(AND(_E="A-330-200",'2024'!$O$4="CA",'2024'!$O$2=CD423),'2024DATA'!$K$9,"")</f>
        <v/>
      </c>
      <c r="CE430" s="518" t="str">
        <f>IF(AND(_E="A-330-200",'2024'!$O$4="CA",'2024'!$O$2=CE423),'2024DATA'!$L$9,"")</f>
        <v/>
      </c>
      <c r="CF430" s="518" t="str">
        <f>IF(AND(_E="A-330-200",'2024'!$O$4="CA",'2024'!$O$2=CF423),'2024DATA'!$M$9,"")</f>
        <v/>
      </c>
      <c r="CG430" s="520" t="str">
        <f>IF(AND(_E="A-330-200",'2024'!$O$4="CA",'2024'!$O$2=CG423),'2024DATA'!$N$9,"")</f>
        <v/>
      </c>
      <c r="CH430" s="940" t="s">
        <v>66</v>
      </c>
      <c r="CI430" s="13" t="s">
        <v>61</v>
      </c>
      <c r="CJ430" s="518" t="str">
        <f>IF(AND(_F="A-330-200",'2024'!$O$4="CA",'2024'!$O$2=CJ423),'2024DATA'!$C$9,"")</f>
        <v/>
      </c>
      <c r="CK430" s="518" t="str">
        <f>IF(AND(_F="A-330-200",'2024'!$O$4="CA",'2024'!$O$2=CK423),'2024DATA'!$D$9,"")</f>
        <v/>
      </c>
      <c r="CL430" s="518" t="str">
        <f>IF(AND(_F="A-330-200",'2024'!$O$4="CA",'2024'!$O$2=CL423),'2024DATA'!$E$9,"")</f>
        <v/>
      </c>
      <c r="CM430" s="518" t="str">
        <f>IF(AND(_F="A-330-200",'2024'!$O$4="CA",'2024'!$O$2=CM423),'2024DATA'!$F$9,"")</f>
        <v/>
      </c>
      <c r="CN430" s="518" t="str">
        <f>IF(AND(_F="A-330-200",'2024'!$O$4="CA",'2024'!$O$2=CN423),'2024DATA'!$G$9,"")</f>
        <v/>
      </c>
      <c r="CO430" s="518" t="str">
        <f>IF(AND(_F="A-330-200",'2024'!$O$4="CA",'2024'!$O$2=CO423),'2024DATA'!$H$9,"")</f>
        <v/>
      </c>
      <c r="CP430" s="518" t="str">
        <f>IF(AND(_F="A-330-200",'2024'!$O$4="CA",'2024'!$O$2=CP423),'2024DATA'!$I$9,"")</f>
        <v/>
      </c>
      <c r="CQ430" s="518" t="str">
        <f>IF(AND(_F="A-330-200",'2024'!$O$4="CA",'2024'!$O$2=CQ423),'2024DATA'!$J$9,"")</f>
        <v/>
      </c>
      <c r="CR430" s="518" t="str">
        <f>IF(AND(_F="A-330-200",'2024'!$O$4="CA",'2024'!$O$2=CR423),'2024DATA'!$K$9,"")</f>
        <v/>
      </c>
      <c r="CS430" s="518" t="str">
        <f>IF(AND(_F="A-330-200",'2024'!$O$4="CA",'2024'!$O$2=CS423),'2024DATA'!$L$9,"")</f>
        <v/>
      </c>
      <c r="CT430" s="518" t="str">
        <f>IF(AND(_F="A-330-200",'2024'!$O$4="CA",'2024'!$O$2=CT423),'2024DATA'!$M$9,"")</f>
        <v/>
      </c>
      <c r="CU430" s="520" t="str">
        <f>IF(AND(_F="A-330-200",'2024'!$O$4="CA",'2024'!$O$2=CU423),'2024DATA'!$N$9,"")</f>
        <v/>
      </c>
    </row>
    <row r="431" spans="16:99" x14ac:dyDescent="0.25">
      <c r="P431" s="940"/>
      <c r="Q431" s="13" t="s">
        <v>62</v>
      </c>
      <c r="R431" s="518" t="str">
        <f>IF(AND(_A="A-330-200",'2024'!$O$4="FO",'2024'!$O$2=R423),'2024DATA'!$C$10,"")</f>
        <v/>
      </c>
      <c r="S431" s="518" t="str">
        <f>IF(AND(_A="A-330-200",'2024'!$O$4="FO",'2024'!$O$2=S423),'2024DATA'!$D$10,"")</f>
        <v/>
      </c>
      <c r="T431" s="518" t="str">
        <f>IF(AND(_A="A-330-200",'2024'!$O$4="FO",'2024'!$O$2=T423),'2024DATA'!$E$10,"")</f>
        <v/>
      </c>
      <c r="U431" s="518" t="str">
        <f>IF(AND(_A="A-330-200",'2024'!$O$4="FO",'2024'!$O$2=U423),'2024DATA'!$F$10,"")</f>
        <v/>
      </c>
      <c r="V431" s="518" t="str">
        <f>IF(AND(_A="A-330-200",'2024'!$O$4="FO",'2024'!$O$2=V423),'2024DATA'!$G$10,"")</f>
        <v/>
      </c>
      <c r="W431" s="518" t="str">
        <f>IF(AND(_A="A-330-200",'2024'!$O$4="FO",'2024'!$O$2=W423),'2024DATA'!$H$10,"")</f>
        <v/>
      </c>
      <c r="X431" s="518" t="str">
        <f>IF(AND(_A="A-330-200",'2024'!$O$4="FO",'2024'!$O$2=X423),'2024DATA'!$I$10,"")</f>
        <v/>
      </c>
      <c r="Y431" s="518" t="str">
        <f>IF(AND(_A="A-330-200",'2024'!$O$4="FO",'2024'!$O$2=Y423),'2024DATA'!$J$10,"")</f>
        <v/>
      </c>
      <c r="Z431" s="518" t="str">
        <f>IF(AND(_A="A-330-200",'2024'!$O$4="FO",'2024'!$O$2=Z423),'2024DATA'!$K$10,"")</f>
        <v/>
      </c>
      <c r="AA431" s="518" t="str">
        <f>IF(AND(_A="A-330-200",'2024'!$O$4="FO",'2024'!$O$2=AA423),'2024DATA'!$L$10,"")</f>
        <v/>
      </c>
      <c r="AB431" s="518" t="str">
        <f>IF(AND(_A="A-330-200",'2024'!$O$4="FO",'2024'!$O$2=AB423),'2024DATA'!$M$10,"")</f>
        <v/>
      </c>
      <c r="AC431" s="520" t="str">
        <f>IF(AND(_A="A-330-200",'2024'!$O$4="FO",'2024'!$O$2=AC423),'2024DATA'!$N$10,"")</f>
        <v/>
      </c>
      <c r="AD431" s="940"/>
      <c r="AE431" s="13" t="s">
        <v>62</v>
      </c>
      <c r="AF431" s="518" t="str">
        <f>IF(AND(_B="A-330-200",'2024'!$O$4="FO",'2024'!$O$2=AF423),'2024DATA'!$C$10,"")</f>
        <v/>
      </c>
      <c r="AG431" s="518" t="str">
        <f>IF(AND(_B="A-330-200",'2024'!$O$4="FO",'2024'!$O$2=AG423),'2024DATA'!$D$10,"")</f>
        <v/>
      </c>
      <c r="AH431" s="518" t="str">
        <f>IF(AND(_B="A-330-200",'2024'!$O$4="FO",'2024'!$O$2=AH423),'2024DATA'!$E$10,"")</f>
        <v/>
      </c>
      <c r="AI431" s="518" t="str">
        <f>IF(AND(_B="A-330-200",'2024'!$O$4="FO",'2024'!$O$2=AI423),'2024DATA'!$F$10,"")</f>
        <v/>
      </c>
      <c r="AJ431" s="518" t="str">
        <f>IF(AND(_B="A-330-200",'2024'!$O$4="FO",'2024'!$O$2=AJ423),'2024DATA'!$G$10,"")</f>
        <v/>
      </c>
      <c r="AK431" s="518" t="str">
        <f>IF(AND(_B="A-330-200",'2024'!$O$4="FO",'2024'!$O$2=AK423),'2024DATA'!$H$10,"")</f>
        <v/>
      </c>
      <c r="AL431" s="518" t="str">
        <f>IF(AND(_B="A-330-200",'2024'!$O$4="FO",'2024'!$O$2=AL423),'2024DATA'!$I$10,"")</f>
        <v/>
      </c>
      <c r="AM431" s="518" t="str">
        <f>IF(AND(_B="A-330-200",'2024'!$O$4="FO",'2024'!$O$2=AM423),'2024DATA'!$J$10,"")</f>
        <v/>
      </c>
      <c r="AN431" s="518" t="str">
        <f>IF(AND(_B="A-330-200",'2024'!$O$4="FO",'2024'!$O$2=AN423),'2024DATA'!$K$10,"")</f>
        <v/>
      </c>
      <c r="AO431" s="518" t="str">
        <f>IF(AND(_B="A-330-200",'2024'!$O$4="FO",'2024'!$O$2=AO423),'2024DATA'!$L$10,"")</f>
        <v/>
      </c>
      <c r="AP431" s="518" t="str">
        <f>IF(AND(_B="A-330-200",'2024'!$O$4="FO",'2024'!$O$2=AP423),'2024DATA'!$M$10,"")</f>
        <v/>
      </c>
      <c r="AQ431" s="520" t="str">
        <f>IF(AND(_B="A-330-200",'2024'!$O$4="FO",'2024'!$O$2=AQ423),'2024DATA'!$N$10,"")</f>
        <v/>
      </c>
      <c r="AR431" s="940"/>
      <c r="AS431" s="13" t="s">
        <v>62</v>
      </c>
      <c r="AT431" s="518" t="str">
        <f>IF(AND(_C="A-330-200",'2024'!$O$4="FO",'2024'!$O$2=AT423),'2024DATA'!$C$10,"")</f>
        <v/>
      </c>
      <c r="AU431" s="518" t="str">
        <f>IF(AND(_C="A-330-200",'2024'!$O$4="FO",'2024'!$O$2=AU423),'2024DATA'!$D$10,"")</f>
        <v/>
      </c>
      <c r="AV431" s="518" t="str">
        <f>IF(AND(_C="A-330-200",'2024'!$O$4="FO",'2024'!$O$2=AV423),'2024DATA'!$E$10,"")</f>
        <v/>
      </c>
      <c r="AW431" s="518" t="str">
        <f>IF(AND(_C="A-330-200",'2024'!$O$4="FO",'2024'!$O$2=AW423),'2024DATA'!$F$10,"")</f>
        <v/>
      </c>
      <c r="AX431" s="518" t="str">
        <f>IF(AND(_C="A-330-200",'2024'!$O$4="FO",'2024'!$O$2=AX423),'2024DATA'!$G$10,"")</f>
        <v/>
      </c>
      <c r="AY431" s="518" t="str">
        <f>IF(AND(_C="A-330-200",'2024'!$O$4="FO",'2024'!$O$2=AY423),'2024DATA'!$H$10,"")</f>
        <v/>
      </c>
      <c r="AZ431" s="518" t="str">
        <f>IF(AND(_C="A-330-200",'2024'!$O$4="FO",'2024'!$O$2=AZ423),'2024DATA'!$I$10,"")</f>
        <v/>
      </c>
      <c r="BA431" s="518" t="str">
        <f>IF(AND(_C="A-330-200",'2024'!$O$4="FO",'2024'!$O$2=BA423),'2024DATA'!$J$10,"")</f>
        <v/>
      </c>
      <c r="BB431" s="518" t="str">
        <f>IF(AND(_C="A-330-200",'2024'!$O$4="FO",'2024'!$O$2=BB423),'2024DATA'!$K$10,"")</f>
        <v/>
      </c>
      <c r="BC431" s="518" t="str">
        <f>IF(AND(_C="A-330-200",'2024'!$O$4="FO",'2024'!$O$2=BC423),'2024DATA'!$L$10,"")</f>
        <v/>
      </c>
      <c r="BD431" s="518" t="str">
        <f>IF(AND(_C="A-330-200",'2024'!$O$4="FO",'2024'!$O$2=BD423),'2024DATA'!$M$10,"")</f>
        <v/>
      </c>
      <c r="BE431" s="520" t="str">
        <f>IF(AND(_C="A-330-200",'2024'!$O$4="FO",'2024'!$O$2=BE423),'2024DATA'!$N$10,"")</f>
        <v/>
      </c>
      <c r="BF431" s="940"/>
      <c r="BG431" s="13" t="s">
        <v>62</v>
      </c>
      <c r="BH431" s="518" t="str">
        <f>IF(AND(_D="A-330-200",'2024'!$O$4="FO",'2024'!$O$2=BH423),'2024DATA'!$C$10,"")</f>
        <v/>
      </c>
      <c r="BI431" s="518" t="str">
        <f>IF(AND(_D="A-330-200",'2024'!$O$4="FO",'2024'!$O$2=BI423),'2024DATA'!$D$10,"")</f>
        <v/>
      </c>
      <c r="BJ431" s="518" t="str">
        <f>IF(AND(_D="A-330-200",'2024'!$O$4="FO",'2024'!$O$2=BJ423),'2024DATA'!$E$10,"")</f>
        <v/>
      </c>
      <c r="BK431" s="518" t="str">
        <f>IF(AND(_D="A-330-200",'2024'!$O$4="FO",'2024'!$O$2=BK423),'2024DATA'!$F$10,"")</f>
        <v/>
      </c>
      <c r="BL431" s="518" t="str">
        <f>IF(AND(_D="A-330-200",'2024'!$O$4="FO",'2024'!$O$2=BL423),'2024DATA'!$G$10,"")</f>
        <v/>
      </c>
      <c r="BM431" s="518" t="str">
        <f>IF(AND(_D="A-330-200",'2024'!$O$4="FO",'2024'!$O$2=BM423),'2024DATA'!$H$10,"")</f>
        <v/>
      </c>
      <c r="BN431" s="518" t="str">
        <f>IF(AND(_D="A-330-200",'2024'!$O$4="FO",'2024'!$O$2=BN423),'2024DATA'!$I$10,"")</f>
        <v/>
      </c>
      <c r="BO431" s="518" t="str">
        <f>IF(AND(_D="A-330-200",'2024'!$O$4="FO",'2024'!$O$2=BO423),'2024DATA'!$J$10,"")</f>
        <v/>
      </c>
      <c r="BP431" s="518" t="str">
        <f>IF(AND(_D="A-330-200",'2024'!$O$4="FO",'2024'!$O$2=BP423),'2024DATA'!$K$10,"")</f>
        <v/>
      </c>
      <c r="BQ431" s="518" t="str">
        <f>IF(AND(_D="A-330-200",'2024'!$O$4="FO",'2024'!$O$2=BQ423),'2024DATA'!$L$10,"")</f>
        <v/>
      </c>
      <c r="BR431" s="518" t="str">
        <f>IF(AND(_D="A-330-200",'2024'!$O$4="FO",'2024'!$O$2=BR423),'2024DATA'!$M$10,"")</f>
        <v/>
      </c>
      <c r="BS431" s="520" t="str">
        <f>IF(AND(_D="A-330-200",'2024'!$O$4="FO",'2024'!$O$2=BS423),'2024DATA'!$N$10,"")</f>
        <v/>
      </c>
      <c r="BT431" s="940"/>
      <c r="BU431" s="13" t="s">
        <v>62</v>
      </c>
      <c r="BV431" s="518" t="str">
        <f>IF(AND(_E="A-330-200",'2024'!$O$4="FO",'2024'!$O$2=BV423),'2024DATA'!$C$10,"")</f>
        <v/>
      </c>
      <c r="BW431" s="518" t="str">
        <f>IF(AND(_E="A-330-200",'2024'!$O$4="FO",'2024'!$O$2=BW423),'2024DATA'!$D$10,"")</f>
        <v/>
      </c>
      <c r="BX431" s="518" t="str">
        <f>IF(AND(_E="A-330-200",'2024'!$O$4="FO",'2024'!$O$2=BX423),'2024DATA'!$E$10,"")</f>
        <v/>
      </c>
      <c r="BY431" s="518" t="str">
        <f>IF(AND(_E="A-330-200",'2024'!$O$4="FO",'2024'!$O$2=BY423),'2024DATA'!$F$10,"")</f>
        <v/>
      </c>
      <c r="BZ431" s="518" t="str">
        <f>IF(AND(_E="A-330-200",'2024'!$O$4="FO",'2024'!$O$2=BZ423),'2024DATA'!$G$10,"")</f>
        <v/>
      </c>
      <c r="CA431" s="518" t="str">
        <f>IF(AND(_E="A-330-200",'2024'!$O$4="FO",'2024'!$O$2=CA423),'2024DATA'!$H$10,"")</f>
        <v/>
      </c>
      <c r="CB431" s="518" t="str">
        <f>IF(AND(_E="A-330-200",'2024'!$O$4="FO",'2024'!$O$2=CB423),'2024DATA'!$I$10,"")</f>
        <v/>
      </c>
      <c r="CC431" s="518" t="str">
        <f>IF(AND(_E="A-330-200",'2024'!$O$4="FO",'2024'!$O$2=CC423),'2024DATA'!$J$10,"")</f>
        <v/>
      </c>
      <c r="CD431" s="518" t="str">
        <f>IF(AND(_E="A-330-200",'2024'!$O$4="FO",'2024'!$O$2=CD423),'2024DATA'!$K$10,"")</f>
        <v/>
      </c>
      <c r="CE431" s="518" t="str">
        <f>IF(AND(_E="A-330-200",'2024'!$O$4="FO",'2024'!$O$2=CE423),'2024DATA'!$L$10,"")</f>
        <v/>
      </c>
      <c r="CF431" s="518" t="str">
        <f>IF(AND(_E="A-330-200",'2024'!$O$4="FO",'2024'!$O$2=CF423),'2024DATA'!$M$10,"")</f>
        <v/>
      </c>
      <c r="CG431" s="520" t="str">
        <f>IF(AND(_E="A-330-200",'2024'!$O$4="FO",'2024'!$O$2=CG423),'2024DATA'!$N$10,"")</f>
        <v/>
      </c>
      <c r="CH431" s="940"/>
      <c r="CI431" s="13" t="s">
        <v>62</v>
      </c>
      <c r="CJ431" s="518" t="str">
        <f>IF(AND(_F="A-330-200",'2024'!$O$4="FO",'2024'!$O$2=CJ423),'2024DATA'!$C$10,"")</f>
        <v/>
      </c>
      <c r="CK431" s="518" t="str">
        <f>IF(AND(_F="A-330-200",'2024'!$O$4="FO",'2024'!$O$2=CK423),'2024DATA'!$D$10,"")</f>
        <v/>
      </c>
      <c r="CL431" s="518" t="str">
        <f>IF(AND(_F="A-330-200",'2024'!$O$4="FO",'2024'!$O$2=CL423),'2024DATA'!$E$10,"")</f>
        <v/>
      </c>
      <c r="CM431" s="518" t="str">
        <f>IF(AND(_F="A-330-200",'2024'!$O$4="FO",'2024'!$O$2=CM423),'2024DATA'!$F$10,"")</f>
        <v/>
      </c>
      <c r="CN431" s="518" t="str">
        <f>IF(AND(_F="A-330-200",'2024'!$O$4="FO",'2024'!$O$2=CN423),'2024DATA'!$G$10,"")</f>
        <v/>
      </c>
      <c r="CO431" s="518" t="str">
        <f>IF(AND(_F="A-330-200",'2024'!$O$4="FO",'2024'!$O$2=CO423),'2024DATA'!$H$10,"")</f>
        <v/>
      </c>
      <c r="CP431" s="518" t="str">
        <f>IF(AND(_F="A-330-200",'2024'!$O$4="FO",'2024'!$O$2=CP423),'2024DATA'!$I$10,"")</f>
        <v/>
      </c>
      <c r="CQ431" s="518" t="str">
        <f>IF(AND(_F="A-330-200",'2024'!$O$4="FO",'2024'!$O$2=CQ423),'2024DATA'!$J$10,"")</f>
        <v/>
      </c>
      <c r="CR431" s="518" t="str">
        <f>IF(AND(_F="A-330-200",'2024'!$O$4="FO",'2024'!$O$2=CR423),'2024DATA'!$K$10,"")</f>
        <v/>
      </c>
      <c r="CS431" s="518" t="str">
        <f>IF(AND(_F="A-330-200",'2024'!$O$4="FO",'2024'!$O$2=CS423),'2024DATA'!$L$10,"")</f>
        <v/>
      </c>
      <c r="CT431" s="518" t="str">
        <f>IF(AND(_F="A-330-200",'2024'!$O$4="FO",'2024'!$O$2=CT423),'2024DATA'!$M$10,"")</f>
        <v/>
      </c>
      <c r="CU431" s="520" t="str">
        <f>IF(AND(_F="A-330-200",'2024'!$O$4="FO",'2024'!$O$2=CU423),'2024DATA'!$N$10,"")</f>
        <v/>
      </c>
    </row>
    <row r="432" spans="16:99" x14ac:dyDescent="0.25">
      <c r="P432" s="940" t="s">
        <v>42</v>
      </c>
      <c r="Q432" s="13" t="s">
        <v>61</v>
      </c>
      <c r="R432" s="518" t="str">
        <f>IF(AND(_A="B-767-400ER",'2024'!$O$4="CA",'2024'!$O$2=R423),'2024DATA'!$C$11,"")</f>
        <v/>
      </c>
      <c r="S432" s="518" t="str">
        <f>IF(AND(_A="B-767-400ER",'2024'!$O$4="CA",'2024'!$O$2=S423),'2024DATA'!$D$11,"")</f>
        <v/>
      </c>
      <c r="T432" s="518" t="str">
        <f>IF(AND(_A="B-767-400ER",'2024'!$O$4="CA",'2024'!$O$2=T423),'2024DATA'!$E$11,"")</f>
        <v/>
      </c>
      <c r="U432" s="518" t="str">
        <f>IF(AND(_A="B-767-400ER",'2024'!$O$4="CA",'2024'!$O$2=U423),'2024DATA'!$F$11,"")</f>
        <v/>
      </c>
      <c r="V432" s="518" t="str">
        <f>IF(AND(_A="B-767-400ER",'2024'!$O$4="CA",'2024'!$O$2=V423),'2024DATA'!$G$11,"")</f>
        <v/>
      </c>
      <c r="W432" s="518" t="str">
        <f>IF(AND(_A="B-767-400ER",'2024'!$O$4="CA",'2024'!$O$2=W423),'2024DATA'!$H$11,"")</f>
        <v/>
      </c>
      <c r="X432" s="518" t="str">
        <f>IF(AND(_A="B-767-400ER",'2024'!$O$4="CA",'2024'!$O$2=X423),'2024DATA'!$I$11,"")</f>
        <v/>
      </c>
      <c r="Y432" s="518" t="str">
        <f>IF(AND(_A="B-767-400ER",'2024'!$O$4="CA",'2024'!$O$2=Y423),'2024DATA'!$J$11,"")</f>
        <v/>
      </c>
      <c r="Z432" s="518" t="str">
        <f>IF(AND(_A="B-767-400ER",'2024'!$O$4="CA",'2024'!$O$2=Z423),'2024DATA'!$K$11,"")</f>
        <v/>
      </c>
      <c r="AA432" s="518" t="str">
        <f>IF(AND(_A="B-767-400ER",'2024'!$O$4="CA",'2024'!$O$2=AA423),'2024DATA'!$L$11,"")</f>
        <v/>
      </c>
      <c r="AB432" s="518" t="str">
        <f>IF(AND(_A="B-767-400ER",'2024'!$O$4="CA",'2024'!$O$2=AB423),'2024DATA'!$M$11,"")</f>
        <v/>
      </c>
      <c r="AC432" s="520" t="str">
        <f>IF(AND(_A="B-767-400ER",'2024'!$O$4="CA",'2024'!$O$2=AC423),'2024DATA'!$N$11,"")</f>
        <v/>
      </c>
      <c r="AD432" s="940" t="s">
        <v>42</v>
      </c>
      <c r="AE432" s="13" t="s">
        <v>61</v>
      </c>
      <c r="AF432" s="518" t="str">
        <f>IF(AND(_B="B-767-400ER",'2024'!$O$4="CA",'2024'!$O$2=AF423),'2024DATA'!$C$11,"")</f>
        <v/>
      </c>
      <c r="AG432" s="518" t="str">
        <f>IF(AND(_B="B-767-400ER",'2024'!$O$4="CA",'2024'!$O$2=AG423),'2024DATA'!$D$11,"")</f>
        <v/>
      </c>
      <c r="AH432" s="518" t="str">
        <f>IF(AND(_B="B-767-400ER",'2024'!$O$4="CA",'2024'!$O$2=AH423),'2024DATA'!$E$11,"")</f>
        <v/>
      </c>
      <c r="AI432" s="518" t="str">
        <f>IF(AND(_B="B-767-400ER",'2024'!$O$4="CA",'2024'!$O$2=AI423),'2024DATA'!$F$11,"")</f>
        <v/>
      </c>
      <c r="AJ432" s="518" t="str">
        <f>IF(AND(_B="B-767-400ER",'2024'!$O$4="CA",'2024'!$O$2=AJ423),'2024DATA'!$G$11,"")</f>
        <v/>
      </c>
      <c r="AK432" s="518" t="str">
        <f>IF(AND(_B="B-767-400ER",'2024'!$O$4="CA",'2024'!$O$2=AK423),'2024DATA'!$H$11,"")</f>
        <v/>
      </c>
      <c r="AL432" s="518" t="str">
        <f>IF(AND(_B="B-767-400ER",'2024'!$O$4="CA",'2024'!$O$2=AL423),'2024DATA'!$I$11,"")</f>
        <v/>
      </c>
      <c r="AM432" s="518" t="str">
        <f>IF(AND(_B="B-767-400ER",'2024'!$O$4="CA",'2024'!$O$2=AM423),'2024DATA'!$J$11,"")</f>
        <v/>
      </c>
      <c r="AN432" s="518" t="str">
        <f>IF(AND(_B="B-767-400ER",'2024'!$O$4="CA",'2024'!$O$2=AN423),'2024DATA'!$K$11,"")</f>
        <v/>
      </c>
      <c r="AO432" s="518" t="str">
        <f>IF(AND(_B="B-767-400ER",'2024'!$O$4="CA",'2024'!$O$2=AO423),'2024DATA'!$L$11,"")</f>
        <v/>
      </c>
      <c r="AP432" s="518" t="str">
        <f>IF(AND(_B="B-767-400ER",'2024'!$O$4="CA",'2024'!$O$2=AP423),'2024DATA'!$M$11,"")</f>
        <v/>
      </c>
      <c r="AQ432" s="520" t="str">
        <f>IF(AND(_B="B-767-400ER",'2024'!$O$4="CA",'2024'!$O$2=AQ423),'2024DATA'!$N$11,"")</f>
        <v/>
      </c>
      <c r="AR432" s="940" t="s">
        <v>42</v>
      </c>
      <c r="AS432" s="13" t="s">
        <v>61</v>
      </c>
      <c r="AT432" s="518" t="str">
        <f>IF(AND(_C="B-767-400ER",'2024'!$O$4="CA",'2024'!$O$2=AT423),'2024DATA'!$C$11,"")</f>
        <v/>
      </c>
      <c r="AU432" s="518" t="str">
        <f>IF(AND(_C="B-767-400ER",'2024'!$O$4="CA",'2024'!$O$2=AU423),'2024DATA'!$D$11,"")</f>
        <v/>
      </c>
      <c r="AV432" s="518" t="str">
        <f>IF(AND(_C="B-767-400ER",'2024'!$O$4="CA",'2024'!$O$2=AV423),'2024DATA'!$E$11,"")</f>
        <v/>
      </c>
      <c r="AW432" s="518" t="str">
        <f>IF(AND(_C="B-767-400ER",'2024'!$O$4="CA",'2024'!$O$2=AW423),'2024DATA'!$F$11,"")</f>
        <v/>
      </c>
      <c r="AX432" s="518" t="str">
        <f>IF(AND(_C="B-767-400ER",'2024'!$O$4="CA",'2024'!$O$2=AX423),'2024DATA'!$G$11,"")</f>
        <v/>
      </c>
      <c r="AY432" s="518" t="str">
        <f>IF(AND(_C="B-767-400ER",'2024'!$O$4="CA",'2024'!$O$2=AY423),'2024DATA'!$H$11,"")</f>
        <v/>
      </c>
      <c r="AZ432" s="518" t="str">
        <f>IF(AND(_C="B-767-400ER",'2024'!$O$4="CA",'2024'!$O$2=AZ423),'2024DATA'!$I$11,"")</f>
        <v/>
      </c>
      <c r="BA432" s="518" t="str">
        <f>IF(AND(_C="B-767-400ER",'2024'!$O$4="CA",'2024'!$O$2=BA423),'2024DATA'!$J$11,"")</f>
        <v/>
      </c>
      <c r="BB432" s="518" t="str">
        <f>IF(AND(_C="B-767-400ER",'2024'!$O$4="CA",'2024'!$O$2=BB423),'2024DATA'!$K$11,"")</f>
        <v/>
      </c>
      <c r="BC432" s="518" t="str">
        <f>IF(AND(_C="B-767-400ER",'2024'!$O$4="CA",'2024'!$O$2=BC423),'2024DATA'!$L$11,"")</f>
        <v/>
      </c>
      <c r="BD432" s="518" t="str">
        <f>IF(AND(_C="B-767-400ER",'2024'!$O$4="CA",'2024'!$O$2=BD423),'2024DATA'!$M$11,"")</f>
        <v/>
      </c>
      <c r="BE432" s="520" t="str">
        <f>IF(AND(_C="B-767-400ER",'2024'!$O$4="CA",'2024'!$O$2=BE423),'2024DATA'!$N$11,"")</f>
        <v/>
      </c>
      <c r="BF432" s="940" t="s">
        <v>42</v>
      </c>
      <c r="BG432" s="13" t="s">
        <v>61</v>
      </c>
      <c r="BH432" s="518" t="str">
        <f>IF(AND(_D="B-767-400ER",'2024'!$O$4="CA",'2024'!$O$2=BH423),'2024DATA'!$C$11,"")</f>
        <v/>
      </c>
      <c r="BI432" s="518" t="str">
        <f>IF(AND(_D="B-767-400ER",'2024'!$O$4="CA",'2024'!$O$2=BI423),'2024DATA'!$D$11,"")</f>
        <v/>
      </c>
      <c r="BJ432" s="518" t="str">
        <f>IF(AND(_D="B-767-400ER",'2024'!$O$4="CA",'2024'!$O$2=BJ423),'2024DATA'!$E$11,"")</f>
        <v/>
      </c>
      <c r="BK432" s="518" t="str">
        <f>IF(AND(_D="B-767-400ER",'2024'!$O$4="CA",'2024'!$O$2=BK423),'2024DATA'!$F$11,"")</f>
        <v/>
      </c>
      <c r="BL432" s="518" t="str">
        <f>IF(AND(_D="B-767-400ER",'2024'!$O$4="CA",'2024'!$O$2=BL423),'2024DATA'!$G$11,"")</f>
        <v/>
      </c>
      <c r="BM432" s="518" t="str">
        <f>IF(AND(_D="B-767-400ER",'2024'!$O$4="CA",'2024'!$O$2=BM423),'2024DATA'!$H$11,"")</f>
        <v/>
      </c>
      <c r="BN432" s="518" t="str">
        <f>IF(AND(_D="B-767-400ER",'2024'!$O$4="CA",'2024'!$O$2=BN423),'2024DATA'!$I$11,"")</f>
        <v/>
      </c>
      <c r="BO432" s="518" t="str">
        <f>IF(AND(_D="B-767-400ER",'2024'!$O$4="CA",'2024'!$O$2=BO423),'2024DATA'!$J$11,"")</f>
        <v/>
      </c>
      <c r="BP432" s="518" t="str">
        <f>IF(AND(_D="B-767-400ER",'2024'!$O$4="CA",'2024'!$O$2=BP423),'2024DATA'!$K$11,"")</f>
        <v/>
      </c>
      <c r="BQ432" s="518" t="str">
        <f>IF(AND(_D="B-767-400ER",'2024'!$O$4="CA",'2024'!$O$2=BQ423),'2024DATA'!$L$11,"")</f>
        <v/>
      </c>
      <c r="BR432" s="518" t="str">
        <f>IF(AND(_D="B-767-400ER",'2024'!$O$4="CA",'2024'!$O$2=BR423),'2024DATA'!$M$11,"")</f>
        <v/>
      </c>
      <c r="BS432" s="520" t="str">
        <f>IF(AND(_D="B-767-400ER",'2024'!$O$4="CA",'2024'!$O$2=BS423),'2024DATA'!$N$11,"")</f>
        <v/>
      </c>
      <c r="BT432" s="940" t="s">
        <v>42</v>
      </c>
      <c r="BU432" s="13" t="s">
        <v>61</v>
      </c>
      <c r="BV432" s="518" t="str">
        <f>IF(AND(_E="B-767-400ER",'2024'!$O$4="CA",'2024'!$O$2=BV423),'2024DATA'!$C$11,"")</f>
        <v/>
      </c>
      <c r="BW432" s="518" t="str">
        <f>IF(AND(_E="B-767-400ER",'2024'!$O$4="CA",'2024'!$O$2=BW423),'2024DATA'!$D$11,"")</f>
        <v/>
      </c>
      <c r="BX432" s="518" t="str">
        <f>IF(AND(_E="B-767-400ER",'2024'!$O$4="CA",'2024'!$O$2=BX423),'2024DATA'!$E$11,"")</f>
        <v/>
      </c>
      <c r="BY432" s="518" t="str">
        <f>IF(AND(_E="B-767-400ER",'2024'!$O$4="CA",'2024'!$O$2=BY423),'2024DATA'!$F$11,"")</f>
        <v/>
      </c>
      <c r="BZ432" s="518" t="str">
        <f>IF(AND(_E="B-767-400ER",'2024'!$O$4="CA",'2024'!$O$2=BZ423),'2024DATA'!$G$11,"")</f>
        <v/>
      </c>
      <c r="CA432" s="518" t="str">
        <f>IF(AND(_E="B-767-400ER",'2024'!$O$4="CA",'2024'!$O$2=CA423),'2024DATA'!$H$11,"")</f>
        <v/>
      </c>
      <c r="CB432" s="518" t="str">
        <f>IF(AND(_E="B-767-400ER",'2024'!$O$4="CA",'2024'!$O$2=CB423),'2024DATA'!$I$11,"")</f>
        <v/>
      </c>
      <c r="CC432" s="518" t="str">
        <f>IF(AND(_E="B-767-400ER",'2024'!$O$4="CA",'2024'!$O$2=CC423),'2024DATA'!$J$11,"")</f>
        <v/>
      </c>
      <c r="CD432" s="518" t="str">
        <f>IF(AND(_E="B-767-400ER",'2024'!$O$4="CA",'2024'!$O$2=CD423),'2024DATA'!$K$11,"")</f>
        <v/>
      </c>
      <c r="CE432" s="518" t="str">
        <f>IF(AND(_E="B-767-400ER",'2024'!$O$4="CA",'2024'!$O$2=CE423),'2024DATA'!$L$11,"")</f>
        <v/>
      </c>
      <c r="CF432" s="518" t="str">
        <f>IF(AND(_E="B-767-400ER",'2024'!$O$4="CA",'2024'!$O$2=CF423),'2024DATA'!$M$11,"")</f>
        <v/>
      </c>
      <c r="CG432" s="520" t="str">
        <f>IF(AND(_E="B-767-400ER",'2024'!$O$4="CA",'2024'!$O$2=CG423),'2024DATA'!$N$11,"")</f>
        <v/>
      </c>
      <c r="CH432" s="940" t="s">
        <v>42</v>
      </c>
      <c r="CI432" s="13" t="s">
        <v>61</v>
      </c>
      <c r="CJ432" s="518" t="str">
        <f>IF(AND(_F="B-767-400ER",'2024'!$O$4="CA",'2024'!$O$2=CJ423),'2024DATA'!$C$11,"")</f>
        <v/>
      </c>
      <c r="CK432" s="518" t="str">
        <f>IF(AND(_F="B-767-400ER",'2024'!$O$4="CA",'2024'!$O$2=CK423),'2024DATA'!$D$11,"")</f>
        <v/>
      </c>
      <c r="CL432" s="518" t="str">
        <f>IF(AND(_F="B-767-400ER",'2024'!$O$4="CA",'2024'!$O$2=CL423),'2024DATA'!$E$11,"")</f>
        <v/>
      </c>
      <c r="CM432" s="518" t="str">
        <f>IF(AND(_F="B-767-400ER",'2024'!$O$4="CA",'2024'!$O$2=CM423),'2024DATA'!$F$11,"")</f>
        <v/>
      </c>
      <c r="CN432" s="518" t="str">
        <f>IF(AND(_F="B-767-400ER",'2024'!$O$4="CA",'2024'!$O$2=CN423),'2024DATA'!$G$11,"")</f>
        <v/>
      </c>
      <c r="CO432" s="518" t="str">
        <f>IF(AND(_F="B-767-400ER",'2024'!$O$4="CA",'2024'!$O$2=CO423),'2024DATA'!$H$11,"")</f>
        <v/>
      </c>
      <c r="CP432" s="518" t="str">
        <f>IF(AND(_F="B-767-400ER",'2024'!$O$4="CA",'2024'!$O$2=CP423),'2024DATA'!$I$11,"")</f>
        <v/>
      </c>
      <c r="CQ432" s="518" t="str">
        <f>IF(AND(_F="B-767-400ER",'2024'!$O$4="CA",'2024'!$O$2=CQ423),'2024DATA'!$J$11,"")</f>
        <v/>
      </c>
      <c r="CR432" s="518" t="str">
        <f>IF(AND(_F="B-767-400ER",'2024'!$O$4="CA",'2024'!$O$2=CR423),'2024DATA'!$K$11,"")</f>
        <v/>
      </c>
      <c r="CS432" s="518" t="str">
        <f>IF(AND(_F="B-767-400ER",'2024'!$O$4="CA",'2024'!$O$2=CS423),'2024DATA'!$L$11,"")</f>
        <v/>
      </c>
      <c r="CT432" s="518" t="str">
        <f>IF(AND(_F="B-767-400ER",'2024'!$O$4="CA",'2024'!$O$2=CT423),'2024DATA'!$M$11,"")</f>
        <v/>
      </c>
      <c r="CU432" s="520" t="str">
        <f>IF(AND(_F="B-767-400ER",'2024'!$O$4="CA",'2024'!$O$2=CU423),'2024DATA'!$N$11,"")</f>
        <v/>
      </c>
    </row>
    <row r="433" spans="16:99" x14ac:dyDescent="0.25">
      <c r="P433" s="940"/>
      <c r="Q433" s="13" t="s">
        <v>62</v>
      </c>
      <c r="R433" s="518" t="str">
        <f>IF(AND(_A="B-767-400ER",'2024'!$O$4="FO",'2024'!$O$2=R423),'2024DATA'!$C$12,"")</f>
        <v/>
      </c>
      <c r="S433" s="518" t="str">
        <f>IF(AND(_A="B-767-400ER",'2024'!$O$4="FO",'2024'!$O$2=S423),'2024DATA'!$D$12,"")</f>
        <v/>
      </c>
      <c r="T433" s="518" t="str">
        <f>IF(AND(_A="B-767-400ER",'2024'!$O$4="FO",'2024'!$O$2=T423),'2024DATA'!$E$12,"")</f>
        <v/>
      </c>
      <c r="U433" s="518" t="str">
        <f>IF(AND(_A="B-767-400ER",'2024'!$O$4="FO",'2024'!$O$2=U423),'2024DATA'!$F$12,"")</f>
        <v/>
      </c>
      <c r="V433" s="518" t="str">
        <f>IF(AND(_A="B-767-400ER",'2024'!$O$4="FO",'2024'!$O$2=V423),'2024DATA'!$G$12,"")</f>
        <v/>
      </c>
      <c r="W433" s="518" t="str">
        <f>IF(AND(_A="B-767-400ER",'2024'!$O$4="FO",'2024'!$O$2=W423),'2024DATA'!$H$12,"")</f>
        <v/>
      </c>
      <c r="X433" s="518" t="str">
        <f>IF(AND(_A="B-767-400ER",'2024'!$O$4="FO",'2024'!$O$2=X423),'2024DATA'!$I$12,"")</f>
        <v/>
      </c>
      <c r="Y433" s="518" t="str">
        <f>IF(AND(_A="B-767-400ER",'2024'!$O$4="FO",'2024'!$O$2=Y423),'2024DATA'!$J$12,"")</f>
        <v/>
      </c>
      <c r="Z433" s="518" t="str">
        <f>IF(AND(_A="B-767-400ER",'2024'!$O$4="FO",'2024'!$O$2=Z423),'2024DATA'!$K$12,"")</f>
        <v/>
      </c>
      <c r="AA433" s="518" t="str">
        <f>IF(AND(_A="B-767-400ER",'2024'!$O$4="FO",'2024'!$O$2=AA423),'2024DATA'!$L$12,"")</f>
        <v/>
      </c>
      <c r="AB433" s="518" t="str">
        <f>IF(AND(_A="B-767-400ER",'2024'!$O$4="FO",'2024'!$O$2=AB423),'2024DATA'!$M$12,"")</f>
        <v/>
      </c>
      <c r="AC433" s="520" t="str">
        <f>IF(AND(_A="B-767-400ER",'2024'!$O$4="FO",'2024'!$O$2=AC423),'2024DATA'!$N$12,"")</f>
        <v/>
      </c>
      <c r="AD433" s="940"/>
      <c r="AE433" s="13" t="s">
        <v>62</v>
      </c>
      <c r="AF433" s="518" t="str">
        <f>IF(AND(_B="B-767-400ER",'2024'!$O$4="FO",'2024'!$O$2=AF423),'2024DATA'!$C$12,"")</f>
        <v/>
      </c>
      <c r="AG433" s="518" t="str">
        <f>IF(AND(_B="B-767-400ER",'2024'!$O$4="FO",'2024'!$O$2=AG423),'2024DATA'!$D$12,"")</f>
        <v/>
      </c>
      <c r="AH433" s="518" t="str">
        <f>IF(AND(_B="B-767-400ER",'2024'!$O$4="FO",'2024'!$O$2=AH423),'2024DATA'!$E$12,"")</f>
        <v/>
      </c>
      <c r="AI433" s="518" t="str">
        <f>IF(AND(_B="B-767-400ER",'2024'!$O$4="FO",'2024'!$O$2=AI423),'2024DATA'!$F$12,"")</f>
        <v/>
      </c>
      <c r="AJ433" s="518" t="str">
        <f>IF(AND(_B="B-767-400ER",'2024'!$O$4="FO",'2024'!$O$2=AJ423),'2024DATA'!$G$12,"")</f>
        <v/>
      </c>
      <c r="AK433" s="518" t="str">
        <f>IF(AND(_B="B-767-400ER",'2024'!$O$4="FO",'2024'!$O$2=AK423),'2024DATA'!$H$12,"")</f>
        <v/>
      </c>
      <c r="AL433" s="518" t="str">
        <f>IF(AND(_B="B-767-400ER",'2024'!$O$4="FO",'2024'!$O$2=AL423),'2024DATA'!$I$12,"")</f>
        <v/>
      </c>
      <c r="AM433" s="518" t="str">
        <f>IF(AND(_B="B-767-400ER",'2024'!$O$4="FO",'2024'!$O$2=AM423),'2024DATA'!$J$12,"")</f>
        <v/>
      </c>
      <c r="AN433" s="518" t="str">
        <f>IF(AND(_B="B-767-400ER",'2024'!$O$4="FO",'2024'!$O$2=AN423),'2024DATA'!$K$12,"")</f>
        <v/>
      </c>
      <c r="AO433" s="518" t="str">
        <f>IF(AND(_B="B-767-400ER",'2024'!$O$4="FO",'2024'!$O$2=AO423),'2024DATA'!$L$12,"")</f>
        <v/>
      </c>
      <c r="AP433" s="518" t="str">
        <f>IF(AND(_B="B-767-400ER",'2024'!$O$4="FO",'2024'!$O$2=AP423),'2024DATA'!$M$12,"")</f>
        <v/>
      </c>
      <c r="AQ433" s="520" t="str">
        <f>IF(AND(_B="B-767-400ER",'2024'!$O$4="FO",'2024'!$O$2=AQ423),'2024DATA'!$N$12,"")</f>
        <v/>
      </c>
      <c r="AR433" s="940"/>
      <c r="AS433" s="13" t="s">
        <v>62</v>
      </c>
      <c r="AT433" s="518" t="str">
        <f>IF(AND(_C="B-767-400ER",'2024'!$O$4="FO",'2024'!$O$2=AT423),'2024DATA'!$C$12,"")</f>
        <v/>
      </c>
      <c r="AU433" s="518" t="str">
        <f>IF(AND(_C="B-767-400ER",'2024'!$O$4="FO",'2024'!$O$2=AU423),'2024DATA'!$D$12,"")</f>
        <v/>
      </c>
      <c r="AV433" s="518" t="str">
        <f>IF(AND(_C="B-767-400ER",'2024'!$O$4="FO",'2024'!$O$2=AV423),'2024DATA'!$E$12,"")</f>
        <v/>
      </c>
      <c r="AW433" s="518" t="str">
        <f>IF(AND(_C="B-767-400ER",'2024'!$O$4="FO",'2024'!$O$2=AW423),'2024DATA'!$F$12,"")</f>
        <v/>
      </c>
      <c r="AX433" s="518" t="str">
        <f>IF(AND(_C="B-767-400ER",'2024'!$O$4="FO",'2024'!$O$2=AX423),'2024DATA'!$G$12,"")</f>
        <v/>
      </c>
      <c r="AY433" s="518" t="str">
        <f>IF(AND(_C="B-767-400ER",'2024'!$O$4="FO",'2024'!$O$2=AY423),'2024DATA'!$H$12,"")</f>
        <v/>
      </c>
      <c r="AZ433" s="518" t="str">
        <f>IF(AND(_C="B-767-400ER",'2024'!$O$4="FO",'2024'!$O$2=AZ423),'2024DATA'!$I$12,"")</f>
        <v/>
      </c>
      <c r="BA433" s="518" t="str">
        <f>IF(AND(_C="B-767-400ER",'2024'!$O$4="FO",'2024'!$O$2=BA423),'2024DATA'!$J$12,"")</f>
        <v/>
      </c>
      <c r="BB433" s="518" t="str">
        <f>IF(AND(_C="B-767-400ER",'2024'!$O$4="FO",'2024'!$O$2=BB423),'2024DATA'!$K$12,"")</f>
        <v/>
      </c>
      <c r="BC433" s="518" t="str">
        <f>IF(AND(_C="B-767-400ER",'2024'!$O$4="FO",'2024'!$O$2=BC423),'2024DATA'!$L$12,"")</f>
        <v/>
      </c>
      <c r="BD433" s="518" t="str">
        <f>IF(AND(_C="B-767-400ER",'2024'!$O$4="FO",'2024'!$O$2=BD423),'2024DATA'!$M$12,"")</f>
        <v/>
      </c>
      <c r="BE433" s="520" t="str">
        <f>IF(AND(_C="B-767-400ER",'2024'!$O$4="FO",'2024'!$O$2=BE423),'2024DATA'!$N$12,"")</f>
        <v/>
      </c>
      <c r="BF433" s="940"/>
      <c r="BG433" s="13" t="s">
        <v>62</v>
      </c>
      <c r="BH433" s="518" t="str">
        <f>IF(AND(_D="B-767-400ER",'2024'!$O$4="FO",'2024'!$O$2=BH423),'2024DATA'!$C$12,"")</f>
        <v/>
      </c>
      <c r="BI433" s="518" t="str">
        <f>IF(AND(_D="B-767-400ER",'2024'!$O$4="FO",'2024'!$O$2=BI423),'2024DATA'!$D$12,"")</f>
        <v/>
      </c>
      <c r="BJ433" s="518" t="str">
        <f>IF(AND(_D="B-767-400ER",'2024'!$O$4="FO",'2024'!$O$2=BJ423),'2024DATA'!$E$12,"")</f>
        <v/>
      </c>
      <c r="BK433" s="518" t="str">
        <f>IF(AND(_D="B-767-400ER",'2024'!$O$4="FO",'2024'!$O$2=BK423),'2024DATA'!$F$12,"")</f>
        <v/>
      </c>
      <c r="BL433" s="518" t="str">
        <f>IF(AND(_D="B-767-400ER",'2024'!$O$4="FO",'2024'!$O$2=BL423),'2024DATA'!$G$12,"")</f>
        <v/>
      </c>
      <c r="BM433" s="518" t="str">
        <f>IF(AND(_D="B-767-400ER",'2024'!$O$4="FO",'2024'!$O$2=BM423),'2024DATA'!$H$12,"")</f>
        <v/>
      </c>
      <c r="BN433" s="518" t="str">
        <f>IF(AND(_D="B-767-400ER",'2024'!$O$4="FO",'2024'!$O$2=BN423),'2024DATA'!$I$12,"")</f>
        <v/>
      </c>
      <c r="BO433" s="518" t="str">
        <f>IF(AND(_D="B-767-400ER",'2024'!$O$4="FO",'2024'!$O$2=BO423),'2024DATA'!$J$12,"")</f>
        <v/>
      </c>
      <c r="BP433" s="518" t="str">
        <f>IF(AND(_D="B-767-400ER",'2024'!$O$4="FO",'2024'!$O$2=BP423),'2024DATA'!$K$12,"")</f>
        <v/>
      </c>
      <c r="BQ433" s="518" t="str">
        <f>IF(AND(_D="B-767-400ER",'2024'!$O$4="FO",'2024'!$O$2=BQ423),'2024DATA'!$L$12,"")</f>
        <v/>
      </c>
      <c r="BR433" s="518" t="str">
        <f>IF(AND(_D="B-767-400ER",'2024'!$O$4="FO",'2024'!$O$2=BR423),'2024DATA'!$M$12,"")</f>
        <v/>
      </c>
      <c r="BS433" s="520" t="str">
        <f>IF(AND(_D="B-767-400ER",'2024'!$O$4="FO",'2024'!$O$2=BS423),'2024DATA'!$N$12,"")</f>
        <v/>
      </c>
      <c r="BT433" s="940"/>
      <c r="BU433" s="13" t="s">
        <v>62</v>
      </c>
      <c r="BV433" s="518" t="str">
        <f>IF(AND(_E="B-767-400ER",'2024'!$O$4="FO",'2024'!$O$2=BV423),'2024DATA'!$C$12,"")</f>
        <v/>
      </c>
      <c r="BW433" s="518" t="str">
        <f>IF(AND(_E="B-767-400ER",'2024'!$O$4="FO",'2024'!$O$2=BW423),'2024DATA'!$D$12,"")</f>
        <v/>
      </c>
      <c r="BX433" s="518" t="str">
        <f>IF(AND(_E="B-767-400ER",'2024'!$O$4="FO",'2024'!$O$2=BX423),'2024DATA'!$E$12,"")</f>
        <v/>
      </c>
      <c r="BY433" s="518" t="str">
        <f>IF(AND(_E="B-767-400ER",'2024'!$O$4="FO",'2024'!$O$2=BY423),'2024DATA'!$F$12,"")</f>
        <v/>
      </c>
      <c r="BZ433" s="518" t="str">
        <f>IF(AND(_E="B-767-400ER",'2024'!$O$4="FO",'2024'!$O$2=BZ423),'2024DATA'!$G$12,"")</f>
        <v/>
      </c>
      <c r="CA433" s="518" t="str">
        <f>IF(AND(_E="B-767-400ER",'2024'!$O$4="FO",'2024'!$O$2=CA423),'2024DATA'!$H$12,"")</f>
        <v/>
      </c>
      <c r="CB433" s="518" t="str">
        <f>IF(AND(_E="B-767-400ER",'2024'!$O$4="FO",'2024'!$O$2=CB423),'2024DATA'!$I$12,"")</f>
        <v/>
      </c>
      <c r="CC433" s="518" t="str">
        <f>IF(AND(_E="B-767-400ER",'2024'!$O$4="FO",'2024'!$O$2=CC423),'2024DATA'!$J$12,"")</f>
        <v/>
      </c>
      <c r="CD433" s="518" t="str">
        <f>IF(AND(_E="B-767-400ER",'2024'!$O$4="FO",'2024'!$O$2=CD423),'2024DATA'!$K$12,"")</f>
        <v/>
      </c>
      <c r="CE433" s="518" t="str">
        <f>IF(AND(_E="B-767-400ER",'2024'!$O$4="FO",'2024'!$O$2=CE423),'2024DATA'!$L$12,"")</f>
        <v/>
      </c>
      <c r="CF433" s="518" t="str">
        <f>IF(AND(_E="B-767-400ER",'2024'!$O$4="FO",'2024'!$O$2=CF423),'2024DATA'!$M$12,"")</f>
        <v/>
      </c>
      <c r="CG433" s="520" t="str">
        <f>IF(AND(_E="B-767-400ER",'2024'!$O$4="FO",'2024'!$O$2=CG423),'2024DATA'!$N$12,"")</f>
        <v/>
      </c>
      <c r="CH433" s="940"/>
      <c r="CI433" s="13" t="s">
        <v>62</v>
      </c>
      <c r="CJ433" s="518" t="str">
        <f>IF(AND(_F="B-767-400ER",'2024'!$O$4="FO",'2024'!$O$2=CJ423),'2024DATA'!$C$12,"")</f>
        <v/>
      </c>
      <c r="CK433" s="518" t="str">
        <f>IF(AND(_F="B-767-400ER",'2024'!$O$4="FO",'2024'!$O$2=CK423),'2024DATA'!$D$12,"")</f>
        <v/>
      </c>
      <c r="CL433" s="518" t="str">
        <f>IF(AND(_F="B-767-400ER",'2024'!$O$4="FO",'2024'!$O$2=CL423),'2024DATA'!$E$12,"")</f>
        <v/>
      </c>
      <c r="CM433" s="518" t="str">
        <f>IF(AND(_F="B-767-400ER",'2024'!$O$4="FO",'2024'!$O$2=CM423),'2024DATA'!$F$12,"")</f>
        <v/>
      </c>
      <c r="CN433" s="518" t="str">
        <f>IF(AND(_F="B-767-400ER",'2024'!$O$4="FO",'2024'!$O$2=CN423),'2024DATA'!$G$12,"")</f>
        <v/>
      </c>
      <c r="CO433" s="518" t="str">
        <f>IF(AND(_F="B-767-400ER",'2024'!$O$4="FO",'2024'!$O$2=CO423),'2024DATA'!$H$12,"")</f>
        <v/>
      </c>
      <c r="CP433" s="518" t="str">
        <f>IF(AND(_F="B-767-400ER",'2024'!$O$4="FO",'2024'!$O$2=CP423),'2024DATA'!$I$12,"")</f>
        <v/>
      </c>
      <c r="CQ433" s="518" t="str">
        <f>IF(AND(_F="B-767-400ER",'2024'!$O$4="FO",'2024'!$O$2=CQ423),'2024DATA'!$J$12,"")</f>
        <v/>
      </c>
      <c r="CR433" s="518" t="str">
        <f>IF(AND(_F="B-767-400ER",'2024'!$O$4="FO",'2024'!$O$2=CR423),'2024DATA'!$K$12,"")</f>
        <v/>
      </c>
      <c r="CS433" s="518" t="str">
        <f>IF(AND(_F="B-767-400ER",'2024'!$O$4="FO",'2024'!$O$2=CS423),'2024DATA'!$L$12,"")</f>
        <v/>
      </c>
      <c r="CT433" s="518" t="str">
        <f>IF(AND(_F="B-767-400ER",'2024'!$O$4="FO",'2024'!$O$2=CT423),'2024DATA'!$M$12,"")</f>
        <v/>
      </c>
      <c r="CU433" s="520" t="str">
        <f>IF(AND(_F="B-767-400ER",'2024'!$O$4="FO",'2024'!$O$2=CU423),'2024DATA'!$N$12,"")</f>
        <v/>
      </c>
    </row>
    <row r="434" spans="16:99" x14ac:dyDescent="0.25">
      <c r="P434" s="940" t="s">
        <v>43</v>
      </c>
      <c r="Q434" s="13" t="s">
        <v>61</v>
      </c>
      <c r="R434" s="518" t="str">
        <f>IF(AND(_A="B-767-300ER",'2024'!$O$4="CA",'2024'!$O$2=R423),'2024DATA'!$C$13,"")</f>
        <v/>
      </c>
      <c r="S434" s="518" t="str">
        <f>IF(AND(_A="B-767-300ER",'2024'!$O$4="CA",'2024'!$O$2=S423),'2024DATA'!$D$13,"")</f>
        <v/>
      </c>
      <c r="T434" s="518" t="str">
        <f>IF(AND(_A="B-767-300ER",'2024'!$O$4="CA",'2024'!$O$2=T423),'2024DATA'!$E$13,"")</f>
        <v/>
      </c>
      <c r="U434" s="518" t="str">
        <f>IF(AND(_A="B-767-300ER",'2024'!$O$4="CA",'2024'!$O$2=U423),'2024DATA'!$F$13,"")</f>
        <v/>
      </c>
      <c r="V434" s="518" t="str">
        <f>IF(AND(_A="B-767-300ER",'2024'!$O$4="CA",'2024'!$O$2=V423),'2024DATA'!$G$13,"")</f>
        <v/>
      </c>
      <c r="W434" s="518" t="str">
        <f>IF(AND(_A="B-767-300ER",'2024'!$O$4="CA",'2024'!$O$2=W423),'2024DATA'!$H$13,"")</f>
        <v/>
      </c>
      <c r="X434" s="518" t="str">
        <f>IF(AND(_A="B-767-300ER",'2024'!$O$4="CA",'2024'!$O$2=X423),'2024DATA'!$I$13,"")</f>
        <v/>
      </c>
      <c r="Y434" s="518" t="str">
        <f>IF(AND(_A="B-767-300ER",'2024'!$O$4="CA",'2024'!$O$2=Y423),'2024DATA'!$J$13,"")</f>
        <v/>
      </c>
      <c r="Z434" s="518" t="str">
        <f>IF(AND(_A="B-767-300ER",'2024'!$O$4="CA",'2024'!$O$2=Z423),'2024DATA'!$K$13,"")</f>
        <v/>
      </c>
      <c r="AA434" s="518" t="str">
        <f>IF(AND(_A="B-767-300ER",'2024'!$O$4="CA",'2024'!$O$2=AA423),'2024DATA'!$L$13,"")</f>
        <v/>
      </c>
      <c r="AB434" s="518" t="str">
        <f>IF(AND(_A="B-767-300ER",'2024'!$O$4="CA",'2024'!$O$2=AB423),'2024DATA'!$M$13,"")</f>
        <v/>
      </c>
      <c r="AC434" s="520" t="str">
        <f>IF(AND(_A="B-767-300ER",'2024'!$O$4="CA",'2024'!$O$2=AC423),'2024DATA'!$N$13,"")</f>
        <v/>
      </c>
      <c r="AD434" s="940" t="s">
        <v>43</v>
      </c>
      <c r="AE434" s="13" t="s">
        <v>61</v>
      </c>
      <c r="AF434" s="518" t="str">
        <f>IF(AND(_B="B-767-300ER",'2024'!$O$4="CA",'2024'!$O$2=AF423),'2024DATA'!$C$13,"")</f>
        <v/>
      </c>
      <c r="AG434" s="518" t="str">
        <f>IF(AND(_B="B-767-300ER",'2024'!$O$4="CA",'2024'!$O$2=AG423),'2024DATA'!$D$13,"")</f>
        <v/>
      </c>
      <c r="AH434" s="518" t="str">
        <f>IF(AND(_B="B-767-300ER",'2024'!$O$4="CA",'2024'!$O$2=AH423),'2024DATA'!$E$13,"")</f>
        <v/>
      </c>
      <c r="AI434" s="518" t="str">
        <f>IF(AND(_B="B-767-300ER",'2024'!$O$4="CA",'2024'!$O$2=AI423),'2024DATA'!$F$13,"")</f>
        <v/>
      </c>
      <c r="AJ434" s="518" t="str">
        <f>IF(AND(_B="B-767-300ER",'2024'!$O$4="CA",'2024'!$O$2=AJ423),'2024DATA'!$G$13,"")</f>
        <v/>
      </c>
      <c r="AK434" s="518" t="str">
        <f>IF(AND(_B="B-767-300ER",'2024'!$O$4="CA",'2024'!$O$2=AK423),'2024DATA'!$H$13,"")</f>
        <v/>
      </c>
      <c r="AL434" s="518" t="str">
        <f>IF(AND(_B="B-767-300ER",'2024'!$O$4="CA",'2024'!$O$2=AL423),'2024DATA'!$I$13,"")</f>
        <v/>
      </c>
      <c r="AM434" s="518" t="str">
        <f>IF(AND(_B="B-767-300ER",'2024'!$O$4="CA",'2024'!$O$2=AM423),'2024DATA'!$J$13,"")</f>
        <v/>
      </c>
      <c r="AN434" s="518" t="str">
        <f>IF(AND(_B="B-767-300ER",'2024'!$O$4="CA",'2024'!$O$2=AN423),'2024DATA'!$K$13,"")</f>
        <v/>
      </c>
      <c r="AO434" s="518" t="str">
        <f>IF(AND(_B="B-767-300ER",'2024'!$O$4="CA",'2024'!$O$2=AO423),'2024DATA'!$L$13,"")</f>
        <v/>
      </c>
      <c r="AP434" s="518" t="str">
        <f>IF(AND(_B="B-767-300ER",'2024'!$O$4="CA",'2024'!$O$2=AP423),'2024DATA'!$M$13,"")</f>
        <v/>
      </c>
      <c r="AQ434" s="520" t="str">
        <f>IF(AND(_B="B-767-300ER",'2024'!$O$4="CA",'2024'!$O$2=AQ423),'2024DATA'!$N$13,"")</f>
        <v/>
      </c>
      <c r="AR434" s="940" t="s">
        <v>43</v>
      </c>
      <c r="AS434" s="13" t="s">
        <v>61</v>
      </c>
      <c r="AT434" s="518" t="str">
        <f>IF(AND(_C="B-767-300ER",'2024'!$O$4="CA",'2024'!$O$2=AT423),'2024DATA'!$C$13,"")</f>
        <v/>
      </c>
      <c r="AU434" s="518" t="str">
        <f>IF(AND(_C="B-767-300ER",'2024'!$O$4="CA",'2024'!$O$2=AU423),'2024DATA'!$D$13,"")</f>
        <v/>
      </c>
      <c r="AV434" s="518" t="str">
        <f>IF(AND(_C="B-767-300ER",'2024'!$O$4="CA",'2024'!$O$2=AV423),'2024DATA'!$E$13,"")</f>
        <v/>
      </c>
      <c r="AW434" s="518" t="str">
        <f>IF(AND(_C="B-767-300ER",'2024'!$O$4="CA",'2024'!$O$2=AW423),'2024DATA'!$F$13,"")</f>
        <v/>
      </c>
      <c r="AX434" s="518" t="str">
        <f>IF(AND(_C="B-767-300ER",'2024'!$O$4="CA",'2024'!$O$2=AX423),'2024DATA'!$G$13,"")</f>
        <v/>
      </c>
      <c r="AY434" s="518" t="str">
        <f>IF(AND(_C="B-767-300ER",'2024'!$O$4="CA",'2024'!$O$2=AY423),'2024DATA'!$H$13,"")</f>
        <v/>
      </c>
      <c r="AZ434" s="518" t="str">
        <f>IF(AND(_C="B-767-300ER",'2024'!$O$4="CA",'2024'!$O$2=AZ423),'2024DATA'!$I$13,"")</f>
        <v/>
      </c>
      <c r="BA434" s="518" t="str">
        <f>IF(AND(_C="B-767-300ER",'2024'!$O$4="CA",'2024'!$O$2=BA423),'2024DATA'!$J$13,"")</f>
        <v/>
      </c>
      <c r="BB434" s="518" t="str">
        <f>IF(AND(_C="B-767-300ER",'2024'!$O$4="CA",'2024'!$O$2=BB423),'2024DATA'!$K$13,"")</f>
        <v/>
      </c>
      <c r="BC434" s="518" t="str">
        <f>IF(AND(_C="B-767-300ER",'2024'!$O$4="CA",'2024'!$O$2=BC423),'2024DATA'!$L$13,"")</f>
        <v/>
      </c>
      <c r="BD434" s="518" t="str">
        <f>IF(AND(_C="B-767-300ER",'2024'!$O$4="CA",'2024'!$O$2=BD423),'2024DATA'!$M$13,"")</f>
        <v/>
      </c>
      <c r="BE434" s="520" t="str">
        <f>IF(AND(_C="B-767-300ER",'2024'!$O$4="CA",'2024'!$O$2=BE423),'2024DATA'!$N$13,"")</f>
        <v/>
      </c>
      <c r="BF434" s="940" t="s">
        <v>43</v>
      </c>
      <c r="BG434" s="13" t="s">
        <v>61</v>
      </c>
      <c r="BH434" s="518" t="str">
        <f>IF(AND(_D="B-767-300ER",'2024'!$O$4="CA",'2024'!$O$2=BH423),'2024DATA'!$C$13,"")</f>
        <v/>
      </c>
      <c r="BI434" s="518" t="str">
        <f>IF(AND(_D="B-767-300ER",'2024'!$O$4="CA",'2024'!$O$2=BI423),'2024DATA'!$D$13,"")</f>
        <v/>
      </c>
      <c r="BJ434" s="518" t="str">
        <f>IF(AND(_D="B-767-300ER",'2024'!$O$4="CA",'2024'!$O$2=BJ423),'2024DATA'!$E$13,"")</f>
        <v/>
      </c>
      <c r="BK434" s="518" t="str">
        <f>IF(AND(_D="B-767-300ER",'2024'!$O$4="CA",'2024'!$O$2=BK423),'2024DATA'!$F$13,"")</f>
        <v/>
      </c>
      <c r="BL434" s="518" t="str">
        <f>IF(AND(_D="B-767-300ER",'2024'!$O$4="CA",'2024'!$O$2=BL423),'2024DATA'!$G$13,"")</f>
        <v/>
      </c>
      <c r="BM434" s="518" t="str">
        <f>IF(AND(_D="B-767-300ER",'2024'!$O$4="CA",'2024'!$O$2=BM423),'2024DATA'!$H$13,"")</f>
        <v/>
      </c>
      <c r="BN434" s="518" t="str">
        <f>IF(AND(_D="B-767-300ER",'2024'!$O$4="CA",'2024'!$O$2=BN423),'2024DATA'!$I$13,"")</f>
        <v/>
      </c>
      <c r="BO434" s="518" t="str">
        <f>IF(AND(_D="B-767-300ER",'2024'!$O$4="CA",'2024'!$O$2=BO423),'2024DATA'!$J$13,"")</f>
        <v/>
      </c>
      <c r="BP434" s="518" t="str">
        <f>IF(AND(_D="B-767-300ER",'2024'!$O$4="CA",'2024'!$O$2=BP423),'2024DATA'!$K$13,"")</f>
        <v/>
      </c>
      <c r="BQ434" s="518" t="str">
        <f>IF(AND(_D="B-767-300ER",'2024'!$O$4="CA",'2024'!$O$2=BQ423),'2024DATA'!$L$13,"")</f>
        <v/>
      </c>
      <c r="BR434" s="518" t="str">
        <f>IF(AND(_D="B-767-300ER",'2024'!$O$4="CA",'2024'!$O$2=BR423),'2024DATA'!$M$13,"")</f>
        <v/>
      </c>
      <c r="BS434" s="520" t="str">
        <f>IF(AND(_D="B-767-300ER",'2024'!$O$4="CA",'2024'!$O$2=BS423),'2024DATA'!$N$13,"")</f>
        <v/>
      </c>
      <c r="BT434" s="940" t="s">
        <v>43</v>
      </c>
      <c r="BU434" s="13" t="s">
        <v>61</v>
      </c>
      <c r="BV434" s="518" t="str">
        <f>IF(AND(_E="B-767-300ER",'2024'!$O$4="CA",'2024'!$O$2=BV423),'2024DATA'!$C$13,"")</f>
        <v/>
      </c>
      <c r="BW434" s="518" t="str">
        <f>IF(AND(_E="B-767-300ER",'2024'!$O$4="CA",'2024'!$O$2=BW423),'2024DATA'!$D$13,"")</f>
        <v/>
      </c>
      <c r="BX434" s="518" t="str">
        <f>IF(AND(_E="B-767-300ER",'2024'!$O$4="CA",'2024'!$O$2=BX423),'2024DATA'!$E$13,"")</f>
        <v/>
      </c>
      <c r="BY434" s="518" t="str">
        <f>IF(AND(_E="B-767-300ER",'2024'!$O$4="CA",'2024'!$O$2=BY423),'2024DATA'!$F$13,"")</f>
        <v/>
      </c>
      <c r="BZ434" s="518" t="str">
        <f>IF(AND(_E="B-767-300ER",'2024'!$O$4="CA",'2024'!$O$2=BZ423),'2024DATA'!$G$13,"")</f>
        <v/>
      </c>
      <c r="CA434" s="518" t="str">
        <f>IF(AND(_E="B-767-300ER",'2024'!$O$4="CA",'2024'!$O$2=CA423),'2024DATA'!$H$13,"")</f>
        <v/>
      </c>
      <c r="CB434" s="518" t="str">
        <f>IF(AND(_E="B-767-300ER",'2024'!$O$4="CA",'2024'!$O$2=CB423),'2024DATA'!$I$13,"")</f>
        <v/>
      </c>
      <c r="CC434" s="518" t="str">
        <f>IF(AND(_E="B-767-300ER",'2024'!$O$4="CA",'2024'!$O$2=CC423),'2024DATA'!$J$13,"")</f>
        <v/>
      </c>
      <c r="CD434" s="518" t="str">
        <f>IF(AND(_E="B-767-300ER",'2024'!$O$4="CA",'2024'!$O$2=CD423),'2024DATA'!$K$13,"")</f>
        <v/>
      </c>
      <c r="CE434" s="518" t="str">
        <f>IF(AND(_E="B-767-300ER",'2024'!$O$4="CA",'2024'!$O$2=CE423),'2024DATA'!$L$13,"")</f>
        <v/>
      </c>
      <c r="CF434" s="518" t="str">
        <f>IF(AND(_E="B-767-300ER",'2024'!$O$4="CA",'2024'!$O$2=CF423),'2024DATA'!$M$13,"")</f>
        <v/>
      </c>
      <c r="CG434" s="520" t="str">
        <f>IF(AND(_E="B-767-300ER",'2024'!$O$4="CA",'2024'!$O$2=CG423),'2024DATA'!$N$13,"")</f>
        <v/>
      </c>
      <c r="CH434" s="940" t="s">
        <v>43</v>
      </c>
      <c r="CI434" s="13" t="s">
        <v>61</v>
      </c>
      <c r="CJ434" s="518" t="str">
        <f>IF(AND(_F="B-767-300ER",'2024'!$O$4="CA",'2024'!$O$2=CJ423),'2024DATA'!$C$13,"")</f>
        <v/>
      </c>
      <c r="CK434" s="518" t="str">
        <f>IF(AND(_F="B-767-300ER",'2024'!$O$4="CA",'2024'!$O$2=CK423),'2024DATA'!$D$13,"")</f>
        <v/>
      </c>
      <c r="CL434" s="518" t="str">
        <f>IF(AND(_F="B-767-300ER",'2024'!$O$4="CA",'2024'!$O$2=CL423),'2024DATA'!$E$13,"")</f>
        <v/>
      </c>
      <c r="CM434" s="518" t="str">
        <f>IF(AND(_F="B-767-300ER",'2024'!$O$4="CA",'2024'!$O$2=CM423),'2024DATA'!$F$13,"")</f>
        <v/>
      </c>
      <c r="CN434" s="518" t="str">
        <f>IF(AND(_F="B-767-300ER",'2024'!$O$4="CA",'2024'!$O$2=CN423),'2024DATA'!$G$13,"")</f>
        <v/>
      </c>
      <c r="CO434" s="518" t="str">
        <f>IF(AND(_F="B-767-300ER",'2024'!$O$4="CA",'2024'!$O$2=CO423),'2024DATA'!$H$13,"")</f>
        <v/>
      </c>
      <c r="CP434" s="518" t="str">
        <f>IF(AND(_F="B-767-300ER",'2024'!$O$4="CA",'2024'!$O$2=CP423),'2024DATA'!$I$13,"")</f>
        <v/>
      </c>
      <c r="CQ434" s="518" t="str">
        <f>IF(AND(_F="B-767-300ER",'2024'!$O$4="CA",'2024'!$O$2=CQ423),'2024DATA'!$J$13,"")</f>
        <v/>
      </c>
      <c r="CR434" s="518" t="str">
        <f>IF(AND(_F="B-767-300ER",'2024'!$O$4="CA",'2024'!$O$2=CR423),'2024DATA'!$K$13,"")</f>
        <v/>
      </c>
      <c r="CS434" s="518" t="str">
        <f>IF(AND(_F="B-767-300ER",'2024'!$O$4="CA",'2024'!$O$2=CS423),'2024DATA'!$L$13,"")</f>
        <v/>
      </c>
      <c r="CT434" s="518" t="str">
        <f>IF(AND(_F="B-767-300ER",'2024'!$O$4="CA",'2024'!$O$2=CT423),'2024DATA'!$M$13,"")</f>
        <v/>
      </c>
      <c r="CU434" s="520" t="str">
        <f>IF(AND(_F="B-767-300ER",'2024'!$O$4="CA",'2024'!$O$2=CU423),'2024DATA'!$N$13,"")</f>
        <v/>
      </c>
    </row>
    <row r="435" spans="16:99" x14ac:dyDescent="0.25">
      <c r="P435" s="940"/>
      <c r="Q435" s="13" t="s">
        <v>62</v>
      </c>
      <c r="R435" s="518" t="str">
        <f>IF(AND(_A="B-767-300ER",'2024'!$O$4="FO",'2024'!$O$2=R423),'2024DATA'!$C$14,"")</f>
        <v/>
      </c>
      <c r="S435" s="518" t="str">
        <f>IF(AND(_A="B-767-300ER",'2024'!$O$4="FO",'2024'!$O$2=S423),'2024DATA'!$D$14,"")</f>
        <v/>
      </c>
      <c r="T435" s="518" t="str">
        <f>IF(AND(_A="B-767-300ER",'2024'!$O$4="FO",'2024'!$O$2=T423),'2024DATA'!$E$14,"")</f>
        <v/>
      </c>
      <c r="U435" s="518" t="str">
        <f>IF(AND(_A="B-767-300ER",'2024'!$O$4="FO",'2024'!$O$2=U423),'2024DATA'!$F$14,"")</f>
        <v/>
      </c>
      <c r="V435" s="518" t="str">
        <f>IF(AND(_A="B-767-300ER",'2024'!$O$4="FO",'2024'!$O$2=V423),'2024DATA'!$G$14,"")</f>
        <v/>
      </c>
      <c r="W435" s="518" t="str">
        <f>IF(AND(_A="B-767-300ER",'2024'!$O$4="FO",'2024'!$O$2=W423),'2024DATA'!$H$14,"")</f>
        <v/>
      </c>
      <c r="X435" s="518" t="str">
        <f>IF(AND(_A="B-767-300ER",'2024'!$O$4="FO",'2024'!$O$2=X423),'2024DATA'!$I$14,"")</f>
        <v/>
      </c>
      <c r="Y435" s="518" t="str">
        <f>IF(AND(_A="B-767-300ER",'2024'!$O$4="FO",'2024'!$O$2=Y423),'2024DATA'!$J$14,"")</f>
        <v/>
      </c>
      <c r="Z435" s="518" t="str">
        <f>IF(AND(_A="B-767-300ER",'2024'!$O$4="FO",'2024'!$O$2=Z423),'2024DATA'!$K$14,"")</f>
        <v/>
      </c>
      <c r="AA435" s="518" t="str">
        <f>IF(AND(_A="B-767-300ER",'2024'!$O$4="FO",'2024'!$O$2=AA423),'2024DATA'!$L$14,"")</f>
        <v/>
      </c>
      <c r="AB435" s="518" t="str">
        <f>IF(AND(_A="B-767-300ER",'2024'!$O$4="FO",'2024'!$O$2=AB423),'2024DATA'!$M$14,"")</f>
        <v/>
      </c>
      <c r="AC435" s="520" t="str">
        <f>IF(AND(_A="B-767-300ER",'2024'!$O$4="FO",'2024'!$O$2=AC423),'2024DATA'!$N$14,"")</f>
        <v/>
      </c>
      <c r="AD435" s="940"/>
      <c r="AE435" s="13" t="s">
        <v>62</v>
      </c>
      <c r="AF435" s="518" t="str">
        <f>IF(AND(_B="B-767-300ER",'2024'!$O$4="FO",'2024'!$O$2=AF423),'2024DATA'!$C$14,"")</f>
        <v/>
      </c>
      <c r="AG435" s="518" t="str">
        <f>IF(AND(_B="B-767-300ER",'2024'!$O$4="FO",'2024'!$O$2=AG423),'2024DATA'!$D$14,"")</f>
        <v/>
      </c>
      <c r="AH435" s="518" t="str">
        <f>IF(AND(_B="B-767-300ER",'2024'!$O$4="FO",'2024'!$O$2=AH423),'2024DATA'!$E$14,"")</f>
        <v/>
      </c>
      <c r="AI435" s="518" t="str">
        <f>IF(AND(_B="B-767-300ER",'2024'!$O$4="FO",'2024'!$O$2=AI423),'2024DATA'!$F$14,"")</f>
        <v/>
      </c>
      <c r="AJ435" s="518" t="str">
        <f>IF(AND(_B="B-767-300ER",'2024'!$O$4="FO",'2024'!$O$2=AJ423),'2024DATA'!$G$14,"")</f>
        <v/>
      </c>
      <c r="AK435" s="518" t="str">
        <f>IF(AND(_B="B-767-300ER",'2024'!$O$4="FO",'2024'!$O$2=AK423),'2024DATA'!$H$14,"")</f>
        <v/>
      </c>
      <c r="AL435" s="518" t="str">
        <f>IF(AND(_B="B-767-300ER",'2024'!$O$4="FO",'2024'!$O$2=AL423),'2024DATA'!$I$14,"")</f>
        <v/>
      </c>
      <c r="AM435" s="518" t="str">
        <f>IF(AND(_B="B-767-300ER",'2024'!$O$4="FO",'2024'!$O$2=AM423),'2024DATA'!$J$14,"")</f>
        <v/>
      </c>
      <c r="AN435" s="518" t="str">
        <f>IF(AND(_B="B-767-300ER",'2024'!$O$4="FO",'2024'!$O$2=AN423),'2024DATA'!$K$14,"")</f>
        <v/>
      </c>
      <c r="AO435" s="518" t="str">
        <f>IF(AND(_B="B-767-300ER",'2024'!$O$4="FO",'2024'!$O$2=AO423),'2024DATA'!$L$14,"")</f>
        <v/>
      </c>
      <c r="AP435" s="518" t="str">
        <f>IF(AND(_B="B-767-300ER",'2024'!$O$4="FO",'2024'!$O$2=AP423),'2024DATA'!$M$14,"")</f>
        <v/>
      </c>
      <c r="AQ435" s="520" t="str">
        <f>IF(AND(_B="B-767-300ER",'2024'!$O$4="FO",'2024'!$O$2=AQ423),'2024DATA'!$N$14,"")</f>
        <v/>
      </c>
      <c r="AR435" s="940"/>
      <c r="AS435" s="13" t="s">
        <v>62</v>
      </c>
      <c r="AT435" s="518" t="str">
        <f>IF(AND(_C="B-767-300ER",'2024'!$O$4="FO",'2024'!$O$2=AT423),'2024DATA'!$C$14,"")</f>
        <v/>
      </c>
      <c r="AU435" s="518" t="str">
        <f>IF(AND(_C="B-767-300ER",'2024'!$O$4="FO",'2024'!$O$2=AU423),'2024DATA'!$D$14,"")</f>
        <v/>
      </c>
      <c r="AV435" s="518" t="str">
        <f>IF(AND(_C="B-767-300ER",'2024'!$O$4="FO",'2024'!$O$2=AV423),'2024DATA'!$E$14,"")</f>
        <v/>
      </c>
      <c r="AW435" s="518" t="str">
        <f>IF(AND(_C="B-767-300ER",'2024'!$O$4="FO",'2024'!$O$2=AW423),'2024DATA'!$F$14,"")</f>
        <v/>
      </c>
      <c r="AX435" s="518" t="str">
        <f>IF(AND(_C="B-767-300ER",'2024'!$O$4="FO",'2024'!$O$2=AX423),'2024DATA'!$G$14,"")</f>
        <v/>
      </c>
      <c r="AY435" s="518" t="str">
        <f>IF(AND(_C="B-767-300ER",'2024'!$O$4="FO",'2024'!$O$2=AY423),'2024DATA'!$H$14,"")</f>
        <v/>
      </c>
      <c r="AZ435" s="518" t="str">
        <f>IF(AND(_C="B-767-300ER",'2024'!$O$4="FO",'2024'!$O$2=AZ423),'2024DATA'!$I$14,"")</f>
        <v/>
      </c>
      <c r="BA435" s="518" t="str">
        <f>IF(AND(_C="B-767-300ER",'2024'!$O$4="FO",'2024'!$O$2=BA423),'2024DATA'!$J$14,"")</f>
        <v/>
      </c>
      <c r="BB435" s="518" t="str">
        <f>IF(AND(_C="B-767-300ER",'2024'!$O$4="FO",'2024'!$O$2=BB423),'2024DATA'!$K$14,"")</f>
        <v/>
      </c>
      <c r="BC435" s="518" t="str">
        <f>IF(AND(_C="B-767-300ER",'2024'!$O$4="FO",'2024'!$O$2=BC423),'2024DATA'!$L$14,"")</f>
        <v/>
      </c>
      <c r="BD435" s="518" t="str">
        <f>IF(AND(_C="B-767-300ER",'2024'!$O$4="FO",'2024'!$O$2=BD423),'2024DATA'!$M$14,"")</f>
        <v/>
      </c>
      <c r="BE435" s="520" t="str">
        <f>IF(AND(_C="B-767-300ER",'2024'!$O$4="FO",'2024'!$O$2=BE423),'2024DATA'!$N$14,"")</f>
        <v/>
      </c>
      <c r="BF435" s="940"/>
      <c r="BG435" s="13" t="s">
        <v>62</v>
      </c>
      <c r="BH435" s="518" t="str">
        <f>IF(AND(_D="B-767-300ER",'2024'!$O$4="FO",'2024'!$O$2=BH423),'2024DATA'!$C$14,"")</f>
        <v/>
      </c>
      <c r="BI435" s="518" t="str">
        <f>IF(AND(_D="B-767-300ER",'2024'!$O$4="FO",'2024'!$O$2=BI423),'2024DATA'!$D$14,"")</f>
        <v/>
      </c>
      <c r="BJ435" s="518" t="str">
        <f>IF(AND(_D="B-767-300ER",'2024'!$O$4="FO",'2024'!$O$2=BJ423),'2024DATA'!$E$14,"")</f>
        <v/>
      </c>
      <c r="BK435" s="518" t="str">
        <f>IF(AND(_D="B-767-300ER",'2024'!$O$4="FO",'2024'!$O$2=BK423),'2024DATA'!$F$14,"")</f>
        <v/>
      </c>
      <c r="BL435" s="518" t="str">
        <f>IF(AND(_D="B-767-300ER",'2024'!$O$4="FO",'2024'!$O$2=BL423),'2024DATA'!$G$14,"")</f>
        <v/>
      </c>
      <c r="BM435" s="518" t="str">
        <f>IF(AND(_D="B-767-300ER",'2024'!$O$4="FO",'2024'!$O$2=BM423),'2024DATA'!$H$14,"")</f>
        <v/>
      </c>
      <c r="BN435" s="518" t="str">
        <f>IF(AND(_D="B-767-300ER",'2024'!$O$4="FO",'2024'!$O$2=BN423),'2024DATA'!$I$14,"")</f>
        <v/>
      </c>
      <c r="BO435" s="518" t="str">
        <f>IF(AND(_D="B-767-300ER",'2024'!$O$4="FO",'2024'!$O$2=BO423),'2024DATA'!$J$14,"")</f>
        <v/>
      </c>
      <c r="BP435" s="518" t="str">
        <f>IF(AND(_D="B-767-300ER",'2024'!$O$4="FO",'2024'!$O$2=BP423),'2024DATA'!$K$14,"")</f>
        <v/>
      </c>
      <c r="BQ435" s="518" t="str">
        <f>IF(AND(_D="B-767-300ER",'2024'!$O$4="FO",'2024'!$O$2=BQ423),'2024DATA'!$L$14,"")</f>
        <v/>
      </c>
      <c r="BR435" s="518" t="str">
        <f>IF(AND(_D="B-767-300ER",'2024'!$O$4="FO",'2024'!$O$2=BR423),'2024DATA'!$M$14,"")</f>
        <v/>
      </c>
      <c r="BS435" s="520" t="str">
        <f>IF(AND(_D="B-767-300ER",'2024'!$O$4="FO",'2024'!$O$2=BS423),'2024DATA'!$N$14,"")</f>
        <v/>
      </c>
      <c r="BT435" s="940"/>
      <c r="BU435" s="13" t="s">
        <v>62</v>
      </c>
      <c r="BV435" s="518" t="str">
        <f>IF(AND(_E="B-767-300ER",'2024'!$O$4="FO",'2024'!$O$2=BV423),'2024DATA'!$C$14,"")</f>
        <v/>
      </c>
      <c r="BW435" s="518" t="str">
        <f>IF(AND(_E="B-767-300ER",'2024'!$O$4="FO",'2024'!$O$2=BW423),'2024DATA'!$D$14,"")</f>
        <v/>
      </c>
      <c r="BX435" s="518" t="str">
        <f>IF(AND(_E="B-767-300ER",'2024'!$O$4="FO",'2024'!$O$2=BX423),'2024DATA'!$E$14,"")</f>
        <v/>
      </c>
      <c r="BY435" s="518" t="str">
        <f>IF(AND(_E="B-767-300ER",'2024'!$O$4="FO",'2024'!$O$2=BY423),'2024DATA'!$F$14,"")</f>
        <v/>
      </c>
      <c r="BZ435" s="518" t="str">
        <f>IF(AND(_E="B-767-300ER",'2024'!$O$4="FO",'2024'!$O$2=BZ423),'2024DATA'!$G$14,"")</f>
        <v/>
      </c>
      <c r="CA435" s="518" t="str">
        <f>IF(AND(_E="B-767-300ER",'2024'!$O$4="FO",'2024'!$O$2=CA423),'2024DATA'!$H$14,"")</f>
        <v/>
      </c>
      <c r="CB435" s="518" t="str">
        <f>IF(AND(_E="B-767-300ER",'2024'!$O$4="FO",'2024'!$O$2=CB423),'2024DATA'!$I$14,"")</f>
        <v/>
      </c>
      <c r="CC435" s="518" t="str">
        <f>IF(AND(_E="B-767-300ER",'2024'!$O$4="FO",'2024'!$O$2=CC423),'2024DATA'!$J$14,"")</f>
        <v/>
      </c>
      <c r="CD435" s="518" t="str">
        <f>IF(AND(_E="B-767-300ER",'2024'!$O$4="FO",'2024'!$O$2=CD423),'2024DATA'!$K$14,"")</f>
        <v/>
      </c>
      <c r="CE435" s="518" t="str">
        <f>IF(AND(_E="B-767-300ER",'2024'!$O$4="FO",'2024'!$O$2=CE423),'2024DATA'!$L$14,"")</f>
        <v/>
      </c>
      <c r="CF435" s="518" t="str">
        <f>IF(AND(_E="B-767-300ER",'2024'!$O$4="FO",'2024'!$O$2=CF423),'2024DATA'!$M$14,"")</f>
        <v/>
      </c>
      <c r="CG435" s="520" t="str">
        <f>IF(AND(_E="B-767-300ER",'2024'!$O$4="FO",'2024'!$O$2=CG423),'2024DATA'!$N$14,"")</f>
        <v/>
      </c>
      <c r="CH435" s="940"/>
      <c r="CI435" s="13" t="s">
        <v>62</v>
      </c>
      <c r="CJ435" s="518" t="str">
        <f>IF(AND(_F="B-767-300ER",'2024'!$O$4="FO",'2024'!$O$2=CJ423),'2024DATA'!$C$14,"")</f>
        <v/>
      </c>
      <c r="CK435" s="518" t="str">
        <f>IF(AND(_F="B-767-300ER",'2024'!$O$4="FO",'2024'!$O$2=CK423),'2024DATA'!$D$14,"")</f>
        <v/>
      </c>
      <c r="CL435" s="518" t="str">
        <f>IF(AND(_F="B-767-300ER",'2024'!$O$4="FO",'2024'!$O$2=CL423),'2024DATA'!$E$14,"")</f>
        <v/>
      </c>
      <c r="CM435" s="518" t="str">
        <f>IF(AND(_F="B-767-300ER",'2024'!$O$4="FO",'2024'!$O$2=CM423),'2024DATA'!$F$14,"")</f>
        <v/>
      </c>
      <c r="CN435" s="518" t="str">
        <f>IF(AND(_F="B-767-300ER",'2024'!$O$4="FO",'2024'!$O$2=CN423),'2024DATA'!$G$14,"")</f>
        <v/>
      </c>
      <c r="CO435" s="518" t="str">
        <f>IF(AND(_F="B-767-300ER",'2024'!$O$4="FO",'2024'!$O$2=CO423),'2024DATA'!$H$14,"")</f>
        <v/>
      </c>
      <c r="CP435" s="518" t="str">
        <f>IF(AND(_F="B-767-300ER",'2024'!$O$4="FO",'2024'!$O$2=CP423),'2024DATA'!$I$14,"")</f>
        <v/>
      </c>
      <c r="CQ435" s="518" t="str">
        <f>IF(AND(_F="B-767-300ER",'2024'!$O$4="FO",'2024'!$O$2=CQ423),'2024DATA'!$J$14,"")</f>
        <v/>
      </c>
      <c r="CR435" s="518" t="str">
        <f>IF(AND(_F="B-767-300ER",'2024'!$O$4="FO",'2024'!$O$2=CR423),'2024DATA'!$K$14,"")</f>
        <v/>
      </c>
      <c r="CS435" s="518" t="str">
        <f>IF(AND(_F="B-767-300ER",'2024'!$O$4="FO",'2024'!$O$2=CS423),'2024DATA'!$L$14,"")</f>
        <v/>
      </c>
      <c r="CT435" s="518" t="str">
        <f>IF(AND(_F="B-767-300ER",'2024'!$O$4="FO",'2024'!$O$2=CT423),'2024DATA'!$M$14,"")</f>
        <v/>
      </c>
      <c r="CU435" s="520" t="str">
        <f>IF(AND(_F="B-767-300ER",'2024'!$O$4="FO",'2024'!$O$2=CU423),'2024DATA'!$N$14,"")</f>
        <v/>
      </c>
    </row>
    <row r="436" spans="16:99" x14ac:dyDescent="0.25">
      <c r="P436" s="940" t="s">
        <v>67</v>
      </c>
      <c r="Q436" s="13" t="s">
        <v>61</v>
      </c>
      <c r="R436" s="518" t="str">
        <f>IF(AND(_A="B-767-300",'2024'!$O$4="CA",'2024'!$O$2=R423),'2024DATA'!$C$15,"")</f>
        <v/>
      </c>
      <c r="S436" s="518" t="str">
        <f>IF(AND(_A="B-767-300",'2024'!$O$4="CA",'2024'!$O$2=S423),'2024DATA'!$D$15,"")</f>
        <v/>
      </c>
      <c r="T436" s="518" t="str">
        <f>IF(AND(_A="B-767-300",'2024'!$O$4="CA",'2024'!$O$2=T423),'2024DATA'!$E$15,"")</f>
        <v/>
      </c>
      <c r="U436" s="518" t="str">
        <f>IF(AND(_A="B-767-300",'2024'!$O$4="CA",'2024'!$O$2=U423),'2024DATA'!$F$15,"")</f>
        <v/>
      </c>
      <c r="V436" s="518" t="str">
        <f>IF(AND(_A="B-767-300",'2024'!$O$4="CA",'2024'!$O$2=V423),'2024DATA'!$G$15,"")</f>
        <v/>
      </c>
      <c r="W436" s="518" t="str">
        <f>IF(AND(_A="B-767-300",'2024'!$O$4="CA",'2024'!$O$2=W423),'2024DATA'!$H$15,"")</f>
        <v/>
      </c>
      <c r="X436" s="518" t="str">
        <f>IF(AND(_A="B-767-300",'2024'!$O$4="CA",'2024'!$O$2=X423),'2024DATA'!$I$15,"")</f>
        <v/>
      </c>
      <c r="Y436" s="518" t="str">
        <f>IF(AND(_A="B-767-300",'2024'!$O$4="CA",'2024'!$O$2=Y423),'2024DATA'!$J$15,"")</f>
        <v/>
      </c>
      <c r="Z436" s="518" t="str">
        <f>IF(AND(_A="B-767-300",'2024'!$O$4="CA",'2024'!$O$2=Z423),'2024DATA'!$K$15,"")</f>
        <v/>
      </c>
      <c r="AA436" s="518" t="str">
        <f>IF(AND(_A="B-767-300",'2024'!$O$4="CA",'2024'!$O$2=AA423),'2024DATA'!$L$15,"")</f>
        <v/>
      </c>
      <c r="AB436" s="518" t="str">
        <f>IF(AND(_A="B-767-300",'2024'!$O$4="CA",'2024'!$O$2=AB423),'2024DATA'!$M$15,"")</f>
        <v/>
      </c>
      <c r="AC436" s="520" t="str">
        <f>IF(AND(_A="B-767-300",'2024'!$O$4="CA",'2024'!$O$2=AC423),'2024DATA'!$N$15,"")</f>
        <v/>
      </c>
      <c r="AD436" s="940" t="s">
        <v>67</v>
      </c>
      <c r="AE436" s="13" t="s">
        <v>61</v>
      </c>
      <c r="AF436" s="518" t="str">
        <f>IF(AND(_B="B-767-300",'2024'!$O$4="CA",'2024'!$O$2=AF423),'2024DATA'!$C$15,"")</f>
        <v/>
      </c>
      <c r="AG436" s="518" t="str">
        <f>IF(AND(_B="B-767-300",'2024'!$O$4="CA",'2024'!$O$2=AG423),'2024DATA'!$D$15,"")</f>
        <v/>
      </c>
      <c r="AH436" s="518" t="str">
        <f>IF(AND(_B="B-767-300",'2024'!$O$4="CA",'2024'!$O$2=AH423),'2024DATA'!$E$15,"")</f>
        <v/>
      </c>
      <c r="AI436" s="518" t="str">
        <f>IF(AND(_B="B-767-300",'2024'!$O$4="CA",'2024'!$O$2=AI423),'2024DATA'!$F$15,"")</f>
        <v/>
      </c>
      <c r="AJ436" s="518" t="str">
        <f>IF(AND(_B="B-767-300",'2024'!$O$4="CA",'2024'!$O$2=AJ423),'2024DATA'!$G$15,"")</f>
        <v/>
      </c>
      <c r="AK436" s="518" t="str">
        <f>IF(AND(_B="B-767-300",'2024'!$O$4="CA",'2024'!$O$2=AK423),'2024DATA'!$H$15,"")</f>
        <v/>
      </c>
      <c r="AL436" s="518" t="str">
        <f>IF(AND(_B="B-767-300",'2024'!$O$4="CA",'2024'!$O$2=AL423),'2024DATA'!$I$15,"")</f>
        <v/>
      </c>
      <c r="AM436" s="518" t="str">
        <f>IF(AND(_B="B-767-300",'2024'!$O$4="CA",'2024'!$O$2=AM423),'2024DATA'!$J$15,"")</f>
        <v/>
      </c>
      <c r="AN436" s="518" t="str">
        <f>IF(AND(_B="B-767-300",'2024'!$O$4="CA",'2024'!$O$2=AN423),'2024DATA'!$K$15,"")</f>
        <v/>
      </c>
      <c r="AO436" s="518" t="str">
        <f>IF(AND(_B="B-767-300",'2024'!$O$4="CA",'2024'!$O$2=AO423),'2024DATA'!$L$15,"")</f>
        <v/>
      </c>
      <c r="AP436" s="518" t="str">
        <f>IF(AND(_B="B-767-300",'2024'!$O$4="CA",'2024'!$O$2=AP423),'2024DATA'!$M$15,"")</f>
        <v/>
      </c>
      <c r="AQ436" s="520" t="str">
        <f>IF(AND(_B="B-767-300",'2024'!$O$4="CA",'2024'!$O$2=AQ423),'2024DATA'!$N$15,"")</f>
        <v/>
      </c>
      <c r="AR436" s="940" t="s">
        <v>67</v>
      </c>
      <c r="AS436" s="13" t="s">
        <v>61</v>
      </c>
      <c r="AT436" s="518" t="str">
        <f>IF(AND(_C="B-767-300",'2024'!$O$4="CA",'2024'!$O$2=AT423),'2024DATA'!$C$15,"")</f>
        <v/>
      </c>
      <c r="AU436" s="518" t="str">
        <f>IF(AND(_C="B-767-300",'2024'!$O$4="CA",'2024'!$O$2=AU423),'2024DATA'!$D$15,"")</f>
        <v/>
      </c>
      <c r="AV436" s="518" t="str">
        <f>IF(AND(_C="B-767-300",'2024'!$O$4="CA",'2024'!$O$2=AV423),'2024DATA'!$E$15,"")</f>
        <v/>
      </c>
      <c r="AW436" s="518" t="str">
        <f>IF(AND(_C="B-767-300",'2024'!$O$4="CA",'2024'!$O$2=AW423),'2024DATA'!$F$15,"")</f>
        <v/>
      </c>
      <c r="AX436" s="518" t="str">
        <f>IF(AND(_C="B-767-300",'2024'!$O$4="CA",'2024'!$O$2=AX423),'2024DATA'!$G$15,"")</f>
        <v/>
      </c>
      <c r="AY436" s="518" t="str">
        <f>IF(AND(_C="B-767-300",'2024'!$O$4="CA",'2024'!$O$2=AY423),'2024DATA'!$H$15,"")</f>
        <v/>
      </c>
      <c r="AZ436" s="518" t="str">
        <f>IF(AND(_C="B-767-300",'2024'!$O$4="CA",'2024'!$O$2=AZ423),'2024DATA'!$I$15,"")</f>
        <v/>
      </c>
      <c r="BA436" s="518" t="str">
        <f>IF(AND(_C="B-767-300",'2024'!$O$4="CA",'2024'!$O$2=BA423),'2024DATA'!$J$15,"")</f>
        <v/>
      </c>
      <c r="BB436" s="518" t="str">
        <f>IF(AND(_C="B-767-300",'2024'!$O$4="CA",'2024'!$O$2=BB423),'2024DATA'!$K$15,"")</f>
        <v/>
      </c>
      <c r="BC436" s="518" t="str">
        <f>IF(AND(_C="B-767-300",'2024'!$O$4="CA",'2024'!$O$2=BC423),'2024DATA'!$L$15,"")</f>
        <v/>
      </c>
      <c r="BD436" s="518" t="str">
        <f>IF(AND(_C="B-767-300",'2024'!$O$4="CA",'2024'!$O$2=BD423),'2024DATA'!$M$15,"")</f>
        <v/>
      </c>
      <c r="BE436" s="520" t="str">
        <f>IF(AND(_C="B-767-300",'2024'!$O$4="CA",'2024'!$O$2=BE423),'2024DATA'!$N$15,"")</f>
        <v/>
      </c>
      <c r="BF436" s="940" t="s">
        <v>67</v>
      </c>
      <c r="BG436" s="13" t="s">
        <v>61</v>
      </c>
      <c r="BH436" s="518" t="str">
        <f>IF(AND(_D="B-767-300",'2024'!$O$4="CA",'2024'!$O$2=BH423),'2024DATA'!$C$15,"")</f>
        <v/>
      </c>
      <c r="BI436" s="518" t="str">
        <f>IF(AND(_D="B-767-300",'2024'!$O$4="CA",'2024'!$O$2=BI423),'2024DATA'!$D$15,"")</f>
        <v/>
      </c>
      <c r="BJ436" s="518" t="str">
        <f>IF(AND(_D="B-767-300",'2024'!$O$4="CA",'2024'!$O$2=BJ423),'2024DATA'!$E$15,"")</f>
        <v/>
      </c>
      <c r="BK436" s="518" t="str">
        <f>IF(AND(_D="B-767-300",'2024'!$O$4="CA",'2024'!$O$2=BK423),'2024DATA'!$F$15,"")</f>
        <v/>
      </c>
      <c r="BL436" s="518" t="str">
        <f>IF(AND(_D="B-767-300",'2024'!$O$4="CA",'2024'!$O$2=BL423),'2024DATA'!$G$15,"")</f>
        <v/>
      </c>
      <c r="BM436" s="518" t="str">
        <f>IF(AND(_D="B-767-300",'2024'!$O$4="CA",'2024'!$O$2=BM423),'2024DATA'!$H$15,"")</f>
        <v/>
      </c>
      <c r="BN436" s="518" t="str">
        <f>IF(AND(_D="B-767-300",'2024'!$O$4="CA",'2024'!$O$2=BN423),'2024DATA'!$I$15,"")</f>
        <v/>
      </c>
      <c r="BO436" s="518" t="str">
        <f>IF(AND(_D="B-767-300",'2024'!$O$4="CA",'2024'!$O$2=BO423),'2024DATA'!$J$15,"")</f>
        <v/>
      </c>
      <c r="BP436" s="518" t="str">
        <f>IF(AND(_D="B-767-300",'2024'!$O$4="CA",'2024'!$O$2=BP423),'2024DATA'!$K$15,"")</f>
        <v/>
      </c>
      <c r="BQ436" s="518" t="str">
        <f>IF(AND(_D="B-767-300",'2024'!$O$4="CA",'2024'!$O$2=BQ423),'2024DATA'!$L$15,"")</f>
        <v/>
      </c>
      <c r="BR436" s="518" t="str">
        <f>IF(AND(_D="B-767-300",'2024'!$O$4="CA",'2024'!$O$2=BR423),'2024DATA'!$M$15,"")</f>
        <v/>
      </c>
      <c r="BS436" s="520" t="str">
        <f>IF(AND(_D="B-767-300",'2024'!$O$4="CA",'2024'!$O$2=BS423),'2024DATA'!$N$15,"")</f>
        <v/>
      </c>
      <c r="BT436" s="940" t="s">
        <v>67</v>
      </c>
      <c r="BU436" s="13" t="s">
        <v>61</v>
      </c>
      <c r="BV436" s="518" t="str">
        <f>IF(AND(_E="B-767-300",'2024'!$O$4="CA",'2024'!$O$2=BV423),'2024DATA'!$C$15,"")</f>
        <v/>
      </c>
      <c r="BW436" s="518" t="str">
        <f>IF(AND(_E="B-767-300",'2024'!$O$4="CA",'2024'!$O$2=BW423),'2024DATA'!$D$15,"")</f>
        <v/>
      </c>
      <c r="BX436" s="518" t="str">
        <f>IF(AND(_E="B-767-300",'2024'!$O$4="CA",'2024'!$O$2=BX423),'2024DATA'!$E$15,"")</f>
        <v/>
      </c>
      <c r="BY436" s="518" t="str">
        <f>IF(AND(_E="B-767-300",'2024'!$O$4="CA",'2024'!$O$2=BY423),'2024DATA'!$F$15,"")</f>
        <v/>
      </c>
      <c r="BZ436" s="518" t="str">
        <f>IF(AND(_E="B-767-300",'2024'!$O$4="CA",'2024'!$O$2=BZ423),'2024DATA'!$G$15,"")</f>
        <v/>
      </c>
      <c r="CA436" s="518" t="str">
        <f>IF(AND(_E="B-767-300",'2024'!$O$4="CA",'2024'!$O$2=CA423),'2024DATA'!$H$15,"")</f>
        <v/>
      </c>
      <c r="CB436" s="518" t="str">
        <f>IF(AND(_E="B-767-300",'2024'!$O$4="CA",'2024'!$O$2=CB423),'2024DATA'!$I$15,"")</f>
        <v/>
      </c>
      <c r="CC436" s="518" t="str">
        <f>IF(AND(_E="B-767-300",'2024'!$O$4="CA",'2024'!$O$2=CC423),'2024DATA'!$J$15,"")</f>
        <v/>
      </c>
      <c r="CD436" s="518" t="str">
        <f>IF(AND(_E="B-767-300",'2024'!$O$4="CA",'2024'!$O$2=CD423),'2024DATA'!$K$15,"")</f>
        <v/>
      </c>
      <c r="CE436" s="518" t="str">
        <f>IF(AND(_E="B-767-300",'2024'!$O$4="CA",'2024'!$O$2=CE423),'2024DATA'!$L$15,"")</f>
        <v/>
      </c>
      <c r="CF436" s="518" t="str">
        <f>IF(AND(_E="B-767-300",'2024'!$O$4="CA",'2024'!$O$2=CF423),'2024DATA'!$M$15,"")</f>
        <v/>
      </c>
      <c r="CG436" s="520" t="str">
        <f>IF(AND(_E="B-767-300",'2024'!$O$4="CA",'2024'!$O$2=CG423),'2024DATA'!$N$15,"")</f>
        <v/>
      </c>
      <c r="CH436" s="940" t="s">
        <v>67</v>
      </c>
      <c r="CI436" s="13" t="s">
        <v>61</v>
      </c>
      <c r="CJ436" s="518" t="str">
        <f>IF(AND(_F="B-767-300",'2024'!$O$4="CA",'2024'!$O$2=CJ423),'2024DATA'!$C$15,"")</f>
        <v/>
      </c>
      <c r="CK436" s="518" t="str">
        <f>IF(AND(_F="B-767-300",'2024'!$O$4="CA",'2024'!$O$2=CK423),'2024DATA'!$D$15,"")</f>
        <v/>
      </c>
      <c r="CL436" s="518" t="str">
        <f>IF(AND(_F="B-767-300",'2024'!$O$4="CA",'2024'!$O$2=CL423),'2024DATA'!$E$15,"")</f>
        <v/>
      </c>
      <c r="CM436" s="518" t="str">
        <f>IF(AND(_F="B-767-300",'2024'!$O$4="CA",'2024'!$O$2=CM423),'2024DATA'!$F$15,"")</f>
        <v/>
      </c>
      <c r="CN436" s="518" t="str">
        <f>IF(AND(_F="B-767-300",'2024'!$O$4="CA",'2024'!$O$2=CN423),'2024DATA'!$G$15,"")</f>
        <v/>
      </c>
      <c r="CO436" s="518" t="str">
        <f>IF(AND(_F="B-767-300",'2024'!$O$4="CA",'2024'!$O$2=CO423),'2024DATA'!$H$15,"")</f>
        <v/>
      </c>
      <c r="CP436" s="518" t="str">
        <f>IF(AND(_F="B-767-300",'2024'!$O$4="CA",'2024'!$O$2=CP423),'2024DATA'!$I$15,"")</f>
        <v/>
      </c>
      <c r="CQ436" s="518" t="str">
        <f>IF(AND(_F="B-767-300",'2024'!$O$4="CA",'2024'!$O$2=CQ423),'2024DATA'!$J$15,"")</f>
        <v/>
      </c>
      <c r="CR436" s="518" t="str">
        <f>IF(AND(_F="B-767-300",'2024'!$O$4="CA",'2024'!$O$2=CR423),'2024DATA'!$K$15,"")</f>
        <v/>
      </c>
      <c r="CS436" s="518" t="str">
        <f>IF(AND(_F="B-767-300",'2024'!$O$4="CA",'2024'!$O$2=CS423),'2024DATA'!$L$15,"")</f>
        <v/>
      </c>
      <c r="CT436" s="518" t="str">
        <f>IF(AND(_F="B-767-300",'2024'!$O$4="CA",'2024'!$O$2=CT423),'2024DATA'!$M$15,"")</f>
        <v/>
      </c>
      <c r="CU436" s="520" t="str">
        <f>IF(AND(_F="B-767-300",'2024'!$O$4="CA",'2024'!$O$2=CU423),'2024DATA'!$N$15,"")</f>
        <v/>
      </c>
    </row>
    <row r="437" spans="16:99" x14ac:dyDescent="0.25">
      <c r="P437" s="940"/>
      <c r="Q437" s="13" t="s">
        <v>62</v>
      </c>
      <c r="R437" s="518" t="str">
        <f>IF(AND(_A="B-767-300",'2024'!$O$4="FO",'2024'!$O$2=R423),'2024DATA'!$C$16,"")</f>
        <v/>
      </c>
      <c r="S437" s="518" t="str">
        <f>IF(AND(_A="B-767-300",'2024'!$O$4="FO",'2024'!$O$2=S423),'2024DATA'!$D$16,"")</f>
        <v/>
      </c>
      <c r="T437" s="518" t="str">
        <f>IF(AND(_A="B-767-300",'2024'!$O$4="FO",'2024'!$O$2=T423),'2024DATA'!$E$16,"")</f>
        <v/>
      </c>
      <c r="U437" s="518" t="str">
        <f>IF(AND(_A="B-767-300",'2024'!$O$4="FO",'2024'!$O$2=U423),'2024DATA'!$F$16,"")</f>
        <v/>
      </c>
      <c r="V437" s="518" t="str">
        <f>IF(AND(_A="B-767-300",'2024'!$O$4="FO",'2024'!$O$2=V423),'2024DATA'!$G$16,"")</f>
        <v/>
      </c>
      <c r="W437" s="518" t="str">
        <f>IF(AND(_A="B-767-300",'2024'!$O$4="FO",'2024'!$O$2=W423),'2024DATA'!$H$16,"")</f>
        <v/>
      </c>
      <c r="X437" s="518" t="str">
        <f>IF(AND(_A="B-767-300",'2024'!$O$4="FO",'2024'!$O$2=X423),'2024DATA'!$I$16,"")</f>
        <v/>
      </c>
      <c r="Y437" s="518" t="str">
        <f>IF(AND(_A="B-767-300",'2024'!$O$4="FO",'2024'!$O$2=Y423),'2024DATA'!$J$16,"")</f>
        <v/>
      </c>
      <c r="Z437" s="518" t="str">
        <f>IF(AND(_A="B-767-300",'2024'!$O$4="FO",'2024'!$O$2=Z423),'2024DATA'!$K$16,"")</f>
        <v/>
      </c>
      <c r="AA437" s="518" t="str">
        <f>IF(AND(_A="B-767-300",'2024'!$O$4="FO",'2024'!$O$2=AA423),'2024DATA'!$L$16,"")</f>
        <v/>
      </c>
      <c r="AB437" s="518" t="str">
        <f>IF(AND(_A="B-767-300",'2024'!$O$4="FO",'2024'!$O$2=AB423),'2024DATA'!$M$16,"")</f>
        <v/>
      </c>
      <c r="AC437" s="520" t="str">
        <f>IF(AND(_A="B-767-300",'2024'!$O$4="FO",'2024'!$O$2=AC423),'2024DATA'!$N$16,"")</f>
        <v/>
      </c>
      <c r="AD437" s="940"/>
      <c r="AE437" s="13" t="s">
        <v>62</v>
      </c>
      <c r="AF437" s="518" t="str">
        <f>IF(AND(_B="B-767-300",'2024'!$O$4="FO",'2024'!$O$2=AF423),'2024DATA'!$C$16,"")</f>
        <v/>
      </c>
      <c r="AG437" s="518" t="str">
        <f>IF(AND(_B="B-767-300",'2024'!$O$4="FO",'2024'!$O$2=AG423),'2024DATA'!$D$16,"")</f>
        <v/>
      </c>
      <c r="AH437" s="518" t="str">
        <f>IF(AND(_B="B-767-300",'2024'!$O$4="FO",'2024'!$O$2=AH423),'2024DATA'!$E$16,"")</f>
        <v/>
      </c>
      <c r="AI437" s="518" t="str">
        <f>IF(AND(_B="B-767-300",'2024'!$O$4="FO",'2024'!$O$2=AI423),'2024DATA'!$F$16,"")</f>
        <v/>
      </c>
      <c r="AJ437" s="518" t="str">
        <f>IF(AND(_B="B-767-300",'2024'!$O$4="FO",'2024'!$O$2=AJ423),'2024DATA'!$G$16,"")</f>
        <v/>
      </c>
      <c r="AK437" s="518" t="str">
        <f>IF(AND(_B="B-767-300",'2024'!$O$4="FO",'2024'!$O$2=AK423),'2024DATA'!$H$16,"")</f>
        <v/>
      </c>
      <c r="AL437" s="518" t="str">
        <f>IF(AND(_B="B-767-300",'2024'!$O$4="FO",'2024'!$O$2=AL423),'2024DATA'!$I$16,"")</f>
        <v/>
      </c>
      <c r="AM437" s="518" t="str">
        <f>IF(AND(_B="B-767-300",'2024'!$O$4="FO",'2024'!$O$2=AM423),'2024DATA'!$J$16,"")</f>
        <v/>
      </c>
      <c r="AN437" s="518" t="str">
        <f>IF(AND(_B="B-767-300",'2024'!$O$4="FO",'2024'!$O$2=AN423),'2024DATA'!$K$16,"")</f>
        <v/>
      </c>
      <c r="AO437" s="518" t="str">
        <f>IF(AND(_B="B-767-300",'2024'!$O$4="FO",'2024'!$O$2=AO423),'2024DATA'!$L$16,"")</f>
        <v/>
      </c>
      <c r="AP437" s="518" t="str">
        <f>IF(AND(_B="B-767-300",'2024'!$O$4="FO",'2024'!$O$2=AP423),'2024DATA'!$M$16,"")</f>
        <v/>
      </c>
      <c r="AQ437" s="520" t="str">
        <f>IF(AND(_B="B-767-300",'2024'!$O$4="FO",'2024'!$O$2=AQ423),'2024DATA'!$N$16,"")</f>
        <v/>
      </c>
      <c r="AR437" s="940"/>
      <c r="AS437" s="13" t="s">
        <v>62</v>
      </c>
      <c r="AT437" s="518" t="str">
        <f>IF(AND(_C="B-767-300",'2024'!$O$4="FO",'2024'!$O$2=AT423),'2024DATA'!$C$16,"")</f>
        <v/>
      </c>
      <c r="AU437" s="518" t="str">
        <f>IF(AND(_C="B-767-300",'2024'!$O$4="FO",'2024'!$O$2=AU423),'2024DATA'!$D$16,"")</f>
        <v/>
      </c>
      <c r="AV437" s="518" t="str">
        <f>IF(AND(_C="B-767-300",'2024'!$O$4="FO",'2024'!$O$2=AV423),'2024DATA'!$E$16,"")</f>
        <v/>
      </c>
      <c r="AW437" s="518" t="str">
        <f>IF(AND(_C="B-767-300",'2024'!$O$4="FO",'2024'!$O$2=AW423),'2024DATA'!$F$16,"")</f>
        <v/>
      </c>
      <c r="AX437" s="518" t="str">
        <f>IF(AND(_C="B-767-300",'2024'!$O$4="FO",'2024'!$O$2=AX423),'2024DATA'!$G$16,"")</f>
        <v/>
      </c>
      <c r="AY437" s="518" t="str">
        <f>IF(AND(_C="B-767-300",'2024'!$O$4="FO",'2024'!$O$2=AY423),'2024DATA'!$H$16,"")</f>
        <v/>
      </c>
      <c r="AZ437" s="518" t="str">
        <f>IF(AND(_C="B-767-300",'2024'!$O$4="FO",'2024'!$O$2=AZ423),'2024DATA'!$I$16,"")</f>
        <v/>
      </c>
      <c r="BA437" s="518" t="str">
        <f>IF(AND(_C="B-767-300",'2024'!$O$4="FO",'2024'!$O$2=BA423),'2024DATA'!$J$16,"")</f>
        <v/>
      </c>
      <c r="BB437" s="518" t="str">
        <f>IF(AND(_C="B-767-300",'2024'!$O$4="FO",'2024'!$O$2=BB423),'2024DATA'!$K$16,"")</f>
        <v/>
      </c>
      <c r="BC437" s="518" t="str">
        <f>IF(AND(_C="B-767-300",'2024'!$O$4="FO",'2024'!$O$2=BC423),'2024DATA'!$L$16,"")</f>
        <v/>
      </c>
      <c r="BD437" s="518" t="str">
        <f>IF(AND(_C="B-767-300",'2024'!$O$4="FO",'2024'!$O$2=BD423),'2024DATA'!$M$16,"")</f>
        <v/>
      </c>
      <c r="BE437" s="520" t="str">
        <f>IF(AND(_C="B-767-300",'2024'!$O$4="FO",'2024'!$O$2=BE423),'2024DATA'!$N$16,"")</f>
        <v/>
      </c>
      <c r="BF437" s="940"/>
      <c r="BG437" s="13" t="s">
        <v>62</v>
      </c>
      <c r="BH437" s="518" t="str">
        <f>IF(AND(_D="B-767-300",'2024'!$O$4="FO",'2024'!$O$2=BH423),'2024DATA'!$C$16,"")</f>
        <v/>
      </c>
      <c r="BI437" s="518" t="str">
        <f>IF(AND(_D="B-767-300",'2024'!$O$4="FO",'2024'!$O$2=BI423),'2024DATA'!$D$16,"")</f>
        <v/>
      </c>
      <c r="BJ437" s="518" t="str">
        <f>IF(AND(_D="B-767-300",'2024'!$O$4="FO",'2024'!$O$2=BJ423),'2024DATA'!$E$16,"")</f>
        <v/>
      </c>
      <c r="BK437" s="518" t="str">
        <f>IF(AND(_D="B-767-300",'2024'!$O$4="FO",'2024'!$O$2=BK423),'2024DATA'!$F$16,"")</f>
        <v/>
      </c>
      <c r="BL437" s="518" t="str">
        <f>IF(AND(_D="B-767-300",'2024'!$O$4="FO",'2024'!$O$2=BL423),'2024DATA'!$G$16,"")</f>
        <v/>
      </c>
      <c r="BM437" s="518" t="str">
        <f>IF(AND(_D="B-767-300",'2024'!$O$4="FO",'2024'!$O$2=BM423),'2024DATA'!$H$16,"")</f>
        <v/>
      </c>
      <c r="BN437" s="518" t="str">
        <f>IF(AND(_D="B-767-300",'2024'!$O$4="FO",'2024'!$O$2=BN423),'2024DATA'!$I$16,"")</f>
        <v/>
      </c>
      <c r="BO437" s="518" t="str">
        <f>IF(AND(_D="B-767-300",'2024'!$O$4="FO",'2024'!$O$2=BO423),'2024DATA'!$J$16,"")</f>
        <v/>
      </c>
      <c r="BP437" s="518" t="str">
        <f>IF(AND(_D="B-767-300",'2024'!$O$4="FO",'2024'!$O$2=BP423),'2024DATA'!$K$16,"")</f>
        <v/>
      </c>
      <c r="BQ437" s="518" t="str">
        <f>IF(AND(_D="B-767-300",'2024'!$O$4="FO",'2024'!$O$2=BQ423),'2024DATA'!$L$16,"")</f>
        <v/>
      </c>
      <c r="BR437" s="518" t="str">
        <f>IF(AND(_D="B-767-300",'2024'!$O$4="FO",'2024'!$O$2=BR423),'2024DATA'!$M$16,"")</f>
        <v/>
      </c>
      <c r="BS437" s="520" t="str">
        <f>IF(AND(_D="B-767-300",'2024'!$O$4="FO",'2024'!$O$2=BS423),'2024DATA'!$N$16,"")</f>
        <v/>
      </c>
      <c r="BT437" s="940"/>
      <c r="BU437" s="13" t="s">
        <v>62</v>
      </c>
      <c r="BV437" s="518" t="str">
        <f>IF(AND(_E="B-767-300",'2024'!$O$4="FO",'2024'!$O$2=BV423),'2024DATA'!$C$16,"")</f>
        <v/>
      </c>
      <c r="BW437" s="518" t="str">
        <f>IF(AND(_E="B-767-300",'2024'!$O$4="FO",'2024'!$O$2=BW423),'2024DATA'!$D$16,"")</f>
        <v/>
      </c>
      <c r="BX437" s="518" t="str">
        <f>IF(AND(_E="B-767-300",'2024'!$O$4="FO",'2024'!$O$2=BX423),'2024DATA'!$E$16,"")</f>
        <v/>
      </c>
      <c r="BY437" s="518" t="str">
        <f>IF(AND(_E="B-767-300",'2024'!$O$4="FO",'2024'!$O$2=BY423),'2024DATA'!$F$16,"")</f>
        <v/>
      </c>
      <c r="BZ437" s="518" t="str">
        <f>IF(AND(_E="B-767-300",'2024'!$O$4="FO",'2024'!$O$2=BZ423),'2024DATA'!$G$16,"")</f>
        <v/>
      </c>
      <c r="CA437" s="518" t="str">
        <f>IF(AND(_E="B-767-300",'2024'!$O$4="FO",'2024'!$O$2=CA423),'2024DATA'!$H$16,"")</f>
        <v/>
      </c>
      <c r="CB437" s="518" t="str">
        <f>IF(AND(_E="B-767-300",'2024'!$O$4="FO",'2024'!$O$2=CB423),'2024DATA'!$I$16,"")</f>
        <v/>
      </c>
      <c r="CC437" s="518" t="str">
        <f>IF(AND(_E="B-767-300",'2024'!$O$4="FO",'2024'!$O$2=CC423),'2024DATA'!$J$16,"")</f>
        <v/>
      </c>
      <c r="CD437" s="518" t="str">
        <f>IF(AND(_E="B-767-300",'2024'!$O$4="FO",'2024'!$O$2=CD423),'2024DATA'!$K$16,"")</f>
        <v/>
      </c>
      <c r="CE437" s="518" t="str">
        <f>IF(AND(_E="B-767-300",'2024'!$O$4="FO",'2024'!$O$2=CE423),'2024DATA'!$L$16,"")</f>
        <v/>
      </c>
      <c r="CF437" s="518" t="str">
        <f>IF(AND(_E="B-767-300",'2024'!$O$4="FO",'2024'!$O$2=CF423),'2024DATA'!$M$16,"")</f>
        <v/>
      </c>
      <c r="CG437" s="520" t="str">
        <f>IF(AND(_E="B-767-300",'2024'!$O$4="FO",'2024'!$O$2=CG423),'2024DATA'!$N$16,"")</f>
        <v/>
      </c>
      <c r="CH437" s="940"/>
      <c r="CI437" s="13" t="s">
        <v>62</v>
      </c>
      <c r="CJ437" s="518" t="str">
        <f>IF(AND(_F="B-767-300",'2024'!$O$4="FO",'2024'!$O$2=CJ423),'2024DATA'!$C$16,"")</f>
        <v/>
      </c>
      <c r="CK437" s="518" t="str">
        <f>IF(AND(_F="B-767-300",'2024'!$O$4="FO",'2024'!$O$2=CK423),'2024DATA'!$D$16,"")</f>
        <v/>
      </c>
      <c r="CL437" s="518" t="str">
        <f>IF(AND(_F="B-767-300",'2024'!$O$4="FO",'2024'!$O$2=CL423),'2024DATA'!$E$16,"")</f>
        <v/>
      </c>
      <c r="CM437" s="518" t="str">
        <f>IF(AND(_F="B-767-300",'2024'!$O$4="FO",'2024'!$O$2=CM423),'2024DATA'!$F$16,"")</f>
        <v/>
      </c>
      <c r="CN437" s="518" t="str">
        <f>IF(AND(_F="B-767-300",'2024'!$O$4="FO",'2024'!$O$2=CN423),'2024DATA'!$G$16,"")</f>
        <v/>
      </c>
      <c r="CO437" s="518" t="str">
        <f>IF(AND(_F="B-767-300",'2024'!$O$4="FO",'2024'!$O$2=CO423),'2024DATA'!$H$16,"")</f>
        <v/>
      </c>
      <c r="CP437" s="518" t="str">
        <f>IF(AND(_F="B-767-300",'2024'!$O$4="FO",'2024'!$O$2=CP423),'2024DATA'!$I$16,"")</f>
        <v/>
      </c>
      <c r="CQ437" s="518" t="str">
        <f>IF(AND(_F="B-767-300",'2024'!$O$4="FO",'2024'!$O$2=CQ423),'2024DATA'!$J$16,"")</f>
        <v/>
      </c>
      <c r="CR437" s="518" t="str">
        <f>IF(AND(_F="B-767-300",'2024'!$O$4="FO",'2024'!$O$2=CR423),'2024DATA'!$K$16,"")</f>
        <v/>
      </c>
      <c r="CS437" s="518" t="str">
        <f>IF(AND(_F="B-767-300",'2024'!$O$4="FO",'2024'!$O$2=CS423),'2024DATA'!$L$16,"")</f>
        <v/>
      </c>
      <c r="CT437" s="518" t="str">
        <f>IF(AND(_F="B-767-300",'2024'!$O$4="FO",'2024'!$O$2=CT423),'2024DATA'!$M$16,"")</f>
        <v/>
      </c>
      <c r="CU437" s="520" t="str">
        <f>IF(AND(_F="B-767-300",'2024'!$O$4="FO",'2024'!$O$2=CU423),'2024DATA'!$N$16,"")</f>
        <v/>
      </c>
    </row>
    <row r="438" spans="16:99" x14ac:dyDescent="0.25">
      <c r="P438" s="940" t="s">
        <v>68</v>
      </c>
      <c r="Q438" s="13" t="s">
        <v>61</v>
      </c>
      <c r="R438" s="518" t="str">
        <f>IF(AND(_A="B-767-200",'2024'!$O$4="CA",'2024'!$O$2=R423),'2024DATA'!$C$17,"")</f>
        <v/>
      </c>
      <c r="S438" s="518" t="str">
        <f>IF(AND(_A="B-767-200",'2024'!$O$4="CA",'2024'!$O$2=S423),'2024DATA'!$D$17,"")</f>
        <v/>
      </c>
      <c r="T438" s="518" t="str">
        <f>IF(AND(_A="B-767-200",'2024'!$O$4="CA",'2024'!$O$2=T423),'2024DATA'!$E$17,"")</f>
        <v/>
      </c>
      <c r="U438" s="518" t="str">
        <f>IF(AND(_A="B-767-200",'2024'!$O$4="CA",'2024'!$O$2=U423),'2024DATA'!$F$17,"")</f>
        <v/>
      </c>
      <c r="V438" s="518" t="str">
        <f>IF(AND(_A="B-767-200",'2024'!$O$4="CA",'2024'!$O$2=V423),'2024DATA'!$G$17,"")</f>
        <v/>
      </c>
      <c r="W438" s="518" t="str">
        <f>IF(AND(_A="B-767-200",'2024'!$O$4="CA",'2024'!$O$2=W423),'2024DATA'!$H$17,"")</f>
        <v/>
      </c>
      <c r="X438" s="518" t="str">
        <f>IF(AND(_A="B-767-200",'2024'!$O$4="CA",'2024'!$O$2=X423),'2024DATA'!$I$17,"")</f>
        <v/>
      </c>
      <c r="Y438" s="518" t="str">
        <f>IF(AND(_A="B-767-200",'2024'!$O$4="CA",'2024'!$O$2=Y423),'2024DATA'!$J$17,"")</f>
        <v/>
      </c>
      <c r="Z438" s="518" t="str">
        <f>IF(AND(_A="B-767-200",'2024'!$O$4="CA",'2024'!$O$2=Z423),'2024DATA'!$K$17,"")</f>
        <v/>
      </c>
      <c r="AA438" s="518" t="str">
        <f>IF(AND(_A="B-767-200",'2024'!$O$4="CA",'2024'!$O$2=AA423),'2024DATA'!$L$17,"")</f>
        <v/>
      </c>
      <c r="AB438" s="518" t="str">
        <f>IF(AND(_A="B-767-200",'2024'!$O$4="CA",'2024'!$O$2=AB423),'2024DATA'!$M$17,"")</f>
        <v/>
      </c>
      <c r="AC438" s="520" t="str">
        <f>IF(AND(_A="B-767-200",'2024'!$O$4="CA",'2024'!$O$2=AC423),'2024DATA'!$N$17,"")</f>
        <v/>
      </c>
      <c r="AD438" s="940" t="s">
        <v>68</v>
      </c>
      <c r="AE438" s="13" t="s">
        <v>61</v>
      </c>
      <c r="AF438" s="518" t="str">
        <f>IF(AND(_B="B-767-200",'2024'!$O$4="CA",'2024'!$O$2=AF423),'2024DATA'!$C$17,"")</f>
        <v/>
      </c>
      <c r="AG438" s="518" t="str">
        <f>IF(AND(_B="B-767-200",'2024'!$O$4="CA",'2024'!$O$2=AG423),'2024DATA'!$D$17,"")</f>
        <v/>
      </c>
      <c r="AH438" s="518" t="str">
        <f>IF(AND(_B="B-767-200",'2024'!$O$4="CA",'2024'!$O$2=AH423),'2024DATA'!$E$17,"")</f>
        <v/>
      </c>
      <c r="AI438" s="518" t="str">
        <f>IF(AND(_B="B-767-200",'2024'!$O$4="CA",'2024'!$O$2=AI423),'2024DATA'!$F$17,"")</f>
        <v/>
      </c>
      <c r="AJ438" s="518" t="str">
        <f>IF(AND(_B="B-767-200",'2024'!$O$4="CA",'2024'!$O$2=AJ423),'2024DATA'!$G$17,"")</f>
        <v/>
      </c>
      <c r="AK438" s="518" t="str">
        <f>IF(AND(_B="B-767-200",'2024'!$O$4="CA",'2024'!$O$2=AK423),'2024DATA'!$H$17,"")</f>
        <v/>
      </c>
      <c r="AL438" s="518" t="str">
        <f>IF(AND(_B="B-767-200",'2024'!$O$4="CA",'2024'!$O$2=AL423),'2024DATA'!$I$17,"")</f>
        <v/>
      </c>
      <c r="AM438" s="518" t="str">
        <f>IF(AND(_B="B-767-200",'2024'!$O$4="CA",'2024'!$O$2=AM423),'2024DATA'!$J$17,"")</f>
        <v/>
      </c>
      <c r="AN438" s="518" t="str">
        <f>IF(AND(_B="B-767-200",'2024'!$O$4="CA",'2024'!$O$2=AN423),'2024DATA'!$K$17,"")</f>
        <v/>
      </c>
      <c r="AO438" s="518" t="str">
        <f>IF(AND(_B="B-767-200",'2024'!$O$4="CA",'2024'!$O$2=AO423),'2024DATA'!$L$17,"")</f>
        <v/>
      </c>
      <c r="AP438" s="518" t="str">
        <f>IF(AND(_B="B-767-200",'2024'!$O$4="CA",'2024'!$O$2=AP423),'2024DATA'!$M$17,"")</f>
        <v/>
      </c>
      <c r="AQ438" s="520" t="str">
        <f>IF(AND(_B="B-767-200",'2024'!$O$4="CA",'2024'!$O$2=AQ423),'2024DATA'!$N$17,"")</f>
        <v/>
      </c>
      <c r="AR438" s="940" t="s">
        <v>68</v>
      </c>
      <c r="AS438" s="13" t="s">
        <v>61</v>
      </c>
      <c r="AT438" s="518" t="str">
        <f>IF(AND(_C="B-767-200",'2024'!$O$4="CA",'2024'!$O$2=AT423),'2024DATA'!$C$17,"")</f>
        <v/>
      </c>
      <c r="AU438" s="518" t="str">
        <f>IF(AND(_C="B-767-200",'2024'!$O$4="CA",'2024'!$O$2=AU423),'2024DATA'!$D$17,"")</f>
        <v/>
      </c>
      <c r="AV438" s="518" t="str">
        <f>IF(AND(_C="B-767-200",'2024'!$O$4="CA",'2024'!$O$2=AV423),'2024DATA'!$E$17,"")</f>
        <v/>
      </c>
      <c r="AW438" s="518" t="str">
        <f>IF(AND(_C="B-767-200",'2024'!$O$4="CA",'2024'!$O$2=AW423),'2024DATA'!$F$17,"")</f>
        <v/>
      </c>
      <c r="AX438" s="518" t="str">
        <f>IF(AND(_C="B-767-200",'2024'!$O$4="CA",'2024'!$O$2=AX423),'2024DATA'!$G$17,"")</f>
        <v/>
      </c>
      <c r="AY438" s="518" t="str">
        <f>IF(AND(_C="B-767-200",'2024'!$O$4="CA",'2024'!$O$2=AY423),'2024DATA'!$H$17,"")</f>
        <v/>
      </c>
      <c r="AZ438" s="518" t="str">
        <f>IF(AND(_C="B-767-200",'2024'!$O$4="CA",'2024'!$O$2=AZ423),'2024DATA'!$I$17,"")</f>
        <v/>
      </c>
      <c r="BA438" s="518" t="str">
        <f>IF(AND(_C="B-767-200",'2024'!$O$4="CA",'2024'!$O$2=BA423),'2024DATA'!$J$17,"")</f>
        <v/>
      </c>
      <c r="BB438" s="518" t="str">
        <f>IF(AND(_C="B-767-200",'2024'!$O$4="CA",'2024'!$O$2=BB423),'2024DATA'!$K$17,"")</f>
        <v/>
      </c>
      <c r="BC438" s="518" t="str">
        <f>IF(AND(_C="B-767-200",'2024'!$O$4="CA",'2024'!$O$2=BC423),'2024DATA'!$L$17,"")</f>
        <v/>
      </c>
      <c r="BD438" s="518" t="str">
        <f>IF(AND(_C="B-767-200",'2024'!$O$4="CA",'2024'!$O$2=BD423),'2024DATA'!$M$17,"")</f>
        <v/>
      </c>
      <c r="BE438" s="520" t="str">
        <f>IF(AND(_C="B-767-200",'2024'!$O$4="CA",'2024'!$O$2=BE423),'2024DATA'!$N$17,"")</f>
        <v/>
      </c>
      <c r="BF438" s="940" t="s">
        <v>68</v>
      </c>
      <c r="BG438" s="13" t="s">
        <v>61</v>
      </c>
      <c r="BH438" s="518" t="str">
        <f>IF(AND(_D="B-767-200",'2024'!$O$4="CA",'2024'!$O$2=BH423),'2024DATA'!$C$17,"")</f>
        <v/>
      </c>
      <c r="BI438" s="518" t="str">
        <f>IF(AND(_D="B-767-200",'2024'!$O$4="CA",'2024'!$O$2=BI423),'2024DATA'!$D$17,"")</f>
        <v/>
      </c>
      <c r="BJ438" s="518" t="str">
        <f>IF(AND(_D="B-767-200",'2024'!$O$4="CA",'2024'!$O$2=BJ423),'2024DATA'!$E$17,"")</f>
        <v/>
      </c>
      <c r="BK438" s="518" t="str">
        <f>IF(AND(_D="B-767-200",'2024'!$O$4="CA",'2024'!$O$2=BK423),'2024DATA'!$F$17,"")</f>
        <v/>
      </c>
      <c r="BL438" s="518" t="str">
        <f>IF(AND(_D="B-767-200",'2024'!$O$4="CA",'2024'!$O$2=BL423),'2024DATA'!$G$17,"")</f>
        <v/>
      </c>
      <c r="BM438" s="518" t="str">
        <f>IF(AND(_D="B-767-200",'2024'!$O$4="CA",'2024'!$O$2=BM423),'2024DATA'!$H$17,"")</f>
        <v/>
      </c>
      <c r="BN438" s="518" t="str">
        <f>IF(AND(_D="B-767-200",'2024'!$O$4="CA",'2024'!$O$2=BN423),'2024DATA'!$I$17,"")</f>
        <v/>
      </c>
      <c r="BO438" s="518" t="str">
        <f>IF(AND(_D="B-767-200",'2024'!$O$4="CA",'2024'!$O$2=BO423),'2024DATA'!$J$17,"")</f>
        <v/>
      </c>
      <c r="BP438" s="518" t="str">
        <f>IF(AND(_D="B-767-200",'2024'!$O$4="CA",'2024'!$O$2=BP423),'2024DATA'!$K$17,"")</f>
        <v/>
      </c>
      <c r="BQ438" s="518" t="str">
        <f>IF(AND(_D="B-767-200",'2024'!$O$4="CA",'2024'!$O$2=BQ423),'2024DATA'!$L$17,"")</f>
        <v/>
      </c>
      <c r="BR438" s="518" t="str">
        <f>IF(AND(_D="B-767-200",'2024'!$O$4="CA",'2024'!$O$2=BR423),'2024DATA'!$M$17,"")</f>
        <v/>
      </c>
      <c r="BS438" s="520" t="str">
        <f>IF(AND(_D="B-767-200",'2024'!$O$4="CA",'2024'!$O$2=BS423),'2024DATA'!$N$17,"")</f>
        <v/>
      </c>
      <c r="BT438" s="940" t="s">
        <v>68</v>
      </c>
      <c r="BU438" s="13" t="s">
        <v>61</v>
      </c>
      <c r="BV438" s="518" t="str">
        <f>IF(AND(_E="B-767-200",'2024'!$O$4="CA",'2024'!$O$2=BV423),'2024DATA'!$C$17,"")</f>
        <v/>
      </c>
      <c r="BW438" s="518" t="str">
        <f>IF(AND(_E="B-767-200",'2024'!$O$4="CA",'2024'!$O$2=BW423),'2024DATA'!$D$17,"")</f>
        <v/>
      </c>
      <c r="BX438" s="518" t="str">
        <f>IF(AND(_E="B-767-200",'2024'!$O$4="CA",'2024'!$O$2=BX423),'2024DATA'!$E$17,"")</f>
        <v/>
      </c>
      <c r="BY438" s="518" t="str">
        <f>IF(AND(_E="B-767-200",'2024'!$O$4="CA",'2024'!$O$2=BY423),'2024DATA'!$F$17,"")</f>
        <v/>
      </c>
      <c r="BZ438" s="518" t="str">
        <f>IF(AND(_E="B-767-200",'2024'!$O$4="CA",'2024'!$O$2=BZ423),'2024DATA'!$G$17,"")</f>
        <v/>
      </c>
      <c r="CA438" s="518" t="str">
        <f>IF(AND(_E="B-767-200",'2024'!$O$4="CA",'2024'!$O$2=CA423),'2024DATA'!$H$17,"")</f>
        <v/>
      </c>
      <c r="CB438" s="518" t="str">
        <f>IF(AND(_E="B-767-200",'2024'!$O$4="CA",'2024'!$O$2=CB423),'2024DATA'!$I$17,"")</f>
        <v/>
      </c>
      <c r="CC438" s="518" t="str">
        <f>IF(AND(_E="B-767-200",'2024'!$O$4="CA",'2024'!$O$2=CC423),'2024DATA'!$J$17,"")</f>
        <v/>
      </c>
      <c r="CD438" s="518" t="str">
        <f>IF(AND(_E="B-767-200",'2024'!$O$4="CA",'2024'!$O$2=CD423),'2024DATA'!$K$17,"")</f>
        <v/>
      </c>
      <c r="CE438" s="518" t="str">
        <f>IF(AND(_E="B-767-200",'2024'!$O$4="CA",'2024'!$O$2=CE423),'2024DATA'!$L$17,"")</f>
        <v/>
      </c>
      <c r="CF438" s="518" t="str">
        <f>IF(AND(_E="B-767-200",'2024'!$O$4="CA",'2024'!$O$2=CF423),'2024DATA'!$M$17,"")</f>
        <v/>
      </c>
      <c r="CG438" s="520" t="str">
        <f>IF(AND(_E="B-767-200",'2024'!$O$4="CA",'2024'!$O$2=CG423),'2024DATA'!$N$17,"")</f>
        <v/>
      </c>
      <c r="CH438" s="940" t="s">
        <v>68</v>
      </c>
      <c r="CI438" s="13" t="s">
        <v>61</v>
      </c>
      <c r="CJ438" s="518" t="str">
        <f>IF(AND(_F="B-767-200",'2024'!$O$4="CA",'2024'!$O$2=CJ423),'2024DATA'!$C$17,"")</f>
        <v/>
      </c>
      <c r="CK438" s="518" t="str">
        <f>IF(AND(_F="B-767-200",'2024'!$O$4="CA",'2024'!$O$2=CK423),'2024DATA'!$D$17,"")</f>
        <v/>
      </c>
      <c r="CL438" s="518" t="str">
        <f>IF(AND(_F="B-767-200",'2024'!$O$4="CA",'2024'!$O$2=CL423),'2024DATA'!$E$17,"")</f>
        <v/>
      </c>
      <c r="CM438" s="518" t="str">
        <f>IF(AND(_F="B-767-200",'2024'!$O$4="CA",'2024'!$O$2=CM423),'2024DATA'!$F$17,"")</f>
        <v/>
      </c>
      <c r="CN438" s="518" t="str">
        <f>IF(AND(_F="B-767-200",'2024'!$O$4="CA",'2024'!$O$2=CN423),'2024DATA'!$G$17,"")</f>
        <v/>
      </c>
      <c r="CO438" s="518" t="str">
        <f>IF(AND(_F="B-767-200",'2024'!$O$4="CA",'2024'!$O$2=CO423),'2024DATA'!$H$17,"")</f>
        <v/>
      </c>
      <c r="CP438" s="518" t="str">
        <f>IF(AND(_F="B-767-200",'2024'!$O$4="CA",'2024'!$O$2=CP423),'2024DATA'!$I$17,"")</f>
        <v/>
      </c>
      <c r="CQ438" s="518" t="str">
        <f>IF(AND(_F="B-767-200",'2024'!$O$4="CA",'2024'!$O$2=CQ423),'2024DATA'!$J$17,"")</f>
        <v/>
      </c>
      <c r="CR438" s="518" t="str">
        <f>IF(AND(_F="B-767-200",'2024'!$O$4="CA",'2024'!$O$2=CR423),'2024DATA'!$K$17,"")</f>
        <v/>
      </c>
      <c r="CS438" s="518" t="str">
        <f>IF(AND(_F="B-767-200",'2024'!$O$4="CA",'2024'!$O$2=CS423),'2024DATA'!$L$17,"")</f>
        <v/>
      </c>
      <c r="CT438" s="518" t="str">
        <f>IF(AND(_F="B-767-200",'2024'!$O$4="CA",'2024'!$O$2=CT423),'2024DATA'!$M$17,"")</f>
        <v/>
      </c>
      <c r="CU438" s="520" t="str">
        <f>IF(AND(_F="B-767-200",'2024'!$O$4="CA",'2024'!$O$2=CU423),'2024DATA'!$N$17,"")</f>
        <v/>
      </c>
    </row>
    <row r="439" spans="16:99" x14ac:dyDescent="0.25">
      <c r="P439" s="940"/>
      <c r="Q439" s="13" t="s">
        <v>62</v>
      </c>
      <c r="R439" s="518" t="str">
        <f>IF(AND(_A="B-767-200",'2024'!$O$4="FO",'2024'!$O$2=R423),'2024DATA'!$C$18,"")</f>
        <v/>
      </c>
      <c r="S439" s="518" t="str">
        <f>IF(AND(_A="B-767-200",'2024'!$O$4="FO",'2024'!$O$2=S423),'2024DATA'!$D$18,"")</f>
        <v/>
      </c>
      <c r="T439" s="518" t="str">
        <f>IF(AND(_A="B-767-200",'2024'!$O$4="FO",'2024'!$O$2=T423),'2024DATA'!$E$18,"")</f>
        <v/>
      </c>
      <c r="U439" s="518" t="str">
        <f>IF(AND(_A="B-767-200",'2024'!$O$4="FO",'2024'!$O$2=U423),'2024DATA'!$F$18,"")</f>
        <v/>
      </c>
      <c r="V439" s="518" t="str">
        <f>IF(AND(_A="B-767-200",'2024'!$O$4="FO",'2024'!$O$2=V423),'2024DATA'!$G$18,"")</f>
        <v/>
      </c>
      <c r="W439" s="518" t="str">
        <f>IF(AND(_A="B-767-200",'2024'!$O$4="FO",'2024'!$O$2=W423),'2024DATA'!$H$18,"")</f>
        <v/>
      </c>
      <c r="X439" s="518" t="str">
        <f>IF(AND(_A="B-767-200",'2024'!$O$4="FO",'2024'!$O$2=X423),'2024DATA'!$I$18,"")</f>
        <v/>
      </c>
      <c r="Y439" s="518" t="str">
        <f>IF(AND(_A="B-767-200",'2024'!$O$4="FO",'2024'!$O$2=Y423),'2024DATA'!$J$18,"")</f>
        <v/>
      </c>
      <c r="Z439" s="518" t="str">
        <f>IF(AND(_A="B-767-200",'2024'!$O$4="FO",'2024'!$O$2=Z423),'2024DATA'!$K$18,"")</f>
        <v/>
      </c>
      <c r="AA439" s="518" t="str">
        <f>IF(AND(_A="B-767-200",'2024'!$O$4="FO",'2024'!$O$2=AA423),'2024DATA'!$L$18,"")</f>
        <v/>
      </c>
      <c r="AB439" s="518" t="str">
        <f>IF(AND(_A="B-767-200",'2024'!$O$4="FO",'2024'!$O$2=AB423),'2024DATA'!$M$18,"")</f>
        <v/>
      </c>
      <c r="AC439" s="520" t="str">
        <f>IF(AND(_A="B-767-200",'2024'!$O$4="FO",'2024'!$O$2=AC423),'2024DATA'!$N$18,"")</f>
        <v/>
      </c>
      <c r="AD439" s="940"/>
      <c r="AE439" s="13" t="s">
        <v>62</v>
      </c>
      <c r="AF439" s="518" t="str">
        <f>IF(AND(_B="B-767-200",'2024'!$O$4="FO",'2024'!$O$2=AF423),'2024DATA'!$C$18,"")</f>
        <v/>
      </c>
      <c r="AG439" s="518" t="str">
        <f>IF(AND(_B="B-767-200",'2024'!$O$4="FO",'2024'!$O$2=AG423),'2024DATA'!$D$18,"")</f>
        <v/>
      </c>
      <c r="AH439" s="518" t="str">
        <f>IF(AND(_B="B-767-200",'2024'!$O$4="FO",'2024'!$O$2=AH423),'2024DATA'!$E$18,"")</f>
        <v/>
      </c>
      <c r="AI439" s="518" t="str">
        <f>IF(AND(_B="B-767-200",'2024'!$O$4="FO",'2024'!$O$2=AI423),'2024DATA'!$F$18,"")</f>
        <v/>
      </c>
      <c r="AJ439" s="518" t="str">
        <f>IF(AND(_B="B-767-200",'2024'!$O$4="FO",'2024'!$O$2=AJ423),'2024DATA'!$G$18,"")</f>
        <v/>
      </c>
      <c r="AK439" s="518" t="str">
        <f>IF(AND(_B="B-767-200",'2024'!$O$4="FO",'2024'!$O$2=AK423),'2024DATA'!$H$18,"")</f>
        <v/>
      </c>
      <c r="AL439" s="518" t="str">
        <f>IF(AND(_B="B-767-200",'2024'!$O$4="FO",'2024'!$O$2=AL423),'2024DATA'!$I$18,"")</f>
        <v/>
      </c>
      <c r="AM439" s="518" t="str">
        <f>IF(AND(_B="B-767-200",'2024'!$O$4="FO",'2024'!$O$2=AM423),'2024DATA'!$J$18,"")</f>
        <v/>
      </c>
      <c r="AN439" s="518" t="str">
        <f>IF(AND(_B="B-767-200",'2024'!$O$4="FO",'2024'!$O$2=AN423),'2024DATA'!$K$18,"")</f>
        <v/>
      </c>
      <c r="AO439" s="518" t="str">
        <f>IF(AND(_B="B-767-200",'2024'!$O$4="FO",'2024'!$O$2=AO423),'2024DATA'!$L$18,"")</f>
        <v/>
      </c>
      <c r="AP439" s="518" t="str">
        <f>IF(AND(_B="B-767-200",'2024'!$O$4="FO",'2024'!$O$2=AP423),'2024DATA'!$M$18,"")</f>
        <v/>
      </c>
      <c r="AQ439" s="520" t="str">
        <f>IF(AND(_B="B-767-200",'2024'!$O$4="FO",'2024'!$O$2=AQ423),'2024DATA'!$N$18,"")</f>
        <v/>
      </c>
      <c r="AR439" s="940"/>
      <c r="AS439" s="13" t="s">
        <v>62</v>
      </c>
      <c r="AT439" s="518" t="str">
        <f>IF(AND(_C="B-767-200",'2024'!$O$4="FO",'2024'!$O$2=AT423),'2024DATA'!$C$18,"")</f>
        <v/>
      </c>
      <c r="AU439" s="518" t="str">
        <f>IF(AND(_C="B-767-200",'2024'!$O$4="FO",'2024'!$O$2=AU423),'2024DATA'!$D$18,"")</f>
        <v/>
      </c>
      <c r="AV439" s="518" t="str">
        <f>IF(AND(_C="B-767-200",'2024'!$O$4="FO",'2024'!$O$2=AV423),'2024DATA'!$E$18,"")</f>
        <v/>
      </c>
      <c r="AW439" s="518" t="str">
        <f>IF(AND(_C="B-767-200",'2024'!$O$4="FO",'2024'!$O$2=AW423),'2024DATA'!$F$18,"")</f>
        <v/>
      </c>
      <c r="AX439" s="518" t="str">
        <f>IF(AND(_C="B-767-200",'2024'!$O$4="FO",'2024'!$O$2=AX423),'2024DATA'!$G$18,"")</f>
        <v/>
      </c>
      <c r="AY439" s="518" t="str">
        <f>IF(AND(_C="B-767-200",'2024'!$O$4="FO",'2024'!$O$2=AY423),'2024DATA'!$H$18,"")</f>
        <v/>
      </c>
      <c r="AZ439" s="518" t="str">
        <f>IF(AND(_C="B-767-200",'2024'!$O$4="FO",'2024'!$O$2=AZ423),'2024DATA'!$I$18,"")</f>
        <v/>
      </c>
      <c r="BA439" s="518" t="str">
        <f>IF(AND(_C="B-767-200",'2024'!$O$4="FO",'2024'!$O$2=BA423),'2024DATA'!$J$18,"")</f>
        <v/>
      </c>
      <c r="BB439" s="518" t="str">
        <f>IF(AND(_C="B-767-200",'2024'!$O$4="FO",'2024'!$O$2=BB423),'2024DATA'!$K$18,"")</f>
        <v/>
      </c>
      <c r="BC439" s="518" t="str">
        <f>IF(AND(_C="B-767-200",'2024'!$O$4="FO",'2024'!$O$2=BC423),'2024DATA'!$L$18,"")</f>
        <v/>
      </c>
      <c r="BD439" s="518" t="str">
        <f>IF(AND(_C="B-767-200",'2024'!$O$4="FO",'2024'!$O$2=BD423),'2024DATA'!$M$18,"")</f>
        <v/>
      </c>
      <c r="BE439" s="520" t="str">
        <f>IF(AND(_C="B-767-200",'2024'!$O$4="FO",'2024'!$O$2=BE423),'2024DATA'!$N$18,"")</f>
        <v/>
      </c>
      <c r="BF439" s="940"/>
      <c r="BG439" s="13" t="s">
        <v>62</v>
      </c>
      <c r="BH439" s="518" t="str">
        <f>IF(AND(_D="B-767-200",'2024'!$O$4="FO",'2024'!$O$2=BH423),'2024DATA'!$C$18,"")</f>
        <v/>
      </c>
      <c r="BI439" s="518" t="str">
        <f>IF(AND(_D="B-767-200",'2024'!$O$4="FO",'2024'!$O$2=BI423),'2024DATA'!$D$18,"")</f>
        <v/>
      </c>
      <c r="BJ439" s="518" t="str">
        <f>IF(AND(_D="B-767-200",'2024'!$O$4="FO",'2024'!$O$2=BJ423),'2024DATA'!$E$18,"")</f>
        <v/>
      </c>
      <c r="BK439" s="518" t="str">
        <f>IF(AND(_D="B-767-200",'2024'!$O$4="FO",'2024'!$O$2=BK423),'2024DATA'!$F$18,"")</f>
        <v/>
      </c>
      <c r="BL439" s="518" t="str">
        <f>IF(AND(_D="B-767-200",'2024'!$O$4="FO",'2024'!$O$2=BL423),'2024DATA'!$G$18,"")</f>
        <v/>
      </c>
      <c r="BM439" s="518" t="str">
        <f>IF(AND(_D="B-767-200",'2024'!$O$4="FO",'2024'!$O$2=BM423),'2024DATA'!$H$18,"")</f>
        <v/>
      </c>
      <c r="BN439" s="518" t="str">
        <f>IF(AND(_D="B-767-200",'2024'!$O$4="FO",'2024'!$O$2=BN423),'2024DATA'!$I$18,"")</f>
        <v/>
      </c>
      <c r="BO439" s="518" t="str">
        <f>IF(AND(_D="B-767-200",'2024'!$O$4="FO",'2024'!$O$2=BO423),'2024DATA'!$J$18,"")</f>
        <v/>
      </c>
      <c r="BP439" s="518" t="str">
        <f>IF(AND(_D="B-767-200",'2024'!$O$4="FO",'2024'!$O$2=BP423),'2024DATA'!$K$18,"")</f>
        <v/>
      </c>
      <c r="BQ439" s="518" t="str">
        <f>IF(AND(_D="B-767-200",'2024'!$O$4="FO",'2024'!$O$2=BQ423),'2024DATA'!$L$18,"")</f>
        <v/>
      </c>
      <c r="BR439" s="518" t="str">
        <f>IF(AND(_D="B-767-200",'2024'!$O$4="FO",'2024'!$O$2=BR423),'2024DATA'!$M$18,"")</f>
        <v/>
      </c>
      <c r="BS439" s="520" t="str">
        <f>IF(AND(_D="B-767-200",'2024'!$O$4="FO",'2024'!$O$2=BS423),'2024DATA'!$N$18,"")</f>
        <v/>
      </c>
      <c r="BT439" s="940"/>
      <c r="BU439" s="13" t="s">
        <v>62</v>
      </c>
      <c r="BV439" s="518" t="str">
        <f>IF(AND(_E="B-767-200",'2024'!$O$4="FO",'2024'!$O$2=BV423),'2024DATA'!$C$18,"")</f>
        <v/>
      </c>
      <c r="BW439" s="518" t="str">
        <f>IF(AND(_E="B-767-200",'2024'!$O$4="FO",'2024'!$O$2=BW423),'2024DATA'!$D$18,"")</f>
        <v/>
      </c>
      <c r="BX439" s="518" t="str">
        <f>IF(AND(_E="B-767-200",'2024'!$O$4="FO",'2024'!$O$2=BX423),'2024DATA'!$E$18,"")</f>
        <v/>
      </c>
      <c r="BY439" s="518" t="str">
        <f>IF(AND(_E="B-767-200",'2024'!$O$4="FO",'2024'!$O$2=BY423),'2024DATA'!$F$18,"")</f>
        <v/>
      </c>
      <c r="BZ439" s="518" t="str">
        <f>IF(AND(_E="B-767-200",'2024'!$O$4="FO",'2024'!$O$2=BZ423),'2024DATA'!$G$18,"")</f>
        <v/>
      </c>
      <c r="CA439" s="518" t="str">
        <f>IF(AND(_E="B-767-200",'2024'!$O$4="FO",'2024'!$O$2=CA423),'2024DATA'!$H$18,"")</f>
        <v/>
      </c>
      <c r="CB439" s="518" t="str">
        <f>IF(AND(_E="B-767-200",'2024'!$O$4="FO",'2024'!$O$2=CB423),'2024DATA'!$I$18,"")</f>
        <v/>
      </c>
      <c r="CC439" s="518" t="str">
        <f>IF(AND(_E="B-767-200",'2024'!$O$4="FO",'2024'!$O$2=CC423),'2024DATA'!$J$18,"")</f>
        <v/>
      </c>
      <c r="CD439" s="518" t="str">
        <f>IF(AND(_E="B-767-200",'2024'!$O$4="FO",'2024'!$O$2=CD423),'2024DATA'!$K$18,"")</f>
        <v/>
      </c>
      <c r="CE439" s="518" t="str">
        <f>IF(AND(_E="B-767-200",'2024'!$O$4="FO",'2024'!$O$2=CE423),'2024DATA'!$L$18,"")</f>
        <v/>
      </c>
      <c r="CF439" s="518" t="str">
        <f>IF(AND(_E="B-767-200",'2024'!$O$4="FO",'2024'!$O$2=CF423),'2024DATA'!$M$18,"")</f>
        <v/>
      </c>
      <c r="CG439" s="520" t="str">
        <f>IF(AND(_E="B-767-200",'2024'!$O$4="FO",'2024'!$O$2=CG423),'2024DATA'!$N$18,"")</f>
        <v/>
      </c>
      <c r="CH439" s="940"/>
      <c r="CI439" s="13" t="s">
        <v>62</v>
      </c>
      <c r="CJ439" s="518" t="str">
        <f>IF(AND(_F="B-767-200",'2024'!$O$4="FO",'2024'!$O$2=CJ423),'2024DATA'!$C$18,"")</f>
        <v/>
      </c>
      <c r="CK439" s="518" t="str">
        <f>IF(AND(_F="B-767-200",'2024'!$O$4="FO",'2024'!$O$2=CK423),'2024DATA'!$D$18,"")</f>
        <v/>
      </c>
      <c r="CL439" s="518" t="str">
        <f>IF(AND(_F="B-767-200",'2024'!$O$4="FO",'2024'!$O$2=CL423),'2024DATA'!$E$18,"")</f>
        <v/>
      </c>
      <c r="CM439" s="518" t="str">
        <f>IF(AND(_F="B-767-200",'2024'!$O$4="FO",'2024'!$O$2=CM423),'2024DATA'!$F$18,"")</f>
        <v/>
      </c>
      <c r="CN439" s="518" t="str">
        <f>IF(AND(_F="B-767-200",'2024'!$O$4="FO",'2024'!$O$2=CN423),'2024DATA'!$G$18,"")</f>
        <v/>
      </c>
      <c r="CO439" s="518" t="str">
        <f>IF(AND(_F="B-767-200",'2024'!$O$4="FO",'2024'!$O$2=CO423),'2024DATA'!$H$18,"")</f>
        <v/>
      </c>
      <c r="CP439" s="518" t="str">
        <f>IF(AND(_F="B-767-200",'2024'!$O$4="FO",'2024'!$O$2=CP423),'2024DATA'!$I$18,"")</f>
        <v/>
      </c>
      <c r="CQ439" s="518" t="str">
        <f>IF(AND(_F="B-767-200",'2024'!$O$4="FO",'2024'!$O$2=CQ423),'2024DATA'!$J$18,"")</f>
        <v/>
      </c>
      <c r="CR439" s="518" t="str">
        <f>IF(AND(_F="B-767-200",'2024'!$O$4="FO",'2024'!$O$2=CR423),'2024DATA'!$K$18,"")</f>
        <v/>
      </c>
      <c r="CS439" s="518" t="str">
        <f>IF(AND(_F="B-767-200",'2024'!$O$4="FO",'2024'!$O$2=CS423),'2024DATA'!$L$18,"")</f>
        <v/>
      </c>
      <c r="CT439" s="518" t="str">
        <f>IF(AND(_F="B-767-200",'2024'!$O$4="FO",'2024'!$O$2=CT423),'2024DATA'!$M$18,"")</f>
        <v/>
      </c>
      <c r="CU439" s="520" t="str">
        <f>IF(AND(_F="B-767-200",'2024'!$O$4="FO",'2024'!$O$2=CU423),'2024DATA'!$N$18,"")</f>
        <v/>
      </c>
    </row>
    <row r="440" spans="16:99" x14ac:dyDescent="0.25">
      <c r="P440" s="940" t="s">
        <v>45</v>
      </c>
      <c r="Q440" s="13" t="s">
        <v>61</v>
      </c>
      <c r="R440" s="518" t="str">
        <f>IF(AND(_A="B-757",'2024'!$O$4="CA",'2024'!$O$2=R423),'2024DATA'!$C$19,"")</f>
        <v/>
      </c>
      <c r="S440" s="518" t="str">
        <f>IF(AND(_A="B-757",'2024'!$O$4="CA",'2024'!$O$2=S423),'2024DATA'!$D$19,"")</f>
        <v/>
      </c>
      <c r="T440" s="518" t="str">
        <f>IF(AND(_A="B-757",'2024'!$O$4="CA",'2024'!$O$2=T423),'2024DATA'!$E$19,"")</f>
        <v/>
      </c>
      <c r="U440" s="518" t="str">
        <f>IF(AND(_A="B-757",'2024'!$O$4="CA",'2024'!$O$2=U423),'2024DATA'!$F$19,"")</f>
        <v/>
      </c>
      <c r="V440" s="518" t="str">
        <f>IF(AND(_A="B-757",'2024'!$O$4="CA",'2024'!$O$2=V423),'2024DATA'!$G$19,"")</f>
        <v/>
      </c>
      <c r="W440" s="518" t="str">
        <f>IF(AND(_A="B-757",'2024'!$O$4="CA",'2024'!$O$2=W423),'2024DATA'!$H$19,"")</f>
        <v/>
      </c>
      <c r="X440" s="518" t="str">
        <f>IF(AND(_A="B-757",'2024'!$O$4="CA",'2024'!$O$2=X423),'2024DATA'!$I$19,"")</f>
        <v/>
      </c>
      <c r="Y440" s="518" t="str">
        <f>IF(AND(_A="B-757",'2024'!$O$4="CA",'2024'!$O$2=Y423),'2024DATA'!$J$19,"")</f>
        <v/>
      </c>
      <c r="Z440" s="518" t="str">
        <f>IF(AND(_A="B-757",'2024'!$O$4="CA",'2024'!$O$2=Z423),'2024DATA'!$K$19,"")</f>
        <v/>
      </c>
      <c r="AA440" s="518" t="str">
        <f>IF(AND(_A="B-757",'2024'!$O$4="CA",'2024'!$O$2=AA423),'2024DATA'!$L$19,"")</f>
        <v/>
      </c>
      <c r="AB440" s="518" t="str">
        <f>IF(AND(_A="B-757",'2024'!$O$4="CA",'2024'!$O$2=AB423),'2024DATA'!$M$19,"")</f>
        <v/>
      </c>
      <c r="AC440" s="520" t="str">
        <f>IF(AND(_A="B-757",'2024'!$O$4="CA",'2024'!$O$2=AC423),'2024DATA'!$N$19,"")</f>
        <v/>
      </c>
      <c r="AD440" s="940" t="s">
        <v>45</v>
      </c>
      <c r="AE440" s="13" t="s">
        <v>61</v>
      </c>
      <c r="AF440" s="518" t="str">
        <f>IF(AND(_B="B-757",'2024'!$O$4="CA",'2024'!$O$2=AF423),'2024DATA'!$C$19,"")</f>
        <v/>
      </c>
      <c r="AG440" s="518" t="str">
        <f>IF(AND(_B="B-757",'2024'!$O$4="CA",'2024'!$O$2=AG423),'2024DATA'!$D$19,"")</f>
        <v/>
      </c>
      <c r="AH440" s="518" t="str">
        <f>IF(AND(_B="B-757",'2024'!$O$4="CA",'2024'!$O$2=AH423),'2024DATA'!$E$19,"")</f>
        <v/>
      </c>
      <c r="AI440" s="518" t="str">
        <f>IF(AND(_B="B-757",'2024'!$O$4="CA",'2024'!$O$2=AI423),'2024DATA'!$F$19,"")</f>
        <v/>
      </c>
      <c r="AJ440" s="518" t="str">
        <f>IF(AND(_B="B-757",'2024'!$O$4="CA",'2024'!$O$2=AJ423),'2024DATA'!$G$19,"")</f>
        <v/>
      </c>
      <c r="AK440" s="518" t="str">
        <f>IF(AND(_B="B-757",'2024'!$O$4="CA",'2024'!$O$2=AK423),'2024DATA'!$H$19,"")</f>
        <v/>
      </c>
      <c r="AL440" s="518" t="str">
        <f>IF(AND(_B="B-757",'2024'!$O$4="CA",'2024'!$O$2=AL423),'2024DATA'!$I$19,"")</f>
        <v/>
      </c>
      <c r="AM440" s="518" t="str">
        <f>IF(AND(_B="B-757",'2024'!$O$4="CA",'2024'!$O$2=AM423),'2024DATA'!$J$19,"")</f>
        <v/>
      </c>
      <c r="AN440" s="518" t="str">
        <f>IF(AND(_B="B-757",'2024'!$O$4="CA",'2024'!$O$2=AN423),'2024DATA'!$K$19,"")</f>
        <v/>
      </c>
      <c r="AO440" s="518" t="str">
        <f>IF(AND(_B="B-757",'2024'!$O$4="CA",'2024'!$O$2=AO423),'2024DATA'!$L$19,"")</f>
        <v/>
      </c>
      <c r="AP440" s="518" t="str">
        <f>IF(AND(_B="B-757",'2024'!$O$4="CA",'2024'!$O$2=AP423),'2024DATA'!$M$19,"")</f>
        <v/>
      </c>
      <c r="AQ440" s="520" t="str">
        <f>IF(AND(_B="B-757",'2024'!$O$4="CA",'2024'!$O$2=AQ423),'2024DATA'!$N$19,"")</f>
        <v/>
      </c>
      <c r="AR440" s="940" t="s">
        <v>45</v>
      </c>
      <c r="AS440" s="13" t="s">
        <v>61</v>
      </c>
      <c r="AT440" s="518" t="str">
        <f>IF(AND(_C="B-757",'2024'!$O$4="CA",'2024'!$O$2=AT423),'2024DATA'!$C$19,"")</f>
        <v/>
      </c>
      <c r="AU440" s="518" t="str">
        <f>IF(AND(_C="B-757",'2024'!$O$4="CA",'2024'!$O$2=AU423),'2024DATA'!$D$19,"")</f>
        <v/>
      </c>
      <c r="AV440" s="518" t="str">
        <f>IF(AND(_C="B-757",'2024'!$O$4="CA",'2024'!$O$2=AV423),'2024DATA'!$E$19,"")</f>
        <v/>
      </c>
      <c r="AW440" s="518" t="str">
        <f>IF(AND(_C="B-757",'2024'!$O$4="CA",'2024'!$O$2=AW423),'2024DATA'!$F$19,"")</f>
        <v/>
      </c>
      <c r="AX440" s="518" t="str">
        <f>IF(AND(_C="B-757",'2024'!$O$4="CA",'2024'!$O$2=AX423),'2024DATA'!$G$19,"")</f>
        <v/>
      </c>
      <c r="AY440" s="518" t="str">
        <f>IF(AND(_C="B-757",'2024'!$O$4="CA",'2024'!$O$2=AY423),'2024DATA'!$H$19,"")</f>
        <v/>
      </c>
      <c r="AZ440" s="518" t="str">
        <f>IF(AND(_C="B-757",'2024'!$O$4="CA",'2024'!$O$2=AZ423),'2024DATA'!$I$19,"")</f>
        <v/>
      </c>
      <c r="BA440" s="518" t="str">
        <f>IF(AND(_C="B-757",'2024'!$O$4="CA",'2024'!$O$2=BA423),'2024DATA'!$J$19,"")</f>
        <v/>
      </c>
      <c r="BB440" s="518" t="str">
        <f>IF(AND(_C="B-757",'2024'!$O$4="CA",'2024'!$O$2=BB423),'2024DATA'!$K$19,"")</f>
        <v/>
      </c>
      <c r="BC440" s="518" t="str">
        <f>IF(AND(_C="B-757",'2024'!$O$4="CA",'2024'!$O$2=BC423),'2024DATA'!$L$19,"")</f>
        <v/>
      </c>
      <c r="BD440" s="518" t="str">
        <f>IF(AND(_C="B-757",'2024'!$O$4="CA",'2024'!$O$2=BD423),'2024DATA'!$M$19,"")</f>
        <v/>
      </c>
      <c r="BE440" s="520" t="str">
        <f>IF(AND(_C="B-757",'2024'!$O$4="CA",'2024'!$O$2=BE423),'2024DATA'!$N$19,"")</f>
        <v/>
      </c>
      <c r="BF440" s="940" t="s">
        <v>45</v>
      </c>
      <c r="BG440" s="13" t="s">
        <v>61</v>
      </c>
      <c r="BH440" s="518" t="str">
        <f>IF(AND(_D="B-757",'2024'!$O$4="CA",'2024'!$O$2=BH423),'2024DATA'!$C$19,"")</f>
        <v/>
      </c>
      <c r="BI440" s="518" t="str">
        <f>IF(AND(_D="B-757",'2024'!$O$4="CA",'2024'!$O$2=BI423),'2024DATA'!$D$19,"")</f>
        <v/>
      </c>
      <c r="BJ440" s="518" t="str">
        <f>IF(AND(_D="B-757",'2024'!$O$4="CA",'2024'!$O$2=BJ423),'2024DATA'!$E$19,"")</f>
        <v/>
      </c>
      <c r="BK440" s="518" t="str">
        <f>IF(AND(_D="B-757",'2024'!$O$4="CA",'2024'!$O$2=BK423),'2024DATA'!$F$19,"")</f>
        <v/>
      </c>
      <c r="BL440" s="518" t="str">
        <f>IF(AND(_D="B-757",'2024'!$O$4="CA",'2024'!$O$2=BL423),'2024DATA'!$G$19,"")</f>
        <v/>
      </c>
      <c r="BM440" s="518" t="str">
        <f>IF(AND(_D="B-757",'2024'!$O$4="CA",'2024'!$O$2=BM423),'2024DATA'!$H$19,"")</f>
        <v/>
      </c>
      <c r="BN440" s="518" t="str">
        <f>IF(AND(_D="B-757",'2024'!$O$4="CA",'2024'!$O$2=BN423),'2024DATA'!$I$19,"")</f>
        <v/>
      </c>
      <c r="BO440" s="518" t="str">
        <f>IF(AND(_D="B-757",'2024'!$O$4="CA",'2024'!$O$2=BO423),'2024DATA'!$J$19,"")</f>
        <v/>
      </c>
      <c r="BP440" s="518" t="str">
        <f>IF(AND(_D="B-757",'2024'!$O$4="CA",'2024'!$O$2=BP423),'2024DATA'!$K$19,"")</f>
        <v/>
      </c>
      <c r="BQ440" s="518" t="str">
        <f>IF(AND(_D="B-757",'2024'!$O$4="CA",'2024'!$O$2=BQ423),'2024DATA'!$L$19,"")</f>
        <v/>
      </c>
      <c r="BR440" s="518" t="str">
        <f>IF(AND(_D="B-757",'2024'!$O$4="CA",'2024'!$O$2=BR423),'2024DATA'!$M$19,"")</f>
        <v/>
      </c>
      <c r="BS440" s="520" t="str">
        <f>IF(AND(_D="B-757",'2024'!$O$4="CA",'2024'!$O$2=BS423),'2024DATA'!$N$19,"")</f>
        <v/>
      </c>
      <c r="BT440" s="940" t="s">
        <v>45</v>
      </c>
      <c r="BU440" s="13" t="s">
        <v>61</v>
      </c>
      <c r="BV440" s="518" t="str">
        <f>IF(AND(_E="B-757",'2024'!$O$4="CA",'2024'!$O$2=BV423),'2024DATA'!$C$19,"")</f>
        <v/>
      </c>
      <c r="BW440" s="518" t="str">
        <f>IF(AND(_E="B-757",'2024'!$O$4="CA",'2024'!$O$2=BW423),'2024DATA'!$D$19,"")</f>
        <v/>
      </c>
      <c r="BX440" s="518" t="str">
        <f>IF(AND(_E="B-757",'2024'!$O$4="CA",'2024'!$O$2=BX423),'2024DATA'!$E$19,"")</f>
        <v/>
      </c>
      <c r="BY440" s="518" t="str">
        <f>IF(AND(_E="B-757",'2024'!$O$4="CA",'2024'!$O$2=BY423),'2024DATA'!$F$19,"")</f>
        <v/>
      </c>
      <c r="BZ440" s="518" t="str">
        <f>IF(AND(_E="B-757",'2024'!$O$4="CA",'2024'!$O$2=BZ423),'2024DATA'!$G$19,"")</f>
        <v/>
      </c>
      <c r="CA440" s="518" t="str">
        <f>IF(AND(_E="B-757",'2024'!$O$4="CA",'2024'!$O$2=CA423),'2024DATA'!$H$19,"")</f>
        <v/>
      </c>
      <c r="CB440" s="518" t="str">
        <f>IF(AND(_E="B-757",'2024'!$O$4="CA",'2024'!$O$2=CB423),'2024DATA'!$I$19,"")</f>
        <v/>
      </c>
      <c r="CC440" s="518" t="str">
        <f>IF(AND(_E="B-757",'2024'!$O$4="CA",'2024'!$O$2=CC423),'2024DATA'!$J$19,"")</f>
        <v/>
      </c>
      <c r="CD440" s="518" t="str">
        <f>IF(AND(_E="B-757",'2024'!$O$4="CA",'2024'!$O$2=CD423),'2024DATA'!$K$19,"")</f>
        <v/>
      </c>
      <c r="CE440" s="518" t="str">
        <f>IF(AND(_E="B-757",'2024'!$O$4="CA",'2024'!$O$2=CE423),'2024DATA'!$L$19,"")</f>
        <v/>
      </c>
      <c r="CF440" s="518" t="str">
        <f>IF(AND(_E="B-757",'2024'!$O$4="CA",'2024'!$O$2=CF423),'2024DATA'!$M$19,"")</f>
        <v/>
      </c>
      <c r="CG440" s="520" t="str">
        <f>IF(AND(_E="B-757",'2024'!$O$4="CA",'2024'!$O$2=CG423),'2024DATA'!$N$19,"")</f>
        <v/>
      </c>
      <c r="CH440" s="940" t="s">
        <v>45</v>
      </c>
      <c r="CI440" s="13" t="s">
        <v>61</v>
      </c>
      <c r="CJ440" s="518" t="str">
        <f>IF(AND(_F="B-757",'2024'!$O$4="CA",'2024'!$O$2=CJ423),'2024DATA'!$C$19,"")</f>
        <v/>
      </c>
      <c r="CK440" s="518" t="str">
        <f>IF(AND(_F="B-757",'2024'!$O$4="CA",'2024'!$O$2=CK423),'2024DATA'!$D$19,"")</f>
        <v/>
      </c>
      <c r="CL440" s="518" t="str">
        <f>IF(AND(_F="B-757",'2024'!$O$4="CA",'2024'!$O$2=CL423),'2024DATA'!$E$19,"")</f>
        <v/>
      </c>
      <c r="CM440" s="518" t="str">
        <f>IF(AND(_F="B-757",'2024'!$O$4="CA",'2024'!$O$2=CM423),'2024DATA'!$F$19,"")</f>
        <v/>
      </c>
      <c r="CN440" s="518" t="str">
        <f>IF(AND(_F="B-757",'2024'!$O$4="CA",'2024'!$O$2=CN423),'2024DATA'!$G$19,"")</f>
        <v/>
      </c>
      <c r="CO440" s="518" t="str">
        <f>IF(AND(_F="B-757",'2024'!$O$4="CA",'2024'!$O$2=CO423),'2024DATA'!$H$19,"")</f>
        <v/>
      </c>
      <c r="CP440" s="518" t="str">
        <f>IF(AND(_F="B-757",'2024'!$O$4="CA",'2024'!$O$2=CP423),'2024DATA'!$I$19,"")</f>
        <v/>
      </c>
      <c r="CQ440" s="518" t="str">
        <f>IF(AND(_F="B-757",'2024'!$O$4="CA",'2024'!$O$2=CQ423),'2024DATA'!$J$19,"")</f>
        <v/>
      </c>
      <c r="CR440" s="518" t="str">
        <f>IF(AND(_F="B-757",'2024'!$O$4="CA",'2024'!$O$2=CR423),'2024DATA'!$K$19,"")</f>
        <v/>
      </c>
      <c r="CS440" s="518" t="str">
        <f>IF(AND(_F="B-757",'2024'!$O$4="CA",'2024'!$O$2=CS423),'2024DATA'!$L$19,"")</f>
        <v/>
      </c>
      <c r="CT440" s="518" t="str">
        <f>IF(AND(_F="B-757",'2024'!$O$4="CA",'2024'!$O$2=CT423),'2024DATA'!$M$19,"")</f>
        <v/>
      </c>
      <c r="CU440" s="520" t="str">
        <f>IF(AND(_F="B-757",'2024'!$O$4="CA",'2024'!$O$2=CU423),'2024DATA'!$N$19,"")</f>
        <v/>
      </c>
    </row>
    <row r="441" spans="16:99" x14ac:dyDescent="0.25">
      <c r="P441" s="940"/>
      <c r="Q441" s="13" t="s">
        <v>62</v>
      </c>
      <c r="R441" s="518" t="str">
        <f>IF(AND(_A="B-757",'2024'!$O$4="FO",'2024'!$O$2=R423),'2024DATA'!$C$20,"")</f>
        <v/>
      </c>
      <c r="S441" s="518" t="str">
        <f>IF(AND(_A="B-757",'2024'!$O$4="FO",'2024'!$O$2=S423),'2024DATA'!$D$20,"")</f>
        <v/>
      </c>
      <c r="T441" s="518" t="str">
        <f>IF(AND(_A="B-757",'2024'!$O$4="FO",'2024'!$O$2=T423),'2024DATA'!$E$20,"")</f>
        <v/>
      </c>
      <c r="U441" s="518" t="str">
        <f>IF(AND(_A="B-757",'2024'!$O$4="FO",'2024'!$O$2=U423),'2024DATA'!$F$20,"")</f>
        <v/>
      </c>
      <c r="V441" s="518" t="str">
        <f>IF(AND(_A="B-757",'2024'!$O$4="FO",'2024'!$O$2=V423),'2024DATA'!$G$20,"")</f>
        <v/>
      </c>
      <c r="W441" s="518" t="str">
        <f>IF(AND(_A="B-757",'2024'!$O$4="FO",'2024'!$O$2=W423),'2024DATA'!$H$20,"")</f>
        <v/>
      </c>
      <c r="X441" s="518" t="str">
        <f>IF(AND(_A="B-757",'2024'!$O$4="FO",'2024'!$O$2=X423),'2024DATA'!$I$20,"")</f>
        <v/>
      </c>
      <c r="Y441" s="518" t="str">
        <f>IF(AND(_A="B-757",'2024'!$O$4="FO",'2024'!$O$2=Y423),'2024DATA'!$J$20,"")</f>
        <v/>
      </c>
      <c r="Z441" s="518" t="str">
        <f>IF(AND(_A="B-757",'2024'!$O$4="FO",'2024'!$O$2=Z423),'2024DATA'!$K$20,"")</f>
        <v/>
      </c>
      <c r="AA441" s="518" t="str">
        <f>IF(AND(_A="B-757",'2024'!$O$4="FO",'2024'!$O$2=AA423),'2024DATA'!$L$20,"")</f>
        <v/>
      </c>
      <c r="AB441" s="518" t="str">
        <f>IF(AND(_A="B-757",'2024'!$O$4="FO",'2024'!$O$2=AB423),'2024DATA'!$M$20,"")</f>
        <v/>
      </c>
      <c r="AC441" s="520" t="str">
        <f>IF(AND(_A="B-757",'2024'!$O$4="FO",'2024'!$O$2=AC423),'2024DATA'!$N$20,"")</f>
        <v/>
      </c>
      <c r="AD441" s="940"/>
      <c r="AE441" s="13" t="s">
        <v>62</v>
      </c>
      <c r="AF441" s="518" t="str">
        <f>IF(AND(_B="B-757",'2024'!$O$4="FO",'2024'!$O$2=AF423),'2024DATA'!$C$20,"")</f>
        <v/>
      </c>
      <c r="AG441" s="518" t="str">
        <f>IF(AND(_B="B-757",'2024'!$O$4="FO",'2024'!$O$2=AG423),'2024DATA'!$D$20,"")</f>
        <v/>
      </c>
      <c r="AH441" s="518" t="str">
        <f>IF(AND(_B="B-757",'2024'!$O$4="FO",'2024'!$O$2=AH423),'2024DATA'!$E$20,"")</f>
        <v/>
      </c>
      <c r="AI441" s="518" t="str">
        <f>IF(AND(_B="B-757",'2024'!$O$4="FO",'2024'!$O$2=AI423),'2024DATA'!$F$20,"")</f>
        <v/>
      </c>
      <c r="AJ441" s="518" t="str">
        <f>IF(AND(_B="B-757",'2024'!$O$4="FO",'2024'!$O$2=AJ423),'2024DATA'!$G$20,"")</f>
        <v/>
      </c>
      <c r="AK441" s="518" t="str">
        <f>IF(AND(_B="B-757",'2024'!$O$4="FO",'2024'!$O$2=AK423),'2024DATA'!$H$20,"")</f>
        <v/>
      </c>
      <c r="AL441" s="518" t="str">
        <f>IF(AND(_B="B-757",'2024'!$O$4="FO",'2024'!$O$2=AL423),'2024DATA'!$I$20,"")</f>
        <v/>
      </c>
      <c r="AM441" s="518" t="str">
        <f>IF(AND(_B="B-757",'2024'!$O$4="FO",'2024'!$O$2=AM423),'2024DATA'!$J$20,"")</f>
        <v/>
      </c>
      <c r="AN441" s="518" t="str">
        <f>IF(AND(_B="B-757",'2024'!$O$4="FO",'2024'!$O$2=AN423),'2024DATA'!$K$20,"")</f>
        <v/>
      </c>
      <c r="AO441" s="518" t="str">
        <f>IF(AND(_B="B-757",'2024'!$O$4="FO",'2024'!$O$2=AO423),'2024DATA'!$L$20,"")</f>
        <v/>
      </c>
      <c r="AP441" s="518" t="str">
        <f>IF(AND(_B="B-757",'2024'!$O$4="FO",'2024'!$O$2=AP423),'2024DATA'!$M$20,"")</f>
        <v/>
      </c>
      <c r="AQ441" s="520" t="str">
        <f>IF(AND(_B="B-757",'2024'!$O$4="FO",'2024'!$O$2=AQ423),'2024DATA'!$N$20,"")</f>
        <v/>
      </c>
      <c r="AR441" s="940"/>
      <c r="AS441" s="13" t="s">
        <v>62</v>
      </c>
      <c r="AT441" s="518" t="str">
        <f>IF(AND(_C="B-757",'2024'!$O$4="FO",'2024'!$O$2=AT423),'2024DATA'!$C$20,"")</f>
        <v/>
      </c>
      <c r="AU441" s="518" t="str">
        <f>IF(AND(_C="B-757",'2024'!$O$4="FO",'2024'!$O$2=AU423),'2024DATA'!$D$20,"")</f>
        <v/>
      </c>
      <c r="AV441" s="518" t="str">
        <f>IF(AND(_C="B-757",'2024'!$O$4="FO",'2024'!$O$2=AV423),'2024DATA'!$E$20,"")</f>
        <v/>
      </c>
      <c r="AW441" s="518" t="str">
        <f>IF(AND(_C="B-757",'2024'!$O$4="FO",'2024'!$O$2=AW423),'2024DATA'!$F$20,"")</f>
        <v/>
      </c>
      <c r="AX441" s="518" t="str">
        <f>IF(AND(_C="B-757",'2024'!$O$4="FO",'2024'!$O$2=AX423),'2024DATA'!$G$20,"")</f>
        <v/>
      </c>
      <c r="AY441" s="518" t="str">
        <f>IF(AND(_C="B-757",'2024'!$O$4="FO",'2024'!$O$2=AY423),'2024DATA'!$H$20,"")</f>
        <v/>
      </c>
      <c r="AZ441" s="518" t="str">
        <f>IF(AND(_C="B-757",'2024'!$O$4="FO",'2024'!$O$2=AZ423),'2024DATA'!$I$20,"")</f>
        <v/>
      </c>
      <c r="BA441" s="518" t="str">
        <f>IF(AND(_C="B-757",'2024'!$O$4="FO",'2024'!$O$2=BA423),'2024DATA'!$J$20,"")</f>
        <v/>
      </c>
      <c r="BB441" s="518" t="str">
        <f>IF(AND(_C="B-757",'2024'!$O$4="FO",'2024'!$O$2=BB423),'2024DATA'!$K$20,"")</f>
        <v/>
      </c>
      <c r="BC441" s="518" t="str">
        <f>IF(AND(_C="B-757",'2024'!$O$4="FO",'2024'!$O$2=BC423),'2024DATA'!$L$20,"")</f>
        <v/>
      </c>
      <c r="BD441" s="518" t="str">
        <f>IF(AND(_C="B-757",'2024'!$O$4="FO",'2024'!$O$2=BD423),'2024DATA'!$M$20,"")</f>
        <v/>
      </c>
      <c r="BE441" s="520" t="str">
        <f>IF(AND(_C="B-757",'2024'!$O$4="FO",'2024'!$O$2=BE423),'2024DATA'!$N$20,"")</f>
        <v/>
      </c>
      <c r="BF441" s="940"/>
      <c r="BG441" s="13" t="s">
        <v>62</v>
      </c>
      <c r="BH441" s="518" t="str">
        <f>IF(AND(_D="B-757",'2024'!$O$4="FO",'2024'!$O$2=BH423),'2024DATA'!$C$20,"")</f>
        <v/>
      </c>
      <c r="BI441" s="518" t="str">
        <f>IF(AND(_D="B-757",'2024'!$O$4="FO",'2024'!$O$2=BI423),'2024DATA'!$D$20,"")</f>
        <v/>
      </c>
      <c r="BJ441" s="518" t="str">
        <f>IF(AND(_D="B-757",'2024'!$O$4="FO",'2024'!$O$2=BJ423),'2024DATA'!$E$20,"")</f>
        <v/>
      </c>
      <c r="BK441" s="518" t="str">
        <f>IF(AND(_D="B-757",'2024'!$O$4="FO",'2024'!$O$2=BK423),'2024DATA'!$F$20,"")</f>
        <v/>
      </c>
      <c r="BL441" s="518" t="str">
        <f>IF(AND(_D="B-757",'2024'!$O$4="FO",'2024'!$O$2=BL423),'2024DATA'!$G$20,"")</f>
        <v/>
      </c>
      <c r="BM441" s="518" t="str">
        <f>IF(AND(_D="B-757",'2024'!$O$4="FO",'2024'!$O$2=BM423),'2024DATA'!$H$20,"")</f>
        <v/>
      </c>
      <c r="BN441" s="518" t="str">
        <f>IF(AND(_D="B-757",'2024'!$O$4="FO",'2024'!$O$2=BN423),'2024DATA'!$I$20,"")</f>
        <v/>
      </c>
      <c r="BO441" s="518" t="str">
        <f>IF(AND(_D="B-757",'2024'!$O$4="FO",'2024'!$O$2=BO423),'2024DATA'!$J$20,"")</f>
        <v/>
      </c>
      <c r="BP441" s="518" t="str">
        <f>IF(AND(_D="B-757",'2024'!$O$4="FO",'2024'!$O$2=BP423),'2024DATA'!$K$20,"")</f>
        <v/>
      </c>
      <c r="BQ441" s="518" t="str">
        <f>IF(AND(_D="B-757",'2024'!$O$4="FO",'2024'!$O$2=BQ423),'2024DATA'!$L$20,"")</f>
        <v/>
      </c>
      <c r="BR441" s="518" t="str">
        <f>IF(AND(_D="B-757",'2024'!$O$4="FO",'2024'!$O$2=BR423),'2024DATA'!$M$20,"")</f>
        <v/>
      </c>
      <c r="BS441" s="520" t="str">
        <f>IF(AND(_D="B-757",'2024'!$O$4="FO",'2024'!$O$2=BS423),'2024DATA'!$N$20,"")</f>
        <v/>
      </c>
      <c r="BT441" s="940"/>
      <c r="BU441" s="13" t="s">
        <v>62</v>
      </c>
      <c r="BV441" s="518" t="str">
        <f>IF(AND(_E="B-757",'2024'!$O$4="FO",'2024'!$O$2=BV423),'2024DATA'!$C$20,"")</f>
        <v/>
      </c>
      <c r="BW441" s="518" t="str">
        <f>IF(AND(_E="B-757",'2024'!$O$4="FO",'2024'!$O$2=BW423),'2024DATA'!$D$20,"")</f>
        <v/>
      </c>
      <c r="BX441" s="518" t="str">
        <f>IF(AND(_E="B-757",'2024'!$O$4="FO",'2024'!$O$2=BX423),'2024DATA'!$E$20,"")</f>
        <v/>
      </c>
      <c r="BY441" s="518" t="str">
        <f>IF(AND(_E="B-757",'2024'!$O$4="FO",'2024'!$O$2=BY423),'2024DATA'!$F$20,"")</f>
        <v/>
      </c>
      <c r="BZ441" s="518" t="str">
        <f>IF(AND(_E="B-757",'2024'!$O$4="FO",'2024'!$O$2=BZ423),'2024DATA'!$G$20,"")</f>
        <v/>
      </c>
      <c r="CA441" s="518" t="str">
        <f>IF(AND(_E="B-757",'2024'!$O$4="FO",'2024'!$O$2=CA423),'2024DATA'!$H$20,"")</f>
        <v/>
      </c>
      <c r="CB441" s="518" t="str">
        <f>IF(AND(_E="B-757",'2024'!$O$4="FO",'2024'!$O$2=CB423),'2024DATA'!$I$20,"")</f>
        <v/>
      </c>
      <c r="CC441" s="518" t="str">
        <f>IF(AND(_E="B-757",'2024'!$O$4="FO",'2024'!$O$2=CC423),'2024DATA'!$J$20,"")</f>
        <v/>
      </c>
      <c r="CD441" s="518" t="str">
        <f>IF(AND(_E="B-757",'2024'!$O$4="FO",'2024'!$O$2=CD423),'2024DATA'!$K$20,"")</f>
        <v/>
      </c>
      <c r="CE441" s="518" t="str">
        <f>IF(AND(_E="B-757",'2024'!$O$4="FO",'2024'!$O$2=CE423),'2024DATA'!$L$20,"")</f>
        <v/>
      </c>
      <c r="CF441" s="518" t="str">
        <f>IF(AND(_E="B-757",'2024'!$O$4="FO",'2024'!$O$2=CF423),'2024DATA'!$M$20,"")</f>
        <v/>
      </c>
      <c r="CG441" s="520" t="str">
        <f>IF(AND(_E="B-757",'2024'!$O$4="FO",'2024'!$O$2=CG423),'2024DATA'!$N$20,"")</f>
        <v/>
      </c>
      <c r="CH441" s="940"/>
      <c r="CI441" s="13" t="s">
        <v>62</v>
      </c>
      <c r="CJ441" s="518" t="str">
        <f>IF(AND(_F="B-757",'2024'!$O$4="FO",'2024'!$O$2=CJ423),'2024DATA'!$C$20,"")</f>
        <v/>
      </c>
      <c r="CK441" s="518" t="str">
        <f>IF(AND(_F="B-757",'2024'!$O$4="FO",'2024'!$O$2=CK423),'2024DATA'!$D$20,"")</f>
        <v/>
      </c>
      <c r="CL441" s="518" t="str">
        <f>IF(AND(_F="B-757",'2024'!$O$4="FO",'2024'!$O$2=CL423),'2024DATA'!$E$20,"")</f>
        <v/>
      </c>
      <c r="CM441" s="518" t="str">
        <f>IF(AND(_F="B-757",'2024'!$O$4="FO",'2024'!$O$2=CM423),'2024DATA'!$F$20,"")</f>
        <v/>
      </c>
      <c r="CN441" s="518" t="str">
        <f>IF(AND(_F="B-757",'2024'!$O$4="FO",'2024'!$O$2=CN423),'2024DATA'!$G$20,"")</f>
        <v/>
      </c>
      <c r="CO441" s="518" t="str">
        <f>IF(AND(_F="B-757",'2024'!$O$4="FO",'2024'!$O$2=CO423),'2024DATA'!$H$20,"")</f>
        <v/>
      </c>
      <c r="CP441" s="518" t="str">
        <f>IF(AND(_F="B-757",'2024'!$O$4="FO",'2024'!$O$2=CP423),'2024DATA'!$I$20,"")</f>
        <v/>
      </c>
      <c r="CQ441" s="518" t="str">
        <f>IF(AND(_F="B-757",'2024'!$O$4="FO",'2024'!$O$2=CQ423),'2024DATA'!$J$20,"")</f>
        <v/>
      </c>
      <c r="CR441" s="518" t="str">
        <f>IF(AND(_F="B-757",'2024'!$O$4="FO",'2024'!$O$2=CR423),'2024DATA'!$K$20,"")</f>
        <v/>
      </c>
      <c r="CS441" s="518" t="str">
        <f>IF(AND(_F="B-757",'2024'!$O$4="FO",'2024'!$O$2=CS423),'2024DATA'!$L$20,"")</f>
        <v/>
      </c>
      <c r="CT441" s="518" t="str">
        <f>IF(AND(_F="B-757",'2024'!$O$4="FO",'2024'!$O$2=CT423),'2024DATA'!$M$20,"")</f>
        <v/>
      </c>
      <c r="CU441" s="520" t="str">
        <f>IF(AND(_F="B-757",'2024'!$O$4="FO",'2024'!$O$2=CU423),'2024DATA'!$N$20,"")</f>
        <v/>
      </c>
    </row>
    <row r="442" spans="16:99" x14ac:dyDescent="0.25">
      <c r="P442" s="940" t="s">
        <v>47</v>
      </c>
      <c r="Q442" s="13" t="s">
        <v>61</v>
      </c>
      <c r="R442" s="518" t="str">
        <f>IF(AND(_A="B-737-900",'2024'!$O$4="CA",'2024'!$O$2=R423),'2024DATA'!$C$21,"")</f>
        <v/>
      </c>
      <c r="S442" s="518" t="str">
        <f>IF(AND(_A="B-737-900",'2024'!$O$4="CA",'2024'!$O$2=S423),'2024DATA'!$D$21,"")</f>
        <v/>
      </c>
      <c r="T442" s="518" t="str">
        <f>IF(AND(_A="B-737-900",'2024'!$O$4="CA",'2024'!$O$2=T423),'2024DATA'!$E$21,"")</f>
        <v/>
      </c>
      <c r="U442" s="518" t="str">
        <f>IF(AND(_A="B-737-900",'2024'!$O$4="CA",'2024'!$O$2=U423),'2024DATA'!$F$21,"")</f>
        <v/>
      </c>
      <c r="V442" s="518" t="str">
        <f>IF(AND(_A="B-737-900",'2024'!$O$4="CA",'2024'!$O$2=V423),'2024DATA'!$G$21,"")</f>
        <v/>
      </c>
      <c r="W442" s="518" t="str">
        <f>IF(AND(_A="B-737-900",'2024'!$O$4="CA",'2024'!$O$2=W423),'2024DATA'!$H$21,"")</f>
        <v/>
      </c>
      <c r="X442" s="518" t="str">
        <f>IF(AND(_A="B-737-900",'2024'!$O$4="CA",'2024'!$O$2=X423),'2024DATA'!$I$21,"")</f>
        <v/>
      </c>
      <c r="Y442" s="518" t="str">
        <f>IF(AND(_A="B-737-900",'2024'!$O$4="CA",'2024'!$O$2=Y423),'2024DATA'!$J$21,"")</f>
        <v/>
      </c>
      <c r="Z442" s="518" t="str">
        <f>IF(AND(_A="B-737-900",'2024'!$O$4="CA",'2024'!$O$2=Z423),'2024DATA'!$K$21,"")</f>
        <v/>
      </c>
      <c r="AA442" s="518" t="str">
        <f>IF(AND(_A="B-737-900",'2024'!$O$4="CA",'2024'!$O$2=AA423),'2024DATA'!$L$21,"")</f>
        <v/>
      </c>
      <c r="AB442" s="518" t="str">
        <f>IF(AND(_A="B-737-900",'2024'!$O$4="CA",'2024'!$O$2=AB423),'2024DATA'!$M$21,"")</f>
        <v/>
      </c>
      <c r="AC442" s="520" t="str">
        <f>IF(AND(_A="B-737-900",'2024'!$O$4="CA",'2024'!$O$2=AC423),'2024DATA'!$N$21,"")</f>
        <v/>
      </c>
      <c r="AD442" s="940" t="s">
        <v>47</v>
      </c>
      <c r="AE442" s="13" t="s">
        <v>61</v>
      </c>
      <c r="AF442" s="518" t="str">
        <f>IF(AND(_B="B-737-900",'2024'!$O$4="CA",'2024'!$O$2=AF423),'2024DATA'!$C$21,"")</f>
        <v/>
      </c>
      <c r="AG442" s="518" t="str">
        <f>IF(AND(_B="B-737-900",'2024'!$O$4="CA",'2024'!$O$2=AG423),'2024DATA'!$D$21,"")</f>
        <v/>
      </c>
      <c r="AH442" s="518" t="str">
        <f>IF(AND(_B="B-737-900",'2024'!$O$4="CA",'2024'!$O$2=AH423),'2024DATA'!$E$21,"")</f>
        <v/>
      </c>
      <c r="AI442" s="518" t="str">
        <f>IF(AND(_B="B-737-900",'2024'!$O$4="CA",'2024'!$O$2=AI423),'2024DATA'!$F$21,"")</f>
        <v/>
      </c>
      <c r="AJ442" s="518" t="str">
        <f>IF(AND(_B="B-737-900",'2024'!$O$4="CA",'2024'!$O$2=AJ423),'2024DATA'!$G$21,"")</f>
        <v/>
      </c>
      <c r="AK442" s="518" t="str">
        <f>IF(AND(_B="B-737-900",'2024'!$O$4="CA",'2024'!$O$2=AK423),'2024DATA'!$H$21,"")</f>
        <v/>
      </c>
      <c r="AL442" s="518" t="str">
        <f>IF(AND(_B="B-737-900",'2024'!$O$4="CA",'2024'!$O$2=AL423),'2024DATA'!$I$21,"")</f>
        <v/>
      </c>
      <c r="AM442" s="518" t="str">
        <f>IF(AND(_B="B-737-900",'2024'!$O$4="CA",'2024'!$O$2=AM423),'2024DATA'!$J$21,"")</f>
        <v/>
      </c>
      <c r="AN442" s="518" t="str">
        <f>IF(AND(_B="B-737-900",'2024'!$O$4="CA",'2024'!$O$2=AN423),'2024DATA'!$K$21,"")</f>
        <v/>
      </c>
      <c r="AO442" s="518" t="str">
        <f>IF(AND(_B="B-737-900",'2024'!$O$4="CA",'2024'!$O$2=AO423),'2024DATA'!$L$21,"")</f>
        <v/>
      </c>
      <c r="AP442" s="518" t="str">
        <f>IF(AND(_B="B-737-900",'2024'!$O$4="CA",'2024'!$O$2=AP423),'2024DATA'!$M$21,"")</f>
        <v/>
      </c>
      <c r="AQ442" s="520" t="str">
        <f>IF(AND(_B="B-737-900",'2024'!$O$4="CA",'2024'!$O$2=AQ423),'2024DATA'!$N$21,"")</f>
        <v/>
      </c>
      <c r="AR442" s="940" t="s">
        <v>47</v>
      </c>
      <c r="AS442" s="13" t="s">
        <v>61</v>
      </c>
      <c r="AT442" s="518" t="str">
        <f>IF(AND(_C="B-737-900",'2024'!$O$4="CA",'2024'!$O$2=AT423),'2024DATA'!$C$21,"")</f>
        <v/>
      </c>
      <c r="AU442" s="518" t="str">
        <f>IF(AND(_C="B-737-900",'2024'!$O$4="CA",'2024'!$O$2=AU423),'2024DATA'!$D$21,"")</f>
        <v/>
      </c>
      <c r="AV442" s="518" t="str">
        <f>IF(AND(_C="B-737-900",'2024'!$O$4="CA",'2024'!$O$2=AV423),'2024DATA'!$E$21,"")</f>
        <v/>
      </c>
      <c r="AW442" s="518" t="str">
        <f>IF(AND(_C="B-737-900",'2024'!$O$4="CA",'2024'!$O$2=AW423),'2024DATA'!$F$21,"")</f>
        <v/>
      </c>
      <c r="AX442" s="518" t="str">
        <f>IF(AND(_C="B-737-900",'2024'!$O$4="CA",'2024'!$O$2=AX423),'2024DATA'!$G$21,"")</f>
        <v/>
      </c>
      <c r="AY442" s="518" t="str">
        <f>IF(AND(_C="B-737-900",'2024'!$O$4="CA",'2024'!$O$2=AY423),'2024DATA'!$H$21,"")</f>
        <v/>
      </c>
      <c r="AZ442" s="518" t="str">
        <f>IF(AND(_C="B-737-900",'2024'!$O$4="CA",'2024'!$O$2=AZ423),'2024DATA'!$I$21,"")</f>
        <v/>
      </c>
      <c r="BA442" s="518" t="str">
        <f>IF(AND(_C="B-737-900",'2024'!$O$4="CA",'2024'!$O$2=BA423),'2024DATA'!$J$21,"")</f>
        <v/>
      </c>
      <c r="BB442" s="518" t="str">
        <f>IF(AND(_C="B-737-900",'2024'!$O$4="CA",'2024'!$O$2=BB423),'2024DATA'!$K$21,"")</f>
        <v/>
      </c>
      <c r="BC442" s="518" t="str">
        <f>IF(AND(_C="B-737-900",'2024'!$O$4="CA",'2024'!$O$2=BC423),'2024DATA'!$L$21,"")</f>
        <v/>
      </c>
      <c r="BD442" s="518" t="str">
        <f>IF(AND(_C="B-737-900",'2024'!$O$4="CA",'2024'!$O$2=BD423),'2024DATA'!$M$21,"")</f>
        <v/>
      </c>
      <c r="BE442" s="520" t="str">
        <f>IF(AND(_C="B-737-900",'2024'!$O$4="CA",'2024'!$O$2=BE423),'2024DATA'!$N$21,"")</f>
        <v/>
      </c>
      <c r="BF442" s="940" t="s">
        <v>47</v>
      </c>
      <c r="BG442" s="13" t="s">
        <v>61</v>
      </c>
      <c r="BH442" s="518" t="str">
        <f>IF(AND(_D="B-737-900",'2024'!$O$4="CA",'2024'!$O$2=BH423),'2024DATA'!$C$21,"")</f>
        <v/>
      </c>
      <c r="BI442" s="518" t="str">
        <f>IF(AND(_D="B-737-900",'2024'!$O$4="CA",'2024'!$O$2=BI423),'2024DATA'!$D$21,"")</f>
        <v/>
      </c>
      <c r="BJ442" s="518" t="str">
        <f>IF(AND(_D="B-737-900",'2024'!$O$4="CA",'2024'!$O$2=BJ423),'2024DATA'!$E$21,"")</f>
        <v/>
      </c>
      <c r="BK442" s="518" t="str">
        <f>IF(AND(_D="B-737-900",'2024'!$O$4="CA",'2024'!$O$2=BK423),'2024DATA'!$F$21,"")</f>
        <v/>
      </c>
      <c r="BL442" s="518" t="str">
        <f>IF(AND(_D="B-737-900",'2024'!$O$4="CA",'2024'!$O$2=BL423),'2024DATA'!$G$21,"")</f>
        <v/>
      </c>
      <c r="BM442" s="518" t="str">
        <f>IF(AND(_D="B-737-900",'2024'!$O$4="CA",'2024'!$O$2=BM423),'2024DATA'!$H$21,"")</f>
        <v/>
      </c>
      <c r="BN442" s="518" t="str">
        <f>IF(AND(_D="B-737-900",'2024'!$O$4="CA",'2024'!$O$2=BN423),'2024DATA'!$I$21,"")</f>
        <v/>
      </c>
      <c r="BO442" s="518" t="str">
        <f>IF(AND(_D="B-737-900",'2024'!$O$4="CA",'2024'!$O$2=BO423),'2024DATA'!$J$21,"")</f>
        <v/>
      </c>
      <c r="BP442" s="518" t="str">
        <f>IF(AND(_D="B-737-900",'2024'!$O$4="CA",'2024'!$O$2=BP423),'2024DATA'!$K$21,"")</f>
        <v/>
      </c>
      <c r="BQ442" s="518" t="str">
        <f>IF(AND(_D="B-737-900",'2024'!$O$4="CA",'2024'!$O$2=BQ423),'2024DATA'!$L$21,"")</f>
        <v/>
      </c>
      <c r="BR442" s="518" t="str">
        <f>IF(AND(_D="B-737-900",'2024'!$O$4="CA",'2024'!$O$2=BR423),'2024DATA'!$M$21,"")</f>
        <v/>
      </c>
      <c r="BS442" s="520" t="str">
        <f>IF(AND(_D="B-737-900",'2024'!$O$4="CA",'2024'!$O$2=BS423),'2024DATA'!$N$21,"")</f>
        <v/>
      </c>
      <c r="BT442" s="940" t="s">
        <v>47</v>
      </c>
      <c r="BU442" s="13" t="s">
        <v>61</v>
      </c>
      <c r="BV442" s="518" t="str">
        <f>IF(AND(_E="B-737-900",'2024'!$O$4="CA",'2024'!$O$2=BV423),'2024DATA'!$C$21,"")</f>
        <v/>
      </c>
      <c r="BW442" s="518" t="str">
        <f>IF(AND(_E="B-737-900",'2024'!$O$4="CA",'2024'!$O$2=BW423),'2024DATA'!$D$21,"")</f>
        <v/>
      </c>
      <c r="BX442" s="518" t="str">
        <f>IF(AND(_E="B-737-900",'2024'!$O$4="CA",'2024'!$O$2=BX423),'2024DATA'!$E$21,"")</f>
        <v/>
      </c>
      <c r="BY442" s="518" t="str">
        <f>IF(AND(_E="B-737-900",'2024'!$O$4="CA",'2024'!$O$2=BY423),'2024DATA'!$F$21,"")</f>
        <v/>
      </c>
      <c r="BZ442" s="518" t="str">
        <f>IF(AND(_E="B-737-900",'2024'!$O$4="CA",'2024'!$O$2=BZ423),'2024DATA'!$G$21,"")</f>
        <v/>
      </c>
      <c r="CA442" s="518" t="str">
        <f>IF(AND(_E="B-737-900",'2024'!$O$4="CA",'2024'!$O$2=CA423),'2024DATA'!$H$21,"")</f>
        <v/>
      </c>
      <c r="CB442" s="518" t="str">
        <f>IF(AND(_E="B-737-900",'2024'!$O$4="CA",'2024'!$O$2=CB423),'2024DATA'!$I$21,"")</f>
        <v/>
      </c>
      <c r="CC442" s="518" t="str">
        <f>IF(AND(_E="B-737-900",'2024'!$O$4="CA",'2024'!$O$2=CC423),'2024DATA'!$J$21,"")</f>
        <v/>
      </c>
      <c r="CD442" s="518" t="str">
        <f>IF(AND(_E="B-737-900",'2024'!$O$4="CA",'2024'!$O$2=CD423),'2024DATA'!$K$21,"")</f>
        <v/>
      </c>
      <c r="CE442" s="518" t="str">
        <f>IF(AND(_E="B-737-900",'2024'!$O$4="CA",'2024'!$O$2=CE423),'2024DATA'!$L$21,"")</f>
        <v/>
      </c>
      <c r="CF442" s="518" t="str">
        <f>IF(AND(_E="B-737-900",'2024'!$O$4="CA",'2024'!$O$2=CF423),'2024DATA'!$M$21,"")</f>
        <v/>
      </c>
      <c r="CG442" s="520" t="str">
        <f>IF(AND(_E="B-737-900",'2024'!$O$4="CA",'2024'!$O$2=CG423),'2024DATA'!$N$21,"")</f>
        <v/>
      </c>
      <c r="CH442" s="940" t="s">
        <v>47</v>
      </c>
      <c r="CI442" s="13" t="s">
        <v>61</v>
      </c>
      <c r="CJ442" s="518" t="str">
        <f>IF(AND(_F="B-737-900",'2024'!$O$4="CA",'2024'!$O$2=CJ423),'2024DATA'!$C$21,"")</f>
        <v/>
      </c>
      <c r="CK442" s="518" t="str">
        <f>IF(AND(_F="B-737-900",'2024'!$O$4="CA",'2024'!$O$2=CK423),'2024DATA'!$D$21,"")</f>
        <v/>
      </c>
      <c r="CL442" s="518" t="str">
        <f>IF(AND(_F="B-737-900",'2024'!$O$4="CA",'2024'!$O$2=CL423),'2024DATA'!$E$21,"")</f>
        <v/>
      </c>
      <c r="CM442" s="518" t="str">
        <f>IF(AND(_F="B-737-900",'2024'!$O$4="CA",'2024'!$O$2=CM423),'2024DATA'!$F$21,"")</f>
        <v/>
      </c>
      <c r="CN442" s="518" t="str">
        <f>IF(AND(_F="B-737-900",'2024'!$O$4="CA",'2024'!$O$2=CN423),'2024DATA'!$G$21,"")</f>
        <v/>
      </c>
      <c r="CO442" s="518" t="str">
        <f>IF(AND(_F="B-737-900",'2024'!$O$4="CA",'2024'!$O$2=CO423),'2024DATA'!$H$21,"")</f>
        <v/>
      </c>
      <c r="CP442" s="518" t="str">
        <f>IF(AND(_F="B-737-900",'2024'!$O$4="CA",'2024'!$O$2=CP423),'2024DATA'!$I$21,"")</f>
        <v/>
      </c>
      <c r="CQ442" s="518" t="str">
        <f>IF(AND(_F="B-737-900",'2024'!$O$4="CA",'2024'!$O$2=CQ423),'2024DATA'!$J$21,"")</f>
        <v/>
      </c>
      <c r="CR442" s="518" t="str">
        <f>IF(AND(_F="B-737-900",'2024'!$O$4="CA",'2024'!$O$2=CR423),'2024DATA'!$K$21,"")</f>
        <v/>
      </c>
      <c r="CS442" s="518" t="str">
        <f>IF(AND(_F="B-737-900",'2024'!$O$4="CA",'2024'!$O$2=CS423),'2024DATA'!$L$21,"")</f>
        <v/>
      </c>
      <c r="CT442" s="518" t="str">
        <f>IF(AND(_F="B-737-900",'2024'!$O$4="CA",'2024'!$O$2=CT423),'2024DATA'!$M$21,"")</f>
        <v/>
      </c>
      <c r="CU442" s="520" t="str">
        <f>IF(AND(_F="B-737-900",'2024'!$O$4="CA",'2024'!$O$2=CU423),'2024DATA'!$N$21,"")</f>
        <v/>
      </c>
    </row>
    <row r="443" spans="16:99" x14ac:dyDescent="0.25">
      <c r="P443" s="940"/>
      <c r="Q443" s="13" t="s">
        <v>62</v>
      </c>
      <c r="R443" s="518" t="str">
        <f>IF(AND(_A="B-737-900",'2024'!$O$4="FO",'2024'!$O$2=R423),'2024DATA'!$C$22,"")</f>
        <v/>
      </c>
      <c r="S443" s="518" t="str">
        <f>IF(AND(_A="B-737-900",'2024'!$O$4="FO",'2024'!$O$2=S423),'2024DATA'!$D$22,"")</f>
        <v/>
      </c>
      <c r="T443" s="518" t="str">
        <f>IF(AND(_A="B-737-900",'2024'!$O$4="FO",'2024'!$O$2=T423),'2024DATA'!$E$22,"")</f>
        <v/>
      </c>
      <c r="U443" s="518" t="str">
        <f>IF(AND(_A="B-737-900",'2024'!$O$4="FO",'2024'!$O$2=U423),'2024DATA'!$F$22,"")</f>
        <v/>
      </c>
      <c r="V443" s="518" t="str">
        <f>IF(AND(_A="B-737-900",'2024'!$O$4="FO",'2024'!$O$2=V423),'2024DATA'!$G$22,"")</f>
        <v/>
      </c>
      <c r="W443" s="518" t="str">
        <f>IF(AND(_A="B-737-900",'2024'!$O$4="FO",'2024'!$O$2=W423),'2024DATA'!$H$22,"")</f>
        <v/>
      </c>
      <c r="X443" s="518" t="str">
        <f>IF(AND(_A="B-737-900",'2024'!$O$4="FO",'2024'!$O$2=X423),'2024DATA'!$I$22,"")</f>
        <v/>
      </c>
      <c r="Y443" s="518" t="str">
        <f>IF(AND(_A="B-737-900",'2024'!$O$4="FO",'2024'!$O$2=Y423),'2024DATA'!$J$22,"")</f>
        <v/>
      </c>
      <c r="Z443" s="518" t="str">
        <f>IF(AND(_A="B-737-900",'2024'!$O$4="FO",'2024'!$O$2=Z423),'2024DATA'!$K$22,"")</f>
        <v/>
      </c>
      <c r="AA443" s="518" t="str">
        <f>IF(AND(_A="B-737-900",'2024'!$O$4="FO",'2024'!$O$2=AA423),'2024DATA'!$L$22,"")</f>
        <v/>
      </c>
      <c r="AB443" s="518" t="str">
        <f>IF(AND(_A="B-737-900",'2024'!$O$4="FO",'2024'!$O$2=AB423),'2024DATA'!$M$22,"")</f>
        <v/>
      </c>
      <c r="AC443" s="520" t="str">
        <f>IF(AND(_A="B-737-900",'2024'!$O$4="FO",'2024'!$O$2=AC423),'2024DATA'!$N$22,"")</f>
        <v/>
      </c>
      <c r="AD443" s="940"/>
      <c r="AE443" s="13" t="s">
        <v>62</v>
      </c>
      <c r="AF443" s="518" t="str">
        <f>IF(AND(_B="B-737-900",'2024'!$O$4="FO",'2024'!$O$2=AF423),'2024DATA'!$C$22,"")</f>
        <v/>
      </c>
      <c r="AG443" s="518" t="str">
        <f>IF(AND(_B="B-737-900",'2024'!$O$4="FO",'2024'!$O$2=AG423),'2024DATA'!$D$22,"")</f>
        <v/>
      </c>
      <c r="AH443" s="518" t="str">
        <f>IF(AND(_B="B-737-900",'2024'!$O$4="FO",'2024'!$O$2=AH423),'2024DATA'!$E$22,"")</f>
        <v/>
      </c>
      <c r="AI443" s="518" t="str">
        <f>IF(AND(_B="B-737-900",'2024'!$O$4="FO",'2024'!$O$2=AI423),'2024DATA'!$F$22,"")</f>
        <v/>
      </c>
      <c r="AJ443" s="518" t="str">
        <f>IF(AND(_B="B-737-900",'2024'!$O$4="FO",'2024'!$O$2=AJ423),'2024DATA'!$G$22,"")</f>
        <v/>
      </c>
      <c r="AK443" s="518" t="str">
        <f>IF(AND(_B="B-737-900",'2024'!$O$4="FO",'2024'!$O$2=AK423),'2024DATA'!$H$22,"")</f>
        <v/>
      </c>
      <c r="AL443" s="518" t="str">
        <f>IF(AND(_B="B-737-900",'2024'!$O$4="FO",'2024'!$O$2=AL423),'2024DATA'!$I$22,"")</f>
        <v/>
      </c>
      <c r="AM443" s="518" t="str">
        <f>IF(AND(_B="B-737-900",'2024'!$O$4="FO",'2024'!$O$2=AM423),'2024DATA'!$J$22,"")</f>
        <v/>
      </c>
      <c r="AN443" s="518" t="str">
        <f>IF(AND(_B="B-737-900",'2024'!$O$4="FO",'2024'!$O$2=AN423),'2024DATA'!$K$22,"")</f>
        <v/>
      </c>
      <c r="AO443" s="518" t="str">
        <f>IF(AND(_B="B-737-900",'2024'!$O$4="FO",'2024'!$O$2=AO423),'2024DATA'!$L$22,"")</f>
        <v/>
      </c>
      <c r="AP443" s="518" t="str">
        <f>IF(AND(_B="B-737-900",'2024'!$O$4="FO",'2024'!$O$2=AP423),'2024DATA'!$M$22,"")</f>
        <v/>
      </c>
      <c r="AQ443" s="520" t="str">
        <f>IF(AND(_B="B-737-900",'2024'!$O$4="FO",'2024'!$O$2=AQ423),'2024DATA'!$N$22,"")</f>
        <v/>
      </c>
      <c r="AR443" s="940"/>
      <c r="AS443" s="13" t="s">
        <v>62</v>
      </c>
      <c r="AT443" s="518" t="str">
        <f>IF(AND(_C="B-737-900",'2024'!$O$4="FO",'2024'!$O$2=AT423),'2024DATA'!$C$22,"")</f>
        <v/>
      </c>
      <c r="AU443" s="518" t="str">
        <f>IF(AND(_C="B-737-900",'2024'!$O$4="FO",'2024'!$O$2=AU423),'2024DATA'!$D$22,"")</f>
        <v/>
      </c>
      <c r="AV443" s="518" t="str">
        <f>IF(AND(_C="B-737-900",'2024'!$O$4="FO",'2024'!$O$2=AV423),'2024DATA'!$E$22,"")</f>
        <v/>
      </c>
      <c r="AW443" s="518" t="str">
        <f>IF(AND(_C="B-737-900",'2024'!$O$4="FO",'2024'!$O$2=AW423),'2024DATA'!$F$22,"")</f>
        <v/>
      </c>
      <c r="AX443" s="518" t="str">
        <f>IF(AND(_C="B-737-900",'2024'!$O$4="FO",'2024'!$O$2=AX423),'2024DATA'!$G$22,"")</f>
        <v/>
      </c>
      <c r="AY443" s="518" t="str">
        <f>IF(AND(_C="B-737-900",'2024'!$O$4="FO",'2024'!$O$2=AY423),'2024DATA'!$H$22,"")</f>
        <v/>
      </c>
      <c r="AZ443" s="518" t="str">
        <f>IF(AND(_C="B-737-900",'2024'!$O$4="FO",'2024'!$O$2=AZ423),'2024DATA'!$I$22,"")</f>
        <v/>
      </c>
      <c r="BA443" s="518" t="str">
        <f>IF(AND(_C="B-737-900",'2024'!$O$4="FO",'2024'!$O$2=BA423),'2024DATA'!$J$22,"")</f>
        <v/>
      </c>
      <c r="BB443" s="518" t="str">
        <f>IF(AND(_C="B-737-900",'2024'!$O$4="FO",'2024'!$O$2=BB423),'2024DATA'!$K$22,"")</f>
        <v/>
      </c>
      <c r="BC443" s="518" t="str">
        <f>IF(AND(_C="B-737-900",'2024'!$O$4="FO",'2024'!$O$2=BC423),'2024DATA'!$L$22,"")</f>
        <v/>
      </c>
      <c r="BD443" s="518" t="str">
        <f>IF(AND(_C="B-737-900",'2024'!$O$4="FO",'2024'!$O$2=BD423),'2024DATA'!$M$22,"")</f>
        <v/>
      </c>
      <c r="BE443" s="520" t="str">
        <f>IF(AND(_C="B-737-900",'2024'!$O$4="FO",'2024'!$O$2=BE423),'2024DATA'!$N$22,"")</f>
        <v/>
      </c>
      <c r="BF443" s="940"/>
      <c r="BG443" s="13" t="s">
        <v>62</v>
      </c>
      <c r="BH443" s="518" t="str">
        <f>IF(AND(_D="B-737-900",'2024'!$O$4="FO",'2024'!$O$2=BH423),'2024DATA'!$C$22,"")</f>
        <v/>
      </c>
      <c r="BI443" s="518" t="str">
        <f>IF(AND(_D="B-737-900",'2024'!$O$4="FO",'2024'!$O$2=BI423),'2024DATA'!$D$22,"")</f>
        <v/>
      </c>
      <c r="BJ443" s="518" t="str">
        <f>IF(AND(_D="B-737-900",'2024'!$O$4="FO",'2024'!$O$2=BJ423),'2024DATA'!$E$22,"")</f>
        <v/>
      </c>
      <c r="BK443" s="518" t="str">
        <f>IF(AND(_D="B-737-900",'2024'!$O$4="FO",'2024'!$O$2=BK423),'2024DATA'!$F$22,"")</f>
        <v/>
      </c>
      <c r="BL443" s="518" t="str">
        <f>IF(AND(_D="B-737-900",'2024'!$O$4="FO",'2024'!$O$2=BL423),'2024DATA'!$G$22,"")</f>
        <v/>
      </c>
      <c r="BM443" s="518" t="str">
        <f>IF(AND(_D="B-737-900",'2024'!$O$4="FO",'2024'!$O$2=BM423),'2024DATA'!$H$22,"")</f>
        <v/>
      </c>
      <c r="BN443" s="518" t="str">
        <f>IF(AND(_D="B-737-900",'2024'!$O$4="FO",'2024'!$O$2=BN423),'2024DATA'!$I$22,"")</f>
        <v/>
      </c>
      <c r="BO443" s="518" t="str">
        <f>IF(AND(_D="B-737-900",'2024'!$O$4="FO",'2024'!$O$2=BO423),'2024DATA'!$J$22,"")</f>
        <v/>
      </c>
      <c r="BP443" s="518" t="str">
        <f>IF(AND(_D="B-737-900",'2024'!$O$4="FO",'2024'!$O$2=BP423),'2024DATA'!$K$22,"")</f>
        <v/>
      </c>
      <c r="BQ443" s="518" t="str">
        <f>IF(AND(_D="B-737-900",'2024'!$O$4="FO",'2024'!$O$2=BQ423),'2024DATA'!$L$22,"")</f>
        <v/>
      </c>
      <c r="BR443" s="518" t="str">
        <f>IF(AND(_D="B-737-900",'2024'!$O$4="FO",'2024'!$O$2=BR423),'2024DATA'!$M$22,"")</f>
        <v/>
      </c>
      <c r="BS443" s="520" t="str">
        <f>IF(AND(_D="B-737-900",'2024'!$O$4="FO",'2024'!$O$2=BS423),'2024DATA'!$N$22,"")</f>
        <v/>
      </c>
      <c r="BT443" s="940"/>
      <c r="BU443" s="13" t="s">
        <v>62</v>
      </c>
      <c r="BV443" s="518" t="str">
        <f>IF(AND(_E="B-737-900",'2024'!$O$4="FO",'2024'!$O$2=BV423),'2024DATA'!$C$22,"")</f>
        <v/>
      </c>
      <c r="BW443" s="518" t="str">
        <f>IF(AND(_E="B-737-900",'2024'!$O$4="FO",'2024'!$O$2=BW423),'2024DATA'!$D$22,"")</f>
        <v/>
      </c>
      <c r="BX443" s="518" t="str">
        <f>IF(AND(_E="B-737-900",'2024'!$O$4="FO",'2024'!$O$2=BX423),'2024DATA'!$E$22,"")</f>
        <v/>
      </c>
      <c r="BY443" s="518" t="str">
        <f>IF(AND(_E="B-737-900",'2024'!$O$4="FO",'2024'!$O$2=BY423),'2024DATA'!$F$22,"")</f>
        <v/>
      </c>
      <c r="BZ443" s="518" t="str">
        <f>IF(AND(_E="B-737-900",'2024'!$O$4="FO",'2024'!$O$2=BZ423),'2024DATA'!$G$22,"")</f>
        <v/>
      </c>
      <c r="CA443" s="518" t="str">
        <f>IF(AND(_E="B-737-900",'2024'!$O$4="FO",'2024'!$O$2=CA423),'2024DATA'!$H$22,"")</f>
        <v/>
      </c>
      <c r="CB443" s="518" t="str">
        <f>IF(AND(_E="B-737-900",'2024'!$O$4="FO",'2024'!$O$2=CB423),'2024DATA'!$I$22,"")</f>
        <v/>
      </c>
      <c r="CC443" s="518" t="str">
        <f>IF(AND(_E="B-737-900",'2024'!$O$4="FO",'2024'!$O$2=CC423),'2024DATA'!$J$22,"")</f>
        <v/>
      </c>
      <c r="CD443" s="518" t="str">
        <f>IF(AND(_E="B-737-900",'2024'!$O$4="FO",'2024'!$O$2=CD423),'2024DATA'!$K$22,"")</f>
        <v/>
      </c>
      <c r="CE443" s="518" t="str">
        <f>IF(AND(_E="B-737-900",'2024'!$O$4="FO",'2024'!$O$2=CE423),'2024DATA'!$L$22,"")</f>
        <v/>
      </c>
      <c r="CF443" s="518" t="str">
        <f>IF(AND(_E="B-737-900",'2024'!$O$4="FO",'2024'!$O$2=CF423),'2024DATA'!$M$22,"")</f>
        <v/>
      </c>
      <c r="CG443" s="520" t="str">
        <f>IF(AND(_E="B-737-900",'2024'!$O$4="FO",'2024'!$O$2=CG423),'2024DATA'!$N$22,"")</f>
        <v/>
      </c>
      <c r="CH443" s="940"/>
      <c r="CI443" s="13" t="s">
        <v>62</v>
      </c>
      <c r="CJ443" s="518" t="str">
        <f>IF(AND(_F="B-737-900",'2024'!$O$4="FO",'2024'!$O$2=CJ423),'2024DATA'!$C$22,"")</f>
        <v/>
      </c>
      <c r="CK443" s="518" t="str">
        <f>IF(AND(_F="B-737-900",'2024'!$O$4="FO",'2024'!$O$2=CK423),'2024DATA'!$D$22,"")</f>
        <v/>
      </c>
      <c r="CL443" s="518" t="str">
        <f>IF(AND(_F="B-737-900",'2024'!$O$4="FO",'2024'!$O$2=CL423),'2024DATA'!$E$22,"")</f>
        <v/>
      </c>
      <c r="CM443" s="518" t="str">
        <f>IF(AND(_F="B-737-900",'2024'!$O$4="FO",'2024'!$O$2=CM423),'2024DATA'!$F$22,"")</f>
        <v/>
      </c>
      <c r="CN443" s="518" t="str">
        <f>IF(AND(_F="B-737-900",'2024'!$O$4="FO",'2024'!$O$2=CN423),'2024DATA'!$G$22,"")</f>
        <v/>
      </c>
      <c r="CO443" s="518" t="str">
        <f>IF(AND(_F="B-737-900",'2024'!$O$4="FO",'2024'!$O$2=CO423),'2024DATA'!$H$22,"")</f>
        <v/>
      </c>
      <c r="CP443" s="518" t="str">
        <f>IF(AND(_F="B-737-900",'2024'!$O$4="FO",'2024'!$O$2=CP423),'2024DATA'!$I$22,"")</f>
        <v/>
      </c>
      <c r="CQ443" s="518" t="str">
        <f>IF(AND(_F="B-737-900",'2024'!$O$4="FO",'2024'!$O$2=CQ423),'2024DATA'!$J$22,"")</f>
        <v/>
      </c>
      <c r="CR443" s="518" t="str">
        <f>IF(AND(_F="B-737-900",'2024'!$O$4="FO",'2024'!$O$2=CR423),'2024DATA'!$K$22,"")</f>
        <v/>
      </c>
      <c r="CS443" s="518" t="str">
        <f>IF(AND(_F="B-737-900",'2024'!$O$4="FO",'2024'!$O$2=CS423),'2024DATA'!$L$22,"")</f>
        <v/>
      </c>
      <c r="CT443" s="518" t="str">
        <f>IF(AND(_F="B-737-900",'2024'!$O$4="FO",'2024'!$O$2=CT423),'2024DATA'!$M$22,"")</f>
        <v/>
      </c>
      <c r="CU443" s="520" t="str">
        <f>IF(AND(_F="B-737-900",'2024'!$O$4="FO",'2024'!$O$2=CU423),'2024DATA'!$N$22,"")</f>
        <v/>
      </c>
    </row>
    <row r="444" spans="16:99" x14ac:dyDescent="0.25">
      <c r="P444" s="940" t="s">
        <v>69</v>
      </c>
      <c r="Q444" s="13" t="s">
        <v>61</v>
      </c>
      <c r="R444" s="518" t="str">
        <f>IF(AND(_A="B-737-800",'2024'!$O$4="CA",'2024'!$O$2=R423),'2024DATA'!$C$23,"")</f>
        <v/>
      </c>
      <c r="S444" s="518" t="str">
        <f>IF(AND(_A="B-737-800",'2024'!$O$4="CA",'2024'!$O$2=S423),'2024DATA'!$D$23,"")</f>
        <v/>
      </c>
      <c r="T444" s="518" t="str">
        <f>IF(AND(_A="B-737-800",'2024'!$O$4="CA",'2024'!$O$2=T423),'2024DATA'!$E$23,"")</f>
        <v/>
      </c>
      <c r="U444" s="518" t="str">
        <f>IF(AND(_A="B-737-800",'2024'!$O$4="CA",'2024'!$O$2=U423),'2024DATA'!$F$23,"")</f>
        <v/>
      </c>
      <c r="V444" s="518" t="str">
        <f>IF(AND(_A="B-737-800",'2024'!$O$4="CA",'2024'!$O$2=V423),'2024DATA'!$G$23,"")</f>
        <v/>
      </c>
      <c r="W444" s="518" t="str">
        <f>IF(AND(_A="B-737-800",'2024'!$O$4="CA",'2024'!$O$2=W423),'2024DATA'!$H$23,"")</f>
        <v/>
      </c>
      <c r="X444" s="518" t="str">
        <f>IF(AND(_A="B-737-800",'2024'!$O$4="CA",'2024'!$O$2=X423),'2024DATA'!$I$23,"")</f>
        <v/>
      </c>
      <c r="Y444" s="518" t="str">
        <f>IF(AND(_A="B-737-800",'2024'!$O$4="CA",'2024'!$O$2=Y423),'2024DATA'!$J$23,"")</f>
        <v/>
      </c>
      <c r="Z444" s="518" t="str">
        <f>IF(AND(_A="B-737-800",'2024'!$O$4="CA",'2024'!$O$2=Z423),'2024DATA'!$K$23,"")</f>
        <v/>
      </c>
      <c r="AA444" s="518" t="str">
        <f>IF(AND(_A="B-737-800",'2024'!$O$4="CA",'2024'!$O$2=AA423),'2024DATA'!$L$23,"")</f>
        <v/>
      </c>
      <c r="AB444" s="518" t="str">
        <f>IF(AND(_A="B-737-800",'2024'!$O$4="CA",'2024'!$O$2=AB423),'2024DATA'!$M$23,"")</f>
        <v/>
      </c>
      <c r="AC444" s="520" t="str">
        <f>IF(AND(_A="B-737-800",'2024'!$O$4="CA",'2024'!$O$2=AC423),'2024DATA'!$N$23,"")</f>
        <v/>
      </c>
      <c r="AD444" s="940" t="s">
        <v>69</v>
      </c>
      <c r="AE444" s="13" t="s">
        <v>61</v>
      </c>
      <c r="AF444" s="518" t="str">
        <f>IF(AND(_B="B-737-800",'2024'!$O$4="CA",'2024'!$O$2=AF423),'2024DATA'!$C$23,"")</f>
        <v/>
      </c>
      <c r="AG444" s="518" t="str">
        <f>IF(AND(_B="B-737-800",'2024'!$O$4="CA",'2024'!$O$2=AG423),'2024DATA'!$D$23,"")</f>
        <v/>
      </c>
      <c r="AH444" s="518" t="str">
        <f>IF(AND(_B="B-737-800",'2024'!$O$4="CA",'2024'!$O$2=AH423),'2024DATA'!$E$23,"")</f>
        <v/>
      </c>
      <c r="AI444" s="518" t="str">
        <f>IF(AND(_B="B-737-800",'2024'!$O$4="CA",'2024'!$O$2=AI423),'2024DATA'!$F$23,"")</f>
        <v/>
      </c>
      <c r="AJ444" s="518" t="str">
        <f>IF(AND(_B="B-737-800",'2024'!$O$4="CA",'2024'!$O$2=AJ423),'2024DATA'!$G$23,"")</f>
        <v/>
      </c>
      <c r="AK444" s="518" t="str">
        <f>IF(AND(_B="B-737-800",'2024'!$O$4="CA",'2024'!$O$2=AK423),'2024DATA'!$H$23,"")</f>
        <v/>
      </c>
      <c r="AL444" s="518" t="str">
        <f>IF(AND(_B="B-737-800",'2024'!$O$4="CA",'2024'!$O$2=AL423),'2024DATA'!$I$23,"")</f>
        <v/>
      </c>
      <c r="AM444" s="518" t="str">
        <f>IF(AND(_B="B-737-800",'2024'!$O$4="CA",'2024'!$O$2=AM423),'2024DATA'!$J$23,"")</f>
        <v/>
      </c>
      <c r="AN444" s="518" t="str">
        <f>IF(AND(_B="B-737-800",'2024'!$O$4="CA",'2024'!$O$2=AN423),'2024DATA'!$K$23,"")</f>
        <v/>
      </c>
      <c r="AO444" s="518" t="str">
        <f>IF(AND(_B="B-737-800",'2024'!$O$4="CA",'2024'!$O$2=AO423),'2024DATA'!$L$23,"")</f>
        <v/>
      </c>
      <c r="AP444" s="518" t="str">
        <f>IF(AND(_B="B-737-800",'2024'!$O$4="CA",'2024'!$O$2=AP423),'2024DATA'!$M$23,"")</f>
        <v/>
      </c>
      <c r="AQ444" s="520" t="str">
        <f>IF(AND(_B="B-737-800",'2024'!$O$4="CA",'2024'!$O$2=AQ423),'2024DATA'!$N$23,"")</f>
        <v/>
      </c>
      <c r="AR444" s="940" t="s">
        <v>69</v>
      </c>
      <c r="AS444" s="13" t="s">
        <v>61</v>
      </c>
      <c r="AT444" s="518" t="str">
        <f>IF(AND(_C="B-737-800",'2024'!$O$4="CA",'2024'!$O$2=AT423),'2024DATA'!$C$23,"")</f>
        <v/>
      </c>
      <c r="AU444" s="518" t="str">
        <f>IF(AND(_C="B-737-800",'2024'!$O$4="CA",'2024'!$O$2=AU423),'2024DATA'!$D$23,"")</f>
        <v/>
      </c>
      <c r="AV444" s="518" t="str">
        <f>IF(AND(_C="B-737-800",'2024'!$O$4="CA",'2024'!$O$2=AV423),'2024DATA'!$E$23,"")</f>
        <v/>
      </c>
      <c r="AW444" s="518" t="str">
        <f>IF(AND(_C="B-737-800",'2024'!$O$4="CA",'2024'!$O$2=AW423),'2024DATA'!$F$23,"")</f>
        <v/>
      </c>
      <c r="AX444" s="518" t="str">
        <f>IF(AND(_C="B-737-800",'2024'!$O$4="CA",'2024'!$O$2=AX423),'2024DATA'!$G$23,"")</f>
        <v/>
      </c>
      <c r="AY444" s="518" t="str">
        <f>IF(AND(_C="B-737-800",'2024'!$O$4="CA",'2024'!$O$2=AY423),'2024DATA'!$H$23,"")</f>
        <v/>
      </c>
      <c r="AZ444" s="518" t="str">
        <f>IF(AND(_C="B-737-800",'2024'!$O$4="CA",'2024'!$O$2=AZ423),'2024DATA'!$I$23,"")</f>
        <v/>
      </c>
      <c r="BA444" s="518" t="str">
        <f>IF(AND(_C="B-737-800",'2024'!$O$4="CA",'2024'!$O$2=BA423),'2024DATA'!$J$23,"")</f>
        <v/>
      </c>
      <c r="BB444" s="518" t="str">
        <f>IF(AND(_C="B-737-800",'2024'!$O$4="CA",'2024'!$O$2=BB423),'2024DATA'!$K$23,"")</f>
        <v/>
      </c>
      <c r="BC444" s="518" t="str">
        <f>IF(AND(_C="B-737-800",'2024'!$O$4="CA",'2024'!$O$2=BC423),'2024DATA'!$L$23,"")</f>
        <v/>
      </c>
      <c r="BD444" s="518" t="str">
        <f>IF(AND(_C="B-737-800",'2024'!$O$4="CA",'2024'!$O$2=BD423),'2024DATA'!$M$23,"")</f>
        <v/>
      </c>
      <c r="BE444" s="520" t="str">
        <f>IF(AND(_C="B-737-800",'2024'!$O$4="CA",'2024'!$O$2=BE423),'2024DATA'!$N$23,"")</f>
        <v/>
      </c>
      <c r="BF444" s="940" t="s">
        <v>69</v>
      </c>
      <c r="BG444" s="13" t="s">
        <v>61</v>
      </c>
      <c r="BH444" s="518" t="str">
        <f>IF(AND(_D="B-737-800",'2024'!$O$4="CA",'2024'!$O$2=BH423),'2024DATA'!$C$23,"")</f>
        <v/>
      </c>
      <c r="BI444" s="518" t="str">
        <f>IF(AND(_D="B-737-800",'2024'!$O$4="CA",'2024'!$O$2=BI423),'2024DATA'!$D$23,"")</f>
        <v/>
      </c>
      <c r="BJ444" s="518" t="str">
        <f>IF(AND(_D="B-737-800",'2024'!$O$4="CA",'2024'!$O$2=BJ423),'2024DATA'!$E$23,"")</f>
        <v/>
      </c>
      <c r="BK444" s="518" t="str">
        <f>IF(AND(_D="B-737-800",'2024'!$O$4="CA",'2024'!$O$2=BK423),'2024DATA'!$F$23,"")</f>
        <v/>
      </c>
      <c r="BL444" s="518" t="str">
        <f>IF(AND(_D="B-737-800",'2024'!$O$4="CA",'2024'!$O$2=BL423),'2024DATA'!$G$23,"")</f>
        <v/>
      </c>
      <c r="BM444" s="518" t="str">
        <f>IF(AND(_D="B-737-800",'2024'!$O$4="CA",'2024'!$O$2=BM423),'2024DATA'!$H$23,"")</f>
        <v/>
      </c>
      <c r="BN444" s="518" t="str">
        <f>IF(AND(_D="B-737-800",'2024'!$O$4="CA",'2024'!$O$2=BN423),'2024DATA'!$I$23,"")</f>
        <v/>
      </c>
      <c r="BO444" s="518" t="str">
        <f>IF(AND(_D="B-737-800",'2024'!$O$4="CA",'2024'!$O$2=BO423),'2024DATA'!$J$23,"")</f>
        <v/>
      </c>
      <c r="BP444" s="518" t="str">
        <f>IF(AND(_D="B-737-800",'2024'!$O$4="CA",'2024'!$O$2=BP423),'2024DATA'!$K$23,"")</f>
        <v/>
      </c>
      <c r="BQ444" s="518" t="str">
        <f>IF(AND(_D="B-737-800",'2024'!$O$4="CA",'2024'!$O$2=BQ423),'2024DATA'!$L$23,"")</f>
        <v/>
      </c>
      <c r="BR444" s="518" t="str">
        <f>IF(AND(_D="B-737-800",'2024'!$O$4="CA",'2024'!$O$2=BR423),'2024DATA'!$M$23,"")</f>
        <v/>
      </c>
      <c r="BS444" s="520" t="str">
        <f>IF(AND(_D="B-737-800",'2024'!$O$4="CA",'2024'!$O$2=BS423),'2024DATA'!$N$23,"")</f>
        <v/>
      </c>
      <c r="BT444" s="940" t="s">
        <v>69</v>
      </c>
      <c r="BU444" s="13" t="s">
        <v>61</v>
      </c>
      <c r="BV444" s="518" t="str">
        <f>IF(AND(_E="B-737-800",'2024'!$O$4="CA",'2024'!$O$2=BV423),'2024DATA'!$C$23,"")</f>
        <v/>
      </c>
      <c r="BW444" s="518" t="str">
        <f>IF(AND(_E="B-737-800",'2024'!$O$4="CA",'2024'!$O$2=BW423),'2024DATA'!$D$23,"")</f>
        <v/>
      </c>
      <c r="BX444" s="518" t="str">
        <f>IF(AND(_E="B-737-800",'2024'!$O$4="CA",'2024'!$O$2=BX423),'2024DATA'!$E$23,"")</f>
        <v/>
      </c>
      <c r="BY444" s="518" t="str">
        <f>IF(AND(_E="B-737-800",'2024'!$O$4="CA",'2024'!$O$2=BY423),'2024DATA'!$F$23,"")</f>
        <v/>
      </c>
      <c r="BZ444" s="518" t="str">
        <f>IF(AND(_E="B-737-800",'2024'!$O$4="CA",'2024'!$O$2=BZ423),'2024DATA'!$G$23,"")</f>
        <v/>
      </c>
      <c r="CA444" s="518" t="str">
        <f>IF(AND(_E="B-737-800",'2024'!$O$4="CA",'2024'!$O$2=CA423),'2024DATA'!$H$23,"")</f>
        <v/>
      </c>
      <c r="CB444" s="518" t="str">
        <f>IF(AND(_E="B-737-800",'2024'!$O$4="CA",'2024'!$O$2=CB423),'2024DATA'!$I$23,"")</f>
        <v/>
      </c>
      <c r="CC444" s="518" t="str">
        <f>IF(AND(_E="B-737-800",'2024'!$O$4="CA",'2024'!$O$2=CC423),'2024DATA'!$J$23,"")</f>
        <v/>
      </c>
      <c r="CD444" s="518" t="str">
        <f>IF(AND(_E="B-737-800",'2024'!$O$4="CA",'2024'!$O$2=CD423),'2024DATA'!$K$23,"")</f>
        <v/>
      </c>
      <c r="CE444" s="518" t="str">
        <f>IF(AND(_E="B-737-800",'2024'!$O$4="CA",'2024'!$O$2=CE423),'2024DATA'!$L$23,"")</f>
        <v/>
      </c>
      <c r="CF444" s="518" t="str">
        <f>IF(AND(_E="B-737-800",'2024'!$O$4="CA",'2024'!$O$2=CF423),'2024DATA'!$M$23,"")</f>
        <v/>
      </c>
      <c r="CG444" s="520" t="str">
        <f>IF(AND(_E="B-737-800",'2024'!$O$4="CA",'2024'!$O$2=CG423),'2024DATA'!$N$23,"")</f>
        <v/>
      </c>
      <c r="CH444" s="940" t="s">
        <v>69</v>
      </c>
      <c r="CI444" s="13" t="s">
        <v>61</v>
      </c>
      <c r="CJ444" s="518" t="str">
        <f>IF(AND(_F="B-737-800",'2024'!$O$4="CA",'2024'!$O$2=CJ423),'2024DATA'!$C$23,"")</f>
        <v/>
      </c>
      <c r="CK444" s="518" t="str">
        <f>IF(AND(_F="B-737-800",'2024'!$O$4="CA",'2024'!$O$2=CK423),'2024DATA'!$D$23,"")</f>
        <v/>
      </c>
      <c r="CL444" s="518" t="str">
        <f>IF(AND(_F="B-737-800",'2024'!$O$4="CA",'2024'!$O$2=CL423),'2024DATA'!$E$23,"")</f>
        <v/>
      </c>
      <c r="CM444" s="518" t="str">
        <f>IF(AND(_F="B-737-800",'2024'!$O$4="CA",'2024'!$O$2=CM423),'2024DATA'!$F$23,"")</f>
        <v/>
      </c>
      <c r="CN444" s="518" t="str">
        <f>IF(AND(_F="B-737-800",'2024'!$O$4="CA",'2024'!$O$2=CN423),'2024DATA'!$G$23,"")</f>
        <v/>
      </c>
      <c r="CO444" s="518" t="str">
        <f>IF(AND(_F="B-737-800",'2024'!$O$4="CA",'2024'!$O$2=CO423),'2024DATA'!$H$23,"")</f>
        <v/>
      </c>
      <c r="CP444" s="518" t="str">
        <f>IF(AND(_F="B-737-800",'2024'!$O$4="CA",'2024'!$O$2=CP423),'2024DATA'!$I$23,"")</f>
        <v/>
      </c>
      <c r="CQ444" s="518" t="str">
        <f>IF(AND(_F="B-737-800",'2024'!$O$4="CA",'2024'!$O$2=CQ423),'2024DATA'!$J$23,"")</f>
        <v/>
      </c>
      <c r="CR444" s="518" t="str">
        <f>IF(AND(_F="B-737-800",'2024'!$O$4="CA",'2024'!$O$2=CR423),'2024DATA'!$K$23,"")</f>
        <v/>
      </c>
      <c r="CS444" s="518" t="str">
        <f>IF(AND(_F="B-737-800",'2024'!$O$4="CA",'2024'!$O$2=CS423),'2024DATA'!$L$23,"")</f>
        <v/>
      </c>
      <c r="CT444" s="518" t="str">
        <f>IF(AND(_F="B-737-800",'2024'!$O$4="CA",'2024'!$O$2=CT423),'2024DATA'!$M$23,"")</f>
        <v/>
      </c>
      <c r="CU444" s="520" t="str">
        <f>IF(AND(_F="B-737-800",'2024'!$O$4="CA",'2024'!$O$2=CU423),'2024DATA'!$N$23,"")</f>
        <v/>
      </c>
    </row>
    <row r="445" spans="16:99" x14ac:dyDescent="0.25">
      <c r="P445" s="940"/>
      <c r="Q445" s="13" t="s">
        <v>62</v>
      </c>
      <c r="R445" s="518" t="str">
        <f>IF(AND(_A="B-737-800",'2024'!$O$4="FO",'2024'!$O$2=R423),'2024DATA'!$C$24,"")</f>
        <v/>
      </c>
      <c r="S445" s="518" t="str">
        <f>IF(AND(_A="B-737-800",'2024'!$O$4="FO",'2024'!$O$2=S423),'2024DATA'!$D$24,"")</f>
        <v/>
      </c>
      <c r="T445" s="518" t="str">
        <f>IF(AND(_A="B-737-800",'2024'!$O$4="FO",'2024'!$O$2=T423),'2024DATA'!$E$24,"")</f>
        <v/>
      </c>
      <c r="U445" s="518" t="str">
        <f>IF(AND(_A="B-737-800",'2024'!$O$4="FO",'2024'!$O$2=U423),'2024DATA'!$F$24,"")</f>
        <v/>
      </c>
      <c r="V445" s="518" t="str">
        <f>IF(AND(_A="B-737-800",'2024'!$O$4="FO",'2024'!$O$2=V423),'2024DATA'!$G$24,"")</f>
        <v/>
      </c>
      <c r="W445" s="518" t="str">
        <f>IF(AND(_A="B-737-800",'2024'!$O$4="FO",'2024'!$O$2=W423),'2024DATA'!$H$24,"")</f>
        <v/>
      </c>
      <c r="X445" s="518" t="str">
        <f>IF(AND(_A="B-737-800",'2024'!$O$4="FO",'2024'!$O$2=X423),'2024DATA'!$I$24,"")</f>
        <v/>
      </c>
      <c r="Y445" s="518" t="str">
        <f>IF(AND(_A="B-737-800",'2024'!$O$4="FO",'2024'!$O$2=Y423),'2024DATA'!$J$24,"")</f>
        <v/>
      </c>
      <c r="Z445" s="518" t="str">
        <f>IF(AND(_A="B-737-800",'2024'!$O$4="FO",'2024'!$O$2=Z423),'2024DATA'!$K$24,"")</f>
        <v/>
      </c>
      <c r="AA445" s="518" t="str">
        <f>IF(AND(_A="B-737-800",'2024'!$O$4="FO",'2024'!$O$2=AA423),'2024DATA'!$L$24,"")</f>
        <v/>
      </c>
      <c r="AB445" s="518" t="str">
        <f>IF(AND(_A="B-737-800",'2024'!$O$4="FO",'2024'!$O$2=AB423),'2024DATA'!$M$24,"")</f>
        <v/>
      </c>
      <c r="AC445" s="520" t="str">
        <f>IF(AND(_A="B-737-800",'2024'!$O$4="FO",'2024'!$O$2=AC423),'2024DATA'!$N$24,"")</f>
        <v/>
      </c>
      <c r="AD445" s="940"/>
      <c r="AE445" s="13" t="s">
        <v>62</v>
      </c>
      <c r="AF445" s="518" t="str">
        <f>IF(AND(_B="B-737-800",'2024'!$O$4="FO",'2024'!$O$2=AF423),'2024DATA'!$C$24,"")</f>
        <v/>
      </c>
      <c r="AG445" s="518" t="str">
        <f>IF(AND(_B="B-737-800",'2024'!$O$4="FO",'2024'!$O$2=AG423),'2024DATA'!$D$24,"")</f>
        <v/>
      </c>
      <c r="AH445" s="518" t="str">
        <f>IF(AND(_B="B-737-800",'2024'!$O$4="FO",'2024'!$O$2=AH423),'2024DATA'!$E$24,"")</f>
        <v/>
      </c>
      <c r="AI445" s="518" t="str">
        <f>IF(AND(_B="B-737-800",'2024'!$O$4="FO",'2024'!$O$2=AI423),'2024DATA'!$F$24,"")</f>
        <v/>
      </c>
      <c r="AJ445" s="518" t="str">
        <f>IF(AND(_B="B-737-800",'2024'!$O$4="FO",'2024'!$O$2=AJ423),'2024DATA'!$G$24,"")</f>
        <v/>
      </c>
      <c r="AK445" s="518" t="str">
        <f>IF(AND(_B="B-737-800",'2024'!$O$4="FO",'2024'!$O$2=AK423),'2024DATA'!$H$24,"")</f>
        <v/>
      </c>
      <c r="AL445" s="518" t="str">
        <f>IF(AND(_B="B-737-800",'2024'!$O$4="FO",'2024'!$O$2=AL423),'2024DATA'!$I$24,"")</f>
        <v/>
      </c>
      <c r="AM445" s="518" t="str">
        <f>IF(AND(_B="B-737-800",'2024'!$O$4="FO",'2024'!$O$2=AM423),'2024DATA'!$J$24,"")</f>
        <v/>
      </c>
      <c r="AN445" s="518" t="str">
        <f>IF(AND(_B="B-737-800",'2024'!$O$4="FO",'2024'!$O$2=AN423),'2024DATA'!$K$24,"")</f>
        <v/>
      </c>
      <c r="AO445" s="518" t="str">
        <f>IF(AND(_B="B-737-800",'2024'!$O$4="FO",'2024'!$O$2=AO423),'2024DATA'!$L$24,"")</f>
        <v/>
      </c>
      <c r="AP445" s="518" t="str">
        <f>IF(AND(_B="B-737-800",'2024'!$O$4="FO",'2024'!$O$2=AP423),'2024DATA'!$M$24,"")</f>
        <v/>
      </c>
      <c r="AQ445" s="520" t="str">
        <f>IF(AND(_B="B-737-800",'2024'!$O$4="FO",'2024'!$O$2=AQ423),'2024DATA'!$N$24,"")</f>
        <v/>
      </c>
      <c r="AR445" s="940"/>
      <c r="AS445" s="13" t="s">
        <v>62</v>
      </c>
      <c r="AT445" s="518" t="str">
        <f>IF(AND(_C="B-737-800",'2024'!$O$4="FO",'2024'!$O$2=AT423),'2024DATA'!$C$24,"")</f>
        <v/>
      </c>
      <c r="AU445" s="518" t="str">
        <f>IF(AND(_C="B-737-800",'2024'!$O$4="FO",'2024'!$O$2=AU423),'2024DATA'!$D$24,"")</f>
        <v/>
      </c>
      <c r="AV445" s="518" t="str">
        <f>IF(AND(_C="B-737-800",'2024'!$O$4="FO",'2024'!$O$2=AV423),'2024DATA'!$E$24,"")</f>
        <v/>
      </c>
      <c r="AW445" s="518" t="str">
        <f>IF(AND(_C="B-737-800",'2024'!$O$4="FO",'2024'!$O$2=AW423),'2024DATA'!$F$24,"")</f>
        <v/>
      </c>
      <c r="AX445" s="518" t="str">
        <f>IF(AND(_C="B-737-800",'2024'!$O$4="FO",'2024'!$O$2=AX423),'2024DATA'!$G$24,"")</f>
        <v/>
      </c>
      <c r="AY445" s="518" t="str">
        <f>IF(AND(_C="B-737-800",'2024'!$O$4="FO",'2024'!$O$2=AY423),'2024DATA'!$H$24,"")</f>
        <v/>
      </c>
      <c r="AZ445" s="518" t="str">
        <f>IF(AND(_C="B-737-800",'2024'!$O$4="FO",'2024'!$O$2=AZ423),'2024DATA'!$I$24,"")</f>
        <v/>
      </c>
      <c r="BA445" s="518" t="str">
        <f>IF(AND(_C="B-737-800",'2024'!$O$4="FO",'2024'!$O$2=BA423),'2024DATA'!$J$24,"")</f>
        <v/>
      </c>
      <c r="BB445" s="518" t="str">
        <f>IF(AND(_C="B-737-800",'2024'!$O$4="FO",'2024'!$O$2=BB423),'2024DATA'!$K$24,"")</f>
        <v/>
      </c>
      <c r="BC445" s="518" t="str">
        <f>IF(AND(_C="B-737-800",'2024'!$O$4="FO",'2024'!$O$2=BC423),'2024DATA'!$L$24,"")</f>
        <v/>
      </c>
      <c r="BD445" s="518" t="str">
        <f>IF(AND(_C="B-737-800",'2024'!$O$4="FO",'2024'!$O$2=BD423),'2024DATA'!$M$24,"")</f>
        <v/>
      </c>
      <c r="BE445" s="520" t="str">
        <f>IF(AND(_C="B-737-800",'2024'!$O$4="FO",'2024'!$O$2=BE423),'2024DATA'!$N$24,"")</f>
        <v/>
      </c>
      <c r="BF445" s="940"/>
      <c r="BG445" s="13" t="s">
        <v>62</v>
      </c>
      <c r="BH445" s="518" t="str">
        <f>IF(AND(_D="B-737-800",'2024'!$O$4="FO",'2024'!$O$2=BH423),'2024DATA'!$C$24,"")</f>
        <v/>
      </c>
      <c r="BI445" s="518" t="str">
        <f>IF(AND(_D="B-737-800",'2024'!$O$4="FO",'2024'!$O$2=BI423),'2024DATA'!$D$24,"")</f>
        <v/>
      </c>
      <c r="BJ445" s="518" t="str">
        <f>IF(AND(_D="B-737-800",'2024'!$O$4="FO",'2024'!$O$2=BJ423),'2024DATA'!$E$24,"")</f>
        <v/>
      </c>
      <c r="BK445" s="518" t="str">
        <f>IF(AND(_D="B-737-800",'2024'!$O$4="FO",'2024'!$O$2=BK423),'2024DATA'!$F$24,"")</f>
        <v/>
      </c>
      <c r="BL445" s="518" t="str">
        <f>IF(AND(_D="B-737-800",'2024'!$O$4="FO",'2024'!$O$2=BL423),'2024DATA'!$G$24,"")</f>
        <v/>
      </c>
      <c r="BM445" s="518" t="str">
        <f>IF(AND(_D="B-737-800",'2024'!$O$4="FO",'2024'!$O$2=BM423),'2024DATA'!$H$24,"")</f>
        <v/>
      </c>
      <c r="BN445" s="518" t="str">
        <f>IF(AND(_D="B-737-800",'2024'!$O$4="FO",'2024'!$O$2=BN423),'2024DATA'!$I$24,"")</f>
        <v/>
      </c>
      <c r="BO445" s="518" t="str">
        <f>IF(AND(_D="B-737-800",'2024'!$O$4="FO",'2024'!$O$2=BO423),'2024DATA'!$J$24,"")</f>
        <v/>
      </c>
      <c r="BP445" s="518" t="str">
        <f>IF(AND(_D="B-737-800",'2024'!$O$4="FO",'2024'!$O$2=BP423),'2024DATA'!$K$24,"")</f>
        <v/>
      </c>
      <c r="BQ445" s="518" t="str">
        <f>IF(AND(_D="B-737-800",'2024'!$O$4="FO",'2024'!$O$2=BQ423),'2024DATA'!$L$24,"")</f>
        <v/>
      </c>
      <c r="BR445" s="518" t="str">
        <f>IF(AND(_D="B-737-800",'2024'!$O$4="FO",'2024'!$O$2=BR423),'2024DATA'!$M$24,"")</f>
        <v/>
      </c>
      <c r="BS445" s="520" t="str">
        <f>IF(AND(_D="B-737-800",'2024'!$O$4="FO",'2024'!$O$2=BS423),'2024DATA'!$N$24,"")</f>
        <v/>
      </c>
      <c r="BT445" s="940"/>
      <c r="BU445" s="13" t="s">
        <v>62</v>
      </c>
      <c r="BV445" s="518" t="str">
        <f>IF(AND(_E="B-737-800",'2024'!$O$4="FO",'2024'!$O$2=BV423),'2024DATA'!$C$24,"")</f>
        <v/>
      </c>
      <c r="BW445" s="518" t="str">
        <f>IF(AND(_E="B-737-800",'2024'!$O$4="FO",'2024'!$O$2=BW423),'2024DATA'!$D$24,"")</f>
        <v/>
      </c>
      <c r="BX445" s="518" t="str">
        <f>IF(AND(_E="B-737-800",'2024'!$O$4="FO",'2024'!$O$2=BX423),'2024DATA'!$E$24,"")</f>
        <v/>
      </c>
      <c r="BY445" s="518" t="str">
        <f>IF(AND(_E="B-737-800",'2024'!$O$4="FO",'2024'!$O$2=BY423),'2024DATA'!$F$24,"")</f>
        <v/>
      </c>
      <c r="BZ445" s="518" t="str">
        <f>IF(AND(_E="B-737-800",'2024'!$O$4="FO",'2024'!$O$2=BZ423),'2024DATA'!$G$24,"")</f>
        <v/>
      </c>
      <c r="CA445" s="518" t="str">
        <f>IF(AND(_E="B-737-800",'2024'!$O$4="FO",'2024'!$O$2=CA423),'2024DATA'!$H$24,"")</f>
        <v/>
      </c>
      <c r="CB445" s="518" t="str">
        <f>IF(AND(_E="B-737-800",'2024'!$O$4="FO",'2024'!$O$2=CB423),'2024DATA'!$I$24,"")</f>
        <v/>
      </c>
      <c r="CC445" s="518" t="str">
        <f>IF(AND(_E="B-737-800",'2024'!$O$4="FO",'2024'!$O$2=CC423),'2024DATA'!$J$24,"")</f>
        <v/>
      </c>
      <c r="CD445" s="518" t="str">
        <f>IF(AND(_E="B-737-800",'2024'!$O$4="FO",'2024'!$O$2=CD423),'2024DATA'!$K$24,"")</f>
        <v/>
      </c>
      <c r="CE445" s="518" t="str">
        <f>IF(AND(_E="B-737-800",'2024'!$O$4="FO",'2024'!$O$2=CE423),'2024DATA'!$L$24,"")</f>
        <v/>
      </c>
      <c r="CF445" s="518" t="str">
        <f>IF(AND(_E="B-737-800",'2024'!$O$4="FO",'2024'!$O$2=CF423),'2024DATA'!$M$24,"")</f>
        <v/>
      </c>
      <c r="CG445" s="520" t="str">
        <f>IF(AND(_E="B-737-800",'2024'!$O$4="FO",'2024'!$O$2=CG423),'2024DATA'!$N$24,"")</f>
        <v/>
      </c>
      <c r="CH445" s="940"/>
      <c r="CI445" s="13" t="s">
        <v>62</v>
      </c>
      <c r="CJ445" s="518" t="str">
        <f>IF(AND(_F="B-737-800",'2024'!$O$4="FO",'2024'!$O$2=CJ423),'2024DATA'!$C$24,"")</f>
        <v/>
      </c>
      <c r="CK445" s="518" t="str">
        <f>IF(AND(_F="B-737-800",'2024'!$O$4="FO",'2024'!$O$2=CK423),'2024DATA'!$D$24,"")</f>
        <v/>
      </c>
      <c r="CL445" s="518" t="str">
        <f>IF(AND(_F="B-737-800",'2024'!$O$4="FO",'2024'!$O$2=CL423),'2024DATA'!$E$24,"")</f>
        <v/>
      </c>
      <c r="CM445" s="518" t="str">
        <f>IF(AND(_F="B-737-800",'2024'!$O$4="FO",'2024'!$O$2=CM423),'2024DATA'!$F$24,"")</f>
        <v/>
      </c>
      <c r="CN445" s="518" t="str">
        <f>IF(AND(_F="B-737-800",'2024'!$O$4="FO",'2024'!$O$2=CN423),'2024DATA'!$G$24,"")</f>
        <v/>
      </c>
      <c r="CO445" s="518" t="str">
        <f>IF(AND(_F="B-737-800",'2024'!$O$4="FO",'2024'!$O$2=CO423),'2024DATA'!$H$24,"")</f>
        <v/>
      </c>
      <c r="CP445" s="518" t="str">
        <f>IF(AND(_F="B-737-800",'2024'!$O$4="FO",'2024'!$O$2=CP423),'2024DATA'!$I$24,"")</f>
        <v/>
      </c>
      <c r="CQ445" s="518" t="str">
        <f>IF(AND(_F="B-737-800",'2024'!$O$4="FO",'2024'!$O$2=CQ423),'2024DATA'!$J$24,"")</f>
        <v/>
      </c>
      <c r="CR445" s="518" t="str">
        <f>IF(AND(_F="B-737-800",'2024'!$O$4="FO",'2024'!$O$2=CR423),'2024DATA'!$K$24,"")</f>
        <v/>
      </c>
      <c r="CS445" s="518" t="str">
        <f>IF(AND(_F="B-737-800",'2024'!$O$4="FO",'2024'!$O$2=CS423),'2024DATA'!$L$24,"")</f>
        <v/>
      </c>
      <c r="CT445" s="518" t="str">
        <f>IF(AND(_F="B-737-800",'2024'!$O$4="FO",'2024'!$O$2=CT423),'2024DATA'!$M$24,"")</f>
        <v/>
      </c>
      <c r="CU445" s="520" t="str">
        <f>IF(AND(_F="B-737-800",'2024'!$O$4="FO",'2024'!$O$2=CU423),'2024DATA'!$N$24,"")</f>
        <v/>
      </c>
    </row>
    <row r="446" spans="16:99" x14ac:dyDescent="0.25">
      <c r="P446" s="940" t="s">
        <v>46</v>
      </c>
      <c r="Q446" s="13" t="s">
        <v>61</v>
      </c>
      <c r="R446" s="518" t="str">
        <f>IF(AND(_A="A-321N",'2024'!$O$4="CA",'2024'!$O$2=R423),'2024DATA'!$C$25,"")</f>
        <v/>
      </c>
      <c r="S446" s="518" t="str">
        <f>IF(AND(_A="A-321N",'2024'!$O$4="CA",'2024'!$O$2=S423),'2024DATA'!$D$25,"")</f>
        <v/>
      </c>
      <c r="T446" s="518" t="str">
        <f>IF(AND(_A="A-321N",'2024'!$O$4="CA",'2024'!$O$2=T423),'2024DATA'!$E$25,"")</f>
        <v/>
      </c>
      <c r="U446" s="518" t="str">
        <f>IF(AND(_A="A-321N",'2024'!$O$4="CA",'2024'!$O$2=U423),'2024DATA'!$F$25,"")</f>
        <v/>
      </c>
      <c r="V446" s="518" t="str">
        <f>IF(AND(_A="A-321N",'2024'!$O$4="CA",'2024'!$O$2=V423),'2024DATA'!$G$25,"")</f>
        <v/>
      </c>
      <c r="W446" s="518" t="str">
        <f>IF(AND(_A="A-321N",'2024'!$O$4="CA",'2024'!$O$2=W423),'2024DATA'!$H$25,"")</f>
        <v/>
      </c>
      <c r="X446" s="518" t="str">
        <f>IF(AND(_A="A-321N",'2024'!$O$4="CA",'2024'!$O$2=X423),'2024DATA'!$I$25,"")</f>
        <v/>
      </c>
      <c r="Y446" s="518" t="str">
        <f>IF(AND(_A="A-321N",'2024'!$O$4="CA",'2024'!$O$2=Y423),'2024DATA'!$J$25,"")</f>
        <v/>
      </c>
      <c r="Z446" s="518" t="str">
        <f>IF(AND(_A="A-321N",'2024'!$O$4="CA",'2024'!$O$2=Z423),'2024DATA'!$K$25,"")</f>
        <v/>
      </c>
      <c r="AA446" s="518" t="str">
        <f>IF(AND(_A="A-321N",'2024'!$O$4="CA",'2024'!$O$2=AA423),'2024DATA'!$L$25,"")</f>
        <v/>
      </c>
      <c r="AB446" s="518" t="str">
        <f>IF(AND(_A="A-321N",'2024'!$O$4="CA",'2024'!$O$2=AB423),'2024DATA'!$M$25,"")</f>
        <v/>
      </c>
      <c r="AC446" s="520" t="str">
        <f>IF(AND(_A="A-321N",'2024'!$O$4="CA",'2024'!$O$2=AC423),'2024DATA'!$N$25,"")</f>
        <v/>
      </c>
      <c r="AD446" s="940" t="s">
        <v>46</v>
      </c>
      <c r="AE446" s="13" t="s">
        <v>61</v>
      </c>
      <c r="AF446" s="518" t="str">
        <f>IF(AND(_B="A-321N",'2024'!$O$4="CA",'2024'!$O$2=AF423),'2024DATA'!$C$25,"")</f>
        <v/>
      </c>
      <c r="AG446" s="518" t="str">
        <f>IF(AND(_B="A-321N",'2024'!$O$4="CA",'2024'!$O$2=AG423),'2024DATA'!$D$25,"")</f>
        <v/>
      </c>
      <c r="AH446" s="518" t="str">
        <f>IF(AND(_B="A-321N",'2024'!$O$4="CA",'2024'!$O$2=AH423),'2024DATA'!$E$25,"")</f>
        <v/>
      </c>
      <c r="AI446" s="518" t="str">
        <f>IF(AND(_B="A-321N",'2024'!$O$4="CA",'2024'!$O$2=AI423),'2024DATA'!$F$25,"")</f>
        <v/>
      </c>
      <c r="AJ446" s="518" t="str">
        <f>IF(AND(_B="A-321N",'2024'!$O$4="CA",'2024'!$O$2=AJ423),'2024DATA'!$G$25,"")</f>
        <v/>
      </c>
      <c r="AK446" s="518" t="str">
        <f>IF(AND(_B="A-321N",'2024'!$O$4="CA",'2024'!$O$2=AK423),'2024DATA'!$H$25,"")</f>
        <v/>
      </c>
      <c r="AL446" s="518" t="str">
        <f>IF(AND(_B="A-321N",'2024'!$O$4="CA",'2024'!$O$2=AL423),'2024DATA'!$I$25,"")</f>
        <v/>
      </c>
      <c r="AM446" s="518" t="str">
        <f>IF(AND(_B="A-321N",'2024'!$O$4="CA",'2024'!$O$2=AM423),'2024DATA'!$J$25,"")</f>
        <v/>
      </c>
      <c r="AN446" s="518" t="str">
        <f>IF(AND(_B="A-321N",'2024'!$O$4="CA",'2024'!$O$2=AN423),'2024DATA'!$K$25,"")</f>
        <v/>
      </c>
      <c r="AO446" s="518" t="str">
        <f>IF(AND(_B="A-321N",'2024'!$O$4="CA",'2024'!$O$2=AO423),'2024DATA'!$L$25,"")</f>
        <v/>
      </c>
      <c r="AP446" s="518" t="str">
        <f>IF(AND(_B="A-321N",'2024'!$O$4="CA",'2024'!$O$2=AP423),'2024DATA'!$M$25,"")</f>
        <v/>
      </c>
      <c r="AQ446" s="520" t="str">
        <f>IF(AND(_B="A-321N",'2024'!$O$4="CA",'2024'!$O$2=AQ423),'2024DATA'!$N$25,"")</f>
        <v/>
      </c>
      <c r="AR446" s="940" t="s">
        <v>46</v>
      </c>
      <c r="AS446" s="13" t="s">
        <v>61</v>
      </c>
      <c r="AT446" s="518" t="str">
        <f>IF(AND(_C="A-321N",'2024'!$O$4="CA",'2024'!$O$2=AT423),'2024DATA'!$C$25,"")</f>
        <v/>
      </c>
      <c r="AU446" s="518" t="str">
        <f>IF(AND(_C="A-321N",'2024'!$O$4="CA",'2024'!$O$2=AU423),'2024DATA'!$D$25,"")</f>
        <v/>
      </c>
      <c r="AV446" s="518" t="str">
        <f>IF(AND(_C="A-321N",'2024'!$O$4="CA",'2024'!$O$2=AV423),'2024DATA'!$E$25,"")</f>
        <v/>
      </c>
      <c r="AW446" s="518" t="str">
        <f>IF(AND(_C="A-321N",'2024'!$O$4="CA",'2024'!$O$2=AW423),'2024DATA'!$F$25,"")</f>
        <v/>
      </c>
      <c r="AX446" s="518" t="str">
        <f>IF(AND(_C="A-321N",'2024'!$O$4="CA",'2024'!$O$2=AX423),'2024DATA'!$G$25,"")</f>
        <v/>
      </c>
      <c r="AY446" s="518" t="str">
        <f>IF(AND(_C="A-321N",'2024'!$O$4="CA",'2024'!$O$2=AY423),'2024DATA'!$H$25,"")</f>
        <v/>
      </c>
      <c r="AZ446" s="518" t="str">
        <f>IF(AND(_C="A-321N",'2024'!$O$4="CA",'2024'!$O$2=AZ423),'2024DATA'!$I$25,"")</f>
        <v/>
      </c>
      <c r="BA446" s="518" t="str">
        <f>IF(AND(_C="A-321N",'2024'!$O$4="CA",'2024'!$O$2=BA423),'2024DATA'!$J$25,"")</f>
        <v/>
      </c>
      <c r="BB446" s="518" t="str">
        <f>IF(AND(_C="A-321N",'2024'!$O$4="CA",'2024'!$O$2=BB423),'2024DATA'!$K$25,"")</f>
        <v/>
      </c>
      <c r="BC446" s="518" t="str">
        <f>IF(AND(_C="A-321N",'2024'!$O$4="CA",'2024'!$O$2=BC423),'2024DATA'!$L$25,"")</f>
        <v/>
      </c>
      <c r="BD446" s="518" t="str">
        <f>IF(AND(_C="A-321N",'2024'!$O$4="CA",'2024'!$O$2=BD423),'2024DATA'!$M$25,"")</f>
        <v/>
      </c>
      <c r="BE446" s="520" t="str">
        <f>IF(AND(_C="A-321N",'2024'!$O$4="CA",'2024'!$O$2=BE423),'2024DATA'!$N$25,"")</f>
        <v/>
      </c>
      <c r="BF446" s="940" t="s">
        <v>46</v>
      </c>
      <c r="BG446" s="13" t="s">
        <v>61</v>
      </c>
      <c r="BH446" s="518" t="str">
        <f>IF(AND(_D="A-321N",'2024'!$O$4="CA",'2024'!$O$2=BH423),'2024DATA'!$C$25,"")</f>
        <v/>
      </c>
      <c r="BI446" s="518" t="str">
        <f>IF(AND(_D="A-321N",'2024'!$O$4="CA",'2024'!$O$2=BI423),'2024DATA'!$D$25,"")</f>
        <v/>
      </c>
      <c r="BJ446" s="518" t="str">
        <f>IF(AND(_D="A-321N",'2024'!$O$4="CA",'2024'!$O$2=BJ423),'2024DATA'!$E$25,"")</f>
        <v/>
      </c>
      <c r="BK446" s="518" t="str">
        <f>IF(AND(_D="A-321N",'2024'!$O$4="CA",'2024'!$O$2=BK423),'2024DATA'!$F$25,"")</f>
        <v/>
      </c>
      <c r="BL446" s="518" t="str">
        <f>IF(AND(_D="A-321N",'2024'!$O$4="CA",'2024'!$O$2=BL423),'2024DATA'!$G$25,"")</f>
        <v/>
      </c>
      <c r="BM446" s="518" t="str">
        <f>IF(AND(_D="A-321N",'2024'!$O$4="CA",'2024'!$O$2=BM423),'2024DATA'!$H$25,"")</f>
        <v/>
      </c>
      <c r="BN446" s="518" t="str">
        <f>IF(AND(_D="A-321N",'2024'!$O$4="CA",'2024'!$O$2=BN423),'2024DATA'!$I$25,"")</f>
        <v/>
      </c>
      <c r="BO446" s="518" t="str">
        <f>IF(AND(_D="A-321N",'2024'!$O$4="CA",'2024'!$O$2=BO423),'2024DATA'!$J$25,"")</f>
        <v/>
      </c>
      <c r="BP446" s="518" t="str">
        <f>IF(AND(_D="A-321N",'2024'!$O$4="CA",'2024'!$O$2=BP423),'2024DATA'!$K$25,"")</f>
        <v/>
      </c>
      <c r="BQ446" s="518" t="str">
        <f>IF(AND(_D="A-321N",'2024'!$O$4="CA",'2024'!$O$2=BQ423),'2024DATA'!$L$25,"")</f>
        <v/>
      </c>
      <c r="BR446" s="518" t="str">
        <f>IF(AND(_D="A-321N",'2024'!$O$4="CA",'2024'!$O$2=BR423),'2024DATA'!$M$25,"")</f>
        <v/>
      </c>
      <c r="BS446" s="520" t="str">
        <f>IF(AND(_D="A-321N",'2024'!$O$4="CA",'2024'!$O$2=BS423),'2024DATA'!$N$25,"")</f>
        <v/>
      </c>
      <c r="BT446" s="940" t="s">
        <v>46</v>
      </c>
      <c r="BU446" s="13" t="s">
        <v>61</v>
      </c>
      <c r="BV446" s="518" t="str">
        <f>IF(AND(_E="A-321N",'2024'!$O$4="CA",'2024'!$O$2=BV423),'2024DATA'!$C$25,"")</f>
        <v/>
      </c>
      <c r="BW446" s="518" t="str">
        <f>IF(AND(_E="A-321N",'2024'!$O$4="CA",'2024'!$O$2=BW423),'2024DATA'!$D$25,"")</f>
        <v/>
      </c>
      <c r="BX446" s="518" t="str">
        <f>IF(AND(_E="A-321N",'2024'!$O$4="CA",'2024'!$O$2=BX423),'2024DATA'!$E$25,"")</f>
        <v/>
      </c>
      <c r="BY446" s="518" t="str">
        <f>IF(AND(_E="A-321N",'2024'!$O$4="CA",'2024'!$O$2=BY423),'2024DATA'!$F$25,"")</f>
        <v/>
      </c>
      <c r="BZ446" s="518" t="str">
        <f>IF(AND(_E="A-321N",'2024'!$O$4="CA",'2024'!$O$2=BZ423),'2024DATA'!$G$25,"")</f>
        <v/>
      </c>
      <c r="CA446" s="518" t="str">
        <f>IF(AND(_E="A-321N",'2024'!$O$4="CA",'2024'!$O$2=CA423),'2024DATA'!$H$25,"")</f>
        <v/>
      </c>
      <c r="CB446" s="518" t="str">
        <f>IF(AND(_E="A-321N",'2024'!$O$4="CA",'2024'!$O$2=CB423),'2024DATA'!$I$25,"")</f>
        <v/>
      </c>
      <c r="CC446" s="518" t="str">
        <f>IF(AND(_E="A-321N",'2024'!$O$4="CA",'2024'!$O$2=CC423),'2024DATA'!$J$25,"")</f>
        <v/>
      </c>
      <c r="CD446" s="518" t="str">
        <f>IF(AND(_E="A-321N",'2024'!$O$4="CA",'2024'!$O$2=CD423),'2024DATA'!$K$25,"")</f>
        <v/>
      </c>
      <c r="CE446" s="518" t="str">
        <f>IF(AND(_E="A-321N",'2024'!$O$4="CA",'2024'!$O$2=CE423),'2024DATA'!$L$25,"")</f>
        <v/>
      </c>
      <c r="CF446" s="518" t="str">
        <f>IF(AND(_E="A-321N",'2024'!$O$4="CA",'2024'!$O$2=CF423),'2024DATA'!$M$25,"")</f>
        <v/>
      </c>
      <c r="CG446" s="520" t="str">
        <f>IF(AND(_E="A-321N",'2024'!$O$4="CA",'2024'!$O$2=CG423),'2024DATA'!$N$25,"")</f>
        <v/>
      </c>
      <c r="CH446" s="940" t="s">
        <v>46</v>
      </c>
      <c r="CI446" s="13" t="s">
        <v>61</v>
      </c>
      <c r="CJ446" s="518" t="str">
        <f>IF(AND(_F="A-321N",'2024'!$O$4="CA",'2024'!$O$2=CJ423),'2024DATA'!$C$25,"")</f>
        <v/>
      </c>
      <c r="CK446" s="518" t="str">
        <f>IF(AND(_F="A-321N",'2024'!$O$4="CA",'2024'!$O$2=CK423),'2024DATA'!$D$25,"")</f>
        <v/>
      </c>
      <c r="CL446" s="518" t="str">
        <f>IF(AND(_F="A-321N",'2024'!$O$4="CA",'2024'!$O$2=CL423),'2024DATA'!$E$25,"")</f>
        <v/>
      </c>
      <c r="CM446" s="518" t="str">
        <f>IF(AND(_F="A-321N",'2024'!$O$4="CA",'2024'!$O$2=CM423),'2024DATA'!$F$25,"")</f>
        <v/>
      </c>
      <c r="CN446" s="518" t="str">
        <f>IF(AND(_F="A-321N",'2024'!$O$4="CA",'2024'!$O$2=CN423),'2024DATA'!$G$25,"")</f>
        <v/>
      </c>
      <c r="CO446" s="518" t="str">
        <f>IF(AND(_F="A-321N",'2024'!$O$4="CA",'2024'!$O$2=CO423),'2024DATA'!$H$25,"")</f>
        <v/>
      </c>
      <c r="CP446" s="518" t="str">
        <f>IF(AND(_F="A-321N",'2024'!$O$4="CA",'2024'!$O$2=CP423),'2024DATA'!$I$25,"")</f>
        <v/>
      </c>
      <c r="CQ446" s="518" t="str">
        <f>IF(AND(_F="A-321N",'2024'!$O$4="CA",'2024'!$O$2=CQ423),'2024DATA'!$J$25,"")</f>
        <v/>
      </c>
      <c r="CR446" s="518" t="str">
        <f>IF(AND(_F="A-321N",'2024'!$O$4="CA",'2024'!$O$2=CR423),'2024DATA'!$K$25,"")</f>
        <v/>
      </c>
      <c r="CS446" s="518" t="str">
        <f>IF(AND(_F="A-321N",'2024'!$O$4="CA",'2024'!$O$2=CS423),'2024DATA'!$L$25,"")</f>
        <v/>
      </c>
      <c r="CT446" s="518" t="str">
        <f>IF(AND(_F="A-321N",'2024'!$O$4="CA",'2024'!$O$2=CT423),'2024DATA'!$M$25,"")</f>
        <v/>
      </c>
      <c r="CU446" s="520" t="str">
        <f>IF(AND(_F="A-321N",'2024'!$O$4="CA",'2024'!$O$2=CU423),'2024DATA'!$N$25,"")</f>
        <v/>
      </c>
    </row>
    <row r="447" spans="16:99" x14ac:dyDescent="0.25">
      <c r="P447" s="940"/>
      <c r="Q447" s="13" t="s">
        <v>62</v>
      </c>
      <c r="R447" s="518" t="str">
        <f>IF(AND(_A="A-321N",'2024'!$O$4="FO",'2024'!$O$2=R423),'2024DATA'!$C$26,"")</f>
        <v/>
      </c>
      <c r="S447" s="518" t="str">
        <f>IF(AND(_A="A-321N",'2024'!$O$4="FO",'2024'!$O$2=S423),'2024DATA'!$D$26,"")</f>
        <v/>
      </c>
      <c r="T447" s="518" t="str">
        <f>IF(AND(_A="A-321N",'2024'!$O$4="FO",'2024'!$O$2=T423),'2024DATA'!$E$26,"")</f>
        <v/>
      </c>
      <c r="U447" s="518" t="str">
        <f>IF(AND(_A="A-321N",'2024'!$O$4="FO",'2024'!$O$2=U423),'2024DATA'!$F$26,"")</f>
        <v/>
      </c>
      <c r="V447" s="518" t="str">
        <f>IF(AND(_A="A-321N",'2024'!$O$4="FO",'2024'!$O$2=V423),'2024DATA'!$G$26,"")</f>
        <v/>
      </c>
      <c r="W447" s="518" t="str">
        <f>IF(AND(_A="A-321N",'2024'!$O$4="FO",'2024'!$O$2=W423),'2024DATA'!$H$26,"")</f>
        <v/>
      </c>
      <c r="X447" s="518" t="str">
        <f>IF(AND(_A="A-321N",'2024'!$O$4="FO",'2024'!$O$2=X423),'2024DATA'!$I$26,"")</f>
        <v/>
      </c>
      <c r="Y447" s="518" t="str">
        <f>IF(AND(_A="A-321N",'2024'!$O$4="FO",'2024'!$O$2=Y423),'2024DATA'!$J$26,"")</f>
        <v/>
      </c>
      <c r="Z447" s="518" t="str">
        <f>IF(AND(_A="A-321N",'2024'!$O$4="FO",'2024'!$O$2=Z423),'2024DATA'!$K$26,"")</f>
        <v/>
      </c>
      <c r="AA447" s="518" t="str">
        <f>IF(AND(_A="A-321N",'2024'!$O$4="FO",'2024'!$O$2=AA423),'2024DATA'!$L$26,"")</f>
        <v/>
      </c>
      <c r="AB447" s="518" t="str">
        <f>IF(AND(_A="A-321N",'2024'!$O$4="FO",'2024'!$O$2=AB423),'2024DATA'!$M$26,"")</f>
        <v/>
      </c>
      <c r="AC447" s="520" t="str">
        <f>IF(AND(_A="A-321N",'2024'!$O$4="FO",'2024'!$O$2=AC423),'2024DATA'!$N$26,"")</f>
        <v/>
      </c>
      <c r="AD447" s="940"/>
      <c r="AE447" s="13" t="s">
        <v>62</v>
      </c>
      <c r="AF447" s="518" t="str">
        <f>IF(AND(_B="A-321N",'2024'!$O$4="FO",'2024'!$O$2=AF423),'2024DATA'!$C$26,"")</f>
        <v/>
      </c>
      <c r="AG447" s="518" t="str">
        <f>IF(AND(_B="A-321N",'2024'!$O$4="FO",'2024'!$O$2=AG423),'2024DATA'!$D$26,"")</f>
        <v/>
      </c>
      <c r="AH447" s="518" t="str">
        <f>IF(AND(_B="A-321N",'2024'!$O$4="FO",'2024'!$O$2=AH423),'2024DATA'!$E$26,"")</f>
        <v/>
      </c>
      <c r="AI447" s="518" t="str">
        <f>IF(AND(_B="A-321N",'2024'!$O$4="FO",'2024'!$O$2=AI423),'2024DATA'!$F$26,"")</f>
        <v/>
      </c>
      <c r="AJ447" s="518" t="str">
        <f>IF(AND(_B="A-321N",'2024'!$O$4="FO",'2024'!$O$2=AJ423),'2024DATA'!$G$26,"")</f>
        <v/>
      </c>
      <c r="AK447" s="518" t="str">
        <f>IF(AND(_B="A-321N",'2024'!$O$4="FO",'2024'!$O$2=AK423),'2024DATA'!$H$26,"")</f>
        <v/>
      </c>
      <c r="AL447" s="518" t="str">
        <f>IF(AND(_B="A-321N",'2024'!$O$4="FO",'2024'!$O$2=AL423),'2024DATA'!$I$26,"")</f>
        <v/>
      </c>
      <c r="AM447" s="518" t="str">
        <f>IF(AND(_B="A-321N",'2024'!$O$4="FO",'2024'!$O$2=AM423),'2024DATA'!$J$26,"")</f>
        <v/>
      </c>
      <c r="AN447" s="518" t="str">
        <f>IF(AND(_B="A-321N",'2024'!$O$4="FO",'2024'!$O$2=AN423),'2024DATA'!$K$26,"")</f>
        <v/>
      </c>
      <c r="AO447" s="518" t="str">
        <f>IF(AND(_B="A-321N",'2024'!$O$4="FO",'2024'!$O$2=AO423),'2024DATA'!$L$26,"")</f>
        <v/>
      </c>
      <c r="AP447" s="518" t="str">
        <f>IF(AND(_B="A-321N",'2024'!$O$4="FO",'2024'!$O$2=AP423),'2024DATA'!$M$26,"")</f>
        <v/>
      </c>
      <c r="AQ447" s="520" t="str">
        <f>IF(AND(_B="A-321N",'2024'!$O$4="FO",'2024'!$O$2=AQ423),'2024DATA'!$N$26,"")</f>
        <v/>
      </c>
      <c r="AR447" s="940"/>
      <c r="AS447" s="13" t="s">
        <v>62</v>
      </c>
      <c r="AT447" s="518" t="str">
        <f>IF(AND(_C="A-321N",'2024'!$O$4="FO",'2024'!$O$2=AT423),'2024DATA'!$C$26,"")</f>
        <v/>
      </c>
      <c r="AU447" s="518" t="str">
        <f>IF(AND(_C="A-321N",'2024'!$O$4="FO",'2024'!$O$2=AU423),'2024DATA'!$D$26,"")</f>
        <v/>
      </c>
      <c r="AV447" s="518" t="str">
        <f>IF(AND(_C="A-321N",'2024'!$O$4="FO",'2024'!$O$2=AV423),'2024DATA'!$E$26,"")</f>
        <v/>
      </c>
      <c r="AW447" s="518" t="str">
        <f>IF(AND(_C="A-321N",'2024'!$O$4="FO",'2024'!$O$2=AW423),'2024DATA'!$F$26,"")</f>
        <v/>
      </c>
      <c r="AX447" s="518" t="str">
        <f>IF(AND(_C="A-321N",'2024'!$O$4="FO",'2024'!$O$2=AX423),'2024DATA'!$G$26,"")</f>
        <v/>
      </c>
      <c r="AY447" s="518" t="str">
        <f>IF(AND(_C="A-321N",'2024'!$O$4="FO",'2024'!$O$2=AY423),'2024DATA'!$H$26,"")</f>
        <v/>
      </c>
      <c r="AZ447" s="518" t="str">
        <f>IF(AND(_C="A-321N",'2024'!$O$4="FO",'2024'!$O$2=AZ423),'2024DATA'!$I$26,"")</f>
        <v/>
      </c>
      <c r="BA447" s="518" t="str">
        <f>IF(AND(_C="A-321N",'2024'!$O$4="FO",'2024'!$O$2=BA423),'2024DATA'!$J$26,"")</f>
        <v/>
      </c>
      <c r="BB447" s="518" t="str">
        <f>IF(AND(_C="A-321N",'2024'!$O$4="FO",'2024'!$O$2=BB423),'2024DATA'!$K$26,"")</f>
        <v/>
      </c>
      <c r="BC447" s="518" t="str">
        <f>IF(AND(_C="A-321N",'2024'!$O$4="FO",'2024'!$O$2=BC423),'2024DATA'!$L$26,"")</f>
        <v/>
      </c>
      <c r="BD447" s="518" t="str">
        <f>IF(AND(_C="A-321N",'2024'!$O$4="FO",'2024'!$O$2=BD423),'2024DATA'!$M$26,"")</f>
        <v/>
      </c>
      <c r="BE447" s="520" t="str">
        <f>IF(AND(_C="A-321N",'2024'!$O$4="FO",'2024'!$O$2=BE423),'2024DATA'!$N$26,"")</f>
        <v/>
      </c>
      <c r="BF447" s="940"/>
      <c r="BG447" s="13" t="s">
        <v>62</v>
      </c>
      <c r="BH447" s="518" t="str">
        <f>IF(AND(_D="A-321N",'2024'!$O$4="FO",'2024'!$O$2=BH423),'2024DATA'!$C$26,"")</f>
        <v/>
      </c>
      <c r="BI447" s="518" t="str">
        <f>IF(AND(_D="A-321N",'2024'!$O$4="FO",'2024'!$O$2=BI423),'2024DATA'!$D$26,"")</f>
        <v/>
      </c>
      <c r="BJ447" s="518" t="str">
        <f>IF(AND(_D="A-321N",'2024'!$O$4="FO",'2024'!$O$2=BJ423),'2024DATA'!$E$26,"")</f>
        <v/>
      </c>
      <c r="BK447" s="518" t="str">
        <f>IF(AND(_D="A-321N",'2024'!$O$4="FO",'2024'!$O$2=BK423),'2024DATA'!$F$26,"")</f>
        <v/>
      </c>
      <c r="BL447" s="518" t="str">
        <f>IF(AND(_D="A-321N",'2024'!$O$4="FO",'2024'!$O$2=BL423),'2024DATA'!$G$26,"")</f>
        <v/>
      </c>
      <c r="BM447" s="518" t="str">
        <f>IF(AND(_D="A-321N",'2024'!$O$4="FO",'2024'!$O$2=BM423),'2024DATA'!$H$26,"")</f>
        <v/>
      </c>
      <c r="BN447" s="518" t="str">
        <f>IF(AND(_D="A-321N",'2024'!$O$4="FO",'2024'!$O$2=BN423),'2024DATA'!$I$26,"")</f>
        <v/>
      </c>
      <c r="BO447" s="518" t="str">
        <f>IF(AND(_D="A-321N",'2024'!$O$4="FO",'2024'!$O$2=BO423),'2024DATA'!$J$26,"")</f>
        <v/>
      </c>
      <c r="BP447" s="518" t="str">
        <f>IF(AND(_D="A-321N",'2024'!$O$4="FO",'2024'!$O$2=BP423),'2024DATA'!$K$26,"")</f>
        <v/>
      </c>
      <c r="BQ447" s="518" t="str">
        <f>IF(AND(_D="A-321N",'2024'!$O$4="FO",'2024'!$O$2=BQ423),'2024DATA'!$L$26,"")</f>
        <v/>
      </c>
      <c r="BR447" s="518" t="str">
        <f>IF(AND(_D="A-321N",'2024'!$O$4="FO",'2024'!$O$2=BR423),'2024DATA'!$M$26,"")</f>
        <v/>
      </c>
      <c r="BS447" s="520" t="str">
        <f>IF(AND(_D="A-321N",'2024'!$O$4="FO",'2024'!$O$2=BS423),'2024DATA'!$N$26,"")</f>
        <v/>
      </c>
      <c r="BT447" s="940"/>
      <c r="BU447" s="13" t="s">
        <v>62</v>
      </c>
      <c r="BV447" s="518" t="str">
        <f>IF(AND(_E="A-321N",'2024'!$O$4="FO",'2024'!$O$2=BV423),'2024DATA'!$C$26,"")</f>
        <v/>
      </c>
      <c r="BW447" s="518" t="str">
        <f>IF(AND(_E="A-321N",'2024'!$O$4="FO",'2024'!$O$2=BW423),'2024DATA'!$D$26,"")</f>
        <v/>
      </c>
      <c r="BX447" s="518" t="str">
        <f>IF(AND(_E="A-321N",'2024'!$O$4="FO",'2024'!$O$2=BX423),'2024DATA'!$E$26,"")</f>
        <v/>
      </c>
      <c r="BY447" s="518" t="str">
        <f>IF(AND(_E="A-321N",'2024'!$O$4="FO",'2024'!$O$2=BY423),'2024DATA'!$F$26,"")</f>
        <v/>
      </c>
      <c r="BZ447" s="518" t="str">
        <f>IF(AND(_E="A-321N",'2024'!$O$4="FO",'2024'!$O$2=BZ423),'2024DATA'!$G$26,"")</f>
        <v/>
      </c>
      <c r="CA447" s="518" t="str">
        <f>IF(AND(_E="A-321N",'2024'!$O$4="FO",'2024'!$O$2=CA423),'2024DATA'!$H$26,"")</f>
        <v/>
      </c>
      <c r="CB447" s="518" t="str">
        <f>IF(AND(_E="A-321N",'2024'!$O$4="FO",'2024'!$O$2=CB423),'2024DATA'!$I$26,"")</f>
        <v/>
      </c>
      <c r="CC447" s="518" t="str">
        <f>IF(AND(_E="A-321N",'2024'!$O$4="FO",'2024'!$O$2=CC423),'2024DATA'!$J$26,"")</f>
        <v/>
      </c>
      <c r="CD447" s="518" t="str">
        <f>IF(AND(_E="A-321N",'2024'!$O$4="FO",'2024'!$O$2=CD423),'2024DATA'!$K$26,"")</f>
        <v/>
      </c>
      <c r="CE447" s="518" t="str">
        <f>IF(AND(_E="A-321N",'2024'!$O$4="FO",'2024'!$O$2=CE423),'2024DATA'!$L$26,"")</f>
        <v/>
      </c>
      <c r="CF447" s="518" t="str">
        <f>IF(AND(_E="A-321N",'2024'!$O$4="FO",'2024'!$O$2=CF423),'2024DATA'!$M$26,"")</f>
        <v/>
      </c>
      <c r="CG447" s="520" t="str">
        <f>IF(AND(_E="A-321N",'2024'!$O$4="FO",'2024'!$O$2=CG423),'2024DATA'!$N$26,"")</f>
        <v/>
      </c>
      <c r="CH447" s="940"/>
      <c r="CI447" s="13" t="s">
        <v>62</v>
      </c>
      <c r="CJ447" s="518" t="str">
        <f>IF(AND(_F="A-321N",'2024'!$O$4="FO",'2024'!$O$2=CJ423),'2024DATA'!$C$26,"")</f>
        <v/>
      </c>
      <c r="CK447" s="518" t="str">
        <f>IF(AND(_F="A-321N",'2024'!$O$4="FO",'2024'!$O$2=CK423),'2024DATA'!$D$26,"")</f>
        <v/>
      </c>
      <c r="CL447" s="518" t="str">
        <f>IF(AND(_F="A-321N",'2024'!$O$4="FO",'2024'!$O$2=CL423),'2024DATA'!$E$26,"")</f>
        <v/>
      </c>
      <c r="CM447" s="518" t="str">
        <f>IF(AND(_F="A-321N",'2024'!$O$4="FO",'2024'!$O$2=CM423),'2024DATA'!$F$26,"")</f>
        <v/>
      </c>
      <c r="CN447" s="518" t="str">
        <f>IF(AND(_F="A-321N",'2024'!$O$4="FO",'2024'!$O$2=CN423),'2024DATA'!$G$26,"")</f>
        <v/>
      </c>
      <c r="CO447" s="518" t="str">
        <f>IF(AND(_F="A-321N",'2024'!$O$4="FO",'2024'!$O$2=CO423),'2024DATA'!$H$26,"")</f>
        <v/>
      </c>
      <c r="CP447" s="518" t="str">
        <f>IF(AND(_F="A-321N",'2024'!$O$4="FO",'2024'!$O$2=CP423),'2024DATA'!$I$26,"")</f>
        <v/>
      </c>
      <c r="CQ447" s="518" t="str">
        <f>IF(AND(_F="A-321N",'2024'!$O$4="FO",'2024'!$O$2=CQ423),'2024DATA'!$J$26,"")</f>
        <v/>
      </c>
      <c r="CR447" s="518" t="str">
        <f>IF(AND(_F="A-321N",'2024'!$O$4="FO",'2024'!$O$2=CR423),'2024DATA'!$K$26,"")</f>
        <v/>
      </c>
      <c r="CS447" s="518" t="str">
        <f>IF(AND(_F="A-321N",'2024'!$O$4="FO",'2024'!$O$2=CS423),'2024DATA'!$L$26,"")</f>
        <v/>
      </c>
      <c r="CT447" s="518" t="str">
        <f>IF(AND(_F="A-321N",'2024'!$O$4="FO",'2024'!$O$2=CT423),'2024DATA'!$M$26,"")</f>
        <v/>
      </c>
      <c r="CU447" s="520" t="str">
        <f>IF(AND(_F="A-321N",'2024'!$O$4="FO",'2024'!$O$2=CU423),'2024DATA'!$N$26,"")</f>
        <v/>
      </c>
    </row>
    <row r="448" spans="16:99" x14ac:dyDescent="0.25">
      <c r="P448" s="940" t="s">
        <v>48</v>
      </c>
      <c r="Q448" s="13" t="s">
        <v>61</v>
      </c>
      <c r="R448" s="518" t="str">
        <f>IF(AND(_A="A-321",'2024'!$O$4="CA",'2024'!$O$2=R423),'2024DATA'!$C$27,"")</f>
        <v/>
      </c>
      <c r="S448" s="518" t="str">
        <f>IF(AND(_A="A-321",'2024'!$O$4="CA",'2024'!$O$2=S423),'2024DATA'!$D$27,"")</f>
        <v/>
      </c>
      <c r="T448" s="518" t="str">
        <f>IF(AND(_A="A-321",'2024'!$O$4="CA",'2024'!$O$2=T423),'2024DATA'!$E$27,"")</f>
        <v/>
      </c>
      <c r="U448" s="518" t="str">
        <f>IF(AND(_A="A-321",'2024'!$O$4="CA",'2024'!$O$2=U423),'2024DATA'!$F$27,"")</f>
        <v/>
      </c>
      <c r="V448" s="518" t="str">
        <f>IF(AND(_A="A-321",'2024'!$O$4="CA",'2024'!$O$2=V423),'2024DATA'!$G$27,"")</f>
        <v/>
      </c>
      <c r="W448" s="518" t="str">
        <f>IF(AND(_A="A-321",'2024'!$O$4="CA",'2024'!$O$2=W423),'2024DATA'!$H$27,"")</f>
        <v/>
      </c>
      <c r="X448" s="518" t="str">
        <f>IF(AND(_A="A-321",'2024'!$O$4="CA",'2024'!$O$2=X423),'2024DATA'!$I$27,"")</f>
        <v/>
      </c>
      <c r="Y448" s="518" t="str">
        <f>IF(AND(_A="A-321",'2024'!$O$4="CA",'2024'!$O$2=Y423),'2024DATA'!$J$27,"")</f>
        <v/>
      </c>
      <c r="Z448" s="518" t="str">
        <f>IF(AND(_A="A-321",'2024'!$O$4="CA",'2024'!$O$2=Z423),'2024DATA'!$K$27,"")</f>
        <v/>
      </c>
      <c r="AA448" s="518" t="str">
        <f>IF(AND(_A="A-321",'2024'!$O$4="CA",'2024'!$O$2=AA423),'2024DATA'!$L$27,"")</f>
        <v/>
      </c>
      <c r="AB448" s="518" t="str">
        <f>IF(AND(_A="A-321",'2024'!$O$4="CA",'2024'!$O$2=AB423),'2024DATA'!$M$27,"")</f>
        <v/>
      </c>
      <c r="AC448" s="520" t="str">
        <f>IF(AND(_A="A-321",'2024'!$O$4="CA",'2024'!$O$2=AC423),'2024DATA'!$N$27,"")</f>
        <v/>
      </c>
      <c r="AD448" s="940" t="s">
        <v>48</v>
      </c>
      <c r="AE448" s="13" t="s">
        <v>61</v>
      </c>
      <c r="AF448" s="518" t="str">
        <f>IF(AND(_B="A-321",'2024'!$O$4="CA",'2024'!$O$2=AF423),'2024DATA'!$C$27,"")</f>
        <v/>
      </c>
      <c r="AG448" s="518" t="str">
        <f>IF(AND(_B="A-321",'2024'!$O$4="CA",'2024'!$O$2=AG423),'2024DATA'!$D$27,"")</f>
        <v/>
      </c>
      <c r="AH448" s="518" t="str">
        <f>IF(AND(_B="A-321",'2024'!$O$4="CA",'2024'!$O$2=AH423),'2024DATA'!$E$27,"")</f>
        <v/>
      </c>
      <c r="AI448" s="518" t="str">
        <f>IF(AND(_B="A-321",'2024'!$O$4="CA",'2024'!$O$2=AI423),'2024DATA'!$F$27,"")</f>
        <v/>
      </c>
      <c r="AJ448" s="518" t="str">
        <f>IF(AND(_B="A-321",'2024'!$O$4="CA",'2024'!$O$2=AJ423),'2024DATA'!$G$27,"")</f>
        <v/>
      </c>
      <c r="AK448" s="518" t="str">
        <f>IF(AND(_B="A-321",'2024'!$O$4="CA",'2024'!$O$2=AK423),'2024DATA'!$H$27,"")</f>
        <v/>
      </c>
      <c r="AL448" s="518" t="str">
        <f>IF(AND(_B="A-321",'2024'!$O$4="CA",'2024'!$O$2=AL423),'2024DATA'!$I$27,"")</f>
        <v/>
      </c>
      <c r="AM448" s="518" t="str">
        <f>IF(AND(_B="A-321",'2024'!$O$4="CA",'2024'!$O$2=AM423),'2024DATA'!$J$27,"")</f>
        <v/>
      </c>
      <c r="AN448" s="518" t="str">
        <f>IF(AND(_B="A-321",'2024'!$O$4="CA",'2024'!$O$2=AN423),'2024DATA'!$K$27,"")</f>
        <v/>
      </c>
      <c r="AO448" s="518" t="str">
        <f>IF(AND(_B="A-321",'2024'!$O$4="CA",'2024'!$O$2=AO423),'2024DATA'!$L$27,"")</f>
        <v/>
      </c>
      <c r="AP448" s="518" t="str">
        <f>IF(AND(_B="A-321",'2024'!$O$4="CA",'2024'!$O$2=AP423),'2024DATA'!$M$27,"")</f>
        <v/>
      </c>
      <c r="AQ448" s="520" t="str">
        <f>IF(AND(_B="A-321",'2024'!$O$4="CA",'2024'!$O$2=AQ423),'2024DATA'!$N$27,"")</f>
        <v/>
      </c>
      <c r="AR448" s="940" t="s">
        <v>48</v>
      </c>
      <c r="AS448" s="13" t="s">
        <v>61</v>
      </c>
      <c r="AT448" s="518" t="str">
        <f>IF(AND(_C="A-321",'2024'!$O$4="CA",'2024'!$O$2=AT423),'2024DATA'!$C$27,"")</f>
        <v/>
      </c>
      <c r="AU448" s="518" t="str">
        <f>IF(AND(_C="A-321",'2024'!$O$4="CA",'2024'!$O$2=AU423),'2024DATA'!$D$27,"")</f>
        <v/>
      </c>
      <c r="AV448" s="518" t="str">
        <f>IF(AND(_C="A-321",'2024'!$O$4="CA",'2024'!$O$2=AV423),'2024DATA'!$E$27,"")</f>
        <v/>
      </c>
      <c r="AW448" s="518" t="str">
        <f>IF(AND(_C="A-321",'2024'!$O$4="CA",'2024'!$O$2=AW423),'2024DATA'!$F$27,"")</f>
        <v/>
      </c>
      <c r="AX448" s="518" t="str">
        <f>IF(AND(_C="A-321",'2024'!$O$4="CA",'2024'!$O$2=AX423),'2024DATA'!$G$27,"")</f>
        <v/>
      </c>
      <c r="AY448" s="518" t="str">
        <f>IF(AND(_C="A-321",'2024'!$O$4="CA",'2024'!$O$2=AY423),'2024DATA'!$H$27,"")</f>
        <v/>
      </c>
      <c r="AZ448" s="518" t="str">
        <f>IF(AND(_C="A-321",'2024'!$O$4="CA",'2024'!$O$2=AZ423),'2024DATA'!$I$27,"")</f>
        <v/>
      </c>
      <c r="BA448" s="518" t="str">
        <f>IF(AND(_C="A-321",'2024'!$O$4="CA",'2024'!$O$2=BA423),'2024DATA'!$J$27,"")</f>
        <v/>
      </c>
      <c r="BB448" s="518" t="str">
        <f>IF(AND(_C="A-321",'2024'!$O$4="CA",'2024'!$O$2=BB423),'2024DATA'!$K$27,"")</f>
        <v/>
      </c>
      <c r="BC448" s="518" t="str">
        <f>IF(AND(_C="A-321",'2024'!$O$4="CA",'2024'!$O$2=BC423),'2024DATA'!$L$27,"")</f>
        <v/>
      </c>
      <c r="BD448" s="518" t="str">
        <f>IF(AND(_C="A-321",'2024'!$O$4="CA",'2024'!$O$2=BD423),'2024DATA'!$M$27,"")</f>
        <v/>
      </c>
      <c r="BE448" s="520" t="str">
        <f>IF(AND(_C="A-321",'2024'!$O$4="CA",'2024'!$O$2=BE423),'2024DATA'!$N$27,"")</f>
        <v/>
      </c>
      <c r="BF448" s="940" t="s">
        <v>48</v>
      </c>
      <c r="BG448" s="13" t="s">
        <v>61</v>
      </c>
      <c r="BH448" s="518" t="str">
        <f>IF(AND(_D="A-321",'2024'!$O$4="CA",'2024'!$O$2=BH423),'2024DATA'!$C$27,"")</f>
        <v/>
      </c>
      <c r="BI448" s="518" t="str">
        <f>IF(AND(_D="A-321",'2024'!$O$4="CA",'2024'!$O$2=BI423),'2024DATA'!$D$27,"")</f>
        <v/>
      </c>
      <c r="BJ448" s="518" t="str">
        <f>IF(AND(_D="A-321",'2024'!$O$4="CA",'2024'!$O$2=BJ423),'2024DATA'!$E$27,"")</f>
        <v/>
      </c>
      <c r="BK448" s="518" t="str">
        <f>IF(AND(_D="A-321",'2024'!$O$4="CA",'2024'!$O$2=BK423),'2024DATA'!$F$27,"")</f>
        <v/>
      </c>
      <c r="BL448" s="518" t="str">
        <f>IF(AND(_D="A-321",'2024'!$O$4="CA",'2024'!$O$2=BL423),'2024DATA'!$G$27,"")</f>
        <v/>
      </c>
      <c r="BM448" s="518" t="str">
        <f>IF(AND(_D="A-321",'2024'!$O$4="CA",'2024'!$O$2=BM423),'2024DATA'!$H$27,"")</f>
        <v/>
      </c>
      <c r="BN448" s="518" t="str">
        <f>IF(AND(_D="A-321",'2024'!$O$4="CA",'2024'!$O$2=BN423),'2024DATA'!$I$27,"")</f>
        <v/>
      </c>
      <c r="BO448" s="518" t="str">
        <f>IF(AND(_D="A-321",'2024'!$O$4="CA",'2024'!$O$2=BO423),'2024DATA'!$J$27,"")</f>
        <v/>
      </c>
      <c r="BP448" s="518" t="str">
        <f>IF(AND(_D="A-321",'2024'!$O$4="CA",'2024'!$O$2=BP423),'2024DATA'!$K$27,"")</f>
        <v/>
      </c>
      <c r="BQ448" s="518" t="str">
        <f>IF(AND(_D="A-321",'2024'!$O$4="CA",'2024'!$O$2=BQ423),'2024DATA'!$L$27,"")</f>
        <v/>
      </c>
      <c r="BR448" s="518" t="str">
        <f>IF(AND(_D="A-321",'2024'!$O$4="CA",'2024'!$O$2=BR423),'2024DATA'!$M$27,"")</f>
        <v/>
      </c>
      <c r="BS448" s="520" t="str">
        <f>IF(AND(_D="A-321",'2024'!$O$4="CA",'2024'!$O$2=BS423),'2024DATA'!$N$27,"")</f>
        <v/>
      </c>
      <c r="BT448" s="940" t="s">
        <v>48</v>
      </c>
      <c r="BU448" s="13" t="s">
        <v>61</v>
      </c>
      <c r="BV448" s="518" t="str">
        <f>IF(AND(_E="A-321",'2024'!$O$4="CA",'2024'!$O$2=BV423),'2024DATA'!$C$27,"")</f>
        <v/>
      </c>
      <c r="BW448" s="518" t="str">
        <f>IF(AND(_E="A-321",'2024'!$O$4="CA",'2024'!$O$2=BW423),'2024DATA'!$D$27,"")</f>
        <v/>
      </c>
      <c r="BX448" s="518" t="str">
        <f>IF(AND(_E="A-321",'2024'!$O$4="CA",'2024'!$O$2=BX423),'2024DATA'!$E$27,"")</f>
        <v/>
      </c>
      <c r="BY448" s="518" t="str">
        <f>IF(AND(_E="A-321",'2024'!$O$4="CA",'2024'!$O$2=BY423),'2024DATA'!$F$27,"")</f>
        <v/>
      </c>
      <c r="BZ448" s="518" t="str">
        <f>IF(AND(_E="A-321",'2024'!$O$4="CA",'2024'!$O$2=BZ423),'2024DATA'!$G$27,"")</f>
        <v/>
      </c>
      <c r="CA448" s="518" t="str">
        <f>IF(AND(_E="A-321",'2024'!$O$4="CA",'2024'!$O$2=CA423),'2024DATA'!$H$27,"")</f>
        <v/>
      </c>
      <c r="CB448" s="518" t="str">
        <f>IF(AND(_E="A-321",'2024'!$O$4="CA",'2024'!$O$2=CB423),'2024DATA'!$I$27,"")</f>
        <v/>
      </c>
      <c r="CC448" s="518" t="str">
        <f>IF(AND(_E="A-321",'2024'!$O$4="CA",'2024'!$O$2=CC423),'2024DATA'!$J$27,"")</f>
        <v/>
      </c>
      <c r="CD448" s="518" t="str">
        <f>IF(AND(_E="A-321",'2024'!$O$4="CA",'2024'!$O$2=CD423),'2024DATA'!$K$27,"")</f>
        <v/>
      </c>
      <c r="CE448" s="518" t="str">
        <f>IF(AND(_E="A-321",'2024'!$O$4="CA",'2024'!$O$2=CE423),'2024DATA'!$L$27,"")</f>
        <v/>
      </c>
      <c r="CF448" s="518" t="str">
        <f>IF(AND(_E="A-321",'2024'!$O$4="CA",'2024'!$O$2=CF423),'2024DATA'!$M$27,"")</f>
        <v/>
      </c>
      <c r="CG448" s="520" t="str">
        <f>IF(AND(_E="A-321",'2024'!$O$4="CA",'2024'!$O$2=CG423),'2024DATA'!$N$27,"")</f>
        <v/>
      </c>
      <c r="CH448" s="940" t="s">
        <v>48</v>
      </c>
      <c r="CI448" s="13" t="s">
        <v>61</v>
      </c>
      <c r="CJ448" s="518" t="str">
        <f>IF(AND(_F="A-321",'2024'!$O$4="CA",'2024'!$O$2=CJ423),'2024DATA'!$C$27,"")</f>
        <v/>
      </c>
      <c r="CK448" s="518" t="str">
        <f>IF(AND(_F="A-321",'2024'!$O$4="CA",'2024'!$O$2=CK423),'2024DATA'!$D$27,"")</f>
        <v/>
      </c>
      <c r="CL448" s="518" t="str">
        <f>IF(AND(_F="A-321",'2024'!$O$4="CA",'2024'!$O$2=CL423),'2024DATA'!$E$27,"")</f>
        <v/>
      </c>
      <c r="CM448" s="518" t="str">
        <f>IF(AND(_F="A-321",'2024'!$O$4="CA",'2024'!$O$2=CM423),'2024DATA'!$F$27,"")</f>
        <v/>
      </c>
      <c r="CN448" s="518" t="str">
        <f>IF(AND(_F="A-321",'2024'!$O$4="CA",'2024'!$O$2=CN423),'2024DATA'!$G$27,"")</f>
        <v/>
      </c>
      <c r="CO448" s="518" t="str">
        <f>IF(AND(_F="A-321",'2024'!$O$4="CA",'2024'!$O$2=CO423),'2024DATA'!$H$27,"")</f>
        <v/>
      </c>
      <c r="CP448" s="518" t="str">
        <f>IF(AND(_F="A-321",'2024'!$O$4="CA",'2024'!$O$2=CP423),'2024DATA'!$I$27,"")</f>
        <v/>
      </c>
      <c r="CQ448" s="518" t="str">
        <f>IF(AND(_F="A-321",'2024'!$O$4="CA",'2024'!$O$2=CQ423),'2024DATA'!$J$27,"")</f>
        <v/>
      </c>
      <c r="CR448" s="518" t="str">
        <f>IF(AND(_F="A-321",'2024'!$O$4="CA",'2024'!$O$2=CR423),'2024DATA'!$K$27,"")</f>
        <v/>
      </c>
      <c r="CS448" s="518" t="str">
        <f>IF(AND(_F="A-321",'2024'!$O$4="CA",'2024'!$O$2=CS423),'2024DATA'!$L$27,"")</f>
        <v/>
      </c>
      <c r="CT448" s="518" t="str">
        <f>IF(AND(_F="A-321",'2024'!$O$4="CA",'2024'!$O$2=CT423),'2024DATA'!$M$27,"")</f>
        <v/>
      </c>
      <c r="CU448" s="520" t="str">
        <f>IF(AND(_F="A-321",'2024'!$O$4="CA",'2024'!$O$2=CU423),'2024DATA'!$N$27,"")</f>
        <v/>
      </c>
    </row>
    <row r="449" spans="16:99" x14ac:dyDescent="0.25">
      <c r="P449" s="940"/>
      <c r="Q449" s="13" t="s">
        <v>62</v>
      </c>
      <c r="R449" s="518" t="str">
        <f>IF(AND(_A="A-321",'2024'!$O$4="FO",'2024'!$O$2=R423),'2024DATA'!$C$28,"")</f>
        <v/>
      </c>
      <c r="S449" s="518" t="str">
        <f>IF(AND(_A="A-321",'2024'!$O$4="FO",'2024'!$O$2=S423),'2024DATA'!$D$28,"")</f>
        <v/>
      </c>
      <c r="T449" s="518" t="str">
        <f>IF(AND(_A="A-321",'2024'!$O$4="FO",'2024'!$O$2=T423),'2024DATA'!$E$28,"")</f>
        <v/>
      </c>
      <c r="U449" s="518" t="str">
        <f>IF(AND(_A="A-321",'2024'!$O$4="FO",'2024'!$O$2=U423),'2024DATA'!$F$28,"")</f>
        <v/>
      </c>
      <c r="V449" s="518" t="str">
        <f>IF(AND(_A="A-321",'2024'!$O$4="FO",'2024'!$O$2=V423),'2024DATA'!$G$28,"")</f>
        <v/>
      </c>
      <c r="W449" s="518" t="str">
        <f>IF(AND(_A="A-321",'2024'!$O$4="FO",'2024'!$O$2=W423),'2024DATA'!$H$28,"")</f>
        <v/>
      </c>
      <c r="X449" s="518" t="str">
        <f>IF(AND(_A="A-321",'2024'!$O$4="FO",'2024'!$O$2=X423),'2024DATA'!$I$28,"")</f>
        <v/>
      </c>
      <c r="Y449" s="518" t="str">
        <f>IF(AND(_A="A-321",'2024'!$O$4="FO",'2024'!$O$2=Y423),'2024DATA'!$J$28,"")</f>
        <v/>
      </c>
      <c r="Z449" s="518" t="str">
        <f>IF(AND(_A="A-321",'2024'!$O$4="FO",'2024'!$O$2=Z423),'2024DATA'!$K$28,"")</f>
        <v/>
      </c>
      <c r="AA449" s="518" t="str">
        <f>IF(AND(_A="A-321",'2024'!$O$4="FO",'2024'!$O$2=AA423),'2024DATA'!$L$28,"")</f>
        <v/>
      </c>
      <c r="AB449" s="518" t="str">
        <f>IF(AND(_A="A-321",'2024'!$O$4="FO",'2024'!$O$2=AB423),'2024DATA'!$M$28,"")</f>
        <v/>
      </c>
      <c r="AC449" s="520" t="str">
        <f>IF(AND(_A="A-321",'2024'!$O$4="FO",'2024'!$O$2=AC423),'2024DATA'!$N$28,"")</f>
        <v/>
      </c>
      <c r="AD449" s="940"/>
      <c r="AE449" s="13" t="s">
        <v>62</v>
      </c>
      <c r="AF449" s="518" t="str">
        <f>IF(AND(_B="A-321",'2024'!$O$4="FO",'2024'!$O$2=AF423),'2024DATA'!$C$28,"")</f>
        <v/>
      </c>
      <c r="AG449" s="518" t="str">
        <f>IF(AND(_B="A-321",'2024'!$O$4="FO",'2024'!$O$2=AG423),'2024DATA'!$D$28,"")</f>
        <v/>
      </c>
      <c r="AH449" s="518" t="str">
        <f>IF(AND(_B="A-321",'2024'!$O$4="FO",'2024'!$O$2=AH423),'2024DATA'!$E$28,"")</f>
        <v/>
      </c>
      <c r="AI449" s="518" t="str">
        <f>IF(AND(_B="A-321",'2024'!$O$4="FO",'2024'!$O$2=AI423),'2024DATA'!$F$28,"")</f>
        <v/>
      </c>
      <c r="AJ449" s="518" t="str">
        <f>IF(AND(_B="A-321",'2024'!$O$4="FO",'2024'!$O$2=AJ423),'2024DATA'!$G$28,"")</f>
        <v/>
      </c>
      <c r="AK449" s="518" t="str">
        <f>IF(AND(_B="A-321",'2024'!$O$4="FO",'2024'!$O$2=AK423),'2024DATA'!$H$28,"")</f>
        <v/>
      </c>
      <c r="AL449" s="518" t="str">
        <f>IF(AND(_B="A-321",'2024'!$O$4="FO",'2024'!$O$2=AL423),'2024DATA'!$I$28,"")</f>
        <v/>
      </c>
      <c r="AM449" s="518" t="str">
        <f>IF(AND(_B="A-321",'2024'!$O$4="FO",'2024'!$O$2=AM423),'2024DATA'!$J$28,"")</f>
        <v/>
      </c>
      <c r="AN449" s="518" t="str">
        <f>IF(AND(_B="A-321",'2024'!$O$4="FO",'2024'!$O$2=AN423),'2024DATA'!$K$28,"")</f>
        <v/>
      </c>
      <c r="AO449" s="518" t="str">
        <f>IF(AND(_B="A-321",'2024'!$O$4="FO",'2024'!$O$2=AO423),'2024DATA'!$L$28,"")</f>
        <v/>
      </c>
      <c r="AP449" s="518" t="str">
        <f>IF(AND(_B="A-321",'2024'!$O$4="FO",'2024'!$O$2=AP423),'2024DATA'!$M$28,"")</f>
        <v/>
      </c>
      <c r="AQ449" s="520" t="str">
        <f>IF(AND(_B="A-321",'2024'!$O$4="FO",'2024'!$O$2=AQ423),'2024DATA'!$N$28,"")</f>
        <v/>
      </c>
      <c r="AR449" s="940"/>
      <c r="AS449" s="13" t="s">
        <v>62</v>
      </c>
      <c r="AT449" s="518" t="str">
        <f>IF(AND(_C="A-321",'2024'!$O$4="FO",'2024'!$O$2=AT423),'2024DATA'!$C$28,"")</f>
        <v/>
      </c>
      <c r="AU449" s="518" t="str">
        <f>IF(AND(_C="A-321",'2024'!$O$4="FO",'2024'!$O$2=AU423),'2024DATA'!$D$28,"")</f>
        <v/>
      </c>
      <c r="AV449" s="518" t="str">
        <f>IF(AND(_C="A-321",'2024'!$O$4="FO",'2024'!$O$2=AV423),'2024DATA'!$E$28,"")</f>
        <v/>
      </c>
      <c r="AW449" s="518" t="str">
        <f>IF(AND(_C="A-321",'2024'!$O$4="FO",'2024'!$O$2=AW423),'2024DATA'!$F$28,"")</f>
        <v/>
      </c>
      <c r="AX449" s="518" t="str">
        <f>IF(AND(_C="A-321",'2024'!$O$4="FO",'2024'!$O$2=AX423),'2024DATA'!$G$28,"")</f>
        <v/>
      </c>
      <c r="AY449" s="518" t="str">
        <f>IF(AND(_C="A-321",'2024'!$O$4="FO",'2024'!$O$2=AY423),'2024DATA'!$H$28,"")</f>
        <v/>
      </c>
      <c r="AZ449" s="518" t="str">
        <f>IF(AND(_C="A-321",'2024'!$O$4="FO",'2024'!$O$2=AZ423),'2024DATA'!$I$28,"")</f>
        <v/>
      </c>
      <c r="BA449" s="518" t="str">
        <f>IF(AND(_C="A-321",'2024'!$O$4="FO",'2024'!$O$2=BA423),'2024DATA'!$J$28,"")</f>
        <v/>
      </c>
      <c r="BB449" s="518" t="str">
        <f>IF(AND(_C="A-321",'2024'!$O$4="FO",'2024'!$O$2=BB423),'2024DATA'!$K$28,"")</f>
        <v/>
      </c>
      <c r="BC449" s="518" t="str">
        <f>IF(AND(_C="A-321",'2024'!$O$4="FO",'2024'!$O$2=BC423),'2024DATA'!$L$28,"")</f>
        <v/>
      </c>
      <c r="BD449" s="518" t="str">
        <f>IF(AND(_C="A-321",'2024'!$O$4="FO",'2024'!$O$2=BD423),'2024DATA'!$M$28,"")</f>
        <v/>
      </c>
      <c r="BE449" s="520" t="str">
        <f>IF(AND(_C="A-321",'2024'!$O$4="FO",'2024'!$O$2=BE423),'2024DATA'!$N$28,"")</f>
        <v/>
      </c>
      <c r="BF449" s="940"/>
      <c r="BG449" s="13" t="s">
        <v>62</v>
      </c>
      <c r="BH449" s="518" t="str">
        <f>IF(AND(_D="A-321",'2024'!$O$4="FO",'2024'!$O$2=BH423),'2024DATA'!$C$28,"")</f>
        <v/>
      </c>
      <c r="BI449" s="518" t="str">
        <f>IF(AND(_D="A-321",'2024'!$O$4="FO",'2024'!$O$2=BI423),'2024DATA'!$D$28,"")</f>
        <v/>
      </c>
      <c r="BJ449" s="518" t="str">
        <f>IF(AND(_D="A-321",'2024'!$O$4="FO",'2024'!$O$2=BJ423),'2024DATA'!$E$28,"")</f>
        <v/>
      </c>
      <c r="BK449" s="518" t="str">
        <f>IF(AND(_D="A-321",'2024'!$O$4="FO",'2024'!$O$2=BK423),'2024DATA'!$F$28,"")</f>
        <v/>
      </c>
      <c r="BL449" s="518" t="str">
        <f>IF(AND(_D="A-321",'2024'!$O$4="FO",'2024'!$O$2=BL423),'2024DATA'!$G$28,"")</f>
        <v/>
      </c>
      <c r="BM449" s="518" t="str">
        <f>IF(AND(_D="A-321",'2024'!$O$4="FO",'2024'!$O$2=BM423),'2024DATA'!$H$28,"")</f>
        <v/>
      </c>
      <c r="BN449" s="518" t="str">
        <f>IF(AND(_D="A-321",'2024'!$O$4="FO",'2024'!$O$2=BN423),'2024DATA'!$I$28,"")</f>
        <v/>
      </c>
      <c r="BO449" s="518" t="str">
        <f>IF(AND(_D="A-321",'2024'!$O$4="FO",'2024'!$O$2=BO423),'2024DATA'!$J$28,"")</f>
        <v/>
      </c>
      <c r="BP449" s="518" t="str">
        <f>IF(AND(_D="A-321",'2024'!$O$4="FO",'2024'!$O$2=BP423),'2024DATA'!$K$28,"")</f>
        <v/>
      </c>
      <c r="BQ449" s="518" t="str">
        <f>IF(AND(_D="A-321",'2024'!$O$4="FO",'2024'!$O$2=BQ423),'2024DATA'!$L$28,"")</f>
        <v/>
      </c>
      <c r="BR449" s="518" t="str">
        <f>IF(AND(_D="A-321",'2024'!$O$4="FO",'2024'!$O$2=BR423),'2024DATA'!$M$28,"")</f>
        <v/>
      </c>
      <c r="BS449" s="520" t="str">
        <f>IF(AND(_D="A-321",'2024'!$O$4="FO",'2024'!$O$2=BS423),'2024DATA'!$N$28,"")</f>
        <v/>
      </c>
      <c r="BT449" s="940"/>
      <c r="BU449" s="13" t="s">
        <v>62</v>
      </c>
      <c r="BV449" s="518" t="str">
        <f>IF(AND(_E="A-321",'2024'!$O$4="FO",'2024'!$O$2=BV423),'2024DATA'!$C$28,"")</f>
        <v/>
      </c>
      <c r="BW449" s="518" t="str">
        <f>IF(AND(_E="A-321",'2024'!$O$4="FO",'2024'!$O$2=BW423),'2024DATA'!$D$28,"")</f>
        <v/>
      </c>
      <c r="BX449" s="518" t="str">
        <f>IF(AND(_E="A-321",'2024'!$O$4="FO",'2024'!$O$2=BX423),'2024DATA'!$E$28,"")</f>
        <v/>
      </c>
      <c r="BY449" s="518" t="str">
        <f>IF(AND(_E="A-321",'2024'!$O$4="FO",'2024'!$O$2=BY423),'2024DATA'!$F$28,"")</f>
        <v/>
      </c>
      <c r="BZ449" s="518" t="str">
        <f>IF(AND(_E="A-321",'2024'!$O$4="FO",'2024'!$O$2=BZ423),'2024DATA'!$G$28,"")</f>
        <v/>
      </c>
      <c r="CA449" s="518" t="str">
        <f>IF(AND(_E="A-321",'2024'!$O$4="FO",'2024'!$O$2=CA423),'2024DATA'!$H$28,"")</f>
        <v/>
      </c>
      <c r="CB449" s="518" t="str">
        <f>IF(AND(_E="A-321",'2024'!$O$4="FO",'2024'!$O$2=CB423),'2024DATA'!$I$28,"")</f>
        <v/>
      </c>
      <c r="CC449" s="518" t="str">
        <f>IF(AND(_E="A-321",'2024'!$O$4="FO",'2024'!$O$2=CC423),'2024DATA'!$J$28,"")</f>
        <v/>
      </c>
      <c r="CD449" s="518" t="str">
        <f>IF(AND(_E="A-321",'2024'!$O$4="FO",'2024'!$O$2=CD423),'2024DATA'!$K$28,"")</f>
        <v/>
      </c>
      <c r="CE449" s="518" t="str">
        <f>IF(AND(_E="A-321",'2024'!$O$4="FO",'2024'!$O$2=CE423),'2024DATA'!$L$28,"")</f>
        <v/>
      </c>
      <c r="CF449" s="518" t="str">
        <f>IF(AND(_E="A-321",'2024'!$O$4="FO",'2024'!$O$2=CF423),'2024DATA'!$M$28,"")</f>
        <v/>
      </c>
      <c r="CG449" s="520" t="str">
        <f>IF(AND(_E="A-321",'2024'!$O$4="FO",'2024'!$O$2=CG423),'2024DATA'!$N$28,"")</f>
        <v/>
      </c>
      <c r="CH449" s="940"/>
      <c r="CI449" s="13" t="s">
        <v>62</v>
      </c>
      <c r="CJ449" s="518" t="str">
        <f>IF(AND(_F="A-321",'2024'!$O$4="FO",'2024'!$O$2=CJ423),'2024DATA'!$C$28,"")</f>
        <v/>
      </c>
      <c r="CK449" s="518" t="str">
        <f>IF(AND(_F="A-321",'2024'!$O$4="FO",'2024'!$O$2=CK423),'2024DATA'!$D$28,"")</f>
        <v/>
      </c>
      <c r="CL449" s="518" t="str">
        <f>IF(AND(_F="A-321",'2024'!$O$4="FO",'2024'!$O$2=CL423),'2024DATA'!$E$28,"")</f>
        <v/>
      </c>
      <c r="CM449" s="518" t="str">
        <f>IF(AND(_F="A-321",'2024'!$O$4="FO",'2024'!$O$2=CM423),'2024DATA'!$F$28,"")</f>
        <v/>
      </c>
      <c r="CN449" s="518" t="str">
        <f>IF(AND(_F="A-321",'2024'!$O$4="FO",'2024'!$O$2=CN423),'2024DATA'!$G$28,"")</f>
        <v/>
      </c>
      <c r="CO449" s="518" t="str">
        <f>IF(AND(_F="A-321",'2024'!$O$4="FO",'2024'!$O$2=CO423),'2024DATA'!$H$28,"")</f>
        <v/>
      </c>
      <c r="CP449" s="518" t="str">
        <f>IF(AND(_F="A-321",'2024'!$O$4="FO",'2024'!$O$2=CP423),'2024DATA'!$I$28,"")</f>
        <v/>
      </c>
      <c r="CQ449" s="518" t="str">
        <f>IF(AND(_F="A-321",'2024'!$O$4="FO",'2024'!$O$2=CQ423),'2024DATA'!$J$28,"")</f>
        <v/>
      </c>
      <c r="CR449" s="518" t="str">
        <f>IF(AND(_F="A-321",'2024'!$O$4="FO",'2024'!$O$2=CR423),'2024DATA'!$K$28,"")</f>
        <v/>
      </c>
      <c r="CS449" s="518" t="str">
        <f>IF(AND(_F="A-321",'2024'!$O$4="FO",'2024'!$O$2=CS423),'2024DATA'!$L$28,"")</f>
        <v/>
      </c>
      <c r="CT449" s="518" t="str">
        <f>IF(AND(_F="A-321",'2024'!$O$4="FO",'2024'!$O$2=CT423),'2024DATA'!$M$28,"")</f>
        <v/>
      </c>
      <c r="CU449" s="520" t="str">
        <f>IF(AND(_F="A-321",'2024'!$O$4="FO",'2024'!$O$2=CU423),'2024DATA'!$N$28,"")</f>
        <v/>
      </c>
    </row>
    <row r="450" spans="16:99" x14ac:dyDescent="0.25">
      <c r="P450" s="940" t="s">
        <v>70</v>
      </c>
      <c r="Q450" s="13" t="s">
        <v>61</v>
      </c>
      <c r="R450" s="518" t="str">
        <f>IF(AND(_A="A-320",'2024'!$O$4="CA",'2024'!$O$2=R423),'2024DATA'!$C$29,"")</f>
        <v/>
      </c>
      <c r="S450" s="518" t="str">
        <f>IF(AND(_A="A-320",'2024'!$O$4="CA",'2024'!$O$2=S423),'2024DATA'!$D$29,"")</f>
        <v/>
      </c>
      <c r="T450" s="518" t="str">
        <f>IF(AND(_A="A-320",'2024'!$O$4="CA",'2024'!$O$2=T423),'2024DATA'!$E$29,"")</f>
        <v/>
      </c>
      <c r="U450" s="518" t="str">
        <f>IF(AND(_A="A-320",'2024'!$O$4="CA",'2024'!$O$2=U423),'2024DATA'!$F$29,"")</f>
        <v/>
      </c>
      <c r="V450" s="518" t="str">
        <f>IF(AND(_A="A-320",'2024'!$O$4="CA",'2024'!$O$2=V423),'2024DATA'!$G$29,"")</f>
        <v/>
      </c>
      <c r="W450" s="518" t="str">
        <f>IF(AND(_A="A-320",'2024'!$O$4="CA",'2024'!$O$2=W423),'2024DATA'!$H$29,"")</f>
        <v/>
      </c>
      <c r="X450" s="518" t="str">
        <f>IF(AND(_A="A-320",'2024'!$O$4="CA",'2024'!$O$2=X423),'2024DATA'!$I$29,"")</f>
        <v/>
      </c>
      <c r="Y450" s="518" t="str">
        <f>IF(AND(_A="A-320",'2024'!$O$4="CA",'2024'!$O$2=Y423),'2024DATA'!$J$29,"")</f>
        <v/>
      </c>
      <c r="Z450" s="518" t="str">
        <f>IF(AND(_A="A-320",'2024'!$O$4="CA",'2024'!$O$2=Z423),'2024DATA'!$K$29,"")</f>
        <v/>
      </c>
      <c r="AA450" s="518" t="str">
        <f>IF(AND(_A="A-320",'2024'!$O$4="CA",'2024'!$O$2=AA423),'2024DATA'!$L$29,"")</f>
        <v/>
      </c>
      <c r="AB450" s="518" t="str">
        <f>IF(AND(_A="A-320",'2024'!$O$4="CA",'2024'!$O$2=AB423),'2024DATA'!$M$29,"")</f>
        <v/>
      </c>
      <c r="AC450" s="520" t="str">
        <f>IF(AND(_A="A-320",'2024'!$O$4="CA",'2024'!$O$2=AC423),'2024DATA'!$N$29,"")</f>
        <v/>
      </c>
      <c r="AD450" s="940" t="s">
        <v>70</v>
      </c>
      <c r="AE450" s="13" t="s">
        <v>61</v>
      </c>
      <c r="AF450" s="518" t="str">
        <f>IF(AND(_B="A-320",'2024'!$O$4="CA",'2024'!$O$2=AF423),'2024DATA'!$C$29,"")</f>
        <v/>
      </c>
      <c r="AG450" s="518" t="str">
        <f>IF(AND(_B="A-320",'2024'!$O$4="CA",'2024'!$O$2=AG423),'2024DATA'!$D$29,"")</f>
        <v/>
      </c>
      <c r="AH450" s="518" t="str">
        <f>IF(AND(_B="A-320",'2024'!$O$4="CA",'2024'!$O$2=AH423),'2024DATA'!$E$29,"")</f>
        <v/>
      </c>
      <c r="AI450" s="518" t="str">
        <f>IF(AND(_B="A-320",'2024'!$O$4="CA",'2024'!$O$2=AI423),'2024DATA'!$F$29,"")</f>
        <v/>
      </c>
      <c r="AJ450" s="518" t="str">
        <f>IF(AND(_B="A-320",'2024'!$O$4="CA",'2024'!$O$2=AJ423),'2024DATA'!$G$29,"")</f>
        <v/>
      </c>
      <c r="AK450" s="518" t="str">
        <f>IF(AND(_B="A-320",'2024'!$O$4="CA",'2024'!$O$2=AK423),'2024DATA'!$H$29,"")</f>
        <v/>
      </c>
      <c r="AL450" s="518" t="str">
        <f>IF(AND(_B="A-320",'2024'!$O$4="CA",'2024'!$O$2=AL423),'2024DATA'!$I$29,"")</f>
        <v/>
      </c>
      <c r="AM450" s="518" t="str">
        <f>IF(AND(_B="A-320",'2024'!$O$4="CA",'2024'!$O$2=AM423),'2024DATA'!$J$29,"")</f>
        <v/>
      </c>
      <c r="AN450" s="518" t="str">
        <f>IF(AND(_B="A-320",'2024'!$O$4="CA",'2024'!$O$2=AN423),'2024DATA'!$K$29,"")</f>
        <v/>
      </c>
      <c r="AO450" s="518" t="str">
        <f>IF(AND(_B="A-320",'2024'!$O$4="CA",'2024'!$O$2=AO423),'2024DATA'!$L$29,"")</f>
        <v/>
      </c>
      <c r="AP450" s="518" t="str">
        <f>IF(AND(_B="A-320",'2024'!$O$4="CA",'2024'!$O$2=AP423),'2024DATA'!$M$29,"")</f>
        <v/>
      </c>
      <c r="AQ450" s="520" t="str">
        <f>IF(AND(_B="A-320",'2024'!$O$4="CA",'2024'!$O$2=AQ423),'2024DATA'!$N$29,"")</f>
        <v/>
      </c>
      <c r="AR450" s="940" t="s">
        <v>70</v>
      </c>
      <c r="AS450" s="13" t="s">
        <v>61</v>
      </c>
      <c r="AT450" s="518" t="str">
        <f>IF(AND(_C="A-320",'2024'!$O$4="CA",'2024'!$O$2=AT423),'2024DATA'!$C$29,"")</f>
        <v/>
      </c>
      <c r="AU450" s="518" t="str">
        <f>IF(AND(_C="A-320",'2024'!$O$4="CA",'2024'!$O$2=AU423),'2024DATA'!$D$29,"")</f>
        <v/>
      </c>
      <c r="AV450" s="518" t="str">
        <f>IF(AND(_C="A-320",'2024'!$O$4="CA",'2024'!$O$2=AV423),'2024DATA'!$E$29,"")</f>
        <v/>
      </c>
      <c r="AW450" s="518" t="str">
        <f>IF(AND(_C="A-320",'2024'!$O$4="CA",'2024'!$O$2=AW423),'2024DATA'!$F$29,"")</f>
        <v/>
      </c>
      <c r="AX450" s="518" t="str">
        <f>IF(AND(_C="A-320",'2024'!$O$4="CA",'2024'!$O$2=AX423),'2024DATA'!$G$29,"")</f>
        <v/>
      </c>
      <c r="AY450" s="518" t="str">
        <f>IF(AND(_C="A-320",'2024'!$O$4="CA",'2024'!$O$2=AY423),'2024DATA'!$H$29,"")</f>
        <v/>
      </c>
      <c r="AZ450" s="518" t="str">
        <f>IF(AND(_C="A-320",'2024'!$O$4="CA",'2024'!$O$2=AZ423),'2024DATA'!$I$29,"")</f>
        <v/>
      </c>
      <c r="BA450" s="518" t="str">
        <f>IF(AND(_C="A-320",'2024'!$O$4="CA",'2024'!$O$2=BA423),'2024DATA'!$J$29,"")</f>
        <v/>
      </c>
      <c r="BB450" s="518" t="str">
        <f>IF(AND(_C="A-320",'2024'!$O$4="CA",'2024'!$O$2=BB423),'2024DATA'!$K$29,"")</f>
        <v/>
      </c>
      <c r="BC450" s="518" t="str">
        <f>IF(AND(_C="A-320",'2024'!$O$4="CA",'2024'!$O$2=BC423),'2024DATA'!$L$29,"")</f>
        <v/>
      </c>
      <c r="BD450" s="518" t="str">
        <f>IF(AND(_C="A-320",'2024'!$O$4="CA",'2024'!$O$2=BD423),'2024DATA'!$M$29,"")</f>
        <v/>
      </c>
      <c r="BE450" s="520" t="str">
        <f>IF(AND(_C="A-320",'2024'!$O$4="CA",'2024'!$O$2=BE423),'2024DATA'!$N$29,"")</f>
        <v/>
      </c>
      <c r="BF450" s="940" t="s">
        <v>70</v>
      </c>
      <c r="BG450" s="13" t="s">
        <v>61</v>
      </c>
      <c r="BH450" s="518" t="str">
        <f>IF(AND(_D="A-320",'2024'!$O$4="CA",'2024'!$O$2=BH423),'2024DATA'!$C$29,"")</f>
        <v/>
      </c>
      <c r="BI450" s="518" t="str">
        <f>IF(AND(_D="A-320",'2024'!$O$4="CA",'2024'!$O$2=BI423),'2024DATA'!$D$29,"")</f>
        <v/>
      </c>
      <c r="BJ450" s="518" t="str">
        <f>IF(AND(_D="A-320",'2024'!$O$4="CA",'2024'!$O$2=BJ423),'2024DATA'!$E$29,"")</f>
        <v/>
      </c>
      <c r="BK450" s="518" t="str">
        <f>IF(AND(_D="A-320",'2024'!$O$4="CA",'2024'!$O$2=BK423),'2024DATA'!$F$29,"")</f>
        <v/>
      </c>
      <c r="BL450" s="518" t="str">
        <f>IF(AND(_D="A-320",'2024'!$O$4="CA",'2024'!$O$2=BL423),'2024DATA'!$G$29,"")</f>
        <v/>
      </c>
      <c r="BM450" s="518" t="str">
        <f>IF(AND(_D="A-320",'2024'!$O$4="CA",'2024'!$O$2=BM423),'2024DATA'!$H$29,"")</f>
        <v/>
      </c>
      <c r="BN450" s="518" t="str">
        <f>IF(AND(_D="A-320",'2024'!$O$4="CA",'2024'!$O$2=BN423),'2024DATA'!$I$29,"")</f>
        <v/>
      </c>
      <c r="BO450" s="518" t="str">
        <f>IF(AND(_D="A-320",'2024'!$O$4="CA",'2024'!$O$2=BO423),'2024DATA'!$J$29,"")</f>
        <v/>
      </c>
      <c r="BP450" s="518" t="str">
        <f>IF(AND(_D="A-320",'2024'!$O$4="CA",'2024'!$O$2=BP423),'2024DATA'!$K$29,"")</f>
        <v/>
      </c>
      <c r="BQ450" s="518" t="str">
        <f>IF(AND(_D="A-320",'2024'!$O$4="CA",'2024'!$O$2=BQ423),'2024DATA'!$L$29,"")</f>
        <v/>
      </c>
      <c r="BR450" s="518" t="str">
        <f>IF(AND(_D="A-320",'2024'!$O$4="CA",'2024'!$O$2=BR423),'2024DATA'!$M$29,"")</f>
        <v/>
      </c>
      <c r="BS450" s="520" t="str">
        <f>IF(AND(_D="A-320",'2024'!$O$4="CA",'2024'!$O$2=BS423),'2024DATA'!$N$29,"")</f>
        <v/>
      </c>
      <c r="BT450" s="940" t="s">
        <v>70</v>
      </c>
      <c r="BU450" s="13" t="s">
        <v>61</v>
      </c>
      <c r="BV450" s="518" t="str">
        <f>IF(AND(_E="A-320",'2024'!$O$4="CA",'2024'!$O$2=BV423),'2024DATA'!$C$29,"")</f>
        <v/>
      </c>
      <c r="BW450" s="518" t="str">
        <f>IF(AND(_E="A-320",'2024'!$O$4="CA",'2024'!$O$2=BW423),'2024DATA'!$D$29,"")</f>
        <v/>
      </c>
      <c r="BX450" s="518" t="str">
        <f>IF(AND(_E="A-320",'2024'!$O$4="CA",'2024'!$O$2=BX423),'2024DATA'!$E$29,"")</f>
        <v/>
      </c>
      <c r="BY450" s="518" t="str">
        <f>IF(AND(_E="A-320",'2024'!$O$4="CA",'2024'!$O$2=BY423),'2024DATA'!$F$29,"")</f>
        <v/>
      </c>
      <c r="BZ450" s="518" t="str">
        <f>IF(AND(_E="A-320",'2024'!$O$4="CA",'2024'!$O$2=BZ423),'2024DATA'!$G$29,"")</f>
        <v/>
      </c>
      <c r="CA450" s="518" t="str">
        <f>IF(AND(_E="A-320",'2024'!$O$4="CA",'2024'!$O$2=CA423),'2024DATA'!$H$29,"")</f>
        <v/>
      </c>
      <c r="CB450" s="518" t="str">
        <f>IF(AND(_E="A-320",'2024'!$O$4="CA",'2024'!$O$2=CB423),'2024DATA'!$I$29,"")</f>
        <v/>
      </c>
      <c r="CC450" s="518" t="str">
        <f>IF(AND(_E="A-320",'2024'!$O$4="CA",'2024'!$O$2=CC423),'2024DATA'!$J$29,"")</f>
        <v/>
      </c>
      <c r="CD450" s="518" t="str">
        <f>IF(AND(_E="A-320",'2024'!$O$4="CA",'2024'!$O$2=CD423),'2024DATA'!$K$29,"")</f>
        <v/>
      </c>
      <c r="CE450" s="518" t="str">
        <f>IF(AND(_E="A-320",'2024'!$O$4="CA",'2024'!$O$2=CE423),'2024DATA'!$L$29,"")</f>
        <v/>
      </c>
      <c r="CF450" s="518" t="str">
        <f>IF(AND(_E="A-320",'2024'!$O$4="CA",'2024'!$O$2=CF423),'2024DATA'!$M$29,"")</f>
        <v/>
      </c>
      <c r="CG450" s="520" t="str">
        <f>IF(AND(_E="A-320",'2024'!$O$4="CA",'2024'!$O$2=CG423),'2024DATA'!$N$29,"")</f>
        <v/>
      </c>
      <c r="CH450" s="940" t="s">
        <v>70</v>
      </c>
      <c r="CI450" s="13" t="s">
        <v>61</v>
      </c>
      <c r="CJ450" s="518" t="str">
        <f>IF(AND(_F="A-320",'2024'!$O$4="CA",'2024'!$O$2=CJ423),'2024DATA'!$C$29,"")</f>
        <v/>
      </c>
      <c r="CK450" s="518" t="str">
        <f>IF(AND(_F="A-320",'2024'!$O$4="CA",'2024'!$O$2=CK423),'2024DATA'!$D$29,"")</f>
        <v/>
      </c>
      <c r="CL450" s="518" t="str">
        <f>IF(AND(_F="A-320",'2024'!$O$4="CA",'2024'!$O$2=CL423),'2024DATA'!$E$29,"")</f>
        <v/>
      </c>
      <c r="CM450" s="518" t="str">
        <f>IF(AND(_F="A-320",'2024'!$O$4="CA",'2024'!$O$2=CM423),'2024DATA'!$F$29,"")</f>
        <v/>
      </c>
      <c r="CN450" s="518" t="str">
        <f>IF(AND(_F="A-320",'2024'!$O$4="CA",'2024'!$O$2=CN423),'2024DATA'!$G$29,"")</f>
        <v/>
      </c>
      <c r="CO450" s="518" t="str">
        <f>IF(AND(_F="A-320",'2024'!$O$4="CA",'2024'!$O$2=CO423),'2024DATA'!$H$29,"")</f>
        <v/>
      </c>
      <c r="CP450" s="518" t="str">
        <f>IF(AND(_F="A-320",'2024'!$O$4="CA",'2024'!$O$2=CP423),'2024DATA'!$I$29,"")</f>
        <v/>
      </c>
      <c r="CQ450" s="518" t="str">
        <f>IF(AND(_F="A-320",'2024'!$O$4="CA",'2024'!$O$2=CQ423),'2024DATA'!$J$29,"")</f>
        <v/>
      </c>
      <c r="CR450" s="518" t="str">
        <f>IF(AND(_F="A-320",'2024'!$O$4="CA",'2024'!$O$2=CR423),'2024DATA'!$K$29,"")</f>
        <v/>
      </c>
      <c r="CS450" s="518" t="str">
        <f>IF(AND(_F="A-320",'2024'!$O$4="CA",'2024'!$O$2=CS423),'2024DATA'!$L$29,"")</f>
        <v/>
      </c>
      <c r="CT450" s="518" t="str">
        <f>IF(AND(_F="A-320",'2024'!$O$4="CA",'2024'!$O$2=CT423),'2024DATA'!$M$29,"")</f>
        <v/>
      </c>
      <c r="CU450" s="520" t="str">
        <f>IF(AND(_F="A-320",'2024'!$O$4="CA",'2024'!$O$2=CU423),'2024DATA'!$N$29,"")</f>
        <v/>
      </c>
    </row>
    <row r="451" spans="16:99" x14ac:dyDescent="0.25">
      <c r="P451" s="940"/>
      <c r="Q451" s="13" t="s">
        <v>62</v>
      </c>
      <c r="R451" s="518" t="str">
        <f>IF(AND(_A="A-320",'2024'!$O$4="FO",'2024'!$O$2=R423),'2024DATA'!$C$30,"")</f>
        <v/>
      </c>
      <c r="S451" s="518" t="str">
        <f>IF(AND(_A="A-320",'2024'!$O$4="FO",'2024'!$O$2=S423),'2024DATA'!$D$30,"")</f>
        <v/>
      </c>
      <c r="T451" s="518" t="str">
        <f>IF(AND(_A="A-320",'2024'!$O$4="FO",'2024'!$O$2=T423),'2024DATA'!$E$30,"")</f>
        <v/>
      </c>
      <c r="U451" s="518" t="str">
        <f>IF(AND(_A="A-320",'2024'!$O$4="FO",'2024'!$O$2=U423),'2024DATA'!$F$30,"")</f>
        <v/>
      </c>
      <c r="V451" s="518" t="str">
        <f>IF(AND(_A="A-320",'2024'!$O$4="FO",'2024'!$O$2=V423),'2024DATA'!$G$30,"")</f>
        <v/>
      </c>
      <c r="W451" s="518" t="str">
        <f>IF(AND(_A="A-320",'2024'!$O$4="FO",'2024'!$O$2=W423),'2024DATA'!$H$30,"")</f>
        <v/>
      </c>
      <c r="X451" s="518" t="str">
        <f>IF(AND(_A="A-320",'2024'!$O$4="FO",'2024'!$O$2=X423),'2024DATA'!$I$30,"")</f>
        <v/>
      </c>
      <c r="Y451" s="518" t="str">
        <f>IF(AND(_A="A-320",'2024'!$O$4="FO",'2024'!$O$2=Y423),'2024DATA'!$J$30,"")</f>
        <v/>
      </c>
      <c r="Z451" s="518" t="str">
        <f>IF(AND(_A="A-320",'2024'!$O$4="FO",'2024'!$O$2=Z423),'2024DATA'!$K$30,"")</f>
        <v/>
      </c>
      <c r="AA451" s="518" t="str">
        <f>IF(AND(_A="A-320",'2024'!$O$4="FO",'2024'!$O$2=AA423),'2024DATA'!$L$30,"")</f>
        <v/>
      </c>
      <c r="AB451" s="518" t="str">
        <f>IF(AND(_A="A-320",'2024'!$O$4="FO",'2024'!$O$2=AB423),'2024DATA'!$M$30,"")</f>
        <v/>
      </c>
      <c r="AC451" s="520" t="str">
        <f>IF(AND(_A="A-320",'2024'!$O$4="FO",'2024'!$O$2=AC423),'2024DATA'!$N$30,"")</f>
        <v/>
      </c>
      <c r="AD451" s="940"/>
      <c r="AE451" s="13" t="s">
        <v>62</v>
      </c>
      <c r="AF451" s="518" t="str">
        <f>IF(AND(_B="A-320",'2024'!$O$4="FO",'2024'!$O$2=AF423),'2024DATA'!$C$30,"")</f>
        <v/>
      </c>
      <c r="AG451" s="518" t="str">
        <f>IF(AND(_B="A-320",'2024'!$O$4="FO",'2024'!$O$2=AG423),'2024DATA'!$D$30,"")</f>
        <v/>
      </c>
      <c r="AH451" s="518" t="str">
        <f>IF(AND(_B="A-320",'2024'!$O$4="FO",'2024'!$O$2=AH423),'2024DATA'!$E$30,"")</f>
        <v/>
      </c>
      <c r="AI451" s="518" t="str">
        <f>IF(AND(_B="A-320",'2024'!$O$4="FO",'2024'!$O$2=AI423),'2024DATA'!$F$30,"")</f>
        <v/>
      </c>
      <c r="AJ451" s="518" t="str">
        <f>IF(AND(_B="A-320",'2024'!$O$4="FO",'2024'!$O$2=AJ423),'2024DATA'!$G$30,"")</f>
        <v/>
      </c>
      <c r="AK451" s="518" t="str">
        <f>IF(AND(_B="A-320",'2024'!$O$4="FO",'2024'!$O$2=AK423),'2024DATA'!$H$30,"")</f>
        <v/>
      </c>
      <c r="AL451" s="518" t="str">
        <f>IF(AND(_B="A-320",'2024'!$O$4="FO",'2024'!$O$2=AL423),'2024DATA'!$I$30,"")</f>
        <v/>
      </c>
      <c r="AM451" s="518" t="str">
        <f>IF(AND(_B="A-320",'2024'!$O$4="FO",'2024'!$O$2=AM423),'2024DATA'!$J$30,"")</f>
        <v/>
      </c>
      <c r="AN451" s="518" t="str">
        <f>IF(AND(_B="A-320",'2024'!$O$4="FO",'2024'!$O$2=AN423),'2024DATA'!$K$30,"")</f>
        <v/>
      </c>
      <c r="AO451" s="518" t="str">
        <f>IF(AND(_B="A-320",'2024'!$O$4="FO",'2024'!$O$2=AO423),'2024DATA'!$L$30,"")</f>
        <v/>
      </c>
      <c r="AP451" s="518" t="str">
        <f>IF(AND(_B="A-320",'2024'!$O$4="FO",'2024'!$O$2=AP423),'2024DATA'!$M$30,"")</f>
        <v/>
      </c>
      <c r="AQ451" s="520" t="str">
        <f>IF(AND(_B="A-320",'2024'!$O$4="FO",'2024'!$O$2=AQ423),'2024DATA'!$N$30,"")</f>
        <v/>
      </c>
      <c r="AR451" s="940"/>
      <c r="AS451" s="13" t="s">
        <v>62</v>
      </c>
      <c r="AT451" s="518" t="str">
        <f>IF(AND(_C="A-320",'2024'!$O$4="FO",'2024'!$O$2=AT423),'2024DATA'!$C$30,"")</f>
        <v/>
      </c>
      <c r="AU451" s="518" t="str">
        <f>IF(AND(_C="A-320",'2024'!$O$4="FO",'2024'!$O$2=AU423),'2024DATA'!$D$30,"")</f>
        <v/>
      </c>
      <c r="AV451" s="518" t="str">
        <f>IF(AND(_C="A-320",'2024'!$O$4="FO",'2024'!$O$2=AV423),'2024DATA'!$E$30,"")</f>
        <v/>
      </c>
      <c r="AW451" s="518" t="str">
        <f>IF(AND(_C="A-320",'2024'!$O$4="FO",'2024'!$O$2=AW423),'2024DATA'!$F$30,"")</f>
        <v/>
      </c>
      <c r="AX451" s="518" t="str">
        <f>IF(AND(_C="A-320",'2024'!$O$4="FO",'2024'!$O$2=AX423),'2024DATA'!$G$30,"")</f>
        <v/>
      </c>
      <c r="AY451" s="518" t="str">
        <f>IF(AND(_C="A-320",'2024'!$O$4="FO",'2024'!$O$2=AY423),'2024DATA'!$H$30,"")</f>
        <v/>
      </c>
      <c r="AZ451" s="518" t="str">
        <f>IF(AND(_C="A-320",'2024'!$O$4="FO",'2024'!$O$2=AZ423),'2024DATA'!$I$30,"")</f>
        <v/>
      </c>
      <c r="BA451" s="518" t="str">
        <f>IF(AND(_C="A-320",'2024'!$O$4="FO",'2024'!$O$2=BA423),'2024DATA'!$J$30,"")</f>
        <v/>
      </c>
      <c r="BB451" s="518" t="str">
        <f>IF(AND(_C="A-320",'2024'!$O$4="FO",'2024'!$O$2=BB423),'2024DATA'!$K$30,"")</f>
        <v/>
      </c>
      <c r="BC451" s="518" t="str">
        <f>IF(AND(_C="A-320",'2024'!$O$4="FO",'2024'!$O$2=BC423),'2024DATA'!$L$30,"")</f>
        <v/>
      </c>
      <c r="BD451" s="518" t="str">
        <f>IF(AND(_C="A-320",'2024'!$O$4="FO",'2024'!$O$2=BD423),'2024DATA'!$M$30,"")</f>
        <v/>
      </c>
      <c r="BE451" s="520" t="str">
        <f>IF(AND(_C="A-320",'2024'!$O$4="FO",'2024'!$O$2=BE423),'2024DATA'!$N$30,"")</f>
        <v/>
      </c>
      <c r="BF451" s="940"/>
      <c r="BG451" s="13" t="s">
        <v>62</v>
      </c>
      <c r="BH451" s="518" t="str">
        <f>IF(AND(_D="A-320",'2024'!$O$4="FO",'2024'!$O$2=BH423),'2024DATA'!$C$30,"")</f>
        <v/>
      </c>
      <c r="BI451" s="518" t="str">
        <f>IF(AND(_D="A-320",'2024'!$O$4="FO",'2024'!$O$2=BI423),'2024DATA'!$D$30,"")</f>
        <v/>
      </c>
      <c r="BJ451" s="518" t="str">
        <f>IF(AND(_D="A-320",'2024'!$O$4="FO",'2024'!$O$2=BJ423),'2024DATA'!$E$30,"")</f>
        <v/>
      </c>
      <c r="BK451" s="518" t="str">
        <f>IF(AND(_D="A-320",'2024'!$O$4="FO",'2024'!$O$2=BK423),'2024DATA'!$F$30,"")</f>
        <v/>
      </c>
      <c r="BL451" s="518" t="str">
        <f>IF(AND(_D="A-320",'2024'!$O$4="FO",'2024'!$O$2=BL423),'2024DATA'!$G$30,"")</f>
        <v/>
      </c>
      <c r="BM451" s="518" t="str">
        <f>IF(AND(_D="A-320",'2024'!$O$4="FO",'2024'!$O$2=BM423),'2024DATA'!$H$30,"")</f>
        <v/>
      </c>
      <c r="BN451" s="518" t="str">
        <f>IF(AND(_D="A-320",'2024'!$O$4="FO",'2024'!$O$2=BN423),'2024DATA'!$I$30,"")</f>
        <v/>
      </c>
      <c r="BO451" s="518" t="str">
        <f>IF(AND(_D="A-320",'2024'!$O$4="FO",'2024'!$O$2=BO423),'2024DATA'!$J$30,"")</f>
        <v/>
      </c>
      <c r="BP451" s="518" t="str">
        <f>IF(AND(_D="A-320",'2024'!$O$4="FO",'2024'!$O$2=BP423),'2024DATA'!$K$30,"")</f>
        <v/>
      </c>
      <c r="BQ451" s="518" t="str">
        <f>IF(AND(_D="A-320",'2024'!$O$4="FO",'2024'!$O$2=BQ423),'2024DATA'!$L$30,"")</f>
        <v/>
      </c>
      <c r="BR451" s="518" t="str">
        <f>IF(AND(_D="A-320",'2024'!$O$4="FO",'2024'!$O$2=BR423),'2024DATA'!$M$30,"")</f>
        <v/>
      </c>
      <c r="BS451" s="520" t="str">
        <f>IF(AND(_D="A-320",'2024'!$O$4="FO",'2024'!$O$2=BS423),'2024DATA'!$N$30,"")</f>
        <v/>
      </c>
      <c r="BT451" s="940"/>
      <c r="BU451" s="13" t="s">
        <v>62</v>
      </c>
      <c r="BV451" s="518" t="str">
        <f>IF(AND(_E="A-320",'2024'!$O$4="FO",'2024'!$O$2=BV423),'2024DATA'!$C$30,"")</f>
        <v/>
      </c>
      <c r="BW451" s="518" t="str">
        <f>IF(AND(_E="A-320",'2024'!$O$4="FO",'2024'!$O$2=BW423),'2024DATA'!$D$30,"")</f>
        <v/>
      </c>
      <c r="BX451" s="518" t="str">
        <f>IF(AND(_E="A-320",'2024'!$O$4="FO",'2024'!$O$2=BX423),'2024DATA'!$E$30,"")</f>
        <v/>
      </c>
      <c r="BY451" s="518" t="str">
        <f>IF(AND(_E="A-320",'2024'!$O$4="FO",'2024'!$O$2=BY423),'2024DATA'!$F$30,"")</f>
        <v/>
      </c>
      <c r="BZ451" s="518" t="str">
        <f>IF(AND(_E="A-320",'2024'!$O$4="FO",'2024'!$O$2=BZ423),'2024DATA'!$G$30,"")</f>
        <v/>
      </c>
      <c r="CA451" s="518" t="str">
        <f>IF(AND(_E="A-320",'2024'!$O$4="FO",'2024'!$O$2=CA423),'2024DATA'!$H$30,"")</f>
        <v/>
      </c>
      <c r="CB451" s="518" t="str">
        <f>IF(AND(_E="A-320",'2024'!$O$4="FO",'2024'!$O$2=CB423),'2024DATA'!$I$30,"")</f>
        <v/>
      </c>
      <c r="CC451" s="518" t="str">
        <f>IF(AND(_E="A-320",'2024'!$O$4="FO",'2024'!$O$2=CC423),'2024DATA'!$J$30,"")</f>
        <v/>
      </c>
      <c r="CD451" s="518" t="str">
        <f>IF(AND(_E="A-320",'2024'!$O$4="FO",'2024'!$O$2=CD423),'2024DATA'!$K$30,"")</f>
        <v/>
      </c>
      <c r="CE451" s="518" t="str">
        <f>IF(AND(_E="A-320",'2024'!$O$4="FO",'2024'!$O$2=CE423),'2024DATA'!$L$30,"")</f>
        <v/>
      </c>
      <c r="CF451" s="518" t="str">
        <f>IF(AND(_E="A-320",'2024'!$O$4="FO",'2024'!$O$2=CF423),'2024DATA'!$M$30,"")</f>
        <v/>
      </c>
      <c r="CG451" s="520" t="str">
        <f>IF(AND(_E="A-320",'2024'!$O$4="FO",'2024'!$O$2=CG423),'2024DATA'!$N$30,"")</f>
        <v/>
      </c>
      <c r="CH451" s="940"/>
      <c r="CI451" s="13" t="s">
        <v>62</v>
      </c>
      <c r="CJ451" s="518" t="str">
        <f>IF(AND(_F="A-320",'2024'!$O$4="FO",'2024'!$O$2=CJ423),'2024DATA'!$C$30,"")</f>
        <v/>
      </c>
      <c r="CK451" s="518" t="str">
        <f>IF(AND(_F="A-320",'2024'!$O$4="FO",'2024'!$O$2=CK423),'2024DATA'!$D$30,"")</f>
        <v/>
      </c>
      <c r="CL451" s="518" t="str">
        <f>IF(AND(_F="A-320",'2024'!$O$4="FO",'2024'!$O$2=CL423),'2024DATA'!$E$30,"")</f>
        <v/>
      </c>
      <c r="CM451" s="518" t="str">
        <f>IF(AND(_F="A-320",'2024'!$O$4="FO",'2024'!$O$2=CM423),'2024DATA'!$F$30,"")</f>
        <v/>
      </c>
      <c r="CN451" s="518" t="str">
        <f>IF(AND(_F="A-320",'2024'!$O$4="FO",'2024'!$O$2=CN423),'2024DATA'!$G$30,"")</f>
        <v/>
      </c>
      <c r="CO451" s="518" t="str">
        <f>IF(AND(_F="A-320",'2024'!$O$4="FO",'2024'!$O$2=CO423),'2024DATA'!$H$30,"")</f>
        <v/>
      </c>
      <c r="CP451" s="518" t="str">
        <f>IF(AND(_F="A-320",'2024'!$O$4="FO",'2024'!$O$2=CP423),'2024DATA'!$I$30,"")</f>
        <v/>
      </c>
      <c r="CQ451" s="518" t="str">
        <f>IF(AND(_F="A-320",'2024'!$O$4="FO",'2024'!$O$2=CQ423),'2024DATA'!$J$30,"")</f>
        <v/>
      </c>
      <c r="CR451" s="518" t="str">
        <f>IF(AND(_F="A-320",'2024'!$O$4="FO",'2024'!$O$2=CR423),'2024DATA'!$K$30,"")</f>
        <v/>
      </c>
      <c r="CS451" s="518" t="str">
        <f>IF(AND(_F="A-320",'2024'!$O$4="FO",'2024'!$O$2=CS423),'2024DATA'!$L$30,"")</f>
        <v/>
      </c>
      <c r="CT451" s="518" t="str">
        <f>IF(AND(_F="A-320",'2024'!$O$4="FO",'2024'!$O$2=CT423),'2024DATA'!$M$30,"")</f>
        <v/>
      </c>
      <c r="CU451" s="520" t="str">
        <f>IF(AND(_F="A-320",'2024'!$O$4="FO",'2024'!$O$2=CU423),'2024DATA'!$N$30,"")</f>
        <v/>
      </c>
    </row>
    <row r="452" spans="16:99" x14ac:dyDescent="0.25">
      <c r="P452" s="940" t="s">
        <v>71</v>
      </c>
      <c r="Q452" s="13" t="s">
        <v>61</v>
      </c>
      <c r="R452" s="518" t="str">
        <f>IF(AND(_A="A-319",'2024'!$O$4="CA",'2024'!$O$2=R423),'2024DATA'!$C$31,"")</f>
        <v/>
      </c>
      <c r="S452" s="518" t="str">
        <f>IF(AND(_A="A-319",'2024'!$O$4="CA",'2024'!$O$2=S423),'2024DATA'!$D$31,"")</f>
        <v/>
      </c>
      <c r="T452" s="518" t="str">
        <f>IF(AND(_A="A-319",'2024'!$O$4="CA",'2024'!$O$2=T423),'2024DATA'!$E$31,"")</f>
        <v/>
      </c>
      <c r="U452" s="518" t="str">
        <f>IF(AND(_A="A-319",'2024'!$O$4="CA",'2024'!$O$2=U423),'2024DATA'!$F$31,"")</f>
        <v/>
      </c>
      <c r="V452" s="518" t="str">
        <f>IF(AND(_A="A-319",'2024'!$O$4="CA",'2024'!$O$2=V423),'2024DATA'!$G$31,"")</f>
        <v/>
      </c>
      <c r="W452" s="518" t="str">
        <f>IF(AND(_A="A-319",'2024'!$O$4="CA",'2024'!$O$2=W423),'2024DATA'!$H$31,"")</f>
        <v/>
      </c>
      <c r="X452" s="518" t="str">
        <f>IF(AND(_A="A-319",'2024'!$O$4="CA",'2024'!$O$2=X423),'2024DATA'!$I$31,"")</f>
        <v/>
      </c>
      <c r="Y452" s="518" t="str">
        <f>IF(AND(_A="A-319",'2024'!$O$4="CA",'2024'!$O$2=Y423),'2024DATA'!$J$31,"")</f>
        <v/>
      </c>
      <c r="Z452" s="518" t="str">
        <f>IF(AND(_A="A-319",'2024'!$O$4="CA",'2024'!$O$2=Z423),'2024DATA'!$K$31,"")</f>
        <v/>
      </c>
      <c r="AA452" s="518" t="str">
        <f>IF(AND(_A="A-319",'2024'!$O$4="CA",'2024'!$O$2=AA423),'2024DATA'!$L$31,"")</f>
        <v/>
      </c>
      <c r="AB452" s="518" t="str">
        <f>IF(AND(_A="A-319",'2024'!$O$4="CA",'2024'!$O$2=AB423),'2024DATA'!$M$31,"")</f>
        <v/>
      </c>
      <c r="AC452" s="520" t="str">
        <f>IF(AND(_A="A-319",'2024'!$O$4="CA",'2024'!$O$2=AC423),'2024DATA'!$N$31,"")</f>
        <v/>
      </c>
      <c r="AD452" s="940" t="s">
        <v>71</v>
      </c>
      <c r="AE452" s="13" t="s">
        <v>61</v>
      </c>
      <c r="AF452" s="518" t="str">
        <f>IF(AND(_B="A-319",'2024'!$O$4="CA",'2024'!$O$2=AF423),'2024DATA'!$C$31,"")</f>
        <v/>
      </c>
      <c r="AG452" s="518" t="str">
        <f>IF(AND(_B="A-319",'2024'!$O$4="CA",'2024'!$O$2=AG423),'2024DATA'!$D$31,"")</f>
        <v/>
      </c>
      <c r="AH452" s="518" t="str">
        <f>IF(AND(_B="A-319",'2024'!$O$4="CA",'2024'!$O$2=AH423),'2024DATA'!$E$31,"")</f>
        <v/>
      </c>
      <c r="AI452" s="518" t="str">
        <f>IF(AND(_B="A-319",'2024'!$O$4="CA",'2024'!$O$2=AI423),'2024DATA'!$F$31,"")</f>
        <v/>
      </c>
      <c r="AJ452" s="518" t="str">
        <f>IF(AND(_B="A-319",'2024'!$O$4="CA",'2024'!$O$2=AJ423),'2024DATA'!$G$31,"")</f>
        <v/>
      </c>
      <c r="AK452" s="518" t="str">
        <f>IF(AND(_B="A-319",'2024'!$O$4="CA",'2024'!$O$2=AK423),'2024DATA'!$H$31,"")</f>
        <v/>
      </c>
      <c r="AL452" s="518" t="str">
        <f>IF(AND(_B="A-319",'2024'!$O$4="CA",'2024'!$O$2=AL423),'2024DATA'!$I$31,"")</f>
        <v/>
      </c>
      <c r="AM452" s="518" t="str">
        <f>IF(AND(_B="A-319",'2024'!$O$4="CA",'2024'!$O$2=AM423),'2024DATA'!$J$31,"")</f>
        <v/>
      </c>
      <c r="AN452" s="518" t="str">
        <f>IF(AND(_B="A-319",'2024'!$O$4="CA",'2024'!$O$2=AN423),'2024DATA'!$K$31,"")</f>
        <v/>
      </c>
      <c r="AO452" s="518" t="str">
        <f>IF(AND(_B="A-319",'2024'!$O$4="CA",'2024'!$O$2=AO423),'2024DATA'!$L$31,"")</f>
        <v/>
      </c>
      <c r="AP452" s="518" t="str">
        <f>IF(AND(_B="A-319",'2024'!$O$4="CA",'2024'!$O$2=AP423),'2024DATA'!$M$31,"")</f>
        <v/>
      </c>
      <c r="AQ452" s="520" t="str">
        <f>IF(AND(_B="A-319",'2024'!$O$4="CA",'2024'!$O$2=AQ423),'2024DATA'!$N$31,"")</f>
        <v/>
      </c>
      <c r="AR452" s="940" t="s">
        <v>71</v>
      </c>
      <c r="AS452" s="13" t="s">
        <v>61</v>
      </c>
      <c r="AT452" s="518" t="str">
        <f>IF(AND(_C="A-319",'2024'!$O$4="CA",'2024'!$O$2=AT423),'2024DATA'!$C$31,"")</f>
        <v/>
      </c>
      <c r="AU452" s="518" t="str">
        <f>IF(AND(_C="A-319",'2024'!$O$4="CA",'2024'!$O$2=AU423),'2024DATA'!$D$31,"")</f>
        <v/>
      </c>
      <c r="AV452" s="518" t="str">
        <f>IF(AND(_C="A-319",'2024'!$O$4="CA",'2024'!$O$2=AV423),'2024DATA'!$E$31,"")</f>
        <v/>
      </c>
      <c r="AW452" s="518" t="str">
        <f>IF(AND(_C="A-319",'2024'!$O$4="CA",'2024'!$O$2=AW423),'2024DATA'!$F$31,"")</f>
        <v/>
      </c>
      <c r="AX452" s="518" t="str">
        <f>IF(AND(_C="A-319",'2024'!$O$4="CA",'2024'!$O$2=AX423),'2024DATA'!$G$31,"")</f>
        <v/>
      </c>
      <c r="AY452" s="518" t="str">
        <f>IF(AND(_C="A-319",'2024'!$O$4="CA",'2024'!$O$2=AY423),'2024DATA'!$H$31,"")</f>
        <v/>
      </c>
      <c r="AZ452" s="518" t="str">
        <f>IF(AND(_C="A-319",'2024'!$O$4="CA",'2024'!$O$2=AZ423),'2024DATA'!$I$31,"")</f>
        <v/>
      </c>
      <c r="BA452" s="518" t="str">
        <f>IF(AND(_C="A-319",'2024'!$O$4="CA",'2024'!$O$2=BA423),'2024DATA'!$J$31,"")</f>
        <v/>
      </c>
      <c r="BB452" s="518" t="str">
        <f>IF(AND(_C="A-319",'2024'!$O$4="CA",'2024'!$O$2=BB423),'2024DATA'!$K$31,"")</f>
        <v/>
      </c>
      <c r="BC452" s="518" t="str">
        <f>IF(AND(_C="A-319",'2024'!$O$4="CA",'2024'!$O$2=BC423),'2024DATA'!$L$31,"")</f>
        <v/>
      </c>
      <c r="BD452" s="518" t="str">
        <f>IF(AND(_C="A-319",'2024'!$O$4="CA",'2024'!$O$2=BD423),'2024DATA'!$M$31,"")</f>
        <v/>
      </c>
      <c r="BE452" s="520" t="str">
        <f>IF(AND(_C="A-319",'2024'!$O$4="CA",'2024'!$O$2=BE423),'2024DATA'!$N$31,"")</f>
        <v/>
      </c>
      <c r="BF452" s="940" t="s">
        <v>71</v>
      </c>
      <c r="BG452" s="13" t="s">
        <v>61</v>
      </c>
      <c r="BH452" s="518" t="str">
        <f>IF(AND(_D="A-319",'2024'!$O$4="CA",'2024'!$O$2=BH423),'2024DATA'!$C$31,"")</f>
        <v/>
      </c>
      <c r="BI452" s="518" t="str">
        <f>IF(AND(_D="A-319",'2024'!$O$4="CA",'2024'!$O$2=BI423),'2024DATA'!$D$31,"")</f>
        <v/>
      </c>
      <c r="BJ452" s="518" t="str">
        <f>IF(AND(_D="A-319",'2024'!$O$4="CA",'2024'!$O$2=BJ423),'2024DATA'!$E$31,"")</f>
        <v/>
      </c>
      <c r="BK452" s="518" t="str">
        <f>IF(AND(_D="A-319",'2024'!$O$4="CA",'2024'!$O$2=BK423),'2024DATA'!$F$31,"")</f>
        <v/>
      </c>
      <c r="BL452" s="518" t="str">
        <f>IF(AND(_D="A-319",'2024'!$O$4="CA",'2024'!$O$2=BL423),'2024DATA'!$G$31,"")</f>
        <v/>
      </c>
      <c r="BM452" s="518" t="str">
        <f>IF(AND(_D="A-319",'2024'!$O$4="CA",'2024'!$O$2=BM423),'2024DATA'!$H$31,"")</f>
        <v/>
      </c>
      <c r="BN452" s="518" t="str">
        <f>IF(AND(_D="A-319",'2024'!$O$4="CA",'2024'!$O$2=BN423),'2024DATA'!$I$31,"")</f>
        <v/>
      </c>
      <c r="BO452" s="518" t="str">
        <f>IF(AND(_D="A-319",'2024'!$O$4="CA",'2024'!$O$2=BO423),'2024DATA'!$J$31,"")</f>
        <v/>
      </c>
      <c r="BP452" s="518" t="str">
        <f>IF(AND(_D="A-319",'2024'!$O$4="CA",'2024'!$O$2=BP423),'2024DATA'!$K$31,"")</f>
        <v/>
      </c>
      <c r="BQ452" s="518" t="str">
        <f>IF(AND(_D="A-319",'2024'!$O$4="CA",'2024'!$O$2=BQ423),'2024DATA'!$L$31,"")</f>
        <v/>
      </c>
      <c r="BR452" s="518" t="str">
        <f>IF(AND(_D="A-319",'2024'!$O$4="CA",'2024'!$O$2=BR423),'2024DATA'!$M$31,"")</f>
        <v/>
      </c>
      <c r="BS452" s="520" t="str">
        <f>IF(AND(_D="A-319",'2024'!$O$4="CA",'2024'!$O$2=BS423),'2024DATA'!$N$31,"")</f>
        <v/>
      </c>
      <c r="BT452" s="940" t="s">
        <v>71</v>
      </c>
      <c r="BU452" s="13" t="s">
        <v>61</v>
      </c>
      <c r="BV452" s="518" t="str">
        <f>IF(AND(_E="A-319",'2024'!$O$4="CA",'2024'!$O$2=BV423),'2024DATA'!$C$31,"")</f>
        <v/>
      </c>
      <c r="BW452" s="518" t="str">
        <f>IF(AND(_E="A-319",'2024'!$O$4="CA",'2024'!$O$2=BW423),'2024DATA'!$D$31,"")</f>
        <v/>
      </c>
      <c r="BX452" s="518" t="str">
        <f>IF(AND(_E="A-319",'2024'!$O$4="CA",'2024'!$O$2=BX423),'2024DATA'!$E$31,"")</f>
        <v/>
      </c>
      <c r="BY452" s="518" t="str">
        <f>IF(AND(_E="A-319",'2024'!$O$4="CA",'2024'!$O$2=BY423),'2024DATA'!$F$31,"")</f>
        <v/>
      </c>
      <c r="BZ452" s="518" t="str">
        <f>IF(AND(_E="A-319",'2024'!$O$4="CA",'2024'!$O$2=BZ423),'2024DATA'!$G$31,"")</f>
        <v/>
      </c>
      <c r="CA452" s="518" t="str">
        <f>IF(AND(_E="A-319",'2024'!$O$4="CA",'2024'!$O$2=CA423),'2024DATA'!$H$31,"")</f>
        <v/>
      </c>
      <c r="CB452" s="518" t="str">
        <f>IF(AND(_E="A-319",'2024'!$O$4="CA",'2024'!$O$2=CB423),'2024DATA'!$I$31,"")</f>
        <v/>
      </c>
      <c r="CC452" s="518" t="str">
        <f>IF(AND(_E="A-319",'2024'!$O$4="CA",'2024'!$O$2=CC423),'2024DATA'!$J$31,"")</f>
        <v/>
      </c>
      <c r="CD452" s="518" t="str">
        <f>IF(AND(_E="A-319",'2024'!$O$4="CA",'2024'!$O$2=CD423),'2024DATA'!$K$31,"")</f>
        <v/>
      </c>
      <c r="CE452" s="518" t="str">
        <f>IF(AND(_E="A-319",'2024'!$O$4="CA",'2024'!$O$2=CE423),'2024DATA'!$L$31,"")</f>
        <v/>
      </c>
      <c r="CF452" s="518" t="str">
        <f>IF(AND(_E="A-319",'2024'!$O$4="CA",'2024'!$O$2=CF423),'2024DATA'!$M$31,"")</f>
        <v/>
      </c>
      <c r="CG452" s="520" t="str">
        <f>IF(AND(_E="A-319",'2024'!$O$4="CA",'2024'!$O$2=CG423),'2024DATA'!$N$31,"")</f>
        <v/>
      </c>
      <c r="CH452" s="940" t="s">
        <v>71</v>
      </c>
      <c r="CI452" s="13" t="s">
        <v>61</v>
      </c>
      <c r="CJ452" s="518" t="str">
        <f>IF(AND(_F="A-319",'2024'!$O$4="CA",'2024'!$O$2=CJ423),'2024DATA'!$C$31,"")</f>
        <v/>
      </c>
      <c r="CK452" s="518" t="str">
        <f>IF(AND(_F="A-319",'2024'!$O$4="CA",'2024'!$O$2=CK423),'2024DATA'!$D$31,"")</f>
        <v/>
      </c>
      <c r="CL452" s="518" t="str">
        <f>IF(AND(_F="A-319",'2024'!$O$4="CA",'2024'!$O$2=CL423),'2024DATA'!$E$31,"")</f>
        <v/>
      </c>
      <c r="CM452" s="518" t="str">
        <f>IF(AND(_F="A-319",'2024'!$O$4="CA",'2024'!$O$2=CM423),'2024DATA'!$F$31,"")</f>
        <v/>
      </c>
      <c r="CN452" s="518" t="str">
        <f>IF(AND(_F="A-319",'2024'!$O$4="CA",'2024'!$O$2=CN423),'2024DATA'!$G$31,"")</f>
        <v/>
      </c>
      <c r="CO452" s="518" t="str">
        <f>IF(AND(_F="A-319",'2024'!$O$4="CA",'2024'!$O$2=CO423),'2024DATA'!$H$31,"")</f>
        <v/>
      </c>
      <c r="CP452" s="518" t="str">
        <f>IF(AND(_F="A-319",'2024'!$O$4="CA",'2024'!$O$2=CP423),'2024DATA'!$I$31,"")</f>
        <v/>
      </c>
      <c r="CQ452" s="518" t="str">
        <f>IF(AND(_F="A-319",'2024'!$O$4="CA",'2024'!$O$2=CQ423),'2024DATA'!$J$31,"")</f>
        <v/>
      </c>
      <c r="CR452" s="518" t="str">
        <f>IF(AND(_F="A-319",'2024'!$O$4="CA",'2024'!$O$2=CR423),'2024DATA'!$K$31,"")</f>
        <v/>
      </c>
      <c r="CS452" s="518" t="str">
        <f>IF(AND(_F="A-319",'2024'!$O$4="CA",'2024'!$O$2=CS423),'2024DATA'!$L$31,"")</f>
        <v/>
      </c>
      <c r="CT452" s="518" t="str">
        <f>IF(AND(_F="A-319",'2024'!$O$4="CA",'2024'!$O$2=CT423),'2024DATA'!$M$31,"")</f>
        <v/>
      </c>
      <c r="CU452" s="520" t="str">
        <f>IF(AND(_F="A-319",'2024'!$O$4="CA",'2024'!$O$2=CU423),'2024DATA'!$N$31,"")</f>
        <v/>
      </c>
    </row>
    <row r="453" spans="16:99" x14ac:dyDescent="0.25">
      <c r="P453" s="940"/>
      <c r="Q453" s="13" t="s">
        <v>62</v>
      </c>
      <c r="R453" s="518" t="str">
        <f>IF(AND(_A="A-319",'2024'!$O$4="FO",'2024'!$O$2=R423),'2024DATA'!$C$32,"")</f>
        <v/>
      </c>
      <c r="S453" s="518" t="str">
        <f>IF(AND(_A="A-319",'2024'!$O$4="FO",'2024'!$O$2=S423),'2024DATA'!$D$32,"")</f>
        <v/>
      </c>
      <c r="T453" s="518" t="str">
        <f>IF(AND(_A="A-319",'2024'!$O$4="FO",'2024'!$O$2=T423),'2024DATA'!$E$32,"")</f>
        <v/>
      </c>
      <c r="U453" s="518" t="str">
        <f>IF(AND(_A="A-319",'2024'!$O$4="FO",'2024'!$O$2=U423),'2024DATA'!$F$32,"")</f>
        <v/>
      </c>
      <c r="V453" s="518" t="str">
        <f>IF(AND(_A="A-319",'2024'!$O$4="FO",'2024'!$O$2=V423),'2024DATA'!$G$32,"")</f>
        <v/>
      </c>
      <c r="W453" s="518" t="str">
        <f>IF(AND(_A="A-319",'2024'!$O$4="FO",'2024'!$O$2=W423),'2024DATA'!$H$32,"")</f>
        <v/>
      </c>
      <c r="X453" s="518" t="str">
        <f>IF(AND(_A="A-319",'2024'!$O$4="FO",'2024'!$O$2=X423),'2024DATA'!$I$32,"")</f>
        <v/>
      </c>
      <c r="Y453" s="518" t="str">
        <f>IF(AND(_A="A-319",'2024'!$O$4="FO",'2024'!$O$2=Y423),'2024DATA'!$J$32,"")</f>
        <v/>
      </c>
      <c r="Z453" s="518" t="str">
        <f>IF(AND(_A="A-319",'2024'!$O$4="FO",'2024'!$O$2=Z423),'2024DATA'!$K$32,"")</f>
        <v/>
      </c>
      <c r="AA453" s="518" t="str">
        <f>IF(AND(_A="A-319",'2024'!$O$4="FO",'2024'!$O$2=AA423),'2024DATA'!$L$32,"")</f>
        <v/>
      </c>
      <c r="AB453" s="518" t="str">
        <f>IF(AND(_A="A-319",'2024'!$O$4="FO",'2024'!$O$2=AB423),'2024DATA'!$M$32,"")</f>
        <v/>
      </c>
      <c r="AC453" s="520" t="str">
        <f>IF(AND(_A="A-319",'2024'!$O$4="FO",'2024'!$O$2=AC423),'2024DATA'!$N$32,"")</f>
        <v/>
      </c>
      <c r="AD453" s="940"/>
      <c r="AE453" s="13" t="s">
        <v>62</v>
      </c>
      <c r="AF453" s="518" t="str">
        <f>IF(AND(_B="A-319",'2024'!$O$4="FO",'2024'!$O$2=AF423),'2024DATA'!$C$32,"")</f>
        <v/>
      </c>
      <c r="AG453" s="518" t="str">
        <f>IF(AND(_B="A-319",'2024'!$O$4="FO",'2024'!$O$2=AG423),'2024DATA'!$D$32,"")</f>
        <v/>
      </c>
      <c r="AH453" s="518" t="str">
        <f>IF(AND(_B="A-319",'2024'!$O$4="FO",'2024'!$O$2=AH423),'2024DATA'!$E$32,"")</f>
        <v/>
      </c>
      <c r="AI453" s="518" t="str">
        <f>IF(AND(_B="A-319",'2024'!$O$4="FO",'2024'!$O$2=AI423),'2024DATA'!$F$32,"")</f>
        <v/>
      </c>
      <c r="AJ453" s="518" t="str">
        <f>IF(AND(_B="A-319",'2024'!$O$4="FO",'2024'!$O$2=AJ423),'2024DATA'!$G$32,"")</f>
        <v/>
      </c>
      <c r="AK453" s="518" t="str">
        <f>IF(AND(_B="A-319",'2024'!$O$4="FO",'2024'!$O$2=AK423),'2024DATA'!$H$32,"")</f>
        <v/>
      </c>
      <c r="AL453" s="518" t="str">
        <f>IF(AND(_B="A-319",'2024'!$O$4="FO",'2024'!$O$2=AL423),'2024DATA'!$I$32,"")</f>
        <v/>
      </c>
      <c r="AM453" s="518" t="str">
        <f>IF(AND(_B="A-319",'2024'!$O$4="FO",'2024'!$O$2=AM423),'2024DATA'!$J$32,"")</f>
        <v/>
      </c>
      <c r="AN453" s="518" t="str">
        <f>IF(AND(_B="A-319",'2024'!$O$4="FO",'2024'!$O$2=AN423),'2024DATA'!$K$32,"")</f>
        <v/>
      </c>
      <c r="AO453" s="518" t="str">
        <f>IF(AND(_B="A-319",'2024'!$O$4="FO",'2024'!$O$2=AO423),'2024DATA'!$L$32,"")</f>
        <v/>
      </c>
      <c r="AP453" s="518" t="str">
        <f>IF(AND(_B="A-319",'2024'!$O$4="FO",'2024'!$O$2=AP423),'2024DATA'!$M$32,"")</f>
        <v/>
      </c>
      <c r="AQ453" s="520" t="str">
        <f>IF(AND(_B="A-319",'2024'!$O$4="FO",'2024'!$O$2=AQ423),'2024DATA'!$N$32,"")</f>
        <v/>
      </c>
      <c r="AR453" s="940"/>
      <c r="AS453" s="13" t="s">
        <v>62</v>
      </c>
      <c r="AT453" s="518" t="str">
        <f>IF(AND(_C="A-319",'2024'!$O$4="FO",'2024'!$O$2=AT423),'2024DATA'!$C$32,"")</f>
        <v/>
      </c>
      <c r="AU453" s="518" t="str">
        <f>IF(AND(_C="A-319",'2024'!$O$4="FO",'2024'!$O$2=AU423),'2024DATA'!$D$32,"")</f>
        <v/>
      </c>
      <c r="AV453" s="518" t="str">
        <f>IF(AND(_C="A-319",'2024'!$O$4="FO",'2024'!$O$2=AV423),'2024DATA'!$E$32,"")</f>
        <v/>
      </c>
      <c r="AW453" s="518" t="str">
        <f>IF(AND(_C="A-319",'2024'!$O$4="FO",'2024'!$O$2=AW423),'2024DATA'!$F$32,"")</f>
        <v/>
      </c>
      <c r="AX453" s="518" t="str">
        <f>IF(AND(_C="A-319",'2024'!$O$4="FO",'2024'!$O$2=AX423),'2024DATA'!$G$32,"")</f>
        <v/>
      </c>
      <c r="AY453" s="518" t="str">
        <f>IF(AND(_C="A-319",'2024'!$O$4="FO",'2024'!$O$2=AY423),'2024DATA'!$H$32,"")</f>
        <v/>
      </c>
      <c r="AZ453" s="518" t="str">
        <f>IF(AND(_C="A-319",'2024'!$O$4="FO",'2024'!$O$2=AZ423),'2024DATA'!$I$32,"")</f>
        <v/>
      </c>
      <c r="BA453" s="518" t="str">
        <f>IF(AND(_C="A-319",'2024'!$O$4="FO",'2024'!$O$2=BA423),'2024DATA'!$J$32,"")</f>
        <v/>
      </c>
      <c r="BB453" s="518" t="str">
        <f>IF(AND(_C="A-319",'2024'!$O$4="FO",'2024'!$O$2=BB423),'2024DATA'!$K$32,"")</f>
        <v/>
      </c>
      <c r="BC453" s="518" t="str">
        <f>IF(AND(_C="A-319",'2024'!$O$4="FO",'2024'!$O$2=BC423),'2024DATA'!$L$32,"")</f>
        <v/>
      </c>
      <c r="BD453" s="518" t="str">
        <f>IF(AND(_C="A-319",'2024'!$O$4="FO",'2024'!$O$2=BD423),'2024DATA'!$M$32,"")</f>
        <v/>
      </c>
      <c r="BE453" s="520" t="str">
        <f>IF(AND(_C="A-319",'2024'!$O$4="FO",'2024'!$O$2=BE423),'2024DATA'!$N$32,"")</f>
        <v/>
      </c>
      <c r="BF453" s="940"/>
      <c r="BG453" s="13" t="s">
        <v>62</v>
      </c>
      <c r="BH453" s="518" t="str">
        <f>IF(AND(_D="A-319",'2024'!$O$4="FO",'2024'!$O$2=BH423),'2024DATA'!$C$32,"")</f>
        <v/>
      </c>
      <c r="BI453" s="518" t="str">
        <f>IF(AND(_D="A-319",'2024'!$O$4="FO",'2024'!$O$2=BI423),'2024DATA'!$D$32,"")</f>
        <v/>
      </c>
      <c r="BJ453" s="518" t="str">
        <f>IF(AND(_D="A-319",'2024'!$O$4="FO",'2024'!$O$2=BJ423),'2024DATA'!$E$32,"")</f>
        <v/>
      </c>
      <c r="BK453" s="518" t="str">
        <f>IF(AND(_D="A-319",'2024'!$O$4="FO",'2024'!$O$2=BK423),'2024DATA'!$F$32,"")</f>
        <v/>
      </c>
      <c r="BL453" s="518" t="str">
        <f>IF(AND(_D="A-319",'2024'!$O$4="FO",'2024'!$O$2=BL423),'2024DATA'!$G$32,"")</f>
        <v/>
      </c>
      <c r="BM453" s="518" t="str">
        <f>IF(AND(_D="A-319",'2024'!$O$4="FO",'2024'!$O$2=BM423),'2024DATA'!$H$32,"")</f>
        <v/>
      </c>
      <c r="BN453" s="518" t="str">
        <f>IF(AND(_D="A-319",'2024'!$O$4="FO",'2024'!$O$2=BN423),'2024DATA'!$I$32,"")</f>
        <v/>
      </c>
      <c r="BO453" s="518" t="str">
        <f>IF(AND(_D="A-319",'2024'!$O$4="FO",'2024'!$O$2=BO423),'2024DATA'!$J$32,"")</f>
        <v/>
      </c>
      <c r="BP453" s="518" t="str">
        <f>IF(AND(_D="A-319",'2024'!$O$4="FO",'2024'!$O$2=BP423),'2024DATA'!$K$32,"")</f>
        <v/>
      </c>
      <c r="BQ453" s="518" t="str">
        <f>IF(AND(_D="A-319",'2024'!$O$4="FO",'2024'!$O$2=BQ423),'2024DATA'!$L$32,"")</f>
        <v/>
      </c>
      <c r="BR453" s="518" t="str">
        <f>IF(AND(_D="A-319",'2024'!$O$4="FO",'2024'!$O$2=BR423),'2024DATA'!$M$32,"")</f>
        <v/>
      </c>
      <c r="BS453" s="520" t="str">
        <f>IF(AND(_D="A-319",'2024'!$O$4="FO",'2024'!$O$2=BS423),'2024DATA'!$N$32,"")</f>
        <v/>
      </c>
      <c r="BT453" s="940"/>
      <c r="BU453" s="13" t="s">
        <v>62</v>
      </c>
      <c r="BV453" s="518" t="str">
        <f>IF(AND(_E="A-319",'2024'!$O$4="FO",'2024'!$O$2=BV423),'2024DATA'!$C$32,"")</f>
        <v/>
      </c>
      <c r="BW453" s="518" t="str">
        <f>IF(AND(_E="A-319",'2024'!$O$4="FO",'2024'!$O$2=BW423),'2024DATA'!$D$32,"")</f>
        <v/>
      </c>
      <c r="BX453" s="518" t="str">
        <f>IF(AND(_E="A-319",'2024'!$O$4="FO",'2024'!$O$2=BX423),'2024DATA'!$E$32,"")</f>
        <v/>
      </c>
      <c r="BY453" s="518" t="str">
        <f>IF(AND(_E="A-319",'2024'!$O$4="FO",'2024'!$O$2=BY423),'2024DATA'!$F$32,"")</f>
        <v/>
      </c>
      <c r="BZ453" s="518" t="str">
        <f>IF(AND(_E="A-319",'2024'!$O$4="FO",'2024'!$O$2=BZ423),'2024DATA'!$G$32,"")</f>
        <v/>
      </c>
      <c r="CA453" s="518" t="str">
        <f>IF(AND(_E="A-319",'2024'!$O$4="FO",'2024'!$O$2=CA423),'2024DATA'!$H$32,"")</f>
        <v/>
      </c>
      <c r="CB453" s="518" t="str">
        <f>IF(AND(_E="A-319",'2024'!$O$4="FO",'2024'!$O$2=CB423),'2024DATA'!$I$32,"")</f>
        <v/>
      </c>
      <c r="CC453" s="518" t="str">
        <f>IF(AND(_E="A-319",'2024'!$O$4="FO",'2024'!$O$2=CC423),'2024DATA'!$J$32,"")</f>
        <v/>
      </c>
      <c r="CD453" s="518" t="str">
        <f>IF(AND(_E="A-319",'2024'!$O$4="FO",'2024'!$O$2=CD423),'2024DATA'!$K$32,"")</f>
        <v/>
      </c>
      <c r="CE453" s="518" t="str">
        <f>IF(AND(_E="A-319",'2024'!$O$4="FO",'2024'!$O$2=CE423),'2024DATA'!$L$32,"")</f>
        <v/>
      </c>
      <c r="CF453" s="518" t="str">
        <f>IF(AND(_E="A-319",'2024'!$O$4="FO",'2024'!$O$2=CF423),'2024DATA'!$M$32,"")</f>
        <v/>
      </c>
      <c r="CG453" s="520" t="str">
        <f>IF(AND(_E="A-319",'2024'!$O$4="FO",'2024'!$O$2=CG423),'2024DATA'!$N$32,"")</f>
        <v/>
      </c>
      <c r="CH453" s="940"/>
      <c r="CI453" s="13" t="s">
        <v>62</v>
      </c>
      <c r="CJ453" s="518" t="str">
        <f>IF(AND(_F="A-319",'2024'!$O$4="FO",'2024'!$O$2=CJ423),'2024DATA'!$C$32,"")</f>
        <v/>
      </c>
      <c r="CK453" s="518" t="str">
        <f>IF(AND(_F="A-319",'2024'!$O$4="FO",'2024'!$O$2=CK423),'2024DATA'!$D$32,"")</f>
        <v/>
      </c>
      <c r="CL453" s="518" t="str">
        <f>IF(AND(_F="A-319",'2024'!$O$4="FO",'2024'!$O$2=CL423),'2024DATA'!$E$32,"")</f>
        <v/>
      </c>
      <c r="CM453" s="518" t="str">
        <f>IF(AND(_F="A-319",'2024'!$O$4="FO",'2024'!$O$2=CM423),'2024DATA'!$F$32,"")</f>
        <v/>
      </c>
      <c r="CN453" s="518" t="str">
        <f>IF(AND(_F="A-319",'2024'!$O$4="FO",'2024'!$O$2=CN423),'2024DATA'!$G$32,"")</f>
        <v/>
      </c>
      <c r="CO453" s="518" t="str">
        <f>IF(AND(_F="A-319",'2024'!$O$4="FO",'2024'!$O$2=CO423),'2024DATA'!$H$32,"")</f>
        <v/>
      </c>
      <c r="CP453" s="518" t="str">
        <f>IF(AND(_F="A-319",'2024'!$O$4="FO",'2024'!$O$2=CP423),'2024DATA'!$I$32,"")</f>
        <v/>
      </c>
      <c r="CQ453" s="518" t="str">
        <f>IF(AND(_F="A-319",'2024'!$O$4="FO",'2024'!$O$2=CQ423),'2024DATA'!$J$32,"")</f>
        <v/>
      </c>
      <c r="CR453" s="518" t="str">
        <f>IF(AND(_F="A-319",'2024'!$O$4="FO",'2024'!$O$2=CR423),'2024DATA'!$K$32,"")</f>
        <v/>
      </c>
      <c r="CS453" s="518" t="str">
        <f>IF(AND(_F="A-319",'2024'!$O$4="FO",'2024'!$O$2=CS423),'2024DATA'!$L$32,"")</f>
        <v/>
      </c>
      <c r="CT453" s="518" t="str">
        <f>IF(AND(_F="A-319",'2024'!$O$4="FO",'2024'!$O$2=CT423),'2024DATA'!$M$32,"")</f>
        <v/>
      </c>
      <c r="CU453" s="520" t="str">
        <f>IF(AND(_F="A-319",'2024'!$O$4="FO",'2024'!$O$2=CU423),'2024DATA'!$N$32,"")</f>
        <v/>
      </c>
    </row>
    <row r="454" spans="16:99" x14ac:dyDescent="0.25">
      <c r="P454" s="940" t="s">
        <v>51</v>
      </c>
      <c r="Q454" s="13" t="s">
        <v>61</v>
      </c>
      <c r="R454" s="518" t="str">
        <f>IF(AND(_A="A-220-300",'2024'!$O$4="CA",'2024'!$O$2=R423),'2024DATA'!$C$33,"")</f>
        <v/>
      </c>
      <c r="S454" s="518" t="str">
        <f>IF(AND(_A="A-220-300",'2024'!$O$4="CA",'2024'!$O$2=S423),'2024DATA'!$D$33,"")</f>
        <v/>
      </c>
      <c r="T454" s="518" t="str">
        <f>IF(AND(_A="A-220-300",'2024'!$O$4="CA",'2024'!$O$2=T423),'2024DATA'!$E$33,"")</f>
        <v/>
      </c>
      <c r="U454" s="518" t="str">
        <f>IF(AND(_A="A-220-300",'2024'!$O$4="CA",'2024'!$O$2=U423),'2024DATA'!$F$33,"")</f>
        <v/>
      </c>
      <c r="V454" s="518" t="str">
        <f>IF(AND(_A="A-220-300",'2024'!$O$4="CA",'2024'!$O$2=V423),'2024DATA'!$G$33,"")</f>
        <v/>
      </c>
      <c r="W454" s="518" t="str">
        <f>IF(AND(_A="A-220-300",'2024'!$O$4="CA",'2024'!$O$2=W423),'2024DATA'!$H$33,"")</f>
        <v/>
      </c>
      <c r="X454" s="518" t="str">
        <f>IF(AND(_A="A-220-300",'2024'!$O$4="CA",'2024'!$O$2=X423),'2024DATA'!$I$33,"")</f>
        <v/>
      </c>
      <c r="Y454" s="518" t="str">
        <f>IF(AND(_A="A-220-300",'2024'!$O$4="CA",'2024'!$O$2=Y423),'2024DATA'!$J$33,"")</f>
        <v/>
      </c>
      <c r="Z454" s="518" t="str">
        <f>IF(AND(_A="A-220-300",'2024'!$O$4="CA",'2024'!$O$2=Z423),'2024DATA'!$K$33,"")</f>
        <v/>
      </c>
      <c r="AA454" s="518" t="str">
        <f>IF(AND(_A="A-220-300",'2024'!$O$4="CA",'2024'!$O$2=AA423),'2024DATA'!$L$33,"")</f>
        <v/>
      </c>
      <c r="AB454" s="518" t="str">
        <f>IF(AND(_A="A-220-300",'2024'!$O$4="CA",'2024'!$O$2=AB423),'2024DATA'!$M$33,"")</f>
        <v/>
      </c>
      <c r="AC454" s="520" t="str">
        <f>IF(AND(_A="A-220-300",'2024'!$O$4="CA",'2024'!$O$2=AC423),'2024DATA'!$N$33,"")</f>
        <v/>
      </c>
      <c r="AD454" s="940" t="s">
        <v>51</v>
      </c>
      <c r="AE454" s="13" t="s">
        <v>61</v>
      </c>
      <c r="AF454" s="518" t="str">
        <f>IF(AND(_B="A-220-300",'2024'!$O$4="CA",'2024'!$O$2=AF423),'2024DATA'!$C$33,"")</f>
        <v/>
      </c>
      <c r="AG454" s="518" t="str">
        <f>IF(AND(_B="A-220-300",'2024'!$O$4="CA",'2024'!$O$2=AG423),'2024DATA'!$D$33,"")</f>
        <v/>
      </c>
      <c r="AH454" s="518" t="str">
        <f>IF(AND(_B="A-220-300",'2024'!$O$4="CA",'2024'!$O$2=AH423),'2024DATA'!$E$33,"")</f>
        <v/>
      </c>
      <c r="AI454" s="518" t="str">
        <f>IF(AND(_B="A-220-300",'2024'!$O$4="CA",'2024'!$O$2=AI423),'2024DATA'!$F$33,"")</f>
        <v/>
      </c>
      <c r="AJ454" s="518" t="str">
        <f>IF(AND(_B="A-220-300",'2024'!$O$4="CA",'2024'!$O$2=AJ423),'2024DATA'!$G$33,"")</f>
        <v/>
      </c>
      <c r="AK454" s="518" t="str">
        <f>IF(AND(_B="A-220-300",'2024'!$O$4="CA",'2024'!$O$2=AK423),'2024DATA'!$H$33,"")</f>
        <v/>
      </c>
      <c r="AL454" s="518" t="str">
        <f>IF(AND(_B="A-220-300",'2024'!$O$4="CA",'2024'!$O$2=AL423),'2024DATA'!$I$33,"")</f>
        <v/>
      </c>
      <c r="AM454" s="518" t="str">
        <f>IF(AND(_B="A-220-300",'2024'!$O$4="CA",'2024'!$O$2=AM423),'2024DATA'!$J$33,"")</f>
        <v/>
      </c>
      <c r="AN454" s="518" t="str">
        <f>IF(AND(_B="A-220-300",'2024'!$O$4="CA",'2024'!$O$2=AN423),'2024DATA'!$K$33,"")</f>
        <v/>
      </c>
      <c r="AO454" s="518" t="str">
        <f>IF(AND(_B="A-220-300",'2024'!$O$4="CA",'2024'!$O$2=AO423),'2024DATA'!$L$33,"")</f>
        <v/>
      </c>
      <c r="AP454" s="518" t="str">
        <f>IF(AND(_B="A-220-300",'2024'!$O$4="CA",'2024'!$O$2=AP423),'2024DATA'!$M$33,"")</f>
        <v/>
      </c>
      <c r="AQ454" s="520" t="str">
        <f>IF(AND(_B="A-220-300",'2024'!$O$4="CA",'2024'!$O$2=AQ423),'2024DATA'!$N$33,"")</f>
        <v/>
      </c>
      <c r="AR454" s="940" t="s">
        <v>51</v>
      </c>
      <c r="AS454" s="13" t="s">
        <v>61</v>
      </c>
      <c r="AT454" s="518" t="str">
        <f>IF(AND(_C="A-220-300",'2024'!$O$4="CA",'2024'!$O$2=AT423),'2024DATA'!$C$33,"")</f>
        <v/>
      </c>
      <c r="AU454" s="518" t="str">
        <f>IF(AND(_C="A-220-300",'2024'!$O$4="CA",'2024'!$O$2=AU423),'2024DATA'!$D$33,"")</f>
        <v/>
      </c>
      <c r="AV454" s="518" t="str">
        <f>IF(AND(_C="A-220-300",'2024'!$O$4="CA",'2024'!$O$2=AV423),'2024DATA'!$E$33,"")</f>
        <v/>
      </c>
      <c r="AW454" s="518" t="str">
        <f>IF(AND(_C="A-220-300",'2024'!$O$4="CA",'2024'!$O$2=AW423),'2024DATA'!$F$33,"")</f>
        <v/>
      </c>
      <c r="AX454" s="518" t="str">
        <f>IF(AND(_C="A-220-300",'2024'!$O$4="CA",'2024'!$O$2=AX423),'2024DATA'!$G$33,"")</f>
        <v/>
      </c>
      <c r="AY454" s="518" t="str">
        <f>IF(AND(_C="A-220-300",'2024'!$O$4="CA",'2024'!$O$2=AY423),'2024DATA'!$H$33,"")</f>
        <v/>
      </c>
      <c r="AZ454" s="518" t="str">
        <f>IF(AND(_C="A-220-300",'2024'!$O$4="CA",'2024'!$O$2=AZ423),'2024DATA'!$I$33,"")</f>
        <v/>
      </c>
      <c r="BA454" s="518" t="str">
        <f>IF(AND(_C="A-220-300",'2024'!$O$4="CA",'2024'!$O$2=BA423),'2024DATA'!$J$33,"")</f>
        <v/>
      </c>
      <c r="BB454" s="518" t="str">
        <f>IF(AND(_C="A-220-300",'2024'!$O$4="CA",'2024'!$O$2=BB423),'2024DATA'!$K$33,"")</f>
        <v/>
      </c>
      <c r="BC454" s="518" t="str">
        <f>IF(AND(_C="A-220-300",'2024'!$O$4="CA",'2024'!$O$2=BC423),'2024DATA'!$L$33,"")</f>
        <v/>
      </c>
      <c r="BD454" s="518" t="str">
        <f>IF(AND(_C="A-220-300",'2024'!$O$4="CA",'2024'!$O$2=BD423),'2024DATA'!$M$33,"")</f>
        <v/>
      </c>
      <c r="BE454" s="520" t="str">
        <f>IF(AND(_C="A-220-300",'2024'!$O$4="CA",'2024'!$O$2=BE423),'2024DATA'!$N$33,"")</f>
        <v/>
      </c>
      <c r="BF454" s="940" t="s">
        <v>51</v>
      </c>
      <c r="BG454" s="13" t="s">
        <v>61</v>
      </c>
      <c r="BH454" s="518" t="str">
        <f>IF(AND(_D="A-220-300",'2024'!$O$4="CA",'2024'!$O$2=BH423),'2024DATA'!$C$33,"")</f>
        <v/>
      </c>
      <c r="BI454" s="518" t="str">
        <f>IF(AND(_D="A-220-300",'2024'!$O$4="CA",'2024'!$O$2=BI423),'2024DATA'!$D$33,"")</f>
        <v/>
      </c>
      <c r="BJ454" s="518" t="str">
        <f>IF(AND(_D="A-220-300",'2024'!$O$4="CA",'2024'!$O$2=BJ423),'2024DATA'!$E$33,"")</f>
        <v/>
      </c>
      <c r="BK454" s="518" t="str">
        <f>IF(AND(_D="A-220-300",'2024'!$O$4="CA",'2024'!$O$2=BK423),'2024DATA'!$F$33,"")</f>
        <v/>
      </c>
      <c r="BL454" s="518" t="str">
        <f>IF(AND(_D="A-220-300",'2024'!$O$4="CA",'2024'!$O$2=BL423),'2024DATA'!$G$33,"")</f>
        <v/>
      </c>
      <c r="BM454" s="518" t="str">
        <f>IF(AND(_D="A-220-300",'2024'!$O$4="CA",'2024'!$O$2=BM423),'2024DATA'!$H$33,"")</f>
        <v/>
      </c>
      <c r="BN454" s="518" t="str">
        <f>IF(AND(_D="A-220-300",'2024'!$O$4="CA",'2024'!$O$2=BN423),'2024DATA'!$I$33,"")</f>
        <v/>
      </c>
      <c r="BO454" s="518" t="str">
        <f>IF(AND(_D="A-220-300",'2024'!$O$4="CA",'2024'!$O$2=BO423),'2024DATA'!$J$33,"")</f>
        <v/>
      </c>
      <c r="BP454" s="518" t="str">
        <f>IF(AND(_D="A-220-300",'2024'!$O$4="CA",'2024'!$O$2=BP423),'2024DATA'!$K$33,"")</f>
        <v/>
      </c>
      <c r="BQ454" s="518" t="str">
        <f>IF(AND(_D="A-220-300",'2024'!$O$4="CA",'2024'!$O$2=BQ423),'2024DATA'!$L$33,"")</f>
        <v/>
      </c>
      <c r="BR454" s="518" t="str">
        <f>IF(AND(_D="A-220-300",'2024'!$O$4="CA",'2024'!$O$2=BR423),'2024DATA'!$M$33,"")</f>
        <v/>
      </c>
      <c r="BS454" s="520" t="str">
        <f>IF(AND(_D="A-220-300",'2024'!$O$4="CA",'2024'!$O$2=BS423),'2024DATA'!$N$33,"")</f>
        <v/>
      </c>
      <c r="BT454" s="940" t="s">
        <v>51</v>
      </c>
      <c r="BU454" s="13" t="s">
        <v>61</v>
      </c>
      <c r="BV454" s="518" t="str">
        <f>IF(AND(_E="A-220-300",'2024'!$O$4="CA",'2024'!$O$2=BV423),'2024DATA'!$C$33,"")</f>
        <v/>
      </c>
      <c r="BW454" s="518" t="str">
        <f>IF(AND(_E="A-220-300",'2024'!$O$4="CA",'2024'!$O$2=BW423),'2024DATA'!$D$33,"")</f>
        <v/>
      </c>
      <c r="BX454" s="518" t="str">
        <f>IF(AND(_E="A-220-300",'2024'!$O$4="CA",'2024'!$O$2=BX423),'2024DATA'!$E$33,"")</f>
        <v/>
      </c>
      <c r="BY454" s="518" t="str">
        <f>IF(AND(_E="A-220-300",'2024'!$O$4="CA",'2024'!$O$2=BY423),'2024DATA'!$F$33,"")</f>
        <v/>
      </c>
      <c r="BZ454" s="518" t="str">
        <f>IF(AND(_E="A-220-300",'2024'!$O$4="CA",'2024'!$O$2=BZ423),'2024DATA'!$G$33,"")</f>
        <v/>
      </c>
      <c r="CA454" s="518" t="str">
        <f>IF(AND(_E="A-220-300",'2024'!$O$4="CA",'2024'!$O$2=CA423),'2024DATA'!$H$33,"")</f>
        <v/>
      </c>
      <c r="CB454" s="518" t="str">
        <f>IF(AND(_E="A-220-300",'2024'!$O$4="CA",'2024'!$O$2=CB423),'2024DATA'!$I$33,"")</f>
        <v/>
      </c>
      <c r="CC454" s="518" t="str">
        <f>IF(AND(_E="A-220-300",'2024'!$O$4="CA",'2024'!$O$2=CC423),'2024DATA'!$J$33,"")</f>
        <v/>
      </c>
      <c r="CD454" s="518" t="str">
        <f>IF(AND(_E="A-220-300",'2024'!$O$4="CA",'2024'!$O$2=CD423),'2024DATA'!$K$33,"")</f>
        <v/>
      </c>
      <c r="CE454" s="518" t="str">
        <f>IF(AND(_E="A-220-300",'2024'!$O$4="CA",'2024'!$O$2=CE423),'2024DATA'!$L$33,"")</f>
        <v/>
      </c>
      <c r="CF454" s="518" t="str">
        <f>IF(AND(_E="A-220-300",'2024'!$O$4="CA",'2024'!$O$2=CF423),'2024DATA'!$M$33,"")</f>
        <v/>
      </c>
      <c r="CG454" s="520" t="str">
        <f>IF(AND(_E="A-220-300",'2024'!$O$4="CA",'2024'!$O$2=CG423),'2024DATA'!$N$33,"")</f>
        <v/>
      </c>
      <c r="CH454" s="940" t="s">
        <v>51</v>
      </c>
      <c r="CI454" s="13" t="s">
        <v>61</v>
      </c>
      <c r="CJ454" s="518" t="str">
        <f>IF(AND(_F="A-220-300",'2024'!$O$4="CA",'2024'!$O$2=CJ423),'2024DATA'!$C$33,"")</f>
        <v/>
      </c>
      <c r="CK454" s="518" t="str">
        <f>IF(AND(_F="A-220-300",'2024'!$O$4="CA",'2024'!$O$2=CK423),'2024DATA'!$D$33,"")</f>
        <v/>
      </c>
      <c r="CL454" s="518" t="str">
        <f>IF(AND(_F="A-220-300",'2024'!$O$4="CA",'2024'!$O$2=CL423),'2024DATA'!$E$33,"")</f>
        <v/>
      </c>
      <c r="CM454" s="518" t="str">
        <f>IF(AND(_F="A-220-300",'2024'!$O$4="CA",'2024'!$O$2=CM423),'2024DATA'!$F$33,"")</f>
        <v/>
      </c>
      <c r="CN454" s="518" t="str">
        <f>IF(AND(_F="A-220-300",'2024'!$O$4="CA",'2024'!$O$2=CN423),'2024DATA'!$G$33,"")</f>
        <v/>
      </c>
      <c r="CO454" s="518" t="str">
        <f>IF(AND(_F="A-220-300",'2024'!$O$4="CA",'2024'!$O$2=CO423),'2024DATA'!$H$33,"")</f>
        <v/>
      </c>
      <c r="CP454" s="518" t="str">
        <f>IF(AND(_F="A-220-300",'2024'!$O$4="CA",'2024'!$O$2=CP423),'2024DATA'!$I$33,"")</f>
        <v/>
      </c>
      <c r="CQ454" s="518" t="str">
        <f>IF(AND(_F="A-220-300",'2024'!$O$4="CA",'2024'!$O$2=CQ423),'2024DATA'!$J$33,"")</f>
        <v/>
      </c>
      <c r="CR454" s="518" t="str">
        <f>IF(AND(_F="A-220-300",'2024'!$O$4="CA",'2024'!$O$2=CR423),'2024DATA'!$K$33,"")</f>
        <v/>
      </c>
      <c r="CS454" s="518" t="str">
        <f>IF(AND(_F="A-220-300",'2024'!$O$4="CA",'2024'!$O$2=CS423),'2024DATA'!$L$33,"")</f>
        <v/>
      </c>
      <c r="CT454" s="518" t="str">
        <f>IF(AND(_F="A-220-300",'2024'!$O$4="CA",'2024'!$O$2=CT423),'2024DATA'!$M$33,"")</f>
        <v/>
      </c>
      <c r="CU454" s="520" t="str">
        <f>IF(AND(_F="A-220-300",'2024'!$O$4="CA",'2024'!$O$2=CU423),'2024DATA'!$N$33,"")</f>
        <v/>
      </c>
    </row>
    <row r="455" spans="16:99" x14ac:dyDescent="0.25">
      <c r="P455" s="940"/>
      <c r="Q455" s="13" t="s">
        <v>62</v>
      </c>
      <c r="R455" s="518" t="str">
        <f>IF(AND(_A="A-220-300",'2024'!$O$4="FO",'2024'!$O$2=R423),'2024DATA'!$C$34,"")</f>
        <v/>
      </c>
      <c r="S455" s="518" t="str">
        <f>IF(AND(_A="A-220-300",'2024'!$O$4="FO",'2024'!$O$2=S423),'2024DATA'!$D$34,"")</f>
        <v/>
      </c>
      <c r="T455" s="518" t="str">
        <f>IF(AND(_A="A-220-300",'2024'!$O$4="FO",'2024'!$O$2=T423),'2024DATA'!$E$34,"")</f>
        <v/>
      </c>
      <c r="U455" s="518" t="str">
        <f>IF(AND(_A="A-220-300",'2024'!$O$4="FO",'2024'!$O$2=U423),'2024DATA'!$F$34,"")</f>
        <v/>
      </c>
      <c r="V455" s="518" t="str">
        <f>IF(AND(_A="A-220-300",'2024'!$O$4="FO",'2024'!$O$2=V423),'2024DATA'!$G$34,"")</f>
        <v/>
      </c>
      <c r="W455" s="518" t="str">
        <f>IF(AND(_A="A-220-300",'2024'!$O$4="FO",'2024'!$O$2=W423),'2024DATA'!$H$34,"")</f>
        <v/>
      </c>
      <c r="X455" s="518" t="str">
        <f>IF(AND(_A="A-220-300",'2024'!$O$4="FO",'2024'!$O$2=X423),'2024DATA'!$I$34,"")</f>
        <v/>
      </c>
      <c r="Y455" s="518" t="str">
        <f>IF(AND(_A="A-220-300",'2024'!$O$4="FO",'2024'!$O$2=Y423),'2024DATA'!$J$34,"")</f>
        <v/>
      </c>
      <c r="Z455" s="518" t="str">
        <f>IF(AND(_A="A-220-300",'2024'!$O$4="FO",'2024'!$O$2=Z423),'2024DATA'!$K$34,"")</f>
        <v/>
      </c>
      <c r="AA455" s="518" t="str">
        <f>IF(AND(_A="A-220-300",'2024'!$O$4="FO",'2024'!$O$2=AA423),'2024DATA'!$L$34,"")</f>
        <v/>
      </c>
      <c r="AB455" s="518" t="str">
        <f>IF(AND(_A="A-220-300",'2024'!$O$4="FO",'2024'!$O$2=AB423),'2024DATA'!$M$34,"")</f>
        <v/>
      </c>
      <c r="AC455" s="520" t="str">
        <f>IF(AND(_A="A-220-300",'2024'!$O$4="FO",'2024'!$O$2=AC423),'2024DATA'!$N$34,"")</f>
        <v/>
      </c>
      <c r="AD455" s="940"/>
      <c r="AE455" s="13" t="s">
        <v>62</v>
      </c>
      <c r="AF455" s="518" t="str">
        <f>IF(AND(_B="A-220-300",'2024'!$O$4="FO",'2024'!$O$2=AF423),'2024DATA'!$C$34,"")</f>
        <v/>
      </c>
      <c r="AG455" s="518" t="str">
        <f>IF(AND(_B="A-220-300",'2024'!$O$4="FO",'2024'!$O$2=AG423),'2024DATA'!$D$34,"")</f>
        <v/>
      </c>
      <c r="AH455" s="518" t="str">
        <f>IF(AND(_B="A-220-300",'2024'!$O$4="FO",'2024'!$O$2=AH423),'2024DATA'!$E$34,"")</f>
        <v/>
      </c>
      <c r="AI455" s="518" t="str">
        <f>IF(AND(_B="A-220-300",'2024'!$O$4="FO",'2024'!$O$2=AI423),'2024DATA'!$F$34,"")</f>
        <v/>
      </c>
      <c r="AJ455" s="518" t="str">
        <f>IF(AND(_B="A-220-300",'2024'!$O$4="FO",'2024'!$O$2=AJ423),'2024DATA'!$G$34,"")</f>
        <v/>
      </c>
      <c r="AK455" s="518" t="str">
        <f>IF(AND(_B="A-220-300",'2024'!$O$4="FO",'2024'!$O$2=AK423),'2024DATA'!$H$34,"")</f>
        <v/>
      </c>
      <c r="AL455" s="518" t="str">
        <f>IF(AND(_B="A-220-300",'2024'!$O$4="FO",'2024'!$O$2=AL423),'2024DATA'!$I$34,"")</f>
        <v/>
      </c>
      <c r="AM455" s="518" t="str">
        <f>IF(AND(_B="A-220-300",'2024'!$O$4="FO",'2024'!$O$2=AM423),'2024DATA'!$J$34,"")</f>
        <v/>
      </c>
      <c r="AN455" s="518" t="str">
        <f>IF(AND(_B="A-220-300",'2024'!$O$4="FO",'2024'!$O$2=AN423),'2024DATA'!$K$34,"")</f>
        <v/>
      </c>
      <c r="AO455" s="518" t="str">
        <f>IF(AND(_B="A-220-300",'2024'!$O$4="FO",'2024'!$O$2=AO423),'2024DATA'!$L$34,"")</f>
        <v/>
      </c>
      <c r="AP455" s="518" t="str">
        <f>IF(AND(_B="A-220-300",'2024'!$O$4="FO",'2024'!$O$2=AP423),'2024DATA'!$M$34,"")</f>
        <v/>
      </c>
      <c r="AQ455" s="520" t="str">
        <f>IF(AND(_B="A-220-300",'2024'!$O$4="FO",'2024'!$O$2=AQ423),'2024DATA'!$N$34,"")</f>
        <v/>
      </c>
      <c r="AR455" s="940"/>
      <c r="AS455" s="13" t="s">
        <v>62</v>
      </c>
      <c r="AT455" s="518" t="str">
        <f>IF(AND(_C="A-220-300",'2024'!$O$4="FO",'2024'!$O$2=AT423),'2024DATA'!$C$34,"")</f>
        <v/>
      </c>
      <c r="AU455" s="518" t="str">
        <f>IF(AND(_C="A-220-300",'2024'!$O$4="FO",'2024'!$O$2=AU423),'2024DATA'!$D$34,"")</f>
        <v/>
      </c>
      <c r="AV455" s="518" t="str">
        <f>IF(AND(_C="A-220-300",'2024'!$O$4="FO",'2024'!$O$2=AV423),'2024DATA'!$E$34,"")</f>
        <v/>
      </c>
      <c r="AW455" s="518" t="str">
        <f>IF(AND(_C="A-220-300",'2024'!$O$4="FO",'2024'!$O$2=AW423),'2024DATA'!$F$34,"")</f>
        <v/>
      </c>
      <c r="AX455" s="518" t="str">
        <f>IF(AND(_C="A-220-300",'2024'!$O$4="FO",'2024'!$O$2=AX423),'2024DATA'!$G$34,"")</f>
        <v/>
      </c>
      <c r="AY455" s="518" t="str">
        <f>IF(AND(_C="A-220-300",'2024'!$O$4="FO",'2024'!$O$2=AY423),'2024DATA'!$H$34,"")</f>
        <v/>
      </c>
      <c r="AZ455" s="518" t="str">
        <f>IF(AND(_C="A-220-300",'2024'!$O$4="FO",'2024'!$O$2=AZ423),'2024DATA'!$I$34,"")</f>
        <v/>
      </c>
      <c r="BA455" s="518" t="str">
        <f>IF(AND(_C="A-220-300",'2024'!$O$4="FO",'2024'!$O$2=BA423),'2024DATA'!$J$34,"")</f>
        <v/>
      </c>
      <c r="BB455" s="518" t="str">
        <f>IF(AND(_C="A-220-300",'2024'!$O$4="FO",'2024'!$O$2=BB423),'2024DATA'!$K$34,"")</f>
        <v/>
      </c>
      <c r="BC455" s="518" t="str">
        <f>IF(AND(_C="A-220-300",'2024'!$O$4="FO",'2024'!$O$2=BC423),'2024DATA'!$L$34,"")</f>
        <v/>
      </c>
      <c r="BD455" s="518" t="str">
        <f>IF(AND(_C="A-220-300",'2024'!$O$4="FO",'2024'!$O$2=BD423),'2024DATA'!$M$34,"")</f>
        <v/>
      </c>
      <c r="BE455" s="520" t="str">
        <f>IF(AND(_C="A-220-300",'2024'!$O$4="FO",'2024'!$O$2=BE423),'2024DATA'!$N$34,"")</f>
        <v/>
      </c>
      <c r="BF455" s="940"/>
      <c r="BG455" s="13" t="s">
        <v>62</v>
      </c>
      <c r="BH455" s="518" t="str">
        <f>IF(AND(_D="A-220-300",'2024'!$O$4="FO",'2024'!$O$2=BH423),'2024DATA'!$C$34,"")</f>
        <v/>
      </c>
      <c r="BI455" s="518" t="str">
        <f>IF(AND(_D="A-220-300",'2024'!$O$4="FO",'2024'!$O$2=BI423),'2024DATA'!$D$34,"")</f>
        <v/>
      </c>
      <c r="BJ455" s="518" t="str">
        <f>IF(AND(_D="A-220-300",'2024'!$O$4="FO",'2024'!$O$2=BJ423),'2024DATA'!$E$34,"")</f>
        <v/>
      </c>
      <c r="BK455" s="518" t="str">
        <f>IF(AND(_D="A-220-300",'2024'!$O$4="FO",'2024'!$O$2=BK423),'2024DATA'!$F$34,"")</f>
        <v/>
      </c>
      <c r="BL455" s="518" t="str">
        <f>IF(AND(_D="A-220-300",'2024'!$O$4="FO",'2024'!$O$2=BL423),'2024DATA'!$G$34,"")</f>
        <v/>
      </c>
      <c r="BM455" s="518" t="str">
        <f>IF(AND(_D="A-220-300",'2024'!$O$4="FO",'2024'!$O$2=BM423),'2024DATA'!$H$34,"")</f>
        <v/>
      </c>
      <c r="BN455" s="518" t="str">
        <f>IF(AND(_D="A-220-300",'2024'!$O$4="FO",'2024'!$O$2=BN423),'2024DATA'!$I$34,"")</f>
        <v/>
      </c>
      <c r="BO455" s="518" t="str">
        <f>IF(AND(_D="A-220-300",'2024'!$O$4="FO",'2024'!$O$2=BO423),'2024DATA'!$J$34,"")</f>
        <v/>
      </c>
      <c r="BP455" s="518" t="str">
        <f>IF(AND(_D="A-220-300",'2024'!$O$4="FO",'2024'!$O$2=BP423),'2024DATA'!$K$34,"")</f>
        <v/>
      </c>
      <c r="BQ455" s="518" t="str">
        <f>IF(AND(_D="A-220-300",'2024'!$O$4="FO",'2024'!$O$2=BQ423),'2024DATA'!$L$34,"")</f>
        <v/>
      </c>
      <c r="BR455" s="518" t="str">
        <f>IF(AND(_D="A-220-300",'2024'!$O$4="FO",'2024'!$O$2=BR423),'2024DATA'!$M$34,"")</f>
        <v/>
      </c>
      <c r="BS455" s="520" t="str">
        <f>IF(AND(_D="A-220-300",'2024'!$O$4="FO",'2024'!$O$2=BS423),'2024DATA'!$N$34,"")</f>
        <v/>
      </c>
      <c r="BT455" s="940"/>
      <c r="BU455" s="13" t="s">
        <v>62</v>
      </c>
      <c r="BV455" s="518" t="str">
        <f>IF(AND(_E="A-220-300",'2024'!$O$4="FO",'2024'!$O$2=BV423),'2024DATA'!$C$34,"")</f>
        <v/>
      </c>
      <c r="BW455" s="518" t="str">
        <f>IF(AND(_E="A-220-300",'2024'!$O$4="FO",'2024'!$O$2=BW423),'2024DATA'!$D$34,"")</f>
        <v/>
      </c>
      <c r="BX455" s="518" t="str">
        <f>IF(AND(_E="A-220-300",'2024'!$O$4="FO",'2024'!$O$2=BX423),'2024DATA'!$E$34,"")</f>
        <v/>
      </c>
      <c r="BY455" s="518" t="str">
        <f>IF(AND(_E="A-220-300",'2024'!$O$4="FO",'2024'!$O$2=BY423),'2024DATA'!$F$34,"")</f>
        <v/>
      </c>
      <c r="BZ455" s="518" t="str">
        <f>IF(AND(_E="A-220-300",'2024'!$O$4="FO",'2024'!$O$2=BZ423),'2024DATA'!$G$34,"")</f>
        <v/>
      </c>
      <c r="CA455" s="518" t="str">
        <f>IF(AND(_E="A-220-300",'2024'!$O$4="FO",'2024'!$O$2=CA423),'2024DATA'!$H$34,"")</f>
        <v/>
      </c>
      <c r="CB455" s="518" t="str">
        <f>IF(AND(_E="A-220-300",'2024'!$O$4="FO",'2024'!$O$2=CB423),'2024DATA'!$I$34,"")</f>
        <v/>
      </c>
      <c r="CC455" s="518" t="str">
        <f>IF(AND(_E="A-220-300",'2024'!$O$4="FO",'2024'!$O$2=CC423),'2024DATA'!$J$34,"")</f>
        <v/>
      </c>
      <c r="CD455" s="518" t="str">
        <f>IF(AND(_E="A-220-300",'2024'!$O$4="FO",'2024'!$O$2=CD423),'2024DATA'!$K$34,"")</f>
        <v/>
      </c>
      <c r="CE455" s="518" t="str">
        <f>IF(AND(_E="A-220-300",'2024'!$O$4="FO",'2024'!$O$2=CE423),'2024DATA'!$L$34,"")</f>
        <v/>
      </c>
      <c r="CF455" s="518" t="str">
        <f>IF(AND(_E="A-220-300",'2024'!$O$4="FO",'2024'!$O$2=CF423),'2024DATA'!$M$34,"")</f>
        <v/>
      </c>
      <c r="CG455" s="520" t="str">
        <f>IF(AND(_E="A-220-300",'2024'!$O$4="FO",'2024'!$O$2=CG423),'2024DATA'!$N$34,"")</f>
        <v/>
      </c>
      <c r="CH455" s="940"/>
      <c r="CI455" s="13" t="s">
        <v>62</v>
      </c>
      <c r="CJ455" s="518" t="str">
        <f>IF(AND(_F="A-220-300",'2024'!$O$4="FO",'2024'!$O$2=CJ423),'2024DATA'!$C$34,"")</f>
        <v/>
      </c>
      <c r="CK455" s="518" t="str">
        <f>IF(AND(_F="A-220-300",'2024'!$O$4="FO",'2024'!$O$2=CK423),'2024DATA'!$D$34,"")</f>
        <v/>
      </c>
      <c r="CL455" s="518" t="str">
        <f>IF(AND(_F="A-220-300",'2024'!$O$4="FO",'2024'!$O$2=CL423),'2024DATA'!$E$34,"")</f>
        <v/>
      </c>
      <c r="CM455" s="518" t="str">
        <f>IF(AND(_F="A-220-300",'2024'!$O$4="FO",'2024'!$O$2=CM423),'2024DATA'!$F$34,"")</f>
        <v/>
      </c>
      <c r="CN455" s="518" t="str">
        <f>IF(AND(_F="A-220-300",'2024'!$O$4="FO",'2024'!$O$2=CN423),'2024DATA'!$G$34,"")</f>
        <v/>
      </c>
      <c r="CO455" s="518" t="str">
        <f>IF(AND(_F="A-220-300",'2024'!$O$4="FO",'2024'!$O$2=CO423),'2024DATA'!$H$34,"")</f>
        <v/>
      </c>
      <c r="CP455" s="518" t="str">
        <f>IF(AND(_F="A-220-300",'2024'!$O$4="FO",'2024'!$O$2=CP423),'2024DATA'!$I$34,"")</f>
        <v/>
      </c>
      <c r="CQ455" s="518" t="str">
        <f>IF(AND(_F="A-220-300",'2024'!$O$4="FO",'2024'!$O$2=CQ423),'2024DATA'!$J$34,"")</f>
        <v/>
      </c>
      <c r="CR455" s="518" t="str">
        <f>IF(AND(_F="A-220-300",'2024'!$O$4="FO",'2024'!$O$2=CR423),'2024DATA'!$K$34,"")</f>
        <v/>
      </c>
      <c r="CS455" s="518" t="str">
        <f>IF(AND(_F="A-220-300",'2024'!$O$4="FO",'2024'!$O$2=CS423),'2024DATA'!$L$34,"")</f>
        <v/>
      </c>
      <c r="CT455" s="518" t="str">
        <f>IF(AND(_F="A-220-300",'2024'!$O$4="FO",'2024'!$O$2=CT423),'2024DATA'!$M$34,"")</f>
        <v/>
      </c>
      <c r="CU455" s="520" t="str">
        <f>IF(AND(_F="A-220-300",'2024'!$O$4="FO",'2024'!$O$2=CU423),'2024DATA'!$N$34,"")</f>
        <v/>
      </c>
    </row>
    <row r="456" spans="16:99" x14ac:dyDescent="0.25">
      <c r="P456" s="940" t="s">
        <v>52</v>
      </c>
      <c r="Q456" s="13" t="s">
        <v>61</v>
      </c>
      <c r="R456" s="518" t="str">
        <f>IF(AND(_A="A-220-100",'2024'!$O$4="CA",'2024'!$O$2=R423),'2024DATA'!$C$35,"")</f>
        <v/>
      </c>
      <c r="S456" s="518" t="str">
        <f>IF(AND(_A="A-220-100",'2024'!$O$4="CA",'2024'!$O$2=S423),'2024DATA'!$D$35,"")</f>
        <v/>
      </c>
      <c r="T456" s="518" t="str">
        <f>IF(AND(_A="A-220-100",'2024'!$O$4="CA",'2024'!$O$2=T423),'2024DATA'!$E$35,"")</f>
        <v/>
      </c>
      <c r="U456" s="518" t="str">
        <f>IF(AND(_A="A-220-100",'2024'!$O$4="CA",'2024'!$O$2=U423),'2024DATA'!$F$35,"")</f>
        <v/>
      </c>
      <c r="V456" s="518" t="str">
        <f>IF(AND(_A="A-220-100",'2024'!$O$4="CA",'2024'!$O$2=V423),'2024DATA'!$G$35,"")</f>
        <v/>
      </c>
      <c r="W456" s="518" t="str">
        <f>IF(AND(_A="A-220-100",'2024'!$O$4="CA",'2024'!$O$2=W423),'2024DATA'!$H$35,"")</f>
        <v/>
      </c>
      <c r="X456" s="518" t="str">
        <f>IF(AND(_A="A-220-100",'2024'!$O$4="CA",'2024'!$O$2=X423),'2024DATA'!$I$35,"")</f>
        <v/>
      </c>
      <c r="Y456" s="518" t="str">
        <f>IF(AND(_A="A-220-100",'2024'!$O$4="CA",'2024'!$O$2=Y423),'2024DATA'!$J$35,"")</f>
        <v/>
      </c>
      <c r="Z456" s="518" t="str">
        <f>IF(AND(_A="A-220-100",'2024'!$O$4="CA",'2024'!$O$2=Z423),'2024DATA'!$K$35,"")</f>
        <v/>
      </c>
      <c r="AA456" s="518" t="str">
        <f>IF(AND(_A="A-220-100",'2024'!$O$4="CA",'2024'!$O$2=AA423),'2024DATA'!$L$35,"")</f>
        <v/>
      </c>
      <c r="AB456" s="518" t="str">
        <f>IF(AND(_A="A-220-100",'2024'!$O$4="CA",'2024'!$O$2=AB423),'2024DATA'!$M$35,"")</f>
        <v/>
      </c>
      <c r="AC456" s="520" t="str">
        <f>IF(AND(_A="A-220-100",'2024'!$O$4="CA",'2024'!$O$2=AC423),'2024DATA'!$N$35,"")</f>
        <v/>
      </c>
      <c r="AD456" s="940" t="s">
        <v>52</v>
      </c>
      <c r="AE456" s="13" t="s">
        <v>61</v>
      </c>
      <c r="AF456" s="518" t="str">
        <f>IF(AND(_B="A-220-100",'2024'!$O$4="CA",'2024'!$O$2=AF423),'2024DATA'!$C$35,"")</f>
        <v/>
      </c>
      <c r="AG456" s="518" t="str">
        <f>IF(AND(_B="A-220-100",'2024'!$O$4="CA",'2024'!$O$2=AG423),'2024DATA'!$D$35,"")</f>
        <v/>
      </c>
      <c r="AH456" s="518" t="str">
        <f>IF(AND(_B="A-220-100",'2024'!$O$4="CA",'2024'!$O$2=AH423),'2024DATA'!$E$35,"")</f>
        <v/>
      </c>
      <c r="AI456" s="518" t="str">
        <f>IF(AND(_B="A-220-100",'2024'!$O$4="CA",'2024'!$O$2=AI423),'2024DATA'!$F$35,"")</f>
        <v/>
      </c>
      <c r="AJ456" s="518" t="str">
        <f>IF(AND(_B="A-220-100",'2024'!$O$4="CA",'2024'!$O$2=AJ423),'2024DATA'!$G$35,"")</f>
        <v/>
      </c>
      <c r="AK456" s="518" t="str">
        <f>IF(AND(_B="A-220-100",'2024'!$O$4="CA",'2024'!$O$2=AK423),'2024DATA'!$H$35,"")</f>
        <v/>
      </c>
      <c r="AL456" s="518" t="str">
        <f>IF(AND(_B="A-220-100",'2024'!$O$4="CA",'2024'!$O$2=AL423),'2024DATA'!$I$35,"")</f>
        <v/>
      </c>
      <c r="AM456" s="518" t="str">
        <f>IF(AND(_B="A-220-100",'2024'!$O$4="CA",'2024'!$O$2=AM423),'2024DATA'!$J$35,"")</f>
        <v/>
      </c>
      <c r="AN456" s="518" t="str">
        <f>IF(AND(_B="A-220-100",'2024'!$O$4="CA",'2024'!$O$2=AN423),'2024DATA'!$K$35,"")</f>
        <v/>
      </c>
      <c r="AO456" s="518" t="str">
        <f>IF(AND(_B="A-220-100",'2024'!$O$4="CA",'2024'!$O$2=AO423),'2024DATA'!$L$35,"")</f>
        <v/>
      </c>
      <c r="AP456" s="518" t="str">
        <f>IF(AND(_B="A-220-100",'2024'!$O$4="CA",'2024'!$O$2=AP423),'2024DATA'!$M$35,"")</f>
        <v/>
      </c>
      <c r="AQ456" s="520" t="str">
        <f>IF(AND(_B="A-220-100",'2024'!$O$4="CA",'2024'!$O$2=AQ423),'2024DATA'!$N$35,"")</f>
        <v/>
      </c>
      <c r="AR456" s="940" t="s">
        <v>52</v>
      </c>
      <c r="AS456" s="13" t="s">
        <v>61</v>
      </c>
      <c r="AT456" s="518" t="str">
        <f>IF(AND(_C="A-220-100",'2024'!$O$4="CA",'2024'!$O$2=AT423),'2024DATA'!$C$35,"")</f>
        <v/>
      </c>
      <c r="AU456" s="518" t="str">
        <f>IF(AND(_C="A-220-100",'2024'!$O$4="CA",'2024'!$O$2=AU423),'2024DATA'!$D$35,"")</f>
        <v/>
      </c>
      <c r="AV456" s="518" t="str">
        <f>IF(AND(_C="A-220-100",'2024'!$O$4="CA",'2024'!$O$2=AV423),'2024DATA'!$E$35,"")</f>
        <v/>
      </c>
      <c r="AW456" s="518" t="str">
        <f>IF(AND(_C="A-220-100",'2024'!$O$4="CA",'2024'!$O$2=AW423),'2024DATA'!$F$35,"")</f>
        <v/>
      </c>
      <c r="AX456" s="518" t="str">
        <f>IF(AND(_C="A-220-100",'2024'!$O$4="CA",'2024'!$O$2=AX423),'2024DATA'!$G$35,"")</f>
        <v/>
      </c>
      <c r="AY456" s="518" t="str">
        <f>IF(AND(_C="A-220-100",'2024'!$O$4="CA",'2024'!$O$2=AY423),'2024DATA'!$H$35,"")</f>
        <v/>
      </c>
      <c r="AZ456" s="518" t="str">
        <f>IF(AND(_C="A-220-100",'2024'!$O$4="CA",'2024'!$O$2=AZ423),'2024DATA'!$I$35,"")</f>
        <v/>
      </c>
      <c r="BA456" s="518" t="str">
        <f>IF(AND(_C="A-220-100",'2024'!$O$4="CA",'2024'!$O$2=BA423),'2024DATA'!$J$35,"")</f>
        <v/>
      </c>
      <c r="BB456" s="518" t="str">
        <f>IF(AND(_C="A-220-100",'2024'!$O$4="CA",'2024'!$O$2=BB423),'2024DATA'!$K$35,"")</f>
        <v/>
      </c>
      <c r="BC456" s="518" t="str">
        <f>IF(AND(_C="A-220-100",'2024'!$O$4="CA",'2024'!$O$2=BC423),'2024DATA'!$L$35,"")</f>
        <v/>
      </c>
      <c r="BD456" s="518" t="str">
        <f>IF(AND(_C="A-220-100",'2024'!$O$4="CA",'2024'!$O$2=BD423),'2024DATA'!$M$35,"")</f>
        <v/>
      </c>
      <c r="BE456" s="520" t="str">
        <f>IF(AND(_C="A-220-100",'2024'!$O$4="CA",'2024'!$O$2=BE423),'2024DATA'!$N$35,"")</f>
        <v/>
      </c>
      <c r="BF456" s="940" t="s">
        <v>52</v>
      </c>
      <c r="BG456" s="13" t="s">
        <v>61</v>
      </c>
      <c r="BH456" s="518" t="str">
        <f>IF(AND(_D="A-220-100",'2024'!$O$4="CA",'2024'!$O$2=BH423),'2024DATA'!$C$35,"")</f>
        <v/>
      </c>
      <c r="BI456" s="518" t="str">
        <f>IF(AND(_D="A-220-100",'2024'!$O$4="CA",'2024'!$O$2=BI423),'2024DATA'!$D$35,"")</f>
        <v/>
      </c>
      <c r="BJ456" s="518" t="str">
        <f>IF(AND(_D="A-220-100",'2024'!$O$4="CA",'2024'!$O$2=BJ423),'2024DATA'!$E$35,"")</f>
        <v/>
      </c>
      <c r="BK456" s="518" t="str">
        <f>IF(AND(_D="A-220-100",'2024'!$O$4="CA",'2024'!$O$2=BK423),'2024DATA'!$F$35,"")</f>
        <v/>
      </c>
      <c r="BL456" s="518" t="str">
        <f>IF(AND(_D="A-220-100",'2024'!$O$4="CA",'2024'!$O$2=BL423),'2024DATA'!$G$35,"")</f>
        <v/>
      </c>
      <c r="BM456" s="518" t="str">
        <f>IF(AND(_D="A-220-100",'2024'!$O$4="CA",'2024'!$O$2=BM423),'2024DATA'!$H$35,"")</f>
        <v/>
      </c>
      <c r="BN456" s="518" t="str">
        <f>IF(AND(_D="A-220-100",'2024'!$O$4="CA",'2024'!$O$2=BN423),'2024DATA'!$I$35,"")</f>
        <v/>
      </c>
      <c r="BO456" s="518" t="str">
        <f>IF(AND(_D="A-220-100",'2024'!$O$4="CA",'2024'!$O$2=BO423),'2024DATA'!$J$35,"")</f>
        <v/>
      </c>
      <c r="BP456" s="518" t="str">
        <f>IF(AND(_D="A-220-100",'2024'!$O$4="CA",'2024'!$O$2=BP423),'2024DATA'!$K$35,"")</f>
        <v/>
      </c>
      <c r="BQ456" s="518" t="str">
        <f>IF(AND(_D="A-220-100",'2024'!$O$4="CA",'2024'!$O$2=BQ423),'2024DATA'!$L$35,"")</f>
        <v/>
      </c>
      <c r="BR456" s="518" t="str">
        <f>IF(AND(_D="A-220-100",'2024'!$O$4="CA",'2024'!$O$2=BR423),'2024DATA'!$M$35,"")</f>
        <v/>
      </c>
      <c r="BS456" s="520" t="str">
        <f>IF(AND(_D="A-220-100",'2024'!$O$4="CA",'2024'!$O$2=BS423),'2024DATA'!$N$35,"")</f>
        <v/>
      </c>
      <c r="BT456" s="940" t="s">
        <v>52</v>
      </c>
      <c r="BU456" s="13" t="s">
        <v>61</v>
      </c>
      <c r="BV456" s="518" t="str">
        <f>IF(AND(_E="A-220-100",'2024'!$O$4="CA",'2024'!$O$2=BV423),'2024DATA'!$C$35,"")</f>
        <v/>
      </c>
      <c r="BW456" s="518" t="str">
        <f>IF(AND(_E="A-220-100",'2024'!$O$4="CA",'2024'!$O$2=BW423),'2024DATA'!$D$35,"")</f>
        <v/>
      </c>
      <c r="BX456" s="518" t="str">
        <f>IF(AND(_E="A-220-100",'2024'!$O$4="CA",'2024'!$O$2=BX423),'2024DATA'!$E$35,"")</f>
        <v/>
      </c>
      <c r="BY456" s="518" t="str">
        <f>IF(AND(_E="A-220-100",'2024'!$O$4="CA",'2024'!$O$2=BY423),'2024DATA'!$F$35,"")</f>
        <v/>
      </c>
      <c r="BZ456" s="518" t="str">
        <f>IF(AND(_E="A-220-100",'2024'!$O$4="CA",'2024'!$O$2=BZ423),'2024DATA'!$G$35,"")</f>
        <v/>
      </c>
      <c r="CA456" s="518" t="str">
        <f>IF(AND(_E="A-220-100",'2024'!$O$4="CA",'2024'!$O$2=CA423),'2024DATA'!$H$35,"")</f>
        <v/>
      </c>
      <c r="CB456" s="518" t="str">
        <f>IF(AND(_E="A-220-100",'2024'!$O$4="CA",'2024'!$O$2=CB423),'2024DATA'!$I$35,"")</f>
        <v/>
      </c>
      <c r="CC456" s="518" t="str">
        <f>IF(AND(_E="A-220-100",'2024'!$O$4="CA",'2024'!$O$2=CC423),'2024DATA'!$J$35,"")</f>
        <v/>
      </c>
      <c r="CD456" s="518" t="str">
        <f>IF(AND(_E="A-220-100",'2024'!$O$4="CA",'2024'!$O$2=CD423),'2024DATA'!$K$35,"")</f>
        <v/>
      </c>
      <c r="CE456" s="518" t="str">
        <f>IF(AND(_E="A-220-100",'2024'!$O$4="CA",'2024'!$O$2=CE423),'2024DATA'!$L$35,"")</f>
        <v/>
      </c>
      <c r="CF456" s="518" t="str">
        <f>IF(AND(_E="A-220-100",'2024'!$O$4="CA",'2024'!$O$2=CF423),'2024DATA'!$M$35,"")</f>
        <v/>
      </c>
      <c r="CG456" s="520" t="str">
        <f>IF(AND(_E="A-220-100",'2024'!$O$4="CA",'2024'!$O$2=CG423),'2024DATA'!$N$35,"")</f>
        <v/>
      </c>
      <c r="CH456" s="940" t="s">
        <v>52</v>
      </c>
      <c r="CI456" s="13" t="s">
        <v>61</v>
      </c>
      <c r="CJ456" s="518" t="str">
        <f>IF(AND(_F="A-220-100",'2024'!$O$4="CA",'2024'!$O$2=CJ423),'2024DATA'!$C$35,"")</f>
        <v/>
      </c>
      <c r="CK456" s="518" t="str">
        <f>IF(AND(_F="A-220-100",'2024'!$O$4="CA",'2024'!$O$2=CK423),'2024DATA'!$D$35,"")</f>
        <v/>
      </c>
      <c r="CL456" s="518" t="str">
        <f>IF(AND(_F="A-220-100",'2024'!$O$4="CA",'2024'!$O$2=CL423),'2024DATA'!$E$35,"")</f>
        <v/>
      </c>
      <c r="CM456" s="518" t="str">
        <f>IF(AND(_F="A-220-100",'2024'!$O$4="CA",'2024'!$O$2=CM423),'2024DATA'!$F$35,"")</f>
        <v/>
      </c>
      <c r="CN456" s="518" t="str">
        <f>IF(AND(_F="A-220-100",'2024'!$O$4="CA",'2024'!$O$2=CN423),'2024DATA'!$G$35,"")</f>
        <v/>
      </c>
      <c r="CO456" s="518" t="str">
        <f>IF(AND(_F="A-220-100",'2024'!$O$4="CA",'2024'!$O$2=CO423),'2024DATA'!$H$35,"")</f>
        <v/>
      </c>
      <c r="CP456" s="518" t="str">
        <f>IF(AND(_F="A-220-100",'2024'!$O$4="CA",'2024'!$O$2=CP423),'2024DATA'!$I$35,"")</f>
        <v/>
      </c>
      <c r="CQ456" s="518" t="str">
        <f>IF(AND(_F="A-220-100",'2024'!$O$4="CA",'2024'!$O$2=CQ423),'2024DATA'!$J$35,"")</f>
        <v/>
      </c>
      <c r="CR456" s="518" t="str">
        <f>IF(AND(_F="A-220-100",'2024'!$O$4="CA",'2024'!$O$2=CR423),'2024DATA'!$K$35,"")</f>
        <v/>
      </c>
      <c r="CS456" s="518" t="str">
        <f>IF(AND(_F="A-220-100",'2024'!$O$4="CA",'2024'!$O$2=CS423),'2024DATA'!$L$35,"")</f>
        <v/>
      </c>
      <c r="CT456" s="518" t="str">
        <f>IF(AND(_F="A-220-100",'2024'!$O$4="CA",'2024'!$O$2=CT423),'2024DATA'!$M$35,"")</f>
        <v/>
      </c>
      <c r="CU456" s="520" t="str">
        <f>IF(AND(_F="A-220-100",'2024'!$O$4="CA",'2024'!$O$2=CU423),'2024DATA'!$N$35,"")</f>
        <v/>
      </c>
    </row>
    <row r="457" spans="16:99" x14ac:dyDescent="0.25">
      <c r="P457" s="940"/>
      <c r="Q457" s="13" t="s">
        <v>62</v>
      </c>
      <c r="R457" s="518" t="str">
        <f>IF(AND(_A="A-220-100",'2024'!$O$4="FO",'2024'!$O$2=R423),'2024DATA'!$C$36,"")</f>
        <v/>
      </c>
      <c r="S457" s="518" t="str">
        <f>IF(AND(_A="A-220-100",'2024'!$O$4="FO",'2024'!$O$2=S423),'2024DATA'!$D$36,"")</f>
        <v/>
      </c>
      <c r="T457" s="518" t="str">
        <f>IF(AND(_A="A-220-100",'2024'!$O$4="FO",'2024'!$O$2=T423),'2024DATA'!$E$36,"")</f>
        <v/>
      </c>
      <c r="U457" s="518" t="str">
        <f>IF(AND(_A="A-220-100",'2024'!$O$4="FO",'2024'!$O$2=U423),'2024DATA'!$F$36,"")</f>
        <v/>
      </c>
      <c r="V457" s="518" t="str">
        <f>IF(AND(_A="A-220-100",'2024'!$O$4="FO",'2024'!$O$2=V423),'2024DATA'!$G$36,"")</f>
        <v/>
      </c>
      <c r="W457" s="518" t="str">
        <f>IF(AND(_A="A-220-100",'2024'!$O$4="FO",'2024'!$O$2=W423),'2024DATA'!$H$36,"")</f>
        <v/>
      </c>
      <c r="X457" s="518" t="str">
        <f>IF(AND(_A="A-220-100",'2024'!$O$4="FO",'2024'!$O$2=X423),'2024DATA'!$I$36,"")</f>
        <v/>
      </c>
      <c r="Y457" s="518" t="str">
        <f>IF(AND(_A="A-220-100",'2024'!$O$4="FO",'2024'!$O$2=Y423),'2024DATA'!$J$36,"")</f>
        <v/>
      </c>
      <c r="Z457" s="518" t="str">
        <f>IF(AND(_A="A-220-100",'2024'!$O$4="FO",'2024'!$O$2=Z423),'2024DATA'!$K$36,"")</f>
        <v/>
      </c>
      <c r="AA457" s="518" t="str">
        <f>IF(AND(_A="A-220-100",'2024'!$O$4="FO",'2024'!$O$2=AA423),'2024DATA'!$L$36,"")</f>
        <v/>
      </c>
      <c r="AB457" s="518" t="str">
        <f>IF(AND(_A="A-220-100",'2024'!$O$4="FO",'2024'!$O$2=AB423),'2024DATA'!$M$36,"")</f>
        <v/>
      </c>
      <c r="AC457" s="520" t="str">
        <f>IF(AND(_A="A-220-100",'2024'!$O$4="FO",'2024'!$O$2=AC423),'2024DATA'!$N$36,"")</f>
        <v/>
      </c>
      <c r="AD457" s="940"/>
      <c r="AE457" s="13" t="s">
        <v>62</v>
      </c>
      <c r="AF457" s="518" t="str">
        <f>IF(AND(_B="A-220-100",'2024'!$O$4="FO",'2024'!$O$2=AF423),'2024DATA'!$C$36,"")</f>
        <v/>
      </c>
      <c r="AG457" s="518" t="str">
        <f>IF(AND(_B="A-220-100",'2024'!$O$4="FO",'2024'!$O$2=AG423),'2024DATA'!$D$36,"")</f>
        <v/>
      </c>
      <c r="AH457" s="518" t="str">
        <f>IF(AND(_B="A-220-100",'2024'!$O$4="FO",'2024'!$O$2=AH423),'2024DATA'!$E$36,"")</f>
        <v/>
      </c>
      <c r="AI457" s="518" t="str">
        <f>IF(AND(_B="A-220-100",'2024'!$O$4="FO",'2024'!$O$2=AI423),'2024DATA'!$F$36,"")</f>
        <v/>
      </c>
      <c r="AJ457" s="518" t="str">
        <f>IF(AND(_B="A-220-100",'2024'!$O$4="FO",'2024'!$O$2=AJ423),'2024DATA'!$G$36,"")</f>
        <v/>
      </c>
      <c r="AK457" s="518" t="str">
        <f>IF(AND(_B="A-220-100",'2024'!$O$4="FO",'2024'!$O$2=AK423),'2024DATA'!$H$36,"")</f>
        <v/>
      </c>
      <c r="AL457" s="518" t="str">
        <f>IF(AND(_B="A-220-100",'2024'!$O$4="FO",'2024'!$O$2=AL423),'2024DATA'!$I$36,"")</f>
        <v/>
      </c>
      <c r="AM457" s="518" t="str">
        <f>IF(AND(_B="A-220-100",'2024'!$O$4="FO",'2024'!$O$2=AM423),'2024DATA'!$J$36,"")</f>
        <v/>
      </c>
      <c r="AN457" s="518" t="str">
        <f>IF(AND(_B="A-220-100",'2024'!$O$4="FO",'2024'!$O$2=AN423),'2024DATA'!$K$36,"")</f>
        <v/>
      </c>
      <c r="AO457" s="518" t="str">
        <f>IF(AND(_B="A-220-100",'2024'!$O$4="FO",'2024'!$O$2=AO423),'2024DATA'!$L$36,"")</f>
        <v/>
      </c>
      <c r="AP457" s="518" t="str">
        <f>IF(AND(_B="A-220-100",'2024'!$O$4="FO",'2024'!$O$2=AP423),'2024DATA'!$M$36,"")</f>
        <v/>
      </c>
      <c r="AQ457" s="520" t="str">
        <f>IF(AND(_B="A-220-100",'2024'!$O$4="FO",'2024'!$O$2=AQ423),'2024DATA'!$N$36,"")</f>
        <v/>
      </c>
      <c r="AR457" s="940"/>
      <c r="AS457" s="13" t="s">
        <v>62</v>
      </c>
      <c r="AT457" s="518" t="str">
        <f>IF(AND(_C="A-220-100",'2024'!$O$4="FO",'2024'!$O$2=AT423),'2024DATA'!$C$36,"")</f>
        <v/>
      </c>
      <c r="AU457" s="518" t="str">
        <f>IF(AND(_C="A-220-100",'2024'!$O$4="FO",'2024'!$O$2=AU423),'2024DATA'!$D$36,"")</f>
        <v/>
      </c>
      <c r="AV457" s="518" t="str">
        <f>IF(AND(_C="A-220-100",'2024'!$O$4="FO",'2024'!$O$2=AV423),'2024DATA'!$E$36,"")</f>
        <v/>
      </c>
      <c r="AW457" s="518" t="str">
        <f>IF(AND(_C="A-220-100",'2024'!$O$4="FO",'2024'!$O$2=AW423),'2024DATA'!$F$36,"")</f>
        <v/>
      </c>
      <c r="AX457" s="518" t="str">
        <f>IF(AND(_C="A-220-100",'2024'!$O$4="FO",'2024'!$O$2=AX423),'2024DATA'!$G$36,"")</f>
        <v/>
      </c>
      <c r="AY457" s="518" t="str">
        <f>IF(AND(_C="A-220-100",'2024'!$O$4="FO",'2024'!$O$2=AY423),'2024DATA'!$H$36,"")</f>
        <v/>
      </c>
      <c r="AZ457" s="518" t="str">
        <f>IF(AND(_C="A-220-100",'2024'!$O$4="FO",'2024'!$O$2=AZ423),'2024DATA'!$I$36,"")</f>
        <v/>
      </c>
      <c r="BA457" s="518" t="str">
        <f>IF(AND(_C="A-220-100",'2024'!$O$4="FO",'2024'!$O$2=BA423),'2024DATA'!$J$36,"")</f>
        <v/>
      </c>
      <c r="BB457" s="518" t="str">
        <f>IF(AND(_C="A-220-100",'2024'!$O$4="FO",'2024'!$O$2=BB423),'2024DATA'!$K$36,"")</f>
        <v/>
      </c>
      <c r="BC457" s="518" t="str">
        <f>IF(AND(_C="A-220-100",'2024'!$O$4="FO",'2024'!$O$2=BC423),'2024DATA'!$L$36,"")</f>
        <v/>
      </c>
      <c r="BD457" s="518" t="str">
        <f>IF(AND(_C="A-220-100",'2024'!$O$4="FO",'2024'!$O$2=BD423),'2024DATA'!$M$36,"")</f>
        <v/>
      </c>
      <c r="BE457" s="520" t="str">
        <f>IF(AND(_C="A-220-100",'2024'!$O$4="FO",'2024'!$O$2=BE423),'2024DATA'!$N$36,"")</f>
        <v/>
      </c>
      <c r="BF457" s="940"/>
      <c r="BG457" s="13" t="s">
        <v>62</v>
      </c>
      <c r="BH457" s="518" t="str">
        <f>IF(AND(_D="A-220-100",'2024'!$O$4="FO",'2024'!$O$2=BH423),'2024DATA'!$C$36,"")</f>
        <v/>
      </c>
      <c r="BI457" s="518" t="str">
        <f>IF(AND(_D="A-220-100",'2024'!$O$4="FO",'2024'!$O$2=BI423),'2024DATA'!$D$36,"")</f>
        <v/>
      </c>
      <c r="BJ457" s="518" t="str">
        <f>IF(AND(_D="A-220-100",'2024'!$O$4="FO",'2024'!$O$2=BJ423),'2024DATA'!$E$36,"")</f>
        <v/>
      </c>
      <c r="BK457" s="518" t="str">
        <f>IF(AND(_D="A-220-100",'2024'!$O$4="FO",'2024'!$O$2=BK423),'2024DATA'!$F$36,"")</f>
        <v/>
      </c>
      <c r="BL457" s="518" t="str">
        <f>IF(AND(_D="A-220-100",'2024'!$O$4="FO",'2024'!$O$2=BL423),'2024DATA'!$G$36,"")</f>
        <v/>
      </c>
      <c r="BM457" s="518" t="str">
        <f>IF(AND(_D="A-220-100",'2024'!$O$4="FO",'2024'!$O$2=BM423),'2024DATA'!$H$36,"")</f>
        <v/>
      </c>
      <c r="BN457" s="518" t="str">
        <f>IF(AND(_D="A-220-100",'2024'!$O$4="FO",'2024'!$O$2=BN423),'2024DATA'!$I$36,"")</f>
        <v/>
      </c>
      <c r="BO457" s="518" t="str">
        <f>IF(AND(_D="A-220-100",'2024'!$O$4="FO",'2024'!$O$2=BO423),'2024DATA'!$J$36,"")</f>
        <v/>
      </c>
      <c r="BP457" s="518" t="str">
        <f>IF(AND(_D="A-220-100",'2024'!$O$4="FO",'2024'!$O$2=BP423),'2024DATA'!$K$36,"")</f>
        <v/>
      </c>
      <c r="BQ457" s="518" t="str">
        <f>IF(AND(_D="A-220-100",'2024'!$O$4="FO",'2024'!$O$2=BQ423),'2024DATA'!$L$36,"")</f>
        <v/>
      </c>
      <c r="BR457" s="518" t="str">
        <f>IF(AND(_D="A-220-100",'2024'!$O$4="FO",'2024'!$O$2=BR423),'2024DATA'!$M$36,"")</f>
        <v/>
      </c>
      <c r="BS457" s="520" t="str">
        <f>IF(AND(_D="A-220-100",'2024'!$O$4="FO",'2024'!$O$2=BS423),'2024DATA'!$N$36,"")</f>
        <v/>
      </c>
      <c r="BT457" s="940"/>
      <c r="BU457" s="13" t="s">
        <v>62</v>
      </c>
      <c r="BV457" s="518" t="str">
        <f>IF(AND(_E="A-220-100",'2024'!$O$4="FO",'2024'!$O$2=BV423),'2024DATA'!$C$36,"")</f>
        <v/>
      </c>
      <c r="BW457" s="518" t="str">
        <f>IF(AND(_E="A-220-100",'2024'!$O$4="FO",'2024'!$O$2=BW423),'2024DATA'!$D$36,"")</f>
        <v/>
      </c>
      <c r="BX457" s="518" t="str">
        <f>IF(AND(_E="A-220-100",'2024'!$O$4="FO",'2024'!$O$2=BX423),'2024DATA'!$E$36,"")</f>
        <v/>
      </c>
      <c r="BY457" s="518" t="str">
        <f>IF(AND(_E="A-220-100",'2024'!$O$4="FO",'2024'!$O$2=BY423),'2024DATA'!$F$36,"")</f>
        <v/>
      </c>
      <c r="BZ457" s="518" t="str">
        <f>IF(AND(_E="A-220-100",'2024'!$O$4="FO",'2024'!$O$2=BZ423),'2024DATA'!$G$36,"")</f>
        <v/>
      </c>
      <c r="CA457" s="518" t="str">
        <f>IF(AND(_E="A-220-100",'2024'!$O$4="FO",'2024'!$O$2=CA423),'2024DATA'!$H$36,"")</f>
        <v/>
      </c>
      <c r="CB457" s="518" t="str">
        <f>IF(AND(_E="A-220-100",'2024'!$O$4="FO",'2024'!$O$2=CB423),'2024DATA'!$I$36,"")</f>
        <v/>
      </c>
      <c r="CC457" s="518" t="str">
        <f>IF(AND(_E="A-220-100",'2024'!$O$4="FO",'2024'!$O$2=CC423),'2024DATA'!$J$36,"")</f>
        <v/>
      </c>
      <c r="CD457" s="518" t="str">
        <f>IF(AND(_E="A-220-100",'2024'!$O$4="FO",'2024'!$O$2=CD423),'2024DATA'!$K$36,"")</f>
        <v/>
      </c>
      <c r="CE457" s="518" t="str">
        <f>IF(AND(_E="A-220-100",'2024'!$O$4="FO",'2024'!$O$2=CE423),'2024DATA'!$L$36,"")</f>
        <v/>
      </c>
      <c r="CF457" s="518" t="str">
        <f>IF(AND(_E="A-220-100",'2024'!$O$4="FO",'2024'!$O$2=CF423),'2024DATA'!$M$36,"")</f>
        <v/>
      </c>
      <c r="CG457" s="520" t="str">
        <f>IF(AND(_E="A-220-100",'2024'!$O$4="FO",'2024'!$O$2=CG423),'2024DATA'!$N$36,"")</f>
        <v/>
      </c>
      <c r="CH457" s="940"/>
      <c r="CI457" s="13" t="s">
        <v>62</v>
      </c>
      <c r="CJ457" s="518" t="str">
        <f>IF(AND(_F="A-220-100",'2024'!$O$4="FO",'2024'!$O$2=CJ423),'2024DATA'!$C$36,"")</f>
        <v/>
      </c>
      <c r="CK457" s="518" t="str">
        <f>IF(AND(_F="A-220-100",'2024'!$O$4="FO",'2024'!$O$2=CK423),'2024DATA'!$D$36,"")</f>
        <v/>
      </c>
      <c r="CL457" s="518" t="str">
        <f>IF(AND(_F="A-220-100",'2024'!$O$4="FO",'2024'!$O$2=CL423),'2024DATA'!$E$36,"")</f>
        <v/>
      </c>
      <c r="CM457" s="518" t="str">
        <f>IF(AND(_F="A-220-100",'2024'!$O$4="FO",'2024'!$O$2=CM423),'2024DATA'!$F$36,"")</f>
        <v/>
      </c>
      <c r="CN457" s="518" t="str">
        <f>IF(AND(_F="A-220-100",'2024'!$O$4="FO",'2024'!$O$2=CN423),'2024DATA'!$G$36,"")</f>
        <v/>
      </c>
      <c r="CO457" s="518" t="str">
        <f>IF(AND(_F="A-220-100",'2024'!$O$4="FO",'2024'!$O$2=CO423),'2024DATA'!$H$36,"")</f>
        <v/>
      </c>
      <c r="CP457" s="518" t="str">
        <f>IF(AND(_F="A-220-100",'2024'!$O$4="FO",'2024'!$O$2=CP423),'2024DATA'!$I$36,"")</f>
        <v/>
      </c>
      <c r="CQ457" s="518" t="str">
        <f>IF(AND(_F="A-220-100",'2024'!$O$4="FO",'2024'!$O$2=CQ423),'2024DATA'!$J$36,"")</f>
        <v/>
      </c>
      <c r="CR457" s="518" t="str">
        <f>IF(AND(_F="A-220-100",'2024'!$O$4="FO",'2024'!$O$2=CR423),'2024DATA'!$K$36,"")</f>
        <v/>
      </c>
      <c r="CS457" s="518" t="str">
        <f>IF(AND(_F="A-220-100",'2024'!$O$4="FO",'2024'!$O$2=CS423),'2024DATA'!$L$36,"")</f>
        <v/>
      </c>
      <c r="CT457" s="518" t="str">
        <f>IF(AND(_F="A-220-100",'2024'!$O$4="FO",'2024'!$O$2=CT423),'2024DATA'!$M$36,"")</f>
        <v/>
      </c>
      <c r="CU457" s="520" t="str">
        <f>IF(AND(_F="A-220-100",'2024'!$O$4="FO",'2024'!$O$2=CU423),'2024DATA'!$N$36,"")</f>
        <v/>
      </c>
    </row>
    <row r="458" spans="16:99" x14ac:dyDescent="0.25">
      <c r="P458" s="940" t="s">
        <v>53</v>
      </c>
      <c r="Q458" s="13" t="s">
        <v>61</v>
      </c>
      <c r="R458" s="518" t="str">
        <f>IF(AND(_A="B-717",'2024'!$O$4="CA",'2024'!$O$2=R423),'2024DATA'!$C$37,"")</f>
        <v/>
      </c>
      <c r="S458" s="518" t="str">
        <f>IF(AND(_A="B-717",'2024'!$O$4="CA",'2024'!$O$2=S423),'2024DATA'!$D$37,"")</f>
        <v/>
      </c>
      <c r="T458" s="518" t="str">
        <f>IF(AND(_A="B-717",'2024'!$O$4="CA",'2024'!$O$2=T423),'2024DATA'!$E$37,"")</f>
        <v/>
      </c>
      <c r="U458" s="518" t="str">
        <f>IF(AND(_A="B-717",'2024'!$O$4="CA",'2024'!$O$2=U423),'2024DATA'!$F$37,"")</f>
        <v/>
      </c>
      <c r="V458" s="518" t="str">
        <f>IF(AND(_A="B-717",'2024'!$O$4="CA",'2024'!$O$2=V423),'2024DATA'!$G$37,"")</f>
        <v/>
      </c>
      <c r="W458" s="518" t="str">
        <f>IF(AND(_A="B-717",'2024'!$O$4="CA",'2024'!$O$2=W423),'2024DATA'!$H$37,"")</f>
        <v/>
      </c>
      <c r="X458" s="518" t="str">
        <f>IF(AND(_A="B-717",'2024'!$O$4="CA",'2024'!$O$2=X423),'2024DATA'!$I$37,"")</f>
        <v/>
      </c>
      <c r="Y458" s="518" t="str">
        <f>IF(AND(_A="B-717",'2024'!$O$4="CA",'2024'!$O$2=Y423),'2024DATA'!$J$37,"")</f>
        <v/>
      </c>
      <c r="Z458" s="518" t="str">
        <f>IF(AND(_A="B-717",'2024'!$O$4="CA",'2024'!$O$2=Z423),'2024DATA'!$K$37,"")</f>
        <v/>
      </c>
      <c r="AA458" s="518" t="str">
        <f>IF(AND(_A="B-717",'2024'!$O$4="CA",'2024'!$O$2=AA423),'2024DATA'!$L$37,"")</f>
        <v/>
      </c>
      <c r="AB458" s="518" t="str">
        <f>IF(AND(_A="B-717",'2024'!$O$4="CA",'2024'!$O$2=AB423),'2024DATA'!$M$37,"")</f>
        <v/>
      </c>
      <c r="AC458" s="520" t="str">
        <f>IF(AND(_A="B-717",'2024'!$O$4="CA",'2024'!$O$2=AC423),'2024DATA'!$N$37,"")</f>
        <v/>
      </c>
      <c r="AD458" s="940" t="s">
        <v>53</v>
      </c>
      <c r="AE458" s="13" t="s">
        <v>61</v>
      </c>
      <c r="AF458" s="518" t="str">
        <f>IF(AND(_B="B-717",'2024'!$O$4="CA",'2024'!$O$2=AF423),'2024DATA'!$C$37,"")</f>
        <v/>
      </c>
      <c r="AG458" s="518" t="str">
        <f>IF(AND(_B="B-717",'2024'!$O$4="CA",'2024'!$O$2=AG423),'2024DATA'!$D$37,"")</f>
        <v/>
      </c>
      <c r="AH458" s="518" t="str">
        <f>IF(AND(_B="B-717",'2024'!$O$4="CA",'2024'!$O$2=AH423),'2024DATA'!$E$37,"")</f>
        <v/>
      </c>
      <c r="AI458" s="518" t="str">
        <f>IF(AND(_B="B-717",'2024'!$O$4="CA",'2024'!$O$2=AI423),'2024DATA'!$F$37,"")</f>
        <v/>
      </c>
      <c r="AJ458" s="518" t="str">
        <f>IF(AND(_B="B-717",'2024'!$O$4="CA",'2024'!$O$2=AJ423),'2024DATA'!$G$37,"")</f>
        <v/>
      </c>
      <c r="AK458" s="518" t="str">
        <f>IF(AND(_B="B-717",'2024'!$O$4="CA",'2024'!$O$2=AK423),'2024DATA'!$H$37,"")</f>
        <v/>
      </c>
      <c r="AL458" s="518" t="str">
        <f>IF(AND(_B="B-717",'2024'!$O$4="CA",'2024'!$O$2=AL423),'2024DATA'!$I$37,"")</f>
        <v/>
      </c>
      <c r="AM458" s="518" t="str">
        <f>IF(AND(_B="B-717",'2024'!$O$4="CA",'2024'!$O$2=AM423),'2024DATA'!$J$37,"")</f>
        <v/>
      </c>
      <c r="AN458" s="518" t="str">
        <f>IF(AND(_B="B-717",'2024'!$O$4="CA",'2024'!$O$2=AN423),'2024DATA'!$K$37,"")</f>
        <v/>
      </c>
      <c r="AO458" s="518" t="str">
        <f>IF(AND(_B="B-717",'2024'!$O$4="CA",'2024'!$O$2=AO423),'2024DATA'!$L$37,"")</f>
        <v/>
      </c>
      <c r="AP458" s="518" t="str">
        <f>IF(AND(_B="B-717",'2024'!$O$4="CA",'2024'!$O$2=AP423),'2024DATA'!$M$37,"")</f>
        <v/>
      </c>
      <c r="AQ458" s="520" t="str">
        <f>IF(AND(_B="B-717",'2024'!$O$4="CA",'2024'!$O$2=AQ423),'2024DATA'!$N$37,"")</f>
        <v/>
      </c>
      <c r="AR458" s="940" t="s">
        <v>53</v>
      </c>
      <c r="AS458" s="13" t="s">
        <v>61</v>
      </c>
      <c r="AT458" s="518" t="str">
        <f>IF(AND(_C="B-717",'2024'!$O$4="CA",'2024'!$O$2=AT423),'2024DATA'!$C$37,"")</f>
        <v/>
      </c>
      <c r="AU458" s="518" t="str">
        <f>IF(AND(_C="B-717",'2024'!$O$4="CA",'2024'!$O$2=AU423),'2024DATA'!$D$37,"")</f>
        <v/>
      </c>
      <c r="AV458" s="518" t="str">
        <f>IF(AND(_C="B-717",'2024'!$O$4="CA",'2024'!$O$2=AV423),'2024DATA'!$E$37,"")</f>
        <v/>
      </c>
      <c r="AW458" s="518" t="str">
        <f>IF(AND(_C="B-717",'2024'!$O$4="CA",'2024'!$O$2=AW423),'2024DATA'!$F$37,"")</f>
        <v/>
      </c>
      <c r="AX458" s="518" t="str">
        <f>IF(AND(_C="B-717",'2024'!$O$4="CA",'2024'!$O$2=AX423),'2024DATA'!$G$37,"")</f>
        <v/>
      </c>
      <c r="AY458" s="518" t="str">
        <f>IF(AND(_C="B-717",'2024'!$O$4="CA",'2024'!$O$2=AY423),'2024DATA'!$H$37,"")</f>
        <v/>
      </c>
      <c r="AZ458" s="518" t="str">
        <f>IF(AND(_C="B-717",'2024'!$O$4="CA",'2024'!$O$2=AZ423),'2024DATA'!$I$37,"")</f>
        <v/>
      </c>
      <c r="BA458" s="518" t="str">
        <f>IF(AND(_C="B-717",'2024'!$O$4="CA",'2024'!$O$2=BA423),'2024DATA'!$J$37,"")</f>
        <v/>
      </c>
      <c r="BB458" s="518" t="str">
        <f>IF(AND(_C="B-717",'2024'!$O$4="CA",'2024'!$O$2=BB423),'2024DATA'!$K$37,"")</f>
        <v/>
      </c>
      <c r="BC458" s="518" t="str">
        <f>IF(AND(_C="B-717",'2024'!$O$4="CA",'2024'!$O$2=BC423),'2024DATA'!$L$37,"")</f>
        <v/>
      </c>
      <c r="BD458" s="518" t="str">
        <f>IF(AND(_C="B-717",'2024'!$O$4="CA",'2024'!$O$2=BD423),'2024DATA'!$M$37,"")</f>
        <v/>
      </c>
      <c r="BE458" s="520" t="str">
        <f>IF(AND(_C="B-717",'2024'!$O$4="CA",'2024'!$O$2=BE423),'2024DATA'!$N$37,"")</f>
        <v/>
      </c>
      <c r="BF458" s="940" t="s">
        <v>53</v>
      </c>
      <c r="BG458" s="13" t="s">
        <v>61</v>
      </c>
      <c r="BH458" s="518" t="str">
        <f>IF(AND(_D="B-717",'2024'!$O$4="CA",'2024'!$O$2=BH423),'2024DATA'!$C$37,"")</f>
        <v/>
      </c>
      <c r="BI458" s="518" t="str">
        <f>IF(AND(_D="B-717",'2024'!$O$4="CA",'2024'!$O$2=BI423),'2024DATA'!$D$37,"")</f>
        <v/>
      </c>
      <c r="BJ458" s="518" t="str">
        <f>IF(AND(_D="B-717",'2024'!$O$4="CA",'2024'!$O$2=BJ423),'2024DATA'!$E$37,"")</f>
        <v/>
      </c>
      <c r="BK458" s="518" t="str">
        <f>IF(AND(_D="B-717",'2024'!$O$4="CA",'2024'!$O$2=BK423),'2024DATA'!$F$37,"")</f>
        <v/>
      </c>
      <c r="BL458" s="518" t="str">
        <f>IF(AND(_D="B-717",'2024'!$O$4="CA",'2024'!$O$2=BL423),'2024DATA'!$G$37,"")</f>
        <v/>
      </c>
      <c r="BM458" s="518" t="str">
        <f>IF(AND(_D="B-717",'2024'!$O$4="CA",'2024'!$O$2=BM423),'2024DATA'!$H$37,"")</f>
        <v/>
      </c>
      <c r="BN458" s="518" t="str">
        <f>IF(AND(_D="B-717",'2024'!$O$4="CA",'2024'!$O$2=BN423),'2024DATA'!$I$37,"")</f>
        <v/>
      </c>
      <c r="BO458" s="518" t="str">
        <f>IF(AND(_D="B-717",'2024'!$O$4="CA",'2024'!$O$2=BO423),'2024DATA'!$J$37,"")</f>
        <v/>
      </c>
      <c r="BP458" s="518" t="str">
        <f>IF(AND(_D="B-717",'2024'!$O$4="CA",'2024'!$O$2=BP423),'2024DATA'!$K$37,"")</f>
        <v/>
      </c>
      <c r="BQ458" s="518" t="str">
        <f>IF(AND(_D="B-717",'2024'!$O$4="CA",'2024'!$O$2=BQ423),'2024DATA'!$L$37,"")</f>
        <v/>
      </c>
      <c r="BR458" s="518" t="str">
        <f>IF(AND(_D="B-717",'2024'!$O$4="CA",'2024'!$O$2=BR423),'2024DATA'!$M$37,"")</f>
        <v/>
      </c>
      <c r="BS458" s="520" t="str">
        <f>IF(AND(_D="B-717",'2024'!$O$4="CA",'2024'!$O$2=BS423),'2024DATA'!$N$37,"")</f>
        <v/>
      </c>
      <c r="BT458" s="940" t="s">
        <v>53</v>
      </c>
      <c r="BU458" s="13" t="s">
        <v>61</v>
      </c>
      <c r="BV458" s="518" t="str">
        <f>IF(AND(_E="B-717",'2024'!$O$4="CA",'2024'!$O$2=BV423),'2024DATA'!$C$37,"")</f>
        <v/>
      </c>
      <c r="BW458" s="518" t="str">
        <f>IF(AND(_E="B-717",'2024'!$O$4="CA",'2024'!$O$2=BW423),'2024DATA'!$D$37,"")</f>
        <v/>
      </c>
      <c r="BX458" s="518" t="str">
        <f>IF(AND(_E="B-717",'2024'!$O$4="CA",'2024'!$O$2=BX423),'2024DATA'!$E$37,"")</f>
        <v/>
      </c>
      <c r="BY458" s="518" t="str">
        <f>IF(AND(_E="B-717",'2024'!$O$4="CA",'2024'!$O$2=BY423),'2024DATA'!$F$37,"")</f>
        <v/>
      </c>
      <c r="BZ458" s="518" t="str">
        <f>IF(AND(_E="B-717",'2024'!$O$4="CA",'2024'!$O$2=BZ423),'2024DATA'!$G$37,"")</f>
        <v/>
      </c>
      <c r="CA458" s="518" t="str">
        <f>IF(AND(_E="B-717",'2024'!$O$4="CA",'2024'!$O$2=CA423),'2024DATA'!$H$37,"")</f>
        <v/>
      </c>
      <c r="CB458" s="518" t="str">
        <f>IF(AND(_E="B-717",'2024'!$O$4="CA",'2024'!$O$2=CB423),'2024DATA'!$I$37,"")</f>
        <v/>
      </c>
      <c r="CC458" s="518" t="str">
        <f>IF(AND(_E="B-717",'2024'!$O$4="CA",'2024'!$O$2=CC423),'2024DATA'!$J$37,"")</f>
        <v/>
      </c>
      <c r="CD458" s="518" t="str">
        <f>IF(AND(_E="B-717",'2024'!$O$4="CA",'2024'!$O$2=CD423),'2024DATA'!$K$37,"")</f>
        <v/>
      </c>
      <c r="CE458" s="518" t="str">
        <f>IF(AND(_E="B-717",'2024'!$O$4="CA",'2024'!$O$2=CE423),'2024DATA'!$L$37,"")</f>
        <v/>
      </c>
      <c r="CF458" s="518" t="str">
        <f>IF(AND(_E="B-717",'2024'!$O$4="CA",'2024'!$O$2=CF423),'2024DATA'!$M$37,"")</f>
        <v/>
      </c>
      <c r="CG458" s="520" t="str">
        <f>IF(AND(_E="B-717",'2024'!$O$4="CA",'2024'!$O$2=CG423),'2024DATA'!$N$37,"")</f>
        <v/>
      </c>
      <c r="CH458" s="940" t="s">
        <v>53</v>
      </c>
      <c r="CI458" s="13" t="s">
        <v>61</v>
      </c>
      <c r="CJ458" s="518" t="str">
        <f>IF(AND(_F="B-717",'2024'!$O$4="CA",'2024'!$O$2=CJ423),'2024DATA'!$C$37,"")</f>
        <v/>
      </c>
      <c r="CK458" s="518" t="str">
        <f>IF(AND(_F="B-717",'2024'!$O$4="CA",'2024'!$O$2=CK423),'2024DATA'!$D$37,"")</f>
        <v/>
      </c>
      <c r="CL458" s="518" t="str">
        <f>IF(AND(_F="B-717",'2024'!$O$4="CA",'2024'!$O$2=CL423),'2024DATA'!$E$37,"")</f>
        <v/>
      </c>
      <c r="CM458" s="518" t="str">
        <f>IF(AND(_F="B-717",'2024'!$O$4="CA",'2024'!$O$2=CM423),'2024DATA'!$F$37,"")</f>
        <v/>
      </c>
      <c r="CN458" s="518" t="str">
        <f>IF(AND(_F="B-717",'2024'!$O$4="CA",'2024'!$O$2=CN423),'2024DATA'!$G$37,"")</f>
        <v/>
      </c>
      <c r="CO458" s="518" t="str">
        <f>IF(AND(_F="B-717",'2024'!$O$4="CA",'2024'!$O$2=CO423),'2024DATA'!$H$37,"")</f>
        <v/>
      </c>
      <c r="CP458" s="518" t="str">
        <f>IF(AND(_F="B-717",'2024'!$O$4="CA",'2024'!$O$2=CP423),'2024DATA'!$I$37,"")</f>
        <v/>
      </c>
      <c r="CQ458" s="518" t="str">
        <f>IF(AND(_F="B-717",'2024'!$O$4="CA",'2024'!$O$2=CQ423),'2024DATA'!$J$37,"")</f>
        <v/>
      </c>
      <c r="CR458" s="518" t="str">
        <f>IF(AND(_F="B-717",'2024'!$O$4="CA",'2024'!$O$2=CR423),'2024DATA'!$K$37,"")</f>
        <v/>
      </c>
      <c r="CS458" s="518" t="str">
        <f>IF(AND(_F="B-717",'2024'!$O$4="CA",'2024'!$O$2=CS423),'2024DATA'!$L$37,"")</f>
        <v/>
      </c>
      <c r="CT458" s="518" t="str">
        <f>IF(AND(_F="B-717",'2024'!$O$4="CA",'2024'!$O$2=CT423),'2024DATA'!$M$37,"")</f>
        <v/>
      </c>
      <c r="CU458" s="520" t="str">
        <f>IF(AND(_F="B-717",'2024'!$O$4="CA",'2024'!$O$2=CU423),'2024DATA'!$N$37,"")</f>
        <v/>
      </c>
    </row>
    <row r="459" spans="16:99" ht="15.75" thickBot="1" x14ac:dyDescent="0.3">
      <c r="P459" s="941"/>
      <c r="Q459" s="521" t="s">
        <v>62</v>
      </c>
      <c r="R459" s="522" t="str">
        <f>IF(AND(_A="B-717",'2024'!$O$4="FO",'2024'!$O$2=R423),'2024DATA'!$C$38,"")</f>
        <v/>
      </c>
      <c r="S459" s="522" t="str">
        <f>IF(AND(_A="B-717",'2024'!$O$4="FO",'2024'!$O$2=S423),'2024DATA'!$D$38,"")</f>
        <v/>
      </c>
      <c r="T459" s="522" t="str">
        <f>IF(AND(_A="B-717",'2024'!$O$4="FO",'2024'!$O$2=T423),'2024DATA'!$E$38,"")</f>
        <v/>
      </c>
      <c r="U459" s="522" t="str">
        <f>IF(AND(_A="B-717",'2024'!$O$4="FO",'2024'!$O$2=U423),'2024DATA'!$F$38,"")</f>
        <v/>
      </c>
      <c r="V459" s="522" t="str">
        <f>IF(AND(_A="B-717",'2024'!$O$4="FO",'2024'!$O$2=V423),'2024DATA'!$G$38,"")</f>
        <v/>
      </c>
      <c r="W459" s="522" t="str">
        <f>IF(AND(_A="B-717",'2024'!$O$4="FO",'2024'!$O$2=W423),'2024DATA'!$H$38,"")</f>
        <v/>
      </c>
      <c r="X459" s="522" t="str">
        <f>IF(AND(_A="B-717",'2024'!$O$4="FO",'2024'!$O$2=X423),'2024DATA'!$I$38,"")</f>
        <v/>
      </c>
      <c r="Y459" s="522" t="str">
        <f>IF(AND(_A="B-717",'2024'!$O$4="FO",'2024'!$O$2=Y423),'2024DATA'!$J$38,"")</f>
        <v/>
      </c>
      <c r="Z459" s="522" t="str">
        <f>IF(AND(_A="B-717",'2024'!$O$4="FO",'2024'!$O$2=Z423),'2024DATA'!$K$38,"")</f>
        <v/>
      </c>
      <c r="AA459" s="522" t="str">
        <f>IF(AND(_A="B-717",'2024'!$O$4="FO",'2024'!$O$2=AA423),'2024DATA'!$L$38,"")</f>
        <v/>
      </c>
      <c r="AB459" s="522" t="str">
        <f>IF(AND(_A="B-717",'2024'!$O$4="FO",'2024'!$O$2=AB423),'2024DATA'!$M$38,"")</f>
        <v/>
      </c>
      <c r="AC459" s="523" t="str">
        <f>IF(AND(_A="B-717",'2024'!$O$4="FO",'2024'!$O$2=AC423),'2024DATA'!$N$38,"")</f>
        <v/>
      </c>
      <c r="AD459" s="941"/>
      <c r="AE459" s="521" t="s">
        <v>62</v>
      </c>
      <c r="AF459" s="522" t="str">
        <f>IF(AND(_B="B-717",'2024'!$O$4="FO",'2024'!$O$2=AF423),'2024DATA'!$C$38,"")</f>
        <v/>
      </c>
      <c r="AG459" s="522" t="str">
        <f>IF(AND(_B="B-717",'2024'!$O$4="FO",'2024'!$O$2=AG423),'2024DATA'!$D$38,"")</f>
        <v/>
      </c>
      <c r="AH459" s="522" t="str">
        <f>IF(AND(_B="B-717",'2024'!$O$4="FO",'2024'!$O$2=AH423),'2024DATA'!$E$38,"")</f>
        <v/>
      </c>
      <c r="AI459" s="522" t="str">
        <f>IF(AND(_B="B-717",'2024'!$O$4="FO",'2024'!$O$2=AI423),'2024DATA'!$F$38,"")</f>
        <v/>
      </c>
      <c r="AJ459" s="522" t="str">
        <f>IF(AND(_B="B-717",'2024'!$O$4="FO",'2024'!$O$2=AJ423),'2024DATA'!$G$38,"")</f>
        <v/>
      </c>
      <c r="AK459" s="522" t="str">
        <f>IF(AND(_B="B-717",'2024'!$O$4="FO",'2024'!$O$2=AK423),'2024DATA'!$H$38,"")</f>
        <v/>
      </c>
      <c r="AL459" s="522" t="str">
        <f>IF(AND(_B="B-717",'2024'!$O$4="FO",'2024'!$O$2=AL423),'2024DATA'!$I$38,"")</f>
        <v/>
      </c>
      <c r="AM459" s="522" t="str">
        <f>IF(AND(_B="B-717",'2024'!$O$4="FO",'2024'!$O$2=AM423),'2024DATA'!$J$38,"")</f>
        <v/>
      </c>
      <c r="AN459" s="522" t="str">
        <f>IF(AND(_B="B-717",'2024'!$O$4="FO",'2024'!$O$2=AN423),'2024DATA'!$K$38,"")</f>
        <v/>
      </c>
      <c r="AO459" s="522" t="str">
        <f>IF(AND(_B="B-717",'2024'!$O$4="FO",'2024'!$O$2=AO423),'2024DATA'!$L$38,"")</f>
        <v/>
      </c>
      <c r="AP459" s="522" t="str">
        <f>IF(AND(_B="B-717",'2024'!$O$4="FO",'2024'!$O$2=AP423),'2024DATA'!$M$38,"")</f>
        <v/>
      </c>
      <c r="AQ459" s="523" t="str">
        <f>IF(AND(_B="B-717",'2024'!$O$4="FO",'2024'!$O$2=AQ423),'2024DATA'!$N$38,"")</f>
        <v/>
      </c>
      <c r="AR459" s="941"/>
      <c r="AS459" s="521" t="s">
        <v>62</v>
      </c>
      <c r="AT459" s="522" t="str">
        <f>IF(AND(_C="B-717",'2024'!$O$4="FO",'2024'!$O$2=AT423),'2024DATA'!$C$38,"")</f>
        <v/>
      </c>
      <c r="AU459" s="522" t="str">
        <f>IF(AND(_C="B-717",'2024'!$O$4="FO",'2024'!$O$2=AU423),'2024DATA'!$D$38,"")</f>
        <v/>
      </c>
      <c r="AV459" s="522" t="str">
        <f>IF(AND(_C="B-717",'2024'!$O$4="FO",'2024'!$O$2=AV423),'2024DATA'!$E$38,"")</f>
        <v/>
      </c>
      <c r="AW459" s="522" t="str">
        <f>IF(AND(_C="B-717",'2024'!$O$4="FO",'2024'!$O$2=AW423),'2024DATA'!$F$38,"")</f>
        <v/>
      </c>
      <c r="AX459" s="522" t="str">
        <f>IF(AND(_C="B-717",'2024'!$O$4="FO",'2024'!$O$2=AX423),'2024DATA'!$G$38,"")</f>
        <v/>
      </c>
      <c r="AY459" s="522" t="str">
        <f>IF(AND(_C="B-717",'2024'!$O$4="FO",'2024'!$O$2=AY423),'2024DATA'!$H$38,"")</f>
        <v/>
      </c>
      <c r="AZ459" s="522" t="str">
        <f>IF(AND(_C="B-717",'2024'!$O$4="FO",'2024'!$O$2=AZ423),'2024DATA'!$I$38,"")</f>
        <v/>
      </c>
      <c r="BA459" s="522" t="str">
        <f>IF(AND(_C="B-717",'2024'!$O$4="FO",'2024'!$O$2=BA423),'2024DATA'!$J$38,"")</f>
        <v/>
      </c>
      <c r="BB459" s="522" t="str">
        <f>IF(AND(_C="B-717",'2024'!$O$4="FO",'2024'!$O$2=BB423),'2024DATA'!$K$38,"")</f>
        <v/>
      </c>
      <c r="BC459" s="522" t="str">
        <f>IF(AND(_C="B-717",'2024'!$O$4="FO",'2024'!$O$2=BC423),'2024DATA'!$L$38,"")</f>
        <v/>
      </c>
      <c r="BD459" s="522" t="str">
        <f>IF(AND(_C="B-717",'2024'!$O$4="FO",'2024'!$O$2=BD423),'2024DATA'!$M$38,"")</f>
        <v/>
      </c>
      <c r="BE459" s="523" t="str">
        <f>IF(AND(_C="B-717",'2024'!$O$4="FO",'2024'!$O$2=BE423),'2024DATA'!$N$38,"")</f>
        <v/>
      </c>
      <c r="BF459" s="941"/>
      <c r="BG459" s="521" t="s">
        <v>62</v>
      </c>
      <c r="BH459" s="522" t="str">
        <f>IF(AND(_D="B-717",'2024'!$O$4="FO",'2024'!$O$2=BH423),'2024DATA'!$C$38,"")</f>
        <v/>
      </c>
      <c r="BI459" s="522" t="str">
        <f>IF(AND(_D="B-717",'2024'!$O$4="FO",'2024'!$O$2=BI423),'2024DATA'!$D$38,"")</f>
        <v/>
      </c>
      <c r="BJ459" s="522" t="str">
        <f>IF(AND(_D="B-717",'2024'!$O$4="FO",'2024'!$O$2=BJ423),'2024DATA'!$E$38,"")</f>
        <v/>
      </c>
      <c r="BK459" s="522" t="str">
        <f>IF(AND(_D="B-717",'2024'!$O$4="FO",'2024'!$O$2=BK423),'2024DATA'!$F$38,"")</f>
        <v/>
      </c>
      <c r="BL459" s="522" t="str">
        <f>IF(AND(_D="B-717",'2024'!$O$4="FO",'2024'!$O$2=BL423),'2024DATA'!$G$38,"")</f>
        <v/>
      </c>
      <c r="BM459" s="522" t="str">
        <f>IF(AND(_D="B-717",'2024'!$O$4="FO",'2024'!$O$2=BM423),'2024DATA'!$H$38,"")</f>
        <v/>
      </c>
      <c r="BN459" s="522" t="str">
        <f>IF(AND(_D="B-717",'2024'!$O$4="FO",'2024'!$O$2=BN423),'2024DATA'!$I$38,"")</f>
        <v/>
      </c>
      <c r="BO459" s="522" t="str">
        <f>IF(AND(_D="B-717",'2024'!$O$4="FO",'2024'!$O$2=BO423),'2024DATA'!$J$38,"")</f>
        <v/>
      </c>
      <c r="BP459" s="522" t="str">
        <f>IF(AND(_D="B-717",'2024'!$O$4="FO",'2024'!$O$2=BP423),'2024DATA'!$K$38,"")</f>
        <v/>
      </c>
      <c r="BQ459" s="522" t="str">
        <f>IF(AND(_D="B-717",'2024'!$O$4="FO",'2024'!$O$2=BQ423),'2024DATA'!$L$38,"")</f>
        <v/>
      </c>
      <c r="BR459" s="522" t="str">
        <f>IF(AND(_D="B-717",'2024'!$O$4="FO",'2024'!$O$2=BR423),'2024DATA'!$M$38,"")</f>
        <v/>
      </c>
      <c r="BS459" s="523" t="str">
        <f>IF(AND(_D="B-717",'2024'!$O$4="FO",'2024'!$O$2=BS423),'2024DATA'!$N$38,"")</f>
        <v/>
      </c>
      <c r="BT459" s="941"/>
      <c r="BU459" s="521" t="s">
        <v>62</v>
      </c>
      <c r="BV459" s="522" t="str">
        <f>IF(AND(_E="B-717",'2024'!$O$4="FO",'2024'!$O$2=BV423),'2024DATA'!$C$38,"")</f>
        <v/>
      </c>
      <c r="BW459" s="522" t="str">
        <f>IF(AND(_E="B-717",'2024'!$O$4="FO",'2024'!$O$2=BW423),'2024DATA'!$D$38,"")</f>
        <v/>
      </c>
      <c r="BX459" s="522" t="str">
        <f>IF(AND(_E="B-717",'2024'!$O$4="FO",'2024'!$O$2=BX423),'2024DATA'!$E$38,"")</f>
        <v/>
      </c>
      <c r="BY459" s="522" t="str">
        <f>IF(AND(_E="B-717",'2024'!$O$4="FO",'2024'!$O$2=BY423),'2024DATA'!$F$38,"")</f>
        <v/>
      </c>
      <c r="BZ459" s="522" t="str">
        <f>IF(AND(_E="B-717",'2024'!$O$4="FO",'2024'!$O$2=BZ423),'2024DATA'!$G$38,"")</f>
        <v/>
      </c>
      <c r="CA459" s="522" t="str">
        <f>IF(AND(_E="B-717",'2024'!$O$4="FO",'2024'!$O$2=CA423),'2024DATA'!$H$38,"")</f>
        <v/>
      </c>
      <c r="CB459" s="522" t="str">
        <f>IF(AND(_E="B-717",'2024'!$O$4="FO",'2024'!$O$2=CB423),'2024DATA'!$I$38,"")</f>
        <v/>
      </c>
      <c r="CC459" s="522" t="str">
        <f>IF(AND(_E="B-717",'2024'!$O$4="FO",'2024'!$O$2=CC423),'2024DATA'!$J$38,"")</f>
        <v/>
      </c>
      <c r="CD459" s="522" t="str">
        <f>IF(AND(_E="B-717",'2024'!$O$4="FO",'2024'!$O$2=CD423),'2024DATA'!$K$38,"")</f>
        <v/>
      </c>
      <c r="CE459" s="522" t="str">
        <f>IF(AND(_E="B-717",'2024'!$O$4="FO",'2024'!$O$2=CE423),'2024DATA'!$L$38,"")</f>
        <v/>
      </c>
      <c r="CF459" s="522" t="str">
        <f>IF(AND(_E="B-717",'2024'!$O$4="FO",'2024'!$O$2=CF423),'2024DATA'!$M$38,"")</f>
        <v/>
      </c>
      <c r="CG459" s="523" t="str">
        <f>IF(AND(_E="B-717",'2024'!$O$4="FO",'2024'!$O$2=CG423),'2024DATA'!$N$38,"")</f>
        <v/>
      </c>
      <c r="CH459" s="941"/>
      <c r="CI459" s="521" t="s">
        <v>62</v>
      </c>
      <c r="CJ459" s="522" t="str">
        <f>IF(AND(_F="B-717",'2024'!$O$4="FO",'2024'!$O$2=CJ423),'2024DATA'!$C$38,"")</f>
        <v/>
      </c>
      <c r="CK459" s="522" t="str">
        <f>IF(AND(_F="B-717",'2024'!$O$4="FO",'2024'!$O$2=CK423),'2024DATA'!$D$38,"")</f>
        <v/>
      </c>
      <c r="CL459" s="522" t="str">
        <f>IF(AND(_F="B-717",'2024'!$O$4="FO",'2024'!$O$2=CL423),'2024DATA'!$E$38,"")</f>
        <v/>
      </c>
      <c r="CM459" s="522" t="str">
        <f>IF(AND(_F="B-717",'2024'!$O$4="FO",'2024'!$O$2=CM423),'2024DATA'!$F$38,"")</f>
        <v/>
      </c>
      <c r="CN459" s="522" t="str">
        <f>IF(AND(_F="B-717",'2024'!$O$4="FO",'2024'!$O$2=CN423),'2024DATA'!$G$38,"")</f>
        <v/>
      </c>
      <c r="CO459" s="522" t="str">
        <f>IF(AND(_F="B-717",'2024'!$O$4="FO",'2024'!$O$2=CO423),'2024DATA'!$H$38,"")</f>
        <v/>
      </c>
      <c r="CP459" s="522" t="str">
        <f>IF(AND(_F="B-717",'2024'!$O$4="FO",'2024'!$O$2=CP423),'2024DATA'!$I$38,"")</f>
        <v/>
      </c>
      <c r="CQ459" s="522" t="str">
        <f>IF(AND(_F="B-717",'2024'!$O$4="FO",'2024'!$O$2=CQ423),'2024DATA'!$J$38,"")</f>
        <v/>
      </c>
      <c r="CR459" s="522" t="str">
        <f>IF(AND(_F="B-717",'2024'!$O$4="FO",'2024'!$O$2=CR423),'2024DATA'!$K$38,"")</f>
        <v/>
      </c>
      <c r="CS459" s="522" t="str">
        <f>IF(AND(_F="B-717",'2024'!$O$4="FO",'2024'!$O$2=CS423),'2024DATA'!$L$38,"")</f>
        <v/>
      </c>
      <c r="CT459" s="522" t="str">
        <f>IF(AND(_F="B-717",'2024'!$O$4="FO",'2024'!$O$2=CT423),'2024DATA'!$M$38,"")</f>
        <v/>
      </c>
      <c r="CU459" s="523" t="str">
        <f>IF(AND(_F="B-717",'2024'!$O$4="FO",'2024'!$O$2=CU423),'2024DATA'!$N$38,"")</f>
        <v/>
      </c>
    </row>
  </sheetData>
  <sheetProtection algorithmName="SHA-512" hashValue="+WBZNYEoHwF2iDupwCd1BRHaSKFRQRDXgrEEF0fTYgBAaAEIGjcFjEYmlO6tqZaH5wp46D1OaJTMavdm5hyxKg==" saltValue="Hc+Z0RkwWDKO61axdi3xHA==" spinCount="100000" sheet="1" objects="1" scenarios="1" selectLockedCells="1" selectUnlockedCells="1"/>
  <mergeCells count="1399">
    <mergeCell ref="P442:P443"/>
    <mergeCell ref="P444:P445"/>
    <mergeCell ref="P446:P447"/>
    <mergeCell ref="P436:P437"/>
    <mergeCell ref="P438:P439"/>
    <mergeCell ref="P440:P441"/>
    <mergeCell ref="P454:P455"/>
    <mergeCell ref="P456:P457"/>
    <mergeCell ref="P458:P459"/>
    <mergeCell ref="P448:P449"/>
    <mergeCell ref="P450:P451"/>
    <mergeCell ref="P452:P453"/>
    <mergeCell ref="P406:P407"/>
    <mergeCell ref="P408:P409"/>
    <mergeCell ref="P410:P411"/>
    <mergeCell ref="P400:P401"/>
    <mergeCell ref="P402:P403"/>
    <mergeCell ref="P404:P405"/>
    <mergeCell ref="P418:P419"/>
    <mergeCell ref="P420:P421"/>
    <mergeCell ref="P422:AC422"/>
    <mergeCell ref="P412:P413"/>
    <mergeCell ref="P414:P415"/>
    <mergeCell ref="P416:P417"/>
    <mergeCell ref="P430:P431"/>
    <mergeCell ref="P432:P433"/>
    <mergeCell ref="P434:P435"/>
    <mergeCell ref="P424:P425"/>
    <mergeCell ref="P426:P427"/>
    <mergeCell ref="P428:P429"/>
    <mergeCell ref="P370:P371"/>
    <mergeCell ref="P372:P373"/>
    <mergeCell ref="P374:P375"/>
    <mergeCell ref="P364:P365"/>
    <mergeCell ref="P366:P367"/>
    <mergeCell ref="P368:P369"/>
    <mergeCell ref="P382:P383"/>
    <mergeCell ref="P384:AC384"/>
    <mergeCell ref="P386:P387"/>
    <mergeCell ref="P376:P377"/>
    <mergeCell ref="P378:P379"/>
    <mergeCell ref="P380:P381"/>
    <mergeCell ref="P394:P395"/>
    <mergeCell ref="P396:P397"/>
    <mergeCell ref="P398:P399"/>
    <mergeCell ref="P388:P389"/>
    <mergeCell ref="P390:P391"/>
    <mergeCell ref="P392:P393"/>
    <mergeCell ref="P334:P335"/>
    <mergeCell ref="P336:P337"/>
    <mergeCell ref="P338:P339"/>
    <mergeCell ref="P328:P329"/>
    <mergeCell ref="P330:P331"/>
    <mergeCell ref="P332:P333"/>
    <mergeCell ref="P346:AC346"/>
    <mergeCell ref="P348:P349"/>
    <mergeCell ref="P350:P351"/>
    <mergeCell ref="P340:P341"/>
    <mergeCell ref="P342:P343"/>
    <mergeCell ref="P344:P345"/>
    <mergeCell ref="P358:P359"/>
    <mergeCell ref="P360:P361"/>
    <mergeCell ref="P362:P363"/>
    <mergeCell ref="P352:P353"/>
    <mergeCell ref="P354:P355"/>
    <mergeCell ref="P356:P357"/>
    <mergeCell ref="P298:P299"/>
    <mergeCell ref="P300:P301"/>
    <mergeCell ref="P302:P303"/>
    <mergeCell ref="P292:P293"/>
    <mergeCell ref="P294:P295"/>
    <mergeCell ref="P296:P297"/>
    <mergeCell ref="P310:P311"/>
    <mergeCell ref="P312:P313"/>
    <mergeCell ref="P314:P315"/>
    <mergeCell ref="P304:P305"/>
    <mergeCell ref="P306:P307"/>
    <mergeCell ref="P308:AC308"/>
    <mergeCell ref="P322:P323"/>
    <mergeCell ref="P324:P325"/>
    <mergeCell ref="P326:P327"/>
    <mergeCell ref="P316:P317"/>
    <mergeCell ref="P318:P319"/>
    <mergeCell ref="P320:P321"/>
    <mergeCell ref="P262:P263"/>
    <mergeCell ref="P264:P265"/>
    <mergeCell ref="P266:P267"/>
    <mergeCell ref="P256:P257"/>
    <mergeCell ref="P258:P259"/>
    <mergeCell ref="P260:P261"/>
    <mergeCell ref="P274:P275"/>
    <mergeCell ref="P276:P277"/>
    <mergeCell ref="P278:P279"/>
    <mergeCell ref="P268:P269"/>
    <mergeCell ref="P270:AC270"/>
    <mergeCell ref="P272:P273"/>
    <mergeCell ref="P286:P287"/>
    <mergeCell ref="P288:P289"/>
    <mergeCell ref="P290:P291"/>
    <mergeCell ref="P280:P281"/>
    <mergeCell ref="P282:P283"/>
    <mergeCell ref="P284:P285"/>
    <mergeCell ref="P226:P227"/>
    <mergeCell ref="P228:P229"/>
    <mergeCell ref="P230:P231"/>
    <mergeCell ref="P220:P221"/>
    <mergeCell ref="P222:P223"/>
    <mergeCell ref="P224:P225"/>
    <mergeCell ref="P238:P239"/>
    <mergeCell ref="P240:P241"/>
    <mergeCell ref="P242:P243"/>
    <mergeCell ref="P232:AC232"/>
    <mergeCell ref="P234:P235"/>
    <mergeCell ref="P236:P237"/>
    <mergeCell ref="P250:P251"/>
    <mergeCell ref="P252:P253"/>
    <mergeCell ref="P254:P255"/>
    <mergeCell ref="P244:P245"/>
    <mergeCell ref="P246:P247"/>
    <mergeCell ref="P248:P249"/>
    <mergeCell ref="P190:P191"/>
    <mergeCell ref="P192:P193"/>
    <mergeCell ref="P194:AC194"/>
    <mergeCell ref="P184:P185"/>
    <mergeCell ref="P186:P187"/>
    <mergeCell ref="P188:P189"/>
    <mergeCell ref="P202:P203"/>
    <mergeCell ref="P204:P205"/>
    <mergeCell ref="P206:P207"/>
    <mergeCell ref="P196:P197"/>
    <mergeCell ref="P198:P199"/>
    <mergeCell ref="P200:P201"/>
    <mergeCell ref="P214:P215"/>
    <mergeCell ref="P216:P217"/>
    <mergeCell ref="P218:P219"/>
    <mergeCell ref="P208:P209"/>
    <mergeCell ref="P210:P211"/>
    <mergeCell ref="P212:P213"/>
    <mergeCell ref="P154:P155"/>
    <mergeCell ref="P156:AC156"/>
    <mergeCell ref="P158:P159"/>
    <mergeCell ref="P148:P149"/>
    <mergeCell ref="P150:P151"/>
    <mergeCell ref="P152:P153"/>
    <mergeCell ref="P166:P167"/>
    <mergeCell ref="P168:P169"/>
    <mergeCell ref="P170:P171"/>
    <mergeCell ref="P160:P161"/>
    <mergeCell ref="P162:P163"/>
    <mergeCell ref="P164:P165"/>
    <mergeCell ref="P178:P179"/>
    <mergeCell ref="P180:P181"/>
    <mergeCell ref="P182:P183"/>
    <mergeCell ref="P172:P173"/>
    <mergeCell ref="P174:P175"/>
    <mergeCell ref="P176:P177"/>
    <mergeCell ref="P118:AC118"/>
    <mergeCell ref="P120:P121"/>
    <mergeCell ref="P122:P123"/>
    <mergeCell ref="P112:P113"/>
    <mergeCell ref="P114:P115"/>
    <mergeCell ref="P116:P117"/>
    <mergeCell ref="P130:P131"/>
    <mergeCell ref="P132:P133"/>
    <mergeCell ref="P134:P135"/>
    <mergeCell ref="P124:P125"/>
    <mergeCell ref="P126:P127"/>
    <mergeCell ref="P128:P129"/>
    <mergeCell ref="P142:P143"/>
    <mergeCell ref="P144:P145"/>
    <mergeCell ref="P146:P147"/>
    <mergeCell ref="P136:P137"/>
    <mergeCell ref="P138:P139"/>
    <mergeCell ref="P140:P141"/>
    <mergeCell ref="P82:P83"/>
    <mergeCell ref="P84:P85"/>
    <mergeCell ref="P86:P87"/>
    <mergeCell ref="P76:P77"/>
    <mergeCell ref="P78:P79"/>
    <mergeCell ref="P80:AC80"/>
    <mergeCell ref="P94:P95"/>
    <mergeCell ref="P96:P97"/>
    <mergeCell ref="P98:P99"/>
    <mergeCell ref="P88:P89"/>
    <mergeCell ref="P90:P91"/>
    <mergeCell ref="P92:P93"/>
    <mergeCell ref="P106:P107"/>
    <mergeCell ref="P108:P109"/>
    <mergeCell ref="P110:P111"/>
    <mergeCell ref="P100:P101"/>
    <mergeCell ref="P102:P103"/>
    <mergeCell ref="P104:P105"/>
    <mergeCell ref="P46:P47"/>
    <mergeCell ref="P48:P49"/>
    <mergeCell ref="P50:P51"/>
    <mergeCell ref="P40:P41"/>
    <mergeCell ref="P42:AC42"/>
    <mergeCell ref="P44:P45"/>
    <mergeCell ref="P58:P59"/>
    <mergeCell ref="P60:P61"/>
    <mergeCell ref="P62:P63"/>
    <mergeCell ref="P52:P53"/>
    <mergeCell ref="P54:P55"/>
    <mergeCell ref="P56:P57"/>
    <mergeCell ref="P70:P71"/>
    <mergeCell ref="P72:P73"/>
    <mergeCell ref="P74:P75"/>
    <mergeCell ref="P64:P65"/>
    <mergeCell ref="P66:P67"/>
    <mergeCell ref="P68:P69"/>
    <mergeCell ref="P22:P23"/>
    <mergeCell ref="P24:P25"/>
    <mergeCell ref="P26:P27"/>
    <mergeCell ref="P16:P17"/>
    <mergeCell ref="P18:P19"/>
    <mergeCell ref="P20:P21"/>
    <mergeCell ref="A17:A18"/>
    <mergeCell ref="A19:A20"/>
    <mergeCell ref="A21:A22"/>
    <mergeCell ref="A23:A24"/>
    <mergeCell ref="A25:A26"/>
    <mergeCell ref="A27:A28"/>
    <mergeCell ref="P34:P35"/>
    <mergeCell ref="P36:P37"/>
    <mergeCell ref="P38:P39"/>
    <mergeCell ref="P28:P29"/>
    <mergeCell ref="P30:P31"/>
    <mergeCell ref="P32:P33"/>
    <mergeCell ref="A29:A30"/>
    <mergeCell ref="A31:A32"/>
    <mergeCell ref="A33:A34"/>
    <mergeCell ref="A35:A36"/>
    <mergeCell ref="A37:A38"/>
    <mergeCell ref="AD1:AQ1"/>
    <mergeCell ref="AD4:AQ4"/>
    <mergeCell ref="AD6:AD7"/>
    <mergeCell ref="AD8:AD9"/>
    <mergeCell ref="AD10:AD11"/>
    <mergeCell ref="AD12:AD13"/>
    <mergeCell ref="AD14:AD15"/>
    <mergeCell ref="AD16:AD17"/>
    <mergeCell ref="AD18:AD19"/>
    <mergeCell ref="P1:AC1"/>
    <mergeCell ref="A1:N1"/>
    <mergeCell ref="A3:A4"/>
    <mergeCell ref="A5:A6"/>
    <mergeCell ref="A7:A8"/>
    <mergeCell ref="A9:A10"/>
    <mergeCell ref="A11:A12"/>
    <mergeCell ref="P10:P11"/>
    <mergeCell ref="P12:P13"/>
    <mergeCell ref="P14:P15"/>
    <mergeCell ref="P4:AC4"/>
    <mergeCell ref="P6:P7"/>
    <mergeCell ref="P8:P9"/>
    <mergeCell ref="A13:A14"/>
    <mergeCell ref="A15:A16"/>
    <mergeCell ref="AD38:AD39"/>
    <mergeCell ref="AD40:AD41"/>
    <mergeCell ref="AD42:AQ42"/>
    <mergeCell ref="AD44:AD45"/>
    <mergeCell ref="AD46:AD47"/>
    <mergeCell ref="AD48:AD49"/>
    <mergeCell ref="AD50:AD51"/>
    <mergeCell ref="AD52:AD53"/>
    <mergeCell ref="AD54:AD55"/>
    <mergeCell ref="AD20:AD21"/>
    <mergeCell ref="AD22:AD23"/>
    <mergeCell ref="AD24:AD25"/>
    <mergeCell ref="AD26:AD27"/>
    <mergeCell ref="AD28:AD29"/>
    <mergeCell ref="AD30:AD31"/>
    <mergeCell ref="AD32:AD33"/>
    <mergeCell ref="AD34:AD35"/>
    <mergeCell ref="AD36:AD37"/>
    <mergeCell ref="AD74:AD75"/>
    <mergeCell ref="AD76:AD77"/>
    <mergeCell ref="AD78:AD79"/>
    <mergeCell ref="AD80:AQ80"/>
    <mergeCell ref="AD82:AD83"/>
    <mergeCell ref="AD84:AD85"/>
    <mergeCell ref="AD86:AD87"/>
    <mergeCell ref="AD88:AD89"/>
    <mergeCell ref="AD90:AD91"/>
    <mergeCell ref="AD56:AD57"/>
    <mergeCell ref="AD58:AD59"/>
    <mergeCell ref="AD60:AD61"/>
    <mergeCell ref="AD62:AD63"/>
    <mergeCell ref="AD64:AD65"/>
    <mergeCell ref="AD66:AD67"/>
    <mergeCell ref="AD68:AD69"/>
    <mergeCell ref="AD70:AD71"/>
    <mergeCell ref="AD72:AD73"/>
    <mergeCell ref="AD110:AD111"/>
    <mergeCell ref="AD112:AD113"/>
    <mergeCell ref="AD114:AD115"/>
    <mergeCell ref="AD116:AD117"/>
    <mergeCell ref="AD118:AQ118"/>
    <mergeCell ref="AD120:AD121"/>
    <mergeCell ref="AD122:AD123"/>
    <mergeCell ref="AD124:AD125"/>
    <mergeCell ref="AD126:AD127"/>
    <mergeCell ref="AD92:AD93"/>
    <mergeCell ref="AD94:AD95"/>
    <mergeCell ref="AD96:AD97"/>
    <mergeCell ref="AD98:AD99"/>
    <mergeCell ref="AD100:AD101"/>
    <mergeCell ref="AD102:AD103"/>
    <mergeCell ref="AD104:AD105"/>
    <mergeCell ref="AD106:AD107"/>
    <mergeCell ref="AD108:AD109"/>
    <mergeCell ref="AD146:AD147"/>
    <mergeCell ref="AD148:AD149"/>
    <mergeCell ref="AD150:AD151"/>
    <mergeCell ref="AD152:AD153"/>
    <mergeCell ref="AD154:AD155"/>
    <mergeCell ref="AD156:AQ156"/>
    <mergeCell ref="AD158:AD159"/>
    <mergeCell ref="AD160:AD161"/>
    <mergeCell ref="AD162:AD163"/>
    <mergeCell ref="AD128:AD129"/>
    <mergeCell ref="AD130:AD131"/>
    <mergeCell ref="AD132:AD133"/>
    <mergeCell ref="AD134:AD135"/>
    <mergeCell ref="AD136:AD137"/>
    <mergeCell ref="AD138:AD139"/>
    <mergeCell ref="AD140:AD141"/>
    <mergeCell ref="AD142:AD143"/>
    <mergeCell ref="AD144:AD145"/>
    <mergeCell ref="AD182:AD183"/>
    <mergeCell ref="AD184:AD185"/>
    <mergeCell ref="AD186:AD187"/>
    <mergeCell ref="AD188:AD189"/>
    <mergeCell ref="AD190:AD191"/>
    <mergeCell ref="AD192:AD193"/>
    <mergeCell ref="AD194:AQ194"/>
    <mergeCell ref="AD196:AD197"/>
    <mergeCell ref="AD198:AD199"/>
    <mergeCell ref="AD164:AD165"/>
    <mergeCell ref="AD166:AD167"/>
    <mergeCell ref="AD168:AD169"/>
    <mergeCell ref="AD170:AD171"/>
    <mergeCell ref="AD172:AD173"/>
    <mergeCell ref="AD174:AD175"/>
    <mergeCell ref="AD176:AD177"/>
    <mergeCell ref="AD178:AD179"/>
    <mergeCell ref="AD180:AD181"/>
    <mergeCell ref="AD218:AD219"/>
    <mergeCell ref="AD220:AD221"/>
    <mergeCell ref="AD222:AD223"/>
    <mergeCell ref="AD224:AD225"/>
    <mergeCell ref="AD226:AD227"/>
    <mergeCell ref="AD228:AD229"/>
    <mergeCell ref="AD230:AD231"/>
    <mergeCell ref="AD232:AQ232"/>
    <mergeCell ref="AD234:AD235"/>
    <mergeCell ref="AD200:AD201"/>
    <mergeCell ref="AD202:AD203"/>
    <mergeCell ref="AD204:AD205"/>
    <mergeCell ref="AD206:AD207"/>
    <mergeCell ref="AD208:AD209"/>
    <mergeCell ref="AD210:AD211"/>
    <mergeCell ref="AD212:AD213"/>
    <mergeCell ref="AD214:AD215"/>
    <mergeCell ref="AD216:AD217"/>
    <mergeCell ref="AD254:AD255"/>
    <mergeCell ref="AD256:AD257"/>
    <mergeCell ref="AD258:AD259"/>
    <mergeCell ref="AD260:AD261"/>
    <mergeCell ref="AD262:AD263"/>
    <mergeCell ref="AD264:AD265"/>
    <mergeCell ref="AD266:AD267"/>
    <mergeCell ref="AD268:AD269"/>
    <mergeCell ref="AD270:AQ270"/>
    <mergeCell ref="AD236:AD237"/>
    <mergeCell ref="AD238:AD239"/>
    <mergeCell ref="AD240:AD241"/>
    <mergeCell ref="AD242:AD243"/>
    <mergeCell ref="AD244:AD245"/>
    <mergeCell ref="AD246:AD247"/>
    <mergeCell ref="AD248:AD249"/>
    <mergeCell ref="AD250:AD251"/>
    <mergeCell ref="AD252:AD253"/>
    <mergeCell ref="AD290:AD291"/>
    <mergeCell ref="AD292:AD293"/>
    <mergeCell ref="AD294:AD295"/>
    <mergeCell ref="AD296:AD297"/>
    <mergeCell ref="AD298:AD299"/>
    <mergeCell ref="AD300:AD301"/>
    <mergeCell ref="AD302:AD303"/>
    <mergeCell ref="AD304:AD305"/>
    <mergeCell ref="AD306:AD307"/>
    <mergeCell ref="AD272:AD273"/>
    <mergeCell ref="AD274:AD275"/>
    <mergeCell ref="AD276:AD277"/>
    <mergeCell ref="AD278:AD279"/>
    <mergeCell ref="AD280:AD281"/>
    <mergeCell ref="AD282:AD283"/>
    <mergeCell ref="AD284:AD285"/>
    <mergeCell ref="AD286:AD287"/>
    <mergeCell ref="AD288:AD289"/>
    <mergeCell ref="AD326:AD327"/>
    <mergeCell ref="AD328:AD329"/>
    <mergeCell ref="AD330:AD331"/>
    <mergeCell ref="AD332:AD333"/>
    <mergeCell ref="AD334:AD335"/>
    <mergeCell ref="AD336:AD337"/>
    <mergeCell ref="AD338:AD339"/>
    <mergeCell ref="AD340:AD341"/>
    <mergeCell ref="AD342:AD343"/>
    <mergeCell ref="AD308:AQ308"/>
    <mergeCell ref="AD310:AD311"/>
    <mergeCell ref="AD312:AD313"/>
    <mergeCell ref="AD314:AD315"/>
    <mergeCell ref="AD316:AD317"/>
    <mergeCell ref="AD318:AD319"/>
    <mergeCell ref="AD320:AD321"/>
    <mergeCell ref="AD322:AD323"/>
    <mergeCell ref="AD324:AD325"/>
    <mergeCell ref="AD388:AD389"/>
    <mergeCell ref="AD390:AD391"/>
    <mergeCell ref="AD392:AD393"/>
    <mergeCell ref="AD394:AD395"/>
    <mergeCell ref="AD396:AD397"/>
    <mergeCell ref="AD362:AD363"/>
    <mergeCell ref="AD364:AD365"/>
    <mergeCell ref="AD366:AD367"/>
    <mergeCell ref="AD368:AD369"/>
    <mergeCell ref="AD370:AD371"/>
    <mergeCell ref="AD372:AD373"/>
    <mergeCell ref="AD374:AD375"/>
    <mergeCell ref="AD376:AD377"/>
    <mergeCell ref="AD378:AD379"/>
    <mergeCell ref="AD344:AD345"/>
    <mergeCell ref="AD346:AQ346"/>
    <mergeCell ref="AD348:AD349"/>
    <mergeCell ref="AD350:AD351"/>
    <mergeCell ref="AD352:AD353"/>
    <mergeCell ref="AD354:AD355"/>
    <mergeCell ref="AD356:AD357"/>
    <mergeCell ref="AD358:AD359"/>
    <mergeCell ref="AD360:AD361"/>
    <mergeCell ref="AR40:AR41"/>
    <mergeCell ref="AD434:AD435"/>
    <mergeCell ref="AD436:AD437"/>
    <mergeCell ref="AD438:AD439"/>
    <mergeCell ref="AD440:AD441"/>
    <mergeCell ref="AD442:AD443"/>
    <mergeCell ref="AD444:AD445"/>
    <mergeCell ref="AD446:AD447"/>
    <mergeCell ref="AD448:AD449"/>
    <mergeCell ref="AD450:AD451"/>
    <mergeCell ref="AD416:AD417"/>
    <mergeCell ref="AD418:AD419"/>
    <mergeCell ref="AD420:AD421"/>
    <mergeCell ref="AD422:AQ422"/>
    <mergeCell ref="AD424:AD425"/>
    <mergeCell ref="AD426:AD427"/>
    <mergeCell ref="AD428:AD429"/>
    <mergeCell ref="AD430:AD431"/>
    <mergeCell ref="AD432:AD433"/>
    <mergeCell ref="AD398:AD399"/>
    <mergeCell ref="AD400:AD401"/>
    <mergeCell ref="AD402:AD403"/>
    <mergeCell ref="AD404:AD405"/>
    <mergeCell ref="AD406:AD407"/>
    <mergeCell ref="AD408:AD409"/>
    <mergeCell ref="AD410:AD411"/>
    <mergeCell ref="AD412:AD413"/>
    <mergeCell ref="AD414:AD415"/>
    <mergeCell ref="AD380:AD381"/>
    <mergeCell ref="AD382:AD383"/>
    <mergeCell ref="AD384:AQ384"/>
    <mergeCell ref="AD386:AD387"/>
    <mergeCell ref="AR42:BE42"/>
    <mergeCell ref="AR44:AR45"/>
    <mergeCell ref="AR46:AR47"/>
    <mergeCell ref="AR48:AR49"/>
    <mergeCell ref="AR50:AR51"/>
    <mergeCell ref="AR52:AR53"/>
    <mergeCell ref="AR54:AR55"/>
    <mergeCell ref="AR56:AR57"/>
    <mergeCell ref="AR58:AR59"/>
    <mergeCell ref="AD452:AD453"/>
    <mergeCell ref="AD454:AD455"/>
    <mergeCell ref="AD456:AD457"/>
    <mergeCell ref="AD458:AD459"/>
    <mergeCell ref="AR1:BE1"/>
    <mergeCell ref="AR4:BE4"/>
    <mergeCell ref="AR6:AR7"/>
    <mergeCell ref="AR8:AR9"/>
    <mergeCell ref="AR10:AR11"/>
    <mergeCell ref="AR12:AR13"/>
    <mergeCell ref="AR14:AR15"/>
    <mergeCell ref="AR16:AR17"/>
    <mergeCell ref="AR18:AR19"/>
    <mergeCell ref="AR20:AR21"/>
    <mergeCell ref="AR22:AR23"/>
    <mergeCell ref="AR24:AR25"/>
    <mergeCell ref="AR26:AR27"/>
    <mergeCell ref="AR28:AR29"/>
    <mergeCell ref="AR30:AR31"/>
    <mergeCell ref="AR32:AR33"/>
    <mergeCell ref="AR34:AR35"/>
    <mergeCell ref="AR36:AR37"/>
    <mergeCell ref="AR38:AR39"/>
    <mergeCell ref="AR78:AR79"/>
    <mergeCell ref="AR80:BE80"/>
    <mergeCell ref="AR82:AR83"/>
    <mergeCell ref="AR84:AR85"/>
    <mergeCell ref="AR86:AR87"/>
    <mergeCell ref="AR88:AR89"/>
    <mergeCell ref="AR90:AR91"/>
    <mergeCell ref="AR92:AR93"/>
    <mergeCell ref="AR94:AR95"/>
    <mergeCell ref="AR60:AR61"/>
    <mergeCell ref="AR62:AR63"/>
    <mergeCell ref="AR64:AR65"/>
    <mergeCell ref="AR66:AR67"/>
    <mergeCell ref="AR68:AR69"/>
    <mergeCell ref="AR70:AR71"/>
    <mergeCell ref="AR72:AR73"/>
    <mergeCell ref="AR74:AR75"/>
    <mergeCell ref="AR76:AR77"/>
    <mergeCell ref="AR114:AR115"/>
    <mergeCell ref="AR116:AR117"/>
    <mergeCell ref="AR118:BE118"/>
    <mergeCell ref="AR120:AR121"/>
    <mergeCell ref="AR122:AR123"/>
    <mergeCell ref="AR124:AR125"/>
    <mergeCell ref="AR126:AR127"/>
    <mergeCell ref="AR128:AR129"/>
    <mergeCell ref="AR130:AR131"/>
    <mergeCell ref="AR96:AR97"/>
    <mergeCell ref="AR98:AR99"/>
    <mergeCell ref="AR100:AR101"/>
    <mergeCell ref="AR102:AR103"/>
    <mergeCell ref="AR104:AR105"/>
    <mergeCell ref="AR106:AR107"/>
    <mergeCell ref="AR108:AR109"/>
    <mergeCell ref="AR110:AR111"/>
    <mergeCell ref="AR112:AR113"/>
    <mergeCell ref="AR150:AR151"/>
    <mergeCell ref="AR152:AR153"/>
    <mergeCell ref="AR154:AR155"/>
    <mergeCell ref="AR156:BE156"/>
    <mergeCell ref="AR158:AR159"/>
    <mergeCell ref="AR160:AR161"/>
    <mergeCell ref="AR162:AR163"/>
    <mergeCell ref="AR164:AR165"/>
    <mergeCell ref="AR166:AR167"/>
    <mergeCell ref="AR132:AR133"/>
    <mergeCell ref="AR134:AR135"/>
    <mergeCell ref="AR136:AR137"/>
    <mergeCell ref="AR138:AR139"/>
    <mergeCell ref="AR140:AR141"/>
    <mergeCell ref="AR142:AR143"/>
    <mergeCell ref="AR144:AR145"/>
    <mergeCell ref="AR146:AR147"/>
    <mergeCell ref="AR148:AR149"/>
    <mergeCell ref="AR186:AR187"/>
    <mergeCell ref="AR188:AR189"/>
    <mergeCell ref="AR190:AR191"/>
    <mergeCell ref="AR192:AR193"/>
    <mergeCell ref="AR194:BE194"/>
    <mergeCell ref="AR196:AR197"/>
    <mergeCell ref="AR198:AR199"/>
    <mergeCell ref="AR200:AR201"/>
    <mergeCell ref="AR202:AR203"/>
    <mergeCell ref="AR168:AR169"/>
    <mergeCell ref="AR170:AR171"/>
    <mergeCell ref="AR172:AR173"/>
    <mergeCell ref="AR174:AR175"/>
    <mergeCell ref="AR176:AR177"/>
    <mergeCell ref="AR178:AR179"/>
    <mergeCell ref="AR180:AR181"/>
    <mergeCell ref="AR182:AR183"/>
    <mergeCell ref="AR184:AR185"/>
    <mergeCell ref="AR222:AR223"/>
    <mergeCell ref="AR224:AR225"/>
    <mergeCell ref="AR226:AR227"/>
    <mergeCell ref="AR228:AR229"/>
    <mergeCell ref="AR230:AR231"/>
    <mergeCell ref="AR232:BE232"/>
    <mergeCell ref="AR234:AR235"/>
    <mergeCell ref="AR236:AR237"/>
    <mergeCell ref="AR238:AR239"/>
    <mergeCell ref="AR204:AR205"/>
    <mergeCell ref="AR206:AR207"/>
    <mergeCell ref="AR208:AR209"/>
    <mergeCell ref="AR210:AR211"/>
    <mergeCell ref="AR212:AR213"/>
    <mergeCell ref="AR214:AR215"/>
    <mergeCell ref="AR216:AR217"/>
    <mergeCell ref="AR218:AR219"/>
    <mergeCell ref="AR220:AR221"/>
    <mergeCell ref="AR258:AR259"/>
    <mergeCell ref="AR260:AR261"/>
    <mergeCell ref="AR262:AR263"/>
    <mergeCell ref="AR264:AR265"/>
    <mergeCell ref="AR266:AR267"/>
    <mergeCell ref="AR268:AR269"/>
    <mergeCell ref="AR270:BE270"/>
    <mergeCell ref="AR272:AR273"/>
    <mergeCell ref="AR274:AR275"/>
    <mergeCell ref="AR240:AR241"/>
    <mergeCell ref="AR242:AR243"/>
    <mergeCell ref="AR244:AR245"/>
    <mergeCell ref="AR246:AR247"/>
    <mergeCell ref="AR248:AR249"/>
    <mergeCell ref="AR250:AR251"/>
    <mergeCell ref="AR252:AR253"/>
    <mergeCell ref="AR254:AR255"/>
    <mergeCell ref="AR256:AR257"/>
    <mergeCell ref="AR294:AR295"/>
    <mergeCell ref="AR296:AR297"/>
    <mergeCell ref="AR298:AR299"/>
    <mergeCell ref="AR300:AR301"/>
    <mergeCell ref="AR302:AR303"/>
    <mergeCell ref="AR304:AR305"/>
    <mergeCell ref="AR306:AR307"/>
    <mergeCell ref="AR308:BE308"/>
    <mergeCell ref="AR310:AR311"/>
    <mergeCell ref="AR276:AR277"/>
    <mergeCell ref="AR278:AR279"/>
    <mergeCell ref="AR280:AR281"/>
    <mergeCell ref="AR282:AR283"/>
    <mergeCell ref="AR284:AR285"/>
    <mergeCell ref="AR286:AR287"/>
    <mergeCell ref="AR288:AR289"/>
    <mergeCell ref="AR290:AR291"/>
    <mergeCell ref="AR292:AR293"/>
    <mergeCell ref="AR330:AR331"/>
    <mergeCell ref="AR332:AR333"/>
    <mergeCell ref="AR334:AR335"/>
    <mergeCell ref="AR336:AR337"/>
    <mergeCell ref="AR338:AR339"/>
    <mergeCell ref="AR340:AR341"/>
    <mergeCell ref="AR342:AR343"/>
    <mergeCell ref="AR344:AR345"/>
    <mergeCell ref="AR346:BE346"/>
    <mergeCell ref="AR312:AR313"/>
    <mergeCell ref="AR314:AR315"/>
    <mergeCell ref="AR316:AR317"/>
    <mergeCell ref="AR318:AR319"/>
    <mergeCell ref="AR320:AR321"/>
    <mergeCell ref="AR322:AR323"/>
    <mergeCell ref="AR324:AR325"/>
    <mergeCell ref="AR326:AR327"/>
    <mergeCell ref="AR328:AR329"/>
    <mergeCell ref="AR392:AR393"/>
    <mergeCell ref="AR394:AR395"/>
    <mergeCell ref="AR396:AR397"/>
    <mergeCell ref="AR398:AR399"/>
    <mergeCell ref="AR400:AR401"/>
    <mergeCell ref="AR366:AR367"/>
    <mergeCell ref="AR368:AR369"/>
    <mergeCell ref="AR370:AR371"/>
    <mergeCell ref="AR372:AR373"/>
    <mergeCell ref="AR374:AR375"/>
    <mergeCell ref="AR376:AR377"/>
    <mergeCell ref="AR378:AR379"/>
    <mergeCell ref="AR380:AR381"/>
    <mergeCell ref="AR382:AR383"/>
    <mergeCell ref="AR348:AR349"/>
    <mergeCell ref="AR350:AR351"/>
    <mergeCell ref="AR352:AR353"/>
    <mergeCell ref="AR354:AR355"/>
    <mergeCell ref="AR356:AR357"/>
    <mergeCell ref="AR358:AR359"/>
    <mergeCell ref="AR360:AR361"/>
    <mergeCell ref="AR362:AR363"/>
    <mergeCell ref="AR364:AR365"/>
    <mergeCell ref="BF44:BF45"/>
    <mergeCell ref="AR438:AR439"/>
    <mergeCell ref="AR440:AR441"/>
    <mergeCell ref="AR442:AR443"/>
    <mergeCell ref="AR444:AR445"/>
    <mergeCell ref="AR446:AR447"/>
    <mergeCell ref="AR448:AR449"/>
    <mergeCell ref="AR450:AR451"/>
    <mergeCell ref="AR452:AR453"/>
    <mergeCell ref="AR454:AR455"/>
    <mergeCell ref="AR420:AR421"/>
    <mergeCell ref="AR422:BE422"/>
    <mergeCell ref="AR424:AR425"/>
    <mergeCell ref="AR426:AR427"/>
    <mergeCell ref="AR428:AR429"/>
    <mergeCell ref="AR430:AR431"/>
    <mergeCell ref="AR432:AR433"/>
    <mergeCell ref="AR434:AR435"/>
    <mergeCell ref="AR436:AR437"/>
    <mergeCell ref="AR402:AR403"/>
    <mergeCell ref="AR404:AR405"/>
    <mergeCell ref="AR406:AR407"/>
    <mergeCell ref="AR408:AR409"/>
    <mergeCell ref="AR410:AR411"/>
    <mergeCell ref="AR412:AR413"/>
    <mergeCell ref="AR414:AR415"/>
    <mergeCell ref="AR416:AR417"/>
    <mergeCell ref="AR418:AR419"/>
    <mergeCell ref="AR384:BE384"/>
    <mergeCell ref="AR386:AR387"/>
    <mergeCell ref="AR388:AR389"/>
    <mergeCell ref="AR390:AR391"/>
    <mergeCell ref="BF46:BF47"/>
    <mergeCell ref="BF48:BF49"/>
    <mergeCell ref="BF50:BF51"/>
    <mergeCell ref="BF52:BF53"/>
    <mergeCell ref="BF54:BF55"/>
    <mergeCell ref="BF56:BF57"/>
    <mergeCell ref="BF58:BF59"/>
    <mergeCell ref="BF60:BF61"/>
    <mergeCell ref="BF62:BF63"/>
    <mergeCell ref="AR456:AR457"/>
    <mergeCell ref="AR458:AR459"/>
    <mergeCell ref="BF1:BS1"/>
    <mergeCell ref="BF4:BS4"/>
    <mergeCell ref="BF6:BF7"/>
    <mergeCell ref="BF8:BF9"/>
    <mergeCell ref="BF10:BF11"/>
    <mergeCell ref="BF12:BF13"/>
    <mergeCell ref="BF14:BF15"/>
    <mergeCell ref="BF16:BF17"/>
    <mergeCell ref="BF18:BF19"/>
    <mergeCell ref="BF20:BF21"/>
    <mergeCell ref="BF22:BF23"/>
    <mergeCell ref="BF24:BF25"/>
    <mergeCell ref="BF26:BF27"/>
    <mergeCell ref="BF28:BF29"/>
    <mergeCell ref="BF30:BF31"/>
    <mergeCell ref="BF32:BF33"/>
    <mergeCell ref="BF34:BF35"/>
    <mergeCell ref="BF36:BF37"/>
    <mergeCell ref="BF38:BF39"/>
    <mergeCell ref="BF40:BF41"/>
    <mergeCell ref="BF42:BS42"/>
    <mergeCell ref="BF82:BF83"/>
    <mergeCell ref="BF84:BF85"/>
    <mergeCell ref="BF86:BF87"/>
    <mergeCell ref="BF88:BF89"/>
    <mergeCell ref="BF90:BF91"/>
    <mergeCell ref="BF92:BF93"/>
    <mergeCell ref="BF94:BF95"/>
    <mergeCell ref="BF96:BF97"/>
    <mergeCell ref="BF98:BF99"/>
    <mergeCell ref="BF64:BF65"/>
    <mergeCell ref="BF66:BF67"/>
    <mergeCell ref="BF68:BF69"/>
    <mergeCell ref="BF70:BF71"/>
    <mergeCell ref="BF72:BF73"/>
    <mergeCell ref="BF74:BF75"/>
    <mergeCell ref="BF76:BF77"/>
    <mergeCell ref="BF78:BF79"/>
    <mergeCell ref="BF80:BS80"/>
    <mergeCell ref="BF118:BS118"/>
    <mergeCell ref="BF120:BF121"/>
    <mergeCell ref="BF122:BF123"/>
    <mergeCell ref="BF124:BF125"/>
    <mergeCell ref="BF126:BF127"/>
    <mergeCell ref="BF128:BF129"/>
    <mergeCell ref="BF130:BF131"/>
    <mergeCell ref="BF132:BF133"/>
    <mergeCell ref="BF134:BF135"/>
    <mergeCell ref="BF100:BF101"/>
    <mergeCell ref="BF102:BF103"/>
    <mergeCell ref="BF104:BF105"/>
    <mergeCell ref="BF106:BF107"/>
    <mergeCell ref="BF108:BF109"/>
    <mergeCell ref="BF110:BF111"/>
    <mergeCell ref="BF112:BF113"/>
    <mergeCell ref="BF114:BF115"/>
    <mergeCell ref="BF116:BF117"/>
    <mergeCell ref="BF154:BF155"/>
    <mergeCell ref="BF156:BS156"/>
    <mergeCell ref="BF158:BF159"/>
    <mergeCell ref="BF160:BF161"/>
    <mergeCell ref="BF162:BF163"/>
    <mergeCell ref="BF164:BF165"/>
    <mergeCell ref="BF166:BF167"/>
    <mergeCell ref="BF168:BF169"/>
    <mergeCell ref="BF170:BF171"/>
    <mergeCell ref="BF136:BF137"/>
    <mergeCell ref="BF138:BF139"/>
    <mergeCell ref="BF140:BF141"/>
    <mergeCell ref="BF142:BF143"/>
    <mergeCell ref="BF144:BF145"/>
    <mergeCell ref="BF146:BF147"/>
    <mergeCell ref="BF148:BF149"/>
    <mergeCell ref="BF150:BF151"/>
    <mergeCell ref="BF152:BF153"/>
    <mergeCell ref="BF190:BF191"/>
    <mergeCell ref="BF192:BF193"/>
    <mergeCell ref="BF194:BS194"/>
    <mergeCell ref="BF196:BF197"/>
    <mergeCell ref="BF198:BF199"/>
    <mergeCell ref="BF200:BF201"/>
    <mergeCell ref="BF202:BF203"/>
    <mergeCell ref="BF204:BF205"/>
    <mergeCell ref="BF206:BF207"/>
    <mergeCell ref="BF172:BF173"/>
    <mergeCell ref="BF174:BF175"/>
    <mergeCell ref="BF176:BF177"/>
    <mergeCell ref="BF178:BF179"/>
    <mergeCell ref="BF180:BF181"/>
    <mergeCell ref="BF182:BF183"/>
    <mergeCell ref="BF184:BF185"/>
    <mergeCell ref="BF186:BF187"/>
    <mergeCell ref="BF188:BF189"/>
    <mergeCell ref="BF226:BF227"/>
    <mergeCell ref="BF228:BF229"/>
    <mergeCell ref="BF230:BF231"/>
    <mergeCell ref="BF232:BS232"/>
    <mergeCell ref="BF234:BF235"/>
    <mergeCell ref="BF236:BF237"/>
    <mergeCell ref="BF238:BF239"/>
    <mergeCell ref="BF240:BF241"/>
    <mergeCell ref="BF242:BF243"/>
    <mergeCell ref="BF208:BF209"/>
    <mergeCell ref="BF210:BF211"/>
    <mergeCell ref="BF212:BF213"/>
    <mergeCell ref="BF214:BF215"/>
    <mergeCell ref="BF216:BF217"/>
    <mergeCell ref="BF218:BF219"/>
    <mergeCell ref="BF220:BF221"/>
    <mergeCell ref="BF222:BF223"/>
    <mergeCell ref="BF224:BF225"/>
    <mergeCell ref="BF262:BF263"/>
    <mergeCell ref="BF264:BF265"/>
    <mergeCell ref="BF266:BF267"/>
    <mergeCell ref="BF268:BF269"/>
    <mergeCell ref="BF270:BS270"/>
    <mergeCell ref="BF272:BF273"/>
    <mergeCell ref="BF274:BF275"/>
    <mergeCell ref="BF276:BF277"/>
    <mergeCell ref="BF278:BF279"/>
    <mergeCell ref="BF244:BF245"/>
    <mergeCell ref="BF246:BF247"/>
    <mergeCell ref="BF248:BF249"/>
    <mergeCell ref="BF250:BF251"/>
    <mergeCell ref="BF252:BF253"/>
    <mergeCell ref="BF254:BF255"/>
    <mergeCell ref="BF256:BF257"/>
    <mergeCell ref="BF258:BF259"/>
    <mergeCell ref="BF260:BF261"/>
    <mergeCell ref="BF298:BF299"/>
    <mergeCell ref="BF300:BF301"/>
    <mergeCell ref="BF302:BF303"/>
    <mergeCell ref="BF304:BF305"/>
    <mergeCell ref="BF306:BF307"/>
    <mergeCell ref="BF308:BS308"/>
    <mergeCell ref="BF310:BF311"/>
    <mergeCell ref="BF312:BF313"/>
    <mergeCell ref="BF314:BF315"/>
    <mergeCell ref="BF280:BF281"/>
    <mergeCell ref="BF282:BF283"/>
    <mergeCell ref="BF284:BF285"/>
    <mergeCell ref="BF286:BF287"/>
    <mergeCell ref="BF288:BF289"/>
    <mergeCell ref="BF290:BF291"/>
    <mergeCell ref="BF292:BF293"/>
    <mergeCell ref="BF294:BF295"/>
    <mergeCell ref="BF296:BF297"/>
    <mergeCell ref="BF334:BF335"/>
    <mergeCell ref="BF336:BF337"/>
    <mergeCell ref="BF338:BF339"/>
    <mergeCell ref="BF340:BF341"/>
    <mergeCell ref="BF342:BF343"/>
    <mergeCell ref="BF344:BF345"/>
    <mergeCell ref="BF346:BS346"/>
    <mergeCell ref="BF348:BF349"/>
    <mergeCell ref="BF350:BF351"/>
    <mergeCell ref="BF316:BF317"/>
    <mergeCell ref="BF318:BF319"/>
    <mergeCell ref="BF320:BF321"/>
    <mergeCell ref="BF322:BF323"/>
    <mergeCell ref="BF324:BF325"/>
    <mergeCell ref="BF326:BF327"/>
    <mergeCell ref="BF328:BF329"/>
    <mergeCell ref="BF330:BF331"/>
    <mergeCell ref="BF332:BF333"/>
    <mergeCell ref="BF370:BF371"/>
    <mergeCell ref="BF372:BF373"/>
    <mergeCell ref="BF374:BF375"/>
    <mergeCell ref="BF376:BF377"/>
    <mergeCell ref="BF378:BF379"/>
    <mergeCell ref="BF380:BF381"/>
    <mergeCell ref="BF382:BF383"/>
    <mergeCell ref="BF384:BS384"/>
    <mergeCell ref="BF386:BF387"/>
    <mergeCell ref="BF352:BF353"/>
    <mergeCell ref="BF354:BF355"/>
    <mergeCell ref="BF356:BF357"/>
    <mergeCell ref="BF358:BF359"/>
    <mergeCell ref="BF360:BF361"/>
    <mergeCell ref="BF362:BF363"/>
    <mergeCell ref="BF364:BF365"/>
    <mergeCell ref="BF366:BF367"/>
    <mergeCell ref="BF368:BF369"/>
    <mergeCell ref="BF406:BF407"/>
    <mergeCell ref="BF408:BF409"/>
    <mergeCell ref="BF410:BF411"/>
    <mergeCell ref="BF412:BF413"/>
    <mergeCell ref="BF414:BF415"/>
    <mergeCell ref="BF416:BF417"/>
    <mergeCell ref="BF418:BF419"/>
    <mergeCell ref="BF420:BF421"/>
    <mergeCell ref="BF422:BS422"/>
    <mergeCell ref="BF388:BF389"/>
    <mergeCell ref="BF390:BF391"/>
    <mergeCell ref="BF392:BF393"/>
    <mergeCell ref="BF394:BF395"/>
    <mergeCell ref="BF396:BF397"/>
    <mergeCell ref="BF398:BF399"/>
    <mergeCell ref="BF400:BF401"/>
    <mergeCell ref="BF402:BF403"/>
    <mergeCell ref="BF404:BF405"/>
    <mergeCell ref="BF442:BF443"/>
    <mergeCell ref="BF444:BF445"/>
    <mergeCell ref="BF446:BF447"/>
    <mergeCell ref="BF448:BF449"/>
    <mergeCell ref="BF450:BF451"/>
    <mergeCell ref="BF452:BF453"/>
    <mergeCell ref="BF454:BF455"/>
    <mergeCell ref="BF456:BF457"/>
    <mergeCell ref="BF458:BF459"/>
    <mergeCell ref="BF424:BF425"/>
    <mergeCell ref="BF426:BF427"/>
    <mergeCell ref="BF428:BF429"/>
    <mergeCell ref="BF430:BF431"/>
    <mergeCell ref="BF432:BF433"/>
    <mergeCell ref="BF434:BF435"/>
    <mergeCell ref="BF436:BF437"/>
    <mergeCell ref="BF438:BF439"/>
    <mergeCell ref="BF440:BF441"/>
    <mergeCell ref="BT20:BT21"/>
    <mergeCell ref="BT22:BT23"/>
    <mergeCell ref="BT24:BT25"/>
    <mergeCell ref="BT26:BT27"/>
    <mergeCell ref="BT28:BT29"/>
    <mergeCell ref="BT30:BT31"/>
    <mergeCell ref="BT32:BT33"/>
    <mergeCell ref="BT34:BT35"/>
    <mergeCell ref="BT36:BT37"/>
    <mergeCell ref="BT1:CG1"/>
    <mergeCell ref="BT4:CG4"/>
    <mergeCell ref="BT6:BT7"/>
    <mergeCell ref="BT8:BT9"/>
    <mergeCell ref="BT10:BT11"/>
    <mergeCell ref="BT12:BT13"/>
    <mergeCell ref="BT14:BT15"/>
    <mergeCell ref="BT16:BT17"/>
    <mergeCell ref="BT18:BT19"/>
    <mergeCell ref="BT56:BT57"/>
    <mergeCell ref="BT58:BT59"/>
    <mergeCell ref="BT60:BT61"/>
    <mergeCell ref="BT62:BT63"/>
    <mergeCell ref="BT64:BT65"/>
    <mergeCell ref="BT66:BT67"/>
    <mergeCell ref="BT68:BT69"/>
    <mergeCell ref="BT70:BT71"/>
    <mergeCell ref="BT72:BT73"/>
    <mergeCell ref="BT38:BT39"/>
    <mergeCell ref="BT40:BT41"/>
    <mergeCell ref="BT42:CG42"/>
    <mergeCell ref="BT44:BT45"/>
    <mergeCell ref="BT46:BT47"/>
    <mergeCell ref="BT48:BT49"/>
    <mergeCell ref="BT50:BT51"/>
    <mergeCell ref="BT52:BT53"/>
    <mergeCell ref="BT54:BT55"/>
    <mergeCell ref="BT92:BT93"/>
    <mergeCell ref="BT94:BT95"/>
    <mergeCell ref="BT96:BT97"/>
    <mergeCell ref="BT98:BT99"/>
    <mergeCell ref="BT100:BT101"/>
    <mergeCell ref="BT102:BT103"/>
    <mergeCell ref="BT104:BT105"/>
    <mergeCell ref="BT106:BT107"/>
    <mergeCell ref="BT108:BT109"/>
    <mergeCell ref="BT74:BT75"/>
    <mergeCell ref="BT76:BT77"/>
    <mergeCell ref="BT78:BT79"/>
    <mergeCell ref="BT80:CG80"/>
    <mergeCell ref="BT82:BT83"/>
    <mergeCell ref="BT84:BT85"/>
    <mergeCell ref="BT86:BT87"/>
    <mergeCell ref="BT88:BT89"/>
    <mergeCell ref="BT90:BT91"/>
    <mergeCell ref="BT128:BT129"/>
    <mergeCell ref="BT130:BT131"/>
    <mergeCell ref="BT132:BT133"/>
    <mergeCell ref="BT134:BT135"/>
    <mergeCell ref="BT136:BT137"/>
    <mergeCell ref="BT138:BT139"/>
    <mergeCell ref="BT140:BT141"/>
    <mergeCell ref="BT142:BT143"/>
    <mergeCell ref="BT144:BT145"/>
    <mergeCell ref="BT110:BT111"/>
    <mergeCell ref="BT112:BT113"/>
    <mergeCell ref="BT114:BT115"/>
    <mergeCell ref="BT116:BT117"/>
    <mergeCell ref="BT118:CG118"/>
    <mergeCell ref="BT120:BT121"/>
    <mergeCell ref="BT122:BT123"/>
    <mergeCell ref="BT124:BT125"/>
    <mergeCell ref="BT126:BT127"/>
    <mergeCell ref="BT164:BT165"/>
    <mergeCell ref="BT166:BT167"/>
    <mergeCell ref="BT168:BT169"/>
    <mergeCell ref="BT170:BT171"/>
    <mergeCell ref="BT172:BT173"/>
    <mergeCell ref="BT174:BT175"/>
    <mergeCell ref="BT176:BT177"/>
    <mergeCell ref="BT178:BT179"/>
    <mergeCell ref="BT180:BT181"/>
    <mergeCell ref="BT146:BT147"/>
    <mergeCell ref="BT148:BT149"/>
    <mergeCell ref="BT150:BT151"/>
    <mergeCell ref="BT152:BT153"/>
    <mergeCell ref="BT154:BT155"/>
    <mergeCell ref="BT156:CG156"/>
    <mergeCell ref="BT158:BT159"/>
    <mergeCell ref="BT160:BT161"/>
    <mergeCell ref="BT162:BT163"/>
    <mergeCell ref="BT200:BT201"/>
    <mergeCell ref="BT202:BT203"/>
    <mergeCell ref="BT204:BT205"/>
    <mergeCell ref="BT206:BT207"/>
    <mergeCell ref="BT208:BT209"/>
    <mergeCell ref="BT210:BT211"/>
    <mergeCell ref="BT212:BT213"/>
    <mergeCell ref="BT214:BT215"/>
    <mergeCell ref="BT216:BT217"/>
    <mergeCell ref="BT182:BT183"/>
    <mergeCell ref="BT184:BT185"/>
    <mergeCell ref="BT186:BT187"/>
    <mergeCell ref="BT188:BT189"/>
    <mergeCell ref="BT190:BT191"/>
    <mergeCell ref="BT192:BT193"/>
    <mergeCell ref="BT194:CG194"/>
    <mergeCell ref="BT196:BT197"/>
    <mergeCell ref="BT198:BT199"/>
    <mergeCell ref="BT236:BT237"/>
    <mergeCell ref="BT238:BT239"/>
    <mergeCell ref="BT240:BT241"/>
    <mergeCell ref="BT242:BT243"/>
    <mergeCell ref="BT244:BT245"/>
    <mergeCell ref="BT246:BT247"/>
    <mergeCell ref="BT248:BT249"/>
    <mergeCell ref="BT250:BT251"/>
    <mergeCell ref="BT252:BT253"/>
    <mergeCell ref="BT218:BT219"/>
    <mergeCell ref="BT220:BT221"/>
    <mergeCell ref="BT222:BT223"/>
    <mergeCell ref="BT224:BT225"/>
    <mergeCell ref="BT226:BT227"/>
    <mergeCell ref="BT228:BT229"/>
    <mergeCell ref="BT230:BT231"/>
    <mergeCell ref="BT232:CG232"/>
    <mergeCell ref="BT234:BT235"/>
    <mergeCell ref="BT272:BT273"/>
    <mergeCell ref="BT274:BT275"/>
    <mergeCell ref="BT276:BT277"/>
    <mergeCell ref="BT278:BT279"/>
    <mergeCell ref="BT280:BT281"/>
    <mergeCell ref="BT282:BT283"/>
    <mergeCell ref="BT284:BT285"/>
    <mergeCell ref="BT286:BT287"/>
    <mergeCell ref="BT288:BT289"/>
    <mergeCell ref="BT254:BT255"/>
    <mergeCell ref="BT256:BT257"/>
    <mergeCell ref="BT258:BT259"/>
    <mergeCell ref="BT260:BT261"/>
    <mergeCell ref="BT262:BT263"/>
    <mergeCell ref="BT264:BT265"/>
    <mergeCell ref="BT266:BT267"/>
    <mergeCell ref="BT268:BT269"/>
    <mergeCell ref="BT270:CG270"/>
    <mergeCell ref="BT308:CG308"/>
    <mergeCell ref="BT310:BT311"/>
    <mergeCell ref="BT312:BT313"/>
    <mergeCell ref="BT314:BT315"/>
    <mergeCell ref="BT316:BT317"/>
    <mergeCell ref="BT318:BT319"/>
    <mergeCell ref="BT320:BT321"/>
    <mergeCell ref="BT322:BT323"/>
    <mergeCell ref="BT324:BT325"/>
    <mergeCell ref="BT290:BT291"/>
    <mergeCell ref="BT292:BT293"/>
    <mergeCell ref="BT294:BT295"/>
    <mergeCell ref="BT296:BT297"/>
    <mergeCell ref="BT298:BT299"/>
    <mergeCell ref="BT300:BT301"/>
    <mergeCell ref="BT302:BT303"/>
    <mergeCell ref="BT304:BT305"/>
    <mergeCell ref="BT306:BT307"/>
    <mergeCell ref="BT344:BT345"/>
    <mergeCell ref="BT346:CG346"/>
    <mergeCell ref="BT348:BT349"/>
    <mergeCell ref="BT350:BT351"/>
    <mergeCell ref="BT352:BT353"/>
    <mergeCell ref="BT354:BT355"/>
    <mergeCell ref="BT356:BT357"/>
    <mergeCell ref="BT358:BT359"/>
    <mergeCell ref="BT360:BT361"/>
    <mergeCell ref="BT326:BT327"/>
    <mergeCell ref="BT328:BT329"/>
    <mergeCell ref="BT330:BT331"/>
    <mergeCell ref="BT332:BT333"/>
    <mergeCell ref="BT334:BT335"/>
    <mergeCell ref="BT336:BT337"/>
    <mergeCell ref="BT338:BT339"/>
    <mergeCell ref="BT340:BT341"/>
    <mergeCell ref="BT342:BT343"/>
    <mergeCell ref="BT380:BT381"/>
    <mergeCell ref="BT382:BT383"/>
    <mergeCell ref="BT384:CG384"/>
    <mergeCell ref="BT386:BT387"/>
    <mergeCell ref="BT388:BT389"/>
    <mergeCell ref="BT390:BT391"/>
    <mergeCell ref="BT392:BT393"/>
    <mergeCell ref="BT394:BT395"/>
    <mergeCell ref="BT396:BT397"/>
    <mergeCell ref="BT362:BT363"/>
    <mergeCell ref="BT364:BT365"/>
    <mergeCell ref="BT366:BT367"/>
    <mergeCell ref="BT368:BT369"/>
    <mergeCell ref="BT370:BT371"/>
    <mergeCell ref="BT372:BT373"/>
    <mergeCell ref="BT374:BT375"/>
    <mergeCell ref="BT376:BT377"/>
    <mergeCell ref="BT378:BT379"/>
    <mergeCell ref="BT450:BT451"/>
    <mergeCell ref="BT416:BT417"/>
    <mergeCell ref="BT418:BT419"/>
    <mergeCell ref="BT420:BT421"/>
    <mergeCell ref="BT422:CG422"/>
    <mergeCell ref="BT424:BT425"/>
    <mergeCell ref="BT426:BT427"/>
    <mergeCell ref="BT428:BT429"/>
    <mergeCell ref="BT430:BT431"/>
    <mergeCell ref="BT432:BT433"/>
    <mergeCell ref="BT398:BT399"/>
    <mergeCell ref="BT400:BT401"/>
    <mergeCell ref="BT402:BT403"/>
    <mergeCell ref="BT404:BT405"/>
    <mergeCell ref="BT406:BT407"/>
    <mergeCell ref="BT408:BT409"/>
    <mergeCell ref="BT410:BT411"/>
    <mergeCell ref="BT412:BT413"/>
    <mergeCell ref="BT414:BT415"/>
    <mergeCell ref="BT452:BT453"/>
    <mergeCell ref="BT454:BT455"/>
    <mergeCell ref="BT456:BT457"/>
    <mergeCell ref="BT458:BT459"/>
    <mergeCell ref="CH1:CU1"/>
    <mergeCell ref="CH4:CU4"/>
    <mergeCell ref="CH6:CH7"/>
    <mergeCell ref="CH8:CH9"/>
    <mergeCell ref="CH10:CH11"/>
    <mergeCell ref="CH12:CH13"/>
    <mergeCell ref="CH14:CH15"/>
    <mergeCell ref="CH16:CH17"/>
    <mergeCell ref="CH18:CH19"/>
    <mergeCell ref="CH20:CH21"/>
    <mergeCell ref="CH22:CH23"/>
    <mergeCell ref="CH24:CH25"/>
    <mergeCell ref="CH26:CH27"/>
    <mergeCell ref="CH28:CH29"/>
    <mergeCell ref="CH30:CH31"/>
    <mergeCell ref="CH32:CH33"/>
    <mergeCell ref="CH34:CH35"/>
    <mergeCell ref="CH36:CH37"/>
    <mergeCell ref="CH38:CH39"/>
    <mergeCell ref="CH40:CH41"/>
    <mergeCell ref="BT434:BT435"/>
    <mergeCell ref="BT436:BT437"/>
    <mergeCell ref="BT438:BT439"/>
    <mergeCell ref="BT440:BT441"/>
    <mergeCell ref="BT442:BT443"/>
    <mergeCell ref="BT444:BT445"/>
    <mergeCell ref="BT446:BT447"/>
    <mergeCell ref="BT448:BT449"/>
    <mergeCell ref="CH60:CH61"/>
    <mergeCell ref="CH62:CH63"/>
    <mergeCell ref="CH64:CH65"/>
    <mergeCell ref="CH66:CH67"/>
    <mergeCell ref="CH68:CH69"/>
    <mergeCell ref="CH70:CH71"/>
    <mergeCell ref="CH72:CH73"/>
    <mergeCell ref="CH74:CH75"/>
    <mergeCell ref="CH76:CH77"/>
    <mergeCell ref="CH42:CU42"/>
    <mergeCell ref="CH44:CH45"/>
    <mergeCell ref="CH46:CH47"/>
    <mergeCell ref="CH48:CH49"/>
    <mergeCell ref="CH50:CH51"/>
    <mergeCell ref="CH52:CH53"/>
    <mergeCell ref="CH54:CH55"/>
    <mergeCell ref="CH56:CH57"/>
    <mergeCell ref="CH58:CH59"/>
    <mergeCell ref="CH96:CH97"/>
    <mergeCell ref="CH98:CH99"/>
    <mergeCell ref="CH100:CH101"/>
    <mergeCell ref="CH102:CH103"/>
    <mergeCell ref="CH104:CH105"/>
    <mergeCell ref="CH106:CH107"/>
    <mergeCell ref="CH108:CH109"/>
    <mergeCell ref="CH110:CH111"/>
    <mergeCell ref="CH112:CH113"/>
    <mergeCell ref="CH78:CH79"/>
    <mergeCell ref="CH80:CU80"/>
    <mergeCell ref="CH82:CH83"/>
    <mergeCell ref="CH84:CH85"/>
    <mergeCell ref="CH86:CH87"/>
    <mergeCell ref="CH88:CH89"/>
    <mergeCell ref="CH90:CH91"/>
    <mergeCell ref="CH92:CH93"/>
    <mergeCell ref="CH94:CH95"/>
    <mergeCell ref="CH132:CH133"/>
    <mergeCell ref="CH134:CH135"/>
    <mergeCell ref="CH136:CH137"/>
    <mergeCell ref="CH138:CH139"/>
    <mergeCell ref="CH140:CH141"/>
    <mergeCell ref="CH142:CH143"/>
    <mergeCell ref="CH144:CH145"/>
    <mergeCell ref="CH146:CH147"/>
    <mergeCell ref="CH148:CH149"/>
    <mergeCell ref="CH114:CH115"/>
    <mergeCell ref="CH116:CH117"/>
    <mergeCell ref="CH118:CU118"/>
    <mergeCell ref="CH120:CH121"/>
    <mergeCell ref="CH122:CH123"/>
    <mergeCell ref="CH124:CH125"/>
    <mergeCell ref="CH126:CH127"/>
    <mergeCell ref="CH128:CH129"/>
    <mergeCell ref="CH130:CH131"/>
    <mergeCell ref="CH168:CH169"/>
    <mergeCell ref="CH170:CH171"/>
    <mergeCell ref="CH172:CH173"/>
    <mergeCell ref="CH174:CH175"/>
    <mergeCell ref="CH176:CH177"/>
    <mergeCell ref="CH178:CH179"/>
    <mergeCell ref="CH180:CH181"/>
    <mergeCell ref="CH182:CH183"/>
    <mergeCell ref="CH184:CH185"/>
    <mergeCell ref="CH150:CH151"/>
    <mergeCell ref="CH152:CH153"/>
    <mergeCell ref="CH154:CH155"/>
    <mergeCell ref="CH156:CU156"/>
    <mergeCell ref="CH158:CH159"/>
    <mergeCell ref="CH160:CH161"/>
    <mergeCell ref="CH162:CH163"/>
    <mergeCell ref="CH164:CH165"/>
    <mergeCell ref="CH166:CH167"/>
    <mergeCell ref="CH204:CH205"/>
    <mergeCell ref="CH206:CH207"/>
    <mergeCell ref="CH208:CH209"/>
    <mergeCell ref="CH210:CH211"/>
    <mergeCell ref="CH212:CH213"/>
    <mergeCell ref="CH214:CH215"/>
    <mergeCell ref="CH216:CH217"/>
    <mergeCell ref="CH218:CH219"/>
    <mergeCell ref="CH220:CH221"/>
    <mergeCell ref="CH186:CH187"/>
    <mergeCell ref="CH188:CH189"/>
    <mergeCell ref="CH190:CH191"/>
    <mergeCell ref="CH192:CH193"/>
    <mergeCell ref="CH194:CU194"/>
    <mergeCell ref="CH196:CH197"/>
    <mergeCell ref="CH198:CH199"/>
    <mergeCell ref="CH200:CH201"/>
    <mergeCell ref="CH202:CH203"/>
    <mergeCell ref="CH240:CH241"/>
    <mergeCell ref="CH242:CH243"/>
    <mergeCell ref="CH244:CH245"/>
    <mergeCell ref="CH246:CH247"/>
    <mergeCell ref="CH248:CH249"/>
    <mergeCell ref="CH250:CH251"/>
    <mergeCell ref="CH252:CH253"/>
    <mergeCell ref="CH254:CH255"/>
    <mergeCell ref="CH256:CH257"/>
    <mergeCell ref="CH222:CH223"/>
    <mergeCell ref="CH224:CH225"/>
    <mergeCell ref="CH226:CH227"/>
    <mergeCell ref="CH228:CH229"/>
    <mergeCell ref="CH230:CH231"/>
    <mergeCell ref="CH232:CU232"/>
    <mergeCell ref="CH234:CH235"/>
    <mergeCell ref="CH236:CH237"/>
    <mergeCell ref="CH238:CH239"/>
    <mergeCell ref="CH276:CH277"/>
    <mergeCell ref="CH278:CH279"/>
    <mergeCell ref="CH280:CH281"/>
    <mergeCell ref="CH282:CH283"/>
    <mergeCell ref="CH284:CH285"/>
    <mergeCell ref="CH286:CH287"/>
    <mergeCell ref="CH288:CH289"/>
    <mergeCell ref="CH290:CH291"/>
    <mergeCell ref="CH292:CH293"/>
    <mergeCell ref="CH258:CH259"/>
    <mergeCell ref="CH260:CH261"/>
    <mergeCell ref="CH262:CH263"/>
    <mergeCell ref="CH264:CH265"/>
    <mergeCell ref="CH266:CH267"/>
    <mergeCell ref="CH268:CH269"/>
    <mergeCell ref="CH270:CU270"/>
    <mergeCell ref="CH272:CH273"/>
    <mergeCell ref="CH274:CH275"/>
    <mergeCell ref="CH312:CH313"/>
    <mergeCell ref="CH314:CH315"/>
    <mergeCell ref="CH316:CH317"/>
    <mergeCell ref="CH318:CH319"/>
    <mergeCell ref="CH320:CH321"/>
    <mergeCell ref="CH322:CH323"/>
    <mergeCell ref="CH324:CH325"/>
    <mergeCell ref="CH326:CH327"/>
    <mergeCell ref="CH328:CH329"/>
    <mergeCell ref="CH294:CH295"/>
    <mergeCell ref="CH296:CH297"/>
    <mergeCell ref="CH298:CH299"/>
    <mergeCell ref="CH300:CH301"/>
    <mergeCell ref="CH302:CH303"/>
    <mergeCell ref="CH304:CH305"/>
    <mergeCell ref="CH306:CH307"/>
    <mergeCell ref="CH308:CU308"/>
    <mergeCell ref="CH310:CH311"/>
    <mergeCell ref="CH348:CH349"/>
    <mergeCell ref="CH350:CH351"/>
    <mergeCell ref="CH352:CH353"/>
    <mergeCell ref="CH354:CH355"/>
    <mergeCell ref="CH356:CH357"/>
    <mergeCell ref="CH358:CH359"/>
    <mergeCell ref="CH360:CH361"/>
    <mergeCell ref="CH362:CH363"/>
    <mergeCell ref="CH364:CH365"/>
    <mergeCell ref="CH330:CH331"/>
    <mergeCell ref="CH332:CH333"/>
    <mergeCell ref="CH334:CH335"/>
    <mergeCell ref="CH336:CH337"/>
    <mergeCell ref="CH338:CH339"/>
    <mergeCell ref="CH340:CH341"/>
    <mergeCell ref="CH342:CH343"/>
    <mergeCell ref="CH344:CH345"/>
    <mergeCell ref="CH346:CU346"/>
    <mergeCell ref="CH414:CH415"/>
    <mergeCell ref="CH416:CH417"/>
    <mergeCell ref="CH418:CH419"/>
    <mergeCell ref="CH384:CU384"/>
    <mergeCell ref="CH386:CH387"/>
    <mergeCell ref="CH388:CH389"/>
    <mergeCell ref="CH390:CH391"/>
    <mergeCell ref="CH392:CH393"/>
    <mergeCell ref="CH394:CH395"/>
    <mergeCell ref="CH396:CH397"/>
    <mergeCell ref="CH398:CH399"/>
    <mergeCell ref="CH400:CH401"/>
    <mergeCell ref="CH366:CH367"/>
    <mergeCell ref="CH368:CH369"/>
    <mergeCell ref="CH370:CH371"/>
    <mergeCell ref="CH372:CH373"/>
    <mergeCell ref="CH374:CH375"/>
    <mergeCell ref="CH376:CH377"/>
    <mergeCell ref="CH378:CH379"/>
    <mergeCell ref="CH380:CH381"/>
    <mergeCell ref="CH382:CH383"/>
    <mergeCell ref="CH456:CH457"/>
    <mergeCell ref="CH458:CH459"/>
    <mergeCell ref="P2:Q3"/>
    <mergeCell ref="AD2:AE3"/>
    <mergeCell ref="AR2:AS3"/>
    <mergeCell ref="BF2:BG3"/>
    <mergeCell ref="BT2:BU3"/>
    <mergeCell ref="CH2:CI3"/>
    <mergeCell ref="CH438:CH439"/>
    <mergeCell ref="CH440:CH441"/>
    <mergeCell ref="CH442:CH443"/>
    <mergeCell ref="CH444:CH445"/>
    <mergeCell ref="CH446:CH447"/>
    <mergeCell ref="CH448:CH449"/>
    <mergeCell ref="CH450:CH451"/>
    <mergeCell ref="CH452:CH453"/>
    <mergeCell ref="CH454:CH455"/>
    <mergeCell ref="CH420:CH421"/>
    <mergeCell ref="CH422:CU422"/>
    <mergeCell ref="CH424:CH425"/>
    <mergeCell ref="CH426:CH427"/>
    <mergeCell ref="CH428:CH429"/>
    <mergeCell ref="CH430:CH431"/>
    <mergeCell ref="CH432:CH433"/>
    <mergeCell ref="CH434:CH435"/>
    <mergeCell ref="CH436:CH437"/>
    <mergeCell ref="CH402:CH403"/>
    <mergeCell ref="CH404:CH405"/>
    <mergeCell ref="CH406:CH407"/>
    <mergeCell ref="CH408:CH409"/>
    <mergeCell ref="CH410:CH411"/>
    <mergeCell ref="CH412:CH413"/>
  </mergeCells>
  <phoneticPr fontId="10"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DCEC-3F5B-4F16-AB02-978BC90089EB}">
  <dimension ref="A1:CU459"/>
  <sheetViews>
    <sheetView workbookViewId="0">
      <selection activeCell="J45" sqref="J45"/>
    </sheetView>
  </sheetViews>
  <sheetFormatPr defaultRowHeight="15" x14ac:dyDescent="0.25"/>
  <cols>
    <col min="1" max="1" width="11.7109375" bestFit="1" customWidth="1"/>
    <col min="2" max="2" width="3.42578125" bestFit="1" customWidth="1"/>
    <col min="3" max="14" width="6.5703125" bestFit="1" customWidth="1"/>
    <col min="15" max="15" width="3.7109375" customWidth="1"/>
    <col min="16" max="16" width="11.7109375" bestFit="1" customWidth="1"/>
    <col min="17" max="17" width="7" bestFit="1" customWidth="1"/>
    <col min="18" max="29" width="6.5703125" bestFit="1" customWidth="1"/>
    <col min="30" max="30" width="11.7109375" bestFit="1" customWidth="1"/>
    <col min="31" max="31" width="7" bestFit="1" customWidth="1"/>
    <col min="32" max="43" width="6.5703125" bestFit="1" customWidth="1"/>
    <col min="44" max="44" width="11.7109375" bestFit="1" customWidth="1"/>
    <col min="45" max="45" width="7" bestFit="1" customWidth="1"/>
    <col min="46" max="57" width="6.5703125" bestFit="1" customWidth="1"/>
    <col min="58" max="58" width="11.7109375" bestFit="1" customWidth="1"/>
    <col min="59" max="59" width="7" bestFit="1" customWidth="1"/>
    <col min="60" max="71" width="6.5703125" bestFit="1" customWidth="1"/>
    <col min="72" max="72" width="11.7109375" bestFit="1" customWidth="1"/>
    <col min="73" max="73" width="7" bestFit="1" customWidth="1"/>
    <col min="74" max="85" width="6.5703125" bestFit="1" customWidth="1"/>
    <col min="86" max="86" width="11.7109375" bestFit="1" customWidth="1"/>
    <col min="87" max="87" width="7" bestFit="1" customWidth="1"/>
    <col min="88" max="99" width="6.5703125" bestFit="1" customWidth="1"/>
  </cols>
  <sheetData>
    <row r="1" spans="1:99" ht="33.75" customHeight="1" x14ac:dyDescent="0.25">
      <c r="A1" s="986" t="s">
        <v>80</v>
      </c>
      <c r="B1" s="986"/>
      <c r="C1" s="986"/>
      <c r="D1" s="986"/>
      <c r="E1" s="986"/>
      <c r="F1" s="986"/>
      <c r="G1" s="986"/>
      <c r="H1" s="986"/>
      <c r="I1" s="986"/>
      <c r="J1" s="986"/>
      <c r="K1" s="986"/>
      <c r="L1" s="986"/>
      <c r="M1" s="986"/>
      <c r="N1" s="986"/>
      <c r="P1" s="949" t="s">
        <v>109</v>
      </c>
      <c r="Q1" s="950"/>
      <c r="R1" s="950"/>
      <c r="S1" s="950"/>
      <c r="T1" s="950"/>
      <c r="U1" s="950"/>
      <c r="V1" s="950"/>
      <c r="W1" s="950"/>
      <c r="X1" s="950"/>
      <c r="Y1" s="950"/>
      <c r="Z1" s="950"/>
      <c r="AA1" s="950"/>
      <c r="AB1" s="950"/>
      <c r="AC1" s="951"/>
      <c r="AD1" s="949" t="s">
        <v>110</v>
      </c>
      <c r="AE1" s="950"/>
      <c r="AF1" s="950"/>
      <c r="AG1" s="950"/>
      <c r="AH1" s="950"/>
      <c r="AI1" s="950"/>
      <c r="AJ1" s="950"/>
      <c r="AK1" s="950"/>
      <c r="AL1" s="950"/>
      <c r="AM1" s="950"/>
      <c r="AN1" s="950"/>
      <c r="AO1" s="950"/>
      <c r="AP1" s="950"/>
      <c r="AQ1" s="951"/>
      <c r="AR1" s="949" t="s">
        <v>112</v>
      </c>
      <c r="AS1" s="950"/>
      <c r="AT1" s="950"/>
      <c r="AU1" s="950"/>
      <c r="AV1" s="950"/>
      <c r="AW1" s="950"/>
      <c r="AX1" s="950"/>
      <c r="AY1" s="950"/>
      <c r="AZ1" s="950"/>
      <c r="BA1" s="950"/>
      <c r="BB1" s="950"/>
      <c r="BC1" s="950"/>
      <c r="BD1" s="950"/>
      <c r="BE1" s="951"/>
      <c r="BF1" s="949" t="s">
        <v>113</v>
      </c>
      <c r="BG1" s="950"/>
      <c r="BH1" s="950"/>
      <c r="BI1" s="950"/>
      <c r="BJ1" s="950"/>
      <c r="BK1" s="950"/>
      <c r="BL1" s="950"/>
      <c r="BM1" s="950"/>
      <c r="BN1" s="950"/>
      <c r="BO1" s="950"/>
      <c r="BP1" s="950"/>
      <c r="BQ1" s="950"/>
      <c r="BR1" s="950"/>
      <c r="BS1" s="951"/>
      <c r="BT1" s="949" t="s">
        <v>114</v>
      </c>
      <c r="BU1" s="950"/>
      <c r="BV1" s="950"/>
      <c r="BW1" s="950"/>
      <c r="BX1" s="950"/>
      <c r="BY1" s="950"/>
      <c r="BZ1" s="950"/>
      <c r="CA1" s="950"/>
      <c r="CB1" s="950"/>
      <c r="CC1" s="950"/>
      <c r="CD1" s="950"/>
      <c r="CE1" s="950"/>
      <c r="CF1" s="950"/>
      <c r="CG1" s="951"/>
      <c r="CH1" s="949" t="s">
        <v>115</v>
      </c>
      <c r="CI1" s="950"/>
      <c r="CJ1" s="950"/>
      <c r="CK1" s="950"/>
      <c r="CL1" s="950"/>
      <c r="CM1" s="950"/>
      <c r="CN1" s="950"/>
      <c r="CO1" s="950"/>
      <c r="CP1" s="950"/>
      <c r="CQ1" s="950"/>
      <c r="CR1" s="950"/>
      <c r="CS1" s="950"/>
      <c r="CT1" s="950"/>
      <c r="CU1" s="951"/>
    </row>
    <row r="2" spans="1:99" ht="15.75" thickBot="1" x14ac:dyDescent="0.3">
      <c r="C2" s="65">
        <v>12</v>
      </c>
      <c r="D2" s="65">
        <v>11</v>
      </c>
      <c r="E2" s="65">
        <v>10</v>
      </c>
      <c r="F2" s="65">
        <v>9</v>
      </c>
      <c r="G2" s="65">
        <v>8</v>
      </c>
      <c r="H2" s="65">
        <v>7</v>
      </c>
      <c r="I2" s="65">
        <v>6</v>
      </c>
      <c r="J2" s="65">
        <v>5</v>
      </c>
      <c r="K2" s="65">
        <v>4</v>
      </c>
      <c r="L2" s="65">
        <v>3</v>
      </c>
      <c r="M2" s="65">
        <v>2</v>
      </c>
      <c r="N2" s="65">
        <v>1</v>
      </c>
      <c r="P2" s="952"/>
      <c r="Q2" s="828"/>
      <c r="R2" s="557">
        <v>1</v>
      </c>
      <c r="S2" s="571">
        <v>2</v>
      </c>
      <c r="T2" s="559">
        <v>3</v>
      </c>
      <c r="U2" s="561">
        <v>4</v>
      </c>
      <c r="V2" s="563">
        <v>5</v>
      </c>
      <c r="W2" s="579">
        <v>6</v>
      </c>
      <c r="X2" s="565">
        <v>7</v>
      </c>
      <c r="Y2" s="577">
        <v>8</v>
      </c>
      <c r="Z2" s="567">
        <v>9</v>
      </c>
      <c r="AA2" s="569">
        <v>10</v>
      </c>
      <c r="AB2" s="575">
        <v>11</v>
      </c>
      <c r="AC2" s="573">
        <v>12</v>
      </c>
      <c r="AD2" s="952"/>
      <c r="AE2" s="828"/>
      <c r="AF2" s="557">
        <v>1</v>
      </c>
      <c r="AG2" s="571">
        <v>2</v>
      </c>
      <c r="AH2" s="559">
        <v>3</v>
      </c>
      <c r="AI2" s="561">
        <v>4</v>
      </c>
      <c r="AJ2" s="563">
        <v>5</v>
      </c>
      <c r="AK2" s="579">
        <v>6</v>
      </c>
      <c r="AL2" s="565">
        <v>7</v>
      </c>
      <c r="AM2" s="577">
        <v>8</v>
      </c>
      <c r="AN2" s="567">
        <v>9</v>
      </c>
      <c r="AO2" s="569">
        <v>10</v>
      </c>
      <c r="AP2" s="575">
        <v>11</v>
      </c>
      <c r="AQ2" s="573">
        <v>12</v>
      </c>
      <c r="AR2" s="952"/>
      <c r="AS2" s="828"/>
      <c r="AT2" s="557">
        <v>1</v>
      </c>
      <c r="AU2" s="571">
        <v>2</v>
      </c>
      <c r="AV2" s="559">
        <v>3</v>
      </c>
      <c r="AW2" s="561">
        <v>4</v>
      </c>
      <c r="AX2" s="563">
        <v>5</v>
      </c>
      <c r="AY2" s="579">
        <v>6</v>
      </c>
      <c r="AZ2" s="565">
        <v>7</v>
      </c>
      <c r="BA2" s="577">
        <v>8</v>
      </c>
      <c r="BB2" s="567">
        <v>9</v>
      </c>
      <c r="BC2" s="569">
        <v>10</v>
      </c>
      <c r="BD2" s="575">
        <v>11</v>
      </c>
      <c r="BE2" s="573">
        <v>12</v>
      </c>
      <c r="BF2" s="952"/>
      <c r="BG2" s="828"/>
      <c r="BH2" s="557">
        <v>1</v>
      </c>
      <c r="BI2" s="571">
        <v>2</v>
      </c>
      <c r="BJ2" s="559">
        <v>3</v>
      </c>
      <c r="BK2" s="561">
        <v>4</v>
      </c>
      <c r="BL2" s="563">
        <v>5</v>
      </c>
      <c r="BM2" s="579">
        <v>6</v>
      </c>
      <c r="BN2" s="565">
        <v>7</v>
      </c>
      <c r="BO2" s="577">
        <v>8</v>
      </c>
      <c r="BP2" s="567">
        <v>9</v>
      </c>
      <c r="BQ2" s="569">
        <v>10</v>
      </c>
      <c r="BR2" s="575">
        <v>11</v>
      </c>
      <c r="BS2" s="573">
        <v>12</v>
      </c>
      <c r="BT2" s="952"/>
      <c r="BU2" s="828"/>
      <c r="BV2" s="557">
        <v>1</v>
      </c>
      <c r="BW2" s="571">
        <v>2</v>
      </c>
      <c r="BX2" s="559">
        <v>3</v>
      </c>
      <c r="BY2" s="561">
        <v>4</v>
      </c>
      <c r="BZ2" s="563">
        <v>5</v>
      </c>
      <c r="CA2" s="579">
        <v>6</v>
      </c>
      <c r="CB2" s="565">
        <v>7</v>
      </c>
      <c r="CC2" s="577">
        <v>8</v>
      </c>
      <c r="CD2" s="567">
        <v>9</v>
      </c>
      <c r="CE2" s="569">
        <v>10</v>
      </c>
      <c r="CF2" s="575">
        <v>11</v>
      </c>
      <c r="CG2" s="573">
        <v>12</v>
      </c>
      <c r="CH2" s="952"/>
      <c r="CI2" s="828"/>
      <c r="CJ2" s="557">
        <v>1</v>
      </c>
      <c r="CK2" s="571">
        <v>2</v>
      </c>
      <c r="CL2" s="559">
        <v>3</v>
      </c>
      <c r="CM2" s="561">
        <v>4</v>
      </c>
      <c r="CN2" s="563">
        <v>5</v>
      </c>
      <c r="CO2" s="579">
        <v>6</v>
      </c>
      <c r="CP2" s="565">
        <v>7</v>
      </c>
      <c r="CQ2" s="577">
        <v>8</v>
      </c>
      <c r="CR2" s="567">
        <v>9</v>
      </c>
      <c r="CS2" s="569">
        <v>10</v>
      </c>
      <c r="CT2" s="575">
        <v>11</v>
      </c>
      <c r="CU2" s="573">
        <v>12</v>
      </c>
    </row>
    <row r="3" spans="1:99" ht="15.75" thickBot="1" x14ac:dyDescent="0.3">
      <c r="A3" s="987" t="s">
        <v>39</v>
      </c>
      <c r="B3" s="64" t="s">
        <v>61</v>
      </c>
      <c r="C3" s="583">
        <v>465.13</v>
      </c>
      <c r="D3" s="584">
        <v>461.62</v>
      </c>
      <c r="E3" s="584">
        <v>458.15</v>
      </c>
      <c r="F3" s="584">
        <v>454.68</v>
      </c>
      <c r="G3" s="584">
        <v>451.18</v>
      </c>
      <c r="H3" s="584">
        <v>447.73</v>
      </c>
      <c r="I3" s="584">
        <v>444.23</v>
      </c>
      <c r="J3" s="584">
        <v>440.77</v>
      </c>
      <c r="K3" s="584">
        <v>437.26</v>
      </c>
      <c r="L3" s="584">
        <v>433.76</v>
      </c>
      <c r="M3" s="584">
        <v>430.24</v>
      </c>
      <c r="N3" s="585">
        <v>426.79</v>
      </c>
      <c r="P3" s="953"/>
      <c r="Q3" s="954"/>
      <c r="R3" s="558">
        <f>Q5</f>
        <v>0</v>
      </c>
      <c r="S3" s="572">
        <f>Q43</f>
        <v>0</v>
      </c>
      <c r="T3" s="560">
        <f>Q81</f>
        <v>0</v>
      </c>
      <c r="U3" s="562">
        <f>Q119</f>
        <v>0</v>
      </c>
      <c r="V3" s="564">
        <f>Q157</f>
        <v>0</v>
      </c>
      <c r="W3" s="580">
        <f>Q195</f>
        <v>0</v>
      </c>
      <c r="X3" s="566">
        <f>Q233</f>
        <v>0</v>
      </c>
      <c r="Y3" s="578">
        <f>Q271</f>
        <v>0</v>
      </c>
      <c r="Z3" s="568">
        <f>Q309</f>
        <v>0</v>
      </c>
      <c r="AA3" s="570">
        <f>Q347</f>
        <v>0</v>
      </c>
      <c r="AB3" s="576">
        <f>Q385</f>
        <v>0</v>
      </c>
      <c r="AC3" s="574">
        <f>Q423</f>
        <v>0</v>
      </c>
      <c r="AD3" s="953"/>
      <c r="AE3" s="954"/>
      <c r="AF3" s="558">
        <f>AE5</f>
        <v>0</v>
      </c>
      <c r="AG3" s="572">
        <f>AE43</f>
        <v>0</v>
      </c>
      <c r="AH3" s="560">
        <f>AE81</f>
        <v>0</v>
      </c>
      <c r="AI3" s="562">
        <f>AE119</f>
        <v>0</v>
      </c>
      <c r="AJ3" s="564">
        <f>AE157</f>
        <v>0</v>
      </c>
      <c r="AK3" s="580">
        <f>AE195</f>
        <v>0</v>
      </c>
      <c r="AL3" s="566">
        <f>AE233</f>
        <v>0</v>
      </c>
      <c r="AM3" s="578">
        <f>AE271</f>
        <v>0</v>
      </c>
      <c r="AN3" s="568">
        <f>AE309</f>
        <v>0</v>
      </c>
      <c r="AO3" s="570">
        <f>AE347</f>
        <v>0</v>
      </c>
      <c r="AP3" s="576">
        <f>AE385</f>
        <v>0</v>
      </c>
      <c r="AQ3" s="574">
        <f>AE423</f>
        <v>0</v>
      </c>
      <c r="AR3" s="953"/>
      <c r="AS3" s="954"/>
      <c r="AT3" s="558">
        <f>AS5</f>
        <v>0</v>
      </c>
      <c r="AU3" s="572">
        <f>AS43</f>
        <v>0</v>
      </c>
      <c r="AV3" s="560">
        <f>AS81</f>
        <v>0</v>
      </c>
      <c r="AW3" s="562">
        <f>AS119</f>
        <v>0</v>
      </c>
      <c r="AX3" s="564">
        <f>AS157</f>
        <v>0</v>
      </c>
      <c r="AY3" s="580">
        <f>AS195</f>
        <v>0</v>
      </c>
      <c r="AZ3" s="566">
        <f>AS233</f>
        <v>0</v>
      </c>
      <c r="BA3" s="578">
        <f>AS271</f>
        <v>0</v>
      </c>
      <c r="BB3" s="568">
        <f>AS309</f>
        <v>0</v>
      </c>
      <c r="BC3" s="570">
        <f>AS347</f>
        <v>0</v>
      </c>
      <c r="BD3" s="576">
        <f>AS385</f>
        <v>0</v>
      </c>
      <c r="BE3" s="574">
        <f>AS423</f>
        <v>0</v>
      </c>
      <c r="BF3" s="953"/>
      <c r="BG3" s="954"/>
      <c r="BH3" s="558">
        <f>BG5</f>
        <v>0</v>
      </c>
      <c r="BI3" s="572">
        <f>BG43</f>
        <v>0</v>
      </c>
      <c r="BJ3" s="560">
        <f>BG81</f>
        <v>0</v>
      </c>
      <c r="BK3" s="562">
        <f>BG119</f>
        <v>0</v>
      </c>
      <c r="BL3" s="564">
        <f>BG157</f>
        <v>0</v>
      </c>
      <c r="BM3" s="580">
        <f>BG195</f>
        <v>0</v>
      </c>
      <c r="BN3" s="566">
        <f>BG233</f>
        <v>0</v>
      </c>
      <c r="BO3" s="578">
        <f>BG271</f>
        <v>0</v>
      </c>
      <c r="BP3" s="568">
        <f>BG309</f>
        <v>0</v>
      </c>
      <c r="BQ3" s="570">
        <f>BG347</f>
        <v>0</v>
      </c>
      <c r="BR3" s="576">
        <f>BG385</f>
        <v>0</v>
      </c>
      <c r="BS3" s="574">
        <f>BG423</f>
        <v>0</v>
      </c>
      <c r="BT3" s="953"/>
      <c r="BU3" s="954"/>
      <c r="BV3" s="558">
        <f>BU5</f>
        <v>0</v>
      </c>
      <c r="BW3" s="572">
        <f>BU43</f>
        <v>0</v>
      </c>
      <c r="BX3" s="560">
        <f>BU81</f>
        <v>0</v>
      </c>
      <c r="BY3" s="562">
        <f>BU119</f>
        <v>0</v>
      </c>
      <c r="BZ3" s="564">
        <f>BU157</f>
        <v>0</v>
      </c>
      <c r="CA3" s="580">
        <f>BU195</f>
        <v>0</v>
      </c>
      <c r="CB3" s="566">
        <f>BU233</f>
        <v>0</v>
      </c>
      <c r="CC3" s="578">
        <f>BU271</f>
        <v>0</v>
      </c>
      <c r="CD3" s="568">
        <f>BU309</f>
        <v>0</v>
      </c>
      <c r="CE3" s="570">
        <f>BU347</f>
        <v>0</v>
      </c>
      <c r="CF3" s="576">
        <f>BU385</f>
        <v>0</v>
      </c>
      <c r="CG3" s="574">
        <f>BU423</f>
        <v>0</v>
      </c>
      <c r="CH3" s="953"/>
      <c r="CI3" s="954"/>
      <c r="CJ3" s="558">
        <f>CI5</f>
        <v>0</v>
      </c>
      <c r="CK3" s="572">
        <f>CI43</f>
        <v>0</v>
      </c>
      <c r="CL3" s="560">
        <f>CI81</f>
        <v>0</v>
      </c>
      <c r="CM3" s="562">
        <f>CI119</f>
        <v>0</v>
      </c>
      <c r="CN3" s="564">
        <f>CI157</f>
        <v>0</v>
      </c>
      <c r="CO3" s="580">
        <f>CI195</f>
        <v>0</v>
      </c>
      <c r="CP3" s="566">
        <f>CI233</f>
        <v>0</v>
      </c>
      <c r="CQ3" s="578">
        <f>CI271</f>
        <v>0</v>
      </c>
      <c r="CR3" s="568">
        <f>CI309</f>
        <v>0</v>
      </c>
      <c r="CS3" s="570">
        <f>CI347</f>
        <v>0</v>
      </c>
      <c r="CT3" s="576">
        <f>CI385</f>
        <v>0</v>
      </c>
      <c r="CU3" s="574">
        <f>CI423</f>
        <v>0</v>
      </c>
    </row>
    <row r="4" spans="1:99" x14ac:dyDescent="0.25">
      <c r="A4" s="987"/>
      <c r="B4" s="64" t="s">
        <v>62</v>
      </c>
      <c r="C4" s="58">
        <v>317.73</v>
      </c>
      <c r="D4" s="59">
        <v>314.83</v>
      </c>
      <c r="E4" s="59">
        <v>312.02999999999997</v>
      </c>
      <c r="F4" s="59">
        <v>307.86</v>
      </c>
      <c r="G4" s="59">
        <v>304.54000000000002</v>
      </c>
      <c r="H4" s="59">
        <v>297.7</v>
      </c>
      <c r="I4" s="59">
        <v>289.64999999999998</v>
      </c>
      <c r="J4" s="59">
        <v>282.49</v>
      </c>
      <c r="K4" s="59">
        <v>275.89999999999998</v>
      </c>
      <c r="L4" s="59">
        <v>269.38</v>
      </c>
      <c r="M4" s="59">
        <v>230.2</v>
      </c>
      <c r="N4" s="60">
        <v>120.69</v>
      </c>
      <c r="P4" s="943" t="s">
        <v>116</v>
      </c>
      <c r="Q4" s="944"/>
      <c r="R4" s="944"/>
      <c r="S4" s="944"/>
      <c r="T4" s="944"/>
      <c r="U4" s="944"/>
      <c r="V4" s="944"/>
      <c r="W4" s="944"/>
      <c r="X4" s="944"/>
      <c r="Y4" s="944"/>
      <c r="Z4" s="944"/>
      <c r="AA4" s="944"/>
      <c r="AB4" s="944"/>
      <c r="AC4" s="945"/>
      <c r="AD4" s="943" t="s">
        <v>117</v>
      </c>
      <c r="AE4" s="944"/>
      <c r="AF4" s="944"/>
      <c r="AG4" s="944"/>
      <c r="AH4" s="944"/>
      <c r="AI4" s="944"/>
      <c r="AJ4" s="944"/>
      <c r="AK4" s="944"/>
      <c r="AL4" s="944"/>
      <c r="AM4" s="944"/>
      <c r="AN4" s="944"/>
      <c r="AO4" s="944"/>
      <c r="AP4" s="944"/>
      <c r="AQ4" s="945"/>
      <c r="AR4" s="943" t="s">
        <v>118</v>
      </c>
      <c r="AS4" s="944"/>
      <c r="AT4" s="944"/>
      <c r="AU4" s="944"/>
      <c r="AV4" s="944"/>
      <c r="AW4" s="944"/>
      <c r="AX4" s="944"/>
      <c r="AY4" s="944"/>
      <c r="AZ4" s="944"/>
      <c r="BA4" s="944"/>
      <c r="BB4" s="944"/>
      <c r="BC4" s="944"/>
      <c r="BD4" s="944"/>
      <c r="BE4" s="945"/>
      <c r="BF4" s="943" t="s">
        <v>119</v>
      </c>
      <c r="BG4" s="944"/>
      <c r="BH4" s="944"/>
      <c r="BI4" s="944"/>
      <c r="BJ4" s="944"/>
      <c r="BK4" s="944"/>
      <c r="BL4" s="944"/>
      <c r="BM4" s="944"/>
      <c r="BN4" s="944"/>
      <c r="BO4" s="944"/>
      <c r="BP4" s="944"/>
      <c r="BQ4" s="944"/>
      <c r="BR4" s="944"/>
      <c r="BS4" s="945"/>
      <c r="BT4" s="943" t="s">
        <v>120</v>
      </c>
      <c r="BU4" s="944"/>
      <c r="BV4" s="944"/>
      <c r="BW4" s="944"/>
      <c r="BX4" s="944"/>
      <c r="BY4" s="944"/>
      <c r="BZ4" s="944"/>
      <c r="CA4" s="944"/>
      <c r="CB4" s="944"/>
      <c r="CC4" s="944"/>
      <c r="CD4" s="944"/>
      <c r="CE4" s="944"/>
      <c r="CF4" s="944"/>
      <c r="CG4" s="945"/>
      <c r="CH4" s="943" t="s">
        <v>121</v>
      </c>
      <c r="CI4" s="944"/>
      <c r="CJ4" s="944"/>
      <c r="CK4" s="944"/>
      <c r="CL4" s="944"/>
      <c r="CM4" s="944"/>
      <c r="CN4" s="944"/>
      <c r="CO4" s="944"/>
      <c r="CP4" s="944"/>
      <c r="CQ4" s="944"/>
      <c r="CR4" s="944"/>
      <c r="CS4" s="944"/>
      <c r="CT4" s="944"/>
      <c r="CU4" s="945"/>
    </row>
    <row r="5" spans="1:99" x14ac:dyDescent="0.25">
      <c r="A5" s="987" t="s">
        <v>65</v>
      </c>
      <c r="B5" s="64" t="s">
        <v>61</v>
      </c>
      <c r="C5" s="28">
        <v>465.13</v>
      </c>
      <c r="D5" s="29">
        <v>461.62</v>
      </c>
      <c r="E5" s="29">
        <v>458.15</v>
      </c>
      <c r="F5" s="29">
        <v>454.68</v>
      </c>
      <c r="G5" s="29">
        <v>451.18</v>
      </c>
      <c r="H5" s="29">
        <v>447.73</v>
      </c>
      <c r="I5" s="29">
        <v>444.23</v>
      </c>
      <c r="J5" s="29">
        <v>440.77</v>
      </c>
      <c r="K5" s="29">
        <v>437.26</v>
      </c>
      <c r="L5" s="29">
        <v>433.76</v>
      </c>
      <c r="M5" s="29">
        <v>430.24</v>
      </c>
      <c r="N5" s="30">
        <v>426.79</v>
      </c>
      <c r="P5" s="586">
        <v>1</v>
      </c>
      <c r="Q5" s="557">
        <f>SUM(R6:AC41)</f>
        <v>0</v>
      </c>
      <c r="R5" s="3">
        <v>12</v>
      </c>
      <c r="S5" s="3">
        <v>11</v>
      </c>
      <c r="T5" s="3">
        <v>10</v>
      </c>
      <c r="U5" s="3">
        <v>9</v>
      </c>
      <c r="V5" s="3">
        <v>8</v>
      </c>
      <c r="W5" s="3">
        <v>7</v>
      </c>
      <c r="X5" s="3">
        <v>6</v>
      </c>
      <c r="Y5" s="3">
        <v>5</v>
      </c>
      <c r="Z5" s="3">
        <v>4</v>
      </c>
      <c r="AA5" s="3">
        <v>3</v>
      </c>
      <c r="AB5" s="3">
        <v>2</v>
      </c>
      <c r="AC5" s="519">
        <v>1</v>
      </c>
      <c r="AD5" s="557">
        <v>1</v>
      </c>
      <c r="AE5" s="557">
        <f>SUM(AF6:AQ41)</f>
        <v>0</v>
      </c>
      <c r="AF5" s="3">
        <v>12</v>
      </c>
      <c r="AG5" s="3">
        <v>11</v>
      </c>
      <c r="AH5" s="3">
        <v>10</v>
      </c>
      <c r="AI5" s="3">
        <v>9</v>
      </c>
      <c r="AJ5" s="3">
        <v>8</v>
      </c>
      <c r="AK5" s="3">
        <v>7</v>
      </c>
      <c r="AL5" s="3">
        <v>6</v>
      </c>
      <c r="AM5" s="3">
        <v>5</v>
      </c>
      <c r="AN5" s="3">
        <v>4</v>
      </c>
      <c r="AO5" s="3">
        <v>3</v>
      </c>
      <c r="AP5" s="3">
        <v>2</v>
      </c>
      <c r="AQ5" s="519">
        <v>1</v>
      </c>
      <c r="AR5" s="557">
        <v>1</v>
      </c>
      <c r="AS5" s="557">
        <f>SUM(AT6:BE41)</f>
        <v>0</v>
      </c>
      <c r="AT5" s="3">
        <v>12</v>
      </c>
      <c r="AU5" s="3">
        <v>11</v>
      </c>
      <c r="AV5" s="3">
        <v>10</v>
      </c>
      <c r="AW5" s="3">
        <v>9</v>
      </c>
      <c r="AX5" s="3">
        <v>8</v>
      </c>
      <c r="AY5" s="3">
        <v>7</v>
      </c>
      <c r="AZ5" s="3">
        <v>6</v>
      </c>
      <c r="BA5" s="3">
        <v>5</v>
      </c>
      <c r="BB5" s="3">
        <v>4</v>
      </c>
      <c r="BC5" s="3">
        <v>3</v>
      </c>
      <c r="BD5" s="3">
        <v>2</v>
      </c>
      <c r="BE5" s="519">
        <v>1</v>
      </c>
      <c r="BF5" s="557">
        <v>1</v>
      </c>
      <c r="BG5" s="557">
        <f>SUM(BH6:BS41)</f>
        <v>0</v>
      </c>
      <c r="BH5" s="3">
        <v>12</v>
      </c>
      <c r="BI5" s="3">
        <v>11</v>
      </c>
      <c r="BJ5" s="3">
        <v>10</v>
      </c>
      <c r="BK5" s="3">
        <v>9</v>
      </c>
      <c r="BL5" s="3">
        <v>8</v>
      </c>
      <c r="BM5" s="3">
        <v>7</v>
      </c>
      <c r="BN5" s="3">
        <v>6</v>
      </c>
      <c r="BO5" s="3">
        <v>5</v>
      </c>
      <c r="BP5" s="3">
        <v>4</v>
      </c>
      <c r="BQ5" s="3">
        <v>3</v>
      </c>
      <c r="BR5" s="3">
        <v>2</v>
      </c>
      <c r="BS5" s="519">
        <v>1</v>
      </c>
      <c r="BT5" s="557">
        <v>1</v>
      </c>
      <c r="BU5" s="557">
        <f>SUM(BV6:CG41)</f>
        <v>0</v>
      </c>
      <c r="BV5" s="3">
        <v>12</v>
      </c>
      <c r="BW5" s="3">
        <v>11</v>
      </c>
      <c r="BX5" s="3">
        <v>10</v>
      </c>
      <c r="BY5" s="3">
        <v>9</v>
      </c>
      <c r="BZ5" s="3">
        <v>8</v>
      </c>
      <c r="CA5" s="3">
        <v>7</v>
      </c>
      <c r="CB5" s="3">
        <v>6</v>
      </c>
      <c r="CC5" s="3">
        <v>5</v>
      </c>
      <c r="CD5" s="3">
        <v>4</v>
      </c>
      <c r="CE5" s="3">
        <v>3</v>
      </c>
      <c r="CF5" s="3">
        <v>2</v>
      </c>
      <c r="CG5" s="519">
        <v>1</v>
      </c>
      <c r="CH5" s="557">
        <v>1</v>
      </c>
      <c r="CI5" s="557">
        <f>SUM(CJ6:CU41)</f>
        <v>0</v>
      </c>
      <c r="CJ5" s="3">
        <v>12</v>
      </c>
      <c r="CK5" s="3">
        <v>11</v>
      </c>
      <c r="CL5" s="3">
        <v>10</v>
      </c>
      <c r="CM5" s="3">
        <v>9</v>
      </c>
      <c r="CN5" s="3">
        <v>8</v>
      </c>
      <c r="CO5" s="3">
        <v>7</v>
      </c>
      <c r="CP5" s="3">
        <v>6</v>
      </c>
      <c r="CQ5" s="3">
        <v>5</v>
      </c>
      <c r="CR5" s="3">
        <v>4</v>
      </c>
      <c r="CS5" s="3">
        <v>3</v>
      </c>
      <c r="CT5" s="3">
        <v>2</v>
      </c>
      <c r="CU5" s="519">
        <v>1</v>
      </c>
    </row>
    <row r="6" spans="1:99" x14ac:dyDescent="0.25">
      <c r="A6" s="987"/>
      <c r="B6" s="64" t="s">
        <v>62</v>
      </c>
      <c r="C6" s="28">
        <v>317.73</v>
      </c>
      <c r="D6" s="29">
        <v>314.83</v>
      </c>
      <c r="E6" s="29">
        <v>312.02999999999997</v>
      </c>
      <c r="F6" s="29">
        <v>307.86</v>
      </c>
      <c r="G6" s="29">
        <v>304.54000000000002</v>
      </c>
      <c r="H6" s="29">
        <v>297.7</v>
      </c>
      <c r="I6" s="29">
        <v>289.64999999999998</v>
      </c>
      <c r="J6" s="29">
        <v>282.49</v>
      </c>
      <c r="K6" s="29">
        <v>275.89999999999998</v>
      </c>
      <c r="L6" s="29">
        <v>269.38</v>
      </c>
      <c r="M6" s="29">
        <v>230.2</v>
      </c>
      <c r="N6" s="30">
        <v>120.69</v>
      </c>
      <c r="P6" s="940" t="s">
        <v>39</v>
      </c>
      <c r="Q6" s="13" t="s">
        <v>61</v>
      </c>
      <c r="R6" s="518" t="str">
        <f>IF(AND(_A1="A-350",'2025'!$D$4="CA",'2025'!$D$2=R5),'2025DATA'!$C$3,"")</f>
        <v/>
      </c>
      <c r="S6" s="518" t="str">
        <f>IF(AND(_A1="A-350",'2025'!$D$4="CA",'2025'!$D$2=S5),'2025DATA'!$D$3,"")</f>
        <v/>
      </c>
      <c r="T6" s="518" t="str">
        <f>IF(AND(_A1="A-350",'2025'!$D$4="CA",'2025'!$D$2=T5),'2025DATA'!$E$3,"")</f>
        <v/>
      </c>
      <c r="U6" s="518" t="str">
        <f>IF(AND(_A1="A-350",'2025'!$D$4="CA",'2025'!$D$2=U5),'2025DATA'!$F$3,"")</f>
        <v/>
      </c>
      <c r="V6" s="518" t="str">
        <f>IF(AND(_A1="A-350",'2025'!$D$4="CA",'2025'!$D$2=V5),'2025DATA'!$G$3,"")</f>
        <v/>
      </c>
      <c r="W6" s="518" t="str">
        <f>IF(AND(_A1="A-350",'2025'!$D$4="CA",'2025'!$D$2=W5),'2025DATA'!$H$3,"")</f>
        <v/>
      </c>
      <c r="X6" s="518" t="str">
        <f>IF(AND(_A1="A-350",'2025'!$D$4="CA",'2025'!$D$2=X5),'2025DATA'!$I$3,"")</f>
        <v/>
      </c>
      <c r="Y6" s="518" t="str">
        <f>IF(AND(_A1="A-350",'2025'!$D$4="CA",'2025'!$D$2=Y5),'2025DATA'!$J$3,"")</f>
        <v/>
      </c>
      <c r="Z6" s="518" t="str">
        <f>IF(AND(_A1="A-350",'2025'!$D$4="CA",'2025'!$D$2=Z5),'2025DATA'!$K$3,"")</f>
        <v/>
      </c>
      <c r="AA6" s="518" t="str">
        <f>IF(AND(_A1="A-350",'2025'!$D$4="CA",'2025'!$D$2=AA5),'2025DATA'!$L$3,"")</f>
        <v/>
      </c>
      <c r="AB6" s="518" t="str">
        <f>IF(AND(_A1="A-350",'2025'!$D$4="CA",'2025'!$D$2=AB5),'2025DATA'!$M$3,"")</f>
        <v/>
      </c>
      <c r="AC6" s="520" t="str">
        <f>IF(AND(_A1="A-350",'2025'!$D$4="CA",'2025'!$D$2=AC5),'2025DATA'!$N$3,"")</f>
        <v/>
      </c>
      <c r="AD6" s="940" t="s">
        <v>39</v>
      </c>
      <c r="AE6" s="13" t="s">
        <v>61</v>
      </c>
      <c r="AF6" s="518" t="str">
        <f>IF(AND(_A2="A-350",'2025'!$D$4="CA",'2025'!$D$2=AF5),'2025DATA'!$C$3,"")</f>
        <v/>
      </c>
      <c r="AG6" s="518" t="str">
        <f>IF(AND(_A2="A-350",'2025'!$D$4="CA",'2025'!$D$2=AG5),'2025DATA'!$D$3,"")</f>
        <v/>
      </c>
      <c r="AH6" s="518" t="str">
        <f>IF(AND(_A2="A-350",'2025'!$D$4="CA",'2025'!$D$2=AH5),'2025DATA'!$E$3,"")</f>
        <v/>
      </c>
      <c r="AI6" s="518" t="str">
        <f>IF(AND(_A2="A-350",'2025'!$D$4="CA",'2025'!$D$2=AI5),'2025DATA'!$F$3,"")</f>
        <v/>
      </c>
      <c r="AJ6" s="518" t="str">
        <f>IF(AND(_A2="A-350",'2025'!$D$4="CA",'2025'!$D$2=AJ5),'2025DATA'!$G$3,"")</f>
        <v/>
      </c>
      <c r="AK6" s="518" t="str">
        <f>IF(AND(_A2="A-350",'2025'!$D$4="CA",'2025'!$D$2=AK5),'2025DATA'!$H$3,"")</f>
        <v/>
      </c>
      <c r="AL6" s="518" t="str">
        <f>IF(AND(_A2="A-350",'2025'!$D$4="CA",'2025'!$D$2=AL5),'2025DATA'!$I$3,"")</f>
        <v/>
      </c>
      <c r="AM6" s="518" t="str">
        <f>IF(AND(_A2="A-350",'2025'!$D$4="CA",'2025'!$D$2=AM5),'2025DATA'!$J$3,"")</f>
        <v/>
      </c>
      <c r="AN6" s="518" t="str">
        <f>IF(AND(_A2="A-350",'2025'!$D$4="CA",'2025'!$D$2=AN5),'2025DATA'!$K$3,"")</f>
        <v/>
      </c>
      <c r="AO6" s="518" t="str">
        <f>IF(AND(_A2="A-350",'2025'!$D$4="CA",'2025'!$D$2=AO5),'2025DATA'!$L$3,"")</f>
        <v/>
      </c>
      <c r="AP6" s="518" t="str">
        <f>IF(AND(_A2="A-350",'2025'!$D$4="CA",'2025'!$D$2=AP5),'2025DATA'!$M$3,"")</f>
        <v/>
      </c>
      <c r="AQ6" s="520" t="str">
        <f>IF(AND(_A2="A-350",'2025'!$D$4="CA",'2025'!$D$2=AQ5),'2025DATA'!$N$3,"")</f>
        <v/>
      </c>
      <c r="AR6" s="940" t="s">
        <v>39</v>
      </c>
      <c r="AS6" s="13" t="s">
        <v>61</v>
      </c>
      <c r="AT6" s="518" t="str">
        <f>IF(AND(_A3="A-350",'2025'!$D$4="CA",'2025'!$D$2=AT5),'2025DATA'!$C$3,"")</f>
        <v/>
      </c>
      <c r="AU6" s="518" t="str">
        <f>IF(AND(_A3="A-350",'2025'!$D$4="CA",'2025'!$D$2=AU5),'2025DATA'!$D$3,"")</f>
        <v/>
      </c>
      <c r="AV6" s="518" t="str">
        <f>IF(AND(_A3="A-350",'2025'!$D$4="CA",'2025'!$D$2=AV5),'2025DATA'!$E$3,"")</f>
        <v/>
      </c>
      <c r="AW6" s="518" t="str">
        <f>IF(AND(_A3="A-350",'2025'!$D$4="CA",'2025'!$D$2=AW5),'2025DATA'!$F$3,"")</f>
        <v/>
      </c>
      <c r="AX6" s="518" t="str">
        <f>IF(AND(_A3="A-350",'2025'!$D$4="CA",'2025'!$D$2=AX5),'2025DATA'!$G$3,"")</f>
        <v/>
      </c>
      <c r="AY6" s="518" t="str">
        <f>IF(AND(_A3="A-350",'2025'!$D$4="CA",'2025'!$D$2=AY5),'2025DATA'!$H$3,"")</f>
        <v/>
      </c>
      <c r="AZ6" s="518" t="str">
        <f>IF(AND(_A3="A-350",'2025'!$D$4="CA",'2025'!$D$2=AZ5),'2025DATA'!$I$3,"")</f>
        <v/>
      </c>
      <c r="BA6" s="518" t="str">
        <f>IF(AND(_A3="A-350",'2025'!$D$4="CA",'2025'!$D$2=BA5),'2025DATA'!$J$3,"")</f>
        <v/>
      </c>
      <c r="BB6" s="518" t="str">
        <f>IF(AND(_A3="A-350",'2025'!$D$4="CA",'2025'!$D$2=BB5),'2025DATA'!$K$3,"")</f>
        <v/>
      </c>
      <c r="BC6" s="518" t="str">
        <f>IF(AND(_A3="A-350",'2025'!$D$4="CA",'2025'!$D$2=BC5),'2025DATA'!$L$3,"")</f>
        <v/>
      </c>
      <c r="BD6" s="518" t="str">
        <f>IF(AND(_A3="A-350",'2025'!$D$4="CA",'2025'!$D$2=BD5),'2025DATA'!$M$3,"")</f>
        <v/>
      </c>
      <c r="BE6" s="520" t="str">
        <f>IF(AND(_A3="A-350",'2025'!$D$4="CA",'2025'!$D$2=BE5),'2025DATA'!$N$3,"")</f>
        <v/>
      </c>
      <c r="BF6" s="940" t="s">
        <v>39</v>
      </c>
      <c r="BG6" s="13" t="s">
        <v>61</v>
      </c>
      <c r="BH6" s="518" t="str">
        <f>IF(AND(_A4="A-350",'2025'!$D$4="CA",'2025'!$D$2=BH5),'2025DATA'!$C$3,"")</f>
        <v/>
      </c>
      <c r="BI6" s="518" t="str">
        <f>IF(AND(_A4="A-350",'2025'!$D$4="CA",'2025'!$D$2=BI5),'2025DATA'!$D$3,"")</f>
        <v/>
      </c>
      <c r="BJ6" s="518" t="str">
        <f>IF(AND(_A4="A-350",'2025'!$D$4="CA",'2025'!$D$2=BJ5),'2025DATA'!$E$3,"")</f>
        <v/>
      </c>
      <c r="BK6" s="518" t="str">
        <f>IF(AND(_A4="A-350",'2025'!$D$4="CA",'2025'!$D$2=BK5),'2025DATA'!$F$3,"")</f>
        <v/>
      </c>
      <c r="BL6" s="518" t="str">
        <f>IF(AND(_A4="A-350",'2025'!$D$4="CA",'2025'!$D$2=BL5),'2025DATA'!$G$3,"")</f>
        <v/>
      </c>
      <c r="BM6" s="518" t="str">
        <f>IF(AND(_A4="A-350",'2025'!$D$4="CA",'2025'!$D$2=BM5),'2025DATA'!$H$3,"")</f>
        <v/>
      </c>
      <c r="BN6" s="518" t="str">
        <f>IF(AND(_A4="A-350",'2025'!$D$4="CA",'2025'!$D$2=BN5),'2025DATA'!$I$3,"")</f>
        <v/>
      </c>
      <c r="BO6" s="518" t="str">
        <f>IF(AND(_A4="A-350",'2025'!$D$4="CA",'2025'!$D$2=BO5),'2025DATA'!$J$3,"")</f>
        <v/>
      </c>
      <c r="BP6" s="518" t="str">
        <f>IF(AND(_A4="A-350",'2025'!$D$4="CA",'2025'!$D$2=BP5),'2025DATA'!$K$3,"")</f>
        <v/>
      </c>
      <c r="BQ6" s="518" t="str">
        <f>IF(AND(_A4="A-350",'2025'!$D$4="CA",'2025'!$D$2=BQ5),'2025DATA'!$L$3,"")</f>
        <v/>
      </c>
      <c r="BR6" s="518" t="str">
        <f>IF(AND(_A4="A-350",'2025'!$D$4="CA",'2025'!$D$2=BR5),'2025DATA'!$M$3,"")</f>
        <v/>
      </c>
      <c r="BS6" s="520" t="str">
        <f>IF(AND(_A4="A-350",'2025'!$D$4="CA",'2025'!$D$2=BS5),'2025DATA'!$N$3,"")</f>
        <v/>
      </c>
      <c r="BT6" s="940" t="s">
        <v>39</v>
      </c>
      <c r="BU6" s="13" t="s">
        <v>61</v>
      </c>
      <c r="BV6" s="518" t="str">
        <f>IF(AND(_A5="A-350",'2025'!$D$4="CA",'2025'!$D$2=BV5),'2025DATA'!$C$3,"")</f>
        <v/>
      </c>
      <c r="BW6" s="518" t="str">
        <f>IF(AND(_A5="A-350",'2025'!$D$4="CA",'2025'!$D$2=BW5),'2025DATA'!$D$3,"")</f>
        <v/>
      </c>
      <c r="BX6" s="518" t="str">
        <f>IF(AND(_A5="A-350",'2025'!$D$4="CA",'2025'!$D$2=BX5),'2025DATA'!$E$3,"")</f>
        <v/>
      </c>
      <c r="BY6" s="518" t="str">
        <f>IF(AND(_A5="A-350",'2025'!$D$4="CA",'2025'!$D$2=BY5),'2025DATA'!$F$3,"")</f>
        <v/>
      </c>
      <c r="BZ6" s="518" t="str">
        <f>IF(AND(_A5="A-350",'2025'!$D$4="CA",'2025'!$D$2=BZ5),'2025DATA'!$G$3,"")</f>
        <v/>
      </c>
      <c r="CA6" s="518" t="str">
        <f>IF(AND(_A5="A-350",'2025'!$D$4="CA",'2025'!$D$2=CA5),'2025DATA'!$H$3,"")</f>
        <v/>
      </c>
      <c r="CB6" s="518" t="str">
        <f>IF(AND(_A5="A-350",'2025'!$D$4="CA",'2025'!$D$2=CB5),'2025DATA'!$I$3,"")</f>
        <v/>
      </c>
      <c r="CC6" s="518" t="str">
        <f>IF(AND(_A5="A-350",'2025'!$D$4="CA",'2025'!$D$2=CC5),'2025DATA'!$J$3,"")</f>
        <v/>
      </c>
      <c r="CD6" s="518" t="str">
        <f>IF(AND(_A5="A-350",'2025'!$D$4="CA",'2025'!$D$2=CD5),'2025DATA'!$K$3,"")</f>
        <v/>
      </c>
      <c r="CE6" s="518" t="str">
        <f>IF(AND(_A5="A-350",'2025'!$D$4="CA",'2025'!$D$2=CE5),'2025DATA'!$L$3,"")</f>
        <v/>
      </c>
      <c r="CF6" s="518" t="str">
        <f>IF(AND(_A5="A-350",'2025'!$D$4="CA",'2025'!$D$2=CF5),'2025DATA'!$M$3,"")</f>
        <v/>
      </c>
      <c r="CG6" s="520" t="str">
        <f>IF(AND(_A5="A-350",'2025'!$D$4="CA",'2025'!$D$2=CG5),'2025DATA'!$N$3,"")</f>
        <v/>
      </c>
      <c r="CH6" s="940" t="s">
        <v>39</v>
      </c>
      <c r="CI6" s="13" t="s">
        <v>61</v>
      </c>
      <c r="CJ6" s="518" t="str">
        <f>IF(AND(_A6="A-350",'2025'!$D$4="CA",'2025'!$D$2=CJ5),'2025DATA'!$C$3,"")</f>
        <v/>
      </c>
      <c r="CK6" s="518" t="str">
        <f>IF(AND(_A6="A-350",'2025'!$D$4="CA",'2025'!$D$2=CK5),'2025DATA'!$D$3,"")</f>
        <v/>
      </c>
      <c r="CL6" s="518" t="str">
        <f>IF(AND(_A6="A-350",'2025'!$D$4="CA",'2025'!$D$2=CL5),'2025DATA'!$E$3,"")</f>
        <v/>
      </c>
      <c r="CM6" s="518" t="str">
        <f>IF(AND(_A6="A-350",'2025'!$D$4="CA",'2025'!$D$2=CM5),'2025DATA'!$F$3,"")</f>
        <v/>
      </c>
      <c r="CN6" s="518" t="str">
        <f>IF(AND(_A6="A-350",'2025'!$D$4="CA",'2025'!$D$2=CN5),'2025DATA'!$G$3,"")</f>
        <v/>
      </c>
      <c r="CO6" s="518" t="str">
        <f>IF(AND(_A6="A-350",'2025'!$D$4="CA",'2025'!$D$2=CO5),'2025DATA'!$H$3,"")</f>
        <v/>
      </c>
      <c r="CP6" s="518" t="str">
        <f>IF(AND(_A6="A-350",'2025'!$D$4="CA",'2025'!$D$2=CP5),'2025DATA'!$I$3,"")</f>
        <v/>
      </c>
      <c r="CQ6" s="518" t="str">
        <f>IF(AND(_A6="A-350",'2025'!$D$4="CA",'2025'!$D$2=CQ5),'2025DATA'!$J$3,"")</f>
        <v/>
      </c>
      <c r="CR6" s="518" t="str">
        <f>IF(AND(_A6="A-350",'2025'!$D$4="CA",'2025'!$D$2=CR5),'2025DATA'!$K$3,"")</f>
        <v/>
      </c>
      <c r="CS6" s="518" t="str">
        <f>IF(AND(_A6="A-350",'2025'!$D$4="CA",'2025'!$D$2=CS5),'2025DATA'!$L$3,"")</f>
        <v/>
      </c>
      <c r="CT6" s="518" t="str">
        <f>IF(AND(_A6="A-350",'2025'!$D$4="CA",'2025'!$D$2=CT5),'2025DATA'!$M$3,"")</f>
        <v/>
      </c>
      <c r="CU6" s="520" t="str">
        <f>IF(AND(_A6="A-350",'2025'!$D$4="CA",'2025'!$D$2=CU5),'2025DATA'!$N$3,"")</f>
        <v/>
      </c>
    </row>
    <row r="7" spans="1:99" x14ac:dyDescent="0.25">
      <c r="A7" s="987" t="s">
        <v>64</v>
      </c>
      <c r="B7" s="64" t="s">
        <v>61</v>
      </c>
      <c r="C7" s="28">
        <v>465.13</v>
      </c>
      <c r="D7" s="29">
        <v>461.62</v>
      </c>
      <c r="E7" s="29">
        <v>458.15</v>
      </c>
      <c r="F7" s="29">
        <v>454.68</v>
      </c>
      <c r="G7" s="29">
        <v>451.18</v>
      </c>
      <c r="H7" s="29">
        <v>447.73</v>
      </c>
      <c r="I7" s="29">
        <v>444.23</v>
      </c>
      <c r="J7" s="29">
        <v>440.77</v>
      </c>
      <c r="K7" s="29">
        <v>437.26</v>
      </c>
      <c r="L7" s="29">
        <v>433.76</v>
      </c>
      <c r="M7" s="29">
        <v>430.24</v>
      </c>
      <c r="N7" s="30">
        <v>426.79</v>
      </c>
      <c r="P7" s="940"/>
      <c r="Q7" s="13" t="s">
        <v>62</v>
      </c>
      <c r="R7" s="518" t="str">
        <f>IF(AND(_A1="A-350",'2025'!$D$4="FO",'2025'!$D$2=R5),'2025DATA'!$C$4,"")</f>
        <v/>
      </c>
      <c r="S7" s="518" t="str">
        <f>IF(AND(_A1="A-350",'2025'!$D$4="FO",'2025'!$D$2=S5),'2025DATA'!$D$4,"")</f>
        <v/>
      </c>
      <c r="T7" s="518" t="str">
        <f>IF(AND(_A1="A-350",'2025'!$D$4="FO",'2025'!$D$2=T5),'2025DATA'!$E$4,"")</f>
        <v/>
      </c>
      <c r="U7" s="518" t="str">
        <f>IF(AND(_A1="A-350",'2025'!$D$4="FO",'2025'!$D$2=U5),'2025DATA'!$F$4,"")</f>
        <v/>
      </c>
      <c r="V7" s="518" t="str">
        <f>IF(AND(_A1="A-350",'2025'!$D$4="FO",'2025'!$D$2=V5),'2025DATA'!$G$4,"")</f>
        <v/>
      </c>
      <c r="W7" s="518" t="str">
        <f>IF(AND(_A1="A-350",'2025'!$D$4="FO",'2025'!$D$2=W5),'2025DATA'!$H$4,"")</f>
        <v/>
      </c>
      <c r="X7" s="518" t="str">
        <f>IF(AND(_A1="A-350",'2025'!$D$4="FO",'2025'!$D$2=X5),'2025DATA'!$I$4,"")</f>
        <v/>
      </c>
      <c r="Y7" s="518" t="str">
        <f>IF(AND(_A1="A-350",'2025'!$D$4="FO",'2025'!$D$2=Y5),'2025DATA'!$J$4,"")</f>
        <v/>
      </c>
      <c r="Z7" s="518" t="str">
        <f>IF(AND(_A1="A-350",'2025'!$D$4="FO",'2025'!$D$2=Z5),'2025DATA'!$K$4,"")</f>
        <v/>
      </c>
      <c r="AA7" s="518" t="str">
        <f>IF(AND(_A1="A-350",'2025'!$D$4="FO",'2025'!$D$2=AA5),'2025DATA'!$L$4,"")</f>
        <v/>
      </c>
      <c r="AB7" s="518" t="str">
        <f>IF(AND(_A1="A-350",'2025'!$D$4="FO",'2025'!$D$2=AB5),'2025DATA'!$M$4,"")</f>
        <v/>
      </c>
      <c r="AC7" s="520" t="str">
        <f>IF(AND(_A1="A-350",'2025'!$D$4="FO",'2025'!$D$2=AC5),'2025DATA'!$N$4,"")</f>
        <v/>
      </c>
      <c r="AD7" s="940"/>
      <c r="AE7" s="13" t="s">
        <v>62</v>
      </c>
      <c r="AF7" s="518" t="str">
        <f>IF(AND(_A2="A-350",'2025'!$D$4="FO",'2025'!$D$2=AF5),'2025DATA'!$C$4,"")</f>
        <v/>
      </c>
      <c r="AG7" s="518" t="str">
        <f>IF(AND(_A2="A-350",'2025'!$D$4="FO",'2025'!$D$2=AG5),'2025DATA'!$D$4,"")</f>
        <v/>
      </c>
      <c r="AH7" s="518" t="str">
        <f>IF(AND(_A2="A-350",'2025'!$D$4="FO",'2025'!$D$2=AH5),'2025DATA'!$E$4,"")</f>
        <v/>
      </c>
      <c r="AI7" s="518" t="str">
        <f>IF(AND(_A2="A-350",'2025'!$D$4="FO",'2025'!$D$2=AI5),'2025DATA'!$F$4,"")</f>
        <v/>
      </c>
      <c r="AJ7" s="518" t="str">
        <f>IF(AND(_A2="A-350",'2025'!$D$4="FO",'2025'!$D$2=AJ5),'2025DATA'!$G$4,"")</f>
        <v/>
      </c>
      <c r="AK7" s="518" t="str">
        <f>IF(AND(_A2="A-350",'2025'!$D$4="FO",'2025'!$D$2=AK5),'2025DATA'!$H$4,"")</f>
        <v/>
      </c>
      <c r="AL7" s="518" t="str">
        <f>IF(AND(_A2="A-350",'2025'!$D$4="FO",'2025'!$D$2=AL5),'2025DATA'!$I$4,"")</f>
        <v/>
      </c>
      <c r="AM7" s="518" t="str">
        <f>IF(AND(_A2="A-350",'2025'!$D$4="FO",'2025'!$D$2=AM5),'2025DATA'!$J$4,"")</f>
        <v/>
      </c>
      <c r="AN7" s="518" t="str">
        <f>IF(AND(_A2="A-350",'2025'!$D$4="FO",'2025'!$D$2=AN5),'2025DATA'!$K$4,"")</f>
        <v/>
      </c>
      <c r="AO7" s="518" t="str">
        <f>IF(AND(_A2="A-350",'2025'!$D$4="FO",'2025'!$D$2=AO5),'2025DATA'!$L$4,"")</f>
        <v/>
      </c>
      <c r="AP7" s="518" t="str">
        <f>IF(AND(_A2="A-350",'2025'!$D$4="FO",'2025'!$D$2=AP5),'2025DATA'!$M$4,"")</f>
        <v/>
      </c>
      <c r="AQ7" s="520" t="str">
        <f>IF(AND(_A2="A-350",'2025'!$D$4="FO",'2025'!$D$2=AQ5),'2025DATA'!$N$4,"")</f>
        <v/>
      </c>
      <c r="AR7" s="940"/>
      <c r="AS7" s="13" t="s">
        <v>62</v>
      </c>
      <c r="AT7" s="518" t="str">
        <f>IF(AND(_A3="A-350",'2025'!$D$4="FO",'2025'!$D$2=AT5),'2025DATA'!$C$4,"")</f>
        <v/>
      </c>
      <c r="AU7" s="518" t="str">
        <f>IF(AND(_A3="A-350",'2025'!$D$4="FO",'2025'!$D$2=AU5),'2025DATA'!$D$4,"")</f>
        <v/>
      </c>
      <c r="AV7" s="518" t="str">
        <f>IF(AND(_A3="A-350",'2025'!$D$4="FO",'2025'!$D$2=AV5),'2025DATA'!$E$4,"")</f>
        <v/>
      </c>
      <c r="AW7" s="518" t="str">
        <f>IF(AND(_A3="A-350",'2025'!$D$4="FO",'2025'!$D$2=AW5),'2025DATA'!$F$4,"")</f>
        <v/>
      </c>
      <c r="AX7" s="518" t="str">
        <f>IF(AND(_A3="A-350",'2025'!$D$4="FO",'2025'!$D$2=AX5),'2025DATA'!$G$4,"")</f>
        <v/>
      </c>
      <c r="AY7" s="518" t="str">
        <f>IF(AND(_A3="A-350",'2025'!$D$4="FO",'2025'!$D$2=AY5),'2025DATA'!$H$4,"")</f>
        <v/>
      </c>
      <c r="AZ7" s="518" t="str">
        <f>IF(AND(_A3="A-350",'2025'!$D$4="FO",'2025'!$D$2=AZ5),'2025DATA'!$I$4,"")</f>
        <v/>
      </c>
      <c r="BA7" s="518" t="str">
        <f>IF(AND(_A3="A-350",'2025'!$D$4="FO",'2025'!$D$2=BA5),'2025DATA'!$J$4,"")</f>
        <v/>
      </c>
      <c r="BB7" s="518" t="str">
        <f>IF(AND(_A3="A-350",'2025'!$D$4="FO",'2025'!$D$2=BB5),'2025DATA'!$K$4,"")</f>
        <v/>
      </c>
      <c r="BC7" s="518" t="str">
        <f>IF(AND(_A3="A-350",'2025'!$D$4="FO",'2025'!$D$2=BC5),'2025DATA'!$L$4,"")</f>
        <v/>
      </c>
      <c r="BD7" s="518" t="str">
        <f>IF(AND(_A3="A-350",'2025'!$D$4="FO",'2025'!$D$2=BD5),'2025DATA'!$M$4,"")</f>
        <v/>
      </c>
      <c r="BE7" s="520" t="str">
        <f>IF(AND(_A3="A-350",'2025'!$D$4="FO",'2025'!$D$2=BE5),'2025DATA'!$N$4,"")</f>
        <v/>
      </c>
      <c r="BF7" s="940"/>
      <c r="BG7" s="13" t="s">
        <v>62</v>
      </c>
      <c r="BH7" s="518" t="str">
        <f>IF(AND(_A4="A-350",'2025'!$D$4="FO",'2025'!$D$2=BH5),'2025DATA'!$C$4,"")</f>
        <v/>
      </c>
      <c r="BI7" s="518" t="str">
        <f>IF(AND(_A4="A-350",'2025'!$D$4="FO",'2025'!$D$2=BI5),'2025DATA'!$D$4,"")</f>
        <v/>
      </c>
      <c r="BJ7" s="518" t="str">
        <f>IF(AND(_A4="A-350",'2025'!$D$4="FO",'2025'!$D$2=BJ5),'2025DATA'!$E$4,"")</f>
        <v/>
      </c>
      <c r="BK7" s="518" t="str">
        <f>IF(AND(_A4="A-350",'2025'!$D$4="FO",'2025'!$D$2=BK5),'2025DATA'!$F$4,"")</f>
        <v/>
      </c>
      <c r="BL7" s="518" t="str">
        <f>IF(AND(_A4="A-350",'2025'!$D$4="FO",'2025'!$D$2=BL5),'2025DATA'!$G$4,"")</f>
        <v/>
      </c>
      <c r="BM7" s="518" t="str">
        <f>IF(AND(_A4="A-350",'2025'!$D$4="FO",'2025'!$D$2=BM5),'2025DATA'!$H$4,"")</f>
        <v/>
      </c>
      <c r="BN7" s="518" t="str">
        <f>IF(AND(_A4="A-350",'2025'!$D$4="FO",'2025'!$D$2=BN5),'2025DATA'!$I$4,"")</f>
        <v/>
      </c>
      <c r="BO7" s="518" t="str">
        <f>IF(AND(_A4="A-350",'2025'!$D$4="FO",'2025'!$D$2=BO5),'2025DATA'!$J$4,"")</f>
        <v/>
      </c>
      <c r="BP7" s="518" t="str">
        <f>IF(AND(_A4="A-350",'2025'!$D$4="FO",'2025'!$D$2=BP5),'2025DATA'!$K$4,"")</f>
        <v/>
      </c>
      <c r="BQ7" s="518" t="str">
        <f>IF(AND(_A4="A-350",'2025'!$D$4="FO",'2025'!$D$2=BQ5),'2025DATA'!$L$4,"")</f>
        <v/>
      </c>
      <c r="BR7" s="518" t="str">
        <f>IF(AND(_A4="A-350",'2025'!$D$4="FO",'2025'!$D$2=BR5),'2025DATA'!$M$4,"")</f>
        <v/>
      </c>
      <c r="BS7" s="520" t="str">
        <f>IF(AND(_A4="A-350",'2025'!$D$4="FO",'2025'!$D$2=BS5),'2025DATA'!$N$4,"")</f>
        <v/>
      </c>
      <c r="BT7" s="940"/>
      <c r="BU7" s="13" t="s">
        <v>62</v>
      </c>
      <c r="BV7" s="518" t="str">
        <f>IF(AND(_A5="A-350",'2025'!$D$4="FO",'2025'!$D$2=BV5),'2025DATA'!$C$4,"")</f>
        <v/>
      </c>
      <c r="BW7" s="518" t="str">
        <f>IF(AND(_A5="A-350",'2025'!$D$4="FO",'2025'!$D$2=BW5),'2025DATA'!$D$4,"")</f>
        <v/>
      </c>
      <c r="BX7" s="518" t="str">
        <f>IF(AND(_A5="A-350",'2025'!$D$4="FO",'2025'!$D$2=BX5),'2025DATA'!$E$4,"")</f>
        <v/>
      </c>
      <c r="BY7" s="518" t="str">
        <f>IF(AND(_A5="A-350",'2025'!$D$4="FO",'2025'!$D$2=BY5),'2025DATA'!$F$4,"")</f>
        <v/>
      </c>
      <c r="BZ7" s="518" t="str">
        <f>IF(AND(_A5="A-350",'2025'!$D$4="FO",'2025'!$D$2=BZ5),'2025DATA'!$G$4,"")</f>
        <v/>
      </c>
      <c r="CA7" s="518" t="str">
        <f>IF(AND(_A5="A-350",'2025'!$D$4="FO",'2025'!$D$2=CA5),'2025DATA'!$H$4,"")</f>
        <v/>
      </c>
      <c r="CB7" s="518" t="str">
        <f>IF(AND(_A5="A-350",'2025'!$D$4="FO",'2025'!$D$2=CB5),'2025DATA'!$I$4,"")</f>
        <v/>
      </c>
      <c r="CC7" s="518" t="str">
        <f>IF(AND(_A5="A-350",'2025'!$D$4="FO",'2025'!$D$2=CC5),'2025DATA'!$J$4,"")</f>
        <v/>
      </c>
      <c r="CD7" s="518" t="str">
        <f>IF(AND(_A5="A-350",'2025'!$D$4="FO",'2025'!$D$2=CD5),'2025DATA'!$K$4,"")</f>
        <v/>
      </c>
      <c r="CE7" s="518" t="str">
        <f>IF(AND(_A5="A-350",'2025'!$D$4="FO",'2025'!$D$2=CE5),'2025DATA'!$L$4,"")</f>
        <v/>
      </c>
      <c r="CF7" s="518" t="str">
        <f>IF(AND(_A5="A-350",'2025'!$D$4="FO",'2025'!$D$2=CF5),'2025DATA'!$M$4,"")</f>
        <v/>
      </c>
      <c r="CG7" s="520" t="str">
        <f>IF(AND(_A5="A-350",'2025'!$D$4="FO",'2025'!$D$2=CG5),'2025DATA'!$N$4,"")</f>
        <v/>
      </c>
      <c r="CH7" s="940"/>
      <c r="CI7" s="13" t="s">
        <v>62</v>
      </c>
      <c r="CJ7" s="518" t="str">
        <f>IF(AND(_A6="A-350",'2025'!$D$4="FO",'2025'!$D$2=CJ5),'2025DATA'!$C$4,"")</f>
        <v/>
      </c>
      <c r="CK7" s="518" t="str">
        <f>IF(AND(_A6="A-350",'2025'!$D$4="FO",'2025'!$D$2=CK5),'2025DATA'!$D$4,"")</f>
        <v/>
      </c>
      <c r="CL7" s="518" t="str">
        <f>IF(AND(_A6="A-350",'2025'!$D$4="FO",'2025'!$D$2=CL5),'2025DATA'!$E$4,"")</f>
        <v/>
      </c>
      <c r="CM7" s="518" t="str">
        <f>IF(AND(_A6="A-350",'2025'!$D$4="FO",'2025'!$D$2=CM5),'2025DATA'!$F$4,"")</f>
        <v/>
      </c>
      <c r="CN7" s="518" t="str">
        <f>IF(AND(_A6="A-350",'2025'!$D$4="FO",'2025'!$D$2=CN5),'2025DATA'!$G$4,"")</f>
        <v/>
      </c>
      <c r="CO7" s="518" t="str">
        <f>IF(AND(_A6="A-350",'2025'!$D$4="FO",'2025'!$D$2=CO5),'2025DATA'!$H$4,"")</f>
        <v/>
      </c>
      <c r="CP7" s="518" t="str">
        <f>IF(AND(_A6="A-350",'2025'!$D$4="FO",'2025'!$D$2=CP5),'2025DATA'!$I$4,"")</f>
        <v/>
      </c>
      <c r="CQ7" s="518" t="str">
        <f>IF(AND(_A6="A-350",'2025'!$D$4="FO",'2025'!$D$2=CQ5),'2025DATA'!$J$4,"")</f>
        <v/>
      </c>
      <c r="CR7" s="518" t="str">
        <f>IF(AND(_A6="A-350",'2025'!$D$4="FO",'2025'!$D$2=CR5),'2025DATA'!$K$4,"")</f>
        <v/>
      </c>
      <c r="CS7" s="518" t="str">
        <f>IF(AND(_A6="A-350",'2025'!$D$4="FO",'2025'!$D$2=CS5),'2025DATA'!$L$4,"")</f>
        <v/>
      </c>
      <c r="CT7" s="518" t="str">
        <f>IF(AND(_A6="A-350",'2025'!$D$4="FO",'2025'!$D$2=CT5),'2025DATA'!$M$4,"")</f>
        <v/>
      </c>
      <c r="CU7" s="520" t="str">
        <f>IF(AND(_A6="A-350",'2025'!$D$4="FO",'2025'!$D$2=CU5),'2025DATA'!$N$4,"")</f>
        <v/>
      </c>
    </row>
    <row r="8" spans="1:99" x14ac:dyDescent="0.25">
      <c r="A8" s="987"/>
      <c r="B8" s="64" t="s">
        <v>62</v>
      </c>
      <c r="C8" s="28">
        <v>317.73</v>
      </c>
      <c r="D8" s="29">
        <v>314.83</v>
      </c>
      <c r="E8" s="29">
        <v>312.02999999999997</v>
      </c>
      <c r="F8" s="29">
        <v>307.86</v>
      </c>
      <c r="G8" s="29">
        <v>304.54000000000002</v>
      </c>
      <c r="H8" s="29">
        <v>297.7</v>
      </c>
      <c r="I8" s="29">
        <v>289.64999999999998</v>
      </c>
      <c r="J8" s="29">
        <v>282.49</v>
      </c>
      <c r="K8" s="29">
        <v>275.89999999999998</v>
      </c>
      <c r="L8" s="29">
        <v>269.38</v>
      </c>
      <c r="M8" s="29">
        <v>230.2</v>
      </c>
      <c r="N8" s="30">
        <v>120.69</v>
      </c>
      <c r="P8" s="940" t="s">
        <v>65</v>
      </c>
      <c r="Q8" s="13" t="s">
        <v>61</v>
      </c>
      <c r="R8" s="518" t="str">
        <f>IF(AND(_A1="A-330-900",'2025'!$D$4="CA",'2025'!$D$2=R5),'2025DATA'!$C$5,"")</f>
        <v/>
      </c>
      <c r="S8" s="518" t="str">
        <f>IF(AND(_A1="A-330-900",'2025'!$D$4="CA",'2025'!$D$2=S5),'2025DATA'!$D$5,"")</f>
        <v/>
      </c>
      <c r="T8" s="518" t="str">
        <f>IF(AND(_A1="A-330-900",'2025'!$D$4="CA",'2025'!$D$2=T5),'2025DATA'!$E$5,"")</f>
        <v/>
      </c>
      <c r="U8" s="518" t="str">
        <f>IF(AND(_A1="A-330-900",'2025'!$D$4="CA",'2025'!$D$2=U5),'2025DATA'!$F$5,"")</f>
        <v/>
      </c>
      <c r="V8" s="518" t="str">
        <f>IF(AND(_A1="A-330-900",'2025'!$D$4="CA",'2025'!$D$2=V5),'2025DATA'!$G$5,"")</f>
        <v/>
      </c>
      <c r="W8" s="518" t="str">
        <f>IF(AND(_A1="A-330-900",'2025'!$D$4="CA",'2025'!$D$2=W5),'2025DATA'!$H$5,"")</f>
        <v/>
      </c>
      <c r="X8" s="518" t="str">
        <f>IF(AND(_A1="A-330-900",'2025'!$D$4="CA",'2025'!$D$2=X5),'2025DATA'!$I$5,"")</f>
        <v/>
      </c>
      <c r="Y8" s="518" t="str">
        <f>IF(AND(_A1="A-330-900",'2025'!$D$4="CA",'2025'!$D$2=Y5),'2025DATA'!$J$5,"")</f>
        <v/>
      </c>
      <c r="Z8" s="518" t="str">
        <f>IF(AND(_A1="A-330-900",'2025'!$D$4="CA",'2025'!$D$2=Z5),'2025DATA'!$K$5,"")</f>
        <v/>
      </c>
      <c r="AA8" s="518" t="str">
        <f>IF(AND(_A1="A-330-900",'2025'!$D$4="CA",'2025'!$D$2=AA5),'2025DATA'!$L$5,"")</f>
        <v/>
      </c>
      <c r="AB8" s="518" t="str">
        <f>IF(AND(_A1="A-330-900",'2025'!$D$4="CA",'2025'!$D$2=AB5),'2025DATA'!$M$5,"")</f>
        <v/>
      </c>
      <c r="AC8" s="520" t="str">
        <f>IF(AND(_A1="A-330-900",'2025'!$D$4="CA",'2025'!$D$2=AC5),'2025DATA'!$N$5,"")</f>
        <v/>
      </c>
      <c r="AD8" s="940" t="s">
        <v>65</v>
      </c>
      <c r="AE8" s="13" t="s">
        <v>61</v>
      </c>
      <c r="AF8" s="518" t="str">
        <f>IF(AND(_A2="A-330-900",'2025'!$D$4="CA",'2025'!$D$2=AF5),'2025DATA'!$C$5,"")</f>
        <v/>
      </c>
      <c r="AG8" s="518" t="str">
        <f>IF(AND(_A2="A-330-900",'2025'!$D$4="CA",'2025'!$D$2=AG5),'2025DATA'!$D$5,"")</f>
        <v/>
      </c>
      <c r="AH8" s="518" t="str">
        <f>IF(AND(_A2="A-330-900",'2025'!$D$4="CA",'2025'!$D$2=AH5),'2025DATA'!$E$5,"")</f>
        <v/>
      </c>
      <c r="AI8" s="518" t="str">
        <f>IF(AND(_A2="A-330-900",'2025'!$D$4="CA",'2025'!$D$2=AI5),'2025DATA'!$F$5,"")</f>
        <v/>
      </c>
      <c r="AJ8" s="518" t="str">
        <f>IF(AND(_A2="A-330-900",'2025'!$D$4="CA",'2025'!$D$2=AJ5),'2025DATA'!$G$5,"")</f>
        <v/>
      </c>
      <c r="AK8" s="518" t="str">
        <f>IF(AND(_A2="A-330-900",'2025'!$D$4="CA",'2025'!$D$2=AK5),'2025DATA'!$H$5,"")</f>
        <v/>
      </c>
      <c r="AL8" s="518" t="str">
        <f>IF(AND(_A2="A-330-900",'2025'!$D$4="CA",'2025'!$D$2=AL5),'2025DATA'!$I$5,"")</f>
        <v/>
      </c>
      <c r="AM8" s="518" t="str">
        <f>IF(AND(_A2="A-330-900",'2025'!$D$4="CA",'2025'!$D$2=AM5),'2025DATA'!$J$5,"")</f>
        <v/>
      </c>
      <c r="AN8" s="518" t="str">
        <f>IF(AND(_A2="A-330-900",'2025'!$D$4="CA",'2025'!$D$2=AN5),'2025DATA'!$K$5,"")</f>
        <v/>
      </c>
      <c r="AO8" s="518" t="str">
        <f>IF(AND(_A2="A-330-900",'2025'!$D$4="CA",'2025'!$D$2=AO5),'2025DATA'!$L$5,"")</f>
        <v/>
      </c>
      <c r="AP8" s="518" t="str">
        <f>IF(AND(_A2="A-330-900",'2025'!$D$4="CA",'2025'!$D$2=AP5),'2025DATA'!$M$5,"")</f>
        <v/>
      </c>
      <c r="AQ8" s="520" t="str">
        <f>IF(AND(_A2="A-330-900",'2025'!$D$4="CA",'2025'!$D$2=AQ5),'2025DATA'!$N$5,"")</f>
        <v/>
      </c>
      <c r="AR8" s="940" t="s">
        <v>65</v>
      </c>
      <c r="AS8" s="13" t="s">
        <v>61</v>
      </c>
      <c r="AT8" s="518" t="str">
        <f>IF(AND(_A3="A-330-900",'2025'!$D$4="CA",'2025'!$D$2=AT5),'2025DATA'!$C$5,"")</f>
        <v/>
      </c>
      <c r="AU8" s="518" t="str">
        <f>IF(AND(_A3="A-330-900",'2025'!$D$4="CA",'2025'!$D$2=AU5),'2025DATA'!$D$5,"")</f>
        <v/>
      </c>
      <c r="AV8" s="518" t="str">
        <f>IF(AND(_A3="A-330-900",'2025'!$D$4="CA",'2025'!$D$2=AV5),'2025DATA'!$E$5,"")</f>
        <v/>
      </c>
      <c r="AW8" s="518" t="str">
        <f>IF(AND(_A3="A-330-900",'2025'!$D$4="CA",'2025'!$D$2=AW5),'2025DATA'!$F$5,"")</f>
        <v/>
      </c>
      <c r="AX8" s="518" t="str">
        <f>IF(AND(_A3="A-330-900",'2025'!$D$4="CA",'2025'!$D$2=AX5),'2025DATA'!$G$5,"")</f>
        <v/>
      </c>
      <c r="AY8" s="518" t="str">
        <f>IF(AND(_A3="A-330-900",'2025'!$D$4="CA",'2025'!$D$2=AY5),'2025DATA'!$H$5,"")</f>
        <v/>
      </c>
      <c r="AZ8" s="518" t="str">
        <f>IF(AND(_A3="A-330-900",'2025'!$D$4="CA",'2025'!$D$2=AZ5),'2025DATA'!$I$5,"")</f>
        <v/>
      </c>
      <c r="BA8" s="518" t="str">
        <f>IF(AND(_A3="A-330-900",'2025'!$D$4="CA",'2025'!$D$2=BA5),'2025DATA'!$J$5,"")</f>
        <v/>
      </c>
      <c r="BB8" s="518" t="str">
        <f>IF(AND(_A3="A-330-900",'2025'!$D$4="CA",'2025'!$D$2=BB5),'2025DATA'!$K$5,"")</f>
        <v/>
      </c>
      <c r="BC8" s="518" t="str">
        <f>IF(AND(_A3="A-330-900",'2025'!$D$4="CA",'2025'!$D$2=BC5),'2025DATA'!$L$5,"")</f>
        <v/>
      </c>
      <c r="BD8" s="518" t="str">
        <f>IF(AND(_A3="A-330-900",'2025'!$D$4="CA",'2025'!$D$2=BD5),'2025DATA'!$M$5,"")</f>
        <v/>
      </c>
      <c r="BE8" s="520" t="str">
        <f>IF(AND(_A3="A-330-900",'2025'!$D$4="CA",'2025'!$D$2=BE5),'2025DATA'!$N$5,"")</f>
        <v/>
      </c>
      <c r="BF8" s="940" t="s">
        <v>65</v>
      </c>
      <c r="BG8" s="13" t="s">
        <v>61</v>
      </c>
      <c r="BH8" s="518" t="str">
        <f>IF(AND(_A4="A-330-900",'2025'!$D$4="CA",'2025'!$D$2=BH5),'2025DATA'!$C$5,"")</f>
        <v/>
      </c>
      <c r="BI8" s="518" t="str">
        <f>IF(AND(_A4="A-330-900",'2025'!$D$4="CA",'2025'!$D$2=BI5),'2025DATA'!$D$5,"")</f>
        <v/>
      </c>
      <c r="BJ8" s="518" t="str">
        <f>IF(AND(_A4="A-330-900",'2025'!$D$4="CA",'2025'!$D$2=BJ5),'2025DATA'!$E$5,"")</f>
        <v/>
      </c>
      <c r="BK8" s="518" t="str">
        <f>IF(AND(_A4="A-330-900",'2025'!$D$4="CA",'2025'!$D$2=BK5),'2025DATA'!$F$5,"")</f>
        <v/>
      </c>
      <c r="BL8" s="518" t="str">
        <f>IF(AND(_A4="A-330-900",'2025'!$D$4="CA",'2025'!$D$2=BL5),'2025DATA'!$G$5,"")</f>
        <v/>
      </c>
      <c r="BM8" s="518" t="str">
        <f>IF(AND(_A4="A-330-900",'2025'!$D$4="CA",'2025'!$D$2=BM5),'2025DATA'!$H$5,"")</f>
        <v/>
      </c>
      <c r="BN8" s="518" t="str">
        <f>IF(AND(_A4="A-330-900",'2025'!$D$4="CA",'2025'!$D$2=BN5),'2025DATA'!$I$5,"")</f>
        <v/>
      </c>
      <c r="BO8" s="518" t="str">
        <f>IF(AND(_A4="A-330-900",'2025'!$D$4="CA",'2025'!$D$2=BO5),'2025DATA'!$J$5,"")</f>
        <v/>
      </c>
      <c r="BP8" s="518" t="str">
        <f>IF(AND(_A4="A-330-900",'2025'!$D$4="CA",'2025'!$D$2=BP5),'2025DATA'!$K$5,"")</f>
        <v/>
      </c>
      <c r="BQ8" s="518" t="str">
        <f>IF(AND(_A4="A-330-900",'2025'!$D$4="CA",'2025'!$D$2=BQ5),'2025DATA'!$L$5,"")</f>
        <v/>
      </c>
      <c r="BR8" s="518" t="str">
        <f>IF(AND(_A4="A-330-900",'2025'!$D$4="CA",'2025'!$D$2=BR5),'2025DATA'!$M$5,"")</f>
        <v/>
      </c>
      <c r="BS8" s="520" t="str">
        <f>IF(AND(_A4="A-330-900",'2025'!$D$4="CA",'2025'!$D$2=BS5),'2025DATA'!$N$5,"")</f>
        <v/>
      </c>
      <c r="BT8" s="940" t="s">
        <v>65</v>
      </c>
      <c r="BU8" s="13" t="s">
        <v>61</v>
      </c>
      <c r="BV8" s="518" t="str">
        <f>IF(AND(_A5="A-330-900",'2025'!$D$4="CA",'2025'!$D$2=BV5),'2025DATA'!$C$5,"")</f>
        <v/>
      </c>
      <c r="BW8" s="518" t="str">
        <f>IF(AND(_A5="A-330-900",'2025'!$D$4="CA",'2025'!$D$2=BW5),'2025DATA'!$D$5,"")</f>
        <v/>
      </c>
      <c r="BX8" s="518" t="str">
        <f>IF(AND(_A5="A-330-900",'2025'!$D$4="CA",'2025'!$D$2=BX5),'2025DATA'!$E$5,"")</f>
        <v/>
      </c>
      <c r="BY8" s="518" t="str">
        <f>IF(AND(_A5="A-330-900",'2025'!$D$4="CA",'2025'!$D$2=BY5),'2025DATA'!$F$5,"")</f>
        <v/>
      </c>
      <c r="BZ8" s="518" t="str">
        <f>IF(AND(_A5="A-330-900",'2025'!$D$4="CA",'2025'!$D$2=BZ5),'2025DATA'!$G$5,"")</f>
        <v/>
      </c>
      <c r="CA8" s="518" t="str">
        <f>IF(AND(_A5="A-330-900",'2025'!$D$4="CA",'2025'!$D$2=CA5),'2025DATA'!$H$5,"")</f>
        <v/>
      </c>
      <c r="CB8" s="518" t="str">
        <f>IF(AND(_A5="A-330-900",'2025'!$D$4="CA",'2025'!$D$2=CB5),'2025DATA'!$I$5,"")</f>
        <v/>
      </c>
      <c r="CC8" s="518" t="str">
        <f>IF(AND(_A5="A-330-900",'2025'!$D$4="CA",'2025'!$D$2=CC5),'2025DATA'!$J$5,"")</f>
        <v/>
      </c>
      <c r="CD8" s="518" t="str">
        <f>IF(AND(_A5="A-330-900",'2025'!$D$4="CA",'2025'!$D$2=CD5),'2025DATA'!$K$5,"")</f>
        <v/>
      </c>
      <c r="CE8" s="518" t="str">
        <f>IF(AND(_A5="A-330-900",'2025'!$D$4="CA",'2025'!$D$2=CE5),'2025DATA'!$L$5,"")</f>
        <v/>
      </c>
      <c r="CF8" s="518" t="str">
        <f>IF(AND(_A5="A-330-900",'2025'!$D$4="CA",'2025'!$D$2=CF5),'2025DATA'!$M$5,"")</f>
        <v/>
      </c>
      <c r="CG8" s="520" t="str">
        <f>IF(AND(_A5="A-330-900",'2025'!$D$4="CA",'2025'!$D$2=CG5),'2025DATA'!$N$5,"")</f>
        <v/>
      </c>
      <c r="CH8" s="940" t="s">
        <v>65</v>
      </c>
      <c r="CI8" s="13" t="s">
        <v>61</v>
      </c>
      <c r="CJ8" s="518" t="str">
        <f>IF(AND(_A6="A-330-900",'2025'!$D$4="CA",'2025'!$D$2=CJ5),'2025DATA'!$C$5,"")</f>
        <v/>
      </c>
      <c r="CK8" s="518" t="str">
        <f>IF(AND(_A6="A-330-900",'2025'!$D$4="CA",'2025'!$D$2=CK5),'2025DATA'!$D$5,"")</f>
        <v/>
      </c>
      <c r="CL8" s="518" t="str">
        <f>IF(AND(_A6="A-330-900",'2025'!$D$4="CA",'2025'!$D$2=CL5),'2025DATA'!$E$5,"")</f>
        <v/>
      </c>
      <c r="CM8" s="518" t="str">
        <f>IF(AND(_A6="A-330-900",'2025'!$D$4="CA",'2025'!$D$2=CM5),'2025DATA'!$F$5,"")</f>
        <v/>
      </c>
      <c r="CN8" s="518" t="str">
        <f>IF(AND(_A6="A-330-900",'2025'!$D$4="CA",'2025'!$D$2=CN5),'2025DATA'!$G$5,"")</f>
        <v/>
      </c>
      <c r="CO8" s="518" t="str">
        <f>IF(AND(_A6="A-330-900",'2025'!$D$4="CA",'2025'!$D$2=CO5),'2025DATA'!$H$5,"")</f>
        <v/>
      </c>
      <c r="CP8" s="518" t="str">
        <f>IF(AND(_A6="A-330-900",'2025'!$D$4="CA",'2025'!$D$2=CP5),'2025DATA'!$I$5,"")</f>
        <v/>
      </c>
      <c r="CQ8" s="518" t="str">
        <f>IF(AND(_A6="A-330-900",'2025'!$D$4="CA",'2025'!$D$2=CQ5),'2025DATA'!$J$5,"")</f>
        <v/>
      </c>
      <c r="CR8" s="518" t="str">
        <f>IF(AND(_A6="A-330-900",'2025'!$D$4="CA",'2025'!$D$2=CR5),'2025DATA'!$K$5,"")</f>
        <v/>
      </c>
      <c r="CS8" s="518" t="str">
        <f>IF(AND(_A6="A-330-900",'2025'!$D$4="CA",'2025'!$D$2=CS5),'2025DATA'!$L$5,"")</f>
        <v/>
      </c>
      <c r="CT8" s="518" t="str">
        <f>IF(AND(_A6="A-330-900",'2025'!$D$4="CA",'2025'!$D$2=CT5),'2025DATA'!$M$5,"")</f>
        <v/>
      </c>
      <c r="CU8" s="520" t="str">
        <f>IF(AND(_A6="A-330-900",'2025'!$D$4="CA",'2025'!$D$2=CU5),'2025DATA'!$N$5,"")</f>
        <v/>
      </c>
    </row>
    <row r="9" spans="1:99" x14ac:dyDescent="0.25">
      <c r="A9" s="987" t="s">
        <v>66</v>
      </c>
      <c r="B9" s="64" t="s">
        <v>61</v>
      </c>
      <c r="C9" s="28">
        <v>465.13</v>
      </c>
      <c r="D9" s="29">
        <v>461.62</v>
      </c>
      <c r="E9" s="29">
        <v>458.15</v>
      </c>
      <c r="F9" s="29">
        <v>454.68</v>
      </c>
      <c r="G9" s="29">
        <v>451.18</v>
      </c>
      <c r="H9" s="29">
        <v>447.73</v>
      </c>
      <c r="I9" s="29">
        <v>444.23</v>
      </c>
      <c r="J9" s="29">
        <v>440.77</v>
      </c>
      <c r="K9" s="29">
        <v>437.26</v>
      </c>
      <c r="L9" s="29">
        <v>433.76</v>
      </c>
      <c r="M9" s="29">
        <v>430.24</v>
      </c>
      <c r="N9" s="30">
        <v>426.79</v>
      </c>
      <c r="P9" s="940"/>
      <c r="Q9" s="13" t="s">
        <v>62</v>
      </c>
      <c r="R9" s="518" t="str">
        <f>IF(AND(_A1="A-330-900",'2025'!$D$4="FO",'2025'!$D$2=R5),'2025DATA'!$C$6,"")</f>
        <v/>
      </c>
      <c r="S9" s="518" t="str">
        <f>IF(AND(_A1="A-330-900",'2025'!$D$4="FO",'2025'!$D$2=S5),'2025DATA'!$D$6,"")</f>
        <v/>
      </c>
      <c r="T9" s="518" t="str">
        <f>IF(AND(_A1="A-330-900",'2025'!$D$4="FO",'2025'!$D$2=T5),'2025DATA'!$E$6,"")</f>
        <v/>
      </c>
      <c r="U9" s="518" t="str">
        <f>IF(AND(_A1="A-330-900",'2025'!$D$4="FO",'2025'!$D$2=U5),'2025DATA'!$F$6,"")</f>
        <v/>
      </c>
      <c r="V9" s="518" t="str">
        <f>IF(AND(_A1="A-330-900",'2025'!$D$4="FO",'2025'!$D$2=V5),'2025DATA'!$G$6,"")</f>
        <v/>
      </c>
      <c r="W9" s="518" t="str">
        <f>IF(AND(_A1="A-330-900",'2025'!$D$4="FO",'2025'!$D$2=W5),'2025DATA'!$H$6,"")</f>
        <v/>
      </c>
      <c r="X9" s="518" t="str">
        <f>IF(AND(_A1="A-330-900",'2025'!$D$4="FO",'2025'!$D$2=X5),'2025DATA'!$I$6,"")</f>
        <v/>
      </c>
      <c r="Y9" s="518" t="str">
        <f>IF(AND(_A1="A-330-900",'2025'!$D$4="FO",'2025'!$D$2=Y5),'2025DATA'!$J$6,"")</f>
        <v/>
      </c>
      <c r="Z9" s="518" t="str">
        <f>IF(AND(_A1="A-330-900",'2025'!$D$4="FO",'2025'!$D$2=Z5),'2025DATA'!$K$6,"")</f>
        <v/>
      </c>
      <c r="AA9" s="518" t="str">
        <f>IF(AND(_A1="A-330-900",'2025'!$D$4="FO",'2025'!$D$2=AA5),'2025DATA'!$L$6,"")</f>
        <v/>
      </c>
      <c r="AB9" s="518" t="str">
        <f>IF(AND(_A1="A-330-900",'2025'!$D$4="FO",'2025'!$D$2=AB5),'2025DATA'!$M$6,"")</f>
        <v/>
      </c>
      <c r="AC9" s="520" t="str">
        <f>IF(AND(_A1="A-330-900",'2025'!$D$4="FO",'2025'!$D$2=AC5),'2025DATA'!$N$6,"")</f>
        <v/>
      </c>
      <c r="AD9" s="940"/>
      <c r="AE9" s="13" t="s">
        <v>62</v>
      </c>
      <c r="AF9" s="518" t="str">
        <f>IF(AND(_A2="A-330-900",'2025'!$D$4="FO",'2025'!$D$2=AF5),'2025DATA'!$C$6,"")</f>
        <v/>
      </c>
      <c r="AG9" s="518" t="str">
        <f>IF(AND(_A2="A-330-900",'2025'!$D$4="FO",'2025'!$D$2=AG5),'2025DATA'!$D$6,"")</f>
        <v/>
      </c>
      <c r="AH9" s="518" t="str">
        <f>IF(AND(_A2="A-330-900",'2025'!$D$4="FO",'2025'!$D$2=AH5),'2025DATA'!$E$6,"")</f>
        <v/>
      </c>
      <c r="AI9" s="518" t="str">
        <f>IF(AND(_A2="A-330-900",'2025'!$D$4="FO",'2025'!$D$2=AI5),'2025DATA'!$F$6,"")</f>
        <v/>
      </c>
      <c r="AJ9" s="518" t="str">
        <f>IF(AND(_A2="A-330-900",'2025'!$D$4="FO",'2025'!$D$2=AJ5),'2025DATA'!$G$6,"")</f>
        <v/>
      </c>
      <c r="AK9" s="518" t="str">
        <f>IF(AND(_A2="A-330-900",'2025'!$D$4="FO",'2025'!$D$2=AK5),'2025DATA'!$H$6,"")</f>
        <v/>
      </c>
      <c r="AL9" s="518" t="str">
        <f>IF(AND(_A2="A-330-900",'2025'!$D$4="FO",'2025'!$D$2=AL5),'2025DATA'!$I$6,"")</f>
        <v/>
      </c>
      <c r="AM9" s="518" t="str">
        <f>IF(AND(_A2="A-330-900",'2025'!$D$4="FO",'2025'!$D$2=AM5),'2025DATA'!$J$6,"")</f>
        <v/>
      </c>
      <c r="AN9" s="518" t="str">
        <f>IF(AND(_A2="A-330-900",'2025'!$D$4="FO",'2025'!$D$2=AN5),'2025DATA'!$K$6,"")</f>
        <v/>
      </c>
      <c r="AO9" s="518" t="str">
        <f>IF(AND(_A2="A-330-900",'2025'!$D$4="FO",'2025'!$D$2=AO5),'2025DATA'!$L$6,"")</f>
        <v/>
      </c>
      <c r="AP9" s="518" t="str">
        <f>IF(AND(_A2="A-330-900",'2025'!$D$4="FO",'2025'!$D$2=AP5),'2025DATA'!$M$6,"")</f>
        <v/>
      </c>
      <c r="AQ9" s="520" t="str">
        <f>IF(AND(_A2="A-330-900",'2025'!$D$4="FO",'2025'!$D$2=AQ5),'2025DATA'!$N$6,"")</f>
        <v/>
      </c>
      <c r="AR9" s="940"/>
      <c r="AS9" s="13" t="s">
        <v>62</v>
      </c>
      <c r="AT9" s="518" t="str">
        <f>IF(AND(_A3="A-330-900",'2025'!$D$4="FO",'2025'!$D$2=AT5),'2025DATA'!$C$6,"")</f>
        <v/>
      </c>
      <c r="AU9" s="518" t="str">
        <f>IF(AND(_A3="A-330-900",'2025'!$D$4="FO",'2025'!$D$2=AU5),'2025DATA'!$D$6,"")</f>
        <v/>
      </c>
      <c r="AV9" s="518" t="str">
        <f>IF(AND(_A3="A-330-900",'2025'!$D$4="FO",'2025'!$D$2=AV5),'2025DATA'!$E$6,"")</f>
        <v/>
      </c>
      <c r="AW9" s="518" t="str">
        <f>IF(AND(_A3="A-330-900",'2025'!$D$4="FO",'2025'!$D$2=AW5),'2025DATA'!$F$6,"")</f>
        <v/>
      </c>
      <c r="AX9" s="518" t="str">
        <f>IF(AND(_A3="A-330-900",'2025'!$D$4="FO",'2025'!$D$2=AX5),'2025DATA'!$G$6,"")</f>
        <v/>
      </c>
      <c r="AY9" s="518" t="str">
        <f>IF(AND(_A3="A-330-900",'2025'!$D$4="FO",'2025'!$D$2=AY5),'2025DATA'!$H$6,"")</f>
        <v/>
      </c>
      <c r="AZ9" s="518" t="str">
        <f>IF(AND(_A3="A-330-900",'2025'!$D$4="FO",'2025'!$D$2=AZ5),'2025DATA'!$I$6,"")</f>
        <v/>
      </c>
      <c r="BA9" s="518" t="str">
        <f>IF(AND(_A3="A-330-900",'2025'!$D$4="FO",'2025'!$D$2=BA5),'2025DATA'!$J$6,"")</f>
        <v/>
      </c>
      <c r="BB9" s="518" t="str">
        <f>IF(AND(_A3="A-330-900",'2025'!$D$4="FO",'2025'!$D$2=BB5),'2025DATA'!$K$6,"")</f>
        <v/>
      </c>
      <c r="BC9" s="518" t="str">
        <f>IF(AND(_A3="A-330-900",'2025'!$D$4="FO",'2025'!$D$2=BC5),'2025DATA'!$L$6,"")</f>
        <v/>
      </c>
      <c r="BD9" s="518" t="str">
        <f>IF(AND(_A3="A-330-900",'2025'!$D$4="FO",'2025'!$D$2=BD5),'2025DATA'!$M$6,"")</f>
        <v/>
      </c>
      <c r="BE9" s="520" t="str">
        <f>IF(AND(_A3="A-330-900",'2025'!$D$4="FO",'2025'!$D$2=BE5),'2025DATA'!$N$6,"")</f>
        <v/>
      </c>
      <c r="BF9" s="940"/>
      <c r="BG9" s="13" t="s">
        <v>62</v>
      </c>
      <c r="BH9" s="518" t="str">
        <f>IF(AND(_A4="A-330-900",'2025'!$D$4="FO",'2025'!$D$2=BH5),'2025DATA'!$C$6,"")</f>
        <v/>
      </c>
      <c r="BI9" s="518" t="str">
        <f>IF(AND(_A4="A-330-900",'2025'!$D$4="FO",'2025'!$D$2=BI5),'2025DATA'!$D$6,"")</f>
        <v/>
      </c>
      <c r="BJ9" s="518" t="str">
        <f>IF(AND(_A4="A-330-900",'2025'!$D$4="FO",'2025'!$D$2=BJ5),'2025DATA'!$E$6,"")</f>
        <v/>
      </c>
      <c r="BK9" s="518" t="str">
        <f>IF(AND(_A4="A-330-900",'2025'!$D$4="FO",'2025'!$D$2=BK5),'2025DATA'!$F$6,"")</f>
        <v/>
      </c>
      <c r="BL9" s="518" t="str">
        <f>IF(AND(_A4="A-330-900",'2025'!$D$4="FO",'2025'!$D$2=BL5),'2025DATA'!$G$6,"")</f>
        <v/>
      </c>
      <c r="BM9" s="518" t="str">
        <f>IF(AND(_A4="A-330-900",'2025'!$D$4="FO",'2025'!$D$2=BM5),'2025DATA'!$H$6,"")</f>
        <v/>
      </c>
      <c r="BN9" s="518" t="str">
        <f>IF(AND(_A4="A-330-900",'2025'!$D$4="FO",'2025'!$D$2=BN5),'2025DATA'!$I$6,"")</f>
        <v/>
      </c>
      <c r="BO9" s="518" t="str">
        <f>IF(AND(_A4="A-330-900",'2025'!$D$4="FO",'2025'!$D$2=BO5),'2025DATA'!$J$6,"")</f>
        <v/>
      </c>
      <c r="BP9" s="518" t="str">
        <f>IF(AND(_A4="A-330-900",'2025'!$D$4="FO",'2025'!$D$2=BP5),'2025DATA'!$K$6,"")</f>
        <v/>
      </c>
      <c r="BQ9" s="518" t="str">
        <f>IF(AND(_A4="A-330-900",'2025'!$D$4="FO",'2025'!$D$2=BQ5),'2025DATA'!$L$6,"")</f>
        <v/>
      </c>
      <c r="BR9" s="518" t="str">
        <f>IF(AND(_A4="A-330-900",'2025'!$D$4="FO",'2025'!$D$2=BR5),'2025DATA'!$M$6,"")</f>
        <v/>
      </c>
      <c r="BS9" s="520" t="str">
        <f>IF(AND(_A4="A-330-900",'2025'!$D$4="FO",'2025'!$D$2=BS5),'2025DATA'!$N$6,"")</f>
        <v/>
      </c>
      <c r="BT9" s="940"/>
      <c r="BU9" s="13" t="s">
        <v>62</v>
      </c>
      <c r="BV9" s="518" t="str">
        <f>IF(AND(_A5="A-330-900",'2025'!$D$4="FO",'2025'!$D$2=BV5),'2025DATA'!$C$6,"")</f>
        <v/>
      </c>
      <c r="BW9" s="518" t="str">
        <f>IF(AND(_A5="A-330-900",'2025'!$D$4="FO",'2025'!$D$2=BW5),'2025DATA'!$D$6,"")</f>
        <v/>
      </c>
      <c r="BX9" s="518" t="str">
        <f>IF(AND(_A5="A-330-900",'2025'!$D$4="FO",'2025'!$D$2=BX5),'2025DATA'!$E$6,"")</f>
        <v/>
      </c>
      <c r="BY9" s="518" t="str">
        <f>IF(AND(_A5="A-330-900",'2025'!$D$4="FO",'2025'!$D$2=BY5),'2025DATA'!$F$6,"")</f>
        <v/>
      </c>
      <c r="BZ9" s="518" t="str">
        <f>IF(AND(_A5="A-330-900",'2025'!$D$4="FO",'2025'!$D$2=BZ5),'2025DATA'!$G$6,"")</f>
        <v/>
      </c>
      <c r="CA9" s="518" t="str">
        <f>IF(AND(_A5="A-330-900",'2025'!$D$4="FO",'2025'!$D$2=CA5),'2025DATA'!$H$6,"")</f>
        <v/>
      </c>
      <c r="CB9" s="518" t="str">
        <f>IF(AND(_A5="A-330-900",'2025'!$D$4="FO",'2025'!$D$2=CB5),'2025DATA'!$I$6,"")</f>
        <v/>
      </c>
      <c r="CC9" s="518" t="str">
        <f>IF(AND(_A5="A-330-900",'2025'!$D$4="FO",'2025'!$D$2=CC5),'2025DATA'!$J$6,"")</f>
        <v/>
      </c>
      <c r="CD9" s="518" t="str">
        <f>IF(AND(_A5="A-330-900",'2025'!$D$4="FO",'2025'!$D$2=CD5),'2025DATA'!$K$6,"")</f>
        <v/>
      </c>
      <c r="CE9" s="518" t="str">
        <f>IF(AND(_A5="A-330-900",'2025'!$D$4="FO",'2025'!$D$2=CE5),'2025DATA'!$L$6,"")</f>
        <v/>
      </c>
      <c r="CF9" s="518" t="str">
        <f>IF(AND(_A5="A-330-900",'2025'!$D$4="FO",'2025'!$D$2=CF5),'2025DATA'!$M$6,"")</f>
        <v/>
      </c>
      <c r="CG9" s="520" t="str">
        <f>IF(AND(_A5="A-330-900",'2025'!$D$4="FO",'2025'!$D$2=CG5),'2025DATA'!$N$6,"")</f>
        <v/>
      </c>
      <c r="CH9" s="940"/>
      <c r="CI9" s="13" t="s">
        <v>62</v>
      </c>
      <c r="CJ9" s="518" t="str">
        <f>IF(AND(_A6="A-330-900",'2025'!$D$4="FO",'2025'!$D$2=CJ5),'2025DATA'!$C$6,"")</f>
        <v/>
      </c>
      <c r="CK9" s="518" t="str">
        <f>IF(AND(_A6="A-330-900",'2025'!$D$4="FO",'2025'!$D$2=CK5),'2025DATA'!$D$6,"")</f>
        <v/>
      </c>
      <c r="CL9" s="518" t="str">
        <f>IF(AND(_A6="A-330-900",'2025'!$D$4="FO",'2025'!$D$2=CL5),'2025DATA'!$E$6,"")</f>
        <v/>
      </c>
      <c r="CM9" s="518" t="str">
        <f>IF(AND(_A6="A-330-900",'2025'!$D$4="FO",'2025'!$D$2=CM5),'2025DATA'!$F$6,"")</f>
        <v/>
      </c>
      <c r="CN9" s="518" t="str">
        <f>IF(AND(_A6="A-330-900",'2025'!$D$4="FO",'2025'!$D$2=CN5),'2025DATA'!$G$6,"")</f>
        <v/>
      </c>
      <c r="CO9" s="518" t="str">
        <f>IF(AND(_A6="A-330-900",'2025'!$D$4="FO",'2025'!$D$2=CO5),'2025DATA'!$H$6,"")</f>
        <v/>
      </c>
      <c r="CP9" s="518" t="str">
        <f>IF(AND(_A6="A-330-900",'2025'!$D$4="FO",'2025'!$D$2=CP5),'2025DATA'!$I$6,"")</f>
        <v/>
      </c>
      <c r="CQ9" s="518" t="str">
        <f>IF(AND(_A6="A-330-900",'2025'!$D$4="FO",'2025'!$D$2=CQ5),'2025DATA'!$J$6,"")</f>
        <v/>
      </c>
      <c r="CR9" s="518" t="str">
        <f>IF(AND(_A6="A-330-900",'2025'!$D$4="FO",'2025'!$D$2=CR5),'2025DATA'!$K$6,"")</f>
        <v/>
      </c>
      <c r="CS9" s="518" t="str">
        <f>IF(AND(_A6="A-330-900",'2025'!$D$4="FO",'2025'!$D$2=CS5),'2025DATA'!$L$6,"")</f>
        <v/>
      </c>
      <c r="CT9" s="518" t="str">
        <f>IF(AND(_A6="A-330-900",'2025'!$D$4="FO",'2025'!$D$2=CT5),'2025DATA'!$M$6,"")</f>
        <v/>
      </c>
      <c r="CU9" s="520" t="str">
        <f>IF(AND(_A6="A-330-900",'2025'!$D$4="FO",'2025'!$D$2=CU5),'2025DATA'!$N$6,"")</f>
        <v/>
      </c>
    </row>
    <row r="10" spans="1:99" x14ac:dyDescent="0.25">
      <c r="A10" s="987"/>
      <c r="B10" s="64" t="s">
        <v>62</v>
      </c>
      <c r="C10" s="28">
        <v>317.73</v>
      </c>
      <c r="D10" s="29">
        <v>314.83</v>
      </c>
      <c r="E10" s="29">
        <v>312.02999999999997</v>
      </c>
      <c r="F10" s="29">
        <v>307.86</v>
      </c>
      <c r="G10" s="29">
        <v>304.54000000000002</v>
      </c>
      <c r="H10" s="29">
        <v>297.7</v>
      </c>
      <c r="I10" s="29">
        <v>289.64999999999998</v>
      </c>
      <c r="J10" s="29">
        <v>282.49</v>
      </c>
      <c r="K10" s="29">
        <v>275.89999999999998</v>
      </c>
      <c r="L10" s="29">
        <v>269.38</v>
      </c>
      <c r="M10" s="29">
        <v>230.2</v>
      </c>
      <c r="N10" s="30">
        <v>120.69</v>
      </c>
      <c r="P10" s="940" t="s">
        <v>64</v>
      </c>
      <c r="Q10" s="13" t="s">
        <v>61</v>
      </c>
      <c r="R10" s="518" t="str">
        <f>IF(AND(_A1="A-330-300",'2025'!$D$4="CA",'2025'!$D$2=R5),'2025DATA'!$C$7,"")</f>
        <v/>
      </c>
      <c r="S10" s="518" t="str">
        <f>IF(AND(_A1="A-330-300",'2025'!$D$4="CA",'2025'!$D$2=S5),'2025DATA'!$D$7,"")</f>
        <v/>
      </c>
      <c r="T10" s="518" t="str">
        <f>IF(AND(_A1="A-330-300",'2025'!$D$4="CA",'2025'!$D$2=T5),'2025DATA'!$E$7,"")</f>
        <v/>
      </c>
      <c r="U10" s="518" t="str">
        <f>IF(AND(_A1="A-330-300",'2025'!$D$4="CA",'2025'!$D$2=U5),'2025DATA'!$F$7,"")</f>
        <v/>
      </c>
      <c r="V10" s="518" t="str">
        <f>IF(AND(_A1="A-330-300",'2025'!$D$4="CA",'2025'!$D$2=V5),'2025DATA'!$G$7,"")</f>
        <v/>
      </c>
      <c r="W10" s="518" t="str">
        <f>IF(AND(_A1="A-330-300",'2025'!$D$4="CA",'2025'!$D$2=W5),'2025DATA'!$H$7,"")</f>
        <v/>
      </c>
      <c r="X10" s="518" t="str">
        <f>IF(AND(_A1="A-330-300",'2025'!$D$4="CA",'2025'!$D$2=X5),'2025DATA'!$I$7,"")</f>
        <v/>
      </c>
      <c r="Y10" s="518" t="str">
        <f>IF(AND(_A1="A-330-300",'2025'!$D$4="CA",'2025'!$D$2=Y5),'2025DATA'!$J$7,"")</f>
        <v/>
      </c>
      <c r="Z10" s="518" t="str">
        <f>IF(AND(_A1="A-330-300",'2025'!$D$4="CA",'2025'!$D$2=Z5),'2025DATA'!$K$7,"")</f>
        <v/>
      </c>
      <c r="AA10" s="518" t="str">
        <f>IF(AND(_A1="A-330-300",'2025'!$D$4="CA",'2025'!$D$2=AA5),'2025DATA'!$L$7,"")</f>
        <v/>
      </c>
      <c r="AB10" s="518" t="str">
        <f>IF(AND(_A1="A-330-300",'2025'!$D$4="CA",'2025'!$D$2=AB5),'2025DATA'!$M$7,"")</f>
        <v/>
      </c>
      <c r="AC10" s="520" t="str">
        <f>IF(AND(_A1="A-330-300",'2025'!$D$4="CA",'2025'!$D$2=AC5),'2025DATA'!$N$7,"")</f>
        <v/>
      </c>
      <c r="AD10" s="940" t="s">
        <v>64</v>
      </c>
      <c r="AE10" s="13" t="s">
        <v>61</v>
      </c>
      <c r="AF10" s="518" t="str">
        <f>IF(AND(_A2="A-330-300",'2025'!$D$4="CA",'2025'!$D$2=AF5),'2025DATA'!$C$7,"")</f>
        <v/>
      </c>
      <c r="AG10" s="518" t="str">
        <f>IF(AND(_A2="A-330-300",'2025'!$D$4="CA",'2025'!$D$2=AG5),'2025DATA'!$D$7,"")</f>
        <v/>
      </c>
      <c r="AH10" s="518" t="str">
        <f>IF(AND(_A2="A-330-300",'2025'!$D$4="CA",'2025'!$D$2=AH5),'2025DATA'!$E$7,"")</f>
        <v/>
      </c>
      <c r="AI10" s="518" t="str">
        <f>IF(AND(_A2="A-330-300",'2025'!$D$4="CA",'2025'!$D$2=AI5),'2025DATA'!$F$7,"")</f>
        <v/>
      </c>
      <c r="AJ10" s="518" t="str">
        <f>IF(AND(_A2="A-330-300",'2025'!$D$4="CA",'2025'!$D$2=AJ5),'2025DATA'!$G$7,"")</f>
        <v/>
      </c>
      <c r="AK10" s="518" t="str">
        <f>IF(AND(_A2="A-330-300",'2025'!$D$4="CA",'2025'!$D$2=AK5),'2025DATA'!$H$7,"")</f>
        <v/>
      </c>
      <c r="AL10" s="518" t="str">
        <f>IF(AND(_A2="A-330-300",'2025'!$D$4="CA",'2025'!$D$2=AL5),'2025DATA'!$I$7,"")</f>
        <v/>
      </c>
      <c r="AM10" s="518" t="str">
        <f>IF(AND(_A2="A-330-300",'2025'!$D$4="CA",'2025'!$D$2=AM5),'2025DATA'!$J$7,"")</f>
        <v/>
      </c>
      <c r="AN10" s="518" t="str">
        <f>IF(AND(_A2="A-330-300",'2025'!$D$4="CA",'2025'!$D$2=AN5),'2025DATA'!$K$7,"")</f>
        <v/>
      </c>
      <c r="AO10" s="518" t="str">
        <f>IF(AND(_A2="A-330-300",'2025'!$D$4="CA",'2025'!$D$2=AO5),'2025DATA'!$L$7,"")</f>
        <v/>
      </c>
      <c r="AP10" s="518" t="str">
        <f>IF(AND(_A2="A-330-300",'2025'!$D$4="CA",'2025'!$D$2=AP5),'2025DATA'!$M$7,"")</f>
        <v/>
      </c>
      <c r="AQ10" s="520" t="str">
        <f>IF(AND(_A2="A-330-300",'2025'!$D$4="CA",'2025'!$D$2=AQ5),'2025DATA'!$N$7,"")</f>
        <v/>
      </c>
      <c r="AR10" s="940" t="s">
        <v>64</v>
      </c>
      <c r="AS10" s="13" t="s">
        <v>61</v>
      </c>
      <c r="AT10" s="518" t="str">
        <f>IF(AND(_A3="A-330-300",'2025'!$D$4="CA",'2025'!$D$2=AT5),'2025DATA'!$C$7,"")</f>
        <v/>
      </c>
      <c r="AU10" s="518" t="str">
        <f>IF(AND(_A3="A-330-300",'2025'!$D$4="CA",'2025'!$D$2=AU5),'2025DATA'!$D$7,"")</f>
        <v/>
      </c>
      <c r="AV10" s="518" t="str">
        <f>IF(AND(_A3="A-330-300",'2025'!$D$4="CA",'2025'!$D$2=AV5),'2025DATA'!$E$7,"")</f>
        <v/>
      </c>
      <c r="AW10" s="518" t="str">
        <f>IF(AND(_A3="A-330-300",'2025'!$D$4="CA",'2025'!$D$2=AW5),'2025DATA'!$F$7,"")</f>
        <v/>
      </c>
      <c r="AX10" s="518" t="str">
        <f>IF(AND(_A3="A-330-300",'2025'!$D$4="CA",'2025'!$D$2=AX5),'2025DATA'!$G$7,"")</f>
        <v/>
      </c>
      <c r="AY10" s="518" t="str">
        <f>IF(AND(_A3="A-330-300",'2025'!$D$4="CA",'2025'!$D$2=AY5),'2025DATA'!$H$7,"")</f>
        <v/>
      </c>
      <c r="AZ10" s="518" t="str">
        <f>IF(AND(_A3="A-330-300",'2025'!$D$4="CA",'2025'!$D$2=AZ5),'2025DATA'!$I$7,"")</f>
        <v/>
      </c>
      <c r="BA10" s="518" t="str">
        <f>IF(AND(_A3="A-330-300",'2025'!$D$4="CA",'2025'!$D$2=BA5),'2025DATA'!$J$7,"")</f>
        <v/>
      </c>
      <c r="BB10" s="518" t="str">
        <f>IF(AND(_A3="A-330-300",'2025'!$D$4="CA",'2025'!$D$2=BB5),'2025DATA'!$K$7,"")</f>
        <v/>
      </c>
      <c r="BC10" s="518" t="str">
        <f>IF(AND(_A3="A-330-300",'2025'!$D$4="CA",'2025'!$D$2=BC5),'2025DATA'!$L$7,"")</f>
        <v/>
      </c>
      <c r="BD10" s="518" t="str">
        <f>IF(AND(_A3="A-330-300",'2025'!$D$4="CA",'2025'!$D$2=BD5),'2025DATA'!$M$7,"")</f>
        <v/>
      </c>
      <c r="BE10" s="520" t="str">
        <f>IF(AND(_A3="A-330-300",'2025'!$D$4="CA",'2025'!$D$2=BE5),'2025DATA'!$N$7,"")</f>
        <v/>
      </c>
      <c r="BF10" s="940" t="s">
        <v>64</v>
      </c>
      <c r="BG10" s="13" t="s">
        <v>61</v>
      </c>
      <c r="BH10" s="518" t="str">
        <f>IF(AND(_A4="A-330-300",'2025'!$D$4="CA",'2025'!$D$2=BH5),'2025DATA'!$C$7,"")</f>
        <v/>
      </c>
      <c r="BI10" s="518" t="str">
        <f>IF(AND(_A4="A-330-300",'2025'!$D$4="CA",'2025'!$D$2=BI5),'2025DATA'!$D$7,"")</f>
        <v/>
      </c>
      <c r="BJ10" s="518" t="str">
        <f>IF(AND(_A4="A-330-300",'2025'!$D$4="CA",'2025'!$D$2=BJ5),'2025DATA'!$E$7,"")</f>
        <v/>
      </c>
      <c r="BK10" s="518" t="str">
        <f>IF(AND(_A4="A-330-300",'2025'!$D$4="CA",'2025'!$D$2=BK5),'2025DATA'!$F$7,"")</f>
        <v/>
      </c>
      <c r="BL10" s="518" t="str">
        <f>IF(AND(_A4="A-330-300",'2025'!$D$4="CA",'2025'!$D$2=BL5),'2025DATA'!$G$7,"")</f>
        <v/>
      </c>
      <c r="BM10" s="518" t="str">
        <f>IF(AND(_A4="A-330-300",'2025'!$D$4="CA",'2025'!$D$2=BM5),'2025DATA'!$H$7,"")</f>
        <v/>
      </c>
      <c r="BN10" s="518" t="str">
        <f>IF(AND(_A4="A-330-300",'2025'!$D$4="CA",'2025'!$D$2=BN5),'2025DATA'!$I$7,"")</f>
        <v/>
      </c>
      <c r="BO10" s="518" t="str">
        <f>IF(AND(_A4="A-330-300",'2025'!$D$4="CA",'2025'!$D$2=BO5),'2025DATA'!$J$7,"")</f>
        <v/>
      </c>
      <c r="BP10" s="518" t="str">
        <f>IF(AND(_A4="A-330-300",'2025'!$D$4="CA",'2025'!$D$2=BP5),'2025DATA'!$K$7,"")</f>
        <v/>
      </c>
      <c r="BQ10" s="518" t="str">
        <f>IF(AND(_A4="A-330-300",'2025'!$D$4="CA",'2025'!$D$2=BQ5),'2025DATA'!$L$7,"")</f>
        <v/>
      </c>
      <c r="BR10" s="518" t="str">
        <f>IF(AND(_A4="A-330-300",'2025'!$D$4="CA",'2025'!$D$2=BR5),'2025DATA'!$M$7,"")</f>
        <v/>
      </c>
      <c r="BS10" s="520" t="str">
        <f>IF(AND(_A4="A-330-300",'2025'!$D$4="CA",'2025'!$D$2=BS5),'2025DATA'!$N$7,"")</f>
        <v/>
      </c>
      <c r="BT10" s="940" t="s">
        <v>64</v>
      </c>
      <c r="BU10" s="13" t="s">
        <v>61</v>
      </c>
      <c r="BV10" s="518" t="str">
        <f>IF(AND(_A5="A-330-300",'2025'!$D$4="CA",'2025'!$D$2=BV5),'2025DATA'!$C$7,"")</f>
        <v/>
      </c>
      <c r="BW10" s="518" t="str">
        <f>IF(AND(_A5="A-330-300",'2025'!$D$4="CA",'2025'!$D$2=BW5),'2025DATA'!$D$7,"")</f>
        <v/>
      </c>
      <c r="BX10" s="518" t="str">
        <f>IF(AND(_A5="A-330-300",'2025'!$D$4="CA",'2025'!$D$2=BX5),'2025DATA'!$E$7,"")</f>
        <v/>
      </c>
      <c r="BY10" s="518" t="str">
        <f>IF(AND(_A5="A-330-300",'2025'!$D$4="CA",'2025'!$D$2=BY5),'2025DATA'!$F$7,"")</f>
        <v/>
      </c>
      <c r="BZ10" s="518" t="str">
        <f>IF(AND(_A5="A-330-300",'2025'!$D$4="CA",'2025'!$D$2=BZ5),'2025DATA'!$G$7,"")</f>
        <v/>
      </c>
      <c r="CA10" s="518" t="str">
        <f>IF(AND(_A5="A-330-300",'2025'!$D$4="CA",'2025'!$D$2=CA5),'2025DATA'!$H$7,"")</f>
        <v/>
      </c>
      <c r="CB10" s="518" t="str">
        <f>IF(AND(_A5="A-330-300",'2025'!$D$4="CA",'2025'!$D$2=CB5),'2025DATA'!$I$7,"")</f>
        <v/>
      </c>
      <c r="CC10" s="518" t="str">
        <f>IF(AND(_A5="A-330-300",'2025'!$D$4="CA",'2025'!$D$2=CC5),'2025DATA'!$J$7,"")</f>
        <v/>
      </c>
      <c r="CD10" s="518" t="str">
        <f>IF(AND(_A5="A-330-300",'2025'!$D$4="CA",'2025'!$D$2=CD5),'2025DATA'!$K$7,"")</f>
        <v/>
      </c>
      <c r="CE10" s="518" t="str">
        <f>IF(AND(_A5="A-330-300",'2025'!$D$4="CA",'2025'!$D$2=CE5),'2025DATA'!$L$7,"")</f>
        <v/>
      </c>
      <c r="CF10" s="518" t="str">
        <f>IF(AND(_A5="A-330-300",'2025'!$D$4="CA",'2025'!$D$2=CF5),'2025DATA'!$M$7,"")</f>
        <v/>
      </c>
      <c r="CG10" s="520" t="str">
        <f>IF(AND(_A5="A-330-300",'2025'!$D$4="CA",'2025'!$D$2=CG5),'2025DATA'!$N$7,"")</f>
        <v/>
      </c>
      <c r="CH10" s="940" t="s">
        <v>64</v>
      </c>
      <c r="CI10" s="13" t="s">
        <v>61</v>
      </c>
      <c r="CJ10" s="518" t="str">
        <f>IF(AND(_A6="A-330-300",'2025'!$D$4="CA",'2025'!$D$2=CJ5),'2025DATA'!$C$7,"")</f>
        <v/>
      </c>
      <c r="CK10" s="518" t="str">
        <f>IF(AND(_A6="A-330-300",'2025'!$D$4="CA",'2025'!$D$2=CK5),'2025DATA'!$D$7,"")</f>
        <v/>
      </c>
      <c r="CL10" s="518" t="str">
        <f>IF(AND(_A6="A-330-300",'2025'!$D$4="CA",'2025'!$D$2=CL5),'2025DATA'!$E$7,"")</f>
        <v/>
      </c>
      <c r="CM10" s="518" t="str">
        <f>IF(AND(_A6="A-330-300",'2025'!$D$4="CA",'2025'!$D$2=CM5),'2025DATA'!$F$7,"")</f>
        <v/>
      </c>
      <c r="CN10" s="518" t="str">
        <f>IF(AND(_A6="A-330-300",'2025'!$D$4="CA",'2025'!$D$2=CN5),'2025DATA'!$G$7,"")</f>
        <v/>
      </c>
      <c r="CO10" s="518" t="str">
        <f>IF(AND(_A6="A-330-300",'2025'!$D$4="CA",'2025'!$D$2=CO5),'2025DATA'!$H$7,"")</f>
        <v/>
      </c>
      <c r="CP10" s="518" t="str">
        <f>IF(AND(_A6="A-330-300",'2025'!$D$4="CA",'2025'!$D$2=CP5),'2025DATA'!$I$7,"")</f>
        <v/>
      </c>
      <c r="CQ10" s="518" t="str">
        <f>IF(AND(_A6="A-330-300",'2025'!$D$4="CA",'2025'!$D$2=CQ5),'2025DATA'!$J$7,"")</f>
        <v/>
      </c>
      <c r="CR10" s="518" t="str">
        <f>IF(AND(_A6="A-330-300",'2025'!$D$4="CA",'2025'!$D$2=CR5),'2025DATA'!$K$7,"")</f>
        <v/>
      </c>
      <c r="CS10" s="518" t="str">
        <f>IF(AND(_A6="A-330-300",'2025'!$D$4="CA",'2025'!$D$2=CS5),'2025DATA'!$L$7,"")</f>
        <v/>
      </c>
      <c r="CT10" s="518" t="str">
        <f>IF(AND(_A6="A-330-300",'2025'!$D$4="CA",'2025'!$D$2=CT5),'2025DATA'!$M$7,"")</f>
        <v/>
      </c>
      <c r="CU10" s="520" t="str">
        <f>IF(AND(_A6="A-330-300",'2025'!$D$4="CA",'2025'!$D$2=CU5),'2025DATA'!$N$7,"")</f>
        <v/>
      </c>
    </row>
    <row r="11" spans="1:99" x14ac:dyDescent="0.25">
      <c r="A11" s="987" t="s">
        <v>42</v>
      </c>
      <c r="B11" s="64" t="s">
        <v>61</v>
      </c>
      <c r="C11" s="28">
        <v>465.13</v>
      </c>
      <c r="D11" s="29">
        <v>461.62</v>
      </c>
      <c r="E11" s="29">
        <v>458.15</v>
      </c>
      <c r="F11" s="29">
        <v>454.68</v>
      </c>
      <c r="G11" s="29">
        <v>451.18</v>
      </c>
      <c r="H11" s="29">
        <v>447.73</v>
      </c>
      <c r="I11" s="29">
        <v>444.23</v>
      </c>
      <c r="J11" s="29">
        <v>440.77</v>
      </c>
      <c r="K11" s="29">
        <v>437.26</v>
      </c>
      <c r="L11" s="29">
        <v>433.76</v>
      </c>
      <c r="M11" s="29">
        <v>430.24</v>
      </c>
      <c r="N11" s="30">
        <v>426.79</v>
      </c>
      <c r="P11" s="940"/>
      <c r="Q11" s="13" t="s">
        <v>62</v>
      </c>
      <c r="R11" s="518" t="str">
        <f>IF(AND(_A1="A-330-300",'2025'!$D$4="FO",'2025'!$D$2=R5),'2025DATA'!$C$8,"")</f>
        <v/>
      </c>
      <c r="S11" s="518" t="str">
        <f>IF(AND(_A1="A-330-300",'2025'!$D$4="FO",'2025'!$D$2=S5),'2025DATA'!$D$8,"")</f>
        <v/>
      </c>
      <c r="T11" s="518" t="str">
        <f>IF(AND(_A1="A-330-300",'2025'!$D$4="FO",'2025'!$D$2=T5),'2025DATA'!$E$8,"")</f>
        <v/>
      </c>
      <c r="U11" s="518" t="str">
        <f>IF(AND(_A1="A-330-300",'2025'!$D$4="FO",'2025'!$D$2=U5),'2025DATA'!$F$8,"")</f>
        <v/>
      </c>
      <c r="V11" s="518" t="str">
        <f>IF(AND(_A1="A-330-300",'2025'!$D$4="FO",'2025'!$D$2=V5),'2025DATA'!$G$8,"")</f>
        <v/>
      </c>
      <c r="W11" s="518" t="str">
        <f>IF(AND(_A1="A-330-300",'2025'!$D$4="FO",'2025'!$D$2=W5),'2025DATA'!$H$8,"")</f>
        <v/>
      </c>
      <c r="X11" s="518" t="str">
        <f>IF(AND(_A1="A-330-300",'2025'!$D$4="FO",'2025'!$D$2=X5),'2025DATA'!$I$8,"")</f>
        <v/>
      </c>
      <c r="Y11" s="518" t="str">
        <f>IF(AND(_A1="A-330-300",'2025'!$D$4="FO",'2025'!$D$2=Y5),'2025DATA'!$J$8,"")</f>
        <v/>
      </c>
      <c r="Z11" s="518" t="str">
        <f>IF(AND(_A1="A-330-300",'2025'!$D$4="FO",'2025'!$D$2=Z5),'2025DATA'!$K$8,"")</f>
        <v/>
      </c>
      <c r="AA11" s="518" t="str">
        <f>IF(AND(_A1="A-330-300",'2025'!$D$4="FO",'2025'!$D$2=AA5),'2025DATA'!$L$8,"")</f>
        <v/>
      </c>
      <c r="AB11" s="518" t="str">
        <f>IF(AND(_A1="A-330-300",'2025'!$D$4="FO",'2025'!$D$2=AB5),'2025DATA'!$M$8,"")</f>
        <v/>
      </c>
      <c r="AC11" s="520" t="str">
        <f>IF(AND(_A1="A-330-300",'2025'!$D$4="FO",'2025'!$D$2=AC5),'2025DATA'!$N$8,"")</f>
        <v/>
      </c>
      <c r="AD11" s="940"/>
      <c r="AE11" s="13" t="s">
        <v>62</v>
      </c>
      <c r="AF11" s="518" t="str">
        <f>IF(AND(_A2="A-330-300",'2025'!$D$4="FO",'2025'!$D$2=AF5),'2025DATA'!$C$8,"")</f>
        <v/>
      </c>
      <c r="AG11" s="518" t="str">
        <f>IF(AND(_A2="A-330-300",'2025'!$D$4="FO",'2025'!$D$2=AG5),'2025DATA'!$D$8,"")</f>
        <v/>
      </c>
      <c r="AH11" s="518" t="str">
        <f>IF(AND(_A2="A-330-300",'2025'!$D$4="FO",'2025'!$D$2=AH5),'2025DATA'!$E$8,"")</f>
        <v/>
      </c>
      <c r="AI11" s="518" t="str">
        <f>IF(AND(_A2="A-330-300",'2025'!$D$4="FO",'2025'!$D$2=AI5),'2025DATA'!$F$8,"")</f>
        <v/>
      </c>
      <c r="AJ11" s="518" t="str">
        <f>IF(AND(_A2="A-330-300",'2025'!$D$4="FO",'2025'!$D$2=AJ5),'2025DATA'!$G$8,"")</f>
        <v/>
      </c>
      <c r="AK11" s="518" t="str">
        <f>IF(AND(_A2="A-330-300",'2025'!$D$4="FO",'2025'!$D$2=AK5),'2025DATA'!$H$8,"")</f>
        <v/>
      </c>
      <c r="AL11" s="518" t="str">
        <f>IF(AND(_A2="A-330-300",'2025'!$D$4="FO",'2025'!$D$2=AL5),'2025DATA'!$I$8,"")</f>
        <v/>
      </c>
      <c r="AM11" s="518" t="str">
        <f>IF(AND(_A2="A-330-300",'2025'!$D$4="FO",'2025'!$D$2=AM5),'2025DATA'!$J$8,"")</f>
        <v/>
      </c>
      <c r="AN11" s="518" t="str">
        <f>IF(AND(_A2="A-330-300",'2025'!$D$4="FO",'2025'!$D$2=AN5),'2025DATA'!$K$8,"")</f>
        <v/>
      </c>
      <c r="AO11" s="518" t="str">
        <f>IF(AND(_A2="A-330-300",'2025'!$D$4="FO",'2025'!$D$2=AO5),'2025DATA'!$L$8,"")</f>
        <v/>
      </c>
      <c r="AP11" s="518" t="str">
        <f>IF(AND(_A2="A-330-300",'2025'!$D$4="FO",'2025'!$D$2=AP5),'2025DATA'!$M$8,"")</f>
        <v/>
      </c>
      <c r="AQ11" s="520" t="str">
        <f>IF(AND(_A2="A-330-300",'2025'!$D$4="FO",'2025'!$D$2=AQ5),'2025DATA'!$N$8,"")</f>
        <v/>
      </c>
      <c r="AR11" s="940"/>
      <c r="AS11" s="13" t="s">
        <v>62</v>
      </c>
      <c r="AT11" s="518" t="str">
        <f>IF(AND(_A3="A-330-300",'2025'!$D$4="FO",'2025'!$D$2=AT5),'2025DATA'!$C$8,"")</f>
        <v/>
      </c>
      <c r="AU11" s="518" t="str">
        <f>IF(AND(_A3="A-330-300",'2025'!$D$4="FO",'2025'!$D$2=AU5),'2025DATA'!$D$8,"")</f>
        <v/>
      </c>
      <c r="AV11" s="518" t="str">
        <f>IF(AND(_A3="A-330-300",'2025'!$D$4="FO",'2025'!$D$2=AV5),'2025DATA'!$E$8,"")</f>
        <v/>
      </c>
      <c r="AW11" s="518" t="str">
        <f>IF(AND(_A3="A-330-300",'2025'!$D$4="FO",'2025'!$D$2=AW5),'2025DATA'!$F$8,"")</f>
        <v/>
      </c>
      <c r="AX11" s="518" t="str">
        <f>IF(AND(_A3="A-330-300",'2025'!$D$4="FO",'2025'!$D$2=AX5),'2025DATA'!$G$8,"")</f>
        <v/>
      </c>
      <c r="AY11" s="518" t="str">
        <f>IF(AND(_A3="A-330-300",'2025'!$D$4="FO",'2025'!$D$2=AY5),'2025DATA'!$H$8,"")</f>
        <v/>
      </c>
      <c r="AZ11" s="518" t="str">
        <f>IF(AND(_A3="A-330-300",'2025'!$D$4="FO",'2025'!$D$2=AZ5),'2025DATA'!$I$8,"")</f>
        <v/>
      </c>
      <c r="BA11" s="518" t="str">
        <f>IF(AND(_A3="A-330-300",'2025'!$D$4="FO",'2025'!$D$2=BA5),'2025DATA'!$J$8,"")</f>
        <v/>
      </c>
      <c r="BB11" s="518" t="str">
        <f>IF(AND(_A3="A-330-300",'2025'!$D$4="FO",'2025'!$D$2=BB5),'2025DATA'!$K$8,"")</f>
        <v/>
      </c>
      <c r="BC11" s="518" t="str">
        <f>IF(AND(_A3="A-330-300",'2025'!$D$4="FO",'2025'!$D$2=BC5),'2025DATA'!$L$8,"")</f>
        <v/>
      </c>
      <c r="BD11" s="518" t="str">
        <f>IF(AND(_A3="A-330-300",'2025'!$D$4="FO",'2025'!$D$2=BD5),'2025DATA'!$M$8,"")</f>
        <v/>
      </c>
      <c r="BE11" s="520" t="str">
        <f>IF(AND(_A3="A-330-300",'2025'!$D$4="FO",'2025'!$D$2=BE5),'2025DATA'!$N$8,"")</f>
        <v/>
      </c>
      <c r="BF11" s="940"/>
      <c r="BG11" s="13" t="s">
        <v>62</v>
      </c>
      <c r="BH11" s="518" t="str">
        <f>IF(AND(_A4="A-330-300",'2025'!$D$4="FO",'2025'!$D$2=BH5),'2025DATA'!$C$8,"")</f>
        <v/>
      </c>
      <c r="BI11" s="518" t="str">
        <f>IF(AND(_A4="A-330-300",'2025'!$D$4="FO",'2025'!$D$2=BI5),'2025DATA'!$D$8,"")</f>
        <v/>
      </c>
      <c r="BJ11" s="518" t="str">
        <f>IF(AND(_A4="A-330-300",'2025'!$D$4="FO",'2025'!$D$2=BJ5),'2025DATA'!$E$8,"")</f>
        <v/>
      </c>
      <c r="BK11" s="518" t="str">
        <f>IF(AND(_A4="A-330-300",'2025'!$D$4="FO",'2025'!$D$2=BK5),'2025DATA'!$F$8,"")</f>
        <v/>
      </c>
      <c r="BL11" s="518" t="str">
        <f>IF(AND(_A4="A-330-300",'2025'!$D$4="FO",'2025'!$D$2=BL5),'2025DATA'!$G$8,"")</f>
        <v/>
      </c>
      <c r="BM11" s="518" t="str">
        <f>IF(AND(_A4="A-330-300",'2025'!$D$4="FO",'2025'!$D$2=BM5),'2025DATA'!$H$8,"")</f>
        <v/>
      </c>
      <c r="BN11" s="518" t="str">
        <f>IF(AND(_A4="A-330-300",'2025'!$D$4="FO",'2025'!$D$2=BN5),'2025DATA'!$I$8,"")</f>
        <v/>
      </c>
      <c r="BO11" s="518" t="str">
        <f>IF(AND(_A4="A-330-300",'2025'!$D$4="FO",'2025'!$D$2=BO5),'2025DATA'!$J$8,"")</f>
        <v/>
      </c>
      <c r="BP11" s="518" t="str">
        <f>IF(AND(_A4="A-330-300",'2025'!$D$4="FO",'2025'!$D$2=BP5),'2025DATA'!$K$8,"")</f>
        <v/>
      </c>
      <c r="BQ11" s="518" t="str">
        <f>IF(AND(_A4="A-330-300",'2025'!$D$4="FO",'2025'!$D$2=BQ5),'2025DATA'!$L$8,"")</f>
        <v/>
      </c>
      <c r="BR11" s="518" t="str">
        <f>IF(AND(_A4="A-330-300",'2025'!$D$4="FO",'2025'!$D$2=BR5),'2025DATA'!$M$8,"")</f>
        <v/>
      </c>
      <c r="BS11" s="520" t="str">
        <f>IF(AND(_A4="A-330-300",'2025'!$D$4="FO",'2025'!$D$2=BS5),'2025DATA'!$N$8,"")</f>
        <v/>
      </c>
      <c r="BT11" s="940"/>
      <c r="BU11" s="13" t="s">
        <v>62</v>
      </c>
      <c r="BV11" s="518" t="str">
        <f>IF(AND(_A5="A-330-300",'2025'!$D$4="FO",'2025'!$D$2=BV5),'2025DATA'!$C$8,"")</f>
        <v/>
      </c>
      <c r="BW11" s="518" t="str">
        <f>IF(AND(_A5="A-330-300",'2025'!$D$4="FO",'2025'!$D$2=BW5),'2025DATA'!$D$8,"")</f>
        <v/>
      </c>
      <c r="BX11" s="518" t="str">
        <f>IF(AND(_A5="A-330-300",'2025'!$D$4="FO",'2025'!$D$2=BX5),'2025DATA'!$E$8,"")</f>
        <v/>
      </c>
      <c r="BY11" s="518" t="str">
        <f>IF(AND(_A5="A-330-300",'2025'!$D$4="FO",'2025'!$D$2=BY5),'2025DATA'!$F$8,"")</f>
        <v/>
      </c>
      <c r="BZ11" s="518" t="str">
        <f>IF(AND(_A5="A-330-300",'2025'!$D$4="FO",'2025'!$D$2=BZ5),'2025DATA'!$G$8,"")</f>
        <v/>
      </c>
      <c r="CA11" s="518" t="str">
        <f>IF(AND(_A5="A-330-300",'2025'!$D$4="FO",'2025'!$D$2=CA5),'2025DATA'!$H$8,"")</f>
        <v/>
      </c>
      <c r="CB11" s="518" t="str">
        <f>IF(AND(_A5="A-330-300",'2025'!$D$4="FO",'2025'!$D$2=CB5),'2025DATA'!$I$8,"")</f>
        <v/>
      </c>
      <c r="CC11" s="518" t="str">
        <f>IF(AND(_A5="A-330-300",'2025'!$D$4="FO",'2025'!$D$2=CC5),'2025DATA'!$J$8,"")</f>
        <v/>
      </c>
      <c r="CD11" s="518" t="str">
        <f>IF(AND(_A5="A-330-300",'2025'!$D$4="FO",'2025'!$D$2=CD5),'2025DATA'!$K$8,"")</f>
        <v/>
      </c>
      <c r="CE11" s="518" t="str">
        <f>IF(AND(_A5="A-330-300",'2025'!$D$4="FO",'2025'!$D$2=CE5),'2025DATA'!$L$8,"")</f>
        <v/>
      </c>
      <c r="CF11" s="518" t="str">
        <f>IF(AND(_A5="A-330-300",'2025'!$D$4="FO",'2025'!$D$2=CF5),'2025DATA'!$M$8,"")</f>
        <v/>
      </c>
      <c r="CG11" s="520" t="str">
        <f>IF(AND(_A5="A-330-300",'2025'!$D$4="FO",'2025'!$D$2=CG5),'2025DATA'!$N$8,"")</f>
        <v/>
      </c>
      <c r="CH11" s="940"/>
      <c r="CI11" s="13" t="s">
        <v>62</v>
      </c>
      <c r="CJ11" s="518" t="str">
        <f>IF(AND(_A6="A-330-300",'2025'!$D$4="FO",'2025'!$D$2=CJ5),'2025DATA'!$C$8,"")</f>
        <v/>
      </c>
      <c r="CK11" s="518" t="str">
        <f>IF(AND(_A6="A-330-300",'2025'!$D$4="FO",'2025'!$D$2=CK5),'2025DATA'!$D$8,"")</f>
        <v/>
      </c>
      <c r="CL11" s="518" t="str">
        <f>IF(AND(_A6="A-330-300",'2025'!$D$4="FO",'2025'!$D$2=CL5),'2025DATA'!$E$8,"")</f>
        <v/>
      </c>
      <c r="CM11" s="518" t="str">
        <f>IF(AND(_A6="A-330-300",'2025'!$D$4="FO",'2025'!$D$2=CM5),'2025DATA'!$F$8,"")</f>
        <v/>
      </c>
      <c r="CN11" s="518" t="str">
        <f>IF(AND(_A6="A-330-300",'2025'!$D$4="FO",'2025'!$D$2=CN5),'2025DATA'!$G$8,"")</f>
        <v/>
      </c>
      <c r="CO11" s="518" t="str">
        <f>IF(AND(_A6="A-330-300",'2025'!$D$4="FO",'2025'!$D$2=CO5),'2025DATA'!$H$8,"")</f>
        <v/>
      </c>
      <c r="CP11" s="518" t="str">
        <f>IF(AND(_A6="A-330-300",'2025'!$D$4="FO",'2025'!$D$2=CP5),'2025DATA'!$I$8,"")</f>
        <v/>
      </c>
      <c r="CQ11" s="518" t="str">
        <f>IF(AND(_A6="A-330-300",'2025'!$D$4="FO",'2025'!$D$2=CQ5),'2025DATA'!$J$8,"")</f>
        <v/>
      </c>
      <c r="CR11" s="518" t="str">
        <f>IF(AND(_A6="A-330-300",'2025'!$D$4="FO",'2025'!$D$2=CR5),'2025DATA'!$K$8,"")</f>
        <v/>
      </c>
      <c r="CS11" s="518" t="str">
        <f>IF(AND(_A6="A-330-300",'2025'!$D$4="FO",'2025'!$D$2=CS5),'2025DATA'!$L$8,"")</f>
        <v/>
      </c>
      <c r="CT11" s="518" t="str">
        <f>IF(AND(_A6="A-330-300",'2025'!$D$4="FO",'2025'!$D$2=CT5),'2025DATA'!$M$8,"")</f>
        <v/>
      </c>
      <c r="CU11" s="520" t="str">
        <f>IF(AND(_A6="A-330-300",'2025'!$D$4="FO",'2025'!$D$2=CU5),'2025DATA'!$N$8,"")</f>
        <v/>
      </c>
    </row>
    <row r="12" spans="1:99" x14ac:dyDescent="0.25">
      <c r="A12" s="987"/>
      <c r="B12" s="64" t="s">
        <v>62</v>
      </c>
      <c r="C12" s="28">
        <v>317.73</v>
      </c>
      <c r="D12" s="29">
        <v>314.83</v>
      </c>
      <c r="E12" s="29">
        <v>312.02999999999997</v>
      </c>
      <c r="F12" s="29">
        <v>307.86</v>
      </c>
      <c r="G12" s="29">
        <v>304.54000000000002</v>
      </c>
      <c r="H12" s="29">
        <v>297.7</v>
      </c>
      <c r="I12" s="29">
        <v>289.64999999999998</v>
      </c>
      <c r="J12" s="29">
        <v>282.49</v>
      </c>
      <c r="K12" s="29">
        <v>275.89999999999998</v>
      </c>
      <c r="L12" s="29">
        <v>269.38</v>
      </c>
      <c r="M12" s="29">
        <v>230.2</v>
      </c>
      <c r="N12" s="30">
        <v>120.69</v>
      </c>
      <c r="P12" s="940" t="s">
        <v>66</v>
      </c>
      <c r="Q12" s="13" t="s">
        <v>61</v>
      </c>
      <c r="R12" s="518" t="str">
        <f>IF(AND(_A1="A-330-200",'2025'!$D$4="CA",'2025'!$D$2=R5),'2025DATA'!$C$9,"")</f>
        <v/>
      </c>
      <c r="S12" s="518" t="str">
        <f>IF(AND(_A1="A-330-200",'2025'!$D$4="CA",'2025'!$D$2=S5),'2025DATA'!$D$9,"")</f>
        <v/>
      </c>
      <c r="T12" s="518" t="str">
        <f>IF(AND(_A1="A-330-200",'2025'!$D$4="CA",'2025'!$D$2=T5),'2025DATA'!$E$9,"")</f>
        <v/>
      </c>
      <c r="U12" s="518" t="str">
        <f>IF(AND(_A1="A-330-200",'2025'!$D$4="CA",'2025'!$D$2=U5),'2025DATA'!$F$9,"")</f>
        <v/>
      </c>
      <c r="V12" s="518" t="str">
        <f>IF(AND(_A1="A-330-200",'2025'!$D$4="CA",'2025'!$D$2=V5),'2025DATA'!$G$9,"")</f>
        <v/>
      </c>
      <c r="W12" s="518" t="str">
        <f>IF(AND(_A1="A-330-200",'2025'!$D$4="CA",'2025'!$D$2=W5),'2025DATA'!$H$9,"")</f>
        <v/>
      </c>
      <c r="X12" s="518" t="str">
        <f>IF(AND(_A1="A-330-200",'2025'!$D$4="CA",'2025'!$D$2=X5),'2025DATA'!$I$9,"")</f>
        <v/>
      </c>
      <c r="Y12" s="518" t="str">
        <f>IF(AND(_A1="A-330-200",'2025'!$D$4="CA",'2025'!$D$2=Y5),'2025DATA'!$J$9,"")</f>
        <v/>
      </c>
      <c r="Z12" s="518" t="str">
        <f>IF(AND(_A1="A-330-200",'2025'!$D$4="CA",'2025'!$D$2=Z5),'2025DATA'!$K$9,"")</f>
        <v/>
      </c>
      <c r="AA12" s="518" t="str">
        <f>IF(AND(_A1="A-330-200",'2025'!$D$4="CA",'2025'!$D$2=AA5),'2025DATA'!$L$9,"")</f>
        <v/>
      </c>
      <c r="AB12" s="518" t="str">
        <f>IF(AND(_A1="A-330-200",'2025'!$D$4="CA",'2025'!$D$2=AB5),'2025DATA'!$M$9,"")</f>
        <v/>
      </c>
      <c r="AC12" s="520" t="str">
        <f>IF(AND(_A1="A-330-200",'2025'!$D$4="CA",'2025'!$D$2=AC5),'2025DATA'!$N$9,"")</f>
        <v/>
      </c>
      <c r="AD12" s="940" t="s">
        <v>66</v>
      </c>
      <c r="AE12" s="13" t="s">
        <v>61</v>
      </c>
      <c r="AF12" s="518" t="str">
        <f>IF(AND(_A2="A-330-200",'2025'!$D$4="CA",'2025'!$D$2=AF5),'2025DATA'!$C$9,"")</f>
        <v/>
      </c>
      <c r="AG12" s="518" t="str">
        <f>IF(AND(_A2="A-330-200",'2025'!$D$4="CA",'2025'!$D$2=AG5),'2025DATA'!$D$9,"")</f>
        <v/>
      </c>
      <c r="AH12" s="518" t="str">
        <f>IF(AND(_A2="A-330-200",'2025'!$D$4="CA",'2025'!$D$2=AH5),'2025DATA'!$E$9,"")</f>
        <v/>
      </c>
      <c r="AI12" s="518" t="str">
        <f>IF(AND(_A2="A-330-200",'2025'!$D$4="CA",'2025'!$D$2=AI5),'2025DATA'!$F$9,"")</f>
        <v/>
      </c>
      <c r="AJ12" s="518" t="str">
        <f>IF(AND(_A2="A-330-200",'2025'!$D$4="CA",'2025'!$D$2=AJ5),'2025DATA'!$G$9,"")</f>
        <v/>
      </c>
      <c r="AK12" s="518" t="str">
        <f>IF(AND(_A2="A-330-200",'2025'!$D$4="CA",'2025'!$D$2=AK5),'2025DATA'!$H$9,"")</f>
        <v/>
      </c>
      <c r="AL12" s="518" t="str">
        <f>IF(AND(_A2="A-330-200",'2025'!$D$4="CA",'2025'!$D$2=AL5),'2025DATA'!$I$9,"")</f>
        <v/>
      </c>
      <c r="AM12" s="518" t="str">
        <f>IF(AND(_A2="A-330-200",'2025'!$D$4="CA",'2025'!$D$2=AM5),'2025DATA'!$J$9,"")</f>
        <v/>
      </c>
      <c r="AN12" s="518" t="str">
        <f>IF(AND(_A2="A-330-200",'2025'!$D$4="CA",'2025'!$D$2=AN5),'2025DATA'!$K$9,"")</f>
        <v/>
      </c>
      <c r="AO12" s="518" t="str">
        <f>IF(AND(_A2="A-330-200",'2025'!$D$4="CA",'2025'!$D$2=AO5),'2025DATA'!$L$9,"")</f>
        <v/>
      </c>
      <c r="AP12" s="518" t="str">
        <f>IF(AND(_A2="A-330-200",'2025'!$D$4="CA",'2025'!$D$2=AP5),'2025DATA'!$M$9,"")</f>
        <v/>
      </c>
      <c r="AQ12" s="520" t="str">
        <f>IF(AND(_A2="A-330-200",'2025'!$D$4="CA",'2025'!$D$2=AQ5),'2025DATA'!$N$9,"")</f>
        <v/>
      </c>
      <c r="AR12" s="940" t="s">
        <v>66</v>
      </c>
      <c r="AS12" s="13" t="s">
        <v>61</v>
      </c>
      <c r="AT12" s="518" t="str">
        <f>IF(AND(_A3="A-330-200",'2025'!$D$4="CA",'2025'!$D$2=AT5),'2025DATA'!$C$9,"")</f>
        <v/>
      </c>
      <c r="AU12" s="518" t="str">
        <f>IF(AND(_A3="A-330-200",'2025'!$D$4="CA",'2025'!$D$2=AU5),'2025DATA'!$D$9,"")</f>
        <v/>
      </c>
      <c r="AV12" s="518" t="str">
        <f>IF(AND(_A3="A-330-200",'2025'!$D$4="CA",'2025'!$D$2=AV5),'2025DATA'!$E$9,"")</f>
        <v/>
      </c>
      <c r="AW12" s="518" t="str">
        <f>IF(AND(_A3="A-330-200",'2025'!$D$4="CA",'2025'!$D$2=AW5),'2025DATA'!$F$9,"")</f>
        <v/>
      </c>
      <c r="AX12" s="518" t="str">
        <f>IF(AND(_A3="A-330-200",'2025'!$D$4="CA",'2025'!$D$2=AX5),'2025DATA'!$G$9,"")</f>
        <v/>
      </c>
      <c r="AY12" s="518" t="str">
        <f>IF(AND(_A3="A-330-200",'2025'!$D$4="CA",'2025'!$D$2=AY5),'2025DATA'!$H$9,"")</f>
        <v/>
      </c>
      <c r="AZ12" s="518" t="str">
        <f>IF(AND(_A3="A-330-200",'2025'!$D$4="CA",'2025'!$D$2=AZ5),'2025DATA'!$I$9,"")</f>
        <v/>
      </c>
      <c r="BA12" s="518" t="str">
        <f>IF(AND(_A3="A-330-200",'2025'!$D$4="CA",'2025'!$D$2=BA5),'2025DATA'!$J$9,"")</f>
        <v/>
      </c>
      <c r="BB12" s="518" t="str">
        <f>IF(AND(_A3="A-330-200",'2025'!$D$4="CA",'2025'!$D$2=BB5),'2025DATA'!$K$9,"")</f>
        <v/>
      </c>
      <c r="BC12" s="518" t="str">
        <f>IF(AND(_A3="A-330-200",'2025'!$D$4="CA",'2025'!$D$2=BC5),'2025DATA'!$L$9,"")</f>
        <v/>
      </c>
      <c r="BD12" s="518" t="str">
        <f>IF(AND(_A3="A-330-200",'2025'!$D$4="CA",'2025'!$D$2=BD5),'2025DATA'!$M$9,"")</f>
        <v/>
      </c>
      <c r="BE12" s="520" t="str">
        <f>IF(AND(_A3="A-330-200",'2025'!$D$4="CA",'2025'!$D$2=BE5),'2025DATA'!$N$9,"")</f>
        <v/>
      </c>
      <c r="BF12" s="940" t="s">
        <v>66</v>
      </c>
      <c r="BG12" s="13" t="s">
        <v>61</v>
      </c>
      <c r="BH12" s="518" t="str">
        <f>IF(AND(_A4="A-330-200",'2025'!$D$4="CA",'2025'!$D$2=BH5),'2025DATA'!$C$9,"")</f>
        <v/>
      </c>
      <c r="BI12" s="518" t="str">
        <f>IF(AND(_A4="A-330-200",'2025'!$D$4="CA",'2025'!$D$2=BI5),'2025DATA'!$D$9,"")</f>
        <v/>
      </c>
      <c r="BJ12" s="518" t="str">
        <f>IF(AND(_A4="A-330-200",'2025'!$D$4="CA",'2025'!$D$2=BJ5),'2025DATA'!$E$9,"")</f>
        <v/>
      </c>
      <c r="BK12" s="518" t="str">
        <f>IF(AND(_A4="A-330-200",'2025'!$D$4="CA",'2025'!$D$2=BK5),'2025DATA'!$F$9,"")</f>
        <v/>
      </c>
      <c r="BL12" s="518" t="str">
        <f>IF(AND(_A4="A-330-200",'2025'!$D$4="CA",'2025'!$D$2=BL5),'2025DATA'!$G$9,"")</f>
        <v/>
      </c>
      <c r="BM12" s="518" t="str">
        <f>IF(AND(_A4="A-330-200",'2025'!$D$4="CA",'2025'!$D$2=BM5),'2025DATA'!$H$9,"")</f>
        <v/>
      </c>
      <c r="BN12" s="518" t="str">
        <f>IF(AND(_A4="A-330-200",'2025'!$D$4="CA",'2025'!$D$2=BN5),'2025DATA'!$I$9,"")</f>
        <v/>
      </c>
      <c r="BO12" s="518" t="str">
        <f>IF(AND(_A4="A-330-200",'2025'!$D$4="CA",'2025'!$D$2=BO5),'2025DATA'!$J$9,"")</f>
        <v/>
      </c>
      <c r="BP12" s="518" t="str">
        <f>IF(AND(_A4="A-330-200",'2025'!$D$4="CA",'2025'!$D$2=BP5),'2025DATA'!$K$9,"")</f>
        <v/>
      </c>
      <c r="BQ12" s="518" t="str">
        <f>IF(AND(_A4="A-330-200",'2025'!$D$4="CA",'2025'!$D$2=BQ5),'2025DATA'!$L$9,"")</f>
        <v/>
      </c>
      <c r="BR12" s="518" t="str">
        <f>IF(AND(_A4="A-330-200",'2025'!$D$4="CA",'2025'!$D$2=BR5),'2025DATA'!$M$9,"")</f>
        <v/>
      </c>
      <c r="BS12" s="520" t="str">
        <f>IF(AND(_A4="A-330-200",'2025'!$D$4="CA",'2025'!$D$2=BS5),'2025DATA'!$N$9,"")</f>
        <v/>
      </c>
      <c r="BT12" s="940" t="s">
        <v>66</v>
      </c>
      <c r="BU12" s="13" t="s">
        <v>61</v>
      </c>
      <c r="BV12" s="518" t="str">
        <f>IF(AND(_A5="A-330-200",'2025'!$D$4="CA",'2025'!$D$2=BV5),'2025DATA'!$C$9,"")</f>
        <v/>
      </c>
      <c r="BW12" s="518" t="str">
        <f>IF(AND(_A5="A-330-200",'2025'!$D$4="CA",'2025'!$D$2=BW5),'2025DATA'!$D$9,"")</f>
        <v/>
      </c>
      <c r="BX12" s="518" t="str">
        <f>IF(AND(_A5="A-330-200",'2025'!$D$4="CA",'2025'!$D$2=BX5),'2025DATA'!$E$9,"")</f>
        <v/>
      </c>
      <c r="BY12" s="518" t="str">
        <f>IF(AND(_A5="A-330-200",'2025'!$D$4="CA",'2025'!$D$2=BY5),'2025DATA'!$F$9,"")</f>
        <v/>
      </c>
      <c r="BZ12" s="518" t="str">
        <f>IF(AND(_A5="A-330-200",'2025'!$D$4="CA",'2025'!$D$2=BZ5),'2025DATA'!$G$9,"")</f>
        <v/>
      </c>
      <c r="CA12" s="518" t="str">
        <f>IF(AND(_A5="A-330-200",'2025'!$D$4="CA",'2025'!$D$2=CA5),'2025DATA'!$H$9,"")</f>
        <v/>
      </c>
      <c r="CB12" s="518" t="str">
        <f>IF(AND(_A5="A-330-200",'2025'!$D$4="CA",'2025'!$D$2=CB5),'2025DATA'!$I$9,"")</f>
        <v/>
      </c>
      <c r="CC12" s="518" t="str">
        <f>IF(AND(_A5="A-330-200",'2025'!$D$4="CA",'2025'!$D$2=CC5),'2025DATA'!$J$9,"")</f>
        <v/>
      </c>
      <c r="CD12" s="518" t="str">
        <f>IF(AND(_A5="A-330-200",'2025'!$D$4="CA",'2025'!$D$2=CD5),'2025DATA'!$K$9,"")</f>
        <v/>
      </c>
      <c r="CE12" s="518" t="str">
        <f>IF(AND(_A5="A-330-200",'2025'!$D$4="CA",'2025'!$D$2=CE5),'2025DATA'!$L$9,"")</f>
        <v/>
      </c>
      <c r="CF12" s="518" t="str">
        <f>IF(AND(_A5="A-330-200",'2025'!$D$4="CA",'2025'!$D$2=CF5),'2025DATA'!$M$9,"")</f>
        <v/>
      </c>
      <c r="CG12" s="520" t="str">
        <f>IF(AND(_A5="A-330-200",'2025'!$D$4="CA",'2025'!$D$2=CG5),'2025DATA'!$N$9,"")</f>
        <v/>
      </c>
      <c r="CH12" s="940" t="s">
        <v>66</v>
      </c>
      <c r="CI12" s="13" t="s">
        <v>61</v>
      </c>
      <c r="CJ12" s="518" t="str">
        <f>IF(AND(_A6="A-330-200",'2025'!$D$4="CA",'2025'!$D$2=CJ5),'2025DATA'!$C$9,"")</f>
        <v/>
      </c>
      <c r="CK12" s="518" t="str">
        <f>IF(AND(_A6="A-330-200",'2025'!$D$4="CA",'2025'!$D$2=CK5),'2025DATA'!$D$9,"")</f>
        <v/>
      </c>
      <c r="CL12" s="518" t="str">
        <f>IF(AND(_A6="A-330-200",'2025'!$D$4="CA",'2025'!$D$2=CL5),'2025DATA'!$E$9,"")</f>
        <v/>
      </c>
      <c r="CM12" s="518" t="str">
        <f>IF(AND(_A6="A-330-200",'2025'!$D$4="CA",'2025'!$D$2=CM5),'2025DATA'!$F$9,"")</f>
        <v/>
      </c>
      <c r="CN12" s="518" t="str">
        <f>IF(AND(_A6="A-330-200",'2025'!$D$4="CA",'2025'!$D$2=CN5),'2025DATA'!$G$9,"")</f>
        <v/>
      </c>
      <c r="CO12" s="518" t="str">
        <f>IF(AND(_A6="A-330-200",'2025'!$D$4="CA",'2025'!$D$2=CO5),'2025DATA'!$H$9,"")</f>
        <v/>
      </c>
      <c r="CP12" s="518" t="str">
        <f>IF(AND(_A6="A-330-200",'2025'!$D$4="CA",'2025'!$D$2=CP5),'2025DATA'!$I$9,"")</f>
        <v/>
      </c>
      <c r="CQ12" s="518" t="str">
        <f>IF(AND(_A6="A-330-200",'2025'!$D$4="CA",'2025'!$D$2=CQ5),'2025DATA'!$J$9,"")</f>
        <v/>
      </c>
      <c r="CR12" s="518" t="str">
        <f>IF(AND(_A6="A-330-200",'2025'!$D$4="CA",'2025'!$D$2=CR5),'2025DATA'!$K$9,"")</f>
        <v/>
      </c>
      <c r="CS12" s="518" t="str">
        <f>IF(AND(_A6="A-330-200",'2025'!$D$4="CA",'2025'!$D$2=CS5),'2025DATA'!$L$9,"")</f>
        <v/>
      </c>
      <c r="CT12" s="518" t="str">
        <f>IF(AND(_A6="A-330-200",'2025'!$D$4="CA",'2025'!$D$2=CT5),'2025DATA'!$M$9,"")</f>
        <v/>
      </c>
      <c r="CU12" s="520" t="str">
        <f>IF(AND(_A6="A-330-200",'2025'!$D$4="CA",'2025'!$D$2=CU5),'2025DATA'!$N$9,"")</f>
        <v/>
      </c>
    </row>
    <row r="13" spans="1:99" x14ac:dyDescent="0.25">
      <c r="A13" s="987" t="s">
        <v>43</v>
      </c>
      <c r="B13" s="64" t="s">
        <v>61</v>
      </c>
      <c r="C13" s="28">
        <v>389.34</v>
      </c>
      <c r="D13" s="29">
        <v>385.36</v>
      </c>
      <c r="E13" s="29">
        <v>381.25</v>
      </c>
      <c r="F13" s="29">
        <v>377.2</v>
      </c>
      <c r="G13" s="29">
        <v>374.54</v>
      </c>
      <c r="H13" s="29">
        <v>371.47</v>
      </c>
      <c r="I13" s="29">
        <v>368.73</v>
      </c>
      <c r="J13" s="29">
        <v>365.88</v>
      </c>
      <c r="K13" s="29">
        <v>362.79</v>
      </c>
      <c r="L13" s="29">
        <v>359.88</v>
      </c>
      <c r="M13" s="29">
        <v>356.98</v>
      </c>
      <c r="N13" s="30">
        <v>353.98</v>
      </c>
      <c r="P13" s="940"/>
      <c r="Q13" s="13" t="s">
        <v>62</v>
      </c>
      <c r="R13" s="518" t="str">
        <f>IF(AND(_A1="A-330-200",'2025'!$D$4="FO",'2025'!$D$2=R5),'2025DATA'!$C$10,"")</f>
        <v/>
      </c>
      <c r="S13" s="518" t="str">
        <f>IF(AND(_A1="A-330-200",'2025'!$D$4="FO",'2025'!$D$2=S5),'2025DATA'!$D$10,"")</f>
        <v/>
      </c>
      <c r="T13" s="518" t="str">
        <f>IF(AND(_A1="A-330-200",'2025'!$D$4="FO",'2025'!$D$2=T5),'2025DATA'!$E$10,"")</f>
        <v/>
      </c>
      <c r="U13" s="518" t="str">
        <f>IF(AND(_A1="A-330-200",'2025'!$D$4="FO",'2025'!$D$2=U5),'2025DATA'!$F$10,"")</f>
        <v/>
      </c>
      <c r="V13" s="518" t="str">
        <f>IF(AND(_A1="A-330-200",'2025'!$D$4="FO",'2025'!$D$2=V5),'2025DATA'!$G$10,"")</f>
        <v/>
      </c>
      <c r="W13" s="518" t="str">
        <f>IF(AND(_A1="A-330-200",'2025'!$D$4="FO",'2025'!$D$2=W5),'2025DATA'!$H$10,"")</f>
        <v/>
      </c>
      <c r="X13" s="518" t="str">
        <f>IF(AND(_A1="A-330-200",'2025'!$D$4="FO",'2025'!$D$2=X5),'2025DATA'!$I$10,"")</f>
        <v/>
      </c>
      <c r="Y13" s="518" t="str">
        <f>IF(AND(_A1="A-330-200",'2025'!$D$4="FO",'2025'!$D$2=Y5),'2025DATA'!$J$10,"")</f>
        <v/>
      </c>
      <c r="Z13" s="518" t="str">
        <f>IF(AND(_A1="A-330-200",'2025'!$D$4="FO",'2025'!$D$2=Z5),'2025DATA'!$K$10,"")</f>
        <v/>
      </c>
      <c r="AA13" s="518" t="str">
        <f>IF(AND(_A1="A-330-200",'2025'!$D$4="FO",'2025'!$D$2=AA5),'2025DATA'!$L$10,"")</f>
        <v/>
      </c>
      <c r="AB13" s="518" t="str">
        <f>IF(AND(_A1="A-330-200",'2025'!$D$4="FO",'2025'!$D$2=AB5),'2025DATA'!$M$10,"")</f>
        <v/>
      </c>
      <c r="AC13" s="520" t="str">
        <f>IF(AND(_A1="A-330-200",'2025'!$D$4="FO",'2025'!$D$2=AC5),'2025DATA'!$N$10,"")</f>
        <v/>
      </c>
      <c r="AD13" s="940"/>
      <c r="AE13" s="13" t="s">
        <v>62</v>
      </c>
      <c r="AF13" s="518" t="str">
        <f>IF(AND(_A2="A-330-200",'2025'!$D$4="FO",'2025'!$D$2=AF5),'2025DATA'!$C$10,"")</f>
        <v/>
      </c>
      <c r="AG13" s="518" t="str">
        <f>IF(AND(_A2="A-330-200",'2025'!$D$4="FO",'2025'!$D$2=AG5),'2025DATA'!$D$10,"")</f>
        <v/>
      </c>
      <c r="AH13" s="518" t="str">
        <f>IF(AND(_A2="A-330-200",'2025'!$D$4="FO",'2025'!$D$2=AH5),'2025DATA'!$E$10,"")</f>
        <v/>
      </c>
      <c r="AI13" s="518" t="str">
        <f>IF(AND(_A2="A-330-200",'2025'!$D$4="FO",'2025'!$D$2=AI5),'2025DATA'!$F$10,"")</f>
        <v/>
      </c>
      <c r="AJ13" s="518" t="str">
        <f>IF(AND(_A2="A-330-200",'2025'!$D$4="FO",'2025'!$D$2=AJ5),'2025DATA'!$G$10,"")</f>
        <v/>
      </c>
      <c r="AK13" s="518" t="str">
        <f>IF(AND(_A2="A-330-200",'2025'!$D$4="FO",'2025'!$D$2=AK5),'2025DATA'!$H$10,"")</f>
        <v/>
      </c>
      <c r="AL13" s="518" t="str">
        <f>IF(AND(_A2="A-330-200",'2025'!$D$4="FO",'2025'!$D$2=AL5),'2025DATA'!$I$10,"")</f>
        <v/>
      </c>
      <c r="AM13" s="518" t="str">
        <f>IF(AND(_A2="A-330-200",'2025'!$D$4="FO",'2025'!$D$2=AM5),'2025DATA'!$J$10,"")</f>
        <v/>
      </c>
      <c r="AN13" s="518" t="str">
        <f>IF(AND(_A2="A-330-200",'2025'!$D$4="FO",'2025'!$D$2=AN5),'2025DATA'!$K$10,"")</f>
        <v/>
      </c>
      <c r="AO13" s="518" t="str">
        <f>IF(AND(_A2="A-330-200",'2025'!$D$4="FO",'2025'!$D$2=AO5),'2025DATA'!$L$10,"")</f>
        <v/>
      </c>
      <c r="AP13" s="518" t="str">
        <f>IF(AND(_A2="A-330-200",'2025'!$D$4="FO",'2025'!$D$2=AP5),'2025DATA'!$M$10,"")</f>
        <v/>
      </c>
      <c r="AQ13" s="520" t="str">
        <f>IF(AND(_A2="A-330-200",'2025'!$D$4="FO",'2025'!$D$2=AQ5),'2025DATA'!$N$10,"")</f>
        <v/>
      </c>
      <c r="AR13" s="940"/>
      <c r="AS13" s="13" t="s">
        <v>62</v>
      </c>
      <c r="AT13" s="518" t="str">
        <f>IF(AND(_A3="A-330-200",'2025'!$D$4="FO",'2025'!$D$2=AT5),'2025DATA'!$C$10,"")</f>
        <v/>
      </c>
      <c r="AU13" s="518" t="str">
        <f>IF(AND(_A3="A-330-200",'2025'!$D$4="FO",'2025'!$D$2=AU5),'2025DATA'!$D$10,"")</f>
        <v/>
      </c>
      <c r="AV13" s="518" t="str">
        <f>IF(AND(_A3="A-330-200",'2025'!$D$4="FO",'2025'!$D$2=AV5),'2025DATA'!$E$10,"")</f>
        <v/>
      </c>
      <c r="AW13" s="518" t="str">
        <f>IF(AND(_A3="A-330-200",'2025'!$D$4="FO",'2025'!$D$2=AW5),'2025DATA'!$F$10,"")</f>
        <v/>
      </c>
      <c r="AX13" s="518" t="str">
        <f>IF(AND(_A3="A-330-200",'2025'!$D$4="FO",'2025'!$D$2=AX5),'2025DATA'!$G$10,"")</f>
        <v/>
      </c>
      <c r="AY13" s="518" t="str">
        <f>IF(AND(_A3="A-330-200",'2025'!$D$4="FO",'2025'!$D$2=AY5),'2025DATA'!$H$10,"")</f>
        <v/>
      </c>
      <c r="AZ13" s="518" t="str">
        <f>IF(AND(_A3="A-330-200",'2025'!$D$4="FO",'2025'!$D$2=AZ5),'2025DATA'!$I$10,"")</f>
        <v/>
      </c>
      <c r="BA13" s="518" t="str">
        <f>IF(AND(_A3="A-330-200",'2025'!$D$4="FO",'2025'!$D$2=BA5),'2025DATA'!$J$10,"")</f>
        <v/>
      </c>
      <c r="BB13" s="518" t="str">
        <f>IF(AND(_A3="A-330-200",'2025'!$D$4="FO",'2025'!$D$2=BB5),'2025DATA'!$K$10,"")</f>
        <v/>
      </c>
      <c r="BC13" s="518" t="str">
        <f>IF(AND(_A3="A-330-200",'2025'!$D$4="FO",'2025'!$D$2=BC5),'2025DATA'!$L$10,"")</f>
        <v/>
      </c>
      <c r="BD13" s="518" t="str">
        <f>IF(AND(_A3="A-330-200",'2025'!$D$4="FO",'2025'!$D$2=BD5),'2025DATA'!$M$10,"")</f>
        <v/>
      </c>
      <c r="BE13" s="520" t="str">
        <f>IF(AND(_A3="A-330-200",'2025'!$D$4="FO",'2025'!$D$2=BE5),'2025DATA'!$N$10,"")</f>
        <v/>
      </c>
      <c r="BF13" s="940"/>
      <c r="BG13" s="13" t="s">
        <v>62</v>
      </c>
      <c r="BH13" s="518" t="str">
        <f>IF(AND(_A4="A-330-200",'2025'!$D$4="FO",'2025'!$D$2=BH5),'2025DATA'!$C$10,"")</f>
        <v/>
      </c>
      <c r="BI13" s="518" t="str">
        <f>IF(AND(_A4="A-330-200",'2025'!$D$4="FO",'2025'!$D$2=BI5),'2025DATA'!$D$10,"")</f>
        <v/>
      </c>
      <c r="BJ13" s="518" t="str">
        <f>IF(AND(_A4="A-330-200",'2025'!$D$4="FO",'2025'!$D$2=BJ5),'2025DATA'!$E$10,"")</f>
        <v/>
      </c>
      <c r="BK13" s="518" t="str">
        <f>IF(AND(_A4="A-330-200",'2025'!$D$4="FO",'2025'!$D$2=BK5),'2025DATA'!$F$10,"")</f>
        <v/>
      </c>
      <c r="BL13" s="518" t="str">
        <f>IF(AND(_A4="A-330-200",'2025'!$D$4="FO",'2025'!$D$2=BL5),'2025DATA'!$G$10,"")</f>
        <v/>
      </c>
      <c r="BM13" s="518" t="str">
        <f>IF(AND(_A4="A-330-200",'2025'!$D$4="FO",'2025'!$D$2=BM5),'2025DATA'!$H$10,"")</f>
        <v/>
      </c>
      <c r="BN13" s="518" t="str">
        <f>IF(AND(_A4="A-330-200",'2025'!$D$4="FO",'2025'!$D$2=BN5),'2025DATA'!$I$10,"")</f>
        <v/>
      </c>
      <c r="BO13" s="518" t="str">
        <f>IF(AND(_A4="A-330-200",'2025'!$D$4="FO",'2025'!$D$2=BO5),'2025DATA'!$J$10,"")</f>
        <v/>
      </c>
      <c r="BP13" s="518" t="str">
        <f>IF(AND(_A4="A-330-200",'2025'!$D$4="FO",'2025'!$D$2=BP5),'2025DATA'!$K$10,"")</f>
        <v/>
      </c>
      <c r="BQ13" s="518" t="str">
        <f>IF(AND(_A4="A-330-200",'2025'!$D$4="FO",'2025'!$D$2=BQ5),'2025DATA'!$L$10,"")</f>
        <v/>
      </c>
      <c r="BR13" s="518" t="str">
        <f>IF(AND(_A4="A-330-200",'2025'!$D$4="FO",'2025'!$D$2=BR5),'2025DATA'!$M$10,"")</f>
        <v/>
      </c>
      <c r="BS13" s="520" t="str">
        <f>IF(AND(_A4="A-330-200",'2025'!$D$4="FO",'2025'!$D$2=BS5),'2025DATA'!$N$10,"")</f>
        <v/>
      </c>
      <c r="BT13" s="940"/>
      <c r="BU13" s="13" t="s">
        <v>62</v>
      </c>
      <c r="BV13" s="518" t="str">
        <f>IF(AND(_A5="A-330-200",'2025'!$D$4="FO",'2025'!$D$2=BV5),'2025DATA'!$C$10,"")</f>
        <v/>
      </c>
      <c r="BW13" s="518" t="str">
        <f>IF(AND(_A5="A-330-200",'2025'!$D$4="FO",'2025'!$D$2=BW5),'2025DATA'!$D$10,"")</f>
        <v/>
      </c>
      <c r="BX13" s="518" t="str">
        <f>IF(AND(_A5="A-330-200",'2025'!$D$4="FO",'2025'!$D$2=BX5),'2025DATA'!$E$10,"")</f>
        <v/>
      </c>
      <c r="BY13" s="518" t="str">
        <f>IF(AND(_A5="A-330-200",'2025'!$D$4="FO",'2025'!$D$2=BY5),'2025DATA'!$F$10,"")</f>
        <v/>
      </c>
      <c r="BZ13" s="518" t="str">
        <f>IF(AND(_A5="A-330-200",'2025'!$D$4="FO",'2025'!$D$2=BZ5),'2025DATA'!$G$10,"")</f>
        <v/>
      </c>
      <c r="CA13" s="518" t="str">
        <f>IF(AND(_A5="A-330-200",'2025'!$D$4="FO",'2025'!$D$2=CA5),'2025DATA'!$H$10,"")</f>
        <v/>
      </c>
      <c r="CB13" s="518" t="str">
        <f>IF(AND(_A5="A-330-200",'2025'!$D$4="FO",'2025'!$D$2=CB5),'2025DATA'!$I$10,"")</f>
        <v/>
      </c>
      <c r="CC13" s="518" t="str">
        <f>IF(AND(_A5="A-330-200",'2025'!$D$4="FO",'2025'!$D$2=CC5),'2025DATA'!$J$10,"")</f>
        <v/>
      </c>
      <c r="CD13" s="518" t="str">
        <f>IF(AND(_A5="A-330-200",'2025'!$D$4="FO",'2025'!$D$2=CD5),'2025DATA'!$K$10,"")</f>
        <v/>
      </c>
      <c r="CE13" s="518" t="str">
        <f>IF(AND(_A5="A-330-200",'2025'!$D$4="FO",'2025'!$D$2=CE5),'2025DATA'!$L$10,"")</f>
        <v/>
      </c>
      <c r="CF13" s="518" t="str">
        <f>IF(AND(_A5="A-330-200",'2025'!$D$4="FO",'2025'!$D$2=CF5),'2025DATA'!$M$10,"")</f>
        <v/>
      </c>
      <c r="CG13" s="520" t="str">
        <f>IF(AND(_A5="A-330-200",'2025'!$D$4="FO",'2025'!$D$2=CG5),'2025DATA'!$N$10,"")</f>
        <v/>
      </c>
      <c r="CH13" s="940"/>
      <c r="CI13" s="13" t="s">
        <v>62</v>
      </c>
      <c r="CJ13" s="518" t="str">
        <f>IF(AND(_A6="A-330-200",'2025'!$D$4="FO",'2025'!$D$2=CJ5),'2025DATA'!$C$10,"")</f>
        <v/>
      </c>
      <c r="CK13" s="518" t="str">
        <f>IF(AND(_A6="A-330-200",'2025'!$D$4="FO",'2025'!$D$2=CK5),'2025DATA'!$D$10,"")</f>
        <v/>
      </c>
      <c r="CL13" s="518" t="str">
        <f>IF(AND(_A6="A-330-200",'2025'!$D$4="FO",'2025'!$D$2=CL5),'2025DATA'!$E$10,"")</f>
        <v/>
      </c>
      <c r="CM13" s="518" t="str">
        <f>IF(AND(_A6="A-330-200",'2025'!$D$4="FO",'2025'!$D$2=CM5),'2025DATA'!$F$10,"")</f>
        <v/>
      </c>
      <c r="CN13" s="518" t="str">
        <f>IF(AND(_A6="A-330-200",'2025'!$D$4="FO",'2025'!$D$2=CN5),'2025DATA'!$G$10,"")</f>
        <v/>
      </c>
      <c r="CO13" s="518" t="str">
        <f>IF(AND(_A6="A-330-200",'2025'!$D$4="FO",'2025'!$D$2=CO5),'2025DATA'!$H$10,"")</f>
        <v/>
      </c>
      <c r="CP13" s="518" t="str">
        <f>IF(AND(_A6="A-330-200",'2025'!$D$4="FO",'2025'!$D$2=CP5),'2025DATA'!$I$10,"")</f>
        <v/>
      </c>
      <c r="CQ13" s="518" t="str">
        <f>IF(AND(_A6="A-330-200",'2025'!$D$4="FO",'2025'!$D$2=CQ5),'2025DATA'!$J$10,"")</f>
        <v/>
      </c>
      <c r="CR13" s="518" t="str">
        <f>IF(AND(_A6="A-330-200",'2025'!$D$4="FO",'2025'!$D$2=CR5),'2025DATA'!$K$10,"")</f>
        <v/>
      </c>
      <c r="CS13" s="518" t="str">
        <f>IF(AND(_A6="A-330-200",'2025'!$D$4="FO",'2025'!$D$2=CS5),'2025DATA'!$L$10,"")</f>
        <v/>
      </c>
      <c r="CT13" s="518" t="str">
        <f>IF(AND(_A6="A-330-200",'2025'!$D$4="FO",'2025'!$D$2=CT5),'2025DATA'!$M$10,"")</f>
        <v/>
      </c>
      <c r="CU13" s="520" t="str">
        <f>IF(AND(_A6="A-330-200",'2025'!$D$4="FO",'2025'!$D$2=CU5),'2025DATA'!$N$10,"")</f>
        <v/>
      </c>
    </row>
    <row r="14" spans="1:99" x14ac:dyDescent="0.25">
      <c r="A14" s="987"/>
      <c r="B14" s="64" t="s">
        <v>62</v>
      </c>
      <c r="C14" s="28">
        <v>265.92</v>
      </c>
      <c r="D14" s="29">
        <v>262.82</v>
      </c>
      <c r="E14" s="29">
        <v>259.63</v>
      </c>
      <c r="F14" s="29">
        <v>255.39</v>
      </c>
      <c r="G14" s="29">
        <v>252.83</v>
      </c>
      <c r="H14" s="29">
        <v>247.03</v>
      </c>
      <c r="I14" s="29">
        <v>240.4</v>
      </c>
      <c r="J14" s="29">
        <v>234.54</v>
      </c>
      <c r="K14" s="29">
        <v>228.93</v>
      </c>
      <c r="L14" s="29">
        <v>223.49</v>
      </c>
      <c r="M14" s="29">
        <v>190.98</v>
      </c>
      <c r="N14" s="30">
        <v>120.69</v>
      </c>
      <c r="P14" s="940" t="s">
        <v>42</v>
      </c>
      <c r="Q14" s="13" t="s">
        <v>61</v>
      </c>
      <c r="R14" s="518" t="str">
        <f>IF(AND(_A1="B-767-400ER",'2025'!$D$4="CA",'2025'!$D$2=R5),'2025DATA'!$C$11,"")</f>
        <v/>
      </c>
      <c r="S14" s="518" t="str">
        <f>IF(AND(_A1="B-767-400ER",'2025'!$D$4="CA",'2025'!$D$2=S5),'2025DATA'!$D$11,"")</f>
        <v/>
      </c>
      <c r="T14" s="518" t="str">
        <f>IF(AND(_A1="B-767-400ER",'2025'!$D$4="CA",'2025'!$D$2=T5),'2025DATA'!$E$11,"")</f>
        <v/>
      </c>
      <c r="U14" s="518" t="str">
        <f>IF(AND(_A1="B-767-400ER",'2025'!$D$4="CA",'2025'!$D$2=U5),'2025DATA'!$F$11,"")</f>
        <v/>
      </c>
      <c r="V14" s="518" t="str">
        <f>IF(AND(_A1="B-767-400ER",'2025'!$D$4="CA",'2025'!$D$2=V5),'2025DATA'!$G$11,"")</f>
        <v/>
      </c>
      <c r="W14" s="518" t="str">
        <f>IF(AND(_A1="B-767-400ER",'2025'!$D$4="CA",'2025'!$D$2=W5),'2025DATA'!$H$11,"")</f>
        <v/>
      </c>
      <c r="X14" s="518" t="str">
        <f>IF(AND(_A1="B-767-400ER",'2025'!$D$4="CA",'2025'!$D$2=X5),'2025DATA'!$I$11,"")</f>
        <v/>
      </c>
      <c r="Y14" s="518" t="str">
        <f>IF(AND(_A1="B-767-400ER",'2025'!$D$4="CA",'2025'!$D$2=Y5),'2025DATA'!$J$11,"")</f>
        <v/>
      </c>
      <c r="Z14" s="518" t="str">
        <f>IF(AND(_A1="B-767-400ER",'2025'!$D$4="CA",'2025'!$D$2=Z5),'2025DATA'!$K$11,"")</f>
        <v/>
      </c>
      <c r="AA14" s="518" t="str">
        <f>IF(AND(_A1="B-767-400ER",'2025'!$D$4="CA",'2025'!$D$2=AA5),'2025DATA'!$L$11,"")</f>
        <v/>
      </c>
      <c r="AB14" s="518" t="str">
        <f>IF(AND(_A1="B-767-400ER",'2025'!$D$4="CA",'2025'!$D$2=AB5),'2025DATA'!$M$11,"")</f>
        <v/>
      </c>
      <c r="AC14" s="520" t="str">
        <f>IF(AND(_A1="B-767-400ER",'2025'!$D$4="CA",'2025'!$D$2=AC5),'2025DATA'!$N$11,"")</f>
        <v/>
      </c>
      <c r="AD14" s="940" t="s">
        <v>42</v>
      </c>
      <c r="AE14" s="13" t="s">
        <v>61</v>
      </c>
      <c r="AF14" s="518" t="str">
        <f>IF(AND(_A2="B-767-400ER",'2025'!$D$4="CA",'2025'!$D$2=AF5),'2025DATA'!$C$11,"")</f>
        <v/>
      </c>
      <c r="AG14" s="518" t="str">
        <f>IF(AND(_A2="B-767-400ER",'2025'!$D$4="CA",'2025'!$D$2=AG5),'2025DATA'!$D$11,"")</f>
        <v/>
      </c>
      <c r="AH14" s="518" t="str">
        <f>IF(AND(_A2="B-767-400ER",'2025'!$D$4="CA",'2025'!$D$2=AH5),'2025DATA'!$E$11,"")</f>
        <v/>
      </c>
      <c r="AI14" s="518" t="str">
        <f>IF(AND(_A2="B-767-400ER",'2025'!$D$4="CA",'2025'!$D$2=AI5),'2025DATA'!$F$11,"")</f>
        <v/>
      </c>
      <c r="AJ14" s="518" t="str">
        <f>IF(AND(_A2="B-767-400ER",'2025'!$D$4="CA",'2025'!$D$2=AJ5),'2025DATA'!$G$11,"")</f>
        <v/>
      </c>
      <c r="AK14" s="518" t="str">
        <f>IF(AND(_A2="B-767-400ER",'2025'!$D$4="CA",'2025'!$D$2=AK5),'2025DATA'!$H$11,"")</f>
        <v/>
      </c>
      <c r="AL14" s="518" t="str">
        <f>IF(AND(_A2="B-767-400ER",'2025'!$D$4="CA",'2025'!$D$2=AL5),'2025DATA'!$I$11,"")</f>
        <v/>
      </c>
      <c r="AM14" s="518" t="str">
        <f>IF(AND(_A2="B-767-400ER",'2025'!$D$4="CA",'2025'!$D$2=AM5),'2025DATA'!$J$11,"")</f>
        <v/>
      </c>
      <c r="AN14" s="518" t="str">
        <f>IF(AND(_A2="B-767-400ER",'2025'!$D$4="CA",'2025'!$D$2=AN5),'2025DATA'!$K$11,"")</f>
        <v/>
      </c>
      <c r="AO14" s="518" t="str">
        <f>IF(AND(_A2="B-767-400ER",'2025'!$D$4="CA",'2025'!$D$2=AO5),'2025DATA'!$L$11,"")</f>
        <v/>
      </c>
      <c r="AP14" s="518" t="str">
        <f>IF(AND(_A2="B-767-400ER",'2025'!$D$4="CA",'2025'!$D$2=AP5),'2025DATA'!$M$11,"")</f>
        <v/>
      </c>
      <c r="AQ14" s="520" t="str">
        <f>IF(AND(_A2="B-767-400ER",'2025'!$D$4="CA",'2025'!$D$2=AQ5),'2025DATA'!$N$11,"")</f>
        <v/>
      </c>
      <c r="AR14" s="940" t="s">
        <v>42</v>
      </c>
      <c r="AS14" s="13" t="s">
        <v>61</v>
      </c>
      <c r="AT14" s="518" t="str">
        <f>IF(AND(_A3="B-767-400ER",'2025'!$D$4="CA",'2025'!$D$2=AT5),'2025DATA'!$C$11,"")</f>
        <v/>
      </c>
      <c r="AU14" s="518" t="str">
        <f>IF(AND(_A3="B-767-400ER",'2025'!$D$4="CA",'2025'!$D$2=AU5),'2025DATA'!$D$11,"")</f>
        <v/>
      </c>
      <c r="AV14" s="518" t="str">
        <f>IF(AND(_A3="B-767-400ER",'2025'!$D$4="CA",'2025'!$D$2=AV5),'2025DATA'!$E$11,"")</f>
        <v/>
      </c>
      <c r="AW14" s="518" t="str">
        <f>IF(AND(_A3="B-767-400ER",'2025'!$D$4="CA",'2025'!$D$2=AW5),'2025DATA'!$F$11,"")</f>
        <v/>
      </c>
      <c r="AX14" s="518" t="str">
        <f>IF(AND(_A3="B-767-400ER",'2025'!$D$4="CA",'2025'!$D$2=AX5),'2025DATA'!$G$11,"")</f>
        <v/>
      </c>
      <c r="AY14" s="518" t="str">
        <f>IF(AND(_A3="B-767-400ER",'2025'!$D$4="CA",'2025'!$D$2=AY5),'2025DATA'!$H$11,"")</f>
        <v/>
      </c>
      <c r="AZ14" s="518" t="str">
        <f>IF(AND(_A3="B-767-400ER",'2025'!$D$4="CA",'2025'!$D$2=AZ5),'2025DATA'!$I$11,"")</f>
        <v/>
      </c>
      <c r="BA14" s="518" t="str">
        <f>IF(AND(_A3="B-767-400ER",'2025'!$D$4="CA",'2025'!$D$2=BA5),'2025DATA'!$J$11,"")</f>
        <v/>
      </c>
      <c r="BB14" s="518" t="str">
        <f>IF(AND(_A3="B-767-400ER",'2025'!$D$4="CA",'2025'!$D$2=BB5),'2025DATA'!$K$11,"")</f>
        <v/>
      </c>
      <c r="BC14" s="518" t="str">
        <f>IF(AND(_A3="B-767-400ER",'2025'!$D$4="CA",'2025'!$D$2=BC5),'2025DATA'!$L$11,"")</f>
        <v/>
      </c>
      <c r="BD14" s="518" t="str">
        <f>IF(AND(_A3="B-767-400ER",'2025'!$D$4="CA",'2025'!$D$2=BD5),'2025DATA'!$M$11,"")</f>
        <v/>
      </c>
      <c r="BE14" s="520" t="str">
        <f>IF(AND(_A3="B-767-400ER",'2025'!$D$4="CA",'2025'!$D$2=BE5),'2025DATA'!$N$11,"")</f>
        <v/>
      </c>
      <c r="BF14" s="940" t="s">
        <v>42</v>
      </c>
      <c r="BG14" s="13" t="s">
        <v>61</v>
      </c>
      <c r="BH14" s="518" t="str">
        <f>IF(AND(_A4="B-767-400ER",'2025'!$D$4="CA",'2025'!$D$2=BH5),'2025DATA'!$C$11,"")</f>
        <v/>
      </c>
      <c r="BI14" s="518" t="str">
        <f>IF(AND(_A4="B-767-400ER",'2025'!$D$4="CA",'2025'!$D$2=BI5),'2025DATA'!$D$11,"")</f>
        <v/>
      </c>
      <c r="BJ14" s="518" t="str">
        <f>IF(AND(_A4="B-767-400ER",'2025'!$D$4="CA",'2025'!$D$2=BJ5),'2025DATA'!$E$11,"")</f>
        <v/>
      </c>
      <c r="BK14" s="518" t="str">
        <f>IF(AND(_A4="B-767-400ER",'2025'!$D$4="CA",'2025'!$D$2=BK5),'2025DATA'!$F$11,"")</f>
        <v/>
      </c>
      <c r="BL14" s="518" t="str">
        <f>IF(AND(_A4="B-767-400ER",'2025'!$D$4="CA",'2025'!$D$2=BL5),'2025DATA'!$G$11,"")</f>
        <v/>
      </c>
      <c r="BM14" s="518" t="str">
        <f>IF(AND(_A4="B-767-400ER",'2025'!$D$4="CA",'2025'!$D$2=BM5),'2025DATA'!$H$11,"")</f>
        <v/>
      </c>
      <c r="BN14" s="518" t="str">
        <f>IF(AND(_A4="B-767-400ER",'2025'!$D$4="CA",'2025'!$D$2=BN5),'2025DATA'!$I$11,"")</f>
        <v/>
      </c>
      <c r="BO14" s="518" t="str">
        <f>IF(AND(_A4="B-767-400ER",'2025'!$D$4="CA",'2025'!$D$2=BO5),'2025DATA'!$J$11,"")</f>
        <v/>
      </c>
      <c r="BP14" s="518" t="str">
        <f>IF(AND(_A4="B-767-400ER",'2025'!$D$4="CA",'2025'!$D$2=BP5),'2025DATA'!$K$11,"")</f>
        <v/>
      </c>
      <c r="BQ14" s="518" t="str">
        <f>IF(AND(_A4="B-767-400ER",'2025'!$D$4="CA",'2025'!$D$2=BQ5),'2025DATA'!$L$11,"")</f>
        <v/>
      </c>
      <c r="BR14" s="518" t="str">
        <f>IF(AND(_A4="B-767-400ER",'2025'!$D$4="CA",'2025'!$D$2=BR5),'2025DATA'!$M$11,"")</f>
        <v/>
      </c>
      <c r="BS14" s="520" t="str">
        <f>IF(AND(_A4="B-767-400ER",'2025'!$D$4="CA",'2025'!$D$2=BS5),'2025DATA'!$N$11,"")</f>
        <v/>
      </c>
      <c r="BT14" s="940" t="s">
        <v>42</v>
      </c>
      <c r="BU14" s="13" t="s">
        <v>61</v>
      </c>
      <c r="BV14" s="518" t="str">
        <f>IF(AND(_A5="B-767-400ER",'2025'!$D$4="CA",'2025'!$D$2=BV5),'2025DATA'!$C$11,"")</f>
        <v/>
      </c>
      <c r="BW14" s="518" t="str">
        <f>IF(AND(_A5="B-767-400ER",'2025'!$D$4="CA",'2025'!$D$2=BW5),'2025DATA'!$D$11,"")</f>
        <v/>
      </c>
      <c r="BX14" s="518" t="str">
        <f>IF(AND(_A5="B-767-400ER",'2025'!$D$4="CA",'2025'!$D$2=BX5),'2025DATA'!$E$11,"")</f>
        <v/>
      </c>
      <c r="BY14" s="518" t="str">
        <f>IF(AND(_A5="B-767-400ER",'2025'!$D$4="CA",'2025'!$D$2=BY5),'2025DATA'!$F$11,"")</f>
        <v/>
      </c>
      <c r="BZ14" s="518" t="str">
        <f>IF(AND(_A5="B-767-400ER",'2025'!$D$4="CA",'2025'!$D$2=BZ5),'2025DATA'!$G$11,"")</f>
        <v/>
      </c>
      <c r="CA14" s="518" t="str">
        <f>IF(AND(_A5="B-767-400ER",'2025'!$D$4="CA",'2025'!$D$2=CA5),'2025DATA'!$H$11,"")</f>
        <v/>
      </c>
      <c r="CB14" s="518" t="str">
        <f>IF(AND(_A5="B-767-400ER",'2025'!$D$4="CA",'2025'!$D$2=CB5),'2025DATA'!$I$11,"")</f>
        <v/>
      </c>
      <c r="CC14" s="518" t="str">
        <f>IF(AND(_A5="B-767-400ER",'2025'!$D$4="CA",'2025'!$D$2=CC5),'2025DATA'!$J$11,"")</f>
        <v/>
      </c>
      <c r="CD14" s="518" t="str">
        <f>IF(AND(_A5="B-767-400ER",'2025'!$D$4="CA",'2025'!$D$2=CD5),'2025DATA'!$K$11,"")</f>
        <v/>
      </c>
      <c r="CE14" s="518" t="str">
        <f>IF(AND(_A5="B-767-400ER",'2025'!$D$4="CA",'2025'!$D$2=CE5),'2025DATA'!$L$11,"")</f>
        <v/>
      </c>
      <c r="CF14" s="518" t="str">
        <f>IF(AND(_A5="B-767-400ER",'2025'!$D$4="CA",'2025'!$D$2=CF5),'2025DATA'!$M$11,"")</f>
        <v/>
      </c>
      <c r="CG14" s="520" t="str">
        <f>IF(AND(_A5="B-767-400ER",'2025'!$D$4="CA",'2025'!$D$2=CG5),'2025DATA'!$N$11,"")</f>
        <v/>
      </c>
      <c r="CH14" s="940" t="s">
        <v>42</v>
      </c>
      <c r="CI14" s="13" t="s">
        <v>61</v>
      </c>
      <c r="CJ14" s="518" t="str">
        <f>IF(AND(_A6="B-767-400ER",'2025'!$D$4="CA",'2025'!$D$2=CJ5),'2025DATA'!$C$11,"")</f>
        <v/>
      </c>
      <c r="CK14" s="518" t="str">
        <f>IF(AND(_A6="B-767-400ER",'2025'!$D$4="CA",'2025'!$D$2=CK5),'2025DATA'!$D$11,"")</f>
        <v/>
      </c>
      <c r="CL14" s="518" t="str">
        <f>IF(AND(_A6="B-767-400ER",'2025'!$D$4="CA",'2025'!$D$2=CL5),'2025DATA'!$E$11,"")</f>
        <v/>
      </c>
      <c r="CM14" s="518" t="str">
        <f>IF(AND(_A6="B-767-400ER",'2025'!$D$4="CA",'2025'!$D$2=CM5),'2025DATA'!$F$11,"")</f>
        <v/>
      </c>
      <c r="CN14" s="518" t="str">
        <f>IF(AND(_A6="B-767-400ER",'2025'!$D$4="CA",'2025'!$D$2=CN5),'2025DATA'!$G$11,"")</f>
        <v/>
      </c>
      <c r="CO14" s="518" t="str">
        <f>IF(AND(_A6="B-767-400ER",'2025'!$D$4="CA",'2025'!$D$2=CO5),'2025DATA'!$H$11,"")</f>
        <v/>
      </c>
      <c r="CP14" s="518" t="str">
        <f>IF(AND(_A6="B-767-400ER",'2025'!$D$4="CA",'2025'!$D$2=CP5),'2025DATA'!$I$11,"")</f>
        <v/>
      </c>
      <c r="CQ14" s="518" t="str">
        <f>IF(AND(_A6="B-767-400ER",'2025'!$D$4="CA",'2025'!$D$2=CQ5),'2025DATA'!$J$11,"")</f>
        <v/>
      </c>
      <c r="CR14" s="518" t="str">
        <f>IF(AND(_A6="B-767-400ER",'2025'!$D$4="CA",'2025'!$D$2=CR5),'2025DATA'!$K$11,"")</f>
        <v/>
      </c>
      <c r="CS14" s="518" t="str">
        <f>IF(AND(_A6="B-767-400ER",'2025'!$D$4="CA",'2025'!$D$2=CS5),'2025DATA'!$L$11,"")</f>
        <v/>
      </c>
      <c r="CT14" s="518" t="str">
        <f>IF(AND(_A6="B-767-400ER",'2025'!$D$4="CA",'2025'!$D$2=CT5),'2025DATA'!$M$11,"")</f>
        <v/>
      </c>
      <c r="CU14" s="520" t="str">
        <f>IF(AND(_A6="B-767-400ER",'2025'!$D$4="CA",'2025'!$D$2=CU5),'2025DATA'!$N$11,"")</f>
        <v/>
      </c>
    </row>
    <row r="15" spans="1:99" x14ac:dyDescent="0.25">
      <c r="A15" s="987" t="s">
        <v>67</v>
      </c>
      <c r="B15" s="64" t="s">
        <v>61</v>
      </c>
      <c r="C15" s="28">
        <v>389.34</v>
      </c>
      <c r="D15" s="29">
        <v>385.36</v>
      </c>
      <c r="E15" s="29">
        <v>381.25</v>
      </c>
      <c r="F15" s="29">
        <v>377.2</v>
      </c>
      <c r="G15" s="29">
        <v>374.54</v>
      </c>
      <c r="H15" s="29">
        <v>371.47</v>
      </c>
      <c r="I15" s="29">
        <v>368.73</v>
      </c>
      <c r="J15" s="29">
        <v>365.88</v>
      </c>
      <c r="K15" s="29">
        <v>362.79</v>
      </c>
      <c r="L15" s="29">
        <v>359.88</v>
      </c>
      <c r="M15" s="29">
        <v>356.98</v>
      </c>
      <c r="N15" s="30">
        <v>353.98</v>
      </c>
      <c r="P15" s="940"/>
      <c r="Q15" s="13" t="s">
        <v>62</v>
      </c>
      <c r="R15" s="518" t="str">
        <f>IF(AND(_A1="B-767-400ER",'2025'!$D$4="FO",'2025'!$D$2=R5),'2025DATA'!$C$12,"")</f>
        <v/>
      </c>
      <c r="S15" s="518" t="str">
        <f>IF(AND(_A1="B-767-400ER",'2025'!$D$4="FO",'2025'!$D$2=S5),'2025DATA'!$D$12,"")</f>
        <v/>
      </c>
      <c r="T15" s="518" t="str">
        <f>IF(AND(_A1="B-767-400ER",'2025'!$D$4="FO",'2025'!$D$2=T5),'2025DATA'!$E$12,"")</f>
        <v/>
      </c>
      <c r="U15" s="518" t="str">
        <f>IF(AND(_A1="B-767-400ER",'2025'!$D$4="FO",'2025'!$D$2=U5),'2025DATA'!$F$12,"")</f>
        <v/>
      </c>
      <c r="V15" s="518" t="str">
        <f>IF(AND(_A1="B-767-400ER",'2025'!$D$4="FO",'2025'!$D$2=V5),'2025DATA'!$G$12,"")</f>
        <v/>
      </c>
      <c r="W15" s="518" t="str">
        <f>IF(AND(_A1="B-767-400ER",'2025'!$D$4="FO",'2025'!$D$2=W5),'2025DATA'!$H$12,"")</f>
        <v/>
      </c>
      <c r="X15" s="518" t="str">
        <f>IF(AND(_A1="B-767-400ER",'2025'!$D$4="FO",'2025'!$D$2=X5),'2025DATA'!$I$12,"")</f>
        <v/>
      </c>
      <c r="Y15" s="518" t="str">
        <f>IF(AND(_A1="B-767-400ER",'2025'!$D$4="FO",'2025'!$D$2=Y5),'2025DATA'!$J$12,"")</f>
        <v/>
      </c>
      <c r="Z15" s="518" t="str">
        <f>IF(AND(_A1="B-767-400ER",'2025'!$D$4="FO",'2025'!$D$2=Z5),'2025DATA'!$K$12,"")</f>
        <v/>
      </c>
      <c r="AA15" s="518" t="str">
        <f>IF(AND(_A1="B-767-400ER",'2025'!$D$4="FO",'2025'!$D$2=AA5),'2025DATA'!$L$12,"")</f>
        <v/>
      </c>
      <c r="AB15" s="518" t="str">
        <f>IF(AND(_A1="B-767-400ER",'2025'!$D$4="FO",'2025'!$D$2=AB5),'2025DATA'!$M$12,"")</f>
        <v/>
      </c>
      <c r="AC15" s="520" t="str">
        <f>IF(AND(_A1="B-767-400ER",'2025'!$D$4="FO",'2025'!$D$2=AC5),'2025DATA'!$N$12,"")</f>
        <v/>
      </c>
      <c r="AD15" s="940"/>
      <c r="AE15" s="13" t="s">
        <v>62</v>
      </c>
      <c r="AF15" s="518" t="str">
        <f>IF(AND(_A2="B-767-400ER",'2025'!$D$4="FO",'2025'!$D$2=AF5),'2025DATA'!$C$12,"")</f>
        <v/>
      </c>
      <c r="AG15" s="518" t="str">
        <f>IF(AND(_A2="B-767-400ER",'2025'!$D$4="FO",'2025'!$D$2=AG5),'2025DATA'!$D$12,"")</f>
        <v/>
      </c>
      <c r="AH15" s="518" t="str">
        <f>IF(AND(_A2="B-767-400ER",'2025'!$D$4="FO",'2025'!$D$2=AH5),'2025DATA'!$E$12,"")</f>
        <v/>
      </c>
      <c r="AI15" s="518" t="str">
        <f>IF(AND(_A2="B-767-400ER",'2025'!$D$4="FO",'2025'!$D$2=AI5),'2025DATA'!$F$12,"")</f>
        <v/>
      </c>
      <c r="AJ15" s="518" t="str">
        <f>IF(AND(_A2="B-767-400ER",'2025'!$D$4="FO",'2025'!$D$2=AJ5),'2025DATA'!$G$12,"")</f>
        <v/>
      </c>
      <c r="AK15" s="518" t="str">
        <f>IF(AND(_A2="B-767-400ER",'2025'!$D$4="FO",'2025'!$D$2=AK5),'2025DATA'!$H$12,"")</f>
        <v/>
      </c>
      <c r="AL15" s="518" t="str">
        <f>IF(AND(_A2="B-767-400ER",'2025'!$D$4="FO",'2025'!$D$2=AL5),'2025DATA'!$I$12,"")</f>
        <v/>
      </c>
      <c r="AM15" s="518" t="str">
        <f>IF(AND(_A2="B-767-400ER",'2025'!$D$4="FO",'2025'!$D$2=AM5),'2025DATA'!$J$12,"")</f>
        <v/>
      </c>
      <c r="AN15" s="518" t="str">
        <f>IF(AND(_A2="B-767-400ER",'2025'!$D$4="FO",'2025'!$D$2=AN5),'2025DATA'!$K$12,"")</f>
        <v/>
      </c>
      <c r="AO15" s="518" t="str">
        <f>IF(AND(_A2="B-767-400ER",'2025'!$D$4="FO",'2025'!$D$2=AO5),'2025DATA'!$L$12,"")</f>
        <v/>
      </c>
      <c r="AP15" s="518" t="str">
        <f>IF(AND(_A2="B-767-400ER",'2025'!$D$4="FO",'2025'!$D$2=AP5),'2025DATA'!$M$12,"")</f>
        <v/>
      </c>
      <c r="AQ15" s="520" t="str">
        <f>IF(AND(_A2="B-767-400ER",'2025'!$D$4="FO",'2025'!$D$2=AQ5),'2025DATA'!$N$12,"")</f>
        <v/>
      </c>
      <c r="AR15" s="940"/>
      <c r="AS15" s="13" t="s">
        <v>62</v>
      </c>
      <c r="AT15" s="518" t="str">
        <f>IF(AND(_A3="B-767-400ER",'2025'!$D$4="FO",'2025'!$D$2=AT5),'2025DATA'!$C$12,"")</f>
        <v/>
      </c>
      <c r="AU15" s="518" t="str">
        <f>IF(AND(_A3="B-767-400ER",'2025'!$D$4="FO",'2025'!$D$2=AU5),'2025DATA'!$D$12,"")</f>
        <v/>
      </c>
      <c r="AV15" s="518" t="str">
        <f>IF(AND(_A3="B-767-400ER",'2025'!$D$4="FO",'2025'!$D$2=AV5),'2025DATA'!$E$12,"")</f>
        <v/>
      </c>
      <c r="AW15" s="518" t="str">
        <f>IF(AND(_A3="B-767-400ER",'2025'!$D$4="FO",'2025'!$D$2=AW5),'2025DATA'!$F$12,"")</f>
        <v/>
      </c>
      <c r="AX15" s="518" t="str">
        <f>IF(AND(_A3="B-767-400ER",'2025'!$D$4="FO",'2025'!$D$2=AX5),'2025DATA'!$G$12,"")</f>
        <v/>
      </c>
      <c r="AY15" s="518" t="str">
        <f>IF(AND(_A3="B-767-400ER",'2025'!$D$4="FO",'2025'!$D$2=AY5),'2025DATA'!$H$12,"")</f>
        <v/>
      </c>
      <c r="AZ15" s="518" t="str">
        <f>IF(AND(_A3="B-767-400ER",'2025'!$D$4="FO",'2025'!$D$2=AZ5),'2025DATA'!$I$12,"")</f>
        <v/>
      </c>
      <c r="BA15" s="518" t="str">
        <f>IF(AND(_A3="B-767-400ER",'2025'!$D$4="FO",'2025'!$D$2=BA5),'2025DATA'!$J$12,"")</f>
        <v/>
      </c>
      <c r="BB15" s="518" t="str">
        <f>IF(AND(_A3="B-767-400ER",'2025'!$D$4="FO",'2025'!$D$2=BB5),'2025DATA'!$K$12,"")</f>
        <v/>
      </c>
      <c r="BC15" s="518" t="str">
        <f>IF(AND(_A3="B-767-400ER",'2025'!$D$4="FO",'2025'!$D$2=BC5),'2025DATA'!$L$12,"")</f>
        <v/>
      </c>
      <c r="BD15" s="518" t="str">
        <f>IF(AND(_A3="B-767-400ER",'2025'!$D$4="FO",'2025'!$D$2=BD5),'2025DATA'!$M$12,"")</f>
        <v/>
      </c>
      <c r="BE15" s="520" t="str">
        <f>IF(AND(_A3="B-767-400ER",'2025'!$D$4="FO",'2025'!$D$2=BE5),'2025DATA'!$N$12,"")</f>
        <v/>
      </c>
      <c r="BF15" s="940"/>
      <c r="BG15" s="13" t="s">
        <v>62</v>
      </c>
      <c r="BH15" s="518" t="str">
        <f>IF(AND(_A4="B-767-400ER",'2025'!$D$4="FO",'2025'!$D$2=BH5),'2025DATA'!$C$12,"")</f>
        <v/>
      </c>
      <c r="BI15" s="518" t="str">
        <f>IF(AND(_A4="B-767-400ER",'2025'!$D$4="FO",'2025'!$D$2=BI5),'2025DATA'!$D$12,"")</f>
        <v/>
      </c>
      <c r="BJ15" s="518" t="str">
        <f>IF(AND(_A4="B-767-400ER",'2025'!$D$4="FO",'2025'!$D$2=BJ5),'2025DATA'!$E$12,"")</f>
        <v/>
      </c>
      <c r="BK15" s="518" t="str">
        <f>IF(AND(_A4="B-767-400ER",'2025'!$D$4="FO",'2025'!$D$2=BK5),'2025DATA'!$F$12,"")</f>
        <v/>
      </c>
      <c r="BL15" s="518" t="str">
        <f>IF(AND(_A4="B-767-400ER",'2025'!$D$4="FO",'2025'!$D$2=BL5),'2025DATA'!$G$12,"")</f>
        <v/>
      </c>
      <c r="BM15" s="518" t="str">
        <f>IF(AND(_A4="B-767-400ER",'2025'!$D$4="FO",'2025'!$D$2=BM5),'2025DATA'!$H$12,"")</f>
        <v/>
      </c>
      <c r="BN15" s="518" t="str">
        <f>IF(AND(_A4="B-767-400ER",'2025'!$D$4="FO",'2025'!$D$2=BN5),'2025DATA'!$I$12,"")</f>
        <v/>
      </c>
      <c r="BO15" s="518" t="str">
        <f>IF(AND(_A4="B-767-400ER",'2025'!$D$4="FO",'2025'!$D$2=BO5),'2025DATA'!$J$12,"")</f>
        <v/>
      </c>
      <c r="BP15" s="518" t="str">
        <f>IF(AND(_A4="B-767-400ER",'2025'!$D$4="FO",'2025'!$D$2=BP5),'2025DATA'!$K$12,"")</f>
        <v/>
      </c>
      <c r="BQ15" s="518" t="str">
        <f>IF(AND(_A4="B-767-400ER",'2025'!$D$4="FO",'2025'!$D$2=BQ5),'2025DATA'!$L$12,"")</f>
        <v/>
      </c>
      <c r="BR15" s="518" t="str">
        <f>IF(AND(_A4="B-767-400ER",'2025'!$D$4="FO",'2025'!$D$2=BR5),'2025DATA'!$M$12,"")</f>
        <v/>
      </c>
      <c r="BS15" s="520" t="str">
        <f>IF(AND(_A4="B-767-400ER",'2025'!$D$4="FO",'2025'!$D$2=BS5),'2025DATA'!$N$12,"")</f>
        <v/>
      </c>
      <c r="BT15" s="940"/>
      <c r="BU15" s="13" t="s">
        <v>62</v>
      </c>
      <c r="BV15" s="518" t="str">
        <f>IF(AND(_A5="B-767-400ER",'2025'!$D$4="FO",'2025'!$D$2=BV5),'2025DATA'!$C$12,"")</f>
        <v/>
      </c>
      <c r="BW15" s="518" t="str">
        <f>IF(AND(_A5="B-767-400ER",'2025'!$D$4="FO",'2025'!$D$2=BW5),'2025DATA'!$D$12,"")</f>
        <v/>
      </c>
      <c r="BX15" s="518" t="str">
        <f>IF(AND(_A5="B-767-400ER",'2025'!$D$4="FO",'2025'!$D$2=BX5),'2025DATA'!$E$12,"")</f>
        <v/>
      </c>
      <c r="BY15" s="518" t="str">
        <f>IF(AND(_A5="B-767-400ER",'2025'!$D$4="FO",'2025'!$D$2=BY5),'2025DATA'!$F$12,"")</f>
        <v/>
      </c>
      <c r="BZ15" s="518" t="str">
        <f>IF(AND(_A5="B-767-400ER",'2025'!$D$4="FO",'2025'!$D$2=BZ5),'2025DATA'!$G$12,"")</f>
        <v/>
      </c>
      <c r="CA15" s="518" t="str">
        <f>IF(AND(_A5="B-767-400ER",'2025'!$D$4="FO",'2025'!$D$2=CA5),'2025DATA'!$H$12,"")</f>
        <v/>
      </c>
      <c r="CB15" s="518" t="str">
        <f>IF(AND(_A5="B-767-400ER",'2025'!$D$4="FO",'2025'!$D$2=CB5),'2025DATA'!$I$12,"")</f>
        <v/>
      </c>
      <c r="CC15" s="518" t="str">
        <f>IF(AND(_A5="B-767-400ER",'2025'!$D$4="FO",'2025'!$D$2=CC5),'2025DATA'!$J$12,"")</f>
        <v/>
      </c>
      <c r="CD15" s="518" t="str">
        <f>IF(AND(_A5="B-767-400ER",'2025'!$D$4="FO",'2025'!$D$2=CD5),'2025DATA'!$K$12,"")</f>
        <v/>
      </c>
      <c r="CE15" s="518" t="str">
        <f>IF(AND(_A5="B-767-400ER",'2025'!$D$4="FO",'2025'!$D$2=CE5),'2025DATA'!$L$12,"")</f>
        <v/>
      </c>
      <c r="CF15" s="518" t="str">
        <f>IF(AND(_A5="B-767-400ER",'2025'!$D$4="FO",'2025'!$D$2=CF5),'2025DATA'!$M$12,"")</f>
        <v/>
      </c>
      <c r="CG15" s="520" t="str">
        <f>IF(AND(_A5="B-767-400ER",'2025'!$D$4="FO",'2025'!$D$2=CG5),'2025DATA'!$N$12,"")</f>
        <v/>
      </c>
      <c r="CH15" s="940"/>
      <c r="CI15" s="13" t="s">
        <v>62</v>
      </c>
      <c r="CJ15" s="518" t="str">
        <f>IF(AND(_A6="B-767-400ER",'2025'!$D$4="FO",'2025'!$D$2=CJ5),'2025DATA'!$C$12,"")</f>
        <v/>
      </c>
      <c r="CK15" s="518" t="str">
        <f>IF(AND(_A6="B-767-400ER",'2025'!$D$4="FO",'2025'!$D$2=CK5),'2025DATA'!$D$12,"")</f>
        <v/>
      </c>
      <c r="CL15" s="518" t="str">
        <f>IF(AND(_A6="B-767-400ER",'2025'!$D$4="FO",'2025'!$D$2=CL5),'2025DATA'!$E$12,"")</f>
        <v/>
      </c>
      <c r="CM15" s="518" t="str">
        <f>IF(AND(_A6="B-767-400ER",'2025'!$D$4="FO",'2025'!$D$2=CM5),'2025DATA'!$F$12,"")</f>
        <v/>
      </c>
      <c r="CN15" s="518" t="str">
        <f>IF(AND(_A6="B-767-400ER",'2025'!$D$4="FO",'2025'!$D$2=CN5),'2025DATA'!$G$12,"")</f>
        <v/>
      </c>
      <c r="CO15" s="518" t="str">
        <f>IF(AND(_A6="B-767-400ER",'2025'!$D$4="FO",'2025'!$D$2=CO5),'2025DATA'!$H$12,"")</f>
        <v/>
      </c>
      <c r="CP15" s="518" t="str">
        <f>IF(AND(_A6="B-767-400ER",'2025'!$D$4="FO",'2025'!$D$2=CP5),'2025DATA'!$I$12,"")</f>
        <v/>
      </c>
      <c r="CQ15" s="518" t="str">
        <f>IF(AND(_A6="B-767-400ER",'2025'!$D$4="FO",'2025'!$D$2=CQ5),'2025DATA'!$J$12,"")</f>
        <v/>
      </c>
      <c r="CR15" s="518" t="str">
        <f>IF(AND(_A6="B-767-400ER",'2025'!$D$4="FO",'2025'!$D$2=CR5),'2025DATA'!$K$12,"")</f>
        <v/>
      </c>
      <c r="CS15" s="518" t="str">
        <f>IF(AND(_A6="B-767-400ER",'2025'!$D$4="FO",'2025'!$D$2=CS5),'2025DATA'!$L$12,"")</f>
        <v/>
      </c>
      <c r="CT15" s="518" t="str">
        <f>IF(AND(_A6="B-767-400ER",'2025'!$D$4="FO",'2025'!$D$2=CT5),'2025DATA'!$M$12,"")</f>
        <v/>
      </c>
      <c r="CU15" s="520" t="str">
        <f>IF(AND(_A6="B-767-400ER",'2025'!$D$4="FO",'2025'!$D$2=CU5),'2025DATA'!$N$12,"")</f>
        <v/>
      </c>
    </row>
    <row r="16" spans="1:99" x14ac:dyDescent="0.25">
      <c r="A16" s="987"/>
      <c r="B16" s="64" t="s">
        <v>62</v>
      </c>
      <c r="C16" s="28">
        <v>265.92</v>
      </c>
      <c r="D16" s="29">
        <v>262.82</v>
      </c>
      <c r="E16" s="29">
        <v>259.63</v>
      </c>
      <c r="F16" s="29">
        <v>255.39</v>
      </c>
      <c r="G16" s="29">
        <v>252.83</v>
      </c>
      <c r="H16" s="29">
        <v>247.03</v>
      </c>
      <c r="I16" s="29">
        <v>240.4</v>
      </c>
      <c r="J16" s="29">
        <v>234.54</v>
      </c>
      <c r="K16" s="29">
        <v>228.93</v>
      </c>
      <c r="L16" s="29">
        <v>223.49</v>
      </c>
      <c r="M16" s="29">
        <v>190.98</v>
      </c>
      <c r="N16" s="30">
        <v>120.69</v>
      </c>
      <c r="P16" s="940" t="s">
        <v>43</v>
      </c>
      <c r="Q16" s="13" t="s">
        <v>61</v>
      </c>
      <c r="R16" s="518" t="str">
        <f>IF(AND(_A1="B-767-300ER",'2025'!$D$4="CA",'2025'!$D$2=R5),'2025DATA'!$C$13,"")</f>
        <v/>
      </c>
      <c r="S16" s="518" t="str">
        <f>IF(AND(_A1="B-767-300ER",'2025'!$D$4="CA",'2025'!$D$2=S5),'2025DATA'!$D$13,"")</f>
        <v/>
      </c>
      <c r="T16" s="518" t="str">
        <f>IF(AND(_A1="B-767-300ER",'2025'!$D$4="CA",'2025'!$D$2=T5),'2025DATA'!$E$13,"")</f>
        <v/>
      </c>
      <c r="U16" s="518" t="str">
        <f>IF(AND(_A1="B-767-300ER",'2025'!$D$4="CA",'2025'!$D$2=U5),'2025DATA'!$F$13,"")</f>
        <v/>
      </c>
      <c r="V16" s="518" t="str">
        <f>IF(AND(_A1="B-767-300ER",'2025'!$D$4="CA",'2025'!$D$2=V5),'2025DATA'!$G$13,"")</f>
        <v/>
      </c>
      <c r="W16" s="518" t="str">
        <f>IF(AND(_A1="B-767-300ER",'2025'!$D$4="CA",'2025'!$D$2=W5),'2025DATA'!$H$13,"")</f>
        <v/>
      </c>
      <c r="X16" s="518" t="str">
        <f>IF(AND(_A1="B-767-300ER",'2025'!$D$4="CA",'2025'!$D$2=X5),'2025DATA'!$I$13,"")</f>
        <v/>
      </c>
      <c r="Y16" s="518" t="str">
        <f>IF(AND(_A1="B-767-300ER",'2025'!$D$4="CA",'2025'!$D$2=Y5),'2025DATA'!$J$13,"")</f>
        <v/>
      </c>
      <c r="Z16" s="518" t="str">
        <f>IF(AND(_A1="B-767-300ER",'2025'!$D$4="CA",'2025'!$D$2=Z5),'2025DATA'!$K$13,"")</f>
        <v/>
      </c>
      <c r="AA16" s="518" t="str">
        <f>IF(AND(_A1="B-767-300ER",'2025'!$D$4="CA",'2025'!$D$2=AA5),'2025DATA'!$L$13,"")</f>
        <v/>
      </c>
      <c r="AB16" s="518" t="str">
        <f>IF(AND(_A1="B-767-300ER",'2025'!$D$4="CA",'2025'!$D$2=AB5),'2025DATA'!$M$13,"")</f>
        <v/>
      </c>
      <c r="AC16" s="520" t="str">
        <f>IF(AND(_A1="B-767-300ER",'2025'!$D$4="CA",'2025'!$D$2=AC5),'2025DATA'!$N$13,"")</f>
        <v/>
      </c>
      <c r="AD16" s="940" t="s">
        <v>43</v>
      </c>
      <c r="AE16" s="13" t="s">
        <v>61</v>
      </c>
      <c r="AF16" s="518" t="str">
        <f>IF(AND(_A2="B-767-300ER",'2025'!$D$4="CA",'2025'!$D$2=AF5),'2025DATA'!$C$13,"")</f>
        <v/>
      </c>
      <c r="AG16" s="518" t="str">
        <f>IF(AND(_A2="B-767-300ER",'2025'!$D$4="CA",'2025'!$D$2=AG5),'2025DATA'!$D$13,"")</f>
        <v/>
      </c>
      <c r="AH16" s="518" t="str">
        <f>IF(AND(_A2="B-767-300ER",'2025'!$D$4="CA",'2025'!$D$2=AH5),'2025DATA'!$E$13,"")</f>
        <v/>
      </c>
      <c r="AI16" s="518" t="str">
        <f>IF(AND(_A2="B-767-300ER",'2025'!$D$4="CA",'2025'!$D$2=AI5),'2025DATA'!$F$13,"")</f>
        <v/>
      </c>
      <c r="AJ16" s="518" t="str">
        <f>IF(AND(_A2="B-767-300ER",'2025'!$D$4="CA",'2025'!$D$2=AJ5),'2025DATA'!$G$13,"")</f>
        <v/>
      </c>
      <c r="AK16" s="518" t="str">
        <f>IF(AND(_A2="B-767-300ER",'2025'!$D$4="CA",'2025'!$D$2=AK5),'2025DATA'!$H$13,"")</f>
        <v/>
      </c>
      <c r="AL16" s="518" t="str">
        <f>IF(AND(_A2="B-767-300ER",'2025'!$D$4="CA",'2025'!$D$2=AL5),'2025DATA'!$I$13,"")</f>
        <v/>
      </c>
      <c r="AM16" s="518" t="str">
        <f>IF(AND(_A2="B-767-300ER",'2025'!$D$4="CA",'2025'!$D$2=AM5),'2025DATA'!$J$13,"")</f>
        <v/>
      </c>
      <c r="AN16" s="518" t="str">
        <f>IF(AND(_A2="B-767-300ER",'2025'!$D$4="CA",'2025'!$D$2=AN5),'2025DATA'!$K$13,"")</f>
        <v/>
      </c>
      <c r="AO16" s="518" t="str">
        <f>IF(AND(_A2="B-767-300ER",'2025'!$D$4="CA",'2025'!$D$2=AO5),'2025DATA'!$L$13,"")</f>
        <v/>
      </c>
      <c r="AP16" s="518" t="str">
        <f>IF(AND(_A2="B-767-300ER",'2025'!$D$4="CA",'2025'!$D$2=AP5),'2025DATA'!$M$13,"")</f>
        <v/>
      </c>
      <c r="AQ16" s="520" t="str">
        <f>IF(AND(_A2="B-767-300ER",'2025'!$D$4="CA",'2025'!$D$2=AQ5),'2025DATA'!$N$13,"")</f>
        <v/>
      </c>
      <c r="AR16" s="940" t="s">
        <v>43</v>
      </c>
      <c r="AS16" s="13" t="s">
        <v>61</v>
      </c>
      <c r="AT16" s="518" t="str">
        <f>IF(AND(_A3="B-767-300ER",'2025'!$D$4="CA",'2025'!$D$2=AT5),'2025DATA'!$C$13,"")</f>
        <v/>
      </c>
      <c r="AU16" s="518" t="str">
        <f>IF(AND(_A3="B-767-300ER",'2025'!$D$4="CA",'2025'!$D$2=AU5),'2025DATA'!$D$13,"")</f>
        <v/>
      </c>
      <c r="AV16" s="518" t="str">
        <f>IF(AND(_A3="B-767-300ER",'2025'!$D$4="CA",'2025'!$D$2=AV5),'2025DATA'!$E$13,"")</f>
        <v/>
      </c>
      <c r="AW16" s="518" t="str">
        <f>IF(AND(_A3="B-767-300ER",'2025'!$D$4="CA",'2025'!$D$2=AW5),'2025DATA'!$F$13,"")</f>
        <v/>
      </c>
      <c r="AX16" s="518" t="str">
        <f>IF(AND(_A3="B-767-300ER",'2025'!$D$4="CA",'2025'!$D$2=AX5),'2025DATA'!$G$13,"")</f>
        <v/>
      </c>
      <c r="AY16" s="518" t="str">
        <f>IF(AND(_A3="B-767-300ER",'2025'!$D$4="CA",'2025'!$D$2=AY5),'2025DATA'!$H$13,"")</f>
        <v/>
      </c>
      <c r="AZ16" s="518" t="str">
        <f>IF(AND(_A3="B-767-300ER",'2025'!$D$4="CA",'2025'!$D$2=AZ5),'2025DATA'!$I$13,"")</f>
        <v/>
      </c>
      <c r="BA16" s="518" t="str">
        <f>IF(AND(_A3="B-767-300ER",'2025'!$D$4="CA",'2025'!$D$2=BA5),'2025DATA'!$J$13,"")</f>
        <v/>
      </c>
      <c r="BB16" s="518" t="str">
        <f>IF(AND(_A3="B-767-300ER",'2025'!$D$4="CA",'2025'!$D$2=BB5),'2025DATA'!$K$13,"")</f>
        <v/>
      </c>
      <c r="BC16" s="518" t="str">
        <f>IF(AND(_A3="B-767-300ER",'2025'!$D$4="CA",'2025'!$D$2=BC5),'2025DATA'!$L$13,"")</f>
        <v/>
      </c>
      <c r="BD16" s="518" t="str">
        <f>IF(AND(_A3="B-767-300ER",'2025'!$D$4="CA",'2025'!$D$2=BD5),'2025DATA'!$M$13,"")</f>
        <v/>
      </c>
      <c r="BE16" s="520" t="str">
        <f>IF(AND(_A3="B-767-300ER",'2025'!$D$4="CA",'2025'!$D$2=BE5),'2025DATA'!$N$13,"")</f>
        <v/>
      </c>
      <c r="BF16" s="940" t="s">
        <v>43</v>
      </c>
      <c r="BG16" s="13" t="s">
        <v>61</v>
      </c>
      <c r="BH16" s="518" t="str">
        <f>IF(AND(_A4="B-767-300ER",'2025'!$D$4="CA",'2025'!$D$2=BH5),'2025DATA'!$C$13,"")</f>
        <v/>
      </c>
      <c r="BI16" s="518" t="str">
        <f>IF(AND(_A4="B-767-300ER",'2025'!$D$4="CA",'2025'!$D$2=BI5),'2025DATA'!$D$13,"")</f>
        <v/>
      </c>
      <c r="BJ16" s="518" t="str">
        <f>IF(AND(_A4="B-767-300ER",'2025'!$D$4="CA",'2025'!$D$2=BJ5),'2025DATA'!$E$13,"")</f>
        <v/>
      </c>
      <c r="BK16" s="518" t="str">
        <f>IF(AND(_A4="B-767-300ER",'2025'!$D$4="CA",'2025'!$D$2=BK5),'2025DATA'!$F$13,"")</f>
        <v/>
      </c>
      <c r="BL16" s="518" t="str">
        <f>IF(AND(_A4="B-767-300ER",'2025'!$D$4="CA",'2025'!$D$2=BL5),'2025DATA'!$G$13,"")</f>
        <v/>
      </c>
      <c r="BM16" s="518" t="str">
        <f>IF(AND(_A4="B-767-300ER",'2025'!$D$4="CA",'2025'!$D$2=BM5),'2025DATA'!$H$13,"")</f>
        <v/>
      </c>
      <c r="BN16" s="518" t="str">
        <f>IF(AND(_A4="B-767-300ER",'2025'!$D$4="CA",'2025'!$D$2=BN5),'2025DATA'!$I$13,"")</f>
        <v/>
      </c>
      <c r="BO16" s="518" t="str">
        <f>IF(AND(_A4="B-767-300ER",'2025'!$D$4="CA",'2025'!$D$2=BO5),'2025DATA'!$J$13,"")</f>
        <v/>
      </c>
      <c r="BP16" s="518" t="str">
        <f>IF(AND(_A4="B-767-300ER",'2025'!$D$4="CA",'2025'!$D$2=BP5),'2025DATA'!$K$13,"")</f>
        <v/>
      </c>
      <c r="BQ16" s="518" t="str">
        <f>IF(AND(_A4="B-767-300ER",'2025'!$D$4="CA",'2025'!$D$2=BQ5),'2025DATA'!$L$13,"")</f>
        <v/>
      </c>
      <c r="BR16" s="518" t="str">
        <f>IF(AND(_A4="B-767-300ER",'2025'!$D$4="CA",'2025'!$D$2=BR5),'2025DATA'!$M$13,"")</f>
        <v/>
      </c>
      <c r="BS16" s="520" t="str">
        <f>IF(AND(_A4="B-767-300ER",'2025'!$D$4="CA",'2025'!$D$2=BS5),'2025DATA'!$N$13,"")</f>
        <v/>
      </c>
      <c r="BT16" s="940" t="s">
        <v>43</v>
      </c>
      <c r="BU16" s="13" t="s">
        <v>61</v>
      </c>
      <c r="BV16" s="518" t="str">
        <f>IF(AND(_A5="B-767-300ER",'2025'!$D$4="CA",'2025'!$D$2=BV5),'2025DATA'!$C$13,"")</f>
        <v/>
      </c>
      <c r="BW16" s="518" t="str">
        <f>IF(AND(_A5="B-767-300ER",'2025'!$D$4="CA",'2025'!$D$2=BW5),'2025DATA'!$D$13,"")</f>
        <v/>
      </c>
      <c r="BX16" s="518" t="str">
        <f>IF(AND(_A5="B-767-300ER",'2025'!$D$4="CA",'2025'!$D$2=BX5),'2025DATA'!$E$13,"")</f>
        <v/>
      </c>
      <c r="BY16" s="518" t="str">
        <f>IF(AND(_A5="B-767-300ER",'2025'!$D$4="CA",'2025'!$D$2=BY5),'2025DATA'!$F$13,"")</f>
        <v/>
      </c>
      <c r="BZ16" s="518" t="str">
        <f>IF(AND(_A5="B-767-300ER",'2025'!$D$4="CA",'2025'!$D$2=BZ5),'2025DATA'!$G$13,"")</f>
        <v/>
      </c>
      <c r="CA16" s="518" t="str">
        <f>IF(AND(_A5="B-767-300ER",'2025'!$D$4="CA",'2025'!$D$2=CA5),'2025DATA'!$H$13,"")</f>
        <v/>
      </c>
      <c r="CB16" s="518" t="str">
        <f>IF(AND(_A5="B-767-300ER",'2025'!$D$4="CA",'2025'!$D$2=CB5),'2025DATA'!$I$13,"")</f>
        <v/>
      </c>
      <c r="CC16" s="518" t="str">
        <f>IF(AND(_A5="B-767-300ER",'2025'!$D$4="CA",'2025'!$D$2=CC5),'2025DATA'!$J$13,"")</f>
        <v/>
      </c>
      <c r="CD16" s="518" t="str">
        <f>IF(AND(_A5="B-767-300ER",'2025'!$D$4="CA",'2025'!$D$2=CD5),'2025DATA'!$K$13,"")</f>
        <v/>
      </c>
      <c r="CE16" s="518" t="str">
        <f>IF(AND(_A5="B-767-300ER",'2025'!$D$4="CA",'2025'!$D$2=CE5),'2025DATA'!$L$13,"")</f>
        <v/>
      </c>
      <c r="CF16" s="518" t="str">
        <f>IF(AND(_A5="B-767-300ER",'2025'!$D$4="CA",'2025'!$D$2=CF5),'2025DATA'!$M$13,"")</f>
        <v/>
      </c>
      <c r="CG16" s="520" t="str">
        <f>IF(AND(_A5="B-767-300ER",'2025'!$D$4="CA",'2025'!$D$2=CG5),'2025DATA'!$N$13,"")</f>
        <v/>
      </c>
      <c r="CH16" s="940" t="s">
        <v>43</v>
      </c>
      <c r="CI16" s="13" t="s">
        <v>61</v>
      </c>
      <c r="CJ16" s="518" t="str">
        <f>IF(AND(_A6="B-767-300ER",'2025'!$D$4="CA",'2025'!$D$2=CJ5),'2025DATA'!$C$13,"")</f>
        <v/>
      </c>
      <c r="CK16" s="518" t="str">
        <f>IF(AND(_A6="B-767-300ER",'2025'!$D$4="CA",'2025'!$D$2=CK5),'2025DATA'!$D$13,"")</f>
        <v/>
      </c>
      <c r="CL16" s="518" t="str">
        <f>IF(AND(_A6="B-767-300ER",'2025'!$D$4="CA",'2025'!$D$2=CL5),'2025DATA'!$E$13,"")</f>
        <v/>
      </c>
      <c r="CM16" s="518" t="str">
        <f>IF(AND(_A6="B-767-300ER",'2025'!$D$4="CA",'2025'!$D$2=CM5),'2025DATA'!$F$13,"")</f>
        <v/>
      </c>
      <c r="CN16" s="518" t="str">
        <f>IF(AND(_A6="B-767-300ER",'2025'!$D$4="CA",'2025'!$D$2=CN5),'2025DATA'!$G$13,"")</f>
        <v/>
      </c>
      <c r="CO16" s="518" t="str">
        <f>IF(AND(_A6="B-767-300ER",'2025'!$D$4="CA",'2025'!$D$2=CO5),'2025DATA'!$H$13,"")</f>
        <v/>
      </c>
      <c r="CP16" s="518" t="str">
        <f>IF(AND(_A6="B-767-300ER",'2025'!$D$4="CA",'2025'!$D$2=CP5),'2025DATA'!$I$13,"")</f>
        <v/>
      </c>
      <c r="CQ16" s="518" t="str">
        <f>IF(AND(_A6="B-767-300ER",'2025'!$D$4="CA",'2025'!$D$2=CQ5),'2025DATA'!$J$13,"")</f>
        <v/>
      </c>
      <c r="CR16" s="518" t="str">
        <f>IF(AND(_A6="B-767-300ER",'2025'!$D$4="CA",'2025'!$D$2=CR5),'2025DATA'!$K$13,"")</f>
        <v/>
      </c>
      <c r="CS16" s="518" t="str">
        <f>IF(AND(_A6="B-767-300ER",'2025'!$D$4="CA",'2025'!$D$2=CS5),'2025DATA'!$L$13,"")</f>
        <v/>
      </c>
      <c r="CT16" s="518" t="str">
        <f>IF(AND(_A6="B-767-300ER",'2025'!$D$4="CA",'2025'!$D$2=CT5),'2025DATA'!$M$13,"")</f>
        <v/>
      </c>
      <c r="CU16" s="520" t="str">
        <f>IF(AND(_A6="B-767-300ER",'2025'!$D$4="CA",'2025'!$D$2=CU5),'2025DATA'!$N$13,"")</f>
        <v/>
      </c>
    </row>
    <row r="17" spans="1:99" x14ac:dyDescent="0.25">
      <c r="A17" s="987" t="s">
        <v>68</v>
      </c>
      <c r="B17" s="64" t="s">
        <v>61</v>
      </c>
      <c r="C17" s="28">
        <v>389.34</v>
      </c>
      <c r="D17" s="29">
        <v>385.36</v>
      </c>
      <c r="E17" s="29">
        <v>381.25</v>
      </c>
      <c r="F17" s="29">
        <v>377.2</v>
      </c>
      <c r="G17" s="29">
        <v>374.54</v>
      </c>
      <c r="H17" s="29">
        <v>371.47</v>
      </c>
      <c r="I17" s="29">
        <v>368.73</v>
      </c>
      <c r="J17" s="29">
        <v>365.88</v>
      </c>
      <c r="K17" s="29">
        <v>362.79</v>
      </c>
      <c r="L17" s="29">
        <v>359.88</v>
      </c>
      <c r="M17" s="29">
        <v>356.98</v>
      </c>
      <c r="N17" s="30">
        <v>353.98</v>
      </c>
      <c r="P17" s="940"/>
      <c r="Q17" s="13" t="s">
        <v>62</v>
      </c>
      <c r="R17" s="518" t="str">
        <f>IF(AND(_A1="B-767-300ER",'2025'!$D$4="FO",'2025'!$D$2=R5),'2025DATA'!$C$14,"")</f>
        <v/>
      </c>
      <c r="S17" s="518" t="str">
        <f>IF(AND(_A1="B-767-300ER",'2025'!$D$4="FO",'2025'!$D$2=S5),'2025DATA'!$D$14,"")</f>
        <v/>
      </c>
      <c r="T17" s="518" t="str">
        <f>IF(AND(_A1="B-767-300ER",'2025'!$D$4="FO",'2025'!$D$2=T5),'2025DATA'!$E$14,"")</f>
        <v/>
      </c>
      <c r="U17" s="518" t="str">
        <f>IF(AND(_A1="B-767-300ER",'2025'!$D$4="FO",'2025'!$D$2=U5),'2025DATA'!$F$14,"")</f>
        <v/>
      </c>
      <c r="V17" s="518" t="str">
        <f>IF(AND(_A1="B-767-300ER",'2025'!$D$4="FO",'2025'!$D$2=V5),'2025DATA'!$G$14,"")</f>
        <v/>
      </c>
      <c r="W17" s="518" t="str">
        <f>IF(AND(_A1="B-767-300ER",'2025'!$D$4="FO",'2025'!$D$2=W5),'2025DATA'!$H$14,"")</f>
        <v/>
      </c>
      <c r="X17" s="518" t="str">
        <f>IF(AND(_A1="B-767-300ER",'2025'!$D$4="FO",'2025'!$D$2=X5),'2025DATA'!$I$14,"")</f>
        <v/>
      </c>
      <c r="Y17" s="518" t="str">
        <f>IF(AND(_A1="B-767-300ER",'2025'!$D$4="FO",'2025'!$D$2=Y5),'2025DATA'!$J$14,"")</f>
        <v/>
      </c>
      <c r="Z17" s="518" t="str">
        <f>IF(AND(_A1="B-767-300ER",'2025'!$D$4="FO",'2025'!$D$2=Z5),'2025DATA'!$K$14,"")</f>
        <v/>
      </c>
      <c r="AA17" s="518" t="str">
        <f>IF(AND(_A1="B-767-300ER",'2025'!$D$4="FO",'2025'!$D$2=AA5),'2025DATA'!$L$14,"")</f>
        <v/>
      </c>
      <c r="AB17" s="518" t="str">
        <f>IF(AND(_A1="B-767-300ER",'2025'!$D$4="FO",'2025'!$D$2=AB5),'2025DATA'!$M$14,"")</f>
        <v/>
      </c>
      <c r="AC17" s="520" t="str">
        <f>IF(AND(_A1="B-767-300ER",'2025'!$D$4="FO",'2025'!$D$2=AC5),'2025DATA'!$N$14,"")</f>
        <v/>
      </c>
      <c r="AD17" s="940"/>
      <c r="AE17" s="13" t="s">
        <v>62</v>
      </c>
      <c r="AF17" s="518" t="str">
        <f>IF(AND(_A2="B-767-300ER",'2025'!$D$4="FO",'2025'!$D$2=AF5),'2025DATA'!$C$14,"")</f>
        <v/>
      </c>
      <c r="AG17" s="518" t="str">
        <f>IF(AND(_A2="B-767-300ER",'2025'!$D$4="FO",'2025'!$D$2=AG5),'2025DATA'!$D$14,"")</f>
        <v/>
      </c>
      <c r="AH17" s="518" t="str">
        <f>IF(AND(_A2="B-767-300ER",'2025'!$D$4="FO",'2025'!$D$2=AH5),'2025DATA'!$E$14,"")</f>
        <v/>
      </c>
      <c r="AI17" s="518" t="str">
        <f>IF(AND(_A2="B-767-300ER",'2025'!$D$4="FO",'2025'!$D$2=AI5),'2025DATA'!$F$14,"")</f>
        <v/>
      </c>
      <c r="AJ17" s="518" t="str">
        <f>IF(AND(_A2="B-767-300ER",'2025'!$D$4="FO",'2025'!$D$2=AJ5),'2025DATA'!$G$14,"")</f>
        <v/>
      </c>
      <c r="AK17" s="518" t="str">
        <f>IF(AND(_A2="B-767-300ER",'2025'!$D$4="FO",'2025'!$D$2=AK5),'2025DATA'!$H$14,"")</f>
        <v/>
      </c>
      <c r="AL17" s="518" t="str">
        <f>IF(AND(_A2="B-767-300ER",'2025'!$D$4="FO",'2025'!$D$2=AL5),'2025DATA'!$I$14,"")</f>
        <v/>
      </c>
      <c r="AM17" s="518" t="str">
        <f>IF(AND(_A2="B-767-300ER",'2025'!$D$4="FO",'2025'!$D$2=AM5),'2025DATA'!$J$14,"")</f>
        <v/>
      </c>
      <c r="AN17" s="518" t="str">
        <f>IF(AND(_A2="B-767-300ER",'2025'!$D$4="FO",'2025'!$D$2=AN5),'2025DATA'!$K$14,"")</f>
        <v/>
      </c>
      <c r="AO17" s="518" t="str">
        <f>IF(AND(_A2="B-767-300ER",'2025'!$D$4="FO",'2025'!$D$2=AO5),'2025DATA'!$L$14,"")</f>
        <v/>
      </c>
      <c r="AP17" s="518" t="str">
        <f>IF(AND(_A2="B-767-300ER",'2025'!$D$4="FO",'2025'!$D$2=AP5),'2025DATA'!$M$14,"")</f>
        <v/>
      </c>
      <c r="AQ17" s="520" t="str">
        <f>IF(AND(_A2="B-767-300ER",'2025'!$D$4="FO",'2025'!$D$2=AQ5),'2025DATA'!$N$14,"")</f>
        <v/>
      </c>
      <c r="AR17" s="940"/>
      <c r="AS17" s="13" t="s">
        <v>62</v>
      </c>
      <c r="AT17" s="518" t="str">
        <f>IF(AND(_A3="B-767-300ER",'2025'!$D$4="FO",'2025'!$D$2=AT5),'2025DATA'!$C$14,"")</f>
        <v/>
      </c>
      <c r="AU17" s="518" t="str">
        <f>IF(AND(_A3="B-767-300ER",'2025'!$D$4="FO",'2025'!$D$2=AU5),'2025DATA'!$D$14,"")</f>
        <v/>
      </c>
      <c r="AV17" s="518" t="str">
        <f>IF(AND(_A3="B-767-300ER",'2025'!$D$4="FO",'2025'!$D$2=AV5),'2025DATA'!$E$14,"")</f>
        <v/>
      </c>
      <c r="AW17" s="518" t="str">
        <f>IF(AND(_A3="B-767-300ER",'2025'!$D$4="FO",'2025'!$D$2=AW5),'2025DATA'!$F$14,"")</f>
        <v/>
      </c>
      <c r="AX17" s="518" t="str">
        <f>IF(AND(_A3="B-767-300ER",'2025'!$D$4="FO",'2025'!$D$2=AX5),'2025DATA'!$G$14,"")</f>
        <v/>
      </c>
      <c r="AY17" s="518" t="str">
        <f>IF(AND(_A3="B-767-300ER",'2025'!$D$4="FO",'2025'!$D$2=AY5),'2025DATA'!$H$14,"")</f>
        <v/>
      </c>
      <c r="AZ17" s="518" t="str">
        <f>IF(AND(_A3="B-767-300ER",'2025'!$D$4="FO",'2025'!$D$2=AZ5),'2025DATA'!$I$14,"")</f>
        <v/>
      </c>
      <c r="BA17" s="518" t="str">
        <f>IF(AND(_A3="B-767-300ER",'2025'!$D$4="FO",'2025'!$D$2=BA5),'2025DATA'!$J$14,"")</f>
        <v/>
      </c>
      <c r="BB17" s="518" t="str">
        <f>IF(AND(_A3="B-767-300ER",'2025'!$D$4="FO",'2025'!$D$2=BB5),'2025DATA'!$K$14,"")</f>
        <v/>
      </c>
      <c r="BC17" s="518" t="str">
        <f>IF(AND(_A3="B-767-300ER",'2025'!$D$4="FO",'2025'!$D$2=BC5),'2025DATA'!$L$14,"")</f>
        <v/>
      </c>
      <c r="BD17" s="518" t="str">
        <f>IF(AND(_A3="B-767-300ER",'2025'!$D$4="FO",'2025'!$D$2=BD5),'2025DATA'!$M$14,"")</f>
        <v/>
      </c>
      <c r="BE17" s="520" t="str">
        <f>IF(AND(_A3="B-767-300ER",'2025'!$D$4="FO",'2025'!$D$2=BE5),'2025DATA'!$N$14,"")</f>
        <v/>
      </c>
      <c r="BF17" s="940"/>
      <c r="BG17" s="13" t="s">
        <v>62</v>
      </c>
      <c r="BH17" s="518" t="str">
        <f>IF(AND(_A4="B-767-300ER",'2025'!$D$4="FO",'2025'!$D$2=BH5),'2025DATA'!$C$14,"")</f>
        <v/>
      </c>
      <c r="BI17" s="518" t="str">
        <f>IF(AND(_A4="B-767-300ER",'2025'!$D$4="FO",'2025'!$D$2=BI5),'2025DATA'!$D$14,"")</f>
        <v/>
      </c>
      <c r="BJ17" s="518" t="str">
        <f>IF(AND(_A4="B-767-300ER",'2025'!$D$4="FO",'2025'!$D$2=BJ5),'2025DATA'!$E$14,"")</f>
        <v/>
      </c>
      <c r="BK17" s="518" t="str">
        <f>IF(AND(_A4="B-767-300ER",'2025'!$D$4="FO",'2025'!$D$2=BK5),'2025DATA'!$F$14,"")</f>
        <v/>
      </c>
      <c r="BL17" s="518" t="str">
        <f>IF(AND(_A4="B-767-300ER",'2025'!$D$4="FO",'2025'!$D$2=BL5),'2025DATA'!$G$14,"")</f>
        <v/>
      </c>
      <c r="BM17" s="518" t="str">
        <f>IF(AND(_A4="B-767-300ER",'2025'!$D$4="FO",'2025'!$D$2=BM5),'2025DATA'!$H$14,"")</f>
        <v/>
      </c>
      <c r="BN17" s="518" t="str">
        <f>IF(AND(_A4="B-767-300ER",'2025'!$D$4="FO",'2025'!$D$2=BN5),'2025DATA'!$I$14,"")</f>
        <v/>
      </c>
      <c r="BO17" s="518" t="str">
        <f>IF(AND(_A4="B-767-300ER",'2025'!$D$4="FO",'2025'!$D$2=BO5),'2025DATA'!$J$14,"")</f>
        <v/>
      </c>
      <c r="BP17" s="518" t="str">
        <f>IF(AND(_A4="B-767-300ER",'2025'!$D$4="FO",'2025'!$D$2=BP5),'2025DATA'!$K$14,"")</f>
        <v/>
      </c>
      <c r="BQ17" s="518" t="str">
        <f>IF(AND(_A4="B-767-300ER",'2025'!$D$4="FO",'2025'!$D$2=BQ5),'2025DATA'!$L$14,"")</f>
        <v/>
      </c>
      <c r="BR17" s="518" t="str">
        <f>IF(AND(_A4="B-767-300ER",'2025'!$D$4="FO",'2025'!$D$2=BR5),'2025DATA'!$M$14,"")</f>
        <v/>
      </c>
      <c r="BS17" s="520" t="str">
        <f>IF(AND(_A4="B-767-300ER",'2025'!$D$4="FO",'2025'!$D$2=BS5),'2025DATA'!$N$14,"")</f>
        <v/>
      </c>
      <c r="BT17" s="940"/>
      <c r="BU17" s="13" t="s">
        <v>62</v>
      </c>
      <c r="BV17" s="518" t="str">
        <f>IF(AND(_A5="B-767-300ER",'2025'!$D$4="FO",'2025'!$D$2=BV5),'2025DATA'!$C$14,"")</f>
        <v/>
      </c>
      <c r="BW17" s="518" t="str">
        <f>IF(AND(_A5="B-767-300ER",'2025'!$D$4="FO",'2025'!$D$2=BW5),'2025DATA'!$D$14,"")</f>
        <v/>
      </c>
      <c r="BX17" s="518" t="str">
        <f>IF(AND(_A5="B-767-300ER",'2025'!$D$4="FO",'2025'!$D$2=BX5),'2025DATA'!$E$14,"")</f>
        <v/>
      </c>
      <c r="BY17" s="518" t="str">
        <f>IF(AND(_A5="B-767-300ER",'2025'!$D$4="FO",'2025'!$D$2=BY5),'2025DATA'!$F$14,"")</f>
        <v/>
      </c>
      <c r="BZ17" s="518" t="str">
        <f>IF(AND(_A5="B-767-300ER",'2025'!$D$4="FO",'2025'!$D$2=BZ5),'2025DATA'!$G$14,"")</f>
        <v/>
      </c>
      <c r="CA17" s="518" t="str">
        <f>IF(AND(_A5="B-767-300ER",'2025'!$D$4="FO",'2025'!$D$2=CA5),'2025DATA'!$H$14,"")</f>
        <v/>
      </c>
      <c r="CB17" s="518" t="str">
        <f>IF(AND(_A5="B-767-300ER",'2025'!$D$4="FO",'2025'!$D$2=CB5),'2025DATA'!$I$14,"")</f>
        <v/>
      </c>
      <c r="CC17" s="518" t="str">
        <f>IF(AND(_A5="B-767-300ER",'2025'!$D$4="FO",'2025'!$D$2=CC5),'2025DATA'!$J$14,"")</f>
        <v/>
      </c>
      <c r="CD17" s="518" t="str">
        <f>IF(AND(_A5="B-767-300ER",'2025'!$D$4="FO",'2025'!$D$2=CD5),'2025DATA'!$K$14,"")</f>
        <v/>
      </c>
      <c r="CE17" s="518" t="str">
        <f>IF(AND(_A5="B-767-300ER",'2025'!$D$4="FO",'2025'!$D$2=CE5),'2025DATA'!$L$14,"")</f>
        <v/>
      </c>
      <c r="CF17" s="518" t="str">
        <f>IF(AND(_A5="B-767-300ER",'2025'!$D$4="FO",'2025'!$D$2=CF5),'2025DATA'!$M$14,"")</f>
        <v/>
      </c>
      <c r="CG17" s="520" t="str">
        <f>IF(AND(_A5="B-767-300ER",'2025'!$D$4="FO",'2025'!$D$2=CG5),'2025DATA'!$N$14,"")</f>
        <v/>
      </c>
      <c r="CH17" s="940"/>
      <c r="CI17" s="13" t="s">
        <v>62</v>
      </c>
      <c r="CJ17" s="518" t="str">
        <f>IF(AND(_A6="B-767-300ER",'2025'!$D$4="FO",'2025'!$D$2=CJ5),'2025DATA'!$C$14,"")</f>
        <v/>
      </c>
      <c r="CK17" s="518" t="str">
        <f>IF(AND(_A6="B-767-300ER",'2025'!$D$4="FO",'2025'!$D$2=CK5),'2025DATA'!$D$14,"")</f>
        <v/>
      </c>
      <c r="CL17" s="518" t="str">
        <f>IF(AND(_A6="B-767-300ER",'2025'!$D$4="FO",'2025'!$D$2=CL5),'2025DATA'!$E$14,"")</f>
        <v/>
      </c>
      <c r="CM17" s="518" t="str">
        <f>IF(AND(_A6="B-767-300ER",'2025'!$D$4="FO",'2025'!$D$2=CM5),'2025DATA'!$F$14,"")</f>
        <v/>
      </c>
      <c r="CN17" s="518" t="str">
        <f>IF(AND(_A6="B-767-300ER",'2025'!$D$4="FO",'2025'!$D$2=CN5),'2025DATA'!$G$14,"")</f>
        <v/>
      </c>
      <c r="CO17" s="518" t="str">
        <f>IF(AND(_A6="B-767-300ER",'2025'!$D$4="FO",'2025'!$D$2=CO5),'2025DATA'!$H$14,"")</f>
        <v/>
      </c>
      <c r="CP17" s="518" t="str">
        <f>IF(AND(_A6="B-767-300ER",'2025'!$D$4="FO",'2025'!$D$2=CP5),'2025DATA'!$I$14,"")</f>
        <v/>
      </c>
      <c r="CQ17" s="518" t="str">
        <f>IF(AND(_A6="B-767-300ER",'2025'!$D$4="FO",'2025'!$D$2=CQ5),'2025DATA'!$J$14,"")</f>
        <v/>
      </c>
      <c r="CR17" s="518" t="str">
        <f>IF(AND(_A6="B-767-300ER",'2025'!$D$4="FO",'2025'!$D$2=CR5),'2025DATA'!$K$14,"")</f>
        <v/>
      </c>
      <c r="CS17" s="518" t="str">
        <f>IF(AND(_A6="B-767-300ER",'2025'!$D$4="FO",'2025'!$D$2=CS5),'2025DATA'!$L$14,"")</f>
        <v/>
      </c>
      <c r="CT17" s="518" t="str">
        <f>IF(AND(_A6="B-767-300ER",'2025'!$D$4="FO",'2025'!$D$2=CT5),'2025DATA'!$M$14,"")</f>
        <v/>
      </c>
      <c r="CU17" s="520" t="str">
        <f>IF(AND(_A6="B-767-300ER",'2025'!$D$4="FO",'2025'!$D$2=CU5),'2025DATA'!$N$14,"")</f>
        <v/>
      </c>
    </row>
    <row r="18" spans="1:99" x14ac:dyDescent="0.25">
      <c r="A18" s="987"/>
      <c r="B18" s="64" t="s">
        <v>62</v>
      </c>
      <c r="C18" s="28">
        <v>265.92</v>
      </c>
      <c r="D18" s="29">
        <v>262.82</v>
      </c>
      <c r="E18" s="29">
        <v>259.63</v>
      </c>
      <c r="F18" s="29">
        <v>255.39</v>
      </c>
      <c r="G18" s="29">
        <v>252.83</v>
      </c>
      <c r="H18" s="29">
        <v>247.03</v>
      </c>
      <c r="I18" s="29">
        <v>240.4</v>
      </c>
      <c r="J18" s="29">
        <v>234.54</v>
      </c>
      <c r="K18" s="29">
        <v>228.93</v>
      </c>
      <c r="L18" s="29">
        <v>223.49</v>
      </c>
      <c r="M18" s="29">
        <v>190.98</v>
      </c>
      <c r="N18" s="30">
        <v>120.69</v>
      </c>
      <c r="P18" s="940" t="s">
        <v>67</v>
      </c>
      <c r="Q18" s="13" t="s">
        <v>61</v>
      </c>
      <c r="R18" s="518" t="str">
        <f>IF(AND(_A1="B-767-300",'2025'!$D$4="CA",'2025'!$D$2=R5),'2025DATA'!$C$15,"")</f>
        <v/>
      </c>
      <c r="S18" s="518" t="str">
        <f>IF(AND(_A1="B-767-300",'2025'!$D$4="CA",'2025'!$D$2=S5),'2025DATA'!$D$15,"")</f>
        <v/>
      </c>
      <c r="T18" s="518" t="str">
        <f>IF(AND(_A1="B-767-300",'2025'!$D$4="CA",'2025'!$D$2=T5),'2025DATA'!$E$15,"")</f>
        <v/>
      </c>
      <c r="U18" s="518" t="str">
        <f>IF(AND(_A1="B-767-300",'2025'!$D$4="CA",'2025'!$D$2=U5),'2025DATA'!$F$15,"")</f>
        <v/>
      </c>
      <c r="V18" s="518" t="str">
        <f>IF(AND(_A1="B-767-300",'2025'!$D$4="CA",'2025'!$D$2=V5),'2025DATA'!$G$15,"")</f>
        <v/>
      </c>
      <c r="W18" s="518" t="str">
        <f>IF(AND(_A1="B-767-300",'2025'!$D$4="CA",'2025'!$D$2=W5),'2025DATA'!$H$15,"")</f>
        <v/>
      </c>
      <c r="X18" s="518" t="str">
        <f>IF(AND(_A1="B-767-300",'2025'!$D$4="CA",'2025'!$D$2=X5),'2025DATA'!$I$15,"")</f>
        <v/>
      </c>
      <c r="Y18" s="518" t="str">
        <f>IF(AND(_A1="B-767-300",'2025'!$D$4="CA",'2025'!$D$2=Y5),'2025DATA'!$J$15,"")</f>
        <v/>
      </c>
      <c r="Z18" s="518" t="str">
        <f>IF(AND(_A1="B-767-300",'2025'!$D$4="CA",'2025'!$D$2=Z5),'2025DATA'!$K$15,"")</f>
        <v/>
      </c>
      <c r="AA18" s="518" t="str">
        <f>IF(AND(_A1="B-767-300",'2025'!$D$4="CA",'2025'!$D$2=AA5),'2025DATA'!$L$15,"")</f>
        <v/>
      </c>
      <c r="AB18" s="518" t="str">
        <f>IF(AND(_A1="B-767-300",'2025'!$D$4="CA",'2025'!$D$2=AB5),'2025DATA'!$M$15,"")</f>
        <v/>
      </c>
      <c r="AC18" s="520" t="str">
        <f>IF(AND(_A1="B-767-300",'2025'!$D$4="CA",'2025'!$D$2=AC5),'2025DATA'!$N$15,"")</f>
        <v/>
      </c>
      <c r="AD18" s="940" t="s">
        <v>67</v>
      </c>
      <c r="AE18" s="13" t="s">
        <v>61</v>
      </c>
      <c r="AF18" s="518" t="str">
        <f>IF(AND(_A2="B-767-300",'2025'!$D$4="CA",'2025'!$D$2=AF5),'2025DATA'!$C$15,"")</f>
        <v/>
      </c>
      <c r="AG18" s="518" t="str">
        <f>IF(AND(_A2="B-767-300",'2025'!$D$4="CA",'2025'!$D$2=AG5),'2025DATA'!$D$15,"")</f>
        <v/>
      </c>
      <c r="AH18" s="518" t="str">
        <f>IF(AND(_A2="B-767-300",'2025'!$D$4="CA",'2025'!$D$2=AH5),'2025DATA'!$E$15,"")</f>
        <v/>
      </c>
      <c r="AI18" s="518" t="str">
        <f>IF(AND(_A2="B-767-300",'2025'!$D$4="CA",'2025'!$D$2=AI5),'2025DATA'!$F$15,"")</f>
        <v/>
      </c>
      <c r="AJ18" s="518" t="str">
        <f>IF(AND(_A2="B-767-300",'2025'!$D$4="CA",'2025'!$D$2=AJ5),'2025DATA'!$G$15,"")</f>
        <v/>
      </c>
      <c r="AK18" s="518" t="str">
        <f>IF(AND(_A2="B-767-300",'2025'!$D$4="CA",'2025'!$D$2=AK5),'2025DATA'!$H$15,"")</f>
        <v/>
      </c>
      <c r="AL18" s="518" t="str">
        <f>IF(AND(_A2="B-767-300",'2025'!$D$4="CA",'2025'!$D$2=AL5),'2025DATA'!$I$15,"")</f>
        <v/>
      </c>
      <c r="AM18" s="518" t="str">
        <f>IF(AND(_A2="B-767-300",'2025'!$D$4="CA",'2025'!$D$2=AM5),'2025DATA'!$J$15,"")</f>
        <v/>
      </c>
      <c r="AN18" s="518" t="str">
        <f>IF(AND(_A2="B-767-300",'2025'!$D$4="CA",'2025'!$D$2=AN5),'2025DATA'!$K$15,"")</f>
        <v/>
      </c>
      <c r="AO18" s="518" t="str">
        <f>IF(AND(_A2="B-767-300",'2025'!$D$4="CA",'2025'!$D$2=AO5),'2025DATA'!$L$15,"")</f>
        <v/>
      </c>
      <c r="AP18" s="518" t="str">
        <f>IF(AND(_A2="B-767-300",'2025'!$D$4="CA",'2025'!$D$2=AP5),'2025DATA'!$M$15,"")</f>
        <v/>
      </c>
      <c r="AQ18" s="520" t="str">
        <f>IF(AND(_A2="B-767-300",'2025'!$D$4="CA",'2025'!$D$2=AQ5),'2025DATA'!$N$15,"")</f>
        <v/>
      </c>
      <c r="AR18" s="940" t="s">
        <v>67</v>
      </c>
      <c r="AS18" s="13" t="s">
        <v>61</v>
      </c>
      <c r="AT18" s="518" t="str">
        <f>IF(AND(_A3="B-767-300",'2025'!$D$4="CA",'2025'!$D$2=AT5),'2025DATA'!$C$15,"")</f>
        <v/>
      </c>
      <c r="AU18" s="518" t="str">
        <f>IF(AND(_A3="B-767-300",'2025'!$D$4="CA",'2025'!$D$2=AU5),'2025DATA'!$D$15,"")</f>
        <v/>
      </c>
      <c r="AV18" s="518" t="str">
        <f>IF(AND(_A3="B-767-300",'2025'!$D$4="CA",'2025'!$D$2=AV5),'2025DATA'!$E$15,"")</f>
        <v/>
      </c>
      <c r="AW18" s="518" t="str">
        <f>IF(AND(_A3="B-767-300",'2025'!$D$4="CA",'2025'!$D$2=AW5),'2025DATA'!$F$15,"")</f>
        <v/>
      </c>
      <c r="AX18" s="518" t="str">
        <f>IF(AND(_A3="B-767-300",'2025'!$D$4="CA",'2025'!$D$2=AX5),'2025DATA'!$G$15,"")</f>
        <v/>
      </c>
      <c r="AY18" s="518" t="str">
        <f>IF(AND(_A3="B-767-300",'2025'!$D$4="CA",'2025'!$D$2=AY5),'2025DATA'!$H$15,"")</f>
        <v/>
      </c>
      <c r="AZ18" s="518" t="str">
        <f>IF(AND(_A3="B-767-300",'2025'!$D$4="CA",'2025'!$D$2=AZ5),'2025DATA'!$I$15,"")</f>
        <v/>
      </c>
      <c r="BA18" s="518" t="str">
        <f>IF(AND(_A3="B-767-300",'2025'!$D$4="CA",'2025'!$D$2=BA5),'2025DATA'!$J$15,"")</f>
        <v/>
      </c>
      <c r="BB18" s="518" t="str">
        <f>IF(AND(_A3="B-767-300",'2025'!$D$4="CA",'2025'!$D$2=BB5),'2025DATA'!$K$15,"")</f>
        <v/>
      </c>
      <c r="BC18" s="518" t="str">
        <f>IF(AND(_A3="B-767-300",'2025'!$D$4="CA",'2025'!$D$2=BC5),'2025DATA'!$L$15,"")</f>
        <v/>
      </c>
      <c r="BD18" s="518" t="str">
        <f>IF(AND(_A3="B-767-300",'2025'!$D$4="CA",'2025'!$D$2=BD5),'2025DATA'!$M$15,"")</f>
        <v/>
      </c>
      <c r="BE18" s="520" t="str">
        <f>IF(AND(_A3="B-767-300",'2025'!$D$4="CA",'2025'!$D$2=BE5),'2025DATA'!$N$15,"")</f>
        <v/>
      </c>
      <c r="BF18" s="940" t="s">
        <v>67</v>
      </c>
      <c r="BG18" s="13" t="s">
        <v>61</v>
      </c>
      <c r="BH18" s="518" t="str">
        <f>IF(AND(_A4="B-767-300",'2025'!$D$4="CA",'2025'!$D$2=BH5),'2025DATA'!$C$15,"")</f>
        <v/>
      </c>
      <c r="BI18" s="518" t="str">
        <f>IF(AND(_A4="B-767-300",'2025'!$D$4="CA",'2025'!$D$2=BI5),'2025DATA'!$D$15,"")</f>
        <v/>
      </c>
      <c r="BJ18" s="518" t="str">
        <f>IF(AND(_A4="B-767-300",'2025'!$D$4="CA",'2025'!$D$2=BJ5),'2025DATA'!$E$15,"")</f>
        <v/>
      </c>
      <c r="BK18" s="518" t="str">
        <f>IF(AND(_A4="B-767-300",'2025'!$D$4="CA",'2025'!$D$2=BK5),'2025DATA'!$F$15,"")</f>
        <v/>
      </c>
      <c r="BL18" s="518" t="str">
        <f>IF(AND(_A4="B-767-300",'2025'!$D$4="CA",'2025'!$D$2=BL5),'2025DATA'!$G$15,"")</f>
        <v/>
      </c>
      <c r="BM18" s="518" t="str">
        <f>IF(AND(_A4="B-767-300",'2025'!$D$4="CA",'2025'!$D$2=BM5),'2025DATA'!$H$15,"")</f>
        <v/>
      </c>
      <c r="BN18" s="518" t="str">
        <f>IF(AND(_A4="B-767-300",'2025'!$D$4="CA",'2025'!$D$2=BN5),'2025DATA'!$I$15,"")</f>
        <v/>
      </c>
      <c r="BO18" s="518" t="str">
        <f>IF(AND(_A4="B-767-300",'2025'!$D$4="CA",'2025'!$D$2=BO5),'2025DATA'!$J$15,"")</f>
        <v/>
      </c>
      <c r="BP18" s="518" t="str">
        <f>IF(AND(_A4="B-767-300",'2025'!$D$4="CA",'2025'!$D$2=BP5),'2025DATA'!$K$15,"")</f>
        <v/>
      </c>
      <c r="BQ18" s="518" t="str">
        <f>IF(AND(_A4="B-767-300",'2025'!$D$4="CA",'2025'!$D$2=BQ5),'2025DATA'!$L$15,"")</f>
        <v/>
      </c>
      <c r="BR18" s="518" t="str">
        <f>IF(AND(_A4="B-767-300",'2025'!$D$4="CA",'2025'!$D$2=BR5),'2025DATA'!$M$15,"")</f>
        <v/>
      </c>
      <c r="BS18" s="520" t="str">
        <f>IF(AND(_A4="B-767-300",'2025'!$D$4="CA",'2025'!$D$2=BS5),'2025DATA'!$N$15,"")</f>
        <v/>
      </c>
      <c r="BT18" s="940" t="s">
        <v>67</v>
      </c>
      <c r="BU18" s="13" t="s">
        <v>61</v>
      </c>
      <c r="BV18" s="518" t="str">
        <f>IF(AND(_A5="B-767-300",'2025'!$D$4="CA",'2025'!$D$2=BV5),'2025DATA'!$C$15,"")</f>
        <v/>
      </c>
      <c r="BW18" s="518" t="str">
        <f>IF(AND(_A5="B-767-300",'2025'!$D$4="CA",'2025'!$D$2=BW5),'2025DATA'!$D$15,"")</f>
        <v/>
      </c>
      <c r="BX18" s="518" t="str">
        <f>IF(AND(_A5="B-767-300",'2025'!$D$4="CA",'2025'!$D$2=BX5),'2025DATA'!$E$15,"")</f>
        <v/>
      </c>
      <c r="BY18" s="518" t="str">
        <f>IF(AND(_A5="B-767-300",'2025'!$D$4="CA",'2025'!$D$2=BY5),'2025DATA'!$F$15,"")</f>
        <v/>
      </c>
      <c r="BZ18" s="518" t="str">
        <f>IF(AND(_A5="B-767-300",'2025'!$D$4="CA",'2025'!$D$2=BZ5),'2025DATA'!$G$15,"")</f>
        <v/>
      </c>
      <c r="CA18" s="518" t="str">
        <f>IF(AND(_A5="B-767-300",'2025'!$D$4="CA",'2025'!$D$2=CA5),'2025DATA'!$H$15,"")</f>
        <v/>
      </c>
      <c r="CB18" s="518" t="str">
        <f>IF(AND(_A5="B-767-300",'2025'!$D$4="CA",'2025'!$D$2=CB5),'2025DATA'!$I$15,"")</f>
        <v/>
      </c>
      <c r="CC18" s="518" t="str">
        <f>IF(AND(_A5="B-767-300",'2025'!$D$4="CA",'2025'!$D$2=CC5),'2025DATA'!$J$15,"")</f>
        <v/>
      </c>
      <c r="CD18" s="518" t="str">
        <f>IF(AND(_A5="B-767-300",'2025'!$D$4="CA",'2025'!$D$2=CD5),'2025DATA'!$K$15,"")</f>
        <v/>
      </c>
      <c r="CE18" s="518" t="str">
        <f>IF(AND(_A5="B-767-300",'2025'!$D$4="CA",'2025'!$D$2=CE5),'2025DATA'!$L$15,"")</f>
        <v/>
      </c>
      <c r="CF18" s="518" t="str">
        <f>IF(AND(_A5="B-767-300",'2025'!$D$4="CA",'2025'!$D$2=CF5),'2025DATA'!$M$15,"")</f>
        <v/>
      </c>
      <c r="CG18" s="520" t="str">
        <f>IF(AND(_A5="B-767-300",'2025'!$D$4="CA",'2025'!$D$2=CG5),'2025DATA'!$N$15,"")</f>
        <v/>
      </c>
      <c r="CH18" s="940" t="s">
        <v>67</v>
      </c>
      <c r="CI18" s="13" t="s">
        <v>61</v>
      </c>
      <c r="CJ18" s="518" t="str">
        <f>IF(AND(_A6="B-767-300",'2025'!$D$4="CA",'2025'!$D$2=CJ5),'2025DATA'!$C$15,"")</f>
        <v/>
      </c>
      <c r="CK18" s="518" t="str">
        <f>IF(AND(_A6="B-767-300",'2025'!$D$4="CA",'2025'!$D$2=CK5),'2025DATA'!$D$15,"")</f>
        <v/>
      </c>
      <c r="CL18" s="518" t="str">
        <f>IF(AND(_A6="B-767-300",'2025'!$D$4="CA",'2025'!$D$2=CL5),'2025DATA'!$E$15,"")</f>
        <v/>
      </c>
      <c r="CM18" s="518" t="str">
        <f>IF(AND(_A6="B-767-300",'2025'!$D$4="CA",'2025'!$D$2=CM5),'2025DATA'!$F$15,"")</f>
        <v/>
      </c>
      <c r="CN18" s="518" t="str">
        <f>IF(AND(_A6="B-767-300",'2025'!$D$4="CA",'2025'!$D$2=CN5),'2025DATA'!$G$15,"")</f>
        <v/>
      </c>
      <c r="CO18" s="518" t="str">
        <f>IF(AND(_A6="B-767-300",'2025'!$D$4="CA",'2025'!$D$2=CO5),'2025DATA'!$H$15,"")</f>
        <v/>
      </c>
      <c r="CP18" s="518" t="str">
        <f>IF(AND(_A6="B-767-300",'2025'!$D$4="CA",'2025'!$D$2=CP5),'2025DATA'!$I$15,"")</f>
        <v/>
      </c>
      <c r="CQ18" s="518" t="str">
        <f>IF(AND(_A6="B-767-300",'2025'!$D$4="CA",'2025'!$D$2=CQ5),'2025DATA'!$J$15,"")</f>
        <v/>
      </c>
      <c r="CR18" s="518" t="str">
        <f>IF(AND(_A6="B-767-300",'2025'!$D$4="CA",'2025'!$D$2=CR5),'2025DATA'!$K$15,"")</f>
        <v/>
      </c>
      <c r="CS18" s="518" t="str">
        <f>IF(AND(_A6="B-767-300",'2025'!$D$4="CA",'2025'!$D$2=CS5),'2025DATA'!$L$15,"")</f>
        <v/>
      </c>
      <c r="CT18" s="518" t="str">
        <f>IF(AND(_A6="B-767-300",'2025'!$D$4="CA",'2025'!$D$2=CT5),'2025DATA'!$M$15,"")</f>
        <v/>
      </c>
      <c r="CU18" s="520" t="str">
        <f>IF(AND(_A6="B-767-300",'2025'!$D$4="CA",'2025'!$D$2=CU5),'2025DATA'!$N$15,"")</f>
        <v/>
      </c>
    </row>
    <row r="19" spans="1:99" x14ac:dyDescent="0.25">
      <c r="A19" s="987" t="s">
        <v>45</v>
      </c>
      <c r="B19" s="64" t="s">
        <v>61</v>
      </c>
      <c r="C19" s="28">
        <v>389.34</v>
      </c>
      <c r="D19" s="29">
        <v>385.36</v>
      </c>
      <c r="E19" s="29">
        <v>381.25</v>
      </c>
      <c r="F19" s="29">
        <v>377.2</v>
      </c>
      <c r="G19" s="29">
        <v>374.54</v>
      </c>
      <c r="H19" s="29">
        <v>371.47</v>
      </c>
      <c r="I19" s="29">
        <v>368.73</v>
      </c>
      <c r="J19" s="29">
        <v>365.88</v>
      </c>
      <c r="K19" s="29">
        <v>362.79</v>
      </c>
      <c r="L19" s="29">
        <v>359.88</v>
      </c>
      <c r="M19" s="29">
        <v>356.98</v>
      </c>
      <c r="N19" s="30">
        <v>353.98</v>
      </c>
      <c r="P19" s="940"/>
      <c r="Q19" s="13" t="s">
        <v>62</v>
      </c>
      <c r="R19" s="518" t="str">
        <f>IF(AND(_A1="B-767-300",'2025'!$D$4="FO",'2025'!$D$2=R5),'2025DATA'!$C$16,"")</f>
        <v/>
      </c>
      <c r="S19" s="518" t="str">
        <f>IF(AND(_A1="B-767-300",'2025'!$D$4="FO",'2025'!$D$2=S5),'2025DATA'!$D$16,"")</f>
        <v/>
      </c>
      <c r="T19" s="518" t="str">
        <f>IF(AND(_A1="B-767-300",'2025'!$D$4="FO",'2025'!$D$2=T5),'2025DATA'!$E$16,"")</f>
        <v/>
      </c>
      <c r="U19" s="518" t="str">
        <f>IF(AND(_A1="B-767-300",'2025'!$D$4="FO",'2025'!$D$2=U5),'2025DATA'!$F$16,"")</f>
        <v/>
      </c>
      <c r="V19" s="518" t="str">
        <f>IF(AND(_A1="B-767-300",'2025'!$D$4="FO",'2025'!$D$2=V5),'2025DATA'!$G$16,"")</f>
        <v/>
      </c>
      <c r="W19" s="518" t="str">
        <f>IF(AND(_A1="B-767-300",'2025'!$D$4="FO",'2025'!$D$2=W5),'2025DATA'!$H$16,"")</f>
        <v/>
      </c>
      <c r="X19" s="518" t="str">
        <f>IF(AND(_A1="B-767-300",'2025'!$D$4="FO",'2025'!$D$2=X5),'2025DATA'!$I$16,"")</f>
        <v/>
      </c>
      <c r="Y19" s="518" t="str">
        <f>IF(AND(_A1="B-767-300",'2025'!$D$4="FO",'2025'!$D$2=Y5),'2025DATA'!$J$16,"")</f>
        <v/>
      </c>
      <c r="Z19" s="518" t="str">
        <f>IF(AND(_A1="B-767-300",'2025'!$D$4="FO",'2025'!$D$2=Z5),'2025DATA'!$K$16,"")</f>
        <v/>
      </c>
      <c r="AA19" s="518" t="str">
        <f>IF(AND(_A1="B-767-300",'2025'!$D$4="FO",'2025'!$D$2=AA5),'2025DATA'!$L$16,"")</f>
        <v/>
      </c>
      <c r="AB19" s="518" t="str">
        <f>IF(AND(_A1="B-767-300",'2025'!$D$4="FO",'2025'!$D$2=AB5),'2025DATA'!$M$16,"")</f>
        <v/>
      </c>
      <c r="AC19" s="520" t="str">
        <f>IF(AND(_A1="B-767-300",'2025'!$D$4="FO",'2025'!$D$2=AC5),'2025DATA'!$N$16,"")</f>
        <v/>
      </c>
      <c r="AD19" s="940"/>
      <c r="AE19" s="13" t="s">
        <v>62</v>
      </c>
      <c r="AF19" s="518" t="str">
        <f>IF(AND(_A2="B-767-300",'2025'!$D$4="FO",'2025'!$D$2=AF5),'2025DATA'!$C$16,"")</f>
        <v/>
      </c>
      <c r="AG19" s="518" t="str">
        <f>IF(AND(_A2="B-767-300",'2025'!$D$4="FO",'2025'!$D$2=AG5),'2025DATA'!$D$16,"")</f>
        <v/>
      </c>
      <c r="AH19" s="518" t="str">
        <f>IF(AND(_A2="B-767-300",'2025'!$D$4="FO",'2025'!$D$2=AH5),'2025DATA'!$E$16,"")</f>
        <v/>
      </c>
      <c r="AI19" s="518" t="str">
        <f>IF(AND(_A2="B-767-300",'2025'!$D$4="FO",'2025'!$D$2=AI5),'2025DATA'!$F$16,"")</f>
        <v/>
      </c>
      <c r="AJ19" s="518" t="str">
        <f>IF(AND(_A2="B-767-300",'2025'!$D$4="FO",'2025'!$D$2=AJ5),'2025DATA'!$G$16,"")</f>
        <v/>
      </c>
      <c r="AK19" s="518" t="str">
        <f>IF(AND(_A2="B-767-300",'2025'!$D$4="FO",'2025'!$D$2=AK5),'2025DATA'!$H$16,"")</f>
        <v/>
      </c>
      <c r="AL19" s="518" t="str">
        <f>IF(AND(_A2="B-767-300",'2025'!$D$4="FO",'2025'!$D$2=AL5),'2025DATA'!$I$16,"")</f>
        <v/>
      </c>
      <c r="AM19" s="518" t="str">
        <f>IF(AND(_A2="B-767-300",'2025'!$D$4="FO",'2025'!$D$2=AM5),'2025DATA'!$J$16,"")</f>
        <v/>
      </c>
      <c r="AN19" s="518" t="str">
        <f>IF(AND(_A2="B-767-300",'2025'!$D$4="FO",'2025'!$D$2=AN5),'2025DATA'!$K$16,"")</f>
        <v/>
      </c>
      <c r="AO19" s="518" t="str">
        <f>IF(AND(_A2="B-767-300",'2025'!$D$4="FO",'2025'!$D$2=AO5),'2025DATA'!$L$16,"")</f>
        <v/>
      </c>
      <c r="AP19" s="518" t="str">
        <f>IF(AND(_A2="B-767-300",'2025'!$D$4="FO",'2025'!$D$2=AP5),'2025DATA'!$M$16,"")</f>
        <v/>
      </c>
      <c r="AQ19" s="520" t="str">
        <f>IF(AND(_A2="B-767-300",'2025'!$D$4="FO",'2025'!$D$2=AQ5),'2025DATA'!$N$16,"")</f>
        <v/>
      </c>
      <c r="AR19" s="940"/>
      <c r="AS19" s="13" t="s">
        <v>62</v>
      </c>
      <c r="AT19" s="518" t="str">
        <f>IF(AND(_A3="B-767-300",'2025'!$D$4="FO",'2025'!$D$2=AT5),'2025DATA'!$C$16,"")</f>
        <v/>
      </c>
      <c r="AU19" s="518" t="str">
        <f>IF(AND(_A3="B-767-300",'2025'!$D$4="FO",'2025'!$D$2=AU5),'2025DATA'!$D$16,"")</f>
        <v/>
      </c>
      <c r="AV19" s="518" t="str">
        <f>IF(AND(_A3="B-767-300",'2025'!$D$4="FO",'2025'!$D$2=AV5),'2025DATA'!$E$16,"")</f>
        <v/>
      </c>
      <c r="AW19" s="518" t="str">
        <f>IF(AND(_A3="B-767-300",'2025'!$D$4="FO",'2025'!$D$2=AW5),'2025DATA'!$F$16,"")</f>
        <v/>
      </c>
      <c r="AX19" s="518" t="str">
        <f>IF(AND(_A3="B-767-300",'2025'!$D$4="FO",'2025'!$D$2=AX5),'2025DATA'!$G$16,"")</f>
        <v/>
      </c>
      <c r="AY19" s="518" t="str">
        <f>IF(AND(_A3="B-767-300",'2025'!$D$4="FO",'2025'!$D$2=AY5),'2025DATA'!$H$16,"")</f>
        <v/>
      </c>
      <c r="AZ19" s="518" t="str">
        <f>IF(AND(_A3="B-767-300",'2025'!$D$4="FO",'2025'!$D$2=AZ5),'2025DATA'!$I$16,"")</f>
        <v/>
      </c>
      <c r="BA19" s="518" t="str">
        <f>IF(AND(_A3="B-767-300",'2025'!$D$4="FO",'2025'!$D$2=BA5),'2025DATA'!$J$16,"")</f>
        <v/>
      </c>
      <c r="BB19" s="518" t="str">
        <f>IF(AND(_A3="B-767-300",'2025'!$D$4="FO",'2025'!$D$2=BB5),'2025DATA'!$K$16,"")</f>
        <v/>
      </c>
      <c r="BC19" s="518" t="str">
        <f>IF(AND(_A3="B-767-300",'2025'!$D$4="FO",'2025'!$D$2=BC5),'2025DATA'!$L$16,"")</f>
        <v/>
      </c>
      <c r="BD19" s="518" t="str">
        <f>IF(AND(_A3="B-767-300",'2025'!$D$4="FO",'2025'!$D$2=BD5),'2025DATA'!$M$16,"")</f>
        <v/>
      </c>
      <c r="BE19" s="520" t="str">
        <f>IF(AND(_A3="B-767-300",'2025'!$D$4="FO",'2025'!$D$2=BE5),'2025DATA'!$N$16,"")</f>
        <v/>
      </c>
      <c r="BF19" s="940"/>
      <c r="BG19" s="13" t="s">
        <v>62</v>
      </c>
      <c r="BH19" s="518" t="str">
        <f>IF(AND(_A4="B-767-300",'2025'!$D$4="FO",'2025'!$D$2=BH5),'2025DATA'!$C$16,"")</f>
        <v/>
      </c>
      <c r="BI19" s="518" t="str">
        <f>IF(AND(_A4="B-767-300",'2025'!$D$4="FO",'2025'!$D$2=BI5),'2025DATA'!$D$16,"")</f>
        <v/>
      </c>
      <c r="BJ19" s="518" t="str">
        <f>IF(AND(_A4="B-767-300",'2025'!$D$4="FO",'2025'!$D$2=BJ5),'2025DATA'!$E$16,"")</f>
        <v/>
      </c>
      <c r="BK19" s="518" t="str">
        <f>IF(AND(_A4="B-767-300",'2025'!$D$4="FO",'2025'!$D$2=BK5),'2025DATA'!$F$16,"")</f>
        <v/>
      </c>
      <c r="BL19" s="518" t="str">
        <f>IF(AND(_A4="B-767-300",'2025'!$D$4="FO",'2025'!$D$2=BL5),'2025DATA'!$G$16,"")</f>
        <v/>
      </c>
      <c r="BM19" s="518" t="str">
        <f>IF(AND(_A4="B-767-300",'2025'!$D$4="FO",'2025'!$D$2=BM5),'2025DATA'!$H$16,"")</f>
        <v/>
      </c>
      <c r="BN19" s="518" t="str">
        <f>IF(AND(_A4="B-767-300",'2025'!$D$4="FO",'2025'!$D$2=BN5),'2025DATA'!$I$16,"")</f>
        <v/>
      </c>
      <c r="BO19" s="518" t="str">
        <f>IF(AND(_A4="B-767-300",'2025'!$D$4="FO",'2025'!$D$2=BO5),'2025DATA'!$J$16,"")</f>
        <v/>
      </c>
      <c r="BP19" s="518" t="str">
        <f>IF(AND(_A4="B-767-300",'2025'!$D$4="FO",'2025'!$D$2=BP5),'2025DATA'!$K$16,"")</f>
        <v/>
      </c>
      <c r="BQ19" s="518" t="str">
        <f>IF(AND(_A4="B-767-300",'2025'!$D$4="FO",'2025'!$D$2=BQ5),'2025DATA'!$L$16,"")</f>
        <v/>
      </c>
      <c r="BR19" s="518" t="str">
        <f>IF(AND(_A4="B-767-300",'2025'!$D$4="FO",'2025'!$D$2=BR5),'2025DATA'!$M$16,"")</f>
        <v/>
      </c>
      <c r="BS19" s="520" t="str">
        <f>IF(AND(_A4="B-767-300",'2025'!$D$4="FO",'2025'!$D$2=BS5),'2025DATA'!$N$16,"")</f>
        <v/>
      </c>
      <c r="BT19" s="940"/>
      <c r="BU19" s="13" t="s">
        <v>62</v>
      </c>
      <c r="BV19" s="518" t="str">
        <f>IF(AND(_A5="B-767-300",'2025'!$D$4="FO",'2025'!$D$2=BV5),'2025DATA'!$C$16,"")</f>
        <v/>
      </c>
      <c r="BW19" s="518" t="str">
        <f>IF(AND(_A5="B-767-300",'2025'!$D$4="FO",'2025'!$D$2=BW5),'2025DATA'!$D$16,"")</f>
        <v/>
      </c>
      <c r="BX19" s="518" t="str">
        <f>IF(AND(_A5="B-767-300",'2025'!$D$4="FO",'2025'!$D$2=BX5),'2025DATA'!$E$16,"")</f>
        <v/>
      </c>
      <c r="BY19" s="518" t="str">
        <f>IF(AND(_A5="B-767-300",'2025'!$D$4="FO",'2025'!$D$2=BY5),'2025DATA'!$F$16,"")</f>
        <v/>
      </c>
      <c r="BZ19" s="518" t="str">
        <f>IF(AND(_A5="B-767-300",'2025'!$D$4="FO",'2025'!$D$2=BZ5),'2025DATA'!$G$16,"")</f>
        <v/>
      </c>
      <c r="CA19" s="518" t="str">
        <f>IF(AND(_A5="B-767-300",'2025'!$D$4="FO",'2025'!$D$2=CA5),'2025DATA'!$H$16,"")</f>
        <v/>
      </c>
      <c r="CB19" s="518" t="str">
        <f>IF(AND(_A5="B-767-300",'2025'!$D$4="FO",'2025'!$D$2=CB5),'2025DATA'!$I$16,"")</f>
        <v/>
      </c>
      <c r="CC19" s="518" t="str">
        <f>IF(AND(_A5="B-767-300",'2025'!$D$4="FO",'2025'!$D$2=CC5),'2025DATA'!$J$16,"")</f>
        <v/>
      </c>
      <c r="CD19" s="518" t="str">
        <f>IF(AND(_A5="B-767-300",'2025'!$D$4="FO",'2025'!$D$2=CD5),'2025DATA'!$K$16,"")</f>
        <v/>
      </c>
      <c r="CE19" s="518" t="str">
        <f>IF(AND(_A5="B-767-300",'2025'!$D$4="FO",'2025'!$D$2=CE5),'2025DATA'!$L$16,"")</f>
        <v/>
      </c>
      <c r="CF19" s="518" t="str">
        <f>IF(AND(_A5="B-767-300",'2025'!$D$4="FO",'2025'!$D$2=CF5),'2025DATA'!$M$16,"")</f>
        <v/>
      </c>
      <c r="CG19" s="520" t="str">
        <f>IF(AND(_A5="B-767-300",'2025'!$D$4="FO",'2025'!$D$2=CG5),'2025DATA'!$N$16,"")</f>
        <v/>
      </c>
      <c r="CH19" s="940"/>
      <c r="CI19" s="13" t="s">
        <v>62</v>
      </c>
      <c r="CJ19" s="518" t="str">
        <f>IF(AND(_A6="B-767-300",'2025'!$D$4="FO",'2025'!$D$2=CJ5),'2025DATA'!$C$16,"")</f>
        <v/>
      </c>
      <c r="CK19" s="518" t="str">
        <f>IF(AND(_A6="B-767-300",'2025'!$D$4="FO",'2025'!$D$2=CK5),'2025DATA'!$D$16,"")</f>
        <v/>
      </c>
      <c r="CL19" s="518" t="str">
        <f>IF(AND(_A6="B-767-300",'2025'!$D$4="FO",'2025'!$D$2=CL5),'2025DATA'!$E$16,"")</f>
        <v/>
      </c>
      <c r="CM19" s="518" t="str">
        <f>IF(AND(_A6="B-767-300",'2025'!$D$4="FO",'2025'!$D$2=CM5),'2025DATA'!$F$16,"")</f>
        <v/>
      </c>
      <c r="CN19" s="518" t="str">
        <f>IF(AND(_A6="B-767-300",'2025'!$D$4="FO",'2025'!$D$2=CN5),'2025DATA'!$G$16,"")</f>
        <v/>
      </c>
      <c r="CO19" s="518" t="str">
        <f>IF(AND(_A6="B-767-300",'2025'!$D$4="FO",'2025'!$D$2=CO5),'2025DATA'!$H$16,"")</f>
        <v/>
      </c>
      <c r="CP19" s="518" t="str">
        <f>IF(AND(_A6="B-767-300",'2025'!$D$4="FO",'2025'!$D$2=CP5),'2025DATA'!$I$16,"")</f>
        <v/>
      </c>
      <c r="CQ19" s="518" t="str">
        <f>IF(AND(_A6="B-767-300",'2025'!$D$4="FO",'2025'!$D$2=CQ5),'2025DATA'!$J$16,"")</f>
        <v/>
      </c>
      <c r="CR19" s="518" t="str">
        <f>IF(AND(_A6="B-767-300",'2025'!$D$4="FO",'2025'!$D$2=CR5),'2025DATA'!$K$16,"")</f>
        <v/>
      </c>
      <c r="CS19" s="518" t="str">
        <f>IF(AND(_A6="B-767-300",'2025'!$D$4="FO",'2025'!$D$2=CS5),'2025DATA'!$L$16,"")</f>
        <v/>
      </c>
      <c r="CT19" s="518" t="str">
        <f>IF(AND(_A6="B-767-300",'2025'!$D$4="FO",'2025'!$D$2=CT5),'2025DATA'!$M$16,"")</f>
        <v/>
      </c>
      <c r="CU19" s="520" t="str">
        <f>IF(AND(_A6="B-767-300",'2025'!$D$4="FO",'2025'!$D$2=CU5),'2025DATA'!$N$16,"")</f>
        <v/>
      </c>
    </row>
    <row r="20" spans="1:99" x14ac:dyDescent="0.25">
      <c r="A20" s="987"/>
      <c r="B20" s="64" t="s">
        <v>62</v>
      </c>
      <c r="C20" s="28">
        <v>265.92</v>
      </c>
      <c r="D20" s="29">
        <v>262.82</v>
      </c>
      <c r="E20" s="29">
        <v>259.63</v>
      </c>
      <c r="F20" s="29">
        <v>255.39</v>
      </c>
      <c r="G20" s="29">
        <v>252.83</v>
      </c>
      <c r="H20" s="29">
        <v>247.03</v>
      </c>
      <c r="I20" s="29">
        <v>240.4</v>
      </c>
      <c r="J20" s="29">
        <v>234.54</v>
      </c>
      <c r="K20" s="29">
        <v>228.93</v>
      </c>
      <c r="L20" s="29">
        <v>223.49</v>
      </c>
      <c r="M20" s="29">
        <v>190.98</v>
      </c>
      <c r="N20" s="30">
        <v>120.69</v>
      </c>
      <c r="P20" s="940" t="s">
        <v>68</v>
      </c>
      <c r="Q20" s="13" t="s">
        <v>61</v>
      </c>
      <c r="R20" s="518" t="str">
        <f>IF(AND(_A1="B-767-200",'2025'!$D$4="CA",'2025'!$D$2=R5),'2025DATA'!$C$17,"")</f>
        <v/>
      </c>
      <c r="S20" s="518" t="str">
        <f>IF(AND(_A1="B-767-200",'2025'!$D$4="CA",'2025'!$D$2=S5),'2025DATA'!$D$17,"")</f>
        <v/>
      </c>
      <c r="T20" s="518" t="str">
        <f>IF(AND(_A1="B-767-200",'2025'!$D$4="CA",'2025'!$D$2=T5),'2025DATA'!$E$17,"")</f>
        <v/>
      </c>
      <c r="U20" s="518" t="str">
        <f>IF(AND(_A1="B-767-200",'2025'!$D$4="CA",'2025'!$D$2=U5),'2025DATA'!$F$17,"")</f>
        <v/>
      </c>
      <c r="V20" s="518" t="str">
        <f>IF(AND(_A1="B-767-200",'2025'!$D$4="CA",'2025'!$D$2=V5),'2025DATA'!$G$17,"")</f>
        <v/>
      </c>
      <c r="W20" s="518" t="str">
        <f>IF(AND(_A1="B-767-200",'2025'!$D$4="CA",'2025'!$D$2=W5),'2025DATA'!$H$17,"")</f>
        <v/>
      </c>
      <c r="X20" s="518" t="str">
        <f>IF(AND(_A1="B-767-200",'2025'!$D$4="CA",'2025'!$D$2=X5),'2025DATA'!$I$17,"")</f>
        <v/>
      </c>
      <c r="Y20" s="518" t="str">
        <f>IF(AND(_A1="B-767-200",'2025'!$D$4="CA",'2025'!$D$2=Y5),'2025DATA'!$J$17,"")</f>
        <v/>
      </c>
      <c r="Z20" s="518" t="str">
        <f>IF(AND(_A1="B-767-200",'2025'!$D$4="CA",'2025'!$D$2=Z5),'2025DATA'!$K$17,"")</f>
        <v/>
      </c>
      <c r="AA20" s="518" t="str">
        <f>IF(AND(_A1="B-767-200",'2025'!$D$4="CA",'2025'!$D$2=AA5),'2025DATA'!$L$17,"")</f>
        <v/>
      </c>
      <c r="AB20" s="518" t="str">
        <f>IF(AND(_A1="B-767-200",'2025'!$D$4="CA",'2025'!$D$2=AB5),'2025DATA'!$M$17,"")</f>
        <v/>
      </c>
      <c r="AC20" s="520" t="str">
        <f>IF(AND(_A1="B-767-200",'2025'!$D$4="CA",'2025'!$D$2=AC5),'2025DATA'!$N$17,"")</f>
        <v/>
      </c>
      <c r="AD20" s="940" t="s">
        <v>68</v>
      </c>
      <c r="AE20" s="13" t="s">
        <v>61</v>
      </c>
      <c r="AF20" s="518" t="str">
        <f>IF(AND(_A2="B-767-200",'2025'!$D$4="CA",'2025'!$D$2=AF5),'2025DATA'!$C$17,"")</f>
        <v/>
      </c>
      <c r="AG20" s="518" t="str">
        <f>IF(AND(_A2="B-767-200",'2025'!$D$4="CA",'2025'!$D$2=AG5),'2025DATA'!$D$17,"")</f>
        <v/>
      </c>
      <c r="AH20" s="518" t="str">
        <f>IF(AND(_A2="B-767-200",'2025'!$D$4="CA",'2025'!$D$2=AH5),'2025DATA'!$E$17,"")</f>
        <v/>
      </c>
      <c r="AI20" s="518" t="str">
        <f>IF(AND(_A2="B-767-200",'2025'!$D$4="CA",'2025'!$D$2=AI5),'2025DATA'!$F$17,"")</f>
        <v/>
      </c>
      <c r="AJ20" s="518" t="str">
        <f>IF(AND(_A2="B-767-200",'2025'!$D$4="CA",'2025'!$D$2=AJ5),'2025DATA'!$G$17,"")</f>
        <v/>
      </c>
      <c r="AK20" s="518" t="str">
        <f>IF(AND(_A2="B-767-200",'2025'!$D$4="CA",'2025'!$D$2=AK5),'2025DATA'!$H$17,"")</f>
        <v/>
      </c>
      <c r="AL20" s="518" t="str">
        <f>IF(AND(_A2="B-767-200",'2025'!$D$4="CA",'2025'!$D$2=AL5),'2025DATA'!$I$17,"")</f>
        <v/>
      </c>
      <c r="AM20" s="518" t="str">
        <f>IF(AND(_A2="B-767-200",'2025'!$D$4="CA",'2025'!$D$2=AM5),'2025DATA'!$J$17,"")</f>
        <v/>
      </c>
      <c r="AN20" s="518" t="str">
        <f>IF(AND(_A2="B-767-200",'2025'!$D$4="CA",'2025'!$D$2=AN5),'2025DATA'!$K$17,"")</f>
        <v/>
      </c>
      <c r="AO20" s="518" t="str">
        <f>IF(AND(_A2="B-767-200",'2025'!$D$4="CA",'2025'!$D$2=AO5),'2025DATA'!$L$17,"")</f>
        <v/>
      </c>
      <c r="AP20" s="518" t="str">
        <f>IF(AND(_A2="B-767-200",'2025'!$D$4="CA",'2025'!$D$2=AP5),'2025DATA'!$M$17,"")</f>
        <v/>
      </c>
      <c r="AQ20" s="520" t="str">
        <f>IF(AND(_A2="B-767-200",'2025'!$D$4="CA",'2025'!$D$2=AQ5),'2025DATA'!$N$17,"")</f>
        <v/>
      </c>
      <c r="AR20" s="940" t="s">
        <v>68</v>
      </c>
      <c r="AS20" s="13" t="s">
        <v>61</v>
      </c>
      <c r="AT20" s="518" t="str">
        <f>IF(AND(_A3="B-767-200",'2025'!$D$4="CA",'2025'!$D$2=AT5),'2025DATA'!$C$17,"")</f>
        <v/>
      </c>
      <c r="AU20" s="518" t="str">
        <f>IF(AND(_A3="B-767-200",'2025'!$D$4="CA",'2025'!$D$2=AU5),'2025DATA'!$D$17,"")</f>
        <v/>
      </c>
      <c r="AV20" s="518" t="str">
        <f>IF(AND(_A3="B-767-200",'2025'!$D$4="CA",'2025'!$D$2=AV5),'2025DATA'!$E$17,"")</f>
        <v/>
      </c>
      <c r="AW20" s="518" t="str">
        <f>IF(AND(_A3="B-767-200",'2025'!$D$4="CA",'2025'!$D$2=AW5),'2025DATA'!$F$17,"")</f>
        <v/>
      </c>
      <c r="AX20" s="518" t="str">
        <f>IF(AND(_A3="B-767-200",'2025'!$D$4="CA",'2025'!$D$2=AX5),'2025DATA'!$G$17,"")</f>
        <v/>
      </c>
      <c r="AY20" s="518" t="str">
        <f>IF(AND(_A3="B-767-200",'2025'!$D$4="CA",'2025'!$D$2=AY5),'2025DATA'!$H$17,"")</f>
        <v/>
      </c>
      <c r="AZ20" s="518" t="str">
        <f>IF(AND(_A3="B-767-200",'2025'!$D$4="CA",'2025'!$D$2=AZ5),'2025DATA'!$I$17,"")</f>
        <v/>
      </c>
      <c r="BA20" s="518" t="str">
        <f>IF(AND(_A3="B-767-200",'2025'!$D$4="CA",'2025'!$D$2=BA5),'2025DATA'!$J$17,"")</f>
        <v/>
      </c>
      <c r="BB20" s="518" t="str">
        <f>IF(AND(_A3="B-767-200",'2025'!$D$4="CA",'2025'!$D$2=BB5),'2025DATA'!$K$17,"")</f>
        <v/>
      </c>
      <c r="BC20" s="518" t="str">
        <f>IF(AND(_A3="B-767-200",'2025'!$D$4="CA",'2025'!$D$2=BC5),'2025DATA'!$L$17,"")</f>
        <v/>
      </c>
      <c r="BD20" s="518" t="str">
        <f>IF(AND(_A3="B-767-200",'2025'!$D$4="CA",'2025'!$D$2=BD5),'2025DATA'!$M$17,"")</f>
        <v/>
      </c>
      <c r="BE20" s="520" t="str">
        <f>IF(AND(_A3="B-767-200",'2025'!$D$4="CA",'2025'!$D$2=BE5),'2025DATA'!$N$17,"")</f>
        <v/>
      </c>
      <c r="BF20" s="940" t="s">
        <v>68</v>
      </c>
      <c r="BG20" s="13" t="s">
        <v>61</v>
      </c>
      <c r="BH20" s="518" t="str">
        <f>IF(AND(_A4="B-767-200",'2025'!$D$4="CA",'2025'!$D$2=BH5),'2025DATA'!$C$17,"")</f>
        <v/>
      </c>
      <c r="BI20" s="518" t="str">
        <f>IF(AND(_A4="B-767-200",'2025'!$D$4="CA",'2025'!$D$2=BI5),'2025DATA'!$D$17,"")</f>
        <v/>
      </c>
      <c r="BJ20" s="518" t="str">
        <f>IF(AND(_A4="B-767-200",'2025'!$D$4="CA",'2025'!$D$2=BJ5),'2025DATA'!$E$17,"")</f>
        <v/>
      </c>
      <c r="BK20" s="518" t="str">
        <f>IF(AND(_A4="B-767-200",'2025'!$D$4="CA",'2025'!$D$2=BK5),'2025DATA'!$F$17,"")</f>
        <v/>
      </c>
      <c r="BL20" s="518" t="str">
        <f>IF(AND(_A4="B-767-200",'2025'!$D$4="CA",'2025'!$D$2=BL5),'2025DATA'!$G$17,"")</f>
        <v/>
      </c>
      <c r="BM20" s="518" t="str">
        <f>IF(AND(_A4="B-767-200",'2025'!$D$4="CA",'2025'!$D$2=BM5),'2025DATA'!$H$17,"")</f>
        <v/>
      </c>
      <c r="BN20" s="518" t="str">
        <f>IF(AND(_A4="B-767-200",'2025'!$D$4="CA",'2025'!$D$2=BN5),'2025DATA'!$I$17,"")</f>
        <v/>
      </c>
      <c r="BO20" s="518" t="str">
        <f>IF(AND(_A4="B-767-200",'2025'!$D$4="CA",'2025'!$D$2=BO5),'2025DATA'!$J$17,"")</f>
        <v/>
      </c>
      <c r="BP20" s="518" t="str">
        <f>IF(AND(_A4="B-767-200",'2025'!$D$4="CA",'2025'!$D$2=BP5),'2025DATA'!$K$17,"")</f>
        <v/>
      </c>
      <c r="BQ20" s="518" t="str">
        <f>IF(AND(_A4="B-767-200",'2025'!$D$4="CA",'2025'!$D$2=BQ5),'2025DATA'!$L$17,"")</f>
        <v/>
      </c>
      <c r="BR20" s="518" t="str">
        <f>IF(AND(_A4="B-767-200",'2025'!$D$4="CA",'2025'!$D$2=BR5),'2025DATA'!$M$17,"")</f>
        <v/>
      </c>
      <c r="BS20" s="520" t="str">
        <f>IF(AND(_A4="B-767-200",'2025'!$D$4="CA",'2025'!$D$2=BS5),'2025DATA'!$N$17,"")</f>
        <v/>
      </c>
      <c r="BT20" s="940" t="s">
        <v>68</v>
      </c>
      <c r="BU20" s="13" t="s">
        <v>61</v>
      </c>
      <c r="BV20" s="518" t="str">
        <f>IF(AND(_A5="B-767-200",'2025'!$D$4="CA",'2025'!$D$2=BV5),'2025DATA'!$C$17,"")</f>
        <v/>
      </c>
      <c r="BW20" s="518" t="str">
        <f>IF(AND(_A5="B-767-200",'2025'!$D$4="CA",'2025'!$D$2=BW5),'2025DATA'!$D$17,"")</f>
        <v/>
      </c>
      <c r="BX20" s="518" t="str">
        <f>IF(AND(_A5="B-767-200",'2025'!$D$4="CA",'2025'!$D$2=BX5),'2025DATA'!$E$17,"")</f>
        <v/>
      </c>
      <c r="BY20" s="518" t="str">
        <f>IF(AND(_A5="B-767-200",'2025'!$D$4="CA",'2025'!$D$2=BY5),'2025DATA'!$F$17,"")</f>
        <v/>
      </c>
      <c r="BZ20" s="518" t="str">
        <f>IF(AND(_A5="B-767-200",'2025'!$D$4="CA",'2025'!$D$2=BZ5),'2025DATA'!$G$17,"")</f>
        <v/>
      </c>
      <c r="CA20" s="518" t="str">
        <f>IF(AND(_A5="B-767-200",'2025'!$D$4="CA",'2025'!$D$2=CA5),'2025DATA'!$H$17,"")</f>
        <v/>
      </c>
      <c r="CB20" s="518" t="str">
        <f>IF(AND(_A5="B-767-200",'2025'!$D$4="CA",'2025'!$D$2=CB5),'2025DATA'!$I$17,"")</f>
        <v/>
      </c>
      <c r="CC20" s="518" t="str">
        <f>IF(AND(_A5="B-767-200",'2025'!$D$4="CA",'2025'!$D$2=CC5),'2025DATA'!$J$17,"")</f>
        <v/>
      </c>
      <c r="CD20" s="518" t="str">
        <f>IF(AND(_A5="B-767-200",'2025'!$D$4="CA",'2025'!$D$2=CD5),'2025DATA'!$K$17,"")</f>
        <v/>
      </c>
      <c r="CE20" s="518" t="str">
        <f>IF(AND(_A5="B-767-200",'2025'!$D$4="CA",'2025'!$D$2=CE5),'2025DATA'!$L$17,"")</f>
        <v/>
      </c>
      <c r="CF20" s="518" t="str">
        <f>IF(AND(_A5="B-767-200",'2025'!$D$4="CA",'2025'!$D$2=CF5),'2025DATA'!$M$17,"")</f>
        <v/>
      </c>
      <c r="CG20" s="520" t="str">
        <f>IF(AND(_A5="B-767-200",'2025'!$D$4="CA",'2025'!$D$2=CG5),'2025DATA'!$N$17,"")</f>
        <v/>
      </c>
      <c r="CH20" s="940" t="s">
        <v>68</v>
      </c>
      <c r="CI20" s="13" t="s">
        <v>61</v>
      </c>
      <c r="CJ20" s="518" t="str">
        <f>IF(AND(_A6="B-767-200",'2025'!$D$4="CA",'2025'!$D$2=CJ5),'2025DATA'!$C$17,"")</f>
        <v/>
      </c>
      <c r="CK20" s="518" t="str">
        <f>IF(AND(_A6="B-767-200",'2025'!$D$4="CA",'2025'!$D$2=CK5),'2025DATA'!$D$17,"")</f>
        <v/>
      </c>
      <c r="CL20" s="518" t="str">
        <f>IF(AND(_A6="B-767-200",'2025'!$D$4="CA",'2025'!$D$2=CL5),'2025DATA'!$E$17,"")</f>
        <v/>
      </c>
      <c r="CM20" s="518" t="str">
        <f>IF(AND(_A6="B-767-200",'2025'!$D$4="CA",'2025'!$D$2=CM5),'2025DATA'!$F$17,"")</f>
        <v/>
      </c>
      <c r="CN20" s="518" t="str">
        <f>IF(AND(_A6="B-767-200",'2025'!$D$4="CA",'2025'!$D$2=CN5),'2025DATA'!$G$17,"")</f>
        <v/>
      </c>
      <c r="CO20" s="518" t="str">
        <f>IF(AND(_A6="B-767-200",'2025'!$D$4="CA",'2025'!$D$2=CO5),'2025DATA'!$H$17,"")</f>
        <v/>
      </c>
      <c r="CP20" s="518" t="str">
        <f>IF(AND(_A6="B-767-200",'2025'!$D$4="CA",'2025'!$D$2=CP5),'2025DATA'!$I$17,"")</f>
        <v/>
      </c>
      <c r="CQ20" s="518" t="str">
        <f>IF(AND(_A6="B-767-200",'2025'!$D$4="CA",'2025'!$D$2=CQ5),'2025DATA'!$J$17,"")</f>
        <v/>
      </c>
      <c r="CR20" s="518" t="str">
        <f>IF(AND(_A6="B-767-200",'2025'!$D$4="CA",'2025'!$D$2=CR5),'2025DATA'!$K$17,"")</f>
        <v/>
      </c>
      <c r="CS20" s="518" t="str">
        <f>IF(AND(_A6="B-767-200",'2025'!$D$4="CA",'2025'!$D$2=CS5),'2025DATA'!$L$17,"")</f>
        <v/>
      </c>
      <c r="CT20" s="518" t="str">
        <f>IF(AND(_A6="B-767-200",'2025'!$D$4="CA",'2025'!$D$2=CT5),'2025DATA'!$M$17,"")</f>
        <v/>
      </c>
      <c r="CU20" s="520" t="str">
        <f>IF(AND(_A6="B-767-200",'2025'!$D$4="CA",'2025'!$D$2=CU5),'2025DATA'!$N$17,"")</f>
        <v/>
      </c>
    </row>
    <row r="21" spans="1:99" x14ac:dyDescent="0.25">
      <c r="A21" s="987" t="s">
        <v>47</v>
      </c>
      <c r="B21" s="64" t="s">
        <v>61</v>
      </c>
      <c r="C21" s="28">
        <v>375.28</v>
      </c>
      <c r="D21" s="29">
        <v>372.38</v>
      </c>
      <c r="E21" s="29">
        <v>369.49</v>
      </c>
      <c r="F21" s="29">
        <v>366.76</v>
      </c>
      <c r="G21" s="29">
        <v>363.87</v>
      </c>
      <c r="H21" s="29">
        <v>361.04</v>
      </c>
      <c r="I21" s="29">
        <v>358.22</v>
      </c>
      <c r="J21" s="29">
        <v>355.38</v>
      </c>
      <c r="K21" s="29">
        <v>352.51</v>
      </c>
      <c r="L21" s="29">
        <v>349.68</v>
      </c>
      <c r="M21" s="29">
        <v>346.95</v>
      </c>
      <c r="N21" s="30">
        <v>344.25</v>
      </c>
      <c r="P21" s="940"/>
      <c r="Q21" s="13" t="s">
        <v>62</v>
      </c>
      <c r="R21" s="518" t="str">
        <f>IF(AND(_A1="B-767-200",'2025'!$D$4="FO",'2025'!$D$2=R5),'2025DATA'!$C$18,"")</f>
        <v/>
      </c>
      <c r="S21" s="518" t="str">
        <f>IF(AND(_A1="B-767-200",'2025'!$D$4="FO",'2025'!$D$2=S5),'2025DATA'!$D$18,"")</f>
        <v/>
      </c>
      <c r="T21" s="518" t="str">
        <f>IF(AND(_A1="B-767-200",'2025'!$D$4="FO",'2025'!$D$2=T5),'2025DATA'!$E$18,"")</f>
        <v/>
      </c>
      <c r="U21" s="518" t="str">
        <f>IF(AND(_A1="B-767-200",'2025'!$D$4="FO",'2025'!$D$2=U5),'2025DATA'!$F$18,"")</f>
        <v/>
      </c>
      <c r="V21" s="518" t="str">
        <f>IF(AND(_A1="B-767-200",'2025'!$D$4="FO",'2025'!$D$2=V5),'2025DATA'!$G$18,"")</f>
        <v/>
      </c>
      <c r="W21" s="518" t="str">
        <f>IF(AND(_A1="B-767-200",'2025'!$D$4="FO",'2025'!$D$2=W5),'2025DATA'!$H$18,"")</f>
        <v/>
      </c>
      <c r="X21" s="518" t="str">
        <f>IF(AND(_A1="B-767-200",'2025'!$D$4="FO",'2025'!$D$2=X5),'2025DATA'!$I$18,"")</f>
        <v/>
      </c>
      <c r="Y21" s="518" t="str">
        <f>IF(AND(_A1="B-767-200",'2025'!$D$4="FO",'2025'!$D$2=Y5),'2025DATA'!$J$18,"")</f>
        <v/>
      </c>
      <c r="Z21" s="518" t="str">
        <f>IF(AND(_A1="B-767-200",'2025'!$D$4="FO",'2025'!$D$2=Z5),'2025DATA'!$K$18,"")</f>
        <v/>
      </c>
      <c r="AA21" s="518" t="str">
        <f>IF(AND(_A1="B-767-200",'2025'!$D$4="FO",'2025'!$D$2=AA5),'2025DATA'!$L$18,"")</f>
        <v/>
      </c>
      <c r="AB21" s="518" t="str">
        <f>IF(AND(_A1="B-767-200",'2025'!$D$4="FO",'2025'!$D$2=AB5),'2025DATA'!$M$18,"")</f>
        <v/>
      </c>
      <c r="AC21" s="520" t="str">
        <f>IF(AND(_A1="B-767-200",'2025'!$D$4="FO",'2025'!$D$2=AC5),'2025DATA'!$N$18,"")</f>
        <v/>
      </c>
      <c r="AD21" s="940"/>
      <c r="AE21" s="13" t="s">
        <v>62</v>
      </c>
      <c r="AF21" s="518" t="str">
        <f>IF(AND(_A2="B-767-200",'2025'!$D$4="FO",'2025'!$D$2=AF5),'2025DATA'!$C$18,"")</f>
        <v/>
      </c>
      <c r="AG21" s="518" t="str">
        <f>IF(AND(_A2="B-767-200",'2025'!$D$4="FO",'2025'!$D$2=AG5),'2025DATA'!$D$18,"")</f>
        <v/>
      </c>
      <c r="AH21" s="518" t="str">
        <f>IF(AND(_A2="B-767-200",'2025'!$D$4="FO",'2025'!$D$2=AH5),'2025DATA'!$E$18,"")</f>
        <v/>
      </c>
      <c r="AI21" s="518" t="str">
        <f>IF(AND(_A2="B-767-200",'2025'!$D$4="FO",'2025'!$D$2=AI5),'2025DATA'!$F$18,"")</f>
        <v/>
      </c>
      <c r="AJ21" s="518" t="str">
        <f>IF(AND(_A2="B-767-200",'2025'!$D$4="FO",'2025'!$D$2=AJ5),'2025DATA'!$G$18,"")</f>
        <v/>
      </c>
      <c r="AK21" s="518" t="str">
        <f>IF(AND(_A2="B-767-200",'2025'!$D$4="FO",'2025'!$D$2=AK5),'2025DATA'!$H$18,"")</f>
        <v/>
      </c>
      <c r="AL21" s="518" t="str">
        <f>IF(AND(_A2="B-767-200",'2025'!$D$4="FO",'2025'!$D$2=AL5),'2025DATA'!$I$18,"")</f>
        <v/>
      </c>
      <c r="AM21" s="518" t="str">
        <f>IF(AND(_A2="B-767-200",'2025'!$D$4="FO",'2025'!$D$2=AM5),'2025DATA'!$J$18,"")</f>
        <v/>
      </c>
      <c r="AN21" s="518" t="str">
        <f>IF(AND(_A2="B-767-200",'2025'!$D$4="FO",'2025'!$D$2=AN5),'2025DATA'!$K$18,"")</f>
        <v/>
      </c>
      <c r="AO21" s="518" t="str">
        <f>IF(AND(_A2="B-767-200",'2025'!$D$4="FO",'2025'!$D$2=AO5),'2025DATA'!$L$18,"")</f>
        <v/>
      </c>
      <c r="AP21" s="518" t="str">
        <f>IF(AND(_A2="B-767-200",'2025'!$D$4="FO",'2025'!$D$2=AP5),'2025DATA'!$M$18,"")</f>
        <v/>
      </c>
      <c r="AQ21" s="520" t="str">
        <f>IF(AND(_A2="B-767-200",'2025'!$D$4="FO",'2025'!$D$2=AQ5),'2025DATA'!$N$18,"")</f>
        <v/>
      </c>
      <c r="AR21" s="940"/>
      <c r="AS21" s="13" t="s">
        <v>62</v>
      </c>
      <c r="AT21" s="518" t="str">
        <f>IF(AND(_A3="B-767-200",'2025'!$D$4="FO",'2025'!$D$2=AT5),'2025DATA'!$C$18,"")</f>
        <v/>
      </c>
      <c r="AU21" s="518" t="str">
        <f>IF(AND(_A3="B-767-200",'2025'!$D$4="FO",'2025'!$D$2=AU5),'2025DATA'!$D$18,"")</f>
        <v/>
      </c>
      <c r="AV21" s="518" t="str">
        <f>IF(AND(_A3="B-767-200",'2025'!$D$4="FO",'2025'!$D$2=AV5),'2025DATA'!$E$18,"")</f>
        <v/>
      </c>
      <c r="AW21" s="518" t="str">
        <f>IF(AND(_A3="B-767-200",'2025'!$D$4="FO",'2025'!$D$2=AW5),'2025DATA'!$F$18,"")</f>
        <v/>
      </c>
      <c r="AX21" s="518" t="str">
        <f>IF(AND(_A3="B-767-200",'2025'!$D$4="FO",'2025'!$D$2=AX5),'2025DATA'!$G$18,"")</f>
        <v/>
      </c>
      <c r="AY21" s="518" t="str">
        <f>IF(AND(_A3="B-767-200",'2025'!$D$4="FO",'2025'!$D$2=AY5),'2025DATA'!$H$18,"")</f>
        <v/>
      </c>
      <c r="AZ21" s="518" t="str">
        <f>IF(AND(_A3="B-767-200",'2025'!$D$4="FO",'2025'!$D$2=AZ5),'2025DATA'!$I$18,"")</f>
        <v/>
      </c>
      <c r="BA21" s="518" t="str">
        <f>IF(AND(_A3="B-767-200",'2025'!$D$4="FO",'2025'!$D$2=BA5),'2025DATA'!$J$18,"")</f>
        <v/>
      </c>
      <c r="BB21" s="518" t="str">
        <f>IF(AND(_A3="B-767-200",'2025'!$D$4="FO",'2025'!$D$2=BB5),'2025DATA'!$K$18,"")</f>
        <v/>
      </c>
      <c r="BC21" s="518" t="str">
        <f>IF(AND(_A3="B-767-200",'2025'!$D$4="FO",'2025'!$D$2=BC5),'2025DATA'!$L$18,"")</f>
        <v/>
      </c>
      <c r="BD21" s="518" t="str">
        <f>IF(AND(_A3="B-767-200",'2025'!$D$4="FO",'2025'!$D$2=BD5),'2025DATA'!$M$18,"")</f>
        <v/>
      </c>
      <c r="BE21" s="520" t="str">
        <f>IF(AND(_A3="B-767-200",'2025'!$D$4="FO",'2025'!$D$2=BE5),'2025DATA'!$N$18,"")</f>
        <v/>
      </c>
      <c r="BF21" s="940"/>
      <c r="BG21" s="13" t="s">
        <v>62</v>
      </c>
      <c r="BH21" s="518" t="str">
        <f>IF(AND(_A4="B-767-200",'2025'!$D$4="FO",'2025'!$D$2=BH5),'2025DATA'!$C$18,"")</f>
        <v/>
      </c>
      <c r="BI21" s="518" t="str">
        <f>IF(AND(_A4="B-767-200",'2025'!$D$4="FO",'2025'!$D$2=BI5),'2025DATA'!$D$18,"")</f>
        <v/>
      </c>
      <c r="BJ21" s="518" t="str">
        <f>IF(AND(_A4="B-767-200",'2025'!$D$4="FO",'2025'!$D$2=BJ5),'2025DATA'!$E$18,"")</f>
        <v/>
      </c>
      <c r="BK21" s="518" t="str">
        <f>IF(AND(_A4="B-767-200",'2025'!$D$4="FO",'2025'!$D$2=BK5),'2025DATA'!$F$18,"")</f>
        <v/>
      </c>
      <c r="BL21" s="518" t="str">
        <f>IF(AND(_A4="B-767-200",'2025'!$D$4="FO",'2025'!$D$2=BL5),'2025DATA'!$G$18,"")</f>
        <v/>
      </c>
      <c r="BM21" s="518" t="str">
        <f>IF(AND(_A4="B-767-200",'2025'!$D$4="FO",'2025'!$D$2=BM5),'2025DATA'!$H$18,"")</f>
        <v/>
      </c>
      <c r="BN21" s="518" t="str">
        <f>IF(AND(_A4="B-767-200",'2025'!$D$4="FO",'2025'!$D$2=BN5),'2025DATA'!$I$18,"")</f>
        <v/>
      </c>
      <c r="BO21" s="518" t="str">
        <f>IF(AND(_A4="B-767-200",'2025'!$D$4="FO",'2025'!$D$2=BO5),'2025DATA'!$J$18,"")</f>
        <v/>
      </c>
      <c r="BP21" s="518" t="str">
        <f>IF(AND(_A4="B-767-200",'2025'!$D$4="FO",'2025'!$D$2=BP5),'2025DATA'!$K$18,"")</f>
        <v/>
      </c>
      <c r="BQ21" s="518" t="str">
        <f>IF(AND(_A4="B-767-200",'2025'!$D$4="FO",'2025'!$D$2=BQ5),'2025DATA'!$L$18,"")</f>
        <v/>
      </c>
      <c r="BR21" s="518" t="str">
        <f>IF(AND(_A4="B-767-200",'2025'!$D$4="FO",'2025'!$D$2=BR5),'2025DATA'!$M$18,"")</f>
        <v/>
      </c>
      <c r="BS21" s="520" t="str">
        <f>IF(AND(_A4="B-767-200",'2025'!$D$4="FO",'2025'!$D$2=BS5),'2025DATA'!$N$18,"")</f>
        <v/>
      </c>
      <c r="BT21" s="940"/>
      <c r="BU21" s="13" t="s">
        <v>62</v>
      </c>
      <c r="BV21" s="518" t="str">
        <f>IF(AND(_A5="B-767-200",'2025'!$D$4="FO",'2025'!$D$2=BV5),'2025DATA'!$C$18,"")</f>
        <v/>
      </c>
      <c r="BW21" s="518" t="str">
        <f>IF(AND(_A5="B-767-200",'2025'!$D$4="FO",'2025'!$D$2=BW5),'2025DATA'!$D$18,"")</f>
        <v/>
      </c>
      <c r="BX21" s="518" t="str">
        <f>IF(AND(_A5="B-767-200",'2025'!$D$4="FO",'2025'!$D$2=BX5),'2025DATA'!$E$18,"")</f>
        <v/>
      </c>
      <c r="BY21" s="518" t="str">
        <f>IF(AND(_A5="B-767-200",'2025'!$D$4="FO",'2025'!$D$2=BY5),'2025DATA'!$F$18,"")</f>
        <v/>
      </c>
      <c r="BZ21" s="518" t="str">
        <f>IF(AND(_A5="B-767-200",'2025'!$D$4="FO",'2025'!$D$2=BZ5),'2025DATA'!$G$18,"")</f>
        <v/>
      </c>
      <c r="CA21" s="518" t="str">
        <f>IF(AND(_A5="B-767-200",'2025'!$D$4="FO",'2025'!$D$2=CA5),'2025DATA'!$H$18,"")</f>
        <v/>
      </c>
      <c r="CB21" s="518" t="str">
        <f>IF(AND(_A5="B-767-200",'2025'!$D$4="FO",'2025'!$D$2=CB5),'2025DATA'!$I$18,"")</f>
        <v/>
      </c>
      <c r="CC21" s="518" t="str">
        <f>IF(AND(_A5="B-767-200",'2025'!$D$4="FO",'2025'!$D$2=CC5),'2025DATA'!$J$18,"")</f>
        <v/>
      </c>
      <c r="CD21" s="518" t="str">
        <f>IF(AND(_A5="B-767-200",'2025'!$D$4="FO",'2025'!$D$2=CD5),'2025DATA'!$K$18,"")</f>
        <v/>
      </c>
      <c r="CE21" s="518" t="str">
        <f>IF(AND(_A5="B-767-200",'2025'!$D$4="FO",'2025'!$D$2=CE5),'2025DATA'!$L$18,"")</f>
        <v/>
      </c>
      <c r="CF21" s="518" t="str">
        <f>IF(AND(_A5="B-767-200",'2025'!$D$4="FO",'2025'!$D$2=CF5),'2025DATA'!$M$18,"")</f>
        <v/>
      </c>
      <c r="CG21" s="520" t="str">
        <f>IF(AND(_A5="B-767-200",'2025'!$D$4="FO",'2025'!$D$2=CG5),'2025DATA'!$N$18,"")</f>
        <v/>
      </c>
      <c r="CH21" s="940"/>
      <c r="CI21" s="13" t="s">
        <v>62</v>
      </c>
      <c r="CJ21" s="518" t="str">
        <f>IF(AND(_A6="B-767-200",'2025'!$D$4="FO",'2025'!$D$2=CJ5),'2025DATA'!$C$18,"")</f>
        <v/>
      </c>
      <c r="CK21" s="518" t="str">
        <f>IF(AND(_A6="B-767-200",'2025'!$D$4="FO",'2025'!$D$2=CK5),'2025DATA'!$D$18,"")</f>
        <v/>
      </c>
      <c r="CL21" s="518" t="str">
        <f>IF(AND(_A6="B-767-200",'2025'!$D$4="FO",'2025'!$D$2=CL5),'2025DATA'!$E$18,"")</f>
        <v/>
      </c>
      <c r="CM21" s="518" t="str">
        <f>IF(AND(_A6="B-767-200",'2025'!$D$4="FO",'2025'!$D$2=CM5),'2025DATA'!$F$18,"")</f>
        <v/>
      </c>
      <c r="CN21" s="518" t="str">
        <f>IF(AND(_A6="B-767-200",'2025'!$D$4="FO",'2025'!$D$2=CN5),'2025DATA'!$G$18,"")</f>
        <v/>
      </c>
      <c r="CO21" s="518" t="str">
        <f>IF(AND(_A6="B-767-200",'2025'!$D$4="FO",'2025'!$D$2=CO5),'2025DATA'!$H$18,"")</f>
        <v/>
      </c>
      <c r="CP21" s="518" t="str">
        <f>IF(AND(_A6="B-767-200",'2025'!$D$4="FO",'2025'!$D$2=CP5),'2025DATA'!$I$18,"")</f>
        <v/>
      </c>
      <c r="CQ21" s="518" t="str">
        <f>IF(AND(_A6="B-767-200",'2025'!$D$4="FO",'2025'!$D$2=CQ5),'2025DATA'!$J$18,"")</f>
        <v/>
      </c>
      <c r="CR21" s="518" t="str">
        <f>IF(AND(_A6="B-767-200",'2025'!$D$4="FO",'2025'!$D$2=CR5),'2025DATA'!$K$18,"")</f>
        <v/>
      </c>
      <c r="CS21" s="518" t="str">
        <f>IF(AND(_A6="B-767-200",'2025'!$D$4="FO",'2025'!$D$2=CS5),'2025DATA'!$L$18,"")</f>
        <v/>
      </c>
      <c r="CT21" s="518" t="str">
        <f>IF(AND(_A6="B-767-200",'2025'!$D$4="FO",'2025'!$D$2=CT5),'2025DATA'!$M$18,"")</f>
        <v/>
      </c>
      <c r="CU21" s="520" t="str">
        <f>IF(AND(_A6="B-767-200",'2025'!$D$4="FO",'2025'!$D$2=CU5),'2025DATA'!$N$18,"")</f>
        <v/>
      </c>
    </row>
    <row r="22" spans="1:99" x14ac:dyDescent="0.25">
      <c r="A22" s="987"/>
      <c r="B22" s="64" t="s">
        <v>62</v>
      </c>
      <c r="C22" s="28">
        <v>256.33</v>
      </c>
      <c r="D22" s="29">
        <v>253.97</v>
      </c>
      <c r="E22" s="29">
        <v>251.66</v>
      </c>
      <c r="F22" s="29">
        <v>248.28</v>
      </c>
      <c r="G22" s="29">
        <v>245.64</v>
      </c>
      <c r="H22" s="29">
        <v>240.11</v>
      </c>
      <c r="I22" s="29">
        <v>233.57</v>
      </c>
      <c r="J22" s="29">
        <v>227.77</v>
      </c>
      <c r="K22" s="29">
        <v>222.43</v>
      </c>
      <c r="L22" s="29">
        <v>217.17</v>
      </c>
      <c r="M22" s="29">
        <v>185.59</v>
      </c>
      <c r="N22" s="30">
        <v>120.69</v>
      </c>
      <c r="P22" s="940" t="s">
        <v>45</v>
      </c>
      <c r="Q22" s="13" t="s">
        <v>61</v>
      </c>
      <c r="R22" s="518" t="str">
        <f>IF(AND(_A1="B-757",'2025'!$D$4="CA",'2025'!$D$2=R5),'2025DATA'!$C$19,"")</f>
        <v/>
      </c>
      <c r="S22" s="518" t="str">
        <f>IF(AND(_A1="B-757",'2025'!$D$4="CA",'2025'!$D$2=S5),'2025DATA'!$D$19,"")</f>
        <v/>
      </c>
      <c r="T22" s="518" t="str">
        <f>IF(AND(_A1="B-757",'2025'!$D$4="CA",'2025'!$D$2=T5),'2025DATA'!$E$19,"")</f>
        <v/>
      </c>
      <c r="U22" s="518" t="str">
        <f>IF(AND(_A1="B-757",'2025'!$D$4="CA",'2025'!$D$2=U5),'2025DATA'!$F$19,"")</f>
        <v/>
      </c>
      <c r="V22" s="518" t="str">
        <f>IF(AND(_A1="B-757",'2025'!$D$4="CA",'2025'!$D$2=V5),'2025DATA'!$G$19,"")</f>
        <v/>
      </c>
      <c r="W22" s="518" t="str">
        <f>IF(AND(_A1="B-757",'2025'!$D$4="CA",'2025'!$D$2=W5),'2025DATA'!$H$19,"")</f>
        <v/>
      </c>
      <c r="X22" s="518" t="str">
        <f>IF(AND(_A1="B-757",'2025'!$D$4="CA",'2025'!$D$2=X5),'2025DATA'!$I$19,"")</f>
        <v/>
      </c>
      <c r="Y22" s="518" t="str">
        <f>IF(AND(_A1="B-757",'2025'!$D$4="CA",'2025'!$D$2=Y5),'2025DATA'!$J$19,"")</f>
        <v/>
      </c>
      <c r="Z22" s="518" t="str">
        <f>IF(AND(_A1="B-757",'2025'!$D$4="CA",'2025'!$D$2=Z5),'2025DATA'!$K$19,"")</f>
        <v/>
      </c>
      <c r="AA22" s="518" t="str">
        <f>IF(AND(_A1="B-757",'2025'!$D$4="CA",'2025'!$D$2=AA5),'2025DATA'!$L$19,"")</f>
        <v/>
      </c>
      <c r="AB22" s="518" t="str">
        <f>IF(AND(_A1="B-757",'2025'!$D$4="CA",'2025'!$D$2=AB5),'2025DATA'!$M$19,"")</f>
        <v/>
      </c>
      <c r="AC22" s="520" t="str">
        <f>IF(AND(_A1="B-757",'2025'!$D$4="CA",'2025'!$D$2=AC5),'2025DATA'!$N$19,"")</f>
        <v/>
      </c>
      <c r="AD22" s="940" t="s">
        <v>45</v>
      </c>
      <c r="AE22" s="13" t="s">
        <v>61</v>
      </c>
      <c r="AF22" s="518" t="str">
        <f>IF(AND(_A2="B-757",'2025'!$D$4="CA",'2025'!$D$2=AF5),'2025DATA'!$C$19,"")</f>
        <v/>
      </c>
      <c r="AG22" s="518" t="str">
        <f>IF(AND(_A2="B-757",'2025'!$D$4="CA",'2025'!$D$2=AG5),'2025DATA'!$D$19,"")</f>
        <v/>
      </c>
      <c r="AH22" s="518" t="str">
        <f>IF(AND(_A2="B-757",'2025'!$D$4="CA",'2025'!$D$2=AH5),'2025DATA'!$E$19,"")</f>
        <v/>
      </c>
      <c r="AI22" s="518" t="str">
        <f>IF(AND(_A2="B-757",'2025'!$D$4="CA",'2025'!$D$2=AI5),'2025DATA'!$F$19,"")</f>
        <v/>
      </c>
      <c r="AJ22" s="518" t="str">
        <f>IF(AND(_A2="B-757",'2025'!$D$4="CA",'2025'!$D$2=AJ5),'2025DATA'!$G$19,"")</f>
        <v/>
      </c>
      <c r="AK22" s="518" t="str">
        <f>IF(AND(_A2="B-757",'2025'!$D$4="CA",'2025'!$D$2=AK5),'2025DATA'!$H$19,"")</f>
        <v/>
      </c>
      <c r="AL22" s="518" t="str">
        <f>IF(AND(_A2="B-757",'2025'!$D$4="CA",'2025'!$D$2=AL5),'2025DATA'!$I$19,"")</f>
        <v/>
      </c>
      <c r="AM22" s="518" t="str">
        <f>IF(AND(_A2="B-757",'2025'!$D$4="CA",'2025'!$D$2=AM5),'2025DATA'!$J$19,"")</f>
        <v/>
      </c>
      <c r="AN22" s="518" t="str">
        <f>IF(AND(_A2="B-757",'2025'!$D$4="CA",'2025'!$D$2=AN5),'2025DATA'!$K$19,"")</f>
        <v/>
      </c>
      <c r="AO22" s="518" t="str">
        <f>IF(AND(_A2="B-757",'2025'!$D$4="CA",'2025'!$D$2=AO5),'2025DATA'!$L$19,"")</f>
        <v/>
      </c>
      <c r="AP22" s="518" t="str">
        <f>IF(AND(_A2="B-757",'2025'!$D$4="CA",'2025'!$D$2=AP5),'2025DATA'!$M$19,"")</f>
        <v/>
      </c>
      <c r="AQ22" s="520" t="str">
        <f>IF(AND(_A2="B-757",'2025'!$D$4="CA",'2025'!$D$2=AQ5),'2025DATA'!$N$19,"")</f>
        <v/>
      </c>
      <c r="AR22" s="940" t="s">
        <v>45</v>
      </c>
      <c r="AS22" s="13" t="s">
        <v>61</v>
      </c>
      <c r="AT22" s="518" t="str">
        <f>IF(AND(_A3="B-757",'2025'!$D$4="CA",'2025'!$D$2=AT5),'2025DATA'!$C$19,"")</f>
        <v/>
      </c>
      <c r="AU22" s="518" t="str">
        <f>IF(AND(_A3="B-757",'2025'!$D$4="CA",'2025'!$D$2=AU5),'2025DATA'!$D$19,"")</f>
        <v/>
      </c>
      <c r="AV22" s="518" t="str">
        <f>IF(AND(_A3="B-757",'2025'!$D$4="CA",'2025'!$D$2=AV5),'2025DATA'!$E$19,"")</f>
        <v/>
      </c>
      <c r="AW22" s="518" t="str">
        <f>IF(AND(_A3="B-757",'2025'!$D$4="CA",'2025'!$D$2=AW5),'2025DATA'!$F$19,"")</f>
        <v/>
      </c>
      <c r="AX22" s="518" t="str">
        <f>IF(AND(_A3="B-757",'2025'!$D$4="CA",'2025'!$D$2=AX5),'2025DATA'!$G$19,"")</f>
        <v/>
      </c>
      <c r="AY22" s="518" t="str">
        <f>IF(AND(_A3="B-757",'2025'!$D$4="CA",'2025'!$D$2=AY5),'2025DATA'!$H$19,"")</f>
        <v/>
      </c>
      <c r="AZ22" s="518" t="str">
        <f>IF(AND(_A3="B-757",'2025'!$D$4="CA",'2025'!$D$2=AZ5),'2025DATA'!$I$19,"")</f>
        <v/>
      </c>
      <c r="BA22" s="518" t="str">
        <f>IF(AND(_A3="B-757",'2025'!$D$4="CA",'2025'!$D$2=BA5),'2025DATA'!$J$19,"")</f>
        <v/>
      </c>
      <c r="BB22" s="518" t="str">
        <f>IF(AND(_A3="B-757",'2025'!$D$4="CA",'2025'!$D$2=BB5),'2025DATA'!$K$19,"")</f>
        <v/>
      </c>
      <c r="BC22" s="518" t="str">
        <f>IF(AND(_A3="B-757",'2025'!$D$4="CA",'2025'!$D$2=BC5),'2025DATA'!$L$19,"")</f>
        <v/>
      </c>
      <c r="BD22" s="518" t="str">
        <f>IF(AND(_A3="B-757",'2025'!$D$4="CA",'2025'!$D$2=BD5),'2025DATA'!$M$19,"")</f>
        <v/>
      </c>
      <c r="BE22" s="520" t="str">
        <f>IF(AND(_A3="B-757",'2025'!$D$4="CA",'2025'!$D$2=BE5),'2025DATA'!$N$19,"")</f>
        <v/>
      </c>
      <c r="BF22" s="940" t="s">
        <v>45</v>
      </c>
      <c r="BG22" s="13" t="s">
        <v>61</v>
      </c>
      <c r="BH22" s="518" t="str">
        <f>IF(AND(_A4="B-757",'2025'!$D$4="CA",'2025'!$D$2=BH5),'2025DATA'!$C$19,"")</f>
        <v/>
      </c>
      <c r="BI22" s="518" t="str">
        <f>IF(AND(_A4="B-757",'2025'!$D$4="CA",'2025'!$D$2=BI5),'2025DATA'!$D$19,"")</f>
        <v/>
      </c>
      <c r="BJ22" s="518" t="str">
        <f>IF(AND(_A4="B-757",'2025'!$D$4="CA",'2025'!$D$2=BJ5),'2025DATA'!$E$19,"")</f>
        <v/>
      </c>
      <c r="BK22" s="518" t="str">
        <f>IF(AND(_A4="B-757",'2025'!$D$4="CA",'2025'!$D$2=BK5),'2025DATA'!$F$19,"")</f>
        <v/>
      </c>
      <c r="BL22" s="518" t="str">
        <f>IF(AND(_A4="B-757",'2025'!$D$4="CA",'2025'!$D$2=BL5),'2025DATA'!$G$19,"")</f>
        <v/>
      </c>
      <c r="BM22" s="518" t="str">
        <f>IF(AND(_A4="B-757",'2025'!$D$4="CA",'2025'!$D$2=BM5),'2025DATA'!$H$19,"")</f>
        <v/>
      </c>
      <c r="BN22" s="518" t="str">
        <f>IF(AND(_A4="B-757",'2025'!$D$4="CA",'2025'!$D$2=BN5),'2025DATA'!$I$19,"")</f>
        <v/>
      </c>
      <c r="BO22" s="518" t="str">
        <f>IF(AND(_A4="B-757",'2025'!$D$4="CA",'2025'!$D$2=BO5),'2025DATA'!$J$19,"")</f>
        <v/>
      </c>
      <c r="BP22" s="518" t="str">
        <f>IF(AND(_A4="B-757",'2025'!$D$4="CA",'2025'!$D$2=BP5),'2025DATA'!$K$19,"")</f>
        <v/>
      </c>
      <c r="BQ22" s="518" t="str">
        <f>IF(AND(_A4="B-757",'2025'!$D$4="CA",'2025'!$D$2=BQ5),'2025DATA'!$L$19,"")</f>
        <v/>
      </c>
      <c r="BR22" s="518" t="str">
        <f>IF(AND(_A4="B-757",'2025'!$D$4="CA",'2025'!$D$2=BR5),'2025DATA'!$M$19,"")</f>
        <v/>
      </c>
      <c r="BS22" s="520" t="str">
        <f>IF(AND(_A4="B-757",'2025'!$D$4="CA",'2025'!$D$2=BS5),'2025DATA'!$N$19,"")</f>
        <v/>
      </c>
      <c r="BT22" s="940" t="s">
        <v>45</v>
      </c>
      <c r="BU22" s="13" t="s">
        <v>61</v>
      </c>
      <c r="BV22" s="518" t="str">
        <f>IF(AND(_A5="B-757",'2025'!$D$4="CA",'2025'!$D$2=BV5),'2025DATA'!$C$19,"")</f>
        <v/>
      </c>
      <c r="BW22" s="518" t="str">
        <f>IF(AND(_A5="B-757",'2025'!$D$4="CA",'2025'!$D$2=BW5),'2025DATA'!$D$19,"")</f>
        <v/>
      </c>
      <c r="BX22" s="518" t="str">
        <f>IF(AND(_A5="B-757",'2025'!$D$4="CA",'2025'!$D$2=BX5),'2025DATA'!$E$19,"")</f>
        <v/>
      </c>
      <c r="BY22" s="518" t="str">
        <f>IF(AND(_A5="B-757",'2025'!$D$4="CA",'2025'!$D$2=BY5),'2025DATA'!$F$19,"")</f>
        <v/>
      </c>
      <c r="BZ22" s="518" t="str">
        <f>IF(AND(_A5="B-757",'2025'!$D$4="CA",'2025'!$D$2=BZ5),'2025DATA'!$G$19,"")</f>
        <v/>
      </c>
      <c r="CA22" s="518" t="str">
        <f>IF(AND(_A5="B-757",'2025'!$D$4="CA",'2025'!$D$2=CA5),'2025DATA'!$H$19,"")</f>
        <v/>
      </c>
      <c r="CB22" s="518" t="str">
        <f>IF(AND(_A5="B-757",'2025'!$D$4="CA",'2025'!$D$2=CB5),'2025DATA'!$I$19,"")</f>
        <v/>
      </c>
      <c r="CC22" s="518" t="str">
        <f>IF(AND(_A5="B-757",'2025'!$D$4="CA",'2025'!$D$2=CC5),'2025DATA'!$J$19,"")</f>
        <v/>
      </c>
      <c r="CD22" s="518" t="str">
        <f>IF(AND(_A5="B-757",'2025'!$D$4="CA",'2025'!$D$2=CD5),'2025DATA'!$K$19,"")</f>
        <v/>
      </c>
      <c r="CE22" s="518" t="str">
        <f>IF(AND(_A5="B-757",'2025'!$D$4="CA",'2025'!$D$2=CE5),'2025DATA'!$L$19,"")</f>
        <v/>
      </c>
      <c r="CF22" s="518" t="str">
        <f>IF(AND(_A5="B-757",'2025'!$D$4="CA",'2025'!$D$2=CF5),'2025DATA'!$M$19,"")</f>
        <v/>
      </c>
      <c r="CG22" s="520" t="str">
        <f>IF(AND(_A5="B-757",'2025'!$D$4="CA",'2025'!$D$2=CG5),'2025DATA'!$N$19,"")</f>
        <v/>
      </c>
      <c r="CH22" s="940" t="s">
        <v>45</v>
      </c>
      <c r="CI22" s="13" t="s">
        <v>61</v>
      </c>
      <c r="CJ22" s="518" t="str">
        <f>IF(AND(_A6="B-757",'2025'!$D$4="CA",'2025'!$D$2=CJ5),'2025DATA'!$C$19,"")</f>
        <v/>
      </c>
      <c r="CK22" s="518" t="str">
        <f>IF(AND(_A6="B-757",'2025'!$D$4="CA",'2025'!$D$2=CK5),'2025DATA'!$D$19,"")</f>
        <v/>
      </c>
      <c r="CL22" s="518" t="str">
        <f>IF(AND(_A6="B-757",'2025'!$D$4="CA",'2025'!$D$2=CL5),'2025DATA'!$E$19,"")</f>
        <v/>
      </c>
      <c r="CM22" s="518" t="str">
        <f>IF(AND(_A6="B-757",'2025'!$D$4="CA",'2025'!$D$2=CM5),'2025DATA'!$F$19,"")</f>
        <v/>
      </c>
      <c r="CN22" s="518" t="str">
        <f>IF(AND(_A6="B-757",'2025'!$D$4="CA",'2025'!$D$2=CN5),'2025DATA'!$G$19,"")</f>
        <v/>
      </c>
      <c r="CO22" s="518" t="str">
        <f>IF(AND(_A6="B-757",'2025'!$D$4="CA",'2025'!$D$2=CO5),'2025DATA'!$H$19,"")</f>
        <v/>
      </c>
      <c r="CP22" s="518" t="str">
        <f>IF(AND(_A6="B-757",'2025'!$D$4="CA",'2025'!$D$2=CP5),'2025DATA'!$I$19,"")</f>
        <v/>
      </c>
      <c r="CQ22" s="518" t="str">
        <f>IF(AND(_A6="B-757",'2025'!$D$4="CA",'2025'!$D$2=CQ5),'2025DATA'!$J$19,"")</f>
        <v/>
      </c>
      <c r="CR22" s="518" t="str">
        <f>IF(AND(_A6="B-757",'2025'!$D$4="CA",'2025'!$D$2=CR5),'2025DATA'!$K$19,"")</f>
        <v/>
      </c>
      <c r="CS22" s="518" t="str">
        <f>IF(AND(_A6="B-757",'2025'!$D$4="CA",'2025'!$D$2=CS5),'2025DATA'!$L$19,"")</f>
        <v/>
      </c>
      <c r="CT22" s="518" t="str">
        <f>IF(AND(_A6="B-757",'2025'!$D$4="CA",'2025'!$D$2=CT5),'2025DATA'!$M$19,"")</f>
        <v/>
      </c>
      <c r="CU22" s="520" t="str">
        <f>IF(AND(_A6="B-757",'2025'!$D$4="CA",'2025'!$D$2=CU5),'2025DATA'!$N$19,"")</f>
        <v/>
      </c>
    </row>
    <row r="23" spans="1:99" x14ac:dyDescent="0.25">
      <c r="A23" s="987" t="s">
        <v>69</v>
      </c>
      <c r="B23" s="64" t="s">
        <v>61</v>
      </c>
      <c r="C23" s="28">
        <v>373.33</v>
      </c>
      <c r="D23" s="29">
        <v>370.58</v>
      </c>
      <c r="E23" s="29">
        <v>367.76</v>
      </c>
      <c r="F23" s="29">
        <v>364.99</v>
      </c>
      <c r="G23" s="29">
        <v>362.16</v>
      </c>
      <c r="H23" s="29">
        <v>359.36</v>
      </c>
      <c r="I23" s="29">
        <v>356.58</v>
      </c>
      <c r="J23" s="29">
        <v>353.8</v>
      </c>
      <c r="K23" s="29">
        <v>350.96</v>
      </c>
      <c r="L23" s="29">
        <v>348.15</v>
      </c>
      <c r="M23" s="29">
        <v>345.42</v>
      </c>
      <c r="N23" s="30">
        <v>342.75</v>
      </c>
      <c r="P23" s="940"/>
      <c r="Q23" s="13" t="s">
        <v>62</v>
      </c>
      <c r="R23" s="518" t="str">
        <f>IF(AND(_A1="B-757",'2025'!$D$4="FO",'2025'!$D$2=R5),'2025DATA'!$C$20,"")</f>
        <v/>
      </c>
      <c r="S23" s="518" t="str">
        <f>IF(AND(_A1="B-757",'2025'!$D$4="FO",'2025'!$D$2=S5),'2025DATA'!$D$20,"")</f>
        <v/>
      </c>
      <c r="T23" s="518" t="str">
        <f>IF(AND(_A1="B-757",'2025'!$D$4="FO",'2025'!$D$2=T5),'2025DATA'!$E$20,"")</f>
        <v/>
      </c>
      <c r="U23" s="518" t="str">
        <f>IF(AND(_A1="B-757",'2025'!$D$4="FO",'2025'!$D$2=U5),'2025DATA'!$F$20,"")</f>
        <v/>
      </c>
      <c r="V23" s="518" t="str">
        <f>IF(AND(_A1="B-757",'2025'!$D$4="FO",'2025'!$D$2=V5),'2025DATA'!$G$20,"")</f>
        <v/>
      </c>
      <c r="W23" s="518" t="str">
        <f>IF(AND(_A1="B-757",'2025'!$D$4="FO",'2025'!$D$2=W5),'2025DATA'!$H$20,"")</f>
        <v/>
      </c>
      <c r="X23" s="518" t="str">
        <f>IF(AND(_A1="B-757",'2025'!$D$4="FO",'2025'!$D$2=X5),'2025DATA'!$I$20,"")</f>
        <v/>
      </c>
      <c r="Y23" s="518" t="str">
        <f>IF(AND(_A1="B-757",'2025'!$D$4="FO",'2025'!$D$2=Y5),'2025DATA'!$J$20,"")</f>
        <v/>
      </c>
      <c r="Z23" s="518" t="str">
        <f>IF(AND(_A1="B-757",'2025'!$D$4="FO",'2025'!$D$2=Z5),'2025DATA'!$K$20,"")</f>
        <v/>
      </c>
      <c r="AA23" s="518" t="str">
        <f>IF(AND(_A1="B-757",'2025'!$D$4="FO",'2025'!$D$2=AA5),'2025DATA'!$L$20,"")</f>
        <v/>
      </c>
      <c r="AB23" s="518" t="str">
        <f>IF(AND(_A1="B-757",'2025'!$D$4="FO",'2025'!$D$2=AB5),'2025DATA'!$M$20,"")</f>
        <v/>
      </c>
      <c r="AC23" s="520" t="str">
        <f>IF(AND(_A1="B-757",'2025'!$D$4="FO",'2025'!$D$2=AC5),'2025DATA'!$N$20,"")</f>
        <v/>
      </c>
      <c r="AD23" s="940"/>
      <c r="AE23" s="13" t="s">
        <v>62</v>
      </c>
      <c r="AF23" s="518" t="str">
        <f>IF(AND(_A2="B-757",'2025'!$D$4="FO",'2025'!$D$2=AF5),'2025DATA'!$C$20,"")</f>
        <v/>
      </c>
      <c r="AG23" s="518" t="str">
        <f>IF(AND(_A2="B-757",'2025'!$D$4="FO",'2025'!$D$2=AG5),'2025DATA'!$D$20,"")</f>
        <v/>
      </c>
      <c r="AH23" s="518" t="str">
        <f>IF(AND(_A2="B-757",'2025'!$D$4="FO",'2025'!$D$2=AH5),'2025DATA'!$E$20,"")</f>
        <v/>
      </c>
      <c r="AI23" s="518" t="str">
        <f>IF(AND(_A2="B-757",'2025'!$D$4="FO",'2025'!$D$2=AI5),'2025DATA'!$F$20,"")</f>
        <v/>
      </c>
      <c r="AJ23" s="518" t="str">
        <f>IF(AND(_A2="B-757",'2025'!$D$4="FO",'2025'!$D$2=AJ5),'2025DATA'!$G$20,"")</f>
        <v/>
      </c>
      <c r="AK23" s="518" t="str">
        <f>IF(AND(_A2="B-757",'2025'!$D$4="FO",'2025'!$D$2=AK5),'2025DATA'!$H$20,"")</f>
        <v/>
      </c>
      <c r="AL23" s="518" t="str">
        <f>IF(AND(_A2="B-757",'2025'!$D$4="FO",'2025'!$D$2=AL5),'2025DATA'!$I$20,"")</f>
        <v/>
      </c>
      <c r="AM23" s="518" t="str">
        <f>IF(AND(_A2="B-757",'2025'!$D$4="FO",'2025'!$D$2=AM5),'2025DATA'!$J$20,"")</f>
        <v/>
      </c>
      <c r="AN23" s="518" t="str">
        <f>IF(AND(_A2="B-757",'2025'!$D$4="FO",'2025'!$D$2=AN5),'2025DATA'!$K$20,"")</f>
        <v/>
      </c>
      <c r="AO23" s="518" t="str">
        <f>IF(AND(_A2="B-757",'2025'!$D$4="FO",'2025'!$D$2=AO5),'2025DATA'!$L$20,"")</f>
        <v/>
      </c>
      <c r="AP23" s="518" t="str">
        <f>IF(AND(_A2="B-757",'2025'!$D$4="FO",'2025'!$D$2=AP5),'2025DATA'!$M$20,"")</f>
        <v/>
      </c>
      <c r="AQ23" s="520" t="str">
        <f>IF(AND(_A2="B-757",'2025'!$D$4="FO",'2025'!$D$2=AQ5),'2025DATA'!$N$20,"")</f>
        <v/>
      </c>
      <c r="AR23" s="940"/>
      <c r="AS23" s="13" t="s">
        <v>62</v>
      </c>
      <c r="AT23" s="518" t="str">
        <f>IF(AND(_A3="B-757",'2025'!$D$4="FO",'2025'!$D$2=AT5),'2025DATA'!$C$20,"")</f>
        <v/>
      </c>
      <c r="AU23" s="518" t="str">
        <f>IF(AND(_A3="B-757",'2025'!$D$4="FO",'2025'!$D$2=AU5),'2025DATA'!$D$20,"")</f>
        <v/>
      </c>
      <c r="AV23" s="518" t="str">
        <f>IF(AND(_A3="B-757",'2025'!$D$4="FO",'2025'!$D$2=AV5),'2025DATA'!$E$20,"")</f>
        <v/>
      </c>
      <c r="AW23" s="518" t="str">
        <f>IF(AND(_A3="B-757",'2025'!$D$4="FO",'2025'!$D$2=AW5),'2025DATA'!$F$20,"")</f>
        <v/>
      </c>
      <c r="AX23" s="518" t="str">
        <f>IF(AND(_A3="B-757",'2025'!$D$4="FO",'2025'!$D$2=AX5),'2025DATA'!$G$20,"")</f>
        <v/>
      </c>
      <c r="AY23" s="518" t="str">
        <f>IF(AND(_A3="B-757",'2025'!$D$4="FO",'2025'!$D$2=AY5),'2025DATA'!$H$20,"")</f>
        <v/>
      </c>
      <c r="AZ23" s="518" t="str">
        <f>IF(AND(_A3="B-757",'2025'!$D$4="FO",'2025'!$D$2=AZ5),'2025DATA'!$I$20,"")</f>
        <v/>
      </c>
      <c r="BA23" s="518" t="str">
        <f>IF(AND(_A3="B-757",'2025'!$D$4="FO",'2025'!$D$2=BA5),'2025DATA'!$J$20,"")</f>
        <v/>
      </c>
      <c r="BB23" s="518" t="str">
        <f>IF(AND(_A3="B-757",'2025'!$D$4="FO",'2025'!$D$2=BB5),'2025DATA'!$K$20,"")</f>
        <v/>
      </c>
      <c r="BC23" s="518" t="str">
        <f>IF(AND(_A3="B-757",'2025'!$D$4="FO",'2025'!$D$2=BC5),'2025DATA'!$L$20,"")</f>
        <v/>
      </c>
      <c r="BD23" s="518" t="str">
        <f>IF(AND(_A3="B-757",'2025'!$D$4="FO",'2025'!$D$2=BD5),'2025DATA'!$M$20,"")</f>
        <v/>
      </c>
      <c r="BE23" s="520" t="str">
        <f>IF(AND(_A3="B-757",'2025'!$D$4="FO",'2025'!$D$2=BE5),'2025DATA'!$N$20,"")</f>
        <v/>
      </c>
      <c r="BF23" s="940"/>
      <c r="BG23" s="13" t="s">
        <v>62</v>
      </c>
      <c r="BH23" s="518" t="str">
        <f>IF(AND(_A4="B-757",'2025'!$D$4="FO",'2025'!$D$2=BH5),'2025DATA'!$C$20,"")</f>
        <v/>
      </c>
      <c r="BI23" s="518" t="str">
        <f>IF(AND(_A4="B-757",'2025'!$D$4="FO",'2025'!$D$2=BI5),'2025DATA'!$D$20,"")</f>
        <v/>
      </c>
      <c r="BJ23" s="518" t="str">
        <f>IF(AND(_A4="B-757",'2025'!$D$4="FO",'2025'!$D$2=BJ5),'2025DATA'!$E$20,"")</f>
        <v/>
      </c>
      <c r="BK23" s="518" t="str">
        <f>IF(AND(_A4="B-757",'2025'!$D$4="FO",'2025'!$D$2=BK5),'2025DATA'!$F$20,"")</f>
        <v/>
      </c>
      <c r="BL23" s="518" t="str">
        <f>IF(AND(_A4="B-757",'2025'!$D$4="FO",'2025'!$D$2=BL5),'2025DATA'!$G$20,"")</f>
        <v/>
      </c>
      <c r="BM23" s="518" t="str">
        <f>IF(AND(_A4="B-757",'2025'!$D$4="FO",'2025'!$D$2=BM5),'2025DATA'!$H$20,"")</f>
        <v/>
      </c>
      <c r="BN23" s="518" t="str">
        <f>IF(AND(_A4="B-757",'2025'!$D$4="FO",'2025'!$D$2=BN5),'2025DATA'!$I$20,"")</f>
        <v/>
      </c>
      <c r="BO23" s="518" t="str">
        <f>IF(AND(_A4="B-757",'2025'!$D$4="FO",'2025'!$D$2=BO5),'2025DATA'!$J$20,"")</f>
        <v/>
      </c>
      <c r="BP23" s="518" t="str">
        <f>IF(AND(_A4="B-757",'2025'!$D$4="FO",'2025'!$D$2=BP5),'2025DATA'!$K$20,"")</f>
        <v/>
      </c>
      <c r="BQ23" s="518" t="str">
        <f>IF(AND(_A4="B-757",'2025'!$D$4="FO",'2025'!$D$2=BQ5),'2025DATA'!$L$20,"")</f>
        <v/>
      </c>
      <c r="BR23" s="518" t="str">
        <f>IF(AND(_A4="B-757",'2025'!$D$4="FO",'2025'!$D$2=BR5),'2025DATA'!$M$20,"")</f>
        <v/>
      </c>
      <c r="BS23" s="520" t="str">
        <f>IF(AND(_A4="B-757",'2025'!$D$4="FO",'2025'!$D$2=BS5),'2025DATA'!$N$20,"")</f>
        <v/>
      </c>
      <c r="BT23" s="940"/>
      <c r="BU23" s="13" t="s">
        <v>62</v>
      </c>
      <c r="BV23" s="518" t="str">
        <f>IF(AND(_A5="B-757",'2025'!$D$4="FO",'2025'!$D$2=BV5),'2025DATA'!$C$20,"")</f>
        <v/>
      </c>
      <c r="BW23" s="518" t="str">
        <f>IF(AND(_A5="B-757",'2025'!$D$4="FO",'2025'!$D$2=BW5),'2025DATA'!$D$20,"")</f>
        <v/>
      </c>
      <c r="BX23" s="518" t="str">
        <f>IF(AND(_A5="B-757",'2025'!$D$4="FO",'2025'!$D$2=BX5),'2025DATA'!$E$20,"")</f>
        <v/>
      </c>
      <c r="BY23" s="518" t="str">
        <f>IF(AND(_A5="B-757",'2025'!$D$4="FO",'2025'!$D$2=BY5),'2025DATA'!$F$20,"")</f>
        <v/>
      </c>
      <c r="BZ23" s="518" t="str">
        <f>IF(AND(_A5="B-757",'2025'!$D$4="FO",'2025'!$D$2=BZ5),'2025DATA'!$G$20,"")</f>
        <v/>
      </c>
      <c r="CA23" s="518" t="str">
        <f>IF(AND(_A5="B-757",'2025'!$D$4="FO",'2025'!$D$2=CA5),'2025DATA'!$H$20,"")</f>
        <v/>
      </c>
      <c r="CB23" s="518" t="str">
        <f>IF(AND(_A5="B-757",'2025'!$D$4="FO",'2025'!$D$2=CB5),'2025DATA'!$I$20,"")</f>
        <v/>
      </c>
      <c r="CC23" s="518" t="str">
        <f>IF(AND(_A5="B-757",'2025'!$D$4="FO",'2025'!$D$2=CC5),'2025DATA'!$J$20,"")</f>
        <v/>
      </c>
      <c r="CD23" s="518" t="str">
        <f>IF(AND(_A5="B-757",'2025'!$D$4="FO",'2025'!$D$2=CD5),'2025DATA'!$K$20,"")</f>
        <v/>
      </c>
      <c r="CE23" s="518" t="str">
        <f>IF(AND(_A5="B-757",'2025'!$D$4="FO",'2025'!$D$2=CE5),'2025DATA'!$L$20,"")</f>
        <v/>
      </c>
      <c r="CF23" s="518" t="str">
        <f>IF(AND(_A5="B-757",'2025'!$D$4="FO",'2025'!$D$2=CF5),'2025DATA'!$M$20,"")</f>
        <v/>
      </c>
      <c r="CG23" s="520" t="str">
        <f>IF(AND(_A5="B-757",'2025'!$D$4="FO",'2025'!$D$2=CG5),'2025DATA'!$N$20,"")</f>
        <v/>
      </c>
      <c r="CH23" s="940"/>
      <c r="CI23" s="13" t="s">
        <v>62</v>
      </c>
      <c r="CJ23" s="518" t="str">
        <f>IF(AND(_A6="B-757",'2025'!$D$4="FO",'2025'!$D$2=CJ5),'2025DATA'!$C$20,"")</f>
        <v/>
      </c>
      <c r="CK23" s="518" t="str">
        <f>IF(AND(_A6="B-757",'2025'!$D$4="FO",'2025'!$D$2=CK5),'2025DATA'!$D$20,"")</f>
        <v/>
      </c>
      <c r="CL23" s="518" t="str">
        <f>IF(AND(_A6="B-757",'2025'!$D$4="FO",'2025'!$D$2=CL5),'2025DATA'!$E$20,"")</f>
        <v/>
      </c>
      <c r="CM23" s="518" t="str">
        <f>IF(AND(_A6="B-757",'2025'!$D$4="FO",'2025'!$D$2=CM5),'2025DATA'!$F$20,"")</f>
        <v/>
      </c>
      <c r="CN23" s="518" t="str">
        <f>IF(AND(_A6="B-757",'2025'!$D$4="FO",'2025'!$D$2=CN5),'2025DATA'!$G$20,"")</f>
        <v/>
      </c>
      <c r="CO23" s="518" t="str">
        <f>IF(AND(_A6="B-757",'2025'!$D$4="FO",'2025'!$D$2=CO5),'2025DATA'!$H$20,"")</f>
        <v/>
      </c>
      <c r="CP23" s="518" t="str">
        <f>IF(AND(_A6="B-757",'2025'!$D$4="FO",'2025'!$D$2=CP5),'2025DATA'!$I$20,"")</f>
        <v/>
      </c>
      <c r="CQ23" s="518" t="str">
        <f>IF(AND(_A6="B-757",'2025'!$D$4="FO",'2025'!$D$2=CQ5),'2025DATA'!$J$20,"")</f>
        <v/>
      </c>
      <c r="CR23" s="518" t="str">
        <f>IF(AND(_A6="B-757",'2025'!$D$4="FO",'2025'!$D$2=CR5),'2025DATA'!$K$20,"")</f>
        <v/>
      </c>
      <c r="CS23" s="518" t="str">
        <f>IF(AND(_A6="B-757",'2025'!$D$4="FO",'2025'!$D$2=CS5),'2025DATA'!$L$20,"")</f>
        <v/>
      </c>
      <c r="CT23" s="518" t="str">
        <f>IF(AND(_A6="B-757",'2025'!$D$4="FO",'2025'!$D$2=CT5),'2025DATA'!$M$20,"")</f>
        <v/>
      </c>
      <c r="CU23" s="520" t="str">
        <f>IF(AND(_A6="B-757",'2025'!$D$4="FO",'2025'!$D$2=CU5),'2025DATA'!$N$20,"")</f>
        <v/>
      </c>
    </row>
    <row r="24" spans="1:99" x14ac:dyDescent="0.25">
      <c r="A24" s="987"/>
      <c r="B24" s="64" t="s">
        <v>62</v>
      </c>
      <c r="C24" s="28">
        <v>254.99</v>
      </c>
      <c r="D24" s="29">
        <v>252.72</v>
      </c>
      <c r="E24" s="29">
        <v>250.42</v>
      </c>
      <c r="F24" s="29">
        <v>247.08</v>
      </c>
      <c r="G24" s="29">
        <v>244.47</v>
      </c>
      <c r="H24" s="29">
        <v>238.95</v>
      </c>
      <c r="I24" s="29">
        <v>232.45</v>
      </c>
      <c r="J24" s="29">
        <v>226.79</v>
      </c>
      <c r="K24" s="29">
        <v>221.47</v>
      </c>
      <c r="L24" s="29">
        <v>216.2</v>
      </c>
      <c r="M24" s="29">
        <v>184.82</v>
      </c>
      <c r="N24" s="30">
        <v>120.69</v>
      </c>
      <c r="P24" s="940" t="s">
        <v>47</v>
      </c>
      <c r="Q24" s="13" t="s">
        <v>61</v>
      </c>
      <c r="R24" s="518" t="str">
        <f>IF(AND(_A1="B-737-900",'2025'!$D$4="CA",'2025'!$D$2=R5),'2025DATA'!$C$21,"")</f>
        <v/>
      </c>
      <c r="S24" s="518" t="str">
        <f>IF(AND(_A1="B-737-900",'2025'!$D$4="CA",'2025'!$D$2=S5),'2025DATA'!$D$21,"")</f>
        <v/>
      </c>
      <c r="T24" s="518" t="str">
        <f>IF(AND(_A1="B-737-900",'2025'!$D$4="CA",'2025'!$D$2=T5),'2025DATA'!$E$21,"")</f>
        <v/>
      </c>
      <c r="U24" s="518" t="str">
        <f>IF(AND(_A1="B-737-900",'2025'!$D$4="CA",'2025'!$D$2=U5),'2025DATA'!$F$21,"")</f>
        <v/>
      </c>
      <c r="V24" s="518" t="str">
        <f>IF(AND(_A1="B-737-900",'2025'!$D$4="CA",'2025'!$D$2=V5),'2025DATA'!$G$21,"")</f>
        <v/>
      </c>
      <c r="W24" s="518" t="str">
        <f>IF(AND(_A1="B-737-900",'2025'!$D$4="CA",'2025'!$D$2=W5),'2025DATA'!$H$21,"")</f>
        <v/>
      </c>
      <c r="X24" s="518" t="str">
        <f>IF(AND(_A1="B-737-900",'2025'!$D$4="CA",'2025'!$D$2=X5),'2025DATA'!$I$21,"")</f>
        <v/>
      </c>
      <c r="Y24" s="518" t="str">
        <f>IF(AND(_A1="B-737-900",'2025'!$D$4="CA",'2025'!$D$2=Y5),'2025DATA'!$J$21,"")</f>
        <v/>
      </c>
      <c r="Z24" s="518" t="str">
        <f>IF(AND(_A1="B-737-900",'2025'!$D$4="CA",'2025'!$D$2=Z5),'2025DATA'!$K$21,"")</f>
        <v/>
      </c>
      <c r="AA24" s="518" t="str">
        <f>IF(AND(_A1="B-737-900",'2025'!$D$4="CA",'2025'!$D$2=AA5),'2025DATA'!$L$21,"")</f>
        <v/>
      </c>
      <c r="AB24" s="518" t="str">
        <f>IF(AND(_A1="B-737-900",'2025'!$D$4="CA",'2025'!$D$2=AB5),'2025DATA'!$M$21,"")</f>
        <v/>
      </c>
      <c r="AC24" s="520" t="str">
        <f>IF(AND(_A1="B-737-900",'2025'!$D$4="CA",'2025'!$D$2=AC5),'2025DATA'!$N$21,"")</f>
        <v/>
      </c>
      <c r="AD24" s="940" t="s">
        <v>47</v>
      </c>
      <c r="AE24" s="13" t="s">
        <v>61</v>
      </c>
      <c r="AF24" s="518" t="str">
        <f>IF(AND(_A2="B-737-900",'2025'!$D$4="CA",'2025'!$D$2=AF5),'2025DATA'!$C$21,"")</f>
        <v/>
      </c>
      <c r="AG24" s="518" t="str">
        <f>IF(AND(_A2="B-737-900",'2025'!$D$4="CA",'2025'!$D$2=AG5),'2025DATA'!$D$21,"")</f>
        <v/>
      </c>
      <c r="AH24" s="518" t="str">
        <f>IF(AND(_A2="B-737-900",'2025'!$D$4="CA",'2025'!$D$2=AH5),'2025DATA'!$E$21,"")</f>
        <v/>
      </c>
      <c r="AI24" s="518" t="str">
        <f>IF(AND(_A2="B-737-900",'2025'!$D$4="CA",'2025'!$D$2=AI5),'2025DATA'!$F$21,"")</f>
        <v/>
      </c>
      <c r="AJ24" s="518" t="str">
        <f>IF(AND(_A2="B-737-900",'2025'!$D$4="CA",'2025'!$D$2=AJ5),'2025DATA'!$G$21,"")</f>
        <v/>
      </c>
      <c r="AK24" s="518" t="str">
        <f>IF(AND(_A2="B-737-900",'2025'!$D$4="CA",'2025'!$D$2=AK5),'2025DATA'!$H$21,"")</f>
        <v/>
      </c>
      <c r="AL24" s="518" t="str">
        <f>IF(AND(_A2="B-737-900",'2025'!$D$4="CA",'2025'!$D$2=AL5),'2025DATA'!$I$21,"")</f>
        <v/>
      </c>
      <c r="AM24" s="518" t="str">
        <f>IF(AND(_A2="B-737-900",'2025'!$D$4="CA",'2025'!$D$2=AM5),'2025DATA'!$J$21,"")</f>
        <v/>
      </c>
      <c r="AN24" s="518" t="str">
        <f>IF(AND(_A2="B-737-900",'2025'!$D$4="CA",'2025'!$D$2=AN5),'2025DATA'!$K$21,"")</f>
        <v/>
      </c>
      <c r="AO24" s="518" t="str">
        <f>IF(AND(_A2="B-737-900",'2025'!$D$4="CA",'2025'!$D$2=AO5),'2025DATA'!$L$21,"")</f>
        <v/>
      </c>
      <c r="AP24" s="518" t="str">
        <f>IF(AND(_A2="B-737-900",'2025'!$D$4="CA",'2025'!$D$2=AP5),'2025DATA'!$M$21,"")</f>
        <v/>
      </c>
      <c r="AQ24" s="520" t="str">
        <f>IF(AND(_A2="B-737-900",'2025'!$D$4="CA",'2025'!$D$2=AQ5),'2025DATA'!$N$21,"")</f>
        <v/>
      </c>
      <c r="AR24" s="940" t="s">
        <v>47</v>
      </c>
      <c r="AS24" s="13" t="s">
        <v>61</v>
      </c>
      <c r="AT24" s="518" t="str">
        <f>IF(AND(_A3="B-737-900",'2025'!$D$4="CA",'2025'!$D$2=AT5),'2025DATA'!$C$21,"")</f>
        <v/>
      </c>
      <c r="AU24" s="518" t="str">
        <f>IF(AND(_A3="B-737-900",'2025'!$D$4="CA",'2025'!$D$2=AU5),'2025DATA'!$D$21,"")</f>
        <v/>
      </c>
      <c r="AV24" s="518" t="str">
        <f>IF(AND(_A3="B-737-900",'2025'!$D$4="CA",'2025'!$D$2=AV5),'2025DATA'!$E$21,"")</f>
        <v/>
      </c>
      <c r="AW24" s="518" t="str">
        <f>IF(AND(_A3="B-737-900",'2025'!$D$4="CA",'2025'!$D$2=AW5),'2025DATA'!$F$21,"")</f>
        <v/>
      </c>
      <c r="AX24" s="518" t="str">
        <f>IF(AND(_A3="B-737-900",'2025'!$D$4="CA",'2025'!$D$2=AX5),'2025DATA'!$G$21,"")</f>
        <v/>
      </c>
      <c r="AY24" s="518" t="str">
        <f>IF(AND(_A3="B-737-900",'2025'!$D$4="CA",'2025'!$D$2=AY5),'2025DATA'!$H$21,"")</f>
        <v/>
      </c>
      <c r="AZ24" s="518" t="str">
        <f>IF(AND(_A3="B-737-900",'2025'!$D$4="CA",'2025'!$D$2=AZ5),'2025DATA'!$I$21,"")</f>
        <v/>
      </c>
      <c r="BA24" s="518" t="str">
        <f>IF(AND(_A3="B-737-900",'2025'!$D$4="CA",'2025'!$D$2=BA5),'2025DATA'!$J$21,"")</f>
        <v/>
      </c>
      <c r="BB24" s="518" t="str">
        <f>IF(AND(_A3="B-737-900",'2025'!$D$4="CA",'2025'!$D$2=BB5),'2025DATA'!$K$21,"")</f>
        <v/>
      </c>
      <c r="BC24" s="518" t="str">
        <f>IF(AND(_A3="B-737-900",'2025'!$D$4="CA",'2025'!$D$2=BC5),'2025DATA'!$L$21,"")</f>
        <v/>
      </c>
      <c r="BD24" s="518" t="str">
        <f>IF(AND(_A3="B-737-900",'2025'!$D$4="CA",'2025'!$D$2=BD5),'2025DATA'!$M$21,"")</f>
        <v/>
      </c>
      <c r="BE24" s="520" t="str">
        <f>IF(AND(_A3="B-737-900",'2025'!$D$4="CA",'2025'!$D$2=BE5),'2025DATA'!$N$21,"")</f>
        <v/>
      </c>
      <c r="BF24" s="940" t="s">
        <v>47</v>
      </c>
      <c r="BG24" s="13" t="s">
        <v>61</v>
      </c>
      <c r="BH24" s="518" t="str">
        <f>IF(AND(_A4="B-737-900",'2025'!$D$4="CA",'2025'!$D$2=BH5),'2025DATA'!$C$21,"")</f>
        <v/>
      </c>
      <c r="BI24" s="518" t="str">
        <f>IF(AND(_A4="B-737-900",'2025'!$D$4="CA",'2025'!$D$2=BI5),'2025DATA'!$D$21,"")</f>
        <v/>
      </c>
      <c r="BJ24" s="518" t="str">
        <f>IF(AND(_A4="B-737-900",'2025'!$D$4="CA",'2025'!$D$2=BJ5),'2025DATA'!$E$21,"")</f>
        <v/>
      </c>
      <c r="BK24" s="518" t="str">
        <f>IF(AND(_A4="B-737-900",'2025'!$D$4="CA",'2025'!$D$2=BK5),'2025DATA'!$F$21,"")</f>
        <v/>
      </c>
      <c r="BL24" s="518" t="str">
        <f>IF(AND(_A4="B-737-900",'2025'!$D$4="CA",'2025'!$D$2=BL5),'2025DATA'!$G$21,"")</f>
        <v/>
      </c>
      <c r="BM24" s="518" t="str">
        <f>IF(AND(_A4="B-737-900",'2025'!$D$4="CA",'2025'!$D$2=BM5),'2025DATA'!$H$21,"")</f>
        <v/>
      </c>
      <c r="BN24" s="518" t="str">
        <f>IF(AND(_A4="B-737-900",'2025'!$D$4="CA",'2025'!$D$2=BN5),'2025DATA'!$I$21,"")</f>
        <v/>
      </c>
      <c r="BO24" s="518" t="str">
        <f>IF(AND(_A4="B-737-900",'2025'!$D$4="CA",'2025'!$D$2=BO5),'2025DATA'!$J$21,"")</f>
        <v/>
      </c>
      <c r="BP24" s="518" t="str">
        <f>IF(AND(_A4="B-737-900",'2025'!$D$4="CA",'2025'!$D$2=BP5),'2025DATA'!$K$21,"")</f>
        <v/>
      </c>
      <c r="BQ24" s="518" t="str">
        <f>IF(AND(_A4="B-737-900",'2025'!$D$4="CA",'2025'!$D$2=BQ5),'2025DATA'!$L$21,"")</f>
        <v/>
      </c>
      <c r="BR24" s="518" t="str">
        <f>IF(AND(_A4="B-737-900",'2025'!$D$4="CA",'2025'!$D$2=BR5),'2025DATA'!$M$21,"")</f>
        <v/>
      </c>
      <c r="BS24" s="520" t="str">
        <f>IF(AND(_A4="B-737-900",'2025'!$D$4="CA",'2025'!$D$2=BS5),'2025DATA'!$N$21,"")</f>
        <v/>
      </c>
      <c r="BT24" s="940" t="s">
        <v>47</v>
      </c>
      <c r="BU24" s="13" t="s">
        <v>61</v>
      </c>
      <c r="BV24" s="518" t="str">
        <f>IF(AND(_A5="B-737-900",'2025'!$D$4="CA",'2025'!$D$2=BV5),'2025DATA'!$C$21,"")</f>
        <v/>
      </c>
      <c r="BW24" s="518" t="str">
        <f>IF(AND(_A5="B-737-900",'2025'!$D$4="CA",'2025'!$D$2=BW5),'2025DATA'!$D$21,"")</f>
        <v/>
      </c>
      <c r="BX24" s="518" t="str">
        <f>IF(AND(_A5="B-737-900",'2025'!$D$4="CA",'2025'!$D$2=BX5),'2025DATA'!$E$21,"")</f>
        <v/>
      </c>
      <c r="BY24" s="518" t="str">
        <f>IF(AND(_A5="B-737-900",'2025'!$D$4="CA",'2025'!$D$2=BY5),'2025DATA'!$F$21,"")</f>
        <v/>
      </c>
      <c r="BZ24" s="518" t="str">
        <f>IF(AND(_A5="B-737-900",'2025'!$D$4="CA",'2025'!$D$2=BZ5),'2025DATA'!$G$21,"")</f>
        <v/>
      </c>
      <c r="CA24" s="518" t="str">
        <f>IF(AND(_A5="B-737-900",'2025'!$D$4="CA",'2025'!$D$2=CA5),'2025DATA'!$H$21,"")</f>
        <v/>
      </c>
      <c r="CB24" s="518" t="str">
        <f>IF(AND(_A5="B-737-900",'2025'!$D$4="CA",'2025'!$D$2=CB5),'2025DATA'!$I$21,"")</f>
        <v/>
      </c>
      <c r="CC24" s="518" t="str">
        <f>IF(AND(_A5="B-737-900",'2025'!$D$4="CA",'2025'!$D$2=CC5),'2025DATA'!$J$21,"")</f>
        <v/>
      </c>
      <c r="CD24" s="518" t="str">
        <f>IF(AND(_A5="B-737-900",'2025'!$D$4="CA",'2025'!$D$2=CD5),'2025DATA'!$K$21,"")</f>
        <v/>
      </c>
      <c r="CE24" s="518" t="str">
        <f>IF(AND(_A5="B-737-900",'2025'!$D$4="CA",'2025'!$D$2=CE5),'2025DATA'!$L$21,"")</f>
        <v/>
      </c>
      <c r="CF24" s="518" t="str">
        <f>IF(AND(_A5="B-737-900",'2025'!$D$4="CA",'2025'!$D$2=CF5),'2025DATA'!$M$21,"")</f>
        <v/>
      </c>
      <c r="CG24" s="520" t="str">
        <f>IF(AND(_A5="B-737-900",'2025'!$D$4="CA",'2025'!$D$2=CG5),'2025DATA'!$N$21,"")</f>
        <v/>
      </c>
      <c r="CH24" s="940" t="s">
        <v>47</v>
      </c>
      <c r="CI24" s="13" t="s">
        <v>61</v>
      </c>
      <c r="CJ24" s="518" t="str">
        <f>IF(AND(_A6="B-737-900",'2025'!$D$4="CA",'2025'!$D$2=CJ5),'2025DATA'!$C$21,"")</f>
        <v/>
      </c>
      <c r="CK24" s="518" t="str">
        <f>IF(AND(_A6="B-737-900",'2025'!$D$4="CA",'2025'!$D$2=CK5),'2025DATA'!$D$21,"")</f>
        <v/>
      </c>
      <c r="CL24" s="518" t="str">
        <f>IF(AND(_A6="B-737-900",'2025'!$D$4="CA",'2025'!$D$2=CL5),'2025DATA'!$E$21,"")</f>
        <v/>
      </c>
      <c r="CM24" s="518" t="str">
        <f>IF(AND(_A6="B-737-900",'2025'!$D$4="CA",'2025'!$D$2=CM5),'2025DATA'!$F$21,"")</f>
        <v/>
      </c>
      <c r="CN24" s="518" t="str">
        <f>IF(AND(_A6="B-737-900",'2025'!$D$4="CA",'2025'!$D$2=CN5),'2025DATA'!$G$21,"")</f>
        <v/>
      </c>
      <c r="CO24" s="518" t="str">
        <f>IF(AND(_A6="B-737-900",'2025'!$D$4="CA",'2025'!$D$2=CO5),'2025DATA'!$H$21,"")</f>
        <v/>
      </c>
      <c r="CP24" s="518" t="str">
        <f>IF(AND(_A6="B-737-900",'2025'!$D$4="CA",'2025'!$D$2=CP5),'2025DATA'!$I$21,"")</f>
        <v/>
      </c>
      <c r="CQ24" s="518" t="str">
        <f>IF(AND(_A6="B-737-900",'2025'!$D$4="CA",'2025'!$D$2=CQ5),'2025DATA'!$J$21,"")</f>
        <v/>
      </c>
      <c r="CR24" s="518" t="str">
        <f>IF(AND(_A6="B-737-900",'2025'!$D$4="CA",'2025'!$D$2=CR5),'2025DATA'!$K$21,"")</f>
        <v/>
      </c>
      <c r="CS24" s="518" t="str">
        <f>IF(AND(_A6="B-737-900",'2025'!$D$4="CA",'2025'!$D$2=CS5),'2025DATA'!$L$21,"")</f>
        <v/>
      </c>
      <c r="CT24" s="518" t="str">
        <f>IF(AND(_A6="B-737-900",'2025'!$D$4="CA",'2025'!$D$2=CT5),'2025DATA'!$M$21,"")</f>
        <v/>
      </c>
      <c r="CU24" s="520" t="str">
        <f>IF(AND(_A6="B-737-900",'2025'!$D$4="CA",'2025'!$D$2=CU5),'2025DATA'!$N$21,"")</f>
        <v/>
      </c>
    </row>
    <row r="25" spans="1:99" x14ac:dyDescent="0.25">
      <c r="A25" s="987" t="s">
        <v>46</v>
      </c>
      <c r="B25" s="64" t="s">
        <v>61</v>
      </c>
      <c r="C25" s="28">
        <v>389.34</v>
      </c>
      <c r="D25" s="29">
        <v>385.36</v>
      </c>
      <c r="E25" s="29">
        <v>381.25</v>
      </c>
      <c r="F25" s="29">
        <v>377.2</v>
      </c>
      <c r="G25" s="29">
        <v>374.54</v>
      </c>
      <c r="H25" s="29">
        <v>371.47</v>
      </c>
      <c r="I25" s="29">
        <v>368.73</v>
      </c>
      <c r="J25" s="29">
        <v>365.88</v>
      </c>
      <c r="K25" s="29">
        <v>362.79</v>
      </c>
      <c r="L25" s="29">
        <v>359.88</v>
      </c>
      <c r="M25" s="29">
        <v>356.98</v>
      </c>
      <c r="N25" s="30">
        <v>353.98</v>
      </c>
      <c r="P25" s="940"/>
      <c r="Q25" s="13" t="s">
        <v>62</v>
      </c>
      <c r="R25" s="518" t="str">
        <f>IF(AND(_A1="B-737-900",'2025'!$D$4="FO",'2025'!$D$2=R5),'2025DATA'!$C$22,"")</f>
        <v/>
      </c>
      <c r="S25" s="518" t="str">
        <f>IF(AND(_A1="B-737-900",'2025'!$D$4="FO",'2025'!$D$2=S5),'2025DATA'!$D$22,"")</f>
        <v/>
      </c>
      <c r="T25" s="518" t="str">
        <f>IF(AND(_A1="B-737-900",'2025'!$D$4="FO",'2025'!$D$2=T5),'2025DATA'!$E$22,"")</f>
        <v/>
      </c>
      <c r="U25" s="518" t="str">
        <f>IF(AND(_A1="B-737-900",'2025'!$D$4="FO",'2025'!$D$2=U5),'2025DATA'!$F$22,"")</f>
        <v/>
      </c>
      <c r="V25" s="518" t="str">
        <f>IF(AND(_A1="B-737-900",'2025'!$D$4="FO",'2025'!$D$2=V5),'2025DATA'!$G$22,"")</f>
        <v/>
      </c>
      <c r="W25" s="518" t="str">
        <f>IF(AND(_A1="B-737-900",'2025'!$D$4="FO",'2025'!$D$2=W5),'2025DATA'!$H$22,"")</f>
        <v/>
      </c>
      <c r="X25" s="518" t="str">
        <f>IF(AND(_A1="B-737-900",'2025'!$D$4="FO",'2025'!$D$2=X5),'2025DATA'!$I$22,"")</f>
        <v/>
      </c>
      <c r="Y25" s="518" t="str">
        <f>IF(AND(_A1="B-737-900",'2025'!$D$4="FO",'2025'!$D$2=Y5),'2025DATA'!$J$22,"")</f>
        <v/>
      </c>
      <c r="Z25" s="518" t="str">
        <f>IF(AND(_A1="B-737-900",'2025'!$D$4="FO",'2025'!$D$2=Z5),'2025DATA'!$K$22,"")</f>
        <v/>
      </c>
      <c r="AA25" s="518" t="str">
        <f>IF(AND(_A1="B-737-900",'2025'!$D$4="FO",'2025'!$D$2=AA5),'2025DATA'!$L$22,"")</f>
        <v/>
      </c>
      <c r="AB25" s="518" t="str">
        <f>IF(AND(_A1="B-737-900",'2025'!$D$4="FO",'2025'!$D$2=AB5),'2025DATA'!$M$22,"")</f>
        <v/>
      </c>
      <c r="AC25" s="520" t="str">
        <f>IF(AND(_A1="B-737-900",'2025'!$D$4="FO",'2025'!$D$2=AC5),'2025DATA'!$N$22,"")</f>
        <v/>
      </c>
      <c r="AD25" s="940"/>
      <c r="AE25" s="13" t="s">
        <v>62</v>
      </c>
      <c r="AF25" s="518" t="str">
        <f>IF(AND(_A2="B-737-900",'2025'!$D$4="FO",'2025'!$D$2=AF5),'2025DATA'!$C$22,"")</f>
        <v/>
      </c>
      <c r="AG25" s="518" t="str">
        <f>IF(AND(_A2="B-737-900",'2025'!$D$4="FO",'2025'!$D$2=AG5),'2025DATA'!$D$22,"")</f>
        <v/>
      </c>
      <c r="AH25" s="518" t="str">
        <f>IF(AND(_A2="B-737-900",'2025'!$D$4="FO",'2025'!$D$2=AH5),'2025DATA'!$E$22,"")</f>
        <v/>
      </c>
      <c r="AI25" s="518" t="str">
        <f>IF(AND(_A2="B-737-900",'2025'!$D$4="FO",'2025'!$D$2=AI5),'2025DATA'!$F$22,"")</f>
        <v/>
      </c>
      <c r="AJ25" s="518" t="str">
        <f>IF(AND(_A2="B-737-900",'2025'!$D$4="FO",'2025'!$D$2=AJ5),'2025DATA'!$G$22,"")</f>
        <v/>
      </c>
      <c r="AK25" s="518" t="str">
        <f>IF(AND(_A2="B-737-900",'2025'!$D$4="FO",'2025'!$D$2=AK5),'2025DATA'!$H$22,"")</f>
        <v/>
      </c>
      <c r="AL25" s="518" t="str">
        <f>IF(AND(_A2="B-737-900",'2025'!$D$4="FO",'2025'!$D$2=AL5),'2025DATA'!$I$22,"")</f>
        <v/>
      </c>
      <c r="AM25" s="518" t="str">
        <f>IF(AND(_A2="B-737-900",'2025'!$D$4="FO",'2025'!$D$2=AM5),'2025DATA'!$J$22,"")</f>
        <v/>
      </c>
      <c r="AN25" s="518" t="str">
        <f>IF(AND(_A2="B-737-900",'2025'!$D$4="FO",'2025'!$D$2=AN5),'2025DATA'!$K$22,"")</f>
        <v/>
      </c>
      <c r="AO25" s="518" t="str">
        <f>IF(AND(_A2="B-737-900",'2025'!$D$4="FO",'2025'!$D$2=AO5),'2025DATA'!$L$22,"")</f>
        <v/>
      </c>
      <c r="AP25" s="518" t="str">
        <f>IF(AND(_A2="B-737-900",'2025'!$D$4="FO",'2025'!$D$2=AP5),'2025DATA'!$M$22,"")</f>
        <v/>
      </c>
      <c r="AQ25" s="520" t="str">
        <f>IF(AND(_A2="B-737-900",'2025'!$D$4="FO",'2025'!$D$2=AQ5),'2025DATA'!$N$22,"")</f>
        <v/>
      </c>
      <c r="AR25" s="940"/>
      <c r="AS25" s="13" t="s">
        <v>62</v>
      </c>
      <c r="AT25" s="518" t="str">
        <f>IF(AND(_A3="B-737-900",'2025'!$D$4="FO",'2025'!$D$2=AT5),'2025DATA'!$C$22,"")</f>
        <v/>
      </c>
      <c r="AU25" s="518" t="str">
        <f>IF(AND(_A3="B-737-900",'2025'!$D$4="FO",'2025'!$D$2=AU5),'2025DATA'!$D$22,"")</f>
        <v/>
      </c>
      <c r="AV25" s="518" t="str">
        <f>IF(AND(_A3="B-737-900",'2025'!$D$4="FO",'2025'!$D$2=AV5),'2025DATA'!$E$22,"")</f>
        <v/>
      </c>
      <c r="AW25" s="518" t="str">
        <f>IF(AND(_A3="B-737-900",'2025'!$D$4="FO",'2025'!$D$2=AW5),'2025DATA'!$F$22,"")</f>
        <v/>
      </c>
      <c r="AX25" s="518" t="str">
        <f>IF(AND(_A3="B-737-900",'2025'!$D$4="FO",'2025'!$D$2=AX5),'2025DATA'!$G$22,"")</f>
        <v/>
      </c>
      <c r="AY25" s="518" t="str">
        <f>IF(AND(_A3="B-737-900",'2025'!$D$4="FO",'2025'!$D$2=AY5),'2025DATA'!$H$22,"")</f>
        <v/>
      </c>
      <c r="AZ25" s="518" t="str">
        <f>IF(AND(_A3="B-737-900",'2025'!$D$4="FO",'2025'!$D$2=AZ5),'2025DATA'!$I$22,"")</f>
        <v/>
      </c>
      <c r="BA25" s="518" t="str">
        <f>IF(AND(_A3="B-737-900",'2025'!$D$4="FO",'2025'!$D$2=BA5),'2025DATA'!$J$22,"")</f>
        <v/>
      </c>
      <c r="BB25" s="518" t="str">
        <f>IF(AND(_A3="B-737-900",'2025'!$D$4="FO",'2025'!$D$2=BB5),'2025DATA'!$K$22,"")</f>
        <v/>
      </c>
      <c r="BC25" s="518" t="str">
        <f>IF(AND(_A3="B-737-900",'2025'!$D$4="FO",'2025'!$D$2=BC5),'2025DATA'!$L$22,"")</f>
        <v/>
      </c>
      <c r="BD25" s="518" t="str">
        <f>IF(AND(_A3="B-737-900",'2025'!$D$4="FO",'2025'!$D$2=BD5),'2025DATA'!$M$22,"")</f>
        <v/>
      </c>
      <c r="BE25" s="520" t="str">
        <f>IF(AND(_A3="B-737-900",'2025'!$D$4="FO",'2025'!$D$2=BE5),'2025DATA'!$N$22,"")</f>
        <v/>
      </c>
      <c r="BF25" s="940"/>
      <c r="BG25" s="13" t="s">
        <v>62</v>
      </c>
      <c r="BH25" s="518" t="str">
        <f>IF(AND(_A4="B-737-900",'2025'!$D$4="FO",'2025'!$D$2=BH5),'2025DATA'!$C$22,"")</f>
        <v/>
      </c>
      <c r="BI25" s="518" t="str">
        <f>IF(AND(_A4="B-737-900",'2025'!$D$4="FO",'2025'!$D$2=BI5),'2025DATA'!$D$22,"")</f>
        <v/>
      </c>
      <c r="BJ25" s="518" t="str">
        <f>IF(AND(_A4="B-737-900",'2025'!$D$4="FO",'2025'!$D$2=BJ5),'2025DATA'!$E$22,"")</f>
        <v/>
      </c>
      <c r="BK25" s="518" t="str">
        <f>IF(AND(_A4="B-737-900",'2025'!$D$4="FO",'2025'!$D$2=BK5),'2025DATA'!$F$22,"")</f>
        <v/>
      </c>
      <c r="BL25" s="518" t="str">
        <f>IF(AND(_A4="B-737-900",'2025'!$D$4="FO",'2025'!$D$2=BL5),'2025DATA'!$G$22,"")</f>
        <v/>
      </c>
      <c r="BM25" s="518" t="str">
        <f>IF(AND(_A4="B-737-900",'2025'!$D$4="FO",'2025'!$D$2=BM5),'2025DATA'!$H$22,"")</f>
        <v/>
      </c>
      <c r="BN25" s="518" t="str">
        <f>IF(AND(_A4="B-737-900",'2025'!$D$4="FO",'2025'!$D$2=BN5),'2025DATA'!$I$22,"")</f>
        <v/>
      </c>
      <c r="BO25" s="518" t="str">
        <f>IF(AND(_A4="B-737-900",'2025'!$D$4="FO",'2025'!$D$2=BO5),'2025DATA'!$J$22,"")</f>
        <v/>
      </c>
      <c r="BP25" s="518" t="str">
        <f>IF(AND(_A4="B-737-900",'2025'!$D$4="FO",'2025'!$D$2=BP5),'2025DATA'!$K$22,"")</f>
        <v/>
      </c>
      <c r="BQ25" s="518" t="str">
        <f>IF(AND(_A4="B-737-900",'2025'!$D$4="FO",'2025'!$D$2=BQ5),'2025DATA'!$L$22,"")</f>
        <v/>
      </c>
      <c r="BR25" s="518" t="str">
        <f>IF(AND(_A4="B-737-900",'2025'!$D$4="FO",'2025'!$D$2=BR5),'2025DATA'!$M$22,"")</f>
        <v/>
      </c>
      <c r="BS25" s="520" t="str">
        <f>IF(AND(_A4="B-737-900",'2025'!$D$4="FO",'2025'!$D$2=BS5),'2025DATA'!$N$22,"")</f>
        <v/>
      </c>
      <c r="BT25" s="940"/>
      <c r="BU25" s="13" t="s">
        <v>62</v>
      </c>
      <c r="BV25" s="518" t="str">
        <f>IF(AND(_A5="B-737-900",'2025'!$D$4="FO",'2025'!$D$2=BV5),'2025DATA'!$C$22,"")</f>
        <v/>
      </c>
      <c r="BW25" s="518" t="str">
        <f>IF(AND(_A5="B-737-900",'2025'!$D$4="FO",'2025'!$D$2=BW5),'2025DATA'!$D$22,"")</f>
        <v/>
      </c>
      <c r="BX25" s="518" t="str">
        <f>IF(AND(_A5="B-737-900",'2025'!$D$4="FO",'2025'!$D$2=BX5),'2025DATA'!$E$22,"")</f>
        <v/>
      </c>
      <c r="BY25" s="518" t="str">
        <f>IF(AND(_A5="B-737-900",'2025'!$D$4="FO",'2025'!$D$2=BY5),'2025DATA'!$F$22,"")</f>
        <v/>
      </c>
      <c r="BZ25" s="518" t="str">
        <f>IF(AND(_A5="B-737-900",'2025'!$D$4="FO",'2025'!$D$2=BZ5),'2025DATA'!$G$22,"")</f>
        <v/>
      </c>
      <c r="CA25" s="518" t="str">
        <f>IF(AND(_A5="B-737-900",'2025'!$D$4="FO",'2025'!$D$2=CA5),'2025DATA'!$H$22,"")</f>
        <v/>
      </c>
      <c r="CB25" s="518" t="str">
        <f>IF(AND(_A5="B-737-900",'2025'!$D$4="FO",'2025'!$D$2=CB5),'2025DATA'!$I$22,"")</f>
        <v/>
      </c>
      <c r="CC25" s="518" t="str">
        <f>IF(AND(_A5="B-737-900",'2025'!$D$4="FO",'2025'!$D$2=CC5),'2025DATA'!$J$22,"")</f>
        <v/>
      </c>
      <c r="CD25" s="518" t="str">
        <f>IF(AND(_A5="B-737-900",'2025'!$D$4="FO",'2025'!$D$2=CD5),'2025DATA'!$K$22,"")</f>
        <v/>
      </c>
      <c r="CE25" s="518" t="str">
        <f>IF(AND(_A5="B-737-900",'2025'!$D$4="FO",'2025'!$D$2=CE5),'2025DATA'!$L$22,"")</f>
        <v/>
      </c>
      <c r="CF25" s="518" t="str">
        <f>IF(AND(_A5="B-737-900",'2025'!$D$4="FO",'2025'!$D$2=CF5),'2025DATA'!$M$22,"")</f>
        <v/>
      </c>
      <c r="CG25" s="520" t="str">
        <f>IF(AND(_A5="B-737-900",'2025'!$D$4="FO",'2025'!$D$2=CG5),'2025DATA'!$N$22,"")</f>
        <v/>
      </c>
      <c r="CH25" s="940"/>
      <c r="CI25" s="13" t="s">
        <v>62</v>
      </c>
      <c r="CJ25" s="518" t="str">
        <f>IF(AND(_A6="B-737-900",'2025'!$D$4="FO",'2025'!$D$2=CJ5),'2025DATA'!$C$22,"")</f>
        <v/>
      </c>
      <c r="CK25" s="518" t="str">
        <f>IF(AND(_A6="B-737-900",'2025'!$D$4="FO",'2025'!$D$2=CK5),'2025DATA'!$D$22,"")</f>
        <v/>
      </c>
      <c r="CL25" s="518" t="str">
        <f>IF(AND(_A6="B-737-900",'2025'!$D$4="FO",'2025'!$D$2=CL5),'2025DATA'!$E$22,"")</f>
        <v/>
      </c>
      <c r="CM25" s="518" t="str">
        <f>IF(AND(_A6="B-737-900",'2025'!$D$4="FO",'2025'!$D$2=CM5),'2025DATA'!$F$22,"")</f>
        <v/>
      </c>
      <c r="CN25" s="518" t="str">
        <f>IF(AND(_A6="B-737-900",'2025'!$D$4="FO",'2025'!$D$2=CN5),'2025DATA'!$G$22,"")</f>
        <v/>
      </c>
      <c r="CO25" s="518" t="str">
        <f>IF(AND(_A6="B-737-900",'2025'!$D$4="FO",'2025'!$D$2=CO5),'2025DATA'!$H$22,"")</f>
        <v/>
      </c>
      <c r="CP25" s="518" t="str">
        <f>IF(AND(_A6="B-737-900",'2025'!$D$4="FO",'2025'!$D$2=CP5),'2025DATA'!$I$22,"")</f>
        <v/>
      </c>
      <c r="CQ25" s="518" t="str">
        <f>IF(AND(_A6="B-737-900",'2025'!$D$4="FO",'2025'!$D$2=CQ5),'2025DATA'!$J$22,"")</f>
        <v/>
      </c>
      <c r="CR25" s="518" t="str">
        <f>IF(AND(_A6="B-737-900",'2025'!$D$4="FO",'2025'!$D$2=CR5),'2025DATA'!$K$22,"")</f>
        <v/>
      </c>
      <c r="CS25" s="518" t="str">
        <f>IF(AND(_A6="B-737-900",'2025'!$D$4="FO",'2025'!$D$2=CS5),'2025DATA'!$L$22,"")</f>
        <v/>
      </c>
      <c r="CT25" s="518" t="str">
        <f>IF(AND(_A6="B-737-900",'2025'!$D$4="FO",'2025'!$D$2=CT5),'2025DATA'!$M$22,"")</f>
        <v/>
      </c>
      <c r="CU25" s="520" t="str">
        <f>IF(AND(_A6="B-737-900",'2025'!$D$4="FO",'2025'!$D$2=CU5),'2025DATA'!$N$22,"")</f>
        <v/>
      </c>
    </row>
    <row r="26" spans="1:99" x14ac:dyDescent="0.25">
      <c r="A26" s="987"/>
      <c r="B26" s="64" t="s">
        <v>62</v>
      </c>
      <c r="C26" s="28">
        <v>265.92</v>
      </c>
      <c r="D26" s="29">
        <v>262.82</v>
      </c>
      <c r="E26" s="29">
        <v>259.63</v>
      </c>
      <c r="F26" s="29">
        <v>255.39</v>
      </c>
      <c r="G26" s="29">
        <v>252.83</v>
      </c>
      <c r="H26" s="29">
        <v>247.03</v>
      </c>
      <c r="I26" s="29">
        <v>240.4</v>
      </c>
      <c r="J26" s="29">
        <v>234.54</v>
      </c>
      <c r="K26" s="29">
        <v>228.93</v>
      </c>
      <c r="L26" s="29">
        <v>223.49</v>
      </c>
      <c r="M26" s="29">
        <v>190.98</v>
      </c>
      <c r="N26" s="30">
        <v>120.69</v>
      </c>
      <c r="P26" s="940" t="s">
        <v>69</v>
      </c>
      <c r="Q26" s="13" t="s">
        <v>61</v>
      </c>
      <c r="R26" s="518" t="str">
        <f>IF(AND(_A1="B-737-800",'2025'!$D$4="CA",'2025'!$D$2=R5),'2025DATA'!$C$23,"")</f>
        <v/>
      </c>
      <c r="S26" s="518" t="str">
        <f>IF(AND(_A1="B-737-800",'2025'!$D$4="CA",'2025'!$D$2=S5),'2025DATA'!$D$23,"")</f>
        <v/>
      </c>
      <c r="T26" s="518" t="str">
        <f>IF(AND(_A1="B-737-800",'2025'!$D$4="CA",'2025'!$D$2=T5),'2025DATA'!$E$23,"")</f>
        <v/>
      </c>
      <c r="U26" s="518" t="str">
        <f>IF(AND(_A1="B-737-800",'2025'!$D$4="CA",'2025'!$D$2=U5),'2025DATA'!$F$23,"")</f>
        <v/>
      </c>
      <c r="V26" s="518" t="str">
        <f>IF(AND(_A1="B-737-800",'2025'!$D$4="CA",'2025'!$D$2=V5),'2025DATA'!$G$23,"")</f>
        <v/>
      </c>
      <c r="W26" s="518" t="str">
        <f>IF(AND(_A1="B-737-800",'2025'!$D$4="CA",'2025'!$D$2=W5),'2025DATA'!$H$23,"")</f>
        <v/>
      </c>
      <c r="X26" s="518" t="str">
        <f>IF(AND(_A1="B-737-800",'2025'!$D$4="CA",'2025'!$D$2=X5),'2025DATA'!$I$23,"")</f>
        <v/>
      </c>
      <c r="Y26" s="518" t="str">
        <f>IF(AND(_A1="B-737-800",'2025'!$D$4="CA",'2025'!$D$2=Y5),'2025DATA'!$J$23,"")</f>
        <v/>
      </c>
      <c r="Z26" s="518" t="str">
        <f>IF(AND(_A1="B-737-800",'2025'!$D$4="CA",'2025'!$D$2=Z5),'2025DATA'!$K$23,"")</f>
        <v/>
      </c>
      <c r="AA26" s="518" t="str">
        <f>IF(AND(_A1="B-737-800",'2025'!$D$4="CA",'2025'!$D$2=AA5),'2025DATA'!$L$23,"")</f>
        <v/>
      </c>
      <c r="AB26" s="518" t="str">
        <f>IF(AND(_A1="B-737-800",'2025'!$D$4="CA",'2025'!$D$2=AB5),'2025DATA'!$M$23,"")</f>
        <v/>
      </c>
      <c r="AC26" s="520" t="str">
        <f>IF(AND(_A1="B-737-800",'2025'!$D$4="CA",'2025'!$D$2=AC5),'2025DATA'!$N$23,"")</f>
        <v/>
      </c>
      <c r="AD26" s="940" t="s">
        <v>69</v>
      </c>
      <c r="AE26" s="13" t="s">
        <v>61</v>
      </c>
      <c r="AF26" s="518" t="str">
        <f>IF(AND(_A2="B-737-800",'2025'!$D$4="CA",'2025'!$D$2=AF5),'2025DATA'!$C$23,"")</f>
        <v/>
      </c>
      <c r="AG26" s="518" t="str">
        <f>IF(AND(_A2="B-737-800",'2025'!$D$4="CA",'2025'!$D$2=AG5),'2025DATA'!$D$23,"")</f>
        <v/>
      </c>
      <c r="AH26" s="518" t="str">
        <f>IF(AND(_A2="B-737-800",'2025'!$D$4="CA",'2025'!$D$2=AH5),'2025DATA'!$E$23,"")</f>
        <v/>
      </c>
      <c r="AI26" s="518" t="str">
        <f>IF(AND(_A2="B-737-800",'2025'!$D$4="CA",'2025'!$D$2=AI5),'2025DATA'!$F$23,"")</f>
        <v/>
      </c>
      <c r="AJ26" s="518" t="str">
        <f>IF(AND(_A2="B-737-800",'2025'!$D$4="CA",'2025'!$D$2=AJ5),'2025DATA'!$G$23,"")</f>
        <v/>
      </c>
      <c r="AK26" s="518" t="str">
        <f>IF(AND(_A2="B-737-800",'2025'!$D$4="CA",'2025'!$D$2=AK5),'2025DATA'!$H$23,"")</f>
        <v/>
      </c>
      <c r="AL26" s="518" t="str">
        <f>IF(AND(_A2="B-737-800",'2025'!$D$4="CA",'2025'!$D$2=AL5),'2025DATA'!$I$23,"")</f>
        <v/>
      </c>
      <c r="AM26" s="518" t="str">
        <f>IF(AND(_A2="B-737-800",'2025'!$D$4="CA",'2025'!$D$2=AM5),'2025DATA'!$J$23,"")</f>
        <v/>
      </c>
      <c r="AN26" s="518" t="str">
        <f>IF(AND(_A2="B-737-800",'2025'!$D$4="CA",'2025'!$D$2=AN5),'2025DATA'!$K$23,"")</f>
        <v/>
      </c>
      <c r="AO26" s="518" t="str">
        <f>IF(AND(_A2="B-737-800",'2025'!$D$4="CA",'2025'!$D$2=AO5),'2025DATA'!$L$23,"")</f>
        <v/>
      </c>
      <c r="AP26" s="518" t="str">
        <f>IF(AND(_A2="B-737-800",'2025'!$D$4="CA",'2025'!$D$2=AP5),'2025DATA'!$M$23,"")</f>
        <v/>
      </c>
      <c r="AQ26" s="520" t="str">
        <f>IF(AND(_A2="B-737-800",'2025'!$D$4="CA",'2025'!$D$2=AQ5),'2025DATA'!$N$23,"")</f>
        <v/>
      </c>
      <c r="AR26" s="940" t="s">
        <v>69</v>
      </c>
      <c r="AS26" s="13" t="s">
        <v>61</v>
      </c>
      <c r="AT26" s="518" t="str">
        <f>IF(AND(_A3="B-737-800",'2025'!$D$4="CA",'2025'!$D$2=AT5),'2025DATA'!$C$23,"")</f>
        <v/>
      </c>
      <c r="AU26" s="518" t="str">
        <f>IF(AND(_A3="B-737-800",'2025'!$D$4="CA",'2025'!$D$2=AU5),'2025DATA'!$D$23,"")</f>
        <v/>
      </c>
      <c r="AV26" s="518" t="str">
        <f>IF(AND(_A3="B-737-800",'2025'!$D$4="CA",'2025'!$D$2=AV5),'2025DATA'!$E$23,"")</f>
        <v/>
      </c>
      <c r="AW26" s="518" t="str">
        <f>IF(AND(_A3="B-737-800",'2025'!$D$4="CA",'2025'!$D$2=AW5),'2025DATA'!$F$23,"")</f>
        <v/>
      </c>
      <c r="AX26" s="518" t="str">
        <f>IF(AND(_A3="B-737-800",'2025'!$D$4="CA",'2025'!$D$2=AX5),'2025DATA'!$G$23,"")</f>
        <v/>
      </c>
      <c r="AY26" s="518" t="str">
        <f>IF(AND(_A3="B-737-800",'2025'!$D$4="CA",'2025'!$D$2=AY5),'2025DATA'!$H$23,"")</f>
        <v/>
      </c>
      <c r="AZ26" s="518" t="str">
        <f>IF(AND(_A3="B-737-800",'2025'!$D$4="CA",'2025'!$D$2=AZ5),'2025DATA'!$I$23,"")</f>
        <v/>
      </c>
      <c r="BA26" s="518" t="str">
        <f>IF(AND(_A3="B-737-800",'2025'!$D$4="CA",'2025'!$D$2=BA5),'2025DATA'!$J$23,"")</f>
        <v/>
      </c>
      <c r="BB26" s="518" t="str">
        <f>IF(AND(_A3="B-737-800",'2025'!$D$4="CA",'2025'!$D$2=BB5),'2025DATA'!$K$23,"")</f>
        <v/>
      </c>
      <c r="BC26" s="518" t="str">
        <f>IF(AND(_A3="B-737-800",'2025'!$D$4="CA",'2025'!$D$2=BC5),'2025DATA'!$L$23,"")</f>
        <v/>
      </c>
      <c r="BD26" s="518" t="str">
        <f>IF(AND(_A3="B-737-800",'2025'!$D$4="CA",'2025'!$D$2=BD5),'2025DATA'!$M$23,"")</f>
        <v/>
      </c>
      <c r="BE26" s="520" t="str">
        <f>IF(AND(_A3="B-737-800",'2025'!$D$4="CA",'2025'!$D$2=BE5),'2025DATA'!$N$23,"")</f>
        <v/>
      </c>
      <c r="BF26" s="940" t="s">
        <v>69</v>
      </c>
      <c r="BG26" s="13" t="s">
        <v>61</v>
      </c>
      <c r="BH26" s="518" t="str">
        <f>IF(AND(_A4="B-737-800",'2025'!$D$4="CA",'2025'!$D$2=BH5),'2025DATA'!$C$23,"")</f>
        <v/>
      </c>
      <c r="BI26" s="518" t="str">
        <f>IF(AND(_A4="B-737-800",'2025'!$D$4="CA",'2025'!$D$2=BI5),'2025DATA'!$D$23,"")</f>
        <v/>
      </c>
      <c r="BJ26" s="518" t="str">
        <f>IF(AND(_A4="B-737-800",'2025'!$D$4="CA",'2025'!$D$2=BJ5),'2025DATA'!$E$23,"")</f>
        <v/>
      </c>
      <c r="BK26" s="518" t="str">
        <f>IF(AND(_A4="B-737-800",'2025'!$D$4="CA",'2025'!$D$2=BK5),'2025DATA'!$F$23,"")</f>
        <v/>
      </c>
      <c r="BL26" s="518" t="str">
        <f>IF(AND(_A4="B-737-800",'2025'!$D$4="CA",'2025'!$D$2=BL5),'2025DATA'!$G$23,"")</f>
        <v/>
      </c>
      <c r="BM26" s="518" t="str">
        <f>IF(AND(_A4="B-737-800",'2025'!$D$4="CA",'2025'!$D$2=BM5),'2025DATA'!$H$23,"")</f>
        <v/>
      </c>
      <c r="BN26" s="518" t="str">
        <f>IF(AND(_A4="B-737-800",'2025'!$D$4="CA",'2025'!$D$2=BN5),'2025DATA'!$I$23,"")</f>
        <v/>
      </c>
      <c r="BO26" s="518" t="str">
        <f>IF(AND(_A4="B-737-800",'2025'!$D$4="CA",'2025'!$D$2=BO5),'2025DATA'!$J$23,"")</f>
        <v/>
      </c>
      <c r="BP26" s="518" t="str">
        <f>IF(AND(_A4="B-737-800",'2025'!$D$4="CA",'2025'!$D$2=BP5),'2025DATA'!$K$23,"")</f>
        <v/>
      </c>
      <c r="BQ26" s="518" t="str">
        <f>IF(AND(_A4="B-737-800",'2025'!$D$4="CA",'2025'!$D$2=BQ5),'2025DATA'!$L$23,"")</f>
        <v/>
      </c>
      <c r="BR26" s="518" t="str">
        <f>IF(AND(_A4="B-737-800",'2025'!$D$4="CA",'2025'!$D$2=BR5),'2025DATA'!$M$23,"")</f>
        <v/>
      </c>
      <c r="BS26" s="520" t="str">
        <f>IF(AND(_A4="B-737-800",'2025'!$D$4="CA",'2025'!$D$2=BS5),'2025DATA'!$N$23,"")</f>
        <v/>
      </c>
      <c r="BT26" s="940" t="s">
        <v>69</v>
      </c>
      <c r="BU26" s="13" t="s">
        <v>61</v>
      </c>
      <c r="BV26" s="518" t="str">
        <f>IF(AND(_A5="B-737-800",'2025'!$D$4="CA",'2025'!$D$2=BV5),'2025DATA'!$C$23,"")</f>
        <v/>
      </c>
      <c r="BW26" s="518" t="str">
        <f>IF(AND(_A5="B-737-800",'2025'!$D$4="CA",'2025'!$D$2=BW5),'2025DATA'!$D$23,"")</f>
        <v/>
      </c>
      <c r="BX26" s="518" t="str">
        <f>IF(AND(_A5="B-737-800",'2025'!$D$4="CA",'2025'!$D$2=BX5),'2025DATA'!$E$23,"")</f>
        <v/>
      </c>
      <c r="BY26" s="518" t="str">
        <f>IF(AND(_A5="B-737-800",'2025'!$D$4="CA",'2025'!$D$2=BY5),'2025DATA'!$F$23,"")</f>
        <v/>
      </c>
      <c r="BZ26" s="518" t="str">
        <f>IF(AND(_A5="B-737-800",'2025'!$D$4="CA",'2025'!$D$2=BZ5),'2025DATA'!$G$23,"")</f>
        <v/>
      </c>
      <c r="CA26" s="518" t="str">
        <f>IF(AND(_A5="B-737-800",'2025'!$D$4="CA",'2025'!$D$2=CA5),'2025DATA'!$H$23,"")</f>
        <v/>
      </c>
      <c r="CB26" s="518" t="str">
        <f>IF(AND(_A5="B-737-800",'2025'!$D$4="CA",'2025'!$D$2=CB5),'2025DATA'!$I$23,"")</f>
        <v/>
      </c>
      <c r="CC26" s="518" t="str">
        <f>IF(AND(_A5="B-737-800",'2025'!$D$4="CA",'2025'!$D$2=CC5),'2025DATA'!$J$23,"")</f>
        <v/>
      </c>
      <c r="CD26" s="518" t="str">
        <f>IF(AND(_A5="B-737-800",'2025'!$D$4="CA",'2025'!$D$2=CD5),'2025DATA'!$K$23,"")</f>
        <v/>
      </c>
      <c r="CE26" s="518" t="str">
        <f>IF(AND(_A5="B-737-800",'2025'!$D$4="CA",'2025'!$D$2=CE5),'2025DATA'!$L$23,"")</f>
        <v/>
      </c>
      <c r="CF26" s="518" t="str">
        <f>IF(AND(_A5="B-737-800",'2025'!$D$4="CA",'2025'!$D$2=CF5),'2025DATA'!$M$23,"")</f>
        <v/>
      </c>
      <c r="CG26" s="520" t="str">
        <f>IF(AND(_A5="B-737-800",'2025'!$D$4="CA",'2025'!$D$2=CG5),'2025DATA'!$N$23,"")</f>
        <v/>
      </c>
      <c r="CH26" s="940" t="s">
        <v>69</v>
      </c>
      <c r="CI26" s="13" t="s">
        <v>61</v>
      </c>
      <c r="CJ26" s="518" t="str">
        <f>IF(AND(_A6="B-737-800",'2025'!$D$4="CA",'2025'!$D$2=CJ5),'2025DATA'!$C$23,"")</f>
        <v/>
      </c>
      <c r="CK26" s="518" t="str">
        <f>IF(AND(_A6="B-737-800",'2025'!$D$4="CA",'2025'!$D$2=CK5),'2025DATA'!$D$23,"")</f>
        <v/>
      </c>
      <c r="CL26" s="518" t="str">
        <f>IF(AND(_A6="B-737-800",'2025'!$D$4="CA",'2025'!$D$2=CL5),'2025DATA'!$E$23,"")</f>
        <v/>
      </c>
      <c r="CM26" s="518" t="str">
        <f>IF(AND(_A6="B-737-800",'2025'!$D$4="CA",'2025'!$D$2=CM5),'2025DATA'!$F$23,"")</f>
        <v/>
      </c>
      <c r="CN26" s="518" t="str">
        <f>IF(AND(_A6="B-737-800",'2025'!$D$4="CA",'2025'!$D$2=CN5),'2025DATA'!$G$23,"")</f>
        <v/>
      </c>
      <c r="CO26" s="518" t="str">
        <f>IF(AND(_A6="B-737-800",'2025'!$D$4="CA",'2025'!$D$2=CO5),'2025DATA'!$H$23,"")</f>
        <v/>
      </c>
      <c r="CP26" s="518" t="str">
        <f>IF(AND(_A6="B-737-800",'2025'!$D$4="CA",'2025'!$D$2=CP5),'2025DATA'!$I$23,"")</f>
        <v/>
      </c>
      <c r="CQ26" s="518" t="str">
        <f>IF(AND(_A6="B-737-800",'2025'!$D$4="CA",'2025'!$D$2=CQ5),'2025DATA'!$J$23,"")</f>
        <v/>
      </c>
      <c r="CR26" s="518" t="str">
        <f>IF(AND(_A6="B-737-800",'2025'!$D$4="CA",'2025'!$D$2=CR5),'2025DATA'!$K$23,"")</f>
        <v/>
      </c>
      <c r="CS26" s="518" t="str">
        <f>IF(AND(_A6="B-737-800",'2025'!$D$4="CA",'2025'!$D$2=CS5),'2025DATA'!$L$23,"")</f>
        <v/>
      </c>
      <c r="CT26" s="518" t="str">
        <f>IF(AND(_A6="B-737-800",'2025'!$D$4="CA",'2025'!$D$2=CT5),'2025DATA'!$M$23,"")</f>
        <v/>
      </c>
      <c r="CU26" s="520" t="str">
        <f>IF(AND(_A6="B-737-800",'2025'!$D$4="CA",'2025'!$D$2=CU5),'2025DATA'!$N$23,"")</f>
        <v/>
      </c>
    </row>
    <row r="27" spans="1:99" x14ac:dyDescent="0.25">
      <c r="A27" s="987" t="s">
        <v>48</v>
      </c>
      <c r="B27" s="64" t="s">
        <v>61</v>
      </c>
      <c r="C27" s="28">
        <v>375.28</v>
      </c>
      <c r="D27" s="29">
        <v>372.38</v>
      </c>
      <c r="E27" s="29">
        <v>369.49</v>
      </c>
      <c r="F27" s="29">
        <v>366.76</v>
      </c>
      <c r="G27" s="29">
        <v>363.87</v>
      </c>
      <c r="H27" s="29">
        <v>361.04</v>
      </c>
      <c r="I27" s="29">
        <v>358.22</v>
      </c>
      <c r="J27" s="29">
        <v>355.38</v>
      </c>
      <c r="K27" s="29">
        <v>352.51</v>
      </c>
      <c r="L27" s="29">
        <v>349.68</v>
      </c>
      <c r="M27" s="29">
        <v>346.95</v>
      </c>
      <c r="N27" s="30">
        <v>344.25</v>
      </c>
      <c r="P27" s="940"/>
      <c r="Q27" s="13" t="s">
        <v>62</v>
      </c>
      <c r="R27" s="518" t="str">
        <f>IF(AND(_A1="B-737-800",'2025'!$D$4="FO",'2025'!$D$2=R5),'2025DATA'!$C$24,"")</f>
        <v/>
      </c>
      <c r="S27" s="518" t="str">
        <f>IF(AND(_A1="B-737-800",'2025'!$D$4="FO",'2025'!$D$2=S5),'2025DATA'!$D$24,"")</f>
        <v/>
      </c>
      <c r="T27" s="518" t="str">
        <f>IF(AND(_A1="B-737-800",'2025'!$D$4="FO",'2025'!$D$2=T5),'2025DATA'!$E$24,"")</f>
        <v/>
      </c>
      <c r="U27" s="518" t="str">
        <f>IF(AND(_A1="B-737-800",'2025'!$D$4="FO",'2025'!$D$2=U5),'2025DATA'!$F$24,"")</f>
        <v/>
      </c>
      <c r="V27" s="518" t="str">
        <f>IF(AND(_A1="B-737-800",'2025'!$D$4="FO",'2025'!$D$2=V5),'2025DATA'!$G$24,"")</f>
        <v/>
      </c>
      <c r="W27" s="518" t="str">
        <f>IF(AND(_A1="B-737-800",'2025'!$D$4="FO",'2025'!$D$2=W5),'2025DATA'!$H$24,"")</f>
        <v/>
      </c>
      <c r="X27" s="518" t="str">
        <f>IF(AND(_A1="B-737-800",'2025'!$D$4="FO",'2025'!$D$2=X5),'2025DATA'!$I$24,"")</f>
        <v/>
      </c>
      <c r="Y27" s="518" t="str">
        <f>IF(AND(_A1="B-737-800",'2025'!$D$4="FO",'2025'!$D$2=Y5),'2025DATA'!$J$24,"")</f>
        <v/>
      </c>
      <c r="Z27" s="518" t="str">
        <f>IF(AND(_A1="B-737-800",'2025'!$D$4="FO",'2025'!$D$2=Z5),'2025DATA'!$K$24,"")</f>
        <v/>
      </c>
      <c r="AA27" s="518" t="str">
        <f>IF(AND(_A1="B-737-800",'2025'!$D$4="FO",'2025'!$D$2=AA5),'2025DATA'!$L$24,"")</f>
        <v/>
      </c>
      <c r="AB27" s="518" t="str">
        <f>IF(AND(_A1="B-737-800",'2025'!$D$4="FO",'2025'!$D$2=AB5),'2025DATA'!$M$24,"")</f>
        <v/>
      </c>
      <c r="AC27" s="520" t="str">
        <f>IF(AND(_A1="B-737-800",'2025'!$D$4="FO",'2025'!$D$2=AC5),'2025DATA'!$N$24,"")</f>
        <v/>
      </c>
      <c r="AD27" s="940"/>
      <c r="AE27" s="13" t="s">
        <v>62</v>
      </c>
      <c r="AF27" s="518" t="str">
        <f>IF(AND(_A2="B-737-800",'2025'!$D$4="FO",'2025'!$D$2=AF5),'2025DATA'!$C$24,"")</f>
        <v/>
      </c>
      <c r="AG27" s="518" t="str">
        <f>IF(AND(_A2="B-737-800",'2025'!$D$4="FO",'2025'!$D$2=AG5),'2025DATA'!$D$24,"")</f>
        <v/>
      </c>
      <c r="AH27" s="518" t="str">
        <f>IF(AND(_A2="B-737-800",'2025'!$D$4="FO",'2025'!$D$2=AH5),'2025DATA'!$E$24,"")</f>
        <v/>
      </c>
      <c r="AI27" s="518" t="str">
        <f>IF(AND(_A2="B-737-800",'2025'!$D$4="FO",'2025'!$D$2=AI5),'2025DATA'!$F$24,"")</f>
        <v/>
      </c>
      <c r="AJ27" s="518" t="str">
        <f>IF(AND(_A2="B-737-800",'2025'!$D$4="FO",'2025'!$D$2=AJ5),'2025DATA'!$G$24,"")</f>
        <v/>
      </c>
      <c r="AK27" s="518" t="str">
        <f>IF(AND(_A2="B-737-800",'2025'!$D$4="FO",'2025'!$D$2=AK5),'2025DATA'!$H$24,"")</f>
        <v/>
      </c>
      <c r="AL27" s="518" t="str">
        <f>IF(AND(_A2="B-737-800",'2025'!$D$4="FO",'2025'!$D$2=AL5),'2025DATA'!$I$24,"")</f>
        <v/>
      </c>
      <c r="AM27" s="518" t="str">
        <f>IF(AND(_A2="B-737-800",'2025'!$D$4="FO",'2025'!$D$2=AM5),'2025DATA'!$J$24,"")</f>
        <v/>
      </c>
      <c r="AN27" s="518" t="str">
        <f>IF(AND(_A2="B-737-800",'2025'!$D$4="FO",'2025'!$D$2=AN5),'2025DATA'!$K$24,"")</f>
        <v/>
      </c>
      <c r="AO27" s="518" t="str">
        <f>IF(AND(_A2="B-737-800",'2025'!$D$4="FO",'2025'!$D$2=AO5),'2025DATA'!$L$24,"")</f>
        <v/>
      </c>
      <c r="AP27" s="518" t="str">
        <f>IF(AND(_A2="B-737-800",'2025'!$D$4="FO",'2025'!$D$2=AP5),'2025DATA'!$M$24,"")</f>
        <v/>
      </c>
      <c r="AQ27" s="520" t="str">
        <f>IF(AND(_A2="B-737-800",'2025'!$D$4="FO",'2025'!$D$2=AQ5),'2025DATA'!$N$24,"")</f>
        <v/>
      </c>
      <c r="AR27" s="940"/>
      <c r="AS27" s="13" t="s">
        <v>62</v>
      </c>
      <c r="AT27" s="518" t="str">
        <f>IF(AND(_A3="B-737-800",'2025'!$D$4="FO",'2025'!$D$2=AT5),'2025DATA'!$C$24,"")</f>
        <v/>
      </c>
      <c r="AU27" s="518" t="str">
        <f>IF(AND(_A3="B-737-800",'2025'!$D$4="FO",'2025'!$D$2=AU5),'2025DATA'!$D$24,"")</f>
        <v/>
      </c>
      <c r="AV27" s="518" t="str">
        <f>IF(AND(_A3="B-737-800",'2025'!$D$4="FO",'2025'!$D$2=AV5),'2025DATA'!$E$24,"")</f>
        <v/>
      </c>
      <c r="AW27" s="518" t="str">
        <f>IF(AND(_A3="B-737-800",'2025'!$D$4="FO",'2025'!$D$2=AW5),'2025DATA'!$F$24,"")</f>
        <v/>
      </c>
      <c r="AX27" s="518" t="str">
        <f>IF(AND(_A3="B-737-800",'2025'!$D$4="FO",'2025'!$D$2=AX5),'2025DATA'!$G$24,"")</f>
        <v/>
      </c>
      <c r="AY27" s="518" t="str">
        <f>IF(AND(_A3="B-737-800",'2025'!$D$4="FO",'2025'!$D$2=AY5),'2025DATA'!$H$24,"")</f>
        <v/>
      </c>
      <c r="AZ27" s="518" t="str">
        <f>IF(AND(_A3="B-737-800",'2025'!$D$4="FO",'2025'!$D$2=AZ5),'2025DATA'!$I$24,"")</f>
        <v/>
      </c>
      <c r="BA27" s="518" t="str">
        <f>IF(AND(_A3="B-737-800",'2025'!$D$4="FO",'2025'!$D$2=BA5),'2025DATA'!$J$24,"")</f>
        <v/>
      </c>
      <c r="BB27" s="518" t="str">
        <f>IF(AND(_A3="B-737-800",'2025'!$D$4="FO",'2025'!$D$2=BB5),'2025DATA'!$K$24,"")</f>
        <v/>
      </c>
      <c r="BC27" s="518" t="str">
        <f>IF(AND(_A3="B-737-800",'2025'!$D$4="FO",'2025'!$D$2=BC5),'2025DATA'!$L$24,"")</f>
        <v/>
      </c>
      <c r="BD27" s="518" t="str">
        <f>IF(AND(_A3="B-737-800",'2025'!$D$4="FO",'2025'!$D$2=BD5),'2025DATA'!$M$24,"")</f>
        <v/>
      </c>
      <c r="BE27" s="520" t="str">
        <f>IF(AND(_A3="B-737-800",'2025'!$D$4="FO",'2025'!$D$2=BE5),'2025DATA'!$N$24,"")</f>
        <v/>
      </c>
      <c r="BF27" s="940"/>
      <c r="BG27" s="13" t="s">
        <v>62</v>
      </c>
      <c r="BH27" s="518" t="str">
        <f>IF(AND(_A4="B-737-800",'2025'!$D$4="FO",'2025'!$D$2=BH5),'2025DATA'!$C$24,"")</f>
        <v/>
      </c>
      <c r="BI27" s="518" t="str">
        <f>IF(AND(_A4="B-737-800",'2025'!$D$4="FO",'2025'!$D$2=BI5),'2025DATA'!$D$24,"")</f>
        <v/>
      </c>
      <c r="BJ27" s="518" t="str">
        <f>IF(AND(_A4="B-737-800",'2025'!$D$4="FO",'2025'!$D$2=BJ5),'2025DATA'!$E$24,"")</f>
        <v/>
      </c>
      <c r="BK27" s="518" t="str">
        <f>IF(AND(_A4="B-737-800",'2025'!$D$4="FO",'2025'!$D$2=BK5),'2025DATA'!$F$24,"")</f>
        <v/>
      </c>
      <c r="BL27" s="518" t="str">
        <f>IF(AND(_A4="B-737-800",'2025'!$D$4="FO",'2025'!$D$2=BL5),'2025DATA'!$G$24,"")</f>
        <v/>
      </c>
      <c r="BM27" s="518" t="str">
        <f>IF(AND(_A4="B-737-800",'2025'!$D$4="FO",'2025'!$D$2=BM5),'2025DATA'!$H$24,"")</f>
        <v/>
      </c>
      <c r="BN27" s="518" t="str">
        <f>IF(AND(_A4="B-737-800",'2025'!$D$4="FO",'2025'!$D$2=BN5),'2025DATA'!$I$24,"")</f>
        <v/>
      </c>
      <c r="BO27" s="518" t="str">
        <f>IF(AND(_A4="B-737-800",'2025'!$D$4="FO",'2025'!$D$2=BO5),'2025DATA'!$J$24,"")</f>
        <v/>
      </c>
      <c r="BP27" s="518" t="str">
        <f>IF(AND(_A4="B-737-800",'2025'!$D$4="FO",'2025'!$D$2=BP5),'2025DATA'!$K$24,"")</f>
        <v/>
      </c>
      <c r="BQ27" s="518" t="str">
        <f>IF(AND(_A4="B-737-800",'2025'!$D$4="FO",'2025'!$D$2=BQ5),'2025DATA'!$L$24,"")</f>
        <v/>
      </c>
      <c r="BR27" s="518" t="str">
        <f>IF(AND(_A4="B-737-800",'2025'!$D$4="FO",'2025'!$D$2=BR5),'2025DATA'!$M$24,"")</f>
        <v/>
      </c>
      <c r="BS27" s="520" t="str">
        <f>IF(AND(_A4="B-737-800",'2025'!$D$4="FO",'2025'!$D$2=BS5),'2025DATA'!$N$24,"")</f>
        <v/>
      </c>
      <c r="BT27" s="940"/>
      <c r="BU27" s="13" t="s">
        <v>62</v>
      </c>
      <c r="BV27" s="518" t="str">
        <f>IF(AND(_A5="B-737-800",'2025'!$D$4="FO",'2025'!$D$2=BV5),'2025DATA'!$C$24,"")</f>
        <v/>
      </c>
      <c r="BW27" s="518" t="str">
        <f>IF(AND(_A5="B-737-800",'2025'!$D$4="FO",'2025'!$D$2=BW5),'2025DATA'!$D$24,"")</f>
        <v/>
      </c>
      <c r="BX27" s="518" t="str">
        <f>IF(AND(_A5="B-737-800",'2025'!$D$4="FO",'2025'!$D$2=BX5),'2025DATA'!$E$24,"")</f>
        <v/>
      </c>
      <c r="BY27" s="518" t="str">
        <f>IF(AND(_A5="B-737-800",'2025'!$D$4="FO",'2025'!$D$2=BY5),'2025DATA'!$F$24,"")</f>
        <v/>
      </c>
      <c r="BZ27" s="518" t="str">
        <f>IF(AND(_A5="B-737-800",'2025'!$D$4="FO",'2025'!$D$2=BZ5),'2025DATA'!$G$24,"")</f>
        <v/>
      </c>
      <c r="CA27" s="518" t="str">
        <f>IF(AND(_A5="B-737-800",'2025'!$D$4="FO",'2025'!$D$2=CA5),'2025DATA'!$H$24,"")</f>
        <v/>
      </c>
      <c r="CB27" s="518" t="str">
        <f>IF(AND(_A5="B-737-800",'2025'!$D$4="FO",'2025'!$D$2=CB5),'2025DATA'!$I$24,"")</f>
        <v/>
      </c>
      <c r="CC27" s="518" t="str">
        <f>IF(AND(_A5="B-737-800",'2025'!$D$4="FO",'2025'!$D$2=CC5),'2025DATA'!$J$24,"")</f>
        <v/>
      </c>
      <c r="CD27" s="518" t="str">
        <f>IF(AND(_A5="B-737-800",'2025'!$D$4="FO",'2025'!$D$2=CD5),'2025DATA'!$K$24,"")</f>
        <v/>
      </c>
      <c r="CE27" s="518" t="str">
        <f>IF(AND(_A5="B-737-800",'2025'!$D$4="FO",'2025'!$D$2=CE5),'2025DATA'!$L$24,"")</f>
        <v/>
      </c>
      <c r="CF27" s="518" t="str">
        <f>IF(AND(_A5="B-737-800",'2025'!$D$4="FO",'2025'!$D$2=CF5),'2025DATA'!$M$24,"")</f>
        <v/>
      </c>
      <c r="CG27" s="520" t="str">
        <f>IF(AND(_A5="B-737-800",'2025'!$D$4="FO",'2025'!$D$2=CG5),'2025DATA'!$N$24,"")</f>
        <v/>
      </c>
      <c r="CH27" s="940"/>
      <c r="CI27" s="13" t="s">
        <v>62</v>
      </c>
      <c r="CJ27" s="518" t="str">
        <f>IF(AND(_A6="B-737-800",'2025'!$D$4="FO",'2025'!$D$2=CJ5),'2025DATA'!$C$24,"")</f>
        <v/>
      </c>
      <c r="CK27" s="518" t="str">
        <f>IF(AND(_A6="B-737-800",'2025'!$D$4="FO",'2025'!$D$2=CK5),'2025DATA'!$D$24,"")</f>
        <v/>
      </c>
      <c r="CL27" s="518" t="str">
        <f>IF(AND(_A6="B-737-800",'2025'!$D$4="FO",'2025'!$D$2=CL5),'2025DATA'!$E$24,"")</f>
        <v/>
      </c>
      <c r="CM27" s="518" t="str">
        <f>IF(AND(_A6="B-737-800",'2025'!$D$4="FO",'2025'!$D$2=CM5),'2025DATA'!$F$24,"")</f>
        <v/>
      </c>
      <c r="CN27" s="518" t="str">
        <f>IF(AND(_A6="B-737-800",'2025'!$D$4="FO",'2025'!$D$2=CN5),'2025DATA'!$G$24,"")</f>
        <v/>
      </c>
      <c r="CO27" s="518" t="str">
        <f>IF(AND(_A6="B-737-800",'2025'!$D$4="FO",'2025'!$D$2=CO5),'2025DATA'!$H$24,"")</f>
        <v/>
      </c>
      <c r="CP27" s="518" t="str">
        <f>IF(AND(_A6="B-737-800",'2025'!$D$4="FO",'2025'!$D$2=CP5),'2025DATA'!$I$24,"")</f>
        <v/>
      </c>
      <c r="CQ27" s="518" t="str">
        <f>IF(AND(_A6="B-737-800",'2025'!$D$4="FO",'2025'!$D$2=CQ5),'2025DATA'!$J$24,"")</f>
        <v/>
      </c>
      <c r="CR27" s="518" t="str">
        <f>IF(AND(_A6="B-737-800",'2025'!$D$4="FO",'2025'!$D$2=CR5),'2025DATA'!$K$24,"")</f>
        <v/>
      </c>
      <c r="CS27" s="518" t="str">
        <f>IF(AND(_A6="B-737-800",'2025'!$D$4="FO",'2025'!$D$2=CS5),'2025DATA'!$L$24,"")</f>
        <v/>
      </c>
      <c r="CT27" s="518" t="str">
        <f>IF(AND(_A6="B-737-800",'2025'!$D$4="FO",'2025'!$D$2=CT5),'2025DATA'!$M$24,"")</f>
        <v/>
      </c>
      <c r="CU27" s="520" t="str">
        <f>IF(AND(_A6="B-737-800",'2025'!$D$4="FO",'2025'!$D$2=CU5),'2025DATA'!$N$24,"")</f>
        <v/>
      </c>
    </row>
    <row r="28" spans="1:99" x14ac:dyDescent="0.25">
      <c r="A28" s="987"/>
      <c r="B28" s="64" t="s">
        <v>62</v>
      </c>
      <c r="C28" s="28">
        <v>256.33</v>
      </c>
      <c r="D28" s="29">
        <v>253.97</v>
      </c>
      <c r="E28" s="29">
        <v>251.66</v>
      </c>
      <c r="F28" s="29">
        <v>248.28</v>
      </c>
      <c r="G28" s="29">
        <v>245.64</v>
      </c>
      <c r="H28" s="29">
        <v>240.11</v>
      </c>
      <c r="I28" s="29">
        <v>233.57</v>
      </c>
      <c r="J28" s="29">
        <v>227.77</v>
      </c>
      <c r="K28" s="29">
        <v>222.43</v>
      </c>
      <c r="L28" s="29">
        <v>217.17</v>
      </c>
      <c r="M28" s="29">
        <v>185.59</v>
      </c>
      <c r="N28" s="30">
        <v>120.69</v>
      </c>
      <c r="P28" s="940" t="s">
        <v>46</v>
      </c>
      <c r="Q28" s="13" t="s">
        <v>61</v>
      </c>
      <c r="R28" s="518" t="str">
        <f>IF(AND(_A1="A-321N",'2025'!$D$4="CA",'2025'!$D$2=R5),'2025DATA'!$C$25,"")</f>
        <v/>
      </c>
      <c r="S28" s="518" t="str">
        <f>IF(AND(_A1="A-321N",'2025'!$D$4="CA",'2025'!$D$2=S5),'2025DATA'!$D$25,"")</f>
        <v/>
      </c>
      <c r="T28" s="518" t="str">
        <f>IF(AND(_A1="A-321N",'2025'!$D$4="CA",'2025'!$D$2=T5),'2025DATA'!$E$25,"")</f>
        <v/>
      </c>
      <c r="U28" s="518" t="str">
        <f>IF(AND(_A1="A-321N",'2025'!$D$4="CA",'2025'!$D$2=U5),'2025DATA'!$F$25,"")</f>
        <v/>
      </c>
      <c r="V28" s="518" t="str">
        <f>IF(AND(_A1="A-321N",'2025'!$D$4="CA",'2025'!$D$2=V5),'2025DATA'!$G$25,"")</f>
        <v/>
      </c>
      <c r="W28" s="518" t="str">
        <f>IF(AND(_A1="A-321N",'2025'!$D$4="CA",'2025'!$D$2=W5),'2025DATA'!$H$25,"")</f>
        <v/>
      </c>
      <c r="X28" s="518" t="str">
        <f>IF(AND(_A1="A-321N",'2025'!$D$4="CA",'2025'!$D$2=X5),'2025DATA'!$I$25,"")</f>
        <v/>
      </c>
      <c r="Y28" s="518" t="str">
        <f>IF(AND(_A1="A-321N",'2025'!$D$4="CA",'2025'!$D$2=Y5),'2025DATA'!$J$25,"")</f>
        <v/>
      </c>
      <c r="Z28" s="518" t="str">
        <f>IF(AND(_A1="A-321N",'2025'!$D$4="CA",'2025'!$D$2=Z5),'2025DATA'!$K$25,"")</f>
        <v/>
      </c>
      <c r="AA28" s="518" t="str">
        <f>IF(AND(_A1="A-321N",'2025'!$D$4="CA",'2025'!$D$2=AA5),'2025DATA'!$L$25,"")</f>
        <v/>
      </c>
      <c r="AB28" s="518" t="str">
        <f>IF(AND(_A1="A-321N",'2025'!$D$4="CA",'2025'!$D$2=AB5),'2025DATA'!$M$25,"")</f>
        <v/>
      </c>
      <c r="AC28" s="520" t="str">
        <f>IF(AND(_A1="A-321N",'2025'!$D$4="CA",'2025'!$D$2=AC5),'2025DATA'!$N$25,"")</f>
        <v/>
      </c>
      <c r="AD28" s="940" t="s">
        <v>46</v>
      </c>
      <c r="AE28" s="13" t="s">
        <v>61</v>
      </c>
      <c r="AF28" s="518" t="str">
        <f>IF(AND(_A2="A-321N",'2025'!$D$4="CA",'2025'!$D$2=AF5),'2025DATA'!$C$25,"")</f>
        <v/>
      </c>
      <c r="AG28" s="518" t="str">
        <f>IF(AND(_A2="A-321N",'2025'!$D$4="CA",'2025'!$D$2=AG5),'2025DATA'!$D$25,"")</f>
        <v/>
      </c>
      <c r="AH28" s="518" t="str">
        <f>IF(AND(_A2="A-321N",'2025'!$D$4="CA",'2025'!$D$2=AH5),'2025DATA'!$E$25,"")</f>
        <v/>
      </c>
      <c r="AI28" s="518" t="str">
        <f>IF(AND(_A2="A-321N",'2025'!$D$4="CA",'2025'!$D$2=AI5),'2025DATA'!$F$25,"")</f>
        <v/>
      </c>
      <c r="AJ28" s="518" t="str">
        <f>IF(AND(_A2="A-321N",'2025'!$D$4="CA",'2025'!$D$2=AJ5),'2025DATA'!$G$25,"")</f>
        <v/>
      </c>
      <c r="AK28" s="518" t="str">
        <f>IF(AND(_A2="A-321N",'2025'!$D$4="CA",'2025'!$D$2=AK5),'2025DATA'!$H$25,"")</f>
        <v/>
      </c>
      <c r="AL28" s="518" t="str">
        <f>IF(AND(_A2="A-321N",'2025'!$D$4="CA",'2025'!$D$2=AL5),'2025DATA'!$I$25,"")</f>
        <v/>
      </c>
      <c r="AM28" s="518" t="str">
        <f>IF(AND(_A2="A-321N",'2025'!$D$4="CA",'2025'!$D$2=AM5),'2025DATA'!$J$25,"")</f>
        <v/>
      </c>
      <c r="AN28" s="518" t="str">
        <f>IF(AND(_A2="A-321N",'2025'!$D$4="CA",'2025'!$D$2=AN5),'2025DATA'!$K$25,"")</f>
        <v/>
      </c>
      <c r="AO28" s="518" t="str">
        <f>IF(AND(_A2="A-321N",'2025'!$D$4="CA",'2025'!$D$2=AO5),'2025DATA'!$L$25,"")</f>
        <v/>
      </c>
      <c r="AP28" s="518" t="str">
        <f>IF(AND(_A2="A-321N",'2025'!$D$4="CA",'2025'!$D$2=AP5),'2025DATA'!$M$25,"")</f>
        <v/>
      </c>
      <c r="AQ28" s="520" t="str">
        <f>IF(AND(_A2="A-321N",'2025'!$D$4="CA",'2025'!$D$2=AQ5),'2025DATA'!$N$25,"")</f>
        <v/>
      </c>
      <c r="AR28" s="940" t="s">
        <v>46</v>
      </c>
      <c r="AS28" s="13" t="s">
        <v>61</v>
      </c>
      <c r="AT28" s="518" t="str">
        <f>IF(AND(_A3="A-321N",'2025'!$D$4="CA",'2025'!$D$2=AT5),'2025DATA'!$C$25,"")</f>
        <v/>
      </c>
      <c r="AU28" s="518" t="str">
        <f>IF(AND(_A3="A-321N",'2025'!$D$4="CA",'2025'!$D$2=AU5),'2025DATA'!$D$25,"")</f>
        <v/>
      </c>
      <c r="AV28" s="518" t="str">
        <f>IF(AND(_A3="A-321N",'2025'!$D$4="CA",'2025'!$D$2=AV5),'2025DATA'!$E$25,"")</f>
        <v/>
      </c>
      <c r="AW28" s="518" t="str">
        <f>IF(AND(_A3="A-321N",'2025'!$D$4="CA",'2025'!$D$2=AW5),'2025DATA'!$F$25,"")</f>
        <v/>
      </c>
      <c r="AX28" s="518" t="str">
        <f>IF(AND(_A3="A-321N",'2025'!$D$4="CA",'2025'!$D$2=AX5),'2025DATA'!$G$25,"")</f>
        <v/>
      </c>
      <c r="AY28" s="518" t="str">
        <f>IF(AND(_A3="A-321N",'2025'!$D$4="CA",'2025'!$D$2=AY5),'2025DATA'!$H$25,"")</f>
        <v/>
      </c>
      <c r="AZ28" s="518" t="str">
        <f>IF(AND(_A3="A-321N",'2025'!$D$4="CA",'2025'!$D$2=AZ5),'2025DATA'!$I$25,"")</f>
        <v/>
      </c>
      <c r="BA28" s="518" t="str">
        <f>IF(AND(_A3="A-321N",'2025'!$D$4="CA",'2025'!$D$2=BA5),'2025DATA'!$J$25,"")</f>
        <v/>
      </c>
      <c r="BB28" s="518" t="str">
        <f>IF(AND(_A3="A-321N",'2025'!$D$4="CA",'2025'!$D$2=BB5),'2025DATA'!$K$25,"")</f>
        <v/>
      </c>
      <c r="BC28" s="518" t="str">
        <f>IF(AND(_A3="A-321N",'2025'!$D$4="CA",'2025'!$D$2=BC5),'2025DATA'!$L$25,"")</f>
        <v/>
      </c>
      <c r="BD28" s="518" t="str">
        <f>IF(AND(_A3="A-321N",'2025'!$D$4="CA",'2025'!$D$2=BD5),'2025DATA'!$M$25,"")</f>
        <v/>
      </c>
      <c r="BE28" s="520" t="str">
        <f>IF(AND(_A3="A-321N",'2025'!$D$4="CA",'2025'!$D$2=BE5),'2025DATA'!$N$25,"")</f>
        <v/>
      </c>
      <c r="BF28" s="940" t="s">
        <v>46</v>
      </c>
      <c r="BG28" s="13" t="s">
        <v>61</v>
      </c>
      <c r="BH28" s="518" t="str">
        <f>IF(AND(_A4="A-321N",'2025'!$D$4="CA",'2025'!$D$2=BH5),'2025DATA'!$C$25,"")</f>
        <v/>
      </c>
      <c r="BI28" s="518" t="str">
        <f>IF(AND(_A4="A-321N",'2025'!$D$4="CA",'2025'!$D$2=BI5),'2025DATA'!$D$25,"")</f>
        <v/>
      </c>
      <c r="BJ28" s="518" t="str">
        <f>IF(AND(_A4="A-321N",'2025'!$D$4="CA",'2025'!$D$2=BJ5),'2025DATA'!$E$25,"")</f>
        <v/>
      </c>
      <c r="BK28" s="518" t="str">
        <f>IF(AND(_A4="A-321N",'2025'!$D$4="CA",'2025'!$D$2=BK5),'2025DATA'!$F$25,"")</f>
        <v/>
      </c>
      <c r="BL28" s="518" t="str">
        <f>IF(AND(_A4="A-321N",'2025'!$D$4="CA",'2025'!$D$2=BL5),'2025DATA'!$G$25,"")</f>
        <v/>
      </c>
      <c r="BM28" s="518" t="str">
        <f>IF(AND(_A4="A-321N",'2025'!$D$4="CA",'2025'!$D$2=BM5),'2025DATA'!$H$25,"")</f>
        <v/>
      </c>
      <c r="BN28" s="518" t="str">
        <f>IF(AND(_A4="A-321N",'2025'!$D$4="CA",'2025'!$D$2=BN5),'2025DATA'!$I$25,"")</f>
        <v/>
      </c>
      <c r="BO28" s="518" t="str">
        <f>IF(AND(_A4="A-321N",'2025'!$D$4="CA",'2025'!$D$2=BO5),'2025DATA'!$J$25,"")</f>
        <v/>
      </c>
      <c r="BP28" s="518" t="str">
        <f>IF(AND(_A4="A-321N",'2025'!$D$4="CA",'2025'!$D$2=BP5),'2025DATA'!$K$25,"")</f>
        <v/>
      </c>
      <c r="BQ28" s="518" t="str">
        <f>IF(AND(_A4="A-321N",'2025'!$D$4="CA",'2025'!$D$2=BQ5),'2025DATA'!$L$25,"")</f>
        <v/>
      </c>
      <c r="BR28" s="518" t="str">
        <f>IF(AND(_A4="A-321N",'2025'!$D$4="CA",'2025'!$D$2=BR5),'2025DATA'!$M$25,"")</f>
        <v/>
      </c>
      <c r="BS28" s="520" t="str">
        <f>IF(AND(_A4="A-321N",'2025'!$D$4="CA",'2025'!$D$2=BS5),'2025DATA'!$N$25,"")</f>
        <v/>
      </c>
      <c r="BT28" s="940" t="s">
        <v>46</v>
      </c>
      <c r="BU28" s="13" t="s">
        <v>61</v>
      </c>
      <c r="BV28" s="518" t="str">
        <f>IF(AND(_A5="A-321N",'2025'!$D$4="CA",'2025'!$D$2=BV5),'2025DATA'!$C$25,"")</f>
        <v/>
      </c>
      <c r="BW28" s="518" t="str">
        <f>IF(AND(_A5="A-321N",'2025'!$D$4="CA",'2025'!$D$2=BW5),'2025DATA'!$D$25,"")</f>
        <v/>
      </c>
      <c r="BX28" s="518" t="str">
        <f>IF(AND(_A5="A-321N",'2025'!$D$4="CA",'2025'!$D$2=BX5),'2025DATA'!$E$25,"")</f>
        <v/>
      </c>
      <c r="BY28" s="518" t="str">
        <f>IF(AND(_A5="A-321N",'2025'!$D$4="CA",'2025'!$D$2=BY5),'2025DATA'!$F$25,"")</f>
        <v/>
      </c>
      <c r="BZ28" s="518" t="str">
        <f>IF(AND(_A5="A-321N",'2025'!$D$4="CA",'2025'!$D$2=BZ5),'2025DATA'!$G$25,"")</f>
        <v/>
      </c>
      <c r="CA28" s="518" t="str">
        <f>IF(AND(_A5="A-321N",'2025'!$D$4="CA",'2025'!$D$2=CA5),'2025DATA'!$H$25,"")</f>
        <v/>
      </c>
      <c r="CB28" s="518" t="str">
        <f>IF(AND(_A5="A-321N",'2025'!$D$4="CA",'2025'!$D$2=CB5),'2025DATA'!$I$25,"")</f>
        <v/>
      </c>
      <c r="CC28" s="518" t="str">
        <f>IF(AND(_A5="A-321N",'2025'!$D$4="CA",'2025'!$D$2=CC5),'2025DATA'!$J$25,"")</f>
        <v/>
      </c>
      <c r="CD28" s="518" t="str">
        <f>IF(AND(_A5="A-321N",'2025'!$D$4="CA",'2025'!$D$2=CD5),'2025DATA'!$K$25,"")</f>
        <v/>
      </c>
      <c r="CE28" s="518" t="str">
        <f>IF(AND(_A5="A-321N",'2025'!$D$4="CA",'2025'!$D$2=CE5),'2025DATA'!$L$25,"")</f>
        <v/>
      </c>
      <c r="CF28" s="518" t="str">
        <f>IF(AND(_A5="A-321N",'2025'!$D$4="CA",'2025'!$D$2=CF5),'2025DATA'!$M$25,"")</f>
        <v/>
      </c>
      <c r="CG28" s="520" t="str">
        <f>IF(AND(_A5="A-321N",'2025'!$D$4="CA",'2025'!$D$2=CG5),'2025DATA'!$N$25,"")</f>
        <v/>
      </c>
      <c r="CH28" s="940" t="s">
        <v>46</v>
      </c>
      <c r="CI28" s="13" t="s">
        <v>61</v>
      </c>
      <c r="CJ28" s="518" t="str">
        <f>IF(AND(_A6="A-321N",'2025'!$D$4="CA",'2025'!$D$2=CJ5),'2025DATA'!$C$25,"")</f>
        <v/>
      </c>
      <c r="CK28" s="518" t="str">
        <f>IF(AND(_A6="A-321N",'2025'!$D$4="CA",'2025'!$D$2=CK5),'2025DATA'!$D$25,"")</f>
        <v/>
      </c>
      <c r="CL28" s="518" t="str">
        <f>IF(AND(_A6="A-321N",'2025'!$D$4="CA",'2025'!$D$2=CL5),'2025DATA'!$E$25,"")</f>
        <v/>
      </c>
      <c r="CM28" s="518" t="str">
        <f>IF(AND(_A6="A-321N",'2025'!$D$4="CA",'2025'!$D$2=CM5),'2025DATA'!$F$25,"")</f>
        <v/>
      </c>
      <c r="CN28" s="518" t="str">
        <f>IF(AND(_A6="A-321N",'2025'!$D$4="CA",'2025'!$D$2=CN5),'2025DATA'!$G$25,"")</f>
        <v/>
      </c>
      <c r="CO28" s="518" t="str">
        <f>IF(AND(_A6="A-321N",'2025'!$D$4="CA",'2025'!$D$2=CO5),'2025DATA'!$H$25,"")</f>
        <v/>
      </c>
      <c r="CP28" s="518" t="str">
        <f>IF(AND(_A6="A-321N",'2025'!$D$4="CA",'2025'!$D$2=CP5),'2025DATA'!$I$25,"")</f>
        <v/>
      </c>
      <c r="CQ28" s="518" t="str">
        <f>IF(AND(_A6="A-321N",'2025'!$D$4="CA",'2025'!$D$2=CQ5),'2025DATA'!$J$25,"")</f>
        <v/>
      </c>
      <c r="CR28" s="518" t="str">
        <f>IF(AND(_A6="A-321N",'2025'!$D$4="CA",'2025'!$D$2=CR5),'2025DATA'!$K$25,"")</f>
        <v/>
      </c>
      <c r="CS28" s="518" t="str">
        <f>IF(AND(_A6="A-321N",'2025'!$D$4="CA",'2025'!$D$2=CS5),'2025DATA'!$L$25,"")</f>
        <v/>
      </c>
      <c r="CT28" s="518" t="str">
        <f>IF(AND(_A6="A-321N",'2025'!$D$4="CA",'2025'!$D$2=CT5),'2025DATA'!$M$25,"")</f>
        <v/>
      </c>
      <c r="CU28" s="520" t="str">
        <f>IF(AND(_A6="A-321N",'2025'!$D$4="CA",'2025'!$D$2=CU5),'2025DATA'!$N$25,"")</f>
        <v/>
      </c>
    </row>
    <row r="29" spans="1:99" x14ac:dyDescent="0.25">
      <c r="A29" s="987" t="s">
        <v>70</v>
      </c>
      <c r="B29" s="64" t="s">
        <v>61</v>
      </c>
      <c r="C29" s="28">
        <v>373.33</v>
      </c>
      <c r="D29" s="29">
        <v>370.58</v>
      </c>
      <c r="E29" s="29">
        <v>367.76</v>
      </c>
      <c r="F29" s="29">
        <v>364.99</v>
      </c>
      <c r="G29" s="29">
        <v>362.16</v>
      </c>
      <c r="H29" s="29">
        <v>359.36</v>
      </c>
      <c r="I29" s="29">
        <v>356.58</v>
      </c>
      <c r="J29" s="29">
        <v>353.8</v>
      </c>
      <c r="K29" s="29">
        <v>350.96</v>
      </c>
      <c r="L29" s="29">
        <v>348.15</v>
      </c>
      <c r="M29" s="29">
        <v>345.42</v>
      </c>
      <c r="N29" s="30">
        <v>342.75</v>
      </c>
      <c r="P29" s="940"/>
      <c r="Q29" s="13" t="s">
        <v>62</v>
      </c>
      <c r="R29" s="518" t="str">
        <f>IF(AND(_A1="A-321N",'2025'!$D$4="FO",'2025'!$D$2=R5),'2025DATA'!$C$26,"")</f>
        <v/>
      </c>
      <c r="S29" s="518" t="str">
        <f>IF(AND(_A1="A-321N",'2025'!$D$4="FO",'2025'!$D$2=S5),'2025DATA'!$D$26,"")</f>
        <v/>
      </c>
      <c r="T29" s="518" t="str">
        <f>IF(AND(_A1="A-321N",'2025'!$D$4="FO",'2025'!$D$2=T5),'2025DATA'!$E$26,"")</f>
        <v/>
      </c>
      <c r="U29" s="518" t="str">
        <f>IF(AND(_A1="A-321N",'2025'!$D$4="FO",'2025'!$D$2=U5),'2025DATA'!$F$26,"")</f>
        <v/>
      </c>
      <c r="V29" s="518" t="str">
        <f>IF(AND(_A1="A-321N",'2025'!$D$4="FO",'2025'!$D$2=V5),'2025DATA'!$G$26,"")</f>
        <v/>
      </c>
      <c r="W29" s="518" t="str">
        <f>IF(AND(_A1="A-321N",'2025'!$D$4="FO",'2025'!$D$2=W5),'2025DATA'!$H$26,"")</f>
        <v/>
      </c>
      <c r="X29" s="518" t="str">
        <f>IF(AND(_A1="A-321N",'2025'!$D$4="FO",'2025'!$D$2=X5),'2025DATA'!$I$26,"")</f>
        <v/>
      </c>
      <c r="Y29" s="518" t="str">
        <f>IF(AND(_A1="A-321N",'2025'!$D$4="FO",'2025'!$D$2=Y5),'2025DATA'!$J$26,"")</f>
        <v/>
      </c>
      <c r="Z29" s="518" t="str">
        <f>IF(AND(_A1="A-321N",'2025'!$D$4="FO",'2025'!$D$2=Z5),'2025DATA'!$K$26,"")</f>
        <v/>
      </c>
      <c r="AA29" s="518" t="str">
        <f>IF(AND(_A1="A-321N",'2025'!$D$4="FO",'2025'!$D$2=AA5),'2025DATA'!$L$26,"")</f>
        <v/>
      </c>
      <c r="AB29" s="518" t="str">
        <f>IF(AND(_A1="A-321N",'2025'!$D$4="FO",'2025'!$D$2=AB5),'2025DATA'!$M$26,"")</f>
        <v/>
      </c>
      <c r="AC29" s="520" t="str">
        <f>IF(AND(_A1="A-321N",'2025'!$D$4="FO",'2025'!$D$2=AC5),'2025DATA'!$N$26,"")</f>
        <v/>
      </c>
      <c r="AD29" s="940"/>
      <c r="AE29" s="13" t="s">
        <v>62</v>
      </c>
      <c r="AF29" s="518" t="str">
        <f>IF(AND(_A2="A-321N",'2025'!$D$4="FO",'2025'!$D$2=AF5),'2025DATA'!$C$26,"")</f>
        <v/>
      </c>
      <c r="AG29" s="518" t="str">
        <f>IF(AND(_A2="A-321N",'2025'!$D$4="FO",'2025'!$D$2=AG5),'2025DATA'!$D$26,"")</f>
        <v/>
      </c>
      <c r="AH29" s="518" t="str">
        <f>IF(AND(_A2="A-321N",'2025'!$D$4="FO",'2025'!$D$2=AH5),'2025DATA'!$E$26,"")</f>
        <v/>
      </c>
      <c r="AI29" s="518" t="str">
        <f>IF(AND(_A2="A-321N",'2025'!$D$4="FO",'2025'!$D$2=AI5),'2025DATA'!$F$26,"")</f>
        <v/>
      </c>
      <c r="AJ29" s="518" t="str">
        <f>IF(AND(_A2="A-321N",'2025'!$D$4="FO",'2025'!$D$2=AJ5),'2025DATA'!$G$26,"")</f>
        <v/>
      </c>
      <c r="AK29" s="518" t="str">
        <f>IF(AND(_A2="A-321N",'2025'!$D$4="FO",'2025'!$D$2=AK5),'2025DATA'!$H$26,"")</f>
        <v/>
      </c>
      <c r="AL29" s="518" t="str">
        <f>IF(AND(_A2="A-321N",'2025'!$D$4="FO",'2025'!$D$2=AL5),'2025DATA'!$I$26,"")</f>
        <v/>
      </c>
      <c r="AM29" s="518" t="str">
        <f>IF(AND(_A2="A-321N",'2025'!$D$4="FO",'2025'!$D$2=AM5),'2025DATA'!$J$26,"")</f>
        <v/>
      </c>
      <c r="AN29" s="518" t="str">
        <f>IF(AND(_A2="A-321N",'2025'!$D$4="FO",'2025'!$D$2=AN5),'2025DATA'!$K$26,"")</f>
        <v/>
      </c>
      <c r="AO29" s="518" t="str">
        <f>IF(AND(_A2="A-321N",'2025'!$D$4="FO",'2025'!$D$2=AO5),'2025DATA'!$L$26,"")</f>
        <v/>
      </c>
      <c r="AP29" s="518" t="str">
        <f>IF(AND(_A2="A-321N",'2025'!$D$4="FO",'2025'!$D$2=AP5),'2025DATA'!$M$26,"")</f>
        <v/>
      </c>
      <c r="AQ29" s="520" t="str">
        <f>IF(AND(_A2="A-321N",'2025'!$D$4="FO",'2025'!$D$2=AQ5),'2025DATA'!$N$26,"")</f>
        <v/>
      </c>
      <c r="AR29" s="940"/>
      <c r="AS29" s="13" t="s">
        <v>62</v>
      </c>
      <c r="AT29" s="518" t="str">
        <f>IF(AND(_A3="A-321N",'2025'!$D$4="FO",'2025'!$D$2=AT5),'2025DATA'!$C$26,"")</f>
        <v/>
      </c>
      <c r="AU29" s="518" t="str">
        <f>IF(AND(_A3="A-321N",'2025'!$D$4="FO",'2025'!$D$2=AU5),'2025DATA'!$D$26,"")</f>
        <v/>
      </c>
      <c r="AV29" s="518" t="str">
        <f>IF(AND(_A3="A-321N",'2025'!$D$4="FO",'2025'!$D$2=AV5),'2025DATA'!$E$26,"")</f>
        <v/>
      </c>
      <c r="AW29" s="518" t="str">
        <f>IF(AND(_A3="A-321N",'2025'!$D$4="FO",'2025'!$D$2=AW5),'2025DATA'!$F$26,"")</f>
        <v/>
      </c>
      <c r="AX29" s="518" t="str">
        <f>IF(AND(_A3="A-321N",'2025'!$D$4="FO",'2025'!$D$2=AX5),'2025DATA'!$G$26,"")</f>
        <v/>
      </c>
      <c r="AY29" s="518" t="str">
        <f>IF(AND(_A3="A-321N",'2025'!$D$4="FO",'2025'!$D$2=AY5),'2025DATA'!$H$26,"")</f>
        <v/>
      </c>
      <c r="AZ29" s="518" t="str">
        <f>IF(AND(_A3="A-321N",'2025'!$D$4="FO",'2025'!$D$2=AZ5),'2025DATA'!$I$26,"")</f>
        <v/>
      </c>
      <c r="BA29" s="518" t="str">
        <f>IF(AND(_A3="A-321N",'2025'!$D$4="FO",'2025'!$D$2=BA5),'2025DATA'!$J$26,"")</f>
        <v/>
      </c>
      <c r="BB29" s="518" t="str">
        <f>IF(AND(_A3="A-321N",'2025'!$D$4="FO",'2025'!$D$2=BB5),'2025DATA'!$K$26,"")</f>
        <v/>
      </c>
      <c r="BC29" s="518" t="str">
        <f>IF(AND(_A3="A-321N",'2025'!$D$4="FO",'2025'!$D$2=BC5),'2025DATA'!$L$26,"")</f>
        <v/>
      </c>
      <c r="BD29" s="518" t="str">
        <f>IF(AND(_A3="A-321N",'2025'!$D$4="FO",'2025'!$D$2=BD5),'2025DATA'!$M$26,"")</f>
        <v/>
      </c>
      <c r="BE29" s="520" t="str">
        <f>IF(AND(_A3="A-321N",'2025'!$D$4="FO",'2025'!$D$2=BE5),'2025DATA'!$N$26,"")</f>
        <v/>
      </c>
      <c r="BF29" s="940"/>
      <c r="BG29" s="13" t="s">
        <v>62</v>
      </c>
      <c r="BH29" s="518" t="str">
        <f>IF(AND(_A4="A-321N",'2025'!$D$4="FO",'2025'!$D$2=BH5),'2025DATA'!$C$26,"")</f>
        <v/>
      </c>
      <c r="BI29" s="518" t="str">
        <f>IF(AND(_A4="A-321N",'2025'!$D$4="FO",'2025'!$D$2=BI5),'2025DATA'!$D$26,"")</f>
        <v/>
      </c>
      <c r="BJ29" s="518" t="str">
        <f>IF(AND(_A4="A-321N",'2025'!$D$4="FO",'2025'!$D$2=BJ5),'2025DATA'!$E$26,"")</f>
        <v/>
      </c>
      <c r="BK29" s="518" t="str">
        <f>IF(AND(_A4="A-321N",'2025'!$D$4="FO",'2025'!$D$2=BK5),'2025DATA'!$F$26,"")</f>
        <v/>
      </c>
      <c r="BL29" s="518" t="str">
        <f>IF(AND(_A4="A-321N",'2025'!$D$4="FO",'2025'!$D$2=BL5),'2025DATA'!$G$26,"")</f>
        <v/>
      </c>
      <c r="BM29" s="518" t="str">
        <f>IF(AND(_A4="A-321N",'2025'!$D$4="FO",'2025'!$D$2=BM5),'2025DATA'!$H$26,"")</f>
        <v/>
      </c>
      <c r="BN29" s="518" t="str">
        <f>IF(AND(_A4="A-321N",'2025'!$D$4="FO",'2025'!$D$2=BN5),'2025DATA'!$I$26,"")</f>
        <v/>
      </c>
      <c r="BO29" s="518" t="str">
        <f>IF(AND(_A4="A-321N",'2025'!$D$4="FO",'2025'!$D$2=BO5),'2025DATA'!$J$26,"")</f>
        <v/>
      </c>
      <c r="BP29" s="518" t="str">
        <f>IF(AND(_A4="A-321N",'2025'!$D$4="FO",'2025'!$D$2=BP5),'2025DATA'!$K$26,"")</f>
        <v/>
      </c>
      <c r="BQ29" s="518" t="str">
        <f>IF(AND(_A4="A-321N",'2025'!$D$4="FO",'2025'!$D$2=BQ5),'2025DATA'!$L$26,"")</f>
        <v/>
      </c>
      <c r="BR29" s="518" t="str">
        <f>IF(AND(_A4="A-321N",'2025'!$D$4="FO",'2025'!$D$2=BR5),'2025DATA'!$M$26,"")</f>
        <v/>
      </c>
      <c r="BS29" s="520" t="str">
        <f>IF(AND(_A4="A-321N",'2025'!$D$4="FO",'2025'!$D$2=BS5),'2025DATA'!$N$26,"")</f>
        <v/>
      </c>
      <c r="BT29" s="940"/>
      <c r="BU29" s="13" t="s">
        <v>62</v>
      </c>
      <c r="BV29" s="518" t="str">
        <f>IF(AND(_A5="A-321N",'2025'!$D$4="FO",'2025'!$D$2=BV5),'2025DATA'!$C$26,"")</f>
        <v/>
      </c>
      <c r="BW29" s="518" t="str">
        <f>IF(AND(_A5="A-321N",'2025'!$D$4="FO",'2025'!$D$2=BW5),'2025DATA'!$D$26,"")</f>
        <v/>
      </c>
      <c r="BX29" s="518" t="str">
        <f>IF(AND(_A5="A-321N",'2025'!$D$4="FO",'2025'!$D$2=BX5),'2025DATA'!$E$26,"")</f>
        <v/>
      </c>
      <c r="BY29" s="518" t="str">
        <f>IF(AND(_A5="A-321N",'2025'!$D$4="FO",'2025'!$D$2=BY5),'2025DATA'!$F$26,"")</f>
        <v/>
      </c>
      <c r="BZ29" s="518" t="str">
        <f>IF(AND(_A5="A-321N",'2025'!$D$4="FO",'2025'!$D$2=BZ5),'2025DATA'!$G$26,"")</f>
        <v/>
      </c>
      <c r="CA29" s="518" t="str">
        <f>IF(AND(_A5="A-321N",'2025'!$D$4="FO",'2025'!$D$2=CA5),'2025DATA'!$H$26,"")</f>
        <v/>
      </c>
      <c r="CB29" s="518" t="str">
        <f>IF(AND(_A5="A-321N",'2025'!$D$4="FO",'2025'!$D$2=CB5),'2025DATA'!$I$26,"")</f>
        <v/>
      </c>
      <c r="CC29" s="518" t="str">
        <f>IF(AND(_A5="A-321N",'2025'!$D$4="FO",'2025'!$D$2=CC5),'2025DATA'!$J$26,"")</f>
        <v/>
      </c>
      <c r="CD29" s="518" t="str">
        <f>IF(AND(_A5="A-321N",'2025'!$D$4="FO",'2025'!$D$2=CD5),'2025DATA'!$K$26,"")</f>
        <v/>
      </c>
      <c r="CE29" s="518" t="str">
        <f>IF(AND(_A5="A-321N",'2025'!$D$4="FO",'2025'!$D$2=CE5),'2025DATA'!$L$26,"")</f>
        <v/>
      </c>
      <c r="CF29" s="518" t="str">
        <f>IF(AND(_A5="A-321N",'2025'!$D$4="FO",'2025'!$D$2=CF5),'2025DATA'!$M$26,"")</f>
        <v/>
      </c>
      <c r="CG29" s="520" t="str">
        <f>IF(AND(_A5="A-321N",'2025'!$D$4="FO",'2025'!$D$2=CG5),'2025DATA'!$N$26,"")</f>
        <v/>
      </c>
      <c r="CH29" s="940"/>
      <c r="CI29" s="13" t="s">
        <v>62</v>
      </c>
      <c r="CJ29" s="518" t="str">
        <f>IF(AND(_A6="A-321N",'2025'!$D$4="FO",'2025'!$D$2=CJ5),'2025DATA'!$C$26,"")</f>
        <v/>
      </c>
      <c r="CK29" s="518" t="str">
        <f>IF(AND(_A6="A-321N",'2025'!$D$4="FO",'2025'!$D$2=CK5),'2025DATA'!$D$26,"")</f>
        <v/>
      </c>
      <c r="CL29" s="518" t="str">
        <f>IF(AND(_A6="A-321N",'2025'!$D$4="FO",'2025'!$D$2=CL5),'2025DATA'!$E$26,"")</f>
        <v/>
      </c>
      <c r="CM29" s="518" t="str">
        <f>IF(AND(_A6="A-321N",'2025'!$D$4="FO",'2025'!$D$2=CM5),'2025DATA'!$F$26,"")</f>
        <v/>
      </c>
      <c r="CN29" s="518" t="str">
        <f>IF(AND(_A6="A-321N",'2025'!$D$4="FO",'2025'!$D$2=CN5),'2025DATA'!$G$26,"")</f>
        <v/>
      </c>
      <c r="CO29" s="518" t="str">
        <f>IF(AND(_A6="A-321N",'2025'!$D$4="FO",'2025'!$D$2=CO5),'2025DATA'!$H$26,"")</f>
        <v/>
      </c>
      <c r="CP29" s="518" t="str">
        <f>IF(AND(_A6="A-321N",'2025'!$D$4="FO",'2025'!$D$2=CP5),'2025DATA'!$I$26,"")</f>
        <v/>
      </c>
      <c r="CQ29" s="518" t="str">
        <f>IF(AND(_A6="A-321N",'2025'!$D$4="FO",'2025'!$D$2=CQ5),'2025DATA'!$J$26,"")</f>
        <v/>
      </c>
      <c r="CR29" s="518" t="str">
        <f>IF(AND(_A6="A-321N",'2025'!$D$4="FO",'2025'!$D$2=CR5),'2025DATA'!$K$26,"")</f>
        <v/>
      </c>
      <c r="CS29" s="518" t="str">
        <f>IF(AND(_A6="A-321N",'2025'!$D$4="FO",'2025'!$D$2=CS5),'2025DATA'!$L$26,"")</f>
        <v/>
      </c>
      <c r="CT29" s="518" t="str">
        <f>IF(AND(_A6="A-321N",'2025'!$D$4="FO",'2025'!$D$2=CT5),'2025DATA'!$M$26,"")</f>
        <v/>
      </c>
      <c r="CU29" s="520" t="str">
        <f>IF(AND(_A6="A-321N",'2025'!$D$4="FO",'2025'!$D$2=CU5),'2025DATA'!$N$26,"")</f>
        <v/>
      </c>
    </row>
    <row r="30" spans="1:99" x14ac:dyDescent="0.25">
      <c r="A30" s="987"/>
      <c r="B30" s="64" t="s">
        <v>62</v>
      </c>
      <c r="C30" s="28">
        <v>254.99</v>
      </c>
      <c r="D30" s="29">
        <v>252.72</v>
      </c>
      <c r="E30" s="29">
        <v>250.42</v>
      </c>
      <c r="F30" s="29">
        <v>247.08</v>
      </c>
      <c r="G30" s="29">
        <v>244.47</v>
      </c>
      <c r="H30" s="29">
        <v>238.95</v>
      </c>
      <c r="I30" s="29">
        <v>232.45</v>
      </c>
      <c r="J30" s="29">
        <v>226.79</v>
      </c>
      <c r="K30" s="29">
        <v>221.47</v>
      </c>
      <c r="L30" s="29">
        <v>216.2</v>
      </c>
      <c r="M30" s="29">
        <v>184.82</v>
      </c>
      <c r="N30" s="30">
        <v>120.69</v>
      </c>
      <c r="P30" s="940" t="s">
        <v>48</v>
      </c>
      <c r="Q30" s="13" t="s">
        <v>61</v>
      </c>
      <c r="R30" s="518" t="str">
        <f>IF(AND(_A1="A-321",'2025'!$D$4="CA",'2025'!$D$2=R5),'2025DATA'!$C$27,"")</f>
        <v/>
      </c>
      <c r="S30" s="518" t="str">
        <f>IF(AND(_A1="A-321",'2025'!$D$4="CA",'2025'!$D$2=S5),'2025DATA'!$D$27,"")</f>
        <v/>
      </c>
      <c r="T30" s="518" t="str">
        <f>IF(AND(_A1="A-321",'2025'!$D$4="CA",'2025'!$D$2=T5),'2025DATA'!$E$27,"")</f>
        <v/>
      </c>
      <c r="U30" s="518" t="str">
        <f>IF(AND(_A1="A-321",'2025'!$D$4="CA",'2025'!$D$2=U5),'2025DATA'!$F$27,"")</f>
        <v/>
      </c>
      <c r="V30" s="518" t="str">
        <f>IF(AND(_A1="A-321",'2025'!$D$4="CA",'2025'!$D$2=V5),'2025DATA'!$G$27,"")</f>
        <v/>
      </c>
      <c r="W30" s="518" t="str">
        <f>IF(AND(_A1="A-321",'2025'!$D$4="CA",'2025'!$D$2=W5),'2025DATA'!$H$27,"")</f>
        <v/>
      </c>
      <c r="X30" s="518" t="str">
        <f>IF(AND(_A1="A-321",'2025'!$D$4="CA",'2025'!$D$2=X5),'2025DATA'!$I$27,"")</f>
        <v/>
      </c>
      <c r="Y30" s="518" t="str">
        <f>IF(AND(_A1="A-321",'2025'!$D$4="CA",'2025'!$D$2=Y5),'2025DATA'!$J$27,"")</f>
        <v/>
      </c>
      <c r="Z30" s="518" t="str">
        <f>IF(AND(_A1="A-321",'2025'!$D$4="CA",'2025'!$D$2=Z5),'2025DATA'!$K$27,"")</f>
        <v/>
      </c>
      <c r="AA30" s="518" t="str">
        <f>IF(AND(_A1="A-321",'2025'!$D$4="CA",'2025'!$D$2=AA5),'2025DATA'!$L$27,"")</f>
        <v/>
      </c>
      <c r="AB30" s="518" t="str">
        <f>IF(AND(_A1="A-321",'2025'!$D$4="CA",'2025'!$D$2=AB5),'2025DATA'!$M$27,"")</f>
        <v/>
      </c>
      <c r="AC30" s="520" t="str">
        <f>IF(AND(_A1="A-321",'2025'!$D$4="CA",'2025'!$D$2=AC5),'2025DATA'!$N$27,"")</f>
        <v/>
      </c>
      <c r="AD30" s="940" t="s">
        <v>48</v>
      </c>
      <c r="AE30" s="13" t="s">
        <v>61</v>
      </c>
      <c r="AF30" s="518" t="str">
        <f>IF(AND(_A2="A-321",'2025'!$D$4="CA",'2025'!$D$2=AF5),'2025DATA'!$C$27,"")</f>
        <v/>
      </c>
      <c r="AG30" s="518" t="str">
        <f>IF(AND(_A2="A-321",'2025'!$D$4="CA",'2025'!$D$2=AG5),'2025DATA'!$D$27,"")</f>
        <v/>
      </c>
      <c r="AH30" s="518" t="str">
        <f>IF(AND(_A2="A-321",'2025'!$D$4="CA",'2025'!$D$2=AH5),'2025DATA'!$E$27,"")</f>
        <v/>
      </c>
      <c r="AI30" s="518" t="str">
        <f>IF(AND(_A2="A-321",'2025'!$D$4="CA",'2025'!$D$2=AI5),'2025DATA'!$F$27,"")</f>
        <v/>
      </c>
      <c r="AJ30" s="518" t="str">
        <f>IF(AND(_A2="A-321",'2025'!$D$4="CA",'2025'!$D$2=AJ5),'2025DATA'!$G$27,"")</f>
        <v/>
      </c>
      <c r="AK30" s="518" t="str">
        <f>IF(AND(_A2="A-321",'2025'!$D$4="CA",'2025'!$D$2=AK5),'2025DATA'!$H$27,"")</f>
        <v/>
      </c>
      <c r="AL30" s="518" t="str">
        <f>IF(AND(_A2="A-321",'2025'!$D$4="CA",'2025'!$D$2=AL5),'2025DATA'!$I$27,"")</f>
        <v/>
      </c>
      <c r="AM30" s="518" t="str">
        <f>IF(AND(_A2="A-321",'2025'!$D$4="CA",'2025'!$D$2=AM5),'2025DATA'!$J$27,"")</f>
        <v/>
      </c>
      <c r="AN30" s="518" t="str">
        <f>IF(AND(_A2="A-321",'2025'!$D$4="CA",'2025'!$D$2=AN5),'2025DATA'!$K$27,"")</f>
        <v/>
      </c>
      <c r="AO30" s="518" t="str">
        <f>IF(AND(_A2="A-321",'2025'!$D$4="CA",'2025'!$D$2=AO5),'2025DATA'!$L$27,"")</f>
        <v/>
      </c>
      <c r="AP30" s="518" t="str">
        <f>IF(AND(_A2="A-321",'2025'!$D$4="CA",'2025'!$D$2=AP5),'2025DATA'!$M$27,"")</f>
        <v/>
      </c>
      <c r="AQ30" s="520" t="str">
        <f>IF(AND(_A2="A-321",'2025'!$D$4="CA",'2025'!$D$2=AQ5),'2025DATA'!$N$27,"")</f>
        <v/>
      </c>
      <c r="AR30" s="940" t="s">
        <v>48</v>
      </c>
      <c r="AS30" s="13" t="s">
        <v>61</v>
      </c>
      <c r="AT30" s="518" t="str">
        <f>IF(AND(_A3="A-321",'2025'!$D$4="CA",'2025'!$D$2=AT5),'2025DATA'!$C$27,"")</f>
        <v/>
      </c>
      <c r="AU30" s="518" t="str">
        <f>IF(AND(_A3="A-321",'2025'!$D$4="CA",'2025'!$D$2=AU5),'2025DATA'!$D$27,"")</f>
        <v/>
      </c>
      <c r="AV30" s="518" t="str">
        <f>IF(AND(_A3="A-321",'2025'!$D$4="CA",'2025'!$D$2=AV5),'2025DATA'!$E$27,"")</f>
        <v/>
      </c>
      <c r="AW30" s="518" t="str">
        <f>IF(AND(_A3="A-321",'2025'!$D$4="CA",'2025'!$D$2=AW5),'2025DATA'!$F$27,"")</f>
        <v/>
      </c>
      <c r="AX30" s="518" t="str">
        <f>IF(AND(_A3="A-321",'2025'!$D$4="CA",'2025'!$D$2=AX5),'2025DATA'!$G$27,"")</f>
        <v/>
      </c>
      <c r="AY30" s="518" t="str">
        <f>IF(AND(_A3="A-321",'2025'!$D$4="CA",'2025'!$D$2=AY5),'2025DATA'!$H$27,"")</f>
        <v/>
      </c>
      <c r="AZ30" s="518" t="str">
        <f>IF(AND(_A3="A-321",'2025'!$D$4="CA",'2025'!$D$2=AZ5),'2025DATA'!$I$27,"")</f>
        <v/>
      </c>
      <c r="BA30" s="518" t="str">
        <f>IF(AND(_A3="A-321",'2025'!$D$4="CA",'2025'!$D$2=BA5),'2025DATA'!$J$27,"")</f>
        <v/>
      </c>
      <c r="BB30" s="518" t="str">
        <f>IF(AND(_A3="A-321",'2025'!$D$4="CA",'2025'!$D$2=BB5),'2025DATA'!$K$27,"")</f>
        <v/>
      </c>
      <c r="BC30" s="518" t="str">
        <f>IF(AND(_A3="A-321",'2025'!$D$4="CA",'2025'!$D$2=BC5),'2025DATA'!$L$27,"")</f>
        <v/>
      </c>
      <c r="BD30" s="518" t="str">
        <f>IF(AND(_A3="A-321",'2025'!$D$4="CA",'2025'!$D$2=BD5),'2025DATA'!$M$27,"")</f>
        <v/>
      </c>
      <c r="BE30" s="520" t="str">
        <f>IF(AND(_A3="A-321",'2025'!$D$4="CA",'2025'!$D$2=BE5),'2025DATA'!$N$27,"")</f>
        <v/>
      </c>
      <c r="BF30" s="940" t="s">
        <v>48</v>
      </c>
      <c r="BG30" s="13" t="s">
        <v>61</v>
      </c>
      <c r="BH30" s="518" t="str">
        <f>IF(AND(_A4="A-321",'2025'!$D$4="CA",'2025'!$D$2=BH5),'2025DATA'!$C$27,"")</f>
        <v/>
      </c>
      <c r="BI30" s="518" t="str">
        <f>IF(AND(_A4="A-321",'2025'!$D$4="CA",'2025'!$D$2=BI5),'2025DATA'!$D$27,"")</f>
        <v/>
      </c>
      <c r="BJ30" s="518" t="str">
        <f>IF(AND(_A4="A-321",'2025'!$D$4="CA",'2025'!$D$2=BJ5),'2025DATA'!$E$27,"")</f>
        <v/>
      </c>
      <c r="BK30" s="518" t="str">
        <f>IF(AND(_A4="A-321",'2025'!$D$4="CA",'2025'!$D$2=BK5),'2025DATA'!$F$27,"")</f>
        <v/>
      </c>
      <c r="BL30" s="518" t="str">
        <f>IF(AND(_A4="A-321",'2025'!$D$4="CA",'2025'!$D$2=BL5),'2025DATA'!$G$27,"")</f>
        <v/>
      </c>
      <c r="BM30" s="518" t="str">
        <f>IF(AND(_A4="A-321",'2025'!$D$4="CA",'2025'!$D$2=BM5),'2025DATA'!$H$27,"")</f>
        <v/>
      </c>
      <c r="BN30" s="518" t="str">
        <f>IF(AND(_A4="A-321",'2025'!$D$4="CA",'2025'!$D$2=BN5),'2025DATA'!$I$27,"")</f>
        <v/>
      </c>
      <c r="BO30" s="518" t="str">
        <f>IF(AND(_A4="A-321",'2025'!$D$4="CA",'2025'!$D$2=BO5),'2025DATA'!$J$27,"")</f>
        <v/>
      </c>
      <c r="BP30" s="518" t="str">
        <f>IF(AND(_A4="A-321",'2025'!$D$4="CA",'2025'!$D$2=BP5),'2025DATA'!$K$27,"")</f>
        <v/>
      </c>
      <c r="BQ30" s="518" t="str">
        <f>IF(AND(_A4="A-321",'2025'!$D$4="CA",'2025'!$D$2=BQ5),'2025DATA'!$L$27,"")</f>
        <v/>
      </c>
      <c r="BR30" s="518" t="str">
        <f>IF(AND(_A4="A-321",'2025'!$D$4="CA",'2025'!$D$2=BR5),'2025DATA'!$M$27,"")</f>
        <v/>
      </c>
      <c r="BS30" s="520" t="str">
        <f>IF(AND(_A4="A-321",'2025'!$D$4="CA",'2025'!$D$2=BS5),'2025DATA'!$N$27,"")</f>
        <v/>
      </c>
      <c r="BT30" s="940" t="s">
        <v>48</v>
      </c>
      <c r="BU30" s="13" t="s">
        <v>61</v>
      </c>
      <c r="BV30" s="518" t="str">
        <f>IF(AND(_A5="A-321",'2025'!$D$4="CA",'2025'!$D$2=BV5),'2025DATA'!$C$27,"")</f>
        <v/>
      </c>
      <c r="BW30" s="518" t="str">
        <f>IF(AND(_A5="A-321",'2025'!$D$4="CA",'2025'!$D$2=BW5),'2025DATA'!$D$27,"")</f>
        <v/>
      </c>
      <c r="BX30" s="518" t="str">
        <f>IF(AND(_A5="A-321",'2025'!$D$4="CA",'2025'!$D$2=BX5),'2025DATA'!$E$27,"")</f>
        <v/>
      </c>
      <c r="BY30" s="518" t="str">
        <f>IF(AND(_A5="A-321",'2025'!$D$4="CA",'2025'!$D$2=BY5),'2025DATA'!$F$27,"")</f>
        <v/>
      </c>
      <c r="BZ30" s="518" t="str">
        <f>IF(AND(_A5="A-321",'2025'!$D$4="CA",'2025'!$D$2=BZ5),'2025DATA'!$G$27,"")</f>
        <v/>
      </c>
      <c r="CA30" s="518" t="str">
        <f>IF(AND(_A5="A-321",'2025'!$D$4="CA",'2025'!$D$2=CA5),'2025DATA'!$H$27,"")</f>
        <v/>
      </c>
      <c r="CB30" s="518" t="str">
        <f>IF(AND(_A5="A-321",'2025'!$D$4="CA",'2025'!$D$2=CB5),'2025DATA'!$I$27,"")</f>
        <v/>
      </c>
      <c r="CC30" s="518" t="str">
        <f>IF(AND(_A5="A-321",'2025'!$D$4="CA",'2025'!$D$2=CC5),'2025DATA'!$J$27,"")</f>
        <v/>
      </c>
      <c r="CD30" s="518" t="str">
        <f>IF(AND(_A5="A-321",'2025'!$D$4="CA",'2025'!$D$2=CD5),'2025DATA'!$K$27,"")</f>
        <v/>
      </c>
      <c r="CE30" s="518" t="str">
        <f>IF(AND(_A5="A-321",'2025'!$D$4="CA",'2025'!$D$2=CE5),'2025DATA'!$L$27,"")</f>
        <v/>
      </c>
      <c r="CF30" s="518" t="str">
        <f>IF(AND(_A5="A-321",'2025'!$D$4="CA",'2025'!$D$2=CF5),'2025DATA'!$M$27,"")</f>
        <v/>
      </c>
      <c r="CG30" s="520" t="str">
        <f>IF(AND(_A5="A-321",'2025'!$D$4="CA",'2025'!$D$2=CG5),'2025DATA'!$N$27,"")</f>
        <v/>
      </c>
      <c r="CH30" s="940" t="s">
        <v>48</v>
      </c>
      <c r="CI30" s="13" t="s">
        <v>61</v>
      </c>
      <c r="CJ30" s="518" t="str">
        <f>IF(AND(_A6="A-321",'2025'!$D$4="CA",'2025'!$D$2=CJ5),'2025DATA'!$C$27,"")</f>
        <v/>
      </c>
      <c r="CK30" s="518" t="str">
        <f>IF(AND(_A6="A-321",'2025'!$D$4="CA",'2025'!$D$2=CK5),'2025DATA'!$D$27,"")</f>
        <v/>
      </c>
      <c r="CL30" s="518" t="str">
        <f>IF(AND(_A6="A-321",'2025'!$D$4="CA",'2025'!$D$2=CL5),'2025DATA'!$E$27,"")</f>
        <v/>
      </c>
      <c r="CM30" s="518" t="str">
        <f>IF(AND(_A6="A-321",'2025'!$D$4="CA",'2025'!$D$2=CM5),'2025DATA'!$F$27,"")</f>
        <v/>
      </c>
      <c r="CN30" s="518" t="str">
        <f>IF(AND(_A6="A-321",'2025'!$D$4="CA",'2025'!$D$2=CN5),'2025DATA'!$G$27,"")</f>
        <v/>
      </c>
      <c r="CO30" s="518" t="str">
        <f>IF(AND(_A6="A-321",'2025'!$D$4="CA",'2025'!$D$2=CO5),'2025DATA'!$H$27,"")</f>
        <v/>
      </c>
      <c r="CP30" s="518" t="str">
        <f>IF(AND(_A6="A-321",'2025'!$D$4="CA",'2025'!$D$2=CP5),'2025DATA'!$I$27,"")</f>
        <v/>
      </c>
      <c r="CQ30" s="518" t="str">
        <f>IF(AND(_A6="A-321",'2025'!$D$4="CA",'2025'!$D$2=CQ5),'2025DATA'!$J$27,"")</f>
        <v/>
      </c>
      <c r="CR30" s="518" t="str">
        <f>IF(AND(_A6="A-321",'2025'!$D$4="CA",'2025'!$D$2=CR5),'2025DATA'!$K$27,"")</f>
        <v/>
      </c>
      <c r="CS30" s="518" t="str">
        <f>IF(AND(_A6="A-321",'2025'!$D$4="CA",'2025'!$D$2=CS5),'2025DATA'!$L$27,"")</f>
        <v/>
      </c>
      <c r="CT30" s="518" t="str">
        <f>IF(AND(_A6="A-321",'2025'!$D$4="CA",'2025'!$D$2=CT5),'2025DATA'!$M$27,"")</f>
        <v/>
      </c>
      <c r="CU30" s="520" t="str">
        <f>IF(AND(_A6="A-321",'2025'!$D$4="CA",'2025'!$D$2=CU5),'2025DATA'!$N$27,"")</f>
        <v/>
      </c>
    </row>
    <row r="31" spans="1:99" x14ac:dyDescent="0.25">
      <c r="A31" s="987" t="s">
        <v>71</v>
      </c>
      <c r="B31" s="64" t="s">
        <v>61</v>
      </c>
      <c r="C31" s="28">
        <v>373.33</v>
      </c>
      <c r="D31" s="29">
        <v>370.58</v>
      </c>
      <c r="E31" s="29">
        <v>367.76</v>
      </c>
      <c r="F31" s="29">
        <v>364.99</v>
      </c>
      <c r="G31" s="29">
        <v>362.16</v>
      </c>
      <c r="H31" s="29">
        <v>359.36</v>
      </c>
      <c r="I31" s="29">
        <v>356.58</v>
      </c>
      <c r="J31" s="29">
        <v>353.8</v>
      </c>
      <c r="K31" s="29">
        <v>350.96</v>
      </c>
      <c r="L31" s="29">
        <v>348.15</v>
      </c>
      <c r="M31" s="29">
        <v>345.42</v>
      </c>
      <c r="N31" s="30">
        <v>342.75</v>
      </c>
      <c r="P31" s="940"/>
      <c r="Q31" s="13" t="s">
        <v>62</v>
      </c>
      <c r="R31" s="518" t="str">
        <f>IF(AND(_A1="A-321",'2025'!$D$4="FO",'2025'!$D$2=R5),'2025DATA'!$C$28,"")</f>
        <v/>
      </c>
      <c r="S31" s="518" t="str">
        <f>IF(AND(_A1="A-321",'2025'!$D$4="FO",'2025'!$D$2=S5),'2025DATA'!$D$28,"")</f>
        <v/>
      </c>
      <c r="T31" s="518" t="str">
        <f>IF(AND(_A1="A-321",'2025'!$D$4="FO",'2025'!$D$2=T5),'2025DATA'!$E$28,"")</f>
        <v/>
      </c>
      <c r="U31" s="518" t="str">
        <f>IF(AND(_A1="A-321",'2025'!$D$4="FO",'2025'!$D$2=U5),'2025DATA'!$F$28,"")</f>
        <v/>
      </c>
      <c r="V31" s="518" t="str">
        <f>IF(AND(_A1="A-321",'2025'!$D$4="FO",'2025'!$D$2=V5),'2025DATA'!$G$28,"")</f>
        <v/>
      </c>
      <c r="W31" s="518" t="str">
        <f>IF(AND(_A1="A-321",'2025'!$D$4="FO",'2025'!$D$2=W5),'2025DATA'!$H$28,"")</f>
        <v/>
      </c>
      <c r="X31" s="518" t="str">
        <f>IF(AND(_A1="A-321",'2025'!$D$4="FO",'2025'!$D$2=X5),'2025DATA'!$I$28,"")</f>
        <v/>
      </c>
      <c r="Y31" s="518" t="str">
        <f>IF(AND(_A1="A-321",'2025'!$D$4="FO",'2025'!$D$2=Y5),'2025DATA'!$J$28,"")</f>
        <v/>
      </c>
      <c r="Z31" s="518" t="str">
        <f>IF(AND(_A1="A-321",'2025'!$D$4="FO",'2025'!$D$2=Z5),'2025DATA'!$K$28,"")</f>
        <v/>
      </c>
      <c r="AA31" s="518" t="str">
        <f>IF(AND(_A1="A-321",'2025'!$D$4="FO",'2025'!$D$2=AA5),'2025DATA'!$L$28,"")</f>
        <v/>
      </c>
      <c r="AB31" s="518" t="str">
        <f>IF(AND(_A1="A-321",'2025'!$D$4="FO",'2025'!$D$2=AB5),'2025DATA'!$M$28,"")</f>
        <v/>
      </c>
      <c r="AC31" s="520" t="str">
        <f>IF(AND(_A1="A-321",'2025'!$D$4="FO",'2025'!$D$2=AC5),'2025DATA'!$N$28,"")</f>
        <v/>
      </c>
      <c r="AD31" s="940"/>
      <c r="AE31" s="13" t="s">
        <v>62</v>
      </c>
      <c r="AF31" s="518" t="str">
        <f>IF(AND(_A2="A-321",'2025'!$D$4="FO",'2025'!$D$2=AF5),'2025DATA'!$C$28,"")</f>
        <v/>
      </c>
      <c r="AG31" s="518" t="str">
        <f>IF(AND(_A2="A-321",'2025'!$D$4="FO",'2025'!$D$2=AG5),'2025DATA'!$D$28,"")</f>
        <v/>
      </c>
      <c r="AH31" s="518" t="str">
        <f>IF(AND(_A2="A-321",'2025'!$D$4="FO",'2025'!$D$2=AH5),'2025DATA'!$E$28,"")</f>
        <v/>
      </c>
      <c r="AI31" s="518" t="str">
        <f>IF(AND(_A2="A-321",'2025'!$D$4="FO",'2025'!$D$2=AI5),'2025DATA'!$F$28,"")</f>
        <v/>
      </c>
      <c r="AJ31" s="518" t="str">
        <f>IF(AND(_A2="A-321",'2025'!$D$4="FO",'2025'!$D$2=AJ5),'2025DATA'!$G$28,"")</f>
        <v/>
      </c>
      <c r="AK31" s="518" t="str">
        <f>IF(AND(_A2="A-321",'2025'!$D$4="FO",'2025'!$D$2=AK5),'2025DATA'!$H$28,"")</f>
        <v/>
      </c>
      <c r="AL31" s="518" t="str">
        <f>IF(AND(_A2="A-321",'2025'!$D$4="FO",'2025'!$D$2=AL5),'2025DATA'!$I$28,"")</f>
        <v/>
      </c>
      <c r="AM31" s="518" t="str">
        <f>IF(AND(_A2="A-321",'2025'!$D$4="FO",'2025'!$D$2=AM5),'2025DATA'!$J$28,"")</f>
        <v/>
      </c>
      <c r="AN31" s="518" t="str">
        <f>IF(AND(_A2="A-321",'2025'!$D$4="FO",'2025'!$D$2=AN5),'2025DATA'!$K$28,"")</f>
        <v/>
      </c>
      <c r="AO31" s="518" t="str">
        <f>IF(AND(_A2="A-321",'2025'!$D$4="FO",'2025'!$D$2=AO5),'2025DATA'!$L$28,"")</f>
        <v/>
      </c>
      <c r="AP31" s="518" t="str">
        <f>IF(AND(_A2="A-321",'2025'!$D$4="FO",'2025'!$D$2=AP5),'2025DATA'!$M$28,"")</f>
        <v/>
      </c>
      <c r="AQ31" s="520" t="str">
        <f>IF(AND(_A2="A-321",'2025'!$D$4="FO",'2025'!$D$2=AQ5),'2025DATA'!$N$28,"")</f>
        <v/>
      </c>
      <c r="AR31" s="940"/>
      <c r="AS31" s="13" t="s">
        <v>62</v>
      </c>
      <c r="AT31" s="518" t="str">
        <f>IF(AND(_A3="A-321",'2025'!$D$4="FO",'2025'!$D$2=AT5),'2025DATA'!$C$28,"")</f>
        <v/>
      </c>
      <c r="AU31" s="518" t="str">
        <f>IF(AND(_A3="A-321",'2025'!$D$4="FO",'2025'!$D$2=AU5),'2025DATA'!$D$28,"")</f>
        <v/>
      </c>
      <c r="AV31" s="518" t="str">
        <f>IF(AND(_A3="A-321",'2025'!$D$4="FO",'2025'!$D$2=AV5),'2025DATA'!$E$28,"")</f>
        <v/>
      </c>
      <c r="AW31" s="518" t="str">
        <f>IF(AND(_A3="A-321",'2025'!$D$4="FO",'2025'!$D$2=AW5),'2025DATA'!$F$28,"")</f>
        <v/>
      </c>
      <c r="AX31" s="518" t="str">
        <f>IF(AND(_A3="A-321",'2025'!$D$4="FO",'2025'!$D$2=AX5),'2025DATA'!$G$28,"")</f>
        <v/>
      </c>
      <c r="AY31" s="518" t="str">
        <f>IF(AND(_A3="A-321",'2025'!$D$4="FO",'2025'!$D$2=AY5),'2025DATA'!$H$28,"")</f>
        <v/>
      </c>
      <c r="AZ31" s="518" t="str">
        <f>IF(AND(_A3="A-321",'2025'!$D$4="FO",'2025'!$D$2=AZ5),'2025DATA'!$I$28,"")</f>
        <v/>
      </c>
      <c r="BA31" s="518" t="str">
        <f>IF(AND(_A3="A-321",'2025'!$D$4="FO",'2025'!$D$2=BA5),'2025DATA'!$J$28,"")</f>
        <v/>
      </c>
      <c r="BB31" s="518" t="str">
        <f>IF(AND(_A3="A-321",'2025'!$D$4="FO",'2025'!$D$2=BB5),'2025DATA'!$K$28,"")</f>
        <v/>
      </c>
      <c r="BC31" s="518" t="str">
        <f>IF(AND(_A3="A-321",'2025'!$D$4="FO",'2025'!$D$2=BC5),'2025DATA'!$L$28,"")</f>
        <v/>
      </c>
      <c r="BD31" s="518" t="str">
        <f>IF(AND(_A3="A-321",'2025'!$D$4="FO",'2025'!$D$2=BD5),'2025DATA'!$M$28,"")</f>
        <v/>
      </c>
      <c r="BE31" s="520" t="str">
        <f>IF(AND(_A3="A-321",'2025'!$D$4="FO",'2025'!$D$2=BE5),'2025DATA'!$N$28,"")</f>
        <v/>
      </c>
      <c r="BF31" s="940"/>
      <c r="BG31" s="13" t="s">
        <v>62</v>
      </c>
      <c r="BH31" s="518" t="str">
        <f>IF(AND(_A4="A-321",'2025'!$D$4="FO",'2025'!$D$2=BH5),'2025DATA'!$C$28,"")</f>
        <v/>
      </c>
      <c r="BI31" s="518" t="str">
        <f>IF(AND(_A4="A-321",'2025'!$D$4="FO",'2025'!$D$2=BI5),'2025DATA'!$D$28,"")</f>
        <v/>
      </c>
      <c r="BJ31" s="518" t="str">
        <f>IF(AND(_A4="A-321",'2025'!$D$4="FO",'2025'!$D$2=BJ5),'2025DATA'!$E$28,"")</f>
        <v/>
      </c>
      <c r="BK31" s="518" t="str">
        <f>IF(AND(_A4="A-321",'2025'!$D$4="FO",'2025'!$D$2=BK5),'2025DATA'!$F$28,"")</f>
        <v/>
      </c>
      <c r="BL31" s="518" t="str">
        <f>IF(AND(_A4="A-321",'2025'!$D$4="FO",'2025'!$D$2=BL5),'2025DATA'!$G$28,"")</f>
        <v/>
      </c>
      <c r="BM31" s="518" t="str">
        <f>IF(AND(_A4="A-321",'2025'!$D$4="FO",'2025'!$D$2=BM5),'2025DATA'!$H$28,"")</f>
        <v/>
      </c>
      <c r="BN31" s="518" t="str">
        <f>IF(AND(_A4="A-321",'2025'!$D$4="FO",'2025'!$D$2=BN5),'2025DATA'!$I$28,"")</f>
        <v/>
      </c>
      <c r="BO31" s="518" t="str">
        <f>IF(AND(_A4="A-321",'2025'!$D$4="FO",'2025'!$D$2=BO5),'2025DATA'!$J$28,"")</f>
        <v/>
      </c>
      <c r="BP31" s="518" t="str">
        <f>IF(AND(_A4="A-321",'2025'!$D$4="FO",'2025'!$D$2=BP5),'2025DATA'!$K$28,"")</f>
        <v/>
      </c>
      <c r="BQ31" s="518" t="str">
        <f>IF(AND(_A4="A-321",'2025'!$D$4="FO",'2025'!$D$2=BQ5),'2025DATA'!$L$28,"")</f>
        <v/>
      </c>
      <c r="BR31" s="518" t="str">
        <f>IF(AND(_A4="A-321",'2025'!$D$4="FO",'2025'!$D$2=BR5),'2025DATA'!$M$28,"")</f>
        <v/>
      </c>
      <c r="BS31" s="520" t="str">
        <f>IF(AND(_A4="A-321",'2025'!$D$4="FO",'2025'!$D$2=BS5),'2025DATA'!$N$28,"")</f>
        <v/>
      </c>
      <c r="BT31" s="940"/>
      <c r="BU31" s="13" t="s">
        <v>62</v>
      </c>
      <c r="BV31" s="518" t="str">
        <f>IF(AND(_A5="A-321",'2025'!$D$4="FO",'2025'!$D$2=BV5),'2025DATA'!$C$28,"")</f>
        <v/>
      </c>
      <c r="BW31" s="518" t="str">
        <f>IF(AND(_A5="A-321",'2025'!$D$4="FO",'2025'!$D$2=BW5),'2025DATA'!$D$28,"")</f>
        <v/>
      </c>
      <c r="BX31" s="518" t="str">
        <f>IF(AND(_A5="A-321",'2025'!$D$4="FO",'2025'!$D$2=BX5),'2025DATA'!$E$28,"")</f>
        <v/>
      </c>
      <c r="BY31" s="518" t="str">
        <f>IF(AND(_A5="A-321",'2025'!$D$4="FO",'2025'!$D$2=BY5),'2025DATA'!$F$28,"")</f>
        <v/>
      </c>
      <c r="BZ31" s="518" t="str">
        <f>IF(AND(_A5="A-321",'2025'!$D$4="FO",'2025'!$D$2=BZ5),'2025DATA'!$G$28,"")</f>
        <v/>
      </c>
      <c r="CA31" s="518" t="str">
        <f>IF(AND(_A5="A-321",'2025'!$D$4="FO",'2025'!$D$2=CA5),'2025DATA'!$H$28,"")</f>
        <v/>
      </c>
      <c r="CB31" s="518" t="str">
        <f>IF(AND(_A5="A-321",'2025'!$D$4="FO",'2025'!$D$2=CB5),'2025DATA'!$I$28,"")</f>
        <v/>
      </c>
      <c r="CC31" s="518" t="str">
        <f>IF(AND(_A5="A-321",'2025'!$D$4="FO",'2025'!$D$2=CC5),'2025DATA'!$J$28,"")</f>
        <v/>
      </c>
      <c r="CD31" s="518" t="str">
        <f>IF(AND(_A5="A-321",'2025'!$D$4="FO",'2025'!$D$2=CD5),'2025DATA'!$K$28,"")</f>
        <v/>
      </c>
      <c r="CE31" s="518" t="str">
        <f>IF(AND(_A5="A-321",'2025'!$D$4="FO",'2025'!$D$2=CE5),'2025DATA'!$L$28,"")</f>
        <v/>
      </c>
      <c r="CF31" s="518" t="str">
        <f>IF(AND(_A5="A-321",'2025'!$D$4="FO",'2025'!$D$2=CF5),'2025DATA'!$M$28,"")</f>
        <v/>
      </c>
      <c r="CG31" s="520" t="str">
        <f>IF(AND(_A5="A-321",'2025'!$D$4="FO",'2025'!$D$2=CG5),'2025DATA'!$N$28,"")</f>
        <v/>
      </c>
      <c r="CH31" s="940"/>
      <c r="CI31" s="13" t="s">
        <v>62</v>
      </c>
      <c r="CJ31" s="518" t="str">
        <f>IF(AND(_A6="A-321",'2025'!$D$4="FO",'2025'!$D$2=CJ5),'2025DATA'!$C$28,"")</f>
        <v/>
      </c>
      <c r="CK31" s="518" t="str">
        <f>IF(AND(_A6="A-321",'2025'!$D$4="FO",'2025'!$D$2=CK5),'2025DATA'!$D$28,"")</f>
        <v/>
      </c>
      <c r="CL31" s="518" t="str">
        <f>IF(AND(_A6="A-321",'2025'!$D$4="FO",'2025'!$D$2=CL5),'2025DATA'!$E$28,"")</f>
        <v/>
      </c>
      <c r="CM31" s="518" t="str">
        <f>IF(AND(_A6="A-321",'2025'!$D$4="FO",'2025'!$D$2=CM5),'2025DATA'!$F$28,"")</f>
        <v/>
      </c>
      <c r="CN31" s="518" t="str">
        <f>IF(AND(_A6="A-321",'2025'!$D$4="FO",'2025'!$D$2=CN5),'2025DATA'!$G$28,"")</f>
        <v/>
      </c>
      <c r="CO31" s="518" t="str">
        <f>IF(AND(_A6="A-321",'2025'!$D$4="FO",'2025'!$D$2=CO5),'2025DATA'!$H$28,"")</f>
        <v/>
      </c>
      <c r="CP31" s="518" t="str">
        <f>IF(AND(_A6="A-321",'2025'!$D$4="FO",'2025'!$D$2=CP5),'2025DATA'!$I$28,"")</f>
        <v/>
      </c>
      <c r="CQ31" s="518" t="str">
        <f>IF(AND(_A6="A-321",'2025'!$D$4="FO",'2025'!$D$2=CQ5),'2025DATA'!$J$28,"")</f>
        <v/>
      </c>
      <c r="CR31" s="518" t="str">
        <f>IF(AND(_A6="A-321",'2025'!$D$4="FO",'2025'!$D$2=CR5),'2025DATA'!$K$28,"")</f>
        <v/>
      </c>
      <c r="CS31" s="518" t="str">
        <f>IF(AND(_A6="A-321",'2025'!$D$4="FO",'2025'!$D$2=CS5),'2025DATA'!$L$28,"")</f>
        <v/>
      </c>
      <c r="CT31" s="518" t="str">
        <f>IF(AND(_A6="A-321",'2025'!$D$4="FO",'2025'!$D$2=CT5),'2025DATA'!$M$28,"")</f>
        <v/>
      </c>
      <c r="CU31" s="520" t="str">
        <f>IF(AND(_A6="A-321",'2025'!$D$4="FO",'2025'!$D$2=CU5),'2025DATA'!$N$28,"")</f>
        <v/>
      </c>
    </row>
    <row r="32" spans="1:99" x14ac:dyDescent="0.25">
      <c r="A32" s="987"/>
      <c r="B32" s="64" t="s">
        <v>62</v>
      </c>
      <c r="C32" s="28">
        <v>254.99</v>
      </c>
      <c r="D32" s="29">
        <v>252.72</v>
      </c>
      <c r="E32" s="29">
        <v>250.42</v>
      </c>
      <c r="F32" s="29">
        <v>247.08</v>
      </c>
      <c r="G32" s="29">
        <v>244.47</v>
      </c>
      <c r="H32" s="29">
        <v>238.95</v>
      </c>
      <c r="I32" s="29">
        <v>232.45</v>
      </c>
      <c r="J32" s="29">
        <v>226.79</v>
      </c>
      <c r="K32" s="29">
        <v>221.47</v>
      </c>
      <c r="L32" s="29">
        <v>216.2</v>
      </c>
      <c r="M32" s="29">
        <v>184.82</v>
      </c>
      <c r="N32" s="30">
        <v>120.69</v>
      </c>
      <c r="P32" s="940" t="s">
        <v>70</v>
      </c>
      <c r="Q32" s="13" t="s">
        <v>61</v>
      </c>
      <c r="R32" s="518" t="str">
        <f>IF(AND(_A1="A-320",'2025'!$D$4="CA",'2025'!$D$2=R5),'2025DATA'!$C$29,"")</f>
        <v/>
      </c>
      <c r="S32" s="518" t="str">
        <f>IF(AND(_A1="A-320",'2025'!$D$4="CA",'2025'!$D$2=S5),'2025DATA'!$D$29,"")</f>
        <v/>
      </c>
      <c r="T32" s="518" t="str">
        <f>IF(AND(_A1="A-320",'2025'!$D$4="CA",'2025'!$D$2=T5),'2025DATA'!$E$29,"")</f>
        <v/>
      </c>
      <c r="U32" s="518" t="str">
        <f>IF(AND(_A1="A-320",'2025'!$D$4="CA",'2025'!$D$2=U5),'2025DATA'!$F$29,"")</f>
        <v/>
      </c>
      <c r="V32" s="518" t="str">
        <f>IF(AND(_A1="A-320",'2025'!$D$4="CA",'2025'!$D$2=V5),'2025DATA'!$G$29,"")</f>
        <v/>
      </c>
      <c r="W32" s="518" t="str">
        <f>IF(AND(_A1="A-320",'2025'!$D$4="CA",'2025'!$D$2=W5),'2025DATA'!$H$29,"")</f>
        <v/>
      </c>
      <c r="X32" s="518" t="str">
        <f>IF(AND(_A1="A-320",'2025'!$D$4="CA",'2025'!$D$2=X5),'2025DATA'!$I$29,"")</f>
        <v/>
      </c>
      <c r="Y32" s="518" t="str">
        <f>IF(AND(_A1="A-320",'2025'!$D$4="CA",'2025'!$D$2=Y5),'2025DATA'!$J$29,"")</f>
        <v/>
      </c>
      <c r="Z32" s="518" t="str">
        <f>IF(AND(_A1="A-320",'2025'!$D$4="CA",'2025'!$D$2=Z5),'2025DATA'!$K$29,"")</f>
        <v/>
      </c>
      <c r="AA32" s="518" t="str">
        <f>IF(AND(_A1="A-320",'2025'!$D$4="CA",'2025'!$D$2=AA5),'2025DATA'!$L$29,"")</f>
        <v/>
      </c>
      <c r="AB32" s="518" t="str">
        <f>IF(AND(_A1="A-320",'2025'!$D$4="CA",'2025'!$D$2=AB5),'2025DATA'!$M$29,"")</f>
        <v/>
      </c>
      <c r="AC32" s="520" t="str">
        <f>IF(AND(_A1="A-320",'2025'!$D$4="CA",'2025'!$D$2=AC5),'2025DATA'!$N$29,"")</f>
        <v/>
      </c>
      <c r="AD32" s="940" t="s">
        <v>70</v>
      </c>
      <c r="AE32" s="13" t="s">
        <v>61</v>
      </c>
      <c r="AF32" s="518" t="str">
        <f>IF(AND(_A2="A-320",'2025'!$D$4="CA",'2025'!$D$2=AF5),'2025DATA'!$C$29,"")</f>
        <v/>
      </c>
      <c r="AG32" s="518" t="str">
        <f>IF(AND(_A2="A-320",'2025'!$D$4="CA",'2025'!$D$2=AG5),'2025DATA'!$D$29,"")</f>
        <v/>
      </c>
      <c r="AH32" s="518" t="str">
        <f>IF(AND(_A2="A-320",'2025'!$D$4="CA",'2025'!$D$2=AH5),'2025DATA'!$E$29,"")</f>
        <v/>
      </c>
      <c r="AI32" s="518" t="str">
        <f>IF(AND(_A2="A-320",'2025'!$D$4="CA",'2025'!$D$2=AI5),'2025DATA'!$F$29,"")</f>
        <v/>
      </c>
      <c r="AJ32" s="518" t="str">
        <f>IF(AND(_A2="A-320",'2025'!$D$4="CA",'2025'!$D$2=AJ5),'2025DATA'!$G$29,"")</f>
        <v/>
      </c>
      <c r="AK32" s="518" t="str">
        <f>IF(AND(_A2="A-320",'2025'!$D$4="CA",'2025'!$D$2=AK5),'2025DATA'!$H$29,"")</f>
        <v/>
      </c>
      <c r="AL32" s="518" t="str">
        <f>IF(AND(_A2="A-320",'2025'!$D$4="CA",'2025'!$D$2=AL5),'2025DATA'!$I$29,"")</f>
        <v/>
      </c>
      <c r="AM32" s="518" t="str">
        <f>IF(AND(_A2="A-320",'2025'!$D$4="CA",'2025'!$D$2=AM5),'2025DATA'!$J$29,"")</f>
        <v/>
      </c>
      <c r="AN32" s="518" t="str">
        <f>IF(AND(_A2="A-320",'2025'!$D$4="CA",'2025'!$D$2=AN5),'2025DATA'!$K$29,"")</f>
        <v/>
      </c>
      <c r="AO32" s="518" t="str">
        <f>IF(AND(_A2="A-320",'2025'!$D$4="CA",'2025'!$D$2=AO5),'2025DATA'!$L$29,"")</f>
        <v/>
      </c>
      <c r="AP32" s="518" t="str">
        <f>IF(AND(_A2="A-320",'2025'!$D$4="CA",'2025'!$D$2=AP5),'2025DATA'!$M$29,"")</f>
        <v/>
      </c>
      <c r="AQ32" s="520" t="str">
        <f>IF(AND(_A2="A-320",'2025'!$D$4="CA",'2025'!$D$2=AQ5),'2025DATA'!$N$29,"")</f>
        <v/>
      </c>
      <c r="AR32" s="940" t="s">
        <v>70</v>
      </c>
      <c r="AS32" s="13" t="s">
        <v>61</v>
      </c>
      <c r="AT32" s="518" t="str">
        <f>IF(AND(_A3="A-320",'2025'!$D$4="CA",'2025'!$D$2=AT5),'2025DATA'!$C$29,"")</f>
        <v/>
      </c>
      <c r="AU32" s="518" t="str">
        <f>IF(AND(_A3="A-320",'2025'!$D$4="CA",'2025'!$D$2=AU5),'2025DATA'!$D$29,"")</f>
        <v/>
      </c>
      <c r="AV32" s="518" t="str">
        <f>IF(AND(_A3="A-320",'2025'!$D$4="CA",'2025'!$D$2=AV5),'2025DATA'!$E$29,"")</f>
        <v/>
      </c>
      <c r="AW32" s="518" t="str">
        <f>IF(AND(_A3="A-320",'2025'!$D$4="CA",'2025'!$D$2=AW5),'2025DATA'!$F$29,"")</f>
        <v/>
      </c>
      <c r="AX32" s="518" t="str">
        <f>IF(AND(_A3="A-320",'2025'!$D$4="CA",'2025'!$D$2=AX5),'2025DATA'!$G$29,"")</f>
        <v/>
      </c>
      <c r="AY32" s="518" t="str">
        <f>IF(AND(_A3="A-320",'2025'!$D$4="CA",'2025'!$D$2=AY5),'2025DATA'!$H$29,"")</f>
        <v/>
      </c>
      <c r="AZ32" s="518" t="str">
        <f>IF(AND(_A3="A-320",'2025'!$D$4="CA",'2025'!$D$2=AZ5),'2025DATA'!$I$29,"")</f>
        <v/>
      </c>
      <c r="BA32" s="518" t="str">
        <f>IF(AND(_A3="A-320",'2025'!$D$4="CA",'2025'!$D$2=BA5),'2025DATA'!$J$29,"")</f>
        <v/>
      </c>
      <c r="BB32" s="518" t="str">
        <f>IF(AND(_A3="A-320",'2025'!$D$4="CA",'2025'!$D$2=BB5),'2025DATA'!$K$29,"")</f>
        <v/>
      </c>
      <c r="BC32" s="518" t="str">
        <f>IF(AND(_A3="A-320",'2025'!$D$4="CA",'2025'!$D$2=BC5),'2025DATA'!$L$29,"")</f>
        <v/>
      </c>
      <c r="BD32" s="518" t="str">
        <f>IF(AND(_A3="A-320",'2025'!$D$4="CA",'2025'!$D$2=BD5),'2025DATA'!$M$29,"")</f>
        <v/>
      </c>
      <c r="BE32" s="520" t="str">
        <f>IF(AND(_A3="A-320",'2025'!$D$4="CA",'2025'!$D$2=BE5),'2025DATA'!$N$29,"")</f>
        <v/>
      </c>
      <c r="BF32" s="940" t="s">
        <v>70</v>
      </c>
      <c r="BG32" s="13" t="s">
        <v>61</v>
      </c>
      <c r="BH32" s="518" t="str">
        <f>IF(AND(_A4="A-320",'2025'!$D$4="CA",'2025'!$D$2=BH5),'2025DATA'!$C$29,"")</f>
        <v/>
      </c>
      <c r="BI32" s="518" t="str">
        <f>IF(AND(_A4="A-320",'2025'!$D$4="CA",'2025'!$D$2=BI5),'2025DATA'!$D$29,"")</f>
        <v/>
      </c>
      <c r="BJ32" s="518" t="str">
        <f>IF(AND(_A4="A-320",'2025'!$D$4="CA",'2025'!$D$2=BJ5),'2025DATA'!$E$29,"")</f>
        <v/>
      </c>
      <c r="BK32" s="518" t="str">
        <f>IF(AND(_A4="A-320",'2025'!$D$4="CA",'2025'!$D$2=BK5),'2025DATA'!$F$29,"")</f>
        <v/>
      </c>
      <c r="BL32" s="518" t="str">
        <f>IF(AND(_A4="A-320",'2025'!$D$4="CA",'2025'!$D$2=BL5),'2025DATA'!$G$29,"")</f>
        <v/>
      </c>
      <c r="BM32" s="518" t="str">
        <f>IF(AND(_A4="A-320",'2025'!$D$4="CA",'2025'!$D$2=BM5),'2025DATA'!$H$29,"")</f>
        <v/>
      </c>
      <c r="BN32" s="518" t="str">
        <f>IF(AND(_A4="A-320",'2025'!$D$4="CA",'2025'!$D$2=BN5),'2025DATA'!$I$29,"")</f>
        <v/>
      </c>
      <c r="BO32" s="518" t="str">
        <f>IF(AND(_A4="A-320",'2025'!$D$4="CA",'2025'!$D$2=BO5),'2025DATA'!$J$29,"")</f>
        <v/>
      </c>
      <c r="BP32" s="518" t="str">
        <f>IF(AND(_A4="A-320",'2025'!$D$4="CA",'2025'!$D$2=BP5),'2025DATA'!$K$29,"")</f>
        <v/>
      </c>
      <c r="BQ32" s="518" t="str">
        <f>IF(AND(_A4="A-320",'2025'!$D$4="CA",'2025'!$D$2=BQ5),'2025DATA'!$L$29,"")</f>
        <v/>
      </c>
      <c r="BR32" s="518" t="str">
        <f>IF(AND(_A4="A-320",'2025'!$D$4="CA",'2025'!$D$2=BR5),'2025DATA'!$M$29,"")</f>
        <v/>
      </c>
      <c r="BS32" s="520" t="str">
        <f>IF(AND(_A4="A-320",'2025'!$D$4="CA",'2025'!$D$2=BS5),'2025DATA'!$N$29,"")</f>
        <v/>
      </c>
      <c r="BT32" s="940" t="s">
        <v>70</v>
      </c>
      <c r="BU32" s="13" t="s">
        <v>61</v>
      </c>
      <c r="BV32" s="518" t="str">
        <f>IF(AND(_A5="A-320",'2025'!$D$4="CA",'2025'!$D$2=BV5),'2025DATA'!$C$29,"")</f>
        <v/>
      </c>
      <c r="BW32" s="518" t="str">
        <f>IF(AND(_A5="A-320",'2025'!$D$4="CA",'2025'!$D$2=BW5),'2025DATA'!$D$29,"")</f>
        <v/>
      </c>
      <c r="BX32" s="518" t="str">
        <f>IF(AND(_A5="A-320",'2025'!$D$4="CA",'2025'!$D$2=BX5),'2025DATA'!$E$29,"")</f>
        <v/>
      </c>
      <c r="BY32" s="518" t="str">
        <f>IF(AND(_A5="A-320",'2025'!$D$4="CA",'2025'!$D$2=BY5),'2025DATA'!$F$29,"")</f>
        <v/>
      </c>
      <c r="BZ32" s="518" t="str">
        <f>IF(AND(_A5="A-320",'2025'!$D$4="CA",'2025'!$D$2=BZ5),'2025DATA'!$G$29,"")</f>
        <v/>
      </c>
      <c r="CA32" s="518" t="str">
        <f>IF(AND(_A5="A-320",'2025'!$D$4="CA",'2025'!$D$2=CA5),'2025DATA'!$H$29,"")</f>
        <v/>
      </c>
      <c r="CB32" s="518" t="str">
        <f>IF(AND(_A5="A-320",'2025'!$D$4="CA",'2025'!$D$2=CB5),'2025DATA'!$I$29,"")</f>
        <v/>
      </c>
      <c r="CC32" s="518" t="str">
        <f>IF(AND(_A5="A-320",'2025'!$D$4="CA",'2025'!$D$2=CC5),'2025DATA'!$J$29,"")</f>
        <v/>
      </c>
      <c r="CD32" s="518" t="str">
        <f>IF(AND(_A5="A-320",'2025'!$D$4="CA",'2025'!$D$2=CD5),'2025DATA'!$K$29,"")</f>
        <v/>
      </c>
      <c r="CE32" s="518" t="str">
        <f>IF(AND(_A5="A-320",'2025'!$D$4="CA",'2025'!$D$2=CE5),'2025DATA'!$L$29,"")</f>
        <v/>
      </c>
      <c r="CF32" s="518" t="str">
        <f>IF(AND(_A5="A-320",'2025'!$D$4="CA",'2025'!$D$2=CF5),'2025DATA'!$M$29,"")</f>
        <v/>
      </c>
      <c r="CG32" s="520" t="str">
        <f>IF(AND(_A5="A-320",'2025'!$D$4="CA",'2025'!$D$2=CG5),'2025DATA'!$N$29,"")</f>
        <v/>
      </c>
      <c r="CH32" s="940" t="s">
        <v>70</v>
      </c>
      <c r="CI32" s="13" t="s">
        <v>61</v>
      </c>
      <c r="CJ32" s="518" t="str">
        <f>IF(AND(_A6="A-320",'2025'!$D$4="CA",'2025'!$D$2=CJ5),'2025DATA'!$C$29,"")</f>
        <v/>
      </c>
      <c r="CK32" s="518" t="str">
        <f>IF(AND(_A6="A-320",'2025'!$D$4="CA",'2025'!$D$2=CK5),'2025DATA'!$D$29,"")</f>
        <v/>
      </c>
      <c r="CL32" s="518" t="str">
        <f>IF(AND(_A6="A-320",'2025'!$D$4="CA",'2025'!$D$2=CL5),'2025DATA'!$E$29,"")</f>
        <v/>
      </c>
      <c r="CM32" s="518" t="str">
        <f>IF(AND(_A6="A-320",'2025'!$D$4="CA",'2025'!$D$2=CM5),'2025DATA'!$F$29,"")</f>
        <v/>
      </c>
      <c r="CN32" s="518" t="str">
        <f>IF(AND(_A6="A-320",'2025'!$D$4="CA",'2025'!$D$2=CN5),'2025DATA'!$G$29,"")</f>
        <v/>
      </c>
      <c r="CO32" s="518" t="str">
        <f>IF(AND(_A6="A-320",'2025'!$D$4="CA",'2025'!$D$2=CO5),'2025DATA'!$H$29,"")</f>
        <v/>
      </c>
      <c r="CP32" s="518" t="str">
        <f>IF(AND(_A6="A-320",'2025'!$D$4="CA",'2025'!$D$2=CP5),'2025DATA'!$I$29,"")</f>
        <v/>
      </c>
      <c r="CQ32" s="518" t="str">
        <f>IF(AND(_A6="A-320",'2025'!$D$4="CA",'2025'!$D$2=CQ5),'2025DATA'!$J$29,"")</f>
        <v/>
      </c>
      <c r="CR32" s="518" t="str">
        <f>IF(AND(_A6="A-320",'2025'!$D$4="CA",'2025'!$D$2=CR5),'2025DATA'!$K$29,"")</f>
        <v/>
      </c>
      <c r="CS32" s="518" t="str">
        <f>IF(AND(_A6="A-320",'2025'!$D$4="CA",'2025'!$D$2=CS5),'2025DATA'!$L$29,"")</f>
        <v/>
      </c>
      <c r="CT32" s="518" t="str">
        <f>IF(AND(_A6="A-320",'2025'!$D$4="CA",'2025'!$D$2=CT5),'2025DATA'!$M$29,"")</f>
        <v/>
      </c>
      <c r="CU32" s="520" t="str">
        <f>IF(AND(_A6="A-320",'2025'!$D$4="CA",'2025'!$D$2=CU5),'2025DATA'!$N$29,"")</f>
        <v/>
      </c>
    </row>
    <row r="33" spans="1:99" x14ac:dyDescent="0.25">
      <c r="A33" s="987" t="s">
        <v>51</v>
      </c>
      <c r="B33" s="64" t="s">
        <v>61</v>
      </c>
      <c r="C33" s="28">
        <v>360.24</v>
      </c>
      <c r="D33" s="29">
        <v>357.52</v>
      </c>
      <c r="E33" s="29">
        <v>354.77</v>
      </c>
      <c r="F33" s="29">
        <v>352.03</v>
      </c>
      <c r="G33" s="29">
        <v>349.34</v>
      </c>
      <c r="H33" s="29">
        <v>346.64</v>
      </c>
      <c r="I33" s="29">
        <v>343.93</v>
      </c>
      <c r="J33" s="29">
        <v>341.17</v>
      </c>
      <c r="K33" s="29">
        <v>338.43</v>
      </c>
      <c r="L33" s="29">
        <v>335.72</v>
      </c>
      <c r="M33" s="29">
        <v>333.04</v>
      </c>
      <c r="N33" s="30">
        <v>330.3</v>
      </c>
      <c r="P33" s="940"/>
      <c r="Q33" s="13" t="s">
        <v>62</v>
      </c>
      <c r="R33" s="518" t="str">
        <f>IF(AND(_A1="A-320",'2025'!$D$4="FO",'2025'!$D$2=R5),'2025DATA'!$C$30,"")</f>
        <v/>
      </c>
      <c r="S33" s="518" t="str">
        <f>IF(AND(_A1="A-320",'2025'!$D$4="FO",'2025'!$D$2=S5),'2025DATA'!$D$30,"")</f>
        <v/>
      </c>
      <c r="T33" s="518" t="str">
        <f>IF(AND(_A1="A-320",'2025'!$D$4="FO",'2025'!$D$2=T5),'2025DATA'!$E$30,"")</f>
        <v/>
      </c>
      <c r="U33" s="518" t="str">
        <f>IF(AND(_A1="A-320",'2025'!$D$4="FO",'2025'!$D$2=U5),'2025DATA'!$F$30,"")</f>
        <v/>
      </c>
      <c r="V33" s="518" t="str">
        <f>IF(AND(_A1="A-320",'2025'!$D$4="FO",'2025'!$D$2=V5),'2025DATA'!$G$30,"")</f>
        <v/>
      </c>
      <c r="W33" s="518" t="str">
        <f>IF(AND(_A1="A-320",'2025'!$D$4="FO",'2025'!$D$2=W5),'2025DATA'!$H$30,"")</f>
        <v/>
      </c>
      <c r="X33" s="518" t="str">
        <f>IF(AND(_A1="A-320",'2025'!$D$4="FO",'2025'!$D$2=X5),'2025DATA'!$I$30,"")</f>
        <v/>
      </c>
      <c r="Y33" s="518" t="str">
        <f>IF(AND(_A1="A-320",'2025'!$D$4="FO",'2025'!$D$2=Y5),'2025DATA'!$J$30,"")</f>
        <v/>
      </c>
      <c r="Z33" s="518" t="str">
        <f>IF(AND(_A1="A-320",'2025'!$D$4="FO",'2025'!$D$2=Z5),'2025DATA'!$K$30,"")</f>
        <v/>
      </c>
      <c r="AA33" s="518" t="str">
        <f>IF(AND(_A1="A-320",'2025'!$D$4="FO",'2025'!$D$2=AA5),'2025DATA'!$L$30,"")</f>
        <v/>
      </c>
      <c r="AB33" s="518" t="str">
        <f>IF(AND(_A1="A-320",'2025'!$D$4="FO",'2025'!$D$2=AB5),'2025DATA'!$M$30,"")</f>
        <v/>
      </c>
      <c r="AC33" s="520" t="str">
        <f>IF(AND(_A1="A-320",'2025'!$D$4="FO",'2025'!$D$2=AC5),'2025DATA'!$N$30,"")</f>
        <v/>
      </c>
      <c r="AD33" s="940"/>
      <c r="AE33" s="13" t="s">
        <v>62</v>
      </c>
      <c r="AF33" s="518" t="str">
        <f>IF(AND(_A2="A-320",'2025'!$D$4="FO",'2025'!$D$2=AF5),'2025DATA'!$C$30,"")</f>
        <v/>
      </c>
      <c r="AG33" s="518" t="str">
        <f>IF(AND(_A2="A-320",'2025'!$D$4="FO",'2025'!$D$2=AG5),'2025DATA'!$D$30,"")</f>
        <v/>
      </c>
      <c r="AH33" s="518" t="str">
        <f>IF(AND(_A2="A-320",'2025'!$D$4="FO",'2025'!$D$2=AH5),'2025DATA'!$E$30,"")</f>
        <v/>
      </c>
      <c r="AI33" s="518" t="str">
        <f>IF(AND(_A2="A-320",'2025'!$D$4="FO",'2025'!$D$2=AI5),'2025DATA'!$F$30,"")</f>
        <v/>
      </c>
      <c r="AJ33" s="518" t="str">
        <f>IF(AND(_A2="A-320",'2025'!$D$4="FO",'2025'!$D$2=AJ5),'2025DATA'!$G$30,"")</f>
        <v/>
      </c>
      <c r="AK33" s="518" t="str">
        <f>IF(AND(_A2="A-320",'2025'!$D$4="FO",'2025'!$D$2=AK5),'2025DATA'!$H$30,"")</f>
        <v/>
      </c>
      <c r="AL33" s="518" t="str">
        <f>IF(AND(_A2="A-320",'2025'!$D$4="FO",'2025'!$D$2=AL5),'2025DATA'!$I$30,"")</f>
        <v/>
      </c>
      <c r="AM33" s="518" t="str">
        <f>IF(AND(_A2="A-320",'2025'!$D$4="FO",'2025'!$D$2=AM5),'2025DATA'!$J$30,"")</f>
        <v/>
      </c>
      <c r="AN33" s="518" t="str">
        <f>IF(AND(_A2="A-320",'2025'!$D$4="FO",'2025'!$D$2=AN5),'2025DATA'!$K$30,"")</f>
        <v/>
      </c>
      <c r="AO33" s="518" t="str">
        <f>IF(AND(_A2="A-320",'2025'!$D$4="FO",'2025'!$D$2=AO5),'2025DATA'!$L$30,"")</f>
        <v/>
      </c>
      <c r="AP33" s="518" t="str">
        <f>IF(AND(_A2="A-320",'2025'!$D$4="FO",'2025'!$D$2=AP5),'2025DATA'!$M$30,"")</f>
        <v/>
      </c>
      <c r="AQ33" s="520" t="str">
        <f>IF(AND(_A2="A-320",'2025'!$D$4="FO",'2025'!$D$2=AQ5),'2025DATA'!$N$30,"")</f>
        <v/>
      </c>
      <c r="AR33" s="940"/>
      <c r="AS33" s="13" t="s">
        <v>62</v>
      </c>
      <c r="AT33" s="518" t="str">
        <f>IF(AND(_A3="A-320",'2025'!$D$4="FO",'2025'!$D$2=AT5),'2025DATA'!$C$30,"")</f>
        <v/>
      </c>
      <c r="AU33" s="518" t="str">
        <f>IF(AND(_A3="A-320",'2025'!$D$4="FO",'2025'!$D$2=AU5),'2025DATA'!$D$30,"")</f>
        <v/>
      </c>
      <c r="AV33" s="518" t="str">
        <f>IF(AND(_A3="A-320",'2025'!$D$4="FO",'2025'!$D$2=AV5),'2025DATA'!$E$30,"")</f>
        <v/>
      </c>
      <c r="AW33" s="518" t="str">
        <f>IF(AND(_A3="A-320",'2025'!$D$4="FO",'2025'!$D$2=AW5),'2025DATA'!$F$30,"")</f>
        <v/>
      </c>
      <c r="AX33" s="518" t="str">
        <f>IF(AND(_A3="A-320",'2025'!$D$4="FO",'2025'!$D$2=AX5),'2025DATA'!$G$30,"")</f>
        <v/>
      </c>
      <c r="AY33" s="518" t="str">
        <f>IF(AND(_A3="A-320",'2025'!$D$4="FO",'2025'!$D$2=AY5),'2025DATA'!$H$30,"")</f>
        <v/>
      </c>
      <c r="AZ33" s="518" t="str">
        <f>IF(AND(_A3="A-320",'2025'!$D$4="FO",'2025'!$D$2=AZ5),'2025DATA'!$I$30,"")</f>
        <v/>
      </c>
      <c r="BA33" s="518" t="str">
        <f>IF(AND(_A3="A-320",'2025'!$D$4="FO",'2025'!$D$2=BA5),'2025DATA'!$J$30,"")</f>
        <v/>
      </c>
      <c r="BB33" s="518" t="str">
        <f>IF(AND(_A3="A-320",'2025'!$D$4="FO",'2025'!$D$2=BB5),'2025DATA'!$K$30,"")</f>
        <v/>
      </c>
      <c r="BC33" s="518" t="str">
        <f>IF(AND(_A3="A-320",'2025'!$D$4="FO",'2025'!$D$2=BC5),'2025DATA'!$L$30,"")</f>
        <v/>
      </c>
      <c r="BD33" s="518" t="str">
        <f>IF(AND(_A3="A-320",'2025'!$D$4="FO",'2025'!$D$2=BD5),'2025DATA'!$M$30,"")</f>
        <v/>
      </c>
      <c r="BE33" s="520" t="str">
        <f>IF(AND(_A3="A-320",'2025'!$D$4="FO",'2025'!$D$2=BE5),'2025DATA'!$N$30,"")</f>
        <v/>
      </c>
      <c r="BF33" s="940"/>
      <c r="BG33" s="13" t="s">
        <v>62</v>
      </c>
      <c r="BH33" s="518" t="str">
        <f>IF(AND(_A4="A-320",'2025'!$D$4="FO",'2025'!$D$2=BH5),'2025DATA'!$C$30,"")</f>
        <v/>
      </c>
      <c r="BI33" s="518" t="str">
        <f>IF(AND(_A4="A-320",'2025'!$D$4="FO",'2025'!$D$2=BI5),'2025DATA'!$D$30,"")</f>
        <v/>
      </c>
      <c r="BJ33" s="518" t="str">
        <f>IF(AND(_A4="A-320",'2025'!$D$4="FO",'2025'!$D$2=BJ5),'2025DATA'!$E$30,"")</f>
        <v/>
      </c>
      <c r="BK33" s="518" t="str">
        <f>IF(AND(_A4="A-320",'2025'!$D$4="FO",'2025'!$D$2=BK5),'2025DATA'!$F$30,"")</f>
        <v/>
      </c>
      <c r="BL33" s="518" t="str">
        <f>IF(AND(_A4="A-320",'2025'!$D$4="FO",'2025'!$D$2=BL5),'2025DATA'!$G$30,"")</f>
        <v/>
      </c>
      <c r="BM33" s="518" t="str">
        <f>IF(AND(_A4="A-320",'2025'!$D$4="FO",'2025'!$D$2=BM5),'2025DATA'!$H$30,"")</f>
        <v/>
      </c>
      <c r="BN33" s="518" t="str">
        <f>IF(AND(_A4="A-320",'2025'!$D$4="FO",'2025'!$D$2=BN5),'2025DATA'!$I$30,"")</f>
        <v/>
      </c>
      <c r="BO33" s="518" t="str">
        <f>IF(AND(_A4="A-320",'2025'!$D$4="FO",'2025'!$D$2=BO5),'2025DATA'!$J$30,"")</f>
        <v/>
      </c>
      <c r="BP33" s="518" t="str">
        <f>IF(AND(_A4="A-320",'2025'!$D$4="FO",'2025'!$D$2=BP5),'2025DATA'!$K$30,"")</f>
        <v/>
      </c>
      <c r="BQ33" s="518" t="str">
        <f>IF(AND(_A4="A-320",'2025'!$D$4="FO",'2025'!$D$2=BQ5),'2025DATA'!$L$30,"")</f>
        <v/>
      </c>
      <c r="BR33" s="518" t="str">
        <f>IF(AND(_A4="A-320",'2025'!$D$4="FO",'2025'!$D$2=BR5),'2025DATA'!$M$30,"")</f>
        <v/>
      </c>
      <c r="BS33" s="520" t="str">
        <f>IF(AND(_A4="A-320",'2025'!$D$4="FO",'2025'!$D$2=BS5),'2025DATA'!$N$30,"")</f>
        <v/>
      </c>
      <c r="BT33" s="940"/>
      <c r="BU33" s="13" t="s">
        <v>62</v>
      </c>
      <c r="BV33" s="518" t="str">
        <f>IF(AND(_A5="A-320",'2025'!$D$4="FO",'2025'!$D$2=BV5),'2025DATA'!$C$30,"")</f>
        <v/>
      </c>
      <c r="BW33" s="518" t="str">
        <f>IF(AND(_A5="A-320",'2025'!$D$4="FO",'2025'!$D$2=BW5),'2025DATA'!$D$30,"")</f>
        <v/>
      </c>
      <c r="BX33" s="518" t="str">
        <f>IF(AND(_A5="A-320",'2025'!$D$4="FO",'2025'!$D$2=BX5),'2025DATA'!$E$30,"")</f>
        <v/>
      </c>
      <c r="BY33" s="518" t="str">
        <f>IF(AND(_A5="A-320",'2025'!$D$4="FO",'2025'!$D$2=BY5),'2025DATA'!$F$30,"")</f>
        <v/>
      </c>
      <c r="BZ33" s="518" t="str">
        <f>IF(AND(_A5="A-320",'2025'!$D$4="FO",'2025'!$D$2=BZ5),'2025DATA'!$G$30,"")</f>
        <v/>
      </c>
      <c r="CA33" s="518" t="str">
        <f>IF(AND(_A5="A-320",'2025'!$D$4="FO",'2025'!$D$2=CA5),'2025DATA'!$H$30,"")</f>
        <v/>
      </c>
      <c r="CB33" s="518" t="str">
        <f>IF(AND(_A5="A-320",'2025'!$D$4="FO",'2025'!$D$2=CB5),'2025DATA'!$I$30,"")</f>
        <v/>
      </c>
      <c r="CC33" s="518" t="str">
        <f>IF(AND(_A5="A-320",'2025'!$D$4="FO",'2025'!$D$2=CC5),'2025DATA'!$J$30,"")</f>
        <v/>
      </c>
      <c r="CD33" s="518" t="str">
        <f>IF(AND(_A5="A-320",'2025'!$D$4="FO",'2025'!$D$2=CD5),'2025DATA'!$K$30,"")</f>
        <v/>
      </c>
      <c r="CE33" s="518" t="str">
        <f>IF(AND(_A5="A-320",'2025'!$D$4="FO",'2025'!$D$2=CE5),'2025DATA'!$L$30,"")</f>
        <v/>
      </c>
      <c r="CF33" s="518" t="str">
        <f>IF(AND(_A5="A-320",'2025'!$D$4="FO",'2025'!$D$2=CF5),'2025DATA'!$M$30,"")</f>
        <v/>
      </c>
      <c r="CG33" s="520" t="str">
        <f>IF(AND(_A5="A-320",'2025'!$D$4="FO",'2025'!$D$2=CG5),'2025DATA'!$N$30,"")</f>
        <v/>
      </c>
      <c r="CH33" s="940"/>
      <c r="CI33" s="13" t="s">
        <v>62</v>
      </c>
      <c r="CJ33" s="518" t="str">
        <f>IF(AND(_A6="A-320",'2025'!$D$4="FO",'2025'!$D$2=CJ5),'2025DATA'!$C$30,"")</f>
        <v/>
      </c>
      <c r="CK33" s="518" t="str">
        <f>IF(AND(_A6="A-320",'2025'!$D$4="FO",'2025'!$D$2=CK5),'2025DATA'!$D$30,"")</f>
        <v/>
      </c>
      <c r="CL33" s="518" t="str">
        <f>IF(AND(_A6="A-320",'2025'!$D$4="FO",'2025'!$D$2=CL5),'2025DATA'!$E$30,"")</f>
        <v/>
      </c>
      <c r="CM33" s="518" t="str">
        <f>IF(AND(_A6="A-320",'2025'!$D$4="FO",'2025'!$D$2=CM5),'2025DATA'!$F$30,"")</f>
        <v/>
      </c>
      <c r="CN33" s="518" t="str">
        <f>IF(AND(_A6="A-320",'2025'!$D$4="FO",'2025'!$D$2=CN5),'2025DATA'!$G$30,"")</f>
        <v/>
      </c>
      <c r="CO33" s="518" t="str">
        <f>IF(AND(_A6="A-320",'2025'!$D$4="FO",'2025'!$D$2=CO5),'2025DATA'!$H$30,"")</f>
        <v/>
      </c>
      <c r="CP33" s="518" t="str">
        <f>IF(AND(_A6="A-320",'2025'!$D$4="FO",'2025'!$D$2=CP5),'2025DATA'!$I$30,"")</f>
        <v/>
      </c>
      <c r="CQ33" s="518" t="str">
        <f>IF(AND(_A6="A-320",'2025'!$D$4="FO",'2025'!$D$2=CQ5),'2025DATA'!$J$30,"")</f>
        <v/>
      </c>
      <c r="CR33" s="518" t="str">
        <f>IF(AND(_A6="A-320",'2025'!$D$4="FO",'2025'!$D$2=CR5),'2025DATA'!$K$30,"")</f>
        <v/>
      </c>
      <c r="CS33" s="518" t="str">
        <f>IF(AND(_A6="A-320",'2025'!$D$4="FO",'2025'!$D$2=CS5),'2025DATA'!$L$30,"")</f>
        <v/>
      </c>
      <c r="CT33" s="518" t="str">
        <f>IF(AND(_A6="A-320",'2025'!$D$4="FO",'2025'!$D$2=CT5),'2025DATA'!$M$30,"")</f>
        <v/>
      </c>
      <c r="CU33" s="520" t="str">
        <f>IF(AND(_A6="A-320",'2025'!$D$4="FO",'2025'!$D$2=CU5),'2025DATA'!$N$30,"")</f>
        <v/>
      </c>
    </row>
    <row r="34" spans="1:99" x14ac:dyDescent="0.25">
      <c r="A34" s="987"/>
      <c r="B34" s="64" t="s">
        <v>62</v>
      </c>
      <c r="C34" s="28">
        <v>246.05</v>
      </c>
      <c r="D34" s="29">
        <v>243.83</v>
      </c>
      <c r="E34" s="29">
        <v>241.63</v>
      </c>
      <c r="F34" s="29">
        <v>238.36</v>
      </c>
      <c r="G34" s="29">
        <v>235.8</v>
      </c>
      <c r="H34" s="29">
        <v>230.5</v>
      </c>
      <c r="I34" s="29">
        <v>224.21</v>
      </c>
      <c r="J34" s="29">
        <v>218.7</v>
      </c>
      <c r="K34" s="29">
        <v>213.55</v>
      </c>
      <c r="L34" s="29">
        <v>208.5</v>
      </c>
      <c r="M34" s="29">
        <v>178.18</v>
      </c>
      <c r="N34" s="30">
        <v>120.69</v>
      </c>
      <c r="P34" s="940" t="s">
        <v>71</v>
      </c>
      <c r="Q34" s="13" t="s">
        <v>61</v>
      </c>
      <c r="R34" s="518" t="str">
        <f>IF(AND(_A1="A-319",'2025'!$D$4="CA",'2025'!$D$2=R5),'2025DATA'!$C$31,"")</f>
        <v/>
      </c>
      <c r="S34" s="518" t="str">
        <f>IF(AND(_A1="A-319",'2025'!$D$4="CA",'2025'!$D$2=S5),'2025DATA'!$D$31,"")</f>
        <v/>
      </c>
      <c r="T34" s="518" t="str">
        <f>IF(AND(_A1="A-319",'2025'!$D$4="CA",'2025'!$D$2=T5),'2025DATA'!$E$31,"")</f>
        <v/>
      </c>
      <c r="U34" s="518" t="str">
        <f>IF(AND(_A1="A-319",'2025'!$D$4="CA",'2025'!$D$2=U5),'2025DATA'!$F$31,"")</f>
        <v/>
      </c>
      <c r="V34" s="518" t="str">
        <f>IF(AND(_A1="A-319",'2025'!$D$4="CA",'2025'!$D$2=V5),'2025DATA'!$G$31,"")</f>
        <v/>
      </c>
      <c r="W34" s="518" t="str">
        <f>IF(AND(_A1="A-319",'2025'!$D$4="CA",'2025'!$D$2=W5),'2025DATA'!$H$31,"")</f>
        <v/>
      </c>
      <c r="X34" s="518" t="str">
        <f>IF(AND(_A1="A-319",'2025'!$D$4="CA",'2025'!$D$2=X5),'2025DATA'!$I$31,"")</f>
        <v/>
      </c>
      <c r="Y34" s="518" t="str">
        <f>IF(AND(_A1="A-319",'2025'!$D$4="CA",'2025'!$D$2=Y5),'2025DATA'!$J$31,"")</f>
        <v/>
      </c>
      <c r="Z34" s="518" t="str">
        <f>IF(AND(_A1="A-319",'2025'!$D$4="CA",'2025'!$D$2=Z5),'2025DATA'!$K$31,"")</f>
        <v/>
      </c>
      <c r="AA34" s="518" t="str">
        <f>IF(AND(_A1="A-319",'2025'!$D$4="CA",'2025'!$D$2=AA5),'2025DATA'!$L$31,"")</f>
        <v/>
      </c>
      <c r="AB34" s="518" t="str">
        <f>IF(AND(_A1="A-319",'2025'!$D$4="CA",'2025'!$D$2=AB5),'2025DATA'!$M$31,"")</f>
        <v/>
      </c>
      <c r="AC34" s="520" t="str">
        <f>IF(AND(_A1="A-319",'2025'!$D$4="CA",'2025'!$D$2=AC5),'2025DATA'!$N$31,"")</f>
        <v/>
      </c>
      <c r="AD34" s="940" t="s">
        <v>71</v>
      </c>
      <c r="AE34" s="13" t="s">
        <v>61</v>
      </c>
      <c r="AF34" s="518" t="str">
        <f>IF(AND(_A2="A-319",'2025'!$D$4="CA",'2025'!$D$2=AF5),'2025DATA'!$C$31,"")</f>
        <v/>
      </c>
      <c r="AG34" s="518" t="str">
        <f>IF(AND(_A2="A-319",'2025'!$D$4="CA",'2025'!$D$2=AG5),'2025DATA'!$D$31,"")</f>
        <v/>
      </c>
      <c r="AH34" s="518" t="str">
        <f>IF(AND(_A2="A-319",'2025'!$D$4="CA",'2025'!$D$2=AH5),'2025DATA'!$E$31,"")</f>
        <v/>
      </c>
      <c r="AI34" s="518" t="str">
        <f>IF(AND(_A2="A-319",'2025'!$D$4="CA",'2025'!$D$2=AI5),'2025DATA'!$F$31,"")</f>
        <v/>
      </c>
      <c r="AJ34" s="518" t="str">
        <f>IF(AND(_A2="A-319",'2025'!$D$4="CA",'2025'!$D$2=AJ5),'2025DATA'!$G$31,"")</f>
        <v/>
      </c>
      <c r="AK34" s="518" t="str">
        <f>IF(AND(_A2="A-319",'2025'!$D$4="CA",'2025'!$D$2=AK5),'2025DATA'!$H$31,"")</f>
        <v/>
      </c>
      <c r="AL34" s="518" t="str">
        <f>IF(AND(_A2="A-319",'2025'!$D$4="CA",'2025'!$D$2=AL5),'2025DATA'!$I$31,"")</f>
        <v/>
      </c>
      <c r="AM34" s="518" t="str">
        <f>IF(AND(_A2="A-319",'2025'!$D$4="CA",'2025'!$D$2=AM5),'2025DATA'!$J$31,"")</f>
        <v/>
      </c>
      <c r="AN34" s="518" t="str">
        <f>IF(AND(_A2="A-319",'2025'!$D$4="CA",'2025'!$D$2=AN5),'2025DATA'!$K$31,"")</f>
        <v/>
      </c>
      <c r="AO34" s="518" t="str">
        <f>IF(AND(_A2="A-319",'2025'!$D$4="CA",'2025'!$D$2=AO5),'2025DATA'!$L$31,"")</f>
        <v/>
      </c>
      <c r="AP34" s="518" t="str">
        <f>IF(AND(_A2="A-319",'2025'!$D$4="CA",'2025'!$D$2=AP5),'2025DATA'!$M$31,"")</f>
        <v/>
      </c>
      <c r="AQ34" s="520" t="str">
        <f>IF(AND(_A2="A-319",'2025'!$D$4="CA",'2025'!$D$2=AQ5),'2025DATA'!$N$31,"")</f>
        <v/>
      </c>
      <c r="AR34" s="940" t="s">
        <v>71</v>
      </c>
      <c r="AS34" s="13" t="s">
        <v>61</v>
      </c>
      <c r="AT34" s="518" t="str">
        <f>IF(AND(_A3="A-319",'2025'!$D$4="CA",'2025'!$D$2=AT5),'2025DATA'!$C$31,"")</f>
        <v/>
      </c>
      <c r="AU34" s="518" t="str">
        <f>IF(AND(_A3="A-319",'2025'!$D$4="CA",'2025'!$D$2=AU5),'2025DATA'!$D$31,"")</f>
        <v/>
      </c>
      <c r="AV34" s="518" t="str">
        <f>IF(AND(_A3="A-319",'2025'!$D$4="CA",'2025'!$D$2=AV5),'2025DATA'!$E$31,"")</f>
        <v/>
      </c>
      <c r="AW34" s="518" t="str">
        <f>IF(AND(_A3="A-319",'2025'!$D$4="CA",'2025'!$D$2=AW5),'2025DATA'!$F$31,"")</f>
        <v/>
      </c>
      <c r="AX34" s="518" t="str">
        <f>IF(AND(_A3="A-319",'2025'!$D$4="CA",'2025'!$D$2=AX5),'2025DATA'!$G$31,"")</f>
        <v/>
      </c>
      <c r="AY34" s="518" t="str">
        <f>IF(AND(_A3="A-319",'2025'!$D$4="CA",'2025'!$D$2=AY5),'2025DATA'!$H$31,"")</f>
        <v/>
      </c>
      <c r="AZ34" s="518" t="str">
        <f>IF(AND(_A3="A-319",'2025'!$D$4="CA",'2025'!$D$2=AZ5),'2025DATA'!$I$31,"")</f>
        <v/>
      </c>
      <c r="BA34" s="518" t="str">
        <f>IF(AND(_A3="A-319",'2025'!$D$4="CA",'2025'!$D$2=BA5),'2025DATA'!$J$31,"")</f>
        <v/>
      </c>
      <c r="BB34" s="518" t="str">
        <f>IF(AND(_A3="A-319",'2025'!$D$4="CA",'2025'!$D$2=BB5),'2025DATA'!$K$31,"")</f>
        <v/>
      </c>
      <c r="BC34" s="518" t="str">
        <f>IF(AND(_A3="A-319",'2025'!$D$4="CA",'2025'!$D$2=BC5),'2025DATA'!$L$31,"")</f>
        <v/>
      </c>
      <c r="BD34" s="518" t="str">
        <f>IF(AND(_A3="A-319",'2025'!$D$4="CA",'2025'!$D$2=BD5),'2025DATA'!$M$31,"")</f>
        <v/>
      </c>
      <c r="BE34" s="520" t="str">
        <f>IF(AND(_A3="A-319",'2025'!$D$4="CA",'2025'!$D$2=BE5),'2025DATA'!$N$31,"")</f>
        <v/>
      </c>
      <c r="BF34" s="940" t="s">
        <v>71</v>
      </c>
      <c r="BG34" s="13" t="s">
        <v>61</v>
      </c>
      <c r="BH34" s="518" t="str">
        <f>IF(AND(_A4="A-319",'2025'!$D$4="CA",'2025'!$D$2=BH5),'2025DATA'!$C$31,"")</f>
        <v/>
      </c>
      <c r="BI34" s="518" t="str">
        <f>IF(AND(_A4="A-319",'2025'!$D$4="CA",'2025'!$D$2=BI5),'2025DATA'!$D$31,"")</f>
        <v/>
      </c>
      <c r="BJ34" s="518" t="str">
        <f>IF(AND(_A4="A-319",'2025'!$D$4="CA",'2025'!$D$2=BJ5),'2025DATA'!$E$31,"")</f>
        <v/>
      </c>
      <c r="BK34" s="518" t="str">
        <f>IF(AND(_A4="A-319",'2025'!$D$4="CA",'2025'!$D$2=BK5),'2025DATA'!$F$31,"")</f>
        <v/>
      </c>
      <c r="BL34" s="518" t="str">
        <f>IF(AND(_A4="A-319",'2025'!$D$4="CA",'2025'!$D$2=BL5),'2025DATA'!$G$31,"")</f>
        <v/>
      </c>
      <c r="BM34" s="518" t="str">
        <f>IF(AND(_A4="A-319",'2025'!$D$4="CA",'2025'!$D$2=BM5),'2025DATA'!$H$31,"")</f>
        <v/>
      </c>
      <c r="BN34" s="518" t="str">
        <f>IF(AND(_A4="A-319",'2025'!$D$4="CA",'2025'!$D$2=BN5),'2025DATA'!$I$31,"")</f>
        <v/>
      </c>
      <c r="BO34" s="518" t="str">
        <f>IF(AND(_A4="A-319",'2025'!$D$4="CA",'2025'!$D$2=BO5),'2025DATA'!$J$31,"")</f>
        <v/>
      </c>
      <c r="BP34" s="518" t="str">
        <f>IF(AND(_A4="A-319",'2025'!$D$4="CA",'2025'!$D$2=BP5),'2025DATA'!$K$31,"")</f>
        <v/>
      </c>
      <c r="BQ34" s="518" t="str">
        <f>IF(AND(_A4="A-319",'2025'!$D$4="CA",'2025'!$D$2=BQ5),'2025DATA'!$L$31,"")</f>
        <v/>
      </c>
      <c r="BR34" s="518" t="str">
        <f>IF(AND(_A4="A-319",'2025'!$D$4="CA",'2025'!$D$2=BR5),'2025DATA'!$M$31,"")</f>
        <v/>
      </c>
      <c r="BS34" s="520" t="str">
        <f>IF(AND(_A4="A-319",'2025'!$D$4="CA",'2025'!$D$2=BS5),'2025DATA'!$N$31,"")</f>
        <v/>
      </c>
      <c r="BT34" s="940" t="s">
        <v>71</v>
      </c>
      <c r="BU34" s="13" t="s">
        <v>61</v>
      </c>
      <c r="BV34" s="518" t="str">
        <f>IF(AND(_A5="A-319",'2025'!$D$4="CA",'2025'!$D$2=BV5),'2025DATA'!$C$31,"")</f>
        <v/>
      </c>
      <c r="BW34" s="518" t="str">
        <f>IF(AND(_A5="A-319",'2025'!$D$4="CA",'2025'!$D$2=BW5),'2025DATA'!$D$31,"")</f>
        <v/>
      </c>
      <c r="BX34" s="518" t="str">
        <f>IF(AND(_A5="A-319",'2025'!$D$4="CA",'2025'!$D$2=BX5),'2025DATA'!$E$31,"")</f>
        <v/>
      </c>
      <c r="BY34" s="518" t="str">
        <f>IF(AND(_A5="A-319",'2025'!$D$4="CA",'2025'!$D$2=BY5),'2025DATA'!$F$31,"")</f>
        <v/>
      </c>
      <c r="BZ34" s="518" t="str">
        <f>IF(AND(_A5="A-319",'2025'!$D$4="CA",'2025'!$D$2=BZ5),'2025DATA'!$G$31,"")</f>
        <v/>
      </c>
      <c r="CA34" s="518" t="str">
        <f>IF(AND(_A5="A-319",'2025'!$D$4="CA",'2025'!$D$2=CA5),'2025DATA'!$H$31,"")</f>
        <v/>
      </c>
      <c r="CB34" s="518" t="str">
        <f>IF(AND(_A5="A-319",'2025'!$D$4="CA",'2025'!$D$2=CB5),'2025DATA'!$I$31,"")</f>
        <v/>
      </c>
      <c r="CC34" s="518" t="str">
        <f>IF(AND(_A5="A-319",'2025'!$D$4="CA",'2025'!$D$2=CC5),'2025DATA'!$J$31,"")</f>
        <v/>
      </c>
      <c r="CD34" s="518" t="str">
        <f>IF(AND(_A5="A-319",'2025'!$D$4="CA",'2025'!$D$2=CD5),'2025DATA'!$K$31,"")</f>
        <v/>
      </c>
      <c r="CE34" s="518" t="str">
        <f>IF(AND(_A5="A-319",'2025'!$D$4="CA",'2025'!$D$2=CE5),'2025DATA'!$L$31,"")</f>
        <v/>
      </c>
      <c r="CF34" s="518" t="str">
        <f>IF(AND(_A5="A-319",'2025'!$D$4="CA",'2025'!$D$2=CF5),'2025DATA'!$M$31,"")</f>
        <v/>
      </c>
      <c r="CG34" s="520" t="str">
        <f>IF(AND(_A5="A-319",'2025'!$D$4="CA",'2025'!$D$2=CG5),'2025DATA'!$N$31,"")</f>
        <v/>
      </c>
      <c r="CH34" s="940" t="s">
        <v>71</v>
      </c>
      <c r="CI34" s="13" t="s">
        <v>61</v>
      </c>
      <c r="CJ34" s="518" t="str">
        <f>IF(AND(_A6="A-319",'2025'!$D$4="CA",'2025'!$D$2=CJ5),'2025DATA'!$C$31,"")</f>
        <v/>
      </c>
      <c r="CK34" s="518" t="str">
        <f>IF(AND(_A6="A-319",'2025'!$D$4="CA",'2025'!$D$2=CK5),'2025DATA'!$D$31,"")</f>
        <v/>
      </c>
      <c r="CL34" s="518" t="str">
        <f>IF(AND(_A6="A-319",'2025'!$D$4="CA",'2025'!$D$2=CL5),'2025DATA'!$E$31,"")</f>
        <v/>
      </c>
      <c r="CM34" s="518" t="str">
        <f>IF(AND(_A6="A-319",'2025'!$D$4="CA",'2025'!$D$2=CM5),'2025DATA'!$F$31,"")</f>
        <v/>
      </c>
      <c r="CN34" s="518" t="str">
        <f>IF(AND(_A6="A-319",'2025'!$D$4="CA",'2025'!$D$2=CN5),'2025DATA'!$G$31,"")</f>
        <v/>
      </c>
      <c r="CO34" s="518" t="str">
        <f>IF(AND(_A6="A-319",'2025'!$D$4="CA",'2025'!$D$2=CO5),'2025DATA'!$H$31,"")</f>
        <v/>
      </c>
      <c r="CP34" s="518" t="str">
        <f>IF(AND(_A6="A-319",'2025'!$D$4="CA",'2025'!$D$2=CP5),'2025DATA'!$I$31,"")</f>
        <v/>
      </c>
      <c r="CQ34" s="518" t="str">
        <f>IF(AND(_A6="A-319",'2025'!$D$4="CA",'2025'!$D$2=CQ5),'2025DATA'!$J$31,"")</f>
        <v/>
      </c>
      <c r="CR34" s="518" t="str">
        <f>IF(AND(_A6="A-319",'2025'!$D$4="CA",'2025'!$D$2=CR5),'2025DATA'!$K$31,"")</f>
        <v/>
      </c>
      <c r="CS34" s="518" t="str">
        <f>IF(AND(_A6="A-319",'2025'!$D$4="CA",'2025'!$D$2=CS5),'2025DATA'!$L$31,"")</f>
        <v/>
      </c>
      <c r="CT34" s="518" t="str">
        <f>IF(AND(_A6="A-319",'2025'!$D$4="CA",'2025'!$D$2=CT5),'2025DATA'!$M$31,"")</f>
        <v/>
      </c>
      <c r="CU34" s="520" t="str">
        <f>IF(AND(_A6="A-319",'2025'!$D$4="CA",'2025'!$D$2=CU5),'2025DATA'!$N$31,"")</f>
        <v/>
      </c>
    </row>
    <row r="35" spans="1:99" x14ac:dyDescent="0.25">
      <c r="A35" s="987" t="s">
        <v>52</v>
      </c>
      <c r="B35" s="64" t="s">
        <v>61</v>
      </c>
      <c r="C35" s="28">
        <v>345.5</v>
      </c>
      <c r="D35" s="29">
        <v>342.88</v>
      </c>
      <c r="E35" s="29">
        <v>340.24</v>
      </c>
      <c r="F35" s="29">
        <v>337.62</v>
      </c>
      <c r="G35" s="29">
        <v>335.04</v>
      </c>
      <c r="H35" s="29">
        <v>332.43</v>
      </c>
      <c r="I35" s="29">
        <v>329.86</v>
      </c>
      <c r="J35" s="29">
        <v>327.20999999999998</v>
      </c>
      <c r="K35" s="29">
        <v>324.58999999999997</v>
      </c>
      <c r="L35" s="29">
        <v>321.97000000000003</v>
      </c>
      <c r="M35" s="29">
        <v>319.41000000000003</v>
      </c>
      <c r="N35" s="30">
        <v>316.77999999999997</v>
      </c>
      <c r="P35" s="940"/>
      <c r="Q35" s="13" t="s">
        <v>62</v>
      </c>
      <c r="R35" s="518" t="str">
        <f>IF(AND(_A1="A-319",'2025'!$D$4="FO",'2025'!$D$2=R5),'2025DATA'!$C$32,"")</f>
        <v/>
      </c>
      <c r="S35" s="518" t="str">
        <f>IF(AND(_A1="A-319",'2025'!$D$4="FO",'2025'!$D$2=S5),'2025DATA'!$D$32,"")</f>
        <v/>
      </c>
      <c r="T35" s="518" t="str">
        <f>IF(AND(_A1="A-319",'2025'!$D$4="FO",'2025'!$D$2=T5),'2025DATA'!$E$32,"")</f>
        <v/>
      </c>
      <c r="U35" s="518" t="str">
        <f>IF(AND(_A1="A-319",'2025'!$D$4="FO",'2025'!$D$2=U5),'2025DATA'!$F$32,"")</f>
        <v/>
      </c>
      <c r="V35" s="518" t="str">
        <f>IF(AND(_A1="A-319",'2025'!$D$4="FO",'2025'!$D$2=V5),'2025DATA'!$G$32,"")</f>
        <v/>
      </c>
      <c r="W35" s="518" t="str">
        <f>IF(AND(_A1="A-319",'2025'!$D$4="FO",'2025'!$D$2=W5),'2025DATA'!$H$32,"")</f>
        <v/>
      </c>
      <c r="X35" s="518" t="str">
        <f>IF(AND(_A1="A-319",'2025'!$D$4="FO",'2025'!$D$2=X5),'2025DATA'!$I$32,"")</f>
        <v/>
      </c>
      <c r="Y35" s="518" t="str">
        <f>IF(AND(_A1="A-319",'2025'!$D$4="FO",'2025'!$D$2=Y5),'2025DATA'!$J$32,"")</f>
        <v/>
      </c>
      <c r="Z35" s="518" t="str">
        <f>IF(AND(_A1="A-319",'2025'!$D$4="FO",'2025'!$D$2=Z5),'2025DATA'!$K$32,"")</f>
        <v/>
      </c>
      <c r="AA35" s="518" t="str">
        <f>IF(AND(_A1="A-319",'2025'!$D$4="FO",'2025'!$D$2=AA5),'2025DATA'!$L$32,"")</f>
        <v/>
      </c>
      <c r="AB35" s="518" t="str">
        <f>IF(AND(_A1="A-319",'2025'!$D$4="FO",'2025'!$D$2=AB5),'2025DATA'!$M$32,"")</f>
        <v/>
      </c>
      <c r="AC35" s="520" t="str">
        <f>IF(AND(_A1="A-319",'2025'!$D$4="FO",'2025'!$D$2=AC5),'2025DATA'!$N$32,"")</f>
        <v/>
      </c>
      <c r="AD35" s="940"/>
      <c r="AE35" s="13" t="s">
        <v>62</v>
      </c>
      <c r="AF35" s="518" t="str">
        <f>IF(AND(_A2="A-319",'2025'!$D$4="FO",'2025'!$D$2=AF5),'2025DATA'!$C$32,"")</f>
        <v/>
      </c>
      <c r="AG35" s="518" t="str">
        <f>IF(AND(_A2="A-319",'2025'!$D$4="FO",'2025'!$D$2=AG5),'2025DATA'!$D$32,"")</f>
        <v/>
      </c>
      <c r="AH35" s="518" t="str">
        <f>IF(AND(_A2="A-319",'2025'!$D$4="FO",'2025'!$D$2=AH5),'2025DATA'!$E$32,"")</f>
        <v/>
      </c>
      <c r="AI35" s="518" t="str">
        <f>IF(AND(_A2="A-319",'2025'!$D$4="FO",'2025'!$D$2=AI5),'2025DATA'!$F$32,"")</f>
        <v/>
      </c>
      <c r="AJ35" s="518" t="str">
        <f>IF(AND(_A2="A-319",'2025'!$D$4="FO",'2025'!$D$2=AJ5),'2025DATA'!$G$32,"")</f>
        <v/>
      </c>
      <c r="AK35" s="518" t="str">
        <f>IF(AND(_A2="A-319",'2025'!$D$4="FO",'2025'!$D$2=AK5),'2025DATA'!$H$32,"")</f>
        <v/>
      </c>
      <c r="AL35" s="518" t="str">
        <f>IF(AND(_A2="A-319",'2025'!$D$4="FO",'2025'!$D$2=AL5),'2025DATA'!$I$32,"")</f>
        <v/>
      </c>
      <c r="AM35" s="518" t="str">
        <f>IF(AND(_A2="A-319",'2025'!$D$4="FO",'2025'!$D$2=AM5),'2025DATA'!$J$32,"")</f>
        <v/>
      </c>
      <c r="AN35" s="518" t="str">
        <f>IF(AND(_A2="A-319",'2025'!$D$4="FO",'2025'!$D$2=AN5),'2025DATA'!$K$32,"")</f>
        <v/>
      </c>
      <c r="AO35" s="518" t="str">
        <f>IF(AND(_A2="A-319",'2025'!$D$4="FO",'2025'!$D$2=AO5),'2025DATA'!$L$32,"")</f>
        <v/>
      </c>
      <c r="AP35" s="518" t="str">
        <f>IF(AND(_A2="A-319",'2025'!$D$4="FO",'2025'!$D$2=AP5),'2025DATA'!$M$32,"")</f>
        <v/>
      </c>
      <c r="AQ35" s="520" t="str">
        <f>IF(AND(_A2="A-319",'2025'!$D$4="FO",'2025'!$D$2=AQ5),'2025DATA'!$N$32,"")</f>
        <v/>
      </c>
      <c r="AR35" s="940"/>
      <c r="AS35" s="13" t="s">
        <v>62</v>
      </c>
      <c r="AT35" s="518" t="str">
        <f>IF(AND(_A3="A-319",'2025'!$D$4="FO",'2025'!$D$2=AT5),'2025DATA'!$C$32,"")</f>
        <v/>
      </c>
      <c r="AU35" s="518" t="str">
        <f>IF(AND(_A3="A-319",'2025'!$D$4="FO",'2025'!$D$2=AU5),'2025DATA'!$D$32,"")</f>
        <v/>
      </c>
      <c r="AV35" s="518" t="str">
        <f>IF(AND(_A3="A-319",'2025'!$D$4="FO",'2025'!$D$2=AV5),'2025DATA'!$E$32,"")</f>
        <v/>
      </c>
      <c r="AW35" s="518" t="str">
        <f>IF(AND(_A3="A-319",'2025'!$D$4="FO",'2025'!$D$2=AW5),'2025DATA'!$F$32,"")</f>
        <v/>
      </c>
      <c r="AX35" s="518" t="str">
        <f>IF(AND(_A3="A-319",'2025'!$D$4="FO",'2025'!$D$2=AX5),'2025DATA'!$G$32,"")</f>
        <v/>
      </c>
      <c r="AY35" s="518" t="str">
        <f>IF(AND(_A3="A-319",'2025'!$D$4="FO",'2025'!$D$2=AY5),'2025DATA'!$H$32,"")</f>
        <v/>
      </c>
      <c r="AZ35" s="518" t="str">
        <f>IF(AND(_A3="A-319",'2025'!$D$4="FO",'2025'!$D$2=AZ5),'2025DATA'!$I$32,"")</f>
        <v/>
      </c>
      <c r="BA35" s="518" t="str">
        <f>IF(AND(_A3="A-319",'2025'!$D$4="FO",'2025'!$D$2=BA5),'2025DATA'!$J$32,"")</f>
        <v/>
      </c>
      <c r="BB35" s="518" t="str">
        <f>IF(AND(_A3="A-319",'2025'!$D$4="FO",'2025'!$D$2=BB5),'2025DATA'!$K$32,"")</f>
        <v/>
      </c>
      <c r="BC35" s="518" t="str">
        <f>IF(AND(_A3="A-319",'2025'!$D$4="FO",'2025'!$D$2=BC5),'2025DATA'!$L$32,"")</f>
        <v/>
      </c>
      <c r="BD35" s="518" t="str">
        <f>IF(AND(_A3="A-319",'2025'!$D$4="FO",'2025'!$D$2=BD5),'2025DATA'!$M$32,"")</f>
        <v/>
      </c>
      <c r="BE35" s="520" t="str">
        <f>IF(AND(_A3="A-319",'2025'!$D$4="FO",'2025'!$D$2=BE5),'2025DATA'!$N$32,"")</f>
        <v/>
      </c>
      <c r="BF35" s="940"/>
      <c r="BG35" s="13" t="s">
        <v>62</v>
      </c>
      <c r="BH35" s="518" t="str">
        <f>IF(AND(_A4="A-319",'2025'!$D$4="FO",'2025'!$D$2=BH5),'2025DATA'!$C$32,"")</f>
        <v/>
      </c>
      <c r="BI35" s="518" t="str">
        <f>IF(AND(_A4="A-319",'2025'!$D$4="FO",'2025'!$D$2=BI5),'2025DATA'!$D$32,"")</f>
        <v/>
      </c>
      <c r="BJ35" s="518" t="str">
        <f>IF(AND(_A4="A-319",'2025'!$D$4="FO",'2025'!$D$2=BJ5),'2025DATA'!$E$32,"")</f>
        <v/>
      </c>
      <c r="BK35" s="518" t="str">
        <f>IF(AND(_A4="A-319",'2025'!$D$4="FO",'2025'!$D$2=BK5),'2025DATA'!$F$32,"")</f>
        <v/>
      </c>
      <c r="BL35" s="518" t="str">
        <f>IF(AND(_A4="A-319",'2025'!$D$4="FO",'2025'!$D$2=BL5),'2025DATA'!$G$32,"")</f>
        <v/>
      </c>
      <c r="BM35" s="518" t="str">
        <f>IF(AND(_A4="A-319",'2025'!$D$4="FO",'2025'!$D$2=BM5),'2025DATA'!$H$32,"")</f>
        <v/>
      </c>
      <c r="BN35" s="518" t="str">
        <f>IF(AND(_A4="A-319",'2025'!$D$4="FO",'2025'!$D$2=BN5),'2025DATA'!$I$32,"")</f>
        <v/>
      </c>
      <c r="BO35" s="518" t="str">
        <f>IF(AND(_A4="A-319",'2025'!$D$4="FO",'2025'!$D$2=BO5),'2025DATA'!$J$32,"")</f>
        <v/>
      </c>
      <c r="BP35" s="518" t="str">
        <f>IF(AND(_A4="A-319",'2025'!$D$4="FO",'2025'!$D$2=BP5),'2025DATA'!$K$32,"")</f>
        <v/>
      </c>
      <c r="BQ35" s="518" t="str">
        <f>IF(AND(_A4="A-319",'2025'!$D$4="FO",'2025'!$D$2=BQ5),'2025DATA'!$L$32,"")</f>
        <v/>
      </c>
      <c r="BR35" s="518" t="str">
        <f>IF(AND(_A4="A-319",'2025'!$D$4="FO",'2025'!$D$2=BR5),'2025DATA'!$M$32,"")</f>
        <v/>
      </c>
      <c r="BS35" s="520" t="str">
        <f>IF(AND(_A4="A-319",'2025'!$D$4="FO",'2025'!$D$2=BS5),'2025DATA'!$N$32,"")</f>
        <v/>
      </c>
      <c r="BT35" s="940"/>
      <c r="BU35" s="13" t="s">
        <v>62</v>
      </c>
      <c r="BV35" s="518" t="str">
        <f>IF(AND(_A5="A-319",'2025'!$D$4="FO",'2025'!$D$2=BV5),'2025DATA'!$C$32,"")</f>
        <v/>
      </c>
      <c r="BW35" s="518" t="str">
        <f>IF(AND(_A5="A-319",'2025'!$D$4="FO",'2025'!$D$2=BW5),'2025DATA'!$D$32,"")</f>
        <v/>
      </c>
      <c r="BX35" s="518" t="str">
        <f>IF(AND(_A5="A-319",'2025'!$D$4="FO",'2025'!$D$2=BX5),'2025DATA'!$E$32,"")</f>
        <v/>
      </c>
      <c r="BY35" s="518" t="str">
        <f>IF(AND(_A5="A-319",'2025'!$D$4="FO",'2025'!$D$2=BY5),'2025DATA'!$F$32,"")</f>
        <v/>
      </c>
      <c r="BZ35" s="518" t="str">
        <f>IF(AND(_A5="A-319",'2025'!$D$4="FO",'2025'!$D$2=BZ5),'2025DATA'!$G$32,"")</f>
        <v/>
      </c>
      <c r="CA35" s="518" t="str">
        <f>IF(AND(_A5="A-319",'2025'!$D$4="FO",'2025'!$D$2=CA5),'2025DATA'!$H$32,"")</f>
        <v/>
      </c>
      <c r="CB35" s="518" t="str">
        <f>IF(AND(_A5="A-319",'2025'!$D$4="FO",'2025'!$D$2=CB5),'2025DATA'!$I$32,"")</f>
        <v/>
      </c>
      <c r="CC35" s="518" t="str">
        <f>IF(AND(_A5="A-319",'2025'!$D$4="FO",'2025'!$D$2=CC5),'2025DATA'!$J$32,"")</f>
        <v/>
      </c>
      <c r="CD35" s="518" t="str">
        <f>IF(AND(_A5="A-319",'2025'!$D$4="FO",'2025'!$D$2=CD5),'2025DATA'!$K$32,"")</f>
        <v/>
      </c>
      <c r="CE35" s="518" t="str">
        <f>IF(AND(_A5="A-319",'2025'!$D$4="FO",'2025'!$D$2=CE5),'2025DATA'!$L$32,"")</f>
        <v/>
      </c>
      <c r="CF35" s="518" t="str">
        <f>IF(AND(_A5="A-319",'2025'!$D$4="FO",'2025'!$D$2=CF5),'2025DATA'!$M$32,"")</f>
        <v/>
      </c>
      <c r="CG35" s="520" t="str">
        <f>IF(AND(_A5="A-319",'2025'!$D$4="FO",'2025'!$D$2=CG5),'2025DATA'!$N$32,"")</f>
        <v/>
      </c>
      <c r="CH35" s="940"/>
      <c r="CI35" s="13" t="s">
        <v>62</v>
      </c>
      <c r="CJ35" s="518" t="str">
        <f>IF(AND(_A6="A-319",'2025'!$D$4="FO",'2025'!$D$2=CJ5),'2025DATA'!$C$32,"")</f>
        <v/>
      </c>
      <c r="CK35" s="518" t="str">
        <f>IF(AND(_A6="A-319",'2025'!$D$4="FO",'2025'!$D$2=CK5),'2025DATA'!$D$32,"")</f>
        <v/>
      </c>
      <c r="CL35" s="518" t="str">
        <f>IF(AND(_A6="A-319",'2025'!$D$4="FO",'2025'!$D$2=CL5),'2025DATA'!$E$32,"")</f>
        <v/>
      </c>
      <c r="CM35" s="518" t="str">
        <f>IF(AND(_A6="A-319",'2025'!$D$4="FO",'2025'!$D$2=CM5),'2025DATA'!$F$32,"")</f>
        <v/>
      </c>
      <c r="CN35" s="518" t="str">
        <f>IF(AND(_A6="A-319",'2025'!$D$4="FO",'2025'!$D$2=CN5),'2025DATA'!$G$32,"")</f>
        <v/>
      </c>
      <c r="CO35" s="518" t="str">
        <f>IF(AND(_A6="A-319",'2025'!$D$4="FO",'2025'!$D$2=CO5),'2025DATA'!$H$32,"")</f>
        <v/>
      </c>
      <c r="CP35" s="518" t="str">
        <f>IF(AND(_A6="A-319",'2025'!$D$4="FO",'2025'!$D$2=CP5),'2025DATA'!$I$32,"")</f>
        <v/>
      </c>
      <c r="CQ35" s="518" t="str">
        <f>IF(AND(_A6="A-319",'2025'!$D$4="FO",'2025'!$D$2=CQ5),'2025DATA'!$J$32,"")</f>
        <v/>
      </c>
      <c r="CR35" s="518" t="str">
        <f>IF(AND(_A6="A-319",'2025'!$D$4="FO",'2025'!$D$2=CR5),'2025DATA'!$K$32,"")</f>
        <v/>
      </c>
      <c r="CS35" s="518" t="str">
        <f>IF(AND(_A6="A-319",'2025'!$D$4="FO",'2025'!$D$2=CS5),'2025DATA'!$L$32,"")</f>
        <v/>
      </c>
      <c r="CT35" s="518" t="str">
        <f>IF(AND(_A6="A-319",'2025'!$D$4="FO",'2025'!$D$2=CT5),'2025DATA'!$M$32,"")</f>
        <v/>
      </c>
      <c r="CU35" s="520" t="str">
        <f>IF(AND(_A6="A-319",'2025'!$D$4="FO",'2025'!$D$2=CU5),'2025DATA'!$N$32,"")</f>
        <v/>
      </c>
    </row>
    <row r="36" spans="1:99" x14ac:dyDescent="0.25">
      <c r="A36" s="987"/>
      <c r="B36" s="64" t="s">
        <v>62</v>
      </c>
      <c r="C36" s="28">
        <v>235.97</v>
      </c>
      <c r="D36" s="29">
        <v>233.85</v>
      </c>
      <c r="E36" s="29">
        <v>231.72</v>
      </c>
      <c r="F36" s="29">
        <v>228.59</v>
      </c>
      <c r="G36" s="29">
        <v>226.15</v>
      </c>
      <c r="H36" s="29">
        <v>221.05</v>
      </c>
      <c r="I36" s="29">
        <v>215.04</v>
      </c>
      <c r="J36" s="29">
        <v>209.73</v>
      </c>
      <c r="K36" s="29">
        <v>204.79</v>
      </c>
      <c r="L36" s="29">
        <v>199.96</v>
      </c>
      <c r="M36" s="29">
        <v>170.88</v>
      </c>
      <c r="N36" s="30">
        <v>120.69</v>
      </c>
      <c r="P36" s="940" t="s">
        <v>51</v>
      </c>
      <c r="Q36" s="13" t="s">
        <v>61</v>
      </c>
      <c r="R36" s="518" t="str">
        <f>IF(AND(_A1="A-220-300",'2025'!$D$4="CA",'2025'!$D$2=R5),'2025DATA'!$C$33,"")</f>
        <v/>
      </c>
      <c r="S36" s="518" t="str">
        <f>IF(AND(_A1="A-220-300",'2025'!$D$4="CA",'2025'!$D$2=S5),'2025DATA'!$D$33,"")</f>
        <v/>
      </c>
      <c r="T36" s="518" t="str">
        <f>IF(AND(_A1="A-220-300",'2025'!$D$4="CA",'2025'!$D$2=T5),'2025DATA'!$E$33,"")</f>
        <v/>
      </c>
      <c r="U36" s="518" t="str">
        <f>IF(AND(_A1="A-220-300",'2025'!$D$4="CA",'2025'!$D$2=U5),'2025DATA'!$F$33,"")</f>
        <v/>
      </c>
      <c r="V36" s="518" t="str">
        <f>IF(AND(_A1="A-220-300",'2025'!$D$4="CA",'2025'!$D$2=V5),'2025DATA'!$G$33,"")</f>
        <v/>
      </c>
      <c r="W36" s="518" t="str">
        <f>IF(AND(_A1="A-220-300",'2025'!$D$4="CA",'2025'!$D$2=W5),'2025DATA'!$H$33,"")</f>
        <v/>
      </c>
      <c r="X36" s="518" t="str">
        <f>IF(AND(_A1="A-220-300",'2025'!$D$4="CA",'2025'!$D$2=X5),'2025DATA'!$I$33,"")</f>
        <v/>
      </c>
      <c r="Y36" s="518" t="str">
        <f>IF(AND(_A1="A-220-300",'2025'!$D$4="CA",'2025'!$D$2=Y5),'2025DATA'!$J$33,"")</f>
        <v/>
      </c>
      <c r="Z36" s="518" t="str">
        <f>IF(AND(_A1="A-220-300",'2025'!$D$4="CA",'2025'!$D$2=Z5),'2025DATA'!$K$33,"")</f>
        <v/>
      </c>
      <c r="AA36" s="518" t="str">
        <f>IF(AND(_A1="A-220-300",'2025'!$D$4="CA",'2025'!$D$2=AA5),'2025DATA'!$L$33,"")</f>
        <v/>
      </c>
      <c r="AB36" s="518" t="str">
        <f>IF(AND(_A1="A-220-300",'2025'!$D$4="CA",'2025'!$D$2=AB5),'2025DATA'!$M$33,"")</f>
        <v/>
      </c>
      <c r="AC36" s="520" t="str">
        <f>IF(AND(_A1="A-220-300",'2025'!$D$4="CA",'2025'!$D$2=AC5),'2025DATA'!$N$33,"")</f>
        <v/>
      </c>
      <c r="AD36" s="940" t="s">
        <v>51</v>
      </c>
      <c r="AE36" s="13" t="s">
        <v>61</v>
      </c>
      <c r="AF36" s="518" t="str">
        <f>IF(AND(_A2="A-220-300",'2025'!$D$4="CA",'2025'!$D$2=AF5),'2025DATA'!$C$33,"")</f>
        <v/>
      </c>
      <c r="AG36" s="518" t="str">
        <f>IF(AND(_A2="A-220-300",'2025'!$D$4="CA",'2025'!$D$2=AG5),'2025DATA'!$D$33,"")</f>
        <v/>
      </c>
      <c r="AH36" s="518" t="str">
        <f>IF(AND(_A2="A-220-300",'2025'!$D$4="CA",'2025'!$D$2=AH5),'2025DATA'!$E$33,"")</f>
        <v/>
      </c>
      <c r="AI36" s="518" t="str">
        <f>IF(AND(_A2="A-220-300",'2025'!$D$4="CA",'2025'!$D$2=AI5),'2025DATA'!$F$33,"")</f>
        <v/>
      </c>
      <c r="AJ36" s="518" t="str">
        <f>IF(AND(_A2="A-220-300",'2025'!$D$4="CA",'2025'!$D$2=AJ5),'2025DATA'!$G$33,"")</f>
        <v/>
      </c>
      <c r="AK36" s="518" t="str">
        <f>IF(AND(_A2="A-220-300",'2025'!$D$4="CA",'2025'!$D$2=AK5),'2025DATA'!$H$33,"")</f>
        <v/>
      </c>
      <c r="AL36" s="518" t="str">
        <f>IF(AND(_A2="A-220-300",'2025'!$D$4="CA",'2025'!$D$2=AL5),'2025DATA'!$I$33,"")</f>
        <v/>
      </c>
      <c r="AM36" s="518" t="str">
        <f>IF(AND(_A2="A-220-300",'2025'!$D$4="CA",'2025'!$D$2=AM5),'2025DATA'!$J$33,"")</f>
        <v/>
      </c>
      <c r="AN36" s="518" t="str">
        <f>IF(AND(_A2="A-220-300",'2025'!$D$4="CA",'2025'!$D$2=AN5),'2025DATA'!$K$33,"")</f>
        <v/>
      </c>
      <c r="AO36" s="518" t="str">
        <f>IF(AND(_A2="A-220-300",'2025'!$D$4="CA",'2025'!$D$2=AO5),'2025DATA'!$L$33,"")</f>
        <v/>
      </c>
      <c r="AP36" s="518" t="str">
        <f>IF(AND(_A2="A-220-300",'2025'!$D$4="CA",'2025'!$D$2=AP5),'2025DATA'!$M$33,"")</f>
        <v/>
      </c>
      <c r="AQ36" s="520" t="str">
        <f>IF(AND(_A2="A-220-300",'2025'!$D$4="CA",'2025'!$D$2=AQ5),'2025DATA'!$N$33,"")</f>
        <v/>
      </c>
      <c r="AR36" s="940" t="s">
        <v>51</v>
      </c>
      <c r="AS36" s="13" t="s">
        <v>61</v>
      </c>
      <c r="AT36" s="518" t="str">
        <f>IF(AND(_A3="A-220-300",'2025'!$D$4="CA",'2025'!$D$2=AT5),'2025DATA'!$C$33,"")</f>
        <v/>
      </c>
      <c r="AU36" s="518" t="str">
        <f>IF(AND(_A3="A-220-300",'2025'!$D$4="CA",'2025'!$D$2=AU5),'2025DATA'!$D$33,"")</f>
        <v/>
      </c>
      <c r="AV36" s="518" t="str">
        <f>IF(AND(_A3="A-220-300",'2025'!$D$4="CA",'2025'!$D$2=AV5),'2025DATA'!$E$33,"")</f>
        <v/>
      </c>
      <c r="AW36" s="518" t="str">
        <f>IF(AND(_A3="A-220-300",'2025'!$D$4="CA",'2025'!$D$2=AW5),'2025DATA'!$F$33,"")</f>
        <v/>
      </c>
      <c r="AX36" s="518" t="str">
        <f>IF(AND(_A3="A-220-300",'2025'!$D$4="CA",'2025'!$D$2=AX5),'2025DATA'!$G$33,"")</f>
        <v/>
      </c>
      <c r="AY36" s="518" t="str">
        <f>IF(AND(_A3="A-220-300",'2025'!$D$4="CA",'2025'!$D$2=AY5),'2025DATA'!$H$33,"")</f>
        <v/>
      </c>
      <c r="AZ36" s="518" t="str">
        <f>IF(AND(_A3="A-220-300",'2025'!$D$4="CA",'2025'!$D$2=AZ5),'2025DATA'!$I$33,"")</f>
        <v/>
      </c>
      <c r="BA36" s="518" t="str">
        <f>IF(AND(_A3="A-220-300",'2025'!$D$4="CA",'2025'!$D$2=BA5),'2025DATA'!$J$33,"")</f>
        <v/>
      </c>
      <c r="BB36" s="518" t="str">
        <f>IF(AND(_A3="A-220-300",'2025'!$D$4="CA",'2025'!$D$2=BB5),'2025DATA'!$K$33,"")</f>
        <v/>
      </c>
      <c r="BC36" s="518" t="str">
        <f>IF(AND(_A3="A-220-300",'2025'!$D$4="CA",'2025'!$D$2=BC5),'2025DATA'!$L$33,"")</f>
        <v/>
      </c>
      <c r="BD36" s="518" t="str">
        <f>IF(AND(_A3="A-220-300",'2025'!$D$4="CA",'2025'!$D$2=BD5),'2025DATA'!$M$33,"")</f>
        <v/>
      </c>
      <c r="BE36" s="520" t="str">
        <f>IF(AND(_A3="A-220-300",'2025'!$D$4="CA",'2025'!$D$2=BE5),'2025DATA'!$N$33,"")</f>
        <v/>
      </c>
      <c r="BF36" s="940" t="s">
        <v>51</v>
      </c>
      <c r="BG36" s="13" t="s">
        <v>61</v>
      </c>
      <c r="BH36" s="518" t="str">
        <f>IF(AND(_A4="A-220-300",'2025'!$D$4="CA",'2025'!$D$2=BH5),'2025DATA'!$C$33,"")</f>
        <v/>
      </c>
      <c r="BI36" s="518" t="str">
        <f>IF(AND(_A4="A-220-300",'2025'!$D$4="CA",'2025'!$D$2=BI5),'2025DATA'!$D$33,"")</f>
        <v/>
      </c>
      <c r="BJ36" s="518" t="str">
        <f>IF(AND(_A4="A-220-300",'2025'!$D$4="CA",'2025'!$D$2=BJ5),'2025DATA'!$E$33,"")</f>
        <v/>
      </c>
      <c r="BK36" s="518" t="str">
        <f>IF(AND(_A4="A-220-300",'2025'!$D$4="CA",'2025'!$D$2=BK5),'2025DATA'!$F$33,"")</f>
        <v/>
      </c>
      <c r="BL36" s="518" t="str">
        <f>IF(AND(_A4="A-220-300",'2025'!$D$4="CA",'2025'!$D$2=BL5),'2025DATA'!$G$33,"")</f>
        <v/>
      </c>
      <c r="BM36" s="518" t="str">
        <f>IF(AND(_A4="A-220-300",'2025'!$D$4="CA",'2025'!$D$2=BM5),'2025DATA'!$H$33,"")</f>
        <v/>
      </c>
      <c r="BN36" s="518" t="str">
        <f>IF(AND(_A4="A-220-300",'2025'!$D$4="CA",'2025'!$D$2=BN5),'2025DATA'!$I$33,"")</f>
        <v/>
      </c>
      <c r="BO36" s="518" t="str">
        <f>IF(AND(_A4="A-220-300",'2025'!$D$4="CA",'2025'!$D$2=BO5),'2025DATA'!$J$33,"")</f>
        <v/>
      </c>
      <c r="BP36" s="518" t="str">
        <f>IF(AND(_A4="A-220-300",'2025'!$D$4="CA",'2025'!$D$2=BP5),'2025DATA'!$K$33,"")</f>
        <v/>
      </c>
      <c r="BQ36" s="518" t="str">
        <f>IF(AND(_A4="A-220-300",'2025'!$D$4="CA",'2025'!$D$2=BQ5),'2025DATA'!$L$33,"")</f>
        <v/>
      </c>
      <c r="BR36" s="518" t="str">
        <f>IF(AND(_A4="A-220-300",'2025'!$D$4="CA",'2025'!$D$2=BR5),'2025DATA'!$M$33,"")</f>
        <v/>
      </c>
      <c r="BS36" s="520" t="str">
        <f>IF(AND(_A4="A-220-300",'2025'!$D$4="CA",'2025'!$D$2=BS5),'2025DATA'!$N$33,"")</f>
        <v/>
      </c>
      <c r="BT36" s="940" t="s">
        <v>51</v>
      </c>
      <c r="BU36" s="13" t="s">
        <v>61</v>
      </c>
      <c r="BV36" s="518" t="str">
        <f>IF(AND(_A5="A-220-300",'2025'!$D$4="CA",'2025'!$D$2=BV5),'2025DATA'!$C$33,"")</f>
        <v/>
      </c>
      <c r="BW36" s="518" t="str">
        <f>IF(AND(_A5="A-220-300",'2025'!$D$4="CA",'2025'!$D$2=BW5),'2025DATA'!$D$33,"")</f>
        <v/>
      </c>
      <c r="BX36" s="518" t="str">
        <f>IF(AND(_A5="A-220-300",'2025'!$D$4="CA",'2025'!$D$2=BX5),'2025DATA'!$E$33,"")</f>
        <v/>
      </c>
      <c r="BY36" s="518" t="str">
        <f>IF(AND(_A5="A-220-300",'2025'!$D$4="CA",'2025'!$D$2=BY5),'2025DATA'!$F$33,"")</f>
        <v/>
      </c>
      <c r="BZ36" s="518" t="str">
        <f>IF(AND(_A5="A-220-300",'2025'!$D$4="CA",'2025'!$D$2=BZ5),'2025DATA'!$G$33,"")</f>
        <v/>
      </c>
      <c r="CA36" s="518" t="str">
        <f>IF(AND(_A5="A-220-300",'2025'!$D$4="CA",'2025'!$D$2=CA5),'2025DATA'!$H$33,"")</f>
        <v/>
      </c>
      <c r="CB36" s="518" t="str">
        <f>IF(AND(_A5="A-220-300",'2025'!$D$4="CA",'2025'!$D$2=CB5),'2025DATA'!$I$33,"")</f>
        <v/>
      </c>
      <c r="CC36" s="518" t="str">
        <f>IF(AND(_A5="A-220-300",'2025'!$D$4="CA",'2025'!$D$2=CC5),'2025DATA'!$J$33,"")</f>
        <v/>
      </c>
      <c r="CD36" s="518" t="str">
        <f>IF(AND(_A5="A-220-300",'2025'!$D$4="CA",'2025'!$D$2=CD5),'2025DATA'!$K$33,"")</f>
        <v/>
      </c>
      <c r="CE36" s="518" t="str">
        <f>IF(AND(_A5="A-220-300",'2025'!$D$4="CA",'2025'!$D$2=CE5),'2025DATA'!$L$33,"")</f>
        <v/>
      </c>
      <c r="CF36" s="518" t="str">
        <f>IF(AND(_A5="A-220-300",'2025'!$D$4="CA",'2025'!$D$2=CF5),'2025DATA'!$M$33,"")</f>
        <v/>
      </c>
      <c r="CG36" s="520" t="str">
        <f>IF(AND(_A5="A-220-300",'2025'!$D$4="CA",'2025'!$D$2=CG5),'2025DATA'!$N$33,"")</f>
        <v/>
      </c>
      <c r="CH36" s="940" t="s">
        <v>51</v>
      </c>
      <c r="CI36" s="13" t="s">
        <v>61</v>
      </c>
      <c r="CJ36" s="518" t="str">
        <f>IF(AND(_A6="A-220-300",'2025'!$D$4="CA",'2025'!$D$2=CJ5),'2025DATA'!$C$33,"")</f>
        <v/>
      </c>
      <c r="CK36" s="518" t="str">
        <f>IF(AND(_A6="A-220-300",'2025'!$D$4="CA",'2025'!$D$2=CK5),'2025DATA'!$D$33,"")</f>
        <v/>
      </c>
      <c r="CL36" s="518" t="str">
        <f>IF(AND(_A6="A-220-300",'2025'!$D$4="CA",'2025'!$D$2=CL5),'2025DATA'!$E$33,"")</f>
        <v/>
      </c>
      <c r="CM36" s="518" t="str">
        <f>IF(AND(_A6="A-220-300",'2025'!$D$4="CA",'2025'!$D$2=CM5),'2025DATA'!$F$33,"")</f>
        <v/>
      </c>
      <c r="CN36" s="518" t="str">
        <f>IF(AND(_A6="A-220-300",'2025'!$D$4="CA",'2025'!$D$2=CN5),'2025DATA'!$G$33,"")</f>
        <v/>
      </c>
      <c r="CO36" s="518" t="str">
        <f>IF(AND(_A6="A-220-300",'2025'!$D$4="CA",'2025'!$D$2=CO5),'2025DATA'!$H$33,"")</f>
        <v/>
      </c>
      <c r="CP36" s="518" t="str">
        <f>IF(AND(_A6="A-220-300",'2025'!$D$4="CA",'2025'!$D$2=CP5),'2025DATA'!$I$33,"")</f>
        <v/>
      </c>
      <c r="CQ36" s="518" t="str">
        <f>IF(AND(_A6="A-220-300",'2025'!$D$4="CA",'2025'!$D$2=CQ5),'2025DATA'!$J$33,"")</f>
        <v/>
      </c>
      <c r="CR36" s="518" t="str">
        <f>IF(AND(_A6="A-220-300",'2025'!$D$4="CA",'2025'!$D$2=CR5),'2025DATA'!$K$33,"")</f>
        <v/>
      </c>
      <c r="CS36" s="518" t="str">
        <f>IF(AND(_A6="A-220-300",'2025'!$D$4="CA",'2025'!$D$2=CS5),'2025DATA'!$L$33,"")</f>
        <v/>
      </c>
      <c r="CT36" s="518" t="str">
        <f>IF(AND(_A6="A-220-300",'2025'!$D$4="CA",'2025'!$D$2=CT5),'2025DATA'!$M$33,"")</f>
        <v/>
      </c>
      <c r="CU36" s="520" t="str">
        <f>IF(AND(_A6="A-220-300",'2025'!$D$4="CA",'2025'!$D$2=CU5),'2025DATA'!$N$33,"")</f>
        <v/>
      </c>
    </row>
    <row r="37" spans="1:99" x14ac:dyDescent="0.25">
      <c r="A37" s="987" t="s">
        <v>53</v>
      </c>
      <c r="B37" s="64" t="s">
        <v>61</v>
      </c>
      <c r="C37" s="36">
        <v>335.95</v>
      </c>
      <c r="D37" s="37">
        <v>333.52</v>
      </c>
      <c r="E37" s="37">
        <v>330.94</v>
      </c>
      <c r="F37" s="37">
        <v>328.38</v>
      </c>
      <c r="G37" s="37">
        <v>325.86</v>
      </c>
      <c r="H37" s="37">
        <v>323.32</v>
      </c>
      <c r="I37" s="37">
        <v>320.88</v>
      </c>
      <c r="J37" s="37">
        <v>318.25</v>
      </c>
      <c r="K37" s="37">
        <v>315.83</v>
      </c>
      <c r="L37" s="37">
        <v>313.27999999999997</v>
      </c>
      <c r="M37" s="37">
        <v>310.74</v>
      </c>
      <c r="N37" s="38">
        <v>308.45999999999998</v>
      </c>
      <c r="P37" s="940"/>
      <c r="Q37" s="13" t="s">
        <v>62</v>
      </c>
      <c r="R37" s="518" t="str">
        <f>IF(AND(_A1="A-220-300",'2025'!$D$4="FO",'2025'!$D$2=R5),'2025DATA'!$C$34,"")</f>
        <v/>
      </c>
      <c r="S37" s="518" t="str">
        <f>IF(AND(_A1="A-220-300",'2025'!$D$4="FO",'2025'!$D$2=S5),'2025DATA'!$D$34,"")</f>
        <v/>
      </c>
      <c r="T37" s="518" t="str">
        <f>IF(AND(_A1="A-220-300",'2025'!$D$4="FO",'2025'!$D$2=T5),'2025DATA'!$E$34,"")</f>
        <v/>
      </c>
      <c r="U37" s="518" t="str">
        <f>IF(AND(_A1="A-220-300",'2025'!$D$4="FO",'2025'!$D$2=U5),'2025DATA'!$F$34,"")</f>
        <v/>
      </c>
      <c r="V37" s="518" t="str">
        <f>IF(AND(_A1="A-220-300",'2025'!$D$4="FO",'2025'!$D$2=V5),'2025DATA'!$G$34,"")</f>
        <v/>
      </c>
      <c r="W37" s="518" t="str">
        <f>IF(AND(_A1="A-220-300",'2025'!$D$4="FO",'2025'!$D$2=W5),'2025DATA'!$H$34,"")</f>
        <v/>
      </c>
      <c r="X37" s="518" t="str">
        <f>IF(AND(_A1="A-220-300",'2025'!$D$4="FO",'2025'!$D$2=X5),'2025DATA'!$I$34,"")</f>
        <v/>
      </c>
      <c r="Y37" s="518" t="str">
        <f>IF(AND(_A1="A-220-300",'2025'!$D$4="FO",'2025'!$D$2=Y5),'2025DATA'!$J$34,"")</f>
        <v/>
      </c>
      <c r="Z37" s="518" t="str">
        <f>IF(AND(_A1="A-220-300",'2025'!$D$4="FO",'2025'!$D$2=Z5),'2025DATA'!$K$34,"")</f>
        <v/>
      </c>
      <c r="AA37" s="518" t="str">
        <f>IF(AND(_A1="A-220-300",'2025'!$D$4="FO",'2025'!$D$2=AA5),'2025DATA'!$L$34,"")</f>
        <v/>
      </c>
      <c r="AB37" s="518" t="str">
        <f>IF(AND(_A1="A-220-300",'2025'!$D$4="FO",'2025'!$D$2=AB5),'2025DATA'!$M$34,"")</f>
        <v/>
      </c>
      <c r="AC37" s="520" t="str">
        <f>IF(AND(_A1="A-220-300",'2025'!$D$4="FO",'2025'!$D$2=AC5),'2025DATA'!$N$34,"")</f>
        <v/>
      </c>
      <c r="AD37" s="940"/>
      <c r="AE37" s="13" t="s">
        <v>62</v>
      </c>
      <c r="AF37" s="518" t="str">
        <f>IF(AND(_A2="A-220-300",'2025'!$D$4="FO",'2025'!$D$2=AF5),'2025DATA'!$C$34,"")</f>
        <v/>
      </c>
      <c r="AG37" s="518" t="str">
        <f>IF(AND(_A2="A-220-300",'2025'!$D$4="FO",'2025'!$D$2=AG5),'2025DATA'!$D$34,"")</f>
        <v/>
      </c>
      <c r="AH37" s="518" t="str">
        <f>IF(AND(_A2="A-220-300",'2025'!$D$4="FO",'2025'!$D$2=AH5),'2025DATA'!$E$34,"")</f>
        <v/>
      </c>
      <c r="AI37" s="518" t="str">
        <f>IF(AND(_A2="A-220-300",'2025'!$D$4="FO",'2025'!$D$2=AI5),'2025DATA'!$F$34,"")</f>
        <v/>
      </c>
      <c r="AJ37" s="518" t="str">
        <f>IF(AND(_A2="A-220-300",'2025'!$D$4="FO",'2025'!$D$2=AJ5),'2025DATA'!$G$34,"")</f>
        <v/>
      </c>
      <c r="AK37" s="518" t="str">
        <f>IF(AND(_A2="A-220-300",'2025'!$D$4="FO",'2025'!$D$2=AK5),'2025DATA'!$H$34,"")</f>
        <v/>
      </c>
      <c r="AL37" s="518" t="str">
        <f>IF(AND(_A2="A-220-300",'2025'!$D$4="FO",'2025'!$D$2=AL5),'2025DATA'!$I$34,"")</f>
        <v/>
      </c>
      <c r="AM37" s="518" t="str">
        <f>IF(AND(_A2="A-220-300",'2025'!$D$4="FO",'2025'!$D$2=AM5),'2025DATA'!$J$34,"")</f>
        <v/>
      </c>
      <c r="AN37" s="518" t="str">
        <f>IF(AND(_A2="A-220-300",'2025'!$D$4="FO",'2025'!$D$2=AN5),'2025DATA'!$K$34,"")</f>
        <v/>
      </c>
      <c r="AO37" s="518" t="str">
        <f>IF(AND(_A2="A-220-300",'2025'!$D$4="FO",'2025'!$D$2=AO5),'2025DATA'!$L$34,"")</f>
        <v/>
      </c>
      <c r="AP37" s="518" t="str">
        <f>IF(AND(_A2="A-220-300",'2025'!$D$4="FO",'2025'!$D$2=AP5),'2025DATA'!$M$34,"")</f>
        <v/>
      </c>
      <c r="AQ37" s="520" t="str">
        <f>IF(AND(_A2="A-220-300",'2025'!$D$4="FO",'2025'!$D$2=AQ5),'2025DATA'!$N$34,"")</f>
        <v/>
      </c>
      <c r="AR37" s="940"/>
      <c r="AS37" s="13" t="s">
        <v>62</v>
      </c>
      <c r="AT37" s="518" t="str">
        <f>IF(AND(_A3="A-220-300",'2025'!$D$4="FO",'2025'!$D$2=AT5),'2025DATA'!$C$34,"")</f>
        <v/>
      </c>
      <c r="AU37" s="518" t="str">
        <f>IF(AND(_A3="A-220-300",'2025'!$D$4="FO",'2025'!$D$2=AU5),'2025DATA'!$D$34,"")</f>
        <v/>
      </c>
      <c r="AV37" s="518" t="str">
        <f>IF(AND(_A3="A-220-300",'2025'!$D$4="FO",'2025'!$D$2=AV5),'2025DATA'!$E$34,"")</f>
        <v/>
      </c>
      <c r="AW37" s="518" t="str">
        <f>IF(AND(_A3="A-220-300",'2025'!$D$4="FO",'2025'!$D$2=AW5),'2025DATA'!$F$34,"")</f>
        <v/>
      </c>
      <c r="AX37" s="518" t="str">
        <f>IF(AND(_A3="A-220-300",'2025'!$D$4="FO",'2025'!$D$2=AX5),'2025DATA'!$G$34,"")</f>
        <v/>
      </c>
      <c r="AY37" s="518" t="str">
        <f>IF(AND(_A3="A-220-300",'2025'!$D$4="FO",'2025'!$D$2=AY5),'2025DATA'!$H$34,"")</f>
        <v/>
      </c>
      <c r="AZ37" s="518" t="str">
        <f>IF(AND(_A3="A-220-300",'2025'!$D$4="FO",'2025'!$D$2=AZ5),'2025DATA'!$I$34,"")</f>
        <v/>
      </c>
      <c r="BA37" s="518" t="str">
        <f>IF(AND(_A3="A-220-300",'2025'!$D$4="FO",'2025'!$D$2=BA5),'2025DATA'!$J$34,"")</f>
        <v/>
      </c>
      <c r="BB37" s="518" t="str">
        <f>IF(AND(_A3="A-220-300",'2025'!$D$4="FO",'2025'!$D$2=BB5),'2025DATA'!$K$34,"")</f>
        <v/>
      </c>
      <c r="BC37" s="518" t="str">
        <f>IF(AND(_A3="A-220-300",'2025'!$D$4="FO",'2025'!$D$2=BC5),'2025DATA'!$L$34,"")</f>
        <v/>
      </c>
      <c r="BD37" s="518" t="str">
        <f>IF(AND(_A3="A-220-300",'2025'!$D$4="FO",'2025'!$D$2=BD5),'2025DATA'!$M$34,"")</f>
        <v/>
      </c>
      <c r="BE37" s="520" t="str">
        <f>IF(AND(_A3="A-220-300",'2025'!$D$4="FO",'2025'!$D$2=BE5),'2025DATA'!$N$34,"")</f>
        <v/>
      </c>
      <c r="BF37" s="940"/>
      <c r="BG37" s="13" t="s">
        <v>62</v>
      </c>
      <c r="BH37" s="518" t="str">
        <f>IF(AND(_A4="A-220-300",'2025'!$D$4="FO",'2025'!$D$2=BH5),'2025DATA'!$C$34,"")</f>
        <v/>
      </c>
      <c r="BI37" s="518" t="str">
        <f>IF(AND(_A4="A-220-300",'2025'!$D$4="FO",'2025'!$D$2=BI5),'2025DATA'!$D$34,"")</f>
        <v/>
      </c>
      <c r="BJ37" s="518" t="str">
        <f>IF(AND(_A4="A-220-300",'2025'!$D$4="FO",'2025'!$D$2=BJ5),'2025DATA'!$E$34,"")</f>
        <v/>
      </c>
      <c r="BK37" s="518" t="str">
        <f>IF(AND(_A4="A-220-300",'2025'!$D$4="FO",'2025'!$D$2=BK5),'2025DATA'!$F$34,"")</f>
        <v/>
      </c>
      <c r="BL37" s="518" t="str">
        <f>IF(AND(_A4="A-220-300",'2025'!$D$4="FO",'2025'!$D$2=BL5),'2025DATA'!$G$34,"")</f>
        <v/>
      </c>
      <c r="BM37" s="518" t="str">
        <f>IF(AND(_A4="A-220-300",'2025'!$D$4="FO",'2025'!$D$2=BM5),'2025DATA'!$H$34,"")</f>
        <v/>
      </c>
      <c r="BN37" s="518" t="str">
        <f>IF(AND(_A4="A-220-300",'2025'!$D$4="FO",'2025'!$D$2=BN5),'2025DATA'!$I$34,"")</f>
        <v/>
      </c>
      <c r="BO37" s="518" t="str">
        <f>IF(AND(_A4="A-220-300",'2025'!$D$4="FO",'2025'!$D$2=BO5),'2025DATA'!$J$34,"")</f>
        <v/>
      </c>
      <c r="BP37" s="518" t="str">
        <f>IF(AND(_A4="A-220-300",'2025'!$D$4="FO",'2025'!$D$2=BP5),'2025DATA'!$K$34,"")</f>
        <v/>
      </c>
      <c r="BQ37" s="518" t="str">
        <f>IF(AND(_A4="A-220-300",'2025'!$D$4="FO",'2025'!$D$2=BQ5),'2025DATA'!$L$34,"")</f>
        <v/>
      </c>
      <c r="BR37" s="518" t="str">
        <f>IF(AND(_A4="A-220-300",'2025'!$D$4="FO",'2025'!$D$2=BR5),'2025DATA'!$M$34,"")</f>
        <v/>
      </c>
      <c r="BS37" s="520" t="str">
        <f>IF(AND(_A4="A-220-300",'2025'!$D$4="FO",'2025'!$D$2=BS5),'2025DATA'!$N$34,"")</f>
        <v/>
      </c>
      <c r="BT37" s="940"/>
      <c r="BU37" s="13" t="s">
        <v>62</v>
      </c>
      <c r="BV37" s="518" t="str">
        <f>IF(AND(_A5="A-220-300",'2025'!$D$4="FO",'2025'!$D$2=BV5),'2025DATA'!$C$34,"")</f>
        <v/>
      </c>
      <c r="BW37" s="518" t="str">
        <f>IF(AND(_A5="A-220-300",'2025'!$D$4="FO",'2025'!$D$2=BW5),'2025DATA'!$D$34,"")</f>
        <v/>
      </c>
      <c r="BX37" s="518" t="str">
        <f>IF(AND(_A5="A-220-300",'2025'!$D$4="FO",'2025'!$D$2=BX5),'2025DATA'!$E$34,"")</f>
        <v/>
      </c>
      <c r="BY37" s="518" t="str">
        <f>IF(AND(_A5="A-220-300",'2025'!$D$4="FO",'2025'!$D$2=BY5),'2025DATA'!$F$34,"")</f>
        <v/>
      </c>
      <c r="BZ37" s="518" t="str">
        <f>IF(AND(_A5="A-220-300",'2025'!$D$4="FO",'2025'!$D$2=BZ5),'2025DATA'!$G$34,"")</f>
        <v/>
      </c>
      <c r="CA37" s="518" t="str">
        <f>IF(AND(_A5="A-220-300",'2025'!$D$4="FO",'2025'!$D$2=CA5),'2025DATA'!$H$34,"")</f>
        <v/>
      </c>
      <c r="CB37" s="518" t="str">
        <f>IF(AND(_A5="A-220-300",'2025'!$D$4="FO",'2025'!$D$2=CB5),'2025DATA'!$I$34,"")</f>
        <v/>
      </c>
      <c r="CC37" s="518" t="str">
        <f>IF(AND(_A5="A-220-300",'2025'!$D$4="FO",'2025'!$D$2=CC5),'2025DATA'!$J$34,"")</f>
        <v/>
      </c>
      <c r="CD37" s="518" t="str">
        <f>IF(AND(_A5="A-220-300",'2025'!$D$4="FO",'2025'!$D$2=CD5),'2025DATA'!$K$34,"")</f>
        <v/>
      </c>
      <c r="CE37" s="518" t="str">
        <f>IF(AND(_A5="A-220-300",'2025'!$D$4="FO",'2025'!$D$2=CE5),'2025DATA'!$L$34,"")</f>
        <v/>
      </c>
      <c r="CF37" s="518" t="str">
        <f>IF(AND(_A5="A-220-300",'2025'!$D$4="FO",'2025'!$D$2=CF5),'2025DATA'!$M$34,"")</f>
        <v/>
      </c>
      <c r="CG37" s="520" t="str">
        <f>IF(AND(_A5="A-220-300",'2025'!$D$4="FO",'2025'!$D$2=CG5),'2025DATA'!$N$34,"")</f>
        <v/>
      </c>
      <c r="CH37" s="940"/>
      <c r="CI37" s="13" t="s">
        <v>62</v>
      </c>
      <c r="CJ37" s="518" t="str">
        <f>IF(AND(_A6="A-220-300",'2025'!$D$4="FO",'2025'!$D$2=CJ5),'2025DATA'!$C$34,"")</f>
        <v/>
      </c>
      <c r="CK37" s="518" t="str">
        <f>IF(AND(_A6="A-220-300",'2025'!$D$4="FO",'2025'!$D$2=CK5),'2025DATA'!$D$34,"")</f>
        <v/>
      </c>
      <c r="CL37" s="518" t="str">
        <f>IF(AND(_A6="A-220-300",'2025'!$D$4="FO",'2025'!$D$2=CL5),'2025DATA'!$E$34,"")</f>
        <v/>
      </c>
      <c r="CM37" s="518" t="str">
        <f>IF(AND(_A6="A-220-300",'2025'!$D$4="FO",'2025'!$D$2=CM5),'2025DATA'!$F$34,"")</f>
        <v/>
      </c>
      <c r="CN37" s="518" t="str">
        <f>IF(AND(_A6="A-220-300",'2025'!$D$4="FO",'2025'!$D$2=CN5),'2025DATA'!$G$34,"")</f>
        <v/>
      </c>
      <c r="CO37" s="518" t="str">
        <f>IF(AND(_A6="A-220-300",'2025'!$D$4="FO",'2025'!$D$2=CO5),'2025DATA'!$H$34,"")</f>
        <v/>
      </c>
      <c r="CP37" s="518" t="str">
        <f>IF(AND(_A6="A-220-300",'2025'!$D$4="FO",'2025'!$D$2=CP5),'2025DATA'!$I$34,"")</f>
        <v/>
      </c>
      <c r="CQ37" s="518" t="str">
        <f>IF(AND(_A6="A-220-300",'2025'!$D$4="FO",'2025'!$D$2=CQ5),'2025DATA'!$J$34,"")</f>
        <v/>
      </c>
      <c r="CR37" s="518" t="str">
        <f>IF(AND(_A6="A-220-300",'2025'!$D$4="FO",'2025'!$D$2=CR5),'2025DATA'!$K$34,"")</f>
        <v/>
      </c>
      <c r="CS37" s="518" t="str">
        <f>IF(AND(_A6="A-220-300",'2025'!$D$4="FO",'2025'!$D$2=CS5),'2025DATA'!$L$34,"")</f>
        <v/>
      </c>
      <c r="CT37" s="518" t="str">
        <f>IF(AND(_A6="A-220-300",'2025'!$D$4="FO",'2025'!$D$2=CT5),'2025DATA'!$M$34,"")</f>
        <v/>
      </c>
      <c r="CU37" s="520" t="str">
        <f>IF(AND(_A6="A-220-300",'2025'!$D$4="FO",'2025'!$D$2=CU5),'2025DATA'!$N$34,"")</f>
        <v/>
      </c>
    </row>
    <row r="38" spans="1:99" ht="15.75" thickBot="1" x14ac:dyDescent="0.3">
      <c r="A38" s="987"/>
      <c r="B38" s="64" t="s">
        <v>62</v>
      </c>
      <c r="C38" s="44">
        <v>229.43</v>
      </c>
      <c r="D38" s="45">
        <v>227.51</v>
      </c>
      <c r="E38" s="45">
        <v>225.36</v>
      </c>
      <c r="F38" s="45">
        <v>222.3</v>
      </c>
      <c r="G38" s="45">
        <v>219.97</v>
      </c>
      <c r="H38" s="45">
        <v>215</v>
      </c>
      <c r="I38" s="45">
        <v>209.21</v>
      </c>
      <c r="J38" s="45">
        <v>203.98</v>
      </c>
      <c r="K38" s="45">
        <v>199.27</v>
      </c>
      <c r="L38" s="45">
        <v>194.53</v>
      </c>
      <c r="M38" s="45">
        <v>166.22</v>
      </c>
      <c r="N38" s="46">
        <v>120.69</v>
      </c>
      <c r="P38" s="940" t="s">
        <v>52</v>
      </c>
      <c r="Q38" s="13" t="s">
        <v>61</v>
      </c>
      <c r="R38" s="518" t="str">
        <f>IF(AND(_A1="A-220-100",'2025'!$D$4="CA",'2025'!$D$2=R5),'2025DATA'!$C$35,"")</f>
        <v/>
      </c>
      <c r="S38" s="518" t="str">
        <f>IF(AND(_A1="A-220-100",'2025'!$D$4="CA",'2025'!$D$2=S5),'2025DATA'!$D$35,"")</f>
        <v/>
      </c>
      <c r="T38" s="518" t="str">
        <f>IF(AND(_A1="A-220-100",'2025'!$D$4="CA",'2025'!$D$2=T5),'2025DATA'!$E$35,"")</f>
        <v/>
      </c>
      <c r="U38" s="518" t="str">
        <f>IF(AND(_A1="A-220-100",'2025'!$D$4="CA",'2025'!$D$2=U5),'2025DATA'!$F$35,"")</f>
        <v/>
      </c>
      <c r="V38" s="518" t="str">
        <f>IF(AND(_A1="A-220-100",'2025'!$D$4="CA",'2025'!$D$2=V5),'2025DATA'!$G$35,"")</f>
        <v/>
      </c>
      <c r="W38" s="518" t="str">
        <f>IF(AND(_A1="A-220-100",'2025'!$D$4="CA",'2025'!$D$2=W5),'2025DATA'!$H$35,"")</f>
        <v/>
      </c>
      <c r="X38" s="518" t="str">
        <f>IF(AND(_A1="A-220-100",'2025'!$D$4="CA",'2025'!$D$2=X5),'2025DATA'!$I$35,"")</f>
        <v/>
      </c>
      <c r="Y38" s="518" t="str">
        <f>IF(AND(_A1="A-220-100",'2025'!$D$4="CA",'2025'!$D$2=Y5),'2025DATA'!$J$35,"")</f>
        <v/>
      </c>
      <c r="Z38" s="518" t="str">
        <f>IF(AND(_A1="A-220-100",'2025'!$D$4="CA",'2025'!$D$2=Z5),'2025DATA'!$K$35,"")</f>
        <v/>
      </c>
      <c r="AA38" s="518" t="str">
        <f>IF(AND(_A1="A-220-100",'2025'!$D$4="CA",'2025'!$D$2=AA5),'2025DATA'!$L$35,"")</f>
        <v/>
      </c>
      <c r="AB38" s="518" t="str">
        <f>IF(AND(_A1="A-220-100",'2025'!$D$4="CA",'2025'!$D$2=AB5),'2025DATA'!$M$35,"")</f>
        <v/>
      </c>
      <c r="AC38" s="520" t="str">
        <f>IF(AND(_A1="A-220-100",'2025'!$D$4="CA",'2025'!$D$2=AC5),'2025DATA'!$N$35,"")</f>
        <v/>
      </c>
      <c r="AD38" s="940" t="s">
        <v>52</v>
      </c>
      <c r="AE38" s="13" t="s">
        <v>61</v>
      </c>
      <c r="AF38" s="518" t="str">
        <f>IF(AND(_A2="A-220-100",'2025'!$D$4="CA",'2025'!$D$2=AF5),'2025DATA'!$C$35,"")</f>
        <v/>
      </c>
      <c r="AG38" s="518" t="str">
        <f>IF(AND(_A2="A-220-100",'2025'!$D$4="CA",'2025'!$D$2=AG5),'2025DATA'!$D$35,"")</f>
        <v/>
      </c>
      <c r="AH38" s="518" t="str">
        <f>IF(AND(_A2="A-220-100",'2025'!$D$4="CA",'2025'!$D$2=AH5),'2025DATA'!$E$35,"")</f>
        <v/>
      </c>
      <c r="AI38" s="518" t="str">
        <f>IF(AND(_A2="A-220-100",'2025'!$D$4="CA",'2025'!$D$2=AI5),'2025DATA'!$F$35,"")</f>
        <v/>
      </c>
      <c r="AJ38" s="518" t="str">
        <f>IF(AND(_A2="A-220-100",'2025'!$D$4="CA",'2025'!$D$2=AJ5),'2025DATA'!$G$35,"")</f>
        <v/>
      </c>
      <c r="AK38" s="518" t="str">
        <f>IF(AND(_A2="A-220-100",'2025'!$D$4="CA",'2025'!$D$2=AK5),'2025DATA'!$H$35,"")</f>
        <v/>
      </c>
      <c r="AL38" s="518" t="str">
        <f>IF(AND(_A2="A-220-100",'2025'!$D$4="CA",'2025'!$D$2=AL5),'2025DATA'!$I$35,"")</f>
        <v/>
      </c>
      <c r="AM38" s="518" t="str">
        <f>IF(AND(_A2="A-220-100",'2025'!$D$4="CA",'2025'!$D$2=AM5),'2025DATA'!$J$35,"")</f>
        <v/>
      </c>
      <c r="AN38" s="518" t="str">
        <f>IF(AND(_A2="A-220-100",'2025'!$D$4="CA",'2025'!$D$2=AN5),'2025DATA'!$K$35,"")</f>
        <v/>
      </c>
      <c r="AO38" s="518" t="str">
        <f>IF(AND(_A2="A-220-100",'2025'!$D$4="CA",'2025'!$D$2=AO5),'2025DATA'!$L$35,"")</f>
        <v/>
      </c>
      <c r="AP38" s="518" t="str">
        <f>IF(AND(_A2="A-220-100",'2025'!$D$4="CA",'2025'!$D$2=AP5),'2025DATA'!$M$35,"")</f>
        <v/>
      </c>
      <c r="AQ38" s="520" t="str">
        <f>IF(AND(_A2="A-220-100",'2025'!$D$4="CA",'2025'!$D$2=AQ5),'2025DATA'!$N$35,"")</f>
        <v/>
      </c>
      <c r="AR38" s="940" t="s">
        <v>52</v>
      </c>
      <c r="AS38" s="13" t="s">
        <v>61</v>
      </c>
      <c r="AT38" s="518" t="str">
        <f>IF(AND(_A3="A-220-100",'2025'!$D$4="CA",'2025'!$D$2=AT5),'2025DATA'!$C$35,"")</f>
        <v/>
      </c>
      <c r="AU38" s="518" t="str">
        <f>IF(AND(_A3="A-220-100",'2025'!$D$4="CA",'2025'!$D$2=AU5),'2025DATA'!$D$35,"")</f>
        <v/>
      </c>
      <c r="AV38" s="518" t="str">
        <f>IF(AND(_A3="A-220-100",'2025'!$D$4="CA",'2025'!$D$2=AV5),'2025DATA'!$E$35,"")</f>
        <v/>
      </c>
      <c r="AW38" s="518" t="str">
        <f>IF(AND(_A3="A-220-100",'2025'!$D$4="CA",'2025'!$D$2=AW5),'2025DATA'!$F$35,"")</f>
        <v/>
      </c>
      <c r="AX38" s="518" t="str">
        <f>IF(AND(_A3="A-220-100",'2025'!$D$4="CA",'2025'!$D$2=AX5),'2025DATA'!$G$35,"")</f>
        <v/>
      </c>
      <c r="AY38" s="518" t="str">
        <f>IF(AND(_A3="A-220-100",'2025'!$D$4="CA",'2025'!$D$2=AY5),'2025DATA'!$H$35,"")</f>
        <v/>
      </c>
      <c r="AZ38" s="518" t="str">
        <f>IF(AND(_A3="A-220-100",'2025'!$D$4="CA",'2025'!$D$2=AZ5),'2025DATA'!$I$35,"")</f>
        <v/>
      </c>
      <c r="BA38" s="518" t="str">
        <f>IF(AND(_A3="A-220-100",'2025'!$D$4="CA",'2025'!$D$2=BA5),'2025DATA'!$J$35,"")</f>
        <v/>
      </c>
      <c r="BB38" s="518" t="str">
        <f>IF(AND(_A3="A-220-100",'2025'!$D$4="CA",'2025'!$D$2=BB5),'2025DATA'!$K$35,"")</f>
        <v/>
      </c>
      <c r="BC38" s="518" t="str">
        <f>IF(AND(_A3="A-220-100",'2025'!$D$4="CA",'2025'!$D$2=BC5),'2025DATA'!$L$35,"")</f>
        <v/>
      </c>
      <c r="BD38" s="518" t="str">
        <f>IF(AND(_A3="A-220-100",'2025'!$D$4="CA",'2025'!$D$2=BD5),'2025DATA'!$M$35,"")</f>
        <v/>
      </c>
      <c r="BE38" s="520" t="str">
        <f>IF(AND(_A3="A-220-100",'2025'!$D$4="CA",'2025'!$D$2=BE5),'2025DATA'!$N$35,"")</f>
        <v/>
      </c>
      <c r="BF38" s="940" t="s">
        <v>52</v>
      </c>
      <c r="BG38" s="13" t="s">
        <v>61</v>
      </c>
      <c r="BH38" s="518" t="str">
        <f>IF(AND(_A4="A-220-100",'2025'!$D$4="CA",'2025'!$D$2=BH5),'2025DATA'!$C$35,"")</f>
        <v/>
      </c>
      <c r="BI38" s="518" t="str">
        <f>IF(AND(_A4="A-220-100",'2025'!$D$4="CA",'2025'!$D$2=BI5),'2025DATA'!$D$35,"")</f>
        <v/>
      </c>
      <c r="BJ38" s="518" t="str">
        <f>IF(AND(_A4="A-220-100",'2025'!$D$4="CA",'2025'!$D$2=BJ5),'2025DATA'!$E$35,"")</f>
        <v/>
      </c>
      <c r="BK38" s="518" t="str">
        <f>IF(AND(_A4="A-220-100",'2025'!$D$4="CA",'2025'!$D$2=BK5),'2025DATA'!$F$35,"")</f>
        <v/>
      </c>
      <c r="BL38" s="518" t="str">
        <f>IF(AND(_A4="A-220-100",'2025'!$D$4="CA",'2025'!$D$2=BL5),'2025DATA'!$G$35,"")</f>
        <v/>
      </c>
      <c r="BM38" s="518" t="str">
        <f>IF(AND(_A4="A-220-100",'2025'!$D$4="CA",'2025'!$D$2=BM5),'2025DATA'!$H$35,"")</f>
        <v/>
      </c>
      <c r="BN38" s="518" t="str">
        <f>IF(AND(_A4="A-220-100",'2025'!$D$4="CA",'2025'!$D$2=BN5),'2025DATA'!$I$35,"")</f>
        <v/>
      </c>
      <c r="BO38" s="518" t="str">
        <f>IF(AND(_A4="A-220-100",'2025'!$D$4="CA",'2025'!$D$2=BO5),'2025DATA'!$J$35,"")</f>
        <v/>
      </c>
      <c r="BP38" s="518" t="str">
        <f>IF(AND(_A4="A-220-100",'2025'!$D$4="CA",'2025'!$D$2=BP5),'2025DATA'!$K$35,"")</f>
        <v/>
      </c>
      <c r="BQ38" s="518" t="str">
        <f>IF(AND(_A4="A-220-100",'2025'!$D$4="CA",'2025'!$D$2=BQ5),'2025DATA'!$L$35,"")</f>
        <v/>
      </c>
      <c r="BR38" s="518" t="str">
        <f>IF(AND(_A4="A-220-100",'2025'!$D$4="CA",'2025'!$D$2=BR5),'2025DATA'!$M$35,"")</f>
        <v/>
      </c>
      <c r="BS38" s="520" t="str">
        <f>IF(AND(_A4="A-220-100",'2025'!$D$4="CA",'2025'!$D$2=BS5),'2025DATA'!$N$35,"")</f>
        <v/>
      </c>
      <c r="BT38" s="940" t="s">
        <v>52</v>
      </c>
      <c r="BU38" s="13" t="s">
        <v>61</v>
      </c>
      <c r="BV38" s="518" t="str">
        <f>IF(AND(_A5="A-220-100",'2025'!$D$4="CA",'2025'!$D$2=BV5),'2025DATA'!$C$35,"")</f>
        <v/>
      </c>
      <c r="BW38" s="518" t="str">
        <f>IF(AND(_A5="A-220-100",'2025'!$D$4="CA",'2025'!$D$2=BW5),'2025DATA'!$D$35,"")</f>
        <v/>
      </c>
      <c r="BX38" s="518" t="str">
        <f>IF(AND(_A5="A-220-100",'2025'!$D$4="CA",'2025'!$D$2=BX5),'2025DATA'!$E$35,"")</f>
        <v/>
      </c>
      <c r="BY38" s="518" t="str">
        <f>IF(AND(_A5="A-220-100",'2025'!$D$4="CA",'2025'!$D$2=BY5),'2025DATA'!$F$35,"")</f>
        <v/>
      </c>
      <c r="BZ38" s="518" t="str">
        <f>IF(AND(_A5="A-220-100",'2025'!$D$4="CA",'2025'!$D$2=BZ5),'2025DATA'!$G$35,"")</f>
        <v/>
      </c>
      <c r="CA38" s="518" t="str">
        <f>IF(AND(_A5="A-220-100",'2025'!$D$4="CA",'2025'!$D$2=CA5),'2025DATA'!$H$35,"")</f>
        <v/>
      </c>
      <c r="CB38" s="518" t="str">
        <f>IF(AND(_A5="A-220-100",'2025'!$D$4="CA",'2025'!$D$2=CB5),'2025DATA'!$I$35,"")</f>
        <v/>
      </c>
      <c r="CC38" s="518" t="str">
        <f>IF(AND(_A5="A-220-100",'2025'!$D$4="CA",'2025'!$D$2=CC5),'2025DATA'!$J$35,"")</f>
        <v/>
      </c>
      <c r="CD38" s="518" t="str">
        <f>IF(AND(_A5="A-220-100",'2025'!$D$4="CA",'2025'!$D$2=CD5),'2025DATA'!$K$35,"")</f>
        <v/>
      </c>
      <c r="CE38" s="518" t="str">
        <f>IF(AND(_A5="A-220-100",'2025'!$D$4="CA",'2025'!$D$2=CE5),'2025DATA'!$L$35,"")</f>
        <v/>
      </c>
      <c r="CF38" s="518" t="str">
        <f>IF(AND(_A5="A-220-100",'2025'!$D$4="CA",'2025'!$D$2=CF5),'2025DATA'!$M$35,"")</f>
        <v/>
      </c>
      <c r="CG38" s="520" t="str">
        <f>IF(AND(_A5="A-220-100",'2025'!$D$4="CA",'2025'!$D$2=CG5),'2025DATA'!$N$35,"")</f>
        <v/>
      </c>
      <c r="CH38" s="940" t="s">
        <v>52</v>
      </c>
      <c r="CI38" s="13" t="s">
        <v>61</v>
      </c>
      <c r="CJ38" s="518" t="str">
        <f>IF(AND(_A6="A-220-100",'2025'!$D$4="CA",'2025'!$D$2=CJ5),'2025DATA'!$C$35,"")</f>
        <v/>
      </c>
      <c r="CK38" s="518" t="str">
        <f>IF(AND(_A6="A-220-100",'2025'!$D$4="CA",'2025'!$D$2=CK5),'2025DATA'!$D$35,"")</f>
        <v/>
      </c>
      <c r="CL38" s="518" t="str">
        <f>IF(AND(_A6="A-220-100",'2025'!$D$4="CA",'2025'!$D$2=CL5),'2025DATA'!$E$35,"")</f>
        <v/>
      </c>
      <c r="CM38" s="518" t="str">
        <f>IF(AND(_A6="A-220-100",'2025'!$D$4="CA",'2025'!$D$2=CM5),'2025DATA'!$F$35,"")</f>
        <v/>
      </c>
      <c r="CN38" s="518" t="str">
        <f>IF(AND(_A6="A-220-100",'2025'!$D$4="CA",'2025'!$D$2=CN5),'2025DATA'!$G$35,"")</f>
        <v/>
      </c>
      <c r="CO38" s="518" t="str">
        <f>IF(AND(_A6="A-220-100",'2025'!$D$4="CA",'2025'!$D$2=CO5),'2025DATA'!$H$35,"")</f>
        <v/>
      </c>
      <c r="CP38" s="518" t="str">
        <f>IF(AND(_A6="A-220-100",'2025'!$D$4="CA",'2025'!$D$2=CP5),'2025DATA'!$I$35,"")</f>
        <v/>
      </c>
      <c r="CQ38" s="518" t="str">
        <f>IF(AND(_A6="A-220-100",'2025'!$D$4="CA",'2025'!$D$2=CQ5),'2025DATA'!$J$35,"")</f>
        <v/>
      </c>
      <c r="CR38" s="518" t="str">
        <f>IF(AND(_A6="A-220-100",'2025'!$D$4="CA",'2025'!$D$2=CR5),'2025DATA'!$K$35,"")</f>
        <v/>
      </c>
      <c r="CS38" s="518" t="str">
        <f>IF(AND(_A6="A-220-100",'2025'!$D$4="CA",'2025'!$D$2=CS5),'2025DATA'!$L$35,"")</f>
        <v/>
      </c>
      <c r="CT38" s="518" t="str">
        <f>IF(AND(_A6="A-220-100",'2025'!$D$4="CA",'2025'!$D$2=CT5),'2025DATA'!$M$35,"")</f>
        <v/>
      </c>
      <c r="CU38" s="520" t="str">
        <f>IF(AND(_A6="A-220-100",'2025'!$D$4="CA",'2025'!$D$2=CU5),'2025DATA'!$N$35,"")</f>
        <v/>
      </c>
    </row>
    <row r="39" spans="1:99" x14ac:dyDescent="0.25">
      <c r="P39" s="940"/>
      <c r="Q39" s="13" t="s">
        <v>62</v>
      </c>
      <c r="R39" s="518" t="str">
        <f>IF(AND(_A1="A-220-100",'2025'!$D$4="FO",'2025'!$D$2=R5),'2025DATA'!$C$36,"")</f>
        <v/>
      </c>
      <c r="S39" s="518" t="str">
        <f>IF(AND(_A1="A-220-100",'2025'!$D$4="FO",'2025'!$D$2=S5),'2025DATA'!$D$36,"")</f>
        <v/>
      </c>
      <c r="T39" s="518" t="str">
        <f>IF(AND(_A1="A-220-100",'2025'!$D$4="FO",'2025'!$D$2=T5),'2025DATA'!$E$36,"")</f>
        <v/>
      </c>
      <c r="U39" s="518" t="str">
        <f>IF(AND(_A1="A-220-100",'2025'!$D$4="FO",'2025'!$D$2=U5),'2025DATA'!$F$36,"")</f>
        <v/>
      </c>
      <c r="V39" s="518" t="str">
        <f>IF(AND(_A1="A-220-100",'2025'!$D$4="FO",'2025'!$D$2=V5),'2025DATA'!$G$36,"")</f>
        <v/>
      </c>
      <c r="W39" s="518" t="str">
        <f>IF(AND(_A1="A-220-100",'2025'!$D$4="FO",'2025'!$D$2=W5),'2025DATA'!$H$36,"")</f>
        <v/>
      </c>
      <c r="X39" s="518" t="str">
        <f>IF(AND(_A1="A-220-100",'2025'!$D$4="FO",'2025'!$D$2=X5),'2025DATA'!$I$36,"")</f>
        <v/>
      </c>
      <c r="Y39" s="518" t="str">
        <f>IF(AND(_A1="A-220-100",'2025'!$D$4="FO",'2025'!$D$2=Y5),'2025DATA'!$J$36,"")</f>
        <v/>
      </c>
      <c r="Z39" s="518" t="str">
        <f>IF(AND(_A1="A-220-100",'2025'!$D$4="FO",'2025'!$D$2=Z5),'2025DATA'!$K$36,"")</f>
        <v/>
      </c>
      <c r="AA39" s="518" t="str">
        <f>IF(AND(_A1="A-220-100",'2025'!$D$4="FO",'2025'!$D$2=AA5),'2025DATA'!$L$36,"")</f>
        <v/>
      </c>
      <c r="AB39" s="518" t="str">
        <f>IF(AND(_A1="A-220-100",'2025'!$D$4="FO",'2025'!$D$2=AB5),'2025DATA'!$M$36,"")</f>
        <v/>
      </c>
      <c r="AC39" s="520" t="str">
        <f>IF(AND(_A1="A-220-100",'2025'!$D$4="FO",'2025'!$D$2=AC5),'2025DATA'!$N$36,"")</f>
        <v/>
      </c>
      <c r="AD39" s="940"/>
      <c r="AE39" s="13" t="s">
        <v>62</v>
      </c>
      <c r="AF39" s="518" t="str">
        <f>IF(AND(_A2="A-220-100",'2025'!$D$4="FO",'2025'!$D$2=AF5),'2025DATA'!$C$36,"")</f>
        <v/>
      </c>
      <c r="AG39" s="518" t="str">
        <f>IF(AND(_A2="A-220-100",'2025'!$D$4="FO",'2025'!$D$2=AG5),'2025DATA'!$D$36,"")</f>
        <v/>
      </c>
      <c r="AH39" s="518" t="str">
        <f>IF(AND(_A2="A-220-100",'2025'!$D$4="FO",'2025'!$D$2=AH5),'2025DATA'!$E$36,"")</f>
        <v/>
      </c>
      <c r="AI39" s="518" t="str">
        <f>IF(AND(_A2="A-220-100",'2025'!$D$4="FO",'2025'!$D$2=AI5),'2025DATA'!$F$36,"")</f>
        <v/>
      </c>
      <c r="AJ39" s="518" t="str">
        <f>IF(AND(_A2="A-220-100",'2025'!$D$4="FO",'2025'!$D$2=AJ5),'2025DATA'!$G$36,"")</f>
        <v/>
      </c>
      <c r="AK39" s="518" t="str">
        <f>IF(AND(_A2="A-220-100",'2025'!$D$4="FO",'2025'!$D$2=AK5),'2025DATA'!$H$36,"")</f>
        <v/>
      </c>
      <c r="AL39" s="518" t="str">
        <f>IF(AND(_A2="A-220-100",'2025'!$D$4="FO",'2025'!$D$2=AL5),'2025DATA'!$I$36,"")</f>
        <v/>
      </c>
      <c r="AM39" s="518" t="str">
        <f>IF(AND(_A2="A-220-100",'2025'!$D$4="FO",'2025'!$D$2=AM5),'2025DATA'!$J$36,"")</f>
        <v/>
      </c>
      <c r="AN39" s="518" t="str">
        <f>IF(AND(_A2="A-220-100",'2025'!$D$4="FO",'2025'!$D$2=AN5),'2025DATA'!$K$36,"")</f>
        <v/>
      </c>
      <c r="AO39" s="518" t="str">
        <f>IF(AND(_A2="A-220-100",'2025'!$D$4="FO",'2025'!$D$2=AO5),'2025DATA'!$L$36,"")</f>
        <v/>
      </c>
      <c r="AP39" s="518" t="str">
        <f>IF(AND(_A2="A-220-100",'2025'!$D$4="FO",'2025'!$D$2=AP5),'2025DATA'!$M$36,"")</f>
        <v/>
      </c>
      <c r="AQ39" s="520" t="str">
        <f>IF(AND(_A2="A-220-100",'2025'!$D$4="FO",'2025'!$D$2=AQ5),'2025DATA'!$N$36,"")</f>
        <v/>
      </c>
      <c r="AR39" s="940"/>
      <c r="AS39" s="13" t="s">
        <v>62</v>
      </c>
      <c r="AT39" s="518" t="str">
        <f>IF(AND(_A3="A-220-100",'2025'!$D$4="FO",'2025'!$D$2=AT5),'2025DATA'!$C$36,"")</f>
        <v/>
      </c>
      <c r="AU39" s="518" t="str">
        <f>IF(AND(_A3="A-220-100",'2025'!$D$4="FO",'2025'!$D$2=AU5),'2025DATA'!$D$36,"")</f>
        <v/>
      </c>
      <c r="AV39" s="518" t="str">
        <f>IF(AND(_A3="A-220-100",'2025'!$D$4="FO",'2025'!$D$2=AV5),'2025DATA'!$E$36,"")</f>
        <v/>
      </c>
      <c r="AW39" s="518" t="str">
        <f>IF(AND(_A3="A-220-100",'2025'!$D$4="FO",'2025'!$D$2=AW5),'2025DATA'!$F$36,"")</f>
        <v/>
      </c>
      <c r="AX39" s="518" t="str">
        <f>IF(AND(_A3="A-220-100",'2025'!$D$4="FO",'2025'!$D$2=AX5),'2025DATA'!$G$36,"")</f>
        <v/>
      </c>
      <c r="AY39" s="518" t="str">
        <f>IF(AND(_A3="A-220-100",'2025'!$D$4="FO",'2025'!$D$2=AY5),'2025DATA'!$H$36,"")</f>
        <v/>
      </c>
      <c r="AZ39" s="518" t="str">
        <f>IF(AND(_A3="A-220-100",'2025'!$D$4="FO",'2025'!$D$2=AZ5),'2025DATA'!$I$36,"")</f>
        <v/>
      </c>
      <c r="BA39" s="518" t="str">
        <f>IF(AND(_A3="A-220-100",'2025'!$D$4="FO",'2025'!$D$2=BA5),'2025DATA'!$J$36,"")</f>
        <v/>
      </c>
      <c r="BB39" s="518" t="str">
        <f>IF(AND(_A3="A-220-100",'2025'!$D$4="FO",'2025'!$D$2=BB5),'2025DATA'!$K$36,"")</f>
        <v/>
      </c>
      <c r="BC39" s="518" t="str">
        <f>IF(AND(_A3="A-220-100",'2025'!$D$4="FO",'2025'!$D$2=BC5),'2025DATA'!$L$36,"")</f>
        <v/>
      </c>
      <c r="BD39" s="518" t="str">
        <f>IF(AND(_A3="A-220-100",'2025'!$D$4="FO",'2025'!$D$2=BD5),'2025DATA'!$M$36,"")</f>
        <v/>
      </c>
      <c r="BE39" s="520" t="str">
        <f>IF(AND(_A3="A-220-100",'2025'!$D$4="FO",'2025'!$D$2=BE5),'2025DATA'!$N$36,"")</f>
        <v/>
      </c>
      <c r="BF39" s="940"/>
      <c r="BG39" s="13" t="s">
        <v>62</v>
      </c>
      <c r="BH39" s="518" t="str">
        <f>IF(AND(_A4="A-220-100",'2025'!$D$4="FO",'2025'!$D$2=BH5),'2025DATA'!$C$36,"")</f>
        <v/>
      </c>
      <c r="BI39" s="518" t="str">
        <f>IF(AND(_A4="A-220-100",'2025'!$D$4="FO",'2025'!$D$2=BI5),'2025DATA'!$D$36,"")</f>
        <v/>
      </c>
      <c r="BJ39" s="518" t="str">
        <f>IF(AND(_A4="A-220-100",'2025'!$D$4="FO",'2025'!$D$2=BJ5),'2025DATA'!$E$36,"")</f>
        <v/>
      </c>
      <c r="BK39" s="518" t="str">
        <f>IF(AND(_A4="A-220-100",'2025'!$D$4="FO",'2025'!$D$2=BK5),'2025DATA'!$F$36,"")</f>
        <v/>
      </c>
      <c r="BL39" s="518" t="str">
        <f>IF(AND(_A4="A-220-100",'2025'!$D$4="FO",'2025'!$D$2=BL5),'2025DATA'!$G$36,"")</f>
        <v/>
      </c>
      <c r="BM39" s="518" t="str">
        <f>IF(AND(_A4="A-220-100",'2025'!$D$4="FO",'2025'!$D$2=BM5),'2025DATA'!$H$36,"")</f>
        <v/>
      </c>
      <c r="BN39" s="518" t="str">
        <f>IF(AND(_A4="A-220-100",'2025'!$D$4="FO",'2025'!$D$2=BN5),'2025DATA'!$I$36,"")</f>
        <v/>
      </c>
      <c r="BO39" s="518" t="str">
        <f>IF(AND(_A4="A-220-100",'2025'!$D$4="FO",'2025'!$D$2=BO5),'2025DATA'!$J$36,"")</f>
        <v/>
      </c>
      <c r="BP39" s="518" t="str">
        <f>IF(AND(_A4="A-220-100",'2025'!$D$4="FO",'2025'!$D$2=BP5),'2025DATA'!$K$36,"")</f>
        <v/>
      </c>
      <c r="BQ39" s="518" t="str">
        <f>IF(AND(_A4="A-220-100",'2025'!$D$4="FO",'2025'!$D$2=BQ5),'2025DATA'!$L$36,"")</f>
        <v/>
      </c>
      <c r="BR39" s="518" t="str">
        <f>IF(AND(_A4="A-220-100",'2025'!$D$4="FO",'2025'!$D$2=BR5),'2025DATA'!$M$36,"")</f>
        <v/>
      </c>
      <c r="BS39" s="520" t="str">
        <f>IF(AND(_A4="A-220-100",'2025'!$D$4="FO",'2025'!$D$2=BS5),'2025DATA'!$N$36,"")</f>
        <v/>
      </c>
      <c r="BT39" s="940"/>
      <c r="BU39" s="13" t="s">
        <v>62</v>
      </c>
      <c r="BV39" s="518" t="str">
        <f>IF(AND(_A5="A-220-100",'2025'!$D$4="FO",'2025'!$D$2=BV5),'2025DATA'!$C$36,"")</f>
        <v/>
      </c>
      <c r="BW39" s="518" t="str">
        <f>IF(AND(_A5="A-220-100",'2025'!$D$4="FO",'2025'!$D$2=BW5),'2025DATA'!$D$36,"")</f>
        <v/>
      </c>
      <c r="BX39" s="518" t="str">
        <f>IF(AND(_A5="A-220-100",'2025'!$D$4="FO",'2025'!$D$2=BX5),'2025DATA'!$E$36,"")</f>
        <v/>
      </c>
      <c r="BY39" s="518" t="str">
        <f>IF(AND(_A5="A-220-100",'2025'!$D$4="FO",'2025'!$D$2=BY5),'2025DATA'!$F$36,"")</f>
        <v/>
      </c>
      <c r="BZ39" s="518" t="str">
        <f>IF(AND(_A5="A-220-100",'2025'!$D$4="FO",'2025'!$D$2=BZ5),'2025DATA'!$G$36,"")</f>
        <v/>
      </c>
      <c r="CA39" s="518" t="str">
        <f>IF(AND(_A5="A-220-100",'2025'!$D$4="FO",'2025'!$D$2=CA5),'2025DATA'!$H$36,"")</f>
        <v/>
      </c>
      <c r="CB39" s="518" t="str">
        <f>IF(AND(_A5="A-220-100",'2025'!$D$4="FO",'2025'!$D$2=CB5),'2025DATA'!$I$36,"")</f>
        <v/>
      </c>
      <c r="CC39" s="518" t="str">
        <f>IF(AND(_A5="A-220-100",'2025'!$D$4="FO",'2025'!$D$2=CC5),'2025DATA'!$J$36,"")</f>
        <v/>
      </c>
      <c r="CD39" s="518" t="str">
        <f>IF(AND(_A5="A-220-100",'2025'!$D$4="FO",'2025'!$D$2=CD5),'2025DATA'!$K$36,"")</f>
        <v/>
      </c>
      <c r="CE39" s="518" t="str">
        <f>IF(AND(_A5="A-220-100",'2025'!$D$4="FO",'2025'!$D$2=CE5),'2025DATA'!$L$36,"")</f>
        <v/>
      </c>
      <c r="CF39" s="518" t="str">
        <f>IF(AND(_A5="A-220-100",'2025'!$D$4="FO",'2025'!$D$2=CF5),'2025DATA'!$M$36,"")</f>
        <v/>
      </c>
      <c r="CG39" s="520" t="str">
        <f>IF(AND(_A5="A-220-100",'2025'!$D$4="FO",'2025'!$D$2=CG5),'2025DATA'!$N$36,"")</f>
        <v/>
      </c>
      <c r="CH39" s="940"/>
      <c r="CI39" s="13" t="s">
        <v>62</v>
      </c>
      <c r="CJ39" s="518" t="str">
        <f>IF(AND(_A6="A-220-100",'2025'!$D$4="FO",'2025'!$D$2=CJ5),'2025DATA'!$C$36,"")</f>
        <v/>
      </c>
      <c r="CK39" s="518" t="str">
        <f>IF(AND(_A6="A-220-100",'2025'!$D$4="FO",'2025'!$D$2=CK5),'2025DATA'!$D$36,"")</f>
        <v/>
      </c>
      <c r="CL39" s="518" t="str">
        <f>IF(AND(_A6="A-220-100",'2025'!$D$4="FO",'2025'!$D$2=CL5),'2025DATA'!$E$36,"")</f>
        <v/>
      </c>
      <c r="CM39" s="518" t="str">
        <f>IF(AND(_A6="A-220-100",'2025'!$D$4="FO",'2025'!$D$2=CM5),'2025DATA'!$F$36,"")</f>
        <v/>
      </c>
      <c r="CN39" s="518" t="str">
        <f>IF(AND(_A6="A-220-100",'2025'!$D$4="FO",'2025'!$D$2=CN5),'2025DATA'!$G$36,"")</f>
        <v/>
      </c>
      <c r="CO39" s="518" t="str">
        <f>IF(AND(_A6="A-220-100",'2025'!$D$4="FO",'2025'!$D$2=CO5),'2025DATA'!$H$36,"")</f>
        <v/>
      </c>
      <c r="CP39" s="518" t="str">
        <f>IF(AND(_A6="A-220-100",'2025'!$D$4="FO",'2025'!$D$2=CP5),'2025DATA'!$I$36,"")</f>
        <v/>
      </c>
      <c r="CQ39" s="518" t="str">
        <f>IF(AND(_A6="A-220-100",'2025'!$D$4="FO",'2025'!$D$2=CQ5),'2025DATA'!$J$36,"")</f>
        <v/>
      </c>
      <c r="CR39" s="518" t="str">
        <f>IF(AND(_A6="A-220-100",'2025'!$D$4="FO",'2025'!$D$2=CR5),'2025DATA'!$K$36,"")</f>
        <v/>
      </c>
      <c r="CS39" s="518" t="str">
        <f>IF(AND(_A6="A-220-100",'2025'!$D$4="FO",'2025'!$D$2=CS5),'2025DATA'!$L$36,"")</f>
        <v/>
      </c>
      <c r="CT39" s="518" t="str">
        <f>IF(AND(_A6="A-220-100",'2025'!$D$4="FO",'2025'!$D$2=CT5),'2025DATA'!$M$36,"")</f>
        <v/>
      </c>
      <c r="CU39" s="520" t="str">
        <f>IF(AND(_A6="A-220-100",'2025'!$D$4="FO",'2025'!$D$2=CU5),'2025DATA'!$N$36,"")</f>
        <v/>
      </c>
    </row>
    <row r="40" spans="1:99" x14ac:dyDescent="0.25">
      <c r="P40" s="940" t="s">
        <v>53</v>
      </c>
      <c r="Q40" s="13" t="s">
        <v>61</v>
      </c>
      <c r="R40" s="518" t="str">
        <f>IF(AND(_A1="B-717",'2025'!$D$4="CA",'2025'!$D$2=R5),'2025DATA'!$C$37,"")</f>
        <v/>
      </c>
      <c r="S40" s="518" t="str">
        <f>IF(AND(_A1="B-717",'2025'!$D$4="CA",'2025'!$D$2=S5),'2025DATA'!$D$37,"")</f>
        <v/>
      </c>
      <c r="T40" s="518" t="str">
        <f>IF(AND(_A1="B-717",'2025'!$D$4="CA",'2025'!$D$2=T5),'2025DATA'!$E$37,"")</f>
        <v/>
      </c>
      <c r="U40" s="518" t="str">
        <f>IF(AND(_A1="B-717",'2025'!$D$4="CA",'2025'!$D$2=U5),'2025DATA'!$F$37,"")</f>
        <v/>
      </c>
      <c r="V40" s="518" t="str">
        <f>IF(AND(_A1="B-717",'2025'!$D$4="CA",'2025'!$D$2=V5),'2025DATA'!$G$37,"")</f>
        <v/>
      </c>
      <c r="W40" s="518" t="str">
        <f>IF(AND(_A1="B-717",'2025'!$D$4="CA",'2025'!$D$2=W5),'2025DATA'!$H$37,"")</f>
        <v/>
      </c>
      <c r="X40" s="518" t="str">
        <f>IF(AND(_A1="B-717",'2025'!$D$4="CA",'2025'!$D$2=X5),'2025DATA'!$I$37,"")</f>
        <v/>
      </c>
      <c r="Y40" s="518" t="str">
        <f>IF(AND(_A1="B-717",'2025'!$D$4="CA",'2025'!$D$2=Y5),'2025DATA'!$J$37,"")</f>
        <v/>
      </c>
      <c r="Z40" s="518" t="str">
        <f>IF(AND(_A1="B-717",'2025'!$D$4="CA",'2025'!$D$2=Z5),'2025DATA'!$K$37,"")</f>
        <v/>
      </c>
      <c r="AA40" s="518" t="str">
        <f>IF(AND(_A1="B-717",'2025'!$D$4="CA",'2025'!$D$2=AA5),'2025DATA'!$L$37,"")</f>
        <v/>
      </c>
      <c r="AB40" s="518" t="str">
        <f>IF(AND(_A1="B-717",'2025'!$D$4="CA",'2025'!$D$2=AB5),'2025DATA'!$M$37,"")</f>
        <v/>
      </c>
      <c r="AC40" s="520" t="str">
        <f>IF(AND(_A1="B-717",'2025'!$D$4="CA",'2025'!$D$2=AC5),'2025DATA'!$N$37,"")</f>
        <v/>
      </c>
      <c r="AD40" s="940" t="s">
        <v>53</v>
      </c>
      <c r="AE40" s="13" t="s">
        <v>61</v>
      </c>
      <c r="AF40" s="518" t="str">
        <f>IF(AND(_A2="B-717",'2025'!$D$4="CA",'2025'!$D$2=AF5),'2025DATA'!$C$37,"")</f>
        <v/>
      </c>
      <c r="AG40" s="518" t="str">
        <f>IF(AND(_A2="B-717",'2025'!$D$4="CA",'2025'!$D$2=AG5),'2025DATA'!$D$37,"")</f>
        <v/>
      </c>
      <c r="AH40" s="518" t="str">
        <f>IF(AND(_A2="B-717",'2025'!$D$4="CA",'2025'!$D$2=AH5),'2025DATA'!$E$37,"")</f>
        <v/>
      </c>
      <c r="AI40" s="518" t="str">
        <f>IF(AND(_A2="B-717",'2025'!$D$4="CA",'2025'!$D$2=AI5),'2025DATA'!$F$37,"")</f>
        <v/>
      </c>
      <c r="AJ40" s="518" t="str">
        <f>IF(AND(_A2="B-717",'2025'!$D$4="CA",'2025'!$D$2=AJ5),'2025DATA'!$G$37,"")</f>
        <v/>
      </c>
      <c r="AK40" s="518" t="str">
        <f>IF(AND(_A2="B-717",'2025'!$D$4="CA",'2025'!$D$2=AK5),'2025DATA'!$H$37,"")</f>
        <v/>
      </c>
      <c r="AL40" s="518" t="str">
        <f>IF(AND(_A2="B-717",'2025'!$D$4="CA",'2025'!$D$2=AL5),'2025DATA'!$I$37,"")</f>
        <v/>
      </c>
      <c r="AM40" s="518" t="str">
        <f>IF(AND(_A2="B-717",'2025'!$D$4="CA",'2025'!$D$2=AM5),'2025DATA'!$J$37,"")</f>
        <v/>
      </c>
      <c r="AN40" s="518" t="str">
        <f>IF(AND(_A2="B-717",'2025'!$D$4="CA",'2025'!$D$2=AN5),'2025DATA'!$K$37,"")</f>
        <v/>
      </c>
      <c r="AO40" s="518" t="str">
        <f>IF(AND(_A2="B-717",'2025'!$D$4="CA",'2025'!$D$2=AO5),'2025DATA'!$L$37,"")</f>
        <v/>
      </c>
      <c r="AP40" s="518" t="str">
        <f>IF(AND(_A2="B-717",'2025'!$D$4="CA",'2025'!$D$2=AP5),'2025DATA'!$M$37,"")</f>
        <v/>
      </c>
      <c r="AQ40" s="520" t="str">
        <f>IF(AND(_A2="B-717",'2025'!$D$4="CA",'2025'!$D$2=AQ5),'2025DATA'!$N$37,"")</f>
        <v/>
      </c>
      <c r="AR40" s="940" t="s">
        <v>53</v>
      </c>
      <c r="AS40" s="13" t="s">
        <v>61</v>
      </c>
      <c r="AT40" s="518" t="str">
        <f>IF(AND(_A3="B-717",'2025'!$D$4="CA",'2025'!$D$2=AT5),'2025DATA'!$C$37,"")</f>
        <v/>
      </c>
      <c r="AU40" s="518" t="str">
        <f>IF(AND(_A3="B-717",'2025'!$D$4="CA",'2025'!$D$2=AU5),'2025DATA'!$D$37,"")</f>
        <v/>
      </c>
      <c r="AV40" s="518" t="str">
        <f>IF(AND(_A3="B-717",'2025'!$D$4="CA",'2025'!$D$2=AV5),'2025DATA'!$E$37,"")</f>
        <v/>
      </c>
      <c r="AW40" s="518" t="str">
        <f>IF(AND(_A3="B-717",'2025'!$D$4="CA",'2025'!$D$2=AW5),'2025DATA'!$F$37,"")</f>
        <v/>
      </c>
      <c r="AX40" s="518" t="str">
        <f>IF(AND(_A3="B-717",'2025'!$D$4="CA",'2025'!$D$2=AX5),'2025DATA'!$G$37,"")</f>
        <v/>
      </c>
      <c r="AY40" s="518" t="str">
        <f>IF(AND(_A3="B-717",'2025'!$D$4="CA",'2025'!$D$2=AY5),'2025DATA'!$H$37,"")</f>
        <v/>
      </c>
      <c r="AZ40" s="518" t="str">
        <f>IF(AND(_A3="B-717",'2025'!$D$4="CA",'2025'!$D$2=AZ5),'2025DATA'!$I$37,"")</f>
        <v/>
      </c>
      <c r="BA40" s="518" t="str">
        <f>IF(AND(_A3="B-717",'2025'!$D$4="CA",'2025'!$D$2=BA5),'2025DATA'!$J$37,"")</f>
        <v/>
      </c>
      <c r="BB40" s="518" t="str">
        <f>IF(AND(_A3="B-717",'2025'!$D$4="CA",'2025'!$D$2=BB5),'2025DATA'!$K$37,"")</f>
        <v/>
      </c>
      <c r="BC40" s="518" t="str">
        <f>IF(AND(_A3="B-717",'2025'!$D$4="CA",'2025'!$D$2=BC5),'2025DATA'!$L$37,"")</f>
        <v/>
      </c>
      <c r="BD40" s="518" t="str">
        <f>IF(AND(_A3="B-717",'2025'!$D$4="CA",'2025'!$D$2=BD5),'2025DATA'!$M$37,"")</f>
        <v/>
      </c>
      <c r="BE40" s="520" t="str">
        <f>IF(AND(_A3="B-717",'2025'!$D$4="CA",'2025'!$D$2=BE5),'2025DATA'!$N$37,"")</f>
        <v/>
      </c>
      <c r="BF40" s="940" t="s">
        <v>53</v>
      </c>
      <c r="BG40" s="13" t="s">
        <v>61</v>
      </c>
      <c r="BH40" s="518" t="str">
        <f>IF(AND(_A4="B-717",'2025'!$D$4="CA",'2025'!$D$2=BH5),'2025DATA'!$C$37,"")</f>
        <v/>
      </c>
      <c r="BI40" s="518" t="str">
        <f>IF(AND(_A4="B-717",'2025'!$D$4="CA",'2025'!$D$2=BI5),'2025DATA'!$D$37,"")</f>
        <v/>
      </c>
      <c r="BJ40" s="518" t="str">
        <f>IF(AND(_A4="B-717",'2025'!$D$4="CA",'2025'!$D$2=BJ5),'2025DATA'!$E$37,"")</f>
        <v/>
      </c>
      <c r="BK40" s="518" t="str">
        <f>IF(AND(_A4="B-717",'2025'!$D$4="CA",'2025'!$D$2=BK5),'2025DATA'!$F$37,"")</f>
        <v/>
      </c>
      <c r="BL40" s="518" t="str">
        <f>IF(AND(_A4="B-717",'2025'!$D$4="CA",'2025'!$D$2=BL5),'2025DATA'!$G$37,"")</f>
        <v/>
      </c>
      <c r="BM40" s="518" t="str">
        <f>IF(AND(_A4="B-717",'2025'!$D$4="CA",'2025'!$D$2=BM5),'2025DATA'!$H$37,"")</f>
        <v/>
      </c>
      <c r="BN40" s="518" t="str">
        <f>IF(AND(_A4="B-717",'2025'!$D$4="CA",'2025'!$D$2=BN5),'2025DATA'!$I$37,"")</f>
        <v/>
      </c>
      <c r="BO40" s="518" t="str">
        <f>IF(AND(_A4="B-717",'2025'!$D$4="CA",'2025'!$D$2=BO5),'2025DATA'!$J$37,"")</f>
        <v/>
      </c>
      <c r="BP40" s="518" t="str">
        <f>IF(AND(_A4="B-717",'2025'!$D$4="CA",'2025'!$D$2=BP5),'2025DATA'!$K$37,"")</f>
        <v/>
      </c>
      <c r="BQ40" s="518" t="str">
        <f>IF(AND(_A4="B-717",'2025'!$D$4="CA",'2025'!$D$2=BQ5),'2025DATA'!$L$37,"")</f>
        <v/>
      </c>
      <c r="BR40" s="518" t="str">
        <f>IF(AND(_A4="B-717",'2025'!$D$4="CA",'2025'!$D$2=BR5),'2025DATA'!$M$37,"")</f>
        <v/>
      </c>
      <c r="BS40" s="520" t="str">
        <f>IF(AND(_A4="B-717",'2025'!$D$4="CA",'2025'!$D$2=BS5),'2025DATA'!$N$37,"")</f>
        <v/>
      </c>
      <c r="BT40" s="940" t="s">
        <v>53</v>
      </c>
      <c r="BU40" s="13" t="s">
        <v>61</v>
      </c>
      <c r="BV40" s="518" t="str">
        <f>IF(AND(_A5="B-717",'2025'!$D$4="CA",'2025'!$D$2=BV5),'2025DATA'!$C$37,"")</f>
        <v/>
      </c>
      <c r="BW40" s="518" t="str">
        <f>IF(AND(_A5="B-717",'2025'!$D$4="CA",'2025'!$D$2=BW5),'2025DATA'!$D$37,"")</f>
        <v/>
      </c>
      <c r="BX40" s="518" t="str">
        <f>IF(AND(_A5="B-717",'2025'!$D$4="CA",'2025'!$D$2=BX5),'2025DATA'!$E$37,"")</f>
        <v/>
      </c>
      <c r="BY40" s="518" t="str">
        <f>IF(AND(_A5="B-717",'2025'!$D$4="CA",'2025'!$D$2=BY5),'2025DATA'!$F$37,"")</f>
        <v/>
      </c>
      <c r="BZ40" s="518" t="str">
        <f>IF(AND(_A5="B-717",'2025'!$D$4="CA",'2025'!$D$2=BZ5),'2025DATA'!$G$37,"")</f>
        <v/>
      </c>
      <c r="CA40" s="518" t="str">
        <f>IF(AND(_A5="B-717",'2025'!$D$4="CA",'2025'!$D$2=CA5),'2025DATA'!$H$37,"")</f>
        <v/>
      </c>
      <c r="CB40" s="518" t="str">
        <f>IF(AND(_A5="B-717",'2025'!$D$4="CA",'2025'!$D$2=CB5),'2025DATA'!$I$37,"")</f>
        <v/>
      </c>
      <c r="CC40" s="518" t="str">
        <f>IF(AND(_A5="B-717",'2025'!$D$4="CA",'2025'!$D$2=CC5),'2025DATA'!$J$37,"")</f>
        <v/>
      </c>
      <c r="CD40" s="518" t="str">
        <f>IF(AND(_A5="B-717",'2025'!$D$4="CA",'2025'!$D$2=CD5),'2025DATA'!$K$37,"")</f>
        <v/>
      </c>
      <c r="CE40" s="518" t="str">
        <f>IF(AND(_A5="B-717",'2025'!$D$4="CA",'2025'!$D$2=CE5),'2025DATA'!$L$37,"")</f>
        <v/>
      </c>
      <c r="CF40" s="518" t="str">
        <f>IF(AND(_A5="B-717",'2025'!$D$4="CA",'2025'!$D$2=CF5),'2025DATA'!$M$37,"")</f>
        <v/>
      </c>
      <c r="CG40" s="520" t="str">
        <f>IF(AND(_A5="B-717",'2025'!$D$4="CA",'2025'!$D$2=CG5),'2025DATA'!$N$37,"")</f>
        <v/>
      </c>
      <c r="CH40" s="940" t="s">
        <v>53</v>
      </c>
      <c r="CI40" s="13" t="s">
        <v>61</v>
      </c>
      <c r="CJ40" s="518" t="str">
        <f>IF(AND(_A6="B-717",'2025'!$D$4="CA",'2025'!$D$2=CJ5),'2025DATA'!$C$37,"")</f>
        <v/>
      </c>
      <c r="CK40" s="518" t="str">
        <f>IF(AND(_A6="B-717",'2025'!$D$4="CA",'2025'!$D$2=CK5),'2025DATA'!$D$37,"")</f>
        <v/>
      </c>
      <c r="CL40" s="518" t="str">
        <f>IF(AND(_A6="B-717",'2025'!$D$4="CA",'2025'!$D$2=CL5),'2025DATA'!$E$37,"")</f>
        <v/>
      </c>
      <c r="CM40" s="518" t="str">
        <f>IF(AND(_A6="B-717",'2025'!$D$4="CA",'2025'!$D$2=CM5),'2025DATA'!$F$37,"")</f>
        <v/>
      </c>
      <c r="CN40" s="518" t="str">
        <f>IF(AND(_A6="B-717",'2025'!$D$4="CA",'2025'!$D$2=CN5),'2025DATA'!$G$37,"")</f>
        <v/>
      </c>
      <c r="CO40" s="518" t="str">
        <f>IF(AND(_A6="B-717",'2025'!$D$4="CA",'2025'!$D$2=CO5),'2025DATA'!$H$37,"")</f>
        <v/>
      </c>
      <c r="CP40" s="518" t="str">
        <f>IF(AND(_A6="B-717",'2025'!$D$4="CA",'2025'!$D$2=CP5),'2025DATA'!$I$37,"")</f>
        <v/>
      </c>
      <c r="CQ40" s="518" t="str">
        <f>IF(AND(_A6="B-717",'2025'!$D$4="CA",'2025'!$D$2=CQ5),'2025DATA'!$J$37,"")</f>
        <v/>
      </c>
      <c r="CR40" s="518" t="str">
        <f>IF(AND(_A6="B-717",'2025'!$D$4="CA",'2025'!$D$2=CR5),'2025DATA'!$K$37,"")</f>
        <v/>
      </c>
      <c r="CS40" s="518" t="str">
        <f>IF(AND(_A6="B-717",'2025'!$D$4="CA",'2025'!$D$2=CS5),'2025DATA'!$L$37,"")</f>
        <v/>
      </c>
      <c r="CT40" s="518" t="str">
        <f>IF(AND(_A6="B-717",'2025'!$D$4="CA",'2025'!$D$2=CT5),'2025DATA'!$M$37,"")</f>
        <v/>
      </c>
      <c r="CU40" s="520" t="str">
        <f>IF(AND(_A6="B-717",'2025'!$D$4="CA",'2025'!$D$2=CU5),'2025DATA'!$N$37,"")</f>
        <v/>
      </c>
    </row>
    <row r="41" spans="1:99" ht="15.75" thickBot="1" x14ac:dyDescent="0.3">
      <c r="P41" s="941"/>
      <c r="Q41" s="521" t="s">
        <v>62</v>
      </c>
      <c r="R41" s="522" t="str">
        <f>IF(AND(_A1="B-717",'2025'!$D$4="FO",'2025'!$D$2=R5),'2025DATA'!$C$38,"")</f>
        <v/>
      </c>
      <c r="S41" s="522" t="str">
        <f>IF(AND(_A1="B-717",'2025'!$D$4="FO",'2025'!$D$2=S5),'2025DATA'!$D$38,"")</f>
        <v/>
      </c>
      <c r="T41" s="522" t="str">
        <f>IF(AND(_A1="B-717",'2025'!$D$4="FO",'2025'!$D$2=T5),'2025DATA'!$E$38,"")</f>
        <v/>
      </c>
      <c r="U41" s="522" t="str">
        <f>IF(AND(_A1="B-717",'2025'!$D$4="FO",'2025'!$D$2=U5),'2025DATA'!$F$38,"")</f>
        <v/>
      </c>
      <c r="V41" s="522" t="str">
        <f>IF(AND(_A1="B-717",'2025'!$D$4="FO",'2025'!$D$2=V5),'2025DATA'!$G$38,"")</f>
        <v/>
      </c>
      <c r="W41" s="522" t="str">
        <f>IF(AND(_A1="B-717",'2025'!$D$4="FO",'2025'!$D$2=W5),'2025DATA'!$H$38,"")</f>
        <v/>
      </c>
      <c r="X41" s="522" t="str">
        <f>IF(AND(_A1="B-717",'2025'!$D$4="FO",'2025'!$D$2=X5),'2025DATA'!$I$38,"")</f>
        <v/>
      </c>
      <c r="Y41" s="522" t="str">
        <f>IF(AND(_A1="B-717",'2025'!$D$4="FO",'2025'!$D$2=Y5),'2025DATA'!$J$38,"")</f>
        <v/>
      </c>
      <c r="Z41" s="522" t="str">
        <f>IF(AND(_A1="B-717",'2025'!$D$4="FO",'2025'!$D$2=Z5),'2025DATA'!$K$38,"")</f>
        <v/>
      </c>
      <c r="AA41" s="522" t="str">
        <f>IF(AND(_A1="B-717",'2025'!$D$4="FO",'2025'!$D$2=AA5),'2025DATA'!$L$38,"")</f>
        <v/>
      </c>
      <c r="AB41" s="522" t="str">
        <f>IF(AND(_A1="B-717",'2025'!$D$4="FO",'2025'!$D$2=AB5),'2025DATA'!$M$38,"")</f>
        <v/>
      </c>
      <c r="AC41" s="523" t="str">
        <f>IF(AND(_A1="B-717",'2025'!$D$4="FO",'2025'!$D$2=AC5),'2025DATA'!$N$38,"")</f>
        <v/>
      </c>
      <c r="AD41" s="940"/>
      <c r="AE41" s="13" t="s">
        <v>62</v>
      </c>
      <c r="AF41" s="518" t="str">
        <f>IF(AND(_A2="B-717",'2025'!$D$4="FO",'2025'!$D$2=AF5),'2025DATA'!$C$38,"")</f>
        <v/>
      </c>
      <c r="AG41" s="518" t="str">
        <f>IF(AND(_A2="B-717",'2025'!$D$4="FO",'2025'!$D$2=AG5),'2025DATA'!$D$38,"")</f>
        <v/>
      </c>
      <c r="AH41" s="518" t="str">
        <f>IF(AND(_A2="B-717",'2025'!$D$4="FO",'2025'!$D$2=AH5),'2025DATA'!$E$38,"")</f>
        <v/>
      </c>
      <c r="AI41" s="518" t="str">
        <f>IF(AND(_A2="B-717",'2025'!$D$4="FO",'2025'!$D$2=AI5),'2025DATA'!$F$38,"")</f>
        <v/>
      </c>
      <c r="AJ41" s="518" t="str">
        <f>IF(AND(_A2="B-717",'2025'!$D$4="FO",'2025'!$D$2=AJ5),'2025DATA'!$G$38,"")</f>
        <v/>
      </c>
      <c r="AK41" s="518" t="str">
        <f>IF(AND(_A2="B-717",'2025'!$D$4="FO",'2025'!$D$2=AK5),'2025DATA'!$H$38,"")</f>
        <v/>
      </c>
      <c r="AL41" s="518" t="str">
        <f>IF(AND(_A2="B-717",'2025'!$D$4="FO",'2025'!$D$2=AL5),'2025DATA'!$I$38,"")</f>
        <v/>
      </c>
      <c r="AM41" s="518" t="str">
        <f>IF(AND(_A2="B-717",'2025'!$D$4="FO",'2025'!$D$2=AM5),'2025DATA'!$J$38,"")</f>
        <v/>
      </c>
      <c r="AN41" s="518" t="str">
        <f>IF(AND(_A2="B-717",'2025'!$D$4="FO",'2025'!$D$2=AN5),'2025DATA'!$K$38,"")</f>
        <v/>
      </c>
      <c r="AO41" s="518" t="str">
        <f>IF(AND(_A2="B-717",'2025'!$D$4="FO",'2025'!$D$2=AO5),'2025DATA'!$L$38,"")</f>
        <v/>
      </c>
      <c r="AP41" s="518" t="str">
        <f>IF(AND(_A2="B-717",'2025'!$D$4="FO",'2025'!$D$2=AP5),'2025DATA'!$M$38,"")</f>
        <v/>
      </c>
      <c r="AQ41" s="520" t="str">
        <f>IF(AND(_A2="B-717",'2025'!$D$4="FO",'2025'!$D$2=AQ5),'2025DATA'!$N$38,"")</f>
        <v/>
      </c>
      <c r="AR41" s="940"/>
      <c r="AS41" s="13" t="s">
        <v>62</v>
      </c>
      <c r="AT41" s="518" t="str">
        <f>IF(AND(_A3="B-717",'2025'!$D$4="FO",'2025'!$D$2=AT5),'2025DATA'!$C$38,"")</f>
        <v/>
      </c>
      <c r="AU41" s="518" t="str">
        <f>IF(AND(_A3="B-717",'2025'!$D$4="FO",'2025'!$D$2=AU5),'2025DATA'!$D$38,"")</f>
        <v/>
      </c>
      <c r="AV41" s="518" t="str">
        <f>IF(AND(_A3="B-717",'2025'!$D$4="FO",'2025'!$D$2=AV5),'2025DATA'!$E$38,"")</f>
        <v/>
      </c>
      <c r="AW41" s="518" t="str">
        <f>IF(AND(_A3="B-717",'2025'!$D$4="FO",'2025'!$D$2=AW5),'2025DATA'!$F$38,"")</f>
        <v/>
      </c>
      <c r="AX41" s="518" t="str">
        <f>IF(AND(_A3="B-717",'2025'!$D$4="FO",'2025'!$D$2=AX5),'2025DATA'!$G$38,"")</f>
        <v/>
      </c>
      <c r="AY41" s="518" t="str">
        <f>IF(AND(_A3="B-717",'2025'!$D$4="FO",'2025'!$D$2=AY5),'2025DATA'!$H$38,"")</f>
        <v/>
      </c>
      <c r="AZ41" s="518" t="str">
        <f>IF(AND(_A3="B-717",'2025'!$D$4="FO",'2025'!$D$2=AZ5),'2025DATA'!$I$38,"")</f>
        <v/>
      </c>
      <c r="BA41" s="518" t="str">
        <f>IF(AND(_A3="B-717",'2025'!$D$4="FO",'2025'!$D$2=BA5),'2025DATA'!$J$38,"")</f>
        <v/>
      </c>
      <c r="BB41" s="518" t="str">
        <f>IF(AND(_A3="B-717",'2025'!$D$4="FO",'2025'!$D$2=BB5),'2025DATA'!$K$38,"")</f>
        <v/>
      </c>
      <c r="BC41" s="518" t="str">
        <f>IF(AND(_A3="B-717",'2025'!$D$4="FO",'2025'!$D$2=BC5),'2025DATA'!$L$38,"")</f>
        <v/>
      </c>
      <c r="BD41" s="518" t="str">
        <f>IF(AND(_A3="B-717",'2025'!$D$4="FO",'2025'!$D$2=BD5),'2025DATA'!$M$38,"")</f>
        <v/>
      </c>
      <c r="BE41" s="520" t="str">
        <f>IF(AND(_A3="B-717",'2025'!$D$4="FO",'2025'!$D$2=BE5),'2025DATA'!$N$38,"")</f>
        <v/>
      </c>
      <c r="BF41" s="940"/>
      <c r="BG41" s="13" t="s">
        <v>62</v>
      </c>
      <c r="BH41" s="518" t="str">
        <f>IF(AND(_A4="B-717",'2025'!$D$4="FO",'2025'!$D$2=BH5),'2025DATA'!$C$38,"")</f>
        <v/>
      </c>
      <c r="BI41" s="518" t="str">
        <f>IF(AND(_A4="B-717",'2025'!$D$4="FO",'2025'!$D$2=BI5),'2025DATA'!$D$38,"")</f>
        <v/>
      </c>
      <c r="BJ41" s="518" t="str">
        <f>IF(AND(_A4="B-717",'2025'!$D$4="FO",'2025'!$D$2=BJ5),'2025DATA'!$E$38,"")</f>
        <v/>
      </c>
      <c r="BK41" s="518" t="str">
        <f>IF(AND(_A4="B-717",'2025'!$D$4="FO",'2025'!$D$2=BK5),'2025DATA'!$F$38,"")</f>
        <v/>
      </c>
      <c r="BL41" s="518" t="str">
        <f>IF(AND(_A4="B-717",'2025'!$D$4="FO",'2025'!$D$2=BL5),'2025DATA'!$G$38,"")</f>
        <v/>
      </c>
      <c r="BM41" s="518" t="str">
        <f>IF(AND(_A4="B-717",'2025'!$D$4="FO",'2025'!$D$2=BM5),'2025DATA'!$H$38,"")</f>
        <v/>
      </c>
      <c r="BN41" s="518" t="str">
        <f>IF(AND(_A4="B-717",'2025'!$D$4="FO",'2025'!$D$2=BN5),'2025DATA'!$I$38,"")</f>
        <v/>
      </c>
      <c r="BO41" s="518" t="str">
        <f>IF(AND(_A4="B-717",'2025'!$D$4="FO",'2025'!$D$2=BO5),'2025DATA'!$J$38,"")</f>
        <v/>
      </c>
      <c r="BP41" s="518" t="str">
        <f>IF(AND(_A4="B-717",'2025'!$D$4="FO",'2025'!$D$2=BP5),'2025DATA'!$K$38,"")</f>
        <v/>
      </c>
      <c r="BQ41" s="518" t="str">
        <f>IF(AND(_A4="B-717",'2025'!$D$4="FO",'2025'!$D$2=BQ5),'2025DATA'!$L$38,"")</f>
        <v/>
      </c>
      <c r="BR41" s="518" t="str">
        <f>IF(AND(_A4="B-717",'2025'!$D$4="FO",'2025'!$D$2=BR5),'2025DATA'!$M$38,"")</f>
        <v/>
      </c>
      <c r="BS41" s="520" t="str">
        <f>IF(AND(_A4="B-717",'2025'!$D$4="FO",'2025'!$D$2=BS5),'2025DATA'!$N$38,"")</f>
        <v/>
      </c>
      <c r="BT41" s="940"/>
      <c r="BU41" s="13" t="s">
        <v>62</v>
      </c>
      <c r="BV41" s="518" t="str">
        <f>IF(AND(_A5="B-717",'2025'!$D$4="FO",'2025'!$D$2=BV5),'2025DATA'!$C$38,"")</f>
        <v/>
      </c>
      <c r="BW41" s="518" t="str">
        <f>IF(AND(_A5="B-717",'2025'!$D$4="FO",'2025'!$D$2=BW5),'2025DATA'!$D$38,"")</f>
        <v/>
      </c>
      <c r="BX41" s="518" t="str">
        <f>IF(AND(_A5="B-717",'2025'!$D$4="FO",'2025'!$D$2=BX5),'2025DATA'!$E$38,"")</f>
        <v/>
      </c>
      <c r="BY41" s="518" t="str">
        <f>IF(AND(_A5="B-717",'2025'!$D$4="FO",'2025'!$D$2=BY5),'2025DATA'!$F$38,"")</f>
        <v/>
      </c>
      <c r="BZ41" s="518" t="str">
        <f>IF(AND(_A5="B-717",'2025'!$D$4="FO",'2025'!$D$2=BZ5),'2025DATA'!$G$38,"")</f>
        <v/>
      </c>
      <c r="CA41" s="518" t="str">
        <f>IF(AND(_A5="B-717",'2025'!$D$4="FO",'2025'!$D$2=CA5),'2025DATA'!$H$38,"")</f>
        <v/>
      </c>
      <c r="CB41" s="518" t="str">
        <f>IF(AND(_A5="B-717",'2025'!$D$4="FO",'2025'!$D$2=CB5),'2025DATA'!$I$38,"")</f>
        <v/>
      </c>
      <c r="CC41" s="518" t="str">
        <f>IF(AND(_A5="B-717",'2025'!$D$4="FO",'2025'!$D$2=CC5),'2025DATA'!$J$38,"")</f>
        <v/>
      </c>
      <c r="CD41" s="518" t="str">
        <f>IF(AND(_A5="B-717",'2025'!$D$4="FO",'2025'!$D$2=CD5),'2025DATA'!$K$38,"")</f>
        <v/>
      </c>
      <c r="CE41" s="518" t="str">
        <f>IF(AND(_A5="B-717",'2025'!$D$4="FO",'2025'!$D$2=CE5),'2025DATA'!$L$38,"")</f>
        <v/>
      </c>
      <c r="CF41" s="518" t="str">
        <f>IF(AND(_A5="B-717",'2025'!$D$4="FO",'2025'!$D$2=CF5),'2025DATA'!$M$38,"")</f>
        <v/>
      </c>
      <c r="CG41" s="520" t="str">
        <f>IF(AND(_A5="B-717",'2025'!$D$4="FO",'2025'!$D$2=CG5),'2025DATA'!$N$38,"")</f>
        <v/>
      </c>
      <c r="CH41" s="940"/>
      <c r="CI41" s="13" t="s">
        <v>62</v>
      </c>
      <c r="CJ41" s="518" t="str">
        <f>IF(AND(_A6="B-717",'2025'!$D$4="FO",'2025'!$D$2=CJ5),'2025DATA'!$C$38,"")</f>
        <v/>
      </c>
      <c r="CK41" s="518" t="str">
        <f>IF(AND(_A6="B-717",'2025'!$D$4="FO",'2025'!$D$2=CK5),'2025DATA'!$D$38,"")</f>
        <v/>
      </c>
      <c r="CL41" s="518" t="str">
        <f>IF(AND(_A6="B-717",'2025'!$D$4="FO",'2025'!$D$2=CL5),'2025DATA'!$E$38,"")</f>
        <v/>
      </c>
      <c r="CM41" s="518" t="str">
        <f>IF(AND(_A6="B-717",'2025'!$D$4="FO",'2025'!$D$2=CM5),'2025DATA'!$F$38,"")</f>
        <v/>
      </c>
      <c r="CN41" s="518" t="str">
        <f>IF(AND(_A6="B-717",'2025'!$D$4="FO",'2025'!$D$2=CN5),'2025DATA'!$G$38,"")</f>
        <v/>
      </c>
      <c r="CO41" s="518" t="str">
        <f>IF(AND(_A6="B-717",'2025'!$D$4="FO",'2025'!$D$2=CO5),'2025DATA'!$H$38,"")</f>
        <v/>
      </c>
      <c r="CP41" s="518" t="str">
        <f>IF(AND(_A6="B-717",'2025'!$D$4="FO",'2025'!$D$2=CP5),'2025DATA'!$I$38,"")</f>
        <v/>
      </c>
      <c r="CQ41" s="518" t="str">
        <f>IF(AND(_A6="B-717",'2025'!$D$4="FO",'2025'!$D$2=CQ5),'2025DATA'!$J$38,"")</f>
        <v/>
      </c>
      <c r="CR41" s="518" t="str">
        <f>IF(AND(_A6="B-717",'2025'!$D$4="FO",'2025'!$D$2=CR5),'2025DATA'!$K$38,"")</f>
        <v/>
      </c>
      <c r="CS41" s="518" t="str">
        <f>IF(AND(_A6="B-717",'2025'!$D$4="FO",'2025'!$D$2=CS5),'2025DATA'!$L$38,"")</f>
        <v/>
      </c>
      <c r="CT41" s="518" t="str">
        <f>IF(AND(_A6="B-717",'2025'!$D$4="FO",'2025'!$D$2=CT5),'2025DATA'!$M$38,"")</f>
        <v/>
      </c>
      <c r="CU41" s="520" t="str">
        <f>IF(AND(_A6="B-717",'2025'!$D$4="FO",'2025'!$D$2=CU5),'2025DATA'!$N$38,"")</f>
        <v/>
      </c>
    </row>
    <row r="42" spans="1:99" x14ac:dyDescent="0.25">
      <c r="P42" s="943" t="s">
        <v>116</v>
      </c>
      <c r="Q42" s="944"/>
      <c r="R42" s="944"/>
      <c r="S42" s="944"/>
      <c r="T42" s="944"/>
      <c r="U42" s="944"/>
      <c r="V42" s="944"/>
      <c r="W42" s="944"/>
      <c r="X42" s="944"/>
      <c r="Y42" s="944"/>
      <c r="Z42" s="944"/>
      <c r="AA42" s="944"/>
      <c r="AB42" s="944"/>
      <c r="AC42" s="945"/>
      <c r="AD42" s="943" t="s">
        <v>117</v>
      </c>
      <c r="AE42" s="944"/>
      <c r="AF42" s="944"/>
      <c r="AG42" s="944"/>
      <c r="AH42" s="944"/>
      <c r="AI42" s="944"/>
      <c r="AJ42" s="944"/>
      <c r="AK42" s="944"/>
      <c r="AL42" s="944"/>
      <c r="AM42" s="944"/>
      <c r="AN42" s="944"/>
      <c r="AO42" s="944"/>
      <c r="AP42" s="944"/>
      <c r="AQ42" s="945"/>
      <c r="AR42" s="943" t="s">
        <v>118</v>
      </c>
      <c r="AS42" s="944"/>
      <c r="AT42" s="944"/>
      <c r="AU42" s="944"/>
      <c r="AV42" s="944"/>
      <c r="AW42" s="944"/>
      <c r="AX42" s="944"/>
      <c r="AY42" s="944"/>
      <c r="AZ42" s="944"/>
      <c r="BA42" s="944"/>
      <c r="BB42" s="944"/>
      <c r="BC42" s="944"/>
      <c r="BD42" s="944"/>
      <c r="BE42" s="945"/>
      <c r="BF42" s="943" t="s">
        <v>119</v>
      </c>
      <c r="BG42" s="944"/>
      <c r="BH42" s="944"/>
      <c r="BI42" s="944"/>
      <c r="BJ42" s="944"/>
      <c r="BK42" s="944"/>
      <c r="BL42" s="944"/>
      <c r="BM42" s="944"/>
      <c r="BN42" s="944"/>
      <c r="BO42" s="944"/>
      <c r="BP42" s="944"/>
      <c r="BQ42" s="944"/>
      <c r="BR42" s="944"/>
      <c r="BS42" s="945"/>
      <c r="BT42" s="943" t="s">
        <v>120</v>
      </c>
      <c r="BU42" s="944"/>
      <c r="BV42" s="944"/>
      <c r="BW42" s="944"/>
      <c r="BX42" s="944"/>
      <c r="BY42" s="944"/>
      <c r="BZ42" s="944"/>
      <c r="CA42" s="944"/>
      <c r="CB42" s="944"/>
      <c r="CC42" s="944"/>
      <c r="CD42" s="944"/>
      <c r="CE42" s="944"/>
      <c r="CF42" s="944"/>
      <c r="CG42" s="945"/>
      <c r="CH42" s="943" t="s">
        <v>121</v>
      </c>
      <c r="CI42" s="944"/>
      <c r="CJ42" s="944"/>
      <c r="CK42" s="944"/>
      <c r="CL42" s="944"/>
      <c r="CM42" s="944"/>
      <c r="CN42" s="944"/>
      <c r="CO42" s="944"/>
      <c r="CP42" s="944"/>
      <c r="CQ42" s="944"/>
      <c r="CR42" s="944"/>
      <c r="CS42" s="944"/>
      <c r="CT42" s="944"/>
      <c r="CU42" s="945"/>
    </row>
    <row r="43" spans="1:99" x14ac:dyDescent="0.25">
      <c r="P43" s="581">
        <v>2</v>
      </c>
      <c r="Q43" s="571">
        <f>SUM(R44:AC79)</f>
        <v>0</v>
      </c>
      <c r="R43" s="3">
        <v>12</v>
      </c>
      <c r="S43" s="3">
        <v>11</v>
      </c>
      <c r="T43" s="3">
        <v>10</v>
      </c>
      <c r="U43" s="3">
        <v>9</v>
      </c>
      <c r="V43" s="3">
        <v>8</v>
      </c>
      <c r="W43" s="3">
        <v>7</v>
      </c>
      <c r="X43" s="3">
        <v>6</v>
      </c>
      <c r="Y43" s="3">
        <v>5</v>
      </c>
      <c r="Z43" s="3">
        <v>4</v>
      </c>
      <c r="AA43" s="3">
        <v>3</v>
      </c>
      <c r="AB43" s="3">
        <v>2</v>
      </c>
      <c r="AC43" s="519">
        <v>1</v>
      </c>
      <c r="AD43" s="571">
        <v>2</v>
      </c>
      <c r="AE43" s="571">
        <f>SUM(AF44:AQ79)</f>
        <v>0</v>
      </c>
      <c r="AF43" s="3">
        <v>12</v>
      </c>
      <c r="AG43" s="3">
        <v>11</v>
      </c>
      <c r="AH43" s="3">
        <v>10</v>
      </c>
      <c r="AI43" s="3">
        <v>9</v>
      </c>
      <c r="AJ43" s="3">
        <v>8</v>
      </c>
      <c r="AK43" s="3">
        <v>7</v>
      </c>
      <c r="AL43" s="3">
        <v>6</v>
      </c>
      <c r="AM43" s="3">
        <v>5</v>
      </c>
      <c r="AN43" s="3">
        <v>4</v>
      </c>
      <c r="AO43" s="3">
        <v>3</v>
      </c>
      <c r="AP43" s="3">
        <v>2</v>
      </c>
      <c r="AQ43" s="519">
        <v>1</v>
      </c>
      <c r="AR43" s="571">
        <v>2</v>
      </c>
      <c r="AS43" s="571">
        <f>SUM(AT44:BE79)</f>
        <v>0</v>
      </c>
      <c r="AT43" s="3">
        <v>12</v>
      </c>
      <c r="AU43" s="3">
        <v>11</v>
      </c>
      <c r="AV43" s="3">
        <v>10</v>
      </c>
      <c r="AW43" s="3">
        <v>9</v>
      </c>
      <c r="AX43" s="3">
        <v>8</v>
      </c>
      <c r="AY43" s="3">
        <v>7</v>
      </c>
      <c r="AZ43" s="3">
        <v>6</v>
      </c>
      <c r="BA43" s="3">
        <v>5</v>
      </c>
      <c r="BB43" s="3">
        <v>4</v>
      </c>
      <c r="BC43" s="3">
        <v>3</v>
      </c>
      <c r="BD43" s="3">
        <v>2</v>
      </c>
      <c r="BE43" s="519">
        <v>1</v>
      </c>
      <c r="BF43" s="571">
        <v>2</v>
      </c>
      <c r="BG43" s="571">
        <f>SUM(BH44:BS79)</f>
        <v>0</v>
      </c>
      <c r="BH43" s="3">
        <v>12</v>
      </c>
      <c r="BI43" s="3">
        <v>11</v>
      </c>
      <c r="BJ43" s="3">
        <v>10</v>
      </c>
      <c r="BK43" s="3">
        <v>9</v>
      </c>
      <c r="BL43" s="3">
        <v>8</v>
      </c>
      <c r="BM43" s="3">
        <v>7</v>
      </c>
      <c r="BN43" s="3">
        <v>6</v>
      </c>
      <c r="BO43" s="3">
        <v>5</v>
      </c>
      <c r="BP43" s="3">
        <v>4</v>
      </c>
      <c r="BQ43" s="3">
        <v>3</v>
      </c>
      <c r="BR43" s="3">
        <v>2</v>
      </c>
      <c r="BS43" s="519">
        <v>1</v>
      </c>
      <c r="BT43" s="571">
        <v>2</v>
      </c>
      <c r="BU43" s="571">
        <f>SUM(BV44:CG79)</f>
        <v>0</v>
      </c>
      <c r="BV43" s="3">
        <v>12</v>
      </c>
      <c r="BW43" s="3">
        <v>11</v>
      </c>
      <c r="BX43" s="3">
        <v>10</v>
      </c>
      <c r="BY43" s="3">
        <v>9</v>
      </c>
      <c r="BZ43" s="3">
        <v>8</v>
      </c>
      <c r="CA43" s="3">
        <v>7</v>
      </c>
      <c r="CB43" s="3">
        <v>6</v>
      </c>
      <c r="CC43" s="3">
        <v>5</v>
      </c>
      <c r="CD43" s="3">
        <v>4</v>
      </c>
      <c r="CE43" s="3">
        <v>3</v>
      </c>
      <c r="CF43" s="3">
        <v>2</v>
      </c>
      <c r="CG43" s="519">
        <v>1</v>
      </c>
      <c r="CH43" s="571">
        <v>2</v>
      </c>
      <c r="CI43" s="571">
        <f>SUM(CJ44:CU79)</f>
        <v>0</v>
      </c>
      <c r="CJ43" s="3">
        <v>12</v>
      </c>
      <c r="CK43" s="3">
        <v>11</v>
      </c>
      <c r="CL43" s="3">
        <v>10</v>
      </c>
      <c r="CM43" s="3">
        <v>9</v>
      </c>
      <c r="CN43" s="3">
        <v>8</v>
      </c>
      <c r="CO43" s="3">
        <v>7</v>
      </c>
      <c r="CP43" s="3">
        <v>6</v>
      </c>
      <c r="CQ43" s="3">
        <v>5</v>
      </c>
      <c r="CR43" s="3">
        <v>4</v>
      </c>
      <c r="CS43" s="3">
        <v>3</v>
      </c>
      <c r="CT43" s="3">
        <v>2</v>
      </c>
      <c r="CU43" s="519">
        <v>1</v>
      </c>
    </row>
    <row r="44" spans="1:99" x14ac:dyDescent="0.25">
      <c r="P44" s="940" t="s">
        <v>39</v>
      </c>
      <c r="Q44" s="13" t="s">
        <v>61</v>
      </c>
      <c r="R44" s="518" t="str">
        <f>IF(AND(_A1="A-350",'2025'!$E$4="CA",'2025'!$E$2=R43),'2025DATA'!$C$3,"")</f>
        <v/>
      </c>
      <c r="S44" s="518" t="str">
        <f>IF(AND(_A1="A-350",'2025'!$E$4="CA",'2025'!$E$2=S43),'2025DATA'!$D$3,"")</f>
        <v/>
      </c>
      <c r="T44" s="518" t="str">
        <f>IF(AND(_A1="A-350",'2025'!$E$4="CA",'2025'!$E$2=T43),'2025DATA'!$E$3,"")</f>
        <v/>
      </c>
      <c r="U44" s="518" t="str">
        <f>IF(AND(_A1="A-350",'2025'!$E$4="CA",'2025'!$E$2=U43),'2025DATA'!$F$3,"")</f>
        <v/>
      </c>
      <c r="V44" s="518" t="str">
        <f>IF(AND(_A1="A-350",'2025'!$E$4="CA",'2025'!$E$2=V43),'2025DATA'!$G$3,"")</f>
        <v/>
      </c>
      <c r="W44" s="518" t="str">
        <f>IF(AND(_A1="A-350",'2025'!$E$4="CA",'2025'!$E$2=W43),'2025DATA'!$H$3,"")</f>
        <v/>
      </c>
      <c r="X44" s="518" t="str">
        <f>IF(AND(_A1="A-350",'2025'!$E$4="CA",'2025'!$E$2=X43),'2025DATA'!$I$3,"")</f>
        <v/>
      </c>
      <c r="Y44" s="518" t="str">
        <f>IF(AND(_A1="A-350",'2025'!$E$4="CA",'2025'!$E$2=Y43),'2025DATA'!$J$3,"")</f>
        <v/>
      </c>
      <c r="Z44" s="518" t="str">
        <f>IF(AND(_A1="A-350",'2025'!$E$4="CA",'2025'!$E$2=Z43),'2025DATA'!$K$3,"")</f>
        <v/>
      </c>
      <c r="AA44" s="518" t="str">
        <f>IF(AND(_A1="A-350",'2025'!$E$4="CA",'2025'!$E$2=AA43),'2025DATA'!$L$3,"")</f>
        <v/>
      </c>
      <c r="AB44" s="518" t="str">
        <f>IF(AND(_A1="A-350",'2025'!$E$4="CA",'2025'!$E$2=AB43),'2025DATA'!$M$3,"")</f>
        <v/>
      </c>
      <c r="AC44" s="520" t="str">
        <f>IF(AND(_A1="A-350",'2025'!$E$4="CA",'2025'!$E$2=AC43),'2025DATA'!$N$3,"")</f>
        <v/>
      </c>
      <c r="AD44" s="940" t="s">
        <v>39</v>
      </c>
      <c r="AE44" s="13" t="s">
        <v>61</v>
      </c>
      <c r="AF44" s="518" t="str">
        <f>IF(AND(_A2="A-350",'2025'!$E$4="CA",'2025'!$E$2=AF43),'2025DATA'!$C$3,"")</f>
        <v/>
      </c>
      <c r="AG44" s="518" t="str">
        <f>IF(AND(_A2="A-350",'2025'!$E$4="CA",'2025'!$E$2=AG43),'2025DATA'!$D$3,"")</f>
        <v/>
      </c>
      <c r="AH44" s="518" t="str">
        <f>IF(AND(_A2="A-350",'2025'!$E$4="CA",'2025'!$E$2=AH43),'2025DATA'!$E$3,"")</f>
        <v/>
      </c>
      <c r="AI44" s="518" t="str">
        <f>IF(AND(_A2="A-350",'2025'!$E$4="CA",'2025'!$E$2=AI43),'2025DATA'!$F$3,"")</f>
        <v/>
      </c>
      <c r="AJ44" s="518" t="str">
        <f>IF(AND(_A2="A-350",'2025'!$E$4="CA",'2025'!$E$2=AJ43),'2025DATA'!$G$3,"")</f>
        <v/>
      </c>
      <c r="AK44" s="518" t="str">
        <f>IF(AND(_A2="A-350",'2025'!$E$4="CA",'2025'!$E$2=AK43),'2025DATA'!$H$3,"")</f>
        <v/>
      </c>
      <c r="AL44" s="518" t="str">
        <f>IF(AND(_A2="A-350",'2025'!$E$4="CA",'2025'!$E$2=AL43),'2025DATA'!$I$3,"")</f>
        <v/>
      </c>
      <c r="AM44" s="518" t="str">
        <f>IF(AND(_A2="A-350",'2025'!$E$4="CA",'2025'!$E$2=AM43),'2025DATA'!$J$3,"")</f>
        <v/>
      </c>
      <c r="AN44" s="518" t="str">
        <f>IF(AND(_A2="A-350",'2025'!$E$4="CA",'2025'!$E$2=AN43),'2025DATA'!$K$3,"")</f>
        <v/>
      </c>
      <c r="AO44" s="518" t="str">
        <f>IF(AND(_A2="A-350",'2025'!$E$4="CA",'2025'!$E$2=AO43),'2025DATA'!$L$3,"")</f>
        <v/>
      </c>
      <c r="AP44" s="518" t="str">
        <f>IF(AND(_A2="A-350",'2025'!$E$4="CA",'2025'!$E$2=AP43),'2025DATA'!$M$3,"")</f>
        <v/>
      </c>
      <c r="AQ44" s="520" t="str">
        <f>IF(AND(_A2="A-350",'2025'!$E$4="CA",'2025'!$E$2=AQ43),'2025DATA'!$N$3,"")</f>
        <v/>
      </c>
      <c r="AR44" s="940" t="s">
        <v>39</v>
      </c>
      <c r="AS44" s="13" t="s">
        <v>61</v>
      </c>
      <c r="AT44" s="518" t="str">
        <f>IF(AND(_A3="A-350",'2025'!$E$4="CA",'2025'!$E$2=AT43),'2025DATA'!$C$3,"")</f>
        <v/>
      </c>
      <c r="AU44" s="518" t="str">
        <f>IF(AND(_A3="A-350",'2025'!$E$4="CA",'2025'!$E$2=AU43),'2025DATA'!$D$3,"")</f>
        <v/>
      </c>
      <c r="AV44" s="518" t="str">
        <f>IF(AND(_A3="A-350",'2025'!$E$4="CA",'2025'!$E$2=AV43),'2025DATA'!$E$3,"")</f>
        <v/>
      </c>
      <c r="AW44" s="518" t="str">
        <f>IF(AND(_A3="A-350",'2025'!$E$4="CA",'2025'!$E$2=AW43),'2025DATA'!$F$3,"")</f>
        <v/>
      </c>
      <c r="AX44" s="518" t="str">
        <f>IF(AND(_A3="A-350",'2025'!$E$4="CA",'2025'!$E$2=AX43),'2025DATA'!$G$3,"")</f>
        <v/>
      </c>
      <c r="AY44" s="518" t="str">
        <f>IF(AND(_A3="A-350",'2025'!$E$4="CA",'2025'!$E$2=AY43),'2025DATA'!$H$3,"")</f>
        <v/>
      </c>
      <c r="AZ44" s="518" t="str">
        <f>IF(AND(_A3="A-350",'2025'!$E$4="CA",'2025'!$E$2=AZ43),'2025DATA'!$I$3,"")</f>
        <v/>
      </c>
      <c r="BA44" s="518" t="str">
        <f>IF(AND(_A3="A-350",'2025'!$E$4="CA",'2025'!$E$2=BA43),'2025DATA'!$J$3,"")</f>
        <v/>
      </c>
      <c r="BB44" s="518" t="str">
        <f>IF(AND(_A3="A-350",'2025'!$E$4="CA",'2025'!$E$2=BB43),'2025DATA'!$K$3,"")</f>
        <v/>
      </c>
      <c r="BC44" s="518" t="str">
        <f>IF(AND(_A3="A-350",'2025'!$E$4="CA",'2025'!$E$2=BC43),'2025DATA'!$L$3,"")</f>
        <v/>
      </c>
      <c r="BD44" s="518" t="str">
        <f>IF(AND(_A3="A-350",'2025'!$E$4="CA",'2025'!$E$2=BD43),'2025DATA'!$M$3,"")</f>
        <v/>
      </c>
      <c r="BE44" s="520" t="str">
        <f>IF(AND(_A3="A-350",'2025'!$E$4="CA",'2025'!$E$2=BE43),'2025DATA'!$N$3,"")</f>
        <v/>
      </c>
      <c r="BF44" s="940" t="s">
        <v>39</v>
      </c>
      <c r="BG44" s="13" t="s">
        <v>61</v>
      </c>
      <c r="BH44" s="518" t="str">
        <f>IF(AND(_A4="A-350",'2025'!$E$4="CA",'2025'!$E$2=BH43),'2025DATA'!$C$3,"")</f>
        <v/>
      </c>
      <c r="BI44" s="518" t="str">
        <f>IF(AND(_A4="A-350",'2025'!$E$4="CA",'2025'!$E$2=BI43),'2025DATA'!$D$3,"")</f>
        <v/>
      </c>
      <c r="BJ44" s="518" t="str">
        <f>IF(AND(_A4="A-350",'2025'!$E$4="CA",'2025'!$E$2=BJ43),'2025DATA'!$E$3,"")</f>
        <v/>
      </c>
      <c r="BK44" s="518" t="str">
        <f>IF(AND(_A4="A-350",'2025'!$E$4="CA",'2025'!$E$2=BK43),'2025DATA'!$F$3,"")</f>
        <v/>
      </c>
      <c r="BL44" s="518" t="str">
        <f>IF(AND(_A4="A-350",'2025'!$E$4="CA",'2025'!$E$2=BL43),'2025DATA'!$G$3,"")</f>
        <v/>
      </c>
      <c r="BM44" s="518" t="str">
        <f>IF(AND(_A4="A-350",'2025'!$E$4="CA",'2025'!$E$2=BM43),'2025DATA'!$H$3,"")</f>
        <v/>
      </c>
      <c r="BN44" s="518" t="str">
        <f>IF(AND(_A4="A-350",'2025'!$E$4="CA",'2025'!$E$2=BN43),'2025DATA'!$I$3,"")</f>
        <v/>
      </c>
      <c r="BO44" s="518" t="str">
        <f>IF(AND(_A4="A-350",'2025'!$E$4="CA",'2025'!$E$2=BO43),'2025DATA'!$J$3,"")</f>
        <v/>
      </c>
      <c r="BP44" s="518" t="str">
        <f>IF(AND(_A4="A-350",'2025'!$E$4="CA",'2025'!$E$2=BP43),'2025DATA'!$K$3,"")</f>
        <v/>
      </c>
      <c r="BQ44" s="518" t="str">
        <f>IF(AND(_A4="A-350",'2025'!$E$4="CA",'2025'!$E$2=BQ43),'2025DATA'!$L$3,"")</f>
        <v/>
      </c>
      <c r="BR44" s="518" t="str">
        <f>IF(AND(_A4="A-350",'2025'!$E$4="CA",'2025'!$E$2=BR43),'2025DATA'!$M$3,"")</f>
        <v/>
      </c>
      <c r="BS44" s="520" t="str">
        <f>IF(AND(_A4="A-350",'2025'!$E$4="CA",'2025'!$E$2=BS43),'2025DATA'!$N$3,"")</f>
        <v/>
      </c>
      <c r="BT44" s="940" t="s">
        <v>39</v>
      </c>
      <c r="BU44" s="13" t="s">
        <v>61</v>
      </c>
      <c r="BV44" s="518" t="str">
        <f>IF(AND(_A5="A-350",'2025'!$E$4="CA",'2025'!$E$2=BV43),'2025DATA'!$C$3,"")</f>
        <v/>
      </c>
      <c r="BW44" s="518" t="str">
        <f>IF(AND(_A5="A-350",'2025'!$E$4="CA",'2025'!$E$2=BW43),'2025DATA'!$D$3,"")</f>
        <v/>
      </c>
      <c r="BX44" s="518" t="str">
        <f>IF(AND(_A5="A-350",'2025'!$E$4="CA",'2025'!$E$2=BX43),'2025DATA'!$E$3,"")</f>
        <v/>
      </c>
      <c r="BY44" s="518" t="str">
        <f>IF(AND(_A5="A-350",'2025'!$E$4="CA",'2025'!$E$2=BY43),'2025DATA'!$F$3,"")</f>
        <v/>
      </c>
      <c r="BZ44" s="518" t="str">
        <f>IF(AND(_A5="A-350",'2025'!$E$4="CA",'2025'!$E$2=BZ43),'2025DATA'!$G$3,"")</f>
        <v/>
      </c>
      <c r="CA44" s="518" t="str">
        <f>IF(AND(_A5="A-350",'2025'!$E$4="CA",'2025'!$E$2=CA43),'2025DATA'!$H$3,"")</f>
        <v/>
      </c>
      <c r="CB44" s="518" t="str">
        <f>IF(AND(_A5="A-350",'2025'!$E$4="CA",'2025'!$E$2=CB43),'2025DATA'!$I$3,"")</f>
        <v/>
      </c>
      <c r="CC44" s="518" t="str">
        <f>IF(AND(_A5="A-350",'2025'!$E$4="CA",'2025'!$E$2=CC43),'2025DATA'!$J$3,"")</f>
        <v/>
      </c>
      <c r="CD44" s="518" t="str">
        <f>IF(AND(_A5="A-350",'2025'!$E$4="CA",'2025'!$E$2=CD43),'2025DATA'!$K$3,"")</f>
        <v/>
      </c>
      <c r="CE44" s="518" t="str">
        <f>IF(AND(_A5="A-350",'2025'!$E$4="CA",'2025'!$E$2=CE43),'2025DATA'!$L$3,"")</f>
        <v/>
      </c>
      <c r="CF44" s="518" t="str">
        <f>IF(AND(_A5="A-350",'2025'!$E$4="CA",'2025'!$E$2=CF43),'2025DATA'!$M$3,"")</f>
        <v/>
      </c>
      <c r="CG44" s="520" t="str">
        <f>IF(AND(_A5="A-350",'2025'!$E$4="CA",'2025'!$E$2=CG43),'2025DATA'!$N$3,"")</f>
        <v/>
      </c>
      <c r="CH44" s="940" t="s">
        <v>39</v>
      </c>
      <c r="CI44" s="13" t="s">
        <v>61</v>
      </c>
      <c r="CJ44" s="518" t="str">
        <f>IF(AND(_A6="A-350",'2025'!$E$4="CA",'2025'!$E$2=CJ43),'2025DATA'!$C$3,"")</f>
        <v/>
      </c>
      <c r="CK44" s="518" t="str">
        <f>IF(AND(_A6="A-350",'2025'!$E$4="CA",'2025'!$E$2=CK43),'2025DATA'!$D$3,"")</f>
        <v/>
      </c>
      <c r="CL44" s="518" t="str">
        <f>IF(AND(_A6="A-350",'2025'!$E$4="CA",'2025'!$E$2=CL43),'2025DATA'!$E$3,"")</f>
        <v/>
      </c>
      <c r="CM44" s="518" t="str">
        <f>IF(AND(_A6="A-350",'2025'!$E$4="CA",'2025'!$E$2=CM43),'2025DATA'!$F$3,"")</f>
        <v/>
      </c>
      <c r="CN44" s="518" t="str">
        <f>IF(AND(_A6="A-350",'2025'!$E$4="CA",'2025'!$E$2=CN43),'2025DATA'!$G$3,"")</f>
        <v/>
      </c>
      <c r="CO44" s="518" t="str">
        <f>IF(AND(_A6="A-350",'2025'!$E$4="CA",'2025'!$E$2=CO43),'2025DATA'!$H$3,"")</f>
        <v/>
      </c>
      <c r="CP44" s="518" t="str">
        <f>IF(AND(_A6="A-350",'2025'!$E$4="CA",'2025'!$E$2=CP43),'2025DATA'!$I$3,"")</f>
        <v/>
      </c>
      <c r="CQ44" s="518" t="str">
        <f>IF(AND(_A6="A-350",'2025'!$E$4="CA",'2025'!$E$2=CQ43),'2025DATA'!$J$3,"")</f>
        <v/>
      </c>
      <c r="CR44" s="518" t="str">
        <f>IF(AND(_A6="A-350",'2025'!$E$4="CA",'2025'!$E$2=CR43),'2025DATA'!$K$3,"")</f>
        <v/>
      </c>
      <c r="CS44" s="518" t="str">
        <f>IF(AND(_A6="A-350",'2025'!$E$4="CA",'2025'!$E$2=CS43),'2025DATA'!$L$3,"")</f>
        <v/>
      </c>
      <c r="CT44" s="518" t="str">
        <f>IF(AND(_A6="A-350",'2025'!$E$4="CA",'2025'!$E$2=CT43),'2025DATA'!$M$3,"")</f>
        <v/>
      </c>
      <c r="CU44" s="520" t="str">
        <f>IF(AND(_A6="A-350",'2025'!$E$4="CA",'2025'!$E$2=CU43),'2025DATA'!$N$3,"")</f>
        <v/>
      </c>
    </row>
    <row r="45" spans="1:99" x14ac:dyDescent="0.25">
      <c r="P45" s="940"/>
      <c r="Q45" s="13" t="s">
        <v>62</v>
      </c>
      <c r="R45" s="518" t="str">
        <f>IF(AND(_A1="A-350",'2025'!$E$4="FO",'2025'!$E$2=R43),'2025DATA'!$C$4,"")</f>
        <v/>
      </c>
      <c r="S45" s="518" t="str">
        <f>IF(AND(_A1="A-350",'2025'!$E$4="FO",'2025'!$E$2=S43),'2025DATA'!$D$4,"")</f>
        <v/>
      </c>
      <c r="T45" s="518" t="str">
        <f>IF(AND(_A1="A-350",'2025'!$E$4="FO",'2025'!$E$2=T43),'2025DATA'!$E$4,"")</f>
        <v/>
      </c>
      <c r="U45" s="518" t="str">
        <f>IF(AND(_A1="A-350",'2025'!$E$4="FO",'2025'!$E$2=U43),'2025DATA'!$F$4,"")</f>
        <v/>
      </c>
      <c r="V45" s="518" t="str">
        <f>IF(AND(_A1="A-350",'2025'!$E$4="FO",'2025'!$E$2=V43),'2025DATA'!$G$4,"")</f>
        <v/>
      </c>
      <c r="W45" s="518" t="str">
        <f>IF(AND(_A1="A-350",'2025'!$E$4="FO",'2025'!$E$2=W43),'2025DATA'!$H$4,"")</f>
        <v/>
      </c>
      <c r="X45" s="518" t="str">
        <f>IF(AND(_A1="A-350",'2025'!$E$4="FO",'2025'!$E$2=X43),'2025DATA'!$I$4,"")</f>
        <v/>
      </c>
      <c r="Y45" s="518" t="str">
        <f>IF(AND(_A1="A-350",'2025'!$E$4="FO",'2025'!$E$2=Y43),'2025DATA'!$J$4,"")</f>
        <v/>
      </c>
      <c r="Z45" s="518" t="str">
        <f>IF(AND(_A1="A-350",'2025'!$E$4="FO",'2025'!$E$2=Z43),'2025DATA'!$K$4,"")</f>
        <v/>
      </c>
      <c r="AA45" s="518" t="str">
        <f>IF(AND(_A1="A-350",'2025'!$E$4="FO",'2025'!$E$2=AA43),'2025DATA'!$L$4,"")</f>
        <v/>
      </c>
      <c r="AB45" s="518" t="str">
        <f>IF(AND(_A1="A-350",'2025'!$E$4="FO",'2025'!$E$2=AB43),'2025DATA'!$M$4,"")</f>
        <v/>
      </c>
      <c r="AC45" s="520" t="str">
        <f>IF(AND(_A1="A-350",'2025'!$E$4="FO",'2025'!$E$2=AC43),'2025DATA'!$N$4,"")</f>
        <v/>
      </c>
      <c r="AD45" s="940"/>
      <c r="AE45" s="13" t="s">
        <v>62</v>
      </c>
      <c r="AF45" s="518" t="str">
        <f>IF(AND(_A2="A-350",'2025'!$E$4="FO",'2025'!$E$2=AF43),'2025DATA'!$C$4,"")</f>
        <v/>
      </c>
      <c r="AG45" s="518" t="str">
        <f>IF(AND(_A2="A-350",'2025'!$E$4="FO",'2025'!$E$2=AG43),'2025DATA'!$D$4,"")</f>
        <v/>
      </c>
      <c r="AH45" s="518" t="str">
        <f>IF(AND(_A2="A-350",'2025'!$E$4="FO",'2025'!$E$2=AH43),'2025DATA'!$E$4,"")</f>
        <v/>
      </c>
      <c r="AI45" s="518" t="str">
        <f>IF(AND(_A2="A-350",'2025'!$E$4="FO",'2025'!$E$2=AI43),'2025DATA'!$F$4,"")</f>
        <v/>
      </c>
      <c r="AJ45" s="518" t="str">
        <f>IF(AND(_A2="A-350",'2025'!$E$4="FO",'2025'!$E$2=AJ43),'2025DATA'!$G$4,"")</f>
        <v/>
      </c>
      <c r="AK45" s="518" t="str">
        <f>IF(AND(_A2="A-350",'2025'!$E$4="FO",'2025'!$E$2=AK43),'2025DATA'!$H$4,"")</f>
        <v/>
      </c>
      <c r="AL45" s="518" t="str">
        <f>IF(AND(_A2="A-350",'2025'!$E$4="FO",'2025'!$E$2=AL43),'2025DATA'!$I$4,"")</f>
        <v/>
      </c>
      <c r="AM45" s="518" t="str">
        <f>IF(AND(_A2="A-350",'2025'!$E$4="FO",'2025'!$E$2=AM43),'2025DATA'!$J$4,"")</f>
        <v/>
      </c>
      <c r="AN45" s="518" t="str">
        <f>IF(AND(_A2="A-350",'2025'!$E$4="FO",'2025'!$E$2=AN43),'2025DATA'!$K$4,"")</f>
        <v/>
      </c>
      <c r="AO45" s="518" t="str">
        <f>IF(AND(_A2="A-350",'2025'!$E$4="FO",'2025'!$E$2=AO43),'2025DATA'!$L$4,"")</f>
        <v/>
      </c>
      <c r="AP45" s="518" t="str">
        <f>IF(AND(_A2="A-350",'2025'!$E$4="FO",'2025'!$E$2=AP43),'2025DATA'!$M$4,"")</f>
        <v/>
      </c>
      <c r="AQ45" s="520" t="str">
        <f>IF(AND(_A2="A-350",'2025'!$E$4="FO",'2025'!$E$2=AQ43),'2025DATA'!$N$4,"")</f>
        <v/>
      </c>
      <c r="AR45" s="940"/>
      <c r="AS45" s="13" t="s">
        <v>62</v>
      </c>
      <c r="AT45" s="518" t="str">
        <f>IF(AND(_A3="A-350",'2025'!$E$4="FO",'2025'!$E$2=AT43),'2025DATA'!$C$4,"")</f>
        <v/>
      </c>
      <c r="AU45" s="518" t="str">
        <f>IF(AND(_A3="A-350",'2025'!$E$4="FO",'2025'!$E$2=AU43),'2025DATA'!$D$4,"")</f>
        <v/>
      </c>
      <c r="AV45" s="518" t="str">
        <f>IF(AND(_A3="A-350",'2025'!$E$4="FO",'2025'!$E$2=AV43),'2025DATA'!$E$4,"")</f>
        <v/>
      </c>
      <c r="AW45" s="518" t="str">
        <f>IF(AND(_A3="A-350",'2025'!$E$4="FO",'2025'!$E$2=AW43),'2025DATA'!$F$4,"")</f>
        <v/>
      </c>
      <c r="AX45" s="518" t="str">
        <f>IF(AND(_A3="A-350",'2025'!$E$4="FO",'2025'!$E$2=AX43),'2025DATA'!$G$4,"")</f>
        <v/>
      </c>
      <c r="AY45" s="518" t="str">
        <f>IF(AND(_A3="A-350",'2025'!$E$4="FO",'2025'!$E$2=AY43),'2025DATA'!$H$4,"")</f>
        <v/>
      </c>
      <c r="AZ45" s="518" t="str">
        <f>IF(AND(_A3="A-350",'2025'!$E$4="FO",'2025'!$E$2=AZ43),'2025DATA'!$I$4,"")</f>
        <v/>
      </c>
      <c r="BA45" s="518" t="str">
        <f>IF(AND(_A3="A-350",'2025'!$E$4="FO",'2025'!$E$2=BA43),'2025DATA'!$J$4,"")</f>
        <v/>
      </c>
      <c r="BB45" s="518" t="str">
        <f>IF(AND(_A3="A-350",'2025'!$E$4="FO",'2025'!$E$2=BB43),'2025DATA'!$K$4,"")</f>
        <v/>
      </c>
      <c r="BC45" s="518" t="str">
        <f>IF(AND(_A3="A-350",'2025'!$E$4="FO",'2025'!$E$2=BC43),'2025DATA'!$L$4,"")</f>
        <v/>
      </c>
      <c r="BD45" s="518" t="str">
        <f>IF(AND(_A3="A-350",'2025'!$E$4="FO",'2025'!$E$2=BD43),'2025DATA'!$M$4,"")</f>
        <v/>
      </c>
      <c r="BE45" s="520" t="str">
        <f>IF(AND(_A3="A-350",'2025'!$E$4="FO",'2025'!$E$2=BE43),'2025DATA'!$N$4,"")</f>
        <v/>
      </c>
      <c r="BF45" s="940"/>
      <c r="BG45" s="13" t="s">
        <v>62</v>
      </c>
      <c r="BH45" s="518" t="str">
        <f>IF(AND(_A4="A-350",'2025'!$E$4="FO",'2025'!$E$2=BH43),'2025DATA'!$C$4,"")</f>
        <v/>
      </c>
      <c r="BI45" s="518" t="str">
        <f>IF(AND(_A4="A-350",'2025'!$E$4="FO",'2025'!$E$2=BI43),'2025DATA'!$D$4,"")</f>
        <v/>
      </c>
      <c r="BJ45" s="518" t="str">
        <f>IF(AND(_A4="A-350",'2025'!$E$4="FO",'2025'!$E$2=BJ43),'2025DATA'!$E$4,"")</f>
        <v/>
      </c>
      <c r="BK45" s="518" t="str">
        <f>IF(AND(_A4="A-350",'2025'!$E$4="FO",'2025'!$E$2=BK43),'2025DATA'!$F$4,"")</f>
        <v/>
      </c>
      <c r="BL45" s="518" t="str">
        <f>IF(AND(_A4="A-350",'2025'!$E$4="FO",'2025'!$E$2=BL43),'2025DATA'!$G$4,"")</f>
        <v/>
      </c>
      <c r="BM45" s="518" t="str">
        <f>IF(AND(_A4="A-350",'2025'!$E$4="FO",'2025'!$E$2=BM43),'2025DATA'!$H$4,"")</f>
        <v/>
      </c>
      <c r="BN45" s="518" t="str">
        <f>IF(AND(_A4="A-350",'2025'!$E$4="FO",'2025'!$E$2=BN43),'2025DATA'!$I$4,"")</f>
        <v/>
      </c>
      <c r="BO45" s="518" t="str">
        <f>IF(AND(_A4="A-350",'2025'!$E$4="FO",'2025'!$E$2=BO43),'2025DATA'!$J$4,"")</f>
        <v/>
      </c>
      <c r="BP45" s="518" t="str">
        <f>IF(AND(_A4="A-350",'2025'!$E$4="FO",'2025'!$E$2=BP43),'2025DATA'!$K$4,"")</f>
        <v/>
      </c>
      <c r="BQ45" s="518" t="str">
        <f>IF(AND(_A4="A-350",'2025'!$E$4="FO",'2025'!$E$2=BQ43),'2025DATA'!$L$4,"")</f>
        <v/>
      </c>
      <c r="BR45" s="518" t="str">
        <f>IF(AND(_A4="A-350",'2025'!$E$4="FO",'2025'!$E$2=BR43),'2025DATA'!$M$4,"")</f>
        <v/>
      </c>
      <c r="BS45" s="520" t="str">
        <f>IF(AND(_A4="A-350",'2025'!$E$4="FO",'2025'!$E$2=BS43),'2025DATA'!$N$4,"")</f>
        <v/>
      </c>
      <c r="BT45" s="940"/>
      <c r="BU45" s="13" t="s">
        <v>62</v>
      </c>
      <c r="BV45" s="518" t="str">
        <f>IF(AND(_A5="A-350",'2025'!$E$4="FO",'2025'!$E$2=BV43),'2025DATA'!$C$4,"")</f>
        <v/>
      </c>
      <c r="BW45" s="518" t="str">
        <f>IF(AND(_A5="A-350",'2025'!$E$4="FO",'2025'!$E$2=BW43),'2025DATA'!$D$4,"")</f>
        <v/>
      </c>
      <c r="BX45" s="518" t="str">
        <f>IF(AND(_A5="A-350",'2025'!$E$4="FO",'2025'!$E$2=BX43),'2025DATA'!$E$4,"")</f>
        <v/>
      </c>
      <c r="BY45" s="518" t="str">
        <f>IF(AND(_A5="A-350",'2025'!$E$4="FO",'2025'!$E$2=BY43),'2025DATA'!$F$4,"")</f>
        <v/>
      </c>
      <c r="BZ45" s="518" t="str">
        <f>IF(AND(_A5="A-350",'2025'!$E$4="FO",'2025'!$E$2=BZ43),'2025DATA'!$G$4,"")</f>
        <v/>
      </c>
      <c r="CA45" s="518" t="str">
        <f>IF(AND(_A5="A-350",'2025'!$E$4="FO",'2025'!$E$2=CA43),'2025DATA'!$H$4,"")</f>
        <v/>
      </c>
      <c r="CB45" s="518" t="str">
        <f>IF(AND(_A5="A-350",'2025'!$E$4="FO",'2025'!$E$2=CB43),'2025DATA'!$I$4,"")</f>
        <v/>
      </c>
      <c r="CC45" s="518" t="str">
        <f>IF(AND(_A5="A-350",'2025'!$E$4="FO",'2025'!$E$2=CC43),'2025DATA'!$J$4,"")</f>
        <v/>
      </c>
      <c r="CD45" s="518" t="str">
        <f>IF(AND(_A5="A-350",'2025'!$E$4="FO",'2025'!$E$2=CD43),'2025DATA'!$K$4,"")</f>
        <v/>
      </c>
      <c r="CE45" s="518" t="str">
        <f>IF(AND(_A5="A-350",'2025'!$E$4="FO",'2025'!$E$2=CE43),'2025DATA'!$L$4,"")</f>
        <v/>
      </c>
      <c r="CF45" s="518" t="str">
        <f>IF(AND(_A5="A-350",'2025'!$E$4="FO",'2025'!$E$2=CF43),'2025DATA'!$M$4,"")</f>
        <v/>
      </c>
      <c r="CG45" s="520" t="str">
        <f>IF(AND(_A5="A-350",'2025'!$E$4="FO",'2025'!$E$2=CG43),'2025DATA'!$N$4,"")</f>
        <v/>
      </c>
      <c r="CH45" s="940"/>
      <c r="CI45" s="13" t="s">
        <v>62</v>
      </c>
      <c r="CJ45" s="518" t="str">
        <f>IF(AND(_A6="A-350",'2025'!$E$4="FO",'2025'!$E$2=CJ43),'2025DATA'!$C$4,"")</f>
        <v/>
      </c>
      <c r="CK45" s="518" t="str">
        <f>IF(AND(_A6="A-350",'2025'!$E$4="FO",'2025'!$E$2=CK43),'2025DATA'!$D$4,"")</f>
        <v/>
      </c>
      <c r="CL45" s="518" t="str">
        <f>IF(AND(_A6="A-350",'2025'!$E$4="FO",'2025'!$E$2=CL43),'2025DATA'!$E$4,"")</f>
        <v/>
      </c>
      <c r="CM45" s="518" t="str">
        <f>IF(AND(_A6="A-350",'2025'!$E$4="FO",'2025'!$E$2=CM43),'2025DATA'!$F$4,"")</f>
        <v/>
      </c>
      <c r="CN45" s="518" t="str">
        <f>IF(AND(_A6="A-350",'2025'!$E$4="FO",'2025'!$E$2=CN43),'2025DATA'!$G$4,"")</f>
        <v/>
      </c>
      <c r="CO45" s="518" t="str">
        <f>IF(AND(_A6="A-350",'2025'!$E$4="FO",'2025'!$E$2=CO43),'2025DATA'!$H$4,"")</f>
        <v/>
      </c>
      <c r="CP45" s="518" t="str">
        <f>IF(AND(_A6="A-350",'2025'!$E$4="FO",'2025'!$E$2=CP43),'2025DATA'!$I$4,"")</f>
        <v/>
      </c>
      <c r="CQ45" s="518" t="str">
        <f>IF(AND(_A6="A-350",'2025'!$E$4="FO",'2025'!$E$2=CQ43),'2025DATA'!$J$4,"")</f>
        <v/>
      </c>
      <c r="CR45" s="518" t="str">
        <f>IF(AND(_A6="A-350",'2025'!$E$4="FO",'2025'!$E$2=CR43),'2025DATA'!$K$4,"")</f>
        <v/>
      </c>
      <c r="CS45" s="518" t="str">
        <f>IF(AND(_A6="A-350",'2025'!$E$4="FO",'2025'!$E$2=CS43),'2025DATA'!$L$4,"")</f>
        <v/>
      </c>
      <c r="CT45" s="518" t="str">
        <f>IF(AND(_A6="A-350",'2025'!$E$4="FO",'2025'!$E$2=CT43),'2025DATA'!$M$4,"")</f>
        <v/>
      </c>
      <c r="CU45" s="520" t="str">
        <f>IF(AND(_A6="A-350",'2025'!$E$4="FO",'2025'!$E$2=CU43),'2025DATA'!$N$4,"")</f>
        <v/>
      </c>
    </row>
    <row r="46" spans="1:99" x14ac:dyDescent="0.25">
      <c r="P46" s="940" t="s">
        <v>65</v>
      </c>
      <c r="Q46" s="13" t="s">
        <v>61</v>
      </c>
      <c r="R46" s="518" t="str">
        <f>IF(AND(_A1="A-330-900",'2025'!$E$4="CA",'2025'!$E$2=R43),'2025DATA'!$C$5,"")</f>
        <v/>
      </c>
      <c r="S46" s="518" t="str">
        <f>IF(AND(_A1="A-330-900",'2025'!$E$4="CA",'2025'!$E$2=S43),'2025DATA'!$D$5,"")</f>
        <v/>
      </c>
      <c r="T46" s="518" t="str">
        <f>IF(AND(_A1="A-330-900",'2025'!$E$4="CA",'2025'!$E$2=T43),'2025DATA'!$E$5,"")</f>
        <v/>
      </c>
      <c r="U46" s="518" t="str">
        <f>IF(AND(_A1="A-330-900",'2025'!$E$4="CA",'2025'!$E$2=U43),'2025DATA'!$F$5,"")</f>
        <v/>
      </c>
      <c r="V46" s="518" t="str">
        <f>IF(AND(_A1="A-330-900",'2025'!$E$4="CA",'2025'!$E$2=V43),'2025DATA'!$G$5,"")</f>
        <v/>
      </c>
      <c r="W46" s="518" t="str">
        <f>IF(AND(_A1="A-330-900",'2025'!$E$4="CA",'2025'!$E$2=W43),'2025DATA'!$H$5,"")</f>
        <v/>
      </c>
      <c r="X46" s="518" t="str">
        <f>IF(AND(_A1="A-330-900",'2025'!$E$4="CA",'2025'!$E$2=X43),'2025DATA'!$I$5,"")</f>
        <v/>
      </c>
      <c r="Y46" s="518" t="str">
        <f>IF(AND(_A1="A-330-900",'2025'!$E$4="CA",'2025'!$E$2=Y43),'2025DATA'!$J$5,"")</f>
        <v/>
      </c>
      <c r="Z46" s="518" t="str">
        <f>IF(AND(_A1="A-330-900",'2025'!$E$4="CA",'2025'!$E$2=Z43),'2025DATA'!$K$5,"")</f>
        <v/>
      </c>
      <c r="AA46" s="518" t="str">
        <f>IF(AND(_A1="A-330-900",'2025'!$E$4="CA",'2025'!$E$2=AA43),'2025DATA'!$L$5,"")</f>
        <v/>
      </c>
      <c r="AB46" s="518" t="str">
        <f>IF(AND(_A1="A-330-900",'2025'!$E$4="CA",'2025'!$E$2=AB43),'2025DATA'!$M$5,"")</f>
        <v/>
      </c>
      <c r="AC46" s="520" t="str">
        <f>IF(AND(_A1="A-330-900",'2025'!$E$4="CA",'2025'!$E$2=AC43),'2025DATA'!$N$5,"")</f>
        <v/>
      </c>
      <c r="AD46" s="940" t="s">
        <v>65</v>
      </c>
      <c r="AE46" s="13" t="s">
        <v>61</v>
      </c>
      <c r="AF46" s="518" t="str">
        <f>IF(AND(_A2="A-330-900",'2025'!$E$4="CA",'2025'!$E$2=AF43),'2025DATA'!$C$5,"")</f>
        <v/>
      </c>
      <c r="AG46" s="518" t="str">
        <f>IF(AND(_A2="A-330-900",'2025'!$E$4="CA",'2025'!$E$2=AG43),'2025DATA'!$D$5,"")</f>
        <v/>
      </c>
      <c r="AH46" s="518" t="str">
        <f>IF(AND(_A2="A-330-900",'2025'!$E$4="CA",'2025'!$E$2=AH43),'2025DATA'!$E$5,"")</f>
        <v/>
      </c>
      <c r="AI46" s="518" t="str">
        <f>IF(AND(_A2="A-330-900",'2025'!$E$4="CA",'2025'!$E$2=AI43),'2025DATA'!$F$5,"")</f>
        <v/>
      </c>
      <c r="AJ46" s="518" t="str">
        <f>IF(AND(_A2="A-330-900",'2025'!$E$4="CA",'2025'!$E$2=AJ43),'2025DATA'!$G$5,"")</f>
        <v/>
      </c>
      <c r="AK46" s="518" t="str">
        <f>IF(AND(_A2="A-330-900",'2025'!$E$4="CA",'2025'!$E$2=AK43),'2025DATA'!$H$5,"")</f>
        <v/>
      </c>
      <c r="AL46" s="518" t="str">
        <f>IF(AND(_A2="A-330-900",'2025'!$E$4="CA",'2025'!$E$2=AL43),'2025DATA'!$I$5,"")</f>
        <v/>
      </c>
      <c r="AM46" s="518" t="str">
        <f>IF(AND(_A2="A-330-900",'2025'!$E$4="CA",'2025'!$E$2=AM43),'2025DATA'!$J$5,"")</f>
        <v/>
      </c>
      <c r="AN46" s="518" t="str">
        <f>IF(AND(_A2="A-330-900",'2025'!$E$4="CA",'2025'!$E$2=AN43),'2025DATA'!$K$5,"")</f>
        <v/>
      </c>
      <c r="AO46" s="518" t="str">
        <f>IF(AND(_A2="A-330-900",'2025'!$E$4="CA",'2025'!$E$2=AO43),'2025DATA'!$L$5,"")</f>
        <v/>
      </c>
      <c r="AP46" s="518" t="str">
        <f>IF(AND(_A2="A-330-900",'2025'!$E$4="CA",'2025'!$E$2=AP43),'2025DATA'!$M$5,"")</f>
        <v/>
      </c>
      <c r="AQ46" s="520" t="str">
        <f>IF(AND(_A2="A-330-900",'2025'!$E$4="CA",'2025'!$E$2=AQ43),'2025DATA'!$N$5,"")</f>
        <v/>
      </c>
      <c r="AR46" s="940" t="s">
        <v>65</v>
      </c>
      <c r="AS46" s="13" t="s">
        <v>61</v>
      </c>
      <c r="AT46" s="518" t="str">
        <f>IF(AND(_A3="A-330-900",'2025'!$E$4="CA",'2025'!$E$2=AT43),'2025DATA'!$C$5,"")</f>
        <v/>
      </c>
      <c r="AU46" s="518" t="str">
        <f>IF(AND(_A3="A-330-900",'2025'!$E$4="CA",'2025'!$E$2=AU43),'2025DATA'!$D$5,"")</f>
        <v/>
      </c>
      <c r="AV46" s="518" t="str">
        <f>IF(AND(_A3="A-330-900",'2025'!$E$4="CA",'2025'!$E$2=AV43),'2025DATA'!$E$5,"")</f>
        <v/>
      </c>
      <c r="AW46" s="518" t="str">
        <f>IF(AND(_A3="A-330-900",'2025'!$E$4="CA",'2025'!$E$2=AW43),'2025DATA'!$F$5,"")</f>
        <v/>
      </c>
      <c r="AX46" s="518" t="str">
        <f>IF(AND(_A3="A-330-900",'2025'!$E$4="CA",'2025'!$E$2=AX43),'2025DATA'!$G$5,"")</f>
        <v/>
      </c>
      <c r="AY46" s="518" t="str">
        <f>IF(AND(_A3="A-330-900",'2025'!$E$4="CA",'2025'!$E$2=AY43),'2025DATA'!$H$5,"")</f>
        <v/>
      </c>
      <c r="AZ46" s="518" t="str">
        <f>IF(AND(_A3="A-330-900",'2025'!$E$4="CA",'2025'!$E$2=AZ43),'2025DATA'!$I$5,"")</f>
        <v/>
      </c>
      <c r="BA46" s="518" t="str">
        <f>IF(AND(_A3="A-330-900",'2025'!$E$4="CA",'2025'!$E$2=BA43),'2025DATA'!$J$5,"")</f>
        <v/>
      </c>
      <c r="BB46" s="518" t="str">
        <f>IF(AND(_A3="A-330-900",'2025'!$E$4="CA",'2025'!$E$2=BB43),'2025DATA'!$K$5,"")</f>
        <v/>
      </c>
      <c r="BC46" s="518" t="str">
        <f>IF(AND(_A3="A-330-900",'2025'!$E$4="CA",'2025'!$E$2=BC43),'2025DATA'!$L$5,"")</f>
        <v/>
      </c>
      <c r="BD46" s="518" t="str">
        <f>IF(AND(_A3="A-330-900",'2025'!$E$4="CA",'2025'!$E$2=BD43),'2025DATA'!$M$5,"")</f>
        <v/>
      </c>
      <c r="BE46" s="520" t="str">
        <f>IF(AND(_A3="A-330-900",'2025'!$E$4="CA",'2025'!$E$2=BE43),'2025DATA'!$N$5,"")</f>
        <v/>
      </c>
      <c r="BF46" s="940" t="s">
        <v>65</v>
      </c>
      <c r="BG46" s="13" t="s">
        <v>61</v>
      </c>
      <c r="BH46" s="518" t="str">
        <f>IF(AND(_A4="A-330-900",'2025'!$E$4="CA",'2025'!$E$2=BH43),'2025DATA'!$C$5,"")</f>
        <v/>
      </c>
      <c r="BI46" s="518" t="str">
        <f>IF(AND(_A4="A-330-900",'2025'!$E$4="CA",'2025'!$E$2=BI43),'2025DATA'!$D$5,"")</f>
        <v/>
      </c>
      <c r="BJ46" s="518" t="str">
        <f>IF(AND(_A4="A-330-900",'2025'!$E$4="CA",'2025'!$E$2=BJ43),'2025DATA'!$E$5,"")</f>
        <v/>
      </c>
      <c r="BK46" s="518" t="str">
        <f>IF(AND(_A4="A-330-900",'2025'!$E$4="CA",'2025'!$E$2=BK43),'2025DATA'!$F$5,"")</f>
        <v/>
      </c>
      <c r="BL46" s="518" t="str">
        <f>IF(AND(_A4="A-330-900",'2025'!$E$4="CA",'2025'!$E$2=BL43),'2025DATA'!$G$5,"")</f>
        <v/>
      </c>
      <c r="BM46" s="518" t="str">
        <f>IF(AND(_A4="A-330-900",'2025'!$E$4="CA",'2025'!$E$2=BM43),'2025DATA'!$H$5,"")</f>
        <v/>
      </c>
      <c r="BN46" s="518" t="str">
        <f>IF(AND(_A4="A-330-900",'2025'!$E$4="CA",'2025'!$E$2=BN43),'2025DATA'!$I$5,"")</f>
        <v/>
      </c>
      <c r="BO46" s="518" t="str">
        <f>IF(AND(_A4="A-330-900",'2025'!$E$4="CA",'2025'!$E$2=BO43),'2025DATA'!$J$5,"")</f>
        <v/>
      </c>
      <c r="BP46" s="518" t="str">
        <f>IF(AND(_A4="A-330-900",'2025'!$E$4="CA",'2025'!$E$2=BP43),'2025DATA'!$K$5,"")</f>
        <v/>
      </c>
      <c r="BQ46" s="518" t="str">
        <f>IF(AND(_A4="A-330-900",'2025'!$E$4="CA",'2025'!$E$2=BQ43),'2025DATA'!$L$5,"")</f>
        <v/>
      </c>
      <c r="BR46" s="518" t="str">
        <f>IF(AND(_A4="A-330-900",'2025'!$E$4="CA",'2025'!$E$2=BR43),'2025DATA'!$M$5,"")</f>
        <v/>
      </c>
      <c r="BS46" s="520" t="str">
        <f>IF(AND(_A4="A-330-900",'2025'!$E$4="CA",'2025'!$E$2=BS43),'2025DATA'!$N$5,"")</f>
        <v/>
      </c>
      <c r="BT46" s="940" t="s">
        <v>65</v>
      </c>
      <c r="BU46" s="13" t="s">
        <v>61</v>
      </c>
      <c r="BV46" s="518" t="str">
        <f>IF(AND(_A5="A-330-900",'2025'!$E$4="CA",'2025'!$E$2=BV43),'2025DATA'!$C$5,"")</f>
        <v/>
      </c>
      <c r="BW46" s="518" t="str">
        <f>IF(AND(_A5="A-330-900",'2025'!$E$4="CA",'2025'!$E$2=BW43),'2025DATA'!$D$5,"")</f>
        <v/>
      </c>
      <c r="BX46" s="518" t="str">
        <f>IF(AND(_A5="A-330-900",'2025'!$E$4="CA",'2025'!$E$2=BX43),'2025DATA'!$E$5,"")</f>
        <v/>
      </c>
      <c r="BY46" s="518" t="str">
        <f>IF(AND(_A5="A-330-900",'2025'!$E$4="CA",'2025'!$E$2=BY43),'2025DATA'!$F$5,"")</f>
        <v/>
      </c>
      <c r="BZ46" s="518" t="str">
        <f>IF(AND(_A5="A-330-900",'2025'!$E$4="CA",'2025'!$E$2=BZ43),'2025DATA'!$G$5,"")</f>
        <v/>
      </c>
      <c r="CA46" s="518" t="str">
        <f>IF(AND(_A5="A-330-900",'2025'!$E$4="CA",'2025'!$E$2=CA43),'2025DATA'!$H$5,"")</f>
        <v/>
      </c>
      <c r="CB46" s="518" t="str">
        <f>IF(AND(_A5="A-330-900",'2025'!$E$4="CA",'2025'!$E$2=CB43),'2025DATA'!$I$5,"")</f>
        <v/>
      </c>
      <c r="CC46" s="518" t="str">
        <f>IF(AND(_A5="A-330-900",'2025'!$E$4="CA",'2025'!$E$2=CC43),'2025DATA'!$J$5,"")</f>
        <v/>
      </c>
      <c r="CD46" s="518" t="str">
        <f>IF(AND(_A5="A-330-900",'2025'!$E$4="CA",'2025'!$E$2=CD43),'2025DATA'!$K$5,"")</f>
        <v/>
      </c>
      <c r="CE46" s="518" t="str">
        <f>IF(AND(_A5="A-330-900",'2025'!$E$4="CA",'2025'!$E$2=CE43),'2025DATA'!$L$5,"")</f>
        <v/>
      </c>
      <c r="CF46" s="518" t="str">
        <f>IF(AND(_A5="A-330-900",'2025'!$E$4="CA",'2025'!$E$2=CF43),'2025DATA'!$M$5,"")</f>
        <v/>
      </c>
      <c r="CG46" s="520" t="str">
        <f>IF(AND(_A5="A-330-900",'2025'!$E$4="CA",'2025'!$E$2=CG43),'2025DATA'!$N$5,"")</f>
        <v/>
      </c>
      <c r="CH46" s="940" t="s">
        <v>65</v>
      </c>
      <c r="CI46" s="13" t="s">
        <v>61</v>
      </c>
      <c r="CJ46" s="518" t="str">
        <f>IF(AND(_A6="A-330-900",'2025'!$E$4="CA",'2025'!$E$2=CJ43),'2025DATA'!$C$5,"")</f>
        <v/>
      </c>
      <c r="CK46" s="518" t="str">
        <f>IF(AND(_A6="A-330-900",'2025'!$E$4="CA",'2025'!$E$2=CK43),'2025DATA'!$D$5,"")</f>
        <v/>
      </c>
      <c r="CL46" s="518" t="str">
        <f>IF(AND(_A6="A-330-900",'2025'!$E$4="CA",'2025'!$E$2=CL43),'2025DATA'!$E$5,"")</f>
        <v/>
      </c>
      <c r="CM46" s="518" t="str">
        <f>IF(AND(_A6="A-330-900",'2025'!$E$4="CA",'2025'!$E$2=CM43),'2025DATA'!$F$5,"")</f>
        <v/>
      </c>
      <c r="CN46" s="518" t="str">
        <f>IF(AND(_A6="A-330-900",'2025'!$E$4="CA",'2025'!$E$2=CN43),'2025DATA'!$G$5,"")</f>
        <v/>
      </c>
      <c r="CO46" s="518" t="str">
        <f>IF(AND(_A6="A-330-900",'2025'!$E$4="CA",'2025'!$E$2=CO43),'2025DATA'!$H$5,"")</f>
        <v/>
      </c>
      <c r="CP46" s="518" t="str">
        <f>IF(AND(_A6="A-330-900",'2025'!$E$4="CA",'2025'!$E$2=CP43),'2025DATA'!$I$5,"")</f>
        <v/>
      </c>
      <c r="CQ46" s="518" t="str">
        <f>IF(AND(_A6="A-330-900",'2025'!$E$4="CA",'2025'!$E$2=CQ43),'2025DATA'!$J$5,"")</f>
        <v/>
      </c>
      <c r="CR46" s="518" t="str">
        <f>IF(AND(_A6="A-330-900",'2025'!$E$4="CA",'2025'!$E$2=CR43),'2025DATA'!$K$5,"")</f>
        <v/>
      </c>
      <c r="CS46" s="518" t="str">
        <f>IF(AND(_A6="A-330-900",'2025'!$E$4="CA",'2025'!$E$2=CS43),'2025DATA'!$L$5,"")</f>
        <v/>
      </c>
      <c r="CT46" s="518" t="str">
        <f>IF(AND(_A6="A-330-900",'2025'!$E$4="CA",'2025'!$E$2=CT43),'2025DATA'!$M$5,"")</f>
        <v/>
      </c>
      <c r="CU46" s="520" t="str">
        <f>IF(AND(_A6="A-330-900",'2025'!$E$4="CA",'2025'!$E$2=CU43),'2025DATA'!$N$5,"")</f>
        <v/>
      </c>
    </row>
    <row r="47" spans="1:99" x14ac:dyDescent="0.25">
      <c r="P47" s="940"/>
      <c r="Q47" s="13" t="s">
        <v>62</v>
      </c>
      <c r="R47" s="518" t="str">
        <f>IF(AND(_A1="A-330-900",'2025'!$E$4="FO",'2025'!$E$2=R43),'2025DATA'!$C$6,"")</f>
        <v/>
      </c>
      <c r="S47" s="518" t="str">
        <f>IF(AND(_A1="A-330-900",'2025'!$E$4="FO",'2025'!$E$2=S43),'2025DATA'!$D$6,"")</f>
        <v/>
      </c>
      <c r="T47" s="518" t="str">
        <f>IF(AND(_A1="A-330-900",'2025'!$E$4="FO",'2025'!$E$2=T43),'2025DATA'!$E$6,"")</f>
        <v/>
      </c>
      <c r="U47" s="518" t="str">
        <f>IF(AND(_A1="A-330-900",'2025'!$E$4="FO",'2025'!$E$2=U43),'2025DATA'!$F$6,"")</f>
        <v/>
      </c>
      <c r="V47" s="518" t="str">
        <f>IF(AND(_A1="A-330-900",'2025'!$E$4="FO",'2025'!$E$2=V43),'2025DATA'!$G$6,"")</f>
        <v/>
      </c>
      <c r="W47" s="518" t="str">
        <f>IF(AND(_A1="A-330-900",'2025'!$E$4="FO",'2025'!$E$2=W43),'2025DATA'!$H$6,"")</f>
        <v/>
      </c>
      <c r="X47" s="518" t="str">
        <f>IF(AND(_A1="A-330-900",'2025'!$E$4="FO",'2025'!$E$2=X43),'2025DATA'!$I$6,"")</f>
        <v/>
      </c>
      <c r="Y47" s="518" t="str">
        <f>IF(AND(_A1="A-330-900",'2025'!$E$4="FO",'2025'!$E$2=Y43),'2025DATA'!$J$6,"")</f>
        <v/>
      </c>
      <c r="Z47" s="518" t="str">
        <f>IF(AND(_A1="A-330-900",'2025'!$E$4="FO",'2025'!$E$2=Z43),'2025DATA'!$K$6,"")</f>
        <v/>
      </c>
      <c r="AA47" s="518" t="str">
        <f>IF(AND(_A1="A-330-900",'2025'!$E$4="FO",'2025'!$E$2=AA43),'2025DATA'!$L$6,"")</f>
        <v/>
      </c>
      <c r="AB47" s="518" t="str">
        <f>IF(AND(_A1="A-330-900",'2025'!$E$4="FO",'2025'!$E$2=AB43),'2025DATA'!$M$6,"")</f>
        <v/>
      </c>
      <c r="AC47" s="520" t="str">
        <f>IF(AND(_A1="A-330-900",'2025'!$E$4="FO",'2025'!$E$2=AC43),'2025DATA'!$N$6,"")</f>
        <v/>
      </c>
      <c r="AD47" s="940"/>
      <c r="AE47" s="13" t="s">
        <v>62</v>
      </c>
      <c r="AF47" s="518" t="str">
        <f>IF(AND(_A2="A-330-900",'2025'!$E$4="FO",'2025'!$E$2=AF43),'2025DATA'!$C$6,"")</f>
        <v/>
      </c>
      <c r="AG47" s="518" t="str">
        <f>IF(AND(_A2="A-330-900",'2025'!$E$4="FO",'2025'!$E$2=AG43),'2025DATA'!$D$6,"")</f>
        <v/>
      </c>
      <c r="AH47" s="518" t="str">
        <f>IF(AND(_A2="A-330-900",'2025'!$E$4="FO",'2025'!$E$2=AH43),'2025DATA'!$E$6,"")</f>
        <v/>
      </c>
      <c r="AI47" s="518" t="str">
        <f>IF(AND(_A2="A-330-900",'2025'!$E$4="FO",'2025'!$E$2=AI43),'2025DATA'!$F$6,"")</f>
        <v/>
      </c>
      <c r="AJ47" s="518" t="str">
        <f>IF(AND(_A2="A-330-900",'2025'!$E$4="FO",'2025'!$E$2=AJ43),'2025DATA'!$G$6,"")</f>
        <v/>
      </c>
      <c r="AK47" s="518" t="str">
        <f>IF(AND(_A2="A-330-900",'2025'!$E$4="FO",'2025'!$E$2=AK43),'2025DATA'!$H$6,"")</f>
        <v/>
      </c>
      <c r="AL47" s="518" t="str">
        <f>IF(AND(_A2="A-330-900",'2025'!$E$4="FO",'2025'!$E$2=AL43),'2025DATA'!$I$6,"")</f>
        <v/>
      </c>
      <c r="AM47" s="518" t="str">
        <f>IF(AND(_A2="A-330-900",'2025'!$E$4="FO",'2025'!$E$2=AM43),'2025DATA'!$J$6,"")</f>
        <v/>
      </c>
      <c r="AN47" s="518" t="str">
        <f>IF(AND(_A2="A-330-900",'2025'!$E$4="FO",'2025'!$E$2=AN43),'2025DATA'!$K$6,"")</f>
        <v/>
      </c>
      <c r="AO47" s="518" t="str">
        <f>IF(AND(_A2="A-330-900",'2025'!$E$4="FO",'2025'!$E$2=AO43),'2025DATA'!$L$6,"")</f>
        <v/>
      </c>
      <c r="AP47" s="518" t="str">
        <f>IF(AND(_A2="A-330-900",'2025'!$E$4="FO",'2025'!$E$2=AP43),'2025DATA'!$M$6,"")</f>
        <v/>
      </c>
      <c r="AQ47" s="520" t="str">
        <f>IF(AND(_A2="A-330-900",'2025'!$E$4="FO",'2025'!$E$2=AQ43),'2025DATA'!$N$6,"")</f>
        <v/>
      </c>
      <c r="AR47" s="940"/>
      <c r="AS47" s="13" t="s">
        <v>62</v>
      </c>
      <c r="AT47" s="518" t="str">
        <f>IF(AND(_A3="A-330-900",'2025'!$E$4="FO",'2025'!$E$2=AT43),'2025DATA'!$C$6,"")</f>
        <v/>
      </c>
      <c r="AU47" s="518" t="str">
        <f>IF(AND(_A3="A-330-900",'2025'!$E$4="FO",'2025'!$E$2=AU43),'2025DATA'!$D$6,"")</f>
        <v/>
      </c>
      <c r="AV47" s="518" t="str">
        <f>IF(AND(_A3="A-330-900",'2025'!$E$4="FO",'2025'!$E$2=AV43),'2025DATA'!$E$6,"")</f>
        <v/>
      </c>
      <c r="AW47" s="518" t="str">
        <f>IF(AND(_A3="A-330-900",'2025'!$E$4="FO",'2025'!$E$2=AW43),'2025DATA'!$F$6,"")</f>
        <v/>
      </c>
      <c r="AX47" s="518" t="str">
        <f>IF(AND(_A3="A-330-900",'2025'!$E$4="FO",'2025'!$E$2=AX43),'2025DATA'!$G$6,"")</f>
        <v/>
      </c>
      <c r="AY47" s="518" t="str">
        <f>IF(AND(_A3="A-330-900",'2025'!$E$4="FO",'2025'!$E$2=AY43),'2025DATA'!$H$6,"")</f>
        <v/>
      </c>
      <c r="AZ47" s="518" t="str">
        <f>IF(AND(_A3="A-330-900",'2025'!$E$4="FO",'2025'!$E$2=AZ43),'2025DATA'!$I$6,"")</f>
        <v/>
      </c>
      <c r="BA47" s="518" t="str">
        <f>IF(AND(_A3="A-330-900",'2025'!$E$4="FO",'2025'!$E$2=BA43),'2025DATA'!$J$6,"")</f>
        <v/>
      </c>
      <c r="BB47" s="518" t="str">
        <f>IF(AND(_A3="A-330-900",'2025'!$E$4="FO",'2025'!$E$2=BB43),'2025DATA'!$K$6,"")</f>
        <v/>
      </c>
      <c r="BC47" s="518" t="str">
        <f>IF(AND(_A3="A-330-900",'2025'!$E$4="FO",'2025'!$E$2=BC43),'2025DATA'!$L$6,"")</f>
        <v/>
      </c>
      <c r="BD47" s="518" t="str">
        <f>IF(AND(_A3="A-330-900",'2025'!$E$4="FO",'2025'!$E$2=BD43),'2025DATA'!$M$6,"")</f>
        <v/>
      </c>
      <c r="BE47" s="520" t="str">
        <f>IF(AND(_A3="A-330-900",'2025'!$E$4="FO",'2025'!$E$2=BE43),'2025DATA'!$N$6,"")</f>
        <v/>
      </c>
      <c r="BF47" s="940"/>
      <c r="BG47" s="13" t="s">
        <v>62</v>
      </c>
      <c r="BH47" s="518" t="str">
        <f>IF(AND(_A4="A-330-900",'2025'!$E$4="FO",'2025'!$E$2=BH43),'2025DATA'!$C$6,"")</f>
        <v/>
      </c>
      <c r="BI47" s="518" t="str">
        <f>IF(AND(_A4="A-330-900",'2025'!$E$4="FO",'2025'!$E$2=BI43),'2025DATA'!$D$6,"")</f>
        <v/>
      </c>
      <c r="BJ47" s="518" t="str">
        <f>IF(AND(_A4="A-330-900",'2025'!$E$4="FO",'2025'!$E$2=BJ43),'2025DATA'!$E$6,"")</f>
        <v/>
      </c>
      <c r="BK47" s="518" t="str">
        <f>IF(AND(_A4="A-330-900",'2025'!$E$4="FO",'2025'!$E$2=BK43),'2025DATA'!$F$6,"")</f>
        <v/>
      </c>
      <c r="BL47" s="518" t="str">
        <f>IF(AND(_A4="A-330-900",'2025'!$E$4="FO",'2025'!$E$2=BL43),'2025DATA'!$G$6,"")</f>
        <v/>
      </c>
      <c r="BM47" s="518" t="str">
        <f>IF(AND(_A4="A-330-900",'2025'!$E$4="FO",'2025'!$E$2=BM43),'2025DATA'!$H$6,"")</f>
        <v/>
      </c>
      <c r="BN47" s="518" t="str">
        <f>IF(AND(_A4="A-330-900",'2025'!$E$4="FO",'2025'!$E$2=BN43),'2025DATA'!$I$6,"")</f>
        <v/>
      </c>
      <c r="BO47" s="518" t="str">
        <f>IF(AND(_A4="A-330-900",'2025'!$E$4="FO",'2025'!$E$2=BO43),'2025DATA'!$J$6,"")</f>
        <v/>
      </c>
      <c r="BP47" s="518" t="str">
        <f>IF(AND(_A4="A-330-900",'2025'!$E$4="FO",'2025'!$E$2=BP43),'2025DATA'!$K$6,"")</f>
        <v/>
      </c>
      <c r="BQ47" s="518" t="str">
        <f>IF(AND(_A4="A-330-900",'2025'!$E$4="FO",'2025'!$E$2=BQ43),'2025DATA'!$L$6,"")</f>
        <v/>
      </c>
      <c r="BR47" s="518" t="str">
        <f>IF(AND(_A4="A-330-900",'2025'!$E$4="FO",'2025'!$E$2=BR43),'2025DATA'!$M$6,"")</f>
        <v/>
      </c>
      <c r="BS47" s="520" t="str">
        <f>IF(AND(_A4="A-330-900",'2025'!$E$4="FO",'2025'!$E$2=BS43),'2025DATA'!$N$6,"")</f>
        <v/>
      </c>
      <c r="BT47" s="940"/>
      <c r="BU47" s="13" t="s">
        <v>62</v>
      </c>
      <c r="BV47" s="518" t="str">
        <f>IF(AND(_A5="A-330-900",'2025'!$E$4="FO",'2025'!$E$2=BV43),'2025DATA'!$C$6,"")</f>
        <v/>
      </c>
      <c r="BW47" s="518" t="str">
        <f>IF(AND(_A5="A-330-900",'2025'!$E$4="FO",'2025'!$E$2=BW43),'2025DATA'!$D$6,"")</f>
        <v/>
      </c>
      <c r="BX47" s="518" t="str">
        <f>IF(AND(_A5="A-330-900",'2025'!$E$4="FO",'2025'!$E$2=BX43),'2025DATA'!$E$6,"")</f>
        <v/>
      </c>
      <c r="BY47" s="518" t="str">
        <f>IF(AND(_A5="A-330-900",'2025'!$E$4="FO",'2025'!$E$2=BY43),'2025DATA'!$F$6,"")</f>
        <v/>
      </c>
      <c r="BZ47" s="518" t="str">
        <f>IF(AND(_A5="A-330-900",'2025'!$E$4="FO",'2025'!$E$2=BZ43),'2025DATA'!$G$6,"")</f>
        <v/>
      </c>
      <c r="CA47" s="518" t="str">
        <f>IF(AND(_A5="A-330-900",'2025'!$E$4="FO",'2025'!$E$2=CA43),'2025DATA'!$H$6,"")</f>
        <v/>
      </c>
      <c r="CB47" s="518" t="str">
        <f>IF(AND(_A5="A-330-900",'2025'!$E$4="FO",'2025'!$E$2=CB43),'2025DATA'!$I$6,"")</f>
        <v/>
      </c>
      <c r="CC47" s="518" t="str">
        <f>IF(AND(_A5="A-330-900",'2025'!$E$4="FO",'2025'!$E$2=CC43),'2025DATA'!$J$6,"")</f>
        <v/>
      </c>
      <c r="CD47" s="518" t="str">
        <f>IF(AND(_A5="A-330-900",'2025'!$E$4="FO",'2025'!$E$2=CD43),'2025DATA'!$K$6,"")</f>
        <v/>
      </c>
      <c r="CE47" s="518" t="str">
        <f>IF(AND(_A5="A-330-900",'2025'!$E$4="FO",'2025'!$E$2=CE43),'2025DATA'!$L$6,"")</f>
        <v/>
      </c>
      <c r="CF47" s="518" t="str">
        <f>IF(AND(_A5="A-330-900",'2025'!$E$4="FO",'2025'!$E$2=CF43),'2025DATA'!$M$6,"")</f>
        <v/>
      </c>
      <c r="CG47" s="520" t="str">
        <f>IF(AND(_A5="A-330-900",'2025'!$E$4="FO",'2025'!$E$2=CG43),'2025DATA'!$N$6,"")</f>
        <v/>
      </c>
      <c r="CH47" s="940"/>
      <c r="CI47" s="13" t="s">
        <v>62</v>
      </c>
      <c r="CJ47" s="518" t="str">
        <f>IF(AND(_A6="A-330-900",'2025'!$E$4="FO",'2025'!$E$2=CJ43),'2025DATA'!$C$6,"")</f>
        <v/>
      </c>
      <c r="CK47" s="518" t="str">
        <f>IF(AND(_A6="A-330-900",'2025'!$E$4="FO",'2025'!$E$2=CK43),'2025DATA'!$D$6,"")</f>
        <v/>
      </c>
      <c r="CL47" s="518" t="str">
        <f>IF(AND(_A6="A-330-900",'2025'!$E$4="FO",'2025'!$E$2=CL43),'2025DATA'!$E$6,"")</f>
        <v/>
      </c>
      <c r="CM47" s="518" t="str">
        <f>IF(AND(_A6="A-330-900",'2025'!$E$4="FO",'2025'!$E$2=CM43),'2025DATA'!$F$6,"")</f>
        <v/>
      </c>
      <c r="CN47" s="518" t="str">
        <f>IF(AND(_A6="A-330-900",'2025'!$E$4="FO",'2025'!$E$2=CN43),'2025DATA'!$G$6,"")</f>
        <v/>
      </c>
      <c r="CO47" s="518" t="str">
        <f>IF(AND(_A6="A-330-900",'2025'!$E$4="FO",'2025'!$E$2=CO43),'2025DATA'!$H$6,"")</f>
        <v/>
      </c>
      <c r="CP47" s="518" t="str">
        <f>IF(AND(_A6="A-330-900",'2025'!$E$4="FO",'2025'!$E$2=CP43),'2025DATA'!$I$6,"")</f>
        <v/>
      </c>
      <c r="CQ47" s="518" t="str">
        <f>IF(AND(_A6="A-330-900",'2025'!$E$4="FO",'2025'!$E$2=CQ43),'2025DATA'!$J$6,"")</f>
        <v/>
      </c>
      <c r="CR47" s="518" t="str">
        <f>IF(AND(_A6="A-330-900",'2025'!$E$4="FO",'2025'!$E$2=CR43),'2025DATA'!$K$6,"")</f>
        <v/>
      </c>
      <c r="CS47" s="518" t="str">
        <f>IF(AND(_A6="A-330-900",'2025'!$E$4="FO",'2025'!$E$2=CS43),'2025DATA'!$L$6,"")</f>
        <v/>
      </c>
      <c r="CT47" s="518" t="str">
        <f>IF(AND(_A6="A-330-900",'2025'!$E$4="FO",'2025'!$E$2=CT43),'2025DATA'!$M$6,"")</f>
        <v/>
      </c>
      <c r="CU47" s="520" t="str">
        <f>IF(AND(_A6="A-330-900",'2025'!$E$4="FO",'2025'!$E$2=CU43),'2025DATA'!$N$6,"")</f>
        <v/>
      </c>
    </row>
    <row r="48" spans="1:99" x14ac:dyDescent="0.25">
      <c r="P48" s="940" t="s">
        <v>64</v>
      </c>
      <c r="Q48" s="13" t="s">
        <v>61</v>
      </c>
      <c r="R48" s="518" t="str">
        <f>IF(AND(_A1="A-330-300",'2025'!$E$4="CA",'2025'!$E$2=R43),'2025DATA'!$C$7,"")</f>
        <v/>
      </c>
      <c r="S48" s="518" t="str">
        <f>IF(AND(_A1="A-330-300",'2025'!$E$4="CA",'2025'!$E$2=S43),'2025DATA'!$D$7,"")</f>
        <v/>
      </c>
      <c r="T48" s="518" t="str">
        <f>IF(AND(_A1="A-330-300",'2025'!$E$4="CA",'2025'!$E$2=T43),'2025DATA'!$E$7,"")</f>
        <v/>
      </c>
      <c r="U48" s="518" t="str">
        <f>IF(AND(_A1="A-330-300",'2025'!$E$4="CA",'2025'!$E$2=U43),'2025DATA'!$F$7,"")</f>
        <v/>
      </c>
      <c r="V48" s="518" t="str">
        <f>IF(AND(_A1="A-330-300",'2025'!$E$4="CA",'2025'!$E$2=V43),'2025DATA'!$G$7,"")</f>
        <v/>
      </c>
      <c r="W48" s="518" t="str">
        <f>IF(AND(_A1="A-330-300",'2025'!$E$4="CA",'2025'!$E$2=W43),'2025DATA'!$H$7,"")</f>
        <v/>
      </c>
      <c r="X48" s="518" t="str">
        <f>IF(AND(_A1="A-330-300",'2025'!$E$4="CA",'2025'!$E$2=X43),'2025DATA'!$I$7,"")</f>
        <v/>
      </c>
      <c r="Y48" s="518" t="str">
        <f>IF(AND(_A1="A-330-300",'2025'!$E$4="CA",'2025'!$E$2=Y43),'2025DATA'!$J$7,"")</f>
        <v/>
      </c>
      <c r="Z48" s="518" t="str">
        <f>IF(AND(_A1="A-330-300",'2025'!$E$4="CA",'2025'!$E$2=Z43),'2025DATA'!$K$7,"")</f>
        <v/>
      </c>
      <c r="AA48" s="518" t="str">
        <f>IF(AND(_A1="A-330-300",'2025'!$E$4="CA",'2025'!$E$2=AA43),'2025DATA'!$L$7,"")</f>
        <v/>
      </c>
      <c r="AB48" s="518" t="str">
        <f>IF(AND(_A1="A-330-300",'2025'!$E$4="CA",'2025'!$E$2=AB43),'2025DATA'!$M$7,"")</f>
        <v/>
      </c>
      <c r="AC48" s="520" t="str">
        <f>IF(AND(_A1="A-330-300",'2025'!$E$4="CA",'2025'!$E$2=AC43),'2025DATA'!$N$7,"")</f>
        <v/>
      </c>
      <c r="AD48" s="940" t="s">
        <v>64</v>
      </c>
      <c r="AE48" s="13" t="s">
        <v>61</v>
      </c>
      <c r="AF48" s="518" t="str">
        <f>IF(AND(_A2="A-330-300",'2025'!$E$4="CA",'2025'!$E$2=AF43),'2025DATA'!$C$7,"")</f>
        <v/>
      </c>
      <c r="AG48" s="518" t="str">
        <f>IF(AND(_A2="A-330-300",'2025'!$E$4="CA",'2025'!$E$2=AG43),'2025DATA'!$D$7,"")</f>
        <v/>
      </c>
      <c r="AH48" s="518" t="str">
        <f>IF(AND(_A2="A-330-300",'2025'!$E$4="CA",'2025'!$E$2=AH43),'2025DATA'!$E$7,"")</f>
        <v/>
      </c>
      <c r="AI48" s="518" t="str">
        <f>IF(AND(_A2="A-330-300",'2025'!$E$4="CA",'2025'!$E$2=AI43),'2025DATA'!$F$7,"")</f>
        <v/>
      </c>
      <c r="AJ48" s="518" t="str">
        <f>IF(AND(_A2="A-330-300",'2025'!$E$4="CA",'2025'!$E$2=AJ43),'2025DATA'!$G$7,"")</f>
        <v/>
      </c>
      <c r="AK48" s="518" t="str">
        <f>IF(AND(_A2="A-330-300",'2025'!$E$4="CA",'2025'!$E$2=AK43),'2025DATA'!$H$7,"")</f>
        <v/>
      </c>
      <c r="AL48" s="518" t="str">
        <f>IF(AND(_A2="A-330-300",'2025'!$E$4="CA",'2025'!$E$2=AL43),'2025DATA'!$I$7,"")</f>
        <v/>
      </c>
      <c r="AM48" s="518" t="str">
        <f>IF(AND(_A2="A-330-300",'2025'!$E$4="CA",'2025'!$E$2=AM43),'2025DATA'!$J$7,"")</f>
        <v/>
      </c>
      <c r="AN48" s="518" t="str">
        <f>IF(AND(_A2="A-330-300",'2025'!$E$4="CA",'2025'!$E$2=AN43),'2025DATA'!$K$7,"")</f>
        <v/>
      </c>
      <c r="AO48" s="518" t="str">
        <f>IF(AND(_A2="A-330-300",'2025'!$E$4="CA",'2025'!$E$2=AO43),'2025DATA'!$L$7,"")</f>
        <v/>
      </c>
      <c r="AP48" s="518" t="str">
        <f>IF(AND(_A2="A-330-300",'2025'!$E$4="CA",'2025'!$E$2=AP43),'2025DATA'!$M$7,"")</f>
        <v/>
      </c>
      <c r="AQ48" s="520" t="str">
        <f>IF(AND(_A2="A-330-300",'2025'!$E$4="CA",'2025'!$E$2=AQ43),'2025DATA'!$N$7,"")</f>
        <v/>
      </c>
      <c r="AR48" s="940" t="s">
        <v>64</v>
      </c>
      <c r="AS48" s="13" t="s">
        <v>61</v>
      </c>
      <c r="AT48" s="518" t="str">
        <f>IF(AND(_A3="A-330-300",'2025'!$E$4="CA",'2025'!$E$2=AT43),'2025DATA'!$C$7,"")</f>
        <v/>
      </c>
      <c r="AU48" s="518" t="str">
        <f>IF(AND(_A3="A-330-300",'2025'!$E$4="CA",'2025'!$E$2=AU43),'2025DATA'!$D$7,"")</f>
        <v/>
      </c>
      <c r="AV48" s="518" t="str">
        <f>IF(AND(_A3="A-330-300",'2025'!$E$4="CA",'2025'!$E$2=AV43),'2025DATA'!$E$7,"")</f>
        <v/>
      </c>
      <c r="AW48" s="518" t="str">
        <f>IF(AND(_A3="A-330-300",'2025'!$E$4="CA",'2025'!$E$2=AW43),'2025DATA'!$F$7,"")</f>
        <v/>
      </c>
      <c r="AX48" s="518" t="str">
        <f>IF(AND(_A3="A-330-300",'2025'!$E$4="CA",'2025'!$E$2=AX43),'2025DATA'!$G$7,"")</f>
        <v/>
      </c>
      <c r="AY48" s="518" t="str">
        <f>IF(AND(_A3="A-330-300",'2025'!$E$4="CA",'2025'!$E$2=AY43),'2025DATA'!$H$7,"")</f>
        <v/>
      </c>
      <c r="AZ48" s="518" t="str">
        <f>IF(AND(_A3="A-330-300",'2025'!$E$4="CA",'2025'!$E$2=AZ43),'2025DATA'!$I$7,"")</f>
        <v/>
      </c>
      <c r="BA48" s="518" t="str">
        <f>IF(AND(_A3="A-330-300",'2025'!$E$4="CA",'2025'!$E$2=BA43),'2025DATA'!$J$7,"")</f>
        <v/>
      </c>
      <c r="BB48" s="518" t="str">
        <f>IF(AND(_A3="A-330-300",'2025'!$E$4="CA",'2025'!$E$2=BB43),'2025DATA'!$K$7,"")</f>
        <v/>
      </c>
      <c r="BC48" s="518" t="str">
        <f>IF(AND(_A3="A-330-300",'2025'!$E$4="CA",'2025'!$E$2=BC43),'2025DATA'!$L$7,"")</f>
        <v/>
      </c>
      <c r="BD48" s="518" t="str">
        <f>IF(AND(_A3="A-330-300",'2025'!$E$4="CA",'2025'!$E$2=BD43),'2025DATA'!$M$7,"")</f>
        <v/>
      </c>
      <c r="BE48" s="520" t="str">
        <f>IF(AND(_A3="A-330-300",'2025'!$E$4="CA",'2025'!$E$2=BE43),'2025DATA'!$N$7,"")</f>
        <v/>
      </c>
      <c r="BF48" s="940" t="s">
        <v>64</v>
      </c>
      <c r="BG48" s="13" t="s">
        <v>61</v>
      </c>
      <c r="BH48" s="518" t="str">
        <f>IF(AND(_A4="A-330-300",'2025'!$E$4="CA",'2025'!$E$2=BH43),'2025DATA'!$C$7,"")</f>
        <v/>
      </c>
      <c r="BI48" s="518" t="str">
        <f>IF(AND(_A4="A-330-300",'2025'!$E$4="CA",'2025'!$E$2=BI43),'2025DATA'!$D$7,"")</f>
        <v/>
      </c>
      <c r="BJ48" s="518" t="str">
        <f>IF(AND(_A4="A-330-300",'2025'!$E$4="CA",'2025'!$E$2=BJ43),'2025DATA'!$E$7,"")</f>
        <v/>
      </c>
      <c r="BK48" s="518" t="str">
        <f>IF(AND(_A4="A-330-300",'2025'!$E$4="CA",'2025'!$E$2=BK43),'2025DATA'!$F$7,"")</f>
        <v/>
      </c>
      <c r="BL48" s="518" t="str">
        <f>IF(AND(_A4="A-330-300",'2025'!$E$4="CA",'2025'!$E$2=BL43),'2025DATA'!$G$7,"")</f>
        <v/>
      </c>
      <c r="BM48" s="518" t="str">
        <f>IF(AND(_A4="A-330-300",'2025'!$E$4="CA",'2025'!$E$2=BM43),'2025DATA'!$H$7,"")</f>
        <v/>
      </c>
      <c r="BN48" s="518" t="str">
        <f>IF(AND(_A4="A-330-300",'2025'!$E$4="CA",'2025'!$E$2=BN43),'2025DATA'!$I$7,"")</f>
        <v/>
      </c>
      <c r="BO48" s="518" t="str">
        <f>IF(AND(_A4="A-330-300",'2025'!$E$4="CA",'2025'!$E$2=BO43),'2025DATA'!$J$7,"")</f>
        <v/>
      </c>
      <c r="BP48" s="518" t="str">
        <f>IF(AND(_A4="A-330-300",'2025'!$E$4="CA",'2025'!$E$2=BP43),'2025DATA'!$K$7,"")</f>
        <v/>
      </c>
      <c r="BQ48" s="518" t="str">
        <f>IF(AND(_A4="A-330-300",'2025'!$E$4="CA",'2025'!$E$2=BQ43),'2025DATA'!$L$7,"")</f>
        <v/>
      </c>
      <c r="BR48" s="518" t="str">
        <f>IF(AND(_A4="A-330-300",'2025'!$E$4="CA",'2025'!$E$2=BR43),'2025DATA'!$M$7,"")</f>
        <v/>
      </c>
      <c r="BS48" s="520" t="str">
        <f>IF(AND(_A4="A-330-300",'2025'!$E$4="CA",'2025'!$E$2=BS43),'2025DATA'!$N$7,"")</f>
        <v/>
      </c>
      <c r="BT48" s="940" t="s">
        <v>64</v>
      </c>
      <c r="BU48" s="13" t="s">
        <v>61</v>
      </c>
      <c r="BV48" s="518" t="str">
        <f>IF(AND(_A5="A-330-300",'2025'!$E$4="CA",'2025'!$E$2=BV43),'2025DATA'!$C$7,"")</f>
        <v/>
      </c>
      <c r="BW48" s="518" t="str">
        <f>IF(AND(_A5="A-330-300",'2025'!$E$4="CA",'2025'!$E$2=BW43),'2025DATA'!$D$7,"")</f>
        <v/>
      </c>
      <c r="BX48" s="518" t="str">
        <f>IF(AND(_A5="A-330-300",'2025'!$E$4="CA",'2025'!$E$2=BX43),'2025DATA'!$E$7,"")</f>
        <v/>
      </c>
      <c r="BY48" s="518" t="str">
        <f>IF(AND(_A5="A-330-300",'2025'!$E$4="CA",'2025'!$E$2=BY43),'2025DATA'!$F$7,"")</f>
        <v/>
      </c>
      <c r="BZ48" s="518" t="str">
        <f>IF(AND(_A5="A-330-300",'2025'!$E$4="CA",'2025'!$E$2=BZ43),'2025DATA'!$G$7,"")</f>
        <v/>
      </c>
      <c r="CA48" s="518" t="str">
        <f>IF(AND(_A5="A-330-300",'2025'!$E$4="CA",'2025'!$E$2=CA43),'2025DATA'!$H$7,"")</f>
        <v/>
      </c>
      <c r="CB48" s="518" t="str">
        <f>IF(AND(_A5="A-330-300",'2025'!$E$4="CA",'2025'!$E$2=CB43),'2025DATA'!$I$7,"")</f>
        <v/>
      </c>
      <c r="CC48" s="518" t="str">
        <f>IF(AND(_A5="A-330-300",'2025'!$E$4="CA",'2025'!$E$2=CC43),'2025DATA'!$J$7,"")</f>
        <v/>
      </c>
      <c r="CD48" s="518" t="str">
        <f>IF(AND(_A5="A-330-300",'2025'!$E$4="CA",'2025'!$E$2=CD43),'2025DATA'!$K$7,"")</f>
        <v/>
      </c>
      <c r="CE48" s="518" t="str">
        <f>IF(AND(_A5="A-330-300",'2025'!$E$4="CA",'2025'!$E$2=CE43),'2025DATA'!$L$7,"")</f>
        <v/>
      </c>
      <c r="CF48" s="518" t="str">
        <f>IF(AND(_A5="A-330-300",'2025'!$E$4="CA",'2025'!$E$2=CF43),'2025DATA'!$M$7,"")</f>
        <v/>
      </c>
      <c r="CG48" s="520" t="str">
        <f>IF(AND(_A5="A-330-300",'2025'!$E$4="CA",'2025'!$E$2=CG43),'2025DATA'!$N$7,"")</f>
        <v/>
      </c>
      <c r="CH48" s="940" t="s">
        <v>64</v>
      </c>
      <c r="CI48" s="13" t="s">
        <v>61</v>
      </c>
      <c r="CJ48" s="518" t="str">
        <f>IF(AND(_A6="A-330-300",'2025'!$E$4="CA",'2025'!$E$2=CJ43),'2025DATA'!$C$7,"")</f>
        <v/>
      </c>
      <c r="CK48" s="518" t="str">
        <f>IF(AND(_A6="A-330-300",'2025'!$E$4="CA",'2025'!$E$2=CK43),'2025DATA'!$D$7,"")</f>
        <v/>
      </c>
      <c r="CL48" s="518" t="str">
        <f>IF(AND(_A6="A-330-300",'2025'!$E$4="CA",'2025'!$E$2=CL43),'2025DATA'!$E$7,"")</f>
        <v/>
      </c>
      <c r="CM48" s="518" t="str">
        <f>IF(AND(_A6="A-330-300",'2025'!$E$4="CA",'2025'!$E$2=CM43),'2025DATA'!$F$7,"")</f>
        <v/>
      </c>
      <c r="CN48" s="518" t="str">
        <f>IF(AND(_A6="A-330-300",'2025'!$E$4="CA",'2025'!$E$2=CN43),'2025DATA'!$G$7,"")</f>
        <v/>
      </c>
      <c r="CO48" s="518" t="str">
        <f>IF(AND(_A6="A-330-300",'2025'!$E$4="CA",'2025'!$E$2=CO43),'2025DATA'!$H$7,"")</f>
        <v/>
      </c>
      <c r="CP48" s="518" t="str">
        <f>IF(AND(_A6="A-330-300",'2025'!$E$4="CA",'2025'!$E$2=CP43),'2025DATA'!$I$7,"")</f>
        <v/>
      </c>
      <c r="CQ48" s="518" t="str">
        <f>IF(AND(_A6="A-330-300",'2025'!$E$4="CA",'2025'!$E$2=CQ43),'2025DATA'!$J$7,"")</f>
        <v/>
      </c>
      <c r="CR48" s="518" t="str">
        <f>IF(AND(_A6="A-330-300",'2025'!$E$4="CA",'2025'!$E$2=CR43),'2025DATA'!$K$7,"")</f>
        <v/>
      </c>
      <c r="CS48" s="518" t="str">
        <f>IF(AND(_A6="A-330-300",'2025'!$E$4="CA",'2025'!$E$2=CS43),'2025DATA'!$L$7,"")</f>
        <v/>
      </c>
      <c r="CT48" s="518" t="str">
        <f>IF(AND(_A6="A-330-300",'2025'!$E$4="CA",'2025'!$E$2=CT43),'2025DATA'!$M$7,"")</f>
        <v/>
      </c>
      <c r="CU48" s="520" t="str">
        <f>IF(AND(_A6="A-330-300",'2025'!$E$4="CA",'2025'!$E$2=CU43),'2025DATA'!$N$7,"")</f>
        <v/>
      </c>
    </row>
    <row r="49" spans="16:99" x14ac:dyDescent="0.25">
      <c r="P49" s="940"/>
      <c r="Q49" s="13" t="s">
        <v>62</v>
      </c>
      <c r="R49" s="518" t="str">
        <f>IF(AND(_A1="A-330-300",'2025'!$E$4="FO",'2025'!$E$2=R43),'2025DATA'!$C$8,"")</f>
        <v/>
      </c>
      <c r="S49" s="518" t="str">
        <f>IF(AND(_A1="A-330-300",'2025'!$E$4="FO",'2025'!$E$2=S43),'2025DATA'!$D$8,"")</f>
        <v/>
      </c>
      <c r="T49" s="518" t="str">
        <f>IF(AND(_A1="A-330-300",'2025'!$E$4="FO",'2025'!$E$2=T43),'2025DATA'!$E$8,"")</f>
        <v/>
      </c>
      <c r="U49" s="518" t="str">
        <f>IF(AND(_A1="A-330-300",'2025'!$E$4="FO",'2025'!$E$2=U43),'2025DATA'!$F$8,"")</f>
        <v/>
      </c>
      <c r="V49" s="518" t="str">
        <f>IF(AND(_A1="A-330-300",'2025'!$E$4="FO",'2025'!$E$2=V43),'2025DATA'!$G$8,"")</f>
        <v/>
      </c>
      <c r="W49" s="518" t="str">
        <f>IF(AND(_A1="A-330-300",'2025'!$E$4="FO",'2025'!$E$2=W43),'2025DATA'!$H$8,"")</f>
        <v/>
      </c>
      <c r="X49" s="518" t="str">
        <f>IF(AND(_A1="A-330-300",'2025'!$E$4="FO",'2025'!$E$2=X43),'2025DATA'!$I$8,"")</f>
        <v/>
      </c>
      <c r="Y49" s="518" t="str">
        <f>IF(AND(_A1="A-330-300",'2025'!$E$4="FO",'2025'!$E$2=Y43),'2025DATA'!$J$8,"")</f>
        <v/>
      </c>
      <c r="Z49" s="518" t="str">
        <f>IF(AND(_A1="A-330-300",'2025'!$E$4="FO",'2025'!$E$2=Z43),'2025DATA'!$K$8,"")</f>
        <v/>
      </c>
      <c r="AA49" s="518" t="str">
        <f>IF(AND(_A1="A-330-300",'2025'!$E$4="FO",'2025'!$E$2=AA43),'2025DATA'!$L$8,"")</f>
        <v/>
      </c>
      <c r="AB49" s="518" t="str">
        <f>IF(AND(_A1="A-330-300",'2025'!$E$4="FO",'2025'!$E$2=AB43),'2025DATA'!$M$8,"")</f>
        <v/>
      </c>
      <c r="AC49" s="520" t="str">
        <f>IF(AND(_A1="A-330-300",'2025'!$E$4="FO",'2025'!$E$2=AC43),'2025DATA'!$N$8,"")</f>
        <v/>
      </c>
      <c r="AD49" s="940"/>
      <c r="AE49" s="13" t="s">
        <v>62</v>
      </c>
      <c r="AF49" s="518" t="str">
        <f>IF(AND(_A2="A-330-300",'2025'!$E$4="FO",'2025'!$E$2=AF43),'2025DATA'!$C$8,"")</f>
        <v/>
      </c>
      <c r="AG49" s="518" t="str">
        <f>IF(AND(_A2="A-330-300",'2025'!$E$4="FO",'2025'!$E$2=AG43),'2025DATA'!$D$8,"")</f>
        <v/>
      </c>
      <c r="AH49" s="518" t="str">
        <f>IF(AND(_A2="A-330-300",'2025'!$E$4="FO",'2025'!$E$2=AH43),'2025DATA'!$E$8,"")</f>
        <v/>
      </c>
      <c r="AI49" s="518" t="str">
        <f>IF(AND(_A2="A-330-300",'2025'!$E$4="FO",'2025'!$E$2=AI43),'2025DATA'!$F$8,"")</f>
        <v/>
      </c>
      <c r="AJ49" s="518" t="str">
        <f>IF(AND(_A2="A-330-300",'2025'!$E$4="FO",'2025'!$E$2=AJ43),'2025DATA'!$G$8,"")</f>
        <v/>
      </c>
      <c r="AK49" s="518" t="str">
        <f>IF(AND(_A2="A-330-300",'2025'!$E$4="FO",'2025'!$E$2=AK43),'2025DATA'!$H$8,"")</f>
        <v/>
      </c>
      <c r="AL49" s="518" t="str">
        <f>IF(AND(_A2="A-330-300",'2025'!$E$4="FO",'2025'!$E$2=AL43),'2025DATA'!$I$8,"")</f>
        <v/>
      </c>
      <c r="AM49" s="518" t="str">
        <f>IF(AND(_A2="A-330-300",'2025'!$E$4="FO",'2025'!$E$2=AM43),'2025DATA'!$J$8,"")</f>
        <v/>
      </c>
      <c r="AN49" s="518" t="str">
        <f>IF(AND(_A2="A-330-300",'2025'!$E$4="FO",'2025'!$E$2=AN43),'2025DATA'!$K$8,"")</f>
        <v/>
      </c>
      <c r="AO49" s="518" t="str">
        <f>IF(AND(_A2="A-330-300",'2025'!$E$4="FO",'2025'!$E$2=AO43),'2025DATA'!$L$8,"")</f>
        <v/>
      </c>
      <c r="AP49" s="518" t="str">
        <f>IF(AND(_A2="A-330-300",'2025'!$E$4="FO",'2025'!$E$2=AP43),'2025DATA'!$M$8,"")</f>
        <v/>
      </c>
      <c r="AQ49" s="520" t="str">
        <f>IF(AND(_A2="A-330-300",'2025'!$E$4="FO",'2025'!$E$2=AQ43),'2025DATA'!$N$8,"")</f>
        <v/>
      </c>
      <c r="AR49" s="940"/>
      <c r="AS49" s="13" t="s">
        <v>62</v>
      </c>
      <c r="AT49" s="518" t="str">
        <f>IF(AND(_A3="A-330-300",'2025'!$E$4="FO",'2025'!$E$2=AT43),'2025DATA'!$C$8,"")</f>
        <v/>
      </c>
      <c r="AU49" s="518" t="str">
        <f>IF(AND(_A3="A-330-300",'2025'!$E$4="FO",'2025'!$E$2=AU43),'2025DATA'!$D$8,"")</f>
        <v/>
      </c>
      <c r="AV49" s="518" t="str">
        <f>IF(AND(_A3="A-330-300",'2025'!$E$4="FO",'2025'!$E$2=AV43),'2025DATA'!$E$8,"")</f>
        <v/>
      </c>
      <c r="AW49" s="518" t="str">
        <f>IF(AND(_A3="A-330-300",'2025'!$E$4="FO",'2025'!$E$2=AW43),'2025DATA'!$F$8,"")</f>
        <v/>
      </c>
      <c r="AX49" s="518" t="str">
        <f>IF(AND(_A3="A-330-300",'2025'!$E$4="FO",'2025'!$E$2=AX43),'2025DATA'!$G$8,"")</f>
        <v/>
      </c>
      <c r="AY49" s="518" t="str">
        <f>IF(AND(_A3="A-330-300",'2025'!$E$4="FO",'2025'!$E$2=AY43),'2025DATA'!$H$8,"")</f>
        <v/>
      </c>
      <c r="AZ49" s="518" t="str">
        <f>IF(AND(_A3="A-330-300",'2025'!$E$4="FO",'2025'!$E$2=AZ43),'2025DATA'!$I$8,"")</f>
        <v/>
      </c>
      <c r="BA49" s="518" t="str">
        <f>IF(AND(_A3="A-330-300",'2025'!$E$4="FO",'2025'!$E$2=BA43),'2025DATA'!$J$8,"")</f>
        <v/>
      </c>
      <c r="BB49" s="518" t="str">
        <f>IF(AND(_A3="A-330-300",'2025'!$E$4="FO",'2025'!$E$2=BB43),'2025DATA'!$K$8,"")</f>
        <v/>
      </c>
      <c r="BC49" s="518" t="str">
        <f>IF(AND(_A3="A-330-300",'2025'!$E$4="FO",'2025'!$E$2=BC43),'2025DATA'!$L$8,"")</f>
        <v/>
      </c>
      <c r="BD49" s="518" t="str">
        <f>IF(AND(_A3="A-330-300",'2025'!$E$4="FO",'2025'!$E$2=BD43),'2025DATA'!$M$8,"")</f>
        <v/>
      </c>
      <c r="BE49" s="520" t="str">
        <f>IF(AND(_A3="A-330-300",'2025'!$E$4="FO",'2025'!$E$2=BE43),'2025DATA'!$N$8,"")</f>
        <v/>
      </c>
      <c r="BF49" s="940"/>
      <c r="BG49" s="13" t="s">
        <v>62</v>
      </c>
      <c r="BH49" s="518" t="str">
        <f>IF(AND(_A4="A-330-300",'2025'!$E$4="FO",'2025'!$E$2=BH43),'2025DATA'!$C$8,"")</f>
        <v/>
      </c>
      <c r="BI49" s="518" t="str">
        <f>IF(AND(_A4="A-330-300",'2025'!$E$4="FO",'2025'!$E$2=BI43),'2025DATA'!$D$8,"")</f>
        <v/>
      </c>
      <c r="BJ49" s="518" t="str">
        <f>IF(AND(_A4="A-330-300",'2025'!$E$4="FO",'2025'!$E$2=BJ43),'2025DATA'!$E$8,"")</f>
        <v/>
      </c>
      <c r="BK49" s="518" t="str">
        <f>IF(AND(_A4="A-330-300",'2025'!$E$4="FO",'2025'!$E$2=BK43),'2025DATA'!$F$8,"")</f>
        <v/>
      </c>
      <c r="BL49" s="518" t="str">
        <f>IF(AND(_A4="A-330-300",'2025'!$E$4="FO",'2025'!$E$2=BL43),'2025DATA'!$G$8,"")</f>
        <v/>
      </c>
      <c r="BM49" s="518" t="str">
        <f>IF(AND(_A4="A-330-300",'2025'!$E$4="FO",'2025'!$E$2=BM43),'2025DATA'!$H$8,"")</f>
        <v/>
      </c>
      <c r="BN49" s="518" t="str">
        <f>IF(AND(_A4="A-330-300",'2025'!$E$4="FO",'2025'!$E$2=BN43),'2025DATA'!$I$8,"")</f>
        <v/>
      </c>
      <c r="BO49" s="518" t="str">
        <f>IF(AND(_A4="A-330-300",'2025'!$E$4="FO",'2025'!$E$2=BO43),'2025DATA'!$J$8,"")</f>
        <v/>
      </c>
      <c r="BP49" s="518" t="str">
        <f>IF(AND(_A4="A-330-300",'2025'!$E$4="FO",'2025'!$E$2=BP43),'2025DATA'!$K$8,"")</f>
        <v/>
      </c>
      <c r="BQ49" s="518" t="str">
        <f>IF(AND(_A4="A-330-300",'2025'!$E$4="FO",'2025'!$E$2=BQ43),'2025DATA'!$L$8,"")</f>
        <v/>
      </c>
      <c r="BR49" s="518" t="str">
        <f>IF(AND(_A4="A-330-300",'2025'!$E$4="FO",'2025'!$E$2=BR43),'2025DATA'!$M$8,"")</f>
        <v/>
      </c>
      <c r="BS49" s="520" t="str">
        <f>IF(AND(_A4="A-330-300",'2025'!$E$4="FO",'2025'!$E$2=BS43),'2025DATA'!$N$8,"")</f>
        <v/>
      </c>
      <c r="BT49" s="940"/>
      <c r="BU49" s="13" t="s">
        <v>62</v>
      </c>
      <c r="BV49" s="518" t="str">
        <f>IF(AND(_A5="A-330-300",'2025'!$E$4="FO",'2025'!$E$2=BV43),'2025DATA'!$C$8,"")</f>
        <v/>
      </c>
      <c r="BW49" s="518" t="str">
        <f>IF(AND(_A5="A-330-300",'2025'!$E$4="FO",'2025'!$E$2=BW43),'2025DATA'!$D$8,"")</f>
        <v/>
      </c>
      <c r="BX49" s="518" t="str">
        <f>IF(AND(_A5="A-330-300",'2025'!$E$4="FO",'2025'!$E$2=BX43),'2025DATA'!$E$8,"")</f>
        <v/>
      </c>
      <c r="BY49" s="518" t="str">
        <f>IF(AND(_A5="A-330-300",'2025'!$E$4="FO",'2025'!$E$2=BY43),'2025DATA'!$F$8,"")</f>
        <v/>
      </c>
      <c r="BZ49" s="518" t="str">
        <f>IF(AND(_A5="A-330-300",'2025'!$E$4="FO",'2025'!$E$2=BZ43),'2025DATA'!$G$8,"")</f>
        <v/>
      </c>
      <c r="CA49" s="518" t="str">
        <f>IF(AND(_A5="A-330-300",'2025'!$E$4="FO",'2025'!$E$2=CA43),'2025DATA'!$H$8,"")</f>
        <v/>
      </c>
      <c r="CB49" s="518" t="str">
        <f>IF(AND(_A5="A-330-300",'2025'!$E$4="FO",'2025'!$E$2=CB43),'2025DATA'!$I$8,"")</f>
        <v/>
      </c>
      <c r="CC49" s="518" t="str">
        <f>IF(AND(_A5="A-330-300",'2025'!$E$4="FO",'2025'!$E$2=CC43),'2025DATA'!$J$8,"")</f>
        <v/>
      </c>
      <c r="CD49" s="518" t="str">
        <f>IF(AND(_A5="A-330-300",'2025'!$E$4="FO",'2025'!$E$2=CD43),'2025DATA'!$K$8,"")</f>
        <v/>
      </c>
      <c r="CE49" s="518" t="str">
        <f>IF(AND(_A5="A-330-300",'2025'!$E$4="FO",'2025'!$E$2=CE43),'2025DATA'!$L$8,"")</f>
        <v/>
      </c>
      <c r="CF49" s="518" t="str">
        <f>IF(AND(_A5="A-330-300",'2025'!$E$4="FO",'2025'!$E$2=CF43),'2025DATA'!$M$8,"")</f>
        <v/>
      </c>
      <c r="CG49" s="520" t="str">
        <f>IF(AND(_A5="A-330-300",'2025'!$E$4="FO",'2025'!$E$2=CG43),'2025DATA'!$N$8,"")</f>
        <v/>
      </c>
      <c r="CH49" s="940"/>
      <c r="CI49" s="13" t="s">
        <v>62</v>
      </c>
      <c r="CJ49" s="518" t="str">
        <f>IF(AND(_A6="A-330-300",'2025'!$E$4="FO",'2025'!$E$2=CJ43),'2025DATA'!$C$8,"")</f>
        <v/>
      </c>
      <c r="CK49" s="518" t="str">
        <f>IF(AND(_A6="A-330-300",'2025'!$E$4="FO",'2025'!$E$2=CK43),'2025DATA'!$D$8,"")</f>
        <v/>
      </c>
      <c r="CL49" s="518" t="str">
        <f>IF(AND(_A6="A-330-300",'2025'!$E$4="FO",'2025'!$E$2=CL43),'2025DATA'!$E$8,"")</f>
        <v/>
      </c>
      <c r="CM49" s="518" t="str">
        <f>IF(AND(_A6="A-330-300",'2025'!$E$4="FO",'2025'!$E$2=CM43),'2025DATA'!$F$8,"")</f>
        <v/>
      </c>
      <c r="CN49" s="518" t="str">
        <f>IF(AND(_A6="A-330-300",'2025'!$E$4="FO",'2025'!$E$2=CN43),'2025DATA'!$G$8,"")</f>
        <v/>
      </c>
      <c r="CO49" s="518" t="str">
        <f>IF(AND(_A6="A-330-300",'2025'!$E$4="FO",'2025'!$E$2=CO43),'2025DATA'!$H$8,"")</f>
        <v/>
      </c>
      <c r="CP49" s="518" t="str">
        <f>IF(AND(_A6="A-330-300",'2025'!$E$4="FO",'2025'!$E$2=CP43),'2025DATA'!$I$8,"")</f>
        <v/>
      </c>
      <c r="CQ49" s="518" t="str">
        <f>IF(AND(_A6="A-330-300",'2025'!$E$4="FO",'2025'!$E$2=CQ43),'2025DATA'!$J$8,"")</f>
        <v/>
      </c>
      <c r="CR49" s="518" t="str">
        <f>IF(AND(_A6="A-330-300",'2025'!$E$4="FO",'2025'!$E$2=CR43),'2025DATA'!$K$8,"")</f>
        <v/>
      </c>
      <c r="CS49" s="518" t="str">
        <f>IF(AND(_A6="A-330-300",'2025'!$E$4="FO",'2025'!$E$2=CS43),'2025DATA'!$L$8,"")</f>
        <v/>
      </c>
      <c r="CT49" s="518" t="str">
        <f>IF(AND(_A6="A-330-300",'2025'!$E$4="FO",'2025'!$E$2=CT43),'2025DATA'!$M$8,"")</f>
        <v/>
      </c>
      <c r="CU49" s="520" t="str">
        <f>IF(AND(_A6="A-330-300",'2025'!$E$4="FO",'2025'!$E$2=CU43),'2025DATA'!$N$8,"")</f>
        <v/>
      </c>
    </row>
    <row r="50" spans="16:99" x14ac:dyDescent="0.25">
      <c r="P50" s="940" t="s">
        <v>66</v>
      </c>
      <c r="Q50" s="13" t="s">
        <v>61</v>
      </c>
      <c r="R50" s="518" t="str">
        <f>IF(AND(_A1="A-330-200",'2025'!$E$4="CA",'2025'!$E$2=R43),'2025DATA'!$C$9,"")</f>
        <v/>
      </c>
      <c r="S50" s="518" t="str">
        <f>IF(AND(_A1="A-330-200",'2025'!$E$4="CA",'2025'!$E$2=S43),'2025DATA'!$D$9,"")</f>
        <v/>
      </c>
      <c r="T50" s="518" t="str">
        <f>IF(AND(_A1="A-330-200",'2025'!$E$4="CA",'2025'!$E$2=T43),'2025DATA'!$E$9,"")</f>
        <v/>
      </c>
      <c r="U50" s="518" t="str">
        <f>IF(AND(_A1="A-330-200",'2025'!$E$4="CA",'2025'!$E$2=U43),'2025DATA'!$F$9,"")</f>
        <v/>
      </c>
      <c r="V50" s="518" t="str">
        <f>IF(AND(_A1="A-330-200",'2025'!$E$4="CA",'2025'!$E$2=V43),'2025DATA'!$G$9,"")</f>
        <v/>
      </c>
      <c r="W50" s="518" t="str">
        <f>IF(AND(_A1="A-330-200",'2025'!$E$4="CA",'2025'!$E$2=W43),'2025DATA'!$H$9,"")</f>
        <v/>
      </c>
      <c r="X50" s="518" t="str">
        <f>IF(AND(_A1="A-330-200",'2025'!$E$4="CA",'2025'!$E$2=X43),'2025DATA'!$I$9,"")</f>
        <v/>
      </c>
      <c r="Y50" s="518" t="str">
        <f>IF(AND(_A1="A-330-200",'2025'!$E$4="CA",'2025'!$E$2=Y43),'2025DATA'!$J$9,"")</f>
        <v/>
      </c>
      <c r="Z50" s="518" t="str">
        <f>IF(AND(_A1="A-330-200",'2025'!$E$4="CA",'2025'!$E$2=Z43),'2025DATA'!$K$9,"")</f>
        <v/>
      </c>
      <c r="AA50" s="518" t="str">
        <f>IF(AND(_A1="A-330-200",'2025'!$E$4="CA",'2025'!$E$2=AA43),'2025DATA'!$L$9,"")</f>
        <v/>
      </c>
      <c r="AB50" s="518" t="str">
        <f>IF(AND(_A1="A-330-200",'2025'!$E$4="CA",'2025'!$E$2=AB43),'2025DATA'!$M$9,"")</f>
        <v/>
      </c>
      <c r="AC50" s="520" t="str">
        <f>IF(AND(_A1="A-330-200",'2025'!$E$4="CA",'2025'!$E$2=AC43),'2025DATA'!$N$9,"")</f>
        <v/>
      </c>
      <c r="AD50" s="940" t="s">
        <v>66</v>
      </c>
      <c r="AE50" s="13" t="s">
        <v>61</v>
      </c>
      <c r="AF50" s="518" t="str">
        <f>IF(AND(_A2="A-330-200",'2025'!$E$4="CA",'2025'!$E$2=AF43),'2025DATA'!$C$9,"")</f>
        <v/>
      </c>
      <c r="AG50" s="518" t="str">
        <f>IF(AND(_A2="A-330-200",'2025'!$E$4="CA",'2025'!$E$2=AG43),'2025DATA'!$D$9,"")</f>
        <v/>
      </c>
      <c r="AH50" s="518" t="str">
        <f>IF(AND(_A2="A-330-200",'2025'!$E$4="CA",'2025'!$E$2=AH43),'2025DATA'!$E$9,"")</f>
        <v/>
      </c>
      <c r="AI50" s="518" t="str">
        <f>IF(AND(_A2="A-330-200",'2025'!$E$4="CA",'2025'!$E$2=AI43),'2025DATA'!$F$9,"")</f>
        <v/>
      </c>
      <c r="AJ50" s="518" t="str">
        <f>IF(AND(_A2="A-330-200",'2025'!$E$4="CA",'2025'!$E$2=AJ43),'2025DATA'!$G$9,"")</f>
        <v/>
      </c>
      <c r="AK50" s="518" t="str">
        <f>IF(AND(_A2="A-330-200",'2025'!$E$4="CA",'2025'!$E$2=AK43),'2025DATA'!$H$9,"")</f>
        <v/>
      </c>
      <c r="AL50" s="518" t="str">
        <f>IF(AND(_A2="A-330-200",'2025'!$E$4="CA",'2025'!$E$2=AL43),'2025DATA'!$I$9,"")</f>
        <v/>
      </c>
      <c r="AM50" s="518" t="str">
        <f>IF(AND(_A2="A-330-200",'2025'!$E$4="CA",'2025'!$E$2=AM43),'2025DATA'!$J$9,"")</f>
        <v/>
      </c>
      <c r="AN50" s="518" t="str">
        <f>IF(AND(_A2="A-330-200",'2025'!$E$4="CA",'2025'!$E$2=AN43),'2025DATA'!$K$9,"")</f>
        <v/>
      </c>
      <c r="AO50" s="518" t="str">
        <f>IF(AND(_A2="A-330-200",'2025'!$E$4="CA",'2025'!$E$2=AO43),'2025DATA'!$L$9,"")</f>
        <v/>
      </c>
      <c r="AP50" s="518" t="str">
        <f>IF(AND(_A2="A-330-200",'2025'!$E$4="CA",'2025'!$E$2=AP43),'2025DATA'!$M$9,"")</f>
        <v/>
      </c>
      <c r="AQ50" s="520" t="str">
        <f>IF(AND(_A2="A-330-200",'2025'!$E$4="CA",'2025'!$E$2=AQ43),'2025DATA'!$N$9,"")</f>
        <v/>
      </c>
      <c r="AR50" s="940" t="s">
        <v>66</v>
      </c>
      <c r="AS50" s="13" t="s">
        <v>61</v>
      </c>
      <c r="AT50" s="518" t="str">
        <f>IF(AND(_A3="A-330-200",'2025'!$E$4="CA",'2025'!$E$2=AT43),'2025DATA'!$C$9,"")</f>
        <v/>
      </c>
      <c r="AU50" s="518" t="str">
        <f>IF(AND(_A3="A-330-200",'2025'!$E$4="CA",'2025'!$E$2=AU43),'2025DATA'!$D$9,"")</f>
        <v/>
      </c>
      <c r="AV50" s="518" t="str">
        <f>IF(AND(_A3="A-330-200",'2025'!$E$4="CA",'2025'!$E$2=AV43),'2025DATA'!$E$9,"")</f>
        <v/>
      </c>
      <c r="AW50" s="518" t="str">
        <f>IF(AND(_A3="A-330-200",'2025'!$E$4="CA",'2025'!$E$2=AW43),'2025DATA'!$F$9,"")</f>
        <v/>
      </c>
      <c r="AX50" s="518" t="str">
        <f>IF(AND(_A3="A-330-200",'2025'!$E$4="CA",'2025'!$E$2=AX43),'2025DATA'!$G$9,"")</f>
        <v/>
      </c>
      <c r="AY50" s="518" t="str">
        <f>IF(AND(_A3="A-330-200",'2025'!$E$4="CA",'2025'!$E$2=AY43),'2025DATA'!$H$9,"")</f>
        <v/>
      </c>
      <c r="AZ50" s="518" t="str">
        <f>IF(AND(_A3="A-330-200",'2025'!$E$4="CA",'2025'!$E$2=AZ43),'2025DATA'!$I$9,"")</f>
        <v/>
      </c>
      <c r="BA50" s="518" t="str">
        <f>IF(AND(_A3="A-330-200",'2025'!$E$4="CA",'2025'!$E$2=BA43),'2025DATA'!$J$9,"")</f>
        <v/>
      </c>
      <c r="BB50" s="518" t="str">
        <f>IF(AND(_A3="A-330-200",'2025'!$E$4="CA",'2025'!$E$2=BB43),'2025DATA'!$K$9,"")</f>
        <v/>
      </c>
      <c r="BC50" s="518" t="str">
        <f>IF(AND(_A3="A-330-200",'2025'!$E$4="CA",'2025'!$E$2=BC43),'2025DATA'!$L$9,"")</f>
        <v/>
      </c>
      <c r="BD50" s="518" t="str">
        <f>IF(AND(_A3="A-330-200",'2025'!$E$4="CA",'2025'!$E$2=BD43),'2025DATA'!$M$9,"")</f>
        <v/>
      </c>
      <c r="BE50" s="520" t="str">
        <f>IF(AND(_A3="A-330-200",'2025'!$E$4="CA",'2025'!$E$2=BE43),'2025DATA'!$N$9,"")</f>
        <v/>
      </c>
      <c r="BF50" s="940" t="s">
        <v>66</v>
      </c>
      <c r="BG50" s="13" t="s">
        <v>61</v>
      </c>
      <c r="BH50" s="518" t="str">
        <f>IF(AND(_A4="A-330-200",'2025'!$E$4="CA",'2025'!$E$2=BH43),'2025DATA'!$C$9,"")</f>
        <v/>
      </c>
      <c r="BI50" s="518" t="str">
        <f>IF(AND(_A4="A-330-200",'2025'!$E$4="CA",'2025'!$E$2=BI43),'2025DATA'!$D$9,"")</f>
        <v/>
      </c>
      <c r="BJ50" s="518" t="str">
        <f>IF(AND(_A4="A-330-200",'2025'!$E$4="CA",'2025'!$E$2=BJ43),'2025DATA'!$E$9,"")</f>
        <v/>
      </c>
      <c r="BK50" s="518" t="str">
        <f>IF(AND(_A4="A-330-200",'2025'!$E$4="CA",'2025'!$E$2=BK43),'2025DATA'!$F$9,"")</f>
        <v/>
      </c>
      <c r="BL50" s="518" t="str">
        <f>IF(AND(_A4="A-330-200",'2025'!$E$4="CA",'2025'!$E$2=BL43),'2025DATA'!$G$9,"")</f>
        <v/>
      </c>
      <c r="BM50" s="518" t="str">
        <f>IF(AND(_A4="A-330-200",'2025'!$E$4="CA",'2025'!$E$2=BM43),'2025DATA'!$H$9,"")</f>
        <v/>
      </c>
      <c r="BN50" s="518" t="str">
        <f>IF(AND(_A4="A-330-200",'2025'!$E$4="CA",'2025'!$E$2=BN43),'2025DATA'!$I$9,"")</f>
        <v/>
      </c>
      <c r="BO50" s="518" t="str">
        <f>IF(AND(_A4="A-330-200",'2025'!$E$4="CA",'2025'!$E$2=BO43),'2025DATA'!$J$9,"")</f>
        <v/>
      </c>
      <c r="BP50" s="518" t="str">
        <f>IF(AND(_A4="A-330-200",'2025'!$E$4="CA",'2025'!$E$2=BP43),'2025DATA'!$K$9,"")</f>
        <v/>
      </c>
      <c r="BQ50" s="518" t="str">
        <f>IF(AND(_A4="A-330-200",'2025'!$E$4="CA",'2025'!$E$2=BQ43),'2025DATA'!$L$9,"")</f>
        <v/>
      </c>
      <c r="BR50" s="518" t="str">
        <f>IF(AND(_A4="A-330-200",'2025'!$E$4="CA",'2025'!$E$2=BR43),'2025DATA'!$M$9,"")</f>
        <v/>
      </c>
      <c r="BS50" s="520" t="str">
        <f>IF(AND(_A4="A-330-200",'2025'!$E$4="CA",'2025'!$E$2=BS43),'2025DATA'!$N$9,"")</f>
        <v/>
      </c>
      <c r="BT50" s="940" t="s">
        <v>66</v>
      </c>
      <c r="BU50" s="13" t="s">
        <v>61</v>
      </c>
      <c r="BV50" s="518" t="str">
        <f>IF(AND(_A5="A-330-200",'2025'!$E$4="CA",'2025'!$E$2=BV43),'2025DATA'!$C$9,"")</f>
        <v/>
      </c>
      <c r="BW50" s="518" t="str">
        <f>IF(AND(_A5="A-330-200",'2025'!$E$4="CA",'2025'!$E$2=BW43),'2025DATA'!$D$9,"")</f>
        <v/>
      </c>
      <c r="BX50" s="518" t="str">
        <f>IF(AND(_A5="A-330-200",'2025'!$E$4="CA",'2025'!$E$2=BX43),'2025DATA'!$E$9,"")</f>
        <v/>
      </c>
      <c r="BY50" s="518" t="str">
        <f>IF(AND(_A5="A-330-200",'2025'!$E$4="CA",'2025'!$E$2=BY43),'2025DATA'!$F$9,"")</f>
        <v/>
      </c>
      <c r="BZ50" s="518" t="str">
        <f>IF(AND(_A5="A-330-200",'2025'!$E$4="CA",'2025'!$E$2=BZ43),'2025DATA'!$G$9,"")</f>
        <v/>
      </c>
      <c r="CA50" s="518" t="str">
        <f>IF(AND(_A5="A-330-200",'2025'!$E$4="CA",'2025'!$E$2=CA43),'2025DATA'!$H$9,"")</f>
        <v/>
      </c>
      <c r="CB50" s="518" t="str">
        <f>IF(AND(_A5="A-330-200",'2025'!$E$4="CA",'2025'!$E$2=CB43),'2025DATA'!$I$9,"")</f>
        <v/>
      </c>
      <c r="CC50" s="518" t="str">
        <f>IF(AND(_A5="A-330-200",'2025'!$E$4="CA",'2025'!$E$2=CC43),'2025DATA'!$J$9,"")</f>
        <v/>
      </c>
      <c r="CD50" s="518" t="str">
        <f>IF(AND(_A5="A-330-200",'2025'!$E$4="CA",'2025'!$E$2=CD43),'2025DATA'!$K$9,"")</f>
        <v/>
      </c>
      <c r="CE50" s="518" t="str">
        <f>IF(AND(_A5="A-330-200",'2025'!$E$4="CA",'2025'!$E$2=CE43),'2025DATA'!$L$9,"")</f>
        <v/>
      </c>
      <c r="CF50" s="518" t="str">
        <f>IF(AND(_A5="A-330-200",'2025'!$E$4="CA",'2025'!$E$2=CF43),'2025DATA'!$M$9,"")</f>
        <v/>
      </c>
      <c r="CG50" s="520" t="str">
        <f>IF(AND(_A5="A-330-200",'2025'!$E$4="CA",'2025'!$E$2=CG43),'2025DATA'!$N$9,"")</f>
        <v/>
      </c>
      <c r="CH50" s="940" t="s">
        <v>66</v>
      </c>
      <c r="CI50" s="13" t="s">
        <v>61</v>
      </c>
      <c r="CJ50" s="518" t="str">
        <f>IF(AND(_A6="A-330-200",'2025'!$E$4="CA",'2025'!$E$2=CJ43),'2025DATA'!$C$9,"")</f>
        <v/>
      </c>
      <c r="CK50" s="518" t="str">
        <f>IF(AND(_A6="A-330-200",'2025'!$E$4="CA",'2025'!$E$2=CK43),'2025DATA'!$D$9,"")</f>
        <v/>
      </c>
      <c r="CL50" s="518" t="str">
        <f>IF(AND(_A6="A-330-200",'2025'!$E$4="CA",'2025'!$E$2=CL43),'2025DATA'!$E$9,"")</f>
        <v/>
      </c>
      <c r="CM50" s="518" t="str">
        <f>IF(AND(_A6="A-330-200",'2025'!$E$4="CA",'2025'!$E$2=CM43),'2025DATA'!$F$9,"")</f>
        <v/>
      </c>
      <c r="CN50" s="518" t="str">
        <f>IF(AND(_A6="A-330-200",'2025'!$E$4="CA",'2025'!$E$2=CN43),'2025DATA'!$G$9,"")</f>
        <v/>
      </c>
      <c r="CO50" s="518" t="str">
        <f>IF(AND(_A6="A-330-200",'2025'!$E$4="CA",'2025'!$E$2=CO43),'2025DATA'!$H$9,"")</f>
        <v/>
      </c>
      <c r="CP50" s="518" t="str">
        <f>IF(AND(_A6="A-330-200",'2025'!$E$4="CA",'2025'!$E$2=CP43),'2025DATA'!$I$9,"")</f>
        <v/>
      </c>
      <c r="CQ50" s="518" t="str">
        <f>IF(AND(_A6="A-330-200",'2025'!$E$4="CA",'2025'!$E$2=CQ43),'2025DATA'!$J$9,"")</f>
        <v/>
      </c>
      <c r="CR50" s="518" t="str">
        <f>IF(AND(_A6="A-330-200",'2025'!$E$4="CA",'2025'!$E$2=CR43),'2025DATA'!$K$9,"")</f>
        <v/>
      </c>
      <c r="CS50" s="518" t="str">
        <f>IF(AND(_A6="A-330-200",'2025'!$E$4="CA",'2025'!$E$2=CS43),'2025DATA'!$L$9,"")</f>
        <v/>
      </c>
      <c r="CT50" s="518" t="str">
        <f>IF(AND(_A6="A-330-200",'2025'!$E$4="CA",'2025'!$E$2=CT43),'2025DATA'!$M$9,"")</f>
        <v/>
      </c>
      <c r="CU50" s="520" t="str">
        <f>IF(AND(_A6="A-330-200",'2025'!$E$4="CA",'2025'!$E$2=CU43),'2025DATA'!$N$9,"")</f>
        <v/>
      </c>
    </row>
    <row r="51" spans="16:99" x14ac:dyDescent="0.25">
      <c r="P51" s="940"/>
      <c r="Q51" s="13" t="s">
        <v>62</v>
      </c>
      <c r="R51" s="518" t="str">
        <f>IF(AND(_A1="A-330-200",'2025'!$E$4="FO",'2025'!$E$2=R43),'2025DATA'!$C$10,"")</f>
        <v/>
      </c>
      <c r="S51" s="518" t="str">
        <f>IF(AND(_A1="A-330-200",'2025'!$E$4="FO",'2025'!$E$2=S43),'2025DATA'!$D$10,"")</f>
        <v/>
      </c>
      <c r="T51" s="518" t="str">
        <f>IF(AND(_A1="A-330-200",'2025'!$E$4="FO",'2025'!$E$2=T43),'2025DATA'!$E$10,"")</f>
        <v/>
      </c>
      <c r="U51" s="518" t="str">
        <f>IF(AND(_A1="A-330-200",'2025'!$E$4="FO",'2025'!$E$2=U43),'2025DATA'!$F$10,"")</f>
        <v/>
      </c>
      <c r="V51" s="518" t="str">
        <f>IF(AND(_A1="A-330-200",'2025'!$E$4="FO",'2025'!$E$2=V43),'2025DATA'!$G$10,"")</f>
        <v/>
      </c>
      <c r="W51" s="518" t="str">
        <f>IF(AND(_A1="A-330-200",'2025'!$E$4="FO",'2025'!$E$2=W43),'2025DATA'!$H$10,"")</f>
        <v/>
      </c>
      <c r="X51" s="518" t="str">
        <f>IF(AND(_A1="A-330-200",'2025'!$E$4="FO",'2025'!$E$2=X43),'2025DATA'!$I$10,"")</f>
        <v/>
      </c>
      <c r="Y51" s="518" t="str">
        <f>IF(AND(_A1="A-330-200",'2025'!$E$4="FO",'2025'!$E$2=Y43),'2025DATA'!$J$10,"")</f>
        <v/>
      </c>
      <c r="Z51" s="518" t="str">
        <f>IF(AND(_A1="A-330-200",'2025'!$E$4="FO",'2025'!$E$2=Z43),'2025DATA'!$K$10,"")</f>
        <v/>
      </c>
      <c r="AA51" s="518" t="str">
        <f>IF(AND(_A1="A-330-200",'2025'!$E$4="FO",'2025'!$E$2=AA43),'2025DATA'!$L$10,"")</f>
        <v/>
      </c>
      <c r="AB51" s="518" t="str">
        <f>IF(AND(_A1="A-330-200",'2025'!$E$4="FO",'2025'!$E$2=AB43),'2025DATA'!$M$10,"")</f>
        <v/>
      </c>
      <c r="AC51" s="520" t="str">
        <f>IF(AND(_A1="A-330-200",'2025'!$E$4="FO",'2025'!$E$2=AC43),'2025DATA'!$N$10,"")</f>
        <v/>
      </c>
      <c r="AD51" s="940"/>
      <c r="AE51" s="13" t="s">
        <v>62</v>
      </c>
      <c r="AF51" s="518" t="str">
        <f>IF(AND(_A2="A-330-200",'2025'!$E$4="FO",'2025'!$E$2=AF43),'2025DATA'!$C$10,"")</f>
        <v/>
      </c>
      <c r="AG51" s="518" t="str">
        <f>IF(AND(_A2="A-330-200",'2025'!$E$4="FO",'2025'!$E$2=AG43),'2025DATA'!$D$10,"")</f>
        <v/>
      </c>
      <c r="AH51" s="518" t="str">
        <f>IF(AND(_A2="A-330-200",'2025'!$E$4="FO",'2025'!$E$2=AH43),'2025DATA'!$E$10,"")</f>
        <v/>
      </c>
      <c r="AI51" s="518" t="str">
        <f>IF(AND(_A2="A-330-200",'2025'!$E$4="FO",'2025'!$E$2=AI43),'2025DATA'!$F$10,"")</f>
        <v/>
      </c>
      <c r="AJ51" s="518" t="str">
        <f>IF(AND(_A2="A-330-200",'2025'!$E$4="FO",'2025'!$E$2=AJ43),'2025DATA'!$G$10,"")</f>
        <v/>
      </c>
      <c r="AK51" s="518" t="str">
        <f>IF(AND(_A2="A-330-200",'2025'!$E$4="FO",'2025'!$E$2=AK43),'2025DATA'!$H$10,"")</f>
        <v/>
      </c>
      <c r="AL51" s="518" t="str">
        <f>IF(AND(_A2="A-330-200",'2025'!$E$4="FO",'2025'!$E$2=AL43),'2025DATA'!$I$10,"")</f>
        <v/>
      </c>
      <c r="AM51" s="518" t="str">
        <f>IF(AND(_A2="A-330-200",'2025'!$E$4="FO",'2025'!$E$2=AM43),'2025DATA'!$J$10,"")</f>
        <v/>
      </c>
      <c r="AN51" s="518" t="str">
        <f>IF(AND(_A2="A-330-200",'2025'!$E$4="FO",'2025'!$E$2=AN43),'2025DATA'!$K$10,"")</f>
        <v/>
      </c>
      <c r="AO51" s="518" t="str">
        <f>IF(AND(_A2="A-330-200",'2025'!$E$4="FO",'2025'!$E$2=AO43),'2025DATA'!$L$10,"")</f>
        <v/>
      </c>
      <c r="AP51" s="518" t="str">
        <f>IF(AND(_A2="A-330-200",'2025'!$E$4="FO",'2025'!$E$2=AP43),'2025DATA'!$M$10,"")</f>
        <v/>
      </c>
      <c r="AQ51" s="520" t="str">
        <f>IF(AND(_A2="A-330-200",'2025'!$E$4="FO",'2025'!$E$2=AQ43),'2025DATA'!$N$10,"")</f>
        <v/>
      </c>
      <c r="AR51" s="940"/>
      <c r="AS51" s="13" t="s">
        <v>62</v>
      </c>
      <c r="AT51" s="518" t="str">
        <f>IF(AND(_A3="A-330-200",'2025'!$E$4="FO",'2025'!$E$2=AT43),'2025DATA'!$C$10,"")</f>
        <v/>
      </c>
      <c r="AU51" s="518" t="str">
        <f>IF(AND(_A3="A-330-200",'2025'!$E$4="FO",'2025'!$E$2=AU43),'2025DATA'!$D$10,"")</f>
        <v/>
      </c>
      <c r="AV51" s="518" t="str">
        <f>IF(AND(_A3="A-330-200",'2025'!$E$4="FO",'2025'!$E$2=AV43),'2025DATA'!$E$10,"")</f>
        <v/>
      </c>
      <c r="AW51" s="518" t="str">
        <f>IF(AND(_A3="A-330-200",'2025'!$E$4="FO",'2025'!$E$2=AW43),'2025DATA'!$F$10,"")</f>
        <v/>
      </c>
      <c r="AX51" s="518" t="str">
        <f>IF(AND(_A3="A-330-200",'2025'!$E$4="FO",'2025'!$E$2=AX43),'2025DATA'!$G$10,"")</f>
        <v/>
      </c>
      <c r="AY51" s="518" t="str">
        <f>IF(AND(_A3="A-330-200",'2025'!$E$4="FO",'2025'!$E$2=AY43),'2025DATA'!$H$10,"")</f>
        <v/>
      </c>
      <c r="AZ51" s="518" t="str">
        <f>IF(AND(_A3="A-330-200",'2025'!$E$4="FO",'2025'!$E$2=AZ43),'2025DATA'!$I$10,"")</f>
        <v/>
      </c>
      <c r="BA51" s="518" t="str">
        <f>IF(AND(_A3="A-330-200",'2025'!$E$4="FO",'2025'!$E$2=BA43),'2025DATA'!$J$10,"")</f>
        <v/>
      </c>
      <c r="BB51" s="518" t="str">
        <f>IF(AND(_A3="A-330-200",'2025'!$E$4="FO",'2025'!$E$2=BB43),'2025DATA'!$K$10,"")</f>
        <v/>
      </c>
      <c r="BC51" s="518" t="str">
        <f>IF(AND(_A3="A-330-200",'2025'!$E$4="FO",'2025'!$E$2=BC43),'2025DATA'!$L$10,"")</f>
        <v/>
      </c>
      <c r="BD51" s="518" t="str">
        <f>IF(AND(_A3="A-330-200",'2025'!$E$4="FO",'2025'!$E$2=BD43),'2025DATA'!$M$10,"")</f>
        <v/>
      </c>
      <c r="BE51" s="520" t="str">
        <f>IF(AND(_A3="A-330-200",'2025'!$E$4="FO",'2025'!$E$2=BE43),'2025DATA'!$N$10,"")</f>
        <v/>
      </c>
      <c r="BF51" s="940"/>
      <c r="BG51" s="13" t="s">
        <v>62</v>
      </c>
      <c r="BH51" s="518" t="str">
        <f>IF(AND(_A4="A-330-200",'2025'!$E$4="FO",'2025'!$E$2=BH43),'2025DATA'!$C$10,"")</f>
        <v/>
      </c>
      <c r="BI51" s="518" t="str">
        <f>IF(AND(_A4="A-330-200",'2025'!$E$4="FO",'2025'!$E$2=BI43),'2025DATA'!$D$10,"")</f>
        <v/>
      </c>
      <c r="BJ51" s="518" t="str">
        <f>IF(AND(_A4="A-330-200",'2025'!$E$4="FO",'2025'!$E$2=BJ43),'2025DATA'!$E$10,"")</f>
        <v/>
      </c>
      <c r="BK51" s="518" t="str">
        <f>IF(AND(_A4="A-330-200",'2025'!$E$4="FO",'2025'!$E$2=BK43),'2025DATA'!$F$10,"")</f>
        <v/>
      </c>
      <c r="BL51" s="518" t="str">
        <f>IF(AND(_A4="A-330-200",'2025'!$E$4="FO",'2025'!$E$2=BL43),'2025DATA'!$G$10,"")</f>
        <v/>
      </c>
      <c r="BM51" s="518" t="str">
        <f>IF(AND(_A4="A-330-200",'2025'!$E$4="FO",'2025'!$E$2=BM43),'2025DATA'!$H$10,"")</f>
        <v/>
      </c>
      <c r="BN51" s="518" t="str">
        <f>IF(AND(_A4="A-330-200",'2025'!$E$4="FO",'2025'!$E$2=BN43),'2025DATA'!$I$10,"")</f>
        <v/>
      </c>
      <c r="BO51" s="518" t="str">
        <f>IF(AND(_A4="A-330-200",'2025'!$E$4="FO",'2025'!$E$2=BO43),'2025DATA'!$J$10,"")</f>
        <v/>
      </c>
      <c r="BP51" s="518" t="str">
        <f>IF(AND(_A4="A-330-200",'2025'!$E$4="FO",'2025'!$E$2=BP43),'2025DATA'!$K$10,"")</f>
        <v/>
      </c>
      <c r="BQ51" s="518" t="str">
        <f>IF(AND(_A4="A-330-200",'2025'!$E$4="FO",'2025'!$E$2=BQ43),'2025DATA'!$L$10,"")</f>
        <v/>
      </c>
      <c r="BR51" s="518" t="str">
        <f>IF(AND(_A4="A-330-200",'2025'!$E$4="FO",'2025'!$E$2=BR43),'2025DATA'!$M$10,"")</f>
        <v/>
      </c>
      <c r="BS51" s="520" t="str">
        <f>IF(AND(_A4="A-330-200",'2025'!$E$4="FO",'2025'!$E$2=BS43),'2025DATA'!$N$10,"")</f>
        <v/>
      </c>
      <c r="BT51" s="940"/>
      <c r="BU51" s="13" t="s">
        <v>62</v>
      </c>
      <c r="BV51" s="518" t="str">
        <f>IF(AND(_A5="A-330-200",'2025'!$E$4="FO",'2025'!$E$2=BV43),'2025DATA'!$C$10,"")</f>
        <v/>
      </c>
      <c r="BW51" s="518" t="str">
        <f>IF(AND(_A5="A-330-200",'2025'!$E$4="FO",'2025'!$E$2=BW43),'2025DATA'!$D$10,"")</f>
        <v/>
      </c>
      <c r="BX51" s="518" t="str">
        <f>IF(AND(_A5="A-330-200",'2025'!$E$4="FO",'2025'!$E$2=BX43),'2025DATA'!$E$10,"")</f>
        <v/>
      </c>
      <c r="BY51" s="518" t="str">
        <f>IF(AND(_A5="A-330-200",'2025'!$E$4="FO",'2025'!$E$2=BY43),'2025DATA'!$F$10,"")</f>
        <v/>
      </c>
      <c r="BZ51" s="518" t="str">
        <f>IF(AND(_A5="A-330-200",'2025'!$E$4="FO",'2025'!$E$2=BZ43),'2025DATA'!$G$10,"")</f>
        <v/>
      </c>
      <c r="CA51" s="518" t="str">
        <f>IF(AND(_A5="A-330-200",'2025'!$E$4="FO",'2025'!$E$2=CA43),'2025DATA'!$H$10,"")</f>
        <v/>
      </c>
      <c r="CB51" s="518" t="str">
        <f>IF(AND(_A5="A-330-200",'2025'!$E$4="FO",'2025'!$E$2=CB43),'2025DATA'!$I$10,"")</f>
        <v/>
      </c>
      <c r="CC51" s="518" t="str">
        <f>IF(AND(_A5="A-330-200",'2025'!$E$4="FO",'2025'!$E$2=CC43),'2025DATA'!$J$10,"")</f>
        <v/>
      </c>
      <c r="CD51" s="518" t="str">
        <f>IF(AND(_A5="A-330-200",'2025'!$E$4="FO",'2025'!$E$2=CD43),'2025DATA'!$K$10,"")</f>
        <v/>
      </c>
      <c r="CE51" s="518" t="str">
        <f>IF(AND(_A5="A-330-200",'2025'!$E$4="FO",'2025'!$E$2=CE43),'2025DATA'!$L$10,"")</f>
        <v/>
      </c>
      <c r="CF51" s="518" t="str">
        <f>IF(AND(_A5="A-330-200",'2025'!$E$4="FO",'2025'!$E$2=CF43),'2025DATA'!$M$10,"")</f>
        <v/>
      </c>
      <c r="CG51" s="520" t="str">
        <f>IF(AND(_A5="A-330-200",'2025'!$E$4="FO",'2025'!$E$2=CG43),'2025DATA'!$N$10,"")</f>
        <v/>
      </c>
      <c r="CH51" s="940"/>
      <c r="CI51" s="13" t="s">
        <v>62</v>
      </c>
      <c r="CJ51" s="518" t="str">
        <f>IF(AND(_A6="A-330-200",'2025'!$E$4="FO",'2025'!$E$2=CJ43),'2025DATA'!$C$10,"")</f>
        <v/>
      </c>
      <c r="CK51" s="518" t="str">
        <f>IF(AND(_A6="A-330-200",'2025'!$E$4="FO",'2025'!$E$2=CK43),'2025DATA'!$D$10,"")</f>
        <v/>
      </c>
      <c r="CL51" s="518" t="str">
        <f>IF(AND(_A6="A-330-200",'2025'!$E$4="FO",'2025'!$E$2=CL43),'2025DATA'!$E$10,"")</f>
        <v/>
      </c>
      <c r="CM51" s="518" t="str">
        <f>IF(AND(_A6="A-330-200",'2025'!$E$4="FO",'2025'!$E$2=CM43),'2025DATA'!$F$10,"")</f>
        <v/>
      </c>
      <c r="CN51" s="518" t="str">
        <f>IF(AND(_A6="A-330-200",'2025'!$E$4="FO",'2025'!$E$2=CN43),'2025DATA'!$G$10,"")</f>
        <v/>
      </c>
      <c r="CO51" s="518" t="str">
        <f>IF(AND(_A6="A-330-200",'2025'!$E$4="FO",'2025'!$E$2=CO43),'2025DATA'!$H$10,"")</f>
        <v/>
      </c>
      <c r="CP51" s="518" t="str">
        <f>IF(AND(_A6="A-330-200",'2025'!$E$4="FO",'2025'!$E$2=CP43),'2025DATA'!$I$10,"")</f>
        <v/>
      </c>
      <c r="CQ51" s="518" t="str">
        <f>IF(AND(_A6="A-330-200",'2025'!$E$4="FO",'2025'!$E$2=CQ43),'2025DATA'!$J$10,"")</f>
        <v/>
      </c>
      <c r="CR51" s="518" t="str">
        <f>IF(AND(_A6="A-330-200",'2025'!$E$4="FO",'2025'!$E$2=CR43),'2025DATA'!$K$10,"")</f>
        <v/>
      </c>
      <c r="CS51" s="518" t="str">
        <f>IF(AND(_A6="A-330-200",'2025'!$E$4="FO",'2025'!$E$2=CS43),'2025DATA'!$L$10,"")</f>
        <v/>
      </c>
      <c r="CT51" s="518" t="str">
        <f>IF(AND(_A6="A-330-200",'2025'!$E$4="FO",'2025'!$E$2=CT43),'2025DATA'!$M$10,"")</f>
        <v/>
      </c>
      <c r="CU51" s="520" t="str">
        <f>IF(AND(_A6="A-330-200",'2025'!$E$4="FO",'2025'!$E$2=CU43),'2025DATA'!$N$10,"")</f>
        <v/>
      </c>
    </row>
    <row r="52" spans="16:99" x14ac:dyDescent="0.25">
      <c r="P52" s="940" t="s">
        <v>42</v>
      </c>
      <c r="Q52" s="13" t="s">
        <v>61</v>
      </c>
      <c r="R52" s="518" t="str">
        <f>IF(AND(_A1="B-767-400ER",'2025'!$E$4="CA",'2025'!$E$2=R43),'2025DATA'!$C$11,"")</f>
        <v/>
      </c>
      <c r="S52" s="518" t="str">
        <f>IF(AND(_A1="B-767-400ER",'2025'!$E$4="CA",'2025'!$E$2=S43),'2025DATA'!$D$11,"")</f>
        <v/>
      </c>
      <c r="T52" s="518" t="str">
        <f>IF(AND(_A1="B-767-400ER",'2025'!$E$4="CA",'2025'!$E$2=T43),'2025DATA'!$E$11,"")</f>
        <v/>
      </c>
      <c r="U52" s="518" t="str">
        <f>IF(AND(_A1="B-767-400ER",'2025'!$E$4="CA",'2025'!$E$2=U43),'2025DATA'!$F$11,"")</f>
        <v/>
      </c>
      <c r="V52" s="518" t="str">
        <f>IF(AND(_A1="B-767-400ER",'2025'!$E$4="CA",'2025'!$E$2=V43),'2025DATA'!$G$11,"")</f>
        <v/>
      </c>
      <c r="W52" s="518" t="str">
        <f>IF(AND(_A1="B-767-400ER",'2025'!$E$4="CA",'2025'!$E$2=W43),'2025DATA'!$H$11,"")</f>
        <v/>
      </c>
      <c r="X52" s="518" t="str">
        <f>IF(AND(_A1="B-767-400ER",'2025'!$E$4="CA",'2025'!$E$2=X43),'2025DATA'!$I$11,"")</f>
        <v/>
      </c>
      <c r="Y52" s="518" t="str">
        <f>IF(AND(_A1="B-767-400ER",'2025'!$E$4="CA",'2025'!$E$2=Y43),'2025DATA'!$J$11,"")</f>
        <v/>
      </c>
      <c r="Z52" s="518" t="str">
        <f>IF(AND(_A1="B-767-400ER",'2025'!$E$4="CA",'2025'!$E$2=Z43),'2025DATA'!$K$11,"")</f>
        <v/>
      </c>
      <c r="AA52" s="518" t="str">
        <f>IF(AND(_A1="B-767-400ER",'2025'!$E$4="CA",'2025'!$E$2=AA43),'2025DATA'!$L$11,"")</f>
        <v/>
      </c>
      <c r="AB52" s="518" t="str">
        <f>IF(AND(_A1="B-767-400ER",'2025'!$E$4="CA",'2025'!$E$2=AB43),'2025DATA'!$M$11,"")</f>
        <v/>
      </c>
      <c r="AC52" s="520" t="str">
        <f>IF(AND(_A1="B-767-400ER",'2025'!$E$4="CA",'2025'!$E$2=AC43),'2025DATA'!$N$11,"")</f>
        <v/>
      </c>
      <c r="AD52" s="940" t="s">
        <v>42</v>
      </c>
      <c r="AE52" s="13" t="s">
        <v>61</v>
      </c>
      <c r="AF52" s="518" t="str">
        <f>IF(AND(_A2="B-767-400ER",'2025'!$E$4="CA",'2025'!$E$2=AF43),'2025DATA'!$C$11,"")</f>
        <v/>
      </c>
      <c r="AG52" s="518" t="str">
        <f>IF(AND(_A2="B-767-400ER",'2025'!$E$4="CA",'2025'!$E$2=AG43),'2025DATA'!$D$11,"")</f>
        <v/>
      </c>
      <c r="AH52" s="518" t="str">
        <f>IF(AND(_A2="B-767-400ER",'2025'!$E$4="CA",'2025'!$E$2=AH43),'2025DATA'!$E$11,"")</f>
        <v/>
      </c>
      <c r="AI52" s="518" t="str">
        <f>IF(AND(_A2="B-767-400ER",'2025'!$E$4="CA",'2025'!$E$2=AI43),'2025DATA'!$F$11,"")</f>
        <v/>
      </c>
      <c r="AJ52" s="518" t="str">
        <f>IF(AND(_A2="B-767-400ER",'2025'!$E$4="CA",'2025'!$E$2=AJ43),'2025DATA'!$G$11,"")</f>
        <v/>
      </c>
      <c r="AK52" s="518" t="str">
        <f>IF(AND(_A2="B-767-400ER",'2025'!$E$4="CA",'2025'!$E$2=AK43),'2025DATA'!$H$11,"")</f>
        <v/>
      </c>
      <c r="AL52" s="518" t="str">
        <f>IF(AND(_A2="B-767-400ER",'2025'!$E$4="CA",'2025'!$E$2=AL43),'2025DATA'!$I$11,"")</f>
        <v/>
      </c>
      <c r="AM52" s="518" t="str">
        <f>IF(AND(_A2="B-767-400ER",'2025'!$E$4="CA",'2025'!$E$2=AM43),'2025DATA'!$J$11,"")</f>
        <v/>
      </c>
      <c r="AN52" s="518" t="str">
        <f>IF(AND(_A2="B-767-400ER",'2025'!$E$4="CA",'2025'!$E$2=AN43),'2025DATA'!$K$11,"")</f>
        <v/>
      </c>
      <c r="AO52" s="518" t="str">
        <f>IF(AND(_A2="B-767-400ER",'2025'!$E$4="CA",'2025'!$E$2=AO43),'2025DATA'!$L$11,"")</f>
        <v/>
      </c>
      <c r="AP52" s="518" t="str">
        <f>IF(AND(_A2="B-767-400ER",'2025'!$E$4="CA",'2025'!$E$2=AP43),'2025DATA'!$M$11,"")</f>
        <v/>
      </c>
      <c r="AQ52" s="520" t="str">
        <f>IF(AND(_A2="B-767-400ER",'2025'!$E$4="CA",'2025'!$E$2=AQ43),'2025DATA'!$N$11,"")</f>
        <v/>
      </c>
      <c r="AR52" s="940" t="s">
        <v>42</v>
      </c>
      <c r="AS52" s="13" t="s">
        <v>61</v>
      </c>
      <c r="AT52" s="518" t="str">
        <f>IF(AND(_A3="B-767-400ER",'2025'!$E$4="CA",'2025'!$E$2=AT43),'2025DATA'!$C$11,"")</f>
        <v/>
      </c>
      <c r="AU52" s="518" t="str">
        <f>IF(AND(_A3="B-767-400ER",'2025'!$E$4="CA",'2025'!$E$2=AU43),'2025DATA'!$D$11,"")</f>
        <v/>
      </c>
      <c r="AV52" s="518" t="str">
        <f>IF(AND(_A3="B-767-400ER",'2025'!$E$4="CA",'2025'!$E$2=AV43),'2025DATA'!$E$11,"")</f>
        <v/>
      </c>
      <c r="AW52" s="518" t="str">
        <f>IF(AND(_A3="B-767-400ER",'2025'!$E$4="CA",'2025'!$E$2=AW43),'2025DATA'!$F$11,"")</f>
        <v/>
      </c>
      <c r="AX52" s="518" t="str">
        <f>IF(AND(_A3="B-767-400ER",'2025'!$E$4="CA",'2025'!$E$2=AX43),'2025DATA'!$G$11,"")</f>
        <v/>
      </c>
      <c r="AY52" s="518" t="str">
        <f>IF(AND(_A3="B-767-400ER",'2025'!$E$4="CA",'2025'!$E$2=AY43),'2025DATA'!$H$11,"")</f>
        <v/>
      </c>
      <c r="AZ52" s="518" t="str">
        <f>IF(AND(_A3="B-767-400ER",'2025'!$E$4="CA",'2025'!$E$2=AZ43),'2025DATA'!$I$11,"")</f>
        <v/>
      </c>
      <c r="BA52" s="518" t="str">
        <f>IF(AND(_A3="B-767-400ER",'2025'!$E$4="CA",'2025'!$E$2=BA43),'2025DATA'!$J$11,"")</f>
        <v/>
      </c>
      <c r="BB52" s="518" t="str">
        <f>IF(AND(_A3="B-767-400ER",'2025'!$E$4="CA",'2025'!$E$2=BB43),'2025DATA'!$K$11,"")</f>
        <v/>
      </c>
      <c r="BC52" s="518" t="str">
        <f>IF(AND(_A3="B-767-400ER",'2025'!$E$4="CA",'2025'!$E$2=BC43),'2025DATA'!$L$11,"")</f>
        <v/>
      </c>
      <c r="BD52" s="518" t="str">
        <f>IF(AND(_A3="B-767-400ER",'2025'!$E$4="CA",'2025'!$E$2=BD43),'2025DATA'!$M$11,"")</f>
        <v/>
      </c>
      <c r="BE52" s="520" t="str">
        <f>IF(AND(_A3="B-767-400ER",'2025'!$E$4="CA",'2025'!$E$2=BE43),'2025DATA'!$N$11,"")</f>
        <v/>
      </c>
      <c r="BF52" s="940" t="s">
        <v>42</v>
      </c>
      <c r="BG52" s="13" t="s">
        <v>61</v>
      </c>
      <c r="BH52" s="518" t="str">
        <f>IF(AND(_A4="B-767-400ER",'2025'!$E$4="CA",'2025'!$E$2=BH43),'2025DATA'!$C$11,"")</f>
        <v/>
      </c>
      <c r="BI52" s="518" t="str">
        <f>IF(AND(_A4="B-767-400ER",'2025'!$E$4="CA",'2025'!$E$2=BI43),'2025DATA'!$D$11,"")</f>
        <v/>
      </c>
      <c r="BJ52" s="518" t="str">
        <f>IF(AND(_A4="B-767-400ER",'2025'!$E$4="CA",'2025'!$E$2=BJ43),'2025DATA'!$E$11,"")</f>
        <v/>
      </c>
      <c r="BK52" s="518" t="str">
        <f>IF(AND(_A4="B-767-400ER",'2025'!$E$4="CA",'2025'!$E$2=BK43),'2025DATA'!$F$11,"")</f>
        <v/>
      </c>
      <c r="BL52" s="518" t="str">
        <f>IF(AND(_A4="B-767-400ER",'2025'!$E$4="CA",'2025'!$E$2=BL43),'2025DATA'!$G$11,"")</f>
        <v/>
      </c>
      <c r="BM52" s="518" t="str">
        <f>IF(AND(_A4="B-767-400ER",'2025'!$E$4="CA",'2025'!$E$2=BM43),'2025DATA'!$H$11,"")</f>
        <v/>
      </c>
      <c r="BN52" s="518" t="str">
        <f>IF(AND(_A4="B-767-400ER",'2025'!$E$4="CA",'2025'!$E$2=BN43),'2025DATA'!$I$11,"")</f>
        <v/>
      </c>
      <c r="BO52" s="518" t="str">
        <f>IF(AND(_A4="B-767-400ER",'2025'!$E$4="CA",'2025'!$E$2=BO43),'2025DATA'!$J$11,"")</f>
        <v/>
      </c>
      <c r="BP52" s="518" t="str">
        <f>IF(AND(_A4="B-767-400ER",'2025'!$E$4="CA",'2025'!$E$2=BP43),'2025DATA'!$K$11,"")</f>
        <v/>
      </c>
      <c r="BQ52" s="518" t="str">
        <f>IF(AND(_A4="B-767-400ER",'2025'!$E$4="CA",'2025'!$E$2=BQ43),'2025DATA'!$L$11,"")</f>
        <v/>
      </c>
      <c r="BR52" s="518" t="str">
        <f>IF(AND(_A4="B-767-400ER",'2025'!$E$4="CA",'2025'!$E$2=BR43),'2025DATA'!$M$11,"")</f>
        <v/>
      </c>
      <c r="BS52" s="520" t="str">
        <f>IF(AND(_A4="B-767-400ER",'2025'!$E$4="CA",'2025'!$E$2=BS43),'2025DATA'!$N$11,"")</f>
        <v/>
      </c>
      <c r="BT52" s="940" t="s">
        <v>42</v>
      </c>
      <c r="BU52" s="13" t="s">
        <v>61</v>
      </c>
      <c r="BV52" s="518" t="str">
        <f>IF(AND(_A5="B-767-400ER",'2025'!$E$4="CA",'2025'!$E$2=BV43),'2025DATA'!$C$11,"")</f>
        <v/>
      </c>
      <c r="BW52" s="518" t="str">
        <f>IF(AND(_A5="B-767-400ER",'2025'!$E$4="CA",'2025'!$E$2=BW43),'2025DATA'!$D$11,"")</f>
        <v/>
      </c>
      <c r="BX52" s="518" t="str">
        <f>IF(AND(_A5="B-767-400ER",'2025'!$E$4="CA",'2025'!$E$2=BX43),'2025DATA'!$E$11,"")</f>
        <v/>
      </c>
      <c r="BY52" s="518" t="str">
        <f>IF(AND(_A5="B-767-400ER",'2025'!$E$4="CA",'2025'!$E$2=BY43),'2025DATA'!$F$11,"")</f>
        <v/>
      </c>
      <c r="BZ52" s="518" t="str">
        <f>IF(AND(_A5="B-767-400ER",'2025'!$E$4="CA",'2025'!$E$2=BZ43),'2025DATA'!$G$11,"")</f>
        <v/>
      </c>
      <c r="CA52" s="518" t="str">
        <f>IF(AND(_A5="B-767-400ER",'2025'!$E$4="CA",'2025'!$E$2=CA43),'2025DATA'!$H$11,"")</f>
        <v/>
      </c>
      <c r="CB52" s="518" t="str">
        <f>IF(AND(_A5="B-767-400ER",'2025'!$E$4="CA",'2025'!$E$2=CB43),'2025DATA'!$I$11,"")</f>
        <v/>
      </c>
      <c r="CC52" s="518" t="str">
        <f>IF(AND(_A5="B-767-400ER",'2025'!$E$4="CA",'2025'!$E$2=CC43),'2025DATA'!$J$11,"")</f>
        <v/>
      </c>
      <c r="CD52" s="518" t="str">
        <f>IF(AND(_A5="B-767-400ER",'2025'!$E$4="CA",'2025'!$E$2=CD43),'2025DATA'!$K$11,"")</f>
        <v/>
      </c>
      <c r="CE52" s="518" t="str">
        <f>IF(AND(_A5="B-767-400ER",'2025'!$E$4="CA",'2025'!$E$2=CE43),'2025DATA'!$L$11,"")</f>
        <v/>
      </c>
      <c r="CF52" s="518" t="str">
        <f>IF(AND(_A5="B-767-400ER",'2025'!$E$4="CA",'2025'!$E$2=CF43),'2025DATA'!$M$11,"")</f>
        <v/>
      </c>
      <c r="CG52" s="520" t="str">
        <f>IF(AND(_A5="B-767-400ER",'2025'!$E$4="CA",'2025'!$E$2=CG43),'2025DATA'!$N$11,"")</f>
        <v/>
      </c>
      <c r="CH52" s="940" t="s">
        <v>42</v>
      </c>
      <c r="CI52" s="13" t="s">
        <v>61</v>
      </c>
      <c r="CJ52" s="518" t="str">
        <f>IF(AND(_A6="B-767-400ER",'2025'!$E$4="CA",'2025'!$E$2=CJ43),'2025DATA'!$C$11,"")</f>
        <v/>
      </c>
      <c r="CK52" s="518" t="str">
        <f>IF(AND(_A6="B-767-400ER",'2025'!$E$4="CA",'2025'!$E$2=CK43),'2025DATA'!$D$11,"")</f>
        <v/>
      </c>
      <c r="CL52" s="518" t="str">
        <f>IF(AND(_A6="B-767-400ER",'2025'!$E$4="CA",'2025'!$E$2=CL43),'2025DATA'!$E$11,"")</f>
        <v/>
      </c>
      <c r="CM52" s="518" t="str">
        <f>IF(AND(_A6="B-767-400ER",'2025'!$E$4="CA",'2025'!$E$2=CM43),'2025DATA'!$F$11,"")</f>
        <v/>
      </c>
      <c r="CN52" s="518" t="str">
        <f>IF(AND(_A6="B-767-400ER",'2025'!$E$4="CA",'2025'!$E$2=CN43),'2025DATA'!$G$11,"")</f>
        <v/>
      </c>
      <c r="CO52" s="518" t="str">
        <f>IF(AND(_A6="B-767-400ER",'2025'!$E$4="CA",'2025'!$E$2=CO43),'2025DATA'!$H$11,"")</f>
        <v/>
      </c>
      <c r="CP52" s="518" t="str">
        <f>IF(AND(_A6="B-767-400ER",'2025'!$E$4="CA",'2025'!$E$2=CP43),'2025DATA'!$I$11,"")</f>
        <v/>
      </c>
      <c r="CQ52" s="518" t="str">
        <f>IF(AND(_A6="B-767-400ER",'2025'!$E$4="CA",'2025'!$E$2=CQ43),'2025DATA'!$J$11,"")</f>
        <v/>
      </c>
      <c r="CR52" s="518" t="str">
        <f>IF(AND(_A6="B-767-400ER",'2025'!$E$4="CA",'2025'!$E$2=CR43),'2025DATA'!$K$11,"")</f>
        <v/>
      </c>
      <c r="CS52" s="518" t="str">
        <f>IF(AND(_A6="B-767-400ER",'2025'!$E$4="CA",'2025'!$E$2=CS43),'2025DATA'!$L$11,"")</f>
        <v/>
      </c>
      <c r="CT52" s="518" t="str">
        <f>IF(AND(_A6="B-767-400ER",'2025'!$E$4="CA",'2025'!$E$2=CT43),'2025DATA'!$M$11,"")</f>
        <v/>
      </c>
      <c r="CU52" s="520" t="str">
        <f>IF(AND(_A6="B-767-400ER",'2025'!$E$4="CA",'2025'!$E$2=CU43),'2025DATA'!$N$11,"")</f>
        <v/>
      </c>
    </row>
    <row r="53" spans="16:99" x14ac:dyDescent="0.25">
      <c r="P53" s="940"/>
      <c r="Q53" s="13" t="s">
        <v>62</v>
      </c>
      <c r="R53" s="518" t="str">
        <f>IF(AND(_A1="B-767-400ER",'2025'!$E$4="FO",'2025'!$E$2=R43),'2025DATA'!$C$12,"")</f>
        <v/>
      </c>
      <c r="S53" s="518" t="str">
        <f>IF(AND(_A1="B-767-400ER",'2025'!$E$4="FO",'2025'!$E$2=S43),'2025DATA'!$D$12,"")</f>
        <v/>
      </c>
      <c r="T53" s="518" t="str">
        <f>IF(AND(_A1="B-767-400ER",'2025'!$E$4="FO",'2025'!$E$2=T43),'2025DATA'!$E$12,"")</f>
        <v/>
      </c>
      <c r="U53" s="518" t="str">
        <f>IF(AND(_A1="B-767-400ER",'2025'!$E$4="FO",'2025'!$E$2=U43),'2025DATA'!$F$12,"")</f>
        <v/>
      </c>
      <c r="V53" s="518" t="str">
        <f>IF(AND(_A1="B-767-400ER",'2025'!$E$4="FO",'2025'!$E$2=V43),'2025DATA'!$G$12,"")</f>
        <v/>
      </c>
      <c r="W53" s="518" t="str">
        <f>IF(AND(_A1="B-767-400ER",'2025'!$E$4="FO",'2025'!$E$2=W43),'2025DATA'!$H$12,"")</f>
        <v/>
      </c>
      <c r="X53" s="518" t="str">
        <f>IF(AND(_A1="B-767-400ER",'2025'!$E$4="FO",'2025'!$E$2=X43),'2025DATA'!$I$12,"")</f>
        <v/>
      </c>
      <c r="Y53" s="518" t="str">
        <f>IF(AND(_A1="B-767-400ER",'2025'!$E$4="FO",'2025'!$E$2=Y43),'2025DATA'!$J$12,"")</f>
        <v/>
      </c>
      <c r="Z53" s="518" t="str">
        <f>IF(AND(_A1="B-767-400ER",'2025'!$E$4="FO",'2025'!$E$2=Z43),'2025DATA'!$K$12,"")</f>
        <v/>
      </c>
      <c r="AA53" s="518" t="str">
        <f>IF(AND(_A1="B-767-400ER",'2025'!$E$4="FO",'2025'!$E$2=AA43),'2025DATA'!$L$12,"")</f>
        <v/>
      </c>
      <c r="AB53" s="518" t="str">
        <f>IF(AND(_A1="B-767-400ER",'2025'!$E$4="FO",'2025'!$E$2=AB43),'2025DATA'!$M$12,"")</f>
        <v/>
      </c>
      <c r="AC53" s="520" t="str">
        <f>IF(AND(_A1="B-767-400ER",'2025'!$E$4="FO",'2025'!$E$2=AC43),'2025DATA'!$N$12,"")</f>
        <v/>
      </c>
      <c r="AD53" s="940"/>
      <c r="AE53" s="13" t="s">
        <v>62</v>
      </c>
      <c r="AF53" s="518" t="str">
        <f>IF(AND(_A2="B-767-400ER",'2025'!$E$4="FO",'2025'!$E$2=AF43),'2025DATA'!$C$12,"")</f>
        <v/>
      </c>
      <c r="AG53" s="518" t="str">
        <f>IF(AND(_A2="B-767-400ER",'2025'!$E$4="FO",'2025'!$E$2=AG43),'2025DATA'!$D$12,"")</f>
        <v/>
      </c>
      <c r="AH53" s="518" t="str">
        <f>IF(AND(_A2="B-767-400ER",'2025'!$E$4="FO",'2025'!$E$2=AH43),'2025DATA'!$E$12,"")</f>
        <v/>
      </c>
      <c r="AI53" s="518" t="str">
        <f>IF(AND(_A2="B-767-400ER",'2025'!$E$4="FO",'2025'!$E$2=AI43),'2025DATA'!$F$12,"")</f>
        <v/>
      </c>
      <c r="AJ53" s="518" t="str">
        <f>IF(AND(_A2="B-767-400ER",'2025'!$E$4="FO",'2025'!$E$2=AJ43),'2025DATA'!$G$12,"")</f>
        <v/>
      </c>
      <c r="AK53" s="518" t="str">
        <f>IF(AND(_A2="B-767-400ER",'2025'!$E$4="FO",'2025'!$E$2=AK43),'2025DATA'!$H$12,"")</f>
        <v/>
      </c>
      <c r="AL53" s="518" t="str">
        <f>IF(AND(_A2="B-767-400ER",'2025'!$E$4="FO",'2025'!$E$2=AL43),'2025DATA'!$I$12,"")</f>
        <v/>
      </c>
      <c r="AM53" s="518" t="str">
        <f>IF(AND(_A2="B-767-400ER",'2025'!$E$4="FO",'2025'!$E$2=AM43),'2025DATA'!$J$12,"")</f>
        <v/>
      </c>
      <c r="AN53" s="518" t="str">
        <f>IF(AND(_A2="B-767-400ER",'2025'!$E$4="FO",'2025'!$E$2=AN43),'2025DATA'!$K$12,"")</f>
        <v/>
      </c>
      <c r="AO53" s="518" t="str">
        <f>IF(AND(_A2="B-767-400ER",'2025'!$E$4="FO",'2025'!$E$2=AO43),'2025DATA'!$L$12,"")</f>
        <v/>
      </c>
      <c r="AP53" s="518" t="str">
        <f>IF(AND(_A2="B-767-400ER",'2025'!$E$4="FO",'2025'!$E$2=AP43),'2025DATA'!$M$12,"")</f>
        <v/>
      </c>
      <c r="AQ53" s="520" t="str">
        <f>IF(AND(_A2="B-767-400ER",'2025'!$E$4="FO",'2025'!$E$2=AQ43),'2025DATA'!$N$12,"")</f>
        <v/>
      </c>
      <c r="AR53" s="940"/>
      <c r="AS53" s="13" t="s">
        <v>62</v>
      </c>
      <c r="AT53" s="518" t="str">
        <f>IF(AND(_A3="B-767-400ER",'2025'!$E$4="FO",'2025'!$E$2=AT43),'2025DATA'!$C$12,"")</f>
        <v/>
      </c>
      <c r="AU53" s="518" t="str">
        <f>IF(AND(_A3="B-767-400ER",'2025'!$E$4="FO",'2025'!$E$2=AU43),'2025DATA'!$D$12,"")</f>
        <v/>
      </c>
      <c r="AV53" s="518" t="str">
        <f>IF(AND(_A3="B-767-400ER",'2025'!$E$4="FO",'2025'!$E$2=AV43),'2025DATA'!$E$12,"")</f>
        <v/>
      </c>
      <c r="AW53" s="518" t="str">
        <f>IF(AND(_A3="B-767-400ER",'2025'!$E$4="FO",'2025'!$E$2=AW43),'2025DATA'!$F$12,"")</f>
        <v/>
      </c>
      <c r="AX53" s="518" t="str">
        <f>IF(AND(_A3="B-767-400ER",'2025'!$E$4="FO",'2025'!$E$2=AX43),'2025DATA'!$G$12,"")</f>
        <v/>
      </c>
      <c r="AY53" s="518" t="str">
        <f>IF(AND(_A3="B-767-400ER",'2025'!$E$4="FO",'2025'!$E$2=AY43),'2025DATA'!$H$12,"")</f>
        <v/>
      </c>
      <c r="AZ53" s="518" t="str">
        <f>IF(AND(_A3="B-767-400ER",'2025'!$E$4="FO",'2025'!$E$2=AZ43),'2025DATA'!$I$12,"")</f>
        <v/>
      </c>
      <c r="BA53" s="518" t="str">
        <f>IF(AND(_A3="B-767-400ER",'2025'!$E$4="FO",'2025'!$E$2=BA43),'2025DATA'!$J$12,"")</f>
        <v/>
      </c>
      <c r="BB53" s="518" t="str">
        <f>IF(AND(_A3="B-767-400ER",'2025'!$E$4="FO",'2025'!$E$2=BB43),'2025DATA'!$K$12,"")</f>
        <v/>
      </c>
      <c r="BC53" s="518" t="str">
        <f>IF(AND(_A3="B-767-400ER",'2025'!$E$4="FO",'2025'!$E$2=BC43),'2025DATA'!$L$12,"")</f>
        <v/>
      </c>
      <c r="BD53" s="518" t="str">
        <f>IF(AND(_A3="B-767-400ER",'2025'!$E$4="FO",'2025'!$E$2=BD43),'2025DATA'!$M$12,"")</f>
        <v/>
      </c>
      <c r="BE53" s="520" t="str">
        <f>IF(AND(_A3="B-767-400ER",'2025'!$E$4="FO",'2025'!$E$2=BE43),'2025DATA'!$N$12,"")</f>
        <v/>
      </c>
      <c r="BF53" s="940"/>
      <c r="BG53" s="13" t="s">
        <v>62</v>
      </c>
      <c r="BH53" s="518" t="str">
        <f>IF(AND(_A4="B-767-400ER",'2025'!$E$4="FO",'2025'!$E$2=BH43),'2025DATA'!$C$12,"")</f>
        <v/>
      </c>
      <c r="BI53" s="518" t="str">
        <f>IF(AND(_A4="B-767-400ER",'2025'!$E$4="FO",'2025'!$E$2=BI43),'2025DATA'!$D$12,"")</f>
        <v/>
      </c>
      <c r="BJ53" s="518" t="str">
        <f>IF(AND(_A4="B-767-400ER",'2025'!$E$4="FO",'2025'!$E$2=BJ43),'2025DATA'!$E$12,"")</f>
        <v/>
      </c>
      <c r="BK53" s="518" t="str">
        <f>IF(AND(_A4="B-767-400ER",'2025'!$E$4="FO",'2025'!$E$2=BK43),'2025DATA'!$F$12,"")</f>
        <v/>
      </c>
      <c r="BL53" s="518" t="str">
        <f>IF(AND(_A4="B-767-400ER",'2025'!$E$4="FO",'2025'!$E$2=BL43),'2025DATA'!$G$12,"")</f>
        <v/>
      </c>
      <c r="BM53" s="518" t="str">
        <f>IF(AND(_A4="B-767-400ER",'2025'!$E$4="FO",'2025'!$E$2=BM43),'2025DATA'!$H$12,"")</f>
        <v/>
      </c>
      <c r="BN53" s="518" t="str">
        <f>IF(AND(_A4="B-767-400ER",'2025'!$E$4="FO",'2025'!$E$2=BN43),'2025DATA'!$I$12,"")</f>
        <v/>
      </c>
      <c r="BO53" s="518" t="str">
        <f>IF(AND(_A4="B-767-400ER",'2025'!$E$4="FO",'2025'!$E$2=BO43),'2025DATA'!$J$12,"")</f>
        <v/>
      </c>
      <c r="BP53" s="518" t="str">
        <f>IF(AND(_A4="B-767-400ER",'2025'!$E$4="FO",'2025'!$E$2=BP43),'2025DATA'!$K$12,"")</f>
        <v/>
      </c>
      <c r="BQ53" s="518" t="str">
        <f>IF(AND(_A4="B-767-400ER",'2025'!$E$4="FO",'2025'!$E$2=BQ43),'2025DATA'!$L$12,"")</f>
        <v/>
      </c>
      <c r="BR53" s="518" t="str">
        <f>IF(AND(_A4="B-767-400ER",'2025'!$E$4="FO",'2025'!$E$2=BR43),'2025DATA'!$M$12,"")</f>
        <v/>
      </c>
      <c r="BS53" s="520" t="str">
        <f>IF(AND(_A4="B-767-400ER",'2025'!$E$4="FO",'2025'!$E$2=BS43),'2025DATA'!$N$12,"")</f>
        <v/>
      </c>
      <c r="BT53" s="940"/>
      <c r="BU53" s="13" t="s">
        <v>62</v>
      </c>
      <c r="BV53" s="518" t="str">
        <f>IF(AND(_A5="B-767-400ER",'2025'!$E$4="FO",'2025'!$E$2=BV43),'2025DATA'!$C$12,"")</f>
        <v/>
      </c>
      <c r="BW53" s="518" t="str">
        <f>IF(AND(_A5="B-767-400ER",'2025'!$E$4="FO",'2025'!$E$2=BW43),'2025DATA'!$D$12,"")</f>
        <v/>
      </c>
      <c r="BX53" s="518" t="str">
        <f>IF(AND(_A5="B-767-400ER",'2025'!$E$4="FO",'2025'!$E$2=BX43),'2025DATA'!$E$12,"")</f>
        <v/>
      </c>
      <c r="BY53" s="518" t="str">
        <f>IF(AND(_A5="B-767-400ER",'2025'!$E$4="FO",'2025'!$E$2=BY43),'2025DATA'!$F$12,"")</f>
        <v/>
      </c>
      <c r="BZ53" s="518" t="str">
        <f>IF(AND(_A5="B-767-400ER",'2025'!$E$4="FO",'2025'!$E$2=BZ43),'2025DATA'!$G$12,"")</f>
        <v/>
      </c>
      <c r="CA53" s="518" t="str">
        <f>IF(AND(_A5="B-767-400ER",'2025'!$E$4="FO",'2025'!$E$2=CA43),'2025DATA'!$H$12,"")</f>
        <v/>
      </c>
      <c r="CB53" s="518" t="str">
        <f>IF(AND(_A5="B-767-400ER",'2025'!$E$4="FO",'2025'!$E$2=CB43),'2025DATA'!$I$12,"")</f>
        <v/>
      </c>
      <c r="CC53" s="518" t="str">
        <f>IF(AND(_A5="B-767-400ER",'2025'!$E$4="FO",'2025'!$E$2=CC43),'2025DATA'!$J$12,"")</f>
        <v/>
      </c>
      <c r="CD53" s="518" t="str">
        <f>IF(AND(_A5="B-767-400ER",'2025'!$E$4="FO",'2025'!$E$2=CD43),'2025DATA'!$K$12,"")</f>
        <v/>
      </c>
      <c r="CE53" s="518" t="str">
        <f>IF(AND(_A5="B-767-400ER",'2025'!$E$4="FO",'2025'!$E$2=CE43),'2025DATA'!$L$12,"")</f>
        <v/>
      </c>
      <c r="CF53" s="518" t="str">
        <f>IF(AND(_A5="B-767-400ER",'2025'!$E$4="FO",'2025'!$E$2=CF43),'2025DATA'!$M$12,"")</f>
        <v/>
      </c>
      <c r="CG53" s="520" t="str">
        <f>IF(AND(_A5="B-767-400ER",'2025'!$E$4="FO",'2025'!$E$2=CG43),'2025DATA'!$N$12,"")</f>
        <v/>
      </c>
      <c r="CH53" s="940"/>
      <c r="CI53" s="13" t="s">
        <v>62</v>
      </c>
      <c r="CJ53" s="518" t="str">
        <f>IF(AND(_A6="B-767-400ER",'2025'!$E$4="FO",'2025'!$E$2=CJ43),'2025DATA'!$C$12,"")</f>
        <v/>
      </c>
      <c r="CK53" s="518" t="str">
        <f>IF(AND(_A6="B-767-400ER",'2025'!$E$4="FO",'2025'!$E$2=CK43),'2025DATA'!$D$12,"")</f>
        <v/>
      </c>
      <c r="CL53" s="518" t="str">
        <f>IF(AND(_A6="B-767-400ER",'2025'!$E$4="FO",'2025'!$E$2=CL43),'2025DATA'!$E$12,"")</f>
        <v/>
      </c>
      <c r="CM53" s="518" t="str">
        <f>IF(AND(_A6="B-767-400ER",'2025'!$E$4="FO",'2025'!$E$2=CM43),'2025DATA'!$F$12,"")</f>
        <v/>
      </c>
      <c r="CN53" s="518" t="str">
        <f>IF(AND(_A6="B-767-400ER",'2025'!$E$4="FO",'2025'!$E$2=CN43),'2025DATA'!$G$12,"")</f>
        <v/>
      </c>
      <c r="CO53" s="518" t="str">
        <f>IF(AND(_A6="B-767-400ER",'2025'!$E$4="FO",'2025'!$E$2=CO43),'2025DATA'!$H$12,"")</f>
        <v/>
      </c>
      <c r="CP53" s="518" t="str">
        <f>IF(AND(_A6="B-767-400ER",'2025'!$E$4="FO",'2025'!$E$2=CP43),'2025DATA'!$I$12,"")</f>
        <v/>
      </c>
      <c r="CQ53" s="518" t="str">
        <f>IF(AND(_A6="B-767-400ER",'2025'!$E$4="FO",'2025'!$E$2=CQ43),'2025DATA'!$J$12,"")</f>
        <v/>
      </c>
      <c r="CR53" s="518" t="str">
        <f>IF(AND(_A6="B-767-400ER",'2025'!$E$4="FO",'2025'!$E$2=CR43),'2025DATA'!$K$12,"")</f>
        <v/>
      </c>
      <c r="CS53" s="518" t="str">
        <f>IF(AND(_A6="B-767-400ER",'2025'!$E$4="FO",'2025'!$E$2=CS43),'2025DATA'!$L$12,"")</f>
        <v/>
      </c>
      <c r="CT53" s="518" t="str">
        <f>IF(AND(_A6="B-767-400ER",'2025'!$E$4="FO",'2025'!$E$2=CT43),'2025DATA'!$M$12,"")</f>
        <v/>
      </c>
      <c r="CU53" s="520" t="str">
        <f>IF(AND(_A6="B-767-400ER",'2025'!$E$4="FO",'2025'!$E$2=CU43),'2025DATA'!$N$12,"")</f>
        <v/>
      </c>
    </row>
    <row r="54" spans="16:99" x14ac:dyDescent="0.25">
      <c r="P54" s="940" t="s">
        <v>43</v>
      </c>
      <c r="Q54" s="13" t="s">
        <v>61</v>
      </c>
      <c r="R54" s="518" t="str">
        <f>IF(AND(_A1="B-767-300ER",'2025'!$E$4="CA",'2025'!$E$2=R43),'2025DATA'!$C$13,"")</f>
        <v/>
      </c>
      <c r="S54" s="518" t="str">
        <f>IF(AND(_A1="B-767-300ER",'2025'!$E$4="CA",'2025'!$E$2=S43),'2025DATA'!$D$13,"")</f>
        <v/>
      </c>
      <c r="T54" s="518" t="str">
        <f>IF(AND(_A1="B-767-300ER",'2025'!$E$4="CA",'2025'!$E$2=T43),'2025DATA'!$E$13,"")</f>
        <v/>
      </c>
      <c r="U54" s="518" t="str">
        <f>IF(AND(_A1="B-767-300ER",'2025'!$E$4="CA",'2025'!$E$2=U43),'2025DATA'!$F$13,"")</f>
        <v/>
      </c>
      <c r="V54" s="518" t="str">
        <f>IF(AND(_A1="B-767-300ER",'2025'!$E$4="CA",'2025'!$E$2=V43),'2025DATA'!$G$13,"")</f>
        <v/>
      </c>
      <c r="W54" s="518" t="str">
        <f>IF(AND(_A1="B-767-300ER",'2025'!$E$4="CA",'2025'!$E$2=W43),'2025DATA'!$H$13,"")</f>
        <v/>
      </c>
      <c r="X54" s="518" t="str">
        <f>IF(AND(_A1="B-767-300ER",'2025'!$E$4="CA",'2025'!$E$2=X43),'2025DATA'!$I$13,"")</f>
        <v/>
      </c>
      <c r="Y54" s="518" t="str">
        <f>IF(AND(_A1="B-767-300ER",'2025'!$E$4="CA",'2025'!$E$2=Y43),'2025DATA'!$J$13,"")</f>
        <v/>
      </c>
      <c r="Z54" s="518" t="str">
        <f>IF(AND(_A1="B-767-300ER",'2025'!$E$4="CA",'2025'!$E$2=Z43),'2025DATA'!$K$13,"")</f>
        <v/>
      </c>
      <c r="AA54" s="518" t="str">
        <f>IF(AND(_A1="B-767-300ER",'2025'!$E$4="CA",'2025'!$E$2=AA43),'2025DATA'!$L$13,"")</f>
        <v/>
      </c>
      <c r="AB54" s="518" t="str">
        <f>IF(AND(_A1="B-767-300ER",'2025'!$E$4="CA",'2025'!$E$2=AB43),'2025DATA'!$M$13,"")</f>
        <v/>
      </c>
      <c r="AC54" s="520" t="str">
        <f>IF(AND(_A1="B-767-300ER",'2025'!$E$4="CA",'2025'!$E$2=AC43),'2025DATA'!$N$13,"")</f>
        <v/>
      </c>
      <c r="AD54" s="940" t="s">
        <v>43</v>
      </c>
      <c r="AE54" s="13" t="s">
        <v>61</v>
      </c>
      <c r="AF54" s="518" t="str">
        <f>IF(AND(_A2="B-767-300ER",'2025'!$E$4="CA",'2025'!$E$2=AF43),'2025DATA'!$C$13,"")</f>
        <v/>
      </c>
      <c r="AG54" s="518" t="str">
        <f>IF(AND(_A2="B-767-300ER",'2025'!$E$4="CA",'2025'!$E$2=AG43),'2025DATA'!$D$13,"")</f>
        <v/>
      </c>
      <c r="AH54" s="518" t="str">
        <f>IF(AND(_A2="B-767-300ER",'2025'!$E$4="CA",'2025'!$E$2=AH43),'2025DATA'!$E$13,"")</f>
        <v/>
      </c>
      <c r="AI54" s="518" t="str">
        <f>IF(AND(_A2="B-767-300ER",'2025'!$E$4="CA",'2025'!$E$2=AI43),'2025DATA'!$F$13,"")</f>
        <v/>
      </c>
      <c r="AJ54" s="518" t="str">
        <f>IF(AND(_A2="B-767-300ER",'2025'!$E$4="CA",'2025'!$E$2=AJ43),'2025DATA'!$G$13,"")</f>
        <v/>
      </c>
      <c r="AK54" s="518" t="str">
        <f>IF(AND(_A2="B-767-300ER",'2025'!$E$4="CA",'2025'!$E$2=AK43),'2025DATA'!$H$13,"")</f>
        <v/>
      </c>
      <c r="AL54" s="518" t="str">
        <f>IF(AND(_A2="B-767-300ER",'2025'!$E$4="CA",'2025'!$E$2=AL43),'2025DATA'!$I$13,"")</f>
        <v/>
      </c>
      <c r="AM54" s="518" t="str">
        <f>IF(AND(_A2="B-767-300ER",'2025'!$E$4="CA",'2025'!$E$2=AM43),'2025DATA'!$J$13,"")</f>
        <v/>
      </c>
      <c r="AN54" s="518" t="str">
        <f>IF(AND(_A2="B-767-300ER",'2025'!$E$4="CA",'2025'!$E$2=AN43),'2025DATA'!$K$13,"")</f>
        <v/>
      </c>
      <c r="AO54" s="518" t="str">
        <f>IF(AND(_A2="B-767-300ER",'2025'!$E$4="CA",'2025'!$E$2=AO43),'2025DATA'!$L$13,"")</f>
        <v/>
      </c>
      <c r="AP54" s="518" t="str">
        <f>IF(AND(_A2="B-767-300ER",'2025'!$E$4="CA",'2025'!$E$2=AP43),'2025DATA'!$M$13,"")</f>
        <v/>
      </c>
      <c r="AQ54" s="520" t="str">
        <f>IF(AND(_A2="B-767-300ER",'2025'!$E$4="CA",'2025'!$E$2=AQ43),'2025DATA'!$N$13,"")</f>
        <v/>
      </c>
      <c r="AR54" s="940" t="s">
        <v>43</v>
      </c>
      <c r="AS54" s="13" t="s">
        <v>61</v>
      </c>
      <c r="AT54" s="518" t="str">
        <f>IF(AND(_A3="B-767-300ER",'2025'!$E$4="CA",'2025'!$E$2=AT43),'2025DATA'!$C$13,"")</f>
        <v/>
      </c>
      <c r="AU54" s="518" t="str">
        <f>IF(AND(_A3="B-767-300ER",'2025'!$E$4="CA",'2025'!$E$2=AU43),'2025DATA'!$D$13,"")</f>
        <v/>
      </c>
      <c r="AV54" s="518" t="str">
        <f>IF(AND(_A3="B-767-300ER",'2025'!$E$4="CA",'2025'!$E$2=AV43),'2025DATA'!$E$13,"")</f>
        <v/>
      </c>
      <c r="AW54" s="518" t="str">
        <f>IF(AND(_A3="B-767-300ER",'2025'!$E$4="CA",'2025'!$E$2=AW43),'2025DATA'!$F$13,"")</f>
        <v/>
      </c>
      <c r="AX54" s="518" t="str">
        <f>IF(AND(_A3="B-767-300ER",'2025'!$E$4="CA",'2025'!$E$2=AX43),'2025DATA'!$G$13,"")</f>
        <v/>
      </c>
      <c r="AY54" s="518" t="str">
        <f>IF(AND(_A3="B-767-300ER",'2025'!$E$4="CA",'2025'!$E$2=AY43),'2025DATA'!$H$13,"")</f>
        <v/>
      </c>
      <c r="AZ54" s="518" t="str">
        <f>IF(AND(_A3="B-767-300ER",'2025'!$E$4="CA",'2025'!$E$2=AZ43),'2025DATA'!$I$13,"")</f>
        <v/>
      </c>
      <c r="BA54" s="518" t="str">
        <f>IF(AND(_A3="B-767-300ER",'2025'!$E$4="CA",'2025'!$E$2=BA43),'2025DATA'!$J$13,"")</f>
        <v/>
      </c>
      <c r="BB54" s="518" t="str">
        <f>IF(AND(_A3="B-767-300ER",'2025'!$E$4="CA",'2025'!$E$2=BB43),'2025DATA'!$K$13,"")</f>
        <v/>
      </c>
      <c r="BC54" s="518" t="str">
        <f>IF(AND(_A3="B-767-300ER",'2025'!$E$4="CA",'2025'!$E$2=BC43),'2025DATA'!$L$13,"")</f>
        <v/>
      </c>
      <c r="BD54" s="518" t="str">
        <f>IF(AND(_A3="B-767-300ER",'2025'!$E$4="CA",'2025'!$E$2=BD43),'2025DATA'!$M$13,"")</f>
        <v/>
      </c>
      <c r="BE54" s="520" t="str">
        <f>IF(AND(_A3="B-767-300ER",'2025'!$E$4="CA",'2025'!$E$2=BE43),'2025DATA'!$N$13,"")</f>
        <v/>
      </c>
      <c r="BF54" s="940" t="s">
        <v>43</v>
      </c>
      <c r="BG54" s="13" t="s">
        <v>61</v>
      </c>
      <c r="BH54" s="518" t="str">
        <f>IF(AND(_A4="B-767-300ER",'2025'!$E$4="CA",'2025'!$E$2=BH43),'2025DATA'!$C$13,"")</f>
        <v/>
      </c>
      <c r="BI54" s="518" t="str">
        <f>IF(AND(_A4="B-767-300ER",'2025'!$E$4="CA",'2025'!$E$2=BI43),'2025DATA'!$D$13,"")</f>
        <v/>
      </c>
      <c r="BJ54" s="518" t="str">
        <f>IF(AND(_A4="B-767-300ER",'2025'!$E$4="CA",'2025'!$E$2=BJ43),'2025DATA'!$E$13,"")</f>
        <v/>
      </c>
      <c r="BK54" s="518" t="str">
        <f>IF(AND(_A4="B-767-300ER",'2025'!$E$4="CA",'2025'!$E$2=BK43),'2025DATA'!$F$13,"")</f>
        <v/>
      </c>
      <c r="BL54" s="518" t="str">
        <f>IF(AND(_A4="B-767-300ER",'2025'!$E$4="CA",'2025'!$E$2=BL43),'2025DATA'!$G$13,"")</f>
        <v/>
      </c>
      <c r="BM54" s="518" t="str">
        <f>IF(AND(_A4="B-767-300ER",'2025'!$E$4="CA",'2025'!$E$2=BM43),'2025DATA'!$H$13,"")</f>
        <v/>
      </c>
      <c r="BN54" s="518" t="str">
        <f>IF(AND(_A4="B-767-300ER",'2025'!$E$4="CA",'2025'!$E$2=BN43),'2025DATA'!$I$13,"")</f>
        <v/>
      </c>
      <c r="BO54" s="518" t="str">
        <f>IF(AND(_A4="B-767-300ER",'2025'!$E$4="CA",'2025'!$E$2=BO43),'2025DATA'!$J$13,"")</f>
        <v/>
      </c>
      <c r="BP54" s="518" t="str">
        <f>IF(AND(_A4="B-767-300ER",'2025'!$E$4="CA",'2025'!$E$2=BP43),'2025DATA'!$K$13,"")</f>
        <v/>
      </c>
      <c r="BQ54" s="518" t="str">
        <f>IF(AND(_A4="B-767-300ER",'2025'!$E$4="CA",'2025'!$E$2=BQ43),'2025DATA'!$L$13,"")</f>
        <v/>
      </c>
      <c r="BR54" s="518" t="str">
        <f>IF(AND(_A4="B-767-300ER",'2025'!$E$4="CA",'2025'!$E$2=BR43),'2025DATA'!$M$13,"")</f>
        <v/>
      </c>
      <c r="BS54" s="520" t="str">
        <f>IF(AND(_A4="B-767-300ER",'2025'!$E$4="CA",'2025'!$E$2=BS43),'2025DATA'!$N$13,"")</f>
        <v/>
      </c>
      <c r="BT54" s="940" t="s">
        <v>43</v>
      </c>
      <c r="BU54" s="13" t="s">
        <v>61</v>
      </c>
      <c r="BV54" s="518" t="str">
        <f>IF(AND(_A5="B-767-300ER",'2025'!$E$4="CA",'2025'!$E$2=BV43),'2025DATA'!$C$13,"")</f>
        <v/>
      </c>
      <c r="BW54" s="518" t="str">
        <f>IF(AND(_A5="B-767-300ER",'2025'!$E$4="CA",'2025'!$E$2=BW43),'2025DATA'!$D$13,"")</f>
        <v/>
      </c>
      <c r="BX54" s="518" t="str">
        <f>IF(AND(_A5="B-767-300ER",'2025'!$E$4="CA",'2025'!$E$2=BX43),'2025DATA'!$E$13,"")</f>
        <v/>
      </c>
      <c r="BY54" s="518" t="str">
        <f>IF(AND(_A5="B-767-300ER",'2025'!$E$4="CA",'2025'!$E$2=BY43),'2025DATA'!$F$13,"")</f>
        <v/>
      </c>
      <c r="BZ54" s="518" t="str">
        <f>IF(AND(_A5="B-767-300ER",'2025'!$E$4="CA",'2025'!$E$2=BZ43),'2025DATA'!$G$13,"")</f>
        <v/>
      </c>
      <c r="CA54" s="518" t="str">
        <f>IF(AND(_A5="B-767-300ER",'2025'!$E$4="CA",'2025'!$E$2=CA43),'2025DATA'!$H$13,"")</f>
        <v/>
      </c>
      <c r="CB54" s="518" t="str">
        <f>IF(AND(_A5="B-767-300ER",'2025'!$E$4="CA",'2025'!$E$2=CB43),'2025DATA'!$I$13,"")</f>
        <v/>
      </c>
      <c r="CC54" s="518" t="str">
        <f>IF(AND(_A5="B-767-300ER",'2025'!$E$4="CA",'2025'!$E$2=CC43),'2025DATA'!$J$13,"")</f>
        <v/>
      </c>
      <c r="CD54" s="518" t="str">
        <f>IF(AND(_A5="B-767-300ER",'2025'!$E$4="CA",'2025'!$E$2=CD43),'2025DATA'!$K$13,"")</f>
        <v/>
      </c>
      <c r="CE54" s="518" t="str">
        <f>IF(AND(_A5="B-767-300ER",'2025'!$E$4="CA",'2025'!$E$2=CE43),'2025DATA'!$L$13,"")</f>
        <v/>
      </c>
      <c r="CF54" s="518" t="str">
        <f>IF(AND(_A5="B-767-300ER",'2025'!$E$4="CA",'2025'!$E$2=CF43),'2025DATA'!$M$13,"")</f>
        <v/>
      </c>
      <c r="CG54" s="520" t="str">
        <f>IF(AND(_A5="B-767-300ER",'2025'!$E$4="CA",'2025'!$E$2=CG43),'2025DATA'!$N$13,"")</f>
        <v/>
      </c>
      <c r="CH54" s="940" t="s">
        <v>43</v>
      </c>
      <c r="CI54" s="13" t="s">
        <v>61</v>
      </c>
      <c r="CJ54" s="518" t="str">
        <f>IF(AND(_A6="B-767-300ER",'2025'!$E$4="CA",'2025'!$E$2=CJ43),'2025DATA'!$C$13,"")</f>
        <v/>
      </c>
      <c r="CK54" s="518" t="str">
        <f>IF(AND(_A6="B-767-300ER",'2025'!$E$4="CA",'2025'!$E$2=CK43),'2025DATA'!$D$13,"")</f>
        <v/>
      </c>
      <c r="CL54" s="518" t="str">
        <f>IF(AND(_A6="B-767-300ER",'2025'!$E$4="CA",'2025'!$E$2=CL43),'2025DATA'!$E$13,"")</f>
        <v/>
      </c>
      <c r="CM54" s="518" t="str">
        <f>IF(AND(_A6="B-767-300ER",'2025'!$E$4="CA",'2025'!$E$2=CM43),'2025DATA'!$F$13,"")</f>
        <v/>
      </c>
      <c r="CN54" s="518" t="str">
        <f>IF(AND(_A6="B-767-300ER",'2025'!$E$4="CA",'2025'!$E$2=CN43),'2025DATA'!$G$13,"")</f>
        <v/>
      </c>
      <c r="CO54" s="518" t="str">
        <f>IF(AND(_A6="B-767-300ER",'2025'!$E$4="CA",'2025'!$E$2=CO43),'2025DATA'!$H$13,"")</f>
        <v/>
      </c>
      <c r="CP54" s="518" t="str">
        <f>IF(AND(_A6="B-767-300ER",'2025'!$E$4="CA",'2025'!$E$2=CP43),'2025DATA'!$I$13,"")</f>
        <v/>
      </c>
      <c r="CQ54" s="518" t="str">
        <f>IF(AND(_A6="B-767-300ER",'2025'!$E$4="CA",'2025'!$E$2=CQ43),'2025DATA'!$J$13,"")</f>
        <v/>
      </c>
      <c r="CR54" s="518" t="str">
        <f>IF(AND(_A6="B-767-300ER",'2025'!$E$4="CA",'2025'!$E$2=CR43),'2025DATA'!$K$13,"")</f>
        <v/>
      </c>
      <c r="CS54" s="518" t="str">
        <f>IF(AND(_A6="B-767-300ER",'2025'!$E$4="CA",'2025'!$E$2=CS43),'2025DATA'!$L$13,"")</f>
        <v/>
      </c>
      <c r="CT54" s="518" t="str">
        <f>IF(AND(_A6="B-767-300ER",'2025'!$E$4="CA",'2025'!$E$2=CT43),'2025DATA'!$M$13,"")</f>
        <v/>
      </c>
      <c r="CU54" s="520" t="str">
        <f>IF(AND(_A6="B-767-300ER",'2025'!$E$4="CA",'2025'!$E$2=CU43),'2025DATA'!$N$13,"")</f>
        <v/>
      </c>
    </row>
    <row r="55" spans="16:99" x14ac:dyDescent="0.25">
      <c r="P55" s="940"/>
      <c r="Q55" s="13" t="s">
        <v>62</v>
      </c>
      <c r="R55" s="518" t="str">
        <f>IF(AND(_A1="B-767-300ER",'2025'!$E$4="FO",'2025'!$E$2=R43),'2025DATA'!$C$14,"")</f>
        <v/>
      </c>
      <c r="S55" s="518" t="str">
        <f>IF(AND(_A1="B-767-300ER",'2025'!$E$4="FO",'2025'!$E$2=S43),'2025DATA'!$D$14,"")</f>
        <v/>
      </c>
      <c r="T55" s="518" t="str">
        <f>IF(AND(_A1="B-767-300ER",'2025'!$E$4="FO",'2025'!$E$2=T43),'2025DATA'!$E$14,"")</f>
        <v/>
      </c>
      <c r="U55" s="518" t="str">
        <f>IF(AND(_A1="B-767-300ER",'2025'!$E$4="FO",'2025'!$E$2=U43),'2025DATA'!$F$14,"")</f>
        <v/>
      </c>
      <c r="V55" s="518" t="str">
        <f>IF(AND(_A1="B-767-300ER",'2025'!$E$4="FO",'2025'!$E$2=V43),'2025DATA'!$G$14,"")</f>
        <v/>
      </c>
      <c r="W55" s="518" t="str">
        <f>IF(AND(_A1="B-767-300ER",'2025'!$E$4="FO",'2025'!$E$2=W43),'2025DATA'!$H$14,"")</f>
        <v/>
      </c>
      <c r="X55" s="518" t="str">
        <f>IF(AND(_A1="B-767-300ER",'2025'!$E$4="FO",'2025'!$E$2=X43),'2025DATA'!$I$14,"")</f>
        <v/>
      </c>
      <c r="Y55" s="518" t="str">
        <f>IF(AND(_A1="B-767-300ER",'2025'!$E$4="FO",'2025'!$E$2=Y43),'2025DATA'!$J$14,"")</f>
        <v/>
      </c>
      <c r="Z55" s="518" t="str">
        <f>IF(AND(_A1="B-767-300ER",'2025'!$E$4="FO",'2025'!$E$2=Z43),'2025DATA'!$K$14,"")</f>
        <v/>
      </c>
      <c r="AA55" s="518" t="str">
        <f>IF(AND(_A1="B-767-300ER",'2025'!$E$4="FO",'2025'!$E$2=AA43),'2025DATA'!$L$14,"")</f>
        <v/>
      </c>
      <c r="AB55" s="518" t="str">
        <f>IF(AND(_A1="B-767-300ER",'2025'!$E$4="FO",'2025'!$E$2=AB43),'2025DATA'!$M$14,"")</f>
        <v/>
      </c>
      <c r="AC55" s="520" t="str">
        <f>IF(AND(_A1="B-767-300ER",'2025'!$E$4="FO",'2025'!$E$2=AC43),'2025DATA'!$N$14,"")</f>
        <v/>
      </c>
      <c r="AD55" s="940"/>
      <c r="AE55" s="13" t="s">
        <v>62</v>
      </c>
      <c r="AF55" s="518" t="str">
        <f>IF(AND(_A2="B-767-300ER",'2025'!$E$4="FO",'2025'!$E$2=AF43),'2025DATA'!$C$14,"")</f>
        <v/>
      </c>
      <c r="AG55" s="518" t="str">
        <f>IF(AND(_A2="B-767-300ER",'2025'!$E$4="FO",'2025'!$E$2=AG43),'2025DATA'!$D$14,"")</f>
        <v/>
      </c>
      <c r="AH55" s="518" t="str">
        <f>IF(AND(_A2="B-767-300ER",'2025'!$E$4="FO",'2025'!$E$2=AH43),'2025DATA'!$E$14,"")</f>
        <v/>
      </c>
      <c r="AI55" s="518" t="str">
        <f>IF(AND(_A2="B-767-300ER",'2025'!$E$4="FO",'2025'!$E$2=AI43),'2025DATA'!$F$14,"")</f>
        <v/>
      </c>
      <c r="AJ55" s="518" t="str">
        <f>IF(AND(_A2="B-767-300ER",'2025'!$E$4="FO",'2025'!$E$2=AJ43),'2025DATA'!$G$14,"")</f>
        <v/>
      </c>
      <c r="AK55" s="518" t="str">
        <f>IF(AND(_A2="B-767-300ER",'2025'!$E$4="FO",'2025'!$E$2=AK43),'2025DATA'!$H$14,"")</f>
        <v/>
      </c>
      <c r="AL55" s="518" t="str">
        <f>IF(AND(_A2="B-767-300ER",'2025'!$E$4="FO",'2025'!$E$2=AL43),'2025DATA'!$I$14,"")</f>
        <v/>
      </c>
      <c r="AM55" s="518" t="str">
        <f>IF(AND(_A2="B-767-300ER",'2025'!$E$4="FO",'2025'!$E$2=AM43),'2025DATA'!$J$14,"")</f>
        <v/>
      </c>
      <c r="AN55" s="518" t="str">
        <f>IF(AND(_A2="B-767-300ER",'2025'!$E$4="FO",'2025'!$E$2=AN43),'2025DATA'!$K$14,"")</f>
        <v/>
      </c>
      <c r="AO55" s="518" t="str">
        <f>IF(AND(_A2="B-767-300ER",'2025'!$E$4="FO",'2025'!$E$2=AO43),'2025DATA'!$L$14,"")</f>
        <v/>
      </c>
      <c r="AP55" s="518" t="str">
        <f>IF(AND(_A2="B-767-300ER",'2025'!$E$4="FO",'2025'!$E$2=AP43),'2025DATA'!$M$14,"")</f>
        <v/>
      </c>
      <c r="AQ55" s="520" t="str">
        <f>IF(AND(_A2="B-767-300ER",'2025'!$E$4="FO",'2025'!$E$2=AQ43),'2025DATA'!$N$14,"")</f>
        <v/>
      </c>
      <c r="AR55" s="940"/>
      <c r="AS55" s="13" t="s">
        <v>62</v>
      </c>
      <c r="AT55" s="518" t="str">
        <f>IF(AND(_A3="B-767-300ER",'2025'!$E$4="FO",'2025'!$E$2=AT43),'2025DATA'!$C$14,"")</f>
        <v/>
      </c>
      <c r="AU55" s="518" t="str">
        <f>IF(AND(_A3="B-767-300ER",'2025'!$E$4="FO",'2025'!$E$2=AU43),'2025DATA'!$D$14,"")</f>
        <v/>
      </c>
      <c r="AV55" s="518" t="str">
        <f>IF(AND(_A3="B-767-300ER",'2025'!$E$4="FO",'2025'!$E$2=AV43),'2025DATA'!$E$14,"")</f>
        <v/>
      </c>
      <c r="AW55" s="518" t="str">
        <f>IF(AND(_A3="B-767-300ER",'2025'!$E$4="FO",'2025'!$E$2=AW43),'2025DATA'!$F$14,"")</f>
        <v/>
      </c>
      <c r="AX55" s="518" t="str">
        <f>IF(AND(_A3="B-767-300ER",'2025'!$E$4="FO",'2025'!$E$2=AX43),'2025DATA'!$G$14,"")</f>
        <v/>
      </c>
      <c r="AY55" s="518" t="str">
        <f>IF(AND(_A3="B-767-300ER",'2025'!$E$4="FO",'2025'!$E$2=AY43),'2025DATA'!$H$14,"")</f>
        <v/>
      </c>
      <c r="AZ55" s="518" t="str">
        <f>IF(AND(_A3="B-767-300ER",'2025'!$E$4="FO",'2025'!$E$2=AZ43),'2025DATA'!$I$14,"")</f>
        <v/>
      </c>
      <c r="BA55" s="518" t="str">
        <f>IF(AND(_A3="B-767-300ER",'2025'!$E$4="FO",'2025'!$E$2=BA43),'2025DATA'!$J$14,"")</f>
        <v/>
      </c>
      <c r="BB55" s="518" t="str">
        <f>IF(AND(_A3="B-767-300ER",'2025'!$E$4="FO",'2025'!$E$2=BB43),'2025DATA'!$K$14,"")</f>
        <v/>
      </c>
      <c r="BC55" s="518" t="str">
        <f>IF(AND(_A3="B-767-300ER",'2025'!$E$4="FO",'2025'!$E$2=BC43),'2025DATA'!$L$14,"")</f>
        <v/>
      </c>
      <c r="BD55" s="518" t="str">
        <f>IF(AND(_A3="B-767-300ER",'2025'!$E$4="FO",'2025'!$E$2=BD43),'2025DATA'!$M$14,"")</f>
        <v/>
      </c>
      <c r="BE55" s="520" t="str">
        <f>IF(AND(_A3="B-767-300ER",'2025'!$E$4="FO",'2025'!$E$2=BE43),'2025DATA'!$N$14,"")</f>
        <v/>
      </c>
      <c r="BF55" s="940"/>
      <c r="BG55" s="13" t="s">
        <v>62</v>
      </c>
      <c r="BH55" s="518" t="str">
        <f>IF(AND(_A4="B-767-300ER",'2025'!$E$4="FO",'2025'!$E$2=BH43),'2025DATA'!$C$14,"")</f>
        <v/>
      </c>
      <c r="BI55" s="518" t="str">
        <f>IF(AND(_A4="B-767-300ER",'2025'!$E$4="FO",'2025'!$E$2=BI43),'2025DATA'!$D$14,"")</f>
        <v/>
      </c>
      <c r="BJ55" s="518" t="str">
        <f>IF(AND(_A4="B-767-300ER",'2025'!$E$4="FO",'2025'!$E$2=BJ43),'2025DATA'!$E$14,"")</f>
        <v/>
      </c>
      <c r="BK55" s="518" t="str">
        <f>IF(AND(_A4="B-767-300ER",'2025'!$E$4="FO",'2025'!$E$2=BK43),'2025DATA'!$F$14,"")</f>
        <v/>
      </c>
      <c r="BL55" s="518" t="str">
        <f>IF(AND(_A4="B-767-300ER",'2025'!$E$4="FO",'2025'!$E$2=BL43),'2025DATA'!$G$14,"")</f>
        <v/>
      </c>
      <c r="BM55" s="518" t="str">
        <f>IF(AND(_A4="B-767-300ER",'2025'!$E$4="FO",'2025'!$E$2=BM43),'2025DATA'!$H$14,"")</f>
        <v/>
      </c>
      <c r="BN55" s="518" t="str">
        <f>IF(AND(_A4="B-767-300ER",'2025'!$E$4="FO",'2025'!$E$2=BN43),'2025DATA'!$I$14,"")</f>
        <v/>
      </c>
      <c r="BO55" s="518" t="str">
        <f>IF(AND(_A4="B-767-300ER",'2025'!$E$4="FO",'2025'!$E$2=BO43),'2025DATA'!$J$14,"")</f>
        <v/>
      </c>
      <c r="BP55" s="518" t="str">
        <f>IF(AND(_A4="B-767-300ER",'2025'!$E$4="FO",'2025'!$E$2=BP43),'2025DATA'!$K$14,"")</f>
        <v/>
      </c>
      <c r="BQ55" s="518" t="str">
        <f>IF(AND(_A4="B-767-300ER",'2025'!$E$4="FO",'2025'!$E$2=BQ43),'2025DATA'!$L$14,"")</f>
        <v/>
      </c>
      <c r="BR55" s="518" t="str">
        <f>IF(AND(_A4="B-767-300ER",'2025'!$E$4="FO",'2025'!$E$2=BR43),'2025DATA'!$M$14,"")</f>
        <v/>
      </c>
      <c r="BS55" s="520" t="str">
        <f>IF(AND(_A4="B-767-300ER",'2025'!$E$4="FO",'2025'!$E$2=BS43),'2025DATA'!$N$14,"")</f>
        <v/>
      </c>
      <c r="BT55" s="940"/>
      <c r="BU55" s="13" t="s">
        <v>62</v>
      </c>
      <c r="BV55" s="518" t="str">
        <f>IF(AND(_A5="B-767-300ER",'2025'!$E$4="FO",'2025'!$E$2=BV43),'2025DATA'!$C$14,"")</f>
        <v/>
      </c>
      <c r="BW55" s="518" t="str">
        <f>IF(AND(_A5="B-767-300ER",'2025'!$E$4="FO",'2025'!$E$2=BW43),'2025DATA'!$D$14,"")</f>
        <v/>
      </c>
      <c r="BX55" s="518" t="str">
        <f>IF(AND(_A5="B-767-300ER",'2025'!$E$4="FO",'2025'!$E$2=BX43),'2025DATA'!$E$14,"")</f>
        <v/>
      </c>
      <c r="BY55" s="518" t="str">
        <f>IF(AND(_A5="B-767-300ER",'2025'!$E$4="FO",'2025'!$E$2=BY43),'2025DATA'!$F$14,"")</f>
        <v/>
      </c>
      <c r="BZ55" s="518" t="str">
        <f>IF(AND(_A5="B-767-300ER",'2025'!$E$4="FO",'2025'!$E$2=BZ43),'2025DATA'!$G$14,"")</f>
        <v/>
      </c>
      <c r="CA55" s="518" t="str">
        <f>IF(AND(_A5="B-767-300ER",'2025'!$E$4="FO",'2025'!$E$2=CA43),'2025DATA'!$H$14,"")</f>
        <v/>
      </c>
      <c r="CB55" s="518" t="str">
        <f>IF(AND(_A5="B-767-300ER",'2025'!$E$4="FO",'2025'!$E$2=CB43),'2025DATA'!$I$14,"")</f>
        <v/>
      </c>
      <c r="CC55" s="518" t="str">
        <f>IF(AND(_A5="B-767-300ER",'2025'!$E$4="FO",'2025'!$E$2=CC43),'2025DATA'!$J$14,"")</f>
        <v/>
      </c>
      <c r="CD55" s="518" t="str">
        <f>IF(AND(_A5="B-767-300ER",'2025'!$E$4="FO",'2025'!$E$2=CD43),'2025DATA'!$K$14,"")</f>
        <v/>
      </c>
      <c r="CE55" s="518" t="str">
        <f>IF(AND(_A5="B-767-300ER",'2025'!$E$4="FO",'2025'!$E$2=CE43),'2025DATA'!$L$14,"")</f>
        <v/>
      </c>
      <c r="CF55" s="518" t="str">
        <f>IF(AND(_A5="B-767-300ER",'2025'!$E$4="FO",'2025'!$E$2=CF43),'2025DATA'!$M$14,"")</f>
        <v/>
      </c>
      <c r="CG55" s="520" t="str">
        <f>IF(AND(_A5="B-767-300ER",'2025'!$E$4="FO",'2025'!$E$2=CG43),'2025DATA'!$N$14,"")</f>
        <v/>
      </c>
      <c r="CH55" s="940"/>
      <c r="CI55" s="13" t="s">
        <v>62</v>
      </c>
      <c r="CJ55" s="518" t="str">
        <f>IF(AND(_A6="B-767-300ER",'2025'!$E$4="FO",'2025'!$E$2=CJ43),'2025DATA'!$C$14,"")</f>
        <v/>
      </c>
      <c r="CK55" s="518" t="str">
        <f>IF(AND(_A6="B-767-300ER",'2025'!$E$4="FO",'2025'!$E$2=CK43),'2025DATA'!$D$14,"")</f>
        <v/>
      </c>
      <c r="CL55" s="518" t="str">
        <f>IF(AND(_A6="B-767-300ER",'2025'!$E$4="FO",'2025'!$E$2=CL43),'2025DATA'!$E$14,"")</f>
        <v/>
      </c>
      <c r="CM55" s="518" t="str">
        <f>IF(AND(_A6="B-767-300ER",'2025'!$E$4="FO",'2025'!$E$2=CM43),'2025DATA'!$F$14,"")</f>
        <v/>
      </c>
      <c r="CN55" s="518" t="str">
        <f>IF(AND(_A6="B-767-300ER",'2025'!$E$4="FO",'2025'!$E$2=CN43),'2025DATA'!$G$14,"")</f>
        <v/>
      </c>
      <c r="CO55" s="518" t="str">
        <f>IF(AND(_A6="B-767-300ER",'2025'!$E$4="FO",'2025'!$E$2=CO43),'2025DATA'!$H$14,"")</f>
        <v/>
      </c>
      <c r="CP55" s="518" t="str">
        <f>IF(AND(_A6="B-767-300ER",'2025'!$E$4="FO",'2025'!$E$2=CP43),'2025DATA'!$I$14,"")</f>
        <v/>
      </c>
      <c r="CQ55" s="518" t="str">
        <f>IF(AND(_A6="B-767-300ER",'2025'!$E$4="FO",'2025'!$E$2=CQ43),'2025DATA'!$J$14,"")</f>
        <v/>
      </c>
      <c r="CR55" s="518" t="str">
        <f>IF(AND(_A6="B-767-300ER",'2025'!$E$4="FO",'2025'!$E$2=CR43),'2025DATA'!$K$14,"")</f>
        <v/>
      </c>
      <c r="CS55" s="518" t="str">
        <f>IF(AND(_A6="B-767-300ER",'2025'!$E$4="FO",'2025'!$E$2=CS43),'2025DATA'!$L$14,"")</f>
        <v/>
      </c>
      <c r="CT55" s="518" t="str">
        <f>IF(AND(_A6="B-767-300ER",'2025'!$E$4="FO",'2025'!$E$2=CT43),'2025DATA'!$M$14,"")</f>
        <v/>
      </c>
      <c r="CU55" s="520" t="str">
        <f>IF(AND(_A6="B-767-300ER",'2025'!$E$4="FO",'2025'!$E$2=CU43),'2025DATA'!$N$14,"")</f>
        <v/>
      </c>
    </row>
    <row r="56" spans="16:99" x14ac:dyDescent="0.25">
      <c r="P56" s="940" t="s">
        <v>67</v>
      </c>
      <c r="Q56" s="13" t="s">
        <v>61</v>
      </c>
      <c r="R56" s="518" t="str">
        <f>IF(AND(_A1="B-767-300",'2025'!$E$4="CA",'2025'!$E$2=R43),'2025DATA'!$C$15,"")</f>
        <v/>
      </c>
      <c r="S56" s="518" t="str">
        <f>IF(AND(_A1="B-767-300",'2025'!$E$4="CA",'2025'!$E$2=S43),'2025DATA'!$D$15,"")</f>
        <v/>
      </c>
      <c r="T56" s="518" t="str">
        <f>IF(AND(_A1="B-767-300",'2025'!$E$4="CA",'2025'!$E$2=T43),'2025DATA'!$E$15,"")</f>
        <v/>
      </c>
      <c r="U56" s="518" t="str">
        <f>IF(AND(_A1="B-767-300",'2025'!$E$4="CA",'2025'!$E$2=U43),'2025DATA'!$F$15,"")</f>
        <v/>
      </c>
      <c r="V56" s="518" t="str">
        <f>IF(AND(_A1="B-767-300",'2025'!$E$4="CA",'2025'!$E$2=V43),'2025DATA'!$G$15,"")</f>
        <v/>
      </c>
      <c r="W56" s="518" t="str">
        <f>IF(AND(_A1="B-767-300",'2025'!$E$4="CA",'2025'!$E$2=W43),'2025DATA'!$H$15,"")</f>
        <v/>
      </c>
      <c r="X56" s="518" t="str">
        <f>IF(AND(_A1="B-767-300",'2025'!$E$4="CA",'2025'!$E$2=X43),'2025DATA'!$I$15,"")</f>
        <v/>
      </c>
      <c r="Y56" s="518" t="str">
        <f>IF(AND(_A1="B-767-300",'2025'!$E$4="CA",'2025'!$E$2=Y43),'2025DATA'!$J$15,"")</f>
        <v/>
      </c>
      <c r="Z56" s="518" t="str">
        <f>IF(AND(_A1="B-767-300",'2025'!$E$4="CA",'2025'!$E$2=Z43),'2025DATA'!$K$15,"")</f>
        <v/>
      </c>
      <c r="AA56" s="518" t="str">
        <f>IF(AND(_A1="B-767-300",'2025'!$E$4="CA",'2025'!$E$2=AA43),'2025DATA'!$L$15,"")</f>
        <v/>
      </c>
      <c r="AB56" s="518" t="str">
        <f>IF(AND(_A1="B-767-300",'2025'!$E$4="CA",'2025'!$E$2=AB43),'2025DATA'!$M$15,"")</f>
        <v/>
      </c>
      <c r="AC56" s="520" t="str">
        <f>IF(AND(_A1="B-767-300",'2025'!$E$4="CA",'2025'!$E$2=AC43),'2025DATA'!$N$15,"")</f>
        <v/>
      </c>
      <c r="AD56" s="940" t="s">
        <v>67</v>
      </c>
      <c r="AE56" s="13" t="s">
        <v>61</v>
      </c>
      <c r="AF56" s="518" t="str">
        <f>IF(AND(_A2="B-767-300",'2025'!$E$4="CA",'2025'!$E$2=AF43),'2025DATA'!$C$15,"")</f>
        <v/>
      </c>
      <c r="AG56" s="518" t="str">
        <f>IF(AND(_A2="B-767-300",'2025'!$E$4="CA",'2025'!$E$2=AG43),'2025DATA'!$D$15,"")</f>
        <v/>
      </c>
      <c r="AH56" s="518" t="str">
        <f>IF(AND(_A2="B-767-300",'2025'!$E$4="CA",'2025'!$E$2=AH43),'2025DATA'!$E$15,"")</f>
        <v/>
      </c>
      <c r="AI56" s="518" t="str">
        <f>IF(AND(_A2="B-767-300",'2025'!$E$4="CA",'2025'!$E$2=AI43),'2025DATA'!$F$15,"")</f>
        <v/>
      </c>
      <c r="AJ56" s="518" t="str">
        <f>IF(AND(_A2="B-767-300",'2025'!$E$4="CA",'2025'!$E$2=AJ43),'2025DATA'!$G$15,"")</f>
        <v/>
      </c>
      <c r="AK56" s="518" t="str">
        <f>IF(AND(_A2="B-767-300",'2025'!$E$4="CA",'2025'!$E$2=AK43),'2025DATA'!$H$15,"")</f>
        <v/>
      </c>
      <c r="AL56" s="518" t="str">
        <f>IF(AND(_A2="B-767-300",'2025'!$E$4="CA",'2025'!$E$2=AL43),'2025DATA'!$I$15,"")</f>
        <v/>
      </c>
      <c r="AM56" s="518" t="str">
        <f>IF(AND(_A2="B-767-300",'2025'!$E$4="CA",'2025'!$E$2=AM43),'2025DATA'!$J$15,"")</f>
        <v/>
      </c>
      <c r="AN56" s="518" t="str">
        <f>IF(AND(_A2="B-767-300",'2025'!$E$4="CA",'2025'!$E$2=AN43),'2025DATA'!$K$15,"")</f>
        <v/>
      </c>
      <c r="AO56" s="518" t="str">
        <f>IF(AND(_A2="B-767-300",'2025'!$E$4="CA",'2025'!$E$2=AO43),'2025DATA'!$L$15,"")</f>
        <v/>
      </c>
      <c r="AP56" s="518" t="str">
        <f>IF(AND(_A2="B-767-300",'2025'!$E$4="CA",'2025'!$E$2=AP43),'2025DATA'!$M$15,"")</f>
        <v/>
      </c>
      <c r="AQ56" s="520" t="str">
        <f>IF(AND(_A2="B-767-300",'2025'!$E$4="CA",'2025'!$E$2=AQ43),'2025DATA'!$N$15,"")</f>
        <v/>
      </c>
      <c r="AR56" s="940" t="s">
        <v>67</v>
      </c>
      <c r="AS56" s="13" t="s">
        <v>61</v>
      </c>
      <c r="AT56" s="518" t="str">
        <f>IF(AND(_A3="B-767-300",'2025'!$E$4="CA",'2025'!$E$2=AT43),'2025DATA'!$C$15,"")</f>
        <v/>
      </c>
      <c r="AU56" s="518" t="str">
        <f>IF(AND(_A3="B-767-300",'2025'!$E$4="CA",'2025'!$E$2=AU43),'2025DATA'!$D$15,"")</f>
        <v/>
      </c>
      <c r="AV56" s="518" t="str">
        <f>IF(AND(_A3="B-767-300",'2025'!$E$4="CA",'2025'!$E$2=AV43),'2025DATA'!$E$15,"")</f>
        <v/>
      </c>
      <c r="AW56" s="518" t="str">
        <f>IF(AND(_A3="B-767-300",'2025'!$E$4="CA",'2025'!$E$2=AW43),'2025DATA'!$F$15,"")</f>
        <v/>
      </c>
      <c r="AX56" s="518" t="str">
        <f>IF(AND(_A3="B-767-300",'2025'!$E$4="CA",'2025'!$E$2=AX43),'2025DATA'!$G$15,"")</f>
        <v/>
      </c>
      <c r="AY56" s="518" t="str">
        <f>IF(AND(_A3="B-767-300",'2025'!$E$4="CA",'2025'!$E$2=AY43),'2025DATA'!$H$15,"")</f>
        <v/>
      </c>
      <c r="AZ56" s="518" t="str">
        <f>IF(AND(_A3="B-767-300",'2025'!$E$4="CA",'2025'!$E$2=AZ43),'2025DATA'!$I$15,"")</f>
        <v/>
      </c>
      <c r="BA56" s="518" t="str">
        <f>IF(AND(_A3="B-767-300",'2025'!$E$4="CA",'2025'!$E$2=BA43),'2025DATA'!$J$15,"")</f>
        <v/>
      </c>
      <c r="BB56" s="518" t="str">
        <f>IF(AND(_A3="B-767-300",'2025'!$E$4="CA",'2025'!$E$2=BB43),'2025DATA'!$K$15,"")</f>
        <v/>
      </c>
      <c r="BC56" s="518" t="str">
        <f>IF(AND(_A3="B-767-300",'2025'!$E$4="CA",'2025'!$E$2=BC43),'2025DATA'!$L$15,"")</f>
        <v/>
      </c>
      <c r="BD56" s="518" t="str">
        <f>IF(AND(_A3="B-767-300",'2025'!$E$4="CA",'2025'!$E$2=BD43),'2025DATA'!$M$15,"")</f>
        <v/>
      </c>
      <c r="BE56" s="520" t="str">
        <f>IF(AND(_A3="B-767-300",'2025'!$E$4="CA",'2025'!$E$2=BE43),'2025DATA'!$N$15,"")</f>
        <v/>
      </c>
      <c r="BF56" s="940" t="s">
        <v>67</v>
      </c>
      <c r="BG56" s="13" t="s">
        <v>61</v>
      </c>
      <c r="BH56" s="518" t="str">
        <f>IF(AND(_A4="B-767-300",'2025'!$E$4="CA",'2025'!$E$2=BH43),'2025DATA'!$C$15,"")</f>
        <v/>
      </c>
      <c r="BI56" s="518" t="str">
        <f>IF(AND(_A4="B-767-300",'2025'!$E$4="CA",'2025'!$E$2=BI43),'2025DATA'!$D$15,"")</f>
        <v/>
      </c>
      <c r="BJ56" s="518" t="str">
        <f>IF(AND(_A4="B-767-300",'2025'!$E$4="CA",'2025'!$E$2=BJ43),'2025DATA'!$E$15,"")</f>
        <v/>
      </c>
      <c r="BK56" s="518" t="str">
        <f>IF(AND(_A4="B-767-300",'2025'!$E$4="CA",'2025'!$E$2=BK43),'2025DATA'!$F$15,"")</f>
        <v/>
      </c>
      <c r="BL56" s="518" t="str">
        <f>IF(AND(_A4="B-767-300",'2025'!$E$4="CA",'2025'!$E$2=BL43),'2025DATA'!$G$15,"")</f>
        <v/>
      </c>
      <c r="BM56" s="518" t="str">
        <f>IF(AND(_A4="B-767-300",'2025'!$E$4="CA",'2025'!$E$2=BM43),'2025DATA'!$H$15,"")</f>
        <v/>
      </c>
      <c r="BN56" s="518" t="str">
        <f>IF(AND(_A4="B-767-300",'2025'!$E$4="CA",'2025'!$E$2=BN43),'2025DATA'!$I$15,"")</f>
        <v/>
      </c>
      <c r="BO56" s="518" t="str">
        <f>IF(AND(_A4="B-767-300",'2025'!$E$4="CA",'2025'!$E$2=BO43),'2025DATA'!$J$15,"")</f>
        <v/>
      </c>
      <c r="BP56" s="518" t="str">
        <f>IF(AND(_A4="B-767-300",'2025'!$E$4="CA",'2025'!$E$2=BP43),'2025DATA'!$K$15,"")</f>
        <v/>
      </c>
      <c r="BQ56" s="518" t="str">
        <f>IF(AND(_A4="B-767-300",'2025'!$E$4="CA",'2025'!$E$2=BQ43),'2025DATA'!$L$15,"")</f>
        <v/>
      </c>
      <c r="BR56" s="518" t="str">
        <f>IF(AND(_A4="B-767-300",'2025'!$E$4="CA",'2025'!$E$2=BR43),'2025DATA'!$M$15,"")</f>
        <v/>
      </c>
      <c r="BS56" s="520" t="str">
        <f>IF(AND(_A4="B-767-300",'2025'!$E$4="CA",'2025'!$E$2=BS43),'2025DATA'!$N$15,"")</f>
        <v/>
      </c>
      <c r="BT56" s="940" t="s">
        <v>67</v>
      </c>
      <c r="BU56" s="13" t="s">
        <v>61</v>
      </c>
      <c r="BV56" s="518" t="str">
        <f>IF(AND(_A5="B-767-300",'2025'!$E$4="CA",'2025'!$E$2=BV43),'2025DATA'!$C$15,"")</f>
        <v/>
      </c>
      <c r="BW56" s="518" t="str">
        <f>IF(AND(_A5="B-767-300",'2025'!$E$4="CA",'2025'!$E$2=BW43),'2025DATA'!$D$15,"")</f>
        <v/>
      </c>
      <c r="BX56" s="518" t="str">
        <f>IF(AND(_A5="B-767-300",'2025'!$E$4="CA",'2025'!$E$2=BX43),'2025DATA'!$E$15,"")</f>
        <v/>
      </c>
      <c r="BY56" s="518" t="str">
        <f>IF(AND(_A5="B-767-300",'2025'!$E$4="CA",'2025'!$E$2=BY43),'2025DATA'!$F$15,"")</f>
        <v/>
      </c>
      <c r="BZ56" s="518" t="str">
        <f>IF(AND(_A5="B-767-300",'2025'!$E$4="CA",'2025'!$E$2=BZ43),'2025DATA'!$G$15,"")</f>
        <v/>
      </c>
      <c r="CA56" s="518" t="str">
        <f>IF(AND(_A5="B-767-300",'2025'!$E$4="CA",'2025'!$E$2=CA43),'2025DATA'!$H$15,"")</f>
        <v/>
      </c>
      <c r="CB56" s="518" t="str">
        <f>IF(AND(_A5="B-767-300",'2025'!$E$4="CA",'2025'!$E$2=CB43),'2025DATA'!$I$15,"")</f>
        <v/>
      </c>
      <c r="CC56" s="518" t="str">
        <f>IF(AND(_A5="B-767-300",'2025'!$E$4="CA",'2025'!$E$2=CC43),'2025DATA'!$J$15,"")</f>
        <v/>
      </c>
      <c r="CD56" s="518" t="str">
        <f>IF(AND(_A5="B-767-300",'2025'!$E$4="CA",'2025'!$E$2=CD43),'2025DATA'!$K$15,"")</f>
        <v/>
      </c>
      <c r="CE56" s="518" t="str">
        <f>IF(AND(_A5="B-767-300",'2025'!$E$4="CA",'2025'!$E$2=CE43),'2025DATA'!$L$15,"")</f>
        <v/>
      </c>
      <c r="CF56" s="518" t="str">
        <f>IF(AND(_A5="B-767-300",'2025'!$E$4="CA",'2025'!$E$2=CF43),'2025DATA'!$M$15,"")</f>
        <v/>
      </c>
      <c r="CG56" s="520" t="str">
        <f>IF(AND(_A5="B-767-300",'2025'!$E$4="CA",'2025'!$E$2=CG43),'2025DATA'!$N$15,"")</f>
        <v/>
      </c>
      <c r="CH56" s="940" t="s">
        <v>67</v>
      </c>
      <c r="CI56" s="13" t="s">
        <v>61</v>
      </c>
      <c r="CJ56" s="518" t="str">
        <f>IF(AND(_A6="B-767-300",'2025'!$E$4="CA",'2025'!$E$2=CJ43),'2025DATA'!$C$15,"")</f>
        <v/>
      </c>
      <c r="CK56" s="518" t="str">
        <f>IF(AND(_A6="B-767-300",'2025'!$E$4="CA",'2025'!$E$2=CK43),'2025DATA'!$D$15,"")</f>
        <v/>
      </c>
      <c r="CL56" s="518" t="str">
        <f>IF(AND(_A6="B-767-300",'2025'!$E$4="CA",'2025'!$E$2=CL43),'2025DATA'!$E$15,"")</f>
        <v/>
      </c>
      <c r="CM56" s="518" t="str">
        <f>IF(AND(_A6="B-767-300",'2025'!$E$4="CA",'2025'!$E$2=CM43),'2025DATA'!$F$15,"")</f>
        <v/>
      </c>
      <c r="CN56" s="518" t="str">
        <f>IF(AND(_A6="B-767-300",'2025'!$E$4="CA",'2025'!$E$2=CN43),'2025DATA'!$G$15,"")</f>
        <v/>
      </c>
      <c r="CO56" s="518" t="str">
        <f>IF(AND(_A6="B-767-300",'2025'!$E$4="CA",'2025'!$E$2=CO43),'2025DATA'!$H$15,"")</f>
        <v/>
      </c>
      <c r="CP56" s="518" t="str">
        <f>IF(AND(_A6="B-767-300",'2025'!$E$4="CA",'2025'!$E$2=CP43),'2025DATA'!$I$15,"")</f>
        <v/>
      </c>
      <c r="CQ56" s="518" t="str">
        <f>IF(AND(_A6="B-767-300",'2025'!$E$4="CA",'2025'!$E$2=CQ43),'2025DATA'!$J$15,"")</f>
        <v/>
      </c>
      <c r="CR56" s="518" t="str">
        <f>IF(AND(_A6="B-767-300",'2025'!$E$4="CA",'2025'!$E$2=CR43),'2025DATA'!$K$15,"")</f>
        <v/>
      </c>
      <c r="CS56" s="518" t="str">
        <f>IF(AND(_A6="B-767-300",'2025'!$E$4="CA",'2025'!$E$2=CS43),'2025DATA'!$L$15,"")</f>
        <v/>
      </c>
      <c r="CT56" s="518" t="str">
        <f>IF(AND(_A6="B-767-300",'2025'!$E$4="CA",'2025'!$E$2=CT43),'2025DATA'!$M$15,"")</f>
        <v/>
      </c>
      <c r="CU56" s="520" t="str">
        <f>IF(AND(_A6="B-767-300",'2025'!$E$4="CA",'2025'!$E$2=CU43),'2025DATA'!$N$15,"")</f>
        <v/>
      </c>
    </row>
    <row r="57" spans="16:99" x14ac:dyDescent="0.25">
      <c r="P57" s="940"/>
      <c r="Q57" s="13" t="s">
        <v>62</v>
      </c>
      <c r="R57" s="518" t="str">
        <f>IF(AND(_A1="B-767-300",'2025'!$E$4="FO",'2025'!$E$2=R43),'2025DATA'!$C$16,"")</f>
        <v/>
      </c>
      <c r="S57" s="518" t="str">
        <f>IF(AND(_A1="B-767-300",'2025'!$E$4="FO",'2025'!$E$2=S43),'2025DATA'!$D$16,"")</f>
        <v/>
      </c>
      <c r="T57" s="518" t="str">
        <f>IF(AND(_A1="B-767-300",'2025'!$E$4="FO",'2025'!$E$2=T43),'2025DATA'!$E$16,"")</f>
        <v/>
      </c>
      <c r="U57" s="518" t="str">
        <f>IF(AND(_A1="B-767-300",'2025'!$E$4="FO",'2025'!$E$2=U43),'2025DATA'!$F$16,"")</f>
        <v/>
      </c>
      <c r="V57" s="518" t="str">
        <f>IF(AND(_A1="B-767-300",'2025'!$E$4="FO",'2025'!$E$2=V43),'2025DATA'!$G$16,"")</f>
        <v/>
      </c>
      <c r="W57" s="518" t="str">
        <f>IF(AND(_A1="B-767-300",'2025'!$E$4="FO",'2025'!$E$2=W43),'2025DATA'!$H$16,"")</f>
        <v/>
      </c>
      <c r="X57" s="518" t="str">
        <f>IF(AND(_A1="B-767-300",'2025'!$E$4="FO",'2025'!$E$2=X43),'2025DATA'!$I$16,"")</f>
        <v/>
      </c>
      <c r="Y57" s="518" t="str">
        <f>IF(AND(_A1="B-767-300",'2025'!$E$4="FO",'2025'!$E$2=Y43),'2025DATA'!$J$16,"")</f>
        <v/>
      </c>
      <c r="Z57" s="518" t="str">
        <f>IF(AND(_A1="B-767-300",'2025'!$E$4="FO",'2025'!$E$2=Z43),'2025DATA'!$K$16,"")</f>
        <v/>
      </c>
      <c r="AA57" s="518" t="str">
        <f>IF(AND(_A1="B-767-300",'2025'!$E$4="FO",'2025'!$E$2=AA43),'2025DATA'!$L$16,"")</f>
        <v/>
      </c>
      <c r="AB57" s="518" t="str">
        <f>IF(AND(_A1="B-767-300",'2025'!$E$4="FO",'2025'!$E$2=AB43),'2025DATA'!$M$16,"")</f>
        <v/>
      </c>
      <c r="AC57" s="520" t="str">
        <f>IF(AND(_A1="B-767-300",'2025'!$E$4="FO",'2025'!$E$2=AC43),'2025DATA'!$N$16,"")</f>
        <v/>
      </c>
      <c r="AD57" s="940"/>
      <c r="AE57" s="13" t="s">
        <v>62</v>
      </c>
      <c r="AF57" s="518" t="str">
        <f>IF(AND(_A2="B-767-300",'2025'!$E$4="FO",'2025'!$E$2=AF43),'2025DATA'!$C$16,"")</f>
        <v/>
      </c>
      <c r="AG57" s="518" t="str">
        <f>IF(AND(_A2="B-767-300",'2025'!$E$4="FO",'2025'!$E$2=AG43),'2025DATA'!$D$16,"")</f>
        <v/>
      </c>
      <c r="AH57" s="518" t="str">
        <f>IF(AND(_A2="B-767-300",'2025'!$E$4="FO",'2025'!$E$2=AH43),'2025DATA'!$E$16,"")</f>
        <v/>
      </c>
      <c r="AI57" s="518" t="str">
        <f>IF(AND(_A2="B-767-300",'2025'!$E$4="FO",'2025'!$E$2=AI43),'2025DATA'!$F$16,"")</f>
        <v/>
      </c>
      <c r="AJ57" s="518" t="str">
        <f>IF(AND(_A2="B-767-300",'2025'!$E$4="FO",'2025'!$E$2=AJ43),'2025DATA'!$G$16,"")</f>
        <v/>
      </c>
      <c r="AK57" s="518" t="str">
        <f>IF(AND(_A2="B-767-300",'2025'!$E$4="FO",'2025'!$E$2=AK43),'2025DATA'!$H$16,"")</f>
        <v/>
      </c>
      <c r="AL57" s="518" t="str">
        <f>IF(AND(_A2="B-767-300",'2025'!$E$4="FO",'2025'!$E$2=AL43),'2025DATA'!$I$16,"")</f>
        <v/>
      </c>
      <c r="AM57" s="518" t="str">
        <f>IF(AND(_A2="B-767-300",'2025'!$E$4="FO",'2025'!$E$2=AM43),'2025DATA'!$J$16,"")</f>
        <v/>
      </c>
      <c r="AN57" s="518" t="str">
        <f>IF(AND(_A2="B-767-300",'2025'!$E$4="FO",'2025'!$E$2=AN43),'2025DATA'!$K$16,"")</f>
        <v/>
      </c>
      <c r="AO57" s="518" t="str">
        <f>IF(AND(_A2="B-767-300",'2025'!$E$4="FO",'2025'!$E$2=AO43),'2025DATA'!$L$16,"")</f>
        <v/>
      </c>
      <c r="AP57" s="518" t="str">
        <f>IF(AND(_A2="B-767-300",'2025'!$E$4="FO",'2025'!$E$2=AP43),'2025DATA'!$M$16,"")</f>
        <v/>
      </c>
      <c r="AQ57" s="520" t="str">
        <f>IF(AND(_A2="B-767-300",'2025'!$E$4="FO",'2025'!$E$2=AQ43),'2025DATA'!$N$16,"")</f>
        <v/>
      </c>
      <c r="AR57" s="940"/>
      <c r="AS57" s="13" t="s">
        <v>62</v>
      </c>
      <c r="AT57" s="518" t="str">
        <f>IF(AND(_A3="B-767-300",'2025'!$E$4="FO",'2025'!$E$2=AT43),'2025DATA'!$C$16,"")</f>
        <v/>
      </c>
      <c r="AU57" s="518" t="str">
        <f>IF(AND(_A3="B-767-300",'2025'!$E$4="FO",'2025'!$E$2=AU43),'2025DATA'!$D$16,"")</f>
        <v/>
      </c>
      <c r="AV57" s="518" t="str">
        <f>IF(AND(_A3="B-767-300",'2025'!$E$4="FO",'2025'!$E$2=AV43),'2025DATA'!$E$16,"")</f>
        <v/>
      </c>
      <c r="AW57" s="518" t="str">
        <f>IF(AND(_A3="B-767-300",'2025'!$E$4="FO",'2025'!$E$2=AW43),'2025DATA'!$F$16,"")</f>
        <v/>
      </c>
      <c r="AX57" s="518" t="str">
        <f>IF(AND(_A3="B-767-300",'2025'!$E$4="FO",'2025'!$E$2=AX43),'2025DATA'!$G$16,"")</f>
        <v/>
      </c>
      <c r="AY57" s="518" t="str">
        <f>IF(AND(_A3="B-767-300",'2025'!$E$4="FO",'2025'!$E$2=AY43),'2025DATA'!$H$16,"")</f>
        <v/>
      </c>
      <c r="AZ57" s="518" t="str">
        <f>IF(AND(_A3="B-767-300",'2025'!$E$4="FO",'2025'!$E$2=AZ43),'2025DATA'!$I$16,"")</f>
        <v/>
      </c>
      <c r="BA57" s="518" t="str">
        <f>IF(AND(_A3="B-767-300",'2025'!$E$4="FO",'2025'!$E$2=BA43),'2025DATA'!$J$16,"")</f>
        <v/>
      </c>
      <c r="BB57" s="518" t="str">
        <f>IF(AND(_A3="B-767-300",'2025'!$E$4="FO",'2025'!$E$2=BB43),'2025DATA'!$K$16,"")</f>
        <v/>
      </c>
      <c r="BC57" s="518" t="str">
        <f>IF(AND(_A3="B-767-300",'2025'!$E$4="FO",'2025'!$E$2=BC43),'2025DATA'!$L$16,"")</f>
        <v/>
      </c>
      <c r="BD57" s="518" t="str">
        <f>IF(AND(_A3="B-767-300",'2025'!$E$4="FO",'2025'!$E$2=BD43),'2025DATA'!$M$16,"")</f>
        <v/>
      </c>
      <c r="BE57" s="520" t="str">
        <f>IF(AND(_A3="B-767-300",'2025'!$E$4="FO",'2025'!$E$2=BE43),'2025DATA'!$N$16,"")</f>
        <v/>
      </c>
      <c r="BF57" s="940"/>
      <c r="BG57" s="13" t="s">
        <v>62</v>
      </c>
      <c r="BH57" s="518" t="str">
        <f>IF(AND(_A4="B-767-300",'2025'!$E$4="FO",'2025'!$E$2=BH43),'2025DATA'!$C$16,"")</f>
        <v/>
      </c>
      <c r="BI57" s="518" t="str">
        <f>IF(AND(_A4="B-767-300",'2025'!$E$4="FO",'2025'!$E$2=BI43),'2025DATA'!$D$16,"")</f>
        <v/>
      </c>
      <c r="BJ57" s="518" t="str">
        <f>IF(AND(_A4="B-767-300",'2025'!$E$4="FO",'2025'!$E$2=BJ43),'2025DATA'!$E$16,"")</f>
        <v/>
      </c>
      <c r="BK57" s="518" t="str">
        <f>IF(AND(_A4="B-767-300",'2025'!$E$4="FO",'2025'!$E$2=BK43),'2025DATA'!$F$16,"")</f>
        <v/>
      </c>
      <c r="BL57" s="518" t="str">
        <f>IF(AND(_A4="B-767-300",'2025'!$E$4="FO",'2025'!$E$2=BL43),'2025DATA'!$G$16,"")</f>
        <v/>
      </c>
      <c r="BM57" s="518" t="str">
        <f>IF(AND(_A4="B-767-300",'2025'!$E$4="FO",'2025'!$E$2=BM43),'2025DATA'!$H$16,"")</f>
        <v/>
      </c>
      <c r="BN57" s="518" t="str">
        <f>IF(AND(_A4="B-767-300",'2025'!$E$4="FO",'2025'!$E$2=BN43),'2025DATA'!$I$16,"")</f>
        <v/>
      </c>
      <c r="BO57" s="518" t="str">
        <f>IF(AND(_A4="B-767-300",'2025'!$E$4="FO",'2025'!$E$2=BO43),'2025DATA'!$J$16,"")</f>
        <v/>
      </c>
      <c r="BP57" s="518" t="str">
        <f>IF(AND(_A4="B-767-300",'2025'!$E$4="FO",'2025'!$E$2=BP43),'2025DATA'!$K$16,"")</f>
        <v/>
      </c>
      <c r="BQ57" s="518" t="str">
        <f>IF(AND(_A4="B-767-300",'2025'!$E$4="FO",'2025'!$E$2=BQ43),'2025DATA'!$L$16,"")</f>
        <v/>
      </c>
      <c r="BR57" s="518" t="str">
        <f>IF(AND(_A4="B-767-300",'2025'!$E$4="FO",'2025'!$E$2=BR43),'2025DATA'!$M$16,"")</f>
        <v/>
      </c>
      <c r="BS57" s="520" t="str">
        <f>IF(AND(_A4="B-767-300",'2025'!$E$4="FO",'2025'!$E$2=BS43),'2025DATA'!$N$16,"")</f>
        <v/>
      </c>
      <c r="BT57" s="940"/>
      <c r="BU57" s="13" t="s">
        <v>62</v>
      </c>
      <c r="BV57" s="518" t="str">
        <f>IF(AND(_A5="B-767-300",'2025'!$E$4="FO",'2025'!$E$2=BV43),'2025DATA'!$C$16,"")</f>
        <v/>
      </c>
      <c r="BW57" s="518" t="str">
        <f>IF(AND(_A5="B-767-300",'2025'!$E$4="FO",'2025'!$E$2=BW43),'2025DATA'!$D$16,"")</f>
        <v/>
      </c>
      <c r="BX57" s="518" t="str">
        <f>IF(AND(_A5="B-767-300",'2025'!$E$4="FO",'2025'!$E$2=BX43),'2025DATA'!$E$16,"")</f>
        <v/>
      </c>
      <c r="BY57" s="518" t="str">
        <f>IF(AND(_A5="B-767-300",'2025'!$E$4="FO",'2025'!$E$2=BY43),'2025DATA'!$F$16,"")</f>
        <v/>
      </c>
      <c r="BZ57" s="518" t="str">
        <f>IF(AND(_A5="B-767-300",'2025'!$E$4="FO",'2025'!$E$2=BZ43),'2025DATA'!$G$16,"")</f>
        <v/>
      </c>
      <c r="CA57" s="518" t="str">
        <f>IF(AND(_A5="B-767-300",'2025'!$E$4="FO",'2025'!$E$2=CA43),'2025DATA'!$H$16,"")</f>
        <v/>
      </c>
      <c r="CB57" s="518" t="str">
        <f>IF(AND(_A5="B-767-300",'2025'!$E$4="FO",'2025'!$E$2=CB43),'2025DATA'!$I$16,"")</f>
        <v/>
      </c>
      <c r="CC57" s="518" t="str">
        <f>IF(AND(_A5="B-767-300",'2025'!$E$4="FO",'2025'!$E$2=CC43),'2025DATA'!$J$16,"")</f>
        <v/>
      </c>
      <c r="CD57" s="518" t="str">
        <f>IF(AND(_A5="B-767-300",'2025'!$E$4="FO",'2025'!$E$2=CD43),'2025DATA'!$K$16,"")</f>
        <v/>
      </c>
      <c r="CE57" s="518" t="str">
        <f>IF(AND(_A5="B-767-300",'2025'!$E$4="FO",'2025'!$E$2=CE43),'2025DATA'!$L$16,"")</f>
        <v/>
      </c>
      <c r="CF57" s="518" t="str">
        <f>IF(AND(_A5="B-767-300",'2025'!$E$4="FO",'2025'!$E$2=CF43),'2025DATA'!$M$16,"")</f>
        <v/>
      </c>
      <c r="CG57" s="520" t="str">
        <f>IF(AND(_A5="B-767-300",'2025'!$E$4="FO",'2025'!$E$2=CG43),'2025DATA'!$N$16,"")</f>
        <v/>
      </c>
      <c r="CH57" s="940"/>
      <c r="CI57" s="13" t="s">
        <v>62</v>
      </c>
      <c r="CJ57" s="518" t="str">
        <f>IF(AND(_A6="B-767-300",'2025'!$E$4="FO",'2025'!$E$2=CJ43),'2025DATA'!$C$16,"")</f>
        <v/>
      </c>
      <c r="CK57" s="518" t="str">
        <f>IF(AND(_A6="B-767-300",'2025'!$E$4="FO",'2025'!$E$2=CK43),'2025DATA'!$D$16,"")</f>
        <v/>
      </c>
      <c r="CL57" s="518" t="str">
        <f>IF(AND(_A6="B-767-300",'2025'!$E$4="FO",'2025'!$E$2=CL43),'2025DATA'!$E$16,"")</f>
        <v/>
      </c>
      <c r="CM57" s="518" t="str">
        <f>IF(AND(_A6="B-767-300",'2025'!$E$4="FO",'2025'!$E$2=CM43),'2025DATA'!$F$16,"")</f>
        <v/>
      </c>
      <c r="CN57" s="518" t="str">
        <f>IF(AND(_A6="B-767-300",'2025'!$E$4="FO",'2025'!$E$2=CN43),'2025DATA'!$G$16,"")</f>
        <v/>
      </c>
      <c r="CO57" s="518" t="str">
        <f>IF(AND(_A6="B-767-300",'2025'!$E$4="FO",'2025'!$E$2=CO43),'2025DATA'!$H$16,"")</f>
        <v/>
      </c>
      <c r="CP57" s="518" t="str">
        <f>IF(AND(_A6="B-767-300",'2025'!$E$4="FO",'2025'!$E$2=CP43),'2025DATA'!$I$16,"")</f>
        <v/>
      </c>
      <c r="CQ57" s="518" t="str">
        <f>IF(AND(_A6="B-767-300",'2025'!$E$4="FO",'2025'!$E$2=CQ43),'2025DATA'!$J$16,"")</f>
        <v/>
      </c>
      <c r="CR57" s="518" t="str">
        <f>IF(AND(_A6="B-767-300",'2025'!$E$4="FO",'2025'!$E$2=CR43),'2025DATA'!$K$16,"")</f>
        <v/>
      </c>
      <c r="CS57" s="518" t="str">
        <f>IF(AND(_A6="B-767-300",'2025'!$E$4="FO",'2025'!$E$2=CS43),'2025DATA'!$L$16,"")</f>
        <v/>
      </c>
      <c r="CT57" s="518" t="str">
        <f>IF(AND(_A6="B-767-300",'2025'!$E$4="FO",'2025'!$E$2=CT43),'2025DATA'!$M$16,"")</f>
        <v/>
      </c>
      <c r="CU57" s="520" t="str">
        <f>IF(AND(_A6="B-767-300",'2025'!$E$4="FO",'2025'!$E$2=CU43),'2025DATA'!$N$16,"")</f>
        <v/>
      </c>
    </row>
    <row r="58" spans="16:99" x14ac:dyDescent="0.25">
      <c r="P58" s="940" t="s">
        <v>68</v>
      </c>
      <c r="Q58" s="13" t="s">
        <v>61</v>
      </c>
      <c r="R58" s="518" t="str">
        <f>IF(AND(_A1="B-767-200",'2025'!$E$4="CA",'2025'!$E$2=R43),'2025DATA'!$C$17,"")</f>
        <v/>
      </c>
      <c r="S58" s="518" t="str">
        <f>IF(AND(_A1="B-767-200",'2025'!$E$4="CA",'2025'!$E$2=S43),'2025DATA'!$D$17,"")</f>
        <v/>
      </c>
      <c r="T58" s="518" t="str">
        <f>IF(AND(_A1="B-767-200",'2025'!$E$4="CA",'2025'!$E$2=T43),'2025DATA'!$E$17,"")</f>
        <v/>
      </c>
      <c r="U58" s="518" t="str">
        <f>IF(AND(_A1="B-767-200",'2025'!$E$4="CA",'2025'!$E$2=U43),'2025DATA'!$F$17,"")</f>
        <v/>
      </c>
      <c r="V58" s="518" t="str">
        <f>IF(AND(_A1="B-767-200",'2025'!$E$4="CA",'2025'!$E$2=V43),'2025DATA'!$G$17,"")</f>
        <v/>
      </c>
      <c r="W58" s="518" t="str">
        <f>IF(AND(_A1="B-767-200",'2025'!$E$4="CA",'2025'!$E$2=W43),'2025DATA'!$H$17,"")</f>
        <v/>
      </c>
      <c r="X58" s="518" t="str">
        <f>IF(AND(_A1="B-767-200",'2025'!$E$4="CA",'2025'!$E$2=X43),'2025DATA'!$I$17,"")</f>
        <v/>
      </c>
      <c r="Y58" s="518" t="str">
        <f>IF(AND(_A1="B-767-200",'2025'!$E$4="CA",'2025'!$E$2=Y43),'2025DATA'!$J$17,"")</f>
        <v/>
      </c>
      <c r="Z58" s="518" t="str">
        <f>IF(AND(_A1="B-767-200",'2025'!$E$4="CA",'2025'!$E$2=Z43),'2025DATA'!$K$17,"")</f>
        <v/>
      </c>
      <c r="AA58" s="518" t="str">
        <f>IF(AND(_A1="B-767-200",'2025'!$E$4="CA",'2025'!$E$2=AA43),'2025DATA'!$L$17,"")</f>
        <v/>
      </c>
      <c r="AB58" s="518" t="str">
        <f>IF(AND(_A1="B-767-200",'2025'!$E$4="CA",'2025'!$E$2=AB43),'2025DATA'!$M$17,"")</f>
        <v/>
      </c>
      <c r="AC58" s="520" t="str">
        <f>IF(AND(_A1="B-767-200",'2025'!$E$4="CA",'2025'!$E$2=AC43),'2025DATA'!$N$17,"")</f>
        <v/>
      </c>
      <c r="AD58" s="940" t="s">
        <v>68</v>
      </c>
      <c r="AE58" s="13" t="s">
        <v>61</v>
      </c>
      <c r="AF58" s="518" t="str">
        <f>IF(AND(_A2="B-767-200",'2025'!$E$4="CA",'2025'!$E$2=AF43),'2025DATA'!$C$17,"")</f>
        <v/>
      </c>
      <c r="AG58" s="518" t="str">
        <f>IF(AND(_A2="B-767-200",'2025'!$E$4="CA",'2025'!$E$2=AG43),'2025DATA'!$D$17,"")</f>
        <v/>
      </c>
      <c r="AH58" s="518" t="str">
        <f>IF(AND(_A2="B-767-200",'2025'!$E$4="CA",'2025'!$E$2=AH43),'2025DATA'!$E$17,"")</f>
        <v/>
      </c>
      <c r="AI58" s="518" t="str">
        <f>IF(AND(_A2="B-767-200",'2025'!$E$4="CA",'2025'!$E$2=AI43),'2025DATA'!$F$17,"")</f>
        <v/>
      </c>
      <c r="AJ58" s="518" t="str">
        <f>IF(AND(_A2="B-767-200",'2025'!$E$4="CA",'2025'!$E$2=AJ43),'2025DATA'!$G$17,"")</f>
        <v/>
      </c>
      <c r="AK58" s="518" t="str">
        <f>IF(AND(_A2="B-767-200",'2025'!$E$4="CA",'2025'!$E$2=AK43),'2025DATA'!$H$17,"")</f>
        <v/>
      </c>
      <c r="AL58" s="518" t="str">
        <f>IF(AND(_A2="B-767-200",'2025'!$E$4="CA",'2025'!$E$2=AL43),'2025DATA'!$I$17,"")</f>
        <v/>
      </c>
      <c r="AM58" s="518" t="str">
        <f>IF(AND(_A2="B-767-200",'2025'!$E$4="CA",'2025'!$E$2=AM43),'2025DATA'!$J$17,"")</f>
        <v/>
      </c>
      <c r="AN58" s="518" t="str">
        <f>IF(AND(_A2="B-767-200",'2025'!$E$4="CA",'2025'!$E$2=AN43),'2025DATA'!$K$17,"")</f>
        <v/>
      </c>
      <c r="AO58" s="518" t="str">
        <f>IF(AND(_A2="B-767-200",'2025'!$E$4="CA",'2025'!$E$2=AO43),'2025DATA'!$L$17,"")</f>
        <v/>
      </c>
      <c r="AP58" s="518" t="str">
        <f>IF(AND(_A2="B-767-200",'2025'!$E$4="CA",'2025'!$E$2=AP43),'2025DATA'!$M$17,"")</f>
        <v/>
      </c>
      <c r="AQ58" s="520" t="str">
        <f>IF(AND(_A2="B-767-200",'2025'!$E$4="CA",'2025'!$E$2=AQ43),'2025DATA'!$N$17,"")</f>
        <v/>
      </c>
      <c r="AR58" s="940" t="s">
        <v>68</v>
      </c>
      <c r="AS58" s="13" t="s">
        <v>61</v>
      </c>
      <c r="AT58" s="518" t="str">
        <f>IF(AND(_A3="B-767-200",'2025'!$E$4="CA",'2025'!$E$2=AT43),'2025DATA'!$C$17,"")</f>
        <v/>
      </c>
      <c r="AU58" s="518" t="str">
        <f>IF(AND(_A3="B-767-200",'2025'!$E$4="CA",'2025'!$E$2=AU43),'2025DATA'!$D$17,"")</f>
        <v/>
      </c>
      <c r="AV58" s="518" t="str">
        <f>IF(AND(_A3="B-767-200",'2025'!$E$4="CA",'2025'!$E$2=AV43),'2025DATA'!$E$17,"")</f>
        <v/>
      </c>
      <c r="AW58" s="518" t="str">
        <f>IF(AND(_A3="B-767-200",'2025'!$E$4="CA",'2025'!$E$2=AW43),'2025DATA'!$F$17,"")</f>
        <v/>
      </c>
      <c r="AX58" s="518" t="str">
        <f>IF(AND(_A3="B-767-200",'2025'!$E$4="CA",'2025'!$E$2=AX43),'2025DATA'!$G$17,"")</f>
        <v/>
      </c>
      <c r="AY58" s="518" t="str">
        <f>IF(AND(_A3="B-767-200",'2025'!$E$4="CA",'2025'!$E$2=AY43),'2025DATA'!$H$17,"")</f>
        <v/>
      </c>
      <c r="AZ58" s="518" t="str">
        <f>IF(AND(_A3="B-767-200",'2025'!$E$4="CA",'2025'!$E$2=AZ43),'2025DATA'!$I$17,"")</f>
        <v/>
      </c>
      <c r="BA58" s="518" t="str">
        <f>IF(AND(_A3="B-767-200",'2025'!$E$4="CA",'2025'!$E$2=BA43),'2025DATA'!$J$17,"")</f>
        <v/>
      </c>
      <c r="BB58" s="518" t="str">
        <f>IF(AND(_A3="B-767-200",'2025'!$E$4="CA",'2025'!$E$2=BB43),'2025DATA'!$K$17,"")</f>
        <v/>
      </c>
      <c r="BC58" s="518" t="str">
        <f>IF(AND(_A3="B-767-200",'2025'!$E$4="CA",'2025'!$E$2=BC43),'2025DATA'!$L$17,"")</f>
        <v/>
      </c>
      <c r="BD58" s="518" t="str">
        <f>IF(AND(_A3="B-767-200",'2025'!$E$4="CA",'2025'!$E$2=BD43),'2025DATA'!$M$17,"")</f>
        <v/>
      </c>
      <c r="BE58" s="520" t="str">
        <f>IF(AND(_A3="B-767-200",'2025'!$E$4="CA",'2025'!$E$2=BE43),'2025DATA'!$N$17,"")</f>
        <v/>
      </c>
      <c r="BF58" s="940" t="s">
        <v>68</v>
      </c>
      <c r="BG58" s="13" t="s">
        <v>61</v>
      </c>
      <c r="BH58" s="518" t="str">
        <f>IF(AND(_A4="B-767-200",'2025'!$E$4="CA",'2025'!$E$2=BH43),'2025DATA'!$C$17,"")</f>
        <v/>
      </c>
      <c r="BI58" s="518" t="str">
        <f>IF(AND(_A4="B-767-200",'2025'!$E$4="CA",'2025'!$E$2=BI43),'2025DATA'!$D$17,"")</f>
        <v/>
      </c>
      <c r="BJ58" s="518" t="str">
        <f>IF(AND(_A4="B-767-200",'2025'!$E$4="CA",'2025'!$E$2=BJ43),'2025DATA'!$E$17,"")</f>
        <v/>
      </c>
      <c r="BK58" s="518" t="str">
        <f>IF(AND(_A4="B-767-200",'2025'!$E$4="CA",'2025'!$E$2=BK43),'2025DATA'!$F$17,"")</f>
        <v/>
      </c>
      <c r="BL58" s="518" t="str">
        <f>IF(AND(_A4="B-767-200",'2025'!$E$4="CA",'2025'!$E$2=BL43),'2025DATA'!$G$17,"")</f>
        <v/>
      </c>
      <c r="BM58" s="518" t="str">
        <f>IF(AND(_A4="B-767-200",'2025'!$E$4="CA",'2025'!$E$2=BM43),'2025DATA'!$H$17,"")</f>
        <v/>
      </c>
      <c r="BN58" s="518" t="str">
        <f>IF(AND(_A4="B-767-200",'2025'!$E$4="CA",'2025'!$E$2=BN43),'2025DATA'!$I$17,"")</f>
        <v/>
      </c>
      <c r="BO58" s="518" t="str">
        <f>IF(AND(_A4="B-767-200",'2025'!$E$4="CA",'2025'!$E$2=BO43),'2025DATA'!$J$17,"")</f>
        <v/>
      </c>
      <c r="BP58" s="518" t="str">
        <f>IF(AND(_A4="B-767-200",'2025'!$E$4="CA",'2025'!$E$2=BP43),'2025DATA'!$K$17,"")</f>
        <v/>
      </c>
      <c r="BQ58" s="518" t="str">
        <f>IF(AND(_A4="B-767-200",'2025'!$E$4="CA",'2025'!$E$2=BQ43),'2025DATA'!$L$17,"")</f>
        <v/>
      </c>
      <c r="BR58" s="518" t="str">
        <f>IF(AND(_A4="B-767-200",'2025'!$E$4="CA",'2025'!$E$2=BR43),'2025DATA'!$M$17,"")</f>
        <v/>
      </c>
      <c r="BS58" s="520" t="str">
        <f>IF(AND(_A4="B-767-200",'2025'!$E$4="CA",'2025'!$E$2=BS43),'2025DATA'!$N$17,"")</f>
        <v/>
      </c>
      <c r="BT58" s="940" t="s">
        <v>68</v>
      </c>
      <c r="BU58" s="13" t="s">
        <v>61</v>
      </c>
      <c r="BV58" s="518" t="str">
        <f>IF(AND(_A5="B-767-200",'2025'!$E$4="CA",'2025'!$E$2=BV43),'2025DATA'!$C$17,"")</f>
        <v/>
      </c>
      <c r="BW58" s="518" t="str">
        <f>IF(AND(_A5="B-767-200",'2025'!$E$4="CA",'2025'!$E$2=BW43),'2025DATA'!$D$17,"")</f>
        <v/>
      </c>
      <c r="BX58" s="518" t="str">
        <f>IF(AND(_A5="B-767-200",'2025'!$E$4="CA",'2025'!$E$2=BX43),'2025DATA'!$E$17,"")</f>
        <v/>
      </c>
      <c r="BY58" s="518" t="str">
        <f>IF(AND(_A5="B-767-200",'2025'!$E$4="CA",'2025'!$E$2=BY43),'2025DATA'!$F$17,"")</f>
        <v/>
      </c>
      <c r="BZ58" s="518" t="str">
        <f>IF(AND(_A5="B-767-200",'2025'!$E$4="CA",'2025'!$E$2=BZ43),'2025DATA'!$G$17,"")</f>
        <v/>
      </c>
      <c r="CA58" s="518" t="str">
        <f>IF(AND(_A5="B-767-200",'2025'!$E$4="CA",'2025'!$E$2=CA43),'2025DATA'!$H$17,"")</f>
        <v/>
      </c>
      <c r="CB58" s="518" t="str">
        <f>IF(AND(_A5="B-767-200",'2025'!$E$4="CA",'2025'!$E$2=CB43),'2025DATA'!$I$17,"")</f>
        <v/>
      </c>
      <c r="CC58" s="518" t="str">
        <f>IF(AND(_A5="B-767-200",'2025'!$E$4="CA",'2025'!$E$2=CC43),'2025DATA'!$J$17,"")</f>
        <v/>
      </c>
      <c r="CD58" s="518" t="str">
        <f>IF(AND(_A5="B-767-200",'2025'!$E$4="CA",'2025'!$E$2=CD43),'2025DATA'!$K$17,"")</f>
        <v/>
      </c>
      <c r="CE58" s="518" t="str">
        <f>IF(AND(_A5="B-767-200",'2025'!$E$4="CA",'2025'!$E$2=CE43),'2025DATA'!$L$17,"")</f>
        <v/>
      </c>
      <c r="CF58" s="518" t="str">
        <f>IF(AND(_A5="B-767-200",'2025'!$E$4="CA",'2025'!$E$2=CF43),'2025DATA'!$M$17,"")</f>
        <v/>
      </c>
      <c r="CG58" s="520" t="str">
        <f>IF(AND(_A5="B-767-200",'2025'!$E$4="CA",'2025'!$E$2=CG43),'2025DATA'!$N$17,"")</f>
        <v/>
      </c>
      <c r="CH58" s="940" t="s">
        <v>68</v>
      </c>
      <c r="CI58" s="13" t="s">
        <v>61</v>
      </c>
      <c r="CJ58" s="518" t="str">
        <f>IF(AND(_A6="B-767-200",'2025'!$E$4="CA",'2025'!$E$2=CJ43),'2025DATA'!$C$17,"")</f>
        <v/>
      </c>
      <c r="CK58" s="518" t="str">
        <f>IF(AND(_A6="B-767-200",'2025'!$E$4="CA",'2025'!$E$2=CK43),'2025DATA'!$D$17,"")</f>
        <v/>
      </c>
      <c r="CL58" s="518" t="str">
        <f>IF(AND(_A6="B-767-200",'2025'!$E$4="CA",'2025'!$E$2=CL43),'2025DATA'!$E$17,"")</f>
        <v/>
      </c>
      <c r="CM58" s="518" t="str">
        <f>IF(AND(_A6="B-767-200",'2025'!$E$4="CA",'2025'!$E$2=CM43),'2025DATA'!$F$17,"")</f>
        <v/>
      </c>
      <c r="CN58" s="518" t="str">
        <f>IF(AND(_A6="B-767-200",'2025'!$E$4="CA",'2025'!$E$2=CN43),'2025DATA'!$G$17,"")</f>
        <v/>
      </c>
      <c r="CO58" s="518" t="str">
        <f>IF(AND(_A6="B-767-200",'2025'!$E$4="CA",'2025'!$E$2=CO43),'2025DATA'!$H$17,"")</f>
        <v/>
      </c>
      <c r="CP58" s="518" t="str">
        <f>IF(AND(_A6="B-767-200",'2025'!$E$4="CA",'2025'!$E$2=CP43),'2025DATA'!$I$17,"")</f>
        <v/>
      </c>
      <c r="CQ58" s="518" t="str">
        <f>IF(AND(_A6="B-767-200",'2025'!$E$4="CA",'2025'!$E$2=CQ43),'2025DATA'!$J$17,"")</f>
        <v/>
      </c>
      <c r="CR58" s="518" t="str">
        <f>IF(AND(_A6="B-767-200",'2025'!$E$4="CA",'2025'!$E$2=CR43),'2025DATA'!$K$17,"")</f>
        <v/>
      </c>
      <c r="CS58" s="518" t="str">
        <f>IF(AND(_A6="B-767-200",'2025'!$E$4="CA",'2025'!$E$2=CS43),'2025DATA'!$L$17,"")</f>
        <v/>
      </c>
      <c r="CT58" s="518" t="str">
        <f>IF(AND(_A6="B-767-200",'2025'!$E$4="CA",'2025'!$E$2=CT43),'2025DATA'!$M$17,"")</f>
        <v/>
      </c>
      <c r="CU58" s="520" t="str">
        <f>IF(AND(_A6="B-767-200",'2025'!$E$4="CA",'2025'!$E$2=CU43),'2025DATA'!$N$17,"")</f>
        <v/>
      </c>
    </row>
    <row r="59" spans="16:99" x14ac:dyDescent="0.25">
      <c r="P59" s="940"/>
      <c r="Q59" s="13" t="s">
        <v>62</v>
      </c>
      <c r="R59" s="518" t="str">
        <f>IF(AND(_A1="B-767-200",'2025'!$E$4="FO",'2025'!$E$2=R43),'2025DATA'!$C$18,"")</f>
        <v/>
      </c>
      <c r="S59" s="518" t="str">
        <f>IF(AND(_A1="B-767-200",'2025'!$E$4="FO",'2025'!$E$2=S43),'2025DATA'!$D$18,"")</f>
        <v/>
      </c>
      <c r="T59" s="518" t="str">
        <f>IF(AND(_A1="B-767-200",'2025'!$E$4="FO",'2025'!$E$2=T43),'2025DATA'!$E$18,"")</f>
        <v/>
      </c>
      <c r="U59" s="518" t="str">
        <f>IF(AND(_A1="B-767-200",'2025'!$E$4="FO",'2025'!$E$2=U43),'2025DATA'!$F$18,"")</f>
        <v/>
      </c>
      <c r="V59" s="518" t="str">
        <f>IF(AND(_A1="B-767-200",'2025'!$E$4="FO",'2025'!$E$2=V43),'2025DATA'!$G$18,"")</f>
        <v/>
      </c>
      <c r="W59" s="518" t="str">
        <f>IF(AND(_A1="B-767-200",'2025'!$E$4="FO",'2025'!$E$2=W43),'2025DATA'!$H$18,"")</f>
        <v/>
      </c>
      <c r="X59" s="518" t="str">
        <f>IF(AND(_A1="B-767-200",'2025'!$E$4="FO",'2025'!$E$2=X43),'2025DATA'!$I$18,"")</f>
        <v/>
      </c>
      <c r="Y59" s="518" t="str">
        <f>IF(AND(_A1="B-767-200",'2025'!$E$4="FO",'2025'!$E$2=Y43),'2025DATA'!$J$18,"")</f>
        <v/>
      </c>
      <c r="Z59" s="518" t="str">
        <f>IF(AND(_A1="B-767-200",'2025'!$E$4="FO",'2025'!$E$2=Z43),'2025DATA'!$K$18,"")</f>
        <v/>
      </c>
      <c r="AA59" s="518" t="str">
        <f>IF(AND(_A1="B-767-200",'2025'!$E$4="FO",'2025'!$E$2=AA43),'2025DATA'!$L$18,"")</f>
        <v/>
      </c>
      <c r="AB59" s="518" t="str">
        <f>IF(AND(_A1="B-767-200",'2025'!$E$4="FO",'2025'!$E$2=AB43),'2025DATA'!$M$18,"")</f>
        <v/>
      </c>
      <c r="AC59" s="520" t="str">
        <f>IF(AND(_A1="B-767-200",'2025'!$E$4="FO",'2025'!$E$2=AC43),'2025DATA'!$N$18,"")</f>
        <v/>
      </c>
      <c r="AD59" s="940"/>
      <c r="AE59" s="13" t="s">
        <v>62</v>
      </c>
      <c r="AF59" s="518" t="str">
        <f>IF(AND(_A2="B-767-200",'2025'!$E$4="FO",'2025'!$E$2=AF43),'2025DATA'!$C$18,"")</f>
        <v/>
      </c>
      <c r="AG59" s="518" t="str">
        <f>IF(AND(_A2="B-767-200",'2025'!$E$4="FO",'2025'!$E$2=AG43),'2025DATA'!$D$18,"")</f>
        <v/>
      </c>
      <c r="AH59" s="518" t="str">
        <f>IF(AND(_A2="B-767-200",'2025'!$E$4="FO",'2025'!$E$2=AH43),'2025DATA'!$E$18,"")</f>
        <v/>
      </c>
      <c r="AI59" s="518" t="str">
        <f>IF(AND(_A2="B-767-200",'2025'!$E$4="FO",'2025'!$E$2=AI43),'2025DATA'!$F$18,"")</f>
        <v/>
      </c>
      <c r="AJ59" s="518" t="str">
        <f>IF(AND(_A2="B-767-200",'2025'!$E$4="FO",'2025'!$E$2=AJ43),'2025DATA'!$G$18,"")</f>
        <v/>
      </c>
      <c r="AK59" s="518" t="str">
        <f>IF(AND(_A2="B-767-200",'2025'!$E$4="FO",'2025'!$E$2=AK43),'2025DATA'!$H$18,"")</f>
        <v/>
      </c>
      <c r="AL59" s="518" t="str">
        <f>IF(AND(_A2="B-767-200",'2025'!$E$4="FO",'2025'!$E$2=AL43),'2025DATA'!$I$18,"")</f>
        <v/>
      </c>
      <c r="AM59" s="518" t="str">
        <f>IF(AND(_A2="B-767-200",'2025'!$E$4="FO",'2025'!$E$2=AM43),'2025DATA'!$J$18,"")</f>
        <v/>
      </c>
      <c r="AN59" s="518" t="str">
        <f>IF(AND(_A2="B-767-200",'2025'!$E$4="FO",'2025'!$E$2=AN43),'2025DATA'!$K$18,"")</f>
        <v/>
      </c>
      <c r="AO59" s="518" t="str">
        <f>IF(AND(_A2="B-767-200",'2025'!$E$4="FO",'2025'!$E$2=AO43),'2025DATA'!$L$18,"")</f>
        <v/>
      </c>
      <c r="AP59" s="518" t="str">
        <f>IF(AND(_A2="B-767-200",'2025'!$E$4="FO",'2025'!$E$2=AP43),'2025DATA'!$M$18,"")</f>
        <v/>
      </c>
      <c r="AQ59" s="520" t="str">
        <f>IF(AND(_A2="B-767-200",'2025'!$E$4="FO",'2025'!$E$2=AQ43),'2025DATA'!$N$18,"")</f>
        <v/>
      </c>
      <c r="AR59" s="940"/>
      <c r="AS59" s="13" t="s">
        <v>62</v>
      </c>
      <c r="AT59" s="518" t="str">
        <f>IF(AND(_A3="B-767-200",'2025'!$E$4="FO",'2025'!$E$2=AT43),'2025DATA'!$C$18,"")</f>
        <v/>
      </c>
      <c r="AU59" s="518" t="str">
        <f>IF(AND(_A3="B-767-200",'2025'!$E$4="FO",'2025'!$E$2=AU43),'2025DATA'!$D$18,"")</f>
        <v/>
      </c>
      <c r="AV59" s="518" t="str">
        <f>IF(AND(_A3="B-767-200",'2025'!$E$4="FO",'2025'!$E$2=AV43),'2025DATA'!$E$18,"")</f>
        <v/>
      </c>
      <c r="AW59" s="518" t="str">
        <f>IF(AND(_A3="B-767-200",'2025'!$E$4="FO",'2025'!$E$2=AW43),'2025DATA'!$F$18,"")</f>
        <v/>
      </c>
      <c r="AX59" s="518" t="str">
        <f>IF(AND(_A3="B-767-200",'2025'!$E$4="FO",'2025'!$E$2=AX43),'2025DATA'!$G$18,"")</f>
        <v/>
      </c>
      <c r="AY59" s="518" t="str">
        <f>IF(AND(_A3="B-767-200",'2025'!$E$4="FO",'2025'!$E$2=AY43),'2025DATA'!$H$18,"")</f>
        <v/>
      </c>
      <c r="AZ59" s="518" t="str">
        <f>IF(AND(_A3="B-767-200",'2025'!$E$4="FO",'2025'!$E$2=AZ43),'2025DATA'!$I$18,"")</f>
        <v/>
      </c>
      <c r="BA59" s="518" t="str">
        <f>IF(AND(_A3="B-767-200",'2025'!$E$4="FO",'2025'!$E$2=BA43),'2025DATA'!$J$18,"")</f>
        <v/>
      </c>
      <c r="BB59" s="518" t="str">
        <f>IF(AND(_A3="B-767-200",'2025'!$E$4="FO",'2025'!$E$2=BB43),'2025DATA'!$K$18,"")</f>
        <v/>
      </c>
      <c r="BC59" s="518" t="str">
        <f>IF(AND(_A3="B-767-200",'2025'!$E$4="FO",'2025'!$E$2=BC43),'2025DATA'!$L$18,"")</f>
        <v/>
      </c>
      <c r="BD59" s="518" t="str">
        <f>IF(AND(_A3="B-767-200",'2025'!$E$4="FO",'2025'!$E$2=BD43),'2025DATA'!$M$18,"")</f>
        <v/>
      </c>
      <c r="BE59" s="520" t="str">
        <f>IF(AND(_A3="B-767-200",'2025'!$E$4="FO",'2025'!$E$2=BE43),'2025DATA'!$N$18,"")</f>
        <v/>
      </c>
      <c r="BF59" s="940"/>
      <c r="BG59" s="13" t="s">
        <v>62</v>
      </c>
      <c r="BH59" s="518" t="str">
        <f>IF(AND(_A4="B-767-200",'2025'!$E$4="FO",'2025'!$E$2=BH43),'2025DATA'!$C$18,"")</f>
        <v/>
      </c>
      <c r="BI59" s="518" t="str">
        <f>IF(AND(_A4="B-767-200",'2025'!$E$4="FO",'2025'!$E$2=BI43),'2025DATA'!$D$18,"")</f>
        <v/>
      </c>
      <c r="BJ59" s="518" t="str">
        <f>IF(AND(_A4="B-767-200",'2025'!$E$4="FO",'2025'!$E$2=BJ43),'2025DATA'!$E$18,"")</f>
        <v/>
      </c>
      <c r="BK59" s="518" t="str">
        <f>IF(AND(_A4="B-767-200",'2025'!$E$4="FO",'2025'!$E$2=BK43),'2025DATA'!$F$18,"")</f>
        <v/>
      </c>
      <c r="BL59" s="518" t="str">
        <f>IF(AND(_A4="B-767-200",'2025'!$E$4="FO",'2025'!$E$2=BL43),'2025DATA'!$G$18,"")</f>
        <v/>
      </c>
      <c r="BM59" s="518" t="str">
        <f>IF(AND(_A4="B-767-200",'2025'!$E$4="FO",'2025'!$E$2=BM43),'2025DATA'!$H$18,"")</f>
        <v/>
      </c>
      <c r="BN59" s="518" t="str">
        <f>IF(AND(_A4="B-767-200",'2025'!$E$4="FO",'2025'!$E$2=BN43),'2025DATA'!$I$18,"")</f>
        <v/>
      </c>
      <c r="BO59" s="518" t="str">
        <f>IF(AND(_A4="B-767-200",'2025'!$E$4="FO",'2025'!$E$2=BO43),'2025DATA'!$J$18,"")</f>
        <v/>
      </c>
      <c r="BP59" s="518" t="str">
        <f>IF(AND(_A4="B-767-200",'2025'!$E$4="FO",'2025'!$E$2=BP43),'2025DATA'!$K$18,"")</f>
        <v/>
      </c>
      <c r="BQ59" s="518" t="str">
        <f>IF(AND(_A4="B-767-200",'2025'!$E$4="FO",'2025'!$E$2=BQ43),'2025DATA'!$L$18,"")</f>
        <v/>
      </c>
      <c r="BR59" s="518" t="str">
        <f>IF(AND(_A4="B-767-200",'2025'!$E$4="FO",'2025'!$E$2=BR43),'2025DATA'!$M$18,"")</f>
        <v/>
      </c>
      <c r="BS59" s="520" t="str">
        <f>IF(AND(_A4="B-767-200",'2025'!$E$4="FO",'2025'!$E$2=BS43),'2025DATA'!$N$18,"")</f>
        <v/>
      </c>
      <c r="BT59" s="940"/>
      <c r="BU59" s="13" t="s">
        <v>62</v>
      </c>
      <c r="BV59" s="518" t="str">
        <f>IF(AND(_A5="B-767-200",'2025'!$E$4="FO",'2025'!$E$2=BV43),'2025DATA'!$C$18,"")</f>
        <v/>
      </c>
      <c r="BW59" s="518" t="str">
        <f>IF(AND(_A5="B-767-200",'2025'!$E$4="FO",'2025'!$E$2=BW43),'2025DATA'!$D$18,"")</f>
        <v/>
      </c>
      <c r="BX59" s="518" t="str">
        <f>IF(AND(_A5="B-767-200",'2025'!$E$4="FO",'2025'!$E$2=BX43),'2025DATA'!$E$18,"")</f>
        <v/>
      </c>
      <c r="BY59" s="518" t="str">
        <f>IF(AND(_A5="B-767-200",'2025'!$E$4="FO",'2025'!$E$2=BY43),'2025DATA'!$F$18,"")</f>
        <v/>
      </c>
      <c r="BZ59" s="518" t="str">
        <f>IF(AND(_A5="B-767-200",'2025'!$E$4="FO",'2025'!$E$2=BZ43),'2025DATA'!$G$18,"")</f>
        <v/>
      </c>
      <c r="CA59" s="518" t="str">
        <f>IF(AND(_A5="B-767-200",'2025'!$E$4="FO",'2025'!$E$2=CA43),'2025DATA'!$H$18,"")</f>
        <v/>
      </c>
      <c r="CB59" s="518" t="str">
        <f>IF(AND(_A5="B-767-200",'2025'!$E$4="FO",'2025'!$E$2=CB43),'2025DATA'!$I$18,"")</f>
        <v/>
      </c>
      <c r="CC59" s="518" t="str">
        <f>IF(AND(_A5="B-767-200",'2025'!$E$4="FO",'2025'!$E$2=CC43),'2025DATA'!$J$18,"")</f>
        <v/>
      </c>
      <c r="CD59" s="518" t="str">
        <f>IF(AND(_A5="B-767-200",'2025'!$E$4="FO",'2025'!$E$2=CD43),'2025DATA'!$K$18,"")</f>
        <v/>
      </c>
      <c r="CE59" s="518" t="str">
        <f>IF(AND(_A5="B-767-200",'2025'!$E$4="FO",'2025'!$E$2=CE43),'2025DATA'!$L$18,"")</f>
        <v/>
      </c>
      <c r="CF59" s="518" t="str">
        <f>IF(AND(_A5="B-767-200",'2025'!$E$4="FO",'2025'!$E$2=CF43),'2025DATA'!$M$18,"")</f>
        <v/>
      </c>
      <c r="CG59" s="520" t="str">
        <f>IF(AND(_A5="B-767-200",'2025'!$E$4="FO",'2025'!$E$2=CG43),'2025DATA'!$N$18,"")</f>
        <v/>
      </c>
      <c r="CH59" s="940"/>
      <c r="CI59" s="13" t="s">
        <v>62</v>
      </c>
      <c r="CJ59" s="518" t="str">
        <f>IF(AND(_A6="B-767-200",'2025'!$E$4="FO",'2025'!$E$2=CJ43),'2025DATA'!$C$18,"")</f>
        <v/>
      </c>
      <c r="CK59" s="518" t="str">
        <f>IF(AND(_A6="B-767-200",'2025'!$E$4="FO",'2025'!$E$2=CK43),'2025DATA'!$D$18,"")</f>
        <v/>
      </c>
      <c r="CL59" s="518" t="str">
        <f>IF(AND(_A6="B-767-200",'2025'!$E$4="FO",'2025'!$E$2=CL43),'2025DATA'!$E$18,"")</f>
        <v/>
      </c>
      <c r="CM59" s="518" t="str">
        <f>IF(AND(_A6="B-767-200",'2025'!$E$4="FO",'2025'!$E$2=CM43),'2025DATA'!$F$18,"")</f>
        <v/>
      </c>
      <c r="CN59" s="518" t="str">
        <f>IF(AND(_A6="B-767-200",'2025'!$E$4="FO",'2025'!$E$2=CN43),'2025DATA'!$G$18,"")</f>
        <v/>
      </c>
      <c r="CO59" s="518" t="str">
        <f>IF(AND(_A6="B-767-200",'2025'!$E$4="FO",'2025'!$E$2=CO43),'2025DATA'!$H$18,"")</f>
        <v/>
      </c>
      <c r="CP59" s="518" t="str">
        <f>IF(AND(_A6="B-767-200",'2025'!$E$4="FO",'2025'!$E$2=CP43),'2025DATA'!$I$18,"")</f>
        <v/>
      </c>
      <c r="CQ59" s="518" t="str">
        <f>IF(AND(_A6="B-767-200",'2025'!$E$4="FO",'2025'!$E$2=CQ43),'2025DATA'!$J$18,"")</f>
        <v/>
      </c>
      <c r="CR59" s="518" t="str">
        <f>IF(AND(_A6="B-767-200",'2025'!$E$4="FO",'2025'!$E$2=CR43),'2025DATA'!$K$18,"")</f>
        <v/>
      </c>
      <c r="CS59" s="518" t="str">
        <f>IF(AND(_A6="B-767-200",'2025'!$E$4="FO",'2025'!$E$2=CS43),'2025DATA'!$L$18,"")</f>
        <v/>
      </c>
      <c r="CT59" s="518" t="str">
        <f>IF(AND(_A6="B-767-200",'2025'!$E$4="FO",'2025'!$E$2=CT43),'2025DATA'!$M$18,"")</f>
        <v/>
      </c>
      <c r="CU59" s="520" t="str">
        <f>IF(AND(_A6="B-767-200",'2025'!$E$4="FO",'2025'!$E$2=CU43),'2025DATA'!$N$18,"")</f>
        <v/>
      </c>
    </row>
    <row r="60" spans="16:99" x14ac:dyDescent="0.25">
      <c r="P60" s="940" t="s">
        <v>45</v>
      </c>
      <c r="Q60" s="13" t="s">
        <v>61</v>
      </c>
      <c r="R60" s="518" t="str">
        <f>IF(AND(_A1="B-757",'2025'!$E$4="CA",'2025'!$E$2=R43),'2025DATA'!$C$19,"")</f>
        <v/>
      </c>
      <c r="S60" s="518" t="str">
        <f>IF(AND(_A1="B-757",'2025'!$E$4="CA",'2025'!$E$2=S43),'2025DATA'!$D$19,"")</f>
        <v/>
      </c>
      <c r="T60" s="518" t="str">
        <f>IF(AND(_A1="B-757",'2025'!$E$4="CA",'2025'!$E$2=T43),'2025DATA'!$E$19,"")</f>
        <v/>
      </c>
      <c r="U60" s="518" t="str">
        <f>IF(AND(_A1="B-757",'2025'!$E$4="CA",'2025'!$E$2=U43),'2025DATA'!$F$19,"")</f>
        <v/>
      </c>
      <c r="V60" s="518" t="str">
        <f>IF(AND(_A1="B-757",'2025'!$E$4="CA",'2025'!$E$2=V43),'2025DATA'!$G$19,"")</f>
        <v/>
      </c>
      <c r="W60" s="518" t="str">
        <f>IF(AND(_A1="B-757",'2025'!$E$4="CA",'2025'!$E$2=W43),'2025DATA'!$H$19,"")</f>
        <v/>
      </c>
      <c r="X60" s="518" t="str">
        <f>IF(AND(_A1="B-757",'2025'!$E$4="CA",'2025'!$E$2=X43),'2025DATA'!$I$19,"")</f>
        <v/>
      </c>
      <c r="Y60" s="518" t="str">
        <f>IF(AND(_A1="B-757",'2025'!$E$4="CA",'2025'!$E$2=Y43),'2025DATA'!$J$19,"")</f>
        <v/>
      </c>
      <c r="Z60" s="518" t="str">
        <f>IF(AND(_A1="B-757",'2025'!$E$4="CA",'2025'!$E$2=Z43),'2025DATA'!$K$19,"")</f>
        <v/>
      </c>
      <c r="AA60" s="518" t="str">
        <f>IF(AND(_A1="B-757",'2025'!$E$4="CA",'2025'!$E$2=AA43),'2025DATA'!$L$19,"")</f>
        <v/>
      </c>
      <c r="AB60" s="518" t="str">
        <f>IF(AND(_A1="B-757",'2025'!$E$4="CA",'2025'!$E$2=AB43),'2025DATA'!$M$19,"")</f>
        <v/>
      </c>
      <c r="AC60" s="520" t="str">
        <f>IF(AND(_A1="B-757",'2025'!$E$4="CA",'2025'!$E$2=AC43),'2025DATA'!$N$19,"")</f>
        <v/>
      </c>
      <c r="AD60" s="940" t="s">
        <v>45</v>
      </c>
      <c r="AE60" s="13" t="s">
        <v>61</v>
      </c>
      <c r="AF60" s="518" t="str">
        <f>IF(AND(_A2="B-757",'2025'!$E$4="CA",'2025'!$E$2=AF43),'2025DATA'!$C$19,"")</f>
        <v/>
      </c>
      <c r="AG60" s="518" t="str">
        <f>IF(AND(_A2="B-757",'2025'!$E$4="CA",'2025'!$E$2=AG43),'2025DATA'!$D$19,"")</f>
        <v/>
      </c>
      <c r="AH60" s="518" t="str">
        <f>IF(AND(_A2="B-757",'2025'!$E$4="CA",'2025'!$E$2=AH43),'2025DATA'!$E$19,"")</f>
        <v/>
      </c>
      <c r="AI60" s="518" t="str">
        <f>IF(AND(_A2="B-757",'2025'!$E$4="CA",'2025'!$E$2=AI43),'2025DATA'!$F$19,"")</f>
        <v/>
      </c>
      <c r="AJ60" s="518" t="str">
        <f>IF(AND(_A2="B-757",'2025'!$E$4="CA",'2025'!$E$2=AJ43),'2025DATA'!$G$19,"")</f>
        <v/>
      </c>
      <c r="AK60" s="518" t="str">
        <f>IF(AND(_A2="B-757",'2025'!$E$4="CA",'2025'!$E$2=AK43),'2025DATA'!$H$19,"")</f>
        <v/>
      </c>
      <c r="AL60" s="518" t="str">
        <f>IF(AND(_A2="B-757",'2025'!$E$4="CA",'2025'!$E$2=AL43),'2025DATA'!$I$19,"")</f>
        <v/>
      </c>
      <c r="AM60" s="518" t="str">
        <f>IF(AND(_A2="B-757",'2025'!$E$4="CA",'2025'!$E$2=AM43),'2025DATA'!$J$19,"")</f>
        <v/>
      </c>
      <c r="AN60" s="518" t="str">
        <f>IF(AND(_A2="B-757",'2025'!$E$4="CA",'2025'!$E$2=AN43),'2025DATA'!$K$19,"")</f>
        <v/>
      </c>
      <c r="AO60" s="518" t="str">
        <f>IF(AND(_A2="B-757",'2025'!$E$4="CA",'2025'!$E$2=AO43),'2025DATA'!$L$19,"")</f>
        <v/>
      </c>
      <c r="AP60" s="518" t="str">
        <f>IF(AND(_A2="B-757",'2025'!$E$4="CA",'2025'!$E$2=AP43),'2025DATA'!$M$19,"")</f>
        <v/>
      </c>
      <c r="AQ60" s="520" t="str">
        <f>IF(AND(_A2="B-757",'2025'!$E$4="CA",'2025'!$E$2=AQ43),'2025DATA'!$N$19,"")</f>
        <v/>
      </c>
      <c r="AR60" s="940" t="s">
        <v>45</v>
      </c>
      <c r="AS60" s="13" t="s">
        <v>61</v>
      </c>
      <c r="AT60" s="518" t="str">
        <f>IF(AND(_A3="B-757",'2025'!$E$4="CA",'2025'!$E$2=AT43),'2025DATA'!$C$19,"")</f>
        <v/>
      </c>
      <c r="AU60" s="518" t="str">
        <f>IF(AND(_A3="B-757",'2025'!$E$4="CA",'2025'!$E$2=AU43),'2025DATA'!$D$19,"")</f>
        <v/>
      </c>
      <c r="AV60" s="518" t="str">
        <f>IF(AND(_A3="B-757",'2025'!$E$4="CA",'2025'!$E$2=AV43),'2025DATA'!$E$19,"")</f>
        <v/>
      </c>
      <c r="AW60" s="518" t="str">
        <f>IF(AND(_A3="B-757",'2025'!$E$4="CA",'2025'!$E$2=AW43),'2025DATA'!$F$19,"")</f>
        <v/>
      </c>
      <c r="AX60" s="518" t="str">
        <f>IF(AND(_A3="B-757",'2025'!$E$4="CA",'2025'!$E$2=AX43),'2025DATA'!$G$19,"")</f>
        <v/>
      </c>
      <c r="AY60" s="518" t="str">
        <f>IF(AND(_A3="B-757",'2025'!$E$4="CA",'2025'!$E$2=AY43),'2025DATA'!$H$19,"")</f>
        <v/>
      </c>
      <c r="AZ60" s="518" t="str">
        <f>IF(AND(_A3="B-757",'2025'!$E$4="CA",'2025'!$E$2=AZ43),'2025DATA'!$I$19,"")</f>
        <v/>
      </c>
      <c r="BA60" s="518" t="str">
        <f>IF(AND(_A3="B-757",'2025'!$E$4="CA",'2025'!$E$2=BA43),'2025DATA'!$J$19,"")</f>
        <v/>
      </c>
      <c r="BB60" s="518" t="str">
        <f>IF(AND(_A3="B-757",'2025'!$E$4="CA",'2025'!$E$2=BB43),'2025DATA'!$K$19,"")</f>
        <v/>
      </c>
      <c r="BC60" s="518" t="str">
        <f>IF(AND(_A3="B-757",'2025'!$E$4="CA",'2025'!$E$2=BC43),'2025DATA'!$L$19,"")</f>
        <v/>
      </c>
      <c r="BD60" s="518" t="str">
        <f>IF(AND(_A3="B-757",'2025'!$E$4="CA",'2025'!$E$2=BD43),'2025DATA'!$M$19,"")</f>
        <v/>
      </c>
      <c r="BE60" s="520" t="str">
        <f>IF(AND(_A3="B-757",'2025'!$E$4="CA",'2025'!$E$2=BE43),'2025DATA'!$N$19,"")</f>
        <v/>
      </c>
      <c r="BF60" s="940" t="s">
        <v>45</v>
      </c>
      <c r="BG60" s="13" t="s">
        <v>61</v>
      </c>
      <c r="BH60" s="518" t="str">
        <f>IF(AND(_A4="B-757",'2025'!$E$4="CA",'2025'!$E$2=BH43),'2025DATA'!$C$19,"")</f>
        <v/>
      </c>
      <c r="BI60" s="518" t="str">
        <f>IF(AND(_A4="B-757",'2025'!$E$4="CA",'2025'!$E$2=BI43),'2025DATA'!$D$19,"")</f>
        <v/>
      </c>
      <c r="BJ60" s="518" t="str">
        <f>IF(AND(_A4="B-757",'2025'!$E$4="CA",'2025'!$E$2=BJ43),'2025DATA'!$E$19,"")</f>
        <v/>
      </c>
      <c r="BK60" s="518" t="str">
        <f>IF(AND(_A4="B-757",'2025'!$E$4="CA",'2025'!$E$2=BK43),'2025DATA'!$F$19,"")</f>
        <v/>
      </c>
      <c r="BL60" s="518" t="str">
        <f>IF(AND(_A4="B-757",'2025'!$E$4="CA",'2025'!$E$2=BL43),'2025DATA'!$G$19,"")</f>
        <v/>
      </c>
      <c r="BM60" s="518" t="str">
        <f>IF(AND(_A4="B-757",'2025'!$E$4="CA",'2025'!$E$2=BM43),'2025DATA'!$H$19,"")</f>
        <v/>
      </c>
      <c r="BN60" s="518" t="str">
        <f>IF(AND(_A4="B-757",'2025'!$E$4="CA",'2025'!$E$2=BN43),'2025DATA'!$I$19,"")</f>
        <v/>
      </c>
      <c r="BO60" s="518" t="str">
        <f>IF(AND(_A4="B-757",'2025'!$E$4="CA",'2025'!$E$2=BO43),'2025DATA'!$J$19,"")</f>
        <v/>
      </c>
      <c r="BP60" s="518" t="str">
        <f>IF(AND(_A4="B-757",'2025'!$E$4="CA",'2025'!$E$2=BP43),'2025DATA'!$K$19,"")</f>
        <v/>
      </c>
      <c r="BQ60" s="518" t="str">
        <f>IF(AND(_A4="B-757",'2025'!$E$4="CA",'2025'!$E$2=BQ43),'2025DATA'!$L$19,"")</f>
        <v/>
      </c>
      <c r="BR60" s="518" t="str">
        <f>IF(AND(_A4="B-757",'2025'!$E$4="CA",'2025'!$E$2=BR43),'2025DATA'!$M$19,"")</f>
        <v/>
      </c>
      <c r="BS60" s="520" t="str">
        <f>IF(AND(_A4="B-757",'2025'!$E$4="CA",'2025'!$E$2=BS43),'2025DATA'!$N$19,"")</f>
        <v/>
      </c>
      <c r="BT60" s="940" t="s">
        <v>45</v>
      </c>
      <c r="BU60" s="13" t="s">
        <v>61</v>
      </c>
      <c r="BV60" s="518" t="str">
        <f>IF(AND(_A5="B-757",'2025'!$E$4="CA",'2025'!$E$2=BV43),'2025DATA'!$C$19,"")</f>
        <v/>
      </c>
      <c r="BW60" s="518" t="str">
        <f>IF(AND(_A5="B-757",'2025'!$E$4="CA",'2025'!$E$2=BW43),'2025DATA'!$D$19,"")</f>
        <v/>
      </c>
      <c r="BX60" s="518" t="str">
        <f>IF(AND(_A5="B-757",'2025'!$E$4="CA",'2025'!$E$2=BX43),'2025DATA'!$E$19,"")</f>
        <v/>
      </c>
      <c r="BY60" s="518" t="str">
        <f>IF(AND(_A5="B-757",'2025'!$E$4="CA",'2025'!$E$2=BY43),'2025DATA'!$F$19,"")</f>
        <v/>
      </c>
      <c r="BZ60" s="518" t="str">
        <f>IF(AND(_A5="B-757",'2025'!$E$4="CA",'2025'!$E$2=BZ43),'2025DATA'!$G$19,"")</f>
        <v/>
      </c>
      <c r="CA60" s="518" t="str">
        <f>IF(AND(_A5="B-757",'2025'!$E$4="CA",'2025'!$E$2=CA43),'2025DATA'!$H$19,"")</f>
        <v/>
      </c>
      <c r="CB60" s="518" t="str">
        <f>IF(AND(_A5="B-757",'2025'!$E$4="CA",'2025'!$E$2=CB43),'2025DATA'!$I$19,"")</f>
        <v/>
      </c>
      <c r="CC60" s="518" t="str">
        <f>IF(AND(_A5="B-757",'2025'!$E$4="CA",'2025'!$E$2=CC43),'2025DATA'!$J$19,"")</f>
        <v/>
      </c>
      <c r="CD60" s="518" t="str">
        <f>IF(AND(_A5="B-757",'2025'!$E$4="CA",'2025'!$E$2=CD43),'2025DATA'!$K$19,"")</f>
        <v/>
      </c>
      <c r="CE60" s="518" t="str">
        <f>IF(AND(_A5="B-757",'2025'!$E$4="CA",'2025'!$E$2=CE43),'2025DATA'!$L$19,"")</f>
        <v/>
      </c>
      <c r="CF60" s="518" t="str">
        <f>IF(AND(_A5="B-757",'2025'!$E$4="CA",'2025'!$E$2=CF43),'2025DATA'!$M$19,"")</f>
        <v/>
      </c>
      <c r="CG60" s="520" t="str">
        <f>IF(AND(_A5="B-757",'2025'!$E$4="CA",'2025'!$E$2=CG43),'2025DATA'!$N$19,"")</f>
        <v/>
      </c>
      <c r="CH60" s="940" t="s">
        <v>45</v>
      </c>
      <c r="CI60" s="13" t="s">
        <v>61</v>
      </c>
      <c r="CJ60" s="518" t="str">
        <f>IF(AND(_A6="B-757",'2025'!$E$4="CA",'2025'!$E$2=CJ43),'2025DATA'!$C$19,"")</f>
        <v/>
      </c>
      <c r="CK60" s="518" t="str">
        <f>IF(AND(_A6="B-757",'2025'!$E$4="CA",'2025'!$E$2=CK43),'2025DATA'!$D$19,"")</f>
        <v/>
      </c>
      <c r="CL60" s="518" t="str">
        <f>IF(AND(_A6="B-757",'2025'!$E$4="CA",'2025'!$E$2=CL43),'2025DATA'!$E$19,"")</f>
        <v/>
      </c>
      <c r="CM60" s="518" t="str">
        <f>IF(AND(_A6="B-757",'2025'!$E$4="CA",'2025'!$E$2=CM43),'2025DATA'!$F$19,"")</f>
        <v/>
      </c>
      <c r="CN60" s="518" t="str">
        <f>IF(AND(_A6="B-757",'2025'!$E$4="CA",'2025'!$E$2=CN43),'2025DATA'!$G$19,"")</f>
        <v/>
      </c>
      <c r="CO60" s="518" t="str">
        <f>IF(AND(_A6="B-757",'2025'!$E$4="CA",'2025'!$E$2=CO43),'2025DATA'!$H$19,"")</f>
        <v/>
      </c>
      <c r="CP60" s="518" t="str">
        <f>IF(AND(_A6="B-757",'2025'!$E$4="CA",'2025'!$E$2=CP43),'2025DATA'!$I$19,"")</f>
        <v/>
      </c>
      <c r="CQ60" s="518" t="str">
        <f>IF(AND(_A6="B-757",'2025'!$E$4="CA",'2025'!$E$2=CQ43),'2025DATA'!$J$19,"")</f>
        <v/>
      </c>
      <c r="CR60" s="518" t="str">
        <f>IF(AND(_A6="B-757",'2025'!$E$4="CA",'2025'!$E$2=CR43),'2025DATA'!$K$19,"")</f>
        <v/>
      </c>
      <c r="CS60" s="518" t="str">
        <f>IF(AND(_A6="B-757",'2025'!$E$4="CA",'2025'!$E$2=CS43),'2025DATA'!$L$19,"")</f>
        <v/>
      </c>
      <c r="CT60" s="518" t="str">
        <f>IF(AND(_A6="B-757",'2025'!$E$4="CA",'2025'!$E$2=CT43),'2025DATA'!$M$19,"")</f>
        <v/>
      </c>
      <c r="CU60" s="520" t="str">
        <f>IF(AND(_A6="B-757",'2025'!$E$4="CA",'2025'!$E$2=CU43),'2025DATA'!$N$19,"")</f>
        <v/>
      </c>
    </row>
    <row r="61" spans="16:99" x14ac:dyDescent="0.25">
      <c r="P61" s="940"/>
      <c r="Q61" s="13" t="s">
        <v>62</v>
      </c>
      <c r="R61" s="518" t="str">
        <f>IF(AND(_A1="B-757",'2025'!$E$4="FO",'2025'!$E$2=R43),'2025DATA'!$C$20,"")</f>
        <v/>
      </c>
      <c r="S61" s="518" t="str">
        <f>IF(AND(_A1="B-757",'2025'!$E$4="FO",'2025'!$E$2=S43),'2025DATA'!$D$20,"")</f>
        <v/>
      </c>
      <c r="T61" s="518" t="str">
        <f>IF(AND(_A1="B-757",'2025'!$E$4="FO",'2025'!$E$2=T43),'2025DATA'!$E$20,"")</f>
        <v/>
      </c>
      <c r="U61" s="518" t="str">
        <f>IF(AND(_A1="B-757",'2025'!$E$4="FO",'2025'!$E$2=U43),'2025DATA'!$F$20,"")</f>
        <v/>
      </c>
      <c r="V61" s="518" t="str">
        <f>IF(AND(_A1="B-757",'2025'!$E$4="FO",'2025'!$E$2=V43),'2025DATA'!$G$20,"")</f>
        <v/>
      </c>
      <c r="W61" s="518" t="str">
        <f>IF(AND(_A1="B-757",'2025'!$E$4="FO",'2025'!$E$2=W43),'2025DATA'!$H$20,"")</f>
        <v/>
      </c>
      <c r="X61" s="518" t="str">
        <f>IF(AND(_A1="B-757",'2025'!$E$4="FO",'2025'!$E$2=X43),'2025DATA'!$I$20,"")</f>
        <v/>
      </c>
      <c r="Y61" s="518" t="str">
        <f>IF(AND(_A1="B-757",'2025'!$E$4="FO",'2025'!$E$2=Y43),'2025DATA'!$J$20,"")</f>
        <v/>
      </c>
      <c r="Z61" s="518" t="str">
        <f>IF(AND(_A1="B-757",'2025'!$E$4="FO",'2025'!$E$2=Z43),'2025DATA'!$K$20,"")</f>
        <v/>
      </c>
      <c r="AA61" s="518" t="str">
        <f>IF(AND(_A1="B-757",'2025'!$E$4="FO",'2025'!$E$2=AA43),'2025DATA'!$L$20,"")</f>
        <v/>
      </c>
      <c r="AB61" s="518" t="str">
        <f>IF(AND(_A1="B-757",'2025'!$E$4="FO",'2025'!$E$2=AB43),'2025DATA'!$M$20,"")</f>
        <v/>
      </c>
      <c r="AC61" s="520" t="str">
        <f>IF(AND(_A1="B-757",'2025'!$E$4="FO",'2025'!$E$2=AC43),'2025DATA'!$N$20,"")</f>
        <v/>
      </c>
      <c r="AD61" s="940"/>
      <c r="AE61" s="13" t="s">
        <v>62</v>
      </c>
      <c r="AF61" s="518" t="str">
        <f>IF(AND(_A2="B-757",'2025'!$E$4="FO",'2025'!$E$2=AF43),'2025DATA'!$C$20,"")</f>
        <v/>
      </c>
      <c r="AG61" s="518" t="str">
        <f>IF(AND(_A2="B-757",'2025'!$E$4="FO",'2025'!$E$2=AG43),'2025DATA'!$D$20,"")</f>
        <v/>
      </c>
      <c r="AH61" s="518" t="str">
        <f>IF(AND(_A2="B-757",'2025'!$E$4="FO",'2025'!$E$2=AH43),'2025DATA'!$E$20,"")</f>
        <v/>
      </c>
      <c r="AI61" s="518" t="str">
        <f>IF(AND(_A2="B-757",'2025'!$E$4="FO",'2025'!$E$2=AI43),'2025DATA'!$F$20,"")</f>
        <v/>
      </c>
      <c r="AJ61" s="518" t="str">
        <f>IF(AND(_A2="B-757",'2025'!$E$4="FO",'2025'!$E$2=AJ43),'2025DATA'!$G$20,"")</f>
        <v/>
      </c>
      <c r="AK61" s="518" t="str">
        <f>IF(AND(_A2="B-757",'2025'!$E$4="FO",'2025'!$E$2=AK43),'2025DATA'!$H$20,"")</f>
        <v/>
      </c>
      <c r="AL61" s="518" t="str">
        <f>IF(AND(_A2="B-757",'2025'!$E$4="FO",'2025'!$E$2=AL43),'2025DATA'!$I$20,"")</f>
        <v/>
      </c>
      <c r="AM61" s="518" t="str">
        <f>IF(AND(_A2="B-757",'2025'!$E$4="FO",'2025'!$E$2=AM43),'2025DATA'!$J$20,"")</f>
        <v/>
      </c>
      <c r="AN61" s="518" t="str">
        <f>IF(AND(_A2="B-757",'2025'!$E$4="FO",'2025'!$E$2=AN43),'2025DATA'!$K$20,"")</f>
        <v/>
      </c>
      <c r="AO61" s="518" t="str">
        <f>IF(AND(_A2="B-757",'2025'!$E$4="FO",'2025'!$E$2=AO43),'2025DATA'!$L$20,"")</f>
        <v/>
      </c>
      <c r="AP61" s="518" t="str">
        <f>IF(AND(_A2="B-757",'2025'!$E$4="FO",'2025'!$E$2=AP43),'2025DATA'!$M$20,"")</f>
        <v/>
      </c>
      <c r="AQ61" s="520" t="str">
        <f>IF(AND(_A2="B-757",'2025'!$E$4="FO",'2025'!$E$2=AQ43),'2025DATA'!$N$20,"")</f>
        <v/>
      </c>
      <c r="AR61" s="940"/>
      <c r="AS61" s="13" t="s">
        <v>62</v>
      </c>
      <c r="AT61" s="518" t="str">
        <f>IF(AND(_A3="B-757",'2025'!$E$4="FO",'2025'!$E$2=AT43),'2025DATA'!$C$20,"")</f>
        <v/>
      </c>
      <c r="AU61" s="518" t="str">
        <f>IF(AND(_A3="B-757",'2025'!$E$4="FO",'2025'!$E$2=AU43),'2025DATA'!$D$20,"")</f>
        <v/>
      </c>
      <c r="AV61" s="518" t="str">
        <f>IF(AND(_A3="B-757",'2025'!$E$4="FO",'2025'!$E$2=AV43),'2025DATA'!$E$20,"")</f>
        <v/>
      </c>
      <c r="AW61" s="518" t="str">
        <f>IF(AND(_A3="B-757",'2025'!$E$4="FO",'2025'!$E$2=AW43),'2025DATA'!$F$20,"")</f>
        <v/>
      </c>
      <c r="AX61" s="518" t="str">
        <f>IF(AND(_A3="B-757",'2025'!$E$4="FO",'2025'!$E$2=AX43),'2025DATA'!$G$20,"")</f>
        <v/>
      </c>
      <c r="AY61" s="518" t="str">
        <f>IF(AND(_A3="B-757",'2025'!$E$4="FO",'2025'!$E$2=AY43),'2025DATA'!$H$20,"")</f>
        <v/>
      </c>
      <c r="AZ61" s="518" t="str">
        <f>IF(AND(_A3="B-757",'2025'!$E$4="FO",'2025'!$E$2=AZ43),'2025DATA'!$I$20,"")</f>
        <v/>
      </c>
      <c r="BA61" s="518" t="str">
        <f>IF(AND(_A3="B-757",'2025'!$E$4="FO",'2025'!$E$2=BA43),'2025DATA'!$J$20,"")</f>
        <v/>
      </c>
      <c r="BB61" s="518" t="str">
        <f>IF(AND(_A3="B-757",'2025'!$E$4="FO",'2025'!$E$2=BB43),'2025DATA'!$K$20,"")</f>
        <v/>
      </c>
      <c r="BC61" s="518" t="str">
        <f>IF(AND(_A3="B-757",'2025'!$E$4="FO",'2025'!$E$2=BC43),'2025DATA'!$L$20,"")</f>
        <v/>
      </c>
      <c r="BD61" s="518" t="str">
        <f>IF(AND(_A3="B-757",'2025'!$E$4="FO",'2025'!$E$2=BD43),'2025DATA'!$M$20,"")</f>
        <v/>
      </c>
      <c r="BE61" s="520" t="str">
        <f>IF(AND(_A3="B-757",'2025'!$E$4="FO",'2025'!$E$2=BE43),'2025DATA'!$N$20,"")</f>
        <v/>
      </c>
      <c r="BF61" s="940"/>
      <c r="BG61" s="13" t="s">
        <v>62</v>
      </c>
      <c r="BH61" s="518" t="str">
        <f>IF(AND(_A4="B-757",'2025'!$E$4="FO",'2025'!$E$2=BH43),'2025DATA'!$C$20,"")</f>
        <v/>
      </c>
      <c r="BI61" s="518" t="str">
        <f>IF(AND(_A4="B-757",'2025'!$E$4="FO",'2025'!$E$2=BI43),'2025DATA'!$D$20,"")</f>
        <v/>
      </c>
      <c r="BJ61" s="518" t="str">
        <f>IF(AND(_A4="B-757",'2025'!$E$4="FO",'2025'!$E$2=BJ43),'2025DATA'!$E$20,"")</f>
        <v/>
      </c>
      <c r="BK61" s="518" t="str">
        <f>IF(AND(_A4="B-757",'2025'!$E$4="FO",'2025'!$E$2=BK43),'2025DATA'!$F$20,"")</f>
        <v/>
      </c>
      <c r="BL61" s="518" t="str">
        <f>IF(AND(_A4="B-757",'2025'!$E$4="FO",'2025'!$E$2=BL43),'2025DATA'!$G$20,"")</f>
        <v/>
      </c>
      <c r="BM61" s="518" t="str">
        <f>IF(AND(_A4="B-757",'2025'!$E$4="FO",'2025'!$E$2=BM43),'2025DATA'!$H$20,"")</f>
        <v/>
      </c>
      <c r="BN61" s="518" t="str">
        <f>IF(AND(_A4="B-757",'2025'!$E$4="FO",'2025'!$E$2=BN43),'2025DATA'!$I$20,"")</f>
        <v/>
      </c>
      <c r="BO61" s="518" t="str">
        <f>IF(AND(_A4="B-757",'2025'!$E$4="FO",'2025'!$E$2=BO43),'2025DATA'!$J$20,"")</f>
        <v/>
      </c>
      <c r="BP61" s="518" t="str">
        <f>IF(AND(_A4="B-757",'2025'!$E$4="FO",'2025'!$E$2=BP43),'2025DATA'!$K$20,"")</f>
        <v/>
      </c>
      <c r="BQ61" s="518" t="str">
        <f>IF(AND(_A4="B-757",'2025'!$E$4="FO",'2025'!$E$2=BQ43),'2025DATA'!$L$20,"")</f>
        <v/>
      </c>
      <c r="BR61" s="518" t="str">
        <f>IF(AND(_A4="B-757",'2025'!$E$4="FO",'2025'!$E$2=BR43),'2025DATA'!$M$20,"")</f>
        <v/>
      </c>
      <c r="BS61" s="520" t="str">
        <f>IF(AND(_A4="B-757",'2025'!$E$4="FO",'2025'!$E$2=BS43),'2025DATA'!$N$20,"")</f>
        <v/>
      </c>
      <c r="BT61" s="940"/>
      <c r="BU61" s="13" t="s">
        <v>62</v>
      </c>
      <c r="BV61" s="518" t="str">
        <f>IF(AND(_A5="B-757",'2025'!$E$4="FO",'2025'!$E$2=BV43),'2025DATA'!$C$20,"")</f>
        <v/>
      </c>
      <c r="BW61" s="518" t="str">
        <f>IF(AND(_A5="B-757",'2025'!$E$4="FO",'2025'!$E$2=BW43),'2025DATA'!$D$20,"")</f>
        <v/>
      </c>
      <c r="BX61" s="518" t="str">
        <f>IF(AND(_A5="B-757",'2025'!$E$4="FO",'2025'!$E$2=BX43),'2025DATA'!$E$20,"")</f>
        <v/>
      </c>
      <c r="BY61" s="518" t="str">
        <f>IF(AND(_A5="B-757",'2025'!$E$4="FO",'2025'!$E$2=BY43),'2025DATA'!$F$20,"")</f>
        <v/>
      </c>
      <c r="BZ61" s="518" t="str">
        <f>IF(AND(_A5="B-757",'2025'!$E$4="FO",'2025'!$E$2=BZ43),'2025DATA'!$G$20,"")</f>
        <v/>
      </c>
      <c r="CA61" s="518" t="str">
        <f>IF(AND(_A5="B-757",'2025'!$E$4="FO",'2025'!$E$2=CA43),'2025DATA'!$H$20,"")</f>
        <v/>
      </c>
      <c r="CB61" s="518" t="str">
        <f>IF(AND(_A5="B-757",'2025'!$E$4="FO",'2025'!$E$2=CB43),'2025DATA'!$I$20,"")</f>
        <v/>
      </c>
      <c r="CC61" s="518" t="str">
        <f>IF(AND(_A5="B-757",'2025'!$E$4="FO",'2025'!$E$2=CC43),'2025DATA'!$J$20,"")</f>
        <v/>
      </c>
      <c r="CD61" s="518" t="str">
        <f>IF(AND(_A5="B-757",'2025'!$E$4="FO",'2025'!$E$2=CD43),'2025DATA'!$K$20,"")</f>
        <v/>
      </c>
      <c r="CE61" s="518" t="str">
        <f>IF(AND(_A5="B-757",'2025'!$E$4="FO",'2025'!$E$2=CE43),'2025DATA'!$L$20,"")</f>
        <v/>
      </c>
      <c r="CF61" s="518" t="str">
        <f>IF(AND(_A5="B-757",'2025'!$E$4="FO",'2025'!$E$2=CF43),'2025DATA'!$M$20,"")</f>
        <v/>
      </c>
      <c r="CG61" s="520" t="str">
        <f>IF(AND(_A5="B-757",'2025'!$E$4="FO",'2025'!$E$2=CG43),'2025DATA'!$N$20,"")</f>
        <v/>
      </c>
      <c r="CH61" s="940"/>
      <c r="CI61" s="13" t="s">
        <v>62</v>
      </c>
      <c r="CJ61" s="518" t="str">
        <f>IF(AND(_A6="B-757",'2025'!$E$4="FO",'2025'!$E$2=CJ43),'2025DATA'!$C$20,"")</f>
        <v/>
      </c>
      <c r="CK61" s="518" t="str">
        <f>IF(AND(_A6="B-757",'2025'!$E$4="FO",'2025'!$E$2=CK43),'2025DATA'!$D$20,"")</f>
        <v/>
      </c>
      <c r="CL61" s="518" t="str">
        <f>IF(AND(_A6="B-757",'2025'!$E$4="FO",'2025'!$E$2=CL43),'2025DATA'!$E$20,"")</f>
        <v/>
      </c>
      <c r="CM61" s="518" t="str">
        <f>IF(AND(_A6="B-757",'2025'!$E$4="FO",'2025'!$E$2=CM43),'2025DATA'!$F$20,"")</f>
        <v/>
      </c>
      <c r="CN61" s="518" t="str">
        <f>IF(AND(_A6="B-757",'2025'!$E$4="FO",'2025'!$E$2=CN43),'2025DATA'!$G$20,"")</f>
        <v/>
      </c>
      <c r="CO61" s="518" t="str">
        <f>IF(AND(_A6="B-757",'2025'!$E$4="FO",'2025'!$E$2=CO43),'2025DATA'!$H$20,"")</f>
        <v/>
      </c>
      <c r="CP61" s="518" t="str">
        <f>IF(AND(_A6="B-757",'2025'!$E$4="FO",'2025'!$E$2=CP43),'2025DATA'!$I$20,"")</f>
        <v/>
      </c>
      <c r="CQ61" s="518" t="str">
        <f>IF(AND(_A6="B-757",'2025'!$E$4="FO",'2025'!$E$2=CQ43),'2025DATA'!$J$20,"")</f>
        <v/>
      </c>
      <c r="CR61" s="518" t="str">
        <f>IF(AND(_A6="B-757",'2025'!$E$4="FO",'2025'!$E$2=CR43),'2025DATA'!$K$20,"")</f>
        <v/>
      </c>
      <c r="CS61" s="518" t="str">
        <f>IF(AND(_A6="B-757",'2025'!$E$4="FO",'2025'!$E$2=CS43),'2025DATA'!$L$20,"")</f>
        <v/>
      </c>
      <c r="CT61" s="518" t="str">
        <f>IF(AND(_A6="B-757",'2025'!$E$4="FO",'2025'!$E$2=CT43),'2025DATA'!$M$20,"")</f>
        <v/>
      </c>
      <c r="CU61" s="520" t="str">
        <f>IF(AND(_A6="B-757",'2025'!$E$4="FO",'2025'!$E$2=CU43),'2025DATA'!$N$20,"")</f>
        <v/>
      </c>
    </row>
    <row r="62" spans="16:99" x14ac:dyDescent="0.25">
      <c r="P62" s="940" t="s">
        <v>47</v>
      </c>
      <c r="Q62" s="13" t="s">
        <v>61</v>
      </c>
      <c r="R62" s="518" t="str">
        <f>IF(AND(_A1="B-737-900",'2025'!$E$4="CA",'2025'!$E$2=R43),'2025DATA'!$C$21,"")</f>
        <v/>
      </c>
      <c r="S62" s="518" t="str">
        <f>IF(AND(_A1="B-737-900",'2025'!$E$4="CA",'2025'!$E$2=S43),'2025DATA'!$D$21,"")</f>
        <v/>
      </c>
      <c r="T62" s="518" t="str">
        <f>IF(AND(_A1="B-737-900",'2025'!$E$4="CA",'2025'!$E$2=T43),'2025DATA'!$E$21,"")</f>
        <v/>
      </c>
      <c r="U62" s="518" t="str">
        <f>IF(AND(_A1="B-737-900",'2025'!$E$4="CA",'2025'!$E$2=U43),'2025DATA'!$F$21,"")</f>
        <v/>
      </c>
      <c r="V62" s="518" t="str">
        <f>IF(AND(_A1="B-737-900",'2025'!$E$4="CA",'2025'!$E$2=V43),'2025DATA'!$G$21,"")</f>
        <v/>
      </c>
      <c r="W62" s="518" t="str">
        <f>IF(AND(_A1="B-737-900",'2025'!$E$4="CA",'2025'!$E$2=W43),'2025DATA'!$H$21,"")</f>
        <v/>
      </c>
      <c r="X62" s="518" t="str">
        <f>IF(AND(_A1="B-737-900",'2025'!$E$4="CA",'2025'!$E$2=X43),'2025DATA'!$I$21,"")</f>
        <v/>
      </c>
      <c r="Y62" s="518" t="str">
        <f>IF(AND(_A1="B-737-900",'2025'!$E$4="CA",'2025'!$E$2=Y43),'2025DATA'!$J$21,"")</f>
        <v/>
      </c>
      <c r="Z62" s="518" t="str">
        <f>IF(AND(_A1="B-737-900",'2025'!$E$4="CA",'2025'!$E$2=Z43),'2025DATA'!$K$21,"")</f>
        <v/>
      </c>
      <c r="AA62" s="518" t="str">
        <f>IF(AND(_A1="B-737-900",'2025'!$E$4="CA",'2025'!$E$2=AA43),'2025DATA'!$L$21,"")</f>
        <v/>
      </c>
      <c r="AB62" s="518" t="str">
        <f>IF(AND(_A1="B-737-900",'2025'!$E$4="CA",'2025'!$E$2=AB43),'2025DATA'!$M$21,"")</f>
        <v/>
      </c>
      <c r="AC62" s="520" t="str">
        <f>IF(AND(_A1="B-737-900",'2025'!$E$4="CA",'2025'!$E$2=AC43),'2025DATA'!$N$21,"")</f>
        <v/>
      </c>
      <c r="AD62" s="940" t="s">
        <v>47</v>
      </c>
      <c r="AE62" s="13" t="s">
        <v>61</v>
      </c>
      <c r="AF62" s="518" t="str">
        <f>IF(AND(_A2="B-737-900",'2025'!$E$4="CA",'2025'!$E$2=AF43),'2025DATA'!$C$21,"")</f>
        <v/>
      </c>
      <c r="AG62" s="518" t="str">
        <f>IF(AND(_A2="B-737-900",'2025'!$E$4="CA",'2025'!$E$2=AG43),'2025DATA'!$D$21,"")</f>
        <v/>
      </c>
      <c r="AH62" s="518" t="str">
        <f>IF(AND(_A2="B-737-900",'2025'!$E$4="CA",'2025'!$E$2=AH43),'2025DATA'!$E$21,"")</f>
        <v/>
      </c>
      <c r="AI62" s="518" t="str">
        <f>IF(AND(_A2="B-737-900",'2025'!$E$4="CA",'2025'!$E$2=AI43),'2025DATA'!$F$21,"")</f>
        <v/>
      </c>
      <c r="AJ62" s="518" t="str">
        <f>IF(AND(_A2="B-737-900",'2025'!$E$4="CA",'2025'!$E$2=AJ43),'2025DATA'!$G$21,"")</f>
        <v/>
      </c>
      <c r="AK62" s="518" t="str">
        <f>IF(AND(_A2="B-737-900",'2025'!$E$4="CA",'2025'!$E$2=AK43),'2025DATA'!$H$21,"")</f>
        <v/>
      </c>
      <c r="AL62" s="518" t="str">
        <f>IF(AND(_A2="B-737-900",'2025'!$E$4="CA",'2025'!$E$2=AL43),'2025DATA'!$I$21,"")</f>
        <v/>
      </c>
      <c r="AM62" s="518" t="str">
        <f>IF(AND(_A2="B-737-900",'2025'!$E$4="CA",'2025'!$E$2=AM43),'2025DATA'!$J$21,"")</f>
        <v/>
      </c>
      <c r="AN62" s="518" t="str">
        <f>IF(AND(_A2="B-737-900",'2025'!$E$4="CA",'2025'!$E$2=AN43),'2025DATA'!$K$21,"")</f>
        <v/>
      </c>
      <c r="AO62" s="518" t="str">
        <f>IF(AND(_A2="B-737-900",'2025'!$E$4="CA",'2025'!$E$2=AO43),'2025DATA'!$L$21,"")</f>
        <v/>
      </c>
      <c r="AP62" s="518" t="str">
        <f>IF(AND(_A2="B-737-900",'2025'!$E$4="CA",'2025'!$E$2=AP43),'2025DATA'!$M$21,"")</f>
        <v/>
      </c>
      <c r="AQ62" s="520" t="str">
        <f>IF(AND(_A2="B-737-900",'2025'!$E$4="CA",'2025'!$E$2=AQ43),'2025DATA'!$N$21,"")</f>
        <v/>
      </c>
      <c r="AR62" s="940" t="s">
        <v>47</v>
      </c>
      <c r="AS62" s="13" t="s">
        <v>61</v>
      </c>
      <c r="AT62" s="518" t="str">
        <f>IF(AND(_A3="B-737-900",'2025'!$E$4="CA",'2025'!$E$2=AT43),'2025DATA'!$C$21,"")</f>
        <v/>
      </c>
      <c r="AU62" s="518" t="str">
        <f>IF(AND(_A3="B-737-900",'2025'!$E$4="CA",'2025'!$E$2=AU43),'2025DATA'!$D$21,"")</f>
        <v/>
      </c>
      <c r="AV62" s="518" t="str">
        <f>IF(AND(_A3="B-737-900",'2025'!$E$4="CA",'2025'!$E$2=AV43),'2025DATA'!$E$21,"")</f>
        <v/>
      </c>
      <c r="AW62" s="518" t="str">
        <f>IF(AND(_A3="B-737-900",'2025'!$E$4="CA",'2025'!$E$2=AW43),'2025DATA'!$F$21,"")</f>
        <v/>
      </c>
      <c r="AX62" s="518" t="str">
        <f>IF(AND(_A3="B-737-900",'2025'!$E$4="CA",'2025'!$E$2=AX43),'2025DATA'!$G$21,"")</f>
        <v/>
      </c>
      <c r="AY62" s="518" t="str">
        <f>IF(AND(_A3="B-737-900",'2025'!$E$4="CA",'2025'!$E$2=AY43),'2025DATA'!$H$21,"")</f>
        <v/>
      </c>
      <c r="AZ62" s="518" t="str">
        <f>IF(AND(_A3="B-737-900",'2025'!$E$4="CA",'2025'!$E$2=AZ43),'2025DATA'!$I$21,"")</f>
        <v/>
      </c>
      <c r="BA62" s="518" t="str">
        <f>IF(AND(_A3="B-737-900",'2025'!$E$4="CA",'2025'!$E$2=BA43),'2025DATA'!$J$21,"")</f>
        <v/>
      </c>
      <c r="BB62" s="518" t="str">
        <f>IF(AND(_A3="B-737-900",'2025'!$E$4="CA",'2025'!$E$2=BB43),'2025DATA'!$K$21,"")</f>
        <v/>
      </c>
      <c r="BC62" s="518" t="str">
        <f>IF(AND(_A3="B-737-900",'2025'!$E$4="CA",'2025'!$E$2=BC43),'2025DATA'!$L$21,"")</f>
        <v/>
      </c>
      <c r="BD62" s="518" t="str">
        <f>IF(AND(_A3="B-737-900",'2025'!$E$4="CA",'2025'!$E$2=BD43),'2025DATA'!$M$21,"")</f>
        <v/>
      </c>
      <c r="BE62" s="520" t="str">
        <f>IF(AND(_A3="B-737-900",'2025'!$E$4="CA",'2025'!$E$2=BE43),'2025DATA'!$N$21,"")</f>
        <v/>
      </c>
      <c r="BF62" s="940" t="s">
        <v>47</v>
      </c>
      <c r="BG62" s="13" t="s">
        <v>61</v>
      </c>
      <c r="BH62" s="518" t="str">
        <f>IF(AND(_A4="B-737-900",'2025'!$E$4="CA",'2025'!$E$2=BH43),'2025DATA'!$C$21,"")</f>
        <v/>
      </c>
      <c r="BI62" s="518" t="str">
        <f>IF(AND(_A4="B-737-900",'2025'!$E$4="CA",'2025'!$E$2=BI43),'2025DATA'!$D$21,"")</f>
        <v/>
      </c>
      <c r="BJ62" s="518" t="str">
        <f>IF(AND(_A4="B-737-900",'2025'!$E$4="CA",'2025'!$E$2=BJ43),'2025DATA'!$E$21,"")</f>
        <v/>
      </c>
      <c r="BK62" s="518" t="str">
        <f>IF(AND(_A4="B-737-900",'2025'!$E$4="CA",'2025'!$E$2=BK43),'2025DATA'!$F$21,"")</f>
        <v/>
      </c>
      <c r="BL62" s="518" t="str">
        <f>IF(AND(_A4="B-737-900",'2025'!$E$4="CA",'2025'!$E$2=BL43),'2025DATA'!$G$21,"")</f>
        <v/>
      </c>
      <c r="BM62" s="518" t="str">
        <f>IF(AND(_A4="B-737-900",'2025'!$E$4="CA",'2025'!$E$2=BM43),'2025DATA'!$H$21,"")</f>
        <v/>
      </c>
      <c r="BN62" s="518" t="str">
        <f>IF(AND(_A4="B-737-900",'2025'!$E$4="CA",'2025'!$E$2=BN43),'2025DATA'!$I$21,"")</f>
        <v/>
      </c>
      <c r="BO62" s="518" t="str">
        <f>IF(AND(_A4="B-737-900",'2025'!$E$4="CA",'2025'!$E$2=BO43),'2025DATA'!$J$21,"")</f>
        <v/>
      </c>
      <c r="BP62" s="518" t="str">
        <f>IF(AND(_A4="B-737-900",'2025'!$E$4="CA",'2025'!$E$2=BP43),'2025DATA'!$K$21,"")</f>
        <v/>
      </c>
      <c r="BQ62" s="518" t="str">
        <f>IF(AND(_A4="B-737-900",'2025'!$E$4="CA",'2025'!$E$2=BQ43),'2025DATA'!$L$21,"")</f>
        <v/>
      </c>
      <c r="BR62" s="518" t="str">
        <f>IF(AND(_A4="B-737-900",'2025'!$E$4="CA",'2025'!$E$2=BR43),'2025DATA'!$M$21,"")</f>
        <v/>
      </c>
      <c r="BS62" s="520" t="str">
        <f>IF(AND(_A4="B-737-900",'2025'!$E$4="CA",'2025'!$E$2=BS43),'2025DATA'!$N$21,"")</f>
        <v/>
      </c>
      <c r="BT62" s="940" t="s">
        <v>47</v>
      </c>
      <c r="BU62" s="13" t="s">
        <v>61</v>
      </c>
      <c r="BV62" s="518" t="str">
        <f>IF(AND(_A5="B-737-900",'2025'!$E$4="CA",'2025'!$E$2=BV43),'2025DATA'!$C$21,"")</f>
        <v/>
      </c>
      <c r="BW62" s="518" t="str">
        <f>IF(AND(_A5="B-737-900",'2025'!$E$4="CA",'2025'!$E$2=BW43),'2025DATA'!$D$21,"")</f>
        <v/>
      </c>
      <c r="BX62" s="518" t="str">
        <f>IF(AND(_A5="B-737-900",'2025'!$E$4="CA",'2025'!$E$2=BX43),'2025DATA'!$E$21,"")</f>
        <v/>
      </c>
      <c r="BY62" s="518" t="str">
        <f>IF(AND(_A5="B-737-900",'2025'!$E$4="CA",'2025'!$E$2=BY43),'2025DATA'!$F$21,"")</f>
        <v/>
      </c>
      <c r="BZ62" s="518" t="str">
        <f>IF(AND(_A5="B-737-900",'2025'!$E$4="CA",'2025'!$E$2=BZ43),'2025DATA'!$G$21,"")</f>
        <v/>
      </c>
      <c r="CA62" s="518" t="str">
        <f>IF(AND(_A5="B-737-900",'2025'!$E$4="CA",'2025'!$E$2=CA43),'2025DATA'!$H$21,"")</f>
        <v/>
      </c>
      <c r="CB62" s="518" t="str">
        <f>IF(AND(_A5="B-737-900",'2025'!$E$4="CA",'2025'!$E$2=CB43),'2025DATA'!$I$21,"")</f>
        <v/>
      </c>
      <c r="CC62" s="518" t="str">
        <f>IF(AND(_A5="B-737-900",'2025'!$E$4="CA",'2025'!$E$2=CC43),'2025DATA'!$J$21,"")</f>
        <v/>
      </c>
      <c r="CD62" s="518" t="str">
        <f>IF(AND(_A5="B-737-900",'2025'!$E$4="CA",'2025'!$E$2=CD43),'2025DATA'!$K$21,"")</f>
        <v/>
      </c>
      <c r="CE62" s="518" t="str">
        <f>IF(AND(_A5="B-737-900",'2025'!$E$4="CA",'2025'!$E$2=CE43),'2025DATA'!$L$21,"")</f>
        <v/>
      </c>
      <c r="CF62" s="518" t="str">
        <f>IF(AND(_A5="B-737-900",'2025'!$E$4="CA",'2025'!$E$2=CF43),'2025DATA'!$M$21,"")</f>
        <v/>
      </c>
      <c r="CG62" s="520" t="str">
        <f>IF(AND(_A5="B-737-900",'2025'!$E$4="CA",'2025'!$E$2=CG43),'2025DATA'!$N$21,"")</f>
        <v/>
      </c>
      <c r="CH62" s="940" t="s">
        <v>47</v>
      </c>
      <c r="CI62" s="13" t="s">
        <v>61</v>
      </c>
      <c r="CJ62" s="518" t="str">
        <f>IF(AND(_A6="B-737-900",'2025'!$E$4="CA",'2025'!$E$2=CJ43),'2025DATA'!$C$21,"")</f>
        <v/>
      </c>
      <c r="CK62" s="518" t="str">
        <f>IF(AND(_A6="B-737-900",'2025'!$E$4="CA",'2025'!$E$2=CK43),'2025DATA'!$D$21,"")</f>
        <v/>
      </c>
      <c r="CL62" s="518" t="str">
        <f>IF(AND(_A6="B-737-900",'2025'!$E$4="CA",'2025'!$E$2=CL43),'2025DATA'!$E$21,"")</f>
        <v/>
      </c>
      <c r="CM62" s="518" t="str">
        <f>IF(AND(_A6="B-737-900",'2025'!$E$4="CA",'2025'!$E$2=CM43),'2025DATA'!$F$21,"")</f>
        <v/>
      </c>
      <c r="CN62" s="518" t="str">
        <f>IF(AND(_A6="B-737-900",'2025'!$E$4="CA",'2025'!$E$2=CN43),'2025DATA'!$G$21,"")</f>
        <v/>
      </c>
      <c r="CO62" s="518" t="str">
        <f>IF(AND(_A6="B-737-900",'2025'!$E$4="CA",'2025'!$E$2=CO43),'2025DATA'!$H$21,"")</f>
        <v/>
      </c>
      <c r="CP62" s="518" t="str">
        <f>IF(AND(_A6="B-737-900",'2025'!$E$4="CA",'2025'!$E$2=CP43),'2025DATA'!$I$21,"")</f>
        <v/>
      </c>
      <c r="CQ62" s="518" t="str">
        <f>IF(AND(_A6="B-737-900",'2025'!$E$4="CA",'2025'!$E$2=CQ43),'2025DATA'!$J$21,"")</f>
        <v/>
      </c>
      <c r="CR62" s="518" t="str">
        <f>IF(AND(_A6="B-737-900",'2025'!$E$4="CA",'2025'!$E$2=CR43),'2025DATA'!$K$21,"")</f>
        <v/>
      </c>
      <c r="CS62" s="518" t="str">
        <f>IF(AND(_A6="B-737-900",'2025'!$E$4="CA",'2025'!$E$2=CS43),'2025DATA'!$L$21,"")</f>
        <v/>
      </c>
      <c r="CT62" s="518" t="str">
        <f>IF(AND(_A6="B-737-900",'2025'!$E$4="CA",'2025'!$E$2=CT43),'2025DATA'!$M$21,"")</f>
        <v/>
      </c>
      <c r="CU62" s="520" t="str">
        <f>IF(AND(_A6="B-737-900",'2025'!$E$4="CA",'2025'!$E$2=CU43),'2025DATA'!$N$21,"")</f>
        <v/>
      </c>
    </row>
    <row r="63" spans="16:99" x14ac:dyDescent="0.25">
      <c r="P63" s="940"/>
      <c r="Q63" s="13" t="s">
        <v>62</v>
      </c>
      <c r="R63" s="518" t="str">
        <f>IF(AND(_A1="B-737-900",'2025'!$E$4="FO",'2025'!$E$2=R43),'2025DATA'!$C$22,"")</f>
        <v/>
      </c>
      <c r="S63" s="518" t="str">
        <f>IF(AND(_A1="B-737-900",'2025'!$E$4="FO",'2025'!$E$2=S43),'2025DATA'!$D$22,"")</f>
        <v/>
      </c>
      <c r="T63" s="518" t="str">
        <f>IF(AND(_A1="B-737-900",'2025'!$E$4="FO",'2025'!$E$2=T43),'2025DATA'!$E$22,"")</f>
        <v/>
      </c>
      <c r="U63" s="518" t="str">
        <f>IF(AND(_A1="B-737-900",'2025'!$E$4="FO",'2025'!$E$2=U43),'2025DATA'!$F$22,"")</f>
        <v/>
      </c>
      <c r="V63" s="518" t="str">
        <f>IF(AND(_A1="B-737-900",'2025'!$E$4="FO",'2025'!$E$2=V43),'2025DATA'!$G$22,"")</f>
        <v/>
      </c>
      <c r="W63" s="518" t="str">
        <f>IF(AND(_A1="B-737-900",'2025'!$E$4="FO",'2025'!$E$2=W43),'2025DATA'!$H$22,"")</f>
        <v/>
      </c>
      <c r="X63" s="518" t="str">
        <f>IF(AND(_A1="B-737-900",'2025'!$E$4="FO",'2025'!$E$2=X43),'2025DATA'!$I$22,"")</f>
        <v/>
      </c>
      <c r="Y63" s="518" t="str">
        <f>IF(AND(_A1="B-737-900",'2025'!$E$4="FO",'2025'!$E$2=Y43),'2025DATA'!$J$22,"")</f>
        <v/>
      </c>
      <c r="Z63" s="518" t="str">
        <f>IF(AND(_A1="B-737-900",'2025'!$E$4="FO",'2025'!$E$2=Z43),'2025DATA'!$K$22,"")</f>
        <v/>
      </c>
      <c r="AA63" s="518" t="str">
        <f>IF(AND(_A1="B-737-900",'2025'!$E$4="FO",'2025'!$E$2=AA43),'2025DATA'!$L$22,"")</f>
        <v/>
      </c>
      <c r="AB63" s="518" t="str">
        <f>IF(AND(_A1="B-737-900",'2025'!$E$4="FO",'2025'!$E$2=AB43),'2025DATA'!$M$22,"")</f>
        <v/>
      </c>
      <c r="AC63" s="520" t="str">
        <f>IF(AND(_A1="B-737-900",'2025'!$E$4="FO",'2025'!$E$2=AC43),'2025DATA'!$N$22,"")</f>
        <v/>
      </c>
      <c r="AD63" s="940"/>
      <c r="AE63" s="13" t="s">
        <v>62</v>
      </c>
      <c r="AF63" s="518" t="str">
        <f>IF(AND(_A2="B-737-900",'2025'!$E$4="FO",'2025'!$E$2=AF43),'2025DATA'!$C$22,"")</f>
        <v/>
      </c>
      <c r="AG63" s="518" t="str">
        <f>IF(AND(_A2="B-737-900",'2025'!$E$4="FO",'2025'!$E$2=AG43),'2025DATA'!$D$22,"")</f>
        <v/>
      </c>
      <c r="AH63" s="518" t="str">
        <f>IF(AND(_A2="B-737-900",'2025'!$E$4="FO",'2025'!$E$2=AH43),'2025DATA'!$E$22,"")</f>
        <v/>
      </c>
      <c r="AI63" s="518" t="str">
        <f>IF(AND(_A2="B-737-900",'2025'!$E$4="FO",'2025'!$E$2=AI43),'2025DATA'!$F$22,"")</f>
        <v/>
      </c>
      <c r="AJ63" s="518" t="str">
        <f>IF(AND(_A2="B-737-900",'2025'!$E$4="FO",'2025'!$E$2=AJ43),'2025DATA'!$G$22,"")</f>
        <v/>
      </c>
      <c r="AK63" s="518" t="str">
        <f>IF(AND(_A2="B-737-900",'2025'!$E$4="FO",'2025'!$E$2=AK43),'2025DATA'!$H$22,"")</f>
        <v/>
      </c>
      <c r="AL63" s="518" t="str">
        <f>IF(AND(_A2="B-737-900",'2025'!$E$4="FO",'2025'!$E$2=AL43),'2025DATA'!$I$22,"")</f>
        <v/>
      </c>
      <c r="AM63" s="518" t="str">
        <f>IF(AND(_A2="B-737-900",'2025'!$E$4="FO",'2025'!$E$2=AM43),'2025DATA'!$J$22,"")</f>
        <v/>
      </c>
      <c r="AN63" s="518" t="str">
        <f>IF(AND(_A2="B-737-900",'2025'!$E$4="FO",'2025'!$E$2=AN43),'2025DATA'!$K$22,"")</f>
        <v/>
      </c>
      <c r="AO63" s="518" t="str">
        <f>IF(AND(_A2="B-737-900",'2025'!$E$4="FO",'2025'!$E$2=AO43),'2025DATA'!$L$22,"")</f>
        <v/>
      </c>
      <c r="AP63" s="518" t="str">
        <f>IF(AND(_A2="B-737-900",'2025'!$E$4="FO",'2025'!$E$2=AP43),'2025DATA'!$M$22,"")</f>
        <v/>
      </c>
      <c r="AQ63" s="520" t="str">
        <f>IF(AND(_A2="B-737-900",'2025'!$E$4="FO",'2025'!$E$2=AQ43),'2025DATA'!$N$22,"")</f>
        <v/>
      </c>
      <c r="AR63" s="940"/>
      <c r="AS63" s="13" t="s">
        <v>62</v>
      </c>
      <c r="AT63" s="518" t="str">
        <f>IF(AND(_A3="B-737-900",'2025'!$E$4="FO",'2025'!$E$2=AT43),'2025DATA'!$C$22,"")</f>
        <v/>
      </c>
      <c r="AU63" s="518" t="str">
        <f>IF(AND(_A3="B-737-900",'2025'!$E$4="FO",'2025'!$E$2=AU43),'2025DATA'!$D$22,"")</f>
        <v/>
      </c>
      <c r="AV63" s="518" t="str">
        <f>IF(AND(_A3="B-737-900",'2025'!$E$4="FO",'2025'!$E$2=AV43),'2025DATA'!$E$22,"")</f>
        <v/>
      </c>
      <c r="AW63" s="518" t="str">
        <f>IF(AND(_A3="B-737-900",'2025'!$E$4="FO",'2025'!$E$2=AW43),'2025DATA'!$F$22,"")</f>
        <v/>
      </c>
      <c r="AX63" s="518" t="str">
        <f>IF(AND(_A3="B-737-900",'2025'!$E$4="FO",'2025'!$E$2=AX43),'2025DATA'!$G$22,"")</f>
        <v/>
      </c>
      <c r="AY63" s="518" t="str">
        <f>IF(AND(_A3="B-737-900",'2025'!$E$4="FO",'2025'!$E$2=AY43),'2025DATA'!$H$22,"")</f>
        <v/>
      </c>
      <c r="AZ63" s="518" t="str">
        <f>IF(AND(_A3="B-737-900",'2025'!$E$4="FO",'2025'!$E$2=AZ43),'2025DATA'!$I$22,"")</f>
        <v/>
      </c>
      <c r="BA63" s="518" t="str">
        <f>IF(AND(_A3="B-737-900",'2025'!$E$4="FO",'2025'!$E$2=BA43),'2025DATA'!$J$22,"")</f>
        <v/>
      </c>
      <c r="BB63" s="518" t="str">
        <f>IF(AND(_A3="B-737-900",'2025'!$E$4="FO",'2025'!$E$2=BB43),'2025DATA'!$K$22,"")</f>
        <v/>
      </c>
      <c r="BC63" s="518" t="str">
        <f>IF(AND(_A3="B-737-900",'2025'!$E$4="FO",'2025'!$E$2=BC43),'2025DATA'!$L$22,"")</f>
        <v/>
      </c>
      <c r="BD63" s="518" t="str">
        <f>IF(AND(_A3="B-737-900",'2025'!$E$4="FO",'2025'!$E$2=BD43),'2025DATA'!$M$22,"")</f>
        <v/>
      </c>
      <c r="BE63" s="520" t="str">
        <f>IF(AND(_A3="B-737-900",'2025'!$E$4="FO",'2025'!$E$2=BE43),'2025DATA'!$N$22,"")</f>
        <v/>
      </c>
      <c r="BF63" s="940"/>
      <c r="BG63" s="13" t="s">
        <v>62</v>
      </c>
      <c r="BH63" s="518" t="str">
        <f>IF(AND(_A4="B-737-900",'2025'!$E$4="FO",'2025'!$E$2=BH43),'2025DATA'!$C$22,"")</f>
        <v/>
      </c>
      <c r="BI63" s="518" t="str">
        <f>IF(AND(_A4="B-737-900",'2025'!$E$4="FO",'2025'!$E$2=BI43),'2025DATA'!$D$22,"")</f>
        <v/>
      </c>
      <c r="BJ63" s="518" t="str">
        <f>IF(AND(_A4="B-737-900",'2025'!$E$4="FO",'2025'!$E$2=BJ43),'2025DATA'!$E$22,"")</f>
        <v/>
      </c>
      <c r="BK63" s="518" t="str">
        <f>IF(AND(_A4="B-737-900",'2025'!$E$4="FO",'2025'!$E$2=BK43),'2025DATA'!$F$22,"")</f>
        <v/>
      </c>
      <c r="BL63" s="518" t="str">
        <f>IF(AND(_A4="B-737-900",'2025'!$E$4="FO",'2025'!$E$2=BL43),'2025DATA'!$G$22,"")</f>
        <v/>
      </c>
      <c r="BM63" s="518" t="str">
        <f>IF(AND(_A4="B-737-900",'2025'!$E$4="FO",'2025'!$E$2=BM43),'2025DATA'!$H$22,"")</f>
        <v/>
      </c>
      <c r="BN63" s="518" t="str">
        <f>IF(AND(_A4="B-737-900",'2025'!$E$4="FO",'2025'!$E$2=BN43),'2025DATA'!$I$22,"")</f>
        <v/>
      </c>
      <c r="BO63" s="518" t="str">
        <f>IF(AND(_A4="B-737-900",'2025'!$E$4="FO",'2025'!$E$2=BO43),'2025DATA'!$J$22,"")</f>
        <v/>
      </c>
      <c r="BP63" s="518" t="str">
        <f>IF(AND(_A4="B-737-900",'2025'!$E$4="FO",'2025'!$E$2=BP43),'2025DATA'!$K$22,"")</f>
        <v/>
      </c>
      <c r="BQ63" s="518" t="str">
        <f>IF(AND(_A4="B-737-900",'2025'!$E$4="FO",'2025'!$E$2=BQ43),'2025DATA'!$L$22,"")</f>
        <v/>
      </c>
      <c r="BR63" s="518" t="str">
        <f>IF(AND(_A4="B-737-900",'2025'!$E$4="FO",'2025'!$E$2=BR43),'2025DATA'!$M$22,"")</f>
        <v/>
      </c>
      <c r="BS63" s="520" t="str">
        <f>IF(AND(_A4="B-737-900",'2025'!$E$4="FO",'2025'!$E$2=BS43),'2025DATA'!$N$22,"")</f>
        <v/>
      </c>
      <c r="BT63" s="940"/>
      <c r="BU63" s="13" t="s">
        <v>62</v>
      </c>
      <c r="BV63" s="518" t="str">
        <f>IF(AND(_A5="B-737-900",'2025'!$E$4="FO",'2025'!$E$2=BV43),'2025DATA'!$C$22,"")</f>
        <v/>
      </c>
      <c r="BW63" s="518" t="str">
        <f>IF(AND(_A5="B-737-900",'2025'!$E$4="FO",'2025'!$E$2=BW43),'2025DATA'!$D$22,"")</f>
        <v/>
      </c>
      <c r="BX63" s="518" t="str">
        <f>IF(AND(_A5="B-737-900",'2025'!$E$4="FO",'2025'!$E$2=BX43),'2025DATA'!$E$22,"")</f>
        <v/>
      </c>
      <c r="BY63" s="518" t="str">
        <f>IF(AND(_A5="B-737-900",'2025'!$E$4="FO",'2025'!$E$2=BY43),'2025DATA'!$F$22,"")</f>
        <v/>
      </c>
      <c r="BZ63" s="518" t="str">
        <f>IF(AND(_A5="B-737-900",'2025'!$E$4="FO",'2025'!$E$2=BZ43),'2025DATA'!$G$22,"")</f>
        <v/>
      </c>
      <c r="CA63" s="518" t="str">
        <f>IF(AND(_A5="B-737-900",'2025'!$E$4="FO",'2025'!$E$2=CA43),'2025DATA'!$H$22,"")</f>
        <v/>
      </c>
      <c r="CB63" s="518" t="str">
        <f>IF(AND(_A5="B-737-900",'2025'!$E$4="FO",'2025'!$E$2=CB43),'2025DATA'!$I$22,"")</f>
        <v/>
      </c>
      <c r="CC63" s="518" t="str">
        <f>IF(AND(_A5="B-737-900",'2025'!$E$4="FO",'2025'!$E$2=CC43),'2025DATA'!$J$22,"")</f>
        <v/>
      </c>
      <c r="CD63" s="518" t="str">
        <f>IF(AND(_A5="B-737-900",'2025'!$E$4="FO",'2025'!$E$2=CD43),'2025DATA'!$K$22,"")</f>
        <v/>
      </c>
      <c r="CE63" s="518" t="str">
        <f>IF(AND(_A5="B-737-900",'2025'!$E$4="FO",'2025'!$E$2=CE43),'2025DATA'!$L$22,"")</f>
        <v/>
      </c>
      <c r="CF63" s="518" t="str">
        <f>IF(AND(_A5="B-737-900",'2025'!$E$4="FO",'2025'!$E$2=CF43),'2025DATA'!$M$22,"")</f>
        <v/>
      </c>
      <c r="CG63" s="520" t="str">
        <f>IF(AND(_A5="B-737-900",'2025'!$E$4="FO",'2025'!$E$2=CG43),'2025DATA'!$N$22,"")</f>
        <v/>
      </c>
      <c r="CH63" s="940"/>
      <c r="CI63" s="13" t="s">
        <v>62</v>
      </c>
      <c r="CJ63" s="518" t="str">
        <f>IF(AND(_A6="B-737-900",'2025'!$E$4="FO",'2025'!$E$2=CJ43),'2025DATA'!$C$22,"")</f>
        <v/>
      </c>
      <c r="CK63" s="518" t="str">
        <f>IF(AND(_A6="B-737-900",'2025'!$E$4="FO",'2025'!$E$2=CK43),'2025DATA'!$D$22,"")</f>
        <v/>
      </c>
      <c r="CL63" s="518" t="str">
        <f>IF(AND(_A6="B-737-900",'2025'!$E$4="FO",'2025'!$E$2=CL43),'2025DATA'!$E$22,"")</f>
        <v/>
      </c>
      <c r="CM63" s="518" t="str">
        <f>IF(AND(_A6="B-737-900",'2025'!$E$4="FO",'2025'!$E$2=CM43),'2025DATA'!$F$22,"")</f>
        <v/>
      </c>
      <c r="CN63" s="518" t="str">
        <f>IF(AND(_A6="B-737-900",'2025'!$E$4="FO",'2025'!$E$2=CN43),'2025DATA'!$G$22,"")</f>
        <v/>
      </c>
      <c r="CO63" s="518" t="str">
        <f>IF(AND(_A6="B-737-900",'2025'!$E$4="FO",'2025'!$E$2=CO43),'2025DATA'!$H$22,"")</f>
        <v/>
      </c>
      <c r="CP63" s="518" t="str">
        <f>IF(AND(_A6="B-737-900",'2025'!$E$4="FO",'2025'!$E$2=CP43),'2025DATA'!$I$22,"")</f>
        <v/>
      </c>
      <c r="CQ63" s="518" t="str">
        <f>IF(AND(_A6="B-737-900",'2025'!$E$4="FO",'2025'!$E$2=CQ43),'2025DATA'!$J$22,"")</f>
        <v/>
      </c>
      <c r="CR63" s="518" t="str">
        <f>IF(AND(_A6="B-737-900",'2025'!$E$4="FO",'2025'!$E$2=CR43),'2025DATA'!$K$22,"")</f>
        <v/>
      </c>
      <c r="CS63" s="518" t="str">
        <f>IF(AND(_A6="B-737-900",'2025'!$E$4="FO",'2025'!$E$2=CS43),'2025DATA'!$L$22,"")</f>
        <v/>
      </c>
      <c r="CT63" s="518" t="str">
        <f>IF(AND(_A6="B-737-900",'2025'!$E$4="FO",'2025'!$E$2=CT43),'2025DATA'!$M$22,"")</f>
        <v/>
      </c>
      <c r="CU63" s="520" t="str">
        <f>IF(AND(_A6="B-737-900",'2025'!$E$4="FO",'2025'!$E$2=CU43),'2025DATA'!$N$22,"")</f>
        <v/>
      </c>
    </row>
    <row r="64" spans="16:99" x14ac:dyDescent="0.25">
      <c r="P64" s="940" t="s">
        <v>69</v>
      </c>
      <c r="Q64" s="13" t="s">
        <v>61</v>
      </c>
      <c r="R64" s="518" t="str">
        <f>IF(AND(_A1="B-737-800",'2025'!$E$4="CA",'2025'!$E$2=R43),'2025DATA'!$C$23,"")</f>
        <v/>
      </c>
      <c r="S64" s="518" t="str">
        <f>IF(AND(_A1="B-737-800",'2025'!$E$4="CA",'2025'!$E$2=S43),'2025DATA'!$D$23,"")</f>
        <v/>
      </c>
      <c r="T64" s="518" t="str">
        <f>IF(AND(_A1="B-737-800",'2025'!$E$4="CA",'2025'!$E$2=T43),'2025DATA'!$E$23,"")</f>
        <v/>
      </c>
      <c r="U64" s="518" t="str">
        <f>IF(AND(_A1="B-737-800",'2025'!$E$4="CA",'2025'!$E$2=U43),'2025DATA'!$F$23,"")</f>
        <v/>
      </c>
      <c r="V64" s="518" t="str">
        <f>IF(AND(_A1="B-737-800",'2025'!$E$4="CA",'2025'!$E$2=V43),'2025DATA'!$G$23,"")</f>
        <v/>
      </c>
      <c r="W64" s="518" t="str">
        <f>IF(AND(_A1="B-737-800",'2025'!$E$4="CA",'2025'!$E$2=W43),'2025DATA'!$H$23,"")</f>
        <v/>
      </c>
      <c r="X64" s="518" t="str">
        <f>IF(AND(_A1="B-737-800",'2025'!$E$4="CA",'2025'!$E$2=X43),'2025DATA'!$I$23,"")</f>
        <v/>
      </c>
      <c r="Y64" s="518" t="str">
        <f>IF(AND(_A1="B-737-800",'2025'!$E$4="CA",'2025'!$E$2=Y43),'2025DATA'!$J$23,"")</f>
        <v/>
      </c>
      <c r="Z64" s="518" t="str">
        <f>IF(AND(_A1="B-737-800",'2025'!$E$4="CA",'2025'!$E$2=Z43),'2025DATA'!$K$23,"")</f>
        <v/>
      </c>
      <c r="AA64" s="518" t="str">
        <f>IF(AND(_A1="B-737-800",'2025'!$E$4="CA",'2025'!$E$2=AA43),'2025DATA'!$L$23,"")</f>
        <v/>
      </c>
      <c r="AB64" s="518" t="str">
        <f>IF(AND(_A1="B-737-800",'2025'!$E$4="CA",'2025'!$E$2=AB43),'2025DATA'!$M$23,"")</f>
        <v/>
      </c>
      <c r="AC64" s="520" t="str">
        <f>IF(AND(_A1="B-737-800",'2025'!$E$4="CA",'2025'!$E$2=AC43),'2025DATA'!$N$23,"")</f>
        <v/>
      </c>
      <c r="AD64" s="940" t="s">
        <v>69</v>
      </c>
      <c r="AE64" s="13" t="s">
        <v>61</v>
      </c>
      <c r="AF64" s="518" t="str">
        <f>IF(AND(_A2="B-737-800",'2025'!$E$4="CA",'2025'!$E$2=AF43),'2025DATA'!$C$23,"")</f>
        <v/>
      </c>
      <c r="AG64" s="518" t="str">
        <f>IF(AND(_A2="B-737-800",'2025'!$E$4="CA",'2025'!$E$2=AG43),'2025DATA'!$D$23,"")</f>
        <v/>
      </c>
      <c r="AH64" s="518" t="str">
        <f>IF(AND(_A2="B-737-800",'2025'!$E$4="CA",'2025'!$E$2=AH43),'2025DATA'!$E$23,"")</f>
        <v/>
      </c>
      <c r="AI64" s="518" t="str">
        <f>IF(AND(_A2="B-737-800",'2025'!$E$4="CA",'2025'!$E$2=AI43),'2025DATA'!$F$23,"")</f>
        <v/>
      </c>
      <c r="AJ64" s="518" t="str">
        <f>IF(AND(_A2="B-737-800",'2025'!$E$4="CA",'2025'!$E$2=AJ43),'2025DATA'!$G$23,"")</f>
        <v/>
      </c>
      <c r="AK64" s="518" t="str">
        <f>IF(AND(_A2="B-737-800",'2025'!$E$4="CA",'2025'!$E$2=AK43),'2025DATA'!$H$23,"")</f>
        <v/>
      </c>
      <c r="AL64" s="518" t="str">
        <f>IF(AND(_A2="B-737-800",'2025'!$E$4="CA",'2025'!$E$2=AL43),'2025DATA'!$I$23,"")</f>
        <v/>
      </c>
      <c r="AM64" s="518" t="str">
        <f>IF(AND(_A2="B-737-800",'2025'!$E$4="CA",'2025'!$E$2=AM43),'2025DATA'!$J$23,"")</f>
        <v/>
      </c>
      <c r="AN64" s="518" t="str">
        <f>IF(AND(_A2="B-737-800",'2025'!$E$4="CA",'2025'!$E$2=AN43),'2025DATA'!$K$23,"")</f>
        <v/>
      </c>
      <c r="AO64" s="518" t="str">
        <f>IF(AND(_A2="B-737-800",'2025'!$E$4="CA",'2025'!$E$2=AO43),'2025DATA'!$L$23,"")</f>
        <v/>
      </c>
      <c r="AP64" s="518" t="str">
        <f>IF(AND(_A2="B-737-800",'2025'!$E$4="CA",'2025'!$E$2=AP43),'2025DATA'!$M$23,"")</f>
        <v/>
      </c>
      <c r="AQ64" s="520" t="str">
        <f>IF(AND(_A2="B-737-800",'2025'!$E$4="CA",'2025'!$E$2=AQ43),'2025DATA'!$N$23,"")</f>
        <v/>
      </c>
      <c r="AR64" s="940" t="s">
        <v>69</v>
      </c>
      <c r="AS64" s="13" t="s">
        <v>61</v>
      </c>
      <c r="AT64" s="518" t="str">
        <f>IF(AND(_A3="B-737-800",'2025'!$E$4="CA",'2025'!$E$2=AT43),'2025DATA'!$C$23,"")</f>
        <v/>
      </c>
      <c r="AU64" s="518" t="str">
        <f>IF(AND(_A3="B-737-800",'2025'!$E$4="CA",'2025'!$E$2=AU43),'2025DATA'!$D$23,"")</f>
        <v/>
      </c>
      <c r="AV64" s="518" t="str">
        <f>IF(AND(_A3="B-737-800",'2025'!$E$4="CA",'2025'!$E$2=AV43),'2025DATA'!$E$23,"")</f>
        <v/>
      </c>
      <c r="AW64" s="518" t="str">
        <f>IF(AND(_A3="B-737-800",'2025'!$E$4="CA",'2025'!$E$2=AW43),'2025DATA'!$F$23,"")</f>
        <v/>
      </c>
      <c r="AX64" s="518" t="str">
        <f>IF(AND(_A3="B-737-800",'2025'!$E$4="CA",'2025'!$E$2=AX43),'2025DATA'!$G$23,"")</f>
        <v/>
      </c>
      <c r="AY64" s="518" t="str">
        <f>IF(AND(_A3="B-737-800",'2025'!$E$4="CA",'2025'!$E$2=AY43),'2025DATA'!$H$23,"")</f>
        <v/>
      </c>
      <c r="AZ64" s="518" t="str">
        <f>IF(AND(_A3="B-737-800",'2025'!$E$4="CA",'2025'!$E$2=AZ43),'2025DATA'!$I$23,"")</f>
        <v/>
      </c>
      <c r="BA64" s="518" t="str">
        <f>IF(AND(_A3="B-737-800",'2025'!$E$4="CA",'2025'!$E$2=BA43),'2025DATA'!$J$23,"")</f>
        <v/>
      </c>
      <c r="BB64" s="518" t="str">
        <f>IF(AND(_A3="B-737-800",'2025'!$E$4="CA",'2025'!$E$2=BB43),'2025DATA'!$K$23,"")</f>
        <v/>
      </c>
      <c r="BC64" s="518" t="str">
        <f>IF(AND(_A3="B-737-800",'2025'!$E$4="CA",'2025'!$E$2=BC43),'2025DATA'!$L$23,"")</f>
        <v/>
      </c>
      <c r="BD64" s="518" t="str">
        <f>IF(AND(_A3="B-737-800",'2025'!$E$4="CA",'2025'!$E$2=BD43),'2025DATA'!$M$23,"")</f>
        <v/>
      </c>
      <c r="BE64" s="520" t="str">
        <f>IF(AND(_A3="B-737-800",'2025'!$E$4="CA",'2025'!$E$2=BE43),'2025DATA'!$N$23,"")</f>
        <v/>
      </c>
      <c r="BF64" s="940" t="s">
        <v>69</v>
      </c>
      <c r="BG64" s="13" t="s">
        <v>61</v>
      </c>
      <c r="BH64" s="518" t="str">
        <f>IF(AND(_A4="B-737-800",'2025'!$E$4="CA",'2025'!$E$2=BH43),'2025DATA'!$C$23,"")</f>
        <v/>
      </c>
      <c r="BI64" s="518" t="str">
        <f>IF(AND(_A4="B-737-800",'2025'!$E$4="CA",'2025'!$E$2=BI43),'2025DATA'!$D$23,"")</f>
        <v/>
      </c>
      <c r="BJ64" s="518" t="str">
        <f>IF(AND(_A4="B-737-800",'2025'!$E$4="CA",'2025'!$E$2=BJ43),'2025DATA'!$E$23,"")</f>
        <v/>
      </c>
      <c r="BK64" s="518" t="str">
        <f>IF(AND(_A4="B-737-800",'2025'!$E$4="CA",'2025'!$E$2=BK43),'2025DATA'!$F$23,"")</f>
        <v/>
      </c>
      <c r="BL64" s="518" t="str">
        <f>IF(AND(_A4="B-737-800",'2025'!$E$4="CA",'2025'!$E$2=BL43),'2025DATA'!$G$23,"")</f>
        <v/>
      </c>
      <c r="BM64" s="518" t="str">
        <f>IF(AND(_A4="B-737-800",'2025'!$E$4="CA",'2025'!$E$2=BM43),'2025DATA'!$H$23,"")</f>
        <v/>
      </c>
      <c r="BN64" s="518" t="str">
        <f>IF(AND(_A4="B-737-800",'2025'!$E$4="CA",'2025'!$E$2=BN43),'2025DATA'!$I$23,"")</f>
        <v/>
      </c>
      <c r="BO64" s="518" t="str">
        <f>IF(AND(_A4="B-737-800",'2025'!$E$4="CA",'2025'!$E$2=BO43),'2025DATA'!$J$23,"")</f>
        <v/>
      </c>
      <c r="BP64" s="518" t="str">
        <f>IF(AND(_A4="B-737-800",'2025'!$E$4="CA",'2025'!$E$2=BP43),'2025DATA'!$K$23,"")</f>
        <v/>
      </c>
      <c r="BQ64" s="518" t="str">
        <f>IF(AND(_A4="B-737-800",'2025'!$E$4="CA",'2025'!$E$2=BQ43),'2025DATA'!$L$23,"")</f>
        <v/>
      </c>
      <c r="BR64" s="518" t="str">
        <f>IF(AND(_A4="B-737-800",'2025'!$E$4="CA",'2025'!$E$2=BR43),'2025DATA'!$M$23,"")</f>
        <v/>
      </c>
      <c r="BS64" s="520" t="str">
        <f>IF(AND(_A4="B-737-800",'2025'!$E$4="CA",'2025'!$E$2=BS43),'2025DATA'!$N$23,"")</f>
        <v/>
      </c>
      <c r="BT64" s="940" t="s">
        <v>69</v>
      </c>
      <c r="BU64" s="13" t="s">
        <v>61</v>
      </c>
      <c r="BV64" s="518" t="str">
        <f>IF(AND(_A5="B-737-800",'2025'!$E$4="CA",'2025'!$E$2=BV43),'2025DATA'!$C$23,"")</f>
        <v/>
      </c>
      <c r="BW64" s="518" t="str">
        <f>IF(AND(_A5="B-737-800",'2025'!$E$4="CA",'2025'!$E$2=BW43),'2025DATA'!$D$23,"")</f>
        <v/>
      </c>
      <c r="BX64" s="518" t="str">
        <f>IF(AND(_A5="B-737-800",'2025'!$E$4="CA",'2025'!$E$2=BX43),'2025DATA'!$E$23,"")</f>
        <v/>
      </c>
      <c r="BY64" s="518" t="str">
        <f>IF(AND(_A5="B-737-800",'2025'!$E$4="CA",'2025'!$E$2=BY43),'2025DATA'!$F$23,"")</f>
        <v/>
      </c>
      <c r="BZ64" s="518" t="str">
        <f>IF(AND(_A5="B-737-800",'2025'!$E$4="CA",'2025'!$E$2=BZ43),'2025DATA'!$G$23,"")</f>
        <v/>
      </c>
      <c r="CA64" s="518" t="str">
        <f>IF(AND(_A5="B-737-800",'2025'!$E$4="CA",'2025'!$E$2=CA43),'2025DATA'!$H$23,"")</f>
        <v/>
      </c>
      <c r="CB64" s="518" t="str">
        <f>IF(AND(_A5="B-737-800",'2025'!$E$4="CA",'2025'!$E$2=CB43),'2025DATA'!$I$23,"")</f>
        <v/>
      </c>
      <c r="CC64" s="518" t="str">
        <f>IF(AND(_A5="B-737-800",'2025'!$E$4="CA",'2025'!$E$2=CC43),'2025DATA'!$J$23,"")</f>
        <v/>
      </c>
      <c r="CD64" s="518" t="str">
        <f>IF(AND(_A5="B-737-800",'2025'!$E$4="CA",'2025'!$E$2=CD43),'2025DATA'!$K$23,"")</f>
        <v/>
      </c>
      <c r="CE64" s="518" t="str">
        <f>IF(AND(_A5="B-737-800",'2025'!$E$4="CA",'2025'!$E$2=CE43),'2025DATA'!$L$23,"")</f>
        <v/>
      </c>
      <c r="CF64" s="518" t="str">
        <f>IF(AND(_A5="B-737-800",'2025'!$E$4="CA",'2025'!$E$2=CF43),'2025DATA'!$M$23,"")</f>
        <v/>
      </c>
      <c r="CG64" s="520" t="str">
        <f>IF(AND(_A5="B-737-800",'2025'!$E$4="CA",'2025'!$E$2=CG43),'2025DATA'!$N$23,"")</f>
        <v/>
      </c>
      <c r="CH64" s="940" t="s">
        <v>69</v>
      </c>
      <c r="CI64" s="13" t="s">
        <v>61</v>
      </c>
      <c r="CJ64" s="518" t="str">
        <f>IF(AND(_A6="B-737-800",'2025'!$E$4="CA",'2025'!$E$2=CJ43),'2025DATA'!$C$23,"")</f>
        <v/>
      </c>
      <c r="CK64" s="518" t="str">
        <f>IF(AND(_A6="B-737-800",'2025'!$E$4="CA",'2025'!$E$2=CK43),'2025DATA'!$D$23,"")</f>
        <v/>
      </c>
      <c r="CL64" s="518" t="str">
        <f>IF(AND(_A6="B-737-800",'2025'!$E$4="CA",'2025'!$E$2=CL43),'2025DATA'!$E$23,"")</f>
        <v/>
      </c>
      <c r="CM64" s="518" t="str">
        <f>IF(AND(_A6="B-737-800",'2025'!$E$4="CA",'2025'!$E$2=CM43),'2025DATA'!$F$23,"")</f>
        <v/>
      </c>
      <c r="CN64" s="518" t="str">
        <f>IF(AND(_A6="B-737-800",'2025'!$E$4="CA",'2025'!$E$2=CN43),'2025DATA'!$G$23,"")</f>
        <v/>
      </c>
      <c r="CO64" s="518" t="str">
        <f>IF(AND(_A6="B-737-800",'2025'!$E$4="CA",'2025'!$E$2=CO43),'2025DATA'!$H$23,"")</f>
        <v/>
      </c>
      <c r="CP64" s="518" t="str">
        <f>IF(AND(_A6="B-737-800",'2025'!$E$4="CA",'2025'!$E$2=CP43),'2025DATA'!$I$23,"")</f>
        <v/>
      </c>
      <c r="CQ64" s="518" t="str">
        <f>IF(AND(_A6="B-737-800",'2025'!$E$4="CA",'2025'!$E$2=CQ43),'2025DATA'!$J$23,"")</f>
        <v/>
      </c>
      <c r="CR64" s="518" t="str">
        <f>IF(AND(_A6="B-737-800",'2025'!$E$4="CA",'2025'!$E$2=CR43),'2025DATA'!$K$23,"")</f>
        <v/>
      </c>
      <c r="CS64" s="518" t="str">
        <f>IF(AND(_A6="B-737-800",'2025'!$E$4="CA",'2025'!$E$2=CS43),'2025DATA'!$L$23,"")</f>
        <v/>
      </c>
      <c r="CT64" s="518" t="str">
        <f>IF(AND(_A6="B-737-800",'2025'!$E$4="CA",'2025'!$E$2=CT43),'2025DATA'!$M$23,"")</f>
        <v/>
      </c>
      <c r="CU64" s="520" t="str">
        <f>IF(AND(_A6="B-737-800",'2025'!$E$4="CA",'2025'!$E$2=CU43),'2025DATA'!$N$23,"")</f>
        <v/>
      </c>
    </row>
    <row r="65" spans="16:99" x14ac:dyDescent="0.25">
      <c r="P65" s="940"/>
      <c r="Q65" s="13" t="s">
        <v>62</v>
      </c>
      <c r="R65" s="518" t="str">
        <f>IF(AND(_A1="B-737-800",'2025'!$E$4="FO",'2025'!$E$2=R43),'2025DATA'!$C$24,"")</f>
        <v/>
      </c>
      <c r="S65" s="518" t="str">
        <f>IF(AND(_A1="B-737-800",'2025'!$E$4="FO",'2025'!$E$2=S43),'2025DATA'!$D$24,"")</f>
        <v/>
      </c>
      <c r="T65" s="518" t="str">
        <f>IF(AND(_A1="B-737-800",'2025'!$E$4="FO",'2025'!$E$2=T43),'2025DATA'!$E$24,"")</f>
        <v/>
      </c>
      <c r="U65" s="518" t="str">
        <f>IF(AND(_A1="B-737-800",'2025'!$E$4="FO",'2025'!$E$2=U43),'2025DATA'!$F$24,"")</f>
        <v/>
      </c>
      <c r="V65" s="518" t="str">
        <f>IF(AND(_A1="B-737-800",'2025'!$E$4="FO",'2025'!$E$2=V43),'2025DATA'!$G$24,"")</f>
        <v/>
      </c>
      <c r="W65" s="518" t="str">
        <f>IF(AND(_A1="B-737-800",'2025'!$E$4="FO",'2025'!$E$2=W43),'2025DATA'!$H$24,"")</f>
        <v/>
      </c>
      <c r="X65" s="518" t="str">
        <f>IF(AND(_A1="B-737-800",'2025'!$E$4="FO",'2025'!$E$2=X43),'2025DATA'!$I$24,"")</f>
        <v/>
      </c>
      <c r="Y65" s="518" t="str">
        <f>IF(AND(_A1="B-737-800",'2025'!$E$4="FO",'2025'!$E$2=Y43),'2025DATA'!$J$24,"")</f>
        <v/>
      </c>
      <c r="Z65" s="518" t="str">
        <f>IF(AND(_A1="B-737-800",'2025'!$E$4="FO",'2025'!$E$2=Z43),'2025DATA'!$K$24,"")</f>
        <v/>
      </c>
      <c r="AA65" s="518" t="str">
        <f>IF(AND(_A1="B-737-800",'2025'!$E$4="FO",'2025'!$E$2=AA43),'2025DATA'!$L$24,"")</f>
        <v/>
      </c>
      <c r="AB65" s="518" t="str">
        <f>IF(AND(_A1="B-737-800",'2025'!$E$4="FO",'2025'!$E$2=AB43),'2025DATA'!$M$24,"")</f>
        <v/>
      </c>
      <c r="AC65" s="520" t="str">
        <f>IF(AND(_A1="B-737-800",'2025'!$E$4="FO",'2025'!$E$2=AC43),'2025DATA'!$N$24,"")</f>
        <v/>
      </c>
      <c r="AD65" s="940"/>
      <c r="AE65" s="13" t="s">
        <v>62</v>
      </c>
      <c r="AF65" s="518" t="str">
        <f>IF(AND(_A2="B-737-800",'2025'!$E$4="FO",'2025'!$E$2=AF43),'2025DATA'!$C$24,"")</f>
        <v/>
      </c>
      <c r="AG65" s="518" t="str">
        <f>IF(AND(_A2="B-737-800",'2025'!$E$4="FO",'2025'!$E$2=AG43),'2025DATA'!$D$24,"")</f>
        <v/>
      </c>
      <c r="AH65" s="518" t="str">
        <f>IF(AND(_A2="B-737-800",'2025'!$E$4="FO",'2025'!$E$2=AH43),'2025DATA'!$E$24,"")</f>
        <v/>
      </c>
      <c r="AI65" s="518" t="str">
        <f>IF(AND(_A2="B-737-800",'2025'!$E$4="FO",'2025'!$E$2=AI43),'2025DATA'!$F$24,"")</f>
        <v/>
      </c>
      <c r="AJ65" s="518" t="str">
        <f>IF(AND(_A2="B-737-800",'2025'!$E$4="FO",'2025'!$E$2=AJ43),'2025DATA'!$G$24,"")</f>
        <v/>
      </c>
      <c r="AK65" s="518" t="str">
        <f>IF(AND(_A2="B-737-800",'2025'!$E$4="FO",'2025'!$E$2=AK43),'2025DATA'!$H$24,"")</f>
        <v/>
      </c>
      <c r="AL65" s="518" t="str">
        <f>IF(AND(_A2="B-737-800",'2025'!$E$4="FO",'2025'!$E$2=AL43),'2025DATA'!$I$24,"")</f>
        <v/>
      </c>
      <c r="AM65" s="518" t="str">
        <f>IF(AND(_A2="B-737-800",'2025'!$E$4="FO",'2025'!$E$2=AM43),'2025DATA'!$J$24,"")</f>
        <v/>
      </c>
      <c r="AN65" s="518" t="str">
        <f>IF(AND(_A2="B-737-800",'2025'!$E$4="FO",'2025'!$E$2=AN43),'2025DATA'!$K$24,"")</f>
        <v/>
      </c>
      <c r="AO65" s="518" t="str">
        <f>IF(AND(_A2="B-737-800",'2025'!$E$4="FO",'2025'!$E$2=AO43),'2025DATA'!$L$24,"")</f>
        <v/>
      </c>
      <c r="AP65" s="518" t="str">
        <f>IF(AND(_A2="B-737-800",'2025'!$E$4="FO",'2025'!$E$2=AP43),'2025DATA'!$M$24,"")</f>
        <v/>
      </c>
      <c r="AQ65" s="520" t="str">
        <f>IF(AND(_A2="B-737-800",'2025'!$E$4="FO",'2025'!$E$2=AQ43),'2025DATA'!$N$24,"")</f>
        <v/>
      </c>
      <c r="AR65" s="940"/>
      <c r="AS65" s="13" t="s">
        <v>62</v>
      </c>
      <c r="AT65" s="518" t="str">
        <f>IF(AND(_A3="B-737-800",'2025'!$E$4="FO",'2025'!$E$2=AT43),'2025DATA'!$C$24,"")</f>
        <v/>
      </c>
      <c r="AU65" s="518" t="str">
        <f>IF(AND(_A3="B-737-800",'2025'!$E$4="FO",'2025'!$E$2=AU43),'2025DATA'!$D$24,"")</f>
        <v/>
      </c>
      <c r="AV65" s="518" t="str">
        <f>IF(AND(_A3="B-737-800",'2025'!$E$4="FO",'2025'!$E$2=AV43),'2025DATA'!$E$24,"")</f>
        <v/>
      </c>
      <c r="AW65" s="518" t="str">
        <f>IF(AND(_A3="B-737-800",'2025'!$E$4="FO",'2025'!$E$2=AW43),'2025DATA'!$F$24,"")</f>
        <v/>
      </c>
      <c r="AX65" s="518" t="str">
        <f>IF(AND(_A3="B-737-800",'2025'!$E$4="FO",'2025'!$E$2=AX43),'2025DATA'!$G$24,"")</f>
        <v/>
      </c>
      <c r="AY65" s="518" t="str">
        <f>IF(AND(_A3="B-737-800",'2025'!$E$4="FO",'2025'!$E$2=AY43),'2025DATA'!$H$24,"")</f>
        <v/>
      </c>
      <c r="AZ65" s="518" t="str">
        <f>IF(AND(_A3="B-737-800",'2025'!$E$4="FO",'2025'!$E$2=AZ43),'2025DATA'!$I$24,"")</f>
        <v/>
      </c>
      <c r="BA65" s="518" t="str">
        <f>IF(AND(_A3="B-737-800",'2025'!$E$4="FO",'2025'!$E$2=BA43),'2025DATA'!$J$24,"")</f>
        <v/>
      </c>
      <c r="BB65" s="518" t="str">
        <f>IF(AND(_A3="B-737-800",'2025'!$E$4="FO",'2025'!$E$2=BB43),'2025DATA'!$K$24,"")</f>
        <v/>
      </c>
      <c r="BC65" s="518" t="str">
        <f>IF(AND(_A3="B-737-800",'2025'!$E$4="FO",'2025'!$E$2=BC43),'2025DATA'!$L$24,"")</f>
        <v/>
      </c>
      <c r="BD65" s="518" t="str">
        <f>IF(AND(_A3="B-737-800",'2025'!$E$4="FO",'2025'!$E$2=BD43),'2025DATA'!$M$24,"")</f>
        <v/>
      </c>
      <c r="BE65" s="520" t="str">
        <f>IF(AND(_A3="B-737-800",'2025'!$E$4="FO",'2025'!$E$2=BE43),'2025DATA'!$N$24,"")</f>
        <v/>
      </c>
      <c r="BF65" s="940"/>
      <c r="BG65" s="13" t="s">
        <v>62</v>
      </c>
      <c r="BH65" s="518" t="str">
        <f>IF(AND(_A4="B-737-800",'2025'!$E$4="FO",'2025'!$E$2=BH43),'2025DATA'!$C$24,"")</f>
        <v/>
      </c>
      <c r="BI65" s="518" t="str">
        <f>IF(AND(_A4="B-737-800",'2025'!$E$4="FO",'2025'!$E$2=BI43),'2025DATA'!$D$24,"")</f>
        <v/>
      </c>
      <c r="BJ65" s="518" t="str">
        <f>IF(AND(_A4="B-737-800",'2025'!$E$4="FO",'2025'!$E$2=BJ43),'2025DATA'!$E$24,"")</f>
        <v/>
      </c>
      <c r="BK65" s="518" t="str">
        <f>IF(AND(_A4="B-737-800",'2025'!$E$4="FO",'2025'!$E$2=BK43),'2025DATA'!$F$24,"")</f>
        <v/>
      </c>
      <c r="BL65" s="518" t="str">
        <f>IF(AND(_A4="B-737-800",'2025'!$E$4="FO",'2025'!$E$2=BL43),'2025DATA'!$G$24,"")</f>
        <v/>
      </c>
      <c r="BM65" s="518" t="str">
        <f>IF(AND(_A4="B-737-800",'2025'!$E$4="FO",'2025'!$E$2=BM43),'2025DATA'!$H$24,"")</f>
        <v/>
      </c>
      <c r="BN65" s="518" t="str">
        <f>IF(AND(_A4="B-737-800",'2025'!$E$4="FO",'2025'!$E$2=BN43),'2025DATA'!$I$24,"")</f>
        <v/>
      </c>
      <c r="BO65" s="518" t="str">
        <f>IF(AND(_A4="B-737-800",'2025'!$E$4="FO",'2025'!$E$2=BO43),'2025DATA'!$J$24,"")</f>
        <v/>
      </c>
      <c r="BP65" s="518" t="str">
        <f>IF(AND(_A4="B-737-800",'2025'!$E$4="FO",'2025'!$E$2=BP43),'2025DATA'!$K$24,"")</f>
        <v/>
      </c>
      <c r="BQ65" s="518" t="str">
        <f>IF(AND(_A4="B-737-800",'2025'!$E$4="FO",'2025'!$E$2=BQ43),'2025DATA'!$L$24,"")</f>
        <v/>
      </c>
      <c r="BR65" s="518" t="str">
        <f>IF(AND(_A4="B-737-800",'2025'!$E$4="FO",'2025'!$E$2=BR43),'2025DATA'!$M$24,"")</f>
        <v/>
      </c>
      <c r="BS65" s="520" t="str">
        <f>IF(AND(_A4="B-737-800",'2025'!$E$4="FO",'2025'!$E$2=BS43),'2025DATA'!$N$24,"")</f>
        <v/>
      </c>
      <c r="BT65" s="940"/>
      <c r="BU65" s="13" t="s">
        <v>62</v>
      </c>
      <c r="BV65" s="518" t="str">
        <f>IF(AND(_A5="B-737-800",'2025'!$E$4="FO",'2025'!$E$2=BV43),'2025DATA'!$C$24,"")</f>
        <v/>
      </c>
      <c r="BW65" s="518" t="str">
        <f>IF(AND(_A5="B-737-800",'2025'!$E$4="FO",'2025'!$E$2=BW43),'2025DATA'!$D$24,"")</f>
        <v/>
      </c>
      <c r="BX65" s="518" t="str">
        <f>IF(AND(_A5="B-737-800",'2025'!$E$4="FO",'2025'!$E$2=BX43),'2025DATA'!$E$24,"")</f>
        <v/>
      </c>
      <c r="BY65" s="518" t="str">
        <f>IF(AND(_A5="B-737-800",'2025'!$E$4="FO",'2025'!$E$2=BY43),'2025DATA'!$F$24,"")</f>
        <v/>
      </c>
      <c r="BZ65" s="518" t="str">
        <f>IF(AND(_A5="B-737-800",'2025'!$E$4="FO",'2025'!$E$2=BZ43),'2025DATA'!$G$24,"")</f>
        <v/>
      </c>
      <c r="CA65" s="518" t="str">
        <f>IF(AND(_A5="B-737-800",'2025'!$E$4="FO",'2025'!$E$2=CA43),'2025DATA'!$H$24,"")</f>
        <v/>
      </c>
      <c r="CB65" s="518" t="str">
        <f>IF(AND(_A5="B-737-800",'2025'!$E$4="FO",'2025'!$E$2=CB43),'2025DATA'!$I$24,"")</f>
        <v/>
      </c>
      <c r="CC65" s="518" t="str">
        <f>IF(AND(_A5="B-737-800",'2025'!$E$4="FO",'2025'!$E$2=CC43),'2025DATA'!$J$24,"")</f>
        <v/>
      </c>
      <c r="CD65" s="518" t="str">
        <f>IF(AND(_A5="B-737-800",'2025'!$E$4="FO",'2025'!$E$2=CD43),'2025DATA'!$K$24,"")</f>
        <v/>
      </c>
      <c r="CE65" s="518" t="str">
        <f>IF(AND(_A5="B-737-800",'2025'!$E$4="FO",'2025'!$E$2=CE43),'2025DATA'!$L$24,"")</f>
        <v/>
      </c>
      <c r="CF65" s="518" t="str">
        <f>IF(AND(_A5="B-737-800",'2025'!$E$4="FO",'2025'!$E$2=CF43),'2025DATA'!$M$24,"")</f>
        <v/>
      </c>
      <c r="CG65" s="520" t="str">
        <f>IF(AND(_A5="B-737-800",'2025'!$E$4="FO",'2025'!$E$2=CG43),'2025DATA'!$N$24,"")</f>
        <v/>
      </c>
      <c r="CH65" s="940"/>
      <c r="CI65" s="13" t="s">
        <v>62</v>
      </c>
      <c r="CJ65" s="518" t="str">
        <f>IF(AND(_A6="B-737-800",'2025'!$E$4="FO",'2025'!$E$2=CJ43),'2025DATA'!$C$24,"")</f>
        <v/>
      </c>
      <c r="CK65" s="518" t="str">
        <f>IF(AND(_A6="B-737-800",'2025'!$E$4="FO",'2025'!$E$2=CK43),'2025DATA'!$D$24,"")</f>
        <v/>
      </c>
      <c r="CL65" s="518" t="str">
        <f>IF(AND(_A6="B-737-800",'2025'!$E$4="FO",'2025'!$E$2=CL43),'2025DATA'!$E$24,"")</f>
        <v/>
      </c>
      <c r="CM65" s="518" t="str">
        <f>IF(AND(_A6="B-737-800",'2025'!$E$4="FO",'2025'!$E$2=CM43),'2025DATA'!$F$24,"")</f>
        <v/>
      </c>
      <c r="CN65" s="518" t="str">
        <f>IF(AND(_A6="B-737-800",'2025'!$E$4="FO",'2025'!$E$2=CN43),'2025DATA'!$G$24,"")</f>
        <v/>
      </c>
      <c r="CO65" s="518" t="str">
        <f>IF(AND(_A6="B-737-800",'2025'!$E$4="FO",'2025'!$E$2=CO43),'2025DATA'!$H$24,"")</f>
        <v/>
      </c>
      <c r="CP65" s="518" t="str">
        <f>IF(AND(_A6="B-737-800",'2025'!$E$4="FO",'2025'!$E$2=CP43),'2025DATA'!$I$24,"")</f>
        <v/>
      </c>
      <c r="CQ65" s="518" t="str">
        <f>IF(AND(_A6="B-737-800",'2025'!$E$4="FO",'2025'!$E$2=CQ43),'2025DATA'!$J$24,"")</f>
        <v/>
      </c>
      <c r="CR65" s="518" t="str">
        <f>IF(AND(_A6="B-737-800",'2025'!$E$4="FO",'2025'!$E$2=CR43),'2025DATA'!$K$24,"")</f>
        <v/>
      </c>
      <c r="CS65" s="518" t="str">
        <f>IF(AND(_A6="B-737-800",'2025'!$E$4="FO",'2025'!$E$2=CS43),'2025DATA'!$L$24,"")</f>
        <v/>
      </c>
      <c r="CT65" s="518" t="str">
        <f>IF(AND(_A6="B-737-800",'2025'!$E$4="FO",'2025'!$E$2=CT43),'2025DATA'!$M$24,"")</f>
        <v/>
      </c>
      <c r="CU65" s="520" t="str">
        <f>IF(AND(_A6="B-737-800",'2025'!$E$4="FO",'2025'!$E$2=CU43),'2025DATA'!$N$24,"")</f>
        <v/>
      </c>
    </row>
    <row r="66" spans="16:99" x14ac:dyDescent="0.25">
      <c r="P66" s="940" t="s">
        <v>46</v>
      </c>
      <c r="Q66" s="13" t="s">
        <v>61</v>
      </c>
      <c r="R66" s="518" t="str">
        <f>IF(AND(_A1="A-321N",'2025'!$E$4="CA",'2025'!$E$2=R43),'2025DATA'!$C$25,"")</f>
        <v/>
      </c>
      <c r="S66" s="518" t="str">
        <f>IF(AND(_A1="A-321N",'2025'!$E$4="CA",'2025'!$E$2=S43),'2025DATA'!$D$25,"")</f>
        <v/>
      </c>
      <c r="T66" s="518" t="str">
        <f>IF(AND(_A1="A-321N",'2025'!$E$4="CA",'2025'!$E$2=T43),'2025DATA'!$E$25,"")</f>
        <v/>
      </c>
      <c r="U66" s="518" t="str">
        <f>IF(AND(_A1="A-321N",'2025'!$E$4="CA",'2025'!$E$2=U43),'2025DATA'!$F$25,"")</f>
        <v/>
      </c>
      <c r="V66" s="518" t="str">
        <f>IF(AND(_A1="A-321N",'2025'!$E$4="CA",'2025'!$E$2=V43),'2025DATA'!$G$25,"")</f>
        <v/>
      </c>
      <c r="W66" s="518" t="str">
        <f>IF(AND(_A1="A-321N",'2025'!$E$4="CA",'2025'!$E$2=W43),'2025DATA'!$H$25,"")</f>
        <v/>
      </c>
      <c r="X66" s="518" t="str">
        <f>IF(AND(_A1="A-321N",'2025'!$E$4="CA",'2025'!$E$2=X43),'2025DATA'!$I$25,"")</f>
        <v/>
      </c>
      <c r="Y66" s="518" t="str">
        <f>IF(AND(_A1="A-321N",'2025'!$E$4="CA",'2025'!$E$2=Y43),'2025DATA'!$J$25,"")</f>
        <v/>
      </c>
      <c r="Z66" s="518" t="str">
        <f>IF(AND(_A1="A-321N",'2025'!$E$4="CA",'2025'!$E$2=Z43),'2025DATA'!$K$25,"")</f>
        <v/>
      </c>
      <c r="AA66" s="518" t="str">
        <f>IF(AND(_A1="A-321N",'2025'!$E$4="CA",'2025'!$E$2=AA43),'2025DATA'!$L$25,"")</f>
        <v/>
      </c>
      <c r="AB66" s="518" t="str">
        <f>IF(AND(_A1="A-321N",'2025'!$E$4="CA",'2025'!$E$2=AB43),'2025DATA'!$M$25,"")</f>
        <v/>
      </c>
      <c r="AC66" s="520" t="str">
        <f>IF(AND(_A1="A-321N",'2025'!$E$4="CA",'2025'!$E$2=AC43),'2025DATA'!$N$25,"")</f>
        <v/>
      </c>
      <c r="AD66" s="940" t="s">
        <v>46</v>
      </c>
      <c r="AE66" s="13" t="s">
        <v>61</v>
      </c>
      <c r="AF66" s="518" t="str">
        <f>IF(AND(_A2="A-321N",'2025'!$E$4="CA",'2025'!$E$2=AF43),'2025DATA'!$C$25,"")</f>
        <v/>
      </c>
      <c r="AG66" s="518" t="str">
        <f>IF(AND(_A2="A-321N",'2025'!$E$4="CA",'2025'!$E$2=AG43),'2025DATA'!$D$25,"")</f>
        <v/>
      </c>
      <c r="AH66" s="518" t="str">
        <f>IF(AND(_A2="A-321N",'2025'!$E$4="CA",'2025'!$E$2=AH43),'2025DATA'!$E$25,"")</f>
        <v/>
      </c>
      <c r="AI66" s="518" t="str">
        <f>IF(AND(_A2="A-321N",'2025'!$E$4="CA",'2025'!$E$2=AI43),'2025DATA'!$F$25,"")</f>
        <v/>
      </c>
      <c r="AJ66" s="518" t="str">
        <f>IF(AND(_A2="A-321N",'2025'!$E$4="CA",'2025'!$E$2=AJ43),'2025DATA'!$G$25,"")</f>
        <v/>
      </c>
      <c r="AK66" s="518" t="str">
        <f>IF(AND(_A2="A-321N",'2025'!$E$4="CA",'2025'!$E$2=AK43),'2025DATA'!$H$25,"")</f>
        <v/>
      </c>
      <c r="AL66" s="518" t="str">
        <f>IF(AND(_A2="A-321N",'2025'!$E$4="CA",'2025'!$E$2=AL43),'2025DATA'!$I$25,"")</f>
        <v/>
      </c>
      <c r="AM66" s="518" t="str">
        <f>IF(AND(_A2="A-321N",'2025'!$E$4="CA",'2025'!$E$2=AM43),'2025DATA'!$J$25,"")</f>
        <v/>
      </c>
      <c r="AN66" s="518" t="str">
        <f>IF(AND(_A2="A-321N",'2025'!$E$4="CA",'2025'!$E$2=AN43),'2025DATA'!$K$25,"")</f>
        <v/>
      </c>
      <c r="AO66" s="518" t="str">
        <f>IF(AND(_A2="A-321N",'2025'!$E$4="CA",'2025'!$E$2=AO43),'2025DATA'!$L$25,"")</f>
        <v/>
      </c>
      <c r="AP66" s="518" t="str">
        <f>IF(AND(_A2="A-321N",'2025'!$E$4="CA",'2025'!$E$2=AP43),'2025DATA'!$M$25,"")</f>
        <v/>
      </c>
      <c r="AQ66" s="520" t="str">
        <f>IF(AND(_A2="A-321N",'2025'!$E$4="CA",'2025'!$E$2=AQ43),'2025DATA'!$N$25,"")</f>
        <v/>
      </c>
      <c r="AR66" s="940" t="s">
        <v>46</v>
      </c>
      <c r="AS66" s="13" t="s">
        <v>61</v>
      </c>
      <c r="AT66" s="518" t="str">
        <f>IF(AND(_A3="A-321N",'2025'!$E$4="CA",'2025'!$E$2=AT43),'2025DATA'!$C$25,"")</f>
        <v/>
      </c>
      <c r="AU66" s="518" t="str">
        <f>IF(AND(_A3="A-321N",'2025'!$E$4="CA",'2025'!$E$2=AU43),'2025DATA'!$D$25,"")</f>
        <v/>
      </c>
      <c r="AV66" s="518" t="str">
        <f>IF(AND(_A3="A-321N",'2025'!$E$4="CA",'2025'!$E$2=AV43),'2025DATA'!$E$25,"")</f>
        <v/>
      </c>
      <c r="AW66" s="518" t="str">
        <f>IF(AND(_A3="A-321N",'2025'!$E$4="CA",'2025'!$E$2=AW43),'2025DATA'!$F$25,"")</f>
        <v/>
      </c>
      <c r="AX66" s="518" t="str">
        <f>IF(AND(_A3="A-321N",'2025'!$E$4="CA",'2025'!$E$2=AX43),'2025DATA'!$G$25,"")</f>
        <v/>
      </c>
      <c r="AY66" s="518" t="str">
        <f>IF(AND(_A3="A-321N",'2025'!$E$4="CA",'2025'!$E$2=AY43),'2025DATA'!$H$25,"")</f>
        <v/>
      </c>
      <c r="AZ66" s="518" t="str">
        <f>IF(AND(_A3="A-321N",'2025'!$E$4="CA",'2025'!$E$2=AZ43),'2025DATA'!$I$25,"")</f>
        <v/>
      </c>
      <c r="BA66" s="518" t="str">
        <f>IF(AND(_A3="A-321N",'2025'!$E$4="CA",'2025'!$E$2=BA43),'2025DATA'!$J$25,"")</f>
        <v/>
      </c>
      <c r="BB66" s="518" t="str">
        <f>IF(AND(_A3="A-321N",'2025'!$E$4="CA",'2025'!$E$2=BB43),'2025DATA'!$K$25,"")</f>
        <v/>
      </c>
      <c r="BC66" s="518" t="str">
        <f>IF(AND(_A3="A-321N",'2025'!$E$4="CA",'2025'!$E$2=BC43),'2025DATA'!$L$25,"")</f>
        <v/>
      </c>
      <c r="BD66" s="518" t="str">
        <f>IF(AND(_A3="A-321N",'2025'!$E$4="CA",'2025'!$E$2=BD43),'2025DATA'!$M$25,"")</f>
        <v/>
      </c>
      <c r="BE66" s="520" t="str">
        <f>IF(AND(_A3="A-321N",'2025'!$E$4="CA",'2025'!$E$2=BE43),'2025DATA'!$N$25,"")</f>
        <v/>
      </c>
      <c r="BF66" s="940" t="s">
        <v>46</v>
      </c>
      <c r="BG66" s="13" t="s">
        <v>61</v>
      </c>
      <c r="BH66" s="518" t="str">
        <f>IF(AND(_A4="A-321N",'2025'!$E$4="CA",'2025'!$E$2=BH43),'2025DATA'!$C$25,"")</f>
        <v/>
      </c>
      <c r="BI66" s="518" t="str">
        <f>IF(AND(_A4="A-321N",'2025'!$E$4="CA",'2025'!$E$2=BI43),'2025DATA'!$D$25,"")</f>
        <v/>
      </c>
      <c r="BJ66" s="518" t="str">
        <f>IF(AND(_A4="A-321N",'2025'!$E$4="CA",'2025'!$E$2=BJ43),'2025DATA'!$E$25,"")</f>
        <v/>
      </c>
      <c r="BK66" s="518" t="str">
        <f>IF(AND(_A4="A-321N",'2025'!$E$4="CA",'2025'!$E$2=BK43),'2025DATA'!$F$25,"")</f>
        <v/>
      </c>
      <c r="BL66" s="518" t="str">
        <f>IF(AND(_A4="A-321N",'2025'!$E$4="CA",'2025'!$E$2=BL43),'2025DATA'!$G$25,"")</f>
        <v/>
      </c>
      <c r="BM66" s="518" t="str">
        <f>IF(AND(_A4="A-321N",'2025'!$E$4="CA",'2025'!$E$2=BM43),'2025DATA'!$H$25,"")</f>
        <v/>
      </c>
      <c r="BN66" s="518" t="str">
        <f>IF(AND(_A4="A-321N",'2025'!$E$4="CA",'2025'!$E$2=BN43),'2025DATA'!$I$25,"")</f>
        <v/>
      </c>
      <c r="BO66" s="518" t="str">
        <f>IF(AND(_A4="A-321N",'2025'!$E$4="CA",'2025'!$E$2=BO43),'2025DATA'!$J$25,"")</f>
        <v/>
      </c>
      <c r="BP66" s="518" t="str">
        <f>IF(AND(_A4="A-321N",'2025'!$E$4="CA",'2025'!$E$2=BP43),'2025DATA'!$K$25,"")</f>
        <v/>
      </c>
      <c r="BQ66" s="518" t="str">
        <f>IF(AND(_A4="A-321N",'2025'!$E$4="CA",'2025'!$E$2=BQ43),'2025DATA'!$L$25,"")</f>
        <v/>
      </c>
      <c r="BR66" s="518" t="str">
        <f>IF(AND(_A4="A-321N",'2025'!$E$4="CA",'2025'!$E$2=BR43),'2025DATA'!$M$25,"")</f>
        <v/>
      </c>
      <c r="BS66" s="520" t="str">
        <f>IF(AND(_A4="A-321N",'2025'!$E$4="CA",'2025'!$E$2=BS43),'2025DATA'!$N$25,"")</f>
        <v/>
      </c>
      <c r="BT66" s="940" t="s">
        <v>46</v>
      </c>
      <c r="BU66" s="13" t="s">
        <v>61</v>
      </c>
      <c r="BV66" s="518" t="str">
        <f>IF(AND(_A5="A-321N",'2025'!$E$4="CA",'2025'!$E$2=BV43),'2025DATA'!$C$25,"")</f>
        <v/>
      </c>
      <c r="BW66" s="518" t="str">
        <f>IF(AND(_A5="A-321N",'2025'!$E$4="CA",'2025'!$E$2=BW43),'2025DATA'!$D$25,"")</f>
        <v/>
      </c>
      <c r="BX66" s="518" t="str">
        <f>IF(AND(_A5="A-321N",'2025'!$E$4="CA",'2025'!$E$2=BX43),'2025DATA'!$E$25,"")</f>
        <v/>
      </c>
      <c r="BY66" s="518" t="str">
        <f>IF(AND(_A5="A-321N",'2025'!$E$4="CA",'2025'!$E$2=BY43),'2025DATA'!$F$25,"")</f>
        <v/>
      </c>
      <c r="BZ66" s="518" t="str">
        <f>IF(AND(_A5="A-321N",'2025'!$E$4="CA",'2025'!$E$2=BZ43),'2025DATA'!$G$25,"")</f>
        <v/>
      </c>
      <c r="CA66" s="518" t="str">
        <f>IF(AND(_A5="A-321N",'2025'!$E$4="CA",'2025'!$E$2=CA43),'2025DATA'!$H$25,"")</f>
        <v/>
      </c>
      <c r="CB66" s="518" t="str">
        <f>IF(AND(_A5="A-321N",'2025'!$E$4="CA",'2025'!$E$2=CB43),'2025DATA'!$I$25,"")</f>
        <v/>
      </c>
      <c r="CC66" s="518" t="str">
        <f>IF(AND(_A5="A-321N",'2025'!$E$4="CA",'2025'!$E$2=CC43),'2025DATA'!$J$25,"")</f>
        <v/>
      </c>
      <c r="CD66" s="518" t="str">
        <f>IF(AND(_A5="A-321N",'2025'!$E$4="CA",'2025'!$E$2=CD43),'2025DATA'!$K$25,"")</f>
        <v/>
      </c>
      <c r="CE66" s="518" t="str">
        <f>IF(AND(_A5="A-321N",'2025'!$E$4="CA",'2025'!$E$2=CE43),'2025DATA'!$L$25,"")</f>
        <v/>
      </c>
      <c r="CF66" s="518" t="str">
        <f>IF(AND(_A5="A-321N",'2025'!$E$4="CA",'2025'!$E$2=CF43),'2025DATA'!$M$25,"")</f>
        <v/>
      </c>
      <c r="CG66" s="520" t="str">
        <f>IF(AND(_A5="A-321N",'2025'!$E$4="CA",'2025'!$E$2=CG43),'2025DATA'!$N$25,"")</f>
        <v/>
      </c>
      <c r="CH66" s="940" t="s">
        <v>46</v>
      </c>
      <c r="CI66" s="13" t="s">
        <v>61</v>
      </c>
      <c r="CJ66" s="518" t="str">
        <f>IF(AND(_A6="A-321N",'2025'!$E$4="CA",'2025'!$E$2=CJ43),'2025DATA'!$C$25,"")</f>
        <v/>
      </c>
      <c r="CK66" s="518" t="str">
        <f>IF(AND(_A6="A-321N",'2025'!$E$4="CA",'2025'!$E$2=CK43),'2025DATA'!$D$25,"")</f>
        <v/>
      </c>
      <c r="CL66" s="518" t="str">
        <f>IF(AND(_A6="A-321N",'2025'!$E$4="CA",'2025'!$E$2=CL43),'2025DATA'!$E$25,"")</f>
        <v/>
      </c>
      <c r="CM66" s="518" t="str">
        <f>IF(AND(_A6="A-321N",'2025'!$E$4="CA",'2025'!$E$2=CM43),'2025DATA'!$F$25,"")</f>
        <v/>
      </c>
      <c r="CN66" s="518" t="str">
        <f>IF(AND(_A6="A-321N",'2025'!$E$4="CA",'2025'!$E$2=CN43),'2025DATA'!$G$25,"")</f>
        <v/>
      </c>
      <c r="CO66" s="518" t="str">
        <f>IF(AND(_A6="A-321N",'2025'!$E$4="CA",'2025'!$E$2=CO43),'2025DATA'!$H$25,"")</f>
        <v/>
      </c>
      <c r="CP66" s="518" t="str">
        <f>IF(AND(_A6="A-321N",'2025'!$E$4="CA",'2025'!$E$2=CP43),'2025DATA'!$I$25,"")</f>
        <v/>
      </c>
      <c r="CQ66" s="518" t="str">
        <f>IF(AND(_A6="A-321N",'2025'!$E$4="CA",'2025'!$E$2=CQ43),'2025DATA'!$J$25,"")</f>
        <v/>
      </c>
      <c r="CR66" s="518" t="str">
        <f>IF(AND(_A6="A-321N",'2025'!$E$4="CA",'2025'!$E$2=CR43),'2025DATA'!$K$25,"")</f>
        <v/>
      </c>
      <c r="CS66" s="518" t="str">
        <f>IF(AND(_A6="A-321N",'2025'!$E$4="CA",'2025'!$E$2=CS43),'2025DATA'!$L$25,"")</f>
        <v/>
      </c>
      <c r="CT66" s="518" t="str">
        <f>IF(AND(_A6="A-321N",'2025'!$E$4="CA",'2025'!$E$2=CT43),'2025DATA'!$M$25,"")</f>
        <v/>
      </c>
      <c r="CU66" s="520" t="str">
        <f>IF(AND(_A6="A-321N",'2025'!$E$4="CA",'2025'!$E$2=CU43),'2025DATA'!$N$25,"")</f>
        <v/>
      </c>
    </row>
    <row r="67" spans="16:99" x14ac:dyDescent="0.25">
      <c r="P67" s="940"/>
      <c r="Q67" s="13" t="s">
        <v>62</v>
      </c>
      <c r="R67" s="518" t="str">
        <f>IF(AND(_A1="A-321N",'2025'!$E$4="FO",'2025'!$E$2=R43),'2025DATA'!$C$26,"")</f>
        <v/>
      </c>
      <c r="S67" s="518" t="str">
        <f>IF(AND(_A1="A-321N",'2025'!$E$4="FO",'2025'!$E$2=S43),'2025DATA'!$D$26,"")</f>
        <v/>
      </c>
      <c r="T67" s="518" t="str">
        <f>IF(AND(_A1="A-321N",'2025'!$E$4="FO",'2025'!$E$2=T43),'2025DATA'!$E$26,"")</f>
        <v/>
      </c>
      <c r="U67" s="518" t="str">
        <f>IF(AND(_A1="A-321N",'2025'!$E$4="FO",'2025'!$E$2=U43),'2025DATA'!$F$26,"")</f>
        <v/>
      </c>
      <c r="V67" s="518" t="str">
        <f>IF(AND(_A1="A-321N",'2025'!$E$4="FO",'2025'!$E$2=V43),'2025DATA'!$G$26,"")</f>
        <v/>
      </c>
      <c r="W67" s="518" t="str">
        <f>IF(AND(_A1="A-321N",'2025'!$E$4="FO",'2025'!$E$2=W43),'2025DATA'!$H$26,"")</f>
        <v/>
      </c>
      <c r="X67" s="518" t="str">
        <f>IF(AND(_A1="A-321N",'2025'!$E$4="FO",'2025'!$E$2=X43),'2025DATA'!$I$26,"")</f>
        <v/>
      </c>
      <c r="Y67" s="518" t="str">
        <f>IF(AND(_A1="A-321N",'2025'!$E$4="FO",'2025'!$E$2=Y43),'2025DATA'!$J$26,"")</f>
        <v/>
      </c>
      <c r="Z67" s="518" t="str">
        <f>IF(AND(_A1="A-321N",'2025'!$E$4="FO",'2025'!$E$2=Z43),'2025DATA'!$K$26,"")</f>
        <v/>
      </c>
      <c r="AA67" s="518" t="str">
        <f>IF(AND(_A1="A-321N",'2025'!$E$4="FO",'2025'!$E$2=AA43),'2025DATA'!$L$26,"")</f>
        <v/>
      </c>
      <c r="AB67" s="518" t="str">
        <f>IF(AND(_A1="A-321N",'2025'!$E$4="FO",'2025'!$E$2=AB43),'2025DATA'!$M$26,"")</f>
        <v/>
      </c>
      <c r="AC67" s="520" t="str">
        <f>IF(AND(_A1="A-321N",'2025'!$E$4="FO",'2025'!$E$2=AC43),'2025DATA'!$N$26,"")</f>
        <v/>
      </c>
      <c r="AD67" s="940"/>
      <c r="AE67" s="13" t="s">
        <v>62</v>
      </c>
      <c r="AF67" s="518" t="str">
        <f>IF(AND(_A2="A-321N",'2025'!$E$4="FO",'2025'!$E$2=AF43),'2025DATA'!$C$26,"")</f>
        <v/>
      </c>
      <c r="AG67" s="518" t="str">
        <f>IF(AND(_A2="A-321N",'2025'!$E$4="FO",'2025'!$E$2=AG43),'2025DATA'!$D$26,"")</f>
        <v/>
      </c>
      <c r="AH67" s="518" t="str">
        <f>IF(AND(_A2="A-321N",'2025'!$E$4="FO",'2025'!$E$2=AH43),'2025DATA'!$E$26,"")</f>
        <v/>
      </c>
      <c r="AI67" s="518" t="str">
        <f>IF(AND(_A2="A-321N",'2025'!$E$4="FO",'2025'!$E$2=AI43),'2025DATA'!$F$26,"")</f>
        <v/>
      </c>
      <c r="AJ67" s="518" t="str">
        <f>IF(AND(_A2="A-321N",'2025'!$E$4="FO",'2025'!$E$2=AJ43),'2025DATA'!$G$26,"")</f>
        <v/>
      </c>
      <c r="AK67" s="518" t="str">
        <f>IF(AND(_A2="A-321N",'2025'!$E$4="FO",'2025'!$E$2=AK43),'2025DATA'!$H$26,"")</f>
        <v/>
      </c>
      <c r="AL67" s="518" t="str">
        <f>IF(AND(_A2="A-321N",'2025'!$E$4="FO",'2025'!$E$2=AL43),'2025DATA'!$I$26,"")</f>
        <v/>
      </c>
      <c r="AM67" s="518" t="str">
        <f>IF(AND(_A2="A-321N",'2025'!$E$4="FO",'2025'!$E$2=AM43),'2025DATA'!$J$26,"")</f>
        <v/>
      </c>
      <c r="AN67" s="518" t="str">
        <f>IF(AND(_A2="A-321N",'2025'!$E$4="FO",'2025'!$E$2=AN43),'2025DATA'!$K$26,"")</f>
        <v/>
      </c>
      <c r="AO67" s="518" t="str">
        <f>IF(AND(_A2="A-321N",'2025'!$E$4="FO",'2025'!$E$2=AO43),'2025DATA'!$L$26,"")</f>
        <v/>
      </c>
      <c r="AP67" s="518" t="str">
        <f>IF(AND(_A2="A-321N",'2025'!$E$4="FO",'2025'!$E$2=AP43),'2025DATA'!$M$26,"")</f>
        <v/>
      </c>
      <c r="AQ67" s="520" t="str">
        <f>IF(AND(_A2="A-321N",'2025'!$E$4="FO",'2025'!$E$2=AQ43),'2025DATA'!$N$26,"")</f>
        <v/>
      </c>
      <c r="AR67" s="940"/>
      <c r="AS67" s="13" t="s">
        <v>62</v>
      </c>
      <c r="AT67" s="518" t="str">
        <f>IF(AND(_A3="A-321N",'2025'!$E$4="FO",'2025'!$E$2=AT43),'2025DATA'!$C$26,"")</f>
        <v/>
      </c>
      <c r="AU67" s="518" t="str">
        <f>IF(AND(_A3="A-321N",'2025'!$E$4="FO",'2025'!$E$2=AU43),'2025DATA'!$D$26,"")</f>
        <v/>
      </c>
      <c r="AV67" s="518" t="str">
        <f>IF(AND(_A3="A-321N",'2025'!$E$4="FO",'2025'!$E$2=AV43),'2025DATA'!$E$26,"")</f>
        <v/>
      </c>
      <c r="AW67" s="518" t="str">
        <f>IF(AND(_A3="A-321N",'2025'!$E$4="FO",'2025'!$E$2=AW43),'2025DATA'!$F$26,"")</f>
        <v/>
      </c>
      <c r="AX67" s="518" t="str">
        <f>IF(AND(_A3="A-321N",'2025'!$E$4="FO",'2025'!$E$2=AX43),'2025DATA'!$G$26,"")</f>
        <v/>
      </c>
      <c r="AY67" s="518" t="str">
        <f>IF(AND(_A3="A-321N",'2025'!$E$4="FO",'2025'!$E$2=AY43),'2025DATA'!$H$26,"")</f>
        <v/>
      </c>
      <c r="AZ67" s="518" t="str">
        <f>IF(AND(_A3="A-321N",'2025'!$E$4="FO",'2025'!$E$2=AZ43),'2025DATA'!$I$26,"")</f>
        <v/>
      </c>
      <c r="BA67" s="518" t="str">
        <f>IF(AND(_A3="A-321N",'2025'!$E$4="FO",'2025'!$E$2=BA43),'2025DATA'!$J$26,"")</f>
        <v/>
      </c>
      <c r="BB67" s="518" t="str">
        <f>IF(AND(_A3="A-321N",'2025'!$E$4="FO",'2025'!$E$2=BB43),'2025DATA'!$K$26,"")</f>
        <v/>
      </c>
      <c r="BC67" s="518" t="str">
        <f>IF(AND(_A3="A-321N",'2025'!$E$4="FO",'2025'!$E$2=BC43),'2025DATA'!$L$26,"")</f>
        <v/>
      </c>
      <c r="BD67" s="518" t="str">
        <f>IF(AND(_A3="A-321N",'2025'!$E$4="FO",'2025'!$E$2=BD43),'2025DATA'!$M$26,"")</f>
        <v/>
      </c>
      <c r="BE67" s="520" t="str">
        <f>IF(AND(_A3="A-321N",'2025'!$E$4="FO",'2025'!$E$2=BE43),'2025DATA'!$N$26,"")</f>
        <v/>
      </c>
      <c r="BF67" s="940"/>
      <c r="BG67" s="13" t="s">
        <v>62</v>
      </c>
      <c r="BH67" s="518" t="str">
        <f>IF(AND(_A4="A-321N",'2025'!$E$4="FO",'2025'!$E$2=BH43),'2025DATA'!$C$26,"")</f>
        <v/>
      </c>
      <c r="BI67" s="518" t="str">
        <f>IF(AND(_A4="A-321N",'2025'!$E$4="FO",'2025'!$E$2=BI43),'2025DATA'!$D$26,"")</f>
        <v/>
      </c>
      <c r="BJ67" s="518" t="str">
        <f>IF(AND(_A4="A-321N",'2025'!$E$4="FO",'2025'!$E$2=BJ43),'2025DATA'!$E$26,"")</f>
        <v/>
      </c>
      <c r="BK67" s="518" t="str">
        <f>IF(AND(_A4="A-321N",'2025'!$E$4="FO",'2025'!$E$2=BK43),'2025DATA'!$F$26,"")</f>
        <v/>
      </c>
      <c r="BL67" s="518" t="str">
        <f>IF(AND(_A4="A-321N",'2025'!$E$4="FO",'2025'!$E$2=BL43),'2025DATA'!$G$26,"")</f>
        <v/>
      </c>
      <c r="BM67" s="518" t="str">
        <f>IF(AND(_A4="A-321N",'2025'!$E$4="FO",'2025'!$E$2=BM43),'2025DATA'!$H$26,"")</f>
        <v/>
      </c>
      <c r="BN67" s="518" t="str">
        <f>IF(AND(_A4="A-321N",'2025'!$E$4="FO",'2025'!$E$2=BN43),'2025DATA'!$I$26,"")</f>
        <v/>
      </c>
      <c r="BO67" s="518" t="str">
        <f>IF(AND(_A4="A-321N",'2025'!$E$4="FO",'2025'!$E$2=BO43),'2025DATA'!$J$26,"")</f>
        <v/>
      </c>
      <c r="BP67" s="518" t="str">
        <f>IF(AND(_A4="A-321N",'2025'!$E$4="FO",'2025'!$E$2=BP43),'2025DATA'!$K$26,"")</f>
        <v/>
      </c>
      <c r="BQ67" s="518" t="str">
        <f>IF(AND(_A4="A-321N",'2025'!$E$4="FO",'2025'!$E$2=BQ43),'2025DATA'!$L$26,"")</f>
        <v/>
      </c>
      <c r="BR67" s="518" t="str">
        <f>IF(AND(_A4="A-321N",'2025'!$E$4="FO",'2025'!$E$2=BR43),'2025DATA'!$M$26,"")</f>
        <v/>
      </c>
      <c r="BS67" s="520" t="str">
        <f>IF(AND(_A4="A-321N",'2025'!$E$4="FO",'2025'!$E$2=BS43),'2025DATA'!$N$26,"")</f>
        <v/>
      </c>
      <c r="BT67" s="940"/>
      <c r="BU67" s="13" t="s">
        <v>62</v>
      </c>
      <c r="BV67" s="518" t="str">
        <f>IF(AND(_A5="A-321N",'2025'!$E$4="FO",'2025'!$E$2=BV43),'2025DATA'!$C$26,"")</f>
        <v/>
      </c>
      <c r="BW67" s="518" t="str">
        <f>IF(AND(_A5="A-321N",'2025'!$E$4="FO",'2025'!$E$2=BW43),'2025DATA'!$D$26,"")</f>
        <v/>
      </c>
      <c r="BX67" s="518" t="str">
        <f>IF(AND(_A5="A-321N",'2025'!$E$4="FO",'2025'!$E$2=BX43),'2025DATA'!$E$26,"")</f>
        <v/>
      </c>
      <c r="BY67" s="518" t="str">
        <f>IF(AND(_A5="A-321N",'2025'!$E$4="FO",'2025'!$E$2=BY43),'2025DATA'!$F$26,"")</f>
        <v/>
      </c>
      <c r="BZ67" s="518" t="str">
        <f>IF(AND(_A5="A-321N",'2025'!$E$4="FO",'2025'!$E$2=BZ43),'2025DATA'!$G$26,"")</f>
        <v/>
      </c>
      <c r="CA67" s="518" t="str">
        <f>IF(AND(_A5="A-321N",'2025'!$E$4="FO",'2025'!$E$2=CA43),'2025DATA'!$H$26,"")</f>
        <v/>
      </c>
      <c r="CB67" s="518" t="str">
        <f>IF(AND(_A5="A-321N",'2025'!$E$4="FO",'2025'!$E$2=CB43),'2025DATA'!$I$26,"")</f>
        <v/>
      </c>
      <c r="CC67" s="518" t="str">
        <f>IF(AND(_A5="A-321N",'2025'!$E$4="FO",'2025'!$E$2=CC43),'2025DATA'!$J$26,"")</f>
        <v/>
      </c>
      <c r="CD67" s="518" t="str">
        <f>IF(AND(_A5="A-321N",'2025'!$E$4="FO",'2025'!$E$2=CD43),'2025DATA'!$K$26,"")</f>
        <v/>
      </c>
      <c r="CE67" s="518" t="str">
        <f>IF(AND(_A5="A-321N",'2025'!$E$4="FO",'2025'!$E$2=CE43),'2025DATA'!$L$26,"")</f>
        <v/>
      </c>
      <c r="CF67" s="518" t="str">
        <f>IF(AND(_A5="A-321N",'2025'!$E$4="FO",'2025'!$E$2=CF43),'2025DATA'!$M$26,"")</f>
        <v/>
      </c>
      <c r="CG67" s="520" t="str">
        <f>IF(AND(_A5="A-321N",'2025'!$E$4="FO",'2025'!$E$2=CG43),'2025DATA'!$N$26,"")</f>
        <v/>
      </c>
      <c r="CH67" s="940"/>
      <c r="CI67" s="13" t="s">
        <v>62</v>
      </c>
      <c r="CJ67" s="518" t="str">
        <f>IF(AND(_A6="A-321N",'2025'!$E$4="FO",'2025'!$E$2=CJ43),'2025DATA'!$C$26,"")</f>
        <v/>
      </c>
      <c r="CK67" s="518" t="str">
        <f>IF(AND(_A6="A-321N",'2025'!$E$4="FO",'2025'!$E$2=CK43),'2025DATA'!$D$26,"")</f>
        <v/>
      </c>
      <c r="CL67" s="518" t="str">
        <f>IF(AND(_A6="A-321N",'2025'!$E$4="FO",'2025'!$E$2=CL43),'2025DATA'!$E$26,"")</f>
        <v/>
      </c>
      <c r="CM67" s="518" t="str">
        <f>IF(AND(_A6="A-321N",'2025'!$E$4="FO",'2025'!$E$2=CM43),'2025DATA'!$F$26,"")</f>
        <v/>
      </c>
      <c r="CN67" s="518" t="str">
        <f>IF(AND(_A6="A-321N",'2025'!$E$4="FO",'2025'!$E$2=CN43),'2025DATA'!$G$26,"")</f>
        <v/>
      </c>
      <c r="CO67" s="518" t="str">
        <f>IF(AND(_A6="A-321N",'2025'!$E$4="FO",'2025'!$E$2=CO43),'2025DATA'!$H$26,"")</f>
        <v/>
      </c>
      <c r="CP67" s="518" t="str">
        <f>IF(AND(_A6="A-321N",'2025'!$E$4="FO",'2025'!$E$2=CP43),'2025DATA'!$I$26,"")</f>
        <v/>
      </c>
      <c r="CQ67" s="518" t="str">
        <f>IF(AND(_A6="A-321N",'2025'!$E$4="FO",'2025'!$E$2=CQ43),'2025DATA'!$J$26,"")</f>
        <v/>
      </c>
      <c r="CR67" s="518" t="str">
        <f>IF(AND(_A6="A-321N",'2025'!$E$4="FO",'2025'!$E$2=CR43),'2025DATA'!$K$26,"")</f>
        <v/>
      </c>
      <c r="CS67" s="518" t="str">
        <f>IF(AND(_A6="A-321N",'2025'!$E$4="FO",'2025'!$E$2=CS43),'2025DATA'!$L$26,"")</f>
        <v/>
      </c>
      <c r="CT67" s="518" t="str">
        <f>IF(AND(_A6="A-321N",'2025'!$E$4="FO",'2025'!$E$2=CT43),'2025DATA'!$M$26,"")</f>
        <v/>
      </c>
      <c r="CU67" s="520" t="str">
        <f>IF(AND(_A6="A-321N",'2025'!$E$4="FO",'2025'!$E$2=CU43),'2025DATA'!$N$26,"")</f>
        <v/>
      </c>
    </row>
    <row r="68" spans="16:99" x14ac:dyDescent="0.25">
      <c r="P68" s="940" t="s">
        <v>48</v>
      </c>
      <c r="Q68" s="13" t="s">
        <v>61</v>
      </c>
      <c r="R68" s="518" t="str">
        <f>IF(AND(_A1="A-321",'2025'!$E$4="CA",'2025'!$E$2=R43),'2025DATA'!$C$27,"")</f>
        <v/>
      </c>
      <c r="S68" s="518" t="str">
        <f>IF(AND(_A1="A-321",'2025'!$E$4="CA",'2025'!$E$2=S43),'2025DATA'!$D$27,"")</f>
        <v/>
      </c>
      <c r="T68" s="518" t="str">
        <f>IF(AND(_A1="A-321",'2025'!$E$4="CA",'2025'!$E$2=T43),'2025DATA'!$E$27,"")</f>
        <v/>
      </c>
      <c r="U68" s="518" t="str">
        <f>IF(AND(_A1="A-321",'2025'!$E$4="CA",'2025'!$E$2=U43),'2025DATA'!$F$27,"")</f>
        <v/>
      </c>
      <c r="V68" s="518" t="str">
        <f>IF(AND(_A1="A-321",'2025'!$E$4="CA",'2025'!$E$2=V43),'2025DATA'!$G$27,"")</f>
        <v/>
      </c>
      <c r="W68" s="518" t="str">
        <f>IF(AND(_A1="A-321",'2025'!$E$4="CA",'2025'!$E$2=W43),'2025DATA'!$H$27,"")</f>
        <v/>
      </c>
      <c r="X68" s="518" t="str">
        <f>IF(AND(_A1="A-321",'2025'!$E$4="CA",'2025'!$E$2=X43),'2025DATA'!$I$27,"")</f>
        <v/>
      </c>
      <c r="Y68" s="518" t="str">
        <f>IF(AND(_A1="A-321",'2025'!$E$4="CA",'2025'!$E$2=Y43),'2025DATA'!$J$27,"")</f>
        <v/>
      </c>
      <c r="Z68" s="518" t="str">
        <f>IF(AND(_A1="A-321",'2025'!$E$4="CA",'2025'!$E$2=Z43),'2025DATA'!$K$27,"")</f>
        <v/>
      </c>
      <c r="AA68" s="518" t="str">
        <f>IF(AND(_A1="A-321",'2025'!$E$4="CA",'2025'!$E$2=AA43),'2025DATA'!$L$27,"")</f>
        <v/>
      </c>
      <c r="AB68" s="518" t="str">
        <f>IF(AND(_A1="A-321",'2025'!$E$4="CA",'2025'!$E$2=AB43),'2025DATA'!$M$27,"")</f>
        <v/>
      </c>
      <c r="AC68" s="520" t="str">
        <f>IF(AND(_A1="A-321",'2025'!$E$4="CA",'2025'!$E$2=AC43),'2025DATA'!$N$27,"")</f>
        <v/>
      </c>
      <c r="AD68" s="940" t="s">
        <v>48</v>
      </c>
      <c r="AE68" s="13" t="s">
        <v>61</v>
      </c>
      <c r="AF68" s="518" t="str">
        <f>IF(AND(_A2="A-321",'2025'!$E$4="CA",'2025'!$E$2=AF43),'2025DATA'!$C$27,"")</f>
        <v/>
      </c>
      <c r="AG68" s="518" t="str">
        <f>IF(AND(_A2="A-321",'2025'!$E$4="CA",'2025'!$E$2=AG43),'2025DATA'!$D$27,"")</f>
        <v/>
      </c>
      <c r="AH68" s="518" t="str">
        <f>IF(AND(_A2="A-321",'2025'!$E$4="CA",'2025'!$E$2=AH43),'2025DATA'!$E$27,"")</f>
        <v/>
      </c>
      <c r="AI68" s="518" t="str">
        <f>IF(AND(_A2="A-321",'2025'!$E$4="CA",'2025'!$E$2=AI43),'2025DATA'!$F$27,"")</f>
        <v/>
      </c>
      <c r="AJ68" s="518" t="str">
        <f>IF(AND(_A2="A-321",'2025'!$E$4="CA",'2025'!$E$2=AJ43),'2025DATA'!$G$27,"")</f>
        <v/>
      </c>
      <c r="AK68" s="518" t="str">
        <f>IF(AND(_A2="A-321",'2025'!$E$4="CA",'2025'!$E$2=AK43),'2025DATA'!$H$27,"")</f>
        <v/>
      </c>
      <c r="AL68" s="518" t="str">
        <f>IF(AND(_A2="A-321",'2025'!$E$4="CA",'2025'!$E$2=AL43),'2025DATA'!$I$27,"")</f>
        <v/>
      </c>
      <c r="AM68" s="518" t="str">
        <f>IF(AND(_A2="A-321",'2025'!$E$4="CA",'2025'!$E$2=AM43),'2025DATA'!$J$27,"")</f>
        <v/>
      </c>
      <c r="AN68" s="518" t="str">
        <f>IF(AND(_A2="A-321",'2025'!$E$4="CA",'2025'!$E$2=AN43),'2025DATA'!$K$27,"")</f>
        <v/>
      </c>
      <c r="AO68" s="518" t="str">
        <f>IF(AND(_A2="A-321",'2025'!$E$4="CA",'2025'!$E$2=AO43),'2025DATA'!$L$27,"")</f>
        <v/>
      </c>
      <c r="AP68" s="518" t="str">
        <f>IF(AND(_A2="A-321",'2025'!$E$4="CA",'2025'!$E$2=AP43),'2025DATA'!$M$27,"")</f>
        <v/>
      </c>
      <c r="AQ68" s="520" t="str">
        <f>IF(AND(_A2="A-321",'2025'!$E$4="CA",'2025'!$E$2=AQ43),'2025DATA'!$N$27,"")</f>
        <v/>
      </c>
      <c r="AR68" s="940" t="s">
        <v>48</v>
      </c>
      <c r="AS68" s="13" t="s">
        <v>61</v>
      </c>
      <c r="AT68" s="518" t="str">
        <f>IF(AND(_A3="A-321",'2025'!$E$4="CA",'2025'!$E$2=AT43),'2025DATA'!$C$27,"")</f>
        <v/>
      </c>
      <c r="AU68" s="518" t="str">
        <f>IF(AND(_A3="A-321",'2025'!$E$4="CA",'2025'!$E$2=AU43),'2025DATA'!$D$27,"")</f>
        <v/>
      </c>
      <c r="AV68" s="518" t="str">
        <f>IF(AND(_A3="A-321",'2025'!$E$4="CA",'2025'!$E$2=AV43),'2025DATA'!$E$27,"")</f>
        <v/>
      </c>
      <c r="AW68" s="518" t="str">
        <f>IF(AND(_A3="A-321",'2025'!$E$4="CA",'2025'!$E$2=AW43),'2025DATA'!$F$27,"")</f>
        <v/>
      </c>
      <c r="AX68" s="518" t="str">
        <f>IF(AND(_A3="A-321",'2025'!$E$4="CA",'2025'!$E$2=AX43),'2025DATA'!$G$27,"")</f>
        <v/>
      </c>
      <c r="AY68" s="518" t="str">
        <f>IF(AND(_A3="A-321",'2025'!$E$4="CA",'2025'!$E$2=AY43),'2025DATA'!$H$27,"")</f>
        <v/>
      </c>
      <c r="AZ68" s="518" t="str">
        <f>IF(AND(_A3="A-321",'2025'!$E$4="CA",'2025'!$E$2=AZ43),'2025DATA'!$I$27,"")</f>
        <v/>
      </c>
      <c r="BA68" s="518" t="str">
        <f>IF(AND(_A3="A-321",'2025'!$E$4="CA",'2025'!$E$2=BA43),'2025DATA'!$J$27,"")</f>
        <v/>
      </c>
      <c r="BB68" s="518" t="str">
        <f>IF(AND(_A3="A-321",'2025'!$E$4="CA",'2025'!$E$2=BB43),'2025DATA'!$K$27,"")</f>
        <v/>
      </c>
      <c r="BC68" s="518" t="str">
        <f>IF(AND(_A3="A-321",'2025'!$E$4="CA",'2025'!$E$2=BC43),'2025DATA'!$L$27,"")</f>
        <v/>
      </c>
      <c r="BD68" s="518" t="str">
        <f>IF(AND(_A3="A-321",'2025'!$E$4="CA",'2025'!$E$2=BD43),'2025DATA'!$M$27,"")</f>
        <v/>
      </c>
      <c r="BE68" s="520" t="str">
        <f>IF(AND(_A3="A-321",'2025'!$E$4="CA",'2025'!$E$2=BE43),'2025DATA'!$N$27,"")</f>
        <v/>
      </c>
      <c r="BF68" s="940" t="s">
        <v>48</v>
      </c>
      <c r="BG68" s="13" t="s">
        <v>61</v>
      </c>
      <c r="BH68" s="518" t="str">
        <f>IF(AND(_A4="A-321",'2025'!$E$4="CA",'2025'!$E$2=BH43),'2025DATA'!$C$27,"")</f>
        <v/>
      </c>
      <c r="BI68" s="518" t="str">
        <f>IF(AND(_A4="A-321",'2025'!$E$4="CA",'2025'!$E$2=BI43),'2025DATA'!$D$27,"")</f>
        <v/>
      </c>
      <c r="BJ68" s="518" t="str">
        <f>IF(AND(_A4="A-321",'2025'!$E$4="CA",'2025'!$E$2=BJ43),'2025DATA'!$E$27,"")</f>
        <v/>
      </c>
      <c r="BK68" s="518" t="str">
        <f>IF(AND(_A4="A-321",'2025'!$E$4="CA",'2025'!$E$2=BK43),'2025DATA'!$F$27,"")</f>
        <v/>
      </c>
      <c r="BL68" s="518" t="str">
        <f>IF(AND(_A4="A-321",'2025'!$E$4="CA",'2025'!$E$2=BL43),'2025DATA'!$G$27,"")</f>
        <v/>
      </c>
      <c r="BM68" s="518" t="str">
        <f>IF(AND(_A4="A-321",'2025'!$E$4="CA",'2025'!$E$2=BM43),'2025DATA'!$H$27,"")</f>
        <v/>
      </c>
      <c r="BN68" s="518" t="str">
        <f>IF(AND(_A4="A-321",'2025'!$E$4="CA",'2025'!$E$2=BN43),'2025DATA'!$I$27,"")</f>
        <v/>
      </c>
      <c r="BO68" s="518" t="str">
        <f>IF(AND(_A4="A-321",'2025'!$E$4="CA",'2025'!$E$2=BO43),'2025DATA'!$J$27,"")</f>
        <v/>
      </c>
      <c r="BP68" s="518" t="str">
        <f>IF(AND(_A4="A-321",'2025'!$E$4="CA",'2025'!$E$2=BP43),'2025DATA'!$K$27,"")</f>
        <v/>
      </c>
      <c r="BQ68" s="518" t="str">
        <f>IF(AND(_A4="A-321",'2025'!$E$4="CA",'2025'!$E$2=BQ43),'2025DATA'!$L$27,"")</f>
        <v/>
      </c>
      <c r="BR68" s="518" t="str">
        <f>IF(AND(_A4="A-321",'2025'!$E$4="CA",'2025'!$E$2=BR43),'2025DATA'!$M$27,"")</f>
        <v/>
      </c>
      <c r="BS68" s="520" t="str">
        <f>IF(AND(_A4="A-321",'2025'!$E$4="CA",'2025'!$E$2=BS43),'2025DATA'!$N$27,"")</f>
        <v/>
      </c>
      <c r="BT68" s="940" t="s">
        <v>48</v>
      </c>
      <c r="BU68" s="13" t="s">
        <v>61</v>
      </c>
      <c r="BV68" s="518" t="str">
        <f>IF(AND(_A5="A-321",'2025'!$E$4="CA",'2025'!$E$2=BV43),'2025DATA'!$C$27,"")</f>
        <v/>
      </c>
      <c r="BW68" s="518" t="str">
        <f>IF(AND(_A5="A-321",'2025'!$E$4="CA",'2025'!$E$2=BW43),'2025DATA'!$D$27,"")</f>
        <v/>
      </c>
      <c r="BX68" s="518" t="str">
        <f>IF(AND(_A5="A-321",'2025'!$E$4="CA",'2025'!$E$2=BX43),'2025DATA'!$E$27,"")</f>
        <v/>
      </c>
      <c r="BY68" s="518" t="str">
        <f>IF(AND(_A5="A-321",'2025'!$E$4="CA",'2025'!$E$2=BY43),'2025DATA'!$F$27,"")</f>
        <v/>
      </c>
      <c r="BZ68" s="518" t="str">
        <f>IF(AND(_A5="A-321",'2025'!$E$4="CA",'2025'!$E$2=BZ43),'2025DATA'!$G$27,"")</f>
        <v/>
      </c>
      <c r="CA68" s="518" t="str">
        <f>IF(AND(_A5="A-321",'2025'!$E$4="CA",'2025'!$E$2=CA43),'2025DATA'!$H$27,"")</f>
        <v/>
      </c>
      <c r="CB68" s="518" t="str">
        <f>IF(AND(_A5="A-321",'2025'!$E$4="CA",'2025'!$E$2=CB43),'2025DATA'!$I$27,"")</f>
        <v/>
      </c>
      <c r="CC68" s="518" t="str">
        <f>IF(AND(_A5="A-321",'2025'!$E$4="CA",'2025'!$E$2=CC43),'2025DATA'!$J$27,"")</f>
        <v/>
      </c>
      <c r="CD68" s="518" t="str">
        <f>IF(AND(_A5="A-321",'2025'!$E$4="CA",'2025'!$E$2=CD43),'2025DATA'!$K$27,"")</f>
        <v/>
      </c>
      <c r="CE68" s="518" t="str">
        <f>IF(AND(_A5="A-321",'2025'!$E$4="CA",'2025'!$E$2=CE43),'2025DATA'!$L$27,"")</f>
        <v/>
      </c>
      <c r="CF68" s="518" t="str">
        <f>IF(AND(_A5="A-321",'2025'!$E$4="CA",'2025'!$E$2=CF43),'2025DATA'!$M$27,"")</f>
        <v/>
      </c>
      <c r="CG68" s="520" t="str">
        <f>IF(AND(_A5="A-321",'2025'!$E$4="CA",'2025'!$E$2=CG43),'2025DATA'!$N$27,"")</f>
        <v/>
      </c>
      <c r="CH68" s="940" t="s">
        <v>48</v>
      </c>
      <c r="CI68" s="13" t="s">
        <v>61</v>
      </c>
      <c r="CJ68" s="518" t="str">
        <f>IF(AND(_A6="A-321",'2025'!$E$4="CA",'2025'!$E$2=CJ43),'2025DATA'!$C$27,"")</f>
        <v/>
      </c>
      <c r="CK68" s="518" t="str">
        <f>IF(AND(_A6="A-321",'2025'!$E$4="CA",'2025'!$E$2=CK43),'2025DATA'!$D$27,"")</f>
        <v/>
      </c>
      <c r="CL68" s="518" t="str">
        <f>IF(AND(_A6="A-321",'2025'!$E$4="CA",'2025'!$E$2=CL43),'2025DATA'!$E$27,"")</f>
        <v/>
      </c>
      <c r="CM68" s="518" t="str">
        <f>IF(AND(_A6="A-321",'2025'!$E$4="CA",'2025'!$E$2=CM43),'2025DATA'!$F$27,"")</f>
        <v/>
      </c>
      <c r="CN68" s="518" t="str">
        <f>IF(AND(_A6="A-321",'2025'!$E$4="CA",'2025'!$E$2=CN43),'2025DATA'!$G$27,"")</f>
        <v/>
      </c>
      <c r="CO68" s="518" t="str">
        <f>IF(AND(_A6="A-321",'2025'!$E$4="CA",'2025'!$E$2=CO43),'2025DATA'!$H$27,"")</f>
        <v/>
      </c>
      <c r="CP68" s="518" t="str">
        <f>IF(AND(_A6="A-321",'2025'!$E$4="CA",'2025'!$E$2=CP43),'2025DATA'!$I$27,"")</f>
        <v/>
      </c>
      <c r="CQ68" s="518" t="str">
        <f>IF(AND(_A6="A-321",'2025'!$E$4="CA",'2025'!$E$2=CQ43),'2025DATA'!$J$27,"")</f>
        <v/>
      </c>
      <c r="CR68" s="518" t="str">
        <f>IF(AND(_A6="A-321",'2025'!$E$4="CA",'2025'!$E$2=CR43),'2025DATA'!$K$27,"")</f>
        <v/>
      </c>
      <c r="CS68" s="518" t="str">
        <f>IF(AND(_A6="A-321",'2025'!$E$4="CA",'2025'!$E$2=CS43),'2025DATA'!$L$27,"")</f>
        <v/>
      </c>
      <c r="CT68" s="518" t="str">
        <f>IF(AND(_A6="A-321",'2025'!$E$4="CA",'2025'!$E$2=CT43),'2025DATA'!$M$27,"")</f>
        <v/>
      </c>
      <c r="CU68" s="520" t="str">
        <f>IF(AND(_A6="A-321",'2025'!$E$4="CA",'2025'!$E$2=CU43),'2025DATA'!$N$27,"")</f>
        <v/>
      </c>
    </row>
    <row r="69" spans="16:99" x14ac:dyDescent="0.25">
      <c r="P69" s="940"/>
      <c r="Q69" s="13" t="s">
        <v>62</v>
      </c>
      <c r="R69" s="518" t="str">
        <f>IF(AND(_A1="A-321",'2025'!$E$4="FO",'2025'!$E$2=R43),'2025DATA'!$C$28,"")</f>
        <v/>
      </c>
      <c r="S69" s="518" t="str">
        <f>IF(AND(_A1="A-321",'2025'!$E$4="FO",'2025'!$E$2=S43),'2025DATA'!$D$28,"")</f>
        <v/>
      </c>
      <c r="T69" s="518" t="str">
        <f>IF(AND(_A1="A-321",'2025'!$E$4="FO",'2025'!$E$2=T43),'2025DATA'!$E$28,"")</f>
        <v/>
      </c>
      <c r="U69" s="518" t="str">
        <f>IF(AND(_A1="A-321",'2025'!$E$4="FO",'2025'!$E$2=U43),'2025DATA'!$F$28,"")</f>
        <v/>
      </c>
      <c r="V69" s="518" t="str">
        <f>IF(AND(_A1="A-321",'2025'!$E$4="FO",'2025'!$E$2=V43),'2025DATA'!$G$28,"")</f>
        <v/>
      </c>
      <c r="W69" s="518" t="str">
        <f>IF(AND(_A1="A-321",'2025'!$E$4="FO",'2025'!$E$2=W43),'2025DATA'!$H$28,"")</f>
        <v/>
      </c>
      <c r="X69" s="518" t="str">
        <f>IF(AND(_A1="A-321",'2025'!$E$4="FO",'2025'!$E$2=X43),'2025DATA'!$I$28,"")</f>
        <v/>
      </c>
      <c r="Y69" s="518" t="str">
        <f>IF(AND(_A1="A-321",'2025'!$E$4="FO",'2025'!$E$2=Y43),'2025DATA'!$J$28,"")</f>
        <v/>
      </c>
      <c r="Z69" s="518" t="str">
        <f>IF(AND(_A1="A-321",'2025'!$E$4="FO",'2025'!$E$2=Z43),'2025DATA'!$K$28,"")</f>
        <v/>
      </c>
      <c r="AA69" s="518" t="str">
        <f>IF(AND(_A1="A-321",'2025'!$E$4="FO",'2025'!$E$2=AA43),'2025DATA'!$L$28,"")</f>
        <v/>
      </c>
      <c r="AB69" s="518" t="str">
        <f>IF(AND(_A1="A-321",'2025'!$E$4="FO",'2025'!$E$2=AB43),'2025DATA'!$M$28,"")</f>
        <v/>
      </c>
      <c r="AC69" s="520" t="str">
        <f>IF(AND(_A1="A-321",'2025'!$E$4="FO",'2025'!$E$2=AC43),'2025DATA'!$N$28,"")</f>
        <v/>
      </c>
      <c r="AD69" s="940"/>
      <c r="AE69" s="13" t="s">
        <v>62</v>
      </c>
      <c r="AF69" s="518" t="str">
        <f>IF(AND(_A2="A-321",'2025'!$E$4="FO",'2025'!$E$2=AF43),'2025DATA'!$C$28,"")</f>
        <v/>
      </c>
      <c r="AG69" s="518" t="str">
        <f>IF(AND(_A2="A-321",'2025'!$E$4="FO",'2025'!$E$2=AG43),'2025DATA'!$D$28,"")</f>
        <v/>
      </c>
      <c r="AH69" s="518" t="str">
        <f>IF(AND(_A2="A-321",'2025'!$E$4="FO",'2025'!$E$2=AH43),'2025DATA'!$E$28,"")</f>
        <v/>
      </c>
      <c r="AI69" s="518" t="str">
        <f>IF(AND(_A2="A-321",'2025'!$E$4="FO",'2025'!$E$2=AI43),'2025DATA'!$F$28,"")</f>
        <v/>
      </c>
      <c r="AJ69" s="518" t="str">
        <f>IF(AND(_A2="A-321",'2025'!$E$4="FO",'2025'!$E$2=AJ43),'2025DATA'!$G$28,"")</f>
        <v/>
      </c>
      <c r="AK69" s="518" t="str">
        <f>IF(AND(_A2="A-321",'2025'!$E$4="FO",'2025'!$E$2=AK43),'2025DATA'!$H$28,"")</f>
        <v/>
      </c>
      <c r="AL69" s="518" t="str">
        <f>IF(AND(_A2="A-321",'2025'!$E$4="FO",'2025'!$E$2=AL43),'2025DATA'!$I$28,"")</f>
        <v/>
      </c>
      <c r="AM69" s="518" t="str">
        <f>IF(AND(_A2="A-321",'2025'!$E$4="FO",'2025'!$E$2=AM43),'2025DATA'!$J$28,"")</f>
        <v/>
      </c>
      <c r="AN69" s="518" t="str">
        <f>IF(AND(_A2="A-321",'2025'!$E$4="FO",'2025'!$E$2=AN43),'2025DATA'!$K$28,"")</f>
        <v/>
      </c>
      <c r="AO69" s="518" t="str">
        <f>IF(AND(_A2="A-321",'2025'!$E$4="FO",'2025'!$E$2=AO43),'2025DATA'!$L$28,"")</f>
        <v/>
      </c>
      <c r="AP69" s="518" t="str">
        <f>IF(AND(_A2="A-321",'2025'!$E$4="FO",'2025'!$E$2=AP43),'2025DATA'!$M$28,"")</f>
        <v/>
      </c>
      <c r="AQ69" s="520" t="str">
        <f>IF(AND(_A2="A-321",'2025'!$E$4="FO",'2025'!$E$2=AQ43),'2025DATA'!$N$28,"")</f>
        <v/>
      </c>
      <c r="AR69" s="940"/>
      <c r="AS69" s="13" t="s">
        <v>62</v>
      </c>
      <c r="AT69" s="518" t="str">
        <f>IF(AND(_A3="A-321",'2025'!$E$4="FO",'2025'!$E$2=AT43),'2025DATA'!$C$28,"")</f>
        <v/>
      </c>
      <c r="AU69" s="518" t="str">
        <f>IF(AND(_A3="A-321",'2025'!$E$4="FO",'2025'!$E$2=AU43),'2025DATA'!$D$28,"")</f>
        <v/>
      </c>
      <c r="AV69" s="518" t="str">
        <f>IF(AND(_A3="A-321",'2025'!$E$4="FO",'2025'!$E$2=AV43),'2025DATA'!$E$28,"")</f>
        <v/>
      </c>
      <c r="AW69" s="518" t="str">
        <f>IF(AND(_A3="A-321",'2025'!$E$4="FO",'2025'!$E$2=AW43),'2025DATA'!$F$28,"")</f>
        <v/>
      </c>
      <c r="AX69" s="518" t="str">
        <f>IF(AND(_A3="A-321",'2025'!$E$4="FO",'2025'!$E$2=AX43),'2025DATA'!$G$28,"")</f>
        <v/>
      </c>
      <c r="AY69" s="518" t="str">
        <f>IF(AND(_A3="A-321",'2025'!$E$4="FO",'2025'!$E$2=AY43),'2025DATA'!$H$28,"")</f>
        <v/>
      </c>
      <c r="AZ69" s="518" t="str">
        <f>IF(AND(_A3="A-321",'2025'!$E$4="FO",'2025'!$E$2=AZ43),'2025DATA'!$I$28,"")</f>
        <v/>
      </c>
      <c r="BA69" s="518" t="str">
        <f>IF(AND(_A3="A-321",'2025'!$E$4="FO",'2025'!$E$2=BA43),'2025DATA'!$J$28,"")</f>
        <v/>
      </c>
      <c r="BB69" s="518" t="str">
        <f>IF(AND(_A3="A-321",'2025'!$E$4="FO",'2025'!$E$2=BB43),'2025DATA'!$K$28,"")</f>
        <v/>
      </c>
      <c r="BC69" s="518" t="str">
        <f>IF(AND(_A3="A-321",'2025'!$E$4="FO",'2025'!$E$2=BC43),'2025DATA'!$L$28,"")</f>
        <v/>
      </c>
      <c r="BD69" s="518" t="str">
        <f>IF(AND(_A3="A-321",'2025'!$E$4="FO",'2025'!$E$2=BD43),'2025DATA'!$M$28,"")</f>
        <v/>
      </c>
      <c r="BE69" s="520" t="str">
        <f>IF(AND(_A3="A-321",'2025'!$E$4="FO",'2025'!$E$2=BE43),'2025DATA'!$N$28,"")</f>
        <v/>
      </c>
      <c r="BF69" s="940"/>
      <c r="BG69" s="13" t="s">
        <v>62</v>
      </c>
      <c r="BH69" s="518" t="str">
        <f>IF(AND(_A4="A-321",'2025'!$E$4="FO",'2025'!$E$2=BH43),'2025DATA'!$C$28,"")</f>
        <v/>
      </c>
      <c r="BI69" s="518" t="str">
        <f>IF(AND(_A4="A-321",'2025'!$E$4="FO",'2025'!$E$2=BI43),'2025DATA'!$D$28,"")</f>
        <v/>
      </c>
      <c r="BJ69" s="518" t="str">
        <f>IF(AND(_A4="A-321",'2025'!$E$4="FO",'2025'!$E$2=BJ43),'2025DATA'!$E$28,"")</f>
        <v/>
      </c>
      <c r="BK69" s="518" t="str">
        <f>IF(AND(_A4="A-321",'2025'!$E$4="FO",'2025'!$E$2=BK43),'2025DATA'!$F$28,"")</f>
        <v/>
      </c>
      <c r="BL69" s="518" t="str">
        <f>IF(AND(_A4="A-321",'2025'!$E$4="FO",'2025'!$E$2=BL43),'2025DATA'!$G$28,"")</f>
        <v/>
      </c>
      <c r="BM69" s="518" t="str">
        <f>IF(AND(_A4="A-321",'2025'!$E$4="FO",'2025'!$E$2=BM43),'2025DATA'!$H$28,"")</f>
        <v/>
      </c>
      <c r="BN69" s="518" t="str">
        <f>IF(AND(_A4="A-321",'2025'!$E$4="FO",'2025'!$E$2=BN43),'2025DATA'!$I$28,"")</f>
        <v/>
      </c>
      <c r="BO69" s="518" t="str">
        <f>IF(AND(_A4="A-321",'2025'!$E$4="FO",'2025'!$E$2=BO43),'2025DATA'!$J$28,"")</f>
        <v/>
      </c>
      <c r="BP69" s="518" t="str">
        <f>IF(AND(_A4="A-321",'2025'!$E$4="FO",'2025'!$E$2=BP43),'2025DATA'!$K$28,"")</f>
        <v/>
      </c>
      <c r="BQ69" s="518" t="str">
        <f>IF(AND(_A4="A-321",'2025'!$E$4="FO",'2025'!$E$2=BQ43),'2025DATA'!$L$28,"")</f>
        <v/>
      </c>
      <c r="BR69" s="518" t="str">
        <f>IF(AND(_A4="A-321",'2025'!$E$4="FO",'2025'!$E$2=BR43),'2025DATA'!$M$28,"")</f>
        <v/>
      </c>
      <c r="BS69" s="520" t="str">
        <f>IF(AND(_A4="A-321",'2025'!$E$4="FO",'2025'!$E$2=BS43),'2025DATA'!$N$28,"")</f>
        <v/>
      </c>
      <c r="BT69" s="940"/>
      <c r="BU69" s="13" t="s">
        <v>62</v>
      </c>
      <c r="BV69" s="518" t="str">
        <f>IF(AND(_A5="A-321",'2025'!$E$4="FO",'2025'!$E$2=BV43),'2025DATA'!$C$28,"")</f>
        <v/>
      </c>
      <c r="BW69" s="518" t="str">
        <f>IF(AND(_A5="A-321",'2025'!$E$4="FO",'2025'!$E$2=BW43),'2025DATA'!$D$28,"")</f>
        <v/>
      </c>
      <c r="BX69" s="518" t="str">
        <f>IF(AND(_A5="A-321",'2025'!$E$4="FO",'2025'!$E$2=BX43),'2025DATA'!$E$28,"")</f>
        <v/>
      </c>
      <c r="BY69" s="518" t="str">
        <f>IF(AND(_A5="A-321",'2025'!$E$4="FO",'2025'!$E$2=BY43),'2025DATA'!$F$28,"")</f>
        <v/>
      </c>
      <c r="BZ69" s="518" t="str">
        <f>IF(AND(_A5="A-321",'2025'!$E$4="FO",'2025'!$E$2=BZ43),'2025DATA'!$G$28,"")</f>
        <v/>
      </c>
      <c r="CA69" s="518" t="str">
        <f>IF(AND(_A5="A-321",'2025'!$E$4="FO",'2025'!$E$2=CA43),'2025DATA'!$H$28,"")</f>
        <v/>
      </c>
      <c r="CB69" s="518" t="str">
        <f>IF(AND(_A5="A-321",'2025'!$E$4="FO",'2025'!$E$2=CB43),'2025DATA'!$I$28,"")</f>
        <v/>
      </c>
      <c r="CC69" s="518" t="str">
        <f>IF(AND(_A5="A-321",'2025'!$E$4="FO",'2025'!$E$2=CC43),'2025DATA'!$J$28,"")</f>
        <v/>
      </c>
      <c r="CD69" s="518" t="str">
        <f>IF(AND(_A5="A-321",'2025'!$E$4="FO",'2025'!$E$2=CD43),'2025DATA'!$K$28,"")</f>
        <v/>
      </c>
      <c r="CE69" s="518" t="str">
        <f>IF(AND(_A5="A-321",'2025'!$E$4="FO",'2025'!$E$2=CE43),'2025DATA'!$L$28,"")</f>
        <v/>
      </c>
      <c r="CF69" s="518" t="str">
        <f>IF(AND(_A5="A-321",'2025'!$E$4="FO",'2025'!$E$2=CF43),'2025DATA'!$M$28,"")</f>
        <v/>
      </c>
      <c r="CG69" s="520" t="str">
        <f>IF(AND(_A5="A-321",'2025'!$E$4="FO",'2025'!$E$2=CG43),'2025DATA'!$N$28,"")</f>
        <v/>
      </c>
      <c r="CH69" s="940"/>
      <c r="CI69" s="13" t="s">
        <v>62</v>
      </c>
      <c r="CJ69" s="518" t="str">
        <f>IF(AND(_A6="A-321",'2025'!$E$4="FO",'2025'!$E$2=CJ43),'2025DATA'!$C$28,"")</f>
        <v/>
      </c>
      <c r="CK69" s="518" t="str">
        <f>IF(AND(_A6="A-321",'2025'!$E$4="FO",'2025'!$E$2=CK43),'2025DATA'!$D$28,"")</f>
        <v/>
      </c>
      <c r="CL69" s="518" t="str">
        <f>IF(AND(_A6="A-321",'2025'!$E$4="FO",'2025'!$E$2=CL43),'2025DATA'!$E$28,"")</f>
        <v/>
      </c>
      <c r="CM69" s="518" t="str">
        <f>IF(AND(_A6="A-321",'2025'!$E$4="FO",'2025'!$E$2=CM43),'2025DATA'!$F$28,"")</f>
        <v/>
      </c>
      <c r="CN69" s="518" t="str">
        <f>IF(AND(_A6="A-321",'2025'!$E$4="FO",'2025'!$E$2=CN43),'2025DATA'!$G$28,"")</f>
        <v/>
      </c>
      <c r="CO69" s="518" t="str">
        <f>IF(AND(_A6="A-321",'2025'!$E$4="FO",'2025'!$E$2=CO43),'2025DATA'!$H$28,"")</f>
        <v/>
      </c>
      <c r="CP69" s="518" t="str">
        <f>IF(AND(_A6="A-321",'2025'!$E$4="FO",'2025'!$E$2=CP43),'2025DATA'!$I$28,"")</f>
        <v/>
      </c>
      <c r="CQ69" s="518" t="str">
        <f>IF(AND(_A6="A-321",'2025'!$E$4="FO",'2025'!$E$2=CQ43),'2025DATA'!$J$28,"")</f>
        <v/>
      </c>
      <c r="CR69" s="518" t="str">
        <f>IF(AND(_A6="A-321",'2025'!$E$4="FO",'2025'!$E$2=CR43),'2025DATA'!$K$28,"")</f>
        <v/>
      </c>
      <c r="CS69" s="518" t="str">
        <f>IF(AND(_A6="A-321",'2025'!$E$4="FO",'2025'!$E$2=CS43),'2025DATA'!$L$28,"")</f>
        <v/>
      </c>
      <c r="CT69" s="518" t="str">
        <f>IF(AND(_A6="A-321",'2025'!$E$4="FO",'2025'!$E$2=CT43),'2025DATA'!$M$28,"")</f>
        <v/>
      </c>
      <c r="CU69" s="520" t="str">
        <f>IF(AND(_A6="A-321",'2025'!$E$4="FO",'2025'!$E$2=CU43),'2025DATA'!$N$28,"")</f>
        <v/>
      </c>
    </row>
    <row r="70" spans="16:99" x14ac:dyDescent="0.25">
      <c r="P70" s="940" t="s">
        <v>70</v>
      </c>
      <c r="Q70" s="13" t="s">
        <v>61</v>
      </c>
      <c r="R70" s="518" t="str">
        <f>IF(AND(_A1="A-320",'2025'!$E$4="CA",'2025'!$E$2=R43),'2025DATA'!$C$29,"")</f>
        <v/>
      </c>
      <c r="S70" s="518" t="str">
        <f>IF(AND(_A1="A-320",'2025'!$E$4="CA",'2025'!$E$2=S43),'2025DATA'!$D$29,"")</f>
        <v/>
      </c>
      <c r="T70" s="518" t="str">
        <f>IF(AND(_A1="A-320",'2025'!$E$4="CA",'2025'!$E$2=T43),'2025DATA'!$E$29,"")</f>
        <v/>
      </c>
      <c r="U70" s="518" t="str">
        <f>IF(AND(_A1="A-320",'2025'!$E$4="CA",'2025'!$E$2=U43),'2025DATA'!$F$29,"")</f>
        <v/>
      </c>
      <c r="V70" s="518" t="str">
        <f>IF(AND(_A1="A-320",'2025'!$E$4="CA",'2025'!$E$2=V43),'2025DATA'!$G$29,"")</f>
        <v/>
      </c>
      <c r="W70" s="518" t="str">
        <f>IF(AND(_A1="A-320",'2025'!$E$4="CA",'2025'!$E$2=W43),'2025DATA'!$H$29,"")</f>
        <v/>
      </c>
      <c r="X70" s="518" t="str">
        <f>IF(AND(_A1="A-320",'2025'!$E$4="CA",'2025'!$E$2=X43),'2025DATA'!$I$29,"")</f>
        <v/>
      </c>
      <c r="Y70" s="518" t="str">
        <f>IF(AND(_A1="A-320",'2025'!$E$4="CA",'2025'!$E$2=Y43),'2025DATA'!$J$29,"")</f>
        <v/>
      </c>
      <c r="Z70" s="518" t="str">
        <f>IF(AND(_A1="A-320",'2025'!$E$4="CA",'2025'!$E$2=Z43),'2025DATA'!$K$29,"")</f>
        <v/>
      </c>
      <c r="AA70" s="518" t="str">
        <f>IF(AND(_A1="A-320",'2025'!$E$4="CA",'2025'!$E$2=AA43),'2025DATA'!$L$29,"")</f>
        <v/>
      </c>
      <c r="AB70" s="518" t="str">
        <f>IF(AND(_A1="A-320",'2025'!$E$4="CA",'2025'!$E$2=AB43),'2025DATA'!$M$29,"")</f>
        <v/>
      </c>
      <c r="AC70" s="520" t="str">
        <f>IF(AND(_A1="A-320",'2025'!$E$4="CA",'2025'!$E$2=AC43),'2025DATA'!$N$29,"")</f>
        <v/>
      </c>
      <c r="AD70" s="940" t="s">
        <v>70</v>
      </c>
      <c r="AE70" s="13" t="s">
        <v>61</v>
      </c>
      <c r="AF70" s="518" t="str">
        <f>IF(AND(_A2="A-320",'2025'!$E$4="CA",'2025'!$E$2=AF43),'2025DATA'!$C$29,"")</f>
        <v/>
      </c>
      <c r="AG70" s="518" t="str">
        <f>IF(AND(_A2="A-320",'2025'!$E$4="CA",'2025'!$E$2=AG43),'2025DATA'!$D$29,"")</f>
        <v/>
      </c>
      <c r="AH70" s="518" t="str">
        <f>IF(AND(_A2="A-320",'2025'!$E$4="CA",'2025'!$E$2=AH43),'2025DATA'!$E$29,"")</f>
        <v/>
      </c>
      <c r="AI70" s="518" t="str">
        <f>IF(AND(_A2="A-320",'2025'!$E$4="CA",'2025'!$E$2=AI43),'2025DATA'!$F$29,"")</f>
        <v/>
      </c>
      <c r="AJ70" s="518" t="str">
        <f>IF(AND(_A2="A-320",'2025'!$E$4="CA",'2025'!$E$2=AJ43),'2025DATA'!$G$29,"")</f>
        <v/>
      </c>
      <c r="AK70" s="518" t="str">
        <f>IF(AND(_A2="A-320",'2025'!$E$4="CA",'2025'!$E$2=AK43),'2025DATA'!$H$29,"")</f>
        <v/>
      </c>
      <c r="AL70" s="518" t="str">
        <f>IF(AND(_A2="A-320",'2025'!$E$4="CA",'2025'!$E$2=AL43),'2025DATA'!$I$29,"")</f>
        <v/>
      </c>
      <c r="AM70" s="518" t="str">
        <f>IF(AND(_A2="A-320",'2025'!$E$4="CA",'2025'!$E$2=AM43),'2025DATA'!$J$29,"")</f>
        <v/>
      </c>
      <c r="AN70" s="518" t="str">
        <f>IF(AND(_A2="A-320",'2025'!$E$4="CA",'2025'!$E$2=AN43),'2025DATA'!$K$29,"")</f>
        <v/>
      </c>
      <c r="AO70" s="518" t="str">
        <f>IF(AND(_A2="A-320",'2025'!$E$4="CA",'2025'!$E$2=AO43),'2025DATA'!$L$29,"")</f>
        <v/>
      </c>
      <c r="AP70" s="518" t="str">
        <f>IF(AND(_A2="A-320",'2025'!$E$4="CA",'2025'!$E$2=AP43),'2025DATA'!$M$29,"")</f>
        <v/>
      </c>
      <c r="AQ70" s="520" t="str">
        <f>IF(AND(_A2="A-320",'2025'!$E$4="CA",'2025'!$E$2=AQ43),'2025DATA'!$N$29,"")</f>
        <v/>
      </c>
      <c r="AR70" s="940" t="s">
        <v>70</v>
      </c>
      <c r="AS70" s="13" t="s">
        <v>61</v>
      </c>
      <c r="AT70" s="518" t="str">
        <f>IF(AND(_A3="A-320",'2025'!$E$4="CA",'2025'!$E$2=AT43),'2025DATA'!$C$29,"")</f>
        <v/>
      </c>
      <c r="AU70" s="518" t="str">
        <f>IF(AND(_A3="A-320",'2025'!$E$4="CA",'2025'!$E$2=AU43),'2025DATA'!$D$29,"")</f>
        <v/>
      </c>
      <c r="AV70" s="518" t="str">
        <f>IF(AND(_A3="A-320",'2025'!$E$4="CA",'2025'!$E$2=AV43),'2025DATA'!$E$29,"")</f>
        <v/>
      </c>
      <c r="AW70" s="518" t="str">
        <f>IF(AND(_A3="A-320",'2025'!$E$4="CA",'2025'!$E$2=AW43),'2025DATA'!$F$29,"")</f>
        <v/>
      </c>
      <c r="AX70" s="518" t="str">
        <f>IF(AND(_A3="A-320",'2025'!$E$4="CA",'2025'!$E$2=AX43),'2025DATA'!$G$29,"")</f>
        <v/>
      </c>
      <c r="AY70" s="518" t="str">
        <f>IF(AND(_A3="A-320",'2025'!$E$4="CA",'2025'!$E$2=AY43),'2025DATA'!$H$29,"")</f>
        <v/>
      </c>
      <c r="AZ70" s="518" t="str">
        <f>IF(AND(_A3="A-320",'2025'!$E$4="CA",'2025'!$E$2=AZ43),'2025DATA'!$I$29,"")</f>
        <v/>
      </c>
      <c r="BA70" s="518" t="str">
        <f>IF(AND(_A3="A-320",'2025'!$E$4="CA",'2025'!$E$2=BA43),'2025DATA'!$J$29,"")</f>
        <v/>
      </c>
      <c r="BB70" s="518" t="str">
        <f>IF(AND(_A3="A-320",'2025'!$E$4="CA",'2025'!$E$2=BB43),'2025DATA'!$K$29,"")</f>
        <v/>
      </c>
      <c r="BC70" s="518" t="str">
        <f>IF(AND(_A3="A-320",'2025'!$E$4="CA",'2025'!$E$2=BC43),'2025DATA'!$L$29,"")</f>
        <v/>
      </c>
      <c r="BD70" s="518" t="str">
        <f>IF(AND(_A3="A-320",'2025'!$E$4="CA",'2025'!$E$2=BD43),'2025DATA'!$M$29,"")</f>
        <v/>
      </c>
      <c r="BE70" s="520" t="str">
        <f>IF(AND(_A3="A-320",'2025'!$E$4="CA",'2025'!$E$2=BE43),'2025DATA'!$N$29,"")</f>
        <v/>
      </c>
      <c r="BF70" s="940" t="s">
        <v>70</v>
      </c>
      <c r="BG70" s="13" t="s">
        <v>61</v>
      </c>
      <c r="BH70" s="518" t="str">
        <f>IF(AND(_A4="A-320",'2025'!$E$4="CA",'2025'!$E$2=BH43),'2025DATA'!$C$29,"")</f>
        <v/>
      </c>
      <c r="BI70" s="518" t="str">
        <f>IF(AND(_A4="A-320",'2025'!$E$4="CA",'2025'!$E$2=BI43),'2025DATA'!$D$29,"")</f>
        <v/>
      </c>
      <c r="BJ70" s="518" t="str">
        <f>IF(AND(_A4="A-320",'2025'!$E$4="CA",'2025'!$E$2=BJ43),'2025DATA'!$E$29,"")</f>
        <v/>
      </c>
      <c r="BK70" s="518" t="str">
        <f>IF(AND(_A4="A-320",'2025'!$E$4="CA",'2025'!$E$2=BK43),'2025DATA'!$F$29,"")</f>
        <v/>
      </c>
      <c r="BL70" s="518" t="str">
        <f>IF(AND(_A4="A-320",'2025'!$E$4="CA",'2025'!$E$2=BL43),'2025DATA'!$G$29,"")</f>
        <v/>
      </c>
      <c r="BM70" s="518" t="str">
        <f>IF(AND(_A4="A-320",'2025'!$E$4="CA",'2025'!$E$2=BM43),'2025DATA'!$H$29,"")</f>
        <v/>
      </c>
      <c r="BN70" s="518" t="str">
        <f>IF(AND(_A4="A-320",'2025'!$E$4="CA",'2025'!$E$2=BN43),'2025DATA'!$I$29,"")</f>
        <v/>
      </c>
      <c r="BO70" s="518" t="str">
        <f>IF(AND(_A4="A-320",'2025'!$E$4="CA",'2025'!$E$2=BO43),'2025DATA'!$J$29,"")</f>
        <v/>
      </c>
      <c r="BP70" s="518" t="str">
        <f>IF(AND(_A4="A-320",'2025'!$E$4="CA",'2025'!$E$2=BP43),'2025DATA'!$K$29,"")</f>
        <v/>
      </c>
      <c r="BQ70" s="518" t="str">
        <f>IF(AND(_A4="A-320",'2025'!$E$4="CA",'2025'!$E$2=BQ43),'2025DATA'!$L$29,"")</f>
        <v/>
      </c>
      <c r="BR70" s="518" t="str">
        <f>IF(AND(_A4="A-320",'2025'!$E$4="CA",'2025'!$E$2=BR43),'2025DATA'!$M$29,"")</f>
        <v/>
      </c>
      <c r="BS70" s="520" t="str">
        <f>IF(AND(_A4="A-320",'2025'!$E$4="CA",'2025'!$E$2=BS43),'2025DATA'!$N$29,"")</f>
        <v/>
      </c>
      <c r="BT70" s="940" t="s">
        <v>70</v>
      </c>
      <c r="BU70" s="13" t="s">
        <v>61</v>
      </c>
      <c r="BV70" s="518" t="str">
        <f>IF(AND(_A5="A-320",'2025'!$E$4="CA",'2025'!$E$2=BV43),'2025DATA'!$C$29,"")</f>
        <v/>
      </c>
      <c r="BW70" s="518" t="str">
        <f>IF(AND(_A5="A-320",'2025'!$E$4="CA",'2025'!$E$2=BW43),'2025DATA'!$D$29,"")</f>
        <v/>
      </c>
      <c r="BX70" s="518" t="str">
        <f>IF(AND(_A5="A-320",'2025'!$E$4="CA",'2025'!$E$2=BX43),'2025DATA'!$E$29,"")</f>
        <v/>
      </c>
      <c r="BY70" s="518" t="str">
        <f>IF(AND(_A5="A-320",'2025'!$E$4="CA",'2025'!$E$2=BY43),'2025DATA'!$F$29,"")</f>
        <v/>
      </c>
      <c r="BZ70" s="518" t="str">
        <f>IF(AND(_A5="A-320",'2025'!$E$4="CA",'2025'!$E$2=BZ43),'2025DATA'!$G$29,"")</f>
        <v/>
      </c>
      <c r="CA70" s="518" t="str">
        <f>IF(AND(_A5="A-320",'2025'!$E$4="CA",'2025'!$E$2=CA43),'2025DATA'!$H$29,"")</f>
        <v/>
      </c>
      <c r="CB70" s="518" t="str">
        <f>IF(AND(_A5="A-320",'2025'!$E$4="CA",'2025'!$E$2=CB43),'2025DATA'!$I$29,"")</f>
        <v/>
      </c>
      <c r="CC70" s="518" t="str">
        <f>IF(AND(_A5="A-320",'2025'!$E$4="CA",'2025'!$E$2=CC43),'2025DATA'!$J$29,"")</f>
        <v/>
      </c>
      <c r="CD70" s="518" t="str">
        <f>IF(AND(_A5="A-320",'2025'!$E$4="CA",'2025'!$E$2=CD43),'2025DATA'!$K$29,"")</f>
        <v/>
      </c>
      <c r="CE70" s="518" t="str">
        <f>IF(AND(_A5="A-320",'2025'!$E$4="CA",'2025'!$E$2=CE43),'2025DATA'!$L$29,"")</f>
        <v/>
      </c>
      <c r="CF70" s="518" t="str">
        <f>IF(AND(_A5="A-320",'2025'!$E$4="CA",'2025'!$E$2=CF43),'2025DATA'!$M$29,"")</f>
        <v/>
      </c>
      <c r="CG70" s="520" t="str">
        <f>IF(AND(_A5="A-320",'2025'!$E$4="CA",'2025'!$E$2=CG43),'2025DATA'!$N$29,"")</f>
        <v/>
      </c>
      <c r="CH70" s="940" t="s">
        <v>70</v>
      </c>
      <c r="CI70" s="13" t="s">
        <v>61</v>
      </c>
      <c r="CJ70" s="518" t="str">
        <f>IF(AND(_A6="A-320",'2025'!$E$4="CA",'2025'!$E$2=CJ43),'2025DATA'!$C$29,"")</f>
        <v/>
      </c>
      <c r="CK70" s="518" t="str">
        <f>IF(AND(_A6="A-320",'2025'!$E$4="CA",'2025'!$E$2=CK43),'2025DATA'!$D$29,"")</f>
        <v/>
      </c>
      <c r="CL70" s="518" t="str">
        <f>IF(AND(_A6="A-320",'2025'!$E$4="CA",'2025'!$E$2=CL43),'2025DATA'!$E$29,"")</f>
        <v/>
      </c>
      <c r="CM70" s="518" t="str">
        <f>IF(AND(_A6="A-320",'2025'!$E$4="CA",'2025'!$E$2=CM43),'2025DATA'!$F$29,"")</f>
        <v/>
      </c>
      <c r="CN70" s="518" t="str">
        <f>IF(AND(_A6="A-320",'2025'!$E$4="CA",'2025'!$E$2=CN43),'2025DATA'!$G$29,"")</f>
        <v/>
      </c>
      <c r="CO70" s="518" t="str">
        <f>IF(AND(_A6="A-320",'2025'!$E$4="CA",'2025'!$E$2=CO43),'2025DATA'!$H$29,"")</f>
        <v/>
      </c>
      <c r="CP70" s="518" t="str">
        <f>IF(AND(_A6="A-320",'2025'!$E$4="CA",'2025'!$E$2=CP43),'2025DATA'!$I$29,"")</f>
        <v/>
      </c>
      <c r="CQ70" s="518" t="str">
        <f>IF(AND(_A6="A-320",'2025'!$E$4="CA",'2025'!$E$2=CQ43),'2025DATA'!$J$29,"")</f>
        <v/>
      </c>
      <c r="CR70" s="518" t="str">
        <f>IF(AND(_A6="A-320",'2025'!$E$4="CA",'2025'!$E$2=CR43),'2025DATA'!$K$29,"")</f>
        <v/>
      </c>
      <c r="CS70" s="518" t="str">
        <f>IF(AND(_A6="A-320",'2025'!$E$4="CA",'2025'!$E$2=CS43),'2025DATA'!$L$29,"")</f>
        <v/>
      </c>
      <c r="CT70" s="518" t="str">
        <f>IF(AND(_A6="A-320",'2025'!$E$4="CA",'2025'!$E$2=CT43),'2025DATA'!$M$29,"")</f>
        <v/>
      </c>
      <c r="CU70" s="520" t="str">
        <f>IF(AND(_A6="A-320",'2025'!$E$4="CA",'2025'!$E$2=CU43),'2025DATA'!$N$29,"")</f>
        <v/>
      </c>
    </row>
    <row r="71" spans="16:99" x14ac:dyDescent="0.25">
      <c r="P71" s="940"/>
      <c r="Q71" s="13" t="s">
        <v>62</v>
      </c>
      <c r="R71" s="518" t="str">
        <f>IF(AND(_A1="A-320",'2025'!$E$4="FO",'2025'!$E$2=R43),'2025DATA'!$C$30,"")</f>
        <v/>
      </c>
      <c r="S71" s="518" t="str">
        <f>IF(AND(_A1="A-320",'2025'!$E$4="FO",'2025'!$E$2=S43),'2025DATA'!$D$30,"")</f>
        <v/>
      </c>
      <c r="T71" s="518" t="str">
        <f>IF(AND(_A1="A-320",'2025'!$E$4="FO",'2025'!$E$2=T43),'2025DATA'!$E$30,"")</f>
        <v/>
      </c>
      <c r="U71" s="518" t="str">
        <f>IF(AND(_A1="A-320",'2025'!$E$4="FO",'2025'!$E$2=U43),'2025DATA'!$F$30,"")</f>
        <v/>
      </c>
      <c r="V71" s="518" t="str">
        <f>IF(AND(_A1="A-320",'2025'!$E$4="FO",'2025'!$E$2=V43),'2025DATA'!$G$30,"")</f>
        <v/>
      </c>
      <c r="W71" s="518" t="str">
        <f>IF(AND(_A1="A-320",'2025'!$E$4="FO",'2025'!$E$2=W43),'2025DATA'!$H$30,"")</f>
        <v/>
      </c>
      <c r="X71" s="518" t="str">
        <f>IF(AND(_A1="A-320",'2025'!$E$4="FO",'2025'!$E$2=X43),'2025DATA'!$I$30,"")</f>
        <v/>
      </c>
      <c r="Y71" s="518" t="str">
        <f>IF(AND(_A1="A-320",'2025'!$E$4="FO",'2025'!$E$2=Y43),'2025DATA'!$J$30,"")</f>
        <v/>
      </c>
      <c r="Z71" s="518" t="str">
        <f>IF(AND(_A1="A-320",'2025'!$E$4="FO",'2025'!$E$2=Z43),'2025DATA'!$K$30,"")</f>
        <v/>
      </c>
      <c r="AA71" s="518" t="str">
        <f>IF(AND(_A1="A-320",'2025'!$E$4="FO",'2025'!$E$2=AA43),'2025DATA'!$L$30,"")</f>
        <v/>
      </c>
      <c r="AB71" s="518" t="str">
        <f>IF(AND(_A1="A-320",'2025'!$E$4="FO",'2025'!$E$2=AB43),'2025DATA'!$M$30,"")</f>
        <v/>
      </c>
      <c r="AC71" s="520" t="str">
        <f>IF(AND(_A1="A-320",'2025'!$E$4="FO",'2025'!$E$2=AC43),'2025DATA'!$N$30,"")</f>
        <v/>
      </c>
      <c r="AD71" s="940"/>
      <c r="AE71" s="13" t="s">
        <v>62</v>
      </c>
      <c r="AF71" s="518" t="str">
        <f>IF(AND(_A2="A-320",'2025'!$E$4="FO",'2025'!$E$2=AF43),'2025DATA'!$C$30,"")</f>
        <v/>
      </c>
      <c r="AG71" s="518" t="str">
        <f>IF(AND(_A2="A-320",'2025'!$E$4="FO",'2025'!$E$2=AG43),'2025DATA'!$D$30,"")</f>
        <v/>
      </c>
      <c r="AH71" s="518" t="str">
        <f>IF(AND(_A2="A-320",'2025'!$E$4="FO",'2025'!$E$2=AH43),'2025DATA'!$E$30,"")</f>
        <v/>
      </c>
      <c r="AI71" s="518" t="str">
        <f>IF(AND(_A2="A-320",'2025'!$E$4="FO",'2025'!$E$2=AI43),'2025DATA'!$F$30,"")</f>
        <v/>
      </c>
      <c r="AJ71" s="518" t="str">
        <f>IF(AND(_A2="A-320",'2025'!$E$4="FO",'2025'!$E$2=AJ43),'2025DATA'!$G$30,"")</f>
        <v/>
      </c>
      <c r="AK71" s="518" t="str">
        <f>IF(AND(_A2="A-320",'2025'!$E$4="FO",'2025'!$E$2=AK43),'2025DATA'!$H$30,"")</f>
        <v/>
      </c>
      <c r="AL71" s="518" t="str">
        <f>IF(AND(_A2="A-320",'2025'!$E$4="FO",'2025'!$E$2=AL43),'2025DATA'!$I$30,"")</f>
        <v/>
      </c>
      <c r="AM71" s="518" t="str">
        <f>IF(AND(_A2="A-320",'2025'!$E$4="FO",'2025'!$E$2=AM43),'2025DATA'!$J$30,"")</f>
        <v/>
      </c>
      <c r="AN71" s="518" t="str">
        <f>IF(AND(_A2="A-320",'2025'!$E$4="FO",'2025'!$E$2=AN43),'2025DATA'!$K$30,"")</f>
        <v/>
      </c>
      <c r="AO71" s="518" t="str">
        <f>IF(AND(_A2="A-320",'2025'!$E$4="FO",'2025'!$E$2=AO43),'2025DATA'!$L$30,"")</f>
        <v/>
      </c>
      <c r="AP71" s="518" t="str">
        <f>IF(AND(_A2="A-320",'2025'!$E$4="FO",'2025'!$E$2=AP43),'2025DATA'!$M$30,"")</f>
        <v/>
      </c>
      <c r="AQ71" s="520" t="str">
        <f>IF(AND(_A2="A-320",'2025'!$E$4="FO",'2025'!$E$2=AQ43),'2025DATA'!$N$30,"")</f>
        <v/>
      </c>
      <c r="AR71" s="940"/>
      <c r="AS71" s="13" t="s">
        <v>62</v>
      </c>
      <c r="AT71" s="518" t="str">
        <f>IF(AND(_A3="A-320",'2025'!$E$4="FO",'2025'!$E$2=AT43),'2025DATA'!$C$30,"")</f>
        <v/>
      </c>
      <c r="AU71" s="518" t="str">
        <f>IF(AND(_A3="A-320",'2025'!$E$4="FO",'2025'!$E$2=AU43),'2025DATA'!$D$30,"")</f>
        <v/>
      </c>
      <c r="AV71" s="518" t="str">
        <f>IF(AND(_A3="A-320",'2025'!$E$4="FO",'2025'!$E$2=AV43),'2025DATA'!$E$30,"")</f>
        <v/>
      </c>
      <c r="AW71" s="518" t="str">
        <f>IF(AND(_A3="A-320",'2025'!$E$4="FO",'2025'!$E$2=AW43),'2025DATA'!$F$30,"")</f>
        <v/>
      </c>
      <c r="AX71" s="518" t="str">
        <f>IF(AND(_A3="A-320",'2025'!$E$4="FO",'2025'!$E$2=AX43),'2025DATA'!$G$30,"")</f>
        <v/>
      </c>
      <c r="AY71" s="518" t="str">
        <f>IF(AND(_A3="A-320",'2025'!$E$4="FO",'2025'!$E$2=AY43),'2025DATA'!$H$30,"")</f>
        <v/>
      </c>
      <c r="AZ71" s="518" t="str">
        <f>IF(AND(_A3="A-320",'2025'!$E$4="FO",'2025'!$E$2=AZ43),'2025DATA'!$I$30,"")</f>
        <v/>
      </c>
      <c r="BA71" s="518" t="str">
        <f>IF(AND(_A3="A-320",'2025'!$E$4="FO",'2025'!$E$2=BA43),'2025DATA'!$J$30,"")</f>
        <v/>
      </c>
      <c r="BB71" s="518" t="str">
        <f>IF(AND(_A3="A-320",'2025'!$E$4="FO",'2025'!$E$2=BB43),'2025DATA'!$K$30,"")</f>
        <v/>
      </c>
      <c r="BC71" s="518" t="str">
        <f>IF(AND(_A3="A-320",'2025'!$E$4="FO",'2025'!$E$2=BC43),'2025DATA'!$L$30,"")</f>
        <v/>
      </c>
      <c r="BD71" s="518" t="str">
        <f>IF(AND(_A3="A-320",'2025'!$E$4="FO",'2025'!$E$2=BD43),'2025DATA'!$M$30,"")</f>
        <v/>
      </c>
      <c r="BE71" s="520" t="str">
        <f>IF(AND(_A3="A-320",'2025'!$E$4="FO",'2025'!$E$2=BE43),'2025DATA'!$N$30,"")</f>
        <v/>
      </c>
      <c r="BF71" s="940"/>
      <c r="BG71" s="13" t="s">
        <v>62</v>
      </c>
      <c r="BH71" s="518" t="str">
        <f>IF(AND(_A4="A-320",'2025'!$E$4="FO",'2025'!$E$2=BH43),'2025DATA'!$C$30,"")</f>
        <v/>
      </c>
      <c r="BI71" s="518" t="str">
        <f>IF(AND(_A4="A-320",'2025'!$E$4="FO",'2025'!$E$2=BI43),'2025DATA'!$D$30,"")</f>
        <v/>
      </c>
      <c r="BJ71" s="518" t="str">
        <f>IF(AND(_A4="A-320",'2025'!$E$4="FO",'2025'!$E$2=BJ43),'2025DATA'!$E$30,"")</f>
        <v/>
      </c>
      <c r="BK71" s="518" t="str">
        <f>IF(AND(_A4="A-320",'2025'!$E$4="FO",'2025'!$E$2=BK43),'2025DATA'!$F$30,"")</f>
        <v/>
      </c>
      <c r="BL71" s="518" t="str">
        <f>IF(AND(_A4="A-320",'2025'!$E$4="FO",'2025'!$E$2=BL43),'2025DATA'!$G$30,"")</f>
        <v/>
      </c>
      <c r="BM71" s="518" t="str">
        <f>IF(AND(_A4="A-320",'2025'!$E$4="FO",'2025'!$E$2=BM43),'2025DATA'!$H$30,"")</f>
        <v/>
      </c>
      <c r="BN71" s="518" t="str">
        <f>IF(AND(_A4="A-320",'2025'!$E$4="FO",'2025'!$E$2=BN43),'2025DATA'!$I$30,"")</f>
        <v/>
      </c>
      <c r="BO71" s="518" t="str">
        <f>IF(AND(_A4="A-320",'2025'!$E$4="FO",'2025'!$E$2=BO43),'2025DATA'!$J$30,"")</f>
        <v/>
      </c>
      <c r="BP71" s="518" t="str">
        <f>IF(AND(_A4="A-320",'2025'!$E$4="FO",'2025'!$E$2=BP43),'2025DATA'!$K$30,"")</f>
        <v/>
      </c>
      <c r="BQ71" s="518" t="str">
        <f>IF(AND(_A4="A-320",'2025'!$E$4="FO",'2025'!$E$2=BQ43),'2025DATA'!$L$30,"")</f>
        <v/>
      </c>
      <c r="BR71" s="518" t="str">
        <f>IF(AND(_A4="A-320",'2025'!$E$4="FO",'2025'!$E$2=BR43),'2025DATA'!$M$30,"")</f>
        <v/>
      </c>
      <c r="BS71" s="520" t="str">
        <f>IF(AND(_A4="A-320",'2025'!$E$4="FO",'2025'!$E$2=BS43),'2025DATA'!$N$30,"")</f>
        <v/>
      </c>
      <c r="BT71" s="940"/>
      <c r="BU71" s="13" t="s">
        <v>62</v>
      </c>
      <c r="BV71" s="518" t="str">
        <f>IF(AND(_A5="A-320",'2025'!$E$4="FO",'2025'!$E$2=BV43),'2025DATA'!$C$30,"")</f>
        <v/>
      </c>
      <c r="BW71" s="518" t="str">
        <f>IF(AND(_A5="A-320",'2025'!$E$4="FO",'2025'!$E$2=BW43),'2025DATA'!$D$30,"")</f>
        <v/>
      </c>
      <c r="BX71" s="518" t="str">
        <f>IF(AND(_A5="A-320",'2025'!$E$4="FO",'2025'!$E$2=BX43),'2025DATA'!$E$30,"")</f>
        <v/>
      </c>
      <c r="BY71" s="518" t="str">
        <f>IF(AND(_A5="A-320",'2025'!$E$4="FO",'2025'!$E$2=BY43),'2025DATA'!$F$30,"")</f>
        <v/>
      </c>
      <c r="BZ71" s="518" t="str">
        <f>IF(AND(_A5="A-320",'2025'!$E$4="FO",'2025'!$E$2=BZ43),'2025DATA'!$G$30,"")</f>
        <v/>
      </c>
      <c r="CA71" s="518" t="str">
        <f>IF(AND(_A5="A-320",'2025'!$E$4="FO",'2025'!$E$2=CA43),'2025DATA'!$H$30,"")</f>
        <v/>
      </c>
      <c r="CB71" s="518" t="str">
        <f>IF(AND(_A5="A-320",'2025'!$E$4="FO",'2025'!$E$2=CB43),'2025DATA'!$I$30,"")</f>
        <v/>
      </c>
      <c r="CC71" s="518" t="str">
        <f>IF(AND(_A5="A-320",'2025'!$E$4="FO",'2025'!$E$2=CC43),'2025DATA'!$J$30,"")</f>
        <v/>
      </c>
      <c r="CD71" s="518" t="str">
        <f>IF(AND(_A5="A-320",'2025'!$E$4="FO",'2025'!$E$2=CD43),'2025DATA'!$K$30,"")</f>
        <v/>
      </c>
      <c r="CE71" s="518" t="str">
        <f>IF(AND(_A5="A-320",'2025'!$E$4="FO",'2025'!$E$2=CE43),'2025DATA'!$L$30,"")</f>
        <v/>
      </c>
      <c r="CF71" s="518" t="str">
        <f>IF(AND(_A5="A-320",'2025'!$E$4="FO",'2025'!$E$2=CF43),'2025DATA'!$M$30,"")</f>
        <v/>
      </c>
      <c r="CG71" s="520" t="str">
        <f>IF(AND(_A5="A-320",'2025'!$E$4="FO",'2025'!$E$2=CG43),'2025DATA'!$N$30,"")</f>
        <v/>
      </c>
      <c r="CH71" s="940"/>
      <c r="CI71" s="13" t="s">
        <v>62</v>
      </c>
      <c r="CJ71" s="518" t="str">
        <f>IF(AND(_A6="A-320",'2025'!$E$4="FO",'2025'!$E$2=CJ43),'2025DATA'!$C$30,"")</f>
        <v/>
      </c>
      <c r="CK71" s="518" t="str">
        <f>IF(AND(_A6="A-320",'2025'!$E$4="FO",'2025'!$E$2=CK43),'2025DATA'!$D$30,"")</f>
        <v/>
      </c>
      <c r="CL71" s="518" t="str">
        <f>IF(AND(_A6="A-320",'2025'!$E$4="FO",'2025'!$E$2=CL43),'2025DATA'!$E$30,"")</f>
        <v/>
      </c>
      <c r="CM71" s="518" t="str">
        <f>IF(AND(_A6="A-320",'2025'!$E$4="FO",'2025'!$E$2=CM43),'2025DATA'!$F$30,"")</f>
        <v/>
      </c>
      <c r="CN71" s="518" t="str">
        <f>IF(AND(_A6="A-320",'2025'!$E$4="FO",'2025'!$E$2=CN43),'2025DATA'!$G$30,"")</f>
        <v/>
      </c>
      <c r="CO71" s="518" t="str">
        <f>IF(AND(_A6="A-320",'2025'!$E$4="FO",'2025'!$E$2=CO43),'2025DATA'!$H$30,"")</f>
        <v/>
      </c>
      <c r="CP71" s="518" t="str">
        <f>IF(AND(_A6="A-320",'2025'!$E$4="FO",'2025'!$E$2=CP43),'2025DATA'!$I$30,"")</f>
        <v/>
      </c>
      <c r="CQ71" s="518" t="str">
        <f>IF(AND(_A6="A-320",'2025'!$E$4="FO",'2025'!$E$2=CQ43),'2025DATA'!$J$30,"")</f>
        <v/>
      </c>
      <c r="CR71" s="518" t="str">
        <f>IF(AND(_A6="A-320",'2025'!$E$4="FO",'2025'!$E$2=CR43),'2025DATA'!$K$30,"")</f>
        <v/>
      </c>
      <c r="CS71" s="518" t="str">
        <f>IF(AND(_A6="A-320",'2025'!$E$4="FO",'2025'!$E$2=CS43),'2025DATA'!$L$30,"")</f>
        <v/>
      </c>
      <c r="CT71" s="518" t="str">
        <f>IF(AND(_A6="A-320",'2025'!$E$4="FO",'2025'!$E$2=CT43),'2025DATA'!$M$30,"")</f>
        <v/>
      </c>
      <c r="CU71" s="520" t="str">
        <f>IF(AND(_A6="A-320",'2025'!$E$4="FO",'2025'!$E$2=CU43),'2025DATA'!$N$30,"")</f>
        <v/>
      </c>
    </row>
    <row r="72" spans="16:99" x14ac:dyDescent="0.25">
      <c r="P72" s="940" t="s">
        <v>71</v>
      </c>
      <c r="Q72" s="13" t="s">
        <v>61</v>
      </c>
      <c r="R72" s="518" t="str">
        <f>IF(AND(_A1="A-319",'2025'!$E$4="CA",'2025'!$E$2=R43),'2025DATA'!$C$31,"")</f>
        <v/>
      </c>
      <c r="S72" s="518" t="str">
        <f>IF(AND(_A1="A-319",'2025'!$E$4="CA",'2025'!$E$2=S43),'2025DATA'!$D$31,"")</f>
        <v/>
      </c>
      <c r="T72" s="518" t="str">
        <f>IF(AND(_A1="A-319",'2025'!$E$4="CA",'2025'!$E$2=T43),'2025DATA'!$E$31,"")</f>
        <v/>
      </c>
      <c r="U72" s="518" t="str">
        <f>IF(AND(_A1="A-319",'2025'!$E$4="CA",'2025'!$E$2=U43),'2025DATA'!$F$31,"")</f>
        <v/>
      </c>
      <c r="V72" s="518" t="str">
        <f>IF(AND(_A1="A-319",'2025'!$E$4="CA",'2025'!$E$2=V43),'2025DATA'!$G$31,"")</f>
        <v/>
      </c>
      <c r="W72" s="518" t="str">
        <f>IF(AND(_A1="A-319",'2025'!$E$4="CA",'2025'!$E$2=W43),'2025DATA'!$H$31,"")</f>
        <v/>
      </c>
      <c r="X72" s="518" t="str">
        <f>IF(AND(_A1="A-319",'2025'!$E$4="CA",'2025'!$E$2=X43),'2025DATA'!$I$31,"")</f>
        <v/>
      </c>
      <c r="Y72" s="518" t="str">
        <f>IF(AND(_A1="A-319",'2025'!$E$4="CA",'2025'!$E$2=Y43),'2025DATA'!$J$31,"")</f>
        <v/>
      </c>
      <c r="Z72" s="518" t="str">
        <f>IF(AND(_A1="A-319",'2025'!$E$4="CA",'2025'!$E$2=Z43),'2025DATA'!$K$31,"")</f>
        <v/>
      </c>
      <c r="AA72" s="518" t="str">
        <f>IF(AND(_A1="A-319",'2025'!$E$4="CA",'2025'!$E$2=AA43),'2025DATA'!$L$31,"")</f>
        <v/>
      </c>
      <c r="AB72" s="518" t="str">
        <f>IF(AND(_A1="A-319",'2025'!$E$4="CA",'2025'!$E$2=AB43),'2025DATA'!$M$31,"")</f>
        <v/>
      </c>
      <c r="AC72" s="520" t="str">
        <f>IF(AND(_A1="A-319",'2025'!$E$4="CA",'2025'!$E$2=AC43),'2025DATA'!$N$31,"")</f>
        <v/>
      </c>
      <c r="AD72" s="940" t="s">
        <v>71</v>
      </c>
      <c r="AE72" s="13" t="s">
        <v>61</v>
      </c>
      <c r="AF72" s="518" t="str">
        <f>IF(AND(_A2="A-319",'2025'!$E$4="CA",'2025'!$E$2=AF43),'2025DATA'!$C$31,"")</f>
        <v/>
      </c>
      <c r="AG72" s="518" t="str">
        <f>IF(AND(_A2="A-319",'2025'!$E$4="CA",'2025'!$E$2=AG43),'2025DATA'!$D$31,"")</f>
        <v/>
      </c>
      <c r="AH72" s="518" t="str">
        <f>IF(AND(_A2="A-319",'2025'!$E$4="CA",'2025'!$E$2=AH43),'2025DATA'!$E$31,"")</f>
        <v/>
      </c>
      <c r="AI72" s="518" t="str">
        <f>IF(AND(_A2="A-319",'2025'!$E$4="CA",'2025'!$E$2=AI43),'2025DATA'!$F$31,"")</f>
        <v/>
      </c>
      <c r="AJ72" s="518" t="str">
        <f>IF(AND(_A2="A-319",'2025'!$E$4="CA",'2025'!$E$2=AJ43),'2025DATA'!$G$31,"")</f>
        <v/>
      </c>
      <c r="AK72" s="518" t="str">
        <f>IF(AND(_A2="A-319",'2025'!$E$4="CA",'2025'!$E$2=AK43),'2025DATA'!$H$31,"")</f>
        <v/>
      </c>
      <c r="AL72" s="518" t="str">
        <f>IF(AND(_A2="A-319",'2025'!$E$4="CA",'2025'!$E$2=AL43),'2025DATA'!$I$31,"")</f>
        <v/>
      </c>
      <c r="AM72" s="518" t="str">
        <f>IF(AND(_A2="A-319",'2025'!$E$4="CA",'2025'!$E$2=AM43),'2025DATA'!$J$31,"")</f>
        <v/>
      </c>
      <c r="AN72" s="518" t="str">
        <f>IF(AND(_A2="A-319",'2025'!$E$4="CA",'2025'!$E$2=AN43),'2025DATA'!$K$31,"")</f>
        <v/>
      </c>
      <c r="AO72" s="518" t="str">
        <f>IF(AND(_A2="A-319",'2025'!$E$4="CA",'2025'!$E$2=AO43),'2025DATA'!$L$31,"")</f>
        <v/>
      </c>
      <c r="AP72" s="518" t="str">
        <f>IF(AND(_A2="A-319",'2025'!$E$4="CA",'2025'!$E$2=AP43),'2025DATA'!$M$31,"")</f>
        <v/>
      </c>
      <c r="AQ72" s="520" t="str">
        <f>IF(AND(_A2="A-319",'2025'!$E$4="CA",'2025'!$E$2=AQ43),'2025DATA'!$N$31,"")</f>
        <v/>
      </c>
      <c r="AR72" s="940" t="s">
        <v>71</v>
      </c>
      <c r="AS72" s="13" t="s">
        <v>61</v>
      </c>
      <c r="AT72" s="518" t="str">
        <f>IF(AND(_A3="A-319",'2025'!$E$4="CA",'2025'!$E$2=AT43),'2025DATA'!$C$31,"")</f>
        <v/>
      </c>
      <c r="AU72" s="518" t="str">
        <f>IF(AND(_A3="A-319",'2025'!$E$4="CA",'2025'!$E$2=AU43),'2025DATA'!$D$31,"")</f>
        <v/>
      </c>
      <c r="AV72" s="518" t="str">
        <f>IF(AND(_A3="A-319",'2025'!$E$4="CA",'2025'!$E$2=AV43),'2025DATA'!$E$31,"")</f>
        <v/>
      </c>
      <c r="AW72" s="518" t="str">
        <f>IF(AND(_A3="A-319",'2025'!$E$4="CA",'2025'!$E$2=AW43),'2025DATA'!$F$31,"")</f>
        <v/>
      </c>
      <c r="AX72" s="518" t="str">
        <f>IF(AND(_A3="A-319",'2025'!$E$4="CA",'2025'!$E$2=AX43),'2025DATA'!$G$31,"")</f>
        <v/>
      </c>
      <c r="AY72" s="518" t="str">
        <f>IF(AND(_A3="A-319",'2025'!$E$4="CA",'2025'!$E$2=AY43),'2025DATA'!$H$31,"")</f>
        <v/>
      </c>
      <c r="AZ72" s="518" t="str">
        <f>IF(AND(_A3="A-319",'2025'!$E$4="CA",'2025'!$E$2=AZ43),'2025DATA'!$I$31,"")</f>
        <v/>
      </c>
      <c r="BA72" s="518" t="str">
        <f>IF(AND(_A3="A-319",'2025'!$E$4="CA",'2025'!$E$2=BA43),'2025DATA'!$J$31,"")</f>
        <v/>
      </c>
      <c r="BB72" s="518" t="str">
        <f>IF(AND(_A3="A-319",'2025'!$E$4="CA",'2025'!$E$2=BB43),'2025DATA'!$K$31,"")</f>
        <v/>
      </c>
      <c r="BC72" s="518" t="str">
        <f>IF(AND(_A3="A-319",'2025'!$E$4="CA",'2025'!$E$2=BC43),'2025DATA'!$L$31,"")</f>
        <v/>
      </c>
      <c r="BD72" s="518" t="str">
        <f>IF(AND(_A3="A-319",'2025'!$E$4="CA",'2025'!$E$2=BD43),'2025DATA'!$M$31,"")</f>
        <v/>
      </c>
      <c r="BE72" s="520" t="str">
        <f>IF(AND(_A3="A-319",'2025'!$E$4="CA",'2025'!$E$2=BE43),'2025DATA'!$N$31,"")</f>
        <v/>
      </c>
      <c r="BF72" s="940" t="s">
        <v>71</v>
      </c>
      <c r="BG72" s="13" t="s">
        <v>61</v>
      </c>
      <c r="BH72" s="518" t="str">
        <f>IF(AND(_A4="A-319",'2025'!$E$4="CA",'2025'!$E$2=BH43),'2025DATA'!$C$31,"")</f>
        <v/>
      </c>
      <c r="BI72" s="518" t="str">
        <f>IF(AND(_A4="A-319",'2025'!$E$4="CA",'2025'!$E$2=BI43),'2025DATA'!$D$31,"")</f>
        <v/>
      </c>
      <c r="BJ72" s="518" t="str">
        <f>IF(AND(_A4="A-319",'2025'!$E$4="CA",'2025'!$E$2=BJ43),'2025DATA'!$E$31,"")</f>
        <v/>
      </c>
      <c r="BK72" s="518" t="str">
        <f>IF(AND(_A4="A-319",'2025'!$E$4="CA",'2025'!$E$2=BK43),'2025DATA'!$F$31,"")</f>
        <v/>
      </c>
      <c r="BL72" s="518" t="str">
        <f>IF(AND(_A4="A-319",'2025'!$E$4="CA",'2025'!$E$2=BL43),'2025DATA'!$G$31,"")</f>
        <v/>
      </c>
      <c r="BM72" s="518" t="str">
        <f>IF(AND(_A4="A-319",'2025'!$E$4="CA",'2025'!$E$2=BM43),'2025DATA'!$H$31,"")</f>
        <v/>
      </c>
      <c r="BN72" s="518" t="str">
        <f>IF(AND(_A4="A-319",'2025'!$E$4="CA",'2025'!$E$2=BN43),'2025DATA'!$I$31,"")</f>
        <v/>
      </c>
      <c r="BO72" s="518" t="str">
        <f>IF(AND(_A4="A-319",'2025'!$E$4="CA",'2025'!$E$2=BO43),'2025DATA'!$J$31,"")</f>
        <v/>
      </c>
      <c r="BP72" s="518" t="str">
        <f>IF(AND(_A4="A-319",'2025'!$E$4="CA",'2025'!$E$2=BP43),'2025DATA'!$K$31,"")</f>
        <v/>
      </c>
      <c r="BQ72" s="518" t="str">
        <f>IF(AND(_A4="A-319",'2025'!$E$4="CA",'2025'!$E$2=BQ43),'2025DATA'!$L$31,"")</f>
        <v/>
      </c>
      <c r="BR72" s="518" t="str">
        <f>IF(AND(_A4="A-319",'2025'!$E$4="CA",'2025'!$E$2=BR43),'2025DATA'!$M$31,"")</f>
        <v/>
      </c>
      <c r="BS72" s="520" t="str">
        <f>IF(AND(_A4="A-319",'2025'!$E$4="CA",'2025'!$E$2=BS43),'2025DATA'!$N$31,"")</f>
        <v/>
      </c>
      <c r="BT72" s="940" t="s">
        <v>71</v>
      </c>
      <c r="BU72" s="13" t="s">
        <v>61</v>
      </c>
      <c r="BV72" s="518" t="str">
        <f>IF(AND(_A5="A-319",'2025'!$E$4="CA",'2025'!$E$2=BV43),'2025DATA'!$C$31,"")</f>
        <v/>
      </c>
      <c r="BW72" s="518" t="str">
        <f>IF(AND(_A5="A-319",'2025'!$E$4="CA",'2025'!$E$2=BW43),'2025DATA'!$D$31,"")</f>
        <v/>
      </c>
      <c r="BX72" s="518" t="str">
        <f>IF(AND(_A5="A-319",'2025'!$E$4="CA",'2025'!$E$2=BX43),'2025DATA'!$E$31,"")</f>
        <v/>
      </c>
      <c r="BY72" s="518" t="str">
        <f>IF(AND(_A5="A-319",'2025'!$E$4="CA",'2025'!$E$2=BY43),'2025DATA'!$F$31,"")</f>
        <v/>
      </c>
      <c r="BZ72" s="518" t="str">
        <f>IF(AND(_A5="A-319",'2025'!$E$4="CA",'2025'!$E$2=BZ43),'2025DATA'!$G$31,"")</f>
        <v/>
      </c>
      <c r="CA72" s="518" t="str">
        <f>IF(AND(_A5="A-319",'2025'!$E$4="CA",'2025'!$E$2=CA43),'2025DATA'!$H$31,"")</f>
        <v/>
      </c>
      <c r="CB72" s="518" t="str">
        <f>IF(AND(_A5="A-319",'2025'!$E$4="CA",'2025'!$E$2=CB43),'2025DATA'!$I$31,"")</f>
        <v/>
      </c>
      <c r="CC72" s="518" t="str">
        <f>IF(AND(_A5="A-319",'2025'!$E$4="CA",'2025'!$E$2=CC43),'2025DATA'!$J$31,"")</f>
        <v/>
      </c>
      <c r="CD72" s="518" t="str">
        <f>IF(AND(_A5="A-319",'2025'!$E$4="CA",'2025'!$E$2=CD43),'2025DATA'!$K$31,"")</f>
        <v/>
      </c>
      <c r="CE72" s="518" t="str">
        <f>IF(AND(_A5="A-319",'2025'!$E$4="CA",'2025'!$E$2=CE43),'2025DATA'!$L$31,"")</f>
        <v/>
      </c>
      <c r="CF72" s="518" t="str">
        <f>IF(AND(_A5="A-319",'2025'!$E$4="CA",'2025'!$E$2=CF43),'2025DATA'!$M$31,"")</f>
        <v/>
      </c>
      <c r="CG72" s="520" t="str">
        <f>IF(AND(_A5="A-319",'2025'!$E$4="CA",'2025'!$E$2=CG43),'2025DATA'!$N$31,"")</f>
        <v/>
      </c>
      <c r="CH72" s="940" t="s">
        <v>71</v>
      </c>
      <c r="CI72" s="13" t="s">
        <v>61</v>
      </c>
      <c r="CJ72" s="518" t="str">
        <f>IF(AND(_A6="A-319",'2025'!$E$4="CA",'2025'!$E$2=CJ43),'2025DATA'!$C$31,"")</f>
        <v/>
      </c>
      <c r="CK72" s="518" t="str">
        <f>IF(AND(_A6="A-319",'2025'!$E$4="CA",'2025'!$E$2=CK43),'2025DATA'!$D$31,"")</f>
        <v/>
      </c>
      <c r="CL72" s="518" t="str">
        <f>IF(AND(_A6="A-319",'2025'!$E$4="CA",'2025'!$E$2=CL43),'2025DATA'!$E$31,"")</f>
        <v/>
      </c>
      <c r="CM72" s="518" t="str">
        <f>IF(AND(_A6="A-319",'2025'!$E$4="CA",'2025'!$E$2=CM43),'2025DATA'!$F$31,"")</f>
        <v/>
      </c>
      <c r="CN72" s="518" t="str">
        <f>IF(AND(_A6="A-319",'2025'!$E$4="CA",'2025'!$E$2=CN43),'2025DATA'!$G$31,"")</f>
        <v/>
      </c>
      <c r="CO72" s="518" t="str">
        <f>IF(AND(_A6="A-319",'2025'!$E$4="CA",'2025'!$E$2=CO43),'2025DATA'!$H$31,"")</f>
        <v/>
      </c>
      <c r="CP72" s="518" t="str">
        <f>IF(AND(_A6="A-319",'2025'!$E$4="CA",'2025'!$E$2=CP43),'2025DATA'!$I$31,"")</f>
        <v/>
      </c>
      <c r="CQ72" s="518" t="str">
        <f>IF(AND(_A6="A-319",'2025'!$E$4="CA",'2025'!$E$2=CQ43),'2025DATA'!$J$31,"")</f>
        <v/>
      </c>
      <c r="CR72" s="518" t="str">
        <f>IF(AND(_A6="A-319",'2025'!$E$4="CA",'2025'!$E$2=CR43),'2025DATA'!$K$31,"")</f>
        <v/>
      </c>
      <c r="CS72" s="518" t="str">
        <f>IF(AND(_A6="A-319",'2025'!$E$4="CA",'2025'!$E$2=CS43),'2025DATA'!$L$31,"")</f>
        <v/>
      </c>
      <c r="CT72" s="518" t="str">
        <f>IF(AND(_A6="A-319",'2025'!$E$4="CA",'2025'!$E$2=CT43),'2025DATA'!$M$31,"")</f>
        <v/>
      </c>
      <c r="CU72" s="520" t="str">
        <f>IF(AND(_A6="A-319",'2025'!$E$4="CA",'2025'!$E$2=CU43),'2025DATA'!$N$31,"")</f>
        <v/>
      </c>
    </row>
    <row r="73" spans="16:99" x14ac:dyDescent="0.25">
      <c r="P73" s="940"/>
      <c r="Q73" s="13" t="s">
        <v>62</v>
      </c>
      <c r="R73" s="518" t="str">
        <f>IF(AND(_A1="A-319",'2025'!$E$4="FO",'2025'!$E$2=R43),'2025DATA'!$C$32,"")</f>
        <v/>
      </c>
      <c r="S73" s="518" t="str">
        <f>IF(AND(_A1="A-319",'2025'!$E$4="FO",'2025'!$E$2=S43),'2025DATA'!$D$32,"")</f>
        <v/>
      </c>
      <c r="T73" s="518" t="str">
        <f>IF(AND(_A1="A-319",'2025'!$E$4="FO",'2025'!$E$2=T43),'2025DATA'!$E$32,"")</f>
        <v/>
      </c>
      <c r="U73" s="518" t="str">
        <f>IF(AND(_A1="A-319",'2025'!$E$4="FO",'2025'!$E$2=U43),'2025DATA'!$F$32,"")</f>
        <v/>
      </c>
      <c r="V73" s="518" t="str">
        <f>IF(AND(_A1="A-319",'2025'!$E$4="FO",'2025'!$E$2=V43),'2025DATA'!$G$32,"")</f>
        <v/>
      </c>
      <c r="W73" s="518" t="str">
        <f>IF(AND(_A1="A-319",'2025'!$E$4="FO",'2025'!$E$2=W43),'2025DATA'!$H$32,"")</f>
        <v/>
      </c>
      <c r="X73" s="518" t="str">
        <f>IF(AND(_A1="A-319",'2025'!$E$4="FO",'2025'!$E$2=X43),'2025DATA'!$I$32,"")</f>
        <v/>
      </c>
      <c r="Y73" s="518" t="str">
        <f>IF(AND(_A1="A-319",'2025'!$E$4="FO",'2025'!$E$2=Y43),'2025DATA'!$J$32,"")</f>
        <v/>
      </c>
      <c r="Z73" s="518" t="str">
        <f>IF(AND(_A1="A-319",'2025'!$E$4="FO",'2025'!$E$2=Z43),'2025DATA'!$K$32,"")</f>
        <v/>
      </c>
      <c r="AA73" s="518" t="str">
        <f>IF(AND(_A1="A-319",'2025'!$E$4="FO",'2025'!$E$2=AA43),'2025DATA'!$L$32,"")</f>
        <v/>
      </c>
      <c r="AB73" s="518" t="str">
        <f>IF(AND(_A1="A-319",'2025'!$E$4="FO",'2025'!$E$2=AB43),'2025DATA'!$M$32,"")</f>
        <v/>
      </c>
      <c r="AC73" s="520" t="str">
        <f>IF(AND(_A1="A-319",'2025'!$E$4="FO",'2025'!$E$2=AC43),'2025DATA'!$N$32,"")</f>
        <v/>
      </c>
      <c r="AD73" s="940"/>
      <c r="AE73" s="13" t="s">
        <v>62</v>
      </c>
      <c r="AF73" s="518" t="str">
        <f>IF(AND(_A2="A-319",'2025'!$E$4="FO",'2025'!$E$2=AF43),'2025DATA'!$C$32,"")</f>
        <v/>
      </c>
      <c r="AG73" s="518" t="str">
        <f>IF(AND(_A2="A-319",'2025'!$E$4="FO",'2025'!$E$2=AG43),'2025DATA'!$D$32,"")</f>
        <v/>
      </c>
      <c r="AH73" s="518" t="str">
        <f>IF(AND(_A2="A-319",'2025'!$E$4="FO",'2025'!$E$2=AH43),'2025DATA'!$E$32,"")</f>
        <v/>
      </c>
      <c r="AI73" s="518" t="str">
        <f>IF(AND(_A2="A-319",'2025'!$E$4="FO",'2025'!$E$2=AI43),'2025DATA'!$F$32,"")</f>
        <v/>
      </c>
      <c r="AJ73" s="518" t="str">
        <f>IF(AND(_A2="A-319",'2025'!$E$4="FO",'2025'!$E$2=AJ43),'2025DATA'!$G$32,"")</f>
        <v/>
      </c>
      <c r="AK73" s="518" t="str">
        <f>IF(AND(_A2="A-319",'2025'!$E$4="FO",'2025'!$E$2=AK43),'2025DATA'!$H$32,"")</f>
        <v/>
      </c>
      <c r="AL73" s="518" t="str">
        <f>IF(AND(_A2="A-319",'2025'!$E$4="FO",'2025'!$E$2=AL43),'2025DATA'!$I$32,"")</f>
        <v/>
      </c>
      <c r="AM73" s="518" t="str">
        <f>IF(AND(_A2="A-319",'2025'!$E$4="FO",'2025'!$E$2=AM43),'2025DATA'!$J$32,"")</f>
        <v/>
      </c>
      <c r="AN73" s="518" t="str">
        <f>IF(AND(_A2="A-319",'2025'!$E$4="FO",'2025'!$E$2=AN43),'2025DATA'!$K$32,"")</f>
        <v/>
      </c>
      <c r="AO73" s="518" t="str">
        <f>IF(AND(_A2="A-319",'2025'!$E$4="FO",'2025'!$E$2=AO43),'2025DATA'!$L$32,"")</f>
        <v/>
      </c>
      <c r="AP73" s="518" t="str">
        <f>IF(AND(_A2="A-319",'2025'!$E$4="FO",'2025'!$E$2=AP43),'2025DATA'!$M$32,"")</f>
        <v/>
      </c>
      <c r="AQ73" s="520" t="str">
        <f>IF(AND(_A2="A-319",'2025'!$E$4="FO",'2025'!$E$2=AQ43),'2025DATA'!$N$32,"")</f>
        <v/>
      </c>
      <c r="AR73" s="940"/>
      <c r="AS73" s="13" t="s">
        <v>62</v>
      </c>
      <c r="AT73" s="518" t="str">
        <f>IF(AND(_A3="A-319",'2025'!$E$4="FO",'2025'!$E$2=AT43),'2025DATA'!$C$32,"")</f>
        <v/>
      </c>
      <c r="AU73" s="518" t="str">
        <f>IF(AND(_A3="A-319",'2025'!$E$4="FO",'2025'!$E$2=AU43),'2025DATA'!$D$32,"")</f>
        <v/>
      </c>
      <c r="AV73" s="518" t="str">
        <f>IF(AND(_A3="A-319",'2025'!$E$4="FO",'2025'!$E$2=AV43),'2025DATA'!$E$32,"")</f>
        <v/>
      </c>
      <c r="AW73" s="518" t="str">
        <f>IF(AND(_A3="A-319",'2025'!$E$4="FO",'2025'!$E$2=AW43),'2025DATA'!$F$32,"")</f>
        <v/>
      </c>
      <c r="AX73" s="518" t="str">
        <f>IF(AND(_A3="A-319",'2025'!$E$4="FO",'2025'!$E$2=AX43),'2025DATA'!$G$32,"")</f>
        <v/>
      </c>
      <c r="AY73" s="518" t="str">
        <f>IF(AND(_A3="A-319",'2025'!$E$4="FO",'2025'!$E$2=AY43),'2025DATA'!$H$32,"")</f>
        <v/>
      </c>
      <c r="AZ73" s="518" t="str">
        <f>IF(AND(_A3="A-319",'2025'!$E$4="FO",'2025'!$E$2=AZ43),'2025DATA'!$I$32,"")</f>
        <v/>
      </c>
      <c r="BA73" s="518" t="str">
        <f>IF(AND(_A3="A-319",'2025'!$E$4="FO",'2025'!$E$2=BA43),'2025DATA'!$J$32,"")</f>
        <v/>
      </c>
      <c r="BB73" s="518" t="str">
        <f>IF(AND(_A3="A-319",'2025'!$E$4="FO",'2025'!$E$2=BB43),'2025DATA'!$K$32,"")</f>
        <v/>
      </c>
      <c r="BC73" s="518" t="str">
        <f>IF(AND(_A3="A-319",'2025'!$E$4="FO",'2025'!$E$2=BC43),'2025DATA'!$L$32,"")</f>
        <v/>
      </c>
      <c r="BD73" s="518" t="str">
        <f>IF(AND(_A3="A-319",'2025'!$E$4="FO",'2025'!$E$2=BD43),'2025DATA'!$M$32,"")</f>
        <v/>
      </c>
      <c r="BE73" s="520" t="str">
        <f>IF(AND(_A3="A-319",'2025'!$E$4="FO",'2025'!$E$2=BE43),'2025DATA'!$N$32,"")</f>
        <v/>
      </c>
      <c r="BF73" s="940"/>
      <c r="BG73" s="13" t="s">
        <v>62</v>
      </c>
      <c r="BH73" s="518" t="str">
        <f>IF(AND(_A4="A-319",'2025'!$E$4="FO",'2025'!$E$2=BH43),'2025DATA'!$C$32,"")</f>
        <v/>
      </c>
      <c r="BI73" s="518" t="str">
        <f>IF(AND(_A4="A-319",'2025'!$E$4="FO",'2025'!$E$2=BI43),'2025DATA'!$D$32,"")</f>
        <v/>
      </c>
      <c r="BJ73" s="518" t="str">
        <f>IF(AND(_A4="A-319",'2025'!$E$4="FO",'2025'!$E$2=BJ43),'2025DATA'!$E$32,"")</f>
        <v/>
      </c>
      <c r="BK73" s="518" t="str">
        <f>IF(AND(_A4="A-319",'2025'!$E$4="FO",'2025'!$E$2=BK43),'2025DATA'!$F$32,"")</f>
        <v/>
      </c>
      <c r="BL73" s="518" t="str">
        <f>IF(AND(_A4="A-319",'2025'!$E$4="FO",'2025'!$E$2=BL43),'2025DATA'!$G$32,"")</f>
        <v/>
      </c>
      <c r="BM73" s="518" t="str">
        <f>IF(AND(_A4="A-319",'2025'!$E$4="FO",'2025'!$E$2=BM43),'2025DATA'!$H$32,"")</f>
        <v/>
      </c>
      <c r="BN73" s="518" t="str">
        <f>IF(AND(_A4="A-319",'2025'!$E$4="FO",'2025'!$E$2=BN43),'2025DATA'!$I$32,"")</f>
        <v/>
      </c>
      <c r="BO73" s="518" t="str">
        <f>IF(AND(_A4="A-319",'2025'!$E$4="FO",'2025'!$E$2=BO43),'2025DATA'!$J$32,"")</f>
        <v/>
      </c>
      <c r="BP73" s="518" t="str">
        <f>IF(AND(_A4="A-319",'2025'!$E$4="FO",'2025'!$E$2=BP43),'2025DATA'!$K$32,"")</f>
        <v/>
      </c>
      <c r="BQ73" s="518" t="str">
        <f>IF(AND(_A4="A-319",'2025'!$E$4="FO",'2025'!$E$2=BQ43),'2025DATA'!$L$32,"")</f>
        <v/>
      </c>
      <c r="BR73" s="518" t="str">
        <f>IF(AND(_A4="A-319",'2025'!$E$4="FO",'2025'!$E$2=BR43),'2025DATA'!$M$32,"")</f>
        <v/>
      </c>
      <c r="BS73" s="520" t="str">
        <f>IF(AND(_A4="A-319",'2025'!$E$4="FO",'2025'!$E$2=BS43),'2025DATA'!$N$32,"")</f>
        <v/>
      </c>
      <c r="BT73" s="940"/>
      <c r="BU73" s="13" t="s">
        <v>62</v>
      </c>
      <c r="BV73" s="518" t="str">
        <f>IF(AND(_A5="A-319",'2025'!$E$4="FO",'2025'!$E$2=BV43),'2025DATA'!$C$32,"")</f>
        <v/>
      </c>
      <c r="BW73" s="518" t="str">
        <f>IF(AND(_A5="A-319",'2025'!$E$4="FO",'2025'!$E$2=BW43),'2025DATA'!$D$32,"")</f>
        <v/>
      </c>
      <c r="BX73" s="518" t="str">
        <f>IF(AND(_A5="A-319",'2025'!$E$4="FO",'2025'!$E$2=BX43),'2025DATA'!$E$32,"")</f>
        <v/>
      </c>
      <c r="BY73" s="518" t="str">
        <f>IF(AND(_A5="A-319",'2025'!$E$4="FO",'2025'!$E$2=BY43),'2025DATA'!$F$32,"")</f>
        <v/>
      </c>
      <c r="BZ73" s="518" t="str">
        <f>IF(AND(_A5="A-319",'2025'!$E$4="FO",'2025'!$E$2=BZ43),'2025DATA'!$G$32,"")</f>
        <v/>
      </c>
      <c r="CA73" s="518" t="str">
        <f>IF(AND(_A5="A-319",'2025'!$E$4="FO",'2025'!$E$2=CA43),'2025DATA'!$H$32,"")</f>
        <v/>
      </c>
      <c r="CB73" s="518" t="str">
        <f>IF(AND(_A5="A-319",'2025'!$E$4="FO",'2025'!$E$2=CB43),'2025DATA'!$I$32,"")</f>
        <v/>
      </c>
      <c r="CC73" s="518" t="str">
        <f>IF(AND(_A5="A-319",'2025'!$E$4="FO",'2025'!$E$2=CC43),'2025DATA'!$J$32,"")</f>
        <v/>
      </c>
      <c r="CD73" s="518" t="str">
        <f>IF(AND(_A5="A-319",'2025'!$E$4="FO",'2025'!$E$2=CD43),'2025DATA'!$K$32,"")</f>
        <v/>
      </c>
      <c r="CE73" s="518" t="str">
        <f>IF(AND(_A5="A-319",'2025'!$E$4="FO",'2025'!$E$2=CE43),'2025DATA'!$L$32,"")</f>
        <v/>
      </c>
      <c r="CF73" s="518" t="str">
        <f>IF(AND(_A5="A-319",'2025'!$E$4="FO",'2025'!$E$2=CF43),'2025DATA'!$M$32,"")</f>
        <v/>
      </c>
      <c r="CG73" s="520" t="str">
        <f>IF(AND(_A5="A-319",'2025'!$E$4="FO",'2025'!$E$2=CG43),'2025DATA'!$N$32,"")</f>
        <v/>
      </c>
      <c r="CH73" s="940"/>
      <c r="CI73" s="13" t="s">
        <v>62</v>
      </c>
      <c r="CJ73" s="518" t="str">
        <f>IF(AND(_A6="A-319",'2025'!$E$4="FO",'2025'!$E$2=CJ43),'2025DATA'!$C$32,"")</f>
        <v/>
      </c>
      <c r="CK73" s="518" t="str">
        <f>IF(AND(_A6="A-319",'2025'!$E$4="FO",'2025'!$E$2=CK43),'2025DATA'!$D$32,"")</f>
        <v/>
      </c>
      <c r="CL73" s="518" t="str">
        <f>IF(AND(_A6="A-319",'2025'!$E$4="FO",'2025'!$E$2=CL43),'2025DATA'!$E$32,"")</f>
        <v/>
      </c>
      <c r="CM73" s="518" t="str">
        <f>IF(AND(_A6="A-319",'2025'!$E$4="FO",'2025'!$E$2=CM43),'2025DATA'!$F$32,"")</f>
        <v/>
      </c>
      <c r="CN73" s="518" t="str">
        <f>IF(AND(_A6="A-319",'2025'!$E$4="FO",'2025'!$E$2=CN43),'2025DATA'!$G$32,"")</f>
        <v/>
      </c>
      <c r="CO73" s="518" t="str">
        <f>IF(AND(_A6="A-319",'2025'!$E$4="FO",'2025'!$E$2=CO43),'2025DATA'!$H$32,"")</f>
        <v/>
      </c>
      <c r="CP73" s="518" t="str">
        <f>IF(AND(_A6="A-319",'2025'!$E$4="FO",'2025'!$E$2=CP43),'2025DATA'!$I$32,"")</f>
        <v/>
      </c>
      <c r="CQ73" s="518" t="str">
        <f>IF(AND(_A6="A-319",'2025'!$E$4="FO",'2025'!$E$2=CQ43),'2025DATA'!$J$32,"")</f>
        <v/>
      </c>
      <c r="CR73" s="518" t="str">
        <f>IF(AND(_A6="A-319",'2025'!$E$4="FO",'2025'!$E$2=CR43),'2025DATA'!$K$32,"")</f>
        <v/>
      </c>
      <c r="CS73" s="518" t="str">
        <f>IF(AND(_A6="A-319",'2025'!$E$4="FO",'2025'!$E$2=CS43),'2025DATA'!$L$32,"")</f>
        <v/>
      </c>
      <c r="CT73" s="518" t="str">
        <f>IF(AND(_A6="A-319",'2025'!$E$4="FO",'2025'!$E$2=CT43),'2025DATA'!$M$32,"")</f>
        <v/>
      </c>
      <c r="CU73" s="520" t="str">
        <f>IF(AND(_A6="A-319",'2025'!$E$4="FO",'2025'!$E$2=CU43),'2025DATA'!$N$32,"")</f>
        <v/>
      </c>
    </row>
    <row r="74" spans="16:99" x14ac:dyDescent="0.25">
      <c r="P74" s="940" t="s">
        <v>51</v>
      </c>
      <c r="Q74" s="13" t="s">
        <v>61</v>
      </c>
      <c r="R74" s="518" t="str">
        <f>IF(AND(_A1="A-220-300",'2025'!$E$4="CA",'2025'!$E$2=R43),'2025DATA'!$C$33,"")</f>
        <v/>
      </c>
      <c r="S74" s="518" t="str">
        <f>IF(AND(_A1="A-220-300",'2025'!$E$4="CA",'2025'!$E$2=S43),'2025DATA'!$D$33,"")</f>
        <v/>
      </c>
      <c r="T74" s="518" t="str">
        <f>IF(AND(_A1="A-220-300",'2025'!$E$4="CA",'2025'!$E$2=T43),'2025DATA'!$E$33,"")</f>
        <v/>
      </c>
      <c r="U74" s="518" t="str">
        <f>IF(AND(_A1="A-220-300",'2025'!$E$4="CA",'2025'!$E$2=U43),'2025DATA'!$F$33,"")</f>
        <v/>
      </c>
      <c r="V74" s="518" t="str">
        <f>IF(AND(_A1="A-220-300",'2025'!$E$4="CA",'2025'!$E$2=V43),'2025DATA'!$G$33,"")</f>
        <v/>
      </c>
      <c r="W74" s="518" t="str">
        <f>IF(AND(_A1="A-220-300",'2025'!$E$4="CA",'2025'!$E$2=W43),'2025DATA'!$H$33,"")</f>
        <v/>
      </c>
      <c r="X74" s="518" t="str">
        <f>IF(AND(_A1="A-220-300",'2025'!$E$4="CA",'2025'!$E$2=X43),'2025DATA'!$I$33,"")</f>
        <v/>
      </c>
      <c r="Y74" s="518" t="str">
        <f>IF(AND(_A1="A-220-300",'2025'!$E$4="CA",'2025'!$E$2=Y43),'2025DATA'!$J$33,"")</f>
        <v/>
      </c>
      <c r="Z74" s="518" t="str">
        <f>IF(AND(_A1="A-220-300",'2025'!$E$4="CA",'2025'!$E$2=Z43),'2025DATA'!$K$33,"")</f>
        <v/>
      </c>
      <c r="AA74" s="518" t="str">
        <f>IF(AND(_A1="A-220-300",'2025'!$E$4="CA",'2025'!$E$2=AA43),'2025DATA'!$L$33,"")</f>
        <v/>
      </c>
      <c r="AB74" s="518" t="str">
        <f>IF(AND(_A1="A-220-300",'2025'!$E$4="CA",'2025'!$E$2=AB43),'2025DATA'!$M$33,"")</f>
        <v/>
      </c>
      <c r="AC74" s="520" t="str">
        <f>IF(AND(_A1="A-220-300",'2025'!$E$4="CA",'2025'!$E$2=AC43),'2025DATA'!$N$33,"")</f>
        <v/>
      </c>
      <c r="AD74" s="940" t="s">
        <v>51</v>
      </c>
      <c r="AE74" s="13" t="s">
        <v>61</v>
      </c>
      <c r="AF74" s="518" t="str">
        <f>IF(AND(_A2="A-220-300",'2025'!$E$4="CA",'2025'!$E$2=AF43),'2025DATA'!$C$33,"")</f>
        <v/>
      </c>
      <c r="AG74" s="518" t="str">
        <f>IF(AND(_A2="A-220-300",'2025'!$E$4="CA",'2025'!$E$2=AG43),'2025DATA'!$D$33,"")</f>
        <v/>
      </c>
      <c r="AH74" s="518" t="str">
        <f>IF(AND(_A2="A-220-300",'2025'!$E$4="CA",'2025'!$E$2=AH43),'2025DATA'!$E$33,"")</f>
        <v/>
      </c>
      <c r="AI74" s="518" t="str">
        <f>IF(AND(_A2="A-220-300",'2025'!$E$4="CA",'2025'!$E$2=AI43),'2025DATA'!$F$33,"")</f>
        <v/>
      </c>
      <c r="AJ74" s="518" t="str">
        <f>IF(AND(_A2="A-220-300",'2025'!$E$4="CA",'2025'!$E$2=AJ43),'2025DATA'!$G$33,"")</f>
        <v/>
      </c>
      <c r="AK74" s="518" t="str">
        <f>IF(AND(_A2="A-220-300",'2025'!$E$4="CA",'2025'!$E$2=AK43),'2025DATA'!$H$33,"")</f>
        <v/>
      </c>
      <c r="AL74" s="518" t="str">
        <f>IF(AND(_A2="A-220-300",'2025'!$E$4="CA",'2025'!$E$2=AL43),'2025DATA'!$I$33,"")</f>
        <v/>
      </c>
      <c r="AM74" s="518" t="str">
        <f>IF(AND(_A2="A-220-300",'2025'!$E$4="CA",'2025'!$E$2=AM43),'2025DATA'!$J$33,"")</f>
        <v/>
      </c>
      <c r="AN74" s="518" t="str">
        <f>IF(AND(_A2="A-220-300",'2025'!$E$4="CA",'2025'!$E$2=AN43),'2025DATA'!$K$33,"")</f>
        <v/>
      </c>
      <c r="AO74" s="518" t="str">
        <f>IF(AND(_A2="A-220-300",'2025'!$E$4="CA",'2025'!$E$2=AO43),'2025DATA'!$L$33,"")</f>
        <v/>
      </c>
      <c r="AP74" s="518" t="str">
        <f>IF(AND(_A2="A-220-300",'2025'!$E$4="CA",'2025'!$E$2=AP43),'2025DATA'!$M$33,"")</f>
        <v/>
      </c>
      <c r="AQ74" s="520" t="str">
        <f>IF(AND(_A2="A-220-300",'2025'!$E$4="CA",'2025'!$E$2=AQ43),'2025DATA'!$N$33,"")</f>
        <v/>
      </c>
      <c r="AR74" s="940" t="s">
        <v>51</v>
      </c>
      <c r="AS74" s="13" t="s">
        <v>61</v>
      </c>
      <c r="AT74" s="518" t="str">
        <f>IF(AND(_A3="A-220-300",'2025'!$E$4="CA",'2025'!$E$2=AT43),'2025DATA'!$C$33,"")</f>
        <v/>
      </c>
      <c r="AU74" s="518" t="str">
        <f>IF(AND(_A3="A-220-300",'2025'!$E$4="CA",'2025'!$E$2=AU43),'2025DATA'!$D$33,"")</f>
        <v/>
      </c>
      <c r="AV74" s="518" t="str">
        <f>IF(AND(_A3="A-220-300",'2025'!$E$4="CA",'2025'!$E$2=AV43),'2025DATA'!$E$33,"")</f>
        <v/>
      </c>
      <c r="AW74" s="518" t="str">
        <f>IF(AND(_A3="A-220-300",'2025'!$E$4="CA",'2025'!$E$2=AW43),'2025DATA'!$F$33,"")</f>
        <v/>
      </c>
      <c r="AX74" s="518" t="str">
        <f>IF(AND(_A3="A-220-300",'2025'!$E$4="CA",'2025'!$E$2=AX43),'2025DATA'!$G$33,"")</f>
        <v/>
      </c>
      <c r="AY74" s="518" t="str">
        <f>IF(AND(_A3="A-220-300",'2025'!$E$4="CA",'2025'!$E$2=AY43),'2025DATA'!$H$33,"")</f>
        <v/>
      </c>
      <c r="AZ74" s="518" t="str">
        <f>IF(AND(_A3="A-220-300",'2025'!$E$4="CA",'2025'!$E$2=AZ43),'2025DATA'!$I$33,"")</f>
        <v/>
      </c>
      <c r="BA74" s="518" t="str">
        <f>IF(AND(_A3="A-220-300",'2025'!$E$4="CA",'2025'!$E$2=BA43),'2025DATA'!$J$33,"")</f>
        <v/>
      </c>
      <c r="BB74" s="518" t="str">
        <f>IF(AND(_A3="A-220-300",'2025'!$E$4="CA",'2025'!$E$2=BB43),'2025DATA'!$K$33,"")</f>
        <v/>
      </c>
      <c r="BC74" s="518" t="str">
        <f>IF(AND(_A3="A-220-300",'2025'!$E$4="CA",'2025'!$E$2=BC43),'2025DATA'!$L$33,"")</f>
        <v/>
      </c>
      <c r="BD74" s="518" t="str">
        <f>IF(AND(_A3="A-220-300",'2025'!$E$4="CA",'2025'!$E$2=BD43),'2025DATA'!$M$33,"")</f>
        <v/>
      </c>
      <c r="BE74" s="520" t="str">
        <f>IF(AND(_A3="A-220-300",'2025'!$E$4="CA",'2025'!$E$2=BE43),'2025DATA'!$N$33,"")</f>
        <v/>
      </c>
      <c r="BF74" s="940" t="s">
        <v>51</v>
      </c>
      <c r="BG74" s="13" t="s">
        <v>61</v>
      </c>
      <c r="BH74" s="518" t="str">
        <f>IF(AND(_A4="A-220-300",'2025'!$E$4="CA",'2025'!$E$2=BH43),'2025DATA'!$C$33,"")</f>
        <v/>
      </c>
      <c r="BI74" s="518" t="str">
        <f>IF(AND(_A4="A-220-300",'2025'!$E$4="CA",'2025'!$E$2=BI43),'2025DATA'!$D$33,"")</f>
        <v/>
      </c>
      <c r="BJ74" s="518" t="str">
        <f>IF(AND(_A4="A-220-300",'2025'!$E$4="CA",'2025'!$E$2=BJ43),'2025DATA'!$E$33,"")</f>
        <v/>
      </c>
      <c r="BK74" s="518" t="str">
        <f>IF(AND(_A4="A-220-300",'2025'!$E$4="CA",'2025'!$E$2=BK43),'2025DATA'!$F$33,"")</f>
        <v/>
      </c>
      <c r="BL74" s="518" t="str">
        <f>IF(AND(_A4="A-220-300",'2025'!$E$4="CA",'2025'!$E$2=BL43),'2025DATA'!$G$33,"")</f>
        <v/>
      </c>
      <c r="BM74" s="518" t="str">
        <f>IF(AND(_A4="A-220-300",'2025'!$E$4="CA",'2025'!$E$2=BM43),'2025DATA'!$H$33,"")</f>
        <v/>
      </c>
      <c r="BN74" s="518" t="str">
        <f>IF(AND(_A4="A-220-300",'2025'!$E$4="CA",'2025'!$E$2=BN43),'2025DATA'!$I$33,"")</f>
        <v/>
      </c>
      <c r="BO74" s="518" t="str">
        <f>IF(AND(_A4="A-220-300",'2025'!$E$4="CA",'2025'!$E$2=BO43),'2025DATA'!$J$33,"")</f>
        <v/>
      </c>
      <c r="BP74" s="518" t="str">
        <f>IF(AND(_A4="A-220-300",'2025'!$E$4="CA",'2025'!$E$2=BP43),'2025DATA'!$K$33,"")</f>
        <v/>
      </c>
      <c r="BQ74" s="518" t="str">
        <f>IF(AND(_A4="A-220-300",'2025'!$E$4="CA",'2025'!$E$2=BQ43),'2025DATA'!$L$33,"")</f>
        <v/>
      </c>
      <c r="BR74" s="518" t="str">
        <f>IF(AND(_A4="A-220-300",'2025'!$E$4="CA",'2025'!$E$2=BR43),'2025DATA'!$M$33,"")</f>
        <v/>
      </c>
      <c r="BS74" s="520" t="str">
        <f>IF(AND(_A4="A-220-300",'2025'!$E$4="CA",'2025'!$E$2=BS43),'2025DATA'!$N$33,"")</f>
        <v/>
      </c>
      <c r="BT74" s="940" t="s">
        <v>51</v>
      </c>
      <c r="BU74" s="13" t="s">
        <v>61</v>
      </c>
      <c r="BV74" s="518" t="str">
        <f>IF(AND(_A5="A-220-300",'2025'!$E$4="CA",'2025'!$E$2=BV43),'2025DATA'!$C$33,"")</f>
        <v/>
      </c>
      <c r="BW74" s="518" t="str">
        <f>IF(AND(_A5="A-220-300",'2025'!$E$4="CA",'2025'!$E$2=BW43),'2025DATA'!$D$33,"")</f>
        <v/>
      </c>
      <c r="BX74" s="518" t="str">
        <f>IF(AND(_A5="A-220-300",'2025'!$E$4="CA",'2025'!$E$2=BX43),'2025DATA'!$E$33,"")</f>
        <v/>
      </c>
      <c r="BY74" s="518" t="str">
        <f>IF(AND(_A5="A-220-300",'2025'!$E$4="CA",'2025'!$E$2=BY43),'2025DATA'!$F$33,"")</f>
        <v/>
      </c>
      <c r="BZ74" s="518" t="str">
        <f>IF(AND(_A5="A-220-300",'2025'!$E$4="CA",'2025'!$E$2=BZ43),'2025DATA'!$G$33,"")</f>
        <v/>
      </c>
      <c r="CA74" s="518" t="str">
        <f>IF(AND(_A5="A-220-300",'2025'!$E$4="CA",'2025'!$E$2=CA43),'2025DATA'!$H$33,"")</f>
        <v/>
      </c>
      <c r="CB74" s="518" t="str">
        <f>IF(AND(_A5="A-220-300",'2025'!$E$4="CA",'2025'!$E$2=CB43),'2025DATA'!$I$33,"")</f>
        <v/>
      </c>
      <c r="CC74" s="518" t="str">
        <f>IF(AND(_A5="A-220-300",'2025'!$E$4="CA",'2025'!$E$2=CC43),'2025DATA'!$J$33,"")</f>
        <v/>
      </c>
      <c r="CD74" s="518" t="str">
        <f>IF(AND(_A5="A-220-300",'2025'!$E$4="CA",'2025'!$E$2=CD43),'2025DATA'!$K$33,"")</f>
        <v/>
      </c>
      <c r="CE74" s="518" t="str">
        <f>IF(AND(_A5="A-220-300",'2025'!$E$4="CA",'2025'!$E$2=CE43),'2025DATA'!$L$33,"")</f>
        <v/>
      </c>
      <c r="CF74" s="518" t="str">
        <f>IF(AND(_A5="A-220-300",'2025'!$E$4="CA",'2025'!$E$2=CF43),'2025DATA'!$M$33,"")</f>
        <v/>
      </c>
      <c r="CG74" s="520" t="str">
        <f>IF(AND(_A5="A-220-300",'2025'!$E$4="CA",'2025'!$E$2=CG43),'2025DATA'!$N$33,"")</f>
        <v/>
      </c>
      <c r="CH74" s="940" t="s">
        <v>51</v>
      </c>
      <c r="CI74" s="13" t="s">
        <v>61</v>
      </c>
      <c r="CJ74" s="518" t="str">
        <f>IF(AND(_A6="A-220-300",'2025'!$E$4="CA",'2025'!$E$2=CJ43),'2025DATA'!$C$33,"")</f>
        <v/>
      </c>
      <c r="CK74" s="518" t="str">
        <f>IF(AND(_A6="A-220-300",'2025'!$E$4="CA",'2025'!$E$2=CK43),'2025DATA'!$D$33,"")</f>
        <v/>
      </c>
      <c r="CL74" s="518" t="str">
        <f>IF(AND(_A6="A-220-300",'2025'!$E$4="CA",'2025'!$E$2=CL43),'2025DATA'!$E$33,"")</f>
        <v/>
      </c>
      <c r="CM74" s="518" t="str">
        <f>IF(AND(_A6="A-220-300",'2025'!$E$4="CA",'2025'!$E$2=CM43),'2025DATA'!$F$33,"")</f>
        <v/>
      </c>
      <c r="CN74" s="518" t="str">
        <f>IF(AND(_A6="A-220-300",'2025'!$E$4="CA",'2025'!$E$2=CN43),'2025DATA'!$G$33,"")</f>
        <v/>
      </c>
      <c r="CO74" s="518" t="str">
        <f>IF(AND(_A6="A-220-300",'2025'!$E$4="CA",'2025'!$E$2=CO43),'2025DATA'!$H$33,"")</f>
        <v/>
      </c>
      <c r="CP74" s="518" t="str">
        <f>IF(AND(_A6="A-220-300",'2025'!$E$4="CA",'2025'!$E$2=CP43),'2025DATA'!$I$33,"")</f>
        <v/>
      </c>
      <c r="CQ74" s="518" t="str">
        <f>IF(AND(_A6="A-220-300",'2025'!$E$4="CA",'2025'!$E$2=CQ43),'2025DATA'!$J$33,"")</f>
        <v/>
      </c>
      <c r="CR74" s="518" t="str">
        <f>IF(AND(_A6="A-220-300",'2025'!$E$4="CA",'2025'!$E$2=CR43),'2025DATA'!$K$33,"")</f>
        <v/>
      </c>
      <c r="CS74" s="518" t="str">
        <f>IF(AND(_A6="A-220-300",'2025'!$E$4="CA",'2025'!$E$2=CS43),'2025DATA'!$L$33,"")</f>
        <v/>
      </c>
      <c r="CT74" s="518" t="str">
        <f>IF(AND(_A6="A-220-300",'2025'!$E$4="CA",'2025'!$E$2=CT43),'2025DATA'!$M$33,"")</f>
        <v/>
      </c>
      <c r="CU74" s="520" t="str">
        <f>IF(AND(_A6="A-220-300",'2025'!$E$4="CA",'2025'!$E$2=CU43),'2025DATA'!$N$33,"")</f>
        <v/>
      </c>
    </row>
    <row r="75" spans="16:99" x14ac:dyDescent="0.25">
      <c r="P75" s="940"/>
      <c r="Q75" s="13" t="s">
        <v>62</v>
      </c>
      <c r="R75" s="518" t="str">
        <f>IF(AND(_A1="A-220-300",'2025'!$E$4="FO",'2025'!$E$2=R43),'2025DATA'!$C$34,"")</f>
        <v/>
      </c>
      <c r="S75" s="518" t="str">
        <f>IF(AND(_A1="A-220-300",'2025'!$E$4="FO",'2025'!$E$2=S43),'2025DATA'!$D$34,"")</f>
        <v/>
      </c>
      <c r="T75" s="518" t="str">
        <f>IF(AND(_A1="A-220-300",'2025'!$E$4="FO",'2025'!$E$2=T43),'2025DATA'!$E$34,"")</f>
        <v/>
      </c>
      <c r="U75" s="518" t="str">
        <f>IF(AND(_A1="A-220-300",'2025'!$E$4="FO",'2025'!$E$2=U43),'2025DATA'!$F$34,"")</f>
        <v/>
      </c>
      <c r="V75" s="518" t="str">
        <f>IF(AND(_A1="A-220-300",'2025'!$E$4="FO",'2025'!$E$2=V43),'2025DATA'!$G$34,"")</f>
        <v/>
      </c>
      <c r="W75" s="518" t="str">
        <f>IF(AND(_A1="A-220-300",'2025'!$E$4="FO",'2025'!$E$2=W43),'2025DATA'!$H$34,"")</f>
        <v/>
      </c>
      <c r="X75" s="518" t="str">
        <f>IF(AND(_A1="A-220-300",'2025'!$E$4="FO",'2025'!$E$2=X43),'2025DATA'!$I$34,"")</f>
        <v/>
      </c>
      <c r="Y75" s="518" t="str">
        <f>IF(AND(_A1="A-220-300",'2025'!$E$4="FO",'2025'!$E$2=Y43),'2025DATA'!$J$34,"")</f>
        <v/>
      </c>
      <c r="Z75" s="518" t="str">
        <f>IF(AND(_A1="A-220-300",'2025'!$E$4="FO",'2025'!$E$2=Z43),'2025DATA'!$K$34,"")</f>
        <v/>
      </c>
      <c r="AA75" s="518" t="str">
        <f>IF(AND(_A1="A-220-300",'2025'!$E$4="FO",'2025'!$E$2=AA43),'2025DATA'!$L$34,"")</f>
        <v/>
      </c>
      <c r="AB75" s="518" t="str">
        <f>IF(AND(_A1="A-220-300",'2025'!$E$4="FO",'2025'!$E$2=AB43),'2025DATA'!$M$34,"")</f>
        <v/>
      </c>
      <c r="AC75" s="520" t="str">
        <f>IF(AND(_A1="A-220-300",'2025'!$E$4="FO",'2025'!$E$2=AC43),'2025DATA'!$N$34,"")</f>
        <v/>
      </c>
      <c r="AD75" s="940"/>
      <c r="AE75" s="13" t="s">
        <v>62</v>
      </c>
      <c r="AF75" s="518" t="str">
        <f>IF(AND(_A2="A-220-300",'2025'!$E$4="FO",'2025'!$E$2=AF43),'2025DATA'!$C$34,"")</f>
        <v/>
      </c>
      <c r="AG75" s="518" t="str">
        <f>IF(AND(_A2="A-220-300",'2025'!$E$4="FO",'2025'!$E$2=AG43),'2025DATA'!$D$34,"")</f>
        <v/>
      </c>
      <c r="AH75" s="518" t="str">
        <f>IF(AND(_A2="A-220-300",'2025'!$E$4="FO",'2025'!$E$2=AH43),'2025DATA'!$E$34,"")</f>
        <v/>
      </c>
      <c r="AI75" s="518" t="str">
        <f>IF(AND(_A2="A-220-300",'2025'!$E$4="FO",'2025'!$E$2=AI43),'2025DATA'!$F$34,"")</f>
        <v/>
      </c>
      <c r="AJ75" s="518" t="str">
        <f>IF(AND(_A2="A-220-300",'2025'!$E$4="FO",'2025'!$E$2=AJ43),'2025DATA'!$G$34,"")</f>
        <v/>
      </c>
      <c r="AK75" s="518" t="str">
        <f>IF(AND(_A2="A-220-300",'2025'!$E$4="FO",'2025'!$E$2=AK43),'2025DATA'!$H$34,"")</f>
        <v/>
      </c>
      <c r="AL75" s="518" t="str">
        <f>IF(AND(_A2="A-220-300",'2025'!$E$4="FO",'2025'!$E$2=AL43),'2025DATA'!$I$34,"")</f>
        <v/>
      </c>
      <c r="AM75" s="518" t="str">
        <f>IF(AND(_A2="A-220-300",'2025'!$E$4="FO",'2025'!$E$2=AM43),'2025DATA'!$J$34,"")</f>
        <v/>
      </c>
      <c r="AN75" s="518" t="str">
        <f>IF(AND(_A2="A-220-300",'2025'!$E$4="FO",'2025'!$E$2=AN43),'2025DATA'!$K$34,"")</f>
        <v/>
      </c>
      <c r="AO75" s="518" t="str">
        <f>IF(AND(_A2="A-220-300",'2025'!$E$4="FO",'2025'!$E$2=AO43),'2025DATA'!$L$34,"")</f>
        <v/>
      </c>
      <c r="AP75" s="518" t="str">
        <f>IF(AND(_A2="A-220-300",'2025'!$E$4="FO",'2025'!$E$2=AP43),'2025DATA'!$M$34,"")</f>
        <v/>
      </c>
      <c r="AQ75" s="520" t="str">
        <f>IF(AND(_A2="A-220-300",'2025'!$E$4="FO",'2025'!$E$2=AQ43),'2025DATA'!$N$34,"")</f>
        <v/>
      </c>
      <c r="AR75" s="940"/>
      <c r="AS75" s="13" t="s">
        <v>62</v>
      </c>
      <c r="AT75" s="518" t="str">
        <f>IF(AND(_A3="A-220-300",'2025'!$E$4="FO",'2025'!$E$2=AT43),'2025DATA'!$C$34,"")</f>
        <v/>
      </c>
      <c r="AU75" s="518" t="str">
        <f>IF(AND(_A3="A-220-300",'2025'!$E$4="FO",'2025'!$E$2=AU43),'2025DATA'!$D$34,"")</f>
        <v/>
      </c>
      <c r="AV75" s="518" t="str">
        <f>IF(AND(_A3="A-220-300",'2025'!$E$4="FO",'2025'!$E$2=AV43),'2025DATA'!$E$34,"")</f>
        <v/>
      </c>
      <c r="AW75" s="518" t="str">
        <f>IF(AND(_A3="A-220-300",'2025'!$E$4="FO",'2025'!$E$2=AW43),'2025DATA'!$F$34,"")</f>
        <v/>
      </c>
      <c r="AX75" s="518" t="str">
        <f>IF(AND(_A3="A-220-300",'2025'!$E$4="FO",'2025'!$E$2=AX43),'2025DATA'!$G$34,"")</f>
        <v/>
      </c>
      <c r="AY75" s="518" t="str">
        <f>IF(AND(_A3="A-220-300",'2025'!$E$4="FO",'2025'!$E$2=AY43),'2025DATA'!$H$34,"")</f>
        <v/>
      </c>
      <c r="AZ75" s="518" t="str">
        <f>IF(AND(_A3="A-220-300",'2025'!$E$4="FO",'2025'!$E$2=AZ43),'2025DATA'!$I$34,"")</f>
        <v/>
      </c>
      <c r="BA75" s="518" t="str">
        <f>IF(AND(_A3="A-220-300",'2025'!$E$4="FO",'2025'!$E$2=BA43),'2025DATA'!$J$34,"")</f>
        <v/>
      </c>
      <c r="BB75" s="518" t="str">
        <f>IF(AND(_A3="A-220-300",'2025'!$E$4="FO",'2025'!$E$2=BB43),'2025DATA'!$K$34,"")</f>
        <v/>
      </c>
      <c r="BC75" s="518" t="str">
        <f>IF(AND(_A3="A-220-300",'2025'!$E$4="FO",'2025'!$E$2=BC43),'2025DATA'!$L$34,"")</f>
        <v/>
      </c>
      <c r="BD75" s="518" t="str">
        <f>IF(AND(_A3="A-220-300",'2025'!$E$4="FO",'2025'!$E$2=BD43),'2025DATA'!$M$34,"")</f>
        <v/>
      </c>
      <c r="BE75" s="520" t="str">
        <f>IF(AND(_A3="A-220-300",'2025'!$E$4="FO",'2025'!$E$2=BE43),'2025DATA'!$N$34,"")</f>
        <v/>
      </c>
      <c r="BF75" s="940"/>
      <c r="BG75" s="13" t="s">
        <v>62</v>
      </c>
      <c r="BH75" s="518" t="str">
        <f>IF(AND(_A4="A-220-300",'2025'!$E$4="FO",'2025'!$E$2=BH43),'2025DATA'!$C$34,"")</f>
        <v/>
      </c>
      <c r="BI75" s="518" t="str">
        <f>IF(AND(_A4="A-220-300",'2025'!$E$4="FO",'2025'!$E$2=BI43),'2025DATA'!$D$34,"")</f>
        <v/>
      </c>
      <c r="BJ75" s="518" t="str">
        <f>IF(AND(_A4="A-220-300",'2025'!$E$4="FO",'2025'!$E$2=BJ43),'2025DATA'!$E$34,"")</f>
        <v/>
      </c>
      <c r="BK75" s="518" t="str">
        <f>IF(AND(_A4="A-220-300",'2025'!$E$4="FO",'2025'!$E$2=BK43),'2025DATA'!$F$34,"")</f>
        <v/>
      </c>
      <c r="BL75" s="518" t="str">
        <f>IF(AND(_A4="A-220-300",'2025'!$E$4="FO",'2025'!$E$2=BL43),'2025DATA'!$G$34,"")</f>
        <v/>
      </c>
      <c r="BM75" s="518" t="str">
        <f>IF(AND(_A4="A-220-300",'2025'!$E$4="FO",'2025'!$E$2=BM43),'2025DATA'!$H$34,"")</f>
        <v/>
      </c>
      <c r="BN75" s="518" t="str">
        <f>IF(AND(_A4="A-220-300",'2025'!$E$4="FO",'2025'!$E$2=BN43),'2025DATA'!$I$34,"")</f>
        <v/>
      </c>
      <c r="BO75" s="518" t="str">
        <f>IF(AND(_A4="A-220-300",'2025'!$E$4="FO",'2025'!$E$2=BO43),'2025DATA'!$J$34,"")</f>
        <v/>
      </c>
      <c r="BP75" s="518" t="str">
        <f>IF(AND(_A4="A-220-300",'2025'!$E$4="FO",'2025'!$E$2=BP43),'2025DATA'!$K$34,"")</f>
        <v/>
      </c>
      <c r="BQ75" s="518" t="str">
        <f>IF(AND(_A4="A-220-300",'2025'!$E$4="FO",'2025'!$E$2=BQ43),'2025DATA'!$L$34,"")</f>
        <v/>
      </c>
      <c r="BR75" s="518" t="str">
        <f>IF(AND(_A4="A-220-300",'2025'!$E$4="FO",'2025'!$E$2=BR43),'2025DATA'!$M$34,"")</f>
        <v/>
      </c>
      <c r="BS75" s="520" t="str">
        <f>IF(AND(_A4="A-220-300",'2025'!$E$4="FO",'2025'!$E$2=BS43),'2025DATA'!$N$34,"")</f>
        <v/>
      </c>
      <c r="BT75" s="940"/>
      <c r="BU75" s="13" t="s">
        <v>62</v>
      </c>
      <c r="BV75" s="518" t="str">
        <f>IF(AND(_A5="A-220-300",'2025'!$E$4="FO",'2025'!$E$2=BV43),'2025DATA'!$C$34,"")</f>
        <v/>
      </c>
      <c r="BW75" s="518" t="str">
        <f>IF(AND(_A5="A-220-300",'2025'!$E$4="FO",'2025'!$E$2=BW43),'2025DATA'!$D$34,"")</f>
        <v/>
      </c>
      <c r="BX75" s="518" t="str">
        <f>IF(AND(_A5="A-220-300",'2025'!$E$4="FO",'2025'!$E$2=BX43),'2025DATA'!$E$34,"")</f>
        <v/>
      </c>
      <c r="BY75" s="518" t="str">
        <f>IF(AND(_A5="A-220-300",'2025'!$E$4="FO",'2025'!$E$2=BY43),'2025DATA'!$F$34,"")</f>
        <v/>
      </c>
      <c r="BZ75" s="518" t="str">
        <f>IF(AND(_A5="A-220-300",'2025'!$E$4="FO",'2025'!$E$2=BZ43),'2025DATA'!$G$34,"")</f>
        <v/>
      </c>
      <c r="CA75" s="518" t="str">
        <f>IF(AND(_A5="A-220-300",'2025'!$E$4="FO",'2025'!$E$2=CA43),'2025DATA'!$H$34,"")</f>
        <v/>
      </c>
      <c r="CB75" s="518" t="str">
        <f>IF(AND(_A5="A-220-300",'2025'!$E$4="FO",'2025'!$E$2=CB43),'2025DATA'!$I$34,"")</f>
        <v/>
      </c>
      <c r="CC75" s="518" t="str">
        <f>IF(AND(_A5="A-220-300",'2025'!$E$4="FO",'2025'!$E$2=CC43),'2025DATA'!$J$34,"")</f>
        <v/>
      </c>
      <c r="CD75" s="518" t="str">
        <f>IF(AND(_A5="A-220-300",'2025'!$E$4="FO",'2025'!$E$2=CD43),'2025DATA'!$K$34,"")</f>
        <v/>
      </c>
      <c r="CE75" s="518" t="str">
        <f>IF(AND(_A5="A-220-300",'2025'!$E$4="FO",'2025'!$E$2=CE43),'2025DATA'!$L$34,"")</f>
        <v/>
      </c>
      <c r="CF75" s="518" t="str">
        <f>IF(AND(_A5="A-220-300",'2025'!$E$4="FO",'2025'!$E$2=CF43),'2025DATA'!$M$34,"")</f>
        <v/>
      </c>
      <c r="CG75" s="520" t="str">
        <f>IF(AND(_A5="A-220-300",'2025'!$E$4="FO",'2025'!$E$2=CG43),'2025DATA'!$N$34,"")</f>
        <v/>
      </c>
      <c r="CH75" s="940"/>
      <c r="CI75" s="13" t="s">
        <v>62</v>
      </c>
      <c r="CJ75" s="518" t="str">
        <f>IF(AND(_A6="A-220-300",'2025'!$E$4="FO",'2025'!$E$2=CJ43),'2025DATA'!$C$34,"")</f>
        <v/>
      </c>
      <c r="CK75" s="518" t="str">
        <f>IF(AND(_A6="A-220-300",'2025'!$E$4="FO",'2025'!$E$2=CK43),'2025DATA'!$D$34,"")</f>
        <v/>
      </c>
      <c r="CL75" s="518" t="str">
        <f>IF(AND(_A6="A-220-300",'2025'!$E$4="FO",'2025'!$E$2=CL43),'2025DATA'!$E$34,"")</f>
        <v/>
      </c>
      <c r="CM75" s="518" t="str">
        <f>IF(AND(_A6="A-220-300",'2025'!$E$4="FO",'2025'!$E$2=CM43),'2025DATA'!$F$34,"")</f>
        <v/>
      </c>
      <c r="CN75" s="518" t="str">
        <f>IF(AND(_A6="A-220-300",'2025'!$E$4="FO",'2025'!$E$2=CN43),'2025DATA'!$G$34,"")</f>
        <v/>
      </c>
      <c r="CO75" s="518" t="str">
        <f>IF(AND(_A6="A-220-300",'2025'!$E$4="FO",'2025'!$E$2=CO43),'2025DATA'!$H$34,"")</f>
        <v/>
      </c>
      <c r="CP75" s="518" t="str">
        <f>IF(AND(_A6="A-220-300",'2025'!$E$4="FO",'2025'!$E$2=CP43),'2025DATA'!$I$34,"")</f>
        <v/>
      </c>
      <c r="CQ75" s="518" t="str">
        <f>IF(AND(_A6="A-220-300",'2025'!$E$4="FO",'2025'!$E$2=CQ43),'2025DATA'!$J$34,"")</f>
        <v/>
      </c>
      <c r="CR75" s="518" t="str">
        <f>IF(AND(_A6="A-220-300",'2025'!$E$4="FO",'2025'!$E$2=CR43),'2025DATA'!$K$34,"")</f>
        <v/>
      </c>
      <c r="CS75" s="518" t="str">
        <f>IF(AND(_A6="A-220-300",'2025'!$E$4="FO",'2025'!$E$2=CS43),'2025DATA'!$L$34,"")</f>
        <v/>
      </c>
      <c r="CT75" s="518" t="str">
        <f>IF(AND(_A6="A-220-300",'2025'!$E$4="FO",'2025'!$E$2=CT43),'2025DATA'!$M$34,"")</f>
        <v/>
      </c>
      <c r="CU75" s="520" t="str">
        <f>IF(AND(_A6="A-220-300",'2025'!$E$4="FO",'2025'!$E$2=CU43),'2025DATA'!$N$34,"")</f>
        <v/>
      </c>
    </row>
    <row r="76" spans="16:99" x14ac:dyDescent="0.25">
      <c r="P76" s="940" t="s">
        <v>52</v>
      </c>
      <c r="Q76" s="13" t="s">
        <v>61</v>
      </c>
      <c r="R76" s="518" t="str">
        <f>IF(AND(_A1="A-220-100",'2025'!$E$4="CA",'2025'!$E$2=R43),'2025DATA'!$C$35,"")</f>
        <v/>
      </c>
      <c r="S76" s="518" t="str">
        <f>IF(AND(_A1="A-220-100",'2025'!$E$4="CA",'2025'!$E$2=S43),'2025DATA'!$D$35,"")</f>
        <v/>
      </c>
      <c r="T76" s="518" t="str">
        <f>IF(AND(_A1="A-220-100",'2025'!$E$4="CA",'2025'!$E$2=T43),'2025DATA'!$E$35,"")</f>
        <v/>
      </c>
      <c r="U76" s="518" t="str">
        <f>IF(AND(_A1="A-220-100",'2025'!$E$4="CA",'2025'!$E$2=U43),'2025DATA'!$F$35,"")</f>
        <v/>
      </c>
      <c r="V76" s="518" t="str">
        <f>IF(AND(_A1="A-220-100",'2025'!$E$4="CA",'2025'!$E$2=V43),'2025DATA'!$G$35,"")</f>
        <v/>
      </c>
      <c r="W76" s="518" t="str">
        <f>IF(AND(_A1="A-220-100",'2025'!$E$4="CA",'2025'!$E$2=W43),'2025DATA'!$H$35,"")</f>
        <v/>
      </c>
      <c r="X76" s="518" t="str">
        <f>IF(AND(_A1="A-220-100",'2025'!$E$4="CA",'2025'!$E$2=X43),'2025DATA'!$I$35,"")</f>
        <v/>
      </c>
      <c r="Y76" s="518" t="str">
        <f>IF(AND(_A1="A-220-100",'2025'!$E$4="CA",'2025'!$E$2=Y43),'2025DATA'!$J$35,"")</f>
        <v/>
      </c>
      <c r="Z76" s="518" t="str">
        <f>IF(AND(_A1="A-220-100",'2025'!$E$4="CA",'2025'!$E$2=Z43),'2025DATA'!$K$35,"")</f>
        <v/>
      </c>
      <c r="AA76" s="518" t="str">
        <f>IF(AND(_A1="A-220-100",'2025'!$E$4="CA",'2025'!$E$2=AA43),'2025DATA'!$L$35,"")</f>
        <v/>
      </c>
      <c r="AB76" s="518" t="str">
        <f>IF(AND(_A1="A-220-100",'2025'!$E$4="CA",'2025'!$E$2=AB43),'2025DATA'!$M$35,"")</f>
        <v/>
      </c>
      <c r="AC76" s="520" t="str">
        <f>IF(AND(_A1="A-220-100",'2025'!$E$4="CA",'2025'!$E$2=AC43),'2025DATA'!$N$35,"")</f>
        <v/>
      </c>
      <c r="AD76" s="940" t="s">
        <v>52</v>
      </c>
      <c r="AE76" s="13" t="s">
        <v>61</v>
      </c>
      <c r="AF76" s="518" t="str">
        <f>IF(AND(_A2="A-220-100",'2025'!$E$4="CA",'2025'!$E$2=AF43),'2025DATA'!$C$35,"")</f>
        <v/>
      </c>
      <c r="AG76" s="518" t="str">
        <f>IF(AND(_A2="A-220-100",'2025'!$E$4="CA",'2025'!$E$2=AG43),'2025DATA'!$D$35,"")</f>
        <v/>
      </c>
      <c r="AH76" s="518" t="str">
        <f>IF(AND(_A2="A-220-100",'2025'!$E$4="CA",'2025'!$E$2=AH43),'2025DATA'!$E$35,"")</f>
        <v/>
      </c>
      <c r="AI76" s="518" t="str">
        <f>IF(AND(_A2="A-220-100",'2025'!$E$4="CA",'2025'!$E$2=AI43),'2025DATA'!$F$35,"")</f>
        <v/>
      </c>
      <c r="AJ76" s="518" t="str">
        <f>IF(AND(_A2="A-220-100",'2025'!$E$4="CA",'2025'!$E$2=AJ43),'2025DATA'!$G$35,"")</f>
        <v/>
      </c>
      <c r="AK76" s="518" t="str">
        <f>IF(AND(_A2="A-220-100",'2025'!$E$4="CA",'2025'!$E$2=AK43),'2025DATA'!$H$35,"")</f>
        <v/>
      </c>
      <c r="AL76" s="518" t="str">
        <f>IF(AND(_A2="A-220-100",'2025'!$E$4="CA",'2025'!$E$2=AL43),'2025DATA'!$I$35,"")</f>
        <v/>
      </c>
      <c r="AM76" s="518" t="str">
        <f>IF(AND(_A2="A-220-100",'2025'!$E$4="CA",'2025'!$E$2=AM43),'2025DATA'!$J$35,"")</f>
        <v/>
      </c>
      <c r="AN76" s="518" t="str">
        <f>IF(AND(_A2="A-220-100",'2025'!$E$4="CA",'2025'!$E$2=AN43),'2025DATA'!$K$35,"")</f>
        <v/>
      </c>
      <c r="AO76" s="518" t="str">
        <f>IF(AND(_A2="A-220-100",'2025'!$E$4="CA",'2025'!$E$2=AO43),'2025DATA'!$L$35,"")</f>
        <v/>
      </c>
      <c r="AP76" s="518" t="str">
        <f>IF(AND(_A2="A-220-100",'2025'!$E$4="CA",'2025'!$E$2=AP43),'2025DATA'!$M$35,"")</f>
        <v/>
      </c>
      <c r="AQ76" s="520" t="str">
        <f>IF(AND(_A2="A-220-100",'2025'!$E$4="CA",'2025'!$E$2=AQ43),'2025DATA'!$N$35,"")</f>
        <v/>
      </c>
      <c r="AR76" s="940" t="s">
        <v>52</v>
      </c>
      <c r="AS76" s="13" t="s">
        <v>61</v>
      </c>
      <c r="AT76" s="518" t="str">
        <f>IF(AND(_A3="A-220-100",'2025'!$E$4="CA",'2025'!$E$2=AT43),'2025DATA'!$C$35,"")</f>
        <v/>
      </c>
      <c r="AU76" s="518" t="str">
        <f>IF(AND(_A3="A-220-100",'2025'!$E$4="CA",'2025'!$E$2=AU43),'2025DATA'!$D$35,"")</f>
        <v/>
      </c>
      <c r="AV76" s="518" t="str">
        <f>IF(AND(_A3="A-220-100",'2025'!$E$4="CA",'2025'!$E$2=AV43),'2025DATA'!$E$35,"")</f>
        <v/>
      </c>
      <c r="AW76" s="518" t="str">
        <f>IF(AND(_A3="A-220-100",'2025'!$E$4="CA",'2025'!$E$2=AW43),'2025DATA'!$F$35,"")</f>
        <v/>
      </c>
      <c r="AX76" s="518" t="str">
        <f>IF(AND(_A3="A-220-100",'2025'!$E$4="CA",'2025'!$E$2=AX43),'2025DATA'!$G$35,"")</f>
        <v/>
      </c>
      <c r="AY76" s="518" t="str">
        <f>IF(AND(_A3="A-220-100",'2025'!$E$4="CA",'2025'!$E$2=AY43),'2025DATA'!$H$35,"")</f>
        <v/>
      </c>
      <c r="AZ76" s="518" t="str">
        <f>IF(AND(_A3="A-220-100",'2025'!$E$4="CA",'2025'!$E$2=AZ43),'2025DATA'!$I$35,"")</f>
        <v/>
      </c>
      <c r="BA76" s="518" t="str">
        <f>IF(AND(_A3="A-220-100",'2025'!$E$4="CA",'2025'!$E$2=BA43),'2025DATA'!$J$35,"")</f>
        <v/>
      </c>
      <c r="BB76" s="518" t="str">
        <f>IF(AND(_A3="A-220-100",'2025'!$E$4="CA",'2025'!$E$2=BB43),'2025DATA'!$K$35,"")</f>
        <v/>
      </c>
      <c r="BC76" s="518" t="str">
        <f>IF(AND(_A3="A-220-100",'2025'!$E$4="CA",'2025'!$E$2=BC43),'2025DATA'!$L$35,"")</f>
        <v/>
      </c>
      <c r="BD76" s="518" t="str">
        <f>IF(AND(_A3="A-220-100",'2025'!$E$4="CA",'2025'!$E$2=BD43),'2025DATA'!$M$35,"")</f>
        <v/>
      </c>
      <c r="BE76" s="520" t="str">
        <f>IF(AND(_A3="A-220-100",'2025'!$E$4="CA",'2025'!$E$2=BE43),'2025DATA'!$N$35,"")</f>
        <v/>
      </c>
      <c r="BF76" s="940" t="s">
        <v>52</v>
      </c>
      <c r="BG76" s="13" t="s">
        <v>61</v>
      </c>
      <c r="BH76" s="518" t="str">
        <f>IF(AND(_A4="A-220-100",'2025'!$E$4="CA",'2025'!$E$2=BH43),'2025DATA'!$C$35,"")</f>
        <v/>
      </c>
      <c r="BI76" s="518" t="str">
        <f>IF(AND(_A4="A-220-100",'2025'!$E$4="CA",'2025'!$E$2=BI43),'2025DATA'!$D$35,"")</f>
        <v/>
      </c>
      <c r="BJ76" s="518" t="str">
        <f>IF(AND(_A4="A-220-100",'2025'!$E$4="CA",'2025'!$E$2=BJ43),'2025DATA'!$E$35,"")</f>
        <v/>
      </c>
      <c r="BK76" s="518" t="str">
        <f>IF(AND(_A4="A-220-100",'2025'!$E$4="CA",'2025'!$E$2=BK43),'2025DATA'!$F$35,"")</f>
        <v/>
      </c>
      <c r="BL76" s="518" t="str">
        <f>IF(AND(_A4="A-220-100",'2025'!$E$4="CA",'2025'!$E$2=BL43),'2025DATA'!$G$35,"")</f>
        <v/>
      </c>
      <c r="BM76" s="518" t="str">
        <f>IF(AND(_A4="A-220-100",'2025'!$E$4="CA",'2025'!$E$2=BM43),'2025DATA'!$H$35,"")</f>
        <v/>
      </c>
      <c r="BN76" s="518" t="str">
        <f>IF(AND(_A4="A-220-100",'2025'!$E$4="CA",'2025'!$E$2=BN43),'2025DATA'!$I$35,"")</f>
        <v/>
      </c>
      <c r="BO76" s="518" t="str">
        <f>IF(AND(_A4="A-220-100",'2025'!$E$4="CA",'2025'!$E$2=BO43),'2025DATA'!$J$35,"")</f>
        <v/>
      </c>
      <c r="BP76" s="518" t="str">
        <f>IF(AND(_A4="A-220-100",'2025'!$E$4="CA",'2025'!$E$2=BP43),'2025DATA'!$K$35,"")</f>
        <v/>
      </c>
      <c r="BQ76" s="518" t="str">
        <f>IF(AND(_A4="A-220-100",'2025'!$E$4="CA",'2025'!$E$2=BQ43),'2025DATA'!$L$35,"")</f>
        <v/>
      </c>
      <c r="BR76" s="518" t="str">
        <f>IF(AND(_A4="A-220-100",'2025'!$E$4="CA",'2025'!$E$2=BR43),'2025DATA'!$M$35,"")</f>
        <v/>
      </c>
      <c r="BS76" s="520" t="str">
        <f>IF(AND(_A4="A-220-100",'2025'!$E$4="CA",'2025'!$E$2=BS43),'2025DATA'!$N$35,"")</f>
        <v/>
      </c>
      <c r="BT76" s="940" t="s">
        <v>52</v>
      </c>
      <c r="BU76" s="13" t="s">
        <v>61</v>
      </c>
      <c r="BV76" s="518" t="str">
        <f>IF(AND(_A5="A-220-100",'2025'!$E$4="CA",'2025'!$E$2=BV43),'2025DATA'!$C$35,"")</f>
        <v/>
      </c>
      <c r="BW76" s="518" t="str">
        <f>IF(AND(_A5="A-220-100",'2025'!$E$4="CA",'2025'!$E$2=BW43),'2025DATA'!$D$35,"")</f>
        <v/>
      </c>
      <c r="BX76" s="518" t="str">
        <f>IF(AND(_A5="A-220-100",'2025'!$E$4="CA",'2025'!$E$2=BX43),'2025DATA'!$E$35,"")</f>
        <v/>
      </c>
      <c r="BY76" s="518" t="str">
        <f>IF(AND(_A5="A-220-100",'2025'!$E$4="CA",'2025'!$E$2=BY43),'2025DATA'!$F$35,"")</f>
        <v/>
      </c>
      <c r="BZ76" s="518" t="str">
        <f>IF(AND(_A5="A-220-100",'2025'!$E$4="CA",'2025'!$E$2=BZ43),'2025DATA'!$G$35,"")</f>
        <v/>
      </c>
      <c r="CA76" s="518" t="str">
        <f>IF(AND(_A5="A-220-100",'2025'!$E$4="CA",'2025'!$E$2=CA43),'2025DATA'!$H$35,"")</f>
        <v/>
      </c>
      <c r="CB76" s="518" t="str">
        <f>IF(AND(_A5="A-220-100",'2025'!$E$4="CA",'2025'!$E$2=CB43),'2025DATA'!$I$35,"")</f>
        <v/>
      </c>
      <c r="CC76" s="518" t="str">
        <f>IF(AND(_A5="A-220-100",'2025'!$E$4="CA",'2025'!$E$2=CC43),'2025DATA'!$J$35,"")</f>
        <v/>
      </c>
      <c r="CD76" s="518" t="str">
        <f>IF(AND(_A5="A-220-100",'2025'!$E$4="CA",'2025'!$E$2=CD43),'2025DATA'!$K$35,"")</f>
        <v/>
      </c>
      <c r="CE76" s="518" t="str">
        <f>IF(AND(_A5="A-220-100",'2025'!$E$4="CA",'2025'!$E$2=CE43),'2025DATA'!$L$35,"")</f>
        <v/>
      </c>
      <c r="CF76" s="518" t="str">
        <f>IF(AND(_A5="A-220-100",'2025'!$E$4="CA",'2025'!$E$2=CF43),'2025DATA'!$M$35,"")</f>
        <v/>
      </c>
      <c r="CG76" s="520" t="str">
        <f>IF(AND(_A5="A-220-100",'2025'!$E$4="CA",'2025'!$E$2=CG43),'2025DATA'!$N$35,"")</f>
        <v/>
      </c>
      <c r="CH76" s="940" t="s">
        <v>52</v>
      </c>
      <c r="CI76" s="13" t="s">
        <v>61</v>
      </c>
      <c r="CJ76" s="518" t="str">
        <f>IF(AND(_A6="A-220-100",'2025'!$E$4="CA",'2025'!$E$2=CJ43),'2025DATA'!$C$35,"")</f>
        <v/>
      </c>
      <c r="CK76" s="518" t="str">
        <f>IF(AND(_A6="A-220-100",'2025'!$E$4="CA",'2025'!$E$2=CK43),'2025DATA'!$D$35,"")</f>
        <v/>
      </c>
      <c r="CL76" s="518" t="str">
        <f>IF(AND(_A6="A-220-100",'2025'!$E$4="CA",'2025'!$E$2=CL43),'2025DATA'!$E$35,"")</f>
        <v/>
      </c>
      <c r="CM76" s="518" t="str">
        <f>IF(AND(_A6="A-220-100",'2025'!$E$4="CA",'2025'!$E$2=CM43),'2025DATA'!$F$35,"")</f>
        <v/>
      </c>
      <c r="CN76" s="518" t="str">
        <f>IF(AND(_A6="A-220-100",'2025'!$E$4="CA",'2025'!$E$2=CN43),'2025DATA'!$G$35,"")</f>
        <v/>
      </c>
      <c r="CO76" s="518" t="str">
        <f>IF(AND(_A6="A-220-100",'2025'!$E$4="CA",'2025'!$E$2=CO43),'2025DATA'!$H$35,"")</f>
        <v/>
      </c>
      <c r="CP76" s="518" t="str">
        <f>IF(AND(_A6="A-220-100",'2025'!$E$4="CA",'2025'!$E$2=CP43),'2025DATA'!$I$35,"")</f>
        <v/>
      </c>
      <c r="CQ76" s="518" t="str">
        <f>IF(AND(_A6="A-220-100",'2025'!$E$4="CA",'2025'!$E$2=CQ43),'2025DATA'!$J$35,"")</f>
        <v/>
      </c>
      <c r="CR76" s="518" t="str">
        <f>IF(AND(_A6="A-220-100",'2025'!$E$4="CA",'2025'!$E$2=CR43),'2025DATA'!$K$35,"")</f>
        <v/>
      </c>
      <c r="CS76" s="518" t="str">
        <f>IF(AND(_A6="A-220-100",'2025'!$E$4="CA",'2025'!$E$2=CS43),'2025DATA'!$L$35,"")</f>
        <v/>
      </c>
      <c r="CT76" s="518" t="str">
        <f>IF(AND(_A6="A-220-100",'2025'!$E$4="CA",'2025'!$E$2=CT43),'2025DATA'!$M$35,"")</f>
        <v/>
      </c>
      <c r="CU76" s="520" t="str">
        <f>IF(AND(_A6="A-220-100",'2025'!$E$4="CA",'2025'!$E$2=CU43),'2025DATA'!$N$35,"")</f>
        <v/>
      </c>
    </row>
    <row r="77" spans="16:99" x14ac:dyDescent="0.25">
      <c r="P77" s="940"/>
      <c r="Q77" s="13" t="s">
        <v>62</v>
      </c>
      <c r="R77" s="518" t="str">
        <f>IF(AND(_A1="A-220-100",'2025'!$E$4="FO",'2025'!$E$2=R43),'2025DATA'!$C$36,"")</f>
        <v/>
      </c>
      <c r="S77" s="518" t="str">
        <f>IF(AND(_A1="A-220-100",'2025'!$E$4="FO",'2025'!$E$2=S43),'2025DATA'!$D$36,"")</f>
        <v/>
      </c>
      <c r="T77" s="518" t="str">
        <f>IF(AND(_A1="A-220-100",'2025'!$E$4="FO",'2025'!$E$2=T43),'2025DATA'!$E$36,"")</f>
        <v/>
      </c>
      <c r="U77" s="518" t="str">
        <f>IF(AND(_A1="A-220-100",'2025'!$E$4="FO",'2025'!$E$2=U43),'2025DATA'!$F$36,"")</f>
        <v/>
      </c>
      <c r="V77" s="518" t="str">
        <f>IF(AND(_A1="A-220-100",'2025'!$E$4="FO",'2025'!$E$2=V43),'2025DATA'!$G$36,"")</f>
        <v/>
      </c>
      <c r="W77" s="518" t="str">
        <f>IF(AND(_A1="A-220-100",'2025'!$E$4="FO",'2025'!$E$2=W43),'2025DATA'!$H$36,"")</f>
        <v/>
      </c>
      <c r="X77" s="518" t="str">
        <f>IF(AND(_A1="A-220-100",'2025'!$E$4="FO",'2025'!$E$2=X43),'2025DATA'!$I$36,"")</f>
        <v/>
      </c>
      <c r="Y77" s="518" t="str">
        <f>IF(AND(_A1="A-220-100",'2025'!$E$4="FO",'2025'!$E$2=Y43),'2025DATA'!$J$36,"")</f>
        <v/>
      </c>
      <c r="Z77" s="518" t="str">
        <f>IF(AND(_A1="A-220-100",'2025'!$E$4="FO",'2025'!$E$2=Z43),'2025DATA'!$K$36,"")</f>
        <v/>
      </c>
      <c r="AA77" s="518" t="str">
        <f>IF(AND(_A1="A-220-100",'2025'!$E$4="FO",'2025'!$E$2=AA43),'2025DATA'!$L$36,"")</f>
        <v/>
      </c>
      <c r="AB77" s="518" t="str">
        <f>IF(AND(_A1="A-220-100",'2025'!$E$4="FO",'2025'!$E$2=AB43),'2025DATA'!$M$36,"")</f>
        <v/>
      </c>
      <c r="AC77" s="520" t="str">
        <f>IF(AND(_A1="A-220-100",'2025'!$E$4="FO",'2025'!$E$2=AC43),'2025DATA'!$N$36,"")</f>
        <v/>
      </c>
      <c r="AD77" s="940"/>
      <c r="AE77" s="13" t="s">
        <v>62</v>
      </c>
      <c r="AF77" s="518" t="str">
        <f>IF(AND(_A2="A-220-100",'2025'!$E$4="FO",'2025'!$E$2=AF43),'2025DATA'!$C$36,"")</f>
        <v/>
      </c>
      <c r="AG77" s="518" t="str">
        <f>IF(AND(_A2="A-220-100",'2025'!$E$4="FO",'2025'!$E$2=AG43),'2025DATA'!$D$36,"")</f>
        <v/>
      </c>
      <c r="AH77" s="518" t="str">
        <f>IF(AND(_A2="A-220-100",'2025'!$E$4="FO",'2025'!$E$2=AH43),'2025DATA'!$E$36,"")</f>
        <v/>
      </c>
      <c r="AI77" s="518" t="str">
        <f>IF(AND(_A2="A-220-100",'2025'!$E$4="FO",'2025'!$E$2=AI43),'2025DATA'!$F$36,"")</f>
        <v/>
      </c>
      <c r="AJ77" s="518" t="str">
        <f>IF(AND(_A2="A-220-100",'2025'!$E$4="FO",'2025'!$E$2=AJ43),'2025DATA'!$G$36,"")</f>
        <v/>
      </c>
      <c r="AK77" s="518" t="str">
        <f>IF(AND(_A2="A-220-100",'2025'!$E$4="FO",'2025'!$E$2=AK43),'2025DATA'!$H$36,"")</f>
        <v/>
      </c>
      <c r="AL77" s="518" t="str">
        <f>IF(AND(_A2="A-220-100",'2025'!$E$4="FO",'2025'!$E$2=AL43),'2025DATA'!$I$36,"")</f>
        <v/>
      </c>
      <c r="AM77" s="518" t="str">
        <f>IF(AND(_A2="A-220-100",'2025'!$E$4="FO",'2025'!$E$2=AM43),'2025DATA'!$J$36,"")</f>
        <v/>
      </c>
      <c r="AN77" s="518" t="str">
        <f>IF(AND(_A2="A-220-100",'2025'!$E$4="FO",'2025'!$E$2=AN43),'2025DATA'!$K$36,"")</f>
        <v/>
      </c>
      <c r="AO77" s="518" t="str">
        <f>IF(AND(_A2="A-220-100",'2025'!$E$4="FO",'2025'!$E$2=AO43),'2025DATA'!$L$36,"")</f>
        <v/>
      </c>
      <c r="AP77" s="518" t="str">
        <f>IF(AND(_A2="A-220-100",'2025'!$E$4="FO",'2025'!$E$2=AP43),'2025DATA'!$M$36,"")</f>
        <v/>
      </c>
      <c r="AQ77" s="520" t="str">
        <f>IF(AND(_A2="A-220-100",'2025'!$E$4="FO",'2025'!$E$2=AQ43),'2025DATA'!$N$36,"")</f>
        <v/>
      </c>
      <c r="AR77" s="940"/>
      <c r="AS77" s="13" t="s">
        <v>62</v>
      </c>
      <c r="AT77" s="518" t="str">
        <f>IF(AND(_A3="A-220-100",'2025'!$E$4="FO",'2025'!$E$2=AT43),'2025DATA'!$C$36,"")</f>
        <v/>
      </c>
      <c r="AU77" s="518" t="str">
        <f>IF(AND(_A3="A-220-100",'2025'!$E$4="FO",'2025'!$E$2=AU43),'2025DATA'!$D$36,"")</f>
        <v/>
      </c>
      <c r="AV77" s="518" t="str">
        <f>IF(AND(_A3="A-220-100",'2025'!$E$4="FO",'2025'!$E$2=AV43),'2025DATA'!$E$36,"")</f>
        <v/>
      </c>
      <c r="AW77" s="518" t="str">
        <f>IF(AND(_A3="A-220-100",'2025'!$E$4="FO",'2025'!$E$2=AW43),'2025DATA'!$F$36,"")</f>
        <v/>
      </c>
      <c r="AX77" s="518" t="str">
        <f>IF(AND(_A3="A-220-100",'2025'!$E$4="FO",'2025'!$E$2=AX43),'2025DATA'!$G$36,"")</f>
        <v/>
      </c>
      <c r="AY77" s="518" t="str">
        <f>IF(AND(_A3="A-220-100",'2025'!$E$4="FO",'2025'!$E$2=AY43),'2025DATA'!$H$36,"")</f>
        <v/>
      </c>
      <c r="AZ77" s="518" t="str">
        <f>IF(AND(_A3="A-220-100",'2025'!$E$4="FO",'2025'!$E$2=AZ43),'2025DATA'!$I$36,"")</f>
        <v/>
      </c>
      <c r="BA77" s="518" t="str">
        <f>IF(AND(_A3="A-220-100",'2025'!$E$4="FO",'2025'!$E$2=BA43),'2025DATA'!$J$36,"")</f>
        <v/>
      </c>
      <c r="BB77" s="518" t="str">
        <f>IF(AND(_A3="A-220-100",'2025'!$E$4="FO",'2025'!$E$2=BB43),'2025DATA'!$K$36,"")</f>
        <v/>
      </c>
      <c r="BC77" s="518" t="str">
        <f>IF(AND(_A3="A-220-100",'2025'!$E$4="FO",'2025'!$E$2=BC43),'2025DATA'!$L$36,"")</f>
        <v/>
      </c>
      <c r="BD77" s="518" t="str">
        <f>IF(AND(_A3="A-220-100",'2025'!$E$4="FO",'2025'!$E$2=BD43),'2025DATA'!$M$36,"")</f>
        <v/>
      </c>
      <c r="BE77" s="520" t="str">
        <f>IF(AND(_A3="A-220-100",'2025'!$E$4="FO",'2025'!$E$2=BE43),'2025DATA'!$N$36,"")</f>
        <v/>
      </c>
      <c r="BF77" s="940"/>
      <c r="BG77" s="13" t="s">
        <v>62</v>
      </c>
      <c r="BH77" s="518" t="str">
        <f>IF(AND(_A4="A-220-100",'2025'!$E$4="FO",'2025'!$E$2=BH43),'2025DATA'!$C$36,"")</f>
        <v/>
      </c>
      <c r="BI77" s="518" t="str">
        <f>IF(AND(_A4="A-220-100",'2025'!$E$4="FO",'2025'!$E$2=BI43),'2025DATA'!$D$36,"")</f>
        <v/>
      </c>
      <c r="BJ77" s="518" t="str">
        <f>IF(AND(_A4="A-220-100",'2025'!$E$4="FO",'2025'!$E$2=BJ43),'2025DATA'!$E$36,"")</f>
        <v/>
      </c>
      <c r="BK77" s="518" t="str">
        <f>IF(AND(_A4="A-220-100",'2025'!$E$4="FO",'2025'!$E$2=BK43),'2025DATA'!$F$36,"")</f>
        <v/>
      </c>
      <c r="BL77" s="518" t="str">
        <f>IF(AND(_A4="A-220-100",'2025'!$E$4="FO",'2025'!$E$2=BL43),'2025DATA'!$G$36,"")</f>
        <v/>
      </c>
      <c r="BM77" s="518" t="str">
        <f>IF(AND(_A4="A-220-100",'2025'!$E$4="FO",'2025'!$E$2=BM43),'2025DATA'!$H$36,"")</f>
        <v/>
      </c>
      <c r="BN77" s="518" t="str">
        <f>IF(AND(_A4="A-220-100",'2025'!$E$4="FO",'2025'!$E$2=BN43),'2025DATA'!$I$36,"")</f>
        <v/>
      </c>
      <c r="BO77" s="518" t="str">
        <f>IF(AND(_A4="A-220-100",'2025'!$E$4="FO",'2025'!$E$2=BO43),'2025DATA'!$J$36,"")</f>
        <v/>
      </c>
      <c r="BP77" s="518" t="str">
        <f>IF(AND(_A4="A-220-100",'2025'!$E$4="FO",'2025'!$E$2=BP43),'2025DATA'!$K$36,"")</f>
        <v/>
      </c>
      <c r="BQ77" s="518" t="str">
        <f>IF(AND(_A4="A-220-100",'2025'!$E$4="FO",'2025'!$E$2=BQ43),'2025DATA'!$L$36,"")</f>
        <v/>
      </c>
      <c r="BR77" s="518" t="str">
        <f>IF(AND(_A4="A-220-100",'2025'!$E$4="FO",'2025'!$E$2=BR43),'2025DATA'!$M$36,"")</f>
        <v/>
      </c>
      <c r="BS77" s="520" t="str">
        <f>IF(AND(_A4="A-220-100",'2025'!$E$4="FO",'2025'!$E$2=BS43),'2025DATA'!$N$36,"")</f>
        <v/>
      </c>
      <c r="BT77" s="940"/>
      <c r="BU77" s="13" t="s">
        <v>62</v>
      </c>
      <c r="BV77" s="518" t="str">
        <f>IF(AND(_A5="A-220-100",'2025'!$E$4="FO",'2025'!$E$2=BV43),'2025DATA'!$C$36,"")</f>
        <v/>
      </c>
      <c r="BW77" s="518" t="str">
        <f>IF(AND(_A5="A-220-100",'2025'!$E$4="FO",'2025'!$E$2=BW43),'2025DATA'!$D$36,"")</f>
        <v/>
      </c>
      <c r="BX77" s="518" t="str">
        <f>IF(AND(_A5="A-220-100",'2025'!$E$4="FO",'2025'!$E$2=BX43),'2025DATA'!$E$36,"")</f>
        <v/>
      </c>
      <c r="BY77" s="518" t="str">
        <f>IF(AND(_A5="A-220-100",'2025'!$E$4="FO",'2025'!$E$2=BY43),'2025DATA'!$F$36,"")</f>
        <v/>
      </c>
      <c r="BZ77" s="518" t="str">
        <f>IF(AND(_A5="A-220-100",'2025'!$E$4="FO",'2025'!$E$2=BZ43),'2025DATA'!$G$36,"")</f>
        <v/>
      </c>
      <c r="CA77" s="518" t="str">
        <f>IF(AND(_A5="A-220-100",'2025'!$E$4="FO",'2025'!$E$2=CA43),'2025DATA'!$H$36,"")</f>
        <v/>
      </c>
      <c r="CB77" s="518" t="str">
        <f>IF(AND(_A5="A-220-100",'2025'!$E$4="FO",'2025'!$E$2=CB43),'2025DATA'!$I$36,"")</f>
        <v/>
      </c>
      <c r="CC77" s="518" t="str">
        <f>IF(AND(_A5="A-220-100",'2025'!$E$4="FO",'2025'!$E$2=CC43),'2025DATA'!$J$36,"")</f>
        <v/>
      </c>
      <c r="CD77" s="518" t="str">
        <f>IF(AND(_A5="A-220-100",'2025'!$E$4="FO",'2025'!$E$2=CD43),'2025DATA'!$K$36,"")</f>
        <v/>
      </c>
      <c r="CE77" s="518" t="str">
        <f>IF(AND(_A5="A-220-100",'2025'!$E$4="FO",'2025'!$E$2=CE43),'2025DATA'!$L$36,"")</f>
        <v/>
      </c>
      <c r="CF77" s="518" t="str">
        <f>IF(AND(_A5="A-220-100",'2025'!$E$4="FO",'2025'!$E$2=CF43),'2025DATA'!$M$36,"")</f>
        <v/>
      </c>
      <c r="CG77" s="520" t="str">
        <f>IF(AND(_A5="A-220-100",'2025'!$E$4="FO",'2025'!$E$2=CG43),'2025DATA'!$N$36,"")</f>
        <v/>
      </c>
      <c r="CH77" s="940"/>
      <c r="CI77" s="13" t="s">
        <v>62</v>
      </c>
      <c r="CJ77" s="518" t="str">
        <f>IF(AND(_A6="A-220-100",'2025'!$E$4="FO",'2025'!$E$2=CJ43),'2025DATA'!$C$36,"")</f>
        <v/>
      </c>
      <c r="CK77" s="518" t="str">
        <f>IF(AND(_A6="A-220-100",'2025'!$E$4="FO",'2025'!$E$2=CK43),'2025DATA'!$D$36,"")</f>
        <v/>
      </c>
      <c r="CL77" s="518" t="str">
        <f>IF(AND(_A6="A-220-100",'2025'!$E$4="FO",'2025'!$E$2=CL43),'2025DATA'!$E$36,"")</f>
        <v/>
      </c>
      <c r="CM77" s="518" t="str">
        <f>IF(AND(_A6="A-220-100",'2025'!$E$4="FO",'2025'!$E$2=CM43),'2025DATA'!$F$36,"")</f>
        <v/>
      </c>
      <c r="CN77" s="518" t="str">
        <f>IF(AND(_A6="A-220-100",'2025'!$E$4="FO",'2025'!$E$2=CN43),'2025DATA'!$G$36,"")</f>
        <v/>
      </c>
      <c r="CO77" s="518" t="str">
        <f>IF(AND(_A6="A-220-100",'2025'!$E$4="FO",'2025'!$E$2=CO43),'2025DATA'!$H$36,"")</f>
        <v/>
      </c>
      <c r="CP77" s="518" t="str">
        <f>IF(AND(_A6="A-220-100",'2025'!$E$4="FO",'2025'!$E$2=CP43),'2025DATA'!$I$36,"")</f>
        <v/>
      </c>
      <c r="CQ77" s="518" t="str">
        <f>IF(AND(_A6="A-220-100",'2025'!$E$4="FO",'2025'!$E$2=CQ43),'2025DATA'!$J$36,"")</f>
        <v/>
      </c>
      <c r="CR77" s="518" t="str">
        <f>IF(AND(_A6="A-220-100",'2025'!$E$4="FO",'2025'!$E$2=CR43),'2025DATA'!$K$36,"")</f>
        <v/>
      </c>
      <c r="CS77" s="518" t="str">
        <f>IF(AND(_A6="A-220-100",'2025'!$E$4="FO",'2025'!$E$2=CS43),'2025DATA'!$L$36,"")</f>
        <v/>
      </c>
      <c r="CT77" s="518" t="str">
        <f>IF(AND(_A6="A-220-100",'2025'!$E$4="FO",'2025'!$E$2=CT43),'2025DATA'!$M$36,"")</f>
        <v/>
      </c>
      <c r="CU77" s="520" t="str">
        <f>IF(AND(_A6="A-220-100",'2025'!$E$4="FO",'2025'!$E$2=CU43),'2025DATA'!$N$36,"")</f>
        <v/>
      </c>
    </row>
    <row r="78" spans="16:99" x14ac:dyDescent="0.25">
      <c r="P78" s="940" t="s">
        <v>53</v>
      </c>
      <c r="Q78" s="13" t="s">
        <v>61</v>
      </c>
      <c r="R78" s="518" t="str">
        <f>IF(AND(_A1="B-717",'2025'!$E$4="CA",'2025'!$E$2=R43),'2025DATA'!$C$37,"")</f>
        <v/>
      </c>
      <c r="S78" s="518" t="str">
        <f>IF(AND(_A1="B-717",'2025'!$E$4="CA",'2025'!$E$2=S43),'2025DATA'!$D$37,"")</f>
        <v/>
      </c>
      <c r="T78" s="518" t="str">
        <f>IF(AND(_A1="B-717",'2025'!$E$4="CA",'2025'!$E$2=T43),'2025DATA'!$E$37,"")</f>
        <v/>
      </c>
      <c r="U78" s="518" t="str">
        <f>IF(AND(_A1="B-717",'2025'!$E$4="CA",'2025'!$E$2=U43),'2025DATA'!$F$37,"")</f>
        <v/>
      </c>
      <c r="V78" s="518" t="str">
        <f>IF(AND(_A1="B-717",'2025'!$E$4="CA",'2025'!$E$2=V43),'2025DATA'!$G$37,"")</f>
        <v/>
      </c>
      <c r="W78" s="518" t="str">
        <f>IF(AND(_A1="B-717",'2025'!$E$4="CA",'2025'!$E$2=W43),'2025DATA'!$H$37,"")</f>
        <v/>
      </c>
      <c r="X78" s="518" t="str">
        <f>IF(AND(_A1="B-717",'2025'!$E$4="CA",'2025'!$E$2=X43),'2025DATA'!$I$37,"")</f>
        <v/>
      </c>
      <c r="Y78" s="518" t="str">
        <f>IF(AND(_A1="B-717",'2025'!$E$4="CA",'2025'!$E$2=Y43),'2025DATA'!$J$37,"")</f>
        <v/>
      </c>
      <c r="Z78" s="518" t="str">
        <f>IF(AND(_A1="B-717",'2025'!$E$4="CA",'2025'!$E$2=Z43),'2025DATA'!$K$37,"")</f>
        <v/>
      </c>
      <c r="AA78" s="518" t="str">
        <f>IF(AND(_A1="B-717",'2025'!$E$4="CA",'2025'!$E$2=AA43),'2025DATA'!$L$37,"")</f>
        <v/>
      </c>
      <c r="AB78" s="518" t="str">
        <f>IF(AND(_A1="B-717",'2025'!$E$4="CA",'2025'!$E$2=AB43),'2025DATA'!$M$37,"")</f>
        <v/>
      </c>
      <c r="AC78" s="520" t="str">
        <f>IF(AND(_A1="B-717",'2025'!$E$4="CA",'2025'!$E$2=AC43),'2025DATA'!$N$37,"")</f>
        <v/>
      </c>
      <c r="AD78" s="940" t="s">
        <v>53</v>
      </c>
      <c r="AE78" s="13" t="s">
        <v>61</v>
      </c>
      <c r="AF78" s="518" t="str">
        <f>IF(AND(_A2="B-717",'2025'!$E$4="CA",'2025'!$E$2=AF43),'2025DATA'!$C$37,"")</f>
        <v/>
      </c>
      <c r="AG78" s="518" t="str">
        <f>IF(AND(_A2="B-717",'2025'!$E$4="CA",'2025'!$E$2=AG43),'2025DATA'!$D$37,"")</f>
        <v/>
      </c>
      <c r="AH78" s="518" t="str">
        <f>IF(AND(_A2="B-717",'2025'!$E$4="CA",'2025'!$E$2=AH43),'2025DATA'!$E$37,"")</f>
        <v/>
      </c>
      <c r="AI78" s="518" t="str">
        <f>IF(AND(_A2="B-717",'2025'!$E$4="CA",'2025'!$E$2=AI43),'2025DATA'!$F$37,"")</f>
        <v/>
      </c>
      <c r="AJ78" s="518" t="str">
        <f>IF(AND(_A2="B-717",'2025'!$E$4="CA",'2025'!$E$2=AJ43),'2025DATA'!$G$37,"")</f>
        <v/>
      </c>
      <c r="AK78" s="518" t="str">
        <f>IF(AND(_A2="B-717",'2025'!$E$4="CA",'2025'!$E$2=AK43),'2025DATA'!$H$37,"")</f>
        <v/>
      </c>
      <c r="AL78" s="518" t="str">
        <f>IF(AND(_A2="B-717",'2025'!$E$4="CA",'2025'!$E$2=AL43),'2025DATA'!$I$37,"")</f>
        <v/>
      </c>
      <c r="AM78" s="518" t="str">
        <f>IF(AND(_A2="B-717",'2025'!$E$4="CA",'2025'!$E$2=AM43),'2025DATA'!$J$37,"")</f>
        <v/>
      </c>
      <c r="AN78" s="518" t="str">
        <f>IF(AND(_A2="B-717",'2025'!$E$4="CA",'2025'!$E$2=AN43),'2025DATA'!$K$37,"")</f>
        <v/>
      </c>
      <c r="AO78" s="518" t="str">
        <f>IF(AND(_A2="B-717",'2025'!$E$4="CA",'2025'!$E$2=AO43),'2025DATA'!$L$37,"")</f>
        <v/>
      </c>
      <c r="AP78" s="518" t="str">
        <f>IF(AND(_A2="B-717",'2025'!$E$4="CA",'2025'!$E$2=AP43),'2025DATA'!$M$37,"")</f>
        <v/>
      </c>
      <c r="AQ78" s="520" t="str">
        <f>IF(AND(_A2="B-717",'2025'!$E$4="CA",'2025'!$E$2=AQ43),'2025DATA'!$N$37,"")</f>
        <v/>
      </c>
      <c r="AR78" s="940" t="s">
        <v>53</v>
      </c>
      <c r="AS78" s="13" t="s">
        <v>61</v>
      </c>
      <c r="AT78" s="518" t="str">
        <f>IF(AND(_A3="B-717",'2025'!$E$4="CA",'2025'!$E$2=AT43),'2025DATA'!$C$37,"")</f>
        <v/>
      </c>
      <c r="AU78" s="518" t="str">
        <f>IF(AND(_A3="B-717",'2025'!$E$4="CA",'2025'!$E$2=AU43),'2025DATA'!$D$37,"")</f>
        <v/>
      </c>
      <c r="AV78" s="518" t="str">
        <f>IF(AND(_A3="B-717",'2025'!$E$4="CA",'2025'!$E$2=AV43),'2025DATA'!$E$37,"")</f>
        <v/>
      </c>
      <c r="AW78" s="518" t="str">
        <f>IF(AND(_A3="B-717",'2025'!$E$4="CA",'2025'!$E$2=AW43),'2025DATA'!$F$37,"")</f>
        <v/>
      </c>
      <c r="AX78" s="518" t="str">
        <f>IF(AND(_A3="B-717",'2025'!$E$4="CA",'2025'!$E$2=AX43),'2025DATA'!$G$37,"")</f>
        <v/>
      </c>
      <c r="AY78" s="518" t="str">
        <f>IF(AND(_A3="B-717",'2025'!$E$4="CA",'2025'!$E$2=AY43),'2025DATA'!$H$37,"")</f>
        <v/>
      </c>
      <c r="AZ78" s="518" t="str">
        <f>IF(AND(_A3="B-717",'2025'!$E$4="CA",'2025'!$E$2=AZ43),'2025DATA'!$I$37,"")</f>
        <v/>
      </c>
      <c r="BA78" s="518" t="str">
        <f>IF(AND(_A3="B-717",'2025'!$E$4="CA",'2025'!$E$2=BA43),'2025DATA'!$J$37,"")</f>
        <v/>
      </c>
      <c r="BB78" s="518" t="str">
        <f>IF(AND(_A3="B-717",'2025'!$E$4="CA",'2025'!$E$2=BB43),'2025DATA'!$K$37,"")</f>
        <v/>
      </c>
      <c r="BC78" s="518" t="str">
        <f>IF(AND(_A3="B-717",'2025'!$E$4="CA",'2025'!$E$2=BC43),'2025DATA'!$L$37,"")</f>
        <v/>
      </c>
      <c r="BD78" s="518" t="str">
        <f>IF(AND(_A3="B-717",'2025'!$E$4="CA",'2025'!$E$2=BD43),'2025DATA'!$M$37,"")</f>
        <v/>
      </c>
      <c r="BE78" s="520" t="str">
        <f>IF(AND(_A3="B-717",'2025'!$E$4="CA",'2025'!$E$2=BE43),'2025DATA'!$N$37,"")</f>
        <v/>
      </c>
      <c r="BF78" s="940" t="s">
        <v>53</v>
      </c>
      <c r="BG78" s="13" t="s">
        <v>61</v>
      </c>
      <c r="BH78" s="518" t="str">
        <f>IF(AND(_A4="B-717",'2025'!$E$4="CA",'2025'!$E$2=BH43),'2025DATA'!$C$37,"")</f>
        <v/>
      </c>
      <c r="BI78" s="518" t="str">
        <f>IF(AND(_A4="B-717",'2025'!$E$4="CA",'2025'!$E$2=BI43),'2025DATA'!$D$37,"")</f>
        <v/>
      </c>
      <c r="BJ78" s="518" t="str">
        <f>IF(AND(_A4="B-717",'2025'!$E$4="CA",'2025'!$E$2=BJ43),'2025DATA'!$E$37,"")</f>
        <v/>
      </c>
      <c r="BK78" s="518" t="str">
        <f>IF(AND(_A4="B-717",'2025'!$E$4="CA",'2025'!$E$2=BK43),'2025DATA'!$F$37,"")</f>
        <v/>
      </c>
      <c r="BL78" s="518" t="str">
        <f>IF(AND(_A4="B-717",'2025'!$E$4="CA",'2025'!$E$2=BL43),'2025DATA'!$G$37,"")</f>
        <v/>
      </c>
      <c r="BM78" s="518" t="str">
        <f>IF(AND(_A4="B-717",'2025'!$E$4="CA",'2025'!$E$2=BM43),'2025DATA'!$H$37,"")</f>
        <v/>
      </c>
      <c r="BN78" s="518" t="str">
        <f>IF(AND(_A4="B-717",'2025'!$E$4="CA",'2025'!$E$2=BN43),'2025DATA'!$I$37,"")</f>
        <v/>
      </c>
      <c r="BO78" s="518" t="str">
        <f>IF(AND(_A4="B-717",'2025'!$E$4="CA",'2025'!$E$2=BO43),'2025DATA'!$J$37,"")</f>
        <v/>
      </c>
      <c r="BP78" s="518" t="str">
        <f>IF(AND(_A4="B-717",'2025'!$E$4="CA",'2025'!$E$2=BP43),'2025DATA'!$K$37,"")</f>
        <v/>
      </c>
      <c r="BQ78" s="518" t="str">
        <f>IF(AND(_A4="B-717",'2025'!$E$4="CA",'2025'!$E$2=BQ43),'2025DATA'!$L$37,"")</f>
        <v/>
      </c>
      <c r="BR78" s="518" t="str">
        <f>IF(AND(_A4="B-717",'2025'!$E$4="CA",'2025'!$E$2=BR43),'2025DATA'!$M$37,"")</f>
        <v/>
      </c>
      <c r="BS78" s="520" t="str">
        <f>IF(AND(_A4="B-717",'2025'!$E$4="CA",'2025'!$E$2=BS43),'2025DATA'!$N$37,"")</f>
        <v/>
      </c>
      <c r="BT78" s="940" t="s">
        <v>53</v>
      </c>
      <c r="BU78" s="13" t="s">
        <v>61</v>
      </c>
      <c r="BV78" s="518" t="str">
        <f>IF(AND(_A5="B-717",'2025'!$E$4="CA",'2025'!$E$2=BV43),'2025DATA'!$C$37,"")</f>
        <v/>
      </c>
      <c r="BW78" s="518" t="str">
        <f>IF(AND(_A5="B-717",'2025'!$E$4="CA",'2025'!$E$2=BW43),'2025DATA'!$D$37,"")</f>
        <v/>
      </c>
      <c r="BX78" s="518" t="str">
        <f>IF(AND(_A5="B-717",'2025'!$E$4="CA",'2025'!$E$2=BX43),'2025DATA'!$E$37,"")</f>
        <v/>
      </c>
      <c r="BY78" s="518" t="str">
        <f>IF(AND(_A5="B-717",'2025'!$E$4="CA",'2025'!$E$2=BY43),'2025DATA'!$F$37,"")</f>
        <v/>
      </c>
      <c r="BZ78" s="518" t="str">
        <f>IF(AND(_A5="B-717",'2025'!$E$4="CA",'2025'!$E$2=BZ43),'2025DATA'!$G$37,"")</f>
        <v/>
      </c>
      <c r="CA78" s="518" t="str">
        <f>IF(AND(_A5="B-717",'2025'!$E$4="CA",'2025'!$E$2=CA43),'2025DATA'!$H$37,"")</f>
        <v/>
      </c>
      <c r="CB78" s="518" t="str">
        <f>IF(AND(_A5="B-717",'2025'!$E$4="CA",'2025'!$E$2=CB43),'2025DATA'!$I$37,"")</f>
        <v/>
      </c>
      <c r="CC78" s="518" t="str">
        <f>IF(AND(_A5="B-717",'2025'!$E$4="CA",'2025'!$E$2=CC43),'2025DATA'!$J$37,"")</f>
        <v/>
      </c>
      <c r="CD78" s="518" t="str">
        <f>IF(AND(_A5="B-717",'2025'!$E$4="CA",'2025'!$E$2=CD43),'2025DATA'!$K$37,"")</f>
        <v/>
      </c>
      <c r="CE78" s="518" t="str">
        <f>IF(AND(_A5="B-717",'2025'!$E$4="CA",'2025'!$E$2=CE43),'2025DATA'!$L$37,"")</f>
        <v/>
      </c>
      <c r="CF78" s="518" t="str">
        <f>IF(AND(_A5="B-717",'2025'!$E$4="CA",'2025'!$E$2=CF43),'2025DATA'!$M$37,"")</f>
        <v/>
      </c>
      <c r="CG78" s="520" t="str">
        <f>IF(AND(_A5="B-717",'2025'!$E$4="CA",'2025'!$E$2=CG43),'2025DATA'!$N$37,"")</f>
        <v/>
      </c>
      <c r="CH78" s="940" t="s">
        <v>53</v>
      </c>
      <c r="CI78" s="13" t="s">
        <v>61</v>
      </c>
      <c r="CJ78" s="518" t="str">
        <f>IF(AND(_A6="B-717",'2025'!$E$4="CA",'2025'!$E$2=CJ43),'2025DATA'!$C$37,"")</f>
        <v/>
      </c>
      <c r="CK78" s="518" t="str">
        <f>IF(AND(_A6="B-717",'2025'!$E$4="CA",'2025'!$E$2=CK43),'2025DATA'!$D$37,"")</f>
        <v/>
      </c>
      <c r="CL78" s="518" t="str">
        <f>IF(AND(_A6="B-717",'2025'!$E$4="CA",'2025'!$E$2=CL43),'2025DATA'!$E$37,"")</f>
        <v/>
      </c>
      <c r="CM78" s="518" t="str">
        <f>IF(AND(_A6="B-717",'2025'!$E$4="CA",'2025'!$E$2=CM43),'2025DATA'!$F$37,"")</f>
        <v/>
      </c>
      <c r="CN78" s="518" t="str">
        <f>IF(AND(_A6="B-717",'2025'!$E$4="CA",'2025'!$E$2=CN43),'2025DATA'!$G$37,"")</f>
        <v/>
      </c>
      <c r="CO78" s="518" t="str">
        <f>IF(AND(_A6="B-717",'2025'!$E$4="CA",'2025'!$E$2=CO43),'2025DATA'!$H$37,"")</f>
        <v/>
      </c>
      <c r="CP78" s="518" t="str">
        <f>IF(AND(_A6="B-717",'2025'!$E$4="CA",'2025'!$E$2=CP43),'2025DATA'!$I$37,"")</f>
        <v/>
      </c>
      <c r="CQ78" s="518" t="str">
        <f>IF(AND(_A6="B-717",'2025'!$E$4="CA",'2025'!$E$2=CQ43),'2025DATA'!$J$37,"")</f>
        <v/>
      </c>
      <c r="CR78" s="518" t="str">
        <f>IF(AND(_A6="B-717",'2025'!$E$4="CA",'2025'!$E$2=CR43),'2025DATA'!$K$37,"")</f>
        <v/>
      </c>
      <c r="CS78" s="518" t="str">
        <f>IF(AND(_A6="B-717",'2025'!$E$4="CA",'2025'!$E$2=CS43),'2025DATA'!$L$37,"")</f>
        <v/>
      </c>
      <c r="CT78" s="518" t="str">
        <f>IF(AND(_A6="B-717",'2025'!$E$4="CA",'2025'!$E$2=CT43),'2025DATA'!$M$37,"")</f>
        <v/>
      </c>
      <c r="CU78" s="520" t="str">
        <f>IF(AND(_A6="B-717",'2025'!$E$4="CA",'2025'!$E$2=CU43),'2025DATA'!$N$37,"")</f>
        <v/>
      </c>
    </row>
    <row r="79" spans="16:99" ht="15.75" thickBot="1" x14ac:dyDescent="0.3">
      <c r="P79" s="940"/>
      <c r="Q79" s="13" t="s">
        <v>62</v>
      </c>
      <c r="R79" s="518" t="str">
        <f>IF(AND(_A1="B-717",'2025'!$E$4="FO",'2025'!$E$2=R43),'2025DATA'!$C$38,"")</f>
        <v/>
      </c>
      <c r="S79" s="518" t="str">
        <f>IF(AND(_A1="B-717",'2025'!$E$4="FO",'2025'!$E$2=S43),'2025DATA'!$D$38,"")</f>
        <v/>
      </c>
      <c r="T79" s="518" t="str">
        <f>IF(AND(_A1="B-717",'2025'!$E$4="FO",'2025'!$E$2=T43),'2025DATA'!$E$38,"")</f>
        <v/>
      </c>
      <c r="U79" s="518" t="str">
        <f>IF(AND(_A1="B-717",'2025'!$E$4="FO",'2025'!$E$2=U43),'2025DATA'!$F$38,"")</f>
        <v/>
      </c>
      <c r="V79" s="518" t="str">
        <f>IF(AND(_A1="B-717",'2025'!$E$4="FO",'2025'!$E$2=V43),'2025DATA'!$G$38,"")</f>
        <v/>
      </c>
      <c r="W79" s="518" t="str">
        <f>IF(AND(_A1="B-717",'2025'!$E$4="FO",'2025'!$E$2=W43),'2025DATA'!$H$38,"")</f>
        <v/>
      </c>
      <c r="X79" s="518" t="str">
        <f>IF(AND(_A1="B-717",'2025'!$E$4="FO",'2025'!$E$2=X43),'2025DATA'!$I$38,"")</f>
        <v/>
      </c>
      <c r="Y79" s="518" t="str">
        <f>IF(AND(_A1="B-717",'2025'!$E$4="FO",'2025'!$E$2=Y43),'2025DATA'!$J$38,"")</f>
        <v/>
      </c>
      <c r="Z79" s="518" t="str">
        <f>IF(AND(_A1="B-717",'2025'!$E$4="FO",'2025'!$E$2=Z43),'2025DATA'!$K$38,"")</f>
        <v/>
      </c>
      <c r="AA79" s="518" t="str">
        <f>IF(AND(_A1="B-717",'2025'!$E$4="FO",'2025'!$E$2=AA43),'2025DATA'!$L$38,"")</f>
        <v/>
      </c>
      <c r="AB79" s="518" t="str">
        <f>IF(AND(_A1="B-717",'2025'!$E$4="FO",'2025'!$E$2=AB43),'2025DATA'!$M$38,"")</f>
        <v/>
      </c>
      <c r="AC79" s="520" t="str">
        <f>IF(AND(_A1="B-717",'2025'!$E$4="FO",'2025'!$E$2=AC43),'2025DATA'!$N$38,"")</f>
        <v/>
      </c>
      <c r="AD79" s="940"/>
      <c r="AE79" s="13" t="s">
        <v>62</v>
      </c>
      <c r="AF79" s="518" t="str">
        <f>IF(AND(_A2="B-717",'2025'!$E$4="FO",'2025'!$E$2=AF43),'2025DATA'!$C$38,"")</f>
        <v/>
      </c>
      <c r="AG79" s="518" t="str">
        <f>IF(AND(_A2="B-717",'2025'!$E$4="FO",'2025'!$E$2=AG43),'2025DATA'!$D$38,"")</f>
        <v/>
      </c>
      <c r="AH79" s="518" t="str">
        <f>IF(AND(_A2="B-717",'2025'!$E$4="FO",'2025'!$E$2=AH43),'2025DATA'!$E$38,"")</f>
        <v/>
      </c>
      <c r="AI79" s="518" t="str">
        <f>IF(AND(_A2="B-717",'2025'!$E$4="FO",'2025'!$E$2=AI43),'2025DATA'!$F$38,"")</f>
        <v/>
      </c>
      <c r="AJ79" s="518" t="str">
        <f>IF(AND(_A2="B-717",'2025'!$E$4="FO",'2025'!$E$2=AJ43),'2025DATA'!$G$38,"")</f>
        <v/>
      </c>
      <c r="AK79" s="518" t="str">
        <f>IF(AND(_A2="B-717",'2025'!$E$4="FO",'2025'!$E$2=AK43),'2025DATA'!$H$38,"")</f>
        <v/>
      </c>
      <c r="AL79" s="518" t="str">
        <f>IF(AND(_A2="B-717",'2025'!$E$4="FO",'2025'!$E$2=AL43),'2025DATA'!$I$38,"")</f>
        <v/>
      </c>
      <c r="AM79" s="518" t="str">
        <f>IF(AND(_A2="B-717",'2025'!$E$4="FO",'2025'!$E$2=AM43),'2025DATA'!$J$38,"")</f>
        <v/>
      </c>
      <c r="AN79" s="518" t="str">
        <f>IF(AND(_A2="B-717",'2025'!$E$4="FO",'2025'!$E$2=AN43),'2025DATA'!$K$38,"")</f>
        <v/>
      </c>
      <c r="AO79" s="518" t="str">
        <f>IF(AND(_A2="B-717",'2025'!$E$4="FO",'2025'!$E$2=AO43),'2025DATA'!$L$38,"")</f>
        <v/>
      </c>
      <c r="AP79" s="518" t="str">
        <f>IF(AND(_A2="B-717",'2025'!$E$4="FO",'2025'!$E$2=AP43),'2025DATA'!$M$38,"")</f>
        <v/>
      </c>
      <c r="AQ79" s="520" t="str">
        <f>IF(AND(_A2="B-717",'2025'!$E$4="FO",'2025'!$E$2=AQ43),'2025DATA'!$N$38,"")</f>
        <v/>
      </c>
      <c r="AR79" s="940"/>
      <c r="AS79" s="13" t="s">
        <v>62</v>
      </c>
      <c r="AT79" s="518" t="str">
        <f>IF(AND(_A3="B-717",'2025'!$E$4="FO",'2025'!$E$2=AT43),'2025DATA'!$C$38,"")</f>
        <v/>
      </c>
      <c r="AU79" s="518" t="str">
        <f>IF(AND(_A3="B-717",'2025'!$E$4="FO",'2025'!$E$2=AU43),'2025DATA'!$D$38,"")</f>
        <v/>
      </c>
      <c r="AV79" s="518" t="str">
        <f>IF(AND(_A3="B-717",'2025'!$E$4="FO",'2025'!$E$2=AV43),'2025DATA'!$E$38,"")</f>
        <v/>
      </c>
      <c r="AW79" s="518" t="str">
        <f>IF(AND(_A3="B-717",'2025'!$E$4="FO",'2025'!$E$2=AW43),'2025DATA'!$F$38,"")</f>
        <v/>
      </c>
      <c r="AX79" s="518" t="str">
        <f>IF(AND(_A3="B-717",'2025'!$E$4="FO",'2025'!$E$2=AX43),'2025DATA'!$G$38,"")</f>
        <v/>
      </c>
      <c r="AY79" s="518" t="str">
        <f>IF(AND(_A3="B-717",'2025'!$E$4="FO",'2025'!$E$2=AY43),'2025DATA'!$H$38,"")</f>
        <v/>
      </c>
      <c r="AZ79" s="518" t="str">
        <f>IF(AND(_A3="B-717",'2025'!$E$4="FO",'2025'!$E$2=AZ43),'2025DATA'!$I$38,"")</f>
        <v/>
      </c>
      <c r="BA79" s="518" t="str">
        <f>IF(AND(_A3="B-717",'2025'!$E$4="FO",'2025'!$E$2=BA43),'2025DATA'!$J$38,"")</f>
        <v/>
      </c>
      <c r="BB79" s="518" t="str">
        <f>IF(AND(_A3="B-717",'2025'!$E$4="FO",'2025'!$E$2=BB43),'2025DATA'!$K$38,"")</f>
        <v/>
      </c>
      <c r="BC79" s="518" t="str">
        <f>IF(AND(_A3="B-717",'2025'!$E$4="FO",'2025'!$E$2=BC43),'2025DATA'!$L$38,"")</f>
        <v/>
      </c>
      <c r="BD79" s="518" t="str">
        <f>IF(AND(_A3="B-717",'2025'!$E$4="FO",'2025'!$E$2=BD43),'2025DATA'!$M$38,"")</f>
        <v/>
      </c>
      <c r="BE79" s="520" t="str">
        <f>IF(AND(_A3="B-717",'2025'!$E$4="FO",'2025'!$E$2=BE43),'2025DATA'!$N$38,"")</f>
        <v/>
      </c>
      <c r="BF79" s="940"/>
      <c r="BG79" s="13" t="s">
        <v>62</v>
      </c>
      <c r="BH79" s="518" t="str">
        <f>IF(AND(_A4="B-717",'2025'!$E$4="FO",'2025'!$E$2=BH43),'2025DATA'!$C$38,"")</f>
        <v/>
      </c>
      <c r="BI79" s="518" t="str">
        <f>IF(AND(_A4="B-717",'2025'!$E$4="FO",'2025'!$E$2=BI43),'2025DATA'!$D$38,"")</f>
        <v/>
      </c>
      <c r="BJ79" s="518" t="str">
        <f>IF(AND(_A4="B-717",'2025'!$E$4="FO",'2025'!$E$2=BJ43),'2025DATA'!$E$38,"")</f>
        <v/>
      </c>
      <c r="BK79" s="518" t="str">
        <f>IF(AND(_A4="B-717",'2025'!$E$4="FO",'2025'!$E$2=BK43),'2025DATA'!$F$38,"")</f>
        <v/>
      </c>
      <c r="BL79" s="518" t="str">
        <f>IF(AND(_A4="B-717",'2025'!$E$4="FO",'2025'!$E$2=BL43),'2025DATA'!$G$38,"")</f>
        <v/>
      </c>
      <c r="BM79" s="518" t="str">
        <f>IF(AND(_A4="B-717",'2025'!$E$4="FO",'2025'!$E$2=BM43),'2025DATA'!$H$38,"")</f>
        <v/>
      </c>
      <c r="BN79" s="518" t="str">
        <f>IF(AND(_A4="B-717",'2025'!$E$4="FO",'2025'!$E$2=BN43),'2025DATA'!$I$38,"")</f>
        <v/>
      </c>
      <c r="BO79" s="518" t="str">
        <f>IF(AND(_A4="B-717",'2025'!$E$4="FO",'2025'!$E$2=BO43),'2025DATA'!$J$38,"")</f>
        <v/>
      </c>
      <c r="BP79" s="518" t="str">
        <f>IF(AND(_A4="B-717",'2025'!$E$4="FO",'2025'!$E$2=BP43),'2025DATA'!$K$38,"")</f>
        <v/>
      </c>
      <c r="BQ79" s="518" t="str">
        <f>IF(AND(_A4="B-717",'2025'!$E$4="FO",'2025'!$E$2=BQ43),'2025DATA'!$L$38,"")</f>
        <v/>
      </c>
      <c r="BR79" s="518" t="str">
        <f>IF(AND(_A4="B-717",'2025'!$E$4="FO",'2025'!$E$2=BR43),'2025DATA'!$M$38,"")</f>
        <v/>
      </c>
      <c r="BS79" s="520" t="str">
        <f>IF(AND(_A4="B-717",'2025'!$E$4="FO",'2025'!$E$2=BS43),'2025DATA'!$N$38,"")</f>
        <v/>
      </c>
      <c r="BT79" s="940"/>
      <c r="BU79" s="13" t="s">
        <v>62</v>
      </c>
      <c r="BV79" s="518" t="str">
        <f>IF(AND(_A5="B-717",'2025'!$E$4="FO",'2025'!$E$2=BV43),'2025DATA'!$C$38,"")</f>
        <v/>
      </c>
      <c r="BW79" s="518" t="str">
        <f>IF(AND(_A5="B-717",'2025'!$E$4="FO",'2025'!$E$2=BW43),'2025DATA'!$D$38,"")</f>
        <v/>
      </c>
      <c r="BX79" s="518" t="str">
        <f>IF(AND(_A5="B-717",'2025'!$E$4="FO",'2025'!$E$2=BX43),'2025DATA'!$E$38,"")</f>
        <v/>
      </c>
      <c r="BY79" s="518" t="str">
        <f>IF(AND(_A5="B-717",'2025'!$E$4="FO",'2025'!$E$2=BY43),'2025DATA'!$F$38,"")</f>
        <v/>
      </c>
      <c r="BZ79" s="518" t="str">
        <f>IF(AND(_A5="B-717",'2025'!$E$4="FO",'2025'!$E$2=BZ43),'2025DATA'!$G$38,"")</f>
        <v/>
      </c>
      <c r="CA79" s="518" t="str">
        <f>IF(AND(_A5="B-717",'2025'!$E$4="FO",'2025'!$E$2=CA43),'2025DATA'!$H$38,"")</f>
        <v/>
      </c>
      <c r="CB79" s="518" t="str">
        <f>IF(AND(_A5="B-717",'2025'!$E$4="FO",'2025'!$E$2=CB43),'2025DATA'!$I$38,"")</f>
        <v/>
      </c>
      <c r="CC79" s="518" t="str">
        <f>IF(AND(_A5="B-717",'2025'!$E$4="FO",'2025'!$E$2=CC43),'2025DATA'!$J$38,"")</f>
        <v/>
      </c>
      <c r="CD79" s="518" t="str">
        <f>IF(AND(_A5="B-717",'2025'!$E$4="FO",'2025'!$E$2=CD43),'2025DATA'!$K$38,"")</f>
        <v/>
      </c>
      <c r="CE79" s="518" t="str">
        <f>IF(AND(_A5="B-717",'2025'!$E$4="FO",'2025'!$E$2=CE43),'2025DATA'!$L$38,"")</f>
        <v/>
      </c>
      <c r="CF79" s="518" t="str">
        <f>IF(AND(_A5="B-717",'2025'!$E$4="FO",'2025'!$E$2=CF43),'2025DATA'!$M$38,"")</f>
        <v/>
      </c>
      <c r="CG79" s="520" t="str">
        <f>IF(AND(_A5="B-717",'2025'!$E$4="FO",'2025'!$E$2=CG43),'2025DATA'!$N$38,"")</f>
        <v/>
      </c>
      <c r="CH79" s="940"/>
      <c r="CI79" s="13" t="s">
        <v>62</v>
      </c>
      <c r="CJ79" s="518" t="str">
        <f>IF(AND(_A6="B-717",'2025'!$E$4="FO",'2025'!$E$2=CJ43),'2025DATA'!$C$38,"")</f>
        <v/>
      </c>
      <c r="CK79" s="518" t="str">
        <f>IF(AND(_A6="B-717",'2025'!$E$4="FO",'2025'!$E$2=CK43),'2025DATA'!$D$38,"")</f>
        <v/>
      </c>
      <c r="CL79" s="518" t="str">
        <f>IF(AND(_A6="B-717",'2025'!$E$4="FO",'2025'!$E$2=CL43),'2025DATA'!$E$38,"")</f>
        <v/>
      </c>
      <c r="CM79" s="518" t="str">
        <f>IF(AND(_A6="B-717",'2025'!$E$4="FO",'2025'!$E$2=CM43),'2025DATA'!$F$38,"")</f>
        <v/>
      </c>
      <c r="CN79" s="518" t="str">
        <f>IF(AND(_A6="B-717",'2025'!$E$4="FO",'2025'!$E$2=CN43),'2025DATA'!$G$38,"")</f>
        <v/>
      </c>
      <c r="CO79" s="518" t="str">
        <f>IF(AND(_A6="B-717",'2025'!$E$4="FO",'2025'!$E$2=CO43),'2025DATA'!$H$38,"")</f>
        <v/>
      </c>
      <c r="CP79" s="518" t="str">
        <f>IF(AND(_A6="B-717",'2025'!$E$4="FO",'2025'!$E$2=CP43),'2025DATA'!$I$38,"")</f>
        <v/>
      </c>
      <c r="CQ79" s="518" t="str">
        <f>IF(AND(_A6="B-717",'2025'!$E$4="FO",'2025'!$E$2=CQ43),'2025DATA'!$J$38,"")</f>
        <v/>
      </c>
      <c r="CR79" s="518" t="str">
        <f>IF(AND(_A6="B-717",'2025'!$E$4="FO",'2025'!$E$2=CR43),'2025DATA'!$K$38,"")</f>
        <v/>
      </c>
      <c r="CS79" s="518" t="str">
        <f>IF(AND(_A6="B-717",'2025'!$E$4="FO",'2025'!$E$2=CS43),'2025DATA'!$L$38,"")</f>
        <v/>
      </c>
      <c r="CT79" s="518" t="str">
        <f>IF(AND(_A6="B-717",'2025'!$E$4="FO",'2025'!$E$2=CT43),'2025DATA'!$M$38,"")</f>
        <v/>
      </c>
      <c r="CU79" s="520" t="str">
        <f>IF(AND(_A6="B-717",'2025'!$E$4="FO",'2025'!$E$2=CU43),'2025DATA'!$N$38,"")</f>
        <v/>
      </c>
    </row>
    <row r="80" spans="16:99" x14ac:dyDescent="0.25">
      <c r="P80" s="943" t="s">
        <v>116</v>
      </c>
      <c r="Q80" s="944"/>
      <c r="R80" s="944"/>
      <c r="S80" s="944"/>
      <c r="T80" s="944"/>
      <c r="U80" s="944"/>
      <c r="V80" s="944"/>
      <c r="W80" s="944"/>
      <c r="X80" s="944"/>
      <c r="Y80" s="944"/>
      <c r="Z80" s="944"/>
      <c r="AA80" s="944"/>
      <c r="AB80" s="944"/>
      <c r="AC80" s="945"/>
      <c r="AD80" s="943" t="s">
        <v>117</v>
      </c>
      <c r="AE80" s="944"/>
      <c r="AF80" s="944"/>
      <c r="AG80" s="944"/>
      <c r="AH80" s="944"/>
      <c r="AI80" s="944"/>
      <c r="AJ80" s="944"/>
      <c r="AK80" s="944"/>
      <c r="AL80" s="944"/>
      <c r="AM80" s="944"/>
      <c r="AN80" s="944"/>
      <c r="AO80" s="944"/>
      <c r="AP80" s="944"/>
      <c r="AQ80" s="945"/>
      <c r="AR80" s="943" t="s">
        <v>118</v>
      </c>
      <c r="AS80" s="944"/>
      <c r="AT80" s="944"/>
      <c r="AU80" s="944"/>
      <c r="AV80" s="944"/>
      <c r="AW80" s="944"/>
      <c r="AX80" s="944"/>
      <c r="AY80" s="944"/>
      <c r="AZ80" s="944"/>
      <c r="BA80" s="944"/>
      <c r="BB80" s="944"/>
      <c r="BC80" s="944"/>
      <c r="BD80" s="944"/>
      <c r="BE80" s="945"/>
      <c r="BF80" s="943" t="s">
        <v>119</v>
      </c>
      <c r="BG80" s="944"/>
      <c r="BH80" s="944"/>
      <c r="BI80" s="944"/>
      <c r="BJ80" s="944"/>
      <c r="BK80" s="944"/>
      <c r="BL80" s="944"/>
      <c r="BM80" s="944"/>
      <c r="BN80" s="944"/>
      <c r="BO80" s="944"/>
      <c r="BP80" s="944"/>
      <c r="BQ80" s="944"/>
      <c r="BR80" s="944"/>
      <c r="BS80" s="945"/>
      <c r="BT80" s="943" t="s">
        <v>120</v>
      </c>
      <c r="BU80" s="944"/>
      <c r="BV80" s="944"/>
      <c r="BW80" s="944"/>
      <c r="BX80" s="944"/>
      <c r="BY80" s="944"/>
      <c r="BZ80" s="944"/>
      <c r="CA80" s="944"/>
      <c r="CB80" s="944"/>
      <c r="CC80" s="944"/>
      <c r="CD80" s="944"/>
      <c r="CE80" s="944"/>
      <c r="CF80" s="944"/>
      <c r="CG80" s="945"/>
      <c r="CH80" s="943" t="s">
        <v>121</v>
      </c>
      <c r="CI80" s="944"/>
      <c r="CJ80" s="944"/>
      <c r="CK80" s="944"/>
      <c r="CL80" s="944"/>
      <c r="CM80" s="944"/>
      <c r="CN80" s="944"/>
      <c r="CO80" s="944"/>
      <c r="CP80" s="944"/>
      <c r="CQ80" s="944"/>
      <c r="CR80" s="944"/>
      <c r="CS80" s="944"/>
      <c r="CT80" s="944"/>
      <c r="CU80" s="945"/>
    </row>
    <row r="81" spans="16:99" x14ac:dyDescent="0.25">
      <c r="P81" s="582">
        <v>3</v>
      </c>
      <c r="Q81" s="559">
        <f>SUM(R82:AC117)</f>
        <v>0</v>
      </c>
      <c r="R81" s="3">
        <v>12</v>
      </c>
      <c r="S81" s="3">
        <v>11</v>
      </c>
      <c r="T81" s="3">
        <v>10</v>
      </c>
      <c r="U81" s="3">
        <v>9</v>
      </c>
      <c r="V81" s="3">
        <v>8</v>
      </c>
      <c r="W81" s="3">
        <v>7</v>
      </c>
      <c r="X81" s="3">
        <v>6</v>
      </c>
      <c r="Y81" s="3">
        <v>5</v>
      </c>
      <c r="Z81" s="3">
        <v>4</v>
      </c>
      <c r="AA81" s="3">
        <v>3</v>
      </c>
      <c r="AB81" s="3">
        <v>2</v>
      </c>
      <c r="AC81" s="519">
        <v>1</v>
      </c>
      <c r="AD81" s="559">
        <v>3</v>
      </c>
      <c r="AE81" s="559">
        <f>SUM(AF82:AQ117)</f>
        <v>0</v>
      </c>
      <c r="AF81" s="3">
        <v>12</v>
      </c>
      <c r="AG81" s="3">
        <v>11</v>
      </c>
      <c r="AH81" s="3">
        <v>10</v>
      </c>
      <c r="AI81" s="3">
        <v>9</v>
      </c>
      <c r="AJ81" s="3">
        <v>8</v>
      </c>
      <c r="AK81" s="3">
        <v>7</v>
      </c>
      <c r="AL81" s="3">
        <v>6</v>
      </c>
      <c r="AM81" s="3">
        <v>5</v>
      </c>
      <c r="AN81" s="3">
        <v>4</v>
      </c>
      <c r="AO81" s="3">
        <v>3</v>
      </c>
      <c r="AP81" s="3">
        <v>2</v>
      </c>
      <c r="AQ81" s="519">
        <v>1</v>
      </c>
      <c r="AR81" s="559">
        <v>3</v>
      </c>
      <c r="AS81" s="559">
        <f>SUM(AT82:BE117)</f>
        <v>0</v>
      </c>
      <c r="AT81" s="3">
        <v>12</v>
      </c>
      <c r="AU81" s="3">
        <v>11</v>
      </c>
      <c r="AV81" s="3">
        <v>10</v>
      </c>
      <c r="AW81" s="3">
        <v>9</v>
      </c>
      <c r="AX81" s="3">
        <v>8</v>
      </c>
      <c r="AY81" s="3">
        <v>7</v>
      </c>
      <c r="AZ81" s="3">
        <v>6</v>
      </c>
      <c r="BA81" s="3">
        <v>5</v>
      </c>
      <c r="BB81" s="3">
        <v>4</v>
      </c>
      <c r="BC81" s="3">
        <v>3</v>
      </c>
      <c r="BD81" s="3">
        <v>2</v>
      </c>
      <c r="BE81" s="519">
        <v>1</v>
      </c>
      <c r="BF81" s="559">
        <v>3</v>
      </c>
      <c r="BG81" s="559">
        <f>SUM(BH82:BS117)</f>
        <v>0</v>
      </c>
      <c r="BH81" s="3">
        <v>12</v>
      </c>
      <c r="BI81" s="3">
        <v>11</v>
      </c>
      <c r="BJ81" s="3">
        <v>10</v>
      </c>
      <c r="BK81" s="3">
        <v>9</v>
      </c>
      <c r="BL81" s="3">
        <v>8</v>
      </c>
      <c r="BM81" s="3">
        <v>7</v>
      </c>
      <c r="BN81" s="3">
        <v>6</v>
      </c>
      <c r="BO81" s="3">
        <v>5</v>
      </c>
      <c r="BP81" s="3">
        <v>4</v>
      </c>
      <c r="BQ81" s="3">
        <v>3</v>
      </c>
      <c r="BR81" s="3">
        <v>2</v>
      </c>
      <c r="BS81" s="519">
        <v>1</v>
      </c>
      <c r="BT81" s="559">
        <v>3</v>
      </c>
      <c r="BU81" s="559">
        <f>SUM(BV82:CG117)</f>
        <v>0</v>
      </c>
      <c r="BV81" s="3">
        <v>12</v>
      </c>
      <c r="BW81" s="3">
        <v>11</v>
      </c>
      <c r="BX81" s="3">
        <v>10</v>
      </c>
      <c r="BY81" s="3">
        <v>9</v>
      </c>
      <c r="BZ81" s="3">
        <v>8</v>
      </c>
      <c r="CA81" s="3">
        <v>7</v>
      </c>
      <c r="CB81" s="3">
        <v>6</v>
      </c>
      <c r="CC81" s="3">
        <v>5</v>
      </c>
      <c r="CD81" s="3">
        <v>4</v>
      </c>
      <c r="CE81" s="3">
        <v>3</v>
      </c>
      <c r="CF81" s="3">
        <v>2</v>
      </c>
      <c r="CG81" s="519">
        <v>1</v>
      </c>
      <c r="CH81" s="559">
        <v>3</v>
      </c>
      <c r="CI81" s="559">
        <f>SUM(CJ82:CU117)</f>
        <v>0</v>
      </c>
      <c r="CJ81" s="3">
        <v>12</v>
      </c>
      <c r="CK81" s="3">
        <v>11</v>
      </c>
      <c r="CL81" s="3">
        <v>10</v>
      </c>
      <c r="CM81" s="3">
        <v>9</v>
      </c>
      <c r="CN81" s="3">
        <v>8</v>
      </c>
      <c r="CO81" s="3">
        <v>7</v>
      </c>
      <c r="CP81" s="3">
        <v>6</v>
      </c>
      <c r="CQ81" s="3">
        <v>5</v>
      </c>
      <c r="CR81" s="3">
        <v>4</v>
      </c>
      <c r="CS81" s="3">
        <v>3</v>
      </c>
      <c r="CT81" s="3">
        <v>2</v>
      </c>
      <c r="CU81" s="519">
        <v>1</v>
      </c>
    </row>
    <row r="82" spans="16:99" x14ac:dyDescent="0.25">
      <c r="P82" s="940" t="s">
        <v>39</v>
      </c>
      <c r="Q82" s="13" t="s">
        <v>61</v>
      </c>
      <c r="R82" s="518" t="str">
        <f>IF(AND(_A1="A-350",'2025'!$F$4="CA",'2025'!$F$2=R81),'2025DATA'!$C$3,"")</f>
        <v/>
      </c>
      <c r="S82" s="518" t="str">
        <f>IF(AND(_A1="A-350",'2025'!$F$4="CA",'2025'!$F$2=S81),'2025DATA'!$D$3,"")</f>
        <v/>
      </c>
      <c r="T82" s="518" t="str">
        <f>IF(AND(_A1="A-350",'2025'!$F$4="CA",'2025'!$F$2=T81),'2025DATA'!$E$3,"")</f>
        <v/>
      </c>
      <c r="U82" s="518" t="str">
        <f>IF(AND(_A1="A-350",'2025'!$F$4="CA",'2025'!$F$2=U81),'2025DATA'!$F$3,"")</f>
        <v/>
      </c>
      <c r="V82" s="518" t="str">
        <f>IF(AND(_A1="A-350",'2025'!$F$4="CA",'2025'!$F$2=V81),'2025DATA'!$G$3,"")</f>
        <v/>
      </c>
      <c r="W82" s="518" t="str">
        <f>IF(AND(_A1="A-350",'2025'!$F$4="CA",'2025'!$F$2=W81),'2025DATA'!$H$3,"")</f>
        <v/>
      </c>
      <c r="X82" s="518" t="str">
        <f>IF(AND(_A1="A-350",'2025'!$F$4="CA",'2025'!$F$2=X81),'2025DATA'!$I$3,"")</f>
        <v/>
      </c>
      <c r="Y82" s="518" t="str">
        <f>IF(AND(_A1="A-350",'2025'!$F$4="CA",'2025'!$F$2=Y81),'2025DATA'!$J$3,"")</f>
        <v/>
      </c>
      <c r="Z82" s="518" t="str">
        <f>IF(AND(_A1="A-350",'2025'!$F$4="CA",'2025'!$F$2=Z81),'2025DATA'!$K$3,"")</f>
        <v/>
      </c>
      <c r="AA82" s="518" t="str">
        <f>IF(AND(_A1="A-350",'2025'!$F$4="CA",'2025'!$F$2=AA81),'2025DATA'!$L$3,"")</f>
        <v/>
      </c>
      <c r="AB82" s="518" t="str">
        <f>IF(AND(_A1="A-350",'2025'!$F$4="CA",'2025'!$F$2=AB81),'2025DATA'!$M$3,"")</f>
        <v/>
      </c>
      <c r="AC82" s="520" t="str">
        <f>IF(AND(_A1="A-350",'2025'!$F$4="CA",'2025'!$F$2=AC81),'2025DATA'!$N$3,"")</f>
        <v/>
      </c>
      <c r="AD82" s="940" t="s">
        <v>39</v>
      </c>
      <c r="AE82" s="13" t="s">
        <v>61</v>
      </c>
      <c r="AF82" s="518" t="str">
        <f>IF(AND(_A2="A-350",'2025'!$F$4="CA",'2025'!$F$2=AF81),'2025DATA'!$C$3,"")</f>
        <v/>
      </c>
      <c r="AG82" s="518" t="str">
        <f>IF(AND(_A2="A-350",'2025'!$F$4="CA",'2025'!$F$2=AG81),'2025DATA'!$D$3,"")</f>
        <v/>
      </c>
      <c r="AH82" s="518" t="str">
        <f>IF(AND(_A2="A-350",'2025'!$F$4="CA",'2025'!$F$2=AH81),'2025DATA'!$E$3,"")</f>
        <v/>
      </c>
      <c r="AI82" s="518" t="str">
        <f>IF(AND(_A2="A-350",'2025'!$F$4="CA",'2025'!$F$2=AI81),'2025DATA'!$F$3,"")</f>
        <v/>
      </c>
      <c r="AJ82" s="518" t="str">
        <f>IF(AND(_A2="A-350",'2025'!$F$4="CA",'2025'!$F$2=AJ81),'2025DATA'!$G$3,"")</f>
        <v/>
      </c>
      <c r="AK82" s="518" t="str">
        <f>IF(AND(_A2="A-350",'2025'!$F$4="CA",'2025'!$F$2=AK81),'2025DATA'!$H$3,"")</f>
        <v/>
      </c>
      <c r="AL82" s="518" t="str">
        <f>IF(AND(_A2="A-350",'2025'!$F$4="CA",'2025'!$F$2=AL81),'2025DATA'!$I$3,"")</f>
        <v/>
      </c>
      <c r="AM82" s="518" t="str">
        <f>IF(AND(_A2="A-350",'2025'!$F$4="CA",'2025'!$F$2=AM81),'2025DATA'!$J$3,"")</f>
        <v/>
      </c>
      <c r="AN82" s="518" t="str">
        <f>IF(AND(_A2="A-350",'2025'!$F$4="CA",'2025'!$F$2=AN81),'2025DATA'!$K$3,"")</f>
        <v/>
      </c>
      <c r="AO82" s="518" t="str">
        <f>IF(AND(_A2="A-350",'2025'!$F$4="CA",'2025'!$F$2=AO81),'2025DATA'!$L$3,"")</f>
        <v/>
      </c>
      <c r="AP82" s="518" t="str">
        <f>IF(AND(_A2="A-350",'2025'!$F$4="CA",'2025'!$F$2=AP81),'2025DATA'!$M$3,"")</f>
        <v/>
      </c>
      <c r="AQ82" s="520" t="str">
        <f>IF(AND(_A2="A-350",'2025'!$F$4="CA",'2025'!$F$2=AQ81),'2025DATA'!$N$3,"")</f>
        <v/>
      </c>
      <c r="AR82" s="940" t="s">
        <v>39</v>
      </c>
      <c r="AS82" s="13" t="s">
        <v>61</v>
      </c>
      <c r="AT82" s="518" t="str">
        <f>IF(AND(_A3="A-350",'2025'!$F$4="CA",'2025'!$F$2=AT81),'2025DATA'!$C$3,"")</f>
        <v/>
      </c>
      <c r="AU82" s="518" t="str">
        <f>IF(AND(_A3="A-350",'2025'!$F$4="CA",'2025'!$F$2=AU81),'2025DATA'!$D$3,"")</f>
        <v/>
      </c>
      <c r="AV82" s="518" t="str">
        <f>IF(AND(_A3="A-350",'2025'!$F$4="CA",'2025'!$F$2=AV81),'2025DATA'!$E$3,"")</f>
        <v/>
      </c>
      <c r="AW82" s="518" t="str">
        <f>IF(AND(_A3="A-350",'2025'!$F$4="CA",'2025'!$F$2=AW81),'2025DATA'!$F$3,"")</f>
        <v/>
      </c>
      <c r="AX82" s="518" t="str">
        <f>IF(AND(_A3="A-350",'2025'!$F$4="CA",'2025'!$F$2=AX81),'2025DATA'!$G$3,"")</f>
        <v/>
      </c>
      <c r="AY82" s="518" t="str">
        <f>IF(AND(_A3="A-350",'2025'!$F$4="CA",'2025'!$F$2=AY81),'2025DATA'!$H$3,"")</f>
        <v/>
      </c>
      <c r="AZ82" s="518" t="str">
        <f>IF(AND(_A3="A-350",'2025'!$F$4="CA",'2025'!$F$2=AZ81),'2025DATA'!$I$3,"")</f>
        <v/>
      </c>
      <c r="BA82" s="518" t="str">
        <f>IF(AND(_A3="A-350",'2025'!$F$4="CA",'2025'!$F$2=BA81),'2025DATA'!$J$3,"")</f>
        <v/>
      </c>
      <c r="BB82" s="518" t="str">
        <f>IF(AND(_A3="A-350",'2025'!$F$4="CA",'2025'!$F$2=BB81),'2025DATA'!$K$3,"")</f>
        <v/>
      </c>
      <c r="BC82" s="518" t="str">
        <f>IF(AND(_A3="A-350",'2025'!$F$4="CA",'2025'!$F$2=BC81),'2025DATA'!$L$3,"")</f>
        <v/>
      </c>
      <c r="BD82" s="518" t="str">
        <f>IF(AND(_A3="A-350",'2025'!$F$4="CA",'2025'!$F$2=BD81),'2025DATA'!$M$3,"")</f>
        <v/>
      </c>
      <c r="BE82" s="520" t="str">
        <f>IF(AND(_A3="A-350",'2025'!$F$4="CA",'2025'!$F$2=BE81),'2025DATA'!$N$3,"")</f>
        <v/>
      </c>
      <c r="BF82" s="940" t="s">
        <v>39</v>
      </c>
      <c r="BG82" s="13" t="s">
        <v>61</v>
      </c>
      <c r="BH82" s="518" t="str">
        <f>IF(AND(_A4="A-350",'2025'!$F$4="CA",'2025'!$F$2=BH81),'2025DATA'!$C$3,"")</f>
        <v/>
      </c>
      <c r="BI82" s="518" t="str">
        <f>IF(AND(_A4="A-350",'2025'!$F$4="CA",'2025'!$F$2=BI81),'2025DATA'!$D$3,"")</f>
        <v/>
      </c>
      <c r="BJ82" s="518" t="str">
        <f>IF(AND(_A4="A-350",'2025'!$F$4="CA",'2025'!$F$2=BJ81),'2025DATA'!$E$3,"")</f>
        <v/>
      </c>
      <c r="BK82" s="518" t="str">
        <f>IF(AND(_A4="A-350",'2025'!$F$4="CA",'2025'!$F$2=BK81),'2025DATA'!$F$3,"")</f>
        <v/>
      </c>
      <c r="BL82" s="518" t="str">
        <f>IF(AND(_A4="A-350",'2025'!$F$4="CA",'2025'!$F$2=BL81),'2025DATA'!$G$3,"")</f>
        <v/>
      </c>
      <c r="BM82" s="518" t="str">
        <f>IF(AND(_A4="A-350",'2025'!$F$4="CA",'2025'!$F$2=BM81),'2025DATA'!$H$3,"")</f>
        <v/>
      </c>
      <c r="BN82" s="518" t="str">
        <f>IF(AND(_A4="A-350",'2025'!$F$4="CA",'2025'!$F$2=BN81),'2025DATA'!$I$3,"")</f>
        <v/>
      </c>
      <c r="BO82" s="518" t="str">
        <f>IF(AND(_A4="A-350",'2025'!$F$4="CA",'2025'!$F$2=BO81),'2025DATA'!$J$3,"")</f>
        <v/>
      </c>
      <c r="BP82" s="518" t="str">
        <f>IF(AND(_A4="A-350",'2025'!$F$4="CA",'2025'!$F$2=BP81),'2025DATA'!$K$3,"")</f>
        <v/>
      </c>
      <c r="BQ82" s="518" t="str">
        <f>IF(AND(_A4="A-350",'2025'!$F$4="CA",'2025'!$F$2=BQ81),'2025DATA'!$L$3,"")</f>
        <v/>
      </c>
      <c r="BR82" s="518" t="str">
        <f>IF(AND(_A4="A-350",'2025'!$F$4="CA",'2025'!$F$2=BR81),'2025DATA'!$M$3,"")</f>
        <v/>
      </c>
      <c r="BS82" s="520" t="str">
        <f>IF(AND(_A4="A-350",'2025'!$F$4="CA",'2025'!$F$2=BS81),'2025DATA'!$N$3,"")</f>
        <v/>
      </c>
      <c r="BT82" s="940" t="s">
        <v>39</v>
      </c>
      <c r="BU82" s="13" t="s">
        <v>61</v>
      </c>
      <c r="BV82" s="518" t="str">
        <f>IF(AND(_A5="A-350",'2025'!$F$4="CA",'2025'!$F$2=BV81),'2025DATA'!$C$3,"")</f>
        <v/>
      </c>
      <c r="BW82" s="518" t="str">
        <f>IF(AND(_A5="A-350",'2025'!$F$4="CA",'2025'!$F$2=BW81),'2025DATA'!$D$3,"")</f>
        <v/>
      </c>
      <c r="BX82" s="518" t="str">
        <f>IF(AND(_A5="A-350",'2025'!$F$4="CA",'2025'!$F$2=BX81),'2025DATA'!$E$3,"")</f>
        <v/>
      </c>
      <c r="BY82" s="518" t="str">
        <f>IF(AND(_A5="A-350",'2025'!$F$4="CA",'2025'!$F$2=BY81),'2025DATA'!$F$3,"")</f>
        <v/>
      </c>
      <c r="BZ82" s="518" t="str">
        <f>IF(AND(_A5="A-350",'2025'!$F$4="CA",'2025'!$F$2=BZ81),'2025DATA'!$G$3,"")</f>
        <v/>
      </c>
      <c r="CA82" s="518" t="str">
        <f>IF(AND(_A5="A-350",'2025'!$F$4="CA",'2025'!$F$2=CA81),'2025DATA'!$H$3,"")</f>
        <v/>
      </c>
      <c r="CB82" s="518" t="str">
        <f>IF(AND(_A5="A-350",'2025'!$F$4="CA",'2025'!$F$2=CB81),'2025DATA'!$I$3,"")</f>
        <v/>
      </c>
      <c r="CC82" s="518" t="str">
        <f>IF(AND(_A5="A-350",'2025'!$F$4="CA",'2025'!$F$2=CC81),'2025DATA'!$J$3,"")</f>
        <v/>
      </c>
      <c r="CD82" s="518" t="str">
        <f>IF(AND(_A5="A-350",'2025'!$F$4="CA",'2025'!$F$2=CD81),'2025DATA'!$K$3,"")</f>
        <v/>
      </c>
      <c r="CE82" s="518" t="str">
        <f>IF(AND(_A5="A-350",'2025'!$F$4="CA",'2025'!$F$2=CE81),'2025DATA'!$L$3,"")</f>
        <v/>
      </c>
      <c r="CF82" s="518" t="str">
        <f>IF(AND(_A5="A-350",'2025'!$F$4="CA",'2025'!$F$2=CF81),'2025DATA'!$M$3,"")</f>
        <v/>
      </c>
      <c r="CG82" s="520" t="str">
        <f>IF(AND(_A5="A-350",'2025'!$F$4="CA",'2025'!$F$2=CG81),'2025DATA'!$N$3,"")</f>
        <v/>
      </c>
      <c r="CH82" s="940" t="s">
        <v>39</v>
      </c>
      <c r="CI82" s="13" t="s">
        <v>61</v>
      </c>
      <c r="CJ82" s="518" t="str">
        <f>IF(AND(_A6="A-350",'2025'!$F$4="CA",'2025'!$F$2=CJ81),'2025DATA'!$C$3,"")</f>
        <v/>
      </c>
      <c r="CK82" s="518" t="str">
        <f>IF(AND(_A6="A-350",'2025'!$F$4="CA",'2025'!$F$2=CK81),'2025DATA'!$D$3,"")</f>
        <v/>
      </c>
      <c r="CL82" s="518" t="str">
        <f>IF(AND(_A6="A-350",'2025'!$F$4="CA",'2025'!$F$2=CL81),'2025DATA'!$E$3,"")</f>
        <v/>
      </c>
      <c r="CM82" s="518" t="str">
        <f>IF(AND(_A6="A-350",'2025'!$F$4="CA",'2025'!$F$2=CM81),'2025DATA'!$F$3,"")</f>
        <v/>
      </c>
      <c r="CN82" s="518" t="str">
        <f>IF(AND(_A6="A-350",'2025'!$F$4="CA",'2025'!$F$2=CN81),'2025DATA'!$G$3,"")</f>
        <v/>
      </c>
      <c r="CO82" s="518" t="str">
        <f>IF(AND(_A6="A-350",'2025'!$F$4="CA",'2025'!$F$2=CO81),'2025DATA'!$H$3,"")</f>
        <v/>
      </c>
      <c r="CP82" s="518" t="str">
        <f>IF(AND(_A6="A-350",'2025'!$F$4="CA",'2025'!$F$2=CP81),'2025DATA'!$I$3,"")</f>
        <v/>
      </c>
      <c r="CQ82" s="518" t="str">
        <f>IF(AND(_A6="A-350",'2025'!$F$4="CA",'2025'!$F$2=CQ81),'2025DATA'!$J$3,"")</f>
        <v/>
      </c>
      <c r="CR82" s="518" t="str">
        <f>IF(AND(_A6="A-350",'2025'!$F$4="CA",'2025'!$F$2=CR81),'2025DATA'!$K$3,"")</f>
        <v/>
      </c>
      <c r="CS82" s="518" t="str">
        <f>IF(AND(_A6="A-350",'2025'!$F$4="CA",'2025'!$F$2=CS81),'2025DATA'!$L$3,"")</f>
        <v/>
      </c>
      <c r="CT82" s="518" t="str">
        <f>IF(AND(_A6="A-350",'2025'!$F$4="CA",'2025'!$F$2=CT81),'2025DATA'!$M$3,"")</f>
        <v/>
      </c>
      <c r="CU82" s="520" t="str">
        <f>IF(AND(_A6="A-350",'2025'!$F$4="CA",'2025'!$F$2=CU81),'2025DATA'!$N$3,"")</f>
        <v/>
      </c>
    </row>
    <row r="83" spans="16:99" x14ac:dyDescent="0.25">
      <c r="P83" s="940"/>
      <c r="Q83" s="13" t="s">
        <v>62</v>
      </c>
      <c r="R83" s="518" t="str">
        <f>IF(AND(_A1="A-350",'2025'!$F$4="FO",'2025'!$F$2=R81),'2025DATA'!$C$4,"")</f>
        <v/>
      </c>
      <c r="S83" s="518" t="str">
        <f>IF(AND(_A1="A-350",'2025'!$F$4="FO",'2025'!$F$2=S81),'2025DATA'!$D$4,"")</f>
        <v/>
      </c>
      <c r="T83" s="518" t="str">
        <f>IF(AND(_A1="A-350",'2025'!$F$4="FO",'2025'!$F$2=T81),'2025DATA'!$E$4,"")</f>
        <v/>
      </c>
      <c r="U83" s="518" t="str">
        <f>IF(AND(_A1="A-350",'2025'!$F$4="FO",'2025'!$F$2=U81),'2025DATA'!$F$4,"")</f>
        <v/>
      </c>
      <c r="V83" s="518" t="str">
        <f>IF(AND(_A1="A-350",'2025'!$F$4="FO",'2025'!$F$2=V81),'2025DATA'!$G$4,"")</f>
        <v/>
      </c>
      <c r="W83" s="518" t="str">
        <f>IF(AND(_A1="A-350",'2025'!$F$4="FO",'2025'!$F$2=W81),'2025DATA'!$H$4,"")</f>
        <v/>
      </c>
      <c r="X83" s="518" t="str">
        <f>IF(AND(_A1="A-350",'2025'!$F$4="FO",'2025'!$F$2=X81),'2025DATA'!$I$4,"")</f>
        <v/>
      </c>
      <c r="Y83" s="518" t="str">
        <f>IF(AND(_A1="A-350",'2025'!$F$4="FO",'2025'!$F$2=Y81),'2025DATA'!$J$4,"")</f>
        <v/>
      </c>
      <c r="Z83" s="518" t="str">
        <f>IF(AND(_A1="A-350",'2025'!$F$4="FO",'2025'!$F$2=Z81),'2025DATA'!$K$4,"")</f>
        <v/>
      </c>
      <c r="AA83" s="518" t="str">
        <f>IF(AND(_A1="A-350",'2025'!$F$4="FO",'2025'!$F$2=AA81),'2025DATA'!$L$4,"")</f>
        <v/>
      </c>
      <c r="AB83" s="518" t="str">
        <f>IF(AND(_A1="A-350",'2025'!$F$4="FO",'2025'!$F$2=AB81),'2025DATA'!$M$4,"")</f>
        <v/>
      </c>
      <c r="AC83" s="520" t="str">
        <f>IF(AND(_A1="A-350",'2025'!$F$4="FO",'2025'!$F$2=AC81),'2025DATA'!$N$4,"")</f>
        <v/>
      </c>
      <c r="AD83" s="940"/>
      <c r="AE83" s="13" t="s">
        <v>62</v>
      </c>
      <c r="AF83" s="518" t="str">
        <f>IF(AND(_A2="A-350",'2025'!$F$4="FO",'2025'!$F$2=AF81),'2025DATA'!$C$4,"")</f>
        <v/>
      </c>
      <c r="AG83" s="518" t="str">
        <f>IF(AND(_A2="A-350",'2025'!$F$4="FO",'2025'!$F$2=AG81),'2025DATA'!$D$4,"")</f>
        <v/>
      </c>
      <c r="AH83" s="518" t="str">
        <f>IF(AND(_A2="A-350",'2025'!$F$4="FO",'2025'!$F$2=AH81),'2025DATA'!$E$4,"")</f>
        <v/>
      </c>
      <c r="AI83" s="518" t="str">
        <f>IF(AND(_A2="A-350",'2025'!$F$4="FO",'2025'!$F$2=AI81),'2025DATA'!$F$4,"")</f>
        <v/>
      </c>
      <c r="AJ83" s="518" t="str">
        <f>IF(AND(_A2="A-350",'2025'!$F$4="FO",'2025'!$F$2=AJ81),'2025DATA'!$G$4,"")</f>
        <v/>
      </c>
      <c r="AK83" s="518" t="str">
        <f>IF(AND(_A2="A-350",'2025'!$F$4="FO",'2025'!$F$2=AK81),'2025DATA'!$H$4,"")</f>
        <v/>
      </c>
      <c r="AL83" s="518" t="str">
        <f>IF(AND(_A2="A-350",'2025'!$F$4="FO",'2025'!$F$2=AL81),'2025DATA'!$I$4,"")</f>
        <v/>
      </c>
      <c r="AM83" s="518" t="str">
        <f>IF(AND(_A2="A-350",'2025'!$F$4="FO",'2025'!$F$2=AM81),'2025DATA'!$J$4,"")</f>
        <v/>
      </c>
      <c r="AN83" s="518" t="str">
        <f>IF(AND(_A2="A-350",'2025'!$F$4="FO",'2025'!$F$2=AN81),'2025DATA'!$K$4,"")</f>
        <v/>
      </c>
      <c r="AO83" s="518" t="str">
        <f>IF(AND(_A2="A-350",'2025'!$F$4="FO",'2025'!$F$2=AO81),'2025DATA'!$L$4,"")</f>
        <v/>
      </c>
      <c r="AP83" s="518" t="str">
        <f>IF(AND(_A2="A-350",'2025'!$F$4="FO",'2025'!$F$2=AP81),'2025DATA'!$M$4,"")</f>
        <v/>
      </c>
      <c r="AQ83" s="520" t="str">
        <f>IF(AND(_A2="A-350",'2025'!$F$4="FO",'2025'!$F$2=AQ81),'2025DATA'!$N$4,"")</f>
        <v/>
      </c>
      <c r="AR83" s="940"/>
      <c r="AS83" s="13" t="s">
        <v>62</v>
      </c>
      <c r="AT83" s="518" t="str">
        <f>IF(AND(_A3="A-350",'2025'!$F$4="FO",'2025'!$F$2=AT81),'2025DATA'!$C$4,"")</f>
        <v/>
      </c>
      <c r="AU83" s="518" t="str">
        <f>IF(AND(_A3="A-350",'2025'!$F$4="FO",'2025'!$F$2=AU81),'2025DATA'!$D$4,"")</f>
        <v/>
      </c>
      <c r="AV83" s="518" t="str">
        <f>IF(AND(_A3="A-350",'2025'!$F$4="FO",'2025'!$F$2=AV81),'2025DATA'!$E$4,"")</f>
        <v/>
      </c>
      <c r="AW83" s="518" t="str">
        <f>IF(AND(_A3="A-350",'2025'!$F$4="FO",'2025'!$F$2=AW81),'2025DATA'!$F$4,"")</f>
        <v/>
      </c>
      <c r="AX83" s="518" t="str">
        <f>IF(AND(_A3="A-350",'2025'!$F$4="FO",'2025'!$F$2=AX81),'2025DATA'!$G$4,"")</f>
        <v/>
      </c>
      <c r="AY83" s="518" t="str">
        <f>IF(AND(_A3="A-350",'2025'!$F$4="FO",'2025'!$F$2=AY81),'2025DATA'!$H$4,"")</f>
        <v/>
      </c>
      <c r="AZ83" s="518" t="str">
        <f>IF(AND(_A3="A-350",'2025'!$F$4="FO",'2025'!$F$2=AZ81),'2025DATA'!$I$4,"")</f>
        <v/>
      </c>
      <c r="BA83" s="518" t="str">
        <f>IF(AND(_A3="A-350",'2025'!$F$4="FO",'2025'!$F$2=BA81),'2025DATA'!$J$4,"")</f>
        <v/>
      </c>
      <c r="BB83" s="518" t="str">
        <f>IF(AND(_A3="A-350",'2025'!$F$4="FO",'2025'!$F$2=BB81),'2025DATA'!$K$4,"")</f>
        <v/>
      </c>
      <c r="BC83" s="518" t="str">
        <f>IF(AND(_A3="A-350",'2025'!$F$4="FO",'2025'!$F$2=BC81),'2025DATA'!$L$4,"")</f>
        <v/>
      </c>
      <c r="BD83" s="518" t="str">
        <f>IF(AND(_A3="A-350",'2025'!$F$4="FO",'2025'!$F$2=BD81),'2025DATA'!$M$4,"")</f>
        <v/>
      </c>
      <c r="BE83" s="520" t="str">
        <f>IF(AND(_A3="A-350",'2025'!$F$4="FO",'2025'!$F$2=BE81),'2025DATA'!$N$4,"")</f>
        <v/>
      </c>
      <c r="BF83" s="940"/>
      <c r="BG83" s="13" t="s">
        <v>62</v>
      </c>
      <c r="BH83" s="518" t="str">
        <f>IF(AND(_A4="A-350",'2025'!$F$4="FO",'2025'!$F$2=BH81),'2025DATA'!$C$4,"")</f>
        <v/>
      </c>
      <c r="BI83" s="518" t="str">
        <f>IF(AND(_A4="A-350",'2025'!$F$4="FO",'2025'!$F$2=BI81),'2025DATA'!$D$4,"")</f>
        <v/>
      </c>
      <c r="BJ83" s="518" t="str">
        <f>IF(AND(_A4="A-350",'2025'!$F$4="FO",'2025'!$F$2=BJ81),'2025DATA'!$E$4,"")</f>
        <v/>
      </c>
      <c r="BK83" s="518" t="str">
        <f>IF(AND(_A4="A-350",'2025'!$F$4="FO",'2025'!$F$2=BK81),'2025DATA'!$F$4,"")</f>
        <v/>
      </c>
      <c r="BL83" s="518" t="str">
        <f>IF(AND(_A4="A-350",'2025'!$F$4="FO",'2025'!$F$2=BL81),'2025DATA'!$G$4,"")</f>
        <v/>
      </c>
      <c r="BM83" s="518" t="str">
        <f>IF(AND(_A4="A-350",'2025'!$F$4="FO",'2025'!$F$2=BM81),'2025DATA'!$H$4,"")</f>
        <v/>
      </c>
      <c r="BN83" s="518" t="str">
        <f>IF(AND(_A4="A-350",'2025'!$F$4="FO",'2025'!$F$2=BN81),'2025DATA'!$I$4,"")</f>
        <v/>
      </c>
      <c r="BO83" s="518" t="str">
        <f>IF(AND(_A4="A-350",'2025'!$F$4="FO",'2025'!$F$2=BO81),'2025DATA'!$J$4,"")</f>
        <v/>
      </c>
      <c r="BP83" s="518" t="str">
        <f>IF(AND(_A4="A-350",'2025'!$F$4="FO",'2025'!$F$2=BP81),'2025DATA'!$K$4,"")</f>
        <v/>
      </c>
      <c r="BQ83" s="518" t="str">
        <f>IF(AND(_A4="A-350",'2025'!$F$4="FO",'2025'!$F$2=BQ81),'2025DATA'!$L$4,"")</f>
        <v/>
      </c>
      <c r="BR83" s="518" t="str">
        <f>IF(AND(_A4="A-350",'2025'!$F$4="FO",'2025'!$F$2=BR81),'2025DATA'!$M$4,"")</f>
        <v/>
      </c>
      <c r="BS83" s="520" t="str">
        <f>IF(AND(_A4="A-350",'2025'!$F$4="FO",'2025'!$F$2=BS81),'2025DATA'!$N$4,"")</f>
        <v/>
      </c>
      <c r="BT83" s="940"/>
      <c r="BU83" s="13" t="s">
        <v>62</v>
      </c>
      <c r="BV83" s="518" t="str">
        <f>IF(AND(_A5="A-350",'2025'!$F$4="FO",'2025'!$F$2=BV81),'2025DATA'!$C$4,"")</f>
        <v/>
      </c>
      <c r="BW83" s="518" t="str">
        <f>IF(AND(_A5="A-350",'2025'!$F$4="FO",'2025'!$F$2=BW81),'2025DATA'!$D$4,"")</f>
        <v/>
      </c>
      <c r="BX83" s="518" t="str">
        <f>IF(AND(_A5="A-350",'2025'!$F$4="FO",'2025'!$F$2=BX81),'2025DATA'!$E$4,"")</f>
        <v/>
      </c>
      <c r="BY83" s="518" t="str">
        <f>IF(AND(_A5="A-350",'2025'!$F$4="FO",'2025'!$F$2=BY81),'2025DATA'!$F$4,"")</f>
        <v/>
      </c>
      <c r="BZ83" s="518" t="str">
        <f>IF(AND(_A5="A-350",'2025'!$F$4="FO",'2025'!$F$2=BZ81),'2025DATA'!$G$4,"")</f>
        <v/>
      </c>
      <c r="CA83" s="518" t="str">
        <f>IF(AND(_A5="A-350",'2025'!$F$4="FO",'2025'!$F$2=CA81),'2025DATA'!$H$4,"")</f>
        <v/>
      </c>
      <c r="CB83" s="518" t="str">
        <f>IF(AND(_A5="A-350",'2025'!$F$4="FO",'2025'!$F$2=CB81),'2025DATA'!$I$4,"")</f>
        <v/>
      </c>
      <c r="CC83" s="518" t="str">
        <f>IF(AND(_A5="A-350",'2025'!$F$4="FO",'2025'!$F$2=CC81),'2025DATA'!$J$4,"")</f>
        <v/>
      </c>
      <c r="CD83" s="518" t="str">
        <f>IF(AND(_A5="A-350",'2025'!$F$4="FO",'2025'!$F$2=CD81),'2025DATA'!$K$4,"")</f>
        <v/>
      </c>
      <c r="CE83" s="518" t="str">
        <f>IF(AND(_A5="A-350",'2025'!$F$4="FO",'2025'!$F$2=CE81),'2025DATA'!$L$4,"")</f>
        <v/>
      </c>
      <c r="CF83" s="518" t="str">
        <f>IF(AND(_A5="A-350",'2025'!$F$4="FO",'2025'!$F$2=CF81),'2025DATA'!$M$4,"")</f>
        <v/>
      </c>
      <c r="CG83" s="520" t="str">
        <f>IF(AND(_A5="A-350",'2025'!$F$4="FO",'2025'!$F$2=CG81),'2025DATA'!$N$4,"")</f>
        <v/>
      </c>
      <c r="CH83" s="940"/>
      <c r="CI83" s="13" t="s">
        <v>62</v>
      </c>
      <c r="CJ83" s="518" t="str">
        <f>IF(AND(_A6="A-350",'2025'!$F$4="FO",'2025'!$F$2=CJ81),'2025DATA'!$C$4,"")</f>
        <v/>
      </c>
      <c r="CK83" s="518" t="str">
        <f>IF(AND(_A6="A-350",'2025'!$F$4="FO",'2025'!$F$2=CK81),'2025DATA'!$D$4,"")</f>
        <v/>
      </c>
      <c r="CL83" s="518" t="str">
        <f>IF(AND(_A6="A-350",'2025'!$F$4="FO",'2025'!$F$2=CL81),'2025DATA'!$E$4,"")</f>
        <v/>
      </c>
      <c r="CM83" s="518" t="str">
        <f>IF(AND(_A6="A-350",'2025'!$F$4="FO",'2025'!$F$2=CM81),'2025DATA'!$F$4,"")</f>
        <v/>
      </c>
      <c r="CN83" s="518" t="str">
        <f>IF(AND(_A6="A-350",'2025'!$F$4="FO",'2025'!$F$2=CN81),'2025DATA'!$G$4,"")</f>
        <v/>
      </c>
      <c r="CO83" s="518" t="str">
        <f>IF(AND(_A6="A-350",'2025'!$F$4="FO",'2025'!$F$2=CO81),'2025DATA'!$H$4,"")</f>
        <v/>
      </c>
      <c r="CP83" s="518" t="str">
        <f>IF(AND(_A6="A-350",'2025'!$F$4="FO",'2025'!$F$2=CP81),'2025DATA'!$I$4,"")</f>
        <v/>
      </c>
      <c r="CQ83" s="518" t="str">
        <f>IF(AND(_A6="A-350",'2025'!$F$4="FO",'2025'!$F$2=CQ81),'2025DATA'!$J$4,"")</f>
        <v/>
      </c>
      <c r="CR83" s="518" t="str">
        <f>IF(AND(_A6="A-350",'2025'!$F$4="FO",'2025'!$F$2=CR81),'2025DATA'!$K$4,"")</f>
        <v/>
      </c>
      <c r="CS83" s="518" t="str">
        <f>IF(AND(_A6="A-350",'2025'!$F$4="FO",'2025'!$F$2=CS81),'2025DATA'!$L$4,"")</f>
        <v/>
      </c>
      <c r="CT83" s="518" t="str">
        <f>IF(AND(_A6="A-350",'2025'!$F$4="FO",'2025'!$F$2=CT81),'2025DATA'!$M$4,"")</f>
        <v/>
      </c>
      <c r="CU83" s="520" t="str">
        <f>IF(AND(_A6="A-350",'2025'!$F$4="FO",'2025'!$F$2=CU81),'2025DATA'!$N$4,"")</f>
        <v/>
      </c>
    </row>
    <row r="84" spans="16:99" x14ac:dyDescent="0.25">
      <c r="P84" s="940" t="s">
        <v>65</v>
      </c>
      <c r="Q84" s="13" t="s">
        <v>61</v>
      </c>
      <c r="R84" s="518" t="str">
        <f>IF(AND(_A1="A-330-900",'2025'!$F$4="CA",'2025'!$F$2=R81),'2025DATA'!$C$5,"")</f>
        <v/>
      </c>
      <c r="S84" s="518" t="str">
        <f>IF(AND(_A1="A-330-900",'2025'!$F$4="CA",'2025'!$F$2=S81),'2025DATA'!$D$5,"")</f>
        <v/>
      </c>
      <c r="T84" s="518" t="str">
        <f>IF(AND(_A1="A-330-900",'2025'!$F$4="CA",'2025'!$F$2=T81),'2025DATA'!$E$5,"")</f>
        <v/>
      </c>
      <c r="U84" s="518" t="str">
        <f>IF(AND(_A1="A-330-900",'2025'!$F$4="CA",'2025'!$F$2=U81),'2025DATA'!$F$5,"")</f>
        <v/>
      </c>
      <c r="V84" s="518" t="str">
        <f>IF(AND(_A1="A-330-900",'2025'!$F$4="CA",'2025'!$F$2=V81),'2025DATA'!$G$5,"")</f>
        <v/>
      </c>
      <c r="W84" s="518" t="str">
        <f>IF(AND(_A1="A-330-900",'2025'!$F$4="CA",'2025'!$F$2=W81),'2025DATA'!$H$5,"")</f>
        <v/>
      </c>
      <c r="X84" s="518" t="str">
        <f>IF(AND(_A1="A-330-900",'2025'!$F$4="CA",'2025'!$F$2=X81),'2025DATA'!$I$5,"")</f>
        <v/>
      </c>
      <c r="Y84" s="518" t="str">
        <f>IF(AND(_A1="A-330-900",'2025'!$F$4="CA",'2025'!$F$2=Y81),'2025DATA'!$J$5,"")</f>
        <v/>
      </c>
      <c r="Z84" s="518" t="str">
        <f>IF(AND(_A1="A-330-900",'2025'!$F$4="CA",'2025'!$F$2=Z81),'2025DATA'!$K$5,"")</f>
        <v/>
      </c>
      <c r="AA84" s="518" t="str">
        <f>IF(AND(_A1="A-330-900",'2025'!$F$4="CA",'2025'!$F$2=AA81),'2025DATA'!$L$5,"")</f>
        <v/>
      </c>
      <c r="AB84" s="518" t="str">
        <f>IF(AND(_A1="A-330-900",'2025'!$F$4="CA",'2025'!$F$2=AB81),'2025DATA'!$M$5,"")</f>
        <v/>
      </c>
      <c r="AC84" s="520" t="str">
        <f>IF(AND(_A1="A-330-900",'2025'!$F$4="CA",'2025'!$F$2=AC81),'2025DATA'!$N$5,"")</f>
        <v/>
      </c>
      <c r="AD84" s="940" t="s">
        <v>65</v>
      </c>
      <c r="AE84" s="13" t="s">
        <v>61</v>
      </c>
      <c r="AF84" s="518" t="str">
        <f>IF(AND(_A2="A-330-900",'2025'!$F$4="CA",'2025'!$F$2=AF81),'2025DATA'!$C$5,"")</f>
        <v/>
      </c>
      <c r="AG84" s="518" t="str">
        <f>IF(AND(_A2="A-330-900",'2025'!$F$4="CA",'2025'!$F$2=AG81),'2025DATA'!$D$5,"")</f>
        <v/>
      </c>
      <c r="AH84" s="518" t="str">
        <f>IF(AND(_A2="A-330-900",'2025'!$F$4="CA",'2025'!$F$2=AH81),'2025DATA'!$E$5,"")</f>
        <v/>
      </c>
      <c r="AI84" s="518" t="str">
        <f>IF(AND(_A2="A-330-900",'2025'!$F$4="CA",'2025'!$F$2=AI81),'2025DATA'!$F$5,"")</f>
        <v/>
      </c>
      <c r="AJ84" s="518" t="str">
        <f>IF(AND(_A2="A-330-900",'2025'!$F$4="CA",'2025'!$F$2=AJ81),'2025DATA'!$G$5,"")</f>
        <v/>
      </c>
      <c r="AK84" s="518" t="str">
        <f>IF(AND(_A2="A-330-900",'2025'!$F$4="CA",'2025'!$F$2=AK81),'2025DATA'!$H$5,"")</f>
        <v/>
      </c>
      <c r="AL84" s="518" t="str">
        <f>IF(AND(_A2="A-330-900",'2025'!$F$4="CA",'2025'!$F$2=AL81),'2025DATA'!$I$5,"")</f>
        <v/>
      </c>
      <c r="AM84" s="518" t="str">
        <f>IF(AND(_A2="A-330-900",'2025'!$F$4="CA",'2025'!$F$2=AM81),'2025DATA'!$J$5,"")</f>
        <v/>
      </c>
      <c r="AN84" s="518" t="str">
        <f>IF(AND(_A2="A-330-900",'2025'!$F$4="CA",'2025'!$F$2=AN81),'2025DATA'!$K$5,"")</f>
        <v/>
      </c>
      <c r="AO84" s="518" t="str">
        <f>IF(AND(_A2="A-330-900",'2025'!$F$4="CA",'2025'!$F$2=AO81),'2025DATA'!$L$5,"")</f>
        <v/>
      </c>
      <c r="AP84" s="518" t="str">
        <f>IF(AND(_A2="A-330-900",'2025'!$F$4="CA",'2025'!$F$2=AP81),'2025DATA'!$M$5,"")</f>
        <v/>
      </c>
      <c r="AQ84" s="520" t="str">
        <f>IF(AND(_A2="A-330-900",'2025'!$F$4="CA",'2025'!$F$2=AQ81),'2025DATA'!$N$5,"")</f>
        <v/>
      </c>
      <c r="AR84" s="940" t="s">
        <v>65</v>
      </c>
      <c r="AS84" s="13" t="s">
        <v>61</v>
      </c>
      <c r="AT84" s="518" t="str">
        <f>IF(AND(_A3="A-330-900",'2025'!$F$4="CA",'2025'!$F$2=AT81),'2025DATA'!$C$5,"")</f>
        <v/>
      </c>
      <c r="AU84" s="518" t="str">
        <f>IF(AND(_A3="A-330-900",'2025'!$F$4="CA",'2025'!$F$2=AU81),'2025DATA'!$D$5,"")</f>
        <v/>
      </c>
      <c r="AV84" s="518" t="str">
        <f>IF(AND(_A3="A-330-900",'2025'!$F$4="CA",'2025'!$F$2=AV81),'2025DATA'!$E$5,"")</f>
        <v/>
      </c>
      <c r="AW84" s="518" t="str">
        <f>IF(AND(_A3="A-330-900",'2025'!$F$4="CA",'2025'!$F$2=AW81),'2025DATA'!$F$5,"")</f>
        <v/>
      </c>
      <c r="AX84" s="518" t="str">
        <f>IF(AND(_A3="A-330-900",'2025'!$F$4="CA",'2025'!$F$2=AX81),'2025DATA'!$G$5,"")</f>
        <v/>
      </c>
      <c r="AY84" s="518" t="str">
        <f>IF(AND(_A3="A-330-900",'2025'!$F$4="CA",'2025'!$F$2=AY81),'2025DATA'!$H$5,"")</f>
        <v/>
      </c>
      <c r="AZ84" s="518" t="str">
        <f>IF(AND(_A3="A-330-900",'2025'!$F$4="CA",'2025'!$F$2=AZ81),'2025DATA'!$I$5,"")</f>
        <v/>
      </c>
      <c r="BA84" s="518" t="str">
        <f>IF(AND(_A3="A-330-900",'2025'!$F$4="CA",'2025'!$F$2=BA81),'2025DATA'!$J$5,"")</f>
        <v/>
      </c>
      <c r="BB84" s="518" t="str">
        <f>IF(AND(_A3="A-330-900",'2025'!$F$4="CA",'2025'!$F$2=BB81),'2025DATA'!$K$5,"")</f>
        <v/>
      </c>
      <c r="BC84" s="518" t="str">
        <f>IF(AND(_A3="A-330-900",'2025'!$F$4="CA",'2025'!$F$2=BC81),'2025DATA'!$L$5,"")</f>
        <v/>
      </c>
      <c r="BD84" s="518" t="str">
        <f>IF(AND(_A3="A-330-900",'2025'!$F$4="CA",'2025'!$F$2=BD81),'2025DATA'!$M$5,"")</f>
        <v/>
      </c>
      <c r="BE84" s="520" t="str">
        <f>IF(AND(_A3="A-330-900",'2025'!$F$4="CA",'2025'!$F$2=BE81),'2025DATA'!$N$5,"")</f>
        <v/>
      </c>
      <c r="BF84" s="940" t="s">
        <v>65</v>
      </c>
      <c r="BG84" s="13" t="s">
        <v>61</v>
      </c>
      <c r="BH84" s="518" t="str">
        <f>IF(AND(_A4="A-330-900",'2025'!$F$4="CA",'2025'!$F$2=BH81),'2025DATA'!$C$5,"")</f>
        <v/>
      </c>
      <c r="BI84" s="518" t="str">
        <f>IF(AND(_A4="A-330-900",'2025'!$F$4="CA",'2025'!$F$2=BI81),'2025DATA'!$D$5,"")</f>
        <v/>
      </c>
      <c r="BJ84" s="518" t="str">
        <f>IF(AND(_A4="A-330-900",'2025'!$F$4="CA",'2025'!$F$2=BJ81),'2025DATA'!$E$5,"")</f>
        <v/>
      </c>
      <c r="BK84" s="518" t="str">
        <f>IF(AND(_A4="A-330-900",'2025'!$F$4="CA",'2025'!$F$2=BK81),'2025DATA'!$F$5,"")</f>
        <v/>
      </c>
      <c r="BL84" s="518" t="str">
        <f>IF(AND(_A4="A-330-900",'2025'!$F$4="CA",'2025'!$F$2=BL81),'2025DATA'!$G$5,"")</f>
        <v/>
      </c>
      <c r="BM84" s="518" t="str">
        <f>IF(AND(_A4="A-330-900",'2025'!$F$4="CA",'2025'!$F$2=BM81),'2025DATA'!$H$5,"")</f>
        <v/>
      </c>
      <c r="BN84" s="518" t="str">
        <f>IF(AND(_A4="A-330-900",'2025'!$F$4="CA",'2025'!$F$2=BN81),'2025DATA'!$I$5,"")</f>
        <v/>
      </c>
      <c r="BO84" s="518" t="str">
        <f>IF(AND(_A4="A-330-900",'2025'!$F$4="CA",'2025'!$F$2=BO81),'2025DATA'!$J$5,"")</f>
        <v/>
      </c>
      <c r="BP84" s="518" t="str">
        <f>IF(AND(_A4="A-330-900",'2025'!$F$4="CA",'2025'!$F$2=BP81),'2025DATA'!$K$5,"")</f>
        <v/>
      </c>
      <c r="BQ84" s="518" t="str">
        <f>IF(AND(_A4="A-330-900",'2025'!$F$4="CA",'2025'!$F$2=BQ81),'2025DATA'!$L$5,"")</f>
        <v/>
      </c>
      <c r="BR84" s="518" t="str">
        <f>IF(AND(_A4="A-330-900",'2025'!$F$4="CA",'2025'!$F$2=BR81),'2025DATA'!$M$5,"")</f>
        <v/>
      </c>
      <c r="BS84" s="520" t="str">
        <f>IF(AND(_A4="A-330-900",'2025'!$F$4="CA",'2025'!$F$2=BS81),'2025DATA'!$N$5,"")</f>
        <v/>
      </c>
      <c r="BT84" s="940" t="s">
        <v>65</v>
      </c>
      <c r="BU84" s="13" t="s">
        <v>61</v>
      </c>
      <c r="BV84" s="518" t="str">
        <f>IF(AND(_A5="A-330-900",'2025'!$F$4="CA",'2025'!$F$2=BV81),'2025DATA'!$C$5,"")</f>
        <v/>
      </c>
      <c r="BW84" s="518" t="str">
        <f>IF(AND(_A5="A-330-900",'2025'!$F$4="CA",'2025'!$F$2=BW81),'2025DATA'!$D$5,"")</f>
        <v/>
      </c>
      <c r="BX84" s="518" t="str">
        <f>IF(AND(_A5="A-330-900",'2025'!$F$4="CA",'2025'!$F$2=BX81),'2025DATA'!$E$5,"")</f>
        <v/>
      </c>
      <c r="BY84" s="518" t="str">
        <f>IF(AND(_A5="A-330-900",'2025'!$F$4="CA",'2025'!$F$2=BY81),'2025DATA'!$F$5,"")</f>
        <v/>
      </c>
      <c r="BZ84" s="518" t="str">
        <f>IF(AND(_A5="A-330-900",'2025'!$F$4="CA",'2025'!$F$2=BZ81),'2025DATA'!$G$5,"")</f>
        <v/>
      </c>
      <c r="CA84" s="518" t="str">
        <f>IF(AND(_A5="A-330-900",'2025'!$F$4="CA",'2025'!$F$2=CA81),'2025DATA'!$H$5,"")</f>
        <v/>
      </c>
      <c r="CB84" s="518" t="str">
        <f>IF(AND(_A5="A-330-900",'2025'!$F$4="CA",'2025'!$F$2=CB81),'2025DATA'!$I$5,"")</f>
        <v/>
      </c>
      <c r="CC84" s="518" t="str">
        <f>IF(AND(_A5="A-330-900",'2025'!$F$4="CA",'2025'!$F$2=CC81),'2025DATA'!$J$5,"")</f>
        <v/>
      </c>
      <c r="CD84" s="518" t="str">
        <f>IF(AND(_A5="A-330-900",'2025'!$F$4="CA",'2025'!$F$2=CD81),'2025DATA'!$K$5,"")</f>
        <v/>
      </c>
      <c r="CE84" s="518" t="str">
        <f>IF(AND(_A5="A-330-900",'2025'!$F$4="CA",'2025'!$F$2=CE81),'2025DATA'!$L$5,"")</f>
        <v/>
      </c>
      <c r="CF84" s="518" t="str">
        <f>IF(AND(_A5="A-330-900",'2025'!$F$4="CA",'2025'!$F$2=CF81),'2025DATA'!$M$5,"")</f>
        <v/>
      </c>
      <c r="CG84" s="520" t="str">
        <f>IF(AND(_A5="A-330-900",'2025'!$F$4="CA",'2025'!$F$2=CG81),'2025DATA'!$N$5,"")</f>
        <v/>
      </c>
      <c r="CH84" s="940" t="s">
        <v>65</v>
      </c>
      <c r="CI84" s="13" t="s">
        <v>61</v>
      </c>
      <c r="CJ84" s="518" t="str">
        <f>IF(AND(_A6="A-330-900",'2025'!$F$4="CA",'2025'!$F$2=CJ81),'2025DATA'!$C$5,"")</f>
        <v/>
      </c>
      <c r="CK84" s="518" t="str">
        <f>IF(AND(_A6="A-330-900",'2025'!$F$4="CA",'2025'!$F$2=CK81),'2025DATA'!$D$5,"")</f>
        <v/>
      </c>
      <c r="CL84" s="518" t="str">
        <f>IF(AND(_A6="A-330-900",'2025'!$F$4="CA",'2025'!$F$2=CL81),'2025DATA'!$E$5,"")</f>
        <v/>
      </c>
      <c r="CM84" s="518" t="str">
        <f>IF(AND(_A6="A-330-900",'2025'!$F$4="CA",'2025'!$F$2=CM81),'2025DATA'!$F$5,"")</f>
        <v/>
      </c>
      <c r="CN84" s="518" t="str">
        <f>IF(AND(_A6="A-330-900",'2025'!$F$4="CA",'2025'!$F$2=CN81),'2025DATA'!$G$5,"")</f>
        <v/>
      </c>
      <c r="CO84" s="518" t="str">
        <f>IF(AND(_A6="A-330-900",'2025'!$F$4="CA",'2025'!$F$2=CO81),'2025DATA'!$H$5,"")</f>
        <v/>
      </c>
      <c r="CP84" s="518" t="str">
        <f>IF(AND(_A6="A-330-900",'2025'!$F$4="CA",'2025'!$F$2=CP81),'2025DATA'!$I$5,"")</f>
        <v/>
      </c>
      <c r="CQ84" s="518" t="str">
        <f>IF(AND(_A6="A-330-900",'2025'!$F$4="CA",'2025'!$F$2=CQ81),'2025DATA'!$J$5,"")</f>
        <v/>
      </c>
      <c r="CR84" s="518" t="str">
        <f>IF(AND(_A6="A-330-900",'2025'!$F$4="CA",'2025'!$F$2=CR81),'2025DATA'!$K$5,"")</f>
        <v/>
      </c>
      <c r="CS84" s="518" t="str">
        <f>IF(AND(_A6="A-330-900",'2025'!$F$4="CA",'2025'!$F$2=CS81),'2025DATA'!$L$5,"")</f>
        <v/>
      </c>
      <c r="CT84" s="518" t="str">
        <f>IF(AND(_A6="A-330-900",'2025'!$F$4="CA",'2025'!$F$2=CT81),'2025DATA'!$M$5,"")</f>
        <v/>
      </c>
      <c r="CU84" s="520" t="str">
        <f>IF(AND(_A6="A-330-900",'2025'!$F$4="CA",'2025'!$F$2=CU81),'2025DATA'!$N$5,"")</f>
        <v/>
      </c>
    </row>
    <row r="85" spans="16:99" x14ac:dyDescent="0.25">
      <c r="P85" s="940"/>
      <c r="Q85" s="13" t="s">
        <v>62</v>
      </c>
      <c r="R85" s="518" t="str">
        <f>IF(AND(_A1="A-330-900",'2025'!$F$4="FO",'2025'!$F$2=R81),'2025DATA'!$C$6,"")</f>
        <v/>
      </c>
      <c r="S85" s="518" t="str">
        <f>IF(AND(_A1="A-330-900",'2025'!$F$4="FO",'2025'!$F$2=S81),'2025DATA'!$D$6,"")</f>
        <v/>
      </c>
      <c r="T85" s="518" t="str">
        <f>IF(AND(_A1="A-330-900",'2025'!$F$4="FO",'2025'!$F$2=T81),'2025DATA'!$E$6,"")</f>
        <v/>
      </c>
      <c r="U85" s="518" t="str">
        <f>IF(AND(_A1="A-330-900",'2025'!$F$4="FO",'2025'!$F$2=U81),'2025DATA'!$F$6,"")</f>
        <v/>
      </c>
      <c r="V85" s="518" t="str">
        <f>IF(AND(_A1="A-330-900",'2025'!$F$4="FO",'2025'!$F$2=V81),'2025DATA'!$G$6,"")</f>
        <v/>
      </c>
      <c r="W85" s="518" t="str">
        <f>IF(AND(_A1="A-330-900",'2025'!$F$4="FO",'2025'!$F$2=W81),'2025DATA'!$H$6,"")</f>
        <v/>
      </c>
      <c r="X85" s="518" t="str">
        <f>IF(AND(_A1="A-330-900",'2025'!$F$4="FO",'2025'!$F$2=X81),'2025DATA'!$I$6,"")</f>
        <v/>
      </c>
      <c r="Y85" s="518" t="str">
        <f>IF(AND(_A1="A-330-900",'2025'!$F$4="FO",'2025'!$F$2=Y81),'2025DATA'!$J$6,"")</f>
        <v/>
      </c>
      <c r="Z85" s="518" t="str">
        <f>IF(AND(_A1="A-330-900",'2025'!$F$4="FO",'2025'!$F$2=Z81),'2025DATA'!$K$6,"")</f>
        <v/>
      </c>
      <c r="AA85" s="518" t="str">
        <f>IF(AND(_A1="A-330-900",'2025'!$F$4="FO",'2025'!$F$2=AA81),'2025DATA'!$L$6,"")</f>
        <v/>
      </c>
      <c r="AB85" s="518" t="str">
        <f>IF(AND(_A1="A-330-900",'2025'!$F$4="FO",'2025'!$F$2=AB81),'2025DATA'!$M$6,"")</f>
        <v/>
      </c>
      <c r="AC85" s="520" t="str">
        <f>IF(AND(_A1="A-330-900",'2025'!$F$4="FO",'2025'!$F$2=AC81),'2025DATA'!$N$6,"")</f>
        <v/>
      </c>
      <c r="AD85" s="940"/>
      <c r="AE85" s="13" t="s">
        <v>62</v>
      </c>
      <c r="AF85" s="518" t="str">
        <f>IF(AND(_A2="A-330-900",'2025'!$F$4="FO",'2025'!$F$2=AF81),'2025DATA'!$C$6,"")</f>
        <v/>
      </c>
      <c r="AG85" s="518" t="str">
        <f>IF(AND(_A2="A-330-900",'2025'!$F$4="FO",'2025'!$F$2=AG81),'2025DATA'!$D$6,"")</f>
        <v/>
      </c>
      <c r="AH85" s="518" t="str">
        <f>IF(AND(_A2="A-330-900",'2025'!$F$4="FO",'2025'!$F$2=AH81),'2025DATA'!$E$6,"")</f>
        <v/>
      </c>
      <c r="AI85" s="518" t="str">
        <f>IF(AND(_A2="A-330-900",'2025'!$F$4="FO",'2025'!$F$2=AI81),'2025DATA'!$F$6,"")</f>
        <v/>
      </c>
      <c r="AJ85" s="518" t="str">
        <f>IF(AND(_A2="A-330-900",'2025'!$F$4="FO",'2025'!$F$2=AJ81),'2025DATA'!$G$6,"")</f>
        <v/>
      </c>
      <c r="AK85" s="518" t="str">
        <f>IF(AND(_A2="A-330-900",'2025'!$F$4="FO",'2025'!$F$2=AK81),'2025DATA'!$H$6,"")</f>
        <v/>
      </c>
      <c r="AL85" s="518" t="str">
        <f>IF(AND(_A2="A-330-900",'2025'!$F$4="FO",'2025'!$F$2=AL81),'2025DATA'!$I$6,"")</f>
        <v/>
      </c>
      <c r="AM85" s="518" t="str">
        <f>IF(AND(_A2="A-330-900",'2025'!$F$4="FO",'2025'!$F$2=AM81),'2025DATA'!$J$6,"")</f>
        <v/>
      </c>
      <c r="AN85" s="518" t="str">
        <f>IF(AND(_A2="A-330-900",'2025'!$F$4="FO",'2025'!$F$2=AN81),'2025DATA'!$K$6,"")</f>
        <v/>
      </c>
      <c r="AO85" s="518" t="str">
        <f>IF(AND(_A2="A-330-900",'2025'!$F$4="FO",'2025'!$F$2=AO81),'2025DATA'!$L$6,"")</f>
        <v/>
      </c>
      <c r="AP85" s="518" t="str">
        <f>IF(AND(_A2="A-330-900",'2025'!$F$4="FO",'2025'!$F$2=AP81),'2025DATA'!$M$6,"")</f>
        <v/>
      </c>
      <c r="AQ85" s="520" t="str">
        <f>IF(AND(_A2="A-330-900",'2025'!$F$4="FO",'2025'!$F$2=AQ81),'2025DATA'!$N$6,"")</f>
        <v/>
      </c>
      <c r="AR85" s="940"/>
      <c r="AS85" s="13" t="s">
        <v>62</v>
      </c>
      <c r="AT85" s="518" t="str">
        <f>IF(AND(_A3="A-330-900",'2025'!$F$4="FO",'2025'!$F$2=AT81),'2025DATA'!$C$6,"")</f>
        <v/>
      </c>
      <c r="AU85" s="518" t="str">
        <f>IF(AND(_A3="A-330-900",'2025'!$F$4="FO",'2025'!$F$2=AU81),'2025DATA'!$D$6,"")</f>
        <v/>
      </c>
      <c r="AV85" s="518" t="str">
        <f>IF(AND(_A3="A-330-900",'2025'!$F$4="FO",'2025'!$F$2=AV81),'2025DATA'!$E$6,"")</f>
        <v/>
      </c>
      <c r="AW85" s="518" t="str">
        <f>IF(AND(_A3="A-330-900",'2025'!$F$4="FO",'2025'!$F$2=AW81),'2025DATA'!$F$6,"")</f>
        <v/>
      </c>
      <c r="AX85" s="518" t="str">
        <f>IF(AND(_A3="A-330-900",'2025'!$F$4="FO",'2025'!$F$2=AX81),'2025DATA'!$G$6,"")</f>
        <v/>
      </c>
      <c r="AY85" s="518" t="str">
        <f>IF(AND(_A3="A-330-900",'2025'!$F$4="FO",'2025'!$F$2=AY81),'2025DATA'!$H$6,"")</f>
        <v/>
      </c>
      <c r="AZ85" s="518" t="str">
        <f>IF(AND(_A3="A-330-900",'2025'!$F$4="FO",'2025'!$F$2=AZ81),'2025DATA'!$I$6,"")</f>
        <v/>
      </c>
      <c r="BA85" s="518" t="str">
        <f>IF(AND(_A3="A-330-900",'2025'!$F$4="FO",'2025'!$F$2=BA81),'2025DATA'!$J$6,"")</f>
        <v/>
      </c>
      <c r="BB85" s="518" t="str">
        <f>IF(AND(_A3="A-330-900",'2025'!$F$4="FO",'2025'!$F$2=BB81),'2025DATA'!$K$6,"")</f>
        <v/>
      </c>
      <c r="BC85" s="518" t="str">
        <f>IF(AND(_A3="A-330-900",'2025'!$F$4="FO",'2025'!$F$2=BC81),'2025DATA'!$L$6,"")</f>
        <v/>
      </c>
      <c r="BD85" s="518" t="str">
        <f>IF(AND(_A3="A-330-900",'2025'!$F$4="FO",'2025'!$F$2=BD81),'2025DATA'!$M$6,"")</f>
        <v/>
      </c>
      <c r="BE85" s="520" t="str">
        <f>IF(AND(_A3="A-330-900",'2025'!$F$4="FO",'2025'!$F$2=BE81),'2025DATA'!$N$6,"")</f>
        <v/>
      </c>
      <c r="BF85" s="940"/>
      <c r="BG85" s="13" t="s">
        <v>62</v>
      </c>
      <c r="BH85" s="518" t="str">
        <f>IF(AND(_A4="A-330-900",'2025'!$F$4="FO",'2025'!$F$2=BH81),'2025DATA'!$C$6,"")</f>
        <v/>
      </c>
      <c r="BI85" s="518" t="str">
        <f>IF(AND(_A4="A-330-900",'2025'!$F$4="FO",'2025'!$F$2=BI81),'2025DATA'!$D$6,"")</f>
        <v/>
      </c>
      <c r="BJ85" s="518" t="str">
        <f>IF(AND(_A4="A-330-900",'2025'!$F$4="FO",'2025'!$F$2=BJ81),'2025DATA'!$E$6,"")</f>
        <v/>
      </c>
      <c r="BK85" s="518" t="str">
        <f>IF(AND(_A4="A-330-900",'2025'!$F$4="FO",'2025'!$F$2=BK81),'2025DATA'!$F$6,"")</f>
        <v/>
      </c>
      <c r="BL85" s="518" t="str">
        <f>IF(AND(_A4="A-330-900",'2025'!$F$4="FO",'2025'!$F$2=BL81),'2025DATA'!$G$6,"")</f>
        <v/>
      </c>
      <c r="BM85" s="518" t="str">
        <f>IF(AND(_A4="A-330-900",'2025'!$F$4="FO",'2025'!$F$2=BM81),'2025DATA'!$H$6,"")</f>
        <v/>
      </c>
      <c r="BN85" s="518" t="str">
        <f>IF(AND(_A4="A-330-900",'2025'!$F$4="FO",'2025'!$F$2=BN81),'2025DATA'!$I$6,"")</f>
        <v/>
      </c>
      <c r="BO85" s="518" t="str">
        <f>IF(AND(_A4="A-330-900",'2025'!$F$4="FO",'2025'!$F$2=BO81),'2025DATA'!$J$6,"")</f>
        <v/>
      </c>
      <c r="BP85" s="518" t="str">
        <f>IF(AND(_A4="A-330-900",'2025'!$F$4="FO",'2025'!$F$2=BP81),'2025DATA'!$K$6,"")</f>
        <v/>
      </c>
      <c r="BQ85" s="518" t="str">
        <f>IF(AND(_A4="A-330-900",'2025'!$F$4="FO",'2025'!$F$2=BQ81),'2025DATA'!$L$6,"")</f>
        <v/>
      </c>
      <c r="BR85" s="518" t="str">
        <f>IF(AND(_A4="A-330-900",'2025'!$F$4="FO",'2025'!$F$2=BR81),'2025DATA'!$M$6,"")</f>
        <v/>
      </c>
      <c r="BS85" s="520" t="str">
        <f>IF(AND(_A4="A-330-900",'2025'!$F$4="FO",'2025'!$F$2=BS81),'2025DATA'!$N$6,"")</f>
        <v/>
      </c>
      <c r="BT85" s="940"/>
      <c r="BU85" s="13" t="s">
        <v>62</v>
      </c>
      <c r="BV85" s="518" t="str">
        <f>IF(AND(_A5="A-330-900",'2025'!$F$4="FO",'2025'!$F$2=BV81),'2025DATA'!$C$6,"")</f>
        <v/>
      </c>
      <c r="BW85" s="518" t="str">
        <f>IF(AND(_A5="A-330-900",'2025'!$F$4="FO",'2025'!$F$2=BW81),'2025DATA'!$D$6,"")</f>
        <v/>
      </c>
      <c r="BX85" s="518" t="str">
        <f>IF(AND(_A5="A-330-900",'2025'!$F$4="FO",'2025'!$F$2=BX81),'2025DATA'!$E$6,"")</f>
        <v/>
      </c>
      <c r="BY85" s="518" t="str">
        <f>IF(AND(_A5="A-330-900",'2025'!$F$4="FO",'2025'!$F$2=BY81),'2025DATA'!$F$6,"")</f>
        <v/>
      </c>
      <c r="BZ85" s="518" t="str">
        <f>IF(AND(_A5="A-330-900",'2025'!$F$4="FO",'2025'!$F$2=BZ81),'2025DATA'!$G$6,"")</f>
        <v/>
      </c>
      <c r="CA85" s="518" t="str">
        <f>IF(AND(_A5="A-330-900",'2025'!$F$4="FO",'2025'!$F$2=CA81),'2025DATA'!$H$6,"")</f>
        <v/>
      </c>
      <c r="CB85" s="518" t="str">
        <f>IF(AND(_A5="A-330-900",'2025'!$F$4="FO",'2025'!$F$2=CB81),'2025DATA'!$I$6,"")</f>
        <v/>
      </c>
      <c r="CC85" s="518" t="str">
        <f>IF(AND(_A5="A-330-900",'2025'!$F$4="FO",'2025'!$F$2=CC81),'2025DATA'!$J$6,"")</f>
        <v/>
      </c>
      <c r="CD85" s="518" t="str">
        <f>IF(AND(_A5="A-330-900",'2025'!$F$4="FO",'2025'!$F$2=CD81),'2025DATA'!$K$6,"")</f>
        <v/>
      </c>
      <c r="CE85" s="518" t="str">
        <f>IF(AND(_A5="A-330-900",'2025'!$F$4="FO",'2025'!$F$2=CE81),'2025DATA'!$L$6,"")</f>
        <v/>
      </c>
      <c r="CF85" s="518" t="str">
        <f>IF(AND(_A5="A-330-900",'2025'!$F$4="FO",'2025'!$F$2=CF81),'2025DATA'!$M$6,"")</f>
        <v/>
      </c>
      <c r="CG85" s="520" t="str">
        <f>IF(AND(_A5="A-330-900",'2025'!$F$4="FO",'2025'!$F$2=CG81),'2025DATA'!$N$6,"")</f>
        <v/>
      </c>
      <c r="CH85" s="940"/>
      <c r="CI85" s="13" t="s">
        <v>62</v>
      </c>
      <c r="CJ85" s="518" t="str">
        <f>IF(AND(_A6="A-330-900",'2025'!$F$4="FO",'2025'!$F$2=CJ81),'2025DATA'!$C$6,"")</f>
        <v/>
      </c>
      <c r="CK85" s="518" t="str">
        <f>IF(AND(_A6="A-330-900",'2025'!$F$4="FO",'2025'!$F$2=CK81),'2025DATA'!$D$6,"")</f>
        <v/>
      </c>
      <c r="CL85" s="518" t="str">
        <f>IF(AND(_A6="A-330-900",'2025'!$F$4="FO",'2025'!$F$2=CL81),'2025DATA'!$E$6,"")</f>
        <v/>
      </c>
      <c r="CM85" s="518" t="str">
        <f>IF(AND(_A6="A-330-900",'2025'!$F$4="FO",'2025'!$F$2=CM81),'2025DATA'!$F$6,"")</f>
        <v/>
      </c>
      <c r="CN85" s="518" t="str">
        <f>IF(AND(_A6="A-330-900",'2025'!$F$4="FO",'2025'!$F$2=CN81),'2025DATA'!$G$6,"")</f>
        <v/>
      </c>
      <c r="CO85" s="518" t="str">
        <f>IF(AND(_A6="A-330-900",'2025'!$F$4="FO",'2025'!$F$2=CO81),'2025DATA'!$H$6,"")</f>
        <v/>
      </c>
      <c r="CP85" s="518" t="str">
        <f>IF(AND(_A6="A-330-900",'2025'!$F$4="FO",'2025'!$F$2=CP81),'2025DATA'!$I$6,"")</f>
        <v/>
      </c>
      <c r="CQ85" s="518" t="str">
        <f>IF(AND(_A6="A-330-900",'2025'!$F$4="FO",'2025'!$F$2=CQ81),'2025DATA'!$J$6,"")</f>
        <v/>
      </c>
      <c r="CR85" s="518" t="str">
        <f>IF(AND(_A6="A-330-900",'2025'!$F$4="FO",'2025'!$F$2=CR81),'2025DATA'!$K$6,"")</f>
        <v/>
      </c>
      <c r="CS85" s="518" t="str">
        <f>IF(AND(_A6="A-330-900",'2025'!$F$4="FO",'2025'!$F$2=CS81),'2025DATA'!$L$6,"")</f>
        <v/>
      </c>
      <c r="CT85" s="518" t="str">
        <f>IF(AND(_A6="A-330-900",'2025'!$F$4="FO",'2025'!$F$2=CT81),'2025DATA'!$M$6,"")</f>
        <v/>
      </c>
      <c r="CU85" s="520" t="str">
        <f>IF(AND(_A6="A-330-900",'2025'!$F$4="FO",'2025'!$F$2=CU81),'2025DATA'!$N$6,"")</f>
        <v/>
      </c>
    </row>
    <row r="86" spans="16:99" x14ac:dyDescent="0.25">
      <c r="P86" s="940" t="s">
        <v>64</v>
      </c>
      <c r="Q86" s="13" t="s">
        <v>61</v>
      </c>
      <c r="R86" s="518" t="str">
        <f>IF(AND(_A1="A-330-300",'2025'!$F$4="CA",'2025'!$F$2=R81),'2025DATA'!$C$7,"")</f>
        <v/>
      </c>
      <c r="S86" s="518" t="str">
        <f>IF(AND(_A1="A-330-300",'2025'!$F$4="CA",'2025'!$F$2=S81),'2025DATA'!$D$7,"")</f>
        <v/>
      </c>
      <c r="T86" s="518" t="str">
        <f>IF(AND(_A1="A-330-300",'2025'!$F$4="CA",'2025'!$F$2=T81),'2025DATA'!$E$7,"")</f>
        <v/>
      </c>
      <c r="U86" s="518" t="str">
        <f>IF(AND(_A1="A-330-300",'2025'!$F$4="CA",'2025'!$F$2=U81),'2025DATA'!$F$7,"")</f>
        <v/>
      </c>
      <c r="V86" s="518" t="str">
        <f>IF(AND(_A1="A-330-300",'2025'!$F$4="CA",'2025'!$F$2=V81),'2025DATA'!$G$7,"")</f>
        <v/>
      </c>
      <c r="W86" s="518" t="str">
        <f>IF(AND(_A1="A-330-300",'2025'!$F$4="CA",'2025'!$F$2=W81),'2025DATA'!$H$7,"")</f>
        <v/>
      </c>
      <c r="X86" s="518" t="str">
        <f>IF(AND(_A1="A-330-300",'2025'!$F$4="CA",'2025'!$F$2=X81),'2025DATA'!$I$7,"")</f>
        <v/>
      </c>
      <c r="Y86" s="518" t="str">
        <f>IF(AND(_A1="A-330-300",'2025'!$F$4="CA",'2025'!$F$2=Y81),'2025DATA'!$J$7,"")</f>
        <v/>
      </c>
      <c r="Z86" s="518" t="str">
        <f>IF(AND(_A1="A-330-300",'2025'!$F$4="CA",'2025'!$F$2=Z81),'2025DATA'!$K$7,"")</f>
        <v/>
      </c>
      <c r="AA86" s="518" t="str">
        <f>IF(AND(_A1="A-330-300",'2025'!$F$4="CA",'2025'!$F$2=AA81),'2025DATA'!$L$7,"")</f>
        <v/>
      </c>
      <c r="AB86" s="518" t="str">
        <f>IF(AND(_A1="A-330-300",'2025'!$F$4="CA",'2025'!$F$2=AB81),'2025DATA'!$M$7,"")</f>
        <v/>
      </c>
      <c r="AC86" s="520" t="str">
        <f>IF(AND(_A1="A-330-300",'2025'!$F$4="CA",'2025'!$F$2=AC81),'2025DATA'!$N$7,"")</f>
        <v/>
      </c>
      <c r="AD86" s="940" t="s">
        <v>64</v>
      </c>
      <c r="AE86" s="13" t="s">
        <v>61</v>
      </c>
      <c r="AF86" s="518" t="str">
        <f>IF(AND(_A2="A-330-300",'2025'!$F$4="CA",'2025'!$F$2=AF81),'2025DATA'!$C$7,"")</f>
        <v/>
      </c>
      <c r="AG86" s="518" t="str">
        <f>IF(AND(_A2="A-330-300",'2025'!$F$4="CA",'2025'!$F$2=AG81),'2025DATA'!$D$7,"")</f>
        <v/>
      </c>
      <c r="AH86" s="518" t="str">
        <f>IF(AND(_A2="A-330-300",'2025'!$F$4="CA",'2025'!$F$2=AH81),'2025DATA'!$E$7,"")</f>
        <v/>
      </c>
      <c r="AI86" s="518" t="str">
        <f>IF(AND(_A2="A-330-300",'2025'!$F$4="CA",'2025'!$F$2=AI81),'2025DATA'!$F$7,"")</f>
        <v/>
      </c>
      <c r="AJ86" s="518" t="str">
        <f>IF(AND(_A2="A-330-300",'2025'!$F$4="CA",'2025'!$F$2=AJ81),'2025DATA'!$G$7,"")</f>
        <v/>
      </c>
      <c r="AK86" s="518" t="str">
        <f>IF(AND(_A2="A-330-300",'2025'!$F$4="CA",'2025'!$F$2=AK81),'2025DATA'!$H$7,"")</f>
        <v/>
      </c>
      <c r="AL86" s="518" t="str">
        <f>IF(AND(_A2="A-330-300",'2025'!$F$4="CA",'2025'!$F$2=AL81),'2025DATA'!$I$7,"")</f>
        <v/>
      </c>
      <c r="AM86" s="518" t="str">
        <f>IF(AND(_A2="A-330-300",'2025'!$F$4="CA",'2025'!$F$2=AM81),'2025DATA'!$J$7,"")</f>
        <v/>
      </c>
      <c r="AN86" s="518" t="str">
        <f>IF(AND(_A2="A-330-300",'2025'!$F$4="CA",'2025'!$F$2=AN81),'2025DATA'!$K$7,"")</f>
        <v/>
      </c>
      <c r="AO86" s="518" t="str">
        <f>IF(AND(_A2="A-330-300",'2025'!$F$4="CA",'2025'!$F$2=AO81),'2025DATA'!$L$7,"")</f>
        <v/>
      </c>
      <c r="AP86" s="518" t="str">
        <f>IF(AND(_A2="A-330-300",'2025'!$F$4="CA",'2025'!$F$2=AP81),'2025DATA'!$M$7,"")</f>
        <v/>
      </c>
      <c r="AQ86" s="520" t="str">
        <f>IF(AND(_A2="A-330-300",'2025'!$F$4="CA",'2025'!$F$2=AQ81),'2025DATA'!$N$7,"")</f>
        <v/>
      </c>
      <c r="AR86" s="940" t="s">
        <v>64</v>
      </c>
      <c r="AS86" s="13" t="s">
        <v>61</v>
      </c>
      <c r="AT86" s="518" t="str">
        <f>IF(AND(_A3="A-330-300",'2025'!$F$4="CA",'2025'!$F$2=AT81),'2025DATA'!$C$7,"")</f>
        <v/>
      </c>
      <c r="AU86" s="518" t="str">
        <f>IF(AND(_A3="A-330-300",'2025'!$F$4="CA",'2025'!$F$2=AU81),'2025DATA'!$D$7,"")</f>
        <v/>
      </c>
      <c r="AV86" s="518" t="str">
        <f>IF(AND(_A3="A-330-300",'2025'!$F$4="CA",'2025'!$F$2=AV81),'2025DATA'!$E$7,"")</f>
        <v/>
      </c>
      <c r="AW86" s="518" t="str">
        <f>IF(AND(_A3="A-330-300",'2025'!$F$4="CA",'2025'!$F$2=AW81),'2025DATA'!$F$7,"")</f>
        <v/>
      </c>
      <c r="AX86" s="518" t="str">
        <f>IF(AND(_A3="A-330-300",'2025'!$F$4="CA",'2025'!$F$2=AX81),'2025DATA'!$G$7,"")</f>
        <v/>
      </c>
      <c r="AY86" s="518" t="str">
        <f>IF(AND(_A3="A-330-300",'2025'!$F$4="CA",'2025'!$F$2=AY81),'2025DATA'!$H$7,"")</f>
        <v/>
      </c>
      <c r="AZ86" s="518" t="str">
        <f>IF(AND(_A3="A-330-300",'2025'!$F$4="CA",'2025'!$F$2=AZ81),'2025DATA'!$I$7,"")</f>
        <v/>
      </c>
      <c r="BA86" s="518" t="str">
        <f>IF(AND(_A3="A-330-300",'2025'!$F$4="CA",'2025'!$F$2=BA81),'2025DATA'!$J$7,"")</f>
        <v/>
      </c>
      <c r="BB86" s="518" t="str">
        <f>IF(AND(_A3="A-330-300",'2025'!$F$4="CA",'2025'!$F$2=BB81),'2025DATA'!$K$7,"")</f>
        <v/>
      </c>
      <c r="BC86" s="518" t="str">
        <f>IF(AND(_A3="A-330-300",'2025'!$F$4="CA",'2025'!$F$2=BC81),'2025DATA'!$L$7,"")</f>
        <v/>
      </c>
      <c r="BD86" s="518" t="str">
        <f>IF(AND(_A3="A-330-300",'2025'!$F$4="CA",'2025'!$F$2=BD81),'2025DATA'!$M$7,"")</f>
        <v/>
      </c>
      <c r="BE86" s="520" t="str">
        <f>IF(AND(_A3="A-330-300",'2025'!$F$4="CA",'2025'!$F$2=BE81),'2025DATA'!$N$7,"")</f>
        <v/>
      </c>
      <c r="BF86" s="940" t="s">
        <v>64</v>
      </c>
      <c r="BG86" s="13" t="s">
        <v>61</v>
      </c>
      <c r="BH86" s="518" t="str">
        <f>IF(AND(_A4="A-330-300",'2025'!$F$4="CA",'2025'!$F$2=BH81),'2025DATA'!$C$7,"")</f>
        <v/>
      </c>
      <c r="BI86" s="518" t="str">
        <f>IF(AND(_A4="A-330-300",'2025'!$F$4="CA",'2025'!$F$2=BI81),'2025DATA'!$D$7,"")</f>
        <v/>
      </c>
      <c r="BJ86" s="518" t="str">
        <f>IF(AND(_A4="A-330-300",'2025'!$F$4="CA",'2025'!$F$2=BJ81),'2025DATA'!$E$7,"")</f>
        <v/>
      </c>
      <c r="BK86" s="518" t="str">
        <f>IF(AND(_A4="A-330-300",'2025'!$F$4="CA",'2025'!$F$2=BK81),'2025DATA'!$F$7,"")</f>
        <v/>
      </c>
      <c r="BL86" s="518" t="str">
        <f>IF(AND(_A4="A-330-300",'2025'!$F$4="CA",'2025'!$F$2=BL81),'2025DATA'!$G$7,"")</f>
        <v/>
      </c>
      <c r="BM86" s="518" t="str">
        <f>IF(AND(_A4="A-330-300",'2025'!$F$4="CA",'2025'!$F$2=BM81),'2025DATA'!$H$7,"")</f>
        <v/>
      </c>
      <c r="BN86" s="518" t="str">
        <f>IF(AND(_A4="A-330-300",'2025'!$F$4="CA",'2025'!$F$2=BN81),'2025DATA'!$I$7,"")</f>
        <v/>
      </c>
      <c r="BO86" s="518" t="str">
        <f>IF(AND(_A4="A-330-300",'2025'!$F$4="CA",'2025'!$F$2=BO81),'2025DATA'!$J$7,"")</f>
        <v/>
      </c>
      <c r="BP86" s="518" t="str">
        <f>IF(AND(_A4="A-330-300",'2025'!$F$4="CA",'2025'!$F$2=BP81),'2025DATA'!$K$7,"")</f>
        <v/>
      </c>
      <c r="BQ86" s="518" t="str">
        <f>IF(AND(_A4="A-330-300",'2025'!$F$4="CA",'2025'!$F$2=BQ81),'2025DATA'!$L$7,"")</f>
        <v/>
      </c>
      <c r="BR86" s="518" t="str">
        <f>IF(AND(_A4="A-330-300",'2025'!$F$4="CA",'2025'!$F$2=BR81),'2025DATA'!$M$7,"")</f>
        <v/>
      </c>
      <c r="BS86" s="520" t="str">
        <f>IF(AND(_A4="A-330-300",'2025'!$F$4="CA",'2025'!$F$2=BS81),'2025DATA'!$N$7,"")</f>
        <v/>
      </c>
      <c r="BT86" s="940" t="s">
        <v>64</v>
      </c>
      <c r="BU86" s="13" t="s">
        <v>61</v>
      </c>
      <c r="BV86" s="518" t="str">
        <f>IF(AND(_A5="A-330-300",'2025'!$F$4="CA",'2025'!$F$2=BV81),'2025DATA'!$C$7,"")</f>
        <v/>
      </c>
      <c r="BW86" s="518" t="str">
        <f>IF(AND(_A5="A-330-300",'2025'!$F$4="CA",'2025'!$F$2=BW81),'2025DATA'!$D$7,"")</f>
        <v/>
      </c>
      <c r="BX86" s="518" t="str">
        <f>IF(AND(_A5="A-330-300",'2025'!$F$4="CA",'2025'!$F$2=BX81),'2025DATA'!$E$7,"")</f>
        <v/>
      </c>
      <c r="BY86" s="518" t="str">
        <f>IF(AND(_A5="A-330-300",'2025'!$F$4="CA",'2025'!$F$2=BY81),'2025DATA'!$F$7,"")</f>
        <v/>
      </c>
      <c r="BZ86" s="518" t="str">
        <f>IF(AND(_A5="A-330-300",'2025'!$F$4="CA",'2025'!$F$2=BZ81),'2025DATA'!$G$7,"")</f>
        <v/>
      </c>
      <c r="CA86" s="518" t="str">
        <f>IF(AND(_A5="A-330-300",'2025'!$F$4="CA",'2025'!$F$2=CA81),'2025DATA'!$H$7,"")</f>
        <v/>
      </c>
      <c r="CB86" s="518" t="str">
        <f>IF(AND(_A5="A-330-300",'2025'!$F$4="CA",'2025'!$F$2=CB81),'2025DATA'!$I$7,"")</f>
        <v/>
      </c>
      <c r="CC86" s="518" t="str">
        <f>IF(AND(_A5="A-330-300",'2025'!$F$4="CA",'2025'!$F$2=CC81),'2025DATA'!$J$7,"")</f>
        <v/>
      </c>
      <c r="CD86" s="518" t="str">
        <f>IF(AND(_A5="A-330-300",'2025'!$F$4="CA",'2025'!$F$2=CD81),'2025DATA'!$K$7,"")</f>
        <v/>
      </c>
      <c r="CE86" s="518" t="str">
        <f>IF(AND(_A5="A-330-300",'2025'!$F$4="CA",'2025'!$F$2=CE81),'2025DATA'!$L$7,"")</f>
        <v/>
      </c>
      <c r="CF86" s="518" t="str">
        <f>IF(AND(_A5="A-330-300",'2025'!$F$4="CA",'2025'!$F$2=CF81),'2025DATA'!$M$7,"")</f>
        <v/>
      </c>
      <c r="CG86" s="520" t="str">
        <f>IF(AND(_A5="A-330-300",'2025'!$F$4="CA",'2025'!$F$2=CG81),'2025DATA'!$N$7,"")</f>
        <v/>
      </c>
      <c r="CH86" s="940" t="s">
        <v>64</v>
      </c>
      <c r="CI86" s="13" t="s">
        <v>61</v>
      </c>
      <c r="CJ86" s="518" t="str">
        <f>IF(AND(_A6="A-330-300",'2025'!$F$4="CA",'2025'!$F$2=CJ81),'2025DATA'!$C$7,"")</f>
        <v/>
      </c>
      <c r="CK86" s="518" t="str">
        <f>IF(AND(_A6="A-330-300",'2025'!$F$4="CA",'2025'!$F$2=CK81),'2025DATA'!$D$7,"")</f>
        <v/>
      </c>
      <c r="CL86" s="518" t="str">
        <f>IF(AND(_A6="A-330-300",'2025'!$F$4="CA",'2025'!$F$2=CL81),'2025DATA'!$E$7,"")</f>
        <v/>
      </c>
      <c r="CM86" s="518" t="str">
        <f>IF(AND(_A6="A-330-300",'2025'!$F$4="CA",'2025'!$F$2=CM81),'2025DATA'!$F$7,"")</f>
        <v/>
      </c>
      <c r="CN86" s="518" t="str">
        <f>IF(AND(_A6="A-330-300",'2025'!$F$4="CA",'2025'!$F$2=CN81),'2025DATA'!$G$7,"")</f>
        <v/>
      </c>
      <c r="CO86" s="518" t="str">
        <f>IF(AND(_A6="A-330-300",'2025'!$F$4="CA",'2025'!$F$2=CO81),'2025DATA'!$H$7,"")</f>
        <v/>
      </c>
      <c r="CP86" s="518" t="str">
        <f>IF(AND(_A6="A-330-300",'2025'!$F$4="CA",'2025'!$F$2=CP81),'2025DATA'!$I$7,"")</f>
        <v/>
      </c>
      <c r="CQ86" s="518" t="str">
        <f>IF(AND(_A6="A-330-300",'2025'!$F$4="CA",'2025'!$F$2=CQ81),'2025DATA'!$J$7,"")</f>
        <v/>
      </c>
      <c r="CR86" s="518" t="str">
        <f>IF(AND(_A6="A-330-300",'2025'!$F$4="CA",'2025'!$F$2=CR81),'2025DATA'!$K$7,"")</f>
        <v/>
      </c>
      <c r="CS86" s="518" t="str">
        <f>IF(AND(_A6="A-330-300",'2025'!$F$4="CA",'2025'!$F$2=CS81),'2025DATA'!$L$7,"")</f>
        <v/>
      </c>
      <c r="CT86" s="518" t="str">
        <f>IF(AND(_A6="A-330-300",'2025'!$F$4="CA",'2025'!$F$2=CT81),'2025DATA'!$M$7,"")</f>
        <v/>
      </c>
      <c r="CU86" s="520" t="str">
        <f>IF(AND(_A6="A-330-300",'2025'!$F$4="CA",'2025'!$F$2=CU81),'2025DATA'!$N$7,"")</f>
        <v/>
      </c>
    </row>
    <row r="87" spans="16:99" x14ac:dyDescent="0.25">
      <c r="P87" s="940"/>
      <c r="Q87" s="13" t="s">
        <v>62</v>
      </c>
      <c r="R87" s="518" t="str">
        <f>IF(AND(_A1="A-330-300",'2025'!$F$4="FO",'2025'!$F$2=R81),'2025DATA'!$C$8,"")</f>
        <v/>
      </c>
      <c r="S87" s="518" t="str">
        <f>IF(AND(_A1="A-330-300",'2025'!$F$4="FO",'2025'!$F$2=S81),'2025DATA'!$D$8,"")</f>
        <v/>
      </c>
      <c r="T87" s="518" t="str">
        <f>IF(AND(_A1="A-330-300",'2025'!$F$4="FO",'2025'!$F$2=T81),'2025DATA'!$E$8,"")</f>
        <v/>
      </c>
      <c r="U87" s="518" t="str">
        <f>IF(AND(_A1="A-330-300",'2025'!$F$4="FO",'2025'!$F$2=U81),'2025DATA'!$F$8,"")</f>
        <v/>
      </c>
      <c r="V87" s="518" t="str">
        <f>IF(AND(_A1="A-330-300",'2025'!$F$4="FO",'2025'!$F$2=V81),'2025DATA'!$G$8,"")</f>
        <v/>
      </c>
      <c r="W87" s="518" t="str">
        <f>IF(AND(_A1="A-330-300",'2025'!$F$4="FO",'2025'!$F$2=W81),'2025DATA'!$H$8,"")</f>
        <v/>
      </c>
      <c r="X87" s="518" t="str">
        <f>IF(AND(_A1="A-330-300",'2025'!$F$4="FO",'2025'!$F$2=X81),'2025DATA'!$I$8,"")</f>
        <v/>
      </c>
      <c r="Y87" s="518" t="str">
        <f>IF(AND(_A1="A-330-300",'2025'!$F$4="FO",'2025'!$F$2=Y81),'2025DATA'!$J$8,"")</f>
        <v/>
      </c>
      <c r="Z87" s="518" t="str">
        <f>IF(AND(_A1="A-330-300",'2025'!$F$4="FO",'2025'!$F$2=Z81),'2025DATA'!$K$8,"")</f>
        <v/>
      </c>
      <c r="AA87" s="518" t="str">
        <f>IF(AND(_A1="A-330-300",'2025'!$F$4="FO",'2025'!$F$2=AA81),'2025DATA'!$L$8,"")</f>
        <v/>
      </c>
      <c r="AB87" s="518" t="str">
        <f>IF(AND(_A1="A-330-300",'2025'!$F$4="FO",'2025'!$F$2=AB81),'2025DATA'!$M$8,"")</f>
        <v/>
      </c>
      <c r="AC87" s="520" t="str">
        <f>IF(AND(_A1="A-330-300",'2025'!$F$4="FO",'2025'!$F$2=AC81),'2025DATA'!$N$8,"")</f>
        <v/>
      </c>
      <c r="AD87" s="940"/>
      <c r="AE87" s="13" t="s">
        <v>62</v>
      </c>
      <c r="AF87" s="518" t="str">
        <f>IF(AND(_A2="A-330-300",'2025'!$F$4="FO",'2025'!$F$2=AF81),'2025DATA'!$C$8,"")</f>
        <v/>
      </c>
      <c r="AG87" s="518" t="str">
        <f>IF(AND(_A2="A-330-300",'2025'!$F$4="FO",'2025'!$F$2=AG81),'2025DATA'!$D$8,"")</f>
        <v/>
      </c>
      <c r="AH87" s="518" t="str">
        <f>IF(AND(_A2="A-330-300",'2025'!$F$4="FO",'2025'!$F$2=AH81),'2025DATA'!$E$8,"")</f>
        <v/>
      </c>
      <c r="AI87" s="518" t="str">
        <f>IF(AND(_A2="A-330-300",'2025'!$F$4="FO",'2025'!$F$2=AI81),'2025DATA'!$F$8,"")</f>
        <v/>
      </c>
      <c r="AJ87" s="518" t="str">
        <f>IF(AND(_A2="A-330-300",'2025'!$F$4="FO",'2025'!$F$2=AJ81),'2025DATA'!$G$8,"")</f>
        <v/>
      </c>
      <c r="AK87" s="518" t="str">
        <f>IF(AND(_A2="A-330-300",'2025'!$F$4="FO",'2025'!$F$2=AK81),'2025DATA'!$H$8,"")</f>
        <v/>
      </c>
      <c r="AL87" s="518" t="str">
        <f>IF(AND(_A2="A-330-300",'2025'!$F$4="FO",'2025'!$F$2=AL81),'2025DATA'!$I$8,"")</f>
        <v/>
      </c>
      <c r="AM87" s="518" t="str">
        <f>IF(AND(_A2="A-330-300",'2025'!$F$4="FO",'2025'!$F$2=AM81),'2025DATA'!$J$8,"")</f>
        <v/>
      </c>
      <c r="AN87" s="518" t="str">
        <f>IF(AND(_A2="A-330-300",'2025'!$F$4="FO",'2025'!$F$2=AN81),'2025DATA'!$K$8,"")</f>
        <v/>
      </c>
      <c r="AO87" s="518" t="str">
        <f>IF(AND(_A2="A-330-300",'2025'!$F$4="FO",'2025'!$F$2=AO81),'2025DATA'!$L$8,"")</f>
        <v/>
      </c>
      <c r="AP87" s="518" t="str">
        <f>IF(AND(_A2="A-330-300",'2025'!$F$4="FO",'2025'!$F$2=AP81),'2025DATA'!$M$8,"")</f>
        <v/>
      </c>
      <c r="AQ87" s="520" t="str">
        <f>IF(AND(_A2="A-330-300",'2025'!$F$4="FO",'2025'!$F$2=AQ81),'2025DATA'!$N$8,"")</f>
        <v/>
      </c>
      <c r="AR87" s="940"/>
      <c r="AS87" s="13" t="s">
        <v>62</v>
      </c>
      <c r="AT87" s="518" t="str">
        <f>IF(AND(_A3="A-330-300",'2025'!$F$4="FO",'2025'!$F$2=AT81),'2025DATA'!$C$8,"")</f>
        <v/>
      </c>
      <c r="AU87" s="518" t="str">
        <f>IF(AND(_A3="A-330-300",'2025'!$F$4="FO",'2025'!$F$2=AU81),'2025DATA'!$D$8,"")</f>
        <v/>
      </c>
      <c r="AV87" s="518" t="str">
        <f>IF(AND(_A3="A-330-300",'2025'!$F$4="FO",'2025'!$F$2=AV81),'2025DATA'!$E$8,"")</f>
        <v/>
      </c>
      <c r="AW87" s="518" t="str">
        <f>IF(AND(_A3="A-330-300",'2025'!$F$4="FO",'2025'!$F$2=AW81),'2025DATA'!$F$8,"")</f>
        <v/>
      </c>
      <c r="AX87" s="518" t="str">
        <f>IF(AND(_A3="A-330-300",'2025'!$F$4="FO",'2025'!$F$2=AX81),'2025DATA'!$G$8,"")</f>
        <v/>
      </c>
      <c r="AY87" s="518" t="str">
        <f>IF(AND(_A3="A-330-300",'2025'!$F$4="FO",'2025'!$F$2=AY81),'2025DATA'!$H$8,"")</f>
        <v/>
      </c>
      <c r="AZ87" s="518" t="str">
        <f>IF(AND(_A3="A-330-300",'2025'!$F$4="FO",'2025'!$F$2=AZ81),'2025DATA'!$I$8,"")</f>
        <v/>
      </c>
      <c r="BA87" s="518" t="str">
        <f>IF(AND(_A3="A-330-300",'2025'!$F$4="FO",'2025'!$F$2=BA81),'2025DATA'!$J$8,"")</f>
        <v/>
      </c>
      <c r="BB87" s="518" t="str">
        <f>IF(AND(_A3="A-330-300",'2025'!$F$4="FO",'2025'!$F$2=BB81),'2025DATA'!$K$8,"")</f>
        <v/>
      </c>
      <c r="BC87" s="518" t="str">
        <f>IF(AND(_A3="A-330-300",'2025'!$F$4="FO",'2025'!$F$2=BC81),'2025DATA'!$L$8,"")</f>
        <v/>
      </c>
      <c r="BD87" s="518" t="str">
        <f>IF(AND(_A3="A-330-300",'2025'!$F$4="FO",'2025'!$F$2=BD81),'2025DATA'!$M$8,"")</f>
        <v/>
      </c>
      <c r="BE87" s="520" t="str">
        <f>IF(AND(_A3="A-330-300",'2025'!$F$4="FO",'2025'!$F$2=BE81),'2025DATA'!$N$8,"")</f>
        <v/>
      </c>
      <c r="BF87" s="940"/>
      <c r="BG87" s="13" t="s">
        <v>62</v>
      </c>
      <c r="BH87" s="518" t="str">
        <f>IF(AND(_A4="A-330-300",'2025'!$F$4="FO",'2025'!$F$2=BH81),'2025DATA'!$C$8,"")</f>
        <v/>
      </c>
      <c r="BI87" s="518" t="str">
        <f>IF(AND(_A4="A-330-300",'2025'!$F$4="FO",'2025'!$F$2=BI81),'2025DATA'!$D$8,"")</f>
        <v/>
      </c>
      <c r="BJ87" s="518" t="str">
        <f>IF(AND(_A4="A-330-300",'2025'!$F$4="FO",'2025'!$F$2=BJ81),'2025DATA'!$E$8,"")</f>
        <v/>
      </c>
      <c r="BK87" s="518" t="str">
        <f>IF(AND(_A4="A-330-300",'2025'!$F$4="FO",'2025'!$F$2=BK81),'2025DATA'!$F$8,"")</f>
        <v/>
      </c>
      <c r="BL87" s="518" t="str">
        <f>IF(AND(_A4="A-330-300",'2025'!$F$4="FO",'2025'!$F$2=BL81),'2025DATA'!$G$8,"")</f>
        <v/>
      </c>
      <c r="BM87" s="518" t="str">
        <f>IF(AND(_A4="A-330-300",'2025'!$F$4="FO",'2025'!$F$2=BM81),'2025DATA'!$H$8,"")</f>
        <v/>
      </c>
      <c r="BN87" s="518" t="str">
        <f>IF(AND(_A4="A-330-300",'2025'!$F$4="FO",'2025'!$F$2=BN81),'2025DATA'!$I$8,"")</f>
        <v/>
      </c>
      <c r="BO87" s="518" t="str">
        <f>IF(AND(_A4="A-330-300",'2025'!$F$4="FO",'2025'!$F$2=BO81),'2025DATA'!$J$8,"")</f>
        <v/>
      </c>
      <c r="BP87" s="518" t="str">
        <f>IF(AND(_A4="A-330-300",'2025'!$F$4="FO",'2025'!$F$2=BP81),'2025DATA'!$K$8,"")</f>
        <v/>
      </c>
      <c r="BQ87" s="518" t="str">
        <f>IF(AND(_A4="A-330-300",'2025'!$F$4="FO",'2025'!$F$2=BQ81),'2025DATA'!$L$8,"")</f>
        <v/>
      </c>
      <c r="BR87" s="518" t="str">
        <f>IF(AND(_A4="A-330-300",'2025'!$F$4="FO",'2025'!$F$2=BR81),'2025DATA'!$M$8,"")</f>
        <v/>
      </c>
      <c r="BS87" s="520" t="str">
        <f>IF(AND(_A4="A-330-300",'2025'!$F$4="FO",'2025'!$F$2=BS81),'2025DATA'!$N$8,"")</f>
        <v/>
      </c>
      <c r="BT87" s="940"/>
      <c r="BU87" s="13" t="s">
        <v>62</v>
      </c>
      <c r="BV87" s="518" t="str">
        <f>IF(AND(_A5="A-330-300",'2025'!$F$4="FO",'2025'!$F$2=BV81),'2025DATA'!$C$8,"")</f>
        <v/>
      </c>
      <c r="BW87" s="518" t="str">
        <f>IF(AND(_A5="A-330-300",'2025'!$F$4="FO",'2025'!$F$2=BW81),'2025DATA'!$D$8,"")</f>
        <v/>
      </c>
      <c r="BX87" s="518" t="str">
        <f>IF(AND(_A5="A-330-300",'2025'!$F$4="FO",'2025'!$F$2=BX81),'2025DATA'!$E$8,"")</f>
        <v/>
      </c>
      <c r="BY87" s="518" t="str">
        <f>IF(AND(_A5="A-330-300",'2025'!$F$4="FO",'2025'!$F$2=BY81),'2025DATA'!$F$8,"")</f>
        <v/>
      </c>
      <c r="BZ87" s="518" t="str">
        <f>IF(AND(_A5="A-330-300",'2025'!$F$4="FO",'2025'!$F$2=BZ81),'2025DATA'!$G$8,"")</f>
        <v/>
      </c>
      <c r="CA87" s="518" t="str">
        <f>IF(AND(_A5="A-330-300",'2025'!$F$4="FO",'2025'!$F$2=CA81),'2025DATA'!$H$8,"")</f>
        <v/>
      </c>
      <c r="CB87" s="518" t="str">
        <f>IF(AND(_A5="A-330-300",'2025'!$F$4="FO",'2025'!$F$2=CB81),'2025DATA'!$I$8,"")</f>
        <v/>
      </c>
      <c r="CC87" s="518" t="str">
        <f>IF(AND(_A5="A-330-300",'2025'!$F$4="FO",'2025'!$F$2=CC81),'2025DATA'!$J$8,"")</f>
        <v/>
      </c>
      <c r="CD87" s="518" t="str">
        <f>IF(AND(_A5="A-330-300",'2025'!$F$4="FO",'2025'!$F$2=CD81),'2025DATA'!$K$8,"")</f>
        <v/>
      </c>
      <c r="CE87" s="518" t="str">
        <f>IF(AND(_A5="A-330-300",'2025'!$F$4="FO",'2025'!$F$2=CE81),'2025DATA'!$L$8,"")</f>
        <v/>
      </c>
      <c r="CF87" s="518" t="str">
        <f>IF(AND(_A5="A-330-300",'2025'!$F$4="FO",'2025'!$F$2=CF81),'2025DATA'!$M$8,"")</f>
        <v/>
      </c>
      <c r="CG87" s="520" t="str">
        <f>IF(AND(_A5="A-330-300",'2025'!$F$4="FO",'2025'!$F$2=CG81),'2025DATA'!$N$8,"")</f>
        <v/>
      </c>
      <c r="CH87" s="940"/>
      <c r="CI87" s="13" t="s">
        <v>62</v>
      </c>
      <c r="CJ87" s="518" t="str">
        <f>IF(AND(_A6="A-330-300",'2025'!$F$4="FO",'2025'!$F$2=CJ81),'2025DATA'!$C$8,"")</f>
        <v/>
      </c>
      <c r="CK87" s="518" t="str">
        <f>IF(AND(_A6="A-330-300",'2025'!$F$4="FO",'2025'!$F$2=CK81),'2025DATA'!$D$8,"")</f>
        <v/>
      </c>
      <c r="CL87" s="518" t="str">
        <f>IF(AND(_A6="A-330-300",'2025'!$F$4="FO",'2025'!$F$2=CL81),'2025DATA'!$E$8,"")</f>
        <v/>
      </c>
      <c r="CM87" s="518" t="str">
        <f>IF(AND(_A6="A-330-300",'2025'!$F$4="FO",'2025'!$F$2=CM81),'2025DATA'!$F$8,"")</f>
        <v/>
      </c>
      <c r="CN87" s="518" t="str">
        <f>IF(AND(_A6="A-330-300",'2025'!$F$4="FO",'2025'!$F$2=CN81),'2025DATA'!$G$8,"")</f>
        <v/>
      </c>
      <c r="CO87" s="518" t="str">
        <f>IF(AND(_A6="A-330-300",'2025'!$F$4="FO",'2025'!$F$2=CO81),'2025DATA'!$H$8,"")</f>
        <v/>
      </c>
      <c r="CP87" s="518" t="str">
        <f>IF(AND(_A6="A-330-300",'2025'!$F$4="FO",'2025'!$F$2=CP81),'2025DATA'!$I$8,"")</f>
        <v/>
      </c>
      <c r="CQ87" s="518" t="str">
        <f>IF(AND(_A6="A-330-300",'2025'!$F$4="FO",'2025'!$F$2=CQ81),'2025DATA'!$J$8,"")</f>
        <v/>
      </c>
      <c r="CR87" s="518" t="str">
        <f>IF(AND(_A6="A-330-300",'2025'!$F$4="FO",'2025'!$F$2=CR81),'2025DATA'!$K$8,"")</f>
        <v/>
      </c>
      <c r="CS87" s="518" t="str">
        <f>IF(AND(_A6="A-330-300",'2025'!$F$4="FO",'2025'!$F$2=CS81),'2025DATA'!$L$8,"")</f>
        <v/>
      </c>
      <c r="CT87" s="518" t="str">
        <f>IF(AND(_A6="A-330-300",'2025'!$F$4="FO",'2025'!$F$2=CT81),'2025DATA'!$M$8,"")</f>
        <v/>
      </c>
      <c r="CU87" s="520" t="str">
        <f>IF(AND(_A6="A-330-300",'2025'!$F$4="FO",'2025'!$F$2=CU81),'2025DATA'!$N$8,"")</f>
        <v/>
      </c>
    </row>
    <row r="88" spans="16:99" x14ac:dyDescent="0.25">
      <c r="P88" s="940" t="s">
        <v>66</v>
      </c>
      <c r="Q88" s="13" t="s">
        <v>61</v>
      </c>
      <c r="R88" s="518" t="str">
        <f>IF(AND(_A1="A-330-200",'2025'!$F$4="CA",'2025'!$F$2=R81),'2025DATA'!$C$9,"")</f>
        <v/>
      </c>
      <c r="S88" s="518" t="str">
        <f>IF(AND(_A1="A-330-200",'2025'!$F$4="CA",'2025'!$F$2=S81),'2025DATA'!$D$9,"")</f>
        <v/>
      </c>
      <c r="T88" s="518" t="str">
        <f>IF(AND(_A1="A-330-200",'2025'!$F$4="CA",'2025'!$F$2=T81),'2025DATA'!$E$9,"")</f>
        <v/>
      </c>
      <c r="U88" s="518" t="str">
        <f>IF(AND(_A1="A-330-200",'2025'!$F$4="CA",'2025'!$F$2=U81),'2025DATA'!$F$9,"")</f>
        <v/>
      </c>
      <c r="V88" s="518" t="str">
        <f>IF(AND(_A1="A-330-200",'2025'!$F$4="CA",'2025'!$F$2=V81),'2025DATA'!$G$9,"")</f>
        <v/>
      </c>
      <c r="W88" s="518" t="str">
        <f>IF(AND(_A1="A-330-200",'2025'!$F$4="CA",'2025'!$F$2=W81),'2025DATA'!$H$9,"")</f>
        <v/>
      </c>
      <c r="X88" s="518" t="str">
        <f>IF(AND(_A1="A-330-200",'2025'!$F$4="CA",'2025'!$F$2=X81),'2025DATA'!$I$9,"")</f>
        <v/>
      </c>
      <c r="Y88" s="518" t="str">
        <f>IF(AND(_A1="A-330-200",'2025'!$F$4="CA",'2025'!$F$2=Y81),'2025DATA'!$J$9,"")</f>
        <v/>
      </c>
      <c r="Z88" s="518" t="str">
        <f>IF(AND(_A1="A-330-200",'2025'!$F$4="CA",'2025'!$F$2=Z81),'2025DATA'!$K$9,"")</f>
        <v/>
      </c>
      <c r="AA88" s="518" t="str">
        <f>IF(AND(_A1="A-330-200",'2025'!$F$4="CA",'2025'!$F$2=AA81),'2025DATA'!$L$9,"")</f>
        <v/>
      </c>
      <c r="AB88" s="518" t="str">
        <f>IF(AND(_A1="A-330-200",'2025'!$F$4="CA",'2025'!$F$2=AB81),'2025DATA'!$M$9,"")</f>
        <v/>
      </c>
      <c r="AC88" s="520" t="str">
        <f>IF(AND(_A1="A-330-200",'2025'!$F$4="CA",'2025'!$F$2=AC81),'2025DATA'!$N$9,"")</f>
        <v/>
      </c>
      <c r="AD88" s="940" t="s">
        <v>66</v>
      </c>
      <c r="AE88" s="13" t="s">
        <v>61</v>
      </c>
      <c r="AF88" s="518" t="str">
        <f>IF(AND(_A2="A-330-200",'2025'!$F$4="CA",'2025'!$F$2=AF81),'2025DATA'!$C$9,"")</f>
        <v/>
      </c>
      <c r="AG88" s="518" t="str">
        <f>IF(AND(_A2="A-330-200",'2025'!$F$4="CA",'2025'!$F$2=AG81),'2025DATA'!$D$9,"")</f>
        <v/>
      </c>
      <c r="AH88" s="518" t="str">
        <f>IF(AND(_A2="A-330-200",'2025'!$F$4="CA",'2025'!$F$2=AH81),'2025DATA'!$E$9,"")</f>
        <v/>
      </c>
      <c r="AI88" s="518" t="str">
        <f>IF(AND(_A2="A-330-200",'2025'!$F$4="CA",'2025'!$F$2=AI81),'2025DATA'!$F$9,"")</f>
        <v/>
      </c>
      <c r="AJ88" s="518" t="str">
        <f>IF(AND(_A2="A-330-200",'2025'!$F$4="CA",'2025'!$F$2=AJ81),'2025DATA'!$G$9,"")</f>
        <v/>
      </c>
      <c r="AK88" s="518" t="str">
        <f>IF(AND(_A2="A-330-200",'2025'!$F$4="CA",'2025'!$F$2=AK81),'2025DATA'!$H$9,"")</f>
        <v/>
      </c>
      <c r="AL88" s="518" t="str">
        <f>IF(AND(_A2="A-330-200",'2025'!$F$4="CA",'2025'!$F$2=AL81),'2025DATA'!$I$9,"")</f>
        <v/>
      </c>
      <c r="AM88" s="518" t="str">
        <f>IF(AND(_A2="A-330-200",'2025'!$F$4="CA",'2025'!$F$2=AM81),'2025DATA'!$J$9,"")</f>
        <v/>
      </c>
      <c r="AN88" s="518" t="str">
        <f>IF(AND(_A2="A-330-200",'2025'!$F$4="CA",'2025'!$F$2=AN81),'2025DATA'!$K$9,"")</f>
        <v/>
      </c>
      <c r="AO88" s="518" t="str">
        <f>IF(AND(_A2="A-330-200",'2025'!$F$4="CA",'2025'!$F$2=AO81),'2025DATA'!$L$9,"")</f>
        <v/>
      </c>
      <c r="AP88" s="518" t="str">
        <f>IF(AND(_A2="A-330-200",'2025'!$F$4="CA",'2025'!$F$2=AP81),'2025DATA'!$M$9,"")</f>
        <v/>
      </c>
      <c r="AQ88" s="520" t="str">
        <f>IF(AND(_A2="A-330-200",'2025'!$F$4="CA",'2025'!$F$2=AQ81),'2025DATA'!$N$9,"")</f>
        <v/>
      </c>
      <c r="AR88" s="940" t="s">
        <v>66</v>
      </c>
      <c r="AS88" s="13" t="s">
        <v>61</v>
      </c>
      <c r="AT88" s="518" t="str">
        <f>IF(AND(_A3="A-330-200",'2025'!$F$4="CA",'2025'!$F$2=AT81),'2025DATA'!$C$9,"")</f>
        <v/>
      </c>
      <c r="AU88" s="518" t="str">
        <f>IF(AND(_A3="A-330-200",'2025'!$F$4="CA",'2025'!$F$2=AU81),'2025DATA'!$D$9,"")</f>
        <v/>
      </c>
      <c r="AV88" s="518" t="str">
        <f>IF(AND(_A3="A-330-200",'2025'!$F$4="CA",'2025'!$F$2=AV81),'2025DATA'!$E$9,"")</f>
        <v/>
      </c>
      <c r="AW88" s="518" t="str">
        <f>IF(AND(_A3="A-330-200",'2025'!$F$4="CA",'2025'!$F$2=AW81),'2025DATA'!$F$9,"")</f>
        <v/>
      </c>
      <c r="AX88" s="518" t="str">
        <f>IF(AND(_A3="A-330-200",'2025'!$F$4="CA",'2025'!$F$2=AX81),'2025DATA'!$G$9,"")</f>
        <v/>
      </c>
      <c r="AY88" s="518" t="str">
        <f>IF(AND(_A3="A-330-200",'2025'!$F$4="CA",'2025'!$F$2=AY81),'2025DATA'!$H$9,"")</f>
        <v/>
      </c>
      <c r="AZ88" s="518" t="str">
        <f>IF(AND(_A3="A-330-200",'2025'!$F$4="CA",'2025'!$F$2=AZ81),'2025DATA'!$I$9,"")</f>
        <v/>
      </c>
      <c r="BA88" s="518" t="str">
        <f>IF(AND(_A3="A-330-200",'2025'!$F$4="CA",'2025'!$F$2=BA81),'2025DATA'!$J$9,"")</f>
        <v/>
      </c>
      <c r="BB88" s="518" t="str">
        <f>IF(AND(_A3="A-330-200",'2025'!$F$4="CA",'2025'!$F$2=BB81),'2025DATA'!$K$9,"")</f>
        <v/>
      </c>
      <c r="BC88" s="518" t="str">
        <f>IF(AND(_A3="A-330-200",'2025'!$F$4="CA",'2025'!$F$2=BC81),'2025DATA'!$L$9,"")</f>
        <v/>
      </c>
      <c r="BD88" s="518" t="str">
        <f>IF(AND(_A3="A-330-200",'2025'!$F$4="CA",'2025'!$F$2=BD81),'2025DATA'!$M$9,"")</f>
        <v/>
      </c>
      <c r="BE88" s="520" t="str">
        <f>IF(AND(_A3="A-330-200",'2025'!$F$4="CA",'2025'!$F$2=BE81),'2025DATA'!$N$9,"")</f>
        <v/>
      </c>
      <c r="BF88" s="940" t="s">
        <v>66</v>
      </c>
      <c r="BG88" s="13" t="s">
        <v>61</v>
      </c>
      <c r="BH88" s="518" t="str">
        <f>IF(AND(_A4="A-330-200",'2025'!$F$4="CA",'2025'!$F$2=BH81),'2025DATA'!$C$9,"")</f>
        <v/>
      </c>
      <c r="BI88" s="518" t="str">
        <f>IF(AND(_A4="A-330-200",'2025'!$F$4="CA",'2025'!$F$2=BI81),'2025DATA'!$D$9,"")</f>
        <v/>
      </c>
      <c r="BJ88" s="518" t="str">
        <f>IF(AND(_A4="A-330-200",'2025'!$F$4="CA",'2025'!$F$2=BJ81),'2025DATA'!$E$9,"")</f>
        <v/>
      </c>
      <c r="BK88" s="518" t="str">
        <f>IF(AND(_A4="A-330-200",'2025'!$F$4="CA",'2025'!$F$2=BK81),'2025DATA'!$F$9,"")</f>
        <v/>
      </c>
      <c r="BL88" s="518" t="str">
        <f>IF(AND(_A4="A-330-200",'2025'!$F$4="CA",'2025'!$F$2=BL81),'2025DATA'!$G$9,"")</f>
        <v/>
      </c>
      <c r="BM88" s="518" t="str">
        <f>IF(AND(_A4="A-330-200",'2025'!$F$4="CA",'2025'!$F$2=BM81),'2025DATA'!$H$9,"")</f>
        <v/>
      </c>
      <c r="BN88" s="518" t="str">
        <f>IF(AND(_A4="A-330-200",'2025'!$F$4="CA",'2025'!$F$2=BN81),'2025DATA'!$I$9,"")</f>
        <v/>
      </c>
      <c r="BO88" s="518" t="str">
        <f>IF(AND(_A4="A-330-200",'2025'!$F$4="CA",'2025'!$F$2=BO81),'2025DATA'!$J$9,"")</f>
        <v/>
      </c>
      <c r="BP88" s="518" t="str">
        <f>IF(AND(_A4="A-330-200",'2025'!$F$4="CA",'2025'!$F$2=BP81),'2025DATA'!$K$9,"")</f>
        <v/>
      </c>
      <c r="BQ88" s="518" t="str">
        <f>IF(AND(_A4="A-330-200",'2025'!$F$4="CA",'2025'!$F$2=BQ81),'2025DATA'!$L$9,"")</f>
        <v/>
      </c>
      <c r="BR88" s="518" t="str">
        <f>IF(AND(_A4="A-330-200",'2025'!$F$4="CA",'2025'!$F$2=BR81),'2025DATA'!$M$9,"")</f>
        <v/>
      </c>
      <c r="BS88" s="520" t="str">
        <f>IF(AND(_A4="A-330-200",'2025'!$F$4="CA",'2025'!$F$2=BS81),'2025DATA'!$N$9,"")</f>
        <v/>
      </c>
      <c r="BT88" s="940" t="s">
        <v>66</v>
      </c>
      <c r="BU88" s="13" t="s">
        <v>61</v>
      </c>
      <c r="BV88" s="518" t="str">
        <f>IF(AND(_A5="A-330-200",'2025'!$F$4="CA",'2025'!$F$2=BV81),'2025DATA'!$C$9,"")</f>
        <v/>
      </c>
      <c r="BW88" s="518" t="str">
        <f>IF(AND(_A5="A-330-200",'2025'!$F$4="CA",'2025'!$F$2=BW81),'2025DATA'!$D$9,"")</f>
        <v/>
      </c>
      <c r="BX88" s="518" t="str">
        <f>IF(AND(_A5="A-330-200",'2025'!$F$4="CA",'2025'!$F$2=BX81),'2025DATA'!$E$9,"")</f>
        <v/>
      </c>
      <c r="BY88" s="518" t="str">
        <f>IF(AND(_A5="A-330-200",'2025'!$F$4="CA",'2025'!$F$2=BY81),'2025DATA'!$F$9,"")</f>
        <v/>
      </c>
      <c r="BZ88" s="518" t="str">
        <f>IF(AND(_A5="A-330-200",'2025'!$F$4="CA",'2025'!$F$2=BZ81),'2025DATA'!$G$9,"")</f>
        <v/>
      </c>
      <c r="CA88" s="518" t="str">
        <f>IF(AND(_A5="A-330-200",'2025'!$F$4="CA",'2025'!$F$2=CA81),'2025DATA'!$H$9,"")</f>
        <v/>
      </c>
      <c r="CB88" s="518" t="str">
        <f>IF(AND(_A5="A-330-200",'2025'!$F$4="CA",'2025'!$F$2=CB81),'2025DATA'!$I$9,"")</f>
        <v/>
      </c>
      <c r="CC88" s="518" t="str">
        <f>IF(AND(_A5="A-330-200",'2025'!$F$4="CA",'2025'!$F$2=CC81),'2025DATA'!$J$9,"")</f>
        <v/>
      </c>
      <c r="CD88" s="518" t="str">
        <f>IF(AND(_A5="A-330-200",'2025'!$F$4="CA",'2025'!$F$2=CD81),'2025DATA'!$K$9,"")</f>
        <v/>
      </c>
      <c r="CE88" s="518" t="str">
        <f>IF(AND(_A5="A-330-200",'2025'!$F$4="CA",'2025'!$F$2=CE81),'2025DATA'!$L$9,"")</f>
        <v/>
      </c>
      <c r="CF88" s="518" t="str">
        <f>IF(AND(_A5="A-330-200",'2025'!$F$4="CA",'2025'!$F$2=CF81),'2025DATA'!$M$9,"")</f>
        <v/>
      </c>
      <c r="CG88" s="520" t="str">
        <f>IF(AND(_A5="A-330-200",'2025'!$F$4="CA",'2025'!$F$2=CG81),'2025DATA'!$N$9,"")</f>
        <v/>
      </c>
      <c r="CH88" s="940" t="s">
        <v>66</v>
      </c>
      <c r="CI88" s="13" t="s">
        <v>61</v>
      </c>
      <c r="CJ88" s="518" t="str">
        <f>IF(AND(_A6="A-330-200",'2025'!$F$4="CA",'2025'!$F$2=CJ81),'2025DATA'!$C$9,"")</f>
        <v/>
      </c>
      <c r="CK88" s="518" t="str">
        <f>IF(AND(_A6="A-330-200",'2025'!$F$4="CA",'2025'!$F$2=CK81),'2025DATA'!$D$9,"")</f>
        <v/>
      </c>
      <c r="CL88" s="518" t="str">
        <f>IF(AND(_A6="A-330-200",'2025'!$F$4="CA",'2025'!$F$2=CL81),'2025DATA'!$E$9,"")</f>
        <v/>
      </c>
      <c r="CM88" s="518" t="str">
        <f>IF(AND(_A6="A-330-200",'2025'!$F$4="CA",'2025'!$F$2=CM81),'2025DATA'!$F$9,"")</f>
        <v/>
      </c>
      <c r="CN88" s="518" t="str">
        <f>IF(AND(_A6="A-330-200",'2025'!$F$4="CA",'2025'!$F$2=CN81),'2025DATA'!$G$9,"")</f>
        <v/>
      </c>
      <c r="CO88" s="518" t="str">
        <f>IF(AND(_A6="A-330-200",'2025'!$F$4="CA",'2025'!$F$2=CO81),'2025DATA'!$H$9,"")</f>
        <v/>
      </c>
      <c r="CP88" s="518" t="str">
        <f>IF(AND(_A6="A-330-200",'2025'!$F$4="CA",'2025'!$F$2=CP81),'2025DATA'!$I$9,"")</f>
        <v/>
      </c>
      <c r="CQ88" s="518" t="str">
        <f>IF(AND(_A6="A-330-200",'2025'!$F$4="CA",'2025'!$F$2=CQ81),'2025DATA'!$J$9,"")</f>
        <v/>
      </c>
      <c r="CR88" s="518" t="str">
        <f>IF(AND(_A6="A-330-200",'2025'!$F$4="CA",'2025'!$F$2=CR81),'2025DATA'!$K$9,"")</f>
        <v/>
      </c>
      <c r="CS88" s="518" t="str">
        <f>IF(AND(_A6="A-330-200",'2025'!$F$4="CA",'2025'!$F$2=CS81),'2025DATA'!$L$9,"")</f>
        <v/>
      </c>
      <c r="CT88" s="518" t="str">
        <f>IF(AND(_A6="A-330-200",'2025'!$F$4="CA",'2025'!$F$2=CT81),'2025DATA'!$M$9,"")</f>
        <v/>
      </c>
      <c r="CU88" s="520" t="str">
        <f>IF(AND(_A6="A-330-200",'2025'!$F$4="CA",'2025'!$F$2=CU81),'2025DATA'!$N$9,"")</f>
        <v/>
      </c>
    </row>
    <row r="89" spans="16:99" x14ac:dyDescent="0.25">
      <c r="P89" s="940"/>
      <c r="Q89" s="13" t="s">
        <v>62</v>
      </c>
      <c r="R89" s="518" t="str">
        <f>IF(AND(_A1="A-330-200",'2025'!$F$4="FO",'2025'!$F$2=R81),'2025DATA'!$C$10,"")</f>
        <v/>
      </c>
      <c r="S89" s="518" t="str">
        <f>IF(AND(_A1="A-330-200",'2025'!$F$4="FO",'2025'!$F$2=S81),'2025DATA'!$D$10,"")</f>
        <v/>
      </c>
      <c r="T89" s="518" t="str">
        <f>IF(AND(_A1="A-330-200",'2025'!$F$4="FO",'2025'!$F$2=T81),'2025DATA'!$E$10,"")</f>
        <v/>
      </c>
      <c r="U89" s="518" t="str">
        <f>IF(AND(_A1="A-330-200",'2025'!$F$4="FO",'2025'!$F$2=U81),'2025DATA'!$F$10,"")</f>
        <v/>
      </c>
      <c r="V89" s="518" t="str">
        <f>IF(AND(_A1="A-330-200",'2025'!$F$4="FO",'2025'!$F$2=V81),'2025DATA'!$G$10,"")</f>
        <v/>
      </c>
      <c r="W89" s="518" t="str">
        <f>IF(AND(_A1="A-330-200",'2025'!$F$4="FO",'2025'!$F$2=W81),'2025DATA'!$H$10,"")</f>
        <v/>
      </c>
      <c r="X89" s="518" t="str">
        <f>IF(AND(_A1="A-330-200",'2025'!$F$4="FO",'2025'!$F$2=X81),'2025DATA'!$I$10,"")</f>
        <v/>
      </c>
      <c r="Y89" s="518" t="str">
        <f>IF(AND(_A1="A-330-200",'2025'!$F$4="FO",'2025'!$F$2=Y81),'2025DATA'!$J$10,"")</f>
        <v/>
      </c>
      <c r="Z89" s="518" t="str">
        <f>IF(AND(_A1="A-330-200",'2025'!$F$4="FO",'2025'!$F$2=Z81),'2025DATA'!$K$10,"")</f>
        <v/>
      </c>
      <c r="AA89" s="518" t="str">
        <f>IF(AND(_A1="A-330-200",'2025'!$F$4="FO",'2025'!$F$2=AA81),'2025DATA'!$L$10,"")</f>
        <v/>
      </c>
      <c r="AB89" s="518" t="str">
        <f>IF(AND(_A1="A-330-200",'2025'!$F$4="FO",'2025'!$F$2=AB81),'2025DATA'!$M$10,"")</f>
        <v/>
      </c>
      <c r="AC89" s="520" t="str">
        <f>IF(AND(_A1="A-330-200",'2025'!$F$4="FO",'2025'!$F$2=AC81),'2025DATA'!$N$10,"")</f>
        <v/>
      </c>
      <c r="AD89" s="940"/>
      <c r="AE89" s="13" t="s">
        <v>62</v>
      </c>
      <c r="AF89" s="518" t="str">
        <f>IF(AND(_A2="A-330-200",'2025'!$F$4="FO",'2025'!$F$2=AF81),'2025DATA'!$C$10,"")</f>
        <v/>
      </c>
      <c r="AG89" s="518" t="str">
        <f>IF(AND(_A2="A-330-200",'2025'!$F$4="FO",'2025'!$F$2=AG81),'2025DATA'!$D$10,"")</f>
        <v/>
      </c>
      <c r="AH89" s="518" t="str">
        <f>IF(AND(_A2="A-330-200",'2025'!$F$4="FO",'2025'!$F$2=AH81),'2025DATA'!$E$10,"")</f>
        <v/>
      </c>
      <c r="AI89" s="518" t="str">
        <f>IF(AND(_A2="A-330-200",'2025'!$F$4="FO",'2025'!$F$2=AI81),'2025DATA'!$F$10,"")</f>
        <v/>
      </c>
      <c r="AJ89" s="518" t="str">
        <f>IF(AND(_A2="A-330-200",'2025'!$F$4="FO",'2025'!$F$2=AJ81),'2025DATA'!$G$10,"")</f>
        <v/>
      </c>
      <c r="AK89" s="518" t="str">
        <f>IF(AND(_A2="A-330-200",'2025'!$F$4="FO",'2025'!$F$2=AK81),'2025DATA'!$H$10,"")</f>
        <v/>
      </c>
      <c r="AL89" s="518" t="str">
        <f>IF(AND(_A2="A-330-200",'2025'!$F$4="FO",'2025'!$F$2=AL81),'2025DATA'!$I$10,"")</f>
        <v/>
      </c>
      <c r="AM89" s="518" t="str">
        <f>IF(AND(_A2="A-330-200",'2025'!$F$4="FO",'2025'!$F$2=AM81),'2025DATA'!$J$10,"")</f>
        <v/>
      </c>
      <c r="AN89" s="518" t="str">
        <f>IF(AND(_A2="A-330-200",'2025'!$F$4="FO",'2025'!$F$2=AN81),'2025DATA'!$K$10,"")</f>
        <v/>
      </c>
      <c r="AO89" s="518" t="str">
        <f>IF(AND(_A2="A-330-200",'2025'!$F$4="FO",'2025'!$F$2=AO81),'2025DATA'!$L$10,"")</f>
        <v/>
      </c>
      <c r="AP89" s="518" t="str">
        <f>IF(AND(_A2="A-330-200",'2025'!$F$4="FO",'2025'!$F$2=AP81),'2025DATA'!$M$10,"")</f>
        <v/>
      </c>
      <c r="AQ89" s="520" t="str">
        <f>IF(AND(_A2="A-330-200",'2025'!$F$4="FO",'2025'!$F$2=AQ81),'2025DATA'!$N$10,"")</f>
        <v/>
      </c>
      <c r="AR89" s="940"/>
      <c r="AS89" s="13" t="s">
        <v>62</v>
      </c>
      <c r="AT89" s="518" t="str">
        <f>IF(AND(_A3="A-330-200",'2025'!$F$4="FO",'2025'!$F$2=AT81),'2025DATA'!$C$10,"")</f>
        <v/>
      </c>
      <c r="AU89" s="518" t="str">
        <f>IF(AND(_A3="A-330-200",'2025'!$F$4="FO",'2025'!$F$2=AU81),'2025DATA'!$D$10,"")</f>
        <v/>
      </c>
      <c r="AV89" s="518" t="str">
        <f>IF(AND(_A3="A-330-200",'2025'!$F$4="FO",'2025'!$F$2=AV81),'2025DATA'!$E$10,"")</f>
        <v/>
      </c>
      <c r="AW89" s="518" t="str">
        <f>IF(AND(_A3="A-330-200",'2025'!$F$4="FO",'2025'!$F$2=AW81),'2025DATA'!$F$10,"")</f>
        <v/>
      </c>
      <c r="AX89" s="518" t="str">
        <f>IF(AND(_A3="A-330-200",'2025'!$F$4="FO",'2025'!$F$2=AX81),'2025DATA'!$G$10,"")</f>
        <v/>
      </c>
      <c r="AY89" s="518" t="str">
        <f>IF(AND(_A3="A-330-200",'2025'!$F$4="FO",'2025'!$F$2=AY81),'2025DATA'!$H$10,"")</f>
        <v/>
      </c>
      <c r="AZ89" s="518" t="str">
        <f>IF(AND(_A3="A-330-200",'2025'!$F$4="FO",'2025'!$F$2=AZ81),'2025DATA'!$I$10,"")</f>
        <v/>
      </c>
      <c r="BA89" s="518" t="str">
        <f>IF(AND(_A3="A-330-200",'2025'!$F$4="FO",'2025'!$F$2=BA81),'2025DATA'!$J$10,"")</f>
        <v/>
      </c>
      <c r="BB89" s="518" t="str">
        <f>IF(AND(_A3="A-330-200",'2025'!$F$4="FO",'2025'!$F$2=BB81),'2025DATA'!$K$10,"")</f>
        <v/>
      </c>
      <c r="BC89" s="518" t="str">
        <f>IF(AND(_A3="A-330-200",'2025'!$F$4="FO",'2025'!$F$2=BC81),'2025DATA'!$L$10,"")</f>
        <v/>
      </c>
      <c r="BD89" s="518" t="str">
        <f>IF(AND(_A3="A-330-200",'2025'!$F$4="FO",'2025'!$F$2=BD81),'2025DATA'!$M$10,"")</f>
        <v/>
      </c>
      <c r="BE89" s="520" t="str">
        <f>IF(AND(_A3="A-330-200",'2025'!$F$4="FO",'2025'!$F$2=BE81),'2025DATA'!$N$10,"")</f>
        <v/>
      </c>
      <c r="BF89" s="940"/>
      <c r="BG89" s="13" t="s">
        <v>62</v>
      </c>
      <c r="BH89" s="518" t="str">
        <f>IF(AND(_A4="A-330-200",'2025'!$F$4="FO",'2025'!$F$2=BH81),'2025DATA'!$C$10,"")</f>
        <v/>
      </c>
      <c r="BI89" s="518" t="str">
        <f>IF(AND(_A4="A-330-200",'2025'!$F$4="FO",'2025'!$F$2=BI81),'2025DATA'!$D$10,"")</f>
        <v/>
      </c>
      <c r="BJ89" s="518" t="str">
        <f>IF(AND(_A4="A-330-200",'2025'!$F$4="FO",'2025'!$F$2=BJ81),'2025DATA'!$E$10,"")</f>
        <v/>
      </c>
      <c r="BK89" s="518" t="str">
        <f>IF(AND(_A4="A-330-200",'2025'!$F$4="FO",'2025'!$F$2=BK81),'2025DATA'!$F$10,"")</f>
        <v/>
      </c>
      <c r="BL89" s="518" t="str">
        <f>IF(AND(_A4="A-330-200",'2025'!$F$4="FO",'2025'!$F$2=BL81),'2025DATA'!$G$10,"")</f>
        <v/>
      </c>
      <c r="BM89" s="518" t="str">
        <f>IF(AND(_A4="A-330-200",'2025'!$F$4="FO",'2025'!$F$2=BM81),'2025DATA'!$H$10,"")</f>
        <v/>
      </c>
      <c r="BN89" s="518" t="str">
        <f>IF(AND(_A4="A-330-200",'2025'!$F$4="FO",'2025'!$F$2=BN81),'2025DATA'!$I$10,"")</f>
        <v/>
      </c>
      <c r="BO89" s="518" t="str">
        <f>IF(AND(_A4="A-330-200",'2025'!$F$4="FO",'2025'!$F$2=BO81),'2025DATA'!$J$10,"")</f>
        <v/>
      </c>
      <c r="BP89" s="518" t="str">
        <f>IF(AND(_A4="A-330-200",'2025'!$F$4="FO",'2025'!$F$2=BP81),'2025DATA'!$K$10,"")</f>
        <v/>
      </c>
      <c r="BQ89" s="518" t="str">
        <f>IF(AND(_A4="A-330-200",'2025'!$F$4="FO",'2025'!$F$2=BQ81),'2025DATA'!$L$10,"")</f>
        <v/>
      </c>
      <c r="BR89" s="518" t="str">
        <f>IF(AND(_A4="A-330-200",'2025'!$F$4="FO",'2025'!$F$2=BR81),'2025DATA'!$M$10,"")</f>
        <v/>
      </c>
      <c r="BS89" s="520" t="str">
        <f>IF(AND(_A4="A-330-200",'2025'!$F$4="FO",'2025'!$F$2=BS81),'2025DATA'!$N$10,"")</f>
        <v/>
      </c>
      <c r="BT89" s="940"/>
      <c r="BU89" s="13" t="s">
        <v>62</v>
      </c>
      <c r="BV89" s="518" t="str">
        <f>IF(AND(_A5="A-330-200",'2025'!$F$4="FO",'2025'!$F$2=BV81),'2025DATA'!$C$10,"")</f>
        <v/>
      </c>
      <c r="BW89" s="518" t="str">
        <f>IF(AND(_A5="A-330-200",'2025'!$F$4="FO",'2025'!$F$2=BW81),'2025DATA'!$D$10,"")</f>
        <v/>
      </c>
      <c r="BX89" s="518" t="str">
        <f>IF(AND(_A5="A-330-200",'2025'!$F$4="FO",'2025'!$F$2=BX81),'2025DATA'!$E$10,"")</f>
        <v/>
      </c>
      <c r="BY89" s="518" t="str">
        <f>IF(AND(_A5="A-330-200",'2025'!$F$4="FO",'2025'!$F$2=BY81),'2025DATA'!$F$10,"")</f>
        <v/>
      </c>
      <c r="BZ89" s="518" t="str">
        <f>IF(AND(_A5="A-330-200",'2025'!$F$4="FO",'2025'!$F$2=BZ81),'2025DATA'!$G$10,"")</f>
        <v/>
      </c>
      <c r="CA89" s="518" t="str">
        <f>IF(AND(_A5="A-330-200",'2025'!$F$4="FO",'2025'!$F$2=CA81),'2025DATA'!$H$10,"")</f>
        <v/>
      </c>
      <c r="CB89" s="518" t="str">
        <f>IF(AND(_A5="A-330-200",'2025'!$F$4="FO",'2025'!$F$2=CB81),'2025DATA'!$I$10,"")</f>
        <v/>
      </c>
      <c r="CC89" s="518" t="str">
        <f>IF(AND(_A5="A-330-200",'2025'!$F$4="FO",'2025'!$F$2=CC81),'2025DATA'!$J$10,"")</f>
        <v/>
      </c>
      <c r="CD89" s="518" t="str">
        <f>IF(AND(_A5="A-330-200",'2025'!$F$4="FO",'2025'!$F$2=CD81),'2025DATA'!$K$10,"")</f>
        <v/>
      </c>
      <c r="CE89" s="518" t="str">
        <f>IF(AND(_A5="A-330-200",'2025'!$F$4="FO",'2025'!$F$2=CE81),'2025DATA'!$L$10,"")</f>
        <v/>
      </c>
      <c r="CF89" s="518" t="str">
        <f>IF(AND(_A5="A-330-200",'2025'!$F$4="FO",'2025'!$F$2=CF81),'2025DATA'!$M$10,"")</f>
        <v/>
      </c>
      <c r="CG89" s="520" t="str">
        <f>IF(AND(_A5="A-330-200",'2025'!$F$4="FO",'2025'!$F$2=CG81),'2025DATA'!$N$10,"")</f>
        <v/>
      </c>
      <c r="CH89" s="940"/>
      <c r="CI89" s="13" t="s">
        <v>62</v>
      </c>
      <c r="CJ89" s="518" t="str">
        <f>IF(AND(_A6="A-330-200",'2025'!$F$4="FO",'2025'!$F$2=CJ81),'2025DATA'!$C$10,"")</f>
        <v/>
      </c>
      <c r="CK89" s="518" t="str">
        <f>IF(AND(_A6="A-330-200",'2025'!$F$4="FO",'2025'!$F$2=CK81),'2025DATA'!$D$10,"")</f>
        <v/>
      </c>
      <c r="CL89" s="518" t="str">
        <f>IF(AND(_A6="A-330-200",'2025'!$F$4="FO",'2025'!$F$2=CL81),'2025DATA'!$E$10,"")</f>
        <v/>
      </c>
      <c r="CM89" s="518" t="str">
        <f>IF(AND(_A6="A-330-200",'2025'!$F$4="FO",'2025'!$F$2=CM81),'2025DATA'!$F$10,"")</f>
        <v/>
      </c>
      <c r="CN89" s="518" t="str">
        <f>IF(AND(_A6="A-330-200",'2025'!$F$4="FO",'2025'!$F$2=CN81),'2025DATA'!$G$10,"")</f>
        <v/>
      </c>
      <c r="CO89" s="518" t="str">
        <f>IF(AND(_A6="A-330-200",'2025'!$F$4="FO",'2025'!$F$2=CO81),'2025DATA'!$H$10,"")</f>
        <v/>
      </c>
      <c r="CP89" s="518" t="str">
        <f>IF(AND(_A6="A-330-200",'2025'!$F$4="FO",'2025'!$F$2=CP81),'2025DATA'!$I$10,"")</f>
        <v/>
      </c>
      <c r="CQ89" s="518" t="str">
        <f>IF(AND(_A6="A-330-200",'2025'!$F$4="FO",'2025'!$F$2=CQ81),'2025DATA'!$J$10,"")</f>
        <v/>
      </c>
      <c r="CR89" s="518" t="str">
        <f>IF(AND(_A6="A-330-200",'2025'!$F$4="FO",'2025'!$F$2=CR81),'2025DATA'!$K$10,"")</f>
        <v/>
      </c>
      <c r="CS89" s="518" t="str">
        <f>IF(AND(_A6="A-330-200",'2025'!$F$4="FO",'2025'!$F$2=CS81),'2025DATA'!$L$10,"")</f>
        <v/>
      </c>
      <c r="CT89" s="518" t="str">
        <f>IF(AND(_A6="A-330-200",'2025'!$F$4="FO",'2025'!$F$2=CT81),'2025DATA'!$M$10,"")</f>
        <v/>
      </c>
      <c r="CU89" s="520" t="str">
        <f>IF(AND(_A6="A-330-200",'2025'!$F$4="FO",'2025'!$F$2=CU81),'2025DATA'!$N$10,"")</f>
        <v/>
      </c>
    </row>
    <row r="90" spans="16:99" x14ac:dyDescent="0.25">
      <c r="P90" s="940" t="s">
        <v>42</v>
      </c>
      <c r="Q90" s="13" t="s">
        <v>61</v>
      </c>
      <c r="R90" s="518" t="str">
        <f>IF(AND(_A1="B-767-400ER",'2025'!$F$4="CA",'2025'!$F$2=R81),'2025DATA'!$C$11,"")</f>
        <v/>
      </c>
      <c r="S90" s="518" t="str">
        <f>IF(AND(_A1="B-767-400ER",'2025'!$F$4="CA",'2025'!$F$2=S81),'2025DATA'!$D$11,"")</f>
        <v/>
      </c>
      <c r="T90" s="518" t="str">
        <f>IF(AND(_A1="B-767-400ER",'2025'!$F$4="CA",'2025'!$F$2=T81),'2025DATA'!$E$11,"")</f>
        <v/>
      </c>
      <c r="U90" s="518" t="str">
        <f>IF(AND(_A1="B-767-400ER",'2025'!$F$4="CA",'2025'!$F$2=U81),'2025DATA'!$F$11,"")</f>
        <v/>
      </c>
      <c r="V90" s="518" t="str">
        <f>IF(AND(_A1="B-767-400ER",'2025'!$F$4="CA",'2025'!$F$2=V81),'2025DATA'!$G$11,"")</f>
        <v/>
      </c>
      <c r="W90" s="518" t="str">
        <f>IF(AND(_A1="B-767-400ER",'2025'!$F$4="CA",'2025'!$F$2=W81),'2025DATA'!$H$11,"")</f>
        <v/>
      </c>
      <c r="X90" s="518" t="str">
        <f>IF(AND(_A1="B-767-400ER",'2025'!$F$4="CA",'2025'!$F$2=X81),'2025DATA'!$I$11,"")</f>
        <v/>
      </c>
      <c r="Y90" s="518" t="str">
        <f>IF(AND(_A1="B-767-400ER",'2025'!$F$4="CA",'2025'!$F$2=Y81),'2025DATA'!$J$11,"")</f>
        <v/>
      </c>
      <c r="Z90" s="518" t="str">
        <f>IF(AND(_A1="B-767-400ER",'2025'!$F$4="CA",'2025'!$F$2=Z81),'2025DATA'!$K$11,"")</f>
        <v/>
      </c>
      <c r="AA90" s="518" t="str">
        <f>IF(AND(_A1="B-767-400ER",'2025'!$F$4="CA",'2025'!$F$2=AA81),'2025DATA'!$L$11,"")</f>
        <v/>
      </c>
      <c r="AB90" s="518" t="str">
        <f>IF(AND(_A1="B-767-400ER",'2025'!$F$4="CA",'2025'!$F$2=AB81),'2025DATA'!$M$11,"")</f>
        <v/>
      </c>
      <c r="AC90" s="520" t="str">
        <f>IF(AND(_A1="B-767-400ER",'2025'!$F$4="CA",'2025'!$F$2=AC81),'2025DATA'!$N$11,"")</f>
        <v/>
      </c>
      <c r="AD90" s="940" t="s">
        <v>42</v>
      </c>
      <c r="AE90" s="13" t="s">
        <v>61</v>
      </c>
      <c r="AF90" s="518" t="str">
        <f>IF(AND(_A2="B-767-400ER",'2025'!$F$4="CA",'2025'!$F$2=AF81),'2025DATA'!$C$11,"")</f>
        <v/>
      </c>
      <c r="AG90" s="518" t="str">
        <f>IF(AND(_A2="B-767-400ER",'2025'!$F$4="CA",'2025'!$F$2=AG81),'2025DATA'!$D$11,"")</f>
        <v/>
      </c>
      <c r="AH90" s="518" t="str">
        <f>IF(AND(_A2="B-767-400ER",'2025'!$F$4="CA",'2025'!$F$2=AH81),'2025DATA'!$E$11,"")</f>
        <v/>
      </c>
      <c r="AI90" s="518" t="str">
        <f>IF(AND(_A2="B-767-400ER",'2025'!$F$4="CA",'2025'!$F$2=AI81),'2025DATA'!$F$11,"")</f>
        <v/>
      </c>
      <c r="AJ90" s="518" t="str">
        <f>IF(AND(_A2="B-767-400ER",'2025'!$F$4="CA",'2025'!$F$2=AJ81),'2025DATA'!$G$11,"")</f>
        <v/>
      </c>
      <c r="AK90" s="518" t="str">
        <f>IF(AND(_A2="B-767-400ER",'2025'!$F$4="CA",'2025'!$F$2=AK81),'2025DATA'!$H$11,"")</f>
        <v/>
      </c>
      <c r="AL90" s="518" t="str">
        <f>IF(AND(_A2="B-767-400ER",'2025'!$F$4="CA",'2025'!$F$2=AL81),'2025DATA'!$I$11,"")</f>
        <v/>
      </c>
      <c r="AM90" s="518" t="str">
        <f>IF(AND(_A2="B-767-400ER",'2025'!$F$4="CA",'2025'!$F$2=AM81),'2025DATA'!$J$11,"")</f>
        <v/>
      </c>
      <c r="AN90" s="518" t="str">
        <f>IF(AND(_A2="B-767-400ER",'2025'!$F$4="CA",'2025'!$F$2=AN81),'2025DATA'!$K$11,"")</f>
        <v/>
      </c>
      <c r="AO90" s="518" t="str">
        <f>IF(AND(_A2="B-767-400ER",'2025'!$F$4="CA",'2025'!$F$2=AO81),'2025DATA'!$L$11,"")</f>
        <v/>
      </c>
      <c r="AP90" s="518" t="str">
        <f>IF(AND(_A2="B-767-400ER",'2025'!$F$4="CA",'2025'!$F$2=AP81),'2025DATA'!$M$11,"")</f>
        <v/>
      </c>
      <c r="AQ90" s="520" t="str">
        <f>IF(AND(_A2="B-767-400ER",'2025'!$F$4="CA",'2025'!$F$2=AQ81),'2025DATA'!$N$11,"")</f>
        <v/>
      </c>
      <c r="AR90" s="940" t="s">
        <v>42</v>
      </c>
      <c r="AS90" s="13" t="s">
        <v>61</v>
      </c>
      <c r="AT90" s="518" t="str">
        <f>IF(AND(_A3="B-767-400ER",'2025'!$F$4="CA",'2025'!$F$2=AT81),'2025DATA'!$C$11,"")</f>
        <v/>
      </c>
      <c r="AU90" s="518" t="str">
        <f>IF(AND(_A3="B-767-400ER",'2025'!$F$4="CA",'2025'!$F$2=AU81),'2025DATA'!$D$11,"")</f>
        <v/>
      </c>
      <c r="AV90" s="518" t="str">
        <f>IF(AND(_A3="B-767-400ER",'2025'!$F$4="CA",'2025'!$F$2=AV81),'2025DATA'!$E$11,"")</f>
        <v/>
      </c>
      <c r="AW90" s="518" t="str">
        <f>IF(AND(_A3="B-767-400ER",'2025'!$F$4="CA",'2025'!$F$2=AW81),'2025DATA'!$F$11,"")</f>
        <v/>
      </c>
      <c r="AX90" s="518" t="str">
        <f>IF(AND(_A3="B-767-400ER",'2025'!$F$4="CA",'2025'!$F$2=AX81),'2025DATA'!$G$11,"")</f>
        <v/>
      </c>
      <c r="AY90" s="518" t="str">
        <f>IF(AND(_A3="B-767-400ER",'2025'!$F$4="CA",'2025'!$F$2=AY81),'2025DATA'!$H$11,"")</f>
        <v/>
      </c>
      <c r="AZ90" s="518" t="str">
        <f>IF(AND(_A3="B-767-400ER",'2025'!$F$4="CA",'2025'!$F$2=AZ81),'2025DATA'!$I$11,"")</f>
        <v/>
      </c>
      <c r="BA90" s="518" t="str">
        <f>IF(AND(_A3="B-767-400ER",'2025'!$F$4="CA",'2025'!$F$2=BA81),'2025DATA'!$J$11,"")</f>
        <v/>
      </c>
      <c r="BB90" s="518" t="str">
        <f>IF(AND(_A3="B-767-400ER",'2025'!$F$4="CA",'2025'!$F$2=BB81),'2025DATA'!$K$11,"")</f>
        <v/>
      </c>
      <c r="BC90" s="518" t="str">
        <f>IF(AND(_A3="B-767-400ER",'2025'!$F$4="CA",'2025'!$F$2=BC81),'2025DATA'!$L$11,"")</f>
        <v/>
      </c>
      <c r="BD90" s="518" t="str">
        <f>IF(AND(_A3="B-767-400ER",'2025'!$F$4="CA",'2025'!$F$2=BD81),'2025DATA'!$M$11,"")</f>
        <v/>
      </c>
      <c r="BE90" s="520" t="str">
        <f>IF(AND(_A3="B-767-400ER",'2025'!$F$4="CA",'2025'!$F$2=BE81),'2025DATA'!$N$11,"")</f>
        <v/>
      </c>
      <c r="BF90" s="940" t="s">
        <v>42</v>
      </c>
      <c r="BG90" s="13" t="s">
        <v>61</v>
      </c>
      <c r="BH90" s="518" t="str">
        <f>IF(AND(_A4="B-767-400ER",'2025'!$F$4="CA",'2025'!$F$2=BH81),'2025DATA'!$C$11,"")</f>
        <v/>
      </c>
      <c r="BI90" s="518" t="str">
        <f>IF(AND(_A4="B-767-400ER",'2025'!$F$4="CA",'2025'!$F$2=BI81),'2025DATA'!$D$11,"")</f>
        <v/>
      </c>
      <c r="BJ90" s="518" t="str">
        <f>IF(AND(_A4="B-767-400ER",'2025'!$F$4="CA",'2025'!$F$2=BJ81),'2025DATA'!$E$11,"")</f>
        <v/>
      </c>
      <c r="BK90" s="518" t="str">
        <f>IF(AND(_A4="B-767-400ER",'2025'!$F$4="CA",'2025'!$F$2=BK81),'2025DATA'!$F$11,"")</f>
        <v/>
      </c>
      <c r="BL90" s="518" t="str">
        <f>IF(AND(_A4="B-767-400ER",'2025'!$F$4="CA",'2025'!$F$2=BL81),'2025DATA'!$G$11,"")</f>
        <v/>
      </c>
      <c r="BM90" s="518" t="str">
        <f>IF(AND(_A4="B-767-400ER",'2025'!$F$4="CA",'2025'!$F$2=BM81),'2025DATA'!$H$11,"")</f>
        <v/>
      </c>
      <c r="BN90" s="518" t="str">
        <f>IF(AND(_A4="B-767-400ER",'2025'!$F$4="CA",'2025'!$F$2=BN81),'2025DATA'!$I$11,"")</f>
        <v/>
      </c>
      <c r="BO90" s="518" t="str">
        <f>IF(AND(_A4="B-767-400ER",'2025'!$F$4="CA",'2025'!$F$2=BO81),'2025DATA'!$J$11,"")</f>
        <v/>
      </c>
      <c r="BP90" s="518" t="str">
        <f>IF(AND(_A4="B-767-400ER",'2025'!$F$4="CA",'2025'!$F$2=BP81),'2025DATA'!$K$11,"")</f>
        <v/>
      </c>
      <c r="BQ90" s="518" t="str">
        <f>IF(AND(_A4="B-767-400ER",'2025'!$F$4="CA",'2025'!$F$2=BQ81),'2025DATA'!$L$11,"")</f>
        <v/>
      </c>
      <c r="BR90" s="518" t="str">
        <f>IF(AND(_A4="B-767-400ER",'2025'!$F$4="CA",'2025'!$F$2=BR81),'2025DATA'!$M$11,"")</f>
        <v/>
      </c>
      <c r="BS90" s="520" t="str">
        <f>IF(AND(_A4="B-767-400ER",'2025'!$F$4="CA",'2025'!$F$2=BS81),'2025DATA'!$N$11,"")</f>
        <v/>
      </c>
      <c r="BT90" s="940" t="s">
        <v>42</v>
      </c>
      <c r="BU90" s="13" t="s">
        <v>61</v>
      </c>
      <c r="BV90" s="518" t="str">
        <f>IF(AND(_A5="B-767-400ER",'2025'!$F$4="CA",'2025'!$F$2=BV81),'2025DATA'!$C$11,"")</f>
        <v/>
      </c>
      <c r="BW90" s="518" t="str">
        <f>IF(AND(_A5="B-767-400ER",'2025'!$F$4="CA",'2025'!$F$2=BW81),'2025DATA'!$D$11,"")</f>
        <v/>
      </c>
      <c r="BX90" s="518" t="str">
        <f>IF(AND(_A5="B-767-400ER",'2025'!$F$4="CA",'2025'!$F$2=BX81),'2025DATA'!$E$11,"")</f>
        <v/>
      </c>
      <c r="BY90" s="518" t="str">
        <f>IF(AND(_A5="B-767-400ER",'2025'!$F$4="CA",'2025'!$F$2=BY81),'2025DATA'!$F$11,"")</f>
        <v/>
      </c>
      <c r="BZ90" s="518" t="str">
        <f>IF(AND(_A5="B-767-400ER",'2025'!$F$4="CA",'2025'!$F$2=BZ81),'2025DATA'!$G$11,"")</f>
        <v/>
      </c>
      <c r="CA90" s="518" t="str">
        <f>IF(AND(_A5="B-767-400ER",'2025'!$F$4="CA",'2025'!$F$2=CA81),'2025DATA'!$H$11,"")</f>
        <v/>
      </c>
      <c r="CB90" s="518" t="str">
        <f>IF(AND(_A5="B-767-400ER",'2025'!$F$4="CA",'2025'!$F$2=CB81),'2025DATA'!$I$11,"")</f>
        <v/>
      </c>
      <c r="CC90" s="518" t="str">
        <f>IF(AND(_A5="B-767-400ER",'2025'!$F$4="CA",'2025'!$F$2=CC81),'2025DATA'!$J$11,"")</f>
        <v/>
      </c>
      <c r="CD90" s="518" t="str">
        <f>IF(AND(_A5="B-767-400ER",'2025'!$F$4="CA",'2025'!$F$2=CD81),'2025DATA'!$K$11,"")</f>
        <v/>
      </c>
      <c r="CE90" s="518" t="str">
        <f>IF(AND(_A5="B-767-400ER",'2025'!$F$4="CA",'2025'!$F$2=CE81),'2025DATA'!$L$11,"")</f>
        <v/>
      </c>
      <c r="CF90" s="518" t="str">
        <f>IF(AND(_A5="B-767-400ER",'2025'!$F$4="CA",'2025'!$F$2=CF81),'2025DATA'!$M$11,"")</f>
        <v/>
      </c>
      <c r="CG90" s="520" t="str">
        <f>IF(AND(_A5="B-767-400ER",'2025'!$F$4="CA",'2025'!$F$2=CG81),'2025DATA'!$N$11,"")</f>
        <v/>
      </c>
      <c r="CH90" s="940" t="s">
        <v>42</v>
      </c>
      <c r="CI90" s="13" t="s">
        <v>61</v>
      </c>
      <c r="CJ90" s="518" t="str">
        <f>IF(AND(_A6="B-767-400ER",'2025'!$F$4="CA",'2025'!$F$2=CJ81),'2025DATA'!$C$11,"")</f>
        <v/>
      </c>
      <c r="CK90" s="518" t="str">
        <f>IF(AND(_A6="B-767-400ER",'2025'!$F$4="CA",'2025'!$F$2=CK81),'2025DATA'!$D$11,"")</f>
        <v/>
      </c>
      <c r="CL90" s="518" t="str">
        <f>IF(AND(_A6="B-767-400ER",'2025'!$F$4="CA",'2025'!$F$2=CL81),'2025DATA'!$E$11,"")</f>
        <v/>
      </c>
      <c r="CM90" s="518" t="str">
        <f>IF(AND(_A6="B-767-400ER",'2025'!$F$4="CA",'2025'!$F$2=CM81),'2025DATA'!$F$11,"")</f>
        <v/>
      </c>
      <c r="CN90" s="518" t="str">
        <f>IF(AND(_A6="B-767-400ER",'2025'!$F$4="CA",'2025'!$F$2=CN81),'2025DATA'!$G$11,"")</f>
        <v/>
      </c>
      <c r="CO90" s="518" t="str">
        <f>IF(AND(_A6="B-767-400ER",'2025'!$F$4="CA",'2025'!$F$2=CO81),'2025DATA'!$H$11,"")</f>
        <v/>
      </c>
      <c r="CP90" s="518" t="str">
        <f>IF(AND(_A6="B-767-400ER",'2025'!$F$4="CA",'2025'!$F$2=CP81),'2025DATA'!$I$11,"")</f>
        <v/>
      </c>
      <c r="CQ90" s="518" t="str">
        <f>IF(AND(_A6="B-767-400ER",'2025'!$F$4="CA",'2025'!$F$2=CQ81),'2025DATA'!$J$11,"")</f>
        <v/>
      </c>
      <c r="CR90" s="518" t="str">
        <f>IF(AND(_A6="B-767-400ER",'2025'!$F$4="CA",'2025'!$F$2=CR81),'2025DATA'!$K$11,"")</f>
        <v/>
      </c>
      <c r="CS90" s="518" t="str">
        <f>IF(AND(_A6="B-767-400ER",'2025'!$F$4="CA",'2025'!$F$2=CS81),'2025DATA'!$L$11,"")</f>
        <v/>
      </c>
      <c r="CT90" s="518" t="str">
        <f>IF(AND(_A6="B-767-400ER",'2025'!$F$4="CA",'2025'!$F$2=CT81),'2025DATA'!$M$11,"")</f>
        <v/>
      </c>
      <c r="CU90" s="520" t="str">
        <f>IF(AND(_A6="B-767-400ER",'2025'!$F$4="CA",'2025'!$F$2=CU81),'2025DATA'!$N$11,"")</f>
        <v/>
      </c>
    </row>
    <row r="91" spans="16:99" x14ac:dyDescent="0.25">
      <c r="P91" s="940"/>
      <c r="Q91" s="13" t="s">
        <v>62</v>
      </c>
      <c r="R91" s="518" t="str">
        <f>IF(AND(_A1="B-767-400ER",'2025'!$F$4="FO",'2025'!$F$2=R81),'2025DATA'!$C$12,"")</f>
        <v/>
      </c>
      <c r="S91" s="518" t="str">
        <f>IF(AND(_A1="B-767-400ER",'2025'!$F$4="FO",'2025'!$F$2=S81),'2025DATA'!$D$12,"")</f>
        <v/>
      </c>
      <c r="T91" s="518" t="str">
        <f>IF(AND(_A1="B-767-400ER",'2025'!$F$4="FO",'2025'!$F$2=T81),'2025DATA'!$E$12,"")</f>
        <v/>
      </c>
      <c r="U91" s="518" t="str">
        <f>IF(AND(_A1="B-767-400ER",'2025'!$F$4="FO",'2025'!$F$2=U81),'2025DATA'!$F$12,"")</f>
        <v/>
      </c>
      <c r="V91" s="518" t="str">
        <f>IF(AND(_A1="B-767-400ER",'2025'!$F$4="FO",'2025'!$F$2=V81),'2025DATA'!$G$12,"")</f>
        <v/>
      </c>
      <c r="W91" s="518" t="str">
        <f>IF(AND(_A1="B-767-400ER",'2025'!$F$4="FO",'2025'!$F$2=W81),'2025DATA'!$H$12,"")</f>
        <v/>
      </c>
      <c r="X91" s="518" t="str">
        <f>IF(AND(_A1="B-767-400ER",'2025'!$F$4="FO",'2025'!$F$2=X81),'2025DATA'!$I$12,"")</f>
        <v/>
      </c>
      <c r="Y91" s="518" t="str">
        <f>IF(AND(_A1="B-767-400ER",'2025'!$F$4="FO",'2025'!$F$2=Y81),'2025DATA'!$J$12,"")</f>
        <v/>
      </c>
      <c r="Z91" s="518" t="str">
        <f>IF(AND(_A1="B-767-400ER",'2025'!$F$4="FO",'2025'!$F$2=Z81),'2025DATA'!$K$12,"")</f>
        <v/>
      </c>
      <c r="AA91" s="518" t="str">
        <f>IF(AND(_A1="B-767-400ER",'2025'!$F$4="FO",'2025'!$F$2=AA81),'2025DATA'!$L$12,"")</f>
        <v/>
      </c>
      <c r="AB91" s="518" t="str">
        <f>IF(AND(_A1="B-767-400ER",'2025'!$F$4="FO",'2025'!$F$2=AB81),'2025DATA'!$M$12,"")</f>
        <v/>
      </c>
      <c r="AC91" s="520" t="str">
        <f>IF(AND(_A1="B-767-400ER",'2025'!$F$4="FO",'2025'!$F$2=AC81),'2025DATA'!$N$12,"")</f>
        <v/>
      </c>
      <c r="AD91" s="940"/>
      <c r="AE91" s="13" t="s">
        <v>62</v>
      </c>
      <c r="AF91" s="518" t="str">
        <f>IF(AND(_A2="B-767-400ER",'2025'!$F$4="FO",'2025'!$F$2=AF81),'2025DATA'!$C$12,"")</f>
        <v/>
      </c>
      <c r="AG91" s="518" t="str">
        <f>IF(AND(_A2="B-767-400ER",'2025'!$F$4="FO",'2025'!$F$2=AG81),'2025DATA'!$D$12,"")</f>
        <v/>
      </c>
      <c r="AH91" s="518" t="str">
        <f>IF(AND(_A2="B-767-400ER",'2025'!$F$4="FO",'2025'!$F$2=AH81),'2025DATA'!$E$12,"")</f>
        <v/>
      </c>
      <c r="AI91" s="518" t="str">
        <f>IF(AND(_A2="B-767-400ER",'2025'!$F$4="FO",'2025'!$F$2=AI81),'2025DATA'!$F$12,"")</f>
        <v/>
      </c>
      <c r="AJ91" s="518" t="str">
        <f>IF(AND(_A2="B-767-400ER",'2025'!$F$4="FO",'2025'!$F$2=AJ81),'2025DATA'!$G$12,"")</f>
        <v/>
      </c>
      <c r="AK91" s="518" t="str">
        <f>IF(AND(_A2="B-767-400ER",'2025'!$F$4="FO",'2025'!$F$2=AK81),'2025DATA'!$H$12,"")</f>
        <v/>
      </c>
      <c r="AL91" s="518" t="str">
        <f>IF(AND(_A2="B-767-400ER",'2025'!$F$4="FO",'2025'!$F$2=AL81),'2025DATA'!$I$12,"")</f>
        <v/>
      </c>
      <c r="AM91" s="518" t="str">
        <f>IF(AND(_A2="B-767-400ER",'2025'!$F$4="FO",'2025'!$F$2=AM81),'2025DATA'!$J$12,"")</f>
        <v/>
      </c>
      <c r="AN91" s="518" t="str">
        <f>IF(AND(_A2="B-767-400ER",'2025'!$F$4="FO",'2025'!$F$2=AN81),'2025DATA'!$K$12,"")</f>
        <v/>
      </c>
      <c r="AO91" s="518" t="str">
        <f>IF(AND(_A2="B-767-400ER",'2025'!$F$4="FO",'2025'!$F$2=AO81),'2025DATA'!$L$12,"")</f>
        <v/>
      </c>
      <c r="AP91" s="518" t="str">
        <f>IF(AND(_A2="B-767-400ER",'2025'!$F$4="FO",'2025'!$F$2=AP81),'2025DATA'!$M$12,"")</f>
        <v/>
      </c>
      <c r="AQ91" s="520" t="str">
        <f>IF(AND(_A2="B-767-400ER",'2025'!$F$4="FO",'2025'!$F$2=AQ81),'2025DATA'!$N$12,"")</f>
        <v/>
      </c>
      <c r="AR91" s="940"/>
      <c r="AS91" s="13" t="s">
        <v>62</v>
      </c>
      <c r="AT91" s="518" t="str">
        <f>IF(AND(_A3="B-767-400ER",'2025'!$F$4="FO",'2025'!$F$2=AT81),'2025DATA'!$C$12,"")</f>
        <v/>
      </c>
      <c r="AU91" s="518" t="str">
        <f>IF(AND(_A3="B-767-400ER",'2025'!$F$4="FO",'2025'!$F$2=AU81),'2025DATA'!$D$12,"")</f>
        <v/>
      </c>
      <c r="AV91" s="518" t="str">
        <f>IF(AND(_A3="B-767-400ER",'2025'!$F$4="FO",'2025'!$F$2=AV81),'2025DATA'!$E$12,"")</f>
        <v/>
      </c>
      <c r="AW91" s="518" t="str">
        <f>IF(AND(_A3="B-767-400ER",'2025'!$F$4="FO",'2025'!$F$2=AW81),'2025DATA'!$F$12,"")</f>
        <v/>
      </c>
      <c r="AX91" s="518" t="str">
        <f>IF(AND(_A3="B-767-400ER",'2025'!$F$4="FO",'2025'!$F$2=AX81),'2025DATA'!$G$12,"")</f>
        <v/>
      </c>
      <c r="AY91" s="518" t="str">
        <f>IF(AND(_A3="B-767-400ER",'2025'!$F$4="FO",'2025'!$F$2=AY81),'2025DATA'!$H$12,"")</f>
        <v/>
      </c>
      <c r="AZ91" s="518" t="str">
        <f>IF(AND(_A3="B-767-400ER",'2025'!$F$4="FO",'2025'!$F$2=AZ81),'2025DATA'!$I$12,"")</f>
        <v/>
      </c>
      <c r="BA91" s="518" t="str">
        <f>IF(AND(_A3="B-767-400ER",'2025'!$F$4="FO",'2025'!$F$2=BA81),'2025DATA'!$J$12,"")</f>
        <v/>
      </c>
      <c r="BB91" s="518" t="str">
        <f>IF(AND(_A3="B-767-400ER",'2025'!$F$4="FO",'2025'!$F$2=BB81),'2025DATA'!$K$12,"")</f>
        <v/>
      </c>
      <c r="BC91" s="518" t="str">
        <f>IF(AND(_A3="B-767-400ER",'2025'!$F$4="FO",'2025'!$F$2=BC81),'2025DATA'!$L$12,"")</f>
        <v/>
      </c>
      <c r="BD91" s="518" t="str">
        <f>IF(AND(_A3="B-767-400ER",'2025'!$F$4="FO",'2025'!$F$2=BD81),'2025DATA'!$M$12,"")</f>
        <v/>
      </c>
      <c r="BE91" s="520" t="str">
        <f>IF(AND(_A3="B-767-400ER",'2025'!$F$4="FO",'2025'!$F$2=BE81),'2025DATA'!$N$12,"")</f>
        <v/>
      </c>
      <c r="BF91" s="940"/>
      <c r="BG91" s="13" t="s">
        <v>62</v>
      </c>
      <c r="BH91" s="518" t="str">
        <f>IF(AND(_A4="B-767-400ER",'2025'!$F$4="FO",'2025'!$F$2=BH81),'2025DATA'!$C$12,"")</f>
        <v/>
      </c>
      <c r="BI91" s="518" t="str">
        <f>IF(AND(_A4="B-767-400ER",'2025'!$F$4="FO",'2025'!$F$2=BI81),'2025DATA'!$D$12,"")</f>
        <v/>
      </c>
      <c r="BJ91" s="518" t="str">
        <f>IF(AND(_A4="B-767-400ER",'2025'!$F$4="FO",'2025'!$F$2=BJ81),'2025DATA'!$E$12,"")</f>
        <v/>
      </c>
      <c r="BK91" s="518" t="str">
        <f>IF(AND(_A4="B-767-400ER",'2025'!$F$4="FO",'2025'!$F$2=BK81),'2025DATA'!$F$12,"")</f>
        <v/>
      </c>
      <c r="BL91" s="518" t="str">
        <f>IF(AND(_A4="B-767-400ER",'2025'!$F$4="FO",'2025'!$F$2=BL81),'2025DATA'!$G$12,"")</f>
        <v/>
      </c>
      <c r="BM91" s="518" t="str">
        <f>IF(AND(_A4="B-767-400ER",'2025'!$F$4="FO",'2025'!$F$2=BM81),'2025DATA'!$H$12,"")</f>
        <v/>
      </c>
      <c r="BN91" s="518" t="str">
        <f>IF(AND(_A4="B-767-400ER",'2025'!$F$4="FO",'2025'!$F$2=BN81),'2025DATA'!$I$12,"")</f>
        <v/>
      </c>
      <c r="BO91" s="518" t="str">
        <f>IF(AND(_A4="B-767-400ER",'2025'!$F$4="FO",'2025'!$F$2=BO81),'2025DATA'!$J$12,"")</f>
        <v/>
      </c>
      <c r="BP91" s="518" t="str">
        <f>IF(AND(_A4="B-767-400ER",'2025'!$F$4="FO",'2025'!$F$2=BP81),'2025DATA'!$K$12,"")</f>
        <v/>
      </c>
      <c r="BQ91" s="518" t="str">
        <f>IF(AND(_A4="B-767-400ER",'2025'!$F$4="FO",'2025'!$F$2=BQ81),'2025DATA'!$L$12,"")</f>
        <v/>
      </c>
      <c r="BR91" s="518" t="str">
        <f>IF(AND(_A4="B-767-400ER",'2025'!$F$4="FO",'2025'!$F$2=BR81),'2025DATA'!$M$12,"")</f>
        <v/>
      </c>
      <c r="BS91" s="520" t="str">
        <f>IF(AND(_A4="B-767-400ER",'2025'!$F$4="FO",'2025'!$F$2=BS81),'2025DATA'!$N$12,"")</f>
        <v/>
      </c>
      <c r="BT91" s="940"/>
      <c r="BU91" s="13" t="s">
        <v>62</v>
      </c>
      <c r="BV91" s="518" t="str">
        <f>IF(AND(_A5="B-767-400ER",'2025'!$F$4="FO",'2025'!$F$2=BV81),'2025DATA'!$C$12,"")</f>
        <v/>
      </c>
      <c r="BW91" s="518" t="str">
        <f>IF(AND(_A5="B-767-400ER",'2025'!$F$4="FO",'2025'!$F$2=BW81),'2025DATA'!$D$12,"")</f>
        <v/>
      </c>
      <c r="BX91" s="518" t="str">
        <f>IF(AND(_A5="B-767-400ER",'2025'!$F$4="FO",'2025'!$F$2=BX81),'2025DATA'!$E$12,"")</f>
        <v/>
      </c>
      <c r="BY91" s="518" t="str">
        <f>IF(AND(_A5="B-767-400ER",'2025'!$F$4="FO",'2025'!$F$2=BY81),'2025DATA'!$F$12,"")</f>
        <v/>
      </c>
      <c r="BZ91" s="518" t="str">
        <f>IF(AND(_A5="B-767-400ER",'2025'!$F$4="FO",'2025'!$F$2=BZ81),'2025DATA'!$G$12,"")</f>
        <v/>
      </c>
      <c r="CA91" s="518" t="str">
        <f>IF(AND(_A5="B-767-400ER",'2025'!$F$4="FO",'2025'!$F$2=CA81),'2025DATA'!$H$12,"")</f>
        <v/>
      </c>
      <c r="CB91" s="518" t="str">
        <f>IF(AND(_A5="B-767-400ER",'2025'!$F$4="FO",'2025'!$F$2=CB81),'2025DATA'!$I$12,"")</f>
        <v/>
      </c>
      <c r="CC91" s="518" t="str">
        <f>IF(AND(_A5="B-767-400ER",'2025'!$F$4="FO",'2025'!$F$2=CC81),'2025DATA'!$J$12,"")</f>
        <v/>
      </c>
      <c r="CD91" s="518" t="str">
        <f>IF(AND(_A5="B-767-400ER",'2025'!$F$4="FO",'2025'!$F$2=CD81),'2025DATA'!$K$12,"")</f>
        <v/>
      </c>
      <c r="CE91" s="518" t="str">
        <f>IF(AND(_A5="B-767-400ER",'2025'!$F$4="FO",'2025'!$F$2=CE81),'2025DATA'!$L$12,"")</f>
        <v/>
      </c>
      <c r="CF91" s="518" t="str">
        <f>IF(AND(_A5="B-767-400ER",'2025'!$F$4="FO",'2025'!$F$2=CF81),'2025DATA'!$M$12,"")</f>
        <v/>
      </c>
      <c r="CG91" s="520" t="str">
        <f>IF(AND(_A5="B-767-400ER",'2025'!$F$4="FO",'2025'!$F$2=CG81),'2025DATA'!$N$12,"")</f>
        <v/>
      </c>
      <c r="CH91" s="940"/>
      <c r="CI91" s="13" t="s">
        <v>62</v>
      </c>
      <c r="CJ91" s="518" t="str">
        <f>IF(AND(_A6="B-767-400ER",'2025'!$F$4="FO",'2025'!$F$2=CJ81),'2025DATA'!$C$12,"")</f>
        <v/>
      </c>
      <c r="CK91" s="518" t="str">
        <f>IF(AND(_A6="B-767-400ER",'2025'!$F$4="FO",'2025'!$F$2=CK81),'2025DATA'!$D$12,"")</f>
        <v/>
      </c>
      <c r="CL91" s="518" t="str">
        <f>IF(AND(_A6="B-767-400ER",'2025'!$F$4="FO",'2025'!$F$2=CL81),'2025DATA'!$E$12,"")</f>
        <v/>
      </c>
      <c r="CM91" s="518" t="str">
        <f>IF(AND(_A6="B-767-400ER",'2025'!$F$4="FO",'2025'!$F$2=CM81),'2025DATA'!$F$12,"")</f>
        <v/>
      </c>
      <c r="CN91" s="518" t="str">
        <f>IF(AND(_A6="B-767-400ER",'2025'!$F$4="FO",'2025'!$F$2=CN81),'2025DATA'!$G$12,"")</f>
        <v/>
      </c>
      <c r="CO91" s="518" t="str">
        <f>IF(AND(_A6="B-767-400ER",'2025'!$F$4="FO",'2025'!$F$2=CO81),'2025DATA'!$H$12,"")</f>
        <v/>
      </c>
      <c r="CP91" s="518" t="str">
        <f>IF(AND(_A6="B-767-400ER",'2025'!$F$4="FO",'2025'!$F$2=CP81),'2025DATA'!$I$12,"")</f>
        <v/>
      </c>
      <c r="CQ91" s="518" t="str">
        <f>IF(AND(_A6="B-767-400ER",'2025'!$F$4="FO",'2025'!$F$2=CQ81),'2025DATA'!$J$12,"")</f>
        <v/>
      </c>
      <c r="CR91" s="518" t="str">
        <f>IF(AND(_A6="B-767-400ER",'2025'!$F$4="FO",'2025'!$F$2=CR81),'2025DATA'!$K$12,"")</f>
        <v/>
      </c>
      <c r="CS91" s="518" t="str">
        <f>IF(AND(_A6="B-767-400ER",'2025'!$F$4="FO",'2025'!$F$2=CS81),'2025DATA'!$L$12,"")</f>
        <v/>
      </c>
      <c r="CT91" s="518" t="str">
        <f>IF(AND(_A6="B-767-400ER",'2025'!$F$4="FO",'2025'!$F$2=CT81),'2025DATA'!$M$12,"")</f>
        <v/>
      </c>
      <c r="CU91" s="520" t="str">
        <f>IF(AND(_A6="B-767-400ER",'2025'!$F$4="FO",'2025'!$F$2=CU81),'2025DATA'!$N$12,"")</f>
        <v/>
      </c>
    </row>
    <row r="92" spans="16:99" x14ac:dyDescent="0.25">
      <c r="P92" s="940" t="s">
        <v>43</v>
      </c>
      <c r="Q92" s="13" t="s">
        <v>61</v>
      </c>
      <c r="R92" s="518" t="str">
        <f>IF(AND(_A1="B-767-300ER",'2025'!$F$4="CA",'2025'!$F$2=R81),'2025DATA'!$C$13,"")</f>
        <v/>
      </c>
      <c r="S92" s="518" t="str">
        <f>IF(AND(_A1="B-767-300ER",'2025'!$F$4="CA",'2025'!$F$2=S81),'2025DATA'!$D$13,"")</f>
        <v/>
      </c>
      <c r="T92" s="518" t="str">
        <f>IF(AND(_A1="B-767-300ER",'2025'!$F$4="CA",'2025'!$F$2=T81),'2025DATA'!$E$13,"")</f>
        <v/>
      </c>
      <c r="U92" s="518" t="str">
        <f>IF(AND(_A1="B-767-300ER",'2025'!$F$4="CA",'2025'!$F$2=U81),'2025DATA'!$F$13,"")</f>
        <v/>
      </c>
      <c r="V92" s="518" t="str">
        <f>IF(AND(_A1="B-767-300ER",'2025'!$F$4="CA",'2025'!$F$2=V81),'2025DATA'!$G$13,"")</f>
        <v/>
      </c>
      <c r="W92" s="518" t="str">
        <f>IF(AND(_A1="B-767-300ER",'2025'!$F$4="CA",'2025'!$F$2=W81),'2025DATA'!$H$13,"")</f>
        <v/>
      </c>
      <c r="X92" s="518" t="str">
        <f>IF(AND(_A1="B-767-300ER",'2025'!$F$4="CA",'2025'!$F$2=X81),'2025DATA'!$I$13,"")</f>
        <v/>
      </c>
      <c r="Y92" s="518" t="str">
        <f>IF(AND(_A1="B-767-300ER",'2025'!$F$4="CA",'2025'!$F$2=Y81),'2025DATA'!$J$13,"")</f>
        <v/>
      </c>
      <c r="Z92" s="518" t="str">
        <f>IF(AND(_A1="B-767-300ER",'2025'!$F$4="CA",'2025'!$F$2=Z81),'2025DATA'!$K$13,"")</f>
        <v/>
      </c>
      <c r="AA92" s="518" t="str">
        <f>IF(AND(_A1="B-767-300ER",'2025'!$F$4="CA",'2025'!$F$2=AA81),'2025DATA'!$L$13,"")</f>
        <v/>
      </c>
      <c r="AB92" s="518" t="str">
        <f>IF(AND(_A1="B-767-300ER",'2025'!$F$4="CA",'2025'!$F$2=AB81),'2025DATA'!$M$13,"")</f>
        <v/>
      </c>
      <c r="AC92" s="520" t="str">
        <f>IF(AND(_A1="B-767-300ER",'2025'!$F$4="CA",'2025'!$F$2=AC81),'2025DATA'!$N$13,"")</f>
        <v/>
      </c>
      <c r="AD92" s="940" t="s">
        <v>43</v>
      </c>
      <c r="AE92" s="13" t="s">
        <v>61</v>
      </c>
      <c r="AF92" s="518" t="str">
        <f>IF(AND(_A2="B-767-300ER",'2025'!$F$4="CA",'2025'!$F$2=AF81),'2025DATA'!$C$13,"")</f>
        <v/>
      </c>
      <c r="AG92" s="518" t="str">
        <f>IF(AND(_A2="B-767-300ER",'2025'!$F$4="CA",'2025'!$F$2=AG81),'2025DATA'!$D$13,"")</f>
        <v/>
      </c>
      <c r="AH92" s="518" t="str">
        <f>IF(AND(_A2="B-767-300ER",'2025'!$F$4="CA",'2025'!$F$2=AH81),'2025DATA'!$E$13,"")</f>
        <v/>
      </c>
      <c r="AI92" s="518" t="str">
        <f>IF(AND(_A2="B-767-300ER",'2025'!$F$4="CA",'2025'!$F$2=AI81),'2025DATA'!$F$13,"")</f>
        <v/>
      </c>
      <c r="AJ92" s="518" t="str">
        <f>IF(AND(_A2="B-767-300ER",'2025'!$F$4="CA",'2025'!$F$2=AJ81),'2025DATA'!$G$13,"")</f>
        <v/>
      </c>
      <c r="AK92" s="518" t="str">
        <f>IF(AND(_A2="B-767-300ER",'2025'!$F$4="CA",'2025'!$F$2=AK81),'2025DATA'!$H$13,"")</f>
        <v/>
      </c>
      <c r="AL92" s="518" t="str">
        <f>IF(AND(_A2="B-767-300ER",'2025'!$F$4="CA",'2025'!$F$2=AL81),'2025DATA'!$I$13,"")</f>
        <v/>
      </c>
      <c r="AM92" s="518" t="str">
        <f>IF(AND(_A2="B-767-300ER",'2025'!$F$4="CA",'2025'!$F$2=AM81),'2025DATA'!$J$13,"")</f>
        <v/>
      </c>
      <c r="AN92" s="518" t="str">
        <f>IF(AND(_A2="B-767-300ER",'2025'!$F$4="CA",'2025'!$F$2=AN81),'2025DATA'!$K$13,"")</f>
        <v/>
      </c>
      <c r="AO92" s="518" t="str">
        <f>IF(AND(_A2="B-767-300ER",'2025'!$F$4="CA",'2025'!$F$2=AO81),'2025DATA'!$L$13,"")</f>
        <v/>
      </c>
      <c r="AP92" s="518" t="str">
        <f>IF(AND(_A2="B-767-300ER",'2025'!$F$4="CA",'2025'!$F$2=AP81),'2025DATA'!$M$13,"")</f>
        <v/>
      </c>
      <c r="AQ92" s="520" t="str">
        <f>IF(AND(_A2="B-767-300ER",'2025'!$F$4="CA",'2025'!$F$2=AQ81),'2025DATA'!$N$13,"")</f>
        <v/>
      </c>
      <c r="AR92" s="940" t="s">
        <v>43</v>
      </c>
      <c r="AS92" s="13" t="s">
        <v>61</v>
      </c>
      <c r="AT92" s="518" t="str">
        <f>IF(AND(_A3="B-767-300ER",'2025'!$F$4="CA",'2025'!$F$2=AT81),'2025DATA'!$C$13,"")</f>
        <v/>
      </c>
      <c r="AU92" s="518" t="str">
        <f>IF(AND(_A3="B-767-300ER",'2025'!$F$4="CA",'2025'!$F$2=AU81),'2025DATA'!$D$13,"")</f>
        <v/>
      </c>
      <c r="AV92" s="518" t="str">
        <f>IF(AND(_A3="B-767-300ER",'2025'!$F$4="CA",'2025'!$F$2=AV81),'2025DATA'!$E$13,"")</f>
        <v/>
      </c>
      <c r="AW92" s="518" t="str">
        <f>IF(AND(_A3="B-767-300ER",'2025'!$F$4="CA",'2025'!$F$2=AW81),'2025DATA'!$F$13,"")</f>
        <v/>
      </c>
      <c r="AX92" s="518" t="str">
        <f>IF(AND(_A3="B-767-300ER",'2025'!$F$4="CA",'2025'!$F$2=AX81),'2025DATA'!$G$13,"")</f>
        <v/>
      </c>
      <c r="AY92" s="518" t="str">
        <f>IF(AND(_A3="B-767-300ER",'2025'!$F$4="CA",'2025'!$F$2=AY81),'2025DATA'!$H$13,"")</f>
        <v/>
      </c>
      <c r="AZ92" s="518" t="str">
        <f>IF(AND(_A3="B-767-300ER",'2025'!$F$4="CA",'2025'!$F$2=AZ81),'2025DATA'!$I$13,"")</f>
        <v/>
      </c>
      <c r="BA92" s="518" t="str">
        <f>IF(AND(_A3="B-767-300ER",'2025'!$F$4="CA",'2025'!$F$2=BA81),'2025DATA'!$J$13,"")</f>
        <v/>
      </c>
      <c r="BB92" s="518" t="str">
        <f>IF(AND(_A3="B-767-300ER",'2025'!$F$4="CA",'2025'!$F$2=BB81),'2025DATA'!$K$13,"")</f>
        <v/>
      </c>
      <c r="BC92" s="518" t="str">
        <f>IF(AND(_A3="B-767-300ER",'2025'!$F$4="CA",'2025'!$F$2=BC81),'2025DATA'!$L$13,"")</f>
        <v/>
      </c>
      <c r="BD92" s="518" t="str">
        <f>IF(AND(_A3="B-767-300ER",'2025'!$F$4="CA",'2025'!$F$2=BD81),'2025DATA'!$M$13,"")</f>
        <v/>
      </c>
      <c r="BE92" s="520" t="str">
        <f>IF(AND(_A3="B-767-300ER",'2025'!$F$4="CA",'2025'!$F$2=BE81),'2025DATA'!$N$13,"")</f>
        <v/>
      </c>
      <c r="BF92" s="940" t="s">
        <v>43</v>
      </c>
      <c r="BG92" s="13" t="s">
        <v>61</v>
      </c>
      <c r="BH92" s="518" t="str">
        <f>IF(AND(_A4="B-767-300ER",'2025'!$F$4="CA",'2025'!$F$2=BH81),'2025DATA'!$C$13,"")</f>
        <v/>
      </c>
      <c r="BI92" s="518" t="str">
        <f>IF(AND(_A4="B-767-300ER",'2025'!$F$4="CA",'2025'!$F$2=BI81),'2025DATA'!$D$13,"")</f>
        <v/>
      </c>
      <c r="BJ92" s="518" t="str">
        <f>IF(AND(_A4="B-767-300ER",'2025'!$F$4="CA",'2025'!$F$2=BJ81),'2025DATA'!$E$13,"")</f>
        <v/>
      </c>
      <c r="BK92" s="518" t="str">
        <f>IF(AND(_A4="B-767-300ER",'2025'!$F$4="CA",'2025'!$F$2=BK81),'2025DATA'!$F$13,"")</f>
        <v/>
      </c>
      <c r="BL92" s="518" t="str">
        <f>IF(AND(_A4="B-767-300ER",'2025'!$F$4="CA",'2025'!$F$2=BL81),'2025DATA'!$G$13,"")</f>
        <v/>
      </c>
      <c r="BM92" s="518" t="str">
        <f>IF(AND(_A4="B-767-300ER",'2025'!$F$4="CA",'2025'!$F$2=BM81),'2025DATA'!$H$13,"")</f>
        <v/>
      </c>
      <c r="BN92" s="518" t="str">
        <f>IF(AND(_A4="B-767-300ER",'2025'!$F$4="CA",'2025'!$F$2=BN81),'2025DATA'!$I$13,"")</f>
        <v/>
      </c>
      <c r="BO92" s="518" t="str">
        <f>IF(AND(_A4="B-767-300ER",'2025'!$F$4="CA",'2025'!$F$2=BO81),'2025DATA'!$J$13,"")</f>
        <v/>
      </c>
      <c r="BP92" s="518" t="str">
        <f>IF(AND(_A4="B-767-300ER",'2025'!$F$4="CA",'2025'!$F$2=BP81),'2025DATA'!$K$13,"")</f>
        <v/>
      </c>
      <c r="BQ92" s="518" t="str">
        <f>IF(AND(_A4="B-767-300ER",'2025'!$F$4="CA",'2025'!$F$2=BQ81),'2025DATA'!$L$13,"")</f>
        <v/>
      </c>
      <c r="BR92" s="518" t="str">
        <f>IF(AND(_A4="B-767-300ER",'2025'!$F$4="CA",'2025'!$F$2=BR81),'2025DATA'!$M$13,"")</f>
        <v/>
      </c>
      <c r="BS92" s="520" t="str">
        <f>IF(AND(_A4="B-767-300ER",'2025'!$F$4="CA",'2025'!$F$2=BS81),'2025DATA'!$N$13,"")</f>
        <v/>
      </c>
      <c r="BT92" s="940" t="s">
        <v>43</v>
      </c>
      <c r="BU92" s="13" t="s">
        <v>61</v>
      </c>
      <c r="BV92" s="518" t="str">
        <f>IF(AND(_A5="B-767-300ER",'2025'!$F$4="CA",'2025'!$F$2=BV81),'2025DATA'!$C$13,"")</f>
        <v/>
      </c>
      <c r="BW92" s="518" t="str">
        <f>IF(AND(_A5="B-767-300ER",'2025'!$F$4="CA",'2025'!$F$2=BW81),'2025DATA'!$D$13,"")</f>
        <v/>
      </c>
      <c r="BX92" s="518" t="str">
        <f>IF(AND(_A5="B-767-300ER",'2025'!$F$4="CA",'2025'!$F$2=BX81),'2025DATA'!$E$13,"")</f>
        <v/>
      </c>
      <c r="BY92" s="518" t="str">
        <f>IF(AND(_A5="B-767-300ER",'2025'!$F$4="CA",'2025'!$F$2=BY81),'2025DATA'!$F$13,"")</f>
        <v/>
      </c>
      <c r="BZ92" s="518" t="str">
        <f>IF(AND(_A5="B-767-300ER",'2025'!$F$4="CA",'2025'!$F$2=BZ81),'2025DATA'!$G$13,"")</f>
        <v/>
      </c>
      <c r="CA92" s="518" t="str">
        <f>IF(AND(_A5="B-767-300ER",'2025'!$F$4="CA",'2025'!$F$2=CA81),'2025DATA'!$H$13,"")</f>
        <v/>
      </c>
      <c r="CB92" s="518" t="str">
        <f>IF(AND(_A5="B-767-300ER",'2025'!$F$4="CA",'2025'!$F$2=CB81),'2025DATA'!$I$13,"")</f>
        <v/>
      </c>
      <c r="CC92" s="518" t="str">
        <f>IF(AND(_A5="B-767-300ER",'2025'!$F$4="CA",'2025'!$F$2=CC81),'2025DATA'!$J$13,"")</f>
        <v/>
      </c>
      <c r="CD92" s="518" t="str">
        <f>IF(AND(_A5="B-767-300ER",'2025'!$F$4="CA",'2025'!$F$2=CD81),'2025DATA'!$K$13,"")</f>
        <v/>
      </c>
      <c r="CE92" s="518" t="str">
        <f>IF(AND(_A5="B-767-300ER",'2025'!$F$4="CA",'2025'!$F$2=CE81),'2025DATA'!$L$13,"")</f>
        <v/>
      </c>
      <c r="CF92" s="518" t="str">
        <f>IF(AND(_A5="B-767-300ER",'2025'!$F$4="CA",'2025'!$F$2=CF81),'2025DATA'!$M$13,"")</f>
        <v/>
      </c>
      <c r="CG92" s="520" t="str">
        <f>IF(AND(_A5="B-767-300ER",'2025'!$F$4="CA",'2025'!$F$2=CG81),'2025DATA'!$N$13,"")</f>
        <v/>
      </c>
      <c r="CH92" s="940" t="s">
        <v>43</v>
      </c>
      <c r="CI92" s="13" t="s">
        <v>61</v>
      </c>
      <c r="CJ92" s="518" t="str">
        <f>IF(AND(_A6="B-767-300ER",'2025'!$F$4="CA",'2025'!$F$2=CJ81),'2025DATA'!$C$13,"")</f>
        <v/>
      </c>
      <c r="CK92" s="518" t="str">
        <f>IF(AND(_A6="B-767-300ER",'2025'!$F$4="CA",'2025'!$F$2=CK81),'2025DATA'!$D$13,"")</f>
        <v/>
      </c>
      <c r="CL92" s="518" t="str">
        <f>IF(AND(_A6="B-767-300ER",'2025'!$F$4="CA",'2025'!$F$2=CL81),'2025DATA'!$E$13,"")</f>
        <v/>
      </c>
      <c r="CM92" s="518" t="str">
        <f>IF(AND(_A6="B-767-300ER",'2025'!$F$4="CA",'2025'!$F$2=CM81),'2025DATA'!$F$13,"")</f>
        <v/>
      </c>
      <c r="CN92" s="518" t="str">
        <f>IF(AND(_A6="B-767-300ER",'2025'!$F$4="CA",'2025'!$F$2=CN81),'2025DATA'!$G$13,"")</f>
        <v/>
      </c>
      <c r="CO92" s="518" t="str">
        <f>IF(AND(_A6="B-767-300ER",'2025'!$F$4="CA",'2025'!$F$2=CO81),'2025DATA'!$H$13,"")</f>
        <v/>
      </c>
      <c r="CP92" s="518" t="str">
        <f>IF(AND(_A6="B-767-300ER",'2025'!$F$4="CA",'2025'!$F$2=CP81),'2025DATA'!$I$13,"")</f>
        <v/>
      </c>
      <c r="CQ92" s="518" t="str">
        <f>IF(AND(_A6="B-767-300ER",'2025'!$F$4="CA",'2025'!$F$2=CQ81),'2025DATA'!$J$13,"")</f>
        <v/>
      </c>
      <c r="CR92" s="518" t="str">
        <f>IF(AND(_A6="B-767-300ER",'2025'!$F$4="CA",'2025'!$F$2=CR81),'2025DATA'!$K$13,"")</f>
        <v/>
      </c>
      <c r="CS92" s="518" t="str">
        <f>IF(AND(_A6="B-767-300ER",'2025'!$F$4="CA",'2025'!$F$2=CS81),'2025DATA'!$L$13,"")</f>
        <v/>
      </c>
      <c r="CT92" s="518" t="str">
        <f>IF(AND(_A6="B-767-300ER",'2025'!$F$4="CA",'2025'!$F$2=CT81),'2025DATA'!$M$13,"")</f>
        <v/>
      </c>
      <c r="CU92" s="520" t="str">
        <f>IF(AND(_A6="B-767-300ER",'2025'!$F$4="CA",'2025'!$F$2=CU81),'2025DATA'!$N$13,"")</f>
        <v/>
      </c>
    </row>
    <row r="93" spans="16:99" x14ac:dyDescent="0.25">
      <c r="P93" s="940"/>
      <c r="Q93" s="13" t="s">
        <v>62</v>
      </c>
      <c r="R93" s="518" t="str">
        <f>IF(AND(_A1="B-767-300ER",'2025'!$F$4="FO",'2025'!$F$2=R81),'2025DATA'!$C$14,"")</f>
        <v/>
      </c>
      <c r="S93" s="518" t="str">
        <f>IF(AND(_A1="B-767-300ER",'2025'!$F$4="FO",'2025'!$F$2=S81),'2025DATA'!$D$14,"")</f>
        <v/>
      </c>
      <c r="T93" s="518" t="str">
        <f>IF(AND(_A1="B-767-300ER",'2025'!$F$4="FO",'2025'!$F$2=T81),'2025DATA'!$E$14,"")</f>
        <v/>
      </c>
      <c r="U93" s="518" t="str">
        <f>IF(AND(_A1="B-767-300ER",'2025'!$F$4="FO",'2025'!$F$2=U81),'2025DATA'!$F$14,"")</f>
        <v/>
      </c>
      <c r="V93" s="518" t="str">
        <f>IF(AND(_A1="B-767-300ER",'2025'!$F$4="FO",'2025'!$F$2=V81),'2025DATA'!$G$14,"")</f>
        <v/>
      </c>
      <c r="W93" s="518" t="str">
        <f>IF(AND(_A1="B-767-300ER",'2025'!$F$4="FO",'2025'!$F$2=W81),'2025DATA'!$H$14,"")</f>
        <v/>
      </c>
      <c r="X93" s="518" t="str">
        <f>IF(AND(_A1="B-767-300ER",'2025'!$F$4="FO",'2025'!$F$2=X81),'2025DATA'!$I$14,"")</f>
        <v/>
      </c>
      <c r="Y93" s="518" t="str">
        <f>IF(AND(_A1="B-767-300ER",'2025'!$F$4="FO",'2025'!$F$2=Y81),'2025DATA'!$J$14,"")</f>
        <v/>
      </c>
      <c r="Z93" s="518" t="str">
        <f>IF(AND(_A1="B-767-300ER",'2025'!$F$4="FO",'2025'!$F$2=Z81),'2025DATA'!$K$14,"")</f>
        <v/>
      </c>
      <c r="AA93" s="518" t="str">
        <f>IF(AND(_A1="B-767-300ER",'2025'!$F$4="FO",'2025'!$F$2=AA81),'2025DATA'!$L$14,"")</f>
        <v/>
      </c>
      <c r="AB93" s="518" t="str">
        <f>IF(AND(_A1="B-767-300ER",'2025'!$F$4="FO",'2025'!$F$2=AB81),'2025DATA'!$M$14,"")</f>
        <v/>
      </c>
      <c r="AC93" s="520" t="str">
        <f>IF(AND(_A1="B-767-300ER",'2025'!$F$4="FO",'2025'!$F$2=AC81),'2025DATA'!$N$14,"")</f>
        <v/>
      </c>
      <c r="AD93" s="940"/>
      <c r="AE93" s="13" t="s">
        <v>62</v>
      </c>
      <c r="AF93" s="518" t="str">
        <f>IF(AND(_A2="B-767-300ER",'2025'!$F$4="FO",'2025'!$F$2=AF81),'2025DATA'!$C$14,"")</f>
        <v/>
      </c>
      <c r="AG93" s="518" t="str">
        <f>IF(AND(_A2="B-767-300ER",'2025'!$F$4="FO",'2025'!$F$2=AG81),'2025DATA'!$D$14,"")</f>
        <v/>
      </c>
      <c r="AH93" s="518" t="str">
        <f>IF(AND(_A2="B-767-300ER",'2025'!$F$4="FO",'2025'!$F$2=AH81),'2025DATA'!$E$14,"")</f>
        <v/>
      </c>
      <c r="AI93" s="518" t="str">
        <f>IF(AND(_A2="B-767-300ER",'2025'!$F$4="FO",'2025'!$F$2=AI81),'2025DATA'!$F$14,"")</f>
        <v/>
      </c>
      <c r="AJ93" s="518" t="str">
        <f>IF(AND(_A2="B-767-300ER",'2025'!$F$4="FO",'2025'!$F$2=AJ81),'2025DATA'!$G$14,"")</f>
        <v/>
      </c>
      <c r="AK93" s="518" t="str">
        <f>IF(AND(_A2="B-767-300ER",'2025'!$F$4="FO",'2025'!$F$2=AK81),'2025DATA'!$H$14,"")</f>
        <v/>
      </c>
      <c r="AL93" s="518" t="str">
        <f>IF(AND(_A2="B-767-300ER",'2025'!$F$4="FO",'2025'!$F$2=AL81),'2025DATA'!$I$14,"")</f>
        <v/>
      </c>
      <c r="AM93" s="518" t="str">
        <f>IF(AND(_A2="B-767-300ER",'2025'!$F$4="FO",'2025'!$F$2=AM81),'2025DATA'!$J$14,"")</f>
        <v/>
      </c>
      <c r="AN93" s="518" t="str">
        <f>IF(AND(_A2="B-767-300ER",'2025'!$F$4="FO",'2025'!$F$2=AN81),'2025DATA'!$K$14,"")</f>
        <v/>
      </c>
      <c r="AO93" s="518" t="str">
        <f>IF(AND(_A2="B-767-300ER",'2025'!$F$4="FO",'2025'!$F$2=AO81),'2025DATA'!$L$14,"")</f>
        <v/>
      </c>
      <c r="AP93" s="518" t="str">
        <f>IF(AND(_A2="B-767-300ER",'2025'!$F$4="FO",'2025'!$F$2=AP81),'2025DATA'!$M$14,"")</f>
        <v/>
      </c>
      <c r="AQ93" s="520" t="str">
        <f>IF(AND(_A2="B-767-300ER",'2025'!$F$4="FO",'2025'!$F$2=AQ81),'2025DATA'!$N$14,"")</f>
        <v/>
      </c>
      <c r="AR93" s="940"/>
      <c r="AS93" s="13" t="s">
        <v>62</v>
      </c>
      <c r="AT93" s="518" t="str">
        <f>IF(AND(_A3="B-767-300ER",'2025'!$F$4="FO",'2025'!$F$2=AT81),'2025DATA'!$C$14,"")</f>
        <v/>
      </c>
      <c r="AU93" s="518" t="str">
        <f>IF(AND(_A3="B-767-300ER",'2025'!$F$4="FO",'2025'!$F$2=AU81),'2025DATA'!$D$14,"")</f>
        <v/>
      </c>
      <c r="AV93" s="518" t="str">
        <f>IF(AND(_A3="B-767-300ER",'2025'!$F$4="FO",'2025'!$F$2=AV81),'2025DATA'!$E$14,"")</f>
        <v/>
      </c>
      <c r="AW93" s="518" t="str">
        <f>IF(AND(_A3="B-767-300ER",'2025'!$F$4="FO",'2025'!$F$2=AW81),'2025DATA'!$F$14,"")</f>
        <v/>
      </c>
      <c r="AX93" s="518" t="str">
        <f>IF(AND(_A3="B-767-300ER",'2025'!$F$4="FO",'2025'!$F$2=AX81),'2025DATA'!$G$14,"")</f>
        <v/>
      </c>
      <c r="AY93" s="518" t="str">
        <f>IF(AND(_A3="B-767-300ER",'2025'!$F$4="FO",'2025'!$F$2=AY81),'2025DATA'!$H$14,"")</f>
        <v/>
      </c>
      <c r="AZ93" s="518" t="str">
        <f>IF(AND(_A3="B-767-300ER",'2025'!$F$4="FO",'2025'!$F$2=AZ81),'2025DATA'!$I$14,"")</f>
        <v/>
      </c>
      <c r="BA93" s="518" t="str">
        <f>IF(AND(_A3="B-767-300ER",'2025'!$F$4="FO",'2025'!$F$2=BA81),'2025DATA'!$J$14,"")</f>
        <v/>
      </c>
      <c r="BB93" s="518" t="str">
        <f>IF(AND(_A3="B-767-300ER",'2025'!$F$4="FO",'2025'!$F$2=BB81),'2025DATA'!$K$14,"")</f>
        <v/>
      </c>
      <c r="BC93" s="518" t="str">
        <f>IF(AND(_A3="B-767-300ER",'2025'!$F$4="FO",'2025'!$F$2=BC81),'2025DATA'!$L$14,"")</f>
        <v/>
      </c>
      <c r="BD93" s="518" t="str">
        <f>IF(AND(_A3="B-767-300ER",'2025'!$F$4="FO",'2025'!$F$2=BD81),'2025DATA'!$M$14,"")</f>
        <v/>
      </c>
      <c r="BE93" s="520" t="str">
        <f>IF(AND(_A3="B-767-300ER",'2025'!$F$4="FO",'2025'!$F$2=BE81),'2025DATA'!$N$14,"")</f>
        <v/>
      </c>
      <c r="BF93" s="940"/>
      <c r="BG93" s="13" t="s">
        <v>62</v>
      </c>
      <c r="BH93" s="518" t="str">
        <f>IF(AND(_A4="B-767-300ER",'2025'!$F$4="FO",'2025'!$F$2=BH81),'2025DATA'!$C$14,"")</f>
        <v/>
      </c>
      <c r="BI93" s="518" t="str">
        <f>IF(AND(_A4="B-767-300ER",'2025'!$F$4="FO",'2025'!$F$2=BI81),'2025DATA'!$D$14,"")</f>
        <v/>
      </c>
      <c r="BJ93" s="518" t="str">
        <f>IF(AND(_A4="B-767-300ER",'2025'!$F$4="FO",'2025'!$F$2=BJ81),'2025DATA'!$E$14,"")</f>
        <v/>
      </c>
      <c r="BK93" s="518" t="str">
        <f>IF(AND(_A4="B-767-300ER",'2025'!$F$4="FO",'2025'!$F$2=BK81),'2025DATA'!$F$14,"")</f>
        <v/>
      </c>
      <c r="BL93" s="518" t="str">
        <f>IF(AND(_A4="B-767-300ER",'2025'!$F$4="FO",'2025'!$F$2=BL81),'2025DATA'!$G$14,"")</f>
        <v/>
      </c>
      <c r="BM93" s="518" t="str">
        <f>IF(AND(_A4="B-767-300ER",'2025'!$F$4="FO",'2025'!$F$2=BM81),'2025DATA'!$H$14,"")</f>
        <v/>
      </c>
      <c r="BN93" s="518" t="str">
        <f>IF(AND(_A4="B-767-300ER",'2025'!$F$4="FO",'2025'!$F$2=BN81),'2025DATA'!$I$14,"")</f>
        <v/>
      </c>
      <c r="BO93" s="518" t="str">
        <f>IF(AND(_A4="B-767-300ER",'2025'!$F$4="FO",'2025'!$F$2=BO81),'2025DATA'!$J$14,"")</f>
        <v/>
      </c>
      <c r="BP93" s="518" t="str">
        <f>IF(AND(_A4="B-767-300ER",'2025'!$F$4="FO",'2025'!$F$2=BP81),'2025DATA'!$K$14,"")</f>
        <v/>
      </c>
      <c r="BQ93" s="518" t="str">
        <f>IF(AND(_A4="B-767-300ER",'2025'!$F$4="FO",'2025'!$F$2=BQ81),'2025DATA'!$L$14,"")</f>
        <v/>
      </c>
      <c r="BR93" s="518" t="str">
        <f>IF(AND(_A4="B-767-300ER",'2025'!$F$4="FO",'2025'!$F$2=BR81),'2025DATA'!$M$14,"")</f>
        <v/>
      </c>
      <c r="BS93" s="520" t="str">
        <f>IF(AND(_A4="B-767-300ER",'2025'!$F$4="FO",'2025'!$F$2=BS81),'2025DATA'!$N$14,"")</f>
        <v/>
      </c>
      <c r="BT93" s="940"/>
      <c r="BU93" s="13" t="s">
        <v>62</v>
      </c>
      <c r="BV93" s="518" t="str">
        <f>IF(AND(_A5="B-767-300ER",'2025'!$F$4="FO",'2025'!$F$2=BV81),'2025DATA'!$C$14,"")</f>
        <v/>
      </c>
      <c r="BW93" s="518" t="str">
        <f>IF(AND(_A5="B-767-300ER",'2025'!$F$4="FO",'2025'!$F$2=BW81),'2025DATA'!$D$14,"")</f>
        <v/>
      </c>
      <c r="BX93" s="518" t="str">
        <f>IF(AND(_A5="B-767-300ER",'2025'!$F$4="FO",'2025'!$F$2=BX81),'2025DATA'!$E$14,"")</f>
        <v/>
      </c>
      <c r="BY93" s="518" t="str">
        <f>IF(AND(_A5="B-767-300ER",'2025'!$F$4="FO",'2025'!$F$2=BY81),'2025DATA'!$F$14,"")</f>
        <v/>
      </c>
      <c r="BZ93" s="518" t="str">
        <f>IF(AND(_A5="B-767-300ER",'2025'!$F$4="FO",'2025'!$F$2=BZ81),'2025DATA'!$G$14,"")</f>
        <v/>
      </c>
      <c r="CA93" s="518" t="str">
        <f>IF(AND(_A5="B-767-300ER",'2025'!$F$4="FO",'2025'!$F$2=CA81),'2025DATA'!$H$14,"")</f>
        <v/>
      </c>
      <c r="CB93" s="518" t="str">
        <f>IF(AND(_A5="B-767-300ER",'2025'!$F$4="FO",'2025'!$F$2=CB81),'2025DATA'!$I$14,"")</f>
        <v/>
      </c>
      <c r="CC93" s="518" t="str">
        <f>IF(AND(_A5="B-767-300ER",'2025'!$F$4="FO",'2025'!$F$2=CC81),'2025DATA'!$J$14,"")</f>
        <v/>
      </c>
      <c r="CD93" s="518" t="str">
        <f>IF(AND(_A5="B-767-300ER",'2025'!$F$4="FO",'2025'!$F$2=CD81),'2025DATA'!$K$14,"")</f>
        <v/>
      </c>
      <c r="CE93" s="518" t="str">
        <f>IF(AND(_A5="B-767-300ER",'2025'!$F$4="FO",'2025'!$F$2=CE81),'2025DATA'!$L$14,"")</f>
        <v/>
      </c>
      <c r="CF93" s="518" t="str">
        <f>IF(AND(_A5="B-767-300ER",'2025'!$F$4="FO",'2025'!$F$2=CF81),'2025DATA'!$M$14,"")</f>
        <v/>
      </c>
      <c r="CG93" s="520" t="str">
        <f>IF(AND(_A5="B-767-300ER",'2025'!$F$4="FO",'2025'!$F$2=CG81),'2025DATA'!$N$14,"")</f>
        <v/>
      </c>
      <c r="CH93" s="940"/>
      <c r="CI93" s="13" t="s">
        <v>62</v>
      </c>
      <c r="CJ93" s="518" t="str">
        <f>IF(AND(_A6="B-767-300ER",'2025'!$F$4="FO",'2025'!$F$2=CJ81),'2025DATA'!$C$14,"")</f>
        <v/>
      </c>
      <c r="CK93" s="518" t="str">
        <f>IF(AND(_A6="B-767-300ER",'2025'!$F$4="FO",'2025'!$F$2=CK81),'2025DATA'!$D$14,"")</f>
        <v/>
      </c>
      <c r="CL93" s="518" t="str">
        <f>IF(AND(_A6="B-767-300ER",'2025'!$F$4="FO",'2025'!$F$2=CL81),'2025DATA'!$E$14,"")</f>
        <v/>
      </c>
      <c r="CM93" s="518" t="str">
        <f>IF(AND(_A6="B-767-300ER",'2025'!$F$4="FO",'2025'!$F$2=CM81),'2025DATA'!$F$14,"")</f>
        <v/>
      </c>
      <c r="CN93" s="518" t="str">
        <f>IF(AND(_A6="B-767-300ER",'2025'!$F$4="FO",'2025'!$F$2=CN81),'2025DATA'!$G$14,"")</f>
        <v/>
      </c>
      <c r="CO93" s="518" t="str">
        <f>IF(AND(_A6="B-767-300ER",'2025'!$F$4="FO",'2025'!$F$2=CO81),'2025DATA'!$H$14,"")</f>
        <v/>
      </c>
      <c r="CP93" s="518" t="str">
        <f>IF(AND(_A6="B-767-300ER",'2025'!$F$4="FO",'2025'!$F$2=CP81),'2025DATA'!$I$14,"")</f>
        <v/>
      </c>
      <c r="CQ93" s="518" t="str">
        <f>IF(AND(_A6="B-767-300ER",'2025'!$F$4="FO",'2025'!$F$2=CQ81),'2025DATA'!$J$14,"")</f>
        <v/>
      </c>
      <c r="CR93" s="518" t="str">
        <f>IF(AND(_A6="B-767-300ER",'2025'!$F$4="FO",'2025'!$F$2=CR81),'2025DATA'!$K$14,"")</f>
        <v/>
      </c>
      <c r="CS93" s="518" t="str">
        <f>IF(AND(_A6="B-767-300ER",'2025'!$F$4="FO",'2025'!$F$2=CS81),'2025DATA'!$L$14,"")</f>
        <v/>
      </c>
      <c r="CT93" s="518" t="str">
        <f>IF(AND(_A6="B-767-300ER",'2025'!$F$4="FO",'2025'!$F$2=CT81),'2025DATA'!$M$14,"")</f>
        <v/>
      </c>
      <c r="CU93" s="520" t="str">
        <f>IF(AND(_A6="B-767-300ER",'2025'!$F$4="FO",'2025'!$F$2=CU81),'2025DATA'!$N$14,"")</f>
        <v/>
      </c>
    </row>
    <row r="94" spans="16:99" x14ac:dyDescent="0.25">
      <c r="P94" s="940" t="s">
        <v>67</v>
      </c>
      <c r="Q94" s="13" t="s">
        <v>61</v>
      </c>
      <c r="R94" s="518" t="str">
        <f>IF(AND(_A1="B-767-300",'2025'!$F$4="CA",'2025'!$F$2=R81),'2025DATA'!$C$15,"")</f>
        <v/>
      </c>
      <c r="S94" s="518" t="str">
        <f>IF(AND(_A1="B-767-300",'2025'!$F$4="CA",'2025'!$F$2=S81),'2025DATA'!$D$15,"")</f>
        <v/>
      </c>
      <c r="T94" s="518" t="str">
        <f>IF(AND(_A1="B-767-300",'2025'!$F$4="CA",'2025'!$F$2=T81),'2025DATA'!$E$15,"")</f>
        <v/>
      </c>
      <c r="U94" s="518" t="str">
        <f>IF(AND(_A1="B-767-300",'2025'!$F$4="CA",'2025'!$F$2=U81),'2025DATA'!$F$15,"")</f>
        <v/>
      </c>
      <c r="V94" s="518" t="str">
        <f>IF(AND(_A1="B-767-300",'2025'!$F$4="CA",'2025'!$F$2=V81),'2025DATA'!$G$15,"")</f>
        <v/>
      </c>
      <c r="W94" s="518" t="str">
        <f>IF(AND(_A1="B-767-300",'2025'!$F$4="CA",'2025'!$F$2=W81),'2025DATA'!$H$15,"")</f>
        <v/>
      </c>
      <c r="X94" s="518" t="str">
        <f>IF(AND(_A1="B-767-300",'2025'!$F$4="CA",'2025'!$F$2=X81),'2025DATA'!$I$15,"")</f>
        <v/>
      </c>
      <c r="Y94" s="518" t="str">
        <f>IF(AND(_A1="B-767-300",'2025'!$F$4="CA",'2025'!$F$2=Y81),'2025DATA'!$J$15,"")</f>
        <v/>
      </c>
      <c r="Z94" s="518" t="str">
        <f>IF(AND(_A1="B-767-300",'2025'!$F$4="CA",'2025'!$F$2=Z81),'2025DATA'!$K$15,"")</f>
        <v/>
      </c>
      <c r="AA94" s="518" t="str">
        <f>IF(AND(_A1="B-767-300",'2025'!$F$4="CA",'2025'!$F$2=AA81),'2025DATA'!$L$15,"")</f>
        <v/>
      </c>
      <c r="AB94" s="518" t="str">
        <f>IF(AND(_A1="B-767-300",'2025'!$F$4="CA",'2025'!$F$2=AB81),'2025DATA'!$M$15,"")</f>
        <v/>
      </c>
      <c r="AC94" s="520" t="str">
        <f>IF(AND(_A1="B-767-300",'2025'!$F$4="CA",'2025'!$F$2=AC81),'2025DATA'!$N$15,"")</f>
        <v/>
      </c>
      <c r="AD94" s="940" t="s">
        <v>67</v>
      </c>
      <c r="AE94" s="13" t="s">
        <v>61</v>
      </c>
      <c r="AF94" s="518" t="str">
        <f>IF(AND(_A2="B-767-300",'2025'!$F$4="CA",'2025'!$F$2=AF81),'2025DATA'!$C$15,"")</f>
        <v/>
      </c>
      <c r="AG94" s="518" t="str">
        <f>IF(AND(_A2="B-767-300",'2025'!$F$4="CA",'2025'!$F$2=AG81),'2025DATA'!$D$15,"")</f>
        <v/>
      </c>
      <c r="AH94" s="518" t="str">
        <f>IF(AND(_A2="B-767-300",'2025'!$F$4="CA",'2025'!$F$2=AH81),'2025DATA'!$E$15,"")</f>
        <v/>
      </c>
      <c r="AI94" s="518" t="str">
        <f>IF(AND(_A2="B-767-300",'2025'!$F$4="CA",'2025'!$F$2=AI81),'2025DATA'!$F$15,"")</f>
        <v/>
      </c>
      <c r="AJ94" s="518" t="str">
        <f>IF(AND(_A2="B-767-300",'2025'!$F$4="CA",'2025'!$F$2=AJ81),'2025DATA'!$G$15,"")</f>
        <v/>
      </c>
      <c r="AK94" s="518" t="str">
        <f>IF(AND(_A2="B-767-300",'2025'!$F$4="CA",'2025'!$F$2=AK81),'2025DATA'!$H$15,"")</f>
        <v/>
      </c>
      <c r="AL94" s="518" t="str">
        <f>IF(AND(_A2="B-767-300",'2025'!$F$4="CA",'2025'!$F$2=AL81),'2025DATA'!$I$15,"")</f>
        <v/>
      </c>
      <c r="AM94" s="518" t="str">
        <f>IF(AND(_A2="B-767-300",'2025'!$F$4="CA",'2025'!$F$2=AM81),'2025DATA'!$J$15,"")</f>
        <v/>
      </c>
      <c r="AN94" s="518" t="str">
        <f>IF(AND(_A2="B-767-300",'2025'!$F$4="CA",'2025'!$F$2=AN81),'2025DATA'!$K$15,"")</f>
        <v/>
      </c>
      <c r="AO94" s="518" t="str">
        <f>IF(AND(_A2="B-767-300",'2025'!$F$4="CA",'2025'!$F$2=AO81),'2025DATA'!$L$15,"")</f>
        <v/>
      </c>
      <c r="AP94" s="518" t="str">
        <f>IF(AND(_A2="B-767-300",'2025'!$F$4="CA",'2025'!$F$2=AP81),'2025DATA'!$M$15,"")</f>
        <v/>
      </c>
      <c r="AQ94" s="520" t="str">
        <f>IF(AND(_A2="B-767-300",'2025'!$F$4="CA",'2025'!$F$2=AQ81),'2025DATA'!$N$15,"")</f>
        <v/>
      </c>
      <c r="AR94" s="940" t="s">
        <v>67</v>
      </c>
      <c r="AS94" s="13" t="s">
        <v>61</v>
      </c>
      <c r="AT94" s="518" t="str">
        <f>IF(AND(_A3="B-767-300",'2025'!$F$4="CA",'2025'!$F$2=AT81),'2025DATA'!$C$15,"")</f>
        <v/>
      </c>
      <c r="AU94" s="518" t="str">
        <f>IF(AND(_A3="B-767-300",'2025'!$F$4="CA",'2025'!$F$2=AU81),'2025DATA'!$D$15,"")</f>
        <v/>
      </c>
      <c r="AV94" s="518" t="str">
        <f>IF(AND(_A3="B-767-300",'2025'!$F$4="CA",'2025'!$F$2=AV81),'2025DATA'!$E$15,"")</f>
        <v/>
      </c>
      <c r="AW94" s="518" t="str">
        <f>IF(AND(_A3="B-767-300",'2025'!$F$4="CA",'2025'!$F$2=AW81),'2025DATA'!$F$15,"")</f>
        <v/>
      </c>
      <c r="AX94" s="518" t="str">
        <f>IF(AND(_A3="B-767-300",'2025'!$F$4="CA",'2025'!$F$2=AX81),'2025DATA'!$G$15,"")</f>
        <v/>
      </c>
      <c r="AY94" s="518" t="str">
        <f>IF(AND(_A3="B-767-300",'2025'!$F$4="CA",'2025'!$F$2=AY81),'2025DATA'!$H$15,"")</f>
        <v/>
      </c>
      <c r="AZ94" s="518" t="str">
        <f>IF(AND(_A3="B-767-300",'2025'!$F$4="CA",'2025'!$F$2=AZ81),'2025DATA'!$I$15,"")</f>
        <v/>
      </c>
      <c r="BA94" s="518" t="str">
        <f>IF(AND(_A3="B-767-300",'2025'!$F$4="CA",'2025'!$F$2=BA81),'2025DATA'!$J$15,"")</f>
        <v/>
      </c>
      <c r="BB94" s="518" t="str">
        <f>IF(AND(_A3="B-767-300",'2025'!$F$4="CA",'2025'!$F$2=BB81),'2025DATA'!$K$15,"")</f>
        <v/>
      </c>
      <c r="BC94" s="518" t="str">
        <f>IF(AND(_A3="B-767-300",'2025'!$F$4="CA",'2025'!$F$2=BC81),'2025DATA'!$L$15,"")</f>
        <v/>
      </c>
      <c r="BD94" s="518" t="str">
        <f>IF(AND(_A3="B-767-300",'2025'!$F$4="CA",'2025'!$F$2=BD81),'2025DATA'!$M$15,"")</f>
        <v/>
      </c>
      <c r="BE94" s="520" t="str">
        <f>IF(AND(_A3="B-767-300",'2025'!$F$4="CA",'2025'!$F$2=BE81),'2025DATA'!$N$15,"")</f>
        <v/>
      </c>
      <c r="BF94" s="940" t="s">
        <v>67</v>
      </c>
      <c r="BG94" s="13" t="s">
        <v>61</v>
      </c>
      <c r="BH94" s="518" t="str">
        <f>IF(AND(_A4="B-767-300",'2025'!$F$4="CA",'2025'!$F$2=BH81),'2025DATA'!$C$15,"")</f>
        <v/>
      </c>
      <c r="BI94" s="518" t="str">
        <f>IF(AND(_A4="B-767-300",'2025'!$F$4="CA",'2025'!$F$2=BI81),'2025DATA'!$D$15,"")</f>
        <v/>
      </c>
      <c r="BJ94" s="518" t="str">
        <f>IF(AND(_A4="B-767-300",'2025'!$F$4="CA",'2025'!$F$2=BJ81),'2025DATA'!$E$15,"")</f>
        <v/>
      </c>
      <c r="BK94" s="518" t="str">
        <f>IF(AND(_A4="B-767-300",'2025'!$F$4="CA",'2025'!$F$2=BK81),'2025DATA'!$F$15,"")</f>
        <v/>
      </c>
      <c r="BL94" s="518" t="str">
        <f>IF(AND(_A4="B-767-300",'2025'!$F$4="CA",'2025'!$F$2=BL81),'2025DATA'!$G$15,"")</f>
        <v/>
      </c>
      <c r="BM94" s="518" t="str">
        <f>IF(AND(_A4="B-767-300",'2025'!$F$4="CA",'2025'!$F$2=BM81),'2025DATA'!$H$15,"")</f>
        <v/>
      </c>
      <c r="BN94" s="518" t="str">
        <f>IF(AND(_A4="B-767-300",'2025'!$F$4="CA",'2025'!$F$2=BN81),'2025DATA'!$I$15,"")</f>
        <v/>
      </c>
      <c r="BO94" s="518" t="str">
        <f>IF(AND(_A4="B-767-300",'2025'!$F$4="CA",'2025'!$F$2=BO81),'2025DATA'!$J$15,"")</f>
        <v/>
      </c>
      <c r="BP94" s="518" t="str">
        <f>IF(AND(_A4="B-767-300",'2025'!$F$4="CA",'2025'!$F$2=BP81),'2025DATA'!$K$15,"")</f>
        <v/>
      </c>
      <c r="BQ94" s="518" t="str">
        <f>IF(AND(_A4="B-767-300",'2025'!$F$4="CA",'2025'!$F$2=BQ81),'2025DATA'!$L$15,"")</f>
        <v/>
      </c>
      <c r="BR94" s="518" t="str">
        <f>IF(AND(_A4="B-767-300",'2025'!$F$4="CA",'2025'!$F$2=BR81),'2025DATA'!$M$15,"")</f>
        <v/>
      </c>
      <c r="BS94" s="520" t="str">
        <f>IF(AND(_A4="B-767-300",'2025'!$F$4="CA",'2025'!$F$2=BS81),'2025DATA'!$N$15,"")</f>
        <v/>
      </c>
      <c r="BT94" s="940" t="s">
        <v>67</v>
      </c>
      <c r="BU94" s="13" t="s">
        <v>61</v>
      </c>
      <c r="BV94" s="518" t="str">
        <f>IF(AND(_A5="B-767-300",'2025'!$F$4="CA",'2025'!$F$2=BV81),'2025DATA'!$C$15,"")</f>
        <v/>
      </c>
      <c r="BW94" s="518" t="str">
        <f>IF(AND(_A5="B-767-300",'2025'!$F$4="CA",'2025'!$F$2=BW81),'2025DATA'!$D$15,"")</f>
        <v/>
      </c>
      <c r="BX94" s="518" t="str">
        <f>IF(AND(_A5="B-767-300",'2025'!$F$4="CA",'2025'!$F$2=BX81),'2025DATA'!$E$15,"")</f>
        <v/>
      </c>
      <c r="BY94" s="518" t="str">
        <f>IF(AND(_A5="B-767-300",'2025'!$F$4="CA",'2025'!$F$2=BY81),'2025DATA'!$F$15,"")</f>
        <v/>
      </c>
      <c r="BZ94" s="518" t="str">
        <f>IF(AND(_A5="B-767-300",'2025'!$F$4="CA",'2025'!$F$2=BZ81),'2025DATA'!$G$15,"")</f>
        <v/>
      </c>
      <c r="CA94" s="518" t="str">
        <f>IF(AND(_A5="B-767-300",'2025'!$F$4="CA",'2025'!$F$2=CA81),'2025DATA'!$H$15,"")</f>
        <v/>
      </c>
      <c r="CB94" s="518" t="str">
        <f>IF(AND(_A5="B-767-300",'2025'!$F$4="CA",'2025'!$F$2=CB81),'2025DATA'!$I$15,"")</f>
        <v/>
      </c>
      <c r="CC94" s="518" t="str">
        <f>IF(AND(_A5="B-767-300",'2025'!$F$4="CA",'2025'!$F$2=CC81),'2025DATA'!$J$15,"")</f>
        <v/>
      </c>
      <c r="CD94" s="518" t="str">
        <f>IF(AND(_A5="B-767-300",'2025'!$F$4="CA",'2025'!$F$2=CD81),'2025DATA'!$K$15,"")</f>
        <v/>
      </c>
      <c r="CE94" s="518" t="str">
        <f>IF(AND(_A5="B-767-300",'2025'!$F$4="CA",'2025'!$F$2=CE81),'2025DATA'!$L$15,"")</f>
        <v/>
      </c>
      <c r="CF94" s="518" t="str">
        <f>IF(AND(_A5="B-767-300",'2025'!$F$4="CA",'2025'!$F$2=CF81),'2025DATA'!$M$15,"")</f>
        <v/>
      </c>
      <c r="CG94" s="520" t="str">
        <f>IF(AND(_A5="B-767-300",'2025'!$F$4="CA",'2025'!$F$2=CG81),'2025DATA'!$N$15,"")</f>
        <v/>
      </c>
      <c r="CH94" s="940" t="s">
        <v>67</v>
      </c>
      <c r="CI94" s="13" t="s">
        <v>61</v>
      </c>
      <c r="CJ94" s="518" t="str">
        <f>IF(AND(_A6="B-767-300",'2025'!$F$4="CA",'2025'!$F$2=CJ81),'2025DATA'!$C$15,"")</f>
        <v/>
      </c>
      <c r="CK94" s="518" t="str">
        <f>IF(AND(_A6="B-767-300",'2025'!$F$4="CA",'2025'!$F$2=CK81),'2025DATA'!$D$15,"")</f>
        <v/>
      </c>
      <c r="CL94" s="518" t="str">
        <f>IF(AND(_A6="B-767-300",'2025'!$F$4="CA",'2025'!$F$2=CL81),'2025DATA'!$E$15,"")</f>
        <v/>
      </c>
      <c r="CM94" s="518" t="str">
        <f>IF(AND(_A6="B-767-300",'2025'!$F$4="CA",'2025'!$F$2=CM81),'2025DATA'!$F$15,"")</f>
        <v/>
      </c>
      <c r="CN94" s="518" t="str">
        <f>IF(AND(_A6="B-767-300",'2025'!$F$4="CA",'2025'!$F$2=CN81),'2025DATA'!$G$15,"")</f>
        <v/>
      </c>
      <c r="CO94" s="518" t="str">
        <f>IF(AND(_A6="B-767-300",'2025'!$F$4="CA",'2025'!$F$2=CO81),'2025DATA'!$H$15,"")</f>
        <v/>
      </c>
      <c r="CP94" s="518" t="str">
        <f>IF(AND(_A6="B-767-300",'2025'!$F$4="CA",'2025'!$F$2=CP81),'2025DATA'!$I$15,"")</f>
        <v/>
      </c>
      <c r="CQ94" s="518" t="str">
        <f>IF(AND(_A6="B-767-300",'2025'!$F$4="CA",'2025'!$F$2=CQ81),'2025DATA'!$J$15,"")</f>
        <v/>
      </c>
      <c r="CR94" s="518" t="str">
        <f>IF(AND(_A6="B-767-300",'2025'!$F$4="CA",'2025'!$F$2=CR81),'2025DATA'!$K$15,"")</f>
        <v/>
      </c>
      <c r="CS94" s="518" t="str">
        <f>IF(AND(_A6="B-767-300",'2025'!$F$4="CA",'2025'!$F$2=CS81),'2025DATA'!$L$15,"")</f>
        <v/>
      </c>
      <c r="CT94" s="518" t="str">
        <f>IF(AND(_A6="B-767-300",'2025'!$F$4="CA",'2025'!$F$2=CT81),'2025DATA'!$M$15,"")</f>
        <v/>
      </c>
      <c r="CU94" s="520" t="str">
        <f>IF(AND(_A6="B-767-300",'2025'!$F$4="CA",'2025'!$F$2=CU81),'2025DATA'!$N$15,"")</f>
        <v/>
      </c>
    </row>
    <row r="95" spans="16:99" x14ac:dyDescent="0.25">
      <c r="P95" s="940"/>
      <c r="Q95" s="13" t="s">
        <v>62</v>
      </c>
      <c r="R95" s="518" t="str">
        <f>IF(AND(_A1="B-767-300",'2025'!$F$4="FO",'2025'!$F$2=R81),'2025DATA'!$C$16,"")</f>
        <v/>
      </c>
      <c r="S95" s="518" t="str">
        <f>IF(AND(_A1="B-767-300",'2025'!$F$4="FO",'2025'!$F$2=S81),'2025DATA'!$D$16,"")</f>
        <v/>
      </c>
      <c r="T95" s="518" t="str">
        <f>IF(AND(_A1="B-767-300",'2025'!$F$4="FO",'2025'!$F$2=T81),'2025DATA'!$E$16,"")</f>
        <v/>
      </c>
      <c r="U95" s="518" t="str">
        <f>IF(AND(_A1="B-767-300",'2025'!$F$4="FO",'2025'!$F$2=U81),'2025DATA'!$F$16,"")</f>
        <v/>
      </c>
      <c r="V95" s="518" t="str">
        <f>IF(AND(_A1="B-767-300",'2025'!$F$4="FO",'2025'!$F$2=V81),'2025DATA'!$G$16,"")</f>
        <v/>
      </c>
      <c r="W95" s="518" t="str">
        <f>IF(AND(_A1="B-767-300",'2025'!$F$4="FO",'2025'!$F$2=W81),'2025DATA'!$H$16,"")</f>
        <v/>
      </c>
      <c r="X95" s="518" t="str">
        <f>IF(AND(_A1="B-767-300",'2025'!$F$4="FO",'2025'!$F$2=X81),'2025DATA'!$I$16,"")</f>
        <v/>
      </c>
      <c r="Y95" s="518" t="str">
        <f>IF(AND(_A1="B-767-300",'2025'!$F$4="FO",'2025'!$F$2=Y81),'2025DATA'!$J$16,"")</f>
        <v/>
      </c>
      <c r="Z95" s="518" t="str">
        <f>IF(AND(_A1="B-767-300",'2025'!$F$4="FO",'2025'!$F$2=Z81),'2025DATA'!$K$16,"")</f>
        <v/>
      </c>
      <c r="AA95" s="518" t="str">
        <f>IF(AND(_A1="B-767-300",'2025'!$F$4="FO",'2025'!$F$2=AA81),'2025DATA'!$L$16,"")</f>
        <v/>
      </c>
      <c r="AB95" s="518" t="str">
        <f>IF(AND(_A1="B-767-300",'2025'!$F$4="FO",'2025'!$F$2=AB81),'2025DATA'!$M$16,"")</f>
        <v/>
      </c>
      <c r="AC95" s="520" t="str">
        <f>IF(AND(_A1="B-767-300",'2025'!$F$4="FO",'2025'!$F$2=AC81),'2025DATA'!$N$16,"")</f>
        <v/>
      </c>
      <c r="AD95" s="940"/>
      <c r="AE95" s="13" t="s">
        <v>62</v>
      </c>
      <c r="AF95" s="518" t="str">
        <f>IF(AND(_A2="B-767-300",'2025'!$F$4="FO",'2025'!$F$2=AF81),'2025DATA'!$C$16,"")</f>
        <v/>
      </c>
      <c r="AG95" s="518" t="str">
        <f>IF(AND(_A2="B-767-300",'2025'!$F$4="FO",'2025'!$F$2=AG81),'2025DATA'!$D$16,"")</f>
        <v/>
      </c>
      <c r="AH95" s="518" t="str">
        <f>IF(AND(_A2="B-767-300",'2025'!$F$4="FO",'2025'!$F$2=AH81),'2025DATA'!$E$16,"")</f>
        <v/>
      </c>
      <c r="AI95" s="518" t="str">
        <f>IF(AND(_A2="B-767-300",'2025'!$F$4="FO",'2025'!$F$2=AI81),'2025DATA'!$F$16,"")</f>
        <v/>
      </c>
      <c r="AJ95" s="518" t="str">
        <f>IF(AND(_A2="B-767-300",'2025'!$F$4="FO",'2025'!$F$2=AJ81),'2025DATA'!$G$16,"")</f>
        <v/>
      </c>
      <c r="AK95" s="518" t="str">
        <f>IF(AND(_A2="B-767-300",'2025'!$F$4="FO",'2025'!$F$2=AK81),'2025DATA'!$H$16,"")</f>
        <v/>
      </c>
      <c r="AL95" s="518" t="str">
        <f>IF(AND(_A2="B-767-300",'2025'!$F$4="FO",'2025'!$F$2=AL81),'2025DATA'!$I$16,"")</f>
        <v/>
      </c>
      <c r="AM95" s="518" t="str">
        <f>IF(AND(_A2="B-767-300",'2025'!$F$4="FO",'2025'!$F$2=AM81),'2025DATA'!$J$16,"")</f>
        <v/>
      </c>
      <c r="AN95" s="518" t="str">
        <f>IF(AND(_A2="B-767-300",'2025'!$F$4="FO",'2025'!$F$2=AN81),'2025DATA'!$K$16,"")</f>
        <v/>
      </c>
      <c r="AO95" s="518" t="str">
        <f>IF(AND(_A2="B-767-300",'2025'!$F$4="FO",'2025'!$F$2=AO81),'2025DATA'!$L$16,"")</f>
        <v/>
      </c>
      <c r="AP95" s="518" t="str">
        <f>IF(AND(_A2="B-767-300",'2025'!$F$4="FO",'2025'!$F$2=AP81),'2025DATA'!$M$16,"")</f>
        <v/>
      </c>
      <c r="AQ95" s="520" t="str">
        <f>IF(AND(_A2="B-767-300",'2025'!$F$4="FO",'2025'!$F$2=AQ81),'2025DATA'!$N$16,"")</f>
        <v/>
      </c>
      <c r="AR95" s="940"/>
      <c r="AS95" s="13" t="s">
        <v>62</v>
      </c>
      <c r="AT95" s="518" t="str">
        <f>IF(AND(_A3="B-767-300",'2025'!$F$4="FO",'2025'!$F$2=AT81),'2025DATA'!$C$16,"")</f>
        <v/>
      </c>
      <c r="AU95" s="518" t="str">
        <f>IF(AND(_A3="B-767-300",'2025'!$F$4="FO",'2025'!$F$2=AU81),'2025DATA'!$D$16,"")</f>
        <v/>
      </c>
      <c r="AV95" s="518" t="str">
        <f>IF(AND(_A3="B-767-300",'2025'!$F$4="FO",'2025'!$F$2=AV81),'2025DATA'!$E$16,"")</f>
        <v/>
      </c>
      <c r="AW95" s="518" t="str">
        <f>IF(AND(_A3="B-767-300",'2025'!$F$4="FO",'2025'!$F$2=AW81),'2025DATA'!$F$16,"")</f>
        <v/>
      </c>
      <c r="AX95" s="518" t="str">
        <f>IF(AND(_A3="B-767-300",'2025'!$F$4="FO",'2025'!$F$2=AX81),'2025DATA'!$G$16,"")</f>
        <v/>
      </c>
      <c r="AY95" s="518" t="str">
        <f>IF(AND(_A3="B-767-300",'2025'!$F$4="FO",'2025'!$F$2=AY81),'2025DATA'!$H$16,"")</f>
        <v/>
      </c>
      <c r="AZ95" s="518" t="str">
        <f>IF(AND(_A3="B-767-300",'2025'!$F$4="FO",'2025'!$F$2=AZ81),'2025DATA'!$I$16,"")</f>
        <v/>
      </c>
      <c r="BA95" s="518" t="str">
        <f>IF(AND(_A3="B-767-300",'2025'!$F$4="FO",'2025'!$F$2=BA81),'2025DATA'!$J$16,"")</f>
        <v/>
      </c>
      <c r="BB95" s="518" t="str">
        <f>IF(AND(_A3="B-767-300",'2025'!$F$4="FO",'2025'!$F$2=BB81),'2025DATA'!$K$16,"")</f>
        <v/>
      </c>
      <c r="BC95" s="518" t="str">
        <f>IF(AND(_A3="B-767-300",'2025'!$F$4="FO",'2025'!$F$2=BC81),'2025DATA'!$L$16,"")</f>
        <v/>
      </c>
      <c r="BD95" s="518" t="str">
        <f>IF(AND(_A3="B-767-300",'2025'!$F$4="FO",'2025'!$F$2=BD81),'2025DATA'!$M$16,"")</f>
        <v/>
      </c>
      <c r="BE95" s="520" t="str">
        <f>IF(AND(_A3="B-767-300",'2025'!$F$4="FO",'2025'!$F$2=BE81),'2025DATA'!$N$16,"")</f>
        <v/>
      </c>
      <c r="BF95" s="940"/>
      <c r="BG95" s="13" t="s">
        <v>62</v>
      </c>
      <c r="BH95" s="518" t="str">
        <f>IF(AND(_A4="B-767-300",'2025'!$F$4="FO",'2025'!$F$2=BH81),'2025DATA'!$C$16,"")</f>
        <v/>
      </c>
      <c r="BI95" s="518" t="str">
        <f>IF(AND(_A4="B-767-300",'2025'!$F$4="FO",'2025'!$F$2=BI81),'2025DATA'!$D$16,"")</f>
        <v/>
      </c>
      <c r="BJ95" s="518" t="str">
        <f>IF(AND(_A4="B-767-300",'2025'!$F$4="FO",'2025'!$F$2=BJ81),'2025DATA'!$E$16,"")</f>
        <v/>
      </c>
      <c r="BK95" s="518" t="str">
        <f>IF(AND(_A4="B-767-300",'2025'!$F$4="FO",'2025'!$F$2=BK81),'2025DATA'!$F$16,"")</f>
        <v/>
      </c>
      <c r="BL95" s="518" t="str">
        <f>IF(AND(_A4="B-767-300",'2025'!$F$4="FO",'2025'!$F$2=BL81),'2025DATA'!$G$16,"")</f>
        <v/>
      </c>
      <c r="BM95" s="518" t="str">
        <f>IF(AND(_A4="B-767-300",'2025'!$F$4="FO",'2025'!$F$2=BM81),'2025DATA'!$H$16,"")</f>
        <v/>
      </c>
      <c r="BN95" s="518" t="str">
        <f>IF(AND(_A4="B-767-300",'2025'!$F$4="FO",'2025'!$F$2=BN81),'2025DATA'!$I$16,"")</f>
        <v/>
      </c>
      <c r="BO95" s="518" t="str">
        <f>IF(AND(_A4="B-767-300",'2025'!$F$4="FO",'2025'!$F$2=BO81),'2025DATA'!$J$16,"")</f>
        <v/>
      </c>
      <c r="BP95" s="518" t="str">
        <f>IF(AND(_A4="B-767-300",'2025'!$F$4="FO",'2025'!$F$2=BP81),'2025DATA'!$K$16,"")</f>
        <v/>
      </c>
      <c r="BQ95" s="518" t="str">
        <f>IF(AND(_A4="B-767-300",'2025'!$F$4="FO",'2025'!$F$2=BQ81),'2025DATA'!$L$16,"")</f>
        <v/>
      </c>
      <c r="BR95" s="518" t="str">
        <f>IF(AND(_A4="B-767-300",'2025'!$F$4="FO",'2025'!$F$2=BR81),'2025DATA'!$M$16,"")</f>
        <v/>
      </c>
      <c r="BS95" s="520" t="str">
        <f>IF(AND(_A4="B-767-300",'2025'!$F$4="FO",'2025'!$F$2=BS81),'2025DATA'!$N$16,"")</f>
        <v/>
      </c>
      <c r="BT95" s="940"/>
      <c r="BU95" s="13" t="s">
        <v>62</v>
      </c>
      <c r="BV95" s="518" t="str">
        <f>IF(AND(_A5="B-767-300",'2025'!$F$4="FO",'2025'!$F$2=BV81),'2025DATA'!$C$16,"")</f>
        <v/>
      </c>
      <c r="BW95" s="518" t="str">
        <f>IF(AND(_A5="B-767-300",'2025'!$F$4="FO",'2025'!$F$2=BW81),'2025DATA'!$D$16,"")</f>
        <v/>
      </c>
      <c r="BX95" s="518" t="str">
        <f>IF(AND(_A5="B-767-300",'2025'!$F$4="FO",'2025'!$F$2=BX81),'2025DATA'!$E$16,"")</f>
        <v/>
      </c>
      <c r="BY95" s="518" t="str">
        <f>IF(AND(_A5="B-767-300",'2025'!$F$4="FO",'2025'!$F$2=BY81),'2025DATA'!$F$16,"")</f>
        <v/>
      </c>
      <c r="BZ95" s="518" t="str">
        <f>IF(AND(_A5="B-767-300",'2025'!$F$4="FO",'2025'!$F$2=BZ81),'2025DATA'!$G$16,"")</f>
        <v/>
      </c>
      <c r="CA95" s="518" t="str">
        <f>IF(AND(_A5="B-767-300",'2025'!$F$4="FO",'2025'!$F$2=CA81),'2025DATA'!$H$16,"")</f>
        <v/>
      </c>
      <c r="CB95" s="518" t="str">
        <f>IF(AND(_A5="B-767-300",'2025'!$F$4="FO",'2025'!$F$2=CB81),'2025DATA'!$I$16,"")</f>
        <v/>
      </c>
      <c r="CC95" s="518" t="str">
        <f>IF(AND(_A5="B-767-300",'2025'!$F$4="FO",'2025'!$F$2=CC81),'2025DATA'!$J$16,"")</f>
        <v/>
      </c>
      <c r="CD95" s="518" t="str">
        <f>IF(AND(_A5="B-767-300",'2025'!$F$4="FO",'2025'!$F$2=CD81),'2025DATA'!$K$16,"")</f>
        <v/>
      </c>
      <c r="CE95" s="518" t="str">
        <f>IF(AND(_A5="B-767-300",'2025'!$F$4="FO",'2025'!$F$2=CE81),'2025DATA'!$L$16,"")</f>
        <v/>
      </c>
      <c r="CF95" s="518" t="str">
        <f>IF(AND(_A5="B-767-300",'2025'!$F$4="FO",'2025'!$F$2=CF81),'2025DATA'!$M$16,"")</f>
        <v/>
      </c>
      <c r="CG95" s="520" t="str">
        <f>IF(AND(_A5="B-767-300",'2025'!$F$4="FO",'2025'!$F$2=CG81),'2025DATA'!$N$16,"")</f>
        <v/>
      </c>
      <c r="CH95" s="940"/>
      <c r="CI95" s="13" t="s">
        <v>62</v>
      </c>
      <c r="CJ95" s="518" t="str">
        <f>IF(AND(_A6="B-767-300",'2025'!$F$4="FO",'2025'!$F$2=CJ81),'2025DATA'!$C$16,"")</f>
        <v/>
      </c>
      <c r="CK95" s="518" t="str">
        <f>IF(AND(_A6="B-767-300",'2025'!$F$4="FO",'2025'!$F$2=CK81),'2025DATA'!$D$16,"")</f>
        <v/>
      </c>
      <c r="CL95" s="518" t="str">
        <f>IF(AND(_A6="B-767-300",'2025'!$F$4="FO",'2025'!$F$2=CL81),'2025DATA'!$E$16,"")</f>
        <v/>
      </c>
      <c r="CM95" s="518" t="str">
        <f>IF(AND(_A6="B-767-300",'2025'!$F$4="FO",'2025'!$F$2=CM81),'2025DATA'!$F$16,"")</f>
        <v/>
      </c>
      <c r="CN95" s="518" t="str">
        <f>IF(AND(_A6="B-767-300",'2025'!$F$4="FO",'2025'!$F$2=CN81),'2025DATA'!$G$16,"")</f>
        <v/>
      </c>
      <c r="CO95" s="518" t="str">
        <f>IF(AND(_A6="B-767-300",'2025'!$F$4="FO",'2025'!$F$2=CO81),'2025DATA'!$H$16,"")</f>
        <v/>
      </c>
      <c r="CP95" s="518" t="str">
        <f>IF(AND(_A6="B-767-300",'2025'!$F$4="FO",'2025'!$F$2=CP81),'2025DATA'!$I$16,"")</f>
        <v/>
      </c>
      <c r="CQ95" s="518" t="str">
        <f>IF(AND(_A6="B-767-300",'2025'!$F$4="FO",'2025'!$F$2=CQ81),'2025DATA'!$J$16,"")</f>
        <v/>
      </c>
      <c r="CR95" s="518" t="str">
        <f>IF(AND(_A6="B-767-300",'2025'!$F$4="FO",'2025'!$F$2=CR81),'2025DATA'!$K$16,"")</f>
        <v/>
      </c>
      <c r="CS95" s="518" t="str">
        <f>IF(AND(_A6="B-767-300",'2025'!$F$4="FO",'2025'!$F$2=CS81),'2025DATA'!$L$16,"")</f>
        <v/>
      </c>
      <c r="CT95" s="518" t="str">
        <f>IF(AND(_A6="B-767-300",'2025'!$F$4="FO",'2025'!$F$2=CT81),'2025DATA'!$M$16,"")</f>
        <v/>
      </c>
      <c r="CU95" s="520" t="str">
        <f>IF(AND(_A6="B-767-300",'2025'!$F$4="FO",'2025'!$F$2=CU81),'2025DATA'!$N$16,"")</f>
        <v/>
      </c>
    </row>
    <row r="96" spans="16:99" x14ac:dyDescent="0.25">
      <c r="P96" s="940" t="s">
        <v>68</v>
      </c>
      <c r="Q96" s="13" t="s">
        <v>61</v>
      </c>
      <c r="R96" s="518" t="str">
        <f>IF(AND(_A1="B-767-200",'2025'!$F$4="CA",'2025'!$F$2=R81),'2025DATA'!$C$17,"")</f>
        <v/>
      </c>
      <c r="S96" s="518" t="str">
        <f>IF(AND(_A1="B-767-200",'2025'!$F$4="CA",'2025'!$F$2=S81),'2025DATA'!$D$17,"")</f>
        <v/>
      </c>
      <c r="T96" s="518" t="str">
        <f>IF(AND(_A1="B-767-200",'2025'!$F$4="CA",'2025'!$F$2=T81),'2025DATA'!$E$17,"")</f>
        <v/>
      </c>
      <c r="U96" s="518" t="str">
        <f>IF(AND(_A1="B-767-200",'2025'!$F$4="CA",'2025'!$F$2=U81),'2025DATA'!$F$17,"")</f>
        <v/>
      </c>
      <c r="V96" s="518" t="str">
        <f>IF(AND(_A1="B-767-200",'2025'!$F$4="CA",'2025'!$F$2=V81),'2025DATA'!$G$17,"")</f>
        <v/>
      </c>
      <c r="W96" s="518" t="str">
        <f>IF(AND(_A1="B-767-200",'2025'!$F$4="CA",'2025'!$F$2=W81),'2025DATA'!$H$17,"")</f>
        <v/>
      </c>
      <c r="X96" s="518" t="str">
        <f>IF(AND(_A1="B-767-200",'2025'!$F$4="CA",'2025'!$F$2=X81),'2025DATA'!$I$17,"")</f>
        <v/>
      </c>
      <c r="Y96" s="518" t="str">
        <f>IF(AND(_A1="B-767-200",'2025'!$F$4="CA",'2025'!$F$2=Y81),'2025DATA'!$J$17,"")</f>
        <v/>
      </c>
      <c r="Z96" s="518" t="str">
        <f>IF(AND(_A1="B-767-200",'2025'!$F$4="CA",'2025'!$F$2=Z81),'2025DATA'!$K$17,"")</f>
        <v/>
      </c>
      <c r="AA96" s="518" t="str">
        <f>IF(AND(_A1="B-767-200",'2025'!$F$4="CA",'2025'!$F$2=AA81),'2025DATA'!$L$17,"")</f>
        <v/>
      </c>
      <c r="AB96" s="518" t="str">
        <f>IF(AND(_A1="B-767-200",'2025'!$F$4="CA",'2025'!$F$2=AB81),'2025DATA'!$M$17,"")</f>
        <v/>
      </c>
      <c r="AC96" s="520" t="str">
        <f>IF(AND(_A1="B-767-200",'2025'!$F$4="CA",'2025'!$F$2=AC81),'2025DATA'!$N$17,"")</f>
        <v/>
      </c>
      <c r="AD96" s="940" t="s">
        <v>68</v>
      </c>
      <c r="AE96" s="13" t="s">
        <v>61</v>
      </c>
      <c r="AF96" s="518" t="str">
        <f>IF(AND(_A2="B-767-200",'2025'!$F$4="CA",'2025'!$F$2=AF81),'2025DATA'!$C$17,"")</f>
        <v/>
      </c>
      <c r="AG96" s="518" t="str">
        <f>IF(AND(_A2="B-767-200",'2025'!$F$4="CA",'2025'!$F$2=AG81),'2025DATA'!$D$17,"")</f>
        <v/>
      </c>
      <c r="AH96" s="518" t="str">
        <f>IF(AND(_A2="B-767-200",'2025'!$F$4="CA",'2025'!$F$2=AH81),'2025DATA'!$E$17,"")</f>
        <v/>
      </c>
      <c r="AI96" s="518" t="str">
        <f>IF(AND(_A2="B-767-200",'2025'!$F$4="CA",'2025'!$F$2=AI81),'2025DATA'!$F$17,"")</f>
        <v/>
      </c>
      <c r="AJ96" s="518" t="str">
        <f>IF(AND(_A2="B-767-200",'2025'!$F$4="CA",'2025'!$F$2=AJ81),'2025DATA'!$G$17,"")</f>
        <v/>
      </c>
      <c r="AK96" s="518" t="str">
        <f>IF(AND(_A2="B-767-200",'2025'!$F$4="CA",'2025'!$F$2=AK81),'2025DATA'!$H$17,"")</f>
        <v/>
      </c>
      <c r="AL96" s="518" t="str">
        <f>IF(AND(_A2="B-767-200",'2025'!$F$4="CA",'2025'!$F$2=AL81),'2025DATA'!$I$17,"")</f>
        <v/>
      </c>
      <c r="AM96" s="518" t="str">
        <f>IF(AND(_A2="B-767-200",'2025'!$F$4="CA",'2025'!$F$2=AM81),'2025DATA'!$J$17,"")</f>
        <v/>
      </c>
      <c r="AN96" s="518" t="str">
        <f>IF(AND(_A2="B-767-200",'2025'!$F$4="CA",'2025'!$F$2=AN81),'2025DATA'!$K$17,"")</f>
        <v/>
      </c>
      <c r="AO96" s="518" t="str">
        <f>IF(AND(_A2="B-767-200",'2025'!$F$4="CA",'2025'!$F$2=AO81),'2025DATA'!$L$17,"")</f>
        <v/>
      </c>
      <c r="AP96" s="518" t="str">
        <f>IF(AND(_A2="B-767-200",'2025'!$F$4="CA",'2025'!$F$2=AP81),'2025DATA'!$M$17,"")</f>
        <v/>
      </c>
      <c r="AQ96" s="520" t="str">
        <f>IF(AND(_A2="B-767-200",'2025'!$F$4="CA",'2025'!$F$2=AQ81),'2025DATA'!$N$17,"")</f>
        <v/>
      </c>
      <c r="AR96" s="940" t="s">
        <v>68</v>
      </c>
      <c r="AS96" s="13" t="s">
        <v>61</v>
      </c>
      <c r="AT96" s="518" t="str">
        <f>IF(AND(_A3="B-767-200",'2025'!$F$4="CA",'2025'!$F$2=AT81),'2025DATA'!$C$17,"")</f>
        <v/>
      </c>
      <c r="AU96" s="518" t="str">
        <f>IF(AND(_A3="B-767-200",'2025'!$F$4="CA",'2025'!$F$2=AU81),'2025DATA'!$D$17,"")</f>
        <v/>
      </c>
      <c r="AV96" s="518" t="str">
        <f>IF(AND(_A3="B-767-200",'2025'!$F$4="CA",'2025'!$F$2=AV81),'2025DATA'!$E$17,"")</f>
        <v/>
      </c>
      <c r="AW96" s="518" t="str">
        <f>IF(AND(_A3="B-767-200",'2025'!$F$4="CA",'2025'!$F$2=AW81),'2025DATA'!$F$17,"")</f>
        <v/>
      </c>
      <c r="AX96" s="518" t="str">
        <f>IF(AND(_A3="B-767-200",'2025'!$F$4="CA",'2025'!$F$2=AX81),'2025DATA'!$G$17,"")</f>
        <v/>
      </c>
      <c r="AY96" s="518" t="str">
        <f>IF(AND(_A3="B-767-200",'2025'!$F$4="CA",'2025'!$F$2=AY81),'2025DATA'!$H$17,"")</f>
        <v/>
      </c>
      <c r="AZ96" s="518" t="str">
        <f>IF(AND(_A3="B-767-200",'2025'!$F$4="CA",'2025'!$F$2=AZ81),'2025DATA'!$I$17,"")</f>
        <v/>
      </c>
      <c r="BA96" s="518" t="str">
        <f>IF(AND(_A3="B-767-200",'2025'!$F$4="CA",'2025'!$F$2=BA81),'2025DATA'!$J$17,"")</f>
        <v/>
      </c>
      <c r="BB96" s="518" t="str">
        <f>IF(AND(_A3="B-767-200",'2025'!$F$4="CA",'2025'!$F$2=BB81),'2025DATA'!$K$17,"")</f>
        <v/>
      </c>
      <c r="BC96" s="518" t="str">
        <f>IF(AND(_A3="B-767-200",'2025'!$F$4="CA",'2025'!$F$2=BC81),'2025DATA'!$L$17,"")</f>
        <v/>
      </c>
      <c r="BD96" s="518" t="str">
        <f>IF(AND(_A3="B-767-200",'2025'!$F$4="CA",'2025'!$F$2=BD81),'2025DATA'!$M$17,"")</f>
        <v/>
      </c>
      <c r="BE96" s="520" t="str">
        <f>IF(AND(_A3="B-767-200",'2025'!$F$4="CA",'2025'!$F$2=BE81),'2025DATA'!$N$17,"")</f>
        <v/>
      </c>
      <c r="BF96" s="940" t="s">
        <v>68</v>
      </c>
      <c r="BG96" s="13" t="s">
        <v>61</v>
      </c>
      <c r="BH96" s="518" t="str">
        <f>IF(AND(_A4="B-767-200",'2025'!$F$4="CA",'2025'!$F$2=BH81),'2025DATA'!$C$17,"")</f>
        <v/>
      </c>
      <c r="BI96" s="518" t="str">
        <f>IF(AND(_A4="B-767-200",'2025'!$F$4="CA",'2025'!$F$2=BI81),'2025DATA'!$D$17,"")</f>
        <v/>
      </c>
      <c r="BJ96" s="518" t="str">
        <f>IF(AND(_A4="B-767-200",'2025'!$F$4="CA",'2025'!$F$2=BJ81),'2025DATA'!$E$17,"")</f>
        <v/>
      </c>
      <c r="BK96" s="518" t="str">
        <f>IF(AND(_A4="B-767-200",'2025'!$F$4="CA",'2025'!$F$2=BK81),'2025DATA'!$F$17,"")</f>
        <v/>
      </c>
      <c r="BL96" s="518" t="str">
        <f>IF(AND(_A4="B-767-200",'2025'!$F$4="CA",'2025'!$F$2=BL81),'2025DATA'!$G$17,"")</f>
        <v/>
      </c>
      <c r="BM96" s="518" t="str">
        <f>IF(AND(_A4="B-767-200",'2025'!$F$4="CA",'2025'!$F$2=BM81),'2025DATA'!$H$17,"")</f>
        <v/>
      </c>
      <c r="BN96" s="518" t="str">
        <f>IF(AND(_A4="B-767-200",'2025'!$F$4="CA",'2025'!$F$2=BN81),'2025DATA'!$I$17,"")</f>
        <v/>
      </c>
      <c r="BO96" s="518" t="str">
        <f>IF(AND(_A4="B-767-200",'2025'!$F$4="CA",'2025'!$F$2=BO81),'2025DATA'!$J$17,"")</f>
        <v/>
      </c>
      <c r="BP96" s="518" t="str">
        <f>IF(AND(_A4="B-767-200",'2025'!$F$4="CA",'2025'!$F$2=BP81),'2025DATA'!$K$17,"")</f>
        <v/>
      </c>
      <c r="BQ96" s="518" t="str">
        <f>IF(AND(_A4="B-767-200",'2025'!$F$4="CA",'2025'!$F$2=BQ81),'2025DATA'!$L$17,"")</f>
        <v/>
      </c>
      <c r="BR96" s="518" t="str">
        <f>IF(AND(_A4="B-767-200",'2025'!$F$4="CA",'2025'!$F$2=BR81),'2025DATA'!$M$17,"")</f>
        <v/>
      </c>
      <c r="BS96" s="520" t="str">
        <f>IF(AND(_A4="B-767-200",'2025'!$F$4="CA",'2025'!$F$2=BS81),'2025DATA'!$N$17,"")</f>
        <v/>
      </c>
      <c r="BT96" s="940" t="s">
        <v>68</v>
      </c>
      <c r="BU96" s="13" t="s">
        <v>61</v>
      </c>
      <c r="BV96" s="518" t="str">
        <f>IF(AND(_A5="B-767-200",'2025'!$F$4="CA",'2025'!$F$2=BV81),'2025DATA'!$C$17,"")</f>
        <v/>
      </c>
      <c r="BW96" s="518" t="str">
        <f>IF(AND(_A5="B-767-200",'2025'!$F$4="CA",'2025'!$F$2=BW81),'2025DATA'!$D$17,"")</f>
        <v/>
      </c>
      <c r="BX96" s="518" t="str">
        <f>IF(AND(_A5="B-767-200",'2025'!$F$4="CA",'2025'!$F$2=BX81),'2025DATA'!$E$17,"")</f>
        <v/>
      </c>
      <c r="BY96" s="518" t="str">
        <f>IF(AND(_A5="B-767-200",'2025'!$F$4="CA",'2025'!$F$2=BY81),'2025DATA'!$F$17,"")</f>
        <v/>
      </c>
      <c r="BZ96" s="518" t="str">
        <f>IF(AND(_A5="B-767-200",'2025'!$F$4="CA",'2025'!$F$2=BZ81),'2025DATA'!$G$17,"")</f>
        <v/>
      </c>
      <c r="CA96" s="518" t="str">
        <f>IF(AND(_A5="B-767-200",'2025'!$F$4="CA",'2025'!$F$2=CA81),'2025DATA'!$H$17,"")</f>
        <v/>
      </c>
      <c r="CB96" s="518" t="str">
        <f>IF(AND(_A5="B-767-200",'2025'!$F$4="CA",'2025'!$F$2=CB81),'2025DATA'!$I$17,"")</f>
        <v/>
      </c>
      <c r="CC96" s="518" t="str">
        <f>IF(AND(_A5="B-767-200",'2025'!$F$4="CA",'2025'!$F$2=CC81),'2025DATA'!$J$17,"")</f>
        <v/>
      </c>
      <c r="CD96" s="518" t="str">
        <f>IF(AND(_A5="B-767-200",'2025'!$F$4="CA",'2025'!$F$2=CD81),'2025DATA'!$K$17,"")</f>
        <v/>
      </c>
      <c r="CE96" s="518" t="str">
        <f>IF(AND(_A5="B-767-200",'2025'!$F$4="CA",'2025'!$F$2=CE81),'2025DATA'!$L$17,"")</f>
        <v/>
      </c>
      <c r="CF96" s="518" t="str">
        <f>IF(AND(_A5="B-767-200",'2025'!$F$4="CA",'2025'!$F$2=CF81),'2025DATA'!$M$17,"")</f>
        <v/>
      </c>
      <c r="CG96" s="520" t="str">
        <f>IF(AND(_A5="B-767-200",'2025'!$F$4="CA",'2025'!$F$2=CG81),'2025DATA'!$N$17,"")</f>
        <v/>
      </c>
      <c r="CH96" s="940" t="s">
        <v>68</v>
      </c>
      <c r="CI96" s="13" t="s">
        <v>61</v>
      </c>
      <c r="CJ96" s="518" t="str">
        <f>IF(AND(_A6="B-767-200",'2025'!$F$4="CA",'2025'!$F$2=CJ81),'2025DATA'!$C$17,"")</f>
        <v/>
      </c>
      <c r="CK96" s="518" t="str">
        <f>IF(AND(_A6="B-767-200",'2025'!$F$4="CA",'2025'!$F$2=CK81),'2025DATA'!$D$17,"")</f>
        <v/>
      </c>
      <c r="CL96" s="518" t="str">
        <f>IF(AND(_A6="B-767-200",'2025'!$F$4="CA",'2025'!$F$2=CL81),'2025DATA'!$E$17,"")</f>
        <v/>
      </c>
      <c r="CM96" s="518" t="str">
        <f>IF(AND(_A6="B-767-200",'2025'!$F$4="CA",'2025'!$F$2=CM81),'2025DATA'!$F$17,"")</f>
        <v/>
      </c>
      <c r="CN96" s="518" t="str">
        <f>IF(AND(_A6="B-767-200",'2025'!$F$4="CA",'2025'!$F$2=CN81),'2025DATA'!$G$17,"")</f>
        <v/>
      </c>
      <c r="CO96" s="518" t="str">
        <f>IF(AND(_A6="B-767-200",'2025'!$F$4="CA",'2025'!$F$2=CO81),'2025DATA'!$H$17,"")</f>
        <v/>
      </c>
      <c r="CP96" s="518" t="str">
        <f>IF(AND(_A6="B-767-200",'2025'!$F$4="CA",'2025'!$F$2=CP81),'2025DATA'!$I$17,"")</f>
        <v/>
      </c>
      <c r="CQ96" s="518" t="str">
        <f>IF(AND(_A6="B-767-200",'2025'!$F$4="CA",'2025'!$F$2=CQ81),'2025DATA'!$J$17,"")</f>
        <v/>
      </c>
      <c r="CR96" s="518" t="str">
        <f>IF(AND(_A6="B-767-200",'2025'!$F$4="CA",'2025'!$F$2=CR81),'2025DATA'!$K$17,"")</f>
        <v/>
      </c>
      <c r="CS96" s="518" t="str">
        <f>IF(AND(_A6="B-767-200",'2025'!$F$4="CA",'2025'!$F$2=CS81),'2025DATA'!$L$17,"")</f>
        <v/>
      </c>
      <c r="CT96" s="518" t="str">
        <f>IF(AND(_A6="B-767-200",'2025'!$F$4="CA",'2025'!$F$2=CT81),'2025DATA'!$M$17,"")</f>
        <v/>
      </c>
      <c r="CU96" s="520" t="str">
        <f>IF(AND(_A6="B-767-200",'2025'!$F$4="CA",'2025'!$F$2=CU81),'2025DATA'!$N$17,"")</f>
        <v/>
      </c>
    </row>
    <row r="97" spans="16:99" x14ac:dyDescent="0.25">
      <c r="P97" s="940"/>
      <c r="Q97" s="13" t="s">
        <v>62</v>
      </c>
      <c r="R97" s="518" t="str">
        <f>IF(AND(_A1="B-767-200",'2025'!$F$4="FO",'2025'!$F$2=R81),'2025DATA'!$C$18,"")</f>
        <v/>
      </c>
      <c r="S97" s="518" t="str">
        <f>IF(AND(_A1="B-767-200",'2025'!$F$4="FO",'2025'!$F$2=S81),'2025DATA'!$D$18,"")</f>
        <v/>
      </c>
      <c r="T97" s="518" t="str">
        <f>IF(AND(_A1="B-767-200",'2025'!$F$4="FO",'2025'!$F$2=T81),'2025DATA'!$E$18,"")</f>
        <v/>
      </c>
      <c r="U97" s="518" t="str">
        <f>IF(AND(_A1="B-767-200",'2025'!$F$4="FO",'2025'!$F$2=U81),'2025DATA'!$F$18,"")</f>
        <v/>
      </c>
      <c r="V97" s="518" t="str">
        <f>IF(AND(_A1="B-767-200",'2025'!$F$4="FO",'2025'!$F$2=V81),'2025DATA'!$G$18,"")</f>
        <v/>
      </c>
      <c r="W97" s="518" t="str">
        <f>IF(AND(_A1="B-767-200",'2025'!$F$4="FO",'2025'!$F$2=W81),'2025DATA'!$H$18,"")</f>
        <v/>
      </c>
      <c r="X97" s="518" t="str">
        <f>IF(AND(_A1="B-767-200",'2025'!$F$4="FO",'2025'!$F$2=X81),'2025DATA'!$I$18,"")</f>
        <v/>
      </c>
      <c r="Y97" s="518" t="str">
        <f>IF(AND(_A1="B-767-200",'2025'!$F$4="FO",'2025'!$F$2=Y81),'2025DATA'!$J$18,"")</f>
        <v/>
      </c>
      <c r="Z97" s="518" t="str">
        <f>IF(AND(_A1="B-767-200",'2025'!$F$4="FO",'2025'!$F$2=Z81),'2025DATA'!$K$18,"")</f>
        <v/>
      </c>
      <c r="AA97" s="518" t="str">
        <f>IF(AND(_A1="B-767-200",'2025'!$F$4="FO",'2025'!$F$2=AA81),'2025DATA'!$L$18,"")</f>
        <v/>
      </c>
      <c r="AB97" s="518" t="str">
        <f>IF(AND(_A1="B-767-200",'2025'!$F$4="FO",'2025'!$F$2=AB81),'2025DATA'!$M$18,"")</f>
        <v/>
      </c>
      <c r="AC97" s="520" t="str">
        <f>IF(AND(_A1="B-767-200",'2025'!$F$4="FO",'2025'!$F$2=AC81),'2025DATA'!$N$18,"")</f>
        <v/>
      </c>
      <c r="AD97" s="940"/>
      <c r="AE97" s="13" t="s">
        <v>62</v>
      </c>
      <c r="AF97" s="518" t="str">
        <f>IF(AND(_A2="B-767-200",'2025'!$F$4="FO",'2025'!$F$2=AF81),'2025DATA'!$C$18,"")</f>
        <v/>
      </c>
      <c r="AG97" s="518" t="str">
        <f>IF(AND(_A2="B-767-200",'2025'!$F$4="FO",'2025'!$F$2=AG81),'2025DATA'!$D$18,"")</f>
        <v/>
      </c>
      <c r="AH97" s="518" t="str">
        <f>IF(AND(_A2="B-767-200",'2025'!$F$4="FO",'2025'!$F$2=AH81),'2025DATA'!$E$18,"")</f>
        <v/>
      </c>
      <c r="AI97" s="518" t="str">
        <f>IF(AND(_A2="B-767-200",'2025'!$F$4="FO",'2025'!$F$2=AI81),'2025DATA'!$F$18,"")</f>
        <v/>
      </c>
      <c r="AJ97" s="518" t="str">
        <f>IF(AND(_A2="B-767-200",'2025'!$F$4="FO",'2025'!$F$2=AJ81),'2025DATA'!$G$18,"")</f>
        <v/>
      </c>
      <c r="AK97" s="518" t="str">
        <f>IF(AND(_A2="B-767-200",'2025'!$F$4="FO",'2025'!$F$2=AK81),'2025DATA'!$H$18,"")</f>
        <v/>
      </c>
      <c r="AL97" s="518" t="str">
        <f>IF(AND(_A2="B-767-200",'2025'!$F$4="FO",'2025'!$F$2=AL81),'2025DATA'!$I$18,"")</f>
        <v/>
      </c>
      <c r="AM97" s="518" t="str">
        <f>IF(AND(_A2="B-767-200",'2025'!$F$4="FO",'2025'!$F$2=AM81),'2025DATA'!$J$18,"")</f>
        <v/>
      </c>
      <c r="AN97" s="518" t="str">
        <f>IF(AND(_A2="B-767-200",'2025'!$F$4="FO",'2025'!$F$2=AN81),'2025DATA'!$K$18,"")</f>
        <v/>
      </c>
      <c r="AO97" s="518" t="str">
        <f>IF(AND(_A2="B-767-200",'2025'!$F$4="FO",'2025'!$F$2=AO81),'2025DATA'!$L$18,"")</f>
        <v/>
      </c>
      <c r="AP97" s="518" t="str">
        <f>IF(AND(_A2="B-767-200",'2025'!$F$4="FO",'2025'!$F$2=AP81),'2025DATA'!$M$18,"")</f>
        <v/>
      </c>
      <c r="AQ97" s="520" t="str">
        <f>IF(AND(_A2="B-767-200",'2025'!$F$4="FO",'2025'!$F$2=AQ81),'2025DATA'!$N$18,"")</f>
        <v/>
      </c>
      <c r="AR97" s="940"/>
      <c r="AS97" s="13" t="s">
        <v>62</v>
      </c>
      <c r="AT97" s="518" t="str">
        <f>IF(AND(_A3="B-767-200",'2025'!$F$4="FO",'2025'!$F$2=AT81),'2025DATA'!$C$18,"")</f>
        <v/>
      </c>
      <c r="AU97" s="518" t="str">
        <f>IF(AND(_A3="B-767-200",'2025'!$F$4="FO",'2025'!$F$2=AU81),'2025DATA'!$D$18,"")</f>
        <v/>
      </c>
      <c r="AV97" s="518" t="str">
        <f>IF(AND(_A3="B-767-200",'2025'!$F$4="FO",'2025'!$F$2=AV81),'2025DATA'!$E$18,"")</f>
        <v/>
      </c>
      <c r="AW97" s="518" t="str">
        <f>IF(AND(_A3="B-767-200",'2025'!$F$4="FO",'2025'!$F$2=AW81),'2025DATA'!$F$18,"")</f>
        <v/>
      </c>
      <c r="AX97" s="518" t="str">
        <f>IF(AND(_A3="B-767-200",'2025'!$F$4="FO",'2025'!$F$2=AX81),'2025DATA'!$G$18,"")</f>
        <v/>
      </c>
      <c r="AY97" s="518" t="str">
        <f>IF(AND(_A3="B-767-200",'2025'!$F$4="FO",'2025'!$F$2=AY81),'2025DATA'!$H$18,"")</f>
        <v/>
      </c>
      <c r="AZ97" s="518" t="str">
        <f>IF(AND(_A3="B-767-200",'2025'!$F$4="FO",'2025'!$F$2=AZ81),'2025DATA'!$I$18,"")</f>
        <v/>
      </c>
      <c r="BA97" s="518" t="str">
        <f>IF(AND(_A3="B-767-200",'2025'!$F$4="FO",'2025'!$F$2=BA81),'2025DATA'!$J$18,"")</f>
        <v/>
      </c>
      <c r="BB97" s="518" t="str">
        <f>IF(AND(_A3="B-767-200",'2025'!$F$4="FO",'2025'!$F$2=BB81),'2025DATA'!$K$18,"")</f>
        <v/>
      </c>
      <c r="BC97" s="518" t="str">
        <f>IF(AND(_A3="B-767-200",'2025'!$F$4="FO",'2025'!$F$2=BC81),'2025DATA'!$L$18,"")</f>
        <v/>
      </c>
      <c r="BD97" s="518" t="str">
        <f>IF(AND(_A3="B-767-200",'2025'!$F$4="FO",'2025'!$F$2=BD81),'2025DATA'!$M$18,"")</f>
        <v/>
      </c>
      <c r="BE97" s="520" t="str">
        <f>IF(AND(_A3="B-767-200",'2025'!$F$4="FO",'2025'!$F$2=BE81),'2025DATA'!$N$18,"")</f>
        <v/>
      </c>
      <c r="BF97" s="940"/>
      <c r="BG97" s="13" t="s">
        <v>62</v>
      </c>
      <c r="BH97" s="518" t="str">
        <f>IF(AND(_A4="B-767-200",'2025'!$F$4="FO",'2025'!$F$2=BH81),'2025DATA'!$C$18,"")</f>
        <v/>
      </c>
      <c r="BI97" s="518" t="str">
        <f>IF(AND(_A4="B-767-200",'2025'!$F$4="FO",'2025'!$F$2=BI81),'2025DATA'!$D$18,"")</f>
        <v/>
      </c>
      <c r="BJ97" s="518" t="str">
        <f>IF(AND(_A4="B-767-200",'2025'!$F$4="FO",'2025'!$F$2=BJ81),'2025DATA'!$E$18,"")</f>
        <v/>
      </c>
      <c r="BK97" s="518" t="str">
        <f>IF(AND(_A4="B-767-200",'2025'!$F$4="FO",'2025'!$F$2=BK81),'2025DATA'!$F$18,"")</f>
        <v/>
      </c>
      <c r="BL97" s="518" t="str">
        <f>IF(AND(_A4="B-767-200",'2025'!$F$4="FO",'2025'!$F$2=BL81),'2025DATA'!$G$18,"")</f>
        <v/>
      </c>
      <c r="BM97" s="518" t="str">
        <f>IF(AND(_A4="B-767-200",'2025'!$F$4="FO",'2025'!$F$2=BM81),'2025DATA'!$H$18,"")</f>
        <v/>
      </c>
      <c r="BN97" s="518" t="str">
        <f>IF(AND(_A4="B-767-200",'2025'!$F$4="FO",'2025'!$F$2=BN81),'2025DATA'!$I$18,"")</f>
        <v/>
      </c>
      <c r="BO97" s="518" t="str">
        <f>IF(AND(_A4="B-767-200",'2025'!$F$4="FO",'2025'!$F$2=BO81),'2025DATA'!$J$18,"")</f>
        <v/>
      </c>
      <c r="BP97" s="518" t="str">
        <f>IF(AND(_A4="B-767-200",'2025'!$F$4="FO",'2025'!$F$2=BP81),'2025DATA'!$K$18,"")</f>
        <v/>
      </c>
      <c r="BQ97" s="518" t="str">
        <f>IF(AND(_A4="B-767-200",'2025'!$F$4="FO",'2025'!$F$2=BQ81),'2025DATA'!$L$18,"")</f>
        <v/>
      </c>
      <c r="BR97" s="518" t="str">
        <f>IF(AND(_A4="B-767-200",'2025'!$F$4="FO",'2025'!$F$2=BR81),'2025DATA'!$M$18,"")</f>
        <v/>
      </c>
      <c r="BS97" s="520" t="str">
        <f>IF(AND(_A4="B-767-200",'2025'!$F$4="FO",'2025'!$F$2=BS81),'2025DATA'!$N$18,"")</f>
        <v/>
      </c>
      <c r="BT97" s="940"/>
      <c r="BU97" s="13" t="s">
        <v>62</v>
      </c>
      <c r="BV97" s="518" t="str">
        <f>IF(AND(_A5="B-767-200",'2025'!$F$4="FO",'2025'!$F$2=BV81),'2025DATA'!$C$18,"")</f>
        <v/>
      </c>
      <c r="BW97" s="518" t="str">
        <f>IF(AND(_A5="B-767-200",'2025'!$F$4="FO",'2025'!$F$2=BW81),'2025DATA'!$D$18,"")</f>
        <v/>
      </c>
      <c r="BX97" s="518" t="str">
        <f>IF(AND(_A5="B-767-200",'2025'!$F$4="FO",'2025'!$F$2=BX81),'2025DATA'!$E$18,"")</f>
        <v/>
      </c>
      <c r="BY97" s="518" t="str">
        <f>IF(AND(_A5="B-767-200",'2025'!$F$4="FO",'2025'!$F$2=BY81),'2025DATA'!$F$18,"")</f>
        <v/>
      </c>
      <c r="BZ97" s="518" t="str">
        <f>IF(AND(_A5="B-767-200",'2025'!$F$4="FO",'2025'!$F$2=BZ81),'2025DATA'!$G$18,"")</f>
        <v/>
      </c>
      <c r="CA97" s="518" t="str">
        <f>IF(AND(_A5="B-767-200",'2025'!$F$4="FO",'2025'!$F$2=CA81),'2025DATA'!$H$18,"")</f>
        <v/>
      </c>
      <c r="CB97" s="518" t="str">
        <f>IF(AND(_A5="B-767-200",'2025'!$F$4="FO",'2025'!$F$2=CB81),'2025DATA'!$I$18,"")</f>
        <v/>
      </c>
      <c r="CC97" s="518" t="str">
        <f>IF(AND(_A5="B-767-200",'2025'!$F$4="FO",'2025'!$F$2=CC81),'2025DATA'!$J$18,"")</f>
        <v/>
      </c>
      <c r="CD97" s="518" t="str">
        <f>IF(AND(_A5="B-767-200",'2025'!$F$4="FO",'2025'!$F$2=CD81),'2025DATA'!$K$18,"")</f>
        <v/>
      </c>
      <c r="CE97" s="518" t="str">
        <f>IF(AND(_A5="B-767-200",'2025'!$F$4="FO",'2025'!$F$2=CE81),'2025DATA'!$L$18,"")</f>
        <v/>
      </c>
      <c r="CF97" s="518" t="str">
        <f>IF(AND(_A5="B-767-200",'2025'!$F$4="FO",'2025'!$F$2=CF81),'2025DATA'!$M$18,"")</f>
        <v/>
      </c>
      <c r="CG97" s="520" t="str">
        <f>IF(AND(_A5="B-767-200",'2025'!$F$4="FO",'2025'!$F$2=CG81),'2025DATA'!$N$18,"")</f>
        <v/>
      </c>
      <c r="CH97" s="940"/>
      <c r="CI97" s="13" t="s">
        <v>62</v>
      </c>
      <c r="CJ97" s="518" t="str">
        <f>IF(AND(_A6="B-767-200",'2025'!$F$4="FO",'2025'!$F$2=CJ81),'2025DATA'!$C$18,"")</f>
        <v/>
      </c>
      <c r="CK97" s="518" t="str">
        <f>IF(AND(_A6="B-767-200",'2025'!$F$4="FO",'2025'!$F$2=CK81),'2025DATA'!$D$18,"")</f>
        <v/>
      </c>
      <c r="CL97" s="518" t="str">
        <f>IF(AND(_A6="B-767-200",'2025'!$F$4="FO",'2025'!$F$2=CL81),'2025DATA'!$E$18,"")</f>
        <v/>
      </c>
      <c r="CM97" s="518" t="str">
        <f>IF(AND(_A6="B-767-200",'2025'!$F$4="FO",'2025'!$F$2=CM81),'2025DATA'!$F$18,"")</f>
        <v/>
      </c>
      <c r="CN97" s="518" t="str">
        <f>IF(AND(_A6="B-767-200",'2025'!$F$4="FO",'2025'!$F$2=CN81),'2025DATA'!$G$18,"")</f>
        <v/>
      </c>
      <c r="CO97" s="518" t="str">
        <f>IF(AND(_A6="B-767-200",'2025'!$F$4="FO",'2025'!$F$2=CO81),'2025DATA'!$H$18,"")</f>
        <v/>
      </c>
      <c r="CP97" s="518" t="str">
        <f>IF(AND(_A6="B-767-200",'2025'!$F$4="FO",'2025'!$F$2=CP81),'2025DATA'!$I$18,"")</f>
        <v/>
      </c>
      <c r="CQ97" s="518" t="str">
        <f>IF(AND(_A6="B-767-200",'2025'!$F$4="FO",'2025'!$F$2=CQ81),'2025DATA'!$J$18,"")</f>
        <v/>
      </c>
      <c r="CR97" s="518" t="str">
        <f>IF(AND(_A6="B-767-200",'2025'!$F$4="FO",'2025'!$F$2=CR81),'2025DATA'!$K$18,"")</f>
        <v/>
      </c>
      <c r="CS97" s="518" t="str">
        <f>IF(AND(_A6="B-767-200",'2025'!$F$4="FO",'2025'!$F$2=CS81),'2025DATA'!$L$18,"")</f>
        <v/>
      </c>
      <c r="CT97" s="518" t="str">
        <f>IF(AND(_A6="B-767-200",'2025'!$F$4="FO",'2025'!$F$2=CT81),'2025DATA'!$M$18,"")</f>
        <v/>
      </c>
      <c r="CU97" s="520" t="str">
        <f>IF(AND(_A6="B-767-200",'2025'!$F$4="FO",'2025'!$F$2=CU81),'2025DATA'!$N$18,"")</f>
        <v/>
      </c>
    </row>
    <row r="98" spans="16:99" x14ac:dyDescent="0.25">
      <c r="P98" s="940" t="s">
        <v>45</v>
      </c>
      <c r="Q98" s="13" t="s">
        <v>61</v>
      </c>
      <c r="R98" s="518" t="str">
        <f>IF(AND(_A1="B-757",'2025'!$F$4="CA",'2025'!$F$2=R81),'2025DATA'!$C$19,"")</f>
        <v/>
      </c>
      <c r="S98" s="518" t="str">
        <f>IF(AND(_A1="B-757",'2025'!$F$4="CA",'2025'!$F$2=S81),'2025DATA'!$D$19,"")</f>
        <v/>
      </c>
      <c r="T98" s="518" t="str">
        <f>IF(AND(_A1="B-757",'2025'!$F$4="CA",'2025'!$F$2=T81),'2025DATA'!$E$19,"")</f>
        <v/>
      </c>
      <c r="U98" s="518" t="str">
        <f>IF(AND(_A1="B-757",'2025'!$F$4="CA",'2025'!$F$2=U81),'2025DATA'!$F$19,"")</f>
        <v/>
      </c>
      <c r="V98" s="518" t="str">
        <f>IF(AND(_A1="B-757",'2025'!$F$4="CA",'2025'!$F$2=V81),'2025DATA'!$G$19,"")</f>
        <v/>
      </c>
      <c r="W98" s="518" t="str">
        <f>IF(AND(_A1="B-757",'2025'!$F$4="CA",'2025'!$F$2=W81),'2025DATA'!$H$19,"")</f>
        <v/>
      </c>
      <c r="X98" s="518" t="str">
        <f>IF(AND(_A1="B-757",'2025'!$F$4="CA",'2025'!$F$2=X81),'2025DATA'!$I$19,"")</f>
        <v/>
      </c>
      <c r="Y98" s="518" t="str">
        <f>IF(AND(_A1="B-757",'2025'!$F$4="CA",'2025'!$F$2=Y81),'2025DATA'!$J$19,"")</f>
        <v/>
      </c>
      <c r="Z98" s="518" t="str">
        <f>IF(AND(_A1="B-757",'2025'!$F$4="CA",'2025'!$F$2=Z81),'2025DATA'!$K$19,"")</f>
        <v/>
      </c>
      <c r="AA98" s="518" t="str">
        <f>IF(AND(_A1="B-757",'2025'!$F$4="CA",'2025'!$F$2=AA81),'2025DATA'!$L$19,"")</f>
        <v/>
      </c>
      <c r="AB98" s="518" t="str">
        <f>IF(AND(_A1="B-757",'2025'!$F$4="CA",'2025'!$F$2=AB81),'2025DATA'!$M$19,"")</f>
        <v/>
      </c>
      <c r="AC98" s="520" t="str">
        <f>IF(AND(_A1="B-757",'2025'!$F$4="CA",'2025'!$F$2=AC81),'2025DATA'!$N$19,"")</f>
        <v/>
      </c>
      <c r="AD98" s="940" t="s">
        <v>45</v>
      </c>
      <c r="AE98" s="13" t="s">
        <v>61</v>
      </c>
      <c r="AF98" s="518" t="str">
        <f>IF(AND(_A2="B-757",'2025'!$F$4="CA",'2025'!$F$2=AF81),'2025DATA'!$C$19,"")</f>
        <v/>
      </c>
      <c r="AG98" s="518" t="str">
        <f>IF(AND(_A2="B-757",'2025'!$F$4="CA",'2025'!$F$2=AG81),'2025DATA'!$D$19,"")</f>
        <v/>
      </c>
      <c r="AH98" s="518" t="str">
        <f>IF(AND(_A2="B-757",'2025'!$F$4="CA",'2025'!$F$2=AH81),'2025DATA'!$E$19,"")</f>
        <v/>
      </c>
      <c r="AI98" s="518" t="str">
        <f>IF(AND(_A2="B-757",'2025'!$F$4="CA",'2025'!$F$2=AI81),'2025DATA'!$F$19,"")</f>
        <v/>
      </c>
      <c r="AJ98" s="518" t="str">
        <f>IF(AND(_A2="B-757",'2025'!$F$4="CA",'2025'!$F$2=AJ81),'2025DATA'!$G$19,"")</f>
        <v/>
      </c>
      <c r="AK98" s="518" t="str">
        <f>IF(AND(_A2="B-757",'2025'!$F$4="CA",'2025'!$F$2=AK81),'2025DATA'!$H$19,"")</f>
        <v/>
      </c>
      <c r="AL98" s="518" t="str">
        <f>IF(AND(_A2="B-757",'2025'!$F$4="CA",'2025'!$F$2=AL81),'2025DATA'!$I$19,"")</f>
        <v/>
      </c>
      <c r="AM98" s="518" t="str">
        <f>IF(AND(_A2="B-757",'2025'!$F$4="CA",'2025'!$F$2=AM81),'2025DATA'!$J$19,"")</f>
        <v/>
      </c>
      <c r="AN98" s="518" t="str">
        <f>IF(AND(_A2="B-757",'2025'!$F$4="CA",'2025'!$F$2=AN81),'2025DATA'!$K$19,"")</f>
        <v/>
      </c>
      <c r="AO98" s="518" t="str">
        <f>IF(AND(_A2="B-757",'2025'!$F$4="CA",'2025'!$F$2=AO81),'2025DATA'!$L$19,"")</f>
        <v/>
      </c>
      <c r="AP98" s="518" t="str">
        <f>IF(AND(_A2="B-757",'2025'!$F$4="CA",'2025'!$F$2=AP81),'2025DATA'!$M$19,"")</f>
        <v/>
      </c>
      <c r="AQ98" s="520" t="str">
        <f>IF(AND(_A2="B-757",'2025'!$F$4="CA",'2025'!$F$2=AQ81),'2025DATA'!$N$19,"")</f>
        <v/>
      </c>
      <c r="AR98" s="940" t="s">
        <v>45</v>
      </c>
      <c r="AS98" s="13" t="s">
        <v>61</v>
      </c>
      <c r="AT98" s="518" t="str">
        <f>IF(AND(_A3="B-757",'2025'!$F$4="CA",'2025'!$F$2=AT81),'2025DATA'!$C$19,"")</f>
        <v/>
      </c>
      <c r="AU98" s="518" t="str">
        <f>IF(AND(_A3="B-757",'2025'!$F$4="CA",'2025'!$F$2=AU81),'2025DATA'!$D$19,"")</f>
        <v/>
      </c>
      <c r="AV98" s="518" t="str">
        <f>IF(AND(_A3="B-757",'2025'!$F$4="CA",'2025'!$F$2=AV81),'2025DATA'!$E$19,"")</f>
        <v/>
      </c>
      <c r="AW98" s="518" t="str">
        <f>IF(AND(_A3="B-757",'2025'!$F$4="CA",'2025'!$F$2=AW81),'2025DATA'!$F$19,"")</f>
        <v/>
      </c>
      <c r="AX98" s="518" t="str">
        <f>IF(AND(_A3="B-757",'2025'!$F$4="CA",'2025'!$F$2=AX81),'2025DATA'!$G$19,"")</f>
        <v/>
      </c>
      <c r="AY98" s="518" t="str">
        <f>IF(AND(_A3="B-757",'2025'!$F$4="CA",'2025'!$F$2=AY81),'2025DATA'!$H$19,"")</f>
        <v/>
      </c>
      <c r="AZ98" s="518" t="str">
        <f>IF(AND(_A3="B-757",'2025'!$F$4="CA",'2025'!$F$2=AZ81),'2025DATA'!$I$19,"")</f>
        <v/>
      </c>
      <c r="BA98" s="518" t="str">
        <f>IF(AND(_A3="B-757",'2025'!$F$4="CA",'2025'!$F$2=BA81),'2025DATA'!$J$19,"")</f>
        <v/>
      </c>
      <c r="BB98" s="518" t="str">
        <f>IF(AND(_A3="B-757",'2025'!$F$4="CA",'2025'!$F$2=BB81),'2025DATA'!$K$19,"")</f>
        <v/>
      </c>
      <c r="BC98" s="518" t="str">
        <f>IF(AND(_A3="B-757",'2025'!$F$4="CA",'2025'!$F$2=BC81),'2025DATA'!$L$19,"")</f>
        <v/>
      </c>
      <c r="BD98" s="518" t="str">
        <f>IF(AND(_A3="B-757",'2025'!$F$4="CA",'2025'!$F$2=BD81),'2025DATA'!$M$19,"")</f>
        <v/>
      </c>
      <c r="BE98" s="520" t="str">
        <f>IF(AND(_A3="B-757",'2025'!$F$4="CA",'2025'!$F$2=BE81),'2025DATA'!$N$19,"")</f>
        <v/>
      </c>
      <c r="BF98" s="940" t="s">
        <v>45</v>
      </c>
      <c r="BG98" s="13" t="s">
        <v>61</v>
      </c>
      <c r="BH98" s="518" t="str">
        <f>IF(AND(_A4="B-757",'2025'!$F$4="CA",'2025'!$F$2=BH81),'2025DATA'!$C$19,"")</f>
        <v/>
      </c>
      <c r="BI98" s="518" t="str">
        <f>IF(AND(_A4="B-757",'2025'!$F$4="CA",'2025'!$F$2=BI81),'2025DATA'!$D$19,"")</f>
        <v/>
      </c>
      <c r="BJ98" s="518" t="str">
        <f>IF(AND(_A4="B-757",'2025'!$F$4="CA",'2025'!$F$2=BJ81),'2025DATA'!$E$19,"")</f>
        <v/>
      </c>
      <c r="BK98" s="518" t="str">
        <f>IF(AND(_A4="B-757",'2025'!$F$4="CA",'2025'!$F$2=BK81),'2025DATA'!$F$19,"")</f>
        <v/>
      </c>
      <c r="BL98" s="518" t="str">
        <f>IF(AND(_A4="B-757",'2025'!$F$4="CA",'2025'!$F$2=BL81),'2025DATA'!$G$19,"")</f>
        <v/>
      </c>
      <c r="BM98" s="518" t="str">
        <f>IF(AND(_A4="B-757",'2025'!$F$4="CA",'2025'!$F$2=BM81),'2025DATA'!$H$19,"")</f>
        <v/>
      </c>
      <c r="BN98" s="518" t="str">
        <f>IF(AND(_A4="B-757",'2025'!$F$4="CA",'2025'!$F$2=BN81),'2025DATA'!$I$19,"")</f>
        <v/>
      </c>
      <c r="BO98" s="518" t="str">
        <f>IF(AND(_A4="B-757",'2025'!$F$4="CA",'2025'!$F$2=BO81),'2025DATA'!$J$19,"")</f>
        <v/>
      </c>
      <c r="BP98" s="518" t="str">
        <f>IF(AND(_A4="B-757",'2025'!$F$4="CA",'2025'!$F$2=BP81),'2025DATA'!$K$19,"")</f>
        <v/>
      </c>
      <c r="BQ98" s="518" t="str">
        <f>IF(AND(_A4="B-757",'2025'!$F$4="CA",'2025'!$F$2=BQ81),'2025DATA'!$L$19,"")</f>
        <v/>
      </c>
      <c r="BR98" s="518" t="str">
        <f>IF(AND(_A4="B-757",'2025'!$F$4="CA",'2025'!$F$2=BR81),'2025DATA'!$M$19,"")</f>
        <v/>
      </c>
      <c r="BS98" s="520" t="str">
        <f>IF(AND(_A4="B-757",'2025'!$F$4="CA",'2025'!$F$2=BS81),'2025DATA'!$N$19,"")</f>
        <v/>
      </c>
      <c r="BT98" s="940" t="s">
        <v>45</v>
      </c>
      <c r="BU98" s="13" t="s">
        <v>61</v>
      </c>
      <c r="BV98" s="518" t="str">
        <f>IF(AND(_A5="B-757",'2025'!$F$4="CA",'2025'!$F$2=BV81),'2025DATA'!$C$19,"")</f>
        <v/>
      </c>
      <c r="BW98" s="518" t="str">
        <f>IF(AND(_A5="B-757",'2025'!$F$4="CA",'2025'!$F$2=BW81),'2025DATA'!$D$19,"")</f>
        <v/>
      </c>
      <c r="BX98" s="518" t="str">
        <f>IF(AND(_A5="B-757",'2025'!$F$4="CA",'2025'!$F$2=BX81),'2025DATA'!$E$19,"")</f>
        <v/>
      </c>
      <c r="BY98" s="518" t="str">
        <f>IF(AND(_A5="B-757",'2025'!$F$4="CA",'2025'!$F$2=BY81),'2025DATA'!$F$19,"")</f>
        <v/>
      </c>
      <c r="BZ98" s="518" t="str">
        <f>IF(AND(_A5="B-757",'2025'!$F$4="CA",'2025'!$F$2=BZ81),'2025DATA'!$G$19,"")</f>
        <v/>
      </c>
      <c r="CA98" s="518" t="str">
        <f>IF(AND(_A5="B-757",'2025'!$F$4="CA",'2025'!$F$2=CA81),'2025DATA'!$H$19,"")</f>
        <v/>
      </c>
      <c r="CB98" s="518" t="str">
        <f>IF(AND(_A5="B-757",'2025'!$F$4="CA",'2025'!$F$2=CB81),'2025DATA'!$I$19,"")</f>
        <v/>
      </c>
      <c r="CC98" s="518" t="str">
        <f>IF(AND(_A5="B-757",'2025'!$F$4="CA",'2025'!$F$2=CC81),'2025DATA'!$J$19,"")</f>
        <v/>
      </c>
      <c r="CD98" s="518" t="str">
        <f>IF(AND(_A5="B-757",'2025'!$F$4="CA",'2025'!$F$2=CD81),'2025DATA'!$K$19,"")</f>
        <v/>
      </c>
      <c r="CE98" s="518" t="str">
        <f>IF(AND(_A5="B-757",'2025'!$F$4="CA",'2025'!$F$2=CE81),'2025DATA'!$L$19,"")</f>
        <v/>
      </c>
      <c r="CF98" s="518" t="str">
        <f>IF(AND(_A5="B-757",'2025'!$F$4="CA",'2025'!$F$2=CF81),'2025DATA'!$M$19,"")</f>
        <v/>
      </c>
      <c r="CG98" s="520" t="str">
        <f>IF(AND(_A5="B-757",'2025'!$F$4="CA",'2025'!$F$2=CG81),'2025DATA'!$N$19,"")</f>
        <v/>
      </c>
      <c r="CH98" s="940" t="s">
        <v>45</v>
      </c>
      <c r="CI98" s="13" t="s">
        <v>61</v>
      </c>
      <c r="CJ98" s="518" t="str">
        <f>IF(AND(_A6="B-757",'2025'!$F$4="CA",'2025'!$F$2=CJ81),'2025DATA'!$C$19,"")</f>
        <v/>
      </c>
      <c r="CK98" s="518" t="str">
        <f>IF(AND(_A6="B-757",'2025'!$F$4="CA",'2025'!$F$2=CK81),'2025DATA'!$D$19,"")</f>
        <v/>
      </c>
      <c r="CL98" s="518" t="str">
        <f>IF(AND(_A6="B-757",'2025'!$F$4="CA",'2025'!$F$2=CL81),'2025DATA'!$E$19,"")</f>
        <v/>
      </c>
      <c r="CM98" s="518" t="str">
        <f>IF(AND(_A6="B-757",'2025'!$F$4="CA",'2025'!$F$2=CM81),'2025DATA'!$F$19,"")</f>
        <v/>
      </c>
      <c r="CN98" s="518" t="str">
        <f>IF(AND(_A6="B-757",'2025'!$F$4="CA",'2025'!$F$2=CN81),'2025DATA'!$G$19,"")</f>
        <v/>
      </c>
      <c r="CO98" s="518" t="str">
        <f>IF(AND(_A6="B-757",'2025'!$F$4="CA",'2025'!$F$2=CO81),'2025DATA'!$H$19,"")</f>
        <v/>
      </c>
      <c r="CP98" s="518" t="str">
        <f>IF(AND(_A6="B-757",'2025'!$F$4="CA",'2025'!$F$2=CP81),'2025DATA'!$I$19,"")</f>
        <v/>
      </c>
      <c r="CQ98" s="518" t="str">
        <f>IF(AND(_A6="B-757",'2025'!$F$4="CA",'2025'!$F$2=CQ81),'2025DATA'!$J$19,"")</f>
        <v/>
      </c>
      <c r="CR98" s="518" t="str">
        <f>IF(AND(_A6="B-757",'2025'!$F$4="CA",'2025'!$F$2=CR81),'2025DATA'!$K$19,"")</f>
        <v/>
      </c>
      <c r="CS98" s="518" t="str">
        <f>IF(AND(_A6="B-757",'2025'!$F$4="CA",'2025'!$F$2=CS81),'2025DATA'!$L$19,"")</f>
        <v/>
      </c>
      <c r="CT98" s="518" t="str">
        <f>IF(AND(_A6="B-757",'2025'!$F$4="CA",'2025'!$F$2=CT81),'2025DATA'!$M$19,"")</f>
        <v/>
      </c>
      <c r="CU98" s="520" t="str">
        <f>IF(AND(_A6="B-757",'2025'!$F$4="CA",'2025'!$F$2=CU81),'2025DATA'!$N$19,"")</f>
        <v/>
      </c>
    </row>
    <row r="99" spans="16:99" x14ac:dyDescent="0.25">
      <c r="P99" s="940"/>
      <c r="Q99" s="13" t="s">
        <v>62</v>
      </c>
      <c r="R99" s="518" t="str">
        <f>IF(AND(_A1="B-757",'2025'!$F$4="FO",'2025'!$F$2=R81),'2025DATA'!$C$20,"")</f>
        <v/>
      </c>
      <c r="S99" s="518" t="str">
        <f>IF(AND(_A1="B-757",'2025'!$F$4="FO",'2025'!$F$2=S81),'2025DATA'!$D$20,"")</f>
        <v/>
      </c>
      <c r="T99" s="518" t="str">
        <f>IF(AND(_A1="B-757",'2025'!$F$4="FO",'2025'!$F$2=T81),'2025DATA'!$E$20,"")</f>
        <v/>
      </c>
      <c r="U99" s="518" t="str">
        <f>IF(AND(_A1="B-757",'2025'!$F$4="FO",'2025'!$F$2=U81),'2025DATA'!$F$20,"")</f>
        <v/>
      </c>
      <c r="V99" s="518" t="str">
        <f>IF(AND(_A1="B-757",'2025'!$F$4="FO",'2025'!$F$2=V81),'2025DATA'!$G$20,"")</f>
        <v/>
      </c>
      <c r="W99" s="518" t="str">
        <f>IF(AND(_A1="B-757",'2025'!$F$4="FO",'2025'!$F$2=W81),'2025DATA'!$H$20,"")</f>
        <v/>
      </c>
      <c r="X99" s="518" t="str">
        <f>IF(AND(_A1="B-757",'2025'!$F$4="FO",'2025'!$F$2=X81),'2025DATA'!$I$20,"")</f>
        <v/>
      </c>
      <c r="Y99" s="518" t="str">
        <f>IF(AND(_A1="B-757",'2025'!$F$4="FO",'2025'!$F$2=Y81),'2025DATA'!$J$20,"")</f>
        <v/>
      </c>
      <c r="Z99" s="518" t="str">
        <f>IF(AND(_A1="B-757",'2025'!$F$4="FO",'2025'!$F$2=Z81),'2025DATA'!$K$20,"")</f>
        <v/>
      </c>
      <c r="AA99" s="518" t="str">
        <f>IF(AND(_A1="B-757",'2025'!$F$4="FO",'2025'!$F$2=AA81),'2025DATA'!$L$20,"")</f>
        <v/>
      </c>
      <c r="AB99" s="518" t="str">
        <f>IF(AND(_A1="B-757",'2025'!$F$4="FO",'2025'!$F$2=AB81),'2025DATA'!$M$20,"")</f>
        <v/>
      </c>
      <c r="AC99" s="520" t="str">
        <f>IF(AND(_A1="B-757",'2025'!$F$4="FO",'2025'!$F$2=AC81),'2025DATA'!$N$20,"")</f>
        <v/>
      </c>
      <c r="AD99" s="940"/>
      <c r="AE99" s="13" t="s">
        <v>62</v>
      </c>
      <c r="AF99" s="518" t="str">
        <f>IF(AND(_A2="B-757",'2025'!$F$4="FO",'2025'!$F$2=AF81),'2025DATA'!$C$20,"")</f>
        <v/>
      </c>
      <c r="AG99" s="518" t="str">
        <f>IF(AND(_A2="B-757",'2025'!$F$4="FO",'2025'!$F$2=AG81),'2025DATA'!$D$20,"")</f>
        <v/>
      </c>
      <c r="AH99" s="518" t="str">
        <f>IF(AND(_A2="B-757",'2025'!$F$4="FO",'2025'!$F$2=AH81),'2025DATA'!$E$20,"")</f>
        <v/>
      </c>
      <c r="AI99" s="518" t="str">
        <f>IF(AND(_A2="B-757",'2025'!$F$4="FO",'2025'!$F$2=AI81),'2025DATA'!$F$20,"")</f>
        <v/>
      </c>
      <c r="AJ99" s="518" t="str">
        <f>IF(AND(_A2="B-757",'2025'!$F$4="FO",'2025'!$F$2=AJ81),'2025DATA'!$G$20,"")</f>
        <v/>
      </c>
      <c r="AK99" s="518" t="str">
        <f>IF(AND(_A2="B-757",'2025'!$F$4="FO",'2025'!$F$2=AK81),'2025DATA'!$H$20,"")</f>
        <v/>
      </c>
      <c r="AL99" s="518" t="str">
        <f>IF(AND(_A2="B-757",'2025'!$F$4="FO",'2025'!$F$2=AL81),'2025DATA'!$I$20,"")</f>
        <v/>
      </c>
      <c r="AM99" s="518" t="str">
        <f>IF(AND(_A2="B-757",'2025'!$F$4="FO",'2025'!$F$2=AM81),'2025DATA'!$J$20,"")</f>
        <v/>
      </c>
      <c r="AN99" s="518" t="str">
        <f>IF(AND(_A2="B-757",'2025'!$F$4="FO",'2025'!$F$2=AN81),'2025DATA'!$K$20,"")</f>
        <v/>
      </c>
      <c r="AO99" s="518" t="str">
        <f>IF(AND(_A2="B-757",'2025'!$F$4="FO",'2025'!$F$2=AO81),'2025DATA'!$L$20,"")</f>
        <v/>
      </c>
      <c r="AP99" s="518" t="str">
        <f>IF(AND(_A2="B-757",'2025'!$F$4="FO",'2025'!$F$2=AP81),'2025DATA'!$M$20,"")</f>
        <v/>
      </c>
      <c r="AQ99" s="520" t="str">
        <f>IF(AND(_A2="B-757",'2025'!$F$4="FO",'2025'!$F$2=AQ81),'2025DATA'!$N$20,"")</f>
        <v/>
      </c>
      <c r="AR99" s="940"/>
      <c r="AS99" s="13" t="s">
        <v>62</v>
      </c>
      <c r="AT99" s="518" t="str">
        <f>IF(AND(_A3="B-757",'2025'!$F$4="FO",'2025'!$F$2=AT81),'2025DATA'!$C$20,"")</f>
        <v/>
      </c>
      <c r="AU99" s="518" t="str">
        <f>IF(AND(_A3="B-757",'2025'!$F$4="FO",'2025'!$F$2=AU81),'2025DATA'!$D$20,"")</f>
        <v/>
      </c>
      <c r="AV99" s="518" t="str">
        <f>IF(AND(_A3="B-757",'2025'!$F$4="FO",'2025'!$F$2=AV81),'2025DATA'!$E$20,"")</f>
        <v/>
      </c>
      <c r="AW99" s="518" t="str">
        <f>IF(AND(_A3="B-757",'2025'!$F$4="FO",'2025'!$F$2=AW81),'2025DATA'!$F$20,"")</f>
        <v/>
      </c>
      <c r="AX99" s="518" t="str">
        <f>IF(AND(_A3="B-757",'2025'!$F$4="FO",'2025'!$F$2=AX81),'2025DATA'!$G$20,"")</f>
        <v/>
      </c>
      <c r="AY99" s="518" t="str">
        <f>IF(AND(_A3="B-757",'2025'!$F$4="FO",'2025'!$F$2=AY81),'2025DATA'!$H$20,"")</f>
        <v/>
      </c>
      <c r="AZ99" s="518" t="str">
        <f>IF(AND(_A3="B-757",'2025'!$F$4="FO",'2025'!$F$2=AZ81),'2025DATA'!$I$20,"")</f>
        <v/>
      </c>
      <c r="BA99" s="518" t="str">
        <f>IF(AND(_A3="B-757",'2025'!$F$4="FO",'2025'!$F$2=BA81),'2025DATA'!$J$20,"")</f>
        <v/>
      </c>
      <c r="BB99" s="518" t="str">
        <f>IF(AND(_A3="B-757",'2025'!$F$4="FO",'2025'!$F$2=BB81),'2025DATA'!$K$20,"")</f>
        <v/>
      </c>
      <c r="BC99" s="518" t="str">
        <f>IF(AND(_A3="B-757",'2025'!$F$4="FO",'2025'!$F$2=BC81),'2025DATA'!$L$20,"")</f>
        <v/>
      </c>
      <c r="BD99" s="518" t="str">
        <f>IF(AND(_A3="B-757",'2025'!$F$4="FO",'2025'!$F$2=BD81),'2025DATA'!$M$20,"")</f>
        <v/>
      </c>
      <c r="BE99" s="520" t="str">
        <f>IF(AND(_A3="B-757",'2025'!$F$4="FO",'2025'!$F$2=BE81),'2025DATA'!$N$20,"")</f>
        <v/>
      </c>
      <c r="BF99" s="940"/>
      <c r="BG99" s="13" t="s">
        <v>62</v>
      </c>
      <c r="BH99" s="518" t="str">
        <f>IF(AND(_A4="B-757",'2025'!$F$4="FO",'2025'!$F$2=BH81),'2025DATA'!$C$20,"")</f>
        <v/>
      </c>
      <c r="BI99" s="518" t="str">
        <f>IF(AND(_A4="B-757",'2025'!$F$4="FO",'2025'!$F$2=BI81),'2025DATA'!$D$20,"")</f>
        <v/>
      </c>
      <c r="BJ99" s="518" t="str">
        <f>IF(AND(_A4="B-757",'2025'!$F$4="FO",'2025'!$F$2=BJ81),'2025DATA'!$E$20,"")</f>
        <v/>
      </c>
      <c r="BK99" s="518" t="str">
        <f>IF(AND(_A4="B-757",'2025'!$F$4="FO",'2025'!$F$2=BK81),'2025DATA'!$F$20,"")</f>
        <v/>
      </c>
      <c r="BL99" s="518" t="str">
        <f>IF(AND(_A4="B-757",'2025'!$F$4="FO",'2025'!$F$2=BL81),'2025DATA'!$G$20,"")</f>
        <v/>
      </c>
      <c r="BM99" s="518" t="str">
        <f>IF(AND(_A4="B-757",'2025'!$F$4="FO",'2025'!$F$2=BM81),'2025DATA'!$H$20,"")</f>
        <v/>
      </c>
      <c r="BN99" s="518" t="str">
        <f>IF(AND(_A4="B-757",'2025'!$F$4="FO",'2025'!$F$2=BN81),'2025DATA'!$I$20,"")</f>
        <v/>
      </c>
      <c r="BO99" s="518" t="str">
        <f>IF(AND(_A4="B-757",'2025'!$F$4="FO",'2025'!$F$2=BO81),'2025DATA'!$J$20,"")</f>
        <v/>
      </c>
      <c r="BP99" s="518" t="str">
        <f>IF(AND(_A4="B-757",'2025'!$F$4="FO",'2025'!$F$2=BP81),'2025DATA'!$K$20,"")</f>
        <v/>
      </c>
      <c r="BQ99" s="518" t="str">
        <f>IF(AND(_A4="B-757",'2025'!$F$4="FO",'2025'!$F$2=BQ81),'2025DATA'!$L$20,"")</f>
        <v/>
      </c>
      <c r="BR99" s="518" t="str">
        <f>IF(AND(_A4="B-757",'2025'!$F$4="FO",'2025'!$F$2=BR81),'2025DATA'!$M$20,"")</f>
        <v/>
      </c>
      <c r="BS99" s="520" t="str">
        <f>IF(AND(_A4="B-757",'2025'!$F$4="FO",'2025'!$F$2=BS81),'2025DATA'!$N$20,"")</f>
        <v/>
      </c>
      <c r="BT99" s="940"/>
      <c r="BU99" s="13" t="s">
        <v>62</v>
      </c>
      <c r="BV99" s="518" t="str">
        <f>IF(AND(_A5="B-757",'2025'!$F$4="FO",'2025'!$F$2=BV81),'2025DATA'!$C$20,"")</f>
        <v/>
      </c>
      <c r="BW99" s="518" t="str">
        <f>IF(AND(_A5="B-757",'2025'!$F$4="FO",'2025'!$F$2=BW81),'2025DATA'!$D$20,"")</f>
        <v/>
      </c>
      <c r="BX99" s="518" t="str">
        <f>IF(AND(_A5="B-757",'2025'!$F$4="FO",'2025'!$F$2=BX81),'2025DATA'!$E$20,"")</f>
        <v/>
      </c>
      <c r="BY99" s="518" t="str">
        <f>IF(AND(_A5="B-757",'2025'!$F$4="FO",'2025'!$F$2=BY81),'2025DATA'!$F$20,"")</f>
        <v/>
      </c>
      <c r="BZ99" s="518" t="str">
        <f>IF(AND(_A5="B-757",'2025'!$F$4="FO",'2025'!$F$2=BZ81),'2025DATA'!$G$20,"")</f>
        <v/>
      </c>
      <c r="CA99" s="518" t="str">
        <f>IF(AND(_A5="B-757",'2025'!$F$4="FO",'2025'!$F$2=CA81),'2025DATA'!$H$20,"")</f>
        <v/>
      </c>
      <c r="CB99" s="518" t="str">
        <f>IF(AND(_A5="B-757",'2025'!$F$4="FO",'2025'!$F$2=CB81),'2025DATA'!$I$20,"")</f>
        <v/>
      </c>
      <c r="CC99" s="518" t="str">
        <f>IF(AND(_A5="B-757",'2025'!$F$4="FO",'2025'!$F$2=CC81),'2025DATA'!$J$20,"")</f>
        <v/>
      </c>
      <c r="CD99" s="518" t="str">
        <f>IF(AND(_A5="B-757",'2025'!$F$4="FO",'2025'!$F$2=CD81),'2025DATA'!$K$20,"")</f>
        <v/>
      </c>
      <c r="CE99" s="518" t="str">
        <f>IF(AND(_A5="B-757",'2025'!$F$4="FO",'2025'!$F$2=CE81),'2025DATA'!$L$20,"")</f>
        <v/>
      </c>
      <c r="CF99" s="518" t="str">
        <f>IF(AND(_A5="B-757",'2025'!$F$4="FO",'2025'!$F$2=CF81),'2025DATA'!$M$20,"")</f>
        <v/>
      </c>
      <c r="CG99" s="520" t="str">
        <f>IF(AND(_A5="B-757",'2025'!$F$4="FO",'2025'!$F$2=CG81),'2025DATA'!$N$20,"")</f>
        <v/>
      </c>
      <c r="CH99" s="940"/>
      <c r="CI99" s="13" t="s">
        <v>62</v>
      </c>
      <c r="CJ99" s="518" t="str">
        <f>IF(AND(_A6="B-757",'2025'!$F$4="FO",'2025'!$F$2=CJ81),'2025DATA'!$C$20,"")</f>
        <v/>
      </c>
      <c r="CK99" s="518" t="str">
        <f>IF(AND(_A6="B-757",'2025'!$F$4="FO",'2025'!$F$2=CK81),'2025DATA'!$D$20,"")</f>
        <v/>
      </c>
      <c r="CL99" s="518" t="str">
        <f>IF(AND(_A6="B-757",'2025'!$F$4="FO",'2025'!$F$2=CL81),'2025DATA'!$E$20,"")</f>
        <v/>
      </c>
      <c r="CM99" s="518" t="str">
        <f>IF(AND(_A6="B-757",'2025'!$F$4="FO",'2025'!$F$2=CM81),'2025DATA'!$F$20,"")</f>
        <v/>
      </c>
      <c r="CN99" s="518" t="str">
        <f>IF(AND(_A6="B-757",'2025'!$F$4="FO",'2025'!$F$2=CN81),'2025DATA'!$G$20,"")</f>
        <v/>
      </c>
      <c r="CO99" s="518" t="str">
        <f>IF(AND(_A6="B-757",'2025'!$F$4="FO",'2025'!$F$2=CO81),'2025DATA'!$H$20,"")</f>
        <v/>
      </c>
      <c r="CP99" s="518" t="str">
        <f>IF(AND(_A6="B-757",'2025'!$F$4="FO",'2025'!$F$2=CP81),'2025DATA'!$I$20,"")</f>
        <v/>
      </c>
      <c r="CQ99" s="518" t="str">
        <f>IF(AND(_A6="B-757",'2025'!$F$4="FO",'2025'!$F$2=CQ81),'2025DATA'!$J$20,"")</f>
        <v/>
      </c>
      <c r="CR99" s="518" t="str">
        <f>IF(AND(_A6="B-757",'2025'!$F$4="FO",'2025'!$F$2=CR81),'2025DATA'!$K$20,"")</f>
        <v/>
      </c>
      <c r="CS99" s="518" t="str">
        <f>IF(AND(_A6="B-757",'2025'!$F$4="FO",'2025'!$F$2=CS81),'2025DATA'!$L$20,"")</f>
        <v/>
      </c>
      <c r="CT99" s="518" t="str">
        <f>IF(AND(_A6="B-757",'2025'!$F$4="FO",'2025'!$F$2=CT81),'2025DATA'!$M$20,"")</f>
        <v/>
      </c>
      <c r="CU99" s="520" t="str">
        <f>IF(AND(_A6="B-757",'2025'!$F$4="FO",'2025'!$F$2=CU81),'2025DATA'!$N$20,"")</f>
        <v/>
      </c>
    </row>
    <row r="100" spans="16:99" x14ac:dyDescent="0.25">
      <c r="P100" s="940" t="s">
        <v>47</v>
      </c>
      <c r="Q100" s="13" t="s">
        <v>61</v>
      </c>
      <c r="R100" s="518" t="str">
        <f>IF(AND(_A1="B-737-900",'2025'!$F$4="CA",'2025'!$F$2=R81),'2025DATA'!$C$21,"")</f>
        <v/>
      </c>
      <c r="S100" s="518" t="str">
        <f>IF(AND(_A1="B-737-900",'2025'!$F$4="CA",'2025'!$F$2=S81),'2025DATA'!$D$21,"")</f>
        <v/>
      </c>
      <c r="T100" s="518" t="str">
        <f>IF(AND(_A1="B-737-900",'2025'!$F$4="CA",'2025'!$F$2=T81),'2025DATA'!$E$21,"")</f>
        <v/>
      </c>
      <c r="U100" s="518" t="str">
        <f>IF(AND(_A1="B-737-900",'2025'!$F$4="CA",'2025'!$F$2=U81),'2025DATA'!$F$21,"")</f>
        <v/>
      </c>
      <c r="V100" s="518" t="str">
        <f>IF(AND(_A1="B-737-900",'2025'!$F$4="CA",'2025'!$F$2=V81),'2025DATA'!$G$21,"")</f>
        <v/>
      </c>
      <c r="W100" s="518" t="str">
        <f>IF(AND(_A1="B-737-900",'2025'!$F$4="CA",'2025'!$F$2=W81),'2025DATA'!$H$21,"")</f>
        <v/>
      </c>
      <c r="X100" s="518" t="str">
        <f>IF(AND(_A1="B-737-900",'2025'!$F$4="CA",'2025'!$F$2=X81),'2025DATA'!$I$21,"")</f>
        <v/>
      </c>
      <c r="Y100" s="518" t="str">
        <f>IF(AND(_A1="B-737-900",'2025'!$F$4="CA",'2025'!$F$2=Y81),'2025DATA'!$J$21,"")</f>
        <v/>
      </c>
      <c r="Z100" s="518" t="str">
        <f>IF(AND(_A1="B-737-900",'2025'!$F$4="CA",'2025'!$F$2=Z81),'2025DATA'!$K$21,"")</f>
        <v/>
      </c>
      <c r="AA100" s="518" t="str">
        <f>IF(AND(_A1="B-737-900",'2025'!$F$4="CA",'2025'!$F$2=AA81),'2025DATA'!$L$21,"")</f>
        <v/>
      </c>
      <c r="AB100" s="518" t="str">
        <f>IF(AND(_A1="B-737-900",'2025'!$F$4="CA",'2025'!$F$2=AB81),'2025DATA'!$M$21,"")</f>
        <v/>
      </c>
      <c r="AC100" s="520" t="str">
        <f>IF(AND(_A1="B-737-900",'2025'!$F$4="CA",'2025'!$F$2=AC81),'2025DATA'!$N$21,"")</f>
        <v/>
      </c>
      <c r="AD100" s="940" t="s">
        <v>47</v>
      </c>
      <c r="AE100" s="13" t="s">
        <v>61</v>
      </c>
      <c r="AF100" s="518" t="str">
        <f>IF(AND(_A2="B-737-900",'2025'!$F$4="CA",'2025'!$F$2=AF81),'2025DATA'!$C$21,"")</f>
        <v/>
      </c>
      <c r="AG100" s="518" t="str">
        <f>IF(AND(_A2="B-737-900",'2025'!$F$4="CA",'2025'!$F$2=AG81),'2025DATA'!$D$21,"")</f>
        <v/>
      </c>
      <c r="AH100" s="518" t="str">
        <f>IF(AND(_A2="B-737-900",'2025'!$F$4="CA",'2025'!$F$2=AH81),'2025DATA'!$E$21,"")</f>
        <v/>
      </c>
      <c r="AI100" s="518" t="str">
        <f>IF(AND(_A2="B-737-900",'2025'!$F$4="CA",'2025'!$F$2=AI81),'2025DATA'!$F$21,"")</f>
        <v/>
      </c>
      <c r="AJ100" s="518" t="str">
        <f>IF(AND(_A2="B-737-900",'2025'!$F$4="CA",'2025'!$F$2=AJ81),'2025DATA'!$G$21,"")</f>
        <v/>
      </c>
      <c r="AK100" s="518" t="str">
        <f>IF(AND(_A2="B-737-900",'2025'!$F$4="CA",'2025'!$F$2=AK81),'2025DATA'!$H$21,"")</f>
        <v/>
      </c>
      <c r="AL100" s="518" t="str">
        <f>IF(AND(_A2="B-737-900",'2025'!$F$4="CA",'2025'!$F$2=AL81),'2025DATA'!$I$21,"")</f>
        <v/>
      </c>
      <c r="AM100" s="518" t="str">
        <f>IF(AND(_A2="B-737-900",'2025'!$F$4="CA",'2025'!$F$2=AM81),'2025DATA'!$J$21,"")</f>
        <v/>
      </c>
      <c r="AN100" s="518" t="str">
        <f>IF(AND(_A2="B-737-900",'2025'!$F$4="CA",'2025'!$F$2=AN81),'2025DATA'!$K$21,"")</f>
        <v/>
      </c>
      <c r="AO100" s="518" t="str">
        <f>IF(AND(_A2="B-737-900",'2025'!$F$4="CA",'2025'!$F$2=AO81),'2025DATA'!$L$21,"")</f>
        <v/>
      </c>
      <c r="AP100" s="518" t="str">
        <f>IF(AND(_A2="B-737-900",'2025'!$F$4="CA",'2025'!$F$2=AP81),'2025DATA'!$M$21,"")</f>
        <v/>
      </c>
      <c r="AQ100" s="520" t="str">
        <f>IF(AND(_A2="B-737-900",'2025'!$F$4="CA",'2025'!$F$2=AQ81),'2025DATA'!$N$21,"")</f>
        <v/>
      </c>
      <c r="AR100" s="940" t="s">
        <v>47</v>
      </c>
      <c r="AS100" s="13" t="s">
        <v>61</v>
      </c>
      <c r="AT100" s="518" t="str">
        <f>IF(AND(_A3="B-737-900",'2025'!$F$4="CA",'2025'!$F$2=AT81),'2025DATA'!$C$21,"")</f>
        <v/>
      </c>
      <c r="AU100" s="518" t="str">
        <f>IF(AND(_A3="B-737-900",'2025'!$F$4="CA",'2025'!$F$2=AU81),'2025DATA'!$D$21,"")</f>
        <v/>
      </c>
      <c r="AV100" s="518" t="str">
        <f>IF(AND(_A3="B-737-900",'2025'!$F$4="CA",'2025'!$F$2=AV81),'2025DATA'!$E$21,"")</f>
        <v/>
      </c>
      <c r="AW100" s="518" t="str">
        <f>IF(AND(_A3="B-737-900",'2025'!$F$4="CA",'2025'!$F$2=AW81),'2025DATA'!$F$21,"")</f>
        <v/>
      </c>
      <c r="AX100" s="518" t="str">
        <f>IF(AND(_A3="B-737-900",'2025'!$F$4="CA",'2025'!$F$2=AX81),'2025DATA'!$G$21,"")</f>
        <v/>
      </c>
      <c r="AY100" s="518" t="str">
        <f>IF(AND(_A3="B-737-900",'2025'!$F$4="CA",'2025'!$F$2=AY81),'2025DATA'!$H$21,"")</f>
        <v/>
      </c>
      <c r="AZ100" s="518" t="str">
        <f>IF(AND(_A3="B-737-900",'2025'!$F$4="CA",'2025'!$F$2=AZ81),'2025DATA'!$I$21,"")</f>
        <v/>
      </c>
      <c r="BA100" s="518" t="str">
        <f>IF(AND(_A3="B-737-900",'2025'!$F$4="CA",'2025'!$F$2=BA81),'2025DATA'!$J$21,"")</f>
        <v/>
      </c>
      <c r="BB100" s="518" t="str">
        <f>IF(AND(_A3="B-737-900",'2025'!$F$4="CA",'2025'!$F$2=BB81),'2025DATA'!$K$21,"")</f>
        <v/>
      </c>
      <c r="BC100" s="518" t="str">
        <f>IF(AND(_A3="B-737-900",'2025'!$F$4="CA",'2025'!$F$2=BC81),'2025DATA'!$L$21,"")</f>
        <v/>
      </c>
      <c r="BD100" s="518" t="str">
        <f>IF(AND(_A3="B-737-900",'2025'!$F$4="CA",'2025'!$F$2=BD81),'2025DATA'!$M$21,"")</f>
        <v/>
      </c>
      <c r="BE100" s="520" t="str">
        <f>IF(AND(_A3="B-737-900",'2025'!$F$4="CA",'2025'!$F$2=BE81),'2025DATA'!$N$21,"")</f>
        <v/>
      </c>
      <c r="BF100" s="940" t="s">
        <v>47</v>
      </c>
      <c r="BG100" s="13" t="s">
        <v>61</v>
      </c>
      <c r="BH100" s="518" t="str">
        <f>IF(AND(_A4="B-737-900",'2025'!$F$4="CA",'2025'!$F$2=BH81),'2025DATA'!$C$21,"")</f>
        <v/>
      </c>
      <c r="BI100" s="518" t="str">
        <f>IF(AND(_A4="B-737-900",'2025'!$F$4="CA",'2025'!$F$2=BI81),'2025DATA'!$D$21,"")</f>
        <v/>
      </c>
      <c r="BJ100" s="518" t="str">
        <f>IF(AND(_A4="B-737-900",'2025'!$F$4="CA",'2025'!$F$2=BJ81),'2025DATA'!$E$21,"")</f>
        <v/>
      </c>
      <c r="BK100" s="518" t="str">
        <f>IF(AND(_A4="B-737-900",'2025'!$F$4="CA",'2025'!$F$2=BK81),'2025DATA'!$F$21,"")</f>
        <v/>
      </c>
      <c r="BL100" s="518" t="str">
        <f>IF(AND(_A4="B-737-900",'2025'!$F$4="CA",'2025'!$F$2=BL81),'2025DATA'!$G$21,"")</f>
        <v/>
      </c>
      <c r="BM100" s="518" t="str">
        <f>IF(AND(_A4="B-737-900",'2025'!$F$4="CA",'2025'!$F$2=BM81),'2025DATA'!$H$21,"")</f>
        <v/>
      </c>
      <c r="BN100" s="518" t="str">
        <f>IF(AND(_A4="B-737-900",'2025'!$F$4="CA",'2025'!$F$2=BN81),'2025DATA'!$I$21,"")</f>
        <v/>
      </c>
      <c r="BO100" s="518" t="str">
        <f>IF(AND(_A4="B-737-900",'2025'!$F$4="CA",'2025'!$F$2=BO81),'2025DATA'!$J$21,"")</f>
        <v/>
      </c>
      <c r="BP100" s="518" t="str">
        <f>IF(AND(_A4="B-737-900",'2025'!$F$4="CA",'2025'!$F$2=BP81),'2025DATA'!$K$21,"")</f>
        <v/>
      </c>
      <c r="BQ100" s="518" t="str">
        <f>IF(AND(_A4="B-737-900",'2025'!$F$4="CA",'2025'!$F$2=BQ81),'2025DATA'!$L$21,"")</f>
        <v/>
      </c>
      <c r="BR100" s="518" t="str">
        <f>IF(AND(_A4="B-737-900",'2025'!$F$4="CA",'2025'!$F$2=BR81),'2025DATA'!$M$21,"")</f>
        <v/>
      </c>
      <c r="BS100" s="520" t="str">
        <f>IF(AND(_A4="B-737-900",'2025'!$F$4="CA",'2025'!$F$2=BS81),'2025DATA'!$N$21,"")</f>
        <v/>
      </c>
      <c r="BT100" s="940" t="s">
        <v>47</v>
      </c>
      <c r="BU100" s="13" t="s">
        <v>61</v>
      </c>
      <c r="BV100" s="518" t="str">
        <f>IF(AND(_A5="B-737-900",'2025'!$F$4="CA",'2025'!$F$2=BV81),'2025DATA'!$C$21,"")</f>
        <v/>
      </c>
      <c r="BW100" s="518" t="str">
        <f>IF(AND(_A5="B-737-900",'2025'!$F$4="CA",'2025'!$F$2=BW81),'2025DATA'!$D$21,"")</f>
        <v/>
      </c>
      <c r="BX100" s="518" t="str">
        <f>IF(AND(_A5="B-737-900",'2025'!$F$4="CA",'2025'!$F$2=BX81),'2025DATA'!$E$21,"")</f>
        <v/>
      </c>
      <c r="BY100" s="518" t="str">
        <f>IF(AND(_A5="B-737-900",'2025'!$F$4="CA",'2025'!$F$2=BY81),'2025DATA'!$F$21,"")</f>
        <v/>
      </c>
      <c r="BZ100" s="518" t="str">
        <f>IF(AND(_A5="B-737-900",'2025'!$F$4="CA",'2025'!$F$2=BZ81),'2025DATA'!$G$21,"")</f>
        <v/>
      </c>
      <c r="CA100" s="518" t="str">
        <f>IF(AND(_A5="B-737-900",'2025'!$F$4="CA",'2025'!$F$2=CA81),'2025DATA'!$H$21,"")</f>
        <v/>
      </c>
      <c r="CB100" s="518" t="str">
        <f>IF(AND(_A5="B-737-900",'2025'!$F$4="CA",'2025'!$F$2=CB81),'2025DATA'!$I$21,"")</f>
        <v/>
      </c>
      <c r="CC100" s="518" t="str">
        <f>IF(AND(_A5="B-737-900",'2025'!$F$4="CA",'2025'!$F$2=CC81),'2025DATA'!$J$21,"")</f>
        <v/>
      </c>
      <c r="CD100" s="518" t="str">
        <f>IF(AND(_A5="B-737-900",'2025'!$F$4="CA",'2025'!$F$2=CD81),'2025DATA'!$K$21,"")</f>
        <v/>
      </c>
      <c r="CE100" s="518" t="str">
        <f>IF(AND(_A5="B-737-900",'2025'!$F$4="CA",'2025'!$F$2=CE81),'2025DATA'!$L$21,"")</f>
        <v/>
      </c>
      <c r="CF100" s="518" t="str">
        <f>IF(AND(_A5="B-737-900",'2025'!$F$4="CA",'2025'!$F$2=CF81),'2025DATA'!$M$21,"")</f>
        <v/>
      </c>
      <c r="CG100" s="520" t="str">
        <f>IF(AND(_A5="B-737-900",'2025'!$F$4="CA",'2025'!$F$2=CG81),'2025DATA'!$N$21,"")</f>
        <v/>
      </c>
      <c r="CH100" s="940" t="s">
        <v>47</v>
      </c>
      <c r="CI100" s="13" t="s">
        <v>61</v>
      </c>
      <c r="CJ100" s="518" t="str">
        <f>IF(AND(_A6="B-737-900",'2025'!$F$4="CA",'2025'!$F$2=CJ81),'2025DATA'!$C$21,"")</f>
        <v/>
      </c>
      <c r="CK100" s="518" t="str">
        <f>IF(AND(_A6="B-737-900",'2025'!$F$4="CA",'2025'!$F$2=CK81),'2025DATA'!$D$21,"")</f>
        <v/>
      </c>
      <c r="CL100" s="518" t="str">
        <f>IF(AND(_A6="B-737-900",'2025'!$F$4="CA",'2025'!$F$2=CL81),'2025DATA'!$E$21,"")</f>
        <v/>
      </c>
      <c r="CM100" s="518" t="str">
        <f>IF(AND(_A6="B-737-900",'2025'!$F$4="CA",'2025'!$F$2=CM81),'2025DATA'!$F$21,"")</f>
        <v/>
      </c>
      <c r="CN100" s="518" t="str">
        <f>IF(AND(_A6="B-737-900",'2025'!$F$4="CA",'2025'!$F$2=CN81),'2025DATA'!$G$21,"")</f>
        <v/>
      </c>
      <c r="CO100" s="518" t="str">
        <f>IF(AND(_A6="B-737-900",'2025'!$F$4="CA",'2025'!$F$2=CO81),'2025DATA'!$H$21,"")</f>
        <v/>
      </c>
      <c r="CP100" s="518" t="str">
        <f>IF(AND(_A6="B-737-900",'2025'!$F$4="CA",'2025'!$F$2=CP81),'2025DATA'!$I$21,"")</f>
        <v/>
      </c>
      <c r="CQ100" s="518" t="str">
        <f>IF(AND(_A6="B-737-900",'2025'!$F$4="CA",'2025'!$F$2=CQ81),'2025DATA'!$J$21,"")</f>
        <v/>
      </c>
      <c r="CR100" s="518" t="str">
        <f>IF(AND(_A6="B-737-900",'2025'!$F$4="CA",'2025'!$F$2=CR81),'2025DATA'!$K$21,"")</f>
        <v/>
      </c>
      <c r="CS100" s="518" t="str">
        <f>IF(AND(_A6="B-737-900",'2025'!$F$4="CA",'2025'!$F$2=CS81),'2025DATA'!$L$21,"")</f>
        <v/>
      </c>
      <c r="CT100" s="518" t="str">
        <f>IF(AND(_A6="B-737-900",'2025'!$F$4="CA",'2025'!$F$2=CT81),'2025DATA'!$M$21,"")</f>
        <v/>
      </c>
      <c r="CU100" s="520" t="str">
        <f>IF(AND(_A6="B-737-900",'2025'!$F$4="CA",'2025'!$F$2=CU81),'2025DATA'!$N$21,"")</f>
        <v/>
      </c>
    </row>
    <row r="101" spans="16:99" x14ac:dyDescent="0.25">
      <c r="P101" s="940"/>
      <c r="Q101" s="13" t="s">
        <v>62</v>
      </c>
      <c r="R101" s="518" t="str">
        <f>IF(AND(_A1="B-737-900",'2025'!$F$4="FO",'2025'!$F$2=R81),'2025DATA'!$C$22,"")</f>
        <v/>
      </c>
      <c r="S101" s="518" t="str">
        <f>IF(AND(_A1="B-737-900",'2025'!$F$4="FO",'2025'!$F$2=S81),'2025DATA'!$D$22,"")</f>
        <v/>
      </c>
      <c r="T101" s="518" t="str">
        <f>IF(AND(_A1="B-737-900",'2025'!$F$4="FO",'2025'!$F$2=T81),'2025DATA'!$E$22,"")</f>
        <v/>
      </c>
      <c r="U101" s="518" t="str">
        <f>IF(AND(_A1="B-737-900",'2025'!$F$4="FO",'2025'!$F$2=U81),'2025DATA'!$F$22,"")</f>
        <v/>
      </c>
      <c r="V101" s="518" t="str">
        <f>IF(AND(_A1="B-737-900",'2025'!$F$4="FO",'2025'!$F$2=V81),'2025DATA'!$G$22,"")</f>
        <v/>
      </c>
      <c r="W101" s="518" t="str">
        <f>IF(AND(_A1="B-737-900",'2025'!$F$4="FO",'2025'!$F$2=W81),'2025DATA'!$H$22,"")</f>
        <v/>
      </c>
      <c r="X101" s="518" t="str">
        <f>IF(AND(_A1="B-737-900",'2025'!$F$4="FO",'2025'!$F$2=X81),'2025DATA'!$I$22,"")</f>
        <v/>
      </c>
      <c r="Y101" s="518" t="str">
        <f>IF(AND(_A1="B-737-900",'2025'!$F$4="FO",'2025'!$F$2=Y81),'2025DATA'!$J$22,"")</f>
        <v/>
      </c>
      <c r="Z101" s="518" t="str">
        <f>IF(AND(_A1="B-737-900",'2025'!$F$4="FO",'2025'!$F$2=Z81),'2025DATA'!$K$22,"")</f>
        <v/>
      </c>
      <c r="AA101" s="518" t="str">
        <f>IF(AND(_A1="B-737-900",'2025'!$F$4="FO",'2025'!$F$2=AA81),'2025DATA'!$L$22,"")</f>
        <v/>
      </c>
      <c r="AB101" s="518" t="str">
        <f>IF(AND(_A1="B-737-900",'2025'!$F$4="FO",'2025'!$F$2=AB81),'2025DATA'!$M$22,"")</f>
        <v/>
      </c>
      <c r="AC101" s="520" t="str">
        <f>IF(AND(_A1="B-737-900",'2025'!$F$4="FO",'2025'!$F$2=AC81),'2025DATA'!$N$22,"")</f>
        <v/>
      </c>
      <c r="AD101" s="940"/>
      <c r="AE101" s="13" t="s">
        <v>62</v>
      </c>
      <c r="AF101" s="518" t="str">
        <f>IF(AND(_A2="B-737-900",'2025'!$F$4="FO",'2025'!$F$2=AF81),'2025DATA'!$C$22,"")</f>
        <v/>
      </c>
      <c r="AG101" s="518" t="str">
        <f>IF(AND(_A2="B-737-900",'2025'!$F$4="FO",'2025'!$F$2=AG81),'2025DATA'!$D$22,"")</f>
        <v/>
      </c>
      <c r="AH101" s="518" t="str">
        <f>IF(AND(_A2="B-737-900",'2025'!$F$4="FO",'2025'!$F$2=AH81),'2025DATA'!$E$22,"")</f>
        <v/>
      </c>
      <c r="AI101" s="518" t="str">
        <f>IF(AND(_A2="B-737-900",'2025'!$F$4="FO",'2025'!$F$2=AI81),'2025DATA'!$F$22,"")</f>
        <v/>
      </c>
      <c r="AJ101" s="518" t="str">
        <f>IF(AND(_A2="B-737-900",'2025'!$F$4="FO",'2025'!$F$2=AJ81),'2025DATA'!$G$22,"")</f>
        <v/>
      </c>
      <c r="AK101" s="518" t="str">
        <f>IF(AND(_A2="B-737-900",'2025'!$F$4="FO",'2025'!$F$2=AK81),'2025DATA'!$H$22,"")</f>
        <v/>
      </c>
      <c r="AL101" s="518" t="str">
        <f>IF(AND(_A2="B-737-900",'2025'!$F$4="FO",'2025'!$F$2=AL81),'2025DATA'!$I$22,"")</f>
        <v/>
      </c>
      <c r="AM101" s="518" t="str">
        <f>IF(AND(_A2="B-737-900",'2025'!$F$4="FO",'2025'!$F$2=AM81),'2025DATA'!$J$22,"")</f>
        <v/>
      </c>
      <c r="AN101" s="518" t="str">
        <f>IF(AND(_A2="B-737-900",'2025'!$F$4="FO",'2025'!$F$2=AN81),'2025DATA'!$K$22,"")</f>
        <v/>
      </c>
      <c r="AO101" s="518" t="str">
        <f>IF(AND(_A2="B-737-900",'2025'!$F$4="FO",'2025'!$F$2=AO81),'2025DATA'!$L$22,"")</f>
        <v/>
      </c>
      <c r="AP101" s="518" t="str">
        <f>IF(AND(_A2="B-737-900",'2025'!$F$4="FO",'2025'!$F$2=AP81),'2025DATA'!$M$22,"")</f>
        <v/>
      </c>
      <c r="AQ101" s="520" t="str">
        <f>IF(AND(_A2="B-737-900",'2025'!$F$4="FO",'2025'!$F$2=AQ81),'2025DATA'!$N$22,"")</f>
        <v/>
      </c>
      <c r="AR101" s="940"/>
      <c r="AS101" s="13" t="s">
        <v>62</v>
      </c>
      <c r="AT101" s="518" t="str">
        <f>IF(AND(_A3="B-737-900",'2025'!$F$4="FO",'2025'!$F$2=AT81),'2025DATA'!$C$22,"")</f>
        <v/>
      </c>
      <c r="AU101" s="518" t="str">
        <f>IF(AND(_A3="B-737-900",'2025'!$F$4="FO",'2025'!$F$2=AU81),'2025DATA'!$D$22,"")</f>
        <v/>
      </c>
      <c r="AV101" s="518" t="str">
        <f>IF(AND(_A3="B-737-900",'2025'!$F$4="FO",'2025'!$F$2=AV81),'2025DATA'!$E$22,"")</f>
        <v/>
      </c>
      <c r="AW101" s="518" t="str">
        <f>IF(AND(_A3="B-737-900",'2025'!$F$4="FO",'2025'!$F$2=AW81),'2025DATA'!$F$22,"")</f>
        <v/>
      </c>
      <c r="AX101" s="518" t="str">
        <f>IF(AND(_A3="B-737-900",'2025'!$F$4="FO",'2025'!$F$2=AX81),'2025DATA'!$G$22,"")</f>
        <v/>
      </c>
      <c r="AY101" s="518" t="str">
        <f>IF(AND(_A3="B-737-900",'2025'!$F$4="FO",'2025'!$F$2=AY81),'2025DATA'!$H$22,"")</f>
        <v/>
      </c>
      <c r="AZ101" s="518" t="str">
        <f>IF(AND(_A3="B-737-900",'2025'!$F$4="FO",'2025'!$F$2=AZ81),'2025DATA'!$I$22,"")</f>
        <v/>
      </c>
      <c r="BA101" s="518" t="str">
        <f>IF(AND(_A3="B-737-900",'2025'!$F$4="FO",'2025'!$F$2=BA81),'2025DATA'!$J$22,"")</f>
        <v/>
      </c>
      <c r="BB101" s="518" t="str">
        <f>IF(AND(_A3="B-737-900",'2025'!$F$4="FO",'2025'!$F$2=BB81),'2025DATA'!$K$22,"")</f>
        <v/>
      </c>
      <c r="BC101" s="518" t="str">
        <f>IF(AND(_A3="B-737-900",'2025'!$F$4="FO",'2025'!$F$2=BC81),'2025DATA'!$L$22,"")</f>
        <v/>
      </c>
      <c r="BD101" s="518" t="str">
        <f>IF(AND(_A3="B-737-900",'2025'!$F$4="FO",'2025'!$F$2=BD81),'2025DATA'!$M$22,"")</f>
        <v/>
      </c>
      <c r="BE101" s="520" t="str">
        <f>IF(AND(_A3="B-737-900",'2025'!$F$4="FO",'2025'!$F$2=BE81),'2025DATA'!$N$22,"")</f>
        <v/>
      </c>
      <c r="BF101" s="940"/>
      <c r="BG101" s="13" t="s">
        <v>62</v>
      </c>
      <c r="BH101" s="518" t="str">
        <f>IF(AND(_A4="B-737-900",'2025'!$F$4="FO",'2025'!$F$2=BH81),'2025DATA'!$C$22,"")</f>
        <v/>
      </c>
      <c r="BI101" s="518" t="str">
        <f>IF(AND(_A4="B-737-900",'2025'!$F$4="FO",'2025'!$F$2=BI81),'2025DATA'!$D$22,"")</f>
        <v/>
      </c>
      <c r="BJ101" s="518" t="str">
        <f>IF(AND(_A4="B-737-900",'2025'!$F$4="FO",'2025'!$F$2=BJ81),'2025DATA'!$E$22,"")</f>
        <v/>
      </c>
      <c r="BK101" s="518" t="str">
        <f>IF(AND(_A4="B-737-900",'2025'!$F$4="FO",'2025'!$F$2=BK81),'2025DATA'!$F$22,"")</f>
        <v/>
      </c>
      <c r="BL101" s="518" t="str">
        <f>IF(AND(_A4="B-737-900",'2025'!$F$4="FO",'2025'!$F$2=BL81),'2025DATA'!$G$22,"")</f>
        <v/>
      </c>
      <c r="BM101" s="518" t="str">
        <f>IF(AND(_A4="B-737-900",'2025'!$F$4="FO",'2025'!$F$2=BM81),'2025DATA'!$H$22,"")</f>
        <v/>
      </c>
      <c r="BN101" s="518" t="str">
        <f>IF(AND(_A4="B-737-900",'2025'!$F$4="FO",'2025'!$F$2=BN81),'2025DATA'!$I$22,"")</f>
        <v/>
      </c>
      <c r="BO101" s="518" t="str">
        <f>IF(AND(_A4="B-737-900",'2025'!$F$4="FO",'2025'!$F$2=BO81),'2025DATA'!$J$22,"")</f>
        <v/>
      </c>
      <c r="BP101" s="518" t="str">
        <f>IF(AND(_A4="B-737-900",'2025'!$F$4="FO",'2025'!$F$2=BP81),'2025DATA'!$K$22,"")</f>
        <v/>
      </c>
      <c r="BQ101" s="518" t="str">
        <f>IF(AND(_A4="B-737-900",'2025'!$F$4="FO",'2025'!$F$2=BQ81),'2025DATA'!$L$22,"")</f>
        <v/>
      </c>
      <c r="BR101" s="518" t="str">
        <f>IF(AND(_A4="B-737-900",'2025'!$F$4="FO",'2025'!$F$2=BR81),'2025DATA'!$M$22,"")</f>
        <v/>
      </c>
      <c r="BS101" s="520" t="str">
        <f>IF(AND(_A4="B-737-900",'2025'!$F$4="FO",'2025'!$F$2=BS81),'2025DATA'!$N$22,"")</f>
        <v/>
      </c>
      <c r="BT101" s="940"/>
      <c r="BU101" s="13" t="s">
        <v>62</v>
      </c>
      <c r="BV101" s="518" t="str">
        <f>IF(AND(_A5="B-737-900",'2025'!$F$4="FO",'2025'!$F$2=BV81),'2025DATA'!$C$22,"")</f>
        <v/>
      </c>
      <c r="BW101" s="518" t="str">
        <f>IF(AND(_A5="B-737-900",'2025'!$F$4="FO",'2025'!$F$2=BW81),'2025DATA'!$D$22,"")</f>
        <v/>
      </c>
      <c r="BX101" s="518" t="str">
        <f>IF(AND(_A5="B-737-900",'2025'!$F$4="FO",'2025'!$F$2=BX81),'2025DATA'!$E$22,"")</f>
        <v/>
      </c>
      <c r="BY101" s="518" t="str">
        <f>IF(AND(_A5="B-737-900",'2025'!$F$4="FO",'2025'!$F$2=BY81),'2025DATA'!$F$22,"")</f>
        <v/>
      </c>
      <c r="BZ101" s="518" t="str">
        <f>IF(AND(_A5="B-737-900",'2025'!$F$4="FO",'2025'!$F$2=BZ81),'2025DATA'!$G$22,"")</f>
        <v/>
      </c>
      <c r="CA101" s="518" t="str">
        <f>IF(AND(_A5="B-737-900",'2025'!$F$4="FO",'2025'!$F$2=CA81),'2025DATA'!$H$22,"")</f>
        <v/>
      </c>
      <c r="CB101" s="518" t="str">
        <f>IF(AND(_A5="B-737-900",'2025'!$F$4="FO",'2025'!$F$2=CB81),'2025DATA'!$I$22,"")</f>
        <v/>
      </c>
      <c r="CC101" s="518" t="str">
        <f>IF(AND(_A5="B-737-900",'2025'!$F$4="FO",'2025'!$F$2=CC81),'2025DATA'!$J$22,"")</f>
        <v/>
      </c>
      <c r="CD101" s="518" t="str">
        <f>IF(AND(_A5="B-737-900",'2025'!$F$4="FO",'2025'!$F$2=CD81),'2025DATA'!$K$22,"")</f>
        <v/>
      </c>
      <c r="CE101" s="518" t="str">
        <f>IF(AND(_A5="B-737-900",'2025'!$F$4="FO",'2025'!$F$2=CE81),'2025DATA'!$L$22,"")</f>
        <v/>
      </c>
      <c r="CF101" s="518" t="str">
        <f>IF(AND(_A5="B-737-900",'2025'!$F$4="FO",'2025'!$F$2=CF81),'2025DATA'!$M$22,"")</f>
        <v/>
      </c>
      <c r="CG101" s="520" t="str">
        <f>IF(AND(_A5="B-737-900",'2025'!$F$4="FO",'2025'!$F$2=CG81),'2025DATA'!$N$22,"")</f>
        <v/>
      </c>
      <c r="CH101" s="940"/>
      <c r="CI101" s="13" t="s">
        <v>62</v>
      </c>
      <c r="CJ101" s="518" t="str">
        <f>IF(AND(_A6="B-737-900",'2025'!$F$4="FO",'2025'!$F$2=CJ81),'2025DATA'!$C$22,"")</f>
        <v/>
      </c>
      <c r="CK101" s="518" t="str">
        <f>IF(AND(_A6="B-737-900",'2025'!$F$4="FO",'2025'!$F$2=CK81),'2025DATA'!$D$22,"")</f>
        <v/>
      </c>
      <c r="CL101" s="518" t="str">
        <f>IF(AND(_A6="B-737-900",'2025'!$F$4="FO",'2025'!$F$2=CL81),'2025DATA'!$E$22,"")</f>
        <v/>
      </c>
      <c r="CM101" s="518" t="str">
        <f>IF(AND(_A6="B-737-900",'2025'!$F$4="FO",'2025'!$F$2=CM81),'2025DATA'!$F$22,"")</f>
        <v/>
      </c>
      <c r="CN101" s="518" t="str">
        <f>IF(AND(_A6="B-737-900",'2025'!$F$4="FO",'2025'!$F$2=CN81),'2025DATA'!$G$22,"")</f>
        <v/>
      </c>
      <c r="CO101" s="518" t="str">
        <f>IF(AND(_A6="B-737-900",'2025'!$F$4="FO",'2025'!$F$2=CO81),'2025DATA'!$H$22,"")</f>
        <v/>
      </c>
      <c r="CP101" s="518" t="str">
        <f>IF(AND(_A6="B-737-900",'2025'!$F$4="FO",'2025'!$F$2=CP81),'2025DATA'!$I$22,"")</f>
        <v/>
      </c>
      <c r="CQ101" s="518" t="str">
        <f>IF(AND(_A6="B-737-900",'2025'!$F$4="FO",'2025'!$F$2=CQ81),'2025DATA'!$J$22,"")</f>
        <v/>
      </c>
      <c r="CR101" s="518" t="str">
        <f>IF(AND(_A6="B-737-900",'2025'!$F$4="FO",'2025'!$F$2=CR81),'2025DATA'!$K$22,"")</f>
        <v/>
      </c>
      <c r="CS101" s="518" t="str">
        <f>IF(AND(_A6="B-737-900",'2025'!$F$4="FO",'2025'!$F$2=CS81),'2025DATA'!$L$22,"")</f>
        <v/>
      </c>
      <c r="CT101" s="518" t="str">
        <f>IF(AND(_A6="B-737-900",'2025'!$F$4="FO",'2025'!$F$2=CT81),'2025DATA'!$M$22,"")</f>
        <v/>
      </c>
      <c r="CU101" s="520" t="str">
        <f>IF(AND(_A6="B-737-900",'2025'!$F$4="FO",'2025'!$F$2=CU81),'2025DATA'!$N$22,"")</f>
        <v/>
      </c>
    </row>
    <row r="102" spans="16:99" x14ac:dyDescent="0.25">
      <c r="P102" s="940" t="s">
        <v>69</v>
      </c>
      <c r="Q102" s="13" t="s">
        <v>61</v>
      </c>
      <c r="R102" s="518" t="str">
        <f>IF(AND(_A1="B-737-800",'2025'!$F$4="CA",'2025'!$F$2=R81),'2025DATA'!$C$23,"")</f>
        <v/>
      </c>
      <c r="S102" s="518" t="str">
        <f>IF(AND(_A1="B-737-800",'2025'!$F$4="CA",'2025'!$F$2=S81),'2025DATA'!$D$23,"")</f>
        <v/>
      </c>
      <c r="T102" s="518" t="str">
        <f>IF(AND(_A1="B-737-800",'2025'!$F$4="CA",'2025'!$F$2=T81),'2025DATA'!$E$23,"")</f>
        <v/>
      </c>
      <c r="U102" s="518" t="str">
        <f>IF(AND(_A1="B-737-800",'2025'!$F$4="CA",'2025'!$F$2=U81),'2025DATA'!$F$23,"")</f>
        <v/>
      </c>
      <c r="V102" s="518" t="str">
        <f>IF(AND(_A1="B-737-800",'2025'!$F$4="CA",'2025'!$F$2=V81),'2025DATA'!$G$23,"")</f>
        <v/>
      </c>
      <c r="W102" s="518" t="str">
        <f>IF(AND(_A1="B-737-800",'2025'!$F$4="CA",'2025'!$F$2=W81),'2025DATA'!$H$23,"")</f>
        <v/>
      </c>
      <c r="X102" s="518" t="str">
        <f>IF(AND(_A1="B-737-800",'2025'!$F$4="CA",'2025'!$F$2=X81),'2025DATA'!$I$23,"")</f>
        <v/>
      </c>
      <c r="Y102" s="518" t="str">
        <f>IF(AND(_A1="B-737-800",'2025'!$F$4="CA",'2025'!$F$2=Y81),'2025DATA'!$J$23,"")</f>
        <v/>
      </c>
      <c r="Z102" s="518" t="str">
        <f>IF(AND(_A1="B-737-800",'2025'!$F$4="CA",'2025'!$F$2=Z81),'2025DATA'!$K$23,"")</f>
        <v/>
      </c>
      <c r="AA102" s="518" t="str">
        <f>IF(AND(_A1="B-737-800",'2025'!$F$4="CA",'2025'!$F$2=AA81),'2025DATA'!$L$23,"")</f>
        <v/>
      </c>
      <c r="AB102" s="518" t="str">
        <f>IF(AND(_A1="B-737-800",'2025'!$F$4="CA",'2025'!$F$2=AB81),'2025DATA'!$M$23,"")</f>
        <v/>
      </c>
      <c r="AC102" s="520" t="str">
        <f>IF(AND(_A1="B-737-800",'2025'!$F$4="CA",'2025'!$F$2=AC81),'2025DATA'!$N$23,"")</f>
        <v/>
      </c>
      <c r="AD102" s="940" t="s">
        <v>69</v>
      </c>
      <c r="AE102" s="13" t="s">
        <v>61</v>
      </c>
      <c r="AF102" s="518" t="str">
        <f>IF(AND(_A2="B-737-800",'2025'!$F$4="CA",'2025'!$F$2=AF81),'2025DATA'!$C$23,"")</f>
        <v/>
      </c>
      <c r="AG102" s="518" t="str">
        <f>IF(AND(_A2="B-737-800",'2025'!$F$4="CA",'2025'!$F$2=AG81),'2025DATA'!$D$23,"")</f>
        <v/>
      </c>
      <c r="AH102" s="518" t="str">
        <f>IF(AND(_A2="B-737-800",'2025'!$F$4="CA",'2025'!$F$2=AH81),'2025DATA'!$E$23,"")</f>
        <v/>
      </c>
      <c r="AI102" s="518" t="str">
        <f>IF(AND(_A2="B-737-800",'2025'!$F$4="CA",'2025'!$F$2=AI81),'2025DATA'!$F$23,"")</f>
        <v/>
      </c>
      <c r="AJ102" s="518" t="str">
        <f>IF(AND(_A2="B-737-800",'2025'!$F$4="CA",'2025'!$F$2=AJ81),'2025DATA'!$G$23,"")</f>
        <v/>
      </c>
      <c r="AK102" s="518" t="str">
        <f>IF(AND(_A2="B-737-800",'2025'!$F$4="CA",'2025'!$F$2=AK81),'2025DATA'!$H$23,"")</f>
        <v/>
      </c>
      <c r="AL102" s="518" t="str">
        <f>IF(AND(_A2="B-737-800",'2025'!$F$4="CA",'2025'!$F$2=AL81),'2025DATA'!$I$23,"")</f>
        <v/>
      </c>
      <c r="AM102" s="518" t="str">
        <f>IF(AND(_A2="B-737-800",'2025'!$F$4="CA",'2025'!$F$2=AM81),'2025DATA'!$J$23,"")</f>
        <v/>
      </c>
      <c r="AN102" s="518" t="str">
        <f>IF(AND(_A2="B-737-800",'2025'!$F$4="CA",'2025'!$F$2=AN81),'2025DATA'!$K$23,"")</f>
        <v/>
      </c>
      <c r="AO102" s="518" t="str">
        <f>IF(AND(_A2="B-737-800",'2025'!$F$4="CA",'2025'!$F$2=AO81),'2025DATA'!$L$23,"")</f>
        <v/>
      </c>
      <c r="AP102" s="518" t="str">
        <f>IF(AND(_A2="B-737-800",'2025'!$F$4="CA",'2025'!$F$2=AP81),'2025DATA'!$M$23,"")</f>
        <v/>
      </c>
      <c r="AQ102" s="520" t="str">
        <f>IF(AND(_A2="B-737-800",'2025'!$F$4="CA",'2025'!$F$2=AQ81),'2025DATA'!$N$23,"")</f>
        <v/>
      </c>
      <c r="AR102" s="940" t="s">
        <v>69</v>
      </c>
      <c r="AS102" s="13" t="s">
        <v>61</v>
      </c>
      <c r="AT102" s="518" t="str">
        <f>IF(AND(_A3="B-737-800",'2025'!$F$4="CA",'2025'!$F$2=AT81),'2025DATA'!$C$23,"")</f>
        <v/>
      </c>
      <c r="AU102" s="518" t="str">
        <f>IF(AND(_A3="B-737-800",'2025'!$F$4="CA",'2025'!$F$2=AU81),'2025DATA'!$D$23,"")</f>
        <v/>
      </c>
      <c r="AV102" s="518" t="str">
        <f>IF(AND(_A3="B-737-800",'2025'!$F$4="CA",'2025'!$F$2=AV81),'2025DATA'!$E$23,"")</f>
        <v/>
      </c>
      <c r="AW102" s="518" t="str">
        <f>IF(AND(_A3="B-737-800",'2025'!$F$4="CA",'2025'!$F$2=AW81),'2025DATA'!$F$23,"")</f>
        <v/>
      </c>
      <c r="AX102" s="518" t="str">
        <f>IF(AND(_A3="B-737-800",'2025'!$F$4="CA",'2025'!$F$2=AX81),'2025DATA'!$G$23,"")</f>
        <v/>
      </c>
      <c r="AY102" s="518" t="str">
        <f>IF(AND(_A3="B-737-800",'2025'!$F$4="CA",'2025'!$F$2=AY81),'2025DATA'!$H$23,"")</f>
        <v/>
      </c>
      <c r="AZ102" s="518" t="str">
        <f>IF(AND(_A3="B-737-800",'2025'!$F$4="CA",'2025'!$F$2=AZ81),'2025DATA'!$I$23,"")</f>
        <v/>
      </c>
      <c r="BA102" s="518" t="str">
        <f>IF(AND(_A3="B-737-800",'2025'!$F$4="CA",'2025'!$F$2=BA81),'2025DATA'!$J$23,"")</f>
        <v/>
      </c>
      <c r="BB102" s="518" t="str">
        <f>IF(AND(_A3="B-737-800",'2025'!$F$4="CA",'2025'!$F$2=BB81),'2025DATA'!$K$23,"")</f>
        <v/>
      </c>
      <c r="BC102" s="518" t="str">
        <f>IF(AND(_A3="B-737-800",'2025'!$F$4="CA",'2025'!$F$2=BC81),'2025DATA'!$L$23,"")</f>
        <v/>
      </c>
      <c r="BD102" s="518" t="str">
        <f>IF(AND(_A3="B-737-800",'2025'!$F$4="CA",'2025'!$F$2=BD81),'2025DATA'!$M$23,"")</f>
        <v/>
      </c>
      <c r="BE102" s="520" t="str">
        <f>IF(AND(_A3="B-737-800",'2025'!$F$4="CA",'2025'!$F$2=BE81),'2025DATA'!$N$23,"")</f>
        <v/>
      </c>
      <c r="BF102" s="940" t="s">
        <v>69</v>
      </c>
      <c r="BG102" s="13" t="s">
        <v>61</v>
      </c>
      <c r="BH102" s="518" t="str">
        <f>IF(AND(_A4="B-737-800",'2025'!$F$4="CA",'2025'!$F$2=BH81),'2025DATA'!$C$23,"")</f>
        <v/>
      </c>
      <c r="BI102" s="518" t="str">
        <f>IF(AND(_A4="B-737-800",'2025'!$F$4="CA",'2025'!$F$2=BI81),'2025DATA'!$D$23,"")</f>
        <v/>
      </c>
      <c r="BJ102" s="518" t="str">
        <f>IF(AND(_A4="B-737-800",'2025'!$F$4="CA",'2025'!$F$2=BJ81),'2025DATA'!$E$23,"")</f>
        <v/>
      </c>
      <c r="BK102" s="518" t="str">
        <f>IF(AND(_A4="B-737-800",'2025'!$F$4="CA",'2025'!$F$2=BK81),'2025DATA'!$F$23,"")</f>
        <v/>
      </c>
      <c r="BL102" s="518" t="str">
        <f>IF(AND(_A4="B-737-800",'2025'!$F$4="CA",'2025'!$F$2=BL81),'2025DATA'!$G$23,"")</f>
        <v/>
      </c>
      <c r="BM102" s="518" t="str">
        <f>IF(AND(_A4="B-737-800",'2025'!$F$4="CA",'2025'!$F$2=BM81),'2025DATA'!$H$23,"")</f>
        <v/>
      </c>
      <c r="BN102" s="518" t="str">
        <f>IF(AND(_A4="B-737-800",'2025'!$F$4="CA",'2025'!$F$2=BN81),'2025DATA'!$I$23,"")</f>
        <v/>
      </c>
      <c r="BO102" s="518" t="str">
        <f>IF(AND(_A4="B-737-800",'2025'!$F$4="CA",'2025'!$F$2=BO81),'2025DATA'!$J$23,"")</f>
        <v/>
      </c>
      <c r="BP102" s="518" t="str">
        <f>IF(AND(_A4="B-737-800",'2025'!$F$4="CA",'2025'!$F$2=BP81),'2025DATA'!$K$23,"")</f>
        <v/>
      </c>
      <c r="BQ102" s="518" t="str">
        <f>IF(AND(_A4="B-737-800",'2025'!$F$4="CA",'2025'!$F$2=BQ81),'2025DATA'!$L$23,"")</f>
        <v/>
      </c>
      <c r="BR102" s="518" t="str">
        <f>IF(AND(_A4="B-737-800",'2025'!$F$4="CA",'2025'!$F$2=BR81),'2025DATA'!$M$23,"")</f>
        <v/>
      </c>
      <c r="BS102" s="520" t="str">
        <f>IF(AND(_A4="B-737-800",'2025'!$F$4="CA",'2025'!$F$2=BS81),'2025DATA'!$N$23,"")</f>
        <v/>
      </c>
      <c r="BT102" s="940" t="s">
        <v>69</v>
      </c>
      <c r="BU102" s="13" t="s">
        <v>61</v>
      </c>
      <c r="BV102" s="518" t="str">
        <f>IF(AND(_A5="B-737-800",'2025'!$F$4="CA",'2025'!$F$2=BV81),'2025DATA'!$C$23,"")</f>
        <v/>
      </c>
      <c r="BW102" s="518" t="str">
        <f>IF(AND(_A5="B-737-800",'2025'!$F$4="CA",'2025'!$F$2=BW81),'2025DATA'!$D$23,"")</f>
        <v/>
      </c>
      <c r="BX102" s="518" t="str">
        <f>IF(AND(_A5="B-737-800",'2025'!$F$4="CA",'2025'!$F$2=BX81),'2025DATA'!$E$23,"")</f>
        <v/>
      </c>
      <c r="BY102" s="518" t="str">
        <f>IF(AND(_A5="B-737-800",'2025'!$F$4="CA",'2025'!$F$2=BY81),'2025DATA'!$F$23,"")</f>
        <v/>
      </c>
      <c r="BZ102" s="518" t="str">
        <f>IF(AND(_A5="B-737-800",'2025'!$F$4="CA",'2025'!$F$2=BZ81),'2025DATA'!$G$23,"")</f>
        <v/>
      </c>
      <c r="CA102" s="518" t="str">
        <f>IF(AND(_A5="B-737-800",'2025'!$F$4="CA",'2025'!$F$2=CA81),'2025DATA'!$H$23,"")</f>
        <v/>
      </c>
      <c r="CB102" s="518" t="str">
        <f>IF(AND(_A5="B-737-800",'2025'!$F$4="CA",'2025'!$F$2=CB81),'2025DATA'!$I$23,"")</f>
        <v/>
      </c>
      <c r="CC102" s="518" t="str">
        <f>IF(AND(_A5="B-737-800",'2025'!$F$4="CA",'2025'!$F$2=CC81),'2025DATA'!$J$23,"")</f>
        <v/>
      </c>
      <c r="CD102" s="518" t="str">
        <f>IF(AND(_A5="B-737-800",'2025'!$F$4="CA",'2025'!$F$2=CD81),'2025DATA'!$K$23,"")</f>
        <v/>
      </c>
      <c r="CE102" s="518" t="str">
        <f>IF(AND(_A5="B-737-800",'2025'!$F$4="CA",'2025'!$F$2=CE81),'2025DATA'!$L$23,"")</f>
        <v/>
      </c>
      <c r="CF102" s="518" t="str">
        <f>IF(AND(_A5="B-737-800",'2025'!$F$4="CA",'2025'!$F$2=CF81),'2025DATA'!$M$23,"")</f>
        <v/>
      </c>
      <c r="CG102" s="520" t="str">
        <f>IF(AND(_A5="B-737-800",'2025'!$F$4="CA",'2025'!$F$2=CG81),'2025DATA'!$N$23,"")</f>
        <v/>
      </c>
      <c r="CH102" s="940" t="s">
        <v>69</v>
      </c>
      <c r="CI102" s="13" t="s">
        <v>61</v>
      </c>
      <c r="CJ102" s="518" t="str">
        <f>IF(AND(_A6="B-737-800",'2025'!$F$4="CA",'2025'!$F$2=CJ81),'2025DATA'!$C$23,"")</f>
        <v/>
      </c>
      <c r="CK102" s="518" t="str">
        <f>IF(AND(_A6="B-737-800",'2025'!$F$4="CA",'2025'!$F$2=CK81),'2025DATA'!$D$23,"")</f>
        <v/>
      </c>
      <c r="CL102" s="518" t="str">
        <f>IF(AND(_A6="B-737-800",'2025'!$F$4="CA",'2025'!$F$2=CL81),'2025DATA'!$E$23,"")</f>
        <v/>
      </c>
      <c r="CM102" s="518" t="str">
        <f>IF(AND(_A6="B-737-800",'2025'!$F$4="CA",'2025'!$F$2=CM81),'2025DATA'!$F$23,"")</f>
        <v/>
      </c>
      <c r="CN102" s="518" t="str">
        <f>IF(AND(_A6="B-737-800",'2025'!$F$4="CA",'2025'!$F$2=CN81),'2025DATA'!$G$23,"")</f>
        <v/>
      </c>
      <c r="CO102" s="518" t="str">
        <f>IF(AND(_A6="B-737-800",'2025'!$F$4="CA",'2025'!$F$2=CO81),'2025DATA'!$H$23,"")</f>
        <v/>
      </c>
      <c r="CP102" s="518" t="str">
        <f>IF(AND(_A6="B-737-800",'2025'!$F$4="CA",'2025'!$F$2=CP81),'2025DATA'!$I$23,"")</f>
        <v/>
      </c>
      <c r="CQ102" s="518" t="str">
        <f>IF(AND(_A6="B-737-800",'2025'!$F$4="CA",'2025'!$F$2=CQ81),'2025DATA'!$J$23,"")</f>
        <v/>
      </c>
      <c r="CR102" s="518" t="str">
        <f>IF(AND(_A6="B-737-800",'2025'!$F$4="CA",'2025'!$F$2=CR81),'2025DATA'!$K$23,"")</f>
        <v/>
      </c>
      <c r="CS102" s="518" t="str">
        <f>IF(AND(_A6="B-737-800",'2025'!$F$4="CA",'2025'!$F$2=CS81),'2025DATA'!$L$23,"")</f>
        <v/>
      </c>
      <c r="CT102" s="518" t="str">
        <f>IF(AND(_A6="B-737-800",'2025'!$F$4="CA",'2025'!$F$2=CT81),'2025DATA'!$M$23,"")</f>
        <v/>
      </c>
      <c r="CU102" s="520" t="str">
        <f>IF(AND(_A6="B-737-800",'2025'!$F$4="CA",'2025'!$F$2=CU81),'2025DATA'!$N$23,"")</f>
        <v/>
      </c>
    </row>
    <row r="103" spans="16:99" x14ac:dyDescent="0.25">
      <c r="P103" s="940"/>
      <c r="Q103" s="13" t="s">
        <v>62</v>
      </c>
      <c r="R103" s="518" t="str">
        <f>IF(AND(_A1="B-737-800",'2025'!$F$4="FO",'2025'!$F$2=R81),'2025DATA'!$C$24,"")</f>
        <v/>
      </c>
      <c r="S103" s="518" t="str">
        <f>IF(AND(_A1="B-737-800",'2025'!$F$4="FO",'2025'!$F$2=S81),'2025DATA'!$D$24,"")</f>
        <v/>
      </c>
      <c r="T103" s="518" t="str">
        <f>IF(AND(_A1="B-737-800",'2025'!$F$4="FO",'2025'!$F$2=T81),'2025DATA'!$E$24,"")</f>
        <v/>
      </c>
      <c r="U103" s="518" t="str">
        <f>IF(AND(_A1="B-737-800",'2025'!$F$4="FO",'2025'!$F$2=U81),'2025DATA'!$F$24,"")</f>
        <v/>
      </c>
      <c r="V103" s="518" t="str">
        <f>IF(AND(_A1="B-737-800",'2025'!$F$4="FO",'2025'!$F$2=V81),'2025DATA'!$G$24,"")</f>
        <v/>
      </c>
      <c r="W103" s="518" t="str">
        <f>IF(AND(_A1="B-737-800",'2025'!$F$4="FO",'2025'!$F$2=W81),'2025DATA'!$H$24,"")</f>
        <v/>
      </c>
      <c r="X103" s="518" t="str">
        <f>IF(AND(_A1="B-737-800",'2025'!$F$4="FO",'2025'!$F$2=X81),'2025DATA'!$I$24,"")</f>
        <v/>
      </c>
      <c r="Y103" s="518" t="str">
        <f>IF(AND(_A1="B-737-800",'2025'!$F$4="FO",'2025'!$F$2=Y81),'2025DATA'!$J$24,"")</f>
        <v/>
      </c>
      <c r="Z103" s="518" t="str">
        <f>IF(AND(_A1="B-737-800",'2025'!$F$4="FO",'2025'!$F$2=Z81),'2025DATA'!$K$24,"")</f>
        <v/>
      </c>
      <c r="AA103" s="518" t="str">
        <f>IF(AND(_A1="B-737-800",'2025'!$F$4="FO",'2025'!$F$2=AA81),'2025DATA'!$L$24,"")</f>
        <v/>
      </c>
      <c r="AB103" s="518" t="str">
        <f>IF(AND(_A1="B-737-800",'2025'!$F$4="FO",'2025'!$F$2=AB81),'2025DATA'!$M$24,"")</f>
        <v/>
      </c>
      <c r="AC103" s="520" t="str">
        <f>IF(AND(_A1="B-737-800",'2025'!$F$4="FO",'2025'!$F$2=AC81),'2025DATA'!$N$24,"")</f>
        <v/>
      </c>
      <c r="AD103" s="940"/>
      <c r="AE103" s="13" t="s">
        <v>62</v>
      </c>
      <c r="AF103" s="518" t="str">
        <f>IF(AND(_A2="B-737-800",'2025'!$F$4="FO",'2025'!$F$2=AF81),'2025DATA'!$C$24,"")</f>
        <v/>
      </c>
      <c r="AG103" s="518" t="str">
        <f>IF(AND(_A2="B-737-800",'2025'!$F$4="FO",'2025'!$F$2=AG81),'2025DATA'!$D$24,"")</f>
        <v/>
      </c>
      <c r="AH103" s="518" t="str">
        <f>IF(AND(_A2="B-737-800",'2025'!$F$4="FO",'2025'!$F$2=AH81),'2025DATA'!$E$24,"")</f>
        <v/>
      </c>
      <c r="AI103" s="518" t="str">
        <f>IF(AND(_A2="B-737-800",'2025'!$F$4="FO",'2025'!$F$2=AI81),'2025DATA'!$F$24,"")</f>
        <v/>
      </c>
      <c r="AJ103" s="518" t="str">
        <f>IF(AND(_A2="B-737-800",'2025'!$F$4="FO",'2025'!$F$2=AJ81),'2025DATA'!$G$24,"")</f>
        <v/>
      </c>
      <c r="AK103" s="518" t="str">
        <f>IF(AND(_A2="B-737-800",'2025'!$F$4="FO",'2025'!$F$2=AK81),'2025DATA'!$H$24,"")</f>
        <v/>
      </c>
      <c r="AL103" s="518" t="str">
        <f>IF(AND(_A2="B-737-800",'2025'!$F$4="FO",'2025'!$F$2=AL81),'2025DATA'!$I$24,"")</f>
        <v/>
      </c>
      <c r="AM103" s="518" t="str">
        <f>IF(AND(_A2="B-737-800",'2025'!$F$4="FO",'2025'!$F$2=AM81),'2025DATA'!$J$24,"")</f>
        <v/>
      </c>
      <c r="AN103" s="518" t="str">
        <f>IF(AND(_A2="B-737-800",'2025'!$F$4="FO",'2025'!$F$2=AN81),'2025DATA'!$K$24,"")</f>
        <v/>
      </c>
      <c r="AO103" s="518" t="str">
        <f>IF(AND(_A2="B-737-800",'2025'!$F$4="FO",'2025'!$F$2=AO81),'2025DATA'!$L$24,"")</f>
        <v/>
      </c>
      <c r="AP103" s="518" t="str">
        <f>IF(AND(_A2="B-737-800",'2025'!$F$4="FO",'2025'!$F$2=AP81),'2025DATA'!$M$24,"")</f>
        <v/>
      </c>
      <c r="AQ103" s="520" t="str">
        <f>IF(AND(_A2="B-737-800",'2025'!$F$4="FO",'2025'!$F$2=AQ81),'2025DATA'!$N$24,"")</f>
        <v/>
      </c>
      <c r="AR103" s="940"/>
      <c r="AS103" s="13" t="s">
        <v>62</v>
      </c>
      <c r="AT103" s="518" t="str">
        <f>IF(AND(_A3="B-737-800",'2025'!$F$4="FO",'2025'!$F$2=AT81),'2025DATA'!$C$24,"")</f>
        <v/>
      </c>
      <c r="AU103" s="518" t="str">
        <f>IF(AND(_A3="B-737-800",'2025'!$F$4="FO",'2025'!$F$2=AU81),'2025DATA'!$D$24,"")</f>
        <v/>
      </c>
      <c r="AV103" s="518" t="str">
        <f>IF(AND(_A3="B-737-800",'2025'!$F$4="FO",'2025'!$F$2=AV81),'2025DATA'!$E$24,"")</f>
        <v/>
      </c>
      <c r="AW103" s="518" t="str">
        <f>IF(AND(_A3="B-737-800",'2025'!$F$4="FO",'2025'!$F$2=AW81),'2025DATA'!$F$24,"")</f>
        <v/>
      </c>
      <c r="AX103" s="518" t="str">
        <f>IF(AND(_A3="B-737-800",'2025'!$F$4="FO",'2025'!$F$2=AX81),'2025DATA'!$G$24,"")</f>
        <v/>
      </c>
      <c r="AY103" s="518" t="str">
        <f>IF(AND(_A3="B-737-800",'2025'!$F$4="FO",'2025'!$F$2=AY81),'2025DATA'!$H$24,"")</f>
        <v/>
      </c>
      <c r="AZ103" s="518" t="str">
        <f>IF(AND(_A3="B-737-800",'2025'!$F$4="FO",'2025'!$F$2=AZ81),'2025DATA'!$I$24,"")</f>
        <v/>
      </c>
      <c r="BA103" s="518" t="str">
        <f>IF(AND(_A3="B-737-800",'2025'!$F$4="FO",'2025'!$F$2=BA81),'2025DATA'!$J$24,"")</f>
        <v/>
      </c>
      <c r="BB103" s="518" t="str">
        <f>IF(AND(_A3="B-737-800",'2025'!$F$4="FO",'2025'!$F$2=BB81),'2025DATA'!$K$24,"")</f>
        <v/>
      </c>
      <c r="BC103" s="518" t="str">
        <f>IF(AND(_A3="B-737-800",'2025'!$F$4="FO",'2025'!$F$2=BC81),'2025DATA'!$L$24,"")</f>
        <v/>
      </c>
      <c r="BD103" s="518" t="str">
        <f>IF(AND(_A3="B-737-800",'2025'!$F$4="FO",'2025'!$F$2=BD81),'2025DATA'!$M$24,"")</f>
        <v/>
      </c>
      <c r="BE103" s="520" t="str">
        <f>IF(AND(_A3="B-737-800",'2025'!$F$4="FO",'2025'!$F$2=BE81),'2025DATA'!$N$24,"")</f>
        <v/>
      </c>
      <c r="BF103" s="940"/>
      <c r="BG103" s="13" t="s">
        <v>62</v>
      </c>
      <c r="BH103" s="518" t="str">
        <f>IF(AND(_A4="B-737-800",'2025'!$F$4="FO",'2025'!$F$2=BH81),'2025DATA'!$C$24,"")</f>
        <v/>
      </c>
      <c r="BI103" s="518" t="str">
        <f>IF(AND(_A4="B-737-800",'2025'!$F$4="FO",'2025'!$F$2=BI81),'2025DATA'!$D$24,"")</f>
        <v/>
      </c>
      <c r="BJ103" s="518" t="str">
        <f>IF(AND(_A4="B-737-800",'2025'!$F$4="FO",'2025'!$F$2=BJ81),'2025DATA'!$E$24,"")</f>
        <v/>
      </c>
      <c r="BK103" s="518" t="str">
        <f>IF(AND(_A4="B-737-800",'2025'!$F$4="FO",'2025'!$F$2=BK81),'2025DATA'!$F$24,"")</f>
        <v/>
      </c>
      <c r="BL103" s="518" t="str">
        <f>IF(AND(_A4="B-737-800",'2025'!$F$4="FO",'2025'!$F$2=BL81),'2025DATA'!$G$24,"")</f>
        <v/>
      </c>
      <c r="BM103" s="518" t="str">
        <f>IF(AND(_A4="B-737-800",'2025'!$F$4="FO",'2025'!$F$2=BM81),'2025DATA'!$H$24,"")</f>
        <v/>
      </c>
      <c r="BN103" s="518" t="str">
        <f>IF(AND(_A4="B-737-800",'2025'!$F$4="FO",'2025'!$F$2=BN81),'2025DATA'!$I$24,"")</f>
        <v/>
      </c>
      <c r="BO103" s="518" t="str">
        <f>IF(AND(_A4="B-737-800",'2025'!$F$4="FO",'2025'!$F$2=BO81),'2025DATA'!$J$24,"")</f>
        <v/>
      </c>
      <c r="BP103" s="518" t="str">
        <f>IF(AND(_A4="B-737-800",'2025'!$F$4="FO",'2025'!$F$2=BP81),'2025DATA'!$K$24,"")</f>
        <v/>
      </c>
      <c r="BQ103" s="518" t="str">
        <f>IF(AND(_A4="B-737-800",'2025'!$F$4="FO",'2025'!$F$2=BQ81),'2025DATA'!$L$24,"")</f>
        <v/>
      </c>
      <c r="BR103" s="518" t="str">
        <f>IF(AND(_A4="B-737-800",'2025'!$F$4="FO",'2025'!$F$2=BR81),'2025DATA'!$M$24,"")</f>
        <v/>
      </c>
      <c r="BS103" s="520" t="str">
        <f>IF(AND(_A4="B-737-800",'2025'!$F$4="FO",'2025'!$F$2=BS81),'2025DATA'!$N$24,"")</f>
        <v/>
      </c>
      <c r="BT103" s="940"/>
      <c r="BU103" s="13" t="s">
        <v>62</v>
      </c>
      <c r="BV103" s="518" t="str">
        <f>IF(AND(_A5="B-737-800",'2025'!$F$4="FO",'2025'!$F$2=BV81),'2025DATA'!$C$24,"")</f>
        <v/>
      </c>
      <c r="BW103" s="518" t="str">
        <f>IF(AND(_A5="B-737-800",'2025'!$F$4="FO",'2025'!$F$2=BW81),'2025DATA'!$D$24,"")</f>
        <v/>
      </c>
      <c r="BX103" s="518" t="str">
        <f>IF(AND(_A5="B-737-800",'2025'!$F$4="FO",'2025'!$F$2=BX81),'2025DATA'!$E$24,"")</f>
        <v/>
      </c>
      <c r="BY103" s="518" t="str">
        <f>IF(AND(_A5="B-737-800",'2025'!$F$4="FO",'2025'!$F$2=BY81),'2025DATA'!$F$24,"")</f>
        <v/>
      </c>
      <c r="BZ103" s="518" t="str">
        <f>IF(AND(_A5="B-737-800",'2025'!$F$4="FO",'2025'!$F$2=BZ81),'2025DATA'!$G$24,"")</f>
        <v/>
      </c>
      <c r="CA103" s="518" t="str">
        <f>IF(AND(_A5="B-737-800",'2025'!$F$4="FO",'2025'!$F$2=CA81),'2025DATA'!$H$24,"")</f>
        <v/>
      </c>
      <c r="CB103" s="518" t="str">
        <f>IF(AND(_A5="B-737-800",'2025'!$F$4="FO",'2025'!$F$2=CB81),'2025DATA'!$I$24,"")</f>
        <v/>
      </c>
      <c r="CC103" s="518" t="str">
        <f>IF(AND(_A5="B-737-800",'2025'!$F$4="FO",'2025'!$F$2=CC81),'2025DATA'!$J$24,"")</f>
        <v/>
      </c>
      <c r="CD103" s="518" t="str">
        <f>IF(AND(_A5="B-737-800",'2025'!$F$4="FO",'2025'!$F$2=CD81),'2025DATA'!$K$24,"")</f>
        <v/>
      </c>
      <c r="CE103" s="518" t="str">
        <f>IF(AND(_A5="B-737-800",'2025'!$F$4="FO",'2025'!$F$2=CE81),'2025DATA'!$L$24,"")</f>
        <v/>
      </c>
      <c r="CF103" s="518" t="str">
        <f>IF(AND(_A5="B-737-800",'2025'!$F$4="FO",'2025'!$F$2=CF81),'2025DATA'!$M$24,"")</f>
        <v/>
      </c>
      <c r="CG103" s="520" t="str">
        <f>IF(AND(_A5="B-737-800",'2025'!$F$4="FO",'2025'!$F$2=CG81),'2025DATA'!$N$24,"")</f>
        <v/>
      </c>
      <c r="CH103" s="940"/>
      <c r="CI103" s="13" t="s">
        <v>62</v>
      </c>
      <c r="CJ103" s="518" t="str">
        <f>IF(AND(_A6="B-737-800",'2025'!$F$4="FO",'2025'!$F$2=CJ81),'2025DATA'!$C$24,"")</f>
        <v/>
      </c>
      <c r="CK103" s="518" t="str">
        <f>IF(AND(_A6="B-737-800",'2025'!$F$4="FO",'2025'!$F$2=CK81),'2025DATA'!$D$24,"")</f>
        <v/>
      </c>
      <c r="CL103" s="518" t="str">
        <f>IF(AND(_A6="B-737-800",'2025'!$F$4="FO",'2025'!$F$2=CL81),'2025DATA'!$E$24,"")</f>
        <v/>
      </c>
      <c r="CM103" s="518" t="str">
        <f>IF(AND(_A6="B-737-800",'2025'!$F$4="FO",'2025'!$F$2=CM81),'2025DATA'!$F$24,"")</f>
        <v/>
      </c>
      <c r="CN103" s="518" t="str">
        <f>IF(AND(_A6="B-737-800",'2025'!$F$4="FO",'2025'!$F$2=CN81),'2025DATA'!$G$24,"")</f>
        <v/>
      </c>
      <c r="CO103" s="518" t="str">
        <f>IF(AND(_A6="B-737-800",'2025'!$F$4="FO",'2025'!$F$2=CO81),'2025DATA'!$H$24,"")</f>
        <v/>
      </c>
      <c r="CP103" s="518" t="str">
        <f>IF(AND(_A6="B-737-800",'2025'!$F$4="FO",'2025'!$F$2=CP81),'2025DATA'!$I$24,"")</f>
        <v/>
      </c>
      <c r="CQ103" s="518" t="str">
        <f>IF(AND(_A6="B-737-800",'2025'!$F$4="FO",'2025'!$F$2=CQ81),'2025DATA'!$J$24,"")</f>
        <v/>
      </c>
      <c r="CR103" s="518" t="str">
        <f>IF(AND(_A6="B-737-800",'2025'!$F$4="FO",'2025'!$F$2=CR81),'2025DATA'!$K$24,"")</f>
        <v/>
      </c>
      <c r="CS103" s="518" t="str">
        <f>IF(AND(_A6="B-737-800",'2025'!$F$4="FO",'2025'!$F$2=CS81),'2025DATA'!$L$24,"")</f>
        <v/>
      </c>
      <c r="CT103" s="518" t="str">
        <f>IF(AND(_A6="B-737-800",'2025'!$F$4="FO",'2025'!$F$2=CT81),'2025DATA'!$M$24,"")</f>
        <v/>
      </c>
      <c r="CU103" s="520" t="str">
        <f>IF(AND(_A6="B-737-800",'2025'!$F$4="FO",'2025'!$F$2=CU81),'2025DATA'!$N$24,"")</f>
        <v/>
      </c>
    </row>
    <row r="104" spans="16:99" x14ac:dyDescent="0.25">
      <c r="P104" s="940" t="s">
        <v>46</v>
      </c>
      <c r="Q104" s="13" t="s">
        <v>61</v>
      </c>
      <c r="R104" s="518" t="str">
        <f>IF(AND(_A1="A-321N",'2025'!$F$4="CA",'2025'!$F$2=R81),'2025DATA'!$C$25,"")</f>
        <v/>
      </c>
      <c r="S104" s="518" t="str">
        <f>IF(AND(_A1="A-321N",'2025'!$F$4="CA",'2025'!$F$2=S81),'2025DATA'!$D$25,"")</f>
        <v/>
      </c>
      <c r="T104" s="518" t="str">
        <f>IF(AND(_A1="A-321N",'2025'!$F$4="CA",'2025'!$F$2=T81),'2025DATA'!$E$25,"")</f>
        <v/>
      </c>
      <c r="U104" s="518" t="str">
        <f>IF(AND(_A1="A-321N",'2025'!$F$4="CA",'2025'!$F$2=U81),'2025DATA'!$F$25,"")</f>
        <v/>
      </c>
      <c r="V104" s="518" t="str">
        <f>IF(AND(_A1="A-321N",'2025'!$F$4="CA",'2025'!$F$2=V81),'2025DATA'!$G$25,"")</f>
        <v/>
      </c>
      <c r="W104" s="518" t="str">
        <f>IF(AND(_A1="A-321N",'2025'!$F$4="CA",'2025'!$F$2=W81),'2025DATA'!$H$25,"")</f>
        <v/>
      </c>
      <c r="X104" s="518" t="str">
        <f>IF(AND(_A1="A-321N",'2025'!$F$4="CA",'2025'!$F$2=X81),'2025DATA'!$I$25,"")</f>
        <v/>
      </c>
      <c r="Y104" s="518" t="str">
        <f>IF(AND(_A1="A-321N",'2025'!$F$4="CA",'2025'!$F$2=Y81),'2025DATA'!$J$25,"")</f>
        <v/>
      </c>
      <c r="Z104" s="518" t="str">
        <f>IF(AND(_A1="A-321N",'2025'!$F$4="CA",'2025'!$F$2=Z81),'2025DATA'!$K$25,"")</f>
        <v/>
      </c>
      <c r="AA104" s="518" t="str">
        <f>IF(AND(_A1="A-321N",'2025'!$F$4="CA",'2025'!$F$2=AA81),'2025DATA'!$L$25,"")</f>
        <v/>
      </c>
      <c r="AB104" s="518" t="str">
        <f>IF(AND(_A1="A-321N",'2025'!$F$4="CA",'2025'!$F$2=AB81),'2025DATA'!$M$25,"")</f>
        <v/>
      </c>
      <c r="AC104" s="520" t="str">
        <f>IF(AND(_A1="A-321N",'2025'!$F$4="CA",'2025'!$F$2=AC81),'2025DATA'!$N$25,"")</f>
        <v/>
      </c>
      <c r="AD104" s="940" t="s">
        <v>46</v>
      </c>
      <c r="AE104" s="13" t="s">
        <v>61</v>
      </c>
      <c r="AF104" s="518" t="str">
        <f>IF(AND(_A2="A-321N",'2025'!$F$4="CA",'2025'!$F$2=AF81),'2025DATA'!$C$25,"")</f>
        <v/>
      </c>
      <c r="AG104" s="518" t="str">
        <f>IF(AND(_A2="A-321N",'2025'!$F$4="CA",'2025'!$F$2=AG81),'2025DATA'!$D$25,"")</f>
        <v/>
      </c>
      <c r="AH104" s="518" t="str">
        <f>IF(AND(_A2="A-321N",'2025'!$F$4="CA",'2025'!$F$2=AH81),'2025DATA'!$E$25,"")</f>
        <v/>
      </c>
      <c r="AI104" s="518" t="str">
        <f>IF(AND(_A2="A-321N",'2025'!$F$4="CA",'2025'!$F$2=AI81),'2025DATA'!$F$25,"")</f>
        <v/>
      </c>
      <c r="AJ104" s="518" t="str">
        <f>IF(AND(_A2="A-321N",'2025'!$F$4="CA",'2025'!$F$2=AJ81),'2025DATA'!$G$25,"")</f>
        <v/>
      </c>
      <c r="AK104" s="518" t="str">
        <f>IF(AND(_A2="A-321N",'2025'!$F$4="CA",'2025'!$F$2=AK81),'2025DATA'!$H$25,"")</f>
        <v/>
      </c>
      <c r="AL104" s="518" t="str">
        <f>IF(AND(_A2="A-321N",'2025'!$F$4="CA",'2025'!$F$2=AL81),'2025DATA'!$I$25,"")</f>
        <v/>
      </c>
      <c r="AM104" s="518" t="str">
        <f>IF(AND(_A2="A-321N",'2025'!$F$4="CA",'2025'!$F$2=AM81),'2025DATA'!$J$25,"")</f>
        <v/>
      </c>
      <c r="AN104" s="518" t="str">
        <f>IF(AND(_A2="A-321N",'2025'!$F$4="CA",'2025'!$F$2=AN81),'2025DATA'!$K$25,"")</f>
        <v/>
      </c>
      <c r="AO104" s="518" t="str">
        <f>IF(AND(_A2="A-321N",'2025'!$F$4="CA",'2025'!$F$2=AO81),'2025DATA'!$L$25,"")</f>
        <v/>
      </c>
      <c r="AP104" s="518" t="str">
        <f>IF(AND(_A2="A-321N",'2025'!$F$4="CA",'2025'!$F$2=AP81),'2025DATA'!$M$25,"")</f>
        <v/>
      </c>
      <c r="AQ104" s="520" t="str">
        <f>IF(AND(_A2="A-321N",'2025'!$F$4="CA",'2025'!$F$2=AQ81),'2025DATA'!$N$25,"")</f>
        <v/>
      </c>
      <c r="AR104" s="940" t="s">
        <v>46</v>
      </c>
      <c r="AS104" s="13" t="s">
        <v>61</v>
      </c>
      <c r="AT104" s="518" t="str">
        <f>IF(AND(_A3="A-321N",'2025'!$F$4="CA",'2025'!$F$2=AT81),'2025DATA'!$C$25,"")</f>
        <v/>
      </c>
      <c r="AU104" s="518" t="str">
        <f>IF(AND(_A3="A-321N",'2025'!$F$4="CA",'2025'!$F$2=AU81),'2025DATA'!$D$25,"")</f>
        <v/>
      </c>
      <c r="AV104" s="518" t="str">
        <f>IF(AND(_A3="A-321N",'2025'!$F$4="CA",'2025'!$F$2=AV81),'2025DATA'!$E$25,"")</f>
        <v/>
      </c>
      <c r="AW104" s="518" t="str">
        <f>IF(AND(_A3="A-321N",'2025'!$F$4="CA",'2025'!$F$2=AW81),'2025DATA'!$F$25,"")</f>
        <v/>
      </c>
      <c r="AX104" s="518" t="str">
        <f>IF(AND(_A3="A-321N",'2025'!$F$4="CA",'2025'!$F$2=AX81),'2025DATA'!$G$25,"")</f>
        <v/>
      </c>
      <c r="AY104" s="518" t="str">
        <f>IF(AND(_A3="A-321N",'2025'!$F$4="CA",'2025'!$F$2=AY81),'2025DATA'!$H$25,"")</f>
        <v/>
      </c>
      <c r="AZ104" s="518" t="str">
        <f>IF(AND(_A3="A-321N",'2025'!$F$4="CA",'2025'!$F$2=AZ81),'2025DATA'!$I$25,"")</f>
        <v/>
      </c>
      <c r="BA104" s="518" t="str">
        <f>IF(AND(_A3="A-321N",'2025'!$F$4="CA",'2025'!$F$2=BA81),'2025DATA'!$J$25,"")</f>
        <v/>
      </c>
      <c r="BB104" s="518" t="str">
        <f>IF(AND(_A3="A-321N",'2025'!$F$4="CA",'2025'!$F$2=BB81),'2025DATA'!$K$25,"")</f>
        <v/>
      </c>
      <c r="BC104" s="518" t="str">
        <f>IF(AND(_A3="A-321N",'2025'!$F$4="CA",'2025'!$F$2=BC81),'2025DATA'!$L$25,"")</f>
        <v/>
      </c>
      <c r="BD104" s="518" t="str">
        <f>IF(AND(_A3="A-321N",'2025'!$F$4="CA",'2025'!$F$2=BD81),'2025DATA'!$M$25,"")</f>
        <v/>
      </c>
      <c r="BE104" s="520" t="str">
        <f>IF(AND(_A3="A-321N",'2025'!$F$4="CA",'2025'!$F$2=BE81),'2025DATA'!$N$25,"")</f>
        <v/>
      </c>
      <c r="BF104" s="940" t="s">
        <v>46</v>
      </c>
      <c r="BG104" s="13" t="s">
        <v>61</v>
      </c>
      <c r="BH104" s="518" t="str">
        <f>IF(AND(_A4="A-321N",'2025'!$F$4="CA",'2025'!$F$2=BH81),'2025DATA'!$C$25,"")</f>
        <v/>
      </c>
      <c r="BI104" s="518" t="str">
        <f>IF(AND(_A4="A-321N",'2025'!$F$4="CA",'2025'!$F$2=BI81),'2025DATA'!$D$25,"")</f>
        <v/>
      </c>
      <c r="BJ104" s="518" t="str">
        <f>IF(AND(_A4="A-321N",'2025'!$F$4="CA",'2025'!$F$2=BJ81),'2025DATA'!$E$25,"")</f>
        <v/>
      </c>
      <c r="BK104" s="518" t="str">
        <f>IF(AND(_A4="A-321N",'2025'!$F$4="CA",'2025'!$F$2=BK81),'2025DATA'!$F$25,"")</f>
        <v/>
      </c>
      <c r="BL104" s="518" t="str">
        <f>IF(AND(_A4="A-321N",'2025'!$F$4="CA",'2025'!$F$2=BL81),'2025DATA'!$G$25,"")</f>
        <v/>
      </c>
      <c r="BM104" s="518" t="str">
        <f>IF(AND(_A4="A-321N",'2025'!$F$4="CA",'2025'!$F$2=BM81),'2025DATA'!$H$25,"")</f>
        <v/>
      </c>
      <c r="BN104" s="518" t="str">
        <f>IF(AND(_A4="A-321N",'2025'!$F$4="CA",'2025'!$F$2=BN81),'2025DATA'!$I$25,"")</f>
        <v/>
      </c>
      <c r="BO104" s="518" t="str">
        <f>IF(AND(_A4="A-321N",'2025'!$F$4="CA",'2025'!$F$2=BO81),'2025DATA'!$J$25,"")</f>
        <v/>
      </c>
      <c r="BP104" s="518" t="str">
        <f>IF(AND(_A4="A-321N",'2025'!$F$4="CA",'2025'!$F$2=BP81),'2025DATA'!$K$25,"")</f>
        <v/>
      </c>
      <c r="BQ104" s="518" t="str">
        <f>IF(AND(_A4="A-321N",'2025'!$F$4="CA",'2025'!$F$2=BQ81),'2025DATA'!$L$25,"")</f>
        <v/>
      </c>
      <c r="BR104" s="518" t="str">
        <f>IF(AND(_A4="A-321N",'2025'!$F$4="CA",'2025'!$F$2=BR81),'2025DATA'!$M$25,"")</f>
        <v/>
      </c>
      <c r="BS104" s="520" t="str">
        <f>IF(AND(_A4="A-321N",'2025'!$F$4="CA",'2025'!$F$2=BS81),'2025DATA'!$N$25,"")</f>
        <v/>
      </c>
      <c r="BT104" s="940" t="s">
        <v>46</v>
      </c>
      <c r="BU104" s="13" t="s">
        <v>61</v>
      </c>
      <c r="BV104" s="518" t="str">
        <f>IF(AND(_A5="A-321N",'2025'!$F$4="CA",'2025'!$F$2=BV81),'2025DATA'!$C$25,"")</f>
        <v/>
      </c>
      <c r="BW104" s="518" t="str">
        <f>IF(AND(_A5="A-321N",'2025'!$F$4="CA",'2025'!$F$2=BW81),'2025DATA'!$D$25,"")</f>
        <v/>
      </c>
      <c r="BX104" s="518" t="str">
        <f>IF(AND(_A5="A-321N",'2025'!$F$4="CA",'2025'!$F$2=BX81),'2025DATA'!$E$25,"")</f>
        <v/>
      </c>
      <c r="BY104" s="518" t="str">
        <f>IF(AND(_A5="A-321N",'2025'!$F$4="CA",'2025'!$F$2=BY81),'2025DATA'!$F$25,"")</f>
        <v/>
      </c>
      <c r="BZ104" s="518" t="str">
        <f>IF(AND(_A5="A-321N",'2025'!$F$4="CA",'2025'!$F$2=BZ81),'2025DATA'!$G$25,"")</f>
        <v/>
      </c>
      <c r="CA104" s="518" t="str">
        <f>IF(AND(_A5="A-321N",'2025'!$F$4="CA",'2025'!$F$2=CA81),'2025DATA'!$H$25,"")</f>
        <v/>
      </c>
      <c r="CB104" s="518" t="str">
        <f>IF(AND(_A5="A-321N",'2025'!$F$4="CA",'2025'!$F$2=CB81),'2025DATA'!$I$25,"")</f>
        <v/>
      </c>
      <c r="CC104" s="518" t="str">
        <f>IF(AND(_A5="A-321N",'2025'!$F$4="CA",'2025'!$F$2=CC81),'2025DATA'!$J$25,"")</f>
        <v/>
      </c>
      <c r="CD104" s="518" t="str">
        <f>IF(AND(_A5="A-321N",'2025'!$F$4="CA",'2025'!$F$2=CD81),'2025DATA'!$K$25,"")</f>
        <v/>
      </c>
      <c r="CE104" s="518" t="str">
        <f>IF(AND(_A5="A-321N",'2025'!$F$4="CA",'2025'!$F$2=CE81),'2025DATA'!$L$25,"")</f>
        <v/>
      </c>
      <c r="CF104" s="518" t="str">
        <f>IF(AND(_A5="A-321N",'2025'!$F$4="CA",'2025'!$F$2=CF81),'2025DATA'!$M$25,"")</f>
        <v/>
      </c>
      <c r="CG104" s="520" t="str">
        <f>IF(AND(_A5="A-321N",'2025'!$F$4="CA",'2025'!$F$2=CG81),'2025DATA'!$N$25,"")</f>
        <v/>
      </c>
      <c r="CH104" s="940" t="s">
        <v>46</v>
      </c>
      <c r="CI104" s="13" t="s">
        <v>61</v>
      </c>
      <c r="CJ104" s="518" t="str">
        <f>IF(AND(_A6="A-321N",'2025'!$F$4="CA",'2025'!$F$2=CJ81),'2025DATA'!$C$25,"")</f>
        <v/>
      </c>
      <c r="CK104" s="518" t="str">
        <f>IF(AND(_A6="A-321N",'2025'!$F$4="CA",'2025'!$F$2=CK81),'2025DATA'!$D$25,"")</f>
        <v/>
      </c>
      <c r="CL104" s="518" t="str">
        <f>IF(AND(_A6="A-321N",'2025'!$F$4="CA",'2025'!$F$2=CL81),'2025DATA'!$E$25,"")</f>
        <v/>
      </c>
      <c r="CM104" s="518" t="str">
        <f>IF(AND(_A6="A-321N",'2025'!$F$4="CA",'2025'!$F$2=CM81),'2025DATA'!$F$25,"")</f>
        <v/>
      </c>
      <c r="CN104" s="518" t="str">
        <f>IF(AND(_A6="A-321N",'2025'!$F$4="CA",'2025'!$F$2=CN81),'2025DATA'!$G$25,"")</f>
        <v/>
      </c>
      <c r="CO104" s="518" t="str">
        <f>IF(AND(_A6="A-321N",'2025'!$F$4="CA",'2025'!$F$2=CO81),'2025DATA'!$H$25,"")</f>
        <v/>
      </c>
      <c r="CP104" s="518" t="str">
        <f>IF(AND(_A6="A-321N",'2025'!$F$4="CA",'2025'!$F$2=CP81),'2025DATA'!$I$25,"")</f>
        <v/>
      </c>
      <c r="CQ104" s="518" t="str">
        <f>IF(AND(_A6="A-321N",'2025'!$F$4="CA",'2025'!$F$2=CQ81),'2025DATA'!$J$25,"")</f>
        <v/>
      </c>
      <c r="CR104" s="518" t="str">
        <f>IF(AND(_A6="A-321N",'2025'!$F$4="CA",'2025'!$F$2=CR81),'2025DATA'!$K$25,"")</f>
        <v/>
      </c>
      <c r="CS104" s="518" t="str">
        <f>IF(AND(_A6="A-321N",'2025'!$F$4="CA",'2025'!$F$2=CS81),'2025DATA'!$L$25,"")</f>
        <v/>
      </c>
      <c r="CT104" s="518" t="str">
        <f>IF(AND(_A6="A-321N",'2025'!$F$4="CA",'2025'!$F$2=CT81),'2025DATA'!$M$25,"")</f>
        <v/>
      </c>
      <c r="CU104" s="520" t="str">
        <f>IF(AND(_A6="A-321N",'2025'!$F$4="CA",'2025'!$F$2=CU81),'2025DATA'!$N$25,"")</f>
        <v/>
      </c>
    </row>
    <row r="105" spans="16:99" x14ac:dyDescent="0.25">
      <c r="P105" s="940"/>
      <c r="Q105" s="13" t="s">
        <v>62</v>
      </c>
      <c r="R105" s="518" t="str">
        <f>IF(AND(_A1="A-321N",'2025'!$F$4="FO",'2025'!$F$2=R81),'2025DATA'!$C$26,"")</f>
        <v/>
      </c>
      <c r="S105" s="518" t="str">
        <f>IF(AND(_A1="A-321N",'2025'!$F$4="FO",'2025'!$F$2=S81),'2025DATA'!$D$26,"")</f>
        <v/>
      </c>
      <c r="T105" s="518" t="str">
        <f>IF(AND(_A1="A-321N",'2025'!$F$4="FO",'2025'!$F$2=T81),'2025DATA'!$E$26,"")</f>
        <v/>
      </c>
      <c r="U105" s="518" t="str">
        <f>IF(AND(_A1="A-321N",'2025'!$F$4="FO",'2025'!$F$2=U81),'2025DATA'!$F$26,"")</f>
        <v/>
      </c>
      <c r="V105" s="518" t="str">
        <f>IF(AND(_A1="A-321N",'2025'!$F$4="FO",'2025'!$F$2=V81),'2025DATA'!$G$26,"")</f>
        <v/>
      </c>
      <c r="W105" s="518" t="str">
        <f>IF(AND(_A1="A-321N",'2025'!$F$4="FO",'2025'!$F$2=W81),'2025DATA'!$H$26,"")</f>
        <v/>
      </c>
      <c r="X105" s="518" t="str">
        <f>IF(AND(_A1="A-321N",'2025'!$F$4="FO",'2025'!$F$2=X81),'2025DATA'!$I$26,"")</f>
        <v/>
      </c>
      <c r="Y105" s="518" t="str">
        <f>IF(AND(_A1="A-321N",'2025'!$F$4="FO",'2025'!$F$2=Y81),'2025DATA'!$J$26,"")</f>
        <v/>
      </c>
      <c r="Z105" s="518" t="str">
        <f>IF(AND(_A1="A-321N",'2025'!$F$4="FO",'2025'!$F$2=Z81),'2025DATA'!$K$26,"")</f>
        <v/>
      </c>
      <c r="AA105" s="518" t="str">
        <f>IF(AND(_A1="A-321N",'2025'!$F$4="FO",'2025'!$F$2=AA81),'2025DATA'!$L$26,"")</f>
        <v/>
      </c>
      <c r="AB105" s="518" t="str">
        <f>IF(AND(_A1="A-321N",'2025'!$F$4="FO",'2025'!$F$2=AB81),'2025DATA'!$M$26,"")</f>
        <v/>
      </c>
      <c r="AC105" s="520" t="str">
        <f>IF(AND(_A1="A-321N",'2025'!$F$4="FO",'2025'!$F$2=AC81),'2025DATA'!$N$26,"")</f>
        <v/>
      </c>
      <c r="AD105" s="940"/>
      <c r="AE105" s="13" t="s">
        <v>62</v>
      </c>
      <c r="AF105" s="518" t="str">
        <f>IF(AND(_A2="A-321N",'2025'!$F$4="FO",'2025'!$F$2=AF81),'2025DATA'!$C$26,"")</f>
        <v/>
      </c>
      <c r="AG105" s="518" t="str">
        <f>IF(AND(_A2="A-321N",'2025'!$F$4="FO",'2025'!$F$2=AG81),'2025DATA'!$D$26,"")</f>
        <v/>
      </c>
      <c r="AH105" s="518" t="str">
        <f>IF(AND(_A2="A-321N",'2025'!$F$4="FO",'2025'!$F$2=AH81),'2025DATA'!$E$26,"")</f>
        <v/>
      </c>
      <c r="AI105" s="518" t="str">
        <f>IF(AND(_A2="A-321N",'2025'!$F$4="FO",'2025'!$F$2=AI81),'2025DATA'!$F$26,"")</f>
        <v/>
      </c>
      <c r="AJ105" s="518" t="str">
        <f>IF(AND(_A2="A-321N",'2025'!$F$4="FO",'2025'!$F$2=AJ81),'2025DATA'!$G$26,"")</f>
        <v/>
      </c>
      <c r="AK105" s="518" t="str">
        <f>IF(AND(_A2="A-321N",'2025'!$F$4="FO",'2025'!$F$2=AK81),'2025DATA'!$H$26,"")</f>
        <v/>
      </c>
      <c r="AL105" s="518" t="str">
        <f>IF(AND(_A2="A-321N",'2025'!$F$4="FO",'2025'!$F$2=AL81),'2025DATA'!$I$26,"")</f>
        <v/>
      </c>
      <c r="AM105" s="518" t="str">
        <f>IF(AND(_A2="A-321N",'2025'!$F$4="FO",'2025'!$F$2=AM81),'2025DATA'!$J$26,"")</f>
        <v/>
      </c>
      <c r="AN105" s="518" t="str">
        <f>IF(AND(_A2="A-321N",'2025'!$F$4="FO",'2025'!$F$2=AN81),'2025DATA'!$K$26,"")</f>
        <v/>
      </c>
      <c r="AO105" s="518" t="str">
        <f>IF(AND(_A2="A-321N",'2025'!$F$4="FO",'2025'!$F$2=AO81),'2025DATA'!$L$26,"")</f>
        <v/>
      </c>
      <c r="AP105" s="518" t="str">
        <f>IF(AND(_A2="A-321N",'2025'!$F$4="FO",'2025'!$F$2=AP81),'2025DATA'!$M$26,"")</f>
        <v/>
      </c>
      <c r="AQ105" s="520" t="str">
        <f>IF(AND(_A2="A-321N",'2025'!$F$4="FO",'2025'!$F$2=AQ81),'2025DATA'!$N$26,"")</f>
        <v/>
      </c>
      <c r="AR105" s="940"/>
      <c r="AS105" s="13" t="s">
        <v>62</v>
      </c>
      <c r="AT105" s="518" t="str">
        <f>IF(AND(_A3="A-321N",'2025'!$F$4="FO",'2025'!$F$2=AT81),'2025DATA'!$C$26,"")</f>
        <v/>
      </c>
      <c r="AU105" s="518" t="str">
        <f>IF(AND(_A3="A-321N",'2025'!$F$4="FO",'2025'!$F$2=AU81),'2025DATA'!$D$26,"")</f>
        <v/>
      </c>
      <c r="AV105" s="518" t="str">
        <f>IF(AND(_A3="A-321N",'2025'!$F$4="FO",'2025'!$F$2=AV81),'2025DATA'!$E$26,"")</f>
        <v/>
      </c>
      <c r="AW105" s="518" t="str">
        <f>IF(AND(_A3="A-321N",'2025'!$F$4="FO",'2025'!$F$2=AW81),'2025DATA'!$F$26,"")</f>
        <v/>
      </c>
      <c r="AX105" s="518" t="str">
        <f>IF(AND(_A3="A-321N",'2025'!$F$4="FO",'2025'!$F$2=AX81),'2025DATA'!$G$26,"")</f>
        <v/>
      </c>
      <c r="AY105" s="518" t="str">
        <f>IF(AND(_A3="A-321N",'2025'!$F$4="FO",'2025'!$F$2=AY81),'2025DATA'!$H$26,"")</f>
        <v/>
      </c>
      <c r="AZ105" s="518" t="str">
        <f>IF(AND(_A3="A-321N",'2025'!$F$4="FO",'2025'!$F$2=AZ81),'2025DATA'!$I$26,"")</f>
        <v/>
      </c>
      <c r="BA105" s="518" t="str">
        <f>IF(AND(_A3="A-321N",'2025'!$F$4="FO",'2025'!$F$2=BA81),'2025DATA'!$J$26,"")</f>
        <v/>
      </c>
      <c r="BB105" s="518" t="str">
        <f>IF(AND(_A3="A-321N",'2025'!$F$4="FO",'2025'!$F$2=BB81),'2025DATA'!$K$26,"")</f>
        <v/>
      </c>
      <c r="BC105" s="518" t="str">
        <f>IF(AND(_A3="A-321N",'2025'!$F$4="FO",'2025'!$F$2=BC81),'2025DATA'!$L$26,"")</f>
        <v/>
      </c>
      <c r="BD105" s="518" t="str">
        <f>IF(AND(_A3="A-321N",'2025'!$F$4="FO",'2025'!$F$2=BD81),'2025DATA'!$M$26,"")</f>
        <v/>
      </c>
      <c r="BE105" s="520" t="str">
        <f>IF(AND(_A3="A-321N",'2025'!$F$4="FO",'2025'!$F$2=BE81),'2025DATA'!$N$26,"")</f>
        <v/>
      </c>
      <c r="BF105" s="940"/>
      <c r="BG105" s="13" t="s">
        <v>62</v>
      </c>
      <c r="BH105" s="518" t="str">
        <f>IF(AND(_A4="A-321N",'2025'!$F$4="FO",'2025'!$F$2=BH81),'2025DATA'!$C$26,"")</f>
        <v/>
      </c>
      <c r="BI105" s="518" t="str">
        <f>IF(AND(_A4="A-321N",'2025'!$F$4="FO",'2025'!$F$2=BI81),'2025DATA'!$D$26,"")</f>
        <v/>
      </c>
      <c r="BJ105" s="518" t="str">
        <f>IF(AND(_A4="A-321N",'2025'!$F$4="FO",'2025'!$F$2=BJ81),'2025DATA'!$E$26,"")</f>
        <v/>
      </c>
      <c r="BK105" s="518" t="str">
        <f>IF(AND(_A4="A-321N",'2025'!$F$4="FO",'2025'!$F$2=BK81),'2025DATA'!$F$26,"")</f>
        <v/>
      </c>
      <c r="BL105" s="518" t="str">
        <f>IF(AND(_A4="A-321N",'2025'!$F$4="FO",'2025'!$F$2=BL81),'2025DATA'!$G$26,"")</f>
        <v/>
      </c>
      <c r="BM105" s="518" t="str">
        <f>IF(AND(_A4="A-321N",'2025'!$F$4="FO",'2025'!$F$2=BM81),'2025DATA'!$H$26,"")</f>
        <v/>
      </c>
      <c r="BN105" s="518" t="str">
        <f>IF(AND(_A4="A-321N",'2025'!$F$4="FO",'2025'!$F$2=BN81),'2025DATA'!$I$26,"")</f>
        <v/>
      </c>
      <c r="BO105" s="518" t="str">
        <f>IF(AND(_A4="A-321N",'2025'!$F$4="FO",'2025'!$F$2=BO81),'2025DATA'!$J$26,"")</f>
        <v/>
      </c>
      <c r="BP105" s="518" t="str">
        <f>IF(AND(_A4="A-321N",'2025'!$F$4="FO",'2025'!$F$2=BP81),'2025DATA'!$K$26,"")</f>
        <v/>
      </c>
      <c r="BQ105" s="518" t="str">
        <f>IF(AND(_A4="A-321N",'2025'!$F$4="FO",'2025'!$F$2=BQ81),'2025DATA'!$L$26,"")</f>
        <v/>
      </c>
      <c r="BR105" s="518" t="str">
        <f>IF(AND(_A4="A-321N",'2025'!$F$4="FO",'2025'!$F$2=BR81),'2025DATA'!$M$26,"")</f>
        <v/>
      </c>
      <c r="BS105" s="520" t="str">
        <f>IF(AND(_A4="A-321N",'2025'!$F$4="FO",'2025'!$F$2=BS81),'2025DATA'!$N$26,"")</f>
        <v/>
      </c>
      <c r="BT105" s="940"/>
      <c r="BU105" s="13" t="s">
        <v>62</v>
      </c>
      <c r="BV105" s="518" t="str">
        <f>IF(AND(_A5="A-321N",'2025'!$F$4="FO",'2025'!$F$2=BV81),'2025DATA'!$C$26,"")</f>
        <v/>
      </c>
      <c r="BW105" s="518" t="str">
        <f>IF(AND(_A5="A-321N",'2025'!$F$4="FO",'2025'!$F$2=BW81),'2025DATA'!$D$26,"")</f>
        <v/>
      </c>
      <c r="BX105" s="518" t="str">
        <f>IF(AND(_A5="A-321N",'2025'!$F$4="FO",'2025'!$F$2=BX81),'2025DATA'!$E$26,"")</f>
        <v/>
      </c>
      <c r="BY105" s="518" t="str">
        <f>IF(AND(_A5="A-321N",'2025'!$F$4="FO",'2025'!$F$2=BY81),'2025DATA'!$F$26,"")</f>
        <v/>
      </c>
      <c r="BZ105" s="518" t="str">
        <f>IF(AND(_A5="A-321N",'2025'!$F$4="FO",'2025'!$F$2=BZ81),'2025DATA'!$G$26,"")</f>
        <v/>
      </c>
      <c r="CA105" s="518" t="str">
        <f>IF(AND(_A5="A-321N",'2025'!$F$4="FO",'2025'!$F$2=CA81),'2025DATA'!$H$26,"")</f>
        <v/>
      </c>
      <c r="CB105" s="518" t="str">
        <f>IF(AND(_A5="A-321N",'2025'!$F$4="FO",'2025'!$F$2=CB81),'2025DATA'!$I$26,"")</f>
        <v/>
      </c>
      <c r="CC105" s="518" t="str">
        <f>IF(AND(_A5="A-321N",'2025'!$F$4="FO",'2025'!$F$2=CC81),'2025DATA'!$J$26,"")</f>
        <v/>
      </c>
      <c r="CD105" s="518" t="str">
        <f>IF(AND(_A5="A-321N",'2025'!$F$4="FO",'2025'!$F$2=CD81),'2025DATA'!$K$26,"")</f>
        <v/>
      </c>
      <c r="CE105" s="518" t="str">
        <f>IF(AND(_A5="A-321N",'2025'!$F$4="FO",'2025'!$F$2=CE81),'2025DATA'!$L$26,"")</f>
        <v/>
      </c>
      <c r="CF105" s="518" t="str">
        <f>IF(AND(_A5="A-321N",'2025'!$F$4="FO",'2025'!$F$2=CF81),'2025DATA'!$M$26,"")</f>
        <v/>
      </c>
      <c r="CG105" s="520" t="str">
        <f>IF(AND(_A5="A-321N",'2025'!$F$4="FO",'2025'!$F$2=CG81),'2025DATA'!$N$26,"")</f>
        <v/>
      </c>
      <c r="CH105" s="940"/>
      <c r="CI105" s="13" t="s">
        <v>62</v>
      </c>
      <c r="CJ105" s="518" t="str">
        <f>IF(AND(_A6="A-321N",'2025'!$F$4="FO",'2025'!$F$2=CJ81),'2025DATA'!$C$26,"")</f>
        <v/>
      </c>
      <c r="CK105" s="518" t="str">
        <f>IF(AND(_A6="A-321N",'2025'!$F$4="FO",'2025'!$F$2=CK81),'2025DATA'!$D$26,"")</f>
        <v/>
      </c>
      <c r="CL105" s="518" t="str">
        <f>IF(AND(_A6="A-321N",'2025'!$F$4="FO",'2025'!$F$2=CL81),'2025DATA'!$E$26,"")</f>
        <v/>
      </c>
      <c r="CM105" s="518" t="str">
        <f>IF(AND(_A6="A-321N",'2025'!$F$4="FO",'2025'!$F$2=CM81),'2025DATA'!$F$26,"")</f>
        <v/>
      </c>
      <c r="CN105" s="518" t="str">
        <f>IF(AND(_A6="A-321N",'2025'!$F$4="FO",'2025'!$F$2=CN81),'2025DATA'!$G$26,"")</f>
        <v/>
      </c>
      <c r="CO105" s="518" t="str">
        <f>IF(AND(_A6="A-321N",'2025'!$F$4="FO",'2025'!$F$2=CO81),'2025DATA'!$H$26,"")</f>
        <v/>
      </c>
      <c r="CP105" s="518" t="str">
        <f>IF(AND(_A6="A-321N",'2025'!$F$4="FO",'2025'!$F$2=CP81),'2025DATA'!$I$26,"")</f>
        <v/>
      </c>
      <c r="CQ105" s="518" t="str">
        <f>IF(AND(_A6="A-321N",'2025'!$F$4="FO",'2025'!$F$2=CQ81),'2025DATA'!$J$26,"")</f>
        <v/>
      </c>
      <c r="CR105" s="518" t="str">
        <f>IF(AND(_A6="A-321N",'2025'!$F$4="FO",'2025'!$F$2=CR81),'2025DATA'!$K$26,"")</f>
        <v/>
      </c>
      <c r="CS105" s="518" t="str">
        <f>IF(AND(_A6="A-321N",'2025'!$F$4="FO",'2025'!$F$2=CS81),'2025DATA'!$L$26,"")</f>
        <v/>
      </c>
      <c r="CT105" s="518" t="str">
        <f>IF(AND(_A6="A-321N",'2025'!$F$4="FO",'2025'!$F$2=CT81),'2025DATA'!$M$26,"")</f>
        <v/>
      </c>
      <c r="CU105" s="520" t="str">
        <f>IF(AND(_A6="A-321N",'2025'!$F$4="FO",'2025'!$F$2=CU81),'2025DATA'!$N$26,"")</f>
        <v/>
      </c>
    </row>
    <row r="106" spans="16:99" x14ac:dyDescent="0.25">
      <c r="P106" s="940" t="s">
        <v>48</v>
      </c>
      <c r="Q106" s="13" t="s">
        <v>61</v>
      </c>
      <c r="R106" s="518" t="str">
        <f>IF(AND(_A1="A-321",'2025'!$F$4="CA",'2025'!$F$2=R81),'2025DATA'!$C$27,"")</f>
        <v/>
      </c>
      <c r="S106" s="518" t="str">
        <f>IF(AND(_A1="A-321",'2025'!$F$4="CA",'2025'!$F$2=S81),'2025DATA'!$D$27,"")</f>
        <v/>
      </c>
      <c r="T106" s="518" t="str">
        <f>IF(AND(_A1="A-321",'2025'!$F$4="CA",'2025'!$F$2=T81),'2025DATA'!$E$27,"")</f>
        <v/>
      </c>
      <c r="U106" s="518" t="str">
        <f>IF(AND(_A1="A-321",'2025'!$F$4="CA",'2025'!$F$2=U81),'2025DATA'!$F$27,"")</f>
        <v/>
      </c>
      <c r="V106" s="518" t="str">
        <f>IF(AND(_A1="A-321",'2025'!$F$4="CA",'2025'!$F$2=V81),'2025DATA'!$G$27,"")</f>
        <v/>
      </c>
      <c r="W106" s="518" t="str">
        <f>IF(AND(_A1="A-321",'2025'!$F$4="CA",'2025'!$F$2=W81),'2025DATA'!$H$27,"")</f>
        <v/>
      </c>
      <c r="X106" s="518" t="str">
        <f>IF(AND(_A1="A-321",'2025'!$F$4="CA",'2025'!$F$2=X81),'2025DATA'!$I$27,"")</f>
        <v/>
      </c>
      <c r="Y106" s="518" t="str">
        <f>IF(AND(_A1="A-321",'2025'!$F$4="CA",'2025'!$F$2=Y81),'2025DATA'!$J$27,"")</f>
        <v/>
      </c>
      <c r="Z106" s="518" t="str">
        <f>IF(AND(_A1="A-321",'2025'!$F$4="CA",'2025'!$F$2=Z81),'2025DATA'!$K$27,"")</f>
        <v/>
      </c>
      <c r="AA106" s="518" t="str">
        <f>IF(AND(_A1="A-321",'2025'!$F$4="CA",'2025'!$F$2=AA81),'2025DATA'!$L$27,"")</f>
        <v/>
      </c>
      <c r="AB106" s="518" t="str">
        <f>IF(AND(_A1="A-321",'2025'!$F$4="CA",'2025'!$F$2=AB81),'2025DATA'!$M$27,"")</f>
        <v/>
      </c>
      <c r="AC106" s="520" t="str">
        <f>IF(AND(_A1="A-321",'2025'!$F$4="CA",'2025'!$F$2=AC81),'2025DATA'!$N$27,"")</f>
        <v/>
      </c>
      <c r="AD106" s="940" t="s">
        <v>48</v>
      </c>
      <c r="AE106" s="13" t="s">
        <v>61</v>
      </c>
      <c r="AF106" s="518" t="str">
        <f>IF(AND(_A2="A-321",'2025'!$F$4="CA",'2025'!$F$2=AF81),'2025DATA'!$C$27,"")</f>
        <v/>
      </c>
      <c r="AG106" s="518" t="str">
        <f>IF(AND(_A2="A-321",'2025'!$F$4="CA",'2025'!$F$2=AG81),'2025DATA'!$D$27,"")</f>
        <v/>
      </c>
      <c r="AH106" s="518" t="str">
        <f>IF(AND(_A2="A-321",'2025'!$F$4="CA",'2025'!$F$2=AH81),'2025DATA'!$E$27,"")</f>
        <v/>
      </c>
      <c r="AI106" s="518" t="str">
        <f>IF(AND(_A2="A-321",'2025'!$F$4="CA",'2025'!$F$2=AI81),'2025DATA'!$F$27,"")</f>
        <v/>
      </c>
      <c r="AJ106" s="518" t="str">
        <f>IF(AND(_A2="A-321",'2025'!$F$4="CA",'2025'!$F$2=AJ81),'2025DATA'!$G$27,"")</f>
        <v/>
      </c>
      <c r="AK106" s="518" t="str">
        <f>IF(AND(_A2="A-321",'2025'!$F$4="CA",'2025'!$F$2=AK81),'2025DATA'!$H$27,"")</f>
        <v/>
      </c>
      <c r="AL106" s="518" t="str">
        <f>IF(AND(_A2="A-321",'2025'!$F$4="CA",'2025'!$F$2=AL81),'2025DATA'!$I$27,"")</f>
        <v/>
      </c>
      <c r="AM106" s="518" t="str">
        <f>IF(AND(_A2="A-321",'2025'!$F$4="CA",'2025'!$F$2=AM81),'2025DATA'!$J$27,"")</f>
        <v/>
      </c>
      <c r="AN106" s="518" t="str">
        <f>IF(AND(_A2="A-321",'2025'!$F$4="CA",'2025'!$F$2=AN81),'2025DATA'!$K$27,"")</f>
        <v/>
      </c>
      <c r="AO106" s="518" t="str">
        <f>IF(AND(_A2="A-321",'2025'!$F$4="CA",'2025'!$F$2=AO81),'2025DATA'!$L$27,"")</f>
        <v/>
      </c>
      <c r="AP106" s="518" t="str">
        <f>IF(AND(_A2="A-321",'2025'!$F$4="CA",'2025'!$F$2=AP81),'2025DATA'!$M$27,"")</f>
        <v/>
      </c>
      <c r="AQ106" s="520" t="str">
        <f>IF(AND(_A2="A-321",'2025'!$F$4="CA",'2025'!$F$2=AQ81),'2025DATA'!$N$27,"")</f>
        <v/>
      </c>
      <c r="AR106" s="940" t="s">
        <v>48</v>
      </c>
      <c r="AS106" s="13" t="s">
        <v>61</v>
      </c>
      <c r="AT106" s="518" t="str">
        <f>IF(AND(_A3="A-321",'2025'!$F$4="CA",'2025'!$F$2=AT81),'2025DATA'!$C$27,"")</f>
        <v/>
      </c>
      <c r="AU106" s="518" t="str">
        <f>IF(AND(_A3="A-321",'2025'!$F$4="CA",'2025'!$F$2=AU81),'2025DATA'!$D$27,"")</f>
        <v/>
      </c>
      <c r="AV106" s="518" t="str">
        <f>IF(AND(_A3="A-321",'2025'!$F$4="CA",'2025'!$F$2=AV81),'2025DATA'!$E$27,"")</f>
        <v/>
      </c>
      <c r="AW106" s="518" t="str">
        <f>IF(AND(_A3="A-321",'2025'!$F$4="CA",'2025'!$F$2=AW81),'2025DATA'!$F$27,"")</f>
        <v/>
      </c>
      <c r="AX106" s="518" t="str">
        <f>IF(AND(_A3="A-321",'2025'!$F$4="CA",'2025'!$F$2=AX81),'2025DATA'!$G$27,"")</f>
        <v/>
      </c>
      <c r="AY106" s="518" t="str">
        <f>IF(AND(_A3="A-321",'2025'!$F$4="CA",'2025'!$F$2=AY81),'2025DATA'!$H$27,"")</f>
        <v/>
      </c>
      <c r="AZ106" s="518" t="str">
        <f>IF(AND(_A3="A-321",'2025'!$F$4="CA",'2025'!$F$2=AZ81),'2025DATA'!$I$27,"")</f>
        <v/>
      </c>
      <c r="BA106" s="518" t="str">
        <f>IF(AND(_A3="A-321",'2025'!$F$4="CA",'2025'!$F$2=BA81),'2025DATA'!$J$27,"")</f>
        <v/>
      </c>
      <c r="BB106" s="518" t="str">
        <f>IF(AND(_A3="A-321",'2025'!$F$4="CA",'2025'!$F$2=BB81),'2025DATA'!$K$27,"")</f>
        <v/>
      </c>
      <c r="BC106" s="518" t="str">
        <f>IF(AND(_A3="A-321",'2025'!$F$4="CA",'2025'!$F$2=BC81),'2025DATA'!$L$27,"")</f>
        <v/>
      </c>
      <c r="BD106" s="518" t="str">
        <f>IF(AND(_A3="A-321",'2025'!$F$4="CA",'2025'!$F$2=BD81),'2025DATA'!$M$27,"")</f>
        <v/>
      </c>
      <c r="BE106" s="520" t="str">
        <f>IF(AND(_A3="A-321",'2025'!$F$4="CA",'2025'!$F$2=BE81),'2025DATA'!$N$27,"")</f>
        <v/>
      </c>
      <c r="BF106" s="940" t="s">
        <v>48</v>
      </c>
      <c r="BG106" s="13" t="s">
        <v>61</v>
      </c>
      <c r="BH106" s="518" t="str">
        <f>IF(AND(_A4="A-321",'2025'!$F$4="CA",'2025'!$F$2=BH81),'2025DATA'!$C$27,"")</f>
        <v/>
      </c>
      <c r="BI106" s="518" t="str">
        <f>IF(AND(_A4="A-321",'2025'!$F$4="CA",'2025'!$F$2=BI81),'2025DATA'!$D$27,"")</f>
        <v/>
      </c>
      <c r="BJ106" s="518" t="str">
        <f>IF(AND(_A4="A-321",'2025'!$F$4="CA",'2025'!$F$2=BJ81),'2025DATA'!$E$27,"")</f>
        <v/>
      </c>
      <c r="BK106" s="518" t="str">
        <f>IF(AND(_A4="A-321",'2025'!$F$4="CA",'2025'!$F$2=BK81),'2025DATA'!$F$27,"")</f>
        <v/>
      </c>
      <c r="BL106" s="518" t="str">
        <f>IF(AND(_A4="A-321",'2025'!$F$4="CA",'2025'!$F$2=BL81),'2025DATA'!$G$27,"")</f>
        <v/>
      </c>
      <c r="BM106" s="518" t="str">
        <f>IF(AND(_A4="A-321",'2025'!$F$4="CA",'2025'!$F$2=BM81),'2025DATA'!$H$27,"")</f>
        <v/>
      </c>
      <c r="BN106" s="518" t="str">
        <f>IF(AND(_A4="A-321",'2025'!$F$4="CA",'2025'!$F$2=BN81),'2025DATA'!$I$27,"")</f>
        <v/>
      </c>
      <c r="BO106" s="518" t="str">
        <f>IF(AND(_A4="A-321",'2025'!$F$4="CA",'2025'!$F$2=BO81),'2025DATA'!$J$27,"")</f>
        <v/>
      </c>
      <c r="BP106" s="518" t="str">
        <f>IF(AND(_A4="A-321",'2025'!$F$4="CA",'2025'!$F$2=BP81),'2025DATA'!$K$27,"")</f>
        <v/>
      </c>
      <c r="BQ106" s="518" t="str">
        <f>IF(AND(_A4="A-321",'2025'!$F$4="CA",'2025'!$F$2=BQ81),'2025DATA'!$L$27,"")</f>
        <v/>
      </c>
      <c r="BR106" s="518" t="str">
        <f>IF(AND(_A4="A-321",'2025'!$F$4="CA",'2025'!$F$2=BR81),'2025DATA'!$M$27,"")</f>
        <v/>
      </c>
      <c r="BS106" s="520" t="str">
        <f>IF(AND(_A4="A-321",'2025'!$F$4="CA",'2025'!$F$2=BS81),'2025DATA'!$N$27,"")</f>
        <v/>
      </c>
      <c r="BT106" s="940" t="s">
        <v>48</v>
      </c>
      <c r="BU106" s="13" t="s">
        <v>61</v>
      </c>
      <c r="BV106" s="518" t="str">
        <f>IF(AND(_A5="A-321",'2025'!$F$4="CA",'2025'!$F$2=BV81),'2025DATA'!$C$27,"")</f>
        <v/>
      </c>
      <c r="BW106" s="518" t="str">
        <f>IF(AND(_A5="A-321",'2025'!$F$4="CA",'2025'!$F$2=BW81),'2025DATA'!$D$27,"")</f>
        <v/>
      </c>
      <c r="BX106" s="518" t="str">
        <f>IF(AND(_A5="A-321",'2025'!$F$4="CA",'2025'!$F$2=BX81),'2025DATA'!$E$27,"")</f>
        <v/>
      </c>
      <c r="BY106" s="518" t="str">
        <f>IF(AND(_A5="A-321",'2025'!$F$4="CA",'2025'!$F$2=BY81),'2025DATA'!$F$27,"")</f>
        <v/>
      </c>
      <c r="BZ106" s="518" t="str">
        <f>IF(AND(_A5="A-321",'2025'!$F$4="CA",'2025'!$F$2=BZ81),'2025DATA'!$G$27,"")</f>
        <v/>
      </c>
      <c r="CA106" s="518" t="str">
        <f>IF(AND(_A5="A-321",'2025'!$F$4="CA",'2025'!$F$2=CA81),'2025DATA'!$H$27,"")</f>
        <v/>
      </c>
      <c r="CB106" s="518" t="str">
        <f>IF(AND(_A5="A-321",'2025'!$F$4="CA",'2025'!$F$2=CB81),'2025DATA'!$I$27,"")</f>
        <v/>
      </c>
      <c r="CC106" s="518" t="str">
        <f>IF(AND(_A5="A-321",'2025'!$F$4="CA",'2025'!$F$2=CC81),'2025DATA'!$J$27,"")</f>
        <v/>
      </c>
      <c r="CD106" s="518" t="str">
        <f>IF(AND(_A5="A-321",'2025'!$F$4="CA",'2025'!$F$2=CD81),'2025DATA'!$K$27,"")</f>
        <v/>
      </c>
      <c r="CE106" s="518" t="str">
        <f>IF(AND(_A5="A-321",'2025'!$F$4="CA",'2025'!$F$2=CE81),'2025DATA'!$L$27,"")</f>
        <v/>
      </c>
      <c r="CF106" s="518" t="str">
        <f>IF(AND(_A5="A-321",'2025'!$F$4="CA",'2025'!$F$2=CF81),'2025DATA'!$M$27,"")</f>
        <v/>
      </c>
      <c r="CG106" s="520" t="str">
        <f>IF(AND(_A5="A-321",'2025'!$F$4="CA",'2025'!$F$2=CG81),'2025DATA'!$N$27,"")</f>
        <v/>
      </c>
      <c r="CH106" s="940" t="s">
        <v>48</v>
      </c>
      <c r="CI106" s="13" t="s">
        <v>61</v>
      </c>
      <c r="CJ106" s="518" t="str">
        <f>IF(AND(_A6="A-321",'2025'!$F$4="CA",'2025'!$F$2=CJ81),'2025DATA'!$C$27,"")</f>
        <v/>
      </c>
      <c r="CK106" s="518" t="str">
        <f>IF(AND(_A6="A-321",'2025'!$F$4="CA",'2025'!$F$2=CK81),'2025DATA'!$D$27,"")</f>
        <v/>
      </c>
      <c r="CL106" s="518" t="str">
        <f>IF(AND(_A6="A-321",'2025'!$F$4="CA",'2025'!$F$2=CL81),'2025DATA'!$E$27,"")</f>
        <v/>
      </c>
      <c r="CM106" s="518" t="str">
        <f>IF(AND(_A6="A-321",'2025'!$F$4="CA",'2025'!$F$2=CM81),'2025DATA'!$F$27,"")</f>
        <v/>
      </c>
      <c r="CN106" s="518" t="str">
        <f>IF(AND(_A6="A-321",'2025'!$F$4="CA",'2025'!$F$2=CN81),'2025DATA'!$G$27,"")</f>
        <v/>
      </c>
      <c r="CO106" s="518" t="str">
        <f>IF(AND(_A6="A-321",'2025'!$F$4="CA",'2025'!$F$2=CO81),'2025DATA'!$H$27,"")</f>
        <v/>
      </c>
      <c r="CP106" s="518" t="str">
        <f>IF(AND(_A6="A-321",'2025'!$F$4="CA",'2025'!$F$2=CP81),'2025DATA'!$I$27,"")</f>
        <v/>
      </c>
      <c r="CQ106" s="518" t="str">
        <f>IF(AND(_A6="A-321",'2025'!$F$4="CA",'2025'!$F$2=CQ81),'2025DATA'!$J$27,"")</f>
        <v/>
      </c>
      <c r="CR106" s="518" t="str">
        <f>IF(AND(_A6="A-321",'2025'!$F$4="CA",'2025'!$F$2=CR81),'2025DATA'!$K$27,"")</f>
        <v/>
      </c>
      <c r="CS106" s="518" t="str">
        <f>IF(AND(_A6="A-321",'2025'!$F$4="CA",'2025'!$F$2=CS81),'2025DATA'!$L$27,"")</f>
        <v/>
      </c>
      <c r="CT106" s="518" t="str">
        <f>IF(AND(_A6="A-321",'2025'!$F$4="CA",'2025'!$F$2=CT81),'2025DATA'!$M$27,"")</f>
        <v/>
      </c>
      <c r="CU106" s="520" t="str">
        <f>IF(AND(_A6="A-321",'2025'!$F$4="CA",'2025'!$F$2=CU81),'2025DATA'!$N$27,"")</f>
        <v/>
      </c>
    </row>
    <row r="107" spans="16:99" x14ac:dyDescent="0.25">
      <c r="P107" s="940"/>
      <c r="Q107" s="13" t="s">
        <v>62</v>
      </c>
      <c r="R107" s="518" t="str">
        <f>IF(AND(_A1="A-321",'2025'!$F$4="FO",'2025'!$F$2=R81),'2025DATA'!$C$28,"")</f>
        <v/>
      </c>
      <c r="S107" s="518" t="str">
        <f>IF(AND(_A1="A-321",'2025'!$F$4="FO",'2025'!$F$2=S81),'2025DATA'!$D$28,"")</f>
        <v/>
      </c>
      <c r="T107" s="518" t="str">
        <f>IF(AND(_A1="A-321",'2025'!$F$4="FO",'2025'!$F$2=T81),'2025DATA'!$E$28,"")</f>
        <v/>
      </c>
      <c r="U107" s="518" t="str">
        <f>IF(AND(_A1="A-321",'2025'!$F$4="FO",'2025'!$F$2=U81),'2025DATA'!$F$28,"")</f>
        <v/>
      </c>
      <c r="V107" s="518" t="str">
        <f>IF(AND(_A1="A-321",'2025'!$F$4="FO",'2025'!$F$2=V81),'2025DATA'!$G$28,"")</f>
        <v/>
      </c>
      <c r="W107" s="518" t="str">
        <f>IF(AND(_A1="A-321",'2025'!$F$4="FO",'2025'!$F$2=W81),'2025DATA'!$H$28,"")</f>
        <v/>
      </c>
      <c r="X107" s="518" t="str">
        <f>IF(AND(_A1="A-321",'2025'!$F$4="FO",'2025'!$F$2=X81),'2025DATA'!$I$28,"")</f>
        <v/>
      </c>
      <c r="Y107" s="518" t="str">
        <f>IF(AND(_A1="A-321",'2025'!$F$4="FO",'2025'!$F$2=Y81),'2025DATA'!$J$28,"")</f>
        <v/>
      </c>
      <c r="Z107" s="518" t="str">
        <f>IF(AND(_A1="A-321",'2025'!$F$4="FO",'2025'!$F$2=Z81),'2025DATA'!$K$28,"")</f>
        <v/>
      </c>
      <c r="AA107" s="518" t="str">
        <f>IF(AND(_A1="A-321",'2025'!$F$4="FO",'2025'!$F$2=AA81),'2025DATA'!$L$28,"")</f>
        <v/>
      </c>
      <c r="AB107" s="518" t="str">
        <f>IF(AND(_A1="A-321",'2025'!$F$4="FO",'2025'!$F$2=AB81),'2025DATA'!$M$28,"")</f>
        <v/>
      </c>
      <c r="AC107" s="520" t="str">
        <f>IF(AND(_A1="A-321",'2025'!$F$4="FO",'2025'!$F$2=AC81),'2025DATA'!$N$28,"")</f>
        <v/>
      </c>
      <c r="AD107" s="940"/>
      <c r="AE107" s="13" t="s">
        <v>62</v>
      </c>
      <c r="AF107" s="518" t="str">
        <f>IF(AND(_A2="A-321",'2025'!$F$4="FO",'2025'!$F$2=AF81),'2025DATA'!$C$28,"")</f>
        <v/>
      </c>
      <c r="AG107" s="518" t="str">
        <f>IF(AND(_A2="A-321",'2025'!$F$4="FO",'2025'!$F$2=AG81),'2025DATA'!$D$28,"")</f>
        <v/>
      </c>
      <c r="AH107" s="518" t="str">
        <f>IF(AND(_A2="A-321",'2025'!$F$4="FO",'2025'!$F$2=AH81),'2025DATA'!$E$28,"")</f>
        <v/>
      </c>
      <c r="AI107" s="518" t="str">
        <f>IF(AND(_A2="A-321",'2025'!$F$4="FO",'2025'!$F$2=AI81),'2025DATA'!$F$28,"")</f>
        <v/>
      </c>
      <c r="AJ107" s="518" t="str">
        <f>IF(AND(_A2="A-321",'2025'!$F$4="FO",'2025'!$F$2=AJ81),'2025DATA'!$G$28,"")</f>
        <v/>
      </c>
      <c r="AK107" s="518" t="str">
        <f>IF(AND(_A2="A-321",'2025'!$F$4="FO",'2025'!$F$2=AK81),'2025DATA'!$H$28,"")</f>
        <v/>
      </c>
      <c r="AL107" s="518" t="str">
        <f>IF(AND(_A2="A-321",'2025'!$F$4="FO",'2025'!$F$2=AL81),'2025DATA'!$I$28,"")</f>
        <v/>
      </c>
      <c r="AM107" s="518" t="str">
        <f>IF(AND(_A2="A-321",'2025'!$F$4="FO",'2025'!$F$2=AM81),'2025DATA'!$J$28,"")</f>
        <v/>
      </c>
      <c r="AN107" s="518" t="str">
        <f>IF(AND(_A2="A-321",'2025'!$F$4="FO",'2025'!$F$2=AN81),'2025DATA'!$K$28,"")</f>
        <v/>
      </c>
      <c r="AO107" s="518" t="str">
        <f>IF(AND(_A2="A-321",'2025'!$F$4="FO",'2025'!$F$2=AO81),'2025DATA'!$L$28,"")</f>
        <v/>
      </c>
      <c r="AP107" s="518" t="str">
        <f>IF(AND(_A2="A-321",'2025'!$F$4="FO",'2025'!$F$2=AP81),'2025DATA'!$M$28,"")</f>
        <v/>
      </c>
      <c r="AQ107" s="520" t="str">
        <f>IF(AND(_A2="A-321",'2025'!$F$4="FO",'2025'!$F$2=AQ81),'2025DATA'!$N$28,"")</f>
        <v/>
      </c>
      <c r="AR107" s="940"/>
      <c r="AS107" s="13" t="s">
        <v>62</v>
      </c>
      <c r="AT107" s="518" t="str">
        <f>IF(AND(_A3="A-321",'2025'!$F$4="FO",'2025'!$F$2=AT81),'2025DATA'!$C$28,"")</f>
        <v/>
      </c>
      <c r="AU107" s="518" t="str">
        <f>IF(AND(_A3="A-321",'2025'!$F$4="FO",'2025'!$F$2=AU81),'2025DATA'!$D$28,"")</f>
        <v/>
      </c>
      <c r="AV107" s="518" t="str">
        <f>IF(AND(_A3="A-321",'2025'!$F$4="FO",'2025'!$F$2=AV81),'2025DATA'!$E$28,"")</f>
        <v/>
      </c>
      <c r="AW107" s="518" t="str">
        <f>IF(AND(_A3="A-321",'2025'!$F$4="FO",'2025'!$F$2=AW81),'2025DATA'!$F$28,"")</f>
        <v/>
      </c>
      <c r="AX107" s="518" t="str">
        <f>IF(AND(_A3="A-321",'2025'!$F$4="FO",'2025'!$F$2=AX81),'2025DATA'!$G$28,"")</f>
        <v/>
      </c>
      <c r="AY107" s="518" t="str">
        <f>IF(AND(_A3="A-321",'2025'!$F$4="FO",'2025'!$F$2=AY81),'2025DATA'!$H$28,"")</f>
        <v/>
      </c>
      <c r="AZ107" s="518" t="str">
        <f>IF(AND(_A3="A-321",'2025'!$F$4="FO",'2025'!$F$2=AZ81),'2025DATA'!$I$28,"")</f>
        <v/>
      </c>
      <c r="BA107" s="518" t="str">
        <f>IF(AND(_A3="A-321",'2025'!$F$4="FO",'2025'!$F$2=BA81),'2025DATA'!$J$28,"")</f>
        <v/>
      </c>
      <c r="BB107" s="518" t="str">
        <f>IF(AND(_A3="A-321",'2025'!$F$4="FO",'2025'!$F$2=BB81),'2025DATA'!$K$28,"")</f>
        <v/>
      </c>
      <c r="BC107" s="518" t="str">
        <f>IF(AND(_A3="A-321",'2025'!$F$4="FO",'2025'!$F$2=BC81),'2025DATA'!$L$28,"")</f>
        <v/>
      </c>
      <c r="BD107" s="518" t="str">
        <f>IF(AND(_A3="A-321",'2025'!$F$4="FO",'2025'!$F$2=BD81),'2025DATA'!$M$28,"")</f>
        <v/>
      </c>
      <c r="BE107" s="520" t="str">
        <f>IF(AND(_A3="A-321",'2025'!$F$4="FO",'2025'!$F$2=BE81),'2025DATA'!$N$28,"")</f>
        <v/>
      </c>
      <c r="BF107" s="940"/>
      <c r="BG107" s="13" t="s">
        <v>62</v>
      </c>
      <c r="BH107" s="518" t="str">
        <f>IF(AND(_A4="A-321",'2025'!$F$4="FO",'2025'!$F$2=BH81),'2025DATA'!$C$28,"")</f>
        <v/>
      </c>
      <c r="BI107" s="518" t="str">
        <f>IF(AND(_A4="A-321",'2025'!$F$4="FO",'2025'!$F$2=BI81),'2025DATA'!$D$28,"")</f>
        <v/>
      </c>
      <c r="BJ107" s="518" t="str">
        <f>IF(AND(_A4="A-321",'2025'!$F$4="FO",'2025'!$F$2=BJ81),'2025DATA'!$E$28,"")</f>
        <v/>
      </c>
      <c r="BK107" s="518" t="str">
        <f>IF(AND(_A4="A-321",'2025'!$F$4="FO",'2025'!$F$2=BK81),'2025DATA'!$F$28,"")</f>
        <v/>
      </c>
      <c r="BL107" s="518" t="str">
        <f>IF(AND(_A4="A-321",'2025'!$F$4="FO",'2025'!$F$2=BL81),'2025DATA'!$G$28,"")</f>
        <v/>
      </c>
      <c r="BM107" s="518" t="str">
        <f>IF(AND(_A4="A-321",'2025'!$F$4="FO",'2025'!$F$2=BM81),'2025DATA'!$H$28,"")</f>
        <v/>
      </c>
      <c r="BN107" s="518" t="str">
        <f>IF(AND(_A4="A-321",'2025'!$F$4="FO",'2025'!$F$2=BN81),'2025DATA'!$I$28,"")</f>
        <v/>
      </c>
      <c r="BO107" s="518" t="str">
        <f>IF(AND(_A4="A-321",'2025'!$F$4="FO",'2025'!$F$2=BO81),'2025DATA'!$J$28,"")</f>
        <v/>
      </c>
      <c r="BP107" s="518" t="str">
        <f>IF(AND(_A4="A-321",'2025'!$F$4="FO",'2025'!$F$2=BP81),'2025DATA'!$K$28,"")</f>
        <v/>
      </c>
      <c r="BQ107" s="518" t="str">
        <f>IF(AND(_A4="A-321",'2025'!$F$4="FO",'2025'!$F$2=BQ81),'2025DATA'!$L$28,"")</f>
        <v/>
      </c>
      <c r="BR107" s="518" t="str">
        <f>IF(AND(_A4="A-321",'2025'!$F$4="FO",'2025'!$F$2=BR81),'2025DATA'!$M$28,"")</f>
        <v/>
      </c>
      <c r="BS107" s="520" t="str">
        <f>IF(AND(_A4="A-321",'2025'!$F$4="FO",'2025'!$F$2=BS81),'2025DATA'!$N$28,"")</f>
        <v/>
      </c>
      <c r="BT107" s="940"/>
      <c r="BU107" s="13" t="s">
        <v>62</v>
      </c>
      <c r="BV107" s="518" t="str">
        <f>IF(AND(_A5="A-321",'2025'!$F$4="FO",'2025'!$F$2=BV81),'2025DATA'!$C$28,"")</f>
        <v/>
      </c>
      <c r="BW107" s="518" t="str">
        <f>IF(AND(_A5="A-321",'2025'!$F$4="FO",'2025'!$F$2=BW81),'2025DATA'!$D$28,"")</f>
        <v/>
      </c>
      <c r="BX107" s="518" t="str">
        <f>IF(AND(_A5="A-321",'2025'!$F$4="FO",'2025'!$F$2=BX81),'2025DATA'!$E$28,"")</f>
        <v/>
      </c>
      <c r="BY107" s="518" t="str">
        <f>IF(AND(_A5="A-321",'2025'!$F$4="FO",'2025'!$F$2=BY81),'2025DATA'!$F$28,"")</f>
        <v/>
      </c>
      <c r="BZ107" s="518" t="str">
        <f>IF(AND(_A5="A-321",'2025'!$F$4="FO",'2025'!$F$2=BZ81),'2025DATA'!$G$28,"")</f>
        <v/>
      </c>
      <c r="CA107" s="518" t="str">
        <f>IF(AND(_A5="A-321",'2025'!$F$4="FO",'2025'!$F$2=CA81),'2025DATA'!$H$28,"")</f>
        <v/>
      </c>
      <c r="CB107" s="518" t="str">
        <f>IF(AND(_A5="A-321",'2025'!$F$4="FO",'2025'!$F$2=CB81),'2025DATA'!$I$28,"")</f>
        <v/>
      </c>
      <c r="CC107" s="518" t="str">
        <f>IF(AND(_A5="A-321",'2025'!$F$4="FO",'2025'!$F$2=CC81),'2025DATA'!$J$28,"")</f>
        <v/>
      </c>
      <c r="CD107" s="518" t="str">
        <f>IF(AND(_A5="A-321",'2025'!$F$4="FO",'2025'!$F$2=CD81),'2025DATA'!$K$28,"")</f>
        <v/>
      </c>
      <c r="CE107" s="518" t="str">
        <f>IF(AND(_A5="A-321",'2025'!$F$4="FO",'2025'!$F$2=CE81),'2025DATA'!$L$28,"")</f>
        <v/>
      </c>
      <c r="CF107" s="518" t="str">
        <f>IF(AND(_A5="A-321",'2025'!$F$4="FO",'2025'!$F$2=CF81),'2025DATA'!$M$28,"")</f>
        <v/>
      </c>
      <c r="CG107" s="520" t="str">
        <f>IF(AND(_A5="A-321",'2025'!$F$4="FO",'2025'!$F$2=CG81),'2025DATA'!$N$28,"")</f>
        <v/>
      </c>
      <c r="CH107" s="940"/>
      <c r="CI107" s="13" t="s">
        <v>62</v>
      </c>
      <c r="CJ107" s="518" t="str">
        <f>IF(AND(_A6="A-321",'2025'!$F$4="FO",'2025'!$F$2=CJ81),'2025DATA'!$C$28,"")</f>
        <v/>
      </c>
      <c r="CK107" s="518" t="str">
        <f>IF(AND(_A6="A-321",'2025'!$F$4="FO",'2025'!$F$2=CK81),'2025DATA'!$D$28,"")</f>
        <v/>
      </c>
      <c r="CL107" s="518" t="str">
        <f>IF(AND(_A6="A-321",'2025'!$F$4="FO",'2025'!$F$2=CL81),'2025DATA'!$E$28,"")</f>
        <v/>
      </c>
      <c r="CM107" s="518" t="str">
        <f>IF(AND(_A6="A-321",'2025'!$F$4="FO",'2025'!$F$2=CM81),'2025DATA'!$F$28,"")</f>
        <v/>
      </c>
      <c r="CN107" s="518" t="str">
        <f>IF(AND(_A6="A-321",'2025'!$F$4="FO",'2025'!$F$2=CN81),'2025DATA'!$G$28,"")</f>
        <v/>
      </c>
      <c r="CO107" s="518" t="str">
        <f>IF(AND(_A6="A-321",'2025'!$F$4="FO",'2025'!$F$2=CO81),'2025DATA'!$H$28,"")</f>
        <v/>
      </c>
      <c r="CP107" s="518" t="str">
        <f>IF(AND(_A6="A-321",'2025'!$F$4="FO",'2025'!$F$2=CP81),'2025DATA'!$I$28,"")</f>
        <v/>
      </c>
      <c r="CQ107" s="518" t="str">
        <f>IF(AND(_A6="A-321",'2025'!$F$4="FO",'2025'!$F$2=CQ81),'2025DATA'!$J$28,"")</f>
        <v/>
      </c>
      <c r="CR107" s="518" t="str">
        <f>IF(AND(_A6="A-321",'2025'!$F$4="FO",'2025'!$F$2=CR81),'2025DATA'!$K$28,"")</f>
        <v/>
      </c>
      <c r="CS107" s="518" t="str">
        <f>IF(AND(_A6="A-321",'2025'!$F$4="FO",'2025'!$F$2=CS81),'2025DATA'!$L$28,"")</f>
        <v/>
      </c>
      <c r="CT107" s="518" t="str">
        <f>IF(AND(_A6="A-321",'2025'!$F$4="FO",'2025'!$F$2=CT81),'2025DATA'!$M$28,"")</f>
        <v/>
      </c>
      <c r="CU107" s="520" t="str">
        <f>IF(AND(_A6="A-321",'2025'!$F$4="FO",'2025'!$F$2=CU81),'2025DATA'!$N$28,"")</f>
        <v/>
      </c>
    </row>
    <row r="108" spans="16:99" x14ac:dyDescent="0.25">
      <c r="P108" s="940" t="s">
        <v>70</v>
      </c>
      <c r="Q108" s="13" t="s">
        <v>61</v>
      </c>
      <c r="R108" s="518" t="str">
        <f>IF(AND(_A1="A-320",'2025'!$F$4="CA",'2025'!$F$2=R81),'2025DATA'!$C$29,"")</f>
        <v/>
      </c>
      <c r="S108" s="518" t="str">
        <f>IF(AND(_A1="A-320",'2025'!$F$4="CA",'2025'!$F$2=S81),'2025DATA'!$D$29,"")</f>
        <v/>
      </c>
      <c r="T108" s="518" t="str">
        <f>IF(AND(_A1="A-320",'2025'!$F$4="CA",'2025'!$F$2=T81),'2025DATA'!$E$29,"")</f>
        <v/>
      </c>
      <c r="U108" s="518" t="str">
        <f>IF(AND(_A1="A-320",'2025'!$F$4="CA",'2025'!$F$2=U81),'2025DATA'!$F$29,"")</f>
        <v/>
      </c>
      <c r="V108" s="518" t="str">
        <f>IF(AND(_A1="A-320",'2025'!$F$4="CA",'2025'!$F$2=V81),'2025DATA'!$G$29,"")</f>
        <v/>
      </c>
      <c r="W108" s="518" t="str">
        <f>IF(AND(_A1="A-320",'2025'!$F$4="CA",'2025'!$F$2=W81),'2025DATA'!$H$29,"")</f>
        <v/>
      </c>
      <c r="X108" s="518" t="str">
        <f>IF(AND(_A1="A-320",'2025'!$F$4="CA",'2025'!$F$2=X81),'2025DATA'!$I$29,"")</f>
        <v/>
      </c>
      <c r="Y108" s="518" t="str">
        <f>IF(AND(_A1="A-320",'2025'!$F$4="CA",'2025'!$F$2=Y81),'2025DATA'!$J$29,"")</f>
        <v/>
      </c>
      <c r="Z108" s="518" t="str">
        <f>IF(AND(_A1="A-320",'2025'!$F$4="CA",'2025'!$F$2=Z81),'2025DATA'!$K$29,"")</f>
        <v/>
      </c>
      <c r="AA108" s="518" t="str">
        <f>IF(AND(_A1="A-320",'2025'!$F$4="CA",'2025'!$F$2=AA81),'2025DATA'!$L$29,"")</f>
        <v/>
      </c>
      <c r="AB108" s="518" t="str">
        <f>IF(AND(_A1="A-320",'2025'!$F$4="CA",'2025'!$F$2=AB81),'2025DATA'!$M$29,"")</f>
        <v/>
      </c>
      <c r="AC108" s="520" t="str">
        <f>IF(AND(_A1="A-320",'2025'!$F$4="CA",'2025'!$F$2=AC81),'2025DATA'!$N$29,"")</f>
        <v/>
      </c>
      <c r="AD108" s="940" t="s">
        <v>70</v>
      </c>
      <c r="AE108" s="13" t="s">
        <v>61</v>
      </c>
      <c r="AF108" s="518" t="str">
        <f>IF(AND(_A2="A-320",'2025'!$F$4="CA",'2025'!$F$2=AF81),'2025DATA'!$C$29,"")</f>
        <v/>
      </c>
      <c r="AG108" s="518" t="str">
        <f>IF(AND(_A2="A-320",'2025'!$F$4="CA",'2025'!$F$2=AG81),'2025DATA'!$D$29,"")</f>
        <v/>
      </c>
      <c r="AH108" s="518" t="str">
        <f>IF(AND(_A2="A-320",'2025'!$F$4="CA",'2025'!$F$2=AH81),'2025DATA'!$E$29,"")</f>
        <v/>
      </c>
      <c r="AI108" s="518" t="str">
        <f>IF(AND(_A2="A-320",'2025'!$F$4="CA",'2025'!$F$2=AI81),'2025DATA'!$F$29,"")</f>
        <v/>
      </c>
      <c r="AJ108" s="518" t="str">
        <f>IF(AND(_A2="A-320",'2025'!$F$4="CA",'2025'!$F$2=AJ81),'2025DATA'!$G$29,"")</f>
        <v/>
      </c>
      <c r="AK108" s="518" t="str">
        <f>IF(AND(_A2="A-320",'2025'!$F$4="CA",'2025'!$F$2=AK81),'2025DATA'!$H$29,"")</f>
        <v/>
      </c>
      <c r="AL108" s="518" t="str">
        <f>IF(AND(_A2="A-320",'2025'!$F$4="CA",'2025'!$F$2=AL81),'2025DATA'!$I$29,"")</f>
        <v/>
      </c>
      <c r="AM108" s="518" t="str">
        <f>IF(AND(_A2="A-320",'2025'!$F$4="CA",'2025'!$F$2=AM81),'2025DATA'!$J$29,"")</f>
        <v/>
      </c>
      <c r="AN108" s="518" t="str">
        <f>IF(AND(_A2="A-320",'2025'!$F$4="CA",'2025'!$F$2=AN81),'2025DATA'!$K$29,"")</f>
        <v/>
      </c>
      <c r="AO108" s="518" t="str">
        <f>IF(AND(_A2="A-320",'2025'!$F$4="CA",'2025'!$F$2=AO81),'2025DATA'!$L$29,"")</f>
        <v/>
      </c>
      <c r="AP108" s="518" t="str">
        <f>IF(AND(_A2="A-320",'2025'!$F$4="CA",'2025'!$F$2=AP81),'2025DATA'!$M$29,"")</f>
        <v/>
      </c>
      <c r="AQ108" s="520" t="str">
        <f>IF(AND(_A2="A-320",'2025'!$F$4="CA",'2025'!$F$2=AQ81),'2025DATA'!$N$29,"")</f>
        <v/>
      </c>
      <c r="AR108" s="940" t="s">
        <v>70</v>
      </c>
      <c r="AS108" s="13" t="s">
        <v>61</v>
      </c>
      <c r="AT108" s="518" t="str">
        <f>IF(AND(_A3="A-320",'2025'!$F$4="CA",'2025'!$F$2=AT81),'2025DATA'!$C$29,"")</f>
        <v/>
      </c>
      <c r="AU108" s="518" t="str">
        <f>IF(AND(_A3="A-320",'2025'!$F$4="CA",'2025'!$F$2=AU81),'2025DATA'!$D$29,"")</f>
        <v/>
      </c>
      <c r="AV108" s="518" t="str">
        <f>IF(AND(_A3="A-320",'2025'!$F$4="CA",'2025'!$F$2=AV81),'2025DATA'!$E$29,"")</f>
        <v/>
      </c>
      <c r="AW108" s="518" t="str">
        <f>IF(AND(_A3="A-320",'2025'!$F$4="CA",'2025'!$F$2=AW81),'2025DATA'!$F$29,"")</f>
        <v/>
      </c>
      <c r="AX108" s="518" t="str">
        <f>IF(AND(_A3="A-320",'2025'!$F$4="CA",'2025'!$F$2=AX81),'2025DATA'!$G$29,"")</f>
        <v/>
      </c>
      <c r="AY108" s="518" t="str">
        <f>IF(AND(_A3="A-320",'2025'!$F$4="CA",'2025'!$F$2=AY81),'2025DATA'!$H$29,"")</f>
        <v/>
      </c>
      <c r="AZ108" s="518" t="str">
        <f>IF(AND(_A3="A-320",'2025'!$F$4="CA",'2025'!$F$2=AZ81),'2025DATA'!$I$29,"")</f>
        <v/>
      </c>
      <c r="BA108" s="518" t="str">
        <f>IF(AND(_A3="A-320",'2025'!$F$4="CA",'2025'!$F$2=BA81),'2025DATA'!$J$29,"")</f>
        <v/>
      </c>
      <c r="BB108" s="518" t="str">
        <f>IF(AND(_A3="A-320",'2025'!$F$4="CA",'2025'!$F$2=BB81),'2025DATA'!$K$29,"")</f>
        <v/>
      </c>
      <c r="BC108" s="518" t="str">
        <f>IF(AND(_A3="A-320",'2025'!$F$4="CA",'2025'!$F$2=BC81),'2025DATA'!$L$29,"")</f>
        <v/>
      </c>
      <c r="BD108" s="518" t="str">
        <f>IF(AND(_A3="A-320",'2025'!$F$4="CA",'2025'!$F$2=BD81),'2025DATA'!$M$29,"")</f>
        <v/>
      </c>
      <c r="BE108" s="520" t="str">
        <f>IF(AND(_A3="A-320",'2025'!$F$4="CA",'2025'!$F$2=BE81),'2025DATA'!$N$29,"")</f>
        <v/>
      </c>
      <c r="BF108" s="940" t="s">
        <v>70</v>
      </c>
      <c r="BG108" s="13" t="s">
        <v>61</v>
      </c>
      <c r="BH108" s="518" t="str">
        <f>IF(AND(_A4="A-320",'2025'!$F$4="CA",'2025'!$F$2=BH81),'2025DATA'!$C$29,"")</f>
        <v/>
      </c>
      <c r="BI108" s="518" t="str">
        <f>IF(AND(_A4="A-320",'2025'!$F$4="CA",'2025'!$F$2=BI81),'2025DATA'!$D$29,"")</f>
        <v/>
      </c>
      <c r="BJ108" s="518" t="str">
        <f>IF(AND(_A4="A-320",'2025'!$F$4="CA",'2025'!$F$2=BJ81),'2025DATA'!$E$29,"")</f>
        <v/>
      </c>
      <c r="BK108" s="518" t="str">
        <f>IF(AND(_A4="A-320",'2025'!$F$4="CA",'2025'!$F$2=BK81),'2025DATA'!$F$29,"")</f>
        <v/>
      </c>
      <c r="BL108" s="518" t="str">
        <f>IF(AND(_A4="A-320",'2025'!$F$4="CA",'2025'!$F$2=BL81),'2025DATA'!$G$29,"")</f>
        <v/>
      </c>
      <c r="BM108" s="518" t="str">
        <f>IF(AND(_A4="A-320",'2025'!$F$4="CA",'2025'!$F$2=BM81),'2025DATA'!$H$29,"")</f>
        <v/>
      </c>
      <c r="BN108" s="518" t="str">
        <f>IF(AND(_A4="A-320",'2025'!$F$4="CA",'2025'!$F$2=BN81),'2025DATA'!$I$29,"")</f>
        <v/>
      </c>
      <c r="BO108" s="518" t="str">
        <f>IF(AND(_A4="A-320",'2025'!$F$4="CA",'2025'!$F$2=BO81),'2025DATA'!$J$29,"")</f>
        <v/>
      </c>
      <c r="BP108" s="518" t="str">
        <f>IF(AND(_A4="A-320",'2025'!$F$4="CA",'2025'!$F$2=BP81),'2025DATA'!$K$29,"")</f>
        <v/>
      </c>
      <c r="BQ108" s="518" t="str">
        <f>IF(AND(_A4="A-320",'2025'!$F$4="CA",'2025'!$F$2=BQ81),'2025DATA'!$L$29,"")</f>
        <v/>
      </c>
      <c r="BR108" s="518" t="str">
        <f>IF(AND(_A4="A-320",'2025'!$F$4="CA",'2025'!$F$2=BR81),'2025DATA'!$M$29,"")</f>
        <v/>
      </c>
      <c r="BS108" s="520" t="str">
        <f>IF(AND(_A4="A-320",'2025'!$F$4="CA",'2025'!$F$2=BS81),'2025DATA'!$N$29,"")</f>
        <v/>
      </c>
      <c r="BT108" s="940" t="s">
        <v>70</v>
      </c>
      <c r="BU108" s="13" t="s">
        <v>61</v>
      </c>
      <c r="BV108" s="518" t="str">
        <f>IF(AND(_A5="A-320",'2025'!$F$4="CA",'2025'!$F$2=BV81),'2025DATA'!$C$29,"")</f>
        <v/>
      </c>
      <c r="BW108" s="518" t="str">
        <f>IF(AND(_A5="A-320",'2025'!$F$4="CA",'2025'!$F$2=BW81),'2025DATA'!$D$29,"")</f>
        <v/>
      </c>
      <c r="BX108" s="518" t="str">
        <f>IF(AND(_A5="A-320",'2025'!$F$4="CA",'2025'!$F$2=BX81),'2025DATA'!$E$29,"")</f>
        <v/>
      </c>
      <c r="BY108" s="518" t="str">
        <f>IF(AND(_A5="A-320",'2025'!$F$4="CA",'2025'!$F$2=BY81),'2025DATA'!$F$29,"")</f>
        <v/>
      </c>
      <c r="BZ108" s="518" t="str">
        <f>IF(AND(_A5="A-320",'2025'!$F$4="CA",'2025'!$F$2=BZ81),'2025DATA'!$G$29,"")</f>
        <v/>
      </c>
      <c r="CA108" s="518" t="str">
        <f>IF(AND(_A5="A-320",'2025'!$F$4="CA",'2025'!$F$2=CA81),'2025DATA'!$H$29,"")</f>
        <v/>
      </c>
      <c r="CB108" s="518" t="str">
        <f>IF(AND(_A5="A-320",'2025'!$F$4="CA",'2025'!$F$2=CB81),'2025DATA'!$I$29,"")</f>
        <v/>
      </c>
      <c r="CC108" s="518" t="str">
        <f>IF(AND(_A5="A-320",'2025'!$F$4="CA",'2025'!$F$2=CC81),'2025DATA'!$J$29,"")</f>
        <v/>
      </c>
      <c r="CD108" s="518" t="str">
        <f>IF(AND(_A5="A-320",'2025'!$F$4="CA",'2025'!$F$2=CD81),'2025DATA'!$K$29,"")</f>
        <v/>
      </c>
      <c r="CE108" s="518" t="str">
        <f>IF(AND(_A5="A-320",'2025'!$F$4="CA",'2025'!$F$2=CE81),'2025DATA'!$L$29,"")</f>
        <v/>
      </c>
      <c r="CF108" s="518" t="str">
        <f>IF(AND(_A5="A-320",'2025'!$F$4="CA",'2025'!$F$2=CF81),'2025DATA'!$M$29,"")</f>
        <v/>
      </c>
      <c r="CG108" s="520" t="str">
        <f>IF(AND(_A5="A-320",'2025'!$F$4="CA",'2025'!$F$2=CG81),'2025DATA'!$N$29,"")</f>
        <v/>
      </c>
      <c r="CH108" s="940" t="s">
        <v>70</v>
      </c>
      <c r="CI108" s="13" t="s">
        <v>61</v>
      </c>
      <c r="CJ108" s="518" t="str">
        <f>IF(AND(_A6="A-320",'2025'!$F$4="CA",'2025'!$F$2=CJ81),'2025DATA'!$C$29,"")</f>
        <v/>
      </c>
      <c r="CK108" s="518" t="str">
        <f>IF(AND(_A6="A-320",'2025'!$F$4="CA",'2025'!$F$2=CK81),'2025DATA'!$D$29,"")</f>
        <v/>
      </c>
      <c r="CL108" s="518" t="str">
        <f>IF(AND(_A6="A-320",'2025'!$F$4="CA",'2025'!$F$2=CL81),'2025DATA'!$E$29,"")</f>
        <v/>
      </c>
      <c r="CM108" s="518" t="str">
        <f>IF(AND(_A6="A-320",'2025'!$F$4="CA",'2025'!$F$2=CM81),'2025DATA'!$F$29,"")</f>
        <v/>
      </c>
      <c r="CN108" s="518" t="str">
        <f>IF(AND(_A6="A-320",'2025'!$F$4="CA",'2025'!$F$2=CN81),'2025DATA'!$G$29,"")</f>
        <v/>
      </c>
      <c r="CO108" s="518" t="str">
        <f>IF(AND(_A6="A-320",'2025'!$F$4="CA",'2025'!$F$2=CO81),'2025DATA'!$H$29,"")</f>
        <v/>
      </c>
      <c r="CP108" s="518" t="str">
        <f>IF(AND(_A6="A-320",'2025'!$F$4="CA",'2025'!$F$2=CP81),'2025DATA'!$I$29,"")</f>
        <v/>
      </c>
      <c r="CQ108" s="518" t="str">
        <f>IF(AND(_A6="A-320",'2025'!$F$4="CA",'2025'!$F$2=CQ81),'2025DATA'!$J$29,"")</f>
        <v/>
      </c>
      <c r="CR108" s="518" t="str">
        <f>IF(AND(_A6="A-320",'2025'!$F$4="CA",'2025'!$F$2=CR81),'2025DATA'!$K$29,"")</f>
        <v/>
      </c>
      <c r="CS108" s="518" t="str">
        <f>IF(AND(_A6="A-320",'2025'!$F$4="CA",'2025'!$F$2=CS81),'2025DATA'!$L$29,"")</f>
        <v/>
      </c>
      <c r="CT108" s="518" t="str">
        <f>IF(AND(_A6="A-320",'2025'!$F$4="CA",'2025'!$F$2=CT81),'2025DATA'!$M$29,"")</f>
        <v/>
      </c>
      <c r="CU108" s="520" t="str">
        <f>IF(AND(_A6="A-320",'2025'!$F$4="CA",'2025'!$F$2=CU81),'2025DATA'!$N$29,"")</f>
        <v/>
      </c>
    </row>
    <row r="109" spans="16:99" x14ac:dyDescent="0.25">
      <c r="P109" s="940"/>
      <c r="Q109" s="13" t="s">
        <v>62</v>
      </c>
      <c r="R109" s="518" t="str">
        <f>IF(AND(_A1="A-320",'2025'!$F$4="FO",'2025'!$F$2=R81),'2025DATA'!$C$30,"")</f>
        <v/>
      </c>
      <c r="S109" s="518" t="str">
        <f>IF(AND(_A1="A-320",'2025'!$F$4="FO",'2025'!$F$2=S81),'2025DATA'!$D$30,"")</f>
        <v/>
      </c>
      <c r="T109" s="518" t="str">
        <f>IF(AND(_A1="A-320",'2025'!$F$4="FO",'2025'!$F$2=T81),'2025DATA'!$E$30,"")</f>
        <v/>
      </c>
      <c r="U109" s="518" t="str">
        <f>IF(AND(_A1="A-320",'2025'!$F$4="FO",'2025'!$F$2=U81),'2025DATA'!$F$30,"")</f>
        <v/>
      </c>
      <c r="V109" s="518" t="str">
        <f>IF(AND(_A1="A-320",'2025'!$F$4="FO",'2025'!$F$2=V81),'2025DATA'!$G$30,"")</f>
        <v/>
      </c>
      <c r="W109" s="518" t="str">
        <f>IF(AND(_A1="A-320",'2025'!$F$4="FO",'2025'!$F$2=W81),'2025DATA'!$H$30,"")</f>
        <v/>
      </c>
      <c r="X109" s="518" t="str">
        <f>IF(AND(_A1="A-320",'2025'!$F$4="FO",'2025'!$F$2=X81),'2025DATA'!$I$30,"")</f>
        <v/>
      </c>
      <c r="Y109" s="518" t="str">
        <f>IF(AND(_A1="A-320",'2025'!$F$4="FO",'2025'!$F$2=Y81),'2025DATA'!$J$30,"")</f>
        <v/>
      </c>
      <c r="Z109" s="518" t="str">
        <f>IF(AND(_A1="A-320",'2025'!$F$4="FO",'2025'!$F$2=Z81),'2025DATA'!$K$30,"")</f>
        <v/>
      </c>
      <c r="AA109" s="518" t="str">
        <f>IF(AND(_A1="A-320",'2025'!$F$4="FO",'2025'!$F$2=AA81),'2025DATA'!$L$30,"")</f>
        <v/>
      </c>
      <c r="AB109" s="518" t="str">
        <f>IF(AND(_A1="A-320",'2025'!$F$4="FO",'2025'!$F$2=AB81),'2025DATA'!$M$30,"")</f>
        <v/>
      </c>
      <c r="AC109" s="520" t="str">
        <f>IF(AND(_A1="A-320",'2025'!$F$4="FO",'2025'!$F$2=AC81),'2025DATA'!$N$30,"")</f>
        <v/>
      </c>
      <c r="AD109" s="940"/>
      <c r="AE109" s="13" t="s">
        <v>62</v>
      </c>
      <c r="AF109" s="518" t="str">
        <f>IF(AND(_A2="A-320",'2025'!$F$4="FO",'2025'!$F$2=AF81),'2025DATA'!$C$30,"")</f>
        <v/>
      </c>
      <c r="AG109" s="518" t="str">
        <f>IF(AND(_A2="A-320",'2025'!$F$4="FO",'2025'!$F$2=AG81),'2025DATA'!$D$30,"")</f>
        <v/>
      </c>
      <c r="AH109" s="518" t="str">
        <f>IF(AND(_A2="A-320",'2025'!$F$4="FO",'2025'!$F$2=AH81),'2025DATA'!$E$30,"")</f>
        <v/>
      </c>
      <c r="AI109" s="518" t="str">
        <f>IF(AND(_A2="A-320",'2025'!$F$4="FO",'2025'!$F$2=AI81),'2025DATA'!$F$30,"")</f>
        <v/>
      </c>
      <c r="AJ109" s="518" t="str">
        <f>IF(AND(_A2="A-320",'2025'!$F$4="FO",'2025'!$F$2=AJ81),'2025DATA'!$G$30,"")</f>
        <v/>
      </c>
      <c r="AK109" s="518" t="str">
        <f>IF(AND(_A2="A-320",'2025'!$F$4="FO",'2025'!$F$2=AK81),'2025DATA'!$H$30,"")</f>
        <v/>
      </c>
      <c r="AL109" s="518" t="str">
        <f>IF(AND(_A2="A-320",'2025'!$F$4="FO",'2025'!$F$2=AL81),'2025DATA'!$I$30,"")</f>
        <v/>
      </c>
      <c r="AM109" s="518" t="str">
        <f>IF(AND(_A2="A-320",'2025'!$F$4="FO",'2025'!$F$2=AM81),'2025DATA'!$J$30,"")</f>
        <v/>
      </c>
      <c r="AN109" s="518" t="str">
        <f>IF(AND(_A2="A-320",'2025'!$F$4="FO",'2025'!$F$2=AN81),'2025DATA'!$K$30,"")</f>
        <v/>
      </c>
      <c r="AO109" s="518" t="str">
        <f>IF(AND(_A2="A-320",'2025'!$F$4="FO",'2025'!$F$2=AO81),'2025DATA'!$L$30,"")</f>
        <v/>
      </c>
      <c r="AP109" s="518" t="str">
        <f>IF(AND(_A2="A-320",'2025'!$F$4="FO",'2025'!$F$2=AP81),'2025DATA'!$M$30,"")</f>
        <v/>
      </c>
      <c r="AQ109" s="520" t="str">
        <f>IF(AND(_A2="A-320",'2025'!$F$4="FO",'2025'!$F$2=AQ81),'2025DATA'!$N$30,"")</f>
        <v/>
      </c>
      <c r="AR109" s="940"/>
      <c r="AS109" s="13" t="s">
        <v>62</v>
      </c>
      <c r="AT109" s="518" t="str">
        <f>IF(AND(_A3="A-320",'2025'!$F$4="FO",'2025'!$F$2=AT81),'2025DATA'!$C$30,"")</f>
        <v/>
      </c>
      <c r="AU109" s="518" t="str">
        <f>IF(AND(_A3="A-320",'2025'!$F$4="FO",'2025'!$F$2=AU81),'2025DATA'!$D$30,"")</f>
        <v/>
      </c>
      <c r="AV109" s="518" t="str">
        <f>IF(AND(_A3="A-320",'2025'!$F$4="FO",'2025'!$F$2=AV81),'2025DATA'!$E$30,"")</f>
        <v/>
      </c>
      <c r="AW109" s="518" t="str">
        <f>IF(AND(_A3="A-320",'2025'!$F$4="FO",'2025'!$F$2=AW81),'2025DATA'!$F$30,"")</f>
        <v/>
      </c>
      <c r="AX109" s="518" t="str">
        <f>IF(AND(_A3="A-320",'2025'!$F$4="FO",'2025'!$F$2=AX81),'2025DATA'!$G$30,"")</f>
        <v/>
      </c>
      <c r="AY109" s="518" t="str">
        <f>IF(AND(_A3="A-320",'2025'!$F$4="FO",'2025'!$F$2=AY81),'2025DATA'!$H$30,"")</f>
        <v/>
      </c>
      <c r="AZ109" s="518" t="str">
        <f>IF(AND(_A3="A-320",'2025'!$F$4="FO",'2025'!$F$2=AZ81),'2025DATA'!$I$30,"")</f>
        <v/>
      </c>
      <c r="BA109" s="518" t="str">
        <f>IF(AND(_A3="A-320",'2025'!$F$4="FO",'2025'!$F$2=BA81),'2025DATA'!$J$30,"")</f>
        <v/>
      </c>
      <c r="BB109" s="518" t="str">
        <f>IF(AND(_A3="A-320",'2025'!$F$4="FO",'2025'!$F$2=BB81),'2025DATA'!$K$30,"")</f>
        <v/>
      </c>
      <c r="BC109" s="518" t="str">
        <f>IF(AND(_A3="A-320",'2025'!$F$4="FO",'2025'!$F$2=BC81),'2025DATA'!$L$30,"")</f>
        <v/>
      </c>
      <c r="BD109" s="518" t="str">
        <f>IF(AND(_A3="A-320",'2025'!$F$4="FO",'2025'!$F$2=BD81),'2025DATA'!$M$30,"")</f>
        <v/>
      </c>
      <c r="BE109" s="520" t="str">
        <f>IF(AND(_A3="A-320",'2025'!$F$4="FO",'2025'!$F$2=BE81),'2025DATA'!$N$30,"")</f>
        <v/>
      </c>
      <c r="BF109" s="940"/>
      <c r="BG109" s="13" t="s">
        <v>62</v>
      </c>
      <c r="BH109" s="518" t="str">
        <f>IF(AND(_A4="A-320",'2025'!$F$4="FO",'2025'!$F$2=BH81),'2025DATA'!$C$30,"")</f>
        <v/>
      </c>
      <c r="BI109" s="518" t="str">
        <f>IF(AND(_A4="A-320",'2025'!$F$4="FO",'2025'!$F$2=BI81),'2025DATA'!$D$30,"")</f>
        <v/>
      </c>
      <c r="BJ109" s="518" t="str">
        <f>IF(AND(_A4="A-320",'2025'!$F$4="FO",'2025'!$F$2=BJ81),'2025DATA'!$E$30,"")</f>
        <v/>
      </c>
      <c r="BK109" s="518" t="str">
        <f>IF(AND(_A4="A-320",'2025'!$F$4="FO",'2025'!$F$2=BK81),'2025DATA'!$F$30,"")</f>
        <v/>
      </c>
      <c r="BL109" s="518" t="str">
        <f>IF(AND(_A4="A-320",'2025'!$F$4="FO",'2025'!$F$2=BL81),'2025DATA'!$G$30,"")</f>
        <v/>
      </c>
      <c r="BM109" s="518" t="str">
        <f>IF(AND(_A4="A-320",'2025'!$F$4="FO",'2025'!$F$2=BM81),'2025DATA'!$H$30,"")</f>
        <v/>
      </c>
      <c r="BN109" s="518" t="str">
        <f>IF(AND(_A4="A-320",'2025'!$F$4="FO",'2025'!$F$2=BN81),'2025DATA'!$I$30,"")</f>
        <v/>
      </c>
      <c r="BO109" s="518" t="str">
        <f>IF(AND(_A4="A-320",'2025'!$F$4="FO",'2025'!$F$2=BO81),'2025DATA'!$J$30,"")</f>
        <v/>
      </c>
      <c r="BP109" s="518" t="str">
        <f>IF(AND(_A4="A-320",'2025'!$F$4="FO",'2025'!$F$2=BP81),'2025DATA'!$K$30,"")</f>
        <v/>
      </c>
      <c r="BQ109" s="518" t="str">
        <f>IF(AND(_A4="A-320",'2025'!$F$4="FO",'2025'!$F$2=BQ81),'2025DATA'!$L$30,"")</f>
        <v/>
      </c>
      <c r="BR109" s="518" t="str">
        <f>IF(AND(_A4="A-320",'2025'!$F$4="FO",'2025'!$F$2=BR81),'2025DATA'!$M$30,"")</f>
        <v/>
      </c>
      <c r="BS109" s="520" t="str">
        <f>IF(AND(_A4="A-320",'2025'!$F$4="FO",'2025'!$F$2=BS81),'2025DATA'!$N$30,"")</f>
        <v/>
      </c>
      <c r="BT109" s="940"/>
      <c r="BU109" s="13" t="s">
        <v>62</v>
      </c>
      <c r="BV109" s="518" t="str">
        <f>IF(AND(_A5="A-320",'2025'!$F$4="FO",'2025'!$F$2=BV81),'2025DATA'!$C$30,"")</f>
        <v/>
      </c>
      <c r="BW109" s="518" t="str">
        <f>IF(AND(_A5="A-320",'2025'!$F$4="FO",'2025'!$F$2=BW81),'2025DATA'!$D$30,"")</f>
        <v/>
      </c>
      <c r="BX109" s="518" t="str">
        <f>IF(AND(_A5="A-320",'2025'!$F$4="FO",'2025'!$F$2=BX81),'2025DATA'!$E$30,"")</f>
        <v/>
      </c>
      <c r="BY109" s="518" t="str">
        <f>IF(AND(_A5="A-320",'2025'!$F$4="FO",'2025'!$F$2=BY81),'2025DATA'!$F$30,"")</f>
        <v/>
      </c>
      <c r="BZ109" s="518" t="str">
        <f>IF(AND(_A5="A-320",'2025'!$F$4="FO",'2025'!$F$2=BZ81),'2025DATA'!$G$30,"")</f>
        <v/>
      </c>
      <c r="CA109" s="518" t="str">
        <f>IF(AND(_A5="A-320",'2025'!$F$4="FO",'2025'!$F$2=CA81),'2025DATA'!$H$30,"")</f>
        <v/>
      </c>
      <c r="CB109" s="518" t="str">
        <f>IF(AND(_A5="A-320",'2025'!$F$4="FO",'2025'!$F$2=CB81),'2025DATA'!$I$30,"")</f>
        <v/>
      </c>
      <c r="CC109" s="518" t="str">
        <f>IF(AND(_A5="A-320",'2025'!$F$4="FO",'2025'!$F$2=CC81),'2025DATA'!$J$30,"")</f>
        <v/>
      </c>
      <c r="CD109" s="518" t="str">
        <f>IF(AND(_A5="A-320",'2025'!$F$4="FO",'2025'!$F$2=CD81),'2025DATA'!$K$30,"")</f>
        <v/>
      </c>
      <c r="CE109" s="518" t="str">
        <f>IF(AND(_A5="A-320",'2025'!$F$4="FO",'2025'!$F$2=CE81),'2025DATA'!$L$30,"")</f>
        <v/>
      </c>
      <c r="CF109" s="518" t="str">
        <f>IF(AND(_A5="A-320",'2025'!$F$4="FO",'2025'!$F$2=CF81),'2025DATA'!$M$30,"")</f>
        <v/>
      </c>
      <c r="CG109" s="520" t="str">
        <f>IF(AND(_A5="A-320",'2025'!$F$4="FO",'2025'!$F$2=CG81),'2025DATA'!$N$30,"")</f>
        <v/>
      </c>
      <c r="CH109" s="940"/>
      <c r="CI109" s="13" t="s">
        <v>62</v>
      </c>
      <c r="CJ109" s="518" t="str">
        <f>IF(AND(_A6="A-320",'2025'!$F$4="FO",'2025'!$F$2=CJ81),'2025DATA'!$C$30,"")</f>
        <v/>
      </c>
      <c r="CK109" s="518" t="str">
        <f>IF(AND(_A6="A-320",'2025'!$F$4="FO",'2025'!$F$2=CK81),'2025DATA'!$D$30,"")</f>
        <v/>
      </c>
      <c r="CL109" s="518" t="str">
        <f>IF(AND(_A6="A-320",'2025'!$F$4="FO",'2025'!$F$2=CL81),'2025DATA'!$E$30,"")</f>
        <v/>
      </c>
      <c r="CM109" s="518" t="str">
        <f>IF(AND(_A6="A-320",'2025'!$F$4="FO",'2025'!$F$2=CM81),'2025DATA'!$F$30,"")</f>
        <v/>
      </c>
      <c r="CN109" s="518" t="str">
        <f>IF(AND(_A6="A-320",'2025'!$F$4="FO",'2025'!$F$2=CN81),'2025DATA'!$G$30,"")</f>
        <v/>
      </c>
      <c r="CO109" s="518" t="str">
        <f>IF(AND(_A6="A-320",'2025'!$F$4="FO",'2025'!$F$2=CO81),'2025DATA'!$H$30,"")</f>
        <v/>
      </c>
      <c r="CP109" s="518" t="str">
        <f>IF(AND(_A6="A-320",'2025'!$F$4="FO",'2025'!$F$2=CP81),'2025DATA'!$I$30,"")</f>
        <v/>
      </c>
      <c r="CQ109" s="518" t="str">
        <f>IF(AND(_A6="A-320",'2025'!$F$4="FO",'2025'!$F$2=CQ81),'2025DATA'!$J$30,"")</f>
        <v/>
      </c>
      <c r="CR109" s="518" t="str">
        <f>IF(AND(_A6="A-320",'2025'!$F$4="FO",'2025'!$F$2=CR81),'2025DATA'!$K$30,"")</f>
        <v/>
      </c>
      <c r="CS109" s="518" t="str">
        <f>IF(AND(_A6="A-320",'2025'!$F$4="FO",'2025'!$F$2=CS81),'2025DATA'!$L$30,"")</f>
        <v/>
      </c>
      <c r="CT109" s="518" t="str">
        <f>IF(AND(_A6="A-320",'2025'!$F$4="FO",'2025'!$F$2=CT81),'2025DATA'!$M$30,"")</f>
        <v/>
      </c>
      <c r="CU109" s="520" t="str">
        <f>IF(AND(_A6="A-320",'2025'!$F$4="FO",'2025'!$F$2=CU81),'2025DATA'!$N$30,"")</f>
        <v/>
      </c>
    </row>
    <row r="110" spans="16:99" x14ac:dyDescent="0.25">
      <c r="P110" s="940" t="s">
        <v>71</v>
      </c>
      <c r="Q110" s="13" t="s">
        <v>61</v>
      </c>
      <c r="R110" s="518" t="str">
        <f>IF(AND(_A1="A-319",'2025'!$F$4="CA",'2025'!$F$2=R81),'2025DATA'!$C$31,"")</f>
        <v/>
      </c>
      <c r="S110" s="518" t="str">
        <f>IF(AND(_A1="A-319",'2025'!$F$4="CA",'2025'!$F$2=S81),'2025DATA'!$D$31,"")</f>
        <v/>
      </c>
      <c r="T110" s="518" t="str">
        <f>IF(AND(_A1="A-319",'2025'!$F$4="CA",'2025'!$F$2=T81),'2025DATA'!$E$31,"")</f>
        <v/>
      </c>
      <c r="U110" s="518" t="str">
        <f>IF(AND(_A1="A-319",'2025'!$F$4="CA",'2025'!$F$2=U81),'2025DATA'!$F$31,"")</f>
        <v/>
      </c>
      <c r="V110" s="518" t="str">
        <f>IF(AND(_A1="A-319",'2025'!$F$4="CA",'2025'!$F$2=V81),'2025DATA'!$G$31,"")</f>
        <v/>
      </c>
      <c r="W110" s="518" t="str">
        <f>IF(AND(_A1="A-319",'2025'!$F$4="CA",'2025'!$F$2=W81),'2025DATA'!$H$31,"")</f>
        <v/>
      </c>
      <c r="X110" s="518" t="str">
        <f>IF(AND(_A1="A-319",'2025'!$F$4="CA",'2025'!$F$2=X81),'2025DATA'!$I$31,"")</f>
        <v/>
      </c>
      <c r="Y110" s="518" t="str">
        <f>IF(AND(_A1="A-319",'2025'!$F$4="CA",'2025'!$F$2=Y81),'2025DATA'!$J$31,"")</f>
        <v/>
      </c>
      <c r="Z110" s="518" t="str">
        <f>IF(AND(_A1="A-319",'2025'!$F$4="CA",'2025'!$F$2=Z81),'2025DATA'!$K$31,"")</f>
        <v/>
      </c>
      <c r="AA110" s="518" t="str">
        <f>IF(AND(_A1="A-319",'2025'!$F$4="CA",'2025'!$F$2=AA81),'2025DATA'!$L$31,"")</f>
        <v/>
      </c>
      <c r="AB110" s="518" t="str">
        <f>IF(AND(_A1="A-319",'2025'!$F$4="CA",'2025'!$F$2=AB81),'2025DATA'!$M$31,"")</f>
        <v/>
      </c>
      <c r="AC110" s="520" t="str">
        <f>IF(AND(_A1="A-319",'2025'!$F$4="CA",'2025'!$F$2=AC81),'2025DATA'!$N$31,"")</f>
        <v/>
      </c>
      <c r="AD110" s="940" t="s">
        <v>71</v>
      </c>
      <c r="AE110" s="13" t="s">
        <v>61</v>
      </c>
      <c r="AF110" s="518" t="str">
        <f>IF(AND(_A2="A-319",'2025'!$F$4="CA",'2025'!$F$2=AF81),'2025DATA'!$C$31,"")</f>
        <v/>
      </c>
      <c r="AG110" s="518" t="str">
        <f>IF(AND(_A2="A-319",'2025'!$F$4="CA",'2025'!$F$2=AG81),'2025DATA'!$D$31,"")</f>
        <v/>
      </c>
      <c r="AH110" s="518" t="str">
        <f>IF(AND(_A2="A-319",'2025'!$F$4="CA",'2025'!$F$2=AH81),'2025DATA'!$E$31,"")</f>
        <v/>
      </c>
      <c r="AI110" s="518" t="str">
        <f>IF(AND(_A2="A-319",'2025'!$F$4="CA",'2025'!$F$2=AI81),'2025DATA'!$F$31,"")</f>
        <v/>
      </c>
      <c r="AJ110" s="518" t="str">
        <f>IF(AND(_A2="A-319",'2025'!$F$4="CA",'2025'!$F$2=AJ81),'2025DATA'!$G$31,"")</f>
        <v/>
      </c>
      <c r="AK110" s="518" t="str">
        <f>IF(AND(_A2="A-319",'2025'!$F$4="CA",'2025'!$F$2=AK81),'2025DATA'!$H$31,"")</f>
        <v/>
      </c>
      <c r="AL110" s="518" t="str">
        <f>IF(AND(_A2="A-319",'2025'!$F$4="CA",'2025'!$F$2=AL81),'2025DATA'!$I$31,"")</f>
        <v/>
      </c>
      <c r="AM110" s="518" t="str">
        <f>IF(AND(_A2="A-319",'2025'!$F$4="CA",'2025'!$F$2=AM81),'2025DATA'!$J$31,"")</f>
        <v/>
      </c>
      <c r="AN110" s="518" t="str">
        <f>IF(AND(_A2="A-319",'2025'!$F$4="CA",'2025'!$F$2=AN81),'2025DATA'!$K$31,"")</f>
        <v/>
      </c>
      <c r="AO110" s="518" t="str">
        <f>IF(AND(_A2="A-319",'2025'!$F$4="CA",'2025'!$F$2=AO81),'2025DATA'!$L$31,"")</f>
        <v/>
      </c>
      <c r="AP110" s="518" t="str">
        <f>IF(AND(_A2="A-319",'2025'!$F$4="CA",'2025'!$F$2=AP81),'2025DATA'!$M$31,"")</f>
        <v/>
      </c>
      <c r="AQ110" s="520" t="str">
        <f>IF(AND(_A2="A-319",'2025'!$F$4="CA",'2025'!$F$2=AQ81),'2025DATA'!$N$31,"")</f>
        <v/>
      </c>
      <c r="AR110" s="940" t="s">
        <v>71</v>
      </c>
      <c r="AS110" s="13" t="s">
        <v>61</v>
      </c>
      <c r="AT110" s="518" t="str">
        <f>IF(AND(_A3="A-319",'2025'!$F$4="CA",'2025'!$F$2=AT81),'2025DATA'!$C$31,"")</f>
        <v/>
      </c>
      <c r="AU110" s="518" t="str">
        <f>IF(AND(_A3="A-319",'2025'!$F$4="CA",'2025'!$F$2=AU81),'2025DATA'!$D$31,"")</f>
        <v/>
      </c>
      <c r="AV110" s="518" t="str">
        <f>IF(AND(_A3="A-319",'2025'!$F$4="CA",'2025'!$F$2=AV81),'2025DATA'!$E$31,"")</f>
        <v/>
      </c>
      <c r="AW110" s="518" t="str">
        <f>IF(AND(_A3="A-319",'2025'!$F$4="CA",'2025'!$F$2=AW81),'2025DATA'!$F$31,"")</f>
        <v/>
      </c>
      <c r="AX110" s="518" t="str">
        <f>IF(AND(_A3="A-319",'2025'!$F$4="CA",'2025'!$F$2=AX81),'2025DATA'!$G$31,"")</f>
        <v/>
      </c>
      <c r="AY110" s="518" t="str">
        <f>IF(AND(_A3="A-319",'2025'!$F$4="CA",'2025'!$F$2=AY81),'2025DATA'!$H$31,"")</f>
        <v/>
      </c>
      <c r="AZ110" s="518" t="str">
        <f>IF(AND(_A3="A-319",'2025'!$F$4="CA",'2025'!$F$2=AZ81),'2025DATA'!$I$31,"")</f>
        <v/>
      </c>
      <c r="BA110" s="518" t="str">
        <f>IF(AND(_A3="A-319",'2025'!$F$4="CA",'2025'!$F$2=BA81),'2025DATA'!$J$31,"")</f>
        <v/>
      </c>
      <c r="BB110" s="518" t="str">
        <f>IF(AND(_A3="A-319",'2025'!$F$4="CA",'2025'!$F$2=BB81),'2025DATA'!$K$31,"")</f>
        <v/>
      </c>
      <c r="BC110" s="518" t="str">
        <f>IF(AND(_A3="A-319",'2025'!$F$4="CA",'2025'!$F$2=BC81),'2025DATA'!$L$31,"")</f>
        <v/>
      </c>
      <c r="BD110" s="518" t="str">
        <f>IF(AND(_A3="A-319",'2025'!$F$4="CA",'2025'!$F$2=BD81),'2025DATA'!$M$31,"")</f>
        <v/>
      </c>
      <c r="BE110" s="520" t="str">
        <f>IF(AND(_A3="A-319",'2025'!$F$4="CA",'2025'!$F$2=BE81),'2025DATA'!$N$31,"")</f>
        <v/>
      </c>
      <c r="BF110" s="940" t="s">
        <v>71</v>
      </c>
      <c r="BG110" s="13" t="s">
        <v>61</v>
      </c>
      <c r="BH110" s="518" t="str">
        <f>IF(AND(_A4="A-319",'2025'!$F$4="CA",'2025'!$F$2=BH81),'2025DATA'!$C$31,"")</f>
        <v/>
      </c>
      <c r="BI110" s="518" t="str">
        <f>IF(AND(_A4="A-319",'2025'!$F$4="CA",'2025'!$F$2=BI81),'2025DATA'!$D$31,"")</f>
        <v/>
      </c>
      <c r="BJ110" s="518" t="str">
        <f>IF(AND(_A4="A-319",'2025'!$F$4="CA",'2025'!$F$2=BJ81),'2025DATA'!$E$31,"")</f>
        <v/>
      </c>
      <c r="BK110" s="518" t="str">
        <f>IF(AND(_A4="A-319",'2025'!$F$4="CA",'2025'!$F$2=BK81),'2025DATA'!$F$31,"")</f>
        <v/>
      </c>
      <c r="BL110" s="518" t="str">
        <f>IF(AND(_A4="A-319",'2025'!$F$4="CA",'2025'!$F$2=BL81),'2025DATA'!$G$31,"")</f>
        <v/>
      </c>
      <c r="BM110" s="518" t="str">
        <f>IF(AND(_A4="A-319",'2025'!$F$4="CA",'2025'!$F$2=BM81),'2025DATA'!$H$31,"")</f>
        <v/>
      </c>
      <c r="BN110" s="518" t="str">
        <f>IF(AND(_A4="A-319",'2025'!$F$4="CA",'2025'!$F$2=BN81),'2025DATA'!$I$31,"")</f>
        <v/>
      </c>
      <c r="BO110" s="518" t="str">
        <f>IF(AND(_A4="A-319",'2025'!$F$4="CA",'2025'!$F$2=BO81),'2025DATA'!$J$31,"")</f>
        <v/>
      </c>
      <c r="BP110" s="518" t="str">
        <f>IF(AND(_A4="A-319",'2025'!$F$4="CA",'2025'!$F$2=BP81),'2025DATA'!$K$31,"")</f>
        <v/>
      </c>
      <c r="BQ110" s="518" t="str">
        <f>IF(AND(_A4="A-319",'2025'!$F$4="CA",'2025'!$F$2=BQ81),'2025DATA'!$L$31,"")</f>
        <v/>
      </c>
      <c r="BR110" s="518" t="str">
        <f>IF(AND(_A4="A-319",'2025'!$F$4="CA",'2025'!$F$2=BR81),'2025DATA'!$M$31,"")</f>
        <v/>
      </c>
      <c r="BS110" s="520" t="str">
        <f>IF(AND(_A4="A-319",'2025'!$F$4="CA",'2025'!$F$2=BS81),'2025DATA'!$N$31,"")</f>
        <v/>
      </c>
      <c r="BT110" s="940" t="s">
        <v>71</v>
      </c>
      <c r="BU110" s="13" t="s">
        <v>61</v>
      </c>
      <c r="BV110" s="518" t="str">
        <f>IF(AND(_A5="A-319",'2025'!$F$4="CA",'2025'!$F$2=BV81),'2025DATA'!$C$31,"")</f>
        <v/>
      </c>
      <c r="BW110" s="518" t="str">
        <f>IF(AND(_A5="A-319",'2025'!$F$4="CA",'2025'!$F$2=BW81),'2025DATA'!$D$31,"")</f>
        <v/>
      </c>
      <c r="BX110" s="518" t="str">
        <f>IF(AND(_A5="A-319",'2025'!$F$4="CA",'2025'!$F$2=BX81),'2025DATA'!$E$31,"")</f>
        <v/>
      </c>
      <c r="BY110" s="518" t="str">
        <f>IF(AND(_A5="A-319",'2025'!$F$4="CA",'2025'!$F$2=BY81),'2025DATA'!$F$31,"")</f>
        <v/>
      </c>
      <c r="BZ110" s="518" t="str">
        <f>IF(AND(_A5="A-319",'2025'!$F$4="CA",'2025'!$F$2=BZ81),'2025DATA'!$G$31,"")</f>
        <v/>
      </c>
      <c r="CA110" s="518" t="str">
        <f>IF(AND(_A5="A-319",'2025'!$F$4="CA",'2025'!$F$2=CA81),'2025DATA'!$H$31,"")</f>
        <v/>
      </c>
      <c r="CB110" s="518" t="str">
        <f>IF(AND(_A5="A-319",'2025'!$F$4="CA",'2025'!$F$2=CB81),'2025DATA'!$I$31,"")</f>
        <v/>
      </c>
      <c r="CC110" s="518" t="str">
        <f>IF(AND(_A5="A-319",'2025'!$F$4="CA",'2025'!$F$2=CC81),'2025DATA'!$J$31,"")</f>
        <v/>
      </c>
      <c r="CD110" s="518" t="str">
        <f>IF(AND(_A5="A-319",'2025'!$F$4="CA",'2025'!$F$2=CD81),'2025DATA'!$K$31,"")</f>
        <v/>
      </c>
      <c r="CE110" s="518" t="str">
        <f>IF(AND(_A5="A-319",'2025'!$F$4="CA",'2025'!$F$2=CE81),'2025DATA'!$L$31,"")</f>
        <v/>
      </c>
      <c r="CF110" s="518" t="str">
        <f>IF(AND(_A5="A-319",'2025'!$F$4="CA",'2025'!$F$2=CF81),'2025DATA'!$M$31,"")</f>
        <v/>
      </c>
      <c r="CG110" s="520" t="str">
        <f>IF(AND(_A5="A-319",'2025'!$F$4="CA",'2025'!$F$2=CG81),'2025DATA'!$N$31,"")</f>
        <v/>
      </c>
      <c r="CH110" s="940" t="s">
        <v>71</v>
      </c>
      <c r="CI110" s="13" t="s">
        <v>61</v>
      </c>
      <c r="CJ110" s="518" t="str">
        <f>IF(AND(_A6="A-319",'2025'!$F$4="CA",'2025'!$F$2=CJ81),'2025DATA'!$C$31,"")</f>
        <v/>
      </c>
      <c r="CK110" s="518" t="str">
        <f>IF(AND(_A6="A-319",'2025'!$F$4="CA",'2025'!$F$2=CK81),'2025DATA'!$D$31,"")</f>
        <v/>
      </c>
      <c r="CL110" s="518" t="str">
        <f>IF(AND(_A6="A-319",'2025'!$F$4="CA",'2025'!$F$2=CL81),'2025DATA'!$E$31,"")</f>
        <v/>
      </c>
      <c r="CM110" s="518" t="str">
        <f>IF(AND(_A6="A-319",'2025'!$F$4="CA",'2025'!$F$2=CM81),'2025DATA'!$F$31,"")</f>
        <v/>
      </c>
      <c r="CN110" s="518" t="str">
        <f>IF(AND(_A6="A-319",'2025'!$F$4="CA",'2025'!$F$2=CN81),'2025DATA'!$G$31,"")</f>
        <v/>
      </c>
      <c r="CO110" s="518" t="str">
        <f>IF(AND(_A6="A-319",'2025'!$F$4="CA",'2025'!$F$2=CO81),'2025DATA'!$H$31,"")</f>
        <v/>
      </c>
      <c r="CP110" s="518" t="str">
        <f>IF(AND(_A6="A-319",'2025'!$F$4="CA",'2025'!$F$2=CP81),'2025DATA'!$I$31,"")</f>
        <v/>
      </c>
      <c r="CQ110" s="518" t="str">
        <f>IF(AND(_A6="A-319",'2025'!$F$4="CA",'2025'!$F$2=CQ81),'2025DATA'!$J$31,"")</f>
        <v/>
      </c>
      <c r="CR110" s="518" t="str">
        <f>IF(AND(_A6="A-319",'2025'!$F$4="CA",'2025'!$F$2=CR81),'2025DATA'!$K$31,"")</f>
        <v/>
      </c>
      <c r="CS110" s="518" t="str">
        <f>IF(AND(_A6="A-319",'2025'!$F$4="CA",'2025'!$F$2=CS81),'2025DATA'!$L$31,"")</f>
        <v/>
      </c>
      <c r="CT110" s="518" t="str">
        <f>IF(AND(_A6="A-319",'2025'!$F$4="CA",'2025'!$F$2=CT81),'2025DATA'!$M$31,"")</f>
        <v/>
      </c>
      <c r="CU110" s="520" t="str">
        <f>IF(AND(_A6="A-319",'2025'!$F$4="CA",'2025'!$F$2=CU81),'2025DATA'!$N$31,"")</f>
        <v/>
      </c>
    </row>
    <row r="111" spans="16:99" x14ac:dyDescent="0.25">
      <c r="P111" s="940"/>
      <c r="Q111" s="13" t="s">
        <v>62</v>
      </c>
      <c r="R111" s="518" t="str">
        <f>IF(AND(_A1="A-319",'2025'!$F$4="FO",'2025'!$F$2=R81),'2025DATA'!$C$32,"")</f>
        <v/>
      </c>
      <c r="S111" s="518" t="str">
        <f>IF(AND(_A1="A-319",'2025'!$F$4="FO",'2025'!$F$2=S81),'2025DATA'!$D$32,"")</f>
        <v/>
      </c>
      <c r="T111" s="518" t="str">
        <f>IF(AND(_A1="A-319",'2025'!$F$4="FO",'2025'!$F$2=T81),'2025DATA'!$E$32,"")</f>
        <v/>
      </c>
      <c r="U111" s="518" t="str">
        <f>IF(AND(_A1="A-319",'2025'!$F$4="FO",'2025'!$F$2=U81),'2025DATA'!$F$32,"")</f>
        <v/>
      </c>
      <c r="V111" s="518" t="str">
        <f>IF(AND(_A1="A-319",'2025'!$F$4="FO",'2025'!$F$2=V81),'2025DATA'!$G$32,"")</f>
        <v/>
      </c>
      <c r="W111" s="518" t="str">
        <f>IF(AND(_A1="A-319",'2025'!$F$4="FO",'2025'!$F$2=W81),'2025DATA'!$H$32,"")</f>
        <v/>
      </c>
      <c r="X111" s="518" t="str">
        <f>IF(AND(_A1="A-319",'2025'!$F$4="FO",'2025'!$F$2=X81),'2025DATA'!$I$32,"")</f>
        <v/>
      </c>
      <c r="Y111" s="518" t="str">
        <f>IF(AND(_A1="A-319",'2025'!$F$4="FO",'2025'!$F$2=Y81),'2025DATA'!$J$32,"")</f>
        <v/>
      </c>
      <c r="Z111" s="518" t="str">
        <f>IF(AND(_A1="A-319",'2025'!$F$4="FO",'2025'!$F$2=Z81),'2025DATA'!$K$32,"")</f>
        <v/>
      </c>
      <c r="AA111" s="518" t="str">
        <f>IF(AND(_A1="A-319",'2025'!$F$4="FO",'2025'!$F$2=AA81),'2025DATA'!$L$32,"")</f>
        <v/>
      </c>
      <c r="AB111" s="518" t="str">
        <f>IF(AND(_A1="A-319",'2025'!$F$4="FO",'2025'!$F$2=AB81),'2025DATA'!$M$32,"")</f>
        <v/>
      </c>
      <c r="AC111" s="520" t="str">
        <f>IF(AND(_A1="A-319",'2025'!$F$4="FO",'2025'!$F$2=AC81),'2025DATA'!$N$32,"")</f>
        <v/>
      </c>
      <c r="AD111" s="940"/>
      <c r="AE111" s="13" t="s">
        <v>62</v>
      </c>
      <c r="AF111" s="518" t="str">
        <f>IF(AND(_A2="A-319",'2025'!$F$4="FO",'2025'!$F$2=AF81),'2025DATA'!$C$32,"")</f>
        <v/>
      </c>
      <c r="AG111" s="518" t="str">
        <f>IF(AND(_A2="A-319",'2025'!$F$4="FO",'2025'!$F$2=AG81),'2025DATA'!$D$32,"")</f>
        <v/>
      </c>
      <c r="AH111" s="518" t="str">
        <f>IF(AND(_A2="A-319",'2025'!$F$4="FO",'2025'!$F$2=AH81),'2025DATA'!$E$32,"")</f>
        <v/>
      </c>
      <c r="AI111" s="518" t="str">
        <f>IF(AND(_A2="A-319",'2025'!$F$4="FO",'2025'!$F$2=AI81),'2025DATA'!$F$32,"")</f>
        <v/>
      </c>
      <c r="AJ111" s="518" t="str">
        <f>IF(AND(_A2="A-319",'2025'!$F$4="FO",'2025'!$F$2=AJ81),'2025DATA'!$G$32,"")</f>
        <v/>
      </c>
      <c r="AK111" s="518" t="str">
        <f>IF(AND(_A2="A-319",'2025'!$F$4="FO",'2025'!$F$2=AK81),'2025DATA'!$H$32,"")</f>
        <v/>
      </c>
      <c r="AL111" s="518" t="str">
        <f>IF(AND(_A2="A-319",'2025'!$F$4="FO",'2025'!$F$2=AL81),'2025DATA'!$I$32,"")</f>
        <v/>
      </c>
      <c r="AM111" s="518" t="str">
        <f>IF(AND(_A2="A-319",'2025'!$F$4="FO",'2025'!$F$2=AM81),'2025DATA'!$J$32,"")</f>
        <v/>
      </c>
      <c r="AN111" s="518" t="str">
        <f>IF(AND(_A2="A-319",'2025'!$F$4="FO",'2025'!$F$2=AN81),'2025DATA'!$K$32,"")</f>
        <v/>
      </c>
      <c r="AO111" s="518" t="str">
        <f>IF(AND(_A2="A-319",'2025'!$F$4="FO",'2025'!$F$2=AO81),'2025DATA'!$L$32,"")</f>
        <v/>
      </c>
      <c r="AP111" s="518" t="str">
        <f>IF(AND(_A2="A-319",'2025'!$F$4="FO",'2025'!$F$2=AP81),'2025DATA'!$M$32,"")</f>
        <v/>
      </c>
      <c r="AQ111" s="520" t="str">
        <f>IF(AND(_A2="A-319",'2025'!$F$4="FO",'2025'!$F$2=AQ81),'2025DATA'!$N$32,"")</f>
        <v/>
      </c>
      <c r="AR111" s="940"/>
      <c r="AS111" s="13" t="s">
        <v>62</v>
      </c>
      <c r="AT111" s="518" t="str">
        <f>IF(AND(_A3="A-319",'2025'!$F$4="FO",'2025'!$F$2=AT81),'2025DATA'!$C$32,"")</f>
        <v/>
      </c>
      <c r="AU111" s="518" t="str">
        <f>IF(AND(_A3="A-319",'2025'!$F$4="FO",'2025'!$F$2=AU81),'2025DATA'!$D$32,"")</f>
        <v/>
      </c>
      <c r="AV111" s="518" t="str">
        <f>IF(AND(_A3="A-319",'2025'!$F$4="FO",'2025'!$F$2=AV81),'2025DATA'!$E$32,"")</f>
        <v/>
      </c>
      <c r="AW111" s="518" t="str">
        <f>IF(AND(_A3="A-319",'2025'!$F$4="FO",'2025'!$F$2=AW81),'2025DATA'!$F$32,"")</f>
        <v/>
      </c>
      <c r="AX111" s="518" t="str">
        <f>IF(AND(_A3="A-319",'2025'!$F$4="FO",'2025'!$F$2=AX81),'2025DATA'!$G$32,"")</f>
        <v/>
      </c>
      <c r="AY111" s="518" t="str">
        <f>IF(AND(_A3="A-319",'2025'!$F$4="FO",'2025'!$F$2=AY81),'2025DATA'!$H$32,"")</f>
        <v/>
      </c>
      <c r="AZ111" s="518" t="str">
        <f>IF(AND(_A3="A-319",'2025'!$F$4="FO",'2025'!$F$2=AZ81),'2025DATA'!$I$32,"")</f>
        <v/>
      </c>
      <c r="BA111" s="518" t="str">
        <f>IF(AND(_A3="A-319",'2025'!$F$4="FO",'2025'!$F$2=BA81),'2025DATA'!$J$32,"")</f>
        <v/>
      </c>
      <c r="BB111" s="518" t="str">
        <f>IF(AND(_A3="A-319",'2025'!$F$4="FO",'2025'!$F$2=BB81),'2025DATA'!$K$32,"")</f>
        <v/>
      </c>
      <c r="BC111" s="518" t="str">
        <f>IF(AND(_A3="A-319",'2025'!$F$4="FO",'2025'!$F$2=BC81),'2025DATA'!$L$32,"")</f>
        <v/>
      </c>
      <c r="BD111" s="518" t="str">
        <f>IF(AND(_A3="A-319",'2025'!$F$4="FO",'2025'!$F$2=BD81),'2025DATA'!$M$32,"")</f>
        <v/>
      </c>
      <c r="BE111" s="520" t="str">
        <f>IF(AND(_A3="A-319",'2025'!$F$4="FO",'2025'!$F$2=BE81),'2025DATA'!$N$32,"")</f>
        <v/>
      </c>
      <c r="BF111" s="940"/>
      <c r="BG111" s="13" t="s">
        <v>62</v>
      </c>
      <c r="BH111" s="518" t="str">
        <f>IF(AND(_A4="A-319",'2025'!$F$4="FO",'2025'!$F$2=BH81),'2025DATA'!$C$32,"")</f>
        <v/>
      </c>
      <c r="BI111" s="518" t="str">
        <f>IF(AND(_A4="A-319",'2025'!$F$4="FO",'2025'!$F$2=BI81),'2025DATA'!$D$32,"")</f>
        <v/>
      </c>
      <c r="BJ111" s="518" t="str">
        <f>IF(AND(_A4="A-319",'2025'!$F$4="FO",'2025'!$F$2=BJ81),'2025DATA'!$E$32,"")</f>
        <v/>
      </c>
      <c r="BK111" s="518" t="str">
        <f>IF(AND(_A4="A-319",'2025'!$F$4="FO",'2025'!$F$2=BK81),'2025DATA'!$F$32,"")</f>
        <v/>
      </c>
      <c r="BL111" s="518" t="str">
        <f>IF(AND(_A4="A-319",'2025'!$F$4="FO",'2025'!$F$2=BL81),'2025DATA'!$G$32,"")</f>
        <v/>
      </c>
      <c r="BM111" s="518" t="str">
        <f>IF(AND(_A4="A-319",'2025'!$F$4="FO",'2025'!$F$2=BM81),'2025DATA'!$H$32,"")</f>
        <v/>
      </c>
      <c r="BN111" s="518" t="str">
        <f>IF(AND(_A4="A-319",'2025'!$F$4="FO",'2025'!$F$2=BN81),'2025DATA'!$I$32,"")</f>
        <v/>
      </c>
      <c r="BO111" s="518" t="str">
        <f>IF(AND(_A4="A-319",'2025'!$F$4="FO",'2025'!$F$2=BO81),'2025DATA'!$J$32,"")</f>
        <v/>
      </c>
      <c r="BP111" s="518" t="str">
        <f>IF(AND(_A4="A-319",'2025'!$F$4="FO",'2025'!$F$2=BP81),'2025DATA'!$K$32,"")</f>
        <v/>
      </c>
      <c r="BQ111" s="518" t="str">
        <f>IF(AND(_A4="A-319",'2025'!$F$4="FO",'2025'!$F$2=BQ81),'2025DATA'!$L$32,"")</f>
        <v/>
      </c>
      <c r="BR111" s="518" t="str">
        <f>IF(AND(_A4="A-319",'2025'!$F$4="FO",'2025'!$F$2=BR81),'2025DATA'!$M$32,"")</f>
        <v/>
      </c>
      <c r="BS111" s="520" t="str">
        <f>IF(AND(_A4="A-319",'2025'!$F$4="FO",'2025'!$F$2=BS81),'2025DATA'!$N$32,"")</f>
        <v/>
      </c>
      <c r="BT111" s="940"/>
      <c r="BU111" s="13" t="s">
        <v>62</v>
      </c>
      <c r="BV111" s="518" t="str">
        <f>IF(AND(_A5="A-319",'2025'!$F$4="FO",'2025'!$F$2=BV81),'2025DATA'!$C$32,"")</f>
        <v/>
      </c>
      <c r="BW111" s="518" t="str">
        <f>IF(AND(_A5="A-319",'2025'!$F$4="FO",'2025'!$F$2=BW81),'2025DATA'!$D$32,"")</f>
        <v/>
      </c>
      <c r="BX111" s="518" t="str">
        <f>IF(AND(_A5="A-319",'2025'!$F$4="FO",'2025'!$F$2=BX81),'2025DATA'!$E$32,"")</f>
        <v/>
      </c>
      <c r="BY111" s="518" t="str">
        <f>IF(AND(_A5="A-319",'2025'!$F$4="FO",'2025'!$F$2=BY81),'2025DATA'!$F$32,"")</f>
        <v/>
      </c>
      <c r="BZ111" s="518" t="str">
        <f>IF(AND(_A5="A-319",'2025'!$F$4="FO",'2025'!$F$2=BZ81),'2025DATA'!$G$32,"")</f>
        <v/>
      </c>
      <c r="CA111" s="518" t="str">
        <f>IF(AND(_A5="A-319",'2025'!$F$4="FO",'2025'!$F$2=CA81),'2025DATA'!$H$32,"")</f>
        <v/>
      </c>
      <c r="CB111" s="518" t="str">
        <f>IF(AND(_A5="A-319",'2025'!$F$4="FO",'2025'!$F$2=CB81),'2025DATA'!$I$32,"")</f>
        <v/>
      </c>
      <c r="CC111" s="518" t="str">
        <f>IF(AND(_A5="A-319",'2025'!$F$4="FO",'2025'!$F$2=CC81),'2025DATA'!$J$32,"")</f>
        <v/>
      </c>
      <c r="CD111" s="518" t="str">
        <f>IF(AND(_A5="A-319",'2025'!$F$4="FO",'2025'!$F$2=CD81),'2025DATA'!$K$32,"")</f>
        <v/>
      </c>
      <c r="CE111" s="518" t="str">
        <f>IF(AND(_A5="A-319",'2025'!$F$4="FO",'2025'!$F$2=CE81),'2025DATA'!$L$32,"")</f>
        <v/>
      </c>
      <c r="CF111" s="518" t="str">
        <f>IF(AND(_A5="A-319",'2025'!$F$4="FO",'2025'!$F$2=CF81),'2025DATA'!$M$32,"")</f>
        <v/>
      </c>
      <c r="CG111" s="520" t="str">
        <f>IF(AND(_A5="A-319",'2025'!$F$4="FO",'2025'!$F$2=CG81),'2025DATA'!$N$32,"")</f>
        <v/>
      </c>
      <c r="CH111" s="940"/>
      <c r="CI111" s="13" t="s">
        <v>62</v>
      </c>
      <c r="CJ111" s="518" t="str">
        <f>IF(AND(_A6="A-319",'2025'!$F$4="FO",'2025'!$F$2=CJ81),'2025DATA'!$C$32,"")</f>
        <v/>
      </c>
      <c r="CK111" s="518" t="str">
        <f>IF(AND(_A6="A-319",'2025'!$F$4="FO",'2025'!$F$2=CK81),'2025DATA'!$D$32,"")</f>
        <v/>
      </c>
      <c r="CL111" s="518" t="str">
        <f>IF(AND(_A6="A-319",'2025'!$F$4="FO",'2025'!$F$2=CL81),'2025DATA'!$E$32,"")</f>
        <v/>
      </c>
      <c r="CM111" s="518" t="str">
        <f>IF(AND(_A6="A-319",'2025'!$F$4="FO",'2025'!$F$2=CM81),'2025DATA'!$F$32,"")</f>
        <v/>
      </c>
      <c r="CN111" s="518" t="str">
        <f>IF(AND(_A6="A-319",'2025'!$F$4="FO",'2025'!$F$2=CN81),'2025DATA'!$G$32,"")</f>
        <v/>
      </c>
      <c r="CO111" s="518" t="str">
        <f>IF(AND(_A6="A-319",'2025'!$F$4="FO",'2025'!$F$2=CO81),'2025DATA'!$H$32,"")</f>
        <v/>
      </c>
      <c r="CP111" s="518" t="str">
        <f>IF(AND(_A6="A-319",'2025'!$F$4="FO",'2025'!$F$2=CP81),'2025DATA'!$I$32,"")</f>
        <v/>
      </c>
      <c r="CQ111" s="518" t="str">
        <f>IF(AND(_A6="A-319",'2025'!$F$4="FO",'2025'!$F$2=CQ81),'2025DATA'!$J$32,"")</f>
        <v/>
      </c>
      <c r="CR111" s="518" t="str">
        <f>IF(AND(_A6="A-319",'2025'!$F$4="FO",'2025'!$F$2=CR81),'2025DATA'!$K$32,"")</f>
        <v/>
      </c>
      <c r="CS111" s="518" t="str">
        <f>IF(AND(_A6="A-319",'2025'!$F$4="FO",'2025'!$F$2=CS81),'2025DATA'!$L$32,"")</f>
        <v/>
      </c>
      <c r="CT111" s="518" t="str">
        <f>IF(AND(_A6="A-319",'2025'!$F$4="FO",'2025'!$F$2=CT81),'2025DATA'!$M$32,"")</f>
        <v/>
      </c>
      <c r="CU111" s="520" t="str">
        <f>IF(AND(_A6="A-319",'2025'!$F$4="FO",'2025'!$F$2=CU81),'2025DATA'!$N$32,"")</f>
        <v/>
      </c>
    </row>
    <row r="112" spans="16:99" x14ac:dyDescent="0.25">
      <c r="P112" s="940" t="s">
        <v>51</v>
      </c>
      <c r="Q112" s="13" t="s">
        <v>61</v>
      </c>
      <c r="R112" s="518" t="str">
        <f>IF(AND(_A1="A-220-300",'2025'!$F$4="CA",'2025'!$F$2=R81),'2025DATA'!$C$33,"")</f>
        <v/>
      </c>
      <c r="S112" s="518" t="str">
        <f>IF(AND(_A1="A-220-300",'2025'!$F$4="CA",'2025'!$F$2=S81),'2025DATA'!$D$33,"")</f>
        <v/>
      </c>
      <c r="T112" s="518" t="str">
        <f>IF(AND(_A1="A-220-300",'2025'!$F$4="CA",'2025'!$F$2=T81),'2025DATA'!$E$33,"")</f>
        <v/>
      </c>
      <c r="U112" s="518" t="str">
        <f>IF(AND(_A1="A-220-300",'2025'!$F$4="CA",'2025'!$F$2=U81),'2025DATA'!$F$33,"")</f>
        <v/>
      </c>
      <c r="V112" s="518" t="str">
        <f>IF(AND(_A1="A-220-300",'2025'!$F$4="CA",'2025'!$F$2=V81),'2025DATA'!$G$33,"")</f>
        <v/>
      </c>
      <c r="W112" s="518" t="str">
        <f>IF(AND(_A1="A-220-300",'2025'!$F$4="CA",'2025'!$F$2=W81),'2025DATA'!$H$33,"")</f>
        <v/>
      </c>
      <c r="X112" s="518" t="str">
        <f>IF(AND(_A1="A-220-300",'2025'!$F$4="CA",'2025'!$F$2=X81),'2025DATA'!$I$33,"")</f>
        <v/>
      </c>
      <c r="Y112" s="518" t="str">
        <f>IF(AND(_A1="A-220-300",'2025'!$F$4="CA",'2025'!$F$2=Y81),'2025DATA'!$J$33,"")</f>
        <v/>
      </c>
      <c r="Z112" s="518" t="str">
        <f>IF(AND(_A1="A-220-300",'2025'!$F$4="CA",'2025'!$F$2=Z81),'2025DATA'!$K$33,"")</f>
        <v/>
      </c>
      <c r="AA112" s="518" t="str">
        <f>IF(AND(_A1="A-220-300",'2025'!$F$4="CA",'2025'!$F$2=AA81),'2025DATA'!$L$33,"")</f>
        <v/>
      </c>
      <c r="AB112" s="518" t="str">
        <f>IF(AND(_A1="A-220-300",'2025'!$F$4="CA",'2025'!$F$2=AB81),'2025DATA'!$M$33,"")</f>
        <v/>
      </c>
      <c r="AC112" s="520" t="str">
        <f>IF(AND(_A1="A-220-300",'2025'!$F$4="CA",'2025'!$F$2=AC81),'2025DATA'!$N$33,"")</f>
        <v/>
      </c>
      <c r="AD112" s="940" t="s">
        <v>51</v>
      </c>
      <c r="AE112" s="13" t="s">
        <v>61</v>
      </c>
      <c r="AF112" s="518" t="str">
        <f>IF(AND(_A2="A-220-300",'2025'!$F$4="CA",'2025'!$F$2=AF81),'2025DATA'!$C$33,"")</f>
        <v/>
      </c>
      <c r="AG112" s="518" t="str">
        <f>IF(AND(_A2="A-220-300",'2025'!$F$4="CA",'2025'!$F$2=AG81),'2025DATA'!$D$33,"")</f>
        <v/>
      </c>
      <c r="AH112" s="518" t="str">
        <f>IF(AND(_A2="A-220-300",'2025'!$F$4="CA",'2025'!$F$2=AH81),'2025DATA'!$E$33,"")</f>
        <v/>
      </c>
      <c r="AI112" s="518" t="str">
        <f>IF(AND(_A2="A-220-300",'2025'!$F$4="CA",'2025'!$F$2=AI81),'2025DATA'!$F$33,"")</f>
        <v/>
      </c>
      <c r="AJ112" s="518" t="str">
        <f>IF(AND(_A2="A-220-300",'2025'!$F$4="CA",'2025'!$F$2=AJ81),'2025DATA'!$G$33,"")</f>
        <v/>
      </c>
      <c r="AK112" s="518" t="str">
        <f>IF(AND(_A2="A-220-300",'2025'!$F$4="CA",'2025'!$F$2=AK81),'2025DATA'!$H$33,"")</f>
        <v/>
      </c>
      <c r="AL112" s="518" t="str">
        <f>IF(AND(_A2="A-220-300",'2025'!$F$4="CA",'2025'!$F$2=AL81),'2025DATA'!$I$33,"")</f>
        <v/>
      </c>
      <c r="AM112" s="518" t="str">
        <f>IF(AND(_A2="A-220-300",'2025'!$F$4="CA",'2025'!$F$2=AM81),'2025DATA'!$J$33,"")</f>
        <v/>
      </c>
      <c r="AN112" s="518" t="str">
        <f>IF(AND(_A2="A-220-300",'2025'!$F$4="CA",'2025'!$F$2=AN81),'2025DATA'!$K$33,"")</f>
        <v/>
      </c>
      <c r="AO112" s="518" t="str">
        <f>IF(AND(_A2="A-220-300",'2025'!$F$4="CA",'2025'!$F$2=AO81),'2025DATA'!$L$33,"")</f>
        <v/>
      </c>
      <c r="AP112" s="518" t="str">
        <f>IF(AND(_A2="A-220-300",'2025'!$F$4="CA",'2025'!$F$2=AP81),'2025DATA'!$M$33,"")</f>
        <v/>
      </c>
      <c r="AQ112" s="520" t="str">
        <f>IF(AND(_A2="A-220-300",'2025'!$F$4="CA",'2025'!$F$2=AQ81),'2025DATA'!$N$33,"")</f>
        <v/>
      </c>
      <c r="AR112" s="940" t="s">
        <v>51</v>
      </c>
      <c r="AS112" s="13" t="s">
        <v>61</v>
      </c>
      <c r="AT112" s="518" t="str">
        <f>IF(AND(_A3="A-220-300",'2025'!$F$4="CA",'2025'!$F$2=AT81),'2025DATA'!$C$33,"")</f>
        <v/>
      </c>
      <c r="AU112" s="518" t="str">
        <f>IF(AND(_A3="A-220-300",'2025'!$F$4="CA",'2025'!$F$2=AU81),'2025DATA'!$D$33,"")</f>
        <v/>
      </c>
      <c r="AV112" s="518" t="str">
        <f>IF(AND(_A3="A-220-300",'2025'!$F$4="CA",'2025'!$F$2=AV81),'2025DATA'!$E$33,"")</f>
        <v/>
      </c>
      <c r="AW112" s="518" t="str">
        <f>IF(AND(_A3="A-220-300",'2025'!$F$4="CA",'2025'!$F$2=AW81),'2025DATA'!$F$33,"")</f>
        <v/>
      </c>
      <c r="AX112" s="518" t="str">
        <f>IF(AND(_A3="A-220-300",'2025'!$F$4="CA",'2025'!$F$2=AX81),'2025DATA'!$G$33,"")</f>
        <v/>
      </c>
      <c r="AY112" s="518" t="str">
        <f>IF(AND(_A3="A-220-300",'2025'!$F$4="CA",'2025'!$F$2=AY81),'2025DATA'!$H$33,"")</f>
        <v/>
      </c>
      <c r="AZ112" s="518" t="str">
        <f>IF(AND(_A3="A-220-300",'2025'!$F$4="CA",'2025'!$F$2=AZ81),'2025DATA'!$I$33,"")</f>
        <v/>
      </c>
      <c r="BA112" s="518" t="str">
        <f>IF(AND(_A3="A-220-300",'2025'!$F$4="CA",'2025'!$F$2=BA81),'2025DATA'!$J$33,"")</f>
        <v/>
      </c>
      <c r="BB112" s="518" t="str">
        <f>IF(AND(_A3="A-220-300",'2025'!$F$4="CA",'2025'!$F$2=BB81),'2025DATA'!$K$33,"")</f>
        <v/>
      </c>
      <c r="BC112" s="518" t="str">
        <f>IF(AND(_A3="A-220-300",'2025'!$F$4="CA",'2025'!$F$2=BC81),'2025DATA'!$L$33,"")</f>
        <v/>
      </c>
      <c r="BD112" s="518" t="str">
        <f>IF(AND(_A3="A-220-300",'2025'!$F$4="CA",'2025'!$F$2=BD81),'2025DATA'!$M$33,"")</f>
        <v/>
      </c>
      <c r="BE112" s="520" t="str">
        <f>IF(AND(_A3="A-220-300",'2025'!$F$4="CA",'2025'!$F$2=BE81),'2025DATA'!$N$33,"")</f>
        <v/>
      </c>
      <c r="BF112" s="940" t="s">
        <v>51</v>
      </c>
      <c r="BG112" s="13" t="s">
        <v>61</v>
      </c>
      <c r="BH112" s="518" t="str">
        <f>IF(AND(_A4="A-220-300",'2025'!$F$4="CA",'2025'!$F$2=BH81),'2025DATA'!$C$33,"")</f>
        <v/>
      </c>
      <c r="BI112" s="518" t="str">
        <f>IF(AND(_A4="A-220-300",'2025'!$F$4="CA",'2025'!$F$2=BI81),'2025DATA'!$D$33,"")</f>
        <v/>
      </c>
      <c r="BJ112" s="518" t="str">
        <f>IF(AND(_A4="A-220-300",'2025'!$F$4="CA",'2025'!$F$2=BJ81),'2025DATA'!$E$33,"")</f>
        <v/>
      </c>
      <c r="BK112" s="518" t="str">
        <f>IF(AND(_A4="A-220-300",'2025'!$F$4="CA",'2025'!$F$2=BK81),'2025DATA'!$F$33,"")</f>
        <v/>
      </c>
      <c r="BL112" s="518" t="str">
        <f>IF(AND(_A4="A-220-300",'2025'!$F$4="CA",'2025'!$F$2=BL81),'2025DATA'!$G$33,"")</f>
        <v/>
      </c>
      <c r="BM112" s="518" t="str">
        <f>IF(AND(_A4="A-220-300",'2025'!$F$4="CA",'2025'!$F$2=BM81),'2025DATA'!$H$33,"")</f>
        <v/>
      </c>
      <c r="BN112" s="518" t="str">
        <f>IF(AND(_A4="A-220-300",'2025'!$F$4="CA",'2025'!$F$2=BN81),'2025DATA'!$I$33,"")</f>
        <v/>
      </c>
      <c r="BO112" s="518" t="str">
        <f>IF(AND(_A4="A-220-300",'2025'!$F$4="CA",'2025'!$F$2=BO81),'2025DATA'!$J$33,"")</f>
        <v/>
      </c>
      <c r="BP112" s="518" t="str">
        <f>IF(AND(_A4="A-220-300",'2025'!$F$4="CA",'2025'!$F$2=BP81),'2025DATA'!$K$33,"")</f>
        <v/>
      </c>
      <c r="BQ112" s="518" t="str">
        <f>IF(AND(_A4="A-220-300",'2025'!$F$4="CA",'2025'!$F$2=BQ81),'2025DATA'!$L$33,"")</f>
        <v/>
      </c>
      <c r="BR112" s="518" t="str">
        <f>IF(AND(_A4="A-220-300",'2025'!$F$4="CA",'2025'!$F$2=BR81),'2025DATA'!$M$33,"")</f>
        <v/>
      </c>
      <c r="BS112" s="520" t="str">
        <f>IF(AND(_A4="A-220-300",'2025'!$F$4="CA",'2025'!$F$2=BS81),'2025DATA'!$N$33,"")</f>
        <v/>
      </c>
      <c r="BT112" s="940" t="s">
        <v>51</v>
      </c>
      <c r="BU112" s="13" t="s">
        <v>61</v>
      </c>
      <c r="BV112" s="518" t="str">
        <f>IF(AND(_A5="A-220-300",'2025'!$F$4="CA",'2025'!$F$2=BV81),'2025DATA'!$C$33,"")</f>
        <v/>
      </c>
      <c r="BW112" s="518" t="str">
        <f>IF(AND(_A5="A-220-300",'2025'!$F$4="CA",'2025'!$F$2=BW81),'2025DATA'!$D$33,"")</f>
        <v/>
      </c>
      <c r="BX112" s="518" t="str">
        <f>IF(AND(_A5="A-220-300",'2025'!$F$4="CA",'2025'!$F$2=BX81),'2025DATA'!$E$33,"")</f>
        <v/>
      </c>
      <c r="BY112" s="518" t="str">
        <f>IF(AND(_A5="A-220-300",'2025'!$F$4="CA",'2025'!$F$2=BY81),'2025DATA'!$F$33,"")</f>
        <v/>
      </c>
      <c r="BZ112" s="518" t="str">
        <f>IF(AND(_A5="A-220-300",'2025'!$F$4="CA",'2025'!$F$2=BZ81),'2025DATA'!$G$33,"")</f>
        <v/>
      </c>
      <c r="CA112" s="518" t="str">
        <f>IF(AND(_A5="A-220-300",'2025'!$F$4="CA",'2025'!$F$2=CA81),'2025DATA'!$H$33,"")</f>
        <v/>
      </c>
      <c r="CB112" s="518" t="str">
        <f>IF(AND(_A5="A-220-300",'2025'!$F$4="CA",'2025'!$F$2=CB81),'2025DATA'!$I$33,"")</f>
        <v/>
      </c>
      <c r="CC112" s="518" t="str">
        <f>IF(AND(_A5="A-220-300",'2025'!$F$4="CA",'2025'!$F$2=CC81),'2025DATA'!$J$33,"")</f>
        <v/>
      </c>
      <c r="CD112" s="518" t="str">
        <f>IF(AND(_A5="A-220-300",'2025'!$F$4="CA",'2025'!$F$2=CD81),'2025DATA'!$K$33,"")</f>
        <v/>
      </c>
      <c r="CE112" s="518" t="str">
        <f>IF(AND(_A5="A-220-300",'2025'!$F$4="CA",'2025'!$F$2=CE81),'2025DATA'!$L$33,"")</f>
        <v/>
      </c>
      <c r="CF112" s="518" t="str">
        <f>IF(AND(_A5="A-220-300",'2025'!$F$4="CA",'2025'!$F$2=CF81),'2025DATA'!$M$33,"")</f>
        <v/>
      </c>
      <c r="CG112" s="520" t="str">
        <f>IF(AND(_A5="A-220-300",'2025'!$F$4="CA",'2025'!$F$2=CG81),'2025DATA'!$N$33,"")</f>
        <v/>
      </c>
      <c r="CH112" s="940" t="s">
        <v>51</v>
      </c>
      <c r="CI112" s="13" t="s">
        <v>61</v>
      </c>
      <c r="CJ112" s="518" t="str">
        <f>IF(AND(_A6="A-220-300",'2025'!$F$4="CA",'2025'!$F$2=CJ81),'2025DATA'!$C$33,"")</f>
        <v/>
      </c>
      <c r="CK112" s="518" t="str">
        <f>IF(AND(_A6="A-220-300",'2025'!$F$4="CA",'2025'!$F$2=CK81),'2025DATA'!$D$33,"")</f>
        <v/>
      </c>
      <c r="CL112" s="518" t="str">
        <f>IF(AND(_A6="A-220-300",'2025'!$F$4="CA",'2025'!$F$2=CL81),'2025DATA'!$E$33,"")</f>
        <v/>
      </c>
      <c r="CM112" s="518" t="str">
        <f>IF(AND(_A6="A-220-300",'2025'!$F$4="CA",'2025'!$F$2=CM81),'2025DATA'!$F$33,"")</f>
        <v/>
      </c>
      <c r="CN112" s="518" t="str">
        <f>IF(AND(_A6="A-220-300",'2025'!$F$4="CA",'2025'!$F$2=CN81),'2025DATA'!$G$33,"")</f>
        <v/>
      </c>
      <c r="CO112" s="518" t="str">
        <f>IF(AND(_A6="A-220-300",'2025'!$F$4="CA",'2025'!$F$2=CO81),'2025DATA'!$H$33,"")</f>
        <v/>
      </c>
      <c r="CP112" s="518" t="str">
        <f>IF(AND(_A6="A-220-300",'2025'!$F$4="CA",'2025'!$F$2=CP81),'2025DATA'!$I$33,"")</f>
        <v/>
      </c>
      <c r="CQ112" s="518" t="str">
        <f>IF(AND(_A6="A-220-300",'2025'!$F$4="CA",'2025'!$F$2=CQ81),'2025DATA'!$J$33,"")</f>
        <v/>
      </c>
      <c r="CR112" s="518" t="str">
        <f>IF(AND(_A6="A-220-300",'2025'!$F$4="CA",'2025'!$F$2=CR81),'2025DATA'!$K$33,"")</f>
        <v/>
      </c>
      <c r="CS112" s="518" t="str">
        <f>IF(AND(_A6="A-220-300",'2025'!$F$4="CA",'2025'!$F$2=CS81),'2025DATA'!$L$33,"")</f>
        <v/>
      </c>
      <c r="CT112" s="518" t="str">
        <f>IF(AND(_A6="A-220-300",'2025'!$F$4="CA",'2025'!$F$2=CT81),'2025DATA'!$M$33,"")</f>
        <v/>
      </c>
      <c r="CU112" s="520" t="str">
        <f>IF(AND(_A6="A-220-300",'2025'!$F$4="CA",'2025'!$F$2=CU81),'2025DATA'!$N$33,"")</f>
        <v/>
      </c>
    </row>
    <row r="113" spans="16:99" x14ac:dyDescent="0.25">
      <c r="P113" s="940"/>
      <c r="Q113" s="13" t="s">
        <v>62</v>
      </c>
      <c r="R113" s="518" t="str">
        <f>IF(AND(_A1="A-220-300",'2025'!$F$4="FO",'2025'!$F$2=R81),'2025DATA'!$C$34,"")</f>
        <v/>
      </c>
      <c r="S113" s="518" t="str">
        <f>IF(AND(_A1="A-220-300",'2025'!$F$4="FO",'2025'!$F$2=S81),'2025DATA'!$D$34,"")</f>
        <v/>
      </c>
      <c r="T113" s="518" t="str">
        <f>IF(AND(_A1="A-220-300",'2025'!$F$4="FO",'2025'!$F$2=T81),'2025DATA'!$E$34,"")</f>
        <v/>
      </c>
      <c r="U113" s="518" t="str">
        <f>IF(AND(_A1="A-220-300",'2025'!$F$4="FO",'2025'!$F$2=U81),'2025DATA'!$F$34,"")</f>
        <v/>
      </c>
      <c r="V113" s="518" t="str">
        <f>IF(AND(_A1="A-220-300",'2025'!$F$4="FO",'2025'!$F$2=V81),'2025DATA'!$G$34,"")</f>
        <v/>
      </c>
      <c r="W113" s="518" t="str">
        <f>IF(AND(_A1="A-220-300",'2025'!$F$4="FO",'2025'!$F$2=W81),'2025DATA'!$H$34,"")</f>
        <v/>
      </c>
      <c r="X113" s="518" t="str">
        <f>IF(AND(_A1="A-220-300",'2025'!$F$4="FO",'2025'!$F$2=X81),'2025DATA'!$I$34,"")</f>
        <v/>
      </c>
      <c r="Y113" s="518" t="str">
        <f>IF(AND(_A1="A-220-300",'2025'!$F$4="FO",'2025'!$F$2=Y81),'2025DATA'!$J$34,"")</f>
        <v/>
      </c>
      <c r="Z113" s="518" t="str">
        <f>IF(AND(_A1="A-220-300",'2025'!$F$4="FO",'2025'!$F$2=Z81),'2025DATA'!$K$34,"")</f>
        <v/>
      </c>
      <c r="AA113" s="518" t="str">
        <f>IF(AND(_A1="A-220-300",'2025'!$F$4="FO",'2025'!$F$2=AA81),'2025DATA'!$L$34,"")</f>
        <v/>
      </c>
      <c r="AB113" s="518" t="str">
        <f>IF(AND(_A1="A-220-300",'2025'!$F$4="FO",'2025'!$F$2=AB81),'2025DATA'!$M$34,"")</f>
        <v/>
      </c>
      <c r="AC113" s="520" t="str">
        <f>IF(AND(_A1="A-220-300",'2025'!$F$4="FO",'2025'!$F$2=AC81),'2025DATA'!$N$34,"")</f>
        <v/>
      </c>
      <c r="AD113" s="940"/>
      <c r="AE113" s="13" t="s">
        <v>62</v>
      </c>
      <c r="AF113" s="518" t="str">
        <f>IF(AND(_A2="A-220-300",'2025'!$F$4="FO",'2025'!$F$2=AF81),'2025DATA'!$C$34,"")</f>
        <v/>
      </c>
      <c r="AG113" s="518" t="str">
        <f>IF(AND(_A2="A-220-300",'2025'!$F$4="FO",'2025'!$F$2=AG81),'2025DATA'!$D$34,"")</f>
        <v/>
      </c>
      <c r="AH113" s="518" t="str">
        <f>IF(AND(_A2="A-220-300",'2025'!$F$4="FO",'2025'!$F$2=AH81),'2025DATA'!$E$34,"")</f>
        <v/>
      </c>
      <c r="AI113" s="518" t="str">
        <f>IF(AND(_A2="A-220-300",'2025'!$F$4="FO",'2025'!$F$2=AI81),'2025DATA'!$F$34,"")</f>
        <v/>
      </c>
      <c r="AJ113" s="518" t="str">
        <f>IF(AND(_A2="A-220-300",'2025'!$F$4="FO",'2025'!$F$2=AJ81),'2025DATA'!$G$34,"")</f>
        <v/>
      </c>
      <c r="AK113" s="518" t="str">
        <f>IF(AND(_A2="A-220-300",'2025'!$F$4="FO",'2025'!$F$2=AK81),'2025DATA'!$H$34,"")</f>
        <v/>
      </c>
      <c r="AL113" s="518" t="str">
        <f>IF(AND(_A2="A-220-300",'2025'!$F$4="FO",'2025'!$F$2=AL81),'2025DATA'!$I$34,"")</f>
        <v/>
      </c>
      <c r="AM113" s="518" t="str">
        <f>IF(AND(_A2="A-220-300",'2025'!$F$4="FO",'2025'!$F$2=AM81),'2025DATA'!$J$34,"")</f>
        <v/>
      </c>
      <c r="AN113" s="518" t="str">
        <f>IF(AND(_A2="A-220-300",'2025'!$F$4="FO",'2025'!$F$2=AN81),'2025DATA'!$K$34,"")</f>
        <v/>
      </c>
      <c r="AO113" s="518" t="str">
        <f>IF(AND(_A2="A-220-300",'2025'!$F$4="FO",'2025'!$F$2=AO81),'2025DATA'!$L$34,"")</f>
        <v/>
      </c>
      <c r="AP113" s="518" t="str">
        <f>IF(AND(_A2="A-220-300",'2025'!$F$4="FO",'2025'!$F$2=AP81),'2025DATA'!$M$34,"")</f>
        <v/>
      </c>
      <c r="AQ113" s="520" t="str">
        <f>IF(AND(_A2="A-220-300",'2025'!$F$4="FO",'2025'!$F$2=AQ81),'2025DATA'!$N$34,"")</f>
        <v/>
      </c>
      <c r="AR113" s="940"/>
      <c r="AS113" s="13" t="s">
        <v>62</v>
      </c>
      <c r="AT113" s="518" t="str">
        <f>IF(AND(_A3="A-220-300",'2025'!$F$4="FO",'2025'!$F$2=AT81),'2025DATA'!$C$34,"")</f>
        <v/>
      </c>
      <c r="AU113" s="518" t="str">
        <f>IF(AND(_A3="A-220-300",'2025'!$F$4="FO",'2025'!$F$2=AU81),'2025DATA'!$D$34,"")</f>
        <v/>
      </c>
      <c r="AV113" s="518" t="str">
        <f>IF(AND(_A3="A-220-300",'2025'!$F$4="FO",'2025'!$F$2=AV81),'2025DATA'!$E$34,"")</f>
        <v/>
      </c>
      <c r="AW113" s="518" t="str">
        <f>IF(AND(_A3="A-220-300",'2025'!$F$4="FO",'2025'!$F$2=AW81),'2025DATA'!$F$34,"")</f>
        <v/>
      </c>
      <c r="AX113" s="518" t="str">
        <f>IF(AND(_A3="A-220-300",'2025'!$F$4="FO",'2025'!$F$2=AX81),'2025DATA'!$G$34,"")</f>
        <v/>
      </c>
      <c r="AY113" s="518" t="str">
        <f>IF(AND(_A3="A-220-300",'2025'!$F$4="FO",'2025'!$F$2=AY81),'2025DATA'!$H$34,"")</f>
        <v/>
      </c>
      <c r="AZ113" s="518" t="str">
        <f>IF(AND(_A3="A-220-300",'2025'!$F$4="FO",'2025'!$F$2=AZ81),'2025DATA'!$I$34,"")</f>
        <v/>
      </c>
      <c r="BA113" s="518" t="str">
        <f>IF(AND(_A3="A-220-300",'2025'!$F$4="FO",'2025'!$F$2=BA81),'2025DATA'!$J$34,"")</f>
        <v/>
      </c>
      <c r="BB113" s="518" t="str">
        <f>IF(AND(_A3="A-220-300",'2025'!$F$4="FO",'2025'!$F$2=BB81),'2025DATA'!$K$34,"")</f>
        <v/>
      </c>
      <c r="BC113" s="518" t="str">
        <f>IF(AND(_A3="A-220-300",'2025'!$F$4="FO",'2025'!$F$2=BC81),'2025DATA'!$L$34,"")</f>
        <v/>
      </c>
      <c r="BD113" s="518" t="str">
        <f>IF(AND(_A3="A-220-300",'2025'!$F$4="FO",'2025'!$F$2=BD81),'2025DATA'!$M$34,"")</f>
        <v/>
      </c>
      <c r="BE113" s="520" t="str">
        <f>IF(AND(_A3="A-220-300",'2025'!$F$4="FO",'2025'!$F$2=BE81),'2025DATA'!$N$34,"")</f>
        <v/>
      </c>
      <c r="BF113" s="940"/>
      <c r="BG113" s="13" t="s">
        <v>62</v>
      </c>
      <c r="BH113" s="518" t="str">
        <f>IF(AND(_A4="A-220-300",'2025'!$F$4="FO",'2025'!$F$2=BH81),'2025DATA'!$C$34,"")</f>
        <v/>
      </c>
      <c r="BI113" s="518" t="str">
        <f>IF(AND(_A4="A-220-300",'2025'!$F$4="FO",'2025'!$F$2=BI81),'2025DATA'!$D$34,"")</f>
        <v/>
      </c>
      <c r="BJ113" s="518" t="str">
        <f>IF(AND(_A4="A-220-300",'2025'!$F$4="FO",'2025'!$F$2=BJ81),'2025DATA'!$E$34,"")</f>
        <v/>
      </c>
      <c r="BK113" s="518" t="str">
        <f>IF(AND(_A4="A-220-300",'2025'!$F$4="FO",'2025'!$F$2=BK81),'2025DATA'!$F$34,"")</f>
        <v/>
      </c>
      <c r="BL113" s="518" t="str">
        <f>IF(AND(_A4="A-220-300",'2025'!$F$4="FO",'2025'!$F$2=BL81),'2025DATA'!$G$34,"")</f>
        <v/>
      </c>
      <c r="BM113" s="518" t="str">
        <f>IF(AND(_A4="A-220-300",'2025'!$F$4="FO",'2025'!$F$2=BM81),'2025DATA'!$H$34,"")</f>
        <v/>
      </c>
      <c r="BN113" s="518" t="str">
        <f>IF(AND(_A4="A-220-300",'2025'!$F$4="FO",'2025'!$F$2=BN81),'2025DATA'!$I$34,"")</f>
        <v/>
      </c>
      <c r="BO113" s="518" t="str">
        <f>IF(AND(_A4="A-220-300",'2025'!$F$4="FO",'2025'!$F$2=BO81),'2025DATA'!$J$34,"")</f>
        <v/>
      </c>
      <c r="BP113" s="518" t="str">
        <f>IF(AND(_A4="A-220-300",'2025'!$F$4="FO",'2025'!$F$2=BP81),'2025DATA'!$K$34,"")</f>
        <v/>
      </c>
      <c r="BQ113" s="518" t="str">
        <f>IF(AND(_A4="A-220-300",'2025'!$F$4="FO",'2025'!$F$2=BQ81),'2025DATA'!$L$34,"")</f>
        <v/>
      </c>
      <c r="BR113" s="518" t="str">
        <f>IF(AND(_A4="A-220-300",'2025'!$F$4="FO",'2025'!$F$2=BR81),'2025DATA'!$M$34,"")</f>
        <v/>
      </c>
      <c r="BS113" s="520" t="str">
        <f>IF(AND(_A4="A-220-300",'2025'!$F$4="FO",'2025'!$F$2=BS81),'2025DATA'!$N$34,"")</f>
        <v/>
      </c>
      <c r="BT113" s="940"/>
      <c r="BU113" s="13" t="s">
        <v>62</v>
      </c>
      <c r="BV113" s="518" t="str">
        <f>IF(AND(_A5="A-220-300",'2025'!$F$4="FO",'2025'!$F$2=BV81),'2025DATA'!$C$34,"")</f>
        <v/>
      </c>
      <c r="BW113" s="518" t="str">
        <f>IF(AND(_A5="A-220-300",'2025'!$F$4="FO",'2025'!$F$2=BW81),'2025DATA'!$D$34,"")</f>
        <v/>
      </c>
      <c r="BX113" s="518" t="str">
        <f>IF(AND(_A5="A-220-300",'2025'!$F$4="FO",'2025'!$F$2=BX81),'2025DATA'!$E$34,"")</f>
        <v/>
      </c>
      <c r="BY113" s="518" t="str">
        <f>IF(AND(_A5="A-220-300",'2025'!$F$4="FO",'2025'!$F$2=BY81),'2025DATA'!$F$34,"")</f>
        <v/>
      </c>
      <c r="BZ113" s="518" t="str">
        <f>IF(AND(_A5="A-220-300",'2025'!$F$4="FO",'2025'!$F$2=BZ81),'2025DATA'!$G$34,"")</f>
        <v/>
      </c>
      <c r="CA113" s="518" t="str">
        <f>IF(AND(_A5="A-220-300",'2025'!$F$4="FO",'2025'!$F$2=CA81),'2025DATA'!$H$34,"")</f>
        <v/>
      </c>
      <c r="CB113" s="518" t="str">
        <f>IF(AND(_A5="A-220-300",'2025'!$F$4="FO",'2025'!$F$2=CB81),'2025DATA'!$I$34,"")</f>
        <v/>
      </c>
      <c r="CC113" s="518" t="str">
        <f>IF(AND(_A5="A-220-300",'2025'!$F$4="FO",'2025'!$F$2=CC81),'2025DATA'!$J$34,"")</f>
        <v/>
      </c>
      <c r="CD113" s="518" t="str">
        <f>IF(AND(_A5="A-220-300",'2025'!$F$4="FO",'2025'!$F$2=CD81),'2025DATA'!$K$34,"")</f>
        <v/>
      </c>
      <c r="CE113" s="518" t="str">
        <f>IF(AND(_A5="A-220-300",'2025'!$F$4="FO",'2025'!$F$2=CE81),'2025DATA'!$L$34,"")</f>
        <v/>
      </c>
      <c r="CF113" s="518" t="str">
        <f>IF(AND(_A5="A-220-300",'2025'!$F$4="FO",'2025'!$F$2=CF81),'2025DATA'!$M$34,"")</f>
        <v/>
      </c>
      <c r="CG113" s="520" t="str">
        <f>IF(AND(_A5="A-220-300",'2025'!$F$4="FO",'2025'!$F$2=CG81),'2025DATA'!$N$34,"")</f>
        <v/>
      </c>
      <c r="CH113" s="940"/>
      <c r="CI113" s="13" t="s">
        <v>62</v>
      </c>
      <c r="CJ113" s="518" t="str">
        <f>IF(AND(_A6="A-220-300",'2025'!$F$4="FO",'2025'!$F$2=CJ81),'2025DATA'!$C$34,"")</f>
        <v/>
      </c>
      <c r="CK113" s="518" t="str">
        <f>IF(AND(_A6="A-220-300",'2025'!$F$4="FO",'2025'!$F$2=CK81),'2025DATA'!$D$34,"")</f>
        <v/>
      </c>
      <c r="CL113" s="518" t="str">
        <f>IF(AND(_A6="A-220-300",'2025'!$F$4="FO",'2025'!$F$2=CL81),'2025DATA'!$E$34,"")</f>
        <v/>
      </c>
      <c r="CM113" s="518" t="str">
        <f>IF(AND(_A6="A-220-300",'2025'!$F$4="FO",'2025'!$F$2=CM81),'2025DATA'!$F$34,"")</f>
        <v/>
      </c>
      <c r="CN113" s="518" t="str">
        <f>IF(AND(_A6="A-220-300",'2025'!$F$4="FO",'2025'!$F$2=CN81),'2025DATA'!$G$34,"")</f>
        <v/>
      </c>
      <c r="CO113" s="518" t="str">
        <f>IF(AND(_A6="A-220-300",'2025'!$F$4="FO",'2025'!$F$2=CO81),'2025DATA'!$H$34,"")</f>
        <v/>
      </c>
      <c r="CP113" s="518" t="str">
        <f>IF(AND(_A6="A-220-300",'2025'!$F$4="FO",'2025'!$F$2=CP81),'2025DATA'!$I$34,"")</f>
        <v/>
      </c>
      <c r="CQ113" s="518" t="str">
        <f>IF(AND(_A6="A-220-300",'2025'!$F$4="FO",'2025'!$F$2=CQ81),'2025DATA'!$J$34,"")</f>
        <v/>
      </c>
      <c r="CR113" s="518" t="str">
        <f>IF(AND(_A6="A-220-300",'2025'!$F$4="FO",'2025'!$F$2=CR81),'2025DATA'!$K$34,"")</f>
        <v/>
      </c>
      <c r="CS113" s="518" t="str">
        <f>IF(AND(_A6="A-220-300",'2025'!$F$4="FO",'2025'!$F$2=CS81),'2025DATA'!$L$34,"")</f>
        <v/>
      </c>
      <c r="CT113" s="518" t="str">
        <f>IF(AND(_A6="A-220-300",'2025'!$F$4="FO",'2025'!$F$2=CT81),'2025DATA'!$M$34,"")</f>
        <v/>
      </c>
      <c r="CU113" s="520" t="str">
        <f>IF(AND(_A6="A-220-300",'2025'!$F$4="FO",'2025'!$F$2=CU81),'2025DATA'!$N$34,"")</f>
        <v/>
      </c>
    </row>
    <row r="114" spans="16:99" x14ac:dyDescent="0.25">
      <c r="P114" s="940" t="s">
        <v>52</v>
      </c>
      <c r="Q114" s="13" t="s">
        <v>61</v>
      </c>
      <c r="R114" s="518" t="str">
        <f>IF(AND(_A1="A-220-100",'2025'!$F$4="CA",'2025'!$F$2=R81),'2025DATA'!$C$35,"")</f>
        <v/>
      </c>
      <c r="S114" s="518" t="str">
        <f>IF(AND(_A1="A-220-100",'2025'!$F$4="CA",'2025'!$F$2=S81),'2025DATA'!$D$35,"")</f>
        <v/>
      </c>
      <c r="T114" s="518" t="str">
        <f>IF(AND(_A1="A-220-100",'2025'!$F$4="CA",'2025'!$F$2=T81),'2025DATA'!$E$35,"")</f>
        <v/>
      </c>
      <c r="U114" s="518" t="str">
        <f>IF(AND(_A1="A-220-100",'2025'!$F$4="CA",'2025'!$F$2=U81),'2025DATA'!$F$35,"")</f>
        <v/>
      </c>
      <c r="V114" s="518" t="str">
        <f>IF(AND(_A1="A-220-100",'2025'!$F$4="CA",'2025'!$F$2=V81),'2025DATA'!$G$35,"")</f>
        <v/>
      </c>
      <c r="W114" s="518" t="str">
        <f>IF(AND(_A1="A-220-100",'2025'!$F$4="CA",'2025'!$F$2=W81),'2025DATA'!$H$35,"")</f>
        <v/>
      </c>
      <c r="X114" s="518" t="str">
        <f>IF(AND(_A1="A-220-100",'2025'!$F$4="CA",'2025'!$F$2=X81),'2025DATA'!$I$35,"")</f>
        <v/>
      </c>
      <c r="Y114" s="518" t="str">
        <f>IF(AND(_A1="A-220-100",'2025'!$F$4="CA",'2025'!$F$2=Y81),'2025DATA'!$J$35,"")</f>
        <v/>
      </c>
      <c r="Z114" s="518" t="str">
        <f>IF(AND(_A1="A-220-100",'2025'!$F$4="CA",'2025'!$F$2=Z81),'2025DATA'!$K$35,"")</f>
        <v/>
      </c>
      <c r="AA114" s="518" t="str">
        <f>IF(AND(_A1="A-220-100",'2025'!$F$4="CA",'2025'!$F$2=AA81),'2025DATA'!$L$35,"")</f>
        <v/>
      </c>
      <c r="AB114" s="518" t="str">
        <f>IF(AND(_A1="A-220-100",'2025'!$F$4="CA",'2025'!$F$2=AB81),'2025DATA'!$M$35,"")</f>
        <v/>
      </c>
      <c r="AC114" s="520" t="str">
        <f>IF(AND(_A1="A-220-100",'2025'!$F$4="CA",'2025'!$F$2=AC81),'2025DATA'!$N$35,"")</f>
        <v/>
      </c>
      <c r="AD114" s="940" t="s">
        <v>52</v>
      </c>
      <c r="AE114" s="13" t="s">
        <v>61</v>
      </c>
      <c r="AF114" s="518" t="str">
        <f>IF(AND(_A2="A-220-100",'2025'!$F$4="CA",'2025'!$F$2=AF81),'2025DATA'!$C$35,"")</f>
        <v/>
      </c>
      <c r="AG114" s="518" t="str">
        <f>IF(AND(_A2="A-220-100",'2025'!$F$4="CA",'2025'!$F$2=AG81),'2025DATA'!$D$35,"")</f>
        <v/>
      </c>
      <c r="AH114" s="518" t="str">
        <f>IF(AND(_A2="A-220-100",'2025'!$F$4="CA",'2025'!$F$2=AH81),'2025DATA'!$E$35,"")</f>
        <v/>
      </c>
      <c r="AI114" s="518" t="str">
        <f>IF(AND(_A2="A-220-100",'2025'!$F$4="CA",'2025'!$F$2=AI81),'2025DATA'!$F$35,"")</f>
        <v/>
      </c>
      <c r="AJ114" s="518" t="str">
        <f>IF(AND(_A2="A-220-100",'2025'!$F$4="CA",'2025'!$F$2=AJ81),'2025DATA'!$G$35,"")</f>
        <v/>
      </c>
      <c r="AK114" s="518" t="str">
        <f>IF(AND(_A2="A-220-100",'2025'!$F$4="CA",'2025'!$F$2=AK81),'2025DATA'!$H$35,"")</f>
        <v/>
      </c>
      <c r="AL114" s="518" t="str">
        <f>IF(AND(_A2="A-220-100",'2025'!$F$4="CA",'2025'!$F$2=AL81),'2025DATA'!$I$35,"")</f>
        <v/>
      </c>
      <c r="AM114" s="518" t="str">
        <f>IF(AND(_A2="A-220-100",'2025'!$F$4="CA",'2025'!$F$2=AM81),'2025DATA'!$J$35,"")</f>
        <v/>
      </c>
      <c r="AN114" s="518" t="str">
        <f>IF(AND(_A2="A-220-100",'2025'!$F$4="CA",'2025'!$F$2=AN81),'2025DATA'!$K$35,"")</f>
        <v/>
      </c>
      <c r="AO114" s="518" t="str">
        <f>IF(AND(_A2="A-220-100",'2025'!$F$4="CA",'2025'!$F$2=AO81),'2025DATA'!$L$35,"")</f>
        <v/>
      </c>
      <c r="AP114" s="518" t="str">
        <f>IF(AND(_A2="A-220-100",'2025'!$F$4="CA",'2025'!$F$2=AP81),'2025DATA'!$M$35,"")</f>
        <v/>
      </c>
      <c r="AQ114" s="520" t="str">
        <f>IF(AND(_A2="A-220-100",'2025'!$F$4="CA",'2025'!$F$2=AQ81),'2025DATA'!$N$35,"")</f>
        <v/>
      </c>
      <c r="AR114" s="940" t="s">
        <v>52</v>
      </c>
      <c r="AS114" s="13" t="s">
        <v>61</v>
      </c>
      <c r="AT114" s="518" t="str">
        <f>IF(AND(_A3="A-220-100",'2025'!$F$4="CA",'2025'!$F$2=AT81),'2025DATA'!$C$35,"")</f>
        <v/>
      </c>
      <c r="AU114" s="518" t="str">
        <f>IF(AND(_A3="A-220-100",'2025'!$F$4="CA",'2025'!$F$2=AU81),'2025DATA'!$D$35,"")</f>
        <v/>
      </c>
      <c r="AV114" s="518" t="str">
        <f>IF(AND(_A3="A-220-100",'2025'!$F$4="CA",'2025'!$F$2=AV81),'2025DATA'!$E$35,"")</f>
        <v/>
      </c>
      <c r="AW114" s="518" t="str">
        <f>IF(AND(_A3="A-220-100",'2025'!$F$4="CA",'2025'!$F$2=AW81),'2025DATA'!$F$35,"")</f>
        <v/>
      </c>
      <c r="AX114" s="518" t="str">
        <f>IF(AND(_A3="A-220-100",'2025'!$F$4="CA",'2025'!$F$2=AX81),'2025DATA'!$G$35,"")</f>
        <v/>
      </c>
      <c r="AY114" s="518" t="str">
        <f>IF(AND(_A3="A-220-100",'2025'!$F$4="CA",'2025'!$F$2=AY81),'2025DATA'!$H$35,"")</f>
        <v/>
      </c>
      <c r="AZ114" s="518" t="str">
        <f>IF(AND(_A3="A-220-100",'2025'!$F$4="CA",'2025'!$F$2=AZ81),'2025DATA'!$I$35,"")</f>
        <v/>
      </c>
      <c r="BA114" s="518" t="str">
        <f>IF(AND(_A3="A-220-100",'2025'!$F$4="CA",'2025'!$F$2=BA81),'2025DATA'!$J$35,"")</f>
        <v/>
      </c>
      <c r="BB114" s="518" t="str">
        <f>IF(AND(_A3="A-220-100",'2025'!$F$4="CA",'2025'!$F$2=BB81),'2025DATA'!$K$35,"")</f>
        <v/>
      </c>
      <c r="BC114" s="518" t="str">
        <f>IF(AND(_A3="A-220-100",'2025'!$F$4="CA",'2025'!$F$2=BC81),'2025DATA'!$L$35,"")</f>
        <v/>
      </c>
      <c r="BD114" s="518" t="str">
        <f>IF(AND(_A3="A-220-100",'2025'!$F$4="CA",'2025'!$F$2=BD81),'2025DATA'!$M$35,"")</f>
        <v/>
      </c>
      <c r="BE114" s="520" t="str">
        <f>IF(AND(_A3="A-220-100",'2025'!$F$4="CA",'2025'!$F$2=BE81),'2025DATA'!$N$35,"")</f>
        <v/>
      </c>
      <c r="BF114" s="940" t="s">
        <v>52</v>
      </c>
      <c r="BG114" s="13" t="s">
        <v>61</v>
      </c>
      <c r="BH114" s="518" t="str">
        <f>IF(AND(_A4="A-220-100",'2025'!$F$4="CA",'2025'!$F$2=BH81),'2025DATA'!$C$35,"")</f>
        <v/>
      </c>
      <c r="BI114" s="518" t="str">
        <f>IF(AND(_A4="A-220-100",'2025'!$F$4="CA",'2025'!$F$2=BI81),'2025DATA'!$D$35,"")</f>
        <v/>
      </c>
      <c r="BJ114" s="518" t="str">
        <f>IF(AND(_A4="A-220-100",'2025'!$F$4="CA",'2025'!$F$2=BJ81),'2025DATA'!$E$35,"")</f>
        <v/>
      </c>
      <c r="BK114" s="518" t="str">
        <f>IF(AND(_A4="A-220-100",'2025'!$F$4="CA",'2025'!$F$2=BK81),'2025DATA'!$F$35,"")</f>
        <v/>
      </c>
      <c r="BL114" s="518" t="str">
        <f>IF(AND(_A4="A-220-100",'2025'!$F$4="CA",'2025'!$F$2=BL81),'2025DATA'!$G$35,"")</f>
        <v/>
      </c>
      <c r="BM114" s="518" t="str">
        <f>IF(AND(_A4="A-220-100",'2025'!$F$4="CA",'2025'!$F$2=BM81),'2025DATA'!$H$35,"")</f>
        <v/>
      </c>
      <c r="BN114" s="518" t="str">
        <f>IF(AND(_A4="A-220-100",'2025'!$F$4="CA",'2025'!$F$2=BN81),'2025DATA'!$I$35,"")</f>
        <v/>
      </c>
      <c r="BO114" s="518" t="str">
        <f>IF(AND(_A4="A-220-100",'2025'!$F$4="CA",'2025'!$F$2=BO81),'2025DATA'!$J$35,"")</f>
        <v/>
      </c>
      <c r="BP114" s="518" t="str">
        <f>IF(AND(_A4="A-220-100",'2025'!$F$4="CA",'2025'!$F$2=BP81),'2025DATA'!$K$35,"")</f>
        <v/>
      </c>
      <c r="BQ114" s="518" t="str">
        <f>IF(AND(_A4="A-220-100",'2025'!$F$4="CA",'2025'!$F$2=BQ81),'2025DATA'!$L$35,"")</f>
        <v/>
      </c>
      <c r="BR114" s="518" t="str">
        <f>IF(AND(_A4="A-220-100",'2025'!$F$4="CA",'2025'!$F$2=BR81),'2025DATA'!$M$35,"")</f>
        <v/>
      </c>
      <c r="BS114" s="520" t="str">
        <f>IF(AND(_A4="A-220-100",'2025'!$F$4="CA",'2025'!$F$2=BS81),'2025DATA'!$N$35,"")</f>
        <v/>
      </c>
      <c r="BT114" s="940" t="s">
        <v>52</v>
      </c>
      <c r="BU114" s="13" t="s">
        <v>61</v>
      </c>
      <c r="BV114" s="518" t="str">
        <f>IF(AND(_A5="A-220-100",'2025'!$F$4="CA",'2025'!$F$2=BV81),'2025DATA'!$C$35,"")</f>
        <v/>
      </c>
      <c r="BW114" s="518" t="str">
        <f>IF(AND(_A5="A-220-100",'2025'!$F$4="CA",'2025'!$F$2=BW81),'2025DATA'!$D$35,"")</f>
        <v/>
      </c>
      <c r="BX114" s="518" t="str">
        <f>IF(AND(_A5="A-220-100",'2025'!$F$4="CA",'2025'!$F$2=BX81),'2025DATA'!$E$35,"")</f>
        <v/>
      </c>
      <c r="BY114" s="518" t="str">
        <f>IF(AND(_A5="A-220-100",'2025'!$F$4="CA",'2025'!$F$2=BY81),'2025DATA'!$F$35,"")</f>
        <v/>
      </c>
      <c r="BZ114" s="518" t="str">
        <f>IF(AND(_A5="A-220-100",'2025'!$F$4="CA",'2025'!$F$2=BZ81),'2025DATA'!$G$35,"")</f>
        <v/>
      </c>
      <c r="CA114" s="518" t="str">
        <f>IF(AND(_A5="A-220-100",'2025'!$F$4="CA",'2025'!$F$2=CA81),'2025DATA'!$H$35,"")</f>
        <v/>
      </c>
      <c r="CB114" s="518" t="str">
        <f>IF(AND(_A5="A-220-100",'2025'!$F$4="CA",'2025'!$F$2=CB81),'2025DATA'!$I$35,"")</f>
        <v/>
      </c>
      <c r="CC114" s="518" t="str">
        <f>IF(AND(_A5="A-220-100",'2025'!$F$4="CA",'2025'!$F$2=CC81),'2025DATA'!$J$35,"")</f>
        <v/>
      </c>
      <c r="CD114" s="518" t="str">
        <f>IF(AND(_A5="A-220-100",'2025'!$F$4="CA",'2025'!$F$2=CD81),'2025DATA'!$K$35,"")</f>
        <v/>
      </c>
      <c r="CE114" s="518" t="str">
        <f>IF(AND(_A5="A-220-100",'2025'!$F$4="CA",'2025'!$F$2=CE81),'2025DATA'!$L$35,"")</f>
        <v/>
      </c>
      <c r="CF114" s="518" t="str">
        <f>IF(AND(_A5="A-220-100",'2025'!$F$4="CA",'2025'!$F$2=CF81),'2025DATA'!$M$35,"")</f>
        <v/>
      </c>
      <c r="CG114" s="520" t="str">
        <f>IF(AND(_A5="A-220-100",'2025'!$F$4="CA",'2025'!$F$2=CG81),'2025DATA'!$N$35,"")</f>
        <v/>
      </c>
      <c r="CH114" s="940" t="s">
        <v>52</v>
      </c>
      <c r="CI114" s="13" t="s">
        <v>61</v>
      </c>
      <c r="CJ114" s="518" t="str">
        <f>IF(AND(_A6="A-220-100",'2025'!$F$4="CA",'2025'!$F$2=CJ81),'2025DATA'!$C$35,"")</f>
        <v/>
      </c>
      <c r="CK114" s="518" t="str">
        <f>IF(AND(_A6="A-220-100",'2025'!$F$4="CA",'2025'!$F$2=CK81),'2025DATA'!$D$35,"")</f>
        <v/>
      </c>
      <c r="CL114" s="518" t="str">
        <f>IF(AND(_A6="A-220-100",'2025'!$F$4="CA",'2025'!$F$2=CL81),'2025DATA'!$E$35,"")</f>
        <v/>
      </c>
      <c r="CM114" s="518" t="str">
        <f>IF(AND(_A6="A-220-100",'2025'!$F$4="CA",'2025'!$F$2=CM81),'2025DATA'!$F$35,"")</f>
        <v/>
      </c>
      <c r="CN114" s="518" t="str">
        <f>IF(AND(_A6="A-220-100",'2025'!$F$4="CA",'2025'!$F$2=CN81),'2025DATA'!$G$35,"")</f>
        <v/>
      </c>
      <c r="CO114" s="518" t="str">
        <f>IF(AND(_A6="A-220-100",'2025'!$F$4="CA",'2025'!$F$2=CO81),'2025DATA'!$H$35,"")</f>
        <v/>
      </c>
      <c r="CP114" s="518" t="str">
        <f>IF(AND(_A6="A-220-100",'2025'!$F$4="CA",'2025'!$F$2=CP81),'2025DATA'!$I$35,"")</f>
        <v/>
      </c>
      <c r="CQ114" s="518" t="str">
        <f>IF(AND(_A6="A-220-100",'2025'!$F$4="CA",'2025'!$F$2=CQ81),'2025DATA'!$J$35,"")</f>
        <v/>
      </c>
      <c r="CR114" s="518" t="str">
        <f>IF(AND(_A6="A-220-100",'2025'!$F$4="CA",'2025'!$F$2=CR81),'2025DATA'!$K$35,"")</f>
        <v/>
      </c>
      <c r="CS114" s="518" t="str">
        <f>IF(AND(_A6="A-220-100",'2025'!$F$4="CA",'2025'!$F$2=CS81),'2025DATA'!$L$35,"")</f>
        <v/>
      </c>
      <c r="CT114" s="518" t="str">
        <f>IF(AND(_A6="A-220-100",'2025'!$F$4="CA",'2025'!$F$2=CT81),'2025DATA'!$M$35,"")</f>
        <v/>
      </c>
      <c r="CU114" s="520" t="str">
        <f>IF(AND(_A6="A-220-100",'2025'!$F$4="CA",'2025'!$F$2=CU81),'2025DATA'!$N$35,"")</f>
        <v/>
      </c>
    </row>
    <row r="115" spans="16:99" x14ac:dyDescent="0.25">
      <c r="P115" s="940"/>
      <c r="Q115" s="13" t="s">
        <v>62</v>
      </c>
      <c r="R115" s="518" t="str">
        <f>IF(AND(_A1="A-220-100",'2025'!$F$4="FO",'2025'!$F$2=R81),'2025DATA'!$C$36,"")</f>
        <v/>
      </c>
      <c r="S115" s="518" t="str">
        <f>IF(AND(_A1="A-220-100",'2025'!$F$4="FO",'2025'!$F$2=S81),'2025DATA'!$D$36,"")</f>
        <v/>
      </c>
      <c r="T115" s="518" t="str">
        <f>IF(AND(_A1="A-220-100",'2025'!$F$4="FO",'2025'!$F$2=T81),'2025DATA'!$E$36,"")</f>
        <v/>
      </c>
      <c r="U115" s="518" t="str">
        <f>IF(AND(_A1="A-220-100",'2025'!$F$4="FO",'2025'!$F$2=U81),'2025DATA'!$F$36,"")</f>
        <v/>
      </c>
      <c r="V115" s="518" t="str">
        <f>IF(AND(_A1="A-220-100",'2025'!$F$4="FO",'2025'!$F$2=V81),'2025DATA'!$G$36,"")</f>
        <v/>
      </c>
      <c r="W115" s="518" t="str">
        <f>IF(AND(_A1="A-220-100",'2025'!$F$4="FO",'2025'!$F$2=W81),'2025DATA'!$H$36,"")</f>
        <v/>
      </c>
      <c r="X115" s="518" t="str">
        <f>IF(AND(_A1="A-220-100",'2025'!$F$4="FO",'2025'!$F$2=X81),'2025DATA'!$I$36,"")</f>
        <v/>
      </c>
      <c r="Y115" s="518" t="str">
        <f>IF(AND(_A1="A-220-100",'2025'!$F$4="FO",'2025'!$F$2=Y81),'2025DATA'!$J$36,"")</f>
        <v/>
      </c>
      <c r="Z115" s="518" t="str">
        <f>IF(AND(_A1="A-220-100",'2025'!$F$4="FO",'2025'!$F$2=Z81),'2025DATA'!$K$36,"")</f>
        <v/>
      </c>
      <c r="AA115" s="518" t="str">
        <f>IF(AND(_A1="A-220-100",'2025'!$F$4="FO",'2025'!$F$2=AA81),'2025DATA'!$L$36,"")</f>
        <v/>
      </c>
      <c r="AB115" s="518" t="str">
        <f>IF(AND(_A1="A-220-100",'2025'!$F$4="FO",'2025'!$F$2=AB81),'2025DATA'!$M$36,"")</f>
        <v/>
      </c>
      <c r="AC115" s="520" t="str">
        <f>IF(AND(_A1="A-220-100",'2025'!$F$4="FO",'2025'!$F$2=AC81),'2025DATA'!$N$36,"")</f>
        <v/>
      </c>
      <c r="AD115" s="940"/>
      <c r="AE115" s="13" t="s">
        <v>62</v>
      </c>
      <c r="AF115" s="518" t="str">
        <f>IF(AND(_A2="A-220-100",'2025'!$F$4="FO",'2025'!$F$2=AF81),'2025DATA'!$C$36,"")</f>
        <v/>
      </c>
      <c r="AG115" s="518" t="str">
        <f>IF(AND(_A2="A-220-100",'2025'!$F$4="FO",'2025'!$F$2=AG81),'2025DATA'!$D$36,"")</f>
        <v/>
      </c>
      <c r="AH115" s="518" t="str">
        <f>IF(AND(_A2="A-220-100",'2025'!$F$4="FO",'2025'!$F$2=AH81),'2025DATA'!$E$36,"")</f>
        <v/>
      </c>
      <c r="AI115" s="518" t="str">
        <f>IF(AND(_A2="A-220-100",'2025'!$F$4="FO",'2025'!$F$2=AI81),'2025DATA'!$F$36,"")</f>
        <v/>
      </c>
      <c r="AJ115" s="518" t="str">
        <f>IF(AND(_A2="A-220-100",'2025'!$F$4="FO",'2025'!$F$2=AJ81),'2025DATA'!$G$36,"")</f>
        <v/>
      </c>
      <c r="AK115" s="518" t="str">
        <f>IF(AND(_A2="A-220-100",'2025'!$F$4="FO",'2025'!$F$2=AK81),'2025DATA'!$H$36,"")</f>
        <v/>
      </c>
      <c r="AL115" s="518" t="str">
        <f>IF(AND(_A2="A-220-100",'2025'!$F$4="FO",'2025'!$F$2=AL81),'2025DATA'!$I$36,"")</f>
        <v/>
      </c>
      <c r="AM115" s="518" t="str">
        <f>IF(AND(_A2="A-220-100",'2025'!$F$4="FO",'2025'!$F$2=AM81),'2025DATA'!$J$36,"")</f>
        <v/>
      </c>
      <c r="AN115" s="518" t="str">
        <f>IF(AND(_A2="A-220-100",'2025'!$F$4="FO",'2025'!$F$2=AN81),'2025DATA'!$K$36,"")</f>
        <v/>
      </c>
      <c r="AO115" s="518" t="str">
        <f>IF(AND(_A2="A-220-100",'2025'!$F$4="FO",'2025'!$F$2=AO81),'2025DATA'!$L$36,"")</f>
        <v/>
      </c>
      <c r="AP115" s="518" t="str">
        <f>IF(AND(_A2="A-220-100",'2025'!$F$4="FO",'2025'!$F$2=AP81),'2025DATA'!$M$36,"")</f>
        <v/>
      </c>
      <c r="AQ115" s="520" t="str">
        <f>IF(AND(_A2="A-220-100",'2025'!$F$4="FO",'2025'!$F$2=AQ81),'2025DATA'!$N$36,"")</f>
        <v/>
      </c>
      <c r="AR115" s="940"/>
      <c r="AS115" s="13" t="s">
        <v>62</v>
      </c>
      <c r="AT115" s="518" t="str">
        <f>IF(AND(_A3="A-220-100",'2025'!$F$4="FO",'2025'!$F$2=AT81),'2025DATA'!$C$36,"")</f>
        <v/>
      </c>
      <c r="AU115" s="518" t="str">
        <f>IF(AND(_A3="A-220-100",'2025'!$F$4="FO",'2025'!$F$2=AU81),'2025DATA'!$D$36,"")</f>
        <v/>
      </c>
      <c r="AV115" s="518" t="str">
        <f>IF(AND(_A3="A-220-100",'2025'!$F$4="FO",'2025'!$F$2=AV81),'2025DATA'!$E$36,"")</f>
        <v/>
      </c>
      <c r="AW115" s="518" t="str">
        <f>IF(AND(_A3="A-220-100",'2025'!$F$4="FO",'2025'!$F$2=AW81),'2025DATA'!$F$36,"")</f>
        <v/>
      </c>
      <c r="AX115" s="518" t="str">
        <f>IF(AND(_A3="A-220-100",'2025'!$F$4="FO",'2025'!$F$2=AX81),'2025DATA'!$G$36,"")</f>
        <v/>
      </c>
      <c r="AY115" s="518" t="str">
        <f>IF(AND(_A3="A-220-100",'2025'!$F$4="FO",'2025'!$F$2=AY81),'2025DATA'!$H$36,"")</f>
        <v/>
      </c>
      <c r="AZ115" s="518" t="str">
        <f>IF(AND(_A3="A-220-100",'2025'!$F$4="FO",'2025'!$F$2=AZ81),'2025DATA'!$I$36,"")</f>
        <v/>
      </c>
      <c r="BA115" s="518" t="str">
        <f>IF(AND(_A3="A-220-100",'2025'!$F$4="FO",'2025'!$F$2=BA81),'2025DATA'!$J$36,"")</f>
        <v/>
      </c>
      <c r="BB115" s="518" t="str">
        <f>IF(AND(_A3="A-220-100",'2025'!$F$4="FO",'2025'!$F$2=BB81),'2025DATA'!$K$36,"")</f>
        <v/>
      </c>
      <c r="BC115" s="518" t="str">
        <f>IF(AND(_A3="A-220-100",'2025'!$F$4="FO",'2025'!$F$2=BC81),'2025DATA'!$L$36,"")</f>
        <v/>
      </c>
      <c r="BD115" s="518" t="str">
        <f>IF(AND(_A3="A-220-100",'2025'!$F$4="FO",'2025'!$F$2=BD81),'2025DATA'!$M$36,"")</f>
        <v/>
      </c>
      <c r="BE115" s="520" t="str">
        <f>IF(AND(_A3="A-220-100",'2025'!$F$4="FO",'2025'!$F$2=BE81),'2025DATA'!$N$36,"")</f>
        <v/>
      </c>
      <c r="BF115" s="940"/>
      <c r="BG115" s="13" t="s">
        <v>62</v>
      </c>
      <c r="BH115" s="518" t="str">
        <f>IF(AND(_A4="A-220-100",'2025'!$F$4="FO",'2025'!$F$2=BH81),'2025DATA'!$C$36,"")</f>
        <v/>
      </c>
      <c r="BI115" s="518" t="str">
        <f>IF(AND(_A4="A-220-100",'2025'!$F$4="FO",'2025'!$F$2=BI81),'2025DATA'!$D$36,"")</f>
        <v/>
      </c>
      <c r="BJ115" s="518" t="str">
        <f>IF(AND(_A4="A-220-100",'2025'!$F$4="FO",'2025'!$F$2=BJ81),'2025DATA'!$E$36,"")</f>
        <v/>
      </c>
      <c r="BK115" s="518" t="str">
        <f>IF(AND(_A4="A-220-100",'2025'!$F$4="FO",'2025'!$F$2=BK81),'2025DATA'!$F$36,"")</f>
        <v/>
      </c>
      <c r="BL115" s="518" t="str">
        <f>IF(AND(_A4="A-220-100",'2025'!$F$4="FO",'2025'!$F$2=BL81),'2025DATA'!$G$36,"")</f>
        <v/>
      </c>
      <c r="BM115" s="518" t="str">
        <f>IF(AND(_A4="A-220-100",'2025'!$F$4="FO",'2025'!$F$2=BM81),'2025DATA'!$H$36,"")</f>
        <v/>
      </c>
      <c r="BN115" s="518" t="str">
        <f>IF(AND(_A4="A-220-100",'2025'!$F$4="FO",'2025'!$F$2=BN81),'2025DATA'!$I$36,"")</f>
        <v/>
      </c>
      <c r="BO115" s="518" t="str">
        <f>IF(AND(_A4="A-220-100",'2025'!$F$4="FO",'2025'!$F$2=BO81),'2025DATA'!$J$36,"")</f>
        <v/>
      </c>
      <c r="BP115" s="518" t="str">
        <f>IF(AND(_A4="A-220-100",'2025'!$F$4="FO",'2025'!$F$2=BP81),'2025DATA'!$K$36,"")</f>
        <v/>
      </c>
      <c r="BQ115" s="518" t="str">
        <f>IF(AND(_A4="A-220-100",'2025'!$F$4="FO",'2025'!$F$2=BQ81),'2025DATA'!$L$36,"")</f>
        <v/>
      </c>
      <c r="BR115" s="518" t="str">
        <f>IF(AND(_A4="A-220-100",'2025'!$F$4="FO",'2025'!$F$2=BR81),'2025DATA'!$M$36,"")</f>
        <v/>
      </c>
      <c r="BS115" s="520" t="str">
        <f>IF(AND(_A4="A-220-100",'2025'!$F$4="FO",'2025'!$F$2=BS81),'2025DATA'!$N$36,"")</f>
        <v/>
      </c>
      <c r="BT115" s="940"/>
      <c r="BU115" s="13" t="s">
        <v>62</v>
      </c>
      <c r="BV115" s="518" t="str">
        <f>IF(AND(_A5="A-220-100",'2025'!$F$4="FO",'2025'!$F$2=BV81),'2025DATA'!$C$36,"")</f>
        <v/>
      </c>
      <c r="BW115" s="518" t="str">
        <f>IF(AND(_A5="A-220-100",'2025'!$F$4="FO",'2025'!$F$2=BW81),'2025DATA'!$D$36,"")</f>
        <v/>
      </c>
      <c r="BX115" s="518" t="str">
        <f>IF(AND(_A5="A-220-100",'2025'!$F$4="FO",'2025'!$F$2=BX81),'2025DATA'!$E$36,"")</f>
        <v/>
      </c>
      <c r="BY115" s="518" t="str">
        <f>IF(AND(_A5="A-220-100",'2025'!$F$4="FO",'2025'!$F$2=BY81),'2025DATA'!$F$36,"")</f>
        <v/>
      </c>
      <c r="BZ115" s="518" t="str">
        <f>IF(AND(_A5="A-220-100",'2025'!$F$4="FO",'2025'!$F$2=BZ81),'2025DATA'!$G$36,"")</f>
        <v/>
      </c>
      <c r="CA115" s="518" t="str">
        <f>IF(AND(_A5="A-220-100",'2025'!$F$4="FO",'2025'!$F$2=CA81),'2025DATA'!$H$36,"")</f>
        <v/>
      </c>
      <c r="CB115" s="518" t="str">
        <f>IF(AND(_A5="A-220-100",'2025'!$F$4="FO",'2025'!$F$2=CB81),'2025DATA'!$I$36,"")</f>
        <v/>
      </c>
      <c r="CC115" s="518" t="str">
        <f>IF(AND(_A5="A-220-100",'2025'!$F$4="FO",'2025'!$F$2=CC81),'2025DATA'!$J$36,"")</f>
        <v/>
      </c>
      <c r="CD115" s="518" t="str">
        <f>IF(AND(_A5="A-220-100",'2025'!$F$4="FO",'2025'!$F$2=CD81),'2025DATA'!$K$36,"")</f>
        <v/>
      </c>
      <c r="CE115" s="518" t="str">
        <f>IF(AND(_A5="A-220-100",'2025'!$F$4="FO",'2025'!$F$2=CE81),'2025DATA'!$L$36,"")</f>
        <v/>
      </c>
      <c r="CF115" s="518" t="str">
        <f>IF(AND(_A5="A-220-100",'2025'!$F$4="FO",'2025'!$F$2=CF81),'2025DATA'!$M$36,"")</f>
        <v/>
      </c>
      <c r="CG115" s="520" t="str">
        <f>IF(AND(_A5="A-220-100",'2025'!$F$4="FO",'2025'!$F$2=CG81),'2025DATA'!$N$36,"")</f>
        <v/>
      </c>
      <c r="CH115" s="940"/>
      <c r="CI115" s="13" t="s">
        <v>62</v>
      </c>
      <c r="CJ115" s="518" t="str">
        <f>IF(AND(_A6="A-220-100",'2025'!$F$4="FO",'2025'!$F$2=CJ81),'2025DATA'!$C$36,"")</f>
        <v/>
      </c>
      <c r="CK115" s="518" t="str">
        <f>IF(AND(_A6="A-220-100",'2025'!$F$4="FO",'2025'!$F$2=CK81),'2025DATA'!$D$36,"")</f>
        <v/>
      </c>
      <c r="CL115" s="518" t="str">
        <f>IF(AND(_A6="A-220-100",'2025'!$F$4="FO",'2025'!$F$2=CL81),'2025DATA'!$E$36,"")</f>
        <v/>
      </c>
      <c r="CM115" s="518" t="str">
        <f>IF(AND(_A6="A-220-100",'2025'!$F$4="FO",'2025'!$F$2=CM81),'2025DATA'!$F$36,"")</f>
        <v/>
      </c>
      <c r="CN115" s="518" t="str">
        <f>IF(AND(_A6="A-220-100",'2025'!$F$4="FO",'2025'!$F$2=CN81),'2025DATA'!$G$36,"")</f>
        <v/>
      </c>
      <c r="CO115" s="518" t="str">
        <f>IF(AND(_A6="A-220-100",'2025'!$F$4="FO",'2025'!$F$2=CO81),'2025DATA'!$H$36,"")</f>
        <v/>
      </c>
      <c r="CP115" s="518" t="str">
        <f>IF(AND(_A6="A-220-100",'2025'!$F$4="FO",'2025'!$F$2=CP81),'2025DATA'!$I$36,"")</f>
        <v/>
      </c>
      <c r="CQ115" s="518" t="str">
        <f>IF(AND(_A6="A-220-100",'2025'!$F$4="FO",'2025'!$F$2=CQ81),'2025DATA'!$J$36,"")</f>
        <v/>
      </c>
      <c r="CR115" s="518" t="str">
        <f>IF(AND(_A6="A-220-100",'2025'!$F$4="FO",'2025'!$F$2=CR81),'2025DATA'!$K$36,"")</f>
        <v/>
      </c>
      <c r="CS115" s="518" t="str">
        <f>IF(AND(_A6="A-220-100",'2025'!$F$4="FO",'2025'!$F$2=CS81),'2025DATA'!$L$36,"")</f>
        <v/>
      </c>
      <c r="CT115" s="518" t="str">
        <f>IF(AND(_A6="A-220-100",'2025'!$F$4="FO",'2025'!$F$2=CT81),'2025DATA'!$M$36,"")</f>
        <v/>
      </c>
      <c r="CU115" s="520" t="str">
        <f>IF(AND(_A6="A-220-100",'2025'!$F$4="FO",'2025'!$F$2=CU81),'2025DATA'!$N$36,"")</f>
        <v/>
      </c>
    </row>
    <row r="116" spans="16:99" x14ac:dyDescent="0.25">
      <c r="P116" s="940" t="s">
        <v>53</v>
      </c>
      <c r="Q116" s="13" t="s">
        <v>61</v>
      </c>
      <c r="R116" s="518" t="str">
        <f>IF(AND(_A1="B-717",'2025'!$F$4="CA",'2025'!$F$2=R81),'2025DATA'!$C$37,"")</f>
        <v/>
      </c>
      <c r="S116" s="518" t="str">
        <f>IF(AND(_A1="B-717",'2025'!$F$4="CA",'2025'!$F$2=S81),'2025DATA'!$D$37,"")</f>
        <v/>
      </c>
      <c r="T116" s="518" t="str">
        <f>IF(AND(_A1="B-717",'2025'!$F$4="CA",'2025'!$F$2=T81),'2025DATA'!$E$37,"")</f>
        <v/>
      </c>
      <c r="U116" s="518" t="str">
        <f>IF(AND(_A1="B-717",'2025'!$F$4="CA",'2025'!$F$2=U81),'2025DATA'!$F$37,"")</f>
        <v/>
      </c>
      <c r="V116" s="518" t="str">
        <f>IF(AND(_A1="B-717",'2025'!$F$4="CA",'2025'!$F$2=V81),'2025DATA'!$G$37,"")</f>
        <v/>
      </c>
      <c r="W116" s="518" t="str">
        <f>IF(AND(_A1="B-717",'2025'!$F$4="CA",'2025'!$F$2=W81),'2025DATA'!$H$37,"")</f>
        <v/>
      </c>
      <c r="X116" s="518" t="str">
        <f>IF(AND(_A1="B-717",'2025'!$F$4="CA",'2025'!$F$2=X81),'2025DATA'!$I$37,"")</f>
        <v/>
      </c>
      <c r="Y116" s="518" t="str">
        <f>IF(AND(_A1="B-717",'2025'!$F$4="CA",'2025'!$F$2=Y81),'2025DATA'!$J$37,"")</f>
        <v/>
      </c>
      <c r="Z116" s="518" t="str">
        <f>IF(AND(_A1="B-717",'2025'!$F$4="CA",'2025'!$F$2=Z81),'2025DATA'!$K$37,"")</f>
        <v/>
      </c>
      <c r="AA116" s="518" t="str">
        <f>IF(AND(_A1="B-717",'2025'!$F$4="CA",'2025'!$F$2=AA81),'2025DATA'!$L$37,"")</f>
        <v/>
      </c>
      <c r="AB116" s="518" t="str">
        <f>IF(AND(_A1="B-717",'2025'!$F$4="CA",'2025'!$F$2=AB81),'2025DATA'!$M$37,"")</f>
        <v/>
      </c>
      <c r="AC116" s="520" t="str">
        <f>IF(AND(_A1="B-717",'2025'!$F$4="CA",'2025'!$F$2=AC81),'2025DATA'!$N$37,"")</f>
        <v/>
      </c>
      <c r="AD116" s="940" t="s">
        <v>53</v>
      </c>
      <c r="AE116" s="13" t="s">
        <v>61</v>
      </c>
      <c r="AF116" s="518" t="str">
        <f>IF(AND(_A2="B-717",'2025'!$F$4="CA",'2025'!$F$2=AF81),'2025DATA'!$C$37,"")</f>
        <v/>
      </c>
      <c r="AG116" s="518" t="str">
        <f>IF(AND(_A2="B-717",'2025'!$F$4="CA",'2025'!$F$2=AG81),'2025DATA'!$D$37,"")</f>
        <v/>
      </c>
      <c r="AH116" s="518" t="str">
        <f>IF(AND(_A2="B-717",'2025'!$F$4="CA",'2025'!$F$2=AH81),'2025DATA'!$E$37,"")</f>
        <v/>
      </c>
      <c r="AI116" s="518" t="str">
        <f>IF(AND(_A2="B-717",'2025'!$F$4="CA",'2025'!$F$2=AI81),'2025DATA'!$F$37,"")</f>
        <v/>
      </c>
      <c r="AJ116" s="518" t="str">
        <f>IF(AND(_A2="B-717",'2025'!$F$4="CA",'2025'!$F$2=AJ81),'2025DATA'!$G$37,"")</f>
        <v/>
      </c>
      <c r="AK116" s="518" t="str">
        <f>IF(AND(_A2="B-717",'2025'!$F$4="CA",'2025'!$F$2=AK81),'2025DATA'!$H$37,"")</f>
        <v/>
      </c>
      <c r="AL116" s="518" t="str">
        <f>IF(AND(_A2="B-717",'2025'!$F$4="CA",'2025'!$F$2=AL81),'2025DATA'!$I$37,"")</f>
        <v/>
      </c>
      <c r="AM116" s="518" t="str">
        <f>IF(AND(_A2="B-717",'2025'!$F$4="CA",'2025'!$F$2=AM81),'2025DATA'!$J$37,"")</f>
        <v/>
      </c>
      <c r="AN116" s="518" t="str">
        <f>IF(AND(_A2="B-717",'2025'!$F$4="CA",'2025'!$F$2=AN81),'2025DATA'!$K$37,"")</f>
        <v/>
      </c>
      <c r="AO116" s="518" t="str">
        <f>IF(AND(_A2="B-717",'2025'!$F$4="CA",'2025'!$F$2=AO81),'2025DATA'!$L$37,"")</f>
        <v/>
      </c>
      <c r="AP116" s="518" t="str">
        <f>IF(AND(_A2="B-717",'2025'!$F$4="CA",'2025'!$F$2=AP81),'2025DATA'!$M$37,"")</f>
        <v/>
      </c>
      <c r="AQ116" s="520" t="str">
        <f>IF(AND(_A2="B-717",'2025'!$F$4="CA",'2025'!$F$2=AQ81),'2025DATA'!$N$37,"")</f>
        <v/>
      </c>
      <c r="AR116" s="940" t="s">
        <v>53</v>
      </c>
      <c r="AS116" s="13" t="s">
        <v>61</v>
      </c>
      <c r="AT116" s="518" t="str">
        <f>IF(AND(_A3="B-717",'2025'!$F$4="CA",'2025'!$F$2=AT81),'2025DATA'!$C$37,"")</f>
        <v/>
      </c>
      <c r="AU116" s="518" t="str">
        <f>IF(AND(_A3="B-717",'2025'!$F$4="CA",'2025'!$F$2=AU81),'2025DATA'!$D$37,"")</f>
        <v/>
      </c>
      <c r="AV116" s="518" t="str">
        <f>IF(AND(_A3="B-717",'2025'!$F$4="CA",'2025'!$F$2=AV81),'2025DATA'!$E$37,"")</f>
        <v/>
      </c>
      <c r="AW116" s="518" t="str">
        <f>IF(AND(_A3="B-717",'2025'!$F$4="CA",'2025'!$F$2=AW81),'2025DATA'!$F$37,"")</f>
        <v/>
      </c>
      <c r="AX116" s="518" t="str">
        <f>IF(AND(_A3="B-717",'2025'!$F$4="CA",'2025'!$F$2=AX81),'2025DATA'!$G$37,"")</f>
        <v/>
      </c>
      <c r="AY116" s="518" t="str">
        <f>IF(AND(_A3="B-717",'2025'!$F$4="CA",'2025'!$F$2=AY81),'2025DATA'!$H$37,"")</f>
        <v/>
      </c>
      <c r="AZ116" s="518" t="str">
        <f>IF(AND(_A3="B-717",'2025'!$F$4="CA",'2025'!$F$2=AZ81),'2025DATA'!$I$37,"")</f>
        <v/>
      </c>
      <c r="BA116" s="518" t="str">
        <f>IF(AND(_A3="B-717",'2025'!$F$4="CA",'2025'!$F$2=BA81),'2025DATA'!$J$37,"")</f>
        <v/>
      </c>
      <c r="BB116" s="518" t="str">
        <f>IF(AND(_A3="B-717",'2025'!$F$4="CA",'2025'!$F$2=BB81),'2025DATA'!$K$37,"")</f>
        <v/>
      </c>
      <c r="BC116" s="518" t="str">
        <f>IF(AND(_A3="B-717",'2025'!$F$4="CA",'2025'!$F$2=BC81),'2025DATA'!$L$37,"")</f>
        <v/>
      </c>
      <c r="BD116" s="518" t="str">
        <f>IF(AND(_A3="B-717",'2025'!$F$4="CA",'2025'!$F$2=BD81),'2025DATA'!$M$37,"")</f>
        <v/>
      </c>
      <c r="BE116" s="520" t="str">
        <f>IF(AND(_A3="B-717",'2025'!$F$4="CA",'2025'!$F$2=BE81),'2025DATA'!$N$37,"")</f>
        <v/>
      </c>
      <c r="BF116" s="940" t="s">
        <v>53</v>
      </c>
      <c r="BG116" s="13" t="s">
        <v>61</v>
      </c>
      <c r="BH116" s="518" t="str">
        <f>IF(AND(_A4="B-717",'2025'!$F$4="CA",'2025'!$F$2=BH81),'2025DATA'!$C$37,"")</f>
        <v/>
      </c>
      <c r="BI116" s="518" t="str">
        <f>IF(AND(_A4="B-717",'2025'!$F$4="CA",'2025'!$F$2=BI81),'2025DATA'!$D$37,"")</f>
        <v/>
      </c>
      <c r="BJ116" s="518" t="str">
        <f>IF(AND(_A4="B-717",'2025'!$F$4="CA",'2025'!$F$2=BJ81),'2025DATA'!$E$37,"")</f>
        <v/>
      </c>
      <c r="BK116" s="518" t="str">
        <f>IF(AND(_A4="B-717",'2025'!$F$4="CA",'2025'!$F$2=BK81),'2025DATA'!$F$37,"")</f>
        <v/>
      </c>
      <c r="BL116" s="518" t="str">
        <f>IF(AND(_A4="B-717",'2025'!$F$4="CA",'2025'!$F$2=BL81),'2025DATA'!$G$37,"")</f>
        <v/>
      </c>
      <c r="BM116" s="518" t="str">
        <f>IF(AND(_A4="B-717",'2025'!$F$4="CA",'2025'!$F$2=BM81),'2025DATA'!$H$37,"")</f>
        <v/>
      </c>
      <c r="BN116" s="518" t="str">
        <f>IF(AND(_A4="B-717",'2025'!$F$4="CA",'2025'!$F$2=BN81),'2025DATA'!$I$37,"")</f>
        <v/>
      </c>
      <c r="BO116" s="518" t="str">
        <f>IF(AND(_A4="B-717",'2025'!$F$4="CA",'2025'!$F$2=BO81),'2025DATA'!$J$37,"")</f>
        <v/>
      </c>
      <c r="BP116" s="518" t="str">
        <f>IF(AND(_A4="B-717",'2025'!$F$4="CA",'2025'!$F$2=BP81),'2025DATA'!$K$37,"")</f>
        <v/>
      </c>
      <c r="BQ116" s="518" t="str">
        <f>IF(AND(_A4="B-717",'2025'!$F$4="CA",'2025'!$F$2=BQ81),'2025DATA'!$L$37,"")</f>
        <v/>
      </c>
      <c r="BR116" s="518" t="str">
        <f>IF(AND(_A4="B-717",'2025'!$F$4="CA",'2025'!$F$2=BR81),'2025DATA'!$M$37,"")</f>
        <v/>
      </c>
      <c r="BS116" s="520" t="str">
        <f>IF(AND(_A4="B-717",'2025'!$F$4="CA",'2025'!$F$2=BS81),'2025DATA'!$N$37,"")</f>
        <v/>
      </c>
      <c r="BT116" s="940" t="s">
        <v>53</v>
      </c>
      <c r="BU116" s="13" t="s">
        <v>61</v>
      </c>
      <c r="BV116" s="518" t="str">
        <f>IF(AND(_A5="B-717",'2025'!$F$4="CA",'2025'!$F$2=BV81),'2025DATA'!$C$37,"")</f>
        <v/>
      </c>
      <c r="BW116" s="518" t="str">
        <f>IF(AND(_A5="B-717",'2025'!$F$4="CA",'2025'!$F$2=BW81),'2025DATA'!$D$37,"")</f>
        <v/>
      </c>
      <c r="BX116" s="518" t="str">
        <f>IF(AND(_A5="B-717",'2025'!$F$4="CA",'2025'!$F$2=BX81),'2025DATA'!$E$37,"")</f>
        <v/>
      </c>
      <c r="BY116" s="518" t="str">
        <f>IF(AND(_A5="B-717",'2025'!$F$4="CA",'2025'!$F$2=BY81),'2025DATA'!$F$37,"")</f>
        <v/>
      </c>
      <c r="BZ116" s="518" t="str">
        <f>IF(AND(_A5="B-717",'2025'!$F$4="CA",'2025'!$F$2=BZ81),'2025DATA'!$G$37,"")</f>
        <v/>
      </c>
      <c r="CA116" s="518" t="str">
        <f>IF(AND(_A5="B-717",'2025'!$F$4="CA",'2025'!$F$2=CA81),'2025DATA'!$H$37,"")</f>
        <v/>
      </c>
      <c r="CB116" s="518" t="str">
        <f>IF(AND(_A5="B-717",'2025'!$F$4="CA",'2025'!$F$2=CB81),'2025DATA'!$I$37,"")</f>
        <v/>
      </c>
      <c r="CC116" s="518" t="str">
        <f>IF(AND(_A5="B-717",'2025'!$F$4="CA",'2025'!$F$2=CC81),'2025DATA'!$J$37,"")</f>
        <v/>
      </c>
      <c r="CD116" s="518" t="str">
        <f>IF(AND(_A5="B-717",'2025'!$F$4="CA",'2025'!$F$2=CD81),'2025DATA'!$K$37,"")</f>
        <v/>
      </c>
      <c r="CE116" s="518" t="str">
        <f>IF(AND(_A5="B-717",'2025'!$F$4="CA",'2025'!$F$2=CE81),'2025DATA'!$L$37,"")</f>
        <v/>
      </c>
      <c r="CF116" s="518" t="str">
        <f>IF(AND(_A5="B-717",'2025'!$F$4="CA",'2025'!$F$2=CF81),'2025DATA'!$M$37,"")</f>
        <v/>
      </c>
      <c r="CG116" s="520" t="str">
        <f>IF(AND(_A5="B-717",'2025'!$F$4="CA",'2025'!$F$2=CG81),'2025DATA'!$N$37,"")</f>
        <v/>
      </c>
      <c r="CH116" s="940" t="s">
        <v>53</v>
      </c>
      <c r="CI116" s="13" t="s">
        <v>61</v>
      </c>
      <c r="CJ116" s="518" t="str">
        <f>IF(AND(_A6="B-717",'2025'!$F$4="CA",'2025'!$F$2=CJ81),'2025DATA'!$C$37,"")</f>
        <v/>
      </c>
      <c r="CK116" s="518" t="str">
        <f>IF(AND(_A6="B-717",'2025'!$F$4="CA",'2025'!$F$2=CK81),'2025DATA'!$D$37,"")</f>
        <v/>
      </c>
      <c r="CL116" s="518" t="str">
        <f>IF(AND(_A6="B-717",'2025'!$F$4="CA",'2025'!$F$2=CL81),'2025DATA'!$E$37,"")</f>
        <v/>
      </c>
      <c r="CM116" s="518" t="str">
        <f>IF(AND(_A6="B-717",'2025'!$F$4="CA",'2025'!$F$2=CM81),'2025DATA'!$F$37,"")</f>
        <v/>
      </c>
      <c r="CN116" s="518" t="str">
        <f>IF(AND(_A6="B-717",'2025'!$F$4="CA",'2025'!$F$2=CN81),'2025DATA'!$G$37,"")</f>
        <v/>
      </c>
      <c r="CO116" s="518" t="str">
        <f>IF(AND(_A6="B-717",'2025'!$F$4="CA",'2025'!$F$2=CO81),'2025DATA'!$H$37,"")</f>
        <v/>
      </c>
      <c r="CP116" s="518" t="str">
        <f>IF(AND(_A6="B-717",'2025'!$F$4="CA",'2025'!$F$2=CP81),'2025DATA'!$I$37,"")</f>
        <v/>
      </c>
      <c r="CQ116" s="518" t="str">
        <f>IF(AND(_A6="B-717",'2025'!$F$4="CA",'2025'!$F$2=CQ81),'2025DATA'!$J$37,"")</f>
        <v/>
      </c>
      <c r="CR116" s="518" t="str">
        <f>IF(AND(_A6="B-717",'2025'!$F$4="CA",'2025'!$F$2=CR81),'2025DATA'!$K$37,"")</f>
        <v/>
      </c>
      <c r="CS116" s="518" t="str">
        <f>IF(AND(_A6="B-717",'2025'!$F$4="CA",'2025'!$F$2=CS81),'2025DATA'!$L$37,"")</f>
        <v/>
      </c>
      <c r="CT116" s="518" t="str">
        <f>IF(AND(_A6="B-717",'2025'!$F$4="CA",'2025'!$F$2=CT81),'2025DATA'!$M$37,"")</f>
        <v/>
      </c>
      <c r="CU116" s="520" t="str">
        <f>IF(AND(_A6="B-717",'2025'!$F$4="CA",'2025'!$F$2=CU81),'2025DATA'!$N$37,"")</f>
        <v/>
      </c>
    </row>
    <row r="117" spans="16:99" ht="15.75" thickBot="1" x14ac:dyDescent="0.3">
      <c r="P117" s="941"/>
      <c r="Q117" s="521" t="s">
        <v>62</v>
      </c>
      <c r="R117" s="522" t="str">
        <f>IF(AND(_A1="B-717",'2025'!$F$4="FO",'2025'!$F$2=R81),'2025DATA'!$C$38,"")</f>
        <v/>
      </c>
      <c r="S117" s="522" t="str">
        <f>IF(AND(_A1="B-717",'2025'!$F$4="FO",'2025'!$F$2=S81),'2025DATA'!$D$38,"")</f>
        <v/>
      </c>
      <c r="T117" s="522" t="str">
        <f>IF(AND(_A1="B-717",'2025'!$F$4="FO",'2025'!$F$2=T81),'2025DATA'!$E$38,"")</f>
        <v/>
      </c>
      <c r="U117" s="522" t="str">
        <f>IF(AND(_A1="B-717",'2025'!$F$4="FO",'2025'!$F$2=U81),'2025DATA'!$F$38,"")</f>
        <v/>
      </c>
      <c r="V117" s="522" t="str">
        <f>IF(AND(_A1="B-717",'2025'!$F$4="FO",'2025'!$F$2=V81),'2025DATA'!$G$38,"")</f>
        <v/>
      </c>
      <c r="W117" s="522" t="str">
        <f>IF(AND(_A1="B-717",'2025'!$F$4="FO",'2025'!$F$2=W81),'2025DATA'!$H$38,"")</f>
        <v/>
      </c>
      <c r="X117" s="522" t="str">
        <f>IF(AND(_A1="B-717",'2025'!$F$4="FO",'2025'!$F$2=X81),'2025DATA'!$I$38,"")</f>
        <v/>
      </c>
      <c r="Y117" s="522" t="str">
        <f>IF(AND(_A1="B-717",'2025'!$F$4="FO",'2025'!$F$2=Y81),'2025DATA'!$J$38,"")</f>
        <v/>
      </c>
      <c r="Z117" s="522" t="str">
        <f>IF(AND(_A1="B-717",'2025'!$F$4="FO",'2025'!$F$2=Z81),'2025DATA'!$K$38,"")</f>
        <v/>
      </c>
      <c r="AA117" s="522" t="str">
        <f>IF(AND(_A1="B-717",'2025'!$F$4="FO",'2025'!$F$2=AA81),'2025DATA'!$L$38,"")</f>
        <v/>
      </c>
      <c r="AB117" s="522" t="str">
        <f>IF(AND(_A1="B-717",'2025'!$F$4="FO",'2025'!$F$2=AB81),'2025DATA'!$M$38,"")</f>
        <v/>
      </c>
      <c r="AC117" s="523" t="str">
        <f>IF(AND(_A1="B-717",'2025'!$F$4="FO",'2025'!$F$2=AC81),'2025DATA'!$N$38,"")</f>
        <v/>
      </c>
      <c r="AD117" s="941"/>
      <c r="AE117" s="521" t="s">
        <v>62</v>
      </c>
      <c r="AF117" s="518" t="str">
        <f>IF(AND(_A2="B-717",'2025'!$F$4="FO",'2025'!$F$2=AF81),'2025DATA'!$C$38,"")</f>
        <v/>
      </c>
      <c r="AG117" s="518" t="str">
        <f>IF(AND(_A2="B-717",'2025'!$F$4="FO",'2025'!$F$2=AG81),'2025DATA'!$D$38,"")</f>
        <v/>
      </c>
      <c r="AH117" s="518" t="str">
        <f>IF(AND(_A2="B-717",'2025'!$F$4="FO",'2025'!$F$2=AH81),'2025DATA'!$E$38,"")</f>
        <v/>
      </c>
      <c r="AI117" s="518" t="str">
        <f>IF(AND(_A2="B-717",'2025'!$F$4="FO",'2025'!$F$2=AI81),'2025DATA'!$F$38,"")</f>
        <v/>
      </c>
      <c r="AJ117" s="518" t="str">
        <f>IF(AND(_A2="B-717",'2025'!$F$4="FO",'2025'!$F$2=AJ81),'2025DATA'!$G$38,"")</f>
        <v/>
      </c>
      <c r="AK117" s="518" t="str">
        <f>IF(AND(_A2="B-717",'2025'!$F$4="FO",'2025'!$F$2=AK81),'2025DATA'!$H$38,"")</f>
        <v/>
      </c>
      <c r="AL117" s="518" t="str">
        <f>IF(AND(_A2="B-717",'2025'!$F$4="FO",'2025'!$F$2=AL81),'2025DATA'!$I$38,"")</f>
        <v/>
      </c>
      <c r="AM117" s="518" t="str">
        <f>IF(AND(_A2="B-717",'2025'!$F$4="FO",'2025'!$F$2=AM81),'2025DATA'!$J$38,"")</f>
        <v/>
      </c>
      <c r="AN117" s="518" t="str">
        <f>IF(AND(_A2="B-717",'2025'!$F$4="FO",'2025'!$F$2=AN81),'2025DATA'!$K$38,"")</f>
        <v/>
      </c>
      <c r="AO117" s="518" t="str">
        <f>IF(AND(_A2="B-717",'2025'!$F$4="FO",'2025'!$F$2=AO81),'2025DATA'!$L$38,"")</f>
        <v/>
      </c>
      <c r="AP117" s="518" t="str">
        <f>IF(AND(_A2="B-717",'2025'!$F$4="FO",'2025'!$F$2=AP81),'2025DATA'!$M$38,"")</f>
        <v/>
      </c>
      <c r="AQ117" s="520" t="str">
        <f>IF(AND(_A2="B-717",'2025'!$F$4="FO",'2025'!$F$2=AQ81),'2025DATA'!$N$38,"")</f>
        <v/>
      </c>
      <c r="AR117" s="941"/>
      <c r="AS117" s="521" t="s">
        <v>62</v>
      </c>
      <c r="AT117" s="518" t="str">
        <f>IF(AND(_A3="B-717",'2025'!$F$4="FO",'2025'!$F$2=AT81),'2025DATA'!$C$38,"")</f>
        <v/>
      </c>
      <c r="AU117" s="518" t="str">
        <f>IF(AND(_A3="B-717",'2025'!$F$4="FO",'2025'!$F$2=AU81),'2025DATA'!$D$38,"")</f>
        <v/>
      </c>
      <c r="AV117" s="518" t="str">
        <f>IF(AND(_A3="B-717",'2025'!$F$4="FO",'2025'!$F$2=AV81),'2025DATA'!$E$38,"")</f>
        <v/>
      </c>
      <c r="AW117" s="518" t="str">
        <f>IF(AND(_A3="B-717",'2025'!$F$4="FO",'2025'!$F$2=AW81),'2025DATA'!$F$38,"")</f>
        <v/>
      </c>
      <c r="AX117" s="518" t="str">
        <f>IF(AND(_A3="B-717",'2025'!$F$4="FO",'2025'!$F$2=AX81),'2025DATA'!$G$38,"")</f>
        <v/>
      </c>
      <c r="AY117" s="518" t="str">
        <f>IF(AND(_A3="B-717",'2025'!$F$4="FO",'2025'!$F$2=AY81),'2025DATA'!$H$38,"")</f>
        <v/>
      </c>
      <c r="AZ117" s="518" t="str">
        <f>IF(AND(_A3="B-717",'2025'!$F$4="FO",'2025'!$F$2=AZ81),'2025DATA'!$I$38,"")</f>
        <v/>
      </c>
      <c r="BA117" s="518" t="str">
        <f>IF(AND(_A3="B-717",'2025'!$F$4="FO",'2025'!$F$2=BA81),'2025DATA'!$J$38,"")</f>
        <v/>
      </c>
      <c r="BB117" s="518" t="str">
        <f>IF(AND(_A3="B-717",'2025'!$F$4="FO",'2025'!$F$2=BB81),'2025DATA'!$K$38,"")</f>
        <v/>
      </c>
      <c r="BC117" s="518" t="str">
        <f>IF(AND(_A3="B-717",'2025'!$F$4="FO",'2025'!$F$2=BC81),'2025DATA'!$L$38,"")</f>
        <v/>
      </c>
      <c r="BD117" s="518" t="str">
        <f>IF(AND(_A3="B-717",'2025'!$F$4="FO",'2025'!$F$2=BD81),'2025DATA'!$M$38,"")</f>
        <v/>
      </c>
      <c r="BE117" s="520" t="str">
        <f>IF(AND(_A3="B-717",'2025'!$F$4="FO",'2025'!$F$2=BE81),'2025DATA'!$N$38,"")</f>
        <v/>
      </c>
      <c r="BF117" s="941"/>
      <c r="BG117" s="521" t="s">
        <v>62</v>
      </c>
      <c r="BH117" s="518" t="str">
        <f>IF(AND(_A4="B-717",'2025'!$F$4="FO",'2025'!$F$2=BH81),'2025DATA'!$C$38,"")</f>
        <v/>
      </c>
      <c r="BI117" s="518" t="str">
        <f>IF(AND(_A4="B-717",'2025'!$F$4="FO",'2025'!$F$2=BI81),'2025DATA'!$D$38,"")</f>
        <v/>
      </c>
      <c r="BJ117" s="518" t="str">
        <f>IF(AND(_A4="B-717",'2025'!$F$4="FO",'2025'!$F$2=BJ81),'2025DATA'!$E$38,"")</f>
        <v/>
      </c>
      <c r="BK117" s="518" t="str">
        <f>IF(AND(_A4="B-717",'2025'!$F$4="FO",'2025'!$F$2=BK81),'2025DATA'!$F$38,"")</f>
        <v/>
      </c>
      <c r="BL117" s="518" t="str">
        <f>IF(AND(_A4="B-717",'2025'!$F$4="FO",'2025'!$F$2=BL81),'2025DATA'!$G$38,"")</f>
        <v/>
      </c>
      <c r="BM117" s="518" t="str">
        <f>IF(AND(_A4="B-717",'2025'!$F$4="FO",'2025'!$F$2=BM81),'2025DATA'!$H$38,"")</f>
        <v/>
      </c>
      <c r="BN117" s="518" t="str">
        <f>IF(AND(_A4="B-717",'2025'!$F$4="FO",'2025'!$F$2=BN81),'2025DATA'!$I$38,"")</f>
        <v/>
      </c>
      <c r="BO117" s="518" t="str">
        <f>IF(AND(_A4="B-717",'2025'!$F$4="FO",'2025'!$F$2=BO81),'2025DATA'!$J$38,"")</f>
        <v/>
      </c>
      <c r="BP117" s="518" t="str">
        <f>IF(AND(_A4="B-717",'2025'!$F$4="FO",'2025'!$F$2=BP81),'2025DATA'!$K$38,"")</f>
        <v/>
      </c>
      <c r="BQ117" s="518" t="str">
        <f>IF(AND(_A4="B-717",'2025'!$F$4="FO",'2025'!$F$2=BQ81),'2025DATA'!$L$38,"")</f>
        <v/>
      </c>
      <c r="BR117" s="518" t="str">
        <f>IF(AND(_A4="B-717",'2025'!$F$4="FO",'2025'!$F$2=BR81),'2025DATA'!$M$38,"")</f>
        <v/>
      </c>
      <c r="BS117" s="520" t="str">
        <f>IF(AND(_A4="B-717",'2025'!$F$4="FO",'2025'!$F$2=BS81),'2025DATA'!$N$38,"")</f>
        <v/>
      </c>
      <c r="BT117" s="941"/>
      <c r="BU117" s="521" t="s">
        <v>62</v>
      </c>
      <c r="BV117" s="518" t="str">
        <f>IF(AND(_A5="B-717",'2025'!$F$4="FO",'2025'!$F$2=BV81),'2025DATA'!$C$38,"")</f>
        <v/>
      </c>
      <c r="BW117" s="518" t="str">
        <f>IF(AND(_A5="B-717",'2025'!$F$4="FO",'2025'!$F$2=BW81),'2025DATA'!$D$38,"")</f>
        <v/>
      </c>
      <c r="BX117" s="518" t="str">
        <f>IF(AND(_A5="B-717",'2025'!$F$4="FO",'2025'!$F$2=BX81),'2025DATA'!$E$38,"")</f>
        <v/>
      </c>
      <c r="BY117" s="518" t="str">
        <f>IF(AND(_A5="B-717",'2025'!$F$4="FO",'2025'!$F$2=BY81),'2025DATA'!$F$38,"")</f>
        <v/>
      </c>
      <c r="BZ117" s="518" t="str">
        <f>IF(AND(_A5="B-717",'2025'!$F$4="FO",'2025'!$F$2=BZ81),'2025DATA'!$G$38,"")</f>
        <v/>
      </c>
      <c r="CA117" s="518" t="str">
        <f>IF(AND(_A5="B-717",'2025'!$F$4="FO",'2025'!$F$2=CA81),'2025DATA'!$H$38,"")</f>
        <v/>
      </c>
      <c r="CB117" s="518" t="str">
        <f>IF(AND(_A5="B-717",'2025'!$F$4="FO",'2025'!$F$2=CB81),'2025DATA'!$I$38,"")</f>
        <v/>
      </c>
      <c r="CC117" s="518" t="str">
        <f>IF(AND(_A5="B-717",'2025'!$F$4="FO",'2025'!$F$2=CC81),'2025DATA'!$J$38,"")</f>
        <v/>
      </c>
      <c r="CD117" s="518" t="str">
        <f>IF(AND(_A5="B-717",'2025'!$F$4="FO",'2025'!$F$2=CD81),'2025DATA'!$K$38,"")</f>
        <v/>
      </c>
      <c r="CE117" s="518" t="str">
        <f>IF(AND(_A5="B-717",'2025'!$F$4="FO",'2025'!$F$2=CE81),'2025DATA'!$L$38,"")</f>
        <v/>
      </c>
      <c r="CF117" s="518" t="str">
        <f>IF(AND(_A5="B-717",'2025'!$F$4="FO",'2025'!$F$2=CF81),'2025DATA'!$M$38,"")</f>
        <v/>
      </c>
      <c r="CG117" s="520" t="str">
        <f>IF(AND(_A5="B-717",'2025'!$F$4="FO",'2025'!$F$2=CG81),'2025DATA'!$N$38,"")</f>
        <v/>
      </c>
      <c r="CH117" s="941"/>
      <c r="CI117" s="521" t="s">
        <v>62</v>
      </c>
      <c r="CJ117" s="518" t="str">
        <f>IF(AND(_A6="B-717",'2025'!$F$4="FO",'2025'!$F$2=CJ81),'2025DATA'!$C$38,"")</f>
        <v/>
      </c>
      <c r="CK117" s="518" t="str">
        <f>IF(AND(_A6="B-717",'2025'!$F$4="FO",'2025'!$F$2=CK81),'2025DATA'!$D$38,"")</f>
        <v/>
      </c>
      <c r="CL117" s="518" t="str">
        <f>IF(AND(_A6="B-717",'2025'!$F$4="FO",'2025'!$F$2=CL81),'2025DATA'!$E$38,"")</f>
        <v/>
      </c>
      <c r="CM117" s="518" t="str">
        <f>IF(AND(_A6="B-717",'2025'!$F$4="FO",'2025'!$F$2=CM81),'2025DATA'!$F$38,"")</f>
        <v/>
      </c>
      <c r="CN117" s="518" t="str">
        <f>IF(AND(_A6="B-717",'2025'!$F$4="FO",'2025'!$F$2=CN81),'2025DATA'!$G$38,"")</f>
        <v/>
      </c>
      <c r="CO117" s="518" t="str">
        <f>IF(AND(_A6="B-717",'2025'!$F$4="FO",'2025'!$F$2=CO81),'2025DATA'!$H$38,"")</f>
        <v/>
      </c>
      <c r="CP117" s="518" t="str">
        <f>IF(AND(_A6="B-717",'2025'!$F$4="FO",'2025'!$F$2=CP81),'2025DATA'!$I$38,"")</f>
        <v/>
      </c>
      <c r="CQ117" s="518" t="str">
        <f>IF(AND(_A6="B-717",'2025'!$F$4="FO",'2025'!$F$2=CQ81),'2025DATA'!$J$38,"")</f>
        <v/>
      </c>
      <c r="CR117" s="518" t="str">
        <f>IF(AND(_A6="B-717",'2025'!$F$4="FO",'2025'!$F$2=CR81),'2025DATA'!$K$38,"")</f>
        <v/>
      </c>
      <c r="CS117" s="518" t="str">
        <f>IF(AND(_A6="B-717",'2025'!$F$4="FO",'2025'!$F$2=CS81),'2025DATA'!$L$38,"")</f>
        <v/>
      </c>
      <c r="CT117" s="518" t="str">
        <f>IF(AND(_A6="B-717",'2025'!$F$4="FO",'2025'!$F$2=CT81),'2025DATA'!$M$38,"")</f>
        <v/>
      </c>
      <c r="CU117" s="520" t="str">
        <f>IF(AND(_A6="B-717",'2025'!$F$4="FO",'2025'!$F$2=CU81),'2025DATA'!$N$38,"")</f>
        <v/>
      </c>
    </row>
    <row r="118" spans="16:99" x14ac:dyDescent="0.25">
      <c r="P118" s="943" t="s">
        <v>116</v>
      </c>
      <c r="Q118" s="944"/>
      <c r="R118" s="944"/>
      <c r="S118" s="944"/>
      <c r="T118" s="944"/>
      <c r="U118" s="944"/>
      <c r="V118" s="944"/>
      <c r="W118" s="944"/>
      <c r="X118" s="944"/>
      <c r="Y118" s="944"/>
      <c r="Z118" s="944"/>
      <c r="AA118" s="944"/>
      <c r="AB118" s="944"/>
      <c r="AC118" s="945"/>
      <c r="AD118" s="943" t="s">
        <v>117</v>
      </c>
      <c r="AE118" s="944"/>
      <c r="AF118" s="944"/>
      <c r="AG118" s="944"/>
      <c r="AH118" s="944"/>
      <c r="AI118" s="944"/>
      <c r="AJ118" s="944"/>
      <c r="AK118" s="944"/>
      <c r="AL118" s="944"/>
      <c r="AM118" s="944"/>
      <c r="AN118" s="944"/>
      <c r="AO118" s="944"/>
      <c r="AP118" s="944"/>
      <c r="AQ118" s="945"/>
      <c r="AR118" s="943" t="s">
        <v>118</v>
      </c>
      <c r="AS118" s="944"/>
      <c r="AT118" s="944"/>
      <c r="AU118" s="944"/>
      <c r="AV118" s="944"/>
      <c r="AW118" s="944"/>
      <c r="AX118" s="944"/>
      <c r="AY118" s="944"/>
      <c r="AZ118" s="944"/>
      <c r="BA118" s="944"/>
      <c r="BB118" s="944"/>
      <c r="BC118" s="944"/>
      <c r="BD118" s="944"/>
      <c r="BE118" s="945"/>
      <c r="BF118" s="943" t="s">
        <v>119</v>
      </c>
      <c r="BG118" s="944"/>
      <c r="BH118" s="944"/>
      <c r="BI118" s="944"/>
      <c r="BJ118" s="944"/>
      <c r="BK118" s="944"/>
      <c r="BL118" s="944"/>
      <c r="BM118" s="944"/>
      <c r="BN118" s="944"/>
      <c r="BO118" s="944"/>
      <c r="BP118" s="944"/>
      <c r="BQ118" s="944"/>
      <c r="BR118" s="944"/>
      <c r="BS118" s="945"/>
      <c r="BT118" s="943" t="s">
        <v>120</v>
      </c>
      <c r="BU118" s="944"/>
      <c r="BV118" s="944"/>
      <c r="BW118" s="944"/>
      <c r="BX118" s="944"/>
      <c r="BY118" s="944"/>
      <c r="BZ118" s="944"/>
      <c r="CA118" s="944"/>
      <c r="CB118" s="944"/>
      <c r="CC118" s="944"/>
      <c r="CD118" s="944"/>
      <c r="CE118" s="944"/>
      <c r="CF118" s="944"/>
      <c r="CG118" s="945"/>
      <c r="CH118" s="943" t="s">
        <v>121</v>
      </c>
      <c r="CI118" s="944"/>
      <c r="CJ118" s="944"/>
      <c r="CK118" s="944"/>
      <c r="CL118" s="944"/>
      <c r="CM118" s="944"/>
      <c r="CN118" s="944"/>
      <c r="CO118" s="944"/>
      <c r="CP118" s="944"/>
      <c r="CQ118" s="944"/>
      <c r="CR118" s="944"/>
      <c r="CS118" s="944"/>
      <c r="CT118" s="944"/>
      <c r="CU118" s="945"/>
    </row>
    <row r="119" spans="16:99" x14ac:dyDescent="0.25">
      <c r="P119" s="561">
        <v>4</v>
      </c>
      <c r="Q119" s="561">
        <f>SUM(R120:AC155)</f>
        <v>0</v>
      </c>
      <c r="R119" s="3">
        <v>12</v>
      </c>
      <c r="S119" s="3">
        <v>11</v>
      </c>
      <c r="T119" s="3">
        <v>10</v>
      </c>
      <c r="U119" s="3">
        <v>9</v>
      </c>
      <c r="V119" s="3">
        <v>8</v>
      </c>
      <c r="W119" s="3">
        <v>7</v>
      </c>
      <c r="X119" s="3">
        <v>6</v>
      </c>
      <c r="Y119" s="3">
        <v>5</v>
      </c>
      <c r="Z119" s="3">
        <v>4</v>
      </c>
      <c r="AA119" s="3">
        <v>3</v>
      </c>
      <c r="AB119" s="3">
        <v>2</v>
      </c>
      <c r="AC119" s="519">
        <v>1</v>
      </c>
      <c r="AD119" s="561">
        <v>4</v>
      </c>
      <c r="AE119" s="561">
        <f>SUM(AF120:AQ155)</f>
        <v>0</v>
      </c>
      <c r="AF119" s="3">
        <v>12</v>
      </c>
      <c r="AG119" s="3">
        <v>11</v>
      </c>
      <c r="AH119" s="3">
        <v>10</v>
      </c>
      <c r="AI119" s="3">
        <v>9</v>
      </c>
      <c r="AJ119" s="3">
        <v>8</v>
      </c>
      <c r="AK119" s="3">
        <v>7</v>
      </c>
      <c r="AL119" s="3">
        <v>6</v>
      </c>
      <c r="AM119" s="3">
        <v>5</v>
      </c>
      <c r="AN119" s="3">
        <v>4</v>
      </c>
      <c r="AO119" s="3">
        <v>3</v>
      </c>
      <c r="AP119" s="3">
        <v>2</v>
      </c>
      <c r="AQ119" s="519">
        <v>1</v>
      </c>
      <c r="AR119" s="561">
        <v>4</v>
      </c>
      <c r="AS119" s="561">
        <f>SUM(AT120:BE155)</f>
        <v>0</v>
      </c>
      <c r="AT119" s="3">
        <v>12</v>
      </c>
      <c r="AU119" s="3">
        <v>11</v>
      </c>
      <c r="AV119" s="3">
        <v>10</v>
      </c>
      <c r="AW119" s="3">
        <v>9</v>
      </c>
      <c r="AX119" s="3">
        <v>8</v>
      </c>
      <c r="AY119" s="3">
        <v>7</v>
      </c>
      <c r="AZ119" s="3">
        <v>6</v>
      </c>
      <c r="BA119" s="3">
        <v>5</v>
      </c>
      <c r="BB119" s="3">
        <v>4</v>
      </c>
      <c r="BC119" s="3">
        <v>3</v>
      </c>
      <c r="BD119" s="3">
        <v>2</v>
      </c>
      <c r="BE119" s="519">
        <v>1</v>
      </c>
      <c r="BF119" s="561">
        <v>4</v>
      </c>
      <c r="BG119" s="561">
        <f>SUM(BH120:BS155)</f>
        <v>0</v>
      </c>
      <c r="BH119" s="3">
        <v>12</v>
      </c>
      <c r="BI119" s="3">
        <v>11</v>
      </c>
      <c r="BJ119" s="3">
        <v>10</v>
      </c>
      <c r="BK119" s="3">
        <v>9</v>
      </c>
      <c r="BL119" s="3">
        <v>8</v>
      </c>
      <c r="BM119" s="3">
        <v>7</v>
      </c>
      <c r="BN119" s="3">
        <v>6</v>
      </c>
      <c r="BO119" s="3">
        <v>5</v>
      </c>
      <c r="BP119" s="3">
        <v>4</v>
      </c>
      <c r="BQ119" s="3">
        <v>3</v>
      </c>
      <c r="BR119" s="3">
        <v>2</v>
      </c>
      <c r="BS119" s="519">
        <v>1</v>
      </c>
      <c r="BT119" s="561">
        <v>4</v>
      </c>
      <c r="BU119" s="561">
        <f>SUM(BV120:CG155)</f>
        <v>0</v>
      </c>
      <c r="BV119" s="3">
        <v>12</v>
      </c>
      <c r="BW119" s="3">
        <v>11</v>
      </c>
      <c r="BX119" s="3">
        <v>10</v>
      </c>
      <c r="BY119" s="3">
        <v>9</v>
      </c>
      <c r="BZ119" s="3">
        <v>8</v>
      </c>
      <c r="CA119" s="3">
        <v>7</v>
      </c>
      <c r="CB119" s="3">
        <v>6</v>
      </c>
      <c r="CC119" s="3">
        <v>5</v>
      </c>
      <c r="CD119" s="3">
        <v>4</v>
      </c>
      <c r="CE119" s="3">
        <v>3</v>
      </c>
      <c r="CF119" s="3">
        <v>2</v>
      </c>
      <c r="CG119" s="519">
        <v>1</v>
      </c>
      <c r="CH119" s="561">
        <v>4</v>
      </c>
      <c r="CI119" s="561">
        <f>SUM(CJ120:CU155)</f>
        <v>0</v>
      </c>
      <c r="CJ119" s="3">
        <v>12</v>
      </c>
      <c r="CK119" s="3">
        <v>11</v>
      </c>
      <c r="CL119" s="3">
        <v>10</v>
      </c>
      <c r="CM119" s="3">
        <v>9</v>
      </c>
      <c r="CN119" s="3">
        <v>8</v>
      </c>
      <c r="CO119" s="3">
        <v>7</v>
      </c>
      <c r="CP119" s="3">
        <v>6</v>
      </c>
      <c r="CQ119" s="3">
        <v>5</v>
      </c>
      <c r="CR119" s="3">
        <v>4</v>
      </c>
      <c r="CS119" s="3">
        <v>3</v>
      </c>
      <c r="CT119" s="3">
        <v>2</v>
      </c>
      <c r="CU119" s="519">
        <v>1</v>
      </c>
    </row>
    <row r="120" spans="16:99" x14ac:dyDescent="0.25">
      <c r="P120" s="940" t="s">
        <v>39</v>
      </c>
      <c r="Q120" s="13" t="s">
        <v>61</v>
      </c>
      <c r="R120" s="518" t="str">
        <f>IF(AND(_A1="A-350",'2025'!$G$4="CA",'2025'!$G$2=R119),'2025DATA'!$C$3,"")</f>
        <v/>
      </c>
      <c r="S120" s="518" t="str">
        <f>IF(AND(_A1="A-350",'2025'!$G$4="CA",'2025'!$G$2=S119),'2025DATA'!$D$3,"")</f>
        <v/>
      </c>
      <c r="T120" s="518" t="str">
        <f>IF(AND(_A1="A-350",'2025'!$G$4="CA",'2025'!$G$2=T119),'2025DATA'!$E$3,"")</f>
        <v/>
      </c>
      <c r="U120" s="518" t="str">
        <f>IF(AND(_A1="A-350",'2025'!$G$4="CA",'2025'!$G$2=U119),'2025DATA'!$F$3,"")</f>
        <v/>
      </c>
      <c r="V120" s="518" t="str">
        <f>IF(AND(_A1="A-350",'2025'!$G$4="CA",'2025'!$G$2=V119),'2025DATA'!$G$3,"")</f>
        <v/>
      </c>
      <c r="W120" s="518" t="str">
        <f>IF(AND(_A1="A-350",'2025'!$G$4="CA",'2025'!$G$2=W119),'2025DATA'!$H$3,"")</f>
        <v/>
      </c>
      <c r="X120" s="518" t="str">
        <f>IF(AND(_A1="A-350",'2025'!$G$4="CA",'2025'!$G$2=X119),'2025DATA'!$I$3,"")</f>
        <v/>
      </c>
      <c r="Y120" s="518" t="str">
        <f>IF(AND(_A1="A-350",'2025'!$G$4="CA",'2025'!$G$2=Y119),'2025DATA'!$J$3,"")</f>
        <v/>
      </c>
      <c r="Z120" s="518" t="str">
        <f>IF(AND(_A1="A-350",'2025'!$G$4="CA",'2025'!$G$2=Z119),'2025DATA'!$K$3,"")</f>
        <v/>
      </c>
      <c r="AA120" s="518" t="str">
        <f>IF(AND(_A1="A-350",'2025'!$G$4="CA",'2025'!$G$2=AA119),'2025DATA'!$L$3,"")</f>
        <v/>
      </c>
      <c r="AB120" s="518" t="str">
        <f>IF(AND(_A1="A-350",'2025'!$G$4="CA",'2025'!$G$2=AB119),'2025DATA'!$M$3,"")</f>
        <v/>
      </c>
      <c r="AC120" s="520" t="str">
        <f>IF(AND(_A1="A-350",'2025'!$G$4="CA",'2025'!$G$2=AC119),'2025DATA'!$N$3,"")</f>
        <v/>
      </c>
      <c r="AD120" s="940" t="s">
        <v>39</v>
      </c>
      <c r="AE120" s="13" t="s">
        <v>61</v>
      </c>
      <c r="AF120" s="518" t="str">
        <f>IF(AND(_A2="A-350",'2025'!$G$4="CA",'2025'!$G$2=AF119),'2025DATA'!$C$3,"")</f>
        <v/>
      </c>
      <c r="AG120" s="518" t="str">
        <f>IF(AND(_A2="A-350",'2025'!$G$4="CA",'2025'!$G$2=AG119),'2025DATA'!$D$3,"")</f>
        <v/>
      </c>
      <c r="AH120" s="518" t="str">
        <f>IF(AND(_A2="A-350",'2025'!$G$4="CA",'2025'!$G$2=AH119),'2025DATA'!$E$3,"")</f>
        <v/>
      </c>
      <c r="AI120" s="518" t="str">
        <f>IF(AND(_A2="A-350",'2025'!$G$4="CA",'2025'!$G$2=AI119),'2025DATA'!$F$3,"")</f>
        <v/>
      </c>
      <c r="AJ120" s="518" t="str">
        <f>IF(AND(_A2="A-350",'2025'!$G$4="CA",'2025'!$G$2=AJ119),'2025DATA'!$G$3,"")</f>
        <v/>
      </c>
      <c r="AK120" s="518" t="str">
        <f>IF(AND(_A2="A-350",'2025'!$G$4="CA",'2025'!$G$2=AK119),'2025DATA'!$H$3,"")</f>
        <v/>
      </c>
      <c r="AL120" s="518" t="str">
        <f>IF(AND(_A2="A-350",'2025'!$G$4="CA",'2025'!$G$2=AL119),'2025DATA'!$I$3,"")</f>
        <v/>
      </c>
      <c r="AM120" s="518" t="str">
        <f>IF(AND(_A2="A-350",'2025'!$G$4="CA",'2025'!$G$2=AM119),'2025DATA'!$J$3,"")</f>
        <v/>
      </c>
      <c r="AN120" s="518" t="str">
        <f>IF(AND(_A2="A-350",'2025'!$G$4="CA",'2025'!$G$2=AN119),'2025DATA'!$K$3,"")</f>
        <v/>
      </c>
      <c r="AO120" s="518" t="str">
        <f>IF(AND(_A2="A-350",'2025'!$G$4="CA",'2025'!$G$2=AO119),'2025DATA'!$L$3,"")</f>
        <v/>
      </c>
      <c r="AP120" s="518" t="str">
        <f>IF(AND(_A2="A-350",'2025'!$G$4="CA",'2025'!$G$2=AP119),'2025DATA'!$M$3,"")</f>
        <v/>
      </c>
      <c r="AQ120" s="520" t="str">
        <f>IF(AND(_A2="A-350",'2025'!$G$4="CA",'2025'!$G$2=AQ119),'2025DATA'!$N$3,"")</f>
        <v/>
      </c>
      <c r="AR120" s="940" t="s">
        <v>39</v>
      </c>
      <c r="AS120" s="13" t="s">
        <v>61</v>
      </c>
      <c r="AT120" s="518" t="str">
        <f>IF(AND(_A3="A-350",'2025'!$G$4="CA",'2025'!$G$2=AT119),'2025DATA'!$C$3,"")</f>
        <v/>
      </c>
      <c r="AU120" s="518" t="str">
        <f>IF(AND(_A3="A-350",'2025'!$G$4="CA",'2025'!$G$2=AU119),'2025DATA'!$D$3,"")</f>
        <v/>
      </c>
      <c r="AV120" s="518" t="str">
        <f>IF(AND(_A3="A-350",'2025'!$G$4="CA",'2025'!$G$2=AV119),'2025DATA'!$E$3,"")</f>
        <v/>
      </c>
      <c r="AW120" s="518" t="str">
        <f>IF(AND(_A3="A-350",'2025'!$G$4="CA",'2025'!$G$2=AW119),'2025DATA'!$F$3,"")</f>
        <v/>
      </c>
      <c r="AX120" s="518" t="str">
        <f>IF(AND(_A3="A-350",'2025'!$G$4="CA",'2025'!$G$2=AX119),'2025DATA'!$G$3,"")</f>
        <v/>
      </c>
      <c r="AY120" s="518" t="str">
        <f>IF(AND(_A3="A-350",'2025'!$G$4="CA",'2025'!$G$2=AY119),'2025DATA'!$H$3,"")</f>
        <v/>
      </c>
      <c r="AZ120" s="518" t="str">
        <f>IF(AND(_A3="A-350",'2025'!$G$4="CA",'2025'!$G$2=AZ119),'2025DATA'!$I$3,"")</f>
        <v/>
      </c>
      <c r="BA120" s="518" t="str">
        <f>IF(AND(_A3="A-350",'2025'!$G$4="CA",'2025'!$G$2=BA119),'2025DATA'!$J$3,"")</f>
        <v/>
      </c>
      <c r="BB120" s="518" t="str">
        <f>IF(AND(_A3="A-350",'2025'!$G$4="CA",'2025'!$G$2=BB119),'2025DATA'!$K$3,"")</f>
        <v/>
      </c>
      <c r="BC120" s="518" t="str">
        <f>IF(AND(_A3="A-350",'2025'!$G$4="CA",'2025'!$G$2=BC119),'2025DATA'!$L$3,"")</f>
        <v/>
      </c>
      <c r="BD120" s="518" t="str">
        <f>IF(AND(_A3="A-350",'2025'!$G$4="CA",'2025'!$G$2=BD119),'2025DATA'!$M$3,"")</f>
        <v/>
      </c>
      <c r="BE120" s="520" t="str">
        <f>IF(AND(_A3="A-350",'2025'!$G$4="CA",'2025'!$G$2=BE119),'2025DATA'!$N$3,"")</f>
        <v/>
      </c>
      <c r="BF120" s="940" t="s">
        <v>39</v>
      </c>
      <c r="BG120" s="13" t="s">
        <v>61</v>
      </c>
      <c r="BH120" s="518" t="str">
        <f>IF(AND(_A4="A-350",'2025'!$G$4="CA",'2025'!$G$2=BH119),'2025DATA'!$C$3,"")</f>
        <v/>
      </c>
      <c r="BI120" s="518" t="str">
        <f>IF(AND(_A4="A-350",'2025'!$G$4="CA",'2025'!$G$2=BI119),'2025DATA'!$D$3,"")</f>
        <v/>
      </c>
      <c r="BJ120" s="518" t="str">
        <f>IF(AND(_A4="A-350",'2025'!$G$4="CA",'2025'!$G$2=BJ119),'2025DATA'!$E$3,"")</f>
        <v/>
      </c>
      <c r="BK120" s="518" t="str">
        <f>IF(AND(_A4="A-350",'2025'!$G$4="CA",'2025'!$G$2=BK119),'2025DATA'!$F$3,"")</f>
        <v/>
      </c>
      <c r="BL120" s="518" t="str">
        <f>IF(AND(_A4="A-350",'2025'!$G$4="CA",'2025'!$G$2=BL119),'2025DATA'!$G$3,"")</f>
        <v/>
      </c>
      <c r="BM120" s="518" t="str">
        <f>IF(AND(_A4="A-350",'2025'!$G$4="CA",'2025'!$G$2=BM119),'2025DATA'!$H$3,"")</f>
        <v/>
      </c>
      <c r="BN120" s="518" t="str">
        <f>IF(AND(_A4="A-350",'2025'!$G$4="CA",'2025'!$G$2=BN119),'2025DATA'!$I$3,"")</f>
        <v/>
      </c>
      <c r="BO120" s="518" t="str">
        <f>IF(AND(_A4="A-350",'2025'!$G$4="CA",'2025'!$G$2=BO119),'2025DATA'!$J$3,"")</f>
        <v/>
      </c>
      <c r="BP120" s="518" t="str">
        <f>IF(AND(_A4="A-350",'2025'!$G$4="CA",'2025'!$G$2=BP119),'2025DATA'!$K$3,"")</f>
        <v/>
      </c>
      <c r="BQ120" s="518" t="str">
        <f>IF(AND(_A4="A-350",'2025'!$G$4="CA",'2025'!$G$2=BQ119),'2025DATA'!$L$3,"")</f>
        <v/>
      </c>
      <c r="BR120" s="518" t="str">
        <f>IF(AND(_A4="A-350",'2025'!$G$4="CA",'2025'!$G$2=BR119),'2025DATA'!$M$3,"")</f>
        <v/>
      </c>
      <c r="BS120" s="520" t="str">
        <f>IF(AND(_A4="A-350",'2025'!$G$4="CA",'2025'!$G$2=BS119),'2025DATA'!$N$3,"")</f>
        <v/>
      </c>
      <c r="BT120" s="940" t="s">
        <v>39</v>
      </c>
      <c r="BU120" s="13" t="s">
        <v>61</v>
      </c>
      <c r="BV120" s="518" t="str">
        <f>IF(AND(_A5="A-350",'2025'!$G$4="CA",'2025'!$G$2=BV119),'2025DATA'!$C$3,"")</f>
        <v/>
      </c>
      <c r="BW120" s="518" t="str">
        <f>IF(AND(_A5="A-350",'2025'!$G$4="CA",'2025'!$G$2=BW119),'2025DATA'!$D$3,"")</f>
        <v/>
      </c>
      <c r="BX120" s="518" t="str">
        <f>IF(AND(_A5="A-350",'2025'!$G$4="CA",'2025'!$G$2=BX119),'2025DATA'!$E$3,"")</f>
        <v/>
      </c>
      <c r="BY120" s="518" t="str">
        <f>IF(AND(_A5="A-350",'2025'!$G$4="CA",'2025'!$G$2=BY119),'2025DATA'!$F$3,"")</f>
        <v/>
      </c>
      <c r="BZ120" s="518" t="str">
        <f>IF(AND(_A5="A-350",'2025'!$G$4="CA",'2025'!$G$2=BZ119),'2025DATA'!$G$3,"")</f>
        <v/>
      </c>
      <c r="CA120" s="518" t="str">
        <f>IF(AND(_A5="A-350",'2025'!$G$4="CA",'2025'!$G$2=CA119),'2025DATA'!$H$3,"")</f>
        <v/>
      </c>
      <c r="CB120" s="518" t="str">
        <f>IF(AND(_A5="A-350",'2025'!$G$4="CA",'2025'!$G$2=CB119),'2025DATA'!$I$3,"")</f>
        <v/>
      </c>
      <c r="CC120" s="518" t="str">
        <f>IF(AND(_A5="A-350",'2025'!$G$4="CA",'2025'!$G$2=CC119),'2025DATA'!$J$3,"")</f>
        <v/>
      </c>
      <c r="CD120" s="518" t="str">
        <f>IF(AND(_A5="A-350",'2025'!$G$4="CA",'2025'!$G$2=CD119),'2025DATA'!$K$3,"")</f>
        <v/>
      </c>
      <c r="CE120" s="518" t="str">
        <f>IF(AND(_A5="A-350",'2025'!$G$4="CA",'2025'!$G$2=CE119),'2025DATA'!$L$3,"")</f>
        <v/>
      </c>
      <c r="CF120" s="518" t="str">
        <f>IF(AND(_A5="A-350",'2025'!$G$4="CA",'2025'!$G$2=CF119),'2025DATA'!$M$3,"")</f>
        <v/>
      </c>
      <c r="CG120" s="520" t="str">
        <f>IF(AND(_A5="A-350",'2025'!$G$4="CA",'2025'!$G$2=CG119),'2025DATA'!$N$3,"")</f>
        <v/>
      </c>
      <c r="CH120" s="940" t="s">
        <v>39</v>
      </c>
      <c r="CI120" s="13" t="s">
        <v>61</v>
      </c>
      <c r="CJ120" s="518" t="str">
        <f>IF(AND(_A6="A-350",'2025'!$G$4="CA",'2025'!$G$2=CJ119),'2025DATA'!$C$3,"")</f>
        <v/>
      </c>
      <c r="CK120" s="518" t="str">
        <f>IF(AND(_A6="A-350",'2025'!$G$4="CA",'2025'!$G$2=CK119),'2025DATA'!$D$3,"")</f>
        <v/>
      </c>
      <c r="CL120" s="518" t="str">
        <f>IF(AND(_A6="A-350",'2025'!$G$4="CA",'2025'!$G$2=CL119),'2025DATA'!$E$3,"")</f>
        <v/>
      </c>
      <c r="CM120" s="518" t="str">
        <f>IF(AND(_A6="A-350",'2025'!$G$4="CA",'2025'!$G$2=CM119),'2025DATA'!$F$3,"")</f>
        <v/>
      </c>
      <c r="CN120" s="518" t="str">
        <f>IF(AND(_A6="A-350",'2025'!$G$4="CA",'2025'!$G$2=CN119),'2025DATA'!$G$3,"")</f>
        <v/>
      </c>
      <c r="CO120" s="518" t="str">
        <f>IF(AND(_A6="A-350",'2025'!$G$4="CA",'2025'!$G$2=CO119),'2025DATA'!$H$3,"")</f>
        <v/>
      </c>
      <c r="CP120" s="518" t="str">
        <f>IF(AND(_A6="A-350",'2025'!$G$4="CA",'2025'!$G$2=CP119),'2025DATA'!$I$3,"")</f>
        <v/>
      </c>
      <c r="CQ120" s="518" t="str">
        <f>IF(AND(_A6="A-350",'2025'!$G$4="CA",'2025'!$G$2=CQ119),'2025DATA'!$J$3,"")</f>
        <v/>
      </c>
      <c r="CR120" s="518" t="str">
        <f>IF(AND(_A6="A-350",'2025'!$G$4="CA",'2025'!$G$2=CR119),'2025DATA'!$K$3,"")</f>
        <v/>
      </c>
      <c r="CS120" s="518" t="str">
        <f>IF(AND(_A6="A-350",'2025'!$G$4="CA",'2025'!$G$2=CS119),'2025DATA'!$L$3,"")</f>
        <v/>
      </c>
      <c r="CT120" s="518" t="str">
        <f>IF(AND(_A6="A-350",'2025'!$G$4="CA",'2025'!$G$2=CT119),'2025DATA'!$M$3,"")</f>
        <v/>
      </c>
      <c r="CU120" s="520" t="str">
        <f>IF(AND(_A6="A-350",'2025'!$G$4="CA",'2025'!$G$2=CU119),'2025DATA'!$N$3,"")</f>
        <v/>
      </c>
    </row>
    <row r="121" spans="16:99" x14ac:dyDescent="0.25">
      <c r="P121" s="940"/>
      <c r="Q121" s="13" t="s">
        <v>62</v>
      </c>
      <c r="R121" s="518" t="str">
        <f>IF(AND(_A1="A-350",'2025'!$G$4="FO",'2025'!$G$2=R119),'2025DATA'!$C$4,"")</f>
        <v/>
      </c>
      <c r="S121" s="518" t="str">
        <f>IF(AND(_A1="A-350",'2025'!$G$4="FO",'2025'!$G$2=S119),'2025DATA'!$D$4,"")</f>
        <v/>
      </c>
      <c r="T121" s="518" t="str">
        <f>IF(AND(_A1="A-350",'2025'!$G$4="FO",'2025'!$G$2=T119),'2025DATA'!$E$4,"")</f>
        <v/>
      </c>
      <c r="U121" s="518" t="str">
        <f>IF(AND(_A1="A-350",'2025'!$G$4="FO",'2025'!$G$2=U119),'2025DATA'!$F$4,"")</f>
        <v/>
      </c>
      <c r="V121" s="518" t="str">
        <f>IF(AND(_A1="A-350",'2025'!$G$4="FO",'2025'!$G$2=V119),'2025DATA'!$G$4,"")</f>
        <v/>
      </c>
      <c r="W121" s="518" t="str">
        <f>IF(AND(_A1="A-350",'2025'!$G$4="FO",'2025'!$G$2=W119),'2025DATA'!$H$4,"")</f>
        <v/>
      </c>
      <c r="X121" s="518" t="str">
        <f>IF(AND(_A1="A-350",'2025'!$G$4="FO",'2025'!$G$2=X119),'2025DATA'!$I$4,"")</f>
        <v/>
      </c>
      <c r="Y121" s="518" t="str">
        <f>IF(AND(_A1="A-350",'2025'!$G$4="FO",'2025'!$G$2=Y119),'2025DATA'!$J$4,"")</f>
        <v/>
      </c>
      <c r="Z121" s="518" t="str">
        <f>IF(AND(_A1="A-350",'2025'!$G$4="FO",'2025'!$G$2=Z119),'2025DATA'!$K$4,"")</f>
        <v/>
      </c>
      <c r="AA121" s="518" t="str">
        <f>IF(AND(_A1="A-350",'2025'!$G$4="FO",'2025'!$G$2=AA119),'2025DATA'!$L$4,"")</f>
        <v/>
      </c>
      <c r="AB121" s="518" t="str">
        <f>IF(AND(_A1="A-350",'2025'!$G$4="FO",'2025'!$G$2=AB119),'2025DATA'!$M$4,"")</f>
        <v/>
      </c>
      <c r="AC121" s="520" t="str">
        <f>IF(AND(_A1="A-350",'2025'!$G$4="FO",'2025'!$G$2=AC119),'2025DATA'!$N$4,"")</f>
        <v/>
      </c>
      <c r="AD121" s="940"/>
      <c r="AE121" s="13" t="s">
        <v>62</v>
      </c>
      <c r="AF121" s="518" t="str">
        <f>IF(AND(_A2="A-350",'2025'!$G$4="FO",'2025'!$G$2=AF119),'2025DATA'!$C$4,"")</f>
        <v/>
      </c>
      <c r="AG121" s="518" t="str">
        <f>IF(AND(_A2="A-350",'2025'!$G$4="FO",'2025'!$G$2=AG119),'2025DATA'!$D$4,"")</f>
        <v/>
      </c>
      <c r="AH121" s="518" t="str">
        <f>IF(AND(_A2="A-350",'2025'!$G$4="FO",'2025'!$G$2=AH119),'2025DATA'!$E$4,"")</f>
        <v/>
      </c>
      <c r="AI121" s="518" t="str">
        <f>IF(AND(_A2="A-350",'2025'!$G$4="FO",'2025'!$G$2=AI119),'2025DATA'!$F$4,"")</f>
        <v/>
      </c>
      <c r="AJ121" s="518" t="str">
        <f>IF(AND(_A2="A-350",'2025'!$G$4="FO",'2025'!$G$2=AJ119),'2025DATA'!$G$4,"")</f>
        <v/>
      </c>
      <c r="AK121" s="518" t="str">
        <f>IF(AND(_A2="A-350",'2025'!$G$4="FO",'2025'!$G$2=AK119),'2025DATA'!$H$4,"")</f>
        <v/>
      </c>
      <c r="AL121" s="518" t="str">
        <f>IF(AND(_A2="A-350",'2025'!$G$4="FO",'2025'!$G$2=AL119),'2025DATA'!$I$4,"")</f>
        <v/>
      </c>
      <c r="AM121" s="518" t="str">
        <f>IF(AND(_A2="A-350",'2025'!$G$4="FO",'2025'!$G$2=AM119),'2025DATA'!$J$4,"")</f>
        <v/>
      </c>
      <c r="AN121" s="518" t="str">
        <f>IF(AND(_A2="A-350",'2025'!$G$4="FO",'2025'!$G$2=AN119),'2025DATA'!$K$4,"")</f>
        <v/>
      </c>
      <c r="AO121" s="518" t="str">
        <f>IF(AND(_A2="A-350",'2025'!$G$4="FO",'2025'!$G$2=AO119),'2025DATA'!$L$4,"")</f>
        <v/>
      </c>
      <c r="AP121" s="518" t="str">
        <f>IF(AND(_A2="A-350",'2025'!$G$4="FO",'2025'!$G$2=AP119),'2025DATA'!$M$4,"")</f>
        <v/>
      </c>
      <c r="AQ121" s="520" t="str">
        <f>IF(AND(_A2="A-350",'2025'!$G$4="FO",'2025'!$G$2=AQ119),'2025DATA'!$N$4,"")</f>
        <v/>
      </c>
      <c r="AR121" s="940"/>
      <c r="AS121" s="13" t="s">
        <v>62</v>
      </c>
      <c r="AT121" s="518" t="str">
        <f>IF(AND(_A3="A-350",'2025'!$G$4="FO",'2025'!$G$2=AT119),'2025DATA'!$C$4,"")</f>
        <v/>
      </c>
      <c r="AU121" s="518" t="str">
        <f>IF(AND(_A3="A-350",'2025'!$G$4="FO",'2025'!$G$2=AU119),'2025DATA'!$D$4,"")</f>
        <v/>
      </c>
      <c r="AV121" s="518" t="str">
        <f>IF(AND(_A3="A-350",'2025'!$G$4="FO",'2025'!$G$2=AV119),'2025DATA'!$E$4,"")</f>
        <v/>
      </c>
      <c r="AW121" s="518" t="str">
        <f>IF(AND(_A3="A-350",'2025'!$G$4="FO",'2025'!$G$2=AW119),'2025DATA'!$F$4,"")</f>
        <v/>
      </c>
      <c r="AX121" s="518" t="str">
        <f>IF(AND(_A3="A-350",'2025'!$G$4="FO",'2025'!$G$2=AX119),'2025DATA'!$G$4,"")</f>
        <v/>
      </c>
      <c r="AY121" s="518" t="str">
        <f>IF(AND(_A3="A-350",'2025'!$G$4="FO",'2025'!$G$2=AY119),'2025DATA'!$H$4,"")</f>
        <v/>
      </c>
      <c r="AZ121" s="518" t="str">
        <f>IF(AND(_A3="A-350",'2025'!$G$4="FO",'2025'!$G$2=AZ119),'2025DATA'!$I$4,"")</f>
        <v/>
      </c>
      <c r="BA121" s="518" t="str">
        <f>IF(AND(_A3="A-350",'2025'!$G$4="FO",'2025'!$G$2=BA119),'2025DATA'!$J$4,"")</f>
        <v/>
      </c>
      <c r="BB121" s="518" t="str">
        <f>IF(AND(_A3="A-350",'2025'!$G$4="FO",'2025'!$G$2=BB119),'2025DATA'!$K$4,"")</f>
        <v/>
      </c>
      <c r="BC121" s="518" t="str">
        <f>IF(AND(_A3="A-350",'2025'!$G$4="FO",'2025'!$G$2=BC119),'2025DATA'!$L$4,"")</f>
        <v/>
      </c>
      <c r="BD121" s="518" t="str">
        <f>IF(AND(_A3="A-350",'2025'!$G$4="FO",'2025'!$G$2=BD119),'2025DATA'!$M$4,"")</f>
        <v/>
      </c>
      <c r="BE121" s="520" t="str">
        <f>IF(AND(_A3="A-350",'2025'!$G$4="FO",'2025'!$G$2=BE119),'2025DATA'!$N$4,"")</f>
        <v/>
      </c>
      <c r="BF121" s="940"/>
      <c r="BG121" s="13" t="s">
        <v>62</v>
      </c>
      <c r="BH121" s="518" t="str">
        <f>IF(AND(_A4="A-350",'2025'!$G$4="FO",'2025'!$G$2=BH119),'2025DATA'!$C$4,"")</f>
        <v/>
      </c>
      <c r="BI121" s="518" t="str">
        <f>IF(AND(_A4="A-350",'2025'!$G$4="FO",'2025'!$G$2=BI119),'2025DATA'!$D$4,"")</f>
        <v/>
      </c>
      <c r="BJ121" s="518" t="str">
        <f>IF(AND(_A4="A-350",'2025'!$G$4="FO",'2025'!$G$2=BJ119),'2025DATA'!$E$4,"")</f>
        <v/>
      </c>
      <c r="BK121" s="518" t="str">
        <f>IF(AND(_A4="A-350",'2025'!$G$4="FO",'2025'!$G$2=BK119),'2025DATA'!$F$4,"")</f>
        <v/>
      </c>
      <c r="BL121" s="518" t="str">
        <f>IF(AND(_A4="A-350",'2025'!$G$4="FO",'2025'!$G$2=BL119),'2025DATA'!$G$4,"")</f>
        <v/>
      </c>
      <c r="BM121" s="518" t="str">
        <f>IF(AND(_A4="A-350",'2025'!$G$4="FO",'2025'!$G$2=BM119),'2025DATA'!$H$4,"")</f>
        <v/>
      </c>
      <c r="BN121" s="518" t="str">
        <f>IF(AND(_A4="A-350",'2025'!$G$4="FO",'2025'!$G$2=BN119),'2025DATA'!$I$4,"")</f>
        <v/>
      </c>
      <c r="BO121" s="518" t="str">
        <f>IF(AND(_A4="A-350",'2025'!$G$4="FO",'2025'!$G$2=BO119),'2025DATA'!$J$4,"")</f>
        <v/>
      </c>
      <c r="BP121" s="518" t="str">
        <f>IF(AND(_A4="A-350",'2025'!$G$4="FO",'2025'!$G$2=BP119),'2025DATA'!$K$4,"")</f>
        <v/>
      </c>
      <c r="BQ121" s="518" t="str">
        <f>IF(AND(_A4="A-350",'2025'!$G$4="FO",'2025'!$G$2=BQ119),'2025DATA'!$L$4,"")</f>
        <v/>
      </c>
      <c r="BR121" s="518" t="str">
        <f>IF(AND(_A4="A-350",'2025'!$G$4="FO",'2025'!$G$2=BR119),'2025DATA'!$M$4,"")</f>
        <v/>
      </c>
      <c r="BS121" s="520" t="str">
        <f>IF(AND(_A4="A-350",'2025'!$G$4="FO",'2025'!$G$2=BS119),'2025DATA'!$N$4,"")</f>
        <v/>
      </c>
      <c r="BT121" s="940"/>
      <c r="BU121" s="13" t="s">
        <v>62</v>
      </c>
      <c r="BV121" s="518" t="str">
        <f>IF(AND(_A5="A-350",'2025'!$G$4="FO",'2025'!$G$2=BV119),'2025DATA'!$C$4,"")</f>
        <v/>
      </c>
      <c r="BW121" s="518" t="str">
        <f>IF(AND(_A5="A-350",'2025'!$G$4="FO",'2025'!$G$2=BW119),'2025DATA'!$D$4,"")</f>
        <v/>
      </c>
      <c r="BX121" s="518" t="str">
        <f>IF(AND(_A5="A-350",'2025'!$G$4="FO",'2025'!$G$2=BX119),'2025DATA'!$E$4,"")</f>
        <v/>
      </c>
      <c r="BY121" s="518" t="str">
        <f>IF(AND(_A5="A-350",'2025'!$G$4="FO",'2025'!$G$2=BY119),'2025DATA'!$F$4,"")</f>
        <v/>
      </c>
      <c r="BZ121" s="518" t="str">
        <f>IF(AND(_A5="A-350",'2025'!$G$4="FO",'2025'!$G$2=BZ119),'2025DATA'!$G$4,"")</f>
        <v/>
      </c>
      <c r="CA121" s="518" t="str">
        <f>IF(AND(_A5="A-350",'2025'!$G$4="FO",'2025'!$G$2=CA119),'2025DATA'!$H$4,"")</f>
        <v/>
      </c>
      <c r="CB121" s="518" t="str">
        <f>IF(AND(_A5="A-350",'2025'!$G$4="FO",'2025'!$G$2=CB119),'2025DATA'!$I$4,"")</f>
        <v/>
      </c>
      <c r="CC121" s="518" t="str">
        <f>IF(AND(_A5="A-350",'2025'!$G$4="FO",'2025'!$G$2=CC119),'2025DATA'!$J$4,"")</f>
        <v/>
      </c>
      <c r="CD121" s="518" t="str">
        <f>IF(AND(_A5="A-350",'2025'!$G$4="FO",'2025'!$G$2=CD119),'2025DATA'!$K$4,"")</f>
        <v/>
      </c>
      <c r="CE121" s="518" t="str">
        <f>IF(AND(_A5="A-350",'2025'!$G$4="FO",'2025'!$G$2=CE119),'2025DATA'!$L$4,"")</f>
        <v/>
      </c>
      <c r="CF121" s="518" t="str">
        <f>IF(AND(_A5="A-350",'2025'!$G$4="FO",'2025'!$G$2=CF119),'2025DATA'!$M$4,"")</f>
        <v/>
      </c>
      <c r="CG121" s="520" t="str">
        <f>IF(AND(_A5="A-350",'2025'!$G$4="FO",'2025'!$G$2=CG119),'2025DATA'!$N$4,"")</f>
        <v/>
      </c>
      <c r="CH121" s="940"/>
      <c r="CI121" s="13" t="s">
        <v>62</v>
      </c>
      <c r="CJ121" s="518" t="str">
        <f>IF(AND(_A6="A-350",'2025'!$G$4="FO",'2025'!$G$2=CJ119),'2025DATA'!$C$4,"")</f>
        <v/>
      </c>
      <c r="CK121" s="518" t="str">
        <f>IF(AND(_A6="A-350",'2025'!$G$4="FO",'2025'!$G$2=CK119),'2025DATA'!$D$4,"")</f>
        <v/>
      </c>
      <c r="CL121" s="518" t="str">
        <f>IF(AND(_A6="A-350",'2025'!$G$4="FO",'2025'!$G$2=CL119),'2025DATA'!$E$4,"")</f>
        <v/>
      </c>
      <c r="CM121" s="518" t="str">
        <f>IF(AND(_A6="A-350",'2025'!$G$4="FO",'2025'!$G$2=CM119),'2025DATA'!$F$4,"")</f>
        <v/>
      </c>
      <c r="CN121" s="518" t="str">
        <f>IF(AND(_A6="A-350",'2025'!$G$4="FO",'2025'!$G$2=CN119),'2025DATA'!$G$4,"")</f>
        <v/>
      </c>
      <c r="CO121" s="518" t="str">
        <f>IF(AND(_A6="A-350",'2025'!$G$4="FO",'2025'!$G$2=CO119),'2025DATA'!$H$4,"")</f>
        <v/>
      </c>
      <c r="CP121" s="518" t="str">
        <f>IF(AND(_A6="A-350",'2025'!$G$4="FO",'2025'!$G$2=CP119),'2025DATA'!$I$4,"")</f>
        <v/>
      </c>
      <c r="CQ121" s="518" t="str">
        <f>IF(AND(_A6="A-350",'2025'!$G$4="FO",'2025'!$G$2=CQ119),'2025DATA'!$J$4,"")</f>
        <v/>
      </c>
      <c r="CR121" s="518" t="str">
        <f>IF(AND(_A6="A-350",'2025'!$G$4="FO",'2025'!$G$2=CR119),'2025DATA'!$K$4,"")</f>
        <v/>
      </c>
      <c r="CS121" s="518" t="str">
        <f>IF(AND(_A6="A-350",'2025'!$G$4="FO",'2025'!$G$2=CS119),'2025DATA'!$L$4,"")</f>
        <v/>
      </c>
      <c r="CT121" s="518" t="str">
        <f>IF(AND(_A6="A-350",'2025'!$G$4="FO",'2025'!$G$2=CT119),'2025DATA'!$M$4,"")</f>
        <v/>
      </c>
      <c r="CU121" s="520" t="str">
        <f>IF(AND(_A6="A-350",'2025'!$G$4="FO",'2025'!$G$2=CU119),'2025DATA'!$N$4,"")</f>
        <v/>
      </c>
    </row>
    <row r="122" spans="16:99" x14ac:dyDescent="0.25">
      <c r="P122" s="940" t="s">
        <v>65</v>
      </c>
      <c r="Q122" s="13" t="s">
        <v>61</v>
      </c>
      <c r="R122" s="518" t="str">
        <f>IF(AND(_A1="A-330-900",'2025'!$G$4="CA",'2025'!$G$2=R119),'2025DATA'!$C$5,"")</f>
        <v/>
      </c>
      <c r="S122" s="518" t="str">
        <f>IF(AND(_A1="A-330-900",'2025'!$G$4="CA",'2025'!$G$2=S119),'2025DATA'!$D$5,"")</f>
        <v/>
      </c>
      <c r="T122" s="518" t="str">
        <f>IF(AND(_A1="A-330-900",'2025'!$G$4="CA",'2025'!$G$2=T119),'2025DATA'!$E$5,"")</f>
        <v/>
      </c>
      <c r="U122" s="518" t="str">
        <f>IF(AND(_A1="A-330-900",'2025'!$G$4="CA",'2025'!$G$2=U119),'2025DATA'!$F$5,"")</f>
        <v/>
      </c>
      <c r="V122" s="518" t="str">
        <f>IF(AND(_A1="A-330-900",'2025'!$G$4="CA",'2025'!$G$2=V119),'2025DATA'!$G$5,"")</f>
        <v/>
      </c>
      <c r="W122" s="518" t="str">
        <f>IF(AND(_A1="A-330-900",'2025'!$G$4="CA",'2025'!$G$2=W119),'2025DATA'!$H$5,"")</f>
        <v/>
      </c>
      <c r="X122" s="518" t="str">
        <f>IF(AND(_A1="A-330-900",'2025'!$G$4="CA",'2025'!$G$2=X119),'2025DATA'!$I$5,"")</f>
        <v/>
      </c>
      <c r="Y122" s="518" t="str">
        <f>IF(AND(_A1="A-330-900",'2025'!$G$4="CA",'2025'!$G$2=Y119),'2025DATA'!$J$5,"")</f>
        <v/>
      </c>
      <c r="Z122" s="518" t="str">
        <f>IF(AND(_A1="A-330-900",'2025'!$G$4="CA",'2025'!$G$2=Z119),'2025DATA'!$K$5,"")</f>
        <v/>
      </c>
      <c r="AA122" s="518" t="str">
        <f>IF(AND(_A1="A-330-900",'2025'!$G$4="CA",'2025'!$G$2=AA119),'2025DATA'!$L$5,"")</f>
        <v/>
      </c>
      <c r="AB122" s="518" t="str">
        <f>IF(AND(_A1="A-330-900",'2025'!$G$4="CA",'2025'!$G$2=AB119),'2025DATA'!$M$5,"")</f>
        <v/>
      </c>
      <c r="AC122" s="520" t="str">
        <f>IF(AND(_A1="A-330-900",'2025'!$G$4="CA",'2025'!$G$2=AC119),'2025DATA'!$N$5,"")</f>
        <v/>
      </c>
      <c r="AD122" s="940" t="s">
        <v>65</v>
      </c>
      <c r="AE122" s="13" t="s">
        <v>61</v>
      </c>
      <c r="AF122" s="518" t="str">
        <f>IF(AND(_A2="A-330-900",'2025'!$G$4="CA",'2025'!$G$2=AF119),'2025DATA'!$C$5,"")</f>
        <v/>
      </c>
      <c r="AG122" s="518" t="str">
        <f>IF(AND(_A2="A-330-900",'2025'!$G$4="CA",'2025'!$G$2=AG119),'2025DATA'!$D$5,"")</f>
        <v/>
      </c>
      <c r="AH122" s="518" t="str">
        <f>IF(AND(_A2="A-330-900",'2025'!$G$4="CA",'2025'!$G$2=AH119),'2025DATA'!$E$5,"")</f>
        <v/>
      </c>
      <c r="AI122" s="518" t="str">
        <f>IF(AND(_A2="A-330-900",'2025'!$G$4="CA",'2025'!$G$2=AI119),'2025DATA'!$F$5,"")</f>
        <v/>
      </c>
      <c r="AJ122" s="518" t="str">
        <f>IF(AND(_A2="A-330-900",'2025'!$G$4="CA",'2025'!$G$2=AJ119),'2025DATA'!$G$5,"")</f>
        <v/>
      </c>
      <c r="AK122" s="518" t="str">
        <f>IF(AND(_A2="A-330-900",'2025'!$G$4="CA",'2025'!$G$2=AK119),'2025DATA'!$H$5,"")</f>
        <v/>
      </c>
      <c r="AL122" s="518" t="str">
        <f>IF(AND(_A2="A-330-900",'2025'!$G$4="CA",'2025'!$G$2=AL119),'2025DATA'!$I$5,"")</f>
        <v/>
      </c>
      <c r="AM122" s="518" t="str">
        <f>IF(AND(_A2="A-330-900",'2025'!$G$4="CA",'2025'!$G$2=AM119),'2025DATA'!$J$5,"")</f>
        <v/>
      </c>
      <c r="AN122" s="518" t="str">
        <f>IF(AND(_A2="A-330-900",'2025'!$G$4="CA",'2025'!$G$2=AN119),'2025DATA'!$K$5,"")</f>
        <v/>
      </c>
      <c r="AO122" s="518" t="str">
        <f>IF(AND(_A2="A-330-900",'2025'!$G$4="CA",'2025'!$G$2=AO119),'2025DATA'!$L$5,"")</f>
        <v/>
      </c>
      <c r="AP122" s="518" t="str">
        <f>IF(AND(_A2="A-330-900",'2025'!$G$4="CA",'2025'!$G$2=AP119),'2025DATA'!$M$5,"")</f>
        <v/>
      </c>
      <c r="AQ122" s="520" t="str">
        <f>IF(AND(_A2="A-330-900",'2025'!$G$4="CA",'2025'!$G$2=AQ119),'2025DATA'!$N$5,"")</f>
        <v/>
      </c>
      <c r="AR122" s="940" t="s">
        <v>65</v>
      </c>
      <c r="AS122" s="13" t="s">
        <v>61</v>
      </c>
      <c r="AT122" s="518" t="str">
        <f>IF(AND(_A3="A-330-900",'2025'!$G$4="CA",'2025'!$G$2=AT119),'2025DATA'!$C$5,"")</f>
        <v/>
      </c>
      <c r="AU122" s="518" t="str">
        <f>IF(AND(_A3="A-330-900",'2025'!$G$4="CA",'2025'!$G$2=AU119),'2025DATA'!$D$5,"")</f>
        <v/>
      </c>
      <c r="AV122" s="518" t="str">
        <f>IF(AND(_A3="A-330-900",'2025'!$G$4="CA",'2025'!$G$2=AV119),'2025DATA'!$E$5,"")</f>
        <v/>
      </c>
      <c r="AW122" s="518" t="str">
        <f>IF(AND(_A3="A-330-900",'2025'!$G$4="CA",'2025'!$G$2=AW119),'2025DATA'!$F$5,"")</f>
        <v/>
      </c>
      <c r="AX122" s="518" t="str">
        <f>IF(AND(_A3="A-330-900",'2025'!$G$4="CA",'2025'!$G$2=AX119),'2025DATA'!$G$5,"")</f>
        <v/>
      </c>
      <c r="AY122" s="518" t="str">
        <f>IF(AND(_A3="A-330-900",'2025'!$G$4="CA",'2025'!$G$2=AY119),'2025DATA'!$H$5,"")</f>
        <v/>
      </c>
      <c r="AZ122" s="518" t="str">
        <f>IF(AND(_A3="A-330-900",'2025'!$G$4="CA",'2025'!$G$2=AZ119),'2025DATA'!$I$5,"")</f>
        <v/>
      </c>
      <c r="BA122" s="518" t="str">
        <f>IF(AND(_A3="A-330-900",'2025'!$G$4="CA",'2025'!$G$2=BA119),'2025DATA'!$J$5,"")</f>
        <v/>
      </c>
      <c r="BB122" s="518" t="str">
        <f>IF(AND(_A3="A-330-900",'2025'!$G$4="CA",'2025'!$G$2=BB119),'2025DATA'!$K$5,"")</f>
        <v/>
      </c>
      <c r="BC122" s="518" t="str">
        <f>IF(AND(_A3="A-330-900",'2025'!$G$4="CA",'2025'!$G$2=BC119),'2025DATA'!$L$5,"")</f>
        <v/>
      </c>
      <c r="BD122" s="518" t="str">
        <f>IF(AND(_A3="A-330-900",'2025'!$G$4="CA",'2025'!$G$2=BD119),'2025DATA'!$M$5,"")</f>
        <v/>
      </c>
      <c r="BE122" s="520" t="str">
        <f>IF(AND(_A3="A-330-900",'2025'!$G$4="CA",'2025'!$G$2=BE119),'2025DATA'!$N$5,"")</f>
        <v/>
      </c>
      <c r="BF122" s="940" t="s">
        <v>65</v>
      </c>
      <c r="BG122" s="13" t="s">
        <v>61</v>
      </c>
      <c r="BH122" s="518" t="str">
        <f>IF(AND(_A4="A-330-900",'2025'!$G$4="CA",'2025'!$G$2=BH119),'2025DATA'!$C$5,"")</f>
        <v/>
      </c>
      <c r="BI122" s="518" t="str">
        <f>IF(AND(_A4="A-330-900",'2025'!$G$4="CA",'2025'!$G$2=BI119),'2025DATA'!$D$5,"")</f>
        <v/>
      </c>
      <c r="BJ122" s="518" t="str">
        <f>IF(AND(_A4="A-330-900",'2025'!$G$4="CA",'2025'!$G$2=BJ119),'2025DATA'!$E$5,"")</f>
        <v/>
      </c>
      <c r="BK122" s="518" t="str">
        <f>IF(AND(_A4="A-330-900",'2025'!$G$4="CA",'2025'!$G$2=BK119),'2025DATA'!$F$5,"")</f>
        <v/>
      </c>
      <c r="BL122" s="518" t="str">
        <f>IF(AND(_A4="A-330-900",'2025'!$G$4="CA",'2025'!$G$2=BL119),'2025DATA'!$G$5,"")</f>
        <v/>
      </c>
      <c r="BM122" s="518" t="str">
        <f>IF(AND(_A4="A-330-900",'2025'!$G$4="CA",'2025'!$G$2=BM119),'2025DATA'!$H$5,"")</f>
        <v/>
      </c>
      <c r="BN122" s="518" t="str">
        <f>IF(AND(_A4="A-330-900",'2025'!$G$4="CA",'2025'!$G$2=BN119),'2025DATA'!$I$5,"")</f>
        <v/>
      </c>
      <c r="BO122" s="518" t="str">
        <f>IF(AND(_A4="A-330-900",'2025'!$G$4="CA",'2025'!$G$2=BO119),'2025DATA'!$J$5,"")</f>
        <v/>
      </c>
      <c r="BP122" s="518" t="str">
        <f>IF(AND(_A4="A-330-900",'2025'!$G$4="CA",'2025'!$G$2=BP119),'2025DATA'!$K$5,"")</f>
        <v/>
      </c>
      <c r="BQ122" s="518" t="str">
        <f>IF(AND(_A4="A-330-900",'2025'!$G$4="CA",'2025'!$G$2=BQ119),'2025DATA'!$L$5,"")</f>
        <v/>
      </c>
      <c r="BR122" s="518" t="str">
        <f>IF(AND(_A4="A-330-900",'2025'!$G$4="CA",'2025'!$G$2=BR119),'2025DATA'!$M$5,"")</f>
        <v/>
      </c>
      <c r="BS122" s="520" t="str">
        <f>IF(AND(_A4="A-330-900",'2025'!$G$4="CA",'2025'!$G$2=BS119),'2025DATA'!$N$5,"")</f>
        <v/>
      </c>
      <c r="BT122" s="940" t="s">
        <v>65</v>
      </c>
      <c r="BU122" s="13" t="s">
        <v>61</v>
      </c>
      <c r="BV122" s="518" t="str">
        <f>IF(AND(_A5="A-330-900",'2025'!$G$4="CA",'2025'!$G$2=BV119),'2025DATA'!$C$5,"")</f>
        <v/>
      </c>
      <c r="BW122" s="518" t="str">
        <f>IF(AND(_A5="A-330-900",'2025'!$G$4="CA",'2025'!$G$2=BW119),'2025DATA'!$D$5,"")</f>
        <v/>
      </c>
      <c r="BX122" s="518" t="str">
        <f>IF(AND(_A5="A-330-900",'2025'!$G$4="CA",'2025'!$G$2=BX119),'2025DATA'!$E$5,"")</f>
        <v/>
      </c>
      <c r="BY122" s="518" t="str">
        <f>IF(AND(_A5="A-330-900",'2025'!$G$4="CA",'2025'!$G$2=BY119),'2025DATA'!$F$5,"")</f>
        <v/>
      </c>
      <c r="BZ122" s="518" t="str">
        <f>IF(AND(_A5="A-330-900",'2025'!$G$4="CA",'2025'!$G$2=BZ119),'2025DATA'!$G$5,"")</f>
        <v/>
      </c>
      <c r="CA122" s="518" t="str">
        <f>IF(AND(_A5="A-330-900",'2025'!$G$4="CA",'2025'!$G$2=CA119),'2025DATA'!$H$5,"")</f>
        <v/>
      </c>
      <c r="CB122" s="518" t="str">
        <f>IF(AND(_A5="A-330-900",'2025'!$G$4="CA",'2025'!$G$2=CB119),'2025DATA'!$I$5,"")</f>
        <v/>
      </c>
      <c r="CC122" s="518" t="str">
        <f>IF(AND(_A5="A-330-900",'2025'!$G$4="CA",'2025'!$G$2=CC119),'2025DATA'!$J$5,"")</f>
        <v/>
      </c>
      <c r="CD122" s="518" t="str">
        <f>IF(AND(_A5="A-330-900",'2025'!$G$4="CA",'2025'!$G$2=CD119),'2025DATA'!$K$5,"")</f>
        <v/>
      </c>
      <c r="CE122" s="518" t="str">
        <f>IF(AND(_A5="A-330-900",'2025'!$G$4="CA",'2025'!$G$2=CE119),'2025DATA'!$L$5,"")</f>
        <v/>
      </c>
      <c r="CF122" s="518" t="str">
        <f>IF(AND(_A5="A-330-900",'2025'!$G$4="CA",'2025'!$G$2=CF119),'2025DATA'!$M$5,"")</f>
        <v/>
      </c>
      <c r="CG122" s="520" t="str">
        <f>IF(AND(_A5="A-330-900",'2025'!$G$4="CA",'2025'!$G$2=CG119),'2025DATA'!$N$5,"")</f>
        <v/>
      </c>
      <c r="CH122" s="940" t="s">
        <v>65</v>
      </c>
      <c r="CI122" s="13" t="s">
        <v>61</v>
      </c>
      <c r="CJ122" s="518" t="str">
        <f>IF(AND(_A6="A-330-900",'2025'!$G$4="CA",'2025'!$G$2=CJ119),'2025DATA'!$C$5,"")</f>
        <v/>
      </c>
      <c r="CK122" s="518" t="str">
        <f>IF(AND(_A6="A-330-900",'2025'!$G$4="CA",'2025'!$G$2=CK119),'2025DATA'!$D$5,"")</f>
        <v/>
      </c>
      <c r="CL122" s="518" t="str">
        <f>IF(AND(_A6="A-330-900",'2025'!$G$4="CA",'2025'!$G$2=CL119),'2025DATA'!$E$5,"")</f>
        <v/>
      </c>
      <c r="CM122" s="518" t="str">
        <f>IF(AND(_A6="A-330-900",'2025'!$G$4="CA",'2025'!$G$2=CM119),'2025DATA'!$F$5,"")</f>
        <v/>
      </c>
      <c r="CN122" s="518" t="str">
        <f>IF(AND(_A6="A-330-900",'2025'!$G$4="CA",'2025'!$G$2=CN119),'2025DATA'!$G$5,"")</f>
        <v/>
      </c>
      <c r="CO122" s="518" t="str">
        <f>IF(AND(_A6="A-330-900",'2025'!$G$4="CA",'2025'!$G$2=CO119),'2025DATA'!$H$5,"")</f>
        <v/>
      </c>
      <c r="CP122" s="518" t="str">
        <f>IF(AND(_A6="A-330-900",'2025'!$G$4="CA",'2025'!$G$2=CP119),'2025DATA'!$I$5,"")</f>
        <v/>
      </c>
      <c r="CQ122" s="518" t="str">
        <f>IF(AND(_A6="A-330-900",'2025'!$G$4="CA",'2025'!$G$2=CQ119),'2025DATA'!$J$5,"")</f>
        <v/>
      </c>
      <c r="CR122" s="518" t="str">
        <f>IF(AND(_A6="A-330-900",'2025'!$G$4="CA",'2025'!$G$2=CR119),'2025DATA'!$K$5,"")</f>
        <v/>
      </c>
      <c r="CS122" s="518" t="str">
        <f>IF(AND(_A6="A-330-900",'2025'!$G$4="CA",'2025'!$G$2=CS119),'2025DATA'!$L$5,"")</f>
        <v/>
      </c>
      <c r="CT122" s="518" t="str">
        <f>IF(AND(_A6="A-330-900",'2025'!$G$4="CA",'2025'!$G$2=CT119),'2025DATA'!$M$5,"")</f>
        <v/>
      </c>
      <c r="CU122" s="520" t="str">
        <f>IF(AND(_A6="A-330-900",'2025'!$G$4="CA",'2025'!$G$2=CU119),'2025DATA'!$N$5,"")</f>
        <v/>
      </c>
    </row>
    <row r="123" spans="16:99" x14ac:dyDescent="0.25">
      <c r="P123" s="940"/>
      <c r="Q123" s="13" t="s">
        <v>62</v>
      </c>
      <c r="R123" s="518" t="str">
        <f>IF(AND(_A1="A-330-900",'2025'!$G$4="FO",'2025'!$G$2=R119),'2025DATA'!$C$6,"")</f>
        <v/>
      </c>
      <c r="S123" s="518" t="str">
        <f>IF(AND(_A1="A-330-900",'2025'!$G$4="FO",'2025'!$G$2=S119),'2025DATA'!$D$6,"")</f>
        <v/>
      </c>
      <c r="T123" s="518" t="str">
        <f>IF(AND(_A1="A-330-900",'2025'!$G$4="FO",'2025'!$G$2=T119),'2025DATA'!$E$6,"")</f>
        <v/>
      </c>
      <c r="U123" s="518" t="str">
        <f>IF(AND(_A1="A-330-900",'2025'!$G$4="FO",'2025'!$G$2=U119),'2025DATA'!$F$6,"")</f>
        <v/>
      </c>
      <c r="V123" s="518" t="str">
        <f>IF(AND(_A1="A-330-900",'2025'!$G$4="FO",'2025'!$G$2=V119),'2025DATA'!$G$6,"")</f>
        <v/>
      </c>
      <c r="W123" s="518" t="str">
        <f>IF(AND(_A1="A-330-900",'2025'!$G$4="FO",'2025'!$G$2=W119),'2025DATA'!$H$6,"")</f>
        <v/>
      </c>
      <c r="X123" s="518" t="str">
        <f>IF(AND(_A1="A-330-900",'2025'!$G$4="FO",'2025'!$G$2=X119),'2025DATA'!$I$6,"")</f>
        <v/>
      </c>
      <c r="Y123" s="518" t="str">
        <f>IF(AND(_A1="A-330-900",'2025'!$G$4="FO",'2025'!$G$2=Y119),'2025DATA'!$J$6,"")</f>
        <v/>
      </c>
      <c r="Z123" s="518" t="str">
        <f>IF(AND(_A1="A-330-900",'2025'!$G$4="FO",'2025'!$G$2=Z119),'2025DATA'!$K$6,"")</f>
        <v/>
      </c>
      <c r="AA123" s="518" t="str">
        <f>IF(AND(_A1="A-330-900",'2025'!$G$4="FO",'2025'!$G$2=AA119),'2025DATA'!$L$6,"")</f>
        <v/>
      </c>
      <c r="AB123" s="518" t="str">
        <f>IF(AND(_A1="A-330-900",'2025'!$G$4="FO",'2025'!$G$2=AB119),'2025DATA'!$M$6,"")</f>
        <v/>
      </c>
      <c r="AC123" s="520" t="str">
        <f>IF(AND(_A1="A-330-900",'2025'!$G$4="FO",'2025'!$G$2=AC119),'2025DATA'!$N$6,"")</f>
        <v/>
      </c>
      <c r="AD123" s="940"/>
      <c r="AE123" s="13" t="s">
        <v>62</v>
      </c>
      <c r="AF123" s="518" t="str">
        <f>IF(AND(_A2="A-330-900",'2025'!$G$4="FO",'2025'!$G$2=AF119),'2025DATA'!$C$6,"")</f>
        <v/>
      </c>
      <c r="AG123" s="518" t="str">
        <f>IF(AND(_A2="A-330-900",'2025'!$G$4="FO",'2025'!$G$2=AG119),'2025DATA'!$D$6,"")</f>
        <v/>
      </c>
      <c r="AH123" s="518" t="str">
        <f>IF(AND(_A2="A-330-900",'2025'!$G$4="FO",'2025'!$G$2=AH119),'2025DATA'!$E$6,"")</f>
        <v/>
      </c>
      <c r="AI123" s="518" t="str">
        <f>IF(AND(_A2="A-330-900",'2025'!$G$4="FO",'2025'!$G$2=AI119),'2025DATA'!$F$6,"")</f>
        <v/>
      </c>
      <c r="AJ123" s="518" t="str">
        <f>IF(AND(_A2="A-330-900",'2025'!$G$4="FO",'2025'!$G$2=AJ119),'2025DATA'!$G$6,"")</f>
        <v/>
      </c>
      <c r="AK123" s="518" t="str">
        <f>IF(AND(_A2="A-330-900",'2025'!$G$4="FO",'2025'!$G$2=AK119),'2025DATA'!$H$6,"")</f>
        <v/>
      </c>
      <c r="AL123" s="518" t="str">
        <f>IF(AND(_A2="A-330-900",'2025'!$G$4="FO",'2025'!$G$2=AL119),'2025DATA'!$I$6,"")</f>
        <v/>
      </c>
      <c r="AM123" s="518" t="str">
        <f>IF(AND(_A2="A-330-900",'2025'!$G$4="FO",'2025'!$G$2=AM119),'2025DATA'!$J$6,"")</f>
        <v/>
      </c>
      <c r="AN123" s="518" t="str">
        <f>IF(AND(_A2="A-330-900",'2025'!$G$4="FO",'2025'!$G$2=AN119),'2025DATA'!$K$6,"")</f>
        <v/>
      </c>
      <c r="AO123" s="518" t="str">
        <f>IF(AND(_A2="A-330-900",'2025'!$G$4="FO",'2025'!$G$2=AO119),'2025DATA'!$L$6,"")</f>
        <v/>
      </c>
      <c r="AP123" s="518" t="str">
        <f>IF(AND(_A2="A-330-900",'2025'!$G$4="FO",'2025'!$G$2=AP119),'2025DATA'!$M$6,"")</f>
        <v/>
      </c>
      <c r="AQ123" s="520" t="str">
        <f>IF(AND(_A2="A-330-900",'2025'!$G$4="FO",'2025'!$G$2=AQ119),'2025DATA'!$N$6,"")</f>
        <v/>
      </c>
      <c r="AR123" s="940"/>
      <c r="AS123" s="13" t="s">
        <v>62</v>
      </c>
      <c r="AT123" s="518" t="str">
        <f>IF(AND(_A3="A-330-900",'2025'!$G$4="FO",'2025'!$G$2=AT119),'2025DATA'!$C$6,"")</f>
        <v/>
      </c>
      <c r="AU123" s="518" t="str">
        <f>IF(AND(_A3="A-330-900",'2025'!$G$4="FO",'2025'!$G$2=AU119),'2025DATA'!$D$6,"")</f>
        <v/>
      </c>
      <c r="AV123" s="518" t="str">
        <f>IF(AND(_A3="A-330-900",'2025'!$G$4="FO",'2025'!$G$2=AV119),'2025DATA'!$E$6,"")</f>
        <v/>
      </c>
      <c r="AW123" s="518" t="str">
        <f>IF(AND(_A3="A-330-900",'2025'!$G$4="FO",'2025'!$G$2=AW119),'2025DATA'!$F$6,"")</f>
        <v/>
      </c>
      <c r="AX123" s="518" t="str">
        <f>IF(AND(_A3="A-330-900",'2025'!$G$4="FO",'2025'!$G$2=AX119),'2025DATA'!$G$6,"")</f>
        <v/>
      </c>
      <c r="AY123" s="518" t="str">
        <f>IF(AND(_A3="A-330-900",'2025'!$G$4="FO",'2025'!$G$2=AY119),'2025DATA'!$H$6,"")</f>
        <v/>
      </c>
      <c r="AZ123" s="518" t="str">
        <f>IF(AND(_A3="A-330-900",'2025'!$G$4="FO",'2025'!$G$2=AZ119),'2025DATA'!$I$6,"")</f>
        <v/>
      </c>
      <c r="BA123" s="518" t="str">
        <f>IF(AND(_A3="A-330-900",'2025'!$G$4="FO",'2025'!$G$2=BA119),'2025DATA'!$J$6,"")</f>
        <v/>
      </c>
      <c r="BB123" s="518" t="str">
        <f>IF(AND(_A3="A-330-900",'2025'!$G$4="FO",'2025'!$G$2=BB119),'2025DATA'!$K$6,"")</f>
        <v/>
      </c>
      <c r="BC123" s="518" t="str">
        <f>IF(AND(_A3="A-330-900",'2025'!$G$4="FO",'2025'!$G$2=BC119),'2025DATA'!$L$6,"")</f>
        <v/>
      </c>
      <c r="BD123" s="518" t="str">
        <f>IF(AND(_A3="A-330-900",'2025'!$G$4="FO",'2025'!$G$2=BD119),'2025DATA'!$M$6,"")</f>
        <v/>
      </c>
      <c r="BE123" s="520" t="str">
        <f>IF(AND(_A3="A-330-900",'2025'!$G$4="FO",'2025'!$G$2=BE119),'2025DATA'!$N$6,"")</f>
        <v/>
      </c>
      <c r="BF123" s="940"/>
      <c r="BG123" s="13" t="s">
        <v>62</v>
      </c>
      <c r="BH123" s="518" t="str">
        <f>IF(AND(_A4="A-330-900",'2025'!$G$4="FO",'2025'!$G$2=BH119),'2025DATA'!$C$6,"")</f>
        <v/>
      </c>
      <c r="BI123" s="518" t="str">
        <f>IF(AND(_A4="A-330-900",'2025'!$G$4="FO",'2025'!$G$2=BI119),'2025DATA'!$D$6,"")</f>
        <v/>
      </c>
      <c r="BJ123" s="518" t="str">
        <f>IF(AND(_A4="A-330-900",'2025'!$G$4="FO",'2025'!$G$2=BJ119),'2025DATA'!$E$6,"")</f>
        <v/>
      </c>
      <c r="BK123" s="518" t="str">
        <f>IF(AND(_A4="A-330-900",'2025'!$G$4="FO",'2025'!$G$2=BK119),'2025DATA'!$F$6,"")</f>
        <v/>
      </c>
      <c r="BL123" s="518" t="str">
        <f>IF(AND(_A4="A-330-900",'2025'!$G$4="FO",'2025'!$G$2=BL119),'2025DATA'!$G$6,"")</f>
        <v/>
      </c>
      <c r="BM123" s="518" t="str">
        <f>IF(AND(_A4="A-330-900",'2025'!$G$4="FO",'2025'!$G$2=BM119),'2025DATA'!$H$6,"")</f>
        <v/>
      </c>
      <c r="BN123" s="518" t="str">
        <f>IF(AND(_A4="A-330-900",'2025'!$G$4="FO",'2025'!$G$2=BN119),'2025DATA'!$I$6,"")</f>
        <v/>
      </c>
      <c r="BO123" s="518" t="str">
        <f>IF(AND(_A4="A-330-900",'2025'!$G$4="FO",'2025'!$G$2=BO119),'2025DATA'!$J$6,"")</f>
        <v/>
      </c>
      <c r="BP123" s="518" t="str">
        <f>IF(AND(_A4="A-330-900",'2025'!$G$4="FO",'2025'!$G$2=BP119),'2025DATA'!$K$6,"")</f>
        <v/>
      </c>
      <c r="BQ123" s="518" t="str">
        <f>IF(AND(_A4="A-330-900",'2025'!$G$4="FO",'2025'!$G$2=BQ119),'2025DATA'!$L$6,"")</f>
        <v/>
      </c>
      <c r="BR123" s="518" t="str">
        <f>IF(AND(_A4="A-330-900",'2025'!$G$4="FO",'2025'!$G$2=BR119),'2025DATA'!$M$6,"")</f>
        <v/>
      </c>
      <c r="BS123" s="520" t="str">
        <f>IF(AND(_A4="A-330-900",'2025'!$G$4="FO",'2025'!$G$2=BS119),'2025DATA'!$N$6,"")</f>
        <v/>
      </c>
      <c r="BT123" s="940"/>
      <c r="BU123" s="13" t="s">
        <v>62</v>
      </c>
      <c r="BV123" s="518" t="str">
        <f>IF(AND(_A5="A-330-900",'2025'!$G$4="FO",'2025'!$G$2=BV119),'2025DATA'!$C$6,"")</f>
        <v/>
      </c>
      <c r="BW123" s="518" t="str">
        <f>IF(AND(_A5="A-330-900",'2025'!$G$4="FO",'2025'!$G$2=BW119),'2025DATA'!$D$6,"")</f>
        <v/>
      </c>
      <c r="BX123" s="518" t="str">
        <f>IF(AND(_A5="A-330-900",'2025'!$G$4="FO",'2025'!$G$2=BX119),'2025DATA'!$E$6,"")</f>
        <v/>
      </c>
      <c r="BY123" s="518" t="str">
        <f>IF(AND(_A5="A-330-900",'2025'!$G$4="FO",'2025'!$G$2=BY119),'2025DATA'!$F$6,"")</f>
        <v/>
      </c>
      <c r="BZ123" s="518" t="str">
        <f>IF(AND(_A5="A-330-900",'2025'!$G$4="FO",'2025'!$G$2=BZ119),'2025DATA'!$G$6,"")</f>
        <v/>
      </c>
      <c r="CA123" s="518" t="str">
        <f>IF(AND(_A5="A-330-900",'2025'!$G$4="FO",'2025'!$G$2=CA119),'2025DATA'!$H$6,"")</f>
        <v/>
      </c>
      <c r="CB123" s="518" t="str">
        <f>IF(AND(_A5="A-330-900",'2025'!$G$4="FO",'2025'!$G$2=CB119),'2025DATA'!$I$6,"")</f>
        <v/>
      </c>
      <c r="CC123" s="518" t="str">
        <f>IF(AND(_A5="A-330-900",'2025'!$G$4="FO",'2025'!$G$2=CC119),'2025DATA'!$J$6,"")</f>
        <v/>
      </c>
      <c r="CD123" s="518" t="str">
        <f>IF(AND(_A5="A-330-900",'2025'!$G$4="FO",'2025'!$G$2=CD119),'2025DATA'!$K$6,"")</f>
        <v/>
      </c>
      <c r="CE123" s="518" t="str">
        <f>IF(AND(_A5="A-330-900",'2025'!$G$4="FO",'2025'!$G$2=CE119),'2025DATA'!$L$6,"")</f>
        <v/>
      </c>
      <c r="CF123" s="518" t="str">
        <f>IF(AND(_A5="A-330-900",'2025'!$G$4="FO",'2025'!$G$2=CF119),'2025DATA'!$M$6,"")</f>
        <v/>
      </c>
      <c r="CG123" s="520" t="str">
        <f>IF(AND(_A5="A-330-900",'2025'!$G$4="FO",'2025'!$G$2=CG119),'2025DATA'!$N$6,"")</f>
        <v/>
      </c>
      <c r="CH123" s="940"/>
      <c r="CI123" s="13" t="s">
        <v>62</v>
      </c>
      <c r="CJ123" s="518" t="str">
        <f>IF(AND(_A6="A-330-900",'2025'!$G$4="FO",'2025'!$G$2=CJ119),'2025DATA'!$C$6,"")</f>
        <v/>
      </c>
      <c r="CK123" s="518" t="str">
        <f>IF(AND(_A6="A-330-900",'2025'!$G$4="FO",'2025'!$G$2=CK119),'2025DATA'!$D$6,"")</f>
        <v/>
      </c>
      <c r="CL123" s="518" t="str">
        <f>IF(AND(_A6="A-330-900",'2025'!$G$4="FO",'2025'!$G$2=CL119),'2025DATA'!$E$6,"")</f>
        <v/>
      </c>
      <c r="CM123" s="518" t="str">
        <f>IF(AND(_A6="A-330-900",'2025'!$G$4="FO",'2025'!$G$2=CM119),'2025DATA'!$F$6,"")</f>
        <v/>
      </c>
      <c r="CN123" s="518" t="str">
        <f>IF(AND(_A6="A-330-900",'2025'!$G$4="FO",'2025'!$G$2=CN119),'2025DATA'!$G$6,"")</f>
        <v/>
      </c>
      <c r="CO123" s="518" t="str">
        <f>IF(AND(_A6="A-330-900",'2025'!$G$4="FO",'2025'!$G$2=CO119),'2025DATA'!$H$6,"")</f>
        <v/>
      </c>
      <c r="CP123" s="518" t="str">
        <f>IF(AND(_A6="A-330-900",'2025'!$G$4="FO",'2025'!$G$2=CP119),'2025DATA'!$I$6,"")</f>
        <v/>
      </c>
      <c r="CQ123" s="518" t="str">
        <f>IF(AND(_A6="A-330-900",'2025'!$G$4="FO",'2025'!$G$2=CQ119),'2025DATA'!$J$6,"")</f>
        <v/>
      </c>
      <c r="CR123" s="518" t="str">
        <f>IF(AND(_A6="A-330-900",'2025'!$G$4="FO",'2025'!$G$2=CR119),'2025DATA'!$K$6,"")</f>
        <v/>
      </c>
      <c r="CS123" s="518" t="str">
        <f>IF(AND(_A6="A-330-900",'2025'!$G$4="FO",'2025'!$G$2=CS119),'2025DATA'!$L$6,"")</f>
        <v/>
      </c>
      <c r="CT123" s="518" t="str">
        <f>IF(AND(_A6="A-330-900",'2025'!$G$4="FO",'2025'!$G$2=CT119),'2025DATA'!$M$6,"")</f>
        <v/>
      </c>
      <c r="CU123" s="520" t="str">
        <f>IF(AND(_A6="A-330-900",'2025'!$G$4="FO",'2025'!$G$2=CU119),'2025DATA'!$N$6,"")</f>
        <v/>
      </c>
    </row>
    <row r="124" spans="16:99" x14ac:dyDescent="0.25">
      <c r="P124" s="940" t="s">
        <v>64</v>
      </c>
      <c r="Q124" s="13" t="s">
        <v>61</v>
      </c>
      <c r="R124" s="518" t="str">
        <f>IF(AND(_A1="A-330-300",'2025'!$G$4="CA",'2025'!$G$2=R119),'2025DATA'!$C$7,"")</f>
        <v/>
      </c>
      <c r="S124" s="518" t="str">
        <f>IF(AND(_A1="A-330-300",'2025'!$G$4="CA",'2025'!$G$2=S119),'2025DATA'!$D$7,"")</f>
        <v/>
      </c>
      <c r="T124" s="518" t="str">
        <f>IF(AND(_A1="A-330-300",'2025'!$G$4="CA",'2025'!$G$2=T119),'2025DATA'!$E$7,"")</f>
        <v/>
      </c>
      <c r="U124" s="518" t="str">
        <f>IF(AND(_A1="A-330-300",'2025'!$G$4="CA",'2025'!$G$2=U119),'2025DATA'!$F$7,"")</f>
        <v/>
      </c>
      <c r="V124" s="518" t="str">
        <f>IF(AND(_A1="A-330-300",'2025'!$G$4="CA",'2025'!$G$2=V119),'2025DATA'!$G$7,"")</f>
        <v/>
      </c>
      <c r="W124" s="518" t="str">
        <f>IF(AND(_A1="A-330-300",'2025'!$G$4="CA",'2025'!$G$2=W119),'2025DATA'!$H$7,"")</f>
        <v/>
      </c>
      <c r="X124" s="518" t="str">
        <f>IF(AND(_A1="A-330-300",'2025'!$G$4="CA",'2025'!$G$2=X119),'2025DATA'!$I$7,"")</f>
        <v/>
      </c>
      <c r="Y124" s="518" t="str">
        <f>IF(AND(_A1="A-330-300",'2025'!$G$4="CA",'2025'!$G$2=Y119),'2025DATA'!$J$7,"")</f>
        <v/>
      </c>
      <c r="Z124" s="518" t="str">
        <f>IF(AND(_A1="A-330-300",'2025'!$G$4="CA",'2025'!$G$2=Z119),'2025DATA'!$K$7,"")</f>
        <v/>
      </c>
      <c r="AA124" s="518" t="str">
        <f>IF(AND(_A1="A-330-300",'2025'!$G$4="CA",'2025'!$G$2=AA119),'2025DATA'!$L$7,"")</f>
        <v/>
      </c>
      <c r="AB124" s="518" t="str">
        <f>IF(AND(_A1="A-330-300",'2025'!$G$4="CA",'2025'!$G$2=AB119),'2025DATA'!$M$7,"")</f>
        <v/>
      </c>
      <c r="AC124" s="520" t="str">
        <f>IF(AND(_A1="A-330-300",'2025'!$G$4="CA",'2025'!$G$2=AC119),'2025DATA'!$N$7,"")</f>
        <v/>
      </c>
      <c r="AD124" s="940" t="s">
        <v>64</v>
      </c>
      <c r="AE124" s="13" t="s">
        <v>61</v>
      </c>
      <c r="AF124" s="518" t="str">
        <f>IF(AND(_A2="A-330-300",'2025'!$G$4="CA",'2025'!$G$2=AF119),'2025DATA'!$C$7,"")</f>
        <v/>
      </c>
      <c r="AG124" s="518" t="str">
        <f>IF(AND(_A2="A-330-300",'2025'!$G$4="CA",'2025'!$G$2=AG119),'2025DATA'!$D$7,"")</f>
        <v/>
      </c>
      <c r="AH124" s="518" t="str">
        <f>IF(AND(_A2="A-330-300",'2025'!$G$4="CA",'2025'!$G$2=AH119),'2025DATA'!$E$7,"")</f>
        <v/>
      </c>
      <c r="AI124" s="518" t="str">
        <f>IF(AND(_A2="A-330-300",'2025'!$G$4="CA",'2025'!$G$2=AI119),'2025DATA'!$F$7,"")</f>
        <v/>
      </c>
      <c r="AJ124" s="518" t="str">
        <f>IF(AND(_A2="A-330-300",'2025'!$G$4="CA",'2025'!$G$2=AJ119),'2025DATA'!$G$7,"")</f>
        <v/>
      </c>
      <c r="AK124" s="518" t="str">
        <f>IF(AND(_A2="A-330-300",'2025'!$G$4="CA",'2025'!$G$2=AK119),'2025DATA'!$H$7,"")</f>
        <v/>
      </c>
      <c r="AL124" s="518" t="str">
        <f>IF(AND(_A2="A-330-300",'2025'!$G$4="CA",'2025'!$G$2=AL119),'2025DATA'!$I$7,"")</f>
        <v/>
      </c>
      <c r="AM124" s="518" t="str">
        <f>IF(AND(_A2="A-330-300",'2025'!$G$4="CA",'2025'!$G$2=AM119),'2025DATA'!$J$7,"")</f>
        <v/>
      </c>
      <c r="AN124" s="518" t="str">
        <f>IF(AND(_A2="A-330-300",'2025'!$G$4="CA",'2025'!$G$2=AN119),'2025DATA'!$K$7,"")</f>
        <v/>
      </c>
      <c r="AO124" s="518" t="str">
        <f>IF(AND(_A2="A-330-300",'2025'!$G$4="CA",'2025'!$G$2=AO119),'2025DATA'!$L$7,"")</f>
        <v/>
      </c>
      <c r="AP124" s="518" t="str">
        <f>IF(AND(_A2="A-330-300",'2025'!$G$4="CA",'2025'!$G$2=AP119),'2025DATA'!$M$7,"")</f>
        <v/>
      </c>
      <c r="AQ124" s="520" t="str">
        <f>IF(AND(_A2="A-330-300",'2025'!$G$4="CA",'2025'!$G$2=AQ119),'2025DATA'!$N$7,"")</f>
        <v/>
      </c>
      <c r="AR124" s="940" t="s">
        <v>64</v>
      </c>
      <c r="AS124" s="13" t="s">
        <v>61</v>
      </c>
      <c r="AT124" s="518" t="str">
        <f>IF(AND(_A3="A-330-300",'2025'!$G$4="CA",'2025'!$G$2=AT119),'2025DATA'!$C$7,"")</f>
        <v/>
      </c>
      <c r="AU124" s="518" t="str">
        <f>IF(AND(_A3="A-330-300",'2025'!$G$4="CA",'2025'!$G$2=AU119),'2025DATA'!$D$7,"")</f>
        <v/>
      </c>
      <c r="AV124" s="518" t="str">
        <f>IF(AND(_A3="A-330-300",'2025'!$G$4="CA",'2025'!$G$2=AV119),'2025DATA'!$E$7,"")</f>
        <v/>
      </c>
      <c r="AW124" s="518" t="str">
        <f>IF(AND(_A3="A-330-300",'2025'!$G$4="CA",'2025'!$G$2=AW119),'2025DATA'!$F$7,"")</f>
        <v/>
      </c>
      <c r="AX124" s="518" t="str">
        <f>IF(AND(_A3="A-330-300",'2025'!$G$4="CA",'2025'!$G$2=AX119),'2025DATA'!$G$7,"")</f>
        <v/>
      </c>
      <c r="AY124" s="518" t="str">
        <f>IF(AND(_A3="A-330-300",'2025'!$G$4="CA",'2025'!$G$2=AY119),'2025DATA'!$H$7,"")</f>
        <v/>
      </c>
      <c r="AZ124" s="518" t="str">
        <f>IF(AND(_A3="A-330-300",'2025'!$G$4="CA",'2025'!$G$2=AZ119),'2025DATA'!$I$7,"")</f>
        <v/>
      </c>
      <c r="BA124" s="518" t="str">
        <f>IF(AND(_A3="A-330-300",'2025'!$G$4="CA",'2025'!$G$2=BA119),'2025DATA'!$J$7,"")</f>
        <v/>
      </c>
      <c r="BB124" s="518" t="str">
        <f>IF(AND(_A3="A-330-300",'2025'!$G$4="CA",'2025'!$G$2=BB119),'2025DATA'!$K$7,"")</f>
        <v/>
      </c>
      <c r="BC124" s="518" t="str">
        <f>IF(AND(_A3="A-330-300",'2025'!$G$4="CA",'2025'!$G$2=BC119),'2025DATA'!$L$7,"")</f>
        <v/>
      </c>
      <c r="BD124" s="518" t="str">
        <f>IF(AND(_A3="A-330-300",'2025'!$G$4="CA",'2025'!$G$2=BD119),'2025DATA'!$M$7,"")</f>
        <v/>
      </c>
      <c r="BE124" s="520" t="str">
        <f>IF(AND(_A3="A-330-300",'2025'!$G$4="CA",'2025'!$G$2=BE119),'2025DATA'!$N$7,"")</f>
        <v/>
      </c>
      <c r="BF124" s="940" t="s">
        <v>64</v>
      </c>
      <c r="BG124" s="13" t="s">
        <v>61</v>
      </c>
      <c r="BH124" s="518" t="str">
        <f>IF(AND(_A4="A-330-300",'2025'!$G$4="CA",'2025'!$G$2=BH119),'2025DATA'!$C$7,"")</f>
        <v/>
      </c>
      <c r="BI124" s="518" t="str">
        <f>IF(AND(_A4="A-330-300",'2025'!$G$4="CA",'2025'!$G$2=BI119),'2025DATA'!$D$7,"")</f>
        <v/>
      </c>
      <c r="BJ124" s="518" t="str">
        <f>IF(AND(_A4="A-330-300",'2025'!$G$4="CA",'2025'!$G$2=BJ119),'2025DATA'!$E$7,"")</f>
        <v/>
      </c>
      <c r="BK124" s="518" t="str">
        <f>IF(AND(_A4="A-330-300",'2025'!$G$4="CA",'2025'!$G$2=BK119),'2025DATA'!$F$7,"")</f>
        <v/>
      </c>
      <c r="BL124" s="518" t="str">
        <f>IF(AND(_A4="A-330-300",'2025'!$G$4="CA",'2025'!$G$2=BL119),'2025DATA'!$G$7,"")</f>
        <v/>
      </c>
      <c r="BM124" s="518" t="str">
        <f>IF(AND(_A4="A-330-300",'2025'!$G$4="CA",'2025'!$G$2=BM119),'2025DATA'!$H$7,"")</f>
        <v/>
      </c>
      <c r="BN124" s="518" t="str">
        <f>IF(AND(_A4="A-330-300",'2025'!$G$4="CA",'2025'!$G$2=BN119),'2025DATA'!$I$7,"")</f>
        <v/>
      </c>
      <c r="BO124" s="518" t="str">
        <f>IF(AND(_A4="A-330-300",'2025'!$G$4="CA",'2025'!$G$2=BO119),'2025DATA'!$J$7,"")</f>
        <v/>
      </c>
      <c r="BP124" s="518" t="str">
        <f>IF(AND(_A4="A-330-300",'2025'!$G$4="CA",'2025'!$G$2=BP119),'2025DATA'!$K$7,"")</f>
        <v/>
      </c>
      <c r="BQ124" s="518" t="str">
        <f>IF(AND(_A4="A-330-300",'2025'!$G$4="CA",'2025'!$G$2=BQ119),'2025DATA'!$L$7,"")</f>
        <v/>
      </c>
      <c r="BR124" s="518" t="str">
        <f>IF(AND(_A4="A-330-300",'2025'!$G$4="CA",'2025'!$G$2=BR119),'2025DATA'!$M$7,"")</f>
        <v/>
      </c>
      <c r="BS124" s="520" t="str">
        <f>IF(AND(_A4="A-330-300",'2025'!$G$4="CA",'2025'!$G$2=BS119),'2025DATA'!$N$7,"")</f>
        <v/>
      </c>
      <c r="BT124" s="940" t="s">
        <v>64</v>
      </c>
      <c r="BU124" s="13" t="s">
        <v>61</v>
      </c>
      <c r="BV124" s="518" t="str">
        <f>IF(AND(_A5="A-330-300",'2025'!$G$4="CA",'2025'!$G$2=BV119),'2025DATA'!$C$7,"")</f>
        <v/>
      </c>
      <c r="BW124" s="518" t="str">
        <f>IF(AND(_A5="A-330-300",'2025'!$G$4="CA",'2025'!$G$2=BW119),'2025DATA'!$D$7,"")</f>
        <v/>
      </c>
      <c r="BX124" s="518" t="str">
        <f>IF(AND(_A5="A-330-300",'2025'!$G$4="CA",'2025'!$G$2=BX119),'2025DATA'!$E$7,"")</f>
        <v/>
      </c>
      <c r="BY124" s="518" t="str">
        <f>IF(AND(_A5="A-330-300",'2025'!$G$4="CA",'2025'!$G$2=BY119),'2025DATA'!$F$7,"")</f>
        <v/>
      </c>
      <c r="BZ124" s="518" t="str">
        <f>IF(AND(_A5="A-330-300",'2025'!$G$4="CA",'2025'!$G$2=BZ119),'2025DATA'!$G$7,"")</f>
        <v/>
      </c>
      <c r="CA124" s="518" t="str">
        <f>IF(AND(_A5="A-330-300",'2025'!$G$4="CA",'2025'!$G$2=CA119),'2025DATA'!$H$7,"")</f>
        <v/>
      </c>
      <c r="CB124" s="518" t="str">
        <f>IF(AND(_A5="A-330-300",'2025'!$G$4="CA",'2025'!$G$2=CB119),'2025DATA'!$I$7,"")</f>
        <v/>
      </c>
      <c r="CC124" s="518" t="str">
        <f>IF(AND(_A5="A-330-300",'2025'!$G$4="CA",'2025'!$G$2=CC119),'2025DATA'!$J$7,"")</f>
        <v/>
      </c>
      <c r="CD124" s="518" t="str">
        <f>IF(AND(_A5="A-330-300",'2025'!$G$4="CA",'2025'!$G$2=CD119),'2025DATA'!$K$7,"")</f>
        <v/>
      </c>
      <c r="CE124" s="518" t="str">
        <f>IF(AND(_A5="A-330-300",'2025'!$G$4="CA",'2025'!$G$2=CE119),'2025DATA'!$L$7,"")</f>
        <v/>
      </c>
      <c r="CF124" s="518" t="str">
        <f>IF(AND(_A5="A-330-300",'2025'!$G$4="CA",'2025'!$G$2=CF119),'2025DATA'!$M$7,"")</f>
        <v/>
      </c>
      <c r="CG124" s="520" t="str">
        <f>IF(AND(_A5="A-330-300",'2025'!$G$4="CA",'2025'!$G$2=CG119),'2025DATA'!$N$7,"")</f>
        <v/>
      </c>
      <c r="CH124" s="940" t="s">
        <v>64</v>
      </c>
      <c r="CI124" s="13" t="s">
        <v>61</v>
      </c>
      <c r="CJ124" s="518" t="str">
        <f>IF(AND(_A6="A-330-300",'2025'!$G$4="CA",'2025'!$G$2=CJ119),'2025DATA'!$C$7,"")</f>
        <v/>
      </c>
      <c r="CK124" s="518" t="str">
        <f>IF(AND(_A6="A-330-300",'2025'!$G$4="CA",'2025'!$G$2=CK119),'2025DATA'!$D$7,"")</f>
        <v/>
      </c>
      <c r="CL124" s="518" t="str">
        <f>IF(AND(_A6="A-330-300",'2025'!$G$4="CA",'2025'!$G$2=CL119),'2025DATA'!$E$7,"")</f>
        <v/>
      </c>
      <c r="CM124" s="518" t="str">
        <f>IF(AND(_A6="A-330-300",'2025'!$G$4="CA",'2025'!$G$2=CM119),'2025DATA'!$F$7,"")</f>
        <v/>
      </c>
      <c r="CN124" s="518" t="str">
        <f>IF(AND(_A6="A-330-300",'2025'!$G$4="CA",'2025'!$G$2=CN119),'2025DATA'!$G$7,"")</f>
        <v/>
      </c>
      <c r="CO124" s="518" t="str">
        <f>IF(AND(_A6="A-330-300",'2025'!$G$4="CA",'2025'!$G$2=CO119),'2025DATA'!$H$7,"")</f>
        <v/>
      </c>
      <c r="CP124" s="518" t="str">
        <f>IF(AND(_A6="A-330-300",'2025'!$G$4="CA",'2025'!$G$2=CP119),'2025DATA'!$I$7,"")</f>
        <v/>
      </c>
      <c r="CQ124" s="518" t="str">
        <f>IF(AND(_A6="A-330-300",'2025'!$G$4="CA",'2025'!$G$2=CQ119),'2025DATA'!$J$7,"")</f>
        <v/>
      </c>
      <c r="CR124" s="518" t="str">
        <f>IF(AND(_A6="A-330-300",'2025'!$G$4="CA",'2025'!$G$2=CR119),'2025DATA'!$K$7,"")</f>
        <v/>
      </c>
      <c r="CS124" s="518" t="str">
        <f>IF(AND(_A6="A-330-300",'2025'!$G$4="CA",'2025'!$G$2=CS119),'2025DATA'!$L$7,"")</f>
        <v/>
      </c>
      <c r="CT124" s="518" t="str">
        <f>IF(AND(_A6="A-330-300",'2025'!$G$4="CA",'2025'!$G$2=CT119),'2025DATA'!$M$7,"")</f>
        <v/>
      </c>
      <c r="CU124" s="520" t="str">
        <f>IF(AND(_A6="A-330-300",'2025'!$G$4="CA",'2025'!$G$2=CU119),'2025DATA'!$N$7,"")</f>
        <v/>
      </c>
    </row>
    <row r="125" spans="16:99" x14ac:dyDescent="0.25">
      <c r="P125" s="940"/>
      <c r="Q125" s="13" t="s">
        <v>62</v>
      </c>
      <c r="R125" s="518" t="str">
        <f>IF(AND(_A1="A-330-300",'2025'!$G$4="FO",'2025'!$G$2=R119),'2025DATA'!$C$8,"")</f>
        <v/>
      </c>
      <c r="S125" s="518" t="str">
        <f>IF(AND(_A1="A-330-300",'2025'!$G$4="FO",'2025'!$G$2=S119),'2025DATA'!$D$8,"")</f>
        <v/>
      </c>
      <c r="T125" s="518" t="str">
        <f>IF(AND(_A1="A-330-300",'2025'!$G$4="FO",'2025'!$G$2=T119),'2025DATA'!$E$8,"")</f>
        <v/>
      </c>
      <c r="U125" s="518" t="str">
        <f>IF(AND(_A1="A-330-300",'2025'!$G$4="FO",'2025'!$G$2=U119),'2025DATA'!$F$8,"")</f>
        <v/>
      </c>
      <c r="V125" s="518" t="str">
        <f>IF(AND(_A1="A-330-300",'2025'!$G$4="FO",'2025'!$G$2=V119),'2025DATA'!$G$8,"")</f>
        <v/>
      </c>
      <c r="W125" s="518" t="str">
        <f>IF(AND(_A1="A-330-300",'2025'!$G$4="FO",'2025'!$G$2=W119),'2025DATA'!$H$8,"")</f>
        <v/>
      </c>
      <c r="X125" s="518" t="str">
        <f>IF(AND(_A1="A-330-300",'2025'!$G$4="FO",'2025'!$G$2=X119),'2025DATA'!$I$8,"")</f>
        <v/>
      </c>
      <c r="Y125" s="518" t="str">
        <f>IF(AND(_A1="A-330-300",'2025'!$G$4="FO",'2025'!$G$2=Y119),'2025DATA'!$J$8,"")</f>
        <v/>
      </c>
      <c r="Z125" s="518" t="str">
        <f>IF(AND(_A1="A-330-300",'2025'!$G$4="FO",'2025'!$G$2=Z119),'2025DATA'!$K$8,"")</f>
        <v/>
      </c>
      <c r="AA125" s="518" t="str">
        <f>IF(AND(_A1="A-330-300",'2025'!$G$4="FO",'2025'!$G$2=AA119),'2025DATA'!$L$8,"")</f>
        <v/>
      </c>
      <c r="AB125" s="518" t="str">
        <f>IF(AND(_A1="A-330-300",'2025'!$G$4="FO",'2025'!$G$2=AB119),'2025DATA'!$M$8,"")</f>
        <v/>
      </c>
      <c r="AC125" s="520" t="str">
        <f>IF(AND(_A1="A-330-300",'2025'!$G$4="FO",'2025'!$G$2=AC119),'2025DATA'!$N$8,"")</f>
        <v/>
      </c>
      <c r="AD125" s="940"/>
      <c r="AE125" s="13" t="s">
        <v>62</v>
      </c>
      <c r="AF125" s="518" t="str">
        <f>IF(AND(_A2="A-330-300",'2025'!$G$4="FO",'2025'!$G$2=AF119),'2025DATA'!$C$8,"")</f>
        <v/>
      </c>
      <c r="AG125" s="518" t="str">
        <f>IF(AND(_A2="A-330-300",'2025'!$G$4="FO",'2025'!$G$2=AG119),'2025DATA'!$D$8,"")</f>
        <v/>
      </c>
      <c r="AH125" s="518" t="str">
        <f>IF(AND(_A2="A-330-300",'2025'!$G$4="FO",'2025'!$G$2=AH119),'2025DATA'!$E$8,"")</f>
        <v/>
      </c>
      <c r="AI125" s="518" t="str">
        <f>IF(AND(_A2="A-330-300",'2025'!$G$4="FO",'2025'!$G$2=AI119),'2025DATA'!$F$8,"")</f>
        <v/>
      </c>
      <c r="AJ125" s="518" t="str">
        <f>IF(AND(_A2="A-330-300",'2025'!$G$4="FO",'2025'!$G$2=AJ119),'2025DATA'!$G$8,"")</f>
        <v/>
      </c>
      <c r="AK125" s="518" t="str">
        <f>IF(AND(_A2="A-330-300",'2025'!$G$4="FO",'2025'!$G$2=AK119),'2025DATA'!$H$8,"")</f>
        <v/>
      </c>
      <c r="AL125" s="518" t="str">
        <f>IF(AND(_A2="A-330-300",'2025'!$G$4="FO",'2025'!$G$2=AL119),'2025DATA'!$I$8,"")</f>
        <v/>
      </c>
      <c r="AM125" s="518" t="str">
        <f>IF(AND(_A2="A-330-300",'2025'!$G$4="FO",'2025'!$G$2=AM119),'2025DATA'!$J$8,"")</f>
        <v/>
      </c>
      <c r="AN125" s="518" t="str">
        <f>IF(AND(_A2="A-330-300",'2025'!$G$4="FO",'2025'!$G$2=AN119),'2025DATA'!$K$8,"")</f>
        <v/>
      </c>
      <c r="AO125" s="518" t="str">
        <f>IF(AND(_A2="A-330-300",'2025'!$G$4="FO",'2025'!$G$2=AO119),'2025DATA'!$L$8,"")</f>
        <v/>
      </c>
      <c r="AP125" s="518" t="str">
        <f>IF(AND(_A2="A-330-300",'2025'!$G$4="FO",'2025'!$G$2=AP119),'2025DATA'!$M$8,"")</f>
        <v/>
      </c>
      <c r="AQ125" s="520" t="str">
        <f>IF(AND(_A2="A-330-300",'2025'!$G$4="FO",'2025'!$G$2=AQ119),'2025DATA'!$N$8,"")</f>
        <v/>
      </c>
      <c r="AR125" s="940"/>
      <c r="AS125" s="13" t="s">
        <v>62</v>
      </c>
      <c r="AT125" s="518" t="str">
        <f>IF(AND(_A3="A-330-300",'2025'!$G$4="FO",'2025'!$G$2=AT119),'2025DATA'!$C$8,"")</f>
        <v/>
      </c>
      <c r="AU125" s="518" t="str">
        <f>IF(AND(_A3="A-330-300",'2025'!$G$4="FO",'2025'!$G$2=AU119),'2025DATA'!$D$8,"")</f>
        <v/>
      </c>
      <c r="AV125" s="518" t="str">
        <f>IF(AND(_A3="A-330-300",'2025'!$G$4="FO",'2025'!$G$2=AV119),'2025DATA'!$E$8,"")</f>
        <v/>
      </c>
      <c r="AW125" s="518" t="str">
        <f>IF(AND(_A3="A-330-300",'2025'!$G$4="FO",'2025'!$G$2=AW119),'2025DATA'!$F$8,"")</f>
        <v/>
      </c>
      <c r="AX125" s="518" t="str">
        <f>IF(AND(_A3="A-330-300",'2025'!$G$4="FO",'2025'!$G$2=AX119),'2025DATA'!$G$8,"")</f>
        <v/>
      </c>
      <c r="AY125" s="518" t="str">
        <f>IF(AND(_A3="A-330-300",'2025'!$G$4="FO",'2025'!$G$2=AY119),'2025DATA'!$H$8,"")</f>
        <v/>
      </c>
      <c r="AZ125" s="518" t="str">
        <f>IF(AND(_A3="A-330-300",'2025'!$G$4="FO",'2025'!$G$2=AZ119),'2025DATA'!$I$8,"")</f>
        <v/>
      </c>
      <c r="BA125" s="518" t="str">
        <f>IF(AND(_A3="A-330-300",'2025'!$G$4="FO",'2025'!$G$2=BA119),'2025DATA'!$J$8,"")</f>
        <v/>
      </c>
      <c r="BB125" s="518" t="str">
        <f>IF(AND(_A3="A-330-300",'2025'!$G$4="FO",'2025'!$G$2=BB119),'2025DATA'!$K$8,"")</f>
        <v/>
      </c>
      <c r="BC125" s="518" t="str">
        <f>IF(AND(_A3="A-330-300",'2025'!$G$4="FO",'2025'!$G$2=BC119),'2025DATA'!$L$8,"")</f>
        <v/>
      </c>
      <c r="BD125" s="518" t="str">
        <f>IF(AND(_A3="A-330-300",'2025'!$G$4="FO",'2025'!$G$2=BD119),'2025DATA'!$M$8,"")</f>
        <v/>
      </c>
      <c r="BE125" s="520" t="str">
        <f>IF(AND(_A3="A-330-300",'2025'!$G$4="FO",'2025'!$G$2=BE119),'2025DATA'!$N$8,"")</f>
        <v/>
      </c>
      <c r="BF125" s="940"/>
      <c r="BG125" s="13" t="s">
        <v>62</v>
      </c>
      <c r="BH125" s="518" t="str">
        <f>IF(AND(_A4="A-330-300",'2025'!$G$4="FO",'2025'!$G$2=BH119),'2025DATA'!$C$8,"")</f>
        <v/>
      </c>
      <c r="BI125" s="518" t="str">
        <f>IF(AND(_A4="A-330-300",'2025'!$G$4="FO",'2025'!$G$2=BI119),'2025DATA'!$D$8,"")</f>
        <v/>
      </c>
      <c r="BJ125" s="518" t="str">
        <f>IF(AND(_A4="A-330-300",'2025'!$G$4="FO",'2025'!$G$2=BJ119),'2025DATA'!$E$8,"")</f>
        <v/>
      </c>
      <c r="BK125" s="518" t="str">
        <f>IF(AND(_A4="A-330-300",'2025'!$G$4="FO",'2025'!$G$2=BK119),'2025DATA'!$F$8,"")</f>
        <v/>
      </c>
      <c r="BL125" s="518" t="str">
        <f>IF(AND(_A4="A-330-300",'2025'!$G$4="FO",'2025'!$G$2=BL119),'2025DATA'!$G$8,"")</f>
        <v/>
      </c>
      <c r="BM125" s="518" t="str">
        <f>IF(AND(_A4="A-330-300",'2025'!$G$4="FO",'2025'!$G$2=BM119),'2025DATA'!$H$8,"")</f>
        <v/>
      </c>
      <c r="BN125" s="518" t="str">
        <f>IF(AND(_A4="A-330-300",'2025'!$G$4="FO",'2025'!$G$2=BN119),'2025DATA'!$I$8,"")</f>
        <v/>
      </c>
      <c r="BO125" s="518" t="str">
        <f>IF(AND(_A4="A-330-300",'2025'!$G$4="FO",'2025'!$G$2=BO119),'2025DATA'!$J$8,"")</f>
        <v/>
      </c>
      <c r="BP125" s="518" t="str">
        <f>IF(AND(_A4="A-330-300",'2025'!$G$4="FO",'2025'!$G$2=BP119),'2025DATA'!$K$8,"")</f>
        <v/>
      </c>
      <c r="BQ125" s="518" t="str">
        <f>IF(AND(_A4="A-330-300",'2025'!$G$4="FO",'2025'!$G$2=BQ119),'2025DATA'!$L$8,"")</f>
        <v/>
      </c>
      <c r="BR125" s="518" t="str">
        <f>IF(AND(_A4="A-330-300",'2025'!$G$4="FO",'2025'!$G$2=BR119),'2025DATA'!$M$8,"")</f>
        <v/>
      </c>
      <c r="BS125" s="520" t="str">
        <f>IF(AND(_A4="A-330-300",'2025'!$G$4="FO",'2025'!$G$2=BS119),'2025DATA'!$N$8,"")</f>
        <v/>
      </c>
      <c r="BT125" s="940"/>
      <c r="BU125" s="13" t="s">
        <v>62</v>
      </c>
      <c r="BV125" s="518" t="str">
        <f>IF(AND(_A5="A-330-300",'2025'!$G$4="FO",'2025'!$G$2=BV119),'2025DATA'!$C$8,"")</f>
        <v/>
      </c>
      <c r="BW125" s="518" t="str">
        <f>IF(AND(_A5="A-330-300",'2025'!$G$4="FO",'2025'!$G$2=BW119),'2025DATA'!$D$8,"")</f>
        <v/>
      </c>
      <c r="BX125" s="518" t="str">
        <f>IF(AND(_A5="A-330-300",'2025'!$G$4="FO",'2025'!$G$2=BX119),'2025DATA'!$E$8,"")</f>
        <v/>
      </c>
      <c r="BY125" s="518" t="str">
        <f>IF(AND(_A5="A-330-300",'2025'!$G$4="FO",'2025'!$G$2=BY119),'2025DATA'!$F$8,"")</f>
        <v/>
      </c>
      <c r="BZ125" s="518" t="str">
        <f>IF(AND(_A5="A-330-300",'2025'!$G$4="FO",'2025'!$G$2=BZ119),'2025DATA'!$G$8,"")</f>
        <v/>
      </c>
      <c r="CA125" s="518" t="str">
        <f>IF(AND(_A5="A-330-300",'2025'!$G$4="FO",'2025'!$G$2=CA119),'2025DATA'!$H$8,"")</f>
        <v/>
      </c>
      <c r="CB125" s="518" t="str">
        <f>IF(AND(_A5="A-330-300",'2025'!$G$4="FO",'2025'!$G$2=CB119),'2025DATA'!$I$8,"")</f>
        <v/>
      </c>
      <c r="CC125" s="518" t="str">
        <f>IF(AND(_A5="A-330-300",'2025'!$G$4="FO",'2025'!$G$2=CC119),'2025DATA'!$J$8,"")</f>
        <v/>
      </c>
      <c r="CD125" s="518" t="str">
        <f>IF(AND(_A5="A-330-300",'2025'!$G$4="FO",'2025'!$G$2=CD119),'2025DATA'!$K$8,"")</f>
        <v/>
      </c>
      <c r="CE125" s="518" t="str">
        <f>IF(AND(_A5="A-330-300",'2025'!$G$4="FO",'2025'!$G$2=CE119),'2025DATA'!$L$8,"")</f>
        <v/>
      </c>
      <c r="CF125" s="518" t="str">
        <f>IF(AND(_A5="A-330-300",'2025'!$G$4="FO",'2025'!$G$2=CF119),'2025DATA'!$M$8,"")</f>
        <v/>
      </c>
      <c r="CG125" s="520" t="str">
        <f>IF(AND(_A5="A-330-300",'2025'!$G$4="FO",'2025'!$G$2=CG119),'2025DATA'!$N$8,"")</f>
        <v/>
      </c>
      <c r="CH125" s="940"/>
      <c r="CI125" s="13" t="s">
        <v>62</v>
      </c>
      <c r="CJ125" s="518" t="str">
        <f>IF(AND(_A6="A-330-300",'2025'!$G$4="FO",'2025'!$G$2=CJ119),'2025DATA'!$C$8,"")</f>
        <v/>
      </c>
      <c r="CK125" s="518" t="str">
        <f>IF(AND(_A6="A-330-300",'2025'!$G$4="FO",'2025'!$G$2=CK119),'2025DATA'!$D$8,"")</f>
        <v/>
      </c>
      <c r="CL125" s="518" t="str">
        <f>IF(AND(_A6="A-330-300",'2025'!$G$4="FO",'2025'!$G$2=CL119),'2025DATA'!$E$8,"")</f>
        <v/>
      </c>
      <c r="CM125" s="518" t="str">
        <f>IF(AND(_A6="A-330-300",'2025'!$G$4="FO",'2025'!$G$2=CM119),'2025DATA'!$F$8,"")</f>
        <v/>
      </c>
      <c r="CN125" s="518" t="str">
        <f>IF(AND(_A6="A-330-300",'2025'!$G$4="FO",'2025'!$G$2=CN119),'2025DATA'!$G$8,"")</f>
        <v/>
      </c>
      <c r="CO125" s="518" t="str">
        <f>IF(AND(_A6="A-330-300",'2025'!$G$4="FO",'2025'!$G$2=CO119),'2025DATA'!$H$8,"")</f>
        <v/>
      </c>
      <c r="CP125" s="518" t="str">
        <f>IF(AND(_A6="A-330-300",'2025'!$G$4="FO",'2025'!$G$2=CP119),'2025DATA'!$I$8,"")</f>
        <v/>
      </c>
      <c r="CQ125" s="518" t="str">
        <f>IF(AND(_A6="A-330-300",'2025'!$G$4="FO",'2025'!$G$2=CQ119),'2025DATA'!$J$8,"")</f>
        <v/>
      </c>
      <c r="CR125" s="518" t="str">
        <f>IF(AND(_A6="A-330-300",'2025'!$G$4="FO",'2025'!$G$2=CR119),'2025DATA'!$K$8,"")</f>
        <v/>
      </c>
      <c r="CS125" s="518" t="str">
        <f>IF(AND(_A6="A-330-300",'2025'!$G$4="FO",'2025'!$G$2=CS119),'2025DATA'!$L$8,"")</f>
        <v/>
      </c>
      <c r="CT125" s="518" t="str">
        <f>IF(AND(_A6="A-330-300",'2025'!$G$4="FO",'2025'!$G$2=CT119),'2025DATA'!$M$8,"")</f>
        <v/>
      </c>
      <c r="CU125" s="520" t="str">
        <f>IF(AND(_A6="A-330-300",'2025'!$G$4="FO",'2025'!$G$2=CU119),'2025DATA'!$N$8,"")</f>
        <v/>
      </c>
    </row>
    <row r="126" spans="16:99" x14ac:dyDescent="0.25">
      <c r="P126" s="940" t="s">
        <v>66</v>
      </c>
      <c r="Q126" s="13" t="s">
        <v>61</v>
      </c>
      <c r="R126" s="518" t="str">
        <f>IF(AND(_A1="A-330-200",'2025'!$G$4="CA",'2025'!$G$2=R119),'2025DATA'!$C$9,"")</f>
        <v/>
      </c>
      <c r="S126" s="518" t="str">
        <f>IF(AND(_A1="A-330-200",'2025'!$G$4="CA",'2025'!$G$2=S119),'2025DATA'!$D$9,"")</f>
        <v/>
      </c>
      <c r="T126" s="518" t="str">
        <f>IF(AND(_A1="A-330-200",'2025'!$G$4="CA",'2025'!$G$2=T119),'2025DATA'!$E$9,"")</f>
        <v/>
      </c>
      <c r="U126" s="518" t="str">
        <f>IF(AND(_A1="A-330-200",'2025'!$G$4="CA",'2025'!$G$2=U119),'2025DATA'!$F$9,"")</f>
        <v/>
      </c>
      <c r="V126" s="518" t="str">
        <f>IF(AND(_A1="A-330-200",'2025'!$G$4="CA",'2025'!$G$2=V119),'2025DATA'!$G$9,"")</f>
        <v/>
      </c>
      <c r="W126" s="518" t="str">
        <f>IF(AND(_A1="A-330-200",'2025'!$G$4="CA",'2025'!$G$2=W119),'2025DATA'!$H$9,"")</f>
        <v/>
      </c>
      <c r="X126" s="518" t="str">
        <f>IF(AND(_A1="A-330-200",'2025'!$G$4="CA",'2025'!$G$2=X119),'2025DATA'!$I$9,"")</f>
        <v/>
      </c>
      <c r="Y126" s="518" t="str">
        <f>IF(AND(_A1="A-330-200",'2025'!$G$4="CA",'2025'!$G$2=Y119),'2025DATA'!$J$9,"")</f>
        <v/>
      </c>
      <c r="Z126" s="518" t="str">
        <f>IF(AND(_A1="A-330-200",'2025'!$G$4="CA",'2025'!$G$2=Z119),'2025DATA'!$K$9,"")</f>
        <v/>
      </c>
      <c r="AA126" s="518" t="str">
        <f>IF(AND(_A1="A-330-200",'2025'!$G$4="CA",'2025'!$G$2=AA119),'2025DATA'!$L$9,"")</f>
        <v/>
      </c>
      <c r="AB126" s="518" t="str">
        <f>IF(AND(_A1="A-330-200",'2025'!$G$4="CA",'2025'!$G$2=AB119),'2025DATA'!$M$9,"")</f>
        <v/>
      </c>
      <c r="AC126" s="520" t="str">
        <f>IF(AND(_A1="A-330-200",'2025'!$G$4="CA",'2025'!$G$2=AC119),'2025DATA'!$N$9,"")</f>
        <v/>
      </c>
      <c r="AD126" s="940" t="s">
        <v>66</v>
      </c>
      <c r="AE126" s="13" t="s">
        <v>61</v>
      </c>
      <c r="AF126" s="518" t="str">
        <f>IF(AND(_A2="A-330-200",'2025'!$G$4="CA",'2025'!$G$2=AF119),'2025DATA'!$C$9,"")</f>
        <v/>
      </c>
      <c r="AG126" s="518" t="str">
        <f>IF(AND(_A2="A-330-200",'2025'!$G$4="CA",'2025'!$G$2=AG119),'2025DATA'!$D$9,"")</f>
        <v/>
      </c>
      <c r="AH126" s="518" t="str">
        <f>IF(AND(_A2="A-330-200",'2025'!$G$4="CA",'2025'!$G$2=AH119),'2025DATA'!$E$9,"")</f>
        <v/>
      </c>
      <c r="AI126" s="518" t="str">
        <f>IF(AND(_A2="A-330-200",'2025'!$G$4="CA",'2025'!$G$2=AI119),'2025DATA'!$F$9,"")</f>
        <v/>
      </c>
      <c r="AJ126" s="518" t="str">
        <f>IF(AND(_A2="A-330-200",'2025'!$G$4="CA",'2025'!$G$2=AJ119),'2025DATA'!$G$9,"")</f>
        <v/>
      </c>
      <c r="AK126" s="518" t="str">
        <f>IF(AND(_A2="A-330-200",'2025'!$G$4="CA",'2025'!$G$2=AK119),'2025DATA'!$H$9,"")</f>
        <v/>
      </c>
      <c r="AL126" s="518" t="str">
        <f>IF(AND(_A2="A-330-200",'2025'!$G$4="CA",'2025'!$G$2=AL119),'2025DATA'!$I$9,"")</f>
        <v/>
      </c>
      <c r="AM126" s="518" t="str">
        <f>IF(AND(_A2="A-330-200",'2025'!$G$4="CA",'2025'!$G$2=AM119),'2025DATA'!$J$9,"")</f>
        <v/>
      </c>
      <c r="AN126" s="518" t="str">
        <f>IF(AND(_A2="A-330-200",'2025'!$G$4="CA",'2025'!$G$2=AN119),'2025DATA'!$K$9,"")</f>
        <v/>
      </c>
      <c r="AO126" s="518" t="str">
        <f>IF(AND(_A2="A-330-200",'2025'!$G$4="CA",'2025'!$G$2=AO119),'2025DATA'!$L$9,"")</f>
        <v/>
      </c>
      <c r="AP126" s="518" t="str">
        <f>IF(AND(_A2="A-330-200",'2025'!$G$4="CA",'2025'!$G$2=AP119),'2025DATA'!$M$9,"")</f>
        <v/>
      </c>
      <c r="AQ126" s="520" t="str">
        <f>IF(AND(_A2="A-330-200",'2025'!$G$4="CA",'2025'!$G$2=AQ119),'2025DATA'!$N$9,"")</f>
        <v/>
      </c>
      <c r="AR126" s="940" t="s">
        <v>66</v>
      </c>
      <c r="AS126" s="13" t="s">
        <v>61</v>
      </c>
      <c r="AT126" s="518" t="str">
        <f>IF(AND(_A3="A-330-200",'2025'!$G$4="CA",'2025'!$G$2=AT119),'2025DATA'!$C$9,"")</f>
        <v/>
      </c>
      <c r="AU126" s="518" t="str">
        <f>IF(AND(_A3="A-330-200",'2025'!$G$4="CA",'2025'!$G$2=AU119),'2025DATA'!$D$9,"")</f>
        <v/>
      </c>
      <c r="AV126" s="518" t="str">
        <f>IF(AND(_A3="A-330-200",'2025'!$G$4="CA",'2025'!$G$2=AV119),'2025DATA'!$E$9,"")</f>
        <v/>
      </c>
      <c r="AW126" s="518" t="str">
        <f>IF(AND(_A3="A-330-200",'2025'!$G$4="CA",'2025'!$G$2=AW119),'2025DATA'!$F$9,"")</f>
        <v/>
      </c>
      <c r="AX126" s="518" t="str">
        <f>IF(AND(_A3="A-330-200",'2025'!$G$4="CA",'2025'!$G$2=AX119),'2025DATA'!$G$9,"")</f>
        <v/>
      </c>
      <c r="AY126" s="518" t="str">
        <f>IF(AND(_A3="A-330-200",'2025'!$G$4="CA",'2025'!$G$2=AY119),'2025DATA'!$H$9,"")</f>
        <v/>
      </c>
      <c r="AZ126" s="518" t="str">
        <f>IF(AND(_A3="A-330-200",'2025'!$G$4="CA",'2025'!$G$2=AZ119),'2025DATA'!$I$9,"")</f>
        <v/>
      </c>
      <c r="BA126" s="518" t="str">
        <f>IF(AND(_A3="A-330-200",'2025'!$G$4="CA",'2025'!$G$2=BA119),'2025DATA'!$J$9,"")</f>
        <v/>
      </c>
      <c r="BB126" s="518" t="str">
        <f>IF(AND(_A3="A-330-200",'2025'!$G$4="CA",'2025'!$G$2=BB119),'2025DATA'!$K$9,"")</f>
        <v/>
      </c>
      <c r="BC126" s="518" t="str">
        <f>IF(AND(_A3="A-330-200",'2025'!$G$4="CA",'2025'!$G$2=BC119),'2025DATA'!$L$9,"")</f>
        <v/>
      </c>
      <c r="BD126" s="518" t="str">
        <f>IF(AND(_A3="A-330-200",'2025'!$G$4="CA",'2025'!$G$2=BD119),'2025DATA'!$M$9,"")</f>
        <v/>
      </c>
      <c r="BE126" s="520" t="str">
        <f>IF(AND(_A3="A-330-200",'2025'!$G$4="CA",'2025'!$G$2=BE119),'2025DATA'!$N$9,"")</f>
        <v/>
      </c>
      <c r="BF126" s="940" t="s">
        <v>66</v>
      </c>
      <c r="BG126" s="13" t="s">
        <v>61</v>
      </c>
      <c r="BH126" s="518" t="str">
        <f>IF(AND(_A4="A-330-200",'2025'!$G$4="CA",'2025'!$G$2=BH119),'2025DATA'!$C$9,"")</f>
        <v/>
      </c>
      <c r="BI126" s="518" t="str">
        <f>IF(AND(_A4="A-330-200",'2025'!$G$4="CA",'2025'!$G$2=BI119),'2025DATA'!$D$9,"")</f>
        <v/>
      </c>
      <c r="BJ126" s="518" t="str">
        <f>IF(AND(_A4="A-330-200",'2025'!$G$4="CA",'2025'!$G$2=BJ119),'2025DATA'!$E$9,"")</f>
        <v/>
      </c>
      <c r="BK126" s="518" t="str">
        <f>IF(AND(_A4="A-330-200",'2025'!$G$4="CA",'2025'!$G$2=BK119),'2025DATA'!$F$9,"")</f>
        <v/>
      </c>
      <c r="BL126" s="518" t="str">
        <f>IF(AND(_A4="A-330-200",'2025'!$G$4="CA",'2025'!$G$2=BL119),'2025DATA'!$G$9,"")</f>
        <v/>
      </c>
      <c r="BM126" s="518" t="str">
        <f>IF(AND(_A4="A-330-200",'2025'!$G$4="CA",'2025'!$G$2=BM119),'2025DATA'!$H$9,"")</f>
        <v/>
      </c>
      <c r="BN126" s="518" t="str">
        <f>IF(AND(_A4="A-330-200",'2025'!$G$4="CA",'2025'!$G$2=BN119),'2025DATA'!$I$9,"")</f>
        <v/>
      </c>
      <c r="BO126" s="518" t="str">
        <f>IF(AND(_A4="A-330-200",'2025'!$G$4="CA",'2025'!$G$2=BO119),'2025DATA'!$J$9,"")</f>
        <v/>
      </c>
      <c r="BP126" s="518" t="str">
        <f>IF(AND(_A4="A-330-200",'2025'!$G$4="CA",'2025'!$G$2=BP119),'2025DATA'!$K$9,"")</f>
        <v/>
      </c>
      <c r="BQ126" s="518" t="str">
        <f>IF(AND(_A4="A-330-200",'2025'!$G$4="CA",'2025'!$G$2=BQ119),'2025DATA'!$L$9,"")</f>
        <v/>
      </c>
      <c r="BR126" s="518" t="str">
        <f>IF(AND(_A4="A-330-200",'2025'!$G$4="CA",'2025'!$G$2=BR119),'2025DATA'!$M$9,"")</f>
        <v/>
      </c>
      <c r="BS126" s="520" t="str">
        <f>IF(AND(_A4="A-330-200",'2025'!$G$4="CA",'2025'!$G$2=BS119),'2025DATA'!$N$9,"")</f>
        <v/>
      </c>
      <c r="BT126" s="940" t="s">
        <v>66</v>
      </c>
      <c r="BU126" s="13" t="s">
        <v>61</v>
      </c>
      <c r="BV126" s="518" t="str">
        <f>IF(AND(_A5="A-330-200",'2025'!$G$4="CA",'2025'!$G$2=BV119),'2025DATA'!$C$9,"")</f>
        <v/>
      </c>
      <c r="BW126" s="518" t="str">
        <f>IF(AND(_A5="A-330-200",'2025'!$G$4="CA",'2025'!$G$2=BW119),'2025DATA'!$D$9,"")</f>
        <v/>
      </c>
      <c r="BX126" s="518" t="str">
        <f>IF(AND(_A5="A-330-200",'2025'!$G$4="CA",'2025'!$G$2=BX119),'2025DATA'!$E$9,"")</f>
        <v/>
      </c>
      <c r="BY126" s="518" t="str">
        <f>IF(AND(_A5="A-330-200",'2025'!$G$4="CA",'2025'!$G$2=BY119),'2025DATA'!$F$9,"")</f>
        <v/>
      </c>
      <c r="BZ126" s="518" t="str">
        <f>IF(AND(_A5="A-330-200",'2025'!$G$4="CA",'2025'!$G$2=BZ119),'2025DATA'!$G$9,"")</f>
        <v/>
      </c>
      <c r="CA126" s="518" t="str">
        <f>IF(AND(_A5="A-330-200",'2025'!$G$4="CA",'2025'!$G$2=CA119),'2025DATA'!$H$9,"")</f>
        <v/>
      </c>
      <c r="CB126" s="518" t="str">
        <f>IF(AND(_A5="A-330-200",'2025'!$G$4="CA",'2025'!$G$2=CB119),'2025DATA'!$I$9,"")</f>
        <v/>
      </c>
      <c r="CC126" s="518" t="str">
        <f>IF(AND(_A5="A-330-200",'2025'!$G$4="CA",'2025'!$G$2=CC119),'2025DATA'!$J$9,"")</f>
        <v/>
      </c>
      <c r="CD126" s="518" t="str">
        <f>IF(AND(_A5="A-330-200",'2025'!$G$4="CA",'2025'!$G$2=CD119),'2025DATA'!$K$9,"")</f>
        <v/>
      </c>
      <c r="CE126" s="518" t="str">
        <f>IF(AND(_A5="A-330-200",'2025'!$G$4="CA",'2025'!$G$2=CE119),'2025DATA'!$L$9,"")</f>
        <v/>
      </c>
      <c r="CF126" s="518" t="str">
        <f>IF(AND(_A5="A-330-200",'2025'!$G$4="CA",'2025'!$G$2=CF119),'2025DATA'!$M$9,"")</f>
        <v/>
      </c>
      <c r="CG126" s="520" t="str">
        <f>IF(AND(_A5="A-330-200",'2025'!$G$4="CA",'2025'!$G$2=CG119),'2025DATA'!$N$9,"")</f>
        <v/>
      </c>
      <c r="CH126" s="940" t="s">
        <v>66</v>
      </c>
      <c r="CI126" s="13" t="s">
        <v>61</v>
      </c>
      <c r="CJ126" s="518" t="str">
        <f>IF(AND(_A6="A-330-200",'2025'!$G$4="CA",'2025'!$G$2=CJ119),'2025DATA'!$C$9,"")</f>
        <v/>
      </c>
      <c r="CK126" s="518" t="str">
        <f>IF(AND(_A6="A-330-200",'2025'!$G$4="CA",'2025'!$G$2=CK119),'2025DATA'!$D$9,"")</f>
        <v/>
      </c>
      <c r="CL126" s="518" t="str">
        <f>IF(AND(_A6="A-330-200",'2025'!$G$4="CA",'2025'!$G$2=CL119),'2025DATA'!$E$9,"")</f>
        <v/>
      </c>
      <c r="CM126" s="518" t="str">
        <f>IF(AND(_A6="A-330-200",'2025'!$G$4="CA",'2025'!$G$2=CM119),'2025DATA'!$F$9,"")</f>
        <v/>
      </c>
      <c r="CN126" s="518" t="str">
        <f>IF(AND(_A6="A-330-200",'2025'!$G$4="CA",'2025'!$G$2=CN119),'2025DATA'!$G$9,"")</f>
        <v/>
      </c>
      <c r="CO126" s="518" t="str">
        <f>IF(AND(_A6="A-330-200",'2025'!$G$4="CA",'2025'!$G$2=CO119),'2025DATA'!$H$9,"")</f>
        <v/>
      </c>
      <c r="CP126" s="518" t="str">
        <f>IF(AND(_A6="A-330-200",'2025'!$G$4="CA",'2025'!$G$2=CP119),'2025DATA'!$I$9,"")</f>
        <v/>
      </c>
      <c r="CQ126" s="518" t="str">
        <f>IF(AND(_A6="A-330-200",'2025'!$G$4="CA",'2025'!$G$2=CQ119),'2025DATA'!$J$9,"")</f>
        <v/>
      </c>
      <c r="CR126" s="518" t="str">
        <f>IF(AND(_A6="A-330-200",'2025'!$G$4="CA",'2025'!$G$2=CR119),'2025DATA'!$K$9,"")</f>
        <v/>
      </c>
      <c r="CS126" s="518" t="str">
        <f>IF(AND(_A6="A-330-200",'2025'!$G$4="CA",'2025'!$G$2=CS119),'2025DATA'!$L$9,"")</f>
        <v/>
      </c>
      <c r="CT126" s="518" t="str">
        <f>IF(AND(_A6="A-330-200",'2025'!$G$4="CA",'2025'!$G$2=CT119),'2025DATA'!$M$9,"")</f>
        <v/>
      </c>
      <c r="CU126" s="520" t="str">
        <f>IF(AND(_A6="A-330-200",'2025'!$G$4="CA",'2025'!$G$2=CU119),'2025DATA'!$N$9,"")</f>
        <v/>
      </c>
    </row>
    <row r="127" spans="16:99" x14ac:dyDescent="0.25">
      <c r="P127" s="940"/>
      <c r="Q127" s="13" t="s">
        <v>62</v>
      </c>
      <c r="R127" s="518" t="str">
        <f>IF(AND(_A1="A-330-200",'2025'!$G$4="FO",'2025'!$G$2=R119),'2025DATA'!$C$10,"")</f>
        <v/>
      </c>
      <c r="S127" s="518" t="str">
        <f>IF(AND(_A1="A-330-200",'2025'!$G$4="FO",'2025'!$G$2=S119),'2025DATA'!$D$10,"")</f>
        <v/>
      </c>
      <c r="T127" s="518" t="str">
        <f>IF(AND(_A1="A-330-200",'2025'!$G$4="FO",'2025'!$G$2=T119),'2025DATA'!$E$10,"")</f>
        <v/>
      </c>
      <c r="U127" s="518" t="str">
        <f>IF(AND(_A1="A-330-200",'2025'!$G$4="FO",'2025'!$G$2=U119),'2025DATA'!$F$10,"")</f>
        <v/>
      </c>
      <c r="V127" s="518" t="str">
        <f>IF(AND(_A1="A-330-200",'2025'!$G$4="FO",'2025'!$G$2=V119),'2025DATA'!$G$10,"")</f>
        <v/>
      </c>
      <c r="W127" s="518" t="str">
        <f>IF(AND(_A1="A-330-200",'2025'!$G$4="FO",'2025'!$G$2=W119),'2025DATA'!$H$10,"")</f>
        <v/>
      </c>
      <c r="X127" s="518" t="str">
        <f>IF(AND(_A1="A-330-200",'2025'!$G$4="FO",'2025'!$G$2=X119),'2025DATA'!$I$10,"")</f>
        <v/>
      </c>
      <c r="Y127" s="518" t="str">
        <f>IF(AND(_A1="A-330-200",'2025'!$G$4="FO",'2025'!$G$2=Y119),'2025DATA'!$J$10,"")</f>
        <v/>
      </c>
      <c r="Z127" s="518" t="str">
        <f>IF(AND(_A1="A-330-200",'2025'!$G$4="FO",'2025'!$G$2=Z119),'2025DATA'!$K$10,"")</f>
        <v/>
      </c>
      <c r="AA127" s="518" t="str">
        <f>IF(AND(_A1="A-330-200",'2025'!$G$4="FO",'2025'!$G$2=AA119),'2025DATA'!$L$10,"")</f>
        <v/>
      </c>
      <c r="AB127" s="518" t="str">
        <f>IF(AND(_A1="A-330-200",'2025'!$G$4="FO",'2025'!$G$2=AB119),'2025DATA'!$M$10,"")</f>
        <v/>
      </c>
      <c r="AC127" s="520" t="str">
        <f>IF(AND(_A1="A-330-200",'2025'!$G$4="FO",'2025'!$G$2=AC119),'2025DATA'!$N$10,"")</f>
        <v/>
      </c>
      <c r="AD127" s="940"/>
      <c r="AE127" s="13" t="s">
        <v>62</v>
      </c>
      <c r="AF127" s="518" t="str">
        <f>IF(AND(_A2="A-330-200",'2025'!$G$4="FO",'2025'!$G$2=AF119),'2025DATA'!$C$10,"")</f>
        <v/>
      </c>
      <c r="AG127" s="518" t="str">
        <f>IF(AND(_A2="A-330-200",'2025'!$G$4="FO",'2025'!$G$2=AG119),'2025DATA'!$D$10,"")</f>
        <v/>
      </c>
      <c r="AH127" s="518" t="str">
        <f>IF(AND(_A2="A-330-200",'2025'!$G$4="FO",'2025'!$G$2=AH119),'2025DATA'!$E$10,"")</f>
        <v/>
      </c>
      <c r="AI127" s="518" t="str">
        <f>IF(AND(_A2="A-330-200",'2025'!$G$4="FO",'2025'!$G$2=AI119),'2025DATA'!$F$10,"")</f>
        <v/>
      </c>
      <c r="AJ127" s="518" t="str">
        <f>IF(AND(_A2="A-330-200",'2025'!$G$4="FO",'2025'!$G$2=AJ119),'2025DATA'!$G$10,"")</f>
        <v/>
      </c>
      <c r="AK127" s="518" t="str">
        <f>IF(AND(_A2="A-330-200",'2025'!$G$4="FO",'2025'!$G$2=AK119),'2025DATA'!$H$10,"")</f>
        <v/>
      </c>
      <c r="AL127" s="518" t="str">
        <f>IF(AND(_A2="A-330-200",'2025'!$G$4="FO",'2025'!$G$2=AL119),'2025DATA'!$I$10,"")</f>
        <v/>
      </c>
      <c r="AM127" s="518" t="str">
        <f>IF(AND(_A2="A-330-200",'2025'!$G$4="FO",'2025'!$G$2=AM119),'2025DATA'!$J$10,"")</f>
        <v/>
      </c>
      <c r="AN127" s="518" t="str">
        <f>IF(AND(_A2="A-330-200",'2025'!$G$4="FO",'2025'!$G$2=AN119),'2025DATA'!$K$10,"")</f>
        <v/>
      </c>
      <c r="AO127" s="518" t="str">
        <f>IF(AND(_A2="A-330-200",'2025'!$G$4="FO",'2025'!$G$2=AO119),'2025DATA'!$L$10,"")</f>
        <v/>
      </c>
      <c r="AP127" s="518" t="str">
        <f>IF(AND(_A2="A-330-200",'2025'!$G$4="FO",'2025'!$G$2=AP119),'2025DATA'!$M$10,"")</f>
        <v/>
      </c>
      <c r="AQ127" s="520" t="str">
        <f>IF(AND(_A2="A-330-200",'2025'!$G$4="FO",'2025'!$G$2=AQ119),'2025DATA'!$N$10,"")</f>
        <v/>
      </c>
      <c r="AR127" s="940"/>
      <c r="AS127" s="13" t="s">
        <v>62</v>
      </c>
      <c r="AT127" s="518" t="str">
        <f>IF(AND(_A3="A-330-200",'2025'!$G$4="FO",'2025'!$G$2=AT119),'2025DATA'!$C$10,"")</f>
        <v/>
      </c>
      <c r="AU127" s="518" t="str">
        <f>IF(AND(_A3="A-330-200",'2025'!$G$4="FO",'2025'!$G$2=AU119),'2025DATA'!$D$10,"")</f>
        <v/>
      </c>
      <c r="AV127" s="518" t="str">
        <f>IF(AND(_A3="A-330-200",'2025'!$G$4="FO",'2025'!$G$2=AV119),'2025DATA'!$E$10,"")</f>
        <v/>
      </c>
      <c r="AW127" s="518" t="str">
        <f>IF(AND(_A3="A-330-200",'2025'!$G$4="FO",'2025'!$G$2=AW119),'2025DATA'!$F$10,"")</f>
        <v/>
      </c>
      <c r="AX127" s="518" t="str">
        <f>IF(AND(_A3="A-330-200",'2025'!$G$4="FO",'2025'!$G$2=AX119),'2025DATA'!$G$10,"")</f>
        <v/>
      </c>
      <c r="AY127" s="518" t="str">
        <f>IF(AND(_A3="A-330-200",'2025'!$G$4="FO",'2025'!$G$2=AY119),'2025DATA'!$H$10,"")</f>
        <v/>
      </c>
      <c r="AZ127" s="518" t="str">
        <f>IF(AND(_A3="A-330-200",'2025'!$G$4="FO",'2025'!$G$2=AZ119),'2025DATA'!$I$10,"")</f>
        <v/>
      </c>
      <c r="BA127" s="518" t="str">
        <f>IF(AND(_A3="A-330-200",'2025'!$G$4="FO",'2025'!$G$2=BA119),'2025DATA'!$J$10,"")</f>
        <v/>
      </c>
      <c r="BB127" s="518" t="str">
        <f>IF(AND(_A3="A-330-200",'2025'!$G$4="FO",'2025'!$G$2=BB119),'2025DATA'!$K$10,"")</f>
        <v/>
      </c>
      <c r="BC127" s="518" t="str">
        <f>IF(AND(_A3="A-330-200",'2025'!$G$4="FO",'2025'!$G$2=BC119),'2025DATA'!$L$10,"")</f>
        <v/>
      </c>
      <c r="BD127" s="518" t="str">
        <f>IF(AND(_A3="A-330-200",'2025'!$G$4="FO",'2025'!$G$2=BD119),'2025DATA'!$M$10,"")</f>
        <v/>
      </c>
      <c r="BE127" s="520" t="str">
        <f>IF(AND(_A3="A-330-200",'2025'!$G$4="FO",'2025'!$G$2=BE119),'2025DATA'!$N$10,"")</f>
        <v/>
      </c>
      <c r="BF127" s="940"/>
      <c r="BG127" s="13" t="s">
        <v>62</v>
      </c>
      <c r="BH127" s="518" t="str">
        <f>IF(AND(_A4="A-330-200",'2025'!$G$4="FO",'2025'!$G$2=BH119),'2025DATA'!$C$10,"")</f>
        <v/>
      </c>
      <c r="BI127" s="518" t="str">
        <f>IF(AND(_A4="A-330-200",'2025'!$G$4="FO",'2025'!$G$2=BI119),'2025DATA'!$D$10,"")</f>
        <v/>
      </c>
      <c r="BJ127" s="518" t="str">
        <f>IF(AND(_A4="A-330-200",'2025'!$G$4="FO",'2025'!$G$2=BJ119),'2025DATA'!$E$10,"")</f>
        <v/>
      </c>
      <c r="BK127" s="518" t="str">
        <f>IF(AND(_A4="A-330-200",'2025'!$G$4="FO",'2025'!$G$2=BK119),'2025DATA'!$F$10,"")</f>
        <v/>
      </c>
      <c r="BL127" s="518" t="str">
        <f>IF(AND(_A4="A-330-200",'2025'!$G$4="FO",'2025'!$G$2=BL119),'2025DATA'!$G$10,"")</f>
        <v/>
      </c>
      <c r="BM127" s="518" t="str">
        <f>IF(AND(_A4="A-330-200",'2025'!$G$4="FO",'2025'!$G$2=BM119),'2025DATA'!$H$10,"")</f>
        <v/>
      </c>
      <c r="BN127" s="518" t="str">
        <f>IF(AND(_A4="A-330-200",'2025'!$G$4="FO",'2025'!$G$2=BN119),'2025DATA'!$I$10,"")</f>
        <v/>
      </c>
      <c r="BO127" s="518" t="str">
        <f>IF(AND(_A4="A-330-200",'2025'!$G$4="FO",'2025'!$G$2=BO119),'2025DATA'!$J$10,"")</f>
        <v/>
      </c>
      <c r="BP127" s="518" t="str">
        <f>IF(AND(_A4="A-330-200",'2025'!$G$4="FO",'2025'!$G$2=BP119),'2025DATA'!$K$10,"")</f>
        <v/>
      </c>
      <c r="BQ127" s="518" t="str">
        <f>IF(AND(_A4="A-330-200",'2025'!$G$4="FO",'2025'!$G$2=BQ119),'2025DATA'!$L$10,"")</f>
        <v/>
      </c>
      <c r="BR127" s="518" t="str">
        <f>IF(AND(_A4="A-330-200",'2025'!$G$4="FO",'2025'!$G$2=BR119),'2025DATA'!$M$10,"")</f>
        <v/>
      </c>
      <c r="BS127" s="520" t="str">
        <f>IF(AND(_A4="A-330-200",'2025'!$G$4="FO",'2025'!$G$2=BS119),'2025DATA'!$N$10,"")</f>
        <v/>
      </c>
      <c r="BT127" s="940"/>
      <c r="BU127" s="13" t="s">
        <v>62</v>
      </c>
      <c r="BV127" s="518" t="str">
        <f>IF(AND(_A5="A-330-200",'2025'!$G$4="FO",'2025'!$G$2=BV119),'2025DATA'!$C$10,"")</f>
        <v/>
      </c>
      <c r="BW127" s="518" t="str">
        <f>IF(AND(_A5="A-330-200",'2025'!$G$4="FO",'2025'!$G$2=BW119),'2025DATA'!$D$10,"")</f>
        <v/>
      </c>
      <c r="BX127" s="518" t="str">
        <f>IF(AND(_A5="A-330-200",'2025'!$G$4="FO",'2025'!$G$2=BX119),'2025DATA'!$E$10,"")</f>
        <v/>
      </c>
      <c r="BY127" s="518" t="str">
        <f>IF(AND(_A5="A-330-200",'2025'!$G$4="FO",'2025'!$G$2=BY119),'2025DATA'!$F$10,"")</f>
        <v/>
      </c>
      <c r="BZ127" s="518" t="str">
        <f>IF(AND(_A5="A-330-200",'2025'!$G$4="FO",'2025'!$G$2=BZ119),'2025DATA'!$G$10,"")</f>
        <v/>
      </c>
      <c r="CA127" s="518" t="str">
        <f>IF(AND(_A5="A-330-200",'2025'!$G$4="FO",'2025'!$G$2=CA119),'2025DATA'!$H$10,"")</f>
        <v/>
      </c>
      <c r="CB127" s="518" t="str">
        <f>IF(AND(_A5="A-330-200",'2025'!$G$4="FO",'2025'!$G$2=CB119),'2025DATA'!$I$10,"")</f>
        <v/>
      </c>
      <c r="CC127" s="518" t="str">
        <f>IF(AND(_A5="A-330-200",'2025'!$G$4="FO",'2025'!$G$2=CC119),'2025DATA'!$J$10,"")</f>
        <v/>
      </c>
      <c r="CD127" s="518" t="str">
        <f>IF(AND(_A5="A-330-200",'2025'!$G$4="FO",'2025'!$G$2=CD119),'2025DATA'!$K$10,"")</f>
        <v/>
      </c>
      <c r="CE127" s="518" t="str">
        <f>IF(AND(_A5="A-330-200",'2025'!$G$4="FO",'2025'!$G$2=CE119),'2025DATA'!$L$10,"")</f>
        <v/>
      </c>
      <c r="CF127" s="518" t="str">
        <f>IF(AND(_A5="A-330-200",'2025'!$G$4="FO",'2025'!$G$2=CF119),'2025DATA'!$M$10,"")</f>
        <v/>
      </c>
      <c r="CG127" s="520" t="str">
        <f>IF(AND(_A5="A-330-200",'2025'!$G$4="FO",'2025'!$G$2=CG119),'2025DATA'!$N$10,"")</f>
        <v/>
      </c>
      <c r="CH127" s="940"/>
      <c r="CI127" s="13" t="s">
        <v>62</v>
      </c>
      <c r="CJ127" s="518" t="str">
        <f>IF(AND(_A6="A-330-200",'2025'!$G$4="FO",'2025'!$G$2=CJ119),'2025DATA'!$C$10,"")</f>
        <v/>
      </c>
      <c r="CK127" s="518" t="str">
        <f>IF(AND(_A6="A-330-200",'2025'!$G$4="FO",'2025'!$G$2=CK119),'2025DATA'!$D$10,"")</f>
        <v/>
      </c>
      <c r="CL127" s="518" t="str">
        <f>IF(AND(_A6="A-330-200",'2025'!$G$4="FO",'2025'!$G$2=CL119),'2025DATA'!$E$10,"")</f>
        <v/>
      </c>
      <c r="CM127" s="518" t="str">
        <f>IF(AND(_A6="A-330-200",'2025'!$G$4="FO",'2025'!$G$2=CM119),'2025DATA'!$F$10,"")</f>
        <v/>
      </c>
      <c r="CN127" s="518" t="str">
        <f>IF(AND(_A6="A-330-200",'2025'!$G$4="FO",'2025'!$G$2=CN119),'2025DATA'!$G$10,"")</f>
        <v/>
      </c>
      <c r="CO127" s="518" t="str">
        <f>IF(AND(_A6="A-330-200",'2025'!$G$4="FO",'2025'!$G$2=CO119),'2025DATA'!$H$10,"")</f>
        <v/>
      </c>
      <c r="CP127" s="518" t="str">
        <f>IF(AND(_A6="A-330-200",'2025'!$G$4="FO",'2025'!$G$2=CP119),'2025DATA'!$I$10,"")</f>
        <v/>
      </c>
      <c r="CQ127" s="518" t="str">
        <f>IF(AND(_A6="A-330-200",'2025'!$G$4="FO",'2025'!$G$2=CQ119),'2025DATA'!$J$10,"")</f>
        <v/>
      </c>
      <c r="CR127" s="518" t="str">
        <f>IF(AND(_A6="A-330-200",'2025'!$G$4="FO",'2025'!$G$2=CR119),'2025DATA'!$K$10,"")</f>
        <v/>
      </c>
      <c r="CS127" s="518" t="str">
        <f>IF(AND(_A6="A-330-200",'2025'!$G$4="FO",'2025'!$G$2=CS119),'2025DATA'!$L$10,"")</f>
        <v/>
      </c>
      <c r="CT127" s="518" t="str">
        <f>IF(AND(_A6="A-330-200",'2025'!$G$4="FO",'2025'!$G$2=CT119),'2025DATA'!$M$10,"")</f>
        <v/>
      </c>
      <c r="CU127" s="520" t="str">
        <f>IF(AND(_A6="A-330-200",'2025'!$G$4="FO",'2025'!$G$2=CU119),'2025DATA'!$N$10,"")</f>
        <v/>
      </c>
    </row>
    <row r="128" spans="16:99" x14ac:dyDescent="0.25">
      <c r="P128" s="940" t="s">
        <v>42</v>
      </c>
      <c r="Q128" s="13" t="s">
        <v>61</v>
      </c>
      <c r="R128" s="518" t="str">
        <f>IF(AND(_A1="B-767-400ER",'2025'!$G$4="CA",'2025'!$G$2=R119),'2025DATA'!$C$11,"")</f>
        <v/>
      </c>
      <c r="S128" s="518" t="str">
        <f>IF(AND(_A1="B-767-400ER",'2025'!$G$4="CA",'2025'!$G$2=S119),'2025DATA'!$D$11,"")</f>
        <v/>
      </c>
      <c r="T128" s="518" t="str">
        <f>IF(AND(_A1="B-767-400ER",'2025'!$G$4="CA",'2025'!$G$2=T119),'2025DATA'!$E$11,"")</f>
        <v/>
      </c>
      <c r="U128" s="518" t="str">
        <f>IF(AND(_A1="B-767-400ER",'2025'!$G$4="CA",'2025'!$G$2=U119),'2025DATA'!$F$11,"")</f>
        <v/>
      </c>
      <c r="V128" s="518" t="str">
        <f>IF(AND(_A1="B-767-400ER",'2025'!$G$4="CA",'2025'!$G$2=V119),'2025DATA'!$G$11,"")</f>
        <v/>
      </c>
      <c r="W128" s="518" t="str">
        <f>IF(AND(_A1="B-767-400ER",'2025'!$G$4="CA",'2025'!$G$2=W119),'2025DATA'!$H$11,"")</f>
        <v/>
      </c>
      <c r="X128" s="518" t="str">
        <f>IF(AND(_A1="B-767-400ER",'2025'!$G$4="CA",'2025'!$G$2=X119),'2025DATA'!$I$11,"")</f>
        <v/>
      </c>
      <c r="Y128" s="518" t="str">
        <f>IF(AND(_A1="B-767-400ER",'2025'!$G$4="CA",'2025'!$G$2=Y119),'2025DATA'!$J$11,"")</f>
        <v/>
      </c>
      <c r="Z128" s="518" t="str">
        <f>IF(AND(_A1="B-767-400ER",'2025'!$G$4="CA",'2025'!$G$2=Z119),'2025DATA'!$K$11,"")</f>
        <v/>
      </c>
      <c r="AA128" s="518" t="str">
        <f>IF(AND(_A1="B-767-400ER",'2025'!$G$4="CA",'2025'!$G$2=AA119),'2025DATA'!$L$11,"")</f>
        <v/>
      </c>
      <c r="AB128" s="518" t="str">
        <f>IF(AND(_A1="B-767-400ER",'2025'!$G$4="CA",'2025'!$G$2=AB119),'2025DATA'!$M$11,"")</f>
        <v/>
      </c>
      <c r="AC128" s="520" t="str">
        <f>IF(AND(_A1="B-767-400ER",'2025'!$G$4="CA",'2025'!$G$2=AC119),'2025DATA'!$N$11,"")</f>
        <v/>
      </c>
      <c r="AD128" s="940" t="s">
        <v>42</v>
      </c>
      <c r="AE128" s="13" t="s">
        <v>61</v>
      </c>
      <c r="AF128" s="518" t="str">
        <f>IF(AND(_A2="B-767-400ER",'2025'!$G$4="CA",'2025'!$G$2=AF119),'2025DATA'!$C$11,"")</f>
        <v/>
      </c>
      <c r="AG128" s="518" t="str">
        <f>IF(AND(_A2="B-767-400ER",'2025'!$G$4="CA",'2025'!$G$2=AG119),'2025DATA'!$D$11,"")</f>
        <v/>
      </c>
      <c r="AH128" s="518" t="str">
        <f>IF(AND(_A2="B-767-400ER",'2025'!$G$4="CA",'2025'!$G$2=AH119),'2025DATA'!$E$11,"")</f>
        <v/>
      </c>
      <c r="AI128" s="518" t="str">
        <f>IF(AND(_A2="B-767-400ER",'2025'!$G$4="CA",'2025'!$G$2=AI119),'2025DATA'!$F$11,"")</f>
        <v/>
      </c>
      <c r="AJ128" s="518" t="str">
        <f>IF(AND(_A2="B-767-400ER",'2025'!$G$4="CA",'2025'!$G$2=AJ119),'2025DATA'!$G$11,"")</f>
        <v/>
      </c>
      <c r="AK128" s="518" t="str">
        <f>IF(AND(_A2="B-767-400ER",'2025'!$G$4="CA",'2025'!$G$2=AK119),'2025DATA'!$H$11,"")</f>
        <v/>
      </c>
      <c r="AL128" s="518" t="str">
        <f>IF(AND(_A2="B-767-400ER",'2025'!$G$4="CA",'2025'!$G$2=AL119),'2025DATA'!$I$11,"")</f>
        <v/>
      </c>
      <c r="AM128" s="518" t="str">
        <f>IF(AND(_A2="B-767-400ER",'2025'!$G$4="CA",'2025'!$G$2=AM119),'2025DATA'!$J$11,"")</f>
        <v/>
      </c>
      <c r="AN128" s="518" t="str">
        <f>IF(AND(_A2="B-767-400ER",'2025'!$G$4="CA",'2025'!$G$2=AN119),'2025DATA'!$K$11,"")</f>
        <v/>
      </c>
      <c r="AO128" s="518" t="str">
        <f>IF(AND(_A2="B-767-400ER",'2025'!$G$4="CA",'2025'!$G$2=AO119),'2025DATA'!$L$11,"")</f>
        <v/>
      </c>
      <c r="AP128" s="518" t="str">
        <f>IF(AND(_A2="B-767-400ER",'2025'!$G$4="CA",'2025'!$G$2=AP119),'2025DATA'!$M$11,"")</f>
        <v/>
      </c>
      <c r="AQ128" s="520" t="str">
        <f>IF(AND(_A2="B-767-400ER",'2025'!$G$4="CA",'2025'!$G$2=AQ119),'2025DATA'!$N$11,"")</f>
        <v/>
      </c>
      <c r="AR128" s="940" t="s">
        <v>42</v>
      </c>
      <c r="AS128" s="13" t="s">
        <v>61</v>
      </c>
      <c r="AT128" s="518" t="str">
        <f>IF(AND(_A3="B-767-400ER",'2025'!$G$4="CA",'2025'!$G$2=AT119),'2025DATA'!$C$11,"")</f>
        <v/>
      </c>
      <c r="AU128" s="518" t="str">
        <f>IF(AND(_A3="B-767-400ER",'2025'!$G$4="CA",'2025'!$G$2=AU119),'2025DATA'!$D$11,"")</f>
        <v/>
      </c>
      <c r="AV128" s="518" t="str">
        <f>IF(AND(_A3="B-767-400ER",'2025'!$G$4="CA",'2025'!$G$2=AV119),'2025DATA'!$E$11,"")</f>
        <v/>
      </c>
      <c r="AW128" s="518" t="str">
        <f>IF(AND(_A3="B-767-400ER",'2025'!$G$4="CA",'2025'!$G$2=AW119),'2025DATA'!$F$11,"")</f>
        <v/>
      </c>
      <c r="AX128" s="518" t="str">
        <f>IF(AND(_A3="B-767-400ER",'2025'!$G$4="CA",'2025'!$G$2=AX119),'2025DATA'!$G$11,"")</f>
        <v/>
      </c>
      <c r="AY128" s="518" t="str">
        <f>IF(AND(_A3="B-767-400ER",'2025'!$G$4="CA",'2025'!$G$2=AY119),'2025DATA'!$H$11,"")</f>
        <v/>
      </c>
      <c r="AZ128" s="518" t="str">
        <f>IF(AND(_A3="B-767-400ER",'2025'!$G$4="CA",'2025'!$G$2=AZ119),'2025DATA'!$I$11,"")</f>
        <v/>
      </c>
      <c r="BA128" s="518" t="str">
        <f>IF(AND(_A3="B-767-400ER",'2025'!$G$4="CA",'2025'!$G$2=BA119),'2025DATA'!$J$11,"")</f>
        <v/>
      </c>
      <c r="BB128" s="518" t="str">
        <f>IF(AND(_A3="B-767-400ER",'2025'!$G$4="CA",'2025'!$G$2=BB119),'2025DATA'!$K$11,"")</f>
        <v/>
      </c>
      <c r="BC128" s="518" t="str">
        <f>IF(AND(_A3="B-767-400ER",'2025'!$G$4="CA",'2025'!$G$2=BC119),'2025DATA'!$L$11,"")</f>
        <v/>
      </c>
      <c r="BD128" s="518" t="str">
        <f>IF(AND(_A3="B-767-400ER",'2025'!$G$4="CA",'2025'!$G$2=BD119),'2025DATA'!$M$11,"")</f>
        <v/>
      </c>
      <c r="BE128" s="520" t="str">
        <f>IF(AND(_A3="B-767-400ER",'2025'!$G$4="CA",'2025'!$G$2=BE119),'2025DATA'!$N$11,"")</f>
        <v/>
      </c>
      <c r="BF128" s="940" t="s">
        <v>42</v>
      </c>
      <c r="BG128" s="13" t="s">
        <v>61</v>
      </c>
      <c r="BH128" s="518" t="str">
        <f>IF(AND(_A4="B-767-400ER",'2025'!$G$4="CA",'2025'!$G$2=BH119),'2025DATA'!$C$11,"")</f>
        <v/>
      </c>
      <c r="BI128" s="518" t="str">
        <f>IF(AND(_A4="B-767-400ER",'2025'!$G$4="CA",'2025'!$G$2=BI119),'2025DATA'!$D$11,"")</f>
        <v/>
      </c>
      <c r="BJ128" s="518" t="str">
        <f>IF(AND(_A4="B-767-400ER",'2025'!$G$4="CA",'2025'!$G$2=BJ119),'2025DATA'!$E$11,"")</f>
        <v/>
      </c>
      <c r="BK128" s="518" t="str">
        <f>IF(AND(_A4="B-767-400ER",'2025'!$G$4="CA",'2025'!$G$2=BK119),'2025DATA'!$F$11,"")</f>
        <v/>
      </c>
      <c r="BL128" s="518" t="str">
        <f>IF(AND(_A4="B-767-400ER",'2025'!$G$4="CA",'2025'!$G$2=BL119),'2025DATA'!$G$11,"")</f>
        <v/>
      </c>
      <c r="BM128" s="518" t="str">
        <f>IF(AND(_A4="B-767-400ER",'2025'!$G$4="CA",'2025'!$G$2=BM119),'2025DATA'!$H$11,"")</f>
        <v/>
      </c>
      <c r="BN128" s="518" t="str">
        <f>IF(AND(_A4="B-767-400ER",'2025'!$G$4="CA",'2025'!$G$2=BN119),'2025DATA'!$I$11,"")</f>
        <v/>
      </c>
      <c r="BO128" s="518" t="str">
        <f>IF(AND(_A4="B-767-400ER",'2025'!$G$4="CA",'2025'!$G$2=BO119),'2025DATA'!$J$11,"")</f>
        <v/>
      </c>
      <c r="BP128" s="518" t="str">
        <f>IF(AND(_A4="B-767-400ER",'2025'!$G$4="CA",'2025'!$G$2=BP119),'2025DATA'!$K$11,"")</f>
        <v/>
      </c>
      <c r="BQ128" s="518" t="str">
        <f>IF(AND(_A4="B-767-400ER",'2025'!$G$4="CA",'2025'!$G$2=BQ119),'2025DATA'!$L$11,"")</f>
        <v/>
      </c>
      <c r="BR128" s="518" t="str">
        <f>IF(AND(_A4="B-767-400ER",'2025'!$G$4="CA",'2025'!$G$2=BR119),'2025DATA'!$M$11,"")</f>
        <v/>
      </c>
      <c r="BS128" s="520" t="str">
        <f>IF(AND(_A4="B-767-400ER",'2025'!$G$4="CA",'2025'!$G$2=BS119),'2025DATA'!$N$11,"")</f>
        <v/>
      </c>
      <c r="BT128" s="940" t="s">
        <v>42</v>
      </c>
      <c r="BU128" s="13" t="s">
        <v>61</v>
      </c>
      <c r="BV128" s="518" t="str">
        <f>IF(AND(_A5="B-767-400ER",'2025'!$G$4="CA",'2025'!$G$2=BV119),'2025DATA'!$C$11,"")</f>
        <v/>
      </c>
      <c r="BW128" s="518" t="str">
        <f>IF(AND(_A5="B-767-400ER",'2025'!$G$4="CA",'2025'!$G$2=BW119),'2025DATA'!$D$11,"")</f>
        <v/>
      </c>
      <c r="BX128" s="518" t="str">
        <f>IF(AND(_A5="B-767-400ER",'2025'!$G$4="CA",'2025'!$G$2=BX119),'2025DATA'!$E$11,"")</f>
        <v/>
      </c>
      <c r="BY128" s="518" t="str">
        <f>IF(AND(_A5="B-767-400ER",'2025'!$G$4="CA",'2025'!$G$2=BY119),'2025DATA'!$F$11,"")</f>
        <v/>
      </c>
      <c r="BZ128" s="518" t="str">
        <f>IF(AND(_A5="B-767-400ER",'2025'!$G$4="CA",'2025'!$G$2=BZ119),'2025DATA'!$G$11,"")</f>
        <v/>
      </c>
      <c r="CA128" s="518" t="str">
        <f>IF(AND(_A5="B-767-400ER",'2025'!$G$4="CA",'2025'!$G$2=CA119),'2025DATA'!$H$11,"")</f>
        <v/>
      </c>
      <c r="CB128" s="518" t="str">
        <f>IF(AND(_A5="B-767-400ER",'2025'!$G$4="CA",'2025'!$G$2=CB119),'2025DATA'!$I$11,"")</f>
        <v/>
      </c>
      <c r="CC128" s="518" t="str">
        <f>IF(AND(_A5="B-767-400ER",'2025'!$G$4="CA",'2025'!$G$2=CC119),'2025DATA'!$J$11,"")</f>
        <v/>
      </c>
      <c r="CD128" s="518" t="str">
        <f>IF(AND(_A5="B-767-400ER",'2025'!$G$4="CA",'2025'!$G$2=CD119),'2025DATA'!$K$11,"")</f>
        <v/>
      </c>
      <c r="CE128" s="518" t="str">
        <f>IF(AND(_A5="B-767-400ER",'2025'!$G$4="CA",'2025'!$G$2=CE119),'2025DATA'!$L$11,"")</f>
        <v/>
      </c>
      <c r="CF128" s="518" t="str">
        <f>IF(AND(_A5="B-767-400ER",'2025'!$G$4="CA",'2025'!$G$2=CF119),'2025DATA'!$M$11,"")</f>
        <v/>
      </c>
      <c r="CG128" s="520" t="str">
        <f>IF(AND(_A5="B-767-400ER",'2025'!$G$4="CA",'2025'!$G$2=CG119),'2025DATA'!$N$11,"")</f>
        <v/>
      </c>
      <c r="CH128" s="940" t="s">
        <v>42</v>
      </c>
      <c r="CI128" s="13" t="s">
        <v>61</v>
      </c>
      <c r="CJ128" s="518" t="str">
        <f>IF(AND(_A6="B-767-400ER",'2025'!$G$4="CA",'2025'!$G$2=CJ119),'2025DATA'!$C$11,"")</f>
        <v/>
      </c>
      <c r="CK128" s="518" t="str">
        <f>IF(AND(_A6="B-767-400ER",'2025'!$G$4="CA",'2025'!$G$2=CK119),'2025DATA'!$D$11,"")</f>
        <v/>
      </c>
      <c r="CL128" s="518" t="str">
        <f>IF(AND(_A6="B-767-400ER",'2025'!$G$4="CA",'2025'!$G$2=CL119),'2025DATA'!$E$11,"")</f>
        <v/>
      </c>
      <c r="CM128" s="518" t="str">
        <f>IF(AND(_A6="B-767-400ER",'2025'!$G$4="CA",'2025'!$G$2=CM119),'2025DATA'!$F$11,"")</f>
        <v/>
      </c>
      <c r="CN128" s="518" t="str">
        <f>IF(AND(_A6="B-767-400ER",'2025'!$G$4="CA",'2025'!$G$2=CN119),'2025DATA'!$G$11,"")</f>
        <v/>
      </c>
      <c r="CO128" s="518" t="str">
        <f>IF(AND(_A6="B-767-400ER",'2025'!$G$4="CA",'2025'!$G$2=CO119),'2025DATA'!$H$11,"")</f>
        <v/>
      </c>
      <c r="CP128" s="518" t="str">
        <f>IF(AND(_A6="B-767-400ER",'2025'!$G$4="CA",'2025'!$G$2=CP119),'2025DATA'!$I$11,"")</f>
        <v/>
      </c>
      <c r="CQ128" s="518" t="str">
        <f>IF(AND(_A6="B-767-400ER",'2025'!$G$4="CA",'2025'!$G$2=CQ119),'2025DATA'!$J$11,"")</f>
        <v/>
      </c>
      <c r="CR128" s="518" t="str">
        <f>IF(AND(_A6="B-767-400ER",'2025'!$G$4="CA",'2025'!$G$2=CR119),'2025DATA'!$K$11,"")</f>
        <v/>
      </c>
      <c r="CS128" s="518" t="str">
        <f>IF(AND(_A6="B-767-400ER",'2025'!$G$4="CA",'2025'!$G$2=CS119),'2025DATA'!$L$11,"")</f>
        <v/>
      </c>
      <c r="CT128" s="518" t="str">
        <f>IF(AND(_A6="B-767-400ER",'2025'!$G$4="CA",'2025'!$G$2=CT119),'2025DATA'!$M$11,"")</f>
        <v/>
      </c>
      <c r="CU128" s="520" t="str">
        <f>IF(AND(_A6="B-767-400ER",'2025'!$G$4="CA",'2025'!$G$2=CU119),'2025DATA'!$N$11,"")</f>
        <v/>
      </c>
    </row>
    <row r="129" spans="16:99" x14ac:dyDescent="0.25">
      <c r="P129" s="940"/>
      <c r="Q129" s="13" t="s">
        <v>62</v>
      </c>
      <c r="R129" s="518" t="str">
        <f>IF(AND(_A1="B-767-400ER",'2025'!$G$4="FO",'2025'!$G$2=R119),'2025DATA'!$C$12,"")</f>
        <v/>
      </c>
      <c r="S129" s="518" t="str">
        <f>IF(AND(_A1="B-767-400ER",'2025'!$G$4="FO",'2025'!$G$2=S119),'2025DATA'!$D$12,"")</f>
        <v/>
      </c>
      <c r="T129" s="518" t="str">
        <f>IF(AND(_A1="B-767-400ER",'2025'!$G$4="FO",'2025'!$G$2=T119),'2025DATA'!$E$12,"")</f>
        <v/>
      </c>
      <c r="U129" s="518" t="str">
        <f>IF(AND(_A1="B-767-400ER",'2025'!$G$4="FO",'2025'!$G$2=U119),'2025DATA'!$F$12,"")</f>
        <v/>
      </c>
      <c r="V129" s="518" t="str">
        <f>IF(AND(_A1="B-767-400ER",'2025'!$G$4="FO",'2025'!$G$2=V119),'2025DATA'!$G$12,"")</f>
        <v/>
      </c>
      <c r="W129" s="518" t="str">
        <f>IF(AND(_A1="B-767-400ER",'2025'!$G$4="FO",'2025'!$G$2=W119),'2025DATA'!$H$12,"")</f>
        <v/>
      </c>
      <c r="X129" s="518" t="str">
        <f>IF(AND(_A1="B-767-400ER",'2025'!$G$4="FO",'2025'!$G$2=X119),'2025DATA'!$I$12,"")</f>
        <v/>
      </c>
      <c r="Y129" s="518" t="str">
        <f>IF(AND(_A1="B-767-400ER",'2025'!$G$4="FO",'2025'!$G$2=Y119),'2025DATA'!$J$12,"")</f>
        <v/>
      </c>
      <c r="Z129" s="518" t="str">
        <f>IF(AND(_A1="B-767-400ER",'2025'!$G$4="FO",'2025'!$G$2=Z119),'2025DATA'!$K$12,"")</f>
        <v/>
      </c>
      <c r="AA129" s="518" t="str">
        <f>IF(AND(_A1="B-767-400ER",'2025'!$G$4="FO",'2025'!$G$2=AA119),'2025DATA'!$L$12,"")</f>
        <v/>
      </c>
      <c r="AB129" s="518" t="str">
        <f>IF(AND(_A1="B-767-400ER",'2025'!$G$4="FO",'2025'!$G$2=AB119),'2025DATA'!$M$12,"")</f>
        <v/>
      </c>
      <c r="AC129" s="520" t="str">
        <f>IF(AND(_A1="B-767-400ER",'2025'!$G$4="FO",'2025'!$G$2=AC119),'2025DATA'!$N$12,"")</f>
        <v/>
      </c>
      <c r="AD129" s="940"/>
      <c r="AE129" s="13" t="s">
        <v>62</v>
      </c>
      <c r="AF129" s="518" t="str">
        <f>IF(AND(_A2="B-767-400ER",'2025'!$G$4="FO",'2025'!$G$2=AF119),'2025DATA'!$C$12,"")</f>
        <v/>
      </c>
      <c r="AG129" s="518" t="str">
        <f>IF(AND(_A2="B-767-400ER",'2025'!$G$4="FO",'2025'!$G$2=AG119),'2025DATA'!$D$12,"")</f>
        <v/>
      </c>
      <c r="AH129" s="518" t="str">
        <f>IF(AND(_A2="B-767-400ER",'2025'!$G$4="FO",'2025'!$G$2=AH119),'2025DATA'!$E$12,"")</f>
        <v/>
      </c>
      <c r="AI129" s="518" t="str">
        <f>IF(AND(_A2="B-767-400ER",'2025'!$G$4="FO",'2025'!$G$2=AI119),'2025DATA'!$F$12,"")</f>
        <v/>
      </c>
      <c r="AJ129" s="518" t="str">
        <f>IF(AND(_A2="B-767-400ER",'2025'!$G$4="FO",'2025'!$G$2=AJ119),'2025DATA'!$G$12,"")</f>
        <v/>
      </c>
      <c r="AK129" s="518" t="str">
        <f>IF(AND(_A2="B-767-400ER",'2025'!$G$4="FO",'2025'!$G$2=AK119),'2025DATA'!$H$12,"")</f>
        <v/>
      </c>
      <c r="AL129" s="518" t="str">
        <f>IF(AND(_A2="B-767-400ER",'2025'!$G$4="FO",'2025'!$G$2=AL119),'2025DATA'!$I$12,"")</f>
        <v/>
      </c>
      <c r="AM129" s="518" t="str">
        <f>IF(AND(_A2="B-767-400ER",'2025'!$G$4="FO",'2025'!$G$2=AM119),'2025DATA'!$J$12,"")</f>
        <v/>
      </c>
      <c r="AN129" s="518" t="str">
        <f>IF(AND(_A2="B-767-400ER",'2025'!$G$4="FO",'2025'!$G$2=AN119),'2025DATA'!$K$12,"")</f>
        <v/>
      </c>
      <c r="AO129" s="518" t="str">
        <f>IF(AND(_A2="B-767-400ER",'2025'!$G$4="FO",'2025'!$G$2=AO119),'2025DATA'!$L$12,"")</f>
        <v/>
      </c>
      <c r="AP129" s="518" t="str">
        <f>IF(AND(_A2="B-767-400ER",'2025'!$G$4="FO",'2025'!$G$2=AP119),'2025DATA'!$M$12,"")</f>
        <v/>
      </c>
      <c r="AQ129" s="520" t="str">
        <f>IF(AND(_A2="B-767-400ER",'2025'!$G$4="FO",'2025'!$G$2=AQ119),'2025DATA'!$N$12,"")</f>
        <v/>
      </c>
      <c r="AR129" s="940"/>
      <c r="AS129" s="13" t="s">
        <v>62</v>
      </c>
      <c r="AT129" s="518" t="str">
        <f>IF(AND(_A3="B-767-400ER",'2025'!$G$4="FO",'2025'!$G$2=AT119),'2025DATA'!$C$12,"")</f>
        <v/>
      </c>
      <c r="AU129" s="518" t="str">
        <f>IF(AND(_A3="B-767-400ER",'2025'!$G$4="FO",'2025'!$G$2=AU119),'2025DATA'!$D$12,"")</f>
        <v/>
      </c>
      <c r="AV129" s="518" t="str">
        <f>IF(AND(_A3="B-767-400ER",'2025'!$G$4="FO",'2025'!$G$2=AV119),'2025DATA'!$E$12,"")</f>
        <v/>
      </c>
      <c r="AW129" s="518" t="str">
        <f>IF(AND(_A3="B-767-400ER",'2025'!$G$4="FO",'2025'!$G$2=AW119),'2025DATA'!$F$12,"")</f>
        <v/>
      </c>
      <c r="AX129" s="518" t="str">
        <f>IF(AND(_A3="B-767-400ER",'2025'!$G$4="FO",'2025'!$G$2=AX119),'2025DATA'!$G$12,"")</f>
        <v/>
      </c>
      <c r="AY129" s="518" t="str">
        <f>IF(AND(_A3="B-767-400ER",'2025'!$G$4="FO",'2025'!$G$2=AY119),'2025DATA'!$H$12,"")</f>
        <v/>
      </c>
      <c r="AZ129" s="518" t="str">
        <f>IF(AND(_A3="B-767-400ER",'2025'!$G$4="FO",'2025'!$G$2=AZ119),'2025DATA'!$I$12,"")</f>
        <v/>
      </c>
      <c r="BA129" s="518" t="str">
        <f>IF(AND(_A3="B-767-400ER",'2025'!$G$4="FO",'2025'!$G$2=BA119),'2025DATA'!$J$12,"")</f>
        <v/>
      </c>
      <c r="BB129" s="518" t="str">
        <f>IF(AND(_A3="B-767-400ER",'2025'!$G$4="FO",'2025'!$G$2=BB119),'2025DATA'!$K$12,"")</f>
        <v/>
      </c>
      <c r="BC129" s="518" t="str">
        <f>IF(AND(_A3="B-767-400ER",'2025'!$G$4="FO",'2025'!$G$2=BC119),'2025DATA'!$L$12,"")</f>
        <v/>
      </c>
      <c r="BD129" s="518" t="str">
        <f>IF(AND(_A3="B-767-400ER",'2025'!$G$4="FO",'2025'!$G$2=BD119),'2025DATA'!$M$12,"")</f>
        <v/>
      </c>
      <c r="BE129" s="520" t="str">
        <f>IF(AND(_A3="B-767-400ER",'2025'!$G$4="FO",'2025'!$G$2=BE119),'2025DATA'!$N$12,"")</f>
        <v/>
      </c>
      <c r="BF129" s="940"/>
      <c r="BG129" s="13" t="s">
        <v>62</v>
      </c>
      <c r="BH129" s="518" t="str">
        <f>IF(AND(_A4="B-767-400ER",'2025'!$G$4="FO",'2025'!$G$2=BH119),'2025DATA'!$C$12,"")</f>
        <v/>
      </c>
      <c r="BI129" s="518" t="str">
        <f>IF(AND(_A4="B-767-400ER",'2025'!$G$4="FO",'2025'!$G$2=BI119),'2025DATA'!$D$12,"")</f>
        <v/>
      </c>
      <c r="BJ129" s="518" t="str">
        <f>IF(AND(_A4="B-767-400ER",'2025'!$G$4="FO",'2025'!$G$2=BJ119),'2025DATA'!$E$12,"")</f>
        <v/>
      </c>
      <c r="BK129" s="518" t="str">
        <f>IF(AND(_A4="B-767-400ER",'2025'!$G$4="FO",'2025'!$G$2=BK119),'2025DATA'!$F$12,"")</f>
        <v/>
      </c>
      <c r="BL129" s="518" t="str">
        <f>IF(AND(_A4="B-767-400ER",'2025'!$G$4="FO",'2025'!$G$2=BL119),'2025DATA'!$G$12,"")</f>
        <v/>
      </c>
      <c r="BM129" s="518" t="str">
        <f>IF(AND(_A4="B-767-400ER",'2025'!$G$4="FO",'2025'!$G$2=BM119),'2025DATA'!$H$12,"")</f>
        <v/>
      </c>
      <c r="BN129" s="518" t="str">
        <f>IF(AND(_A4="B-767-400ER",'2025'!$G$4="FO",'2025'!$G$2=BN119),'2025DATA'!$I$12,"")</f>
        <v/>
      </c>
      <c r="BO129" s="518" t="str">
        <f>IF(AND(_A4="B-767-400ER",'2025'!$G$4="FO",'2025'!$G$2=BO119),'2025DATA'!$J$12,"")</f>
        <v/>
      </c>
      <c r="BP129" s="518" t="str">
        <f>IF(AND(_A4="B-767-400ER",'2025'!$G$4="FO",'2025'!$G$2=BP119),'2025DATA'!$K$12,"")</f>
        <v/>
      </c>
      <c r="BQ129" s="518" t="str">
        <f>IF(AND(_A4="B-767-400ER",'2025'!$G$4="FO",'2025'!$G$2=BQ119),'2025DATA'!$L$12,"")</f>
        <v/>
      </c>
      <c r="BR129" s="518" t="str">
        <f>IF(AND(_A4="B-767-400ER",'2025'!$G$4="FO",'2025'!$G$2=BR119),'2025DATA'!$M$12,"")</f>
        <v/>
      </c>
      <c r="BS129" s="520" t="str">
        <f>IF(AND(_A4="B-767-400ER",'2025'!$G$4="FO",'2025'!$G$2=BS119),'2025DATA'!$N$12,"")</f>
        <v/>
      </c>
      <c r="BT129" s="940"/>
      <c r="BU129" s="13" t="s">
        <v>62</v>
      </c>
      <c r="BV129" s="518" t="str">
        <f>IF(AND(_A5="B-767-400ER",'2025'!$G$4="FO",'2025'!$G$2=BV119),'2025DATA'!$C$12,"")</f>
        <v/>
      </c>
      <c r="BW129" s="518" t="str">
        <f>IF(AND(_A5="B-767-400ER",'2025'!$G$4="FO",'2025'!$G$2=BW119),'2025DATA'!$D$12,"")</f>
        <v/>
      </c>
      <c r="BX129" s="518" t="str">
        <f>IF(AND(_A5="B-767-400ER",'2025'!$G$4="FO",'2025'!$G$2=BX119),'2025DATA'!$E$12,"")</f>
        <v/>
      </c>
      <c r="BY129" s="518" t="str">
        <f>IF(AND(_A5="B-767-400ER",'2025'!$G$4="FO",'2025'!$G$2=BY119),'2025DATA'!$F$12,"")</f>
        <v/>
      </c>
      <c r="BZ129" s="518" t="str">
        <f>IF(AND(_A5="B-767-400ER",'2025'!$G$4="FO",'2025'!$G$2=BZ119),'2025DATA'!$G$12,"")</f>
        <v/>
      </c>
      <c r="CA129" s="518" t="str">
        <f>IF(AND(_A5="B-767-400ER",'2025'!$G$4="FO",'2025'!$G$2=CA119),'2025DATA'!$H$12,"")</f>
        <v/>
      </c>
      <c r="CB129" s="518" t="str">
        <f>IF(AND(_A5="B-767-400ER",'2025'!$G$4="FO",'2025'!$G$2=CB119),'2025DATA'!$I$12,"")</f>
        <v/>
      </c>
      <c r="CC129" s="518" t="str">
        <f>IF(AND(_A5="B-767-400ER",'2025'!$G$4="FO",'2025'!$G$2=CC119),'2025DATA'!$J$12,"")</f>
        <v/>
      </c>
      <c r="CD129" s="518" t="str">
        <f>IF(AND(_A5="B-767-400ER",'2025'!$G$4="FO",'2025'!$G$2=CD119),'2025DATA'!$K$12,"")</f>
        <v/>
      </c>
      <c r="CE129" s="518" t="str">
        <f>IF(AND(_A5="B-767-400ER",'2025'!$G$4="FO",'2025'!$G$2=CE119),'2025DATA'!$L$12,"")</f>
        <v/>
      </c>
      <c r="CF129" s="518" t="str">
        <f>IF(AND(_A5="B-767-400ER",'2025'!$G$4="FO",'2025'!$G$2=CF119),'2025DATA'!$M$12,"")</f>
        <v/>
      </c>
      <c r="CG129" s="520" t="str">
        <f>IF(AND(_A5="B-767-400ER",'2025'!$G$4="FO",'2025'!$G$2=CG119),'2025DATA'!$N$12,"")</f>
        <v/>
      </c>
      <c r="CH129" s="940"/>
      <c r="CI129" s="13" t="s">
        <v>62</v>
      </c>
      <c r="CJ129" s="518" t="str">
        <f>IF(AND(_A6="B-767-400ER",'2025'!$G$4="FO",'2025'!$G$2=CJ119),'2025DATA'!$C$12,"")</f>
        <v/>
      </c>
      <c r="CK129" s="518" t="str">
        <f>IF(AND(_A6="B-767-400ER",'2025'!$G$4="FO",'2025'!$G$2=CK119),'2025DATA'!$D$12,"")</f>
        <v/>
      </c>
      <c r="CL129" s="518" t="str">
        <f>IF(AND(_A6="B-767-400ER",'2025'!$G$4="FO",'2025'!$G$2=CL119),'2025DATA'!$E$12,"")</f>
        <v/>
      </c>
      <c r="CM129" s="518" t="str">
        <f>IF(AND(_A6="B-767-400ER",'2025'!$G$4="FO",'2025'!$G$2=CM119),'2025DATA'!$F$12,"")</f>
        <v/>
      </c>
      <c r="CN129" s="518" t="str">
        <f>IF(AND(_A6="B-767-400ER",'2025'!$G$4="FO",'2025'!$G$2=CN119),'2025DATA'!$G$12,"")</f>
        <v/>
      </c>
      <c r="CO129" s="518" t="str">
        <f>IF(AND(_A6="B-767-400ER",'2025'!$G$4="FO",'2025'!$G$2=CO119),'2025DATA'!$H$12,"")</f>
        <v/>
      </c>
      <c r="CP129" s="518" t="str">
        <f>IF(AND(_A6="B-767-400ER",'2025'!$G$4="FO",'2025'!$G$2=CP119),'2025DATA'!$I$12,"")</f>
        <v/>
      </c>
      <c r="CQ129" s="518" t="str">
        <f>IF(AND(_A6="B-767-400ER",'2025'!$G$4="FO",'2025'!$G$2=CQ119),'2025DATA'!$J$12,"")</f>
        <v/>
      </c>
      <c r="CR129" s="518" t="str">
        <f>IF(AND(_A6="B-767-400ER",'2025'!$G$4="FO",'2025'!$G$2=CR119),'2025DATA'!$K$12,"")</f>
        <v/>
      </c>
      <c r="CS129" s="518" t="str">
        <f>IF(AND(_A6="B-767-400ER",'2025'!$G$4="FO",'2025'!$G$2=CS119),'2025DATA'!$L$12,"")</f>
        <v/>
      </c>
      <c r="CT129" s="518" t="str">
        <f>IF(AND(_A6="B-767-400ER",'2025'!$G$4="FO",'2025'!$G$2=CT119),'2025DATA'!$M$12,"")</f>
        <v/>
      </c>
      <c r="CU129" s="520" t="str">
        <f>IF(AND(_A6="B-767-400ER",'2025'!$G$4="FO",'2025'!$G$2=CU119),'2025DATA'!$N$12,"")</f>
        <v/>
      </c>
    </row>
    <row r="130" spans="16:99" x14ac:dyDescent="0.25">
      <c r="P130" s="940" t="s">
        <v>43</v>
      </c>
      <c r="Q130" s="13" t="s">
        <v>61</v>
      </c>
      <c r="R130" s="518" t="str">
        <f>IF(AND(_A1="B-767-300ER",'2025'!$G$4="CA",'2025'!$G$2=R119),'2025DATA'!$C$13,"")</f>
        <v/>
      </c>
      <c r="S130" s="518" t="str">
        <f>IF(AND(_A1="B-767-300ER",'2025'!$G$4="CA",'2025'!$G$2=S119),'2025DATA'!$D$13,"")</f>
        <v/>
      </c>
      <c r="T130" s="518" t="str">
        <f>IF(AND(_A1="B-767-300ER",'2025'!$G$4="CA",'2025'!$G$2=T119),'2025DATA'!$E$13,"")</f>
        <v/>
      </c>
      <c r="U130" s="518" t="str">
        <f>IF(AND(_A1="B-767-300ER",'2025'!$G$4="CA",'2025'!$G$2=U119),'2025DATA'!$F$13,"")</f>
        <v/>
      </c>
      <c r="V130" s="518" t="str">
        <f>IF(AND(_A1="B-767-300ER",'2025'!$G$4="CA",'2025'!$G$2=V119),'2025DATA'!$G$13,"")</f>
        <v/>
      </c>
      <c r="W130" s="518" t="str">
        <f>IF(AND(_A1="B-767-300ER",'2025'!$G$4="CA",'2025'!$G$2=W119),'2025DATA'!$H$13,"")</f>
        <v/>
      </c>
      <c r="X130" s="518" t="str">
        <f>IF(AND(_A1="B-767-300ER",'2025'!$G$4="CA",'2025'!$G$2=X119),'2025DATA'!$I$13,"")</f>
        <v/>
      </c>
      <c r="Y130" s="518" t="str">
        <f>IF(AND(_A1="B-767-300ER",'2025'!$G$4="CA",'2025'!$G$2=Y119),'2025DATA'!$J$13,"")</f>
        <v/>
      </c>
      <c r="Z130" s="518" t="str">
        <f>IF(AND(_A1="B-767-300ER",'2025'!$G$4="CA",'2025'!$G$2=Z119),'2025DATA'!$K$13,"")</f>
        <v/>
      </c>
      <c r="AA130" s="518" t="str">
        <f>IF(AND(_A1="B-767-300ER",'2025'!$G$4="CA",'2025'!$G$2=AA119),'2025DATA'!$L$13,"")</f>
        <v/>
      </c>
      <c r="AB130" s="518" t="str">
        <f>IF(AND(_A1="B-767-300ER",'2025'!$G$4="CA",'2025'!$G$2=AB119),'2025DATA'!$M$13,"")</f>
        <v/>
      </c>
      <c r="AC130" s="520" t="str">
        <f>IF(AND(_A1="B-767-300ER",'2025'!$G$4="CA",'2025'!$G$2=AC119),'2025DATA'!$N$13,"")</f>
        <v/>
      </c>
      <c r="AD130" s="940" t="s">
        <v>43</v>
      </c>
      <c r="AE130" s="13" t="s">
        <v>61</v>
      </c>
      <c r="AF130" s="518" t="str">
        <f>IF(AND(_A2="B-767-300ER",'2025'!$G$4="CA",'2025'!$G$2=AF119),'2025DATA'!$C$13,"")</f>
        <v/>
      </c>
      <c r="AG130" s="518" t="str">
        <f>IF(AND(_A2="B-767-300ER",'2025'!$G$4="CA",'2025'!$G$2=AG119),'2025DATA'!$D$13,"")</f>
        <v/>
      </c>
      <c r="AH130" s="518" t="str">
        <f>IF(AND(_A2="B-767-300ER",'2025'!$G$4="CA",'2025'!$G$2=AH119),'2025DATA'!$E$13,"")</f>
        <v/>
      </c>
      <c r="AI130" s="518" t="str">
        <f>IF(AND(_A2="B-767-300ER",'2025'!$G$4="CA",'2025'!$G$2=AI119),'2025DATA'!$F$13,"")</f>
        <v/>
      </c>
      <c r="AJ130" s="518" t="str">
        <f>IF(AND(_A2="B-767-300ER",'2025'!$G$4="CA",'2025'!$G$2=AJ119),'2025DATA'!$G$13,"")</f>
        <v/>
      </c>
      <c r="AK130" s="518" t="str">
        <f>IF(AND(_A2="B-767-300ER",'2025'!$G$4="CA",'2025'!$G$2=AK119),'2025DATA'!$H$13,"")</f>
        <v/>
      </c>
      <c r="AL130" s="518" t="str">
        <f>IF(AND(_A2="B-767-300ER",'2025'!$G$4="CA",'2025'!$G$2=AL119),'2025DATA'!$I$13,"")</f>
        <v/>
      </c>
      <c r="AM130" s="518" t="str">
        <f>IF(AND(_A2="B-767-300ER",'2025'!$G$4="CA",'2025'!$G$2=AM119),'2025DATA'!$J$13,"")</f>
        <v/>
      </c>
      <c r="AN130" s="518" t="str">
        <f>IF(AND(_A2="B-767-300ER",'2025'!$G$4="CA",'2025'!$G$2=AN119),'2025DATA'!$K$13,"")</f>
        <v/>
      </c>
      <c r="AO130" s="518" t="str">
        <f>IF(AND(_A2="B-767-300ER",'2025'!$G$4="CA",'2025'!$G$2=AO119),'2025DATA'!$L$13,"")</f>
        <v/>
      </c>
      <c r="AP130" s="518" t="str">
        <f>IF(AND(_A2="B-767-300ER",'2025'!$G$4="CA",'2025'!$G$2=AP119),'2025DATA'!$M$13,"")</f>
        <v/>
      </c>
      <c r="AQ130" s="520" t="str">
        <f>IF(AND(_A2="B-767-300ER",'2025'!$G$4="CA",'2025'!$G$2=AQ119),'2025DATA'!$N$13,"")</f>
        <v/>
      </c>
      <c r="AR130" s="940" t="s">
        <v>43</v>
      </c>
      <c r="AS130" s="13" t="s">
        <v>61</v>
      </c>
      <c r="AT130" s="518" t="str">
        <f>IF(AND(_A3="B-767-300ER",'2025'!$G$4="CA",'2025'!$G$2=AT119),'2025DATA'!$C$13,"")</f>
        <v/>
      </c>
      <c r="AU130" s="518" t="str">
        <f>IF(AND(_A3="B-767-300ER",'2025'!$G$4="CA",'2025'!$G$2=AU119),'2025DATA'!$D$13,"")</f>
        <v/>
      </c>
      <c r="AV130" s="518" t="str">
        <f>IF(AND(_A3="B-767-300ER",'2025'!$G$4="CA",'2025'!$G$2=AV119),'2025DATA'!$E$13,"")</f>
        <v/>
      </c>
      <c r="AW130" s="518" t="str">
        <f>IF(AND(_A3="B-767-300ER",'2025'!$G$4="CA",'2025'!$G$2=AW119),'2025DATA'!$F$13,"")</f>
        <v/>
      </c>
      <c r="AX130" s="518" t="str">
        <f>IF(AND(_A3="B-767-300ER",'2025'!$G$4="CA",'2025'!$G$2=AX119),'2025DATA'!$G$13,"")</f>
        <v/>
      </c>
      <c r="AY130" s="518" t="str">
        <f>IF(AND(_A3="B-767-300ER",'2025'!$G$4="CA",'2025'!$G$2=AY119),'2025DATA'!$H$13,"")</f>
        <v/>
      </c>
      <c r="AZ130" s="518" t="str">
        <f>IF(AND(_A3="B-767-300ER",'2025'!$G$4="CA",'2025'!$G$2=AZ119),'2025DATA'!$I$13,"")</f>
        <v/>
      </c>
      <c r="BA130" s="518" t="str">
        <f>IF(AND(_A3="B-767-300ER",'2025'!$G$4="CA",'2025'!$G$2=BA119),'2025DATA'!$J$13,"")</f>
        <v/>
      </c>
      <c r="BB130" s="518" t="str">
        <f>IF(AND(_A3="B-767-300ER",'2025'!$G$4="CA",'2025'!$G$2=BB119),'2025DATA'!$K$13,"")</f>
        <v/>
      </c>
      <c r="BC130" s="518" t="str">
        <f>IF(AND(_A3="B-767-300ER",'2025'!$G$4="CA",'2025'!$G$2=BC119),'2025DATA'!$L$13,"")</f>
        <v/>
      </c>
      <c r="BD130" s="518" t="str">
        <f>IF(AND(_A3="B-767-300ER",'2025'!$G$4="CA",'2025'!$G$2=BD119),'2025DATA'!$M$13,"")</f>
        <v/>
      </c>
      <c r="BE130" s="520" t="str">
        <f>IF(AND(_A3="B-767-300ER",'2025'!$G$4="CA",'2025'!$G$2=BE119),'2025DATA'!$N$13,"")</f>
        <v/>
      </c>
      <c r="BF130" s="940" t="s">
        <v>43</v>
      </c>
      <c r="BG130" s="13" t="s">
        <v>61</v>
      </c>
      <c r="BH130" s="518" t="str">
        <f>IF(AND(_A4="B-767-300ER",'2025'!$G$4="CA",'2025'!$G$2=BH119),'2025DATA'!$C$13,"")</f>
        <v/>
      </c>
      <c r="BI130" s="518" t="str">
        <f>IF(AND(_A4="B-767-300ER",'2025'!$G$4="CA",'2025'!$G$2=BI119),'2025DATA'!$D$13,"")</f>
        <v/>
      </c>
      <c r="BJ130" s="518" t="str">
        <f>IF(AND(_A4="B-767-300ER",'2025'!$G$4="CA",'2025'!$G$2=BJ119),'2025DATA'!$E$13,"")</f>
        <v/>
      </c>
      <c r="BK130" s="518" t="str">
        <f>IF(AND(_A4="B-767-300ER",'2025'!$G$4="CA",'2025'!$G$2=BK119),'2025DATA'!$F$13,"")</f>
        <v/>
      </c>
      <c r="BL130" s="518" t="str">
        <f>IF(AND(_A4="B-767-300ER",'2025'!$G$4="CA",'2025'!$G$2=BL119),'2025DATA'!$G$13,"")</f>
        <v/>
      </c>
      <c r="BM130" s="518" t="str">
        <f>IF(AND(_A4="B-767-300ER",'2025'!$G$4="CA",'2025'!$G$2=BM119),'2025DATA'!$H$13,"")</f>
        <v/>
      </c>
      <c r="BN130" s="518" t="str">
        <f>IF(AND(_A4="B-767-300ER",'2025'!$G$4="CA",'2025'!$G$2=BN119),'2025DATA'!$I$13,"")</f>
        <v/>
      </c>
      <c r="BO130" s="518" t="str">
        <f>IF(AND(_A4="B-767-300ER",'2025'!$G$4="CA",'2025'!$G$2=BO119),'2025DATA'!$J$13,"")</f>
        <v/>
      </c>
      <c r="BP130" s="518" t="str">
        <f>IF(AND(_A4="B-767-300ER",'2025'!$G$4="CA",'2025'!$G$2=BP119),'2025DATA'!$K$13,"")</f>
        <v/>
      </c>
      <c r="BQ130" s="518" t="str">
        <f>IF(AND(_A4="B-767-300ER",'2025'!$G$4="CA",'2025'!$G$2=BQ119),'2025DATA'!$L$13,"")</f>
        <v/>
      </c>
      <c r="BR130" s="518" t="str">
        <f>IF(AND(_A4="B-767-300ER",'2025'!$G$4="CA",'2025'!$G$2=BR119),'2025DATA'!$M$13,"")</f>
        <v/>
      </c>
      <c r="BS130" s="520" t="str">
        <f>IF(AND(_A4="B-767-300ER",'2025'!$G$4="CA",'2025'!$G$2=BS119),'2025DATA'!$N$13,"")</f>
        <v/>
      </c>
      <c r="BT130" s="940" t="s">
        <v>43</v>
      </c>
      <c r="BU130" s="13" t="s">
        <v>61</v>
      </c>
      <c r="BV130" s="518" t="str">
        <f>IF(AND(_A5="B-767-300ER",'2025'!$G$4="CA",'2025'!$G$2=BV119),'2025DATA'!$C$13,"")</f>
        <v/>
      </c>
      <c r="BW130" s="518" t="str">
        <f>IF(AND(_A5="B-767-300ER",'2025'!$G$4="CA",'2025'!$G$2=BW119),'2025DATA'!$D$13,"")</f>
        <v/>
      </c>
      <c r="BX130" s="518" t="str">
        <f>IF(AND(_A5="B-767-300ER",'2025'!$G$4="CA",'2025'!$G$2=BX119),'2025DATA'!$E$13,"")</f>
        <v/>
      </c>
      <c r="BY130" s="518" t="str">
        <f>IF(AND(_A5="B-767-300ER",'2025'!$G$4="CA",'2025'!$G$2=BY119),'2025DATA'!$F$13,"")</f>
        <v/>
      </c>
      <c r="BZ130" s="518" t="str">
        <f>IF(AND(_A5="B-767-300ER",'2025'!$G$4="CA",'2025'!$G$2=BZ119),'2025DATA'!$G$13,"")</f>
        <v/>
      </c>
      <c r="CA130" s="518" t="str">
        <f>IF(AND(_A5="B-767-300ER",'2025'!$G$4="CA",'2025'!$G$2=CA119),'2025DATA'!$H$13,"")</f>
        <v/>
      </c>
      <c r="CB130" s="518" t="str">
        <f>IF(AND(_A5="B-767-300ER",'2025'!$G$4="CA",'2025'!$G$2=CB119),'2025DATA'!$I$13,"")</f>
        <v/>
      </c>
      <c r="CC130" s="518" t="str">
        <f>IF(AND(_A5="B-767-300ER",'2025'!$G$4="CA",'2025'!$G$2=CC119),'2025DATA'!$J$13,"")</f>
        <v/>
      </c>
      <c r="CD130" s="518" t="str">
        <f>IF(AND(_A5="B-767-300ER",'2025'!$G$4="CA",'2025'!$G$2=CD119),'2025DATA'!$K$13,"")</f>
        <v/>
      </c>
      <c r="CE130" s="518" t="str">
        <f>IF(AND(_A5="B-767-300ER",'2025'!$G$4="CA",'2025'!$G$2=CE119),'2025DATA'!$L$13,"")</f>
        <v/>
      </c>
      <c r="CF130" s="518" t="str">
        <f>IF(AND(_A5="B-767-300ER",'2025'!$G$4="CA",'2025'!$G$2=CF119),'2025DATA'!$M$13,"")</f>
        <v/>
      </c>
      <c r="CG130" s="520" t="str">
        <f>IF(AND(_A5="B-767-300ER",'2025'!$G$4="CA",'2025'!$G$2=CG119),'2025DATA'!$N$13,"")</f>
        <v/>
      </c>
      <c r="CH130" s="940" t="s">
        <v>43</v>
      </c>
      <c r="CI130" s="13" t="s">
        <v>61</v>
      </c>
      <c r="CJ130" s="518" t="str">
        <f>IF(AND(_A6="B-767-300ER",'2025'!$G$4="CA",'2025'!$G$2=CJ119),'2025DATA'!$C$13,"")</f>
        <v/>
      </c>
      <c r="CK130" s="518" t="str">
        <f>IF(AND(_A6="B-767-300ER",'2025'!$G$4="CA",'2025'!$G$2=CK119),'2025DATA'!$D$13,"")</f>
        <v/>
      </c>
      <c r="CL130" s="518" t="str">
        <f>IF(AND(_A6="B-767-300ER",'2025'!$G$4="CA",'2025'!$G$2=CL119),'2025DATA'!$E$13,"")</f>
        <v/>
      </c>
      <c r="CM130" s="518" t="str">
        <f>IF(AND(_A6="B-767-300ER",'2025'!$G$4="CA",'2025'!$G$2=CM119),'2025DATA'!$F$13,"")</f>
        <v/>
      </c>
      <c r="CN130" s="518" t="str">
        <f>IF(AND(_A6="B-767-300ER",'2025'!$G$4="CA",'2025'!$G$2=CN119),'2025DATA'!$G$13,"")</f>
        <v/>
      </c>
      <c r="CO130" s="518" t="str">
        <f>IF(AND(_A6="B-767-300ER",'2025'!$G$4="CA",'2025'!$G$2=CO119),'2025DATA'!$H$13,"")</f>
        <v/>
      </c>
      <c r="CP130" s="518" t="str">
        <f>IF(AND(_A6="B-767-300ER",'2025'!$G$4="CA",'2025'!$G$2=CP119),'2025DATA'!$I$13,"")</f>
        <v/>
      </c>
      <c r="CQ130" s="518" t="str">
        <f>IF(AND(_A6="B-767-300ER",'2025'!$G$4="CA",'2025'!$G$2=CQ119),'2025DATA'!$J$13,"")</f>
        <v/>
      </c>
      <c r="CR130" s="518" t="str">
        <f>IF(AND(_A6="B-767-300ER",'2025'!$G$4="CA",'2025'!$G$2=CR119),'2025DATA'!$K$13,"")</f>
        <v/>
      </c>
      <c r="CS130" s="518" t="str">
        <f>IF(AND(_A6="B-767-300ER",'2025'!$G$4="CA",'2025'!$G$2=CS119),'2025DATA'!$L$13,"")</f>
        <v/>
      </c>
      <c r="CT130" s="518" t="str">
        <f>IF(AND(_A6="B-767-300ER",'2025'!$G$4="CA",'2025'!$G$2=CT119),'2025DATA'!$M$13,"")</f>
        <v/>
      </c>
      <c r="CU130" s="520" t="str">
        <f>IF(AND(_A6="B-767-300ER",'2025'!$G$4="CA",'2025'!$G$2=CU119),'2025DATA'!$N$13,"")</f>
        <v/>
      </c>
    </row>
    <row r="131" spans="16:99" x14ac:dyDescent="0.25">
      <c r="P131" s="940"/>
      <c r="Q131" s="13" t="s">
        <v>62</v>
      </c>
      <c r="R131" s="518" t="str">
        <f>IF(AND(_A1="B-767-300ER",'2025'!$G$4="FO",'2025'!$G$2=R119),'2025DATA'!$C$14,"")</f>
        <v/>
      </c>
      <c r="S131" s="518" t="str">
        <f>IF(AND(_A1="B-767-300ER",'2025'!$G$4="FO",'2025'!$G$2=S119),'2025DATA'!$D$14,"")</f>
        <v/>
      </c>
      <c r="T131" s="518" t="str">
        <f>IF(AND(_A1="B-767-300ER",'2025'!$G$4="FO",'2025'!$G$2=T119),'2025DATA'!$E$14,"")</f>
        <v/>
      </c>
      <c r="U131" s="518" t="str">
        <f>IF(AND(_A1="B-767-300ER",'2025'!$G$4="FO",'2025'!$G$2=U119),'2025DATA'!$F$14,"")</f>
        <v/>
      </c>
      <c r="V131" s="518" t="str">
        <f>IF(AND(_A1="B-767-300ER",'2025'!$G$4="FO",'2025'!$G$2=V119),'2025DATA'!$G$14,"")</f>
        <v/>
      </c>
      <c r="W131" s="518" t="str">
        <f>IF(AND(_A1="B-767-300ER",'2025'!$G$4="FO",'2025'!$G$2=W119),'2025DATA'!$H$14,"")</f>
        <v/>
      </c>
      <c r="X131" s="518" t="str">
        <f>IF(AND(_A1="B-767-300ER",'2025'!$G$4="FO",'2025'!$G$2=X119),'2025DATA'!$I$14,"")</f>
        <v/>
      </c>
      <c r="Y131" s="518" t="str">
        <f>IF(AND(_A1="B-767-300ER",'2025'!$G$4="FO",'2025'!$G$2=Y119),'2025DATA'!$J$14,"")</f>
        <v/>
      </c>
      <c r="Z131" s="518" t="str">
        <f>IF(AND(_A1="B-767-300ER",'2025'!$G$4="FO",'2025'!$G$2=Z119),'2025DATA'!$K$14,"")</f>
        <v/>
      </c>
      <c r="AA131" s="518" t="str">
        <f>IF(AND(_A1="B-767-300ER",'2025'!$G$4="FO",'2025'!$G$2=AA119),'2025DATA'!$L$14,"")</f>
        <v/>
      </c>
      <c r="AB131" s="518" t="str">
        <f>IF(AND(_A1="B-767-300ER",'2025'!$G$4="FO",'2025'!$G$2=AB119),'2025DATA'!$M$14,"")</f>
        <v/>
      </c>
      <c r="AC131" s="520" t="str">
        <f>IF(AND(_A1="B-767-300ER",'2025'!$G$4="FO",'2025'!$G$2=AC119),'2025DATA'!$N$14,"")</f>
        <v/>
      </c>
      <c r="AD131" s="940"/>
      <c r="AE131" s="13" t="s">
        <v>62</v>
      </c>
      <c r="AF131" s="518" t="str">
        <f>IF(AND(_A2="B-767-300ER",'2025'!$G$4="FO",'2025'!$G$2=AF119),'2025DATA'!$C$14,"")</f>
        <v/>
      </c>
      <c r="AG131" s="518" t="str">
        <f>IF(AND(_A2="B-767-300ER",'2025'!$G$4="FO",'2025'!$G$2=AG119),'2025DATA'!$D$14,"")</f>
        <v/>
      </c>
      <c r="AH131" s="518" t="str">
        <f>IF(AND(_A2="B-767-300ER",'2025'!$G$4="FO",'2025'!$G$2=AH119),'2025DATA'!$E$14,"")</f>
        <v/>
      </c>
      <c r="AI131" s="518" t="str">
        <f>IF(AND(_A2="B-767-300ER",'2025'!$G$4="FO",'2025'!$G$2=AI119),'2025DATA'!$F$14,"")</f>
        <v/>
      </c>
      <c r="AJ131" s="518" t="str">
        <f>IF(AND(_A2="B-767-300ER",'2025'!$G$4="FO",'2025'!$G$2=AJ119),'2025DATA'!$G$14,"")</f>
        <v/>
      </c>
      <c r="AK131" s="518" t="str">
        <f>IF(AND(_A2="B-767-300ER",'2025'!$G$4="FO",'2025'!$G$2=AK119),'2025DATA'!$H$14,"")</f>
        <v/>
      </c>
      <c r="AL131" s="518" t="str">
        <f>IF(AND(_A2="B-767-300ER",'2025'!$G$4="FO",'2025'!$G$2=AL119),'2025DATA'!$I$14,"")</f>
        <v/>
      </c>
      <c r="AM131" s="518" t="str">
        <f>IF(AND(_A2="B-767-300ER",'2025'!$G$4="FO",'2025'!$G$2=AM119),'2025DATA'!$J$14,"")</f>
        <v/>
      </c>
      <c r="AN131" s="518" t="str">
        <f>IF(AND(_A2="B-767-300ER",'2025'!$G$4="FO",'2025'!$G$2=AN119),'2025DATA'!$K$14,"")</f>
        <v/>
      </c>
      <c r="AO131" s="518" t="str">
        <f>IF(AND(_A2="B-767-300ER",'2025'!$G$4="FO",'2025'!$G$2=AO119),'2025DATA'!$L$14,"")</f>
        <v/>
      </c>
      <c r="AP131" s="518" t="str">
        <f>IF(AND(_A2="B-767-300ER",'2025'!$G$4="FO",'2025'!$G$2=AP119),'2025DATA'!$M$14,"")</f>
        <v/>
      </c>
      <c r="AQ131" s="520" t="str">
        <f>IF(AND(_A2="B-767-300ER",'2025'!$G$4="FO",'2025'!$G$2=AQ119),'2025DATA'!$N$14,"")</f>
        <v/>
      </c>
      <c r="AR131" s="940"/>
      <c r="AS131" s="13" t="s">
        <v>62</v>
      </c>
      <c r="AT131" s="518" t="str">
        <f>IF(AND(_A3="B-767-300ER",'2025'!$G$4="FO",'2025'!$G$2=AT119),'2025DATA'!$C$14,"")</f>
        <v/>
      </c>
      <c r="AU131" s="518" t="str">
        <f>IF(AND(_A3="B-767-300ER",'2025'!$G$4="FO",'2025'!$G$2=AU119),'2025DATA'!$D$14,"")</f>
        <v/>
      </c>
      <c r="AV131" s="518" t="str">
        <f>IF(AND(_A3="B-767-300ER",'2025'!$G$4="FO",'2025'!$G$2=AV119),'2025DATA'!$E$14,"")</f>
        <v/>
      </c>
      <c r="AW131" s="518" t="str">
        <f>IF(AND(_A3="B-767-300ER",'2025'!$G$4="FO",'2025'!$G$2=AW119),'2025DATA'!$F$14,"")</f>
        <v/>
      </c>
      <c r="AX131" s="518" t="str">
        <f>IF(AND(_A3="B-767-300ER",'2025'!$G$4="FO",'2025'!$G$2=AX119),'2025DATA'!$G$14,"")</f>
        <v/>
      </c>
      <c r="AY131" s="518" t="str">
        <f>IF(AND(_A3="B-767-300ER",'2025'!$G$4="FO",'2025'!$G$2=AY119),'2025DATA'!$H$14,"")</f>
        <v/>
      </c>
      <c r="AZ131" s="518" t="str">
        <f>IF(AND(_A3="B-767-300ER",'2025'!$G$4="FO",'2025'!$G$2=AZ119),'2025DATA'!$I$14,"")</f>
        <v/>
      </c>
      <c r="BA131" s="518" t="str">
        <f>IF(AND(_A3="B-767-300ER",'2025'!$G$4="FO",'2025'!$G$2=BA119),'2025DATA'!$J$14,"")</f>
        <v/>
      </c>
      <c r="BB131" s="518" t="str">
        <f>IF(AND(_A3="B-767-300ER",'2025'!$G$4="FO",'2025'!$G$2=BB119),'2025DATA'!$K$14,"")</f>
        <v/>
      </c>
      <c r="BC131" s="518" t="str">
        <f>IF(AND(_A3="B-767-300ER",'2025'!$G$4="FO",'2025'!$G$2=BC119),'2025DATA'!$L$14,"")</f>
        <v/>
      </c>
      <c r="BD131" s="518" t="str">
        <f>IF(AND(_A3="B-767-300ER",'2025'!$G$4="FO",'2025'!$G$2=BD119),'2025DATA'!$M$14,"")</f>
        <v/>
      </c>
      <c r="BE131" s="520" t="str">
        <f>IF(AND(_A3="B-767-300ER",'2025'!$G$4="FO",'2025'!$G$2=BE119),'2025DATA'!$N$14,"")</f>
        <v/>
      </c>
      <c r="BF131" s="940"/>
      <c r="BG131" s="13" t="s">
        <v>62</v>
      </c>
      <c r="BH131" s="518" t="str">
        <f>IF(AND(_A4="B-767-300ER",'2025'!$G$4="FO",'2025'!$G$2=BH119),'2025DATA'!$C$14,"")</f>
        <v/>
      </c>
      <c r="BI131" s="518" t="str">
        <f>IF(AND(_A4="B-767-300ER",'2025'!$G$4="FO",'2025'!$G$2=BI119),'2025DATA'!$D$14,"")</f>
        <v/>
      </c>
      <c r="BJ131" s="518" t="str">
        <f>IF(AND(_A4="B-767-300ER",'2025'!$G$4="FO",'2025'!$G$2=BJ119),'2025DATA'!$E$14,"")</f>
        <v/>
      </c>
      <c r="BK131" s="518" t="str">
        <f>IF(AND(_A4="B-767-300ER",'2025'!$G$4="FO",'2025'!$G$2=BK119),'2025DATA'!$F$14,"")</f>
        <v/>
      </c>
      <c r="BL131" s="518" t="str">
        <f>IF(AND(_A4="B-767-300ER",'2025'!$G$4="FO",'2025'!$G$2=BL119),'2025DATA'!$G$14,"")</f>
        <v/>
      </c>
      <c r="BM131" s="518" t="str">
        <f>IF(AND(_A4="B-767-300ER",'2025'!$G$4="FO",'2025'!$G$2=BM119),'2025DATA'!$H$14,"")</f>
        <v/>
      </c>
      <c r="BN131" s="518" t="str">
        <f>IF(AND(_A4="B-767-300ER",'2025'!$G$4="FO",'2025'!$G$2=BN119),'2025DATA'!$I$14,"")</f>
        <v/>
      </c>
      <c r="BO131" s="518" t="str">
        <f>IF(AND(_A4="B-767-300ER",'2025'!$G$4="FO",'2025'!$G$2=BO119),'2025DATA'!$J$14,"")</f>
        <v/>
      </c>
      <c r="BP131" s="518" t="str">
        <f>IF(AND(_A4="B-767-300ER",'2025'!$G$4="FO",'2025'!$G$2=BP119),'2025DATA'!$K$14,"")</f>
        <v/>
      </c>
      <c r="BQ131" s="518" t="str">
        <f>IF(AND(_A4="B-767-300ER",'2025'!$G$4="FO",'2025'!$G$2=BQ119),'2025DATA'!$L$14,"")</f>
        <v/>
      </c>
      <c r="BR131" s="518" t="str">
        <f>IF(AND(_A4="B-767-300ER",'2025'!$G$4="FO",'2025'!$G$2=BR119),'2025DATA'!$M$14,"")</f>
        <v/>
      </c>
      <c r="BS131" s="520" t="str">
        <f>IF(AND(_A4="B-767-300ER",'2025'!$G$4="FO",'2025'!$G$2=BS119),'2025DATA'!$N$14,"")</f>
        <v/>
      </c>
      <c r="BT131" s="940"/>
      <c r="BU131" s="13" t="s">
        <v>62</v>
      </c>
      <c r="BV131" s="518" t="str">
        <f>IF(AND(_A5="B-767-300ER",'2025'!$G$4="FO",'2025'!$G$2=BV119),'2025DATA'!$C$14,"")</f>
        <v/>
      </c>
      <c r="BW131" s="518" t="str">
        <f>IF(AND(_A5="B-767-300ER",'2025'!$G$4="FO",'2025'!$G$2=BW119),'2025DATA'!$D$14,"")</f>
        <v/>
      </c>
      <c r="BX131" s="518" t="str">
        <f>IF(AND(_A5="B-767-300ER",'2025'!$G$4="FO",'2025'!$G$2=BX119),'2025DATA'!$E$14,"")</f>
        <v/>
      </c>
      <c r="BY131" s="518" t="str">
        <f>IF(AND(_A5="B-767-300ER",'2025'!$G$4="FO",'2025'!$G$2=BY119),'2025DATA'!$F$14,"")</f>
        <v/>
      </c>
      <c r="BZ131" s="518" t="str">
        <f>IF(AND(_A5="B-767-300ER",'2025'!$G$4="FO",'2025'!$G$2=BZ119),'2025DATA'!$G$14,"")</f>
        <v/>
      </c>
      <c r="CA131" s="518" t="str">
        <f>IF(AND(_A5="B-767-300ER",'2025'!$G$4="FO",'2025'!$G$2=CA119),'2025DATA'!$H$14,"")</f>
        <v/>
      </c>
      <c r="CB131" s="518" t="str">
        <f>IF(AND(_A5="B-767-300ER",'2025'!$G$4="FO",'2025'!$G$2=CB119),'2025DATA'!$I$14,"")</f>
        <v/>
      </c>
      <c r="CC131" s="518" t="str">
        <f>IF(AND(_A5="B-767-300ER",'2025'!$G$4="FO",'2025'!$G$2=CC119),'2025DATA'!$J$14,"")</f>
        <v/>
      </c>
      <c r="CD131" s="518" t="str">
        <f>IF(AND(_A5="B-767-300ER",'2025'!$G$4="FO",'2025'!$G$2=CD119),'2025DATA'!$K$14,"")</f>
        <v/>
      </c>
      <c r="CE131" s="518" t="str">
        <f>IF(AND(_A5="B-767-300ER",'2025'!$G$4="FO",'2025'!$G$2=CE119),'2025DATA'!$L$14,"")</f>
        <v/>
      </c>
      <c r="CF131" s="518" t="str">
        <f>IF(AND(_A5="B-767-300ER",'2025'!$G$4="FO",'2025'!$G$2=CF119),'2025DATA'!$M$14,"")</f>
        <v/>
      </c>
      <c r="CG131" s="520" t="str">
        <f>IF(AND(_A5="B-767-300ER",'2025'!$G$4="FO",'2025'!$G$2=CG119),'2025DATA'!$N$14,"")</f>
        <v/>
      </c>
      <c r="CH131" s="940"/>
      <c r="CI131" s="13" t="s">
        <v>62</v>
      </c>
      <c r="CJ131" s="518" t="str">
        <f>IF(AND(_A6="B-767-300ER",'2025'!$G$4="FO",'2025'!$G$2=CJ119),'2025DATA'!$C$14,"")</f>
        <v/>
      </c>
      <c r="CK131" s="518" t="str">
        <f>IF(AND(_A6="B-767-300ER",'2025'!$G$4="FO",'2025'!$G$2=CK119),'2025DATA'!$D$14,"")</f>
        <v/>
      </c>
      <c r="CL131" s="518" t="str">
        <f>IF(AND(_A6="B-767-300ER",'2025'!$G$4="FO",'2025'!$G$2=CL119),'2025DATA'!$E$14,"")</f>
        <v/>
      </c>
      <c r="CM131" s="518" t="str">
        <f>IF(AND(_A6="B-767-300ER",'2025'!$G$4="FO",'2025'!$G$2=CM119),'2025DATA'!$F$14,"")</f>
        <v/>
      </c>
      <c r="CN131" s="518" t="str">
        <f>IF(AND(_A6="B-767-300ER",'2025'!$G$4="FO",'2025'!$G$2=CN119),'2025DATA'!$G$14,"")</f>
        <v/>
      </c>
      <c r="CO131" s="518" t="str">
        <f>IF(AND(_A6="B-767-300ER",'2025'!$G$4="FO",'2025'!$G$2=CO119),'2025DATA'!$H$14,"")</f>
        <v/>
      </c>
      <c r="CP131" s="518" t="str">
        <f>IF(AND(_A6="B-767-300ER",'2025'!$G$4="FO",'2025'!$G$2=CP119),'2025DATA'!$I$14,"")</f>
        <v/>
      </c>
      <c r="CQ131" s="518" t="str">
        <f>IF(AND(_A6="B-767-300ER",'2025'!$G$4="FO",'2025'!$G$2=CQ119),'2025DATA'!$J$14,"")</f>
        <v/>
      </c>
      <c r="CR131" s="518" t="str">
        <f>IF(AND(_A6="B-767-300ER",'2025'!$G$4="FO",'2025'!$G$2=CR119),'2025DATA'!$K$14,"")</f>
        <v/>
      </c>
      <c r="CS131" s="518" t="str">
        <f>IF(AND(_A6="B-767-300ER",'2025'!$G$4="FO",'2025'!$G$2=CS119),'2025DATA'!$L$14,"")</f>
        <v/>
      </c>
      <c r="CT131" s="518" t="str">
        <f>IF(AND(_A6="B-767-300ER",'2025'!$G$4="FO",'2025'!$G$2=CT119),'2025DATA'!$M$14,"")</f>
        <v/>
      </c>
      <c r="CU131" s="520" t="str">
        <f>IF(AND(_A6="B-767-300ER",'2025'!$G$4="FO",'2025'!$G$2=CU119),'2025DATA'!$N$14,"")</f>
        <v/>
      </c>
    </row>
    <row r="132" spans="16:99" x14ac:dyDescent="0.25">
      <c r="P132" s="940" t="s">
        <v>67</v>
      </c>
      <c r="Q132" s="13" t="s">
        <v>61</v>
      </c>
      <c r="R132" s="518" t="str">
        <f>IF(AND(_A1="B-767-300",'2025'!$G$4="CA",'2025'!$G$2=R119),'2025DATA'!$C$15,"")</f>
        <v/>
      </c>
      <c r="S132" s="518" t="str">
        <f>IF(AND(_A1="B-767-300",'2025'!$G$4="CA",'2025'!$G$2=S119),'2025DATA'!$D$15,"")</f>
        <v/>
      </c>
      <c r="T132" s="518" t="str">
        <f>IF(AND(_A1="B-767-300",'2025'!$G$4="CA",'2025'!$G$2=T119),'2025DATA'!$E$15,"")</f>
        <v/>
      </c>
      <c r="U132" s="518" t="str">
        <f>IF(AND(_A1="B-767-300",'2025'!$G$4="CA",'2025'!$G$2=U119),'2025DATA'!$F$15,"")</f>
        <v/>
      </c>
      <c r="V132" s="518" t="str">
        <f>IF(AND(_A1="B-767-300",'2025'!$G$4="CA",'2025'!$G$2=V119),'2025DATA'!$G$15,"")</f>
        <v/>
      </c>
      <c r="W132" s="518" t="str">
        <f>IF(AND(_A1="B-767-300",'2025'!$G$4="CA",'2025'!$G$2=W119),'2025DATA'!$H$15,"")</f>
        <v/>
      </c>
      <c r="X132" s="518" t="str">
        <f>IF(AND(_A1="B-767-300",'2025'!$G$4="CA",'2025'!$G$2=X119),'2025DATA'!$I$15,"")</f>
        <v/>
      </c>
      <c r="Y132" s="518" t="str">
        <f>IF(AND(_A1="B-767-300",'2025'!$G$4="CA",'2025'!$G$2=Y119),'2025DATA'!$J$15,"")</f>
        <v/>
      </c>
      <c r="Z132" s="518" t="str">
        <f>IF(AND(_A1="B-767-300",'2025'!$G$4="CA",'2025'!$G$2=Z119),'2025DATA'!$K$15,"")</f>
        <v/>
      </c>
      <c r="AA132" s="518" t="str">
        <f>IF(AND(_A1="B-767-300",'2025'!$G$4="CA",'2025'!$G$2=AA119),'2025DATA'!$L$15,"")</f>
        <v/>
      </c>
      <c r="AB132" s="518" t="str">
        <f>IF(AND(_A1="B-767-300",'2025'!$G$4="CA",'2025'!$G$2=AB119),'2025DATA'!$M$15,"")</f>
        <v/>
      </c>
      <c r="AC132" s="520" t="str">
        <f>IF(AND(_A1="B-767-300",'2025'!$G$4="CA",'2025'!$G$2=AC119),'2025DATA'!$N$15,"")</f>
        <v/>
      </c>
      <c r="AD132" s="940" t="s">
        <v>67</v>
      </c>
      <c r="AE132" s="13" t="s">
        <v>61</v>
      </c>
      <c r="AF132" s="518" t="str">
        <f>IF(AND(_A2="B-767-300",'2025'!$G$4="CA",'2025'!$G$2=AF119),'2025DATA'!$C$15,"")</f>
        <v/>
      </c>
      <c r="AG132" s="518" t="str">
        <f>IF(AND(_A2="B-767-300",'2025'!$G$4="CA",'2025'!$G$2=AG119),'2025DATA'!$D$15,"")</f>
        <v/>
      </c>
      <c r="AH132" s="518" t="str">
        <f>IF(AND(_A2="B-767-300",'2025'!$G$4="CA",'2025'!$G$2=AH119),'2025DATA'!$E$15,"")</f>
        <v/>
      </c>
      <c r="AI132" s="518" t="str">
        <f>IF(AND(_A2="B-767-300",'2025'!$G$4="CA",'2025'!$G$2=AI119),'2025DATA'!$F$15,"")</f>
        <v/>
      </c>
      <c r="AJ132" s="518" t="str">
        <f>IF(AND(_A2="B-767-300",'2025'!$G$4="CA",'2025'!$G$2=AJ119),'2025DATA'!$G$15,"")</f>
        <v/>
      </c>
      <c r="AK132" s="518" t="str">
        <f>IF(AND(_A2="B-767-300",'2025'!$G$4="CA",'2025'!$G$2=AK119),'2025DATA'!$H$15,"")</f>
        <v/>
      </c>
      <c r="AL132" s="518" t="str">
        <f>IF(AND(_A2="B-767-300",'2025'!$G$4="CA",'2025'!$G$2=AL119),'2025DATA'!$I$15,"")</f>
        <v/>
      </c>
      <c r="AM132" s="518" t="str">
        <f>IF(AND(_A2="B-767-300",'2025'!$G$4="CA",'2025'!$G$2=AM119),'2025DATA'!$J$15,"")</f>
        <v/>
      </c>
      <c r="AN132" s="518" t="str">
        <f>IF(AND(_A2="B-767-300",'2025'!$G$4="CA",'2025'!$G$2=AN119),'2025DATA'!$K$15,"")</f>
        <v/>
      </c>
      <c r="AO132" s="518" t="str">
        <f>IF(AND(_A2="B-767-300",'2025'!$G$4="CA",'2025'!$G$2=AO119),'2025DATA'!$L$15,"")</f>
        <v/>
      </c>
      <c r="AP132" s="518" t="str">
        <f>IF(AND(_A2="B-767-300",'2025'!$G$4="CA",'2025'!$G$2=AP119),'2025DATA'!$M$15,"")</f>
        <v/>
      </c>
      <c r="AQ132" s="520" t="str">
        <f>IF(AND(_A2="B-767-300",'2025'!$G$4="CA",'2025'!$G$2=AQ119),'2025DATA'!$N$15,"")</f>
        <v/>
      </c>
      <c r="AR132" s="940" t="s">
        <v>67</v>
      </c>
      <c r="AS132" s="13" t="s">
        <v>61</v>
      </c>
      <c r="AT132" s="518" t="str">
        <f>IF(AND(_A3="B-767-300",'2025'!$G$4="CA",'2025'!$G$2=AT119),'2025DATA'!$C$15,"")</f>
        <v/>
      </c>
      <c r="AU132" s="518" t="str">
        <f>IF(AND(_A3="B-767-300",'2025'!$G$4="CA",'2025'!$G$2=AU119),'2025DATA'!$D$15,"")</f>
        <v/>
      </c>
      <c r="AV132" s="518" t="str">
        <f>IF(AND(_A3="B-767-300",'2025'!$G$4="CA",'2025'!$G$2=AV119),'2025DATA'!$E$15,"")</f>
        <v/>
      </c>
      <c r="AW132" s="518" t="str">
        <f>IF(AND(_A3="B-767-300",'2025'!$G$4="CA",'2025'!$G$2=AW119),'2025DATA'!$F$15,"")</f>
        <v/>
      </c>
      <c r="AX132" s="518" t="str">
        <f>IF(AND(_A3="B-767-300",'2025'!$G$4="CA",'2025'!$G$2=AX119),'2025DATA'!$G$15,"")</f>
        <v/>
      </c>
      <c r="AY132" s="518" t="str">
        <f>IF(AND(_A3="B-767-300",'2025'!$G$4="CA",'2025'!$G$2=AY119),'2025DATA'!$H$15,"")</f>
        <v/>
      </c>
      <c r="AZ132" s="518" t="str">
        <f>IF(AND(_A3="B-767-300",'2025'!$G$4="CA",'2025'!$G$2=AZ119),'2025DATA'!$I$15,"")</f>
        <v/>
      </c>
      <c r="BA132" s="518" t="str">
        <f>IF(AND(_A3="B-767-300",'2025'!$G$4="CA",'2025'!$G$2=BA119),'2025DATA'!$J$15,"")</f>
        <v/>
      </c>
      <c r="BB132" s="518" t="str">
        <f>IF(AND(_A3="B-767-300",'2025'!$G$4="CA",'2025'!$G$2=BB119),'2025DATA'!$K$15,"")</f>
        <v/>
      </c>
      <c r="BC132" s="518" t="str">
        <f>IF(AND(_A3="B-767-300",'2025'!$G$4="CA",'2025'!$G$2=BC119),'2025DATA'!$L$15,"")</f>
        <v/>
      </c>
      <c r="BD132" s="518" t="str">
        <f>IF(AND(_A3="B-767-300",'2025'!$G$4="CA",'2025'!$G$2=BD119),'2025DATA'!$M$15,"")</f>
        <v/>
      </c>
      <c r="BE132" s="520" t="str">
        <f>IF(AND(_A3="B-767-300",'2025'!$G$4="CA",'2025'!$G$2=BE119),'2025DATA'!$N$15,"")</f>
        <v/>
      </c>
      <c r="BF132" s="940" t="s">
        <v>67</v>
      </c>
      <c r="BG132" s="13" t="s">
        <v>61</v>
      </c>
      <c r="BH132" s="518" t="str">
        <f>IF(AND(_A4="B-767-300",'2025'!$G$4="CA",'2025'!$G$2=BH119),'2025DATA'!$C$15,"")</f>
        <v/>
      </c>
      <c r="BI132" s="518" t="str">
        <f>IF(AND(_A4="B-767-300",'2025'!$G$4="CA",'2025'!$G$2=BI119),'2025DATA'!$D$15,"")</f>
        <v/>
      </c>
      <c r="BJ132" s="518" t="str">
        <f>IF(AND(_A4="B-767-300",'2025'!$G$4="CA",'2025'!$G$2=BJ119),'2025DATA'!$E$15,"")</f>
        <v/>
      </c>
      <c r="BK132" s="518" t="str">
        <f>IF(AND(_A4="B-767-300",'2025'!$G$4="CA",'2025'!$G$2=BK119),'2025DATA'!$F$15,"")</f>
        <v/>
      </c>
      <c r="BL132" s="518" t="str">
        <f>IF(AND(_A4="B-767-300",'2025'!$G$4="CA",'2025'!$G$2=BL119),'2025DATA'!$G$15,"")</f>
        <v/>
      </c>
      <c r="BM132" s="518" t="str">
        <f>IF(AND(_A4="B-767-300",'2025'!$G$4="CA",'2025'!$G$2=BM119),'2025DATA'!$H$15,"")</f>
        <v/>
      </c>
      <c r="BN132" s="518" t="str">
        <f>IF(AND(_A4="B-767-300",'2025'!$G$4="CA",'2025'!$G$2=BN119),'2025DATA'!$I$15,"")</f>
        <v/>
      </c>
      <c r="BO132" s="518" t="str">
        <f>IF(AND(_A4="B-767-300",'2025'!$G$4="CA",'2025'!$G$2=BO119),'2025DATA'!$J$15,"")</f>
        <v/>
      </c>
      <c r="BP132" s="518" t="str">
        <f>IF(AND(_A4="B-767-300",'2025'!$G$4="CA",'2025'!$G$2=BP119),'2025DATA'!$K$15,"")</f>
        <v/>
      </c>
      <c r="BQ132" s="518" t="str">
        <f>IF(AND(_A4="B-767-300",'2025'!$G$4="CA",'2025'!$G$2=BQ119),'2025DATA'!$L$15,"")</f>
        <v/>
      </c>
      <c r="BR132" s="518" t="str">
        <f>IF(AND(_A4="B-767-300",'2025'!$G$4="CA",'2025'!$G$2=BR119),'2025DATA'!$M$15,"")</f>
        <v/>
      </c>
      <c r="BS132" s="520" t="str">
        <f>IF(AND(_A4="B-767-300",'2025'!$G$4="CA",'2025'!$G$2=BS119),'2025DATA'!$N$15,"")</f>
        <v/>
      </c>
      <c r="BT132" s="940" t="s">
        <v>67</v>
      </c>
      <c r="BU132" s="13" t="s">
        <v>61</v>
      </c>
      <c r="BV132" s="518" t="str">
        <f>IF(AND(_A5="B-767-300",'2025'!$G$4="CA",'2025'!$G$2=BV119),'2025DATA'!$C$15,"")</f>
        <v/>
      </c>
      <c r="BW132" s="518" t="str">
        <f>IF(AND(_A5="B-767-300",'2025'!$G$4="CA",'2025'!$G$2=BW119),'2025DATA'!$D$15,"")</f>
        <v/>
      </c>
      <c r="BX132" s="518" t="str">
        <f>IF(AND(_A5="B-767-300",'2025'!$G$4="CA",'2025'!$G$2=BX119),'2025DATA'!$E$15,"")</f>
        <v/>
      </c>
      <c r="BY132" s="518" t="str">
        <f>IF(AND(_A5="B-767-300",'2025'!$G$4="CA",'2025'!$G$2=BY119),'2025DATA'!$F$15,"")</f>
        <v/>
      </c>
      <c r="BZ132" s="518" t="str">
        <f>IF(AND(_A5="B-767-300",'2025'!$G$4="CA",'2025'!$G$2=BZ119),'2025DATA'!$G$15,"")</f>
        <v/>
      </c>
      <c r="CA132" s="518" t="str">
        <f>IF(AND(_A5="B-767-300",'2025'!$G$4="CA",'2025'!$G$2=CA119),'2025DATA'!$H$15,"")</f>
        <v/>
      </c>
      <c r="CB132" s="518" t="str">
        <f>IF(AND(_A5="B-767-300",'2025'!$G$4="CA",'2025'!$G$2=CB119),'2025DATA'!$I$15,"")</f>
        <v/>
      </c>
      <c r="CC132" s="518" t="str">
        <f>IF(AND(_A5="B-767-300",'2025'!$G$4="CA",'2025'!$G$2=CC119),'2025DATA'!$J$15,"")</f>
        <v/>
      </c>
      <c r="CD132" s="518" t="str">
        <f>IF(AND(_A5="B-767-300",'2025'!$G$4="CA",'2025'!$G$2=CD119),'2025DATA'!$K$15,"")</f>
        <v/>
      </c>
      <c r="CE132" s="518" t="str">
        <f>IF(AND(_A5="B-767-300",'2025'!$G$4="CA",'2025'!$G$2=CE119),'2025DATA'!$L$15,"")</f>
        <v/>
      </c>
      <c r="CF132" s="518" t="str">
        <f>IF(AND(_A5="B-767-300",'2025'!$G$4="CA",'2025'!$G$2=CF119),'2025DATA'!$M$15,"")</f>
        <v/>
      </c>
      <c r="CG132" s="520" t="str">
        <f>IF(AND(_A5="B-767-300",'2025'!$G$4="CA",'2025'!$G$2=CG119),'2025DATA'!$N$15,"")</f>
        <v/>
      </c>
      <c r="CH132" s="940" t="s">
        <v>67</v>
      </c>
      <c r="CI132" s="13" t="s">
        <v>61</v>
      </c>
      <c r="CJ132" s="518" t="str">
        <f>IF(AND(_A6="B-767-300",'2025'!$G$4="CA",'2025'!$G$2=CJ119),'2025DATA'!$C$15,"")</f>
        <v/>
      </c>
      <c r="CK132" s="518" t="str">
        <f>IF(AND(_A6="B-767-300",'2025'!$G$4="CA",'2025'!$G$2=CK119),'2025DATA'!$D$15,"")</f>
        <v/>
      </c>
      <c r="CL132" s="518" t="str">
        <f>IF(AND(_A6="B-767-300",'2025'!$G$4="CA",'2025'!$G$2=CL119),'2025DATA'!$E$15,"")</f>
        <v/>
      </c>
      <c r="CM132" s="518" t="str">
        <f>IF(AND(_A6="B-767-300",'2025'!$G$4="CA",'2025'!$G$2=CM119),'2025DATA'!$F$15,"")</f>
        <v/>
      </c>
      <c r="CN132" s="518" t="str">
        <f>IF(AND(_A6="B-767-300",'2025'!$G$4="CA",'2025'!$G$2=CN119),'2025DATA'!$G$15,"")</f>
        <v/>
      </c>
      <c r="CO132" s="518" t="str">
        <f>IF(AND(_A6="B-767-300",'2025'!$G$4="CA",'2025'!$G$2=CO119),'2025DATA'!$H$15,"")</f>
        <v/>
      </c>
      <c r="CP132" s="518" t="str">
        <f>IF(AND(_A6="B-767-300",'2025'!$G$4="CA",'2025'!$G$2=CP119),'2025DATA'!$I$15,"")</f>
        <v/>
      </c>
      <c r="CQ132" s="518" t="str">
        <f>IF(AND(_A6="B-767-300",'2025'!$G$4="CA",'2025'!$G$2=CQ119),'2025DATA'!$J$15,"")</f>
        <v/>
      </c>
      <c r="CR132" s="518" t="str">
        <f>IF(AND(_A6="B-767-300",'2025'!$G$4="CA",'2025'!$G$2=CR119),'2025DATA'!$K$15,"")</f>
        <v/>
      </c>
      <c r="CS132" s="518" t="str">
        <f>IF(AND(_A6="B-767-300",'2025'!$G$4="CA",'2025'!$G$2=CS119),'2025DATA'!$L$15,"")</f>
        <v/>
      </c>
      <c r="CT132" s="518" t="str">
        <f>IF(AND(_A6="B-767-300",'2025'!$G$4="CA",'2025'!$G$2=CT119),'2025DATA'!$M$15,"")</f>
        <v/>
      </c>
      <c r="CU132" s="520" t="str">
        <f>IF(AND(_A6="B-767-300",'2025'!$G$4="CA",'2025'!$G$2=CU119),'2025DATA'!$N$15,"")</f>
        <v/>
      </c>
    </row>
    <row r="133" spans="16:99" x14ac:dyDescent="0.25">
      <c r="P133" s="940"/>
      <c r="Q133" s="13" t="s">
        <v>62</v>
      </c>
      <c r="R133" s="518" t="str">
        <f>IF(AND(_A1="B-767-300",'2025'!$G$4="FO",'2025'!$G$2=R119),'2025DATA'!$C$16,"")</f>
        <v/>
      </c>
      <c r="S133" s="518" t="str">
        <f>IF(AND(_A1="B-767-300",'2025'!$G$4="FO",'2025'!$G$2=S119),'2025DATA'!$D$16,"")</f>
        <v/>
      </c>
      <c r="T133" s="518" t="str">
        <f>IF(AND(_A1="B-767-300",'2025'!$G$4="FO",'2025'!$G$2=T119),'2025DATA'!$E$16,"")</f>
        <v/>
      </c>
      <c r="U133" s="518" t="str">
        <f>IF(AND(_A1="B-767-300",'2025'!$G$4="FO",'2025'!$G$2=U119),'2025DATA'!$F$16,"")</f>
        <v/>
      </c>
      <c r="V133" s="518" t="str">
        <f>IF(AND(_A1="B-767-300",'2025'!$G$4="FO",'2025'!$G$2=V119),'2025DATA'!$G$16,"")</f>
        <v/>
      </c>
      <c r="W133" s="518" t="str">
        <f>IF(AND(_A1="B-767-300",'2025'!$G$4="FO",'2025'!$G$2=W119),'2025DATA'!$H$16,"")</f>
        <v/>
      </c>
      <c r="X133" s="518" t="str">
        <f>IF(AND(_A1="B-767-300",'2025'!$G$4="FO",'2025'!$G$2=X119),'2025DATA'!$I$16,"")</f>
        <v/>
      </c>
      <c r="Y133" s="518" t="str">
        <f>IF(AND(_A1="B-767-300",'2025'!$G$4="FO",'2025'!$G$2=Y119),'2025DATA'!$J$16,"")</f>
        <v/>
      </c>
      <c r="Z133" s="518" t="str">
        <f>IF(AND(_A1="B-767-300",'2025'!$G$4="FO",'2025'!$G$2=Z119),'2025DATA'!$K$16,"")</f>
        <v/>
      </c>
      <c r="AA133" s="518" t="str">
        <f>IF(AND(_A1="B-767-300",'2025'!$G$4="FO",'2025'!$G$2=AA119),'2025DATA'!$L$16,"")</f>
        <v/>
      </c>
      <c r="AB133" s="518" t="str">
        <f>IF(AND(_A1="B-767-300",'2025'!$G$4="FO",'2025'!$G$2=AB119),'2025DATA'!$M$16,"")</f>
        <v/>
      </c>
      <c r="AC133" s="520" t="str">
        <f>IF(AND(_A1="B-767-300",'2025'!$G$4="FO",'2025'!$G$2=AC119),'2025DATA'!$N$16,"")</f>
        <v/>
      </c>
      <c r="AD133" s="940"/>
      <c r="AE133" s="13" t="s">
        <v>62</v>
      </c>
      <c r="AF133" s="518" t="str">
        <f>IF(AND(_A2="B-767-300",'2025'!$G$4="FO",'2025'!$G$2=AF119),'2025DATA'!$C$16,"")</f>
        <v/>
      </c>
      <c r="AG133" s="518" t="str">
        <f>IF(AND(_A2="B-767-300",'2025'!$G$4="FO",'2025'!$G$2=AG119),'2025DATA'!$D$16,"")</f>
        <v/>
      </c>
      <c r="AH133" s="518" t="str">
        <f>IF(AND(_A2="B-767-300",'2025'!$G$4="FO",'2025'!$G$2=AH119),'2025DATA'!$E$16,"")</f>
        <v/>
      </c>
      <c r="AI133" s="518" t="str">
        <f>IF(AND(_A2="B-767-300",'2025'!$G$4="FO",'2025'!$G$2=AI119),'2025DATA'!$F$16,"")</f>
        <v/>
      </c>
      <c r="AJ133" s="518" t="str">
        <f>IF(AND(_A2="B-767-300",'2025'!$G$4="FO",'2025'!$G$2=AJ119),'2025DATA'!$G$16,"")</f>
        <v/>
      </c>
      <c r="AK133" s="518" t="str">
        <f>IF(AND(_A2="B-767-300",'2025'!$G$4="FO",'2025'!$G$2=AK119),'2025DATA'!$H$16,"")</f>
        <v/>
      </c>
      <c r="AL133" s="518" t="str">
        <f>IF(AND(_A2="B-767-300",'2025'!$G$4="FO",'2025'!$G$2=AL119),'2025DATA'!$I$16,"")</f>
        <v/>
      </c>
      <c r="AM133" s="518" t="str">
        <f>IF(AND(_A2="B-767-300",'2025'!$G$4="FO",'2025'!$G$2=AM119),'2025DATA'!$J$16,"")</f>
        <v/>
      </c>
      <c r="AN133" s="518" t="str">
        <f>IF(AND(_A2="B-767-300",'2025'!$G$4="FO",'2025'!$G$2=AN119),'2025DATA'!$K$16,"")</f>
        <v/>
      </c>
      <c r="AO133" s="518" t="str">
        <f>IF(AND(_A2="B-767-300",'2025'!$G$4="FO",'2025'!$G$2=AO119),'2025DATA'!$L$16,"")</f>
        <v/>
      </c>
      <c r="AP133" s="518" t="str">
        <f>IF(AND(_A2="B-767-300",'2025'!$G$4="FO",'2025'!$G$2=AP119),'2025DATA'!$M$16,"")</f>
        <v/>
      </c>
      <c r="AQ133" s="520" t="str">
        <f>IF(AND(_A2="B-767-300",'2025'!$G$4="FO",'2025'!$G$2=AQ119),'2025DATA'!$N$16,"")</f>
        <v/>
      </c>
      <c r="AR133" s="940"/>
      <c r="AS133" s="13" t="s">
        <v>62</v>
      </c>
      <c r="AT133" s="518" t="str">
        <f>IF(AND(_A3="B-767-300",'2025'!$G$4="FO",'2025'!$G$2=AT119),'2025DATA'!$C$16,"")</f>
        <v/>
      </c>
      <c r="AU133" s="518" t="str">
        <f>IF(AND(_A3="B-767-300",'2025'!$G$4="FO",'2025'!$G$2=AU119),'2025DATA'!$D$16,"")</f>
        <v/>
      </c>
      <c r="AV133" s="518" t="str">
        <f>IF(AND(_A3="B-767-300",'2025'!$G$4="FO",'2025'!$G$2=AV119),'2025DATA'!$E$16,"")</f>
        <v/>
      </c>
      <c r="AW133" s="518" t="str">
        <f>IF(AND(_A3="B-767-300",'2025'!$G$4="FO",'2025'!$G$2=AW119),'2025DATA'!$F$16,"")</f>
        <v/>
      </c>
      <c r="AX133" s="518" t="str">
        <f>IF(AND(_A3="B-767-300",'2025'!$G$4="FO",'2025'!$G$2=AX119),'2025DATA'!$G$16,"")</f>
        <v/>
      </c>
      <c r="AY133" s="518" t="str">
        <f>IF(AND(_A3="B-767-300",'2025'!$G$4="FO",'2025'!$G$2=AY119),'2025DATA'!$H$16,"")</f>
        <v/>
      </c>
      <c r="AZ133" s="518" t="str">
        <f>IF(AND(_A3="B-767-300",'2025'!$G$4="FO",'2025'!$G$2=AZ119),'2025DATA'!$I$16,"")</f>
        <v/>
      </c>
      <c r="BA133" s="518" t="str">
        <f>IF(AND(_A3="B-767-300",'2025'!$G$4="FO",'2025'!$G$2=BA119),'2025DATA'!$J$16,"")</f>
        <v/>
      </c>
      <c r="BB133" s="518" t="str">
        <f>IF(AND(_A3="B-767-300",'2025'!$G$4="FO",'2025'!$G$2=BB119),'2025DATA'!$K$16,"")</f>
        <v/>
      </c>
      <c r="BC133" s="518" t="str">
        <f>IF(AND(_A3="B-767-300",'2025'!$G$4="FO",'2025'!$G$2=BC119),'2025DATA'!$L$16,"")</f>
        <v/>
      </c>
      <c r="BD133" s="518" t="str">
        <f>IF(AND(_A3="B-767-300",'2025'!$G$4="FO",'2025'!$G$2=BD119),'2025DATA'!$M$16,"")</f>
        <v/>
      </c>
      <c r="BE133" s="520" t="str">
        <f>IF(AND(_A3="B-767-300",'2025'!$G$4="FO",'2025'!$G$2=BE119),'2025DATA'!$N$16,"")</f>
        <v/>
      </c>
      <c r="BF133" s="940"/>
      <c r="BG133" s="13" t="s">
        <v>62</v>
      </c>
      <c r="BH133" s="518" t="str">
        <f>IF(AND(_A4="B-767-300",'2025'!$G$4="FO",'2025'!$G$2=BH119),'2025DATA'!$C$16,"")</f>
        <v/>
      </c>
      <c r="BI133" s="518" t="str">
        <f>IF(AND(_A4="B-767-300",'2025'!$G$4="FO",'2025'!$G$2=BI119),'2025DATA'!$D$16,"")</f>
        <v/>
      </c>
      <c r="BJ133" s="518" t="str">
        <f>IF(AND(_A4="B-767-300",'2025'!$G$4="FO",'2025'!$G$2=BJ119),'2025DATA'!$E$16,"")</f>
        <v/>
      </c>
      <c r="BK133" s="518" t="str">
        <f>IF(AND(_A4="B-767-300",'2025'!$G$4="FO",'2025'!$G$2=BK119),'2025DATA'!$F$16,"")</f>
        <v/>
      </c>
      <c r="BL133" s="518" t="str">
        <f>IF(AND(_A4="B-767-300",'2025'!$G$4="FO",'2025'!$G$2=BL119),'2025DATA'!$G$16,"")</f>
        <v/>
      </c>
      <c r="BM133" s="518" t="str">
        <f>IF(AND(_A4="B-767-300",'2025'!$G$4="FO",'2025'!$G$2=BM119),'2025DATA'!$H$16,"")</f>
        <v/>
      </c>
      <c r="BN133" s="518" t="str">
        <f>IF(AND(_A4="B-767-300",'2025'!$G$4="FO",'2025'!$G$2=BN119),'2025DATA'!$I$16,"")</f>
        <v/>
      </c>
      <c r="BO133" s="518" t="str">
        <f>IF(AND(_A4="B-767-300",'2025'!$G$4="FO",'2025'!$G$2=BO119),'2025DATA'!$J$16,"")</f>
        <v/>
      </c>
      <c r="BP133" s="518" t="str">
        <f>IF(AND(_A4="B-767-300",'2025'!$G$4="FO",'2025'!$G$2=BP119),'2025DATA'!$K$16,"")</f>
        <v/>
      </c>
      <c r="BQ133" s="518" t="str">
        <f>IF(AND(_A4="B-767-300",'2025'!$G$4="FO",'2025'!$G$2=BQ119),'2025DATA'!$L$16,"")</f>
        <v/>
      </c>
      <c r="BR133" s="518" t="str">
        <f>IF(AND(_A4="B-767-300",'2025'!$G$4="FO",'2025'!$G$2=BR119),'2025DATA'!$M$16,"")</f>
        <v/>
      </c>
      <c r="BS133" s="520" t="str">
        <f>IF(AND(_A4="B-767-300",'2025'!$G$4="FO",'2025'!$G$2=BS119),'2025DATA'!$N$16,"")</f>
        <v/>
      </c>
      <c r="BT133" s="940"/>
      <c r="BU133" s="13" t="s">
        <v>62</v>
      </c>
      <c r="BV133" s="518" t="str">
        <f>IF(AND(_A5="B-767-300",'2025'!$G$4="FO",'2025'!$G$2=BV119),'2025DATA'!$C$16,"")</f>
        <v/>
      </c>
      <c r="BW133" s="518" t="str">
        <f>IF(AND(_A5="B-767-300",'2025'!$G$4="FO",'2025'!$G$2=BW119),'2025DATA'!$D$16,"")</f>
        <v/>
      </c>
      <c r="BX133" s="518" t="str">
        <f>IF(AND(_A5="B-767-300",'2025'!$G$4="FO",'2025'!$G$2=BX119),'2025DATA'!$E$16,"")</f>
        <v/>
      </c>
      <c r="BY133" s="518" t="str">
        <f>IF(AND(_A5="B-767-300",'2025'!$G$4="FO",'2025'!$G$2=BY119),'2025DATA'!$F$16,"")</f>
        <v/>
      </c>
      <c r="BZ133" s="518" t="str">
        <f>IF(AND(_A5="B-767-300",'2025'!$G$4="FO",'2025'!$G$2=BZ119),'2025DATA'!$G$16,"")</f>
        <v/>
      </c>
      <c r="CA133" s="518" t="str">
        <f>IF(AND(_A5="B-767-300",'2025'!$G$4="FO",'2025'!$G$2=CA119),'2025DATA'!$H$16,"")</f>
        <v/>
      </c>
      <c r="CB133" s="518" t="str">
        <f>IF(AND(_A5="B-767-300",'2025'!$G$4="FO",'2025'!$G$2=CB119),'2025DATA'!$I$16,"")</f>
        <v/>
      </c>
      <c r="CC133" s="518" t="str">
        <f>IF(AND(_A5="B-767-300",'2025'!$G$4="FO",'2025'!$G$2=CC119),'2025DATA'!$J$16,"")</f>
        <v/>
      </c>
      <c r="CD133" s="518" t="str">
        <f>IF(AND(_A5="B-767-300",'2025'!$G$4="FO",'2025'!$G$2=CD119),'2025DATA'!$K$16,"")</f>
        <v/>
      </c>
      <c r="CE133" s="518" t="str">
        <f>IF(AND(_A5="B-767-300",'2025'!$G$4="FO",'2025'!$G$2=CE119),'2025DATA'!$L$16,"")</f>
        <v/>
      </c>
      <c r="CF133" s="518" t="str">
        <f>IF(AND(_A5="B-767-300",'2025'!$G$4="FO",'2025'!$G$2=CF119),'2025DATA'!$M$16,"")</f>
        <v/>
      </c>
      <c r="CG133" s="520" t="str">
        <f>IF(AND(_A5="B-767-300",'2025'!$G$4="FO",'2025'!$G$2=CG119),'2025DATA'!$N$16,"")</f>
        <v/>
      </c>
      <c r="CH133" s="940"/>
      <c r="CI133" s="13" t="s">
        <v>62</v>
      </c>
      <c r="CJ133" s="518" t="str">
        <f>IF(AND(_A6="B-767-300",'2025'!$G$4="FO",'2025'!$G$2=CJ119),'2025DATA'!$C$16,"")</f>
        <v/>
      </c>
      <c r="CK133" s="518" t="str">
        <f>IF(AND(_A6="B-767-300",'2025'!$G$4="FO",'2025'!$G$2=CK119),'2025DATA'!$D$16,"")</f>
        <v/>
      </c>
      <c r="CL133" s="518" t="str">
        <f>IF(AND(_A6="B-767-300",'2025'!$G$4="FO",'2025'!$G$2=CL119),'2025DATA'!$E$16,"")</f>
        <v/>
      </c>
      <c r="CM133" s="518" t="str">
        <f>IF(AND(_A6="B-767-300",'2025'!$G$4="FO",'2025'!$G$2=CM119),'2025DATA'!$F$16,"")</f>
        <v/>
      </c>
      <c r="CN133" s="518" t="str">
        <f>IF(AND(_A6="B-767-300",'2025'!$G$4="FO",'2025'!$G$2=CN119),'2025DATA'!$G$16,"")</f>
        <v/>
      </c>
      <c r="CO133" s="518" t="str">
        <f>IF(AND(_A6="B-767-300",'2025'!$G$4="FO",'2025'!$G$2=CO119),'2025DATA'!$H$16,"")</f>
        <v/>
      </c>
      <c r="CP133" s="518" t="str">
        <f>IF(AND(_A6="B-767-300",'2025'!$G$4="FO",'2025'!$G$2=CP119),'2025DATA'!$I$16,"")</f>
        <v/>
      </c>
      <c r="CQ133" s="518" t="str">
        <f>IF(AND(_A6="B-767-300",'2025'!$G$4="FO",'2025'!$G$2=CQ119),'2025DATA'!$J$16,"")</f>
        <v/>
      </c>
      <c r="CR133" s="518" t="str">
        <f>IF(AND(_A6="B-767-300",'2025'!$G$4="FO",'2025'!$G$2=CR119),'2025DATA'!$K$16,"")</f>
        <v/>
      </c>
      <c r="CS133" s="518" t="str">
        <f>IF(AND(_A6="B-767-300",'2025'!$G$4="FO",'2025'!$G$2=CS119),'2025DATA'!$L$16,"")</f>
        <v/>
      </c>
      <c r="CT133" s="518" t="str">
        <f>IF(AND(_A6="B-767-300",'2025'!$G$4="FO",'2025'!$G$2=CT119),'2025DATA'!$M$16,"")</f>
        <v/>
      </c>
      <c r="CU133" s="520" t="str">
        <f>IF(AND(_A6="B-767-300",'2025'!$G$4="FO",'2025'!$G$2=CU119),'2025DATA'!$N$16,"")</f>
        <v/>
      </c>
    </row>
    <row r="134" spans="16:99" x14ac:dyDescent="0.25">
      <c r="P134" s="940" t="s">
        <v>68</v>
      </c>
      <c r="Q134" s="13" t="s">
        <v>61</v>
      </c>
      <c r="R134" s="518" t="str">
        <f>IF(AND(_A1="B-767-200",'2025'!$G$4="CA",'2025'!$G$2=R119),'2025DATA'!$C$17,"")</f>
        <v/>
      </c>
      <c r="S134" s="518" t="str">
        <f>IF(AND(_A1="B-767-200",'2025'!$G$4="CA",'2025'!$G$2=S119),'2025DATA'!$D$17,"")</f>
        <v/>
      </c>
      <c r="T134" s="518" t="str">
        <f>IF(AND(_A1="B-767-200",'2025'!$G$4="CA",'2025'!$G$2=T119),'2025DATA'!$E$17,"")</f>
        <v/>
      </c>
      <c r="U134" s="518" t="str">
        <f>IF(AND(_A1="B-767-200",'2025'!$G$4="CA",'2025'!$G$2=U119),'2025DATA'!$F$17,"")</f>
        <v/>
      </c>
      <c r="V134" s="518" t="str">
        <f>IF(AND(_A1="B-767-200",'2025'!$G$4="CA",'2025'!$G$2=V119),'2025DATA'!$G$17,"")</f>
        <v/>
      </c>
      <c r="W134" s="518" t="str">
        <f>IF(AND(_A1="B-767-200",'2025'!$G$4="CA",'2025'!$G$2=W119),'2025DATA'!$H$17,"")</f>
        <v/>
      </c>
      <c r="X134" s="518" t="str">
        <f>IF(AND(_A1="B-767-200",'2025'!$G$4="CA",'2025'!$G$2=X119),'2025DATA'!$I$17,"")</f>
        <v/>
      </c>
      <c r="Y134" s="518" t="str">
        <f>IF(AND(_A1="B-767-200",'2025'!$G$4="CA",'2025'!$G$2=Y119),'2025DATA'!$J$17,"")</f>
        <v/>
      </c>
      <c r="Z134" s="518" t="str">
        <f>IF(AND(_A1="B-767-200",'2025'!$G$4="CA",'2025'!$G$2=Z119),'2025DATA'!$K$17,"")</f>
        <v/>
      </c>
      <c r="AA134" s="518" t="str">
        <f>IF(AND(_A1="B-767-200",'2025'!$G$4="CA",'2025'!$G$2=AA119),'2025DATA'!$L$17,"")</f>
        <v/>
      </c>
      <c r="AB134" s="518" t="str">
        <f>IF(AND(_A1="B-767-200",'2025'!$G$4="CA",'2025'!$G$2=AB119),'2025DATA'!$M$17,"")</f>
        <v/>
      </c>
      <c r="AC134" s="520" t="str">
        <f>IF(AND(_A1="B-767-200",'2025'!$G$4="CA",'2025'!$G$2=AC119),'2025DATA'!$N$17,"")</f>
        <v/>
      </c>
      <c r="AD134" s="940" t="s">
        <v>68</v>
      </c>
      <c r="AE134" s="13" t="s">
        <v>61</v>
      </c>
      <c r="AF134" s="518" t="str">
        <f>IF(AND(_A2="B-767-200",'2025'!$G$4="CA",'2025'!$G$2=AF119),'2025DATA'!$C$17,"")</f>
        <v/>
      </c>
      <c r="AG134" s="518" t="str">
        <f>IF(AND(_A2="B-767-200",'2025'!$G$4="CA",'2025'!$G$2=AG119),'2025DATA'!$D$17,"")</f>
        <v/>
      </c>
      <c r="AH134" s="518" t="str">
        <f>IF(AND(_A2="B-767-200",'2025'!$G$4="CA",'2025'!$G$2=AH119),'2025DATA'!$E$17,"")</f>
        <v/>
      </c>
      <c r="AI134" s="518" t="str">
        <f>IF(AND(_A2="B-767-200",'2025'!$G$4="CA",'2025'!$G$2=AI119),'2025DATA'!$F$17,"")</f>
        <v/>
      </c>
      <c r="AJ134" s="518" t="str">
        <f>IF(AND(_A2="B-767-200",'2025'!$G$4="CA",'2025'!$G$2=AJ119),'2025DATA'!$G$17,"")</f>
        <v/>
      </c>
      <c r="AK134" s="518" t="str">
        <f>IF(AND(_A2="B-767-200",'2025'!$G$4="CA",'2025'!$G$2=AK119),'2025DATA'!$H$17,"")</f>
        <v/>
      </c>
      <c r="AL134" s="518" t="str">
        <f>IF(AND(_A2="B-767-200",'2025'!$G$4="CA",'2025'!$G$2=AL119),'2025DATA'!$I$17,"")</f>
        <v/>
      </c>
      <c r="AM134" s="518" t="str">
        <f>IF(AND(_A2="B-767-200",'2025'!$G$4="CA",'2025'!$G$2=AM119),'2025DATA'!$J$17,"")</f>
        <v/>
      </c>
      <c r="AN134" s="518" t="str">
        <f>IF(AND(_A2="B-767-200",'2025'!$G$4="CA",'2025'!$G$2=AN119),'2025DATA'!$K$17,"")</f>
        <v/>
      </c>
      <c r="AO134" s="518" t="str">
        <f>IF(AND(_A2="B-767-200",'2025'!$G$4="CA",'2025'!$G$2=AO119),'2025DATA'!$L$17,"")</f>
        <v/>
      </c>
      <c r="AP134" s="518" t="str">
        <f>IF(AND(_A2="B-767-200",'2025'!$G$4="CA",'2025'!$G$2=AP119),'2025DATA'!$M$17,"")</f>
        <v/>
      </c>
      <c r="AQ134" s="520" t="str">
        <f>IF(AND(_A2="B-767-200",'2025'!$G$4="CA",'2025'!$G$2=AQ119),'2025DATA'!$N$17,"")</f>
        <v/>
      </c>
      <c r="AR134" s="940" t="s">
        <v>68</v>
      </c>
      <c r="AS134" s="13" t="s">
        <v>61</v>
      </c>
      <c r="AT134" s="518" t="str">
        <f>IF(AND(_A3="B-767-200",'2025'!$G$4="CA",'2025'!$G$2=AT119),'2025DATA'!$C$17,"")</f>
        <v/>
      </c>
      <c r="AU134" s="518" t="str">
        <f>IF(AND(_A3="B-767-200",'2025'!$G$4="CA",'2025'!$G$2=AU119),'2025DATA'!$D$17,"")</f>
        <v/>
      </c>
      <c r="AV134" s="518" t="str">
        <f>IF(AND(_A3="B-767-200",'2025'!$G$4="CA",'2025'!$G$2=AV119),'2025DATA'!$E$17,"")</f>
        <v/>
      </c>
      <c r="AW134" s="518" t="str">
        <f>IF(AND(_A3="B-767-200",'2025'!$G$4="CA",'2025'!$G$2=AW119),'2025DATA'!$F$17,"")</f>
        <v/>
      </c>
      <c r="AX134" s="518" t="str">
        <f>IF(AND(_A3="B-767-200",'2025'!$G$4="CA",'2025'!$G$2=AX119),'2025DATA'!$G$17,"")</f>
        <v/>
      </c>
      <c r="AY134" s="518" t="str">
        <f>IF(AND(_A3="B-767-200",'2025'!$G$4="CA",'2025'!$G$2=AY119),'2025DATA'!$H$17,"")</f>
        <v/>
      </c>
      <c r="AZ134" s="518" t="str">
        <f>IF(AND(_A3="B-767-200",'2025'!$G$4="CA",'2025'!$G$2=AZ119),'2025DATA'!$I$17,"")</f>
        <v/>
      </c>
      <c r="BA134" s="518" t="str">
        <f>IF(AND(_A3="B-767-200",'2025'!$G$4="CA",'2025'!$G$2=BA119),'2025DATA'!$J$17,"")</f>
        <v/>
      </c>
      <c r="BB134" s="518" t="str">
        <f>IF(AND(_A3="B-767-200",'2025'!$G$4="CA",'2025'!$G$2=BB119),'2025DATA'!$K$17,"")</f>
        <v/>
      </c>
      <c r="BC134" s="518" t="str">
        <f>IF(AND(_A3="B-767-200",'2025'!$G$4="CA",'2025'!$G$2=BC119),'2025DATA'!$L$17,"")</f>
        <v/>
      </c>
      <c r="BD134" s="518" t="str">
        <f>IF(AND(_A3="B-767-200",'2025'!$G$4="CA",'2025'!$G$2=BD119),'2025DATA'!$M$17,"")</f>
        <v/>
      </c>
      <c r="BE134" s="520" t="str">
        <f>IF(AND(_A3="B-767-200",'2025'!$G$4="CA",'2025'!$G$2=BE119),'2025DATA'!$N$17,"")</f>
        <v/>
      </c>
      <c r="BF134" s="940" t="s">
        <v>68</v>
      </c>
      <c r="BG134" s="13" t="s">
        <v>61</v>
      </c>
      <c r="BH134" s="518" t="str">
        <f>IF(AND(_A4="B-767-200",'2025'!$G$4="CA",'2025'!$G$2=BH119),'2025DATA'!$C$17,"")</f>
        <v/>
      </c>
      <c r="BI134" s="518" t="str">
        <f>IF(AND(_A4="B-767-200",'2025'!$G$4="CA",'2025'!$G$2=BI119),'2025DATA'!$D$17,"")</f>
        <v/>
      </c>
      <c r="BJ134" s="518" t="str">
        <f>IF(AND(_A4="B-767-200",'2025'!$G$4="CA",'2025'!$G$2=BJ119),'2025DATA'!$E$17,"")</f>
        <v/>
      </c>
      <c r="BK134" s="518" t="str">
        <f>IF(AND(_A4="B-767-200",'2025'!$G$4="CA",'2025'!$G$2=BK119),'2025DATA'!$F$17,"")</f>
        <v/>
      </c>
      <c r="BL134" s="518" t="str">
        <f>IF(AND(_A4="B-767-200",'2025'!$G$4="CA",'2025'!$G$2=BL119),'2025DATA'!$G$17,"")</f>
        <v/>
      </c>
      <c r="BM134" s="518" t="str">
        <f>IF(AND(_A4="B-767-200",'2025'!$G$4="CA",'2025'!$G$2=BM119),'2025DATA'!$H$17,"")</f>
        <v/>
      </c>
      <c r="BN134" s="518" t="str">
        <f>IF(AND(_A4="B-767-200",'2025'!$G$4="CA",'2025'!$G$2=BN119),'2025DATA'!$I$17,"")</f>
        <v/>
      </c>
      <c r="BO134" s="518" t="str">
        <f>IF(AND(_A4="B-767-200",'2025'!$G$4="CA",'2025'!$G$2=BO119),'2025DATA'!$J$17,"")</f>
        <v/>
      </c>
      <c r="BP134" s="518" t="str">
        <f>IF(AND(_A4="B-767-200",'2025'!$G$4="CA",'2025'!$G$2=BP119),'2025DATA'!$K$17,"")</f>
        <v/>
      </c>
      <c r="BQ134" s="518" t="str">
        <f>IF(AND(_A4="B-767-200",'2025'!$G$4="CA",'2025'!$G$2=BQ119),'2025DATA'!$L$17,"")</f>
        <v/>
      </c>
      <c r="BR134" s="518" t="str">
        <f>IF(AND(_A4="B-767-200",'2025'!$G$4="CA",'2025'!$G$2=BR119),'2025DATA'!$M$17,"")</f>
        <v/>
      </c>
      <c r="BS134" s="520" t="str">
        <f>IF(AND(_A4="B-767-200",'2025'!$G$4="CA",'2025'!$G$2=BS119),'2025DATA'!$N$17,"")</f>
        <v/>
      </c>
      <c r="BT134" s="940" t="s">
        <v>68</v>
      </c>
      <c r="BU134" s="13" t="s">
        <v>61</v>
      </c>
      <c r="BV134" s="518" t="str">
        <f>IF(AND(_A5="B-767-200",'2025'!$G$4="CA",'2025'!$G$2=BV119),'2025DATA'!$C$17,"")</f>
        <v/>
      </c>
      <c r="BW134" s="518" t="str">
        <f>IF(AND(_A5="B-767-200",'2025'!$G$4="CA",'2025'!$G$2=BW119),'2025DATA'!$D$17,"")</f>
        <v/>
      </c>
      <c r="BX134" s="518" t="str">
        <f>IF(AND(_A5="B-767-200",'2025'!$G$4="CA",'2025'!$G$2=BX119),'2025DATA'!$E$17,"")</f>
        <v/>
      </c>
      <c r="BY134" s="518" t="str">
        <f>IF(AND(_A5="B-767-200",'2025'!$G$4="CA",'2025'!$G$2=BY119),'2025DATA'!$F$17,"")</f>
        <v/>
      </c>
      <c r="BZ134" s="518" t="str">
        <f>IF(AND(_A5="B-767-200",'2025'!$G$4="CA",'2025'!$G$2=BZ119),'2025DATA'!$G$17,"")</f>
        <v/>
      </c>
      <c r="CA134" s="518" t="str">
        <f>IF(AND(_A5="B-767-200",'2025'!$G$4="CA",'2025'!$G$2=CA119),'2025DATA'!$H$17,"")</f>
        <v/>
      </c>
      <c r="CB134" s="518" t="str">
        <f>IF(AND(_A5="B-767-200",'2025'!$G$4="CA",'2025'!$G$2=CB119),'2025DATA'!$I$17,"")</f>
        <v/>
      </c>
      <c r="CC134" s="518" t="str">
        <f>IF(AND(_A5="B-767-200",'2025'!$G$4="CA",'2025'!$G$2=CC119),'2025DATA'!$J$17,"")</f>
        <v/>
      </c>
      <c r="CD134" s="518" t="str">
        <f>IF(AND(_A5="B-767-200",'2025'!$G$4="CA",'2025'!$G$2=CD119),'2025DATA'!$K$17,"")</f>
        <v/>
      </c>
      <c r="CE134" s="518" t="str">
        <f>IF(AND(_A5="B-767-200",'2025'!$G$4="CA",'2025'!$G$2=CE119),'2025DATA'!$L$17,"")</f>
        <v/>
      </c>
      <c r="CF134" s="518" t="str">
        <f>IF(AND(_A5="B-767-200",'2025'!$G$4="CA",'2025'!$G$2=CF119),'2025DATA'!$M$17,"")</f>
        <v/>
      </c>
      <c r="CG134" s="520" t="str">
        <f>IF(AND(_A5="B-767-200",'2025'!$G$4="CA",'2025'!$G$2=CG119),'2025DATA'!$N$17,"")</f>
        <v/>
      </c>
      <c r="CH134" s="940" t="s">
        <v>68</v>
      </c>
      <c r="CI134" s="13" t="s">
        <v>61</v>
      </c>
      <c r="CJ134" s="518" t="str">
        <f>IF(AND(_A6="B-767-200",'2025'!$G$4="CA",'2025'!$G$2=CJ119),'2025DATA'!$C$17,"")</f>
        <v/>
      </c>
      <c r="CK134" s="518" t="str">
        <f>IF(AND(_A6="B-767-200",'2025'!$G$4="CA",'2025'!$G$2=CK119),'2025DATA'!$D$17,"")</f>
        <v/>
      </c>
      <c r="CL134" s="518" t="str">
        <f>IF(AND(_A6="B-767-200",'2025'!$G$4="CA",'2025'!$G$2=CL119),'2025DATA'!$E$17,"")</f>
        <v/>
      </c>
      <c r="CM134" s="518" t="str">
        <f>IF(AND(_A6="B-767-200",'2025'!$G$4="CA",'2025'!$G$2=CM119),'2025DATA'!$F$17,"")</f>
        <v/>
      </c>
      <c r="CN134" s="518" t="str">
        <f>IF(AND(_A6="B-767-200",'2025'!$G$4="CA",'2025'!$G$2=CN119),'2025DATA'!$G$17,"")</f>
        <v/>
      </c>
      <c r="CO134" s="518" t="str">
        <f>IF(AND(_A6="B-767-200",'2025'!$G$4="CA",'2025'!$G$2=CO119),'2025DATA'!$H$17,"")</f>
        <v/>
      </c>
      <c r="CP134" s="518" t="str">
        <f>IF(AND(_A6="B-767-200",'2025'!$G$4="CA",'2025'!$G$2=CP119),'2025DATA'!$I$17,"")</f>
        <v/>
      </c>
      <c r="CQ134" s="518" t="str">
        <f>IF(AND(_A6="B-767-200",'2025'!$G$4="CA",'2025'!$G$2=CQ119),'2025DATA'!$J$17,"")</f>
        <v/>
      </c>
      <c r="CR134" s="518" t="str">
        <f>IF(AND(_A6="B-767-200",'2025'!$G$4="CA",'2025'!$G$2=CR119),'2025DATA'!$K$17,"")</f>
        <v/>
      </c>
      <c r="CS134" s="518" t="str">
        <f>IF(AND(_A6="B-767-200",'2025'!$G$4="CA",'2025'!$G$2=CS119),'2025DATA'!$L$17,"")</f>
        <v/>
      </c>
      <c r="CT134" s="518" t="str">
        <f>IF(AND(_A6="B-767-200",'2025'!$G$4="CA",'2025'!$G$2=CT119),'2025DATA'!$M$17,"")</f>
        <v/>
      </c>
      <c r="CU134" s="520" t="str">
        <f>IF(AND(_A6="B-767-200",'2025'!$G$4="CA",'2025'!$G$2=CU119),'2025DATA'!$N$17,"")</f>
        <v/>
      </c>
    </row>
    <row r="135" spans="16:99" x14ac:dyDescent="0.25">
      <c r="P135" s="940"/>
      <c r="Q135" s="13" t="s">
        <v>62</v>
      </c>
      <c r="R135" s="518" t="str">
        <f>IF(AND(_A1="B-767-200",'2025'!$G$4="FO",'2025'!$G$2=R119),'2025DATA'!$C$18,"")</f>
        <v/>
      </c>
      <c r="S135" s="518" t="str">
        <f>IF(AND(_A1="B-767-200",'2025'!$G$4="FO",'2025'!$G$2=S119),'2025DATA'!$D$18,"")</f>
        <v/>
      </c>
      <c r="T135" s="518" t="str">
        <f>IF(AND(_A1="B-767-200",'2025'!$G$4="FO",'2025'!$G$2=T119),'2025DATA'!$E$18,"")</f>
        <v/>
      </c>
      <c r="U135" s="518" t="str">
        <f>IF(AND(_A1="B-767-200",'2025'!$G$4="FO",'2025'!$G$2=U119),'2025DATA'!$F$18,"")</f>
        <v/>
      </c>
      <c r="V135" s="518" t="str">
        <f>IF(AND(_A1="B-767-200",'2025'!$G$4="FO",'2025'!$G$2=V119),'2025DATA'!$G$18,"")</f>
        <v/>
      </c>
      <c r="W135" s="518" t="str">
        <f>IF(AND(_A1="B-767-200",'2025'!$G$4="FO",'2025'!$G$2=W119),'2025DATA'!$H$18,"")</f>
        <v/>
      </c>
      <c r="X135" s="518" t="str">
        <f>IF(AND(_A1="B-767-200",'2025'!$G$4="FO",'2025'!$G$2=X119),'2025DATA'!$I$18,"")</f>
        <v/>
      </c>
      <c r="Y135" s="518" t="str">
        <f>IF(AND(_A1="B-767-200",'2025'!$G$4="FO",'2025'!$G$2=Y119),'2025DATA'!$J$18,"")</f>
        <v/>
      </c>
      <c r="Z135" s="518" t="str">
        <f>IF(AND(_A1="B-767-200",'2025'!$G$4="FO",'2025'!$G$2=Z119),'2025DATA'!$K$18,"")</f>
        <v/>
      </c>
      <c r="AA135" s="518" t="str">
        <f>IF(AND(_A1="B-767-200",'2025'!$G$4="FO",'2025'!$G$2=AA119),'2025DATA'!$L$18,"")</f>
        <v/>
      </c>
      <c r="AB135" s="518" t="str">
        <f>IF(AND(_A1="B-767-200",'2025'!$G$4="FO",'2025'!$G$2=AB119),'2025DATA'!$M$18,"")</f>
        <v/>
      </c>
      <c r="AC135" s="520" t="str">
        <f>IF(AND(_A1="B-767-200",'2025'!$G$4="FO",'2025'!$G$2=AC119),'2025DATA'!$N$18,"")</f>
        <v/>
      </c>
      <c r="AD135" s="940"/>
      <c r="AE135" s="13" t="s">
        <v>62</v>
      </c>
      <c r="AF135" s="518" t="str">
        <f>IF(AND(_A2="B-767-200",'2025'!$G$4="FO",'2025'!$G$2=AF119),'2025DATA'!$C$18,"")</f>
        <v/>
      </c>
      <c r="AG135" s="518" t="str">
        <f>IF(AND(_A2="B-767-200",'2025'!$G$4="FO",'2025'!$G$2=AG119),'2025DATA'!$D$18,"")</f>
        <v/>
      </c>
      <c r="AH135" s="518" t="str">
        <f>IF(AND(_A2="B-767-200",'2025'!$G$4="FO",'2025'!$G$2=AH119),'2025DATA'!$E$18,"")</f>
        <v/>
      </c>
      <c r="AI135" s="518" t="str">
        <f>IF(AND(_A2="B-767-200",'2025'!$G$4="FO",'2025'!$G$2=AI119),'2025DATA'!$F$18,"")</f>
        <v/>
      </c>
      <c r="AJ135" s="518" t="str">
        <f>IF(AND(_A2="B-767-200",'2025'!$G$4="FO",'2025'!$G$2=AJ119),'2025DATA'!$G$18,"")</f>
        <v/>
      </c>
      <c r="AK135" s="518" t="str">
        <f>IF(AND(_A2="B-767-200",'2025'!$G$4="FO",'2025'!$G$2=AK119),'2025DATA'!$H$18,"")</f>
        <v/>
      </c>
      <c r="AL135" s="518" t="str">
        <f>IF(AND(_A2="B-767-200",'2025'!$G$4="FO",'2025'!$G$2=AL119),'2025DATA'!$I$18,"")</f>
        <v/>
      </c>
      <c r="AM135" s="518" t="str">
        <f>IF(AND(_A2="B-767-200",'2025'!$G$4="FO",'2025'!$G$2=AM119),'2025DATA'!$J$18,"")</f>
        <v/>
      </c>
      <c r="AN135" s="518" t="str">
        <f>IF(AND(_A2="B-767-200",'2025'!$G$4="FO",'2025'!$G$2=AN119),'2025DATA'!$K$18,"")</f>
        <v/>
      </c>
      <c r="AO135" s="518" t="str">
        <f>IF(AND(_A2="B-767-200",'2025'!$G$4="FO",'2025'!$G$2=AO119),'2025DATA'!$L$18,"")</f>
        <v/>
      </c>
      <c r="AP135" s="518" t="str">
        <f>IF(AND(_A2="B-767-200",'2025'!$G$4="FO",'2025'!$G$2=AP119),'2025DATA'!$M$18,"")</f>
        <v/>
      </c>
      <c r="AQ135" s="520" t="str">
        <f>IF(AND(_A2="B-767-200",'2025'!$G$4="FO",'2025'!$G$2=AQ119),'2025DATA'!$N$18,"")</f>
        <v/>
      </c>
      <c r="AR135" s="940"/>
      <c r="AS135" s="13" t="s">
        <v>62</v>
      </c>
      <c r="AT135" s="518" t="str">
        <f>IF(AND(_A3="B-767-200",'2025'!$G$4="FO",'2025'!$G$2=AT119),'2025DATA'!$C$18,"")</f>
        <v/>
      </c>
      <c r="AU135" s="518" t="str">
        <f>IF(AND(_A3="B-767-200",'2025'!$G$4="FO",'2025'!$G$2=AU119),'2025DATA'!$D$18,"")</f>
        <v/>
      </c>
      <c r="AV135" s="518" t="str">
        <f>IF(AND(_A3="B-767-200",'2025'!$G$4="FO",'2025'!$G$2=AV119),'2025DATA'!$E$18,"")</f>
        <v/>
      </c>
      <c r="AW135" s="518" t="str">
        <f>IF(AND(_A3="B-767-200",'2025'!$G$4="FO",'2025'!$G$2=AW119),'2025DATA'!$F$18,"")</f>
        <v/>
      </c>
      <c r="AX135" s="518" t="str">
        <f>IF(AND(_A3="B-767-200",'2025'!$G$4="FO",'2025'!$G$2=AX119),'2025DATA'!$G$18,"")</f>
        <v/>
      </c>
      <c r="AY135" s="518" t="str">
        <f>IF(AND(_A3="B-767-200",'2025'!$G$4="FO",'2025'!$G$2=AY119),'2025DATA'!$H$18,"")</f>
        <v/>
      </c>
      <c r="AZ135" s="518" t="str">
        <f>IF(AND(_A3="B-767-200",'2025'!$G$4="FO",'2025'!$G$2=AZ119),'2025DATA'!$I$18,"")</f>
        <v/>
      </c>
      <c r="BA135" s="518" t="str">
        <f>IF(AND(_A3="B-767-200",'2025'!$G$4="FO",'2025'!$G$2=BA119),'2025DATA'!$J$18,"")</f>
        <v/>
      </c>
      <c r="BB135" s="518" t="str">
        <f>IF(AND(_A3="B-767-200",'2025'!$G$4="FO",'2025'!$G$2=BB119),'2025DATA'!$K$18,"")</f>
        <v/>
      </c>
      <c r="BC135" s="518" t="str">
        <f>IF(AND(_A3="B-767-200",'2025'!$G$4="FO",'2025'!$G$2=BC119),'2025DATA'!$L$18,"")</f>
        <v/>
      </c>
      <c r="BD135" s="518" t="str">
        <f>IF(AND(_A3="B-767-200",'2025'!$G$4="FO",'2025'!$G$2=BD119),'2025DATA'!$M$18,"")</f>
        <v/>
      </c>
      <c r="BE135" s="520" t="str">
        <f>IF(AND(_A3="B-767-200",'2025'!$G$4="FO",'2025'!$G$2=BE119),'2025DATA'!$N$18,"")</f>
        <v/>
      </c>
      <c r="BF135" s="940"/>
      <c r="BG135" s="13" t="s">
        <v>62</v>
      </c>
      <c r="BH135" s="518" t="str">
        <f>IF(AND(_A4="B-767-200",'2025'!$G$4="FO",'2025'!$G$2=BH119),'2025DATA'!$C$18,"")</f>
        <v/>
      </c>
      <c r="BI135" s="518" t="str">
        <f>IF(AND(_A4="B-767-200",'2025'!$G$4="FO",'2025'!$G$2=BI119),'2025DATA'!$D$18,"")</f>
        <v/>
      </c>
      <c r="BJ135" s="518" t="str">
        <f>IF(AND(_A4="B-767-200",'2025'!$G$4="FO",'2025'!$G$2=BJ119),'2025DATA'!$E$18,"")</f>
        <v/>
      </c>
      <c r="BK135" s="518" t="str">
        <f>IF(AND(_A4="B-767-200",'2025'!$G$4="FO",'2025'!$G$2=BK119),'2025DATA'!$F$18,"")</f>
        <v/>
      </c>
      <c r="BL135" s="518" t="str">
        <f>IF(AND(_A4="B-767-200",'2025'!$G$4="FO",'2025'!$G$2=BL119),'2025DATA'!$G$18,"")</f>
        <v/>
      </c>
      <c r="BM135" s="518" t="str">
        <f>IF(AND(_A4="B-767-200",'2025'!$G$4="FO",'2025'!$G$2=BM119),'2025DATA'!$H$18,"")</f>
        <v/>
      </c>
      <c r="BN135" s="518" t="str">
        <f>IF(AND(_A4="B-767-200",'2025'!$G$4="FO",'2025'!$G$2=BN119),'2025DATA'!$I$18,"")</f>
        <v/>
      </c>
      <c r="BO135" s="518" t="str">
        <f>IF(AND(_A4="B-767-200",'2025'!$G$4="FO",'2025'!$G$2=BO119),'2025DATA'!$J$18,"")</f>
        <v/>
      </c>
      <c r="BP135" s="518" t="str">
        <f>IF(AND(_A4="B-767-200",'2025'!$G$4="FO",'2025'!$G$2=BP119),'2025DATA'!$K$18,"")</f>
        <v/>
      </c>
      <c r="BQ135" s="518" t="str">
        <f>IF(AND(_A4="B-767-200",'2025'!$G$4="FO",'2025'!$G$2=BQ119),'2025DATA'!$L$18,"")</f>
        <v/>
      </c>
      <c r="BR135" s="518" t="str">
        <f>IF(AND(_A4="B-767-200",'2025'!$G$4="FO",'2025'!$G$2=BR119),'2025DATA'!$M$18,"")</f>
        <v/>
      </c>
      <c r="BS135" s="520" t="str">
        <f>IF(AND(_A4="B-767-200",'2025'!$G$4="FO",'2025'!$G$2=BS119),'2025DATA'!$N$18,"")</f>
        <v/>
      </c>
      <c r="BT135" s="940"/>
      <c r="BU135" s="13" t="s">
        <v>62</v>
      </c>
      <c r="BV135" s="518" t="str">
        <f>IF(AND(_A5="B-767-200",'2025'!$G$4="FO",'2025'!$G$2=BV119),'2025DATA'!$C$18,"")</f>
        <v/>
      </c>
      <c r="BW135" s="518" t="str">
        <f>IF(AND(_A5="B-767-200",'2025'!$G$4="FO",'2025'!$G$2=BW119),'2025DATA'!$D$18,"")</f>
        <v/>
      </c>
      <c r="BX135" s="518" t="str">
        <f>IF(AND(_A5="B-767-200",'2025'!$G$4="FO",'2025'!$G$2=BX119),'2025DATA'!$E$18,"")</f>
        <v/>
      </c>
      <c r="BY135" s="518" t="str">
        <f>IF(AND(_A5="B-767-200",'2025'!$G$4="FO",'2025'!$G$2=BY119),'2025DATA'!$F$18,"")</f>
        <v/>
      </c>
      <c r="BZ135" s="518" t="str">
        <f>IF(AND(_A5="B-767-200",'2025'!$G$4="FO",'2025'!$G$2=BZ119),'2025DATA'!$G$18,"")</f>
        <v/>
      </c>
      <c r="CA135" s="518" t="str">
        <f>IF(AND(_A5="B-767-200",'2025'!$G$4="FO",'2025'!$G$2=CA119),'2025DATA'!$H$18,"")</f>
        <v/>
      </c>
      <c r="CB135" s="518" t="str">
        <f>IF(AND(_A5="B-767-200",'2025'!$G$4="FO",'2025'!$G$2=CB119),'2025DATA'!$I$18,"")</f>
        <v/>
      </c>
      <c r="CC135" s="518" t="str">
        <f>IF(AND(_A5="B-767-200",'2025'!$G$4="FO",'2025'!$G$2=CC119),'2025DATA'!$J$18,"")</f>
        <v/>
      </c>
      <c r="CD135" s="518" t="str">
        <f>IF(AND(_A5="B-767-200",'2025'!$G$4="FO",'2025'!$G$2=CD119),'2025DATA'!$K$18,"")</f>
        <v/>
      </c>
      <c r="CE135" s="518" t="str">
        <f>IF(AND(_A5="B-767-200",'2025'!$G$4="FO",'2025'!$G$2=CE119),'2025DATA'!$L$18,"")</f>
        <v/>
      </c>
      <c r="CF135" s="518" t="str">
        <f>IF(AND(_A5="B-767-200",'2025'!$G$4="FO",'2025'!$G$2=CF119),'2025DATA'!$M$18,"")</f>
        <v/>
      </c>
      <c r="CG135" s="520" t="str">
        <f>IF(AND(_A5="B-767-200",'2025'!$G$4="FO",'2025'!$G$2=CG119),'2025DATA'!$N$18,"")</f>
        <v/>
      </c>
      <c r="CH135" s="940"/>
      <c r="CI135" s="13" t="s">
        <v>62</v>
      </c>
      <c r="CJ135" s="518" t="str">
        <f>IF(AND(_A6="B-767-200",'2025'!$G$4="FO",'2025'!$G$2=CJ119),'2025DATA'!$C$18,"")</f>
        <v/>
      </c>
      <c r="CK135" s="518" t="str">
        <f>IF(AND(_A6="B-767-200",'2025'!$G$4="FO",'2025'!$G$2=CK119),'2025DATA'!$D$18,"")</f>
        <v/>
      </c>
      <c r="CL135" s="518" t="str">
        <f>IF(AND(_A6="B-767-200",'2025'!$G$4="FO",'2025'!$G$2=CL119),'2025DATA'!$E$18,"")</f>
        <v/>
      </c>
      <c r="CM135" s="518" t="str">
        <f>IF(AND(_A6="B-767-200",'2025'!$G$4="FO",'2025'!$G$2=CM119),'2025DATA'!$F$18,"")</f>
        <v/>
      </c>
      <c r="CN135" s="518" t="str">
        <f>IF(AND(_A6="B-767-200",'2025'!$G$4="FO",'2025'!$G$2=CN119),'2025DATA'!$G$18,"")</f>
        <v/>
      </c>
      <c r="CO135" s="518" t="str">
        <f>IF(AND(_A6="B-767-200",'2025'!$G$4="FO",'2025'!$G$2=CO119),'2025DATA'!$H$18,"")</f>
        <v/>
      </c>
      <c r="CP135" s="518" t="str">
        <f>IF(AND(_A6="B-767-200",'2025'!$G$4="FO",'2025'!$G$2=CP119),'2025DATA'!$I$18,"")</f>
        <v/>
      </c>
      <c r="CQ135" s="518" t="str">
        <f>IF(AND(_A6="B-767-200",'2025'!$G$4="FO",'2025'!$G$2=CQ119),'2025DATA'!$J$18,"")</f>
        <v/>
      </c>
      <c r="CR135" s="518" t="str">
        <f>IF(AND(_A6="B-767-200",'2025'!$G$4="FO",'2025'!$G$2=CR119),'2025DATA'!$K$18,"")</f>
        <v/>
      </c>
      <c r="CS135" s="518" t="str">
        <f>IF(AND(_A6="B-767-200",'2025'!$G$4="FO",'2025'!$G$2=CS119),'2025DATA'!$L$18,"")</f>
        <v/>
      </c>
      <c r="CT135" s="518" t="str">
        <f>IF(AND(_A6="B-767-200",'2025'!$G$4="FO",'2025'!$G$2=CT119),'2025DATA'!$M$18,"")</f>
        <v/>
      </c>
      <c r="CU135" s="520" t="str">
        <f>IF(AND(_A6="B-767-200",'2025'!$G$4="FO",'2025'!$G$2=CU119),'2025DATA'!$N$18,"")</f>
        <v/>
      </c>
    </row>
    <row r="136" spans="16:99" x14ac:dyDescent="0.25">
      <c r="P136" s="940" t="s">
        <v>45</v>
      </c>
      <c r="Q136" s="13" t="s">
        <v>61</v>
      </c>
      <c r="R136" s="518" t="str">
        <f>IF(AND(_A1="B-757",'2025'!$G$4="CA",'2025'!$G$2=R119),'2025DATA'!$C$19,"")</f>
        <v/>
      </c>
      <c r="S136" s="518" t="str">
        <f>IF(AND(_A1="B-757",'2025'!$G$4="CA",'2025'!$G$2=S119),'2025DATA'!$D$19,"")</f>
        <v/>
      </c>
      <c r="T136" s="518" t="str">
        <f>IF(AND(_A1="B-757",'2025'!$G$4="CA",'2025'!$G$2=T119),'2025DATA'!$E$19,"")</f>
        <v/>
      </c>
      <c r="U136" s="518" t="str">
        <f>IF(AND(_A1="B-757",'2025'!$G$4="CA",'2025'!$G$2=U119),'2025DATA'!$F$19,"")</f>
        <v/>
      </c>
      <c r="V136" s="518" t="str">
        <f>IF(AND(_A1="B-757",'2025'!$G$4="CA",'2025'!$G$2=V119),'2025DATA'!$G$19,"")</f>
        <v/>
      </c>
      <c r="W136" s="518" t="str">
        <f>IF(AND(_A1="B-757",'2025'!$G$4="CA",'2025'!$G$2=W119),'2025DATA'!$H$19,"")</f>
        <v/>
      </c>
      <c r="X136" s="518" t="str">
        <f>IF(AND(_A1="B-757",'2025'!$G$4="CA",'2025'!$G$2=X119),'2025DATA'!$I$19,"")</f>
        <v/>
      </c>
      <c r="Y136" s="518" t="str">
        <f>IF(AND(_A1="B-757",'2025'!$G$4="CA",'2025'!$G$2=Y119),'2025DATA'!$J$19,"")</f>
        <v/>
      </c>
      <c r="Z136" s="518" t="str">
        <f>IF(AND(_A1="B-757",'2025'!$G$4="CA",'2025'!$G$2=Z119),'2025DATA'!$K$19,"")</f>
        <v/>
      </c>
      <c r="AA136" s="518" t="str">
        <f>IF(AND(_A1="B-757",'2025'!$G$4="CA",'2025'!$G$2=AA119),'2025DATA'!$L$19,"")</f>
        <v/>
      </c>
      <c r="AB136" s="518" t="str">
        <f>IF(AND(_A1="B-757",'2025'!$G$4="CA",'2025'!$G$2=AB119),'2025DATA'!$M$19,"")</f>
        <v/>
      </c>
      <c r="AC136" s="520" t="str">
        <f>IF(AND(_A1="B-757",'2025'!$G$4="CA",'2025'!$G$2=AC119),'2025DATA'!$N$19,"")</f>
        <v/>
      </c>
      <c r="AD136" s="940" t="s">
        <v>45</v>
      </c>
      <c r="AE136" s="13" t="s">
        <v>61</v>
      </c>
      <c r="AF136" s="518" t="str">
        <f>IF(AND(_A2="B-757",'2025'!$G$4="CA",'2025'!$G$2=AF119),'2025DATA'!$C$19,"")</f>
        <v/>
      </c>
      <c r="AG136" s="518" t="str">
        <f>IF(AND(_A2="B-757",'2025'!$G$4="CA",'2025'!$G$2=AG119),'2025DATA'!$D$19,"")</f>
        <v/>
      </c>
      <c r="AH136" s="518" t="str">
        <f>IF(AND(_A2="B-757",'2025'!$G$4="CA",'2025'!$G$2=AH119),'2025DATA'!$E$19,"")</f>
        <v/>
      </c>
      <c r="AI136" s="518" t="str">
        <f>IF(AND(_A2="B-757",'2025'!$G$4="CA",'2025'!$G$2=AI119),'2025DATA'!$F$19,"")</f>
        <v/>
      </c>
      <c r="AJ136" s="518" t="str">
        <f>IF(AND(_A2="B-757",'2025'!$G$4="CA",'2025'!$G$2=AJ119),'2025DATA'!$G$19,"")</f>
        <v/>
      </c>
      <c r="AK136" s="518" t="str">
        <f>IF(AND(_A2="B-757",'2025'!$G$4="CA",'2025'!$G$2=AK119),'2025DATA'!$H$19,"")</f>
        <v/>
      </c>
      <c r="AL136" s="518" t="str">
        <f>IF(AND(_A2="B-757",'2025'!$G$4="CA",'2025'!$G$2=AL119),'2025DATA'!$I$19,"")</f>
        <v/>
      </c>
      <c r="AM136" s="518" t="str">
        <f>IF(AND(_A2="B-757",'2025'!$G$4="CA",'2025'!$G$2=AM119),'2025DATA'!$J$19,"")</f>
        <v/>
      </c>
      <c r="AN136" s="518" t="str">
        <f>IF(AND(_A2="B-757",'2025'!$G$4="CA",'2025'!$G$2=AN119),'2025DATA'!$K$19,"")</f>
        <v/>
      </c>
      <c r="AO136" s="518" t="str">
        <f>IF(AND(_A2="B-757",'2025'!$G$4="CA",'2025'!$G$2=AO119),'2025DATA'!$L$19,"")</f>
        <v/>
      </c>
      <c r="AP136" s="518" t="str">
        <f>IF(AND(_A2="B-757",'2025'!$G$4="CA",'2025'!$G$2=AP119),'2025DATA'!$M$19,"")</f>
        <v/>
      </c>
      <c r="AQ136" s="520" t="str">
        <f>IF(AND(_A2="B-757",'2025'!$G$4="CA",'2025'!$G$2=AQ119),'2025DATA'!$N$19,"")</f>
        <v/>
      </c>
      <c r="AR136" s="940" t="s">
        <v>45</v>
      </c>
      <c r="AS136" s="13" t="s">
        <v>61</v>
      </c>
      <c r="AT136" s="518" t="str">
        <f>IF(AND(_A3="B-757",'2025'!$G$4="CA",'2025'!$G$2=AT119),'2025DATA'!$C$19,"")</f>
        <v/>
      </c>
      <c r="AU136" s="518" t="str">
        <f>IF(AND(_A3="B-757",'2025'!$G$4="CA",'2025'!$G$2=AU119),'2025DATA'!$D$19,"")</f>
        <v/>
      </c>
      <c r="AV136" s="518" t="str">
        <f>IF(AND(_A3="B-757",'2025'!$G$4="CA",'2025'!$G$2=AV119),'2025DATA'!$E$19,"")</f>
        <v/>
      </c>
      <c r="AW136" s="518" t="str">
        <f>IF(AND(_A3="B-757",'2025'!$G$4="CA",'2025'!$G$2=AW119),'2025DATA'!$F$19,"")</f>
        <v/>
      </c>
      <c r="AX136" s="518" t="str">
        <f>IF(AND(_A3="B-757",'2025'!$G$4="CA",'2025'!$G$2=AX119),'2025DATA'!$G$19,"")</f>
        <v/>
      </c>
      <c r="AY136" s="518" t="str">
        <f>IF(AND(_A3="B-757",'2025'!$G$4="CA",'2025'!$G$2=AY119),'2025DATA'!$H$19,"")</f>
        <v/>
      </c>
      <c r="AZ136" s="518" t="str">
        <f>IF(AND(_A3="B-757",'2025'!$G$4="CA",'2025'!$G$2=AZ119),'2025DATA'!$I$19,"")</f>
        <v/>
      </c>
      <c r="BA136" s="518" t="str">
        <f>IF(AND(_A3="B-757",'2025'!$G$4="CA",'2025'!$G$2=BA119),'2025DATA'!$J$19,"")</f>
        <v/>
      </c>
      <c r="BB136" s="518" t="str">
        <f>IF(AND(_A3="B-757",'2025'!$G$4="CA",'2025'!$G$2=BB119),'2025DATA'!$K$19,"")</f>
        <v/>
      </c>
      <c r="BC136" s="518" t="str">
        <f>IF(AND(_A3="B-757",'2025'!$G$4="CA",'2025'!$G$2=BC119),'2025DATA'!$L$19,"")</f>
        <v/>
      </c>
      <c r="BD136" s="518" t="str">
        <f>IF(AND(_A3="B-757",'2025'!$G$4="CA",'2025'!$G$2=BD119),'2025DATA'!$M$19,"")</f>
        <v/>
      </c>
      <c r="BE136" s="520" t="str">
        <f>IF(AND(_A3="B-757",'2025'!$G$4="CA",'2025'!$G$2=BE119),'2025DATA'!$N$19,"")</f>
        <v/>
      </c>
      <c r="BF136" s="940" t="s">
        <v>45</v>
      </c>
      <c r="BG136" s="13" t="s">
        <v>61</v>
      </c>
      <c r="BH136" s="518" t="str">
        <f>IF(AND(_A4="B-757",'2025'!$G$4="CA",'2025'!$G$2=BH119),'2025DATA'!$C$19,"")</f>
        <v/>
      </c>
      <c r="BI136" s="518" t="str">
        <f>IF(AND(_A4="B-757",'2025'!$G$4="CA",'2025'!$G$2=BI119),'2025DATA'!$D$19,"")</f>
        <v/>
      </c>
      <c r="BJ136" s="518" t="str">
        <f>IF(AND(_A4="B-757",'2025'!$G$4="CA",'2025'!$G$2=BJ119),'2025DATA'!$E$19,"")</f>
        <v/>
      </c>
      <c r="BK136" s="518" t="str">
        <f>IF(AND(_A4="B-757",'2025'!$G$4="CA",'2025'!$G$2=BK119),'2025DATA'!$F$19,"")</f>
        <v/>
      </c>
      <c r="BL136" s="518" t="str">
        <f>IF(AND(_A4="B-757",'2025'!$G$4="CA",'2025'!$G$2=BL119),'2025DATA'!$G$19,"")</f>
        <v/>
      </c>
      <c r="BM136" s="518" t="str">
        <f>IF(AND(_A4="B-757",'2025'!$G$4="CA",'2025'!$G$2=BM119),'2025DATA'!$H$19,"")</f>
        <v/>
      </c>
      <c r="BN136" s="518" t="str">
        <f>IF(AND(_A4="B-757",'2025'!$G$4="CA",'2025'!$G$2=BN119),'2025DATA'!$I$19,"")</f>
        <v/>
      </c>
      <c r="BO136" s="518" t="str">
        <f>IF(AND(_A4="B-757",'2025'!$G$4="CA",'2025'!$G$2=BO119),'2025DATA'!$J$19,"")</f>
        <v/>
      </c>
      <c r="BP136" s="518" t="str">
        <f>IF(AND(_A4="B-757",'2025'!$G$4="CA",'2025'!$G$2=BP119),'2025DATA'!$K$19,"")</f>
        <v/>
      </c>
      <c r="BQ136" s="518" t="str">
        <f>IF(AND(_A4="B-757",'2025'!$G$4="CA",'2025'!$G$2=BQ119),'2025DATA'!$L$19,"")</f>
        <v/>
      </c>
      <c r="BR136" s="518" t="str">
        <f>IF(AND(_A4="B-757",'2025'!$G$4="CA",'2025'!$G$2=BR119),'2025DATA'!$M$19,"")</f>
        <v/>
      </c>
      <c r="BS136" s="520" t="str">
        <f>IF(AND(_A4="B-757",'2025'!$G$4="CA",'2025'!$G$2=BS119),'2025DATA'!$N$19,"")</f>
        <v/>
      </c>
      <c r="BT136" s="940" t="s">
        <v>45</v>
      </c>
      <c r="BU136" s="13" t="s">
        <v>61</v>
      </c>
      <c r="BV136" s="518" t="str">
        <f>IF(AND(_A5="B-757",'2025'!$G$4="CA",'2025'!$G$2=BV119),'2025DATA'!$C$19,"")</f>
        <v/>
      </c>
      <c r="BW136" s="518" t="str">
        <f>IF(AND(_A5="B-757",'2025'!$G$4="CA",'2025'!$G$2=BW119),'2025DATA'!$D$19,"")</f>
        <v/>
      </c>
      <c r="BX136" s="518" t="str">
        <f>IF(AND(_A5="B-757",'2025'!$G$4="CA",'2025'!$G$2=BX119),'2025DATA'!$E$19,"")</f>
        <v/>
      </c>
      <c r="BY136" s="518" t="str">
        <f>IF(AND(_A5="B-757",'2025'!$G$4="CA",'2025'!$G$2=BY119),'2025DATA'!$F$19,"")</f>
        <v/>
      </c>
      <c r="BZ136" s="518" t="str">
        <f>IF(AND(_A5="B-757",'2025'!$G$4="CA",'2025'!$G$2=BZ119),'2025DATA'!$G$19,"")</f>
        <v/>
      </c>
      <c r="CA136" s="518" t="str">
        <f>IF(AND(_A5="B-757",'2025'!$G$4="CA",'2025'!$G$2=CA119),'2025DATA'!$H$19,"")</f>
        <v/>
      </c>
      <c r="CB136" s="518" t="str">
        <f>IF(AND(_A5="B-757",'2025'!$G$4="CA",'2025'!$G$2=CB119),'2025DATA'!$I$19,"")</f>
        <v/>
      </c>
      <c r="CC136" s="518" t="str">
        <f>IF(AND(_A5="B-757",'2025'!$G$4="CA",'2025'!$G$2=CC119),'2025DATA'!$J$19,"")</f>
        <v/>
      </c>
      <c r="CD136" s="518" t="str">
        <f>IF(AND(_A5="B-757",'2025'!$G$4="CA",'2025'!$G$2=CD119),'2025DATA'!$K$19,"")</f>
        <v/>
      </c>
      <c r="CE136" s="518" t="str">
        <f>IF(AND(_A5="B-757",'2025'!$G$4="CA",'2025'!$G$2=CE119),'2025DATA'!$L$19,"")</f>
        <v/>
      </c>
      <c r="CF136" s="518" t="str">
        <f>IF(AND(_A5="B-757",'2025'!$G$4="CA",'2025'!$G$2=CF119),'2025DATA'!$M$19,"")</f>
        <v/>
      </c>
      <c r="CG136" s="520" t="str">
        <f>IF(AND(_A5="B-757",'2025'!$G$4="CA",'2025'!$G$2=CG119),'2025DATA'!$N$19,"")</f>
        <v/>
      </c>
      <c r="CH136" s="940" t="s">
        <v>45</v>
      </c>
      <c r="CI136" s="13" t="s">
        <v>61</v>
      </c>
      <c r="CJ136" s="518" t="str">
        <f>IF(AND(_A6="B-757",'2025'!$G$4="CA",'2025'!$G$2=CJ119),'2025DATA'!$C$19,"")</f>
        <v/>
      </c>
      <c r="CK136" s="518" t="str">
        <f>IF(AND(_A6="B-757",'2025'!$G$4="CA",'2025'!$G$2=CK119),'2025DATA'!$D$19,"")</f>
        <v/>
      </c>
      <c r="CL136" s="518" t="str">
        <f>IF(AND(_A6="B-757",'2025'!$G$4="CA",'2025'!$G$2=CL119),'2025DATA'!$E$19,"")</f>
        <v/>
      </c>
      <c r="CM136" s="518" t="str">
        <f>IF(AND(_A6="B-757",'2025'!$G$4="CA",'2025'!$G$2=CM119),'2025DATA'!$F$19,"")</f>
        <v/>
      </c>
      <c r="CN136" s="518" t="str">
        <f>IF(AND(_A6="B-757",'2025'!$G$4="CA",'2025'!$G$2=CN119),'2025DATA'!$G$19,"")</f>
        <v/>
      </c>
      <c r="CO136" s="518" t="str">
        <f>IF(AND(_A6="B-757",'2025'!$G$4="CA",'2025'!$G$2=CO119),'2025DATA'!$H$19,"")</f>
        <v/>
      </c>
      <c r="CP136" s="518" t="str">
        <f>IF(AND(_A6="B-757",'2025'!$G$4="CA",'2025'!$G$2=CP119),'2025DATA'!$I$19,"")</f>
        <v/>
      </c>
      <c r="CQ136" s="518" t="str">
        <f>IF(AND(_A6="B-757",'2025'!$G$4="CA",'2025'!$G$2=CQ119),'2025DATA'!$J$19,"")</f>
        <v/>
      </c>
      <c r="CR136" s="518" t="str">
        <f>IF(AND(_A6="B-757",'2025'!$G$4="CA",'2025'!$G$2=CR119),'2025DATA'!$K$19,"")</f>
        <v/>
      </c>
      <c r="CS136" s="518" t="str">
        <f>IF(AND(_A6="B-757",'2025'!$G$4="CA",'2025'!$G$2=CS119),'2025DATA'!$L$19,"")</f>
        <v/>
      </c>
      <c r="CT136" s="518" t="str">
        <f>IF(AND(_A6="B-757",'2025'!$G$4="CA",'2025'!$G$2=CT119),'2025DATA'!$M$19,"")</f>
        <v/>
      </c>
      <c r="CU136" s="520" t="str">
        <f>IF(AND(_A6="B-757",'2025'!$G$4="CA",'2025'!$G$2=CU119),'2025DATA'!$N$19,"")</f>
        <v/>
      </c>
    </row>
    <row r="137" spans="16:99" x14ac:dyDescent="0.25">
      <c r="P137" s="940"/>
      <c r="Q137" s="13" t="s">
        <v>62</v>
      </c>
      <c r="R137" s="518" t="str">
        <f>IF(AND(_A1="B-757",'2025'!$G$4="FO",'2025'!$G$2=R119),'2025DATA'!$C$20,"")</f>
        <v/>
      </c>
      <c r="S137" s="518" t="str">
        <f>IF(AND(_A1="B-757",'2025'!$G$4="FO",'2025'!$G$2=S119),'2025DATA'!$D$20,"")</f>
        <v/>
      </c>
      <c r="T137" s="518" t="str">
        <f>IF(AND(_A1="B-757",'2025'!$G$4="FO",'2025'!$G$2=T119),'2025DATA'!$E$20,"")</f>
        <v/>
      </c>
      <c r="U137" s="518" t="str">
        <f>IF(AND(_A1="B-757",'2025'!$G$4="FO",'2025'!$G$2=U119),'2025DATA'!$F$20,"")</f>
        <v/>
      </c>
      <c r="V137" s="518" t="str">
        <f>IF(AND(_A1="B-757",'2025'!$G$4="FO",'2025'!$G$2=V119),'2025DATA'!$G$20,"")</f>
        <v/>
      </c>
      <c r="W137" s="518" t="str">
        <f>IF(AND(_A1="B-757",'2025'!$G$4="FO",'2025'!$G$2=W119),'2025DATA'!$H$20,"")</f>
        <v/>
      </c>
      <c r="X137" s="518" t="str">
        <f>IF(AND(_A1="B-757",'2025'!$G$4="FO",'2025'!$G$2=X119),'2025DATA'!$I$20,"")</f>
        <v/>
      </c>
      <c r="Y137" s="518" t="str">
        <f>IF(AND(_A1="B-757",'2025'!$G$4="FO",'2025'!$G$2=Y119),'2025DATA'!$J$20,"")</f>
        <v/>
      </c>
      <c r="Z137" s="518" t="str">
        <f>IF(AND(_A1="B-757",'2025'!$G$4="FO",'2025'!$G$2=Z119),'2025DATA'!$K$20,"")</f>
        <v/>
      </c>
      <c r="AA137" s="518" t="str">
        <f>IF(AND(_A1="B-757",'2025'!$G$4="FO",'2025'!$G$2=AA119),'2025DATA'!$L$20,"")</f>
        <v/>
      </c>
      <c r="AB137" s="518" t="str">
        <f>IF(AND(_A1="B-757",'2025'!$G$4="FO",'2025'!$G$2=AB119),'2025DATA'!$M$20,"")</f>
        <v/>
      </c>
      <c r="AC137" s="520" t="str">
        <f>IF(AND(_A1="B-757",'2025'!$G$4="FO",'2025'!$G$2=AC119),'2025DATA'!$N$20,"")</f>
        <v/>
      </c>
      <c r="AD137" s="940"/>
      <c r="AE137" s="13" t="s">
        <v>62</v>
      </c>
      <c r="AF137" s="518" t="str">
        <f>IF(AND(_A2="B-757",'2025'!$G$4="FO",'2025'!$G$2=AF119),'2025DATA'!$C$20,"")</f>
        <v/>
      </c>
      <c r="AG137" s="518" t="str">
        <f>IF(AND(_A2="B-757",'2025'!$G$4="FO",'2025'!$G$2=AG119),'2025DATA'!$D$20,"")</f>
        <v/>
      </c>
      <c r="AH137" s="518" t="str">
        <f>IF(AND(_A2="B-757",'2025'!$G$4="FO",'2025'!$G$2=AH119),'2025DATA'!$E$20,"")</f>
        <v/>
      </c>
      <c r="AI137" s="518" t="str">
        <f>IF(AND(_A2="B-757",'2025'!$G$4="FO",'2025'!$G$2=AI119),'2025DATA'!$F$20,"")</f>
        <v/>
      </c>
      <c r="AJ137" s="518" t="str">
        <f>IF(AND(_A2="B-757",'2025'!$G$4="FO",'2025'!$G$2=AJ119),'2025DATA'!$G$20,"")</f>
        <v/>
      </c>
      <c r="AK137" s="518" t="str">
        <f>IF(AND(_A2="B-757",'2025'!$G$4="FO",'2025'!$G$2=AK119),'2025DATA'!$H$20,"")</f>
        <v/>
      </c>
      <c r="AL137" s="518" t="str">
        <f>IF(AND(_A2="B-757",'2025'!$G$4="FO",'2025'!$G$2=AL119),'2025DATA'!$I$20,"")</f>
        <v/>
      </c>
      <c r="AM137" s="518" t="str">
        <f>IF(AND(_A2="B-757",'2025'!$G$4="FO",'2025'!$G$2=AM119),'2025DATA'!$J$20,"")</f>
        <v/>
      </c>
      <c r="AN137" s="518" t="str">
        <f>IF(AND(_A2="B-757",'2025'!$G$4="FO",'2025'!$G$2=AN119),'2025DATA'!$K$20,"")</f>
        <v/>
      </c>
      <c r="AO137" s="518" t="str">
        <f>IF(AND(_A2="B-757",'2025'!$G$4="FO",'2025'!$G$2=AO119),'2025DATA'!$L$20,"")</f>
        <v/>
      </c>
      <c r="AP137" s="518" t="str">
        <f>IF(AND(_A2="B-757",'2025'!$G$4="FO",'2025'!$G$2=AP119),'2025DATA'!$M$20,"")</f>
        <v/>
      </c>
      <c r="AQ137" s="520" t="str">
        <f>IF(AND(_A2="B-757",'2025'!$G$4="FO",'2025'!$G$2=AQ119),'2025DATA'!$N$20,"")</f>
        <v/>
      </c>
      <c r="AR137" s="940"/>
      <c r="AS137" s="13" t="s">
        <v>62</v>
      </c>
      <c r="AT137" s="518" t="str">
        <f>IF(AND(_A3="B-757",'2025'!$G$4="FO",'2025'!$G$2=AT119),'2025DATA'!$C$20,"")</f>
        <v/>
      </c>
      <c r="AU137" s="518" t="str">
        <f>IF(AND(_A3="B-757",'2025'!$G$4="FO",'2025'!$G$2=AU119),'2025DATA'!$D$20,"")</f>
        <v/>
      </c>
      <c r="AV137" s="518" t="str">
        <f>IF(AND(_A3="B-757",'2025'!$G$4="FO",'2025'!$G$2=AV119),'2025DATA'!$E$20,"")</f>
        <v/>
      </c>
      <c r="AW137" s="518" t="str">
        <f>IF(AND(_A3="B-757",'2025'!$G$4="FO",'2025'!$G$2=AW119),'2025DATA'!$F$20,"")</f>
        <v/>
      </c>
      <c r="AX137" s="518" t="str">
        <f>IF(AND(_A3="B-757",'2025'!$G$4="FO",'2025'!$G$2=AX119),'2025DATA'!$G$20,"")</f>
        <v/>
      </c>
      <c r="AY137" s="518" t="str">
        <f>IF(AND(_A3="B-757",'2025'!$G$4="FO",'2025'!$G$2=AY119),'2025DATA'!$H$20,"")</f>
        <v/>
      </c>
      <c r="AZ137" s="518" t="str">
        <f>IF(AND(_A3="B-757",'2025'!$G$4="FO",'2025'!$G$2=AZ119),'2025DATA'!$I$20,"")</f>
        <v/>
      </c>
      <c r="BA137" s="518" t="str">
        <f>IF(AND(_A3="B-757",'2025'!$G$4="FO",'2025'!$G$2=BA119),'2025DATA'!$J$20,"")</f>
        <v/>
      </c>
      <c r="BB137" s="518" t="str">
        <f>IF(AND(_A3="B-757",'2025'!$G$4="FO",'2025'!$G$2=BB119),'2025DATA'!$K$20,"")</f>
        <v/>
      </c>
      <c r="BC137" s="518" t="str">
        <f>IF(AND(_A3="B-757",'2025'!$G$4="FO",'2025'!$G$2=BC119),'2025DATA'!$L$20,"")</f>
        <v/>
      </c>
      <c r="BD137" s="518" t="str">
        <f>IF(AND(_A3="B-757",'2025'!$G$4="FO",'2025'!$G$2=BD119),'2025DATA'!$M$20,"")</f>
        <v/>
      </c>
      <c r="BE137" s="520" t="str">
        <f>IF(AND(_A3="B-757",'2025'!$G$4="FO",'2025'!$G$2=BE119),'2025DATA'!$N$20,"")</f>
        <v/>
      </c>
      <c r="BF137" s="940"/>
      <c r="BG137" s="13" t="s">
        <v>62</v>
      </c>
      <c r="BH137" s="518" t="str">
        <f>IF(AND(_A4="B-757",'2025'!$G$4="FO",'2025'!$G$2=BH119),'2025DATA'!$C$20,"")</f>
        <v/>
      </c>
      <c r="BI137" s="518" t="str">
        <f>IF(AND(_A4="B-757",'2025'!$G$4="FO",'2025'!$G$2=BI119),'2025DATA'!$D$20,"")</f>
        <v/>
      </c>
      <c r="BJ137" s="518" t="str">
        <f>IF(AND(_A4="B-757",'2025'!$G$4="FO",'2025'!$G$2=BJ119),'2025DATA'!$E$20,"")</f>
        <v/>
      </c>
      <c r="BK137" s="518" t="str">
        <f>IF(AND(_A4="B-757",'2025'!$G$4="FO",'2025'!$G$2=BK119),'2025DATA'!$F$20,"")</f>
        <v/>
      </c>
      <c r="BL137" s="518" t="str">
        <f>IF(AND(_A4="B-757",'2025'!$G$4="FO",'2025'!$G$2=BL119),'2025DATA'!$G$20,"")</f>
        <v/>
      </c>
      <c r="BM137" s="518" t="str">
        <f>IF(AND(_A4="B-757",'2025'!$G$4="FO",'2025'!$G$2=BM119),'2025DATA'!$H$20,"")</f>
        <v/>
      </c>
      <c r="BN137" s="518" t="str">
        <f>IF(AND(_A4="B-757",'2025'!$G$4="FO",'2025'!$G$2=BN119),'2025DATA'!$I$20,"")</f>
        <v/>
      </c>
      <c r="BO137" s="518" t="str">
        <f>IF(AND(_A4="B-757",'2025'!$G$4="FO",'2025'!$G$2=BO119),'2025DATA'!$J$20,"")</f>
        <v/>
      </c>
      <c r="BP137" s="518" t="str">
        <f>IF(AND(_A4="B-757",'2025'!$G$4="FO",'2025'!$G$2=BP119),'2025DATA'!$K$20,"")</f>
        <v/>
      </c>
      <c r="BQ137" s="518" t="str">
        <f>IF(AND(_A4="B-757",'2025'!$G$4="FO",'2025'!$G$2=BQ119),'2025DATA'!$L$20,"")</f>
        <v/>
      </c>
      <c r="BR137" s="518" t="str">
        <f>IF(AND(_A4="B-757",'2025'!$G$4="FO",'2025'!$G$2=BR119),'2025DATA'!$M$20,"")</f>
        <v/>
      </c>
      <c r="BS137" s="520" t="str">
        <f>IF(AND(_A4="B-757",'2025'!$G$4="FO",'2025'!$G$2=BS119),'2025DATA'!$N$20,"")</f>
        <v/>
      </c>
      <c r="BT137" s="940"/>
      <c r="BU137" s="13" t="s">
        <v>62</v>
      </c>
      <c r="BV137" s="518" t="str">
        <f>IF(AND(_A5="B-757",'2025'!$G$4="FO",'2025'!$G$2=BV119),'2025DATA'!$C$20,"")</f>
        <v/>
      </c>
      <c r="BW137" s="518" t="str">
        <f>IF(AND(_A5="B-757",'2025'!$G$4="FO",'2025'!$G$2=BW119),'2025DATA'!$D$20,"")</f>
        <v/>
      </c>
      <c r="BX137" s="518" t="str">
        <f>IF(AND(_A5="B-757",'2025'!$G$4="FO",'2025'!$G$2=BX119),'2025DATA'!$E$20,"")</f>
        <v/>
      </c>
      <c r="BY137" s="518" t="str">
        <f>IF(AND(_A5="B-757",'2025'!$G$4="FO",'2025'!$G$2=BY119),'2025DATA'!$F$20,"")</f>
        <v/>
      </c>
      <c r="BZ137" s="518" t="str">
        <f>IF(AND(_A5="B-757",'2025'!$G$4="FO",'2025'!$G$2=BZ119),'2025DATA'!$G$20,"")</f>
        <v/>
      </c>
      <c r="CA137" s="518" t="str">
        <f>IF(AND(_A5="B-757",'2025'!$G$4="FO",'2025'!$G$2=CA119),'2025DATA'!$H$20,"")</f>
        <v/>
      </c>
      <c r="CB137" s="518" t="str">
        <f>IF(AND(_A5="B-757",'2025'!$G$4="FO",'2025'!$G$2=CB119),'2025DATA'!$I$20,"")</f>
        <v/>
      </c>
      <c r="CC137" s="518" t="str">
        <f>IF(AND(_A5="B-757",'2025'!$G$4="FO",'2025'!$G$2=CC119),'2025DATA'!$J$20,"")</f>
        <v/>
      </c>
      <c r="CD137" s="518" t="str">
        <f>IF(AND(_A5="B-757",'2025'!$G$4="FO",'2025'!$G$2=CD119),'2025DATA'!$K$20,"")</f>
        <v/>
      </c>
      <c r="CE137" s="518" t="str">
        <f>IF(AND(_A5="B-757",'2025'!$G$4="FO",'2025'!$G$2=CE119),'2025DATA'!$L$20,"")</f>
        <v/>
      </c>
      <c r="CF137" s="518" t="str">
        <f>IF(AND(_A5="B-757",'2025'!$G$4="FO",'2025'!$G$2=CF119),'2025DATA'!$M$20,"")</f>
        <v/>
      </c>
      <c r="CG137" s="520" t="str">
        <f>IF(AND(_A5="B-757",'2025'!$G$4="FO",'2025'!$G$2=CG119),'2025DATA'!$N$20,"")</f>
        <v/>
      </c>
      <c r="CH137" s="940"/>
      <c r="CI137" s="13" t="s">
        <v>62</v>
      </c>
      <c r="CJ137" s="518" t="str">
        <f>IF(AND(_A6="B-757",'2025'!$G$4="FO",'2025'!$G$2=CJ119),'2025DATA'!$C$20,"")</f>
        <v/>
      </c>
      <c r="CK137" s="518" t="str">
        <f>IF(AND(_A6="B-757",'2025'!$G$4="FO",'2025'!$G$2=CK119),'2025DATA'!$D$20,"")</f>
        <v/>
      </c>
      <c r="CL137" s="518" t="str">
        <f>IF(AND(_A6="B-757",'2025'!$G$4="FO",'2025'!$G$2=CL119),'2025DATA'!$E$20,"")</f>
        <v/>
      </c>
      <c r="CM137" s="518" t="str">
        <f>IF(AND(_A6="B-757",'2025'!$G$4="FO",'2025'!$G$2=CM119),'2025DATA'!$F$20,"")</f>
        <v/>
      </c>
      <c r="CN137" s="518" t="str">
        <f>IF(AND(_A6="B-757",'2025'!$G$4="FO",'2025'!$G$2=CN119),'2025DATA'!$G$20,"")</f>
        <v/>
      </c>
      <c r="CO137" s="518" t="str">
        <f>IF(AND(_A6="B-757",'2025'!$G$4="FO",'2025'!$G$2=CO119),'2025DATA'!$H$20,"")</f>
        <v/>
      </c>
      <c r="CP137" s="518" t="str">
        <f>IF(AND(_A6="B-757",'2025'!$G$4="FO",'2025'!$G$2=CP119),'2025DATA'!$I$20,"")</f>
        <v/>
      </c>
      <c r="CQ137" s="518" t="str">
        <f>IF(AND(_A6="B-757",'2025'!$G$4="FO",'2025'!$G$2=CQ119),'2025DATA'!$J$20,"")</f>
        <v/>
      </c>
      <c r="CR137" s="518" t="str">
        <f>IF(AND(_A6="B-757",'2025'!$G$4="FO",'2025'!$G$2=CR119),'2025DATA'!$K$20,"")</f>
        <v/>
      </c>
      <c r="CS137" s="518" t="str">
        <f>IF(AND(_A6="B-757",'2025'!$G$4="FO",'2025'!$G$2=CS119),'2025DATA'!$L$20,"")</f>
        <v/>
      </c>
      <c r="CT137" s="518" t="str">
        <f>IF(AND(_A6="B-757",'2025'!$G$4="FO",'2025'!$G$2=CT119),'2025DATA'!$M$20,"")</f>
        <v/>
      </c>
      <c r="CU137" s="520" t="str">
        <f>IF(AND(_A6="B-757",'2025'!$G$4="FO",'2025'!$G$2=CU119),'2025DATA'!$N$20,"")</f>
        <v/>
      </c>
    </row>
    <row r="138" spans="16:99" x14ac:dyDescent="0.25">
      <c r="P138" s="940" t="s">
        <v>47</v>
      </c>
      <c r="Q138" s="13" t="s">
        <v>61</v>
      </c>
      <c r="R138" s="518" t="str">
        <f>IF(AND(_A1="B-737-900",'2025'!$G$4="CA",'2025'!$G$2=R119),'2025DATA'!$C$21,"")</f>
        <v/>
      </c>
      <c r="S138" s="518" t="str">
        <f>IF(AND(_A1="B-737-900",'2025'!$G$4="CA",'2025'!$G$2=S119),'2025DATA'!$D$21,"")</f>
        <v/>
      </c>
      <c r="T138" s="518" t="str">
        <f>IF(AND(_A1="B-737-900",'2025'!$G$4="CA",'2025'!$G$2=T119),'2025DATA'!$E$21,"")</f>
        <v/>
      </c>
      <c r="U138" s="518" t="str">
        <f>IF(AND(_A1="B-737-900",'2025'!$G$4="CA",'2025'!$G$2=U119),'2025DATA'!$F$21,"")</f>
        <v/>
      </c>
      <c r="V138" s="518" t="str">
        <f>IF(AND(_A1="B-737-900",'2025'!$G$4="CA",'2025'!$G$2=V119),'2025DATA'!$G$21,"")</f>
        <v/>
      </c>
      <c r="W138" s="518" t="str">
        <f>IF(AND(_A1="B-737-900",'2025'!$G$4="CA",'2025'!$G$2=W119),'2025DATA'!$H$21,"")</f>
        <v/>
      </c>
      <c r="X138" s="518" t="str">
        <f>IF(AND(_A1="B-737-900",'2025'!$G$4="CA",'2025'!$G$2=X119),'2025DATA'!$I$21,"")</f>
        <v/>
      </c>
      <c r="Y138" s="518" t="str">
        <f>IF(AND(_A1="B-737-900",'2025'!$G$4="CA",'2025'!$G$2=Y119),'2025DATA'!$J$21,"")</f>
        <v/>
      </c>
      <c r="Z138" s="518" t="str">
        <f>IF(AND(_A1="B-737-900",'2025'!$G$4="CA",'2025'!$G$2=Z119),'2025DATA'!$K$21,"")</f>
        <v/>
      </c>
      <c r="AA138" s="518" t="str">
        <f>IF(AND(_A1="B-737-900",'2025'!$G$4="CA",'2025'!$G$2=AA119),'2025DATA'!$L$21,"")</f>
        <v/>
      </c>
      <c r="AB138" s="518" t="str">
        <f>IF(AND(_A1="B-737-900",'2025'!$G$4="CA",'2025'!$G$2=AB119),'2025DATA'!$M$21,"")</f>
        <v/>
      </c>
      <c r="AC138" s="520" t="str">
        <f>IF(AND(_A1="B-737-900",'2025'!$G$4="CA",'2025'!$G$2=AC119),'2025DATA'!$N$21,"")</f>
        <v/>
      </c>
      <c r="AD138" s="940" t="s">
        <v>47</v>
      </c>
      <c r="AE138" s="13" t="s">
        <v>61</v>
      </c>
      <c r="AF138" s="518" t="str">
        <f>IF(AND(_A2="B-737-900",'2025'!$G$4="CA",'2025'!$G$2=AF119),'2025DATA'!$C$21,"")</f>
        <v/>
      </c>
      <c r="AG138" s="518" t="str">
        <f>IF(AND(_A2="B-737-900",'2025'!$G$4="CA",'2025'!$G$2=AG119),'2025DATA'!$D$21,"")</f>
        <v/>
      </c>
      <c r="AH138" s="518" t="str">
        <f>IF(AND(_A2="B-737-900",'2025'!$G$4="CA",'2025'!$G$2=AH119),'2025DATA'!$E$21,"")</f>
        <v/>
      </c>
      <c r="AI138" s="518" t="str">
        <f>IF(AND(_A2="B-737-900",'2025'!$G$4="CA",'2025'!$G$2=AI119),'2025DATA'!$F$21,"")</f>
        <v/>
      </c>
      <c r="AJ138" s="518" t="str">
        <f>IF(AND(_A2="B-737-900",'2025'!$G$4="CA",'2025'!$G$2=AJ119),'2025DATA'!$G$21,"")</f>
        <v/>
      </c>
      <c r="AK138" s="518" t="str">
        <f>IF(AND(_A2="B-737-900",'2025'!$G$4="CA",'2025'!$G$2=AK119),'2025DATA'!$H$21,"")</f>
        <v/>
      </c>
      <c r="AL138" s="518" t="str">
        <f>IF(AND(_A2="B-737-900",'2025'!$G$4="CA",'2025'!$G$2=AL119),'2025DATA'!$I$21,"")</f>
        <v/>
      </c>
      <c r="AM138" s="518" t="str">
        <f>IF(AND(_A2="B-737-900",'2025'!$G$4="CA",'2025'!$G$2=AM119),'2025DATA'!$J$21,"")</f>
        <v/>
      </c>
      <c r="AN138" s="518" t="str">
        <f>IF(AND(_A2="B-737-900",'2025'!$G$4="CA",'2025'!$G$2=AN119),'2025DATA'!$K$21,"")</f>
        <v/>
      </c>
      <c r="AO138" s="518" t="str">
        <f>IF(AND(_A2="B-737-900",'2025'!$G$4="CA",'2025'!$G$2=AO119),'2025DATA'!$L$21,"")</f>
        <v/>
      </c>
      <c r="AP138" s="518" t="str">
        <f>IF(AND(_A2="B-737-900",'2025'!$G$4="CA",'2025'!$G$2=AP119),'2025DATA'!$M$21,"")</f>
        <v/>
      </c>
      <c r="AQ138" s="520" t="str">
        <f>IF(AND(_A2="B-737-900",'2025'!$G$4="CA",'2025'!$G$2=AQ119),'2025DATA'!$N$21,"")</f>
        <v/>
      </c>
      <c r="AR138" s="940" t="s">
        <v>47</v>
      </c>
      <c r="AS138" s="13" t="s">
        <v>61</v>
      </c>
      <c r="AT138" s="518" t="str">
        <f>IF(AND(_A3="B-737-900",'2025'!$G$4="CA",'2025'!$G$2=AT119),'2025DATA'!$C$21,"")</f>
        <v/>
      </c>
      <c r="AU138" s="518" t="str">
        <f>IF(AND(_A3="B-737-900",'2025'!$G$4="CA",'2025'!$G$2=AU119),'2025DATA'!$D$21,"")</f>
        <v/>
      </c>
      <c r="AV138" s="518" t="str">
        <f>IF(AND(_A3="B-737-900",'2025'!$G$4="CA",'2025'!$G$2=AV119),'2025DATA'!$E$21,"")</f>
        <v/>
      </c>
      <c r="AW138" s="518" t="str">
        <f>IF(AND(_A3="B-737-900",'2025'!$G$4="CA",'2025'!$G$2=AW119),'2025DATA'!$F$21,"")</f>
        <v/>
      </c>
      <c r="AX138" s="518" t="str">
        <f>IF(AND(_A3="B-737-900",'2025'!$G$4="CA",'2025'!$G$2=AX119),'2025DATA'!$G$21,"")</f>
        <v/>
      </c>
      <c r="AY138" s="518" t="str">
        <f>IF(AND(_A3="B-737-900",'2025'!$G$4="CA",'2025'!$G$2=AY119),'2025DATA'!$H$21,"")</f>
        <v/>
      </c>
      <c r="AZ138" s="518" t="str">
        <f>IF(AND(_A3="B-737-900",'2025'!$G$4="CA",'2025'!$G$2=AZ119),'2025DATA'!$I$21,"")</f>
        <v/>
      </c>
      <c r="BA138" s="518" t="str">
        <f>IF(AND(_A3="B-737-900",'2025'!$G$4="CA",'2025'!$G$2=BA119),'2025DATA'!$J$21,"")</f>
        <v/>
      </c>
      <c r="BB138" s="518" t="str">
        <f>IF(AND(_A3="B-737-900",'2025'!$G$4="CA",'2025'!$G$2=BB119),'2025DATA'!$K$21,"")</f>
        <v/>
      </c>
      <c r="BC138" s="518" t="str">
        <f>IF(AND(_A3="B-737-900",'2025'!$G$4="CA",'2025'!$G$2=BC119),'2025DATA'!$L$21,"")</f>
        <v/>
      </c>
      <c r="BD138" s="518" t="str">
        <f>IF(AND(_A3="B-737-900",'2025'!$G$4="CA",'2025'!$G$2=BD119),'2025DATA'!$M$21,"")</f>
        <v/>
      </c>
      <c r="BE138" s="520" t="str">
        <f>IF(AND(_A3="B-737-900",'2025'!$G$4="CA",'2025'!$G$2=BE119),'2025DATA'!$N$21,"")</f>
        <v/>
      </c>
      <c r="BF138" s="940" t="s">
        <v>47</v>
      </c>
      <c r="BG138" s="13" t="s">
        <v>61</v>
      </c>
      <c r="BH138" s="518" t="str">
        <f>IF(AND(_A4="B-737-900",'2025'!$G$4="CA",'2025'!$G$2=BH119),'2025DATA'!$C$21,"")</f>
        <v/>
      </c>
      <c r="BI138" s="518" t="str">
        <f>IF(AND(_A4="B-737-900",'2025'!$G$4="CA",'2025'!$G$2=BI119),'2025DATA'!$D$21,"")</f>
        <v/>
      </c>
      <c r="BJ138" s="518" t="str">
        <f>IF(AND(_A4="B-737-900",'2025'!$G$4="CA",'2025'!$G$2=BJ119),'2025DATA'!$E$21,"")</f>
        <v/>
      </c>
      <c r="BK138" s="518" t="str">
        <f>IF(AND(_A4="B-737-900",'2025'!$G$4="CA",'2025'!$G$2=BK119),'2025DATA'!$F$21,"")</f>
        <v/>
      </c>
      <c r="BL138" s="518" t="str">
        <f>IF(AND(_A4="B-737-900",'2025'!$G$4="CA",'2025'!$G$2=BL119),'2025DATA'!$G$21,"")</f>
        <v/>
      </c>
      <c r="BM138" s="518" t="str">
        <f>IF(AND(_A4="B-737-900",'2025'!$G$4="CA",'2025'!$G$2=BM119),'2025DATA'!$H$21,"")</f>
        <v/>
      </c>
      <c r="BN138" s="518" t="str">
        <f>IF(AND(_A4="B-737-900",'2025'!$G$4="CA",'2025'!$G$2=BN119),'2025DATA'!$I$21,"")</f>
        <v/>
      </c>
      <c r="BO138" s="518" t="str">
        <f>IF(AND(_A4="B-737-900",'2025'!$G$4="CA",'2025'!$G$2=BO119),'2025DATA'!$J$21,"")</f>
        <v/>
      </c>
      <c r="BP138" s="518" t="str">
        <f>IF(AND(_A4="B-737-900",'2025'!$G$4="CA",'2025'!$G$2=BP119),'2025DATA'!$K$21,"")</f>
        <v/>
      </c>
      <c r="BQ138" s="518" t="str">
        <f>IF(AND(_A4="B-737-900",'2025'!$G$4="CA",'2025'!$G$2=BQ119),'2025DATA'!$L$21,"")</f>
        <v/>
      </c>
      <c r="BR138" s="518" t="str">
        <f>IF(AND(_A4="B-737-900",'2025'!$G$4="CA",'2025'!$G$2=BR119),'2025DATA'!$M$21,"")</f>
        <v/>
      </c>
      <c r="BS138" s="520" t="str">
        <f>IF(AND(_A4="B-737-900",'2025'!$G$4="CA",'2025'!$G$2=BS119),'2025DATA'!$N$21,"")</f>
        <v/>
      </c>
      <c r="BT138" s="940" t="s">
        <v>47</v>
      </c>
      <c r="BU138" s="13" t="s">
        <v>61</v>
      </c>
      <c r="BV138" s="518" t="str">
        <f>IF(AND(_A5="B-737-900",'2025'!$G$4="CA",'2025'!$G$2=BV119),'2025DATA'!$C$21,"")</f>
        <v/>
      </c>
      <c r="BW138" s="518" t="str">
        <f>IF(AND(_A5="B-737-900",'2025'!$G$4="CA",'2025'!$G$2=BW119),'2025DATA'!$D$21,"")</f>
        <v/>
      </c>
      <c r="BX138" s="518" t="str">
        <f>IF(AND(_A5="B-737-900",'2025'!$G$4="CA",'2025'!$G$2=BX119),'2025DATA'!$E$21,"")</f>
        <v/>
      </c>
      <c r="BY138" s="518" t="str">
        <f>IF(AND(_A5="B-737-900",'2025'!$G$4="CA",'2025'!$G$2=BY119),'2025DATA'!$F$21,"")</f>
        <v/>
      </c>
      <c r="BZ138" s="518" t="str">
        <f>IF(AND(_A5="B-737-900",'2025'!$G$4="CA",'2025'!$G$2=BZ119),'2025DATA'!$G$21,"")</f>
        <v/>
      </c>
      <c r="CA138" s="518" t="str">
        <f>IF(AND(_A5="B-737-900",'2025'!$G$4="CA",'2025'!$G$2=CA119),'2025DATA'!$H$21,"")</f>
        <v/>
      </c>
      <c r="CB138" s="518" t="str">
        <f>IF(AND(_A5="B-737-900",'2025'!$G$4="CA",'2025'!$G$2=CB119),'2025DATA'!$I$21,"")</f>
        <v/>
      </c>
      <c r="CC138" s="518" t="str">
        <f>IF(AND(_A5="B-737-900",'2025'!$G$4="CA",'2025'!$G$2=CC119),'2025DATA'!$J$21,"")</f>
        <v/>
      </c>
      <c r="CD138" s="518" t="str">
        <f>IF(AND(_A5="B-737-900",'2025'!$G$4="CA",'2025'!$G$2=CD119),'2025DATA'!$K$21,"")</f>
        <v/>
      </c>
      <c r="CE138" s="518" t="str">
        <f>IF(AND(_A5="B-737-900",'2025'!$G$4="CA",'2025'!$G$2=CE119),'2025DATA'!$L$21,"")</f>
        <v/>
      </c>
      <c r="CF138" s="518" t="str">
        <f>IF(AND(_A5="B-737-900",'2025'!$G$4="CA",'2025'!$G$2=CF119),'2025DATA'!$M$21,"")</f>
        <v/>
      </c>
      <c r="CG138" s="520" t="str">
        <f>IF(AND(_A5="B-737-900",'2025'!$G$4="CA",'2025'!$G$2=CG119),'2025DATA'!$N$21,"")</f>
        <v/>
      </c>
      <c r="CH138" s="940" t="s">
        <v>47</v>
      </c>
      <c r="CI138" s="13" t="s">
        <v>61</v>
      </c>
      <c r="CJ138" s="518" t="str">
        <f>IF(AND(_A6="B-737-900",'2025'!$G$4="CA",'2025'!$G$2=CJ119),'2025DATA'!$C$21,"")</f>
        <v/>
      </c>
      <c r="CK138" s="518" t="str">
        <f>IF(AND(_A6="B-737-900",'2025'!$G$4="CA",'2025'!$G$2=CK119),'2025DATA'!$D$21,"")</f>
        <v/>
      </c>
      <c r="CL138" s="518" t="str">
        <f>IF(AND(_A6="B-737-900",'2025'!$G$4="CA",'2025'!$G$2=CL119),'2025DATA'!$E$21,"")</f>
        <v/>
      </c>
      <c r="CM138" s="518" t="str">
        <f>IF(AND(_A6="B-737-900",'2025'!$G$4="CA",'2025'!$G$2=CM119),'2025DATA'!$F$21,"")</f>
        <v/>
      </c>
      <c r="CN138" s="518" t="str">
        <f>IF(AND(_A6="B-737-900",'2025'!$G$4="CA",'2025'!$G$2=CN119),'2025DATA'!$G$21,"")</f>
        <v/>
      </c>
      <c r="CO138" s="518" t="str">
        <f>IF(AND(_A6="B-737-900",'2025'!$G$4="CA",'2025'!$G$2=CO119),'2025DATA'!$H$21,"")</f>
        <v/>
      </c>
      <c r="CP138" s="518" t="str">
        <f>IF(AND(_A6="B-737-900",'2025'!$G$4="CA",'2025'!$G$2=CP119),'2025DATA'!$I$21,"")</f>
        <v/>
      </c>
      <c r="CQ138" s="518" t="str">
        <f>IF(AND(_A6="B-737-900",'2025'!$G$4="CA",'2025'!$G$2=CQ119),'2025DATA'!$J$21,"")</f>
        <v/>
      </c>
      <c r="CR138" s="518" t="str">
        <f>IF(AND(_A6="B-737-900",'2025'!$G$4="CA",'2025'!$G$2=CR119),'2025DATA'!$K$21,"")</f>
        <v/>
      </c>
      <c r="CS138" s="518" t="str">
        <f>IF(AND(_A6="B-737-900",'2025'!$G$4="CA",'2025'!$G$2=CS119),'2025DATA'!$L$21,"")</f>
        <v/>
      </c>
      <c r="CT138" s="518" t="str">
        <f>IF(AND(_A6="B-737-900",'2025'!$G$4="CA",'2025'!$G$2=CT119),'2025DATA'!$M$21,"")</f>
        <v/>
      </c>
      <c r="CU138" s="520" t="str">
        <f>IF(AND(_A6="B-737-900",'2025'!$G$4="CA",'2025'!$G$2=CU119),'2025DATA'!$N$21,"")</f>
        <v/>
      </c>
    </row>
    <row r="139" spans="16:99" x14ac:dyDescent="0.25">
      <c r="P139" s="940"/>
      <c r="Q139" s="13" t="s">
        <v>62</v>
      </c>
      <c r="R139" s="518" t="str">
        <f>IF(AND(_A1="B-737-900",'2025'!$G$4="FO",'2025'!$G$2=R119),'2025DATA'!$C$22,"")</f>
        <v/>
      </c>
      <c r="S139" s="518" t="str">
        <f>IF(AND(_A1="B-737-900",'2025'!$G$4="FO",'2025'!$G$2=S119),'2025DATA'!$D$22,"")</f>
        <v/>
      </c>
      <c r="T139" s="518" t="str">
        <f>IF(AND(_A1="B-737-900",'2025'!$G$4="FO",'2025'!$G$2=T119),'2025DATA'!$E$22,"")</f>
        <v/>
      </c>
      <c r="U139" s="518" t="str">
        <f>IF(AND(_A1="B-737-900",'2025'!$G$4="FO",'2025'!$G$2=U119),'2025DATA'!$F$22,"")</f>
        <v/>
      </c>
      <c r="V139" s="518" t="str">
        <f>IF(AND(_A1="B-737-900",'2025'!$G$4="FO",'2025'!$G$2=V119),'2025DATA'!$G$22,"")</f>
        <v/>
      </c>
      <c r="W139" s="518" t="str">
        <f>IF(AND(_A1="B-737-900",'2025'!$G$4="FO",'2025'!$G$2=W119),'2025DATA'!$H$22,"")</f>
        <v/>
      </c>
      <c r="X139" s="518" t="str">
        <f>IF(AND(_A1="B-737-900",'2025'!$G$4="FO",'2025'!$G$2=X119),'2025DATA'!$I$22,"")</f>
        <v/>
      </c>
      <c r="Y139" s="518" t="str">
        <f>IF(AND(_A1="B-737-900",'2025'!$G$4="FO",'2025'!$G$2=Y119),'2025DATA'!$J$22,"")</f>
        <v/>
      </c>
      <c r="Z139" s="518" t="str">
        <f>IF(AND(_A1="B-737-900",'2025'!$G$4="FO",'2025'!$G$2=Z119),'2025DATA'!$K$22,"")</f>
        <v/>
      </c>
      <c r="AA139" s="518" t="str">
        <f>IF(AND(_A1="B-737-900",'2025'!$G$4="FO",'2025'!$G$2=AA119),'2025DATA'!$L$22,"")</f>
        <v/>
      </c>
      <c r="AB139" s="518" t="str">
        <f>IF(AND(_A1="B-737-900",'2025'!$G$4="FO",'2025'!$G$2=AB119),'2025DATA'!$M$22,"")</f>
        <v/>
      </c>
      <c r="AC139" s="520" t="str">
        <f>IF(AND(_A1="B-737-900",'2025'!$G$4="FO",'2025'!$G$2=AC119),'2025DATA'!$N$22,"")</f>
        <v/>
      </c>
      <c r="AD139" s="940"/>
      <c r="AE139" s="13" t="s">
        <v>62</v>
      </c>
      <c r="AF139" s="518" t="str">
        <f>IF(AND(_A2="B-737-900",'2025'!$G$4="FO",'2025'!$G$2=AF119),'2025DATA'!$C$22,"")</f>
        <v/>
      </c>
      <c r="AG139" s="518" t="str">
        <f>IF(AND(_A2="B-737-900",'2025'!$G$4="FO",'2025'!$G$2=AG119),'2025DATA'!$D$22,"")</f>
        <v/>
      </c>
      <c r="AH139" s="518" t="str">
        <f>IF(AND(_A2="B-737-900",'2025'!$G$4="FO",'2025'!$G$2=AH119),'2025DATA'!$E$22,"")</f>
        <v/>
      </c>
      <c r="AI139" s="518" t="str">
        <f>IF(AND(_A2="B-737-900",'2025'!$G$4="FO",'2025'!$G$2=AI119),'2025DATA'!$F$22,"")</f>
        <v/>
      </c>
      <c r="AJ139" s="518" t="str">
        <f>IF(AND(_A2="B-737-900",'2025'!$G$4="FO",'2025'!$G$2=AJ119),'2025DATA'!$G$22,"")</f>
        <v/>
      </c>
      <c r="AK139" s="518" t="str">
        <f>IF(AND(_A2="B-737-900",'2025'!$G$4="FO",'2025'!$G$2=AK119),'2025DATA'!$H$22,"")</f>
        <v/>
      </c>
      <c r="AL139" s="518" t="str">
        <f>IF(AND(_A2="B-737-900",'2025'!$G$4="FO",'2025'!$G$2=AL119),'2025DATA'!$I$22,"")</f>
        <v/>
      </c>
      <c r="AM139" s="518" t="str">
        <f>IF(AND(_A2="B-737-900",'2025'!$G$4="FO",'2025'!$G$2=AM119),'2025DATA'!$J$22,"")</f>
        <v/>
      </c>
      <c r="AN139" s="518" t="str">
        <f>IF(AND(_A2="B-737-900",'2025'!$G$4="FO",'2025'!$G$2=AN119),'2025DATA'!$K$22,"")</f>
        <v/>
      </c>
      <c r="AO139" s="518" t="str">
        <f>IF(AND(_A2="B-737-900",'2025'!$G$4="FO",'2025'!$G$2=AO119),'2025DATA'!$L$22,"")</f>
        <v/>
      </c>
      <c r="AP139" s="518" t="str">
        <f>IF(AND(_A2="B-737-900",'2025'!$G$4="FO",'2025'!$G$2=AP119),'2025DATA'!$M$22,"")</f>
        <v/>
      </c>
      <c r="AQ139" s="520" t="str">
        <f>IF(AND(_A2="B-737-900",'2025'!$G$4="FO",'2025'!$G$2=AQ119),'2025DATA'!$N$22,"")</f>
        <v/>
      </c>
      <c r="AR139" s="940"/>
      <c r="AS139" s="13" t="s">
        <v>62</v>
      </c>
      <c r="AT139" s="518" t="str">
        <f>IF(AND(_A3="B-737-900",'2025'!$G$4="FO",'2025'!$G$2=AT119),'2025DATA'!$C$22,"")</f>
        <v/>
      </c>
      <c r="AU139" s="518" t="str">
        <f>IF(AND(_A3="B-737-900",'2025'!$G$4="FO",'2025'!$G$2=AU119),'2025DATA'!$D$22,"")</f>
        <v/>
      </c>
      <c r="AV139" s="518" t="str">
        <f>IF(AND(_A3="B-737-900",'2025'!$G$4="FO",'2025'!$G$2=AV119),'2025DATA'!$E$22,"")</f>
        <v/>
      </c>
      <c r="AW139" s="518" t="str">
        <f>IF(AND(_A3="B-737-900",'2025'!$G$4="FO",'2025'!$G$2=AW119),'2025DATA'!$F$22,"")</f>
        <v/>
      </c>
      <c r="AX139" s="518" t="str">
        <f>IF(AND(_A3="B-737-900",'2025'!$G$4="FO",'2025'!$G$2=AX119),'2025DATA'!$G$22,"")</f>
        <v/>
      </c>
      <c r="AY139" s="518" t="str">
        <f>IF(AND(_A3="B-737-900",'2025'!$G$4="FO",'2025'!$G$2=AY119),'2025DATA'!$H$22,"")</f>
        <v/>
      </c>
      <c r="AZ139" s="518" t="str">
        <f>IF(AND(_A3="B-737-900",'2025'!$G$4="FO",'2025'!$G$2=AZ119),'2025DATA'!$I$22,"")</f>
        <v/>
      </c>
      <c r="BA139" s="518" t="str">
        <f>IF(AND(_A3="B-737-900",'2025'!$G$4="FO",'2025'!$G$2=BA119),'2025DATA'!$J$22,"")</f>
        <v/>
      </c>
      <c r="BB139" s="518" t="str">
        <f>IF(AND(_A3="B-737-900",'2025'!$G$4="FO",'2025'!$G$2=BB119),'2025DATA'!$K$22,"")</f>
        <v/>
      </c>
      <c r="BC139" s="518" t="str">
        <f>IF(AND(_A3="B-737-900",'2025'!$G$4="FO",'2025'!$G$2=BC119),'2025DATA'!$L$22,"")</f>
        <v/>
      </c>
      <c r="BD139" s="518" t="str">
        <f>IF(AND(_A3="B-737-900",'2025'!$G$4="FO",'2025'!$G$2=BD119),'2025DATA'!$M$22,"")</f>
        <v/>
      </c>
      <c r="BE139" s="520" t="str">
        <f>IF(AND(_A3="B-737-900",'2025'!$G$4="FO",'2025'!$G$2=BE119),'2025DATA'!$N$22,"")</f>
        <v/>
      </c>
      <c r="BF139" s="940"/>
      <c r="BG139" s="13" t="s">
        <v>62</v>
      </c>
      <c r="BH139" s="518" t="str">
        <f>IF(AND(_A4="B-737-900",'2025'!$G$4="FO",'2025'!$G$2=BH119),'2025DATA'!$C$22,"")</f>
        <v/>
      </c>
      <c r="BI139" s="518" t="str">
        <f>IF(AND(_A4="B-737-900",'2025'!$G$4="FO",'2025'!$G$2=BI119),'2025DATA'!$D$22,"")</f>
        <v/>
      </c>
      <c r="BJ139" s="518" t="str">
        <f>IF(AND(_A4="B-737-900",'2025'!$G$4="FO",'2025'!$G$2=BJ119),'2025DATA'!$E$22,"")</f>
        <v/>
      </c>
      <c r="BK139" s="518" t="str">
        <f>IF(AND(_A4="B-737-900",'2025'!$G$4="FO",'2025'!$G$2=BK119),'2025DATA'!$F$22,"")</f>
        <v/>
      </c>
      <c r="BL139" s="518" t="str">
        <f>IF(AND(_A4="B-737-900",'2025'!$G$4="FO",'2025'!$G$2=BL119),'2025DATA'!$G$22,"")</f>
        <v/>
      </c>
      <c r="BM139" s="518" t="str">
        <f>IF(AND(_A4="B-737-900",'2025'!$G$4="FO",'2025'!$G$2=BM119),'2025DATA'!$H$22,"")</f>
        <v/>
      </c>
      <c r="BN139" s="518" t="str">
        <f>IF(AND(_A4="B-737-900",'2025'!$G$4="FO",'2025'!$G$2=BN119),'2025DATA'!$I$22,"")</f>
        <v/>
      </c>
      <c r="BO139" s="518" t="str">
        <f>IF(AND(_A4="B-737-900",'2025'!$G$4="FO",'2025'!$G$2=BO119),'2025DATA'!$J$22,"")</f>
        <v/>
      </c>
      <c r="BP139" s="518" t="str">
        <f>IF(AND(_A4="B-737-900",'2025'!$G$4="FO",'2025'!$G$2=BP119),'2025DATA'!$K$22,"")</f>
        <v/>
      </c>
      <c r="BQ139" s="518" t="str">
        <f>IF(AND(_A4="B-737-900",'2025'!$G$4="FO",'2025'!$G$2=BQ119),'2025DATA'!$L$22,"")</f>
        <v/>
      </c>
      <c r="BR139" s="518" t="str">
        <f>IF(AND(_A4="B-737-900",'2025'!$G$4="FO",'2025'!$G$2=BR119),'2025DATA'!$M$22,"")</f>
        <v/>
      </c>
      <c r="BS139" s="520" t="str">
        <f>IF(AND(_A4="B-737-900",'2025'!$G$4="FO",'2025'!$G$2=BS119),'2025DATA'!$N$22,"")</f>
        <v/>
      </c>
      <c r="BT139" s="940"/>
      <c r="BU139" s="13" t="s">
        <v>62</v>
      </c>
      <c r="BV139" s="518" t="str">
        <f>IF(AND(_A5="B-737-900",'2025'!$G$4="FO",'2025'!$G$2=BV119),'2025DATA'!$C$22,"")</f>
        <v/>
      </c>
      <c r="BW139" s="518" t="str">
        <f>IF(AND(_A5="B-737-900",'2025'!$G$4="FO",'2025'!$G$2=BW119),'2025DATA'!$D$22,"")</f>
        <v/>
      </c>
      <c r="BX139" s="518" t="str">
        <f>IF(AND(_A5="B-737-900",'2025'!$G$4="FO",'2025'!$G$2=BX119),'2025DATA'!$E$22,"")</f>
        <v/>
      </c>
      <c r="BY139" s="518" t="str">
        <f>IF(AND(_A5="B-737-900",'2025'!$G$4="FO",'2025'!$G$2=BY119),'2025DATA'!$F$22,"")</f>
        <v/>
      </c>
      <c r="BZ139" s="518" t="str">
        <f>IF(AND(_A5="B-737-900",'2025'!$G$4="FO",'2025'!$G$2=BZ119),'2025DATA'!$G$22,"")</f>
        <v/>
      </c>
      <c r="CA139" s="518" t="str">
        <f>IF(AND(_A5="B-737-900",'2025'!$G$4="FO",'2025'!$G$2=CA119),'2025DATA'!$H$22,"")</f>
        <v/>
      </c>
      <c r="CB139" s="518" t="str">
        <f>IF(AND(_A5="B-737-900",'2025'!$G$4="FO",'2025'!$G$2=CB119),'2025DATA'!$I$22,"")</f>
        <v/>
      </c>
      <c r="CC139" s="518" t="str">
        <f>IF(AND(_A5="B-737-900",'2025'!$G$4="FO",'2025'!$G$2=CC119),'2025DATA'!$J$22,"")</f>
        <v/>
      </c>
      <c r="CD139" s="518" t="str">
        <f>IF(AND(_A5="B-737-900",'2025'!$G$4="FO",'2025'!$G$2=CD119),'2025DATA'!$K$22,"")</f>
        <v/>
      </c>
      <c r="CE139" s="518" t="str">
        <f>IF(AND(_A5="B-737-900",'2025'!$G$4="FO",'2025'!$G$2=CE119),'2025DATA'!$L$22,"")</f>
        <v/>
      </c>
      <c r="CF139" s="518" t="str">
        <f>IF(AND(_A5="B-737-900",'2025'!$G$4="FO",'2025'!$G$2=CF119),'2025DATA'!$M$22,"")</f>
        <v/>
      </c>
      <c r="CG139" s="520" t="str">
        <f>IF(AND(_A5="B-737-900",'2025'!$G$4="FO",'2025'!$G$2=CG119),'2025DATA'!$N$22,"")</f>
        <v/>
      </c>
      <c r="CH139" s="940"/>
      <c r="CI139" s="13" t="s">
        <v>62</v>
      </c>
      <c r="CJ139" s="518" t="str">
        <f>IF(AND(_A6="B-737-900",'2025'!$G$4="FO",'2025'!$G$2=CJ119),'2025DATA'!$C$22,"")</f>
        <v/>
      </c>
      <c r="CK139" s="518" t="str">
        <f>IF(AND(_A6="B-737-900",'2025'!$G$4="FO",'2025'!$G$2=CK119),'2025DATA'!$D$22,"")</f>
        <v/>
      </c>
      <c r="CL139" s="518" t="str">
        <f>IF(AND(_A6="B-737-900",'2025'!$G$4="FO",'2025'!$G$2=CL119),'2025DATA'!$E$22,"")</f>
        <v/>
      </c>
      <c r="CM139" s="518" t="str">
        <f>IF(AND(_A6="B-737-900",'2025'!$G$4="FO",'2025'!$G$2=CM119),'2025DATA'!$F$22,"")</f>
        <v/>
      </c>
      <c r="CN139" s="518" t="str">
        <f>IF(AND(_A6="B-737-900",'2025'!$G$4="FO",'2025'!$G$2=CN119),'2025DATA'!$G$22,"")</f>
        <v/>
      </c>
      <c r="CO139" s="518" t="str">
        <f>IF(AND(_A6="B-737-900",'2025'!$G$4="FO",'2025'!$G$2=CO119),'2025DATA'!$H$22,"")</f>
        <v/>
      </c>
      <c r="CP139" s="518" t="str">
        <f>IF(AND(_A6="B-737-900",'2025'!$G$4="FO",'2025'!$G$2=CP119),'2025DATA'!$I$22,"")</f>
        <v/>
      </c>
      <c r="CQ139" s="518" t="str">
        <f>IF(AND(_A6="B-737-900",'2025'!$G$4="FO",'2025'!$G$2=CQ119),'2025DATA'!$J$22,"")</f>
        <v/>
      </c>
      <c r="CR139" s="518" t="str">
        <f>IF(AND(_A6="B-737-900",'2025'!$G$4="FO",'2025'!$G$2=CR119),'2025DATA'!$K$22,"")</f>
        <v/>
      </c>
      <c r="CS139" s="518" t="str">
        <f>IF(AND(_A6="B-737-900",'2025'!$G$4="FO",'2025'!$G$2=CS119),'2025DATA'!$L$22,"")</f>
        <v/>
      </c>
      <c r="CT139" s="518" t="str">
        <f>IF(AND(_A6="B-737-900",'2025'!$G$4="FO",'2025'!$G$2=CT119),'2025DATA'!$M$22,"")</f>
        <v/>
      </c>
      <c r="CU139" s="520" t="str">
        <f>IF(AND(_A6="B-737-900",'2025'!$G$4="FO",'2025'!$G$2=CU119),'2025DATA'!$N$22,"")</f>
        <v/>
      </c>
    </row>
    <row r="140" spans="16:99" x14ac:dyDescent="0.25">
      <c r="P140" s="940" t="s">
        <v>69</v>
      </c>
      <c r="Q140" s="13" t="s">
        <v>61</v>
      </c>
      <c r="R140" s="518" t="str">
        <f>IF(AND(_A1="B-737-800",'2025'!$G$4="CA",'2025'!$G$2=R119),'2025DATA'!$C$23,"")</f>
        <v/>
      </c>
      <c r="S140" s="518" t="str">
        <f>IF(AND(_A1="B-737-800",'2025'!$G$4="CA",'2025'!$G$2=S119),'2025DATA'!$D$23,"")</f>
        <v/>
      </c>
      <c r="T140" s="518" t="str">
        <f>IF(AND(_A1="B-737-800",'2025'!$G$4="CA",'2025'!$G$2=T119),'2025DATA'!$E$23,"")</f>
        <v/>
      </c>
      <c r="U140" s="518" t="str">
        <f>IF(AND(_A1="B-737-800",'2025'!$G$4="CA",'2025'!$G$2=U119),'2025DATA'!$F$23,"")</f>
        <v/>
      </c>
      <c r="V140" s="518" t="str">
        <f>IF(AND(_A1="B-737-800",'2025'!$G$4="CA",'2025'!$G$2=V119),'2025DATA'!$G$23,"")</f>
        <v/>
      </c>
      <c r="W140" s="518" t="str">
        <f>IF(AND(_A1="B-737-800",'2025'!$G$4="CA",'2025'!$G$2=W119),'2025DATA'!$H$23,"")</f>
        <v/>
      </c>
      <c r="X140" s="518" t="str">
        <f>IF(AND(_A1="B-737-800",'2025'!$G$4="CA",'2025'!$G$2=X119),'2025DATA'!$I$23,"")</f>
        <v/>
      </c>
      <c r="Y140" s="518" t="str">
        <f>IF(AND(_A1="B-737-800",'2025'!$G$4="CA",'2025'!$G$2=Y119),'2025DATA'!$J$23,"")</f>
        <v/>
      </c>
      <c r="Z140" s="518" t="str">
        <f>IF(AND(_A1="B-737-800",'2025'!$G$4="CA",'2025'!$G$2=Z119),'2025DATA'!$K$23,"")</f>
        <v/>
      </c>
      <c r="AA140" s="518" t="str">
        <f>IF(AND(_A1="B-737-800",'2025'!$G$4="CA",'2025'!$G$2=AA119),'2025DATA'!$L$23,"")</f>
        <v/>
      </c>
      <c r="AB140" s="518" t="str">
        <f>IF(AND(_A1="B-737-800",'2025'!$G$4="CA",'2025'!$G$2=AB119),'2025DATA'!$M$23,"")</f>
        <v/>
      </c>
      <c r="AC140" s="520" t="str">
        <f>IF(AND(_A1="B-737-800",'2025'!$G$4="CA",'2025'!$G$2=AC119),'2025DATA'!$N$23,"")</f>
        <v/>
      </c>
      <c r="AD140" s="940" t="s">
        <v>69</v>
      </c>
      <c r="AE140" s="13" t="s">
        <v>61</v>
      </c>
      <c r="AF140" s="518" t="str">
        <f>IF(AND(_A2="B-737-800",'2025'!$G$4="CA",'2025'!$G$2=AF119),'2025DATA'!$C$23,"")</f>
        <v/>
      </c>
      <c r="AG140" s="518" t="str">
        <f>IF(AND(_A2="B-737-800",'2025'!$G$4="CA",'2025'!$G$2=AG119),'2025DATA'!$D$23,"")</f>
        <v/>
      </c>
      <c r="AH140" s="518" t="str">
        <f>IF(AND(_A2="B-737-800",'2025'!$G$4="CA",'2025'!$G$2=AH119),'2025DATA'!$E$23,"")</f>
        <v/>
      </c>
      <c r="AI140" s="518" t="str">
        <f>IF(AND(_A2="B-737-800",'2025'!$G$4="CA",'2025'!$G$2=AI119),'2025DATA'!$F$23,"")</f>
        <v/>
      </c>
      <c r="AJ140" s="518" t="str">
        <f>IF(AND(_A2="B-737-800",'2025'!$G$4="CA",'2025'!$G$2=AJ119),'2025DATA'!$G$23,"")</f>
        <v/>
      </c>
      <c r="AK140" s="518" t="str">
        <f>IF(AND(_A2="B-737-800",'2025'!$G$4="CA",'2025'!$G$2=AK119),'2025DATA'!$H$23,"")</f>
        <v/>
      </c>
      <c r="AL140" s="518" t="str">
        <f>IF(AND(_A2="B-737-800",'2025'!$G$4="CA",'2025'!$G$2=AL119),'2025DATA'!$I$23,"")</f>
        <v/>
      </c>
      <c r="AM140" s="518" t="str">
        <f>IF(AND(_A2="B-737-800",'2025'!$G$4="CA",'2025'!$G$2=AM119),'2025DATA'!$J$23,"")</f>
        <v/>
      </c>
      <c r="AN140" s="518" t="str">
        <f>IF(AND(_A2="B-737-800",'2025'!$G$4="CA",'2025'!$G$2=AN119),'2025DATA'!$K$23,"")</f>
        <v/>
      </c>
      <c r="AO140" s="518" t="str">
        <f>IF(AND(_A2="B-737-800",'2025'!$G$4="CA",'2025'!$G$2=AO119),'2025DATA'!$L$23,"")</f>
        <v/>
      </c>
      <c r="AP140" s="518" t="str">
        <f>IF(AND(_A2="B-737-800",'2025'!$G$4="CA",'2025'!$G$2=AP119),'2025DATA'!$M$23,"")</f>
        <v/>
      </c>
      <c r="AQ140" s="520" t="str">
        <f>IF(AND(_A2="B-737-800",'2025'!$G$4="CA",'2025'!$G$2=AQ119),'2025DATA'!$N$23,"")</f>
        <v/>
      </c>
      <c r="AR140" s="940" t="s">
        <v>69</v>
      </c>
      <c r="AS140" s="13" t="s">
        <v>61</v>
      </c>
      <c r="AT140" s="518" t="str">
        <f>IF(AND(_A3="B-737-800",'2025'!$G$4="CA",'2025'!$G$2=AT119),'2025DATA'!$C$23,"")</f>
        <v/>
      </c>
      <c r="AU140" s="518" t="str">
        <f>IF(AND(_A3="B-737-800",'2025'!$G$4="CA",'2025'!$G$2=AU119),'2025DATA'!$D$23,"")</f>
        <v/>
      </c>
      <c r="AV140" s="518" t="str">
        <f>IF(AND(_A3="B-737-800",'2025'!$G$4="CA",'2025'!$G$2=AV119),'2025DATA'!$E$23,"")</f>
        <v/>
      </c>
      <c r="AW140" s="518" t="str">
        <f>IF(AND(_A3="B-737-800",'2025'!$G$4="CA",'2025'!$G$2=AW119),'2025DATA'!$F$23,"")</f>
        <v/>
      </c>
      <c r="AX140" s="518" t="str">
        <f>IF(AND(_A3="B-737-800",'2025'!$G$4="CA",'2025'!$G$2=AX119),'2025DATA'!$G$23,"")</f>
        <v/>
      </c>
      <c r="AY140" s="518" t="str">
        <f>IF(AND(_A3="B-737-800",'2025'!$G$4="CA",'2025'!$G$2=AY119),'2025DATA'!$H$23,"")</f>
        <v/>
      </c>
      <c r="AZ140" s="518" t="str">
        <f>IF(AND(_A3="B-737-800",'2025'!$G$4="CA",'2025'!$G$2=AZ119),'2025DATA'!$I$23,"")</f>
        <v/>
      </c>
      <c r="BA140" s="518" t="str">
        <f>IF(AND(_A3="B-737-800",'2025'!$G$4="CA",'2025'!$G$2=BA119),'2025DATA'!$J$23,"")</f>
        <v/>
      </c>
      <c r="BB140" s="518" t="str">
        <f>IF(AND(_A3="B-737-800",'2025'!$G$4="CA",'2025'!$G$2=BB119),'2025DATA'!$K$23,"")</f>
        <v/>
      </c>
      <c r="BC140" s="518" t="str">
        <f>IF(AND(_A3="B-737-800",'2025'!$G$4="CA",'2025'!$G$2=BC119),'2025DATA'!$L$23,"")</f>
        <v/>
      </c>
      <c r="BD140" s="518" t="str">
        <f>IF(AND(_A3="B-737-800",'2025'!$G$4="CA",'2025'!$G$2=BD119),'2025DATA'!$M$23,"")</f>
        <v/>
      </c>
      <c r="BE140" s="520" t="str">
        <f>IF(AND(_A3="B-737-800",'2025'!$G$4="CA",'2025'!$G$2=BE119),'2025DATA'!$N$23,"")</f>
        <v/>
      </c>
      <c r="BF140" s="940" t="s">
        <v>69</v>
      </c>
      <c r="BG140" s="13" t="s">
        <v>61</v>
      </c>
      <c r="BH140" s="518" t="str">
        <f>IF(AND(_A4="B-737-800",'2025'!$G$4="CA",'2025'!$G$2=BH119),'2025DATA'!$C$23,"")</f>
        <v/>
      </c>
      <c r="BI140" s="518" t="str">
        <f>IF(AND(_A4="B-737-800",'2025'!$G$4="CA",'2025'!$G$2=BI119),'2025DATA'!$D$23,"")</f>
        <v/>
      </c>
      <c r="BJ140" s="518" t="str">
        <f>IF(AND(_A4="B-737-800",'2025'!$G$4="CA",'2025'!$G$2=BJ119),'2025DATA'!$E$23,"")</f>
        <v/>
      </c>
      <c r="BK140" s="518" t="str">
        <f>IF(AND(_A4="B-737-800",'2025'!$G$4="CA",'2025'!$G$2=BK119),'2025DATA'!$F$23,"")</f>
        <v/>
      </c>
      <c r="BL140" s="518" t="str">
        <f>IF(AND(_A4="B-737-800",'2025'!$G$4="CA",'2025'!$G$2=BL119),'2025DATA'!$G$23,"")</f>
        <v/>
      </c>
      <c r="BM140" s="518" t="str">
        <f>IF(AND(_A4="B-737-800",'2025'!$G$4="CA",'2025'!$G$2=BM119),'2025DATA'!$H$23,"")</f>
        <v/>
      </c>
      <c r="BN140" s="518" t="str">
        <f>IF(AND(_A4="B-737-800",'2025'!$G$4="CA",'2025'!$G$2=BN119),'2025DATA'!$I$23,"")</f>
        <v/>
      </c>
      <c r="BO140" s="518" t="str">
        <f>IF(AND(_A4="B-737-800",'2025'!$G$4="CA",'2025'!$G$2=BO119),'2025DATA'!$J$23,"")</f>
        <v/>
      </c>
      <c r="BP140" s="518" t="str">
        <f>IF(AND(_A4="B-737-800",'2025'!$G$4="CA",'2025'!$G$2=BP119),'2025DATA'!$K$23,"")</f>
        <v/>
      </c>
      <c r="BQ140" s="518" t="str">
        <f>IF(AND(_A4="B-737-800",'2025'!$G$4="CA",'2025'!$G$2=BQ119),'2025DATA'!$L$23,"")</f>
        <v/>
      </c>
      <c r="BR140" s="518" t="str">
        <f>IF(AND(_A4="B-737-800",'2025'!$G$4="CA",'2025'!$G$2=BR119),'2025DATA'!$M$23,"")</f>
        <v/>
      </c>
      <c r="BS140" s="520" t="str">
        <f>IF(AND(_A4="B-737-800",'2025'!$G$4="CA",'2025'!$G$2=BS119),'2025DATA'!$N$23,"")</f>
        <v/>
      </c>
      <c r="BT140" s="940" t="s">
        <v>69</v>
      </c>
      <c r="BU140" s="13" t="s">
        <v>61</v>
      </c>
      <c r="BV140" s="518" t="str">
        <f>IF(AND(_A5="B-737-800",'2025'!$G$4="CA",'2025'!$G$2=BV119),'2025DATA'!$C$23,"")</f>
        <v/>
      </c>
      <c r="BW140" s="518" t="str">
        <f>IF(AND(_A5="B-737-800",'2025'!$G$4="CA",'2025'!$G$2=BW119),'2025DATA'!$D$23,"")</f>
        <v/>
      </c>
      <c r="BX140" s="518" t="str">
        <f>IF(AND(_A5="B-737-800",'2025'!$G$4="CA",'2025'!$G$2=BX119),'2025DATA'!$E$23,"")</f>
        <v/>
      </c>
      <c r="BY140" s="518" t="str">
        <f>IF(AND(_A5="B-737-800",'2025'!$G$4="CA",'2025'!$G$2=BY119),'2025DATA'!$F$23,"")</f>
        <v/>
      </c>
      <c r="BZ140" s="518" t="str">
        <f>IF(AND(_A5="B-737-800",'2025'!$G$4="CA",'2025'!$G$2=BZ119),'2025DATA'!$G$23,"")</f>
        <v/>
      </c>
      <c r="CA140" s="518" t="str">
        <f>IF(AND(_A5="B-737-800",'2025'!$G$4="CA",'2025'!$G$2=CA119),'2025DATA'!$H$23,"")</f>
        <v/>
      </c>
      <c r="CB140" s="518" t="str">
        <f>IF(AND(_A5="B-737-800",'2025'!$G$4="CA",'2025'!$G$2=CB119),'2025DATA'!$I$23,"")</f>
        <v/>
      </c>
      <c r="CC140" s="518" t="str">
        <f>IF(AND(_A5="B-737-800",'2025'!$G$4="CA",'2025'!$G$2=CC119),'2025DATA'!$J$23,"")</f>
        <v/>
      </c>
      <c r="CD140" s="518" t="str">
        <f>IF(AND(_A5="B-737-800",'2025'!$G$4="CA",'2025'!$G$2=CD119),'2025DATA'!$K$23,"")</f>
        <v/>
      </c>
      <c r="CE140" s="518" t="str">
        <f>IF(AND(_A5="B-737-800",'2025'!$G$4="CA",'2025'!$G$2=CE119),'2025DATA'!$L$23,"")</f>
        <v/>
      </c>
      <c r="CF140" s="518" t="str">
        <f>IF(AND(_A5="B-737-800",'2025'!$G$4="CA",'2025'!$G$2=CF119),'2025DATA'!$M$23,"")</f>
        <v/>
      </c>
      <c r="CG140" s="520" t="str">
        <f>IF(AND(_A5="B-737-800",'2025'!$G$4="CA",'2025'!$G$2=CG119),'2025DATA'!$N$23,"")</f>
        <v/>
      </c>
      <c r="CH140" s="940" t="s">
        <v>69</v>
      </c>
      <c r="CI140" s="13" t="s">
        <v>61</v>
      </c>
      <c r="CJ140" s="518" t="str">
        <f>IF(AND(_A6="B-737-800",'2025'!$G$4="CA",'2025'!$G$2=CJ119),'2025DATA'!$C$23,"")</f>
        <v/>
      </c>
      <c r="CK140" s="518" t="str">
        <f>IF(AND(_A6="B-737-800",'2025'!$G$4="CA",'2025'!$G$2=CK119),'2025DATA'!$D$23,"")</f>
        <v/>
      </c>
      <c r="CL140" s="518" t="str">
        <f>IF(AND(_A6="B-737-800",'2025'!$G$4="CA",'2025'!$G$2=CL119),'2025DATA'!$E$23,"")</f>
        <v/>
      </c>
      <c r="CM140" s="518" t="str">
        <f>IF(AND(_A6="B-737-800",'2025'!$G$4="CA",'2025'!$G$2=CM119),'2025DATA'!$F$23,"")</f>
        <v/>
      </c>
      <c r="CN140" s="518" t="str">
        <f>IF(AND(_A6="B-737-800",'2025'!$G$4="CA",'2025'!$G$2=CN119),'2025DATA'!$G$23,"")</f>
        <v/>
      </c>
      <c r="CO140" s="518" t="str">
        <f>IF(AND(_A6="B-737-800",'2025'!$G$4="CA",'2025'!$G$2=CO119),'2025DATA'!$H$23,"")</f>
        <v/>
      </c>
      <c r="CP140" s="518" t="str">
        <f>IF(AND(_A6="B-737-800",'2025'!$G$4="CA",'2025'!$G$2=CP119),'2025DATA'!$I$23,"")</f>
        <v/>
      </c>
      <c r="CQ140" s="518" t="str">
        <f>IF(AND(_A6="B-737-800",'2025'!$G$4="CA",'2025'!$G$2=CQ119),'2025DATA'!$J$23,"")</f>
        <v/>
      </c>
      <c r="CR140" s="518" t="str">
        <f>IF(AND(_A6="B-737-800",'2025'!$G$4="CA",'2025'!$G$2=CR119),'2025DATA'!$K$23,"")</f>
        <v/>
      </c>
      <c r="CS140" s="518" t="str">
        <f>IF(AND(_A6="B-737-800",'2025'!$G$4="CA",'2025'!$G$2=CS119),'2025DATA'!$L$23,"")</f>
        <v/>
      </c>
      <c r="CT140" s="518" t="str">
        <f>IF(AND(_A6="B-737-800",'2025'!$G$4="CA",'2025'!$G$2=CT119),'2025DATA'!$M$23,"")</f>
        <v/>
      </c>
      <c r="CU140" s="520" t="str">
        <f>IF(AND(_A6="B-737-800",'2025'!$G$4="CA",'2025'!$G$2=CU119),'2025DATA'!$N$23,"")</f>
        <v/>
      </c>
    </row>
    <row r="141" spans="16:99" x14ac:dyDescent="0.25">
      <c r="P141" s="940"/>
      <c r="Q141" s="13" t="s">
        <v>62</v>
      </c>
      <c r="R141" s="518" t="str">
        <f>IF(AND(_A1="B-737-800",'2025'!$G$4="FO",'2025'!$G$2=R119),'2025DATA'!$C$24,"")</f>
        <v/>
      </c>
      <c r="S141" s="518" t="str">
        <f>IF(AND(_A1="B-737-800",'2025'!$G$4="FO",'2025'!$G$2=S119),'2025DATA'!$D$24,"")</f>
        <v/>
      </c>
      <c r="T141" s="518" t="str">
        <f>IF(AND(_A1="B-737-800",'2025'!$G$4="FO",'2025'!$G$2=T119),'2025DATA'!$E$24,"")</f>
        <v/>
      </c>
      <c r="U141" s="518" t="str">
        <f>IF(AND(_A1="B-737-800",'2025'!$G$4="FO",'2025'!$G$2=U119),'2025DATA'!$F$24,"")</f>
        <v/>
      </c>
      <c r="V141" s="518" t="str">
        <f>IF(AND(_A1="B-737-800",'2025'!$G$4="FO",'2025'!$G$2=V119),'2025DATA'!$G$24,"")</f>
        <v/>
      </c>
      <c r="W141" s="518" t="str">
        <f>IF(AND(_A1="B-737-800",'2025'!$G$4="FO",'2025'!$G$2=W119),'2025DATA'!$H$24,"")</f>
        <v/>
      </c>
      <c r="X141" s="518" t="str">
        <f>IF(AND(_A1="B-737-800",'2025'!$G$4="FO",'2025'!$G$2=X119),'2025DATA'!$I$24,"")</f>
        <v/>
      </c>
      <c r="Y141" s="518" t="str">
        <f>IF(AND(_A1="B-737-800",'2025'!$G$4="FO",'2025'!$G$2=Y119),'2025DATA'!$J$24,"")</f>
        <v/>
      </c>
      <c r="Z141" s="518" t="str">
        <f>IF(AND(_A1="B-737-800",'2025'!$G$4="FO",'2025'!$G$2=Z119),'2025DATA'!$K$24,"")</f>
        <v/>
      </c>
      <c r="AA141" s="518" t="str">
        <f>IF(AND(_A1="B-737-800",'2025'!$G$4="FO",'2025'!$G$2=AA119),'2025DATA'!$L$24,"")</f>
        <v/>
      </c>
      <c r="AB141" s="518" t="str">
        <f>IF(AND(_A1="B-737-800",'2025'!$G$4="FO",'2025'!$G$2=AB119),'2025DATA'!$M$24,"")</f>
        <v/>
      </c>
      <c r="AC141" s="520" t="str">
        <f>IF(AND(_A1="B-737-800",'2025'!$G$4="FO",'2025'!$G$2=AC119),'2025DATA'!$N$24,"")</f>
        <v/>
      </c>
      <c r="AD141" s="940"/>
      <c r="AE141" s="13" t="s">
        <v>62</v>
      </c>
      <c r="AF141" s="518" t="str">
        <f>IF(AND(_A2="B-737-800",'2025'!$G$4="FO",'2025'!$G$2=AF119),'2025DATA'!$C$24,"")</f>
        <v/>
      </c>
      <c r="AG141" s="518" t="str">
        <f>IF(AND(_A2="B-737-800",'2025'!$G$4="FO",'2025'!$G$2=AG119),'2025DATA'!$D$24,"")</f>
        <v/>
      </c>
      <c r="AH141" s="518" t="str">
        <f>IF(AND(_A2="B-737-800",'2025'!$G$4="FO",'2025'!$G$2=AH119),'2025DATA'!$E$24,"")</f>
        <v/>
      </c>
      <c r="AI141" s="518" t="str">
        <f>IF(AND(_A2="B-737-800",'2025'!$G$4="FO",'2025'!$G$2=AI119),'2025DATA'!$F$24,"")</f>
        <v/>
      </c>
      <c r="AJ141" s="518" t="str">
        <f>IF(AND(_A2="B-737-800",'2025'!$G$4="FO",'2025'!$G$2=AJ119),'2025DATA'!$G$24,"")</f>
        <v/>
      </c>
      <c r="AK141" s="518" t="str">
        <f>IF(AND(_A2="B-737-800",'2025'!$G$4="FO",'2025'!$G$2=AK119),'2025DATA'!$H$24,"")</f>
        <v/>
      </c>
      <c r="AL141" s="518" t="str">
        <f>IF(AND(_A2="B-737-800",'2025'!$G$4="FO",'2025'!$G$2=AL119),'2025DATA'!$I$24,"")</f>
        <v/>
      </c>
      <c r="AM141" s="518" t="str">
        <f>IF(AND(_A2="B-737-800",'2025'!$G$4="FO",'2025'!$G$2=AM119),'2025DATA'!$J$24,"")</f>
        <v/>
      </c>
      <c r="AN141" s="518" t="str">
        <f>IF(AND(_A2="B-737-800",'2025'!$G$4="FO",'2025'!$G$2=AN119),'2025DATA'!$K$24,"")</f>
        <v/>
      </c>
      <c r="AO141" s="518" t="str">
        <f>IF(AND(_A2="B-737-800",'2025'!$G$4="FO",'2025'!$G$2=AO119),'2025DATA'!$L$24,"")</f>
        <v/>
      </c>
      <c r="AP141" s="518" t="str">
        <f>IF(AND(_A2="B-737-800",'2025'!$G$4="FO",'2025'!$G$2=AP119),'2025DATA'!$M$24,"")</f>
        <v/>
      </c>
      <c r="AQ141" s="520" t="str">
        <f>IF(AND(_A2="B-737-800",'2025'!$G$4="FO",'2025'!$G$2=AQ119),'2025DATA'!$N$24,"")</f>
        <v/>
      </c>
      <c r="AR141" s="940"/>
      <c r="AS141" s="13" t="s">
        <v>62</v>
      </c>
      <c r="AT141" s="518" t="str">
        <f>IF(AND(_A3="B-737-800",'2025'!$G$4="FO",'2025'!$G$2=AT119),'2025DATA'!$C$24,"")</f>
        <v/>
      </c>
      <c r="AU141" s="518" t="str">
        <f>IF(AND(_A3="B-737-800",'2025'!$G$4="FO",'2025'!$G$2=AU119),'2025DATA'!$D$24,"")</f>
        <v/>
      </c>
      <c r="AV141" s="518" t="str">
        <f>IF(AND(_A3="B-737-800",'2025'!$G$4="FO",'2025'!$G$2=AV119),'2025DATA'!$E$24,"")</f>
        <v/>
      </c>
      <c r="AW141" s="518" t="str">
        <f>IF(AND(_A3="B-737-800",'2025'!$G$4="FO",'2025'!$G$2=AW119),'2025DATA'!$F$24,"")</f>
        <v/>
      </c>
      <c r="AX141" s="518" t="str">
        <f>IF(AND(_A3="B-737-800",'2025'!$G$4="FO",'2025'!$G$2=AX119),'2025DATA'!$G$24,"")</f>
        <v/>
      </c>
      <c r="AY141" s="518" t="str">
        <f>IF(AND(_A3="B-737-800",'2025'!$G$4="FO",'2025'!$G$2=AY119),'2025DATA'!$H$24,"")</f>
        <v/>
      </c>
      <c r="AZ141" s="518" t="str">
        <f>IF(AND(_A3="B-737-800",'2025'!$G$4="FO",'2025'!$G$2=AZ119),'2025DATA'!$I$24,"")</f>
        <v/>
      </c>
      <c r="BA141" s="518" t="str">
        <f>IF(AND(_A3="B-737-800",'2025'!$G$4="FO",'2025'!$G$2=BA119),'2025DATA'!$J$24,"")</f>
        <v/>
      </c>
      <c r="BB141" s="518" t="str">
        <f>IF(AND(_A3="B-737-800",'2025'!$G$4="FO",'2025'!$G$2=BB119),'2025DATA'!$K$24,"")</f>
        <v/>
      </c>
      <c r="BC141" s="518" t="str">
        <f>IF(AND(_A3="B-737-800",'2025'!$G$4="FO",'2025'!$G$2=BC119),'2025DATA'!$L$24,"")</f>
        <v/>
      </c>
      <c r="BD141" s="518" t="str">
        <f>IF(AND(_A3="B-737-800",'2025'!$G$4="FO",'2025'!$G$2=BD119),'2025DATA'!$M$24,"")</f>
        <v/>
      </c>
      <c r="BE141" s="520" t="str">
        <f>IF(AND(_A3="B-737-800",'2025'!$G$4="FO",'2025'!$G$2=BE119),'2025DATA'!$N$24,"")</f>
        <v/>
      </c>
      <c r="BF141" s="940"/>
      <c r="BG141" s="13" t="s">
        <v>62</v>
      </c>
      <c r="BH141" s="518" t="str">
        <f>IF(AND(_A4="B-737-800",'2025'!$G$4="FO",'2025'!$G$2=BH119),'2025DATA'!$C$24,"")</f>
        <v/>
      </c>
      <c r="BI141" s="518" t="str">
        <f>IF(AND(_A4="B-737-800",'2025'!$G$4="FO",'2025'!$G$2=BI119),'2025DATA'!$D$24,"")</f>
        <v/>
      </c>
      <c r="BJ141" s="518" t="str">
        <f>IF(AND(_A4="B-737-800",'2025'!$G$4="FO",'2025'!$G$2=BJ119),'2025DATA'!$E$24,"")</f>
        <v/>
      </c>
      <c r="BK141" s="518" t="str">
        <f>IF(AND(_A4="B-737-800",'2025'!$G$4="FO",'2025'!$G$2=BK119),'2025DATA'!$F$24,"")</f>
        <v/>
      </c>
      <c r="BL141" s="518" t="str">
        <f>IF(AND(_A4="B-737-800",'2025'!$G$4="FO",'2025'!$G$2=BL119),'2025DATA'!$G$24,"")</f>
        <v/>
      </c>
      <c r="BM141" s="518" t="str">
        <f>IF(AND(_A4="B-737-800",'2025'!$G$4="FO",'2025'!$G$2=BM119),'2025DATA'!$H$24,"")</f>
        <v/>
      </c>
      <c r="BN141" s="518" t="str">
        <f>IF(AND(_A4="B-737-800",'2025'!$G$4="FO",'2025'!$G$2=BN119),'2025DATA'!$I$24,"")</f>
        <v/>
      </c>
      <c r="BO141" s="518" t="str">
        <f>IF(AND(_A4="B-737-800",'2025'!$G$4="FO",'2025'!$G$2=BO119),'2025DATA'!$J$24,"")</f>
        <v/>
      </c>
      <c r="BP141" s="518" t="str">
        <f>IF(AND(_A4="B-737-800",'2025'!$G$4="FO",'2025'!$G$2=BP119),'2025DATA'!$K$24,"")</f>
        <v/>
      </c>
      <c r="BQ141" s="518" t="str">
        <f>IF(AND(_A4="B-737-800",'2025'!$G$4="FO",'2025'!$G$2=BQ119),'2025DATA'!$L$24,"")</f>
        <v/>
      </c>
      <c r="BR141" s="518" t="str">
        <f>IF(AND(_A4="B-737-800",'2025'!$G$4="FO",'2025'!$G$2=BR119),'2025DATA'!$M$24,"")</f>
        <v/>
      </c>
      <c r="BS141" s="520" t="str">
        <f>IF(AND(_A4="B-737-800",'2025'!$G$4="FO",'2025'!$G$2=BS119),'2025DATA'!$N$24,"")</f>
        <v/>
      </c>
      <c r="BT141" s="940"/>
      <c r="BU141" s="13" t="s">
        <v>62</v>
      </c>
      <c r="BV141" s="518" t="str">
        <f>IF(AND(_A5="B-737-800",'2025'!$G$4="FO",'2025'!$G$2=BV119),'2025DATA'!$C$24,"")</f>
        <v/>
      </c>
      <c r="BW141" s="518" t="str">
        <f>IF(AND(_A5="B-737-800",'2025'!$G$4="FO",'2025'!$G$2=BW119),'2025DATA'!$D$24,"")</f>
        <v/>
      </c>
      <c r="BX141" s="518" t="str">
        <f>IF(AND(_A5="B-737-800",'2025'!$G$4="FO",'2025'!$G$2=BX119),'2025DATA'!$E$24,"")</f>
        <v/>
      </c>
      <c r="BY141" s="518" t="str">
        <f>IF(AND(_A5="B-737-800",'2025'!$G$4="FO",'2025'!$G$2=BY119),'2025DATA'!$F$24,"")</f>
        <v/>
      </c>
      <c r="BZ141" s="518" t="str">
        <f>IF(AND(_A5="B-737-800",'2025'!$G$4="FO",'2025'!$G$2=BZ119),'2025DATA'!$G$24,"")</f>
        <v/>
      </c>
      <c r="CA141" s="518" t="str">
        <f>IF(AND(_A5="B-737-800",'2025'!$G$4="FO",'2025'!$G$2=CA119),'2025DATA'!$H$24,"")</f>
        <v/>
      </c>
      <c r="CB141" s="518" t="str">
        <f>IF(AND(_A5="B-737-800",'2025'!$G$4="FO",'2025'!$G$2=CB119),'2025DATA'!$I$24,"")</f>
        <v/>
      </c>
      <c r="CC141" s="518" t="str">
        <f>IF(AND(_A5="B-737-800",'2025'!$G$4="FO",'2025'!$G$2=CC119),'2025DATA'!$J$24,"")</f>
        <v/>
      </c>
      <c r="CD141" s="518" t="str">
        <f>IF(AND(_A5="B-737-800",'2025'!$G$4="FO",'2025'!$G$2=CD119),'2025DATA'!$K$24,"")</f>
        <v/>
      </c>
      <c r="CE141" s="518" t="str">
        <f>IF(AND(_A5="B-737-800",'2025'!$G$4="FO",'2025'!$G$2=CE119),'2025DATA'!$L$24,"")</f>
        <v/>
      </c>
      <c r="CF141" s="518" t="str">
        <f>IF(AND(_A5="B-737-800",'2025'!$G$4="FO",'2025'!$G$2=CF119),'2025DATA'!$M$24,"")</f>
        <v/>
      </c>
      <c r="CG141" s="520" t="str">
        <f>IF(AND(_A5="B-737-800",'2025'!$G$4="FO",'2025'!$G$2=CG119),'2025DATA'!$N$24,"")</f>
        <v/>
      </c>
      <c r="CH141" s="940"/>
      <c r="CI141" s="13" t="s">
        <v>62</v>
      </c>
      <c r="CJ141" s="518" t="str">
        <f>IF(AND(_A6="B-737-800",'2025'!$G$4="FO",'2025'!$G$2=CJ119),'2025DATA'!$C$24,"")</f>
        <v/>
      </c>
      <c r="CK141" s="518" t="str">
        <f>IF(AND(_A6="B-737-800",'2025'!$G$4="FO",'2025'!$G$2=CK119),'2025DATA'!$D$24,"")</f>
        <v/>
      </c>
      <c r="CL141" s="518" t="str">
        <f>IF(AND(_A6="B-737-800",'2025'!$G$4="FO",'2025'!$G$2=CL119),'2025DATA'!$E$24,"")</f>
        <v/>
      </c>
      <c r="CM141" s="518" t="str">
        <f>IF(AND(_A6="B-737-800",'2025'!$G$4="FO",'2025'!$G$2=CM119),'2025DATA'!$F$24,"")</f>
        <v/>
      </c>
      <c r="CN141" s="518" t="str">
        <f>IF(AND(_A6="B-737-800",'2025'!$G$4="FO",'2025'!$G$2=CN119),'2025DATA'!$G$24,"")</f>
        <v/>
      </c>
      <c r="CO141" s="518" t="str">
        <f>IF(AND(_A6="B-737-800",'2025'!$G$4="FO",'2025'!$G$2=CO119),'2025DATA'!$H$24,"")</f>
        <v/>
      </c>
      <c r="CP141" s="518" t="str">
        <f>IF(AND(_A6="B-737-800",'2025'!$G$4="FO",'2025'!$G$2=CP119),'2025DATA'!$I$24,"")</f>
        <v/>
      </c>
      <c r="CQ141" s="518" t="str">
        <f>IF(AND(_A6="B-737-800",'2025'!$G$4="FO",'2025'!$G$2=CQ119),'2025DATA'!$J$24,"")</f>
        <v/>
      </c>
      <c r="CR141" s="518" t="str">
        <f>IF(AND(_A6="B-737-800",'2025'!$G$4="FO",'2025'!$G$2=CR119),'2025DATA'!$K$24,"")</f>
        <v/>
      </c>
      <c r="CS141" s="518" t="str">
        <f>IF(AND(_A6="B-737-800",'2025'!$G$4="FO",'2025'!$G$2=CS119),'2025DATA'!$L$24,"")</f>
        <v/>
      </c>
      <c r="CT141" s="518" t="str">
        <f>IF(AND(_A6="B-737-800",'2025'!$G$4="FO",'2025'!$G$2=CT119),'2025DATA'!$M$24,"")</f>
        <v/>
      </c>
      <c r="CU141" s="520" t="str">
        <f>IF(AND(_A6="B-737-800",'2025'!$G$4="FO",'2025'!$G$2=CU119),'2025DATA'!$N$24,"")</f>
        <v/>
      </c>
    </row>
    <row r="142" spans="16:99" x14ac:dyDescent="0.25">
      <c r="P142" s="940" t="s">
        <v>46</v>
      </c>
      <c r="Q142" s="13" t="s">
        <v>61</v>
      </c>
      <c r="R142" s="518" t="str">
        <f>IF(AND(_A1="A-321N",'2025'!$G$4="CA",'2025'!$G$2=R119),'2025DATA'!$C$25,"")</f>
        <v/>
      </c>
      <c r="S142" s="518" t="str">
        <f>IF(AND(_A1="A-321N",'2025'!$G$4="CA",'2025'!$G$2=S119),'2025DATA'!$D$25,"")</f>
        <v/>
      </c>
      <c r="T142" s="518" t="str">
        <f>IF(AND(_A1="A-321N",'2025'!$G$4="CA",'2025'!$G$2=T119),'2025DATA'!$E$25,"")</f>
        <v/>
      </c>
      <c r="U142" s="518" t="str">
        <f>IF(AND(_A1="A-321N",'2025'!$G$4="CA",'2025'!$G$2=U119),'2025DATA'!$F$25,"")</f>
        <v/>
      </c>
      <c r="V142" s="518" t="str">
        <f>IF(AND(_A1="A-321N",'2025'!$G$4="CA",'2025'!$G$2=V119),'2025DATA'!$G$25,"")</f>
        <v/>
      </c>
      <c r="W142" s="518" t="str">
        <f>IF(AND(_A1="A-321N",'2025'!$G$4="CA",'2025'!$G$2=W119),'2025DATA'!$H$25,"")</f>
        <v/>
      </c>
      <c r="X142" s="518" t="str">
        <f>IF(AND(_A1="A-321N",'2025'!$G$4="CA",'2025'!$G$2=X119),'2025DATA'!$I$25,"")</f>
        <v/>
      </c>
      <c r="Y142" s="518" t="str">
        <f>IF(AND(_A1="A-321N",'2025'!$G$4="CA",'2025'!$G$2=Y119),'2025DATA'!$J$25,"")</f>
        <v/>
      </c>
      <c r="Z142" s="518" t="str">
        <f>IF(AND(_A1="A-321N",'2025'!$G$4="CA",'2025'!$G$2=Z119),'2025DATA'!$K$25,"")</f>
        <v/>
      </c>
      <c r="AA142" s="518" t="str">
        <f>IF(AND(_A1="A-321N",'2025'!$G$4="CA",'2025'!$G$2=AA119),'2025DATA'!$L$25,"")</f>
        <v/>
      </c>
      <c r="AB142" s="518" t="str">
        <f>IF(AND(_A1="A-321N",'2025'!$G$4="CA",'2025'!$G$2=AB119),'2025DATA'!$M$25,"")</f>
        <v/>
      </c>
      <c r="AC142" s="520" t="str">
        <f>IF(AND(_A1="A-321N",'2025'!$G$4="CA",'2025'!$G$2=AC119),'2025DATA'!$N$25,"")</f>
        <v/>
      </c>
      <c r="AD142" s="940" t="s">
        <v>46</v>
      </c>
      <c r="AE142" s="13" t="s">
        <v>61</v>
      </c>
      <c r="AF142" s="518" t="str">
        <f>IF(AND(_A2="A-321N",'2025'!$G$4="CA",'2025'!$G$2=AF119),'2025DATA'!$C$25,"")</f>
        <v/>
      </c>
      <c r="AG142" s="518" t="str">
        <f>IF(AND(_A2="A-321N",'2025'!$G$4="CA",'2025'!$G$2=AG119),'2025DATA'!$D$25,"")</f>
        <v/>
      </c>
      <c r="AH142" s="518" t="str">
        <f>IF(AND(_A2="A-321N",'2025'!$G$4="CA",'2025'!$G$2=AH119),'2025DATA'!$E$25,"")</f>
        <v/>
      </c>
      <c r="AI142" s="518" t="str">
        <f>IF(AND(_A2="A-321N",'2025'!$G$4="CA",'2025'!$G$2=AI119),'2025DATA'!$F$25,"")</f>
        <v/>
      </c>
      <c r="AJ142" s="518" t="str">
        <f>IF(AND(_A2="A-321N",'2025'!$G$4="CA",'2025'!$G$2=AJ119),'2025DATA'!$G$25,"")</f>
        <v/>
      </c>
      <c r="AK142" s="518" t="str">
        <f>IF(AND(_A2="A-321N",'2025'!$G$4="CA",'2025'!$G$2=AK119),'2025DATA'!$H$25,"")</f>
        <v/>
      </c>
      <c r="AL142" s="518" t="str">
        <f>IF(AND(_A2="A-321N",'2025'!$G$4="CA",'2025'!$G$2=AL119),'2025DATA'!$I$25,"")</f>
        <v/>
      </c>
      <c r="AM142" s="518" t="str">
        <f>IF(AND(_A2="A-321N",'2025'!$G$4="CA",'2025'!$G$2=AM119),'2025DATA'!$J$25,"")</f>
        <v/>
      </c>
      <c r="AN142" s="518" t="str">
        <f>IF(AND(_A2="A-321N",'2025'!$G$4="CA",'2025'!$G$2=AN119),'2025DATA'!$K$25,"")</f>
        <v/>
      </c>
      <c r="AO142" s="518" t="str">
        <f>IF(AND(_A2="A-321N",'2025'!$G$4="CA",'2025'!$G$2=AO119),'2025DATA'!$L$25,"")</f>
        <v/>
      </c>
      <c r="AP142" s="518" t="str">
        <f>IF(AND(_A2="A-321N",'2025'!$G$4="CA",'2025'!$G$2=AP119),'2025DATA'!$M$25,"")</f>
        <v/>
      </c>
      <c r="AQ142" s="520" t="str">
        <f>IF(AND(_A2="A-321N",'2025'!$G$4="CA",'2025'!$G$2=AQ119),'2025DATA'!$N$25,"")</f>
        <v/>
      </c>
      <c r="AR142" s="940" t="s">
        <v>46</v>
      </c>
      <c r="AS142" s="13" t="s">
        <v>61</v>
      </c>
      <c r="AT142" s="518" t="str">
        <f>IF(AND(_A3="A-321N",'2025'!$G$4="CA",'2025'!$G$2=AT119),'2025DATA'!$C$25,"")</f>
        <v/>
      </c>
      <c r="AU142" s="518" t="str">
        <f>IF(AND(_A3="A-321N",'2025'!$G$4="CA",'2025'!$G$2=AU119),'2025DATA'!$D$25,"")</f>
        <v/>
      </c>
      <c r="AV142" s="518" t="str">
        <f>IF(AND(_A3="A-321N",'2025'!$G$4="CA",'2025'!$G$2=AV119),'2025DATA'!$E$25,"")</f>
        <v/>
      </c>
      <c r="AW142" s="518" t="str">
        <f>IF(AND(_A3="A-321N",'2025'!$G$4="CA",'2025'!$G$2=AW119),'2025DATA'!$F$25,"")</f>
        <v/>
      </c>
      <c r="AX142" s="518" t="str">
        <f>IF(AND(_A3="A-321N",'2025'!$G$4="CA",'2025'!$G$2=AX119),'2025DATA'!$G$25,"")</f>
        <v/>
      </c>
      <c r="AY142" s="518" t="str">
        <f>IF(AND(_A3="A-321N",'2025'!$G$4="CA",'2025'!$G$2=AY119),'2025DATA'!$H$25,"")</f>
        <v/>
      </c>
      <c r="AZ142" s="518" t="str">
        <f>IF(AND(_A3="A-321N",'2025'!$G$4="CA",'2025'!$G$2=AZ119),'2025DATA'!$I$25,"")</f>
        <v/>
      </c>
      <c r="BA142" s="518" t="str">
        <f>IF(AND(_A3="A-321N",'2025'!$G$4="CA",'2025'!$G$2=BA119),'2025DATA'!$J$25,"")</f>
        <v/>
      </c>
      <c r="BB142" s="518" t="str">
        <f>IF(AND(_A3="A-321N",'2025'!$G$4="CA",'2025'!$G$2=BB119),'2025DATA'!$K$25,"")</f>
        <v/>
      </c>
      <c r="BC142" s="518" t="str">
        <f>IF(AND(_A3="A-321N",'2025'!$G$4="CA",'2025'!$G$2=BC119),'2025DATA'!$L$25,"")</f>
        <v/>
      </c>
      <c r="BD142" s="518" t="str">
        <f>IF(AND(_A3="A-321N",'2025'!$G$4="CA",'2025'!$G$2=BD119),'2025DATA'!$M$25,"")</f>
        <v/>
      </c>
      <c r="BE142" s="520" t="str">
        <f>IF(AND(_A3="A-321N",'2025'!$G$4="CA",'2025'!$G$2=BE119),'2025DATA'!$N$25,"")</f>
        <v/>
      </c>
      <c r="BF142" s="940" t="s">
        <v>46</v>
      </c>
      <c r="BG142" s="13" t="s">
        <v>61</v>
      </c>
      <c r="BH142" s="518" t="str">
        <f>IF(AND(_A4="A-321N",'2025'!$G$4="CA",'2025'!$G$2=BH119),'2025DATA'!$C$25,"")</f>
        <v/>
      </c>
      <c r="BI142" s="518" t="str">
        <f>IF(AND(_A4="A-321N",'2025'!$G$4="CA",'2025'!$G$2=BI119),'2025DATA'!$D$25,"")</f>
        <v/>
      </c>
      <c r="BJ142" s="518" t="str">
        <f>IF(AND(_A4="A-321N",'2025'!$G$4="CA",'2025'!$G$2=BJ119),'2025DATA'!$E$25,"")</f>
        <v/>
      </c>
      <c r="BK142" s="518" t="str">
        <f>IF(AND(_A4="A-321N",'2025'!$G$4="CA",'2025'!$G$2=BK119),'2025DATA'!$F$25,"")</f>
        <v/>
      </c>
      <c r="BL142" s="518" t="str">
        <f>IF(AND(_A4="A-321N",'2025'!$G$4="CA",'2025'!$G$2=BL119),'2025DATA'!$G$25,"")</f>
        <v/>
      </c>
      <c r="BM142" s="518" t="str">
        <f>IF(AND(_A4="A-321N",'2025'!$G$4="CA",'2025'!$G$2=BM119),'2025DATA'!$H$25,"")</f>
        <v/>
      </c>
      <c r="BN142" s="518" t="str">
        <f>IF(AND(_A4="A-321N",'2025'!$G$4="CA",'2025'!$G$2=BN119),'2025DATA'!$I$25,"")</f>
        <v/>
      </c>
      <c r="BO142" s="518" t="str">
        <f>IF(AND(_A4="A-321N",'2025'!$G$4="CA",'2025'!$G$2=BO119),'2025DATA'!$J$25,"")</f>
        <v/>
      </c>
      <c r="BP142" s="518" t="str">
        <f>IF(AND(_A4="A-321N",'2025'!$G$4="CA",'2025'!$G$2=BP119),'2025DATA'!$K$25,"")</f>
        <v/>
      </c>
      <c r="BQ142" s="518" t="str">
        <f>IF(AND(_A4="A-321N",'2025'!$G$4="CA",'2025'!$G$2=BQ119),'2025DATA'!$L$25,"")</f>
        <v/>
      </c>
      <c r="BR142" s="518" t="str">
        <f>IF(AND(_A4="A-321N",'2025'!$G$4="CA",'2025'!$G$2=BR119),'2025DATA'!$M$25,"")</f>
        <v/>
      </c>
      <c r="BS142" s="520" t="str">
        <f>IF(AND(_A4="A-321N",'2025'!$G$4="CA",'2025'!$G$2=BS119),'2025DATA'!$N$25,"")</f>
        <v/>
      </c>
      <c r="BT142" s="940" t="s">
        <v>46</v>
      </c>
      <c r="BU142" s="13" t="s">
        <v>61</v>
      </c>
      <c r="BV142" s="518" t="str">
        <f>IF(AND(_A5="A-321N",'2025'!$G$4="CA",'2025'!$G$2=BV119),'2025DATA'!$C$25,"")</f>
        <v/>
      </c>
      <c r="BW142" s="518" t="str">
        <f>IF(AND(_A5="A-321N",'2025'!$G$4="CA",'2025'!$G$2=BW119),'2025DATA'!$D$25,"")</f>
        <v/>
      </c>
      <c r="BX142" s="518" t="str">
        <f>IF(AND(_A5="A-321N",'2025'!$G$4="CA",'2025'!$G$2=BX119),'2025DATA'!$E$25,"")</f>
        <v/>
      </c>
      <c r="BY142" s="518" t="str">
        <f>IF(AND(_A5="A-321N",'2025'!$G$4="CA",'2025'!$G$2=BY119),'2025DATA'!$F$25,"")</f>
        <v/>
      </c>
      <c r="BZ142" s="518" t="str">
        <f>IF(AND(_A5="A-321N",'2025'!$G$4="CA",'2025'!$G$2=BZ119),'2025DATA'!$G$25,"")</f>
        <v/>
      </c>
      <c r="CA142" s="518" t="str">
        <f>IF(AND(_A5="A-321N",'2025'!$G$4="CA",'2025'!$G$2=CA119),'2025DATA'!$H$25,"")</f>
        <v/>
      </c>
      <c r="CB142" s="518" t="str">
        <f>IF(AND(_A5="A-321N",'2025'!$G$4="CA",'2025'!$G$2=CB119),'2025DATA'!$I$25,"")</f>
        <v/>
      </c>
      <c r="CC142" s="518" t="str">
        <f>IF(AND(_A5="A-321N",'2025'!$G$4="CA",'2025'!$G$2=CC119),'2025DATA'!$J$25,"")</f>
        <v/>
      </c>
      <c r="CD142" s="518" t="str">
        <f>IF(AND(_A5="A-321N",'2025'!$G$4="CA",'2025'!$G$2=CD119),'2025DATA'!$K$25,"")</f>
        <v/>
      </c>
      <c r="CE142" s="518" t="str">
        <f>IF(AND(_A5="A-321N",'2025'!$G$4="CA",'2025'!$G$2=CE119),'2025DATA'!$L$25,"")</f>
        <v/>
      </c>
      <c r="CF142" s="518" t="str">
        <f>IF(AND(_A5="A-321N",'2025'!$G$4="CA",'2025'!$G$2=CF119),'2025DATA'!$M$25,"")</f>
        <v/>
      </c>
      <c r="CG142" s="520" t="str">
        <f>IF(AND(_A5="A-321N",'2025'!$G$4="CA",'2025'!$G$2=CG119),'2025DATA'!$N$25,"")</f>
        <v/>
      </c>
      <c r="CH142" s="940" t="s">
        <v>46</v>
      </c>
      <c r="CI142" s="13" t="s">
        <v>61</v>
      </c>
      <c r="CJ142" s="518" t="str">
        <f>IF(AND(_A6="A-321N",'2025'!$G$4="CA",'2025'!$G$2=CJ119),'2025DATA'!$C$25,"")</f>
        <v/>
      </c>
      <c r="CK142" s="518" t="str">
        <f>IF(AND(_A6="A-321N",'2025'!$G$4="CA",'2025'!$G$2=CK119),'2025DATA'!$D$25,"")</f>
        <v/>
      </c>
      <c r="CL142" s="518" t="str">
        <f>IF(AND(_A6="A-321N",'2025'!$G$4="CA",'2025'!$G$2=CL119),'2025DATA'!$E$25,"")</f>
        <v/>
      </c>
      <c r="CM142" s="518" t="str">
        <f>IF(AND(_A6="A-321N",'2025'!$G$4="CA",'2025'!$G$2=CM119),'2025DATA'!$F$25,"")</f>
        <v/>
      </c>
      <c r="CN142" s="518" t="str">
        <f>IF(AND(_A6="A-321N",'2025'!$G$4="CA",'2025'!$G$2=CN119),'2025DATA'!$G$25,"")</f>
        <v/>
      </c>
      <c r="CO142" s="518" t="str">
        <f>IF(AND(_A6="A-321N",'2025'!$G$4="CA",'2025'!$G$2=CO119),'2025DATA'!$H$25,"")</f>
        <v/>
      </c>
      <c r="CP142" s="518" t="str">
        <f>IF(AND(_A6="A-321N",'2025'!$G$4="CA",'2025'!$G$2=CP119),'2025DATA'!$I$25,"")</f>
        <v/>
      </c>
      <c r="CQ142" s="518" t="str">
        <f>IF(AND(_A6="A-321N",'2025'!$G$4="CA",'2025'!$G$2=CQ119),'2025DATA'!$J$25,"")</f>
        <v/>
      </c>
      <c r="CR142" s="518" t="str">
        <f>IF(AND(_A6="A-321N",'2025'!$G$4="CA",'2025'!$G$2=CR119),'2025DATA'!$K$25,"")</f>
        <v/>
      </c>
      <c r="CS142" s="518" t="str">
        <f>IF(AND(_A6="A-321N",'2025'!$G$4="CA",'2025'!$G$2=CS119),'2025DATA'!$L$25,"")</f>
        <v/>
      </c>
      <c r="CT142" s="518" t="str">
        <f>IF(AND(_A6="A-321N",'2025'!$G$4="CA",'2025'!$G$2=CT119),'2025DATA'!$M$25,"")</f>
        <v/>
      </c>
      <c r="CU142" s="520" t="str">
        <f>IF(AND(_A6="A-321N",'2025'!$G$4="CA",'2025'!$G$2=CU119),'2025DATA'!$N$25,"")</f>
        <v/>
      </c>
    </row>
    <row r="143" spans="16:99" x14ac:dyDescent="0.25">
      <c r="P143" s="940"/>
      <c r="Q143" s="13" t="s">
        <v>62</v>
      </c>
      <c r="R143" s="518" t="str">
        <f>IF(AND(_A1="A-321N",'2025'!$G$4="FO",'2025'!$G$2=R119),'2025DATA'!$C$26,"")</f>
        <v/>
      </c>
      <c r="S143" s="518" t="str">
        <f>IF(AND(_A1="A-321N",'2025'!$G$4="FO",'2025'!$G$2=S119),'2025DATA'!$D$26,"")</f>
        <v/>
      </c>
      <c r="T143" s="518" t="str">
        <f>IF(AND(_A1="A-321N",'2025'!$G$4="FO",'2025'!$G$2=T119),'2025DATA'!$E$26,"")</f>
        <v/>
      </c>
      <c r="U143" s="518" t="str">
        <f>IF(AND(_A1="A-321N",'2025'!$G$4="FO",'2025'!$G$2=U119),'2025DATA'!$F$26,"")</f>
        <v/>
      </c>
      <c r="V143" s="518" t="str">
        <f>IF(AND(_A1="A-321N",'2025'!$G$4="FO",'2025'!$G$2=V119),'2025DATA'!$G$26,"")</f>
        <v/>
      </c>
      <c r="W143" s="518" t="str">
        <f>IF(AND(_A1="A-321N",'2025'!$G$4="FO",'2025'!$G$2=W119),'2025DATA'!$H$26,"")</f>
        <v/>
      </c>
      <c r="X143" s="518" t="str">
        <f>IF(AND(_A1="A-321N",'2025'!$G$4="FO",'2025'!$G$2=X119),'2025DATA'!$I$26,"")</f>
        <v/>
      </c>
      <c r="Y143" s="518" t="str">
        <f>IF(AND(_A1="A-321N",'2025'!$G$4="FO",'2025'!$G$2=Y119),'2025DATA'!$J$26,"")</f>
        <v/>
      </c>
      <c r="Z143" s="518" t="str">
        <f>IF(AND(_A1="A-321N",'2025'!$G$4="FO",'2025'!$G$2=Z119),'2025DATA'!$K$26,"")</f>
        <v/>
      </c>
      <c r="AA143" s="518" t="str">
        <f>IF(AND(_A1="A-321N",'2025'!$G$4="FO",'2025'!$G$2=AA119),'2025DATA'!$L$26,"")</f>
        <v/>
      </c>
      <c r="AB143" s="518" t="str">
        <f>IF(AND(_A1="A-321N",'2025'!$G$4="FO",'2025'!$G$2=AB119),'2025DATA'!$M$26,"")</f>
        <v/>
      </c>
      <c r="AC143" s="520" t="str">
        <f>IF(AND(_A1="A-321N",'2025'!$G$4="FO",'2025'!$G$2=AC119),'2025DATA'!$N$26,"")</f>
        <v/>
      </c>
      <c r="AD143" s="940"/>
      <c r="AE143" s="13" t="s">
        <v>62</v>
      </c>
      <c r="AF143" s="518" t="str">
        <f>IF(AND(_A2="A-321N",'2025'!$G$4="FO",'2025'!$G$2=AF119),'2025DATA'!$C$26,"")</f>
        <v/>
      </c>
      <c r="AG143" s="518" t="str">
        <f>IF(AND(_A2="A-321N",'2025'!$G$4="FO",'2025'!$G$2=AG119),'2025DATA'!$D$26,"")</f>
        <v/>
      </c>
      <c r="AH143" s="518" t="str">
        <f>IF(AND(_A2="A-321N",'2025'!$G$4="FO",'2025'!$G$2=AH119),'2025DATA'!$E$26,"")</f>
        <v/>
      </c>
      <c r="AI143" s="518" t="str">
        <f>IF(AND(_A2="A-321N",'2025'!$G$4="FO",'2025'!$G$2=AI119),'2025DATA'!$F$26,"")</f>
        <v/>
      </c>
      <c r="AJ143" s="518" t="str">
        <f>IF(AND(_A2="A-321N",'2025'!$G$4="FO",'2025'!$G$2=AJ119),'2025DATA'!$G$26,"")</f>
        <v/>
      </c>
      <c r="AK143" s="518" t="str">
        <f>IF(AND(_A2="A-321N",'2025'!$G$4="FO",'2025'!$G$2=AK119),'2025DATA'!$H$26,"")</f>
        <v/>
      </c>
      <c r="AL143" s="518" t="str">
        <f>IF(AND(_A2="A-321N",'2025'!$G$4="FO",'2025'!$G$2=AL119),'2025DATA'!$I$26,"")</f>
        <v/>
      </c>
      <c r="AM143" s="518" t="str">
        <f>IF(AND(_A2="A-321N",'2025'!$G$4="FO",'2025'!$G$2=AM119),'2025DATA'!$J$26,"")</f>
        <v/>
      </c>
      <c r="AN143" s="518" t="str">
        <f>IF(AND(_A2="A-321N",'2025'!$G$4="FO",'2025'!$G$2=AN119),'2025DATA'!$K$26,"")</f>
        <v/>
      </c>
      <c r="AO143" s="518" t="str">
        <f>IF(AND(_A2="A-321N",'2025'!$G$4="FO",'2025'!$G$2=AO119),'2025DATA'!$L$26,"")</f>
        <v/>
      </c>
      <c r="AP143" s="518" t="str">
        <f>IF(AND(_A2="A-321N",'2025'!$G$4="FO",'2025'!$G$2=AP119),'2025DATA'!$M$26,"")</f>
        <v/>
      </c>
      <c r="AQ143" s="520" t="str">
        <f>IF(AND(_A2="A-321N",'2025'!$G$4="FO",'2025'!$G$2=AQ119),'2025DATA'!$N$26,"")</f>
        <v/>
      </c>
      <c r="AR143" s="940"/>
      <c r="AS143" s="13" t="s">
        <v>62</v>
      </c>
      <c r="AT143" s="518" t="str">
        <f>IF(AND(_A3="A-321N",'2025'!$G$4="FO",'2025'!$G$2=AT119),'2025DATA'!$C$26,"")</f>
        <v/>
      </c>
      <c r="AU143" s="518" t="str">
        <f>IF(AND(_A3="A-321N",'2025'!$G$4="FO",'2025'!$G$2=AU119),'2025DATA'!$D$26,"")</f>
        <v/>
      </c>
      <c r="AV143" s="518" t="str">
        <f>IF(AND(_A3="A-321N",'2025'!$G$4="FO",'2025'!$G$2=AV119),'2025DATA'!$E$26,"")</f>
        <v/>
      </c>
      <c r="AW143" s="518" t="str">
        <f>IF(AND(_A3="A-321N",'2025'!$G$4="FO",'2025'!$G$2=AW119),'2025DATA'!$F$26,"")</f>
        <v/>
      </c>
      <c r="AX143" s="518" t="str">
        <f>IF(AND(_A3="A-321N",'2025'!$G$4="FO",'2025'!$G$2=AX119),'2025DATA'!$G$26,"")</f>
        <v/>
      </c>
      <c r="AY143" s="518" t="str">
        <f>IF(AND(_A3="A-321N",'2025'!$G$4="FO",'2025'!$G$2=AY119),'2025DATA'!$H$26,"")</f>
        <v/>
      </c>
      <c r="AZ143" s="518" t="str">
        <f>IF(AND(_A3="A-321N",'2025'!$G$4="FO",'2025'!$G$2=AZ119),'2025DATA'!$I$26,"")</f>
        <v/>
      </c>
      <c r="BA143" s="518" t="str">
        <f>IF(AND(_A3="A-321N",'2025'!$G$4="FO",'2025'!$G$2=BA119),'2025DATA'!$J$26,"")</f>
        <v/>
      </c>
      <c r="BB143" s="518" t="str">
        <f>IF(AND(_A3="A-321N",'2025'!$G$4="FO",'2025'!$G$2=BB119),'2025DATA'!$K$26,"")</f>
        <v/>
      </c>
      <c r="BC143" s="518" t="str">
        <f>IF(AND(_A3="A-321N",'2025'!$G$4="FO",'2025'!$G$2=BC119),'2025DATA'!$L$26,"")</f>
        <v/>
      </c>
      <c r="BD143" s="518" t="str">
        <f>IF(AND(_A3="A-321N",'2025'!$G$4="FO",'2025'!$G$2=BD119),'2025DATA'!$M$26,"")</f>
        <v/>
      </c>
      <c r="BE143" s="520" t="str">
        <f>IF(AND(_A3="A-321N",'2025'!$G$4="FO",'2025'!$G$2=BE119),'2025DATA'!$N$26,"")</f>
        <v/>
      </c>
      <c r="BF143" s="940"/>
      <c r="BG143" s="13" t="s">
        <v>62</v>
      </c>
      <c r="BH143" s="518" t="str">
        <f>IF(AND(_A4="A-321N",'2025'!$G$4="FO",'2025'!$G$2=BH119),'2025DATA'!$C$26,"")</f>
        <v/>
      </c>
      <c r="BI143" s="518" t="str">
        <f>IF(AND(_A4="A-321N",'2025'!$G$4="FO",'2025'!$G$2=BI119),'2025DATA'!$D$26,"")</f>
        <v/>
      </c>
      <c r="BJ143" s="518" t="str">
        <f>IF(AND(_A4="A-321N",'2025'!$G$4="FO",'2025'!$G$2=BJ119),'2025DATA'!$E$26,"")</f>
        <v/>
      </c>
      <c r="BK143" s="518" t="str">
        <f>IF(AND(_A4="A-321N",'2025'!$G$4="FO",'2025'!$G$2=BK119),'2025DATA'!$F$26,"")</f>
        <v/>
      </c>
      <c r="BL143" s="518" t="str">
        <f>IF(AND(_A4="A-321N",'2025'!$G$4="FO",'2025'!$G$2=BL119),'2025DATA'!$G$26,"")</f>
        <v/>
      </c>
      <c r="BM143" s="518" t="str">
        <f>IF(AND(_A4="A-321N",'2025'!$G$4="FO",'2025'!$G$2=BM119),'2025DATA'!$H$26,"")</f>
        <v/>
      </c>
      <c r="BN143" s="518" t="str">
        <f>IF(AND(_A4="A-321N",'2025'!$G$4="FO",'2025'!$G$2=BN119),'2025DATA'!$I$26,"")</f>
        <v/>
      </c>
      <c r="BO143" s="518" t="str">
        <f>IF(AND(_A4="A-321N",'2025'!$G$4="FO",'2025'!$G$2=BO119),'2025DATA'!$J$26,"")</f>
        <v/>
      </c>
      <c r="BP143" s="518" t="str">
        <f>IF(AND(_A4="A-321N",'2025'!$G$4="FO",'2025'!$G$2=BP119),'2025DATA'!$K$26,"")</f>
        <v/>
      </c>
      <c r="BQ143" s="518" t="str">
        <f>IF(AND(_A4="A-321N",'2025'!$G$4="FO",'2025'!$G$2=BQ119),'2025DATA'!$L$26,"")</f>
        <v/>
      </c>
      <c r="BR143" s="518" t="str">
        <f>IF(AND(_A4="A-321N",'2025'!$G$4="FO",'2025'!$G$2=BR119),'2025DATA'!$M$26,"")</f>
        <v/>
      </c>
      <c r="BS143" s="520" t="str">
        <f>IF(AND(_A4="A-321N",'2025'!$G$4="FO",'2025'!$G$2=BS119),'2025DATA'!$N$26,"")</f>
        <v/>
      </c>
      <c r="BT143" s="940"/>
      <c r="BU143" s="13" t="s">
        <v>62</v>
      </c>
      <c r="BV143" s="518" t="str">
        <f>IF(AND(_A5="A-321N",'2025'!$G$4="FO",'2025'!$G$2=BV119),'2025DATA'!$C$26,"")</f>
        <v/>
      </c>
      <c r="BW143" s="518" t="str">
        <f>IF(AND(_A5="A-321N",'2025'!$G$4="FO",'2025'!$G$2=BW119),'2025DATA'!$D$26,"")</f>
        <v/>
      </c>
      <c r="BX143" s="518" t="str">
        <f>IF(AND(_A5="A-321N",'2025'!$G$4="FO",'2025'!$G$2=BX119),'2025DATA'!$E$26,"")</f>
        <v/>
      </c>
      <c r="BY143" s="518" t="str">
        <f>IF(AND(_A5="A-321N",'2025'!$G$4="FO",'2025'!$G$2=BY119),'2025DATA'!$F$26,"")</f>
        <v/>
      </c>
      <c r="BZ143" s="518" t="str">
        <f>IF(AND(_A5="A-321N",'2025'!$G$4="FO",'2025'!$G$2=BZ119),'2025DATA'!$G$26,"")</f>
        <v/>
      </c>
      <c r="CA143" s="518" t="str">
        <f>IF(AND(_A5="A-321N",'2025'!$G$4="FO",'2025'!$G$2=CA119),'2025DATA'!$H$26,"")</f>
        <v/>
      </c>
      <c r="CB143" s="518" t="str">
        <f>IF(AND(_A5="A-321N",'2025'!$G$4="FO",'2025'!$G$2=CB119),'2025DATA'!$I$26,"")</f>
        <v/>
      </c>
      <c r="CC143" s="518" t="str">
        <f>IF(AND(_A5="A-321N",'2025'!$G$4="FO",'2025'!$G$2=CC119),'2025DATA'!$J$26,"")</f>
        <v/>
      </c>
      <c r="CD143" s="518" t="str">
        <f>IF(AND(_A5="A-321N",'2025'!$G$4="FO",'2025'!$G$2=CD119),'2025DATA'!$K$26,"")</f>
        <v/>
      </c>
      <c r="CE143" s="518" t="str">
        <f>IF(AND(_A5="A-321N",'2025'!$G$4="FO",'2025'!$G$2=CE119),'2025DATA'!$L$26,"")</f>
        <v/>
      </c>
      <c r="CF143" s="518" t="str">
        <f>IF(AND(_A5="A-321N",'2025'!$G$4="FO",'2025'!$G$2=CF119),'2025DATA'!$M$26,"")</f>
        <v/>
      </c>
      <c r="CG143" s="520" t="str">
        <f>IF(AND(_A5="A-321N",'2025'!$G$4="FO",'2025'!$G$2=CG119),'2025DATA'!$N$26,"")</f>
        <v/>
      </c>
      <c r="CH143" s="940"/>
      <c r="CI143" s="13" t="s">
        <v>62</v>
      </c>
      <c r="CJ143" s="518" t="str">
        <f>IF(AND(_A6="A-321N",'2025'!$G$4="FO",'2025'!$G$2=CJ119),'2025DATA'!$C$26,"")</f>
        <v/>
      </c>
      <c r="CK143" s="518" t="str">
        <f>IF(AND(_A6="A-321N",'2025'!$G$4="FO",'2025'!$G$2=CK119),'2025DATA'!$D$26,"")</f>
        <v/>
      </c>
      <c r="CL143" s="518" t="str">
        <f>IF(AND(_A6="A-321N",'2025'!$G$4="FO",'2025'!$G$2=CL119),'2025DATA'!$E$26,"")</f>
        <v/>
      </c>
      <c r="CM143" s="518" t="str">
        <f>IF(AND(_A6="A-321N",'2025'!$G$4="FO",'2025'!$G$2=CM119),'2025DATA'!$F$26,"")</f>
        <v/>
      </c>
      <c r="CN143" s="518" t="str">
        <f>IF(AND(_A6="A-321N",'2025'!$G$4="FO",'2025'!$G$2=CN119),'2025DATA'!$G$26,"")</f>
        <v/>
      </c>
      <c r="CO143" s="518" t="str">
        <f>IF(AND(_A6="A-321N",'2025'!$G$4="FO",'2025'!$G$2=CO119),'2025DATA'!$H$26,"")</f>
        <v/>
      </c>
      <c r="CP143" s="518" t="str">
        <f>IF(AND(_A6="A-321N",'2025'!$G$4="FO",'2025'!$G$2=CP119),'2025DATA'!$I$26,"")</f>
        <v/>
      </c>
      <c r="CQ143" s="518" t="str">
        <f>IF(AND(_A6="A-321N",'2025'!$G$4="FO",'2025'!$G$2=CQ119),'2025DATA'!$J$26,"")</f>
        <v/>
      </c>
      <c r="CR143" s="518" t="str">
        <f>IF(AND(_A6="A-321N",'2025'!$G$4="FO",'2025'!$G$2=CR119),'2025DATA'!$K$26,"")</f>
        <v/>
      </c>
      <c r="CS143" s="518" t="str">
        <f>IF(AND(_A6="A-321N",'2025'!$G$4="FO",'2025'!$G$2=CS119),'2025DATA'!$L$26,"")</f>
        <v/>
      </c>
      <c r="CT143" s="518" t="str">
        <f>IF(AND(_A6="A-321N",'2025'!$G$4="FO",'2025'!$G$2=CT119),'2025DATA'!$M$26,"")</f>
        <v/>
      </c>
      <c r="CU143" s="520" t="str">
        <f>IF(AND(_A6="A-321N",'2025'!$G$4="FO",'2025'!$G$2=CU119),'2025DATA'!$N$26,"")</f>
        <v/>
      </c>
    </row>
    <row r="144" spans="16:99" x14ac:dyDescent="0.25">
      <c r="P144" s="940" t="s">
        <v>48</v>
      </c>
      <c r="Q144" s="13" t="s">
        <v>61</v>
      </c>
      <c r="R144" s="518" t="str">
        <f>IF(AND(_A1="A-321",'2025'!$G$4="CA",'2025'!$G$2=R119),'2025DATA'!$C$27,"")</f>
        <v/>
      </c>
      <c r="S144" s="518" t="str">
        <f>IF(AND(_A1="A-321",'2025'!$G$4="CA",'2025'!$G$2=S119),'2025DATA'!$D$27,"")</f>
        <v/>
      </c>
      <c r="T144" s="518" t="str">
        <f>IF(AND(_A1="A-321",'2025'!$G$4="CA",'2025'!$G$2=T119),'2025DATA'!$E$27,"")</f>
        <v/>
      </c>
      <c r="U144" s="518" t="str">
        <f>IF(AND(_A1="A-321",'2025'!$G$4="CA",'2025'!$G$2=U119),'2025DATA'!$F$27,"")</f>
        <v/>
      </c>
      <c r="V144" s="518" t="str">
        <f>IF(AND(_A1="A-321",'2025'!$G$4="CA",'2025'!$G$2=V119),'2025DATA'!$G$27,"")</f>
        <v/>
      </c>
      <c r="W144" s="518" t="str">
        <f>IF(AND(_A1="A-321",'2025'!$G$4="CA",'2025'!$G$2=W119),'2025DATA'!$H$27,"")</f>
        <v/>
      </c>
      <c r="X144" s="518" t="str">
        <f>IF(AND(_A1="A-321",'2025'!$G$4="CA",'2025'!$G$2=X119),'2025DATA'!$I$27,"")</f>
        <v/>
      </c>
      <c r="Y144" s="518" t="str">
        <f>IF(AND(_A1="A-321",'2025'!$G$4="CA",'2025'!$G$2=Y119),'2025DATA'!$J$27,"")</f>
        <v/>
      </c>
      <c r="Z144" s="518" t="str">
        <f>IF(AND(_A1="A-321",'2025'!$G$4="CA",'2025'!$G$2=Z119),'2025DATA'!$K$27,"")</f>
        <v/>
      </c>
      <c r="AA144" s="518" t="str">
        <f>IF(AND(_A1="A-321",'2025'!$G$4="CA",'2025'!$G$2=AA119),'2025DATA'!$L$27,"")</f>
        <v/>
      </c>
      <c r="AB144" s="518" t="str">
        <f>IF(AND(_A1="A-321",'2025'!$G$4="CA",'2025'!$G$2=AB119),'2025DATA'!$M$27,"")</f>
        <v/>
      </c>
      <c r="AC144" s="520" t="str">
        <f>IF(AND(_A1="A-321",'2025'!$G$4="CA",'2025'!$G$2=AC119),'2025DATA'!$N$27,"")</f>
        <v/>
      </c>
      <c r="AD144" s="940" t="s">
        <v>48</v>
      </c>
      <c r="AE144" s="13" t="s">
        <v>61</v>
      </c>
      <c r="AF144" s="518" t="str">
        <f>IF(AND(_A2="A-321",'2025'!$G$4="CA",'2025'!$G$2=AF119),'2025DATA'!$C$27,"")</f>
        <v/>
      </c>
      <c r="AG144" s="518" t="str">
        <f>IF(AND(_A2="A-321",'2025'!$G$4="CA",'2025'!$G$2=AG119),'2025DATA'!$D$27,"")</f>
        <v/>
      </c>
      <c r="AH144" s="518" t="str">
        <f>IF(AND(_A2="A-321",'2025'!$G$4="CA",'2025'!$G$2=AH119),'2025DATA'!$E$27,"")</f>
        <v/>
      </c>
      <c r="AI144" s="518" t="str">
        <f>IF(AND(_A2="A-321",'2025'!$G$4="CA",'2025'!$G$2=AI119),'2025DATA'!$F$27,"")</f>
        <v/>
      </c>
      <c r="AJ144" s="518" t="str">
        <f>IF(AND(_A2="A-321",'2025'!$G$4="CA",'2025'!$G$2=AJ119),'2025DATA'!$G$27,"")</f>
        <v/>
      </c>
      <c r="AK144" s="518" t="str">
        <f>IF(AND(_A2="A-321",'2025'!$G$4="CA",'2025'!$G$2=AK119),'2025DATA'!$H$27,"")</f>
        <v/>
      </c>
      <c r="AL144" s="518" t="str">
        <f>IF(AND(_A2="A-321",'2025'!$G$4="CA",'2025'!$G$2=AL119),'2025DATA'!$I$27,"")</f>
        <v/>
      </c>
      <c r="AM144" s="518" t="str">
        <f>IF(AND(_A2="A-321",'2025'!$G$4="CA",'2025'!$G$2=AM119),'2025DATA'!$J$27,"")</f>
        <v/>
      </c>
      <c r="AN144" s="518" t="str">
        <f>IF(AND(_A2="A-321",'2025'!$G$4="CA",'2025'!$G$2=AN119),'2025DATA'!$K$27,"")</f>
        <v/>
      </c>
      <c r="AO144" s="518" t="str">
        <f>IF(AND(_A2="A-321",'2025'!$G$4="CA",'2025'!$G$2=AO119),'2025DATA'!$L$27,"")</f>
        <v/>
      </c>
      <c r="AP144" s="518" t="str">
        <f>IF(AND(_A2="A-321",'2025'!$G$4="CA",'2025'!$G$2=AP119),'2025DATA'!$M$27,"")</f>
        <v/>
      </c>
      <c r="AQ144" s="520" t="str">
        <f>IF(AND(_A2="A-321",'2025'!$G$4="CA",'2025'!$G$2=AQ119),'2025DATA'!$N$27,"")</f>
        <v/>
      </c>
      <c r="AR144" s="940" t="s">
        <v>48</v>
      </c>
      <c r="AS144" s="13" t="s">
        <v>61</v>
      </c>
      <c r="AT144" s="518" t="str">
        <f>IF(AND(_A3="A-321",'2025'!$G$4="CA",'2025'!$G$2=AT119),'2025DATA'!$C$27,"")</f>
        <v/>
      </c>
      <c r="AU144" s="518" t="str">
        <f>IF(AND(_A3="A-321",'2025'!$G$4="CA",'2025'!$G$2=AU119),'2025DATA'!$D$27,"")</f>
        <v/>
      </c>
      <c r="AV144" s="518" t="str">
        <f>IF(AND(_A3="A-321",'2025'!$G$4="CA",'2025'!$G$2=AV119),'2025DATA'!$E$27,"")</f>
        <v/>
      </c>
      <c r="AW144" s="518" t="str">
        <f>IF(AND(_A3="A-321",'2025'!$G$4="CA",'2025'!$G$2=AW119),'2025DATA'!$F$27,"")</f>
        <v/>
      </c>
      <c r="AX144" s="518" t="str">
        <f>IF(AND(_A3="A-321",'2025'!$G$4="CA",'2025'!$G$2=AX119),'2025DATA'!$G$27,"")</f>
        <v/>
      </c>
      <c r="AY144" s="518" t="str">
        <f>IF(AND(_A3="A-321",'2025'!$G$4="CA",'2025'!$G$2=AY119),'2025DATA'!$H$27,"")</f>
        <v/>
      </c>
      <c r="AZ144" s="518" t="str">
        <f>IF(AND(_A3="A-321",'2025'!$G$4="CA",'2025'!$G$2=AZ119),'2025DATA'!$I$27,"")</f>
        <v/>
      </c>
      <c r="BA144" s="518" t="str">
        <f>IF(AND(_A3="A-321",'2025'!$G$4="CA",'2025'!$G$2=BA119),'2025DATA'!$J$27,"")</f>
        <v/>
      </c>
      <c r="BB144" s="518" t="str">
        <f>IF(AND(_A3="A-321",'2025'!$G$4="CA",'2025'!$G$2=BB119),'2025DATA'!$K$27,"")</f>
        <v/>
      </c>
      <c r="BC144" s="518" t="str">
        <f>IF(AND(_A3="A-321",'2025'!$G$4="CA",'2025'!$G$2=BC119),'2025DATA'!$L$27,"")</f>
        <v/>
      </c>
      <c r="BD144" s="518" t="str">
        <f>IF(AND(_A3="A-321",'2025'!$G$4="CA",'2025'!$G$2=BD119),'2025DATA'!$M$27,"")</f>
        <v/>
      </c>
      <c r="BE144" s="520" t="str">
        <f>IF(AND(_A3="A-321",'2025'!$G$4="CA",'2025'!$G$2=BE119),'2025DATA'!$N$27,"")</f>
        <v/>
      </c>
      <c r="BF144" s="940" t="s">
        <v>48</v>
      </c>
      <c r="BG144" s="13" t="s">
        <v>61</v>
      </c>
      <c r="BH144" s="518" t="str">
        <f>IF(AND(_A4="A-321",'2025'!$G$4="CA",'2025'!$G$2=BH119),'2025DATA'!$C$27,"")</f>
        <v/>
      </c>
      <c r="BI144" s="518" t="str">
        <f>IF(AND(_A4="A-321",'2025'!$G$4="CA",'2025'!$G$2=BI119),'2025DATA'!$D$27,"")</f>
        <v/>
      </c>
      <c r="BJ144" s="518" t="str">
        <f>IF(AND(_A4="A-321",'2025'!$G$4="CA",'2025'!$G$2=BJ119),'2025DATA'!$E$27,"")</f>
        <v/>
      </c>
      <c r="BK144" s="518" t="str">
        <f>IF(AND(_A4="A-321",'2025'!$G$4="CA",'2025'!$G$2=BK119),'2025DATA'!$F$27,"")</f>
        <v/>
      </c>
      <c r="BL144" s="518" t="str">
        <f>IF(AND(_A4="A-321",'2025'!$G$4="CA",'2025'!$G$2=BL119),'2025DATA'!$G$27,"")</f>
        <v/>
      </c>
      <c r="BM144" s="518" t="str">
        <f>IF(AND(_A4="A-321",'2025'!$G$4="CA",'2025'!$G$2=BM119),'2025DATA'!$H$27,"")</f>
        <v/>
      </c>
      <c r="BN144" s="518" t="str">
        <f>IF(AND(_A4="A-321",'2025'!$G$4="CA",'2025'!$G$2=BN119),'2025DATA'!$I$27,"")</f>
        <v/>
      </c>
      <c r="BO144" s="518" t="str">
        <f>IF(AND(_A4="A-321",'2025'!$G$4="CA",'2025'!$G$2=BO119),'2025DATA'!$J$27,"")</f>
        <v/>
      </c>
      <c r="BP144" s="518" t="str">
        <f>IF(AND(_A4="A-321",'2025'!$G$4="CA",'2025'!$G$2=BP119),'2025DATA'!$K$27,"")</f>
        <v/>
      </c>
      <c r="BQ144" s="518" t="str">
        <f>IF(AND(_A4="A-321",'2025'!$G$4="CA",'2025'!$G$2=BQ119),'2025DATA'!$L$27,"")</f>
        <v/>
      </c>
      <c r="BR144" s="518" t="str">
        <f>IF(AND(_A4="A-321",'2025'!$G$4="CA",'2025'!$G$2=BR119),'2025DATA'!$M$27,"")</f>
        <v/>
      </c>
      <c r="BS144" s="520" t="str">
        <f>IF(AND(_A4="A-321",'2025'!$G$4="CA",'2025'!$G$2=BS119),'2025DATA'!$N$27,"")</f>
        <v/>
      </c>
      <c r="BT144" s="940" t="s">
        <v>48</v>
      </c>
      <c r="BU144" s="13" t="s">
        <v>61</v>
      </c>
      <c r="BV144" s="518" t="str">
        <f>IF(AND(_A5="A-321",'2025'!$G$4="CA",'2025'!$G$2=BV119),'2025DATA'!$C$27,"")</f>
        <v/>
      </c>
      <c r="BW144" s="518" t="str">
        <f>IF(AND(_A5="A-321",'2025'!$G$4="CA",'2025'!$G$2=BW119),'2025DATA'!$D$27,"")</f>
        <v/>
      </c>
      <c r="BX144" s="518" t="str">
        <f>IF(AND(_A5="A-321",'2025'!$G$4="CA",'2025'!$G$2=BX119),'2025DATA'!$E$27,"")</f>
        <v/>
      </c>
      <c r="BY144" s="518" t="str">
        <f>IF(AND(_A5="A-321",'2025'!$G$4="CA",'2025'!$G$2=BY119),'2025DATA'!$F$27,"")</f>
        <v/>
      </c>
      <c r="BZ144" s="518" t="str">
        <f>IF(AND(_A5="A-321",'2025'!$G$4="CA",'2025'!$G$2=BZ119),'2025DATA'!$G$27,"")</f>
        <v/>
      </c>
      <c r="CA144" s="518" t="str">
        <f>IF(AND(_A5="A-321",'2025'!$G$4="CA",'2025'!$G$2=CA119),'2025DATA'!$H$27,"")</f>
        <v/>
      </c>
      <c r="CB144" s="518" t="str">
        <f>IF(AND(_A5="A-321",'2025'!$G$4="CA",'2025'!$G$2=CB119),'2025DATA'!$I$27,"")</f>
        <v/>
      </c>
      <c r="CC144" s="518" t="str">
        <f>IF(AND(_A5="A-321",'2025'!$G$4="CA",'2025'!$G$2=CC119),'2025DATA'!$J$27,"")</f>
        <v/>
      </c>
      <c r="CD144" s="518" t="str">
        <f>IF(AND(_A5="A-321",'2025'!$G$4="CA",'2025'!$G$2=CD119),'2025DATA'!$K$27,"")</f>
        <v/>
      </c>
      <c r="CE144" s="518" t="str">
        <f>IF(AND(_A5="A-321",'2025'!$G$4="CA",'2025'!$G$2=CE119),'2025DATA'!$L$27,"")</f>
        <v/>
      </c>
      <c r="CF144" s="518" t="str">
        <f>IF(AND(_A5="A-321",'2025'!$G$4="CA",'2025'!$G$2=CF119),'2025DATA'!$M$27,"")</f>
        <v/>
      </c>
      <c r="CG144" s="520" t="str">
        <f>IF(AND(_A5="A-321",'2025'!$G$4="CA",'2025'!$G$2=CG119),'2025DATA'!$N$27,"")</f>
        <v/>
      </c>
      <c r="CH144" s="940" t="s">
        <v>48</v>
      </c>
      <c r="CI144" s="13" t="s">
        <v>61</v>
      </c>
      <c r="CJ144" s="518" t="str">
        <f>IF(AND(_A6="A-321",'2025'!$G$4="CA",'2025'!$G$2=CJ119),'2025DATA'!$C$27,"")</f>
        <v/>
      </c>
      <c r="CK144" s="518" t="str">
        <f>IF(AND(_A6="A-321",'2025'!$G$4="CA",'2025'!$G$2=CK119),'2025DATA'!$D$27,"")</f>
        <v/>
      </c>
      <c r="CL144" s="518" t="str">
        <f>IF(AND(_A6="A-321",'2025'!$G$4="CA",'2025'!$G$2=CL119),'2025DATA'!$E$27,"")</f>
        <v/>
      </c>
      <c r="CM144" s="518" t="str">
        <f>IF(AND(_A6="A-321",'2025'!$G$4="CA",'2025'!$G$2=CM119),'2025DATA'!$F$27,"")</f>
        <v/>
      </c>
      <c r="CN144" s="518" t="str">
        <f>IF(AND(_A6="A-321",'2025'!$G$4="CA",'2025'!$G$2=CN119),'2025DATA'!$G$27,"")</f>
        <v/>
      </c>
      <c r="CO144" s="518" t="str">
        <f>IF(AND(_A6="A-321",'2025'!$G$4="CA",'2025'!$G$2=CO119),'2025DATA'!$H$27,"")</f>
        <v/>
      </c>
      <c r="CP144" s="518" t="str">
        <f>IF(AND(_A6="A-321",'2025'!$G$4="CA",'2025'!$G$2=CP119),'2025DATA'!$I$27,"")</f>
        <v/>
      </c>
      <c r="CQ144" s="518" t="str">
        <f>IF(AND(_A6="A-321",'2025'!$G$4="CA",'2025'!$G$2=CQ119),'2025DATA'!$J$27,"")</f>
        <v/>
      </c>
      <c r="CR144" s="518" t="str">
        <f>IF(AND(_A6="A-321",'2025'!$G$4="CA",'2025'!$G$2=CR119),'2025DATA'!$K$27,"")</f>
        <v/>
      </c>
      <c r="CS144" s="518" t="str">
        <f>IF(AND(_A6="A-321",'2025'!$G$4="CA",'2025'!$G$2=CS119),'2025DATA'!$L$27,"")</f>
        <v/>
      </c>
      <c r="CT144" s="518" t="str">
        <f>IF(AND(_A6="A-321",'2025'!$G$4="CA",'2025'!$G$2=CT119),'2025DATA'!$M$27,"")</f>
        <v/>
      </c>
      <c r="CU144" s="520" t="str">
        <f>IF(AND(_A6="A-321",'2025'!$G$4="CA",'2025'!$G$2=CU119),'2025DATA'!$N$27,"")</f>
        <v/>
      </c>
    </row>
    <row r="145" spans="16:99" x14ac:dyDescent="0.25">
      <c r="P145" s="940"/>
      <c r="Q145" s="13" t="s">
        <v>62</v>
      </c>
      <c r="R145" s="518" t="str">
        <f>IF(AND(_A1="A-321",'2025'!$G$4="FO",'2025'!$G$2=R119),'2025DATA'!$C$28,"")</f>
        <v/>
      </c>
      <c r="S145" s="518" t="str">
        <f>IF(AND(_A1="A-321",'2025'!$G$4="FO",'2025'!$G$2=S119),'2025DATA'!$D$28,"")</f>
        <v/>
      </c>
      <c r="T145" s="518" t="str">
        <f>IF(AND(_A1="A-321",'2025'!$G$4="FO",'2025'!$G$2=T119),'2025DATA'!$E$28,"")</f>
        <v/>
      </c>
      <c r="U145" s="518" t="str">
        <f>IF(AND(_A1="A-321",'2025'!$G$4="FO",'2025'!$G$2=U119),'2025DATA'!$F$28,"")</f>
        <v/>
      </c>
      <c r="V145" s="518" t="str">
        <f>IF(AND(_A1="A-321",'2025'!$G$4="FO",'2025'!$G$2=V119),'2025DATA'!$G$28,"")</f>
        <v/>
      </c>
      <c r="W145" s="518" t="str">
        <f>IF(AND(_A1="A-321",'2025'!$G$4="FO",'2025'!$G$2=W119),'2025DATA'!$H$28,"")</f>
        <v/>
      </c>
      <c r="X145" s="518" t="str">
        <f>IF(AND(_A1="A-321",'2025'!$G$4="FO",'2025'!$G$2=X119),'2025DATA'!$I$28,"")</f>
        <v/>
      </c>
      <c r="Y145" s="518" t="str">
        <f>IF(AND(_A1="A-321",'2025'!$G$4="FO",'2025'!$G$2=Y119),'2025DATA'!$J$28,"")</f>
        <v/>
      </c>
      <c r="Z145" s="518" t="str">
        <f>IF(AND(_A1="A-321",'2025'!$G$4="FO",'2025'!$G$2=Z119),'2025DATA'!$K$28,"")</f>
        <v/>
      </c>
      <c r="AA145" s="518" t="str">
        <f>IF(AND(_A1="A-321",'2025'!$G$4="FO",'2025'!$G$2=AA119),'2025DATA'!$L$28,"")</f>
        <v/>
      </c>
      <c r="AB145" s="518" t="str">
        <f>IF(AND(_A1="A-321",'2025'!$G$4="FO",'2025'!$G$2=AB119),'2025DATA'!$M$28,"")</f>
        <v/>
      </c>
      <c r="AC145" s="520" t="str">
        <f>IF(AND(_A1="A-321",'2025'!$G$4="FO",'2025'!$G$2=AC119),'2025DATA'!$N$28,"")</f>
        <v/>
      </c>
      <c r="AD145" s="940"/>
      <c r="AE145" s="13" t="s">
        <v>62</v>
      </c>
      <c r="AF145" s="518" t="str">
        <f>IF(AND(_A2="A-321",'2025'!$G$4="FO",'2025'!$G$2=AF119),'2025DATA'!$C$28,"")</f>
        <v/>
      </c>
      <c r="AG145" s="518" t="str">
        <f>IF(AND(_A2="A-321",'2025'!$G$4="FO",'2025'!$G$2=AG119),'2025DATA'!$D$28,"")</f>
        <v/>
      </c>
      <c r="AH145" s="518" t="str">
        <f>IF(AND(_A2="A-321",'2025'!$G$4="FO",'2025'!$G$2=AH119),'2025DATA'!$E$28,"")</f>
        <v/>
      </c>
      <c r="AI145" s="518" t="str">
        <f>IF(AND(_A2="A-321",'2025'!$G$4="FO",'2025'!$G$2=AI119),'2025DATA'!$F$28,"")</f>
        <v/>
      </c>
      <c r="AJ145" s="518" t="str">
        <f>IF(AND(_A2="A-321",'2025'!$G$4="FO",'2025'!$G$2=AJ119),'2025DATA'!$G$28,"")</f>
        <v/>
      </c>
      <c r="AK145" s="518" t="str">
        <f>IF(AND(_A2="A-321",'2025'!$G$4="FO",'2025'!$G$2=AK119),'2025DATA'!$H$28,"")</f>
        <v/>
      </c>
      <c r="AL145" s="518" t="str">
        <f>IF(AND(_A2="A-321",'2025'!$G$4="FO",'2025'!$G$2=AL119),'2025DATA'!$I$28,"")</f>
        <v/>
      </c>
      <c r="AM145" s="518" t="str">
        <f>IF(AND(_A2="A-321",'2025'!$G$4="FO",'2025'!$G$2=AM119),'2025DATA'!$J$28,"")</f>
        <v/>
      </c>
      <c r="AN145" s="518" t="str">
        <f>IF(AND(_A2="A-321",'2025'!$G$4="FO",'2025'!$G$2=AN119),'2025DATA'!$K$28,"")</f>
        <v/>
      </c>
      <c r="AO145" s="518" t="str">
        <f>IF(AND(_A2="A-321",'2025'!$G$4="FO",'2025'!$G$2=AO119),'2025DATA'!$L$28,"")</f>
        <v/>
      </c>
      <c r="AP145" s="518" t="str">
        <f>IF(AND(_A2="A-321",'2025'!$G$4="FO",'2025'!$G$2=AP119),'2025DATA'!$M$28,"")</f>
        <v/>
      </c>
      <c r="AQ145" s="520" t="str">
        <f>IF(AND(_A2="A-321",'2025'!$G$4="FO",'2025'!$G$2=AQ119),'2025DATA'!$N$28,"")</f>
        <v/>
      </c>
      <c r="AR145" s="940"/>
      <c r="AS145" s="13" t="s">
        <v>62</v>
      </c>
      <c r="AT145" s="518" t="str">
        <f>IF(AND(_A3="A-321",'2025'!$G$4="FO",'2025'!$G$2=AT119),'2025DATA'!$C$28,"")</f>
        <v/>
      </c>
      <c r="AU145" s="518" t="str">
        <f>IF(AND(_A3="A-321",'2025'!$G$4="FO",'2025'!$G$2=AU119),'2025DATA'!$D$28,"")</f>
        <v/>
      </c>
      <c r="AV145" s="518" t="str">
        <f>IF(AND(_A3="A-321",'2025'!$G$4="FO",'2025'!$G$2=AV119),'2025DATA'!$E$28,"")</f>
        <v/>
      </c>
      <c r="AW145" s="518" t="str">
        <f>IF(AND(_A3="A-321",'2025'!$G$4="FO",'2025'!$G$2=AW119),'2025DATA'!$F$28,"")</f>
        <v/>
      </c>
      <c r="AX145" s="518" t="str">
        <f>IF(AND(_A3="A-321",'2025'!$G$4="FO",'2025'!$G$2=AX119),'2025DATA'!$G$28,"")</f>
        <v/>
      </c>
      <c r="AY145" s="518" t="str">
        <f>IF(AND(_A3="A-321",'2025'!$G$4="FO",'2025'!$G$2=AY119),'2025DATA'!$H$28,"")</f>
        <v/>
      </c>
      <c r="AZ145" s="518" t="str">
        <f>IF(AND(_A3="A-321",'2025'!$G$4="FO",'2025'!$G$2=AZ119),'2025DATA'!$I$28,"")</f>
        <v/>
      </c>
      <c r="BA145" s="518" t="str">
        <f>IF(AND(_A3="A-321",'2025'!$G$4="FO",'2025'!$G$2=BA119),'2025DATA'!$J$28,"")</f>
        <v/>
      </c>
      <c r="BB145" s="518" t="str">
        <f>IF(AND(_A3="A-321",'2025'!$G$4="FO",'2025'!$G$2=BB119),'2025DATA'!$K$28,"")</f>
        <v/>
      </c>
      <c r="BC145" s="518" t="str">
        <f>IF(AND(_A3="A-321",'2025'!$G$4="FO",'2025'!$G$2=BC119),'2025DATA'!$L$28,"")</f>
        <v/>
      </c>
      <c r="BD145" s="518" t="str">
        <f>IF(AND(_A3="A-321",'2025'!$G$4="FO",'2025'!$G$2=BD119),'2025DATA'!$M$28,"")</f>
        <v/>
      </c>
      <c r="BE145" s="520" t="str">
        <f>IF(AND(_A3="A-321",'2025'!$G$4="FO",'2025'!$G$2=BE119),'2025DATA'!$N$28,"")</f>
        <v/>
      </c>
      <c r="BF145" s="940"/>
      <c r="BG145" s="13" t="s">
        <v>62</v>
      </c>
      <c r="BH145" s="518" t="str">
        <f>IF(AND(_A4="A-321",'2025'!$G$4="FO",'2025'!$G$2=BH119),'2025DATA'!$C$28,"")</f>
        <v/>
      </c>
      <c r="BI145" s="518" t="str">
        <f>IF(AND(_A4="A-321",'2025'!$G$4="FO",'2025'!$G$2=BI119),'2025DATA'!$D$28,"")</f>
        <v/>
      </c>
      <c r="BJ145" s="518" t="str">
        <f>IF(AND(_A4="A-321",'2025'!$G$4="FO",'2025'!$G$2=BJ119),'2025DATA'!$E$28,"")</f>
        <v/>
      </c>
      <c r="BK145" s="518" t="str">
        <f>IF(AND(_A4="A-321",'2025'!$G$4="FO",'2025'!$G$2=BK119),'2025DATA'!$F$28,"")</f>
        <v/>
      </c>
      <c r="BL145" s="518" t="str">
        <f>IF(AND(_A4="A-321",'2025'!$G$4="FO",'2025'!$G$2=BL119),'2025DATA'!$G$28,"")</f>
        <v/>
      </c>
      <c r="BM145" s="518" t="str">
        <f>IF(AND(_A4="A-321",'2025'!$G$4="FO",'2025'!$G$2=BM119),'2025DATA'!$H$28,"")</f>
        <v/>
      </c>
      <c r="BN145" s="518" t="str">
        <f>IF(AND(_A4="A-321",'2025'!$G$4="FO",'2025'!$G$2=BN119),'2025DATA'!$I$28,"")</f>
        <v/>
      </c>
      <c r="BO145" s="518" t="str">
        <f>IF(AND(_A4="A-321",'2025'!$G$4="FO",'2025'!$G$2=BO119),'2025DATA'!$J$28,"")</f>
        <v/>
      </c>
      <c r="BP145" s="518" t="str">
        <f>IF(AND(_A4="A-321",'2025'!$G$4="FO",'2025'!$G$2=BP119),'2025DATA'!$K$28,"")</f>
        <v/>
      </c>
      <c r="BQ145" s="518" t="str">
        <f>IF(AND(_A4="A-321",'2025'!$G$4="FO",'2025'!$G$2=BQ119),'2025DATA'!$L$28,"")</f>
        <v/>
      </c>
      <c r="BR145" s="518" t="str">
        <f>IF(AND(_A4="A-321",'2025'!$G$4="FO",'2025'!$G$2=BR119),'2025DATA'!$M$28,"")</f>
        <v/>
      </c>
      <c r="BS145" s="520" t="str">
        <f>IF(AND(_A4="A-321",'2025'!$G$4="FO",'2025'!$G$2=BS119),'2025DATA'!$N$28,"")</f>
        <v/>
      </c>
      <c r="BT145" s="940"/>
      <c r="BU145" s="13" t="s">
        <v>62</v>
      </c>
      <c r="BV145" s="518" t="str">
        <f>IF(AND(_A5="A-321",'2025'!$G$4="FO",'2025'!$G$2=BV119),'2025DATA'!$C$28,"")</f>
        <v/>
      </c>
      <c r="BW145" s="518" t="str">
        <f>IF(AND(_A5="A-321",'2025'!$G$4="FO",'2025'!$G$2=BW119),'2025DATA'!$D$28,"")</f>
        <v/>
      </c>
      <c r="BX145" s="518" t="str">
        <f>IF(AND(_A5="A-321",'2025'!$G$4="FO",'2025'!$G$2=BX119),'2025DATA'!$E$28,"")</f>
        <v/>
      </c>
      <c r="BY145" s="518" t="str">
        <f>IF(AND(_A5="A-321",'2025'!$G$4="FO",'2025'!$G$2=BY119),'2025DATA'!$F$28,"")</f>
        <v/>
      </c>
      <c r="BZ145" s="518" t="str">
        <f>IF(AND(_A5="A-321",'2025'!$G$4="FO",'2025'!$G$2=BZ119),'2025DATA'!$G$28,"")</f>
        <v/>
      </c>
      <c r="CA145" s="518" t="str">
        <f>IF(AND(_A5="A-321",'2025'!$G$4="FO",'2025'!$G$2=CA119),'2025DATA'!$H$28,"")</f>
        <v/>
      </c>
      <c r="CB145" s="518" t="str">
        <f>IF(AND(_A5="A-321",'2025'!$G$4="FO",'2025'!$G$2=CB119),'2025DATA'!$I$28,"")</f>
        <v/>
      </c>
      <c r="CC145" s="518" t="str">
        <f>IF(AND(_A5="A-321",'2025'!$G$4="FO",'2025'!$G$2=CC119),'2025DATA'!$J$28,"")</f>
        <v/>
      </c>
      <c r="CD145" s="518" t="str">
        <f>IF(AND(_A5="A-321",'2025'!$G$4="FO",'2025'!$G$2=CD119),'2025DATA'!$K$28,"")</f>
        <v/>
      </c>
      <c r="CE145" s="518" t="str">
        <f>IF(AND(_A5="A-321",'2025'!$G$4="FO",'2025'!$G$2=CE119),'2025DATA'!$L$28,"")</f>
        <v/>
      </c>
      <c r="CF145" s="518" t="str">
        <f>IF(AND(_A5="A-321",'2025'!$G$4="FO",'2025'!$G$2=CF119),'2025DATA'!$M$28,"")</f>
        <v/>
      </c>
      <c r="CG145" s="520" t="str">
        <f>IF(AND(_A5="A-321",'2025'!$G$4="FO",'2025'!$G$2=CG119),'2025DATA'!$N$28,"")</f>
        <v/>
      </c>
      <c r="CH145" s="940"/>
      <c r="CI145" s="13" t="s">
        <v>62</v>
      </c>
      <c r="CJ145" s="518" t="str">
        <f>IF(AND(_A6="A-321",'2025'!$G$4="FO",'2025'!$G$2=CJ119),'2025DATA'!$C$28,"")</f>
        <v/>
      </c>
      <c r="CK145" s="518" t="str">
        <f>IF(AND(_A6="A-321",'2025'!$G$4="FO",'2025'!$G$2=CK119),'2025DATA'!$D$28,"")</f>
        <v/>
      </c>
      <c r="CL145" s="518" t="str">
        <f>IF(AND(_A6="A-321",'2025'!$G$4="FO",'2025'!$G$2=CL119),'2025DATA'!$E$28,"")</f>
        <v/>
      </c>
      <c r="CM145" s="518" t="str">
        <f>IF(AND(_A6="A-321",'2025'!$G$4="FO",'2025'!$G$2=CM119),'2025DATA'!$F$28,"")</f>
        <v/>
      </c>
      <c r="CN145" s="518" t="str">
        <f>IF(AND(_A6="A-321",'2025'!$G$4="FO",'2025'!$G$2=CN119),'2025DATA'!$G$28,"")</f>
        <v/>
      </c>
      <c r="CO145" s="518" t="str">
        <f>IF(AND(_A6="A-321",'2025'!$G$4="FO",'2025'!$G$2=CO119),'2025DATA'!$H$28,"")</f>
        <v/>
      </c>
      <c r="CP145" s="518" t="str">
        <f>IF(AND(_A6="A-321",'2025'!$G$4="FO",'2025'!$G$2=CP119),'2025DATA'!$I$28,"")</f>
        <v/>
      </c>
      <c r="CQ145" s="518" t="str">
        <f>IF(AND(_A6="A-321",'2025'!$G$4="FO",'2025'!$G$2=CQ119),'2025DATA'!$J$28,"")</f>
        <v/>
      </c>
      <c r="CR145" s="518" t="str">
        <f>IF(AND(_A6="A-321",'2025'!$G$4="FO",'2025'!$G$2=CR119),'2025DATA'!$K$28,"")</f>
        <v/>
      </c>
      <c r="CS145" s="518" t="str">
        <f>IF(AND(_A6="A-321",'2025'!$G$4="FO",'2025'!$G$2=CS119),'2025DATA'!$L$28,"")</f>
        <v/>
      </c>
      <c r="CT145" s="518" t="str">
        <f>IF(AND(_A6="A-321",'2025'!$G$4="FO",'2025'!$G$2=CT119),'2025DATA'!$M$28,"")</f>
        <v/>
      </c>
      <c r="CU145" s="520" t="str">
        <f>IF(AND(_A6="A-321",'2025'!$G$4="FO",'2025'!$G$2=CU119),'2025DATA'!$N$28,"")</f>
        <v/>
      </c>
    </row>
    <row r="146" spans="16:99" x14ac:dyDescent="0.25">
      <c r="P146" s="940" t="s">
        <v>70</v>
      </c>
      <c r="Q146" s="13" t="s">
        <v>61</v>
      </c>
      <c r="R146" s="518" t="str">
        <f>IF(AND(_A1="A-320",'2025'!$G$4="CA",'2025'!$G$2=R119),'2025DATA'!$C$29,"")</f>
        <v/>
      </c>
      <c r="S146" s="518" t="str">
        <f>IF(AND(_A1="A-320",'2025'!$G$4="CA",'2025'!$G$2=S119),'2025DATA'!$D$29,"")</f>
        <v/>
      </c>
      <c r="T146" s="518" t="str">
        <f>IF(AND(_A1="A-320",'2025'!$G$4="CA",'2025'!$G$2=T119),'2025DATA'!$E$29,"")</f>
        <v/>
      </c>
      <c r="U146" s="518" t="str">
        <f>IF(AND(_A1="A-320",'2025'!$G$4="CA",'2025'!$G$2=U119),'2025DATA'!$F$29,"")</f>
        <v/>
      </c>
      <c r="V146" s="518" t="str">
        <f>IF(AND(_A1="A-320",'2025'!$G$4="CA",'2025'!$G$2=V119),'2025DATA'!$G$29,"")</f>
        <v/>
      </c>
      <c r="W146" s="518" t="str">
        <f>IF(AND(_A1="A-320",'2025'!$G$4="CA",'2025'!$G$2=W119),'2025DATA'!$H$29,"")</f>
        <v/>
      </c>
      <c r="X146" s="518" t="str">
        <f>IF(AND(_A1="A-320",'2025'!$G$4="CA",'2025'!$G$2=X119),'2025DATA'!$I$29,"")</f>
        <v/>
      </c>
      <c r="Y146" s="518" t="str">
        <f>IF(AND(_A1="A-320",'2025'!$G$4="CA",'2025'!$G$2=Y119),'2025DATA'!$J$29,"")</f>
        <v/>
      </c>
      <c r="Z146" s="518" t="str">
        <f>IF(AND(_A1="A-320",'2025'!$G$4="CA",'2025'!$G$2=Z119),'2025DATA'!$K$29,"")</f>
        <v/>
      </c>
      <c r="AA146" s="518" t="str">
        <f>IF(AND(_A1="A-320",'2025'!$G$4="CA",'2025'!$G$2=AA119),'2025DATA'!$L$29,"")</f>
        <v/>
      </c>
      <c r="AB146" s="518" t="str">
        <f>IF(AND(_A1="A-320",'2025'!$G$4="CA",'2025'!$G$2=AB119),'2025DATA'!$M$29,"")</f>
        <v/>
      </c>
      <c r="AC146" s="520" t="str">
        <f>IF(AND(_A1="A-320",'2025'!$G$4="CA",'2025'!$G$2=AC119),'2025DATA'!$N$29,"")</f>
        <v/>
      </c>
      <c r="AD146" s="940" t="s">
        <v>70</v>
      </c>
      <c r="AE146" s="13" t="s">
        <v>61</v>
      </c>
      <c r="AF146" s="518" t="str">
        <f>IF(AND(_A2="A-320",'2025'!$G$4="CA",'2025'!$G$2=AF119),'2025DATA'!$C$29,"")</f>
        <v/>
      </c>
      <c r="AG146" s="518" t="str">
        <f>IF(AND(_A2="A-320",'2025'!$G$4="CA",'2025'!$G$2=AG119),'2025DATA'!$D$29,"")</f>
        <v/>
      </c>
      <c r="AH146" s="518" t="str">
        <f>IF(AND(_A2="A-320",'2025'!$G$4="CA",'2025'!$G$2=AH119),'2025DATA'!$E$29,"")</f>
        <v/>
      </c>
      <c r="AI146" s="518" t="str">
        <f>IF(AND(_A2="A-320",'2025'!$G$4="CA",'2025'!$G$2=AI119),'2025DATA'!$F$29,"")</f>
        <v/>
      </c>
      <c r="AJ146" s="518" t="str">
        <f>IF(AND(_A2="A-320",'2025'!$G$4="CA",'2025'!$G$2=AJ119),'2025DATA'!$G$29,"")</f>
        <v/>
      </c>
      <c r="AK146" s="518" t="str">
        <f>IF(AND(_A2="A-320",'2025'!$G$4="CA",'2025'!$G$2=AK119),'2025DATA'!$H$29,"")</f>
        <v/>
      </c>
      <c r="AL146" s="518" t="str">
        <f>IF(AND(_A2="A-320",'2025'!$G$4="CA",'2025'!$G$2=AL119),'2025DATA'!$I$29,"")</f>
        <v/>
      </c>
      <c r="AM146" s="518" t="str">
        <f>IF(AND(_A2="A-320",'2025'!$G$4="CA",'2025'!$G$2=AM119),'2025DATA'!$J$29,"")</f>
        <v/>
      </c>
      <c r="AN146" s="518" t="str">
        <f>IF(AND(_A2="A-320",'2025'!$G$4="CA",'2025'!$G$2=AN119),'2025DATA'!$K$29,"")</f>
        <v/>
      </c>
      <c r="AO146" s="518" t="str">
        <f>IF(AND(_A2="A-320",'2025'!$G$4="CA",'2025'!$G$2=AO119),'2025DATA'!$L$29,"")</f>
        <v/>
      </c>
      <c r="AP146" s="518" t="str">
        <f>IF(AND(_A2="A-320",'2025'!$G$4="CA",'2025'!$G$2=AP119),'2025DATA'!$M$29,"")</f>
        <v/>
      </c>
      <c r="AQ146" s="520" t="str">
        <f>IF(AND(_A2="A-320",'2025'!$G$4="CA",'2025'!$G$2=AQ119),'2025DATA'!$N$29,"")</f>
        <v/>
      </c>
      <c r="AR146" s="940" t="s">
        <v>70</v>
      </c>
      <c r="AS146" s="13" t="s">
        <v>61</v>
      </c>
      <c r="AT146" s="518" t="str">
        <f>IF(AND(_A3="A-320",'2025'!$G$4="CA",'2025'!$G$2=AT119),'2025DATA'!$C$29,"")</f>
        <v/>
      </c>
      <c r="AU146" s="518" t="str">
        <f>IF(AND(_A3="A-320",'2025'!$G$4="CA",'2025'!$G$2=AU119),'2025DATA'!$D$29,"")</f>
        <v/>
      </c>
      <c r="AV146" s="518" t="str">
        <f>IF(AND(_A3="A-320",'2025'!$G$4="CA",'2025'!$G$2=AV119),'2025DATA'!$E$29,"")</f>
        <v/>
      </c>
      <c r="AW146" s="518" t="str">
        <f>IF(AND(_A3="A-320",'2025'!$G$4="CA",'2025'!$G$2=AW119),'2025DATA'!$F$29,"")</f>
        <v/>
      </c>
      <c r="AX146" s="518" t="str">
        <f>IF(AND(_A3="A-320",'2025'!$G$4="CA",'2025'!$G$2=AX119),'2025DATA'!$G$29,"")</f>
        <v/>
      </c>
      <c r="AY146" s="518" t="str">
        <f>IF(AND(_A3="A-320",'2025'!$G$4="CA",'2025'!$G$2=AY119),'2025DATA'!$H$29,"")</f>
        <v/>
      </c>
      <c r="AZ146" s="518" t="str">
        <f>IF(AND(_A3="A-320",'2025'!$G$4="CA",'2025'!$G$2=AZ119),'2025DATA'!$I$29,"")</f>
        <v/>
      </c>
      <c r="BA146" s="518" t="str">
        <f>IF(AND(_A3="A-320",'2025'!$G$4="CA",'2025'!$G$2=BA119),'2025DATA'!$J$29,"")</f>
        <v/>
      </c>
      <c r="BB146" s="518" t="str">
        <f>IF(AND(_A3="A-320",'2025'!$G$4="CA",'2025'!$G$2=BB119),'2025DATA'!$K$29,"")</f>
        <v/>
      </c>
      <c r="BC146" s="518" t="str">
        <f>IF(AND(_A3="A-320",'2025'!$G$4="CA",'2025'!$G$2=BC119),'2025DATA'!$L$29,"")</f>
        <v/>
      </c>
      <c r="BD146" s="518" t="str">
        <f>IF(AND(_A3="A-320",'2025'!$G$4="CA",'2025'!$G$2=BD119),'2025DATA'!$M$29,"")</f>
        <v/>
      </c>
      <c r="BE146" s="520" t="str">
        <f>IF(AND(_A3="A-320",'2025'!$G$4="CA",'2025'!$G$2=BE119),'2025DATA'!$N$29,"")</f>
        <v/>
      </c>
      <c r="BF146" s="940" t="s">
        <v>70</v>
      </c>
      <c r="BG146" s="13" t="s">
        <v>61</v>
      </c>
      <c r="BH146" s="518" t="str">
        <f>IF(AND(_A4="A-320",'2025'!$G$4="CA",'2025'!$G$2=BH119),'2025DATA'!$C$29,"")</f>
        <v/>
      </c>
      <c r="BI146" s="518" t="str">
        <f>IF(AND(_A4="A-320",'2025'!$G$4="CA",'2025'!$G$2=BI119),'2025DATA'!$D$29,"")</f>
        <v/>
      </c>
      <c r="BJ146" s="518" t="str">
        <f>IF(AND(_A4="A-320",'2025'!$G$4="CA",'2025'!$G$2=BJ119),'2025DATA'!$E$29,"")</f>
        <v/>
      </c>
      <c r="BK146" s="518" t="str">
        <f>IF(AND(_A4="A-320",'2025'!$G$4="CA",'2025'!$G$2=BK119),'2025DATA'!$F$29,"")</f>
        <v/>
      </c>
      <c r="BL146" s="518" t="str">
        <f>IF(AND(_A4="A-320",'2025'!$G$4="CA",'2025'!$G$2=BL119),'2025DATA'!$G$29,"")</f>
        <v/>
      </c>
      <c r="BM146" s="518" t="str">
        <f>IF(AND(_A4="A-320",'2025'!$G$4="CA",'2025'!$G$2=BM119),'2025DATA'!$H$29,"")</f>
        <v/>
      </c>
      <c r="BN146" s="518" t="str">
        <f>IF(AND(_A4="A-320",'2025'!$G$4="CA",'2025'!$G$2=BN119),'2025DATA'!$I$29,"")</f>
        <v/>
      </c>
      <c r="BO146" s="518" t="str">
        <f>IF(AND(_A4="A-320",'2025'!$G$4="CA",'2025'!$G$2=BO119),'2025DATA'!$J$29,"")</f>
        <v/>
      </c>
      <c r="BP146" s="518" t="str">
        <f>IF(AND(_A4="A-320",'2025'!$G$4="CA",'2025'!$G$2=BP119),'2025DATA'!$K$29,"")</f>
        <v/>
      </c>
      <c r="BQ146" s="518" t="str">
        <f>IF(AND(_A4="A-320",'2025'!$G$4="CA",'2025'!$G$2=BQ119),'2025DATA'!$L$29,"")</f>
        <v/>
      </c>
      <c r="BR146" s="518" t="str">
        <f>IF(AND(_A4="A-320",'2025'!$G$4="CA",'2025'!$G$2=BR119),'2025DATA'!$M$29,"")</f>
        <v/>
      </c>
      <c r="BS146" s="520" t="str">
        <f>IF(AND(_A4="A-320",'2025'!$G$4="CA",'2025'!$G$2=BS119),'2025DATA'!$N$29,"")</f>
        <v/>
      </c>
      <c r="BT146" s="940" t="s">
        <v>70</v>
      </c>
      <c r="BU146" s="13" t="s">
        <v>61</v>
      </c>
      <c r="BV146" s="518" t="str">
        <f>IF(AND(_A5="A-320",'2025'!$G$4="CA",'2025'!$G$2=BV119),'2025DATA'!$C$29,"")</f>
        <v/>
      </c>
      <c r="BW146" s="518" t="str">
        <f>IF(AND(_A5="A-320",'2025'!$G$4="CA",'2025'!$G$2=BW119),'2025DATA'!$D$29,"")</f>
        <v/>
      </c>
      <c r="BX146" s="518" t="str">
        <f>IF(AND(_A5="A-320",'2025'!$G$4="CA",'2025'!$G$2=BX119),'2025DATA'!$E$29,"")</f>
        <v/>
      </c>
      <c r="BY146" s="518" t="str">
        <f>IF(AND(_A5="A-320",'2025'!$G$4="CA",'2025'!$G$2=BY119),'2025DATA'!$F$29,"")</f>
        <v/>
      </c>
      <c r="BZ146" s="518" t="str">
        <f>IF(AND(_A5="A-320",'2025'!$G$4="CA",'2025'!$G$2=BZ119),'2025DATA'!$G$29,"")</f>
        <v/>
      </c>
      <c r="CA146" s="518" t="str">
        <f>IF(AND(_A5="A-320",'2025'!$G$4="CA",'2025'!$G$2=CA119),'2025DATA'!$H$29,"")</f>
        <v/>
      </c>
      <c r="CB146" s="518" t="str">
        <f>IF(AND(_A5="A-320",'2025'!$G$4="CA",'2025'!$G$2=CB119),'2025DATA'!$I$29,"")</f>
        <v/>
      </c>
      <c r="CC146" s="518" t="str">
        <f>IF(AND(_A5="A-320",'2025'!$G$4="CA",'2025'!$G$2=CC119),'2025DATA'!$J$29,"")</f>
        <v/>
      </c>
      <c r="CD146" s="518" t="str">
        <f>IF(AND(_A5="A-320",'2025'!$G$4="CA",'2025'!$G$2=CD119),'2025DATA'!$K$29,"")</f>
        <v/>
      </c>
      <c r="CE146" s="518" t="str">
        <f>IF(AND(_A5="A-320",'2025'!$G$4="CA",'2025'!$G$2=CE119),'2025DATA'!$L$29,"")</f>
        <v/>
      </c>
      <c r="CF146" s="518" t="str">
        <f>IF(AND(_A5="A-320",'2025'!$G$4="CA",'2025'!$G$2=CF119),'2025DATA'!$M$29,"")</f>
        <v/>
      </c>
      <c r="CG146" s="520" t="str">
        <f>IF(AND(_A5="A-320",'2025'!$G$4="CA",'2025'!$G$2=CG119),'2025DATA'!$N$29,"")</f>
        <v/>
      </c>
      <c r="CH146" s="940" t="s">
        <v>70</v>
      </c>
      <c r="CI146" s="13" t="s">
        <v>61</v>
      </c>
      <c r="CJ146" s="518" t="str">
        <f>IF(AND(_A6="A-320",'2025'!$G$4="CA",'2025'!$G$2=CJ119),'2025DATA'!$C$29,"")</f>
        <v/>
      </c>
      <c r="CK146" s="518" t="str">
        <f>IF(AND(_A6="A-320",'2025'!$G$4="CA",'2025'!$G$2=CK119),'2025DATA'!$D$29,"")</f>
        <v/>
      </c>
      <c r="CL146" s="518" t="str">
        <f>IF(AND(_A6="A-320",'2025'!$G$4="CA",'2025'!$G$2=CL119),'2025DATA'!$E$29,"")</f>
        <v/>
      </c>
      <c r="CM146" s="518" t="str">
        <f>IF(AND(_A6="A-320",'2025'!$G$4="CA",'2025'!$G$2=CM119),'2025DATA'!$F$29,"")</f>
        <v/>
      </c>
      <c r="CN146" s="518" t="str">
        <f>IF(AND(_A6="A-320",'2025'!$G$4="CA",'2025'!$G$2=CN119),'2025DATA'!$G$29,"")</f>
        <v/>
      </c>
      <c r="CO146" s="518" t="str">
        <f>IF(AND(_A6="A-320",'2025'!$G$4="CA",'2025'!$G$2=CO119),'2025DATA'!$H$29,"")</f>
        <v/>
      </c>
      <c r="CP146" s="518" t="str">
        <f>IF(AND(_A6="A-320",'2025'!$G$4="CA",'2025'!$G$2=CP119),'2025DATA'!$I$29,"")</f>
        <v/>
      </c>
      <c r="CQ146" s="518" t="str">
        <f>IF(AND(_A6="A-320",'2025'!$G$4="CA",'2025'!$G$2=CQ119),'2025DATA'!$J$29,"")</f>
        <v/>
      </c>
      <c r="CR146" s="518" t="str">
        <f>IF(AND(_A6="A-320",'2025'!$G$4="CA",'2025'!$G$2=CR119),'2025DATA'!$K$29,"")</f>
        <v/>
      </c>
      <c r="CS146" s="518" t="str">
        <f>IF(AND(_A6="A-320",'2025'!$G$4="CA",'2025'!$G$2=CS119),'2025DATA'!$L$29,"")</f>
        <v/>
      </c>
      <c r="CT146" s="518" t="str">
        <f>IF(AND(_A6="A-320",'2025'!$G$4="CA",'2025'!$G$2=CT119),'2025DATA'!$M$29,"")</f>
        <v/>
      </c>
      <c r="CU146" s="520" t="str">
        <f>IF(AND(_A6="A-320",'2025'!$G$4="CA",'2025'!$G$2=CU119),'2025DATA'!$N$29,"")</f>
        <v/>
      </c>
    </row>
    <row r="147" spans="16:99" x14ac:dyDescent="0.25">
      <c r="P147" s="940"/>
      <c r="Q147" s="13" t="s">
        <v>62</v>
      </c>
      <c r="R147" s="518" t="str">
        <f>IF(AND(_A1="A-320",'2025'!$G$4="FO",'2025'!$G$2=R119),'2025DATA'!$C$30,"")</f>
        <v/>
      </c>
      <c r="S147" s="518" t="str">
        <f>IF(AND(_A1="A-320",'2025'!$G$4="FO",'2025'!$G$2=S119),'2025DATA'!$D$30,"")</f>
        <v/>
      </c>
      <c r="T147" s="518" t="str">
        <f>IF(AND(_A1="A-320",'2025'!$G$4="FO",'2025'!$G$2=T119),'2025DATA'!$E$30,"")</f>
        <v/>
      </c>
      <c r="U147" s="518" t="str">
        <f>IF(AND(_A1="A-320",'2025'!$G$4="FO",'2025'!$G$2=U119),'2025DATA'!$F$30,"")</f>
        <v/>
      </c>
      <c r="V147" s="518" t="str">
        <f>IF(AND(_A1="A-320",'2025'!$G$4="FO",'2025'!$G$2=V119),'2025DATA'!$G$30,"")</f>
        <v/>
      </c>
      <c r="W147" s="518" t="str">
        <f>IF(AND(_A1="A-320",'2025'!$G$4="FO",'2025'!$G$2=W119),'2025DATA'!$H$30,"")</f>
        <v/>
      </c>
      <c r="X147" s="518" t="str">
        <f>IF(AND(_A1="A-320",'2025'!$G$4="FO",'2025'!$G$2=X119),'2025DATA'!$I$30,"")</f>
        <v/>
      </c>
      <c r="Y147" s="518" t="str">
        <f>IF(AND(_A1="A-320",'2025'!$G$4="FO",'2025'!$G$2=Y119),'2025DATA'!$J$30,"")</f>
        <v/>
      </c>
      <c r="Z147" s="518" t="str">
        <f>IF(AND(_A1="A-320",'2025'!$G$4="FO",'2025'!$G$2=Z119),'2025DATA'!$K$30,"")</f>
        <v/>
      </c>
      <c r="AA147" s="518" t="str">
        <f>IF(AND(_A1="A-320",'2025'!$G$4="FO",'2025'!$G$2=AA119),'2025DATA'!$L$30,"")</f>
        <v/>
      </c>
      <c r="AB147" s="518" t="str">
        <f>IF(AND(_A1="A-320",'2025'!$G$4="FO",'2025'!$G$2=AB119),'2025DATA'!$M$30,"")</f>
        <v/>
      </c>
      <c r="AC147" s="520" t="str">
        <f>IF(AND(_A1="A-320",'2025'!$G$4="FO",'2025'!$G$2=AC119),'2025DATA'!$N$30,"")</f>
        <v/>
      </c>
      <c r="AD147" s="940"/>
      <c r="AE147" s="13" t="s">
        <v>62</v>
      </c>
      <c r="AF147" s="518" t="str">
        <f>IF(AND(_A2="A-320",'2025'!$G$4="FO",'2025'!$G$2=AF119),'2025DATA'!$C$30,"")</f>
        <v/>
      </c>
      <c r="AG147" s="518" t="str">
        <f>IF(AND(_A2="A-320",'2025'!$G$4="FO",'2025'!$G$2=AG119),'2025DATA'!$D$30,"")</f>
        <v/>
      </c>
      <c r="AH147" s="518" t="str">
        <f>IF(AND(_A2="A-320",'2025'!$G$4="FO",'2025'!$G$2=AH119),'2025DATA'!$E$30,"")</f>
        <v/>
      </c>
      <c r="AI147" s="518" t="str">
        <f>IF(AND(_A2="A-320",'2025'!$G$4="FO",'2025'!$G$2=AI119),'2025DATA'!$F$30,"")</f>
        <v/>
      </c>
      <c r="AJ147" s="518" t="str">
        <f>IF(AND(_A2="A-320",'2025'!$G$4="FO",'2025'!$G$2=AJ119),'2025DATA'!$G$30,"")</f>
        <v/>
      </c>
      <c r="AK147" s="518" t="str">
        <f>IF(AND(_A2="A-320",'2025'!$G$4="FO",'2025'!$G$2=AK119),'2025DATA'!$H$30,"")</f>
        <v/>
      </c>
      <c r="AL147" s="518" t="str">
        <f>IF(AND(_A2="A-320",'2025'!$G$4="FO",'2025'!$G$2=AL119),'2025DATA'!$I$30,"")</f>
        <v/>
      </c>
      <c r="AM147" s="518" t="str">
        <f>IF(AND(_A2="A-320",'2025'!$G$4="FO",'2025'!$G$2=AM119),'2025DATA'!$J$30,"")</f>
        <v/>
      </c>
      <c r="AN147" s="518" t="str">
        <f>IF(AND(_A2="A-320",'2025'!$G$4="FO",'2025'!$G$2=AN119),'2025DATA'!$K$30,"")</f>
        <v/>
      </c>
      <c r="AO147" s="518" t="str">
        <f>IF(AND(_A2="A-320",'2025'!$G$4="FO",'2025'!$G$2=AO119),'2025DATA'!$L$30,"")</f>
        <v/>
      </c>
      <c r="AP147" s="518" t="str">
        <f>IF(AND(_A2="A-320",'2025'!$G$4="FO",'2025'!$G$2=AP119),'2025DATA'!$M$30,"")</f>
        <v/>
      </c>
      <c r="AQ147" s="520" t="str">
        <f>IF(AND(_A2="A-320",'2025'!$G$4="FO",'2025'!$G$2=AQ119),'2025DATA'!$N$30,"")</f>
        <v/>
      </c>
      <c r="AR147" s="940"/>
      <c r="AS147" s="13" t="s">
        <v>62</v>
      </c>
      <c r="AT147" s="518" t="str">
        <f>IF(AND(_A3="A-320",'2025'!$G$4="FO",'2025'!$G$2=AT119),'2025DATA'!$C$30,"")</f>
        <v/>
      </c>
      <c r="AU147" s="518" t="str">
        <f>IF(AND(_A3="A-320",'2025'!$G$4="FO",'2025'!$G$2=AU119),'2025DATA'!$D$30,"")</f>
        <v/>
      </c>
      <c r="AV147" s="518" t="str">
        <f>IF(AND(_A3="A-320",'2025'!$G$4="FO",'2025'!$G$2=AV119),'2025DATA'!$E$30,"")</f>
        <v/>
      </c>
      <c r="AW147" s="518" t="str">
        <f>IF(AND(_A3="A-320",'2025'!$G$4="FO",'2025'!$G$2=AW119),'2025DATA'!$F$30,"")</f>
        <v/>
      </c>
      <c r="AX147" s="518" t="str">
        <f>IF(AND(_A3="A-320",'2025'!$G$4="FO",'2025'!$G$2=AX119),'2025DATA'!$G$30,"")</f>
        <v/>
      </c>
      <c r="AY147" s="518" t="str">
        <f>IF(AND(_A3="A-320",'2025'!$G$4="FO",'2025'!$G$2=AY119),'2025DATA'!$H$30,"")</f>
        <v/>
      </c>
      <c r="AZ147" s="518" t="str">
        <f>IF(AND(_A3="A-320",'2025'!$G$4="FO",'2025'!$G$2=AZ119),'2025DATA'!$I$30,"")</f>
        <v/>
      </c>
      <c r="BA147" s="518" t="str">
        <f>IF(AND(_A3="A-320",'2025'!$G$4="FO",'2025'!$G$2=BA119),'2025DATA'!$J$30,"")</f>
        <v/>
      </c>
      <c r="BB147" s="518" t="str">
        <f>IF(AND(_A3="A-320",'2025'!$G$4="FO",'2025'!$G$2=BB119),'2025DATA'!$K$30,"")</f>
        <v/>
      </c>
      <c r="BC147" s="518" t="str">
        <f>IF(AND(_A3="A-320",'2025'!$G$4="FO",'2025'!$G$2=BC119),'2025DATA'!$L$30,"")</f>
        <v/>
      </c>
      <c r="BD147" s="518" t="str">
        <f>IF(AND(_A3="A-320",'2025'!$G$4="FO",'2025'!$G$2=BD119),'2025DATA'!$M$30,"")</f>
        <v/>
      </c>
      <c r="BE147" s="520" t="str">
        <f>IF(AND(_A3="A-320",'2025'!$G$4="FO",'2025'!$G$2=BE119),'2025DATA'!$N$30,"")</f>
        <v/>
      </c>
      <c r="BF147" s="940"/>
      <c r="BG147" s="13" t="s">
        <v>62</v>
      </c>
      <c r="BH147" s="518" t="str">
        <f>IF(AND(_A4="A-320",'2025'!$G$4="FO",'2025'!$G$2=BH119),'2025DATA'!$C$30,"")</f>
        <v/>
      </c>
      <c r="BI147" s="518" t="str">
        <f>IF(AND(_A4="A-320",'2025'!$G$4="FO",'2025'!$G$2=BI119),'2025DATA'!$D$30,"")</f>
        <v/>
      </c>
      <c r="BJ147" s="518" t="str">
        <f>IF(AND(_A4="A-320",'2025'!$G$4="FO",'2025'!$G$2=BJ119),'2025DATA'!$E$30,"")</f>
        <v/>
      </c>
      <c r="BK147" s="518" t="str">
        <f>IF(AND(_A4="A-320",'2025'!$G$4="FO",'2025'!$G$2=BK119),'2025DATA'!$F$30,"")</f>
        <v/>
      </c>
      <c r="BL147" s="518" t="str">
        <f>IF(AND(_A4="A-320",'2025'!$G$4="FO",'2025'!$G$2=BL119),'2025DATA'!$G$30,"")</f>
        <v/>
      </c>
      <c r="BM147" s="518" t="str">
        <f>IF(AND(_A4="A-320",'2025'!$G$4="FO",'2025'!$G$2=BM119),'2025DATA'!$H$30,"")</f>
        <v/>
      </c>
      <c r="BN147" s="518" t="str">
        <f>IF(AND(_A4="A-320",'2025'!$G$4="FO",'2025'!$G$2=BN119),'2025DATA'!$I$30,"")</f>
        <v/>
      </c>
      <c r="BO147" s="518" t="str">
        <f>IF(AND(_A4="A-320",'2025'!$G$4="FO",'2025'!$G$2=BO119),'2025DATA'!$J$30,"")</f>
        <v/>
      </c>
      <c r="BP147" s="518" t="str">
        <f>IF(AND(_A4="A-320",'2025'!$G$4="FO",'2025'!$G$2=BP119),'2025DATA'!$K$30,"")</f>
        <v/>
      </c>
      <c r="BQ147" s="518" t="str">
        <f>IF(AND(_A4="A-320",'2025'!$G$4="FO",'2025'!$G$2=BQ119),'2025DATA'!$L$30,"")</f>
        <v/>
      </c>
      <c r="BR147" s="518" t="str">
        <f>IF(AND(_A4="A-320",'2025'!$G$4="FO",'2025'!$G$2=BR119),'2025DATA'!$M$30,"")</f>
        <v/>
      </c>
      <c r="BS147" s="520" t="str">
        <f>IF(AND(_A4="A-320",'2025'!$G$4="FO",'2025'!$G$2=BS119),'2025DATA'!$N$30,"")</f>
        <v/>
      </c>
      <c r="BT147" s="940"/>
      <c r="BU147" s="13" t="s">
        <v>62</v>
      </c>
      <c r="BV147" s="518" t="str">
        <f>IF(AND(_A5="A-320",'2025'!$G$4="FO",'2025'!$G$2=BV119),'2025DATA'!$C$30,"")</f>
        <v/>
      </c>
      <c r="BW147" s="518" t="str">
        <f>IF(AND(_A5="A-320",'2025'!$G$4="FO",'2025'!$G$2=BW119),'2025DATA'!$D$30,"")</f>
        <v/>
      </c>
      <c r="BX147" s="518" t="str">
        <f>IF(AND(_A5="A-320",'2025'!$G$4="FO",'2025'!$G$2=BX119),'2025DATA'!$E$30,"")</f>
        <v/>
      </c>
      <c r="BY147" s="518" t="str">
        <f>IF(AND(_A5="A-320",'2025'!$G$4="FO",'2025'!$G$2=BY119),'2025DATA'!$F$30,"")</f>
        <v/>
      </c>
      <c r="BZ147" s="518" t="str">
        <f>IF(AND(_A5="A-320",'2025'!$G$4="FO",'2025'!$G$2=BZ119),'2025DATA'!$G$30,"")</f>
        <v/>
      </c>
      <c r="CA147" s="518" t="str">
        <f>IF(AND(_A5="A-320",'2025'!$G$4="FO",'2025'!$G$2=CA119),'2025DATA'!$H$30,"")</f>
        <v/>
      </c>
      <c r="CB147" s="518" t="str">
        <f>IF(AND(_A5="A-320",'2025'!$G$4="FO",'2025'!$G$2=CB119),'2025DATA'!$I$30,"")</f>
        <v/>
      </c>
      <c r="CC147" s="518" t="str">
        <f>IF(AND(_A5="A-320",'2025'!$G$4="FO",'2025'!$G$2=CC119),'2025DATA'!$J$30,"")</f>
        <v/>
      </c>
      <c r="CD147" s="518" t="str">
        <f>IF(AND(_A5="A-320",'2025'!$G$4="FO",'2025'!$G$2=CD119),'2025DATA'!$K$30,"")</f>
        <v/>
      </c>
      <c r="CE147" s="518" t="str">
        <f>IF(AND(_A5="A-320",'2025'!$G$4="FO",'2025'!$G$2=CE119),'2025DATA'!$L$30,"")</f>
        <v/>
      </c>
      <c r="CF147" s="518" t="str">
        <f>IF(AND(_A5="A-320",'2025'!$G$4="FO",'2025'!$G$2=CF119),'2025DATA'!$M$30,"")</f>
        <v/>
      </c>
      <c r="CG147" s="520" t="str">
        <f>IF(AND(_A5="A-320",'2025'!$G$4="FO",'2025'!$G$2=CG119),'2025DATA'!$N$30,"")</f>
        <v/>
      </c>
      <c r="CH147" s="940"/>
      <c r="CI147" s="13" t="s">
        <v>62</v>
      </c>
      <c r="CJ147" s="518" t="str">
        <f>IF(AND(_A6="A-320",'2025'!$G$4="FO",'2025'!$G$2=CJ119),'2025DATA'!$C$30,"")</f>
        <v/>
      </c>
      <c r="CK147" s="518" t="str">
        <f>IF(AND(_A6="A-320",'2025'!$G$4="FO",'2025'!$G$2=CK119),'2025DATA'!$D$30,"")</f>
        <v/>
      </c>
      <c r="CL147" s="518" t="str">
        <f>IF(AND(_A6="A-320",'2025'!$G$4="FO",'2025'!$G$2=CL119),'2025DATA'!$E$30,"")</f>
        <v/>
      </c>
      <c r="CM147" s="518" t="str">
        <f>IF(AND(_A6="A-320",'2025'!$G$4="FO",'2025'!$G$2=CM119),'2025DATA'!$F$30,"")</f>
        <v/>
      </c>
      <c r="CN147" s="518" t="str">
        <f>IF(AND(_A6="A-320",'2025'!$G$4="FO",'2025'!$G$2=CN119),'2025DATA'!$G$30,"")</f>
        <v/>
      </c>
      <c r="CO147" s="518" t="str">
        <f>IF(AND(_A6="A-320",'2025'!$G$4="FO",'2025'!$G$2=CO119),'2025DATA'!$H$30,"")</f>
        <v/>
      </c>
      <c r="CP147" s="518" t="str">
        <f>IF(AND(_A6="A-320",'2025'!$G$4="FO",'2025'!$G$2=CP119),'2025DATA'!$I$30,"")</f>
        <v/>
      </c>
      <c r="CQ147" s="518" t="str">
        <f>IF(AND(_A6="A-320",'2025'!$G$4="FO",'2025'!$G$2=CQ119),'2025DATA'!$J$30,"")</f>
        <v/>
      </c>
      <c r="CR147" s="518" t="str">
        <f>IF(AND(_A6="A-320",'2025'!$G$4="FO",'2025'!$G$2=CR119),'2025DATA'!$K$30,"")</f>
        <v/>
      </c>
      <c r="CS147" s="518" t="str">
        <f>IF(AND(_A6="A-320",'2025'!$G$4="FO",'2025'!$G$2=CS119),'2025DATA'!$L$30,"")</f>
        <v/>
      </c>
      <c r="CT147" s="518" t="str">
        <f>IF(AND(_A6="A-320",'2025'!$G$4="FO",'2025'!$G$2=CT119),'2025DATA'!$M$30,"")</f>
        <v/>
      </c>
      <c r="CU147" s="520" t="str">
        <f>IF(AND(_A6="A-320",'2025'!$G$4="FO",'2025'!$G$2=CU119),'2025DATA'!$N$30,"")</f>
        <v/>
      </c>
    </row>
    <row r="148" spans="16:99" x14ac:dyDescent="0.25">
      <c r="P148" s="940" t="s">
        <v>71</v>
      </c>
      <c r="Q148" s="13" t="s">
        <v>61</v>
      </c>
      <c r="R148" s="518" t="str">
        <f>IF(AND(_A1="A-319",'2025'!$G$4="CA",'2025'!$G$2=R119),'2025DATA'!$C$31,"")</f>
        <v/>
      </c>
      <c r="S148" s="518" t="str">
        <f>IF(AND(_A1="A-319",'2025'!$G$4="CA",'2025'!$G$2=S119),'2025DATA'!$D$31,"")</f>
        <v/>
      </c>
      <c r="T148" s="518" t="str">
        <f>IF(AND(_A1="A-319",'2025'!$G$4="CA",'2025'!$G$2=T119),'2025DATA'!$E$31,"")</f>
        <v/>
      </c>
      <c r="U148" s="518" t="str">
        <f>IF(AND(_A1="A-319",'2025'!$G$4="CA",'2025'!$G$2=U119),'2025DATA'!$F$31,"")</f>
        <v/>
      </c>
      <c r="V148" s="518" t="str">
        <f>IF(AND(_A1="A-319",'2025'!$G$4="CA",'2025'!$G$2=V119),'2025DATA'!$G$31,"")</f>
        <v/>
      </c>
      <c r="W148" s="518" t="str">
        <f>IF(AND(_A1="A-319",'2025'!$G$4="CA",'2025'!$G$2=W119),'2025DATA'!$H$31,"")</f>
        <v/>
      </c>
      <c r="X148" s="518" t="str">
        <f>IF(AND(_A1="A-319",'2025'!$G$4="CA",'2025'!$G$2=X119),'2025DATA'!$I$31,"")</f>
        <v/>
      </c>
      <c r="Y148" s="518" t="str">
        <f>IF(AND(_A1="A-319",'2025'!$G$4="CA",'2025'!$G$2=Y119),'2025DATA'!$J$31,"")</f>
        <v/>
      </c>
      <c r="Z148" s="518" t="str">
        <f>IF(AND(_A1="A-319",'2025'!$G$4="CA",'2025'!$G$2=Z119),'2025DATA'!$K$31,"")</f>
        <v/>
      </c>
      <c r="AA148" s="518" t="str">
        <f>IF(AND(_A1="A-319",'2025'!$G$4="CA",'2025'!$G$2=AA119),'2025DATA'!$L$31,"")</f>
        <v/>
      </c>
      <c r="AB148" s="518" t="str">
        <f>IF(AND(_A1="A-319",'2025'!$G$4="CA",'2025'!$G$2=AB119),'2025DATA'!$M$31,"")</f>
        <v/>
      </c>
      <c r="AC148" s="520" t="str">
        <f>IF(AND(_A1="A-319",'2025'!$G$4="CA",'2025'!$G$2=AC119),'2025DATA'!$N$31,"")</f>
        <v/>
      </c>
      <c r="AD148" s="940" t="s">
        <v>71</v>
      </c>
      <c r="AE148" s="13" t="s">
        <v>61</v>
      </c>
      <c r="AF148" s="518" t="str">
        <f>IF(AND(_A2="A-319",'2025'!$G$4="CA",'2025'!$G$2=AF119),'2025DATA'!$C$31,"")</f>
        <v/>
      </c>
      <c r="AG148" s="518" t="str">
        <f>IF(AND(_A2="A-319",'2025'!$G$4="CA",'2025'!$G$2=AG119),'2025DATA'!$D$31,"")</f>
        <v/>
      </c>
      <c r="AH148" s="518" t="str">
        <f>IF(AND(_A2="A-319",'2025'!$G$4="CA",'2025'!$G$2=AH119),'2025DATA'!$E$31,"")</f>
        <v/>
      </c>
      <c r="AI148" s="518" t="str">
        <f>IF(AND(_A2="A-319",'2025'!$G$4="CA",'2025'!$G$2=AI119),'2025DATA'!$F$31,"")</f>
        <v/>
      </c>
      <c r="AJ148" s="518" t="str">
        <f>IF(AND(_A2="A-319",'2025'!$G$4="CA",'2025'!$G$2=AJ119),'2025DATA'!$G$31,"")</f>
        <v/>
      </c>
      <c r="AK148" s="518" t="str">
        <f>IF(AND(_A2="A-319",'2025'!$G$4="CA",'2025'!$G$2=AK119),'2025DATA'!$H$31,"")</f>
        <v/>
      </c>
      <c r="AL148" s="518" t="str">
        <f>IF(AND(_A2="A-319",'2025'!$G$4="CA",'2025'!$G$2=AL119),'2025DATA'!$I$31,"")</f>
        <v/>
      </c>
      <c r="AM148" s="518" t="str">
        <f>IF(AND(_A2="A-319",'2025'!$G$4="CA",'2025'!$G$2=AM119),'2025DATA'!$J$31,"")</f>
        <v/>
      </c>
      <c r="AN148" s="518" t="str">
        <f>IF(AND(_A2="A-319",'2025'!$G$4="CA",'2025'!$G$2=AN119),'2025DATA'!$K$31,"")</f>
        <v/>
      </c>
      <c r="AO148" s="518" t="str">
        <f>IF(AND(_A2="A-319",'2025'!$G$4="CA",'2025'!$G$2=AO119),'2025DATA'!$L$31,"")</f>
        <v/>
      </c>
      <c r="AP148" s="518" t="str">
        <f>IF(AND(_A2="A-319",'2025'!$G$4="CA",'2025'!$G$2=AP119),'2025DATA'!$M$31,"")</f>
        <v/>
      </c>
      <c r="AQ148" s="520" t="str">
        <f>IF(AND(_A2="A-319",'2025'!$G$4="CA",'2025'!$G$2=AQ119),'2025DATA'!$N$31,"")</f>
        <v/>
      </c>
      <c r="AR148" s="940" t="s">
        <v>71</v>
      </c>
      <c r="AS148" s="13" t="s">
        <v>61</v>
      </c>
      <c r="AT148" s="518" t="str">
        <f>IF(AND(_A3="A-319",'2025'!$G$4="CA",'2025'!$G$2=AT119),'2025DATA'!$C$31,"")</f>
        <v/>
      </c>
      <c r="AU148" s="518" t="str">
        <f>IF(AND(_A3="A-319",'2025'!$G$4="CA",'2025'!$G$2=AU119),'2025DATA'!$D$31,"")</f>
        <v/>
      </c>
      <c r="AV148" s="518" t="str">
        <f>IF(AND(_A3="A-319",'2025'!$G$4="CA",'2025'!$G$2=AV119),'2025DATA'!$E$31,"")</f>
        <v/>
      </c>
      <c r="AW148" s="518" t="str">
        <f>IF(AND(_A3="A-319",'2025'!$G$4="CA",'2025'!$G$2=AW119),'2025DATA'!$F$31,"")</f>
        <v/>
      </c>
      <c r="AX148" s="518" t="str">
        <f>IF(AND(_A3="A-319",'2025'!$G$4="CA",'2025'!$G$2=AX119),'2025DATA'!$G$31,"")</f>
        <v/>
      </c>
      <c r="AY148" s="518" t="str">
        <f>IF(AND(_A3="A-319",'2025'!$G$4="CA",'2025'!$G$2=AY119),'2025DATA'!$H$31,"")</f>
        <v/>
      </c>
      <c r="AZ148" s="518" t="str">
        <f>IF(AND(_A3="A-319",'2025'!$G$4="CA",'2025'!$G$2=AZ119),'2025DATA'!$I$31,"")</f>
        <v/>
      </c>
      <c r="BA148" s="518" t="str">
        <f>IF(AND(_A3="A-319",'2025'!$G$4="CA",'2025'!$G$2=BA119),'2025DATA'!$J$31,"")</f>
        <v/>
      </c>
      <c r="BB148" s="518" t="str">
        <f>IF(AND(_A3="A-319",'2025'!$G$4="CA",'2025'!$G$2=BB119),'2025DATA'!$K$31,"")</f>
        <v/>
      </c>
      <c r="BC148" s="518" t="str">
        <f>IF(AND(_A3="A-319",'2025'!$G$4="CA",'2025'!$G$2=BC119),'2025DATA'!$L$31,"")</f>
        <v/>
      </c>
      <c r="BD148" s="518" t="str">
        <f>IF(AND(_A3="A-319",'2025'!$G$4="CA",'2025'!$G$2=BD119),'2025DATA'!$M$31,"")</f>
        <v/>
      </c>
      <c r="BE148" s="520" t="str">
        <f>IF(AND(_A3="A-319",'2025'!$G$4="CA",'2025'!$G$2=BE119),'2025DATA'!$N$31,"")</f>
        <v/>
      </c>
      <c r="BF148" s="940" t="s">
        <v>71</v>
      </c>
      <c r="BG148" s="13" t="s">
        <v>61</v>
      </c>
      <c r="BH148" s="518" t="str">
        <f>IF(AND(_A4="A-319",'2025'!$G$4="CA",'2025'!$G$2=BH119),'2025DATA'!$C$31,"")</f>
        <v/>
      </c>
      <c r="BI148" s="518" t="str">
        <f>IF(AND(_A4="A-319",'2025'!$G$4="CA",'2025'!$G$2=BI119),'2025DATA'!$D$31,"")</f>
        <v/>
      </c>
      <c r="BJ148" s="518" t="str">
        <f>IF(AND(_A4="A-319",'2025'!$G$4="CA",'2025'!$G$2=BJ119),'2025DATA'!$E$31,"")</f>
        <v/>
      </c>
      <c r="BK148" s="518" t="str">
        <f>IF(AND(_A4="A-319",'2025'!$G$4="CA",'2025'!$G$2=BK119),'2025DATA'!$F$31,"")</f>
        <v/>
      </c>
      <c r="BL148" s="518" t="str">
        <f>IF(AND(_A4="A-319",'2025'!$G$4="CA",'2025'!$G$2=BL119),'2025DATA'!$G$31,"")</f>
        <v/>
      </c>
      <c r="BM148" s="518" t="str">
        <f>IF(AND(_A4="A-319",'2025'!$G$4="CA",'2025'!$G$2=BM119),'2025DATA'!$H$31,"")</f>
        <v/>
      </c>
      <c r="BN148" s="518" t="str">
        <f>IF(AND(_A4="A-319",'2025'!$G$4="CA",'2025'!$G$2=BN119),'2025DATA'!$I$31,"")</f>
        <v/>
      </c>
      <c r="BO148" s="518" t="str">
        <f>IF(AND(_A4="A-319",'2025'!$G$4="CA",'2025'!$G$2=BO119),'2025DATA'!$J$31,"")</f>
        <v/>
      </c>
      <c r="BP148" s="518" t="str">
        <f>IF(AND(_A4="A-319",'2025'!$G$4="CA",'2025'!$G$2=BP119),'2025DATA'!$K$31,"")</f>
        <v/>
      </c>
      <c r="BQ148" s="518" t="str">
        <f>IF(AND(_A4="A-319",'2025'!$G$4="CA",'2025'!$G$2=BQ119),'2025DATA'!$L$31,"")</f>
        <v/>
      </c>
      <c r="BR148" s="518" t="str">
        <f>IF(AND(_A4="A-319",'2025'!$G$4="CA",'2025'!$G$2=BR119),'2025DATA'!$M$31,"")</f>
        <v/>
      </c>
      <c r="BS148" s="520" t="str">
        <f>IF(AND(_A4="A-319",'2025'!$G$4="CA",'2025'!$G$2=BS119),'2025DATA'!$N$31,"")</f>
        <v/>
      </c>
      <c r="BT148" s="940" t="s">
        <v>71</v>
      </c>
      <c r="BU148" s="13" t="s">
        <v>61</v>
      </c>
      <c r="BV148" s="518" t="str">
        <f>IF(AND(_A5="A-319",'2025'!$G$4="CA",'2025'!$G$2=BV119),'2025DATA'!$C$31,"")</f>
        <v/>
      </c>
      <c r="BW148" s="518" t="str">
        <f>IF(AND(_A5="A-319",'2025'!$G$4="CA",'2025'!$G$2=BW119),'2025DATA'!$D$31,"")</f>
        <v/>
      </c>
      <c r="BX148" s="518" t="str">
        <f>IF(AND(_A5="A-319",'2025'!$G$4="CA",'2025'!$G$2=BX119),'2025DATA'!$E$31,"")</f>
        <v/>
      </c>
      <c r="BY148" s="518" t="str">
        <f>IF(AND(_A5="A-319",'2025'!$G$4="CA",'2025'!$G$2=BY119),'2025DATA'!$F$31,"")</f>
        <v/>
      </c>
      <c r="BZ148" s="518" t="str">
        <f>IF(AND(_A5="A-319",'2025'!$G$4="CA",'2025'!$G$2=BZ119),'2025DATA'!$G$31,"")</f>
        <v/>
      </c>
      <c r="CA148" s="518" t="str">
        <f>IF(AND(_A5="A-319",'2025'!$G$4="CA",'2025'!$G$2=CA119),'2025DATA'!$H$31,"")</f>
        <v/>
      </c>
      <c r="CB148" s="518" t="str">
        <f>IF(AND(_A5="A-319",'2025'!$G$4="CA",'2025'!$G$2=CB119),'2025DATA'!$I$31,"")</f>
        <v/>
      </c>
      <c r="CC148" s="518" t="str">
        <f>IF(AND(_A5="A-319",'2025'!$G$4="CA",'2025'!$G$2=CC119),'2025DATA'!$J$31,"")</f>
        <v/>
      </c>
      <c r="CD148" s="518" t="str">
        <f>IF(AND(_A5="A-319",'2025'!$G$4="CA",'2025'!$G$2=CD119),'2025DATA'!$K$31,"")</f>
        <v/>
      </c>
      <c r="CE148" s="518" t="str">
        <f>IF(AND(_A5="A-319",'2025'!$G$4="CA",'2025'!$G$2=CE119),'2025DATA'!$L$31,"")</f>
        <v/>
      </c>
      <c r="CF148" s="518" t="str">
        <f>IF(AND(_A5="A-319",'2025'!$G$4="CA",'2025'!$G$2=CF119),'2025DATA'!$M$31,"")</f>
        <v/>
      </c>
      <c r="CG148" s="520" t="str">
        <f>IF(AND(_A5="A-319",'2025'!$G$4="CA",'2025'!$G$2=CG119),'2025DATA'!$N$31,"")</f>
        <v/>
      </c>
      <c r="CH148" s="940" t="s">
        <v>71</v>
      </c>
      <c r="CI148" s="13" t="s">
        <v>61</v>
      </c>
      <c r="CJ148" s="518" t="str">
        <f>IF(AND(_A6="A-319",'2025'!$G$4="CA",'2025'!$G$2=CJ119),'2025DATA'!$C$31,"")</f>
        <v/>
      </c>
      <c r="CK148" s="518" t="str">
        <f>IF(AND(_A6="A-319",'2025'!$G$4="CA",'2025'!$G$2=CK119),'2025DATA'!$D$31,"")</f>
        <v/>
      </c>
      <c r="CL148" s="518" t="str">
        <f>IF(AND(_A6="A-319",'2025'!$G$4="CA",'2025'!$G$2=CL119),'2025DATA'!$E$31,"")</f>
        <v/>
      </c>
      <c r="CM148" s="518" t="str">
        <f>IF(AND(_A6="A-319",'2025'!$G$4="CA",'2025'!$G$2=CM119),'2025DATA'!$F$31,"")</f>
        <v/>
      </c>
      <c r="CN148" s="518" t="str">
        <f>IF(AND(_A6="A-319",'2025'!$G$4="CA",'2025'!$G$2=CN119),'2025DATA'!$G$31,"")</f>
        <v/>
      </c>
      <c r="CO148" s="518" t="str">
        <f>IF(AND(_A6="A-319",'2025'!$G$4="CA",'2025'!$G$2=CO119),'2025DATA'!$H$31,"")</f>
        <v/>
      </c>
      <c r="CP148" s="518" t="str">
        <f>IF(AND(_A6="A-319",'2025'!$G$4="CA",'2025'!$G$2=CP119),'2025DATA'!$I$31,"")</f>
        <v/>
      </c>
      <c r="CQ148" s="518" t="str">
        <f>IF(AND(_A6="A-319",'2025'!$G$4="CA",'2025'!$G$2=CQ119),'2025DATA'!$J$31,"")</f>
        <v/>
      </c>
      <c r="CR148" s="518" t="str">
        <f>IF(AND(_A6="A-319",'2025'!$G$4="CA",'2025'!$G$2=CR119),'2025DATA'!$K$31,"")</f>
        <v/>
      </c>
      <c r="CS148" s="518" t="str">
        <f>IF(AND(_A6="A-319",'2025'!$G$4="CA",'2025'!$G$2=CS119),'2025DATA'!$L$31,"")</f>
        <v/>
      </c>
      <c r="CT148" s="518" t="str">
        <f>IF(AND(_A6="A-319",'2025'!$G$4="CA",'2025'!$G$2=CT119),'2025DATA'!$M$31,"")</f>
        <v/>
      </c>
      <c r="CU148" s="520" t="str">
        <f>IF(AND(_A6="A-319",'2025'!$G$4="CA",'2025'!$G$2=CU119),'2025DATA'!$N$31,"")</f>
        <v/>
      </c>
    </row>
    <row r="149" spans="16:99" x14ac:dyDescent="0.25">
      <c r="P149" s="940"/>
      <c r="Q149" s="13" t="s">
        <v>62</v>
      </c>
      <c r="R149" s="518" t="str">
        <f>IF(AND(_A1="A-319",'2025'!$G$4="FO",'2025'!$G$2=R119),'2025DATA'!$C$32,"")</f>
        <v/>
      </c>
      <c r="S149" s="518" t="str">
        <f>IF(AND(_A1="A-319",'2025'!$G$4="FO",'2025'!$G$2=S119),'2025DATA'!$D$32,"")</f>
        <v/>
      </c>
      <c r="T149" s="518" t="str">
        <f>IF(AND(_A1="A-319",'2025'!$G$4="FO",'2025'!$G$2=T119),'2025DATA'!$E$32,"")</f>
        <v/>
      </c>
      <c r="U149" s="518" t="str">
        <f>IF(AND(_A1="A-319",'2025'!$G$4="FO",'2025'!$G$2=U119),'2025DATA'!$F$32,"")</f>
        <v/>
      </c>
      <c r="V149" s="518" t="str">
        <f>IF(AND(_A1="A-319",'2025'!$G$4="FO",'2025'!$G$2=V119),'2025DATA'!$G$32,"")</f>
        <v/>
      </c>
      <c r="W149" s="518" t="str">
        <f>IF(AND(_A1="A-319",'2025'!$G$4="FO",'2025'!$G$2=W119),'2025DATA'!$H$32,"")</f>
        <v/>
      </c>
      <c r="X149" s="518" t="str">
        <f>IF(AND(_A1="A-319",'2025'!$G$4="FO",'2025'!$G$2=X119),'2025DATA'!$I$32,"")</f>
        <v/>
      </c>
      <c r="Y149" s="518" t="str">
        <f>IF(AND(_A1="A-319",'2025'!$G$4="FO",'2025'!$G$2=Y119),'2025DATA'!$J$32,"")</f>
        <v/>
      </c>
      <c r="Z149" s="518" t="str">
        <f>IF(AND(_A1="A-319",'2025'!$G$4="FO",'2025'!$G$2=Z119),'2025DATA'!$K$32,"")</f>
        <v/>
      </c>
      <c r="AA149" s="518" t="str">
        <f>IF(AND(_A1="A-319",'2025'!$G$4="FO",'2025'!$G$2=AA119),'2025DATA'!$L$32,"")</f>
        <v/>
      </c>
      <c r="AB149" s="518" t="str">
        <f>IF(AND(_A1="A-319",'2025'!$G$4="FO",'2025'!$G$2=AB119),'2025DATA'!$M$32,"")</f>
        <v/>
      </c>
      <c r="AC149" s="520" t="str">
        <f>IF(AND(_A1="A-319",'2025'!$G$4="FO",'2025'!$G$2=AC119),'2025DATA'!$N$32,"")</f>
        <v/>
      </c>
      <c r="AD149" s="940"/>
      <c r="AE149" s="13" t="s">
        <v>62</v>
      </c>
      <c r="AF149" s="518" t="str">
        <f>IF(AND(_A2="A-319",'2025'!$G$4="FO",'2025'!$G$2=AF119),'2025DATA'!$C$32,"")</f>
        <v/>
      </c>
      <c r="AG149" s="518" t="str">
        <f>IF(AND(_A2="A-319",'2025'!$G$4="FO",'2025'!$G$2=AG119),'2025DATA'!$D$32,"")</f>
        <v/>
      </c>
      <c r="AH149" s="518" t="str">
        <f>IF(AND(_A2="A-319",'2025'!$G$4="FO",'2025'!$G$2=AH119),'2025DATA'!$E$32,"")</f>
        <v/>
      </c>
      <c r="AI149" s="518" t="str">
        <f>IF(AND(_A2="A-319",'2025'!$G$4="FO",'2025'!$G$2=AI119),'2025DATA'!$F$32,"")</f>
        <v/>
      </c>
      <c r="AJ149" s="518" t="str">
        <f>IF(AND(_A2="A-319",'2025'!$G$4="FO",'2025'!$G$2=AJ119),'2025DATA'!$G$32,"")</f>
        <v/>
      </c>
      <c r="AK149" s="518" t="str">
        <f>IF(AND(_A2="A-319",'2025'!$G$4="FO",'2025'!$G$2=AK119),'2025DATA'!$H$32,"")</f>
        <v/>
      </c>
      <c r="AL149" s="518" t="str">
        <f>IF(AND(_A2="A-319",'2025'!$G$4="FO",'2025'!$G$2=AL119),'2025DATA'!$I$32,"")</f>
        <v/>
      </c>
      <c r="AM149" s="518" t="str">
        <f>IF(AND(_A2="A-319",'2025'!$G$4="FO",'2025'!$G$2=AM119),'2025DATA'!$J$32,"")</f>
        <v/>
      </c>
      <c r="AN149" s="518" t="str">
        <f>IF(AND(_A2="A-319",'2025'!$G$4="FO",'2025'!$G$2=AN119),'2025DATA'!$K$32,"")</f>
        <v/>
      </c>
      <c r="AO149" s="518" t="str">
        <f>IF(AND(_A2="A-319",'2025'!$G$4="FO",'2025'!$G$2=AO119),'2025DATA'!$L$32,"")</f>
        <v/>
      </c>
      <c r="AP149" s="518" t="str">
        <f>IF(AND(_A2="A-319",'2025'!$G$4="FO",'2025'!$G$2=AP119),'2025DATA'!$M$32,"")</f>
        <v/>
      </c>
      <c r="AQ149" s="520" t="str">
        <f>IF(AND(_A2="A-319",'2025'!$G$4="FO",'2025'!$G$2=AQ119),'2025DATA'!$N$32,"")</f>
        <v/>
      </c>
      <c r="AR149" s="940"/>
      <c r="AS149" s="13" t="s">
        <v>62</v>
      </c>
      <c r="AT149" s="518" t="str">
        <f>IF(AND(_A3="A-319",'2025'!$G$4="FO",'2025'!$G$2=AT119),'2025DATA'!$C$32,"")</f>
        <v/>
      </c>
      <c r="AU149" s="518" t="str">
        <f>IF(AND(_A3="A-319",'2025'!$G$4="FO",'2025'!$G$2=AU119),'2025DATA'!$D$32,"")</f>
        <v/>
      </c>
      <c r="AV149" s="518" t="str">
        <f>IF(AND(_A3="A-319",'2025'!$G$4="FO",'2025'!$G$2=AV119),'2025DATA'!$E$32,"")</f>
        <v/>
      </c>
      <c r="AW149" s="518" t="str">
        <f>IF(AND(_A3="A-319",'2025'!$G$4="FO",'2025'!$G$2=AW119),'2025DATA'!$F$32,"")</f>
        <v/>
      </c>
      <c r="AX149" s="518" t="str">
        <f>IF(AND(_A3="A-319",'2025'!$G$4="FO",'2025'!$G$2=AX119),'2025DATA'!$G$32,"")</f>
        <v/>
      </c>
      <c r="AY149" s="518" t="str">
        <f>IF(AND(_A3="A-319",'2025'!$G$4="FO",'2025'!$G$2=AY119),'2025DATA'!$H$32,"")</f>
        <v/>
      </c>
      <c r="AZ149" s="518" t="str">
        <f>IF(AND(_A3="A-319",'2025'!$G$4="FO",'2025'!$G$2=AZ119),'2025DATA'!$I$32,"")</f>
        <v/>
      </c>
      <c r="BA149" s="518" t="str">
        <f>IF(AND(_A3="A-319",'2025'!$G$4="FO",'2025'!$G$2=BA119),'2025DATA'!$J$32,"")</f>
        <v/>
      </c>
      <c r="BB149" s="518" t="str">
        <f>IF(AND(_A3="A-319",'2025'!$G$4="FO",'2025'!$G$2=BB119),'2025DATA'!$K$32,"")</f>
        <v/>
      </c>
      <c r="BC149" s="518" t="str">
        <f>IF(AND(_A3="A-319",'2025'!$G$4="FO",'2025'!$G$2=BC119),'2025DATA'!$L$32,"")</f>
        <v/>
      </c>
      <c r="BD149" s="518" t="str">
        <f>IF(AND(_A3="A-319",'2025'!$G$4="FO",'2025'!$G$2=BD119),'2025DATA'!$M$32,"")</f>
        <v/>
      </c>
      <c r="BE149" s="520" t="str">
        <f>IF(AND(_A3="A-319",'2025'!$G$4="FO",'2025'!$G$2=BE119),'2025DATA'!$N$32,"")</f>
        <v/>
      </c>
      <c r="BF149" s="940"/>
      <c r="BG149" s="13" t="s">
        <v>62</v>
      </c>
      <c r="BH149" s="518" t="str">
        <f>IF(AND(_A4="A-319",'2025'!$G$4="FO",'2025'!$G$2=BH119),'2025DATA'!$C$32,"")</f>
        <v/>
      </c>
      <c r="BI149" s="518" t="str">
        <f>IF(AND(_A4="A-319",'2025'!$G$4="FO",'2025'!$G$2=BI119),'2025DATA'!$D$32,"")</f>
        <v/>
      </c>
      <c r="BJ149" s="518" t="str">
        <f>IF(AND(_A4="A-319",'2025'!$G$4="FO",'2025'!$G$2=BJ119),'2025DATA'!$E$32,"")</f>
        <v/>
      </c>
      <c r="BK149" s="518" t="str">
        <f>IF(AND(_A4="A-319",'2025'!$G$4="FO",'2025'!$G$2=BK119),'2025DATA'!$F$32,"")</f>
        <v/>
      </c>
      <c r="BL149" s="518" t="str">
        <f>IF(AND(_A4="A-319",'2025'!$G$4="FO",'2025'!$G$2=BL119),'2025DATA'!$G$32,"")</f>
        <v/>
      </c>
      <c r="BM149" s="518" t="str">
        <f>IF(AND(_A4="A-319",'2025'!$G$4="FO",'2025'!$G$2=BM119),'2025DATA'!$H$32,"")</f>
        <v/>
      </c>
      <c r="BN149" s="518" t="str">
        <f>IF(AND(_A4="A-319",'2025'!$G$4="FO",'2025'!$G$2=BN119),'2025DATA'!$I$32,"")</f>
        <v/>
      </c>
      <c r="BO149" s="518" t="str">
        <f>IF(AND(_A4="A-319",'2025'!$G$4="FO",'2025'!$G$2=BO119),'2025DATA'!$J$32,"")</f>
        <v/>
      </c>
      <c r="BP149" s="518" t="str">
        <f>IF(AND(_A4="A-319",'2025'!$G$4="FO",'2025'!$G$2=BP119),'2025DATA'!$K$32,"")</f>
        <v/>
      </c>
      <c r="BQ149" s="518" t="str">
        <f>IF(AND(_A4="A-319",'2025'!$G$4="FO",'2025'!$G$2=BQ119),'2025DATA'!$L$32,"")</f>
        <v/>
      </c>
      <c r="BR149" s="518" t="str">
        <f>IF(AND(_A4="A-319",'2025'!$G$4="FO",'2025'!$G$2=BR119),'2025DATA'!$M$32,"")</f>
        <v/>
      </c>
      <c r="BS149" s="520" t="str">
        <f>IF(AND(_A4="A-319",'2025'!$G$4="FO",'2025'!$G$2=BS119),'2025DATA'!$N$32,"")</f>
        <v/>
      </c>
      <c r="BT149" s="940"/>
      <c r="BU149" s="13" t="s">
        <v>62</v>
      </c>
      <c r="BV149" s="518" t="str">
        <f>IF(AND(_A5="A-319",'2025'!$G$4="FO",'2025'!$G$2=BV119),'2025DATA'!$C$32,"")</f>
        <v/>
      </c>
      <c r="BW149" s="518" t="str">
        <f>IF(AND(_A5="A-319",'2025'!$G$4="FO",'2025'!$G$2=BW119),'2025DATA'!$D$32,"")</f>
        <v/>
      </c>
      <c r="BX149" s="518" t="str">
        <f>IF(AND(_A5="A-319",'2025'!$G$4="FO",'2025'!$G$2=BX119),'2025DATA'!$E$32,"")</f>
        <v/>
      </c>
      <c r="BY149" s="518" t="str">
        <f>IF(AND(_A5="A-319",'2025'!$G$4="FO",'2025'!$G$2=BY119),'2025DATA'!$F$32,"")</f>
        <v/>
      </c>
      <c r="BZ149" s="518" t="str">
        <f>IF(AND(_A5="A-319",'2025'!$G$4="FO",'2025'!$G$2=BZ119),'2025DATA'!$G$32,"")</f>
        <v/>
      </c>
      <c r="CA149" s="518" t="str">
        <f>IF(AND(_A5="A-319",'2025'!$G$4="FO",'2025'!$G$2=CA119),'2025DATA'!$H$32,"")</f>
        <v/>
      </c>
      <c r="CB149" s="518" t="str">
        <f>IF(AND(_A5="A-319",'2025'!$G$4="FO",'2025'!$G$2=CB119),'2025DATA'!$I$32,"")</f>
        <v/>
      </c>
      <c r="CC149" s="518" t="str">
        <f>IF(AND(_A5="A-319",'2025'!$G$4="FO",'2025'!$G$2=CC119),'2025DATA'!$J$32,"")</f>
        <v/>
      </c>
      <c r="CD149" s="518" t="str">
        <f>IF(AND(_A5="A-319",'2025'!$G$4="FO",'2025'!$G$2=CD119),'2025DATA'!$K$32,"")</f>
        <v/>
      </c>
      <c r="CE149" s="518" t="str">
        <f>IF(AND(_A5="A-319",'2025'!$G$4="FO",'2025'!$G$2=CE119),'2025DATA'!$L$32,"")</f>
        <v/>
      </c>
      <c r="CF149" s="518" t="str">
        <f>IF(AND(_A5="A-319",'2025'!$G$4="FO",'2025'!$G$2=CF119),'2025DATA'!$M$32,"")</f>
        <v/>
      </c>
      <c r="CG149" s="520" t="str">
        <f>IF(AND(_A5="A-319",'2025'!$G$4="FO",'2025'!$G$2=CG119),'2025DATA'!$N$32,"")</f>
        <v/>
      </c>
      <c r="CH149" s="940"/>
      <c r="CI149" s="13" t="s">
        <v>62</v>
      </c>
      <c r="CJ149" s="518" t="str">
        <f>IF(AND(_A6="A-319",'2025'!$G$4="FO",'2025'!$G$2=CJ119),'2025DATA'!$C$32,"")</f>
        <v/>
      </c>
      <c r="CK149" s="518" t="str">
        <f>IF(AND(_A6="A-319",'2025'!$G$4="FO",'2025'!$G$2=CK119),'2025DATA'!$D$32,"")</f>
        <v/>
      </c>
      <c r="CL149" s="518" t="str">
        <f>IF(AND(_A6="A-319",'2025'!$G$4="FO",'2025'!$G$2=CL119),'2025DATA'!$E$32,"")</f>
        <v/>
      </c>
      <c r="CM149" s="518" t="str">
        <f>IF(AND(_A6="A-319",'2025'!$G$4="FO",'2025'!$G$2=CM119),'2025DATA'!$F$32,"")</f>
        <v/>
      </c>
      <c r="CN149" s="518" t="str">
        <f>IF(AND(_A6="A-319",'2025'!$G$4="FO",'2025'!$G$2=CN119),'2025DATA'!$G$32,"")</f>
        <v/>
      </c>
      <c r="CO149" s="518" t="str">
        <f>IF(AND(_A6="A-319",'2025'!$G$4="FO",'2025'!$G$2=CO119),'2025DATA'!$H$32,"")</f>
        <v/>
      </c>
      <c r="CP149" s="518" t="str">
        <f>IF(AND(_A6="A-319",'2025'!$G$4="FO",'2025'!$G$2=CP119),'2025DATA'!$I$32,"")</f>
        <v/>
      </c>
      <c r="CQ149" s="518" t="str">
        <f>IF(AND(_A6="A-319",'2025'!$G$4="FO",'2025'!$G$2=CQ119),'2025DATA'!$J$32,"")</f>
        <v/>
      </c>
      <c r="CR149" s="518" t="str">
        <f>IF(AND(_A6="A-319",'2025'!$G$4="FO",'2025'!$G$2=CR119),'2025DATA'!$K$32,"")</f>
        <v/>
      </c>
      <c r="CS149" s="518" t="str">
        <f>IF(AND(_A6="A-319",'2025'!$G$4="FO",'2025'!$G$2=CS119),'2025DATA'!$L$32,"")</f>
        <v/>
      </c>
      <c r="CT149" s="518" t="str">
        <f>IF(AND(_A6="A-319",'2025'!$G$4="FO",'2025'!$G$2=CT119),'2025DATA'!$M$32,"")</f>
        <v/>
      </c>
      <c r="CU149" s="520" t="str">
        <f>IF(AND(_A6="A-319",'2025'!$G$4="FO",'2025'!$G$2=CU119),'2025DATA'!$N$32,"")</f>
        <v/>
      </c>
    </row>
    <row r="150" spans="16:99" x14ac:dyDescent="0.25">
      <c r="P150" s="940" t="s">
        <v>51</v>
      </c>
      <c r="Q150" s="13" t="s">
        <v>61</v>
      </c>
      <c r="R150" s="518" t="str">
        <f>IF(AND(_A1="A-220-300",'2025'!$G$4="CA",'2025'!$G$2=R119),'2025DATA'!$C$33,"")</f>
        <v/>
      </c>
      <c r="S150" s="518" t="str">
        <f>IF(AND(_A1="A-220-300",'2025'!$G$4="CA",'2025'!$G$2=S119),'2025DATA'!$D$33,"")</f>
        <v/>
      </c>
      <c r="T150" s="518" t="str">
        <f>IF(AND(_A1="A-220-300",'2025'!$G$4="CA",'2025'!$G$2=T119),'2025DATA'!$E$33,"")</f>
        <v/>
      </c>
      <c r="U150" s="518" t="str">
        <f>IF(AND(_A1="A-220-300",'2025'!$G$4="CA",'2025'!$G$2=U119),'2025DATA'!$F$33,"")</f>
        <v/>
      </c>
      <c r="V150" s="518" t="str">
        <f>IF(AND(_A1="A-220-300",'2025'!$G$4="CA",'2025'!$G$2=V119),'2025DATA'!$G$33,"")</f>
        <v/>
      </c>
      <c r="W150" s="518" t="str">
        <f>IF(AND(_A1="A-220-300",'2025'!$G$4="CA",'2025'!$G$2=W119),'2025DATA'!$H$33,"")</f>
        <v/>
      </c>
      <c r="X150" s="518" t="str">
        <f>IF(AND(_A1="A-220-300",'2025'!$G$4="CA",'2025'!$G$2=X119),'2025DATA'!$I$33,"")</f>
        <v/>
      </c>
      <c r="Y150" s="518" t="str">
        <f>IF(AND(_A1="A-220-300",'2025'!$G$4="CA",'2025'!$G$2=Y119),'2025DATA'!$J$33,"")</f>
        <v/>
      </c>
      <c r="Z150" s="518" t="str">
        <f>IF(AND(_A1="A-220-300",'2025'!$G$4="CA",'2025'!$G$2=Z119),'2025DATA'!$K$33,"")</f>
        <v/>
      </c>
      <c r="AA150" s="518" t="str">
        <f>IF(AND(_A1="A-220-300",'2025'!$G$4="CA",'2025'!$G$2=AA119),'2025DATA'!$L$33,"")</f>
        <v/>
      </c>
      <c r="AB150" s="518" t="str">
        <f>IF(AND(_A1="A-220-300",'2025'!$G$4="CA",'2025'!$G$2=AB119),'2025DATA'!$M$33,"")</f>
        <v/>
      </c>
      <c r="AC150" s="520" t="str">
        <f>IF(AND(_A1="A-220-300",'2025'!$G$4="CA",'2025'!$G$2=AC119),'2025DATA'!$N$33,"")</f>
        <v/>
      </c>
      <c r="AD150" s="940" t="s">
        <v>51</v>
      </c>
      <c r="AE150" s="13" t="s">
        <v>61</v>
      </c>
      <c r="AF150" s="518" t="str">
        <f>IF(AND(_A2="A-220-300",'2025'!$G$4="CA",'2025'!$G$2=AF119),'2025DATA'!$C$33,"")</f>
        <v/>
      </c>
      <c r="AG150" s="518" t="str">
        <f>IF(AND(_A2="A-220-300",'2025'!$G$4="CA",'2025'!$G$2=AG119),'2025DATA'!$D$33,"")</f>
        <v/>
      </c>
      <c r="AH150" s="518" t="str">
        <f>IF(AND(_A2="A-220-300",'2025'!$G$4="CA",'2025'!$G$2=AH119),'2025DATA'!$E$33,"")</f>
        <v/>
      </c>
      <c r="AI150" s="518" t="str">
        <f>IF(AND(_A2="A-220-300",'2025'!$G$4="CA",'2025'!$G$2=AI119),'2025DATA'!$F$33,"")</f>
        <v/>
      </c>
      <c r="AJ150" s="518" t="str">
        <f>IF(AND(_A2="A-220-300",'2025'!$G$4="CA",'2025'!$G$2=AJ119),'2025DATA'!$G$33,"")</f>
        <v/>
      </c>
      <c r="AK150" s="518" t="str">
        <f>IF(AND(_A2="A-220-300",'2025'!$G$4="CA",'2025'!$G$2=AK119),'2025DATA'!$H$33,"")</f>
        <v/>
      </c>
      <c r="AL150" s="518" t="str">
        <f>IF(AND(_A2="A-220-300",'2025'!$G$4="CA",'2025'!$G$2=AL119),'2025DATA'!$I$33,"")</f>
        <v/>
      </c>
      <c r="AM150" s="518" t="str">
        <f>IF(AND(_A2="A-220-300",'2025'!$G$4="CA",'2025'!$G$2=AM119),'2025DATA'!$J$33,"")</f>
        <v/>
      </c>
      <c r="AN150" s="518" t="str">
        <f>IF(AND(_A2="A-220-300",'2025'!$G$4="CA",'2025'!$G$2=AN119),'2025DATA'!$K$33,"")</f>
        <v/>
      </c>
      <c r="AO150" s="518" t="str">
        <f>IF(AND(_A2="A-220-300",'2025'!$G$4="CA",'2025'!$G$2=AO119),'2025DATA'!$L$33,"")</f>
        <v/>
      </c>
      <c r="AP150" s="518" t="str">
        <f>IF(AND(_A2="A-220-300",'2025'!$G$4="CA",'2025'!$G$2=AP119),'2025DATA'!$M$33,"")</f>
        <v/>
      </c>
      <c r="AQ150" s="520" t="str">
        <f>IF(AND(_A2="A-220-300",'2025'!$G$4="CA",'2025'!$G$2=AQ119),'2025DATA'!$N$33,"")</f>
        <v/>
      </c>
      <c r="AR150" s="940" t="s">
        <v>51</v>
      </c>
      <c r="AS150" s="13" t="s">
        <v>61</v>
      </c>
      <c r="AT150" s="518" t="str">
        <f>IF(AND(_A3="A-220-300",'2025'!$G$4="CA",'2025'!$G$2=AT119),'2025DATA'!$C$33,"")</f>
        <v/>
      </c>
      <c r="AU150" s="518" t="str">
        <f>IF(AND(_A3="A-220-300",'2025'!$G$4="CA",'2025'!$G$2=AU119),'2025DATA'!$D$33,"")</f>
        <v/>
      </c>
      <c r="AV150" s="518" t="str">
        <f>IF(AND(_A3="A-220-300",'2025'!$G$4="CA",'2025'!$G$2=AV119),'2025DATA'!$E$33,"")</f>
        <v/>
      </c>
      <c r="AW150" s="518" t="str">
        <f>IF(AND(_A3="A-220-300",'2025'!$G$4="CA",'2025'!$G$2=AW119),'2025DATA'!$F$33,"")</f>
        <v/>
      </c>
      <c r="AX150" s="518" t="str">
        <f>IF(AND(_A3="A-220-300",'2025'!$G$4="CA",'2025'!$G$2=AX119),'2025DATA'!$G$33,"")</f>
        <v/>
      </c>
      <c r="AY150" s="518" t="str">
        <f>IF(AND(_A3="A-220-300",'2025'!$G$4="CA",'2025'!$G$2=AY119),'2025DATA'!$H$33,"")</f>
        <v/>
      </c>
      <c r="AZ150" s="518" t="str">
        <f>IF(AND(_A3="A-220-300",'2025'!$G$4="CA",'2025'!$G$2=AZ119),'2025DATA'!$I$33,"")</f>
        <v/>
      </c>
      <c r="BA150" s="518" t="str">
        <f>IF(AND(_A3="A-220-300",'2025'!$G$4="CA",'2025'!$G$2=BA119),'2025DATA'!$J$33,"")</f>
        <v/>
      </c>
      <c r="BB150" s="518" t="str">
        <f>IF(AND(_A3="A-220-300",'2025'!$G$4="CA",'2025'!$G$2=BB119),'2025DATA'!$K$33,"")</f>
        <v/>
      </c>
      <c r="BC150" s="518" t="str">
        <f>IF(AND(_A3="A-220-300",'2025'!$G$4="CA",'2025'!$G$2=BC119),'2025DATA'!$L$33,"")</f>
        <v/>
      </c>
      <c r="BD150" s="518" t="str">
        <f>IF(AND(_A3="A-220-300",'2025'!$G$4="CA",'2025'!$G$2=BD119),'2025DATA'!$M$33,"")</f>
        <v/>
      </c>
      <c r="BE150" s="520" t="str">
        <f>IF(AND(_A3="A-220-300",'2025'!$G$4="CA",'2025'!$G$2=BE119),'2025DATA'!$N$33,"")</f>
        <v/>
      </c>
      <c r="BF150" s="940" t="s">
        <v>51</v>
      </c>
      <c r="BG150" s="13" t="s">
        <v>61</v>
      </c>
      <c r="BH150" s="518" t="str">
        <f>IF(AND(_A4="A-220-300",'2025'!$G$4="CA",'2025'!$G$2=BH119),'2025DATA'!$C$33,"")</f>
        <v/>
      </c>
      <c r="BI150" s="518" t="str">
        <f>IF(AND(_A4="A-220-300",'2025'!$G$4="CA",'2025'!$G$2=BI119),'2025DATA'!$D$33,"")</f>
        <v/>
      </c>
      <c r="BJ150" s="518" t="str">
        <f>IF(AND(_A4="A-220-300",'2025'!$G$4="CA",'2025'!$G$2=BJ119),'2025DATA'!$E$33,"")</f>
        <v/>
      </c>
      <c r="BK150" s="518" t="str">
        <f>IF(AND(_A4="A-220-300",'2025'!$G$4="CA",'2025'!$G$2=BK119),'2025DATA'!$F$33,"")</f>
        <v/>
      </c>
      <c r="BL150" s="518" t="str">
        <f>IF(AND(_A4="A-220-300",'2025'!$G$4="CA",'2025'!$G$2=BL119),'2025DATA'!$G$33,"")</f>
        <v/>
      </c>
      <c r="BM150" s="518" t="str">
        <f>IF(AND(_A4="A-220-300",'2025'!$G$4="CA",'2025'!$G$2=BM119),'2025DATA'!$H$33,"")</f>
        <v/>
      </c>
      <c r="BN150" s="518" t="str">
        <f>IF(AND(_A4="A-220-300",'2025'!$G$4="CA",'2025'!$G$2=BN119),'2025DATA'!$I$33,"")</f>
        <v/>
      </c>
      <c r="BO150" s="518" t="str">
        <f>IF(AND(_A4="A-220-300",'2025'!$G$4="CA",'2025'!$G$2=BO119),'2025DATA'!$J$33,"")</f>
        <v/>
      </c>
      <c r="BP150" s="518" t="str">
        <f>IF(AND(_A4="A-220-300",'2025'!$G$4="CA",'2025'!$G$2=BP119),'2025DATA'!$K$33,"")</f>
        <v/>
      </c>
      <c r="BQ150" s="518" t="str">
        <f>IF(AND(_A4="A-220-300",'2025'!$G$4="CA",'2025'!$G$2=BQ119),'2025DATA'!$L$33,"")</f>
        <v/>
      </c>
      <c r="BR150" s="518" t="str">
        <f>IF(AND(_A4="A-220-300",'2025'!$G$4="CA",'2025'!$G$2=BR119),'2025DATA'!$M$33,"")</f>
        <v/>
      </c>
      <c r="BS150" s="520" t="str">
        <f>IF(AND(_A4="A-220-300",'2025'!$G$4="CA",'2025'!$G$2=BS119),'2025DATA'!$N$33,"")</f>
        <v/>
      </c>
      <c r="BT150" s="940" t="s">
        <v>51</v>
      </c>
      <c r="BU150" s="13" t="s">
        <v>61</v>
      </c>
      <c r="BV150" s="518" t="str">
        <f>IF(AND(_A5="A-220-300",'2025'!$G$4="CA",'2025'!$G$2=BV119),'2025DATA'!$C$33,"")</f>
        <v/>
      </c>
      <c r="BW150" s="518" t="str">
        <f>IF(AND(_A5="A-220-300",'2025'!$G$4="CA",'2025'!$G$2=BW119),'2025DATA'!$D$33,"")</f>
        <v/>
      </c>
      <c r="BX150" s="518" t="str">
        <f>IF(AND(_A5="A-220-300",'2025'!$G$4="CA",'2025'!$G$2=BX119),'2025DATA'!$E$33,"")</f>
        <v/>
      </c>
      <c r="BY150" s="518" t="str">
        <f>IF(AND(_A5="A-220-300",'2025'!$G$4="CA",'2025'!$G$2=BY119),'2025DATA'!$F$33,"")</f>
        <v/>
      </c>
      <c r="BZ150" s="518" t="str">
        <f>IF(AND(_A5="A-220-300",'2025'!$G$4="CA",'2025'!$G$2=BZ119),'2025DATA'!$G$33,"")</f>
        <v/>
      </c>
      <c r="CA150" s="518" t="str">
        <f>IF(AND(_A5="A-220-300",'2025'!$G$4="CA",'2025'!$G$2=CA119),'2025DATA'!$H$33,"")</f>
        <v/>
      </c>
      <c r="CB150" s="518" t="str">
        <f>IF(AND(_A5="A-220-300",'2025'!$G$4="CA",'2025'!$G$2=CB119),'2025DATA'!$I$33,"")</f>
        <v/>
      </c>
      <c r="CC150" s="518" t="str">
        <f>IF(AND(_A5="A-220-300",'2025'!$G$4="CA",'2025'!$G$2=CC119),'2025DATA'!$J$33,"")</f>
        <v/>
      </c>
      <c r="CD150" s="518" t="str">
        <f>IF(AND(_A5="A-220-300",'2025'!$G$4="CA",'2025'!$G$2=CD119),'2025DATA'!$K$33,"")</f>
        <v/>
      </c>
      <c r="CE150" s="518" t="str">
        <f>IF(AND(_A5="A-220-300",'2025'!$G$4="CA",'2025'!$G$2=CE119),'2025DATA'!$L$33,"")</f>
        <v/>
      </c>
      <c r="CF150" s="518" t="str">
        <f>IF(AND(_A5="A-220-300",'2025'!$G$4="CA",'2025'!$G$2=CF119),'2025DATA'!$M$33,"")</f>
        <v/>
      </c>
      <c r="CG150" s="520" t="str">
        <f>IF(AND(_A5="A-220-300",'2025'!$G$4="CA",'2025'!$G$2=CG119),'2025DATA'!$N$33,"")</f>
        <v/>
      </c>
      <c r="CH150" s="940" t="s">
        <v>51</v>
      </c>
      <c r="CI150" s="13" t="s">
        <v>61</v>
      </c>
      <c r="CJ150" s="518" t="str">
        <f>IF(AND(_A6="A-220-300",'2025'!$G$4="CA",'2025'!$G$2=CJ119),'2025DATA'!$C$33,"")</f>
        <v/>
      </c>
      <c r="CK150" s="518" t="str">
        <f>IF(AND(_A6="A-220-300",'2025'!$G$4="CA",'2025'!$G$2=CK119),'2025DATA'!$D$33,"")</f>
        <v/>
      </c>
      <c r="CL150" s="518" t="str">
        <f>IF(AND(_A6="A-220-300",'2025'!$G$4="CA",'2025'!$G$2=CL119),'2025DATA'!$E$33,"")</f>
        <v/>
      </c>
      <c r="CM150" s="518" t="str">
        <f>IF(AND(_A6="A-220-300",'2025'!$G$4="CA",'2025'!$G$2=CM119),'2025DATA'!$F$33,"")</f>
        <v/>
      </c>
      <c r="CN150" s="518" t="str">
        <f>IF(AND(_A6="A-220-300",'2025'!$G$4="CA",'2025'!$G$2=CN119),'2025DATA'!$G$33,"")</f>
        <v/>
      </c>
      <c r="CO150" s="518" t="str">
        <f>IF(AND(_A6="A-220-300",'2025'!$G$4="CA",'2025'!$G$2=CO119),'2025DATA'!$H$33,"")</f>
        <v/>
      </c>
      <c r="CP150" s="518" t="str">
        <f>IF(AND(_A6="A-220-300",'2025'!$G$4="CA",'2025'!$G$2=CP119),'2025DATA'!$I$33,"")</f>
        <v/>
      </c>
      <c r="CQ150" s="518" t="str">
        <f>IF(AND(_A6="A-220-300",'2025'!$G$4="CA",'2025'!$G$2=CQ119),'2025DATA'!$J$33,"")</f>
        <v/>
      </c>
      <c r="CR150" s="518" t="str">
        <f>IF(AND(_A6="A-220-300",'2025'!$G$4="CA",'2025'!$G$2=CR119),'2025DATA'!$K$33,"")</f>
        <v/>
      </c>
      <c r="CS150" s="518" t="str">
        <f>IF(AND(_A6="A-220-300",'2025'!$G$4="CA",'2025'!$G$2=CS119),'2025DATA'!$L$33,"")</f>
        <v/>
      </c>
      <c r="CT150" s="518" t="str">
        <f>IF(AND(_A6="A-220-300",'2025'!$G$4="CA",'2025'!$G$2=CT119),'2025DATA'!$M$33,"")</f>
        <v/>
      </c>
      <c r="CU150" s="520" t="str">
        <f>IF(AND(_A6="A-220-300",'2025'!$G$4="CA",'2025'!$G$2=CU119),'2025DATA'!$N$33,"")</f>
        <v/>
      </c>
    </row>
    <row r="151" spans="16:99" x14ac:dyDescent="0.25">
      <c r="P151" s="940"/>
      <c r="Q151" s="13" t="s">
        <v>62</v>
      </c>
      <c r="R151" s="518" t="str">
        <f>IF(AND(_A1="A-220-300",'2025'!$G$4="FO",'2025'!$G$2=R119),'2025DATA'!$C$34,"")</f>
        <v/>
      </c>
      <c r="S151" s="518" t="str">
        <f>IF(AND(_A1="A-220-300",'2025'!$G$4="FO",'2025'!$G$2=S119),'2025DATA'!$D$34,"")</f>
        <v/>
      </c>
      <c r="T151" s="518" t="str">
        <f>IF(AND(_A1="A-220-300",'2025'!$G$4="FO",'2025'!$G$2=T119),'2025DATA'!$E$34,"")</f>
        <v/>
      </c>
      <c r="U151" s="518" t="str">
        <f>IF(AND(_A1="A-220-300",'2025'!$G$4="FO",'2025'!$G$2=U119),'2025DATA'!$F$34,"")</f>
        <v/>
      </c>
      <c r="V151" s="518" t="str">
        <f>IF(AND(_A1="A-220-300",'2025'!$G$4="FO",'2025'!$G$2=V119),'2025DATA'!$G$34,"")</f>
        <v/>
      </c>
      <c r="W151" s="518" t="str">
        <f>IF(AND(_A1="A-220-300",'2025'!$G$4="FO",'2025'!$G$2=W119),'2025DATA'!$H$34,"")</f>
        <v/>
      </c>
      <c r="X151" s="518" t="str">
        <f>IF(AND(_A1="A-220-300",'2025'!$G$4="FO",'2025'!$G$2=X119),'2025DATA'!$I$34,"")</f>
        <v/>
      </c>
      <c r="Y151" s="518" t="str">
        <f>IF(AND(_A1="A-220-300",'2025'!$G$4="FO",'2025'!$G$2=Y119),'2025DATA'!$J$34,"")</f>
        <v/>
      </c>
      <c r="Z151" s="518" t="str">
        <f>IF(AND(_A1="A-220-300",'2025'!$G$4="FO",'2025'!$G$2=Z119),'2025DATA'!$K$34,"")</f>
        <v/>
      </c>
      <c r="AA151" s="518" t="str">
        <f>IF(AND(_A1="A-220-300",'2025'!$G$4="FO",'2025'!$G$2=AA119),'2025DATA'!$L$34,"")</f>
        <v/>
      </c>
      <c r="AB151" s="518" t="str">
        <f>IF(AND(_A1="A-220-300",'2025'!$G$4="FO",'2025'!$G$2=AB119),'2025DATA'!$M$34,"")</f>
        <v/>
      </c>
      <c r="AC151" s="520" t="str">
        <f>IF(AND(_A1="A-220-300",'2025'!$G$4="FO",'2025'!$G$2=AC119),'2025DATA'!$N$34,"")</f>
        <v/>
      </c>
      <c r="AD151" s="940"/>
      <c r="AE151" s="13" t="s">
        <v>62</v>
      </c>
      <c r="AF151" s="518" t="str">
        <f>IF(AND(_A2="A-220-300",'2025'!$G$4="FO",'2025'!$G$2=AF119),'2025DATA'!$C$34,"")</f>
        <v/>
      </c>
      <c r="AG151" s="518" t="str">
        <f>IF(AND(_A2="A-220-300",'2025'!$G$4="FO",'2025'!$G$2=AG119),'2025DATA'!$D$34,"")</f>
        <v/>
      </c>
      <c r="AH151" s="518" t="str">
        <f>IF(AND(_A2="A-220-300",'2025'!$G$4="FO",'2025'!$G$2=AH119),'2025DATA'!$E$34,"")</f>
        <v/>
      </c>
      <c r="AI151" s="518" t="str">
        <f>IF(AND(_A2="A-220-300",'2025'!$G$4="FO",'2025'!$G$2=AI119),'2025DATA'!$F$34,"")</f>
        <v/>
      </c>
      <c r="AJ151" s="518" t="str">
        <f>IF(AND(_A2="A-220-300",'2025'!$G$4="FO",'2025'!$G$2=AJ119),'2025DATA'!$G$34,"")</f>
        <v/>
      </c>
      <c r="AK151" s="518" t="str">
        <f>IF(AND(_A2="A-220-300",'2025'!$G$4="FO",'2025'!$G$2=AK119),'2025DATA'!$H$34,"")</f>
        <v/>
      </c>
      <c r="AL151" s="518" t="str">
        <f>IF(AND(_A2="A-220-300",'2025'!$G$4="FO",'2025'!$G$2=AL119),'2025DATA'!$I$34,"")</f>
        <v/>
      </c>
      <c r="AM151" s="518" t="str">
        <f>IF(AND(_A2="A-220-300",'2025'!$G$4="FO",'2025'!$G$2=AM119),'2025DATA'!$J$34,"")</f>
        <v/>
      </c>
      <c r="AN151" s="518" t="str">
        <f>IF(AND(_A2="A-220-300",'2025'!$G$4="FO",'2025'!$G$2=AN119),'2025DATA'!$K$34,"")</f>
        <v/>
      </c>
      <c r="AO151" s="518" t="str">
        <f>IF(AND(_A2="A-220-300",'2025'!$G$4="FO",'2025'!$G$2=AO119),'2025DATA'!$L$34,"")</f>
        <v/>
      </c>
      <c r="AP151" s="518" t="str">
        <f>IF(AND(_A2="A-220-300",'2025'!$G$4="FO",'2025'!$G$2=AP119),'2025DATA'!$M$34,"")</f>
        <v/>
      </c>
      <c r="AQ151" s="520" t="str">
        <f>IF(AND(_A2="A-220-300",'2025'!$G$4="FO",'2025'!$G$2=AQ119),'2025DATA'!$N$34,"")</f>
        <v/>
      </c>
      <c r="AR151" s="940"/>
      <c r="AS151" s="13" t="s">
        <v>62</v>
      </c>
      <c r="AT151" s="518" t="str">
        <f>IF(AND(_A3="A-220-300",'2025'!$G$4="FO",'2025'!$G$2=AT119),'2025DATA'!$C$34,"")</f>
        <v/>
      </c>
      <c r="AU151" s="518" t="str">
        <f>IF(AND(_A3="A-220-300",'2025'!$G$4="FO",'2025'!$G$2=AU119),'2025DATA'!$D$34,"")</f>
        <v/>
      </c>
      <c r="AV151" s="518" t="str">
        <f>IF(AND(_A3="A-220-300",'2025'!$G$4="FO",'2025'!$G$2=AV119),'2025DATA'!$E$34,"")</f>
        <v/>
      </c>
      <c r="AW151" s="518" t="str">
        <f>IF(AND(_A3="A-220-300",'2025'!$G$4="FO",'2025'!$G$2=AW119),'2025DATA'!$F$34,"")</f>
        <v/>
      </c>
      <c r="AX151" s="518" t="str">
        <f>IF(AND(_A3="A-220-300",'2025'!$G$4="FO",'2025'!$G$2=AX119),'2025DATA'!$G$34,"")</f>
        <v/>
      </c>
      <c r="AY151" s="518" t="str">
        <f>IF(AND(_A3="A-220-300",'2025'!$G$4="FO",'2025'!$G$2=AY119),'2025DATA'!$H$34,"")</f>
        <v/>
      </c>
      <c r="AZ151" s="518" t="str">
        <f>IF(AND(_A3="A-220-300",'2025'!$G$4="FO",'2025'!$G$2=AZ119),'2025DATA'!$I$34,"")</f>
        <v/>
      </c>
      <c r="BA151" s="518" t="str">
        <f>IF(AND(_A3="A-220-300",'2025'!$G$4="FO",'2025'!$G$2=BA119),'2025DATA'!$J$34,"")</f>
        <v/>
      </c>
      <c r="BB151" s="518" t="str">
        <f>IF(AND(_A3="A-220-300",'2025'!$G$4="FO",'2025'!$G$2=BB119),'2025DATA'!$K$34,"")</f>
        <v/>
      </c>
      <c r="BC151" s="518" t="str">
        <f>IF(AND(_A3="A-220-300",'2025'!$G$4="FO",'2025'!$G$2=BC119),'2025DATA'!$L$34,"")</f>
        <v/>
      </c>
      <c r="BD151" s="518" t="str">
        <f>IF(AND(_A3="A-220-300",'2025'!$G$4="FO",'2025'!$G$2=BD119),'2025DATA'!$M$34,"")</f>
        <v/>
      </c>
      <c r="BE151" s="520" t="str">
        <f>IF(AND(_A3="A-220-300",'2025'!$G$4="FO",'2025'!$G$2=BE119),'2025DATA'!$N$34,"")</f>
        <v/>
      </c>
      <c r="BF151" s="940"/>
      <c r="BG151" s="13" t="s">
        <v>62</v>
      </c>
      <c r="BH151" s="518" t="str">
        <f>IF(AND(_A4="A-220-300",'2025'!$G$4="FO",'2025'!$G$2=BH119),'2025DATA'!$C$34,"")</f>
        <v/>
      </c>
      <c r="BI151" s="518" t="str">
        <f>IF(AND(_A4="A-220-300",'2025'!$G$4="FO",'2025'!$G$2=BI119),'2025DATA'!$D$34,"")</f>
        <v/>
      </c>
      <c r="BJ151" s="518" t="str">
        <f>IF(AND(_A4="A-220-300",'2025'!$G$4="FO",'2025'!$G$2=BJ119),'2025DATA'!$E$34,"")</f>
        <v/>
      </c>
      <c r="BK151" s="518" t="str">
        <f>IF(AND(_A4="A-220-300",'2025'!$G$4="FO",'2025'!$G$2=BK119),'2025DATA'!$F$34,"")</f>
        <v/>
      </c>
      <c r="BL151" s="518" t="str">
        <f>IF(AND(_A4="A-220-300",'2025'!$G$4="FO",'2025'!$G$2=BL119),'2025DATA'!$G$34,"")</f>
        <v/>
      </c>
      <c r="BM151" s="518" t="str">
        <f>IF(AND(_A4="A-220-300",'2025'!$G$4="FO",'2025'!$G$2=BM119),'2025DATA'!$H$34,"")</f>
        <v/>
      </c>
      <c r="BN151" s="518" t="str">
        <f>IF(AND(_A4="A-220-300",'2025'!$G$4="FO",'2025'!$G$2=BN119),'2025DATA'!$I$34,"")</f>
        <v/>
      </c>
      <c r="BO151" s="518" t="str">
        <f>IF(AND(_A4="A-220-300",'2025'!$G$4="FO",'2025'!$G$2=BO119),'2025DATA'!$J$34,"")</f>
        <v/>
      </c>
      <c r="BP151" s="518" t="str">
        <f>IF(AND(_A4="A-220-300",'2025'!$G$4="FO",'2025'!$G$2=BP119),'2025DATA'!$K$34,"")</f>
        <v/>
      </c>
      <c r="BQ151" s="518" t="str">
        <f>IF(AND(_A4="A-220-300",'2025'!$G$4="FO",'2025'!$G$2=BQ119),'2025DATA'!$L$34,"")</f>
        <v/>
      </c>
      <c r="BR151" s="518" t="str">
        <f>IF(AND(_A4="A-220-300",'2025'!$G$4="FO",'2025'!$G$2=BR119),'2025DATA'!$M$34,"")</f>
        <v/>
      </c>
      <c r="BS151" s="520" t="str">
        <f>IF(AND(_A4="A-220-300",'2025'!$G$4="FO",'2025'!$G$2=BS119),'2025DATA'!$N$34,"")</f>
        <v/>
      </c>
      <c r="BT151" s="940"/>
      <c r="BU151" s="13" t="s">
        <v>62</v>
      </c>
      <c r="BV151" s="518" t="str">
        <f>IF(AND(_A5="A-220-300",'2025'!$G$4="FO",'2025'!$G$2=BV119),'2025DATA'!$C$34,"")</f>
        <v/>
      </c>
      <c r="BW151" s="518" t="str">
        <f>IF(AND(_A5="A-220-300",'2025'!$G$4="FO",'2025'!$G$2=BW119),'2025DATA'!$D$34,"")</f>
        <v/>
      </c>
      <c r="BX151" s="518" t="str">
        <f>IF(AND(_A5="A-220-300",'2025'!$G$4="FO",'2025'!$G$2=BX119),'2025DATA'!$E$34,"")</f>
        <v/>
      </c>
      <c r="BY151" s="518" t="str">
        <f>IF(AND(_A5="A-220-300",'2025'!$G$4="FO",'2025'!$G$2=BY119),'2025DATA'!$F$34,"")</f>
        <v/>
      </c>
      <c r="BZ151" s="518" t="str">
        <f>IF(AND(_A5="A-220-300",'2025'!$G$4="FO",'2025'!$G$2=BZ119),'2025DATA'!$G$34,"")</f>
        <v/>
      </c>
      <c r="CA151" s="518" t="str">
        <f>IF(AND(_A5="A-220-300",'2025'!$G$4="FO",'2025'!$G$2=CA119),'2025DATA'!$H$34,"")</f>
        <v/>
      </c>
      <c r="CB151" s="518" t="str">
        <f>IF(AND(_A5="A-220-300",'2025'!$G$4="FO",'2025'!$G$2=CB119),'2025DATA'!$I$34,"")</f>
        <v/>
      </c>
      <c r="CC151" s="518" t="str">
        <f>IF(AND(_A5="A-220-300",'2025'!$G$4="FO",'2025'!$G$2=CC119),'2025DATA'!$J$34,"")</f>
        <v/>
      </c>
      <c r="CD151" s="518" t="str">
        <f>IF(AND(_A5="A-220-300",'2025'!$G$4="FO",'2025'!$G$2=CD119),'2025DATA'!$K$34,"")</f>
        <v/>
      </c>
      <c r="CE151" s="518" t="str">
        <f>IF(AND(_A5="A-220-300",'2025'!$G$4="FO",'2025'!$G$2=CE119),'2025DATA'!$L$34,"")</f>
        <v/>
      </c>
      <c r="CF151" s="518" t="str">
        <f>IF(AND(_A5="A-220-300",'2025'!$G$4="FO",'2025'!$G$2=CF119),'2025DATA'!$M$34,"")</f>
        <v/>
      </c>
      <c r="CG151" s="520" t="str">
        <f>IF(AND(_A5="A-220-300",'2025'!$G$4="FO",'2025'!$G$2=CG119),'2025DATA'!$N$34,"")</f>
        <v/>
      </c>
      <c r="CH151" s="940"/>
      <c r="CI151" s="13" t="s">
        <v>62</v>
      </c>
      <c r="CJ151" s="518" t="str">
        <f>IF(AND(_A6="A-220-300",'2025'!$G$4="FO",'2025'!$G$2=CJ119),'2025DATA'!$C$34,"")</f>
        <v/>
      </c>
      <c r="CK151" s="518" t="str">
        <f>IF(AND(_A6="A-220-300",'2025'!$G$4="FO",'2025'!$G$2=CK119),'2025DATA'!$D$34,"")</f>
        <v/>
      </c>
      <c r="CL151" s="518" t="str">
        <f>IF(AND(_A6="A-220-300",'2025'!$G$4="FO",'2025'!$G$2=CL119),'2025DATA'!$E$34,"")</f>
        <v/>
      </c>
      <c r="CM151" s="518" t="str">
        <f>IF(AND(_A6="A-220-300",'2025'!$G$4="FO",'2025'!$G$2=CM119),'2025DATA'!$F$34,"")</f>
        <v/>
      </c>
      <c r="CN151" s="518" t="str">
        <f>IF(AND(_A6="A-220-300",'2025'!$G$4="FO",'2025'!$G$2=CN119),'2025DATA'!$G$34,"")</f>
        <v/>
      </c>
      <c r="CO151" s="518" t="str">
        <f>IF(AND(_A6="A-220-300",'2025'!$G$4="FO",'2025'!$G$2=CO119),'2025DATA'!$H$34,"")</f>
        <v/>
      </c>
      <c r="CP151" s="518" t="str">
        <f>IF(AND(_A6="A-220-300",'2025'!$G$4="FO",'2025'!$G$2=CP119),'2025DATA'!$I$34,"")</f>
        <v/>
      </c>
      <c r="CQ151" s="518" t="str">
        <f>IF(AND(_A6="A-220-300",'2025'!$G$4="FO",'2025'!$G$2=CQ119),'2025DATA'!$J$34,"")</f>
        <v/>
      </c>
      <c r="CR151" s="518" t="str">
        <f>IF(AND(_A6="A-220-300",'2025'!$G$4="FO",'2025'!$G$2=CR119),'2025DATA'!$K$34,"")</f>
        <v/>
      </c>
      <c r="CS151" s="518" t="str">
        <f>IF(AND(_A6="A-220-300",'2025'!$G$4="FO",'2025'!$G$2=CS119),'2025DATA'!$L$34,"")</f>
        <v/>
      </c>
      <c r="CT151" s="518" t="str">
        <f>IF(AND(_A6="A-220-300",'2025'!$G$4="FO",'2025'!$G$2=CT119),'2025DATA'!$M$34,"")</f>
        <v/>
      </c>
      <c r="CU151" s="520" t="str">
        <f>IF(AND(_A6="A-220-300",'2025'!$G$4="FO",'2025'!$G$2=CU119),'2025DATA'!$N$34,"")</f>
        <v/>
      </c>
    </row>
    <row r="152" spans="16:99" x14ac:dyDescent="0.25">
      <c r="P152" s="940" t="s">
        <v>52</v>
      </c>
      <c r="Q152" s="13" t="s">
        <v>61</v>
      </c>
      <c r="R152" s="518" t="str">
        <f>IF(AND(_A1="A-220-100",'2025'!$G$4="CA",'2025'!$G$2=R119),'2025DATA'!$C$35,"")</f>
        <v/>
      </c>
      <c r="S152" s="518" t="str">
        <f>IF(AND(_A1="A-220-100",'2025'!$G$4="CA",'2025'!$G$2=S119),'2025DATA'!$D$35,"")</f>
        <v/>
      </c>
      <c r="T152" s="518" t="str">
        <f>IF(AND(_A1="A-220-100",'2025'!$G$4="CA",'2025'!$G$2=T119),'2025DATA'!$E$35,"")</f>
        <v/>
      </c>
      <c r="U152" s="518" t="str">
        <f>IF(AND(_A1="A-220-100",'2025'!$G$4="CA",'2025'!$G$2=U119),'2025DATA'!$F$35,"")</f>
        <v/>
      </c>
      <c r="V152" s="518" t="str">
        <f>IF(AND(_A1="A-220-100",'2025'!$G$4="CA",'2025'!$G$2=V119),'2025DATA'!$G$35,"")</f>
        <v/>
      </c>
      <c r="W152" s="518" t="str">
        <f>IF(AND(_A1="A-220-100",'2025'!$G$4="CA",'2025'!$G$2=W119),'2025DATA'!$H$35,"")</f>
        <v/>
      </c>
      <c r="X152" s="518" t="str">
        <f>IF(AND(_A1="A-220-100",'2025'!$G$4="CA",'2025'!$G$2=X119),'2025DATA'!$I$35,"")</f>
        <v/>
      </c>
      <c r="Y152" s="518" t="str">
        <f>IF(AND(_A1="A-220-100",'2025'!$G$4="CA",'2025'!$G$2=Y119),'2025DATA'!$J$35,"")</f>
        <v/>
      </c>
      <c r="Z152" s="518" t="str">
        <f>IF(AND(_A1="A-220-100",'2025'!$G$4="CA",'2025'!$G$2=Z119),'2025DATA'!$K$35,"")</f>
        <v/>
      </c>
      <c r="AA152" s="518" t="str">
        <f>IF(AND(_A1="A-220-100",'2025'!$G$4="CA",'2025'!$G$2=AA119),'2025DATA'!$L$35,"")</f>
        <v/>
      </c>
      <c r="AB152" s="518" t="str">
        <f>IF(AND(_A1="A-220-100",'2025'!$G$4="CA",'2025'!$G$2=AB119),'2025DATA'!$M$35,"")</f>
        <v/>
      </c>
      <c r="AC152" s="520" t="str">
        <f>IF(AND(_A1="A-220-100",'2025'!$G$4="CA",'2025'!$G$2=AC119),'2025DATA'!$N$35,"")</f>
        <v/>
      </c>
      <c r="AD152" s="940" t="s">
        <v>52</v>
      </c>
      <c r="AE152" s="13" t="s">
        <v>61</v>
      </c>
      <c r="AF152" s="518" t="str">
        <f>IF(AND(_A2="A-220-100",'2025'!$G$4="CA",'2025'!$G$2=AF119),'2025DATA'!$C$35,"")</f>
        <v/>
      </c>
      <c r="AG152" s="518" t="str">
        <f>IF(AND(_A2="A-220-100",'2025'!$G$4="CA",'2025'!$G$2=AG119),'2025DATA'!$D$35,"")</f>
        <v/>
      </c>
      <c r="AH152" s="518" t="str">
        <f>IF(AND(_A2="A-220-100",'2025'!$G$4="CA",'2025'!$G$2=AH119),'2025DATA'!$E$35,"")</f>
        <v/>
      </c>
      <c r="AI152" s="518" t="str">
        <f>IF(AND(_A2="A-220-100",'2025'!$G$4="CA",'2025'!$G$2=AI119),'2025DATA'!$F$35,"")</f>
        <v/>
      </c>
      <c r="AJ152" s="518" t="str">
        <f>IF(AND(_A2="A-220-100",'2025'!$G$4="CA",'2025'!$G$2=AJ119),'2025DATA'!$G$35,"")</f>
        <v/>
      </c>
      <c r="AK152" s="518" t="str">
        <f>IF(AND(_A2="A-220-100",'2025'!$G$4="CA",'2025'!$G$2=AK119),'2025DATA'!$H$35,"")</f>
        <v/>
      </c>
      <c r="AL152" s="518" t="str">
        <f>IF(AND(_A2="A-220-100",'2025'!$G$4="CA",'2025'!$G$2=AL119),'2025DATA'!$I$35,"")</f>
        <v/>
      </c>
      <c r="AM152" s="518" t="str">
        <f>IF(AND(_A2="A-220-100",'2025'!$G$4="CA",'2025'!$G$2=AM119),'2025DATA'!$J$35,"")</f>
        <v/>
      </c>
      <c r="AN152" s="518" t="str">
        <f>IF(AND(_A2="A-220-100",'2025'!$G$4="CA",'2025'!$G$2=AN119),'2025DATA'!$K$35,"")</f>
        <v/>
      </c>
      <c r="AO152" s="518" t="str">
        <f>IF(AND(_A2="A-220-100",'2025'!$G$4="CA",'2025'!$G$2=AO119),'2025DATA'!$L$35,"")</f>
        <v/>
      </c>
      <c r="AP152" s="518" t="str">
        <f>IF(AND(_A2="A-220-100",'2025'!$G$4="CA",'2025'!$G$2=AP119),'2025DATA'!$M$35,"")</f>
        <v/>
      </c>
      <c r="AQ152" s="520" t="str">
        <f>IF(AND(_A2="A-220-100",'2025'!$G$4="CA",'2025'!$G$2=AQ119),'2025DATA'!$N$35,"")</f>
        <v/>
      </c>
      <c r="AR152" s="940" t="s">
        <v>52</v>
      </c>
      <c r="AS152" s="13" t="s">
        <v>61</v>
      </c>
      <c r="AT152" s="518" t="str">
        <f>IF(AND(_A3="A-220-100",'2025'!$G$4="CA",'2025'!$G$2=AT119),'2025DATA'!$C$35,"")</f>
        <v/>
      </c>
      <c r="AU152" s="518" t="str">
        <f>IF(AND(_A3="A-220-100",'2025'!$G$4="CA",'2025'!$G$2=AU119),'2025DATA'!$D$35,"")</f>
        <v/>
      </c>
      <c r="AV152" s="518" t="str">
        <f>IF(AND(_A3="A-220-100",'2025'!$G$4="CA",'2025'!$G$2=AV119),'2025DATA'!$E$35,"")</f>
        <v/>
      </c>
      <c r="AW152" s="518" t="str">
        <f>IF(AND(_A3="A-220-100",'2025'!$G$4="CA",'2025'!$G$2=AW119),'2025DATA'!$F$35,"")</f>
        <v/>
      </c>
      <c r="AX152" s="518" t="str">
        <f>IF(AND(_A3="A-220-100",'2025'!$G$4="CA",'2025'!$G$2=AX119),'2025DATA'!$G$35,"")</f>
        <v/>
      </c>
      <c r="AY152" s="518" t="str">
        <f>IF(AND(_A3="A-220-100",'2025'!$G$4="CA",'2025'!$G$2=AY119),'2025DATA'!$H$35,"")</f>
        <v/>
      </c>
      <c r="AZ152" s="518" t="str">
        <f>IF(AND(_A3="A-220-100",'2025'!$G$4="CA",'2025'!$G$2=AZ119),'2025DATA'!$I$35,"")</f>
        <v/>
      </c>
      <c r="BA152" s="518" t="str">
        <f>IF(AND(_A3="A-220-100",'2025'!$G$4="CA",'2025'!$G$2=BA119),'2025DATA'!$J$35,"")</f>
        <v/>
      </c>
      <c r="BB152" s="518" t="str">
        <f>IF(AND(_A3="A-220-100",'2025'!$G$4="CA",'2025'!$G$2=BB119),'2025DATA'!$K$35,"")</f>
        <v/>
      </c>
      <c r="BC152" s="518" t="str">
        <f>IF(AND(_A3="A-220-100",'2025'!$G$4="CA",'2025'!$G$2=BC119),'2025DATA'!$L$35,"")</f>
        <v/>
      </c>
      <c r="BD152" s="518" t="str">
        <f>IF(AND(_A3="A-220-100",'2025'!$G$4="CA",'2025'!$G$2=BD119),'2025DATA'!$M$35,"")</f>
        <v/>
      </c>
      <c r="BE152" s="520" t="str">
        <f>IF(AND(_A3="A-220-100",'2025'!$G$4="CA",'2025'!$G$2=BE119),'2025DATA'!$N$35,"")</f>
        <v/>
      </c>
      <c r="BF152" s="940" t="s">
        <v>52</v>
      </c>
      <c r="BG152" s="13" t="s">
        <v>61</v>
      </c>
      <c r="BH152" s="518" t="str">
        <f>IF(AND(_A4="A-220-100",'2025'!$G$4="CA",'2025'!$G$2=BH119),'2025DATA'!$C$35,"")</f>
        <v/>
      </c>
      <c r="BI152" s="518" t="str">
        <f>IF(AND(_A4="A-220-100",'2025'!$G$4="CA",'2025'!$G$2=BI119),'2025DATA'!$D$35,"")</f>
        <v/>
      </c>
      <c r="BJ152" s="518" t="str">
        <f>IF(AND(_A4="A-220-100",'2025'!$G$4="CA",'2025'!$G$2=BJ119),'2025DATA'!$E$35,"")</f>
        <v/>
      </c>
      <c r="BK152" s="518" t="str">
        <f>IF(AND(_A4="A-220-100",'2025'!$G$4="CA",'2025'!$G$2=BK119),'2025DATA'!$F$35,"")</f>
        <v/>
      </c>
      <c r="BL152" s="518" t="str">
        <f>IF(AND(_A4="A-220-100",'2025'!$G$4="CA",'2025'!$G$2=BL119),'2025DATA'!$G$35,"")</f>
        <v/>
      </c>
      <c r="BM152" s="518" t="str">
        <f>IF(AND(_A4="A-220-100",'2025'!$G$4="CA",'2025'!$G$2=BM119),'2025DATA'!$H$35,"")</f>
        <v/>
      </c>
      <c r="BN152" s="518" t="str">
        <f>IF(AND(_A4="A-220-100",'2025'!$G$4="CA",'2025'!$G$2=BN119),'2025DATA'!$I$35,"")</f>
        <v/>
      </c>
      <c r="BO152" s="518" t="str">
        <f>IF(AND(_A4="A-220-100",'2025'!$G$4="CA",'2025'!$G$2=BO119),'2025DATA'!$J$35,"")</f>
        <v/>
      </c>
      <c r="BP152" s="518" t="str">
        <f>IF(AND(_A4="A-220-100",'2025'!$G$4="CA",'2025'!$G$2=BP119),'2025DATA'!$K$35,"")</f>
        <v/>
      </c>
      <c r="BQ152" s="518" t="str">
        <f>IF(AND(_A4="A-220-100",'2025'!$G$4="CA",'2025'!$G$2=BQ119),'2025DATA'!$L$35,"")</f>
        <v/>
      </c>
      <c r="BR152" s="518" t="str">
        <f>IF(AND(_A4="A-220-100",'2025'!$G$4="CA",'2025'!$G$2=BR119),'2025DATA'!$M$35,"")</f>
        <v/>
      </c>
      <c r="BS152" s="520" t="str">
        <f>IF(AND(_A4="A-220-100",'2025'!$G$4="CA",'2025'!$G$2=BS119),'2025DATA'!$N$35,"")</f>
        <v/>
      </c>
      <c r="BT152" s="940" t="s">
        <v>52</v>
      </c>
      <c r="BU152" s="13" t="s">
        <v>61</v>
      </c>
      <c r="BV152" s="518" t="str">
        <f>IF(AND(_A5="A-220-100",'2025'!$G$4="CA",'2025'!$G$2=BV119),'2025DATA'!$C$35,"")</f>
        <v/>
      </c>
      <c r="BW152" s="518" t="str">
        <f>IF(AND(_A5="A-220-100",'2025'!$G$4="CA",'2025'!$G$2=BW119),'2025DATA'!$D$35,"")</f>
        <v/>
      </c>
      <c r="BX152" s="518" t="str">
        <f>IF(AND(_A5="A-220-100",'2025'!$G$4="CA",'2025'!$G$2=BX119),'2025DATA'!$E$35,"")</f>
        <v/>
      </c>
      <c r="BY152" s="518" t="str">
        <f>IF(AND(_A5="A-220-100",'2025'!$G$4="CA",'2025'!$G$2=BY119),'2025DATA'!$F$35,"")</f>
        <v/>
      </c>
      <c r="BZ152" s="518" t="str">
        <f>IF(AND(_A5="A-220-100",'2025'!$G$4="CA",'2025'!$G$2=BZ119),'2025DATA'!$G$35,"")</f>
        <v/>
      </c>
      <c r="CA152" s="518" t="str">
        <f>IF(AND(_A5="A-220-100",'2025'!$G$4="CA",'2025'!$G$2=CA119),'2025DATA'!$H$35,"")</f>
        <v/>
      </c>
      <c r="CB152" s="518" t="str">
        <f>IF(AND(_A5="A-220-100",'2025'!$G$4="CA",'2025'!$G$2=CB119),'2025DATA'!$I$35,"")</f>
        <v/>
      </c>
      <c r="CC152" s="518" t="str">
        <f>IF(AND(_A5="A-220-100",'2025'!$G$4="CA",'2025'!$G$2=CC119),'2025DATA'!$J$35,"")</f>
        <v/>
      </c>
      <c r="CD152" s="518" t="str">
        <f>IF(AND(_A5="A-220-100",'2025'!$G$4="CA",'2025'!$G$2=CD119),'2025DATA'!$K$35,"")</f>
        <v/>
      </c>
      <c r="CE152" s="518" t="str">
        <f>IF(AND(_A5="A-220-100",'2025'!$G$4="CA",'2025'!$G$2=CE119),'2025DATA'!$L$35,"")</f>
        <v/>
      </c>
      <c r="CF152" s="518" t="str">
        <f>IF(AND(_A5="A-220-100",'2025'!$G$4="CA",'2025'!$G$2=CF119),'2025DATA'!$M$35,"")</f>
        <v/>
      </c>
      <c r="CG152" s="520" t="str">
        <f>IF(AND(_A5="A-220-100",'2025'!$G$4="CA",'2025'!$G$2=CG119),'2025DATA'!$N$35,"")</f>
        <v/>
      </c>
      <c r="CH152" s="940" t="s">
        <v>52</v>
      </c>
      <c r="CI152" s="13" t="s">
        <v>61</v>
      </c>
      <c r="CJ152" s="518" t="str">
        <f>IF(AND(_A6="A-220-100",'2025'!$G$4="CA",'2025'!$G$2=CJ119),'2025DATA'!$C$35,"")</f>
        <v/>
      </c>
      <c r="CK152" s="518" t="str">
        <f>IF(AND(_A6="A-220-100",'2025'!$G$4="CA",'2025'!$G$2=CK119),'2025DATA'!$D$35,"")</f>
        <v/>
      </c>
      <c r="CL152" s="518" t="str">
        <f>IF(AND(_A6="A-220-100",'2025'!$G$4="CA",'2025'!$G$2=CL119),'2025DATA'!$E$35,"")</f>
        <v/>
      </c>
      <c r="CM152" s="518" t="str">
        <f>IF(AND(_A6="A-220-100",'2025'!$G$4="CA",'2025'!$G$2=CM119),'2025DATA'!$F$35,"")</f>
        <v/>
      </c>
      <c r="CN152" s="518" t="str">
        <f>IF(AND(_A6="A-220-100",'2025'!$G$4="CA",'2025'!$G$2=CN119),'2025DATA'!$G$35,"")</f>
        <v/>
      </c>
      <c r="CO152" s="518" t="str">
        <f>IF(AND(_A6="A-220-100",'2025'!$G$4="CA",'2025'!$G$2=CO119),'2025DATA'!$H$35,"")</f>
        <v/>
      </c>
      <c r="CP152" s="518" t="str">
        <f>IF(AND(_A6="A-220-100",'2025'!$G$4="CA",'2025'!$G$2=CP119),'2025DATA'!$I$35,"")</f>
        <v/>
      </c>
      <c r="CQ152" s="518" t="str">
        <f>IF(AND(_A6="A-220-100",'2025'!$G$4="CA",'2025'!$G$2=CQ119),'2025DATA'!$J$35,"")</f>
        <v/>
      </c>
      <c r="CR152" s="518" t="str">
        <f>IF(AND(_A6="A-220-100",'2025'!$G$4="CA",'2025'!$G$2=CR119),'2025DATA'!$K$35,"")</f>
        <v/>
      </c>
      <c r="CS152" s="518" t="str">
        <f>IF(AND(_A6="A-220-100",'2025'!$G$4="CA",'2025'!$G$2=CS119),'2025DATA'!$L$35,"")</f>
        <v/>
      </c>
      <c r="CT152" s="518" t="str">
        <f>IF(AND(_A6="A-220-100",'2025'!$G$4="CA",'2025'!$G$2=CT119),'2025DATA'!$M$35,"")</f>
        <v/>
      </c>
      <c r="CU152" s="520" t="str">
        <f>IF(AND(_A6="A-220-100",'2025'!$G$4="CA",'2025'!$G$2=CU119),'2025DATA'!$N$35,"")</f>
        <v/>
      </c>
    </row>
    <row r="153" spans="16:99" x14ac:dyDescent="0.25">
      <c r="P153" s="940"/>
      <c r="Q153" s="13" t="s">
        <v>62</v>
      </c>
      <c r="R153" s="518" t="str">
        <f>IF(AND(_A1="A-220-100",'2025'!$G$4="FO",'2025'!$G$2=R119),'2025DATA'!$C$36,"")</f>
        <v/>
      </c>
      <c r="S153" s="518" t="str">
        <f>IF(AND(_A1="A-220-100",'2025'!$G$4="FO",'2025'!$G$2=S119),'2025DATA'!$D$36,"")</f>
        <v/>
      </c>
      <c r="T153" s="518" t="str">
        <f>IF(AND(_A1="A-220-100",'2025'!$G$4="FO",'2025'!$G$2=T119),'2025DATA'!$E$36,"")</f>
        <v/>
      </c>
      <c r="U153" s="518" t="str">
        <f>IF(AND(_A1="A-220-100",'2025'!$G$4="FO",'2025'!$G$2=U119),'2025DATA'!$F$36,"")</f>
        <v/>
      </c>
      <c r="V153" s="518" t="str">
        <f>IF(AND(_A1="A-220-100",'2025'!$G$4="FO",'2025'!$G$2=V119),'2025DATA'!$G$36,"")</f>
        <v/>
      </c>
      <c r="W153" s="518" t="str">
        <f>IF(AND(_A1="A-220-100",'2025'!$G$4="FO",'2025'!$G$2=W119),'2025DATA'!$H$36,"")</f>
        <v/>
      </c>
      <c r="X153" s="518" t="str">
        <f>IF(AND(_A1="A-220-100",'2025'!$G$4="FO",'2025'!$G$2=X119),'2025DATA'!$I$36,"")</f>
        <v/>
      </c>
      <c r="Y153" s="518" t="str">
        <f>IF(AND(_A1="A-220-100",'2025'!$G$4="FO",'2025'!$G$2=Y119),'2025DATA'!$J$36,"")</f>
        <v/>
      </c>
      <c r="Z153" s="518" t="str">
        <f>IF(AND(_A1="A-220-100",'2025'!$G$4="FO",'2025'!$G$2=Z119),'2025DATA'!$K$36,"")</f>
        <v/>
      </c>
      <c r="AA153" s="518" t="str">
        <f>IF(AND(_A1="A-220-100",'2025'!$G$4="FO",'2025'!$G$2=AA119),'2025DATA'!$L$36,"")</f>
        <v/>
      </c>
      <c r="AB153" s="518" t="str">
        <f>IF(AND(_A1="A-220-100",'2025'!$G$4="FO",'2025'!$G$2=AB119),'2025DATA'!$M$36,"")</f>
        <v/>
      </c>
      <c r="AC153" s="520" t="str">
        <f>IF(AND(_A1="A-220-100",'2025'!$G$4="FO",'2025'!$G$2=AC119),'2025DATA'!$N$36,"")</f>
        <v/>
      </c>
      <c r="AD153" s="940"/>
      <c r="AE153" s="13" t="s">
        <v>62</v>
      </c>
      <c r="AF153" s="518" t="str">
        <f>IF(AND(_A2="A-220-100",'2025'!$G$4="FO",'2025'!$G$2=AF119),'2025DATA'!$C$36,"")</f>
        <v/>
      </c>
      <c r="AG153" s="518" t="str">
        <f>IF(AND(_A2="A-220-100",'2025'!$G$4="FO",'2025'!$G$2=AG119),'2025DATA'!$D$36,"")</f>
        <v/>
      </c>
      <c r="AH153" s="518" t="str">
        <f>IF(AND(_A2="A-220-100",'2025'!$G$4="FO",'2025'!$G$2=AH119),'2025DATA'!$E$36,"")</f>
        <v/>
      </c>
      <c r="AI153" s="518" t="str">
        <f>IF(AND(_A2="A-220-100",'2025'!$G$4="FO",'2025'!$G$2=AI119),'2025DATA'!$F$36,"")</f>
        <v/>
      </c>
      <c r="AJ153" s="518" t="str">
        <f>IF(AND(_A2="A-220-100",'2025'!$G$4="FO",'2025'!$G$2=AJ119),'2025DATA'!$G$36,"")</f>
        <v/>
      </c>
      <c r="AK153" s="518" t="str">
        <f>IF(AND(_A2="A-220-100",'2025'!$G$4="FO",'2025'!$G$2=AK119),'2025DATA'!$H$36,"")</f>
        <v/>
      </c>
      <c r="AL153" s="518" t="str">
        <f>IF(AND(_A2="A-220-100",'2025'!$G$4="FO",'2025'!$G$2=AL119),'2025DATA'!$I$36,"")</f>
        <v/>
      </c>
      <c r="AM153" s="518" t="str">
        <f>IF(AND(_A2="A-220-100",'2025'!$G$4="FO",'2025'!$G$2=AM119),'2025DATA'!$J$36,"")</f>
        <v/>
      </c>
      <c r="AN153" s="518" t="str">
        <f>IF(AND(_A2="A-220-100",'2025'!$G$4="FO",'2025'!$G$2=AN119),'2025DATA'!$K$36,"")</f>
        <v/>
      </c>
      <c r="AO153" s="518" t="str">
        <f>IF(AND(_A2="A-220-100",'2025'!$G$4="FO",'2025'!$G$2=AO119),'2025DATA'!$L$36,"")</f>
        <v/>
      </c>
      <c r="AP153" s="518" t="str">
        <f>IF(AND(_A2="A-220-100",'2025'!$G$4="FO",'2025'!$G$2=AP119),'2025DATA'!$M$36,"")</f>
        <v/>
      </c>
      <c r="AQ153" s="520" t="str">
        <f>IF(AND(_A2="A-220-100",'2025'!$G$4="FO",'2025'!$G$2=AQ119),'2025DATA'!$N$36,"")</f>
        <v/>
      </c>
      <c r="AR153" s="940"/>
      <c r="AS153" s="13" t="s">
        <v>62</v>
      </c>
      <c r="AT153" s="518" t="str">
        <f>IF(AND(_A3="A-220-100",'2025'!$G$4="FO",'2025'!$G$2=AT119),'2025DATA'!$C$36,"")</f>
        <v/>
      </c>
      <c r="AU153" s="518" t="str">
        <f>IF(AND(_A3="A-220-100",'2025'!$G$4="FO",'2025'!$G$2=AU119),'2025DATA'!$D$36,"")</f>
        <v/>
      </c>
      <c r="AV153" s="518" t="str">
        <f>IF(AND(_A3="A-220-100",'2025'!$G$4="FO",'2025'!$G$2=AV119),'2025DATA'!$E$36,"")</f>
        <v/>
      </c>
      <c r="AW153" s="518" t="str">
        <f>IF(AND(_A3="A-220-100",'2025'!$G$4="FO",'2025'!$G$2=AW119),'2025DATA'!$F$36,"")</f>
        <v/>
      </c>
      <c r="AX153" s="518" t="str">
        <f>IF(AND(_A3="A-220-100",'2025'!$G$4="FO",'2025'!$G$2=AX119),'2025DATA'!$G$36,"")</f>
        <v/>
      </c>
      <c r="AY153" s="518" t="str">
        <f>IF(AND(_A3="A-220-100",'2025'!$G$4="FO",'2025'!$G$2=AY119),'2025DATA'!$H$36,"")</f>
        <v/>
      </c>
      <c r="AZ153" s="518" t="str">
        <f>IF(AND(_A3="A-220-100",'2025'!$G$4="FO",'2025'!$G$2=AZ119),'2025DATA'!$I$36,"")</f>
        <v/>
      </c>
      <c r="BA153" s="518" t="str">
        <f>IF(AND(_A3="A-220-100",'2025'!$G$4="FO",'2025'!$G$2=BA119),'2025DATA'!$J$36,"")</f>
        <v/>
      </c>
      <c r="BB153" s="518" t="str">
        <f>IF(AND(_A3="A-220-100",'2025'!$G$4="FO",'2025'!$G$2=BB119),'2025DATA'!$K$36,"")</f>
        <v/>
      </c>
      <c r="BC153" s="518" t="str">
        <f>IF(AND(_A3="A-220-100",'2025'!$G$4="FO",'2025'!$G$2=BC119),'2025DATA'!$L$36,"")</f>
        <v/>
      </c>
      <c r="BD153" s="518" t="str">
        <f>IF(AND(_A3="A-220-100",'2025'!$G$4="FO",'2025'!$G$2=BD119),'2025DATA'!$M$36,"")</f>
        <v/>
      </c>
      <c r="BE153" s="520" t="str">
        <f>IF(AND(_A3="A-220-100",'2025'!$G$4="FO",'2025'!$G$2=BE119),'2025DATA'!$N$36,"")</f>
        <v/>
      </c>
      <c r="BF153" s="940"/>
      <c r="BG153" s="13" t="s">
        <v>62</v>
      </c>
      <c r="BH153" s="518" t="str">
        <f>IF(AND(_A4="A-220-100",'2025'!$G$4="FO",'2025'!$G$2=BH119),'2025DATA'!$C$36,"")</f>
        <v/>
      </c>
      <c r="BI153" s="518" t="str">
        <f>IF(AND(_A4="A-220-100",'2025'!$G$4="FO",'2025'!$G$2=BI119),'2025DATA'!$D$36,"")</f>
        <v/>
      </c>
      <c r="BJ153" s="518" t="str">
        <f>IF(AND(_A4="A-220-100",'2025'!$G$4="FO",'2025'!$G$2=BJ119),'2025DATA'!$E$36,"")</f>
        <v/>
      </c>
      <c r="BK153" s="518" t="str">
        <f>IF(AND(_A4="A-220-100",'2025'!$G$4="FO",'2025'!$G$2=BK119),'2025DATA'!$F$36,"")</f>
        <v/>
      </c>
      <c r="BL153" s="518" t="str">
        <f>IF(AND(_A4="A-220-100",'2025'!$G$4="FO",'2025'!$G$2=BL119),'2025DATA'!$G$36,"")</f>
        <v/>
      </c>
      <c r="BM153" s="518" t="str">
        <f>IF(AND(_A4="A-220-100",'2025'!$G$4="FO",'2025'!$G$2=BM119),'2025DATA'!$H$36,"")</f>
        <v/>
      </c>
      <c r="BN153" s="518" t="str">
        <f>IF(AND(_A4="A-220-100",'2025'!$G$4="FO",'2025'!$G$2=BN119),'2025DATA'!$I$36,"")</f>
        <v/>
      </c>
      <c r="BO153" s="518" t="str">
        <f>IF(AND(_A4="A-220-100",'2025'!$G$4="FO",'2025'!$G$2=BO119),'2025DATA'!$J$36,"")</f>
        <v/>
      </c>
      <c r="BP153" s="518" t="str">
        <f>IF(AND(_A4="A-220-100",'2025'!$G$4="FO",'2025'!$G$2=BP119),'2025DATA'!$K$36,"")</f>
        <v/>
      </c>
      <c r="BQ153" s="518" t="str">
        <f>IF(AND(_A4="A-220-100",'2025'!$G$4="FO",'2025'!$G$2=BQ119),'2025DATA'!$L$36,"")</f>
        <v/>
      </c>
      <c r="BR153" s="518" t="str">
        <f>IF(AND(_A4="A-220-100",'2025'!$G$4="FO",'2025'!$G$2=BR119),'2025DATA'!$M$36,"")</f>
        <v/>
      </c>
      <c r="BS153" s="520" t="str">
        <f>IF(AND(_A4="A-220-100",'2025'!$G$4="FO",'2025'!$G$2=BS119),'2025DATA'!$N$36,"")</f>
        <v/>
      </c>
      <c r="BT153" s="940"/>
      <c r="BU153" s="13" t="s">
        <v>62</v>
      </c>
      <c r="BV153" s="518" t="str">
        <f>IF(AND(_A5="A-220-100",'2025'!$G$4="FO",'2025'!$G$2=BV119),'2025DATA'!$C$36,"")</f>
        <v/>
      </c>
      <c r="BW153" s="518" t="str">
        <f>IF(AND(_A5="A-220-100",'2025'!$G$4="FO",'2025'!$G$2=BW119),'2025DATA'!$D$36,"")</f>
        <v/>
      </c>
      <c r="BX153" s="518" t="str">
        <f>IF(AND(_A5="A-220-100",'2025'!$G$4="FO",'2025'!$G$2=BX119),'2025DATA'!$E$36,"")</f>
        <v/>
      </c>
      <c r="BY153" s="518" t="str">
        <f>IF(AND(_A5="A-220-100",'2025'!$G$4="FO",'2025'!$G$2=BY119),'2025DATA'!$F$36,"")</f>
        <v/>
      </c>
      <c r="BZ153" s="518" t="str">
        <f>IF(AND(_A5="A-220-100",'2025'!$G$4="FO",'2025'!$G$2=BZ119),'2025DATA'!$G$36,"")</f>
        <v/>
      </c>
      <c r="CA153" s="518" t="str">
        <f>IF(AND(_A5="A-220-100",'2025'!$G$4="FO",'2025'!$G$2=CA119),'2025DATA'!$H$36,"")</f>
        <v/>
      </c>
      <c r="CB153" s="518" t="str">
        <f>IF(AND(_A5="A-220-100",'2025'!$G$4="FO",'2025'!$G$2=CB119),'2025DATA'!$I$36,"")</f>
        <v/>
      </c>
      <c r="CC153" s="518" t="str">
        <f>IF(AND(_A5="A-220-100",'2025'!$G$4="FO",'2025'!$G$2=CC119),'2025DATA'!$J$36,"")</f>
        <v/>
      </c>
      <c r="CD153" s="518" t="str">
        <f>IF(AND(_A5="A-220-100",'2025'!$G$4="FO",'2025'!$G$2=CD119),'2025DATA'!$K$36,"")</f>
        <v/>
      </c>
      <c r="CE153" s="518" t="str">
        <f>IF(AND(_A5="A-220-100",'2025'!$G$4="FO",'2025'!$G$2=CE119),'2025DATA'!$L$36,"")</f>
        <v/>
      </c>
      <c r="CF153" s="518" t="str">
        <f>IF(AND(_A5="A-220-100",'2025'!$G$4="FO",'2025'!$G$2=CF119),'2025DATA'!$M$36,"")</f>
        <v/>
      </c>
      <c r="CG153" s="520" t="str">
        <f>IF(AND(_A5="A-220-100",'2025'!$G$4="FO",'2025'!$G$2=CG119),'2025DATA'!$N$36,"")</f>
        <v/>
      </c>
      <c r="CH153" s="940"/>
      <c r="CI153" s="13" t="s">
        <v>62</v>
      </c>
      <c r="CJ153" s="518" t="str">
        <f>IF(AND(_A6="A-220-100",'2025'!$G$4="FO",'2025'!$G$2=CJ119),'2025DATA'!$C$36,"")</f>
        <v/>
      </c>
      <c r="CK153" s="518" t="str">
        <f>IF(AND(_A6="A-220-100",'2025'!$G$4="FO",'2025'!$G$2=CK119),'2025DATA'!$D$36,"")</f>
        <v/>
      </c>
      <c r="CL153" s="518" t="str">
        <f>IF(AND(_A6="A-220-100",'2025'!$G$4="FO",'2025'!$G$2=CL119),'2025DATA'!$E$36,"")</f>
        <v/>
      </c>
      <c r="CM153" s="518" t="str">
        <f>IF(AND(_A6="A-220-100",'2025'!$G$4="FO",'2025'!$G$2=CM119),'2025DATA'!$F$36,"")</f>
        <v/>
      </c>
      <c r="CN153" s="518" t="str">
        <f>IF(AND(_A6="A-220-100",'2025'!$G$4="FO",'2025'!$G$2=CN119),'2025DATA'!$G$36,"")</f>
        <v/>
      </c>
      <c r="CO153" s="518" t="str">
        <f>IF(AND(_A6="A-220-100",'2025'!$G$4="FO",'2025'!$G$2=CO119),'2025DATA'!$H$36,"")</f>
        <v/>
      </c>
      <c r="CP153" s="518" t="str">
        <f>IF(AND(_A6="A-220-100",'2025'!$G$4="FO",'2025'!$G$2=CP119),'2025DATA'!$I$36,"")</f>
        <v/>
      </c>
      <c r="CQ153" s="518" t="str">
        <f>IF(AND(_A6="A-220-100",'2025'!$G$4="FO",'2025'!$G$2=CQ119),'2025DATA'!$J$36,"")</f>
        <v/>
      </c>
      <c r="CR153" s="518" t="str">
        <f>IF(AND(_A6="A-220-100",'2025'!$G$4="FO",'2025'!$G$2=CR119),'2025DATA'!$K$36,"")</f>
        <v/>
      </c>
      <c r="CS153" s="518" t="str">
        <f>IF(AND(_A6="A-220-100",'2025'!$G$4="FO",'2025'!$G$2=CS119),'2025DATA'!$L$36,"")</f>
        <v/>
      </c>
      <c r="CT153" s="518" t="str">
        <f>IF(AND(_A6="A-220-100",'2025'!$G$4="FO",'2025'!$G$2=CT119),'2025DATA'!$M$36,"")</f>
        <v/>
      </c>
      <c r="CU153" s="520" t="str">
        <f>IF(AND(_A6="A-220-100",'2025'!$G$4="FO",'2025'!$G$2=CU119),'2025DATA'!$N$36,"")</f>
        <v/>
      </c>
    </row>
    <row r="154" spans="16:99" x14ac:dyDescent="0.25">
      <c r="P154" s="940" t="s">
        <v>53</v>
      </c>
      <c r="Q154" s="13" t="s">
        <v>61</v>
      </c>
      <c r="R154" s="518" t="str">
        <f>IF(AND(_A1="B-717",'2025'!$G$4="CA",'2025'!$G$2=R119),'2025DATA'!$C$37,"")</f>
        <v/>
      </c>
      <c r="S154" s="518" t="str">
        <f>IF(AND(_A1="B-717",'2025'!$G$4="CA",'2025'!$G$2=S119),'2025DATA'!$D$37,"")</f>
        <v/>
      </c>
      <c r="T154" s="518" t="str">
        <f>IF(AND(_A1="B-717",'2025'!$G$4="CA",'2025'!$G$2=T119),'2025DATA'!$E$37,"")</f>
        <v/>
      </c>
      <c r="U154" s="518" t="str">
        <f>IF(AND(_A1="B-717",'2025'!$G$4="CA",'2025'!$G$2=U119),'2025DATA'!$F$37,"")</f>
        <v/>
      </c>
      <c r="V154" s="518" t="str">
        <f>IF(AND(_A1="B-717",'2025'!$G$4="CA",'2025'!$G$2=V119),'2025DATA'!$G$37,"")</f>
        <v/>
      </c>
      <c r="W154" s="518" t="str">
        <f>IF(AND(_A1="B-717",'2025'!$G$4="CA",'2025'!$G$2=W119),'2025DATA'!$H$37,"")</f>
        <v/>
      </c>
      <c r="X154" s="518" t="str">
        <f>IF(AND(_A1="B-717",'2025'!$G$4="CA",'2025'!$G$2=X119),'2025DATA'!$I$37,"")</f>
        <v/>
      </c>
      <c r="Y154" s="518" t="str">
        <f>IF(AND(_A1="B-717",'2025'!$G$4="CA",'2025'!$G$2=Y119),'2025DATA'!$J$37,"")</f>
        <v/>
      </c>
      <c r="Z154" s="518" t="str">
        <f>IF(AND(_A1="B-717",'2025'!$G$4="CA",'2025'!$G$2=Z119),'2025DATA'!$K$37,"")</f>
        <v/>
      </c>
      <c r="AA154" s="518" t="str">
        <f>IF(AND(_A1="B-717",'2025'!$G$4="CA",'2025'!$G$2=AA119),'2025DATA'!$L$37,"")</f>
        <v/>
      </c>
      <c r="AB154" s="518" t="str">
        <f>IF(AND(_A1="B-717",'2025'!$G$4="CA",'2025'!$G$2=AB119),'2025DATA'!$M$37,"")</f>
        <v/>
      </c>
      <c r="AC154" s="520" t="str">
        <f>IF(AND(_A1="B-717",'2025'!$G$4="CA",'2025'!$G$2=AC119),'2025DATA'!$N$37,"")</f>
        <v/>
      </c>
      <c r="AD154" s="940" t="s">
        <v>53</v>
      </c>
      <c r="AE154" s="13" t="s">
        <v>61</v>
      </c>
      <c r="AF154" s="518" t="str">
        <f>IF(AND(_A2="B-717",'2025'!$G$4="CA",'2025'!$G$2=AF119),'2025DATA'!$C$37,"")</f>
        <v/>
      </c>
      <c r="AG154" s="518" t="str">
        <f>IF(AND(_A2="B-717",'2025'!$G$4="CA",'2025'!$G$2=AG119),'2025DATA'!$D$37,"")</f>
        <v/>
      </c>
      <c r="AH154" s="518" t="str">
        <f>IF(AND(_A2="B-717",'2025'!$G$4="CA",'2025'!$G$2=AH119),'2025DATA'!$E$37,"")</f>
        <v/>
      </c>
      <c r="AI154" s="518" t="str">
        <f>IF(AND(_A2="B-717",'2025'!$G$4="CA",'2025'!$G$2=AI119),'2025DATA'!$F$37,"")</f>
        <v/>
      </c>
      <c r="AJ154" s="518" t="str">
        <f>IF(AND(_A2="B-717",'2025'!$G$4="CA",'2025'!$G$2=AJ119),'2025DATA'!$G$37,"")</f>
        <v/>
      </c>
      <c r="AK154" s="518" t="str">
        <f>IF(AND(_A2="B-717",'2025'!$G$4="CA",'2025'!$G$2=AK119),'2025DATA'!$H$37,"")</f>
        <v/>
      </c>
      <c r="AL154" s="518" t="str">
        <f>IF(AND(_A2="B-717",'2025'!$G$4="CA",'2025'!$G$2=AL119),'2025DATA'!$I$37,"")</f>
        <v/>
      </c>
      <c r="AM154" s="518" t="str">
        <f>IF(AND(_A2="B-717",'2025'!$G$4="CA",'2025'!$G$2=AM119),'2025DATA'!$J$37,"")</f>
        <v/>
      </c>
      <c r="AN154" s="518" t="str">
        <f>IF(AND(_A2="B-717",'2025'!$G$4="CA",'2025'!$G$2=AN119),'2025DATA'!$K$37,"")</f>
        <v/>
      </c>
      <c r="AO154" s="518" t="str">
        <f>IF(AND(_A2="B-717",'2025'!$G$4="CA",'2025'!$G$2=AO119),'2025DATA'!$L$37,"")</f>
        <v/>
      </c>
      <c r="AP154" s="518" t="str">
        <f>IF(AND(_A2="B-717",'2025'!$G$4="CA",'2025'!$G$2=AP119),'2025DATA'!$M$37,"")</f>
        <v/>
      </c>
      <c r="AQ154" s="520" t="str">
        <f>IF(AND(_A2="B-717",'2025'!$G$4="CA",'2025'!$G$2=AQ119),'2025DATA'!$N$37,"")</f>
        <v/>
      </c>
      <c r="AR154" s="940" t="s">
        <v>53</v>
      </c>
      <c r="AS154" s="13" t="s">
        <v>61</v>
      </c>
      <c r="AT154" s="518" t="str">
        <f>IF(AND(_A3="B-717",'2025'!$G$4="CA",'2025'!$G$2=AT119),'2025DATA'!$C$37,"")</f>
        <v/>
      </c>
      <c r="AU154" s="518" t="str">
        <f>IF(AND(_A3="B-717",'2025'!$G$4="CA",'2025'!$G$2=AU119),'2025DATA'!$D$37,"")</f>
        <v/>
      </c>
      <c r="AV154" s="518" t="str">
        <f>IF(AND(_A3="B-717",'2025'!$G$4="CA",'2025'!$G$2=AV119),'2025DATA'!$E$37,"")</f>
        <v/>
      </c>
      <c r="AW154" s="518" t="str">
        <f>IF(AND(_A3="B-717",'2025'!$G$4="CA",'2025'!$G$2=AW119),'2025DATA'!$F$37,"")</f>
        <v/>
      </c>
      <c r="AX154" s="518" t="str">
        <f>IF(AND(_A3="B-717",'2025'!$G$4="CA",'2025'!$G$2=AX119),'2025DATA'!$G$37,"")</f>
        <v/>
      </c>
      <c r="AY154" s="518" t="str">
        <f>IF(AND(_A3="B-717",'2025'!$G$4="CA",'2025'!$G$2=AY119),'2025DATA'!$H$37,"")</f>
        <v/>
      </c>
      <c r="AZ154" s="518" t="str">
        <f>IF(AND(_A3="B-717",'2025'!$G$4="CA",'2025'!$G$2=AZ119),'2025DATA'!$I$37,"")</f>
        <v/>
      </c>
      <c r="BA154" s="518" t="str">
        <f>IF(AND(_A3="B-717",'2025'!$G$4="CA",'2025'!$G$2=BA119),'2025DATA'!$J$37,"")</f>
        <v/>
      </c>
      <c r="BB154" s="518" t="str">
        <f>IF(AND(_A3="B-717",'2025'!$G$4="CA",'2025'!$G$2=BB119),'2025DATA'!$K$37,"")</f>
        <v/>
      </c>
      <c r="BC154" s="518" t="str">
        <f>IF(AND(_A3="B-717",'2025'!$G$4="CA",'2025'!$G$2=BC119),'2025DATA'!$L$37,"")</f>
        <v/>
      </c>
      <c r="BD154" s="518" t="str">
        <f>IF(AND(_A3="B-717",'2025'!$G$4="CA",'2025'!$G$2=BD119),'2025DATA'!$M$37,"")</f>
        <v/>
      </c>
      <c r="BE154" s="520" t="str">
        <f>IF(AND(_A3="B-717",'2025'!$G$4="CA",'2025'!$G$2=BE119),'2025DATA'!$N$37,"")</f>
        <v/>
      </c>
      <c r="BF154" s="940" t="s">
        <v>53</v>
      </c>
      <c r="BG154" s="13" t="s">
        <v>61</v>
      </c>
      <c r="BH154" s="518" t="str">
        <f>IF(AND(_A4="B-717",'2025'!$G$4="CA",'2025'!$G$2=BH119),'2025DATA'!$C$37,"")</f>
        <v/>
      </c>
      <c r="BI154" s="518" t="str">
        <f>IF(AND(_A4="B-717",'2025'!$G$4="CA",'2025'!$G$2=BI119),'2025DATA'!$D$37,"")</f>
        <v/>
      </c>
      <c r="BJ154" s="518" t="str">
        <f>IF(AND(_A4="B-717",'2025'!$G$4="CA",'2025'!$G$2=BJ119),'2025DATA'!$E$37,"")</f>
        <v/>
      </c>
      <c r="BK154" s="518" t="str">
        <f>IF(AND(_A4="B-717",'2025'!$G$4="CA",'2025'!$G$2=BK119),'2025DATA'!$F$37,"")</f>
        <v/>
      </c>
      <c r="BL154" s="518" t="str">
        <f>IF(AND(_A4="B-717",'2025'!$G$4="CA",'2025'!$G$2=BL119),'2025DATA'!$G$37,"")</f>
        <v/>
      </c>
      <c r="BM154" s="518" t="str">
        <f>IF(AND(_A4="B-717",'2025'!$G$4="CA",'2025'!$G$2=BM119),'2025DATA'!$H$37,"")</f>
        <v/>
      </c>
      <c r="BN154" s="518" t="str">
        <f>IF(AND(_A4="B-717",'2025'!$G$4="CA",'2025'!$G$2=BN119),'2025DATA'!$I$37,"")</f>
        <v/>
      </c>
      <c r="BO154" s="518" t="str">
        <f>IF(AND(_A4="B-717",'2025'!$G$4="CA",'2025'!$G$2=BO119),'2025DATA'!$J$37,"")</f>
        <v/>
      </c>
      <c r="BP154" s="518" t="str">
        <f>IF(AND(_A4="B-717",'2025'!$G$4="CA",'2025'!$G$2=BP119),'2025DATA'!$K$37,"")</f>
        <v/>
      </c>
      <c r="BQ154" s="518" t="str">
        <f>IF(AND(_A4="B-717",'2025'!$G$4="CA",'2025'!$G$2=BQ119),'2025DATA'!$L$37,"")</f>
        <v/>
      </c>
      <c r="BR154" s="518" t="str">
        <f>IF(AND(_A4="B-717",'2025'!$G$4="CA",'2025'!$G$2=BR119),'2025DATA'!$M$37,"")</f>
        <v/>
      </c>
      <c r="BS154" s="520" t="str">
        <f>IF(AND(_A4="B-717",'2025'!$G$4="CA",'2025'!$G$2=BS119),'2025DATA'!$N$37,"")</f>
        <v/>
      </c>
      <c r="BT154" s="940" t="s">
        <v>53</v>
      </c>
      <c r="BU154" s="13" t="s">
        <v>61</v>
      </c>
      <c r="BV154" s="518" t="str">
        <f>IF(AND(_A5="B-717",'2025'!$G$4="CA",'2025'!$G$2=BV119),'2025DATA'!$C$37,"")</f>
        <v/>
      </c>
      <c r="BW154" s="518" t="str">
        <f>IF(AND(_A5="B-717",'2025'!$G$4="CA",'2025'!$G$2=BW119),'2025DATA'!$D$37,"")</f>
        <v/>
      </c>
      <c r="BX154" s="518" t="str">
        <f>IF(AND(_A5="B-717",'2025'!$G$4="CA",'2025'!$G$2=BX119),'2025DATA'!$E$37,"")</f>
        <v/>
      </c>
      <c r="BY154" s="518" t="str">
        <f>IF(AND(_A5="B-717",'2025'!$G$4="CA",'2025'!$G$2=BY119),'2025DATA'!$F$37,"")</f>
        <v/>
      </c>
      <c r="BZ154" s="518" t="str">
        <f>IF(AND(_A5="B-717",'2025'!$G$4="CA",'2025'!$G$2=BZ119),'2025DATA'!$G$37,"")</f>
        <v/>
      </c>
      <c r="CA154" s="518" t="str">
        <f>IF(AND(_A5="B-717",'2025'!$G$4="CA",'2025'!$G$2=CA119),'2025DATA'!$H$37,"")</f>
        <v/>
      </c>
      <c r="CB154" s="518" t="str">
        <f>IF(AND(_A5="B-717",'2025'!$G$4="CA",'2025'!$G$2=CB119),'2025DATA'!$I$37,"")</f>
        <v/>
      </c>
      <c r="CC154" s="518" t="str">
        <f>IF(AND(_A5="B-717",'2025'!$G$4="CA",'2025'!$G$2=CC119),'2025DATA'!$J$37,"")</f>
        <v/>
      </c>
      <c r="CD154" s="518" t="str">
        <f>IF(AND(_A5="B-717",'2025'!$G$4="CA",'2025'!$G$2=CD119),'2025DATA'!$K$37,"")</f>
        <v/>
      </c>
      <c r="CE154" s="518" t="str">
        <f>IF(AND(_A5="B-717",'2025'!$G$4="CA",'2025'!$G$2=CE119),'2025DATA'!$L$37,"")</f>
        <v/>
      </c>
      <c r="CF154" s="518" t="str">
        <f>IF(AND(_A5="B-717",'2025'!$G$4="CA",'2025'!$G$2=CF119),'2025DATA'!$M$37,"")</f>
        <v/>
      </c>
      <c r="CG154" s="520" t="str">
        <f>IF(AND(_A5="B-717",'2025'!$G$4="CA",'2025'!$G$2=CG119),'2025DATA'!$N$37,"")</f>
        <v/>
      </c>
      <c r="CH154" s="940" t="s">
        <v>53</v>
      </c>
      <c r="CI154" s="13" t="s">
        <v>61</v>
      </c>
      <c r="CJ154" s="518" t="str">
        <f>IF(AND(_A6="B-717",'2025'!$G$4="CA",'2025'!$G$2=CJ119),'2025DATA'!$C$37,"")</f>
        <v/>
      </c>
      <c r="CK154" s="518" t="str">
        <f>IF(AND(_A6="B-717",'2025'!$G$4="CA",'2025'!$G$2=CK119),'2025DATA'!$D$37,"")</f>
        <v/>
      </c>
      <c r="CL154" s="518" t="str">
        <f>IF(AND(_A6="B-717",'2025'!$G$4="CA",'2025'!$G$2=CL119),'2025DATA'!$E$37,"")</f>
        <v/>
      </c>
      <c r="CM154" s="518" t="str">
        <f>IF(AND(_A6="B-717",'2025'!$G$4="CA",'2025'!$G$2=CM119),'2025DATA'!$F$37,"")</f>
        <v/>
      </c>
      <c r="CN154" s="518" t="str">
        <f>IF(AND(_A6="B-717",'2025'!$G$4="CA",'2025'!$G$2=CN119),'2025DATA'!$G$37,"")</f>
        <v/>
      </c>
      <c r="CO154" s="518" t="str">
        <f>IF(AND(_A6="B-717",'2025'!$G$4="CA",'2025'!$G$2=CO119),'2025DATA'!$H$37,"")</f>
        <v/>
      </c>
      <c r="CP154" s="518" t="str">
        <f>IF(AND(_A6="B-717",'2025'!$G$4="CA",'2025'!$G$2=CP119),'2025DATA'!$I$37,"")</f>
        <v/>
      </c>
      <c r="CQ154" s="518" t="str">
        <f>IF(AND(_A6="B-717",'2025'!$G$4="CA",'2025'!$G$2=CQ119),'2025DATA'!$J$37,"")</f>
        <v/>
      </c>
      <c r="CR154" s="518" t="str">
        <f>IF(AND(_A6="B-717",'2025'!$G$4="CA",'2025'!$G$2=CR119),'2025DATA'!$K$37,"")</f>
        <v/>
      </c>
      <c r="CS154" s="518" t="str">
        <f>IF(AND(_A6="B-717",'2025'!$G$4="CA",'2025'!$G$2=CS119),'2025DATA'!$L$37,"")</f>
        <v/>
      </c>
      <c r="CT154" s="518" t="str">
        <f>IF(AND(_A6="B-717",'2025'!$G$4="CA",'2025'!$G$2=CT119),'2025DATA'!$M$37,"")</f>
        <v/>
      </c>
      <c r="CU154" s="520" t="str">
        <f>IF(AND(_A6="B-717",'2025'!$G$4="CA",'2025'!$G$2=CU119),'2025DATA'!$N$37,"")</f>
        <v/>
      </c>
    </row>
    <row r="155" spans="16:99" ht="15.75" thickBot="1" x14ac:dyDescent="0.3">
      <c r="P155" s="942"/>
      <c r="Q155" s="2" t="s">
        <v>62</v>
      </c>
      <c r="R155" s="518" t="str">
        <f>IF(AND(_A1="B-717",'2025'!$G$4="FO",'2025'!$G$2=R119),'2025DATA'!$C$38,"")</f>
        <v/>
      </c>
      <c r="S155" s="518" t="str">
        <f>IF(AND(_A1="B-717",'2025'!$G$4="FO",'2025'!$G$2=S119),'2025DATA'!$D$38,"")</f>
        <v/>
      </c>
      <c r="T155" s="518" t="str">
        <f>IF(AND(_A1="B-717",'2025'!$G$4="FO",'2025'!$G$2=T119),'2025DATA'!$E$38,"")</f>
        <v/>
      </c>
      <c r="U155" s="518" t="str">
        <f>IF(AND(_A1="B-717",'2025'!$G$4="FO",'2025'!$G$2=U119),'2025DATA'!$F$38,"")</f>
        <v/>
      </c>
      <c r="V155" s="518" t="str">
        <f>IF(AND(_A1="B-717",'2025'!$G$4="FO",'2025'!$G$2=V119),'2025DATA'!$G$38,"")</f>
        <v/>
      </c>
      <c r="W155" s="518" t="str">
        <f>IF(AND(_A1="B-717",'2025'!$G$4="FO",'2025'!$G$2=W119),'2025DATA'!$H$38,"")</f>
        <v/>
      </c>
      <c r="X155" s="518" t="str">
        <f>IF(AND(_A1="B-717",'2025'!$G$4="FO",'2025'!$G$2=X119),'2025DATA'!$I$38,"")</f>
        <v/>
      </c>
      <c r="Y155" s="518" t="str">
        <f>IF(AND(_A1="B-717",'2025'!$G$4="FO",'2025'!$G$2=Y119),'2025DATA'!$J$38,"")</f>
        <v/>
      </c>
      <c r="Z155" s="518" t="str">
        <f>IF(AND(_A1="B-717",'2025'!$G$4="FO",'2025'!$G$2=Z119),'2025DATA'!$K$38,"")</f>
        <v/>
      </c>
      <c r="AA155" s="518" t="str">
        <f>IF(AND(_A1="B-717",'2025'!$G$4="FO",'2025'!$G$2=AA119),'2025DATA'!$L$38,"")</f>
        <v/>
      </c>
      <c r="AB155" s="518" t="str">
        <f>IF(AND(_A1="B-717",'2025'!$G$4="FO",'2025'!$G$2=AB119),'2025DATA'!$M$38,"")</f>
        <v/>
      </c>
      <c r="AC155" s="520" t="str">
        <f>IF(AND(_A1="B-717",'2025'!$G$4="FO",'2025'!$G$2=AC119),'2025DATA'!$N$38,"")</f>
        <v/>
      </c>
      <c r="AD155" s="942"/>
      <c r="AE155" s="2" t="s">
        <v>62</v>
      </c>
      <c r="AF155" s="518" t="str">
        <f>IF(AND(_A2="B-717",'2025'!$G$4="FO",'2025'!$G$2=AF119),'2025DATA'!$C$38,"")</f>
        <v/>
      </c>
      <c r="AG155" s="518" t="str">
        <f>IF(AND(_A2="B-717",'2025'!$G$4="FO",'2025'!$G$2=AG119),'2025DATA'!$D$38,"")</f>
        <v/>
      </c>
      <c r="AH155" s="518" t="str">
        <f>IF(AND(_A2="B-717",'2025'!$G$4="FO",'2025'!$G$2=AH119),'2025DATA'!$E$38,"")</f>
        <v/>
      </c>
      <c r="AI155" s="518" t="str">
        <f>IF(AND(_A2="B-717",'2025'!$G$4="FO",'2025'!$G$2=AI119),'2025DATA'!$F$38,"")</f>
        <v/>
      </c>
      <c r="AJ155" s="518" t="str">
        <f>IF(AND(_A2="B-717",'2025'!$G$4="FO",'2025'!$G$2=AJ119),'2025DATA'!$G$38,"")</f>
        <v/>
      </c>
      <c r="AK155" s="518" t="str">
        <f>IF(AND(_A2="B-717",'2025'!$G$4="FO",'2025'!$G$2=AK119),'2025DATA'!$H$38,"")</f>
        <v/>
      </c>
      <c r="AL155" s="518" t="str">
        <f>IF(AND(_A2="B-717",'2025'!$G$4="FO",'2025'!$G$2=AL119),'2025DATA'!$I$38,"")</f>
        <v/>
      </c>
      <c r="AM155" s="518" t="str">
        <f>IF(AND(_A2="B-717",'2025'!$G$4="FO",'2025'!$G$2=AM119),'2025DATA'!$J$38,"")</f>
        <v/>
      </c>
      <c r="AN155" s="518" t="str">
        <f>IF(AND(_A2="B-717",'2025'!$G$4="FO",'2025'!$G$2=AN119),'2025DATA'!$K$38,"")</f>
        <v/>
      </c>
      <c r="AO155" s="518" t="str">
        <f>IF(AND(_A2="B-717",'2025'!$G$4="FO",'2025'!$G$2=AO119),'2025DATA'!$L$38,"")</f>
        <v/>
      </c>
      <c r="AP155" s="518" t="str">
        <f>IF(AND(_A2="B-717",'2025'!$G$4="FO",'2025'!$G$2=AP119),'2025DATA'!$M$38,"")</f>
        <v/>
      </c>
      <c r="AQ155" s="520" t="str">
        <f>IF(AND(_A2="B-717",'2025'!$G$4="FO",'2025'!$G$2=AQ119),'2025DATA'!$N$38,"")</f>
        <v/>
      </c>
      <c r="AR155" s="942"/>
      <c r="AS155" s="2" t="s">
        <v>62</v>
      </c>
      <c r="AT155" s="518" t="str">
        <f>IF(AND(_A3="B-717",'2025'!$G$4="FO",'2025'!$G$2=AT119),'2025DATA'!$C$38,"")</f>
        <v/>
      </c>
      <c r="AU155" s="518" t="str">
        <f>IF(AND(_A3="B-717",'2025'!$G$4="FO",'2025'!$G$2=AU119),'2025DATA'!$D$38,"")</f>
        <v/>
      </c>
      <c r="AV155" s="518" t="str">
        <f>IF(AND(_A3="B-717",'2025'!$G$4="FO",'2025'!$G$2=AV119),'2025DATA'!$E$38,"")</f>
        <v/>
      </c>
      <c r="AW155" s="518" t="str">
        <f>IF(AND(_A3="B-717",'2025'!$G$4="FO",'2025'!$G$2=AW119),'2025DATA'!$F$38,"")</f>
        <v/>
      </c>
      <c r="AX155" s="518" t="str">
        <f>IF(AND(_A3="B-717",'2025'!$G$4="FO",'2025'!$G$2=AX119),'2025DATA'!$G$38,"")</f>
        <v/>
      </c>
      <c r="AY155" s="518" t="str">
        <f>IF(AND(_A3="B-717",'2025'!$G$4="FO",'2025'!$G$2=AY119),'2025DATA'!$H$38,"")</f>
        <v/>
      </c>
      <c r="AZ155" s="518" t="str">
        <f>IF(AND(_A3="B-717",'2025'!$G$4="FO",'2025'!$G$2=AZ119),'2025DATA'!$I$38,"")</f>
        <v/>
      </c>
      <c r="BA155" s="518" t="str">
        <f>IF(AND(_A3="B-717",'2025'!$G$4="FO",'2025'!$G$2=BA119),'2025DATA'!$J$38,"")</f>
        <v/>
      </c>
      <c r="BB155" s="518" t="str">
        <f>IF(AND(_A3="B-717",'2025'!$G$4="FO",'2025'!$G$2=BB119),'2025DATA'!$K$38,"")</f>
        <v/>
      </c>
      <c r="BC155" s="518" t="str">
        <f>IF(AND(_A3="B-717",'2025'!$G$4="FO",'2025'!$G$2=BC119),'2025DATA'!$L$38,"")</f>
        <v/>
      </c>
      <c r="BD155" s="518" t="str">
        <f>IF(AND(_A3="B-717",'2025'!$G$4="FO",'2025'!$G$2=BD119),'2025DATA'!$M$38,"")</f>
        <v/>
      </c>
      <c r="BE155" s="520" t="str">
        <f>IF(AND(_A3="B-717",'2025'!$G$4="FO",'2025'!$G$2=BE119),'2025DATA'!$N$38,"")</f>
        <v/>
      </c>
      <c r="BF155" s="942"/>
      <c r="BG155" s="2" t="s">
        <v>62</v>
      </c>
      <c r="BH155" s="518" t="str">
        <f>IF(AND(_A4="B-717",'2025'!$G$4="FO",'2025'!$G$2=BH119),'2025DATA'!$C$38,"")</f>
        <v/>
      </c>
      <c r="BI155" s="518" t="str">
        <f>IF(AND(_A4="B-717",'2025'!$G$4="FO",'2025'!$G$2=BI119),'2025DATA'!$D$38,"")</f>
        <v/>
      </c>
      <c r="BJ155" s="518" t="str">
        <f>IF(AND(_A4="B-717",'2025'!$G$4="FO",'2025'!$G$2=BJ119),'2025DATA'!$E$38,"")</f>
        <v/>
      </c>
      <c r="BK155" s="518" t="str">
        <f>IF(AND(_A4="B-717",'2025'!$G$4="FO",'2025'!$G$2=BK119),'2025DATA'!$F$38,"")</f>
        <v/>
      </c>
      <c r="BL155" s="518" t="str">
        <f>IF(AND(_A4="B-717",'2025'!$G$4="FO",'2025'!$G$2=BL119),'2025DATA'!$G$38,"")</f>
        <v/>
      </c>
      <c r="BM155" s="518" t="str">
        <f>IF(AND(_A4="B-717",'2025'!$G$4="FO",'2025'!$G$2=BM119),'2025DATA'!$H$38,"")</f>
        <v/>
      </c>
      <c r="BN155" s="518" t="str">
        <f>IF(AND(_A4="B-717",'2025'!$G$4="FO",'2025'!$G$2=BN119),'2025DATA'!$I$38,"")</f>
        <v/>
      </c>
      <c r="BO155" s="518" t="str">
        <f>IF(AND(_A4="B-717",'2025'!$G$4="FO",'2025'!$G$2=BO119),'2025DATA'!$J$38,"")</f>
        <v/>
      </c>
      <c r="BP155" s="518" t="str">
        <f>IF(AND(_A4="B-717",'2025'!$G$4="FO",'2025'!$G$2=BP119),'2025DATA'!$K$38,"")</f>
        <v/>
      </c>
      <c r="BQ155" s="518" t="str">
        <f>IF(AND(_A4="B-717",'2025'!$G$4="FO",'2025'!$G$2=BQ119),'2025DATA'!$L$38,"")</f>
        <v/>
      </c>
      <c r="BR155" s="518" t="str">
        <f>IF(AND(_A4="B-717",'2025'!$G$4="FO",'2025'!$G$2=BR119),'2025DATA'!$M$38,"")</f>
        <v/>
      </c>
      <c r="BS155" s="520" t="str">
        <f>IF(AND(_A4="B-717",'2025'!$G$4="FO",'2025'!$G$2=BS119),'2025DATA'!$N$38,"")</f>
        <v/>
      </c>
      <c r="BT155" s="942"/>
      <c r="BU155" s="2" t="s">
        <v>62</v>
      </c>
      <c r="BV155" s="518" t="str">
        <f>IF(AND(_A5="B-717",'2025'!$G$4="FO",'2025'!$G$2=BV119),'2025DATA'!$C$38,"")</f>
        <v/>
      </c>
      <c r="BW155" s="518" t="str">
        <f>IF(AND(_A5="B-717",'2025'!$G$4="FO",'2025'!$G$2=BW119),'2025DATA'!$D$38,"")</f>
        <v/>
      </c>
      <c r="BX155" s="518" t="str">
        <f>IF(AND(_A5="B-717",'2025'!$G$4="FO",'2025'!$G$2=BX119),'2025DATA'!$E$38,"")</f>
        <v/>
      </c>
      <c r="BY155" s="518" t="str">
        <f>IF(AND(_A5="B-717",'2025'!$G$4="FO",'2025'!$G$2=BY119),'2025DATA'!$F$38,"")</f>
        <v/>
      </c>
      <c r="BZ155" s="518" t="str">
        <f>IF(AND(_A5="B-717",'2025'!$G$4="FO",'2025'!$G$2=BZ119),'2025DATA'!$G$38,"")</f>
        <v/>
      </c>
      <c r="CA155" s="518" t="str">
        <f>IF(AND(_A5="B-717",'2025'!$G$4="FO",'2025'!$G$2=CA119),'2025DATA'!$H$38,"")</f>
        <v/>
      </c>
      <c r="CB155" s="518" t="str">
        <f>IF(AND(_A5="B-717",'2025'!$G$4="FO",'2025'!$G$2=CB119),'2025DATA'!$I$38,"")</f>
        <v/>
      </c>
      <c r="CC155" s="518" t="str">
        <f>IF(AND(_A5="B-717",'2025'!$G$4="FO",'2025'!$G$2=CC119),'2025DATA'!$J$38,"")</f>
        <v/>
      </c>
      <c r="CD155" s="518" t="str">
        <f>IF(AND(_A5="B-717",'2025'!$G$4="FO",'2025'!$G$2=CD119),'2025DATA'!$K$38,"")</f>
        <v/>
      </c>
      <c r="CE155" s="518" t="str">
        <f>IF(AND(_A5="B-717",'2025'!$G$4="FO",'2025'!$G$2=CE119),'2025DATA'!$L$38,"")</f>
        <v/>
      </c>
      <c r="CF155" s="518" t="str">
        <f>IF(AND(_A5="B-717",'2025'!$G$4="FO",'2025'!$G$2=CF119),'2025DATA'!$M$38,"")</f>
        <v/>
      </c>
      <c r="CG155" s="520" t="str">
        <f>IF(AND(_A5="B-717",'2025'!$G$4="FO",'2025'!$G$2=CG119),'2025DATA'!$N$38,"")</f>
        <v/>
      </c>
      <c r="CH155" s="942"/>
      <c r="CI155" s="2" t="s">
        <v>62</v>
      </c>
      <c r="CJ155" s="518" t="str">
        <f>IF(AND(_A6="B-717",'2025'!$G$4="FO",'2025'!$G$2=CJ119),'2025DATA'!$C$38,"")</f>
        <v/>
      </c>
      <c r="CK155" s="518" t="str">
        <f>IF(AND(_A6="B-717",'2025'!$G$4="FO",'2025'!$G$2=CK119),'2025DATA'!$D$38,"")</f>
        <v/>
      </c>
      <c r="CL155" s="518" t="str">
        <f>IF(AND(_A6="B-717",'2025'!$G$4="FO",'2025'!$G$2=CL119),'2025DATA'!$E$38,"")</f>
        <v/>
      </c>
      <c r="CM155" s="518" t="str">
        <f>IF(AND(_A6="B-717",'2025'!$G$4="FO",'2025'!$G$2=CM119),'2025DATA'!$F$38,"")</f>
        <v/>
      </c>
      <c r="CN155" s="518" t="str">
        <f>IF(AND(_A6="B-717",'2025'!$G$4="FO",'2025'!$G$2=CN119),'2025DATA'!$G$38,"")</f>
        <v/>
      </c>
      <c r="CO155" s="518" t="str">
        <f>IF(AND(_A6="B-717",'2025'!$G$4="FO",'2025'!$G$2=CO119),'2025DATA'!$H$38,"")</f>
        <v/>
      </c>
      <c r="CP155" s="518" t="str">
        <f>IF(AND(_A6="B-717",'2025'!$G$4="FO",'2025'!$G$2=CP119),'2025DATA'!$I$38,"")</f>
        <v/>
      </c>
      <c r="CQ155" s="518" t="str">
        <f>IF(AND(_A6="B-717",'2025'!$G$4="FO",'2025'!$G$2=CQ119),'2025DATA'!$J$38,"")</f>
        <v/>
      </c>
      <c r="CR155" s="518" t="str">
        <f>IF(AND(_A6="B-717",'2025'!$G$4="FO",'2025'!$G$2=CR119),'2025DATA'!$K$38,"")</f>
        <v/>
      </c>
      <c r="CS155" s="518" t="str">
        <f>IF(AND(_A6="B-717",'2025'!$G$4="FO",'2025'!$G$2=CS119),'2025DATA'!$L$38,"")</f>
        <v/>
      </c>
      <c r="CT155" s="518" t="str">
        <f>IF(AND(_A6="B-717",'2025'!$G$4="FO",'2025'!$G$2=CT119),'2025DATA'!$M$38,"")</f>
        <v/>
      </c>
      <c r="CU155" s="520" t="str">
        <f>IF(AND(_A6="B-717",'2025'!$G$4="FO",'2025'!$G$2=CU119),'2025DATA'!$N$38,"")</f>
        <v/>
      </c>
    </row>
    <row r="156" spans="16:99" x14ac:dyDescent="0.25">
      <c r="P156" s="943" t="s">
        <v>116</v>
      </c>
      <c r="Q156" s="944"/>
      <c r="R156" s="944"/>
      <c r="S156" s="944"/>
      <c r="T156" s="944"/>
      <c r="U156" s="944"/>
      <c r="V156" s="944"/>
      <c r="W156" s="944"/>
      <c r="X156" s="944"/>
      <c r="Y156" s="944"/>
      <c r="Z156" s="944"/>
      <c r="AA156" s="944"/>
      <c r="AB156" s="944"/>
      <c r="AC156" s="945"/>
      <c r="AD156" s="943" t="s">
        <v>117</v>
      </c>
      <c r="AE156" s="944"/>
      <c r="AF156" s="944"/>
      <c r="AG156" s="944"/>
      <c r="AH156" s="944"/>
      <c r="AI156" s="944"/>
      <c r="AJ156" s="944"/>
      <c r="AK156" s="944"/>
      <c r="AL156" s="944"/>
      <c r="AM156" s="944"/>
      <c r="AN156" s="944"/>
      <c r="AO156" s="944"/>
      <c r="AP156" s="944"/>
      <c r="AQ156" s="945"/>
      <c r="AR156" s="943" t="s">
        <v>118</v>
      </c>
      <c r="AS156" s="944"/>
      <c r="AT156" s="944"/>
      <c r="AU156" s="944"/>
      <c r="AV156" s="944"/>
      <c r="AW156" s="944"/>
      <c r="AX156" s="944"/>
      <c r="AY156" s="944"/>
      <c r="AZ156" s="944"/>
      <c r="BA156" s="944"/>
      <c r="BB156" s="944"/>
      <c r="BC156" s="944"/>
      <c r="BD156" s="944"/>
      <c r="BE156" s="945"/>
      <c r="BF156" s="943" t="s">
        <v>119</v>
      </c>
      <c r="BG156" s="944"/>
      <c r="BH156" s="944"/>
      <c r="BI156" s="944"/>
      <c r="BJ156" s="944"/>
      <c r="BK156" s="944"/>
      <c r="BL156" s="944"/>
      <c r="BM156" s="944"/>
      <c r="BN156" s="944"/>
      <c r="BO156" s="944"/>
      <c r="BP156" s="944"/>
      <c r="BQ156" s="944"/>
      <c r="BR156" s="944"/>
      <c r="BS156" s="945"/>
      <c r="BT156" s="943" t="s">
        <v>120</v>
      </c>
      <c r="BU156" s="944"/>
      <c r="BV156" s="944"/>
      <c r="BW156" s="944"/>
      <c r="BX156" s="944"/>
      <c r="BY156" s="944"/>
      <c r="BZ156" s="944"/>
      <c r="CA156" s="944"/>
      <c r="CB156" s="944"/>
      <c r="CC156" s="944"/>
      <c r="CD156" s="944"/>
      <c r="CE156" s="944"/>
      <c r="CF156" s="944"/>
      <c r="CG156" s="945"/>
      <c r="CH156" s="943" t="s">
        <v>121</v>
      </c>
      <c r="CI156" s="944"/>
      <c r="CJ156" s="944"/>
      <c r="CK156" s="944"/>
      <c r="CL156" s="944"/>
      <c r="CM156" s="944"/>
      <c r="CN156" s="944"/>
      <c r="CO156" s="944"/>
      <c r="CP156" s="944"/>
      <c r="CQ156" s="944"/>
      <c r="CR156" s="944"/>
      <c r="CS156" s="944"/>
      <c r="CT156" s="944"/>
      <c r="CU156" s="945"/>
    </row>
    <row r="157" spans="16:99" x14ac:dyDescent="0.25">
      <c r="P157" s="563">
        <v>5</v>
      </c>
      <c r="Q157" s="563">
        <f>SUM(R158:AC193)</f>
        <v>0</v>
      </c>
      <c r="R157" s="3">
        <v>12</v>
      </c>
      <c r="S157" s="3">
        <v>11</v>
      </c>
      <c r="T157" s="3">
        <v>10</v>
      </c>
      <c r="U157" s="3">
        <v>9</v>
      </c>
      <c r="V157" s="3">
        <v>8</v>
      </c>
      <c r="W157" s="3">
        <v>7</v>
      </c>
      <c r="X157" s="3">
        <v>6</v>
      </c>
      <c r="Y157" s="3">
        <v>5</v>
      </c>
      <c r="Z157" s="3">
        <v>4</v>
      </c>
      <c r="AA157" s="3">
        <v>3</v>
      </c>
      <c r="AB157" s="3">
        <v>2</v>
      </c>
      <c r="AC157" s="519">
        <v>1</v>
      </c>
      <c r="AD157" s="563">
        <v>5</v>
      </c>
      <c r="AE157" s="563">
        <f>SUM(AF158:AQ193)</f>
        <v>0</v>
      </c>
      <c r="AF157" s="3">
        <v>12</v>
      </c>
      <c r="AG157" s="3">
        <v>11</v>
      </c>
      <c r="AH157" s="3">
        <v>10</v>
      </c>
      <c r="AI157" s="3">
        <v>9</v>
      </c>
      <c r="AJ157" s="3">
        <v>8</v>
      </c>
      <c r="AK157" s="3">
        <v>7</v>
      </c>
      <c r="AL157" s="3">
        <v>6</v>
      </c>
      <c r="AM157" s="3">
        <v>5</v>
      </c>
      <c r="AN157" s="3">
        <v>4</v>
      </c>
      <c r="AO157" s="3">
        <v>3</v>
      </c>
      <c r="AP157" s="3">
        <v>2</v>
      </c>
      <c r="AQ157" s="519">
        <v>1</v>
      </c>
      <c r="AR157" s="563">
        <v>5</v>
      </c>
      <c r="AS157" s="563">
        <f>SUM(AT158:BE193)</f>
        <v>0</v>
      </c>
      <c r="AT157" s="3">
        <v>12</v>
      </c>
      <c r="AU157" s="3">
        <v>11</v>
      </c>
      <c r="AV157" s="3">
        <v>10</v>
      </c>
      <c r="AW157" s="3">
        <v>9</v>
      </c>
      <c r="AX157" s="3">
        <v>8</v>
      </c>
      <c r="AY157" s="3">
        <v>7</v>
      </c>
      <c r="AZ157" s="3">
        <v>6</v>
      </c>
      <c r="BA157" s="3">
        <v>5</v>
      </c>
      <c r="BB157" s="3">
        <v>4</v>
      </c>
      <c r="BC157" s="3">
        <v>3</v>
      </c>
      <c r="BD157" s="3">
        <v>2</v>
      </c>
      <c r="BE157" s="519">
        <v>1</v>
      </c>
      <c r="BF157" s="563">
        <v>5</v>
      </c>
      <c r="BG157" s="563">
        <f>SUM(BH158:BS193)</f>
        <v>0</v>
      </c>
      <c r="BH157" s="3">
        <v>12</v>
      </c>
      <c r="BI157" s="3">
        <v>11</v>
      </c>
      <c r="BJ157" s="3">
        <v>10</v>
      </c>
      <c r="BK157" s="3">
        <v>9</v>
      </c>
      <c r="BL157" s="3">
        <v>8</v>
      </c>
      <c r="BM157" s="3">
        <v>7</v>
      </c>
      <c r="BN157" s="3">
        <v>6</v>
      </c>
      <c r="BO157" s="3">
        <v>5</v>
      </c>
      <c r="BP157" s="3">
        <v>4</v>
      </c>
      <c r="BQ157" s="3">
        <v>3</v>
      </c>
      <c r="BR157" s="3">
        <v>2</v>
      </c>
      <c r="BS157" s="519">
        <v>1</v>
      </c>
      <c r="BT157" s="563">
        <v>5</v>
      </c>
      <c r="BU157" s="563">
        <f>SUM(BV158:CG193)</f>
        <v>0</v>
      </c>
      <c r="BV157" s="3">
        <v>12</v>
      </c>
      <c r="BW157" s="3">
        <v>11</v>
      </c>
      <c r="BX157" s="3">
        <v>10</v>
      </c>
      <c r="BY157" s="3">
        <v>9</v>
      </c>
      <c r="BZ157" s="3">
        <v>8</v>
      </c>
      <c r="CA157" s="3">
        <v>7</v>
      </c>
      <c r="CB157" s="3">
        <v>6</v>
      </c>
      <c r="CC157" s="3">
        <v>5</v>
      </c>
      <c r="CD157" s="3">
        <v>4</v>
      </c>
      <c r="CE157" s="3">
        <v>3</v>
      </c>
      <c r="CF157" s="3">
        <v>2</v>
      </c>
      <c r="CG157" s="519">
        <v>1</v>
      </c>
      <c r="CH157" s="563">
        <v>5</v>
      </c>
      <c r="CI157" s="563">
        <f>SUM(CJ158:CU193)</f>
        <v>0</v>
      </c>
      <c r="CJ157" s="3">
        <v>12</v>
      </c>
      <c r="CK157" s="3">
        <v>11</v>
      </c>
      <c r="CL157" s="3">
        <v>10</v>
      </c>
      <c r="CM157" s="3">
        <v>9</v>
      </c>
      <c r="CN157" s="3">
        <v>8</v>
      </c>
      <c r="CO157" s="3">
        <v>7</v>
      </c>
      <c r="CP157" s="3">
        <v>6</v>
      </c>
      <c r="CQ157" s="3">
        <v>5</v>
      </c>
      <c r="CR157" s="3">
        <v>4</v>
      </c>
      <c r="CS157" s="3">
        <v>3</v>
      </c>
      <c r="CT157" s="3">
        <v>2</v>
      </c>
      <c r="CU157" s="519">
        <v>1</v>
      </c>
    </row>
    <row r="158" spans="16:99" x14ac:dyDescent="0.25">
      <c r="P158" s="940" t="s">
        <v>39</v>
      </c>
      <c r="Q158" s="13" t="s">
        <v>61</v>
      </c>
      <c r="R158" s="518" t="str">
        <f>IF(AND(_A1="A-350",'2025'!$H$4="CA",'2025'!$H$2=R157),'2025DATA'!$C$3,"")</f>
        <v/>
      </c>
      <c r="S158" s="518" t="str">
        <f>IF(AND(_A1="A-350",'2025'!$H$4="CA",'2025'!$H$2=S157),'2025DATA'!$D$3,"")</f>
        <v/>
      </c>
      <c r="T158" s="518" t="str">
        <f>IF(AND(_A1="A-350",'2025'!$H$4="CA",'2025'!$H$2=T157),'2025DATA'!$E$3,"")</f>
        <v/>
      </c>
      <c r="U158" s="518" t="str">
        <f>IF(AND(_A1="A-350",'2025'!$H$4="CA",'2025'!$H$2=U157),'2025DATA'!$F$3,"")</f>
        <v/>
      </c>
      <c r="V158" s="518" t="str">
        <f>IF(AND(_A1="A-350",'2025'!$H$4="CA",'2025'!$H$2=V157),'2025DATA'!$G$3,"")</f>
        <v/>
      </c>
      <c r="W158" s="518" t="str">
        <f>IF(AND(_A1="A-350",'2025'!$H$4="CA",'2025'!$H$2=W157),'2025DATA'!$H$3,"")</f>
        <v/>
      </c>
      <c r="X158" s="518" t="str">
        <f>IF(AND(_A1="A-350",'2025'!$H$4="CA",'2025'!$H$2=X157),'2025DATA'!$I$3,"")</f>
        <v/>
      </c>
      <c r="Y158" s="518" t="str">
        <f>IF(AND(_A1="A-350",'2025'!$H$4="CA",'2025'!$H$2=Y157),'2025DATA'!$J$3,"")</f>
        <v/>
      </c>
      <c r="Z158" s="518" t="str">
        <f>IF(AND(_A1="A-350",'2025'!$H$4="CA",'2025'!$H$2=Z157),'2025DATA'!$K$3,"")</f>
        <v/>
      </c>
      <c r="AA158" s="518" t="str">
        <f>IF(AND(_A1="A-350",'2025'!$H$4="CA",'2025'!$H$2=AA157),'2025DATA'!$L$3,"")</f>
        <v/>
      </c>
      <c r="AB158" s="518" t="str">
        <f>IF(AND(_A1="A-350",'2025'!$H$4="CA",'2025'!$H$2=AB157),'2025DATA'!$M$3,"")</f>
        <v/>
      </c>
      <c r="AC158" s="520" t="str">
        <f>IF(AND(_A1="A-350",'2025'!$H$4="CA",'2025'!$H$2=AC157),'2025DATA'!$N$3,"")</f>
        <v/>
      </c>
      <c r="AD158" s="940" t="s">
        <v>39</v>
      </c>
      <c r="AE158" s="13" t="s">
        <v>61</v>
      </c>
      <c r="AF158" s="518" t="str">
        <f>IF(AND(_A2="A-350",'2025'!$H$4="CA",'2025'!$H$2=AF157),'2025DATA'!$C$3,"")</f>
        <v/>
      </c>
      <c r="AG158" s="518" t="str">
        <f>IF(AND(_A2="A-350",'2025'!$H$4="CA",'2025'!$H$2=AG157),'2025DATA'!$D$3,"")</f>
        <v/>
      </c>
      <c r="AH158" s="518" t="str">
        <f>IF(AND(_A2="A-350",'2025'!$H$4="CA",'2025'!$H$2=AH157),'2025DATA'!$E$3,"")</f>
        <v/>
      </c>
      <c r="AI158" s="518" t="str">
        <f>IF(AND(_A2="A-350",'2025'!$H$4="CA",'2025'!$H$2=AI157),'2025DATA'!$F$3,"")</f>
        <v/>
      </c>
      <c r="AJ158" s="518" t="str">
        <f>IF(AND(_A2="A-350",'2025'!$H$4="CA",'2025'!$H$2=AJ157),'2025DATA'!$G$3,"")</f>
        <v/>
      </c>
      <c r="AK158" s="518" t="str">
        <f>IF(AND(_A2="A-350",'2025'!$H$4="CA",'2025'!$H$2=AK157),'2025DATA'!$H$3,"")</f>
        <v/>
      </c>
      <c r="AL158" s="518" t="str">
        <f>IF(AND(_A2="A-350",'2025'!$H$4="CA",'2025'!$H$2=AL157),'2025DATA'!$I$3,"")</f>
        <v/>
      </c>
      <c r="AM158" s="518" t="str">
        <f>IF(AND(_A2="A-350",'2025'!$H$4="CA",'2025'!$H$2=AM157),'2025DATA'!$J$3,"")</f>
        <v/>
      </c>
      <c r="AN158" s="518" t="str">
        <f>IF(AND(_A2="A-350",'2025'!$H$4="CA",'2025'!$H$2=AN157),'2025DATA'!$K$3,"")</f>
        <v/>
      </c>
      <c r="AO158" s="518" t="str">
        <f>IF(AND(_A2="A-350",'2025'!$H$4="CA",'2025'!$H$2=AO157),'2025DATA'!$L$3,"")</f>
        <v/>
      </c>
      <c r="AP158" s="518" t="str">
        <f>IF(AND(_A2="A-350",'2025'!$H$4="CA",'2025'!$H$2=AP157),'2025DATA'!$M$3,"")</f>
        <v/>
      </c>
      <c r="AQ158" s="520" t="str">
        <f>IF(AND(_A2="A-350",'2025'!$H$4="CA",'2025'!$H$2=AQ157),'2025DATA'!$N$3,"")</f>
        <v/>
      </c>
      <c r="AR158" s="940" t="s">
        <v>39</v>
      </c>
      <c r="AS158" s="13" t="s">
        <v>61</v>
      </c>
      <c r="AT158" s="518" t="str">
        <f>IF(AND(_A3="A-350",'2025'!$H$4="CA",'2025'!$H$2=AT157),'2025DATA'!$C$3,"")</f>
        <v/>
      </c>
      <c r="AU158" s="518" t="str">
        <f>IF(AND(_A3="A-350",'2025'!$H$4="CA",'2025'!$H$2=AU157),'2025DATA'!$D$3,"")</f>
        <v/>
      </c>
      <c r="AV158" s="518" t="str">
        <f>IF(AND(_A3="A-350",'2025'!$H$4="CA",'2025'!$H$2=AV157),'2025DATA'!$E$3,"")</f>
        <v/>
      </c>
      <c r="AW158" s="518" t="str">
        <f>IF(AND(_A3="A-350",'2025'!$H$4="CA",'2025'!$H$2=AW157),'2025DATA'!$F$3,"")</f>
        <v/>
      </c>
      <c r="AX158" s="518" t="str">
        <f>IF(AND(_A3="A-350",'2025'!$H$4="CA",'2025'!$H$2=AX157),'2025DATA'!$G$3,"")</f>
        <v/>
      </c>
      <c r="AY158" s="518" t="str">
        <f>IF(AND(_A3="A-350",'2025'!$H$4="CA",'2025'!$H$2=AY157),'2025DATA'!$H$3,"")</f>
        <v/>
      </c>
      <c r="AZ158" s="518" t="str">
        <f>IF(AND(_A3="A-350",'2025'!$H$4="CA",'2025'!$H$2=AZ157),'2025DATA'!$I$3,"")</f>
        <v/>
      </c>
      <c r="BA158" s="518" t="str">
        <f>IF(AND(_A3="A-350",'2025'!$H$4="CA",'2025'!$H$2=BA157),'2025DATA'!$J$3,"")</f>
        <v/>
      </c>
      <c r="BB158" s="518" t="str">
        <f>IF(AND(_A3="A-350",'2025'!$H$4="CA",'2025'!$H$2=BB157),'2025DATA'!$K$3,"")</f>
        <v/>
      </c>
      <c r="BC158" s="518" t="str">
        <f>IF(AND(_A3="A-350",'2025'!$H$4="CA",'2025'!$H$2=BC157),'2025DATA'!$L$3,"")</f>
        <v/>
      </c>
      <c r="BD158" s="518" t="str">
        <f>IF(AND(_A3="A-350",'2025'!$H$4="CA",'2025'!$H$2=BD157),'2025DATA'!$M$3,"")</f>
        <v/>
      </c>
      <c r="BE158" s="520" t="str">
        <f>IF(AND(_A3="A-350",'2025'!$H$4="CA",'2025'!$H$2=BE157),'2025DATA'!$N$3,"")</f>
        <v/>
      </c>
      <c r="BF158" s="940" t="s">
        <v>39</v>
      </c>
      <c r="BG158" s="13" t="s">
        <v>61</v>
      </c>
      <c r="BH158" s="518" t="str">
        <f>IF(AND(_A4="A-350",'2025'!$H$4="CA",'2025'!$H$2=BH157),'2025DATA'!$C$3,"")</f>
        <v/>
      </c>
      <c r="BI158" s="518" t="str">
        <f>IF(AND(_A4="A-350",'2025'!$H$4="CA",'2025'!$H$2=BI157),'2025DATA'!$D$3,"")</f>
        <v/>
      </c>
      <c r="BJ158" s="518" t="str">
        <f>IF(AND(_A4="A-350",'2025'!$H$4="CA",'2025'!$H$2=BJ157),'2025DATA'!$E$3,"")</f>
        <v/>
      </c>
      <c r="BK158" s="518" t="str">
        <f>IF(AND(_A4="A-350",'2025'!$H$4="CA",'2025'!$H$2=BK157),'2025DATA'!$F$3,"")</f>
        <v/>
      </c>
      <c r="BL158" s="518" t="str">
        <f>IF(AND(_A4="A-350",'2025'!$H$4="CA",'2025'!$H$2=BL157),'2025DATA'!$G$3,"")</f>
        <v/>
      </c>
      <c r="BM158" s="518" t="str">
        <f>IF(AND(_A4="A-350",'2025'!$H$4="CA",'2025'!$H$2=BM157),'2025DATA'!$H$3,"")</f>
        <v/>
      </c>
      <c r="BN158" s="518" t="str">
        <f>IF(AND(_A4="A-350",'2025'!$H$4="CA",'2025'!$H$2=BN157),'2025DATA'!$I$3,"")</f>
        <v/>
      </c>
      <c r="BO158" s="518" t="str">
        <f>IF(AND(_A4="A-350",'2025'!$H$4="CA",'2025'!$H$2=BO157),'2025DATA'!$J$3,"")</f>
        <v/>
      </c>
      <c r="BP158" s="518" t="str">
        <f>IF(AND(_A4="A-350",'2025'!$H$4="CA",'2025'!$H$2=BP157),'2025DATA'!$K$3,"")</f>
        <v/>
      </c>
      <c r="BQ158" s="518" t="str">
        <f>IF(AND(_A4="A-350",'2025'!$H$4="CA",'2025'!$H$2=BQ157),'2025DATA'!$L$3,"")</f>
        <v/>
      </c>
      <c r="BR158" s="518" t="str">
        <f>IF(AND(_A4="A-350",'2025'!$H$4="CA",'2025'!$H$2=BR157),'2025DATA'!$M$3,"")</f>
        <v/>
      </c>
      <c r="BS158" s="520" t="str">
        <f>IF(AND(_A4="A-350",'2025'!$H$4="CA",'2025'!$H$2=BS157),'2025DATA'!$N$3,"")</f>
        <v/>
      </c>
      <c r="BT158" s="940" t="s">
        <v>39</v>
      </c>
      <c r="BU158" s="13" t="s">
        <v>61</v>
      </c>
      <c r="BV158" s="518" t="str">
        <f>IF(AND(_A5="A-350",'2025'!$H$4="CA",'2025'!$H$2=BV157),'2025DATA'!$C$3,"")</f>
        <v/>
      </c>
      <c r="BW158" s="518" t="str">
        <f>IF(AND(_A5="A-350",'2025'!$H$4="CA",'2025'!$H$2=BW157),'2025DATA'!$D$3,"")</f>
        <v/>
      </c>
      <c r="BX158" s="518" t="str">
        <f>IF(AND(_A5="A-350",'2025'!$H$4="CA",'2025'!$H$2=BX157),'2025DATA'!$E$3,"")</f>
        <v/>
      </c>
      <c r="BY158" s="518" t="str">
        <f>IF(AND(_A5="A-350",'2025'!$H$4="CA",'2025'!$H$2=BY157),'2025DATA'!$F$3,"")</f>
        <v/>
      </c>
      <c r="BZ158" s="518" t="str">
        <f>IF(AND(_A5="A-350",'2025'!$H$4="CA",'2025'!$H$2=BZ157),'2025DATA'!$G$3,"")</f>
        <v/>
      </c>
      <c r="CA158" s="518" t="str">
        <f>IF(AND(_A5="A-350",'2025'!$H$4="CA",'2025'!$H$2=CA157),'2025DATA'!$H$3,"")</f>
        <v/>
      </c>
      <c r="CB158" s="518" t="str">
        <f>IF(AND(_A5="A-350",'2025'!$H$4="CA",'2025'!$H$2=CB157),'2025DATA'!$I$3,"")</f>
        <v/>
      </c>
      <c r="CC158" s="518" t="str">
        <f>IF(AND(_A5="A-350",'2025'!$H$4="CA",'2025'!$H$2=CC157),'2025DATA'!$J$3,"")</f>
        <v/>
      </c>
      <c r="CD158" s="518" t="str">
        <f>IF(AND(_A5="A-350",'2025'!$H$4="CA",'2025'!$H$2=CD157),'2025DATA'!$K$3,"")</f>
        <v/>
      </c>
      <c r="CE158" s="518" t="str">
        <f>IF(AND(_A5="A-350",'2025'!$H$4="CA",'2025'!$H$2=CE157),'2025DATA'!$L$3,"")</f>
        <v/>
      </c>
      <c r="CF158" s="518" t="str">
        <f>IF(AND(_A5="A-350",'2025'!$H$4="CA",'2025'!$H$2=CF157),'2025DATA'!$M$3,"")</f>
        <v/>
      </c>
      <c r="CG158" s="520" t="str">
        <f>IF(AND(_A5="A-350",'2025'!$H$4="CA",'2025'!$H$2=CG157),'2025DATA'!$N$3,"")</f>
        <v/>
      </c>
      <c r="CH158" s="940" t="s">
        <v>39</v>
      </c>
      <c r="CI158" s="13" t="s">
        <v>61</v>
      </c>
      <c r="CJ158" s="518" t="str">
        <f>IF(AND(_A6="A-350",'2025'!$H$4="CA",'2025'!$H$2=CJ157),'2025DATA'!$C$3,"")</f>
        <v/>
      </c>
      <c r="CK158" s="518" t="str">
        <f>IF(AND(_A6="A-350",'2025'!$H$4="CA",'2025'!$H$2=CK157),'2025DATA'!$D$3,"")</f>
        <v/>
      </c>
      <c r="CL158" s="518" t="str">
        <f>IF(AND(_A6="A-350",'2025'!$H$4="CA",'2025'!$H$2=CL157),'2025DATA'!$E$3,"")</f>
        <v/>
      </c>
      <c r="CM158" s="518" t="str">
        <f>IF(AND(_A6="A-350",'2025'!$H$4="CA",'2025'!$H$2=CM157),'2025DATA'!$F$3,"")</f>
        <v/>
      </c>
      <c r="CN158" s="518" t="str">
        <f>IF(AND(_A6="A-350",'2025'!$H$4="CA",'2025'!$H$2=CN157),'2025DATA'!$G$3,"")</f>
        <v/>
      </c>
      <c r="CO158" s="518" t="str">
        <f>IF(AND(_A6="A-350",'2025'!$H$4="CA",'2025'!$H$2=CO157),'2025DATA'!$H$3,"")</f>
        <v/>
      </c>
      <c r="CP158" s="518" t="str">
        <f>IF(AND(_A6="A-350",'2025'!$H$4="CA",'2025'!$H$2=CP157),'2025DATA'!$I$3,"")</f>
        <v/>
      </c>
      <c r="CQ158" s="518" t="str">
        <f>IF(AND(_A6="A-350",'2025'!$H$4="CA",'2025'!$H$2=CQ157),'2025DATA'!$J$3,"")</f>
        <v/>
      </c>
      <c r="CR158" s="518" t="str">
        <f>IF(AND(_A6="A-350",'2025'!$H$4="CA",'2025'!$H$2=CR157),'2025DATA'!$K$3,"")</f>
        <v/>
      </c>
      <c r="CS158" s="518" t="str">
        <f>IF(AND(_A6="A-350",'2025'!$H$4="CA",'2025'!$H$2=CS157),'2025DATA'!$L$3,"")</f>
        <v/>
      </c>
      <c r="CT158" s="518" t="str">
        <f>IF(AND(_A6="A-350",'2025'!$H$4="CA",'2025'!$H$2=CT157),'2025DATA'!$M$3,"")</f>
        <v/>
      </c>
      <c r="CU158" s="520" t="str">
        <f>IF(AND(_A6="A-350",'2025'!$H$4="CA",'2025'!$H$2=CU157),'2025DATA'!$N$3,"")</f>
        <v/>
      </c>
    </row>
    <row r="159" spans="16:99" x14ac:dyDescent="0.25">
      <c r="P159" s="940"/>
      <c r="Q159" s="13" t="s">
        <v>62</v>
      </c>
      <c r="R159" s="518" t="str">
        <f>IF(AND(_A1="A-350",'2025'!$H$4="FO",'2025'!$H$2=R157),'2025DATA'!$C$4,"")</f>
        <v/>
      </c>
      <c r="S159" s="518" t="str">
        <f>IF(AND(_A1="A-350",'2025'!$H$4="FO",'2025'!$H$2=S157),'2025DATA'!$D$4,"")</f>
        <v/>
      </c>
      <c r="T159" s="518" t="str">
        <f>IF(AND(_A1="A-350",'2025'!$H$4="FO",'2025'!$H$2=T157),'2025DATA'!$E$4,"")</f>
        <v/>
      </c>
      <c r="U159" s="518" t="str">
        <f>IF(AND(_A1="A-350",'2025'!$H$4="FO",'2025'!$H$2=U157),'2025DATA'!$F$4,"")</f>
        <v/>
      </c>
      <c r="V159" s="518" t="str">
        <f>IF(AND(_A1="A-350",'2025'!$H$4="FO",'2025'!$H$2=V157),'2025DATA'!$G$4,"")</f>
        <v/>
      </c>
      <c r="W159" s="518" t="str">
        <f>IF(AND(_A1="A-350",'2025'!$H$4="FO",'2025'!$H$2=W157),'2025DATA'!$H$4,"")</f>
        <v/>
      </c>
      <c r="X159" s="518" t="str">
        <f>IF(AND(_A1="A-350",'2025'!$H$4="FO",'2025'!$H$2=X157),'2025DATA'!$I$4,"")</f>
        <v/>
      </c>
      <c r="Y159" s="518" t="str">
        <f>IF(AND(_A1="A-350",'2025'!$H$4="FO",'2025'!$H$2=Y157),'2025DATA'!$J$4,"")</f>
        <v/>
      </c>
      <c r="Z159" s="518" t="str">
        <f>IF(AND(_A1="A-350",'2025'!$H$4="FO",'2025'!$H$2=Z157),'2025DATA'!$K$4,"")</f>
        <v/>
      </c>
      <c r="AA159" s="518" t="str">
        <f>IF(AND(_A1="A-350",'2025'!$H$4="FO",'2025'!$H$2=AA157),'2025DATA'!$L$4,"")</f>
        <v/>
      </c>
      <c r="AB159" s="518" t="str">
        <f>IF(AND(_A1="A-350",'2025'!$H$4="FO",'2025'!$H$2=AB157),'2025DATA'!$M$4,"")</f>
        <v/>
      </c>
      <c r="AC159" s="520" t="str">
        <f>IF(AND(_A1="A-350",'2025'!$H$4="FO",'2025'!$H$2=AC157),'2025DATA'!$N$4,"")</f>
        <v/>
      </c>
      <c r="AD159" s="940"/>
      <c r="AE159" s="13" t="s">
        <v>62</v>
      </c>
      <c r="AF159" s="518" t="str">
        <f>IF(AND(_A2="A-350",'2025'!$H$4="FO",'2025'!$H$2=AF157),'2025DATA'!$C$4,"")</f>
        <v/>
      </c>
      <c r="AG159" s="518" t="str">
        <f>IF(AND(_A2="A-350",'2025'!$H$4="FO",'2025'!$H$2=AG157),'2025DATA'!$D$4,"")</f>
        <v/>
      </c>
      <c r="AH159" s="518" t="str">
        <f>IF(AND(_A2="A-350",'2025'!$H$4="FO",'2025'!$H$2=AH157),'2025DATA'!$E$4,"")</f>
        <v/>
      </c>
      <c r="AI159" s="518" t="str">
        <f>IF(AND(_A2="A-350",'2025'!$H$4="FO",'2025'!$H$2=AI157),'2025DATA'!$F$4,"")</f>
        <v/>
      </c>
      <c r="AJ159" s="518" t="str">
        <f>IF(AND(_A2="A-350",'2025'!$H$4="FO",'2025'!$H$2=AJ157),'2025DATA'!$G$4,"")</f>
        <v/>
      </c>
      <c r="AK159" s="518" t="str">
        <f>IF(AND(_A2="A-350",'2025'!$H$4="FO",'2025'!$H$2=AK157),'2025DATA'!$H$4,"")</f>
        <v/>
      </c>
      <c r="AL159" s="518" t="str">
        <f>IF(AND(_A2="A-350",'2025'!$H$4="FO",'2025'!$H$2=AL157),'2025DATA'!$I$4,"")</f>
        <v/>
      </c>
      <c r="AM159" s="518" t="str">
        <f>IF(AND(_A2="A-350",'2025'!$H$4="FO",'2025'!$H$2=AM157),'2025DATA'!$J$4,"")</f>
        <v/>
      </c>
      <c r="AN159" s="518" t="str">
        <f>IF(AND(_A2="A-350",'2025'!$H$4="FO",'2025'!$H$2=AN157),'2025DATA'!$K$4,"")</f>
        <v/>
      </c>
      <c r="AO159" s="518" t="str">
        <f>IF(AND(_A2="A-350",'2025'!$H$4="FO",'2025'!$H$2=AO157),'2025DATA'!$L$4,"")</f>
        <v/>
      </c>
      <c r="AP159" s="518" t="str">
        <f>IF(AND(_A2="A-350",'2025'!$H$4="FO",'2025'!$H$2=AP157),'2025DATA'!$M$4,"")</f>
        <v/>
      </c>
      <c r="AQ159" s="520" t="str">
        <f>IF(AND(_A2="A-350",'2025'!$H$4="FO",'2025'!$H$2=AQ157),'2025DATA'!$N$4,"")</f>
        <v/>
      </c>
      <c r="AR159" s="940"/>
      <c r="AS159" s="13" t="s">
        <v>62</v>
      </c>
      <c r="AT159" s="518" t="str">
        <f>IF(AND(_A3="A-350",'2025'!$H$4="FO",'2025'!$H$2=AT157),'2025DATA'!$C$4,"")</f>
        <v/>
      </c>
      <c r="AU159" s="518" t="str">
        <f>IF(AND(_A3="A-350",'2025'!$H$4="FO",'2025'!$H$2=AU157),'2025DATA'!$D$4,"")</f>
        <v/>
      </c>
      <c r="AV159" s="518" t="str">
        <f>IF(AND(_A3="A-350",'2025'!$H$4="FO",'2025'!$H$2=AV157),'2025DATA'!$E$4,"")</f>
        <v/>
      </c>
      <c r="AW159" s="518" t="str">
        <f>IF(AND(_A3="A-350",'2025'!$H$4="FO",'2025'!$H$2=AW157),'2025DATA'!$F$4,"")</f>
        <v/>
      </c>
      <c r="AX159" s="518" t="str">
        <f>IF(AND(_A3="A-350",'2025'!$H$4="FO",'2025'!$H$2=AX157),'2025DATA'!$G$4,"")</f>
        <v/>
      </c>
      <c r="AY159" s="518" t="str">
        <f>IF(AND(_A3="A-350",'2025'!$H$4="FO",'2025'!$H$2=AY157),'2025DATA'!$H$4,"")</f>
        <v/>
      </c>
      <c r="AZ159" s="518" t="str">
        <f>IF(AND(_A3="A-350",'2025'!$H$4="FO",'2025'!$H$2=AZ157),'2025DATA'!$I$4,"")</f>
        <v/>
      </c>
      <c r="BA159" s="518" t="str">
        <f>IF(AND(_A3="A-350",'2025'!$H$4="FO",'2025'!$H$2=BA157),'2025DATA'!$J$4,"")</f>
        <v/>
      </c>
      <c r="BB159" s="518" t="str">
        <f>IF(AND(_A3="A-350",'2025'!$H$4="FO",'2025'!$H$2=BB157),'2025DATA'!$K$4,"")</f>
        <v/>
      </c>
      <c r="BC159" s="518" t="str">
        <f>IF(AND(_A3="A-350",'2025'!$H$4="FO",'2025'!$H$2=BC157),'2025DATA'!$L$4,"")</f>
        <v/>
      </c>
      <c r="BD159" s="518" t="str">
        <f>IF(AND(_A3="A-350",'2025'!$H$4="FO",'2025'!$H$2=BD157),'2025DATA'!$M$4,"")</f>
        <v/>
      </c>
      <c r="BE159" s="520" t="str">
        <f>IF(AND(_A3="A-350",'2025'!$H$4="FO",'2025'!$H$2=BE157),'2025DATA'!$N$4,"")</f>
        <v/>
      </c>
      <c r="BF159" s="940"/>
      <c r="BG159" s="13" t="s">
        <v>62</v>
      </c>
      <c r="BH159" s="518" t="str">
        <f>IF(AND(_A4="A-350",'2025'!$H$4="FO",'2025'!$H$2=BH157),'2025DATA'!$C$4,"")</f>
        <v/>
      </c>
      <c r="BI159" s="518" t="str">
        <f>IF(AND(_A4="A-350",'2025'!$H$4="FO",'2025'!$H$2=BI157),'2025DATA'!$D$4,"")</f>
        <v/>
      </c>
      <c r="BJ159" s="518" t="str">
        <f>IF(AND(_A4="A-350",'2025'!$H$4="FO",'2025'!$H$2=BJ157),'2025DATA'!$E$4,"")</f>
        <v/>
      </c>
      <c r="BK159" s="518" t="str">
        <f>IF(AND(_A4="A-350",'2025'!$H$4="FO",'2025'!$H$2=BK157),'2025DATA'!$F$4,"")</f>
        <v/>
      </c>
      <c r="BL159" s="518" t="str">
        <f>IF(AND(_A4="A-350",'2025'!$H$4="FO",'2025'!$H$2=BL157),'2025DATA'!$G$4,"")</f>
        <v/>
      </c>
      <c r="BM159" s="518" t="str">
        <f>IF(AND(_A4="A-350",'2025'!$H$4="FO",'2025'!$H$2=BM157),'2025DATA'!$H$4,"")</f>
        <v/>
      </c>
      <c r="BN159" s="518" t="str">
        <f>IF(AND(_A4="A-350",'2025'!$H$4="FO",'2025'!$H$2=BN157),'2025DATA'!$I$4,"")</f>
        <v/>
      </c>
      <c r="BO159" s="518" t="str">
        <f>IF(AND(_A4="A-350",'2025'!$H$4="FO",'2025'!$H$2=BO157),'2025DATA'!$J$4,"")</f>
        <v/>
      </c>
      <c r="BP159" s="518" t="str">
        <f>IF(AND(_A4="A-350",'2025'!$H$4="FO",'2025'!$H$2=BP157),'2025DATA'!$K$4,"")</f>
        <v/>
      </c>
      <c r="BQ159" s="518" t="str">
        <f>IF(AND(_A4="A-350",'2025'!$H$4="FO",'2025'!$H$2=BQ157),'2025DATA'!$L$4,"")</f>
        <v/>
      </c>
      <c r="BR159" s="518" t="str">
        <f>IF(AND(_A4="A-350",'2025'!$H$4="FO",'2025'!$H$2=BR157),'2025DATA'!$M$4,"")</f>
        <v/>
      </c>
      <c r="BS159" s="520" t="str">
        <f>IF(AND(_A4="A-350",'2025'!$H$4="FO",'2025'!$H$2=BS157),'2025DATA'!$N$4,"")</f>
        <v/>
      </c>
      <c r="BT159" s="940"/>
      <c r="BU159" s="13" t="s">
        <v>62</v>
      </c>
      <c r="BV159" s="518" t="str">
        <f>IF(AND(_A5="A-350",'2025'!$H$4="FO",'2025'!$H$2=BV157),'2025DATA'!$C$4,"")</f>
        <v/>
      </c>
      <c r="BW159" s="518" t="str">
        <f>IF(AND(_A5="A-350",'2025'!$H$4="FO",'2025'!$H$2=BW157),'2025DATA'!$D$4,"")</f>
        <v/>
      </c>
      <c r="BX159" s="518" t="str">
        <f>IF(AND(_A5="A-350",'2025'!$H$4="FO",'2025'!$H$2=BX157),'2025DATA'!$E$4,"")</f>
        <v/>
      </c>
      <c r="BY159" s="518" t="str">
        <f>IF(AND(_A5="A-350",'2025'!$H$4="FO",'2025'!$H$2=BY157),'2025DATA'!$F$4,"")</f>
        <v/>
      </c>
      <c r="BZ159" s="518" t="str">
        <f>IF(AND(_A5="A-350",'2025'!$H$4="FO",'2025'!$H$2=BZ157),'2025DATA'!$G$4,"")</f>
        <v/>
      </c>
      <c r="CA159" s="518" t="str">
        <f>IF(AND(_A5="A-350",'2025'!$H$4="FO",'2025'!$H$2=CA157),'2025DATA'!$H$4,"")</f>
        <v/>
      </c>
      <c r="CB159" s="518" t="str">
        <f>IF(AND(_A5="A-350",'2025'!$H$4="FO",'2025'!$H$2=CB157),'2025DATA'!$I$4,"")</f>
        <v/>
      </c>
      <c r="CC159" s="518" t="str">
        <f>IF(AND(_A5="A-350",'2025'!$H$4="FO",'2025'!$H$2=CC157),'2025DATA'!$J$4,"")</f>
        <v/>
      </c>
      <c r="CD159" s="518" t="str">
        <f>IF(AND(_A5="A-350",'2025'!$H$4="FO",'2025'!$H$2=CD157),'2025DATA'!$K$4,"")</f>
        <v/>
      </c>
      <c r="CE159" s="518" t="str">
        <f>IF(AND(_A5="A-350",'2025'!$H$4="FO",'2025'!$H$2=CE157),'2025DATA'!$L$4,"")</f>
        <v/>
      </c>
      <c r="CF159" s="518" t="str">
        <f>IF(AND(_A5="A-350",'2025'!$H$4="FO",'2025'!$H$2=CF157),'2025DATA'!$M$4,"")</f>
        <v/>
      </c>
      <c r="CG159" s="520" t="str">
        <f>IF(AND(_A5="A-350",'2025'!$H$4="FO",'2025'!$H$2=CG157),'2025DATA'!$N$4,"")</f>
        <v/>
      </c>
      <c r="CH159" s="940"/>
      <c r="CI159" s="13" t="s">
        <v>62</v>
      </c>
      <c r="CJ159" s="518" t="str">
        <f>IF(AND(_A6="A-350",'2025'!$H$4="FO",'2025'!$H$2=CJ157),'2025DATA'!$C$4,"")</f>
        <v/>
      </c>
      <c r="CK159" s="518" t="str">
        <f>IF(AND(_A6="A-350",'2025'!$H$4="FO",'2025'!$H$2=CK157),'2025DATA'!$D$4,"")</f>
        <v/>
      </c>
      <c r="CL159" s="518" t="str">
        <f>IF(AND(_A6="A-350",'2025'!$H$4="FO",'2025'!$H$2=CL157),'2025DATA'!$E$4,"")</f>
        <v/>
      </c>
      <c r="CM159" s="518" t="str">
        <f>IF(AND(_A6="A-350",'2025'!$H$4="FO",'2025'!$H$2=CM157),'2025DATA'!$F$4,"")</f>
        <v/>
      </c>
      <c r="CN159" s="518" t="str">
        <f>IF(AND(_A6="A-350",'2025'!$H$4="FO",'2025'!$H$2=CN157),'2025DATA'!$G$4,"")</f>
        <v/>
      </c>
      <c r="CO159" s="518" t="str">
        <f>IF(AND(_A6="A-350",'2025'!$H$4="FO",'2025'!$H$2=CO157),'2025DATA'!$H$4,"")</f>
        <v/>
      </c>
      <c r="CP159" s="518" t="str">
        <f>IF(AND(_A6="A-350",'2025'!$H$4="FO",'2025'!$H$2=CP157),'2025DATA'!$I$4,"")</f>
        <v/>
      </c>
      <c r="CQ159" s="518" t="str">
        <f>IF(AND(_A6="A-350",'2025'!$H$4="FO",'2025'!$H$2=CQ157),'2025DATA'!$J$4,"")</f>
        <v/>
      </c>
      <c r="CR159" s="518" t="str">
        <f>IF(AND(_A6="A-350",'2025'!$H$4="FO",'2025'!$H$2=CR157),'2025DATA'!$K$4,"")</f>
        <v/>
      </c>
      <c r="CS159" s="518" t="str">
        <f>IF(AND(_A6="A-350",'2025'!$H$4="FO",'2025'!$H$2=CS157),'2025DATA'!$L$4,"")</f>
        <v/>
      </c>
      <c r="CT159" s="518" t="str">
        <f>IF(AND(_A6="A-350",'2025'!$H$4="FO",'2025'!$H$2=CT157),'2025DATA'!$M$4,"")</f>
        <v/>
      </c>
      <c r="CU159" s="520" t="str">
        <f>IF(AND(_A6="A-350",'2025'!$H$4="FO",'2025'!$H$2=CU157),'2025DATA'!$N$4,"")</f>
        <v/>
      </c>
    </row>
    <row r="160" spans="16:99" x14ac:dyDescent="0.25">
      <c r="P160" s="940" t="s">
        <v>65</v>
      </c>
      <c r="Q160" s="13" t="s">
        <v>61</v>
      </c>
      <c r="R160" s="518" t="str">
        <f>IF(AND(_A1="A-330-900",'2025'!$H$4="CA",'2025'!$H$2=R157),'2025DATA'!$C$5,"")</f>
        <v/>
      </c>
      <c r="S160" s="518" t="str">
        <f>IF(AND(_A1="A-330-900",'2025'!$H$4="CA",'2025'!$H$2=S157),'2025DATA'!$D$5,"")</f>
        <v/>
      </c>
      <c r="T160" s="518" t="str">
        <f>IF(AND(_A1="A-330-900",'2025'!$H$4="CA",'2025'!$H$2=T157),'2025DATA'!$E$5,"")</f>
        <v/>
      </c>
      <c r="U160" s="518" t="str">
        <f>IF(AND(_A1="A-330-900",'2025'!$H$4="CA",'2025'!$H$2=U157),'2025DATA'!$F$5,"")</f>
        <v/>
      </c>
      <c r="V160" s="518" t="str">
        <f>IF(AND(_A1="A-330-900",'2025'!$H$4="CA",'2025'!$H$2=V157),'2025DATA'!$G$5,"")</f>
        <v/>
      </c>
      <c r="W160" s="518" t="str">
        <f>IF(AND(_A1="A-330-900",'2025'!$H$4="CA",'2025'!$H$2=W157),'2025DATA'!$H$5,"")</f>
        <v/>
      </c>
      <c r="X160" s="518" t="str">
        <f>IF(AND(_A1="A-330-900",'2025'!$H$4="CA",'2025'!$H$2=X157),'2025DATA'!$I$5,"")</f>
        <v/>
      </c>
      <c r="Y160" s="518" t="str">
        <f>IF(AND(_A1="A-330-900",'2025'!$H$4="CA",'2025'!$H$2=Y157),'2025DATA'!$J$5,"")</f>
        <v/>
      </c>
      <c r="Z160" s="518" t="str">
        <f>IF(AND(_A1="A-330-900",'2025'!$H$4="CA",'2025'!$H$2=Z157),'2025DATA'!$K$5,"")</f>
        <v/>
      </c>
      <c r="AA160" s="518" t="str">
        <f>IF(AND(_A1="A-330-900",'2025'!$H$4="CA",'2025'!$H$2=AA157),'2025DATA'!$L$5,"")</f>
        <v/>
      </c>
      <c r="AB160" s="518" t="str">
        <f>IF(AND(_A1="A-330-900",'2025'!$H$4="CA",'2025'!$H$2=AB157),'2025DATA'!$M$5,"")</f>
        <v/>
      </c>
      <c r="AC160" s="520" t="str">
        <f>IF(AND(_A1="A-330-900",'2025'!$H$4="CA",'2025'!$H$2=AC157),'2025DATA'!$N$5,"")</f>
        <v/>
      </c>
      <c r="AD160" s="940" t="s">
        <v>65</v>
      </c>
      <c r="AE160" s="13" t="s">
        <v>61</v>
      </c>
      <c r="AF160" s="518" t="str">
        <f>IF(AND(_A2="A-330-900",'2025'!$H$4="CA",'2025'!$H$2=AF157),'2025DATA'!$C$5,"")</f>
        <v/>
      </c>
      <c r="AG160" s="518" t="str">
        <f>IF(AND(_A2="A-330-900",'2025'!$H$4="CA",'2025'!$H$2=AG157),'2025DATA'!$D$5,"")</f>
        <v/>
      </c>
      <c r="AH160" s="518" t="str">
        <f>IF(AND(_A2="A-330-900",'2025'!$H$4="CA",'2025'!$H$2=AH157),'2025DATA'!$E$5,"")</f>
        <v/>
      </c>
      <c r="AI160" s="518" t="str">
        <f>IF(AND(_A2="A-330-900",'2025'!$H$4="CA",'2025'!$H$2=AI157),'2025DATA'!$F$5,"")</f>
        <v/>
      </c>
      <c r="AJ160" s="518" t="str">
        <f>IF(AND(_A2="A-330-900",'2025'!$H$4="CA",'2025'!$H$2=AJ157),'2025DATA'!$G$5,"")</f>
        <v/>
      </c>
      <c r="AK160" s="518" t="str">
        <f>IF(AND(_A2="A-330-900",'2025'!$H$4="CA",'2025'!$H$2=AK157),'2025DATA'!$H$5,"")</f>
        <v/>
      </c>
      <c r="AL160" s="518" t="str">
        <f>IF(AND(_A2="A-330-900",'2025'!$H$4="CA",'2025'!$H$2=AL157),'2025DATA'!$I$5,"")</f>
        <v/>
      </c>
      <c r="AM160" s="518" t="str">
        <f>IF(AND(_A2="A-330-900",'2025'!$H$4="CA",'2025'!$H$2=AM157),'2025DATA'!$J$5,"")</f>
        <v/>
      </c>
      <c r="AN160" s="518" t="str">
        <f>IF(AND(_A2="A-330-900",'2025'!$H$4="CA",'2025'!$H$2=AN157),'2025DATA'!$K$5,"")</f>
        <v/>
      </c>
      <c r="AO160" s="518" t="str">
        <f>IF(AND(_A2="A-330-900",'2025'!$H$4="CA",'2025'!$H$2=AO157),'2025DATA'!$L$5,"")</f>
        <v/>
      </c>
      <c r="AP160" s="518" t="str">
        <f>IF(AND(_A2="A-330-900",'2025'!$H$4="CA",'2025'!$H$2=AP157),'2025DATA'!$M$5,"")</f>
        <v/>
      </c>
      <c r="AQ160" s="520" t="str">
        <f>IF(AND(_A2="A-330-900",'2025'!$H$4="CA",'2025'!$H$2=AQ157),'2025DATA'!$N$5,"")</f>
        <v/>
      </c>
      <c r="AR160" s="940" t="s">
        <v>65</v>
      </c>
      <c r="AS160" s="13" t="s">
        <v>61</v>
      </c>
      <c r="AT160" s="518" t="str">
        <f>IF(AND(_A3="A-330-900",'2025'!$H$4="CA",'2025'!$H$2=AT157),'2025DATA'!$C$5,"")</f>
        <v/>
      </c>
      <c r="AU160" s="518" t="str">
        <f>IF(AND(_A3="A-330-900",'2025'!$H$4="CA",'2025'!$H$2=AU157),'2025DATA'!$D$5,"")</f>
        <v/>
      </c>
      <c r="AV160" s="518" t="str">
        <f>IF(AND(_A3="A-330-900",'2025'!$H$4="CA",'2025'!$H$2=AV157),'2025DATA'!$E$5,"")</f>
        <v/>
      </c>
      <c r="AW160" s="518" t="str">
        <f>IF(AND(_A3="A-330-900",'2025'!$H$4="CA",'2025'!$H$2=AW157),'2025DATA'!$F$5,"")</f>
        <v/>
      </c>
      <c r="AX160" s="518" t="str">
        <f>IF(AND(_A3="A-330-900",'2025'!$H$4="CA",'2025'!$H$2=AX157),'2025DATA'!$G$5,"")</f>
        <v/>
      </c>
      <c r="AY160" s="518" t="str">
        <f>IF(AND(_A3="A-330-900",'2025'!$H$4="CA",'2025'!$H$2=AY157),'2025DATA'!$H$5,"")</f>
        <v/>
      </c>
      <c r="AZ160" s="518" t="str">
        <f>IF(AND(_A3="A-330-900",'2025'!$H$4="CA",'2025'!$H$2=AZ157),'2025DATA'!$I$5,"")</f>
        <v/>
      </c>
      <c r="BA160" s="518" t="str">
        <f>IF(AND(_A3="A-330-900",'2025'!$H$4="CA",'2025'!$H$2=BA157),'2025DATA'!$J$5,"")</f>
        <v/>
      </c>
      <c r="BB160" s="518" t="str">
        <f>IF(AND(_A3="A-330-900",'2025'!$H$4="CA",'2025'!$H$2=BB157),'2025DATA'!$K$5,"")</f>
        <v/>
      </c>
      <c r="BC160" s="518" t="str">
        <f>IF(AND(_A3="A-330-900",'2025'!$H$4="CA",'2025'!$H$2=BC157),'2025DATA'!$L$5,"")</f>
        <v/>
      </c>
      <c r="BD160" s="518" t="str">
        <f>IF(AND(_A3="A-330-900",'2025'!$H$4="CA",'2025'!$H$2=BD157),'2025DATA'!$M$5,"")</f>
        <v/>
      </c>
      <c r="BE160" s="520" t="str">
        <f>IF(AND(_A3="A-330-900",'2025'!$H$4="CA",'2025'!$H$2=BE157),'2025DATA'!$N$5,"")</f>
        <v/>
      </c>
      <c r="BF160" s="940" t="s">
        <v>65</v>
      </c>
      <c r="BG160" s="13" t="s">
        <v>61</v>
      </c>
      <c r="BH160" s="518" t="str">
        <f>IF(AND(_A4="A-330-900",'2025'!$H$4="CA",'2025'!$H$2=BH157),'2025DATA'!$C$5,"")</f>
        <v/>
      </c>
      <c r="BI160" s="518" t="str">
        <f>IF(AND(_A4="A-330-900",'2025'!$H$4="CA",'2025'!$H$2=BI157),'2025DATA'!$D$5,"")</f>
        <v/>
      </c>
      <c r="BJ160" s="518" t="str">
        <f>IF(AND(_A4="A-330-900",'2025'!$H$4="CA",'2025'!$H$2=BJ157),'2025DATA'!$E$5,"")</f>
        <v/>
      </c>
      <c r="BK160" s="518" t="str">
        <f>IF(AND(_A4="A-330-900",'2025'!$H$4="CA",'2025'!$H$2=BK157),'2025DATA'!$F$5,"")</f>
        <v/>
      </c>
      <c r="BL160" s="518" t="str">
        <f>IF(AND(_A4="A-330-900",'2025'!$H$4="CA",'2025'!$H$2=BL157),'2025DATA'!$G$5,"")</f>
        <v/>
      </c>
      <c r="BM160" s="518" t="str">
        <f>IF(AND(_A4="A-330-900",'2025'!$H$4="CA",'2025'!$H$2=BM157),'2025DATA'!$H$5,"")</f>
        <v/>
      </c>
      <c r="BN160" s="518" t="str">
        <f>IF(AND(_A4="A-330-900",'2025'!$H$4="CA",'2025'!$H$2=BN157),'2025DATA'!$I$5,"")</f>
        <v/>
      </c>
      <c r="BO160" s="518" t="str">
        <f>IF(AND(_A4="A-330-900",'2025'!$H$4="CA",'2025'!$H$2=BO157),'2025DATA'!$J$5,"")</f>
        <v/>
      </c>
      <c r="BP160" s="518" t="str">
        <f>IF(AND(_A4="A-330-900",'2025'!$H$4="CA",'2025'!$H$2=BP157),'2025DATA'!$K$5,"")</f>
        <v/>
      </c>
      <c r="BQ160" s="518" t="str">
        <f>IF(AND(_A4="A-330-900",'2025'!$H$4="CA",'2025'!$H$2=BQ157),'2025DATA'!$L$5,"")</f>
        <v/>
      </c>
      <c r="BR160" s="518" t="str">
        <f>IF(AND(_A4="A-330-900",'2025'!$H$4="CA",'2025'!$H$2=BR157),'2025DATA'!$M$5,"")</f>
        <v/>
      </c>
      <c r="BS160" s="520" t="str">
        <f>IF(AND(_A4="A-330-900",'2025'!$H$4="CA",'2025'!$H$2=BS157),'2025DATA'!$N$5,"")</f>
        <v/>
      </c>
      <c r="BT160" s="940" t="s">
        <v>65</v>
      </c>
      <c r="BU160" s="13" t="s">
        <v>61</v>
      </c>
      <c r="BV160" s="518" t="str">
        <f>IF(AND(_A5="A-330-900",'2025'!$H$4="CA",'2025'!$H$2=BV157),'2025DATA'!$C$5,"")</f>
        <v/>
      </c>
      <c r="BW160" s="518" t="str">
        <f>IF(AND(_A5="A-330-900",'2025'!$H$4="CA",'2025'!$H$2=BW157),'2025DATA'!$D$5,"")</f>
        <v/>
      </c>
      <c r="BX160" s="518" t="str">
        <f>IF(AND(_A5="A-330-900",'2025'!$H$4="CA",'2025'!$H$2=BX157),'2025DATA'!$E$5,"")</f>
        <v/>
      </c>
      <c r="BY160" s="518" t="str">
        <f>IF(AND(_A5="A-330-900",'2025'!$H$4="CA",'2025'!$H$2=BY157),'2025DATA'!$F$5,"")</f>
        <v/>
      </c>
      <c r="BZ160" s="518" t="str">
        <f>IF(AND(_A5="A-330-900",'2025'!$H$4="CA",'2025'!$H$2=BZ157),'2025DATA'!$G$5,"")</f>
        <v/>
      </c>
      <c r="CA160" s="518" t="str">
        <f>IF(AND(_A5="A-330-900",'2025'!$H$4="CA",'2025'!$H$2=CA157),'2025DATA'!$H$5,"")</f>
        <v/>
      </c>
      <c r="CB160" s="518" t="str">
        <f>IF(AND(_A5="A-330-900",'2025'!$H$4="CA",'2025'!$H$2=CB157),'2025DATA'!$I$5,"")</f>
        <v/>
      </c>
      <c r="CC160" s="518" t="str">
        <f>IF(AND(_A5="A-330-900",'2025'!$H$4="CA",'2025'!$H$2=CC157),'2025DATA'!$J$5,"")</f>
        <v/>
      </c>
      <c r="CD160" s="518" t="str">
        <f>IF(AND(_A5="A-330-900",'2025'!$H$4="CA",'2025'!$H$2=CD157),'2025DATA'!$K$5,"")</f>
        <v/>
      </c>
      <c r="CE160" s="518" t="str">
        <f>IF(AND(_A5="A-330-900",'2025'!$H$4="CA",'2025'!$H$2=CE157),'2025DATA'!$L$5,"")</f>
        <v/>
      </c>
      <c r="CF160" s="518" t="str">
        <f>IF(AND(_A5="A-330-900",'2025'!$H$4="CA",'2025'!$H$2=CF157),'2025DATA'!$M$5,"")</f>
        <v/>
      </c>
      <c r="CG160" s="520" t="str">
        <f>IF(AND(_A5="A-330-900",'2025'!$H$4="CA",'2025'!$H$2=CG157),'2025DATA'!$N$5,"")</f>
        <v/>
      </c>
      <c r="CH160" s="940" t="s">
        <v>65</v>
      </c>
      <c r="CI160" s="13" t="s">
        <v>61</v>
      </c>
      <c r="CJ160" s="518" t="str">
        <f>IF(AND(_A6="A-330-900",'2025'!$H$4="CA",'2025'!$H$2=CJ157),'2025DATA'!$C$5,"")</f>
        <v/>
      </c>
      <c r="CK160" s="518" t="str">
        <f>IF(AND(_A6="A-330-900",'2025'!$H$4="CA",'2025'!$H$2=CK157),'2025DATA'!$D$5,"")</f>
        <v/>
      </c>
      <c r="CL160" s="518" t="str">
        <f>IF(AND(_A6="A-330-900",'2025'!$H$4="CA",'2025'!$H$2=CL157),'2025DATA'!$E$5,"")</f>
        <v/>
      </c>
      <c r="CM160" s="518" t="str">
        <f>IF(AND(_A6="A-330-900",'2025'!$H$4="CA",'2025'!$H$2=CM157),'2025DATA'!$F$5,"")</f>
        <v/>
      </c>
      <c r="CN160" s="518" t="str">
        <f>IF(AND(_A6="A-330-900",'2025'!$H$4="CA",'2025'!$H$2=CN157),'2025DATA'!$G$5,"")</f>
        <v/>
      </c>
      <c r="CO160" s="518" t="str">
        <f>IF(AND(_A6="A-330-900",'2025'!$H$4="CA",'2025'!$H$2=CO157),'2025DATA'!$H$5,"")</f>
        <v/>
      </c>
      <c r="CP160" s="518" t="str">
        <f>IF(AND(_A6="A-330-900",'2025'!$H$4="CA",'2025'!$H$2=CP157),'2025DATA'!$I$5,"")</f>
        <v/>
      </c>
      <c r="CQ160" s="518" t="str">
        <f>IF(AND(_A6="A-330-900",'2025'!$H$4="CA",'2025'!$H$2=CQ157),'2025DATA'!$J$5,"")</f>
        <v/>
      </c>
      <c r="CR160" s="518" t="str">
        <f>IF(AND(_A6="A-330-900",'2025'!$H$4="CA",'2025'!$H$2=CR157),'2025DATA'!$K$5,"")</f>
        <v/>
      </c>
      <c r="CS160" s="518" t="str">
        <f>IF(AND(_A6="A-330-900",'2025'!$H$4="CA",'2025'!$H$2=CS157),'2025DATA'!$L$5,"")</f>
        <v/>
      </c>
      <c r="CT160" s="518" t="str">
        <f>IF(AND(_A6="A-330-900",'2025'!$H$4="CA",'2025'!$H$2=CT157),'2025DATA'!$M$5,"")</f>
        <v/>
      </c>
      <c r="CU160" s="520" t="str">
        <f>IF(AND(_A6="A-330-900",'2025'!$H$4="CA",'2025'!$H$2=CU157),'2025DATA'!$N$5,"")</f>
        <v/>
      </c>
    </row>
    <row r="161" spans="16:99" x14ac:dyDescent="0.25">
      <c r="P161" s="940"/>
      <c r="Q161" s="13" t="s">
        <v>62</v>
      </c>
      <c r="R161" s="518" t="str">
        <f>IF(AND(_A1="A-330-900",'2025'!$H$4="FO",'2025'!$H$2=R157),'2025DATA'!$C$6,"")</f>
        <v/>
      </c>
      <c r="S161" s="518" t="str">
        <f>IF(AND(_A1="A-330-900",'2025'!$H$4="FO",'2025'!$H$2=S157),'2025DATA'!$D$6,"")</f>
        <v/>
      </c>
      <c r="T161" s="518" t="str">
        <f>IF(AND(_A1="A-330-900",'2025'!$H$4="FO",'2025'!$H$2=T157),'2025DATA'!$E$6,"")</f>
        <v/>
      </c>
      <c r="U161" s="518" t="str">
        <f>IF(AND(_A1="A-330-900",'2025'!$H$4="FO",'2025'!$H$2=U157),'2025DATA'!$F$6,"")</f>
        <v/>
      </c>
      <c r="V161" s="518" t="str">
        <f>IF(AND(_A1="A-330-900",'2025'!$H$4="FO",'2025'!$H$2=V157),'2025DATA'!$G$6,"")</f>
        <v/>
      </c>
      <c r="W161" s="518" t="str">
        <f>IF(AND(_A1="A-330-900",'2025'!$H$4="FO",'2025'!$H$2=W157),'2025DATA'!$H$6,"")</f>
        <v/>
      </c>
      <c r="X161" s="518" t="str">
        <f>IF(AND(_A1="A-330-900",'2025'!$H$4="FO",'2025'!$H$2=X157),'2025DATA'!$I$6,"")</f>
        <v/>
      </c>
      <c r="Y161" s="518" t="str">
        <f>IF(AND(_A1="A-330-900",'2025'!$H$4="FO",'2025'!$H$2=Y157),'2025DATA'!$J$6,"")</f>
        <v/>
      </c>
      <c r="Z161" s="518" t="str">
        <f>IF(AND(_A1="A-330-900",'2025'!$H$4="FO",'2025'!$H$2=Z157),'2025DATA'!$K$6,"")</f>
        <v/>
      </c>
      <c r="AA161" s="518" t="str">
        <f>IF(AND(_A1="A-330-900",'2025'!$H$4="FO",'2025'!$H$2=AA157),'2025DATA'!$L$6,"")</f>
        <v/>
      </c>
      <c r="AB161" s="518" t="str">
        <f>IF(AND(_A1="A-330-900",'2025'!$H$4="FO",'2025'!$H$2=AB157),'2025DATA'!$M$6,"")</f>
        <v/>
      </c>
      <c r="AC161" s="520" t="str">
        <f>IF(AND(_A1="A-330-900",'2025'!$H$4="FO",'2025'!$H$2=AC157),'2025DATA'!$N$6,"")</f>
        <v/>
      </c>
      <c r="AD161" s="940"/>
      <c r="AE161" s="13" t="s">
        <v>62</v>
      </c>
      <c r="AF161" s="518" t="str">
        <f>IF(AND(_A2="A-330-900",'2025'!$H$4="FO",'2025'!$H$2=AF157),'2025DATA'!$C$6,"")</f>
        <v/>
      </c>
      <c r="AG161" s="518" t="str">
        <f>IF(AND(_A2="A-330-900",'2025'!$H$4="FO",'2025'!$H$2=AG157),'2025DATA'!$D$6,"")</f>
        <v/>
      </c>
      <c r="AH161" s="518" t="str">
        <f>IF(AND(_A2="A-330-900",'2025'!$H$4="FO",'2025'!$H$2=AH157),'2025DATA'!$E$6,"")</f>
        <v/>
      </c>
      <c r="AI161" s="518" t="str">
        <f>IF(AND(_A2="A-330-900",'2025'!$H$4="FO",'2025'!$H$2=AI157),'2025DATA'!$F$6,"")</f>
        <v/>
      </c>
      <c r="AJ161" s="518" t="str">
        <f>IF(AND(_A2="A-330-900",'2025'!$H$4="FO",'2025'!$H$2=AJ157),'2025DATA'!$G$6,"")</f>
        <v/>
      </c>
      <c r="AK161" s="518" t="str">
        <f>IF(AND(_A2="A-330-900",'2025'!$H$4="FO",'2025'!$H$2=AK157),'2025DATA'!$H$6,"")</f>
        <v/>
      </c>
      <c r="AL161" s="518" t="str">
        <f>IF(AND(_A2="A-330-900",'2025'!$H$4="FO",'2025'!$H$2=AL157),'2025DATA'!$I$6,"")</f>
        <v/>
      </c>
      <c r="AM161" s="518" t="str">
        <f>IF(AND(_A2="A-330-900",'2025'!$H$4="FO",'2025'!$H$2=AM157),'2025DATA'!$J$6,"")</f>
        <v/>
      </c>
      <c r="AN161" s="518" t="str">
        <f>IF(AND(_A2="A-330-900",'2025'!$H$4="FO",'2025'!$H$2=AN157),'2025DATA'!$K$6,"")</f>
        <v/>
      </c>
      <c r="AO161" s="518" t="str">
        <f>IF(AND(_A2="A-330-900",'2025'!$H$4="FO",'2025'!$H$2=AO157),'2025DATA'!$L$6,"")</f>
        <v/>
      </c>
      <c r="AP161" s="518" t="str">
        <f>IF(AND(_A2="A-330-900",'2025'!$H$4="FO",'2025'!$H$2=AP157),'2025DATA'!$M$6,"")</f>
        <v/>
      </c>
      <c r="AQ161" s="520" t="str">
        <f>IF(AND(_A2="A-330-900",'2025'!$H$4="FO",'2025'!$H$2=AQ157),'2025DATA'!$N$6,"")</f>
        <v/>
      </c>
      <c r="AR161" s="940"/>
      <c r="AS161" s="13" t="s">
        <v>62</v>
      </c>
      <c r="AT161" s="518" t="str">
        <f>IF(AND(_A3="A-330-900",'2025'!$H$4="FO",'2025'!$H$2=AT157),'2025DATA'!$C$6,"")</f>
        <v/>
      </c>
      <c r="AU161" s="518" t="str">
        <f>IF(AND(_A3="A-330-900",'2025'!$H$4="FO",'2025'!$H$2=AU157),'2025DATA'!$D$6,"")</f>
        <v/>
      </c>
      <c r="AV161" s="518" t="str">
        <f>IF(AND(_A3="A-330-900",'2025'!$H$4="FO",'2025'!$H$2=AV157),'2025DATA'!$E$6,"")</f>
        <v/>
      </c>
      <c r="AW161" s="518" t="str">
        <f>IF(AND(_A3="A-330-900",'2025'!$H$4="FO",'2025'!$H$2=AW157),'2025DATA'!$F$6,"")</f>
        <v/>
      </c>
      <c r="AX161" s="518" t="str">
        <f>IF(AND(_A3="A-330-900",'2025'!$H$4="FO",'2025'!$H$2=AX157),'2025DATA'!$G$6,"")</f>
        <v/>
      </c>
      <c r="AY161" s="518" t="str">
        <f>IF(AND(_A3="A-330-900",'2025'!$H$4="FO",'2025'!$H$2=AY157),'2025DATA'!$H$6,"")</f>
        <v/>
      </c>
      <c r="AZ161" s="518" t="str">
        <f>IF(AND(_A3="A-330-900",'2025'!$H$4="FO",'2025'!$H$2=AZ157),'2025DATA'!$I$6,"")</f>
        <v/>
      </c>
      <c r="BA161" s="518" t="str">
        <f>IF(AND(_A3="A-330-900",'2025'!$H$4="FO",'2025'!$H$2=BA157),'2025DATA'!$J$6,"")</f>
        <v/>
      </c>
      <c r="BB161" s="518" t="str">
        <f>IF(AND(_A3="A-330-900",'2025'!$H$4="FO",'2025'!$H$2=BB157),'2025DATA'!$K$6,"")</f>
        <v/>
      </c>
      <c r="BC161" s="518" t="str">
        <f>IF(AND(_A3="A-330-900",'2025'!$H$4="FO",'2025'!$H$2=BC157),'2025DATA'!$L$6,"")</f>
        <v/>
      </c>
      <c r="BD161" s="518" t="str">
        <f>IF(AND(_A3="A-330-900",'2025'!$H$4="FO",'2025'!$H$2=BD157),'2025DATA'!$M$6,"")</f>
        <v/>
      </c>
      <c r="BE161" s="520" t="str">
        <f>IF(AND(_A3="A-330-900",'2025'!$H$4="FO",'2025'!$H$2=BE157),'2025DATA'!$N$6,"")</f>
        <v/>
      </c>
      <c r="BF161" s="940"/>
      <c r="BG161" s="13" t="s">
        <v>62</v>
      </c>
      <c r="BH161" s="518" t="str">
        <f>IF(AND(_A4="A-330-900",'2025'!$H$4="FO",'2025'!$H$2=BH157),'2025DATA'!$C$6,"")</f>
        <v/>
      </c>
      <c r="BI161" s="518" t="str">
        <f>IF(AND(_A4="A-330-900",'2025'!$H$4="FO",'2025'!$H$2=BI157),'2025DATA'!$D$6,"")</f>
        <v/>
      </c>
      <c r="BJ161" s="518" t="str">
        <f>IF(AND(_A4="A-330-900",'2025'!$H$4="FO",'2025'!$H$2=BJ157),'2025DATA'!$E$6,"")</f>
        <v/>
      </c>
      <c r="BK161" s="518" t="str">
        <f>IF(AND(_A4="A-330-900",'2025'!$H$4="FO",'2025'!$H$2=BK157),'2025DATA'!$F$6,"")</f>
        <v/>
      </c>
      <c r="BL161" s="518" t="str">
        <f>IF(AND(_A4="A-330-900",'2025'!$H$4="FO",'2025'!$H$2=BL157),'2025DATA'!$G$6,"")</f>
        <v/>
      </c>
      <c r="BM161" s="518" t="str">
        <f>IF(AND(_A4="A-330-900",'2025'!$H$4="FO",'2025'!$H$2=BM157),'2025DATA'!$H$6,"")</f>
        <v/>
      </c>
      <c r="BN161" s="518" t="str">
        <f>IF(AND(_A4="A-330-900",'2025'!$H$4="FO",'2025'!$H$2=BN157),'2025DATA'!$I$6,"")</f>
        <v/>
      </c>
      <c r="BO161" s="518" t="str">
        <f>IF(AND(_A4="A-330-900",'2025'!$H$4="FO",'2025'!$H$2=BO157),'2025DATA'!$J$6,"")</f>
        <v/>
      </c>
      <c r="BP161" s="518" t="str">
        <f>IF(AND(_A4="A-330-900",'2025'!$H$4="FO",'2025'!$H$2=BP157),'2025DATA'!$K$6,"")</f>
        <v/>
      </c>
      <c r="BQ161" s="518" t="str">
        <f>IF(AND(_A4="A-330-900",'2025'!$H$4="FO",'2025'!$H$2=BQ157),'2025DATA'!$L$6,"")</f>
        <v/>
      </c>
      <c r="BR161" s="518" t="str">
        <f>IF(AND(_A4="A-330-900",'2025'!$H$4="FO",'2025'!$H$2=BR157),'2025DATA'!$M$6,"")</f>
        <v/>
      </c>
      <c r="BS161" s="520" t="str">
        <f>IF(AND(_A4="A-330-900",'2025'!$H$4="FO",'2025'!$H$2=BS157),'2025DATA'!$N$6,"")</f>
        <v/>
      </c>
      <c r="BT161" s="940"/>
      <c r="BU161" s="13" t="s">
        <v>62</v>
      </c>
      <c r="BV161" s="518" t="str">
        <f>IF(AND(_A5="A-330-900",'2025'!$H$4="FO",'2025'!$H$2=BV157),'2025DATA'!$C$6,"")</f>
        <v/>
      </c>
      <c r="BW161" s="518" t="str">
        <f>IF(AND(_A5="A-330-900",'2025'!$H$4="FO",'2025'!$H$2=BW157),'2025DATA'!$D$6,"")</f>
        <v/>
      </c>
      <c r="BX161" s="518" t="str">
        <f>IF(AND(_A5="A-330-900",'2025'!$H$4="FO",'2025'!$H$2=BX157),'2025DATA'!$E$6,"")</f>
        <v/>
      </c>
      <c r="BY161" s="518" t="str">
        <f>IF(AND(_A5="A-330-900",'2025'!$H$4="FO",'2025'!$H$2=BY157),'2025DATA'!$F$6,"")</f>
        <v/>
      </c>
      <c r="BZ161" s="518" t="str">
        <f>IF(AND(_A5="A-330-900",'2025'!$H$4="FO",'2025'!$H$2=BZ157),'2025DATA'!$G$6,"")</f>
        <v/>
      </c>
      <c r="CA161" s="518" t="str">
        <f>IF(AND(_A5="A-330-900",'2025'!$H$4="FO",'2025'!$H$2=CA157),'2025DATA'!$H$6,"")</f>
        <v/>
      </c>
      <c r="CB161" s="518" t="str">
        <f>IF(AND(_A5="A-330-900",'2025'!$H$4="FO",'2025'!$H$2=CB157),'2025DATA'!$I$6,"")</f>
        <v/>
      </c>
      <c r="CC161" s="518" t="str">
        <f>IF(AND(_A5="A-330-900",'2025'!$H$4="FO",'2025'!$H$2=CC157),'2025DATA'!$J$6,"")</f>
        <v/>
      </c>
      <c r="CD161" s="518" t="str">
        <f>IF(AND(_A5="A-330-900",'2025'!$H$4="FO",'2025'!$H$2=CD157),'2025DATA'!$K$6,"")</f>
        <v/>
      </c>
      <c r="CE161" s="518" t="str">
        <f>IF(AND(_A5="A-330-900",'2025'!$H$4="FO",'2025'!$H$2=CE157),'2025DATA'!$L$6,"")</f>
        <v/>
      </c>
      <c r="CF161" s="518" t="str">
        <f>IF(AND(_A5="A-330-900",'2025'!$H$4="FO",'2025'!$H$2=CF157),'2025DATA'!$M$6,"")</f>
        <v/>
      </c>
      <c r="CG161" s="520" t="str">
        <f>IF(AND(_A5="A-330-900",'2025'!$H$4="FO",'2025'!$H$2=CG157),'2025DATA'!$N$6,"")</f>
        <v/>
      </c>
      <c r="CH161" s="940"/>
      <c r="CI161" s="13" t="s">
        <v>62</v>
      </c>
      <c r="CJ161" s="518" t="str">
        <f>IF(AND(_A6="A-330-900",'2025'!$H$4="FO",'2025'!$H$2=CJ157),'2025DATA'!$C$6,"")</f>
        <v/>
      </c>
      <c r="CK161" s="518" t="str">
        <f>IF(AND(_A6="A-330-900",'2025'!$H$4="FO",'2025'!$H$2=CK157),'2025DATA'!$D$6,"")</f>
        <v/>
      </c>
      <c r="CL161" s="518" t="str">
        <f>IF(AND(_A6="A-330-900",'2025'!$H$4="FO",'2025'!$H$2=CL157),'2025DATA'!$E$6,"")</f>
        <v/>
      </c>
      <c r="CM161" s="518" t="str">
        <f>IF(AND(_A6="A-330-900",'2025'!$H$4="FO",'2025'!$H$2=CM157),'2025DATA'!$F$6,"")</f>
        <v/>
      </c>
      <c r="CN161" s="518" t="str">
        <f>IF(AND(_A6="A-330-900",'2025'!$H$4="FO",'2025'!$H$2=CN157),'2025DATA'!$G$6,"")</f>
        <v/>
      </c>
      <c r="CO161" s="518" t="str">
        <f>IF(AND(_A6="A-330-900",'2025'!$H$4="FO",'2025'!$H$2=CO157),'2025DATA'!$H$6,"")</f>
        <v/>
      </c>
      <c r="CP161" s="518" t="str">
        <f>IF(AND(_A6="A-330-900",'2025'!$H$4="FO",'2025'!$H$2=CP157),'2025DATA'!$I$6,"")</f>
        <v/>
      </c>
      <c r="CQ161" s="518" t="str">
        <f>IF(AND(_A6="A-330-900",'2025'!$H$4="FO",'2025'!$H$2=CQ157),'2025DATA'!$J$6,"")</f>
        <v/>
      </c>
      <c r="CR161" s="518" t="str">
        <f>IF(AND(_A6="A-330-900",'2025'!$H$4="FO",'2025'!$H$2=CR157),'2025DATA'!$K$6,"")</f>
        <v/>
      </c>
      <c r="CS161" s="518" t="str">
        <f>IF(AND(_A6="A-330-900",'2025'!$H$4="FO",'2025'!$H$2=CS157),'2025DATA'!$L$6,"")</f>
        <v/>
      </c>
      <c r="CT161" s="518" t="str">
        <f>IF(AND(_A6="A-330-900",'2025'!$H$4="FO",'2025'!$H$2=CT157),'2025DATA'!$M$6,"")</f>
        <v/>
      </c>
      <c r="CU161" s="520" t="str">
        <f>IF(AND(_A6="A-330-900",'2025'!$H$4="FO",'2025'!$H$2=CU157),'2025DATA'!$N$6,"")</f>
        <v/>
      </c>
    </row>
    <row r="162" spans="16:99" x14ac:dyDescent="0.25">
      <c r="P162" s="940" t="s">
        <v>64</v>
      </c>
      <c r="Q162" s="13" t="s">
        <v>61</v>
      </c>
      <c r="R162" s="518" t="str">
        <f>IF(AND(_A1="A-330-300",'2025'!$H$4="CA",'2025'!$H$2=R157),'2025DATA'!$C$7,"")</f>
        <v/>
      </c>
      <c r="S162" s="518" t="str">
        <f>IF(AND(_A1="A-330-300",'2025'!$H$4="CA",'2025'!$H$2=S157),'2025DATA'!$D$7,"")</f>
        <v/>
      </c>
      <c r="T162" s="518" t="str">
        <f>IF(AND(_A1="A-330-300",'2025'!$H$4="CA",'2025'!$H$2=T157),'2025DATA'!$E$7,"")</f>
        <v/>
      </c>
      <c r="U162" s="518" t="str">
        <f>IF(AND(_A1="A-330-300",'2025'!$H$4="CA",'2025'!$H$2=U157),'2025DATA'!$F$7,"")</f>
        <v/>
      </c>
      <c r="V162" s="518" t="str">
        <f>IF(AND(_A1="A-330-300",'2025'!$H$4="CA",'2025'!$H$2=V157),'2025DATA'!$G$7,"")</f>
        <v/>
      </c>
      <c r="W162" s="518" t="str">
        <f>IF(AND(_A1="A-330-300",'2025'!$H$4="CA",'2025'!$H$2=W157),'2025DATA'!$H$7,"")</f>
        <v/>
      </c>
      <c r="X162" s="518" t="str">
        <f>IF(AND(_A1="A-330-300",'2025'!$H$4="CA",'2025'!$H$2=X157),'2025DATA'!$I$7,"")</f>
        <v/>
      </c>
      <c r="Y162" s="518" t="str">
        <f>IF(AND(_A1="A-330-300",'2025'!$H$4="CA",'2025'!$H$2=Y157),'2025DATA'!$J$7,"")</f>
        <v/>
      </c>
      <c r="Z162" s="518" t="str">
        <f>IF(AND(_A1="A-330-300",'2025'!$H$4="CA",'2025'!$H$2=Z157),'2025DATA'!$K$7,"")</f>
        <v/>
      </c>
      <c r="AA162" s="518" t="str">
        <f>IF(AND(_A1="A-330-300",'2025'!$H$4="CA",'2025'!$H$2=AA157),'2025DATA'!$L$7,"")</f>
        <v/>
      </c>
      <c r="AB162" s="518" t="str">
        <f>IF(AND(_A1="A-330-300",'2025'!$H$4="CA",'2025'!$H$2=AB157),'2025DATA'!$M$7,"")</f>
        <v/>
      </c>
      <c r="AC162" s="520" t="str">
        <f>IF(AND(_A1="A-330-300",'2025'!$H$4="CA",'2025'!$H$2=AC157),'2025DATA'!$N$7,"")</f>
        <v/>
      </c>
      <c r="AD162" s="940" t="s">
        <v>64</v>
      </c>
      <c r="AE162" s="13" t="s">
        <v>61</v>
      </c>
      <c r="AF162" s="518" t="str">
        <f>IF(AND(_A2="A-330-300",'2025'!$H$4="CA",'2025'!$H$2=AF157),'2025DATA'!$C$7,"")</f>
        <v/>
      </c>
      <c r="AG162" s="518" t="str">
        <f>IF(AND(_A2="A-330-300",'2025'!$H$4="CA",'2025'!$H$2=AG157),'2025DATA'!$D$7,"")</f>
        <v/>
      </c>
      <c r="AH162" s="518" t="str">
        <f>IF(AND(_A2="A-330-300",'2025'!$H$4="CA",'2025'!$H$2=AH157),'2025DATA'!$E$7,"")</f>
        <v/>
      </c>
      <c r="AI162" s="518" t="str">
        <f>IF(AND(_A2="A-330-300",'2025'!$H$4="CA",'2025'!$H$2=AI157),'2025DATA'!$F$7,"")</f>
        <v/>
      </c>
      <c r="AJ162" s="518" t="str">
        <f>IF(AND(_A2="A-330-300",'2025'!$H$4="CA",'2025'!$H$2=AJ157),'2025DATA'!$G$7,"")</f>
        <v/>
      </c>
      <c r="AK162" s="518" t="str">
        <f>IF(AND(_A2="A-330-300",'2025'!$H$4="CA",'2025'!$H$2=AK157),'2025DATA'!$H$7,"")</f>
        <v/>
      </c>
      <c r="AL162" s="518" t="str">
        <f>IF(AND(_A2="A-330-300",'2025'!$H$4="CA",'2025'!$H$2=AL157),'2025DATA'!$I$7,"")</f>
        <v/>
      </c>
      <c r="AM162" s="518" t="str">
        <f>IF(AND(_A2="A-330-300",'2025'!$H$4="CA",'2025'!$H$2=AM157),'2025DATA'!$J$7,"")</f>
        <v/>
      </c>
      <c r="AN162" s="518" t="str">
        <f>IF(AND(_A2="A-330-300",'2025'!$H$4="CA",'2025'!$H$2=AN157),'2025DATA'!$K$7,"")</f>
        <v/>
      </c>
      <c r="AO162" s="518" t="str">
        <f>IF(AND(_A2="A-330-300",'2025'!$H$4="CA",'2025'!$H$2=AO157),'2025DATA'!$L$7,"")</f>
        <v/>
      </c>
      <c r="AP162" s="518" t="str">
        <f>IF(AND(_A2="A-330-300",'2025'!$H$4="CA",'2025'!$H$2=AP157),'2025DATA'!$M$7,"")</f>
        <v/>
      </c>
      <c r="AQ162" s="520" t="str">
        <f>IF(AND(_A2="A-330-300",'2025'!$H$4="CA",'2025'!$H$2=AQ157),'2025DATA'!$N$7,"")</f>
        <v/>
      </c>
      <c r="AR162" s="940" t="s">
        <v>64</v>
      </c>
      <c r="AS162" s="13" t="s">
        <v>61</v>
      </c>
      <c r="AT162" s="518" t="str">
        <f>IF(AND(_A3="A-330-300",'2025'!$H$4="CA",'2025'!$H$2=AT157),'2025DATA'!$C$7,"")</f>
        <v/>
      </c>
      <c r="AU162" s="518" t="str">
        <f>IF(AND(_A3="A-330-300",'2025'!$H$4="CA",'2025'!$H$2=AU157),'2025DATA'!$D$7,"")</f>
        <v/>
      </c>
      <c r="AV162" s="518" t="str">
        <f>IF(AND(_A3="A-330-300",'2025'!$H$4="CA",'2025'!$H$2=AV157),'2025DATA'!$E$7,"")</f>
        <v/>
      </c>
      <c r="AW162" s="518" t="str">
        <f>IF(AND(_A3="A-330-300",'2025'!$H$4="CA",'2025'!$H$2=AW157),'2025DATA'!$F$7,"")</f>
        <v/>
      </c>
      <c r="AX162" s="518" t="str">
        <f>IF(AND(_A3="A-330-300",'2025'!$H$4="CA",'2025'!$H$2=AX157),'2025DATA'!$G$7,"")</f>
        <v/>
      </c>
      <c r="AY162" s="518" t="str">
        <f>IF(AND(_A3="A-330-300",'2025'!$H$4="CA",'2025'!$H$2=AY157),'2025DATA'!$H$7,"")</f>
        <v/>
      </c>
      <c r="AZ162" s="518" t="str">
        <f>IF(AND(_A3="A-330-300",'2025'!$H$4="CA",'2025'!$H$2=AZ157),'2025DATA'!$I$7,"")</f>
        <v/>
      </c>
      <c r="BA162" s="518" t="str">
        <f>IF(AND(_A3="A-330-300",'2025'!$H$4="CA",'2025'!$H$2=BA157),'2025DATA'!$J$7,"")</f>
        <v/>
      </c>
      <c r="BB162" s="518" t="str">
        <f>IF(AND(_A3="A-330-300",'2025'!$H$4="CA",'2025'!$H$2=BB157),'2025DATA'!$K$7,"")</f>
        <v/>
      </c>
      <c r="BC162" s="518" t="str">
        <f>IF(AND(_A3="A-330-300",'2025'!$H$4="CA",'2025'!$H$2=BC157),'2025DATA'!$L$7,"")</f>
        <v/>
      </c>
      <c r="BD162" s="518" t="str">
        <f>IF(AND(_A3="A-330-300",'2025'!$H$4="CA",'2025'!$H$2=BD157),'2025DATA'!$M$7,"")</f>
        <v/>
      </c>
      <c r="BE162" s="520" t="str">
        <f>IF(AND(_A3="A-330-300",'2025'!$H$4="CA",'2025'!$H$2=BE157),'2025DATA'!$N$7,"")</f>
        <v/>
      </c>
      <c r="BF162" s="940" t="s">
        <v>64</v>
      </c>
      <c r="BG162" s="13" t="s">
        <v>61</v>
      </c>
      <c r="BH162" s="518" t="str">
        <f>IF(AND(_A4="A-330-300",'2025'!$H$4="CA",'2025'!$H$2=BH157),'2025DATA'!$C$7,"")</f>
        <v/>
      </c>
      <c r="BI162" s="518" t="str">
        <f>IF(AND(_A4="A-330-300",'2025'!$H$4="CA",'2025'!$H$2=BI157),'2025DATA'!$D$7,"")</f>
        <v/>
      </c>
      <c r="BJ162" s="518" t="str">
        <f>IF(AND(_A4="A-330-300",'2025'!$H$4="CA",'2025'!$H$2=BJ157),'2025DATA'!$E$7,"")</f>
        <v/>
      </c>
      <c r="BK162" s="518" t="str">
        <f>IF(AND(_A4="A-330-300",'2025'!$H$4="CA",'2025'!$H$2=BK157),'2025DATA'!$F$7,"")</f>
        <v/>
      </c>
      <c r="BL162" s="518" t="str">
        <f>IF(AND(_A4="A-330-300",'2025'!$H$4="CA",'2025'!$H$2=BL157),'2025DATA'!$G$7,"")</f>
        <v/>
      </c>
      <c r="BM162" s="518" t="str">
        <f>IF(AND(_A4="A-330-300",'2025'!$H$4="CA",'2025'!$H$2=BM157),'2025DATA'!$H$7,"")</f>
        <v/>
      </c>
      <c r="BN162" s="518" t="str">
        <f>IF(AND(_A4="A-330-300",'2025'!$H$4="CA",'2025'!$H$2=BN157),'2025DATA'!$I$7,"")</f>
        <v/>
      </c>
      <c r="BO162" s="518" t="str">
        <f>IF(AND(_A4="A-330-300",'2025'!$H$4="CA",'2025'!$H$2=BO157),'2025DATA'!$J$7,"")</f>
        <v/>
      </c>
      <c r="BP162" s="518" t="str">
        <f>IF(AND(_A4="A-330-300",'2025'!$H$4="CA",'2025'!$H$2=BP157),'2025DATA'!$K$7,"")</f>
        <v/>
      </c>
      <c r="BQ162" s="518" t="str">
        <f>IF(AND(_A4="A-330-300",'2025'!$H$4="CA",'2025'!$H$2=BQ157),'2025DATA'!$L$7,"")</f>
        <v/>
      </c>
      <c r="BR162" s="518" t="str">
        <f>IF(AND(_A4="A-330-300",'2025'!$H$4="CA",'2025'!$H$2=BR157),'2025DATA'!$M$7,"")</f>
        <v/>
      </c>
      <c r="BS162" s="520" t="str">
        <f>IF(AND(_A4="A-330-300",'2025'!$H$4="CA",'2025'!$H$2=BS157),'2025DATA'!$N$7,"")</f>
        <v/>
      </c>
      <c r="BT162" s="940" t="s">
        <v>64</v>
      </c>
      <c r="BU162" s="13" t="s">
        <v>61</v>
      </c>
      <c r="BV162" s="518" t="str">
        <f>IF(AND(_A5="A-330-300",'2025'!$H$4="CA",'2025'!$H$2=BV157),'2025DATA'!$C$7,"")</f>
        <v/>
      </c>
      <c r="BW162" s="518" t="str">
        <f>IF(AND(_A5="A-330-300",'2025'!$H$4="CA",'2025'!$H$2=BW157),'2025DATA'!$D$7,"")</f>
        <v/>
      </c>
      <c r="BX162" s="518" t="str">
        <f>IF(AND(_A5="A-330-300",'2025'!$H$4="CA",'2025'!$H$2=BX157),'2025DATA'!$E$7,"")</f>
        <v/>
      </c>
      <c r="BY162" s="518" t="str">
        <f>IF(AND(_A5="A-330-300",'2025'!$H$4="CA",'2025'!$H$2=BY157),'2025DATA'!$F$7,"")</f>
        <v/>
      </c>
      <c r="BZ162" s="518" t="str">
        <f>IF(AND(_A5="A-330-300",'2025'!$H$4="CA",'2025'!$H$2=BZ157),'2025DATA'!$G$7,"")</f>
        <v/>
      </c>
      <c r="CA162" s="518" t="str">
        <f>IF(AND(_A5="A-330-300",'2025'!$H$4="CA",'2025'!$H$2=CA157),'2025DATA'!$H$7,"")</f>
        <v/>
      </c>
      <c r="CB162" s="518" t="str">
        <f>IF(AND(_A5="A-330-300",'2025'!$H$4="CA",'2025'!$H$2=CB157),'2025DATA'!$I$7,"")</f>
        <v/>
      </c>
      <c r="CC162" s="518" t="str">
        <f>IF(AND(_A5="A-330-300",'2025'!$H$4="CA",'2025'!$H$2=CC157),'2025DATA'!$J$7,"")</f>
        <v/>
      </c>
      <c r="CD162" s="518" t="str">
        <f>IF(AND(_A5="A-330-300",'2025'!$H$4="CA",'2025'!$H$2=CD157),'2025DATA'!$K$7,"")</f>
        <v/>
      </c>
      <c r="CE162" s="518" t="str">
        <f>IF(AND(_A5="A-330-300",'2025'!$H$4="CA",'2025'!$H$2=CE157),'2025DATA'!$L$7,"")</f>
        <v/>
      </c>
      <c r="CF162" s="518" t="str">
        <f>IF(AND(_A5="A-330-300",'2025'!$H$4="CA",'2025'!$H$2=CF157),'2025DATA'!$M$7,"")</f>
        <v/>
      </c>
      <c r="CG162" s="520" t="str">
        <f>IF(AND(_A5="A-330-300",'2025'!$H$4="CA",'2025'!$H$2=CG157),'2025DATA'!$N$7,"")</f>
        <v/>
      </c>
      <c r="CH162" s="940" t="s">
        <v>64</v>
      </c>
      <c r="CI162" s="13" t="s">
        <v>61</v>
      </c>
      <c r="CJ162" s="518" t="str">
        <f>IF(AND(_A6="A-330-300",'2025'!$H$4="CA",'2025'!$H$2=CJ157),'2025DATA'!$C$7,"")</f>
        <v/>
      </c>
      <c r="CK162" s="518" t="str">
        <f>IF(AND(_A6="A-330-300",'2025'!$H$4="CA",'2025'!$H$2=CK157),'2025DATA'!$D$7,"")</f>
        <v/>
      </c>
      <c r="CL162" s="518" t="str">
        <f>IF(AND(_A6="A-330-300",'2025'!$H$4="CA",'2025'!$H$2=CL157),'2025DATA'!$E$7,"")</f>
        <v/>
      </c>
      <c r="CM162" s="518" t="str">
        <f>IF(AND(_A6="A-330-300",'2025'!$H$4="CA",'2025'!$H$2=CM157),'2025DATA'!$F$7,"")</f>
        <v/>
      </c>
      <c r="CN162" s="518" t="str">
        <f>IF(AND(_A6="A-330-300",'2025'!$H$4="CA",'2025'!$H$2=CN157),'2025DATA'!$G$7,"")</f>
        <v/>
      </c>
      <c r="CO162" s="518" t="str">
        <f>IF(AND(_A6="A-330-300",'2025'!$H$4="CA",'2025'!$H$2=CO157),'2025DATA'!$H$7,"")</f>
        <v/>
      </c>
      <c r="CP162" s="518" t="str">
        <f>IF(AND(_A6="A-330-300",'2025'!$H$4="CA",'2025'!$H$2=CP157),'2025DATA'!$I$7,"")</f>
        <v/>
      </c>
      <c r="CQ162" s="518" t="str">
        <f>IF(AND(_A6="A-330-300",'2025'!$H$4="CA",'2025'!$H$2=CQ157),'2025DATA'!$J$7,"")</f>
        <v/>
      </c>
      <c r="CR162" s="518" t="str">
        <f>IF(AND(_A6="A-330-300",'2025'!$H$4="CA",'2025'!$H$2=CR157),'2025DATA'!$K$7,"")</f>
        <v/>
      </c>
      <c r="CS162" s="518" t="str">
        <f>IF(AND(_A6="A-330-300",'2025'!$H$4="CA",'2025'!$H$2=CS157),'2025DATA'!$L$7,"")</f>
        <v/>
      </c>
      <c r="CT162" s="518" t="str">
        <f>IF(AND(_A6="A-330-300",'2025'!$H$4="CA",'2025'!$H$2=CT157),'2025DATA'!$M$7,"")</f>
        <v/>
      </c>
      <c r="CU162" s="520" t="str">
        <f>IF(AND(_A6="A-330-300",'2025'!$H$4="CA",'2025'!$H$2=CU157),'2025DATA'!$N$7,"")</f>
        <v/>
      </c>
    </row>
    <row r="163" spans="16:99" x14ac:dyDescent="0.25">
      <c r="P163" s="940"/>
      <c r="Q163" s="13" t="s">
        <v>62</v>
      </c>
      <c r="R163" s="518" t="str">
        <f>IF(AND(_A1="A-330-300",'2025'!$H$4="FO",'2025'!$H$2=R157),'2025DATA'!$C$8,"")</f>
        <v/>
      </c>
      <c r="S163" s="518" t="str">
        <f>IF(AND(_A1="A-330-300",'2025'!$H$4="FO",'2025'!$H$2=S157),'2025DATA'!$D$8,"")</f>
        <v/>
      </c>
      <c r="T163" s="518" t="str">
        <f>IF(AND(_A1="A-330-300",'2025'!$H$4="FO",'2025'!$H$2=T157),'2025DATA'!$E$8,"")</f>
        <v/>
      </c>
      <c r="U163" s="518" t="str">
        <f>IF(AND(_A1="A-330-300",'2025'!$H$4="FO",'2025'!$H$2=U157),'2025DATA'!$F$8,"")</f>
        <v/>
      </c>
      <c r="V163" s="518" t="str">
        <f>IF(AND(_A1="A-330-300",'2025'!$H$4="FO",'2025'!$H$2=V157),'2025DATA'!$G$8,"")</f>
        <v/>
      </c>
      <c r="W163" s="518" t="str">
        <f>IF(AND(_A1="A-330-300",'2025'!$H$4="FO",'2025'!$H$2=W157),'2025DATA'!$H$8,"")</f>
        <v/>
      </c>
      <c r="X163" s="518" t="str">
        <f>IF(AND(_A1="A-330-300",'2025'!$H$4="FO",'2025'!$H$2=X157),'2025DATA'!$I$8,"")</f>
        <v/>
      </c>
      <c r="Y163" s="518" t="str">
        <f>IF(AND(_A1="A-330-300",'2025'!$H$4="FO",'2025'!$H$2=Y157),'2025DATA'!$J$8,"")</f>
        <v/>
      </c>
      <c r="Z163" s="518" t="str">
        <f>IF(AND(_A1="A-330-300",'2025'!$H$4="FO",'2025'!$H$2=Z157),'2025DATA'!$K$8,"")</f>
        <v/>
      </c>
      <c r="AA163" s="518" t="str">
        <f>IF(AND(_A1="A-330-300",'2025'!$H$4="FO",'2025'!$H$2=AA157),'2025DATA'!$L$8,"")</f>
        <v/>
      </c>
      <c r="AB163" s="518" t="str">
        <f>IF(AND(_A1="A-330-300",'2025'!$H$4="FO",'2025'!$H$2=AB157),'2025DATA'!$M$8,"")</f>
        <v/>
      </c>
      <c r="AC163" s="520" t="str">
        <f>IF(AND(_A1="A-330-300",'2025'!$H$4="FO",'2025'!$H$2=AC157),'2025DATA'!$N$8,"")</f>
        <v/>
      </c>
      <c r="AD163" s="940"/>
      <c r="AE163" s="13" t="s">
        <v>62</v>
      </c>
      <c r="AF163" s="518" t="str">
        <f>IF(AND(_A2="A-330-300",'2025'!$H$4="FO",'2025'!$H$2=AF157),'2025DATA'!$C$8,"")</f>
        <v/>
      </c>
      <c r="AG163" s="518" t="str">
        <f>IF(AND(_A2="A-330-300",'2025'!$H$4="FO",'2025'!$H$2=AG157),'2025DATA'!$D$8,"")</f>
        <v/>
      </c>
      <c r="AH163" s="518" t="str">
        <f>IF(AND(_A2="A-330-300",'2025'!$H$4="FO",'2025'!$H$2=AH157),'2025DATA'!$E$8,"")</f>
        <v/>
      </c>
      <c r="AI163" s="518" t="str">
        <f>IF(AND(_A2="A-330-300",'2025'!$H$4="FO",'2025'!$H$2=AI157),'2025DATA'!$F$8,"")</f>
        <v/>
      </c>
      <c r="AJ163" s="518" t="str">
        <f>IF(AND(_A2="A-330-300",'2025'!$H$4="FO",'2025'!$H$2=AJ157),'2025DATA'!$G$8,"")</f>
        <v/>
      </c>
      <c r="AK163" s="518" t="str">
        <f>IF(AND(_A2="A-330-300",'2025'!$H$4="FO",'2025'!$H$2=AK157),'2025DATA'!$H$8,"")</f>
        <v/>
      </c>
      <c r="AL163" s="518" t="str">
        <f>IF(AND(_A2="A-330-300",'2025'!$H$4="FO",'2025'!$H$2=AL157),'2025DATA'!$I$8,"")</f>
        <v/>
      </c>
      <c r="AM163" s="518" t="str">
        <f>IF(AND(_A2="A-330-300",'2025'!$H$4="FO",'2025'!$H$2=AM157),'2025DATA'!$J$8,"")</f>
        <v/>
      </c>
      <c r="AN163" s="518" t="str">
        <f>IF(AND(_A2="A-330-300",'2025'!$H$4="FO",'2025'!$H$2=AN157),'2025DATA'!$K$8,"")</f>
        <v/>
      </c>
      <c r="AO163" s="518" t="str">
        <f>IF(AND(_A2="A-330-300",'2025'!$H$4="FO",'2025'!$H$2=AO157),'2025DATA'!$L$8,"")</f>
        <v/>
      </c>
      <c r="AP163" s="518" t="str">
        <f>IF(AND(_A2="A-330-300",'2025'!$H$4="FO",'2025'!$H$2=AP157),'2025DATA'!$M$8,"")</f>
        <v/>
      </c>
      <c r="AQ163" s="520" t="str">
        <f>IF(AND(_A2="A-330-300",'2025'!$H$4="FO",'2025'!$H$2=AQ157),'2025DATA'!$N$8,"")</f>
        <v/>
      </c>
      <c r="AR163" s="940"/>
      <c r="AS163" s="13" t="s">
        <v>62</v>
      </c>
      <c r="AT163" s="518" t="str">
        <f>IF(AND(_A3="A-330-300",'2025'!$H$4="FO",'2025'!$H$2=AT157),'2025DATA'!$C$8,"")</f>
        <v/>
      </c>
      <c r="AU163" s="518" t="str">
        <f>IF(AND(_A3="A-330-300",'2025'!$H$4="FO",'2025'!$H$2=AU157),'2025DATA'!$D$8,"")</f>
        <v/>
      </c>
      <c r="AV163" s="518" t="str">
        <f>IF(AND(_A3="A-330-300",'2025'!$H$4="FO",'2025'!$H$2=AV157),'2025DATA'!$E$8,"")</f>
        <v/>
      </c>
      <c r="AW163" s="518" t="str">
        <f>IF(AND(_A3="A-330-300",'2025'!$H$4="FO",'2025'!$H$2=AW157),'2025DATA'!$F$8,"")</f>
        <v/>
      </c>
      <c r="AX163" s="518" t="str">
        <f>IF(AND(_A3="A-330-300",'2025'!$H$4="FO",'2025'!$H$2=AX157),'2025DATA'!$G$8,"")</f>
        <v/>
      </c>
      <c r="AY163" s="518" t="str">
        <f>IF(AND(_A3="A-330-300",'2025'!$H$4="FO",'2025'!$H$2=AY157),'2025DATA'!$H$8,"")</f>
        <v/>
      </c>
      <c r="AZ163" s="518" t="str">
        <f>IF(AND(_A3="A-330-300",'2025'!$H$4="FO",'2025'!$H$2=AZ157),'2025DATA'!$I$8,"")</f>
        <v/>
      </c>
      <c r="BA163" s="518" t="str">
        <f>IF(AND(_A3="A-330-300",'2025'!$H$4="FO",'2025'!$H$2=BA157),'2025DATA'!$J$8,"")</f>
        <v/>
      </c>
      <c r="BB163" s="518" t="str">
        <f>IF(AND(_A3="A-330-300",'2025'!$H$4="FO",'2025'!$H$2=BB157),'2025DATA'!$K$8,"")</f>
        <v/>
      </c>
      <c r="BC163" s="518" t="str">
        <f>IF(AND(_A3="A-330-300",'2025'!$H$4="FO",'2025'!$H$2=BC157),'2025DATA'!$L$8,"")</f>
        <v/>
      </c>
      <c r="BD163" s="518" t="str">
        <f>IF(AND(_A3="A-330-300",'2025'!$H$4="FO",'2025'!$H$2=BD157),'2025DATA'!$M$8,"")</f>
        <v/>
      </c>
      <c r="BE163" s="520" t="str">
        <f>IF(AND(_A3="A-330-300",'2025'!$H$4="FO",'2025'!$H$2=BE157),'2025DATA'!$N$8,"")</f>
        <v/>
      </c>
      <c r="BF163" s="940"/>
      <c r="BG163" s="13" t="s">
        <v>62</v>
      </c>
      <c r="BH163" s="518" t="str">
        <f>IF(AND(_A4="A-330-300",'2025'!$H$4="FO",'2025'!$H$2=BH157),'2025DATA'!$C$8,"")</f>
        <v/>
      </c>
      <c r="BI163" s="518" t="str">
        <f>IF(AND(_A4="A-330-300",'2025'!$H$4="FO",'2025'!$H$2=BI157),'2025DATA'!$D$8,"")</f>
        <v/>
      </c>
      <c r="BJ163" s="518" t="str">
        <f>IF(AND(_A4="A-330-300",'2025'!$H$4="FO",'2025'!$H$2=BJ157),'2025DATA'!$E$8,"")</f>
        <v/>
      </c>
      <c r="BK163" s="518" t="str">
        <f>IF(AND(_A4="A-330-300",'2025'!$H$4="FO",'2025'!$H$2=BK157),'2025DATA'!$F$8,"")</f>
        <v/>
      </c>
      <c r="BL163" s="518" t="str">
        <f>IF(AND(_A4="A-330-300",'2025'!$H$4="FO",'2025'!$H$2=BL157),'2025DATA'!$G$8,"")</f>
        <v/>
      </c>
      <c r="BM163" s="518" t="str">
        <f>IF(AND(_A4="A-330-300",'2025'!$H$4="FO",'2025'!$H$2=BM157),'2025DATA'!$H$8,"")</f>
        <v/>
      </c>
      <c r="BN163" s="518" t="str">
        <f>IF(AND(_A4="A-330-300",'2025'!$H$4="FO",'2025'!$H$2=BN157),'2025DATA'!$I$8,"")</f>
        <v/>
      </c>
      <c r="BO163" s="518" t="str">
        <f>IF(AND(_A4="A-330-300",'2025'!$H$4="FO",'2025'!$H$2=BO157),'2025DATA'!$J$8,"")</f>
        <v/>
      </c>
      <c r="BP163" s="518" t="str">
        <f>IF(AND(_A4="A-330-300",'2025'!$H$4="FO",'2025'!$H$2=BP157),'2025DATA'!$K$8,"")</f>
        <v/>
      </c>
      <c r="BQ163" s="518" t="str">
        <f>IF(AND(_A4="A-330-300",'2025'!$H$4="FO",'2025'!$H$2=BQ157),'2025DATA'!$L$8,"")</f>
        <v/>
      </c>
      <c r="BR163" s="518" t="str">
        <f>IF(AND(_A4="A-330-300",'2025'!$H$4="FO",'2025'!$H$2=BR157),'2025DATA'!$M$8,"")</f>
        <v/>
      </c>
      <c r="BS163" s="520" t="str">
        <f>IF(AND(_A4="A-330-300",'2025'!$H$4="FO",'2025'!$H$2=BS157),'2025DATA'!$N$8,"")</f>
        <v/>
      </c>
      <c r="BT163" s="940"/>
      <c r="BU163" s="13" t="s">
        <v>62</v>
      </c>
      <c r="BV163" s="518" t="str">
        <f>IF(AND(_A5="A-330-300",'2025'!$H$4="FO",'2025'!$H$2=BV157),'2025DATA'!$C$8,"")</f>
        <v/>
      </c>
      <c r="BW163" s="518" t="str">
        <f>IF(AND(_A5="A-330-300",'2025'!$H$4="FO",'2025'!$H$2=BW157),'2025DATA'!$D$8,"")</f>
        <v/>
      </c>
      <c r="BX163" s="518" t="str">
        <f>IF(AND(_A5="A-330-300",'2025'!$H$4="FO",'2025'!$H$2=BX157),'2025DATA'!$E$8,"")</f>
        <v/>
      </c>
      <c r="BY163" s="518" t="str">
        <f>IF(AND(_A5="A-330-300",'2025'!$H$4="FO",'2025'!$H$2=BY157),'2025DATA'!$F$8,"")</f>
        <v/>
      </c>
      <c r="BZ163" s="518" t="str">
        <f>IF(AND(_A5="A-330-300",'2025'!$H$4="FO",'2025'!$H$2=BZ157),'2025DATA'!$G$8,"")</f>
        <v/>
      </c>
      <c r="CA163" s="518" t="str">
        <f>IF(AND(_A5="A-330-300",'2025'!$H$4="FO",'2025'!$H$2=CA157),'2025DATA'!$H$8,"")</f>
        <v/>
      </c>
      <c r="CB163" s="518" t="str">
        <f>IF(AND(_A5="A-330-300",'2025'!$H$4="FO",'2025'!$H$2=CB157),'2025DATA'!$I$8,"")</f>
        <v/>
      </c>
      <c r="CC163" s="518" t="str">
        <f>IF(AND(_A5="A-330-300",'2025'!$H$4="FO",'2025'!$H$2=CC157),'2025DATA'!$J$8,"")</f>
        <v/>
      </c>
      <c r="CD163" s="518" t="str">
        <f>IF(AND(_A5="A-330-300",'2025'!$H$4="FO",'2025'!$H$2=CD157),'2025DATA'!$K$8,"")</f>
        <v/>
      </c>
      <c r="CE163" s="518" t="str">
        <f>IF(AND(_A5="A-330-300",'2025'!$H$4="FO",'2025'!$H$2=CE157),'2025DATA'!$L$8,"")</f>
        <v/>
      </c>
      <c r="CF163" s="518" t="str">
        <f>IF(AND(_A5="A-330-300",'2025'!$H$4="FO",'2025'!$H$2=CF157),'2025DATA'!$M$8,"")</f>
        <v/>
      </c>
      <c r="CG163" s="520" t="str">
        <f>IF(AND(_A5="A-330-300",'2025'!$H$4="FO",'2025'!$H$2=CG157),'2025DATA'!$N$8,"")</f>
        <v/>
      </c>
      <c r="CH163" s="940"/>
      <c r="CI163" s="13" t="s">
        <v>62</v>
      </c>
      <c r="CJ163" s="518" t="str">
        <f>IF(AND(_A6="A-330-300",'2025'!$H$4="FO",'2025'!$H$2=CJ157),'2025DATA'!$C$8,"")</f>
        <v/>
      </c>
      <c r="CK163" s="518" t="str">
        <f>IF(AND(_A6="A-330-300",'2025'!$H$4="FO",'2025'!$H$2=CK157),'2025DATA'!$D$8,"")</f>
        <v/>
      </c>
      <c r="CL163" s="518" t="str">
        <f>IF(AND(_A6="A-330-300",'2025'!$H$4="FO",'2025'!$H$2=CL157),'2025DATA'!$E$8,"")</f>
        <v/>
      </c>
      <c r="CM163" s="518" t="str">
        <f>IF(AND(_A6="A-330-300",'2025'!$H$4="FO",'2025'!$H$2=CM157),'2025DATA'!$F$8,"")</f>
        <v/>
      </c>
      <c r="CN163" s="518" t="str">
        <f>IF(AND(_A6="A-330-300",'2025'!$H$4="FO",'2025'!$H$2=CN157),'2025DATA'!$G$8,"")</f>
        <v/>
      </c>
      <c r="CO163" s="518" t="str">
        <f>IF(AND(_A6="A-330-300",'2025'!$H$4="FO",'2025'!$H$2=CO157),'2025DATA'!$H$8,"")</f>
        <v/>
      </c>
      <c r="CP163" s="518" t="str">
        <f>IF(AND(_A6="A-330-300",'2025'!$H$4="FO",'2025'!$H$2=CP157),'2025DATA'!$I$8,"")</f>
        <v/>
      </c>
      <c r="CQ163" s="518" t="str">
        <f>IF(AND(_A6="A-330-300",'2025'!$H$4="FO",'2025'!$H$2=CQ157),'2025DATA'!$J$8,"")</f>
        <v/>
      </c>
      <c r="CR163" s="518" t="str">
        <f>IF(AND(_A6="A-330-300",'2025'!$H$4="FO",'2025'!$H$2=CR157),'2025DATA'!$K$8,"")</f>
        <v/>
      </c>
      <c r="CS163" s="518" t="str">
        <f>IF(AND(_A6="A-330-300",'2025'!$H$4="FO",'2025'!$H$2=CS157),'2025DATA'!$L$8,"")</f>
        <v/>
      </c>
      <c r="CT163" s="518" t="str">
        <f>IF(AND(_A6="A-330-300",'2025'!$H$4="FO",'2025'!$H$2=CT157),'2025DATA'!$M$8,"")</f>
        <v/>
      </c>
      <c r="CU163" s="520" t="str">
        <f>IF(AND(_A6="A-330-300",'2025'!$H$4="FO",'2025'!$H$2=CU157),'2025DATA'!$N$8,"")</f>
        <v/>
      </c>
    </row>
    <row r="164" spans="16:99" x14ac:dyDescent="0.25">
      <c r="P164" s="940" t="s">
        <v>66</v>
      </c>
      <c r="Q164" s="13" t="s">
        <v>61</v>
      </c>
      <c r="R164" s="518" t="str">
        <f>IF(AND(_A1="A-330-200",'2025'!$H$4="CA",'2025'!$H$2=R157),'2025DATA'!$C$9,"")</f>
        <v/>
      </c>
      <c r="S164" s="518" t="str">
        <f>IF(AND(_A1="A-330-200",'2025'!$H$4="CA",'2025'!$H$2=S157),'2025DATA'!$D$9,"")</f>
        <v/>
      </c>
      <c r="T164" s="518" t="str">
        <f>IF(AND(_A1="A-330-200",'2025'!$H$4="CA",'2025'!$H$2=T157),'2025DATA'!$E$9,"")</f>
        <v/>
      </c>
      <c r="U164" s="518" t="str">
        <f>IF(AND(_A1="A-330-200",'2025'!$H$4="CA",'2025'!$H$2=U157),'2025DATA'!$F$9,"")</f>
        <v/>
      </c>
      <c r="V164" s="518" t="str">
        <f>IF(AND(_A1="A-330-200",'2025'!$H$4="CA",'2025'!$H$2=V157),'2025DATA'!$G$9,"")</f>
        <v/>
      </c>
      <c r="W164" s="518" t="str">
        <f>IF(AND(_A1="A-330-200",'2025'!$H$4="CA",'2025'!$H$2=W157),'2025DATA'!$H$9,"")</f>
        <v/>
      </c>
      <c r="X164" s="518" t="str">
        <f>IF(AND(_A1="A-330-200",'2025'!$H$4="CA",'2025'!$H$2=X157),'2025DATA'!$I$9,"")</f>
        <v/>
      </c>
      <c r="Y164" s="518" t="str">
        <f>IF(AND(_A1="A-330-200",'2025'!$H$4="CA",'2025'!$H$2=Y157),'2025DATA'!$J$9,"")</f>
        <v/>
      </c>
      <c r="Z164" s="518" t="str">
        <f>IF(AND(_A1="A-330-200",'2025'!$H$4="CA",'2025'!$H$2=Z157),'2025DATA'!$K$9,"")</f>
        <v/>
      </c>
      <c r="AA164" s="518" t="str">
        <f>IF(AND(_A1="A-330-200",'2025'!$H$4="CA",'2025'!$H$2=AA157),'2025DATA'!$L$9,"")</f>
        <v/>
      </c>
      <c r="AB164" s="518" t="str">
        <f>IF(AND(_A1="A-330-200",'2025'!$H$4="CA",'2025'!$H$2=AB157),'2025DATA'!$M$9,"")</f>
        <v/>
      </c>
      <c r="AC164" s="520" t="str">
        <f>IF(AND(_A1="A-330-200",'2025'!$H$4="CA",'2025'!$H$2=AC157),'2025DATA'!$N$9,"")</f>
        <v/>
      </c>
      <c r="AD164" s="940" t="s">
        <v>66</v>
      </c>
      <c r="AE164" s="13" t="s">
        <v>61</v>
      </c>
      <c r="AF164" s="518" t="str">
        <f>IF(AND(_A2="A-330-200",'2025'!$H$4="CA",'2025'!$H$2=AF157),'2025DATA'!$C$9,"")</f>
        <v/>
      </c>
      <c r="AG164" s="518" t="str">
        <f>IF(AND(_A2="A-330-200",'2025'!$H$4="CA",'2025'!$H$2=AG157),'2025DATA'!$D$9,"")</f>
        <v/>
      </c>
      <c r="AH164" s="518" t="str">
        <f>IF(AND(_A2="A-330-200",'2025'!$H$4="CA",'2025'!$H$2=AH157),'2025DATA'!$E$9,"")</f>
        <v/>
      </c>
      <c r="AI164" s="518" t="str">
        <f>IF(AND(_A2="A-330-200",'2025'!$H$4="CA",'2025'!$H$2=AI157),'2025DATA'!$F$9,"")</f>
        <v/>
      </c>
      <c r="AJ164" s="518" t="str">
        <f>IF(AND(_A2="A-330-200",'2025'!$H$4="CA",'2025'!$H$2=AJ157),'2025DATA'!$G$9,"")</f>
        <v/>
      </c>
      <c r="AK164" s="518" t="str">
        <f>IF(AND(_A2="A-330-200",'2025'!$H$4="CA",'2025'!$H$2=AK157),'2025DATA'!$H$9,"")</f>
        <v/>
      </c>
      <c r="AL164" s="518" t="str">
        <f>IF(AND(_A2="A-330-200",'2025'!$H$4="CA",'2025'!$H$2=AL157),'2025DATA'!$I$9,"")</f>
        <v/>
      </c>
      <c r="AM164" s="518" t="str">
        <f>IF(AND(_A2="A-330-200",'2025'!$H$4="CA",'2025'!$H$2=AM157),'2025DATA'!$J$9,"")</f>
        <v/>
      </c>
      <c r="AN164" s="518" t="str">
        <f>IF(AND(_A2="A-330-200",'2025'!$H$4="CA",'2025'!$H$2=AN157),'2025DATA'!$K$9,"")</f>
        <v/>
      </c>
      <c r="AO164" s="518" t="str">
        <f>IF(AND(_A2="A-330-200",'2025'!$H$4="CA",'2025'!$H$2=AO157),'2025DATA'!$L$9,"")</f>
        <v/>
      </c>
      <c r="AP164" s="518" t="str">
        <f>IF(AND(_A2="A-330-200",'2025'!$H$4="CA",'2025'!$H$2=AP157),'2025DATA'!$M$9,"")</f>
        <v/>
      </c>
      <c r="AQ164" s="520" t="str">
        <f>IF(AND(_A2="A-330-200",'2025'!$H$4="CA",'2025'!$H$2=AQ157),'2025DATA'!$N$9,"")</f>
        <v/>
      </c>
      <c r="AR164" s="940" t="s">
        <v>66</v>
      </c>
      <c r="AS164" s="13" t="s">
        <v>61</v>
      </c>
      <c r="AT164" s="518" t="str">
        <f>IF(AND(_A3="A-330-200",'2025'!$H$4="CA",'2025'!$H$2=AT157),'2025DATA'!$C$9,"")</f>
        <v/>
      </c>
      <c r="AU164" s="518" t="str">
        <f>IF(AND(_A3="A-330-200",'2025'!$H$4="CA",'2025'!$H$2=AU157),'2025DATA'!$D$9,"")</f>
        <v/>
      </c>
      <c r="AV164" s="518" t="str">
        <f>IF(AND(_A3="A-330-200",'2025'!$H$4="CA",'2025'!$H$2=AV157),'2025DATA'!$E$9,"")</f>
        <v/>
      </c>
      <c r="AW164" s="518" t="str">
        <f>IF(AND(_A3="A-330-200",'2025'!$H$4="CA",'2025'!$H$2=AW157),'2025DATA'!$F$9,"")</f>
        <v/>
      </c>
      <c r="AX164" s="518" t="str">
        <f>IF(AND(_A3="A-330-200",'2025'!$H$4="CA",'2025'!$H$2=AX157),'2025DATA'!$G$9,"")</f>
        <v/>
      </c>
      <c r="AY164" s="518" t="str">
        <f>IF(AND(_A3="A-330-200",'2025'!$H$4="CA",'2025'!$H$2=AY157),'2025DATA'!$H$9,"")</f>
        <v/>
      </c>
      <c r="AZ164" s="518" t="str">
        <f>IF(AND(_A3="A-330-200",'2025'!$H$4="CA",'2025'!$H$2=AZ157),'2025DATA'!$I$9,"")</f>
        <v/>
      </c>
      <c r="BA164" s="518" t="str">
        <f>IF(AND(_A3="A-330-200",'2025'!$H$4="CA",'2025'!$H$2=BA157),'2025DATA'!$J$9,"")</f>
        <v/>
      </c>
      <c r="BB164" s="518" t="str">
        <f>IF(AND(_A3="A-330-200",'2025'!$H$4="CA",'2025'!$H$2=BB157),'2025DATA'!$K$9,"")</f>
        <v/>
      </c>
      <c r="BC164" s="518" t="str">
        <f>IF(AND(_A3="A-330-200",'2025'!$H$4="CA",'2025'!$H$2=BC157),'2025DATA'!$L$9,"")</f>
        <v/>
      </c>
      <c r="BD164" s="518" t="str">
        <f>IF(AND(_A3="A-330-200",'2025'!$H$4="CA",'2025'!$H$2=BD157),'2025DATA'!$M$9,"")</f>
        <v/>
      </c>
      <c r="BE164" s="520" t="str">
        <f>IF(AND(_A3="A-330-200",'2025'!$H$4="CA",'2025'!$H$2=BE157),'2025DATA'!$N$9,"")</f>
        <v/>
      </c>
      <c r="BF164" s="940" t="s">
        <v>66</v>
      </c>
      <c r="BG164" s="13" t="s">
        <v>61</v>
      </c>
      <c r="BH164" s="518" t="str">
        <f>IF(AND(_A4="A-330-200",'2025'!$H$4="CA",'2025'!$H$2=BH157),'2025DATA'!$C$9,"")</f>
        <v/>
      </c>
      <c r="BI164" s="518" t="str">
        <f>IF(AND(_A4="A-330-200",'2025'!$H$4="CA",'2025'!$H$2=BI157),'2025DATA'!$D$9,"")</f>
        <v/>
      </c>
      <c r="BJ164" s="518" t="str">
        <f>IF(AND(_A4="A-330-200",'2025'!$H$4="CA",'2025'!$H$2=BJ157),'2025DATA'!$E$9,"")</f>
        <v/>
      </c>
      <c r="BK164" s="518" t="str">
        <f>IF(AND(_A4="A-330-200",'2025'!$H$4="CA",'2025'!$H$2=BK157),'2025DATA'!$F$9,"")</f>
        <v/>
      </c>
      <c r="BL164" s="518" t="str">
        <f>IF(AND(_A4="A-330-200",'2025'!$H$4="CA",'2025'!$H$2=BL157),'2025DATA'!$G$9,"")</f>
        <v/>
      </c>
      <c r="BM164" s="518" t="str">
        <f>IF(AND(_A4="A-330-200",'2025'!$H$4="CA",'2025'!$H$2=BM157),'2025DATA'!$H$9,"")</f>
        <v/>
      </c>
      <c r="BN164" s="518" t="str">
        <f>IF(AND(_A4="A-330-200",'2025'!$H$4="CA",'2025'!$H$2=BN157),'2025DATA'!$I$9,"")</f>
        <v/>
      </c>
      <c r="BO164" s="518" t="str">
        <f>IF(AND(_A4="A-330-200",'2025'!$H$4="CA",'2025'!$H$2=BO157),'2025DATA'!$J$9,"")</f>
        <v/>
      </c>
      <c r="BP164" s="518" t="str">
        <f>IF(AND(_A4="A-330-200",'2025'!$H$4="CA",'2025'!$H$2=BP157),'2025DATA'!$K$9,"")</f>
        <v/>
      </c>
      <c r="BQ164" s="518" t="str">
        <f>IF(AND(_A4="A-330-200",'2025'!$H$4="CA",'2025'!$H$2=BQ157),'2025DATA'!$L$9,"")</f>
        <v/>
      </c>
      <c r="BR164" s="518" t="str">
        <f>IF(AND(_A4="A-330-200",'2025'!$H$4="CA",'2025'!$H$2=BR157),'2025DATA'!$M$9,"")</f>
        <v/>
      </c>
      <c r="BS164" s="520" t="str">
        <f>IF(AND(_A4="A-330-200",'2025'!$H$4="CA",'2025'!$H$2=BS157),'2025DATA'!$N$9,"")</f>
        <v/>
      </c>
      <c r="BT164" s="940" t="s">
        <v>66</v>
      </c>
      <c r="BU164" s="13" t="s">
        <v>61</v>
      </c>
      <c r="BV164" s="518" t="str">
        <f>IF(AND(_A5="A-330-200",'2025'!$H$4="CA",'2025'!$H$2=BV157),'2025DATA'!$C$9,"")</f>
        <v/>
      </c>
      <c r="BW164" s="518" t="str">
        <f>IF(AND(_A5="A-330-200",'2025'!$H$4="CA",'2025'!$H$2=BW157),'2025DATA'!$D$9,"")</f>
        <v/>
      </c>
      <c r="BX164" s="518" t="str">
        <f>IF(AND(_A5="A-330-200",'2025'!$H$4="CA",'2025'!$H$2=BX157),'2025DATA'!$E$9,"")</f>
        <v/>
      </c>
      <c r="BY164" s="518" t="str">
        <f>IF(AND(_A5="A-330-200",'2025'!$H$4="CA",'2025'!$H$2=BY157),'2025DATA'!$F$9,"")</f>
        <v/>
      </c>
      <c r="BZ164" s="518" t="str">
        <f>IF(AND(_A5="A-330-200",'2025'!$H$4="CA",'2025'!$H$2=BZ157),'2025DATA'!$G$9,"")</f>
        <v/>
      </c>
      <c r="CA164" s="518" t="str">
        <f>IF(AND(_A5="A-330-200",'2025'!$H$4="CA",'2025'!$H$2=CA157),'2025DATA'!$H$9,"")</f>
        <v/>
      </c>
      <c r="CB164" s="518" t="str">
        <f>IF(AND(_A5="A-330-200",'2025'!$H$4="CA",'2025'!$H$2=CB157),'2025DATA'!$I$9,"")</f>
        <v/>
      </c>
      <c r="CC164" s="518" t="str">
        <f>IF(AND(_A5="A-330-200",'2025'!$H$4="CA",'2025'!$H$2=CC157),'2025DATA'!$J$9,"")</f>
        <v/>
      </c>
      <c r="CD164" s="518" t="str">
        <f>IF(AND(_A5="A-330-200",'2025'!$H$4="CA",'2025'!$H$2=CD157),'2025DATA'!$K$9,"")</f>
        <v/>
      </c>
      <c r="CE164" s="518" t="str">
        <f>IF(AND(_A5="A-330-200",'2025'!$H$4="CA",'2025'!$H$2=CE157),'2025DATA'!$L$9,"")</f>
        <v/>
      </c>
      <c r="CF164" s="518" t="str">
        <f>IF(AND(_A5="A-330-200",'2025'!$H$4="CA",'2025'!$H$2=CF157),'2025DATA'!$M$9,"")</f>
        <v/>
      </c>
      <c r="CG164" s="520" t="str">
        <f>IF(AND(_A5="A-330-200",'2025'!$H$4="CA",'2025'!$H$2=CG157),'2025DATA'!$N$9,"")</f>
        <v/>
      </c>
      <c r="CH164" s="940" t="s">
        <v>66</v>
      </c>
      <c r="CI164" s="13" t="s">
        <v>61</v>
      </c>
      <c r="CJ164" s="518" t="str">
        <f>IF(AND(_A6="A-330-200",'2025'!$H$4="CA",'2025'!$H$2=CJ157),'2025DATA'!$C$9,"")</f>
        <v/>
      </c>
      <c r="CK164" s="518" t="str">
        <f>IF(AND(_A6="A-330-200",'2025'!$H$4="CA",'2025'!$H$2=CK157),'2025DATA'!$D$9,"")</f>
        <v/>
      </c>
      <c r="CL164" s="518" t="str">
        <f>IF(AND(_A6="A-330-200",'2025'!$H$4="CA",'2025'!$H$2=CL157),'2025DATA'!$E$9,"")</f>
        <v/>
      </c>
      <c r="CM164" s="518" t="str">
        <f>IF(AND(_A6="A-330-200",'2025'!$H$4="CA",'2025'!$H$2=CM157),'2025DATA'!$F$9,"")</f>
        <v/>
      </c>
      <c r="CN164" s="518" t="str">
        <f>IF(AND(_A6="A-330-200",'2025'!$H$4="CA",'2025'!$H$2=CN157),'2025DATA'!$G$9,"")</f>
        <v/>
      </c>
      <c r="CO164" s="518" t="str">
        <f>IF(AND(_A6="A-330-200",'2025'!$H$4="CA",'2025'!$H$2=CO157),'2025DATA'!$H$9,"")</f>
        <v/>
      </c>
      <c r="CP164" s="518" t="str">
        <f>IF(AND(_A6="A-330-200",'2025'!$H$4="CA",'2025'!$H$2=CP157),'2025DATA'!$I$9,"")</f>
        <v/>
      </c>
      <c r="CQ164" s="518" t="str">
        <f>IF(AND(_A6="A-330-200",'2025'!$H$4="CA",'2025'!$H$2=CQ157),'2025DATA'!$J$9,"")</f>
        <v/>
      </c>
      <c r="CR164" s="518" t="str">
        <f>IF(AND(_A6="A-330-200",'2025'!$H$4="CA",'2025'!$H$2=CR157),'2025DATA'!$K$9,"")</f>
        <v/>
      </c>
      <c r="CS164" s="518" t="str">
        <f>IF(AND(_A6="A-330-200",'2025'!$H$4="CA",'2025'!$H$2=CS157),'2025DATA'!$L$9,"")</f>
        <v/>
      </c>
      <c r="CT164" s="518" t="str">
        <f>IF(AND(_A6="A-330-200",'2025'!$H$4="CA",'2025'!$H$2=CT157),'2025DATA'!$M$9,"")</f>
        <v/>
      </c>
      <c r="CU164" s="520" t="str">
        <f>IF(AND(_A6="A-330-200",'2025'!$H$4="CA",'2025'!$H$2=CU157),'2025DATA'!$N$9,"")</f>
        <v/>
      </c>
    </row>
    <row r="165" spans="16:99" x14ac:dyDescent="0.25">
      <c r="P165" s="940"/>
      <c r="Q165" s="13" t="s">
        <v>62</v>
      </c>
      <c r="R165" s="518" t="str">
        <f>IF(AND(_A1="A-330-200",'2025'!$H$4="FO",'2025'!$H$2=R157),'2025DATA'!$C$10,"")</f>
        <v/>
      </c>
      <c r="S165" s="518" t="str">
        <f>IF(AND(_A1="A-330-200",'2025'!$H$4="FO",'2025'!$H$2=S157),'2025DATA'!$D$10,"")</f>
        <v/>
      </c>
      <c r="T165" s="518" t="str">
        <f>IF(AND(_A1="A-330-200",'2025'!$H$4="FO",'2025'!$H$2=T157),'2025DATA'!$E$10,"")</f>
        <v/>
      </c>
      <c r="U165" s="518" t="str">
        <f>IF(AND(_A1="A-330-200",'2025'!$H$4="FO",'2025'!$H$2=U157),'2025DATA'!$F$10,"")</f>
        <v/>
      </c>
      <c r="V165" s="518" t="str">
        <f>IF(AND(_A1="A-330-200",'2025'!$H$4="FO",'2025'!$H$2=V157),'2025DATA'!$G$10,"")</f>
        <v/>
      </c>
      <c r="W165" s="518" t="str">
        <f>IF(AND(_A1="A-330-200",'2025'!$H$4="FO",'2025'!$H$2=W157),'2025DATA'!$H$10,"")</f>
        <v/>
      </c>
      <c r="X165" s="518" t="str">
        <f>IF(AND(_A1="A-330-200",'2025'!$H$4="FO",'2025'!$H$2=X157),'2025DATA'!$I$10,"")</f>
        <v/>
      </c>
      <c r="Y165" s="518" t="str">
        <f>IF(AND(_A1="A-330-200",'2025'!$H$4="FO",'2025'!$H$2=Y157),'2025DATA'!$J$10,"")</f>
        <v/>
      </c>
      <c r="Z165" s="518" t="str">
        <f>IF(AND(_A1="A-330-200",'2025'!$H$4="FO",'2025'!$H$2=Z157),'2025DATA'!$K$10,"")</f>
        <v/>
      </c>
      <c r="AA165" s="518" t="str">
        <f>IF(AND(_A1="A-330-200",'2025'!$H$4="FO",'2025'!$H$2=AA157),'2025DATA'!$L$10,"")</f>
        <v/>
      </c>
      <c r="AB165" s="518" t="str">
        <f>IF(AND(_A1="A-330-200",'2025'!$H$4="FO",'2025'!$H$2=AB157),'2025DATA'!$M$10,"")</f>
        <v/>
      </c>
      <c r="AC165" s="520" t="str">
        <f>IF(AND(_A1="A-330-200",'2025'!$H$4="FO",'2025'!$H$2=AC157),'2025DATA'!$N$10,"")</f>
        <v/>
      </c>
      <c r="AD165" s="940"/>
      <c r="AE165" s="13" t="s">
        <v>62</v>
      </c>
      <c r="AF165" s="518" t="str">
        <f>IF(AND(_A2="A-330-200",'2025'!$H$4="FO",'2025'!$H$2=AF157),'2025DATA'!$C$10,"")</f>
        <v/>
      </c>
      <c r="AG165" s="518" t="str">
        <f>IF(AND(_A2="A-330-200",'2025'!$H$4="FO",'2025'!$H$2=AG157),'2025DATA'!$D$10,"")</f>
        <v/>
      </c>
      <c r="AH165" s="518" t="str">
        <f>IF(AND(_A2="A-330-200",'2025'!$H$4="FO",'2025'!$H$2=AH157),'2025DATA'!$E$10,"")</f>
        <v/>
      </c>
      <c r="AI165" s="518" t="str">
        <f>IF(AND(_A2="A-330-200",'2025'!$H$4="FO",'2025'!$H$2=AI157),'2025DATA'!$F$10,"")</f>
        <v/>
      </c>
      <c r="AJ165" s="518" t="str">
        <f>IF(AND(_A2="A-330-200",'2025'!$H$4="FO",'2025'!$H$2=AJ157),'2025DATA'!$G$10,"")</f>
        <v/>
      </c>
      <c r="AK165" s="518" t="str">
        <f>IF(AND(_A2="A-330-200",'2025'!$H$4="FO",'2025'!$H$2=AK157),'2025DATA'!$H$10,"")</f>
        <v/>
      </c>
      <c r="AL165" s="518" t="str">
        <f>IF(AND(_A2="A-330-200",'2025'!$H$4="FO",'2025'!$H$2=AL157),'2025DATA'!$I$10,"")</f>
        <v/>
      </c>
      <c r="AM165" s="518" t="str">
        <f>IF(AND(_A2="A-330-200",'2025'!$H$4="FO",'2025'!$H$2=AM157),'2025DATA'!$J$10,"")</f>
        <v/>
      </c>
      <c r="AN165" s="518" t="str">
        <f>IF(AND(_A2="A-330-200",'2025'!$H$4="FO",'2025'!$H$2=AN157),'2025DATA'!$K$10,"")</f>
        <v/>
      </c>
      <c r="AO165" s="518" t="str">
        <f>IF(AND(_A2="A-330-200",'2025'!$H$4="FO",'2025'!$H$2=AO157),'2025DATA'!$L$10,"")</f>
        <v/>
      </c>
      <c r="AP165" s="518" t="str">
        <f>IF(AND(_A2="A-330-200",'2025'!$H$4="FO",'2025'!$H$2=AP157),'2025DATA'!$M$10,"")</f>
        <v/>
      </c>
      <c r="AQ165" s="520" t="str">
        <f>IF(AND(_A2="A-330-200",'2025'!$H$4="FO",'2025'!$H$2=AQ157),'2025DATA'!$N$10,"")</f>
        <v/>
      </c>
      <c r="AR165" s="940"/>
      <c r="AS165" s="13" t="s">
        <v>62</v>
      </c>
      <c r="AT165" s="518" t="str">
        <f>IF(AND(_A3="A-330-200",'2025'!$H$4="FO",'2025'!$H$2=AT157),'2025DATA'!$C$10,"")</f>
        <v/>
      </c>
      <c r="AU165" s="518" t="str">
        <f>IF(AND(_A3="A-330-200",'2025'!$H$4="FO",'2025'!$H$2=AU157),'2025DATA'!$D$10,"")</f>
        <v/>
      </c>
      <c r="AV165" s="518" t="str">
        <f>IF(AND(_A3="A-330-200",'2025'!$H$4="FO",'2025'!$H$2=AV157),'2025DATA'!$E$10,"")</f>
        <v/>
      </c>
      <c r="AW165" s="518" t="str">
        <f>IF(AND(_A3="A-330-200",'2025'!$H$4="FO",'2025'!$H$2=AW157),'2025DATA'!$F$10,"")</f>
        <v/>
      </c>
      <c r="AX165" s="518" t="str">
        <f>IF(AND(_A3="A-330-200",'2025'!$H$4="FO",'2025'!$H$2=AX157),'2025DATA'!$G$10,"")</f>
        <v/>
      </c>
      <c r="AY165" s="518" t="str">
        <f>IF(AND(_A3="A-330-200",'2025'!$H$4="FO",'2025'!$H$2=AY157),'2025DATA'!$H$10,"")</f>
        <v/>
      </c>
      <c r="AZ165" s="518" t="str">
        <f>IF(AND(_A3="A-330-200",'2025'!$H$4="FO",'2025'!$H$2=AZ157),'2025DATA'!$I$10,"")</f>
        <v/>
      </c>
      <c r="BA165" s="518" t="str">
        <f>IF(AND(_A3="A-330-200",'2025'!$H$4="FO",'2025'!$H$2=BA157),'2025DATA'!$J$10,"")</f>
        <v/>
      </c>
      <c r="BB165" s="518" t="str">
        <f>IF(AND(_A3="A-330-200",'2025'!$H$4="FO",'2025'!$H$2=BB157),'2025DATA'!$K$10,"")</f>
        <v/>
      </c>
      <c r="BC165" s="518" t="str">
        <f>IF(AND(_A3="A-330-200",'2025'!$H$4="FO",'2025'!$H$2=BC157),'2025DATA'!$L$10,"")</f>
        <v/>
      </c>
      <c r="BD165" s="518" t="str">
        <f>IF(AND(_A3="A-330-200",'2025'!$H$4="FO",'2025'!$H$2=BD157),'2025DATA'!$M$10,"")</f>
        <v/>
      </c>
      <c r="BE165" s="520" t="str">
        <f>IF(AND(_A3="A-330-200",'2025'!$H$4="FO",'2025'!$H$2=BE157),'2025DATA'!$N$10,"")</f>
        <v/>
      </c>
      <c r="BF165" s="940"/>
      <c r="BG165" s="13" t="s">
        <v>62</v>
      </c>
      <c r="BH165" s="518" t="str">
        <f>IF(AND(_A4="A-330-200",'2025'!$H$4="FO",'2025'!$H$2=BH157),'2025DATA'!$C$10,"")</f>
        <v/>
      </c>
      <c r="BI165" s="518" t="str">
        <f>IF(AND(_A4="A-330-200",'2025'!$H$4="FO",'2025'!$H$2=BI157),'2025DATA'!$D$10,"")</f>
        <v/>
      </c>
      <c r="BJ165" s="518" t="str">
        <f>IF(AND(_A4="A-330-200",'2025'!$H$4="FO",'2025'!$H$2=BJ157),'2025DATA'!$E$10,"")</f>
        <v/>
      </c>
      <c r="BK165" s="518" t="str">
        <f>IF(AND(_A4="A-330-200",'2025'!$H$4="FO",'2025'!$H$2=BK157),'2025DATA'!$F$10,"")</f>
        <v/>
      </c>
      <c r="BL165" s="518" t="str">
        <f>IF(AND(_A4="A-330-200",'2025'!$H$4="FO",'2025'!$H$2=BL157),'2025DATA'!$G$10,"")</f>
        <v/>
      </c>
      <c r="BM165" s="518" t="str">
        <f>IF(AND(_A4="A-330-200",'2025'!$H$4="FO",'2025'!$H$2=BM157),'2025DATA'!$H$10,"")</f>
        <v/>
      </c>
      <c r="BN165" s="518" t="str">
        <f>IF(AND(_A4="A-330-200",'2025'!$H$4="FO",'2025'!$H$2=BN157),'2025DATA'!$I$10,"")</f>
        <v/>
      </c>
      <c r="BO165" s="518" t="str">
        <f>IF(AND(_A4="A-330-200",'2025'!$H$4="FO",'2025'!$H$2=BO157),'2025DATA'!$J$10,"")</f>
        <v/>
      </c>
      <c r="BP165" s="518" t="str">
        <f>IF(AND(_A4="A-330-200",'2025'!$H$4="FO",'2025'!$H$2=BP157),'2025DATA'!$K$10,"")</f>
        <v/>
      </c>
      <c r="BQ165" s="518" t="str">
        <f>IF(AND(_A4="A-330-200",'2025'!$H$4="FO",'2025'!$H$2=BQ157),'2025DATA'!$L$10,"")</f>
        <v/>
      </c>
      <c r="BR165" s="518" t="str">
        <f>IF(AND(_A4="A-330-200",'2025'!$H$4="FO",'2025'!$H$2=BR157),'2025DATA'!$M$10,"")</f>
        <v/>
      </c>
      <c r="BS165" s="520" t="str">
        <f>IF(AND(_A4="A-330-200",'2025'!$H$4="FO",'2025'!$H$2=BS157),'2025DATA'!$N$10,"")</f>
        <v/>
      </c>
      <c r="BT165" s="940"/>
      <c r="BU165" s="13" t="s">
        <v>62</v>
      </c>
      <c r="BV165" s="518" t="str">
        <f>IF(AND(_A5="A-330-200",'2025'!$H$4="FO",'2025'!$H$2=BV157),'2025DATA'!$C$10,"")</f>
        <v/>
      </c>
      <c r="BW165" s="518" t="str">
        <f>IF(AND(_A5="A-330-200",'2025'!$H$4="FO",'2025'!$H$2=BW157),'2025DATA'!$D$10,"")</f>
        <v/>
      </c>
      <c r="BX165" s="518" t="str">
        <f>IF(AND(_A5="A-330-200",'2025'!$H$4="FO",'2025'!$H$2=BX157),'2025DATA'!$E$10,"")</f>
        <v/>
      </c>
      <c r="BY165" s="518" t="str">
        <f>IF(AND(_A5="A-330-200",'2025'!$H$4="FO",'2025'!$H$2=BY157),'2025DATA'!$F$10,"")</f>
        <v/>
      </c>
      <c r="BZ165" s="518" t="str">
        <f>IF(AND(_A5="A-330-200",'2025'!$H$4="FO",'2025'!$H$2=BZ157),'2025DATA'!$G$10,"")</f>
        <v/>
      </c>
      <c r="CA165" s="518" t="str">
        <f>IF(AND(_A5="A-330-200",'2025'!$H$4="FO",'2025'!$H$2=CA157),'2025DATA'!$H$10,"")</f>
        <v/>
      </c>
      <c r="CB165" s="518" t="str">
        <f>IF(AND(_A5="A-330-200",'2025'!$H$4="FO",'2025'!$H$2=CB157),'2025DATA'!$I$10,"")</f>
        <v/>
      </c>
      <c r="CC165" s="518" t="str">
        <f>IF(AND(_A5="A-330-200",'2025'!$H$4="FO",'2025'!$H$2=CC157),'2025DATA'!$J$10,"")</f>
        <v/>
      </c>
      <c r="CD165" s="518" t="str">
        <f>IF(AND(_A5="A-330-200",'2025'!$H$4="FO",'2025'!$H$2=CD157),'2025DATA'!$K$10,"")</f>
        <v/>
      </c>
      <c r="CE165" s="518" t="str">
        <f>IF(AND(_A5="A-330-200",'2025'!$H$4="FO",'2025'!$H$2=CE157),'2025DATA'!$L$10,"")</f>
        <v/>
      </c>
      <c r="CF165" s="518" t="str">
        <f>IF(AND(_A5="A-330-200",'2025'!$H$4="FO",'2025'!$H$2=CF157),'2025DATA'!$M$10,"")</f>
        <v/>
      </c>
      <c r="CG165" s="520" t="str">
        <f>IF(AND(_A5="A-330-200",'2025'!$H$4="FO",'2025'!$H$2=CG157),'2025DATA'!$N$10,"")</f>
        <v/>
      </c>
      <c r="CH165" s="940"/>
      <c r="CI165" s="13" t="s">
        <v>62</v>
      </c>
      <c r="CJ165" s="518" t="str">
        <f>IF(AND(_A6="A-330-200",'2025'!$H$4="FO",'2025'!$H$2=CJ157),'2025DATA'!$C$10,"")</f>
        <v/>
      </c>
      <c r="CK165" s="518" t="str">
        <f>IF(AND(_A6="A-330-200",'2025'!$H$4="FO",'2025'!$H$2=CK157),'2025DATA'!$D$10,"")</f>
        <v/>
      </c>
      <c r="CL165" s="518" t="str">
        <f>IF(AND(_A6="A-330-200",'2025'!$H$4="FO",'2025'!$H$2=CL157),'2025DATA'!$E$10,"")</f>
        <v/>
      </c>
      <c r="CM165" s="518" t="str">
        <f>IF(AND(_A6="A-330-200",'2025'!$H$4="FO",'2025'!$H$2=CM157),'2025DATA'!$F$10,"")</f>
        <v/>
      </c>
      <c r="CN165" s="518" t="str">
        <f>IF(AND(_A6="A-330-200",'2025'!$H$4="FO",'2025'!$H$2=CN157),'2025DATA'!$G$10,"")</f>
        <v/>
      </c>
      <c r="CO165" s="518" t="str">
        <f>IF(AND(_A6="A-330-200",'2025'!$H$4="FO",'2025'!$H$2=CO157),'2025DATA'!$H$10,"")</f>
        <v/>
      </c>
      <c r="CP165" s="518" t="str">
        <f>IF(AND(_A6="A-330-200",'2025'!$H$4="FO",'2025'!$H$2=CP157),'2025DATA'!$I$10,"")</f>
        <v/>
      </c>
      <c r="CQ165" s="518" t="str">
        <f>IF(AND(_A6="A-330-200",'2025'!$H$4="FO",'2025'!$H$2=CQ157),'2025DATA'!$J$10,"")</f>
        <v/>
      </c>
      <c r="CR165" s="518" t="str">
        <f>IF(AND(_A6="A-330-200",'2025'!$H$4="FO",'2025'!$H$2=CR157),'2025DATA'!$K$10,"")</f>
        <v/>
      </c>
      <c r="CS165" s="518" t="str">
        <f>IF(AND(_A6="A-330-200",'2025'!$H$4="FO",'2025'!$H$2=CS157),'2025DATA'!$L$10,"")</f>
        <v/>
      </c>
      <c r="CT165" s="518" t="str">
        <f>IF(AND(_A6="A-330-200",'2025'!$H$4="FO",'2025'!$H$2=CT157),'2025DATA'!$M$10,"")</f>
        <v/>
      </c>
      <c r="CU165" s="520" t="str">
        <f>IF(AND(_A6="A-330-200",'2025'!$H$4="FO",'2025'!$H$2=CU157),'2025DATA'!$N$10,"")</f>
        <v/>
      </c>
    </row>
    <row r="166" spans="16:99" x14ac:dyDescent="0.25">
      <c r="P166" s="940" t="s">
        <v>42</v>
      </c>
      <c r="Q166" s="13" t="s">
        <v>61</v>
      </c>
      <c r="R166" s="518" t="str">
        <f>IF(AND(_A1="B-767-400ER",'2025'!$H$4="CA",'2025'!$H$2=R157),'2025DATA'!$C$11,"")</f>
        <v/>
      </c>
      <c r="S166" s="518" t="str">
        <f>IF(AND(_A1="B-767-400ER",'2025'!$H$4="CA",'2025'!$H$2=S157),'2025DATA'!$D$11,"")</f>
        <v/>
      </c>
      <c r="T166" s="518" t="str">
        <f>IF(AND(_A1="B-767-400ER",'2025'!$H$4="CA",'2025'!$H$2=T157),'2025DATA'!$E$11,"")</f>
        <v/>
      </c>
      <c r="U166" s="518" t="str">
        <f>IF(AND(_A1="B-767-400ER",'2025'!$H$4="CA",'2025'!$H$2=U157),'2025DATA'!$F$11,"")</f>
        <v/>
      </c>
      <c r="V166" s="518" t="str">
        <f>IF(AND(_A1="B-767-400ER",'2025'!$H$4="CA",'2025'!$H$2=V157),'2025DATA'!$G$11,"")</f>
        <v/>
      </c>
      <c r="W166" s="518" t="str">
        <f>IF(AND(_A1="B-767-400ER",'2025'!$H$4="CA",'2025'!$H$2=W157),'2025DATA'!$H$11,"")</f>
        <v/>
      </c>
      <c r="X166" s="518" t="str">
        <f>IF(AND(_A1="B-767-400ER",'2025'!$H$4="CA",'2025'!$H$2=X157),'2025DATA'!$I$11,"")</f>
        <v/>
      </c>
      <c r="Y166" s="518" t="str">
        <f>IF(AND(_A1="B-767-400ER",'2025'!$H$4="CA",'2025'!$H$2=Y157),'2025DATA'!$J$11,"")</f>
        <v/>
      </c>
      <c r="Z166" s="518" t="str">
        <f>IF(AND(_A1="B-767-400ER",'2025'!$H$4="CA",'2025'!$H$2=Z157),'2025DATA'!$K$11,"")</f>
        <v/>
      </c>
      <c r="AA166" s="518" t="str">
        <f>IF(AND(_A1="B-767-400ER",'2025'!$H$4="CA",'2025'!$H$2=AA157),'2025DATA'!$L$11,"")</f>
        <v/>
      </c>
      <c r="AB166" s="518" t="str">
        <f>IF(AND(_A1="B-767-400ER",'2025'!$H$4="CA",'2025'!$H$2=AB157),'2025DATA'!$M$11,"")</f>
        <v/>
      </c>
      <c r="AC166" s="520" t="str">
        <f>IF(AND(_A1="B-767-400ER",'2025'!$H$4="CA",'2025'!$H$2=AC157),'2025DATA'!$N$11,"")</f>
        <v/>
      </c>
      <c r="AD166" s="940" t="s">
        <v>42</v>
      </c>
      <c r="AE166" s="13" t="s">
        <v>61</v>
      </c>
      <c r="AF166" s="518" t="str">
        <f>IF(AND(_A2="B-767-400ER",'2025'!$H$4="CA",'2025'!$H$2=AF157),'2025DATA'!$C$11,"")</f>
        <v/>
      </c>
      <c r="AG166" s="518" t="str">
        <f>IF(AND(_A2="B-767-400ER",'2025'!$H$4="CA",'2025'!$H$2=AG157),'2025DATA'!$D$11,"")</f>
        <v/>
      </c>
      <c r="AH166" s="518" t="str">
        <f>IF(AND(_A2="B-767-400ER",'2025'!$H$4="CA",'2025'!$H$2=AH157),'2025DATA'!$E$11,"")</f>
        <v/>
      </c>
      <c r="AI166" s="518" t="str">
        <f>IF(AND(_A2="B-767-400ER",'2025'!$H$4="CA",'2025'!$H$2=AI157),'2025DATA'!$F$11,"")</f>
        <v/>
      </c>
      <c r="AJ166" s="518" t="str">
        <f>IF(AND(_A2="B-767-400ER",'2025'!$H$4="CA",'2025'!$H$2=AJ157),'2025DATA'!$G$11,"")</f>
        <v/>
      </c>
      <c r="AK166" s="518" t="str">
        <f>IF(AND(_A2="B-767-400ER",'2025'!$H$4="CA",'2025'!$H$2=AK157),'2025DATA'!$H$11,"")</f>
        <v/>
      </c>
      <c r="AL166" s="518" t="str">
        <f>IF(AND(_A2="B-767-400ER",'2025'!$H$4="CA",'2025'!$H$2=AL157),'2025DATA'!$I$11,"")</f>
        <v/>
      </c>
      <c r="AM166" s="518" t="str">
        <f>IF(AND(_A2="B-767-400ER",'2025'!$H$4="CA",'2025'!$H$2=AM157),'2025DATA'!$J$11,"")</f>
        <v/>
      </c>
      <c r="AN166" s="518" t="str">
        <f>IF(AND(_A2="B-767-400ER",'2025'!$H$4="CA",'2025'!$H$2=AN157),'2025DATA'!$K$11,"")</f>
        <v/>
      </c>
      <c r="AO166" s="518" t="str">
        <f>IF(AND(_A2="B-767-400ER",'2025'!$H$4="CA",'2025'!$H$2=AO157),'2025DATA'!$L$11,"")</f>
        <v/>
      </c>
      <c r="AP166" s="518" t="str">
        <f>IF(AND(_A2="B-767-400ER",'2025'!$H$4="CA",'2025'!$H$2=AP157),'2025DATA'!$M$11,"")</f>
        <v/>
      </c>
      <c r="AQ166" s="520" t="str">
        <f>IF(AND(_A2="B-767-400ER",'2025'!$H$4="CA",'2025'!$H$2=AQ157),'2025DATA'!$N$11,"")</f>
        <v/>
      </c>
      <c r="AR166" s="940" t="s">
        <v>42</v>
      </c>
      <c r="AS166" s="13" t="s">
        <v>61</v>
      </c>
      <c r="AT166" s="518" t="str">
        <f>IF(AND(_A3="B-767-400ER",'2025'!$H$4="CA",'2025'!$H$2=AT157),'2025DATA'!$C$11,"")</f>
        <v/>
      </c>
      <c r="AU166" s="518" t="str">
        <f>IF(AND(_A3="B-767-400ER",'2025'!$H$4="CA",'2025'!$H$2=AU157),'2025DATA'!$D$11,"")</f>
        <v/>
      </c>
      <c r="AV166" s="518" t="str">
        <f>IF(AND(_A3="B-767-400ER",'2025'!$H$4="CA",'2025'!$H$2=AV157),'2025DATA'!$E$11,"")</f>
        <v/>
      </c>
      <c r="AW166" s="518" t="str">
        <f>IF(AND(_A3="B-767-400ER",'2025'!$H$4="CA",'2025'!$H$2=AW157),'2025DATA'!$F$11,"")</f>
        <v/>
      </c>
      <c r="AX166" s="518" t="str">
        <f>IF(AND(_A3="B-767-400ER",'2025'!$H$4="CA",'2025'!$H$2=AX157),'2025DATA'!$G$11,"")</f>
        <v/>
      </c>
      <c r="AY166" s="518" t="str">
        <f>IF(AND(_A3="B-767-400ER",'2025'!$H$4="CA",'2025'!$H$2=AY157),'2025DATA'!$H$11,"")</f>
        <v/>
      </c>
      <c r="AZ166" s="518" t="str">
        <f>IF(AND(_A3="B-767-400ER",'2025'!$H$4="CA",'2025'!$H$2=AZ157),'2025DATA'!$I$11,"")</f>
        <v/>
      </c>
      <c r="BA166" s="518" t="str">
        <f>IF(AND(_A3="B-767-400ER",'2025'!$H$4="CA",'2025'!$H$2=BA157),'2025DATA'!$J$11,"")</f>
        <v/>
      </c>
      <c r="BB166" s="518" t="str">
        <f>IF(AND(_A3="B-767-400ER",'2025'!$H$4="CA",'2025'!$H$2=BB157),'2025DATA'!$K$11,"")</f>
        <v/>
      </c>
      <c r="BC166" s="518" t="str">
        <f>IF(AND(_A3="B-767-400ER",'2025'!$H$4="CA",'2025'!$H$2=BC157),'2025DATA'!$L$11,"")</f>
        <v/>
      </c>
      <c r="BD166" s="518" t="str">
        <f>IF(AND(_A3="B-767-400ER",'2025'!$H$4="CA",'2025'!$H$2=BD157),'2025DATA'!$M$11,"")</f>
        <v/>
      </c>
      <c r="BE166" s="520" t="str">
        <f>IF(AND(_A3="B-767-400ER",'2025'!$H$4="CA",'2025'!$H$2=BE157),'2025DATA'!$N$11,"")</f>
        <v/>
      </c>
      <c r="BF166" s="940" t="s">
        <v>42</v>
      </c>
      <c r="BG166" s="13" t="s">
        <v>61</v>
      </c>
      <c r="BH166" s="518" t="str">
        <f>IF(AND(_A4="B-767-400ER",'2025'!$H$4="CA",'2025'!$H$2=BH157),'2025DATA'!$C$11,"")</f>
        <v/>
      </c>
      <c r="BI166" s="518" t="str">
        <f>IF(AND(_A4="B-767-400ER",'2025'!$H$4="CA",'2025'!$H$2=BI157),'2025DATA'!$D$11,"")</f>
        <v/>
      </c>
      <c r="BJ166" s="518" t="str">
        <f>IF(AND(_A4="B-767-400ER",'2025'!$H$4="CA",'2025'!$H$2=BJ157),'2025DATA'!$E$11,"")</f>
        <v/>
      </c>
      <c r="BK166" s="518" t="str">
        <f>IF(AND(_A4="B-767-400ER",'2025'!$H$4="CA",'2025'!$H$2=BK157),'2025DATA'!$F$11,"")</f>
        <v/>
      </c>
      <c r="BL166" s="518" t="str">
        <f>IF(AND(_A4="B-767-400ER",'2025'!$H$4="CA",'2025'!$H$2=BL157),'2025DATA'!$G$11,"")</f>
        <v/>
      </c>
      <c r="BM166" s="518" t="str">
        <f>IF(AND(_A4="B-767-400ER",'2025'!$H$4="CA",'2025'!$H$2=BM157),'2025DATA'!$H$11,"")</f>
        <v/>
      </c>
      <c r="BN166" s="518" t="str">
        <f>IF(AND(_A4="B-767-400ER",'2025'!$H$4="CA",'2025'!$H$2=BN157),'2025DATA'!$I$11,"")</f>
        <v/>
      </c>
      <c r="BO166" s="518" t="str">
        <f>IF(AND(_A4="B-767-400ER",'2025'!$H$4="CA",'2025'!$H$2=BO157),'2025DATA'!$J$11,"")</f>
        <v/>
      </c>
      <c r="BP166" s="518" t="str">
        <f>IF(AND(_A4="B-767-400ER",'2025'!$H$4="CA",'2025'!$H$2=BP157),'2025DATA'!$K$11,"")</f>
        <v/>
      </c>
      <c r="BQ166" s="518" t="str">
        <f>IF(AND(_A4="B-767-400ER",'2025'!$H$4="CA",'2025'!$H$2=BQ157),'2025DATA'!$L$11,"")</f>
        <v/>
      </c>
      <c r="BR166" s="518" t="str">
        <f>IF(AND(_A4="B-767-400ER",'2025'!$H$4="CA",'2025'!$H$2=BR157),'2025DATA'!$M$11,"")</f>
        <v/>
      </c>
      <c r="BS166" s="520" t="str">
        <f>IF(AND(_A4="B-767-400ER",'2025'!$H$4="CA",'2025'!$H$2=BS157),'2025DATA'!$N$11,"")</f>
        <v/>
      </c>
      <c r="BT166" s="940" t="s">
        <v>42</v>
      </c>
      <c r="BU166" s="13" t="s">
        <v>61</v>
      </c>
      <c r="BV166" s="518" t="str">
        <f>IF(AND(_A5="B-767-400ER",'2025'!$H$4="CA",'2025'!$H$2=BV157),'2025DATA'!$C$11,"")</f>
        <v/>
      </c>
      <c r="BW166" s="518" t="str">
        <f>IF(AND(_A5="B-767-400ER",'2025'!$H$4="CA",'2025'!$H$2=BW157),'2025DATA'!$D$11,"")</f>
        <v/>
      </c>
      <c r="BX166" s="518" t="str">
        <f>IF(AND(_A5="B-767-400ER",'2025'!$H$4="CA",'2025'!$H$2=BX157),'2025DATA'!$E$11,"")</f>
        <v/>
      </c>
      <c r="BY166" s="518" t="str">
        <f>IF(AND(_A5="B-767-400ER",'2025'!$H$4="CA",'2025'!$H$2=BY157),'2025DATA'!$F$11,"")</f>
        <v/>
      </c>
      <c r="BZ166" s="518" t="str">
        <f>IF(AND(_A5="B-767-400ER",'2025'!$H$4="CA",'2025'!$H$2=BZ157),'2025DATA'!$G$11,"")</f>
        <v/>
      </c>
      <c r="CA166" s="518" t="str">
        <f>IF(AND(_A5="B-767-400ER",'2025'!$H$4="CA",'2025'!$H$2=CA157),'2025DATA'!$H$11,"")</f>
        <v/>
      </c>
      <c r="CB166" s="518" t="str">
        <f>IF(AND(_A5="B-767-400ER",'2025'!$H$4="CA",'2025'!$H$2=CB157),'2025DATA'!$I$11,"")</f>
        <v/>
      </c>
      <c r="CC166" s="518" t="str">
        <f>IF(AND(_A5="B-767-400ER",'2025'!$H$4="CA",'2025'!$H$2=CC157),'2025DATA'!$J$11,"")</f>
        <v/>
      </c>
      <c r="CD166" s="518" t="str">
        <f>IF(AND(_A5="B-767-400ER",'2025'!$H$4="CA",'2025'!$H$2=CD157),'2025DATA'!$K$11,"")</f>
        <v/>
      </c>
      <c r="CE166" s="518" t="str">
        <f>IF(AND(_A5="B-767-400ER",'2025'!$H$4="CA",'2025'!$H$2=CE157),'2025DATA'!$L$11,"")</f>
        <v/>
      </c>
      <c r="CF166" s="518" t="str">
        <f>IF(AND(_A5="B-767-400ER",'2025'!$H$4="CA",'2025'!$H$2=CF157),'2025DATA'!$M$11,"")</f>
        <v/>
      </c>
      <c r="CG166" s="520" t="str">
        <f>IF(AND(_A5="B-767-400ER",'2025'!$H$4="CA",'2025'!$H$2=CG157),'2025DATA'!$N$11,"")</f>
        <v/>
      </c>
      <c r="CH166" s="940" t="s">
        <v>42</v>
      </c>
      <c r="CI166" s="13" t="s">
        <v>61</v>
      </c>
      <c r="CJ166" s="518" t="str">
        <f>IF(AND(_A6="B-767-400ER",'2025'!$H$4="CA",'2025'!$H$2=CJ157),'2025DATA'!$C$11,"")</f>
        <v/>
      </c>
      <c r="CK166" s="518" t="str">
        <f>IF(AND(_A6="B-767-400ER",'2025'!$H$4="CA",'2025'!$H$2=CK157),'2025DATA'!$D$11,"")</f>
        <v/>
      </c>
      <c r="CL166" s="518" t="str">
        <f>IF(AND(_A6="B-767-400ER",'2025'!$H$4="CA",'2025'!$H$2=CL157),'2025DATA'!$E$11,"")</f>
        <v/>
      </c>
      <c r="CM166" s="518" t="str">
        <f>IF(AND(_A6="B-767-400ER",'2025'!$H$4="CA",'2025'!$H$2=CM157),'2025DATA'!$F$11,"")</f>
        <v/>
      </c>
      <c r="CN166" s="518" t="str">
        <f>IF(AND(_A6="B-767-400ER",'2025'!$H$4="CA",'2025'!$H$2=CN157),'2025DATA'!$G$11,"")</f>
        <v/>
      </c>
      <c r="CO166" s="518" t="str">
        <f>IF(AND(_A6="B-767-400ER",'2025'!$H$4="CA",'2025'!$H$2=CO157),'2025DATA'!$H$11,"")</f>
        <v/>
      </c>
      <c r="CP166" s="518" t="str">
        <f>IF(AND(_A6="B-767-400ER",'2025'!$H$4="CA",'2025'!$H$2=CP157),'2025DATA'!$I$11,"")</f>
        <v/>
      </c>
      <c r="CQ166" s="518" t="str">
        <f>IF(AND(_A6="B-767-400ER",'2025'!$H$4="CA",'2025'!$H$2=CQ157),'2025DATA'!$J$11,"")</f>
        <v/>
      </c>
      <c r="CR166" s="518" t="str">
        <f>IF(AND(_A6="B-767-400ER",'2025'!$H$4="CA",'2025'!$H$2=CR157),'2025DATA'!$K$11,"")</f>
        <v/>
      </c>
      <c r="CS166" s="518" t="str">
        <f>IF(AND(_A6="B-767-400ER",'2025'!$H$4="CA",'2025'!$H$2=CS157),'2025DATA'!$L$11,"")</f>
        <v/>
      </c>
      <c r="CT166" s="518" t="str">
        <f>IF(AND(_A6="B-767-400ER",'2025'!$H$4="CA",'2025'!$H$2=CT157),'2025DATA'!$M$11,"")</f>
        <v/>
      </c>
      <c r="CU166" s="520" t="str">
        <f>IF(AND(_A6="B-767-400ER",'2025'!$H$4="CA",'2025'!$H$2=CU157),'2025DATA'!$N$11,"")</f>
        <v/>
      </c>
    </row>
    <row r="167" spans="16:99" x14ac:dyDescent="0.25">
      <c r="P167" s="940"/>
      <c r="Q167" s="13" t="s">
        <v>62</v>
      </c>
      <c r="R167" s="518" t="str">
        <f>IF(AND(_A1="B-767-400ER",'2025'!$H$4="FO",'2025'!$H$2=R157),'2025DATA'!$C$12,"")</f>
        <v/>
      </c>
      <c r="S167" s="518" t="str">
        <f>IF(AND(_A1="B-767-400ER",'2025'!$H$4="FO",'2025'!$H$2=S157),'2025DATA'!$D$12,"")</f>
        <v/>
      </c>
      <c r="T167" s="518" t="str">
        <f>IF(AND(_A1="B-767-400ER",'2025'!$H$4="FO",'2025'!$H$2=T157),'2025DATA'!$E$12,"")</f>
        <v/>
      </c>
      <c r="U167" s="518" t="str">
        <f>IF(AND(_A1="B-767-400ER",'2025'!$H$4="FO",'2025'!$H$2=U157),'2025DATA'!$F$12,"")</f>
        <v/>
      </c>
      <c r="V167" s="518" t="str">
        <f>IF(AND(_A1="B-767-400ER",'2025'!$H$4="FO",'2025'!$H$2=V157),'2025DATA'!$G$12,"")</f>
        <v/>
      </c>
      <c r="W167" s="518" t="str">
        <f>IF(AND(_A1="B-767-400ER",'2025'!$H$4="FO",'2025'!$H$2=W157),'2025DATA'!$H$12,"")</f>
        <v/>
      </c>
      <c r="X167" s="518" t="str">
        <f>IF(AND(_A1="B-767-400ER",'2025'!$H$4="FO",'2025'!$H$2=X157),'2025DATA'!$I$12,"")</f>
        <v/>
      </c>
      <c r="Y167" s="518" t="str">
        <f>IF(AND(_A1="B-767-400ER",'2025'!$H$4="FO",'2025'!$H$2=Y157),'2025DATA'!$J$12,"")</f>
        <v/>
      </c>
      <c r="Z167" s="518" t="str">
        <f>IF(AND(_A1="B-767-400ER",'2025'!$H$4="FO",'2025'!$H$2=Z157),'2025DATA'!$K$12,"")</f>
        <v/>
      </c>
      <c r="AA167" s="518" t="str">
        <f>IF(AND(_A1="B-767-400ER",'2025'!$H$4="FO",'2025'!$H$2=AA157),'2025DATA'!$L$12,"")</f>
        <v/>
      </c>
      <c r="AB167" s="518" t="str">
        <f>IF(AND(_A1="B-767-400ER",'2025'!$H$4="FO",'2025'!$H$2=AB157),'2025DATA'!$M$12,"")</f>
        <v/>
      </c>
      <c r="AC167" s="520" t="str">
        <f>IF(AND(_A1="B-767-400ER",'2025'!$H$4="FO",'2025'!$H$2=AC157),'2025DATA'!$N$12,"")</f>
        <v/>
      </c>
      <c r="AD167" s="940"/>
      <c r="AE167" s="13" t="s">
        <v>62</v>
      </c>
      <c r="AF167" s="518" t="str">
        <f>IF(AND(_A2="B-767-400ER",'2025'!$H$4="FO",'2025'!$H$2=AF157),'2025DATA'!$C$12,"")</f>
        <v/>
      </c>
      <c r="AG167" s="518" t="str">
        <f>IF(AND(_A2="B-767-400ER",'2025'!$H$4="FO",'2025'!$H$2=AG157),'2025DATA'!$D$12,"")</f>
        <v/>
      </c>
      <c r="AH167" s="518" t="str">
        <f>IF(AND(_A2="B-767-400ER",'2025'!$H$4="FO",'2025'!$H$2=AH157),'2025DATA'!$E$12,"")</f>
        <v/>
      </c>
      <c r="AI167" s="518" t="str">
        <f>IF(AND(_A2="B-767-400ER",'2025'!$H$4="FO",'2025'!$H$2=AI157),'2025DATA'!$F$12,"")</f>
        <v/>
      </c>
      <c r="AJ167" s="518" t="str">
        <f>IF(AND(_A2="B-767-400ER",'2025'!$H$4="FO",'2025'!$H$2=AJ157),'2025DATA'!$G$12,"")</f>
        <v/>
      </c>
      <c r="AK167" s="518" t="str">
        <f>IF(AND(_A2="B-767-400ER",'2025'!$H$4="FO",'2025'!$H$2=AK157),'2025DATA'!$H$12,"")</f>
        <v/>
      </c>
      <c r="AL167" s="518" t="str">
        <f>IF(AND(_A2="B-767-400ER",'2025'!$H$4="FO",'2025'!$H$2=AL157),'2025DATA'!$I$12,"")</f>
        <v/>
      </c>
      <c r="AM167" s="518" t="str">
        <f>IF(AND(_A2="B-767-400ER",'2025'!$H$4="FO",'2025'!$H$2=AM157),'2025DATA'!$J$12,"")</f>
        <v/>
      </c>
      <c r="AN167" s="518" t="str">
        <f>IF(AND(_A2="B-767-400ER",'2025'!$H$4="FO",'2025'!$H$2=AN157),'2025DATA'!$K$12,"")</f>
        <v/>
      </c>
      <c r="AO167" s="518" t="str">
        <f>IF(AND(_A2="B-767-400ER",'2025'!$H$4="FO",'2025'!$H$2=AO157),'2025DATA'!$L$12,"")</f>
        <v/>
      </c>
      <c r="AP167" s="518" t="str">
        <f>IF(AND(_A2="B-767-400ER",'2025'!$H$4="FO",'2025'!$H$2=AP157),'2025DATA'!$M$12,"")</f>
        <v/>
      </c>
      <c r="AQ167" s="520" t="str">
        <f>IF(AND(_A2="B-767-400ER",'2025'!$H$4="FO",'2025'!$H$2=AQ157),'2025DATA'!$N$12,"")</f>
        <v/>
      </c>
      <c r="AR167" s="940"/>
      <c r="AS167" s="13" t="s">
        <v>62</v>
      </c>
      <c r="AT167" s="518" t="str">
        <f>IF(AND(_A3="B-767-400ER",'2025'!$H$4="FO",'2025'!$H$2=AT157),'2025DATA'!$C$12,"")</f>
        <v/>
      </c>
      <c r="AU167" s="518" t="str">
        <f>IF(AND(_A3="B-767-400ER",'2025'!$H$4="FO",'2025'!$H$2=AU157),'2025DATA'!$D$12,"")</f>
        <v/>
      </c>
      <c r="AV167" s="518" t="str">
        <f>IF(AND(_A3="B-767-400ER",'2025'!$H$4="FO",'2025'!$H$2=AV157),'2025DATA'!$E$12,"")</f>
        <v/>
      </c>
      <c r="AW167" s="518" t="str">
        <f>IF(AND(_A3="B-767-400ER",'2025'!$H$4="FO",'2025'!$H$2=AW157),'2025DATA'!$F$12,"")</f>
        <v/>
      </c>
      <c r="AX167" s="518" t="str">
        <f>IF(AND(_A3="B-767-400ER",'2025'!$H$4="FO",'2025'!$H$2=AX157),'2025DATA'!$G$12,"")</f>
        <v/>
      </c>
      <c r="AY167" s="518" t="str">
        <f>IF(AND(_A3="B-767-400ER",'2025'!$H$4="FO",'2025'!$H$2=AY157),'2025DATA'!$H$12,"")</f>
        <v/>
      </c>
      <c r="AZ167" s="518" t="str">
        <f>IF(AND(_A3="B-767-400ER",'2025'!$H$4="FO",'2025'!$H$2=AZ157),'2025DATA'!$I$12,"")</f>
        <v/>
      </c>
      <c r="BA167" s="518" t="str">
        <f>IF(AND(_A3="B-767-400ER",'2025'!$H$4="FO",'2025'!$H$2=BA157),'2025DATA'!$J$12,"")</f>
        <v/>
      </c>
      <c r="BB167" s="518" t="str">
        <f>IF(AND(_A3="B-767-400ER",'2025'!$H$4="FO",'2025'!$H$2=BB157),'2025DATA'!$K$12,"")</f>
        <v/>
      </c>
      <c r="BC167" s="518" t="str">
        <f>IF(AND(_A3="B-767-400ER",'2025'!$H$4="FO",'2025'!$H$2=BC157),'2025DATA'!$L$12,"")</f>
        <v/>
      </c>
      <c r="BD167" s="518" t="str">
        <f>IF(AND(_A3="B-767-400ER",'2025'!$H$4="FO",'2025'!$H$2=BD157),'2025DATA'!$M$12,"")</f>
        <v/>
      </c>
      <c r="BE167" s="520" t="str">
        <f>IF(AND(_A3="B-767-400ER",'2025'!$H$4="FO",'2025'!$H$2=BE157),'2025DATA'!$N$12,"")</f>
        <v/>
      </c>
      <c r="BF167" s="940"/>
      <c r="BG167" s="13" t="s">
        <v>62</v>
      </c>
      <c r="BH167" s="518" t="str">
        <f>IF(AND(_A4="B-767-400ER",'2025'!$H$4="FO",'2025'!$H$2=BH157),'2025DATA'!$C$12,"")</f>
        <v/>
      </c>
      <c r="BI167" s="518" t="str">
        <f>IF(AND(_A4="B-767-400ER",'2025'!$H$4="FO",'2025'!$H$2=BI157),'2025DATA'!$D$12,"")</f>
        <v/>
      </c>
      <c r="BJ167" s="518" t="str">
        <f>IF(AND(_A4="B-767-400ER",'2025'!$H$4="FO",'2025'!$H$2=BJ157),'2025DATA'!$E$12,"")</f>
        <v/>
      </c>
      <c r="BK167" s="518" t="str">
        <f>IF(AND(_A4="B-767-400ER",'2025'!$H$4="FO",'2025'!$H$2=BK157),'2025DATA'!$F$12,"")</f>
        <v/>
      </c>
      <c r="BL167" s="518" t="str">
        <f>IF(AND(_A4="B-767-400ER",'2025'!$H$4="FO",'2025'!$H$2=BL157),'2025DATA'!$G$12,"")</f>
        <v/>
      </c>
      <c r="BM167" s="518" t="str">
        <f>IF(AND(_A4="B-767-400ER",'2025'!$H$4="FO",'2025'!$H$2=BM157),'2025DATA'!$H$12,"")</f>
        <v/>
      </c>
      <c r="BN167" s="518" t="str">
        <f>IF(AND(_A4="B-767-400ER",'2025'!$H$4="FO",'2025'!$H$2=BN157),'2025DATA'!$I$12,"")</f>
        <v/>
      </c>
      <c r="BO167" s="518" t="str">
        <f>IF(AND(_A4="B-767-400ER",'2025'!$H$4="FO",'2025'!$H$2=BO157),'2025DATA'!$J$12,"")</f>
        <v/>
      </c>
      <c r="BP167" s="518" t="str">
        <f>IF(AND(_A4="B-767-400ER",'2025'!$H$4="FO",'2025'!$H$2=BP157),'2025DATA'!$K$12,"")</f>
        <v/>
      </c>
      <c r="BQ167" s="518" t="str">
        <f>IF(AND(_A4="B-767-400ER",'2025'!$H$4="FO",'2025'!$H$2=BQ157),'2025DATA'!$L$12,"")</f>
        <v/>
      </c>
      <c r="BR167" s="518" t="str">
        <f>IF(AND(_A4="B-767-400ER",'2025'!$H$4="FO",'2025'!$H$2=BR157),'2025DATA'!$M$12,"")</f>
        <v/>
      </c>
      <c r="BS167" s="520" t="str">
        <f>IF(AND(_A4="B-767-400ER",'2025'!$H$4="FO",'2025'!$H$2=BS157),'2025DATA'!$N$12,"")</f>
        <v/>
      </c>
      <c r="BT167" s="940"/>
      <c r="BU167" s="13" t="s">
        <v>62</v>
      </c>
      <c r="BV167" s="518" t="str">
        <f>IF(AND(_A5="B-767-400ER",'2025'!$H$4="FO",'2025'!$H$2=BV157),'2025DATA'!$C$12,"")</f>
        <v/>
      </c>
      <c r="BW167" s="518" t="str">
        <f>IF(AND(_A5="B-767-400ER",'2025'!$H$4="FO",'2025'!$H$2=BW157),'2025DATA'!$D$12,"")</f>
        <v/>
      </c>
      <c r="BX167" s="518" t="str">
        <f>IF(AND(_A5="B-767-400ER",'2025'!$H$4="FO",'2025'!$H$2=BX157),'2025DATA'!$E$12,"")</f>
        <v/>
      </c>
      <c r="BY167" s="518" t="str">
        <f>IF(AND(_A5="B-767-400ER",'2025'!$H$4="FO",'2025'!$H$2=BY157),'2025DATA'!$F$12,"")</f>
        <v/>
      </c>
      <c r="BZ167" s="518" t="str">
        <f>IF(AND(_A5="B-767-400ER",'2025'!$H$4="FO",'2025'!$H$2=BZ157),'2025DATA'!$G$12,"")</f>
        <v/>
      </c>
      <c r="CA167" s="518" t="str">
        <f>IF(AND(_A5="B-767-400ER",'2025'!$H$4="FO",'2025'!$H$2=CA157),'2025DATA'!$H$12,"")</f>
        <v/>
      </c>
      <c r="CB167" s="518" t="str">
        <f>IF(AND(_A5="B-767-400ER",'2025'!$H$4="FO",'2025'!$H$2=CB157),'2025DATA'!$I$12,"")</f>
        <v/>
      </c>
      <c r="CC167" s="518" t="str">
        <f>IF(AND(_A5="B-767-400ER",'2025'!$H$4="FO",'2025'!$H$2=CC157),'2025DATA'!$J$12,"")</f>
        <v/>
      </c>
      <c r="CD167" s="518" t="str">
        <f>IF(AND(_A5="B-767-400ER",'2025'!$H$4="FO",'2025'!$H$2=CD157),'2025DATA'!$K$12,"")</f>
        <v/>
      </c>
      <c r="CE167" s="518" t="str">
        <f>IF(AND(_A5="B-767-400ER",'2025'!$H$4="FO",'2025'!$H$2=CE157),'2025DATA'!$L$12,"")</f>
        <v/>
      </c>
      <c r="CF167" s="518" t="str">
        <f>IF(AND(_A5="B-767-400ER",'2025'!$H$4="FO",'2025'!$H$2=CF157),'2025DATA'!$M$12,"")</f>
        <v/>
      </c>
      <c r="CG167" s="520" t="str">
        <f>IF(AND(_A5="B-767-400ER",'2025'!$H$4="FO",'2025'!$H$2=CG157),'2025DATA'!$N$12,"")</f>
        <v/>
      </c>
      <c r="CH167" s="940"/>
      <c r="CI167" s="13" t="s">
        <v>62</v>
      </c>
      <c r="CJ167" s="518" t="str">
        <f>IF(AND(_A6="B-767-400ER",'2025'!$H$4="FO",'2025'!$H$2=CJ157),'2025DATA'!$C$12,"")</f>
        <v/>
      </c>
      <c r="CK167" s="518" t="str">
        <f>IF(AND(_A6="B-767-400ER",'2025'!$H$4="FO",'2025'!$H$2=CK157),'2025DATA'!$D$12,"")</f>
        <v/>
      </c>
      <c r="CL167" s="518" t="str">
        <f>IF(AND(_A6="B-767-400ER",'2025'!$H$4="FO",'2025'!$H$2=CL157),'2025DATA'!$E$12,"")</f>
        <v/>
      </c>
      <c r="CM167" s="518" t="str">
        <f>IF(AND(_A6="B-767-400ER",'2025'!$H$4="FO",'2025'!$H$2=CM157),'2025DATA'!$F$12,"")</f>
        <v/>
      </c>
      <c r="CN167" s="518" t="str">
        <f>IF(AND(_A6="B-767-400ER",'2025'!$H$4="FO",'2025'!$H$2=CN157),'2025DATA'!$G$12,"")</f>
        <v/>
      </c>
      <c r="CO167" s="518" t="str">
        <f>IF(AND(_A6="B-767-400ER",'2025'!$H$4="FO",'2025'!$H$2=CO157),'2025DATA'!$H$12,"")</f>
        <v/>
      </c>
      <c r="CP167" s="518" t="str">
        <f>IF(AND(_A6="B-767-400ER",'2025'!$H$4="FO",'2025'!$H$2=CP157),'2025DATA'!$I$12,"")</f>
        <v/>
      </c>
      <c r="CQ167" s="518" t="str">
        <f>IF(AND(_A6="B-767-400ER",'2025'!$H$4="FO",'2025'!$H$2=CQ157),'2025DATA'!$J$12,"")</f>
        <v/>
      </c>
      <c r="CR167" s="518" t="str">
        <f>IF(AND(_A6="B-767-400ER",'2025'!$H$4="FO",'2025'!$H$2=CR157),'2025DATA'!$K$12,"")</f>
        <v/>
      </c>
      <c r="CS167" s="518" t="str">
        <f>IF(AND(_A6="B-767-400ER",'2025'!$H$4="FO",'2025'!$H$2=CS157),'2025DATA'!$L$12,"")</f>
        <v/>
      </c>
      <c r="CT167" s="518" t="str">
        <f>IF(AND(_A6="B-767-400ER",'2025'!$H$4="FO",'2025'!$H$2=CT157),'2025DATA'!$M$12,"")</f>
        <v/>
      </c>
      <c r="CU167" s="520" t="str">
        <f>IF(AND(_A6="B-767-400ER",'2025'!$H$4="FO",'2025'!$H$2=CU157),'2025DATA'!$N$12,"")</f>
        <v/>
      </c>
    </row>
    <row r="168" spans="16:99" x14ac:dyDescent="0.25">
      <c r="P168" s="940" t="s">
        <v>43</v>
      </c>
      <c r="Q168" s="13" t="s">
        <v>61</v>
      </c>
      <c r="R168" s="518" t="str">
        <f>IF(AND(_A1="B-767-300ER",'2025'!$H$4="CA",'2025'!$H$2=R157),'2025DATA'!$C$13,"")</f>
        <v/>
      </c>
      <c r="S168" s="518" t="str">
        <f>IF(AND(_A1="B-767-300ER",'2025'!$H$4="CA",'2025'!$H$2=S157),'2025DATA'!$D$13,"")</f>
        <v/>
      </c>
      <c r="T168" s="518" t="str">
        <f>IF(AND(_A1="B-767-300ER",'2025'!$H$4="CA",'2025'!$H$2=T157),'2025DATA'!$E$13,"")</f>
        <v/>
      </c>
      <c r="U168" s="518" t="str">
        <f>IF(AND(_A1="B-767-300ER",'2025'!$H$4="CA",'2025'!$H$2=U157),'2025DATA'!$F$13,"")</f>
        <v/>
      </c>
      <c r="V168" s="518" t="str">
        <f>IF(AND(_A1="B-767-300ER",'2025'!$H$4="CA",'2025'!$H$2=V157),'2025DATA'!$G$13,"")</f>
        <v/>
      </c>
      <c r="W168" s="518" t="str">
        <f>IF(AND(_A1="B-767-300ER",'2025'!$H$4="CA",'2025'!$H$2=W157),'2025DATA'!$H$13,"")</f>
        <v/>
      </c>
      <c r="X168" s="518" t="str">
        <f>IF(AND(_A1="B-767-300ER",'2025'!$H$4="CA",'2025'!$H$2=X157),'2025DATA'!$I$13,"")</f>
        <v/>
      </c>
      <c r="Y168" s="518" t="str">
        <f>IF(AND(_A1="B-767-300ER",'2025'!$H$4="CA",'2025'!$H$2=Y157),'2025DATA'!$J$13,"")</f>
        <v/>
      </c>
      <c r="Z168" s="518" t="str">
        <f>IF(AND(_A1="B-767-300ER",'2025'!$H$4="CA",'2025'!$H$2=Z157),'2025DATA'!$K$13,"")</f>
        <v/>
      </c>
      <c r="AA168" s="518" t="str">
        <f>IF(AND(_A1="B-767-300ER",'2025'!$H$4="CA",'2025'!$H$2=AA157),'2025DATA'!$L$13,"")</f>
        <v/>
      </c>
      <c r="AB168" s="518" t="str">
        <f>IF(AND(_A1="B-767-300ER",'2025'!$H$4="CA",'2025'!$H$2=AB157),'2025DATA'!$M$13,"")</f>
        <v/>
      </c>
      <c r="AC168" s="520" t="str">
        <f>IF(AND(_A1="B-767-300ER",'2025'!$H$4="CA",'2025'!$H$2=AC157),'2025DATA'!$N$13,"")</f>
        <v/>
      </c>
      <c r="AD168" s="940" t="s">
        <v>43</v>
      </c>
      <c r="AE168" s="13" t="s">
        <v>61</v>
      </c>
      <c r="AF168" s="518" t="str">
        <f>IF(AND(_A2="B-767-300ER",'2025'!$H$4="CA",'2025'!$H$2=AF157),'2025DATA'!$C$13,"")</f>
        <v/>
      </c>
      <c r="AG168" s="518" t="str">
        <f>IF(AND(_A2="B-767-300ER",'2025'!$H$4="CA",'2025'!$H$2=AG157),'2025DATA'!$D$13,"")</f>
        <v/>
      </c>
      <c r="AH168" s="518" t="str">
        <f>IF(AND(_A2="B-767-300ER",'2025'!$H$4="CA",'2025'!$H$2=AH157),'2025DATA'!$E$13,"")</f>
        <v/>
      </c>
      <c r="AI168" s="518" t="str">
        <f>IF(AND(_A2="B-767-300ER",'2025'!$H$4="CA",'2025'!$H$2=AI157),'2025DATA'!$F$13,"")</f>
        <v/>
      </c>
      <c r="AJ168" s="518" t="str">
        <f>IF(AND(_A2="B-767-300ER",'2025'!$H$4="CA",'2025'!$H$2=AJ157),'2025DATA'!$G$13,"")</f>
        <v/>
      </c>
      <c r="AK168" s="518" t="str">
        <f>IF(AND(_A2="B-767-300ER",'2025'!$H$4="CA",'2025'!$H$2=AK157),'2025DATA'!$H$13,"")</f>
        <v/>
      </c>
      <c r="AL168" s="518" t="str">
        <f>IF(AND(_A2="B-767-300ER",'2025'!$H$4="CA",'2025'!$H$2=AL157),'2025DATA'!$I$13,"")</f>
        <v/>
      </c>
      <c r="AM168" s="518" t="str">
        <f>IF(AND(_A2="B-767-300ER",'2025'!$H$4="CA",'2025'!$H$2=AM157),'2025DATA'!$J$13,"")</f>
        <v/>
      </c>
      <c r="AN168" s="518" t="str">
        <f>IF(AND(_A2="B-767-300ER",'2025'!$H$4="CA",'2025'!$H$2=AN157),'2025DATA'!$K$13,"")</f>
        <v/>
      </c>
      <c r="AO168" s="518" t="str">
        <f>IF(AND(_A2="B-767-300ER",'2025'!$H$4="CA",'2025'!$H$2=AO157),'2025DATA'!$L$13,"")</f>
        <v/>
      </c>
      <c r="AP168" s="518" t="str">
        <f>IF(AND(_A2="B-767-300ER",'2025'!$H$4="CA",'2025'!$H$2=AP157),'2025DATA'!$M$13,"")</f>
        <v/>
      </c>
      <c r="AQ168" s="520" t="str">
        <f>IF(AND(_A2="B-767-300ER",'2025'!$H$4="CA",'2025'!$H$2=AQ157),'2025DATA'!$N$13,"")</f>
        <v/>
      </c>
      <c r="AR168" s="940" t="s">
        <v>43</v>
      </c>
      <c r="AS168" s="13" t="s">
        <v>61</v>
      </c>
      <c r="AT168" s="518" t="str">
        <f>IF(AND(_A3="B-767-300ER",'2025'!$H$4="CA",'2025'!$H$2=AT157),'2025DATA'!$C$13,"")</f>
        <v/>
      </c>
      <c r="AU168" s="518" t="str">
        <f>IF(AND(_A3="B-767-300ER",'2025'!$H$4="CA",'2025'!$H$2=AU157),'2025DATA'!$D$13,"")</f>
        <v/>
      </c>
      <c r="AV168" s="518" t="str">
        <f>IF(AND(_A3="B-767-300ER",'2025'!$H$4="CA",'2025'!$H$2=AV157),'2025DATA'!$E$13,"")</f>
        <v/>
      </c>
      <c r="AW168" s="518" t="str">
        <f>IF(AND(_A3="B-767-300ER",'2025'!$H$4="CA",'2025'!$H$2=AW157),'2025DATA'!$F$13,"")</f>
        <v/>
      </c>
      <c r="AX168" s="518" t="str">
        <f>IF(AND(_A3="B-767-300ER",'2025'!$H$4="CA",'2025'!$H$2=AX157),'2025DATA'!$G$13,"")</f>
        <v/>
      </c>
      <c r="AY168" s="518" t="str">
        <f>IF(AND(_A3="B-767-300ER",'2025'!$H$4="CA",'2025'!$H$2=AY157),'2025DATA'!$H$13,"")</f>
        <v/>
      </c>
      <c r="AZ168" s="518" t="str">
        <f>IF(AND(_A3="B-767-300ER",'2025'!$H$4="CA",'2025'!$H$2=AZ157),'2025DATA'!$I$13,"")</f>
        <v/>
      </c>
      <c r="BA168" s="518" t="str">
        <f>IF(AND(_A3="B-767-300ER",'2025'!$H$4="CA",'2025'!$H$2=BA157),'2025DATA'!$J$13,"")</f>
        <v/>
      </c>
      <c r="BB168" s="518" t="str">
        <f>IF(AND(_A3="B-767-300ER",'2025'!$H$4="CA",'2025'!$H$2=BB157),'2025DATA'!$K$13,"")</f>
        <v/>
      </c>
      <c r="BC168" s="518" t="str">
        <f>IF(AND(_A3="B-767-300ER",'2025'!$H$4="CA",'2025'!$H$2=BC157),'2025DATA'!$L$13,"")</f>
        <v/>
      </c>
      <c r="BD168" s="518" t="str">
        <f>IF(AND(_A3="B-767-300ER",'2025'!$H$4="CA",'2025'!$H$2=BD157),'2025DATA'!$M$13,"")</f>
        <v/>
      </c>
      <c r="BE168" s="520" t="str">
        <f>IF(AND(_A3="B-767-300ER",'2025'!$H$4="CA",'2025'!$H$2=BE157),'2025DATA'!$N$13,"")</f>
        <v/>
      </c>
      <c r="BF168" s="940" t="s">
        <v>43</v>
      </c>
      <c r="BG168" s="13" t="s">
        <v>61</v>
      </c>
      <c r="BH168" s="518" t="str">
        <f>IF(AND(_A4="B-767-300ER",'2025'!$H$4="CA",'2025'!$H$2=BH157),'2025DATA'!$C$13,"")</f>
        <v/>
      </c>
      <c r="BI168" s="518" t="str">
        <f>IF(AND(_A4="B-767-300ER",'2025'!$H$4="CA",'2025'!$H$2=BI157),'2025DATA'!$D$13,"")</f>
        <v/>
      </c>
      <c r="BJ168" s="518" t="str">
        <f>IF(AND(_A4="B-767-300ER",'2025'!$H$4="CA",'2025'!$H$2=BJ157),'2025DATA'!$E$13,"")</f>
        <v/>
      </c>
      <c r="BK168" s="518" t="str">
        <f>IF(AND(_A4="B-767-300ER",'2025'!$H$4="CA",'2025'!$H$2=BK157),'2025DATA'!$F$13,"")</f>
        <v/>
      </c>
      <c r="BL168" s="518" t="str">
        <f>IF(AND(_A4="B-767-300ER",'2025'!$H$4="CA",'2025'!$H$2=BL157),'2025DATA'!$G$13,"")</f>
        <v/>
      </c>
      <c r="BM168" s="518" t="str">
        <f>IF(AND(_A4="B-767-300ER",'2025'!$H$4="CA",'2025'!$H$2=BM157),'2025DATA'!$H$13,"")</f>
        <v/>
      </c>
      <c r="BN168" s="518" t="str">
        <f>IF(AND(_A4="B-767-300ER",'2025'!$H$4="CA",'2025'!$H$2=BN157),'2025DATA'!$I$13,"")</f>
        <v/>
      </c>
      <c r="BO168" s="518" t="str">
        <f>IF(AND(_A4="B-767-300ER",'2025'!$H$4="CA",'2025'!$H$2=BO157),'2025DATA'!$J$13,"")</f>
        <v/>
      </c>
      <c r="BP168" s="518" t="str">
        <f>IF(AND(_A4="B-767-300ER",'2025'!$H$4="CA",'2025'!$H$2=BP157),'2025DATA'!$K$13,"")</f>
        <v/>
      </c>
      <c r="BQ168" s="518" t="str">
        <f>IF(AND(_A4="B-767-300ER",'2025'!$H$4="CA",'2025'!$H$2=BQ157),'2025DATA'!$L$13,"")</f>
        <v/>
      </c>
      <c r="BR168" s="518" t="str">
        <f>IF(AND(_A4="B-767-300ER",'2025'!$H$4="CA",'2025'!$H$2=BR157),'2025DATA'!$M$13,"")</f>
        <v/>
      </c>
      <c r="BS168" s="520" t="str">
        <f>IF(AND(_A4="B-767-300ER",'2025'!$H$4="CA",'2025'!$H$2=BS157),'2025DATA'!$N$13,"")</f>
        <v/>
      </c>
      <c r="BT168" s="940" t="s">
        <v>43</v>
      </c>
      <c r="BU168" s="13" t="s">
        <v>61</v>
      </c>
      <c r="BV168" s="518" t="str">
        <f>IF(AND(_A5="B-767-300ER",'2025'!$H$4="CA",'2025'!$H$2=BV157),'2025DATA'!$C$13,"")</f>
        <v/>
      </c>
      <c r="BW168" s="518" t="str">
        <f>IF(AND(_A5="B-767-300ER",'2025'!$H$4="CA",'2025'!$H$2=BW157),'2025DATA'!$D$13,"")</f>
        <v/>
      </c>
      <c r="BX168" s="518" t="str">
        <f>IF(AND(_A5="B-767-300ER",'2025'!$H$4="CA",'2025'!$H$2=BX157),'2025DATA'!$E$13,"")</f>
        <v/>
      </c>
      <c r="BY168" s="518" t="str">
        <f>IF(AND(_A5="B-767-300ER",'2025'!$H$4="CA",'2025'!$H$2=BY157),'2025DATA'!$F$13,"")</f>
        <v/>
      </c>
      <c r="BZ168" s="518" t="str">
        <f>IF(AND(_A5="B-767-300ER",'2025'!$H$4="CA",'2025'!$H$2=BZ157),'2025DATA'!$G$13,"")</f>
        <v/>
      </c>
      <c r="CA168" s="518" t="str">
        <f>IF(AND(_A5="B-767-300ER",'2025'!$H$4="CA",'2025'!$H$2=CA157),'2025DATA'!$H$13,"")</f>
        <v/>
      </c>
      <c r="CB168" s="518" t="str">
        <f>IF(AND(_A5="B-767-300ER",'2025'!$H$4="CA",'2025'!$H$2=CB157),'2025DATA'!$I$13,"")</f>
        <v/>
      </c>
      <c r="CC168" s="518" t="str">
        <f>IF(AND(_A5="B-767-300ER",'2025'!$H$4="CA",'2025'!$H$2=CC157),'2025DATA'!$J$13,"")</f>
        <v/>
      </c>
      <c r="CD168" s="518" t="str">
        <f>IF(AND(_A5="B-767-300ER",'2025'!$H$4="CA",'2025'!$H$2=CD157),'2025DATA'!$K$13,"")</f>
        <v/>
      </c>
      <c r="CE168" s="518" t="str">
        <f>IF(AND(_A5="B-767-300ER",'2025'!$H$4="CA",'2025'!$H$2=CE157),'2025DATA'!$L$13,"")</f>
        <v/>
      </c>
      <c r="CF168" s="518" t="str">
        <f>IF(AND(_A5="B-767-300ER",'2025'!$H$4="CA",'2025'!$H$2=CF157),'2025DATA'!$M$13,"")</f>
        <v/>
      </c>
      <c r="CG168" s="520" t="str">
        <f>IF(AND(_A5="B-767-300ER",'2025'!$H$4="CA",'2025'!$H$2=CG157),'2025DATA'!$N$13,"")</f>
        <v/>
      </c>
      <c r="CH168" s="940" t="s">
        <v>43</v>
      </c>
      <c r="CI168" s="13" t="s">
        <v>61</v>
      </c>
      <c r="CJ168" s="518" t="str">
        <f>IF(AND(_A6="B-767-300ER",'2025'!$H$4="CA",'2025'!$H$2=CJ157),'2025DATA'!$C$13,"")</f>
        <v/>
      </c>
      <c r="CK168" s="518" t="str">
        <f>IF(AND(_A6="B-767-300ER",'2025'!$H$4="CA",'2025'!$H$2=CK157),'2025DATA'!$D$13,"")</f>
        <v/>
      </c>
      <c r="CL168" s="518" t="str">
        <f>IF(AND(_A6="B-767-300ER",'2025'!$H$4="CA",'2025'!$H$2=CL157),'2025DATA'!$E$13,"")</f>
        <v/>
      </c>
      <c r="CM168" s="518" t="str">
        <f>IF(AND(_A6="B-767-300ER",'2025'!$H$4="CA",'2025'!$H$2=CM157),'2025DATA'!$F$13,"")</f>
        <v/>
      </c>
      <c r="CN168" s="518" t="str">
        <f>IF(AND(_A6="B-767-300ER",'2025'!$H$4="CA",'2025'!$H$2=CN157),'2025DATA'!$G$13,"")</f>
        <v/>
      </c>
      <c r="CO168" s="518" t="str">
        <f>IF(AND(_A6="B-767-300ER",'2025'!$H$4="CA",'2025'!$H$2=CO157),'2025DATA'!$H$13,"")</f>
        <v/>
      </c>
      <c r="CP168" s="518" t="str">
        <f>IF(AND(_A6="B-767-300ER",'2025'!$H$4="CA",'2025'!$H$2=CP157),'2025DATA'!$I$13,"")</f>
        <v/>
      </c>
      <c r="CQ168" s="518" t="str">
        <f>IF(AND(_A6="B-767-300ER",'2025'!$H$4="CA",'2025'!$H$2=CQ157),'2025DATA'!$J$13,"")</f>
        <v/>
      </c>
      <c r="CR168" s="518" t="str">
        <f>IF(AND(_A6="B-767-300ER",'2025'!$H$4="CA",'2025'!$H$2=CR157),'2025DATA'!$K$13,"")</f>
        <v/>
      </c>
      <c r="CS168" s="518" t="str">
        <f>IF(AND(_A6="B-767-300ER",'2025'!$H$4="CA",'2025'!$H$2=CS157),'2025DATA'!$L$13,"")</f>
        <v/>
      </c>
      <c r="CT168" s="518" t="str">
        <f>IF(AND(_A6="B-767-300ER",'2025'!$H$4="CA",'2025'!$H$2=CT157),'2025DATA'!$M$13,"")</f>
        <v/>
      </c>
      <c r="CU168" s="520" t="str">
        <f>IF(AND(_A6="B-767-300ER",'2025'!$H$4="CA",'2025'!$H$2=CU157),'2025DATA'!$N$13,"")</f>
        <v/>
      </c>
    </row>
    <row r="169" spans="16:99" x14ac:dyDescent="0.25">
      <c r="P169" s="940"/>
      <c r="Q169" s="13" t="s">
        <v>62</v>
      </c>
      <c r="R169" s="518" t="str">
        <f>IF(AND(_A1="B-767-300ER",'2025'!$H$4="FO",'2025'!$H$2=R157),'2025DATA'!$C$14,"")</f>
        <v/>
      </c>
      <c r="S169" s="518" t="str">
        <f>IF(AND(_A1="B-767-300ER",'2025'!$H$4="FO",'2025'!$H$2=S157),'2025DATA'!$D$14,"")</f>
        <v/>
      </c>
      <c r="T169" s="518" t="str">
        <f>IF(AND(_A1="B-767-300ER",'2025'!$H$4="FO",'2025'!$H$2=T157),'2025DATA'!$E$14,"")</f>
        <v/>
      </c>
      <c r="U169" s="518" t="str">
        <f>IF(AND(_A1="B-767-300ER",'2025'!$H$4="FO",'2025'!$H$2=U157),'2025DATA'!$F$14,"")</f>
        <v/>
      </c>
      <c r="V169" s="518" t="str">
        <f>IF(AND(_A1="B-767-300ER",'2025'!$H$4="FO",'2025'!$H$2=V157),'2025DATA'!$G$14,"")</f>
        <v/>
      </c>
      <c r="W169" s="518" t="str">
        <f>IF(AND(_A1="B-767-300ER",'2025'!$H$4="FO",'2025'!$H$2=W157),'2025DATA'!$H$14,"")</f>
        <v/>
      </c>
      <c r="X169" s="518" t="str">
        <f>IF(AND(_A1="B-767-300ER",'2025'!$H$4="FO",'2025'!$H$2=X157),'2025DATA'!$I$14,"")</f>
        <v/>
      </c>
      <c r="Y169" s="518" t="str">
        <f>IF(AND(_A1="B-767-300ER",'2025'!$H$4="FO",'2025'!$H$2=Y157),'2025DATA'!$J$14,"")</f>
        <v/>
      </c>
      <c r="Z169" s="518" t="str">
        <f>IF(AND(_A1="B-767-300ER",'2025'!$H$4="FO",'2025'!$H$2=Z157),'2025DATA'!$K$14,"")</f>
        <v/>
      </c>
      <c r="AA169" s="518" t="str">
        <f>IF(AND(_A1="B-767-300ER",'2025'!$H$4="FO",'2025'!$H$2=AA157),'2025DATA'!$L$14,"")</f>
        <v/>
      </c>
      <c r="AB169" s="518" t="str">
        <f>IF(AND(_A1="B-767-300ER",'2025'!$H$4="FO",'2025'!$H$2=AB157),'2025DATA'!$M$14,"")</f>
        <v/>
      </c>
      <c r="AC169" s="520" t="str">
        <f>IF(AND(_A1="B-767-300ER",'2025'!$H$4="FO",'2025'!$H$2=AC157),'2025DATA'!$N$14,"")</f>
        <v/>
      </c>
      <c r="AD169" s="940"/>
      <c r="AE169" s="13" t="s">
        <v>62</v>
      </c>
      <c r="AF169" s="518" t="str">
        <f>IF(AND(_A2="B-767-300ER",'2025'!$H$4="FO",'2025'!$H$2=AF157),'2025DATA'!$C$14,"")</f>
        <v/>
      </c>
      <c r="AG169" s="518" t="str">
        <f>IF(AND(_A2="B-767-300ER",'2025'!$H$4="FO",'2025'!$H$2=AG157),'2025DATA'!$D$14,"")</f>
        <v/>
      </c>
      <c r="AH169" s="518" t="str">
        <f>IF(AND(_A2="B-767-300ER",'2025'!$H$4="FO",'2025'!$H$2=AH157),'2025DATA'!$E$14,"")</f>
        <v/>
      </c>
      <c r="AI169" s="518" t="str">
        <f>IF(AND(_A2="B-767-300ER",'2025'!$H$4="FO",'2025'!$H$2=AI157),'2025DATA'!$F$14,"")</f>
        <v/>
      </c>
      <c r="AJ169" s="518" t="str">
        <f>IF(AND(_A2="B-767-300ER",'2025'!$H$4="FO",'2025'!$H$2=AJ157),'2025DATA'!$G$14,"")</f>
        <v/>
      </c>
      <c r="AK169" s="518" t="str">
        <f>IF(AND(_A2="B-767-300ER",'2025'!$H$4="FO",'2025'!$H$2=AK157),'2025DATA'!$H$14,"")</f>
        <v/>
      </c>
      <c r="AL169" s="518" t="str">
        <f>IF(AND(_A2="B-767-300ER",'2025'!$H$4="FO",'2025'!$H$2=AL157),'2025DATA'!$I$14,"")</f>
        <v/>
      </c>
      <c r="AM169" s="518" t="str">
        <f>IF(AND(_A2="B-767-300ER",'2025'!$H$4="FO",'2025'!$H$2=AM157),'2025DATA'!$J$14,"")</f>
        <v/>
      </c>
      <c r="AN169" s="518" t="str">
        <f>IF(AND(_A2="B-767-300ER",'2025'!$H$4="FO",'2025'!$H$2=AN157),'2025DATA'!$K$14,"")</f>
        <v/>
      </c>
      <c r="AO169" s="518" t="str">
        <f>IF(AND(_A2="B-767-300ER",'2025'!$H$4="FO",'2025'!$H$2=AO157),'2025DATA'!$L$14,"")</f>
        <v/>
      </c>
      <c r="AP169" s="518" t="str">
        <f>IF(AND(_A2="B-767-300ER",'2025'!$H$4="FO",'2025'!$H$2=AP157),'2025DATA'!$M$14,"")</f>
        <v/>
      </c>
      <c r="AQ169" s="520" t="str">
        <f>IF(AND(_A2="B-767-300ER",'2025'!$H$4="FO",'2025'!$H$2=AQ157),'2025DATA'!$N$14,"")</f>
        <v/>
      </c>
      <c r="AR169" s="940"/>
      <c r="AS169" s="13" t="s">
        <v>62</v>
      </c>
      <c r="AT169" s="518" t="str">
        <f>IF(AND(_A3="B-767-300ER",'2025'!$H$4="FO",'2025'!$H$2=AT157),'2025DATA'!$C$14,"")</f>
        <v/>
      </c>
      <c r="AU169" s="518" t="str">
        <f>IF(AND(_A3="B-767-300ER",'2025'!$H$4="FO",'2025'!$H$2=AU157),'2025DATA'!$D$14,"")</f>
        <v/>
      </c>
      <c r="AV169" s="518" t="str">
        <f>IF(AND(_A3="B-767-300ER",'2025'!$H$4="FO",'2025'!$H$2=AV157),'2025DATA'!$E$14,"")</f>
        <v/>
      </c>
      <c r="AW169" s="518" t="str">
        <f>IF(AND(_A3="B-767-300ER",'2025'!$H$4="FO",'2025'!$H$2=AW157),'2025DATA'!$F$14,"")</f>
        <v/>
      </c>
      <c r="AX169" s="518" t="str">
        <f>IF(AND(_A3="B-767-300ER",'2025'!$H$4="FO",'2025'!$H$2=AX157),'2025DATA'!$G$14,"")</f>
        <v/>
      </c>
      <c r="AY169" s="518" t="str">
        <f>IF(AND(_A3="B-767-300ER",'2025'!$H$4="FO",'2025'!$H$2=AY157),'2025DATA'!$H$14,"")</f>
        <v/>
      </c>
      <c r="AZ169" s="518" t="str">
        <f>IF(AND(_A3="B-767-300ER",'2025'!$H$4="FO",'2025'!$H$2=AZ157),'2025DATA'!$I$14,"")</f>
        <v/>
      </c>
      <c r="BA169" s="518" t="str">
        <f>IF(AND(_A3="B-767-300ER",'2025'!$H$4="FO",'2025'!$H$2=BA157),'2025DATA'!$J$14,"")</f>
        <v/>
      </c>
      <c r="BB169" s="518" t="str">
        <f>IF(AND(_A3="B-767-300ER",'2025'!$H$4="FO",'2025'!$H$2=BB157),'2025DATA'!$K$14,"")</f>
        <v/>
      </c>
      <c r="BC169" s="518" t="str">
        <f>IF(AND(_A3="B-767-300ER",'2025'!$H$4="FO",'2025'!$H$2=BC157),'2025DATA'!$L$14,"")</f>
        <v/>
      </c>
      <c r="BD169" s="518" t="str">
        <f>IF(AND(_A3="B-767-300ER",'2025'!$H$4="FO",'2025'!$H$2=BD157),'2025DATA'!$M$14,"")</f>
        <v/>
      </c>
      <c r="BE169" s="520" t="str">
        <f>IF(AND(_A3="B-767-300ER",'2025'!$H$4="FO",'2025'!$H$2=BE157),'2025DATA'!$N$14,"")</f>
        <v/>
      </c>
      <c r="BF169" s="940"/>
      <c r="BG169" s="13" t="s">
        <v>62</v>
      </c>
      <c r="BH169" s="518" t="str">
        <f>IF(AND(_A4="B-767-300ER",'2025'!$H$4="FO",'2025'!$H$2=BH157),'2025DATA'!$C$14,"")</f>
        <v/>
      </c>
      <c r="BI169" s="518" t="str">
        <f>IF(AND(_A4="B-767-300ER",'2025'!$H$4="FO",'2025'!$H$2=BI157),'2025DATA'!$D$14,"")</f>
        <v/>
      </c>
      <c r="BJ169" s="518" t="str">
        <f>IF(AND(_A4="B-767-300ER",'2025'!$H$4="FO",'2025'!$H$2=BJ157),'2025DATA'!$E$14,"")</f>
        <v/>
      </c>
      <c r="BK169" s="518" t="str">
        <f>IF(AND(_A4="B-767-300ER",'2025'!$H$4="FO",'2025'!$H$2=BK157),'2025DATA'!$F$14,"")</f>
        <v/>
      </c>
      <c r="BL169" s="518" t="str">
        <f>IF(AND(_A4="B-767-300ER",'2025'!$H$4="FO",'2025'!$H$2=BL157),'2025DATA'!$G$14,"")</f>
        <v/>
      </c>
      <c r="BM169" s="518" t="str">
        <f>IF(AND(_A4="B-767-300ER",'2025'!$H$4="FO",'2025'!$H$2=BM157),'2025DATA'!$H$14,"")</f>
        <v/>
      </c>
      <c r="BN169" s="518" t="str">
        <f>IF(AND(_A4="B-767-300ER",'2025'!$H$4="FO",'2025'!$H$2=BN157),'2025DATA'!$I$14,"")</f>
        <v/>
      </c>
      <c r="BO169" s="518" t="str">
        <f>IF(AND(_A4="B-767-300ER",'2025'!$H$4="FO",'2025'!$H$2=BO157),'2025DATA'!$J$14,"")</f>
        <v/>
      </c>
      <c r="BP169" s="518" t="str">
        <f>IF(AND(_A4="B-767-300ER",'2025'!$H$4="FO",'2025'!$H$2=BP157),'2025DATA'!$K$14,"")</f>
        <v/>
      </c>
      <c r="BQ169" s="518" t="str">
        <f>IF(AND(_A4="B-767-300ER",'2025'!$H$4="FO",'2025'!$H$2=BQ157),'2025DATA'!$L$14,"")</f>
        <v/>
      </c>
      <c r="BR169" s="518" t="str">
        <f>IF(AND(_A4="B-767-300ER",'2025'!$H$4="FO",'2025'!$H$2=BR157),'2025DATA'!$M$14,"")</f>
        <v/>
      </c>
      <c r="BS169" s="520" t="str">
        <f>IF(AND(_A4="B-767-300ER",'2025'!$H$4="FO",'2025'!$H$2=BS157),'2025DATA'!$N$14,"")</f>
        <v/>
      </c>
      <c r="BT169" s="940"/>
      <c r="BU169" s="13" t="s">
        <v>62</v>
      </c>
      <c r="BV169" s="518" t="str">
        <f>IF(AND(_A5="B-767-300ER",'2025'!$H$4="FO",'2025'!$H$2=BV157),'2025DATA'!$C$14,"")</f>
        <v/>
      </c>
      <c r="BW169" s="518" t="str">
        <f>IF(AND(_A5="B-767-300ER",'2025'!$H$4="FO",'2025'!$H$2=BW157),'2025DATA'!$D$14,"")</f>
        <v/>
      </c>
      <c r="BX169" s="518" t="str">
        <f>IF(AND(_A5="B-767-300ER",'2025'!$H$4="FO",'2025'!$H$2=BX157),'2025DATA'!$E$14,"")</f>
        <v/>
      </c>
      <c r="BY169" s="518" t="str">
        <f>IF(AND(_A5="B-767-300ER",'2025'!$H$4="FO",'2025'!$H$2=BY157),'2025DATA'!$F$14,"")</f>
        <v/>
      </c>
      <c r="BZ169" s="518" t="str">
        <f>IF(AND(_A5="B-767-300ER",'2025'!$H$4="FO",'2025'!$H$2=BZ157),'2025DATA'!$G$14,"")</f>
        <v/>
      </c>
      <c r="CA169" s="518" t="str">
        <f>IF(AND(_A5="B-767-300ER",'2025'!$H$4="FO",'2025'!$H$2=CA157),'2025DATA'!$H$14,"")</f>
        <v/>
      </c>
      <c r="CB169" s="518" t="str">
        <f>IF(AND(_A5="B-767-300ER",'2025'!$H$4="FO",'2025'!$H$2=CB157),'2025DATA'!$I$14,"")</f>
        <v/>
      </c>
      <c r="CC169" s="518" t="str">
        <f>IF(AND(_A5="B-767-300ER",'2025'!$H$4="FO",'2025'!$H$2=CC157),'2025DATA'!$J$14,"")</f>
        <v/>
      </c>
      <c r="CD169" s="518" t="str">
        <f>IF(AND(_A5="B-767-300ER",'2025'!$H$4="FO",'2025'!$H$2=CD157),'2025DATA'!$K$14,"")</f>
        <v/>
      </c>
      <c r="CE169" s="518" t="str">
        <f>IF(AND(_A5="B-767-300ER",'2025'!$H$4="FO",'2025'!$H$2=CE157),'2025DATA'!$L$14,"")</f>
        <v/>
      </c>
      <c r="CF169" s="518" t="str">
        <f>IF(AND(_A5="B-767-300ER",'2025'!$H$4="FO",'2025'!$H$2=CF157),'2025DATA'!$M$14,"")</f>
        <v/>
      </c>
      <c r="CG169" s="520" t="str">
        <f>IF(AND(_A5="B-767-300ER",'2025'!$H$4="FO",'2025'!$H$2=CG157),'2025DATA'!$N$14,"")</f>
        <v/>
      </c>
      <c r="CH169" s="940"/>
      <c r="CI169" s="13" t="s">
        <v>62</v>
      </c>
      <c r="CJ169" s="518" t="str">
        <f>IF(AND(_A6="B-767-300ER",'2025'!$H$4="FO",'2025'!$H$2=CJ157),'2025DATA'!$C$14,"")</f>
        <v/>
      </c>
      <c r="CK169" s="518" t="str">
        <f>IF(AND(_A6="B-767-300ER",'2025'!$H$4="FO",'2025'!$H$2=CK157),'2025DATA'!$D$14,"")</f>
        <v/>
      </c>
      <c r="CL169" s="518" t="str">
        <f>IF(AND(_A6="B-767-300ER",'2025'!$H$4="FO",'2025'!$H$2=CL157),'2025DATA'!$E$14,"")</f>
        <v/>
      </c>
      <c r="CM169" s="518" t="str">
        <f>IF(AND(_A6="B-767-300ER",'2025'!$H$4="FO",'2025'!$H$2=CM157),'2025DATA'!$F$14,"")</f>
        <v/>
      </c>
      <c r="CN169" s="518" t="str">
        <f>IF(AND(_A6="B-767-300ER",'2025'!$H$4="FO",'2025'!$H$2=CN157),'2025DATA'!$G$14,"")</f>
        <v/>
      </c>
      <c r="CO169" s="518" t="str">
        <f>IF(AND(_A6="B-767-300ER",'2025'!$H$4="FO",'2025'!$H$2=CO157),'2025DATA'!$H$14,"")</f>
        <v/>
      </c>
      <c r="CP169" s="518" t="str">
        <f>IF(AND(_A6="B-767-300ER",'2025'!$H$4="FO",'2025'!$H$2=CP157),'2025DATA'!$I$14,"")</f>
        <v/>
      </c>
      <c r="CQ169" s="518" t="str">
        <f>IF(AND(_A6="B-767-300ER",'2025'!$H$4="FO",'2025'!$H$2=CQ157),'2025DATA'!$J$14,"")</f>
        <v/>
      </c>
      <c r="CR169" s="518" t="str">
        <f>IF(AND(_A6="B-767-300ER",'2025'!$H$4="FO",'2025'!$H$2=CR157),'2025DATA'!$K$14,"")</f>
        <v/>
      </c>
      <c r="CS169" s="518" t="str">
        <f>IF(AND(_A6="B-767-300ER",'2025'!$H$4="FO",'2025'!$H$2=CS157),'2025DATA'!$L$14,"")</f>
        <v/>
      </c>
      <c r="CT169" s="518" t="str">
        <f>IF(AND(_A6="B-767-300ER",'2025'!$H$4="FO",'2025'!$H$2=CT157),'2025DATA'!$M$14,"")</f>
        <v/>
      </c>
      <c r="CU169" s="520" t="str">
        <f>IF(AND(_A6="B-767-300ER",'2025'!$H$4="FO",'2025'!$H$2=CU157),'2025DATA'!$N$14,"")</f>
        <v/>
      </c>
    </row>
    <row r="170" spans="16:99" x14ac:dyDescent="0.25">
      <c r="P170" s="940" t="s">
        <v>67</v>
      </c>
      <c r="Q170" s="13" t="s">
        <v>61</v>
      </c>
      <c r="R170" s="518" t="str">
        <f>IF(AND(_A1="B-767-300",'2025'!$H$4="CA",'2025'!$H$2=R157),'2025DATA'!$C$15,"")</f>
        <v/>
      </c>
      <c r="S170" s="518" t="str">
        <f>IF(AND(_A1="B-767-300",'2025'!$H$4="CA",'2025'!$H$2=S157),'2025DATA'!$D$15,"")</f>
        <v/>
      </c>
      <c r="T170" s="518" t="str">
        <f>IF(AND(_A1="B-767-300",'2025'!$H$4="CA",'2025'!$H$2=T157),'2025DATA'!$E$15,"")</f>
        <v/>
      </c>
      <c r="U170" s="518" t="str">
        <f>IF(AND(_A1="B-767-300",'2025'!$H$4="CA",'2025'!$H$2=U157),'2025DATA'!$F$15,"")</f>
        <v/>
      </c>
      <c r="V170" s="518" t="str">
        <f>IF(AND(_A1="B-767-300",'2025'!$H$4="CA",'2025'!$H$2=V157),'2025DATA'!$G$15,"")</f>
        <v/>
      </c>
      <c r="W170" s="518" t="str">
        <f>IF(AND(_A1="B-767-300",'2025'!$H$4="CA",'2025'!$H$2=W157),'2025DATA'!$H$15,"")</f>
        <v/>
      </c>
      <c r="X170" s="518" t="str">
        <f>IF(AND(_A1="B-767-300",'2025'!$H$4="CA",'2025'!$H$2=X157),'2025DATA'!$I$15,"")</f>
        <v/>
      </c>
      <c r="Y170" s="518" t="str">
        <f>IF(AND(_A1="B-767-300",'2025'!$H$4="CA",'2025'!$H$2=Y157),'2025DATA'!$J$15,"")</f>
        <v/>
      </c>
      <c r="Z170" s="518" t="str">
        <f>IF(AND(_A1="B-767-300",'2025'!$H$4="CA",'2025'!$H$2=Z157),'2025DATA'!$K$15,"")</f>
        <v/>
      </c>
      <c r="AA170" s="518" t="str">
        <f>IF(AND(_A1="B-767-300",'2025'!$H$4="CA",'2025'!$H$2=AA157),'2025DATA'!$L$15,"")</f>
        <v/>
      </c>
      <c r="AB170" s="518" t="str">
        <f>IF(AND(_A1="B-767-300",'2025'!$H$4="CA",'2025'!$H$2=AB157),'2025DATA'!$M$15,"")</f>
        <v/>
      </c>
      <c r="AC170" s="520" t="str">
        <f>IF(AND(_A1="B-767-300",'2025'!$H$4="CA",'2025'!$H$2=AC157),'2025DATA'!$N$15,"")</f>
        <v/>
      </c>
      <c r="AD170" s="940" t="s">
        <v>67</v>
      </c>
      <c r="AE170" s="13" t="s">
        <v>61</v>
      </c>
      <c r="AF170" s="518" t="str">
        <f>IF(AND(_A2="B-767-300",'2025'!$H$4="CA",'2025'!$H$2=AF157),'2025DATA'!$C$15,"")</f>
        <v/>
      </c>
      <c r="AG170" s="518" t="str">
        <f>IF(AND(_A2="B-767-300",'2025'!$H$4="CA",'2025'!$H$2=AG157),'2025DATA'!$D$15,"")</f>
        <v/>
      </c>
      <c r="AH170" s="518" t="str">
        <f>IF(AND(_A2="B-767-300",'2025'!$H$4="CA",'2025'!$H$2=AH157),'2025DATA'!$E$15,"")</f>
        <v/>
      </c>
      <c r="AI170" s="518" t="str">
        <f>IF(AND(_A2="B-767-300",'2025'!$H$4="CA",'2025'!$H$2=AI157),'2025DATA'!$F$15,"")</f>
        <v/>
      </c>
      <c r="AJ170" s="518" t="str">
        <f>IF(AND(_A2="B-767-300",'2025'!$H$4="CA",'2025'!$H$2=AJ157),'2025DATA'!$G$15,"")</f>
        <v/>
      </c>
      <c r="AK170" s="518" t="str">
        <f>IF(AND(_A2="B-767-300",'2025'!$H$4="CA",'2025'!$H$2=AK157),'2025DATA'!$H$15,"")</f>
        <v/>
      </c>
      <c r="AL170" s="518" t="str">
        <f>IF(AND(_A2="B-767-300",'2025'!$H$4="CA",'2025'!$H$2=AL157),'2025DATA'!$I$15,"")</f>
        <v/>
      </c>
      <c r="AM170" s="518" t="str">
        <f>IF(AND(_A2="B-767-300",'2025'!$H$4="CA",'2025'!$H$2=AM157),'2025DATA'!$J$15,"")</f>
        <v/>
      </c>
      <c r="AN170" s="518" t="str">
        <f>IF(AND(_A2="B-767-300",'2025'!$H$4="CA",'2025'!$H$2=AN157),'2025DATA'!$K$15,"")</f>
        <v/>
      </c>
      <c r="AO170" s="518" t="str">
        <f>IF(AND(_A2="B-767-300",'2025'!$H$4="CA",'2025'!$H$2=AO157),'2025DATA'!$L$15,"")</f>
        <v/>
      </c>
      <c r="AP170" s="518" t="str">
        <f>IF(AND(_A2="B-767-300",'2025'!$H$4="CA",'2025'!$H$2=AP157),'2025DATA'!$M$15,"")</f>
        <v/>
      </c>
      <c r="AQ170" s="520" t="str">
        <f>IF(AND(_A2="B-767-300",'2025'!$H$4="CA",'2025'!$H$2=AQ157),'2025DATA'!$N$15,"")</f>
        <v/>
      </c>
      <c r="AR170" s="940" t="s">
        <v>67</v>
      </c>
      <c r="AS170" s="13" t="s">
        <v>61</v>
      </c>
      <c r="AT170" s="518" t="str">
        <f>IF(AND(_A3="B-767-300",'2025'!$H$4="CA",'2025'!$H$2=AT157),'2025DATA'!$C$15,"")</f>
        <v/>
      </c>
      <c r="AU170" s="518" t="str">
        <f>IF(AND(_A3="B-767-300",'2025'!$H$4="CA",'2025'!$H$2=AU157),'2025DATA'!$D$15,"")</f>
        <v/>
      </c>
      <c r="AV170" s="518" t="str">
        <f>IF(AND(_A3="B-767-300",'2025'!$H$4="CA",'2025'!$H$2=AV157),'2025DATA'!$E$15,"")</f>
        <v/>
      </c>
      <c r="AW170" s="518" t="str">
        <f>IF(AND(_A3="B-767-300",'2025'!$H$4="CA",'2025'!$H$2=AW157),'2025DATA'!$F$15,"")</f>
        <v/>
      </c>
      <c r="AX170" s="518" t="str">
        <f>IF(AND(_A3="B-767-300",'2025'!$H$4="CA",'2025'!$H$2=AX157),'2025DATA'!$G$15,"")</f>
        <v/>
      </c>
      <c r="AY170" s="518" t="str">
        <f>IF(AND(_A3="B-767-300",'2025'!$H$4="CA",'2025'!$H$2=AY157),'2025DATA'!$H$15,"")</f>
        <v/>
      </c>
      <c r="AZ170" s="518" t="str">
        <f>IF(AND(_A3="B-767-300",'2025'!$H$4="CA",'2025'!$H$2=AZ157),'2025DATA'!$I$15,"")</f>
        <v/>
      </c>
      <c r="BA170" s="518" t="str">
        <f>IF(AND(_A3="B-767-300",'2025'!$H$4="CA",'2025'!$H$2=BA157),'2025DATA'!$J$15,"")</f>
        <v/>
      </c>
      <c r="BB170" s="518" t="str">
        <f>IF(AND(_A3="B-767-300",'2025'!$H$4="CA",'2025'!$H$2=BB157),'2025DATA'!$K$15,"")</f>
        <v/>
      </c>
      <c r="BC170" s="518" t="str">
        <f>IF(AND(_A3="B-767-300",'2025'!$H$4="CA",'2025'!$H$2=BC157),'2025DATA'!$L$15,"")</f>
        <v/>
      </c>
      <c r="BD170" s="518" t="str">
        <f>IF(AND(_A3="B-767-300",'2025'!$H$4="CA",'2025'!$H$2=BD157),'2025DATA'!$M$15,"")</f>
        <v/>
      </c>
      <c r="BE170" s="520" t="str">
        <f>IF(AND(_A3="B-767-300",'2025'!$H$4="CA",'2025'!$H$2=BE157),'2025DATA'!$N$15,"")</f>
        <v/>
      </c>
      <c r="BF170" s="940" t="s">
        <v>67</v>
      </c>
      <c r="BG170" s="13" t="s">
        <v>61</v>
      </c>
      <c r="BH170" s="518" t="str">
        <f>IF(AND(_A4="B-767-300",'2025'!$H$4="CA",'2025'!$H$2=BH157),'2025DATA'!$C$15,"")</f>
        <v/>
      </c>
      <c r="BI170" s="518" t="str">
        <f>IF(AND(_A4="B-767-300",'2025'!$H$4="CA",'2025'!$H$2=BI157),'2025DATA'!$D$15,"")</f>
        <v/>
      </c>
      <c r="BJ170" s="518" t="str">
        <f>IF(AND(_A4="B-767-300",'2025'!$H$4="CA",'2025'!$H$2=BJ157),'2025DATA'!$E$15,"")</f>
        <v/>
      </c>
      <c r="BK170" s="518" t="str">
        <f>IF(AND(_A4="B-767-300",'2025'!$H$4="CA",'2025'!$H$2=BK157),'2025DATA'!$F$15,"")</f>
        <v/>
      </c>
      <c r="BL170" s="518" t="str">
        <f>IF(AND(_A4="B-767-300",'2025'!$H$4="CA",'2025'!$H$2=BL157),'2025DATA'!$G$15,"")</f>
        <v/>
      </c>
      <c r="BM170" s="518" t="str">
        <f>IF(AND(_A4="B-767-300",'2025'!$H$4="CA",'2025'!$H$2=BM157),'2025DATA'!$H$15,"")</f>
        <v/>
      </c>
      <c r="BN170" s="518" t="str">
        <f>IF(AND(_A4="B-767-300",'2025'!$H$4="CA",'2025'!$H$2=BN157),'2025DATA'!$I$15,"")</f>
        <v/>
      </c>
      <c r="BO170" s="518" t="str">
        <f>IF(AND(_A4="B-767-300",'2025'!$H$4="CA",'2025'!$H$2=BO157),'2025DATA'!$J$15,"")</f>
        <v/>
      </c>
      <c r="BP170" s="518" t="str">
        <f>IF(AND(_A4="B-767-300",'2025'!$H$4="CA",'2025'!$H$2=BP157),'2025DATA'!$K$15,"")</f>
        <v/>
      </c>
      <c r="BQ170" s="518" t="str">
        <f>IF(AND(_A4="B-767-300",'2025'!$H$4="CA",'2025'!$H$2=BQ157),'2025DATA'!$L$15,"")</f>
        <v/>
      </c>
      <c r="BR170" s="518" t="str">
        <f>IF(AND(_A4="B-767-300",'2025'!$H$4="CA",'2025'!$H$2=BR157),'2025DATA'!$M$15,"")</f>
        <v/>
      </c>
      <c r="BS170" s="520" t="str">
        <f>IF(AND(_A4="B-767-300",'2025'!$H$4="CA",'2025'!$H$2=BS157),'2025DATA'!$N$15,"")</f>
        <v/>
      </c>
      <c r="BT170" s="940" t="s">
        <v>67</v>
      </c>
      <c r="BU170" s="13" t="s">
        <v>61</v>
      </c>
      <c r="BV170" s="518" t="str">
        <f>IF(AND(_A5="B-767-300",'2025'!$H$4="CA",'2025'!$H$2=BV157),'2025DATA'!$C$15,"")</f>
        <v/>
      </c>
      <c r="BW170" s="518" t="str">
        <f>IF(AND(_A5="B-767-300",'2025'!$H$4="CA",'2025'!$H$2=BW157),'2025DATA'!$D$15,"")</f>
        <v/>
      </c>
      <c r="BX170" s="518" t="str">
        <f>IF(AND(_A5="B-767-300",'2025'!$H$4="CA",'2025'!$H$2=BX157),'2025DATA'!$E$15,"")</f>
        <v/>
      </c>
      <c r="BY170" s="518" t="str">
        <f>IF(AND(_A5="B-767-300",'2025'!$H$4="CA",'2025'!$H$2=BY157),'2025DATA'!$F$15,"")</f>
        <v/>
      </c>
      <c r="BZ170" s="518" t="str">
        <f>IF(AND(_A5="B-767-300",'2025'!$H$4="CA",'2025'!$H$2=BZ157),'2025DATA'!$G$15,"")</f>
        <v/>
      </c>
      <c r="CA170" s="518" t="str">
        <f>IF(AND(_A5="B-767-300",'2025'!$H$4="CA",'2025'!$H$2=CA157),'2025DATA'!$H$15,"")</f>
        <v/>
      </c>
      <c r="CB170" s="518" t="str">
        <f>IF(AND(_A5="B-767-300",'2025'!$H$4="CA",'2025'!$H$2=CB157),'2025DATA'!$I$15,"")</f>
        <v/>
      </c>
      <c r="CC170" s="518" t="str">
        <f>IF(AND(_A5="B-767-300",'2025'!$H$4="CA",'2025'!$H$2=CC157),'2025DATA'!$J$15,"")</f>
        <v/>
      </c>
      <c r="CD170" s="518" t="str">
        <f>IF(AND(_A5="B-767-300",'2025'!$H$4="CA",'2025'!$H$2=CD157),'2025DATA'!$K$15,"")</f>
        <v/>
      </c>
      <c r="CE170" s="518" t="str">
        <f>IF(AND(_A5="B-767-300",'2025'!$H$4="CA",'2025'!$H$2=CE157),'2025DATA'!$L$15,"")</f>
        <v/>
      </c>
      <c r="CF170" s="518" t="str">
        <f>IF(AND(_A5="B-767-300",'2025'!$H$4="CA",'2025'!$H$2=CF157),'2025DATA'!$M$15,"")</f>
        <v/>
      </c>
      <c r="CG170" s="520" t="str">
        <f>IF(AND(_A5="B-767-300",'2025'!$H$4="CA",'2025'!$H$2=CG157),'2025DATA'!$N$15,"")</f>
        <v/>
      </c>
      <c r="CH170" s="940" t="s">
        <v>67</v>
      </c>
      <c r="CI170" s="13" t="s">
        <v>61</v>
      </c>
      <c r="CJ170" s="518" t="str">
        <f>IF(AND(_A6="B-767-300",'2025'!$H$4="CA",'2025'!$H$2=CJ157),'2025DATA'!$C$15,"")</f>
        <v/>
      </c>
      <c r="CK170" s="518" t="str">
        <f>IF(AND(_A6="B-767-300",'2025'!$H$4="CA",'2025'!$H$2=CK157),'2025DATA'!$D$15,"")</f>
        <v/>
      </c>
      <c r="CL170" s="518" t="str">
        <f>IF(AND(_A6="B-767-300",'2025'!$H$4="CA",'2025'!$H$2=CL157),'2025DATA'!$E$15,"")</f>
        <v/>
      </c>
      <c r="CM170" s="518" t="str">
        <f>IF(AND(_A6="B-767-300",'2025'!$H$4="CA",'2025'!$H$2=CM157),'2025DATA'!$F$15,"")</f>
        <v/>
      </c>
      <c r="CN170" s="518" t="str">
        <f>IF(AND(_A6="B-767-300",'2025'!$H$4="CA",'2025'!$H$2=CN157),'2025DATA'!$G$15,"")</f>
        <v/>
      </c>
      <c r="CO170" s="518" t="str">
        <f>IF(AND(_A6="B-767-300",'2025'!$H$4="CA",'2025'!$H$2=CO157),'2025DATA'!$H$15,"")</f>
        <v/>
      </c>
      <c r="CP170" s="518" t="str">
        <f>IF(AND(_A6="B-767-300",'2025'!$H$4="CA",'2025'!$H$2=CP157),'2025DATA'!$I$15,"")</f>
        <v/>
      </c>
      <c r="CQ170" s="518" t="str">
        <f>IF(AND(_A6="B-767-300",'2025'!$H$4="CA",'2025'!$H$2=CQ157),'2025DATA'!$J$15,"")</f>
        <v/>
      </c>
      <c r="CR170" s="518" t="str">
        <f>IF(AND(_A6="B-767-300",'2025'!$H$4="CA",'2025'!$H$2=CR157),'2025DATA'!$K$15,"")</f>
        <v/>
      </c>
      <c r="CS170" s="518" t="str">
        <f>IF(AND(_A6="B-767-300",'2025'!$H$4="CA",'2025'!$H$2=CS157),'2025DATA'!$L$15,"")</f>
        <v/>
      </c>
      <c r="CT170" s="518" t="str">
        <f>IF(AND(_A6="B-767-300",'2025'!$H$4="CA",'2025'!$H$2=CT157),'2025DATA'!$M$15,"")</f>
        <v/>
      </c>
      <c r="CU170" s="520" t="str">
        <f>IF(AND(_A6="B-767-300",'2025'!$H$4="CA",'2025'!$H$2=CU157),'2025DATA'!$N$15,"")</f>
        <v/>
      </c>
    </row>
    <row r="171" spans="16:99" x14ac:dyDescent="0.25">
      <c r="P171" s="940"/>
      <c r="Q171" s="13" t="s">
        <v>62</v>
      </c>
      <c r="R171" s="518" t="str">
        <f>IF(AND(_A1="B-767-300",'2025'!$H$4="FO",'2025'!$H$2=R157),'2025DATA'!$C$16,"")</f>
        <v/>
      </c>
      <c r="S171" s="518" t="str">
        <f>IF(AND(_A1="B-767-300",'2025'!$H$4="FO",'2025'!$H$2=S157),'2025DATA'!$D$16,"")</f>
        <v/>
      </c>
      <c r="T171" s="518" t="str">
        <f>IF(AND(_A1="B-767-300",'2025'!$H$4="FO",'2025'!$H$2=T157),'2025DATA'!$E$16,"")</f>
        <v/>
      </c>
      <c r="U171" s="518" t="str">
        <f>IF(AND(_A1="B-767-300",'2025'!$H$4="FO",'2025'!$H$2=U157),'2025DATA'!$F$16,"")</f>
        <v/>
      </c>
      <c r="V171" s="518" t="str">
        <f>IF(AND(_A1="B-767-300",'2025'!$H$4="FO",'2025'!$H$2=V157),'2025DATA'!$G$16,"")</f>
        <v/>
      </c>
      <c r="W171" s="518" t="str">
        <f>IF(AND(_A1="B-767-300",'2025'!$H$4="FO",'2025'!$H$2=W157),'2025DATA'!$H$16,"")</f>
        <v/>
      </c>
      <c r="X171" s="518" t="str">
        <f>IF(AND(_A1="B-767-300",'2025'!$H$4="FO",'2025'!$H$2=X157),'2025DATA'!$I$16,"")</f>
        <v/>
      </c>
      <c r="Y171" s="518" t="str">
        <f>IF(AND(_A1="B-767-300",'2025'!$H$4="FO",'2025'!$H$2=Y157),'2025DATA'!$J$16,"")</f>
        <v/>
      </c>
      <c r="Z171" s="518" t="str">
        <f>IF(AND(_A1="B-767-300",'2025'!$H$4="FO",'2025'!$H$2=Z157),'2025DATA'!$K$16,"")</f>
        <v/>
      </c>
      <c r="AA171" s="518" t="str">
        <f>IF(AND(_A1="B-767-300",'2025'!$H$4="FO",'2025'!$H$2=AA157),'2025DATA'!$L$16,"")</f>
        <v/>
      </c>
      <c r="AB171" s="518" t="str">
        <f>IF(AND(_A1="B-767-300",'2025'!$H$4="FO",'2025'!$H$2=AB157),'2025DATA'!$M$16,"")</f>
        <v/>
      </c>
      <c r="AC171" s="520" t="str">
        <f>IF(AND(_A1="B-767-300",'2025'!$H$4="FO",'2025'!$H$2=AC157),'2025DATA'!$N$16,"")</f>
        <v/>
      </c>
      <c r="AD171" s="940"/>
      <c r="AE171" s="13" t="s">
        <v>62</v>
      </c>
      <c r="AF171" s="518" t="str">
        <f>IF(AND(_A2="B-767-300",'2025'!$H$4="FO",'2025'!$H$2=AF157),'2025DATA'!$C$16,"")</f>
        <v/>
      </c>
      <c r="AG171" s="518" t="str">
        <f>IF(AND(_A2="B-767-300",'2025'!$H$4="FO",'2025'!$H$2=AG157),'2025DATA'!$D$16,"")</f>
        <v/>
      </c>
      <c r="AH171" s="518" t="str">
        <f>IF(AND(_A2="B-767-300",'2025'!$H$4="FO",'2025'!$H$2=AH157),'2025DATA'!$E$16,"")</f>
        <v/>
      </c>
      <c r="AI171" s="518" t="str">
        <f>IF(AND(_A2="B-767-300",'2025'!$H$4="FO",'2025'!$H$2=AI157),'2025DATA'!$F$16,"")</f>
        <v/>
      </c>
      <c r="AJ171" s="518" t="str">
        <f>IF(AND(_A2="B-767-300",'2025'!$H$4="FO",'2025'!$H$2=AJ157),'2025DATA'!$G$16,"")</f>
        <v/>
      </c>
      <c r="AK171" s="518" t="str">
        <f>IF(AND(_A2="B-767-300",'2025'!$H$4="FO",'2025'!$H$2=AK157),'2025DATA'!$H$16,"")</f>
        <v/>
      </c>
      <c r="AL171" s="518" t="str">
        <f>IF(AND(_A2="B-767-300",'2025'!$H$4="FO",'2025'!$H$2=AL157),'2025DATA'!$I$16,"")</f>
        <v/>
      </c>
      <c r="AM171" s="518" t="str">
        <f>IF(AND(_A2="B-767-300",'2025'!$H$4="FO",'2025'!$H$2=AM157),'2025DATA'!$J$16,"")</f>
        <v/>
      </c>
      <c r="AN171" s="518" t="str">
        <f>IF(AND(_A2="B-767-300",'2025'!$H$4="FO",'2025'!$H$2=AN157),'2025DATA'!$K$16,"")</f>
        <v/>
      </c>
      <c r="AO171" s="518" t="str">
        <f>IF(AND(_A2="B-767-300",'2025'!$H$4="FO",'2025'!$H$2=AO157),'2025DATA'!$L$16,"")</f>
        <v/>
      </c>
      <c r="AP171" s="518" t="str">
        <f>IF(AND(_A2="B-767-300",'2025'!$H$4="FO",'2025'!$H$2=AP157),'2025DATA'!$M$16,"")</f>
        <v/>
      </c>
      <c r="AQ171" s="520" t="str">
        <f>IF(AND(_A2="B-767-300",'2025'!$H$4="FO",'2025'!$H$2=AQ157),'2025DATA'!$N$16,"")</f>
        <v/>
      </c>
      <c r="AR171" s="940"/>
      <c r="AS171" s="13" t="s">
        <v>62</v>
      </c>
      <c r="AT171" s="518" t="str">
        <f>IF(AND(_A3="B-767-300",'2025'!$H$4="FO",'2025'!$H$2=AT157),'2025DATA'!$C$16,"")</f>
        <v/>
      </c>
      <c r="AU171" s="518" t="str">
        <f>IF(AND(_A3="B-767-300",'2025'!$H$4="FO",'2025'!$H$2=AU157),'2025DATA'!$D$16,"")</f>
        <v/>
      </c>
      <c r="AV171" s="518" t="str">
        <f>IF(AND(_A3="B-767-300",'2025'!$H$4="FO",'2025'!$H$2=AV157),'2025DATA'!$E$16,"")</f>
        <v/>
      </c>
      <c r="AW171" s="518" t="str">
        <f>IF(AND(_A3="B-767-300",'2025'!$H$4="FO",'2025'!$H$2=AW157),'2025DATA'!$F$16,"")</f>
        <v/>
      </c>
      <c r="AX171" s="518" t="str">
        <f>IF(AND(_A3="B-767-300",'2025'!$H$4="FO",'2025'!$H$2=AX157),'2025DATA'!$G$16,"")</f>
        <v/>
      </c>
      <c r="AY171" s="518" t="str">
        <f>IF(AND(_A3="B-767-300",'2025'!$H$4="FO",'2025'!$H$2=AY157),'2025DATA'!$H$16,"")</f>
        <v/>
      </c>
      <c r="AZ171" s="518" t="str">
        <f>IF(AND(_A3="B-767-300",'2025'!$H$4="FO",'2025'!$H$2=AZ157),'2025DATA'!$I$16,"")</f>
        <v/>
      </c>
      <c r="BA171" s="518" t="str">
        <f>IF(AND(_A3="B-767-300",'2025'!$H$4="FO",'2025'!$H$2=BA157),'2025DATA'!$J$16,"")</f>
        <v/>
      </c>
      <c r="BB171" s="518" t="str">
        <f>IF(AND(_A3="B-767-300",'2025'!$H$4="FO",'2025'!$H$2=BB157),'2025DATA'!$K$16,"")</f>
        <v/>
      </c>
      <c r="BC171" s="518" t="str">
        <f>IF(AND(_A3="B-767-300",'2025'!$H$4="FO",'2025'!$H$2=BC157),'2025DATA'!$L$16,"")</f>
        <v/>
      </c>
      <c r="BD171" s="518" t="str">
        <f>IF(AND(_A3="B-767-300",'2025'!$H$4="FO",'2025'!$H$2=BD157),'2025DATA'!$M$16,"")</f>
        <v/>
      </c>
      <c r="BE171" s="520" t="str">
        <f>IF(AND(_A3="B-767-300",'2025'!$H$4="FO",'2025'!$H$2=BE157),'2025DATA'!$N$16,"")</f>
        <v/>
      </c>
      <c r="BF171" s="940"/>
      <c r="BG171" s="13" t="s">
        <v>62</v>
      </c>
      <c r="BH171" s="518" t="str">
        <f>IF(AND(_A4="B-767-300",'2025'!$H$4="FO",'2025'!$H$2=BH157),'2025DATA'!$C$16,"")</f>
        <v/>
      </c>
      <c r="BI171" s="518" t="str">
        <f>IF(AND(_A4="B-767-300",'2025'!$H$4="FO",'2025'!$H$2=BI157),'2025DATA'!$D$16,"")</f>
        <v/>
      </c>
      <c r="BJ171" s="518" t="str">
        <f>IF(AND(_A4="B-767-300",'2025'!$H$4="FO",'2025'!$H$2=BJ157),'2025DATA'!$E$16,"")</f>
        <v/>
      </c>
      <c r="BK171" s="518" t="str">
        <f>IF(AND(_A4="B-767-300",'2025'!$H$4="FO",'2025'!$H$2=BK157),'2025DATA'!$F$16,"")</f>
        <v/>
      </c>
      <c r="BL171" s="518" t="str">
        <f>IF(AND(_A4="B-767-300",'2025'!$H$4="FO",'2025'!$H$2=BL157),'2025DATA'!$G$16,"")</f>
        <v/>
      </c>
      <c r="BM171" s="518" t="str">
        <f>IF(AND(_A4="B-767-300",'2025'!$H$4="FO",'2025'!$H$2=BM157),'2025DATA'!$H$16,"")</f>
        <v/>
      </c>
      <c r="BN171" s="518" t="str">
        <f>IF(AND(_A4="B-767-300",'2025'!$H$4="FO",'2025'!$H$2=BN157),'2025DATA'!$I$16,"")</f>
        <v/>
      </c>
      <c r="BO171" s="518" t="str">
        <f>IF(AND(_A4="B-767-300",'2025'!$H$4="FO",'2025'!$H$2=BO157),'2025DATA'!$J$16,"")</f>
        <v/>
      </c>
      <c r="BP171" s="518" t="str">
        <f>IF(AND(_A4="B-767-300",'2025'!$H$4="FO",'2025'!$H$2=BP157),'2025DATA'!$K$16,"")</f>
        <v/>
      </c>
      <c r="BQ171" s="518" t="str">
        <f>IF(AND(_A4="B-767-300",'2025'!$H$4="FO",'2025'!$H$2=BQ157),'2025DATA'!$L$16,"")</f>
        <v/>
      </c>
      <c r="BR171" s="518" t="str">
        <f>IF(AND(_A4="B-767-300",'2025'!$H$4="FO",'2025'!$H$2=BR157),'2025DATA'!$M$16,"")</f>
        <v/>
      </c>
      <c r="BS171" s="520" t="str">
        <f>IF(AND(_A4="B-767-300",'2025'!$H$4="FO",'2025'!$H$2=BS157),'2025DATA'!$N$16,"")</f>
        <v/>
      </c>
      <c r="BT171" s="940"/>
      <c r="BU171" s="13" t="s">
        <v>62</v>
      </c>
      <c r="BV171" s="518" t="str">
        <f>IF(AND(_A5="B-767-300",'2025'!$H$4="FO",'2025'!$H$2=BV157),'2025DATA'!$C$16,"")</f>
        <v/>
      </c>
      <c r="BW171" s="518" t="str">
        <f>IF(AND(_A5="B-767-300",'2025'!$H$4="FO",'2025'!$H$2=BW157),'2025DATA'!$D$16,"")</f>
        <v/>
      </c>
      <c r="BX171" s="518" t="str">
        <f>IF(AND(_A5="B-767-300",'2025'!$H$4="FO",'2025'!$H$2=BX157),'2025DATA'!$E$16,"")</f>
        <v/>
      </c>
      <c r="BY171" s="518" t="str">
        <f>IF(AND(_A5="B-767-300",'2025'!$H$4="FO",'2025'!$H$2=BY157),'2025DATA'!$F$16,"")</f>
        <v/>
      </c>
      <c r="BZ171" s="518" t="str">
        <f>IF(AND(_A5="B-767-300",'2025'!$H$4="FO",'2025'!$H$2=BZ157),'2025DATA'!$G$16,"")</f>
        <v/>
      </c>
      <c r="CA171" s="518" t="str">
        <f>IF(AND(_A5="B-767-300",'2025'!$H$4="FO",'2025'!$H$2=CA157),'2025DATA'!$H$16,"")</f>
        <v/>
      </c>
      <c r="CB171" s="518" t="str">
        <f>IF(AND(_A5="B-767-300",'2025'!$H$4="FO",'2025'!$H$2=CB157),'2025DATA'!$I$16,"")</f>
        <v/>
      </c>
      <c r="CC171" s="518" t="str">
        <f>IF(AND(_A5="B-767-300",'2025'!$H$4="FO",'2025'!$H$2=CC157),'2025DATA'!$J$16,"")</f>
        <v/>
      </c>
      <c r="CD171" s="518" t="str">
        <f>IF(AND(_A5="B-767-300",'2025'!$H$4="FO",'2025'!$H$2=CD157),'2025DATA'!$K$16,"")</f>
        <v/>
      </c>
      <c r="CE171" s="518" t="str">
        <f>IF(AND(_A5="B-767-300",'2025'!$H$4="FO",'2025'!$H$2=CE157),'2025DATA'!$L$16,"")</f>
        <v/>
      </c>
      <c r="CF171" s="518" t="str">
        <f>IF(AND(_A5="B-767-300",'2025'!$H$4="FO",'2025'!$H$2=CF157),'2025DATA'!$M$16,"")</f>
        <v/>
      </c>
      <c r="CG171" s="520" t="str">
        <f>IF(AND(_A5="B-767-300",'2025'!$H$4="FO",'2025'!$H$2=CG157),'2025DATA'!$N$16,"")</f>
        <v/>
      </c>
      <c r="CH171" s="940"/>
      <c r="CI171" s="13" t="s">
        <v>62</v>
      </c>
      <c r="CJ171" s="518" t="str">
        <f>IF(AND(_A6="B-767-300",'2025'!$H$4="FO",'2025'!$H$2=CJ157),'2025DATA'!$C$16,"")</f>
        <v/>
      </c>
      <c r="CK171" s="518" t="str">
        <f>IF(AND(_A6="B-767-300",'2025'!$H$4="FO",'2025'!$H$2=CK157),'2025DATA'!$D$16,"")</f>
        <v/>
      </c>
      <c r="CL171" s="518" t="str">
        <f>IF(AND(_A6="B-767-300",'2025'!$H$4="FO",'2025'!$H$2=CL157),'2025DATA'!$E$16,"")</f>
        <v/>
      </c>
      <c r="CM171" s="518" t="str">
        <f>IF(AND(_A6="B-767-300",'2025'!$H$4="FO",'2025'!$H$2=CM157),'2025DATA'!$F$16,"")</f>
        <v/>
      </c>
      <c r="CN171" s="518" t="str">
        <f>IF(AND(_A6="B-767-300",'2025'!$H$4="FO",'2025'!$H$2=CN157),'2025DATA'!$G$16,"")</f>
        <v/>
      </c>
      <c r="CO171" s="518" t="str">
        <f>IF(AND(_A6="B-767-300",'2025'!$H$4="FO",'2025'!$H$2=CO157),'2025DATA'!$H$16,"")</f>
        <v/>
      </c>
      <c r="CP171" s="518" t="str">
        <f>IF(AND(_A6="B-767-300",'2025'!$H$4="FO",'2025'!$H$2=CP157),'2025DATA'!$I$16,"")</f>
        <v/>
      </c>
      <c r="CQ171" s="518" t="str">
        <f>IF(AND(_A6="B-767-300",'2025'!$H$4="FO",'2025'!$H$2=CQ157),'2025DATA'!$J$16,"")</f>
        <v/>
      </c>
      <c r="CR171" s="518" t="str">
        <f>IF(AND(_A6="B-767-300",'2025'!$H$4="FO",'2025'!$H$2=CR157),'2025DATA'!$K$16,"")</f>
        <v/>
      </c>
      <c r="CS171" s="518" t="str">
        <f>IF(AND(_A6="B-767-300",'2025'!$H$4="FO",'2025'!$H$2=CS157),'2025DATA'!$L$16,"")</f>
        <v/>
      </c>
      <c r="CT171" s="518" t="str">
        <f>IF(AND(_A6="B-767-300",'2025'!$H$4="FO",'2025'!$H$2=CT157),'2025DATA'!$M$16,"")</f>
        <v/>
      </c>
      <c r="CU171" s="520" t="str">
        <f>IF(AND(_A6="B-767-300",'2025'!$H$4="FO",'2025'!$H$2=CU157),'2025DATA'!$N$16,"")</f>
        <v/>
      </c>
    </row>
    <row r="172" spans="16:99" x14ac:dyDescent="0.25">
      <c r="P172" s="940" t="s">
        <v>68</v>
      </c>
      <c r="Q172" s="13" t="s">
        <v>61</v>
      </c>
      <c r="R172" s="518" t="str">
        <f>IF(AND(_A1="B-767-200",'2025'!$H$4="CA",'2025'!$H$2=R157),'2025DATA'!$C$17,"")</f>
        <v/>
      </c>
      <c r="S172" s="518" t="str">
        <f>IF(AND(_A1="B-767-200",'2025'!$H$4="CA",'2025'!$H$2=S157),'2025DATA'!$D$17,"")</f>
        <v/>
      </c>
      <c r="T172" s="518" t="str">
        <f>IF(AND(_A1="B-767-200",'2025'!$H$4="CA",'2025'!$H$2=T157),'2025DATA'!$E$17,"")</f>
        <v/>
      </c>
      <c r="U172" s="518" t="str">
        <f>IF(AND(_A1="B-767-200",'2025'!$H$4="CA",'2025'!$H$2=U157),'2025DATA'!$F$17,"")</f>
        <v/>
      </c>
      <c r="V172" s="518" t="str">
        <f>IF(AND(_A1="B-767-200",'2025'!$H$4="CA",'2025'!$H$2=V157),'2025DATA'!$G$17,"")</f>
        <v/>
      </c>
      <c r="W172" s="518" t="str">
        <f>IF(AND(_A1="B-767-200",'2025'!$H$4="CA",'2025'!$H$2=W157),'2025DATA'!$H$17,"")</f>
        <v/>
      </c>
      <c r="X172" s="518" t="str">
        <f>IF(AND(_A1="B-767-200",'2025'!$H$4="CA",'2025'!$H$2=X157),'2025DATA'!$I$17,"")</f>
        <v/>
      </c>
      <c r="Y172" s="518" t="str">
        <f>IF(AND(_A1="B-767-200",'2025'!$H$4="CA",'2025'!$H$2=Y157),'2025DATA'!$J$17,"")</f>
        <v/>
      </c>
      <c r="Z172" s="518" t="str">
        <f>IF(AND(_A1="B-767-200",'2025'!$H$4="CA",'2025'!$H$2=Z157),'2025DATA'!$K$17,"")</f>
        <v/>
      </c>
      <c r="AA172" s="518" t="str">
        <f>IF(AND(_A1="B-767-200",'2025'!$H$4="CA",'2025'!$H$2=AA157),'2025DATA'!$L$17,"")</f>
        <v/>
      </c>
      <c r="AB172" s="518" t="str">
        <f>IF(AND(_A1="B-767-200",'2025'!$H$4="CA",'2025'!$H$2=AB157),'2025DATA'!$M$17,"")</f>
        <v/>
      </c>
      <c r="AC172" s="520" t="str">
        <f>IF(AND(_A1="B-767-200",'2025'!$H$4="CA",'2025'!$H$2=AC157),'2025DATA'!$N$17,"")</f>
        <v/>
      </c>
      <c r="AD172" s="940" t="s">
        <v>68</v>
      </c>
      <c r="AE172" s="13" t="s">
        <v>61</v>
      </c>
      <c r="AF172" s="518" t="str">
        <f>IF(AND(_A2="B-767-200",'2025'!$H$4="CA",'2025'!$H$2=AF157),'2025DATA'!$C$17,"")</f>
        <v/>
      </c>
      <c r="AG172" s="518" t="str">
        <f>IF(AND(_A2="B-767-200",'2025'!$H$4="CA",'2025'!$H$2=AG157),'2025DATA'!$D$17,"")</f>
        <v/>
      </c>
      <c r="AH172" s="518" t="str">
        <f>IF(AND(_A2="B-767-200",'2025'!$H$4="CA",'2025'!$H$2=AH157),'2025DATA'!$E$17,"")</f>
        <v/>
      </c>
      <c r="AI172" s="518" t="str">
        <f>IF(AND(_A2="B-767-200",'2025'!$H$4="CA",'2025'!$H$2=AI157),'2025DATA'!$F$17,"")</f>
        <v/>
      </c>
      <c r="AJ172" s="518" t="str">
        <f>IF(AND(_A2="B-767-200",'2025'!$H$4="CA",'2025'!$H$2=AJ157),'2025DATA'!$G$17,"")</f>
        <v/>
      </c>
      <c r="AK172" s="518" t="str">
        <f>IF(AND(_A2="B-767-200",'2025'!$H$4="CA",'2025'!$H$2=AK157),'2025DATA'!$H$17,"")</f>
        <v/>
      </c>
      <c r="AL172" s="518" t="str">
        <f>IF(AND(_A2="B-767-200",'2025'!$H$4="CA",'2025'!$H$2=AL157),'2025DATA'!$I$17,"")</f>
        <v/>
      </c>
      <c r="AM172" s="518" t="str">
        <f>IF(AND(_A2="B-767-200",'2025'!$H$4="CA",'2025'!$H$2=AM157),'2025DATA'!$J$17,"")</f>
        <v/>
      </c>
      <c r="AN172" s="518" t="str">
        <f>IF(AND(_A2="B-767-200",'2025'!$H$4="CA",'2025'!$H$2=AN157),'2025DATA'!$K$17,"")</f>
        <v/>
      </c>
      <c r="AO172" s="518" t="str">
        <f>IF(AND(_A2="B-767-200",'2025'!$H$4="CA",'2025'!$H$2=AO157),'2025DATA'!$L$17,"")</f>
        <v/>
      </c>
      <c r="AP172" s="518" t="str">
        <f>IF(AND(_A2="B-767-200",'2025'!$H$4="CA",'2025'!$H$2=AP157),'2025DATA'!$M$17,"")</f>
        <v/>
      </c>
      <c r="AQ172" s="520" t="str">
        <f>IF(AND(_A2="B-767-200",'2025'!$H$4="CA",'2025'!$H$2=AQ157),'2025DATA'!$N$17,"")</f>
        <v/>
      </c>
      <c r="AR172" s="940" t="s">
        <v>68</v>
      </c>
      <c r="AS172" s="13" t="s">
        <v>61</v>
      </c>
      <c r="AT172" s="518" t="str">
        <f>IF(AND(_A3="B-767-200",'2025'!$H$4="CA",'2025'!$H$2=AT157),'2025DATA'!$C$17,"")</f>
        <v/>
      </c>
      <c r="AU172" s="518" t="str">
        <f>IF(AND(_A3="B-767-200",'2025'!$H$4="CA",'2025'!$H$2=AU157),'2025DATA'!$D$17,"")</f>
        <v/>
      </c>
      <c r="AV172" s="518" t="str">
        <f>IF(AND(_A3="B-767-200",'2025'!$H$4="CA",'2025'!$H$2=AV157),'2025DATA'!$E$17,"")</f>
        <v/>
      </c>
      <c r="AW172" s="518" t="str">
        <f>IF(AND(_A3="B-767-200",'2025'!$H$4="CA",'2025'!$H$2=AW157),'2025DATA'!$F$17,"")</f>
        <v/>
      </c>
      <c r="AX172" s="518" t="str">
        <f>IF(AND(_A3="B-767-200",'2025'!$H$4="CA",'2025'!$H$2=AX157),'2025DATA'!$G$17,"")</f>
        <v/>
      </c>
      <c r="AY172" s="518" t="str">
        <f>IF(AND(_A3="B-767-200",'2025'!$H$4="CA",'2025'!$H$2=AY157),'2025DATA'!$H$17,"")</f>
        <v/>
      </c>
      <c r="AZ172" s="518" t="str">
        <f>IF(AND(_A3="B-767-200",'2025'!$H$4="CA",'2025'!$H$2=AZ157),'2025DATA'!$I$17,"")</f>
        <v/>
      </c>
      <c r="BA172" s="518" t="str">
        <f>IF(AND(_A3="B-767-200",'2025'!$H$4="CA",'2025'!$H$2=BA157),'2025DATA'!$J$17,"")</f>
        <v/>
      </c>
      <c r="BB172" s="518" t="str">
        <f>IF(AND(_A3="B-767-200",'2025'!$H$4="CA",'2025'!$H$2=BB157),'2025DATA'!$K$17,"")</f>
        <v/>
      </c>
      <c r="BC172" s="518" t="str">
        <f>IF(AND(_A3="B-767-200",'2025'!$H$4="CA",'2025'!$H$2=BC157),'2025DATA'!$L$17,"")</f>
        <v/>
      </c>
      <c r="BD172" s="518" t="str">
        <f>IF(AND(_A3="B-767-200",'2025'!$H$4="CA",'2025'!$H$2=BD157),'2025DATA'!$M$17,"")</f>
        <v/>
      </c>
      <c r="BE172" s="520" t="str">
        <f>IF(AND(_A3="B-767-200",'2025'!$H$4="CA",'2025'!$H$2=BE157),'2025DATA'!$N$17,"")</f>
        <v/>
      </c>
      <c r="BF172" s="940" t="s">
        <v>68</v>
      </c>
      <c r="BG172" s="13" t="s">
        <v>61</v>
      </c>
      <c r="BH172" s="518" t="str">
        <f>IF(AND(_A4="B-767-200",'2025'!$H$4="CA",'2025'!$H$2=BH157),'2025DATA'!$C$17,"")</f>
        <v/>
      </c>
      <c r="BI172" s="518" t="str">
        <f>IF(AND(_A4="B-767-200",'2025'!$H$4="CA",'2025'!$H$2=BI157),'2025DATA'!$D$17,"")</f>
        <v/>
      </c>
      <c r="BJ172" s="518" t="str">
        <f>IF(AND(_A4="B-767-200",'2025'!$H$4="CA",'2025'!$H$2=BJ157),'2025DATA'!$E$17,"")</f>
        <v/>
      </c>
      <c r="BK172" s="518" t="str">
        <f>IF(AND(_A4="B-767-200",'2025'!$H$4="CA",'2025'!$H$2=BK157),'2025DATA'!$F$17,"")</f>
        <v/>
      </c>
      <c r="BL172" s="518" t="str">
        <f>IF(AND(_A4="B-767-200",'2025'!$H$4="CA",'2025'!$H$2=BL157),'2025DATA'!$G$17,"")</f>
        <v/>
      </c>
      <c r="BM172" s="518" t="str">
        <f>IF(AND(_A4="B-767-200",'2025'!$H$4="CA",'2025'!$H$2=BM157),'2025DATA'!$H$17,"")</f>
        <v/>
      </c>
      <c r="BN172" s="518" t="str">
        <f>IF(AND(_A4="B-767-200",'2025'!$H$4="CA",'2025'!$H$2=BN157),'2025DATA'!$I$17,"")</f>
        <v/>
      </c>
      <c r="BO172" s="518" t="str">
        <f>IF(AND(_A4="B-767-200",'2025'!$H$4="CA",'2025'!$H$2=BO157),'2025DATA'!$J$17,"")</f>
        <v/>
      </c>
      <c r="BP172" s="518" t="str">
        <f>IF(AND(_A4="B-767-200",'2025'!$H$4="CA",'2025'!$H$2=BP157),'2025DATA'!$K$17,"")</f>
        <v/>
      </c>
      <c r="BQ172" s="518" t="str">
        <f>IF(AND(_A4="B-767-200",'2025'!$H$4="CA",'2025'!$H$2=BQ157),'2025DATA'!$L$17,"")</f>
        <v/>
      </c>
      <c r="BR172" s="518" t="str">
        <f>IF(AND(_A4="B-767-200",'2025'!$H$4="CA",'2025'!$H$2=BR157),'2025DATA'!$M$17,"")</f>
        <v/>
      </c>
      <c r="BS172" s="520" t="str">
        <f>IF(AND(_A4="B-767-200",'2025'!$H$4="CA",'2025'!$H$2=BS157),'2025DATA'!$N$17,"")</f>
        <v/>
      </c>
      <c r="BT172" s="940" t="s">
        <v>68</v>
      </c>
      <c r="BU172" s="13" t="s">
        <v>61</v>
      </c>
      <c r="BV172" s="518" t="str">
        <f>IF(AND(_A5="B-767-200",'2025'!$H$4="CA",'2025'!$H$2=BV157),'2025DATA'!$C$17,"")</f>
        <v/>
      </c>
      <c r="BW172" s="518" t="str">
        <f>IF(AND(_A5="B-767-200",'2025'!$H$4="CA",'2025'!$H$2=BW157),'2025DATA'!$D$17,"")</f>
        <v/>
      </c>
      <c r="BX172" s="518" t="str">
        <f>IF(AND(_A5="B-767-200",'2025'!$H$4="CA",'2025'!$H$2=BX157),'2025DATA'!$E$17,"")</f>
        <v/>
      </c>
      <c r="BY172" s="518" t="str">
        <f>IF(AND(_A5="B-767-200",'2025'!$H$4="CA",'2025'!$H$2=BY157),'2025DATA'!$F$17,"")</f>
        <v/>
      </c>
      <c r="BZ172" s="518" t="str">
        <f>IF(AND(_A5="B-767-200",'2025'!$H$4="CA",'2025'!$H$2=BZ157),'2025DATA'!$G$17,"")</f>
        <v/>
      </c>
      <c r="CA172" s="518" t="str">
        <f>IF(AND(_A5="B-767-200",'2025'!$H$4="CA",'2025'!$H$2=CA157),'2025DATA'!$H$17,"")</f>
        <v/>
      </c>
      <c r="CB172" s="518" t="str">
        <f>IF(AND(_A5="B-767-200",'2025'!$H$4="CA",'2025'!$H$2=CB157),'2025DATA'!$I$17,"")</f>
        <v/>
      </c>
      <c r="CC172" s="518" t="str">
        <f>IF(AND(_A5="B-767-200",'2025'!$H$4="CA",'2025'!$H$2=CC157),'2025DATA'!$J$17,"")</f>
        <v/>
      </c>
      <c r="CD172" s="518" t="str">
        <f>IF(AND(_A5="B-767-200",'2025'!$H$4="CA",'2025'!$H$2=CD157),'2025DATA'!$K$17,"")</f>
        <v/>
      </c>
      <c r="CE172" s="518" t="str">
        <f>IF(AND(_A5="B-767-200",'2025'!$H$4="CA",'2025'!$H$2=CE157),'2025DATA'!$L$17,"")</f>
        <v/>
      </c>
      <c r="CF172" s="518" t="str">
        <f>IF(AND(_A5="B-767-200",'2025'!$H$4="CA",'2025'!$H$2=CF157),'2025DATA'!$M$17,"")</f>
        <v/>
      </c>
      <c r="CG172" s="520" t="str">
        <f>IF(AND(_A5="B-767-200",'2025'!$H$4="CA",'2025'!$H$2=CG157),'2025DATA'!$N$17,"")</f>
        <v/>
      </c>
      <c r="CH172" s="940" t="s">
        <v>68</v>
      </c>
      <c r="CI172" s="13" t="s">
        <v>61</v>
      </c>
      <c r="CJ172" s="518" t="str">
        <f>IF(AND(_A6="B-767-200",'2025'!$H$4="CA",'2025'!$H$2=CJ157),'2025DATA'!$C$17,"")</f>
        <v/>
      </c>
      <c r="CK172" s="518" t="str">
        <f>IF(AND(_A6="B-767-200",'2025'!$H$4="CA",'2025'!$H$2=CK157),'2025DATA'!$D$17,"")</f>
        <v/>
      </c>
      <c r="CL172" s="518" t="str">
        <f>IF(AND(_A6="B-767-200",'2025'!$H$4="CA",'2025'!$H$2=CL157),'2025DATA'!$E$17,"")</f>
        <v/>
      </c>
      <c r="CM172" s="518" t="str">
        <f>IF(AND(_A6="B-767-200",'2025'!$H$4="CA",'2025'!$H$2=CM157),'2025DATA'!$F$17,"")</f>
        <v/>
      </c>
      <c r="CN172" s="518" t="str">
        <f>IF(AND(_A6="B-767-200",'2025'!$H$4="CA",'2025'!$H$2=CN157),'2025DATA'!$G$17,"")</f>
        <v/>
      </c>
      <c r="CO172" s="518" t="str">
        <f>IF(AND(_A6="B-767-200",'2025'!$H$4="CA",'2025'!$H$2=CO157),'2025DATA'!$H$17,"")</f>
        <v/>
      </c>
      <c r="CP172" s="518" t="str">
        <f>IF(AND(_A6="B-767-200",'2025'!$H$4="CA",'2025'!$H$2=CP157),'2025DATA'!$I$17,"")</f>
        <v/>
      </c>
      <c r="CQ172" s="518" t="str">
        <f>IF(AND(_A6="B-767-200",'2025'!$H$4="CA",'2025'!$H$2=CQ157),'2025DATA'!$J$17,"")</f>
        <v/>
      </c>
      <c r="CR172" s="518" t="str">
        <f>IF(AND(_A6="B-767-200",'2025'!$H$4="CA",'2025'!$H$2=CR157),'2025DATA'!$K$17,"")</f>
        <v/>
      </c>
      <c r="CS172" s="518" t="str">
        <f>IF(AND(_A6="B-767-200",'2025'!$H$4="CA",'2025'!$H$2=CS157),'2025DATA'!$L$17,"")</f>
        <v/>
      </c>
      <c r="CT172" s="518" t="str">
        <f>IF(AND(_A6="B-767-200",'2025'!$H$4="CA",'2025'!$H$2=CT157),'2025DATA'!$M$17,"")</f>
        <v/>
      </c>
      <c r="CU172" s="520" t="str">
        <f>IF(AND(_A6="B-767-200",'2025'!$H$4="CA",'2025'!$H$2=CU157),'2025DATA'!$N$17,"")</f>
        <v/>
      </c>
    </row>
    <row r="173" spans="16:99" x14ac:dyDescent="0.25">
      <c r="P173" s="940"/>
      <c r="Q173" s="13" t="s">
        <v>62</v>
      </c>
      <c r="R173" s="518" t="str">
        <f>IF(AND(_A1="B-767-200",'2025'!$H$4="FO",'2025'!$H$2=R157),'2025DATA'!$C$18,"")</f>
        <v/>
      </c>
      <c r="S173" s="518" t="str">
        <f>IF(AND(_A1="B-767-200",'2025'!$H$4="FO",'2025'!$H$2=S157),'2025DATA'!$D$18,"")</f>
        <v/>
      </c>
      <c r="T173" s="518" t="str">
        <f>IF(AND(_A1="B-767-200",'2025'!$H$4="FO",'2025'!$H$2=T157),'2025DATA'!$E$18,"")</f>
        <v/>
      </c>
      <c r="U173" s="518" t="str">
        <f>IF(AND(_A1="B-767-200",'2025'!$H$4="FO",'2025'!$H$2=U157),'2025DATA'!$F$18,"")</f>
        <v/>
      </c>
      <c r="V173" s="518" t="str">
        <f>IF(AND(_A1="B-767-200",'2025'!$H$4="FO",'2025'!$H$2=V157),'2025DATA'!$G$18,"")</f>
        <v/>
      </c>
      <c r="W173" s="518" t="str">
        <f>IF(AND(_A1="B-767-200",'2025'!$H$4="FO",'2025'!$H$2=W157),'2025DATA'!$H$18,"")</f>
        <v/>
      </c>
      <c r="X173" s="518" t="str">
        <f>IF(AND(_A1="B-767-200",'2025'!$H$4="FO",'2025'!$H$2=X157),'2025DATA'!$I$18,"")</f>
        <v/>
      </c>
      <c r="Y173" s="518" t="str">
        <f>IF(AND(_A1="B-767-200",'2025'!$H$4="FO",'2025'!$H$2=Y157),'2025DATA'!$J$18,"")</f>
        <v/>
      </c>
      <c r="Z173" s="518" t="str">
        <f>IF(AND(_A1="B-767-200",'2025'!$H$4="FO",'2025'!$H$2=Z157),'2025DATA'!$K$18,"")</f>
        <v/>
      </c>
      <c r="AA173" s="518" t="str">
        <f>IF(AND(_A1="B-767-200",'2025'!$H$4="FO",'2025'!$H$2=AA157),'2025DATA'!$L$18,"")</f>
        <v/>
      </c>
      <c r="AB173" s="518" t="str">
        <f>IF(AND(_A1="B-767-200",'2025'!$H$4="FO",'2025'!$H$2=AB157),'2025DATA'!$M$18,"")</f>
        <v/>
      </c>
      <c r="AC173" s="520" t="str">
        <f>IF(AND(_A1="B-767-200",'2025'!$H$4="FO",'2025'!$H$2=AC157),'2025DATA'!$N$18,"")</f>
        <v/>
      </c>
      <c r="AD173" s="940"/>
      <c r="AE173" s="13" t="s">
        <v>62</v>
      </c>
      <c r="AF173" s="518" t="str">
        <f>IF(AND(_A2="B-767-200",'2025'!$H$4="FO",'2025'!$H$2=AF157),'2025DATA'!$C$18,"")</f>
        <v/>
      </c>
      <c r="AG173" s="518" t="str">
        <f>IF(AND(_A2="B-767-200",'2025'!$H$4="FO",'2025'!$H$2=AG157),'2025DATA'!$D$18,"")</f>
        <v/>
      </c>
      <c r="AH173" s="518" t="str">
        <f>IF(AND(_A2="B-767-200",'2025'!$H$4="FO",'2025'!$H$2=AH157),'2025DATA'!$E$18,"")</f>
        <v/>
      </c>
      <c r="AI173" s="518" t="str">
        <f>IF(AND(_A2="B-767-200",'2025'!$H$4="FO",'2025'!$H$2=AI157),'2025DATA'!$F$18,"")</f>
        <v/>
      </c>
      <c r="AJ173" s="518" t="str">
        <f>IF(AND(_A2="B-767-200",'2025'!$H$4="FO",'2025'!$H$2=AJ157),'2025DATA'!$G$18,"")</f>
        <v/>
      </c>
      <c r="AK173" s="518" t="str">
        <f>IF(AND(_A2="B-767-200",'2025'!$H$4="FO",'2025'!$H$2=AK157),'2025DATA'!$H$18,"")</f>
        <v/>
      </c>
      <c r="AL173" s="518" t="str">
        <f>IF(AND(_A2="B-767-200",'2025'!$H$4="FO",'2025'!$H$2=AL157),'2025DATA'!$I$18,"")</f>
        <v/>
      </c>
      <c r="AM173" s="518" t="str">
        <f>IF(AND(_A2="B-767-200",'2025'!$H$4="FO",'2025'!$H$2=AM157),'2025DATA'!$J$18,"")</f>
        <v/>
      </c>
      <c r="AN173" s="518" t="str">
        <f>IF(AND(_A2="B-767-200",'2025'!$H$4="FO",'2025'!$H$2=AN157),'2025DATA'!$K$18,"")</f>
        <v/>
      </c>
      <c r="AO173" s="518" t="str">
        <f>IF(AND(_A2="B-767-200",'2025'!$H$4="FO",'2025'!$H$2=AO157),'2025DATA'!$L$18,"")</f>
        <v/>
      </c>
      <c r="AP173" s="518" t="str">
        <f>IF(AND(_A2="B-767-200",'2025'!$H$4="FO",'2025'!$H$2=AP157),'2025DATA'!$M$18,"")</f>
        <v/>
      </c>
      <c r="AQ173" s="520" t="str">
        <f>IF(AND(_A2="B-767-200",'2025'!$H$4="FO",'2025'!$H$2=AQ157),'2025DATA'!$N$18,"")</f>
        <v/>
      </c>
      <c r="AR173" s="940"/>
      <c r="AS173" s="13" t="s">
        <v>62</v>
      </c>
      <c r="AT173" s="518" t="str">
        <f>IF(AND(_A3="B-767-200",'2025'!$H$4="FO",'2025'!$H$2=AT157),'2025DATA'!$C$18,"")</f>
        <v/>
      </c>
      <c r="AU173" s="518" t="str">
        <f>IF(AND(_A3="B-767-200",'2025'!$H$4="FO",'2025'!$H$2=AU157),'2025DATA'!$D$18,"")</f>
        <v/>
      </c>
      <c r="AV173" s="518" t="str">
        <f>IF(AND(_A3="B-767-200",'2025'!$H$4="FO",'2025'!$H$2=AV157),'2025DATA'!$E$18,"")</f>
        <v/>
      </c>
      <c r="AW173" s="518" t="str">
        <f>IF(AND(_A3="B-767-200",'2025'!$H$4="FO",'2025'!$H$2=AW157),'2025DATA'!$F$18,"")</f>
        <v/>
      </c>
      <c r="AX173" s="518" t="str">
        <f>IF(AND(_A3="B-767-200",'2025'!$H$4="FO",'2025'!$H$2=AX157),'2025DATA'!$G$18,"")</f>
        <v/>
      </c>
      <c r="AY173" s="518" t="str">
        <f>IF(AND(_A3="B-767-200",'2025'!$H$4="FO",'2025'!$H$2=AY157),'2025DATA'!$H$18,"")</f>
        <v/>
      </c>
      <c r="AZ173" s="518" t="str">
        <f>IF(AND(_A3="B-767-200",'2025'!$H$4="FO",'2025'!$H$2=AZ157),'2025DATA'!$I$18,"")</f>
        <v/>
      </c>
      <c r="BA173" s="518" t="str">
        <f>IF(AND(_A3="B-767-200",'2025'!$H$4="FO",'2025'!$H$2=BA157),'2025DATA'!$J$18,"")</f>
        <v/>
      </c>
      <c r="BB173" s="518" t="str">
        <f>IF(AND(_A3="B-767-200",'2025'!$H$4="FO",'2025'!$H$2=BB157),'2025DATA'!$K$18,"")</f>
        <v/>
      </c>
      <c r="BC173" s="518" t="str">
        <f>IF(AND(_A3="B-767-200",'2025'!$H$4="FO",'2025'!$H$2=BC157),'2025DATA'!$L$18,"")</f>
        <v/>
      </c>
      <c r="BD173" s="518" t="str">
        <f>IF(AND(_A3="B-767-200",'2025'!$H$4="FO",'2025'!$H$2=BD157),'2025DATA'!$M$18,"")</f>
        <v/>
      </c>
      <c r="BE173" s="520" t="str">
        <f>IF(AND(_A3="B-767-200",'2025'!$H$4="FO",'2025'!$H$2=BE157),'2025DATA'!$N$18,"")</f>
        <v/>
      </c>
      <c r="BF173" s="940"/>
      <c r="BG173" s="13" t="s">
        <v>62</v>
      </c>
      <c r="BH173" s="518" t="str">
        <f>IF(AND(_A4="B-767-200",'2025'!$H$4="FO",'2025'!$H$2=BH157),'2025DATA'!$C$18,"")</f>
        <v/>
      </c>
      <c r="BI173" s="518" t="str">
        <f>IF(AND(_A4="B-767-200",'2025'!$H$4="FO",'2025'!$H$2=BI157),'2025DATA'!$D$18,"")</f>
        <v/>
      </c>
      <c r="BJ173" s="518" t="str">
        <f>IF(AND(_A4="B-767-200",'2025'!$H$4="FO",'2025'!$H$2=BJ157),'2025DATA'!$E$18,"")</f>
        <v/>
      </c>
      <c r="BK173" s="518" t="str">
        <f>IF(AND(_A4="B-767-200",'2025'!$H$4="FO",'2025'!$H$2=BK157),'2025DATA'!$F$18,"")</f>
        <v/>
      </c>
      <c r="BL173" s="518" t="str">
        <f>IF(AND(_A4="B-767-200",'2025'!$H$4="FO",'2025'!$H$2=BL157),'2025DATA'!$G$18,"")</f>
        <v/>
      </c>
      <c r="BM173" s="518" t="str">
        <f>IF(AND(_A4="B-767-200",'2025'!$H$4="FO",'2025'!$H$2=BM157),'2025DATA'!$H$18,"")</f>
        <v/>
      </c>
      <c r="BN173" s="518" t="str">
        <f>IF(AND(_A4="B-767-200",'2025'!$H$4="FO",'2025'!$H$2=BN157),'2025DATA'!$I$18,"")</f>
        <v/>
      </c>
      <c r="BO173" s="518" t="str">
        <f>IF(AND(_A4="B-767-200",'2025'!$H$4="FO",'2025'!$H$2=BO157),'2025DATA'!$J$18,"")</f>
        <v/>
      </c>
      <c r="BP173" s="518" t="str">
        <f>IF(AND(_A4="B-767-200",'2025'!$H$4="FO",'2025'!$H$2=BP157),'2025DATA'!$K$18,"")</f>
        <v/>
      </c>
      <c r="BQ173" s="518" t="str">
        <f>IF(AND(_A4="B-767-200",'2025'!$H$4="FO",'2025'!$H$2=BQ157),'2025DATA'!$L$18,"")</f>
        <v/>
      </c>
      <c r="BR173" s="518" t="str">
        <f>IF(AND(_A4="B-767-200",'2025'!$H$4="FO",'2025'!$H$2=BR157),'2025DATA'!$M$18,"")</f>
        <v/>
      </c>
      <c r="BS173" s="520" t="str">
        <f>IF(AND(_A4="B-767-200",'2025'!$H$4="FO",'2025'!$H$2=BS157),'2025DATA'!$N$18,"")</f>
        <v/>
      </c>
      <c r="BT173" s="940"/>
      <c r="BU173" s="13" t="s">
        <v>62</v>
      </c>
      <c r="BV173" s="518" t="str">
        <f>IF(AND(_A5="B-767-200",'2025'!$H$4="FO",'2025'!$H$2=BV157),'2025DATA'!$C$18,"")</f>
        <v/>
      </c>
      <c r="BW173" s="518" t="str">
        <f>IF(AND(_A5="B-767-200",'2025'!$H$4="FO",'2025'!$H$2=BW157),'2025DATA'!$D$18,"")</f>
        <v/>
      </c>
      <c r="BX173" s="518" t="str">
        <f>IF(AND(_A5="B-767-200",'2025'!$H$4="FO",'2025'!$H$2=BX157),'2025DATA'!$E$18,"")</f>
        <v/>
      </c>
      <c r="BY173" s="518" t="str">
        <f>IF(AND(_A5="B-767-200",'2025'!$H$4="FO",'2025'!$H$2=BY157),'2025DATA'!$F$18,"")</f>
        <v/>
      </c>
      <c r="BZ173" s="518" t="str">
        <f>IF(AND(_A5="B-767-200",'2025'!$H$4="FO",'2025'!$H$2=BZ157),'2025DATA'!$G$18,"")</f>
        <v/>
      </c>
      <c r="CA173" s="518" t="str">
        <f>IF(AND(_A5="B-767-200",'2025'!$H$4="FO",'2025'!$H$2=CA157),'2025DATA'!$H$18,"")</f>
        <v/>
      </c>
      <c r="CB173" s="518" t="str">
        <f>IF(AND(_A5="B-767-200",'2025'!$H$4="FO",'2025'!$H$2=CB157),'2025DATA'!$I$18,"")</f>
        <v/>
      </c>
      <c r="CC173" s="518" t="str">
        <f>IF(AND(_A5="B-767-200",'2025'!$H$4="FO",'2025'!$H$2=CC157),'2025DATA'!$J$18,"")</f>
        <v/>
      </c>
      <c r="CD173" s="518" t="str">
        <f>IF(AND(_A5="B-767-200",'2025'!$H$4="FO",'2025'!$H$2=CD157),'2025DATA'!$K$18,"")</f>
        <v/>
      </c>
      <c r="CE173" s="518" t="str">
        <f>IF(AND(_A5="B-767-200",'2025'!$H$4="FO",'2025'!$H$2=CE157),'2025DATA'!$L$18,"")</f>
        <v/>
      </c>
      <c r="CF173" s="518" t="str">
        <f>IF(AND(_A5="B-767-200",'2025'!$H$4="FO",'2025'!$H$2=CF157),'2025DATA'!$M$18,"")</f>
        <v/>
      </c>
      <c r="CG173" s="520" t="str">
        <f>IF(AND(_A5="B-767-200",'2025'!$H$4="FO",'2025'!$H$2=CG157),'2025DATA'!$N$18,"")</f>
        <v/>
      </c>
      <c r="CH173" s="940"/>
      <c r="CI173" s="13" t="s">
        <v>62</v>
      </c>
      <c r="CJ173" s="518" t="str">
        <f>IF(AND(_A6="B-767-200",'2025'!$H$4="FO",'2025'!$H$2=CJ157),'2025DATA'!$C$18,"")</f>
        <v/>
      </c>
      <c r="CK173" s="518" t="str">
        <f>IF(AND(_A6="B-767-200",'2025'!$H$4="FO",'2025'!$H$2=CK157),'2025DATA'!$D$18,"")</f>
        <v/>
      </c>
      <c r="CL173" s="518" t="str">
        <f>IF(AND(_A6="B-767-200",'2025'!$H$4="FO",'2025'!$H$2=CL157),'2025DATA'!$E$18,"")</f>
        <v/>
      </c>
      <c r="CM173" s="518" t="str">
        <f>IF(AND(_A6="B-767-200",'2025'!$H$4="FO",'2025'!$H$2=CM157),'2025DATA'!$F$18,"")</f>
        <v/>
      </c>
      <c r="CN173" s="518" t="str">
        <f>IF(AND(_A6="B-767-200",'2025'!$H$4="FO",'2025'!$H$2=CN157),'2025DATA'!$G$18,"")</f>
        <v/>
      </c>
      <c r="CO173" s="518" t="str">
        <f>IF(AND(_A6="B-767-200",'2025'!$H$4="FO",'2025'!$H$2=CO157),'2025DATA'!$H$18,"")</f>
        <v/>
      </c>
      <c r="CP173" s="518" t="str">
        <f>IF(AND(_A6="B-767-200",'2025'!$H$4="FO",'2025'!$H$2=CP157),'2025DATA'!$I$18,"")</f>
        <v/>
      </c>
      <c r="CQ173" s="518" t="str">
        <f>IF(AND(_A6="B-767-200",'2025'!$H$4="FO",'2025'!$H$2=CQ157),'2025DATA'!$J$18,"")</f>
        <v/>
      </c>
      <c r="CR173" s="518" t="str">
        <f>IF(AND(_A6="B-767-200",'2025'!$H$4="FO",'2025'!$H$2=CR157),'2025DATA'!$K$18,"")</f>
        <v/>
      </c>
      <c r="CS173" s="518" t="str">
        <f>IF(AND(_A6="B-767-200",'2025'!$H$4="FO",'2025'!$H$2=CS157),'2025DATA'!$L$18,"")</f>
        <v/>
      </c>
      <c r="CT173" s="518" t="str">
        <f>IF(AND(_A6="B-767-200",'2025'!$H$4="FO",'2025'!$H$2=CT157),'2025DATA'!$M$18,"")</f>
        <v/>
      </c>
      <c r="CU173" s="520" t="str">
        <f>IF(AND(_A6="B-767-200",'2025'!$H$4="FO",'2025'!$H$2=CU157),'2025DATA'!$N$18,"")</f>
        <v/>
      </c>
    </row>
    <row r="174" spans="16:99" x14ac:dyDescent="0.25">
      <c r="P174" s="940" t="s">
        <v>45</v>
      </c>
      <c r="Q174" s="13" t="s">
        <v>61</v>
      </c>
      <c r="R174" s="518" t="str">
        <f>IF(AND(_A1="B-757",'2025'!$H$4="CA",'2025'!$H$2=R157),'2025DATA'!$C$19,"")</f>
        <v/>
      </c>
      <c r="S174" s="518" t="str">
        <f>IF(AND(_A1="B-757",'2025'!$H$4="CA",'2025'!$H$2=S157),'2025DATA'!$D$19,"")</f>
        <v/>
      </c>
      <c r="T174" s="518" t="str">
        <f>IF(AND(_A1="B-757",'2025'!$H$4="CA",'2025'!$H$2=T157),'2025DATA'!$E$19,"")</f>
        <v/>
      </c>
      <c r="U174" s="518" t="str">
        <f>IF(AND(_A1="B-757",'2025'!$H$4="CA",'2025'!$H$2=U157),'2025DATA'!$F$19,"")</f>
        <v/>
      </c>
      <c r="V174" s="518" t="str">
        <f>IF(AND(_A1="B-757",'2025'!$H$4="CA",'2025'!$H$2=V157),'2025DATA'!$G$19,"")</f>
        <v/>
      </c>
      <c r="W174" s="518" t="str">
        <f>IF(AND(_A1="B-757",'2025'!$H$4="CA",'2025'!$H$2=W157),'2025DATA'!$H$19,"")</f>
        <v/>
      </c>
      <c r="X174" s="518" t="str">
        <f>IF(AND(_A1="B-757",'2025'!$H$4="CA",'2025'!$H$2=X157),'2025DATA'!$I$19,"")</f>
        <v/>
      </c>
      <c r="Y174" s="518" t="str">
        <f>IF(AND(_A1="B-757",'2025'!$H$4="CA",'2025'!$H$2=Y157),'2025DATA'!$J$19,"")</f>
        <v/>
      </c>
      <c r="Z174" s="518" t="str">
        <f>IF(AND(_A1="B-757",'2025'!$H$4="CA",'2025'!$H$2=Z157),'2025DATA'!$K$19,"")</f>
        <v/>
      </c>
      <c r="AA174" s="518" t="str">
        <f>IF(AND(_A1="B-757",'2025'!$H$4="CA",'2025'!$H$2=AA157),'2025DATA'!$L$19,"")</f>
        <v/>
      </c>
      <c r="AB174" s="518" t="str">
        <f>IF(AND(_A1="B-757",'2025'!$H$4="CA",'2025'!$H$2=AB157),'2025DATA'!$M$19,"")</f>
        <v/>
      </c>
      <c r="AC174" s="520" t="str">
        <f>IF(AND(_A1="B-757",'2025'!$H$4="CA",'2025'!$H$2=AC157),'2025DATA'!$N$19,"")</f>
        <v/>
      </c>
      <c r="AD174" s="940" t="s">
        <v>45</v>
      </c>
      <c r="AE174" s="13" t="s">
        <v>61</v>
      </c>
      <c r="AF174" s="518" t="str">
        <f>IF(AND(_A2="B-757",'2025'!$H$4="CA",'2025'!$H$2=AF157),'2025DATA'!$C$19,"")</f>
        <v/>
      </c>
      <c r="AG174" s="518" t="str">
        <f>IF(AND(_A2="B-757",'2025'!$H$4="CA",'2025'!$H$2=AG157),'2025DATA'!$D$19,"")</f>
        <v/>
      </c>
      <c r="AH174" s="518" t="str">
        <f>IF(AND(_A2="B-757",'2025'!$H$4="CA",'2025'!$H$2=AH157),'2025DATA'!$E$19,"")</f>
        <v/>
      </c>
      <c r="AI174" s="518" t="str">
        <f>IF(AND(_A2="B-757",'2025'!$H$4="CA",'2025'!$H$2=AI157),'2025DATA'!$F$19,"")</f>
        <v/>
      </c>
      <c r="AJ174" s="518" t="str">
        <f>IF(AND(_A2="B-757",'2025'!$H$4="CA",'2025'!$H$2=AJ157),'2025DATA'!$G$19,"")</f>
        <v/>
      </c>
      <c r="AK174" s="518" t="str">
        <f>IF(AND(_A2="B-757",'2025'!$H$4="CA",'2025'!$H$2=AK157),'2025DATA'!$H$19,"")</f>
        <v/>
      </c>
      <c r="AL174" s="518" t="str">
        <f>IF(AND(_A2="B-757",'2025'!$H$4="CA",'2025'!$H$2=AL157),'2025DATA'!$I$19,"")</f>
        <v/>
      </c>
      <c r="AM174" s="518" t="str">
        <f>IF(AND(_A2="B-757",'2025'!$H$4="CA",'2025'!$H$2=AM157),'2025DATA'!$J$19,"")</f>
        <v/>
      </c>
      <c r="AN174" s="518" t="str">
        <f>IF(AND(_A2="B-757",'2025'!$H$4="CA",'2025'!$H$2=AN157),'2025DATA'!$K$19,"")</f>
        <v/>
      </c>
      <c r="AO174" s="518" t="str">
        <f>IF(AND(_A2="B-757",'2025'!$H$4="CA",'2025'!$H$2=AO157),'2025DATA'!$L$19,"")</f>
        <v/>
      </c>
      <c r="AP174" s="518" t="str">
        <f>IF(AND(_A2="B-757",'2025'!$H$4="CA",'2025'!$H$2=AP157),'2025DATA'!$M$19,"")</f>
        <v/>
      </c>
      <c r="AQ174" s="520" t="str">
        <f>IF(AND(_A2="B-757",'2025'!$H$4="CA",'2025'!$H$2=AQ157),'2025DATA'!$N$19,"")</f>
        <v/>
      </c>
      <c r="AR174" s="940" t="s">
        <v>45</v>
      </c>
      <c r="AS174" s="13" t="s">
        <v>61</v>
      </c>
      <c r="AT174" s="518" t="str">
        <f>IF(AND(_A3="B-757",'2025'!$H$4="CA",'2025'!$H$2=AT157),'2025DATA'!$C$19,"")</f>
        <v/>
      </c>
      <c r="AU174" s="518" t="str">
        <f>IF(AND(_A3="B-757",'2025'!$H$4="CA",'2025'!$H$2=AU157),'2025DATA'!$D$19,"")</f>
        <v/>
      </c>
      <c r="AV174" s="518" t="str">
        <f>IF(AND(_A3="B-757",'2025'!$H$4="CA",'2025'!$H$2=AV157),'2025DATA'!$E$19,"")</f>
        <v/>
      </c>
      <c r="AW174" s="518" t="str">
        <f>IF(AND(_A3="B-757",'2025'!$H$4="CA",'2025'!$H$2=AW157),'2025DATA'!$F$19,"")</f>
        <v/>
      </c>
      <c r="AX174" s="518" t="str">
        <f>IF(AND(_A3="B-757",'2025'!$H$4="CA",'2025'!$H$2=AX157),'2025DATA'!$G$19,"")</f>
        <v/>
      </c>
      <c r="AY174" s="518" t="str">
        <f>IF(AND(_A3="B-757",'2025'!$H$4="CA",'2025'!$H$2=AY157),'2025DATA'!$H$19,"")</f>
        <v/>
      </c>
      <c r="AZ174" s="518" t="str">
        <f>IF(AND(_A3="B-757",'2025'!$H$4="CA",'2025'!$H$2=AZ157),'2025DATA'!$I$19,"")</f>
        <v/>
      </c>
      <c r="BA174" s="518" t="str">
        <f>IF(AND(_A3="B-757",'2025'!$H$4="CA",'2025'!$H$2=BA157),'2025DATA'!$J$19,"")</f>
        <v/>
      </c>
      <c r="BB174" s="518" t="str">
        <f>IF(AND(_A3="B-757",'2025'!$H$4="CA",'2025'!$H$2=BB157),'2025DATA'!$K$19,"")</f>
        <v/>
      </c>
      <c r="BC174" s="518" t="str">
        <f>IF(AND(_A3="B-757",'2025'!$H$4="CA",'2025'!$H$2=BC157),'2025DATA'!$L$19,"")</f>
        <v/>
      </c>
      <c r="BD174" s="518" t="str">
        <f>IF(AND(_A3="B-757",'2025'!$H$4="CA",'2025'!$H$2=BD157),'2025DATA'!$M$19,"")</f>
        <v/>
      </c>
      <c r="BE174" s="520" t="str">
        <f>IF(AND(_A3="B-757",'2025'!$H$4="CA",'2025'!$H$2=BE157),'2025DATA'!$N$19,"")</f>
        <v/>
      </c>
      <c r="BF174" s="940" t="s">
        <v>45</v>
      </c>
      <c r="BG174" s="13" t="s">
        <v>61</v>
      </c>
      <c r="BH174" s="518" t="str">
        <f>IF(AND(_A4="B-757",'2025'!$H$4="CA",'2025'!$H$2=BH157),'2025DATA'!$C$19,"")</f>
        <v/>
      </c>
      <c r="BI174" s="518" t="str">
        <f>IF(AND(_A4="B-757",'2025'!$H$4="CA",'2025'!$H$2=BI157),'2025DATA'!$D$19,"")</f>
        <v/>
      </c>
      <c r="BJ174" s="518" t="str">
        <f>IF(AND(_A4="B-757",'2025'!$H$4="CA",'2025'!$H$2=BJ157),'2025DATA'!$E$19,"")</f>
        <v/>
      </c>
      <c r="BK174" s="518" t="str">
        <f>IF(AND(_A4="B-757",'2025'!$H$4="CA",'2025'!$H$2=BK157),'2025DATA'!$F$19,"")</f>
        <v/>
      </c>
      <c r="BL174" s="518" t="str">
        <f>IF(AND(_A4="B-757",'2025'!$H$4="CA",'2025'!$H$2=BL157),'2025DATA'!$G$19,"")</f>
        <v/>
      </c>
      <c r="BM174" s="518" t="str">
        <f>IF(AND(_A4="B-757",'2025'!$H$4="CA",'2025'!$H$2=BM157),'2025DATA'!$H$19,"")</f>
        <v/>
      </c>
      <c r="BN174" s="518" t="str">
        <f>IF(AND(_A4="B-757",'2025'!$H$4="CA",'2025'!$H$2=BN157),'2025DATA'!$I$19,"")</f>
        <v/>
      </c>
      <c r="BO174" s="518" t="str">
        <f>IF(AND(_A4="B-757",'2025'!$H$4="CA",'2025'!$H$2=BO157),'2025DATA'!$J$19,"")</f>
        <v/>
      </c>
      <c r="BP174" s="518" t="str">
        <f>IF(AND(_A4="B-757",'2025'!$H$4="CA",'2025'!$H$2=BP157),'2025DATA'!$K$19,"")</f>
        <v/>
      </c>
      <c r="BQ174" s="518" t="str">
        <f>IF(AND(_A4="B-757",'2025'!$H$4="CA",'2025'!$H$2=BQ157),'2025DATA'!$L$19,"")</f>
        <v/>
      </c>
      <c r="BR174" s="518" t="str">
        <f>IF(AND(_A4="B-757",'2025'!$H$4="CA",'2025'!$H$2=BR157),'2025DATA'!$M$19,"")</f>
        <v/>
      </c>
      <c r="BS174" s="520" t="str">
        <f>IF(AND(_A4="B-757",'2025'!$H$4="CA",'2025'!$H$2=BS157),'2025DATA'!$N$19,"")</f>
        <v/>
      </c>
      <c r="BT174" s="940" t="s">
        <v>45</v>
      </c>
      <c r="BU174" s="13" t="s">
        <v>61</v>
      </c>
      <c r="BV174" s="518" t="str">
        <f>IF(AND(_A5="B-757",'2025'!$H$4="CA",'2025'!$H$2=BV157),'2025DATA'!$C$19,"")</f>
        <v/>
      </c>
      <c r="BW174" s="518" t="str">
        <f>IF(AND(_A5="B-757",'2025'!$H$4="CA",'2025'!$H$2=BW157),'2025DATA'!$D$19,"")</f>
        <v/>
      </c>
      <c r="BX174" s="518" t="str">
        <f>IF(AND(_A5="B-757",'2025'!$H$4="CA",'2025'!$H$2=BX157),'2025DATA'!$E$19,"")</f>
        <v/>
      </c>
      <c r="BY174" s="518" t="str">
        <f>IF(AND(_A5="B-757",'2025'!$H$4="CA",'2025'!$H$2=BY157),'2025DATA'!$F$19,"")</f>
        <v/>
      </c>
      <c r="BZ174" s="518" t="str">
        <f>IF(AND(_A5="B-757",'2025'!$H$4="CA",'2025'!$H$2=BZ157),'2025DATA'!$G$19,"")</f>
        <v/>
      </c>
      <c r="CA174" s="518" t="str">
        <f>IF(AND(_A5="B-757",'2025'!$H$4="CA",'2025'!$H$2=CA157),'2025DATA'!$H$19,"")</f>
        <v/>
      </c>
      <c r="CB174" s="518" t="str">
        <f>IF(AND(_A5="B-757",'2025'!$H$4="CA",'2025'!$H$2=CB157),'2025DATA'!$I$19,"")</f>
        <v/>
      </c>
      <c r="CC174" s="518" t="str">
        <f>IF(AND(_A5="B-757",'2025'!$H$4="CA",'2025'!$H$2=CC157),'2025DATA'!$J$19,"")</f>
        <v/>
      </c>
      <c r="CD174" s="518" t="str">
        <f>IF(AND(_A5="B-757",'2025'!$H$4="CA",'2025'!$H$2=CD157),'2025DATA'!$K$19,"")</f>
        <v/>
      </c>
      <c r="CE174" s="518" t="str">
        <f>IF(AND(_A5="B-757",'2025'!$H$4="CA",'2025'!$H$2=CE157),'2025DATA'!$L$19,"")</f>
        <v/>
      </c>
      <c r="CF174" s="518" t="str">
        <f>IF(AND(_A5="B-757",'2025'!$H$4="CA",'2025'!$H$2=CF157),'2025DATA'!$M$19,"")</f>
        <v/>
      </c>
      <c r="CG174" s="520" t="str">
        <f>IF(AND(_A5="B-757",'2025'!$H$4="CA",'2025'!$H$2=CG157),'2025DATA'!$N$19,"")</f>
        <v/>
      </c>
      <c r="CH174" s="940" t="s">
        <v>45</v>
      </c>
      <c r="CI174" s="13" t="s">
        <v>61</v>
      </c>
      <c r="CJ174" s="518" t="str">
        <f>IF(AND(_A6="B-757",'2025'!$H$4="CA",'2025'!$H$2=CJ157),'2025DATA'!$C$19,"")</f>
        <v/>
      </c>
      <c r="CK174" s="518" t="str">
        <f>IF(AND(_A6="B-757",'2025'!$H$4="CA",'2025'!$H$2=CK157),'2025DATA'!$D$19,"")</f>
        <v/>
      </c>
      <c r="CL174" s="518" t="str">
        <f>IF(AND(_A6="B-757",'2025'!$H$4="CA",'2025'!$H$2=CL157),'2025DATA'!$E$19,"")</f>
        <v/>
      </c>
      <c r="CM174" s="518" t="str">
        <f>IF(AND(_A6="B-757",'2025'!$H$4="CA",'2025'!$H$2=CM157),'2025DATA'!$F$19,"")</f>
        <v/>
      </c>
      <c r="CN174" s="518" t="str">
        <f>IF(AND(_A6="B-757",'2025'!$H$4="CA",'2025'!$H$2=CN157),'2025DATA'!$G$19,"")</f>
        <v/>
      </c>
      <c r="CO174" s="518" t="str">
        <f>IF(AND(_A6="B-757",'2025'!$H$4="CA",'2025'!$H$2=CO157),'2025DATA'!$H$19,"")</f>
        <v/>
      </c>
      <c r="CP174" s="518" t="str">
        <f>IF(AND(_A6="B-757",'2025'!$H$4="CA",'2025'!$H$2=CP157),'2025DATA'!$I$19,"")</f>
        <v/>
      </c>
      <c r="CQ174" s="518" t="str">
        <f>IF(AND(_A6="B-757",'2025'!$H$4="CA",'2025'!$H$2=CQ157),'2025DATA'!$J$19,"")</f>
        <v/>
      </c>
      <c r="CR174" s="518" t="str">
        <f>IF(AND(_A6="B-757",'2025'!$H$4="CA",'2025'!$H$2=CR157),'2025DATA'!$K$19,"")</f>
        <v/>
      </c>
      <c r="CS174" s="518" t="str">
        <f>IF(AND(_A6="B-757",'2025'!$H$4="CA",'2025'!$H$2=CS157),'2025DATA'!$L$19,"")</f>
        <v/>
      </c>
      <c r="CT174" s="518" t="str">
        <f>IF(AND(_A6="B-757",'2025'!$H$4="CA",'2025'!$H$2=CT157),'2025DATA'!$M$19,"")</f>
        <v/>
      </c>
      <c r="CU174" s="520" t="str">
        <f>IF(AND(_A6="B-757",'2025'!$H$4="CA",'2025'!$H$2=CU157),'2025DATA'!$N$19,"")</f>
        <v/>
      </c>
    </row>
    <row r="175" spans="16:99" x14ac:dyDescent="0.25">
      <c r="P175" s="940"/>
      <c r="Q175" s="13" t="s">
        <v>62</v>
      </c>
      <c r="R175" s="518" t="str">
        <f>IF(AND(_A1="B-757",'2025'!$H$4="FO",'2025'!$H$2=R157),'2025DATA'!$C$20,"")</f>
        <v/>
      </c>
      <c r="S175" s="518" t="str">
        <f>IF(AND(_A1="B-757",'2025'!$H$4="FO",'2025'!$H$2=S157),'2025DATA'!$D$20,"")</f>
        <v/>
      </c>
      <c r="T175" s="518" t="str">
        <f>IF(AND(_A1="B-757",'2025'!$H$4="FO",'2025'!$H$2=T157),'2025DATA'!$E$20,"")</f>
        <v/>
      </c>
      <c r="U175" s="518" t="str">
        <f>IF(AND(_A1="B-757",'2025'!$H$4="FO",'2025'!$H$2=U157),'2025DATA'!$F$20,"")</f>
        <v/>
      </c>
      <c r="V175" s="518" t="str">
        <f>IF(AND(_A1="B-757",'2025'!$H$4="FO",'2025'!$H$2=V157),'2025DATA'!$G$20,"")</f>
        <v/>
      </c>
      <c r="W175" s="518" t="str">
        <f>IF(AND(_A1="B-757",'2025'!$H$4="FO",'2025'!$H$2=W157),'2025DATA'!$H$20,"")</f>
        <v/>
      </c>
      <c r="X175" s="518" t="str">
        <f>IF(AND(_A1="B-757",'2025'!$H$4="FO",'2025'!$H$2=X157),'2025DATA'!$I$20,"")</f>
        <v/>
      </c>
      <c r="Y175" s="518" t="str">
        <f>IF(AND(_A1="B-757",'2025'!$H$4="FO",'2025'!$H$2=Y157),'2025DATA'!$J$20,"")</f>
        <v/>
      </c>
      <c r="Z175" s="518" t="str">
        <f>IF(AND(_A1="B-757",'2025'!$H$4="FO",'2025'!$H$2=Z157),'2025DATA'!$K$20,"")</f>
        <v/>
      </c>
      <c r="AA175" s="518" t="str">
        <f>IF(AND(_A1="B-757",'2025'!$H$4="FO",'2025'!$H$2=AA157),'2025DATA'!$L$20,"")</f>
        <v/>
      </c>
      <c r="AB175" s="518" t="str">
        <f>IF(AND(_A1="B-757",'2025'!$H$4="FO",'2025'!$H$2=AB157),'2025DATA'!$M$20,"")</f>
        <v/>
      </c>
      <c r="AC175" s="520" t="str">
        <f>IF(AND(_A1="B-757",'2025'!$H$4="FO",'2025'!$H$2=AC157),'2025DATA'!$N$20,"")</f>
        <v/>
      </c>
      <c r="AD175" s="940"/>
      <c r="AE175" s="13" t="s">
        <v>62</v>
      </c>
      <c r="AF175" s="518" t="str">
        <f>IF(AND(_A2="B-757",'2025'!$H$4="FO",'2025'!$H$2=AF157),'2025DATA'!$C$20,"")</f>
        <v/>
      </c>
      <c r="AG175" s="518" t="str">
        <f>IF(AND(_A2="B-757",'2025'!$H$4="FO",'2025'!$H$2=AG157),'2025DATA'!$D$20,"")</f>
        <v/>
      </c>
      <c r="AH175" s="518" t="str">
        <f>IF(AND(_A2="B-757",'2025'!$H$4="FO",'2025'!$H$2=AH157),'2025DATA'!$E$20,"")</f>
        <v/>
      </c>
      <c r="AI175" s="518" t="str">
        <f>IF(AND(_A2="B-757",'2025'!$H$4="FO",'2025'!$H$2=AI157),'2025DATA'!$F$20,"")</f>
        <v/>
      </c>
      <c r="AJ175" s="518" t="str">
        <f>IF(AND(_A2="B-757",'2025'!$H$4="FO",'2025'!$H$2=AJ157),'2025DATA'!$G$20,"")</f>
        <v/>
      </c>
      <c r="AK175" s="518" t="str">
        <f>IF(AND(_A2="B-757",'2025'!$H$4="FO",'2025'!$H$2=AK157),'2025DATA'!$H$20,"")</f>
        <v/>
      </c>
      <c r="AL175" s="518" t="str">
        <f>IF(AND(_A2="B-757",'2025'!$H$4="FO",'2025'!$H$2=AL157),'2025DATA'!$I$20,"")</f>
        <v/>
      </c>
      <c r="AM175" s="518" t="str">
        <f>IF(AND(_A2="B-757",'2025'!$H$4="FO",'2025'!$H$2=AM157),'2025DATA'!$J$20,"")</f>
        <v/>
      </c>
      <c r="AN175" s="518" t="str">
        <f>IF(AND(_A2="B-757",'2025'!$H$4="FO",'2025'!$H$2=AN157),'2025DATA'!$K$20,"")</f>
        <v/>
      </c>
      <c r="AO175" s="518" t="str">
        <f>IF(AND(_A2="B-757",'2025'!$H$4="FO",'2025'!$H$2=AO157),'2025DATA'!$L$20,"")</f>
        <v/>
      </c>
      <c r="AP175" s="518" t="str">
        <f>IF(AND(_A2="B-757",'2025'!$H$4="FO",'2025'!$H$2=AP157),'2025DATA'!$M$20,"")</f>
        <v/>
      </c>
      <c r="AQ175" s="520" t="str">
        <f>IF(AND(_A2="B-757",'2025'!$H$4="FO",'2025'!$H$2=AQ157),'2025DATA'!$N$20,"")</f>
        <v/>
      </c>
      <c r="AR175" s="940"/>
      <c r="AS175" s="13" t="s">
        <v>62</v>
      </c>
      <c r="AT175" s="518" t="str">
        <f>IF(AND(_A3="B-757",'2025'!$H$4="FO",'2025'!$H$2=AT157),'2025DATA'!$C$20,"")</f>
        <v/>
      </c>
      <c r="AU175" s="518" t="str">
        <f>IF(AND(_A3="B-757",'2025'!$H$4="FO",'2025'!$H$2=AU157),'2025DATA'!$D$20,"")</f>
        <v/>
      </c>
      <c r="AV175" s="518" t="str">
        <f>IF(AND(_A3="B-757",'2025'!$H$4="FO",'2025'!$H$2=AV157),'2025DATA'!$E$20,"")</f>
        <v/>
      </c>
      <c r="AW175" s="518" t="str">
        <f>IF(AND(_A3="B-757",'2025'!$H$4="FO",'2025'!$H$2=AW157),'2025DATA'!$F$20,"")</f>
        <v/>
      </c>
      <c r="AX175" s="518" t="str">
        <f>IF(AND(_A3="B-757",'2025'!$H$4="FO",'2025'!$H$2=AX157),'2025DATA'!$G$20,"")</f>
        <v/>
      </c>
      <c r="AY175" s="518" t="str">
        <f>IF(AND(_A3="B-757",'2025'!$H$4="FO",'2025'!$H$2=AY157),'2025DATA'!$H$20,"")</f>
        <v/>
      </c>
      <c r="AZ175" s="518" t="str">
        <f>IF(AND(_A3="B-757",'2025'!$H$4="FO",'2025'!$H$2=AZ157),'2025DATA'!$I$20,"")</f>
        <v/>
      </c>
      <c r="BA175" s="518" t="str">
        <f>IF(AND(_A3="B-757",'2025'!$H$4="FO",'2025'!$H$2=BA157),'2025DATA'!$J$20,"")</f>
        <v/>
      </c>
      <c r="BB175" s="518" t="str">
        <f>IF(AND(_A3="B-757",'2025'!$H$4="FO",'2025'!$H$2=BB157),'2025DATA'!$K$20,"")</f>
        <v/>
      </c>
      <c r="BC175" s="518" t="str">
        <f>IF(AND(_A3="B-757",'2025'!$H$4="FO",'2025'!$H$2=BC157),'2025DATA'!$L$20,"")</f>
        <v/>
      </c>
      <c r="BD175" s="518" t="str">
        <f>IF(AND(_A3="B-757",'2025'!$H$4="FO",'2025'!$H$2=BD157),'2025DATA'!$M$20,"")</f>
        <v/>
      </c>
      <c r="BE175" s="520" t="str">
        <f>IF(AND(_A3="B-757",'2025'!$H$4="FO",'2025'!$H$2=BE157),'2025DATA'!$N$20,"")</f>
        <v/>
      </c>
      <c r="BF175" s="940"/>
      <c r="BG175" s="13" t="s">
        <v>62</v>
      </c>
      <c r="BH175" s="518" t="str">
        <f>IF(AND(_A4="B-757",'2025'!$H$4="FO",'2025'!$H$2=BH157),'2025DATA'!$C$20,"")</f>
        <v/>
      </c>
      <c r="BI175" s="518" t="str">
        <f>IF(AND(_A4="B-757",'2025'!$H$4="FO",'2025'!$H$2=BI157),'2025DATA'!$D$20,"")</f>
        <v/>
      </c>
      <c r="BJ175" s="518" t="str">
        <f>IF(AND(_A4="B-757",'2025'!$H$4="FO",'2025'!$H$2=BJ157),'2025DATA'!$E$20,"")</f>
        <v/>
      </c>
      <c r="BK175" s="518" t="str">
        <f>IF(AND(_A4="B-757",'2025'!$H$4="FO",'2025'!$H$2=BK157),'2025DATA'!$F$20,"")</f>
        <v/>
      </c>
      <c r="BL175" s="518" t="str">
        <f>IF(AND(_A4="B-757",'2025'!$H$4="FO",'2025'!$H$2=BL157),'2025DATA'!$G$20,"")</f>
        <v/>
      </c>
      <c r="BM175" s="518" t="str">
        <f>IF(AND(_A4="B-757",'2025'!$H$4="FO",'2025'!$H$2=BM157),'2025DATA'!$H$20,"")</f>
        <v/>
      </c>
      <c r="BN175" s="518" t="str">
        <f>IF(AND(_A4="B-757",'2025'!$H$4="FO",'2025'!$H$2=BN157),'2025DATA'!$I$20,"")</f>
        <v/>
      </c>
      <c r="BO175" s="518" t="str">
        <f>IF(AND(_A4="B-757",'2025'!$H$4="FO",'2025'!$H$2=BO157),'2025DATA'!$J$20,"")</f>
        <v/>
      </c>
      <c r="BP175" s="518" t="str">
        <f>IF(AND(_A4="B-757",'2025'!$H$4="FO",'2025'!$H$2=BP157),'2025DATA'!$K$20,"")</f>
        <v/>
      </c>
      <c r="BQ175" s="518" t="str">
        <f>IF(AND(_A4="B-757",'2025'!$H$4="FO",'2025'!$H$2=BQ157),'2025DATA'!$L$20,"")</f>
        <v/>
      </c>
      <c r="BR175" s="518" t="str">
        <f>IF(AND(_A4="B-757",'2025'!$H$4="FO",'2025'!$H$2=BR157),'2025DATA'!$M$20,"")</f>
        <v/>
      </c>
      <c r="BS175" s="520" t="str">
        <f>IF(AND(_A4="B-757",'2025'!$H$4="FO",'2025'!$H$2=BS157),'2025DATA'!$N$20,"")</f>
        <v/>
      </c>
      <c r="BT175" s="940"/>
      <c r="BU175" s="13" t="s">
        <v>62</v>
      </c>
      <c r="BV175" s="518" t="str">
        <f>IF(AND(_A5="B-757",'2025'!$H$4="FO",'2025'!$H$2=BV157),'2025DATA'!$C$20,"")</f>
        <v/>
      </c>
      <c r="BW175" s="518" t="str">
        <f>IF(AND(_A5="B-757",'2025'!$H$4="FO",'2025'!$H$2=BW157),'2025DATA'!$D$20,"")</f>
        <v/>
      </c>
      <c r="BX175" s="518" t="str">
        <f>IF(AND(_A5="B-757",'2025'!$H$4="FO",'2025'!$H$2=BX157),'2025DATA'!$E$20,"")</f>
        <v/>
      </c>
      <c r="BY175" s="518" t="str">
        <f>IF(AND(_A5="B-757",'2025'!$H$4="FO",'2025'!$H$2=BY157),'2025DATA'!$F$20,"")</f>
        <v/>
      </c>
      <c r="BZ175" s="518" t="str">
        <f>IF(AND(_A5="B-757",'2025'!$H$4="FO",'2025'!$H$2=BZ157),'2025DATA'!$G$20,"")</f>
        <v/>
      </c>
      <c r="CA175" s="518" t="str">
        <f>IF(AND(_A5="B-757",'2025'!$H$4="FO",'2025'!$H$2=CA157),'2025DATA'!$H$20,"")</f>
        <v/>
      </c>
      <c r="CB175" s="518" t="str">
        <f>IF(AND(_A5="B-757",'2025'!$H$4="FO",'2025'!$H$2=CB157),'2025DATA'!$I$20,"")</f>
        <v/>
      </c>
      <c r="CC175" s="518" t="str">
        <f>IF(AND(_A5="B-757",'2025'!$H$4="FO",'2025'!$H$2=CC157),'2025DATA'!$J$20,"")</f>
        <v/>
      </c>
      <c r="CD175" s="518" t="str">
        <f>IF(AND(_A5="B-757",'2025'!$H$4="FO",'2025'!$H$2=CD157),'2025DATA'!$K$20,"")</f>
        <v/>
      </c>
      <c r="CE175" s="518" t="str">
        <f>IF(AND(_A5="B-757",'2025'!$H$4="FO",'2025'!$H$2=CE157),'2025DATA'!$L$20,"")</f>
        <v/>
      </c>
      <c r="CF175" s="518" t="str">
        <f>IF(AND(_A5="B-757",'2025'!$H$4="FO",'2025'!$H$2=CF157),'2025DATA'!$M$20,"")</f>
        <v/>
      </c>
      <c r="CG175" s="520" t="str">
        <f>IF(AND(_A5="B-757",'2025'!$H$4="FO",'2025'!$H$2=CG157),'2025DATA'!$N$20,"")</f>
        <v/>
      </c>
      <c r="CH175" s="940"/>
      <c r="CI175" s="13" t="s">
        <v>62</v>
      </c>
      <c r="CJ175" s="518" t="str">
        <f>IF(AND(_A6="B-757",'2025'!$H$4="FO",'2025'!$H$2=CJ157),'2025DATA'!$C$20,"")</f>
        <v/>
      </c>
      <c r="CK175" s="518" t="str">
        <f>IF(AND(_A6="B-757",'2025'!$H$4="FO",'2025'!$H$2=CK157),'2025DATA'!$D$20,"")</f>
        <v/>
      </c>
      <c r="CL175" s="518" t="str">
        <f>IF(AND(_A6="B-757",'2025'!$H$4="FO",'2025'!$H$2=CL157),'2025DATA'!$E$20,"")</f>
        <v/>
      </c>
      <c r="CM175" s="518" t="str">
        <f>IF(AND(_A6="B-757",'2025'!$H$4="FO",'2025'!$H$2=CM157),'2025DATA'!$F$20,"")</f>
        <v/>
      </c>
      <c r="CN175" s="518" t="str">
        <f>IF(AND(_A6="B-757",'2025'!$H$4="FO",'2025'!$H$2=CN157),'2025DATA'!$G$20,"")</f>
        <v/>
      </c>
      <c r="CO175" s="518" t="str">
        <f>IF(AND(_A6="B-757",'2025'!$H$4="FO",'2025'!$H$2=CO157),'2025DATA'!$H$20,"")</f>
        <v/>
      </c>
      <c r="CP175" s="518" t="str">
        <f>IF(AND(_A6="B-757",'2025'!$H$4="FO",'2025'!$H$2=CP157),'2025DATA'!$I$20,"")</f>
        <v/>
      </c>
      <c r="CQ175" s="518" t="str">
        <f>IF(AND(_A6="B-757",'2025'!$H$4="FO",'2025'!$H$2=CQ157),'2025DATA'!$J$20,"")</f>
        <v/>
      </c>
      <c r="CR175" s="518" t="str">
        <f>IF(AND(_A6="B-757",'2025'!$H$4="FO",'2025'!$H$2=CR157),'2025DATA'!$K$20,"")</f>
        <v/>
      </c>
      <c r="CS175" s="518" t="str">
        <f>IF(AND(_A6="B-757",'2025'!$H$4="FO",'2025'!$H$2=CS157),'2025DATA'!$L$20,"")</f>
        <v/>
      </c>
      <c r="CT175" s="518" t="str">
        <f>IF(AND(_A6="B-757",'2025'!$H$4="FO",'2025'!$H$2=CT157),'2025DATA'!$M$20,"")</f>
        <v/>
      </c>
      <c r="CU175" s="520" t="str">
        <f>IF(AND(_A6="B-757",'2025'!$H$4="FO",'2025'!$H$2=CU157),'2025DATA'!$N$20,"")</f>
        <v/>
      </c>
    </row>
    <row r="176" spans="16:99" x14ac:dyDescent="0.25">
      <c r="P176" s="940" t="s">
        <v>47</v>
      </c>
      <c r="Q176" s="13" t="s">
        <v>61</v>
      </c>
      <c r="R176" s="518" t="str">
        <f>IF(AND(_A1="B-737-900",'2025'!$H$4="CA",'2025'!$H$2=R157),'2025DATA'!$C$21,"")</f>
        <v/>
      </c>
      <c r="S176" s="518" t="str">
        <f>IF(AND(_A1="B-737-900",'2025'!$H$4="CA",'2025'!$H$2=S157),'2025DATA'!$D$21,"")</f>
        <v/>
      </c>
      <c r="T176" s="518" t="str">
        <f>IF(AND(_A1="B-737-900",'2025'!$H$4="CA",'2025'!$H$2=T157),'2025DATA'!$E$21,"")</f>
        <v/>
      </c>
      <c r="U176" s="518" t="str">
        <f>IF(AND(_A1="B-737-900",'2025'!$H$4="CA",'2025'!$H$2=U157),'2025DATA'!$F$21,"")</f>
        <v/>
      </c>
      <c r="V176" s="518" t="str">
        <f>IF(AND(_A1="B-737-900",'2025'!$H$4="CA",'2025'!$H$2=V157),'2025DATA'!$G$21,"")</f>
        <v/>
      </c>
      <c r="W176" s="518" t="str">
        <f>IF(AND(_A1="B-737-900",'2025'!$H$4="CA",'2025'!$H$2=W157),'2025DATA'!$H$21,"")</f>
        <v/>
      </c>
      <c r="X176" s="518" t="str">
        <f>IF(AND(_A1="B-737-900",'2025'!$H$4="CA",'2025'!$H$2=X157),'2025DATA'!$I$21,"")</f>
        <v/>
      </c>
      <c r="Y176" s="518" t="str">
        <f>IF(AND(_A1="B-737-900",'2025'!$H$4="CA",'2025'!$H$2=Y157),'2025DATA'!$J$21,"")</f>
        <v/>
      </c>
      <c r="Z176" s="518" t="str">
        <f>IF(AND(_A1="B-737-900",'2025'!$H$4="CA",'2025'!$H$2=Z157),'2025DATA'!$K$21,"")</f>
        <v/>
      </c>
      <c r="AA176" s="518" t="str">
        <f>IF(AND(_A1="B-737-900",'2025'!$H$4="CA",'2025'!$H$2=AA157),'2025DATA'!$L$21,"")</f>
        <v/>
      </c>
      <c r="AB176" s="518" t="str">
        <f>IF(AND(_A1="B-737-900",'2025'!$H$4="CA",'2025'!$H$2=AB157),'2025DATA'!$M$21,"")</f>
        <v/>
      </c>
      <c r="AC176" s="520" t="str">
        <f>IF(AND(_A1="B-737-900",'2025'!$H$4="CA",'2025'!$H$2=AC157),'2025DATA'!$N$21,"")</f>
        <v/>
      </c>
      <c r="AD176" s="940" t="s">
        <v>47</v>
      </c>
      <c r="AE176" s="13" t="s">
        <v>61</v>
      </c>
      <c r="AF176" s="518" t="str">
        <f>IF(AND(_A2="B-737-900",'2025'!$H$4="CA",'2025'!$H$2=AF157),'2025DATA'!$C$21,"")</f>
        <v/>
      </c>
      <c r="AG176" s="518" t="str">
        <f>IF(AND(_A2="B-737-900",'2025'!$H$4="CA",'2025'!$H$2=AG157),'2025DATA'!$D$21,"")</f>
        <v/>
      </c>
      <c r="AH176" s="518" t="str">
        <f>IF(AND(_A2="B-737-900",'2025'!$H$4="CA",'2025'!$H$2=AH157),'2025DATA'!$E$21,"")</f>
        <v/>
      </c>
      <c r="AI176" s="518" t="str">
        <f>IF(AND(_A2="B-737-900",'2025'!$H$4="CA",'2025'!$H$2=AI157),'2025DATA'!$F$21,"")</f>
        <v/>
      </c>
      <c r="AJ176" s="518" t="str">
        <f>IF(AND(_A2="B-737-900",'2025'!$H$4="CA",'2025'!$H$2=AJ157),'2025DATA'!$G$21,"")</f>
        <v/>
      </c>
      <c r="AK176" s="518" t="str">
        <f>IF(AND(_A2="B-737-900",'2025'!$H$4="CA",'2025'!$H$2=AK157),'2025DATA'!$H$21,"")</f>
        <v/>
      </c>
      <c r="AL176" s="518" t="str">
        <f>IF(AND(_A2="B-737-900",'2025'!$H$4="CA",'2025'!$H$2=AL157),'2025DATA'!$I$21,"")</f>
        <v/>
      </c>
      <c r="AM176" s="518" t="str">
        <f>IF(AND(_A2="B-737-900",'2025'!$H$4="CA",'2025'!$H$2=AM157),'2025DATA'!$J$21,"")</f>
        <v/>
      </c>
      <c r="AN176" s="518" t="str">
        <f>IF(AND(_A2="B-737-900",'2025'!$H$4="CA",'2025'!$H$2=AN157),'2025DATA'!$K$21,"")</f>
        <v/>
      </c>
      <c r="AO176" s="518" t="str">
        <f>IF(AND(_A2="B-737-900",'2025'!$H$4="CA",'2025'!$H$2=AO157),'2025DATA'!$L$21,"")</f>
        <v/>
      </c>
      <c r="AP176" s="518" t="str">
        <f>IF(AND(_A2="B-737-900",'2025'!$H$4="CA",'2025'!$H$2=AP157),'2025DATA'!$M$21,"")</f>
        <v/>
      </c>
      <c r="AQ176" s="520" t="str">
        <f>IF(AND(_A2="B-737-900",'2025'!$H$4="CA",'2025'!$H$2=AQ157),'2025DATA'!$N$21,"")</f>
        <v/>
      </c>
      <c r="AR176" s="940" t="s">
        <v>47</v>
      </c>
      <c r="AS176" s="13" t="s">
        <v>61</v>
      </c>
      <c r="AT176" s="518" t="str">
        <f>IF(AND(_A3="B-737-900",'2025'!$H$4="CA",'2025'!$H$2=AT157),'2025DATA'!$C$21,"")</f>
        <v/>
      </c>
      <c r="AU176" s="518" t="str">
        <f>IF(AND(_A3="B-737-900",'2025'!$H$4="CA",'2025'!$H$2=AU157),'2025DATA'!$D$21,"")</f>
        <v/>
      </c>
      <c r="AV176" s="518" t="str">
        <f>IF(AND(_A3="B-737-900",'2025'!$H$4="CA",'2025'!$H$2=AV157),'2025DATA'!$E$21,"")</f>
        <v/>
      </c>
      <c r="AW176" s="518" t="str">
        <f>IF(AND(_A3="B-737-900",'2025'!$H$4="CA",'2025'!$H$2=AW157),'2025DATA'!$F$21,"")</f>
        <v/>
      </c>
      <c r="AX176" s="518" t="str">
        <f>IF(AND(_A3="B-737-900",'2025'!$H$4="CA",'2025'!$H$2=AX157),'2025DATA'!$G$21,"")</f>
        <v/>
      </c>
      <c r="AY176" s="518" t="str">
        <f>IF(AND(_A3="B-737-900",'2025'!$H$4="CA",'2025'!$H$2=AY157),'2025DATA'!$H$21,"")</f>
        <v/>
      </c>
      <c r="AZ176" s="518" t="str">
        <f>IF(AND(_A3="B-737-900",'2025'!$H$4="CA",'2025'!$H$2=AZ157),'2025DATA'!$I$21,"")</f>
        <v/>
      </c>
      <c r="BA176" s="518" t="str">
        <f>IF(AND(_A3="B-737-900",'2025'!$H$4="CA",'2025'!$H$2=BA157),'2025DATA'!$J$21,"")</f>
        <v/>
      </c>
      <c r="BB176" s="518" t="str">
        <f>IF(AND(_A3="B-737-900",'2025'!$H$4="CA",'2025'!$H$2=BB157),'2025DATA'!$K$21,"")</f>
        <v/>
      </c>
      <c r="BC176" s="518" t="str">
        <f>IF(AND(_A3="B-737-900",'2025'!$H$4="CA",'2025'!$H$2=BC157),'2025DATA'!$L$21,"")</f>
        <v/>
      </c>
      <c r="BD176" s="518" t="str">
        <f>IF(AND(_A3="B-737-900",'2025'!$H$4="CA",'2025'!$H$2=BD157),'2025DATA'!$M$21,"")</f>
        <v/>
      </c>
      <c r="BE176" s="520" t="str">
        <f>IF(AND(_A3="B-737-900",'2025'!$H$4="CA",'2025'!$H$2=BE157),'2025DATA'!$N$21,"")</f>
        <v/>
      </c>
      <c r="BF176" s="940" t="s">
        <v>47</v>
      </c>
      <c r="BG176" s="13" t="s">
        <v>61</v>
      </c>
      <c r="BH176" s="518" t="str">
        <f>IF(AND(_A4="B-737-900",'2025'!$H$4="CA",'2025'!$H$2=BH157),'2025DATA'!$C$21,"")</f>
        <v/>
      </c>
      <c r="BI176" s="518" t="str">
        <f>IF(AND(_A4="B-737-900",'2025'!$H$4="CA",'2025'!$H$2=BI157),'2025DATA'!$D$21,"")</f>
        <v/>
      </c>
      <c r="BJ176" s="518" t="str">
        <f>IF(AND(_A4="B-737-900",'2025'!$H$4="CA",'2025'!$H$2=BJ157),'2025DATA'!$E$21,"")</f>
        <v/>
      </c>
      <c r="BK176" s="518" t="str">
        <f>IF(AND(_A4="B-737-900",'2025'!$H$4="CA",'2025'!$H$2=BK157),'2025DATA'!$F$21,"")</f>
        <v/>
      </c>
      <c r="BL176" s="518" t="str">
        <f>IF(AND(_A4="B-737-900",'2025'!$H$4="CA",'2025'!$H$2=BL157),'2025DATA'!$G$21,"")</f>
        <v/>
      </c>
      <c r="BM176" s="518" t="str">
        <f>IF(AND(_A4="B-737-900",'2025'!$H$4="CA",'2025'!$H$2=BM157),'2025DATA'!$H$21,"")</f>
        <v/>
      </c>
      <c r="BN176" s="518" t="str">
        <f>IF(AND(_A4="B-737-900",'2025'!$H$4="CA",'2025'!$H$2=BN157),'2025DATA'!$I$21,"")</f>
        <v/>
      </c>
      <c r="BO176" s="518" t="str">
        <f>IF(AND(_A4="B-737-900",'2025'!$H$4="CA",'2025'!$H$2=BO157),'2025DATA'!$J$21,"")</f>
        <v/>
      </c>
      <c r="BP176" s="518" t="str">
        <f>IF(AND(_A4="B-737-900",'2025'!$H$4="CA",'2025'!$H$2=BP157),'2025DATA'!$K$21,"")</f>
        <v/>
      </c>
      <c r="BQ176" s="518" t="str">
        <f>IF(AND(_A4="B-737-900",'2025'!$H$4="CA",'2025'!$H$2=BQ157),'2025DATA'!$L$21,"")</f>
        <v/>
      </c>
      <c r="BR176" s="518" t="str">
        <f>IF(AND(_A4="B-737-900",'2025'!$H$4="CA",'2025'!$H$2=BR157),'2025DATA'!$M$21,"")</f>
        <v/>
      </c>
      <c r="BS176" s="520" t="str">
        <f>IF(AND(_A4="B-737-900",'2025'!$H$4="CA",'2025'!$H$2=BS157),'2025DATA'!$N$21,"")</f>
        <v/>
      </c>
      <c r="BT176" s="940" t="s">
        <v>47</v>
      </c>
      <c r="BU176" s="13" t="s">
        <v>61</v>
      </c>
      <c r="BV176" s="518" t="str">
        <f>IF(AND(_A5="B-737-900",'2025'!$H$4="CA",'2025'!$H$2=BV157),'2025DATA'!$C$21,"")</f>
        <v/>
      </c>
      <c r="BW176" s="518" t="str">
        <f>IF(AND(_A5="B-737-900",'2025'!$H$4="CA",'2025'!$H$2=BW157),'2025DATA'!$D$21,"")</f>
        <v/>
      </c>
      <c r="BX176" s="518" t="str">
        <f>IF(AND(_A5="B-737-900",'2025'!$H$4="CA",'2025'!$H$2=BX157),'2025DATA'!$E$21,"")</f>
        <v/>
      </c>
      <c r="BY176" s="518" t="str">
        <f>IF(AND(_A5="B-737-900",'2025'!$H$4="CA",'2025'!$H$2=BY157),'2025DATA'!$F$21,"")</f>
        <v/>
      </c>
      <c r="BZ176" s="518" t="str">
        <f>IF(AND(_A5="B-737-900",'2025'!$H$4="CA",'2025'!$H$2=BZ157),'2025DATA'!$G$21,"")</f>
        <v/>
      </c>
      <c r="CA176" s="518" t="str">
        <f>IF(AND(_A5="B-737-900",'2025'!$H$4="CA",'2025'!$H$2=CA157),'2025DATA'!$H$21,"")</f>
        <v/>
      </c>
      <c r="CB176" s="518" t="str">
        <f>IF(AND(_A5="B-737-900",'2025'!$H$4="CA",'2025'!$H$2=CB157),'2025DATA'!$I$21,"")</f>
        <v/>
      </c>
      <c r="CC176" s="518" t="str">
        <f>IF(AND(_A5="B-737-900",'2025'!$H$4="CA",'2025'!$H$2=CC157),'2025DATA'!$J$21,"")</f>
        <v/>
      </c>
      <c r="CD176" s="518" t="str">
        <f>IF(AND(_A5="B-737-900",'2025'!$H$4="CA",'2025'!$H$2=CD157),'2025DATA'!$K$21,"")</f>
        <v/>
      </c>
      <c r="CE176" s="518" t="str">
        <f>IF(AND(_A5="B-737-900",'2025'!$H$4="CA",'2025'!$H$2=CE157),'2025DATA'!$L$21,"")</f>
        <v/>
      </c>
      <c r="CF176" s="518" t="str">
        <f>IF(AND(_A5="B-737-900",'2025'!$H$4="CA",'2025'!$H$2=CF157),'2025DATA'!$M$21,"")</f>
        <v/>
      </c>
      <c r="CG176" s="520" t="str">
        <f>IF(AND(_A5="B-737-900",'2025'!$H$4="CA",'2025'!$H$2=CG157),'2025DATA'!$N$21,"")</f>
        <v/>
      </c>
      <c r="CH176" s="940" t="s">
        <v>47</v>
      </c>
      <c r="CI176" s="13" t="s">
        <v>61</v>
      </c>
      <c r="CJ176" s="518" t="str">
        <f>IF(AND(_A6="B-737-900",'2025'!$H$4="CA",'2025'!$H$2=CJ157),'2025DATA'!$C$21,"")</f>
        <v/>
      </c>
      <c r="CK176" s="518" t="str">
        <f>IF(AND(_A6="B-737-900",'2025'!$H$4="CA",'2025'!$H$2=CK157),'2025DATA'!$D$21,"")</f>
        <v/>
      </c>
      <c r="CL176" s="518" t="str">
        <f>IF(AND(_A6="B-737-900",'2025'!$H$4="CA",'2025'!$H$2=CL157),'2025DATA'!$E$21,"")</f>
        <v/>
      </c>
      <c r="CM176" s="518" t="str">
        <f>IF(AND(_A6="B-737-900",'2025'!$H$4="CA",'2025'!$H$2=CM157),'2025DATA'!$F$21,"")</f>
        <v/>
      </c>
      <c r="CN176" s="518" t="str">
        <f>IF(AND(_A6="B-737-900",'2025'!$H$4="CA",'2025'!$H$2=CN157),'2025DATA'!$G$21,"")</f>
        <v/>
      </c>
      <c r="CO176" s="518" t="str">
        <f>IF(AND(_A6="B-737-900",'2025'!$H$4="CA",'2025'!$H$2=CO157),'2025DATA'!$H$21,"")</f>
        <v/>
      </c>
      <c r="CP176" s="518" t="str">
        <f>IF(AND(_A6="B-737-900",'2025'!$H$4="CA",'2025'!$H$2=CP157),'2025DATA'!$I$21,"")</f>
        <v/>
      </c>
      <c r="CQ176" s="518" t="str">
        <f>IF(AND(_A6="B-737-900",'2025'!$H$4="CA",'2025'!$H$2=CQ157),'2025DATA'!$J$21,"")</f>
        <v/>
      </c>
      <c r="CR176" s="518" t="str">
        <f>IF(AND(_A6="B-737-900",'2025'!$H$4="CA",'2025'!$H$2=CR157),'2025DATA'!$K$21,"")</f>
        <v/>
      </c>
      <c r="CS176" s="518" t="str">
        <f>IF(AND(_A6="B-737-900",'2025'!$H$4="CA",'2025'!$H$2=CS157),'2025DATA'!$L$21,"")</f>
        <v/>
      </c>
      <c r="CT176" s="518" t="str">
        <f>IF(AND(_A6="B-737-900",'2025'!$H$4="CA",'2025'!$H$2=CT157),'2025DATA'!$M$21,"")</f>
        <v/>
      </c>
      <c r="CU176" s="520" t="str">
        <f>IF(AND(_A6="B-737-900",'2025'!$H$4="CA",'2025'!$H$2=CU157),'2025DATA'!$N$21,"")</f>
        <v/>
      </c>
    </row>
    <row r="177" spans="16:99" x14ac:dyDescent="0.25">
      <c r="P177" s="940"/>
      <c r="Q177" s="13" t="s">
        <v>62</v>
      </c>
      <c r="R177" s="518" t="str">
        <f>IF(AND(_A1="B-737-900",'2025'!$H$4="FO",'2025'!$H$2=R157),'2025DATA'!$C$22,"")</f>
        <v/>
      </c>
      <c r="S177" s="518" t="str">
        <f>IF(AND(_A1="B-737-900",'2025'!$H$4="FO",'2025'!$H$2=S157),'2025DATA'!$D$22,"")</f>
        <v/>
      </c>
      <c r="T177" s="518" t="str">
        <f>IF(AND(_A1="B-737-900",'2025'!$H$4="FO",'2025'!$H$2=T157),'2025DATA'!$E$22,"")</f>
        <v/>
      </c>
      <c r="U177" s="518" t="str">
        <f>IF(AND(_A1="B-737-900",'2025'!$H$4="FO",'2025'!$H$2=U157),'2025DATA'!$F$22,"")</f>
        <v/>
      </c>
      <c r="V177" s="518" t="str">
        <f>IF(AND(_A1="B-737-900",'2025'!$H$4="FO",'2025'!$H$2=V157),'2025DATA'!$G$22,"")</f>
        <v/>
      </c>
      <c r="W177" s="518" t="str">
        <f>IF(AND(_A1="B-737-900",'2025'!$H$4="FO",'2025'!$H$2=W157),'2025DATA'!$H$22,"")</f>
        <v/>
      </c>
      <c r="X177" s="518" t="str">
        <f>IF(AND(_A1="B-737-900",'2025'!$H$4="FO",'2025'!$H$2=X157),'2025DATA'!$I$22,"")</f>
        <v/>
      </c>
      <c r="Y177" s="518" t="str">
        <f>IF(AND(_A1="B-737-900",'2025'!$H$4="FO",'2025'!$H$2=Y157),'2025DATA'!$J$22,"")</f>
        <v/>
      </c>
      <c r="Z177" s="518" t="str">
        <f>IF(AND(_A1="B-737-900",'2025'!$H$4="FO",'2025'!$H$2=Z157),'2025DATA'!$K$22,"")</f>
        <v/>
      </c>
      <c r="AA177" s="518" t="str">
        <f>IF(AND(_A1="B-737-900",'2025'!$H$4="FO",'2025'!$H$2=AA157),'2025DATA'!$L$22,"")</f>
        <v/>
      </c>
      <c r="AB177" s="518" t="str">
        <f>IF(AND(_A1="B-737-900",'2025'!$H$4="FO",'2025'!$H$2=AB157),'2025DATA'!$M$22,"")</f>
        <v/>
      </c>
      <c r="AC177" s="520" t="str">
        <f>IF(AND(_A1="B-737-900",'2025'!$H$4="FO",'2025'!$H$2=AC157),'2025DATA'!$N$22,"")</f>
        <v/>
      </c>
      <c r="AD177" s="940"/>
      <c r="AE177" s="13" t="s">
        <v>62</v>
      </c>
      <c r="AF177" s="518" t="str">
        <f>IF(AND(_A2="B-737-900",'2025'!$H$4="FO",'2025'!$H$2=AF157),'2025DATA'!$C$22,"")</f>
        <v/>
      </c>
      <c r="AG177" s="518" t="str">
        <f>IF(AND(_A2="B-737-900",'2025'!$H$4="FO",'2025'!$H$2=AG157),'2025DATA'!$D$22,"")</f>
        <v/>
      </c>
      <c r="AH177" s="518" t="str">
        <f>IF(AND(_A2="B-737-900",'2025'!$H$4="FO",'2025'!$H$2=AH157),'2025DATA'!$E$22,"")</f>
        <v/>
      </c>
      <c r="AI177" s="518" t="str">
        <f>IF(AND(_A2="B-737-900",'2025'!$H$4="FO",'2025'!$H$2=AI157),'2025DATA'!$F$22,"")</f>
        <v/>
      </c>
      <c r="AJ177" s="518" t="str">
        <f>IF(AND(_A2="B-737-900",'2025'!$H$4="FO",'2025'!$H$2=AJ157),'2025DATA'!$G$22,"")</f>
        <v/>
      </c>
      <c r="AK177" s="518" t="str">
        <f>IF(AND(_A2="B-737-900",'2025'!$H$4="FO",'2025'!$H$2=AK157),'2025DATA'!$H$22,"")</f>
        <v/>
      </c>
      <c r="AL177" s="518" t="str">
        <f>IF(AND(_A2="B-737-900",'2025'!$H$4="FO",'2025'!$H$2=AL157),'2025DATA'!$I$22,"")</f>
        <v/>
      </c>
      <c r="AM177" s="518" t="str">
        <f>IF(AND(_A2="B-737-900",'2025'!$H$4="FO",'2025'!$H$2=AM157),'2025DATA'!$J$22,"")</f>
        <v/>
      </c>
      <c r="AN177" s="518" t="str">
        <f>IF(AND(_A2="B-737-900",'2025'!$H$4="FO",'2025'!$H$2=AN157),'2025DATA'!$K$22,"")</f>
        <v/>
      </c>
      <c r="AO177" s="518" t="str">
        <f>IF(AND(_A2="B-737-900",'2025'!$H$4="FO",'2025'!$H$2=AO157),'2025DATA'!$L$22,"")</f>
        <v/>
      </c>
      <c r="AP177" s="518" t="str">
        <f>IF(AND(_A2="B-737-900",'2025'!$H$4="FO",'2025'!$H$2=AP157),'2025DATA'!$M$22,"")</f>
        <v/>
      </c>
      <c r="AQ177" s="520" t="str">
        <f>IF(AND(_A2="B-737-900",'2025'!$H$4="FO",'2025'!$H$2=AQ157),'2025DATA'!$N$22,"")</f>
        <v/>
      </c>
      <c r="AR177" s="940"/>
      <c r="AS177" s="13" t="s">
        <v>62</v>
      </c>
      <c r="AT177" s="518" t="str">
        <f>IF(AND(_A3="B-737-900",'2025'!$H$4="FO",'2025'!$H$2=AT157),'2025DATA'!$C$22,"")</f>
        <v/>
      </c>
      <c r="AU177" s="518" t="str">
        <f>IF(AND(_A3="B-737-900",'2025'!$H$4="FO",'2025'!$H$2=AU157),'2025DATA'!$D$22,"")</f>
        <v/>
      </c>
      <c r="AV177" s="518" t="str">
        <f>IF(AND(_A3="B-737-900",'2025'!$H$4="FO",'2025'!$H$2=AV157),'2025DATA'!$E$22,"")</f>
        <v/>
      </c>
      <c r="AW177" s="518" t="str">
        <f>IF(AND(_A3="B-737-900",'2025'!$H$4="FO",'2025'!$H$2=AW157),'2025DATA'!$F$22,"")</f>
        <v/>
      </c>
      <c r="AX177" s="518" t="str">
        <f>IF(AND(_A3="B-737-900",'2025'!$H$4="FO",'2025'!$H$2=AX157),'2025DATA'!$G$22,"")</f>
        <v/>
      </c>
      <c r="AY177" s="518" t="str">
        <f>IF(AND(_A3="B-737-900",'2025'!$H$4="FO",'2025'!$H$2=AY157),'2025DATA'!$H$22,"")</f>
        <v/>
      </c>
      <c r="AZ177" s="518" t="str">
        <f>IF(AND(_A3="B-737-900",'2025'!$H$4="FO",'2025'!$H$2=AZ157),'2025DATA'!$I$22,"")</f>
        <v/>
      </c>
      <c r="BA177" s="518" t="str">
        <f>IF(AND(_A3="B-737-900",'2025'!$H$4="FO",'2025'!$H$2=BA157),'2025DATA'!$J$22,"")</f>
        <v/>
      </c>
      <c r="BB177" s="518" t="str">
        <f>IF(AND(_A3="B-737-900",'2025'!$H$4="FO",'2025'!$H$2=BB157),'2025DATA'!$K$22,"")</f>
        <v/>
      </c>
      <c r="BC177" s="518" t="str">
        <f>IF(AND(_A3="B-737-900",'2025'!$H$4="FO",'2025'!$H$2=BC157),'2025DATA'!$L$22,"")</f>
        <v/>
      </c>
      <c r="BD177" s="518" t="str">
        <f>IF(AND(_A3="B-737-900",'2025'!$H$4="FO",'2025'!$H$2=BD157),'2025DATA'!$M$22,"")</f>
        <v/>
      </c>
      <c r="BE177" s="520" t="str">
        <f>IF(AND(_A3="B-737-900",'2025'!$H$4="FO",'2025'!$H$2=BE157),'2025DATA'!$N$22,"")</f>
        <v/>
      </c>
      <c r="BF177" s="940"/>
      <c r="BG177" s="13" t="s">
        <v>62</v>
      </c>
      <c r="BH177" s="518" t="str">
        <f>IF(AND(_A4="B-737-900",'2025'!$H$4="FO",'2025'!$H$2=BH157),'2025DATA'!$C$22,"")</f>
        <v/>
      </c>
      <c r="BI177" s="518" t="str">
        <f>IF(AND(_A4="B-737-900",'2025'!$H$4="FO",'2025'!$H$2=BI157),'2025DATA'!$D$22,"")</f>
        <v/>
      </c>
      <c r="BJ177" s="518" t="str">
        <f>IF(AND(_A4="B-737-900",'2025'!$H$4="FO",'2025'!$H$2=BJ157),'2025DATA'!$E$22,"")</f>
        <v/>
      </c>
      <c r="BK177" s="518" t="str">
        <f>IF(AND(_A4="B-737-900",'2025'!$H$4="FO",'2025'!$H$2=BK157),'2025DATA'!$F$22,"")</f>
        <v/>
      </c>
      <c r="BL177" s="518" t="str">
        <f>IF(AND(_A4="B-737-900",'2025'!$H$4="FO",'2025'!$H$2=BL157),'2025DATA'!$G$22,"")</f>
        <v/>
      </c>
      <c r="BM177" s="518" t="str">
        <f>IF(AND(_A4="B-737-900",'2025'!$H$4="FO",'2025'!$H$2=BM157),'2025DATA'!$H$22,"")</f>
        <v/>
      </c>
      <c r="BN177" s="518" t="str">
        <f>IF(AND(_A4="B-737-900",'2025'!$H$4="FO",'2025'!$H$2=BN157),'2025DATA'!$I$22,"")</f>
        <v/>
      </c>
      <c r="BO177" s="518" t="str">
        <f>IF(AND(_A4="B-737-900",'2025'!$H$4="FO",'2025'!$H$2=BO157),'2025DATA'!$J$22,"")</f>
        <v/>
      </c>
      <c r="BP177" s="518" t="str">
        <f>IF(AND(_A4="B-737-900",'2025'!$H$4="FO",'2025'!$H$2=BP157),'2025DATA'!$K$22,"")</f>
        <v/>
      </c>
      <c r="BQ177" s="518" t="str">
        <f>IF(AND(_A4="B-737-900",'2025'!$H$4="FO",'2025'!$H$2=BQ157),'2025DATA'!$L$22,"")</f>
        <v/>
      </c>
      <c r="BR177" s="518" t="str">
        <f>IF(AND(_A4="B-737-900",'2025'!$H$4="FO",'2025'!$H$2=BR157),'2025DATA'!$M$22,"")</f>
        <v/>
      </c>
      <c r="BS177" s="520" t="str">
        <f>IF(AND(_A4="B-737-900",'2025'!$H$4="FO",'2025'!$H$2=BS157),'2025DATA'!$N$22,"")</f>
        <v/>
      </c>
      <c r="BT177" s="940"/>
      <c r="BU177" s="13" t="s">
        <v>62</v>
      </c>
      <c r="BV177" s="518" t="str">
        <f>IF(AND(_A5="B-737-900",'2025'!$H$4="FO",'2025'!$H$2=BV157),'2025DATA'!$C$22,"")</f>
        <v/>
      </c>
      <c r="BW177" s="518" t="str">
        <f>IF(AND(_A5="B-737-900",'2025'!$H$4="FO",'2025'!$H$2=BW157),'2025DATA'!$D$22,"")</f>
        <v/>
      </c>
      <c r="BX177" s="518" t="str">
        <f>IF(AND(_A5="B-737-900",'2025'!$H$4="FO",'2025'!$H$2=BX157),'2025DATA'!$E$22,"")</f>
        <v/>
      </c>
      <c r="BY177" s="518" t="str">
        <f>IF(AND(_A5="B-737-900",'2025'!$H$4="FO",'2025'!$H$2=BY157),'2025DATA'!$F$22,"")</f>
        <v/>
      </c>
      <c r="BZ177" s="518" t="str">
        <f>IF(AND(_A5="B-737-900",'2025'!$H$4="FO",'2025'!$H$2=BZ157),'2025DATA'!$G$22,"")</f>
        <v/>
      </c>
      <c r="CA177" s="518" t="str">
        <f>IF(AND(_A5="B-737-900",'2025'!$H$4="FO",'2025'!$H$2=CA157),'2025DATA'!$H$22,"")</f>
        <v/>
      </c>
      <c r="CB177" s="518" t="str">
        <f>IF(AND(_A5="B-737-900",'2025'!$H$4="FO",'2025'!$H$2=CB157),'2025DATA'!$I$22,"")</f>
        <v/>
      </c>
      <c r="CC177" s="518" t="str">
        <f>IF(AND(_A5="B-737-900",'2025'!$H$4="FO",'2025'!$H$2=CC157),'2025DATA'!$J$22,"")</f>
        <v/>
      </c>
      <c r="CD177" s="518" t="str">
        <f>IF(AND(_A5="B-737-900",'2025'!$H$4="FO",'2025'!$H$2=CD157),'2025DATA'!$K$22,"")</f>
        <v/>
      </c>
      <c r="CE177" s="518" t="str">
        <f>IF(AND(_A5="B-737-900",'2025'!$H$4="FO",'2025'!$H$2=CE157),'2025DATA'!$L$22,"")</f>
        <v/>
      </c>
      <c r="CF177" s="518" t="str">
        <f>IF(AND(_A5="B-737-900",'2025'!$H$4="FO",'2025'!$H$2=CF157),'2025DATA'!$M$22,"")</f>
        <v/>
      </c>
      <c r="CG177" s="520" t="str">
        <f>IF(AND(_A5="B-737-900",'2025'!$H$4="FO",'2025'!$H$2=CG157),'2025DATA'!$N$22,"")</f>
        <v/>
      </c>
      <c r="CH177" s="940"/>
      <c r="CI177" s="13" t="s">
        <v>62</v>
      </c>
      <c r="CJ177" s="518" t="str">
        <f>IF(AND(_A6="B-737-900",'2025'!$H$4="FO",'2025'!$H$2=CJ157),'2025DATA'!$C$22,"")</f>
        <v/>
      </c>
      <c r="CK177" s="518" t="str">
        <f>IF(AND(_A6="B-737-900",'2025'!$H$4="FO",'2025'!$H$2=CK157),'2025DATA'!$D$22,"")</f>
        <v/>
      </c>
      <c r="CL177" s="518" t="str">
        <f>IF(AND(_A6="B-737-900",'2025'!$H$4="FO",'2025'!$H$2=CL157),'2025DATA'!$E$22,"")</f>
        <v/>
      </c>
      <c r="CM177" s="518" t="str">
        <f>IF(AND(_A6="B-737-900",'2025'!$H$4="FO",'2025'!$H$2=CM157),'2025DATA'!$F$22,"")</f>
        <v/>
      </c>
      <c r="CN177" s="518" t="str">
        <f>IF(AND(_A6="B-737-900",'2025'!$H$4="FO",'2025'!$H$2=CN157),'2025DATA'!$G$22,"")</f>
        <v/>
      </c>
      <c r="CO177" s="518" t="str">
        <f>IF(AND(_A6="B-737-900",'2025'!$H$4="FO",'2025'!$H$2=CO157),'2025DATA'!$H$22,"")</f>
        <v/>
      </c>
      <c r="CP177" s="518" t="str">
        <f>IF(AND(_A6="B-737-900",'2025'!$H$4="FO",'2025'!$H$2=CP157),'2025DATA'!$I$22,"")</f>
        <v/>
      </c>
      <c r="CQ177" s="518" t="str">
        <f>IF(AND(_A6="B-737-900",'2025'!$H$4="FO",'2025'!$H$2=CQ157),'2025DATA'!$J$22,"")</f>
        <v/>
      </c>
      <c r="CR177" s="518" t="str">
        <f>IF(AND(_A6="B-737-900",'2025'!$H$4="FO",'2025'!$H$2=CR157),'2025DATA'!$K$22,"")</f>
        <v/>
      </c>
      <c r="CS177" s="518" t="str">
        <f>IF(AND(_A6="B-737-900",'2025'!$H$4="FO",'2025'!$H$2=CS157),'2025DATA'!$L$22,"")</f>
        <v/>
      </c>
      <c r="CT177" s="518" t="str">
        <f>IF(AND(_A6="B-737-900",'2025'!$H$4="FO",'2025'!$H$2=CT157),'2025DATA'!$M$22,"")</f>
        <v/>
      </c>
      <c r="CU177" s="520" t="str">
        <f>IF(AND(_A6="B-737-900",'2025'!$H$4="FO",'2025'!$H$2=CU157),'2025DATA'!$N$22,"")</f>
        <v/>
      </c>
    </row>
    <row r="178" spans="16:99" x14ac:dyDescent="0.25">
      <c r="P178" s="940" t="s">
        <v>69</v>
      </c>
      <c r="Q178" s="13" t="s">
        <v>61</v>
      </c>
      <c r="R178" s="518" t="str">
        <f>IF(AND(_A1="B-737-800",'2025'!$H$4="CA",'2025'!$H$2=R157),'2025DATA'!$C$23,"")</f>
        <v/>
      </c>
      <c r="S178" s="518" t="str">
        <f>IF(AND(_A1="B-737-800",'2025'!$H$4="CA",'2025'!$H$2=S157),'2025DATA'!$D$23,"")</f>
        <v/>
      </c>
      <c r="T178" s="518" t="str">
        <f>IF(AND(_A1="B-737-800",'2025'!$H$4="CA",'2025'!$H$2=T157),'2025DATA'!$E$23,"")</f>
        <v/>
      </c>
      <c r="U178" s="518" t="str">
        <f>IF(AND(_A1="B-737-800",'2025'!$H$4="CA",'2025'!$H$2=U157),'2025DATA'!$F$23,"")</f>
        <v/>
      </c>
      <c r="V178" s="518" t="str">
        <f>IF(AND(_A1="B-737-800",'2025'!$H$4="CA",'2025'!$H$2=V157),'2025DATA'!$G$23,"")</f>
        <v/>
      </c>
      <c r="W178" s="518" t="str">
        <f>IF(AND(_A1="B-737-800",'2025'!$H$4="CA",'2025'!$H$2=W157),'2025DATA'!$H$23,"")</f>
        <v/>
      </c>
      <c r="X178" s="518" t="str">
        <f>IF(AND(_A1="B-737-800",'2025'!$H$4="CA",'2025'!$H$2=X157),'2025DATA'!$I$23,"")</f>
        <v/>
      </c>
      <c r="Y178" s="518" t="str">
        <f>IF(AND(_A1="B-737-800",'2025'!$H$4="CA",'2025'!$H$2=Y157),'2025DATA'!$J$23,"")</f>
        <v/>
      </c>
      <c r="Z178" s="518" t="str">
        <f>IF(AND(_A1="B-737-800",'2025'!$H$4="CA",'2025'!$H$2=Z157),'2025DATA'!$K$23,"")</f>
        <v/>
      </c>
      <c r="AA178" s="518" t="str">
        <f>IF(AND(_A1="B-737-800",'2025'!$H$4="CA",'2025'!$H$2=AA157),'2025DATA'!$L$23,"")</f>
        <v/>
      </c>
      <c r="AB178" s="518" t="str">
        <f>IF(AND(_A1="B-737-800",'2025'!$H$4="CA",'2025'!$H$2=AB157),'2025DATA'!$M$23,"")</f>
        <v/>
      </c>
      <c r="AC178" s="520" t="str">
        <f>IF(AND(_A1="B-737-800",'2025'!$H$4="CA",'2025'!$H$2=AC157),'2025DATA'!$N$23,"")</f>
        <v/>
      </c>
      <c r="AD178" s="940" t="s">
        <v>69</v>
      </c>
      <c r="AE178" s="13" t="s">
        <v>61</v>
      </c>
      <c r="AF178" s="518" t="str">
        <f>IF(AND(_A2="B-737-800",'2025'!$H$4="CA",'2025'!$H$2=AF157),'2025DATA'!$C$23,"")</f>
        <v/>
      </c>
      <c r="AG178" s="518" t="str">
        <f>IF(AND(_A2="B-737-800",'2025'!$H$4="CA",'2025'!$H$2=AG157),'2025DATA'!$D$23,"")</f>
        <v/>
      </c>
      <c r="AH178" s="518" t="str">
        <f>IF(AND(_A2="B-737-800",'2025'!$H$4="CA",'2025'!$H$2=AH157),'2025DATA'!$E$23,"")</f>
        <v/>
      </c>
      <c r="AI178" s="518" t="str">
        <f>IF(AND(_A2="B-737-800",'2025'!$H$4="CA",'2025'!$H$2=AI157),'2025DATA'!$F$23,"")</f>
        <v/>
      </c>
      <c r="AJ178" s="518" t="str">
        <f>IF(AND(_A2="B-737-800",'2025'!$H$4="CA",'2025'!$H$2=AJ157),'2025DATA'!$G$23,"")</f>
        <v/>
      </c>
      <c r="AK178" s="518" t="str">
        <f>IF(AND(_A2="B-737-800",'2025'!$H$4="CA",'2025'!$H$2=AK157),'2025DATA'!$H$23,"")</f>
        <v/>
      </c>
      <c r="AL178" s="518" t="str">
        <f>IF(AND(_A2="B-737-800",'2025'!$H$4="CA",'2025'!$H$2=AL157),'2025DATA'!$I$23,"")</f>
        <v/>
      </c>
      <c r="AM178" s="518" t="str">
        <f>IF(AND(_A2="B-737-800",'2025'!$H$4="CA",'2025'!$H$2=AM157),'2025DATA'!$J$23,"")</f>
        <v/>
      </c>
      <c r="AN178" s="518" t="str">
        <f>IF(AND(_A2="B-737-800",'2025'!$H$4="CA",'2025'!$H$2=AN157),'2025DATA'!$K$23,"")</f>
        <v/>
      </c>
      <c r="AO178" s="518" t="str">
        <f>IF(AND(_A2="B-737-800",'2025'!$H$4="CA",'2025'!$H$2=AO157),'2025DATA'!$L$23,"")</f>
        <v/>
      </c>
      <c r="AP178" s="518" t="str">
        <f>IF(AND(_A2="B-737-800",'2025'!$H$4="CA",'2025'!$H$2=AP157),'2025DATA'!$M$23,"")</f>
        <v/>
      </c>
      <c r="AQ178" s="520" t="str">
        <f>IF(AND(_A2="B-737-800",'2025'!$H$4="CA",'2025'!$H$2=AQ157),'2025DATA'!$N$23,"")</f>
        <v/>
      </c>
      <c r="AR178" s="940" t="s">
        <v>69</v>
      </c>
      <c r="AS178" s="13" t="s">
        <v>61</v>
      </c>
      <c r="AT178" s="518" t="str">
        <f>IF(AND(_A3="B-737-800",'2025'!$H$4="CA",'2025'!$H$2=AT157),'2025DATA'!$C$23,"")</f>
        <v/>
      </c>
      <c r="AU178" s="518" t="str">
        <f>IF(AND(_A3="B-737-800",'2025'!$H$4="CA",'2025'!$H$2=AU157),'2025DATA'!$D$23,"")</f>
        <v/>
      </c>
      <c r="AV178" s="518" t="str">
        <f>IF(AND(_A3="B-737-800",'2025'!$H$4="CA",'2025'!$H$2=AV157),'2025DATA'!$E$23,"")</f>
        <v/>
      </c>
      <c r="AW178" s="518" t="str">
        <f>IF(AND(_A3="B-737-800",'2025'!$H$4="CA",'2025'!$H$2=AW157),'2025DATA'!$F$23,"")</f>
        <v/>
      </c>
      <c r="AX178" s="518" t="str">
        <f>IF(AND(_A3="B-737-800",'2025'!$H$4="CA",'2025'!$H$2=AX157),'2025DATA'!$G$23,"")</f>
        <v/>
      </c>
      <c r="AY178" s="518" t="str">
        <f>IF(AND(_A3="B-737-800",'2025'!$H$4="CA",'2025'!$H$2=AY157),'2025DATA'!$H$23,"")</f>
        <v/>
      </c>
      <c r="AZ178" s="518" t="str">
        <f>IF(AND(_A3="B-737-800",'2025'!$H$4="CA",'2025'!$H$2=AZ157),'2025DATA'!$I$23,"")</f>
        <v/>
      </c>
      <c r="BA178" s="518" t="str">
        <f>IF(AND(_A3="B-737-800",'2025'!$H$4="CA",'2025'!$H$2=BA157),'2025DATA'!$J$23,"")</f>
        <v/>
      </c>
      <c r="BB178" s="518" t="str">
        <f>IF(AND(_A3="B-737-800",'2025'!$H$4="CA",'2025'!$H$2=BB157),'2025DATA'!$K$23,"")</f>
        <v/>
      </c>
      <c r="BC178" s="518" t="str">
        <f>IF(AND(_A3="B-737-800",'2025'!$H$4="CA",'2025'!$H$2=BC157),'2025DATA'!$L$23,"")</f>
        <v/>
      </c>
      <c r="BD178" s="518" t="str">
        <f>IF(AND(_A3="B-737-800",'2025'!$H$4="CA",'2025'!$H$2=BD157),'2025DATA'!$M$23,"")</f>
        <v/>
      </c>
      <c r="BE178" s="520" t="str">
        <f>IF(AND(_A3="B-737-800",'2025'!$H$4="CA",'2025'!$H$2=BE157),'2025DATA'!$N$23,"")</f>
        <v/>
      </c>
      <c r="BF178" s="940" t="s">
        <v>69</v>
      </c>
      <c r="BG178" s="13" t="s">
        <v>61</v>
      </c>
      <c r="BH178" s="518" t="str">
        <f>IF(AND(_A4="B-737-800",'2025'!$H$4="CA",'2025'!$H$2=BH157),'2025DATA'!$C$23,"")</f>
        <v/>
      </c>
      <c r="BI178" s="518" t="str">
        <f>IF(AND(_A4="B-737-800",'2025'!$H$4="CA",'2025'!$H$2=BI157),'2025DATA'!$D$23,"")</f>
        <v/>
      </c>
      <c r="BJ178" s="518" t="str">
        <f>IF(AND(_A4="B-737-800",'2025'!$H$4="CA",'2025'!$H$2=BJ157),'2025DATA'!$E$23,"")</f>
        <v/>
      </c>
      <c r="BK178" s="518" t="str">
        <f>IF(AND(_A4="B-737-800",'2025'!$H$4="CA",'2025'!$H$2=BK157),'2025DATA'!$F$23,"")</f>
        <v/>
      </c>
      <c r="BL178" s="518" t="str">
        <f>IF(AND(_A4="B-737-800",'2025'!$H$4="CA",'2025'!$H$2=BL157),'2025DATA'!$G$23,"")</f>
        <v/>
      </c>
      <c r="BM178" s="518" t="str">
        <f>IF(AND(_A4="B-737-800",'2025'!$H$4="CA",'2025'!$H$2=BM157),'2025DATA'!$H$23,"")</f>
        <v/>
      </c>
      <c r="BN178" s="518" t="str">
        <f>IF(AND(_A4="B-737-800",'2025'!$H$4="CA",'2025'!$H$2=BN157),'2025DATA'!$I$23,"")</f>
        <v/>
      </c>
      <c r="BO178" s="518" t="str">
        <f>IF(AND(_A4="B-737-800",'2025'!$H$4="CA",'2025'!$H$2=BO157),'2025DATA'!$J$23,"")</f>
        <v/>
      </c>
      <c r="BP178" s="518" t="str">
        <f>IF(AND(_A4="B-737-800",'2025'!$H$4="CA",'2025'!$H$2=BP157),'2025DATA'!$K$23,"")</f>
        <v/>
      </c>
      <c r="BQ178" s="518" t="str">
        <f>IF(AND(_A4="B-737-800",'2025'!$H$4="CA",'2025'!$H$2=BQ157),'2025DATA'!$L$23,"")</f>
        <v/>
      </c>
      <c r="BR178" s="518" t="str">
        <f>IF(AND(_A4="B-737-800",'2025'!$H$4="CA",'2025'!$H$2=BR157),'2025DATA'!$M$23,"")</f>
        <v/>
      </c>
      <c r="BS178" s="520" t="str">
        <f>IF(AND(_A4="B-737-800",'2025'!$H$4="CA",'2025'!$H$2=BS157),'2025DATA'!$N$23,"")</f>
        <v/>
      </c>
      <c r="BT178" s="940" t="s">
        <v>69</v>
      </c>
      <c r="BU178" s="13" t="s">
        <v>61</v>
      </c>
      <c r="BV178" s="518" t="str">
        <f>IF(AND(_A5="B-737-800",'2025'!$H$4="CA",'2025'!$H$2=BV157),'2025DATA'!$C$23,"")</f>
        <v/>
      </c>
      <c r="BW178" s="518" t="str">
        <f>IF(AND(_A5="B-737-800",'2025'!$H$4="CA",'2025'!$H$2=BW157),'2025DATA'!$D$23,"")</f>
        <v/>
      </c>
      <c r="BX178" s="518" t="str">
        <f>IF(AND(_A5="B-737-800",'2025'!$H$4="CA",'2025'!$H$2=BX157),'2025DATA'!$E$23,"")</f>
        <v/>
      </c>
      <c r="BY178" s="518" t="str">
        <f>IF(AND(_A5="B-737-800",'2025'!$H$4="CA",'2025'!$H$2=BY157),'2025DATA'!$F$23,"")</f>
        <v/>
      </c>
      <c r="BZ178" s="518" t="str">
        <f>IF(AND(_A5="B-737-800",'2025'!$H$4="CA",'2025'!$H$2=BZ157),'2025DATA'!$G$23,"")</f>
        <v/>
      </c>
      <c r="CA178" s="518" t="str">
        <f>IF(AND(_A5="B-737-800",'2025'!$H$4="CA",'2025'!$H$2=CA157),'2025DATA'!$H$23,"")</f>
        <v/>
      </c>
      <c r="CB178" s="518" t="str">
        <f>IF(AND(_A5="B-737-800",'2025'!$H$4="CA",'2025'!$H$2=CB157),'2025DATA'!$I$23,"")</f>
        <v/>
      </c>
      <c r="CC178" s="518" t="str">
        <f>IF(AND(_A5="B-737-800",'2025'!$H$4="CA",'2025'!$H$2=CC157),'2025DATA'!$J$23,"")</f>
        <v/>
      </c>
      <c r="CD178" s="518" t="str">
        <f>IF(AND(_A5="B-737-800",'2025'!$H$4="CA",'2025'!$H$2=CD157),'2025DATA'!$K$23,"")</f>
        <v/>
      </c>
      <c r="CE178" s="518" t="str">
        <f>IF(AND(_A5="B-737-800",'2025'!$H$4="CA",'2025'!$H$2=CE157),'2025DATA'!$L$23,"")</f>
        <v/>
      </c>
      <c r="CF178" s="518" t="str">
        <f>IF(AND(_A5="B-737-800",'2025'!$H$4="CA",'2025'!$H$2=CF157),'2025DATA'!$M$23,"")</f>
        <v/>
      </c>
      <c r="CG178" s="520" t="str">
        <f>IF(AND(_A5="B-737-800",'2025'!$H$4="CA",'2025'!$H$2=CG157),'2025DATA'!$N$23,"")</f>
        <v/>
      </c>
      <c r="CH178" s="940" t="s">
        <v>69</v>
      </c>
      <c r="CI178" s="13" t="s">
        <v>61</v>
      </c>
      <c r="CJ178" s="518" t="str">
        <f>IF(AND(_A6="B-737-800",'2025'!$H$4="CA",'2025'!$H$2=CJ157),'2025DATA'!$C$23,"")</f>
        <v/>
      </c>
      <c r="CK178" s="518" t="str">
        <f>IF(AND(_A6="B-737-800",'2025'!$H$4="CA",'2025'!$H$2=CK157),'2025DATA'!$D$23,"")</f>
        <v/>
      </c>
      <c r="CL178" s="518" t="str">
        <f>IF(AND(_A6="B-737-800",'2025'!$H$4="CA",'2025'!$H$2=CL157),'2025DATA'!$E$23,"")</f>
        <v/>
      </c>
      <c r="CM178" s="518" t="str">
        <f>IF(AND(_A6="B-737-800",'2025'!$H$4="CA",'2025'!$H$2=CM157),'2025DATA'!$F$23,"")</f>
        <v/>
      </c>
      <c r="CN178" s="518" t="str">
        <f>IF(AND(_A6="B-737-800",'2025'!$H$4="CA",'2025'!$H$2=CN157),'2025DATA'!$G$23,"")</f>
        <v/>
      </c>
      <c r="CO178" s="518" t="str">
        <f>IF(AND(_A6="B-737-800",'2025'!$H$4="CA",'2025'!$H$2=CO157),'2025DATA'!$H$23,"")</f>
        <v/>
      </c>
      <c r="CP178" s="518" t="str">
        <f>IF(AND(_A6="B-737-800",'2025'!$H$4="CA",'2025'!$H$2=CP157),'2025DATA'!$I$23,"")</f>
        <v/>
      </c>
      <c r="CQ178" s="518" t="str">
        <f>IF(AND(_A6="B-737-800",'2025'!$H$4="CA",'2025'!$H$2=CQ157),'2025DATA'!$J$23,"")</f>
        <v/>
      </c>
      <c r="CR178" s="518" t="str">
        <f>IF(AND(_A6="B-737-800",'2025'!$H$4="CA",'2025'!$H$2=CR157),'2025DATA'!$K$23,"")</f>
        <v/>
      </c>
      <c r="CS178" s="518" t="str">
        <f>IF(AND(_A6="B-737-800",'2025'!$H$4="CA",'2025'!$H$2=CS157),'2025DATA'!$L$23,"")</f>
        <v/>
      </c>
      <c r="CT178" s="518" t="str">
        <f>IF(AND(_A6="B-737-800",'2025'!$H$4="CA",'2025'!$H$2=CT157),'2025DATA'!$M$23,"")</f>
        <v/>
      </c>
      <c r="CU178" s="520" t="str">
        <f>IF(AND(_A6="B-737-800",'2025'!$H$4="CA",'2025'!$H$2=CU157),'2025DATA'!$N$23,"")</f>
        <v/>
      </c>
    </row>
    <row r="179" spans="16:99" x14ac:dyDescent="0.25">
      <c r="P179" s="940"/>
      <c r="Q179" s="13" t="s">
        <v>62</v>
      </c>
      <c r="R179" s="518" t="str">
        <f>IF(AND(_A1="B-737-800",'2025'!$H$4="FO",'2025'!$H$2=R157),'2025DATA'!$C$24,"")</f>
        <v/>
      </c>
      <c r="S179" s="518" t="str">
        <f>IF(AND(_A1="B-737-800",'2025'!$H$4="FO",'2025'!$H$2=S157),'2025DATA'!$D$24,"")</f>
        <v/>
      </c>
      <c r="T179" s="518" t="str">
        <f>IF(AND(_A1="B-737-800",'2025'!$H$4="FO",'2025'!$H$2=T157),'2025DATA'!$E$24,"")</f>
        <v/>
      </c>
      <c r="U179" s="518" t="str">
        <f>IF(AND(_A1="B-737-800",'2025'!$H$4="FO",'2025'!$H$2=U157),'2025DATA'!$F$24,"")</f>
        <v/>
      </c>
      <c r="V179" s="518" t="str">
        <f>IF(AND(_A1="B-737-800",'2025'!$H$4="FO",'2025'!$H$2=V157),'2025DATA'!$G$24,"")</f>
        <v/>
      </c>
      <c r="W179" s="518" t="str">
        <f>IF(AND(_A1="B-737-800",'2025'!$H$4="FO",'2025'!$H$2=W157),'2025DATA'!$H$24,"")</f>
        <v/>
      </c>
      <c r="X179" s="518" t="str">
        <f>IF(AND(_A1="B-737-800",'2025'!$H$4="FO",'2025'!$H$2=X157),'2025DATA'!$I$24,"")</f>
        <v/>
      </c>
      <c r="Y179" s="518" t="str">
        <f>IF(AND(_A1="B-737-800",'2025'!$H$4="FO",'2025'!$H$2=Y157),'2025DATA'!$J$24,"")</f>
        <v/>
      </c>
      <c r="Z179" s="518" t="str">
        <f>IF(AND(_A1="B-737-800",'2025'!$H$4="FO",'2025'!$H$2=Z157),'2025DATA'!$K$24,"")</f>
        <v/>
      </c>
      <c r="AA179" s="518" t="str">
        <f>IF(AND(_A1="B-737-800",'2025'!$H$4="FO",'2025'!$H$2=AA157),'2025DATA'!$L$24,"")</f>
        <v/>
      </c>
      <c r="AB179" s="518" t="str">
        <f>IF(AND(_A1="B-737-800",'2025'!$H$4="FO",'2025'!$H$2=AB157),'2025DATA'!$M$24,"")</f>
        <v/>
      </c>
      <c r="AC179" s="520" t="str">
        <f>IF(AND(_A1="B-737-800",'2025'!$H$4="FO",'2025'!$H$2=AC157),'2025DATA'!$N$24,"")</f>
        <v/>
      </c>
      <c r="AD179" s="940"/>
      <c r="AE179" s="13" t="s">
        <v>62</v>
      </c>
      <c r="AF179" s="518" t="str">
        <f>IF(AND(_A2="B-737-800",'2025'!$H$4="FO",'2025'!$H$2=AF157),'2025DATA'!$C$24,"")</f>
        <v/>
      </c>
      <c r="AG179" s="518" t="str">
        <f>IF(AND(_A2="B-737-800",'2025'!$H$4="FO",'2025'!$H$2=AG157),'2025DATA'!$D$24,"")</f>
        <v/>
      </c>
      <c r="AH179" s="518" t="str">
        <f>IF(AND(_A2="B-737-800",'2025'!$H$4="FO",'2025'!$H$2=AH157),'2025DATA'!$E$24,"")</f>
        <v/>
      </c>
      <c r="AI179" s="518" t="str">
        <f>IF(AND(_A2="B-737-800",'2025'!$H$4="FO",'2025'!$H$2=AI157),'2025DATA'!$F$24,"")</f>
        <v/>
      </c>
      <c r="AJ179" s="518" t="str">
        <f>IF(AND(_A2="B-737-800",'2025'!$H$4="FO",'2025'!$H$2=AJ157),'2025DATA'!$G$24,"")</f>
        <v/>
      </c>
      <c r="AK179" s="518" t="str">
        <f>IF(AND(_A2="B-737-800",'2025'!$H$4="FO",'2025'!$H$2=AK157),'2025DATA'!$H$24,"")</f>
        <v/>
      </c>
      <c r="AL179" s="518" t="str">
        <f>IF(AND(_A2="B-737-800",'2025'!$H$4="FO",'2025'!$H$2=AL157),'2025DATA'!$I$24,"")</f>
        <v/>
      </c>
      <c r="AM179" s="518" t="str">
        <f>IF(AND(_A2="B-737-800",'2025'!$H$4="FO",'2025'!$H$2=AM157),'2025DATA'!$J$24,"")</f>
        <v/>
      </c>
      <c r="AN179" s="518" t="str">
        <f>IF(AND(_A2="B-737-800",'2025'!$H$4="FO",'2025'!$H$2=AN157),'2025DATA'!$K$24,"")</f>
        <v/>
      </c>
      <c r="AO179" s="518" t="str">
        <f>IF(AND(_A2="B-737-800",'2025'!$H$4="FO",'2025'!$H$2=AO157),'2025DATA'!$L$24,"")</f>
        <v/>
      </c>
      <c r="AP179" s="518" t="str">
        <f>IF(AND(_A2="B-737-800",'2025'!$H$4="FO",'2025'!$H$2=AP157),'2025DATA'!$M$24,"")</f>
        <v/>
      </c>
      <c r="AQ179" s="520" t="str">
        <f>IF(AND(_A2="B-737-800",'2025'!$H$4="FO",'2025'!$H$2=AQ157),'2025DATA'!$N$24,"")</f>
        <v/>
      </c>
      <c r="AR179" s="940"/>
      <c r="AS179" s="13" t="s">
        <v>62</v>
      </c>
      <c r="AT179" s="518" t="str">
        <f>IF(AND(_A3="B-737-800",'2025'!$H$4="FO",'2025'!$H$2=AT157),'2025DATA'!$C$24,"")</f>
        <v/>
      </c>
      <c r="AU179" s="518" t="str">
        <f>IF(AND(_A3="B-737-800",'2025'!$H$4="FO",'2025'!$H$2=AU157),'2025DATA'!$D$24,"")</f>
        <v/>
      </c>
      <c r="AV179" s="518" t="str">
        <f>IF(AND(_A3="B-737-800",'2025'!$H$4="FO",'2025'!$H$2=AV157),'2025DATA'!$E$24,"")</f>
        <v/>
      </c>
      <c r="AW179" s="518" t="str">
        <f>IF(AND(_A3="B-737-800",'2025'!$H$4="FO",'2025'!$H$2=AW157),'2025DATA'!$F$24,"")</f>
        <v/>
      </c>
      <c r="AX179" s="518" t="str">
        <f>IF(AND(_A3="B-737-800",'2025'!$H$4="FO",'2025'!$H$2=AX157),'2025DATA'!$G$24,"")</f>
        <v/>
      </c>
      <c r="AY179" s="518" t="str">
        <f>IF(AND(_A3="B-737-800",'2025'!$H$4="FO",'2025'!$H$2=AY157),'2025DATA'!$H$24,"")</f>
        <v/>
      </c>
      <c r="AZ179" s="518" t="str">
        <f>IF(AND(_A3="B-737-800",'2025'!$H$4="FO",'2025'!$H$2=AZ157),'2025DATA'!$I$24,"")</f>
        <v/>
      </c>
      <c r="BA179" s="518" t="str">
        <f>IF(AND(_A3="B-737-800",'2025'!$H$4="FO",'2025'!$H$2=BA157),'2025DATA'!$J$24,"")</f>
        <v/>
      </c>
      <c r="BB179" s="518" t="str">
        <f>IF(AND(_A3="B-737-800",'2025'!$H$4="FO",'2025'!$H$2=BB157),'2025DATA'!$K$24,"")</f>
        <v/>
      </c>
      <c r="BC179" s="518" t="str">
        <f>IF(AND(_A3="B-737-800",'2025'!$H$4="FO",'2025'!$H$2=BC157),'2025DATA'!$L$24,"")</f>
        <v/>
      </c>
      <c r="BD179" s="518" t="str">
        <f>IF(AND(_A3="B-737-800",'2025'!$H$4="FO",'2025'!$H$2=BD157),'2025DATA'!$M$24,"")</f>
        <v/>
      </c>
      <c r="BE179" s="520" t="str">
        <f>IF(AND(_A3="B-737-800",'2025'!$H$4="FO",'2025'!$H$2=BE157),'2025DATA'!$N$24,"")</f>
        <v/>
      </c>
      <c r="BF179" s="940"/>
      <c r="BG179" s="13" t="s">
        <v>62</v>
      </c>
      <c r="BH179" s="518" t="str">
        <f>IF(AND(_A4="B-737-800",'2025'!$H$4="FO",'2025'!$H$2=BH157),'2025DATA'!$C$24,"")</f>
        <v/>
      </c>
      <c r="BI179" s="518" t="str">
        <f>IF(AND(_A4="B-737-800",'2025'!$H$4="FO",'2025'!$H$2=BI157),'2025DATA'!$D$24,"")</f>
        <v/>
      </c>
      <c r="BJ179" s="518" t="str">
        <f>IF(AND(_A4="B-737-800",'2025'!$H$4="FO",'2025'!$H$2=BJ157),'2025DATA'!$E$24,"")</f>
        <v/>
      </c>
      <c r="BK179" s="518" t="str">
        <f>IF(AND(_A4="B-737-800",'2025'!$H$4="FO",'2025'!$H$2=BK157),'2025DATA'!$F$24,"")</f>
        <v/>
      </c>
      <c r="BL179" s="518" t="str">
        <f>IF(AND(_A4="B-737-800",'2025'!$H$4="FO",'2025'!$H$2=BL157),'2025DATA'!$G$24,"")</f>
        <v/>
      </c>
      <c r="BM179" s="518" t="str">
        <f>IF(AND(_A4="B-737-800",'2025'!$H$4="FO",'2025'!$H$2=BM157),'2025DATA'!$H$24,"")</f>
        <v/>
      </c>
      <c r="BN179" s="518" t="str">
        <f>IF(AND(_A4="B-737-800",'2025'!$H$4="FO",'2025'!$H$2=BN157),'2025DATA'!$I$24,"")</f>
        <v/>
      </c>
      <c r="BO179" s="518" t="str">
        <f>IF(AND(_A4="B-737-800",'2025'!$H$4="FO",'2025'!$H$2=BO157),'2025DATA'!$J$24,"")</f>
        <v/>
      </c>
      <c r="BP179" s="518" t="str">
        <f>IF(AND(_A4="B-737-800",'2025'!$H$4="FO",'2025'!$H$2=BP157),'2025DATA'!$K$24,"")</f>
        <v/>
      </c>
      <c r="BQ179" s="518" t="str">
        <f>IF(AND(_A4="B-737-800",'2025'!$H$4="FO",'2025'!$H$2=BQ157),'2025DATA'!$L$24,"")</f>
        <v/>
      </c>
      <c r="BR179" s="518" t="str">
        <f>IF(AND(_A4="B-737-800",'2025'!$H$4="FO",'2025'!$H$2=BR157),'2025DATA'!$M$24,"")</f>
        <v/>
      </c>
      <c r="BS179" s="520" t="str">
        <f>IF(AND(_A4="B-737-800",'2025'!$H$4="FO",'2025'!$H$2=BS157),'2025DATA'!$N$24,"")</f>
        <v/>
      </c>
      <c r="BT179" s="940"/>
      <c r="BU179" s="13" t="s">
        <v>62</v>
      </c>
      <c r="BV179" s="518" t="str">
        <f>IF(AND(_A5="B-737-800",'2025'!$H$4="FO",'2025'!$H$2=BV157),'2025DATA'!$C$24,"")</f>
        <v/>
      </c>
      <c r="BW179" s="518" t="str">
        <f>IF(AND(_A5="B-737-800",'2025'!$H$4="FO",'2025'!$H$2=BW157),'2025DATA'!$D$24,"")</f>
        <v/>
      </c>
      <c r="BX179" s="518" t="str">
        <f>IF(AND(_A5="B-737-800",'2025'!$H$4="FO",'2025'!$H$2=BX157),'2025DATA'!$E$24,"")</f>
        <v/>
      </c>
      <c r="BY179" s="518" t="str">
        <f>IF(AND(_A5="B-737-800",'2025'!$H$4="FO",'2025'!$H$2=BY157),'2025DATA'!$F$24,"")</f>
        <v/>
      </c>
      <c r="BZ179" s="518" t="str">
        <f>IF(AND(_A5="B-737-800",'2025'!$H$4="FO",'2025'!$H$2=BZ157),'2025DATA'!$G$24,"")</f>
        <v/>
      </c>
      <c r="CA179" s="518" t="str">
        <f>IF(AND(_A5="B-737-800",'2025'!$H$4="FO",'2025'!$H$2=CA157),'2025DATA'!$H$24,"")</f>
        <v/>
      </c>
      <c r="CB179" s="518" t="str">
        <f>IF(AND(_A5="B-737-800",'2025'!$H$4="FO",'2025'!$H$2=CB157),'2025DATA'!$I$24,"")</f>
        <v/>
      </c>
      <c r="CC179" s="518" t="str">
        <f>IF(AND(_A5="B-737-800",'2025'!$H$4="FO",'2025'!$H$2=CC157),'2025DATA'!$J$24,"")</f>
        <v/>
      </c>
      <c r="CD179" s="518" t="str">
        <f>IF(AND(_A5="B-737-800",'2025'!$H$4="FO",'2025'!$H$2=CD157),'2025DATA'!$K$24,"")</f>
        <v/>
      </c>
      <c r="CE179" s="518" t="str">
        <f>IF(AND(_A5="B-737-800",'2025'!$H$4="FO",'2025'!$H$2=CE157),'2025DATA'!$L$24,"")</f>
        <v/>
      </c>
      <c r="CF179" s="518" t="str">
        <f>IF(AND(_A5="B-737-800",'2025'!$H$4="FO",'2025'!$H$2=CF157),'2025DATA'!$M$24,"")</f>
        <v/>
      </c>
      <c r="CG179" s="520" t="str">
        <f>IF(AND(_A5="B-737-800",'2025'!$H$4="FO",'2025'!$H$2=CG157),'2025DATA'!$N$24,"")</f>
        <v/>
      </c>
      <c r="CH179" s="940"/>
      <c r="CI179" s="13" t="s">
        <v>62</v>
      </c>
      <c r="CJ179" s="518" t="str">
        <f>IF(AND(_A6="B-737-800",'2025'!$H$4="FO",'2025'!$H$2=CJ157),'2025DATA'!$C$24,"")</f>
        <v/>
      </c>
      <c r="CK179" s="518" t="str">
        <f>IF(AND(_A6="B-737-800",'2025'!$H$4="FO",'2025'!$H$2=CK157),'2025DATA'!$D$24,"")</f>
        <v/>
      </c>
      <c r="CL179" s="518" t="str">
        <f>IF(AND(_A6="B-737-800",'2025'!$H$4="FO",'2025'!$H$2=CL157),'2025DATA'!$E$24,"")</f>
        <v/>
      </c>
      <c r="CM179" s="518" t="str">
        <f>IF(AND(_A6="B-737-800",'2025'!$H$4="FO",'2025'!$H$2=CM157),'2025DATA'!$F$24,"")</f>
        <v/>
      </c>
      <c r="CN179" s="518" t="str">
        <f>IF(AND(_A6="B-737-800",'2025'!$H$4="FO",'2025'!$H$2=CN157),'2025DATA'!$G$24,"")</f>
        <v/>
      </c>
      <c r="CO179" s="518" t="str">
        <f>IF(AND(_A6="B-737-800",'2025'!$H$4="FO",'2025'!$H$2=CO157),'2025DATA'!$H$24,"")</f>
        <v/>
      </c>
      <c r="CP179" s="518" t="str">
        <f>IF(AND(_A6="B-737-800",'2025'!$H$4="FO",'2025'!$H$2=CP157),'2025DATA'!$I$24,"")</f>
        <v/>
      </c>
      <c r="CQ179" s="518" t="str">
        <f>IF(AND(_A6="B-737-800",'2025'!$H$4="FO",'2025'!$H$2=CQ157),'2025DATA'!$J$24,"")</f>
        <v/>
      </c>
      <c r="CR179" s="518" t="str">
        <f>IF(AND(_A6="B-737-800",'2025'!$H$4="FO",'2025'!$H$2=CR157),'2025DATA'!$K$24,"")</f>
        <v/>
      </c>
      <c r="CS179" s="518" t="str">
        <f>IF(AND(_A6="B-737-800",'2025'!$H$4="FO",'2025'!$H$2=CS157),'2025DATA'!$L$24,"")</f>
        <v/>
      </c>
      <c r="CT179" s="518" t="str">
        <f>IF(AND(_A6="B-737-800",'2025'!$H$4="FO",'2025'!$H$2=CT157),'2025DATA'!$M$24,"")</f>
        <v/>
      </c>
      <c r="CU179" s="520" t="str">
        <f>IF(AND(_A6="B-737-800",'2025'!$H$4="FO",'2025'!$H$2=CU157),'2025DATA'!$N$24,"")</f>
        <v/>
      </c>
    </row>
    <row r="180" spans="16:99" x14ac:dyDescent="0.25">
      <c r="P180" s="940" t="s">
        <v>46</v>
      </c>
      <c r="Q180" s="13" t="s">
        <v>61</v>
      </c>
      <c r="R180" s="518" t="str">
        <f>IF(AND(_A1="A-321N",'2025'!$H$4="CA",'2025'!$H$2=R157),'2025DATA'!$C$25,"")</f>
        <v/>
      </c>
      <c r="S180" s="518" t="str">
        <f>IF(AND(_A1="A-321N",'2025'!$H$4="CA",'2025'!$H$2=S157),'2025DATA'!$D$25,"")</f>
        <v/>
      </c>
      <c r="T180" s="518" t="str">
        <f>IF(AND(_A1="A-321N",'2025'!$H$4="CA",'2025'!$H$2=T157),'2025DATA'!$E$25,"")</f>
        <v/>
      </c>
      <c r="U180" s="518" t="str">
        <f>IF(AND(_A1="A-321N",'2025'!$H$4="CA",'2025'!$H$2=U157),'2025DATA'!$F$25,"")</f>
        <v/>
      </c>
      <c r="V180" s="518" t="str">
        <f>IF(AND(_A1="A-321N",'2025'!$H$4="CA",'2025'!$H$2=V157),'2025DATA'!$G$25,"")</f>
        <v/>
      </c>
      <c r="W180" s="518" t="str">
        <f>IF(AND(_A1="A-321N",'2025'!$H$4="CA",'2025'!$H$2=W157),'2025DATA'!$H$25,"")</f>
        <v/>
      </c>
      <c r="X180" s="518" t="str">
        <f>IF(AND(_A1="A-321N",'2025'!$H$4="CA",'2025'!$H$2=X157),'2025DATA'!$I$25,"")</f>
        <v/>
      </c>
      <c r="Y180" s="518" t="str">
        <f>IF(AND(_A1="A-321N",'2025'!$H$4="CA",'2025'!$H$2=Y157),'2025DATA'!$J$25,"")</f>
        <v/>
      </c>
      <c r="Z180" s="518" t="str">
        <f>IF(AND(_A1="A-321N",'2025'!$H$4="CA",'2025'!$H$2=Z157),'2025DATA'!$K$25,"")</f>
        <v/>
      </c>
      <c r="AA180" s="518" t="str">
        <f>IF(AND(_A1="A-321N",'2025'!$H$4="CA",'2025'!$H$2=AA157),'2025DATA'!$L$25,"")</f>
        <v/>
      </c>
      <c r="AB180" s="518" t="str">
        <f>IF(AND(_A1="A-321N",'2025'!$H$4="CA",'2025'!$H$2=AB157),'2025DATA'!$M$25,"")</f>
        <v/>
      </c>
      <c r="AC180" s="520" t="str">
        <f>IF(AND(_A1="A-321N",'2025'!$H$4="CA",'2025'!$H$2=AC157),'2025DATA'!$N$25,"")</f>
        <v/>
      </c>
      <c r="AD180" s="940" t="s">
        <v>46</v>
      </c>
      <c r="AE180" s="13" t="s">
        <v>61</v>
      </c>
      <c r="AF180" s="518" t="str">
        <f>IF(AND(_A2="A-321N",'2025'!$H$4="CA",'2025'!$H$2=AF157),'2025DATA'!$C$25,"")</f>
        <v/>
      </c>
      <c r="AG180" s="518" t="str">
        <f>IF(AND(_A2="A-321N",'2025'!$H$4="CA",'2025'!$H$2=AG157),'2025DATA'!$D$25,"")</f>
        <v/>
      </c>
      <c r="AH180" s="518" t="str">
        <f>IF(AND(_A2="A-321N",'2025'!$H$4="CA",'2025'!$H$2=AH157),'2025DATA'!$E$25,"")</f>
        <v/>
      </c>
      <c r="AI180" s="518" t="str">
        <f>IF(AND(_A2="A-321N",'2025'!$H$4="CA",'2025'!$H$2=AI157),'2025DATA'!$F$25,"")</f>
        <v/>
      </c>
      <c r="AJ180" s="518" t="str">
        <f>IF(AND(_A2="A-321N",'2025'!$H$4="CA",'2025'!$H$2=AJ157),'2025DATA'!$G$25,"")</f>
        <v/>
      </c>
      <c r="AK180" s="518" t="str">
        <f>IF(AND(_A2="A-321N",'2025'!$H$4="CA",'2025'!$H$2=AK157),'2025DATA'!$H$25,"")</f>
        <v/>
      </c>
      <c r="AL180" s="518" t="str">
        <f>IF(AND(_A2="A-321N",'2025'!$H$4="CA",'2025'!$H$2=AL157),'2025DATA'!$I$25,"")</f>
        <v/>
      </c>
      <c r="AM180" s="518" t="str">
        <f>IF(AND(_A2="A-321N",'2025'!$H$4="CA",'2025'!$H$2=AM157),'2025DATA'!$J$25,"")</f>
        <v/>
      </c>
      <c r="AN180" s="518" t="str">
        <f>IF(AND(_A2="A-321N",'2025'!$H$4="CA",'2025'!$H$2=AN157),'2025DATA'!$K$25,"")</f>
        <v/>
      </c>
      <c r="AO180" s="518" t="str">
        <f>IF(AND(_A2="A-321N",'2025'!$H$4="CA",'2025'!$H$2=AO157),'2025DATA'!$L$25,"")</f>
        <v/>
      </c>
      <c r="AP180" s="518" t="str">
        <f>IF(AND(_A2="A-321N",'2025'!$H$4="CA",'2025'!$H$2=AP157),'2025DATA'!$M$25,"")</f>
        <v/>
      </c>
      <c r="AQ180" s="520" t="str">
        <f>IF(AND(_A2="A-321N",'2025'!$H$4="CA",'2025'!$H$2=AQ157),'2025DATA'!$N$25,"")</f>
        <v/>
      </c>
      <c r="AR180" s="940" t="s">
        <v>46</v>
      </c>
      <c r="AS180" s="13" t="s">
        <v>61</v>
      </c>
      <c r="AT180" s="518" t="str">
        <f>IF(AND(_A3="A-321N",'2025'!$H$4="CA",'2025'!$H$2=AT157),'2025DATA'!$C$25,"")</f>
        <v/>
      </c>
      <c r="AU180" s="518" t="str">
        <f>IF(AND(_A3="A-321N",'2025'!$H$4="CA",'2025'!$H$2=AU157),'2025DATA'!$D$25,"")</f>
        <v/>
      </c>
      <c r="AV180" s="518" t="str">
        <f>IF(AND(_A3="A-321N",'2025'!$H$4="CA",'2025'!$H$2=AV157),'2025DATA'!$E$25,"")</f>
        <v/>
      </c>
      <c r="AW180" s="518" t="str">
        <f>IF(AND(_A3="A-321N",'2025'!$H$4="CA",'2025'!$H$2=AW157),'2025DATA'!$F$25,"")</f>
        <v/>
      </c>
      <c r="AX180" s="518" t="str">
        <f>IF(AND(_A3="A-321N",'2025'!$H$4="CA",'2025'!$H$2=AX157),'2025DATA'!$G$25,"")</f>
        <v/>
      </c>
      <c r="AY180" s="518" t="str">
        <f>IF(AND(_A3="A-321N",'2025'!$H$4="CA",'2025'!$H$2=AY157),'2025DATA'!$H$25,"")</f>
        <v/>
      </c>
      <c r="AZ180" s="518" t="str">
        <f>IF(AND(_A3="A-321N",'2025'!$H$4="CA",'2025'!$H$2=AZ157),'2025DATA'!$I$25,"")</f>
        <v/>
      </c>
      <c r="BA180" s="518" t="str">
        <f>IF(AND(_A3="A-321N",'2025'!$H$4="CA",'2025'!$H$2=BA157),'2025DATA'!$J$25,"")</f>
        <v/>
      </c>
      <c r="BB180" s="518" t="str">
        <f>IF(AND(_A3="A-321N",'2025'!$H$4="CA",'2025'!$H$2=BB157),'2025DATA'!$K$25,"")</f>
        <v/>
      </c>
      <c r="BC180" s="518" t="str">
        <f>IF(AND(_A3="A-321N",'2025'!$H$4="CA",'2025'!$H$2=BC157),'2025DATA'!$L$25,"")</f>
        <v/>
      </c>
      <c r="BD180" s="518" t="str">
        <f>IF(AND(_A3="A-321N",'2025'!$H$4="CA",'2025'!$H$2=BD157),'2025DATA'!$M$25,"")</f>
        <v/>
      </c>
      <c r="BE180" s="520" t="str">
        <f>IF(AND(_A3="A-321N",'2025'!$H$4="CA",'2025'!$H$2=BE157),'2025DATA'!$N$25,"")</f>
        <v/>
      </c>
      <c r="BF180" s="940" t="s">
        <v>46</v>
      </c>
      <c r="BG180" s="13" t="s">
        <v>61</v>
      </c>
      <c r="BH180" s="518" t="str">
        <f>IF(AND(_A4="A-321N",'2025'!$H$4="CA",'2025'!$H$2=BH157),'2025DATA'!$C$25,"")</f>
        <v/>
      </c>
      <c r="BI180" s="518" t="str">
        <f>IF(AND(_A4="A-321N",'2025'!$H$4="CA",'2025'!$H$2=BI157),'2025DATA'!$D$25,"")</f>
        <v/>
      </c>
      <c r="BJ180" s="518" t="str">
        <f>IF(AND(_A4="A-321N",'2025'!$H$4="CA",'2025'!$H$2=BJ157),'2025DATA'!$E$25,"")</f>
        <v/>
      </c>
      <c r="BK180" s="518" t="str">
        <f>IF(AND(_A4="A-321N",'2025'!$H$4="CA",'2025'!$H$2=BK157),'2025DATA'!$F$25,"")</f>
        <v/>
      </c>
      <c r="BL180" s="518" t="str">
        <f>IF(AND(_A4="A-321N",'2025'!$H$4="CA",'2025'!$H$2=BL157),'2025DATA'!$G$25,"")</f>
        <v/>
      </c>
      <c r="BM180" s="518" t="str">
        <f>IF(AND(_A4="A-321N",'2025'!$H$4="CA",'2025'!$H$2=BM157),'2025DATA'!$H$25,"")</f>
        <v/>
      </c>
      <c r="BN180" s="518" t="str">
        <f>IF(AND(_A4="A-321N",'2025'!$H$4="CA",'2025'!$H$2=BN157),'2025DATA'!$I$25,"")</f>
        <v/>
      </c>
      <c r="BO180" s="518" t="str">
        <f>IF(AND(_A4="A-321N",'2025'!$H$4="CA",'2025'!$H$2=BO157),'2025DATA'!$J$25,"")</f>
        <v/>
      </c>
      <c r="BP180" s="518" t="str">
        <f>IF(AND(_A4="A-321N",'2025'!$H$4="CA",'2025'!$H$2=BP157),'2025DATA'!$K$25,"")</f>
        <v/>
      </c>
      <c r="BQ180" s="518" t="str">
        <f>IF(AND(_A4="A-321N",'2025'!$H$4="CA",'2025'!$H$2=BQ157),'2025DATA'!$L$25,"")</f>
        <v/>
      </c>
      <c r="BR180" s="518" t="str">
        <f>IF(AND(_A4="A-321N",'2025'!$H$4="CA",'2025'!$H$2=BR157),'2025DATA'!$M$25,"")</f>
        <v/>
      </c>
      <c r="BS180" s="520" t="str">
        <f>IF(AND(_A4="A-321N",'2025'!$H$4="CA",'2025'!$H$2=BS157),'2025DATA'!$N$25,"")</f>
        <v/>
      </c>
      <c r="BT180" s="940" t="s">
        <v>46</v>
      </c>
      <c r="BU180" s="13" t="s">
        <v>61</v>
      </c>
      <c r="BV180" s="518" t="str">
        <f>IF(AND(_A5="A-321N",'2025'!$H$4="CA",'2025'!$H$2=BV157),'2025DATA'!$C$25,"")</f>
        <v/>
      </c>
      <c r="BW180" s="518" t="str">
        <f>IF(AND(_A5="A-321N",'2025'!$H$4="CA",'2025'!$H$2=BW157),'2025DATA'!$D$25,"")</f>
        <v/>
      </c>
      <c r="BX180" s="518" t="str">
        <f>IF(AND(_A5="A-321N",'2025'!$H$4="CA",'2025'!$H$2=BX157),'2025DATA'!$E$25,"")</f>
        <v/>
      </c>
      <c r="BY180" s="518" t="str">
        <f>IF(AND(_A5="A-321N",'2025'!$H$4="CA",'2025'!$H$2=BY157),'2025DATA'!$F$25,"")</f>
        <v/>
      </c>
      <c r="BZ180" s="518" t="str">
        <f>IF(AND(_A5="A-321N",'2025'!$H$4="CA",'2025'!$H$2=BZ157),'2025DATA'!$G$25,"")</f>
        <v/>
      </c>
      <c r="CA180" s="518" t="str">
        <f>IF(AND(_A5="A-321N",'2025'!$H$4="CA",'2025'!$H$2=CA157),'2025DATA'!$H$25,"")</f>
        <v/>
      </c>
      <c r="CB180" s="518" t="str">
        <f>IF(AND(_A5="A-321N",'2025'!$H$4="CA",'2025'!$H$2=CB157),'2025DATA'!$I$25,"")</f>
        <v/>
      </c>
      <c r="CC180" s="518" t="str">
        <f>IF(AND(_A5="A-321N",'2025'!$H$4="CA",'2025'!$H$2=CC157),'2025DATA'!$J$25,"")</f>
        <v/>
      </c>
      <c r="CD180" s="518" t="str">
        <f>IF(AND(_A5="A-321N",'2025'!$H$4="CA",'2025'!$H$2=CD157),'2025DATA'!$K$25,"")</f>
        <v/>
      </c>
      <c r="CE180" s="518" t="str">
        <f>IF(AND(_A5="A-321N",'2025'!$H$4="CA",'2025'!$H$2=CE157),'2025DATA'!$L$25,"")</f>
        <v/>
      </c>
      <c r="CF180" s="518" t="str">
        <f>IF(AND(_A5="A-321N",'2025'!$H$4="CA",'2025'!$H$2=CF157),'2025DATA'!$M$25,"")</f>
        <v/>
      </c>
      <c r="CG180" s="520" t="str">
        <f>IF(AND(_A5="A-321N",'2025'!$H$4="CA",'2025'!$H$2=CG157),'2025DATA'!$N$25,"")</f>
        <v/>
      </c>
      <c r="CH180" s="940" t="s">
        <v>46</v>
      </c>
      <c r="CI180" s="13" t="s">
        <v>61</v>
      </c>
      <c r="CJ180" s="518" t="str">
        <f>IF(AND(_A6="A-321N",'2025'!$H$4="CA",'2025'!$H$2=CJ157),'2025DATA'!$C$25,"")</f>
        <v/>
      </c>
      <c r="CK180" s="518" t="str">
        <f>IF(AND(_A6="A-321N",'2025'!$H$4="CA",'2025'!$H$2=CK157),'2025DATA'!$D$25,"")</f>
        <v/>
      </c>
      <c r="CL180" s="518" t="str">
        <f>IF(AND(_A6="A-321N",'2025'!$H$4="CA",'2025'!$H$2=CL157),'2025DATA'!$E$25,"")</f>
        <v/>
      </c>
      <c r="CM180" s="518" t="str">
        <f>IF(AND(_A6="A-321N",'2025'!$H$4="CA",'2025'!$H$2=CM157),'2025DATA'!$F$25,"")</f>
        <v/>
      </c>
      <c r="CN180" s="518" t="str">
        <f>IF(AND(_A6="A-321N",'2025'!$H$4="CA",'2025'!$H$2=CN157),'2025DATA'!$G$25,"")</f>
        <v/>
      </c>
      <c r="CO180" s="518" t="str">
        <f>IF(AND(_A6="A-321N",'2025'!$H$4="CA",'2025'!$H$2=CO157),'2025DATA'!$H$25,"")</f>
        <v/>
      </c>
      <c r="CP180" s="518" t="str">
        <f>IF(AND(_A6="A-321N",'2025'!$H$4="CA",'2025'!$H$2=CP157),'2025DATA'!$I$25,"")</f>
        <v/>
      </c>
      <c r="CQ180" s="518" t="str">
        <f>IF(AND(_A6="A-321N",'2025'!$H$4="CA",'2025'!$H$2=CQ157),'2025DATA'!$J$25,"")</f>
        <v/>
      </c>
      <c r="CR180" s="518" t="str">
        <f>IF(AND(_A6="A-321N",'2025'!$H$4="CA",'2025'!$H$2=CR157),'2025DATA'!$K$25,"")</f>
        <v/>
      </c>
      <c r="CS180" s="518" t="str">
        <f>IF(AND(_A6="A-321N",'2025'!$H$4="CA",'2025'!$H$2=CS157),'2025DATA'!$L$25,"")</f>
        <v/>
      </c>
      <c r="CT180" s="518" t="str">
        <f>IF(AND(_A6="A-321N",'2025'!$H$4="CA",'2025'!$H$2=CT157),'2025DATA'!$M$25,"")</f>
        <v/>
      </c>
      <c r="CU180" s="520" t="str">
        <f>IF(AND(_A6="A-321N",'2025'!$H$4="CA",'2025'!$H$2=CU157),'2025DATA'!$N$25,"")</f>
        <v/>
      </c>
    </row>
    <row r="181" spans="16:99" x14ac:dyDescent="0.25">
      <c r="P181" s="940"/>
      <c r="Q181" s="13" t="s">
        <v>62</v>
      </c>
      <c r="R181" s="518" t="str">
        <f>IF(AND(_A1="A-321N",'2025'!$H$4="FO",'2025'!$H$2=R157),'2025DATA'!$C$26,"")</f>
        <v/>
      </c>
      <c r="S181" s="518" t="str">
        <f>IF(AND(_A1="A-321N",'2025'!$H$4="FO",'2025'!$H$2=S157),'2025DATA'!$D$26,"")</f>
        <v/>
      </c>
      <c r="T181" s="518" t="str">
        <f>IF(AND(_A1="A-321N",'2025'!$H$4="FO",'2025'!$H$2=T157),'2025DATA'!$E$26,"")</f>
        <v/>
      </c>
      <c r="U181" s="518" t="str">
        <f>IF(AND(_A1="A-321N",'2025'!$H$4="FO",'2025'!$H$2=U157),'2025DATA'!$F$26,"")</f>
        <v/>
      </c>
      <c r="V181" s="518" t="str">
        <f>IF(AND(_A1="A-321N",'2025'!$H$4="FO",'2025'!$H$2=V157),'2025DATA'!$G$26,"")</f>
        <v/>
      </c>
      <c r="W181" s="518" t="str">
        <f>IF(AND(_A1="A-321N",'2025'!$H$4="FO",'2025'!$H$2=W157),'2025DATA'!$H$26,"")</f>
        <v/>
      </c>
      <c r="X181" s="518" t="str">
        <f>IF(AND(_A1="A-321N",'2025'!$H$4="FO",'2025'!$H$2=X157),'2025DATA'!$I$26,"")</f>
        <v/>
      </c>
      <c r="Y181" s="518" t="str">
        <f>IF(AND(_A1="A-321N",'2025'!$H$4="FO",'2025'!$H$2=Y157),'2025DATA'!$J$26,"")</f>
        <v/>
      </c>
      <c r="Z181" s="518" t="str">
        <f>IF(AND(_A1="A-321N",'2025'!$H$4="FO",'2025'!$H$2=Z157),'2025DATA'!$K$26,"")</f>
        <v/>
      </c>
      <c r="AA181" s="518" t="str">
        <f>IF(AND(_A1="A-321N",'2025'!$H$4="FO",'2025'!$H$2=AA157),'2025DATA'!$L$26,"")</f>
        <v/>
      </c>
      <c r="AB181" s="518" t="str">
        <f>IF(AND(_A1="A-321N",'2025'!$H$4="FO",'2025'!$H$2=AB157),'2025DATA'!$M$26,"")</f>
        <v/>
      </c>
      <c r="AC181" s="520" t="str">
        <f>IF(AND(_A1="A-321N",'2025'!$H$4="FO",'2025'!$H$2=AC157),'2025DATA'!$N$26,"")</f>
        <v/>
      </c>
      <c r="AD181" s="940"/>
      <c r="AE181" s="13" t="s">
        <v>62</v>
      </c>
      <c r="AF181" s="518" t="str">
        <f>IF(AND(_A2="A-321N",'2025'!$H$4="FO",'2025'!$H$2=AF157),'2025DATA'!$C$26,"")</f>
        <v/>
      </c>
      <c r="AG181" s="518" t="str">
        <f>IF(AND(_A2="A-321N",'2025'!$H$4="FO",'2025'!$H$2=AG157),'2025DATA'!$D$26,"")</f>
        <v/>
      </c>
      <c r="AH181" s="518" t="str">
        <f>IF(AND(_A2="A-321N",'2025'!$H$4="FO",'2025'!$H$2=AH157),'2025DATA'!$E$26,"")</f>
        <v/>
      </c>
      <c r="AI181" s="518" t="str">
        <f>IF(AND(_A2="A-321N",'2025'!$H$4="FO",'2025'!$H$2=AI157),'2025DATA'!$F$26,"")</f>
        <v/>
      </c>
      <c r="AJ181" s="518" t="str">
        <f>IF(AND(_A2="A-321N",'2025'!$H$4="FO",'2025'!$H$2=AJ157),'2025DATA'!$G$26,"")</f>
        <v/>
      </c>
      <c r="AK181" s="518" t="str">
        <f>IF(AND(_A2="A-321N",'2025'!$H$4="FO",'2025'!$H$2=AK157),'2025DATA'!$H$26,"")</f>
        <v/>
      </c>
      <c r="AL181" s="518" t="str">
        <f>IF(AND(_A2="A-321N",'2025'!$H$4="FO",'2025'!$H$2=AL157),'2025DATA'!$I$26,"")</f>
        <v/>
      </c>
      <c r="AM181" s="518" t="str">
        <f>IF(AND(_A2="A-321N",'2025'!$H$4="FO",'2025'!$H$2=AM157),'2025DATA'!$J$26,"")</f>
        <v/>
      </c>
      <c r="AN181" s="518" t="str">
        <f>IF(AND(_A2="A-321N",'2025'!$H$4="FO",'2025'!$H$2=AN157),'2025DATA'!$K$26,"")</f>
        <v/>
      </c>
      <c r="AO181" s="518" t="str">
        <f>IF(AND(_A2="A-321N",'2025'!$H$4="FO",'2025'!$H$2=AO157),'2025DATA'!$L$26,"")</f>
        <v/>
      </c>
      <c r="AP181" s="518" t="str">
        <f>IF(AND(_A2="A-321N",'2025'!$H$4="FO",'2025'!$H$2=AP157),'2025DATA'!$M$26,"")</f>
        <v/>
      </c>
      <c r="AQ181" s="520" t="str">
        <f>IF(AND(_A2="A-321N",'2025'!$H$4="FO",'2025'!$H$2=AQ157),'2025DATA'!$N$26,"")</f>
        <v/>
      </c>
      <c r="AR181" s="940"/>
      <c r="AS181" s="13" t="s">
        <v>62</v>
      </c>
      <c r="AT181" s="518" t="str">
        <f>IF(AND(_A3="A-321N",'2025'!$H$4="FO",'2025'!$H$2=AT157),'2025DATA'!$C$26,"")</f>
        <v/>
      </c>
      <c r="AU181" s="518" t="str">
        <f>IF(AND(_A3="A-321N",'2025'!$H$4="FO",'2025'!$H$2=AU157),'2025DATA'!$D$26,"")</f>
        <v/>
      </c>
      <c r="AV181" s="518" t="str">
        <f>IF(AND(_A3="A-321N",'2025'!$H$4="FO",'2025'!$H$2=AV157),'2025DATA'!$E$26,"")</f>
        <v/>
      </c>
      <c r="AW181" s="518" t="str">
        <f>IF(AND(_A3="A-321N",'2025'!$H$4="FO",'2025'!$H$2=AW157),'2025DATA'!$F$26,"")</f>
        <v/>
      </c>
      <c r="AX181" s="518" t="str">
        <f>IF(AND(_A3="A-321N",'2025'!$H$4="FO",'2025'!$H$2=AX157),'2025DATA'!$G$26,"")</f>
        <v/>
      </c>
      <c r="AY181" s="518" t="str">
        <f>IF(AND(_A3="A-321N",'2025'!$H$4="FO",'2025'!$H$2=AY157),'2025DATA'!$H$26,"")</f>
        <v/>
      </c>
      <c r="AZ181" s="518" t="str">
        <f>IF(AND(_A3="A-321N",'2025'!$H$4="FO",'2025'!$H$2=AZ157),'2025DATA'!$I$26,"")</f>
        <v/>
      </c>
      <c r="BA181" s="518" t="str">
        <f>IF(AND(_A3="A-321N",'2025'!$H$4="FO",'2025'!$H$2=BA157),'2025DATA'!$J$26,"")</f>
        <v/>
      </c>
      <c r="BB181" s="518" t="str">
        <f>IF(AND(_A3="A-321N",'2025'!$H$4="FO",'2025'!$H$2=BB157),'2025DATA'!$K$26,"")</f>
        <v/>
      </c>
      <c r="BC181" s="518" t="str">
        <f>IF(AND(_A3="A-321N",'2025'!$H$4="FO",'2025'!$H$2=BC157),'2025DATA'!$L$26,"")</f>
        <v/>
      </c>
      <c r="BD181" s="518" t="str">
        <f>IF(AND(_A3="A-321N",'2025'!$H$4="FO",'2025'!$H$2=BD157),'2025DATA'!$M$26,"")</f>
        <v/>
      </c>
      <c r="BE181" s="520" t="str">
        <f>IF(AND(_A3="A-321N",'2025'!$H$4="FO",'2025'!$H$2=BE157),'2025DATA'!$N$26,"")</f>
        <v/>
      </c>
      <c r="BF181" s="940"/>
      <c r="BG181" s="13" t="s">
        <v>62</v>
      </c>
      <c r="BH181" s="518" t="str">
        <f>IF(AND(_A4="A-321N",'2025'!$H$4="FO",'2025'!$H$2=BH157),'2025DATA'!$C$26,"")</f>
        <v/>
      </c>
      <c r="BI181" s="518" t="str">
        <f>IF(AND(_A4="A-321N",'2025'!$H$4="FO",'2025'!$H$2=BI157),'2025DATA'!$D$26,"")</f>
        <v/>
      </c>
      <c r="BJ181" s="518" t="str">
        <f>IF(AND(_A4="A-321N",'2025'!$H$4="FO",'2025'!$H$2=BJ157),'2025DATA'!$E$26,"")</f>
        <v/>
      </c>
      <c r="BK181" s="518" t="str">
        <f>IF(AND(_A4="A-321N",'2025'!$H$4="FO",'2025'!$H$2=BK157),'2025DATA'!$F$26,"")</f>
        <v/>
      </c>
      <c r="BL181" s="518" t="str">
        <f>IF(AND(_A4="A-321N",'2025'!$H$4="FO",'2025'!$H$2=BL157),'2025DATA'!$G$26,"")</f>
        <v/>
      </c>
      <c r="BM181" s="518" t="str">
        <f>IF(AND(_A4="A-321N",'2025'!$H$4="FO",'2025'!$H$2=BM157),'2025DATA'!$H$26,"")</f>
        <v/>
      </c>
      <c r="BN181" s="518" t="str">
        <f>IF(AND(_A4="A-321N",'2025'!$H$4="FO",'2025'!$H$2=BN157),'2025DATA'!$I$26,"")</f>
        <v/>
      </c>
      <c r="BO181" s="518" t="str">
        <f>IF(AND(_A4="A-321N",'2025'!$H$4="FO",'2025'!$H$2=BO157),'2025DATA'!$J$26,"")</f>
        <v/>
      </c>
      <c r="BP181" s="518" t="str">
        <f>IF(AND(_A4="A-321N",'2025'!$H$4="FO",'2025'!$H$2=BP157),'2025DATA'!$K$26,"")</f>
        <v/>
      </c>
      <c r="BQ181" s="518" t="str">
        <f>IF(AND(_A4="A-321N",'2025'!$H$4="FO",'2025'!$H$2=BQ157),'2025DATA'!$L$26,"")</f>
        <v/>
      </c>
      <c r="BR181" s="518" t="str">
        <f>IF(AND(_A4="A-321N",'2025'!$H$4="FO",'2025'!$H$2=BR157),'2025DATA'!$M$26,"")</f>
        <v/>
      </c>
      <c r="BS181" s="520" t="str">
        <f>IF(AND(_A4="A-321N",'2025'!$H$4="FO",'2025'!$H$2=BS157),'2025DATA'!$N$26,"")</f>
        <v/>
      </c>
      <c r="BT181" s="940"/>
      <c r="BU181" s="13" t="s">
        <v>62</v>
      </c>
      <c r="BV181" s="518" t="str">
        <f>IF(AND(_A5="A-321N",'2025'!$H$4="FO",'2025'!$H$2=BV157),'2025DATA'!$C$26,"")</f>
        <v/>
      </c>
      <c r="BW181" s="518" t="str">
        <f>IF(AND(_A5="A-321N",'2025'!$H$4="FO",'2025'!$H$2=BW157),'2025DATA'!$D$26,"")</f>
        <v/>
      </c>
      <c r="BX181" s="518" t="str">
        <f>IF(AND(_A5="A-321N",'2025'!$H$4="FO",'2025'!$H$2=BX157),'2025DATA'!$E$26,"")</f>
        <v/>
      </c>
      <c r="BY181" s="518" t="str">
        <f>IF(AND(_A5="A-321N",'2025'!$H$4="FO",'2025'!$H$2=BY157),'2025DATA'!$F$26,"")</f>
        <v/>
      </c>
      <c r="BZ181" s="518" t="str">
        <f>IF(AND(_A5="A-321N",'2025'!$H$4="FO",'2025'!$H$2=BZ157),'2025DATA'!$G$26,"")</f>
        <v/>
      </c>
      <c r="CA181" s="518" t="str">
        <f>IF(AND(_A5="A-321N",'2025'!$H$4="FO",'2025'!$H$2=CA157),'2025DATA'!$H$26,"")</f>
        <v/>
      </c>
      <c r="CB181" s="518" t="str">
        <f>IF(AND(_A5="A-321N",'2025'!$H$4="FO",'2025'!$H$2=CB157),'2025DATA'!$I$26,"")</f>
        <v/>
      </c>
      <c r="CC181" s="518" t="str">
        <f>IF(AND(_A5="A-321N",'2025'!$H$4="FO",'2025'!$H$2=CC157),'2025DATA'!$J$26,"")</f>
        <v/>
      </c>
      <c r="CD181" s="518" t="str">
        <f>IF(AND(_A5="A-321N",'2025'!$H$4="FO",'2025'!$H$2=CD157),'2025DATA'!$K$26,"")</f>
        <v/>
      </c>
      <c r="CE181" s="518" t="str">
        <f>IF(AND(_A5="A-321N",'2025'!$H$4="FO",'2025'!$H$2=CE157),'2025DATA'!$L$26,"")</f>
        <v/>
      </c>
      <c r="CF181" s="518" t="str">
        <f>IF(AND(_A5="A-321N",'2025'!$H$4="FO",'2025'!$H$2=CF157),'2025DATA'!$M$26,"")</f>
        <v/>
      </c>
      <c r="CG181" s="520" t="str">
        <f>IF(AND(_A5="A-321N",'2025'!$H$4="FO",'2025'!$H$2=CG157),'2025DATA'!$N$26,"")</f>
        <v/>
      </c>
      <c r="CH181" s="940"/>
      <c r="CI181" s="13" t="s">
        <v>62</v>
      </c>
      <c r="CJ181" s="518" t="str">
        <f>IF(AND(_A6="A-321N",'2025'!$H$4="FO",'2025'!$H$2=CJ157),'2025DATA'!$C$26,"")</f>
        <v/>
      </c>
      <c r="CK181" s="518" t="str">
        <f>IF(AND(_A6="A-321N",'2025'!$H$4="FO",'2025'!$H$2=CK157),'2025DATA'!$D$26,"")</f>
        <v/>
      </c>
      <c r="CL181" s="518" t="str">
        <f>IF(AND(_A6="A-321N",'2025'!$H$4="FO",'2025'!$H$2=CL157),'2025DATA'!$E$26,"")</f>
        <v/>
      </c>
      <c r="CM181" s="518" t="str">
        <f>IF(AND(_A6="A-321N",'2025'!$H$4="FO",'2025'!$H$2=CM157),'2025DATA'!$F$26,"")</f>
        <v/>
      </c>
      <c r="CN181" s="518" t="str">
        <f>IF(AND(_A6="A-321N",'2025'!$H$4="FO",'2025'!$H$2=CN157),'2025DATA'!$G$26,"")</f>
        <v/>
      </c>
      <c r="CO181" s="518" t="str">
        <f>IF(AND(_A6="A-321N",'2025'!$H$4="FO",'2025'!$H$2=CO157),'2025DATA'!$H$26,"")</f>
        <v/>
      </c>
      <c r="CP181" s="518" t="str">
        <f>IF(AND(_A6="A-321N",'2025'!$H$4="FO",'2025'!$H$2=CP157),'2025DATA'!$I$26,"")</f>
        <v/>
      </c>
      <c r="CQ181" s="518" t="str">
        <f>IF(AND(_A6="A-321N",'2025'!$H$4="FO",'2025'!$H$2=CQ157),'2025DATA'!$J$26,"")</f>
        <v/>
      </c>
      <c r="CR181" s="518" t="str">
        <f>IF(AND(_A6="A-321N",'2025'!$H$4="FO",'2025'!$H$2=CR157),'2025DATA'!$K$26,"")</f>
        <v/>
      </c>
      <c r="CS181" s="518" t="str">
        <f>IF(AND(_A6="A-321N",'2025'!$H$4="FO",'2025'!$H$2=CS157),'2025DATA'!$L$26,"")</f>
        <v/>
      </c>
      <c r="CT181" s="518" t="str">
        <f>IF(AND(_A6="A-321N",'2025'!$H$4="FO",'2025'!$H$2=CT157),'2025DATA'!$M$26,"")</f>
        <v/>
      </c>
      <c r="CU181" s="520" t="str">
        <f>IF(AND(_A6="A-321N",'2025'!$H$4="FO",'2025'!$H$2=CU157),'2025DATA'!$N$26,"")</f>
        <v/>
      </c>
    </row>
    <row r="182" spans="16:99" x14ac:dyDescent="0.25">
      <c r="P182" s="940" t="s">
        <v>48</v>
      </c>
      <c r="Q182" s="13" t="s">
        <v>61</v>
      </c>
      <c r="R182" s="518" t="str">
        <f>IF(AND(_A1="A-321",'2025'!$H$4="CA",'2025'!$H$2=R157),'2025DATA'!$C$27,"")</f>
        <v/>
      </c>
      <c r="S182" s="518" t="str">
        <f>IF(AND(_A1="A-321",'2025'!$H$4="CA",'2025'!$H$2=S157),'2025DATA'!$D$27,"")</f>
        <v/>
      </c>
      <c r="T182" s="518" t="str">
        <f>IF(AND(_A1="A-321",'2025'!$H$4="CA",'2025'!$H$2=T157),'2025DATA'!$E$27,"")</f>
        <v/>
      </c>
      <c r="U182" s="518" t="str">
        <f>IF(AND(_A1="A-321",'2025'!$H$4="CA",'2025'!$H$2=U157),'2025DATA'!$F$27,"")</f>
        <v/>
      </c>
      <c r="V182" s="518" t="str">
        <f>IF(AND(_A1="A-321",'2025'!$H$4="CA",'2025'!$H$2=V157),'2025DATA'!$G$27,"")</f>
        <v/>
      </c>
      <c r="W182" s="518" t="str">
        <f>IF(AND(_A1="A-321",'2025'!$H$4="CA",'2025'!$H$2=W157),'2025DATA'!$H$27,"")</f>
        <v/>
      </c>
      <c r="X182" s="518" t="str">
        <f>IF(AND(_A1="A-321",'2025'!$H$4="CA",'2025'!$H$2=X157),'2025DATA'!$I$27,"")</f>
        <v/>
      </c>
      <c r="Y182" s="518" t="str">
        <f>IF(AND(_A1="A-321",'2025'!$H$4="CA",'2025'!$H$2=Y157),'2025DATA'!$J$27,"")</f>
        <v/>
      </c>
      <c r="Z182" s="518" t="str">
        <f>IF(AND(_A1="A-321",'2025'!$H$4="CA",'2025'!$H$2=Z157),'2025DATA'!$K$27,"")</f>
        <v/>
      </c>
      <c r="AA182" s="518" t="str">
        <f>IF(AND(_A1="A-321",'2025'!$H$4="CA",'2025'!$H$2=AA157),'2025DATA'!$L$27,"")</f>
        <v/>
      </c>
      <c r="AB182" s="518" t="str">
        <f>IF(AND(_A1="A-321",'2025'!$H$4="CA",'2025'!$H$2=AB157),'2025DATA'!$M$27,"")</f>
        <v/>
      </c>
      <c r="AC182" s="520" t="str">
        <f>IF(AND(_A1="A-321",'2025'!$H$4="CA",'2025'!$H$2=AC157),'2025DATA'!$N$27,"")</f>
        <v/>
      </c>
      <c r="AD182" s="940" t="s">
        <v>48</v>
      </c>
      <c r="AE182" s="13" t="s">
        <v>61</v>
      </c>
      <c r="AF182" s="518" t="str">
        <f>IF(AND(_A2="A-321",'2025'!$H$4="CA",'2025'!$H$2=AF157),'2025DATA'!$C$27,"")</f>
        <v/>
      </c>
      <c r="AG182" s="518" t="str">
        <f>IF(AND(_A2="A-321",'2025'!$H$4="CA",'2025'!$H$2=AG157),'2025DATA'!$D$27,"")</f>
        <v/>
      </c>
      <c r="AH182" s="518" t="str">
        <f>IF(AND(_A2="A-321",'2025'!$H$4="CA",'2025'!$H$2=AH157),'2025DATA'!$E$27,"")</f>
        <v/>
      </c>
      <c r="AI182" s="518" t="str">
        <f>IF(AND(_A2="A-321",'2025'!$H$4="CA",'2025'!$H$2=AI157),'2025DATA'!$F$27,"")</f>
        <v/>
      </c>
      <c r="AJ182" s="518" t="str">
        <f>IF(AND(_A2="A-321",'2025'!$H$4="CA",'2025'!$H$2=AJ157),'2025DATA'!$G$27,"")</f>
        <v/>
      </c>
      <c r="AK182" s="518" t="str">
        <f>IF(AND(_A2="A-321",'2025'!$H$4="CA",'2025'!$H$2=AK157),'2025DATA'!$H$27,"")</f>
        <v/>
      </c>
      <c r="AL182" s="518" t="str">
        <f>IF(AND(_A2="A-321",'2025'!$H$4="CA",'2025'!$H$2=AL157),'2025DATA'!$I$27,"")</f>
        <v/>
      </c>
      <c r="AM182" s="518" t="str">
        <f>IF(AND(_A2="A-321",'2025'!$H$4="CA",'2025'!$H$2=AM157),'2025DATA'!$J$27,"")</f>
        <v/>
      </c>
      <c r="AN182" s="518" t="str">
        <f>IF(AND(_A2="A-321",'2025'!$H$4="CA",'2025'!$H$2=AN157),'2025DATA'!$K$27,"")</f>
        <v/>
      </c>
      <c r="AO182" s="518" t="str">
        <f>IF(AND(_A2="A-321",'2025'!$H$4="CA",'2025'!$H$2=AO157),'2025DATA'!$L$27,"")</f>
        <v/>
      </c>
      <c r="AP182" s="518" t="str">
        <f>IF(AND(_A2="A-321",'2025'!$H$4="CA",'2025'!$H$2=AP157),'2025DATA'!$M$27,"")</f>
        <v/>
      </c>
      <c r="AQ182" s="520" t="str">
        <f>IF(AND(_A2="A-321",'2025'!$H$4="CA",'2025'!$H$2=AQ157),'2025DATA'!$N$27,"")</f>
        <v/>
      </c>
      <c r="AR182" s="940" t="s">
        <v>48</v>
      </c>
      <c r="AS182" s="13" t="s">
        <v>61</v>
      </c>
      <c r="AT182" s="518" t="str">
        <f>IF(AND(_A3="A-321",'2025'!$H$4="CA",'2025'!$H$2=AT157),'2025DATA'!$C$27,"")</f>
        <v/>
      </c>
      <c r="AU182" s="518" t="str">
        <f>IF(AND(_A3="A-321",'2025'!$H$4="CA",'2025'!$H$2=AU157),'2025DATA'!$D$27,"")</f>
        <v/>
      </c>
      <c r="AV182" s="518" t="str">
        <f>IF(AND(_A3="A-321",'2025'!$H$4="CA",'2025'!$H$2=AV157),'2025DATA'!$E$27,"")</f>
        <v/>
      </c>
      <c r="AW182" s="518" t="str">
        <f>IF(AND(_A3="A-321",'2025'!$H$4="CA",'2025'!$H$2=AW157),'2025DATA'!$F$27,"")</f>
        <v/>
      </c>
      <c r="AX182" s="518" t="str">
        <f>IF(AND(_A3="A-321",'2025'!$H$4="CA",'2025'!$H$2=AX157),'2025DATA'!$G$27,"")</f>
        <v/>
      </c>
      <c r="AY182" s="518" t="str">
        <f>IF(AND(_A3="A-321",'2025'!$H$4="CA",'2025'!$H$2=AY157),'2025DATA'!$H$27,"")</f>
        <v/>
      </c>
      <c r="AZ182" s="518" t="str">
        <f>IF(AND(_A3="A-321",'2025'!$H$4="CA",'2025'!$H$2=AZ157),'2025DATA'!$I$27,"")</f>
        <v/>
      </c>
      <c r="BA182" s="518" t="str">
        <f>IF(AND(_A3="A-321",'2025'!$H$4="CA",'2025'!$H$2=BA157),'2025DATA'!$J$27,"")</f>
        <v/>
      </c>
      <c r="BB182" s="518" t="str">
        <f>IF(AND(_A3="A-321",'2025'!$H$4="CA",'2025'!$H$2=BB157),'2025DATA'!$K$27,"")</f>
        <v/>
      </c>
      <c r="BC182" s="518" t="str">
        <f>IF(AND(_A3="A-321",'2025'!$H$4="CA",'2025'!$H$2=BC157),'2025DATA'!$L$27,"")</f>
        <v/>
      </c>
      <c r="BD182" s="518" t="str">
        <f>IF(AND(_A3="A-321",'2025'!$H$4="CA",'2025'!$H$2=BD157),'2025DATA'!$M$27,"")</f>
        <v/>
      </c>
      <c r="BE182" s="520" t="str">
        <f>IF(AND(_A3="A-321",'2025'!$H$4="CA",'2025'!$H$2=BE157),'2025DATA'!$N$27,"")</f>
        <v/>
      </c>
      <c r="BF182" s="940" t="s">
        <v>48</v>
      </c>
      <c r="BG182" s="13" t="s">
        <v>61</v>
      </c>
      <c r="BH182" s="518" t="str">
        <f>IF(AND(_A4="A-321",'2025'!$H$4="CA",'2025'!$H$2=BH157),'2025DATA'!$C$27,"")</f>
        <v/>
      </c>
      <c r="BI182" s="518" t="str">
        <f>IF(AND(_A4="A-321",'2025'!$H$4="CA",'2025'!$H$2=BI157),'2025DATA'!$D$27,"")</f>
        <v/>
      </c>
      <c r="BJ182" s="518" t="str">
        <f>IF(AND(_A4="A-321",'2025'!$H$4="CA",'2025'!$H$2=BJ157),'2025DATA'!$E$27,"")</f>
        <v/>
      </c>
      <c r="BK182" s="518" t="str">
        <f>IF(AND(_A4="A-321",'2025'!$H$4="CA",'2025'!$H$2=BK157),'2025DATA'!$F$27,"")</f>
        <v/>
      </c>
      <c r="BL182" s="518" t="str">
        <f>IF(AND(_A4="A-321",'2025'!$H$4="CA",'2025'!$H$2=BL157),'2025DATA'!$G$27,"")</f>
        <v/>
      </c>
      <c r="BM182" s="518" t="str">
        <f>IF(AND(_A4="A-321",'2025'!$H$4="CA",'2025'!$H$2=BM157),'2025DATA'!$H$27,"")</f>
        <v/>
      </c>
      <c r="BN182" s="518" t="str">
        <f>IF(AND(_A4="A-321",'2025'!$H$4="CA",'2025'!$H$2=BN157),'2025DATA'!$I$27,"")</f>
        <v/>
      </c>
      <c r="BO182" s="518" t="str">
        <f>IF(AND(_A4="A-321",'2025'!$H$4="CA",'2025'!$H$2=BO157),'2025DATA'!$J$27,"")</f>
        <v/>
      </c>
      <c r="BP182" s="518" t="str">
        <f>IF(AND(_A4="A-321",'2025'!$H$4="CA",'2025'!$H$2=BP157),'2025DATA'!$K$27,"")</f>
        <v/>
      </c>
      <c r="BQ182" s="518" t="str">
        <f>IF(AND(_A4="A-321",'2025'!$H$4="CA",'2025'!$H$2=BQ157),'2025DATA'!$L$27,"")</f>
        <v/>
      </c>
      <c r="BR182" s="518" t="str">
        <f>IF(AND(_A4="A-321",'2025'!$H$4="CA",'2025'!$H$2=BR157),'2025DATA'!$M$27,"")</f>
        <v/>
      </c>
      <c r="BS182" s="520" t="str">
        <f>IF(AND(_A4="A-321",'2025'!$H$4="CA",'2025'!$H$2=BS157),'2025DATA'!$N$27,"")</f>
        <v/>
      </c>
      <c r="BT182" s="940" t="s">
        <v>48</v>
      </c>
      <c r="BU182" s="13" t="s">
        <v>61</v>
      </c>
      <c r="BV182" s="518" t="str">
        <f>IF(AND(_A5="A-321",'2025'!$H$4="CA",'2025'!$H$2=BV157),'2025DATA'!$C$27,"")</f>
        <v/>
      </c>
      <c r="BW182" s="518" t="str">
        <f>IF(AND(_A5="A-321",'2025'!$H$4="CA",'2025'!$H$2=BW157),'2025DATA'!$D$27,"")</f>
        <v/>
      </c>
      <c r="BX182" s="518" t="str">
        <f>IF(AND(_A5="A-321",'2025'!$H$4="CA",'2025'!$H$2=BX157),'2025DATA'!$E$27,"")</f>
        <v/>
      </c>
      <c r="BY182" s="518" t="str">
        <f>IF(AND(_A5="A-321",'2025'!$H$4="CA",'2025'!$H$2=BY157),'2025DATA'!$F$27,"")</f>
        <v/>
      </c>
      <c r="BZ182" s="518" t="str">
        <f>IF(AND(_A5="A-321",'2025'!$H$4="CA",'2025'!$H$2=BZ157),'2025DATA'!$G$27,"")</f>
        <v/>
      </c>
      <c r="CA182" s="518" t="str">
        <f>IF(AND(_A5="A-321",'2025'!$H$4="CA",'2025'!$H$2=CA157),'2025DATA'!$H$27,"")</f>
        <v/>
      </c>
      <c r="CB182" s="518" t="str">
        <f>IF(AND(_A5="A-321",'2025'!$H$4="CA",'2025'!$H$2=CB157),'2025DATA'!$I$27,"")</f>
        <v/>
      </c>
      <c r="CC182" s="518" t="str">
        <f>IF(AND(_A5="A-321",'2025'!$H$4="CA",'2025'!$H$2=CC157),'2025DATA'!$J$27,"")</f>
        <v/>
      </c>
      <c r="CD182" s="518" t="str">
        <f>IF(AND(_A5="A-321",'2025'!$H$4="CA",'2025'!$H$2=CD157),'2025DATA'!$K$27,"")</f>
        <v/>
      </c>
      <c r="CE182" s="518" t="str">
        <f>IF(AND(_A5="A-321",'2025'!$H$4="CA",'2025'!$H$2=CE157),'2025DATA'!$L$27,"")</f>
        <v/>
      </c>
      <c r="CF182" s="518" t="str">
        <f>IF(AND(_A5="A-321",'2025'!$H$4="CA",'2025'!$H$2=CF157),'2025DATA'!$M$27,"")</f>
        <v/>
      </c>
      <c r="CG182" s="520" t="str">
        <f>IF(AND(_A5="A-321",'2025'!$H$4="CA",'2025'!$H$2=CG157),'2025DATA'!$N$27,"")</f>
        <v/>
      </c>
      <c r="CH182" s="940" t="s">
        <v>48</v>
      </c>
      <c r="CI182" s="13" t="s">
        <v>61</v>
      </c>
      <c r="CJ182" s="518" t="str">
        <f>IF(AND(_A6="A-321",'2025'!$H$4="CA",'2025'!$H$2=CJ157),'2025DATA'!$C$27,"")</f>
        <v/>
      </c>
      <c r="CK182" s="518" t="str">
        <f>IF(AND(_A6="A-321",'2025'!$H$4="CA",'2025'!$H$2=CK157),'2025DATA'!$D$27,"")</f>
        <v/>
      </c>
      <c r="CL182" s="518" t="str">
        <f>IF(AND(_A6="A-321",'2025'!$H$4="CA",'2025'!$H$2=CL157),'2025DATA'!$E$27,"")</f>
        <v/>
      </c>
      <c r="CM182" s="518" t="str">
        <f>IF(AND(_A6="A-321",'2025'!$H$4="CA",'2025'!$H$2=CM157),'2025DATA'!$F$27,"")</f>
        <v/>
      </c>
      <c r="CN182" s="518" t="str">
        <f>IF(AND(_A6="A-321",'2025'!$H$4="CA",'2025'!$H$2=CN157),'2025DATA'!$G$27,"")</f>
        <v/>
      </c>
      <c r="CO182" s="518" t="str">
        <f>IF(AND(_A6="A-321",'2025'!$H$4="CA",'2025'!$H$2=CO157),'2025DATA'!$H$27,"")</f>
        <v/>
      </c>
      <c r="CP182" s="518" t="str">
        <f>IF(AND(_A6="A-321",'2025'!$H$4="CA",'2025'!$H$2=CP157),'2025DATA'!$I$27,"")</f>
        <v/>
      </c>
      <c r="CQ182" s="518" t="str">
        <f>IF(AND(_A6="A-321",'2025'!$H$4="CA",'2025'!$H$2=CQ157),'2025DATA'!$J$27,"")</f>
        <v/>
      </c>
      <c r="CR182" s="518" t="str">
        <f>IF(AND(_A6="A-321",'2025'!$H$4="CA",'2025'!$H$2=CR157),'2025DATA'!$K$27,"")</f>
        <v/>
      </c>
      <c r="CS182" s="518" t="str">
        <f>IF(AND(_A6="A-321",'2025'!$H$4="CA",'2025'!$H$2=CS157),'2025DATA'!$L$27,"")</f>
        <v/>
      </c>
      <c r="CT182" s="518" t="str">
        <f>IF(AND(_A6="A-321",'2025'!$H$4="CA",'2025'!$H$2=CT157),'2025DATA'!$M$27,"")</f>
        <v/>
      </c>
      <c r="CU182" s="520" t="str">
        <f>IF(AND(_A6="A-321",'2025'!$H$4="CA",'2025'!$H$2=CU157),'2025DATA'!$N$27,"")</f>
        <v/>
      </c>
    </row>
    <row r="183" spans="16:99" x14ac:dyDescent="0.25">
      <c r="P183" s="940"/>
      <c r="Q183" s="13" t="s">
        <v>62</v>
      </c>
      <c r="R183" s="518" t="str">
        <f>IF(AND(_A1="A-321",'2025'!$H$4="FO",'2025'!$H$2=R157),'2025DATA'!$C$28,"")</f>
        <v/>
      </c>
      <c r="S183" s="518" t="str">
        <f>IF(AND(_A1="A-321",'2025'!$H$4="FO",'2025'!$H$2=S157),'2025DATA'!$D$28,"")</f>
        <v/>
      </c>
      <c r="T183" s="518" t="str">
        <f>IF(AND(_A1="A-321",'2025'!$H$4="FO",'2025'!$H$2=T157),'2025DATA'!$E$28,"")</f>
        <v/>
      </c>
      <c r="U183" s="518" t="str">
        <f>IF(AND(_A1="A-321",'2025'!$H$4="FO",'2025'!$H$2=U157),'2025DATA'!$F$28,"")</f>
        <v/>
      </c>
      <c r="V183" s="518" t="str">
        <f>IF(AND(_A1="A-321",'2025'!$H$4="FO",'2025'!$H$2=V157),'2025DATA'!$G$28,"")</f>
        <v/>
      </c>
      <c r="W183" s="518" t="str">
        <f>IF(AND(_A1="A-321",'2025'!$H$4="FO",'2025'!$H$2=W157),'2025DATA'!$H$28,"")</f>
        <v/>
      </c>
      <c r="X183" s="518" t="str">
        <f>IF(AND(_A1="A-321",'2025'!$H$4="FO",'2025'!$H$2=X157),'2025DATA'!$I$28,"")</f>
        <v/>
      </c>
      <c r="Y183" s="518" t="str">
        <f>IF(AND(_A1="A-321",'2025'!$H$4="FO",'2025'!$H$2=Y157),'2025DATA'!$J$28,"")</f>
        <v/>
      </c>
      <c r="Z183" s="518" t="str">
        <f>IF(AND(_A1="A-321",'2025'!$H$4="FO",'2025'!$H$2=Z157),'2025DATA'!$K$28,"")</f>
        <v/>
      </c>
      <c r="AA183" s="518" t="str">
        <f>IF(AND(_A1="A-321",'2025'!$H$4="FO",'2025'!$H$2=AA157),'2025DATA'!$L$28,"")</f>
        <v/>
      </c>
      <c r="AB183" s="518" t="str">
        <f>IF(AND(_A1="A-321",'2025'!$H$4="FO",'2025'!$H$2=AB157),'2025DATA'!$M$28,"")</f>
        <v/>
      </c>
      <c r="AC183" s="520" t="str">
        <f>IF(AND(_A1="A-321",'2025'!$H$4="FO",'2025'!$H$2=AC157),'2025DATA'!$N$28,"")</f>
        <v/>
      </c>
      <c r="AD183" s="940"/>
      <c r="AE183" s="13" t="s">
        <v>62</v>
      </c>
      <c r="AF183" s="518" t="str">
        <f>IF(AND(_A2="A-321",'2025'!$H$4="FO",'2025'!$H$2=AF157),'2025DATA'!$C$28,"")</f>
        <v/>
      </c>
      <c r="AG183" s="518" t="str">
        <f>IF(AND(_A2="A-321",'2025'!$H$4="FO",'2025'!$H$2=AG157),'2025DATA'!$D$28,"")</f>
        <v/>
      </c>
      <c r="AH183" s="518" t="str">
        <f>IF(AND(_A2="A-321",'2025'!$H$4="FO",'2025'!$H$2=AH157),'2025DATA'!$E$28,"")</f>
        <v/>
      </c>
      <c r="AI183" s="518" t="str">
        <f>IF(AND(_A2="A-321",'2025'!$H$4="FO",'2025'!$H$2=AI157),'2025DATA'!$F$28,"")</f>
        <v/>
      </c>
      <c r="AJ183" s="518" t="str">
        <f>IF(AND(_A2="A-321",'2025'!$H$4="FO",'2025'!$H$2=AJ157),'2025DATA'!$G$28,"")</f>
        <v/>
      </c>
      <c r="AK183" s="518" t="str">
        <f>IF(AND(_A2="A-321",'2025'!$H$4="FO",'2025'!$H$2=AK157),'2025DATA'!$H$28,"")</f>
        <v/>
      </c>
      <c r="AL183" s="518" t="str">
        <f>IF(AND(_A2="A-321",'2025'!$H$4="FO",'2025'!$H$2=AL157),'2025DATA'!$I$28,"")</f>
        <v/>
      </c>
      <c r="AM183" s="518" t="str">
        <f>IF(AND(_A2="A-321",'2025'!$H$4="FO",'2025'!$H$2=AM157),'2025DATA'!$J$28,"")</f>
        <v/>
      </c>
      <c r="AN183" s="518" t="str">
        <f>IF(AND(_A2="A-321",'2025'!$H$4="FO",'2025'!$H$2=AN157),'2025DATA'!$K$28,"")</f>
        <v/>
      </c>
      <c r="AO183" s="518" t="str">
        <f>IF(AND(_A2="A-321",'2025'!$H$4="FO",'2025'!$H$2=AO157),'2025DATA'!$L$28,"")</f>
        <v/>
      </c>
      <c r="AP183" s="518" t="str">
        <f>IF(AND(_A2="A-321",'2025'!$H$4="FO",'2025'!$H$2=AP157),'2025DATA'!$M$28,"")</f>
        <v/>
      </c>
      <c r="AQ183" s="520" t="str">
        <f>IF(AND(_A2="A-321",'2025'!$H$4="FO",'2025'!$H$2=AQ157),'2025DATA'!$N$28,"")</f>
        <v/>
      </c>
      <c r="AR183" s="940"/>
      <c r="AS183" s="13" t="s">
        <v>62</v>
      </c>
      <c r="AT183" s="518" t="str">
        <f>IF(AND(_A3="A-321",'2025'!$H$4="FO",'2025'!$H$2=AT157),'2025DATA'!$C$28,"")</f>
        <v/>
      </c>
      <c r="AU183" s="518" t="str">
        <f>IF(AND(_A3="A-321",'2025'!$H$4="FO",'2025'!$H$2=AU157),'2025DATA'!$D$28,"")</f>
        <v/>
      </c>
      <c r="AV183" s="518" t="str">
        <f>IF(AND(_A3="A-321",'2025'!$H$4="FO",'2025'!$H$2=AV157),'2025DATA'!$E$28,"")</f>
        <v/>
      </c>
      <c r="AW183" s="518" t="str">
        <f>IF(AND(_A3="A-321",'2025'!$H$4="FO",'2025'!$H$2=AW157),'2025DATA'!$F$28,"")</f>
        <v/>
      </c>
      <c r="AX183" s="518" t="str">
        <f>IF(AND(_A3="A-321",'2025'!$H$4="FO",'2025'!$H$2=AX157),'2025DATA'!$G$28,"")</f>
        <v/>
      </c>
      <c r="AY183" s="518" t="str">
        <f>IF(AND(_A3="A-321",'2025'!$H$4="FO",'2025'!$H$2=AY157),'2025DATA'!$H$28,"")</f>
        <v/>
      </c>
      <c r="AZ183" s="518" t="str">
        <f>IF(AND(_A3="A-321",'2025'!$H$4="FO",'2025'!$H$2=AZ157),'2025DATA'!$I$28,"")</f>
        <v/>
      </c>
      <c r="BA183" s="518" t="str">
        <f>IF(AND(_A3="A-321",'2025'!$H$4="FO",'2025'!$H$2=BA157),'2025DATA'!$J$28,"")</f>
        <v/>
      </c>
      <c r="BB183" s="518" t="str">
        <f>IF(AND(_A3="A-321",'2025'!$H$4="FO",'2025'!$H$2=BB157),'2025DATA'!$K$28,"")</f>
        <v/>
      </c>
      <c r="BC183" s="518" t="str">
        <f>IF(AND(_A3="A-321",'2025'!$H$4="FO",'2025'!$H$2=BC157),'2025DATA'!$L$28,"")</f>
        <v/>
      </c>
      <c r="BD183" s="518" t="str">
        <f>IF(AND(_A3="A-321",'2025'!$H$4="FO",'2025'!$H$2=BD157),'2025DATA'!$M$28,"")</f>
        <v/>
      </c>
      <c r="BE183" s="520" t="str">
        <f>IF(AND(_A3="A-321",'2025'!$H$4="FO",'2025'!$H$2=BE157),'2025DATA'!$N$28,"")</f>
        <v/>
      </c>
      <c r="BF183" s="940"/>
      <c r="BG183" s="13" t="s">
        <v>62</v>
      </c>
      <c r="BH183" s="518" t="str">
        <f>IF(AND(_A4="A-321",'2025'!$H$4="FO",'2025'!$H$2=BH157),'2025DATA'!$C$28,"")</f>
        <v/>
      </c>
      <c r="BI183" s="518" t="str">
        <f>IF(AND(_A4="A-321",'2025'!$H$4="FO",'2025'!$H$2=BI157),'2025DATA'!$D$28,"")</f>
        <v/>
      </c>
      <c r="BJ183" s="518" t="str">
        <f>IF(AND(_A4="A-321",'2025'!$H$4="FO",'2025'!$H$2=BJ157),'2025DATA'!$E$28,"")</f>
        <v/>
      </c>
      <c r="BK183" s="518" t="str">
        <f>IF(AND(_A4="A-321",'2025'!$H$4="FO",'2025'!$H$2=BK157),'2025DATA'!$F$28,"")</f>
        <v/>
      </c>
      <c r="BL183" s="518" t="str">
        <f>IF(AND(_A4="A-321",'2025'!$H$4="FO",'2025'!$H$2=BL157),'2025DATA'!$G$28,"")</f>
        <v/>
      </c>
      <c r="BM183" s="518" t="str">
        <f>IF(AND(_A4="A-321",'2025'!$H$4="FO",'2025'!$H$2=BM157),'2025DATA'!$H$28,"")</f>
        <v/>
      </c>
      <c r="BN183" s="518" t="str">
        <f>IF(AND(_A4="A-321",'2025'!$H$4="FO",'2025'!$H$2=BN157),'2025DATA'!$I$28,"")</f>
        <v/>
      </c>
      <c r="BO183" s="518" t="str">
        <f>IF(AND(_A4="A-321",'2025'!$H$4="FO",'2025'!$H$2=BO157),'2025DATA'!$J$28,"")</f>
        <v/>
      </c>
      <c r="BP183" s="518" t="str">
        <f>IF(AND(_A4="A-321",'2025'!$H$4="FO",'2025'!$H$2=BP157),'2025DATA'!$K$28,"")</f>
        <v/>
      </c>
      <c r="BQ183" s="518" t="str">
        <f>IF(AND(_A4="A-321",'2025'!$H$4="FO",'2025'!$H$2=BQ157),'2025DATA'!$L$28,"")</f>
        <v/>
      </c>
      <c r="BR183" s="518" t="str">
        <f>IF(AND(_A4="A-321",'2025'!$H$4="FO",'2025'!$H$2=BR157),'2025DATA'!$M$28,"")</f>
        <v/>
      </c>
      <c r="BS183" s="520" t="str">
        <f>IF(AND(_A4="A-321",'2025'!$H$4="FO",'2025'!$H$2=BS157),'2025DATA'!$N$28,"")</f>
        <v/>
      </c>
      <c r="BT183" s="940"/>
      <c r="BU183" s="13" t="s">
        <v>62</v>
      </c>
      <c r="BV183" s="518" t="str">
        <f>IF(AND(_A5="A-321",'2025'!$H$4="FO",'2025'!$H$2=BV157),'2025DATA'!$C$28,"")</f>
        <v/>
      </c>
      <c r="BW183" s="518" t="str">
        <f>IF(AND(_A5="A-321",'2025'!$H$4="FO",'2025'!$H$2=BW157),'2025DATA'!$D$28,"")</f>
        <v/>
      </c>
      <c r="BX183" s="518" t="str">
        <f>IF(AND(_A5="A-321",'2025'!$H$4="FO",'2025'!$H$2=BX157),'2025DATA'!$E$28,"")</f>
        <v/>
      </c>
      <c r="BY183" s="518" t="str">
        <f>IF(AND(_A5="A-321",'2025'!$H$4="FO",'2025'!$H$2=BY157),'2025DATA'!$F$28,"")</f>
        <v/>
      </c>
      <c r="BZ183" s="518" t="str">
        <f>IF(AND(_A5="A-321",'2025'!$H$4="FO",'2025'!$H$2=BZ157),'2025DATA'!$G$28,"")</f>
        <v/>
      </c>
      <c r="CA183" s="518" t="str">
        <f>IF(AND(_A5="A-321",'2025'!$H$4="FO",'2025'!$H$2=CA157),'2025DATA'!$H$28,"")</f>
        <v/>
      </c>
      <c r="CB183" s="518" t="str">
        <f>IF(AND(_A5="A-321",'2025'!$H$4="FO",'2025'!$H$2=CB157),'2025DATA'!$I$28,"")</f>
        <v/>
      </c>
      <c r="CC183" s="518" t="str">
        <f>IF(AND(_A5="A-321",'2025'!$H$4="FO",'2025'!$H$2=CC157),'2025DATA'!$J$28,"")</f>
        <v/>
      </c>
      <c r="CD183" s="518" t="str">
        <f>IF(AND(_A5="A-321",'2025'!$H$4="FO",'2025'!$H$2=CD157),'2025DATA'!$K$28,"")</f>
        <v/>
      </c>
      <c r="CE183" s="518" t="str">
        <f>IF(AND(_A5="A-321",'2025'!$H$4="FO",'2025'!$H$2=CE157),'2025DATA'!$L$28,"")</f>
        <v/>
      </c>
      <c r="CF183" s="518" t="str">
        <f>IF(AND(_A5="A-321",'2025'!$H$4="FO",'2025'!$H$2=CF157),'2025DATA'!$M$28,"")</f>
        <v/>
      </c>
      <c r="CG183" s="520" t="str">
        <f>IF(AND(_A5="A-321",'2025'!$H$4="FO",'2025'!$H$2=CG157),'2025DATA'!$N$28,"")</f>
        <v/>
      </c>
      <c r="CH183" s="940"/>
      <c r="CI183" s="13" t="s">
        <v>62</v>
      </c>
      <c r="CJ183" s="518" t="str">
        <f>IF(AND(_A6="A-321",'2025'!$H$4="FO",'2025'!$H$2=CJ157),'2025DATA'!$C$28,"")</f>
        <v/>
      </c>
      <c r="CK183" s="518" t="str">
        <f>IF(AND(_A6="A-321",'2025'!$H$4="FO",'2025'!$H$2=CK157),'2025DATA'!$D$28,"")</f>
        <v/>
      </c>
      <c r="CL183" s="518" t="str">
        <f>IF(AND(_A6="A-321",'2025'!$H$4="FO",'2025'!$H$2=CL157),'2025DATA'!$E$28,"")</f>
        <v/>
      </c>
      <c r="CM183" s="518" t="str">
        <f>IF(AND(_A6="A-321",'2025'!$H$4="FO",'2025'!$H$2=CM157),'2025DATA'!$F$28,"")</f>
        <v/>
      </c>
      <c r="CN183" s="518" t="str">
        <f>IF(AND(_A6="A-321",'2025'!$H$4="FO",'2025'!$H$2=CN157),'2025DATA'!$G$28,"")</f>
        <v/>
      </c>
      <c r="CO183" s="518" t="str">
        <f>IF(AND(_A6="A-321",'2025'!$H$4="FO",'2025'!$H$2=CO157),'2025DATA'!$H$28,"")</f>
        <v/>
      </c>
      <c r="CP183" s="518" t="str">
        <f>IF(AND(_A6="A-321",'2025'!$H$4="FO",'2025'!$H$2=CP157),'2025DATA'!$I$28,"")</f>
        <v/>
      </c>
      <c r="CQ183" s="518" t="str">
        <f>IF(AND(_A6="A-321",'2025'!$H$4="FO",'2025'!$H$2=CQ157),'2025DATA'!$J$28,"")</f>
        <v/>
      </c>
      <c r="CR183" s="518" t="str">
        <f>IF(AND(_A6="A-321",'2025'!$H$4="FO",'2025'!$H$2=CR157),'2025DATA'!$K$28,"")</f>
        <v/>
      </c>
      <c r="CS183" s="518" t="str">
        <f>IF(AND(_A6="A-321",'2025'!$H$4="FO",'2025'!$H$2=CS157),'2025DATA'!$L$28,"")</f>
        <v/>
      </c>
      <c r="CT183" s="518" t="str">
        <f>IF(AND(_A6="A-321",'2025'!$H$4="FO",'2025'!$H$2=CT157),'2025DATA'!$M$28,"")</f>
        <v/>
      </c>
      <c r="CU183" s="520" t="str">
        <f>IF(AND(_A6="A-321",'2025'!$H$4="FO",'2025'!$H$2=CU157),'2025DATA'!$N$28,"")</f>
        <v/>
      </c>
    </row>
    <row r="184" spans="16:99" x14ac:dyDescent="0.25">
      <c r="P184" s="940" t="s">
        <v>70</v>
      </c>
      <c r="Q184" s="13" t="s">
        <v>61</v>
      </c>
      <c r="R184" s="518" t="str">
        <f>IF(AND(_A1="A-320",'2025'!$H$4="CA",'2025'!$H$2=R157),'2025DATA'!$C$29,"")</f>
        <v/>
      </c>
      <c r="S184" s="518" t="str">
        <f>IF(AND(_A1="A-320",'2025'!$H$4="CA",'2025'!$H$2=S157),'2025DATA'!$D$29,"")</f>
        <v/>
      </c>
      <c r="T184" s="518" t="str">
        <f>IF(AND(_A1="A-320",'2025'!$H$4="CA",'2025'!$H$2=T157),'2025DATA'!$E$29,"")</f>
        <v/>
      </c>
      <c r="U184" s="518" t="str">
        <f>IF(AND(_A1="A-320",'2025'!$H$4="CA",'2025'!$H$2=U157),'2025DATA'!$F$29,"")</f>
        <v/>
      </c>
      <c r="V184" s="518" t="str">
        <f>IF(AND(_A1="A-320",'2025'!$H$4="CA",'2025'!$H$2=V157),'2025DATA'!$G$29,"")</f>
        <v/>
      </c>
      <c r="W184" s="518" t="str">
        <f>IF(AND(_A1="A-320",'2025'!$H$4="CA",'2025'!$H$2=W157),'2025DATA'!$H$29,"")</f>
        <v/>
      </c>
      <c r="X184" s="518" t="str">
        <f>IF(AND(_A1="A-320",'2025'!$H$4="CA",'2025'!$H$2=X157),'2025DATA'!$I$29,"")</f>
        <v/>
      </c>
      <c r="Y184" s="518" t="str">
        <f>IF(AND(_A1="A-320",'2025'!$H$4="CA",'2025'!$H$2=Y157),'2025DATA'!$J$29,"")</f>
        <v/>
      </c>
      <c r="Z184" s="518" t="str">
        <f>IF(AND(_A1="A-320",'2025'!$H$4="CA",'2025'!$H$2=Z157),'2025DATA'!$K$29,"")</f>
        <v/>
      </c>
      <c r="AA184" s="518" t="str">
        <f>IF(AND(_A1="A-320",'2025'!$H$4="CA",'2025'!$H$2=AA157),'2025DATA'!$L$29,"")</f>
        <v/>
      </c>
      <c r="AB184" s="518" t="str">
        <f>IF(AND(_A1="A-320",'2025'!$H$4="CA",'2025'!$H$2=AB157),'2025DATA'!$M$29,"")</f>
        <v/>
      </c>
      <c r="AC184" s="520" t="str">
        <f>IF(AND(_A1="A-320",'2025'!$H$4="CA",'2025'!$H$2=AC157),'2025DATA'!$N$29,"")</f>
        <v/>
      </c>
      <c r="AD184" s="940" t="s">
        <v>70</v>
      </c>
      <c r="AE184" s="13" t="s">
        <v>61</v>
      </c>
      <c r="AF184" s="518" t="str">
        <f>IF(AND(_A2="A-320",'2025'!$H$4="CA",'2025'!$H$2=AF157),'2025DATA'!$C$29,"")</f>
        <v/>
      </c>
      <c r="AG184" s="518" t="str">
        <f>IF(AND(_A2="A-320",'2025'!$H$4="CA",'2025'!$H$2=AG157),'2025DATA'!$D$29,"")</f>
        <v/>
      </c>
      <c r="AH184" s="518" t="str">
        <f>IF(AND(_A2="A-320",'2025'!$H$4="CA",'2025'!$H$2=AH157),'2025DATA'!$E$29,"")</f>
        <v/>
      </c>
      <c r="AI184" s="518" t="str">
        <f>IF(AND(_A2="A-320",'2025'!$H$4="CA",'2025'!$H$2=AI157),'2025DATA'!$F$29,"")</f>
        <v/>
      </c>
      <c r="AJ184" s="518" t="str">
        <f>IF(AND(_A2="A-320",'2025'!$H$4="CA",'2025'!$H$2=AJ157),'2025DATA'!$G$29,"")</f>
        <v/>
      </c>
      <c r="AK184" s="518" t="str">
        <f>IF(AND(_A2="A-320",'2025'!$H$4="CA",'2025'!$H$2=AK157),'2025DATA'!$H$29,"")</f>
        <v/>
      </c>
      <c r="AL184" s="518" t="str">
        <f>IF(AND(_A2="A-320",'2025'!$H$4="CA",'2025'!$H$2=AL157),'2025DATA'!$I$29,"")</f>
        <v/>
      </c>
      <c r="AM184" s="518" t="str">
        <f>IF(AND(_A2="A-320",'2025'!$H$4="CA",'2025'!$H$2=AM157),'2025DATA'!$J$29,"")</f>
        <v/>
      </c>
      <c r="AN184" s="518" t="str">
        <f>IF(AND(_A2="A-320",'2025'!$H$4="CA",'2025'!$H$2=AN157),'2025DATA'!$K$29,"")</f>
        <v/>
      </c>
      <c r="AO184" s="518" t="str">
        <f>IF(AND(_A2="A-320",'2025'!$H$4="CA",'2025'!$H$2=AO157),'2025DATA'!$L$29,"")</f>
        <v/>
      </c>
      <c r="AP184" s="518" t="str">
        <f>IF(AND(_A2="A-320",'2025'!$H$4="CA",'2025'!$H$2=AP157),'2025DATA'!$M$29,"")</f>
        <v/>
      </c>
      <c r="AQ184" s="520" t="str">
        <f>IF(AND(_A2="A-320",'2025'!$H$4="CA",'2025'!$H$2=AQ157),'2025DATA'!$N$29,"")</f>
        <v/>
      </c>
      <c r="AR184" s="940" t="s">
        <v>70</v>
      </c>
      <c r="AS184" s="13" t="s">
        <v>61</v>
      </c>
      <c r="AT184" s="518" t="str">
        <f>IF(AND(_A3="A-320",'2025'!$H$4="CA",'2025'!$H$2=AT157),'2025DATA'!$C$29,"")</f>
        <v/>
      </c>
      <c r="AU184" s="518" t="str">
        <f>IF(AND(_A3="A-320",'2025'!$H$4="CA",'2025'!$H$2=AU157),'2025DATA'!$D$29,"")</f>
        <v/>
      </c>
      <c r="AV184" s="518" t="str">
        <f>IF(AND(_A3="A-320",'2025'!$H$4="CA",'2025'!$H$2=AV157),'2025DATA'!$E$29,"")</f>
        <v/>
      </c>
      <c r="AW184" s="518" t="str">
        <f>IF(AND(_A3="A-320",'2025'!$H$4="CA",'2025'!$H$2=AW157),'2025DATA'!$F$29,"")</f>
        <v/>
      </c>
      <c r="AX184" s="518" t="str">
        <f>IF(AND(_A3="A-320",'2025'!$H$4="CA",'2025'!$H$2=AX157),'2025DATA'!$G$29,"")</f>
        <v/>
      </c>
      <c r="AY184" s="518" t="str">
        <f>IF(AND(_A3="A-320",'2025'!$H$4="CA",'2025'!$H$2=AY157),'2025DATA'!$H$29,"")</f>
        <v/>
      </c>
      <c r="AZ184" s="518" t="str">
        <f>IF(AND(_A3="A-320",'2025'!$H$4="CA",'2025'!$H$2=AZ157),'2025DATA'!$I$29,"")</f>
        <v/>
      </c>
      <c r="BA184" s="518" t="str">
        <f>IF(AND(_A3="A-320",'2025'!$H$4="CA",'2025'!$H$2=BA157),'2025DATA'!$J$29,"")</f>
        <v/>
      </c>
      <c r="BB184" s="518" t="str">
        <f>IF(AND(_A3="A-320",'2025'!$H$4="CA",'2025'!$H$2=BB157),'2025DATA'!$K$29,"")</f>
        <v/>
      </c>
      <c r="BC184" s="518" t="str">
        <f>IF(AND(_A3="A-320",'2025'!$H$4="CA",'2025'!$H$2=BC157),'2025DATA'!$L$29,"")</f>
        <v/>
      </c>
      <c r="BD184" s="518" t="str">
        <f>IF(AND(_A3="A-320",'2025'!$H$4="CA",'2025'!$H$2=BD157),'2025DATA'!$M$29,"")</f>
        <v/>
      </c>
      <c r="BE184" s="520" t="str">
        <f>IF(AND(_A3="A-320",'2025'!$H$4="CA",'2025'!$H$2=BE157),'2025DATA'!$N$29,"")</f>
        <v/>
      </c>
      <c r="BF184" s="940" t="s">
        <v>70</v>
      </c>
      <c r="BG184" s="13" t="s">
        <v>61</v>
      </c>
      <c r="BH184" s="518" t="str">
        <f>IF(AND(_A4="A-320",'2025'!$H$4="CA",'2025'!$H$2=BH157),'2025DATA'!$C$29,"")</f>
        <v/>
      </c>
      <c r="BI184" s="518" t="str">
        <f>IF(AND(_A4="A-320",'2025'!$H$4="CA",'2025'!$H$2=BI157),'2025DATA'!$D$29,"")</f>
        <v/>
      </c>
      <c r="BJ184" s="518" t="str">
        <f>IF(AND(_A4="A-320",'2025'!$H$4="CA",'2025'!$H$2=BJ157),'2025DATA'!$E$29,"")</f>
        <v/>
      </c>
      <c r="BK184" s="518" t="str">
        <f>IF(AND(_A4="A-320",'2025'!$H$4="CA",'2025'!$H$2=BK157),'2025DATA'!$F$29,"")</f>
        <v/>
      </c>
      <c r="BL184" s="518" t="str">
        <f>IF(AND(_A4="A-320",'2025'!$H$4="CA",'2025'!$H$2=BL157),'2025DATA'!$G$29,"")</f>
        <v/>
      </c>
      <c r="BM184" s="518" t="str">
        <f>IF(AND(_A4="A-320",'2025'!$H$4="CA",'2025'!$H$2=BM157),'2025DATA'!$H$29,"")</f>
        <v/>
      </c>
      <c r="BN184" s="518" t="str">
        <f>IF(AND(_A4="A-320",'2025'!$H$4="CA",'2025'!$H$2=BN157),'2025DATA'!$I$29,"")</f>
        <v/>
      </c>
      <c r="BO184" s="518" t="str">
        <f>IF(AND(_A4="A-320",'2025'!$H$4="CA",'2025'!$H$2=BO157),'2025DATA'!$J$29,"")</f>
        <v/>
      </c>
      <c r="BP184" s="518" t="str">
        <f>IF(AND(_A4="A-320",'2025'!$H$4="CA",'2025'!$H$2=BP157),'2025DATA'!$K$29,"")</f>
        <v/>
      </c>
      <c r="BQ184" s="518" t="str">
        <f>IF(AND(_A4="A-320",'2025'!$H$4="CA",'2025'!$H$2=BQ157),'2025DATA'!$L$29,"")</f>
        <v/>
      </c>
      <c r="BR184" s="518" t="str">
        <f>IF(AND(_A4="A-320",'2025'!$H$4="CA",'2025'!$H$2=BR157),'2025DATA'!$M$29,"")</f>
        <v/>
      </c>
      <c r="BS184" s="520" t="str">
        <f>IF(AND(_A4="A-320",'2025'!$H$4="CA",'2025'!$H$2=BS157),'2025DATA'!$N$29,"")</f>
        <v/>
      </c>
      <c r="BT184" s="940" t="s">
        <v>70</v>
      </c>
      <c r="BU184" s="13" t="s">
        <v>61</v>
      </c>
      <c r="BV184" s="518" t="str">
        <f>IF(AND(_A5="A-320",'2025'!$H$4="CA",'2025'!$H$2=BV157),'2025DATA'!$C$29,"")</f>
        <v/>
      </c>
      <c r="BW184" s="518" t="str">
        <f>IF(AND(_A5="A-320",'2025'!$H$4="CA",'2025'!$H$2=BW157),'2025DATA'!$D$29,"")</f>
        <v/>
      </c>
      <c r="BX184" s="518" t="str">
        <f>IF(AND(_A5="A-320",'2025'!$H$4="CA",'2025'!$H$2=BX157),'2025DATA'!$E$29,"")</f>
        <v/>
      </c>
      <c r="BY184" s="518" t="str">
        <f>IF(AND(_A5="A-320",'2025'!$H$4="CA",'2025'!$H$2=BY157),'2025DATA'!$F$29,"")</f>
        <v/>
      </c>
      <c r="BZ184" s="518" t="str">
        <f>IF(AND(_A5="A-320",'2025'!$H$4="CA",'2025'!$H$2=BZ157),'2025DATA'!$G$29,"")</f>
        <v/>
      </c>
      <c r="CA184" s="518" t="str">
        <f>IF(AND(_A5="A-320",'2025'!$H$4="CA",'2025'!$H$2=CA157),'2025DATA'!$H$29,"")</f>
        <v/>
      </c>
      <c r="CB184" s="518" t="str">
        <f>IF(AND(_A5="A-320",'2025'!$H$4="CA",'2025'!$H$2=CB157),'2025DATA'!$I$29,"")</f>
        <v/>
      </c>
      <c r="CC184" s="518" t="str">
        <f>IF(AND(_A5="A-320",'2025'!$H$4="CA",'2025'!$H$2=CC157),'2025DATA'!$J$29,"")</f>
        <v/>
      </c>
      <c r="CD184" s="518" t="str">
        <f>IF(AND(_A5="A-320",'2025'!$H$4="CA",'2025'!$H$2=CD157),'2025DATA'!$K$29,"")</f>
        <v/>
      </c>
      <c r="CE184" s="518" t="str">
        <f>IF(AND(_A5="A-320",'2025'!$H$4="CA",'2025'!$H$2=CE157),'2025DATA'!$L$29,"")</f>
        <v/>
      </c>
      <c r="CF184" s="518" t="str">
        <f>IF(AND(_A5="A-320",'2025'!$H$4="CA",'2025'!$H$2=CF157),'2025DATA'!$M$29,"")</f>
        <v/>
      </c>
      <c r="CG184" s="520" t="str">
        <f>IF(AND(_A5="A-320",'2025'!$H$4="CA",'2025'!$H$2=CG157),'2025DATA'!$N$29,"")</f>
        <v/>
      </c>
      <c r="CH184" s="940" t="s">
        <v>70</v>
      </c>
      <c r="CI184" s="13" t="s">
        <v>61</v>
      </c>
      <c r="CJ184" s="518" t="str">
        <f>IF(AND(_A6="A-320",'2025'!$H$4="CA",'2025'!$H$2=CJ157),'2025DATA'!$C$29,"")</f>
        <v/>
      </c>
      <c r="CK184" s="518" t="str">
        <f>IF(AND(_A6="A-320",'2025'!$H$4="CA",'2025'!$H$2=CK157),'2025DATA'!$D$29,"")</f>
        <v/>
      </c>
      <c r="CL184" s="518" t="str">
        <f>IF(AND(_A6="A-320",'2025'!$H$4="CA",'2025'!$H$2=CL157),'2025DATA'!$E$29,"")</f>
        <v/>
      </c>
      <c r="CM184" s="518" t="str">
        <f>IF(AND(_A6="A-320",'2025'!$H$4="CA",'2025'!$H$2=CM157),'2025DATA'!$F$29,"")</f>
        <v/>
      </c>
      <c r="CN184" s="518" t="str">
        <f>IF(AND(_A6="A-320",'2025'!$H$4="CA",'2025'!$H$2=CN157),'2025DATA'!$G$29,"")</f>
        <v/>
      </c>
      <c r="CO184" s="518" t="str">
        <f>IF(AND(_A6="A-320",'2025'!$H$4="CA",'2025'!$H$2=CO157),'2025DATA'!$H$29,"")</f>
        <v/>
      </c>
      <c r="CP184" s="518" t="str">
        <f>IF(AND(_A6="A-320",'2025'!$H$4="CA",'2025'!$H$2=CP157),'2025DATA'!$I$29,"")</f>
        <v/>
      </c>
      <c r="CQ184" s="518" t="str">
        <f>IF(AND(_A6="A-320",'2025'!$H$4="CA",'2025'!$H$2=CQ157),'2025DATA'!$J$29,"")</f>
        <v/>
      </c>
      <c r="CR184" s="518" t="str">
        <f>IF(AND(_A6="A-320",'2025'!$H$4="CA",'2025'!$H$2=CR157),'2025DATA'!$K$29,"")</f>
        <v/>
      </c>
      <c r="CS184" s="518" t="str">
        <f>IF(AND(_A6="A-320",'2025'!$H$4="CA",'2025'!$H$2=CS157),'2025DATA'!$L$29,"")</f>
        <v/>
      </c>
      <c r="CT184" s="518" t="str">
        <f>IF(AND(_A6="A-320",'2025'!$H$4="CA",'2025'!$H$2=CT157),'2025DATA'!$M$29,"")</f>
        <v/>
      </c>
      <c r="CU184" s="520" t="str">
        <f>IF(AND(_A6="A-320",'2025'!$H$4="CA",'2025'!$H$2=CU157),'2025DATA'!$N$29,"")</f>
        <v/>
      </c>
    </row>
    <row r="185" spans="16:99" x14ac:dyDescent="0.25">
      <c r="P185" s="940"/>
      <c r="Q185" s="13" t="s">
        <v>62</v>
      </c>
      <c r="R185" s="518" t="str">
        <f>IF(AND(_A1="A-320",'2025'!$H$4="FO",'2025'!$H$2=R157),'2025DATA'!$C$30,"")</f>
        <v/>
      </c>
      <c r="S185" s="518" t="str">
        <f>IF(AND(_A1="A-320",'2025'!$H$4="FO",'2025'!$H$2=S157),'2025DATA'!$D$30,"")</f>
        <v/>
      </c>
      <c r="T185" s="518" t="str">
        <f>IF(AND(_A1="A-320",'2025'!$H$4="FO",'2025'!$H$2=T157),'2025DATA'!$E$30,"")</f>
        <v/>
      </c>
      <c r="U185" s="518" t="str">
        <f>IF(AND(_A1="A-320",'2025'!$H$4="FO",'2025'!$H$2=U157),'2025DATA'!$F$30,"")</f>
        <v/>
      </c>
      <c r="V185" s="518" t="str">
        <f>IF(AND(_A1="A-320",'2025'!$H$4="FO",'2025'!$H$2=V157),'2025DATA'!$G$30,"")</f>
        <v/>
      </c>
      <c r="W185" s="518" t="str">
        <f>IF(AND(_A1="A-320",'2025'!$H$4="FO",'2025'!$H$2=W157),'2025DATA'!$H$30,"")</f>
        <v/>
      </c>
      <c r="X185" s="518" t="str">
        <f>IF(AND(_A1="A-320",'2025'!$H$4="FO",'2025'!$H$2=X157),'2025DATA'!$I$30,"")</f>
        <v/>
      </c>
      <c r="Y185" s="518" t="str">
        <f>IF(AND(_A1="A-320",'2025'!$H$4="FO",'2025'!$H$2=Y157),'2025DATA'!$J$30,"")</f>
        <v/>
      </c>
      <c r="Z185" s="518" t="str">
        <f>IF(AND(_A1="A-320",'2025'!$H$4="FO",'2025'!$H$2=Z157),'2025DATA'!$K$30,"")</f>
        <v/>
      </c>
      <c r="AA185" s="518" t="str">
        <f>IF(AND(_A1="A-320",'2025'!$H$4="FO",'2025'!$H$2=AA157),'2025DATA'!$L$30,"")</f>
        <v/>
      </c>
      <c r="AB185" s="518" t="str">
        <f>IF(AND(_A1="A-320",'2025'!$H$4="FO",'2025'!$H$2=AB157),'2025DATA'!$M$30,"")</f>
        <v/>
      </c>
      <c r="AC185" s="520" t="str">
        <f>IF(AND(_A1="A-320",'2025'!$H$4="FO",'2025'!$H$2=AC157),'2025DATA'!$N$30,"")</f>
        <v/>
      </c>
      <c r="AD185" s="940"/>
      <c r="AE185" s="13" t="s">
        <v>62</v>
      </c>
      <c r="AF185" s="518" t="str">
        <f>IF(AND(_A2="A-320",'2025'!$H$4="FO",'2025'!$H$2=AF157),'2025DATA'!$C$30,"")</f>
        <v/>
      </c>
      <c r="AG185" s="518" t="str">
        <f>IF(AND(_A2="A-320",'2025'!$H$4="FO",'2025'!$H$2=AG157),'2025DATA'!$D$30,"")</f>
        <v/>
      </c>
      <c r="AH185" s="518" t="str">
        <f>IF(AND(_A2="A-320",'2025'!$H$4="FO",'2025'!$H$2=AH157),'2025DATA'!$E$30,"")</f>
        <v/>
      </c>
      <c r="AI185" s="518" t="str">
        <f>IF(AND(_A2="A-320",'2025'!$H$4="FO",'2025'!$H$2=AI157),'2025DATA'!$F$30,"")</f>
        <v/>
      </c>
      <c r="AJ185" s="518" t="str">
        <f>IF(AND(_A2="A-320",'2025'!$H$4="FO",'2025'!$H$2=AJ157),'2025DATA'!$G$30,"")</f>
        <v/>
      </c>
      <c r="AK185" s="518" t="str">
        <f>IF(AND(_A2="A-320",'2025'!$H$4="FO",'2025'!$H$2=AK157),'2025DATA'!$H$30,"")</f>
        <v/>
      </c>
      <c r="AL185" s="518" t="str">
        <f>IF(AND(_A2="A-320",'2025'!$H$4="FO",'2025'!$H$2=AL157),'2025DATA'!$I$30,"")</f>
        <v/>
      </c>
      <c r="AM185" s="518" t="str">
        <f>IF(AND(_A2="A-320",'2025'!$H$4="FO",'2025'!$H$2=AM157),'2025DATA'!$J$30,"")</f>
        <v/>
      </c>
      <c r="AN185" s="518" t="str">
        <f>IF(AND(_A2="A-320",'2025'!$H$4="FO",'2025'!$H$2=AN157),'2025DATA'!$K$30,"")</f>
        <v/>
      </c>
      <c r="AO185" s="518" t="str">
        <f>IF(AND(_A2="A-320",'2025'!$H$4="FO",'2025'!$H$2=AO157),'2025DATA'!$L$30,"")</f>
        <v/>
      </c>
      <c r="AP185" s="518" t="str">
        <f>IF(AND(_A2="A-320",'2025'!$H$4="FO",'2025'!$H$2=AP157),'2025DATA'!$M$30,"")</f>
        <v/>
      </c>
      <c r="AQ185" s="520" t="str">
        <f>IF(AND(_A2="A-320",'2025'!$H$4="FO",'2025'!$H$2=AQ157),'2025DATA'!$N$30,"")</f>
        <v/>
      </c>
      <c r="AR185" s="940"/>
      <c r="AS185" s="13" t="s">
        <v>62</v>
      </c>
      <c r="AT185" s="518" t="str">
        <f>IF(AND(_A3="A-320",'2025'!$H$4="FO",'2025'!$H$2=AT157),'2025DATA'!$C$30,"")</f>
        <v/>
      </c>
      <c r="AU185" s="518" t="str">
        <f>IF(AND(_A3="A-320",'2025'!$H$4="FO",'2025'!$H$2=AU157),'2025DATA'!$D$30,"")</f>
        <v/>
      </c>
      <c r="AV185" s="518" t="str">
        <f>IF(AND(_A3="A-320",'2025'!$H$4="FO",'2025'!$H$2=AV157),'2025DATA'!$E$30,"")</f>
        <v/>
      </c>
      <c r="AW185" s="518" t="str">
        <f>IF(AND(_A3="A-320",'2025'!$H$4="FO",'2025'!$H$2=AW157),'2025DATA'!$F$30,"")</f>
        <v/>
      </c>
      <c r="AX185" s="518" t="str">
        <f>IF(AND(_A3="A-320",'2025'!$H$4="FO",'2025'!$H$2=AX157),'2025DATA'!$G$30,"")</f>
        <v/>
      </c>
      <c r="AY185" s="518" t="str">
        <f>IF(AND(_A3="A-320",'2025'!$H$4="FO",'2025'!$H$2=AY157),'2025DATA'!$H$30,"")</f>
        <v/>
      </c>
      <c r="AZ185" s="518" t="str">
        <f>IF(AND(_A3="A-320",'2025'!$H$4="FO",'2025'!$H$2=AZ157),'2025DATA'!$I$30,"")</f>
        <v/>
      </c>
      <c r="BA185" s="518" t="str">
        <f>IF(AND(_A3="A-320",'2025'!$H$4="FO",'2025'!$H$2=BA157),'2025DATA'!$J$30,"")</f>
        <v/>
      </c>
      <c r="BB185" s="518" t="str">
        <f>IF(AND(_A3="A-320",'2025'!$H$4="FO",'2025'!$H$2=BB157),'2025DATA'!$K$30,"")</f>
        <v/>
      </c>
      <c r="BC185" s="518" t="str">
        <f>IF(AND(_A3="A-320",'2025'!$H$4="FO",'2025'!$H$2=BC157),'2025DATA'!$L$30,"")</f>
        <v/>
      </c>
      <c r="BD185" s="518" t="str">
        <f>IF(AND(_A3="A-320",'2025'!$H$4="FO",'2025'!$H$2=BD157),'2025DATA'!$M$30,"")</f>
        <v/>
      </c>
      <c r="BE185" s="520" t="str">
        <f>IF(AND(_A3="A-320",'2025'!$H$4="FO",'2025'!$H$2=BE157),'2025DATA'!$N$30,"")</f>
        <v/>
      </c>
      <c r="BF185" s="940"/>
      <c r="BG185" s="13" t="s">
        <v>62</v>
      </c>
      <c r="BH185" s="518" t="str">
        <f>IF(AND(_A4="A-320",'2025'!$H$4="FO",'2025'!$H$2=BH157),'2025DATA'!$C$30,"")</f>
        <v/>
      </c>
      <c r="BI185" s="518" t="str">
        <f>IF(AND(_A4="A-320",'2025'!$H$4="FO",'2025'!$H$2=BI157),'2025DATA'!$D$30,"")</f>
        <v/>
      </c>
      <c r="BJ185" s="518" t="str">
        <f>IF(AND(_A4="A-320",'2025'!$H$4="FO",'2025'!$H$2=BJ157),'2025DATA'!$E$30,"")</f>
        <v/>
      </c>
      <c r="BK185" s="518" t="str">
        <f>IF(AND(_A4="A-320",'2025'!$H$4="FO",'2025'!$H$2=BK157),'2025DATA'!$F$30,"")</f>
        <v/>
      </c>
      <c r="BL185" s="518" t="str">
        <f>IF(AND(_A4="A-320",'2025'!$H$4="FO",'2025'!$H$2=BL157),'2025DATA'!$G$30,"")</f>
        <v/>
      </c>
      <c r="BM185" s="518" t="str">
        <f>IF(AND(_A4="A-320",'2025'!$H$4="FO",'2025'!$H$2=BM157),'2025DATA'!$H$30,"")</f>
        <v/>
      </c>
      <c r="BN185" s="518" t="str">
        <f>IF(AND(_A4="A-320",'2025'!$H$4="FO",'2025'!$H$2=BN157),'2025DATA'!$I$30,"")</f>
        <v/>
      </c>
      <c r="BO185" s="518" t="str">
        <f>IF(AND(_A4="A-320",'2025'!$H$4="FO",'2025'!$H$2=BO157),'2025DATA'!$J$30,"")</f>
        <v/>
      </c>
      <c r="BP185" s="518" t="str">
        <f>IF(AND(_A4="A-320",'2025'!$H$4="FO",'2025'!$H$2=BP157),'2025DATA'!$K$30,"")</f>
        <v/>
      </c>
      <c r="BQ185" s="518" t="str">
        <f>IF(AND(_A4="A-320",'2025'!$H$4="FO",'2025'!$H$2=BQ157),'2025DATA'!$L$30,"")</f>
        <v/>
      </c>
      <c r="BR185" s="518" t="str">
        <f>IF(AND(_A4="A-320",'2025'!$H$4="FO",'2025'!$H$2=BR157),'2025DATA'!$M$30,"")</f>
        <v/>
      </c>
      <c r="BS185" s="520" t="str">
        <f>IF(AND(_A4="A-320",'2025'!$H$4="FO",'2025'!$H$2=BS157),'2025DATA'!$N$30,"")</f>
        <v/>
      </c>
      <c r="BT185" s="940"/>
      <c r="BU185" s="13" t="s">
        <v>62</v>
      </c>
      <c r="BV185" s="518" t="str">
        <f>IF(AND(_A5="A-320",'2025'!$H$4="FO",'2025'!$H$2=BV157),'2025DATA'!$C$30,"")</f>
        <v/>
      </c>
      <c r="BW185" s="518" t="str">
        <f>IF(AND(_A5="A-320",'2025'!$H$4="FO",'2025'!$H$2=BW157),'2025DATA'!$D$30,"")</f>
        <v/>
      </c>
      <c r="BX185" s="518" t="str">
        <f>IF(AND(_A5="A-320",'2025'!$H$4="FO",'2025'!$H$2=BX157),'2025DATA'!$E$30,"")</f>
        <v/>
      </c>
      <c r="BY185" s="518" t="str">
        <f>IF(AND(_A5="A-320",'2025'!$H$4="FO",'2025'!$H$2=BY157),'2025DATA'!$F$30,"")</f>
        <v/>
      </c>
      <c r="BZ185" s="518" t="str">
        <f>IF(AND(_A5="A-320",'2025'!$H$4="FO",'2025'!$H$2=BZ157),'2025DATA'!$G$30,"")</f>
        <v/>
      </c>
      <c r="CA185" s="518" t="str">
        <f>IF(AND(_A5="A-320",'2025'!$H$4="FO",'2025'!$H$2=CA157),'2025DATA'!$H$30,"")</f>
        <v/>
      </c>
      <c r="CB185" s="518" t="str">
        <f>IF(AND(_A5="A-320",'2025'!$H$4="FO",'2025'!$H$2=CB157),'2025DATA'!$I$30,"")</f>
        <v/>
      </c>
      <c r="CC185" s="518" t="str">
        <f>IF(AND(_A5="A-320",'2025'!$H$4="FO",'2025'!$H$2=CC157),'2025DATA'!$J$30,"")</f>
        <v/>
      </c>
      <c r="CD185" s="518" t="str">
        <f>IF(AND(_A5="A-320",'2025'!$H$4="FO",'2025'!$H$2=CD157),'2025DATA'!$K$30,"")</f>
        <v/>
      </c>
      <c r="CE185" s="518" t="str">
        <f>IF(AND(_A5="A-320",'2025'!$H$4="FO",'2025'!$H$2=CE157),'2025DATA'!$L$30,"")</f>
        <v/>
      </c>
      <c r="CF185" s="518" t="str">
        <f>IF(AND(_A5="A-320",'2025'!$H$4="FO",'2025'!$H$2=CF157),'2025DATA'!$M$30,"")</f>
        <v/>
      </c>
      <c r="CG185" s="520" t="str">
        <f>IF(AND(_A5="A-320",'2025'!$H$4="FO",'2025'!$H$2=CG157),'2025DATA'!$N$30,"")</f>
        <v/>
      </c>
      <c r="CH185" s="940"/>
      <c r="CI185" s="13" t="s">
        <v>62</v>
      </c>
      <c r="CJ185" s="518" t="str">
        <f>IF(AND(_A6="A-320",'2025'!$H$4="FO",'2025'!$H$2=CJ157),'2025DATA'!$C$30,"")</f>
        <v/>
      </c>
      <c r="CK185" s="518" t="str">
        <f>IF(AND(_A6="A-320",'2025'!$H$4="FO",'2025'!$H$2=CK157),'2025DATA'!$D$30,"")</f>
        <v/>
      </c>
      <c r="CL185" s="518" t="str">
        <f>IF(AND(_A6="A-320",'2025'!$H$4="FO",'2025'!$H$2=CL157),'2025DATA'!$E$30,"")</f>
        <v/>
      </c>
      <c r="CM185" s="518" t="str">
        <f>IF(AND(_A6="A-320",'2025'!$H$4="FO",'2025'!$H$2=CM157),'2025DATA'!$F$30,"")</f>
        <v/>
      </c>
      <c r="CN185" s="518" t="str">
        <f>IF(AND(_A6="A-320",'2025'!$H$4="FO",'2025'!$H$2=CN157),'2025DATA'!$G$30,"")</f>
        <v/>
      </c>
      <c r="CO185" s="518" t="str">
        <f>IF(AND(_A6="A-320",'2025'!$H$4="FO",'2025'!$H$2=CO157),'2025DATA'!$H$30,"")</f>
        <v/>
      </c>
      <c r="CP185" s="518" t="str">
        <f>IF(AND(_A6="A-320",'2025'!$H$4="FO",'2025'!$H$2=CP157),'2025DATA'!$I$30,"")</f>
        <v/>
      </c>
      <c r="CQ185" s="518" t="str">
        <f>IF(AND(_A6="A-320",'2025'!$H$4="FO",'2025'!$H$2=CQ157),'2025DATA'!$J$30,"")</f>
        <v/>
      </c>
      <c r="CR185" s="518" t="str">
        <f>IF(AND(_A6="A-320",'2025'!$H$4="FO",'2025'!$H$2=CR157),'2025DATA'!$K$30,"")</f>
        <v/>
      </c>
      <c r="CS185" s="518" t="str">
        <f>IF(AND(_A6="A-320",'2025'!$H$4="FO",'2025'!$H$2=CS157),'2025DATA'!$L$30,"")</f>
        <v/>
      </c>
      <c r="CT185" s="518" t="str">
        <f>IF(AND(_A6="A-320",'2025'!$H$4="FO",'2025'!$H$2=CT157),'2025DATA'!$M$30,"")</f>
        <v/>
      </c>
      <c r="CU185" s="520" t="str">
        <f>IF(AND(_A6="A-320",'2025'!$H$4="FO",'2025'!$H$2=CU157),'2025DATA'!$N$30,"")</f>
        <v/>
      </c>
    </row>
    <row r="186" spans="16:99" x14ac:dyDescent="0.25">
      <c r="P186" s="940" t="s">
        <v>71</v>
      </c>
      <c r="Q186" s="13" t="s">
        <v>61</v>
      </c>
      <c r="R186" s="518" t="str">
        <f>IF(AND(_A1="A-319",'2025'!$H$4="CA",'2025'!$H$2=R157),'2025DATA'!$C$31,"")</f>
        <v/>
      </c>
      <c r="S186" s="518" t="str">
        <f>IF(AND(_A1="A-319",'2025'!$H$4="CA",'2025'!$H$2=S157),'2025DATA'!$D$31,"")</f>
        <v/>
      </c>
      <c r="T186" s="518" t="str">
        <f>IF(AND(_A1="A-319",'2025'!$H$4="CA",'2025'!$H$2=T157),'2025DATA'!$E$31,"")</f>
        <v/>
      </c>
      <c r="U186" s="518" t="str">
        <f>IF(AND(_A1="A-319",'2025'!$H$4="CA",'2025'!$H$2=U157),'2025DATA'!$F$31,"")</f>
        <v/>
      </c>
      <c r="V186" s="518" t="str">
        <f>IF(AND(_A1="A-319",'2025'!$H$4="CA",'2025'!$H$2=V157),'2025DATA'!$G$31,"")</f>
        <v/>
      </c>
      <c r="W186" s="518" t="str">
        <f>IF(AND(_A1="A-319",'2025'!$H$4="CA",'2025'!$H$2=W157),'2025DATA'!$H$31,"")</f>
        <v/>
      </c>
      <c r="X186" s="518" t="str">
        <f>IF(AND(_A1="A-319",'2025'!$H$4="CA",'2025'!$H$2=X157),'2025DATA'!$I$31,"")</f>
        <v/>
      </c>
      <c r="Y186" s="518" t="str">
        <f>IF(AND(_A1="A-319",'2025'!$H$4="CA",'2025'!$H$2=Y157),'2025DATA'!$J$31,"")</f>
        <v/>
      </c>
      <c r="Z186" s="518" t="str">
        <f>IF(AND(_A1="A-319",'2025'!$H$4="CA",'2025'!$H$2=Z157),'2025DATA'!$K$31,"")</f>
        <v/>
      </c>
      <c r="AA186" s="518" t="str">
        <f>IF(AND(_A1="A-319",'2025'!$H$4="CA",'2025'!$H$2=AA157),'2025DATA'!$L$31,"")</f>
        <v/>
      </c>
      <c r="AB186" s="518" t="str">
        <f>IF(AND(_A1="A-319",'2025'!$H$4="CA",'2025'!$H$2=AB157),'2025DATA'!$M$31,"")</f>
        <v/>
      </c>
      <c r="AC186" s="520" t="str">
        <f>IF(AND(_A1="A-319",'2025'!$H$4="CA",'2025'!$H$2=AC157),'2025DATA'!$N$31,"")</f>
        <v/>
      </c>
      <c r="AD186" s="940" t="s">
        <v>71</v>
      </c>
      <c r="AE186" s="13" t="s">
        <v>61</v>
      </c>
      <c r="AF186" s="518" t="str">
        <f>IF(AND(_A2="A-319",'2025'!$H$4="CA",'2025'!$H$2=AF157),'2025DATA'!$C$31,"")</f>
        <v/>
      </c>
      <c r="AG186" s="518" t="str">
        <f>IF(AND(_A2="A-319",'2025'!$H$4="CA",'2025'!$H$2=AG157),'2025DATA'!$D$31,"")</f>
        <v/>
      </c>
      <c r="AH186" s="518" t="str">
        <f>IF(AND(_A2="A-319",'2025'!$H$4="CA",'2025'!$H$2=AH157),'2025DATA'!$E$31,"")</f>
        <v/>
      </c>
      <c r="AI186" s="518" t="str">
        <f>IF(AND(_A2="A-319",'2025'!$H$4="CA",'2025'!$H$2=AI157),'2025DATA'!$F$31,"")</f>
        <v/>
      </c>
      <c r="AJ186" s="518" t="str">
        <f>IF(AND(_A2="A-319",'2025'!$H$4="CA",'2025'!$H$2=AJ157),'2025DATA'!$G$31,"")</f>
        <v/>
      </c>
      <c r="AK186" s="518" t="str">
        <f>IF(AND(_A2="A-319",'2025'!$H$4="CA",'2025'!$H$2=AK157),'2025DATA'!$H$31,"")</f>
        <v/>
      </c>
      <c r="AL186" s="518" t="str">
        <f>IF(AND(_A2="A-319",'2025'!$H$4="CA",'2025'!$H$2=AL157),'2025DATA'!$I$31,"")</f>
        <v/>
      </c>
      <c r="AM186" s="518" t="str">
        <f>IF(AND(_A2="A-319",'2025'!$H$4="CA",'2025'!$H$2=AM157),'2025DATA'!$J$31,"")</f>
        <v/>
      </c>
      <c r="AN186" s="518" t="str">
        <f>IF(AND(_A2="A-319",'2025'!$H$4="CA",'2025'!$H$2=AN157),'2025DATA'!$K$31,"")</f>
        <v/>
      </c>
      <c r="AO186" s="518" t="str">
        <f>IF(AND(_A2="A-319",'2025'!$H$4="CA",'2025'!$H$2=AO157),'2025DATA'!$L$31,"")</f>
        <v/>
      </c>
      <c r="AP186" s="518" t="str">
        <f>IF(AND(_A2="A-319",'2025'!$H$4="CA",'2025'!$H$2=AP157),'2025DATA'!$M$31,"")</f>
        <v/>
      </c>
      <c r="AQ186" s="520" t="str">
        <f>IF(AND(_A2="A-319",'2025'!$H$4="CA",'2025'!$H$2=AQ157),'2025DATA'!$N$31,"")</f>
        <v/>
      </c>
      <c r="AR186" s="940" t="s">
        <v>71</v>
      </c>
      <c r="AS186" s="13" t="s">
        <v>61</v>
      </c>
      <c r="AT186" s="518" t="str">
        <f>IF(AND(_A3="A-319",'2025'!$H$4="CA",'2025'!$H$2=AT157),'2025DATA'!$C$31,"")</f>
        <v/>
      </c>
      <c r="AU186" s="518" t="str">
        <f>IF(AND(_A3="A-319",'2025'!$H$4="CA",'2025'!$H$2=AU157),'2025DATA'!$D$31,"")</f>
        <v/>
      </c>
      <c r="AV186" s="518" t="str">
        <f>IF(AND(_A3="A-319",'2025'!$H$4="CA",'2025'!$H$2=AV157),'2025DATA'!$E$31,"")</f>
        <v/>
      </c>
      <c r="AW186" s="518" t="str">
        <f>IF(AND(_A3="A-319",'2025'!$H$4="CA",'2025'!$H$2=AW157),'2025DATA'!$F$31,"")</f>
        <v/>
      </c>
      <c r="AX186" s="518" t="str">
        <f>IF(AND(_A3="A-319",'2025'!$H$4="CA",'2025'!$H$2=AX157),'2025DATA'!$G$31,"")</f>
        <v/>
      </c>
      <c r="AY186" s="518" t="str">
        <f>IF(AND(_A3="A-319",'2025'!$H$4="CA",'2025'!$H$2=AY157),'2025DATA'!$H$31,"")</f>
        <v/>
      </c>
      <c r="AZ186" s="518" t="str">
        <f>IF(AND(_A3="A-319",'2025'!$H$4="CA",'2025'!$H$2=AZ157),'2025DATA'!$I$31,"")</f>
        <v/>
      </c>
      <c r="BA186" s="518" t="str">
        <f>IF(AND(_A3="A-319",'2025'!$H$4="CA",'2025'!$H$2=BA157),'2025DATA'!$J$31,"")</f>
        <v/>
      </c>
      <c r="BB186" s="518" t="str">
        <f>IF(AND(_A3="A-319",'2025'!$H$4="CA",'2025'!$H$2=BB157),'2025DATA'!$K$31,"")</f>
        <v/>
      </c>
      <c r="BC186" s="518" t="str">
        <f>IF(AND(_A3="A-319",'2025'!$H$4="CA",'2025'!$H$2=BC157),'2025DATA'!$L$31,"")</f>
        <v/>
      </c>
      <c r="BD186" s="518" t="str">
        <f>IF(AND(_A3="A-319",'2025'!$H$4="CA",'2025'!$H$2=BD157),'2025DATA'!$M$31,"")</f>
        <v/>
      </c>
      <c r="BE186" s="520" t="str">
        <f>IF(AND(_A3="A-319",'2025'!$H$4="CA",'2025'!$H$2=BE157),'2025DATA'!$N$31,"")</f>
        <v/>
      </c>
      <c r="BF186" s="940" t="s">
        <v>71</v>
      </c>
      <c r="BG186" s="13" t="s">
        <v>61</v>
      </c>
      <c r="BH186" s="518" t="str">
        <f>IF(AND(_A4="A-319",'2025'!$H$4="CA",'2025'!$H$2=BH157),'2025DATA'!$C$31,"")</f>
        <v/>
      </c>
      <c r="BI186" s="518" t="str">
        <f>IF(AND(_A4="A-319",'2025'!$H$4="CA",'2025'!$H$2=BI157),'2025DATA'!$D$31,"")</f>
        <v/>
      </c>
      <c r="BJ186" s="518" t="str">
        <f>IF(AND(_A4="A-319",'2025'!$H$4="CA",'2025'!$H$2=BJ157),'2025DATA'!$E$31,"")</f>
        <v/>
      </c>
      <c r="BK186" s="518" t="str">
        <f>IF(AND(_A4="A-319",'2025'!$H$4="CA",'2025'!$H$2=BK157),'2025DATA'!$F$31,"")</f>
        <v/>
      </c>
      <c r="BL186" s="518" t="str">
        <f>IF(AND(_A4="A-319",'2025'!$H$4="CA",'2025'!$H$2=BL157),'2025DATA'!$G$31,"")</f>
        <v/>
      </c>
      <c r="BM186" s="518" t="str">
        <f>IF(AND(_A4="A-319",'2025'!$H$4="CA",'2025'!$H$2=BM157),'2025DATA'!$H$31,"")</f>
        <v/>
      </c>
      <c r="BN186" s="518" t="str">
        <f>IF(AND(_A4="A-319",'2025'!$H$4="CA",'2025'!$H$2=BN157),'2025DATA'!$I$31,"")</f>
        <v/>
      </c>
      <c r="BO186" s="518" t="str">
        <f>IF(AND(_A4="A-319",'2025'!$H$4="CA",'2025'!$H$2=BO157),'2025DATA'!$J$31,"")</f>
        <v/>
      </c>
      <c r="BP186" s="518" t="str">
        <f>IF(AND(_A4="A-319",'2025'!$H$4="CA",'2025'!$H$2=BP157),'2025DATA'!$K$31,"")</f>
        <v/>
      </c>
      <c r="BQ186" s="518" t="str">
        <f>IF(AND(_A4="A-319",'2025'!$H$4="CA",'2025'!$H$2=BQ157),'2025DATA'!$L$31,"")</f>
        <v/>
      </c>
      <c r="BR186" s="518" t="str">
        <f>IF(AND(_A4="A-319",'2025'!$H$4="CA",'2025'!$H$2=BR157),'2025DATA'!$M$31,"")</f>
        <v/>
      </c>
      <c r="BS186" s="520" t="str">
        <f>IF(AND(_A4="A-319",'2025'!$H$4="CA",'2025'!$H$2=BS157),'2025DATA'!$N$31,"")</f>
        <v/>
      </c>
      <c r="BT186" s="940" t="s">
        <v>71</v>
      </c>
      <c r="BU186" s="13" t="s">
        <v>61</v>
      </c>
      <c r="BV186" s="518" t="str">
        <f>IF(AND(_A5="A-319",'2025'!$H$4="CA",'2025'!$H$2=BV157),'2025DATA'!$C$31,"")</f>
        <v/>
      </c>
      <c r="BW186" s="518" t="str">
        <f>IF(AND(_A5="A-319",'2025'!$H$4="CA",'2025'!$H$2=BW157),'2025DATA'!$D$31,"")</f>
        <v/>
      </c>
      <c r="BX186" s="518" t="str">
        <f>IF(AND(_A5="A-319",'2025'!$H$4="CA",'2025'!$H$2=BX157),'2025DATA'!$E$31,"")</f>
        <v/>
      </c>
      <c r="BY186" s="518" t="str">
        <f>IF(AND(_A5="A-319",'2025'!$H$4="CA",'2025'!$H$2=BY157),'2025DATA'!$F$31,"")</f>
        <v/>
      </c>
      <c r="BZ186" s="518" t="str">
        <f>IF(AND(_A5="A-319",'2025'!$H$4="CA",'2025'!$H$2=BZ157),'2025DATA'!$G$31,"")</f>
        <v/>
      </c>
      <c r="CA186" s="518" t="str">
        <f>IF(AND(_A5="A-319",'2025'!$H$4="CA",'2025'!$H$2=CA157),'2025DATA'!$H$31,"")</f>
        <v/>
      </c>
      <c r="CB186" s="518" t="str">
        <f>IF(AND(_A5="A-319",'2025'!$H$4="CA",'2025'!$H$2=CB157),'2025DATA'!$I$31,"")</f>
        <v/>
      </c>
      <c r="CC186" s="518" t="str">
        <f>IF(AND(_A5="A-319",'2025'!$H$4="CA",'2025'!$H$2=CC157),'2025DATA'!$J$31,"")</f>
        <v/>
      </c>
      <c r="CD186" s="518" t="str">
        <f>IF(AND(_A5="A-319",'2025'!$H$4="CA",'2025'!$H$2=CD157),'2025DATA'!$K$31,"")</f>
        <v/>
      </c>
      <c r="CE186" s="518" t="str">
        <f>IF(AND(_A5="A-319",'2025'!$H$4="CA",'2025'!$H$2=CE157),'2025DATA'!$L$31,"")</f>
        <v/>
      </c>
      <c r="CF186" s="518" t="str">
        <f>IF(AND(_A5="A-319",'2025'!$H$4="CA",'2025'!$H$2=CF157),'2025DATA'!$M$31,"")</f>
        <v/>
      </c>
      <c r="CG186" s="520" t="str">
        <f>IF(AND(_A5="A-319",'2025'!$H$4="CA",'2025'!$H$2=CG157),'2025DATA'!$N$31,"")</f>
        <v/>
      </c>
      <c r="CH186" s="940" t="s">
        <v>71</v>
      </c>
      <c r="CI186" s="13" t="s">
        <v>61</v>
      </c>
      <c r="CJ186" s="518" t="str">
        <f>IF(AND(_A6="A-319",'2025'!$H$4="CA",'2025'!$H$2=CJ157),'2025DATA'!$C$31,"")</f>
        <v/>
      </c>
      <c r="CK186" s="518" t="str">
        <f>IF(AND(_A6="A-319",'2025'!$H$4="CA",'2025'!$H$2=CK157),'2025DATA'!$D$31,"")</f>
        <v/>
      </c>
      <c r="CL186" s="518" t="str">
        <f>IF(AND(_A6="A-319",'2025'!$H$4="CA",'2025'!$H$2=CL157),'2025DATA'!$E$31,"")</f>
        <v/>
      </c>
      <c r="CM186" s="518" t="str">
        <f>IF(AND(_A6="A-319",'2025'!$H$4="CA",'2025'!$H$2=CM157),'2025DATA'!$F$31,"")</f>
        <v/>
      </c>
      <c r="CN186" s="518" t="str">
        <f>IF(AND(_A6="A-319",'2025'!$H$4="CA",'2025'!$H$2=CN157),'2025DATA'!$G$31,"")</f>
        <v/>
      </c>
      <c r="CO186" s="518" t="str">
        <f>IF(AND(_A6="A-319",'2025'!$H$4="CA",'2025'!$H$2=CO157),'2025DATA'!$H$31,"")</f>
        <v/>
      </c>
      <c r="CP186" s="518" t="str">
        <f>IF(AND(_A6="A-319",'2025'!$H$4="CA",'2025'!$H$2=CP157),'2025DATA'!$I$31,"")</f>
        <v/>
      </c>
      <c r="CQ186" s="518" t="str">
        <f>IF(AND(_A6="A-319",'2025'!$H$4="CA",'2025'!$H$2=CQ157),'2025DATA'!$J$31,"")</f>
        <v/>
      </c>
      <c r="CR186" s="518" t="str">
        <f>IF(AND(_A6="A-319",'2025'!$H$4="CA",'2025'!$H$2=CR157),'2025DATA'!$K$31,"")</f>
        <v/>
      </c>
      <c r="CS186" s="518" t="str">
        <f>IF(AND(_A6="A-319",'2025'!$H$4="CA",'2025'!$H$2=CS157),'2025DATA'!$L$31,"")</f>
        <v/>
      </c>
      <c r="CT186" s="518" t="str">
        <f>IF(AND(_A6="A-319",'2025'!$H$4="CA",'2025'!$H$2=CT157),'2025DATA'!$M$31,"")</f>
        <v/>
      </c>
      <c r="CU186" s="520" t="str">
        <f>IF(AND(_A6="A-319",'2025'!$H$4="CA",'2025'!$H$2=CU157),'2025DATA'!$N$31,"")</f>
        <v/>
      </c>
    </row>
    <row r="187" spans="16:99" x14ac:dyDescent="0.25">
      <c r="P187" s="940"/>
      <c r="Q187" s="13" t="s">
        <v>62</v>
      </c>
      <c r="R187" s="518" t="str">
        <f>IF(AND(_A1="A-319",'2025'!$H$4="FO",'2025'!$H$2=R157),'2025DATA'!$C$32,"")</f>
        <v/>
      </c>
      <c r="S187" s="518" t="str">
        <f>IF(AND(_A1="A-319",'2025'!$H$4="FO",'2025'!$H$2=S157),'2025DATA'!$D$32,"")</f>
        <v/>
      </c>
      <c r="T187" s="518" t="str">
        <f>IF(AND(_A1="A-319",'2025'!$H$4="FO",'2025'!$H$2=T157),'2025DATA'!$E$32,"")</f>
        <v/>
      </c>
      <c r="U187" s="518" t="str">
        <f>IF(AND(_A1="A-319",'2025'!$H$4="FO",'2025'!$H$2=U157),'2025DATA'!$F$32,"")</f>
        <v/>
      </c>
      <c r="V187" s="518" t="str">
        <f>IF(AND(_A1="A-319",'2025'!$H$4="FO",'2025'!$H$2=V157),'2025DATA'!$G$32,"")</f>
        <v/>
      </c>
      <c r="W187" s="518" t="str">
        <f>IF(AND(_A1="A-319",'2025'!$H$4="FO",'2025'!$H$2=W157),'2025DATA'!$H$32,"")</f>
        <v/>
      </c>
      <c r="X187" s="518" t="str">
        <f>IF(AND(_A1="A-319",'2025'!$H$4="FO",'2025'!$H$2=X157),'2025DATA'!$I$32,"")</f>
        <v/>
      </c>
      <c r="Y187" s="518" t="str">
        <f>IF(AND(_A1="A-319",'2025'!$H$4="FO",'2025'!$H$2=Y157),'2025DATA'!$J$32,"")</f>
        <v/>
      </c>
      <c r="Z187" s="518" t="str">
        <f>IF(AND(_A1="A-319",'2025'!$H$4="FO",'2025'!$H$2=Z157),'2025DATA'!$K$32,"")</f>
        <v/>
      </c>
      <c r="AA187" s="518" t="str">
        <f>IF(AND(_A1="A-319",'2025'!$H$4="FO",'2025'!$H$2=AA157),'2025DATA'!$L$32,"")</f>
        <v/>
      </c>
      <c r="AB187" s="518" t="str">
        <f>IF(AND(_A1="A-319",'2025'!$H$4="FO",'2025'!$H$2=AB157),'2025DATA'!$M$32,"")</f>
        <v/>
      </c>
      <c r="AC187" s="520" t="str">
        <f>IF(AND(_A1="A-319",'2025'!$H$4="FO",'2025'!$H$2=AC157),'2025DATA'!$N$32,"")</f>
        <v/>
      </c>
      <c r="AD187" s="940"/>
      <c r="AE187" s="13" t="s">
        <v>62</v>
      </c>
      <c r="AF187" s="518" t="str">
        <f>IF(AND(_A2="A-319",'2025'!$H$4="FO",'2025'!$H$2=AF157),'2025DATA'!$C$32,"")</f>
        <v/>
      </c>
      <c r="AG187" s="518" t="str">
        <f>IF(AND(_A2="A-319",'2025'!$H$4="FO",'2025'!$H$2=AG157),'2025DATA'!$D$32,"")</f>
        <v/>
      </c>
      <c r="AH187" s="518" t="str">
        <f>IF(AND(_A2="A-319",'2025'!$H$4="FO",'2025'!$H$2=AH157),'2025DATA'!$E$32,"")</f>
        <v/>
      </c>
      <c r="AI187" s="518" t="str">
        <f>IF(AND(_A2="A-319",'2025'!$H$4="FO",'2025'!$H$2=AI157),'2025DATA'!$F$32,"")</f>
        <v/>
      </c>
      <c r="AJ187" s="518" t="str">
        <f>IF(AND(_A2="A-319",'2025'!$H$4="FO",'2025'!$H$2=AJ157),'2025DATA'!$G$32,"")</f>
        <v/>
      </c>
      <c r="AK187" s="518" t="str">
        <f>IF(AND(_A2="A-319",'2025'!$H$4="FO",'2025'!$H$2=AK157),'2025DATA'!$H$32,"")</f>
        <v/>
      </c>
      <c r="AL187" s="518" t="str">
        <f>IF(AND(_A2="A-319",'2025'!$H$4="FO",'2025'!$H$2=AL157),'2025DATA'!$I$32,"")</f>
        <v/>
      </c>
      <c r="AM187" s="518" t="str">
        <f>IF(AND(_A2="A-319",'2025'!$H$4="FO",'2025'!$H$2=AM157),'2025DATA'!$J$32,"")</f>
        <v/>
      </c>
      <c r="AN187" s="518" t="str">
        <f>IF(AND(_A2="A-319",'2025'!$H$4="FO",'2025'!$H$2=AN157),'2025DATA'!$K$32,"")</f>
        <v/>
      </c>
      <c r="AO187" s="518" t="str">
        <f>IF(AND(_A2="A-319",'2025'!$H$4="FO",'2025'!$H$2=AO157),'2025DATA'!$L$32,"")</f>
        <v/>
      </c>
      <c r="AP187" s="518" t="str">
        <f>IF(AND(_A2="A-319",'2025'!$H$4="FO",'2025'!$H$2=AP157),'2025DATA'!$M$32,"")</f>
        <v/>
      </c>
      <c r="AQ187" s="520" t="str">
        <f>IF(AND(_A2="A-319",'2025'!$H$4="FO",'2025'!$H$2=AQ157),'2025DATA'!$N$32,"")</f>
        <v/>
      </c>
      <c r="AR187" s="940"/>
      <c r="AS187" s="13" t="s">
        <v>62</v>
      </c>
      <c r="AT187" s="518" t="str">
        <f>IF(AND(_A3="A-319",'2025'!$H$4="FO",'2025'!$H$2=AT157),'2025DATA'!$C$32,"")</f>
        <v/>
      </c>
      <c r="AU187" s="518" t="str">
        <f>IF(AND(_A3="A-319",'2025'!$H$4="FO",'2025'!$H$2=AU157),'2025DATA'!$D$32,"")</f>
        <v/>
      </c>
      <c r="AV187" s="518" t="str">
        <f>IF(AND(_A3="A-319",'2025'!$H$4="FO",'2025'!$H$2=AV157),'2025DATA'!$E$32,"")</f>
        <v/>
      </c>
      <c r="AW187" s="518" t="str">
        <f>IF(AND(_A3="A-319",'2025'!$H$4="FO",'2025'!$H$2=AW157),'2025DATA'!$F$32,"")</f>
        <v/>
      </c>
      <c r="AX187" s="518" t="str">
        <f>IF(AND(_A3="A-319",'2025'!$H$4="FO",'2025'!$H$2=AX157),'2025DATA'!$G$32,"")</f>
        <v/>
      </c>
      <c r="AY187" s="518" t="str">
        <f>IF(AND(_A3="A-319",'2025'!$H$4="FO",'2025'!$H$2=AY157),'2025DATA'!$H$32,"")</f>
        <v/>
      </c>
      <c r="AZ187" s="518" t="str">
        <f>IF(AND(_A3="A-319",'2025'!$H$4="FO",'2025'!$H$2=AZ157),'2025DATA'!$I$32,"")</f>
        <v/>
      </c>
      <c r="BA187" s="518" t="str">
        <f>IF(AND(_A3="A-319",'2025'!$H$4="FO",'2025'!$H$2=BA157),'2025DATA'!$J$32,"")</f>
        <v/>
      </c>
      <c r="BB187" s="518" t="str">
        <f>IF(AND(_A3="A-319",'2025'!$H$4="FO",'2025'!$H$2=BB157),'2025DATA'!$K$32,"")</f>
        <v/>
      </c>
      <c r="BC187" s="518" t="str">
        <f>IF(AND(_A3="A-319",'2025'!$H$4="FO",'2025'!$H$2=BC157),'2025DATA'!$L$32,"")</f>
        <v/>
      </c>
      <c r="BD187" s="518" t="str">
        <f>IF(AND(_A3="A-319",'2025'!$H$4="FO",'2025'!$H$2=BD157),'2025DATA'!$M$32,"")</f>
        <v/>
      </c>
      <c r="BE187" s="520" t="str">
        <f>IF(AND(_A3="A-319",'2025'!$H$4="FO",'2025'!$H$2=BE157),'2025DATA'!$N$32,"")</f>
        <v/>
      </c>
      <c r="BF187" s="940"/>
      <c r="BG187" s="13" t="s">
        <v>62</v>
      </c>
      <c r="BH187" s="518" t="str">
        <f>IF(AND(_A4="A-319",'2025'!$H$4="FO",'2025'!$H$2=BH157),'2025DATA'!$C$32,"")</f>
        <v/>
      </c>
      <c r="BI187" s="518" t="str">
        <f>IF(AND(_A4="A-319",'2025'!$H$4="FO",'2025'!$H$2=BI157),'2025DATA'!$D$32,"")</f>
        <v/>
      </c>
      <c r="BJ187" s="518" t="str">
        <f>IF(AND(_A4="A-319",'2025'!$H$4="FO",'2025'!$H$2=BJ157),'2025DATA'!$E$32,"")</f>
        <v/>
      </c>
      <c r="BK187" s="518" t="str">
        <f>IF(AND(_A4="A-319",'2025'!$H$4="FO",'2025'!$H$2=BK157),'2025DATA'!$F$32,"")</f>
        <v/>
      </c>
      <c r="BL187" s="518" t="str">
        <f>IF(AND(_A4="A-319",'2025'!$H$4="FO",'2025'!$H$2=BL157),'2025DATA'!$G$32,"")</f>
        <v/>
      </c>
      <c r="BM187" s="518" t="str">
        <f>IF(AND(_A4="A-319",'2025'!$H$4="FO",'2025'!$H$2=BM157),'2025DATA'!$H$32,"")</f>
        <v/>
      </c>
      <c r="BN187" s="518" t="str">
        <f>IF(AND(_A4="A-319",'2025'!$H$4="FO",'2025'!$H$2=BN157),'2025DATA'!$I$32,"")</f>
        <v/>
      </c>
      <c r="BO187" s="518" t="str">
        <f>IF(AND(_A4="A-319",'2025'!$H$4="FO",'2025'!$H$2=BO157),'2025DATA'!$J$32,"")</f>
        <v/>
      </c>
      <c r="BP187" s="518" t="str">
        <f>IF(AND(_A4="A-319",'2025'!$H$4="FO",'2025'!$H$2=BP157),'2025DATA'!$K$32,"")</f>
        <v/>
      </c>
      <c r="BQ187" s="518" t="str">
        <f>IF(AND(_A4="A-319",'2025'!$H$4="FO",'2025'!$H$2=BQ157),'2025DATA'!$L$32,"")</f>
        <v/>
      </c>
      <c r="BR187" s="518" t="str">
        <f>IF(AND(_A4="A-319",'2025'!$H$4="FO",'2025'!$H$2=BR157),'2025DATA'!$M$32,"")</f>
        <v/>
      </c>
      <c r="BS187" s="520" t="str">
        <f>IF(AND(_A4="A-319",'2025'!$H$4="FO",'2025'!$H$2=BS157),'2025DATA'!$N$32,"")</f>
        <v/>
      </c>
      <c r="BT187" s="940"/>
      <c r="BU187" s="13" t="s">
        <v>62</v>
      </c>
      <c r="BV187" s="518" t="str">
        <f>IF(AND(_A5="A-319",'2025'!$H$4="FO",'2025'!$H$2=BV157),'2025DATA'!$C$32,"")</f>
        <v/>
      </c>
      <c r="BW187" s="518" t="str">
        <f>IF(AND(_A5="A-319",'2025'!$H$4="FO",'2025'!$H$2=BW157),'2025DATA'!$D$32,"")</f>
        <v/>
      </c>
      <c r="BX187" s="518" t="str">
        <f>IF(AND(_A5="A-319",'2025'!$H$4="FO",'2025'!$H$2=BX157),'2025DATA'!$E$32,"")</f>
        <v/>
      </c>
      <c r="BY187" s="518" t="str">
        <f>IF(AND(_A5="A-319",'2025'!$H$4="FO",'2025'!$H$2=BY157),'2025DATA'!$F$32,"")</f>
        <v/>
      </c>
      <c r="BZ187" s="518" t="str">
        <f>IF(AND(_A5="A-319",'2025'!$H$4="FO",'2025'!$H$2=BZ157),'2025DATA'!$G$32,"")</f>
        <v/>
      </c>
      <c r="CA187" s="518" t="str">
        <f>IF(AND(_A5="A-319",'2025'!$H$4="FO",'2025'!$H$2=CA157),'2025DATA'!$H$32,"")</f>
        <v/>
      </c>
      <c r="CB187" s="518" t="str">
        <f>IF(AND(_A5="A-319",'2025'!$H$4="FO",'2025'!$H$2=CB157),'2025DATA'!$I$32,"")</f>
        <v/>
      </c>
      <c r="CC187" s="518" t="str">
        <f>IF(AND(_A5="A-319",'2025'!$H$4="FO",'2025'!$H$2=CC157),'2025DATA'!$J$32,"")</f>
        <v/>
      </c>
      <c r="CD187" s="518" t="str">
        <f>IF(AND(_A5="A-319",'2025'!$H$4="FO",'2025'!$H$2=CD157),'2025DATA'!$K$32,"")</f>
        <v/>
      </c>
      <c r="CE187" s="518" t="str">
        <f>IF(AND(_A5="A-319",'2025'!$H$4="FO",'2025'!$H$2=CE157),'2025DATA'!$L$32,"")</f>
        <v/>
      </c>
      <c r="CF187" s="518" t="str">
        <f>IF(AND(_A5="A-319",'2025'!$H$4="FO",'2025'!$H$2=CF157),'2025DATA'!$M$32,"")</f>
        <v/>
      </c>
      <c r="CG187" s="520" t="str">
        <f>IF(AND(_A5="A-319",'2025'!$H$4="FO",'2025'!$H$2=CG157),'2025DATA'!$N$32,"")</f>
        <v/>
      </c>
      <c r="CH187" s="940"/>
      <c r="CI187" s="13" t="s">
        <v>62</v>
      </c>
      <c r="CJ187" s="518" t="str">
        <f>IF(AND(_A6="A-319",'2025'!$H$4="FO",'2025'!$H$2=CJ157),'2025DATA'!$C$32,"")</f>
        <v/>
      </c>
      <c r="CK187" s="518" t="str">
        <f>IF(AND(_A6="A-319",'2025'!$H$4="FO",'2025'!$H$2=CK157),'2025DATA'!$D$32,"")</f>
        <v/>
      </c>
      <c r="CL187" s="518" t="str">
        <f>IF(AND(_A6="A-319",'2025'!$H$4="FO",'2025'!$H$2=CL157),'2025DATA'!$E$32,"")</f>
        <v/>
      </c>
      <c r="CM187" s="518" t="str">
        <f>IF(AND(_A6="A-319",'2025'!$H$4="FO",'2025'!$H$2=CM157),'2025DATA'!$F$32,"")</f>
        <v/>
      </c>
      <c r="CN187" s="518" t="str">
        <f>IF(AND(_A6="A-319",'2025'!$H$4="FO",'2025'!$H$2=CN157),'2025DATA'!$G$32,"")</f>
        <v/>
      </c>
      <c r="CO187" s="518" t="str">
        <f>IF(AND(_A6="A-319",'2025'!$H$4="FO",'2025'!$H$2=CO157),'2025DATA'!$H$32,"")</f>
        <v/>
      </c>
      <c r="CP187" s="518" t="str">
        <f>IF(AND(_A6="A-319",'2025'!$H$4="FO",'2025'!$H$2=CP157),'2025DATA'!$I$32,"")</f>
        <v/>
      </c>
      <c r="CQ187" s="518" t="str">
        <f>IF(AND(_A6="A-319",'2025'!$H$4="FO",'2025'!$H$2=CQ157),'2025DATA'!$J$32,"")</f>
        <v/>
      </c>
      <c r="CR187" s="518" t="str">
        <f>IF(AND(_A6="A-319",'2025'!$H$4="FO",'2025'!$H$2=CR157),'2025DATA'!$K$32,"")</f>
        <v/>
      </c>
      <c r="CS187" s="518" t="str">
        <f>IF(AND(_A6="A-319",'2025'!$H$4="FO",'2025'!$H$2=CS157),'2025DATA'!$L$32,"")</f>
        <v/>
      </c>
      <c r="CT187" s="518" t="str">
        <f>IF(AND(_A6="A-319",'2025'!$H$4="FO",'2025'!$H$2=CT157),'2025DATA'!$M$32,"")</f>
        <v/>
      </c>
      <c r="CU187" s="520" t="str">
        <f>IF(AND(_A6="A-319",'2025'!$H$4="FO",'2025'!$H$2=CU157),'2025DATA'!$N$32,"")</f>
        <v/>
      </c>
    </row>
    <row r="188" spans="16:99" x14ac:dyDescent="0.25">
      <c r="P188" s="940" t="s">
        <v>51</v>
      </c>
      <c r="Q188" s="13" t="s">
        <v>61</v>
      </c>
      <c r="R188" s="518" t="str">
        <f>IF(AND(_A1="A-220-300",'2025'!$H$4="CA",'2025'!$H$2=R157),'2025DATA'!$C$33,"")</f>
        <v/>
      </c>
      <c r="S188" s="518" t="str">
        <f>IF(AND(_A1="A-220-300",'2025'!$H$4="CA",'2025'!$H$2=S157),'2025DATA'!$D$33,"")</f>
        <v/>
      </c>
      <c r="T188" s="518" t="str">
        <f>IF(AND(_A1="A-220-300",'2025'!$H$4="CA",'2025'!$H$2=T157),'2025DATA'!$E$33,"")</f>
        <v/>
      </c>
      <c r="U188" s="518" t="str">
        <f>IF(AND(_A1="A-220-300",'2025'!$H$4="CA",'2025'!$H$2=U157),'2025DATA'!$F$33,"")</f>
        <v/>
      </c>
      <c r="V188" s="518" t="str">
        <f>IF(AND(_A1="A-220-300",'2025'!$H$4="CA",'2025'!$H$2=V157),'2025DATA'!$G$33,"")</f>
        <v/>
      </c>
      <c r="W188" s="518" t="str">
        <f>IF(AND(_A1="A-220-300",'2025'!$H$4="CA",'2025'!$H$2=W157),'2025DATA'!$H$33,"")</f>
        <v/>
      </c>
      <c r="X188" s="518" t="str">
        <f>IF(AND(_A1="A-220-300",'2025'!$H$4="CA",'2025'!$H$2=X157),'2025DATA'!$I$33,"")</f>
        <v/>
      </c>
      <c r="Y188" s="518" t="str">
        <f>IF(AND(_A1="A-220-300",'2025'!$H$4="CA",'2025'!$H$2=Y157),'2025DATA'!$J$33,"")</f>
        <v/>
      </c>
      <c r="Z188" s="518" t="str">
        <f>IF(AND(_A1="A-220-300",'2025'!$H$4="CA",'2025'!$H$2=Z157),'2025DATA'!$K$33,"")</f>
        <v/>
      </c>
      <c r="AA188" s="518" t="str">
        <f>IF(AND(_A1="A-220-300",'2025'!$H$4="CA",'2025'!$H$2=AA157),'2025DATA'!$L$33,"")</f>
        <v/>
      </c>
      <c r="AB188" s="518" t="str">
        <f>IF(AND(_A1="A-220-300",'2025'!$H$4="CA",'2025'!$H$2=AB157),'2025DATA'!$M$33,"")</f>
        <v/>
      </c>
      <c r="AC188" s="520" t="str">
        <f>IF(AND(_A1="A-220-300",'2025'!$H$4="CA",'2025'!$H$2=AC157),'2025DATA'!$N$33,"")</f>
        <v/>
      </c>
      <c r="AD188" s="940" t="s">
        <v>51</v>
      </c>
      <c r="AE188" s="13" t="s">
        <v>61</v>
      </c>
      <c r="AF188" s="518" t="str">
        <f>IF(AND(_A2="A-220-300",'2025'!$H$4="CA",'2025'!$H$2=AF157),'2025DATA'!$C$33,"")</f>
        <v/>
      </c>
      <c r="AG188" s="518" t="str">
        <f>IF(AND(_A2="A-220-300",'2025'!$H$4="CA",'2025'!$H$2=AG157),'2025DATA'!$D$33,"")</f>
        <v/>
      </c>
      <c r="AH188" s="518" t="str">
        <f>IF(AND(_A2="A-220-300",'2025'!$H$4="CA",'2025'!$H$2=AH157),'2025DATA'!$E$33,"")</f>
        <v/>
      </c>
      <c r="AI188" s="518" t="str">
        <f>IF(AND(_A2="A-220-300",'2025'!$H$4="CA",'2025'!$H$2=AI157),'2025DATA'!$F$33,"")</f>
        <v/>
      </c>
      <c r="AJ188" s="518" t="str">
        <f>IF(AND(_A2="A-220-300",'2025'!$H$4="CA",'2025'!$H$2=AJ157),'2025DATA'!$G$33,"")</f>
        <v/>
      </c>
      <c r="AK188" s="518" t="str">
        <f>IF(AND(_A2="A-220-300",'2025'!$H$4="CA",'2025'!$H$2=AK157),'2025DATA'!$H$33,"")</f>
        <v/>
      </c>
      <c r="AL188" s="518" t="str">
        <f>IF(AND(_A2="A-220-300",'2025'!$H$4="CA",'2025'!$H$2=AL157),'2025DATA'!$I$33,"")</f>
        <v/>
      </c>
      <c r="AM188" s="518" t="str">
        <f>IF(AND(_A2="A-220-300",'2025'!$H$4="CA",'2025'!$H$2=AM157),'2025DATA'!$J$33,"")</f>
        <v/>
      </c>
      <c r="AN188" s="518" t="str">
        <f>IF(AND(_A2="A-220-300",'2025'!$H$4="CA",'2025'!$H$2=AN157),'2025DATA'!$K$33,"")</f>
        <v/>
      </c>
      <c r="AO188" s="518" t="str">
        <f>IF(AND(_A2="A-220-300",'2025'!$H$4="CA",'2025'!$H$2=AO157),'2025DATA'!$L$33,"")</f>
        <v/>
      </c>
      <c r="AP188" s="518" t="str">
        <f>IF(AND(_A2="A-220-300",'2025'!$H$4="CA",'2025'!$H$2=AP157),'2025DATA'!$M$33,"")</f>
        <v/>
      </c>
      <c r="AQ188" s="520" t="str">
        <f>IF(AND(_A2="A-220-300",'2025'!$H$4="CA",'2025'!$H$2=AQ157),'2025DATA'!$N$33,"")</f>
        <v/>
      </c>
      <c r="AR188" s="940" t="s">
        <v>51</v>
      </c>
      <c r="AS188" s="13" t="s">
        <v>61</v>
      </c>
      <c r="AT188" s="518" t="str">
        <f>IF(AND(_A3="A-220-300",'2025'!$H$4="CA",'2025'!$H$2=AT157),'2025DATA'!$C$33,"")</f>
        <v/>
      </c>
      <c r="AU188" s="518" t="str">
        <f>IF(AND(_A3="A-220-300",'2025'!$H$4="CA",'2025'!$H$2=AU157),'2025DATA'!$D$33,"")</f>
        <v/>
      </c>
      <c r="AV188" s="518" t="str">
        <f>IF(AND(_A3="A-220-300",'2025'!$H$4="CA",'2025'!$H$2=AV157),'2025DATA'!$E$33,"")</f>
        <v/>
      </c>
      <c r="AW188" s="518" t="str">
        <f>IF(AND(_A3="A-220-300",'2025'!$H$4="CA",'2025'!$H$2=AW157),'2025DATA'!$F$33,"")</f>
        <v/>
      </c>
      <c r="AX188" s="518" t="str">
        <f>IF(AND(_A3="A-220-300",'2025'!$H$4="CA",'2025'!$H$2=AX157),'2025DATA'!$G$33,"")</f>
        <v/>
      </c>
      <c r="AY188" s="518" t="str">
        <f>IF(AND(_A3="A-220-300",'2025'!$H$4="CA",'2025'!$H$2=AY157),'2025DATA'!$H$33,"")</f>
        <v/>
      </c>
      <c r="AZ188" s="518" t="str">
        <f>IF(AND(_A3="A-220-300",'2025'!$H$4="CA",'2025'!$H$2=AZ157),'2025DATA'!$I$33,"")</f>
        <v/>
      </c>
      <c r="BA188" s="518" t="str">
        <f>IF(AND(_A3="A-220-300",'2025'!$H$4="CA",'2025'!$H$2=BA157),'2025DATA'!$J$33,"")</f>
        <v/>
      </c>
      <c r="BB188" s="518" t="str">
        <f>IF(AND(_A3="A-220-300",'2025'!$H$4="CA",'2025'!$H$2=BB157),'2025DATA'!$K$33,"")</f>
        <v/>
      </c>
      <c r="BC188" s="518" t="str">
        <f>IF(AND(_A3="A-220-300",'2025'!$H$4="CA",'2025'!$H$2=BC157),'2025DATA'!$L$33,"")</f>
        <v/>
      </c>
      <c r="BD188" s="518" t="str">
        <f>IF(AND(_A3="A-220-300",'2025'!$H$4="CA",'2025'!$H$2=BD157),'2025DATA'!$M$33,"")</f>
        <v/>
      </c>
      <c r="BE188" s="520" t="str">
        <f>IF(AND(_A3="A-220-300",'2025'!$H$4="CA",'2025'!$H$2=BE157),'2025DATA'!$N$33,"")</f>
        <v/>
      </c>
      <c r="BF188" s="940" t="s">
        <v>51</v>
      </c>
      <c r="BG188" s="13" t="s">
        <v>61</v>
      </c>
      <c r="BH188" s="518" t="str">
        <f>IF(AND(_A4="A-220-300",'2025'!$H$4="CA",'2025'!$H$2=BH157),'2025DATA'!$C$33,"")</f>
        <v/>
      </c>
      <c r="BI188" s="518" t="str">
        <f>IF(AND(_A4="A-220-300",'2025'!$H$4="CA",'2025'!$H$2=BI157),'2025DATA'!$D$33,"")</f>
        <v/>
      </c>
      <c r="BJ188" s="518" t="str">
        <f>IF(AND(_A4="A-220-300",'2025'!$H$4="CA",'2025'!$H$2=BJ157),'2025DATA'!$E$33,"")</f>
        <v/>
      </c>
      <c r="BK188" s="518" t="str">
        <f>IF(AND(_A4="A-220-300",'2025'!$H$4="CA",'2025'!$H$2=BK157),'2025DATA'!$F$33,"")</f>
        <v/>
      </c>
      <c r="BL188" s="518" t="str">
        <f>IF(AND(_A4="A-220-300",'2025'!$H$4="CA",'2025'!$H$2=BL157),'2025DATA'!$G$33,"")</f>
        <v/>
      </c>
      <c r="BM188" s="518" t="str">
        <f>IF(AND(_A4="A-220-300",'2025'!$H$4="CA",'2025'!$H$2=BM157),'2025DATA'!$H$33,"")</f>
        <v/>
      </c>
      <c r="BN188" s="518" t="str">
        <f>IF(AND(_A4="A-220-300",'2025'!$H$4="CA",'2025'!$H$2=BN157),'2025DATA'!$I$33,"")</f>
        <v/>
      </c>
      <c r="BO188" s="518" t="str">
        <f>IF(AND(_A4="A-220-300",'2025'!$H$4="CA",'2025'!$H$2=BO157),'2025DATA'!$J$33,"")</f>
        <v/>
      </c>
      <c r="BP188" s="518" t="str">
        <f>IF(AND(_A4="A-220-300",'2025'!$H$4="CA",'2025'!$H$2=BP157),'2025DATA'!$K$33,"")</f>
        <v/>
      </c>
      <c r="BQ188" s="518" t="str">
        <f>IF(AND(_A4="A-220-300",'2025'!$H$4="CA",'2025'!$H$2=BQ157),'2025DATA'!$L$33,"")</f>
        <v/>
      </c>
      <c r="BR188" s="518" t="str">
        <f>IF(AND(_A4="A-220-300",'2025'!$H$4="CA",'2025'!$H$2=BR157),'2025DATA'!$M$33,"")</f>
        <v/>
      </c>
      <c r="BS188" s="520" t="str">
        <f>IF(AND(_A4="A-220-300",'2025'!$H$4="CA",'2025'!$H$2=BS157),'2025DATA'!$N$33,"")</f>
        <v/>
      </c>
      <c r="BT188" s="940" t="s">
        <v>51</v>
      </c>
      <c r="BU188" s="13" t="s">
        <v>61</v>
      </c>
      <c r="BV188" s="518" t="str">
        <f>IF(AND(_A5="A-220-300",'2025'!$H$4="CA",'2025'!$H$2=BV157),'2025DATA'!$C$33,"")</f>
        <v/>
      </c>
      <c r="BW188" s="518" t="str">
        <f>IF(AND(_A5="A-220-300",'2025'!$H$4="CA",'2025'!$H$2=BW157),'2025DATA'!$D$33,"")</f>
        <v/>
      </c>
      <c r="BX188" s="518" t="str">
        <f>IF(AND(_A5="A-220-300",'2025'!$H$4="CA",'2025'!$H$2=BX157),'2025DATA'!$E$33,"")</f>
        <v/>
      </c>
      <c r="BY188" s="518" t="str">
        <f>IF(AND(_A5="A-220-300",'2025'!$H$4="CA",'2025'!$H$2=BY157),'2025DATA'!$F$33,"")</f>
        <v/>
      </c>
      <c r="BZ188" s="518" t="str">
        <f>IF(AND(_A5="A-220-300",'2025'!$H$4="CA",'2025'!$H$2=BZ157),'2025DATA'!$G$33,"")</f>
        <v/>
      </c>
      <c r="CA188" s="518" t="str">
        <f>IF(AND(_A5="A-220-300",'2025'!$H$4="CA",'2025'!$H$2=CA157),'2025DATA'!$H$33,"")</f>
        <v/>
      </c>
      <c r="CB188" s="518" t="str">
        <f>IF(AND(_A5="A-220-300",'2025'!$H$4="CA",'2025'!$H$2=CB157),'2025DATA'!$I$33,"")</f>
        <v/>
      </c>
      <c r="CC188" s="518" t="str">
        <f>IF(AND(_A5="A-220-300",'2025'!$H$4="CA",'2025'!$H$2=CC157),'2025DATA'!$J$33,"")</f>
        <v/>
      </c>
      <c r="CD188" s="518" t="str">
        <f>IF(AND(_A5="A-220-300",'2025'!$H$4="CA",'2025'!$H$2=CD157),'2025DATA'!$K$33,"")</f>
        <v/>
      </c>
      <c r="CE188" s="518" t="str">
        <f>IF(AND(_A5="A-220-300",'2025'!$H$4="CA",'2025'!$H$2=CE157),'2025DATA'!$L$33,"")</f>
        <v/>
      </c>
      <c r="CF188" s="518" t="str">
        <f>IF(AND(_A5="A-220-300",'2025'!$H$4="CA",'2025'!$H$2=CF157),'2025DATA'!$M$33,"")</f>
        <v/>
      </c>
      <c r="CG188" s="520" t="str">
        <f>IF(AND(_A5="A-220-300",'2025'!$H$4="CA",'2025'!$H$2=CG157),'2025DATA'!$N$33,"")</f>
        <v/>
      </c>
      <c r="CH188" s="940" t="s">
        <v>51</v>
      </c>
      <c r="CI188" s="13" t="s">
        <v>61</v>
      </c>
      <c r="CJ188" s="518" t="str">
        <f>IF(AND(_A6="A-220-300",'2025'!$H$4="CA",'2025'!$H$2=CJ157),'2025DATA'!$C$33,"")</f>
        <v/>
      </c>
      <c r="CK188" s="518" t="str">
        <f>IF(AND(_A6="A-220-300",'2025'!$H$4="CA",'2025'!$H$2=CK157),'2025DATA'!$D$33,"")</f>
        <v/>
      </c>
      <c r="CL188" s="518" t="str">
        <f>IF(AND(_A6="A-220-300",'2025'!$H$4="CA",'2025'!$H$2=CL157),'2025DATA'!$E$33,"")</f>
        <v/>
      </c>
      <c r="CM188" s="518" t="str">
        <f>IF(AND(_A6="A-220-300",'2025'!$H$4="CA",'2025'!$H$2=CM157),'2025DATA'!$F$33,"")</f>
        <v/>
      </c>
      <c r="CN188" s="518" t="str">
        <f>IF(AND(_A6="A-220-300",'2025'!$H$4="CA",'2025'!$H$2=CN157),'2025DATA'!$G$33,"")</f>
        <v/>
      </c>
      <c r="CO188" s="518" t="str">
        <f>IF(AND(_A6="A-220-300",'2025'!$H$4="CA",'2025'!$H$2=CO157),'2025DATA'!$H$33,"")</f>
        <v/>
      </c>
      <c r="CP188" s="518" t="str">
        <f>IF(AND(_A6="A-220-300",'2025'!$H$4="CA",'2025'!$H$2=CP157),'2025DATA'!$I$33,"")</f>
        <v/>
      </c>
      <c r="CQ188" s="518" t="str">
        <f>IF(AND(_A6="A-220-300",'2025'!$H$4="CA",'2025'!$H$2=CQ157),'2025DATA'!$J$33,"")</f>
        <v/>
      </c>
      <c r="CR188" s="518" t="str">
        <f>IF(AND(_A6="A-220-300",'2025'!$H$4="CA",'2025'!$H$2=CR157),'2025DATA'!$K$33,"")</f>
        <v/>
      </c>
      <c r="CS188" s="518" t="str">
        <f>IF(AND(_A6="A-220-300",'2025'!$H$4="CA",'2025'!$H$2=CS157),'2025DATA'!$L$33,"")</f>
        <v/>
      </c>
      <c r="CT188" s="518" t="str">
        <f>IF(AND(_A6="A-220-300",'2025'!$H$4="CA",'2025'!$H$2=CT157),'2025DATA'!$M$33,"")</f>
        <v/>
      </c>
      <c r="CU188" s="520" t="str">
        <f>IF(AND(_A6="A-220-300",'2025'!$H$4="CA",'2025'!$H$2=CU157),'2025DATA'!$N$33,"")</f>
        <v/>
      </c>
    </row>
    <row r="189" spans="16:99" x14ac:dyDescent="0.25">
      <c r="P189" s="940"/>
      <c r="Q189" s="13" t="s">
        <v>62</v>
      </c>
      <c r="R189" s="518" t="str">
        <f>IF(AND(_A1="A-220-300",'2025'!$H$4="FO",'2025'!$H$2=R157),'2025DATA'!$C$34,"")</f>
        <v/>
      </c>
      <c r="S189" s="518" t="str">
        <f>IF(AND(_A1="A-220-300",'2025'!$H$4="FO",'2025'!$H$2=S157),'2025DATA'!$D$34,"")</f>
        <v/>
      </c>
      <c r="T189" s="518" t="str">
        <f>IF(AND(_A1="A-220-300",'2025'!$H$4="FO",'2025'!$H$2=T157),'2025DATA'!$E$34,"")</f>
        <v/>
      </c>
      <c r="U189" s="518" t="str">
        <f>IF(AND(_A1="A-220-300",'2025'!$H$4="FO",'2025'!$H$2=U157),'2025DATA'!$F$34,"")</f>
        <v/>
      </c>
      <c r="V189" s="518" t="str">
        <f>IF(AND(_A1="A-220-300",'2025'!$H$4="FO",'2025'!$H$2=V157),'2025DATA'!$G$34,"")</f>
        <v/>
      </c>
      <c r="W189" s="518" t="str">
        <f>IF(AND(_A1="A-220-300",'2025'!$H$4="FO",'2025'!$H$2=W157),'2025DATA'!$H$34,"")</f>
        <v/>
      </c>
      <c r="X189" s="518" t="str">
        <f>IF(AND(_A1="A-220-300",'2025'!$H$4="FO",'2025'!$H$2=X157),'2025DATA'!$I$34,"")</f>
        <v/>
      </c>
      <c r="Y189" s="518" t="str">
        <f>IF(AND(_A1="A-220-300",'2025'!$H$4="FO",'2025'!$H$2=Y157),'2025DATA'!$J$34,"")</f>
        <v/>
      </c>
      <c r="Z189" s="518" t="str">
        <f>IF(AND(_A1="A-220-300",'2025'!$H$4="FO",'2025'!$H$2=Z157),'2025DATA'!$K$34,"")</f>
        <v/>
      </c>
      <c r="AA189" s="518" t="str">
        <f>IF(AND(_A1="A-220-300",'2025'!$H$4="FO",'2025'!$H$2=AA157),'2025DATA'!$L$34,"")</f>
        <v/>
      </c>
      <c r="AB189" s="518" t="str">
        <f>IF(AND(_A1="A-220-300",'2025'!$H$4="FO",'2025'!$H$2=AB157),'2025DATA'!$M$34,"")</f>
        <v/>
      </c>
      <c r="AC189" s="520" t="str">
        <f>IF(AND(_A1="A-220-300",'2025'!$H$4="FO",'2025'!$H$2=AC157),'2025DATA'!$N$34,"")</f>
        <v/>
      </c>
      <c r="AD189" s="940"/>
      <c r="AE189" s="13" t="s">
        <v>62</v>
      </c>
      <c r="AF189" s="518" t="str">
        <f>IF(AND(_A2="A-220-300",'2025'!$H$4="FO",'2025'!$H$2=AF157),'2025DATA'!$C$34,"")</f>
        <v/>
      </c>
      <c r="AG189" s="518" t="str">
        <f>IF(AND(_A2="A-220-300",'2025'!$H$4="FO",'2025'!$H$2=AG157),'2025DATA'!$D$34,"")</f>
        <v/>
      </c>
      <c r="AH189" s="518" t="str">
        <f>IF(AND(_A2="A-220-300",'2025'!$H$4="FO",'2025'!$H$2=AH157),'2025DATA'!$E$34,"")</f>
        <v/>
      </c>
      <c r="AI189" s="518" t="str">
        <f>IF(AND(_A2="A-220-300",'2025'!$H$4="FO",'2025'!$H$2=AI157),'2025DATA'!$F$34,"")</f>
        <v/>
      </c>
      <c r="AJ189" s="518" t="str">
        <f>IF(AND(_A2="A-220-300",'2025'!$H$4="FO",'2025'!$H$2=AJ157),'2025DATA'!$G$34,"")</f>
        <v/>
      </c>
      <c r="AK189" s="518" t="str">
        <f>IF(AND(_A2="A-220-300",'2025'!$H$4="FO",'2025'!$H$2=AK157),'2025DATA'!$H$34,"")</f>
        <v/>
      </c>
      <c r="AL189" s="518" t="str">
        <f>IF(AND(_A2="A-220-300",'2025'!$H$4="FO",'2025'!$H$2=AL157),'2025DATA'!$I$34,"")</f>
        <v/>
      </c>
      <c r="AM189" s="518" t="str">
        <f>IF(AND(_A2="A-220-300",'2025'!$H$4="FO",'2025'!$H$2=AM157),'2025DATA'!$J$34,"")</f>
        <v/>
      </c>
      <c r="AN189" s="518" t="str">
        <f>IF(AND(_A2="A-220-300",'2025'!$H$4="FO",'2025'!$H$2=AN157),'2025DATA'!$K$34,"")</f>
        <v/>
      </c>
      <c r="AO189" s="518" t="str">
        <f>IF(AND(_A2="A-220-300",'2025'!$H$4="FO",'2025'!$H$2=AO157),'2025DATA'!$L$34,"")</f>
        <v/>
      </c>
      <c r="AP189" s="518" t="str">
        <f>IF(AND(_A2="A-220-300",'2025'!$H$4="FO",'2025'!$H$2=AP157),'2025DATA'!$M$34,"")</f>
        <v/>
      </c>
      <c r="AQ189" s="520" t="str">
        <f>IF(AND(_A2="A-220-300",'2025'!$H$4="FO",'2025'!$H$2=AQ157),'2025DATA'!$N$34,"")</f>
        <v/>
      </c>
      <c r="AR189" s="940"/>
      <c r="AS189" s="13" t="s">
        <v>62</v>
      </c>
      <c r="AT189" s="518" t="str">
        <f>IF(AND(_A3="A-220-300",'2025'!$H$4="FO",'2025'!$H$2=AT157),'2025DATA'!$C$34,"")</f>
        <v/>
      </c>
      <c r="AU189" s="518" t="str">
        <f>IF(AND(_A3="A-220-300",'2025'!$H$4="FO",'2025'!$H$2=AU157),'2025DATA'!$D$34,"")</f>
        <v/>
      </c>
      <c r="AV189" s="518" t="str">
        <f>IF(AND(_A3="A-220-300",'2025'!$H$4="FO",'2025'!$H$2=AV157),'2025DATA'!$E$34,"")</f>
        <v/>
      </c>
      <c r="AW189" s="518" t="str">
        <f>IF(AND(_A3="A-220-300",'2025'!$H$4="FO",'2025'!$H$2=AW157),'2025DATA'!$F$34,"")</f>
        <v/>
      </c>
      <c r="AX189" s="518" t="str">
        <f>IF(AND(_A3="A-220-300",'2025'!$H$4="FO",'2025'!$H$2=AX157),'2025DATA'!$G$34,"")</f>
        <v/>
      </c>
      <c r="AY189" s="518" t="str">
        <f>IF(AND(_A3="A-220-300",'2025'!$H$4="FO",'2025'!$H$2=AY157),'2025DATA'!$H$34,"")</f>
        <v/>
      </c>
      <c r="AZ189" s="518" t="str">
        <f>IF(AND(_A3="A-220-300",'2025'!$H$4="FO",'2025'!$H$2=AZ157),'2025DATA'!$I$34,"")</f>
        <v/>
      </c>
      <c r="BA189" s="518" t="str">
        <f>IF(AND(_A3="A-220-300",'2025'!$H$4="FO",'2025'!$H$2=BA157),'2025DATA'!$J$34,"")</f>
        <v/>
      </c>
      <c r="BB189" s="518" t="str">
        <f>IF(AND(_A3="A-220-300",'2025'!$H$4="FO",'2025'!$H$2=BB157),'2025DATA'!$K$34,"")</f>
        <v/>
      </c>
      <c r="BC189" s="518" t="str">
        <f>IF(AND(_A3="A-220-300",'2025'!$H$4="FO",'2025'!$H$2=BC157),'2025DATA'!$L$34,"")</f>
        <v/>
      </c>
      <c r="BD189" s="518" t="str">
        <f>IF(AND(_A3="A-220-300",'2025'!$H$4="FO",'2025'!$H$2=BD157),'2025DATA'!$M$34,"")</f>
        <v/>
      </c>
      <c r="BE189" s="520" t="str">
        <f>IF(AND(_A3="A-220-300",'2025'!$H$4="FO",'2025'!$H$2=BE157),'2025DATA'!$N$34,"")</f>
        <v/>
      </c>
      <c r="BF189" s="940"/>
      <c r="BG189" s="13" t="s">
        <v>62</v>
      </c>
      <c r="BH189" s="518" t="str">
        <f>IF(AND(_A4="A-220-300",'2025'!$H$4="FO",'2025'!$H$2=BH157),'2025DATA'!$C$34,"")</f>
        <v/>
      </c>
      <c r="BI189" s="518" t="str">
        <f>IF(AND(_A4="A-220-300",'2025'!$H$4="FO",'2025'!$H$2=BI157),'2025DATA'!$D$34,"")</f>
        <v/>
      </c>
      <c r="BJ189" s="518" t="str">
        <f>IF(AND(_A4="A-220-300",'2025'!$H$4="FO",'2025'!$H$2=BJ157),'2025DATA'!$E$34,"")</f>
        <v/>
      </c>
      <c r="BK189" s="518" t="str">
        <f>IF(AND(_A4="A-220-300",'2025'!$H$4="FO",'2025'!$H$2=BK157),'2025DATA'!$F$34,"")</f>
        <v/>
      </c>
      <c r="BL189" s="518" t="str">
        <f>IF(AND(_A4="A-220-300",'2025'!$H$4="FO",'2025'!$H$2=BL157),'2025DATA'!$G$34,"")</f>
        <v/>
      </c>
      <c r="BM189" s="518" t="str">
        <f>IF(AND(_A4="A-220-300",'2025'!$H$4="FO",'2025'!$H$2=BM157),'2025DATA'!$H$34,"")</f>
        <v/>
      </c>
      <c r="BN189" s="518" t="str">
        <f>IF(AND(_A4="A-220-300",'2025'!$H$4="FO",'2025'!$H$2=BN157),'2025DATA'!$I$34,"")</f>
        <v/>
      </c>
      <c r="BO189" s="518" t="str">
        <f>IF(AND(_A4="A-220-300",'2025'!$H$4="FO",'2025'!$H$2=BO157),'2025DATA'!$J$34,"")</f>
        <v/>
      </c>
      <c r="BP189" s="518" t="str">
        <f>IF(AND(_A4="A-220-300",'2025'!$H$4="FO",'2025'!$H$2=BP157),'2025DATA'!$K$34,"")</f>
        <v/>
      </c>
      <c r="BQ189" s="518" t="str">
        <f>IF(AND(_A4="A-220-300",'2025'!$H$4="FO",'2025'!$H$2=BQ157),'2025DATA'!$L$34,"")</f>
        <v/>
      </c>
      <c r="BR189" s="518" t="str">
        <f>IF(AND(_A4="A-220-300",'2025'!$H$4="FO",'2025'!$H$2=BR157),'2025DATA'!$M$34,"")</f>
        <v/>
      </c>
      <c r="BS189" s="520" t="str">
        <f>IF(AND(_A4="A-220-300",'2025'!$H$4="FO",'2025'!$H$2=BS157),'2025DATA'!$N$34,"")</f>
        <v/>
      </c>
      <c r="BT189" s="940"/>
      <c r="BU189" s="13" t="s">
        <v>62</v>
      </c>
      <c r="BV189" s="518" t="str">
        <f>IF(AND(_A5="A-220-300",'2025'!$H$4="FO",'2025'!$H$2=BV157),'2025DATA'!$C$34,"")</f>
        <v/>
      </c>
      <c r="BW189" s="518" t="str">
        <f>IF(AND(_A5="A-220-300",'2025'!$H$4="FO",'2025'!$H$2=BW157),'2025DATA'!$D$34,"")</f>
        <v/>
      </c>
      <c r="BX189" s="518" t="str">
        <f>IF(AND(_A5="A-220-300",'2025'!$H$4="FO",'2025'!$H$2=BX157),'2025DATA'!$E$34,"")</f>
        <v/>
      </c>
      <c r="BY189" s="518" t="str">
        <f>IF(AND(_A5="A-220-300",'2025'!$H$4="FO",'2025'!$H$2=BY157),'2025DATA'!$F$34,"")</f>
        <v/>
      </c>
      <c r="BZ189" s="518" t="str">
        <f>IF(AND(_A5="A-220-300",'2025'!$H$4="FO",'2025'!$H$2=BZ157),'2025DATA'!$G$34,"")</f>
        <v/>
      </c>
      <c r="CA189" s="518" t="str">
        <f>IF(AND(_A5="A-220-300",'2025'!$H$4="FO",'2025'!$H$2=CA157),'2025DATA'!$H$34,"")</f>
        <v/>
      </c>
      <c r="CB189" s="518" t="str">
        <f>IF(AND(_A5="A-220-300",'2025'!$H$4="FO",'2025'!$H$2=CB157),'2025DATA'!$I$34,"")</f>
        <v/>
      </c>
      <c r="CC189" s="518" t="str">
        <f>IF(AND(_A5="A-220-300",'2025'!$H$4="FO",'2025'!$H$2=CC157),'2025DATA'!$J$34,"")</f>
        <v/>
      </c>
      <c r="CD189" s="518" t="str">
        <f>IF(AND(_A5="A-220-300",'2025'!$H$4="FO",'2025'!$H$2=CD157),'2025DATA'!$K$34,"")</f>
        <v/>
      </c>
      <c r="CE189" s="518" t="str">
        <f>IF(AND(_A5="A-220-300",'2025'!$H$4="FO",'2025'!$H$2=CE157),'2025DATA'!$L$34,"")</f>
        <v/>
      </c>
      <c r="CF189" s="518" t="str">
        <f>IF(AND(_A5="A-220-300",'2025'!$H$4="FO",'2025'!$H$2=CF157),'2025DATA'!$M$34,"")</f>
        <v/>
      </c>
      <c r="CG189" s="520" t="str">
        <f>IF(AND(_A5="A-220-300",'2025'!$H$4="FO",'2025'!$H$2=CG157),'2025DATA'!$N$34,"")</f>
        <v/>
      </c>
      <c r="CH189" s="940"/>
      <c r="CI189" s="13" t="s">
        <v>62</v>
      </c>
      <c r="CJ189" s="518" t="str">
        <f>IF(AND(_A6="A-220-300",'2025'!$H$4="FO",'2025'!$H$2=CJ157),'2025DATA'!$C$34,"")</f>
        <v/>
      </c>
      <c r="CK189" s="518" t="str">
        <f>IF(AND(_A6="A-220-300",'2025'!$H$4="FO",'2025'!$H$2=CK157),'2025DATA'!$D$34,"")</f>
        <v/>
      </c>
      <c r="CL189" s="518" t="str">
        <f>IF(AND(_A6="A-220-300",'2025'!$H$4="FO",'2025'!$H$2=CL157),'2025DATA'!$E$34,"")</f>
        <v/>
      </c>
      <c r="CM189" s="518" t="str">
        <f>IF(AND(_A6="A-220-300",'2025'!$H$4="FO",'2025'!$H$2=CM157),'2025DATA'!$F$34,"")</f>
        <v/>
      </c>
      <c r="CN189" s="518" t="str">
        <f>IF(AND(_A6="A-220-300",'2025'!$H$4="FO",'2025'!$H$2=CN157),'2025DATA'!$G$34,"")</f>
        <v/>
      </c>
      <c r="CO189" s="518" t="str">
        <f>IF(AND(_A6="A-220-300",'2025'!$H$4="FO",'2025'!$H$2=CO157),'2025DATA'!$H$34,"")</f>
        <v/>
      </c>
      <c r="CP189" s="518" t="str">
        <f>IF(AND(_A6="A-220-300",'2025'!$H$4="FO",'2025'!$H$2=CP157),'2025DATA'!$I$34,"")</f>
        <v/>
      </c>
      <c r="CQ189" s="518" t="str">
        <f>IF(AND(_A6="A-220-300",'2025'!$H$4="FO",'2025'!$H$2=CQ157),'2025DATA'!$J$34,"")</f>
        <v/>
      </c>
      <c r="CR189" s="518" t="str">
        <f>IF(AND(_A6="A-220-300",'2025'!$H$4="FO",'2025'!$H$2=CR157),'2025DATA'!$K$34,"")</f>
        <v/>
      </c>
      <c r="CS189" s="518" t="str">
        <f>IF(AND(_A6="A-220-300",'2025'!$H$4="FO",'2025'!$H$2=CS157),'2025DATA'!$L$34,"")</f>
        <v/>
      </c>
      <c r="CT189" s="518" t="str">
        <f>IF(AND(_A6="A-220-300",'2025'!$H$4="FO",'2025'!$H$2=CT157),'2025DATA'!$M$34,"")</f>
        <v/>
      </c>
      <c r="CU189" s="520" t="str">
        <f>IF(AND(_A6="A-220-300",'2025'!$H$4="FO",'2025'!$H$2=CU157),'2025DATA'!$N$34,"")</f>
        <v/>
      </c>
    </row>
    <row r="190" spans="16:99" x14ac:dyDescent="0.25">
      <c r="P190" s="940" t="s">
        <v>52</v>
      </c>
      <c r="Q190" s="13" t="s">
        <v>61</v>
      </c>
      <c r="R190" s="518" t="str">
        <f>IF(AND(_A1="A-220-100",'2025'!$H$4="CA",'2025'!$H$2=R157),'2025DATA'!$C$35,"")</f>
        <v/>
      </c>
      <c r="S190" s="518" t="str">
        <f>IF(AND(_A1="A-220-100",'2025'!$H$4="CA",'2025'!$H$2=S157),'2025DATA'!$D$35,"")</f>
        <v/>
      </c>
      <c r="T190" s="518" t="str">
        <f>IF(AND(_A1="A-220-100",'2025'!$H$4="CA",'2025'!$H$2=T157),'2025DATA'!$E$35,"")</f>
        <v/>
      </c>
      <c r="U190" s="518" t="str">
        <f>IF(AND(_A1="A-220-100",'2025'!$H$4="CA",'2025'!$H$2=U157),'2025DATA'!$F$35,"")</f>
        <v/>
      </c>
      <c r="V190" s="518" t="str">
        <f>IF(AND(_A1="A-220-100",'2025'!$H$4="CA",'2025'!$H$2=V157),'2025DATA'!$G$35,"")</f>
        <v/>
      </c>
      <c r="W190" s="518" t="str">
        <f>IF(AND(_A1="A-220-100",'2025'!$H$4="CA",'2025'!$H$2=W157),'2025DATA'!$H$35,"")</f>
        <v/>
      </c>
      <c r="X190" s="518" t="str">
        <f>IF(AND(_A1="A-220-100",'2025'!$H$4="CA",'2025'!$H$2=X157),'2025DATA'!$I$35,"")</f>
        <v/>
      </c>
      <c r="Y190" s="518" t="str">
        <f>IF(AND(_A1="A-220-100",'2025'!$H$4="CA",'2025'!$H$2=Y157),'2025DATA'!$J$35,"")</f>
        <v/>
      </c>
      <c r="Z190" s="518" t="str">
        <f>IF(AND(_A1="A-220-100",'2025'!$H$4="CA",'2025'!$H$2=Z157),'2025DATA'!$K$35,"")</f>
        <v/>
      </c>
      <c r="AA190" s="518" t="str">
        <f>IF(AND(_A1="A-220-100",'2025'!$H$4="CA",'2025'!$H$2=AA157),'2025DATA'!$L$35,"")</f>
        <v/>
      </c>
      <c r="AB190" s="518" t="str">
        <f>IF(AND(_A1="A-220-100",'2025'!$H$4="CA",'2025'!$H$2=AB157),'2025DATA'!$M$35,"")</f>
        <v/>
      </c>
      <c r="AC190" s="520" t="str">
        <f>IF(AND(_A1="A-220-100",'2025'!$H$4="CA",'2025'!$H$2=AC157),'2025DATA'!$N$35,"")</f>
        <v/>
      </c>
      <c r="AD190" s="940" t="s">
        <v>52</v>
      </c>
      <c r="AE190" s="13" t="s">
        <v>61</v>
      </c>
      <c r="AF190" s="518" t="str">
        <f>IF(AND(_A2="A-220-100",'2025'!$H$4="CA",'2025'!$H$2=AF157),'2025DATA'!$C$35,"")</f>
        <v/>
      </c>
      <c r="AG190" s="518" t="str">
        <f>IF(AND(_A2="A-220-100",'2025'!$H$4="CA",'2025'!$H$2=AG157),'2025DATA'!$D$35,"")</f>
        <v/>
      </c>
      <c r="AH190" s="518" t="str">
        <f>IF(AND(_A2="A-220-100",'2025'!$H$4="CA",'2025'!$H$2=AH157),'2025DATA'!$E$35,"")</f>
        <v/>
      </c>
      <c r="AI190" s="518" t="str">
        <f>IF(AND(_A2="A-220-100",'2025'!$H$4="CA",'2025'!$H$2=AI157),'2025DATA'!$F$35,"")</f>
        <v/>
      </c>
      <c r="AJ190" s="518" t="str">
        <f>IF(AND(_A2="A-220-100",'2025'!$H$4="CA",'2025'!$H$2=AJ157),'2025DATA'!$G$35,"")</f>
        <v/>
      </c>
      <c r="AK190" s="518" t="str">
        <f>IF(AND(_A2="A-220-100",'2025'!$H$4="CA",'2025'!$H$2=AK157),'2025DATA'!$H$35,"")</f>
        <v/>
      </c>
      <c r="AL190" s="518" t="str">
        <f>IF(AND(_A2="A-220-100",'2025'!$H$4="CA",'2025'!$H$2=AL157),'2025DATA'!$I$35,"")</f>
        <v/>
      </c>
      <c r="AM190" s="518" t="str">
        <f>IF(AND(_A2="A-220-100",'2025'!$H$4="CA",'2025'!$H$2=AM157),'2025DATA'!$J$35,"")</f>
        <v/>
      </c>
      <c r="AN190" s="518" t="str">
        <f>IF(AND(_A2="A-220-100",'2025'!$H$4="CA",'2025'!$H$2=AN157),'2025DATA'!$K$35,"")</f>
        <v/>
      </c>
      <c r="AO190" s="518" t="str">
        <f>IF(AND(_A2="A-220-100",'2025'!$H$4="CA",'2025'!$H$2=AO157),'2025DATA'!$L$35,"")</f>
        <v/>
      </c>
      <c r="AP190" s="518" t="str">
        <f>IF(AND(_A2="A-220-100",'2025'!$H$4="CA",'2025'!$H$2=AP157),'2025DATA'!$M$35,"")</f>
        <v/>
      </c>
      <c r="AQ190" s="520" t="str">
        <f>IF(AND(_A2="A-220-100",'2025'!$H$4="CA",'2025'!$H$2=AQ157),'2025DATA'!$N$35,"")</f>
        <v/>
      </c>
      <c r="AR190" s="940" t="s">
        <v>52</v>
      </c>
      <c r="AS190" s="13" t="s">
        <v>61</v>
      </c>
      <c r="AT190" s="518" t="str">
        <f>IF(AND(_A3="A-220-100",'2025'!$H$4="CA",'2025'!$H$2=AT157),'2025DATA'!$C$35,"")</f>
        <v/>
      </c>
      <c r="AU190" s="518" t="str">
        <f>IF(AND(_A3="A-220-100",'2025'!$H$4="CA",'2025'!$H$2=AU157),'2025DATA'!$D$35,"")</f>
        <v/>
      </c>
      <c r="AV190" s="518" t="str">
        <f>IF(AND(_A3="A-220-100",'2025'!$H$4="CA",'2025'!$H$2=AV157),'2025DATA'!$E$35,"")</f>
        <v/>
      </c>
      <c r="AW190" s="518" t="str">
        <f>IF(AND(_A3="A-220-100",'2025'!$H$4="CA",'2025'!$H$2=AW157),'2025DATA'!$F$35,"")</f>
        <v/>
      </c>
      <c r="AX190" s="518" t="str">
        <f>IF(AND(_A3="A-220-100",'2025'!$H$4="CA",'2025'!$H$2=AX157),'2025DATA'!$G$35,"")</f>
        <v/>
      </c>
      <c r="AY190" s="518" t="str">
        <f>IF(AND(_A3="A-220-100",'2025'!$H$4="CA",'2025'!$H$2=AY157),'2025DATA'!$H$35,"")</f>
        <v/>
      </c>
      <c r="AZ190" s="518" t="str">
        <f>IF(AND(_A3="A-220-100",'2025'!$H$4="CA",'2025'!$H$2=AZ157),'2025DATA'!$I$35,"")</f>
        <v/>
      </c>
      <c r="BA190" s="518" t="str">
        <f>IF(AND(_A3="A-220-100",'2025'!$H$4="CA",'2025'!$H$2=BA157),'2025DATA'!$J$35,"")</f>
        <v/>
      </c>
      <c r="BB190" s="518" t="str">
        <f>IF(AND(_A3="A-220-100",'2025'!$H$4="CA",'2025'!$H$2=BB157),'2025DATA'!$K$35,"")</f>
        <v/>
      </c>
      <c r="BC190" s="518" t="str">
        <f>IF(AND(_A3="A-220-100",'2025'!$H$4="CA",'2025'!$H$2=BC157),'2025DATA'!$L$35,"")</f>
        <v/>
      </c>
      <c r="BD190" s="518" t="str">
        <f>IF(AND(_A3="A-220-100",'2025'!$H$4="CA",'2025'!$H$2=BD157),'2025DATA'!$M$35,"")</f>
        <v/>
      </c>
      <c r="BE190" s="520" t="str">
        <f>IF(AND(_A3="A-220-100",'2025'!$H$4="CA",'2025'!$H$2=BE157),'2025DATA'!$N$35,"")</f>
        <v/>
      </c>
      <c r="BF190" s="940" t="s">
        <v>52</v>
      </c>
      <c r="BG190" s="13" t="s">
        <v>61</v>
      </c>
      <c r="BH190" s="518" t="str">
        <f>IF(AND(_A4="A-220-100",'2025'!$H$4="CA",'2025'!$H$2=BH157),'2025DATA'!$C$35,"")</f>
        <v/>
      </c>
      <c r="BI190" s="518" t="str">
        <f>IF(AND(_A4="A-220-100",'2025'!$H$4="CA",'2025'!$H$2=BI157),'2025DATA'!$D$35,"")</f>
        <v/>
      </c>
      <c r="BJ190" s="518" t="str">
        <f>IF(AND(_A4="A-220-100",'2025'!$H$4="CA",'2025'!$H$2=BJ157),'2025DATA'!$E$35,"")</f>
        <v/>
      </c>
      <c r="BK190" s="518" t="str">
        <f>IF(AND(_A4="A-220-100",'2025'!$H$4="CA",'2025'!$H$2=BK157),'2025DATA'!$F$35,"")</f>
        <v/>
      </c>
      <c r="BL190" s="518" t="str">
        <f>IF(AND(_A4="A-220-100",'2025'!$H$4="CA",'2025'!$H$2=BL157),'2025DATA'!$G$35,"")</f>
        <v/>
      </c>
      <c r="BM190" s="518" t="str">
        <f>IF(AND(_A4="A-220-100",'2025'!$H$4="CA",'2025'!$H$2=BM157),'2025DATA'!$H$35,"")</f>
        <v/>
      </c>
      <c r="BN190" s="518" t="str">
        <f>IF(AND(_A4="A-220-100",'2025'!$H$4="CA",'2025'!$H$2=BN157),'2025DATA'!$I$35,"")</f>
        <v/>
      </c>
      <c r="BO190" s="518" t="str">
        <f>IF(AND(_A4="A-220-100",'2025'!$H$4="CA",'2025'!$H$2=BO157),'2025DATA'!$J$35,"")</f>
        <v/>
      </c>
      <c r="BP190" s="518" t="str">
        <f>IF(AND(_A4="A-220-100",'2025'!$H$4="CA",'2025'!$H$2=BP157),'2025DATA'!$K$35,"")</f>
        <v/>
      </c>
      <c r="BQ190" s="518" t="str">
        <f>IF(AND(_A4="A-220-100",'2025'!$H$4="CA",'2025'!$H$2=BQ157),'2025DATA'!$L$35,"")</f>
        <v/>
      </c>
      <c r="BR190" s="518" t="str">
        <f>IF(AND(_A4="A-220-100",'2025'!$H$4="CA",'2025'!$H$2=BR157),'2025DATA'!$M$35,"")</f>
        <v/>
      </c>
      <c r="BS190" s="520" t="str">
        <f>IF(AND(_A4="A-220-100",'2025'!$H$4="CA",'2025'!$H$2=BS157),'2025DATA'!$N$35,"")</f>
        <v/>
      </c>
      <c r="BT190" s="940" t="s">
        <v>52</v>
      </c>
      <c r="BU190" s="13" t="s">
        <v>61</v>
      </c>
      <c r="BV190" s="518" t="str">
        <f>IF(AND(_A5="A-220-100",'2025'!$H$4="CA",'2025'!$H$2=BV157),'2025DATA'!$C$35,"")</f>
        <v/>
      </c>
      <c r="BW190" s="518" t="str">
        <f>IF(AND(_A5="A-220-100",'2025'!$H$4="CA",'2025'!$H$2=BW157),'2025DATA'!$D$35,"")</f>
        <v/>
      </c>
      <c r="BX190" s="518" t="str">
        <f>IF(AND(_A5="A-220-100",'2025'!$H$4="CA",'2025'!$H$2=BX157),'2025DATA'!$E$35,"")</f>
        <v/>
      </c>
      <c r="BY190" s="518" t="str">
        <f>IF(AND(_A5="A-220-100",'2025'!$H$4="CA",'2025'!$H$2=BY157),'2025DATA'!$F$35,"")</f>
        <v/>
      </c>
      <c r="BZ190" s="518" t="str">
        <f>IF(AND(_A5="A-220-100",'2025'!$H$4="CA",'2025'!$H$2=BZ157),'2025DATA'!$G$35,"")</f>
        <v/>
      </c>
      <c r="CA190" s="518" t="str">
        <f>IF(AND(_A5="A-220-100",'2025'!$H$4="CA",'2025'!$H$2=CA157),'2025DATA'!$H$35,"")</f>
        <v/>
      </c>
      <c r="CB190" s="518" t="str">
        <f>IF(AND(_A5="A-220-100",'2025'!$H$4="CA",'2025'!$H$2=CB157),'2025DATA'!$I$35,"")</f>
        <v/>
      </c>
      <c r="CC190" s="518" t="str">
        <f>IF(AND(_A5="A-220-100",'2025'!$H$4="CA",'2025'!$H$2=CC157),'2025DATA'!$J$35,"")</f>
        <v/>
      </c>
      <c r="CD190" s="518" t="str">
        <f>IF(AND(_A5="A-220-100",'2025'!$H$4="CA",'2025'!$H$2=CD157),'2025DATA'!$K$35,"")</f>
        <v/>
      </c>
      <c r="CE190" s="518" t="str">
        <f>IF(AND(_A5="A-220-100",'2025'!$H$4="CA",'2025'!$H$2=CE157),'2025DATA'!$L$35,"")</f>
        <v/>
      </c>
      <c r="CF190" s="518" t="str">
        <f>IF(AND(_A5="A-220-100",'2025'!$H$4="CA",'2025'!$H$2=CF157),'2025DATA'!$M$35,"")</f>
        <v/>
      </c>
      <c r="CG190" s="520" t="str">
        <f>IF(AND(_A5="A-220-100",'2025'!$H$4="CA",'2025'!$H$2=CG157),'2025DATA'!$N$35,"")</f>
        <v/>
      </c>
      <c r="CH190" s="940" t="s">
        <v>52</v>
      </c>
      <c r="CI190" s="13" t="s">
        <v>61</v>
      </c>
      <c r="CJ190" s="518" t="str">
        <f>IF(AND(_A6="A-220-100",'2025'!$H$4="CA",'2025'!$H$2=CJ157),'2025DATA'!$C$35,"")</f>
        <v/>
      </c>
      <c r="CK190" s="518" t="str">
        <f>IF(AND(_A6="A-220-100",'2025'!$H$4="CA",'2025'!$H$2=CK157),'2025DATA'!$D$35,"")</f>
        <v/>
      </c>
      <c r="CL190" s="518" t="str">
        <f>IF(AND(_A6="A-220-100",'2025'!$H$4="CA",'2025'!$H$2=CL157),'2025DATA'!$E$35,"")</f>
        <v/>
      </c>
      <c r="CM190" s="518" t="str">
        <f>IF(AND(_A6="A-220-100",'2025'!$H$4="CA",'2025'!$H$2=CM157),'2025DATA'!$F$35,"")</f>
        <v/>
      </c>
      <c r="CN190" s="518" t="str">
        <f>IF(AND(_A6="A-220-100",'2025'!$H$4="CA",'2025'!$H$2=CN157),'2025DATA'!$G$35,"")</f>
        <v/>
      </c>
      <c r="CO190" s="518" t="str">
        <f>IF(AND(_A6="A-220-100",'2025'!$H$4="CA",'2025'!$H$2=CO157),'2025DATA'!$H$35,"")</f>
        <v/>
      </c>
      <c r="CP190" s="518" t="str">
        <f>IF(AND(_A6="A-220-100",'2025'!$H$4="CA",'2025'!$H$2=CP157),'2025DATA'!$I$35,"")</f>
        <v/>
      </c>
      <c r="CQ190" s="518" t="str">
        <f>IF(AND(_A6="A-220-100",'2025'!$H$4="CA",'2025'!$H$2=CQ157),'2025DATA'!$J$35,"")</f>
        <v/>
      </c>
      <c r="CR190" s="518" t="str">
        <f>IF(AND(_A6="A-220-100",'2025'!$H$4="CA",'2025'!$H$2=CR157),'2025DATA'!$K$35,"")</f>
        <v/>
      </c>
      <c r="CS190" s="518" t="str">
        <f>IF(AND(_A6="A-220-100",'2025'!$H$4="CA",'2025'!$H$2=CS157),'2025DATA'!$L$35,"")</f>
        <v/>
      </c>
      <c r="CT190" s="518" t="str">
        <f>IF(AND(_A6="A-220-100",'2025'!$H$4="CA",'2025'!$H$2=CT157),'2025DATA'!$M$35,"")</f>
        <v/>
      </c>
      <c r="CU190" s="520" t="str">
        <f>IF(AND(_A6="A-220-100",'2025'!$H$4="CA",'2025'!$H$2=CU157),'2025DATA'!$N$35,"")</f>
        <v/>
      </c>
    </row>
    <row r="191" spans="16:99" x14ac:dyDescent="0.25">
      <c r="P191" s="940"/>
      <c r="Q191" s="13" t="s">
        <v>62</v>
      </c>
      <c r="R191" s="518" t="str">
        <f>IF(AND(_A1="A-220-100",'2025'!$H$4="FO",'2025'!$H$2=R157),'2025DATA'!$C$36,"")</f>
        <v/>
      </c>
      <c r="S191" s="518" t="str">
        <f>IF(AND(_A1="A-220-100",'2025'!$H$4="FO",'2025'!$H$2=S157),'2025DATA'!$D$36,"")</f>
        <v/>
      </c>
      <c r="T191" s="518" t="str">
        <f>IF(AND(_A1="A-220-100",'2025'!$H$4="FO",'2025'!$H$2=T157),'2025DATA'!$E$36,"")</f>
        <v/>
      </c>
      <c r="U191" s="518" t="str">
        <f>IF(AND(_A1="A-220-100",'2025'!$H$4="FO",'2025'!$H$2=U157),'2025DATA'!$F$36,"")</f>
        <v/>
      </c>
      <c r="V191" s="518" t="str">
        <f>IF(AND(_A1="A-220-100",'2025'!$H$4="FO",'2025'!$H$2=V157),'2025DATA'!$G$36,"")</f>
        <v/>
      </c>
      <c r="W191" s="518" t="str">
        <f>IF(AND(_A1="A-220-100",'2025'!$H$4="FO",'2025'!$H$2=W157),'2025DATA'!$H$36,"")</f>
        <v/>
      </c>
      <c r="X191" s="518" t="str">
        <f>IF(AND(_A1="A-220-100",'2025'!$H$4="FO",'2025'!$H$2=X157),'2025DATA'!$I$36,"")</f>
        <v/>
      </c>
      <c r="Y191" s="518" t="str">
        <f>IF(AND(_A1="A-220-100",'2025'!$H$4="FO",'2025'!$H$2=Y157),'2025DATA'!$J$36,"")</f>
        <v/>
      </c>
      <c r="Z191" s="518" t="str">
        <f>IF(AND(_A1="A-220-100",'2025'!$H$4="FO",'2025'!$H$2=Z157),'2025DATA'!$K$36,"")</f>
        <v/>
      </c>
      <c r="AA191" s="518" t="str">
        <f>IF(AND(_A1="A-220-100",'2025'!$H$4="FO",'2025'!$H$2=AA157),'2025DATA'!$L$36,"")</f>
        <v/>
      </c>
      <c r="AB191" s="518" t="str">
        <f>IF(AND(_A1="A-220-100",'2025'!$H$4="FO",'2025'!$H$2=AB157),'2025DATA'!$M$36,"")</f>
        <v/>
      </c>
      <c r="AC191" s="520" t="str">
        <f>IF(AND(_A1="A-220-100",'2025'!$H$4="FO",'2025'!$H$2=AC157),'2025DATA'!$N$36,"")</f>
        <v/>
      </c>
      <c r="AD191" s="940"/>
      <c r="AE191" s="13" t="s">
        <v>62</v>
      </c>
      <c r="AF191" s="518" t="str">
        <f>IF(AND(_A2="A-220-100",'2025'!$H$4="FO",'2025'!$H$2=AF157),'2025DATA'!$C$36,"")</f>
        <v/>
      </c>
      <c r="AG191" s="518" t="str">
        <f>IF(AND(_A2="A-220-100",'2025'!$H$4="FO",'2025'!$H$2=AG157),'2025DATA'!$D$36,"")</f>
        <v/>
      </c>
      <c r="AH191" s="518" t="str">
        <f>IF(AND(_A2="A-220-100",'2025'!$H$4="FO",'2025'!$H$2=AH157),'2025DATA'!$E$36,"")</f>
        <v/>
      </c>
      <c r="AI191" s="518" t="str">
        <f>IF(AND(_A2="A-220-100",'2025'!$H$4="FO",'2025'!$H$2=AI157),'2025DATA'!$F$36,"")</f>
        <v/>
      </c>
      <c r="AJ191" s="518" t="str">
        <f>IF(AND(_A2="A-220-100",'2025'!$H$4="FO",'2025'!$H$2=AJ157),'2025DATA'!$G$36,"")</f>
        <v/>
      </c>
      <c r="AK191" s="518" t="str">
        <f>IF(AND(_A2="A-220-100",'2025'!$H$4="FO",'2025'!$H$2=AK157),'2025DATA'!$H$36,"")</f>
        <v/>
      </c>
      <c r="AL191" s="518" t="str">
        <f>IF(AND(_A2="A-220-100",'2025'!$H$4="FO",'2025'!$H$2=AL157),'2025DATA'!$I$36,"")</f>
        <v/>
      </c>
      <c r="AM191" s="518" t="str">
        <f>IF(AND(_A2="A-220-100",'2025'!$H$4="FO",'2025'!$H$2=AM157),'2025DATA'!$J$36,"")</f>
        <v/>
      </c>
      <c r="AN191" s="518" t="str">
        <f>IF(AND(_A2="A-220-100",'2025'!$H$4="FO",'2025'!$H$2=AN157),'2025DATA'!$K$36,"")</f>
        <v/>
      </c>
      <c r="AO191" s="518" t="str">
        <f>IF(AND(_A2="A-220-100",'2025'!$H$4="FO",'2025'!$H$2=AO157),'2025DATA'!$L$36,"")</f>
        <v/>
      </c>
      <c r="AP191" s="518" t="str">
        <f>IF(AND(_A2="A-220-100",'2025'!$H$4="FO",'2025'!$H$2=AP157),'2025DATA'!$M$36,"")</f>
        <v/>
      </c>
      <c r="AQ191" s="520" t="str">
        <f>IF(AND(_A2="A-220-100",'2025'!$H$4="FO",'2025'!$H$2=AQ157),'2025DATA'!$N$36,"")</f>
        <v/>
      </c>
      <c r="AR191" s="940"/>
      <c r="AS191" s="13" t="s">
        <v>62</v>
      </c>
      <c r="AT191" s="518" t="str">
        <f>IF(AND(_A3="A-220-100",'2025'!$H$4="FO",'2025'!$H$2=AT157),'2025DATA'!$C$36,"")</f>
        <v/>
      </c>
      <c r="AU191" s="518" t="str">
        <f>IF(AND(_A3="A-220-100",'2025'!$H$4="FO",'2025'!$H$2=AU157),'2025DATA'!$D$36,"")</f>
        <v/>
      </c>
      <c r="AV191" s="518" t="str">
        <f>IF(AND(_A3="A-220-100",'2025'!$H$4="FO",'2025'!$H$2=AV157),'2025DATA'!$E$36,"")</f>
        <v/>
      </c>
      <c r="AW191" s="518" t="str">
        <f>IF(AND(_A3="A-220-100",'2025'!$H$4="FO",'2025'!$H$2=AW157),'2025DATA'!$F$36,"")</f>
        <v/>
      </c>
      <c r="AX191" s="518" t="str">
        <f>IF(AND(_A3="A-220-100",'2025'!$H$4="FO",'2025'!$H$2=AX157),'2025DATA'!$G$36,"")</f>
        <v/>
      </c>
      <c r="AY191" s="518" t="str">
        <f>IF(AND(_A3="A-220-100",'2025'!$H$4="FO",'2025'!$H$2=AY157),'2025DATA'!$H$36,"")</f>
        <v/>
      </c>
      <c r="AZ191" s="518" t="str">
        <f>IF(AND(_A3="A-220-100",'2025'!$H$4="FO",'2025'!$H$2=AZ157),'2025DATA'!$I$36,"")</f>
        <v/>
      </c>
      <c r="BA191" s="518" t="str">
        <f>IF(AND(_A3="A-220-100",'2025'!$H$4="FO",'2025'!$H$2=BA157),'2025DATA'!$J$36,"")</f>
        <v/>
      </c>
      <c r="BB191" s="518" t="str">
        <f>IF(AND(_A3="A-220-100",'2025'!$H$4="FO",'2025'!$H$2=BB157),'2025DATA'!$K$36,"")</f>
        <v/>
      </c>
      <c r="BC191" s="518" t="str">
        <f>IF(AND(_A3="A-220-100",'2025'!$H$4="FO",'2025'!$H$2=BC157),'2025DATA'!$L$36,"")</f>
        <v/>
      </c>
      <c r="BD191" s="518" t="str">
        <f>IF(AND(_A3="A-220-100",'2025'!$H$4="FO",'2025'!$H$2=BD157),'2025DATA'!$M$36,"")</f>
        <v/>
      </c>
      <c r="BE191" s="520" t="str">
        <f>IF(AND(_A3="A-220-100",'2025'!$H$4="FO",'2025'!$H$2=BE157),'2025DATA'!$N$36,"")</f>
        <v/>
      </c>
      <c r="BF191" s="940"/>
      <c r="BG191" s="13" t="s">
        <v>62</v>
      </c>
      <c r="BH191" s="518" t="str">
        <f>IF(AND(_A4="A-220-100",'2025'!$H$4="FO",'2025'!$H$2=BH157),'2025DATA'!$C$36,"")</f>
        <v/>
      </c>
      <c r="BI191" s="518" t="str">
        <f>IF(AND(_A4="A-220-100",'2025'!$H$4="FO",'2025'!$H$2=BI157),'2025DATA'!$D$36,"")</f>
        <v/>
      </c>
      <c r="BJ191" s="518" t="str">
        <f>IF(AND(_A4="A-220-100",'2025'!$H$4="FO",'2025'!$H$2=BJ157),'2025DATA'!$E$36,"")</f>
        <v/>
      </c>
      <c r="BK191" s="518" t="str">
        <f>IF(AND(_A4="A-220-100",'2025'!$H$4="FO",'2025'!$H$2=BK157),'2025DATA'!$F$36,"")</f>
        <v/>
      </c>
      <c r="BL191" s="518" t="str">
        <f>IF(AND(_A4="A-220-100",'2025'!$H$4="FO",'2025'!$H$2=BL157),'2025DATA'!$G$36,"")</f>
        <v/>
      </c>
      <c r="BM191" s="518" t="str">
        <f>IF(AND(_A4="A-220-100",'2025'!$H$4="FO",'2025'!$H$2=BM157),'2025DATA'!$H$36,"")</f>
        <v/>
      </c>
      <c r="BN191" s="518" t="str">
        <f>IF(AND(_A4="A-220-100",'2025'!$H$4="FO",'2025'!$H$2=BN157),'2025DATA'!$I$36,"")</f>
        <v/>
      </c>
      <c r="BO191" s="518" t="str">
        <f>IF(AND(_A4="A-220-100",'2025'!$H$4="FO",'2025'!$H$2=BO157),'2025DATA'!$J$36,"")</f>
        <v/>
      </c>
      <c r="BP191" s="518" t="str">
        <f>IF(AND(_A4="A-220-100",'2025'!$H$4="FO",'2025'!$H$2=BP157),'2025DATA'!$K$36,"")</f>
        <v/>
      </c>
      <c r="BQ191" s="518" t="str">
        <f>IF(AND(_A4="A-220-100",'2025'!$H$4="FO",'2025'!$H$2=BQ157),'2025DATA'!$L$36,"")</f>
        <v/>
      </c>
      <c r="BR191" s="518" t="str">
        <f>IF(AND(_A4="A-220-100",'2025'!$H$4="FO",'2025'!$H$2=BR157),'2025DATA'!$M$36,"")</f>
        <v/>
      </c>
      <c r="BS191" s="520" t="str">
        <f>IF(AND(_A4="A-220-100",'2025'!$H$4="FO",'2025'!$H$2=BS157),'2025DATA'!$N$36,"")</f>
        <v/>
      </c>
      <c r="BT191" s="940"/>
      <c r="BU191" s="13" t="s">
        <v>62</v>
      </c>
      <c r="BV191" s="518" t="str">
        <f>IF(AND(_A5="A-220-100",'2025'!$H$4="FO",'2025'!$H$2=BV157),'2025DATA'!$C$36,"")</f>
        <v/>
      </c>
      <c r="BW191" s="518" t="str">
        <f>IF(AND(_A5="A-220-100",'2025'!$H$4="FO",'2025'!$H$2=BW157),'2025DATA'!$D$36,"")</f>
        <v/>
      </c>
      <c r="BX191" s="518" t="str">
        <f>IF(AND(_A5="A-220-100",'2025'!$H$4="FO",'2025'!$H$2=BX157),'2025DATA'!$E$36,"")</f>
        <v/>
      </c>
      <c r="BY191" s="518" t="str">
        <f>IF(AND(_A5="A-220-100",'2025'!$H$4="FO",'2025'!$H$2=BY157),'2025DATA'!$F$36,"")</f>
        <v/>
      </c>
      <c r="BZ191" s="518" t="str">
        <f>IF(AND(_A5="A-220-100",'2025'!$H$4="FO",'2025'!$H$2=BZ157),'2025DATA'!$G$36,"")</f>
        <v/>
      </c>
      <c r="CA191" s="518" t="str">
        <f>IF(AND(_A5="A-220-100",'2025'!$H$4="FO",'2025'!$H$2=CA157),'2025DATA'!$H$36,"")</f>
        <v/>
      </c>
      <c r="CB191" s="518" t="str">
        <f>IF(AND(_A5="A-220-100",'2025'!$H$4="FO",'2025'!$H$2=CB157),'2025DATA'!$I$36,"")</f>
        <v/>
      </c>
      <c r="CC191" s="518" t="str">
        <f>IF(AND(_A5="A-220-100",'2025'!$H$4="FO",'2025'!$H$2=CC157),'2025DATA'!$J$36,"")</f>
        <v/>
      </c>
      <c r="CD191" s="518" t="str">
        <f>IF(AND(_A5="A-220-100",'2025'!$H$4="FO",'2025'!$H$2=CD157),'2025DATA'!$K$36,"")</f>
        <v/>
      </c>
      <c r="CE191" s="518" t="str">
        <f>IF(AND(_A5="A-220-100",'2025'!$H$4="FO",'2025'!$H$2=CE157),'2025DATA'!$L$36,"")</f>
        <v/>
      </c>
      <c r="CF191" s="518" t="str">
        <f>IF(AND(_A5="A-220-100",'2025'!$H$4="FO",'2025'!$H$2=CF157),'2025DATA'!$M$36,"")</f>
        <v/>
      </c>
      <c r="CG191" s="520" t="str">
        <f>IF(AND(_A5="A-220-100",'2025'!$H$4="FO",'2025'!$H$2=CG157),'2025DATA'!$N$36,"")</f>
        <v/>
      </c>
      <c r="CH191" s="940"/>
      <c r="CI191" s="13" t="s">
        <v>62</v>
      </c>
      <c r="CJ191" s="518" t="str">
        <f>IF(AND(_A6="A-220-100",'2025'!$H$4="FO",'2025'!$H$2=CJ157),'2025DATA'!$C$36,"")</f>
        <v/>
      </c>
      <c r="CK191" s="518" t="str">
        <f>IF(AND(_A6="A-220-100",'2025'!$H$4="FO",'2025'!$H$2=CK157),'2025DATA'!$D$36,"")</f>
        <v/>
      </c>
      <c r="CL191" s="518" t="str">
        <f>IF(AND(_A6="A-220-100",'2025'!$H$4="FO",'2025'!$H$2=CL157),'2025DATA'!$E$36,"")</f>
        <v/>
      </c>
      <c r="CM191" s="518" t="str">
        <f>IF(AND(_A6="A-220-100",'2025'!$H$4="FO",'2025'!$H$2=CM157),'2025DATA'!$F$36,"")</f>
        <v/>
      </c>
      <c r="CN191" s="518" t="str">
        <f>IF(AND(_A6="A-220-100",'2025'!$H$4="FO",'2025'!$H$2=CN157),'2025DATA'!$G$36,"")</f>
        <v/>
      </c>
      <c r="CO191" s="518" t="str">
        <f>IF(AND(_A6="A-220-100",'2025'!$H$4="FO",'2025'!$H$2=CO157),'2025DATA'!$H$36,"")</f>
        <v/>
      </c>
      <c r="CP191" s="518" t="str">
        <f>IF(AND(_A6="A-220-100",'2025'!$H$4="FO",'2025'!$H$2=CP157),'2025DATA'!$I$36,"")</f>
        <v/>
      </c>
      <c r="CQ191" s="518" t="str">
        <f>IF(AND(_A6="A-220-100",'2025'!$H$4="FO",'2025'!$H$2=CQ157),'2025DATA'!$J$36,"")</f>
        <v/>
      </c>
      <c r="CR191" s="518" t="str">
        <f>IF(AND(_A6="A-220-100",'2025'!$H$4="FO",'2025'!$H$2=CR157),'2025DATA'!$K$36,"")</f>
        <v/>
      </c>
      <c r="CS191" s="518" t="str">
        <f>IF(AND(_A6="A-220-100",'2025'!$H$4="FO",'2025'!$H$2=CS157),'2025DATA'!$L$36,"")</f>
        <v/>
      </c>
      <c r="CT191" s="518" t="str">
        <f>IF(AND(_A6="A-220-100",'2025'!$H$4="FO",'2025'!$H$2=CT157),'2025DATA'!$M$36,"")</f>
        <v/>
      </c>
      <c r="CU191" s="520" t="str">
        <f>IF(AND(_A6="A-220-100",'2025'!$H$4="FO",'2025'!$H$2=CU157),'2025DATA'!$N$36,"")</f>
        <v/>
      </c>
    </row>
    <row r="192" spans="16:99" x14ac:dyDescent="0.25">
      <c r="P192" s="940" t="s">
        <v>53</v>
      </c>
      <c r="Q192" s="13" t="s">
        <v>61</v>
      </c>
      <c r="R192" s="518" t="str">
        <f>IF(AND(_A1="B-717",'2025'!$H$4="CA",'2025'!$H$2=R157),'2025DATA'!$C$37,"")</f>
        <v/>
      </c>
      <c r="S192" s="518" t="str">
        <f>IF(AND(_A1="B-717",'2025'!$H$4="CA",'2025'!$H$2=S157),'2025DATA'!$D$37,"")</f>
        <v/>
      </c>
      <c r="T192" s="518" t="str">
        <f>IF(AND(_A1="B-717",'2025'!$H$4="CA",'2025'!$H$2=T157),'2025DATA'!$E$37,"")</f>
        <v/>
      </c>
      <c r="U192" s="518" t="str">
        <f>IF(AND(_A1="B-717",'2025'!$H$4="CA",'2025'!$H$2=U157),'2025DATA'!$F$37,"")</f>
        <v/>
      </c>
      <c r="V192" s="518" t="str">
        <f>IF(AND(_A1="B-717",'2025'!$H$4="CA",'2025'!$H$2=V157),'2025DATA'!$G$37,"")</f>
        <v/>
      </c>
      <c r="W192" s="518" t="str">
        <f>IF(AND(_A1="B-717",'2025'!$H$4="CA",'2025'!$H$2=W157),'2025DATA'!$H$37,"")</f>
        <v/>
      </c>
      <c r="X192" s="518" t="str">
        <f>IF(AND(_A1="B-717",'2025'!$H$4="CA",'2025'!$H$2=X157),'2025DATA'!$I$37,"")</f>
        <v/>
      </c>
      <c r="Y192" s="518" t="str">
        <f>IF(AND(_A1="B-717",'2025'!$H$4="CA",'2025'!$H$2=Y157),'2025DATA'!$J$37,"")</f>
        <v/>
      </c>
      <c r="Z192" s="518" t="str">
        <f>IF(AND(_A1="B-717",'2025'!$H$4="CA",'2025'!$H$2=Z157),'2025DATA'!$K$37,"")</f>
        <v/>
      </c>
      <c r="AA192" s="518" t="str">
        <f>IF(AND(_A1="B-717",'2025'!$H$4="CA",'2025'!$H$2=AA157),'2025DATA'!$L$37,"")</f>
        <v/>
      </c>
      <c r="AB192" s="518" t="str">
        <f>IF(AND(_A1="B-717",'2025'!$H$4="CA",'2025'!$H$2=AB157),'2025DATA'!$M$37,"")</f>
        <v/>
      </c>
      <c r="AC192" s="520" t="str">
        <f>IF(AND(_A1="B-717",'2025'!$H$4="CA",'2025'!$H$2=AC157),'2025DATA'!$N$37,"")</f>
        <v/>
      </c>
      <c r="AD192" s="940" t="s">
        <v>53</v>
      </c>
      <c r="AE192" s="13" t="s">
        <v>61</v>
      </c>
      <c r="AF192" s="518" t="str">
        <f>IF(AND(_A2="B-717",'2025'!$H$4="CA",'2025'!$H$2=AF157),'2025DATA'!$C$37,"")</f>
        <v/>
      </c>
      <c r="AG192" s="518" t="str">
        <f>IF(AND(_A2="B-717",'2025'!$H$4="CA",'2025'!$H$2=AG157),'2025DATA'!$D$37,"")</f>
        <v/>
      </c>
      <c r="AH192" s="518" t="str">
        <f>IF(AND(_A2="B-717",'2025'!$H$4="CA",'2025'!$H$2=AH157),'2025DATA'!$E$37,"")</f>
        <v/>
      </c>
      <c r="AI192" s="518" t="str">
        <f>IF(AND(_A2="B-717",'2025'!$H$4="CA",'2025'!$H$2=AI157),'2025DATA'!$F$37,"")</f>
        <v/>
      </c>
      <c r="AJ192" s="518" t="str">
        <f>IF(AND(_A2="B-717",'2025'!$H$4="CA",'2025'!$H$2=AJ157),'2025DATA'!$G$37,"")</f>
        <v/>
      </c>
      <c r="AK192" s="518" t="str">
        <f>IF(AND(_A2="B-717",'2025'!$H$4="CA",'2025'!$H$2=AK157),'2025DATA'!$H$37,"")</f>
        <v/>
      </c>
      <c r="AL192" s="518" t="str">
        <f>IF(AND(_A2="B-717",'2025'!$H$4="CA",'2025'!$H$2=AL157),'2025DATA'!$I$37,"")</f>
        <v/>
      </c>
      <c r="AM192" s="518" t="str">
        <f>IF(AND(_A2="B-717",'2025'!$H$4="CA",'2025'!$H$2=AM157),'2025DATA'!$J$37,"")</f>
        <v/>
      </c>
      <c r="AN192" s="518" t="str">
        <f>IF(AND(_A2="B-717",'2025'!$H$4="CA",'2025'!$H$2=AN157),'2025DATA'!$K$37,"")</f>
        <v/>
      </c>
      <c r="AO192" s="518" t="str">
        <f>IF(AND(_A2="B-717",'2025'!$H$4="CA",'2025'!$H$2=AO157),'2025DATA'!$L$37,"")</f>
        <v/>
      </c>
      <c r="AP192" s="518" t="str">
        <f>IF(AND(_A2="B-717",'2025'!$H$4="CA",'2025'!$H$2=AP157),'2025DATA'!$M$37,"")</f>
        <v/>
      </c>
      <c r="AQ192" s="520" t="str">
        <f>IF(AND(_A2="B-717",'2025'!$H$4="CA",'2025'!$H$2=AQ157),'2025DATA'!$N$37,"")</f>
        <v/>
      </c>
      <c r="AR192" s="940" t="s">
        <v>53</v>
      </c>
      <c r="AS192" s="13" t="s">
        <v>61</v>
      </c>
      <c r="AT192" s="518" t="str">
        <f>IF(AND(_A3="B-717",'2025'!$H$4="CA",'2025'!$H$2=AT157),'2025DATA'!$C$37,"")</f>
        <v/>
      </c>
      <c r="AU192" s="518" t="str">
        <f>IF(AND(_A3="B-717",'2025'!$H$4="CA",'2025'!$H$2=AU157),'2025DATA'!$D$37,"")</f>
        <v/>
      </c>
      <c r="AV192" s="518" t="str">
        <f>IF(AND(_A3="B-717",'2025'!$H$4="CA",'2025'!$H$2=AV157),'2025DATA'!$E$37,"")</f>
        <v/>
      </c>
      <c r="AW192" s="518" t="str">
        <f>IF(AND(_A3="B-717",'2025'!$H$4="CA",'2025'!$H$2=AW157),'2025DATA'!$F$37,"")</f>
        <v/>
      </c>
      <c r="AX192" s="518" t="str">
        <f>IF(AND(_A3="B-717",'2025'!$H$4="CA",'2025'!$H$2=AX157),'2025DATA'!$G$37,"")</f>
        <v/>
      </c>
      <c r="AY192" s="518" t="str">
        <f>IF(AND(_A3="B-717",'2025'!$H$4="CA",'2025'!$H$2=AY157),'2025DATA'!$H$37,"")</f>
        <v/>
      </c>
      <c r="AZ192" s="518" t="str">
        <f>IF(AND(_A3="B-717",'2025'!$H$4="CA",'2025'!$H$2=AZ157),'2025DATA'!$I$37,"")</f>
        <v/>
      </c>
      <c r="BA192" s="518" t="str">
        <f>IF(AND(_A3="B-717",'2025'!$H$4="CA",'2025'!$H$2=BA157),'2025DATA'!$J$37,"")</f>
        <v/>
      </c>
      <c r="BB192" s="518" t="str">
        <f>IF(AND(_A3="B-717",'2025'!$H$4="CA",'2025'!$H$2=BB157),'2025DATA'!$K$37,"")</f>
        <v/>
      </c>
      <c r="BC192" s="518" t="str">
        <f>IF(AND(_A3="B-717",'2025'!$H$4="CA",'2025'!$H$2=BC157),'2025DATA'!$L$37,"")</f>
        <v/>
      </c>
      <c r="BD192" s="518" t="str">
        <f>IF(AND(_A3="B-717",'2025'!$H$4="CA",'2025'!$H$2=BD157),'2025DATA'!$M$37,"")</f>
        <v/>
      </c>
      <c r="BE192" s="520" t="str">
        <f>IF(AND(_A3="B-717",'2025'!$H$4="CA",'2025'!$H$2=BE157),'2025DATA'!$N$37,"")</f>
        <v/>
      </c>
      <c r="BF192" s="940" t="s">
        <v>53</v>
      </c>
      <c r="BG192" s="13" t="s">
        <v>61</v>
      </c>
      <c r="BH192" s="518" t="str">
        <f>IF(AND(_A4="B-717",'2025'!$H$4="CA",'2025'!$H$2=BH157),'2025DATA'!$C$37,"")</f>
        <v/>
      </c>
      <c r="BI192" s="518" t="str">
        <f>IF(AND(_A4="B-717",'2025'!$H$4="CA",'2025'!$H$2=BI157),'2025DATA'!$D$37,"")</f>
        <v/>
      </c>
      <c r="BJ192" s="518" t="str">
        <f>IF(AND(_A4="B-717",'2025'!$H$4="CA",'2025'!$H$2=BJ157),'2025DATA'!$E$37,"")</f>
        <v/>
      </c>
      <c r="BK192" s="518" t="str">
        <f>IF(AND(_A4="B-717",'2025'!$H$4="CA",'2025'!$H$2=BK157),'2025DATA'!$F$37,"")</f>
        <v/>
      </c>
      <c r="BL192" s="518" t="str">
        <f>IF(AND(_A4="B-717",'2025'!$H$4="CA",'2025'!$H$2=BL157),'2025DATA'!$G$37,"")</f>
        <v/>
      </c>
      <c r="BM192" s="518" t="str">
        <f>IF(AND(_A4="B-717",'2025'!$H$4="CA",'2025'!$H$2=BM157),'2025DATA'!$H$37,"")</f>
        <v/>
      </c>
      <c r="BN192" s="518" t="str">
        <f>IF(AND(_A4="B-717",'2025'!$H$4="CA",'2025'!$H$2=BN157),'2025DATA'!$I$37,"")</f>
        <v/>
      </c>
      <c r="BO192" s="518" t="str">
        <f>IF(AND(_A4="B-717",'2025'!$H$4="CA",'2025'!$H$2=BO157),'2025DATA'!$J$37,"")</f>
        <v/>
      </c>
      <c r="BP192" s="518" t="str">
        <f>IF(AND(_A4="B-717",'2025'!$H$4="CA",'2025'!$H$2=BP157),'2025DATA'!$K$37,"")</f>
        <v/>
      </c>
      <c r="BQ192" s="518" t="str">
        <f>IF(AND(_A4="B-717",'2025'!$H$4="CA",'2025'!$H$2=BQ157),'2025DATA'!$L$37,"")</f>
        <v/>
      </c>
      <c r="BR192" s="518" t="str">
        <f>IF(AND(_A4="B-717",'2025'!$H$4="CA",'2025'!$H$2=BR157),'2025DATA'!$M$37,"")</f>
        <v/>
      </c>
      <c r="BS192" s="520" t="str">
        <f>IF(AND(_A4="B-717",'2025'!$H$4="CA",'2025'!$H$2=BS157),'2025DATA'!$N$37,"")</f>
        <v/>
      </c>
      <c r="BT192" s="940" t="s">
        <v>53</v>
      </c>
      <c r="BU192" s="13" t="s">
        <v>61</v>
      </c>
      <c r="BV192" s="518" t="str">
        <f>IF(AND(_A5="B-717",'2025'!$H$4="CA",'2025'!$H$2=BV157),'2025DATA'!$C$37,"")</f>
        <v/>
      </c>
      <c r="BW192" s="518" t="str">
        <f>IF(AND(_A5="B-717",'2025'!$H$4="CA",'2025'!$H$2=BW157),'2025DATA'!$D$37,"")</f>
        <v/>
      </c>
      <c r="BX192" s="518" t="str">
        <f>IF(AND(_A5="B-717",'2025'!$H$4="CA",'2025'!$H$2=BX157),'2025DATA'!$E$37,"")</f>
        <v/>
      </c>
      <c r="BY192" s="518" t="str">
        <f>IF(AND(_A5="B-717",'2025'!$H$4="CA",'2025'!$H$2=BY157),'2025DATA'!$F$37,"")</f>
        <v/>
      </c>
      <c r="BZ192" s="518" t="str">
        <f>IF(AND(_A5="B-717",'2025'!$H$4="CA",'2025'!$H$2=BZ157),'2025DATA'!$G$37,"")</f>
        <v/>
      </c>
      <c r="CA192" s="518" t="str">
        <f>IF(AND(_A5="B-717",'2025'!$H$4="CA",'2025'!$H$2=CA157),'2025DATA'!$H$37,"")</f>
        <v/>
      </c>
      <c r="CB192" s="518" t="str">
        <f>IF(AND(_A5="B-717",'2025'!$H$4="CA",'2025'!$H$2=CB157),'2025DATA'!$I$37,"")</f>
        <v/>
      </c>
      <c r="CC192" s="518" t="str">
        <f>IF(AND(_A5="B-717",'2025'!$H$4="CA",'2025'!$H$2=CC157),'2025DATA'!$J$37,"")</f>
        <v/>
      </c>
      <c r="CD192" s="518" t="str">
        <f>IF(AND(_A5="B-717",'2025'!$H$4="CA",'2025'!$H$2=CD157),'2025DATA'!$K$37,"")</f>
        <v/>
      </c>
      <c r="CE192" s="518" t="str">
        <f>IF(AND(_A5="B-717",'2025'!$H$4="CA",'2025'!$H$2=CE157),'2025DATA'!$L$37,"")</f>
        <v/>
      </c>
      <c r="CF192" s="518" t="str">
        <f>IF(AND(_A5="B-717",'2025'!$H$4="CA",'2025'!$H$2=CF157),'2025DATA'!$M$37,"")</f>
        <v/>
      </c>
      <c r="CG192" s="520" t="str">
        <f>IF(AND(_A5="B-717",'2025'!$H$4="CA",'2025'!$H$2=CG157),'2025DATA'!$N$37,"")</f>
        <v/>
      </c>
      <c r="CH192" s="940" t="s">
        <v>53</v>
      </c>
      <c r="CI192" s="13" t="s">
        <v>61</v>
      </c>
      <c r="CJ192" s="518" t="str">
        <f>IF(AND(_A6="B-717",'2025'!$H$4="CA",'2025'!$H$2=CJ157),'2025DATA'!$C$37,"")</f>
        <v/>
      </c>
      <c r="CK192" s="518" t="str">
        <f>IF(AND(_A6="B-717",'2025'!$H$4="CA",'2025'!$H$2=CK157),'2025DATA'!$D$37,"")</f>
        <v/>
      </c>
      <c r="CL192" s="518" t="str">
        <f>IF(AND(_A6="B-717",'2025'!$H$4="CA",'2025'!$H$2=CL157),'2025DATA'!$E$37,"")</f>
        <v/>
      </c>
      <c r="CM192" s="518" t="str">
        <f>IF(AND(_A6="B-717",'2025'!$H$4="CA",'2025'!$H$2=CM157),'2025DATA'!$F$37,"")</f>
        <v/>
      </c>
      <c r="CN192" s="518" t="str">
        <f>IF(AND(_A6="B-717",'2025'!$H$4="CA",'2025'!$H$2=CN157),'2025DATA'!$G$37,"")</f>
        <v/>
      </c>
      <c r="CO192" s="518" t="str">
        <f>IF(AND(_A6="B-717",'2025'!$H$4="CA",'2025'!$H$2=CO157),'2025DATA'!$H$37,"")</f>
        <v/>
      </c>
      <c r="CP192" s="518" t="str">
        <f>IF(AND(_A6="B-717",'2025'!$H$4="CA",'2025'!$H$2=CP157),'2025DATA'!$I$37,"")</f>
        <v/>
      </c>
      <c r="CQ192" s="518" t="str">
        <f>IF(AND(_A6="B-717",'2025'!$H$4="CA",'2025'!$H$2=CQ157),'2025DATA'!$J$37,"")</f>
        <v/>
      </c>
      <c r="CR192" s="518" t="str">
        <f>IF(AND(_A6="B-717",'2025'!$H$4="CA",'2025'!$H$2=CR157),'2025DATA'!$K$37,"")</f>
        <v/>
      </c>
      <c r="CS192" s="518" t="str">
        <f>IF(AND(_A6="B-717",'2025'!$H$4="CA",'2025'!$H$2=CS157),'2025DATA'!$L$37,"")</f>
        <v/>
      </c>
      <c r="CT192" s="518" t="str">
        <f>IF(AND(_A6="B-717",'2025'!$H$4="CA",'2025'!$H$2=CT157),'2025DATA'!$M$37,"")</f>
        <v/>
      </c>
      <c r="CU192" s="520" t="str">
        <f>IF(AND(_A6="B-717",'2025'!$H$4="CA",'2025'!$H$2=CU157),'2025DATA'!$N$37,"")</f>
        <v/>
      </c>
    </row>
    <row r="193" spans="16:99" ht="15.75" thickBot="1" x14ac:dyDescent="0.3">
      <c r="P193" s="941"/>
      <c r="Q193" s="521" t="s">
        <v>62</v>
      </c>
      <c r="R193" s="518" t="str">
        <f>IF(AND(_A1="B-717",'2025'!$H$4="FO",'2025'!$H$2=R157),'2025DATA'!$C$38,"")</f>
        <v/>
      </c>
      <c r="S193" s="518" t="str">
        <f>IF(AND(_A1="B-717",'2025'!$H$4="FO",'2025'!$H$2=S157),'2025DATA'!$D$38,"")</f>
        <v/>
      </c>
      <c r="T193" s="518" t="str">
        <f>IF(AND(_A1="B-717",'2025'!$H$4="FO",'2025'!$H$2=T157),'2025DATA'!$E$38,"")</f>
        <v/>
      </c>
      <c r="U193" s="518" t="str">
        <f>IF(AND(_A1="B-717",'2025'!$H$4="FO",'2025'!$H$2=U157),'2025DATA'!$F$38,"")</f>
        <v/>
      </c>
      <c r="V193" s="518" t="str">
        <f>IF(AND(_A1="B-717",'2025'!$H$4="FO",'2025'!$H$2=V157),'2025DATA'!$G$38,"")</f>
        <v/>
      </c>
      <c r="W193" s="518" t="str">
        <f>IF(AND(_A1="B-717",'2025'!$H$4="FO",'2025'!$H$2=W157),'2025DATA'!$H$38,"")</f>
        <v/>
      </c>
      <c r="X193" s="518" t="str">
        <f>IF(AND(_A1="B-717",'2025'!$H$4="FO",'2025'!$H$2=X157),'2025DATA'!$I$38,"")</f>
        <v/>
      </c>
      <c r="Y193" s="518" t="str">
        <f>IF(AND(_A1="B-717",'2025'!$H$4="FO",'2025'!$H$2=Y157),'2025DATA'!$J$38,"")</f>
        <v/>
      </c>
      <c r="Z193" s="518" t="str">
        <f>IF(AND(_A1="B-717",'2025'!$H$4="FO",'2025'!$H$2=Z157),'2025DATA'!$K$38,"")</f>
        <v/>
      </c>
      <c r="AA193" s="518" t="str">
        <f>IF(AND(_A1="B-717",'2025'!$H$4="FO",'2025'!$H$2=AA157),'2025DATA'!$L$38,"")</f>
        <v/>
      </c>
      <c r="AB193" s="518" t="str">
        <f>IF(AND(_A1="B-717",'2025'!$H$4="FO",'2025'!$H$2=AB157),'2025DATA'!$M$38,"")</f>
        <v/>
      </c>
      <c r="AC193" s="520" t="str">
        <f>IF(AND(_A1="B-717",'2025'!$H$4="FO",'2025'!$H$2=AC157),'2025DATA'!$N$38,"")</f>
        <v/>
      </c>
      <c r="AD193" s="941"/>
      <c r="AE193" s="521" t="s">
        <v>62</v>
      </c>
      <c r="AF193" s="518" t="str">
        <f>IF(AND(_A2="B-717",'2025'!$H$4="FO",'2025'!$H$2=AF157),'2025DATA'!$C$38,"")</f>
        <v/>
      </c>
      <c r="AG193" s="518" t="str">
        <f>IF(AND(_A2="B-717",'2025'!$H$4="FO",'2025'!$H$2=AG157),'2025DATA'!$D$38,"")</f>
        <v/>
      </c>
      <c r="AH193" s="518" t="str">
        <f>IF(AND(_A2="B-717",'2025'!$H$4="FO",'2025'!$H$2=AH157),'2025DATA'!$E$38,"")</f>
        <v/>
      </c>
      <c r="AI193" s="518" t="str">
        <f>IF(AND(_A2="B-717",'2025'!$H$4="FO",'2025'!$H$2=AI157),'2025DATA'!$F$38,"")</f>
        <v/>
      </c>
      <c r="AJ193" s="518" t="str">
        <f>IF(AND(_A2="B-717",'2025'!$H$4="FO",'2025'!$H$2=AJ157),'2025DATA'!$G$38,"")</f>
        <v/>
      </c>
      <c r="AK193" s="518" t="str">
        <f>IF(AND(_A2="B-717",'2025'!$H$4="FO",'2025'!$H$2=AK157),'2025DATA'!$H$38,"")</f>
        <v/>
      </c>
      <c r="AL193" s="518" t="str">
        <f>IF(AND(_A2="B-717",'2025'!$H$4="FO",'2025'!$H$2=AL157),'2025DATA'!$I$38,"")</f>
        <v/>
      </c>
      <c r="AM193" s="518" t="str">
        <f>IF(AND(_A2="B-717",'2025'!$H$4="FO",'2025'!$H$2=AM157),'2025DATA'!$J$38,"")</f>
        <v/>
      </c>
      <c r="AN193" s="518" t="str">
        <f>IF(AND(_A2="B-717",'2025'!$H$4="FO",'2025'!$H$2=AN157),'2025DATA'!$K$38,"")</f>
        <v/>
      </c>
      <c r="AO193" s="518" t="str">
        <f>IF(AND(_A2="B-717",'2025'!$H$4="FO",'2025'!$H$2=AO157),'2025DATA'!$L$38,"")</f>
        <v/>
      </c>
      <c r="AP193" s="518" t="str">
        <f>IF(AND(_A2="B-717",'2025'!$H$4="FO",'2025'!$H$2=AP157),'2025DATA'!$M$38,"")</f>
        <v/>
      </c>
      <c r="AQ193" s="520" t="str">
        <f>IF(AND(_A2="B-717",'2025'!$H$4="FO",'2025'!$H$2=AQ157),'2025DATA'!$N$38,"")</f>
        <v/>
      </c>
      <c r="AR193" s="941"/>
      <c r="AS193" s="521" t="s">
        <v>62</v>
      </c>
      <c r="AT193" s="518" t="str">
        <f>IF(AND(_A3="B-717",'2025'!$H$4="FO",'2025'!$H$2=AT157),'2025DATA'!$C$38,"")</f>
        <v/>
      </c>
      <c r="AU193" s="518" t="str">
        <f>IF(AND(_A3="B-717",'2025'!$H$4="FO",'2025'!$H$2=AU157),'2025DATA'!$D$38,"")</f>
        <v/>
      </c>
      <c r="AV193" s="518" t="str">
        <f>IF(AND(_A3="B-717",'2025'!$H$4="FO",'2025'!$H$2=AV157),'2025DATA'!$E$38,"")</f>
        <v/>
      </c>
      <c r="AW193" s="518" t="str">
        <f>IF(AND(_A3="B-717",'2025'!$H$4="FO",'2025'!$H$2=AW157),'2025DATA'!$F$38,"")</f>
        <v/>
      </c>
      <c r="AX193" s="518" t="str">
        <f>IF(AND(_A3="B-717",'2025'!$H$4="FO",'2025'!$H$2=AX157),'2025DATA'!$G$38,"")</f>
        <v/>
      </c>
      <c r="AY193" s="518" t="str">
        <f>IF(AND(_A3="B-717",'2025'!$H$4="FO",'2025'!$H$2=AY157),'2025DATA'!$H$38,"")</f>
        <v/>
      </c>
      <c r="AZ193" s="518" t="str">
        <f>IF(AND(_A3="B-717",'2025'!$H$4="FO",'2025'!$H$2=AZ157),'2025DATA'!$I$38,"")</f>
        <v/>
      </c>
      <c r="BA193" s="518" t="str">
        <f>IF(AND(_A3="B-717",'2025'!$H$4="FO",'2025'!$H$2=BA157),'2025DATA'!$J$38,"")</f>
        <v/>
      </c>
      <c r="BB193" s="518" t="str">
        <f>IF(AND(_A3="B-717",'2025'!$H$4="FO",'2025'!$H$2=BB157),'2025DATA'!$K$38,"")</f>
        <v/>
      </c>
      <c r="BC193" s="518" t="str">
        <f>IF(AND(_A3="B-717",'2025'!$H$4="FO",'2025'!$H$2=BC157),'2025DATA'!$L$38,"")</f>
        <v/>
      </c>
      <c r="BD193" s="518" t="str">
        <f>IF(AND(_A3="B-717",'2025'!$H$4="FO",'2025'!$H$2=BD157),'2025DATA'!$M$38,"")</f>
        <v/>
      </c>
      <c r="BE193" s="520" t="str">
        <f>IF(AND(_A3="B-717",'2025'!$H$4="FO",'2025'!$H$2=BE157),'2025DATA'!$N$38,"")</f>
        <v/>
      </c>
      <c r="BF193" s="941"/>
      <c r="BG193" s="521" t="s">
        <v>62</v>
      </c>
      <c r="BH193" s="518" t="str">
        <f>IF(AND(_A4="B-717",'2025'!$H$4="FO",'2025'!$H$2=BH157),'2025DATA'!$C$38,"")</f>
        <v/>
      </c>
      <c r="BI193" s="518" t="str">
        <f>IF(AND(_A4="B-717",'2025'!$H$4="FO",'2025'!$H$2=BI157),'2025DATA'!$D$38,"")</f>
        <v/>
      </c>
      <c r="BJ193" s="518" t="str">
        <f>IF(AND(_A4="B-717",'2025'!$H$4="FO",'2025'!$H$2=BJ157),'2025DATA'!$E$38,"")</f>
        <v/>
      </c>
      <c r="BK193" s="518" t="str">
        <f>IF(AND(_A4="B-717",'2025'!$H$4="FO",'2025'!$H$2=BK157),'2025DATA'!$F$38,"")</f>
        <v/>
      </c>
      <c r="BL193" s="518" t="str">
        <f>IF(AND(_A4="B-717",'2025'!$H$4="FO",'2025'!$H$2=BL157),'2025DATA'!$G$38,"")</f>
        <v/>
      </c>
      <c r="BM193" s="518" t="str">
        <f>IF(AND(_A4="B-717",'2025'!$H$4="FO",'2025'!$H$2=BM157),'2025DATA'!$H$38,"")</f>
        <v/>
      </c>
      <c r="BN193" s="518" t="str">
        <f>IF(AND(_A4="B-717",'2025'!$H$4="FO",'2025'!$H$2=BN157),'2025DATA'!$I$38,"")</f>
        <v/>
      </c>
      <c r="BO193" s="518" t="str">
        <f>IF(AND(_A4="B-717",'2025'!$H$4="FO",'2025'!$H$2=BO157),'2025DATA'!$J$38,"")</f>
        <v/>
      </c>
      <c r="BP193" s="518" t="str">
        <f>IF(AND(_A4="B-717",'2025'!$H$4="FO",'2025'!$H$2=BP157),'2025DATA'!$K$38,"")</f>
        <v/>
      </c>
      <c r="BQ193" s="518" t="str">
        <f>IF(AND(_A4="B-717",'2025'!$H$4="FO",'2025'!$H$2=BQ157),'2025DATA'!$L$38,"")</f>
        <v/>
      </c>
      <c r="BR193" s="518" t="str">
        <f>IF(AND(_A4="B-717",'2025'!$H$4="FO",'2025'!$H$2=BR157),'2025DATA'!$M$38,"")</f>
        <v/>
      </c>
      <c r="BS193" s="520" t="str">
        <f>IF(AND(_A4="B-717",'2025'!$H$4="FO",'2025'!$H$2=BS157),'2025DATA'!$N$38,"")</f>
        <v/>
      </c>
      <c r="BT193" s="941"/>
      <c r="BU193" s="521" t="s">
        <v>62</v>
      </c>
      <c r="BV193" s="518" t="str">
        <f>IF(AND(_A5="B-717",'2025'!$H$4="FO",'2025'!$H$2=BV157),'2025DATA'!$C$38,"")</f>
        <v/>
      </c>
      <c r="BW193" s="518" t="str">
        <f>IF(AND(_A5="B-717",'2025'!$H$4="FO",'2025'!$H$2=BW157),'2025DATA'!$D$38,"")</f>
        <v/>
      </c>
      <c r="BX193" s="518" t="str">
        <f>IF(AND(_A5="B-717",'2025'!$H$4="FO",'2025'!$H$2=BX157),'2025DATA'!$E$38,"")</f>
        <v/>
      </c>
      <c r="BY193" s="518" t="str">
        <f>IF(AND(_A5="B-717",'2025'!$H$4="FO",'2025'!$H$2=BY157),'2025DATA'!$F$38,"")</f>
        <v/>
      </c>
      <c r="BZ193" s="518" t="str">
        <f>IF(AND(_A5="B-717",'2025'!$H$4="FO",'2025'!$H$2=BZ157),'2025DATA'!$G$38,"")</f>
        <v/>
      </c>
      <c r="CA193" s="518" t="str">
        <f>IF(AND(_A5="B-717",'2025'!$H$4="FO",'2025'!$H$2=CA157),'2025DATA'!$H$38,"")</f>
        <v/>
      </c>
      <c r="CB193" s="518" t="str">
        <f>IF(AND(_A5="B-717",'2025'!$H$4="FO",'2025'!$H$2=CB157),'2025DATA'!$I$38,"")</f>
        <v/>
      </c>
      <c r="CC193" s="518" t="str">
        <f>IF(AND(_A5="B-717",'2025'!$H$4="FO",'2025'!$H$2=CC157),'2025DATA'!$J$38,"")</f>
        <v/>
      </c>
      <c r="CD193" s="518" t="str">
        <f>IF(AND(_A5="B-717",'2025'!$H$4="FO",'2025'!$H$2=CD157),'2025DATA'!$K$38,"")</f>
        <v/>
      </c>
      <c r="CE193" s="518" t="str">
        <f>IF(AND(_A5="B-717",'2025'!$H$4="FO",'2025'!$H$2=CE157),'2025DATA'!$L$38,"")</f>
        <v/>
      </c>
      <c r="CF193" s="518" t="str">
        <f>IF(AND(_A5="B-717",'2025'!$H$4="FO",'2025'!$H$2=CF157),'2025DATA'!$M$38,"")</f>
        <v/>
      </c>
      <c r="CG193" s="520" t="str">
        <f>IF(AND(_A5="B-717",'2025'!$H$4="FO",'2025'!$H$2=CG157),'2025DATA'!$N$38,"")</f>
        <v/>
      </c>
      <c r="CH193" s="941"/>
      <c r="CI193" s="521" t="s">
        <v>62</v>
      </c>
      <c r="CJ193" s="518" t="str">
        <f>IF(AND(_A6="B-717",'2025'!$H$4="FO",'2025'!$H$2=CJ157),'2025DATA'!$C$38,"")</f>
        <v/>
      </c>
      <c r="CK193" s="518" t="str">
        <f>IF(AND(_A6="B-717",'2025'!$H$4="FO",'2025'!$H$2=CK157),'2025DATA'!$D$38,"")</f>
        <v/>
      </c>
      <c r="CL193" s="518" t="str">
        <f>IF(AND(_A6="B-717",'2025'!$H$4="FO",'2025'!$H$2=CL157),'2025DATA'!$E$38,"")</f>
        <v/>
      </c>
      <c r="CM193" s="518" t="str">
        <f>IF(AND(_A6="B-717",'2025'!$H$4="FO",'2025'!$H$2=CM157),'2025DATA'!$F$38,"")</f>
        <v/>
      </c>
      <c r="CN193" s="518" t="str">
        <f>IF(AND(_A6="B-717",'2025'!$H$4="FO",'2025'!$H$2=CN157),'2025DATA'!$G$38,"")</f>
        <v/>
      </c>
      <c r="CO193" s="518" t="str">
        <f>IF(AND(_A6="B-717",'2025'!$H$4="FO",'2025'!$H$2=CO157),'2025DATA'!$H$38,"")</f>
        <v/>
      </c>
      <c r="CP193" s="518" t="str">
        <f>IF(AND(_A6="B-717",'2025'!$H$4="FO",'2025'!$H$2=CP157),'2025DATA'!$I$38,"")</f>
        <v/>
      </c>
      <c r="CQ193" s="518" t="str">
        <f>IF(AND(_A6="B-717",'2025'!$H$4="FO",'2025'!$H$2=CQ157),'2025DATA'!$J$38,"")</f>
        <v/>
      </c>
      <c r="CR193" s="518" t="str">
        <f>IF(AND(_A6="B-717",'2025'!$H$4="FO",'2025'!$H$2=CR157),'2025DATA'!$K$38,"")</f>
        <v/>
      </c>
      <c r="CS193" s="518" t="str">
        <f>IF(AND(_A6="B-717",'2025'!$H$4="FO",'2025'!$H$2=CS157),'2025DATA'!$L$38,"")</f>
        <v/>
      </c>
      <c r="CT193" s="518" t="str">
        <f>IF(AND(_A6="B-717",'2025'!$H$4="FO",'2025'!$H$2=CT157),'2025DATA'!$M$38,"")</f>
        <v/>
      </c>
      <c r="CU193" s="520" t="str">
        <f>IF(AND(_A6="B-717",'2025'!$H$4="FO",'2025'!$H$2=CU157),'2025DATA'!$N$38,"")</f>
        <v/>
      </c>
    </row>
    <row r="194" spans="16:99" x14ac:dyDescent="0.25">
      <c r="P194" s="943" t="s">
        <v>116</v>
      </c>
      <c r="Q194" s="944"/>
      <c r="R194" s="944"/>
      <c r="S194" s="944"/>
      <c r="T194" s="944"/>
      <c r="U194" s="944"/>
      <c r="V194" s="944"/>
      <c r="W194" s="944"/>
      <c r="X194" s="944"/>
      <c r="Y194" s="944"/>
      <c r="Z194" s="944"/>
      <c r="AA194" s="944"/>
      <c r="AB194" s="944"/>
      <c r="AC194" s="945"/>
      <c r="AD194" s="943" t="s">
        <v>117</v>
      </c>
      <c r="AE194" s="944"/>
      <c r="AF194" s="944"/>
      <c r="AG194" s="944"/>
      <c r="AH194" s="944"/>
      <c r="AI194" s="944"/>
      <c r="AJ194" s="944"/>
      <c r="AK194" s="944"/>
      <c r="AL194" s="944"/>
      <c r="AM194" s="944"/>
      <c r="AN194" s="944"/>
      <c r="AO194" s="944"/>
      <c r="AP194" s="944"/>
      <c r="AQ194" s="945"/>
      <c r="AR194" s="943" t="s">
        <v>118</v>
      </c>
      <c r="AS194" s="944"/>
      <c r="AT194" s="944"/>
      <c r="AU194" s="944"/>
      <c r="AV194" s="944"/>
      <c r="AW194" s="944"/>
      <c r="AX194" s="944"/>
      <c r="AY194" s="944"/>
      <c r="AZ194" s="944"/>
      <c r="BA194" s="944"/>
      <c r="BB194" s="944"/>
      <c r="BC194" s="944"/>
      <c r="BD194" s="944"/>
      <c r="BE194" s="945"/>
      <c r="BF194" s="943" t="s">
        <v>119</v>
      </c>
      <c r="BG194" s="944"/>
      <c r="BH194" s="944"/>
      <c r="BI194" s="944"/>
      <c r="BJ194" s="944"/>
      <c r="BK194" s="944"/>
      <c r="BL194" s="944"/>
      <c r="BM194" s="944"/>
      <c r="BN194" s="944"/>
      <c r="BO194" s="944"/>
      <c r="BP194" s="944"/>
      <c r="BQ194" s="944"/>
      <c r="BR194" s="944"/>
      <c r="BS194" s="945"/>
      <c r="BT194" s="943" t="s">
        <v>120</v>
      </c>
      <c r="BU194" s="944"/>
      <c r="BV194" s="944"/>
      <c r="BW194" s="944"/>
      <c r="BX194" s="944"/>
      <c r="BY194" s="944"/>
      <c r="BZ194" s="944"/>
      <c r="CA194" s="944"/>
      <c r="CB194" s="944"/>
      <c r="CC194" s="944"/>
      <c r="CD194" s="944"/>
      <c r="CE194" s="944"/>
      <c r="CF194" s="944"/>
      <c r="CG194" s="945"/>
      <c r="CH194" s="943" t="s">
        <v>121</v>
      </c>
      <c r="CI194" s="944"/>
      <c r="CJ194" s="944"/>
      <c r="CK194" s="944"/>
      <c r="CL194" s="944"/>
      <c r="CM194" s="944"/>
      <c r="CN194" s="944"/>
      <c r="CO194" s="944"/>
      <c r="CP194" s="944"/>
      <c r="CQ194" s="944"/>
      <c r="CR194" s="944"/>
      <c r="CS194" s="944"/>
      <c r="CT194" s="944"/>
      <c r="CU194" s="945"/>
    </row>
    <row r="195" spans="16:99" x14ac:dyDescent="0.25">
      <c r="P195" s="579">
        <v>6</v>
      </c>
      <c r="Q195" s="579">
        <f>SUM(R196:AC231)</f>
        <v>0</v>
      </c>
      <c r="R195" s="3">
        <v>12</v>
      </c>
      <c r="S195" s="3">
        <v>11</v>
      </c>
      <c r="T195" s="3">
        <v>10</v>
      </c>
      <c r="U195" s="3">
        <v>9</v>
      </c>
      <c r="V195" s="3">
        <v>8</v>
      </c>
      <c r="W195" s="3">
        <v>7</v>
      </c>
      <c r="X195" s="3">
        <v>6</v>
      </c>
      <c r="Y195" s="3">
        <v>5</v>
      </c>
      <c r="Z195" s="3">
        <v>4</v>
      </c>
      <c r="AA195" s="3">
        <v>3</v>
      </c>
      <c r="AB195" s="3">
        <v>2</v>
      </c>
      <c r="AC195" s="519">
        <v>1</v>
      </c>
      <c r="AD195" s="579">
        <v>6</v>
      </c>
      <c r="AE195" s="579">
        <f>SUM(AF196:AQ231)</f>
        <v>0</v>
      </c>
      <c r="AF195" s="3">
        <v>12</v>
      </c>
      <c r="AG195" s="3">
        <v>11</v>
      </c>
      <c r="AH195" s="3">
        <v>10</v>
      </c>
      <c r="AI195" s="3">
        <v>9</v>
      </c>
      <c r="AJ195" s="3">
        <v>8</v>
      </c>
      <c r="AK195" s="3">
        <v>7</v>
      </c>
      <c r="AL195" s="3">
        <v>6</v>
      </c>
      <c r="AM195" s="3">
        <v>5</v>
      </c>
      <c r="AN195" s="3">
        <v>4</v>
      </c>
      <c r="AO195" s="3">
        <v>3</v>
      </c>
      <c r="AP195" s="3">
        <v>2</v>
      </c>
      <c r="AQ195" s="519">
        <v>1</v>
      </c>
      <c r="AR195" s="579">
        <v>6</v>
      </c>
      <c r="AS195" s="579">
        <f>SUM(AT196:BE231)</f>
        <v>0</v>
      </c>
      <c r="AT195" s="3">
        <v>12</v>
      </c>
      <c r="AU195" s="3">
        <v>11</v>
      </c>
      <c r="AV195" s="3">
        <v>10</v>
      </c>
      <c r="AW195" s="3">
        <v>9</v>
      </c>
      <c r="AX195" s="3">
        <v>8</v>
      </c>
      <c r="AY195" s="3">
        <v>7</v>
      </c>
      <c r="AZ195" s="3">
        <v>6</v>
      </c>
      <c r="BA195" s="3">
        <v>5</v>
      </c>
      <c r="BB195" s="3">
        <v>4</v>
      </c>
      <c r="BC195" s="3">
        <v>3</v>
      </c>
      <c r="BD195" s="3">
        <v>2</v>
      </c>
      <c r="BE195" s="519">
        <v>1</v>
      </c>
      <c r="BF195" s="579">
        <v>6</v>
      </c>
      <c r="BG195" s="579">
        <f>SUM(BH196:BS231)</f>
        <v>0</v>
      </c>
      <c r="BH195" s="3">
        <v>12</v>
      </c>
      <c r="BI195" s="3">
        <v>11</v>
      </c>
      <c r="BJ195" s="3">
        <v>10</v>
      </c>
      <c r="BK195" s="3">
        <v>9</v>
      </c>
      <c r="BL195" s="3">
        <v>8</v>
      </c>
      <c r="BM195" s="3">
        <v>7</v>
      </c>
      <c r="BN195" s="3">
        <v>6</v>
      </c>
      <c r="BO195" s="3">
        <v>5</v>
      </c>
      <c r="BP195" s="3">
        <v>4</v>
      </c>
      <c r="BQ195" s="3">
        <v>3</v>
      </c>
      <c r="BR195" s="3">
        <v>2</v>
      </c>
      <c r="BS195" s="519">
        <v>1</v>
      </c>
      <c r="BT195" s="579">
        <v>6</v>
      </c>
      <c r="BU195" s="579">
        <f>SUM(BV196:CG231)</f>
        <v>0</v>
      </c>
      <c r="BV195" s="3">
        <v>12</v>
      </c>
      <c r="BW195" s="3">
        <v>11</v>
      </c>
      <c r="BX195" s="3">
        <v>10</v>
      </c>
      <c r="BY195" s="3">
        <v>9</v>
      </c>
      <c r="BZ195" s="3">
        <v>8</v>
      </c>
      <c r="CA195" s="3">
        <v>7</v>
      </c>
      <c r="CB195" s="3">
        <v>6</v>
      </c>
      <c r="CC195" s="3">
        <v>5</v>
      </c>
      <c r="CD195" s="3">
        <v>4</v>
      </c>
      <c r="CE195" s="3">
        <v>3</v>
      </c>
      <c r="CF195" s="3">
        <v>2</v>
      </c>
      <c r="CG195" s="519">
        <v>1</v>
      </c>
      <c r="CH195" s="579">
        <v>6</v>
      </c>
      <c r="CI195" s="579">
        <f>SUM(CJ196:CU231)</f>
        <v>0</v>
      </c>
      <c r="CJ195" s="3">
        <v>12</v>
      </c>
      <c r="CK195" s="3">
        <v>11</v>
      </c>
      <c r="CL195" s="3">
        <v>10</v>
      </c>
      <c r="CM195" s="3">
        <v>9</v>
      </c>
      <c r="CN195" s="3">
        <v>8</v>
      </c>
      <c r="CO195" s="3">
        <v>7</v>
      </c>
      <c r="CP195" s="3">
        <v>6</v>
      </c>
      <c r="CQ195" s="3">
        <v>5</v>
      </c>
      <c r="CR195" s="3">
        <v>4</v>
      </c>
      <c r="CS195" s="3">
        <v>3</v>
      </c>
      <c r="CT195" s="3">
        <v>2</v>
      </c>
      <c r="CU195" s="519">
        <v>1</v>
      </c>
    </row>
    <row r="196" spans="16:99" x14ac:dyDescent="0.25">
      <c r="P196" s="940" t="s">
        <v>39</v>
      </c>
      <c r="Q196" s="13" t="s">
        <v>61</v>
      </c>
      <c r="R196" s="518" t="str">
        <f>IF(AND(_A1="A-350",'2025'!$I$4="CA",'2025'!$I$2=R195),'2025DATA'!$C$3,"")</f>
        <v/>
      </c>
      <c r="S196" s="518" t="str">
        <f>IF(AND(_A1="A-350",'2025'!$I$4="CA",'2025'!$I$2=S195),'2025DATA'!$D$3,"")</f>
        <v/>
      </c>
      <c r="T196" s="518" t="str">
        <f>IF(AND(_A1="A-350",'2025'!$I$4="CA",'2025'!$I$2=T195),'2025DATA'!$E$3,"")</f>
        <v/>
      </c>
      <c r="U196" s="518" t="str">
        <f>IF(AND(_A1="A-350",'2025'!$I$4="CA",'2025'!$I$2=U195),'2025DATA'!$F$3,"")</f>
        <v/>
      </c>
      <c r="V196" s="518" t="str">
        <f>IF(AND(_A1="A-350",'2025'!$I$4="CA",'2025'!$I$2=V195),'2025DATA'!$G$3,"")</f>
        <v/>
      </c>
      <c r="W196" s="518" t="str">
        <f>IF(AND(_A1="A-350",'2025'!$I$4="CA",'2025'!$I$2=W195),'2025DATA'!$H$3,"")</f>
        <v/>
      </c>
      <c r="X196" s="518" t="str">
        <f>IF(AND(_A1="A-350",'2025'!$I$4="CA",'2025'!$I$2=X195),'2025DATA'!$I$3,"")</f>
        <v/>
      </c>
      <c r="Y196" s="518" t="str">
        <f>IF(AND(_A1="A-350",'2025'!$I$4="CA",'2025'!$I$2=Y195),'2025DATA'!$J$3,"")</f>
        <v/>
      </c>
      <c r="Z196" s="518" t="str">
        <f>IF(AND(_A1="A-350",'2025'!$I$4="CA",'2025'!$I$2=Z195),'2025DATA'!$K$3,"")</f>
        <v/>
      </c>
      <c r="AA196" s="518" t="str">
        <f>IF(AND(_A1="A-350",'2025'!$I$4="CA",'2025'!$I$2=AA195),'2025DATA'!$L$3,"")</f>
        <v/>
      </c>
      <c r="AB196" s="518" t="str">
        <f>IF(AND(_A1="A-350",'2025'!$I$4="CA",'2025'!$I$2=AB195),'2025DATA'!$M$3,"")</f>
        <v/>
      </c>
      <c r="AC196" s="520" t="str">
        <f>IF(AND(_A1="A-350",'2025'!$I$4="CA",'2025'!$I$2=AC195),'2025DATA'!$N$3,"")</f>
        <v/>
      </c>
      <c r="AD196" s="940" t="s">
        <v>39</v>
      </c>
      <c r="AE196" s="13" t="s">
        <v>61</v>
      </c>
      <c r="AF196" s="518" t="str">
        <f>IF(AND(_A2="A-350",'2025'!$I$4="CA",'2025'!$I$2=AF195),'2025DATA'!$C$3,"")</f>
        <v/>
      </c>
      <c r="AG196" s="518" t="str">
        <f>IF(AND(_A2="A-350",'2025'!$I$4="CA",'2025'!$I$2=AG195),'2025DATA'!$D$3,"")</f>
        <v/>
      </c>
      <c r="AH196" s="518" t="str">
        <f>IF(AND(_A2="A-350",'2025'!$I$4="CA",'2025'!$I$2=AH195),'2025DATA'!$E$3,"")</f>
        <v/>
      </c>
      <c r="AI196" s="518" t="str">
        <f>IF(AND(_A2="A-350",'2025'!$I$4="CA",'2025'!$I$2=AI195),'2025DATA'!$F$3,"")</f>
        <v/>
      </c>
      <c r="AJ196" s="518" t="str">
        <f>IF(AND(_A2="A-350",'2025'!$I$4="CA",'2025'!$I$2=AJ195),'2025DATA'!$G$3,"")</f>
        <v/>
      </c>
      <c r="AK196" s="518" t="str">
        <f>IF(AND(_A2="A-350",'2025'!$I$4="CA",'2025'!$I$2=AK195),'2025DATA'!$H$3,"")</f>
        <v/>
      </c>
      <c r="AL196" s="518" t="str">
        <f>IF(AND(_A2="A-350",'2025'!$I$4="CA",'2025'!$I$2=AL195),'2025DATA'!$I$3,"")</f>
        <v/>
      </c>
      <c r="AM196" s="518" t="str">
        <f>IF(AND(_A2="A-350",'2025'!$I$4="CA",'2025'!$I$2=AM195),'2025DATA'!$J$3,"")</f>
        <v/>
      </c>
      <c r="AN196" s="518" t="str">
        <f>IF(AND(_A2="A-350",'2025'!$I$4="CA",'2025'!$I$2=AN195),'2025DATA'!$K$3,"")</f>
        <v/>
      </c>
      <c r="AO196" s="518" t="str">
        <f>IF(AND(_A2="A-350",'2025'!$I$4="CA",'2025'!$I$2=AO195),'2025DATA'!$L$3,"")</f>
        <v/>
      </c>
      <c r="AP196" s="518" t="str">
        <f>IF(AND(_A2="A-350",'2025'!$I$4="CA",'2025'!$I$2=AP195),'2025DATA'!$M$3,"")</f>
        <v/>
      </c>
      <c r="AQ196" s="520" t="str">
        <f>IF(AND(_A2="A-350",'2025'!$I$4="CA",'2025'!$I$2=AQ195),'2025DATA'!$N$3,"")</f>
        <v/>
      </c>
      <c r="AR196" s="940" t="s">
        <v>39</v>
      </c>
      <c r="AS196" s="13" t="s">
        <v>61</v>
      </c>
      <c r="AT196" s="518" t="str">
        <f>IF(AND(_A3="A-350",'2025'!$I$4="CA",'2025'!$I$2=AT195),'2025DATA'!$C$3,"")</f>
        <v/>
      </c>
      <c r="AU196" s="518" t="str">
        <f>IF(AND(_A3="A-350",'2025'!$I$4="CA",'2025'!$I$2=AU195),'2025DATA'!$D$3,"")</f>
        <v/>
      </c>
      <c r="AV196" s="518" t="str">
        <f>IF(AND(_A3="A-350",'2025'!$I$4="CA",'2025'!$I$2=AV195),'2025DATA'!$E$3,"")</f>
        <v/>
      </c>
      <c r="AW196" s="518" t="str">
        <f>IF(AND(_A3="A-350",'2025'!$I$4="CA",'2025'!$I$2=AW195),'2025DATA'!$F$3,"")</f>
        <v/>
      </c>
      <c r="AX196" s="518" t="str">
        <f>IF(AND(_A3="A-350",'2025'!$I$4="CA",'2025'!$I$2=AX195),'2025DATA'!$G$3,"")</f>
        <v/>
      </c>
      <c r="AY196" s="518" t="str">
        <f>IF(AND(_A3="A-350",'2025'!$I$4="CA",'2025'!$I$2=AY195),'2025DATA'!$H$3,"")</f>
        <v/>
      </c>
      <c r="AZ196" s="518" t="str">
        <f>IF(AND(_A3="A-350",'2025'!$I$4="CA",'2025'!$I$2=AZ195),'2025DATA'!$I$3,"")</f>
        <v/>
      </c>
      <c r="BA196" s="518" t="str">
        <f>IF(AND(_A3="A-350",'2025'!$I$4="CA",'2025'!$I$2=BA195),'2025DATA'!$J$3,"")</f>
        <v/>
      </c>
      <c r="BB196" s="518" t="str">
        <f>IF(AND(_A3="A-350",'2025'!$I$4="CA",'2025'!$I$2=BB195),'2025DATA'!$K$3,"")</f>
        <v/>
      </c>
      <c r="BC196" s="518" t="str">
        <f>IF(AND(_A3="A-350",'2025'!$I$4="CA",'2025'!$I$2=BC195),'2025DATA'!$L$3,"")</f>
        <v/>
      </c>
      <c r="BD196" s="518" t="str">
        <f>IF(AND(_A3="A-350",'2025'!$I$4="CA",'2025'!$I$2=BD195),'2025DATA'!$M$3,"")</f>
        <v/>
      </c>
      <c r="BE196" s="520" t="str">
        <f>IF(AND(_A3="A-350",'2025'!$I$4="CA",'2025'!$I$2=BE195),'2025DATA'!$N$3,"")</f>
        <v/>
      </c>
      <c r="BF196" s="940" t="s">
        <v>39</v>
      </c>
      <c r="BG196" s="13" t="s">
        <v>61</v>
      </c>
      <c r="BH196" s="518" t="str">
        <f>IF(AND(_A4="A-350",'2025'!$I$4="CA",'2025'!$I$2=BH195),'2025DATA'!$C$3,"")</f>
        <v/>
      </c>
      <c r="BI196" s="518" t="str">
        <f>IF(AND(_A4="A-350",'2025'!$I$4="CA",'2025'!$I$2=BI195),'2025DATA'!$D$3,"")</f>
        <v/>
      </c>
      <c r="BJ196" s="518" t="str">
        <f>IF(AND(_A4="A-350",'2025'!$I$4="CA",'2025'!$I$2=BJ195),'2025DATA'!$E$3,"")</f>
        <v/>
      </c>
      <c r="BK196" s="518" t="str">
        <f>IF(AND(_A4="A-350",'2025'!$I$4="CA",'2025'!$I$2=BK195),'2025DATA'!$F$3,"")</f>
        <v/>
      </c>
      <c r="BL196" s="518" t="str">
        <f>IF(AND(_A4="A-350",'2025'!$I$4="CA",'2025'!$I$2=BL195),'2025DATA'!$G$3,"")</f>
        <v/>
      </c>
      <c r="BM196" s="518" t="str">
        <f>IF(AND(_A4="A-350",'2025'!$I$4="CA",'2025'!$I$2=BM195),'2025DATA'!$H$3,"")</f>
        <v/>
      </c>
      <c r="BN196" s="518" t="str">
        <f>IF(AND(_A4="A-350",'2025'!$I$4="CA",'2025'!$I$2=BN195),'2025DATA'!$I$3,"")</f>
        <v/>
      </c>
      <c r="BO196" s="518" t="str">
        <f>IF(AND(_A4="A-350",'2025'!$I$4="CA",'2025'!$I$2=BO195),'2025DATA'!$J$3,"")</f>
        <v/>
      </c>
      <c r="BP196" s="518" t="str">
        <f>IF(AND(_A4="A-350",'2025'!$I$4="CA",'2025'!$I$2=BP195),'2025DATA'!$K$3,"")</f>
        <v/>
      </c>
      <c r="BQ196" s="518" t="str">
        <f>IF(AND(_A4="A-350",'2025'!$I$4="CA",'2025'!$I$2=BQ195),'2025DATA'!$L$3,"")</f>
        <v/>
      </c>
      <c r="BR196" s="518" t="str">
        <f>IF(AND(_A4="A-350",'2025'!$I$4="CA",'2025'!$I$2=BR195),'2025DATA'!$M$3,"")</f>
        <v/>
      </c>
      <c r="BS196" s="520" t="str">
        <f>IF(AND(_A4="A-350",'2025'!$I$4="CA",'2025'!$I$2=BS195),'2025DATA'!$N$3,"")</f>
        <v/>
      </c>
      <c r="BT196" s="940" t="s">
        <v>39</v>
      </c>
      <c r="BU196" s="13" t="s">
        <v>61</v>
      </c>
      <c r="BV196" s="518" t="str">
        <f>IF(AND(_A5="A-350",'2025'!$I$4="CA",'2025'!$I$2=BV195),'2025DATA'!$C$3,"")</f>
        <v/>
      </c>
      <c r="BW196" s="518" t="str">
        <f>IF(AND(_A5="A-350",'2025'!$I$4="CA",'2025'!$I$2=BW195),'2025DATA'!$D$3,"")</f>
        <v/>
      </c>
      <c r="BX196" s="518" t="str">
        <f>IF(AND(_A5="A-350",'2025'!$I$4="CA",'2025'!$I$2=BX195),'2025DATA'!$E$3,"")</f>
        <v/>
      </c>
      <c r="BY196" s="518" t="str">
        <f>IF(AND(_A5="A-350",'2025'!$I$4="CA",'2025'!$I$2=BY195),'2025DATA'!$F$3,"")</f>
        <v/>
      </c>
      <c r="BZ196" s="518" t="str">
        <f>IF(AND(_A5="A-350",'2025'!$I$4="CA",'2025'!$I$2=BZ195),'2025DATA'!$G$3,"")</f>
        <v/>
      </c>
      <c r="CA196" s="518" t="str">
        <f>IF(AND(_A5="A-350",'2025'!$I$4="CA",'2025'!$I$2=CA195),'2025DATA'!$H$3,"")</f>
        <v/>
      </c>
      <c r="CB196" s="518" t="str">
        <f>IF(AND(_A5="A-350",'2025'!$I$4="CA",'2025'!$I$2=CB195),'2025DATA'!$I$3,"")</f>
        <v/>
      </c>
      <c r="CC196" s="518" t="str">
        <f>IF(AND(_A5="A-350",'2025'!$I$4="CA",'2025'!$I$2=CC195),'2025DATA'!$J$3,"")</f>
        <v/>
      </c>
      <c r="CD196" s="518" t="str">
        <f>IF(AND(_A5="A-350",'2025'!$I$4="CA",'2025'!$I$2=CD195),'2025DATA'!$K$3,"")</f>
        <v/>
      </c>
      <c r="CE196" s="518" t="str">
        <f>IF(AND(_A5="A-350",'2025'!$I$4="CA",'2025'!$I$2=CE195),'2025DATA'!$L$3,"")</f>
        <v/>
      </c>
      <c r="CF196" s="518" t="str">
        <f>IF(AND(_A5="A-350",'2025'!$I$4="CA",'2025'!$I$2=CF195),'2025DATA'!$M$3,"")</f>
        <v/>
      </c>
      <c r="CG196" s="520" t="str">
        <f>IF(AND(_A5="A-350",'2025'!$I$4="CA",'2025'!$I$2=CG195),'2025DATA'!$N$3,"")</f>
        <v/>
      </c>
      <c r="CH196" s="940" t="s">
        <v>39</v>
      </c>
      <c r="CI196" s="13" t="s">
        <v>61</v>
      </c>
      <c r="CJ196" s="518" t="str">
        <f>IF(AND(_A6="A-350",'2025'!$I$4="CA",'2025'!$I$2=CJ195),'2025DATA'!$C$3,"")</f>
        <v/>
      </c>
      <c r="CK196" s="518" t="str">
        <f>IF(AND(_A6="A-350",'2025'!$I$4="CA",'2025'!$I$2=CK195),'2025DATA'!$D$3,"")</f>
        <v/>
      </c>
      <c r="CL196" s="518" t="str">
        <f>IF(AND(_A6="A-350",'2025'!$I$4="CA",'2025'!$I$2=CL195),'2025DATA'!$E$3,"")</f>
        <v/>
      </c>
      <c r="CM196" s="518" t="str">
        <f>IF(AND(_A6="A-350",'2025'!$I$4="CA",'2025'!$I$2=CM195),'2025DATA'!$F$3,"")</f>
        <v/>
      </c>
      <c r="CN196" s="518" t="str">
        <f>IF(AND(_A6="A-350",'2025'!$I$4="CA",'2025'!$I$2=CN195),'2025DATA'!$G$3,"")</f>
        <v/>
      </c>
      <c r="CO196" s="518" t="str">
        <f>IF(AND(_A6="A-350",'2025'!$I$4="CA",'2025'!$I$2=CO195),'2025DATA'!$H$3,"")</f>
        <v/>
      </c>
      <c r="CP196" s="518" t="str">
        <f>IF(AND(_A6="A-350",'2025'!$I$4="CA",'2025'!$I$2=CP195),'2025DATA'!$I$3,"")</f>
        <v/>
      </c>
      <c r="CQ196" s="518" t="str">
        <f>IF(AND(_A6="A-350",'2025'!$I$4="CA",'2025'!$I$2=CQ195),'2025DATA'!$J$3,"")</f>
        <v/>
      </c>
      <c r="CR196" s="518" t="str">
        <f>IF(AND(_A6="A-350",'2025'!$I$4="CA",'2025'!$I$2=CR195),'2025DATA'!$K$3,"")</f>
        <v/>
      </c>
      <c r="CS196" s="518" t="str">
        <f>IF(AND(_A6="A-350",'2025'!$I$4="CA",'2025'!$I$2=CS195),'2025DATA'!$L$3,"")</f>
        <v/>
      </c>
      <c r="CT196" s="518" t="str">
        <f>IF(AND(_A6="A-350",'2025'!$I$4="CA",'2025'!$I$2=CT195),'2025DATA'!$M$3,"")</f>
        <v/>
      </c>
      <c r="CU196" s="520" t="str">
        <f>IF(AND(_A6="A-350",'2025'!$I$4="CA",'2025'!$I$2=CU195),'2025DATA'!$N$3,"")</f>
        <v/>
      </c>
    </row>
    <row r="197" spans="16:99" x14ac:dyDescent="0.25">
      <c r="P197" s="940"/>
      <c r="Q197" s="13" t="s">
        <v>62</v>
      </c>
      <c r="R197" s="518" t="str">
        <f>IF(AND(_A1="A-350",'2025'!$I$4="FO",'2025'!$I$2=R195),'2025DATA'!$C$4,"")</f>
        <v/>
      </c>
      <c r="S197" s="518" t="str">
        <f>IF(AND(_A1="A-350",'2025'!$I$4="FO",'2025'!$I$2=S195),'2025DATA'!$D$4,"")</f>
        <v/>
      </c>
      <c r="T197" s="518" t="str">
        <f>IF(AND(_A1="A-350",'2025'!$I$4="FO",'2025'!$I$2=T195),'2025DATA'!$E$4,"")</f>
        <v/>
      </c>
      <c r="U197" s="518" t="str">
        <f>IF(AND(_A1="A-350",'2025'!$I$4="FO",'2025'!$I$2=U195),'2025DATA'!$F$4,"")</f>
        <v/>
      </c>
      <c r="V197" s="518" t="str">
        <f>IF(AND(_A1="A-350",'2025'!$I$4="FO",'2025'!$I$2=V195),'2025DATA'!$G$4,"")</f>
        <v/>
      </c>
      <c r="W197" s="518" t="str">
        <f>IF(AND(_A1="A-350",'2025'!$I$4="FO",'2025'!$I$2=W195),'2025DATA'!$H$4,"")</f>
        <v/>
      </c>
      <c r="X197" s="518" t="str">
        <f>IF(AND(_A1="A-350",'2025'!$I$4="FO",'2025'!$I$2=X195),'2025DATA'!$I$4,"")</f>
        <v/>
      </c>
      <c r="Y197" s="518" t="str">
        <f>IF(AND(_A1="A-350",'2025'!$I$4="FO",'2025'!$I$2=Y195),'2025DATA'!$J$4,"")</f>
        <v/>
      </c>
      <c r="Z197" s="518" t="str">
        <f>IF(AND(_A1="A-350",'2025'!$I$4="FO",'2025'!$I$2=Z195),'2025DATA'!$K$4,"")</f>
        <v/>
      </c>
      <c r="AA197" s="518" t="str">
        <f>IF(AND(_A1="A-350",'2025'!$I$4="FO",'2025'!$I$2=AA195),'2025DATA'!$L$4,"")</f>
        <v/>
      </c>
      <c r="AB197" s="518" t="str">
        <f>IF(AND(_A1="A-350",'2025'!$I$4="FO",'2025'!$I$2=AB195),'2025DATA'!$M$4,"")</f>
        <v/>
      </c>
      <c r="AC197" s="520" t="str">
        <f>IF(AND(_A1="A-350",'2025'!$I$4="FO",'2025'!$I$2=AC195),'2025DATA'!$N$4,"")</f>
        <v/>
      </c>
      <c r="AD197" s="940"/>
      <c r="AE197" s="13" t="s">
        <v>62</v>
      </c>
      <c r="AF197" s="518" t="str">
        <f>IF(AND(_A2="A-350",'2025'!$I$4="FO",'2025'!$I$2=AF195),'2025DATA'!$C$4,"")</f>
        <v/>
      </c>
      <c r="AG197" s="518" t="str">
        <f>IF(AND(_A2="A-350",'2025'!$I$4="FO",'2025'!$I$2=AG195),'2025DATA'!$D$4,"")</f>
        <v/>
      </c>
      <c r="AH197" s="518" t="str">
        <f>IF(AND(_A2="A-350",'2025'!$I$4="FO",'2025'!$I$2=AH195),'2025DATA'!$E$4,"")</f>
        <v/>
      </c>
      <c r="AI197" s="518" t="str">
        <f>IF(AND(_A2="A-350",'2025'!$I$4="FO",'2025'!$I$2=AI195),'2025DATA'!$F$4,"")</f>
        <v/>
      </c>
      <c r="AJ197" s="518" t="str">
        <f>IF(AND(_A2="A-350",'2025'!$I$4="FO",'2025'!$I$2=AJ195),'2025DATA'!$G$4,"")</f>
        <v/>
      </c>
      <c r="AK197" s="518" t="str">
        <f>IF(AND(_A2="A-350",'2025'!$I$4="FO",'2025'!$I$2=AK195),'2025DATA'!$H$4,"")</f>
        <v/>
      </c>
      <c r="AL197" s="518" t="str">
        <f>IF(AND(_A2="A-350",'2025'!$I$4="FO",'2025'!$I$2=AL195),'2025DATA'!$I$4,"")</f>
        <v/>
      </c>
      <c r="AM197" s="518" t="str">
        <f>IF(AND(_A2="A-350",'2025'!$I$4="FO",'2025'!$I$2=AM195),'2025DATA'!$J$4,"")</f>
        <v/>
      </c>
      <c r="AN197" s="518" t="str">
        <f>IF(AND(_A2="A-350",'2025'!$I$4="FO",'2025'!$I$2=AN195),'2025DATA'!$K$4,"")</f>
        <v/>
      </c>
      <c r="AO197" s="518" t="str">
        <f>IF(AND(_A2="A-350",'2025'!$I$4="FO",'2025'!$I$2=AO195),'2025DATA'!$L$4,"")</f>
        <v/>
      </c>
      <c r="AP197" s="518" t="str">
        <f>IF(AND(_A2="A-350",'2025'!$I$4="FO",'2025'!$I$2=AP195),'2025DATA'!$M$4,"")</f>
        <v/>
      </c>
      <c r="AQ197" s="520" t="str">
        <f>IF(AND(_A2="A-350",'2025'!$I$4="FO",'2025'!$I$2=AQ195),'2025DATA'!$N$4,"")</f>
        <v/>
      </c>
      <c r="AR197" s="940"/>
      <c r="AS197" s="13" t="s">
        <v>62</v>
      </c>
      <c r="AT197" s="518" t="str">
        <f>IF(AND(_A3="A-350",'2025'!$I$4="FO",'2025'!$I$2=AT195),'2025DATA'!$C$4,"")</f>
        <v/>
      </c>
      <c r="AU197" s="518" t="str">
        <f>IF(AND(_A3="A-350",'2025'!$I$4="FO",'2025'!$I$2=AU195),'2025DATA'!$D$4,"")</f>
        <v/>
      </c>
      <c r="AV197" s="518" t="str">
        <f>IF(AND(_A3="A-350",'2025'!$I$4="FO",'2025'!$I$2=AV195),'2025DATA'!$E$4,"")</f>
        <v/>
      </c>
      <c r="AW197" s="518" t="str">
        <f>IF(AND(_A3="A-350",'2025'!$I$4="FO",'2025'!$I$2=AW195),'2025DATA'!$F$4,"")</f>
        <v/>
      </c>
      <c r="AX197" s="518" t="str">
        <f>IF(AND(_A3="A-350",'2025'!$I$4="FO",'2025'!$I$2=AX195),'2025DATA'!$G$4,"")</f>
        <v/>
      </c>
      <c r="AY197" s="518" t="str">
        <f>IF(AND(_A3="A-350",'2025'!$I$4="FO",'2025'!$I$2=AY195),'2025DATA'!$H$4,"")</f>
        <v/>
      </c>
      <c r="AZ197" s="518" t="str">
        <f>IF(AND(_A3="A-350",'2025'!$I$4="FO",'2025'!$I$2=AZ195),'2025DATA'!$I$4,"")</f>
        <v/>
      </c>
      <c r="BA197" s="518" t="str">
        <f>IF(AND(_A3="A-350",'2025'!$I$4="FO",'2025'!$I$2=BA195),'2025DATA'!$J$4,"")</f>
        <v/>
      </c>
      <c r="BB197" s="518" t="str">
        <f>IF(AND(_A3="A-350",'2025'!$I$4="FO",'2025'!$I$2=BB195),'2025DATA'!$K$4,"")</f>
        <v/>
      </c>
      <c r="BC197" s="518" t="str">
        <f>IF(AND(_A3="A-350",'2025'!$I$4="FO",'2025'!$I$2=BC195),'2025DATA'!$L$4,"")</f>
        <v/>
      </c>
      <c r="BD197" s="518" t="str">
        <f>IF(AND(_A3="A-350",'2025'!$I$4="FO",'2025'!$I$2=BD195),'2025DATA'!$M$4,"")</f>
        <v/>
      </c>
      <c r="BE197" s="520" t="str">
        <f>IF(AND(_A3="A-350",'2025'!$I$4="FO",'2025'!$I$2=BE195),'2025DATA'!$N$4,"")</f>
        <v/>
      </c>
      <c r="BF197" s="940"/>
      <c r="BG197" s="13" t="s">
        <v>62</v>
      </c>
      <c r="BH197" s="518" t="str">
        <f>IF(AND(_A4="A-350",'2025'!$I$4="FO",'2025'!$I$2=BH195),'2025DATA'!$C$4,"")</f>
        <v/>
      </c>
      <c r="BI197" s="518" t="str">
        <f>IF(AND(_A4="A-350",'2025'!$I$4="FO",'2025'!$I$2=BI195),'2025DATA'!$D$4,"")</f>
        <v/>
      </c>
      <c r="BJ197" s="518" t="str">
        <f>IF(AND(_A4="A-350",'2025'!$I$4="FO",'2025'!$I$2=BJ195),'2025DATA'!$E$4,"")</f>
        <v/>
      </c>
      <c r="BK197" s="518" t="str">
        <f>IF(AND(_A4="A-350",'2025'!$I$4="FO",'2025'!$I$2=BK195),'2025DATA'!$F$4,"")</f>
        <v/>
      </c>
      <c r="BL197" s="518" t="str">
        <f>IF(AND(_A4="A-350",'2025'!$I$4="FO",'2025'!$I$2=BL195),'2025DATA'!$G$4,"")</f>
        <v/>
      </c>
      <c r="BM197" s="518" t="str">
        <f>IF(AND(_A4="A-350",'2025'!$I$4="FO",'2025'!$I$2=BM195),'2025DATA'!$H$4,"")</f>
        <v/>
      </c>
      <c r="BN197" s="518" t="str">
        <f>IF(AND(_A4="A-350",'2025'!$I$4="FO",'2025'!$I$2=BN195),'2025DATA'!$I$4,"")</f>
        <v/>
      </c>
      <c r="BO197" s="518" t="str">
        <f>IF(AND(_A4="A-350",'2025'!$I$4="FO",'2025'!$I$2=BO195),'2025DATA'!$J$4,"")</f>
        <v/>
      </c>
      <c r="BP197" s="518" t="str">
        <f>IF(AND(_A4="A-350",'2025'!$I$4="FO",'2025'!$I$2=BP195),'2025DATA'!$K$4,"")</f>
        <v/>
      </c>
      <c r="BQ197" s="518" t="str">
        <f>IF(AND(_A4="A-350",'2025'!$I$4="FO",'2025'!$I$2=BQ195),'2025DATA'!$L$4,"")</f>
        <v/>
      </c>
      <c r="BR197" s="518" t="str">
        <f>IF(AND(_A4="A-350",'2025'!$I$4="FO",'2025'!$I$2=BR195),'2025DATA'!$M$4,"")</f>
        <v/>
      </c>
      <c r="BS197" s="520" t="str">
        <f>IF(AND(_A4="A-350",'2025'!$I$4="FO",'2025'!$I$2=BS195),'2025DATA'!$N$4,"")</f>
        <v/>
      </c>
      <c r="BT197" s="940"/>
      <c r="BU197" s="13" t="s">
        <v>62</v>
      </c>
      <c r="BV197" s="518" t="str">
        <f>IF(AND(_A5="A-350",'2025'!$I$4="FO",'2025'!$I$2=BV195),'2025DATA'!$C$4,"")</f>
        <v/>
      </c>
      <c r="BW197" s="518" t="str">
        <f>IF(AND(_A5="A-350",'2025'!$I$4="FO",'2025'!$I$2=BW195),'2025DATA'!$D$4,"")</f>
        <v/>
      </c>
      <c r="BX197" s="518" t="str">
        <f>IF(AND(_A5="A-350",'2025'!$I$4="FO",'2025'!$I$2=BX195),'2025DATA'!$E$4,"")</f>
        <v/>
      </c>
      <c r="BY197" s="518" t="str">
        <f>IF(AND(_A5="A-350",'2025'!$I$4="FO",'2025'!$I$2=BY195),'2025DATA'!$F$4,"")</f>
        <v/>
      </c>
      <c r="BZ197" s="518" t="str">
        <f>IF(AND(_A5="A-350",'2025'!$I$4="FO",'2025'!$I$2=BZ195),'2025DATA'!$G$4,"")</f>
        <v/>
      </c>
      <c r="CA197" s="518" t="str">
        <f>IF(AND(_A5="A-350",'2025'!$I$4="FO",'2025'!$I$2=CA195),'2025DATA'!$H$4,"")</f>
        <v/>
      </c>
      <c r="CB197" s="518" t="str">
        <f>IF(AND(_A5="A-350",'2025'!$I$4="FO",'2025'!$I$2=CB195),'2025DATA'!$I$4,"")</f>
        <v/>
      </c>
      <c r="CC197" s="518" t="str">
        <f>IF(AND(_A5="A-350",'2025'!$I$4="FO",'2025'!$I$2=CC195),'2025DATA'!$J$4,"")</f>
        <v/>
      </c>
      <c r="CD197" s="518" t="str">
        <f>IF(AND(_A5="A-350",'2025'!$I$4="FO",'2025'!$I$2=CD195),'2025DATA'!$K$4,"")</f>
        <v/>
      </c>
      <c r="CE197" s="518" t="str">
        <f>IF(AND(_A5="A-350",'2025'!$I$4="FO",'2025'!$I$2=CE195),'2025DATA'!$L$4,"")</f>
        <v/>
      </c>
      <c r="CF197" s="518" t="str">
        <f>IF(AND(_A5="A-350",'2025'!$I$4="FO",'2025'!$I$2=CF195),'2025DATA'!$M$4,"")</f>
        <v/>
      </c>
      <c r="CG197" s="520" t="str">
        <f>IF(AND(_A5="A-350",'2025'!$I$4="FO",'2025'!$I$2=CG195),'2025DATA'!$N$4,"")</f>
        <v/>
      </c>
      <c r="CH197" s="940"/>
      <c r="CI197" s="13" t="s">
        <v>62</v>
      </c>
      <c r="CJ197" s="518" t="str">
        <f>IF(AND(_A6="A-350",'2025'!$I$4="FO",'2025'!$I$2=CJ195),'2025DATA'!$C$4,"")</f>
        <v/>
      </c>
      <c r="CK197" s="518" t="str">
        <f>IF(AND(_A6="A-350",'2025'!$I$4="FO",'2025'!$I$2=CK195),'2025DATA'!$D$4,"")</f>
        <v/>
      </c>
      <c r="CL197" s="518" t="str">
        <f>IF(AND(_A6="A-350",'2025'!$I$4="FO",'2025'!$I$2=CL195),'2025DATA'!$E$4,"")</f>
        <v/>
      </c>
      <c r="CM197" s="518" t="str">
        <f>IF(AND(_A6="A-350",'2025'!$I$4="FO",'2025'!$I$2=CM195),'2025DATA'!$F$4,"")</f>
        <v/>
      </c>
      <c r="CN197" s="518" t="str">
        <f>IF(AND(_A6="A-350",'2025'!$I$4="FO",'2025'!$I$2=CN195),'2025DATA'!$G$4,"")</f>
        <v/>
      </c>
      <c r="CO197" s="518" t="str">
        <f>IF(AND(_A6="A-350",'2025'!$I$4="FO",'2025'!$I$2=CO195),'2025DATA'!$H$4,"")</f>
        <v/>
      </c>
      <c r="CP197" s="518" t="str">
        <f>IF(AND(_A6="A-350",'2025'!$I$4="FO",'2025'!$I$2=CP195),'2025DATA'!$I$4,"")</f>
        <v/>
      </c>
      <c r="CQ197" s="518" t="str">
        <f>IF(AND(_A6="A-350",'2025'!$I$4="FO",'2025'!$I$2=CQ195),'2025DATA'!$J$4,"")</f>
        <v/>
      </c>
      <c r="CR197" s="518" t="str">
        <f>IF(AND(_A6="A-350",'2025'!$I$4="FO",'2025'!$I$2=CR195),'2025DATA'!$K$4,"")</f>
        <v/>
      </c>
      <c r="CS197" s="518" t="str">
        <f>IF(AND(_A6="A-350",'2025'!$I$4="FO",'2025'!$I$2=CS195),'2025DATA'!$L$4,"")</f>
        <v/>
      </c>
      <c r="CT197" s="518" t="str">
        <f>IF(AND(_A6="A-350",'2025'!$I$4="FO",'2025'!$I$2=CT195),'2025DATA'!$M$4,"")</f>
        <v/>
      </c>
      <c r="CU197" s="520" t="str">
        <f>IF(AND(_A6="A-350",'2025'!$I$4="FO",'2025'!$I$2=CU195),'2025DATA'!$N$4,"")</f>
        <v/>
      </c>
    </row>
    <row r="198" spans="16:99" x14ac:dyDescent="0.25">
      <c r="P198" s="940" t="s">
        <v>65</v>
      </c>
      <c r="Q198" s="13" t="s">
        <v>61</v>
      </c>
      <c r="R198" s="518" t="str">
        <f>IF(AND(_A1="A-330-900",'2025'!$I$4="CA",'2025'!$I$2=R195),'2025DATA'!$C$5,"")</f>
        <v/>
      </c>
      <c r="S198" s="518" t="str">
        <f>IF(AND(_A1="A-330-900",'2025'!$I$4="CA",'2025'!$I$2=S195),'2025DATA'!$D$5,"")</f>
        <v/>
      </c>
      <c r="T198" s="518" t="str">
        <f>IF(AND(_A1="A-330-900",'2025'!$I$4="CA",'2025'!$I$2=T195),'2025DATA'!$E$5,"")</f>
        <v/>
      </c>
      <c r="U198" s="518" t="str">
        <f>IF(AND(_A1="A-330-900",'2025'!$I$4="CA",'2025'!$I$2=U195),'2025DATA'!$F$5,"")</f>
        <v/>
      </c>
      <c r="V198" s="518" t="str">
        <f>IF(AND(_A1="A-330-900",'2025'!$I$4="CA",'2025'!$I$2=V195),'2025DATA'!$G$5,"")</f>
        <v/>
      </c>
      <c r="W198" s="518" t="str">
        <f>IF(AND(_A1="A-330-900",'2025'!$I$4="CA",'2025'!$I$2=W195),'2025DATA'!$H$5,"")</f>
        <v/>
      </c>
      <c r="X198" s="518" t="str">
        <f>IF(AND(_A1="A-330-900",'2025'!$I$4="CA",'2025'!$I$2=X195),'2025DATA'!$I$5,"")</f>
        <v/>
      </c>
      <c r="Y198" s="518" t="str">
        <f>IF(AND(_A1="A-330-900",'2025'!$I$4="CA",'2025'!$I$2=Y195),'2025DATA'!$J$5,"")</f>
        <v/>
      </c>
      <c r="Z198" s="518" t="str">
        <f>IF(AND(_A1="A-330-900",'2025'!$I$4="CA",'2025'!$I$2=Z195),'2025DATA'!$K$5,"")</f>
        <v/>
      </c>
      <c r="AA198" s="518" t="str">
        <f>IF(AND(_A1="A-330-900",'2025'!$I$4="CA",'2025'!$I$2=AA195),'2025DATA'!$L$5,"")</f>
        <v/>
      </c>
      <c r="AB198" s="518" t="str">
        <f>IF(AND(_A1="A-330-900",'2025'!$I$4="CA",'2025'!$I$2=AB195),'2025DATA'!$M$5,"")</f>
        <v/>
      </c>
      <c r="AC198" s="520" t="str">
        <f>IF(AND(_A1="A-330-900",'2025'!$I$4="CA",'2025'!$I$2=AC195),'2025DATA'!$N$5,"")</f>
        <v/>
      </c>
      <c r="AD198" s="940" t="s">
        <v>65</v>
      </c>
      <c r="AE198" s="13" t="s">
        <v>61</v>
      </c>
      <c r="AF198" s="518" t="str">
        <f>IF(AND(_A2="A-330-900",'2025'!$I$4="CA",'2025'!$I$2=AF195),'2025DATA'!$C$5,"")</f>
        <v/>
      </c>
      <c r="AG198" s="518" t="str">
        <f>IF(AND(_A2="A-330-900",'2025'!$I$4="CA",'2025'!$I$2=AG195),'2025DATA'!$D$5,"")</f>
        <v/>
      </c>
      <c r="AH198" s="518" t="str">
        <f>IF(AND(_A2="A-330-900",'2025'!$I$4="CA",'2025'!$I$2=AH195),'2025DATA'!$E$5,"")</f>
        <v/>
      </c>
      <c r="AI198" s="518" t="str">
        <f>IF(AND(_A2="A-330-900",'2025'!$I$4="CA",'2025'!$I$2=AI195),'2025DATA'!$F$5,"")</f>
        <v/>
      </c>
      <c r="AJ198" s="518" t="str">
        <f>IF(AND(_A2="A-330-900",'2025'!$I$4="CA",'2025'!$I$2=AJ195),'2025DATA'!$G$5,"")</f>
        <v/>
      </c>
      <c r="AK198" s="518" t="str">
        <f>IF(AND(_A2="A-330-900",'2025'!$I$4="CA",'2025'!$I$2=AK195),'2025DATA'!$H$5,"")</f>
        <v/>
      </c>
      <c r="AL198" s="518" t="str">
        <f>IF(AND(_A2="A-330-900",'2025'!$I$4="CA",'2025'!$I$2=AL195),'2025DATA'!$I$5,"")</f>
        <v/>
      </c>
      <c r="AM198" s="518" t="str">
        <f>IF(AND(_A2="A-330-900",'2025'!$I$4="CA",'2025'!$I$2=AM195),'2025DATA'!$J$5,"")</f>
        <v/>
      </c>
      <c r="AN198" s="518" t="str">
        <f>IF(AND(_A2="A-330-900",'2025'!$I$4="CA",'2025'!$I$2=AN195),'2025DATA'!$K$5,"")</f>
        <v/>
      </c>
      <c r="AO198" s="518" t="str">
        <f>IF(AND(_A2="A-330-900",'2025'!$I$4="CA",'2025'!$I$2=AO195),'2025DATA'!$L$5,"")</f>
        <v/>
      </c>
      <c r="AP198" s="518" t="str">
        <f>IF(AND(_A2="A-330-900",'2025'!$I$4="CA",'2025'!$I$2=AP195),'2025DATA'!$M$5,"")</f>
        <v/>
      </c>
      <c r="AQ198" s="520" t="str">
        <f>IF(AND(_A2="A-330-900",'2025'!$I$4="CA",'2025'!$I$2=AQ195),'2025DATA'!$N$5,"")</f>
        <v/>
      </c>
      <c r="AR198" s="940" t="s">
        <v>65</v>
      </c>
      <c r="AS198" s="13" t="s">
        <v>61</v>
      </c>
      <c r="AT198" s="518" t="str">
        <f>IF(AND(_A3="A-330-900",'2025'!$I$4="CA",'2025'!$I$2=AT195),'2025DATA'!$C$5,"")</f>
        <v/>
      </c>
      <c r="AU198" s="518" t="str">
        <f>IF(AND(_A3="A-330-900",'2025'!$I$4="CA",'2025'!$I$2=AU195),'2025DATA'!$D$5,"")</f>
        <v/>
      </c>
      <c r="AV198" s="518" t="str">
        <f>IF(AND(_A3="A-330-900",'2025'!$I$4="CA",'2025'!$I$2=AV195),'2025DATA'!$E$5,"")</f>
        <v/>
      </c>
      <c r="AW198" s="518" t="str">
        <f>IF(AND(_A3="A-330-900",'2025'!$I$4="CA",'2025'!$I$2=AW195),'2025DATA'!$F$5,"")</f>
        <v/>
      </c>
      <c r="AX198" s="518" t="str">
        <f>IF(AND(_A3="A-330-900",'2025'!$I$4="CA",'2025'!$I$2=AX195),'2025DATA'!$G$5,"")</f>
        <v/>
      </c>
      <c r="AY198" s="518" t="str">
        <f>IF(AND(_A3="A-330-900",'2025'!$I$4="CA",'2025'!$I$2=AY195),'2025DATA'!$H$5,"")</f>
        <v/>
      </c>
      <c r="AZ198" s="518" t="str">
        <f>IF(AND(_A3="A-330-900",'2025'!$I$4="CA",'2025'!$I$2=AZ195),'2025DATA'!$I$5,"")</f>
        <v/>
      </c>
      <c r="BA198" s="518" t="str">
        <f>IF(AND(_A3="A-330-900",'2025'!$I$4="CA",'2025'!$I$2=BA195),'2025DATA'!$J$5,"")</f>
        <v/>
      </c>
      <c r="BB198" s="518" t="str">
        <f>IF(AND(_A3="A-330-900",'2025'!$I$4="CA",'2025'!$I$2=BB195),'2025DATA'!$K$5,"")</f>
        <v/>
      </c>
      <c r="BC198" s="518" t="str">
        <f>IF(AND(_A3="A-330-900",'2025'!$I$4="CA",'2025'!$I$2=BC195),'2025DATA'!$L$5,"")</f>
        <v/>
      </c>
      <c r="BD198" s="518" t="str">
        <f>IF(AND(_A3="A-330-900",'2025'!$I$4="CA",'2025'!$I$2=BD195),'2025DATA'!$M$5,"")</f>
        <v/>
      </c>
      <c r="BE198" s="520" t="str">
        <f>IF(AND(_A3="A-330-900",'2025'!$I$4="CA",'2025'!$I$2=BE195),'2025DATA'!$N$5,"")</f>
        <v/>
      </c>
      <c r="BF198" s="940" t="s">
        <v>65</v>
      </c>
      <c r="BG198" s="13" t="s">
        <v>61</v>
      </c>
      <c r="BH198" s="518" t="str">
        <f>IF(AND(_A4="A-330-900",'2025'!$I$4="CA",'2025'!$I$2=BH195),'2025DATA'!$C$5,"")</f>
        <v/>
      </c>
      <c r="BI198" s="518" t="str">
        <f>IF(AND(_A4="A-330-900",'2025'!$I$4="CA",'2025'!$I$2=BI195),'2025DATA'!$D$5,"")</f>
        <v/>
      </c>
      <c r="BJ198" s="518" t="str">
        <f>IF(AND(_A4="A-330-900",'2025'!$I$4="CA",'2025'!$I$2=BJ195),'2025DATA'!$E$5,"")</f>
        <v/>
      </c>
      <c r="BK198" s="518" t="str">
        <f>IF(AND(_A4="A-330-900",'2025'!$I$4="CA",'2025'!$I$2=BK195),'2025DATA'!$F$5,"")</f>
        <v/>
      </c>
      <c r="BL198" s="518" t="str">
        <f>IF(AND(_A4="A-330-900",'2025'!$I$4="CA",'2025'!$I$2=BL195),'2025DATA'!$G$5,"")</f>
        <v/>
      </c>
      <c r="BM198" s="518" t="str">
        <f>IF(AND(_A4="A-330-900",'2025'!$I$4="CA",'2025'!$I$2=BM195),'2025DATA'!$H$5,"")</f>
        <v/>
      </c>
      <c r="BN198" s="518" t="str">
        <f>IF(AND(_A4="A-330-900",'2025'!$I$4="CA",'2025'!$I$2=BN195),'2025DATA'!$I$5,"")</f>
        <v/>
      </c>
      <c r="BO198" s="518" t="str">
        <f>IF(AND(_A4="A-330-900",'2025'!$I$4="CA",'2025'!$I$2=BO195),'2025DATA'!$J$5,"")</f>
        <v/>
      </c>
      <c r="BP198" s="518" t="str">
        <f>IF(AND(_A4="A-330-900",'2025'!$I$4="CA",'2025'!$I$2=BP195),'2025DATA'!$K$5,"")</f>
        <v/>
      </c>
      <c r="BQ198" s="518" t="str">
        <f>IF(AND(_A4="A-330-900",'2025'!$I$4="CA",'2025'!$I$2=BQ195),'2025DATA'!$L$5,"")</f>
        <v/>
      </c>
      <c r="BR198" s="518" t="str">
        <f>IF(AND(_A4="A-330-900",'2025'!$I$4="CA",'2025'!$I$2=BR195),'2025DATA'!$M$5,"")</f>
        <v/>
      </c>
      <c r="BS198" s="520" t="str">
        <f>IF(AND(_A4="A-330-900",'2025'!$I$4="CA",'2025'!$I$2=BS195),'2025DATA'!$N$5,"")</f>
        <v/>
      </c>
      <c r="BT198" s="940" t="s">
        <v>65</v>
      </c>
      <c r="BU198" s="13" t="s">
        <v>61</v>
      </c>
      <c r="BV198" s="518" t="str">
        <f>IF(AND(_A5="A-330-900",'2025'!$I$4="CA",'2025'!$I$2=BV195),'2025DATA'!$C$5,"")</f>
        <v/>
      </c>
      <c r="BW198" s="518" t="str">
        <f>IF(AND(_A5="A-330-900",'2025'!$I$4="CA",'2025'!$I$2=BW195),'2025DATA'!$D$5,"")</f>
        <v/>
      </c>
      <c r="BX198" s="518" t="str">
        <f>IF(AND(_A5="A-330-900",'2025'!$I$4="CA",'2025'!$I$2=BX195),'2025DATA'!$E$5,"")</f>
        <v/>
      </c>
      <c r="BY198" s="518" t="str">
        <f>IF(AND(_A5="A-330-900",'2025'!$I$4="CA",'2025'!$I$2=BY195),'2025DATA'!$F$5,"")</f>
        <v/>
      </c>
      <c r="BZ198" s="518" t="str">
        <f>IF(AND(_A5="A-330-900",'2025'!$I$4="CA",'2025'!$I$2=BZ195),'2025DATA'!$G$5,"")</f>
        <v/>
      </c>
      <c r="CA198" s="518" t="str">
        <f>IF(AND(_A5="A-330-900",'2025'!$I$4="CA",'2025'!$I$2=CA195),'2025DATA'!$H$5,"")</f>
        <v/>
      </c>
      <c r="CB198" s="518" t="str">
        <f>IF(AND(_A5="A-330-900",'2025'!$I$4="CA",'2025'!$I$2=CB195),'2025DATA'!$I$5,"")</f>
        <v/>
      </c>
      <c r="CC198" s="518" t="str">
        <f>IF(AND(_A5="A-330-900",'2025'!$I$4="CA",'2025'!$I$2=CC195),'2025DATA'!$J$5,"")</f>
        <v/>
      </c>
      <c r="CD198" s="518" t="str">
        <f>IF(AND(_A5="A-330-900",'2025'!$I$4="CA",'2025'!$I$2=CD195),'2025DATA'!$K$5,"")</f>
        <v/>
      </c>
      <c r="CE198" s="518" t="str">
        <f>IF(AND(_A5="A-330-900",'2025'!$I$4="CA",'2025'!$I$2=CE195),'2025DATA'!$L$5,"")</f>
        <v/>
      </c>
      <c r="CF198" s="518" t="str">
        <f>IF(AND(_A5="A-330-900",'2025'!$I$4="CA",'2025'!$I$2=CF195),'2025DATA'!$M$5,"")</f>
        <v/>
      </c>
      <c r="CG198" s="520" t="str">
        <f>IF(AND(_A5="A-330-900",'2025'!$I$4="CA",'2025'!$I$2=CG195),'2025DATA'!$N$5,"")</f>
        <v/>
      </c>
      <c r="CH198" s="940" t="s">
        <v>65</v>
      </c>
      <c r="CI198" s="13" t="s">
        <v>61</v>
      </c>
      <c r="CJ198" s="518" t="str">
        <f>IF(AND(_A6="A-330-900",'2025'!$I$4="CA",'2025'!$I$2=CJ195),'2025DATA'!$C$5,"")</f>
        <v/>
      </c>
      <c r="CK198" s="518" t="str">
        <f>IF(AND(_A6="A-330-900",'2025'!$I$4="CA",'2025'!$I$2=CK195),'2025DATA'!$D$5,"")</f>
        <v/>
      </c>
      <c r="CL198" s="518" t="str">
        <f>IF(AND(_A6="A-330-900",'2025'!$I$4="CA",'2025'!$I$2=CL195),'2025DATA'!$E$5,"")</f>
        <v/>
      </c>
      <c r="CM198" s="518" t="str">
        <f>IF(AND(_A6="A-330-900",'2025'!$I$4="CA",'2025'!$I$2=CM195),'2025DATA'!$F$5,"")</f>
        <v/>
      </c>
      <c r="CN198" s="518" t="str">
        <f>IF(AND(_A6="A-330-900",'2025'!$I$4="CA",'2025'!$I$2=CN195),'2025DATA'!$G$5,"")</f>
        <v/>
      </c>
      <c r="CO198" s="518" t="str">
        <f>IF(AND(_A6="A-330-900",'2025'!$I$4="CA",'2025'!$I$2=CO195),'2025DATA'!$H$5,"")</f>
        <v/>
      </c>
      <c r="CP198" s="518" t="str">
        <f>IF(AND(_A6="A-330-900",'2025'!$I$4="CA",'2025'!$I$2=CP195),'2025DATA'!$I$5,"")</f>
        <v/>
      </c>
      <c r="CQ198" s="518" t="str">
        <f>IF(AND(_A6="A-330-900",'2025'!$I$4="CA",'2025'!$I$2=CQ195),'2025DATA'!$J$5,"")</f>
        <v/>
      </c>
      <c r="CR198" s="518" t="str">
        <f>IF(AND(_A6="A-330-900",'2025'!$I$4="CA",'2025'!$I$2=CR195),'2025DATA'!$K$5,"")</f>
        <v/>
      </c>
      <c r="CS198" s="518" t="str">
        <f>IF(AND(_A6="A-330-900",'2025'!$I$4="CA",'2025'!$I$2=CS195),'2025DATA'!$L$5,"")</f>
        <v/>
      </c>
      <c r="CT198" s="518" t="str">
        <f>IF(AND(_A6="A-330-900",'2025'!$I$4="CA",'2025'!$I$2=CT195),'2025DATA'!$M$5,"")</f>
        <v/>
      </c>
      <c r="CU198" s="520" t="str">
        <f>IF(AND(_A6="A-330-900",'2025'!$I$4="CA",'2025'!$I$2=CU195),'2025DATA'!$N$5,"")</f>
        <v/>
      </c>
    </row>
    <row r="199" spans="16:99" x14ac:dyDescent="0.25">
      <c r="P199" s="940"/>
      <c r="Q199" s="13" t="s">
        <v>62</v>
      </c>
      <c r="R199" s="518" t="str">
        <f>IF(AND(_A1="A-330-900",'2025'!$I$4="FO",'2025'!$I$2=R195),'2025DATA'!$C$6,"")</f>
        <v/>
      </c>
      <c r="S199" s="518" t="str">
        <f>IF(AND(_A1="A-330-900",'2025'!$I$4="FO",'2025'!$I$2=S195),'2025DATA'!$D$6,"")</f>
        <v/>
      </c>
      <c r="T199" s="518" t="str">
        <f>IF(AND(_A1="A-330-900",'2025'!$I$4="FO",'2025'!$I$2=T195),'2025DATA'!$E$6,"")</f>
        <v/>
      </c>
      <c r="U199" s="518" t="str">
        <f>IF(AND(_A1="A-330-900",'2025'!$I$4="FO",'2025'!$I$2=U195),'2025DATA'!$F$6,"")</f>
        <v/>
      </c>
      <c r="V199" s="518" t="str">
        <f>IF(AND(_A1="A-330-900",'2025'!$I$4="FO",'2025'!$I$2=V195),'2025DATA'!$G$6,"")</f>
        <v/>
      </c>
      <c r="W199" s="518" t="str">
        <f>IF(AND(_A1="A-330-900",'2025'!$I$4="FO",'2025'!$I$2=W195),'2025DATA'!$H$6,"")</f>
        <v/>
      </c>
      <c r="X199" s="518" t="str">
        <f>IF(AND(_A1="A-330-900",'2025'!$I$4="FO",'2025'!$I$2=X195),'2025DATA'!$I$6,"")</f>
        <v/>
      </c>
      <c r="Y199" s="518" t="str">
        <f>IF(AND(_A1="A-330-900",'2025'!$I$4="FO",'2025'!$I$2=Y195),'2025DATA'!$J$6,"")</f>
        <v/>
      </c>
      <c r="Z199" s="518" t="str">
        <f>IF(AND(_A1="A-330-900",'2025'!$I$4="FO",'2025'!$I$2=Z195),'2025DATA'!$K$6,"")</f>
        <v/>
      </c>
      <c r="AA199" s="518" t="str">
        <f>IF(AND(_A1="A-330-900",'2025'!$I$4="FO",'2025'!$I$2=AA195),'2025DATA'!$L$6,"")</f>
        <v/>
      </c>
      <c r="AB199" s="518" t="str">
        <f>IF(AND(_A1="A-330-900",'2025'!$I$4="FO",'2025'!$I$2=AB195),'2025DATA'!$M$6,"")</f>
        <v/>
      </c>
      <c r="AC199" s="520" t="str">
        <f>IF(AND(_A1="A-330-900",'2025'!$I$4="FO",'2025'!$I$2=AC195),'2025DATA'!$N$6,"")</f>
        <v/>
      </c>
      <c r="AD199" s="940"/>
      <c r="AE199" s="13" t="s">
        <v>62</v>
      </c>
      <c r="AF199" s="518" t="str">
        <f>IF(AND(_A2="A-330-900",'2025'!$I$4="FO",'2025'!$I$2=AF195),'2025DATA'!$C$6,"")</f>
        <v/>
      </c>
      <c r="AG199" s="518" t="str">
        <f>IF(AND(_A2="A-330-900",'2025'!$I$4="FO",'2025'!$I$2=AG195),'2025DATA'!$D$6,"")</f>
        <v/>
      </c>
      <c r="AH199" s="518" t="str">
        <f>IF(AND(_A2="A-330-900",'2025'!$I$4="FO",'2025'!$I$2=AH195),'2025DATA'!$E$6,"")</f>
        <v/>
      </c>
      <c r="AI199" s="518" t="str">
        <f>IF(AND(_A2="A-330-900",'2025'!$I$4="FO",'2025'!$I$2=AI195),'2025DATA'!$F$6,"")</f>
        <v/>
      </c>
      <c r="AJ199" s="518" t="str">
        <f>IF(AND(_A2="A-330-900",'2025'!$I$4="FO",'2025'!$I$2=AJ195),'2025DATA'!$G$6,"")</f>
        <v/>
      </c>
      <c r="AK199" s="518" t="str">
        <f>IF(AND(_A2="A-330-900",'2025'!$I$4="FO",'2025'!$I$2=AK195),'2025DATA'!$H$6,"")</f>
        <v/>
      </c>
      <c r="AL199" s="518" t="str">
        <f>IF(AND(_A2="A-330-900",'2025'!$I$4="FO",'2025'!$I$2=AL195),'2025DATA'!$I$6,"")</f>
        <v/>
      </c>
      <c r="AM199" s="518" t="str">
        <f>IF(AND(_A2="A-330-900",'2025'!$I$4="FO",'2025'!$I$2=AM195),'2025DATA'!$J$6,"")</f>
        <v/>
      </c>
      <c r="AN199" s="518" t="str">
        <f>IF(AND(_A2="A-330-900",'2025'!$I$4="FO",'2025'!$I$2=AN195),'2025DATA'!$K$6,"")</f>
        <v/>
      </c>
      <c r="AO199" s="518" t="str">
        <f>IF(AND(_A2="A-330-900",'2025'!$I$4="FO",'2025'!$I$2=AO195),'2025DATA'!$L$6,"")</f>
        <v/>
      </c>
      <c r="AP199" s="518" t="str">
        <f>IF(AND(_A2="A-330-900",'2025'!$I$4="FO",'2025'!$I$2=AP195),'2025DATA'!$M$6,"")</f>
        <v/>
      </c>
      <c r="AQ199" s="520" t="str">
        <f>IF(AND(_A2="A-330-900",'2025'!$I$4="FO",'2025'!$I$2=AQ195),'2025DATA'!$N$6,"")</f>
        <v/>
      </c>
      <c r="AR199" s="940"/>
      <c r="AS199" s="13" t="s">
        <v>62</v>
      </c>
      <c r="AT199" s="518" t="str">
        <f>IF(AND(_A3="A-330-900",'2025'!$I$4="FO",'2025'!$I$2=AT195),'2025DATA'!$C$6,"")</f>
        <v/>
      </c>
      <c r="AU199" s="518" t="str">
        <f>IF(AND(_A3="A-330-900",'2025'!$I$4="FO",'2025'!$I$2=AU195),'2025DATA'!$D$6,"")</f>
        <v/>
      </c>
      <c r="AV199" s="518" t="str">
        <f>IF(AND(_A3="A-330-900",'2025'!$I$4="FO",'2025'!$I$2=AV195),'2025DATA'!$E$6,"")</f>
        <v/>
      </c>
      <c r="AW199" s="518" t="str">
        <f>IF(AND(_A3="A-330-900",'2025'!$I$4="FO",'2025'!$I$2=AW195),'2025DATA'!$F$6,"")</f>
        <v/>
      </c>
      <c r="AX199" s="518" t="str">
        <f>IF(AND(_A3="A-330-900",'2025'!$I$4="FO",'2025'!$I$2=AX195),'2025DATA'!$G$6,"")</f>
        <v/>
      </c>
      <c r="AY199" s="518" t="str">
        <f>IF(AND(_A3="A-330-900",'2025'!$I$4="FO",'2025'!$I$2=AY195),'2025DATA'!$H$6,"")</f>
        <v/>
      </c>
      <c r="AZ199" s="518" t="str">
        <f>IF(AND(_A3="A-330-900",'2025'!$I$4="FO",'2025'!$I$2=AZ195),'2025DATA'!$I$6,"")</f>
        <v/>
      </c>
      <c r="BA199" s="518" t="str">
        <f>IF(AND(_A3="A-330-900",'2025'!$I$4="FO",'2025'!$I$2=BA195),'2025DATA'!$J$6,"")</f>
        <v/>
      </c>
      <c r="BB199" s="518" t="str">
        <f>IF(AND(_A3="A-330-900",'2025'!$I$4="FO",'2025'!$I$2=BB195),'2025DATA'!$K$6,"")</f>
        <v/>
      </c>
      <c r="BC199" s="518" t="str">
        <f>IF(AND(_A3="A-330-900",'2025'!$I$4="FO",'2025'!$I$2=BC195),'2025DATA'!$L$6,"")</f>
        <v/>
      </c>
      <c r="BD199" s="518" t="str">
        <f>IF(AND(_A3="A-330-900",'2025'!$I$4="FO",'2025'!$I$2=BD195),'2025DATA'!$M$6,"")</f>
        <v/>
      </c>
      <c r="BE199" s="520" t="str">
        <f>IF(AND(_A3="A-330-900",'2025'!$I$4="FO",'2025'!$I$2=BE195),'2025DATA'!$N$6,"")</f>
        <v/>
      </c>
      <c r="BF199" s="940"/>
      <c r="BG199" s="13" t="s">
        <v>62</v>
      </c>
      <c r="BH199" s="518" t="str">
        <f>IF(AND(_A4="A-330-900",'2025'!$I$4="FO",'2025'!$I$2=BH195),'2025DATA'!$C$6,"")</f>
        <v/>
      </c>
      <c r="BI199" s="518" t="str">
        <f>IF(AND(_A4="A-330-900",'2025'!$I$4="FO",'2025'!$I$2=BI195),'2025DATA'!$D$6,"")</f>
        <v/>
      </c>
      <c r="BJ199" s="518" t="str">
        <f>IF(AND(_A4="A-330-900",'2025'!$I$4="FO",'2025'!$I$2=BJ195),'2025DATA'!$E$6,"")</f>
        <v/>
      </c>
      <c r="BK199" s="518" t="str">
        <f>IF(AND(_A4="A-330-900",'2025'!$I$4="FO",'2025'!$I$2=BK195),'2025DATA'!$F$6,"")</f>
        <v/>
      </c>
      <c r="BL199" s="518" t="str">
        <f>IF(AND(_A4="A-330-900",'2025'!$I$4="FO",'2025'!$I$2=BL195),'2025DATA'!$G$6,"")</f>
        <v/>
      </c>
      <c r="BM199" s="518" t="str">
        <f>IF(AND(_A4="A-330-900",'2025'!$I$4="FO",'2025'!$I$2=BM195),'2025DATA'!$H$6,"")</f>
        <v/>
      </c>
      <c r="BN199" s="518" t="str">
        <f>IF(AND(_A4="A-330-900",'2025'!$I$4="FO",'2025'!$I$2=BN195),'2025DATA'!$I$6,"")</f>
        <v/>
      </c>
      <c r="BO199" s="518" t="str">
        <f>IF(AND(_A4="A-330-900",'2025'!$I$4="FO",'2025'!$I$2=BO195),'2025DATA'!$J$6,"")</f>
        <v/>
      </c>
      <c r="BP199" s="518" t="str">
        <f>IF(AND(_A4="A-330-900",'2025'!$I$4="FO",'2025'!$I$2=BP195),'2025DATA'!$K$6,"")</f>
        <v/>
      </c>
      <c r="BQ199" s="518" t="str">
        <f>IF(AND(_A4="A-330-900",'2025'!$I$4="FO",'2025'!$I$2=BQ195),'2025DATA'!$L$6,"")</f>
        <v/>
      </c>
      <c r="BR199" s="518" t="str">
        <f>IF(AND(_A4="A-330-900",'2025'!$I$4="FO",'2025'!$I$2=BR195),'2025DATA'!$M$6,"")</f>
        <v/>
      </c>
      <c r="BS199" s="520" t="str">
        <f>IF(AND(_A4="A-330-900",'2025'!$I$4="FO",'2025'!$I$2=BS195),'2025DATA'!$N$6,"")</f>
        <v/>
      </c>
      <c r="BT199" s="940"/>
      <c r="BU199" s="13" t="s">
        <v>62</v>
      </c>
      <c r="BV199" s="518" t="str">
        <f>IF(AND(_A5="A-330-900",'2025'!$I$4="FO",'2025'!$I$2=BV195),'2025DATA'!$C$6,"")</f>
        <v/>
      </c>
      <c r="BW199" s="518" t="str">
        <f>IF(AND(_A5="A-330-900",'2025'!$I$4="FO",'2025'!$I$2=BW195),'2025DATA'!$D$6,"")</f>
        <v/>
      </c>
      <c r="BX199" s="518" t="str">
        <f>IF(AND(_A5="A-330-900",'2025'!$I$4="FO",'2025'!$I$2=BX195),'2025DATA'!$E$6,"")</f>
        <v/>
      </c>
      <c r="BY199" s="518" t="str">
        <f>IF(AND(_A5="A-330-900",'2025'!$I$4="FO",'2025'!$I$2=BY195),'2025DATA'!$F$6,"")</f>
        <v/>
      </c>
      <c r="BZ199" s="518" t="str">
        <f>IF(AND(_A5="A-330-900",'2025'!$I$4="FO",'2025'!$I$2=BZ195),'2025DATA'!$G$6,"")</f>
        <v/>
      </c>
      <c r="CA199" s="518" t="str">
        <f>IF(AND(_A5="A-330-900",'2025'!$I$4="FO",'2025'!$I$2=CA195),'2025DATA'!$H$6,"")</f>
        <v/>
      </c>
      <c r="CB199" s="518" t="str">
        <f>IF(AND(_A5="A-330-900",'2025'!$I$4="FO",'2025'!$I$2=CB195),'2025DATA'!$I$6,"")</f>
        <v/>
      </c>
      <c r="CC199" s="518" t="str">
        <f>IF(AND(_A5="A-330-900",'2025'!$I$4="FO",'2025'!$I$2=CC195),'2025DATA'!$J$6,"")</f>
        <v/>
      </c>
      <c r="CD199" s="518" t="str">
        <f>IF(AND(_A5="A-330-900",'2025'!$I$4="FO",'2025'!$I$2=CD195),'2025DATA'!$K$6,"")</f>
        <v/>
      </c>
      <c r="CE199" s="518" t="str">
        <f>IF(AND(_A5="A-330-900",'2025'!$I$4="FO",'2025'!$I$2=CE195),'2025DATA'!$L$6,"")</f>
        <v/>
      </c>
      <c r="CF199" s="518" t="str">
        <f>IF(AND(_A5="A-330-900",'2025'!$I$4="FO",'2025'!$I$2=CF195),'2025DATA'!$M$6,"")</f>
        <v/>
      </c>
      <c r="CG199" s="520" t="str">
        <f>IF(AND(_A5="A-330-900",'2025'!$I$4="FO",'2025'!$I$2=CG195),'2025DATA'!$N$6,"")</f>
        <v/>
      </c>
      <c r="CH199" s="940"/>
      <c r="CI199" s="13" t="s">
        <v>62</v>
      </c>
      <c r="CJ199" s="518" t="str">
        <f>IF(AND(_A6="A-330-900",'2025'!$I$4="FO",'2025'!$I$2=CJ195),'2025DATA'!$C$6,"")</f>
        <v/>
      </c>
      <c r="CK199" s="518" t="str">
        <f>IF(AND(_A6="A-330-900",'2025'!$I$4="FO",'2025'!$I$2=CK195),'2025DATA'!$D$6,"")</f>
        <v/>
      </c>
      <c r="CL199" s="518" t="str">
        <f>IF(AND(_A6="A-330-900",'2025'!$I$4="FO",'2025'!$I$2=CL195),'2025DATA'!$E$6,"")</f>
        <v/>
      </c>
      <c r="CM199" s="518" t="str">
        <f>IF(AND(_A6="A-330-900",'2025'!$I$4="FO",'2025'!$I$2=CM195),'2025DATA'!$F$6,"")</f>
        <v/>
      </c>
      <c r="CN199" s="518" t="str">
        <f>IF(AND(_A6="A-330-900",'2025'!$I$4="FO",'2025'!$I$2=CN195),'2025DATA'!$G$6,"")</f>
        <v/>
      </c>
      <c r="CO199" s="518" t="str">
        <f>IF(AND(_A6="A-330-900",'2025'!$I$4="FO",'2025'!$I$2=CO195),'2025DATA'!$H$6,"")</f>
        <v/>
      </c>
      <c r="CP199" s="518" t="str">
        <f>IF(AND(_A6="A-330-900",'2025'!$I$4="FO",'2025'!$I$2=CP195),'2025DATA'!$I$6,"")</f>
        <v/>
      </c>
      <c r="CQ199" s="518" t="str">
        <f>IF(AND(_A6="A-330-900",'2025'!$I$4="FO",'2025'!$I$2=CQ195),'2025DATA'!$J$6,"")</f>
        <v/>
      </c>
      <c r="CR199" s="518" t="str">
        <f>IF(AND(_A6="A-330-900",'2025'!$I$4="FO",'2025'!$I$2=CR195),'2025DATA'!$K$6,"")</f>
        <v/>
      </c>
      <c r="CS199" s="518" t="str">
        <f>IF(AND(_A6="A-330-900",'2025'!$I$4="FO",'2025'!$I$2=CS195),'2025DATA'!$L$6,"")</f>
        <v/>
      </c>
      <c r="CT199" s="518" t="str">
        <f>IF(AND(_A6="A-330-900",'2025'!$I$4="FO",'2025'!$I$2=CT195),'2025DATA'!$M$6,"")</f>
        <v/>
      </c>
      <c r="CU199" s="520" t="str">
        <f>IF(AND(_A6="A-330-900",'2025'!$I$4="FO",'2025'!$I$2=CU195),'2025DATA'!$N$6,"")</f>
        <v/>
      </c>
    </row>
    <row r="200" spans="16:99" x14ac:dyDescent="0.25">
      <c r="P200" s="940" t="s">
        <v>64</v>
      </c>
      <c r="Q200" s="13" t="s">
        <v>61</v>
      </c>
      <c r="R200" s="518" t="str">
        <f>IF(AND(_A1="A-330-300",'2025'!$I$4="CA",'2025'!$I$2=R195),'2025DATA'!$C$7,"")</f>
        <v/>
      </c>
      <c r="S200" s="518" t="str">
        <f>IF(AND(_A1="A-330-300",'2025'!$I$4="CA",'2025'!$I$2=S195),'2025DATA'!$D$7,"")</f>
        <v/>
      </c>
      <c r="T200" s="518" t="str">
        <f>IF(AND(_A1="A-330-300",'2025'!$I$4="CA",'2025'!$I$2=T195),'2025DATA'!$E$7,"")</f>
        <v/>
      </c>
      <c r="U200" s="518" t="str">
        <f>IF(AND(_A1="A-330-300",'2025'!$I$4="CA",'2025'!$I$2=U195),'2025DATA'!$F$7,"")</f>
        <v/>
      </c>
      <c r="V200" s="518" t="str">
        <f>IF(AND(_A1="A-330-300",'2025'!$I$4="CA",'2025'!$I$2=V195),'2025DATA'!$G$7,"")</f>
        <v/>
      </c>
      <c r="W200" s="518" t="str">
        <f>IF(AND(_A1="A-330-300",'2025'!$I$4="CA",'2025'!$I$2=W195),'2025DATA'!$H$7,"")</f>
        <v/>
      </c>
      <c r="X200" s="518" t="str">
        <f>IF(AND(_A1="A-330-300",'2025'!$I$4="CA",'2025'!$I$2=X195),'2025DATA'!$I$7,"")</f>
        <v/>
      </c>
      <c r="Y200" s="518" t="str">
        <f>IF(AND(_A1="A-330-300",'2025'!$I$4="CA",'2025'!$I$2=Y195),'2025DATA'!$J$7,"")</f>
        <v/>
      </c>
      <c r="Z200" s="518" t="str">
        <f>IF(AND(_A1="A-330-300",'2025'!$I$4="CA",'2025'!$I$2=Z195),'2025DATA'!$K$7,"")</f>
        <v/>
      </c>
      <c r="AA200" s="518" t="str">
        <f>IF(AND(_A1="A-330-300",'2025'!$I$4="CA",'2025'!$I$2=AA195),'2025DATA'!$L$7,"")</f>
        <v/>
      </c>
      <c r="AB200" s="518" t="str">
        <f>IF(AND(_A1="A-330-300",'2025'!$I$4="CA",'2025'!$I$2=AB195),'2025DATA'!$M$7,"")</f>
        <v/>
      </c>
      <c r="AC200" s="520" t="str">
        <f>IF(AND(_A1="A-330-300",'2025'!$I$4="CA",'2025'!$I$2=AC195),'2025DATA'!$N$7,"")</f>
        <v/>
      </c>
      <c r="AD200" s="940" t="s">
        <v>64</v>
      </c>
      <c r="AE200" s="13" t="s">
        <v>61</v>
      </c>
      <c r="AF200" s="518" t="str">
        <f>IF(AND(_A2="A-330-300",'2025'!$I$4="CA",'2025'!$I$2=AF195),'2025DATA'!$C$7,"")</f>
        <v/>
      </c>
      <c r="AG200" s="518" t="str">
        <f>IF(AND(_A2="A-330-300",'2025'!$I$4="CA",'2025'!$I$2=AG195),'2025DATA'!$D$7,"")</f>
        <v/>
      </c>
      <c r="AH200" s="518" t="str">
        <f>IF(AND(_A2="A-330-300",'2025'!$I$4="CA",'2025'!$I$2=AH195),'2025DATA'!$E$7,"")</f>
        <v/>
      </c>
      <c r="AI200" s="518" t="str">
        <f>IF(AND(_A2="A-330-300",'2025'!$I$4="CA",'2025'!$I$2=AI195),'2025DATA'!$F$7,"")</f>
        <v/>
      </c>
      <c r="AJ200" s="518" t="str">
        <f>IF(AND(_A2="A-330-300",'2025'!$I$4="CA",'2025'!$I$2=AJ195),'2025DATA'!$G$7,"")</f>
        <v/>
      </c>
      <c r="AK200" s="518" t="str">
        <f>IF(AND(_A2="A-330-300",'2025'!$I$4="CA",'2025'!$I$2=AK195),'2025DATA'!$H$7,"")</f>
        <v/>
      </c>
      <c r="AL200" s="518" t="str">
        <f>IF(AND(_A2="A-330-300",'2025'!$I$4="CA",'2025'!$I$2=AL195),'2025DATA'!$I$7,"")</f>
        <v/>
      </c>
      <c r="AM200" s="518" t="str">
        <f>IF(AND(_A2="A-330-300",'2025'!$I$4="CA",'2025'!$I$2=AM195),'2025DATA'!$J$7,"")</f>
        <v/>
      </c>
      <c r="AN200" s="518" t="str">
        <f>IF(AND(_A2="A-330-300",'2025'!$I$4="CA",'2025'!$I$2=AN195),'2025DATA'!$K$7,"")</f>
        <v/>
      </c>
      <c r="AO200" s="518" t="str">
        <f>IF(AND(_A2="A-330-300",'2025'!$I$4="CA",'2025'!$I$2=AO195),'2025DATA'!$L$7,"")</f>
        <v/>
      </c>
      <c r="AP200" s="518" t="str">
        <f>IF(AND(_A2="A-330-300",'2025'!$I$4="CA",'2025'!$I$2=AP195),'2025DATA'!$M$7,"")</f>
        <v/>
      </c>
      <c r="AQ200" s="520" t="str">
        <f>IF(AND(_A2="A-330-300",'2025'!$I$4="CA",'2025'!$I$2=AQ195),'2025DATA'!$N$7,"")</f>
        <v/>
      </c>
      <c r="AR200" s="940" t="s">
        <v>64</v>
      </c>
      <c r="AS200" s="13" t="s">
        <v>61</v>
      </c>
      <c r="AT200" s="518" t="str">
        <f>IF(AND(_A3="A-330-300",'2025'!$I$4="CA",'2025'!$I$2=AT195),'2025DATA'!$C$7,"")</f>
        <v/>
      </c>
      <c r="AU200" s="518" t="str">
        <f>IF(AND(_A3="A-330-300",'2025'!$I$4="CA",'2025'!$I$2=AU195),'2025DATA'!$D$7,"")</f>
        <v/>
      </c>
      <c r="AV200" s="518" t="str">
        <f>IF(AND(_A3="A-330-300",'2025'!$I$4="CA",'2025'!$I$2=AV195),'2025DATA'!$E$7,"")</f>
        <v/>
      </c>
      <c r="AW200" s="518" t="str">
        <f>IF(AND(_A3="A-330-300",'2025'!$I$4="CA",'2025'!$I$2=AW195),'2025DATA'!$F$7,"")</f>
        <v/>
      </c>
      <c r="AX200" s="518" t="str">
        <f>IF(AND(_A3="A-330-300",'2025'!$I$4="CA",'2025'!$I$2=AX195),'2025DATA'!$G$7,"")</f>
        <v/>
      </c>
      <c r="AY200" s="518" t="str">
        <f>IF(AND(_A3="A-330-300",'2025'!$I$4="CA",'2025'!$I$2=AY195),'2025DATA'!$H$7,"")</f>
        <v/>
      </c>
      <c r="AZ200" s="518" t="str">
        <f>IF(AND(_A3="A-330-300",'2025'!$I$4="CA",'2025'!$I$2=AZ195),'2025DATA'!$I$7,"")</f>
        <v/>
      </c>
      <c r="BA200" s="518" t="str">
        <f>IF(AND(_A3="A-330-300",'2025'!$I$4="CA",'2025'!$I$2=BA195),'2025DATA'!$J$7,"")</f>
        <v/>
      </c>
      <c r="BB200" s="518" t="str">
        <f>IF(AND(_A3="A-330-300",'2025'!$I$4="CA",'2025'!$I$2=BB195),'2025DATA'!$K$7,"")</f>
        <v/>
      </c>
      <c r="BC200" s="518" t="str">
        <f>IF(AND(_A3="A-330-300",'2025'!$I$4="CA",'2025'!$I$2=BC195),'2025DATA'!$L$7,"")</f>
        <v/>
      </c>
      <c r="BD200" s="518" t="str">
        <f>IF(AND(_A3="A-330-300",'2025'!$I$4="CA",'2025'!$I$2=BD195),'2025DATA'!$M$7,"")</f>
        <v/>
      </c>
      <c r="BE200" s="520" t="str">
        <f>IF(AND(_A3="A-330-300",'2025'!$I$4="CA",'2025'!$I$2=BE195),'2025DATA'!$N$7,"")</f>
        <v/>
      </c>
      <c r="BF200" s="940" t="s">
        <v>64</v>
      </c>
      <c r="BG200" s="13" t="s">
        <v>61</v>
      </c>
      <c r="BH200" s="518" t="str">
        <f>IF(AND(_A4="A-330-300",'2025'!$I$4="CA",'2025'!$I$2=BH195),'2025DATA'!$C$7,"")</f>
        <v/>
      </c>
      <c r="BI200" s="518" t="str">
        <f>IF(AND(_A4="A-330-300",'2025'!$I$4="CA",'2025'!$I$2=BI195),'2025DATA'!$D$7,"")</f>
        <v/>
      </c>
      <c r="BJ200" s="518" t="str">
        <f>IF(AND(_A4="A-330-300",'2025'!$I$4="CA",'2025'!$I$2=BJ195),'2025DATA'!$E$7,"")</f>
        <v/>
      </c>
      <c r="BK200" s="518" t="str">
        <f>IF(AND(_A4="A-330-300",'2025'!$I$4="CA",'2025'!$I$2=BK195),'2025DATA'!$F$7,"")</f>
        <v/>
      </c>
      <c r="BL200" s="518" t="str">
        <f>IF(AND(_A4="A-330-300",'2025'!$I$4="CA",'2025'!$I$2=BL195),'2025DATA'!$G$7,"")</f>
        <v/>
      </c>
      <c r="BM200" s="518" t="str">
        <f>IF(AND(_A4="A-330-300",'2025'!$I$4="CA",'2025'!$I$2=BM195),'2025DATA'!$H$7,"")</f>
        <v/>
      </c>
      <c r="BN200" s="518" t="str">
        <f>IF(AND(_A4="A-330-300",'2025'!$I$4="CA",'2025'!$I$2=BN195),'2025DATA'!$I$7,"")</f>
        <v/>
      </c>
      <c r="BO200" s="518" t="str">
        <f>IF(AND(_A4="A-330-300",'2025'!$I$4="CA",'2025'!$I$2=BO195),'2025DATA'!$J$7,"")</f>
        <v/>
      </c>
      <c r="BP200" s="518" t="str">
        <f>IF(AND(_A4="A-330-300",'2025'!$I$4="CA",'2025'!$I$2=BP195),'2025DATA'!$K$7,"")</f>
        <v/>
      </c>
      <c r="BQ200" s="518" t="str">
        <f>IF(AND(_A4="A-330-300",'2025'!$I$4="CA",'2025'!$I$2=BQ195),'2025DATA'!$L$7,"")</f>
        <v/>
      </c>
      <c r="BR200" s="518" t="str">
        <f>IF(AND(_A4="A-330-300",'2025'!$I$4="CA",'2025'!$I$2=BR195),'2025DATA'!$M$7,"")</f>
        <v/>
      </c>
      <c r="BS200" s="520" t="str">
        <f>IF(AND(_A4="A-330-300",'2025'!$I$4="CA",'2025'!$I$2=BS195),'2025DATA'!$N$7,"")</f>
        <v/>
      </c>
      <c r="BT200" s="940" t="s">
        <v>64</v>
      </c>
      <c r="BU200" s="13" t="s">
        <v>61</v>
      </c>
      <c r="BV200" s="518" t="str">
        <f>IF(AND(_A5="A-330-300",'2025'!$I$4="CA",'2025'!$I$2=BV195),'2025DATA'!$C$7,"")</f>
        <v/>
      </c>
      <c r="BW200" s="518" t="str">
        <f>IF(AND(_A5="A-330-300",'2025'!$I$4="CA",'2025'!$I$2=BW195),'2025DATA'!$D$7,"")</f>
        <v/>
      </c>
      <c r="BX200" s="518" t="str">
        <f>IF(AND(_A5="A-330-300",'2025'!$I$4="CA",'2025'!$I$2=BX195),'2025DATA'!$E$7,"")</f>
        <v/>
      </c>
      <c r="BY200" s="518" t="str">
        <f>IF(AND(_A5="A-330-300",'2025'!$I$4="CA",'2025'!$I$2=BY195),'2025DATA'!$F$7,"")</f>
        <v/>
      </c>
      <c r="BZ200" s="518" t="str">
        <f>IF(AND(_A5="A-330-300",'2025'!$I$4="CA",'2025'!$I$2=BZ195),'2025DATA'!$G$7,"")</f>
        <v/>
      </c>
      <c r="CA200" s="518" t="str">
        <f>IF(AND(_A5="A-330-300",'2025'!$I$4="CA",'2025'!$I$2=CA195),'2025DATA'!$H$7,"")</f>
        <v/>
      </c>
      <c r="CB200" s="518" t="str">
        <f>IF(AND(_A5="A-330-300",'2025'!$I$4="CA",'2025'!$I$2=CB195),'2025DATA'!$I$7,"")</f>
        <v/>
      </c>
      <c r="CC200" s="518" t="str">
        <f>IF(AND(_A5="A-330-300",'2025'!$I$4="CA",'2025'!$I$2=CC195),'2025DATA'!$J$7,"")</f>
        <v/>
      </c>
      <c r="CD200" s="518" t="str">
        <f>IF(AND(_A5="A-330-300",'2025'!$I$4="CA",'2025'!$I$2=CD195),'2025DATA'!$K$7,"")</f>
        <v/>
      </c>
      <c r="CE200" s="518" t="str">
        <f>IF(AND(_A5="A-330-300",'2025'!$I$4="CA",'2025'!$I$2=CE195),'2025DATA'!$L$7,"")</f>
        <v/>
      </c>
      <c r="CF200" s="518" t="str">
        <f>IF(AND(_A5="A-330-300",'2025'!$I$4="CA",'2025'!$I$2=CF195),'2025DATA'!$M$7,"")</f>
        <v/>
      </c>
      <c r="CG200" s="520" t="str">
        <f>IF(AND(_A5="A-330-300",'2025'!$I$4="CA",'2025'!$I$2=CG195),'2025DATA'!$N$7,"")</f>
        <v/>
      </c>
      <c r="CH200" s="940" t="s">
        <v>64</v>
      </c>
      <c r="CI200" s="13" t="s">
        <v>61</v>
      </c>
      <c r="CJ200" s="518" t="str">
        <f>IF(AND(_A6="A-330-300",'2025'!$I$4="CA",'2025'!$I$2=CJ195),'2025DATA'!$C$7,"")</f>
        <v/>
      </c>
      <c r="CK200" s="518" t="str">
        <f>IF(AND(_A6="A-330-300",'2025'!$I$4="CA",'2025'!$I$2=CK195),'2025DATA'!$D$7,"")</f>
        <v/>
      </c>
      <c r="CL200" s="518" t="str">
        <f>IF(AND(_A6="A-330-300",'2025'!$I$4="CA",'2025'!$I$2=CL195),'2025DATA'!$E$7,"")</f>
        <v/>
      </c>
      <c r="CM200" s="518" t="str">
        <f>IF(AND(_A6="A-330-300",'2025'!$I$4="CA",'2025'!$I$2=CM195),'2025DATA'!$F$7,"")</f>
        <v/>
      </c>
      <c r="CN200" s="518" t="str">
        <f>IF(AND(_A6="A-330-300",'2025'!$I$4="CA",'2025'!$I$2=CN195),'2025DATA'!$G$7,"")</f>
        <v/>
      </c>
      <c r="CO200" s="518" t="str">
        <f>IF(AND(_A6="A-330-300",'2025'!$I$4="CA",'2025'!$I$2=CO195),'2025DATA'!$H$7,"")</f>
        <v/>
      </c>
      <c r="CP200" s="518" t="str">
        <f>IF(AND(_A6="A-330-300",'2025'!$I$4="CA",'2025'!$I$2=CP195),'2025DATA'!$I$7,"")</f>
        <v/>
      </c>
      <c r="CQ200" s="518" t="str">
        <f>IF(AND(_A6="A-330-300",'2025'!$I$4="CA",'2025'!$I$2=CQ195),'2025DATA'!$J$7,"")</f>
        <v/>
      </c>
      <c r="CR200" s="518" t="str">
        <f>IF(AND(_A6="A-330-300",'2025'!$I$4="CA",'2025'!$I$2=CR195),'2025DATA'!$K$7,"")</f>
        <v/>
      </c>
      <c r="CS200" s="518" t="str">
        <f>IF(AND(_A6="A-330-300",'2025'!$I$4="CA",'2025'!$I$2=CS195),'2025DATA'!$L$7,"")</f>
        <v/>
      </c>
      <c r="CT200" s="518" t="str">
        <f>IF(AND(_A6="A-330-300",'2025'!$I$4="CA",'2025'!$I$2=CT195),'2025DATA'!$M$7,"")</f>
        <v/>
      </c>
      <c r="CU200" s="520" t="str">
        <f>IF(AND(_A6="A-330-300",'2025'!$I$4="CA",'2025'!$I$2=CU195),'2025DATA'!$N$7,"")</f>
        <v/>
      </c>
    </row>
    <row r="201" spans="16:99" x14ac:dyDescent="0.25">
      <c r="P201" s="940"/>
      <c r="Q201" s="13" t="s">
        <v>62</v>
      </c>
      <c r="R201" s="518" t="str">
        <f>IF(AND(_A1="A-330-300",'2025'!$I$4="FO",'2025'!$I$2=R195),'2025DATA'!$C$8,"")</f>
        <v/>
      </c>
      <c r="S201" s="518" t="str">
        <f>IF(AND(_A1="A-330-300",'2025'!$I$4="FO",'2025'!$I$2=S195),'2025DATA'!$D$8,"")</f>
        <v/>
      </c>
      <c r="T201" s="518" t="str">
        <f>IF(AND(_A1="A-330-300",'2025'!$I$4="FO",'2025'!$I$2=T195),'2025DATA'!$E$8,"")</f>
        <v/>
      </c>
      <c r="U201" s="518" t="str">
        <f>IF(AND(_A1="A-330-300",'2025'!$I$4="FO",'2025'!$I$2=U195),'2025DATA'!$F$8,"")</f>
        <v/>
      </c>
      <c r="V201" s="518" t="str">
        <f>IF(AND(_A1="A-330-300",'2025'!$I$4="FO",'2025'!$I$2=V195),'2025DATA'!$G$8,"")</f>
        <v/>
      </c>
      <c r="W201" s="518" t="str">
        <f>IF(AND(_A1="A-330-300",'2025'!$I$4="FO",'2025'!$I$2=W195),'2025DATA'!$H$8,"")</f>
        <v/>
      </c>
      <c r="X201" s="518" t="str">
        <f>IF(AND(_A1="A-330-300",'2025'!$I$4="FO",'2025'!$I$2=X195),'2025DATA'!$I$8,"")</f>
        <v/>
      </c>
      <c r="Y201" s="518" t="str">
        <f>IF(AND(_A1="A-330-300",'2025'!$I$4="FO",'2025'!$I$2=Y195),'2025DATA'!$J$8,"")</f>
        <v/>
      </c>
      <c r="Z201" s="518" t="str">
        <f>IF(AND(_A1="A-330-300",'2025'!$I$4="FO",'2025'!$I$2=Z195),'2025DATA'!$K$8,"")</f>
        <v/>
      </c>
      <c r="AA201" s="518" t="str">
        <f>IF(AND(_A1="A-330-300",'2025'!$I$4="FO",'2025'!$I$2=AA195),'2025DATA'!$L$8,"")</f>
        <v/>
      </c>
      <c r="AB201" s="518" t="str">
        <f>IF(AND(_A1="A-330-300",'2025'!$I$4="FO",'2025'!$I$2=AB195),'2025DATA'!$M$8,"")</f>
        <v/>
      </c>
      <c r="AC201" s="520" t="str">
        <f>IF(AND(_A1="A-330-300",'2025'!$I$4="FO",'2025'!$I$2=AC195),'2025DATA'!$N$8,"")</f>
        <v/>
      </c>
      <c r="AD201" s="940"/>
      <c r="AE201" s="13" t="s">
        <v>62</v>
      </c>
      <c r="AF201" s="518" t="str">
        <f>IF(AND(_A2="A-330-300",'2025'!$I$4="FO",'2025'!$I$2=AF195),'2025DATA'!$C$8,"")</f>
        <v/>
      </c>
      <c r="AG201" s="518" t="str">
        <f>IF(AND(_A2="A-330-300",'2025'!$I$4="FO",'2025'!$I$2=AG195),'2025DATA'!$D$8,"")</f>
        <v/>
      </c>
      <c r="AH201" s="518" t="str">
        <f>IF(AND(_A2="A-330-300",'2025'!$I$4="FO",'2025'!$I$2=AH195),'2025DATA'!$E$8,"")</f>
        <v/>
      </c>
      <c r="AI201" s="518" t="str">
        <f>IF(AND(_A2="A-330-300",'2025'!$I$4="FO",'2025'!$I$2=AI195),'2025DATA'!$F$8,"")</f>
        <v/>
      </c>
      <c r="AJ201" s="518" t="str">
        <f>IF(AND(_A2="A-330-300",'2025'!$I$4="FO",'2025'!$I$2=AJ195),'2025DATA'!$G$8,"")</f>
        <v/>
      </c>
      <c r="AK201" s="518" t="str">
        <f>IF(AND(_A2="A-330-300",'2025'!$I$4="FO",'2025'!$I$2=AK195),'2025DATA'!$H$8,"")</f>
        <v/>
      </c>
      <c r="AL201" s="518" t="str">
        <f>IF(AND(_A2="A-330-300",'2025'!$I$4="FO",'2025'!$I$2=AL195),'2025DATA'!$I$8,"")</f>
        <v/>
      </c>
      <c r="AM201" s="518" t="str">
        <f>IF(AND(_A2="A-330-300",'2025'!$I$4="FO",'2025'!$I$2=AM195),'2025DATA'!$J$8,"")</f>
        <v/>
      </c>
      <c r="AN201" s="518" t="str">
        <f>IF(AND(_A2="A-330-300",'2025'!$I$4="FO",'2025'!$I$2=AN195),'2025DATA'!$K$8,"")</f>
        <v/>
      </c>
      <c r="AO201" s="518" t="str">
        <f>IF(AND(_A2="A-330-300",'2025'!$I$4="FO",'2025'!$I$2=AO195),'2025DATA'!$L$8,"")</f>
        <v/>
      </c>
      <c r="AP201" s="518" t="str">
        <f>IF(AND(_A2="A-330-300",'2025'!$I$4="FO",'2025'!$I$2=AP195),'2025DATA'!$M$8,"")</f>
        <v/>
      </c>
      <c r="AQ201" s="520" t="str">
        <f>IF(AND(_A2="A-330-300",'2025'!$I$4="FO",'2025'!$I$2=AQ195),'2025DATA'!$N$8,"")</f>
        <v/>
      </c>
      <c r="AR201" s="940"/>
      <c r="AS201" s="13" t="s">
        <v>62</v>
      </c>
      <c r="AT201" s="518" t="str">
        <f>IF(AND(_A3="A-330-300",'2025'!$I$4="FO",'2025'!$I$2=AT195),'2025DATA'!$C$8,"")</f>
        <v/>
      </c>
      <c r="AU201" s="518" t="str">
        <f>IF(AND(_A3="A-330-300",'2025'!$I$4="FO",'2025'!$I$2=AU195),'2025DATA'!$D$8,"")</f>
        <v/>
      </c>
      <c r="AV201" s="518" t="str">
        <f>IF(AND(_A3="A-330-300",'2025'!$I$4="FO",'2025'!$I$2=AV195),'2025DATA'!$E$8,"")</f>
        <v/>
      </c>
      <c r="AW201" s="518" t="str">
        <f>IF(AND(_A3="A-330-300",'2025'!$I$4="FO",'2025'!$I$2=AW195),'2025DATA'!$F$8,"")</f>
        <v/>
      </c>
      <c r="AX201" s="518" t="str">
        <f>IF(AND(_A3="A-330-300",'2025'!$I$4="FO",'2025'!$I$2=AX195),'2025DATA'!$G$8,"")</f>
        <v/>
      </c>
      <c r="AY201" s="518" t="str">
        <f>IF(AND(_A3="A-330-300",'2025'!$I$4="FO",'2025'!$I$2=AY195),'2025DATA'!$H$8,"")</f>
        <v/>
      </c>
      <c r="AZ201" s="518" t="str">
        <f>IF(AND(_A3="A-330-300",'2025'!$I$4="FO",'2025'!$I$2=AZ195),'2025DATA'!$I$8,"")</f>
        <v/>
      </c>
      <c r="BA201" s="518" t="str">
        <f>IF(AND(_A3="A-330-300",'2025'!$I$4="FO",'2025'!$I$2=BA195),'2025DATA'!$J$8,"")</f>
        <v/>
      </c>
      <c r="BB201" s="518" t="str">
        <f>IF(AND(_A3="A-330-300",'2025'!$I$4="FO",'2025'!$I$2=BB195),'2025DATA'!$K$8,"")</f>
        <v/>
      </c>
      <c r="BC201" s="518" t="str">
        <f>IF(AND(_A3="A-330-300",'2025'!$I$4="FO",'2025'!$I$2=BC195),'2025DATA'!$L$8,"")</f>
        <v/>
      </c>
      <c r="BD201" s="518" t="str">
        <f>IF(AND(_A3="A-330-300",'2025'!$I$4="FO",'2025'!$I$2=BD195),'2025DATA'!$M$8,"")</f>
        <v/>
      </c>
      <c r="BE201" s="520" t="str">
        <f>IF(AND(_A3="A-330-300",'2025'!$I$4="FO",'2025'!$I$2=BE195),'2025DATA'!$N$8,"")</f>
        <v/>
      </c>
      <c r="BF201" s="940"/>
      <c r="BG201" s="13" t="s">
        <v>62</v>
      </c>
      <c r="BH201" s="518" t="str">
        <f>IF(AND(_A4="A-330-300",'2025'!$I$4="FO",'2025'!$I$2=BH195),'2025DATA'!$C$8,"")</f>
        <v/>
      </c>
      <c r="BI201" s="518" t="str">
        <f>IF(AND(_A4="A-330-300",'2025'!$I$4="FO",'2025'!$I$2=BI195),'2025DATA'!$D$8,"")</f>
        <v/>
      </c>
      <c r="BJ201" s="518" t="str">
        <f>IF(AND(_A4="A-330-300",'2025'!$I$4="FO",'2025'!$I$2=BJ195),'2025DATA'!$E$8,"")</f>
        <v/>
      </c>
      <c r="BK201" s="518" t="str">
        <f>IF(AND(_A4="A-330-300",'2025'!$I$4="FO",'2025'!$I$2=BK195),'2025DATA'!$F$8,"")</f>
        <v/>
      </c>
      <c r="BL201" s="518" t="str">
        <f>IF(AND(_A4="A-330-300",'2025'!$I$4="FO",'2025'!$I$2=BL195),'2025DATA'!$G$8,"")</f>
        <v/>
      </c>
      <c r="BM201" s="518" t="str">
        <f>IF(AND(_A4="A-330-300",'2025'!$I$4="FO",'2025'!$I$2=BM195),'2025DATA'!$H$8,"")</f>
        <v/>
      </c>
      <c r="BN201" s="518" t="str">
        <f>IF(AND(_A4="A-330-300",'2025'!$I$4="FO",'2025'!$I$2=BN195),'2025DATA'!$I$8,"")</f>
        <v/>
      </c>
      <c r="BO201" s="518" t="str">
        <f>IF(AND(_A4="A-330-300",'2025'!$I$4="FO",'2025'!$I$2=BO195),'2025DATA'!$J$8,"")</f>
        <v/>
      </c>
      <c r="BP201" s="518" t="str">
        <f>IF(AND(_A4="A-330-300",'2025'!$I$4="FO",'2025'!$I$2=BP195),'2025DATA'!$K$8,"")</f>
        <v/>
      </c>
      <c r="BQ201" s="518" t="str">
        <f>IF(AND(_A4="A-330-300",'2025'!$I$4="FO",'2025'!$I$2=BQ195),'2025DATA'!$L$8,"")</f>
        <v/>
      </c>
      <c r="BR201" s="518" t="str">
        <f>IF(AND(_A4="A-330-300",'2025'!$I$4="FO",'2025'!$I$2=BR195),'2025DATA'!$M$8,"")</f>
        <v/>
      </c>
      <c r="BS201" s="520" t="str">
        <f>IF(AND(_A4="A-330-300",'2025'!$I$4="FO",'2025'!$I$2=BS195),'2025DATA'!$N$8,"")</f>
        <v/>
      </c>
      <c r="BT201" s="940"/>
      <c r="BU201" s="13" t="s">
        <v>62</v>
      </c>
      <c r="BV201" s="518" t="str">
        <f>IF(AND(_A5="A-330-300",'2025'!$I$4="FO",'2025'!$I$2=BV195),'2025DATA'!$C$8,"")</f>
        <v/>
      </c>
      <c r="BW201" s="518" t="str">
        <f>IF(AND(_A5="A-330-300",'2025'!$I$4="FO",'2025'!$I$2=BW195),'2025DATA'!$D$8,"")</f>
        <v/>
      </c>
      <c r="BX201" s="518" t="str">
        <f>IF(AND(_A5="A-330-300",'2025'!$I$4="FO",'2025'!$I$2=BX195),'2025DATA'!$E$8,"")</f>
        <v/>
      </c>
      <c r="BY201" s="518" t="str">
        <f>IF(AND(_A5="A-330-300",'2025'!$I$4="FO",'2025'!$I$2=BY195),'2025DATA'!$F$8,"")</f>
        <v/>
      </c>
      <c r="BZ201" s="518" t="str">
        <f>IF(AND(_A5="A-330-300",'2025'!$I$4="FO",'2025'!$I$2=BZ195),'2025DATA'!$G$8,"")</f>
        <v/>
      </c>
      <c r="CA201" s="518" t="str">
        <f>IF(AND(_A5="A-330-300",'2025'!$I$4="FO",'2025'!$I$2=CA195),'2025DATA'!$H$8,"")</f>
        <v/>
      </c>
      <c r="CB201" s="518" t="str">
        <f>IF(AND(_A5="A-330-300",'2025'!$I$4="FO",'2025'!$I$2=CB195),'2025DATA'!$I$8,"")</f>
        <v/>
      </c>
      <c r="CC201" s="518" t="str">
        <f>IF(AND(_A5="A-330-300",'2025'!$I$4="FO",'2025'!$I$2=CC195),'2025DATA'!$J$8,"")</f>
        <v/>
      </c>
      <c r="CD201" s="518" t="str">
        <f>IF(AND(_A5="A-330-300",'2025'!$I$4="FO",'2025'!$I$2=CD195),'2025DATA'!$K$8,"")</f>
        <v/>
      </c>
      <c r="CE201" s="518" t="str">
        <f>IF(AND(_A5="A-330-300",'2025'!$I$4="FO",'2025'!$I$2=CE195),'2025DATA'!$L$8,"")</f>
        <v/>
      </c>
      <c r="CF201" s="518" t="str">
        <f>IF(AND(_A5="A-330-300",'2025'!$I$4="FO",'2025'!$I$2=CF195),'2025DATA'!$M$8,"")</f>
        <v/>
      </c>
      <c r="CG201" s="520" t="str">
        <f>IF(AND(_A5="A-330-300",'2025'!$I$4="FO",'2025'!$I$2=CG195),'2025DATA'!$N$8,"")</f>
        <v/>
      </c>
      <c r="CH201" s="940"/>
      <c r="CI201" s="13" t="s">
        <v>62</v>
      </c>
      <c r="CJ201" s="518" t="str">
        <f>IF(AND(_A6="A-330-300",'2025'!$I$4="FO",'2025'!$I$2=CJ195),'2025DATA'!$C$8,"")</f>
        <v/>
      </c>
      <c r="CK201" s="518" t="str">
        <f>IF(AND(_A6="A-330-300",'2025'!$I$4="FO",'2025'!$I$2=CK195),'2025DATA'!$D$8,"")</f>
        <v/>
      </c>
      <c r="CL201" s="518" t="str">
        <f>IF(AND(_A6="A-330-300",'2025'!$I$4="FO",'2025'!$I$2=CL195),'2025DATA'!$E$8,"")</f>
        <v/>
      </c>
      <c r="CM201" s="518" t="str">
        <f>IF(AND(_A6="A-330-300",'2025'!$I$4="FO",'2025'!$I$2=CM195),'2025DATA'!$F$8,"")</f>
        <v/>
      </c>
      <c r="CN201" s="518" t="str">
        <f>IF(AND(_A6="A-330-300",'2025'!$I$4="FO",'2025'!$I$2=CN195),'2025DATA'!$G$8,"")</f>
        <v/>
      </c>
      <c r="CO201" s="518" t="str">
        <f>IF(AND(_A6="A-330-300",'2025'!$I$4="FO",'2025'!$I$2=CO195),'2025DATA'!$H$8,"")</f>
        <v/>
      </c>
      <c r="CP201" s="518" t="str">
        <f>IF(AND(_A6="A-330-300",'2025'!$I$4="FO",'2025'!$I$2=CP195),'2025DATA'!$I$8,"")</f>
        <v/>
      </c>
      <c r="CQ201" s="518" t="str">
        <f>IF(AND(_A6="A-330-300",'2025'!$I$4="FO",'2025'!$I$2=CQ195),'2025DATA'!$J$8,"")</f>
        <v/>
      </c>
      <c r="CR201" s="518" t="str">
        <f>IF(AND(_A6="A-330-300",'2025'!$I$4="FO",'2025'!$I$2=CR195),'2025DATA'!$K$8,"")</f>
        <v/>
      </c>
      <c r="CS201" s="518" t="str">
        <f>IF(AND(_A6="A-330-300",'2025'!$I$4="FO",'2025'!$I$2=CS195),'2025DATA'!$L$8,"")</f>
        <v/>
      </c>
      <c r="CT201" s="518" t="str">
        <f>IF(AND(_A6="A-330-300",'2025'!$I$4="FO",'2025'!$I$2=CT195),'2025DATA'!$M$8,"")</f>
        <v/>
      </c>
      <c r="CU201" s="520" t="str">
        <f>IF(AND(_A6="A-330-300",'2025'!$I$4="FO",'2025'!$I$2=CU195),'2025DATA'!$N$8,"")</f>
        <v/>
      </c>
    </row>
    <row r="202" spans="16:99" x14ac:dyDescent="0.25">
      <c r="P202" s="940" t="s">
        <v>66</v>
      </c>
      <c r="Q202" s="13" t="s">
        <v>61</v>
      </c>
      <c r="R202" s="518" t="str">
        <f>IF(AND(_A1="A-330-200",'2025'!$I$4="CA",'2025'!$I$2=R195),'2025DATA'!$C$9,"")</f>
        <v/>
      </c>
      <c r="S202" s="518" t="str">
        <f>IF(AND(_A1="A-330-200",'2025'!$I$4="CA",'2025'!$I$2=S195),'2025DATA'!$D$9,"")</f>
        <v/>
      </c>
      <c r="T202" s="518" t="str">
        <f>IF(AND(_A1="A-330-200",'2025'!$I$4="CA",'2025'!$I$2=T195),'2025DATA'!$E$9,"")</f>
        <v/>
      </c>
      <c r="U202" s="518" t="str">
        <f>IF(AND(_A1="A-330-200",'2025'!$I$4="CA",'2025'!$I$2=U195),'2025DATA'!$F$9,"")</f>
        <v/>
      </c>
      <c r="V202" s="518" t="str">
        <f>IF(AND(_A1="A-330-200",'2025'!$I$4="CA",'2025'!$I$2=V195),'2025DATA'!$G$9,"")</f>
        <v/>
      </c>
      <c r="W202" s="518" t="str">
        <f>IF(AND(_A1="A-330-200",'2025'!$I$4="CA",'2025'!$I$2=W195),'2025DATA'!$H$9,"")</f>
        <v/>
      </c>
      <c r="X202" s="518" t="str">
        <f>IF(AND(_A1="A-330-200",'2025'!$I$4="CA",'2025'!$I$2=X195),'2025DATA'!$I$9,"")</f>
        <v/>
      </c>
      <c r="Y202" s="518" t="str">
        <f>IF(AND(_A1="A-330-200",'2025'!$I$4="CA",'2025'!$I$2=Y195),'2025DATA'!$J$9,"")</f>
        <v/>
      </c>
      <c r="Z202" s="518" t="str">
        <f>IF(AND(_A1="A-330-200",'2025'!$I$4="CA",'2025'!$I$2=Z195),'2025DATA'!$K$9,"")</f>
        <v/>
      </c>
      <c r="AA202" s="518" t="str">
        <f>IF(AND(_A1="A-330-200",'2025'!$I$4="CA",'2025'!$I$2=AA195),'2025DATA'!$L$9,"")</f>
        <v/>
      </c>
      <c r="AB202" s="518" t="str">
        <f>IF(AND(_A1="A-330-200",'2025'!$I$4="CA",'2025'!$I$2=AB195),'2025DATA'!$M$9,"")</f>
        <v/>
      </c>
      <c r="AC202" s="520" t="str">
        <f>IF(AND(_A1="A-330-200",'2025'!$I$4="CA",'2025'!$I$2=AC195),'2025DATA'!$N$9,"")</f>
        <v/>
      </c>
      <c r="AD202" s="940" t="s">
        <v>66</v>
      </c>
      <c r="AE202" s="13" t="s">
        <v>61</v>
      </c>
      <c r="AF202" s="518" t="str">
        <f>IF(AND(_A2="A-330-200",'2025'!$I$4="CA",'2025'!$I$2=AF195),'2025DATA'!$C$9,"")</f>
        <v/>
      </c>
      <c r="AG202" s="518" t="str">
        <f>IF(AND(_A2="A-330-200",'2025'!$I$4="CA",'2025'!$I$2=AG195),'2025DATA'!$D$9,"")</f>
        <v/>
      </c>
      <c r="AH202" s="518" t="str">
        <f>IF(AND(_A2="A-330-200",'2025'!$I$4="CA",'2025'!$I$2=AH195),'2025DATA'!$E$9,"")</f>
        <v/>
      </c>
      <c r="AI202" s="518" t="str">
        <f>IF(AND(_A2="A-330-200",'2025'!$I$4="CA",'2025'!$I$2=AI195),'2025DATA'!$F$9,"")</f>
        <v/>
      </c>
      <c r="AJ202" s="518" t="str">
        <f>IF(AND(_A2="A-330-200",'2025'!$I$4="CA",'2025'!$I$2=AJ195),'2025DATA'!$G$9,"")</f>
        <v/>
      </c>
      <c r="AK202" s="518" t="str">
        <f>IF(AND(_A2="A-330-200",'2025'!$I$4="CA",'2025'!$I$2=AK195),'2025DATA'!$H$9,"")</f>
        <v/>
      </c>
      <c r="AL202" s="518" t="str">
        <f>IF(AND(_A2="A-330-200",'2025'!$I$4="CA",'2025'!$I$2=AL195),'2025DATA'!$I$9,"")</f>
        <v/>
      </c>
      <c r="AM202" s="518" t="str">
        <f>IF(AND(_A2="A-330-200",'2025'!$I$4="CA",'2025'!$I$2=AM195),'2025DATA'!$J$9,"")</f>
        <v/>
      </c>
      <c r="AN202" s="518" t="str">
        <f>IF(AND(_A2="A-330-200",'2025'!$I$4="CA",'2025'!$I$2=AN195),'2025DATA'!$K$9,"")</f>
        <v/>
      </c>
      <c r="AO202" s="518" t="str">
        <f>IF(AND(_A2="A-330-200",'2025'!$I$4="CA",'2025'!$I$2=AO195),'2025DATA'!$L$9,"")</f>
        <v/>
      </c>
      <c r="AP202" s="518" t="str">
        <f>IF(AND(_A2="A-330-200",'2025'!$I$4="CA",'2025'!$I$2=AP195),'2025DATA'!$M$9,"")</f>
        <v/>
      </c>
      <c r="AQ202" s="520" t="str">
        <f>IF(AND(_A2="A-330-200",'2025'!$I$4="CA",'2025'!$I$2=AQ195),'2025DATA'!$N$9,"")</f>
        <v/>
      </c>
      <c r="AR202" s="940" t="s">
        <v>66</v>
      </c>
      <c r="AS202" s="13" t="s">
        <v>61</v>
      </c>
      <c r="AT202" s="518" t="str">
        <f>IF(AND(_A3="A-330-200",'2025'!$I$4="CA",'2025'!$I$2=AT195),'2025DATA'!$C$9,"")</f>
        <v/>
      </c>
      <c r="AU202" s="518" t="str">
        <f>IF(AND(_A3="A-330-200",'2025'!$I$4="CA",'2025'!$I$2=AU195),'2025DATA'!$D$9,"")</f>
        <v/>
      </c>
      <c r="AV202" s="518" t="str">
        <f>IF(AND(_A3="A-330-200",'2025'!$I$4="CA",'2025'!$I$2=AV195),'2025DATA'!$E$9,"")</f>
        <v/>
      </c>
      <c r="AW202" s="518" t="str">
        <f>IF(AND(_A3="A-330-200",'2025'!$I$4="CA",'2025'!$I$2=AW195),'2025DATA'!$F$9,"")</f>
        <v/>
      </c>
      <c r="AX202" s="518" t="str">
        <f>IF(AND(_A3="A-330-200",'2025'!$I$4="CA",'2025'!$I$2=AX195),'2025DATA'!$G$9,"")</f>
        <v/>
      </c>
      <c r="AY202" s="518" t="str">
        <f>IF(AND(_A3="A-330-200",'2025'!$I$4="CA",'2025'!$I$2=AY195),'2025DATA'!$H$9,"")</f>
        <v/>
      </c>
      <c r="AZ202" s="518" t="str">
        <f>IF(AND(_A3="A-330-200",'2025'!$I$4="CA",'2025'!$I$2=AZ195),'2025DATA'!$I$9,"")</f>
        <v/>
      </c>
      <c r="BA202" s="518" t="str">
        <f>IF(AND(_A3="A-330-200",'2025'!$I$4="CA",'2025'!$I$2=BA195),'2025DATA'!$J$9,"")</f>
        <v/>
      </c>
      <c r="BB202" s="518" t="str">
        <f>IF(AND(_A3="A-330-200",'2025'!$I$4="CA",'2025'!$I$2=BB195),'2025DATA'!$K$9,"")</f>
        <v/>
      </c>
      <c r="BC202" s="518" t="str">
        <f>IF(AND(_A3="A-330-200",'2025'!$I$4="CA",'2025'!$I$2=BC195),'2025DATA'!$L$9,"")</f>
        <v/>
      </c>
      <c r="BD202" s="518" t="str">
        <f>IF(AND(_A3="A-330-200",'2025'!$I$4="CA",'2025'!$I$2=BD195),'2025DATA'!$M$9,"")</f>
        <v/>
      </c>
      <c r="BE202" s="520" t="str">
        <f>IF(AND(_A3="A-330-200",'2025'!$I$4="CA",'2025'!$I$2=BE195),'2025DATA'!$N$9,"")</f>
        <v/>
      </c>
      <c r="BF202" s="940" t="s">
        <v>66</v>
      </c>
      <c r="BG202" s="13" t="s">
        <v>61</v>
      </c>
      <c r="BH202" s="518" t="str">
        <f>IF(AND(_A4="A-330-200",'2025'!$I$4="CA",'2025'!$I$2=BH195),'2025DATA'!$C$9,"")</f>
        <v/>
      </c>
      <c r="BI202" s="518" t="str">
        <f>IF(AND(_A4="A-330-200",'2025'!$I$4="CA",'2025'!$I$2=BI195),'2025DATA'!$D$9,"")</f>
        <v/>
      </c>
      <c r="BJ202" s="518" t="str">
        <f>IF(AND(_A4="A-330-200",'2025'!$I$4="CA",'2025'!$I$2=BJ195),'2025DATA'!$E$9,"")</f>
        <v/>
      </c>
      <c r="BK202" s="518" t="str">
        <f>IF(AND(_A4="A-330-200",'2025'!$I$4="CA",'2025'!$I$2=BK195),'2025DATA'!$F$9,"")</f>
        <v/>
      </c>
      <c r="BL202" s="518" t="str">
        <f>IF(AND(_A4="A-330-200",'2025'!$I$4="CA",'2025'!$I$2=BL195),'2025DATA'!$G$9,"")</f>
        <v/>
      </c>
      <c r="BM202" s="518" t="str">
        <f>IF(AND(_A4="A-330-200",'2025'!$I$4="CA",'2025'!$I$2=BM195),'2025DATA'!$H$9,"")</f>
        <v/>
      </c>
      <c r="BN202" s="518" t="str">
        <f>IF(AND(_A4="A-330-200",'2025'!$I$4="CA",'2025'!$I$2=BN195),'2025DATA'!$I$9,"")</f>
        <v/>
      </c>
      <c r="BO202" s="518" t="str">
        <f>IF(AND(_A4="A-330-200",'2025'!$I$4="CA",'2025'!$I$2=BO195),'2025DATA'!$J$9,"")</f>
        <v/>
      </c>
      <c r="BP202" s="518" t="str">
        <f>IF(AND(_A4="A-330-200",'2025'!$I$4="CA",'2025'!$I$2=BP195),'2025DATA'!$K$9,"")</f>
        <v/>
      </c>
      <c r="BQ202" s="518" t="str">
        <f>IF(AND(_A4="A-330-200",'2025'!$I$4="CA",'2025'!$I$2=BQ195),'2025DATA'!$L$9,"")</f>
        <v/>
      </c>
      <c r="BR202" s="518" t="str">
        <f>IF(AND(_A4="A-330-200",'2025'!$I$4="CA",'2025'!$I$2=BR195),'2025DATA'!$M$9,"")</f>
        <v/>
      </c>
      <c r="BS202" s="520" t="str">
        <f>IF(AND(_A4="A-330-200",'2025'!$I$4="CA",'2025'!$I$2=BS195),'2025DATA'!$N$9,"")</f>
        <v/>
      </c>
      <c r="BT202" s="940" t="s">
        <v>66</v>
      </c>
      <c r="BU202" s="13" t="s">
        <v>61</v>
      </c>
      <c r="BV202" s="518" t="str">
        <f>IF(AND(_A5="A-330-200",'2025'!$I$4="CA",'2025'!$I$2=BV195),'2025DATA'!$C$9,"")</f>
        <v/>
      </c>
      <c r="BW202" s="518" t="str">
        <f>IF(AND(_A5="A-330-200",'2025'!$I$4="CA",'2025'!$I$2=BW195),'2025DATA'!$D$9,"")</f>
        <v/>
      </c>
      <c r="BX202" s="518" t="str">
        <f>IF(AND(_A5="A-330-200",'2025'!$I$4="CA",'2025'!$I$2=BX195),'2025DATA'!$E$9,"")</f>
        <v/>
      </c>
      <c r="BY202" s="518" t="str">
        <f>IF(AND(_A5="A-330-200",'2025'!$I$4="CA",'2025'!$I$2=BY195),'2025DATA'!$F$9,"")</f>
        <v/>
      </c>
      <c r="BZ202" s="518" t="str">
        <f>IF(AND(_A5="A-330-200",'2025'!$I$4="CA",'2025'!$I$2=BZ195),'2025DATA'!$G$9,"")</f>
        <v/>
      </c>
      <c r="CA202" s="518" t="str">
        <f>IF(AND(_A5="A-330-200",'2025'!$I$4="CA",'2025'!$I$2=CA195),'2025DATA'!$H$9,"")</f>
        <v/>
      </c>
      <c r="CB202" s="518" t="str">
        <f>IF(AND(_A5="A-330-200",'2025'!$I$4="CA",'2025'!$I$2=CB195),'2025DATA'!$I$9,"")</f>
        <v/>
      </c>
      <c r="CC202" s="518" t="str">
        <f>IF(AND(_A5="A-330-200",'2025'!$I$4="CA",'2025'!$I$2=CC195),'2025DATA'!$J$9,"")</f>
        <v/>
      </c>
      <c r="CD202" s="518" t="str">
        <f>IF(AND(_A5="A-330-200",'2025'!$I$4="CA",'2025'!$I$2=CD195),'2025DATA'!$K$9,"")</f>
        <v/>
      </c>
      <c r="CE202" s="518" t="str">
        <f>IF(AND(_A5="A-330-200",'2025'!$I$4="CA",'2025'!$I$2=CE195),'2025DATA'!$L$9,"")</f>
        <v/>
      </c>
      <c r="CF202" s="518" t="str">
        <f>IF(AND(_A5="A-330-200",'2025'!$I$4="CA",'2025'!$I$2=CF195),'2025DATA'!$M$9,"")</f>
        <v/>
      </c>
      <c r="CG202" s="520" t="str">
        <f>IF(AND(_A5="A-330-200",'2025'!$I$4="CA",'2025'!$I$2=CG195),'2025DATA'!$N$9,"")</f>
        <v/>
      </c>
      <c r="CH202" s="940" t="s">
        <v>66</v>
      </c>
      <c r="CI202" s="13" t="s">
        <v>61</v>
      </c>
      <c r="CJ202" s="518" t="str">
        <f>IF(AND(_A6="A-330-200",'2025'!$I$4="CA",'2025'!$I$2=CJ195),'2025DATA'!$C$9,"")</f>
        <v/>
      </c>
      <c r="CK202" s="518" t="str">
        <f>IF(AND(_A6="A-330-200",'2025'!$I$4="CA",'2025'!$I$2=CK195),'2025DATA'!$D$9,"")</f>
        <v/>
      </c>
      <c r="CL202" s="518" t="str">
        <f>IF(AND(_A6="A-330-200",'2025'!$I$4="CA",'2025'!$I$2=CL195),'2025DATA'!$E$9,"")</f>
        <v/>
      </c>
      <c r="CM202" s="518" t="str">
        <f>IF(AND(_A6="A-330-200",'2025'!$I$4="CA",'2025'!$I$2=CM195),'2025DATA'!$F$9,"")</f>
        <v/>
      </c>
      <c r="CN202" s="518" t="str">
        <f>IF(AND(_A6="A-330-200",'2025'!$I$4="CA",'2025'!$I$2=CN195),'2025DATA'!$G$9,"")</f>
        <v/>
      </c>
      <c r="CO202" s="518" t="str">
        <f>IF(AND(_A6="A-330-200",'2025'!$I$4="CA",'2025'!$I$2=CO195),'2025DATA'!$H$9,"")</f>
        <v/>
      </c>
      <c r="CP202" s="518" t="str">
        <f>IF(AND(_A6="A-330-200",'2025'!$I$4="CA",'2025'!$I$2=CP195),'2025DATA'!$I$9,"")</f>
        <v/>
      </c>
      <c r="CQ202" s="518" t="str">
        <f>IF(AND(_A6="A-330-200",'2025'!$I$4="CA",'2025'!$I$2=CQ195),'2025DATA'!$J$9,"")</f>
        <v/>
      </c>
      <c r="CR202" s="518" t="str">
        <f>IF(AND(_A6="A-330-200",'2025'!$I$4="CA",'2025'!$I$2=CR195),'2025DATA'!$K$9,"")</f>
        <v/>
      </c>
      <c r="CS202" s="518" t="str">
        <f>IF(AND(_A6="A-330-200",'2025'!$I$4="CA",'2025'!$I$2=CS195),'2025DATA'!$L$9,"")</f>
        <v/>
      </c>
      <c r="CT202" s="518" t="str">
        <f>IF(AND(_A6="A-330-200",'2025'!$I$4="CA",'2025'!$I$2=CT195),'2025DATA'!$M$9,"")</f>
        <v/>
      </c>
      <c r="CU202" s="520" t="str">
        <f>IF(AND(_A6="A-330-200",'2025'!$I$4="CA",'2025'!$I$2=CU195),'2025DATA'!$N$9,"")</f>
        <v/>
      </c>
    </row>
    <row r="203" spans="16:99" x14ac:dyDescent="0.25">
      <c r="P203" s="940"/>
      <c r="Q203" s="13" t="s">
        <v>62</v>
      </c>
      <c r="R203" s="518" t="str">
        <f>IF(AND(_A1="A-330-200",'2025'!$I$4="FO",'2025'!$I$2=R195),'2025DATA'!$C$10,"")</f>
        <v/>
      </c>
      <c r="S203" s="518" t="str">
        <f>IF(AND(_A1="A-330-200",'2025'!$I$4="FO",'2025'!$I$2=S195),'2025DATA'!$D$10,"")</f>
        <v/>
      </c>
      <c r="T203" s="518" t="str">
        <f>IF(AND(_A1="A-330-200",'2025'!$I$4="FO",'2025'!$I$2=T195),'2025DATA'!$E$10,"")</f>
        <v/>
      </c>
      <c r="U203" s="518" t="str">
        <f>IF(AND(_A1="A-330-200",'2025'!$I$4="FO",'2025'!$I$2=U195),'2025DATA'!$F$10,"")</f>
        <v/>
      </c>
      <c r="V203" s="518" t="str">
        <f>IF(AND(_A1="A-330-200",'2025'!$I$4="FO",'2025'!$I$2=V195),'2025DATA'!$G$10,"")</f>
        <v/>
      </c>
      <c r="W203" s="518" t="str">
        <f>IF(AND(_A1="A-330-200",'2025'!$I$4="FO",'2025'!$I$2=W195),'2025DATA'!$H$10,"")</f>
        <v/>
      </c>
      <c r="X203" s="518" t="str">
        <f>IF(AND(_A1="A-330-200",'2025'!$I$4="FO",'2025'!$I$2=X195),'2025DATA'!$I$10,"")</f>
        <v/>
      </c>
      <c r="Y203" s="518" t="str">
        <f>IF(AND(_A1="A-330-200",'2025'!$I$4="FO",'2025'!$I$2=Y195),'2025DATA'!$J$10,"")</f>
        <v/>
      </c>
      <c r="Z203" s="518" t="str">
        <f>IF(AND(_A1="A-330-200",'2025'!$I$4="FO",'2025'!$I$2=Z195),'2025DATA'!$K$10,"")</f>
        <v/>
      </c>
      <c r="AA203" s="518" t="str">
        <f>IF(AND(_A1="A-330-200",'2025'!$I$4="FO",'2025'!$I$2=AA195),'2025DATA'!$L$10,"")</f>
        <v/>
      </c>
      <c r="AB203" s="518" t="str">
        <f>IF(AND(_A1="A-330-200",'2025'!$I$4="FO",'2025'!$I$2=AB195),'2025DATA'!$M$10,"")</f>
        <v/>
      </c>
      <c r="AC203" s="520" t="str">
        <f>IF(AND(_A1="A-330-200",'2025'!$I$4="FO",'2025'!$I$2=AC195),'2025DATA'!$N$10,"")</f>
        <v/>
      </c>
      <c r="AD203" s="940"/>
      <c r="AE203" s="13" t="s">
        <v>62</v>
      </c>
      <c r="AF203" s="518" t="str">
        <f>IF(AND(_A2="A-330-200",'2025'!$I$4="FO",'2025'!$I$2=AF195),'2025DATA'!$C$10,"")</f>
        <v/>
      </c>
      <c r="AG203" s="518" t="str">
        <f>IF(AND(_A2="A-330-200",'2025'!$I$4="FO",'2025'!$I$2=AG195),'2025DATA'!$D$10,"")</f>
        <v/>
      </c>
      <c r="AH203" s="518" t="str">
        <f>IF(AND(_A2="A-330-200",'2025'!$I$4="FO",'2025'!$I$2=AH195),'2025DATA'!$E$10,"")</f>
        <v/>
      </c>
      <c r="AI203" s="518" t="str">
        <f>IF(AND(_A2="A-330-200",'2025'!$I$4="FO",'2025'!$I$2=AI195),'2025DATA'!$F$10,"")</f>
        <v/>
      </c>
      <c r="AJ203" s="518" t="str">
        <f>IF(AND(_A2="A-330-200",'2025'!$I$4="FO",'2025'!$I$2=AJ195),'2025DATA'!$G$10,"")</f>
        <v/>
      </c>
      <c r="AK203" s="518" t="str">
        <f>IF(AND(_A2="A-330-200",'2025'!$I$4="FO",'2025'!$I$2=AK195),'2025DATA'!$H$10,"")</f>
        <v/>
      </c>
      <c r="AL203" s="518" t="str">
        <f>IF(AND(_A2="A-330-200",'2025'!$I$4="FO",'2025'!$I$2=AL195),'2025DATA'!$I$10,"")</f>
        <v/>
      </c>
      <c r="AM203" s="518" t="str">
        <f>IF(AND(_A2="A-330-200",'2025'!$I$4="FO",'2025'!$I$2=AM195),'2025DATA'!$J$10,"")</f>
        <v/>
      </c>
      <c r="AN203" s="518" t="str">
        <f>IF(AND(_A2="A-330-200",'2025'!$I$4="FO",'2025'!$I$2=AN195),'2025DATA'!$K$10,"")</f>
        <v/>
      </c>
      <c r="AO203" s="518" t="str">
        <f>IF(AND(_A2="A-330-200",'2025'!$I$4="FO",'2025'!$I$2=AO195),'2025DATA'!$L$10,"")</f>
        <v/>
      </c>
      <c r="AP203" s="518" t="str">
        <f>IF(AND(_A2="A-330-200",'2025'!$I$4="FO",'2025'!$I$2=AP195),'2025DATA'!$M$10,"")</f>
        <v/>
      </c>
      <c r="AQ203" s="520" t="str">
        <f>IF(AND(_A2="A-330-200",'2025'!$I$4="FO",'2025'!$I$2=AQ195),'2025DATA'!$N$10,"")</f>
        <v/>
      </c>
      <c r="AR203" s="940"/>
      <c r="AS203" s="13" t="s">
        <v>62</v>
      </c>
      <c r="AT203" s="518" t="str">
        <f>IF(AND(_A3="A-330-200",'2025'!$I$4="FO",'2025'!$I$2=AT195),'2025DATA'!$C$10,"")</f>
        <v/>
      </c>
      <c r="AU203" s="518" t="str">
        <f>IF(AND(_A3="A-330-200",'2025'!$I$4="FO",'2025'!$I$2=AU195),'2025DATA'!$D$10,"")</f>
        <v/>
      </c>
      <c r="AV203" s="518" t="str">
        <f>IF(AND(_A3="A-330-200",'2025'!$I$4="FO",'2025'!$I$2=AV195),'2025DATA'!$E$10,"")</f>
        <v/>
      </c>
      <c r="AW203" s="518" t="str">
        <f>IF(AND(_A3="A-330-200",'2025'!$I$4="FO",'2025'!$I$2=AW195),'2025DATA'!$F$10,"")</f>
        <v/>
      </c>
      <c r="AX203" s="518" t="str">
        <f>IF(AND(_A3="A-330-200",'2025'!$I$4="FO",'2025'!$I$2=AX195),'2025DATA'!$G$10,"")</f>
        <v/>
      </c>
      <c r="AY203" s="518" t="str">
        <f>IF(AND(_A3="A-330-200",'2025'!$I$4="FO",'2025'!$I$2=AY195),'2025DATA'!$H$10,"")</f>
        <v/>
      </c>
      <c r="AZ203" s="518" t="str">
        <f>IF(AND(_A3="A-330-200",'2025'!$I$4="FO",'2025'!$I$2=AZ195),'2025DATA'!$I$10,"")</f>
        <v/>
      </c>
      <c r="BA203" s="518" t="str">
        <f>IF(AND(_A3="A-330-200",'2025'!$I$4="FO",'2025'!$I$2=BA195),'2025DATA'!$J$10,"")</f>
        <v/>
      </c>
      <c r="BB203" s="518" t="str">
        <f>IF(AND(_A3="A-330-200",'2025'!$I$4="FO",'2025'!$I$2=BB195),'2025DATA'!$K$10,"")</f>
        <v/>
      </c>
      <c r="BC203" s="518" t="str">
        <f>IF(AND(_A3="A-330-200",'2025'!$I$4="FO",'2025'!$I$2=BC195),'2025DATA'!$L$10,"")</f>
        <v/>
      </c>
      <c r="BD203" s="518" t="str">
        <f>IF(AND(_A3="A-330-200",'2025'!$I$4="FO",'2025'!$I$2=BD195),'2025DATA'!$M$10,"")</f>
        <v/>
      </c>
      <c r="BE203" s="520" t="str">
        <f>IF(AND(_A3="A-330-200",'2025'!$I$4="FO",'2025'!$I$2=BE195),'2025DATA'!$N$10,"")</f>
        <v/>
      </c>
      <c r="BF203" s="940"/>
      <c r="BG203" s="13" t="s">
        <v>62</v>
      </c>
      <c r="BH203" s="518" t="str">
        <f>IF(AND(_A4="A-330-200",'2025'!$I$4="FO",'2025'!$I$2=BH195),'2025DATA'!$C$10,"")</f>
        <v/>
      </c>
      <c r="BI203" s="518" t="str">
        <f>IF(AND(_A4="A-330-200",'2025'!$I$4="FO",'2025'!$I$2=BI195),'2025DATA'!$D$10,"")</f>
        <v/>
      </c>
      <c r="BJ203" s="518" t="str">
        <f>IF(AND(_A4="A-330-200",'2025'!$I$4="FO",'2025'!$I$2=BJ195),'2025DATA'!$E$10,"")</f>
        <v/>
      </c>
      <c r="BK203" s="518" t="str">
        <f>IF(AND(_A4="A-330-200",'2025'!$I$4="FO",'2025'!$I$2=BK195),'2025DATA'!$F$10,"")</f>
        <v/>
      </c>
      <c r="BL203" s="518" t="str">
        <f>IF(AND(_A4="A-330-200",'2025'!$I$4="FO",'2025'!$I$2=BL195),'2025DATA'!$G$10,"")</f>
        <v/>
      </c>
      <c r="BM203" s="518" t="str">
        <f>IF(AND(_A4="A-330-200",'2025'!$I$4="FO",'2025'!$I$2=BM195),'2025DATA'!$H$10,"")</f>
        <v/>
      </c>
      <c r="BN203" s="518" t="str">
        <f>IF(AND(_A4="A-330-200",'2025'!$I$4="FO",'2025'!$I$2=BN195),'2025DATA'!$I$10,"")</f>
        <v/>
      </c>
      <c r="BO203" s="518" t="str">
        <f>IF(AND(_A4="A-330-200",'2025'!$I$4="FO",'2025'!$I$2=BO195),'2025DATA'!$J$10,"")</f>
        <v/>
      </c>
      <c r="BP203" s="518" t="str">
        <f>IF(AND(_A4="A-330-200",'2025'!$I$4="FO",'2025'!$I$2=BP195),'2025DATA'!$K$10,"")</f>
        <v/>
      </c>
      <c r="BQ203" s="518" t="str">
        <f>IF(AND(_A4="A-330-200",'2025'!$I$4="FO",'2025'!$I$2=BQ195),'2025DATA'!$L$10,"")</f>
        <v/>
      </c>
      <c r="BR203" s="518" t="str">
        <f>IF(AND(_A4="A-330-200",'2025'!$I$4="FO",'2025'!$I$2=BR195),'2025DATA'!$M$10,"")</f>
        <v/>
      </c>
      <c r="BS203" s="520" t="str">
        <f>IF(AND(_A4="A-330-200",'2025'!$I$4="FO",'2025'!$I$2=BS195),'2025DATA'!$N$10,"")</f>
        <v/>
      </c>
      <c r="BT203" s="940"/>
      <c r="BU203" s="13" t="s">
        <v>62</v>
      </c>
      <c r="BV203" s="518" t="str">
        <f>IF(AND(_A5="A-330-200",'2025'!$I$4="FO",'2025'!$I$2=BV195),'2025DATA'!$C$10,"")</f>
        <v/>
      </c>
      <c r="BW203" s="518" t="str">
        <f>IF(AND(_A5="A-330-200",'2025'!$I$4="FO",'2025'!$I$2=BW195),'2025DATA'!$D$10,"")</f>
        <v/>
      </c>
      <c r="BX203" s="518" t="str">
        <f>IF(AND(_A5="A-330-200",'2025'!$I$4="FO",'2025'!$I$2=BX195),'2025DATA'!$E$10,"")</f>
        <v/>
      </c>
      <c r="BY203" s="518" t="str">
        <f>IF(AND(_A5="A-330-200",'2025'!$I$4="FO",'2025'!$I$2=BY195),'2025DATA'!$F$10,"")</f>
        <v/>
      </c>
      <c r="BZ203" s="518" t="str">
        <f>IF(AND(_A5="A-330-200",'2025'!$I$4="FO",'2025'!$I$2=BZ195),'2025DATA'!$G$10,"")</f>
        <v/>
      </c>
      <c r="CA203" s="518" t="str">
        <f>IF(AND(_A5="A-330-200",'2025'!$I$4="FO",'2025'!$I$2=CA195),'2025DATA'!$H$10,"")</f>
        <v/>
      </c>
      <c r="CB203" s="518" t="str">
        <f>IF(AND(_A5="A-330-200",'2025'!$I$4="FO",'2025'!$I$2=CB195),'2025DATA'!$I$10,"")</f>
        <v/>
      </c>
      <c r="CC203" s="518" t="str">
        <f>IF(AND(_A5="A-330-200",'2025'!$I$4="FO",'2025'!$I$2=CC195),'2025DATA'!$J$10,"")</f>
        <v/>
      </c>
      <c r="CD203" s="518" t="str">
        <f>IF(AND(_A5="A-330-200",'2025'!$I$4="FO",'2025'!$I$2=CD195),'2025DATA'!$K$10,"")</f>
        <v/>
      </c>
      <c r="CE203" s="518" t="str">
        <f>IF(AND(_A5="A-330-200",'2025'!$I$4="FO",'2025'!$I$2=CE195),'2025DATA'!$L$10,"")</f>
        <v/>
      </c>
      <c r="CF203" s="518" t="str">
        <f>IF(AND(_A5="A-330-200",'2025'!$I$4="FO",'2025'!$I$2=CF195),'2025DATA'!$M$10,"")</f>
        <v/>
      </c>
      <c r="CG203" s="520" t="str">
        <f>IF(AND(_A5="A-330-200",'2025'!$I$4="FO",'2025'!$I$2=CG195),'2025DATA'!$N$10,"")</f>
        <v/>
      </c>
      <c r="CH203" s="940"/>
      <c r="CI203" s="13" t="s">
        <v>62</v>
      </c>
      <c r="CJ203" s="518" t="str">
        <f>IF(AND(_A6="A-330-200",'2025'!$I$4="FO",'2025'!$I$2=CJ195),'2025DATA'!$C$10,"")</f>
        <v/>
      </c>
      <c r="CK203" s="518" t="str">
        <f>IF(AND(_A6="A-330-200",'2025'!$I$4="FO",'2025'!$I$2=CK195),'2025DATA'!$D$10,"")</f>
        <v/>
      </c>
      <c r="CL203" s="518" t="str">
        <f>IF(AND(_A6="A-330-200",'2025'!$I$4="FO",'2025'!$I$2=CL195),'2025DATA'!$E$10,"")</f>
        <v/>
      </c>
      <c r="CM203" s="518" t="str">
        <f>IF(AND(_A6="A-330-200",'2025'!$I$4="FO",'2025'!$I$2=CM195),'2025DATA'!$F$10,"")</f>
        <v/>
      </c>
      <c r="CN203" s="518" t="str">
        <f>IF(AND(_A6="A-330-200",'2025'!$I$4="FO",'2025'!$I$2=CN195),'2025DATA'!$G$10,"")</f>
        <v/>
      </c>
      <c r="CO203" s="518" t="str">
        <f>IF(AND(_A6="A-330-200",'2025'!$I$4="FO",'2025'!$I$2=CO195),'2025DATA'!$H$10,"")</f>
        <v/>
      </c>
      <c r="CP203" s="518" t="str">
        <f>IF(AND(_A6="A-330-200",'2025'!$I$4="FO",'2025'!$I$2=CP195),'2025DATA'!$I$10,"")</f>
        <v/>
      </c>
      <c r="CQ203" s="518" t="str">
        <f>IF(AND(_A6="A-330-200",'2025'!$I$4="FO",'2025'!$I$2=CQ195),'2025DATA'!$J$10,"")</f>
        <v/>
      </c>
      <c r="CR203" s="518" t="str">
        <f>IF(AND(_A6="A-330-200",'2025'!$I$4="FO",'2025'!$I$2=CR195),'2025DATA'!$K$10,"")</f>
        <v/>
      </c>
      <c r="CS203" s="518" t="str">
        <f>IF(AND(_A6="A-330-200",'2025'!$I$4="FO",'2025'!$I$2=CS195),'2025DATA'!$L$10,"")</f>
        <v/>
      </c>
      <c r="CT203" s="518" t="str">
        <f>IF(AND(_A6="A-330-200",'2025'!$I$4="FO",'2025'!$I$2=CT195),'2025DATA'!$M$10,"")</f>
        <v/>
      </c>
      <c r="CU203" s="520" t="str">
        <f>IF(AND(_A6="A-330-200",'2025'!$I$4="FO",'2025'!$I$2=CU195),'2025DATA'!$N$10,"")</f>
        <v/>
      </c>
    </row>
    <row r="204" spans="16:99" x14ac:dyDescent="0.25">
      <c r="P204" s="940" t="s">
        <v>42</v>
      </c>
      <c r="Q204" s="13" t="s">
        <v>61</v>
      </c>
      <c r="R204" s="518" t="str">
        <f>IF(AND(_A1="B-767-400ER",'2025'!$I$4="CA",'2025'!$I$2=R195),'2025DATA'!$C$11,"")</f>
        <v/>
      </c>
      <c r="S204" s="518" t="str">
        <f>IF(AND(_A1="B-767-400ER",'2025'!$I$4="CA",'2025'!$I$2=S195),'2025DATA'!$D$11,"")</f>
        <v/>
      </c>
      <c r="T204" s="518" t="str">
        <f>IF(AND(_A1="B-767-400ER",'2025'!$I$4="CA",'2025'!$I$2=T195),'2025DATA'!$E$11,"")</f>
        <v/>
      </c>
      <c r="U204" s="518" t="str">
        <f>IF(AND(_A1="B-767-400ER",'2025'!$I$4="CA",'2025'!$I$2=U195),'2025DATA'!$F$11,"")</f>
        <v/>
      </c>
      <c r="V204" s="518" t="str">
        <f>IF(AND(_A1="B-767-400ER",'2025'!$I$4="CA",'2025'!$I$2=V195),'2025DATA'!$G$11,"")</f>
        <v/>
      </c>
      <c r="W204" s="518" t="str">
        <f>IF(AND(_A1="B-767-400ER",'2025'!$I$4="CA",'2025'!$I$2=W195),'2025DATA'!$H$11,"")</f>
        <v/>
      </c>
      <c r="X204" s="518" t="str">
        <f>IF(AND(_A1="B-767-400ER",'2025'!$I$4="CA",'2025'!$I$2=X195),'2025DATA'!$I$11,"")</f>
        <v/>
      </c>
      <c r="Y204" s="518" t="str">
        <f>IF(AND(_A1="B-767-400ER",'2025'!$I$4="CA",'2025'!$I$2=Y195),'2025DATA'!$J$11,"")</f>
        <v/>
      </c>
      <c r="Z204" s="518" t="str">
        <f>IF(AND(_A1="B-767-400ER",'2025'!$I$4="CA",'2025'!$I$2=Z195),'2025DATA'!$K$11,"")</f>
        <v/>
      </c>
      <c r="AA204" s="518" t="str">
        <f>IF(AND(_A1="B-767-400ER",'2025'!$I$4="CA",'2025'!$I$2=AA195),'2025DATA'!$L$11,"")</f>
        <v/>
      </c>
      <c r="AB204" s="518" t="str">
        <f>IF(AND(_A1="B-767-400ER",'2025'!$I$4="CA",'2025'!$I$2=AB195),'2025DATA'!$M$11,"")</f>
        <v/>
      </c>
      <c r="AC204" s="520" t="str">
        <f>IF(AND(_A1="B-767-400ER",'2025'!$I$4="CA",'2025'!$I$2=AC195),'2025DATA'!$N$11,"")</f>
        <v/>
      </c>
      <c r="AD204" s="940" t="s">
        <v>42</v>
      </c>
      <c r="AE204" s="13" t="s">
        <v>61</v>
      </c>
      <c r="AF204" s="518" t="str">
        <f>IF(AND(_A2="B-767-400ER",'2025'!$I$4="CA",'2025'!$I$2=AF195),'2025DATA'!$C$11,"")</f>
        <v/>
      </c>
      <c r="AG204" s="518" t="str">
        <f>IF(AND(_A2="B-767-400ER",'2025'!$I$4="CA",'2025'!$I$2=AG195),'2025DATA'!$D$11,"")</f>
        <v/>
      </c>
      <c r="AH204" s="518" t="str">
        <f>IF(AND(_A2="B-767-400ER",'2025'!$I$4="CA",'2025'!$I$2=AH195),'2025DATA'!$E$11,"")</f>
        <v/>
      </c>
      <c r="AI204" s="518" t="str">
        <f>IF(AND(_A2="B-767-400ER",'2025'!$I$4="CA",'2025'!$I$2=AI195),'2025DATA'!$F$11,"")</f>
        <v/>
      </c>
      <c r="AJ204" s="518" t="str">
        <f>IF(AND(_A2="B-767-400ER",'2025'!$I$4="CA",'2025'!$I$2=AJ195),'2025DATA'!$G$11,"")</f>
        <v/>
      </c>
      <c r="AK204" s="518" t="str">
        <f>IF(AND(_A2="B-767-400ER",'2025'!$I$4="CA",'2025'!$I$2=AK195),'2025DATA'!$H$11,"")</f>
        <v/>
      </c>
      <c r="AL204" s="518" t="str">
        <f>IF(AND(_A2="B-767-400ER",'2025'!$I$4="CA",'2025'!$I$2=AL195),'2025DATA'!$I$11,"")</f>
        <v/>
      </c>
      <c r="AM204" s="518" t="str">
        <f>IF(AND(_A2="B-767-400ER",'2025'!$I$4="CA",'2025'!$I$2=AM195),'2025DATA'!$J$11,"")</f>
        <v/>
      </c>
      <c r="AN204" s="518" t="str">
        <f>IF(AND(_A2="B-767-400ER",'2025'!$I$4="CA",'2025'!$I$2=AN195),'2025DATA'!$K$11,"")</f>
        <v/>
      </c>
      <c r="AO204" s="518" t="str">
        <f>IF(AND(_A2="B-767-400ER",'2025'!$I$4="CA",'2025'!$I$2=AO195),'2025DATA'!$L$11,"")</f>
        <v/>
      </c>
      <c r="AP204" s="518" t="str">
        <f>IF(AND(_A2="B-767-400ER",'2025'!$I$4="CA",'2025'!$I$2=AP195),'2025DATA'!$M$11,"")</f>
        <v/>
      </c>
      <c r="AQ204" s="520" t="str">
        <f>IF(AND(_A2="B-767-400ER",'2025'!$I$4="CA",'2025'!$I$2=AQ195),'2025DATA'!$N$11,"")</f>
        <v/>
      </c>
      <c r="AR204" s="940" t="s">
        <v>42</v>
      </c>
      <c r="AS204" s="13" t="s">
        <v>61</v>
      </c>
      <c r="AT204" s="518" t="str">
        <f>IF(AND(_A3="B-767-400ER",'2025'!$I$4="CA",'2025'!$I$2=AT195),'2025DATA'!$C$11,"")</f>
        <v/>
      </c>
      <c r="AU204" s="518" t="str">
        <f>IF(AND(_A3="B-767-400ER",'2025'!$I$4="CA",'2025'!$I$2=AU195),'2025DATA'!$D$11,"")</f>
        <v/>
      </c>
      <c r="AV204" s="518" t="str">
        <f>IF(AND(_A3="B-767-400ER",'2025'!$I$4="CA",'2025'!$I$2=AV195),'2025DATA'!$E$11,"")</f>
        <v/>
      </c>
      <c r="AW204" s="518" t="str">
        <f>IF(AND(_A3="B-767-400ER",'2025'!$I$4="CA",'2025'!$I$2=AW195),'2025DATA'!$F$11,"")</f>
        <v/>
      </c>
      <c r="AX204" s="518" t="str">
        <f>IF(AND(_A3="B-767-400ER",'2025'!$I$4="CA",'2025'!$I$2=AX195),'2025DATA'!$G$11,"")</f>
        <v/>
      </c>
      <c r="AY204" s="518" t="str">
        <f>IF(AND(_A3="B-767-400ER",'2025'!$I$4="CA",'2025'!$I$2=AY195),'2025DATA'!$H$11,"")</f>
        <v/>
      </c>
      <c r="AZ204" s="518" t="str">
        <f>IF(AND(_A3="B-767-400ER",'2025'!$I$4="CA",'2025'!$I$2=AZ195),'2025DATA'!$I$11,"")</f>
        <v/>
      </c>
      <c r="BA204" s="518" t="str">
        <f>IF(AND(_A3="B-767-400ER",'2025'!$I$4="CA",'2025'!$I$2=BA195),'2025DATA'!$J$11,"")</f>
        <v/>
      </c>
      <c r="BB204" s="518" t="str">
        <f>IF(AND(_A3="B-767-400ER",'2025'!$I$4="CA",'2025'!$I$2=BB195),'2025DATA'!$K$11,"")</f>
        <v/>
      </c>
      <c r="BC204" s="518" t="str">
        <f>IF(AND(_A3="B-767-400ER",'2025'!$I$4="CA",'2025'!$I$2=BC195),'2025DATA'!$L$11,"")</f>
        <v/>
      </c>
      <c r="BD204" s="518" t="str">
        <f>IF(AND(_A3="B-767-400ER",'2025'!$I$4="CA",'2025'!$I$2=BD195),'2025DATA'!$M$11,"")</f>
        <v/>
      </c>
      <c r="BE204" s="520" t="str">
        <f>IF(AND(_A3="B-767-400ER",'2025'!$I$4="CA",'2025'!$I$2=BE195),'2025DATA'!$N$11,"")</f>
        <v/>
      </c>
      <c r="BF204" s="940" t="s">
        <v>42</v>
      </c>
      <c r="BG204" s="13" t="s">
        <v>61</v>
      </c>
      <c r="BH204" s="518" t="str">
        <f>IF(AND(_A4="B-767-400ER",'2025'!$I$4="CA",'2025'!$I$2=BH195),'2025DATA'!$C$11,"")</f>
        <v/>
      </c>
      <c r="BI204" s="518" t="str">
        <f>IF(AND(_A4="B-767-400ER",'2025'!$I$4="CA",'2025'!$I$2=BI195),'2025DATA'!$D$11,"")</f>
        <v/>
      </c>
      <c r="BJ204" s="518" t="str">
        <f>IF(AND(_A4="B-767-400ER",'2025'!$I$4="CA",'2025'!$I$2=BJ195),'2025DATA'!$E$11,"")</f>
        <v/>
      </c>
      <c r="BK204" s="518" t="str">
        <f>IF(AND(_A4="B-767-400ER",'2025'!$I$4="CA",'2025'!$I$2=BK195),'2025DATA'!$F$11,"")</f>
        <v/>
      </c>
      <c r="BL204" s="518" t="str">
        <f>IF(AND(_A4="B-767-400ER",'2025'!$I$4="CA",'2025'!$I$2=BL195),'2025DATA'!$G$11,"")</f>
        <v/>
      </c>
      <c r="BM204" s="518" t="str">
        <f>IF(AND(_A4="B-767-400ER",'2025'!$I$4="CA",'2025'!$I$2=BM195),'2025DATA'!$H$11,"")</f>
        <v/>
      </c>
      <c r="BN204" s="518" t="str">
        <f>IF(AND(_A4="B-767-400ER",'2025'!$I$4="CA",'2025'!$I$2=BN195),'2025DATA'!$I$11,"")</f>
        <v/>
      </c>
      <c r="BO204" s="518" t="str">
        <f>IF(AND(_A4="B-767-400ER",'2025'!$I$4="CA",'2025'!$I$2=BO195),'2025DATA'!$J$11,"")</f>
        <v/>
      </c>
      <c r="BP204" s="518" t="str">
        <f>IF(AND(_A4="B-767-400ER",'2025'!$I$4="CA",'2025'!$I$2=BP195),'2025DATA'!$K$11,"")</f>
        <v/>
      </c>
      <c r="BQ204" s="518" t="str">
        <f>IF(AND(_A4="B-767-400ER",'2025'!$I$4="CA",'2025'!$I$2=BQ195),'2025DATA'!$L$11,"")</f>
        <v/>
      </c>
      <c r="BR204" s="518" t="str">
        <f>IF(AND(_A4="B-767-400ER",'2025'!$I$4="CA",'2025'!$I$2=BR195),'2025DATA'!$M$11,"")</f>
        <v/>
      </c>
      <c r="BS204" s="520" t="str">
        <f>IF(AND(_A4="B-767-400ER",'2025'!$I$4="CA",'2025'!$I$2=BS195),'2025DATA'!$N$11,"")</f>
        <v/>
      </c>
      <c r="BT204" s="940" t="s">
        <v>42</v>
      </c>
      <c r="BU204" s="13" t="s">
        <v>61</v>
      </c>
      <c r="BV204" s="518" t="str">
        <f>IF(AND(_A5="B-767-400ER",'2025'!$I$4="CA",'2025'!$I$2=BV195),'2025DATA'!$C$11,"")</f>
        <v/>
      </c>
      <c r="BW204" s="518" t="str">
        <f>IF(AND(_A5="B-767-400ER",'2025'!$I$4="CA",'2025'!$I$2=BW195),'2025DATA'!$D$11,"")</f>
        <v/>
      </c>
      <c r="BX204" s="518" t="str">
        <f>IF(AND(_A5="B-767-400ER",'2025'!$I$4="CA",'2025'!$I$2=BX195),'2025DATA'!$E$11,"")</f>
        <v/>
      </c>
      <c r="BY204" s="518" t="str">
        <f>IF(AND(_A5="B-767-400ER",'2025'!$I$4="CA",'2025'!$I$2=BY195),'2025DATA'!$F$11,"")</f>
        <v/>
      </c>
      <c r="BZ204" s="518" t="str">
        <f>IF(AND(_A5="B-767-400ER",'2025'!$I$4="CA",'2025'!$I$2=BZ195),'2025DATA'!$G$11,"")</f>
        <v/>
      </c>
      <c r="CA204" s="518" t="str">
        <f>IF(AND(_A5="B-767-400ER",'2025'!$I$4="CA",'2025'!$I$2=CA195),'2025DATA'!$H$11,"")</f>
        <v/>
      </c>
      <c r="CB204" s="518" t="str">
        <f>IF(AND(_A5="B-767-400ER",'2025'!$I$4="CA",'2025'!$I$2=CB195),'2025DATA'!$I$11,"")</f>
        <v/>
      </c>
      <c r="CC204" s="518" t="str">
        <f>IF(AND(_A5="B-767-400ER",'2025'!$I$4="CA",'2025'!$I$2=CC195),'2025DATA'!$J$11,"")</f>
        <v/>
      </c>
      <c r="CD204" s="518" t="str">
        <f>IF(AND(_A5="B-767-400ER",'2025'!$I$4="CA",'2025'!$I$2=CD195),'2025DATA'!$K$11,"")</f>
        <v/>
      </c>
      <c r="CE204" s="518" t="str">
        <f>IF(AND(_A5="B-767-400ER",'2025'!$I$4="CA",'2025'!$I$2=CE195),'2025DATA'!$L$11,"")</f>
        <v/>
      </c>
      <c r="CF204" s="518" t="str">
        <f>IF(AND(_A5="B-767-400ER",'2025'!$I$4="CA",'2025'!$I$2=CF195),'2025DATA'!$M$11,"")</f>
        <v/>
      </c>
      <c r="CG204" s="520" t="str">
        <f>IF(AND(_A5="B-767-400ER",'2025'!$I$4="CA",'2025'!$I$2=CG195),'2025DATA'!$N$11,"")</f>
        <v/>
      </c>
      <c r="CH204" s="940" t="s">
        <v>42</v>
      </c>
      <c r="CI204" s="13" t="s">
        <v>61</v>
      </c>
      <c r="CJ204" s="518" t="str">
        <f>IF(AND(_A6="B-767-400ER",'2025'!$I$4="CA",'2025'!$I$2=CJ195),'2025DATA'!$C$11,"")</f>
        <v/>
      </c>
      <c r="CK204" s="518" t="str">
        <f>IF(AND(_A6="B-767-400ER",'2025'!$I$4="CA",'2025'!$I$2=CK195),'2025DATA'!$D$11,"")</f>
        <v/>
      </c>
      <c r="CL204" s="518" t="str">
        <f>IF(AND(_A6="B-767-400ER",'2025'!$I$4="CA",'2025'!$I$2=CL195),'2025DATA'!$E$11,"")</f>
        <v/>
      </c>
      <c r="CM204" s="518" t="str">
        <f>IF(AND(_A6="B-767-400ER",'2025'!$I$4="CA",'2025'!$I$2=CM195),'2025DATA'!$F$11,"")</f>
        <v/>
      </c>
      <c r="CN204" s="518" t="str">
        <f>IF(AND(_A6="B-767-400ER",'2025'!$I$4="CA",'2025'!$I$2=CN195),'2025DATA'!$G$11,"")</f>
        <v/>
      </c>
      <c r="CO204" s="518" t="str">
        <f>IF(AND(_A6="B-767-400ER",'2025'!$I$4="CA",'2025'!$I$2=CO195),'2025DATA'!$H$11,"")</f>
        <v/>
      </c>
      <c r="CP204" s="518" t="str">
        <f>IF(AND(_A6="B-767-400ER",'2025'!$I$4="CA",'2025'!$I$2=CP195),'2025DATA'!$I$11,"")</f>
        <v/>
      </c>
      <c r="CQ204" s="518" t="str">
        <f>IF(AND(_A6="B-767-400ER",'2025'!$I$4="CA",'2025'!$I$2=CQ195),'2025DATA'!$J$11,"")</f>
        <v/>
      </c>
      <c r="CR204" s="518" t="str">
        <f>IF(AND(_A6="B-767-400ER",'2025'!$I$4="CA",'2025'!$I$2=CR195),'2025DATA'!$K$11,"")</f>
        <v/>
      </c>
      <c r="CS204" s="518" t="str">
        <f>IF(AND(_A6="B-767-400ER",'2025'!$I$4="CA",'2025'!$I$2=CS195),'2025DATA'!$L$11,"")</f>
        <v/>
      </c>
      <c r="CT204" s="518" t="str">
        <f>IF(AND(_A6="B-767-400ER",'2025'!$I$4="CA",'2025'!$I$2=CT195),'2025DATA'!$M$11,"")</f>
        <v/>
      </c>
      <c r="CU204" s="520" t="str">
        <f>IF(AND(_A6="B-767-400ER",'2025'!$I$4="CA",'2025'!$I$2=CU195),'2025DATA'!$N$11,"")</f>
        <v/>
      </c>
    </row>
    <row r="205" spans="16:99" x14ac:dyDescent="0.25">
      <c r="P205" s="940"/>
      <c r="Q205" s="13" t="s">
        <v>62</v>
      </c>
      <c r="R205" s="518" t="str">
        <f>IF(AND(_A1="B-767-400ER",'2025'!$I$4="FO",'2025'!$I$2=R195),'2025DATA'!$C$12,"")</f>
        <v/>
      </c>
      <c r="S205" s="518" t="str">
        <f>IF(AND(_A1="B-767-400ER",'2025'!$I$4="FO",'2025'!$I$2=S195),'2025DATA'!$D$12,"")</f>
        <v/>
      </c>
      <c r="T205" s="518" t="str">
        <f>IF(AND(_A1="B-767-400ER",'2025'!$I$4="FO",'2025'!$I$2=T195),'2025DATA'!$E$12,"")</f>
        <v/>
      </c>
      <c r="U205" s="518" t="str">
        <f>IF(AND(_A1="B-767-400ER",'2025'!$I$4="FO",'2025'!$I$2=U195),'2025DATA'!$F$12,"")</f>
        <v/>
      </c>
      <c r="V205" s="518" t="str">
        <f>IF(AND(_A1="B-767-400ER",'2025'!$I$4="FO",'2025'!$I$2=V195),'2025DATA'!$G$12,"")</f>
        <v/>
      </c>
      <c r="W205" s="518" t="str">
        <f>IF(AND(_A1="B-767-400ER",'2025'!$I$4="FO",'2025'!$I$2=W195),'2025DATA'!$H$12,"")</f>
        <v/>
      </c>
      <c r="X205" s="518" t="str">
        <f>IF(AND(_A1="B-767-400ER",'2025'!$I$4="FO",'2025'!$I$2=X195),'2025DATA'!$I$12,"")</f>
        <v/>
      </c>
      <c r="Y205" s="518" t="str">
        <f>IF(AND(_A1="B-767-400ER",'2025'!$I$4="FO",'2025'!$I$2=Y195),'2025DATA'!$J$12,"")</f>
        <v/>
      </c>
      <c r="Z205" s="518" t="str">
        <f>IF(AND(_A1="B-767-400ER",'2025'!$I$4="FO",'2025'!$I$2=Z195),'2025DATA'!$K$12,"")</f>
        <v/>
      </c>
      <c r="AA205" s="518" t="str">
        <f>IF(AND(_A1="B-767-400ER",'2025'!$I$4="FO",'2025'!$I$2=AA195),'2025DATA'!$L$12,"")</f>
        <v/>
      </c>
      <c r="AB205" s="518" t="str">
        <f>IF(AND(_A1="B-767-400ER",'2025'!$I$4="FO",'2025'!$I$2=AB195),'2025DATA'!$M$12,"")</f>
        <v/>
      </c>
      <c r="AC205" s="520" t="str">
        <f>IF(AND(_A1="B-767-400ER",'2025'!$I$4="FO",'2025'!$I$2=AC195),'2025DATA'!$N$12,"")</f>
        <v/>
      </c>
      <c r="AD205" s="940"/>
      <c r="AE205" s="13" t="s">
        <v>62</v>
      </c>
      <c r="AF205" s="518" t="str">
        <f>IF(AND(_A2="B-767-400ER",'2025'!$I$4="FO",'2025'!$I$2=AF195),'2025DATA'!$C$12,"")</f>
        <v/>
      </c>
      <c r="AG205" s="518" t="str">
        <f>IF(AND(_A2="B-767-400ER",'2025'!$I$4="FO",'2025'!$I$2=AG195),'2025DATA'!$D$12,"")</f>
        <v/>
      </c>
      <c r="AH205" s="518" t="str">
        <f>IF(AND(_A2="B-767-400ER",'2025'!$I$4="FO",'2025'!$I$2=AH195),'2025DATA'!$E$12,"")</f>
        <v/>
      </c>
      <c r="AI205" s="518" t="str">
        <f>IF(AND(_A2="B-767-400ER",'2025'!$I$4="FO",'2025'!$I$2=AI195),'2025DATA'!$F$12,"")</f>
        <v/>
      </c>
      <c r="AJ205" s="518" t="str">
        <f>IF(AND(_A2="B-767-400ER",'2025'!$I$4="FO",'2025'!$I$2=AJ195),'2025DATA'!$G$12,"")</f>
        <v/>
      </c>
      <c r="AK205" s="518" t="str">
        <f>IF(AND(_A2="B-767-400ER",'2025'!$I$4="FO",'2025'!$I$2=AK195),'2025DATA'!$H$12,"")</f>
        <v/>
      </c>
      <c r="AL205" s="518" t="str">
        <f>IF(AND(_A2="B-767-400ER",'2025'!$I$4="FO",'2025'!$I$2=AL195),'2025DATA'!$I$12,"")</f>
        <v/>
      </c>
      <c r="AM205" s="518" t="str">
        <f>IF(AND(_A2="B-767-400ER",'2025'!$I$4="FO",'2025'!$I$2=AM195),'2025DATA'!$J$12,"")</f>
        <v/>
      </c>
      <c r="AN205" s="518" t="str">
        <f>IF(AND(_A2="B-767-400ER",'2025'!$I$4="FO",'2025'!$I$2=AN195),'2025DATA'!$K$12,"")</f>
        <v/>
      </c>
      <c r="AO205" s="518" t="str">
        <f>IF(AND(_A2="B-767-400ER",'2025'!$I$4="FO",'2025'!$I$2=AO195),'2025DATA'!$L$12,"")</f>
        <v/>
      </c>
      <c r="AP205" s="518" t="str">
        <f>IF(AND(_A2="B-767-400ER",'2025'!$I$4="FO",'2025'!$I$2=AP195),'2025DATA'!$M$12,"")</f>
        <v/>
      </c>
      <c r="AQ205" s="520" t="str">
        <f>IF(AND(_A2="B-767-400ER",'2025'!$I$4="FO",'2025'!$I$2=AQ195),'2025DATA'!$N$12,"")</f>
        <v/>
      </c>
      <c r="AR205" s="940"/>
      <c r="AS205" s="13" t="s">
        <v>62</v>
      </c>
      <c r="AT205" s="518" t="str">
        <f>IF(AND(_A3="B-767-400ER",'2025'!$I$4="FO",'2025'!$I$2=AT195),'2025DATA'!$C$12,"")</f>
        <v/>
      </c>
      <c r="AU205" s="518" t="str">
        <f>IF(AND(_A3="B-767-400ER",'2025'!$I$4="FO",'2025'!$I$2=AU195),'2025DATA'!$D$12,"")</f>
        <v/>
      </c>
      <c r="AV205" s="518" t="str">
        <f>IF(AND(_A3="B-767-400ER",'2025'!$I$4="FO",'2025'!$I$2=AV195),'2025DATA'!$E$12,"")</f>
        <v/>
      </c>
      <c r="AW205" s="518" t="str">
        <f>IF(AND(_A3="B-767-400ER",'2025'!$I$4="FO",'2025'!$I$2=AW195),'2025DATA'!$F$12,"")</f>
        <v/>
      </c>
      <c r="AX205" s="518" t="str">
        <f>IF(AND(_A3="B-767-400ER",'2025'!$I$4="FO",'2025'!$I$2=AX195),'2025DATA'!$G$12,"")</f>
        <v/>
      </c>
      <c r="AY205" s="518" t="str">
        <f>IF(AND(_A3="B-767-400ER",'2025'!$I$4="FO",'2025'!$I$2=AY195),'2025DATA'!$H$12,"")</f>
        <v/>
      </c>
      <c r="AZ205" s="518" t="str">
        <f>IF(AND(_A3="B-767-400ER",'2025'!$I$4="FO",'2025'!$I$2=AZ195),'2025DATA'!$I$12,"")</f>
        <v/>
      </c>
      <c r="BA205" s="518" t="str">
        <f>IF(AND(_A3="B-767-400ER",'2025'!$I$4="FO",'2025'!$I$2=BA195),'2025DATA'!$J$12,"")</f>
        <v/>
      </c>
      <c r="BB205" s="518" t="str">
        <f>IF(AND(_A3="B-767-400ER",'2025'!$I$4="FO",'2025'!$I$2=BB195),'2025DATA'!$K$12,"")</f>
        <v/>
      </c>
      <c r="BC205" s="518" t="str">
        <f>IF(AND(_A3="B-767-400ER",'2025'!$I$4="FO",'2025'!$I$2=BC195),'2025DATA'!$L$12,"")</f>
        <v/>
      </c>
      <c r="BD205" s="518" t="str">
        <f>IF(AND(_A3="B-767-400ER",'2025'!$I$4="FO",'2025'!$I$2=BD195),'2025DATA'!$M$12,"")</f>
        <v/>
      </c>
      <c r="BE205" s="520" t="str">
        <f>IF(AND(_A3="B-767-400ER",'2025'!$I$4="FO",'2025'!$I$2=BE195),'2025DATA'!$N$12,"")</f>
        <v/>
      </c>
      <c r="BF205" s="940"/>
      <c r="BG205" s="13" t="s">
        <v>62</v>
      </c>
      <c r="BH205" s="518" t="str">
        <f>IF(AND(_A4="B-767-400ER",'2025'!$I$4="FO",'2025'!$I$2=BH195),'2025DATA'!$C$12,"")</f>
        <v/>
      </c>
      <c r="BI205" s="518" t="str">
        <f>IF(AND(_A4="B-767-400ER",'2025'!$I$4="FO",'2025'!$I$2=BI195),'2025DATA'!$D$12,"")</f>
        <v/>
      </c>
      <c r="BJ205" s="518" t="str">
        <f>IF(AND(_A4="B-767-400ER",'2025'!$I$4="FO",'2025'!$I$2=BJ195),'2025DATA'!$E$12,"")</f>
        <v/>
      </c>
      <c r="BK205" s="518" t="str">
        <f>IF(AND(_A4="B-767-400ER",'2025'!$I$4="FO",'2025'!$I$2=BK195),'2025DATA'!$F$12,"")</f>
        <v/>
      </c>
      <c r="BL205" s="518" t="str">
        <f>IF(AND(_A4="B-767-400ER",'2025'!$I$4="FO",'2025'!$I$2=BL195),'2025DATA'!$G$12,"")</f>
        <v/>
      </c>
      <c r="BM205" s="518" t="str">
        <f>IF(AND(_A4="B-767-400ER",'2025'!$I$4="FO",'2025'!$I$2=BM195),'2025DATA'!$H$12,"")</f>
        <v/>
      </c>
      <c r="BN205" s="518" t="str">
        <f>IF(AND(_A4="B-767-400ER",'2025'!$I$4="FO",'2025'!$I$2=BN195),'2025DATA'!$I$12,"")</f>
        <v/>
      </c>
      <c r="BO205" s="518" t="str">
        <f>IF(AND(_A4="B-767-400ER",'2025'!$I$4="FO",'2025'!$I$2=BO195),'2025DATA'!$J$12,"")</f>
        <v/>
      </c>
      <c r="BP205" s="518" t="str">
        <f>IF(AND(_A4="B-767-400ER",'2025'!$I$4="FO",'2025'!$I$2=BP195),'2025DATA'!$K$12,"")</f>
        <v/>
      </c>
      <c r="BQ205" s="518" t="str">
        <f>IF(AND(_A4="B-767-400ER",'2025'!$I$4="FO",'2025'!$I$2=BQ195),'2025DATA'!$L$12,"")</f>
        <v/>
      </c>
      <c r="BR205" s="518" t="str">
        <f>IF(AND(_A4="B-767-400ER",'2025'!$I$4="FO",'2025'!$I$2=BR195),'2025DATA'!$M$12,"")</f>
        <v/>
      </c>
      <c r="BS205" s="520" t="str">
        <f>IF(AND(_A4="B-767-400ER",'2025'!$I$4="FO",'2025'!$I$2=BS195),'2025DATA'!$N$12,"")</f>
        <v/>
      </c>
      <c r="BT205" s="940"/>
      <c r="BU205" s="13" t="s">
        <v>62</v>
      </c>
      <c r="BV205" s="518" t="str">
        <f>IF(AND(_A5="B-767-400ER",'2025'!$I$4="FO",'2025'!$I$2=BV195),'2025DATA'!$C$12,"")</f>
        <v/>
      </c>
      <c r="BW205" s="518" t="str">
        <f>IF(AND(_A5="B-767-400ER",'2025'!$I$4="FO",'2025'!$I$2=BW195),'2025DATA'!$D$12,"")</f>
        <v/>
      </c>
      <c r="BX205" s="518" t="str">
        <f>IF(AND(_A5="B-767-400ER",'2025'!$I$4="FO",'2025'!$I$2=BX195),'2025DATA'!$E$12,"")</f>
        <v/>
      </c>
      <c r="BY205" s="518" t="str">
        <f>IF(AND(_A5="B-767-400ER",'2025'!$I$4="FO",'2025'!$I$2=BY195),'2025DATA'!$F$12,"")</f>
        <v/>
      </c>
      <c r="BZ205" s="518" t="str">
        <f>IF(AND(_A5="B-767-400ER",'2025'!$I$4="FO",'2025'!$I$2=BZ195),'2025DATA'!$G$12,"")</f>
        <v/>
      </c>
      <c r="CA205" s="518" t="str">
        <f>IF(AND(_A5="B-767-400ER",'2025'!$I$4="FO",'2025'!$I$2=CA195),'2025DATA'!$H$12,"")</f>
        <v/>
      </c>
      <c r="CB205" s="518" t="str">
        <f>IF(AND(_A5="B-767-400ER",'2025'!$I$4="FO",'2025'!$I$2=CB195),'2025DATA'!$I$12,"")</f>
        <v/>
      </c>
      <c r="CC205" s="518" t="str">
        <f>IF(AND(_A5="B-767-400ER",'2025'!$I$4="FO",'2025'!$I$2=CC195),'2025DATA'!$J$12,"")</f>
        <v/>
      </c>
      <c r="CD205" s="518" t="str">
        <f>IF(AND(_A5="B-767-400ER",'2025'!$I$4="FO",'2025'!$I$2=CD195),'2025DATA'!$K$12,"")</f>
        <v/>
      </c>
      <c r="CE205" s="518" t="str">
        <f>IF(AND(_A5="B-767-400ER",'2025'!$I$4="FO",'2025'!$I$2=CE195),'2025DATA'!$L$12,"")</f>
        <v/>
      </c>
      <c r="CF205" s="518" t="str">
        <f>IF(AND(_A5="B-767-400ER",'2025'!$I$4="FO",'2025'!$I$2=CF195),'2025DATA'!$M$12,"")</f>
        <v/>
      </c>
      <c r="CG205" s="520" t="str">
        <f>IF(AND(_A5="B-767-400ER",'2025'!$I$4="FO",'2025'!$I$2=CG195),'2025DATA'!$N$12,"")</f>
        <v/>
      </c>
      <c r="CH205" s="940"/>
      <c r="CI205" s="13" t="s">
        <v>62</v>
      </c>
      <c r="CJ205" s="518" t="str">
        <f>IF(AND(_A6="B-767-400ER",'2025'!$I$4="FO",'2025'!$I$2=CJ195),'2025DATA'!$C$12,"")</f>
        <v/>
      </c>
      <c r="CK205" s="518" t="str">
        <f>IF(AND(_A6="B-767-400ER",'2025'!$I$4="FO",'2025'!$I$2=CK195),'2025DATA'!$D$12,"")</f>
        <v/>
      </c>
      <c r="CL205" s="518" t="str">
        <f>IF(AND(_A6="B-767-400ER",'2025'!$I$4="FO",'2025'!$I$2=CL195),'2025DATA'!$E$12,"")</f>
        <v/>
      </c>
      <c r="CM205" s="518" t="str">
        <f>IF(AND(_A6="B-767-400ER",'2025'!$I$4="FO",'2025'!$I$2=CM195),'2025DATA'!$F$12,"")</f>
        <v/>
      </c>
      <c r="CN205" s="518" t="str">
        <f>IF(AND(_A6="B-767-400ER",'2025'!$I$4="FO",'2025'!$I$2=CN195),'2025DATA'!$G$12,"")</f>
        <v/>
      </c>
      <c r="CO205" s="518" t="str">
        <f>IF(AND(_A6="B-767-400ER",'2025'!$I$4="FO",'2025'!$I$2=CO195),'2025DATA'!$H$12,"")</f>
        <v/>
      </c>
      <c r="CP205" s="518" t="str">
        <f>IF(AND(_A6="B-767-400ER",'2025'!$I$4="FO",'2025'!$I$2=CP195),'2025DATA'!$I$12,"")</f>
        <v/>
      </c>
      <c r="CQ205" s="518" t="str">
        <f>IF(AND(_A6="B-767-400ER",'2025'!$I$4="FO",'2025'!$I$2=CQ195),'2025DATA'!$J$12,"")</f>
        <v/>
      </c>
      <c r="CR205" s="518" t="str">
        <f>IF(AND(_A6="B-767-400ER",'2025'!$I$4="FO",'2025'!$I$2=CR195),'2025DATA'!$K$12,"")</f>
        <v/>
      </c>
      <c r="CS205" s="518" t="str">
        <f>IF(AND(_A6="B-767-400ER",'2025'!$I$4="FO",'2025'!$I$2=CS195),'2025DATA'!$L$12,"")</f>
        <v/>
      </c>
      <c r="CT205" s="518" t="str">
        <f>IF(AND(_A6="B-767-400ER",'2025'!$I$4="FO",'2025'!$I$2=CT195),'2025DATA'!$M$12,"")</f>
        <v/>
      </c>
      <c r="CU205" s="520" t="str">
        <f>IF(AND(_A6="B-767-400ER",'2025'!$I$4="FO",'2025'!$I$2=CU195),'2025DATA'!$N$12,"")</f>
        <v/>
      </c>
    </row>
    <row r="206" spans="16:99" x14ac:dyDescent="0.25">
      <c r="P206" s="940" t="s">
        <v>43</v>
      </c>
      <c r="Q206" s="13" t="s">
        <v>61</v>
      </c>
      <c r="R206" s="518" t="str">
        <f>IF(AND(_A1="B-767-300ER",'2025'!$I$4="CA",'2025'!$I$2=R195),'2025DATA'!$C$13,"")</f>
        <v/>
      </c>
      <c r="S206" s="518" t="str">
        <f>IF(AND(_A1="B-767-300ER",'2025'!$I$4="CA",'2025'!$I$2=S195),'2025DATA'!$D$13,"")</f>
        <v/>
      </c>
      <c r="T206" s="518" t="str">
        <f>IF(AND(_A1="B-767-300ER",'2025'!$I$4="CA",'2025'!$I$2=T195),'2025DATA'!$E$13,"")</f>
        <v/>
      </c>
      <c r="U206" s="518" t="str">
        <f>IF(AND(_A1="B-767-300ER",'2025'!$I$4="CA",'2025'!$I$2=U195),'2025DATA'!$F$13,"")</f>
        <v/>
      </c>
      <c r="V206" s="518" t="str">
        <f>IF(AND(_A1="B-767-300ER",'2025'!$I$4="CA",'2025'!$I$2=V195),'2025DATA'!$G$13,"")</f>
        <v/>
      </c>
      <c r="W206" s="518" t="str">
        <f>IF(AND(_A1="B-767-300ER",'2025'!$I$4="CA",'2025'!$I$2=W195),'2025DATA'!$H$13,"")</f>
        <v/>
      </c>
      <c r="X206" s="518" t="str">
        <f>IF(AND(_A1="B-767-300ER",'2025'!$I$4="CA",'2025'!$I$2=X195),'2025DATA'!$I$13,"")</f>
        <v/>
      </c>
      <c r="Y206" s="518" t="str">
        <f>IF(AND(_A1="B-767-300ER",'2025'!$I$4="CA",'2025'!$I$2=Y195),'2025DATA'!$J$13,"")</f>
        <v/>
      </c>
      <c r="Z206" s="518" t="str">
        <f>IF(AND(_A1="B-767-300ER",'2025'!$I$4="CA",'2025'!$I$2=Z195),'2025DATA'!$K$13,"")</f>
        <v/>
      </c>
      <c r="AA206" s="518" t="str">
        <f>IF(AND(_A1="B-767-300ER",'2025'!$I$4="CA",'2025'!$I$2=AA195),'2025DATA'!$L$13,"")</f>
        <v/>
      </c>
      <c r="AB206" s="518" t="str">
        <f>IF(AND(_A1="B-767-300ER",'2025'!$I$4="CA",'2025'!$I$2=AB195),'2025DATA'!$M$13,"")</f>
        <v/>
      </c>
      <c r="AC206" s="520" t="str">
        <f>IF(AND(_A1="B-767-300ER",'2025'!$I$4="CA",'2025'!$I$2=AC195),'2025DATA'!$N$13,"")</f>
        <v/>
      </c>
      <c r="AD206" s="940" t="s">
        <v>43</v>
      </c>
      <c r="AE206" s="13" t="s">
        <v>61</v>
      </c>
      <c r="AF206" s="518" t="str">
        <f>IF(AND(_A2="B-767-300ER",'2025'!$I$4="CA",'2025'!$I$2=AF195),'2025DATA'!$C$13,"")</f>
        <v/>
      </c>
      <c r="AG206" s="518" t="str">
        <f>IF(AND(_A2="B-767-300ER",'2025'!$I$4="CA",'2025'!$I$2=AG195),'2025DATA'!$D$13,"")</f>
        <v/>
      </c>
      <c r="AH206" s="518" t="str">
        <f>IF(AND(_A2="B-767-300ER",'2025'!$I$4="CA",'2025'!$I$2=AH195),'2025DATA'!$E$13,"")</f>
        <v/>
      </c>
      <c r="AI206" s="518" t="str">
        <f>IF(AND(_A2="B-767-300ER",'2025'!$I$4="CA",'2025'!$I$2=AI195),'2025DATA'!$F$13,"")</f>
        <v/>
      </c>
      <c r="AJ206" s="518" t="str">
        <f>IF(AND(_A2="B-767-300ER",'2025'!$I$4="CA",'2025'!$I$2=AJ195),'2025DATA'!$G$13,"")</f>
        <v/>
      </c>
      <c r="AK206" s="518" t="str">
        <f>IF(AND(_A2="B-767-300ER",'2025'!$I$4="CA",'2025'!$I$2=AK195),'2025DATA'!$H$13,"")</f>
        <v/>
      </c>
      <c r="AL206" s="518" t="str">
        <f>IF(AND(_A2="B-767-300ER",'2025'!$I$4="CA",'2025'!$I$2=AL195),'2025DATA'!$I$13,"")</f>
        <v/>
      </c>
      <c r="AM206" s="518" t="str">
        <f>IF(AND(_A2="B-767-300ER",'2025'!$I$4="CA",'2025'!$I$2=AM195),'2025DATA'!$J$13,"")</f>
        <v/>
      </c>
      <c r="AN206" s="518" t="str">
        <f>IF(AND(_A2="B-767-300ER",'2025'!$I$4="CA",'2025'!$I$2=AN195),'2025DATA'!$K$13,"")</f>
        <v/>
      </c>
      <c r="AO206" s="518" t="str">
        <f>IF(AND(_A2="B-767-300ER",'2025'!$I$4="CA",'2025'!$I$2=AO195),'2025DATA'!$L$13,"")</f>
        <v/>
      </c>
      <c r="AP206" s="518" t="str">
        <f>IF(AND(_A2="B-767-300ER",'2025'!$I$4="CA",'2025'!$I$2=AP195),'2025DATA'!$M$13,"")</f>
        <v/>
      </c>
      <c r="AQ206" s="520" t="str">
        <f>IF(AND(_A2="B-767-300ER",'2025'!$I$4="CA",'2025'!$I$2=AQ195),'2025DATA'!$N$13,"")</f>
        <v/>
      </c>
      <c r="AR206" s="940" t="s">
        <v>43</v>
      </c>
      <c r="AS206" s="13" t="s">
        <v>61</v>
      </c>
      <c r="AT206" s="518" t="str">
        <f>IF(AND(_A3="B-767-300ER",'2025'!$I$4="CA",'2025'!$I$2=AT195),'2025DATA'!$C$13,"")</f>
        <v/>
      </c>
      <c r="AU206" s="518" t="str">
        <f>IF(AND(_A3="B-767-300ER",'2025'!$I$4="CA",'2025'!$I$2=AU195),'2025DATA'!$D$13,"")</f>
        <v/>
      </c>
      <c r="AV206" s="518" t="str">
        <f>IF(AND(_A3="B-767-300ER",'2025'!$I$4="CA",'2025'!$I$2=AV195),'2025DATA'!$E$13,"")</f>
        <v/>
      </c>
      <c r="AW206" s="518" t="str">
        <f>IF(AND(_A3="B-767-300ER",'2025'!$I$4="CA",'2025'!$I$2=AW195),'2025DATA'!$F$13,"")</f>
        <v/>
      </c>
      <c r="AX206" s="518" t="str">
        <f>IF(AND(_A3="B-767-300ER",'2025'!$I$4="CA",'2025'!$I$2=AX195),'2025DATA'!$G$13,"")</f>
        <v/>
      </c>
      <c r="AY206" s="518" t="str">
        <f>IF(AND(_A3="B-767-300ER",'2025'!$I$4="CA",'2025'!$I$2=AY195),'2025DATA'!$H$13,"")</f>
        <v/>
      </c>
      <c r="AZ206" s="518" t="str">
        <f>IF(AND(_A3="B-767-300ER",'2025'!$I$4="CA",'2025'!$I$2=AZ195),'2025DATA'!$I$13,"")</f>
        <v/>
      </c>
      <c r="BA206" s="518" t="str">
        <f>IF(AND(_A3="B-767-300ER",'2025'!$I$4="CA",'2025'!$I$2=BA195),'2025DATA'!$J$13,"")</f>
        <v/>
      </c>
      <c r="BB206" s="518" t="str">
        <f>IF(AND(_A3="B-767-300ER",'2025'!$I$4="CA",'2025'!$I$2=BB195),'2025DATA'!$K$13,"")</f>
        <v/>
      </c>
      <c r="BC206" s="518" t="str">
        <f>IF(AND(_A3="B-767-300ER",'2025'!$I$4="CA",'2025'!$I$2=BC195),'2025DATA'!$L$13,"")</f>
        <v/>
      </c>
      <c r="BD206" s="518" t="str">
        <f>IF(AND(_A3="B-767-300ER",'2025'!$I$4="CA",'2025'!$I$2=BD195),'2025DATA'!$M$13,"")</f>
        <v/>
      </c>
      <c r="BE206" s="520" t="str">
        <f>IF(AND(_A3="B-767-300ER",'2025'!$I$4="CA",'2025'!$I$2=BE195),'2025DATA'!$N$13,"")</f>
        <v/>
      </c>
      <c r="BF206" s="940" t="s">
        <v>43</v>
      </c>
      <c r="BG206" s="13" t="s">
        <v>61</v>
      </c>
      <c r="BH206" s="518" t="str">
        <f>IF(AND(_A4="B-767-300ER",'2025'!$I$4="CA",'2025'!$I$2=BH195),'2025DATA'!$C$13,"")</f>
        <v/>
      </c>
      <c r="BI206" s="518" t="str">
        <f>IF(AND(_A4="B-767-300ER",'2025'!$I$4="CA",'2025'!$I$2=BI195),'2025DATA'!$D$13,"")</f>
        <v/>
      </c>
      <c r="BJ206" s="518" t="str">
        <f>IF(AND(_A4="B-767-300ER",'2025'!$I$4="CA",'2025'!$I$2=BJ195),'2025DATA'!$E$13,"")</f>
        <v/>
      </c>
      <c r="BK206" s="518" t="str">
        <f>IF(AND(_A4="B-767-300ER",'2025'!$I$4="CA",'2025'!$I$2=BK195),'2025DATA'!$F$13,"")</f>
        <v/>
      </c>
      <c r="BL206" s="518" t="str">
        <f>IF(AND(_A4="B-767-300ER",'2025'!$I$4="CA",'2025'!$I$2=BL195),'2025DATA'!$G$13,"")</f>
        <v/>
      </c>
      <c r="BM206" s="518" t="str">
        <f>IF(AND(_A4="B-767-300ER",'2025'!$I$4="CA",'2025'!$I$2=BM195),'2025DATA'!$H$13,"")</f>
        <v/>
      </c>
      <c r="BN206" s="518" t="str">
        <f>IF(AND(_A4="B-767-300ER",'2025'!$I$4="CA",'2025'!$I$2=BN195),'2025DATA'!$I$13,"")</f>
        <v/>
      </c>
      <c r="BO206" s="518" t="str">
        <f>IF(AND(_A4="B-767-300ER",'2025'!$I$4="CA",'2025'!$I$2=BO195),'2025DATA'!$J$13,"")</f>
        <v/>
      </c>
      <c r="BP206" s="518" t="str">
        <f>IF(AND(_A4="B-767-300ER",'2025'!$I$4="CA",'2025'!$I$2=BP195),'2025DATA'!$K$13,"")</f>
        <v/>
      </c>
      <c r="BQ206" s="518" t="str">
        <f>IF(AND(_A4="B-767-300ER",'2025'!$I$4="CA",'2025'!$I$2=BQ195),'2025DATA'!$L$13,"")</f>
        <v/>
      </c>
      <c r="BR206" s="518" t="str">
        <f>IF(AND(_A4="B-767-300ER",'2025'!$I$4="CA",'2025'!$I$2=BR195),'2025DATA'!$M$13,"")</f>
        <v/>
      </c>
      <c r="BS206" s="520" t="str">
        <f>IF(AND(_A4="B-767-300ER",'2025'!$I$4="CA",'2025'!$I$2=BS195),'2025DATA'!$N$13,"")</f>
        <v/>
      </c>
      <c r="BT206" s="940" t="s">
        <v>43</v>
      </c>
      <c r="BU206" s="13" t="s">
        <v>61</v>
      </c>
      <c r="BV206" s="518" t="str">
        <f>IF(AND(_A5="B-767-300ER",'2025'!$I$4="CA",'2025'!$I$2=BV195),'2025DATA'!$C$13,"")</f>
        <v/>
      </c>
      <c r="BW206" s="518" t="str">
        <f>IF(AND(_A5="B-767-300ER",'2025'!$I$4="CA",'2025'!$I$2=BW195),'2025DATA'!$D$13,"")</f>
        <v/>
      </c>
      <c r="BX206" s="518" t="str">
        <f>IF(AND(_A5="B-767-300ER",'2025'!$I$4="CA",'2025'!$I$2=BX195),'2025DATA'!$E$13,"")</f>
        <v/>
      </c>
      <c r="BY206" s="518" t="str">
        <f>IF(AND(_A5="B-767-300ER",'2025'!$I$4="CA",'2025'!$I$2=BY195),'2025DATA'!$F$13,"")</f>
        <v/>
      </c>
      <c r="BZ206" s="518" t="str">
        <f>IF(AND(_A5="B-767-300ER",'2025'!$I$4="CA",'2025'!$I$2=BZ195),'2025DATA'!$G$13,"")</f>
        <v/>
      </c>
      <c r="CA206" s="518" t="str">
        <f>IF(AND(_A5="B-767-300ER",'2025'!$I$4="CA",'2025'!$I$2=CA195),'2025DATA'!$H$13,"")</f>
        <v/>
      </c>
      <c r="CB206" s="518" t="str">
        <f>IF(AND(_A5="B-767-300ER",'2025'!$I$4="CA",'2025'!$I$2=CB195),'2025DATA'!$I$13,"")</f>
        <v/>
      </c>
      <c r="CC206" s="518" t="str">
        <f>IF(AND(_A5="B-767-300ER",'2025'!$I$4="CA",'2025'!$I$2=CC195),'2025DATA'!$J$13,"")</f>
        <v/>
      </c>
      <c r="CD206" s="518" t="str">
        <f>IF(AND(_A5="B-767-300ER",'2025'!$I$4="CA",'2025'!$I$2=CD195),'2025DATA'!$K$13,"")</f>
        <v/>
      </c>
      <c r="CE206" s="518" t="str">
        <f>IF(AND(_A5="B-767-300ER",'2025'!$I$4="CA",'2025'!$I$2=CE195),'2025DATA'!$L$13,"")</f>
        <v/>
      </c>
      <c r="CF206" s="518" t="str">
        <f>IF(AND(_A5="B-767-300ER",'2025'!$I$4="CA",'2025'!$I$2=CF195),'2025DATA'!$M$13,"")</f>
        <v/>
      </c>
      <c r="CG206" s="520" t="str">
        <f>IF(AND(_A5="B-767-300ER",'2025'!$I$4="CA",'2025'!$I$2=CG195),'2025DATA'!$N$13,"")</f>
        <v/>
      </c>
      <c r="CH206" s="940" t="s">
        <v>43</v>
      </c>
      <c r="CI206" s="13" t="s">
        <v>61</v>
      </c>
      <c r="CJ206" s="518" t="str">
        <f>IF(AND(_A6="B-767-300ER",'2025'!$I$4="CA",'2025'!$I$2=CJ195),'2025DATA'!$C$13,"")</f>
        <v/>
      </c>
      <c r="CK206" s="518" t="str">
        <f>IF(AND(_A6="B-767-300ER",'2025'!$I$4="CA",'2025'!$I$2=CK195),'2025DATA'!$D$13,"")</f>
        <v/>
      </c>
      <c r="CL206" s="518" t="str">
        <f>IF(AND(_A6="B-767-300ER",'2025'!$I$4="CA",'2025'!$I$2=CL195),'2025DATA'!$E$13,"")</f>
        <v/>
      </c>
      <c r="CM206" s="518" t="str">
        <f>IF(AND(_A6="B-767-300ER",'2025'!$I$4="CA",'2025'!$I$2=CM195),'2025DATA'!$F$13,"")</f>
        <v/>
      </c>
      <c r="CN206" s="518" t="str">
        <f>IF(AND(_A6="B-767-300ER",'2025'!$I$4="CA",'2025'!$I$2=CN195),'2025DATA'!$G$13,"")</f>
        <v/>
      </c>
      <c r="CO206" s="518" t="str">
        <f>IF(AND(_A6="B-767-300ER",'2025'!$I$4="CA",'2025'!$I$2=CO195),'2025DATA'!$H$13,"")</f>
        <v/>
      </c>
      <c r="CP206" s="518" t="str">
        <f>IF(AND(_A6="B-767-300ER",'2025'!$I$4="CA",'2025'!$I$2=CP195),'2025DATA'!$I$13,"")</f>
        <v/>
      </c>
      <c r="CQ206" s="518" t="str">
        <f>IF(AND(_A6="B-767-300ER",'2025'!$I$4="CA",'2025'!$I$2=CQ195),'2025DATA'!$J$13,"")</f>
        <v/>
      </c>
      <c r="CR206" s="518" t="str">
        <f>IF(AND(_A6="B-767-300ER",'2025'!$I$4="CA",'2025'!$I$2=CR195),'2025DATA'!$K$13,"")</f>
        <v/>
      </c>
      <c r="CS206" s="518" t="str">
        <f>IF(AND(_A6="B-767-300ER",'2025'!$I$4="CA",'2025'!$I$2=CS195),'2025DATA'!$L$13,"")</f>
        <v/>
      </c>
      <c r="CT206" s="518" t="str">
        <f>IF(AND(_A6="B-767-300ER",'2025'!$I$4="CA",'2025'!$I$2=CT195),'2025DATA'!$M$13,"")</f>
        <v/>
      </c>
      <c r="CU206" s="520" t="str">
        <f>IF(AND(_A6="B-767-300ER",'2025'!$I$4="CA",'2025'!$I$2=CU195),'2025DATA'!$N$13,"")</f>
        <v/>
      </c>
    </row>
    <row r="207" spans="16:99" x14ac:dyDescent="0.25">
      <c r="P207" s="940"/>
      <c r="Q207" s="13" t="s">
        <v>62</v>
      </c>
      <c r="R207" s="518" t="str">
        <f>IF(AND(_A1="B-767-300ER",'2025'!$I$4="FO",'2025'!$I$2=R195),'2025DATA'!$C$14,"")</f>
        <v/>
      </c>
      <c r="S207" s="518" t="str">
        <f>IF(AND(_A1="B-767-300ER",'2025'!$I$4="FO",'2025'!$I$2=S195),'2025DATA'!$D$14,"")</f>
        <v/>
      </c>
      <c r="T207" s="518" t="str">
        <f>IF(AND(_A1="B-767-300ER",'2025'!$I$4="FO",'2025'!$I$2=T195),'2025DATA'!$E$14,"")</f>
        <v/>
      </c>
      <c r="U207" s="518" t="str">
        <f>IF(AND(_A1="B-767-300ER",'2025'!$I$4="FO",'2025'!$I$2=U195),'2025DATA'!$F$14,"")</f>
        <v/>
      </c>
      <c r="V207" s="518" t="str">
        <f>IF(AND(_A1="B-767-300ER",'2025'!$I$4="FO",'2025'!$I$2=V195),'2025DATA'!$G$14,"")</f>
        <v/>
      </c>
      <c r="W207" s="518" t="str">
        <f>IF(AND(_A1="B-767-300ER",'2025'!$I$4="FO",'2025'!$I$2=W195),'2025DATA'!$H$14,"")</f>
        <v/>
      </c>
      <c r="X207" s="518" t="str">
        <f>IF(AND(_A1="B-767-300ER",'2025'!$I$4="FO",'2025'!$I$2=X195),'2025DATA'!$I$14,"")</f>
        <v/>
      </c>
      <c r="Y207" s="518" t="str">
        <f>IF(AND(_A1="B-767-300ER",'2025'!$I$4="FO",'2025'!$I$2=Y195),'2025DATA'!$J$14,"")</f>
        <v/>
      </c>
      <c r="Z207" s="518" t="str">
        <f>IF(AND(_A1="B-767-300ER",'2025'!$I$4="FO",'2025'!$I$2=Z195),'2025DATA'!$K$14,"")</f>
        <v/>
      </c>
      <c r="AA207" s="518" t="str">
        <f>IF(AND(_A1="B-767-300ER",'2025'!$I$4="FO",'2025'!$I$2=AA195),'2025DATA'!$L$14,"")</f>
        <v/>
      </c>
      <c r="AB207" s="518" t="str">
        <f>IF(AND(_A1="B-767-300ER",'2025'!$I$4="FO",'2025'!$I$2=AB195),'2025DATA'!$M$14,"")</f>
        <v/>
      </c>
      <c r="AC207" s="520" t="str">
        <f>IF(AND(_A1="B-767-300ER",'2025'!$I$4="FO",'2025'!$I$2=AC195),'2025DATA'!$N$14,"")</f>
        <v/>
      </c>
      <c r="AD207" s="940"/>
      <c r="AE207" s="13" t="s">
        <v>62</v>
      </c>
      <c r="AF207" s="518" t="str">
        <f>IF(AND(_A2="B-767-300ER",'2025'!$I$4="FO",'2025'!$I$2=AF195),'2025DATA'!$C$14,"")</f>
        <v/>
      </c>
      <c r="AG207" s="518" t="str">
        <f>IF(AND(_A2="B-767-300ER",'2025'!$I$4="FO",'2025'!$I$2=AG195),'2025DATA'!$D$14,"")</f>
        <v/>
      </c>
      <c r="AH207" s="518" t="str">
        <f>IF(AND(_A2="B-767-300ER",'2025'!$I$4="FO",'2025'!$I$2=AH195),'2025DATA'!$E$14,"")</f>
        <v/>
      </c>
      <c r="AI207" s="518" t="str">
        <f>IF(AND(_A2="B-767-300ER",'2025'!$I$4="FO",'2025'!$I$2=AI195),'2025DATA'!$F$14,"")</f>
        <v/>
      </c>
      <c r="AJ207" s="518" t="str">
        <f>IF(AND(_A2="B-767-300ER",'2025'!$I$4="FO",'2025'!$I$2=AJ195),'2025DATA'!$G$14,"")</f>
        <v/>
      </c>
      <c r="AK207" s="518" t="str">
        <f>IF(AND(_A2="B-767-300ER",'2025'!$I$4="FO",'2025'!$I$2=AK195),'2025DATA'!$H$14,"")</f>
        <v/>
      </c>
      <c r="AL207" s="518" t="str">
        <f>IF(AND(_A2="B-767-300ER",'2025'!$I$4="FO",'2025'!$I$2=AL195),'2025DATA'!$I$14,"")</f>
        <v/>
      </c>
      <c r="AM207" s="518" t="str">
        <f>IF(AND(_A2="B-767-300ER",'2025'!$I$4="FO",'2025'!$I$2=AM195),'2025DATA'!$J$14,"")</f>
        <v/>
      </c>
      <c r="AN207" s="518" t="str">
        <f>IF(AND(_A2="B-767-300ER",'2025'!$I$4="FO",'2025'!$I$2=AN195),'2025DATA'!$K$14,"")</f>
        <v/>
      </c>
      <c r="AO207" s="518" t="str">
        <f>IF(AND(_A2="B-767-300ER",'2025'!$I$4="FO",'2025'!$I$2=AO195),'2025DATA'!$L$14,"")</f>
        <v/>
      </c>
      <c r="AP207" s="518" t="str">
        <f>IF(AND(_A2="B-767-300ER",'2025'!$I$4="FO",'2025'!$I$2=AP195),'2025DATA'!$M$14,"")</f>
        <v/>
      </c>
      <c r="AQ207" s="520" t="str">
        <f>IF(AND(_A2="B-767-300ER",'2025'!$I$4="FO",'2025'!$I$2=AQ195),'2025DATA'!$N$14,"")</f>
        <v/>
      </c>
      <c r="AR207" s="940"/>
      <c r="AS207" s="13" t="s">
        <v>62</v>
      </c>
      <c r="AT207" s="518" t="str">
        <f>IF(AND(_A3="B-767-300ER",'2025'!$I$4="FO",'2025'!$I$2=AT195),'2025DATA'!$C$14,"")</f>
        <v/>
      </c>
      <c r="AU207" s="518" t="str">
        <f>IF(AND(_A3="B-767-300ER",'2025'!$I$4="FO",'2025'!$I$2=AU195),'2025DATA'!$D$14,"")</f>
        <v/>
      </c>
      <c r="AV207" s="518" t="str">
        <f>IF(AND(_A3="B-767-300ER",'2025'!$I$4="FO",'2025'!$I$2=AV195),'2025DATA'!$E$14,"")</f>
        <v/>
      </c>
      <c r="AW207" s="518" t="str">
        <f>IF(AND(_A3="B-767-300ER",'2025'!$I$4="FO",'2025'!$I$2=AW195),'2025DATA'!$F$14,"")</f>
        <v/>
      </c>
      <c r="AX207" s="518" t="str">
        <f>IF(AND(_A3="B-767-300ER",'2025'!$I$4="FO",'2025'!$I$2=AX195),'2025DATA'!$G$14,"")</f>
        <v/>
      </c>
      <c r="AY207" s="518" t="str">
        <f>IF(AND(_A3="B-767-300ER",'2025'!$I$4="FO",'2025'!$I$2=AY195),'2025DATA'!$H$14,"")</f>
        <v/>
      </c>
      <c r="AZ207" s="518" t="str">
        <f>IF(AND(_A3="B-767-300ER",'2025'!$I$4="FO",'2025'!$I$2=AZ195),'2025DATA'!$I$14,"")</f>
        <v/>
      </c>
      <c r="BA207" s="518" t="str">
        <f>IF(AND(_A3="B-767-300ER",'2025'!$I$4="FO",'2025'!$I$2=BA195),'2025DATA'!$J$14,"")</f>
        <v/>
      </c>
      <c r="BB207" s="518" t="str">
        <f>IF(AND(_A3="B-767-300ER",'2025'!$I$4="FO",'2025'!$I$2=BB195),'2025DATA'!$K$14,"")</f>
        <v/>
      </c>
      <c r="BC207" s="518" t="str">
        <f>IF(AND(_A3="B-767-300ER",'2025'!$I$4="FO",'2025'!$I$2=BC195),'2025DATA'!$L$14,"")</f>
        <v/>
      </c>
      <c r="BD207" s="518" t="str">
        <f>IF(AND(_A3="B-767-300ER",'2025'!$I$4="FO",'2025'!$I$2=BD195),'2025DATA'!$M$14,"")</f>
        <v/>
      </c>
      <c r="BE207" s="520" t="str">
        <f>IF(AND(_A3="B-767-300ER",'2025'!$I$4="FO",'2025'!$I$2=BE195),'2025DATA'!$N$14,"")</f>
        <v/>
      </c>
      <c r="BF207" s="940"/>
      <c r="BG207" s="13" t="s">
        <v>62</v>
      </c>
      <c r="BH207" s="518" t="str">
        <f>IF(AND(_A4="B-767-300ER",'2025'!$I$4="FO",'2025'!$I$2=BH195),'2025DATA'!$C$14,"")</f>
        <v/>
      </c>
      <c r="BI207" s="518" t="str">
        <f>IF(AND(_A4="B-767-300ER",'2025'!$I$4="FO",'2025'!$I$2=BI195),'2025DATA'!$D$14,"")</f>
        <v/>
      </c>
      <c r="BJ207" s="518" t="str">
        <f>IF(AND(_A4="B-767-300ER",'2025'!$I$4="FO",'2025'!$I$2=BJ195),'2025DATA'!$E$14,"")</f>
        <v/>
      </c>
      <c r="BK207" s="518" t="str">
        <f>IF(AND(_A4="B-767-300ER",'2025'!$I$4="FO",'2025'!$I$2=BK195),'2025DATA'!$F$14,"")</f>
        <v/>
      </c>
      <c r="BL207" s="518" t="str">
        <f>IF(AND(_A4="B-767-300ER",'2025'!$I$4="FO",'2025'!$I$2=BL195),'2025DATA'!$G$14,"")</f>
        <v/>
      </c>
      <c r="BM207" s="518" t="str">
        <f>IF(AND(_A4="B-767-300ER",'2025'!$I$4="FO",'2025'!$I$2=BM195),'2025DATA'!$H$14,"")</f>
        <v/>
      </c>
      <c r="BN207" s="518" t="str">
        <f>IF(AND(_A4="B-767-300ER",'2025'!$I$4="FO",'2025'!$I$2=BN195),'2025DATA'!$I$14,"")</f>
        <v/>
      </c>
      <c r="BO207" s="518" t="str">
        <f>IF(AND(_A4="B-767-300ER",'2025'!$I$4="FO",'2025'!$I$2=BO195),'2025DATA'!$J$14,"")</f>
        <v/>
      </c>
      <c r="BP207" s="518" t="str">
        <f>IF(AND(_A4="B-767-300ER",'2025'!$I$4="FO",'2025'!$I$2=BP195),'2025DATA'!$K$14,"")</f>
        <v/>
      </c>
      <c r="BQ207" s="518" t="str">
        <f>IF(AND(_A4="B-767-300ER",'2025'!$I$4="FO",'2025'!$I$2=BQ195),'2025DATA'!$L$14,"")</f>
        <v/>
      </c>
      <c r="BR207" s="518" t="str">
        <f>IF(AND(_A4="B-767-300ER",'2025'!$I$4="FO",'2025'!$I$2=BR195),'2025DATA'!$M$14,"")</f>
        <v/>
      </c>
      <c r="BS207" s="520" t="str">
        <f>IF(AND(_A4="B-767-300ER",'2025'!$I$4="FO",'2025'!$I$2=BS195),'2025DATA'!$N$14,"")</f>
        <v/>
      </c>
      <c r="BT207" s="940"/>
      <c r="BU207" s="13" t="s">
        <v>62</v>
      </c>
      <c r="BV207" s="518" t="str">
        <f>IF(AND(_A5="B-767-300ER",'2025'!$I$4="FO",'2025'!$I$2=BV195),'2025DATA'!$C$14,"")</f>
        <v/>
      </c>
      <c r="BW207" s="518" t="str">
        <f>IF(AND(_A5="B-767-300ER",'2025'!$I$4="FO",'2025'!$I$2=BW195),'2025DATA'!$D$14,"")</f>
        <v/>
      </c>
      <c r="BX207" s="518" t="str">
        <f>IF(AND(_A5="B-767-300ER",'2025'!$I$4="FO",'2025'!$I$2=BX195),'2025DATA'!$E$14,"")</f>
        <v/>
      </c>
      <c r="BY207" s="518" t="str">
        <f>IF(AND(_A5="B-767-300ER",'2025'!$I$4="FO",'2025'!$I$2=BY195),'2025DATA'!$F$14,"")</f>
        <v/>
      </c>
      <c r="BZ207" s="518" t="str">
        <f>IF(AND(_A5="B-767-300ER",'2025'!$I$4="FO",'2025'!$I$2=BZ195),'2025DATA'!$G$14,"")</f>
        <v/>
      </c>
      <c r="CA207" s="518" t="str">
        <f>IF(AND(_A5="B-767-300ER",'2025'!$I$4="FO",'2025'!$I$2=CA195),'2025DATA'!$H$14,"")</f>
        <v/>
      </c>
      <c r="CB207" s="518" t="str">
        <f>IF(AND(_A5="B-767-300ER",'2025'!$I$4="FO",'2025'!$I$2=CB195),'2025DATA'!$I$14,"")</f>
        <v/>
      </c>
      <c r="CC207" s="518" t="str">
        <f>IF(AND(_A5="B-767-300ER",'2025'!$I$4="FO",'2025'!$I$2=CC195),'2025DATA'!$J$14,"")</f>
        <v/>
      </c>
      <c r="CD207" s="518" t="str">
        <f>IF(AND(_A5="B-767-300ER",'2025'!$I$4="FO",'2025'!$I$2=CD195),'2025DATA'!$K$14,"")</f>
        <v/>
      </c>
      <c r="CE207" s="518" t="str">
        <f>IF(AND(_A5="B-767-300ER",'2025'!$I$4="FO",'2025'!$I$2=CE195),'2025DATA'!$L$14,"")</f>
        <v/>
      </c>
      <c r="CF207" s="518" t="str">
        <f>IF(AND(_A5="B-767-300ER",'2025'!$I$4="FO",'2025'!$I$2=CF195),'2025DATA'!$M$14,"")</f>
        <v/>
      </c>
      <c r="CG207" s="520" t="str">
        <f>IF(AND(_A5="B-767-300ER",'2025'!$I$4="FO",'2025'!$I$2=CG195),'2025DATA'!$N$14,"")</f>
        <v/>
      </c>
      <c r="CH207" s="940"/>
      <c r="CI207" s="13" t="s">
        <v>62</v>
      </c>
      <c r="CJ207" s="518" t="str">
        <f>IF(AND(_A6="B-767-300ER",'2025'!$I$4="FO",'2025'!$I$2=CJ195),'2025DATA'!$C$14,"")</f>
        <v/>
      </c>
      <c r="CK207" s="518" t="str">
        <f>IF(AND(_A6="B-767-300ER",'2025'!$I$4="FO",'2025'!$I$2=CK195),'2025DATA'!$D$14,"")</f>
        <v/>
      </c>
      <c r="CL207" s="518" t="str">
        <f>IF(AND(_A6="B-767-300ER",'2025'!$I$4="FO",'2025'!$I$2=CL195),'2025DATA'!$E$14,"")</f>
        <v/>
      </c>
      <c r="CM207" s="518" t="str">
        <f>IF(AND(_A6="B-767-300ER",'2025'!$I$4="FO",'2025'!$I$2=CM195),'2025DATA'!$F$14,"")</f>
        <v/>
      </c>
      <c r="CN207" s="518" t="str">
        <f>IF(AND(_A6="B-767-300ER",'2025'!$I$4="FO",'2025'!$I$2=CN195),'2025DATA'!$G$14,"")</f>
        <v/>
      </c>
      <c r="CO207" s="518" t="str">
        <f>IF(AND(_A6="B-767-300ER",'2025'!$I$4="FO",'2025'!$I$2=CO195),'2025DATA'!$H$14,"")</f>
        <v/>
      </c>
      <c r="CP207" s="518" t="str">
        <f>IF(AND(_A6="B-767-300ER",'2025'!$I$4="FO",'2025'!$I$2=CP195),'2025DATA'!$I$14,"")</f>
        <v/>
      </c>
      <c r="CQ207" s="518" t="str">
        <f>IF(AND(_A6="B-767-300ER",'2025'!$I$4="FO",'2025'!$I$2=CQ195),'2025DATA'!$J$14,"")</f>
        <v/>
      </c>
      <c r="CR207" s="518" t="str">
        <f>IF(AND(_A6="B-767-300ER",'2025'!$I$4="FO",'2025'!$I$2=CR195),'2025DATA'!$K$14,"")</f>
        <v/>
      </c>
      <c r="CS207" s="518" t="str">
        <f>IF(AND(_A6="B-767-300ER",'2025'!$I$4="FO",'2025'!$I$2=CS195),'2025DATA'!$L$14,"")</f>
        <v/>
      </c>
      <c r="CT207" s="518" t="str">
        <f>IF(AND(_A6="B-767-300ER",'2025'!$I$4="FO",'2025'!$I$2=CT195),'2025DATA'!$M$14,"")</f>
        <v/>
      </c>
      <c r="CU207" s="520" t="str">
        <f>IF(AND(_A6="B-767-300ER",'2025'!$I$4="FO",'2025'!$I$2=CU195),'2025DATA'!$N$14,"")</f>
        <v/>
      </c>
    </row>
    <row r="208" spans="16:99" x14ac:dyDescent="0.25">
      <c r="P208" s="940" t="s">
        <v>67</v>
      </c>
      <c r="Q208" s="13" t="s">
        <v>61</v>
      </c>
      <c r="R208" s="518" t="str">
        <f>IF(AND(_A1="B-767-300",'2025'!$I$4="CA",'2025'!$I$2=R195),'2025DATA'!$C$15,"")</f>
        <v/>
      </c>
      <c r="S208" s="518" t="str">
        <f>IF(AND(_A1="B-767-300",'2025'!$I$4="CA",'2025'!$I$2=S195),'2025DATA'!$D$15,"")</f>
        <v/>
      </c>
      <c r="T208" s="518" t="str">
        <f>IF(AND(_A1="B-767-300",'2025'!$I$4="CA",'2025'!$I$2=T195),'2025DATA'!$E$15,"")</f>
        <v/>
      </c>
      <c r="U208" s="518" t="str">
        <f>IF(AND(_A1="B-767-300",'2025'!$I$4="CA",'2025'!$I$2=U195),'2025DATA'!$F$15,"")</f>
        <v/>
      </c>
      <c r="V208" s="518" t="str">
        <f>IF(AND(_A1="B-767-300",'2025'!$I$4="CA",'2025'!$I$2=V195),'2025DATA'!$G$15,"")</f>
        <v/>
      </c>
      <c r="W208" s="518" t="str">
        <f>IF(AND(_A1="B-767-300",'2025'!$I$4="CA",'2025'!$I$2=W195),'2025DATA'!$H$15,"")</f>
        <v/>
      </c>
      <c r="X208" s="518" t="str">
        <f>IF(AND(_A1="B-767-300",'2025'!$I$4="CA",'2025'!$I$2=X195),'2025DATA'!$I$15,"")</f>
        <v/>
      </c>
      <c r="Y208" s="518" t="str">
        <f>IF(AND(_A1="B-767-300",'2025'!$I$4="CA",'2025'!$I$2=Y195),'2025DATA'!$J$15,"")</f>
        <v/>
      </c>
      <c r="Z208" s="518" t="str">
        <f>IF(AND(_A1="B-767-300",'2025'!$I$4="CA",'2025'!$I$2=Z195),'2025DATA'!$K$15,"")</f>
        <v/>
      </c>
      <c r="AA208" s="518" t="str">
        <f>IF(AND(_A1="B-767-300",'2025'!$I$4="CA",'2025'!$I$2=AA195),'2025DATA'!$L$15,"")</f>
        <v/>
      </c>
      <c r="AB208" s="518" t="str">
        <f>IF(AND(_A1="B-767-300",'2025'!$I$4="CA",'2025'!$I$2=AB195),'2025DATA'!$M$15,"")</f>
        <v/>
      </c>
      <c r="AC208" s="520" t="str">
        <f>IF(AND(_A1="B-767-300",'2025'!$I$4="CA",'2025'!$I$2=AC195),'2025DATA'!$N$15,"")</f>
        <v/>
      </c>
      <c r="AD208" s="940" t="s">
        <v>67</v>
      </c>
      <c r="AE208" s="13" t="s">
        <v>61</v>
      </c>
      <c r="AF208" s="518" t="str">
        <f>IF(AND(_A2="B-767-300",'2025'!$I$4="CA",'2025'!$I$2=AF195),'2025DATA'!$C$15,"")</f>
        <v/>
      </c>
      <c r="AG208" s="518" t="str">
        <f>IF(AND(_A2="B-767-300",'2025'!$I$4="CA",'2025'!$I$2=AG195),'2025DATA'!$D$15,"")</f>
        <v/>
      </c>
      <c r="AH208" s="518" t="str">
        <f>IF(AND(_A2="B-767-300",'2025'!$I$4="CA",'2025'!$I$2=AH195),'2025DATA'!$E$15,"")</f>
        <v/>
      </c>
      <c r="AI208" s="518" t="str">
        <f>IF(AND(_A2="B-767-300",'2025'!$I$4="CA",'2025'!$I$2=AI195),'2025DATA'!$F$15,"")</f>
        <v/>
      </c>
      <c r="AJ208" s="518" t="str">
        <f>IF(AND(_A2="B-767-300",'2025'!$I$4="CA",'2025'!$I$2=AJ195),'2025DATA'!$G$15,"")</f>
        <v/>
      </c>
      <c r="AK208" s="518" t="str">
        <f>IF(AND(_A2="B-767-300",'2025'!$I$4="CA",'2025'!$I$2=AK195),'2025DATA'!$H$15,"")</f>
        <v/>
      </c>
      <c r="AL208" s="518" t="str">
        <f>IF(AND(_A2="B-767-300",'2025'!$I$4="CA",'2025'!$I$2=AL195),'2025DATA'!$I$15,"")</f>
        <v/>
      </c>
      <c r="AM208" s="518" t="str">
        <f>IF(AND(_A2="B-767-300",'2025'!$I$4="CA",'2025'!$I$2=AM195),'2025DATA'!$J$15,"")</f>
        <v/>
      </c>
      <c r="AN208" s="518" t="str">
        <f>IF(AND(_A2="B-767-300",'2025'!$I$4="CA",'2025'!$I$2=AN195),'2025DATA'!$K$15,"")</f>
        <v/>
      </c>
      <c r="AO208" s="518" t="str">
        <f>IF(AND(_A2="B-767-300",'2025'!$I$4="CA",'2025'!$I$2=AO195),'2025DATA'!$L$15,"")</f>
        <v/>
      </c>
      <c r="AP208" s="518" t="str">
        <f>IF(AND(_A2="B-767-300",'2025'!$I$4="CA",'2025'!$I$2=AP195),'2025DATA'!$M$15,"")</f>
        <v/>
      </c>
      <c r="AQ208" s="520" t="str">
        <f>IF(AND(_A2="B-767-300",'2025'!$I$4="CA",'2025'!$I$2=AQ195),'2025DATA'!$N$15,"")</f>
        <v/>
      </c>
      <c r="AR208" s="940" t="s">
        <v>67</v>
      </c>
      <c r="AS208" s="13" t="s">
        <v>61</v>
      </c>
      <c r="AT208" s="518" t="str">
        <f>IF(AND(_A3="B-767-300",'2025'!$I$4="CA",'2025'!$I$2=AT195),'2025DATA'!$C$15,"")</f>
        <v/>
      </c>
      <c r="AU208" s="518" t="str">
        <f>IF(AND(_A3="B-767-300",'2025'!$I$4="CA",'2025'!$I$2=AU195),'2025DATA'!$D$15,"")</f>
        <v/>
      </c>
      <c r="AV208" s="518" t="str">
        <f>IF(AND(_A3="B-767-300",'2025'!$I$4="CA",'2025'!$I$2=AV195),'2025DATA'!$E$15,"")</f>
        <v/>
      </c>
      <c r="AW208" s="518" t="str">
        <f>IF(AND(_A3="B-767-300",'2025'!$I$4="CA",'2025'!$I$2=AW195),'2025DATA'!$F$15,"")</f>
        <v/>
      </c>
      <c r="AX208" s="518" t="str">
        <f>IF(AND(_A3="B-767-300",'2025'!$I$4="CA",'2025'!$I$2=AX195),'2025DATA'!$G$15,"")</f>
        <v/>
      </c>
      <c r="AY208" s="518" t="str">
        <f>IF(AND(_A3="B-767-300",'2025'!$I$4="CA",'2025'!$I$2=AY195),'2025DATA'!$H$15,"")</f>
        <v/>
      </c>
      <c r="AZ208" s="518" t="str">
        <f>IF(AND(_A3="B-767-300",'2025'!$I$4="CA",'2025'!$I$2=AZ195),'2025DATA'!$I$15,"")</f>
        <v/>
      </c>
      <c r="BA208" s="518" t="str">
        <f>IF(AND(_A3="B-767-300",'2025'!$I$4="CA",'2025'!$I$2=BA195),'2025DATA'!$J$15,"")</f>
        <v/>
      </c>
      <c r="BB208" s="518" t="str">
        <f>IF(AND(_A3="B-767-300",'2025'!$I$4="CA",'2025'!$I$2=BB195),'2025DATA'!$K$15,"")</f>
        <v/>
      </c>
      <c r="BC208" s="518" t="str">
        <f>IF(AND(_A3="B-767-300",'2025'!$I$4="CA",'2025'!$I$2=BC195),'2025DATA'!$L$15,"")</f>
        <v/>
      </c>
      <c r="BD208" s="518" t="str">
        <f>IF(AND(_A3="B-767-300",'2025'!$I$4="CA",'2025'!$I$2=BD195),'2025DATA'!$M$15,"")</f>
        <v/>
      </c>
      <c r="BE208" s="520" t="str">
        <f>IF(AND(_A3="B-767-300",'2025'!$I$4="CA",'2025'!$I$2=BE195),'2025DATA'!$N$15,"")</f>
        <v/>
      </c>
      <c r="BF208" s="940" t="s">
        <v>67</v>
      </c>
      <c r="BG208" s="13" t="s">
        <v>61</v>
      </c>
      <c r="BH208" s="518" t="str">
        <f>IF(AND(_A4="B-767-300",'2025'!$I$4="CA",'2025'!$I$2=BH195),'2025DATA'!$C$15,"")</f>
        <v/>
      </c>
      <c r="BI208" s="518" t="str">
        <f>IF(AND(_A4="B-767-300",'2025'!$I$4="CA",'2025'!$I$2=BI195),'2025DATA'!$D$15,"")</f>
        <v/>
      </c>
      <c r="BJ208" s="518" t="str">
        <f>IF(AND(_A4="B-767-300",'2025'!$I$4="CA",'2025'!$I$2=BJ195),'2025DATA'!$E$15,"")</f>
        <v/>
      </c>
      <c r="BK208" s="518" t="str">
        <f>IF(AND(_A4="B-767-300",'2025'!$I$4="CA",'2025'!$I$2=BK195),'2025DATA'!$F$15,"")</f>
        <v/>
      </c>
      <c r="BL208" s="518" t="str">
        <f>IF(AND(_A4="B-767-300",'2025'!$I$4="CA",'2025'!$I$2=BL195),'2025DATA'!$G$15,"")</f>
        <v/>
      </c>
      <c r="BM208" s="518" t="str">
        <f>IF(AND(_A4="B-767-300",'2025'!$I$4="CA",'2025'!$I$2=BM195),'2025DATA'!$H$15,"")</f>
        <v/>
      </c>
      <c r="BN208" s="518" t="str">
        <f>IF(AND(_A4="B-767-300",'2025'!$I$4="CA",'2025'!$I$2=BN195),'2025DATA'!$I$15,"")</f>
        <v/>
      </c>
      <c r="BO208" s="518" t="str">
        <f>IF(AND(_A4="B-767-300",'2025'!$I$4="CA",'2025'!$I$2=BO195),'2025DATA'!$J$15,"")</f>
        <v/>
      </c>
      <c r="BP208" s="518" t="str">
        <f>IF(AND(_A4="B-767-300",'2025'!$I$4="CA",'2025'!$I$2=BP195),'2025DATA'!$K$15,"")</f>
        <v/>
      </c>
      <c r="BQ208" s="518" t="str">
        <f>IF(AND(_A4="B-767-300",'2025'!$I$4="CA",'2025'!$I$2=BQ195),'2025DATA'!$L$15,"")</f>
        <v/>
      </c>
      <c r="BR208" s="518" t="str">
        <f>IF(AND(_A4="B-767-300",'2025'!$I$4="CA",'2025'!$I$2=BR195),'2025DATA'!$M$15,"")</f>
        <v/>
      </c>
      <c r="BS208" s="520" t="str">
        <f>IF(AND(_A4="B-767-300",'2025'!$I$4="CA",'2025'!$I$2=BS195),'2025DATA'!$N$15,"")</f>
        <v/>
      </c>
      <c r="BT208" s="940" t="s">
        <v>67</v>
      </c>
      <c r="BU208" s="13" t="s">
        <v>61</v>
      </c>
      <c r="BV208" s="518" t="str">
        <f>IF(AND(_A5="B-767-300",'2025'!$I$4="CA",'2025'!$I$2=BV195),'2025DATA'!$C$15,"")</f>
        <v/>
      </c>
      <c r="BW208" s="518" t="str">
        <f>IF(AND(_A5="B-767-300",'2025'!$I$4="CA",'2025'!$I$2=BW195),'2025DATA'!$D$15,"")</f>
        <v/>
      </c>
      <c r="BX208" s="518" t="str">
        <f>IF(AND(_A5="B-767-300",'2025'!$I$4="CA",'2025'!$I$2=BX195),'2025DATA'!$E$15,"")</f>
        <v/>
      </c>
      <c r="BY208" s="518" t="str">
        <f>IF(AND(_A5="B-767-300",'2025'!$I$4="CA",'2025'!$I$2=BY195),'2025DATA'!$F$15,"")</f>
        <v/>
      </c>
      <c r="BZ208" s="518" t="str">
        <f>IF(AND(_A5="B-767-300",'2025'!$I$4="CA",'2025'!$I$2=BZ195),'2025DATA'!$G$15,"")</f>
        <v/>
      </c>
      <c r="CA208" s="518" t="str">
        <f>IF(AND(_A5="B-767-300",'2025'!$I$4="CA",'2025'!$I$2=CA195),'2025DATA'!$H$15,"")</f>
        <v/>
      </c>
      <c r="CB208" s="518" t="str">
        <f>IF(AND(_A5="B-767-300",'2025'!$I$4="CA",'2025'!$I$2=CB195),'2025DATA'!$I$15,"")</f>
        <v/>
      </c>
      <c r="CC208" s="518" t="str">
        <f>IF(AND(_A5="B-767-300",'2025'!$I$4="CA",'2025'!$I$2=CC195),'2025DATA'!$J$15,"")</f>
        <v/>
      </c>
      <c r="CD208" s="518" t="str">
        <f>IF(AND(_A5="B-767-300",'2025'!$I$4="CA",'2025'!$I$2=CD195),'2025DATA'!$K$15,"")</f>
        <v/>
      </c>
      <c r="CE208" s="518" t="str">
        <f>IF(AND(_A5="B-767-300",'2025'!$I$4="CA",'2025'!$I$2=CE195),'2025DATA'!$L$15,"")</f>
        <v/>
      </c>
      <c r="CF208" s="518" t="str">
        <f>IF(AND(_A5="B-767-300",'2025'!$I$4="CA",'2025'!$I$2=CF195),'2025DATA'!$M$15,"")</f>
        <v/>
      </c>
      <c r="CG208" s="520" t="str">
        <f>IF(AND(_A5="B-767-300",'2025'!$I$4="CA",'2025'!$I$2=CG195),'2025DATA'!$N$15,"")</f>
        <v/>
      </c>
      <c r="CH208" s="940" t="s">
        <v>67</v>
      </c>
      <c r="CI208" s="13" t="s">
        <v>61</v>
      </c>
      <c r="CJ208" s="518" t="str">
        <f>IF(AND(_A6="B-767-300",'2025'!$I$4="CA",'2025'!$I$2=CJ195),'2025DATA'!$C$15,"")</f>
        <v/>
      </c>
      <c r="CK208" s="518" t="str">
        <f>IF(AND(_A6="B-767-300",'2025'!$I$4="CA",'2025'!$I$2=CK195),'2025DATA'!$D$15,"")</f>
        <v/>
      </c>
      <c r="CL208" s="518" t="str">
        <f>IF(AND(_A6="B-767-300",'2025'!$I$4="CA",'2025'!$I$2=CL195),'2025DATA'!$E$15,"")</f>
        <v/>
      </c>
      <c r="CM208" s="518" t="str">
        <f>IF(AND(_A6="B-767-300",'2025'!$I$4="CA",'2025'!$I$2=CM195),'2025DATA'!$F$15,"")</f>
        <v/>
      </c>
      <c r="CN208" s="518" t="str">
        <f>IF(AND(_A6="B-767-300",'2025'!$I$4="CA",'2025'!$I$2=CN195),'2025DATA'!$G$15,"")</f>
        <v/>
      </c>
      <c r="CO208" s="518" t="str">
        <f>IF(AND(_A6="B-767-300",'2025'!$I$4="CA",'2025'!$I$2=CO195),'2025DATA'!$H$15,"")</f>
        <v/>
      </c>
      <c r="CP208" s="518" t="str">
        <f>IF(AND(_A6="B-767-300",'2025'!$I$4="CA",'2025'!$I$2=CP195),'2025DATA'!$I$15,"")</f>
        <v/>
      </c>
      <c r="CQ208" s="518" t="str">
        <f>IF(AND(_A6="B-767-300",'2025'!$I$4="CA",'2025'!$I$2=CQ195),'2025DATA'!$J$15,"")</f>
        <v/>
      </c>
      <c r="CR208" s="518" t="str">
        <f>IF(AND(_A6="B-767-300",'2025'!$I$4="CA",'2025'!$I$2=CR195),'2025DATA'!$K$15,"")</f>
        <v/>
      </c>
      <c r="CS208" s="518" t="str">
        <f>IF(AND(_A6="B-767-300",'2025'!$I$4="CA",'2025'!$I$2=CS195),'2025DATA'!$L$15,"")</f>
        <v/>
      </c>
      <c r="CT208" s="518" t="str">
        <f>IF(AND(_A6="B-767-300",'2025'!$I$4="CA",'2025'!$I$2=CT195),'2025DATA'!$M$15,"")</f>
        <v/>
      </c>
      <c r="CU208" s="520" t="str">
        <f>IF(AND(_A6="B-767-300",'2025'!$I$4="CA",'2025'!$I$2=CU195),'2025DATA'!$N$15,"")</f>
        <v/>
      </c>
    </row>
    <row r="209" spans="16:99" x14ac:dyDescent="0.25">
      <c r="P209" s="940"/>
      <c r="Q209" s="13" t="s">
        <v>62</v>
      </c>
      <c r="R209" s="518" t="str">
        <f>IF(AND(_A1="B-767-300",'2025'!$I$4="FO",'2025'!$I$2=R195),'2025DATA'!$C$16,"")</f>
        <v/>
      </c>
      <c r="S209" s="518" t="str">
        <f>IF(AND(_A1="B-767-300",'2025'!$I$4="FO",'2025'!$I$2=S195),'2025DATA'!$D$16,"")</f>
        <v/>
      </c>
      <c r="T209" s="518" t="str">
        <f>IF(AND(_A1="B-767-300",'2025'!$I$4="FO",'2025'!$I$2=T195),'2025DATA'!$E$16,"")</f>
        <v/>
      </c>
      <c r="U209" s="518" t="str">
        <f>IF(AND(_A1="B-767-300",'2025'!$I$4="FO",'2025'!$I$2=U195),'2025DATA'!$F$16,"")</f>
        <v/>
      </c>
      <c r="V209" s="518" t="str">
        <f>IF(AND(_A1="B-767-300",'2025'!$I$4="FO",'2025'!$I$2=V195),'2025DATA'!$G$16,"")</f>
        <v/>
      </c>
      <c r="W209" s="518" t="str">
        <f>IF(AND(_A1="B-767-300",'2025'!$I$4="FO",'2025'!$I$2=W195),'2025DATA'!$H$16,"")</f>
        <v/>
      </c>
      <c r="X209" s="518" t="str">
        <f>IF(AND(_A1="B-767-300",'2025'!$I$4="FO",'2025'!$I$2=X195),'2025DATA'!$I$16,"")</f>
        <v/>
      </c>
      <c r="Y209" s="518" t="str">
        <f>IF(AND(_A1="B-767-300",'2025'!$I$4="FO",'2025'!$I$2=Y195),'2025DATA'!$J$16,"")</f>
        <v/>
      </c>
      <c r="Z209" s="518" t="str">
        <f>IF(AND(_A1="B-767-300",'2025'!$I$4="FO",'2025'!$I$2=Z195),'2025DATA'!$K$16,"")</f>
        <v/>
      </c>
      <c r="AA209" s="518" t="str">
        <f>IF(AND(_A1="B-767-300",'2025'!$I$4="FO",'2025'!$I$2=AA195),'2025DATA'!$L$16,"")</f>
        <v/>
      </c>
      <c r="AB209" s="518" t="str">
        <f>IF(AND(_A1="B-767-300",'2025'!$I$4="FO",'2025'!$I$2=AB195),'2025DATA'!$M$16,"")</f>
        <v/>
      </c>
      <c r="AC209" s="520" t="str">
        <f>IF(AND(_A1="B-767-300",'2025'!$I$4="FO",'2025'!$I$2=AC195),'2025DATA'!$N$16,"")</f>
        <v/>
      </c>
      <c r="AD209" s="940"/>
      <c r="AE209" s="13" t="s">
        <v>62</v>
      </c>
      <c r="AF209" s="518" t="str">
        <f>IF(AND(_A2="B-767-300",'2025'!$I$4="FO",'2025'!$I$2=AF195),'2025DATA'!$C$16,"")</f>
        <v/>
      </c>
      <c r="AG209" s="518" t="str">
        <f>IF(AND(_A2="B-767-300",'2025'!$I$4="FO",'2025'!$I$2=AG195),'2025DATA'!$D$16,"")</f>
        <v/>
      </c>
      <c r="AH209" s="518" t="str">
        <f>IF(AND(_A2="B-767-300",'2025'!$I$4="FO",'2025'!$I$2=AH195),'2025DATA'!$E$16,"")</f>
        <v/>
      </c>
      <c r="AI209" s="518" t="str">
        <f>IF(AND(_A2="B-767-300",'2025'!$I$4="FO",'2025'!$I$2=AI195),'2025DATA'!$F$16,"")</f>
        <v/>
      </c>
      <c r="AJ209" s="518" t="str">
        <f>IF(AND(_A2="B-767-300",'2025'!$I$4="FO",'2025'!$I$2=AJ195),'2025DATA'!$G$16,"")</f>
        <v/>
      </c>
      <c r="AK209" s="518" t="str">
        <f>IF(AND(_A2="B-767-300",'2025'!$I$4="FO",'2025'!$I$2=AK195),'2025DATA'!$H$16,"")</f>
        <v/>
      </c>
      <c r="AL209" s="518" t="str">
        <f>IF(AND(_A2="B-767-300",'2025'!$I$4="FO",'2025'!$I$2=AL195),'2025DATA'!$I$16,"")</f>
        <v/>
      </c>
      <c r="AM209" s="518" t="str">
        <f>IF(AND(_A2="B-767-300",'2025'!$I$4="FO",'2025'!$I$2=AM195),'2025DATA'!$J$16,"")</f>
        <v/>
      </c>
      <c r="AN209" s="518" t="str">
        <f>IF(AND(_A2="B-767-300",'2025'!$I$4="FO",'2025'!$I$2=AN195),'2025DATA'!$K$16,"")</f>
        <v/>
      </c>
      <c r="AO209" s="518" t="str">
        <f>IF(AND(_A2="B-767-300",'2025'!$I$4="FO",'2025'!$I$2=AO195),'2025DATA'!$L$16,"")</f>
        <v/>
      </c>
      <c r="AP209" s="518" t="str">
        <f>IF(AND(_A2="B-767-300",'2025'!$I$4="FO",'2025'!$I$2=AP195),'2025DATA'!$M$16,"")</f>
        <v/>
      </c>
      <c r="AQ209" s="520" t="str">
        <f>IF(AND(_A2="B-767-300",'2025'!$I$4="FO",'2025'!$I$2=AQ195),'2025DATA'!$N$16,"")</f>
        <v/>
      </c>
      <c r="AR209" s="940"/>
      <c r="AS209" s="13" t="s">
        <v>62</v>
      </c>
      <c r="AT209" s="518" t="str">
        <f>IF(AND(_A3="B-767-300",'2025'!$I$4="FO",'2025'!$I$2=AT195),'2025DATA'!$C$16,"")</f>
        <v/>
      </c>
      <c r="AU209" s="518" t="str">
        <f>IF(AND(_A3="B-767-300",'2025'!$I$4="FO",'2025'!$I$2=AU195),'2025DATA'!$D$16,"")</f>
        <v/>
      </c>
      <c r="AV209" s="518" t="str">
        <f>IF(AND(_A3="B-767-300",'2025'!$I$4="FO",'2025'!$I$2=AV195),'2025DATA'!$E$16,"")</f>
        <v/>
      </c>
      <c r="AW209" s="518" t="str">
        <f>IF(AND(_A3="B-767-300",'2025'!$I$4="FO",'2025'!$I$2=AW195),'2025DATA'!$F$16,"")</f>
        <v/>
      </c>
      <c r="AX209" s="518" t="str">
        <f>IF(AND(_A3="B-767-300",'2025'!$I$4="FO",'2025'!$I$2=AX195),'2025DATA'!$G$16,"")</f>
        <v/>
      </c>
      <c r="AY209" s="518" t="str">
        <f>IF(AND(_A3="B-767-300",'2025'!$I$4="FO",'2025'!$I$2=AY195),'2025DATA'!$H$16,"")</f>
        <v/>
      </c>
      <c r="AZ209" s="518" t="str">
        <f>IF(AND(_A3="B-767-300",'2025'!$I$4="FO",'2025'!$I$2=AZ195),'2025DATA'!$I$16,"")</f>
        <v/>
      </c>
      <c r="BA209" s="518" t="str">
        <f>IF(AND(_A3="B-767-300",'2025'!$I$4="FO",'2025'!$I$2=BA195),'2025DATA'!$J$16,"")</f>
        <v/>
      </c>
      <c r="BB209" s="518" t="str">
        <f>IF(AND(_A3="B-767-300",'2025'!$I$4="FO",'2025'!$I$2=BB195),'2025DATA'!$K$16,"")</f>
        <v/>
      </c>
      <c r="BC209" s="518" t="str">
        <f>IF(AND(_A3="B-767-300",'2025'!$I$4="FO",'2025'!$I$2=BC195),'2025DATA'!$L$16,"")</f>
        <v/>
      </c>
      <c r="BD209" s="518" t="str">
        <f>IF(AND(_A3="B-767-300",'2025'!$I$4="FO",'2025'!$I$2=BD195),'2025DATA'!$M$16,"")</f>
        <v/>
      </c>
      <c r="BE209" s="520" t="str">
        <f>IF(AND(_A3="B-767-300",'2025'!$I$4="FO",'2025'!$I$2=BE195),'2025DATA'!$N$16,"")</f>
        <v/>
      </c>
      <c r="BF209" s="940"/>
      <c r="BG209" s="13" t="s">
        <v>62</v>
      </c>
      <c r="BH209" s="518" t="str">
        <f>IF(AND(_A4="B-767-300",'2025'!$I$4="FO",'2025'!$I$2=BH195),'2025DATA'!$C$16,"")</f>
        <v/>
      </c>
      <c r="BI209" s="518" t="str">
        <f>IF(AND(_A4="B-767-300",'2025'!$I$4="FO",'2025'!$I$2=BI195),'2025DATA'!$D$16,"")</f>
        <v/>
      </c>
      <c r="BJ209" s="518" t="str">
        <f>IF(AND(_A4="B-767-300",'2025'!$I$4="FO",'2025'!$I$2=BJ195),'2025DATA'!$E$16,"")</f>
        <v/>
      </c>
      <c r="BK209" s="518" t="str">
        <f>IF(AND(_A4="B-767-300",'2025'!$I$4="FO",'2025'!$I$2=BK195),'2025DATA'!$F$16,"")</f>
        <v/>
      </c>
      <c r="BL209" s="518" t="str">
        <f>IF(AND(_A4="B-767-300",'2025'!$I$4="FO",'2025'!$I$2=BL195),'2025DATA'!$G$16,"")</f>
        <v/>
      </c>
      <c r="BM209" s="518" t="str">
        <f>IF(AND(_A4="B-767-300",'2025'!$I$4="FO",'2025'!$I$2=BM195),'2025DATA'!$H$16,"")</f>
        <v/>
      </c>
      <c r="BN209" s="518" t="str">
        <f>IF(AND(_A4="B-767-300",'2025'!$I$4="FO",'2025'!$I$2=BN195),'2025DATA'!$I$16,"")</f>
        <v/>
      </c>
      <c r="BO209" s="518" t="str">
        <f>IF(AND(_A4="B-767-300",'2025'!$I$4="FO",'2025'!$I$2=BO195),'2025DATA'!$J$16,"")</f>
        <v/>
      </c>
      <c r="BP209" s="518" t="str">
        <f>IF(AND(_A4="B-767-300",'2025'!$I$4="FO",'2025'!$I$2=BP195),'2025DATA'!$K$16,"")</f>
        <v/>
      </c>
      <c r="BQ209" s="518" t="str">
        <f>IF(AND(_A4="B-767-300",'2025'!$I$4="FO",'2025'!$I$2=BQ195),'2025DATA'!$L$16,"")</f>
        <v/>
      </c>
      <c r="BR209" s="518" t="str">
        <f>IF(AND(_A4="B-767-300",'2025'!$I$4="FO",'2025'!$I$2=BR195),'2025DATA'!$M$16,"")</f>
        <v/>
      </c>
      <c r="BS209" s="520" t="str">
        <f>IF(AND(_A4="B-767-300",'2025'!$I$4="FO",'2025'!$I$2=BS195),'2025DATA'!$N$16,"")</f>
        <v/>
      </c>
      <c r="BT209" s="940"/>
      <c r="BU209" s="13" t="s">
        <v>62</v>
      </c>
      <c r="BV209" s="518" t="str">
        <f>IF(AND(_A5="B-767-300",'2025'!$I$4="FO",'2025'!$I$2=BV195),'2025DATA'!$C$16,"")</f>
        <v/>
      </c>
      <c r="BW209" s="518" t="str">
        <f>IF(AND(_A5="B-767-300",'2025'!$I$4="FO",'2025'!$I$2=BW195),'2025DATA'!$D$16,"")</f>
        <v/>
      </c>
      <c r="BX209" s="518" t="str">
        <f>IF(AND(_A5="B-767-300",'2025'!$I$4="FO",'2025'!$I$2=BX195),'2025DATA'!$E$16,"")</f>
        <v/>
      </c>
      <c r="BY209" s="518" t="str">
        <f>IF(AND(_A5="B-767-300",'2025'!$I$4="FO",'2025'!$I$2=BY195),'2025DATA'!$F$16,"")</f>
        <v/>
      </c>
      <c r="BZ209" s="518" t="str">
        <f>IF(AND(_A5="B-767-300",'2025'!$I$4="FO",'2025'!$I$2=BZ195),'2025DATA'!$G$16,"")</f>
        <v/>
      </c>
      <c r="CA209" s="518" t="str">
        <f>IF(AND(_A5="B-767-300",'2025'!$I$4="FO",'2025'!$I$2=CA195),'2025DATA'!$H$16,"")</f>
        <v/>
      </c>
      <c r="CB209" s="518" t="str">
        <f>IF(AND(_A5="B-767-300",'2025'!$I$4="FO",'2025'!$I$2=CB195),'2025DATA'!$I$16,"")</f>
        <v/>
      </c>
      <c r="CC209" s="518" t="str">
        <f>IF(AND(_A5="B-767-300",'2025'!$I$4="FO",'2025'!$I$2=CC195),'2025DATA'!$J$16,"")</f>
        <v/>
      </c>
      <c r="CD209" s="518" t="str">
        <f>IF(AND(_A5="B-767-300",'2025'!$I$4="FO",'2025'!$I$2=CD195),'2025DATA'!$K$16,"")</f>
        <v/>
      </c>
      <c r="CE209" s="518" t="str">
        <f>IF(AND(_A5="B-767-300",'2025'!$I$4="FO",'2025'!$I$2=CE195),'2025DATA'!$L$16,"")</f>
        <v/>
      </c>
      <c r="CF209" s="518" t="str">
        <f>IF(AND(_A5="B-767-300",'2025'!$I$4="FO",'2025'!$I$2=CF195),'2025DATA'!$M$16,"")</f>
        <v/>
      </c>
      <c r="CG209" s="520" t="str">
        <f>IF(AND(_A5="B-767-300",'2025'!$I$4="FO",'2025'!$I$2=CG195),'2025DATA'!$N$16,"")</f>
        <v/>
      </c>
      <c r="CH209" s="940"/>
      <c r="CI209" s="13" t="s">
        <v>62</v>
      </c>
      <c r="CJ209" s="518" t="str">
        <f>IF(AND(_A6="B-767-300",'2025'!$I$4="FO",'2025'!$I$2=CJ195),'2025DATA'!$C$16,"")</f>
        <v/>
      </c>
      <c r="CK209" s="518" t="str">
        <f>IF(AND(_A6="B-767-300",'2025'!$I$4="FO",'2025'!$I$2=CK195),'2025DATA'!$D$16,"")</f>
        <v/>
      </c>
      <c r="CL209" s="518" t="str">
        <f>IF(AND(_A6="B-767-300",'2025'!$I$4="FO",'2025'!$I$2=CL195),'2025DATA'!$E$16,"")</f>
        <v/>
      </c>
      <c r="CM209" s="518" t="str">
        <f>IF(AND(_A6="B-767-300",'2025'!$I$4="FO",'2025'!$I$2=CM195),'2025DATA'!$F$16,"")</f>
        <v/>
      </c>
      <c r="CN209" s="518" t="str">
        <f>IF(AND(_A6="B-767-300",'2025'!$I$4="FO",'2025'!$I$2=CN195),'2025DATA'!$G$16,"")</f>
        <v/>
      </c>
      <c r="CO209" s="518" t="str">
        <f>IF(AND(_A6="B-767-300",'2025'!$I$4="FO",'2025'!$I$2=CO195),'2025DATA'!$H$16,"")</f>
        <v/>
      </c>
      <c r="CP209" s="518" t="str">
        <f>IF(AND(_A6="B-767-300",'2025'!$I$4="FO",'2025'!$I$2=CP195),'2025DATA'!$I$16,"")</f>
        <v/>
      </c>
      <c r="CQ209" s="518" t="str">
        <f>IF(AND(_A6="B-767-300",'2025'!$I$4="FO",'2025'!$I$2=CQ195),'2025DATA'!$J$16,"")</f>
        <v/>
      </c>
      <c r="CR209" s="518" t="str">
        <f>IF(AND(_A6="B-767-300",'2025'!$I$4="FO",'2025'!$I$2=CR195),'2025DATA'!$K$16,"")</f>
        <v/>
      </c>
      <c r="CS209" s="518" t="str">
        <f>IF(AND(_A6="B-767-300",'2025'!$I$4="FO",'2025'!$I$2=CS195),'2025DATA'!$L$16,"")</f>
        <v/>
      </c>
      <c r="CT209" s="518" t="str">
        <f>IF(AND(_A6="B-767-300",'2025'!$I$4="FO",'2025'!$I$2=CT195),'2025DATA'!$M$16,"")</f>
        <v/>
      </c>
      <c r="CU209" s="520" t="str">
        <f>IF(AND(_A6="B-767-300",'2025'!$I$4="FO",'2025'!$I$2=CU195),'2025DATA'!$N$16,"")</f>
        <v/>
      </c>
    </row>
    <row r="210" spans="16:99" x14ac:dyDescent="0.25">
      <c r="P210" s="940" t="s">
        <v>68</v>
      </c>
      <c r="Q210" s="13" t="s">
        <v>61</v>
      </c>
      <c r="R210" s="518" t="str">
        <f>IF(AND(_A1="B-767-200",'2025'!$I$4="CA",'2025'!$I$2=R195),'2025DATA'!$C$17,"")</f>
        <v/>
      </c>
      <c r="S210" s="518" t="str">
        <f>IF(AND(_A1="B-767-200",'2025'!$I$4="CA",'2025'!$I$2=S195),'2025DATA'!$D$17,"")</f>
        <v/>
      </c>
      <c r="T210" s="518" t="str">
        <f>IF(AND(_A1="B-767-200",'2025'!$I$4="CA",'2025'!$I$2=T195),'2025DATA'!$E$17,"")</f>
        <v/>
      </c>
      <c r="U210" s="518" t="str">
        <f>IF(AND(_A1="B-767-200",'2025'!$I$4="CA",'2025'!$I$2=U195),'2025DATA'!$F$17,"")</f>
        <v/>
      </c>
      <c r="V210" s="518" t="str">
        <f>IF(AND(_A1="B-767-200",'2025'!$I$4="CA",'2025'!$I$2=V195),'2025DATA'!$G$17,"")</f>
        <v/>
      </c>
      <c r="W210" s="518" t="str">
        <f>IF(AND(_A1="B-767-200",'2025'!$I$4="CA",'2025'!$I$2=W195),'2025DATA'!$H$17,"")</f>
        <v/>
      </c>
      <c r="X210" s="518" t="str">
        <f>IF(AND(_A1="B-767-200",'2025'!$I$4="CA",'2025'!$I$2=X195),'2025DATA'!$I$17,"")</f>
        <v/>
      </c>
      <c r="Y210" s="518" t="str">
        <f>IF(AND(_A1="B-767-200",'2025'!$I$4="CA",'2025'!$I$2=Y195),'2025DATA'!$J$17,"")</f>
        <v/>
      </c>
      <c r="Z210" s="518" t="str">
        <f>IF(AND(_A1="B-767-200",'2025'!$I$4="CA",'2025'!$I$2=Z195),'2025DATA'!$K$17,"")</f>
        <v/>
      </c>
      <c r="AA210" s="518" t="str">
        <f>IF(AND(_A1="B-767-200",'2025'!$I$4="CA",'2025'!$I$2=AA195),'2025DATA'!$L$17,"")</f>
        <v/>
      </c>
      <c r="AB210" s="518" t="str">
        <f>IF(AND(_A1="B-767-200",'2025'!$I$4="CA",'2025'!$I$2=AB195),'2025DATA'!$M$17,"")</f>
        <v/>
      </c>
      <c r="AC210" s="520" t="str">
        <f>IF(AND(_A1="B-767-200",'2025'!$I$4="CA",'2025'!$I$2=AC195),'2025DATA'!$N$17,"")</f>
        <v/>
      </c>
      <c r="AD210" s="940" t="s">
        <v>68</v>
      </c>
      <c r="AE210" s="13" t="s">
        <v>61</v>
      </c>
      <c r="AF210" s="518" t="str">
        <f>IF(AND(_A2="B-767-200",'2025'!$I$4="CA",'2025'!$I$2=AF195),'2025DATA'!$C$17,"")</f>
        <v/>
      </c>
      <c r="AG210" s="518" t="str">
        <f>IF(AND(_A2="B-767-200",'2025'!$I$4="CA",'2025'!$I$2=AG195),'2025DATA'!$D$17,"")</f>
        <v/>
      </c>
      <c r="AH210" s="518" t="str">
        <f>IF(AND(_A2="B-767-200",'2025'!$I$4="CA",'2025'!$I$2=AH195),'2025DATA'!$E$17,"")</f>
        <v/>
      </c>
      <c r="AI210" s="518" t="str">
        <f>IF(AND(_A2="B-767-200",'2025'!$I$4="CA",'2025'!$I$2=AI195),'2025DATA'!$F$17,"")</f>
        <v/>
      </c>
      <c r="AJ210" s="518" t="str">
        <f>IF(AND(_A2="B-767-200",'2025'!$I$4="CA",'2025'!$I$2=AJ195),'2025DATA'!$G$17,"")</f>
        <v/>
      </c>
      <c r="AK210" s="518" t="str">
        <f>IF(AND(_A2="B-767-200",'2025'!$I$4="CA",'2025'!$I$2=AK195),'2025DATA'!$H$17,"")</f>
        <v/>
      </c>
      <c r="AL210" s="518" t="str">
        <f>IF(AND(_A2="B-767-200",'2025'!$I$4="CA",'2025'!$I$2=AL195),'2025DATA'!$I$17,"")</f>
        <v/>
      </c>
      <c r="AM210" s="518" t="str">
        <f>IF(AND(_A2="B-767-200",'2025'!$I$4="CA",'2025'!$I$2=AM195),'2025DATA'!$J$17,"")</f>
        <v/>
      </c>
      <c r="AN210" s="518" t="str">
        <f>IF(AND(_A2="B-767-200",'2025'!$I$4="CA",'2025'!$I$2=AN195),'2025DATA'!$K$17,"")</f>
        <v/>
      </c>
      <c r="AO210" s="518" t="str">
        <f>IF(AND(_A2="B-767-200",'2025'!$I$4="CA",'2025'!$I$2=AO195),'2025DATA'!$L$17,"")</f>
        <v/>
      </c>
      <c r="AP210" s="518" t="str">
        <f>IF(AND(_A2="B-767-200",'2025'!$I$4="CA",'2025'!$I$2=AP195),'2025DATA'!$M$17,"")</f>
        <v/>
      </c>
      <c r="AQ210" s="520" t="str">
        <f>IF(AND(_A2="B-767-200",'2025'!$I$4="CA",'2025'!$I$2=AQ195),'2025DATA'!$N$17,"")</f>
        <v/>
      </c>
      <c r="AR210" s="940" t="s">
        <v>68</v>
      </c>
      <c r="AS210" s="13" t="s">
        <v>61</v>
      </c>
      <c r="AT210" s="518" t="str">
        <f>IF(AND(_A3="B-767-200",'2025'!$I$4="CA",'2025'!$I$2=AT195),'2025DATA'!$C$17,"")</f>
        <v/>
      </c>
      <c r="AU210" s="518" t="str">
        <f>IF(AND(_A3="B-767-200",'2025'!$I$4="CA",'2025'!$I$2=AU195),'2025DATA'!$D$17,"")</f>
        <v/>
      </c>
      <c r="AV210" s="518" t="str">
        <f>IF(AND(_A3="B-767-200",'2025'!$I$4="CA",'2025'!$I$2=AV195),'2025DATA'!$E$17,"")</f>
        <v/>
      </c>
      <c r="AW210" s="518" t="str">
        <f>IF(AND(_A3="B-767-200",'2025'!$I$4="CA",'2025'!$I$2=AW195),'2025DATA'!$F$17,"")</f>
        <v/>
      </c>
      <c r="AX210" s="518" t="str">
        <f>IF(AND(_A3="B-767-200",'2025'!$I$4="CA",'2025'!$I$2=AX195),'2025DATA'!$G$17,"")</f>
        <v/>
      </c>
      <c r="AY210" s="518" t="str">
        <f>IF(AND(_A3="B-767-200",'2025'!$I$4="CA",'2025'!$I$2=AY195),'2025DATA'!$H$17,"")</f>
        <v/>
      </c>
      <c r="AZ210" s="518" t="str">
        <f>IF(AND(_A3="B-767-200",'2025'!$I$4="CA",'2025'!$I$2=AZ195),'2025DATA'!$I$17,"")</f>
        <v/>
      </c>
      <c r="BA210" s="518" t="str">
        <f>IF(AND(_A3="B-767-200",'2025'!$I$4="CA",'2025'!$I$2=BA195),'2025DATA'!$J$17,"")</f>
        <v/>
      </c>
      <c r="BB210" s="518" t="str">
        <f>IF(AND(_A3="B-767-200",'2025'!$I$4="CA",'2025'!$I$2=BB195),'2025DATA'!$K$17,"")</f>
        <v/>
      </c>
      <c r="BC210" s="518" t="str">
        <f>IF(AND(_A3="B-767-200",'2025'!$I$4="CA",'2025'!$I$2=BC195),'2025DATA'!$L$17,"")</f>
        <v/>
      </c>
      <c r="BD210" s="518" t="str">
        <f>IF(AND(_A3="B-767-200",'2025'!$I$4="CA",'2025'!$I$2=BD195),'2025DATA'!$M$17,"")</f>
        <v/>
      </c>
      <c r="BE210" s="520" t="str">
        <f>IF(AND(_A3="B-767-200",'2025'!$I$4="CA",'2025'!$I$2=BE195),'2025DATA'!$N$17,"")</f>
        <v/>
      </c>
      <c r="BF210" s="940" t="s">
        <v>68</v>
      </c>
      <c r="BG210" s="13" t="s">
        <v>61</v>
      </c>
      <c r="BH210" s="518" t="str">
        <f>IF(AND(_A4="B-767-200",'2025'!$I$4="CA",'2025'!$I$2=BH195),'2025DATA'!$C$17,"")</f>
        <v/>
      </c>
      <c r="BI210" s="518" t="str">
        <f>IF(AND(_A4="B-767-200",'2025'!$I$4="CA",'2025'!$I$2=BI195),'2025DATA'!$D$17,"")</f>
        <v/>
      </c>
      <c r="BJ210" s="518" t="str">
        <f>IF(AND(_A4="B-767-200",'2025'!$I$4="CA",'2025'!$I$2=BJ195),'2025DATA'!$E$17,"")</f>
        <v/>
      </c>
      <c r="BK210" s="518" t="str">
        <f>IF(AND(_A4="B-767-200",'2025'!$I$4="CA",'2025'!$I$2=BK195),'2025DATA'!$F$17,"")</f>
        <v/>
      </c>
      <c r="BL210" s="518" t="str">
        <f>IF(AND(_A4="B-767-200",'2025'!$I$4="CA",'2025'!$I$2=BL195),'2025DATA'!$G$17,"")</f>
        <v/>
      </c>
      <c r="BM210" s="518" t="str">
        <f>IF(AND(_A4="B-767-200",'2025'!$I$4="CA",'2025'!$I$2=BM195),'2025DATA'!$H$17,"")</f>
        <v/>
      </c>
      <c r="BN210" s="518" t="str">
        <f>IF(AND(_A4="B-767-200",'2025'!$I$4="CA",'2025'!$I$2=BN195),'2025DATA'!$I$17,"")</f>
        <v/>
      </c>
      <c r="BO210" s="518" t="str">
        <f>IF(AND(_A4="B-767-200",'2025'!$I$4="CA",'2025'!$I$2=BO195),'2025DATA'!$J$17,"")</f>
        <v/>
      </c>
      <c r="BP210" s="518" t="str">
        <f>IF(AND(_A4="B-767-200",'2025'!$I$4="CA",'2025'!$I$2=BP195),'2025DATA'!$K$17,"")</f>
        <v/>
      </c>
      <c r="BQ210" s="518" t="str">
        <f>IF(AND(_A4="B-767-200",'2025'!$I$4="CA",'2025'!$I$2=BQ195),'2025DATA'!$L$17,"")</f>
        <v/>
      </c>
      <c r="BR210" s="518" t="str">
        <f>IF(AND(_A4="B-767-200",'2025'!$I$4="CA",'2025'!$I$2=BR195),'2025DATA'!$M$17,"")</f>
        <v/>
      </c>
      <c r="BS210" s="520" t="str">
        <f>IF(AND(_A4="B-767-200",'2025'!$I$4="CA",'2025'!$I$2=BS195),'2025DATA'!$N$17,"")</f>
        <v/>
      </c>
      <c r="BT210" s="940" t="s">
        <v>68</v>
      </c>
      <c r="BU210" s="13" t="s">
        <v>61</v>
      </c>
      <c r="BV210" s="518" t="str">
        <f>IF(AND(_A5="B-767-200",'2025'!$I$4="CA",'2025'!$I$2=BV195),'2025DATA'!$C$17,"")</f>
        <v/>
      </c>
      <c r="BW210" s="518" t="str">
        <f>IF(AND(_A5="B-767-200",'2025'!$I$4="CA",'2025'!$I$2=BW195),'2025DATA'!$D$17,"")</f>
        <v/>
      </c>
      <c r="BX210" s="518" t="str">
        <f>IF(AND(_A5="B-767-200",'2025'!$I$4="CA",'2025'!$I$2=BX195),'2025DATA'!$E$17,"")</f>
        <v/>
      </c>
      <c r="BY210" s="518" t="str">
        <f>IF(AND(_A5="B-767-200",'2025'!$I$4="CA",'2025'!$I$2=BY195),'2025DATA'!$F$17,"")</f>
        <v/>
      </c>
      <c r="BZ210" s="518" t="str">
        <f>IF(AND(_A5="B-767-200",'2025'!$I$4="CA",'2025'!$I$2=BZ195),'2025DATA'!$G$17,"")</f>
        <v/>
      </c>
      <c r="CA210" s="518" t="str">
        <f>IF(AND(_A5="B-767-200",'2025'!$I$4="CA",'2025'!$I$2=CA195),'2025DATA'!$H$17,"")</f>
        <v/>
      </c>
      <c r="CB210" s="518" t="str">
        <f>IF(AND(_A5="B-767-200",'2025'!$I$4="CA",'2025'!$I$2=CB195),'2025DATA'!$I$17,"")</f>
        <v/>
      </c>
      <c r="CC210" s="518" t="str">
        <f>IF(AND(_A5="B-767-200",'2025'!$I$4="CA",'2025'!$I$2=CC195),'2025DATA'!$J$17,"")</f>
        <v/>
      </c>
      <c r="CD210" s="518" t="str">
        <f>IF(AND(_A5="B-767-200",'2025'!$I$4="CA",'2025'!$I$2=CD195),'2025DATA'!$K$17,"")</f>
        <v/>
      </c>
      <c r="CE210" s="518" t="str">
        <f>IF(AND(_A5="B-767-200",'2025'!$I$4="CA",'2025'!$I$2=CE195),'2025DATA'!$L$17,"")</f>
        <v/>
      </c>
      <c r="CF210" s="518" t="str">
        <f>IF(AND(_A5="B-767-200",'2025'!$I$4="CA",'2025'!$I$2=CF195),'2025DATA'!$M$17,"")</f>
        <v/>
      </c>
      <c r="CG210" s="520" t="str">
        <f>IF(AND(_A5="B-767-200",'2025'!$I$4="CA",'2025'!$I$2=CG195),'2025DATA'!$N$17,"")</f>
        <v/>
      </c>
      <c r="CH210" s="940" t="s">
        <v>68</v>
      </c>
      <c r="CI210" s="13" t="s">
        <v>61</v>
      </c>
      <c r="CJ210" s="518" t="str">
        <f>IF(AND(_A6="B-767-200",'2025'!$I$4="CA",'2025'!$I$2=CJ195),'2025DATA'!$C$17,"")</f>
        <v/>
      </c>
      <c r="CK210" s="518" t="str">
        <f>IF(AND(_A6="B-767-200",'2025'!$I$4="CA",'2025'!$I$2=CK195),'2025DATA'!$D$17,"")</f>
        <v/>
      </c>
      <c r="CL210" s="518" t="str">
        <f>IF(AND(_A6="B-767-200",'2025'!$I$4="CA",'2025'!$I$2=CL195),'2025DATA'!$E$17,"")</f>
        <v/>
      </c>
      <c r="CM210" s="518" t="str">
        <f>IF(AND(_A6="B-767-200",'2025'!$I$4="CA",'2025'!$I$2=CM195),'2025DATA'!$F$17,"")</f>
        <v/>
      </c>
      <c r="CN210" s="518" t="str">
        <f>IF(AND(_A6="B-767-200",'2025'!$I$4="CA",'2025'!$I$2=CN195),'2025DATA'!$G$17,"")</f>
        <v/>
      </c>
      <c r="CO210" s="518" t="str">
        <f>IF(AND(_A6="B-767-200",'2025'!$I$4="CA",'2025'!$I$2=CO195),'2025DATA'!$H$17,"")</f>
        <v/>
      </c>
      <c r="CP210" s="518" t="str">
        <f>IF(AND(_A6="B-767-200",'2025'!$I$4="CA",'2025'!$I$2=CP195),'2025DATA'!$I$17,"")</f>
        <v/>
      </c>
      <c r="CQ210" s="518" t="str">
        <f>IF(AND(_A6="B-767-200",'2025'!$I$4="CA",'2025'!$I$2=CQ195),'2025DATA'!$J$17,"")</f>
        <v/>
      </c>
      <c r="CR210" s="518" t="str">
        <f>IF(AND(_A6="B-767-200",'2025'!$I$4="CA",'2025'!$I$2=CR195),'2025DATA'!$K$17,"")</f>
        <v/>
      </c>
      <c r="CS210" s="518" t="str">
        <f>IF(AND(_A6="B-767-200",'2025'!$I$4="CA",'2025'!$I$2=CS195),'2025DATA'!$L$17,"")</f>
        <v/>
      </c>
      <c r="CT210" s="518" t="str">
        <f>IF(AND(_A6="B-767-200",'2025'!$I$4="CA",'2025'!$I$2=CT195),'2025DATA'!$M$17,"")</f>
        <v/>
      </c>
      <c r="CU210" s="520" t="str">
        <f>IF(AND(_A6="B-767-200",'2025'!$I$4="CA",'2025'!$I$2=CU195),'2025DATA'!$N$17,"")</f>
        <v/>
      </c>
    </row>
    <row r="211" spans="16:99" x14ac:dyDescent="0.25">
      <c r="P211" s="940"/>
      <c r="Q211" s="13" t="s">
        <v>62</v>
      </c>
      <c r="R211" s="518" t="str">
        <f>IF(AND(_A1="B-767-200",'2025'!$I$4="FO",'2025'!$I$2=R195),'2025DATA'!$C$18,"")</f>
        <v/>
      </c>
      <c r="S211" s="518" t="str">
        <f>IF(AND(_A1="B-767-200",'2025'!$I$4="FO",'2025'!$I$2=S195),'2025DATA'!$D$18,"")</f>
        <v/>
      </c>
      <c r="T211" s="518" t="str">
        <f>IF(AND(_A1="B-767-200",'2025'!$I$4="FO",'2025'!$I$2=T195),'2025DATA'!$E$18,"")</f>
        <v/>
      </c>
      <c r="U211" s="518" t="str">
        <f>IF(AND(_A1="B-767-200",'2025'!$I$4="FO",'2025'!$I$2=U195),'2025DATA'!$F$18,"")</f>
        <v/>
      </c>
      <c r="V211" s="518" t="str">
        <f>IF(AND(_A1="B-767-200",'2025'!$I$4="FO",'2025'!$I$2=V195),'2025DATA'!$G$18,"")</f>
        <v/>
      </c>
      <c r="W211" s="518" t="str">
        <f>IF(AND(_A1="B-767-200",'2025'!$I$4="FO",'2025'!$I$2=W195),'2025DATA'!$H$18,"")</f>
        <v/>
      </c>
      <c r="X211" s="518" t="str">
        <f>IF(AND(_A1="B-767-200",'2025'!$I$4="FO",'2025'!$I$2=X195),'2025DATA'!$I$18,"")</f>
        <v/>
      </c>
      <c r="Y211" s="518" t="str">
        <f>IF(AND(_A1="B-767-200",'2025'!$I$4="FO",'2025'!$I$2=Y195),'2025DATA'!$J$18,"")</f>
        <v/>
      </c>
      <c r="Z211" s="518" t="str">
        <f>IF(AND(_A1="B-767-200",'2025'!$I$4="FO",'2025'!$I$2=Z195),'2025DATA'!$K$18,"")</f>
        <v/>
      </c>
      <c r="AA211" s="518" t="str">
        <f>IF(AND(_A1="B-767-200",'2025'!$I$4="FO",'2025'!$I$2=AA195),'2025DATA'!$L$18,"")</f>
        <v/>
      </c>
      <c r="AB211" s="518" t="str">
        <f>IF(AND(_A1="B-767-200",'2025'!$I$4="FO",'2025'!$I$2=AB195),'2025DATA'!$M$18,"")</f>
        <v/>
      </c>
      <c r="AC211" s="520" t="str">
        <f>IF(AND(_A1="B-767-200",'2025'!$I$4="FO",'2025'!$I$2=AC195),'2025DATA'!$N$18,"")</f>
        <v/>
      </c>
      <c r="AD211" s="940"/>
      <c r="AE211" s="13" t="s">
        <v>62</v>
      </c>
      <c r="AF211" s="518" t="str">
        <f>IF(AND(_A2="B-767-200",'2025'!$I$4="FO",'2025'!$I$2=AF195),'2025DATA'!$C$18,"")</f>
        <v/>
      </c>
      <c r="AG211" s="518" t="str">
        <f>IF(AND(_A2="B-767-200",'2025'!$I$4="FO",'2025'!$I$2=AG195),'2025DATA'!$D$18,"")</f>
        <v/>
      </c>
      <c r="AH211" s="518" t="str">
        <f>IF(AND(_A2="B-767-200",'2025'!$I$4="FO",'2025'!$I$2=AH195),'2025DATA'!$E$18,"")</f>
        <v/>
      </c>
      <c r="AI211" s="518" t="str">
        <f>IF(AND(_A2="B-767-200",'2025'!$I$4="FO",'2025'!$I$2=AI195),'2025DATA'!$F$18,"")</f>
        <v/>
      </c>
      <c r="AJ211" s="518" t="str">
        <f>IF(AND(_A2="B-767-200",'2025'!$I$4="FO",'2025'!$I$2=AJ195),'2025DATA'!$G$18,"")</f>
        <v/>
      </c>
      <c r="AK211" s="518" t="str">
        <f>IF(AND(_A2="B-767-200",'2025'!$I$4="FO",'2025'!$I$2=AK195),'2025DATA'!$H$18,"")</f>
        <v/>
      </c>
      <c r="AL211" s="518" t="str">
        <f>IF(AND(_A2="B-767-200",'2025'!$I$4="FO",'2025'!$I$2=AL195),'2025DATA'!$I$18,"")</f>
        <v/>
      </c>
      <c r="AM211" s="518" t="str">
        <f>IF(AND(_A2="B-767-200",'2025'!$I$4="FO",'2025'!$I$2=AM195),'2025DATA'!$J$18,"")</f>
        <v/>
      </c>
      <c r="AN211" s="518" t="str">
        <f>IF(AND(_A2="B-767-200",'2025'!$I$4="FO",'2025'!$I$2=AN195),'2025DATA'!$K$18,"")</f>
        <v/>
      </c>
      <c r="AO211" s="518" t="str">
        <f>IF(AND(_A2="B-767-200",'2025'!$I$4="FO",'2025'!$I$2=AO195),'2025DATA'!$L$18,"")</f>
        <v/>
      </c>
      <c r="AP211" s="518" t="str">
        <f>IF(AND(_A2="B-767-200",'2025'!$I$4="FO",'2025'!$I$2=AP195),'2025DATA'!$M$18,"")</f>
        <v/>
      </c>
      <c r="AQ211" s="520" t="str">
        <f>IF(AND(_A2="B-767-200",'2025'!$I$4="FO",'2025'!$I$2=AQ195),'2025DATA'!$N$18,"")</f>
        <v/>
      </c>
      <c r="AR211" s="940"/>
      <c r="AS211" s="13" t="s">
        <v>62</v>
      </c>
      <c r="AT211" s="518" t="str">
        <f>IF(AND(_A3="B-767-200",'2025'!$I$4="FO",'2025'!$I$2=AT195),'2025DATA'!$C$18,"")</f>
        <v/>
      </c>
      <c r="AU211" s="518" t="str">
        <f>IF(AND(_A3="B-767-200",'2025'!$I$4="FO",'2025'!$I$2=AU195),'2025DATA'!$D$18,"")</f>
        <v/>
      </c>
      <c r="AV211" s="518" t="str">
        <f>IF(AND(_A3="B-767-200",'2025'!$I$4="FO",'2025'!$I$2=AV195),'2025DATA'!$E$18,"")</f>
        <v/>
      </c>
      <c r="AW211" s="518" t="str">
        <f>IF(AND(_A3="B-767-200",'2025'!$I$4="FO",'2025'!$I$2=AW195),'2025DATA'!$F$18,"")</f>
        <v/>
      </c>
      <c r="AX211" s="518" t="str">
        <f>IF(AND(_A3="B-767-200",'2025'!$I$4="FO",'2025'!$I$2=AX195),'2025DATA'!$G$18,"")</f>
        <v/>
      </c>
      <c r="AY211" s="518" t="str">
        <f>IF(AND(_A3="B-767-200",'2025'!$I$4="FO",'2025'!$I$2=AY195),'2025DATA'!$H$18,"")</f>
        <v/>
      </c>
      <c r="AZ211" s="518" t="str">
        <f>IF(AND(_A3="B-767-200",'2025'!$I$4="FO",'2025'!$I$2=AZ195),'2025DATA'!$I$18,"")</f>
        <v/>
      </c>
      <c r="BA211" s="518" t="str">
        <f>IF(AND(_A3="B-767-200",'2025'!$I$4="FO",'2025'!$I$2=BA195),'2025DATA'!$J$18,"")</f>
        <v/>
      </c>
      <c r="BB211" s="518" t="str">
        <f>IF(AND(_A3="B-767-200",'2025'!$I$4="FO",'2025'!$I$2=BB195),'2025DATA'!$K$18,"")</f>
        <v/>
      </c>
      <c r="BC211" s="518" t="str">
        <f>IF(AND(_A3="B-767-200",'2025'!$I$4="FO",'2025'!$I$2=BC195),'2025DATA'!$L$18,"")</f>
        <v/>
      </c>
      <c r="BD211" s="518" t="str">
        <f>IF(AND(_A3="B-767-200",'2025'!$I$4="FO",'2025'!$I$2=BD195),'2025DATA'!$M$18,"")</f>
        <v/>
      </c>
      <c r="BE211" s="520" t="str">
        <f>IF(AND(_A3="B-767-200",'2025'!$I$4="FO",'2025'!$I$2=BE195),'2025DATA'!$N$18,"")</f>
        <v/>
      </c>
      <c r="BF211" s="940"/>
      <c r="BG211" s="13" t="s">
        <v>62</v>
      </c>
      <c r="BH211" s="518" t="str">
        <f>IF(AND(_A4="B-767-200",'2025'!$I$4="FO",'2025'!$I$2=BH195),'2025DATA'!$C$18,"")</f>
        <v/>
      </c>
      <c r="BI211" s="518" t="str">
        <f>IF(AND(_A4="B-767-200",'2025'!$I$4="FO",'2025'!$I$2=BI195),'2025DATA'!$D$18,"")</f>
        <v/>
      </c>
      <c r="BJ211" s="518" t="str">
        <f>IF(AND(_A4="B-767-200",'2025'!$I$4="FO",'2025'!$I$2=BJ195),'2025DATA'!$E$18,"")</f>
        <v/>
      </c>
      <c r="BK211" s="518" t="str">
        <f>IF(AND(_A4="B-767-200",'2025'!$I$4="FO",'2025'!$I$2=BK195),'2025DATA'!$F$18,"")</f>
        <v/>
      </c>
      <c r="BL211" s="518" t="str">
        <f>IF(AND(_A4="B-767-200",'2025'!$I$4="FO",'2025'!$I$2=BL195),'2025DATA'!$G$18,"")</f>
        <v/>
      </c>
      <c r="BM211" s="518" t="str">
        <f>IF(AND(_A4="B-767-200",'2025'!$I$4="FO",'2025'!$I$2=BM195),'2025DATA'!$H$18,"")</f>
        <v/>
      </c>
      <c r="BN211" s="518" t="str">
        <f>IF(AND(_A4="B-767-200",'2025'!$I$4="FO",'2025'!$I$2=BN195),'2025DATA'!$I$18,"")</f>
        <v/>
      </c>
      <c r="BO211" s="518" t="str">
        <f>IF(AND(_A4="B-767-200",'2025'!$I$4="FO",'2025'!$I$2=BO195),'2025DATA'!$J$18,"")</f>
        <v/>
      </c>
      <c r="BP211" s="518" t="str">
        <f>IF(AND(_A4="B-767-200",'2025'!$I$4="FO",'2025'!$I$2=BP195),'2025DATA'!$K$18,"")</f>
        <v/>
      </c>
      <c r="BQ211" s="518" t="str">
        <f>IF(AND(_A4="B-767-200",'2025'!$I$4="FO",'2025'!$I$2=BQ195),'2025DATA'!$L$18,"")</f>
        <v/>
      </c>
      <c r="BR211" s="518" t="str">
        <f>IF(AND(_A4="B-767-200",'2025'!$I$4="FO",'2025'!$I$2=BR195),'2025DATA'!$M$18,"")</f>
        <v/>
      </c>
      <c r="BS211" s="520" t="str">
        <f>IF(AND(_A4="B-767-200",'2025'!$I$4="FO",'2025'!$I$2=BS195),'2025DATA'!$N$18,"")</f>
        <v/>
      </c>
      <c r="BT211" s="940"/>
      <c r="BU211" s="13" t="s">
        <v>62</v>
      </c>
      <c r="BV211" s="518" t="str">
        <f>IF(AND(_A5="B-767-200",'2025'!$I$4="FO",'2025'!$I$2=BV195),'2025DATA'!$C$18,"")</f>
        <v/>
      </c>
      <c r="BW211" s="518" t="str">
        <f>IF(AND(_A5="B-767-200",'2025'!$I$4="FO",'2025'!$I$2=BW195),'2025DATA'!$D$18,"")</f>
        <v/>
      </c>
      <c r="BX211" s="518" t="str">
        <f>IF(AND(_A5="B-767-200",'2025'!$I$4="FO",'2025'!$I$2=BX195),'2025DATA'!$E$18,"")</f>
        <v/>
      </c>
      <c r="BY211" s="518" t="str">
        <f>IF(AND(_A5="B-767-200",'2025'!$I$4="FO",'2025'!$I$2=BY195),'2025DATA'!$F$18,"")</f>
        <v/>
      </c>
      <c r="BZ211" s="518" t="str">
        <f>IF(AND(_A5="B-767-200",'2025'!$I$4="FO",'2025'!$I$2=BZ195),'2025DATA'!$G$18,"")</f>
        <v/>
      </c>
      <c r="CA211" s="518" t="str">
        <f>IF(AND(_A5="B-767-200",'2025'!$I$4="FO",'2025'!$I$2=CA195),'2025DATA'!$H$18,"")</f>
        <v/>
      </c>
      <c r="CB211" s="518" t="str">
        <f>IF(AND(_A5="B-767-200",'2025'!$I$4="FO",'2025'!$I$2=CB195),'2025DATA'!$I$18,"")</f>
        <v/>
      </c>
      <c r="CC211" s="518" t="str">
        <f>IF(AND(_A5="B-767-200",'2025'!$I$4="FO",'2025'!$I$2=CC195),'2025DATA'!$J$18,"")</f>
        <v/>
      </c>
      <c r="CD211" s="518" t="str">
        <f>IF(AND(_A5="B-767-200",'2025'!$I$4="FO",'2025'!$I$2=CD195),'2025DATA'!$K$18,"")</f>
        <v/>
      </c>
      <c r="CE211" s="518" t="str">
        <f>IF(AND(_A5="B-767-200",'2025'!$I$4="FO",'2025'!$I$2=CE195),'2025DATA'!$L$18,"")</f>
        <v/>
      </c>
      <c r="CF211" s="518" t="str">
        <f>IF(AND(_A5="B-767-200",'2025'!$I$4="FO",'2025'!$I$2=CF195),'2025DATA'!$M$18,"")</f>
        <v/>
      </c>
      <c r="CG211" s="520" t="str">
        <f>IF(AND(_A5="B-767-200",'2025'!$I$4="FO",'2025'!$I$2=CG195),'2025DATA'!$N$18,"")</f>
        <v/>
      </c>
      <c r="CH211" s="940"/>
      <c r="CI211" s="13" t="s">
        <v>62</v>
      </c>
      <c r="CJ211" s="518" t="str">
        <f>IF(AND(_A6="B-767-200",'2025'!$I$4="FO",'2025'!$I$2=CJ195),'2025DATA'!$C$18,"")</f>
        <v/>
      </c>
      <c r="CK211" s="518" t="str">
        <f>IF(AND(_A6="B-767-200",'2025'!$I$4="FO",'2025'!$I$2=CK195),'2025DATA'!$D$18,"")</f>
        <v/>
      </c>
      <c r="CL211" s="518" t="str">
        <f>IF(AND(_A6="B-767-200",'2025'!$I$4="FO",'2025'!$I$2=CL195),'2025DATA'!$E$18,"")</f>
        <v/>
      </c>
      <c r="CM211" s="518" t="str">
        <f>IF(AND(_A6="B-767-200",'2025'!$I$4="FO",'2025'!$I$2=CM195),'2025DATA'!$F$18,"")</f>
        <v/>
      </c>
      <c r="CN211" s="518" t="str">
        <f>IF(AND(_A6="B-767-200",'2025'!$I$4="FO",'2025'!$I$2=CN195),'2025DATA'!$G$18,"")</f>
        <v/>
      </c>
      <c r="CO211" s="518" t="str">
        <f>IF(AND(_A6="B-767-200",'2025'!$I$4="FO",'2025'!$I$2=CO195),'2025DATA'!$H$18,"")</f>
        <v/>
      </c>
      <c r="CP211" s="518" t="str">
        <f>IF(AND(_A6="B-767-200",'2025'!$I$4="FO",'2025'!$I$2=CP195),'2025DATA'!$I$18,"")</f>
        <v/>
      </c>
      <c r="CQ211" s="518" t="str">
        <f>IF(AND(_A6="B-767-200",'2025'!$I$4="FO",'2025'!$I$2=CQ195),'2025DATA'!$J$18,"")</f>
        <v/>
      </c>
      <c r="CR211" s="518" t="str">
        <f>IF(AND(_A6="B-767-200",'2025'!$I$4="FO",'2025'!$I$2=CR195),'2025DATA'!$K$18,"")</f>
        <v/>
      </c>
      <c r="CS211" s="518" t="str">
        <f>IF(AND(_A6="B-767-200",'2025'!$I$4="FO",'2025'!$I$2=CS195),'2025DATA'!$L$18,"")</f>
        <v/>
      </c>
      <c r="CT211" s="518" t="str">
        <f>IF(AND(_A6="B-767-200",'2025'!$I$4="FO",'2025'!$I$2=CT195),'2025DATA'!$M$18,"")</f>
        <v/>
      </c>
      <c r="CU211" s="520" t="str">
        <f>IF(AND(_A6="B-767-200",'2025'!$I$4="FO",'2025'!$I$2=CU195),'2025DATA'!$N$18,"")</f>
        <v/>
      </c>
    </row>
    <row r="212" spans="16:99" x14ac:dyDescent="0.25">
      <c r="P212" s="940" t="s">
        <v>45</v>
      </c>
      <c r="Q212" s="13" t="s">
        <v>61</v>
      </c>
      <c r="R212" s="518" t="str">
        <f>IF(AND(_A1="B-757",'2025'!$I$4="CA",'2025'!$I$2=R195),'2025DATA'!$C$19,"")</f>
        <v/>
      </c>
      <c r="S212" s="518" t="str">
        <f>IF(AND(_A1="B-757",'2025'!$I$4="CA",'2025'!$I$2=S195),'2025DATA'!$D$19,"")</f>
        <v/>
      </c>
      <c r="T212" s="518" t="str">
        <f>IF(AND(_A1="B-757",'2025'!$I$4="CA",'2025'!$I$2=T195),'2025DATA'!$E$19,"")</f>
        <v/>
      </c>
      <c r="U212" s="518" t="str">
        <f>IF(AND(_A1="B-757",'2025'!$I$4="CA",'2025'!$I$2=U195),'2025DATA'!$F$19,"")</f>
        <v/>
      </c>
      <c r="V212" s="518" t="str">
        <f>IF(AND(_A1="B-757",'2025'!$I$4="CA",'2025'!$I$2=V195),'2025DATA'!$G$19,"")</f>
        <v/>
      </c>
      <c r="W212" s="518" t="str">
        <f>IF(AND(_A1="B-757",'2025'!$I$4="CA",'2025'!$I$2=W195),'2025DATA'!$H$19,"")</f>
        <v/>
      </c>
      <c r="X212" s="518" t="str">
        <f>IF(AND(_A1="B-757",'2025'!$I$4="CA",'2025'!$I$2=X195),'2025DATA'!$I$19,"")</f>
        <v/>
      </c>
      <c r="Y212" s="518" t="str">
        <f>IF(AND(_A1="B-757",'2025'!$I$4="CA",'2025'!$I$2=Y195),'2025DATA'!$J$19,"")</f>
        <v/>
      </c>
      <c r="Z212" s="518" t="str">
        <f>IF(AND(_A1="B-757",'2025'!$I$4="CA",'2025'!$I$2=Z195),'2025DATA'!$K$19,"")</f>
        <v/>
      </c>
      <c r="AA212" s="518" t="str">
        <f>IF(AND(_A1="B-757",'2025'!$I$4="CA",'2025'!$I$2=AA195),'2025DATA'!$L$19,"")</f>
        <v/>
      </c>
      <c r="AB212" s="518" t="str">
        <f>IF(AND(_A1="B-757",'2025'!$I$4="CA",'2025'!$I$2=AB195),'2025DATA'!$M$19,"")</f>
        <v/>
      </c>
      <c r="AC212" s="520" t="str">
        <f>IF(AND(_A1="B-757",'2025'!$I$4="CA",'2025'!$I$2=AC195),'2025DATA'!$N$19,"")</f>
        <v/>
      </c>
      <c r="AD212" s="940" t="s">
        <v>45</v>
      </c>
      <c r="AE212" s="13" t="s">
        <v>61</v>
      </c>
      <c r="AF212" s="518" t="str">
        <f>IF(AND(_A2="B-757",'2025'!$I$4="CA",'2025'!$I$2=AF195),'2025DATA'!$C$19,"")</f>
        <v/>
      </c>
      <c r="AG212" s="518" t="str">
        <f>IF(AND(_A2="B-757",'2025'!$I$4="CA",'2025'!$I$2=AG195),'2025DATA'!$D$19,"")</f>
        <v/>
      </c>
      <c r="AH212" s="518" t="str">
        <f>IF(AND(_A2="B-757",'2025'!$I$4="CA",'2025'!$I$2=AH195),'2025DATA'!$E$19,"")</f>
        <v/>
      </c>
      <c r="AI212" s="518" t="str">
        <f>IF(AND(_A2="B-757",'2025'!$I$4="CA",'2025'!$I$2=AI195),'2025DATA'!$F$19,"")</f>
        <v/>
      </c>
      <c r="AJ212" s="518" t="str">
        <f>IF(AND(_A2="B-757",'2025'!$I$4="CA",'2025'!$I$2=AJ195),'2025DATA'!$G$19,"")</f>
        <v/>
      </c>
      <c r="AK212" s="518" t="str">
        <f>IF(AND(_A2="B-757",'2025'!$I$4="CA",'2025'!$I$2=AK195),'2025DATA'!$H$19,"")</f>
        <v/>
      </c>
      <c r="AL212" s="518" t="str">
        <f>IF(AND(_A2="B-757",'2025'!$I$4="CA",'2025'!$I$2=AL195),'2025DATA'!$I$19,"")</f>
        <v/>
      </c>
      <c r="AM212" s="518" t="str">
        <f>IF(AND(_A2="B-757",'2025'!$I$4="CA",'2025'!$I$2=AM195),'2025DATA'!$J$19,"")</f>
        <v/>
      </c>
      <c r="AN212" s="518" t="str">
        <f>IF(AND(_A2="B-757",'2025'!$I$4="CA",'2025'!$I$2=AN195),'2025DATA'!$K$19,"")</f>
        <v/>
      </c>
      <c r="AO212" s="518" t="str">
        <f>IF(AND(_A2="B-757",'2025'!$I$4="CA",'2025'!$I$2=AO195),'2025DATA'!$L$19,"")</f>
        <v/>
      </c>
      <c r="AP212" s="518" t="str">
        <f>IF(AND(_A2="B-757",'2025'!$I$4="CA",'2025'!$I$2=AP195),'2025DATA'!$M$19,"")</f>
        <v/>
      </c>
      <c r="AQ212" s="520" t="str">
        <f>IF(AND(_A2="B-757",'2025'!$I$4="CA",'2025'!$I$2=AQ195),'2025DATA'!$N$19,"")</f>
        <v/>
      </c>
      <c r="AR212" s="940" t="s">
        <v>45</v>
      </c>
      <c r="AS212" s="13" t="s">
        <v>61</v>
      </c>
      <c r="AT212" s="518" t="str">
        <f>IF(AND(_A3="B-757",'2025'!$I$4="CA",'2025'!$I$2=AT195),'2025DATA'!$C$19,"")</f>
        <v/>
      </c>
      <c r="AU212" s="518" t="str">
        <f>IF(AND(_A3="B-757",'2025'!$I$4="CA",'2025'!$I$2=AU195),'2025DATA'!$D$19,"")</f>
        <v/>
      </c>
      <c r="AV212" s="518" t="str">
        <f>IF(AND(_A3="B-757",'2025'!$I$4="CA",'2025'!$I$2=AV195),'2025DATA'!$E$19,"")</f>
        <v/>
      </c>
      <c r="AW212" s="518" t="str">
        <f>IF(AND(_A3="B-757",'2025'!$I$4="CA",'2025'!$I$2=AW195),'2025DATA'!$F$19,"")</f>
        <v/>
      </c>
      <c r="AX212" s="518" t="str">
        <f>IF(AND(_A3="B-757",'2025'!$I$4="CA",'2025'!$I$2=AX195),'2025DATA'!$G$19,"")</f>
        <v/>
      </c>
      <c r="AY212" s="518" t="str">
        <f>IF(AND(_A3="B-757",'2025'!$I$4="CA",'2025'!$I$2=AY195),'2025DATA'!$H$19,"")</f>
        <v/>
      </c>
      <c r="AZ212" s="518" t="str">
        <f>IF(AND(_A3="B-757",'2025'!$I$4="CA",'2025'!$I$2=AZ195),'2025DATA'!$I$19,"")</f>
        <v/>
      </c>
      <c r="BA212" s="518" t="str">
        <f>IF(AND(_A3="B-757",'2025'!$I$4="CA",'2025'!$I$2=BA195),'2025DATA'!$J$19,"")</f>
        <v/>
      </c>
      <c r="BB212" s="518" t="str">
        <f>IF(AND(_A3="B-757",'2025'!$I$4="CA",'2025'!$I$2=BB195),'2025DATA'!$K$19,"")</f>
        <v/>
      </c>
      <c r="BC212" s="518" t="str">
        <f>IF(AND(_A3="B-757",'2025'!$I$4="CA",'2025'!$I$2=BC195),'2025DATA'!$L$19,"")</f>
        <v/>
      </c>
      <c r="BD212" s="518" t="str">
        <f>IF(AND(_A3="B-757",'2025'!$I$4="CA",'2025'!$I$2=BD195),'2025DATA'!$M$19,"")</f>
        <v/>
      </c>
      <c r="BE212" s="520" t="str">
        <f>IF(AND(_A3="B-757",'2025'!$I$4="CA",'2025'!$I$2=BE195),'2025DATA'!$N$19,"")</f>
        <v/>
      </c>
      <c r="BF212" s="940" t="s">
        <v>45</v>
      </c>
      <c r="BG212" s="13" t="s">
        <v>61</v>
      </c>
      <c r="BH212" s="518" t="str">
        <f>IF(AND(_A4="B-757",'2025'!$I$4="CA",'2025'!$I$2=BH195),'2025DATA'!$C$19,"")</f>
        <v/>
      </c>
      <c r="BI212" s="518" t="str">
        <f>IF(AND(_A4="B-757",'2025'!$I$4="CA",'2025'!$I$2=BI195),'2025DATA'!$D$19,"")</f>
        <v/>
      </c>
      <c r="BJ212" s="518" t="str">
        <f>IF(AND(_A4="B-757",'2025'!$I$4="CA",'2025'!$I$2=BJ195),'2025DATA'!$E$19,"")</f>
        <v/>
      </c>
      <c r="BK212" s="518" t="str">
        <f>IF(AND(_A4="B-757",'2025'!$I$4="CA",'2025'!$I$2=BK195),'2025DATA'!$F$19,"")</f>
        <v/>
      </c>
      <c r="BL212" s="518" t="str">
        <f>IF(AND(_A4="B-757",'2025'!$I$4="CA",'2025'!$I$2=BL195),'2025DATA'!$G$19,"")</f>
        <v/>
      </c>
      <c r="BM212" s="518" t="str">
        <f>IF(AND(_A4="B-757",'2025'!$I$4="CA",'2025'!$I$2=BM195),'2025DATA'!$H$19,"")</f>
        <v/>
      </c>
      <c r="BN212" s="518" t="str">
        <f>IF(AND(_A4="B-757",'2025'!$I$4="CA",'2025'!$I$2=BN195),'2025DATA'!$I$19,"")</f>
        <v/>
      </c>
      <c r="BO212" s="518" t="str">
        <f>IF(AND(_A4="B-757",'2025'!$I$4="CA",'2025'!$I$2=BO195),'2025DATA'!$J$19,"")</f>
        <v/>
      </c>
      <c r="BP212" s="518" t="str">
        <f>IF(AND(_A4="B-757",'2025'!$I$4="CA",'2025'!$I$2=BP195),'2025DATA'!$K$19,"")</f>
        <v/>
      </c>
      <c r="BQ212" s="518" t="str">
        <f>IF(AND(_A4="B-757",'2025'!$I$4="CA",'2025'!$I$2=BQ195),'2025DATA'!$L$19,"")</f>
        <v/>
      </c>
      <c r="BR212" s="518" t="str">
        <f>IF(AND(_A4="B-757",'2025'!$I$4="CA",'2025'!$I$2=BR195),'2025DATA'!$M$19,"")</f>
        <v/>
      </c>
      <c r="BS212" s="520" t="str">
        <f>IF(AND(_A4="B-757",'2025'!$I$4="CA",'2025'!$I$2=BS195),'2025DATA'!$N$19,"")</f>
        <v/>
      </c>
      <c r="BT212" s="940" t="s">
        <v>45</v>
      </c>
      <c r="BU212" s="13" t="s">
        <v>61</v>
      </c>
      <c r="BV212" s="518" t="str">
        <f>IF(AND(_A5="B-757",'2025'!$I$4="CA",'2025'!$I$2=BV195),'2025DATA'!$C$19,"")</f>
        <v/>
      </c>
      <c r="BW212" s="518" t="str">
        <f>IF(AND(_A5="B-757",'2025'!$I$4="CA",'2025'!$I$2=BW195),'2025DATA'!$D$19,"")</f>
        <v/>
      </c>
      <c r="BX212" s="518" t="str">
        <f>IF(AND(_A5="B-757",'2025'!$I$4="CA",'2025'!$I$2=BX195),'2025DATA'!$E$19,"")</f>
        <v/>
      </c>
      <c r="BY212" s="518" t="str">
        <f>IF(AND(_A5="B-757",'2025'!$I$4="CA",'2025'!$I$2=BY195),'2025DATA'!$F$19,"")</f>
        <v/>
      </c>
      <c r="BZ212" s="518" t="str">
        <f>IF(AND(_A5="B-757",'2025'!$I$4="CA",'2025'!$I$2=BZ195),'2025DATA'!$G$19,"")</f>
        <v/>
      </c>
      <c r="CA212" s="518" t="str">
        <f>IF(AND(_A5="B-757",'2025'!$I$4="CA",'2025'!$I$2=CA195),'2025DATA'!$H$19,"")</f>
        <v/>
      </c>
      <c r="CB212" s="518" t="str">
        <f>IF(AND(_A5="B-757",'2025'!$I$4="CA",'2025'!$I$2=CB195),'2025DATA'!$I$19,"")</f>
        <v/>
      </c>
      <c r="CC212" s="518" t="str">
        <f>IF(AND(_A5="B-757",'2025'!$I$4="CA",'2025'!$I$2=CC195),'2025DATA'!$J$19,"")</f>
        <v/>
      </c>
      <c r="CD212" s="518" t="str">
        <f>IF(AND(_A5="B-757",'2025'!$I$4="CA",'2025'!$I$2=CD195),'2025DATA'!$K$19,"")</f>
        <v/>
      </c>
      <c r="CE212" s="518" t="str">
        <f>IF(AND(_A5="B-757",'2025'!$I$4="CA",'2025'!$I$2=CE195),'2025DATA'!$L$19,"")</f>
        <v/>
      </c>
      <c r="CF212" s="518" t="str">
        <f>IF(AND(_A5="B-757",'2025'!$I$4="CA",'2025'!$I$2=CF195),'2025DATA'!$M$19,"")</f>
        <v/>
      </c>
      <c r="CG212" s="520" t="str">
        <f>IF(AND(_A5="B-757",'2025'!$I$4="CA",'2025'!$I$2=CG195),'2025DATA'!$N$19,"")</f>
        <v/>
      </c>
      <c r="CH212" s="940" t="s">
        <v>45</v>
      </c>
      <c r="CI212" s="13" t="s">
        <v>61</v>
      </c>
      <c r="CJ212" s="518" t="str">
        <f>IF(AND(_A6="B-757",'2025'!$I$4="CA",'2025'!$I$2=CJ195),'2025DATA'!$C$19,"")</f>
        <v/>
      </c>
      <c r="CK212" s="518" t="str">
        <f>IF(AND(_A6="B-757",'2025'!$I$4="CA",'2025'!$I$2=CK195),'2025DATA'!$D$19,"")</f>
        <v/>
      </c>
      <c r="CL212" s="518" t="str">
        <f>IF(AND(_A6="B-757",'2025'!$I$4="CA",'2025'!$I$2=CL195),'2025DATA'!$E$19,"")</f>
        <v/>
      </c>
      <c r="CM212" s="518" t="str">
        <f>IF(AND(_A6="B-757",'2025'!$I$4="CA",'2025'!$I$2=CM195),'2025DATA'!$F$19,"")</f>
        <v/>
      </c>
      <c r="CN212" s="518" t="str">
        <f>IF(AND(_A6="B-757",'2025'!$I$4="CA",'2025'!$I$2=CN195),'2025DATA'!$G$19,"")</f>
        <v/>
      </c>
      <c r="CO212" s="518" t="str">
        <f>IF(AND(_A6="B-757",'2025'!$I$4="CA",'2025'!$I$2=CO195),'2025DATA'!$H$19,"")</f>
        <v/>
      </c>
      <c r="CP212" s="518" t="str">
        <f>IF(AND(_A6="B-757",'2025'!$I$4="CA",'2025'!$I$2=CP195),'2025DATA'!$I$19,"")</f>
        <v/>
      </c>
      <c r="CQ212" s="518" t="str">
        <f>IF(AND(_A6="B-757",'2025'!$I$4="CA",'2025'!$I$2=CQ195),'2025DATA'!$J$19,"")</f>
        <v/>
      </c>
      <c r="CR212" s="518" t="str">
        <f>IF(AND(_A6="B-757",'2025'!$I$4="CA",'2025'!$I$2=CR195),'2025DATA'!$K$19,"")</f>
        <v/>
      </c>
      <c r="CS212" s="518" t="str">
        <f>IF(AND(_A6="B-757",'2025'!$I$4="CA",'2025'!$I$2=CS195),'2025DATA'!$L$19,"")</f>
        <v/>
      </c>
      <c r="CT212" s="518" t="str">
        <f>IF(AND(_A6="B-757",'2025'!$I$4="CA",'2025'!$I$2=CT195),'2025DATA'!$M$19,"")</f>
        <v/>
      </c>
      <c r="CU212" s="520" t="str">
        <f>IF(AND(_A6="B-757",'2025'!$I$4="CA",'2025'!$I$2=CU195),'2025DATA'!$N$19,"")</f>
        <v/>
      </c>
    </row>
    <row r="213" spans="16:99" x14ac:dyDescent="0.25">
      <c r="P213" s="940"/>
      <c r="Q213" s="13" t="s">
        <v>62</v>
      </c>
      <c r="R213" s="518" t="str">
        <f>IF(AND(_A1="B-757",'2025'!$I$4="FO",'2025'!$I$2=R195),'2025DATA'!$C$20,"")</f>
        <v/>
      </c>
      <c r="S213" s="518" t="str">
        <f>IF(AND(_A1="B-757",'2025'!$I$4="FO",'2025'!$I$2=S195),'2025DATA'!$D$20,"")</f>
        <v/>
      </c>
      <c r="T213" s="518" t="str">
        <f>IF(AND(_A1="B-757",'2025'!$I$4="FO",'2025'!$I$2=T195),'2025DATA'!$E$20,"")</f>
        <v/>
      </c>
      <c r="U213" s="518" t="str">
        <f>IF(AND(_A1="B-757",'2025'!$I$4="FO",'2025'!$I$2=U195),'2025DATA'!$F$20,"")</f>
        <v/>
      </c>
      <c r="V213" s="518" t="str">
        <f>IF(AND(_A1="B-757",'2025'!$I$4="FO",'2025'!$I$2=V195),'2025DATA'!$G$20,"")</f>
        <v/>
      </c>
      <c r="W213" s="518" t="str">
        <f>IF(AND(_A1="B-757",'2025'!$I$4="FO",'2025'!$I$2=W195),'2025DATA'!$H$20,"")</f>
        <v/>
      </c>
      <c r="X213" s="518" t="str">
        <f>IF(AND(_A1="B-757",'2025'!$I$4="FO",'2025'!$I$2=X195),'2025DATA'!$I$20,"")</f>
        <v/>
      </c>
      <c r="Y213" s="518" t="str">
        <f>IF(AND(_A1="B-757",'2025'!$I$4="FO",'2025'!$I$2=Y195),'2025DATA'!$J$20,"")</f>
        <v/>
      </c>
      <c r="Z213" s="518" t="str">
        <f>IF(AND(_A1="B-757",'2025'!$I$4="FO",'2025'!$I$2=Z195),'2025DATA'!$K$20,"")</f>
        <v/>
      </c>
      <c r="AA213" s="518" t="str">
        <f>IF(AND(_A1="B-757",'2025'!$I$4="FO",'2025'!$I$2=AA195),'2025DATA'!$L$20,"")</f>
        <v/>
      </c>
      <c r="AB213" s="518" t="str">
        <f>IF(AND(_A1="B-757",'2025'!$I$4="FO",'2025'!$I$2=AB195),'2025DATA'!$M$20,"")</f>
        <v/>
      </c>
      <c r="AC213" s="520" t="str">
        <f>IF(AND(_A1="B-757",'2025'!$I$4="FO",'2025'!$I$2=AC195),'2025DATA'!$N$20,"")</f>
        <v/>
      </c>
      <c r="AD213" s="940"/>
      <c r="AE213" s="13" t="s">
        <v>62</v>
      </c>
      <c r="AF213" s="518" t="str">
        <f>IF(AND(_A2="B-757",'2025'!$I$4="FO",'2025'!$I$2=AF195),'2025DATA'!$C$20,"")</f>
        <v/>
      </c>
      <c r="AG213" s="518" t="str">
        <f>IF(AND(_A2="B-757",'2025'!$I$4="FO",'2025'!$I$2=AG195),'2025DATA'!$D$20,"")</f>
        <v/>
      </c>
      <c r="AH213" s="518" t="str">
        <f>IF(AND(_A2="B-757",'2025'!$I$4="FO",'2025'!$I$2=AH195),'2025DATA'!$E$20,"")</f>
        <v/>
      </c>
      <c r="AI213" s="518" t="str">
        <f>IF(AND(_A2="B-757",'2025'!$I$4="FO",'2025'!$I$2=AI195),'2025DATA'!$F$20,"")</f>
        <v/>
      </c>
      <c r="AJ213" s="518" t="str">
        <f>IF(AND(_A2="B-757",'2025'!$I$4="FO",'2025'!$I$2=AJ195),'2025DATA'!$G$20,"")</f>
        <v/>
      </c>
      <c r="AK213" s="518" t="str">
        <f>IF(AND(_A2="B-757",'2025'!$I$4="FO",'2025'!$I$2=AK195),'2025DATA'!$H$20,"")</f>
        <v/>
      </c>
      <c r="AL213" s="518" t="str">
        <f>IF(AND(_A2="B-757",'2025'!$I$4="FO",'2025'!$I$2=AL195),'2025DATA'!$I$20,"")</f>
        <v/>
      </c>
      <c r="AM213" s="518" t="str">
        <f>IF(AND(_A2="B-757",'2025'!$I$4="FO",'2025'!$I$2=AM195),'2025DATA'!$J$20,"")</f>
        <v/>
      </c>
      <c r="AN213" s="518" t="str">
        <f>IF(AND(_A2="B-757",'2025'!$I$4="FO",'2025'!$I$2=AN195),'2025DATA'!$K$20,"")</f>
        <v/>
      </c>
      <c r="AO213" s="518" t="str">
        <f>IF(AND(_A2="B-757",'2025'!$I$4="FO",'2025'!$I$2=AO195),'2025DATA'!$L$20,"")</f>
        <v/>
      </c>
      <c r="AP213" s="518" t="str">
        <f>IF(AND(_A2="B-757",'2025'!$I$4="FO",'2025'!$I$2=AP195),'2025DATA'!$M$20,"")</f>
        <v/>
      </c>
      <c r="AQ213" s="520" t="str">
        <f>IF(AND(_A2="B-757",'2025'!$I$4="FO",'2025'!$I$2=AQ195),'2025DATA'!$N$20,"")</f>
        <v/>
      </c>
      <c r="AR213" s="940"/>
      <c r="AS213" s="13" t="s">
        <v>62</v>
      </c>
      <c r="AT213" s="518" t="str">
        <f>IF(AND(_A3="B-757",'2025'!$I$4="FO",'2025'!$I$2=AT195),'2025DATA'!$C$20,"")</f>
        <v/>
      </c>
      <c r="AU213" s="518" t="str">
        <f>IF(AND(_A3="B-757",'2025'!$I$4="FO",'2025'!$I$2=AU195),'2025DATA'!$D$20,"")</f>
        <v/>
      </c>
      <c r="AV213" s="518" t="str">
        <f>IF(AND(_A3="B-757",'2025'!$I$4="FO",'2025'!$I$2=AV195),'2025DATA'!$E$20,"")</f>
        <v/>
      </c>
      <c r="AW213" s="518" t="str">
        <f>IF(AND(_A3="B-757",'2025'!$I$4="FO",'2025'!$I$2=AW195),'2025DATA'!$F$20,"")</f>
        <v/>
      </c>
      <c r="AX213" s="518" t="str">
        <f>IF(AND(_A3="B-757",'2025'!$I$4="FO",'2025'!$I$2=AX195),'2025DATA'!$G$20,"")</f>
        <v/>
      </c>
      <c r="AY213" s="518" t="str">
        <f>IF(AND(_A3="B-757",'2025'!$I$4="FO",'2025'!$I$2=AY195),'2025DATA'!$H$20,"")</f>
        <v/>
      </c>
      <c r="AZ213" s="518" t="str">
        <f>IF(AND(_A3="B-757",'2025'!$I$4="FO",'2025'!$I$2=AZ195),'2025DATA'!$I$20,"")</f>
        <v/>
      </c>
      <c r="BA213" s="518" t="str">
        <f>IF(AND(_A3="B-757",'2025'!$I$4="FO",'2025'!$I$2=BA195),'2025DATA'!$J$20,"")</f>
        <v/>
      </c>
      <c r="BB213" s="518" t="str">
        <f>IF(AND(_A3="B-757",'2025'!$I$4="FO",'2025'!$I$2=BB195),'2025DATA'!$K$20,"")</f>
        <v/>
      </c>
      <c r="BC213" s="518" t="str">
        <f>IF(AND(_A3="B-757",'2025'!$I$4="FO",'2025'!$I$2=BC195),'2025DATA'!$L$20,"")</f>
        <v/>
      </c>
      <c r="BD213" s="518" t="str">
        <f>IF(AND(_A3="B-757",'2025'!$I$4="FO",'2025'!$I$2=BD195),'2025DATA'!$M$20,"")</f>
        <v/>
      </c>
      <c r="BE213" s="520" t="str">
        <f>IF(AND(_A3="B-757",'2025'!$I$4="FO",'2025'!$I$2=BE195),'2025DATA'!$N$20,"")</f>
        <v/>
      </c>
      <c r="BF213" s="940"/>
      <c r="BG213" s="13" t="s">
        <v>62</v>
      </c>
      <c r="BH213" s="518" t="str">
        <f>IF(AND(_A4="B-757",'2025'!$I$4="FO",'2025'!$I$2=BH195),'2025DATA'!$C$20,"")</f>
        <v/>
      </c>
      <c r="BI213" s="518" t="str">
        <f>IF(AND(_A4="B-757",'2025'!$I$4="FO",'2025'!$I$2=BI195),'2025DATA'!$D$20,"")</f>
        <v/>
      </c>
      <c r="BJ213" s="518" t="str">
        <f>IF(AND(_A4="B-757",'2025'!$I$4="FO",'2025'!$I$2=BJ195),'2025DATA'!$E$20,"")</f>
        <v/>
      </c>
      <c r="BK213" s="518" t="str">
        <f>IF(AND(_A4="B-757",'2025'!$I$4="FO",'2025'!$I$2=BK195),'2025DATA'!$F$20,"")</f>
        <v/>
      </c>
      <c r="BL213" s="518" t="str">
        <f>IF(AND(_A4="B-757",'2025'!$I$4="FO",'2025'!$I$2=BL195),'2025DATA'!$G$20,"")</f>
        <v/>
      </c>
      <c r="BM213" s="518" t="str">
        <f>IF(AND(_A4="B-757",'2025'!$I$4="FO",'2025'!$I$2=BM195),'2025DATA'!$H$20,"")</f>
        <v/>
      </c>
      <c r="BN213" s="518" t="str">
        <f>IF(AND(_A4="B-757",'2025'!$I$4="FO",'2025'!$I$2=BN195),'2025DATA'!$I$20,"")</f>
        <v/>
      </c>
      <c r="BO213" s="518" t="str">
        <f>IF(AND(_A4="B-757",'2025'!$I$4="FO",'2025'!$I$2=BO195),'2025DATA'!$J$20,"")</f>
        <v/>
      </c>
      <c r="BP213" s="518" t="str">
        <f>IF(AND(_A4="B-757",'2025'!$I$4="FO",'2025'!$I$2=BP195),'2025DATA'!$K$20,"")</f>
        <v/>
      </c>
      <c r="BQ213" s="518" t="str">
        <f>IF(AND(_A4="B-757",'2025'!$I$4="FO",'2025'!$I$2=BQ195),'2025DATA'!$L$20,"")</f>
        <v/>
      </c>
      <c r="BR213" s="518" t="str">
        <f>IF(AND(_A4="B-757",'2025'!$I$4="FO",'2025'!$I$2=BR195),'2025DATA'!$M$20,"")</f>
        <v/>
      </c>
      <c r="BS213" s="520" t="str">
        <f>IF(AND(_A4="B-757",'2025'!$I$4="FO",'2025'!$I$2=BS195),'2025DATA'!$N$20,"")</f>
        <v/>
      </c>
      <c r="BT213" s="940"/>
      <c r="BU213" s="13" t="s">
        <v>62</v>
      </c>
      <c r="BV213" s="518" t="str">
        <f>IF(AND(_A5="B-757",'2025'!$I$4="FO",'2025'!$I$2=BV195),'2025DATA'!$C$20,"")</f>
        <v/>
      </c>
      <c r="BW213" s="518" t="str">
        <f>IF(AND(_A5="B-757",'2025'!$I$4="FO",'2025'!$I$2=BW195),'2025DATA'!$D$20,"")</f>
        <v/>
      </c>
      <c r="BX213" s="518" t="str">
        <f>IF(AND(_A5="B-757",'2025'!$I$4="FO",'2025'!$I$2=BX195),'2025DATA'!$E$20,"")</f>
        <v/>
      </c>
      <c r="BY213" s="518" t="str">
        <f>IF(AND(_A5="B-757",'2025'!$I$4="FO",'2025'!$I$2=BY195),'2025DATA'!$F$20,"")</f>
        <v/>
      </c>
      <c r="BZ213" s="518" t="str">
        <f>IF(AND(_A5="B-757",'2025'!$I$4="FO",'2025'!$I$2=BZ195),'2025DATA'!$G$20,"")</f>
        <v/>
      </c>
      <c r="CA213" s="518" t="str">
        <f>IF(AND(_A5="B-757",'2025'!$I$4="FO",'2025'!$I$2=CA195),'2025DATA'!$H$20,"")</f>
        <v/>
      </c>
      <c r="CB213" s="518" t="str">
        <f>IF(AND(_A5="B-757",'2025'!$I$4="FO",'2025'!$I$2=CB195),'2025DATA'!$I$20,"")</f>
        <v/>
      </c>
      <c r="CC213" s="518" t="str">
        <f>IF(AND(_A5="B-757",'2025'!$I$4="FO",'2025'!$I$2=CC195),'2025DATA'!$J$20,"")</f>
        <v/>
      </c>
      <c r="CD213" s="518" t="str">
        <f>IF(AND(_A5="B-757",'2025'!$I$4="FO",'2025'!$I$2=CD195),'2025DATA'!$K$20,"")</f>
        <v/>
      </c>
      <c r="CE213" s="518" t="str">
        <f>IF(AND(_A5="B-757",'2025'!$I$4="FO",'2025'!$I$2=CE195),'2025DATA'!$L$20,"")</f>
        <v/>
      </c>
      <c r="CF213" s="518" t="str">
        <f>IF(AND(_A5="B-757",'2025'!$I$4="FO",'2025'!$I$2=CF195),'2025DATA'!$M$20,"")</f>
        <v/>
      </c>
      <c r="CG213" s="520" t="str">
        <f>IF(AND(_A5="B-757",'2025'!$I$4="FO",'2025'!$I$2=CG195),'2025DATA'!$N$20,"")</f>
        <v/>
      </c>
      <c r="CH213" s="940"/>
      <c r="CI213" s="13" t="s">
        <v>62</v>
      </c>
      <c r="CJ213" s="518" t="str">
        <f>IF(AND(_A6="B-757",'2025'!$I$4="FO",'2025'!$I$2=CJ195),'2025DATA'!$C$20,"")</f>
        <v/>
      </c>
      <c r="CK213" s="518" t="str">
        <f>IF(AND(_A6="B-757",'2025'!$I$4="FO",'2025'!$I$2=CK195),'2025DATA'!$D$20,"")</f>
        <v/>
      </c>
      <c r="CL213" s="518" t="str">
        <f>IF(AND(_A6="B-757",'2025'!$I$4="FO",'2025'!$I$2=CL195),'2025DATA'!$E$20,"")</f>
        <v/>
      </c>
      <c r="CM213" s="518" t="str">
        <f>IF(AND(_A6="B-757",'2025'!$I$4="FO",'2025'!$I$2=CM195),'2025DATA'!$F$20,"")</f>
        <v/>
      </c>
      <c r="CN213" s="518" t="str">
        <f>IF(AND(_A6="B-757",'2025'!$I$4="FO",'2025'!$I$2=CN195),'2025DATA'!$G$20,"")</f>
        <v/>
      </c>
      <c r="CO213" s="518" t="str">
        <f>IF(AND(_A6="B-757",'2025'!$I$4="FO",'2025'!$I$2=CO195),'2025DATA'!$H$20,"")</f>
        <v/>
      </c>
      <c r="CP213" s="518" t="str">
        <f>IF(AND(_A6="B-757",'2025'!$I$4="FO",'2025'!$I$2=CP195),'2025DATA'!$I$20,"")</f>
        <v/>
      </c>
      <c r="CQ213" s="518" t="str">
        <f>IF(AND(_A6="B-757",'2025'!$I$4="FO",'2025'!$I$2=CQ195),'2025DATA'!$J$20,"")</f>
        <v/>
      </c>
      <c r="CR213" s="518" t="str">
        <f>IF(AND(_A6="B-757",'2025'!$I$4="FO",'2025'!$I$2=CR195),'2025DATA'!$K$20,"")</f>
        <v/>
      </c>
      <c r="CS213" s="518" t="str">
        <f>IF(AND(_A6="B-757",'2025'!$I$4="FO",'2025'!$I$2=CS195),'2025DATA'!$L$20,"")</f>
        <v/>
      </c>
      <c r="CT213" s="518" t="str">
        <f>IF(AND(_A6="B-757",'2025'!$I$4="FO",'2025'!$I$2=CT195),'2025DATA'!$M$20,"")</f>
        <v/>
      </c>
      <c r="CU213" s="520" t="str">
        <f>IF(AND(_A6="B-757",'2025'!$I$4="FO",'2025'!$I$2=CU195),'2025DATA'!$N$20,"")</f>
        <v/>
      </c>
    </row>
    <row r="214" spans="16:99" x14ac:dyDescent="0.25">
      <c r="P214" s="940" t="s">
        <v>47</v>
      </c>
      <c r="Q214" s="13" t="s">
        <v>61</v>
      </c>
      <c r="R214" s="518" t="str">
        <f>IF(AND(_A1="B-737-900",'2025'!$I$4="CA",'2025'!$I$2=R195),'2025DATA'!$C$21,"")</f>
        <v/>
      </c>
      <c r="S214" s="518" t="str">
        <f>IF(AND(_A1="B-737-900",'2025'!$I$4="CA",'2025'!$I$2=S195),'2025DATA'!$D$21,"")</f>
        <v/>
      </c>
      <c r="T214" s="518" t="str">
        <f>IF(AND(_A1="B-737-900",'2025'!$I$4="CA",'2025'!$I$2=T195),'2025DATA'!$E$21,"")</f>
        <v/>
      </c>
      <c r="U214" s="518" t="str">
        <f>IF(AND(_A1="B-737-900",'2025'!$I$4="CA",'2025'!$I$2=U195),'2025DATA'!$F$21,"")</f>
        <v/>
      </c>
      <c r="V214" s="518" t="str">
        <f>IF(AND(_A1="B-737-900",'2025'!$I$4="CA",'2025'!$I$2=V195),'2025DATA'!$G$21,"")</f>
        <v/>
      </c>
      <c r="W214" s="518" t="str">
        <f>IF(AND(_A1="B-737-900",'2025'!$I$4="CA",'2025'!$I$2=W195),'2025DATA'!$H$21,"")</f>
        <v/>
      </c>
      <c r="X214" s="518" t="str">
        <f>IF(AND(_A1="B-737-900",'2025'!$I$4="CA",'2025'!$I$2=X195),'2025DATA'!$I$21,"")</f>
        <v/>
      </c>
      <c r="Y214" s="518" t="str">
        <f>IF(AND(_A1="B-737-900",'2025'!$I$4="CA",'2025'!$I$2=Y195),'2025DATA'!$J$21,"")</f>
        <v/>
      </c>
      <c r="Z214" s="518" t="str">
        <f>IF(AND(_A1="B-737-900",'2025'!$I$4="CA",'2025'!$I$2=Z195),'2025DATA'!$K$21,"")</f>
        <v/>
      </c>
      <c r="AA214" s="518" t="str">
        <f>IF(AND(_A1="B-737-900",'2025'!$I$4="CA",'2025'!$I$2=AA195),'2025DATA'!$L$21,"")</f>
        <v/>
      </c>
      <c r="AB214" s="518" t="str">
        <f>IF(AND(_A1="B-737-900",'2025'!$I$4="CA",'2025'!$I$2=AB195),'2025DATA'!$M$21,"")</f>
        <v/>
      </c>
      <c r="AC214" s="520" t="str">
        <f>IF(AND(_A1="B-737-900",'2025'!$I$4="CA",'2025'!$I$2=AC195),'2025DATA'!$N$21,"")</f>
        <v/>
      </c>
      <c r="AD214" s="940" t="s">
        <v>47</v>
      </c>
      <c r="AE214" s="13" t="s">
        <v>61</v>
      </c>
      <c r="AF214" s="518" t="str">
        <f>IF(AND(_A2="B-737-900",'2025'!$I$4="CA",'2025'!$I$2=AF195),'2025DATA'!$C$21,"")</f>
        <v/>
      </c>
      <c r="AG214" s="518" t="str">
        <f>IF(AND(_A2="B-737-900",'2025'!$I$4="CA",'2025'!$I$2=AG195),'2025DATA'!$D$21,"")</f>
        <v/>
      </c>
      <c r="AH214" s="518" t="str">
        <f>IF(AND(_A2="B-737-900",'2025'!$I$4="CA",'2025'!$I$2=AH195),'2025DATA'!$E$21,"")</f>
        <v/>
      </c>
      <c r="AI214" s="518" t="str">
        <f>IF(AND(_A2="B-737-900",'2025'!$I$4="CA",'2025'!$I$2=AI195),'2025DATA'!$F$21,"")</f>
        <v/>
      </c>
      <c r="AJ214" s="518" t="str">
        <f>IF(AND(_A2="B-737-900",'2025'!$I$4="CA",'2025'!$I$2=AJ195),'2025DATA'!$G$21,"")</f>
        <v/>
      </c>
      <c r="AK214" s="518" t="str">
        <f>IF(AND(_A2="B-737-900",'2025'!$I$4="CA",'2025'!$I$2=AK195),'2025DATA'!$H$21,"")</f>
        <v/>
      </c>
      <c r="AL214" s="518" t="str">
        <f>IF(AND(_A2="B-737-900",'2025'!$I$4="CA",'2025'!$I$2=AL195),'2025DATA'!$I$21,"")</f>
        <v/>
      </c>
      <c r="AM214" s="518" t="str">
        <f>IF(AND(_A2="B-737-900",'2025'!$I$4="CA",'2025'!$I$2=AM195),'2025DATA'!$J$21,"")</f>
        <v/>
      </c>
      <c r="AN214" s="518" t="str">
        <f>IF(AND(_A2="B-737-900",'2025'!$I$4="CA",'2025'!$I$2=AN195),'2025DATA'!$K$21,"")</f>
        <v/>
      </c>
      <c r="AO214" s="518" t="str">
        <f>IF(AND(_A2="B-737-900",'2025'!$I$4="CA",'2025'!$I$2=AO195),'2025DATA'!$L$21,"")</f>
        <v/>
      </c>
      <c r="AP214" s="518" t="str">
        <f>IF(AND(_A2="B-737-900",'2025'!$I$4="CA",'2025'!$I$2=AP195),'2025DATA'!$M$21,"")</f>
        <v/>
      </c>
      <c r="AQ214" s="520" t="str">
        <f>IF(AND(_A2="B-737-900",'2025'!$I$4="CA",'2025'!$I$2=AQ195),'2025DATA'!$N$21,"")</f>
        <v/>
      </c>
      <c r="AR214" s="940" t="s">
        <v>47</v>
      </c>
      <c r="AS214" s="13" t="s">
        <v>61</v>
      </c>
      <c r="AT214" s="518" t="str">
        <f>IF(AND(_A3="B-737-900",'2025'!$I$4="CA",'2025'!$I$2=AT195),'2025DATA'!$C$21,"")</f>
        <v/>
      </c>
      <c r="AU214" s="518" t="str">
        <f>IF(AND(_A3="B-737-900",'2025'!$I$4="CA",'2025'!$I$2=AU195),'2025DATA'!$D$21,"")</f>
        <v/>
      </c>
      <c r="AV214" s="518" t="str">
        <f>IF(AND(_A3="B-737-900",'2025'!$I$4="CA",'2025'!$I$2=AV195),'2025DATA'!$E$21,"")</f>
        <v/>
      </c>
      <c r="AW214" s="518" t="str">
        <f>IF(AND(_A3="B-737-900",'2025'!$I$4="CA",'2025'!$I$2=AW195),'2025DATA'!$F$21,"")</f>
        <v/>
      </c>
      <c r="AX214" s="518" t="str">
        <f>IF(AND(_A3="B-737-900",'2025'!$I$4="CA",'2025'!$I$2=AX195),'2025DATA'!$G$21,"")</f>
        <v/>
      </c>
      <c r="AY214" s="518" t="str">
        <f>IF(AND(_A3="B-737-900",'2025'!$I$4="CA",'2025'!$I$2=AY195),'2025DATA'!$H$21,"")</f>
        <v/>
      </c>
      <c r="AZ214" s="518" t="str">
        <f>IF(AND(_A3="B-737-900",'2025'!$I$4="CA",'2025'!$I$2=AZ195),'2025DATA'!$I$21,"")</f>
        <v/>
      </c>
      <c r="BA214" s="518" t="str">
        <f>IF(AND(_A3="B-737-900",'2025'!$I$4="CA",'2025'!$I$2=BA195),'2025DATA'!$J$21,"")</f>
        <v/>
      </c>
      <c r="BB214" s="518" t="str">
        <f>IF(AND(_A3="B-737-900",'2025'!$I$4="CA",'2025'!$I$2=BB195),'2025DATA'!$K$21,"")</f>
        <v/>
      </c>
      <c r="BC214" s="518" t="str">
        <f>IF(AND(_A3="B-737-900",'2025'!$I$4="CA",'2025'!$I$2=BC195),'2025DATA'!$L$21,"")</f>
        <v/>
      </c>
      <c r="BD214" s="518" t="str">
        <f>IF(AND(_A3="B-737-900",'2025'!$I$4="CA",'2025'!$I$2=BD195),'2025DATA'!$M$21,"")</f>
        <v/>
      </c>
      <c r="BE214" s="520" t="str">
        <f>IF(AND(_A3="B-737-900",'2025'!$I$4="CA",'2025'!$I$2=BE195),'2025DATA'!$N$21,"")</f>
        <v/>
      </c>
      <c r="BF214" s="940" t="s">
        <v>47</v>
      </c>
      <c r="BG214" s="13" t="s">
        <v>61</v>
      </c>
      <c r="BH214" s="518" t="str">
        <f>IF(AND(_A4="B-737-900",'2025'!$I$4="CA",'2025'!$I$2=BH195),'2025DATA'!$C$21,"")</f>
        <v/>
      </c>
      <c r="BI214" s="518" t="str">
        <f>IF(AND(_A4="B-737-900",'2025'!$I$4="CA",'2025'!$I$2=BI195),'2025DATA'!$D$21,"")</f>
        <v/>
      </c>
      <c r="BJ214" s="518" t="str">
        <f>IF(AND(_A4="B-737-900",'2025'!$I$4="CA",'2025'!$I$2=BJ195),'2025DATA'!$E$21,"")</f>
        <v/>
      </c>
      <c r="BK214" s="518" t="str">
        <f>IF(AND(_A4="B-737-900",'2025'!$I$4="CA",'2025'!$I$2=BK195),'2025DATA'!$F$21,"")</f>
        <v/>
      </c>
      <c r="BL214" s="518" t="str">
        <f>IF(AND(_A4="B-737-900",'2025'!$I$4="CA",'2025'!$I$2=BL195),'2025DATA'!$G$21,"")</f>
        <v/>
      </c>
      <c r="BM214" s="518" t="str">
        <f>IF(AND(_A4="B-737-900",'2025'!$I$4="CA",'2025'!$I$2=BM195),'2025DATA'!$H$21,"")</f>
        <v/>
      </c>
      <c r="BN214" s="518" t="str">
        <f>IF(AND(_A4="B-737-900",'2025'!$I$4="CA",'2025'!$I$2=BN195),'2025DATA'!$I$21,"")</f>
        <v/>
      </c>
      <c r="BO214" s="518" t="str">
        <f>IF(AND(_A4="B-737-900",'2025'!$I$4="CA",'2025'!$I$2=BO195),'2025DATA'!$J$21,"")</f>
        <v/>
      </c>
      <c r="BP214" s="518" t="str">
        <f>IF(AND(_A4="B-737-900",'2025'!$I$4="CA",'2025'!$I$2=BP195),'2025DATA'!$K$21,"")</f>
        <v/>
      </c>
      <c r="BQ214" s="518" t="str">
        <f>IF(AND(_A4="B-737-900",'2025'!$I$4="CA",'2025'!$I$2=BQ195),'2025DATA'!$L$21,"")</f>
        <v/>
      </c>
      <c r="BR214" s="518" t="str">
        <f>IF(AND(_A4="B-737-900",'2025'!$I$4="CA",'2025'!$I$2=BR195),'2025DATA'!$M$21,"")</f>
        <v/>
      </c>
      <c r="BS214" s="520" t="str">
        <f>IF(AND(_A4="B-737-900",'2025'!$I$4="CA",'2025'!$I$2=BS195),'2025DATA'!$N$21,"")</f>
        <v/>
      </c>
      <c r="BT214" s="940" t="s">
        <v>47</v>
      </c>
      <c r="BU214" s="13" t="s">
        <v>61</v>
      </c>
      <c r="BV214" s="518" t="str">
        <f>IF(AND(_A5="B-737-900",'2025'!$I$4="CA",'2025'!$I$2=BV195),'2025DATA'!$C$21,"")</f>
        <v/>
      </c>
      <c r="BW214" s="518" t="str">
        <f>IF(AND(_A5="B-737-900",'2025'!$I$4="CA",'2025'!$I$2=BW195),'2025DATA'!$D$21,"")</f>
        <v/>
      </c>
      <c r="BX214" s="518" t="str">
        <f>IF(AND(_A5="B-737-900",'2025'!$I$4="CA",'2025'!$I$2=BX195),'2025DATA'!$E$21,"")</f>
        <v/>
      </c>
      <c r="BY214" s="518" t="str">
        <f>IF(AND(_A5="B-737-900",'2025'!$I$4="CA",'2025'!$I$2=BY195),'2025DATA'!$F$21,"")</f>
        <v/>
      </c>
      <c r="BZ214" s="518" t="str">
        <f>IF(AND(_A5="B-737-900",'2025'!$I$4="CA",'2025'!$I$2=BZ195),'2025DATA'!$G$21,"")</f>
        <v/>
      </c>
      <c r="CA214" s="518" t="str">
        <f>IF(AND(_A5="B-737-900",'2025'!$I$4="CA",'2025'!$I$2=CA195),'2025DATA'!$H$21,"")</f>
        <v/>
      </c>
      <c r="CB214" s="518" t="str">
        <f>IF(AND(_A5="B-737-900",'2025'!$I$4="CA",'2025'!$I$2=CB195),'2025DATA'!$I$21,"")</f>
        <v/>
      </c>
      <c r="CC214" s="518" t="str">
        <f>IF(AND(_A5="B-737-900",'2025'!$I$4="CA",'2025'!$I$2=CC195),'2025DATA'!$J$21,"")</f>
        <v/>
      </c>
      <c r="CD214" s="518" t="str">
        <f>IF(AND(_A5="B-737-900",'2025'!$I$4="CA",'2025'!$I$2=CD195),'2025DATA'!$K$21,"")</f>
        <v/>
      </c>
      <c r="CE214" s="518" t="str">
        <f>IF(AND(_A5="B-737-900",'2025'!$I$4="CA",'2025'!$I$2=CE195),'2025DATA'!$L$21,"")</f>
        <v/>
      </c>
      <c r="CF214" s="518" t="str">
        <f>IF(AND(_A5="B-737-900",'2025'!$I$4="CA",'2025'!$I$2=CF195),'2025DATA'!$M$21,"")</f>
        <v/>
      </c>
      <c r="CG214" s="520" t="str">
        <f>IF(AND(_A5="B-737-900",'2025'!$I$4="CA",'2025'!$I$2=CG195),'2025DATA'!$N$21,"")</f>
        <v/>
      </c>
      <c r="CH214" s="940" t="s">
        <v>47</v>
      </c>
      <c r="CI214" s="13" t="s">
        <v>61</v>
      </c>
      <c r="CJ214" s="518" t="str">
        <f>IF(AND(_A6="B-737-900",'2025'!$I$4="CA",'2025'!$I$2=CJ195),'2025DATA'!$C$21,"")</f>
        <v/>
      </c>
      <c r="CK214" s="518" t="str">
        <f>IF(AND(_A6="B-737-900",'2025'!$I$4="CA",'2025'!$I$2=CK195),'2025DATA'!$D$21,"")</f>
        <v/>
      </c>
      <c r="CL214" s="518" t="str">
        <f>IF(AND(_A6="B-737-900",'2025'!$I$4="CA",'2025'!$I$2=CL195),'2025DATA'!$E$21,"")</f>
        <v/>
      </c>
      <c r="CM214" s="518" t="str">
        <f>IF(AND(_A6="B-737-900",'2025'!$I$4="CA",'2025'!$I$2=CM195),'2025DATA'!$F$21,"")</f>
        <v/>
      </c>
      <c r="CN214" s="518" t="str">
        <f>IF(AND(_A6="B-737-900",'2025'!$I$4="CA",'2025'!$I$2=CN195),'2025DATA'!$G$21,"")</f>
        <v/>
      </c>
      <c r="CO214" s="518" t="str">
        <f>IF(AND(_A6="B-737-900",'2025'!$I$4="CA",'2025'!$I$2=CO195),'2025DATA'!$H$21,"")</f>
        <v/>
      </c>
      <c r="CP214" s="518" t="str">
        <f>IF(AND(_A6="B-737-900",'2025'!$I$4="CA",'2025'!$I$2=CP195),'2025DATA'!$I$21,"")</f>
        <v/>
      </c>
      <c r="CQ214" s="518" t="str">
        <f>IF(AND(_A6="B-737-900",'2025'!$I$4="CA",'2025'!$I$2=CQ195),'2025DATA'!$J$21,"")</f>
        <v/>
      </c>
      <c r="CR214" s="518" t="str">
        <f>IF(AND(_A6="B-737-900",'2025'!$I$4="CA",'2025'!$I$2=CR195),'2025DATA'!$K$21,"")</f>
        <v/>
      </c>
      <c r="CS214" s="518" t="str">
        <f>IF(AND(_A6="B-737-900",'2025'!$I$4="CA",'2025'!$I$2=CS195),'2025DATA'!$L$21,"")</f>
        <v/>
      </c>
      <c r="CT214" s="518" t="str">
        <f>IF(AND(_A6="B-737-900",'2025'!$I$4="CA",'2025'!$I$2=CT195),'2025DATA'!$M$21,"")</f>
        <v/>
      </c>
      <c r="CU214" s="520" t="str">
        <f>IF(AND(_A6="B-737-900",'2025'!$I$4="CA",'2025'!$I$2=CU195),'2025DATA'!$N$21,"")</f>
        <v/>
      </c>
    </row>
    <row r="215" spans="16:99" x14ac:dyDescent="0.25">
      <c r="P215" s="940"/>
      <c r="Q215" s="13" t="s">
        <v>62</v>
      </c>
      <c r="R215" s="518" t="str">
        <f>IF(AND(_A1="B-737-900",'2025'!$I$4="FO",'2025'!$I$2=R195),'2025DATA'!$C$22,"")</f>
        <v/>
      </c>
      <c r="S215" s="518" t="str">
        <f>IF(AND(_A1="B-737-900",'2025'!$I$4="FO",'2025'!$I$2=S195),'2025DATA'!$D$22,"")</f>
        <v/>
      </c>
      <c r="T215" s="518" t="str">
        <f>IF(AND(_A1="B-737-900",'2025'!$I$4="FO",'2025'!$I$2=T195),'2025DATA'!$E$22,"")</f>
        <v/>
      </c>
      <c r="U215" s="518" t="str">
        <f>IF(AND(_A1="B-737-900",'2025'!$I$4="FO",'2025'!$I$2=U195),'2025DATA'!$F$22,"")</f>
        <v/>
      </c>
      <c r="V215" s="518" t="str">
        <f>IF(AND(_A1="B-737-900",'2025'!$I$4="FO",'2025'!$I$2=V195),'2025DATA'!$G$22,"")</f>
        <v/>
      </c>
      <c r="W215" s="518" t="str">
        <f>IF(AND(_A1="B-737-900",'2025'!$I$4="FO",'2025'!$I$2=W195),'2025DATA'!$H$22,"")</f>
        <v/>
      </c>
      <c r="X215" s="518" t="str">
        <f>IF(AND(_A1="B-737-900",'2025'!$I$4="FO",'2025'!$I$2=X195),'2025DATA'!$I$22,"")</f>
        <v/>
      </c>
      <c r="Y215" s="518" t="str">
        <f>IF(AND(_A1="B-737-900",'2025'!$I$4="FO",'2025'!$I$2=Y195),'2025DATA'!$J$22,"")</f>
        <v/>
      </c>
      <c r="Z215" s="518" t="str">
        <f>IF(AND(_A1="B-737-900",'2025'!$I$4="FO",'2025'!$I$2=Z195),'2025DATA'!$K$22,"")</f>
        <v/>
      </c>
      <c r="AA215" s="518" t="str">
        <f>IF(AND(_A1="B-737-900",'2025'!$I$4="FO",'2025'!$I$2=AA195),'2025DATA'!$L$22,"")</f>
        <v/>
      </c>
      <c r="AB215" s="518" t="str">
        <f>IF(AND(_A1="B-737-900",'2025'!$I$4="FO",'2025'!$I$2=AB195),'2025DATA'!$M$22,"")</f>
        <v/>
      </c>
      <c r="AC215" s="520" t="str">
        <f>IF(AND(_A1="B-737-900",'2025'!$I$4="FO",'2025'!$I$2=AC195),'2025DATA'!$N$22,"")</f>
        <v/>
      </c>
      <c r="AD215" s="940"/>
      <c r="AE215" s="13" t="s">
        <v>62</v>
      </c>
      <c r="AF215" s="518" t="str">
        <f>IF(AND(_A2="B-737-900",'2025'!$I$4="FO",'2025'!$I$2=AF195),'2025DATA'!$C$22,"")</f>
        <v/>
      </c>
      <c r="AG215" s="518" t="str">
        <f>IF(AND(_A2="B-737-900",'2025'!$I$4="FO",'2025'!$I$2=AG195),'2025DATA'!$D$22,"")</f>
        <v/>
      </c>
      <c r="AH215" s="518" t="str">
        <f>IF(AND(_A2="B-737-900",'2025'!$I$4="FO",'2025'!$I$2=AH195),'2025DATA'!$E$22,"")</f>
        <v/>
      </c>
      <c r="AI215" s="518" t="str">
        <f>IF(AND(_A2="B-737-900",'2025'!$I$4="FO",'2025'!$I$2=AI195),'2025DATA'!$F$22,"")</f>
        <v/>
      </c>
      <c r="AJ215" s="518" t="str">
        <f>IF(AND(_A2="B-737-900",'2025'!$I$4="FO",'2025'!$I$2=AJ195),'2025DATA'!$G$22,"")</f>
        <v/>
      </c>
      <c r="AK215" s="518" t="str">
        <f>IF(AND(_A2="B-737-900",'2025'!$I$4="FO",'2025'!$I$2=AK195),'2025DATA'!$H$22,"")</f>
        <v/>
      </c>
      <c r="AL215" s="518" t="str">
        <f>IF(AND(_A2="B-737-900",'2025'!$I$4="FO",'2025'!$I$2=AL195),'2025DATA'!$I$22,"")</f>
        <v/>
      </c>
      <c r="AM215" s="518" t="str">
        <f>IF(AND(_A2="B-737-900",'2025'!$I$4="FO",'2025'!$I$2=AM195),'2025DATA'!$J$22,"")</f>
        <v/>
      </c>
      <c r="AN215" s="518" t="str">
        <f>IF(AND(_A2="B-737-900",'2025'!$I$4="FO",'2025'!$I$2=AN195),'2025DATA'!$K$22,"")</f>
        <v/>
      </c>
      <c r="AO215" s="518" t="str">
        <f>IF(AND(_A2="B-737-900",'2025'!$I$4="FO",'2025'!$I$2=AO195),'2025DATA'!$L$22,"")</f>
        <v/>
      </c>
      <c r="AP215" s="518" t="str">
        <f>IF(AND(_A2="B-737-900",'2025'!$I$4="FO",'2025'!$I$2=AP195),'2025DATA'!$M$22,"")</f>
        <v/>
      </c>
      <c r="AQ215" s="520" t="str">
        <f>IF(AND(_A2="B-737-900",'2025'!$I$4="FO",'2025'!$I$2=AQ195),'2025DATA'!$N$22,"")</f>
        <v/>
      </c>
      <c r="AR215" s="940"/>
      <c r="AS215" s="13" t="s">
        <v>62</v>
      </c>
      <c r="AT215" s="518" t="str">
        <f>IF(AND(_A3="B-737-900",'2025'!$I$4="FO",'2025'!$I$2=AT195),'2025DATA'!$C$22,"")</f>
        <v/>
      </c>
      <c r="AU215" s="518" t="str">
        <f>IF(AND(_A3="B-737-900",'2025'!$I$4="FO",'2025'!$I$2=AU195),'2025DATA'!$D$22,"")</f>
        <v/>
      </c>
      <c r="AV215" s="518" t="str">
        <f>IF(AND(_A3="B-737-900",'2025'!$I$4="FO",'2025'!$I$2=AV195),'2025DATA'!$E$22,"")</f>
        <v/>
      </c>
      <c r="AW215" s="518" t="str">
        <f>IF(AND(_A3="B-737-900",'2025'!$I$4="FO",'2025'!$I$2=AW195),'2025DATA'!$F$22,"")</f>
        <v/>
      </c>
      <c r="AX215" s="518" t="str">
        <f>IF(AND(_A3="B-737-900",'2025'!$I$4="FO",'2025'!$I$2=AX195),'2025DATA'!$G$22,"")</f>
        <v/>
      </c>
      <c r="AY215" s="518" t="str">
        <f>IF(AND(_A3="B-737-900",'2025'!$I$4="FO",'2025'!$I$2=AY195),'2025DATA'!$H$22,"")</f>
        <v/>
      </c>
      <c r="AZ215" s="518" t="str">
        <f>IF(AND(_A3="B-737-900",'2025'!$I$4="FO",'2025'!$I$2=AZ195),'2025DATA'!$I$22,"")</f>
        <v/>
      </c>
      <c r="BA215" s="518" t="str">
        <f>IF(AND(_A3="B-737-900",'2025'!$I$4="FO",'2025'!$I$2=BA195),'2025DATA'!$J$22,"")</f>
        <v/>
      </c>
      <c r="BB215" s="518" t="str">
        <f>IF(AND(_A3="B-737-900",'2025'!$I$4="FO",'2025'!$I$2=BB195),'2025DATA'!$K$22,"")</f>
        <v/>
      </c>
      <c r="BC215" s="518" t="str">
        <f>IF(AND(_A3="B-737-900",'2025'!$I$4="FO",'2025'!$I$2=BC195),'2025DATA'!$L$22,"")</f>
        <v/>
      </c>
      <c r="BD215" s="518" t="str">
        <f>IF(AND(_A3="B-737-900",'2025'!$I$4="FO",'2025'!$I$2=BD195),'2025DATA'!$M$22,"")</f>
        <v/>
      </c>
      <c r="BE215" s="520" t="str">
        <f>IF(AND(_A3="B-737-900",'2025'!$I$4="FO",'2025'!$I$2=BE195),'2025DATA'!$N$22,"")</f>
        <v/>
      </c>
      <c r="BF215" s="940"/>
      <c r="BG215" s="13" t="s">
        <v>62</v>
      </c>
      <c r="BH215" s="518" t="str">
        <f>IF(AND(_A4="B-737-900",'2025'!$I$4="FO",'2025'!$I$2=BH195),'2025DATA'!$C$22,"")</f>
        <v/>
      </c>
      <c r="BI215" s="518" t="str">
        <f>IF(AND(_A4="B-737-900",'2025'!$I$4="FO",'2025'!$I$2=BI195),'2025DATA'!$D$22,"")</f>
        <v/>
      </c>
      <c r="BJ215" s="518" t="str">
        <f>IF(AND(_A4="B-737-900",'2025'!$I$4="FO",'2025'!$I$2=BJ195),'2025DATA'!$E$22,"")</f>
        <v/>
      </c>
      <c r="BK215" s="518" t="str">
        <f>IF(AND(_A4="B-737-900",'2025'!$I$4="FO",'2025'!$I$2=BK195),'2025DATA'!$F$22,"")</f>
        <v/>
      </c>
      <c r="BL215" s="518" t="str">
        <f>IF(AND(_A4="B-737-900",'2025'!$I$4="FO",'2025'!$I$2=BL195),'2025DATA'!$G$22,"")</f>
        <v/>
      </c>
      <c r="BM215" s="518" t="str">
        <f>IF(AND(_A4="B-737-900",'2025'!$I$4="FO",'2025'!$I$2=BM195),'2025DATA'!$H$22,"")</f>
        <v/>
      </c>
      <c r="BN215" s="518" t="str">
        <f>IF(AND(_A4="B-737-900",'2025'!$I$4="FO",'2025'!$I$2=BN195),'2025DATA'!$I$22,"")</f>
        <v/>
      </c>
      <c r="BO215" s="518" t="str">
        <f>IF(AND(_A4="B-737-900",'2025'!$I$4="FO",'2025'!$I$2=BO195),'2025DATA'!$J$22,"")</f>
        <v/>
      </c>
      <c r="BP215" s="518" t="str">
        <f>IF(AND(_A4="B-737-900",'2025'!$I$4="FO",'2025'!$I$2=BP195),'2025DATA'!$K$22,"")</f>
        <v/>
      </c>
      <c r="BQ215" s="518" t="str">
        <f>IF(AND(_A4="B-737-900",'2025'!$I$4="FO",'2025'!$I$2=BQ195),'2025DATA'!$L$22,"")</f>
        <v/>
      </c>
      <c r="BR215" s="518" t="str">
        <f>IF(AND(_A4="B-737-900",'2025'!$I$4="FO",'2025'!$I$2=BR195),'2025DATA'!$M$22,"")</f>
        <v/>
      </c>
      <c r="BS215" s="520" t="str">
        <f>IF(AND(_A4="B-737-900",'2025'!$I$4="FO",'2025'!$I$2=BS195),'2025DATA'!$N$22,"")</f>
        <v/>
      </c>
      <c r="BT215" s="940"/>
      <c r="BU215" s="13" t="s">
        <v>62</v>
      </c>
      <c r="BV215" s="518" t="str">
        <f>IF(AND(_A5="B-737-900",'2025'!$I$4="FO",'2025'!$I$2=BV195),'2025DATA'!$C$22,"")</f>
        <v/>
      </c>
      <c r="BW215" s="518" t="str">
        <f>IF(AND(_A5="B-737-900",'2025'!$I$4="FO",'2025'!$I$2=BW195),'2025DATA'!$D$22,"")</f>
        <v/>
      </c>
      <c r="BX215" s="518" t="str">
        <f>IF(AND(_A5="B-737-900",'2025'!$I$4="FO",'2025'!$I$2=BX195),'2025DATA'!$E$22,"")</f>
        <v/>
      </c>
      <c r="BY215" s="518" t="str">
        <f>IF(AND(_A5="B-737-900",'2025'!$I$4="FO",'2025'!$I$2=BY195),'2025DATA'!$F$22,"")</f>
        <v/>
      </c>
      <c r="BZ215" s="518" t="str">
        <f>IF(AND(_A5="B-737-900",'2025'!$I$4="FO",'2025'!$I$2=BZ195),'2025DATA'!$G$22,"")</f>
        <v/>
      </c>
      <c r="CA215" s="518" t="str">
        <f>IF(AND(_A5="B-737-900",'2025'!$I$4="FO",'2025'!$I$2=CA195),'2025DATA'!$H$22,"")</f>
        <v/>
      </c>
      <c r="CB215" s="518" t="str">
        <f>IF(AND(_A5="B-737-900",'2025'!$I$4="FO",'2025'!$I$2=CB195),'2025DATA'!$I$22,"")</f>
        <v/>
      </c>
      <c r="CC215" s="518" t="str">
        <f>IF(AND(_A5="B-737-900",'2025'!$I$4="FO",'2025'!$I$2=CC195),'2025DATA'!$J$22,"")</f>
        <v/>
      </c>
      <c r="CD215" s="518" t="str">
        <f>IF(AND(_A5="B-737-900",'2025'!$I$4="FO",'2025'!$I$2=CD195),'2025DATA'!$K$22,"")</f>
        <v/>
      </c>
      <c r="CE215" s="518" t="str">
        <f>IF(AND(_A5="B-737-900",'2025'!$I$4="FO",'2025'!$I$2=CE195),'2025DATA'!$L$22,"")</f>
        <v/>
      </c>
      <c r="CF215" s="518" t="str">
        <f>IF(AND(_A5="B-737-900",'2025'!$I$4="FO",'2025'!$I$2=CF195),'2025DATA'!$M$22,"")</f>
        <v/>
      </c>
      <c r="CG215" s="520" t="str">
        <f>IF(AND(_A5="B-737-900",'2025'!$I$4="FO",'2025'!$I$2=CG195),'2025DATA'!$N$22,"")</f>
        <v/>
      </c>
      <c r="CH215" s="940"/>
      <c r="CI215" s="13" t="s">
        <v>62</v>
      </c>
      <c r="CJ215" s="518" t="str">
        <f>IF(AND(_A6="B-737-900",'2025'!$I$4="FO",'2025'!$I$2=CJ195),'2025DATA'!$C$22,"")</f>
        <v/>
      </c>
      <c r="CK215" s="518" t="str">
        <f>IF(AND(_A6="B-737-900",'2025'!$I$4="FO",'2025'!$I$2=CK195),'2025DATA'!$D$22,"")</f>
        <v/>
      </c>
      <c r="CL215" s="518" t="str">
        <f>IF(AND(_A6="B-737-900",'2025'!$I$4="FO",'2025'!$I$2=CL195),'2025DATA'!$E$22,"")</f>
        <v/>
      </c>
      <c r="CM215" s="518" t="str">
        <f>IF(AND(_A6="B-737-900",'2025'!$I$4="FO",'2025'!$I$2=CM195),'2025DATA'!$F$22,"")</f>
        <v/>
      </c>
      <c r="CN215" s="518" t="str">
        <f>IF(AND(_A6="B-737-900",'2025'!$I$4="FO",'2025'!$I$2=CN195),'2025DATA'!$G$22,"")</f>
        <v/>
      </c>
      <c r="CO215" s="518" t="str">
        <f>IF(AND(_A6="B-737-900",'2025'!$I$4="FO",'2025'!$I$2=CO195),'2025DATA'!$H$22,"")</f>
        <v/>
      </c>
      <c r="CP215" s="518" t="str">
        <f>IF(AND(_A6="B-737-900",'2025'!$I$4="FO",'2025'!$I$2=CP195),'2025DATA'!$I$22,"")</f>
        <v/>
      </c>
      <c r="CQ215" s="518" t="str">
        <f>IF(AND(_A6="B-737-900",'2025'!$I$4="FO",'2025'!$I$2=CQ195),'2025DATA'!$J$22,"")</f>
        <v/>
      </c>
      <c r="CR215" s="518" t="str">
        <f>IF(AND(_A6="B-737-900",'2025'!$I$4="FO",'2025'!$I$2=CR195),'2025DATA'!$K$22,"")</f>
        <v/>
      </c>
      <c r="CS215" s="518" t="str">
        <f>IF(AND(_A6="B-737-900",'2025'!$I$4="FO",'2025'!$I$2=CS195),'2025DATA'!$L$22,"")</f>
        <v/>
      </c>
      <c r="CT215" s="518" t="str">
        <f>IF(AND(_A6="B-737-900",'2025'!$I$4="FO",'2025'!$I$2=CT195),'2025DATA'!$M$22,"")</f>
        <v/>
      </c>
      <c r="CU215" s="520" t="str">
        <f>IF(AND(_A6="B-737-900",'2025'!$I$4="FO",'2025'!$I$2=CU195),'2025DATA'!$N$22,"")</f>
        <v/>
      </c>
    </row>
    <row r="216" spans="16:99" x14ac:dyDescent="0.25">
      <c r="P216" s="940" t="s">
        <v>69</v>
      </c>
      <c r="Q216" s="13" t="s">
        <v>61</v>
      </c>
      <c r="R216" s="518" t="str">
        <f>IF(AND(_A1="B-737-800",'2025'!$I$4="CA",'2025'!$I$2=R195),'2025DATA'!$C$23,"")</f>
        <v/>
      </c>
      <c r="S216" s="518" t="str">
        <f>IF(AND(_A1="B-737-800",'2025'!$I$4="CA",'2025'!$I$2=S195),'2025DATA'!$D$23,"")</f>
        <v/>
      </c>
      <c r="T216" s="518" t="str">
        <f>IF(AND(_A1="B-737-800",'2025'!$I$4="CA",'2025'!$I$2=T195),'2025DATA'!$E$23,"")</f>
        <v/>
      </c>
      <c r="U216" s="518" t="str">
        <f>IF(AND(_A1="B-737-800",'2025'!$I$4="CA",'2025'!$I$2=U195),'2025DATA'!$F$23,"")</f>
        <v/>
      </c>
      <c r="V216" s="518" t="str">
        <f>IF(AND(_A1="B-737-800",'2025'!$I$4="CA",'2025'!$I$2=V195),'2025DATA'!$G$23,"")</f>
        <v/>
      </c>
      <c r="W216" s="518" t="str">
        <f>IF(AND(_A1="B-737-800",'2025'!$I$4="CA",'2025'!$I$2=W195),'2025DATA'!$H$23,"")</f>
        <v/>
      </c>
      <c r="X216" s="518" t="str">
        <f>IF(AND(_A1="B-737-800",'2025'!$I$4="CA",'2025'!$I$2=X195),'2025DATA'!$I$23,"")</f>
        <v/>
      </c>
      <c r="Y216" s="518" t="str">
        <f>IF(AND(_A1="B-737-800",'2025'!$I$4="CA",'2025'!$I$2=Y195),'2025DATA'!$J$23,"")</f>
        <v/>
      </c>
      <c r="Z216" s="518" t="str">
        <f>IF(AND(_A1="B-737-800",'2025'!$I$4="CA",'2025'!$I$2=Z195),'2025DATA'!$K$23,"")</f>
        <v/>
      </c>
      <c r="AA216" s="518" t="str">
        <f>IF(AND(_A1="B-737-800",'2025'!$I$4="CA",'2025'!$I$2=AA195),'2025DATA'!$L$23,"")</f>
        <v/>
      </c>
      <c r="AB216" s="518" t="str">
        <f>IF(AND(_A1="B-737-800",'2025'!$I$4="CA",'2025'!$I$2=AB195),'2025DATA'!$M$23,"")</f>
        <v/>
      </c>
      <c r="AC216" s="520" t="str">
        <f>IF(AND(_A1="B-737-800",'2025'!$I$4="CA",'2025'!$I$2=AC195),'2025DATA'!$N$23,"")</f>
        <v/>
      </c>
      <c r="AD216" s="940" t="s">
        <v>69</v>
      </c>
      <c r="AE216" s="13" t="s">
        <v>61</v>
      </c>
      <c r="AF216" s="518" t="str">
        <f>IF(AND(_A2="B-737-800",'2025'!$I$4="CA",'2025'!$I$2=AF195),'2025DATA'!$C$23,"")</f>
        <v/>
      </c>
      <c r="AG216" s="518" t="str">
        <f>IF(AND(_A2="B-737-800",'2025'!$I$4="CA",'2025'!$I$2=AG195),'2025DATA'!$D$23,"")</f>
        <v/>
      </c>
      <c r="AH216" s="518" t="str">
        <f>IF(AND(_A2="B-737-800",'2025'!$I$4="CA",'2025'!$I$2=AH195),'2025DATA'!$E$23,"")</f>
        <v/>
      </c>
      <c r="AI216" s="518" t="str">
        <f>IF(AND(_A2="B-737-800",'2025'!$I$4="CA",'2025'!$I$2=AI195),'2025DATA'!$F$23,"")</f>
        <v/>
      </c>
      <c r="AJ216" s="518" t="str">
        <f>IF(AND(_A2="B-737-800",'2025'!$I$4="CA",'2025'!$I$2=AJ195),'2025DATA'!$G$23,"")</f>
        <v/>
      </c>
      <c r="AK216" s="518" t="str">
        <f>IF(AND(_A2="B-737-800",'2025'!$I$4="CA",'2025'!$I$2=AK195),'2025DATA'!$H$23,"")</f>
        <v/>
      </c>
      <c r="AL216" s="518" t="str">
        <f>IF(AND(_A2="B-737-800",'2025'!$I$4="CA",'2025'!$I$2=AL195),'2025DATA'!$I$23,"")</f>
        <v/>
      </c>
      <c r="AM216" s="518" t="str">
        <f>IF(AND(_A2="B-737-800",'2025'!$I$4="CA",'2025'!$I$2=AM195),'2025DATA'!$J$23,"")</f>
        <v/>
      </c>
      <c r="AN216" s="518" t="str">
        <f>IF(AND(_A2="B-737-800",'2025'!$I$4="CA",'2025'!$I$2=AN195),'2025DATA'!$K$23,"")</f>
        <v/>
      </c>
      <c r="AO216" s="518" t="str">
        <f>IF(AND(_A2="B-737-800",'2025'!$I$4="CA",'2025'!$I$2=AO195),'2025DATA'!$L$23,"")</f>
        <v/>
      </c>
      <c r="AP216" s="518" t="str">
        <f>IF(AND(_A2="B-737-800",'2025'!$I$4="CA",'2025'!$I$2=AP195),'2025DATA'!$M$23,"")</f>
        <v/>
      </c>
      <c r="AQ216" s="520" t="str">
        <f>IF(AND(_A2="B-737-800",'2025'!$I$4="CA",'2025'!$I$2=AQ195),'2025DATA'!$N$23,"")</f>
        <v/>
      </c>
      <c r="AR216" s="940" t="s">
        <v>69</v>
      </c>
      <c r="AS216" s="13" t="s">
        <v>61</v>
      </c>
      <c r="AT216" s="518" t="str">
        <f>IF(AND(_A3="B-737-800",'2025'!$I$4="CA",'2025'!$I$2=AT195),'2025DATA'!$C$23,"")</f>
        <v/>
      </c>
      <c r="AU216" s="518" t="str">
        <f>IF(AND(_A3="B-737-800",'2025'!$I$4="CA",'2025'!$I$2=AU195),'2025DATA'!$D$23,"")</f>
        <v/>
      </c>
      <c r="AV216" s="518" t="str">
        <f>IF(AND(_A3="B-737-800",'2025'!$I$4="CA",'2025'!$I$2=AV195),'2025DATA'!$E$23,"")</f>
        <v/>
      </c>
      <c r="AW216" s="518" t="str">
        <f>IF(AND(_A3="B-737-800",'2025'!$I$4="CA",'2025'!$I$2=AW195),'2025DATA'!$F$23,"")</f>
        <v/>
      </c>
      <c r="AX216" s="518" t="str">
        <f>IF(AND(_A3="B-737-800",'2025'!$I$4="CA",'2025'!$I$2=AX195),'2025DATA'!$G$23,"")</f>
        <v/>
      </c>
      <c r="AY216" s="518" t="str">
        <f>IF(AND(_A3="B-737-800",'2025'!$I$4="CA",'2025'!$I$2=AY195),'2025DATA'!$H$23,"")</f>
        <v/>
      </c>
      <c r="AZ216" s="518" t="str">
        <f>IF(AND(_A3="B-737-800",'2025'!$I$4="CA",'2025'!$I$2=AZ195),'2025DATA'!$I$23,"")</f>
        <v/>
      </c>
      <c r="BA216" s="518" t="str">
        <f>IF(AND(_A3="B-737-800",'2025'!$I$4="CA",'2025'!$I$2=BA195),'2025DATA'!$J$23,"")</f>
        <v/>
      </c>
      <c r="BB216" s="518" t="str">
        <f>IF(AND(_A3="B-737-800",'2025'!$I$4="CA",'2025'!$I$2=BB195),'2025DATA'!$K$23,"")</f>
        <v/>
      </c>
      <c r="BC216" s="518" t="str">
        <f>IF(AND(_A3="B-737-800",'2025'!$I$4="CA",'2025'!$I$2=BC195),'2025DATA'!$L$23,"")</f>
        <v/>
      </c>
      <c r="BD216" s="518" t="str">
        <f>IF(AND(_A3="B-737-800",'2025'!$I$4="CA",'2025'!$I$2=BD195),'2025DATA'!$M$23,"")</f>
        <v/>
      </c>
      <c r="BE216" s="520" t="str">
        <f>IF(AND(_A3="B-737-800",'2025'!$I$4="CA",'2025'!$I$2=BE195),'2025DATA'!$N$23,"")</f>
        <v/>
      </c>
      <c r="BF216" s="940" t="s">
        <v>69</v>
      </c>
      <c r="BG216" s="13" t="s">
        <v>61</v>
      </c>
      <c r="BH216" s="518" t="str">
        <f>IF(AND(_A4="B-737-800",'2025'!$I$4="CA",'2025'!$I$2=BH195),'2025DATA'!$C$23,"")</f>
        <v/>
      </c>
      <c r="BI216" s="518" t="str">
        <f>IF(AND(_A4="B-737-800",'2025'!$I$4="CA",'2025'!$I$2=BI195),'2025DATA'!$D$23,"")</f>
        <v/>
      </c>
      <c r="BJ216" s="518" t="str">
        <f>IF(AND(_A4="B-737-800",'2025'!$I$4="CA",'2025'!$I$2=BJ195),'2025DATA'!$E$23,"")</f>
        <v/>
      </c>
      <c r="BK216" s="518" t="str">
        <f>IF(AND(_A4="B-737-800",'2025'!$I$4="CA",'2025'!$I$2=BK195),'2025DATA'!$F$23,"")</f>
        <v/>
      </c>
      <c r="BL216" s="518" t="str">
        <f>IF(AND(_A4="B-737-800",'2025'!$I$4="CA",'2025'!$I$2=BL195),'2025DATA'!$G$23,"")</f>
        <v/>
      </c>
      <c r="BM216" s="518" t="str">
        <f>IF(AND(_A4="B-737-800",'2025'!$I$4="CA",'2025'!$I$2=BM195),'2025DATA'!$H$23,"")</f>
        <v/>
      </c>
      <c r="BN216" s="518" t="str">
        <f>IF(AND(_A4="B-737-800",'2025'!$I$4="CA",'2025'!$I$2=BN195),'2025DATA'!$I$23,"")</f>
        <v/>
      </c>
      <c r="BO216" s="518" t="str">
        <f>IF(AND(_A4="B-737-800",'2025'!$I$4="CA",'2025'!$I$2=BO195),'2025DATA'!$J$23,"")</f>
        <v/>
      </c>
      <c r="BP216" s="518" t="str">
        <f>IF(AND(_A4="B-737-800",'2025'!$I$4="CA",'2025'!$I$2=BP195),'2025DATA'!$K$23,"")</f>
        <v/>
      </c>
      <c r="BQ216" s="518" t="str">
        <f>IF(AND(_A4="B-737-800",'2025'!$I$4="CA",'2025'!$I$2=BQ195),'2025DATA'!$L$23,"")</f>
        <v/>
      </c>
      <c r="BR216" s="518" t="str">
        <f>IF(AND(_A4="B-737-800",'2025'!$I$4="CA",'2025'!$I$2=BR195),'2025DATA'!$M$23,"")</f>
        <v/>
      </c>
      <c r="BS216" s="520" t="str">
        <f>IF(AND(_A4="B-737-800",'2025'!$I$4="CA",'2025'!$I$2=BS195),'2025DATA'!$N$23,"")</f>
        <v/>
      </c>
      <c r="BT216" s="940" t="s">
        <v>69</v>
      </c>
      <c r="BU216" s="13" t="s">
        <v>61</v>
      </c>
      <c r="BV216" s="518" t="str">
        <f>IF(AND(_A5="B-737-800",'2025'!$I$4="CA",'2025'!$I$2=BV195),'2025DATA'!$C$23,"")</f>
        <v/>
      </c>
      <c r="BW216" s="518" t="str">
        <f>IF(AND(_A5="B-737-800",'2025'!$I$4="CA",'2025'!$I$2=BW195),'2025DATA'!$D$23,"")</f>
        <v/>
      </c>
      <c r="BX216" s="518" t="str">
        <f>IF(AND(_A5="B-737-800",'2025'!$I$4="CA",'2025'!$I$2=BX195),'2025DATA'!$E$23,"")</f>
        <v/>
      </c>
      <c r="BY216" s="518" t="str">
        <f>IF(AND(_A5="B-737-800",'2025'!$I$4="CA",'2025'!$I$2=BY195),'2025DATA'!$F$23,"")</f>
        <v/>
      </c>
      <c r="BZ216" s="518" t="str">
        <f>IF(AND(_A5="B-737-800",'2025'!$I$4="CA",'2025'!$I$2=BZ195),'2025DATA'!$G$23,"")</f>
        <v/>
      </c>
      <c r="CA216" s="518" t="str">
        <f>IF(AND(_A5="B-737-800",'2025'!$I$4="CA",'2025'!$I$2=CA195),'2025DATA'!$H$23,"")</f>
        <v/>
      </c>
      <c r="CB216" s="518" t="str">
        <f>IF(AND(_A5="B-737-800",'2025'!$I$4="CA",'2025'!$I$2=CB195),'2025DATA'!$I$23,"")</f>
        <v/>
      </c>
      <c r="CC216" s="518" t="str">
        <f>IF(AND(_A5="B-737-800",'2025'!$I$4="CA",'2025'!$I$2=CC195),'2025DATA'!$J$23,"")</f>
        <v/>
      </c>
      <c r="CD216" s="518" t="str">
        <f>IF(AND(_A5="B-737-800",'2025'!$I$4="CA",'2025'!$I$2=CD195),'2025DATA'!$K$23,"")</f>
        <v/>
      </c>
      <c r="CE216" s="518" t="str">
        <f>IF(AND(_A5="B-737-800",'2025'!$I$4="CA",'2025'!$I$2=CE195),'2025DATA'!$L$23,"")</f>
        <v/>
      </c>
      <c r="CF216" s="518" t="str">
        <f>IF(AND(_A5="B-737-800",'2025'!$I$4="CA",'2025'!$I$2=CF195),'2025DATA'!$M$23,"")</f>
        <v/>
      </c>
      <c r="CG216" s="520" t="str">
        <f>IF(AND(_A5="B-737-800",'2025'!$I$4="CA",'2025'!$I$2=CG195),'2025DATA'!$N$23,"")</f>
        <v/>
      </c>
      <c r="CH216" s="940" t="s">
        <v>69</v>
      </c>
      <c r="CI216" s="13" t="s">
        <v>61</v>
      </c>
      <c r="CJ216" s="518" t="str">
        <f>IF(AND(_A6="B-737-800",'2025'!$I$4="CA",'2025'!$I$2=CJ195),'2025DATA'!$C$23,"")</f>
        <v/>
      </c>
      <c r="CK216" s="518" t="str">
        <f>IF(AND(_A6="B-737-800",'2025'!$I$4="CA",'2025'!$I$2=CK195),'2025DATA'!$D$23,"")</f>
        <v/>
      </c>
      <c r="CL216" s="518" t="str">
        <f>IF(AND(_A6="B-737-800",'2025'!$I$4="CA",'2025'!$I$2=CL195),'2025DATA'!$E$23,"")</f>
        <v/>
      </c>
      <c r="CM216" s="518" t="str">
        <f>IF(AND(_A6="B-737-800",'2025'!$I$4="CA",'2025'!$I$2=CM195),'2025DATA'!$F$23,"")</f>
        <v/>
      </c>
      <c r="CN216" s="518" t="str">
        <f>IF(AND(_A6="B-737-800",'2025'!$I$4="CA",'2025'!$I$2=CN195),'2025DATA'!$G$23,"")</f>
        <v/>
      </c>
      <c r="CO216" s="518" t="str">
        <f>IF(AND(_A6="B-737-800",'2025'!$I$4="CA",'2025'!$I$2=CO195),'2025DATA'!$H$23,"")</f>
        <v/>
      </c>
      <c r="CP216" s="518" t="str">
        <f>IF(AND(_A6="B-737-800",'2025'!$I$4="CA",'2025'!$I$2=CP195),'2025DATA'!$I$23,"")</f>
        <v/>
      </c>
      <c r="CQ216" s="518" t="str">
        <f>IF(AND(_A6="B-737-800",'2025'!$I$4="CA",'2025'!$I$2=CQ195),'2025DATA'!$J$23,"")</f>
        <v/>
      </c>
      <c r="CR216" s="518" t="str">
        <f>IF(AND(_A6="B-737-800",'2025'!$I$4="CA",'2025'!$I$2=CR195),'2025DATA'!$K$23,"")</f>
        <v/>
      </c>
      <c r="CS216" s="518" t="str">
        <f>IF(AND(_A6="B-737-800",'2025'!$I$4="CA",'2025'!$I$2=CS195),'2025DATA'!$L$23,"")</f>
        <v/>
      </c>
      <c r="CT216" s="518" t="str">
        <f>IF(AND(_A6="B-737-800",'2025'!$I$4="CA",'2025'!$I$2=CT195),'2025DATA'!$M$23,"")</f>
        <v/>
      </c>
      <c r="CU216" s="520" t="str">
        <f>IF(AND(_A6="B-737-800",'2025'!$I$4="CA",'2025'!$I$2=CU195),'2025DATA'!$N$23,"")</f>
        <v/>
      </c>
    </row>
    <row r="217" spans="16:99" x14ac:dyDescent="0.25">
      <c r="P217" s="940"/>
      <c r="Q217" s="13" t="s">
        <v>62</v>
      </c>
      <c r="R217" s="518" t="str">
        <f>IF(AND(_A1="B-737-800",'2025'!$I$4="FO",'2025'!$I$2=R195),'2025DATA'!$C$24,"")</f>
        <v/>
      </c>
      <c r="S217" s="518" t="str">
        <f>IF(AND(_A1="B-737-800",'2025'!$I$4="FO",'2025'!$I$2=S195),'2025DATA'!$D$24,"")</f>
        <v/>
      </c>
      <c r="T217" s="518" t="str">
        <f>IF(AND(_A1="B-737-800",'2025'!$I$4="FO",'2025'!$I$2=T195),'2025DATA'!$E$24,"")</f>
        <v/>
      </c>
      <c r="U217" s="518" t="str">
        <f>IF(AND(_A1="B-737-800",'2025'!$I$4="FO",'2025'!$I$2=U195),'2025DATA'!$F$24,"")</f>
        <v/>
      </c>
      <c r="V217" s="518" t="str">
        <f>IF(AND(_A1="B-737-800",'2025'!$I$4="FO",'2025'!$I$2=V195),'2025DATA'!$G$24,"")</f>
        <v/>
      </c>
      <c r="W217" s="518" t="str">
        <f>IF(AND(_A1="B-737-800",'2025'!$I$4="FO",'2025'!$I$2=W195),'2025DATA'!$H$24,"")</f>
        <v/>
      </c>
      <c r="X217" s="518" t="str">
        <f>IF(AND(_A1="B-737-800",'2025'!$I$4="FO",'2025'!$I$2=X195),'2025DATA'!$I$24,"")</f>
        <v/>
      </c>
      <c r="Y217" s="518" t="str">
        <f>IF(AND(_A1="B-737-800",'2025'!$I$4="FO",'2025'!$I$2=Y195),'2025DATA'!$J$24,"")</f>
        <v/>
      </c>
      <c r="Z217" s="518" t="str">
        <f>IF(AND(_A1="B-737-800",'2025'!$I$4="FO",'2025'!$I$2=Z195),'2025DATA'!$K$24,"")</f>
        <v/>
      </c>
      <c r="AA217" s="518" t="str">
        <f>IF(AND(_A1="B-737-800",'2025'!$I$4="FO",'2025'!$I$2=AA195),'2025DATA'!$L$24,"")</f>
        <v/>
      </c>
      <c r="AB217" s="518" t="str">
        <f>IF(AND(_A1="B-737-800",'2025'!$I$4="FO",'2025'!$I$2=AB195),'2025DATA'!$M$24,"")</f>
        <v/>
      </c>
      <c r="AC217" s="520" t="str">
        <f>IF(AND(_A1="B-737-800",'2025'!$I$4="FO",'2025'!$I$2=AC195),'2025DATA'!$N$24,"")</f>
        <v/>
      </c>
      <c r="AD217" s="940"/>
      <c r="AE217" s="13" t="s">
        <v>62</v>
      </c>
      <c r="AF217" s="518" t="str">
        <f>IF(AND(_A2="B-737-800",'2025'!$I$4="FO",'2025'!$I$2=AF195),'2025DATA'!$C$24,"")</f>
        <v/>
      </c>
      <c r="AG217" s="518" t="str">
        <f>IF(AND(_A2="B-737-800",'2025'!$I$4="FO",'2025'!$I$2=AG195),'2025DATA'!$D$24,"")</f>
        <v/>
      </c>
      <c r="AH217" s="518" t="str">
        <f>IF(AND(_A2="B-737-800",'2025'!$I$4="FO",'2025'!$I$2=AH195),'2025DATA'!$E$24,"")</f>
        <v/>
      </c>
      <c r="AI217" s="518" t="str">
        <f>IF(AND(_A2="B-737-800",'2025'!$I$4="FO",'2025'!$I$2=AI195),'2025DATA'!$F$24,"")</f>
        <v/>
      </c>
      <c r="AJ217" s="518" t="str">
        <f>IF(AND(_A2="B-737-800",'2025'!$I$4="FO",'2025'!$I$2=AJ195),'2025DATA'!$G$24,"")</f>
        <v/>
      </c>
      <c r="AK217" s="518" t="str">
        <f>IF(AND(_A2="B-737-800",'2025'!$I$4="FO",'2025'!$I$2=AK195),'2025DATA'!$H$24,"")</f>
        <v/>
      </c>
      <c r="AL217" s="518" t="str">
        <f>IF(AND(_A2="B-737-800",'2025'!$I$4="FO",'2025'!$I$2=AL195),'2025DATA'!$I$24,"")</f>
        <v/>
      </c>
      <c r="AM217" s="518" t="str">
        <f>IF(AND(_A2="B-737-800",'2025'!$I$4="FO",'2025'!$I$2=AM195),'2025DATA'!$J$24,"")</f>
        <v/>
      </c>
      <c r="AN217" s="518" t="str">
        <f>IF(AND(_A2="B-737-800",'2025'!$I$4="FO",'2025'!$I$2=AN195),'2025DATA'!$K$24,"")</f>
        <v/>
      </c>
      <c r="AO217" s="518" t="str">
        <f>IF(AND(_A2="B-737-800",'2025'!$I$4="FO",'2025'!$I$2=AO195),'2025DATA'!$L$24,"")</f>
        <v/>
      </c>
      <c r="AP217" s="518" t="str">
        <f>IF(AND(_A2="B-737-800",'2025'!$I$4="FO",'2025'!$I$2=AP195),'2025DATA'!$M$24,"")</f>
        <v/>
      </c>
      <c r="AQ217" s="520" t="str">
        <f>IF(AND(_A2="B-737-800",'2025'!$I$4="FO",'2025'!$I$2=AQ195),'2025DATA'!$N$24,"")</f>
        <v/>
      </c>
      <c r="AR217" s="940"/>
      <c r="AS217" s="13" t="s">
        <v>62</v>
      </c>
      <c r="AT217" s="518" t="str">
        <f>IF(AND(_A3="B-737-800",'2025'!$I$4="FO",'2025'!$I$2=AT195),'2025DATA'!$C$24,"")</f>
        <v/>
      </c>
      <c r="AU217" s="518" t="str">
        <f>IF(AND(_A3="B-737-800",'2025'!$I$4="FO",'2025'!$I$2=AU195),'2025DATA'!$D$24,"")</f>
        <v/>
      </c>
      <c r="AV217" s="518" t="str">
        <f>IF(AND(_A3="B-737-800",'2025'!$I$4="FO",'2025'!$I$2=AV195),'2025DATA'!$E$24,"")</f>
        <v/>
      </c>
      <c r="AW217" s="518" t="str">
        <f>IF(AND(_A3="B-737-800",'2025'!$I$4="FO",'2025'!$I$2=AW195),'2025DATA'!$F$24,"")</f>
        <v/>
      </c>
      <c r="AX217" s="518" t="str">
        <f>IF(AND(_A3="B-737-800",'2025'!$I$4="FO",'2025'!$I$2=AX195),'2025DATA'!$G$24,"")</f>
        <v/>
      </c>
      <c r="AY217" s="518" t="str">
        <f>IF(AND(_A3="B-737-800",'2025'!$I$4="FO",'2025'!$I$2=AY195),'2025DATA'!$H$24,"")</f>
        <v/>
      </c>
      <c r="AZ217" s="518" t="str">
        <f>IF(AND(_A3="B-737-800",'2025'!$I$4="FO",'2025'!$I$2=AZ195),'2025DATA'!$I$24,"")</f>
        <v/>
      </c>
      <c r="BA217" s="518" t="str">
        <f>IF(AND(_A3="B-737-800",'2025'!$I$4="FO",'2025'!$I$2=BA195),'2025DATA'!$J$24,"")</f>
        <v/>
      </c>
      <c r="BB217" s="518" t="str">
        <f>IF(AND(_A3="B-737-800",'2025'!$I$4="FO",'2025'!$I$2=BB195),'2025DATA'!$K$24,"")</f>
        <v/>
      </c>
      <c r="BC217" s="518" t="str">
        <f>IF(AND(_A3="B-737-800",'2025'!$I$4="FO",'2025'!$I$2=BC195),'2025DATA'!$L$24,"")</f>
        <v/>
      </c>
      <c r="BD217" s="518" t="str">
        <f>IF(AND(_A3="B-737-800",'2025'!$I$4="FO",'2025'!$I$2=BD195),'2025DATA'!$M$24,"")</f>
        <v/>
      </c>
      <c r="BE217" s="520" t="str">
        <f>IF(AND(_A3="B-737-800",'2025'!$I$4="FO",'2025'!$I$2=BE195),'2025DATA'!$N$24,"")</f>
        <v/>
      </c>
      <c r="BF217" s="940"/>
      <c r="BG217" s="13" t="s">
        <v>62</v>
      </c>
      <c r="BH217" s="518" t="str">
        <f>IF(AND(_A4="B-737-800",'2025'!$I$4="FO",'2025'!$I$2=BH195),'2025DATA'!$C$24,"")</f>
        <v/>
      </c>
      <c r="BI217" s="518" t="str">
        <f>IF(AND(_A4="B-737-800",'2025'!$I$4="FO",'2025'!$I$2=BI195),'2025DATA'!$D$24,"")</f>
        <v/>
      </c>
      <c r="BJ217" s="518" t="str">
        <f>IF(AND(_A4="B-737-800",'2025'!$I$4="FO",'2025'!$I$2=BJ195),'2025DATA'!$E$24,"")</f>
        <v/>
      </c>
      <c r="BK217" s="518" t="str">
        <f>IF(AND(_A4="B-737-800",'2025'!$I$4="FO",'2025'!$I$2=BK195),'2025DATA'!$F$24,"")</f>
        <v/>
      </c>
      <c r="BL217" s="518" t="str">
        <f>IF(AND(_A4="B-737-800",'2025'!$I$4="FO",'2025'!$I$2=BL195),'2025DATA'!$G$24,"")</f>
        <v/>
      </c>
      <c r="BM217" s="518" t="str">
        <f>IF(AND(_A4="B-737-800",'2025'!$I$4="FO",'2025'!$I$2=BM195),'2025DATA'!$H$24,"")</f>
        <v/>
      </c>
      <c r="BN217" s="518" t="str">
        <f>IF(AND(_A4="B-737-800",'2025'!$I$4="FO",'2025'!$I$2=BN195),'2025DATA'!$I$24,"")</f>
        <v/>
      </c>
      <c r="BO217" s="518" t="str">
        <f>IF(AND(_A4="B-737-800",'2025'!$I$4="FO",'2025'!$I$2=BO195),'2025DATA'!$J$24,"")</f>
        <v/>
      </c>
      <c r="BP217" s="518" t="str">
        <f>IF(AND(_A4="B-737-800",'2025'!$I$4="FO",'2025'!$I$2=BP195),'2025DATA'!$K$24,"")</f>
        <v/>
      </c>
      <c r="BQ217" s="518" t="str">
        <f>IF(AND(_A4="B-737-800",'2025'!$I$4="FO",'2025'!$I$2=BQ195),'2025DATA'!$L$24,"")</f>
        <v/>
      </c>
      <c r="BR217" s="518" t="str">
        <f>IF(AND(_A4="B-737-800",'2025'!$I$4="FO",'2025'!$I$2=BR195),'2025DATA'!$M$24,"")</f>
        <v/>
      </c>
      <c r="BS217" s="520" t="str">
        <f>IF(AND(_A4="B-737-800",'2025'!$I$4="FO",'2025'!$I$2=BS195),'2025DATA'!$N$24,"")</f>
        <v/>
      </c>
      <c r="BT217" s="940"/>
      <c r="BU217" s="13" t="s">
        <v>62</v>
      </c>
      <c r="BV217" s="518" t="str">
        <f>IF(AND(_A5="B-737-800",'2025'!$I$4="FO",'2025'!$I$2=BV195),'2025DATA'!$C$24,"")</f>
        <v/>
      </c>
      <c r="BW217" s="518" t="str">
        <f>IF(AND(_A5="B-737-800",'2025'!$I$4="FO",'2025'!$I$2=BW195),'2025DATA'!$D$24,"")</f>
        <v/>
      </c>
      <c r="BX217" s="518" t="str">
        <f>IF(AND(_A5="B-737-800",'2025'!$I$4="FO",'2025'!$I$2=BX195),'2025DATA'!$E$24,"")</f>
        <v/>
      </c>
      <c r="BY217" s="518" t="str">
        <f>IF(AND(_A5="B-737-800",'2025'!$I$4="FO",'2025'!$I$2=BY195),'2025DATA'!$F$24,"")</f>
        <v/>
      </c>
      <c r="BZ217" s="518" t="str">
        <f>IF(AND(_A5="B-737-800",'2025'!$I$4="FO",'2025'!$I$2=BZ195),'2025DATA'!$G$24,"")</f>
        <v/>
      </c>
      <c r="CA217" s="518" t="str">
        <f>IF(AND(_A5="B-737-800",'2025'!$I$4="FO",'2025'!$I$2=CA195),'2025DATA'!$H$24,"")</f>
        <v/>
      </c>
      <c r="CB217" s="518" t="str">
        <f>IF(AND(_A5="B-737-800",'2025'!$I$4="FO",'2025'!$I$2=CB195),'2025DATA'!$I$24,"")</f>
        <v/>
      </c>
      <c r="CC217" s="518" t="str">
        <f>IF(AND(_A5="B-737-800",'2025'!$I$4="FO",'2025'!$I$2=CC195),'2025DATA'!$J$24,"")</f>
        <v/>
      </c>
      <c r="CD217" s="518" t="str">
        <f>IF(AND(_A5="B-737-800",'2025'!$I$4="FO",'2025'!$I$2=CD195),'2025DATA'!$K$24,"")</f>
        <v/>
      </c>
      <c r="CE217" s="518" t="str">
        <f>IF(AND(_A5="B-737-800",'2025'!$I$4="FO",'2025'!$I$2=CE195),'2025DATA'!$L$24,"")</f>
        <v/>
      </c>
      <c r="CF217" s="518" t="str">
        <f>IF(AND(_A5="B-737-800",'2025'!$I$4="FO",'2025'!$I$2=CF195),'2025DATA'!$M$24,"")</f>
        <v/>
      </c>
      <c r="CG217" s="520" t="str">
        <f>IF(AND(_A5="B-737-800",'2025'!$I$4="FO",'2025'!$I$2=CG195),'2025DATA'!$N$24,"")</f>
        <v/>
      </c>
      <c r="CH217" s="940"/>
      <c r="CI217" s="13" t="s">
        <v>62</v>
      </c>
      <c r="CJ217" s="518" t="str">
        <f>IF(AND(_A6="B-737-800",'2025'!$I$4="FO",'2025'!$I$2=CJ195),'2025DATA'!$C$24,"")</f>
        <v/>
      </c>
      <c r="CK217" s="518" t="str">
        <f>IF(AND(_A6="B-737-800",'2025'!$I$4="FO",'2025'!$I$2=CK195),'2025DATA'!$D$24,"")</f>
        <v/>
      </c>
      <c r="CL217" s="518" t="str">
        <f>IF(AND(_A6="B-737-800",'2025'!$I$4="FO",'2025'!$I$2=CL195),'2025DATA'!$E$24,"")</f>
        <v/>
      </c>
      <c r="CM217" s="518" t="str">
        <f>IF(AND(_A6="B-737-800",'2025'!$I$4="FO",'2025'!$I$2=CM195),'2025DATA'!$F$24,"")</f>
        <v/>
      </c>
      <c r="CN217" s="518" t="str">
        <f>IF(AND(_A6="B-737-800",'2025'!$I$4="FO",'2025'!$I$2=CN195),'2025DATA'!$G$24,"")</f>
        <v/>
      </c>
      <c r="CO217" s="518" t="str">
        <f>IF(AND(_A6="B-737-800",'2025'!$I$4="FO",'2025'!$I$2=CO195),'2025DATA'!$H$24,"")</f>
        <v/>
      </c>
      <c r="CP217" s="518" t="str">
        <f>IF(AND(_A6="B-737-800",'2025'!$I$4="FO",'2025'!$I$2=CP195),'2025DATA'!$I$24,"")</f>
        <v/>
      </c>
      <c r="CQ217" s="518" t="str">
        <f>IF(AND(_A6="B-737-800",'2025'!$I$4="FO",'2025'!$I$2=CQ195),'2025DATA'!$J$24,"")</f>
        <v/>
      </c>
      <c r="CR217" s="518" t="str">
        <f>IF(AND(_A6="B-737-800",'2025'!$I$4="FO",'2025'!$I$2=CR195),'2025DATA'!$K$24,"")</f>
        <v/>
      </c>
      <c r="CS217" s="518" t="str">
        <f>IF(AND(_A6="B-737-800",'2025'!$I$4="FO",'2025'!$I$2=CS195),'2025DATA'!$L$24,"")</f>
        <v/>
      </c>
      <c r="CT217" s="518" t="str">
        <f>IF(AND(_A6="B-737-800",'2025'!$I$4="FO",'2025'!$I$2=CT195),'2025DATA'!$M$24,"")</f>
        <v/>
      </c>
      <c r="CU217" s="520" t="str">
        <f>IF(AND(_A6="B-737-800",'2025'!$I$4="FO",'2025'!$I$2=CU195),'2025DATA'!$N$24,"")</f>
        <v/>
      </c>
    </row>
    <row r="218" spans="16:99" x14ac:dyDescent="0.25">
      <c r="P218" s="940" t="s">
        <v>46</v>
      </c>
      <c r="Q218" s="13" t="s">
        <v>61</v>
      </c>
      <c r="R218" s="518" t="str">
        <f>IF(AND(_A1="A-321N",'2025'!$I$4="CA",'2025'!$I$2=R195),'2025DATA'!$C$25,"")</f>
        <v/>
      </c>
      <c r="S218" s="518" t="str">
        <f>IF(AND(_A1="A-321N",'2025'!$I$4="CA",'2025'!$I$2=S195),'2025DATA'!$D$25,"")</f>
        <v/>
      </c>
      <c r="T218" s="518" t="str">
        <f>IF(AND(_A1="A-321N",'2025'!$I$4="CA",'2025'!$I$2=T195),'2025DATA'!$E$25,"")</f>
        <v/>
      </c>
      <c r="U218" s="518" t="str">
        <f>IF(AND(_A1="A-321N",'2025'!$I$4="CA",'2025'!$I$2=U195),'2025DATA'!$F$25,"")</f>
        <v/>
      </c>
      <c r="V218" s="518" t="str">
        <f>IF(AND(_A1="A-321N",'2025'!$I$4="CA",'2025'!$I$2=V195),'2025DATA'!$G$25,"")</f>
        <v/>
      </c>
      <c r="W218" s="518" t="str">
        <f>IF(AND(_A1="A-321N",'2025'!$I$4="CA",'2025'!$I$2=W195),'2025DATA'!$H$25,"")</f>
        <v/>
      </c>
      <c r="X218" s="518" t="str">
        <f>IF(AND(_A1="A-321N",'2025'!$I$4="CA",'2025'!$I$2=X195),'2025DATA'!$I$25,"")</f>
        <v/>
      </c>
      <c r="Y218" s="518" t="str">
        <f>IF(AND(_A1="A-321N",'2025'!$I$4="CA",'2025'!$I$2=Y195),'2025DATA'!$J$25,"")</f>
        <v/>
      </c>
      <c r="Z218" s="518" t="str">
        <f>IF(AND(_A1="A-321N",'2025'!$I$4="CA",'2025'!$I$2=Z195),'2025DATA'!$K$25,"")</f>
        <v/>
      </c>
      <c r="AA218" s="518" t="str">
        <f>IF(AND(_A1="A-321N",'2025'!$I$4="CA",'2025'!$I$2=AA195),'2025DATA'!$L$25,"")</f>
        <v/>
      </c>
      <c r="AB218" s="518" t="str">
        <f>IF(AND(_A1="A-321N",'2025'!$I$4="CA",'2025'!$I$2=AB195),'2025DATA'!$M$25,"")</f>
        <v/>
      </c>
      <c r="AC218" s="520" t="str">
        <f>IF(AND(_A1="A-321N",'2025'!$I$4="CA",'2025'!$I$2=AC195),'2025DATA'!$N$25,"")</f>
        <v/>
      </c>
      <c r="AD218" s="940" t="s">
        <v>46</v>
      </c>
      <c r="AE218" s="13" t="s">
        <v>61</v>
      </c>
      <c r="AF218" s="518" t="str">
        <f>IF(AND(_A2="A-321N",'2025'!$I$4="CA",'2025'!$I$2=AF195),'2025DATA'!$C$25,"")</f>
        <v/>
      </c>
      <c r="AG218" s="518" t="str">
        <f>IF(AND(_A2="A-321N",'2025'!$I$4="CA",'2025'!$I$2=AG195),'2025DATA'!$D$25,"")</f>
        <v/>
      </c>
      <c r="AH218" s="518" t="str">
        <f>IF(AND(_A2="A-321N",'2025'!$I$4="CA",'2025'!$I$2=AH195),'2025DATA'!$E$25,"")</f>
        <v/>
      </c>
      <c r="AI218" s="518" t="str">
        <f>IF(AND(_A2="A-321N",'2025'!$I$4="CA",'2025'!$I$2=AI195),'2025DATA'!$F$25,"")</f>
        <v/>
      </c>
      <c r="AJ218" s="518" t="str">
        <f>IF(AND(_A2="A-321N",'2025'!$I$4="CA",'2025'!$I$2=AJ195),'2025DATA'!$G$25,"")</f>
        <v/>
      </c>
      <c r="AK218" s="518" t="str">
        <f>IF(AND(_A2="A-321N",'2025'!$I$4="CA",'2025'!$I$2=AK195),'2025DATA'!$H$25,"")</f>
        <v/>
      </c>
      <c r="AL218" s="518" t="str">
        <f>IF(AND(_A2="A-321N",'2025'!$I$4="CA",'2025'!$I$2=AL195),'2025DATA'!$I$25,"")</f>
        <v/>
      </c>
      <c r="AM218" s="518" t="str">
        <f>IF(AND(_A2="A-321N",'2025'!$I$4="CA",'2025'!$I$2=AM195),'2025DATA'!$J$25,"")</f>
        <v/>
      </c>
      <c r="AN218" s="518" t="str">
        <f>IF(AND(_A2="A-321N",'2025'!$I$4="CA",'2025'!$I$2=AN195),'2025DATA'!$K$25,"")</f>
        <v/>
      </c>
      <c r="AO218" s="518" t="str">
        <f>IF(AND(_A2="A-321N",'2025'!$I$4="CA",'2025'!$I$2=AO195),'2025DATA'!$L$25,"")</f>
        <v/>
      </c>
      <c r="AP218" s="518" t="str">
        <f>IF(AND(_A2="A-321N",'2025'!$I$4="CA",'2025'!$I$2=AP195),'2025DATA'!$M$25,"")</f>
        <v/>
      </c>
      <c r="AQ218" s="520" t="str">
        <f>IF(AND(_A2="A-321N",'2025'!$I$4="CA",'2025'!$I$2=AQ195),'2025DATA'!$N$25,"")</f>
        <v/>
      </c>
      <c r="AR218" s="940" t="s">
        <v>46</v>
      </c>
      <c r="AS218" s="13" t="s">
        <v>61</v>
      </c>
      <c r="AT218" s="518" t="str">
        <f>IF(AND(_A3="A-321N",'2025'!$I$4="CA",'2025'!$I$2=AT195),'2025DATA'!$C$25,"")</f>
        <v/>
      </c>
      <c r="AU218" s="518" t="str">
        <f>IF(AND(_A3="A-321N",'2025'!$I$4="CA",'2025'!$I$2=AU195),'2025DATA'!$D$25,"")</f>
        <v/>
      </c>
      <c r="AV218" s="518" t="str">
        <f>IF(AND(_A3="A-321N",'2025'!$I$4="CA",'2025'!$I$2=AV195),'2025DATA'!$E$25,"")</f>
        <v/>
      </c>
      <c r="AW218" s="518" t="str">
        <f>IF(AND(_A3="A-321N",'2025'!$I$4="CA",'2025'!$I$2=AW195),'2025DATA'!$F$25,"")</f>
        <v/>
      </c>
      <c r="AX218" s="518" t="str">
        <f>IF(AND(_A3="A-321N",'2025'!$I$4="CA",'2025'!$I$2=AX195),'2025DATA'!$G$25,"")</f>
        <v/>
      </c>
      <c r="AY218" s="518" t="str">
        <f>IF(AND(_A3="A-321N",'2025'!$I$4="CA",'2025'!$I$2=AY195),'2025DATA'!$H$25,"")</f>
        <v/>
      </c>
      <c r="AZ218" s="518" t="str">
        <f>IF(AND(_A3="A-321N",'2025'!$I$4="CA",'2025'!$I$2=AZ195),'2025DATA'!$I$25,"")</f>
        <v/>
      </c>
      <c r="BA218" s="518" t="str">
        <f>IF(AND(_A3="A-321N",'2025'!$I$4="CA",'2025'!$I$2=BA195),'2025DATA'!$J$25,"")</f>
        <v/>
      </c>
      <c r="BB218" s="518" t="str">
        <f>IF(AND(_A3="A-321N",'2025'!$I$4="CA",'2025'!$I$2=BB195),'2025DATA'!$K$25,"")</f>
        <v/>
      </c>
      <c r="BC218" s="518" t="str">
        <f>IF(AND(_A3="A-321N",'2025'!$I$4="CA",'2025'!$I$2=BC195),'2025DATA'!$L$25,"")</f>
        <v/>
      </c>
      <c r="BD218" s="518" t="str">
        <f>IF(AND(_A3="A-321N",'2025'!$I$4="CA",'2025'!$I$2=BD195),'2025DATA'!$M$25,"")</f>
        <v/>
      </c>
      <c r="BE218" s="520" t="str">
        <f>IF(AND(_A3="A-321N",'2025'!$I$4="CA",'2025'!$I$2=BE195),'2025DATA'!$N$25,"")</f>
        <v/>
      </c>
      <c r="BF218" s="940" t="s">
        <v>46</v>
      </c>
      <c r="BG218" s="13" t="s">
        <v>61</v>
      </c>
      <c r="BH218" s="518" t="str">
        <f>IF(AND(_A4="A-321N",'2025'!$I$4="CA",'2025'!$I$2=BH195),'2025DATA'!$C$25,"")</f>
        <v/>
      </c>
      <c r="BI218" s="518" t="str">
        <f>IF(AND(_A4="A-321N",'2025'!$I$4="CA",'2025'!$I$2=BI195),'2025DATA'!$D$25,"")</f>
        <v/>
      </c>
      <c r="BJ218" s="518" t="str">
        <f>IF(AND(_A4="A-321N",'2025'!$I$4="CA",'2025'!$I$2=BJ195),'2025DATA'!$E$25,"")</f>
        <v/>
      </c>
      <c r="BK218" s="518" t="str">
        <f>IF(AND(_A4="A-321N",'2025'!$I$4="CA",'2025'!$I$2=BK195),'2025DATA'!$F$25,"")</f>
        <v/>
      </c>
      <c r="BL218" s="518" t="str">
        <f>IF(AND(_A4="A-321N",'2025'!$I$4="CA",'2025'!$I$2=BL195),'2025DATA'!$G$25,"")</f>
        <v/>
      </c>
      <c r="BM218" s="518" t="str">
        <f>IF(AND(_A4="A-321N",'2025'!$I$4="CA",'2025'!$I$2=BM195),'2025DATA'!$H$25,"")</f>
        <v/>
      </c>
      <c r="BN218" s="518" t="str">
        <f>IF(AND(_A4="A-321N",'2025'!$I$4="CA",'2025'!$I$2=BN195),'2025DATA'!$I$25,"")</f>
        <v/>
      </c>
      <c r="BO218" s="518" t="str">
        <f>IF(AND(_A4="A-321N",'2025'!$I$4="CA",'2025'!$I$2=BO195),'2025DATA'!$J$25,"")</f>
        <v/>
      </c>
      <c r="BP218" s="518" t="str">
        <f>IF(AND(_A4="A-321N",'2025'!$I$4="CA",'2025'!$I$2=BP195),'2025DATA'!$K$25,"")</f>
        <v/>
      </c>
      <c r="BQ218" s="518" t="str">
        <f>IF(AND(_A4="A-321N",'2025'!$I$4="CA",'2025'!$I$2=BQ195),'2025DATA'!$L$25,"")</f>
        <v/>
      </c>
      <c r="BR218" s="518" t="str">
        <f>IF(AND(_A4="A-321N",'2025'!$I$4="CA",'2025'!$I$2=BR195),'2025DATA'!$M$25,"")</f>
        <v/>
      </c>
      <c r="BS218" s="520" t="str">
        <f>IF(AND(_A4="A-321N",'2025'!$I$4="CA",'2025'!$I$2=BS195),'2025DATA'!$N$25,"")</f>
        <v/>
      </c>
      <c r="BT218" s="940" t="s">
        <v>46</v>
      </c>
      <c r="BU218" s="13" t="s">
        <v>61</v>
      </c>
      <c r="BV218" s="518" t="str">
        <f>IF(AND(_A5="A-321N",'2025'!$I$4="CA",'2025'!$I$2=BV195),'2025DATA'!$C$25,"")</f>
        <v/>
      </c>
      <c r="BW218" s="518" t="str">
        <f>IF(AND(_A5="A-321N",'2025'!$I$4="CA",'2025'!$I$2=BW195),'2025DATA'!$D$25,"")</f>
        <v/>
      </c>
      <c r="BX218" s="518" t="str">
        <f>IF(AND(_A5="A-321N",'2025'!$I$4="CA",'2025'!$I$2=BX195),'2025DATA'!$E$25,"")</f>
        <v/>
      </c>
      <c r="BY218" s="518" t="str">
        <f>IF(AND(_A5="A-321N",'2025'!$I$4="CA",'2025'!$I$2=BY195),'2025DATA'!$F$25,"")</f>
        <v/>
      </c>
      <c r="BZ218" s="518" t="str">
        <f>IF(AND(_A5="A-321N",'2025'!$I$4="CA",'2025'!$I$2=BZ195),'2025DATA'!$G$25,"")</f>
        <v/>
      </c>
      <c r="CA218" s="518" t="str">
        <f>IF(AND(_A5="A-321N",'2025'!$I$4="CA",'2025'!$I$2=CA195),'2025DATA'!$H$25,"")</f>
        <v/>
      </c>
      <c r="CB218" s="518" t="str">
        <f>IF(AND(_A5="A-321N",'2025'!$I$4="CA",'2025'!$I$2=CB195),'2025DATA'!$I$25,"")</f>
        <v/>
      </c>
      <c r="CC218" s="518" t="str">
        <f>IF(AND(_A5="A-321N",'2025'!$I$4="CA",'2025'!$I$2=CC195),'2025DATA'!$J$25,"")</f>
        <v/>
      </c>
      <c r="CD218" s="518" t="str">
        <f>IF(AND(_A5="A-321N",'2025'!$I$4="CA",'2025'!$I$2=CD195),'2025DATA'!$K$25,"")</f>
        <v/>
      </c>
      <c r="CE218" s="518" t="str">
        <f>IF(AND(_A5="A-321N",'2025'!$I$4="CA",'2025'!$I$2=CE195),'2025DATA'!$L$25,"")</f>
        <v/>
      </c>
      <c r="CF218" s="518" t="str">
        <f>IF(AND(_A5="A-321N",'2025'!$I$4="CA",'2025'!$I$2=CF195),'2025DATA'!$M$25,"")</f>
        <v/>
      </c>
      <c r="CG218" s="520" t="str">
        <f>IF(AND(_A5="A-321N",'2025'!$I$4="CA",'2025'!$I$2=CG195),'2025DATA'!$N$25,"")</f>
        <v/>
      </c>
      <c r="CH218" s="940" t="s">
        <v>46</v>
      </c>
      <c r="CI218" s="13" t="s">
        <v>61</v>
      </c>
      <c r="CJ218" s="518" t="str">
        <f>IF(AND(_A6="A-321N",'2025'!$I$4="CA",'2025'!$I$2=CJ195),'2025DATA'!$C$25,"")</f>
        <v/>
      </c>
      <c r="CK218" s="518" t="str">
        <f>IF(AND(_A6="A-321N",'2025'!$I$4="CA",'2025'!$I$2=CK195),'2025DATA'!$D$25,"")</f>
        <v/>
      </c>
      <c r="CL218" s="518" t="str">
        <f>IF(AND(_A6="A-321N",'2025'!$I$4="CA",'2025'!$I$2=CL195),'2025DATA'!$E$25,"")</f>
        <v/>
      </c>
      <c r="CM218" s="518" t="str">
        <f>IF(AND(_A6="A-321N",'2025'!$I$4="CA",'2025'!$I$2=CM195),'2025DATA'!$F$25,"")</f>
        <v/>
      </c>
      <c r="CN218" s="518" t="str">
        <f>IF(AND(_A6="A-321N",'2025'!$I$4="CA",'2025'!$I$2=CN195),'2025DATA'!$G$25,"")</f>
        <v/>
      </c>
      <c r="CO218" s="518" t="str">
        <f>IF(AND(_A6="A-321N",'2025'!$I$4="CA",'2025'!$I$2=CO195),'2025DATA'!$H$25,"")</f>
        <v/>
      </c>
      <c r="CP218" s="518" t="str">
        <f>IF(AND(_A6="A-321N",'2025'!$I$4="CA",'2025'!$I$2=CP195),'2025DATA'!$I$25,"")</f>
        <v/>
      </c>
      <c r="CQ218" s="518" t="str">
        <f>IF(AND(_A6="A-321N",'2025'!$I$4="CA",'2025'!$I$2=CQ195),'2025DATA'!$J$25,"")</f>
        <v/>
      </c>
      <c r="CR218" s="518" t="str">
        <f>IF(AND(_A6="A-321N",'2025'!$I$4="CA",'2025'!$I$2=CR195),'2025DATA'!$K$25,"")</f>
        <v/>
      </c>
      <c r="CS218" s="518" t="str">
        <f>IF(AND(_A6="A-321N",'2025'!$I$4="CA",'2025'!$I$2=CS195),'2025DATA'!$L$25,"")</f>
        <v/>
      </c>
      <c r="CT218" s="518" t="str">
        <f>IF(AND(_A6="A-321N",'2025'!$I$4="CA",'2025'!$I$2=CT195),'2025DATA'!$M$25,"")</f>
        <v/>
      </c>
      <c r="CU218" s="520" t="str">
        <f>IF(AND(_A6="A-321N",'2025'!$I$4="CA",'2025'!$I$2=CU195),'2025DATA'!$N$25,"")</f>
        <v/>
      </c>
    </row>
    <row r="219" spans="16:99" x14ac:dyDescent="0.25">
      <c r="P219" s="940"/>
      <c r="Q219" s="13" t="s">
        <v>62</v>
      </c>
      <c r="R219" s="518" t="str">
        <f>IF(AND(_A1="A-321N",'2025'!$I$4="FO",'2025'!$I$2=R195),'2025DATA'!$C$26,"")</f>
        <v/>
      </c>
      <c r="S219" s="518" t="str">
        <f>IF(AND(_A1="A-321N",'2025'!$I$4="FO",'2025'!$I$2=S195),'2025DATA'!$D$26,"")</f>
        <v/>
      </c>
      <c r="T219" s="518" t="str">
        <f>IF(AND(_A1="A-321N",'2025'!$I$4="FO",'2025'!$I$2=T195),'2025DATA'!$E$26,"")</f>
        <v/>
      </c>
      <c r="U219" s="518" t="str">
        <f>IF(AND(_A1="A-321N",'2025'!$I$4="FO",'2025'!$I$2=U195),'2025DATA'!$F$26,"")</f>
        <v/>
      </c>
      <c r="V219" s="518" t="str">
        <f>IF(AND(_A1="A-321N",'2025'!$I$4="FO",'2025'!$I$2=V195),'2025DATA'!$G$26,"")</f>
        <v/>
      </c>
      <c r="W219" s="518" t="str">
        <f>IF(AND(_A1="A-321N",'2025'!$I$4="FO",'2025'!$I$2=W195),'2025DATA'!$H$26,"")</f>
        <v/>
      </c>
      <c r="X219" s="518" t="str">
        <f>IF(AND(_A1="A-321N",'2025'!$I$4="FO",'2025'!$I$2=X195),'2025DATA'!$I$26,"")</f>
        <v/>
      </c>
      <c r="Y219" s="518" t="str">
        <f>IF(AND(_A1="A-321N",'2025'!$I$4="FO",'2025'!$I$2=Y195),'2025DATA'!$J$26,"")</f>
        <v/>
      </c>
      <c r="Z219" s="518" t="str">
        <f>IF(AND(_A1="A-321N",'2025'!$I$4="FO",'2025'!$I$2=Z195),'2025DATA'!$K$26,"")</f>
        <v/>
      </c>
      <c r="AA219" s="518" t="str">
        <f>IF(AND(_A1="A-321N",'2025'!$I$4="FO",'2025'!$I$2=AA195),'2025DATA'!$L$26,"")</f>
        <v/>
      </c>
      <c r="AB219" s="518" t="str">
        <f>IF(AND(_A1="A-321N",'2025'!$I$4="FO",'2025'!$I$2=AB195),'2025DATA'!$M$26,"")</f>
        <v/>
      </c>
      <c r="AC219" s="520" t="str">
        <f>IF(AND(_A1="A-321N",'2025'!$I$4="FO",'2025'!$I$2=AC195),'2025DATA'!$N$26,"")</f>
        <v/>
      </c>
      <c r="AD219" s="940"/>
      <c r="AE219" s="13" t="s">
        <v>62</v>
      </c>
      <c r="AF219" s="518" t="str">
        <f>IF(AND(_A2="A-321N",'2025'!$I$4="FO",'2025'!$I$2=AF195),'2025DATA'!$C$26,"")</f>
        <v/>
      </c>
      <c r="AG219" s="518" t="str">
        <f>IF(AND(_A2="A-321N",'2025'!$I$4="FO",'2025'!$I$2=AG195),'2025DATA'!$D$26,"")</f>
        <v/>
      </c>
      <c r="AH219" s="518" t="str">
        <f>IF(AND(_A2="A-321N",'2025'!$I$4="FO",'2025'!$I$2=AH195),'2025DATA'!$E$26,"")</f>
        <v/>
      </c>
      <c r="AI219" s="518" t="str">
        <f>IF(AND(_A2="A-321N",'2025'!$I$4="FO",'2025'!$I$2=AI195),'2025DATA'!$F$26,"")</f>
        <v/>
      </c>
      <c r="AJ219" s="518" t="str">
        <f>IF(AND(_A2="A-321N",'2025'!$I$4="FO",'2025'!$I$2=AJ195),'2025DATA'!$G$26,"")</f>
        <v/>
      </c>
      <c r="AK219" s="518" t="str">
        <f>IF(AND(_A2="A-321N",'2025'!$I$4="FO",'2025'!$I$2=AK195),'2025DATA'!$H$26,"")</f>
        <v/>
      </c>
      <c r="AL219" s="518" t="str">
        <f>IF(AND(_A2="A-321N",'2025'!$I$4="FO",'2025'!$I$2=AL195),'2025DATA'!$I$26,"")</f>
        <v/>
      </c>
      <c r="AM219" s="518" t="str">
        <f>IF(AND(_A2="A-321N",'2025'!$I$4="FO",'2025'!$I$2=AM195),'2025DATA'!$J$26,"")</f>
        <v/>
      </c>
      <c r="AN219" s="518" t="str">
        <f>IF(AND(_A2="A-321N",'2025'!$I$4="FO",'2025'!$I$2=AN195),'2025DATA'!$K$26,"")</f>
        <v/>
      </c>
      <c r="AO219" s="518" t="str">
        <f>IF(AND(_A2="A-321N",'2025'!$I$4="FO",'2025'!$I$2=AO195),'2025DATA'!$L$26,"")</f>
        <v/>
      </c>
      <c r="AP219" s="518" t="str">
        <f>IF(AND(_A2="A-321N",'2025'!$I$4="FO",'2025'!$I$2=AP195),'2025DATA'!$M$26,"")</f>
        <v/>
      </c>
      <c r="AQ219" s="520" t="str">
        <f>IF(AND(_A2="A-321N",'2025'!$I$4="FO",'2025'!$I$2=AQ195),'2025DATA'!$N$26,"")</f>
        <v/>
      </c>
      <c r="AR219" s="940"/>
      <c r="AS219" s="13" t="s">
        <v>62</v>
      </c>
      <c r="AT219" s="518" t="str">
        <f>IF(AND(_A3="A-321N",'2025'!$I$4="FO",'2025'!$I$2=AT195),'2025DATA'!$C$26,"")</f>
        <v/>
      </c>
      <c r="AU219" s="518" t="str">
        <f>IF(AND(_A3="A-321N",'2025'!$I$4="FO",'2025'!$I$2=AU195),'2025DATA'!$D$26,"")</f>
        <v/>
      </c>
      <c r="AV219" s="518" t="str">
        <f>IF(AND(_A3="A-321N",'2025'!$I$4="FO",'2025'!$I$2=AV195),'2025DATA'!$E$26,"")</f>
        <v/>
      </c>
      <c r="AW219" s="518" t="str">
        <f>IF(AND(_A3="A-321N",'2025'!$I$4="FO",'2025'!$I$2=AW195),'2025DATA'!$F$26,"")</f>
        <v/>
      </c>
      <c r="AX219" s="518" t="str">
        <f>IF(AND(_A3="A-321N",'2025'!$I$4="FO",'2025'!$I$2=AX195),'2025DATA'!$G$26,"")</f>
        <v/>
      </c>
      <c r="AY219" s="518" t="str">
        <f>IF(AND(_A3="A-321N",'2025'!$I$4="FO",'2025'!$I$2=AY195),'2025DATA'!$H$26,"")</f>
        <v/>
      </c>
      <c r="AZ219" s="518" t="str">
        <f>IF(AND(_A3="A-321N",'2025'!$I$4="FO",'2025'!$I$2=AZ195),'2025DATA'!$I$26,"")</f>
        <v/>
      </c>
      <c r="BA219" s="518" t="str">
        <f>IF(AND(_A3="A-321N",'2025'!$I$4="FO",'2025'!$I$2=BA195),'2025DATA'!$J$26,"")</f>
        <v/>
      </c>
      <c r="BB219" s="518" t="str">
        <f>IF(AND(_A3="A-321N",'2025'!$I$4="FO",'2025'!$I$2=BB195),'2025DATA'!$K$26,"")</f>
        <v/>
      </c>
      <c r="BC219" s="518" t="str">
        <f>IF(AND(_A3="A-321N",'2025'!$I$4="FO",'2025'!$I$2=BC195),'2025DATA'!$L$26,"")</f>
        <v/>
      </c>
      <c r="BD219" s="518" t="str">
        <f>IF(AND(_A3="A-321N",'2025'!$I$4="FO",'2025'!$I$2=BD195),'2025DATA'!$M$26,"")</f>
        <v/>
      </c>
      <c r="BE219" s="520" t="str">
        <f>IF(AND(_A3="A-321N",'2025'!$I$4="FO",'2025'!$I$2=BE195),'2025DATA'!$N$26,"")</f>
        <v/>
      </c>
      <c r="BF219" s="940"/>
      <c r="BG219" s="13" t="s">
        <v>62</v>
      </c>
      <c r="BH219" s="518" t="str">
        <f>IF(AND(_A4="A-321N",'2025'!$I$4="FO",'2025'!$I$2=BH195),'2025DATA'!$C$26,"")</f>
        <v/>
      </c>
      <c r="BI219" s="518" t="str">
        <f>IF(AND(_A4="A-321N",'2025'!$I$4="FO",'2025'!$I$2=BI195),'2025DATA'!$D$26,"")</f>
        <v/>
      </c>
      <c r="BJ219" s="518" t="str">
        <f>IF(AND(_A4="A-321N",'2025'!$I$4="FO",'2025'!$I$2=BJ195),'2025DATA'!$E$26,"")</f>
        <v/>
      </c>
      <c r="BK219" s="518" t="str">
        <f>IF(AND(_A4="A-321N",'2025'!$I$4="FO",'2025'!$I$2=BK195),'2025DATA'!$F$26,"")</f>
        <v/>
      </c>
      <c r="BL219" s="518" t="str">
        <f>IF(AND(_A4="A-321N",'2025'!$I$4="FO",'2025'!$I$2=BL195),'2025DATA'!$G$26,"")</f>
        <v/>
      </c>
      <c r="BM219" s="518" t="str">
        <f>IF(AND(_A4="A-321N",'2025'!$I$4="FO",'2025'!$I$2=BM195),'2025DATA'!$H$26,"")</f>
        <v/>
      </c>
      <c r="BN219" s="518" t="str">
        <f>IF(AND(_A4="A-321N",'2025'!$I$4="FO",'2025'!$I$2=BN195),'2025DATA'!$I$26,"")</f>
        <v/>
      </c>
      <c r="BO219" s="518" t="str">
        <f>IF(AND(_A4="A-321N",'2025'!$I$4="FO",'2025'!$I$2=BO195),'2025DATA'!$J$26,"")</f>
        <v/>
      </c>
      <c r="BP219" s="518" t="str">
        <f>IF(AND(_A4="A-321N",'2025'!$I$4="FO",'2025'!$I$2=BP195),'2025DATA'!$K$26,"")</f>
        <v/>
      </c>
      <c r="BQ219" s="518" t="str">
        <f>IF(AND(_A4="A-321N",'2025'!$I$4="FO",'2025'!$I$2=BQ195),'2025DATA'!$L$26,"")</f>
        <v/>
      </c>
      <c r="BR219" s="518" t="str">
        <f>IF(AND(_A4="A-321N",'2025'!$I$4="FO",'2025'!$I$2=BR195),'2025DATA'!$M$26,"")</f>
        <v/>
      </c>
      <c r="BS219" s="520" t="str">
        <f>IF(AND(_A4="A-321N",'2025'!$I$4="FO",'2025'!$I$2=BS195),'2025DATA'!$N$26,"")</f>
        <v/>
      </c>
      <c r="BT219" s="940"/>
      <c r="BU219" s="13" t="s">
        <v>62</v>
      </c>
      <c r="BV219" s="518" t="str">
        <f>IF(AND(_A5="A-321N",'2025'!$I$4="FO",'2025'!$I$2=BV195),'2025DATA'!$C$26,"")</f>
        <v/>
      </c>
      <c r="BW219" s="518" t="str">
        <f>IF(AND(_A5="A-321N",'2025'!$I$4="FO",'2025'!$I$2=BW195),'2025DATA'!$D$26,"")</f>
        <v/>
      </c>
      <c r="BX219" s="518" t="str">
        <f>IF(AND(_A5="A-321N",'2025'!$I$4="FO",'2025'!$I$2=BX195),'2025DATA'!$E$26,"")</f>
        <v/>
      </c>
      <c r="BY219" s="518" t="str">
        <f>IF(AND(_A5="A-321N",'2025'!$I$4="FO",'2025'!$I$2=BY195),'2025DATA'!$F$26,"")</f>
        <v/>
      </c>
      <c r="BZ219" s="518" t="str">
        <f>IF(AND(_A5="A-321N",'2025'!$I$4="FO",'2025'!$I$2=BZ195),'2025DATA'!$G$26,"")</f>
        <v/>
      </c>
      <c r="CA219" s="518" t="str">
        <f>IF(AND(_A5="A-321N",'2025'!$I$4="FO",'2025'!$I$2=CA195),'2025DATA'!$H$26,"")</f>
        <v/>
      </c>
      <c r="CB219" s="518" t="str">
        <f>IF(AND(_A5="A-321N",'2025'!$I$4="FO",'2025'!$I$2=CB195),'2025DATA'!$I$26,"")</f>
        <v/>
      </c>
      <c r="CC219" s="518" t="str">
        <f>IF(AND(_A5="A-321N",'2025'!$I$4="FO",'2025'!$I$2=CC195),'2025DATA'!$J$26,"")</f>
        <v/>
      </c>
      <c r="CD219" s="518" t="str">
        <f>IF(AND(_A5="A-321N",'2025'!$I$4="FO",'2025'!$I$2=CD195),'2025DATA'!$K$26,"")</f>
        <v/>
      </c>
      <c r="CE219" s="518" t="str">
        <f>IF(AND(_A5="A-321N",'2025'!$I$4="FO",'2025'!$I$2=CE195),'2025DATA'!$L$26,"")</f>
        <v/>
      </c>
      <c r="CF219" s="518" t="str">
        <f>IF(AND(_A5="A-321N",'2025'!$I$4="FO",'2025'!$I$2=CF195),'2025DATA'!$M$26,"")</f>
        <v/>
      </c>
      <c r="CG219" s="520" t="str">
        <f>IF(AND(_A5="A-321N",'2025'!$I$4="FO",'2025'!$I$2=CG195),'2025DATA'!$N$26,"")</f>
        <v/>
      </c>
      <c r="CH219" s="940"/>
      <c r="CI219" s="13" t="s">
        <v>62</v>
      </c>
      <c r="CJ219" s="518" t="str">
        <f>IF(AND(_A6="A-321N",'2025'!$I$4="FO",'2025'!$I$2=CJ195),'2025DATA'!$C$26,"")</f>
        <v/>
      </c>
      <c r="CK219" s="518" t="str">
        <f>IF(AND(_A6="A-321N",'2025'!$I$4="FO",'2025'!$I$2=CK195),'2025DATA'!$D$26,"")</f>
        <v/>
      </c>
      <c r="CL219" s="518" t="str">
        <f>IF(AND(_A6="A-321N",'2025'!$I$4="FO",'2025'!$I$2=CL195),'2025DATA'!$E$26,"")</f>
        <v/>
      </c>
      <c r="CM219" s="518" t="str">
        <f>IF(AND(_A6="A-321N",'2025'!$I$4="FO",'2025'!$I$2=CM195),'2025DATA'!$F$26,"")</f>
        <v/>
      </c>
      <c r="CN219" s="518" t="str">
        <f>IF(AND(_A6="A-321N",'2025'!$I$4="FO",'2025'!$I$2=CN195),'2025DATA'!$G$26,"")</f>
        <v/>
      </c>
      <c r="CO219" s="518" t="str">
        <f>IF(AND(_A6="A-321N",'2025'!$I$4="FO",'2025'!$I$2=CO195),'2025DATA'!$H$26,"")</f>
        <v/>
      </c>
      <c r="CP219" s="518" t="str">
        <f>IF(AND(_A6="A-321N",'2025'!$I$4="FO",'2025'!$I$2=CP195),'2025DATA'!$I$26,"")</f>
        <v/>
      </c>
      <c r="CQ219" s="518" t="str">
        <f>IF(AND(_A6="A-321N",'2025'!$I$4="FO",'2025'!$I$2=CQ195),'2025DATA'!$J$26,"")</f>
        <v/>
      </c>
      <c r="CR219" s="518" t="str">
        <f>IF(AND(_A6="A-321N",'2025'!$I$4="FO",'2025'!$I$2=CR195),'2025DATA'!$K$26,"")</f>
        <v/>
      </c>
      <c r="CS219" s="518" t="str">
        <f>IF(AND(_A6="A-321N",'2025'!$I$4="FO",'2025'!$I$2=CS195),'2025DATA'!$L$26,"")</f>
        <v/>
      </c>
      <c r="CT219" s="518" t="str">
        <f>IF(AND(_A6="A-321N",'2025'!$I$4="FO",'2025'!$I$2=CT195),'2025DATA'!$M$26,"")</f>
        <v/>
      </c>
      <c r="CU219" s="520" t="str">
        <f>IF(AND(_A6="A-321N",'2025'!$I$4="FO",'2025'!$I$2=CU195),'2025DATA'!$N$26,"")</f>
        <v/>
      </c>
    </row>
    <row r="220" spans="16:99" x14ac:dyDescent="0.25">
      <c r="P220" s="940" t="s">
        <v>48</v>
      </c>
      <c r="Q220" s="13" t="s">
        <v>61</v>
      </c>
      <c r="R220" s="518" t="str">
        <f>IF(AND(_A1="A-321",'2025'!$I$4="CA",'2025'!$I$2=R195),'2025DATA'!$C$27,"")</f>
        <v/>
      </c>
      <c r="S220" s="518" t="str">
        <f>IF(AND(_A1="A-321",'2025'!$I$4="CA",'2025'!$I$2=S195),'2025DATA'!$D$27,"")</f>
        <v/>
      </c>
      <c r="T220" s="518" t="str">
        <f>IF(AND(_A1="A-321",'2025'!$I$4="CA",'2025'!$I$2=T195),'2025DATA'!$E$27,"")</f>
        <v/>
      </c>
      <c r="U220" s="518" t="str">
        <f>IF(AND(_A1="A-321",'2025'!$I$4="CA",'2025'!$I$2=U195),'2025DATA'!$F$27,"")</f>
        <v/>
      </c>
      <c r="V220" s="518" t="str">
        <f>IF(AND(_A1="A-321",'2025'!$I$4="CA",'2025'!$I$2=V195),'2025DATA'!$G$27,"")</f>
        <v/>
      </c>
      <c r="W220" s="518" t="str">
        <f>IF(AND(_A1="A-321",'2025'!$I$4="CA",'2025'!$I$2=W195),'2025DATA'!$H$27,"")</f>
        <v/>
      </c>
      <c r="X220" s="518" t="str">
        <f>IF(AND(_A1="A-321",'2025'!$I$4="CA",'2025'!$I$2=X195),'2025DATA'!$I$27,"")</f>
        <v/>
      </c>
      <c r="Y220" s="518" t="str">
        <f>IF(AND(_A1="A-321",'2025'!$I$4="CA",'2025'!$I$2=Y195),'2025DATA'!$J$27,"")</f>
        <v/>
      </c>
      <c r="Z220" s="518" t="str">
        <f>IF(AND(_A1="A-321",'2025'!$I$4="CA",'2025'!$I$2=Z195),'2025DATA'!$K$27,"")</f>
        <v/>
      </c>
      <c r="AA220" s="518" t="str">
        <f>IF(AND(_A1="A-321",'2025'!$I$4="CA",'2025'!$I$2=AA195),'2025DATA'!$L$27,"")</f>
        <v/>
      </c>
      <c r="AB220" s="518" t="str">
        <f>IF(AND(_A1="A-321",'2025'!$I$4="CA",'2025'!$I$2=AB195),'2025DATA'!$M$27,"")</f>
        <v/>
      </c>
      <c r="AC220" s="520" t="str">
        <f>IF(AND(_A1="A-321",'2025'!$I$4="CA",'2025'!$I$2=AC195),'2025DATA'!$N$27,"")</f>
        <v/>
      </c>
      <c r="AD220" s="940" t="s">
        <v>48</v>
      </c>
      <c r="AE220" s="13" t="s">
        <v>61</v>
      </c>
      <c r="AF220" s="518" t="str">
        <f>IF(AND(_A2="A-321",'2025'!$I$4="CA",'2025'!$I$2=AF195),'2025DATA'!$C$27,"")</f>
        <v/>
      </c>
      <c r="AG220" s="518" t="str">
        <f>IF(AND(_A2="A-321",'2025'!$I$4="CA",'2025'!$I$2=AG195),'2025DATA'!$D$27,"")</f>
        <v/>
      </c>
      <c r="AH220" s="518" t="str">
        <f>IF(AND(_A2="A-321",'2025'!$I$4="CA",'2025'!$I$2=AH195),'2025DATA'!$E$27,"")</f>
        <v/>
      </c>
      <c r="AI220" s="518" t="str">
        <f>IF(AND(_A2="A-321",'2025'!$I$4="CA",'2025'!$I$2=AI195),'2025DATA'!$F$27,"")</f>
        <v/>
      </c>
      <c r="AJ220" s="518" t="str">
        <f>IF(AND(_A2="A-321",'2025'!$I$4="CA",'2025'!$I$2=AJ195),'2025DATA'!$G$27,"")</f>
        <v/>
      </c>
      <c r="AK220" s="518" t="str">
        <f>IF(AND(_A2="A-321",'2025'!$I$4="CA",'2025'!$I$2=AK195),'2025DATA'!$H$27,"")</f>
        <v/>
      </c>
      <c r="AL220" s="518" t="str">
        <f>IF(AND(_A2="A-321",'2025'!$I$4="CA",'2025'!$I$2=AL195),'2025DATA'!$I$27,"")</f>
        <v/>
      </c>
      <c r="AM220" s="518" t="str">
        <f>IF(AND(_A2="A-321",'2025'!$I$4="CA",'2025'!$I$2=AM195),'2025DATA'!$J$27,"")</f>
        <v/>
      </c>
      <c r="AN220" s="518" t="str">
        <f>IF(AND(_A2="A-321",'2025'!$I$4="CA",'2025'!$I$2=AN195),'2025DATA'!$K$27,"")</f>
        <v/>
      </c>
      <c r="AO220" s="518" t="str">
        <f>IF(AND(_A2="A-321",'2025'!$I$4="CA",'2025'!$I$2=AO195),'2025DATA'!$L$27,"")</f>
        <v/>
      </c>
      <c r="AP220" s="518" t="str">
        <f>IF(AND(_A2="A-321",'2025'!$I$4="CA",'2025'!$I$2=AP195),'2025DATA'!$M$27,"")</f>
        <v/>
      </c>
      <c r="AQ220" s="520" t="str">
        <f>IF(AND(_A2="A-321",'2025'!$I$4="CA",'2025'!$I$2=AQ195),'2025DATA'!$N$27,"")</f>
        <v/>
      </c>
      <c r="AR220" s="940" t="s">
        <v>48</v>
      </c>
      <c r="AS220" s="13" t="s">
        <v>61</v>
      </c>
      <c r="AT220" s="518" t="str">
        <f>IF(AND(_A3="A-321",'2025'!$I$4="CA",'2025'!$I$2=AT195),'2025DATA'!$C$27,"")</f>
        <v/>
      </c>
      <c r="AU220" s="518" t="str">
        <f>IF(AND(_A3="A-321",'2025'!$I$4="CA",'2025'!$I$2=AU195),'2025DATA'!$D$27,"")</f>
        <v/>
      </c>
      <c r="AV220" s="518" t="str">
        <f>IF(AND(_A3="A-321",'2025'!$I$4="CA",'2025'!$I$2=AV195),'2025DATA'!$E$27,"")</f>
        <v/>
      </c>
      <c r="AW220" s="518" t="str">
        <f>IF(AND(_A3="A-321",'2025'!$I$4="CA",'2025'!$I$2=AW195),'2025DATA'!$F$27,"")</f>
        <v/>
      </c>
      <c r="AX220" s="518" t="str">
        <f>IF(AND(_A3="A-321",'2025'!$I$4="CA",'2025'!$I$2=AX195),'2025DATA'!$G$27,"")</f>
        <v/>
      </c>
      <c r="AY220" s="518" t="str">
        <f>IF(AND(_A3="A-321",'2025'!$I$4="CA",'2025'!$I$2=AY195),'2025DATA'!$H$27,"")</f>
        <v/>
      </c>
      <c r="AZ220" s="518" t="str">
        <f>IF(AND(_A3="A-321",'2025'!$I$4="CA",'2025'!$I$2=AZ195),'2025DATA'!$I$27,"")</f>
        <v/>
      </c>
      <c r="BA220" s="518" t="str">
        <f>IF(AND(_A3="A-321",'2025'!$I$4="CA",'2025'!$I$2=BA195),'2025DATA'!$J$27,"")</f>
        <v/>
      </c>
      <c r="BB220" s="518" t="str">
        <f>IF(AND(_A3="A-321",'2025'!$I$4="CA",'2025'!$I$2=BB195),'2025DATA'!$K$27,"")</f>
        <v/>
      </c>
      <c r="BC220" s="518" t="str">
        <f>IF(AND(_A3="A-321",'2025'!$I$4="CA",'2025'!$I$2=BC195),'2025DATA'!$L$27,"")</f>
        <v/>
      </c>
      <c r="BD220" s="518" t="str">
        <f>IF(AND(_A3="A-321",'2025'!$I$4="CA",'2025'!$I$2=BD195),'2025DATA'!$M$27,"")</f>
        <v/>
      </c>
      <c r="BE220" s="520" t="str">
        <f>IF(AND(_A3="A-321",'2025'!$I$4="CA",'2025'!$I$2=BE195),'2025DATA'!$N$27,"")</f>
        <v/>
      </c>
      <c r="BF220" s="940" t="s">
        <v>48</v>
      </c>
      <c r="BG220" s="13" t="s">
        <v>61</v>
      </c>
      <c r="BH220" s="518" t="str">
        <f>IF(AND(_A4="A-321",'2025'!$I$4="CA",'2025'!$I$2=BH195),'2025DATA'!$C$27,"")</f>
        <v/>
      </c>
      <c r="BI220" s="518" t="str">
        <f>IF(AND(_A4="A-321",'2025'!$I$4="CA",'2025'!$I$2=BI195),'2025DATA'!$D$27,"")</f>
        <v/>
      </c>
      <c r="BJ220" s="518" t="str">
        <f>IF(AND(_A4="A-321",'2025'!$I$4="CA",'2025'!$I$2=BJ195),'2025DATA'!$E$27,"")</f>
        <v/>
      </c>
      <c r="BK220" s="518" t="str">
        <f>IF(AND(_A4="A-321",'2025'!$I$4="CA",'2025'!$I$2=BK195),'2025DATA'!$F$27,"")</f>
        <v/>
      </c>
      <c r="BL220" s="518" t="str">
        <f>IF(AND(_A4="A-321",'2025'!$I$4="CA",'2025'!$I$2=BL195),'2025DATA'!$G$27,"")</f>
        <v/>
      </c>
      <c r="BM220" s="518" t="str">
        <f>IF(AND(_A4="A-321",'2025'!$I$4="CA",'2025'!$I$2=BM195),'2025DATA'!$H$27,"")</f>
        <v/>
      </c>
      <c r="BN220" s="518" t="str">
        <f>IF(AND(_A4="A-321",'2025'!$I$4="CA",'2025'!$I$2=BN195),'2025DATA'!$I$27,"")</f>
        <v/>
      </c>
      <c r="BO220" s="518" t="str">
        <f>IF(AND(_A4="A-321",'2025'!$I$4="CA",'2025'!$I$2=BO195),'2025DATA'!$J$27,"")</f>
        <v/>
      </c>
      <c r="BP220" s="518" t="str">
        <f>IF(AND(_A4="A-321",'2025'!$I$4="CA",'2025'!$I$2=BP195),'2025DATA'!$K$27,"")</f>
        <v/>
      </c>
      <c r="BQ220" s="518" t="str">
        <f>IF(AND(_A4="A-321",'2025'!$I$4="CA",'2025'!$I$2=BQ195),'2025DATA'!$L$27,"")</f>
        <v/>
      </c>
      <c r="BR220" s="518" t="str">
        <f>IF(AND(_A4="A-321",'2025'!$I$4="CA",'2025'!$I$2=BR195),'2025DATA'!$M$27,"")</f>
        <v/>
      </c>
      <c r="BS220" s="520" t="str">
        <f>IF(AND(_A4="A-321",'2025'!$I$4="CA",'2025'!$I$2=BS195),'2025DATA'!$N$27,"")</f>
        <v/>
      </c>
      <c r="BT220" s="940" t="s">
        <v>48</v>
      </c>
      <c r="BU220" s="13" t="s">
        <v>61</v>
      </c>
      <c r="BV220" s="518" t="str">
        <f>IF(AND(_A5="A-321",'2025'!$I$4="CA",'2025'!$I$2=BV195),'2025DATA'!$C$27,"")</f>
        <v/>
      </c>
      <c r="BW220" s="518" t="str">
        <f>IF(AND(_A5="A-321",'2025'!$I$4="CA",'2025'!$I$2=BW195),'2025DATA'!$D$27,"")</f>
        <v/>
      </c>
      <c r="BX220" s="518" t="str">
        <f>IF(AND(_A5="A-321",'2025'!$I$4="CA",'2025'!$I$2=BX195),'2025DATA'!$E$27,"")</f>
        <v/>
      </c>
      <c r="BY220" s="518" t="str">
        <f>IF(AND(_A5="A-321",'2025'!$I$4="CA",'2025'!$I$2=BY195),'2025DATA'!$F$27,"")</f>
        <v/>
      </c>
      <c r="BZ220" s="518" t="str">
        <f>IF(AND(_A5="A-321",'2025'!$I$4="CA",'2025'!$I$2=BZ195),'2025DATA'!$G$27,"")</f>
        <v/>
      </c>
      <c r="CA220" s="518" t="str">
        <f>IF(AND(_A5="A-321",'2025'!$I$4="CA",'2025'!$I$2=CA195),'2025DATA'!$H$27,"")</f>
        <v/>
      </c>
      <c r="CB220" s="518" t="str">
        <f>IF(AND(_A5="A-321",'2025'!$I$4="CA",'2025'!$I$2=CB195),'2025DATA'!$I$27,"")</f>
        <v/>
      </c>
      <c r="CC220" s="518" t="str">
        <f>IF(AND(_A5="A-321",'2025'!$I$4="CA",'2025'!$I$2=CC195),'2025DATA'!$J$27,"")</f>
        <v/>
      </c>
      <c r="CD220" s="518" t="str">
        <f>IF(AND(_A5="A-321",'2025'!$I$4="CA",'2025'!$I$2=CD195),'2025DATA'!$K$27,"")</f>
        <v/>
      </c>
      <c r="CE220" s="518" t="str">
        <f>IF(AND(_A5="A-321",'2025'!$I$4="CA",'2025'!$I$2=CE195),'2025DATA'!$L$27,"")</f>
        <v/>
      </c>
      <c r="CF220" s="518" t="str">
        <f>IF(AND(_A5="A-321",'2025'!$I$4="CA",'2025'!$I$2=CF195),'2025DATA'!$M$27,"")</f>
        <v/>
      </c>
      <c r="CG220" s="520" t="str">
        <f>IF(AND(_A5="A-321",'2025'!$I$4="CA",'2025'!$I$2=CG195),'2025DATA'!$N$27,"")</f>
        <v/>
      </c>
      <c r="CH220" s="940" t="s">
        <v>48</v>
      </c>
      <c r="CI220" s="13" t="s">
        <v>61</v>
      </c>
      <c r="CJ220" s="518" t="str">
        <f>IF(AND(_A6="A-321",'2025'!$I$4="CA",'2025'!$I$2=CJ195),'2025DATA'!$C$27,"")</f>
        <v/>
      </c>
      <c r="CK220" s="518" t="str">
        <f>IF(AND(_A6="A-321",'2025'!$I$4="CA",'2025'!$I$2=CK195),'2025DATA'!$D$27,"")</f>
        <v/>
      </c>
      <c r="CL220" s="518" t="str">
        <f>IF(AND(_A6="A-321",'2025'!$I$4="CA",'2025'!$I$2=CL195),'2025DATA'!$E$27,"")</f>
        <v/>
      </c>
      <c r="CM220" s="518" t="str">
        <f>IF(AND(_A6="A-321",'2025'!$I$4="CA",'2025'!$I$2=CM195),'2025DATA'!$F$27,"")</f>
        <v/>
      </c>
      <c r="CN220" s="518" t="str">
        <f>IF(AND(_A6="A-321",'2025'!$I$4="CA",'2025'!$I$2=CN195),'2025DATA'!$G$27,"")</f>
        <v/>
      </c>
      <c r="CO220" s="518" t="str">
        <f>IF(AND(_A6="A-321",'2025'!$I$4="CA",'2025'!$I$2=CO195),'2025DATA'!$H$27,"")</f>
        <v/>
      </c>
      <c r="CP220" s="518" t="str">
        <f>IF(AND(_A6="A-321",'2025'!$I$4="CA",'2025'!$I$2=CP195),'2025DATA'!$I$27,"")</f>
        <v/>
      </c>
      <c r="CQ220" s="518" t="str">
        <f>IF(AND(_A6="A-321",'2025'!$I$4="CA",'2025'!$I$2=CQ195),'2025DATA'!$J$27,"")</f>
        <v/>
      </c>
      <c r="CR220" s="518" t="str">
        <f>IF(AND(_A6="A-321",'2025'!$I$4="CA",'2025'!$I$2=CR195),'2025DATA'!$K$27,"")</f>
        <v/>
      </c>
      <c r="CS220" s="518" t="str">
        <f>IF(AND(_A6="A-321",'2025'!$I$4="CA",'2025'!$I$2=CS195),'2025DATA'!$L$27,"")</f>
        <v/>
      </c>
      <c r="CT220" s="518" t="str">
        <f>IF(AND(_A6="A-321",'2025'!$I$4="CA",'2025'!$I$2=CT195),'2025DATA'!$M$27,"")</f>
        <v/>
      </c>
      <c r="CU220" s="520" t="str">
        <f>IF(AND(_A6="A-321",'2025'!$I$4="CA",'2025'!$I$2=CU195),'2025DATA'!$N$27,"")</f>
        <v/>
      </c>
    </row>
    <row r="221" spans="16:99" x14ac:dyDescent="0.25">
      <c r="P221" s="940"/>
      <c r="Q221" s="13" t="s">
        <v>62</v>
      </c>
      <c r="R221" s="518" t="str">
        <f>IF(AND(_A1="A-321",'2025'!$I$4="FO",'2025'!$I$2=R195),'2025DATA'!$C$28,"")</f>
        <v/>
      </c>
      <c r="S221" s="518" t="str">
        <f>IF(AND(_A1="A-321",'2025'!$I$4="FO",'2025'!$I$2=S195),'2025DATA'!$D$28,"")</f>
        <v/>
      </c>
      <c r="T221" s="518" t="str">
        <f>IF(AND(_A1="A-321",'2025'!$I$4="FO",'2025'!$I$2=T195),'2025DATA'!$E$28,"")</f>
        <v/>
      </c>
      <c r="U221" s="518" t="str">
        <f>IF(AND(_A1="A-321",'2025'!$I$4="FO",'2025'!$I$2=U195),'2025DATA'!$F$28,"")</f>
        <v/>
      </c>
      <c r="V221" s="518" t="str">
        <f>IF(AND(_A1="A-321",'2025'!$I$4="FO",'2025'!$I$2=V195),'2025DATA'!$G$28,"")</f>
        <v/>
      </c>
      <c r="W221" s="518" t="str">
        <f>IF(AND(_A1="A-321",'2025'!$I$4="FO",'2025'!$I$2=W195),'2025DATA'!$H$28,"")</f>
        <v/>
      </c>
      <c r="X221" s="518" t="str">
        <f>IF(AND(_A1="A-321",'2025'!$I$4="FO",'2025'!$I$2=X195),'2025DATA'!$I$28,"")</f>
        <v/>
      </c>
      <c r="Y221" s="518" t="str">
        <f>IF(AND(_A1="A-321",'2025'!$I$4="FO",'2025'!$I$2=Y195),'2025DATA'!$J$28,"")</f>
        <v/>
      </c>
      <c r="Z221" s="518" t="str">
        <f>IF(AND(_A1="A-321",'2025'!$I$4="FO",'2025'!$I$2=Z195),'2025DATA'!$K$28,"")</f>
        <v/>
      </c>
      <c r="AA221" s="518" t="str">
        <f>IF(AND(_A1="A-321",'2025'!$I$4="FO",'2025'!$I$2=AA195),'2025DATA'!$L$28,"")</f>
        <v/>
      </c>
      <c r="AB221" s="518" t="str">
        <f>IF(AND(_A1="A-321",'2025'!$I$4="FO",'2025'!$I$2=AB195),'2025DATA'!$M$28,"")</f>
        <v/>
      </c>
      <c r="AC221" s="520" t="str">
        <f>IF(AND(_A1="A-321",'2025'!$I$4="FO",'2025'!$I$2=AC195),'2025DATA'!$N$28,"")</f>
        <v/>
      </c>
      <c r="AD221" s="940"/>
      <c r="AE221" s="13" t="s">
        <v>62</v>
      </c>
      <c r="AF221" s="518" t="str">
        <f>IF(AND(_A2="A-321",'2025'!$I$4="FO",'2025'!$I$2=AF195),'2025DATA'!$C$28,"")</f>
        <v/>
      </c>
      <c r="AG221" s="518" t="str">
        <f>IF(AND(_A2="A-321",'2025'!$I$4="FO",'2025'!$I$2=AG195),'2025DATA'!$D$28,"")</f>
        <v/>
      </c>
      <c r="AH221" s="518" t="str">
        <f>IF(AND(_A2="A-321",'2025'!$I$4="FO",'2025'!$I$2=AH195),'2025DATA'!$E$28,"")</f>
        <v/>
      </c>
      <c r="AI221" s="518" t="str">
        <f>IF(AND(_A2="A-321",'2025'!$I$4="FO",'2025'!$I$2=AI195),'2025DATA'!$F$28,"")</f>
        <v/>
      </c>
      <c r="AJ221" s="518" t="str">
        <f>IF(AND(_A2="A-321",'2025'!$I$4="FO",'2025'!$I$2=AJ195),'2025DATA'!$G$28,"")</f>
        <v/>
      </c>
      <c r="AK221" s="518" t="str">
        <f>IF(AND(_A2="A-321",'2025'!$I$4="FO",'2025'!$I$2=AK195),'2025DATA'!$H$28,"")</f>
        <v/>
      </c>
      <c r="AL221" s="518" t="str">
        <f>IF(AND(_A2="A-321",'2025'!$I$4="FO",'2025'!$I$2=AL195),'2025DATA'!$I$28,"")</f>
        <v/>
      </c>
      <c r="AM221" s="518" t="str">
        <f>IF(AND(_A2="A-321",'2025'!$I$4="FO",'2025'!$I$2=AM195),'2025DATA'!$J$28,"")</f>
        <v/>
      </c>
      <c r="AN221" s="518" t="str">
        <f>IF(AND(_A2="A-321",'2025'!$I$4="FO",'2025'!$I$2=AN195),'2025DATA'!$K$28,"")</f>
        <v/>
      </c>
      <c r="AO221" s="518" t="str">
        <f>IF(AND(_A2="A-321",'2025'!$I$4="FO",'2025'!$I$2=AO195),'2025DATA'!$L$28,"")</f>
        <v/>
      </c>
      <c r="AP221" s="518" t="str">
        <f>IF(AND(_A2="A-321",'2025'!$I$4="FO",'2025'!$I$2=AP195),'2025DATA'!$M$28,"")</f>
        <v/>
      </c>
      <c r="AQ221" s="520" t="str">
        <f>IF(AND(_A2="A-321",'2025'!$I$4="FO",'2025'!$I$2=AQ195),'2025DATA'!$N$28,"")</f>
        <v/>
      </c>
      <c r="AR221" s="940"/>
      <c r="AS221" s="13" t="s">
        <v>62</v>
      </c>
      <c r="AT221" s="518" t="str">
        <f>IF(AND(_A3="A-321",'2025'!$I$4="FO",'2025'!$I$2=AT195),'2025DATA'!$C$28,"")</f>
        <v/>
      </c>
      <c r="AU221" s="518" t="str">
        <f>IF(AND(_A3="A-321",'2025'!$I$4="FO",'2025'!$I$2=AU195),'2025DATA'!$D$28,"")</f>
        <v/>
      </c>
      <c r="AV221" s="518" t="str">
        <f>IF(AND(_A3="A-321",'2025'!$I$4="FO",'2025'!$I$2=AV195),'2025DATA'!$E$28,"")</f>
        <v/>
      </c>
      <c r="AW221" s="518" t="str">
        <f>IF(AND(_A3="A-321",'2025'!$I$4="FO",'2025'!$I$2=AW195),'2025DATA'!$F$28,"")</f>
        <v/>
      </c>
      <c r="AX221" s="518" t="str">
        <f>IF(AND(_A3="A-321",'2025'!$I$4="FO",'2025'!$I$2=AX195),'2025DATA'!$G$28,"")</f>
        <v/>
      </c>
      <c r="AY221" s="518" t="str">
        <f>IF(AND(_A3="A-321",'2025'!$I$4="FO",'2025'!$I$2=AY195),'2025DATA'!$H$28,"")</f>
        <v/>
      </c>
      <c r="AZ221" s="518" t="str">
        <f>IF(AND(_A3="A-321",'2025'!$I$4="FO",'2025'!$I$2=AZ195),'2025DATA'!$I$28,"")</f>
        <v/>
      </c>
      <c r="BA221" s="518" t="str">
        <f>IF(AND(_A3="A-321",'2025'!$I$4="FO",'2025'!$I$2=BA195),'2025DATA'!$J$28,"")</f>
        <v/>
      </c>
      <c r="BB221" s="518" t="str">
        <f>IF(AND(_A3="A-321",'2025'!$I$4="FO",'2025'!$I$2=BB195),'2025DATA'!$K$28,"")</f>
        <v/>
      </c>
      <c r="BC221" s="518" t="str">
        <f>IF(AND(_A3="A-321",'2025'!$I$4="FO",'2025'!$I$2=BC195),'2025DATA'!$L$28,"")</f>
        <v/>
      </c>
      <c r="BD221" s="518" t="str">
        <f>IF(AND(_A3="A-321",'2025'!$I$4="FO",'2025'!$I$2=BD195),'2025DATA'!$M$28,"")</f>
        <v/>
      </c>
      <c r="BE221" s="520" t="str">
        <f>IF(AND(_A3="A-321",'2025'!$I$4="FO",'2025'!$I$2=BE195),'2025DATA'!$N$28,"")</f>
        <v/>
      </c>
      <c r="BF221" s="940"/>
      <c r="BG221" s="13" t="s">
        <v>62</v>
      </c>
      <c r="BH221" s="518" t="str">
        <f>IF(AND(_A4="A-321",'2025'!$I$4="FO",'2025'!$I$2=BH195),'2025DATA'!$C$28,"")</f>
        <v/>
      </c>
      <c r="BI221" s="518" t="str">
        <f>IF(AND(_A4="A-321",'2025'!$I$4="FO",'2025'!$I$2=BI195),'2025DATA'!$D$28,"")</f>
        <v/>
      </c>
      <c r="BJ221" s="518" t="str">
        <f>IF(AND(_A4="A-321",'2025'!$I$4="FO",'2025'!$I$2=BJ195),'2025DATA'!$E$28,"")</f>
        <v/>
      </c>
      <c r="BK221" s="518" t="str">
        <f>IF(AND(_A4="A-321",'2025'!$I$4="FO",'2025'!$I$2=BK195),'2025DATA'!$F$28,"")</f>
        <v/>
      </c>
      <c r="BL221" s="518" t="str">
        <f>IF(AND(_A4="A-321",'2025'!$I$4="FO",'2025'!$I$2=BL195),'2025DATA'!$G$28,"")</f>
        <v/>
      </c>
      <c r="BM221" s="518" t="str">
        <f>IF(AND(_A4="A-321",'2025'!$I$4="FO",'2025'!$I$2=BM195),'2025DATA'!$H$28,"")</f>
        <v/>
      </c>
      <c r="BN221" s="518" t="str">
        <f>IF(AND(_A4="A-321",'2025'!$I$4="FO",'2025'!$I$2=BN195),'2025DATA'!$I$28,"")</f>
        <v/>
      </c>
      <c r="BO221" s="518" t="str">
        <f>IF(AND(_A4="A-321",'2025'!$I$4="FO",'2025'!$I$2=BO195),'2025DATA'!$J$28,"")</f>
        <v/>
      </c>
      <c r="BP221" s="518" t="str">
        <f>IF(AND(_A4="A-321",'2025'!$I$4="FO",'2025'!$I$2=BP195),'2025DATA'!$K$28,"")</f>
        <v/>
      </c>
      <c r="BQ221" s="518" t="str">
        <f>IF(AND(_A4="A-321",'2025'!$I$4="FO",'2025'!$I$2=BQ195),'2025DATA'!$L$28,"")</f>
        <v/>
      </c>
      <c r="BR221" s="518" t="str">
        <f>IF(AND(_A4="A-321",'2025'!$I$4="FO",'2025'!$I$2=BR195),'2025DATA'!$M$28,"")</f>
        <v/>
      </c>
      <c r="BS221" s="520" t="str">
        <f>IF(AND(_A4="A-321",'2025'!$I$4="FO",'2025'!$I$2=BS195),'2025DATA'!$N$28,"")</f>
        <v/>
      </c>
      <c r="BT221" s="940"/>
      <c r="BU221" s="13" t="s">
        <v>62</v>
      </c>
      <c r="BV221" s="518" t="str">
        <f>IF(AND(_A5="A-321",'2025'!$I$4="FO",'2025'!$I$2=BV195),'2025DATA'!$C$28,"")</f>
        <v/>
      </c>
      <c r="BW221" s="518" t="str">
        <f>IF(AND(_A5="A-321",'2025'!$I$4="FO",'2025'!$I$2=BW195),'2025DATA'!$D$28,"")</f>
        <v/>
      </c>
      <c r="BX221" s="518" t="str">
        <f>IF(AND(_A5="A-321",'2025'!$I$4="FO",'2025'!$I$2=BX195),'2025DATA'!$E$28,"")</f>
        <v/>
      </c>
      <c r="BY221" s="518" t="str">
        <f>IF(AND(_A5="A-321",'2025'!$I$4="FO",'2025'!$I$2=BY195),'2025DATA'!$F$28,"")</f>
        <v/>
      </c>
      <c r="BZ221" s="518" t="str">
        <f>IF(AND(_A5="A-321",'2025'!$I$4="FO",'2025'!$I$2=BZ195),'2025DATA'!$G$28,"")</f>
        <v/>
      </c>
      <c r="CA221" s="518" t="str">
        <f>IF(AND(_A5="A-321",'2025'!$I$4="FO",'2025'!$I$2=CA195),'2025DATA'!$H$28,"")</f>
        <v/>
      </c>
      <c r="CB221" s="518" t="str">
        <f>IF(AND(_A5="A-321",'2025'!$I$4="FO",'2025'!$I$2=CB195),'2025DATA'!$I$28,"")</f>
        <v/>
      </c>
      <c r="CC221" s="518" t="str">
        <f>IF(AND(_A5="A-321",'2025'!$I$4="FO",'2025'!$I$2=CC195),'2025DATA'!$J$28,"")</f>
        <v/>
      </c>
      <c r="CD221" s="518" t="str">
        <f>IF(AND(_A5="A-321",'2025'!$I$4="FO",'2025'!$I$2=CD195),'2025DATA'!$K$28,"")</f>
        <v/>
      </c>
      <c r="CE221" s="518" t="str">
        <f>IF(AND(_A5="A-321",'2025'!$I$4="FO",'2025'!$I$2=CE195),'2025DATA'!$L$28,"")</f>
        <v/>
      </c>
      <c r="CF221" s="518" t="str">
        <f>IF(AND(_A5="A-321",'2025'!$I$4="FO",'2025'!$I$2=CF195),'2025DATA'!$M$28,"")</f>
        <v/>
      </c>
      <c r="CG221" s="520" t="str">
        <f>IF(AND(_A5="A-321",'2025'!$I$4="FO",'2025'!$I$2=CG195),'2025DATA'!$N$28,"")</f>
        <v/>
      </c>
      <c r="CH221" s="940"/>
      <c r="CI221" s="13" t="s">
        <v>62</v>
      </c>
      <c r="CJ221" s="518" t="str">
        <f>IF(AND(_A6="A-321",'2025'!$I$4="FO",'2025'!$I$2=CJ195),'2025DATA'!$C$28,"")</f>
        <v/>
      </c>
      <c r="CK221" s="518" t="str">
        <f>IF(AND(_A6="A-321",'2025'!$I$4="FO",'2025'!$I$2=CK195),'2025DATA'!$D$28,"")</f>
        <v/>
      </c>
      <c r="CL221" s="518" t="str">
        <f>IF(AND(_A6="A-321",'2025'!$I$4="FO",'2025'!$I$2=CL195),'2025DATA'!$E$28,"")</f>
        <v/>
      </c>
      <c r="CM221" s="518" t="str">
        <f>IF(AND(_A6="A-321",'2025'!$I$4="FO",'2025'!$I$2=CM195),'2025DATA'!$F$28,"")</f>
        <v/>
      </c>
      <c r="CN221" s="518" t="str">
        <f>IF(AND(_A6="A-321",'2025'!$I$4="FO",'2025'!$I$2=CN195),'2025DATA'!$G$28,"")</f>
        <v/>
      </c>
      <c r="CO221" s="518" t="str">
        <f>IF(AND(_A6="A-321",'2025'!$I$4="FO",'2025'!$I$2=CO195),'2025DATA'!$H$28,"")</f>
        <v/>
      </c>
      <c r="CP221" s="518" t="str">
        <f>IF(AND(_A6="A-321",'2025'!$I$4="FO",'2025'!$I$2=CP195),'2025DATA'!$I$28,"")</f>
        <v/>
      </c>
      <c r="CQ221" s="518" t="str">
        <f>IF(AND(_A6="A-321",'2025'!$I$4="FO",'2025'!$I$2=CQ195),'2025DATA'!$J$28,"")</f>
        <v/>
      </c>
      <c r="CR221" s="518" t="str">
        <f>IF(AND(_A6="A-321",'2025'!$I$4="FO",'2025'!$I$2=CR195),'2025DATA'!$K$28,"")</f>
        <v/>
      </c>
      <c r="CS221" s="518" t="str">
        <f>IF(AND(_A6="A-321",'2025'!$I$4="FO",'2025'!$I$2=CS195),'2025DATA'!$L$28,"")</f>
        <v/>
      </c>
      <c r="CT221" s="518" t="str">
        <f>IF(AND(_A6="A-321",'2025'!$I$4="FO",'2025'!$I$2=CT195),'2025DATA'!$M$28,"")</f>
        <v/>
      </c>
      <c r="CU221" s="520" t="str">
        <f>IF(AND(_A6="A-321",'2025'!$I$4="FO",'2025'!$I$2=CU195),'2025DATA'!$N$28,"")</f>
        <v/>
      </c>
    </row>
    <row r="222" spans="16:99" x14ac:dyDescent="0.25">
      <c r="P222" s="940" t="s">
        <v>70</v>
      </c>
      <c r="Q222" s="13" t="s">
        <v>61</v>
      </c>
      <c r="R222" s="518" t="str">
        <f>IF(AND(_A1="A-320",'2025'!$I$4="CA",'2025'!$I$2=R195),'2025DATA'!$C$29,"")</f>
        <v/>
      </c>
      <c r="S222" s="518" t="str">
        <f>IF(AND(_A1="A-320",'2025'!$I$4="CA",'2025'!$I$2=S195),'2025DATA'!$D$29,"")</f>
        <v/>
      </c>
      <c r="T222" s="518" t="str">
        <f>IF(AND(_A1="A-320",'2025'!$I$4="CA",'2025'!$I$2=T195),'2025DATA'!$E$29,"")</f>
        <v/>
      </c>
      <c r="U222" s="518" t="str">
        <f>IF(AND(_A1="A-320",'2025'!$I$4="CA",'2025'!$I$2=U195),'2025DATA'!$F$29,"")</f>
        <v/>
      </c>
      <c r="V222" s="518" t="str">
        <f>IF(AND(_A1="A-320",'2025'!$I$4="CA",'2025'!$I$2=V195),'2025DATA'!$G$29,"")</f>
        <v/>
      </c>
      <c r="W222" s="518" t="str">
        <f>IF(AND(_A1="A-320",'2025'!$I$4="CA",'2025'!$I$2=W195),'2025DATA'!$H$29,"")</f>
        <v/>
      </c>
      <c r="X222" s="518" t="str">
        <f>IF(AND(_A1="A-320",'2025'!$I$4="CA",'2025'!$I$2=X195),'2025DATA'!$I$29,"")</f>
        <v/>
      </c>
      <c r="Y222" s="518" t="str">
        <f>IF(AND(_A1="A-320",'2025'!$I$4="CA",'2025'!$I$2=Y195),'2025DATA'!$J$29,"")</f>
        <v/>
      </c>
      <c r="Z222" s="518" t="str">
        <f>IF(AND(_A1="A-320",'2025'!$I$4="CA",'2025'!$I$2=Z195),'2025DATA'!$K$29,"")</f>
        <v/>
      </c>
      <c r="AA222" s="518" t="str">
        <f>IF(AND(_A1="A-320",'2025'!$I$4="CA",'2025'!$I$2=AA195),'2025DATA'!$L$29,"")</f>
        <v/>
      </c>
      <c r="AB222" s="518" t="str">
        <f>IF(AND(_A1="A-320",'2025'!$I$4="CA",'2025'!$I$2=AB195),'2025DATA'!$M$29,"")</f>
        <v/>
      </c>
      <c r="AC222" s="520" t="str">
        <f>IF(AND(_A1="A-320",'2025'!$I$4="CA",'2025'!$I$2=AC195),'2025DATA'!$N$29,"")</f>
        <v/>
      </c>
      <c r="AD222" s="940" t="s">
        <v>70</v>
      </c>
      <c r="AE222" s="13" t="s">
        <v>61</v>
      </c>
      <c r="AF222" s="518" t="str">
        <f>IF(AND(_A2="A-320",'2025'!$I$4="CA",'2025'!$I$2=AF195),'2025DATA'!$C$29,"")</f>
        <v/>
      </c>
      <c r="AG222" s="518" t="str">
        <f>IF(AND(_A2="A-320",'2025'!$I$4="CA",'2025'!$I$2=AG195),'2025DATA'!$D$29,"")</f>
        <v/>
      </c>
      <c r="AH222" s="518" t="str">
        <f>IF(AND(_A2="A-320",'2025'!$I$4="CA",'2025'!$I$2=AH195),'2025DATA'!$E$29,"")</f>
        <v/>
      </c>
      <c r="AI222" s="518" t="str">
        <f>IF(AND(_A2="A-320",'2025'!$I$4="CA",'2025'!$I$2=AI195),'2025DATA'!$F$29,"")</f>
        <v/>
      </c>
      <c r="AJ222" s="518" t="str">
        <f>IF(AND(_A2="A-320",'2025'!$I$4="CA",'2025'!$I$2=AJ195),'2025DATA'!$G$29,"")</f>
        <v/>
      </c>
      <c r="AK222" s="518" t="str">
        <f>IF(AND(_A2="A-320",'2025'!$I$4="CA",'2025'!$I$2=AK195),'2025DATA'!$H$29,"")</f>
        <v/>
      </c>
      <c r="AL222" s="518" t="str">
        <f>IF(AND(_A2="A-320",'2025'!$I$4="CA",'2025'!$I$2=AL195),'2025DATA'!$I$29,"")</f>
        <v/>
      </c>
      <c r="AM222" s="518" t="str">
        <f>IF(AND(_A2="A-320",'2025'!$I$4="CA",'2025'!$I$2=AM195),'2025DATA'!$J$29,"")</f>
        <v/>
      </c>
      <c r="AN222" s="518" t="str">
        <f>IF(AND(_A2="A-320",'2025'!$I$4="CA",'2025'!$I$2=AN195),'2025DATA'!$K$29,"")</f>
        <v/>
      </c>
      <c r="AO222" s="518" t="str">
        <f>IF(AND(_A2="A-320",'2025'!$I$4="CA",'2025'!$I$2=AO195),'2025DATA'!$L$29,"")</f>
        <v/>
      </c>
      <c r="AP222" s="518" t="str">
        <f>IF(AND(_A2="A-320",'2025'!$I$4="CA",'2025'!$I$2=AP195),'2025DATA'!$M$29,"")</f>
        <v/>
      </c>
      <c r="AQ222" s="520" t="str">
        <f>IF(AND(_A2="A-320",'2025'!$I$4="CA",'2025'!$I$2=AQ195),'2025DATA'!$N$29,"")</f>
        <v/>
      </c>
      <c r="AR222" s="940" t="s">
        <v>70</v>
      </c>
      <c r="AS222" s="13" t="s">
        <v>61</v>
      </c>
      <c r="AT222" s="518" t="str">
        <f>IF(AND(_A3="A-320",'2025'!$I$4="CA",'2025'!$I$2=AT195),'2025DATA'!$C$29,"")</f>
        <v/>
      </c>
      <c r="AU222" s="518" t="str">
        <f>IF(AND(_A3="A-320",'2025'!$I$4="CA",'2025'!$I$2=AU195),'2025DATA'!$D$29,"")</f>
        <v/>
      </c>
      <c r="AV222" s="518" t="str">
        <f>IF(AND(_A3="A-320",'2025'!$I$4="CA",'2025'!$I$2=AV195),'2025DATA'!$E$29,"")</f>
        <v/>
      </c>
      <c r="AW222" s="518" t="str">
        <f>IF(AND(_A3="A-320",'2025'!$I$4="CA",'2025'!$I$2=AW195),'2025DATA'!$F$29,"")</f>
        <v/>
      </c>
      <c r="AX222" s="518" t="str">
        <f>IF(AND(_A3="A-320",'2025'!$I$4="CA",'2025'!$I$2=AX195),'2025DATA'!$G$29,"")</f>
        <v/>
      </c>
      <c r="AY222" s="518" t="str">
        <f>IF(AND(_A3="A-320",'2025'!$I$4="CA",'2025'!$I$2=AY195),'2025DATA'!$H$29,"")</f>
        <v/>
      </c>
      <c r="AZ222" s="518" t="str">
        <f>IF(AND(_A3="A-320",'2025'!$I$4="CA",'2025'!$I$2=AZ195),'2025DATA'!$I$29,"")</f>
        <v/>
      </c>
      <c r="BA222" s="518" t="str">
        <f>IF(AND(_A3="A-320",'2025'!$I$4="CA",'2025'!$I$2=BA195),'2025DATA'!$J$29,"")</f>
        <v/>
      </c>
      <c r="BB222" s="518" t="str">
        <f>IF(AND(_A3="A-320",'2025'!$I$4="CA",'2025'!$I$2=BB195),'2025DATA'!$K$29,"")</f>
        <v/>
      </c>
      <c r="BC222" s="518" t="str">
        <f>IF(AND(_A3="A-320",'2025'!$I$4="CA",'2025'!$I$2=BC195),'2025DATA'!$L$29,"")</f>
        <v/>
      </c>
      <c r="BD222" s="518" t="str">
        <f>IF(AND(_A3="A-320",'2025'!$I$4="CA",'2025'!$I$2=BD195),'2025DATA'!$M$29,"")</f>
        <v/>
      </c>
      <c r="BE222" s="520" t="str">
        <f>IF(AND(_A3="A-320",'2025'!$I$4="CA",'2025'!$I$2=BE195),'2025DATA'!$N$29,"")</f>
        <v/>
      </c>
      <c r="BF222" s="940" t="s">
        <v>70</v>
      </c>
      <c r="BG222" s="13" t="s">
        <v>61</v>
      </c>
      <c r="BH222" s="518" t="str">
        <f>IF(AND(_A4="A-320",'2025'!$I$4="CA",'2025'!$I$2=BH195),'2025DATA'!$C$29,"")</f>
        <v/>
      </c>
      <c r="BI222" s="518" t="str">
        <f>IF(AND(_A4="A-320",'2025'!$I$4="CA",'2025'!$I$2=BI195),'2025DATA'!$D$29,"")</f>
        <v/>
      </c>
      <c r="BJ222" s="518" t="str">
        <f>IF(AND(_A4="A-320",'2025'!$I$4="CA",'2025'!$I$2=BJ195),'2025DATA'!$E$29,"")</f>
        <v/>
      </c>
      <c r="BK222" s="518" t="str">
        <f>IF(AND(_A4="A-320",'2025'!$I$4="CA",'2025'!$I$2=BK195),'2025DATA'!$F$29,"")</f>
        <v/>
      </c>
      <c r="BL222" s="518" t="str">
        <f>IF(AND(_A4="A-320",'2025'!$I$4="CA",'2025'!$I$2=BL195),'2025DATA'!$G$29,"")</f>
        <v/>
      </c>
      <c r="BM222" s="518" t="str">
        <f>IF(AND(_A4="A-320",'2025'!$I$4="CA",'2025'!$I$2=BM195),'2025DATA'!$H$29,"")</f>
        <v/>
      </c>
      <c r="BN222" s="518" t="str">
        <f>IF(AND(_A4="A-320",'2025'!$I$4="CA",'2025'!$I$2=BN195),'2025DATA'!$I$29,"")</f>
        <v/>
      </c>
      <c r="BO222" s="518" t="str">
        <f>IF(AND(_A4="A-320",'2025'!$I$4="CA",'2025'!$I$2=BO195),'2025DATA'!$J$29,"")</f>
        <v/>
      </c>
      <c r="BP222" s="518" t="str">
        <f>IF(AND(_A4="A-320",'2025'!$I$4="CA",'2025'!$I$2=BP195),'2025DATA'!$K$29,"")</f>
        <v/>
      </c>
      <c r="BQ222" s="518" t="str">
        <f>IF(AND(_A4="A-320",'2025'!$I$4="CA",'2025'!$I$2=BQ195),'2025DATA'!$L$29,"")</f>
        <v/>
      </c>
      <c r="BR222" s="518" t="str">
        <f>IF(AND(_A4="A-320",'2025'!$I$4="CA",'2025'!$I$2=BR195),'2025DATA'!$M$29,"")</f>
        <v/>
      </c>
      <c r="BS222" s="520" t="str">
        <f>IF(AND(_A4="A-320",'2025'!$I$4="CA",'2025'!$I$2=BS195),'2025DATA'!$N$29,"")</f>
        <v/>
      </c>
      <c r="BT222" s="940" t="s">
        <v>70</v>
      </c>
      <c r="BU222" s="13" t="s">
        <v>61</v>
      </c>
      <c r="BV222" s="518" t="str">
        <f>IF(AND(_A5="A-320",'2025'!$I$4="CA",'2025'!$I$2=BV195),'2025DATA'!$C$29,"")</f>
        <v/>
      </c>
      <c r="BW222" s="518" t="str">
        <f>IF(AND(_A5="A-320",'2025'!$I$4="CA",'2025'!$I$2=BW195),'2025DATA'!$D$29,"")</f>
        <v/>
      </c>
      <c r="BX222" s="518" t="str">
        <f>IF(AND(_A5="A-320",'2025'!$I$4="CA",'2025'!$I$2=BX195),'2025DATA'!$E$29,"")</f>
        <v/>
      </c>
      <c r="BY222" s="518" t="str">
        <f>IF(AND(_A5="A-320",'2025'!$I$4="CA",'2025'!$I$2=BY195),'2025DATA'!$F$29,"")</f>
        <v/>
      </c>
      <c r="BZ222" s="518" t="str">
        <f>IF(AND(_A5="A-320",'2025'!$I$4="CA",'2025'!$I$2=BZ195),'2025DATA'!$G$29,"")</f>
        <v/>
      </c>
      <c r="CA222" s="518" t="str">
        <f>IF(AND(_A5="A-320",'2025'!$I$4="CA",'2025'!$I$2=CA195),'2025DATA'!$H$29,"")</f>
        <v/>
      </c>
      <c r="CB222" s="518" t="str">
        <f>IF(AND(_A5="A-320",'2025'!$I$4="CA",'2025'!$I$2=CB195),'2025DATA'!$I$29,"")</f>
        <v/>
      </c>
      <c r="CC222" s="518" t="str">
        <f>IF(AND(_A5="A-320",'2025'!$I$4="CA",'2025'!$I$2=CC195),'2025DATA'!$J$29,"")</f>
        <v/>
      </c>
      <c r="CD222" s="518" t="str">
        <f>IF(AND(_A5="A-320",'2025'!$I$4="CA",'2025'!$I$2=CD195),'2025DATA'!$K$29,"")</f>
        <v/>
      </c>
      <c r="CE222" s="518" t="str">
        <f>IF(AND(_A5="A-320",'2025'!$I$4="CA",'2025'!$I$2=CE195),'2025DATA'!$L$29,"")</f>
        <v/>
      </c>
      <c r="CF222" s="518" t="str">
        <f>IF(AND(_A5="A-320",'2025'!$I$4="CA",'2025'!$I$2=CF195),'2025DATA'!$M$29,"")</f>
        <v/>
      </c>
      <c r="CG222" s="520" t="str">
        <f>IF(AND(_A5="A-320",'2025'!$I$4="CA",'2025'!$I$2=CG195),'2025DATA'!$N$29,"")</f>
        <v/>
      </c>
      <c r="CH222" s="940" t="s">
        <v>70</v>
      </c>
      <c r="CI222" s="13" t="s">
        <v>61</v>
      </c>
      <c r="CJ222" s="518" t="str">
        <f>IF(AND(_A6="A-320",'2025'!$I$4="CA",'2025'!$I$2=CJ195),'2025DATA'!$C$29,"")</f>
        <v/>
      </c>
      <c r="CK222" s="518" t="str">
        <f>IF(AND(_A6="A-320",'2025'!$I$4="CA",'2025'!$I$2=CK195),'2025DATA'!$D$29,"")</f>
        <v/>
      </c>
      <c r="CL222" s="518" t="str">
        <f>IF(AND(_A6="A-320",'2025'!$I$4="CA",'2025'!$I$2=CL195),'2025DATA'!$E$29,"")</f>
        <v/>
      </c>
      <c r="CM222" s="518" t="str">
        <f>IF(AND(_A6="A-320",'2025'!$I$4="CA",'2025'!$I$2=CM195),'2025DATA'!$F$29,"")</f>
        <v/>
      </c>
      <c r="CN222" s="518" t="str">
        <f>IF(AND(_A6="A-320",'2025'!$I$4="CA",'2025'!$I$2=CN195),'2025DATA'!$G$29,"")</f>
        <v/>
      </c>
      <c r="CO222" s="518" t="str">
        <f>IF(AND(_A6="A-320",'2025'!$I$4="CA",'2025'!$I$2=CO195),'2025DATA'!$H$29,"")</f>
        <v/>
      </c>
      <c r="CP222" s="518" t="str">
        <f>IF(AND(_A6="A-320",'2025'!$I$4="CA",'2025'!$I$2=CP195),'2025DATA'!$I$29,"")</f>
        <v/>
      </c>
      <c r="CQ222" s="518" t="str">
        <f>IF(AND(_A6="A-320",'2025'!$I$4="CA",'2025'!$I$2=CQ195),'2025DATA'!$J$29,"")</f>
        <v/>
      </c>
      <c r="CR222" s="518" t="str">
        <f>IF(AND(_A6="A-320",'2025'!$I$4="CA",'2025'!$I$2=CR195),'2025DATA'!$K$29,"")</f>
        <v/>
      </c>
      <c r="CS222" s="518" t="str">
        <f>IF(AND(_A6="A-320",'2025'!$I$4="CA",'2025'!$I$2=CS195),'2025DATA'!$L$29,"")</f>
        <v/>
      </c>
      <c r="CT222" s="518" t="str">
        <f>IF(AND(_A6="A-320",'2025'!$I$4="CA",'2025'!$I$2=CT195),'2025DATA'!$M$29,"")</f>
        <v/>
      </c>
      <c r="CU222" s="520" t="str">
        <f>IF(AND(_A6="A-320",'2025'!$I$4="CA",'2025'!$I$2=CU195),'2025DATA'!$N$29,"")</f>
        <v/>
      </c>
    </row>
    <row r="223" spans="16:99" x14ac:dyDescent="0.25">
      <c r="P223" s="940"/>
      <c r="Q223" s="13" t="s">
        <v>62</v>
      </c>
      <c r="R223" s="518" t="str">
        <f>IF(AND(_A1="A-320",'2025'!$I$4="FO",'2025'!$I$2=R195),'2025DATA'!$C$30,"")</f>
        <v/>
      </c>
      <c r="S223" s="518" t="str">
        <f>IF(AND(_A1="A-320",'2025'!$I$4="FO",'2025'!$I$2=S195),'2025DATA'!$D$30,"")</f>
        <v/>
      </c>
      <c r="T223" s="518" t="str">
        <f>IF(AND(_A1="A-320",'2025'!$I$4="FO",'2025'!$I$2=T195),'2025DATA'!$E$30,"")</f>
        <v/>
      </c>
      <c r="U223" s="518" t="str">
        <f>IF(AND(_A1="A-320",'2025'!$I$4="FO",'2025'!$I$2=U195),'2025DATA'!$F$30,"")</f>
        <v/>
      </c>
      <c r="V223" s="518" t="str">
        <f>IF(AND(_A1="A-320",'2025'!$I$4="FO",'2025'!$I$2=V195),'2025DATA'!$G$30,"")</f>
        <v/>
      </c>
      <c r="W223" s="518" t="str">
        <f>IF(AND(_A1="A-320",'2025'!$I$4="FO",'2025'!$I$2=W195),'2025DATA'!$H$30,"")</f>
        <v/>
      </c>
      <c r="X223" s="518" t="str">
        <f>IF(AND(_A1="A-320",'2025'!$I$4="FO",'2025'!$I$2=X195),'2025DATA'!$I$30,"")</f>
        <v/>
      </c>
      <c r="Y223" s="518" t="str">
        <f>IF(AND(_A1="A-320",'2025'!$I$4="FO",'2025'!$I$2=Y195),'2025DATA'!$J$30,"")</f>
        <v/>
      </c>
      <c r="Z223" s="518" t="str">
        <f>IF(AND(_A1="A-320",'2025'!$I$4="FO",'2025'!$I$2=Z195),'2025DATA'!$K$30,"")</f>
        <v/>
      </c>
      <c r="AA223" s="518" t="str">
        <f>IF(AND(_A1="A-320",'2025'!$I$4="FO",'2025'!$I$2=AA195),'2025DATA'!$L$30,"")</f>
        <v/>
      </c>
      <c r="AB223" s="518" t="str">
        <f>IF(AND(_A1="A-320",'2025'!$I$4="FO",'2025'!$I$2=AB195),'2025DATA'!$M$30,"")</f>
        <v/>
      </c>
      <c r="AC223" s="520" t="str">
        <f>IF(AND(_A1="A-320",'2025'!$I$4="FO",'2025'!$I$2=AC195),'2025DATA'!$N$30,"")</f>
        <v/>
      </c>
      <c r="AD223" s="940"/>
      <c r="AE223" s="13" t="s">
        <v>62</v>
      </c>
      <c r="AF223" s="518" t="str">
        <f>IF(AND(_A2="A-320",'2025'!$I$4="FO",'2025'!$I$2=AF195),'2025DATA'!$C$30,"")</f>
        <v/>
      </c>
      <c r="AG223" s="518" t="str">
        <f>IF(AND(_A2="A-320",'2025'!$I$4="FO",'2025'!$I$2=AG195),'2025DATA'!$D$30,"")</f>
        <v/>
      </c>
      <c r="AH223" s="518" t="str">
        <f>IF(AND(_A2="A-320",'2025'!$I$4="FO",'2025'!$I$2=AH195),'2025DATA'!$E$30,"")</f>
        <v/>
      </c>
      <c r="AI223" s="518" t="str">
        <f>IF(AND(_A2="A-320",'2025'!$I$4="FO",'2025'!$I$2=AI195),'2025DATA'!$F$30,"")</f>
        <v/>
      </c>
      <c r="AJ223" s="518" t="str">
        <f>IF(AND(_A2="A-320",'2025'!$I$4="FO",'2025'!$I$2=AJ195),'2025DATA'!$G$30,"")</f>
        <v/>
      </c>
      <c r="AK223" s="518" t="str">
        <f>IF(AND(_A2="A-320",'2025'!$I$4="FO",'2025'!$I$2=AK195),'2025DATA'!$H$30,"")</f>
        <v/>
      </c>
      <c r="AL223" s="518" t="str">
        <f>IF(AND(_A2="A-320",'2025'!$I$4="FO",'2025'!$I$2=AL195),'2025DATA'!$I$30,"")</f>
        <v/>
      </c>
      <c r="AM223" s="518" t="str">
        <f>IF(AND(_A2="A-320",'2025'!$I$4="FO",'2025'!$I$2=AM195),'2025DATA'!$J$30,"")</f>
        <v/>
      </c>
      <c r="AN223" s="518" t="str">
        <f>IF(AND(_A2="A-320",'2025'!$I$4="FO",'2025'!$I$2=AN195),'2025DATA'!$K$30,"")</f>
        <v/>
      </c>
      <c r="AO223" s="518" t="str">
        <f>IF(AND(_A2="A-320",'2025'!$I$4="FO",'2025'!$I$2=AO195),'2025DATA'!$L$30,"")</f>
        <v/>
      </c>
      <c r="AP223" s="518" t="str">
        <f>IF(AND(_A2="A-320",'2025'!$I$4="FO",'2025'!$I$2=AP195),'2025DATA'!$M$30,"")</f>
        <v/>
      </c>
      <c r="AQ223" s="520" t="str">
        <f>IF(AND(_A2="A-320",'2025'!$I$4="FO",'2025'!$I$2=AQ195),'2025DATA'!$N$30,"")</f>
        <v/>
      </c>
      <c r="AR223" s="940"/>
      <c r="AS223" s="13" t="s">
        <v>62</v>
      </c>
      <c r="AT223" s="518" t="str">
        <f>IF(AND(_A3="A-320",'2025'!$I$4="FO",'2025'!$I$2=AT195),'2025DATA'!$C$30,"")</f>
        <v/>
      </c>
      <c r="AU223" s="518" t="str">
        <f>IF(AND(_A3="A-320",'2025'!$I$4="FO",'2025'!$I$2=AU195),'2025DATA'!$D$30,"")</f>
        <v/>
      </c>
      <c r="AV223" s="518" t="str">
        <f>IF(AND(_A3="A-320",'2025'!$I$4="FO",'2025'!$I$2=AV195),'2025DATA'!$E$30,"")</f>
        <v/>
      </c>
      <c r="AW223" s="518" t="str">
        <f>IF(AND(_A3="A-320",'2025'!$I$4="FO",'2025'!$I$2=AW195),'2025DATA'!$F$30,"")</f>
        <v/>
      </c>
      <c r="AX223" s="518" t="str">
        <f>IF(AND(_A3="A-320",'2025'!$I$4="FO",'2025'!$I$2=AX195),'2025DATA'!$G$30,"")</f>
        <v/>
      </c>
      <c r="AY223" s="518" t="str">
        <f>IF(AND(_A3="A-320",'2025'!$I$4="FO",'2025'!$I$2=AY195),'2025DATA'!$H$30,"")</f>
        <v/>
      </c>
      <c r="AZ223" s="518" t="str">
        <f>IF(AND(_A3="A-320",'2025'!$I$4="FO",'2025'!$I$2=AZ195),'2025DATA'!$I$30,"")</f>
        <v/>
      </c>
      <c r="BA223" s="518" t="str">
        <f>IF(AND(_A3="A-320",'2025'!$I$4="FO",'2025'!$I$2=BA195),'2025DATA'!$J$30,"")</f>
        <v/>
      </c>
      <c r="BB223" s="518" t="str">
        <f>IF(AND(_A3="A-320",'2025'!$I$4="FO",'2025'!$I$2=BB195),'2025DATA'!$K$30,"")</f>
        <v/>
      </c>
      <c r="BC223" s="518" t="str">
        <f>IF(AND(_A3="A-320",'2025'!$I$4="FO",'2025'!$I$2=BC195),'2025DATA'!$L$30,"")</f>
        <v/>
      </c>
      <c r="BD223" s="518" t="str">
        <f>IF(AND(_A3="A-320",'2025'!$I$4="FO",'2025'!$I$2=BD195),'2025DATA'!$M$30,"")</f>
        <v/>
      </c>
      <c r="BE223" s="520" t="str">
        <f>IF(AND(_A3="A-320",'2025'!$I$4="FO",'2025'!$I$2=BE195),'2025DATA'!$N$30,"")</f>
        <v/>
      </c>
      <c r="BF223" s="940"/>
      <c r="BG223" s="13" t="s">
        <v>62</v>
      </c>
      <c r="BH223" s="518" t="str">
        <f>IF(AND(_A4="A-320",'2025'!$I$4="FO",'2025'!$I$2=BH195),'2025DATA'!$C$30,"")</f>
        <v/>
      </c>
      <c r="BI223" s="518" t="str">
        <f>IF(AND(_A4="A-320",'2025'!$I$4="FO",'2025'!$I$2=BI195),'2025DATA'!$D$30,"")</f>
        <v/>
      </c>
      <c r="BJ223" s="518" t="str">
        <f>IF(AND(_A4="A-320",'2025'!$I$4="FO",'2025'!$I$2=BJ195),'2025DATA'!$E$30,"")</f>
        <v/>
      </c>
      <c r="BK223" s="518" t="str">
        <f>IF(AND(_A4="A-320",'2025'!$I$4="FO",'2025'!$I$2=BK195),'2025DATA'!$F$30,"")</f>
        <v/>
      </c>
      <c r="BL223" s="518" t="str">
        <f>IF(AND(_A4="A-320",'2025'!$I$4="FO",'2025'!$I$2=BL195),'2025DATA'!$G$30,"")</f>
        <v/>
      </c>
      <c r="BM223" s="518" t="str">
        <f>IF(AND(_A4="A-320",'2025'!$I$4="FO",'2025'!$I$2=BM195),'2025DATA'!$H$30,"")</f>
        <v/>
      </c>
      <c r="BN223" s="518" t="str">
        <f>IF(AND(_A4="A-320",'2025'!$I$4="FO",'2025'!$I$2=BN195),'2025DATA'!$I$30,"")</f>
        <v/>
      </c>
      <c r="BO223" s="518" t="str">
        <f>IF(AND(_A4="A-320",'2025'!$I$4="FO",'2025'!$I$2=BO195),'2025DATA'!$J$30,"")</f>
        <v/>
      </c>
      <c r="BP223" s="518" t="str">
        <f>IF(AND(_A4="A-320",'2025'!$I$4="FO",'2025'!$I$2=BP195),'2025DATA'!$K$30,"")</f>
        <v/>
      </c>
      <c r="BQ223" s="518" t="str">
        <f>IF(AND(_A4="A-320",'2025'!$I$4="FO",'2025'!$I$2=BQ195),'2025DATA'!$L$30,"")</f>
        <v/>
      </c>
      <c r="BR223" s="518" t="str">
        <f>IF(AND(_A4="A-320",'2025'!$I$4="FO",'2025'!$I$2=BR195),'2025DATA'!$M$30,"")</f>
        <v/>
      </c>
      <c r="BS223" s="520" t="str">
        <f>IF(AND(_A4="A-320",'2025'!$I$4="FO",'2025'!$I$2=BS195),'2025DATA'!$N$30,"")</f>
        <v/>
      </c>
      <c r="BT223" s="940"/>
      <c r="BU223" s="13" t="s">
        <v>62</v>
      </c>
      <c r="BV223" s="518" t="str">
        <f>IF(AND(_A5="A-320",'2025'!$I$4="FO",'2025'!$I$2=BV195),'2025DATA'!$C$30,"")</f>
        <v/>
      </c>
      <c r="BW223" s="518" t="str">
        <f>IF(AND(_A5="A-320",'2025'!$I$4="FO",'2025'!$I$2=BW195),'2025DATA'!$D$30,"")</f>
        <v/>
      </c>
      <c r="BX223" s="518" t="str">
        <f>IF(AND(_A5="A-320",'2025'!$I$4="FO",'2025'!$I$2=BX195),'2025DATA'!$E$30,"")</f>
        <v/>
      </c>
      <c r="BY223" s="518" t="str">
        <f>IF(AND(_A5="A-320",'2025'!$I$4="FO",'2025'!$I$2=BY195),'2025DATA'!$F$30,"")</f>
        <v/>
      </c>
      <c r="BZ223" s="518" t="str">
        <f>IF(AND(_A5="A-320",'2025'!$I$4="FO",'2025'!$I$2=BZ195),'2025DATA'!$G$30,"")</f>
        <v/>
      </c>
      <c r="CA223" s="518" t="str">
        <f>IF(AND(_A5="A-320",'2025'!$I$4="FO",'2025'!$I$2=CA195),'2025DATA'!$H$30,"")</f>
        <v/>
      </c>
      <c r="CB223" s="518" t="str">
        <f>IF(AND(_A5="A-320",'2025'!$I$4="FO",'2025'!$I$2=CB195),'2025DATA'!$I$30,"")</f>
        <v/>
      </c>
      <c r="CC223" s="518" t="str">
        <f>IF(AND(_A5="A-320",'2025'!$I$4="FO",'2025'!$I$2=CC195),'2025DATA'!$J$30,"")</f>
        <v/>
      </c>
      <c r="CD223" s="518" t="str">
        <f>IF(AND(_A5="A-320",'2025'!$I$4="FO",'2025'!$I$2=CD195),'2025DATA'!$K$30,"")</f>
        <v/>
      </c>
      <c r="CE223" s="518" t="str">
        <f>IF(AND(_A5="A-320",'2025'!$I$4="FO",'2025'!$I$2=CE195),'2025DATA'!$L$30,"")</f>
        <v/>
      </c>
      <c r="CF223" s="518" t="str">
        <f>IF(AND(_A5="A-320",'2025'!$I$4="FO",'2025'!$I$2=CF195),'2025DATA'!$M$30,"")</f>
        <v/>
      </c>
      <c r="CG223" s="520" t="str">
        <f>IF(AND(_A5="A-320",'2025'!$I$4="FO",'2025'!$I$2=CG195),'2025DATA'!$N$30,"")</f>
        <v/>
      </c>
      <c r="CH223" s="940"/>
      <c r="CI223" s="13" t="s">
        <v>62</v>
      </c>
      <c r="CJ223" s="518" t="str">
        <f>IF(AND(_A6="A-320",'2025'!$I$4="FO",'2025'!$I$2=CJ195),'2025DATA'!$C$30,"")</f>
        <v/>
      </c>
      <c r="CK223" s="518" t="str">
        <f>IF(AND(_A6="A-320",'2025'!$I$4="FO",'2025'!$I$2=CK195),'2025DATA'!$D$30,"")</f>
        <v/>
      </c>
      <c r="CL223" s="518" t="str">
        <f>IF(AND(_A6="A-320",'2025'!$I$4="FO",'2025'!$I$2=CL195),'2025DATA'!$E$30,"")</f>
        <v/>
      </c>
      <c r="CM223" s="518" t="str">
        <f>IF(AND(_A6="A-320",'2025'!$I$4="FO",'2025'!$I$2=CM195),'2025DATA'!$F$30,"")</f>
        <v/>
      </c>
      <c r="CN223" s="518" t="str">
        <f>IF(AND(_A6="A-320",'2025'!$I$4="FO",'2025'!$I$2=CN195),'2025DATA'!$G$30,"")</f>
        <v/>
      </c>
      <c r="CO223" s="518" t="str">
        <f>IF(AND(_A6="A-320",'2025'!$I$4="FO",'2025'!$I$2=CO195),'2025DATA'!$H$30,"")</f>
        <v/>
      </c>
      <c r="CP223" s="518" t="str">
        <f>IF(AND(_A6="A-320",'2025'!$I$4="FO",'2025'!$I$2=CP195),'2025DATA'!$I$30,"")</f>
        <v/>
      </c>
      <c r="CQ223" s="518" t="str">
        <f>IF(AND(_A6="A-320",'2025'!$I$4="FO",'2025'!$I$2=CQ195),'2025DATA'!$J$30,"")</f>
        <v/>
      </c>
      <c r="CR223" s="518" t="str">
        <f>IF(AND(_A6="A-320",'2025'!$I$4="FO",'2025'!$I$2=CR195),'2025DATA'!$K$30,"")</f>
        <v/>
      </c>
      <c r="CS223" s="518" t="str">
        <f>IF(AND(_A6="A-320",'2025'!$I$4="FO",'2025'!$I$2=CS195),'2025DATA'!$L$30,"")</f>
        <v/>
      </c>
      <c r="CT223" s="518" t="str">
        <f>IF(AND(_A6="A-320",'2025'!$I$4="FO",'2025'!$I$2=CT195),'2025DATA'!$M$30,"")</f>
        <v/>
      </c>
      <c r="CU223" s="520" t="str">
        <f>IF(AND(_A6="A-320",'2025'!$I$4="FO",'2025'!$I$2=CU195),'2025DATA'!$N$30,"")</f>
        <v/>
      </c>
    </row>
    <row r="224" spans="16:99" x14ac:dyDescent="0.25">
      <c r="P224" s="940" t="s">
        <v>71</v>
      </c>
      <c r="Q224" s="13" t="s">
        <v>61</v>
      </c>
      <c r="R224" s="518" t="str">
        <f>IF(AND(_A1="A-319",'2025'!$I$4="CA",'2025'!$I$2=R195),'2025DATA'!$C$31,"")</f>
        <v/>
      </c>
      <c r="S224" s="518" t="str">
        <f>IF(AND(_A1="A-319",'2025'!$I$4="CA",'2025'!$I$2=S195),'2025DATA'!$D$31,"")</f>
        <v/>
      </c>
      <c r="T224" s="518" t="str">
        <f>IF(AND(_A1="A-319",'2025'!$I$4="CA",'2025'!$I$2=T195),'2025DATA'!$E$31,"")</f>
        <v/>
      </c>
      <c r="U224" s="518" t="str">
        <f>IF(AND(_A1="A-319",'2025'!$I$4="CA",'2025'!$I$2=U195),'2025DATA'!$F$31,"")</f>
        <v/>
      </c>
      <c r="V224" s="518" t="str">
        <f>IF(AND(_A1="A-319",'2025'!$I$4="CA",'2025'!$I$2=V195),'2025DATA'!$G$31,"")</f>
        <v/>
      </c>
      <c r="W224" s="518" t="str">
        <f>IF(AND(_A1="A-319",'2025'!$I$4="CA",'2025'!$I$2=W195),'2025DATA'!$H$31,"")</f>
        <v/>
      </c>
      <c r="X224" s="518" t="str">
        <f>IF(AND(_A1="A-319",'2025'!$I$4="CA",'2025'!$I$2=X195),'2025DATA'!$I$31,"")</f>
        <v/>
      </c>
      <c r="Y224" s="518" t="str">
        <f>IF(AND(_A1="A-319",'2025'!$I$4="CA",'2025'!$I$2=Y195),'2025DATA'!$J$31,"")</f>
        <v/>
      </c>
      <c r="Z224" s="518" t="str">
        <f>IF(AND(_A1="A-319",'2025'!$I$4="CA",'2025'!$I$2=Z195),'2025DATA'!$K$31,"")</f>
        <v/>
      </c>
      <c r="AA224" s="518" t="str">
        <f>IF(AND(_A1="A-319",'2025'!$I$4="CA",'2025'!$I$2=AA195),'2025DATA'!$L$31,"")</f>
        <v/>
      </c>
      <c r="AB224" s="518" t="str">
        <f>IF(AND(_A1="A-319",'2025'!$I$4="CA",'2025'!$I$2=AB195),'2025DATA'!$M$31,"")</f>
        <v/>
      </c>
      <c r="AC224" s="520" t="str">
        <f>IF(AND(_A1="A-319",'2025'!$I$4="CA",'2025'!$I$2=AC195),'2025DATA'!$N$31,"")</f>
        <v/>
      </c>
      <c r="AD224" s="940" t="s">
        <v>71</v>
      </c>
      <c r="AE224" s="13" t="s">
        <v>61</v>
      </c>
      <c r="AF224" s="518" t="str">
        <f>IF(AND(_A2="A-319",'2025'!$I$4="CA",'2025'!$I$2=AF195),'2025DATA'!$C$31,"")</f>
        <v/>
      </c>
      <c r="AG224" s="518" t="str">
        <f>IF(AND(_A2="A-319",'2025'!$I$4="CA",'2025'!$I$2=AG195),'2025DATA'!$D$31,"")</f>
        <v/>
      </c>
      <c r="AH224" s="518" t="str">
        <f>IF(AND(_A2="A-319",'2025'!$I$4="CA",'2025'!$I$2=AH195),'2025DATA'!$E$31,"")</f>
        <v/>
      </c>
      <c r="AI224" s="518" t="str">
        <f>IF(AND(_A2="A-319",'2025'!$I$4="CA",'2025'!$I$2=AI195),'2025DATA'!$F$31,"")</f>
        <v/>
      </c>
      <c r="AJ224" s="518" t="str">
        <f>IF(AND(_A2="A-319",'2025'!$I$4="CA",'2025'!$I$2=AJ195),'2025DATA'!$G$31,"")</f>
        <v/>
      </c>
      <c r="AK224" s="518" t="str">
        <f>IF(AND(_A2="A-319",'2025'!$I$4="CA",'2025'!$I$2=AK195),'2025DATA'!$H$31,"")</f>
        <v/>
      </c>
      <c r="AL224" s="518" t="str">
        <f>IF(AND(_A2="A-319",'2025'!$I$4="CA",'2025'!$I$2=AL195),'2025DATA'!$I$31,"")</f>
        <v/>
      </c>
      <c r="AM224" s="518" t="str">
        <f>IF(AND(_A2="A-319",'2025'!$I$4="CA",'2025'!$I$2=AM195),'2025DATA'!$J$31,"")</f>
        <v/>
      </c>
      <c r="AN224" s="518" t="str">
        <f>IF(AND(_A2="A-319",'2025'!$I$4="CA",'2025'!$I$2=AN195),'2025DATA'!$K$31,"")</f>
        <v/>
      </c>
      <c r="AO224" s="518" t="str">
        <f>IF(AND(_A2="A-319",'2025'!$I$4="CA",'2025'!$I$2=AO195),'2025DATA'!$L$31,"")</f>
        <v/>
      </c>
      <c r="AP224" s="518" t="str">
        <f>IF(AND(_A2="A-319",'2025'!$I$4="CA",'2025'!$I$2=AP195),'2025DATA'!$M$31,"")</f>
        <v/>
      </c>
      <c r="AQ224" s="520" t="str">
        <f>IF(AND(_A2="A-319",'2025'!$I$4="CA",'2025'!$I$2=AQ195),'2025DATA'!$N$31,"")</f>
        <v/>
      </c>
      <c r="AR224" s="940" t="s">
        <v>71</v>
      </c>
      <c r="AS224" s="13" t="s">
        <v>61</v>
      </c>
      <c r="AT224" s="518" t="str">
        <f>IF(AND(_A3="A-319",'2025'!$I$4="CA",'2025'!$I$2=AT195),'2025DATA'!$C$31,"")</f>
        <v/>
      </c>
      <c r="AU224" s="518" t="str">
        <f>IF(AND(_A3="A-319",'2025'!$I$4="CA",'2025'!$I$2=AU195),'2025DATA'!$D$31,"")</f>
        <v/>
      </c>
      <c r="AV224" s="518" t="str">
        <f>IF(AND(_A3="A-319",'2025'!$I$4="CA",'2025'!$I$2=AV195),'2025DATA'!$E$31,"")</f>
        <v/>
      </c>
      <c r="AW224" s="518" t="str">
        <f>IF(AND(_A3="A-319",'2025'!$I$4="CA",'2025'!$I$2=AW195),'2025DATA'!$F$31,"")</f>
        <v/>
      </c>
      <c r="AX224" s="518" t="str">
        <f>IF(AND(_A3="A-319",'2025'!$I$4="CA",'2025'!$I$2=AX195),'2025DATA'!$G$31,"")</f>
        <v/>
      </c>
      <c r="AY224" s="518" t="str">
        <f>IF(AND(_A3="A-319",'2025'!$I$4="CA",'2025'!$I$2=AY195),'2025DATA'!$H$31,"")</f>
        <v/>
      </c>
      <c r="AZ224" s="518" t="str">
        <f>IF(AND(_A3="A-319",'2025'!$I$4="CA",'2025'!$I$2=AZ195),'2025DATA'!$I$31,"")</f>
        <v/>
      </c>
      <c r="BA224" s="518" t="str">
        <f>IF(AND(_A3="A-319",'2025'!$I$4="CA",'2025'!$I$2=BA195),'2025DATA'!$J$31,"")</f>
        <v/>
      </c>
      <c r="BB224" s="518" t="str">
        <f>IF(AND(_A3="A-319",'2025'!$I$4="CA",'2025'!$I$2=BB195),'2025DATA'!$K$31,"")</f>
        <v/>
      </c>
      <c r="BC224" s="518" t="str">
        <f>IF(AND(_A3="A-319",'2025'!$I$4="CA",'2025'!$I$2=BC195),'2025DATA'!$L$31,"")</f>
        <v/>
      </c>
      <c r="BD224" s="518" t="str">
        <f>IF(AND(_A3="A-319",'2025'!$I$4="CA",'2025'!$I$2=BD195),'2025DATA'!$M$31,"")</f>
        <v/>
      </c>
      <c r="BE224" s="520" t="str">
        <f>IF(AND(_A3="A-319",'2025'!$I$4="CA",'2025'!$I$2=BE195),'2025DATA'!$N$31,"")</f>
        <v/>
      </c>
      <c r="BF224" s="940" t="s">
        <v>71</v>
      </c>
      <c r="BG224" s="13" t="s">
        <v>61</v>
      </c>
      <c r="BH224" s="518" t="str">
        <f>IF(AND(_A4="A-319",'2025'!$I$4="CA",'2025'!$I$2=BH195),'2025DATA'!$C$31,"")</f>
        <v/>
      </c>
      <c r="BI224" s="518" t="str">
        <f>IF(AND(_A4="A-319",'2025'!$I$4="CA",'2025'!$I$2=BI195),'2025DATA'!$D$31,"")</f>
        <v/>
      </c>
      <c r="BJ224" s="518" t="str">
        <f>IF(AND(_A4="A-319",'2025'!$I$4="CA",'2025'!$I$2=BJ195),'2025DATA'!$E$31,"")</f>
        <v/>
      </c>
      <c r="BK224" s="518" t="str">
        <f>IF(AND(_A4="A-319",'2025'!$I$4="CA",'2025'!$I$2=BK195),'2025DATA'!$F$31,"")</f>
        <v/>
      </c>
      <c r="BL224" s="518" t="str">
        <f>IF(AND(_A4="A-319",'2025'!$I$4="CA",'2025'!$I$2=BL195),'2025DATA'!$G$31,"")</f>
        <v/>
      </c>
      <c r="BM224" s="518" t="str">
        <f>IF(AND(_A4="A-319",'2025'!$I$4="CA",'2025'!$I$2=BM195),'2025DATA'!$H$31,"")</f>
        <v/>
      </c>
      <c r="BN224" s="518" t="str">
        <f>IF(AND(_A4="A-319",'2025'!$I$4="CA",'2025'!$I$2=BN195),'2025DATA'!$I$31,"")</f>
        <v/>
      </c>
      <c r="BO224" s="518" t="str">
        <f>IF(AND(_A4="A-319",'2025'!$I$4="CA",'2025'!$I$2=BO195),'2025DATA'!$J$31,"")</f>
        <v/>
      </c>
      <c r="BP224" s="518" t="str">
        <f>IF(AND(_A4="A-319",'2025'!$I$4="CA",'2025'!$I$2=BP195),'2025DATA'!$K$31,"")</f>
        <v/>
      </c>
      <c r="BQ224" s="518" t="str">
        <f>IF(AND(_A4="A-319",'2025'!$I$4="CA",'2025'!$I$2=BQ195),'2025DATA'!$L$31,"")</f>
        <v/>
      </c>
      <c r="BR224" s="518" t="str">
        <f>IF(AND(_A4="A-319",'2025'!$I$4="CA",'2025'!$I$2=BR195),'2025DATA'!$M$31,"")</f>
        <v/>
      </c>
      <c r="BS224" s="520" t="str">
        <f>IF(AND(_A4="A-319",'2025'!$I$4="CA",'2025'!$I$2=BS195),'2025DATA'!$N$31,"")</f>
        <v/>
      </c>
      <c r="BT224" s="940" t="s">
        <v>71</v>
      </c>
      <c r="BU224" s="13" t="s">
        <v>61</v>
      </c>
      <c r="BV224" s="518" t="str">
        <f>IF(AND(_A5="A-319",'2025'!$I$4="CA",'2025'!$I$2=BV195),'2025DATA'!$C$31,"")</f>
        <v/>
      </c>
      <c r="BW224" s="518" t="str">
        <f>IF(AND(_A5="A-319",'2025'!$I$4="CA",'2025'!$I$2=BW195),'2025DATA'!$D$31,"")</f>
        <v/>
      </c>
      <c r="BX224" s="518" t="str">
        <f>IF(AND(_A5="A-319",'2025'!$I$4="CA",'2025'!$I$2=BX195),'2025DATA'!$E$31,"")</f>
        <v/>
      </c>
      <c r="BY224" s="518" t="str">
        <f>IF(AND(_A5="A-319",'2025'!$I$4="CA",'2025'!$I$2=BY195),'2025DATA'!$F$31,"")</f>
        <v/>
      </c>
      <c r="BZ224" s="518" t="str">
        <f>IF(AND(_A5="A-319",'2025'!$I$4="CA",'2025'!$I$2=BZ195),'2025DATA'!$G$31,"")</f>
        <v/>
      </c>
      <c r="CA224" s="518" t="str">
        <f>IF(AND(_A5="A-319",'2025'!$I$4="CA",'2025'!$I$2=CA195),'2025DATA'!$H$31,"")</f>
        <v/>
      </c>
      <c r="CB224" s="518" t="str">
        <f>IF(AND(_A5="A-319",'2025'!$I$4="CA",'2025'!$I$2=CB195),'2025DATA'!$I$31,"")</f>
        <v/>
      </c>
      <c r="CC224" s="518" t="str">
        <f>IF(AND(_A5="A-319",'2025'!$I$4="CA",'2025'!$I$2=CC195),'2025DATA'!$J$31,"")</f>
        <v/>
      </c>
      <c r="CD224" s="518" t="str">
        <f>IF(AND(_A5="A-319",'2025'!$I$4="CA",'2025'!$I$2=CD195),'2025DATA'!$K$31,"")</f>
        <v/>
      </c>
      <c r="CE224" s="518" t="str">
        <f>IF(AND(_A5="A-319",'2025'!$I$4="CA",'2025'!$I$2=CE195),'2025DATA'!$L$31,"")</f>
        <v/>
      </c>
      <c r="CF224" s="518" t="str">
        <f>IF(AND(_A5="A-319",'2025'!$I$4="CA",'2025'!$I$2=CF195),'2025DATA'!$M$31,"")</f>
        <v/>
      </c>
      <c r="CG224" s="520" t="str">
        <f>IF(AND(_A5="A-319",'2025'!$I$4="CA",'2025'!$I$2=CG195),'2025DATA'!$N$31,"")</f>
        <v/>
      </c>
      <c r="CH224" s="940" t="s">
        <v>71</v>
      </c>
      <c r="CI224" s="13" t="s">
        <v>61</v>
      </c>
      <c r="CJ224" s="518" t="str">
        <f>IF(AND(_A6="A-319",'2025'!$I$4="CA",'2025'!$I$2=CJ195),'2025DATA'!$C$31,"")</f>
        <v/>
      </c>
      <c r="CK224" s="518" t="str">
        <f>IF(AND(_A6="A-319",'2025'!$I$4="CA",'2025'!$I$2=CK195),'2025DATA'!$D$31,"")</f>
        <v/>
      </c>
      <c r="CL224" s="518" t="str">
        <f>IF(AND(_A6="A-319",'2025'!$I$4="CA",'2025'!$I$2=CL195),'2025DATA'!$E$31,"")</f>
        <v/>
      </c>
      <c r="CM224" s="518" t="str">
        <f>IF(AND(_A6="A-319",'2025'!$I$4="CA",'2025'!$I$2=CM195),'2025DATA'!$F$31,"")</f>
        <v/>
      </c>
      <c r="CN224" s="518" t="str">
        <f>IF(AND(_A6="A-319",'2025'!$I$4="CA",'2025'!$I$2=CN195),'2025DATA'!$G$31,"")</f>
        <v/>
      </c>
      <c r="CO224" s="518" t="str">
        <f>IF(AND(_A6="A-319",'2025'!$I$4="CA",'2025'!$I$2=CO195),'2025DATA'!$H$31,"")</f>
        <v/>
      </c>
      <c r="CP224" s="518" t="str">
        <f>IF(AND(_A6="A-319",'2025'!$I$4="CA",'2025'!$I$2=CP195),'2025DATA'!$I$31,"")</f>
        <v/>
      </c>
      <c r="CQ224" s="518" t="str">
        <f>IF(AND(_A6="A-319",'2025'!$I$4="CA",'2025'!$I$2=CQ195),'2025DATA'!$J$31,"")</f>
        <v/>
      </c>
      <c r="CR224" s="518" t="str">
        <f>IF(AND(_A6="A-319",'2025'!$I$4="CA",'2025'!$I$2=CR195),'2025DATA'!$K$31,"")</f>
        <v/>
      </c>
      <c r="CS224" s="518" t="str">
        <f>IF(AND(_A6="A-319",'2025'!$I$4="CA",'2025'!$I$2=CS195),'2025DATA'!$L$31,"")</f>
        <v/>
      </c>
      <c r="CT224" s="518" t="str">
        <f>IF(AND(_A6="A-319",'2025'!$I$4="CA",'2025'!$I$2=CT195),'2025DATA'!$M$31,"")</f>
        <v/>
      </c>
      <c r="CU224" s="520" t="str">
        <f>IF(AND(_A6="A-319",'2025'!$I$4="CA",'2025'!$I$2=CU195),'2025DATA'!$N$31,"")</f>
        <v/>
      </c>
    </row>
    <row r="225" spans="16:99" x14ac:dyDescent="0.25">
      <c r="P225" s="940"/>
      <c r="Q225" s="13" t="s">
        <v>62</v>
      </c>
      <c r="R225" s="518" t="str">
        <f>IF(AND(_A1="A-319",'2025'!$I$4="FO",'2025'!$I$2=R195),'2025DATA'!$C$32,"")</f>
        <v/>
      </c>
      <c r="S225" s="518" t="str">
        <f>IF(AND(_A1="A-319",'2025'!$I$4="FO",'2025'!$I$2=S195),'2025DATA'!$D$32,"")</f>
        <v/>
      </c>
      <c r="T225" s="518" t="str">
        <f>IF(AND(_A1="A-319",'2025'!$I$4="FO",'2025'!$I$2=T195),'2025DATA'!$E$32,"")</f>
        <v/>
      </c>
      <c r="U225" s="518" t="str">
        <f>IF(AND(_A1="A-319",'2025'!$I$4="FO",'2025'!$I$2=U195),'2025DATA'!$F$32,"")</f>
        <v/>
      </c>
      <c r="V225" s="518" t="str">
        <f>IF(AND(_A1="A-319",'2025'!$I$4="FO",'2025'!$I$2=V195),'2025DATA'!$G$32,"")</f>
        <v/>
      </c>
      <c r="W225" s="518" t="str">
        <f>IF(AND(_A1="A-319",'2025'!$I$4="FO",'2025'!$I$2=W195),'2025DATA'!$H$32,"")</f>
        <v/>
      </c>
      <c r="X225" s="518" t="str">
        <f>IF(AND(_A1="A-319",'2025'!$I$4="FO",'2025'!$I$2=X195),'2025DATA'!$I$32,"")</f>
        <v/>
      </c>
      <c r="Y225" s="518" t="str">
        <f>IF(AND(_A1="A-319",'2025'!$I$4="FO",'2025'!$I$2=Y195),'2025DATA'!$J$32,"")</f>
        <v/>
      </c>
      <c r="Z225" s="518" t="str">
        <f>IF(AND(_A1="A-319",'2025'!$I$4="FO",'2025'!$I$2=Z195),'2025DATA'!$K$32,"")</f>
        <v/>
      </c>
      <c r="AA225" s="518" t="str">
        <f>IF(AND(_A1="A-319",'2025'!$I$4="FO",'2025'!$I$2=AA195),'2025DATA'!$L$32,"")</f>
        <v/>
      </c>
      <c r="AB225" s="518" t="str">
        <f>IF(AND(_A1="A-319",'2025'!$I$4="FO",'2025'!$I$2=AB195),'2025DATA'!$M$32,"")</f>
        <v/>
      </c>
      <c r="AC225" s="520" t="str">
        <f>IF(AND(_A1="A-319",'2025'!$I$4="FO",'2025'!$I$2=AC195),'2025DATA'!$N$32,"")</f>
        <v/>
      </c>
      <c r="AD225" s="940"/>
      <c r="AE225" s="13" t="s">
        <v>62</v>
      </c>
      <c r="AF225" s="518" t="str">
        <f>IF(AND(_A2="A-319",'2025'!$I$4="FO",'2025'!$I$2=AF195),'2025DATA'!$C$32,"")</f>
        <v/>
      </c>
      <c r="AG225" s="518" t="str">
        <f>IF(AND(_A2="A-319",'2025'!$I$4="FO",'2025'!$I$2=AG195),'2025DATA'!$D$32,"")</f>
        <v/>
      </c>
      <c r="AH225" s="518" t="str">
        <f>IF(AND(_A2="A-319",'2025'!$I$4="FO",'2025'!$I$2=AH195),'2025DATA'!$E$32,"")</f>
        <v/>
      </c>
      <c r="AI225" s="518" t="str">
        <f>IF(AND(_A2="A-319",'2025'!$I$4="FO",'2025'!$I$2=AI195),'2025DATA'!$F$32,"")</f>
        <v/>
      </c>
      <c r="AJ225" s="518" t="str">
        <f>IF(AND(_A2="A-319",'2025'!$I$4="FO",'2025'!$I$2=AJ195),'2025DATA'!$G$32,"")</f>
        <v/>
      </c>
      <c r="AK225" s="518" t="str">
        <f>IF(AND(_A2="A-319",'2025'!$I$4="FO",'2025'!$I$2=AK195),'2025DATA'!$H$32,"")</f>
        <v/>
      </c>
      <c r="AL225" s="518" t="str">
        <f>IF(AND(_A2="A-319",'2025'!$I$4="FO",'2025'!$I$2=AL195),'2025DATA'!$I$32,"")</f>
        <v/>
      </c>
      <c r="AM225" s="518" t="str">
        <f>IF(AND(_A2="A-319",'2025'!$I$4="FO",'2025'!$I$2=AM195),'2025DATA'!$J$32,"")</f>
        <v/>
      </c>
      <c r="AN225" s="518" t="str">
        <f>IF(AND(_A2="A-319",'2025'!$I$4="FO",'2025'!$I$2=AN195),'2025DATA'!$K$32,"")</f>
        <v/>
      </c>
      <c r="AO225" s="518" t="str">
        <f>IF(AND(_A2="A-319",'2025'!$I$4="FO",'2025'!$I$2=AO195),'2025DATA'!$L$32,"")</f>
        <v/>
      </c>
      <c r="AP225" s="518" t="str">
        <f>IF(AND(_A2="A-319",'2025'!$I$4="FO",'2025'!$I$2=AP195),'2025DATA'!$M$32,"")</f>
        <v/>
      </c>
      <c r="AQ225" s="520" t="str">
        <f>IF(AND(_A2="A-319",'2025'!$I$4="FO",'2025'!$I$2=AQ195),'2025DATA'!$N$32,"")</f>
        <v/>
      </c>
      <c r="AR225" s="940"/>
      <c r="AS225" s="13" t="s">
        <v>62</v>
      </c>
      <c r="AT225" s="518" t="str">
        <f>IF(AND(_A3="A-319",'2025'!$I$4="FO",'2025'!$I$2=AT195),'2025DATA'!$C$32,"")</f>
        <v/>
      </c>
      <c r="AU225" s="518" t="str">
        <f>IF(AND(_A3="A-319",'2025'!$I$4="FO",'2025'!$I$2=AU195),'2025DATA'!$D$32,"")</f>
        <v/>
      </c>
      <c r="AV225" s="518" t="str">
        <f>IF(AND(_A3="A-319",'2025'!$I$4="FO",'2025'!$I$2=AV195),'2025DATA'!$E$32,"")</f>
        <v/>
      </c>
      <c r="AW225" s="518" t="str">
        <f>IF(AND(_A3="A-319",'2025'!$I$4="FO",'2025'!$I$2=AW195),'2025DATA'!$F$32,"")</f>
        <v/>
      </c>
      <c r="AX225" s="518" t="str">
        <f>IF(AND(_A3="A-319",'2025'!$I$4="FO",'2025'!$I$2=AX195),'2025DATA'!$G$32,"")</f>
        <v/>
      </c>
      <c r="AY225" s="518" t="str">
        <f>IF(AND(_A3="A-319",'2025'!$I$4="FO",'2025'!$I$2=AY195),'2025DATA'!$H$32,"")</f>
        <v/>
      </c>
      <c r="AZ225" s="518" t="str">
        <f>IF(AND(_A3="A-319",'2025'!$I$4="FO",'2025'!$I$2=AZ195),'2025DATA'!$I$32,"")</f>
        <v/>
      </c>
      <c r="BA225" s="518" t="str">
        <f>IF(AND(_A3="A-319",'2025'!$I$4="FO",'2025'!$I$2=BA195),'2025DATA'!$J$32,"")</f>
        <v/>
      </c>
      <c r="BB225" s="518" t="str">
        <f>IF(AND(_A3="A-319",'2025'!$I$4="FO",'2025'!$I$2=BB195),'2025DATA'!$K$32,"")</f>
        <v/>
      </c>
      <c r="BC225" s="518" t="str">
        <f>IF(AND(_A3="A-319",'2025'!$I$4="FO",'2025'!$I$2=BC195),'2025DATA'!$L$32,"")</f>
        <v/>
      </c>
      <c r="BD225" s="518" t="str">
        <f>IF(AND(_A3="A-319",'2025'!$I$4="FO",'2025'!$I$2=BD195),'2025DATA'!$M$32,"")</f>
        <v/>
      </c>
      <c r="BE225" s="520" t="str">
        <f>IF(AND(_A3="A-319",'2025'!$I$4="FO",'2025'!$I$2=BE195),'2025DATA'!$N$32,"")</f>
        <v/>
      </c>
      <c r="BF225" s="940"/>
      <c r="BG225" s="13" t="s">
        <v>62</v>
      </c>
      <c r="BH225" s="518" t="str">
        <f>IF(AND(_A4="A-319",'2025'!$I$4="FO",'2025'!$I$2=BH195),'2025DATA'!$C$32,"")</f>
        <v/>
      </c>
      <c r="BI225" s="518" t="str">
        <f>IF(AND(_A4="A-319",'2025'!$I$4="FO",'2025'!$I$2=BI195),'2025DATA'!$D$32,"")</f>
        <v/>
      </c>
      <c r="BJ225" s="518" t="str">
        <f>IF(AND(_A4="A-319",'2025'!$I$4="FO",'2025'!$I$2=BJ195),'2025DATA'!$E$32,"")</f>
        <v/>
      </c>
      <c r="BK225" s="518" t="str">
        <f>IF(AND(_A4="A-319",'2025'!$I$4="FO",'2025'!$I$2=BK195),'2025DATA'!$F$32,"")</f>
        <v/>
      </c>
      <c r="BL225" s="518" t="str">
        <f>IF(AND(_A4="A-319",'2025'!$I$4="FO",'2025'!$I$2=BL195),'2025DATA'!$G$32,"")</f>
        <v/>
      </c>
      <c r="BM225" s="518" t="str">
        <f>IF(AND(_A4="A-319",'2025'!$I$4="FO",'2025'!$I$2=BM195),'2025DATA'!$H$32,"")</f>
        <v/>
      </c>
      <c r="BN225" s="518" t="str">
        <f>IF(AND(_A4="A-319",'2025'!$I$4="FO",'2025'!$I$2=BN195),'2025DATA'!$I$32,"")</f>
        <v/>
      </c>
      <c r="BO225" s="518" t="str">
        <f>IF(AND(_A4="A-319",'2025'!$I$4="FO",'2025'!$I$2=BO195),'2025DATA'!$J$32,"")</f>
        <v/>
      </c>
      <c r="BP225" s="518" t="str">
        <f>IF(AND(_A4="A-319",'2025'!$I$4="FO",'2025'!$I$2=BP195),'2025DATA'!$K$32,"")</f>
        <v/>
      </c>
      <c r="BQ225" s="518" t="str">
        <f>IF(AND(_A4="A-319",'2025'!$I$4="FO",'2025'!$I$2=BQ195),'2025DATA'!$L$32,"")</f>
        <v/>
      </c>
      <c r="BR225" s="518" t="str">
        <f>IF(AND(_A4="A-319",'2025'!$I$4="FO",'2025'!$I$2=BR195),'2025DATA'!$M$32,"")</f>
        <v/>
      </c>
      <c r="BS225" s="520" t="str">
        <f>IF(AND(_A4="A-319",'2025'!$I$4="FO",'2025'!$I$2=BS195),'2025DATA'!$N$32,"")</f>
        <v/>
      </c>
      <c r="BT225" s="940"/>
      <c r="BU225" s="13" t="s">
        <v>62</v>
      </c>
      <c r="BV225" s="518" t="str">
        <f>IF(AND(_A5="A-319",'2025'!$I$4="FO",'2025'!$I$2=BV195),'2025DATA'!$C$32,"")</f>
        <v/>
      </c>
      <c r="BW225" s="518" t="str">
        <f>IF(AND(_A5="A-319",'2025'!$I$4="FO",'2025'!$I$2=BW195),'2025DATA'!$D$32,"")</f>
        <v/>
      </c>
      <c r="BX225" s="518" t="str">
        <f>IF(AND(_A5="A-319",'2025'!$I$4="FO",'2025'!$I$2=BX195),'2025DATA'!$E$32,"")</f>
        <v/>
      </c>
      <c r="BY225" s="518" t="str">
        <f>IF(AND(_A5="A-319",'2025'!$I$4="FO",'2025'!$I$2=BY195),'2025DATA'!$F$32,"")</f>
        <v/>
      </c>
      <c r="BZ225" s="518" t="str">
        <f>IF(AND(_A5="A-319",'2025'!$I$4="FO",'2025'!$I$2=BZ195),'2025DATA'!$G$32,"")</f>
        <v/>
      </c>
      <c r="CA225" s="518" t="str">
        <f>IF(AND(_A5="A-319",'2025'!$I$4="FO",'2025'!$I$2=CA195),'2025DATA'!$H$32,"")</f>
        <v/>
      </c>
      <c r="CB225" s="518" t="str">
        <f>IF(AND(_A5="A-319",'2025'!$I$4="FO",'2025'!$I$2=CB195),'2025DATA'!$I$32,"")</f>
        <v/>
      </c>
      <c r="CC225" s="518" t="str">
        <f>IF(AND(_A5="A-319",'2025'!$I$4="FO",'2025'!$I$2=CC195),'2025DATA'!$J$32,"")</f>
        <v/>
      </c>
      <c r="CD225" s="518" t="str">
        <f>IF(AND(_A5="A-319",'2025'!$I$4="FO",'2025'!$I$2=CD195),'2025DATA'!$K$32,"")</f>
        <v/>
      </c>
      <c r="CE225" s="518" t="str">
        <f>IF(AND(_A5="A-319",'2025'!$I$4="FO",'2025'!$I$2=CE195),'2025DATA'!$L$32,"")</f>
        <v/>
      </c>
      <c r="CF225" s="518" t="str">
        <f>IF(AND(_A5="A-319",'2025'!$I$4="FO",'2025'!$I$2=CF195),'2025DATA'!$M$32,"")</f>
        <v/>
      </c>
      <c r="CG225" s="520" t="str">
        <f>IF(AND(_A5="A-319",'2025'!$I$4="FO",'2025'!$I$2=CG195),'2025DATA'!$N$32,"")</f>
        <v/>
      </c>
      <c r="CH225" s="940"/>
      <c r="CI225" s="13" t="s">
        <v>62</v>
      </c>
      <c r="CJ225" s="518" t="str">
        <f>IF(AND(_A6="A-319",'2025'!$I$4="FO",'2025'!$I$2=CJ195),'2025DATA'!$C$32,"")</f>
        <v/>
      </c>
      <c r="CK225" s="518" t="str">
        <f>IF(AND(_A6="A-319",'2025'!$I$4="FO",'2025'!$I$2=CK195),'2025DATA'!$D$32,"")</f>
        <v/>
      </c>
      <c r="CL225" s="518" t="str">
        <f>IF(AND(_A6="A-319",'2025'!$I$4="FO",'2025'!$I$2=CL195),'2025DATA'!$E$32,"")</f>
        <v/>
      </c>
      <c r="CM225" s="518" t="str">
        <f>IF(AND(_A6="A-319",'2025'!$I$4="FO",'2025'!$I$2=CM195),'2025DATA'!$F$32,"")</f>
        <v/>
      </c>
      <c r="CN225" s="518" t="str">
        <f>IF(AND(_A6="A-319",'2025'!$I$4="FO",'2025'!$I$2=CN195),'2025DATA'!$G$32,"")</f>
        <v/>
      </c>
      <c r="CO225" s="518" t="str">
        <f>IF(AND(_A6="A-319",'2025'!$I$4="FO",'2025'!$I$2=CO195),'2025DATA'!$H$32,"")</f>
        <v/>
      </c>
      <c r="CP225" s="518" t="str">
        <f>IF(AND(_A6="A-319",'2025'!$I$4="FO",'2025'!$I$2=CP195),'2025DATA'!$I$32,"")</f>
        <v/>
      </c>
      <c r="CQ225" s="518" t="str">
        <f>IF(AND(_A6="A-319",'2025'!$I$4="FO",'2025'!$I$2=CQ195),'2025DATA'!$J$32,"")</f>
        <v/>
      </c>
      <c r="CR225" s="518" t="str">
        <f>IF(AND(_A6="A-319",'2025'!$I$4="FO",'2025'!$I$2=CR195),'2025DATA'!$K$32,"")</f>
        <v/>
      </c>
      <c r="CS225" s="518" t="str">
        <f>IF(AND(_A6="A-319",'2025'!$I$4="FO",'2025'!$I$2=CS195),'2025DATA'!$L$32,"")</f>
        <v/>
      </c>
      <c r="CT225" s="518" t="str">
        <f>IF(AND(_A6="A-319",'2025'!$I$4="FO",'2025'!$I$2=CT195),'2025DATA'!$M$32,"")</f>
        <v/>
      </c>
      <c r="CU225" s="520" t="str">
        <f>IF(AND(_A6="A-319",'2025'!$I$4="FO",'2025'!$I$2=CU195),'2025DATA'!$N$32,"")</f>
        <v/>
      </c>
    </row>
    <row r="226" spans="16:99" x14ac:dyDescent="0.25">
      <c r="P226" s="940" t="s">
        <v>51</v>
      </c>
      <c r="Q226" s="13" t="s">
        <v>61</v>
      </c>
      <c r="R226" s="518" t="str">
        <f>IF(AND(_A1="A-220-300",'2025'!$I$4="CA",'2025'!$I$2=R195),'2025DATA'!$C$33,"")</f>
        <v/>
      </c>
      <c r="S226" s="518" t="str">
        <f>IF(AND(_A1="A-220-300",'2025'!$I$4="CA",'2025'!$I$2=S195),'2025DATA'!$D$33,"")</f>
        <v/>
      </c>
      <c r="T226" s="518" t="str">
        <f>IF(AND(_A1="A-220-300",'2025'!$I$4="CA",'2025'!$I$2=T195),'2025DATA'!$E$33,"")</f>
        <v/>
      </c>
      <c r="U226" s="518" t="str">
        <f>IF(AND(_A1="A-220-300",'2025'!$I$4="CA",'2025'!$I$2=U195),'2025DATA'!$F$33,"")</f>
        <v/>
      </c>
      <c r="V226" s="518" t="str">
        <f>IF(AND(_A1="A-220-300",'2025'!$I$4="CA",'2025'!$I$2=V195),'2025DATA'!$G$33,"")</f>
        <v/>
      </c>
      <c r="W226" s="518" t="str">
        <f>IF(AND(_A1="A-220-300",'2025'!$I$4="CA",'2025'!$I$2=W195),'2025DATA'!$H$33,"")</f>
        <v/>
      </c>
      <c r="X226" s="518" t="str">
        <f>IF(AND(_A1="A-220-300",'2025'!$I$4="CA",'2025'!$I$2=X195),'2025DATA'!$I$33,"")</f>
        <v/>
      </c>
      <c r="Y226" s="518" t="str">
        <f>IF(AND(_A1="A-220-300",'2025'!$I$4="CA",'2025'!$I$2=Y195),'2025DATA'!$J$33,"")</f>
        <v/>
      </c>
      <c r="Z226" s="518" t="str">
        <f>IF(AND(_A1="A-220-300",'2025'!$I$4="CA",'2025'!$I$2=Z195),'2025DATA'!$K$33,"")</f>
        <v/>
      </c>
      <c r="AA226" s="518" t="str">
        <f>IF(AND(_A1="A-220-300",'2025'!$I$4="CA",'2025'!$I$2=AA195),'2025DATA'!$L$33,"")</f>
        <v/>
      </c>
      <c r="AB226" s="518" t="str">
        <f>IF(AND(_A1="A-220-300",'2025'!$I$4="CA",'2025'!$I$2=AB195),'2025DATA'!$M$33,"")</f>
        <v/>
      </c>
      <c r="AC226" s="520" t="str">
        <f>IF(AND(_A1="A-220-300",'2025'!$I$4="CA",'2025'!$I$2=AC195),'2025DATA'!$N$33,"")</f>
        <v/>
      </c>
      <c r="AD226" s="940" t="s">
        <v>51</v>
      </c>
      <c r="AE226" s="13" t="s">
        <v>61</v>
      </c>
      <c r="AF226" s="518" t="str">
        <f>IF(AND(_A2="A-220-300",'2025'!$I$4="CA",'2025'!$I$2=AF195),'2025DATA'!$C$33,"")</f>
        <v/>
      </c>
      <c r="AG226" s="518" t="str">
        <f>IF(AND(_A2="A-220-300",'2025'!$I$4="CA",'2025'!$I$2=AG195),'2025DATA'!$D$33,"")</f>
        <v/>
      </c>
      <c r="AH226" s="518" t="str">
        <f>IF(AND(_A2="A-220-300",'2025'!$I$4="CA",'2025'!$I$2=AH195),'2025DATA'!$E$33,"")</f>
        <v/>
      </c>
      <c r="AI226" s="518" t="str">
        <f>IF(AND(_A2="A-220-300",'2025'!$I$4="CA",'2025'!$I$2=AI195),'2025DATA'!$F$33,"")</f>
        <v/>
      </c>
      <c r="AJ226" s="518" t="str">
        <f>IF(AND(_A2="A-220-300",'2025'!$I$4="CA",'2025'!$I$2=AJ195),'2025DATA'!$G$33,"")</f>
        <v/>
      </c>
      <c r="AK226" s="518" t="str">
        <f>IF(AND(_A2="A-220-300",'2025'!$I$4="CA",'2025'!$I$2=AK195),'2025DATA'!$H$33,"")</f>
        <v/>
      </c>
      <c r="AL226" s="518" t="str">
        <f>IF(AND(_A2="A-220-300",'2025'!$I$4="CA",'2025'!$I$2=AL195),'2025DATA'!$I$33,"")</f>
        <v/>
      </c>
      <c r="AM226" s="518" t="str">
        <f>IF(AND(_A2="A-220-300",'2025'!$I$4="CA",'2025'!$I$2=AM195),'2025DATA'!$J$33,"")</f>
        <v/>
      </c>
      <c r="AN226" s="518" t="str">
        <f>IF(AND(_A2="A-220-300",'2025'!$I$4="CA",'2025'!$I$2=AN195),'2025DATA'!$K$33,"")</f>
        <v/>
      </c>
      <c r="AO226" s="518" t="str">
        <f>IF(AND(_A2="A-220-300",'2025'!$I$4="CA",'2025'!$I$2=AO195),'2025DATA'!$L$33,"")</f>
        <v/>
      </c>
      <c r="AP226" s="518" t="str">
        <f>IF(AND(_A2="A-220-300",'2025'!$I$4="CA",'2025'!$I$2=AP195),'2025DATA'!$M$33,"")</f>
        <v/>
      </c>
      <c r="AQ226" s="520" t="str">
        <f>IF(AND(_A2="A-220-300",'2025'!$I$4="CA",'2025'!$I$2=AQ195),'2025DATA'!$N$33,"")</f>
        <v/>
      </c>
      <c r="AR226" s="940" t="s">
        <v>51</v>
      </c>
      <c r="AS226" s="13" t="s">
        <v>61</v>
      </c>
      <c r="AT226" s="518" t="str">
        <f>IF(AND(_A3="A-220-300",'2025'!$I$4="CA",'2025'!$I$2=AT195),'2025DATA'!$C$33,"")</f>
        <v/>
      </c>
      <c r="AU226" s="518" t="str">
        <f>IF(AND(_A3="A-220-300",'2025'!$I$4="CA",'2025'!$I$2=AU195),'2025DATA'!$D$33,"")</f>
        <v/>
      </c>
      <c r="AV226" s="518" t="str">
        <f>IF(AND(_A3="A-220-300",'2025'!$I$4="CA",'2025'!$I$2=AV195),'2025DATA'!$E$33,"")</f>
        <v/>
      </c>
      <c r="AW226" s="518" t="str">
        <f>IF(AND(_A3="A-220-300",'2025'!$I$4="CA",'2025'!$I$2=AW195),'2025DATA'!$F$33,"")</f>
        <v/>
      </c>
      <c r="AX226" s="518" t="str">
        <f>IF(AND(_A3="A-220-300",'2025'!$I$4="CA",'2025'!$I$2=AX195),'2025DATA'!$G$33,"")</f>
        <v/>
      </c>
      <c r="AY226" s="518" t="str">
        <f>IF(AND(_A3="A-220-300",'2025'!$I$4="CA",'2025'!$I$2=AY195),'2025DATA'!$H$33,"")</f>
        <v/>
      </c>
      <c r="AZ226" s="518" t="str">
        <f>IF(AND(_A3="A-220-300",'2025'!$I$4="CA",'2025'!$I$2=AZ195),'2025DATA'!$I$33,"")</f>
        <v/>
      </c>
      <c r="BA226" s="518" t="str">
        <f>IF(AND(_A3="A-220-300",'2025'!$I$4="CA",'2025'!$I$2=BA195),'2025DATA'!$J$33,"")</f>
        <v/>
      </c>
      <c r="BB226" s="518" t="str">
        <f>IF(AND(_A3="A-220-300",'2025'!$I$4="CA",'2025'!$I$2=BB195),'2025DATA'!$K$33,"")</f>
        <v/>
      </c>
      <c r="BC226" s="518" t="str">
        <f>IF(AND(_A3="A-220-300",'2025'!$I$4="CA",'2025'!$I$2=BC195),'2025DATA'!$L$33,"")</f>
        <v/>
      </c>
      <c r="BD226" s="518" t="str">
        <f>IF(AND(_A3="A-220-300",'2025'!$I$4="CA",'2025'!$I$2=BD195),'2025DATA'!$M$33,"")</f>
        <v/>
      </c>
      <c r="BE226" s="520" t="str">
        <f>IF(AND(_A3="A-220-300",'2025'!$I$4="CA",'2025'!$I$2=BE195),'2025DATA'!$N$33,"")</f>
        <v/>
      </c>
      <c r="BF226" s="940" t="s">
        <v>51</v>
      </c>
      <c r="BG226" s="13" t="s">
        <v>61</v>
      </c>
      <c r="BH226" s="518" t="str">
        <f>IF(AND(_A4="A-220-300",'2025'!$I$4="CA",'2025'!$I$2=BH195),'2025DATA'!$C$33,"")</f>
        <v/>
      </c>
      <c r="BI226" s="518" t="str">
        <f>IF(AND(_A4="A-220-300",'2025'!$I$4="CA",'2025'!$I$2=BI195),'2025DATA'!$D$33,"")</f>
        <v/>
      </c>
      <c r="BJ226" s="518" t="str">
        <f>IF(AND(_A4="A-220-300",'2025'!$I$4="CA",'2025'!$I$2=BJ195),'2025DATA'!$E$33,"")</f>
        <v/>
      </c>
      <c r="BK226" s="518" t="str">
        <f>IF(AND(_A4="A-220-300",'2025'!$I$4="CA",'2025'!$I$2=BK195),'2025DATA'!$F$33,"")</f>
        <v/>
      </c>
      <c r="BL226" s="518" t="str">
        <f>IF(AND(_A4="A-220-300",'2025'!$I$4="CA",'2025'!$I$2=BL195),'2025DATA'!$G$33,"")</f>
        <v/>
      </c>
      <c r="BM226" s="518" t="str">
        <f>IF(AND(_A4="A-220-300",'2025'!$I$4="CA",'2025'!$I$2=BM195),'2025DATA'!$H$33,"")</f>
        <v/>
      </c>
      <c r="BN226" s="518" t="str">
        <f>IF(AND(_A4="A-220-300",'2025'!$I$4="CA",'2025'!$I$2=BN195),'2025DATA'!$I$33,"")</f>
        <v/>
      </c>
      <c r="BO226" s="518" t="str">
        <f>IF(AND(_A4="A-220-300",'2025'!$I$4="CA",'2025'!$I$2=BO195),'2025DATA'!$J$33,"")</f>
        <v/>
      </c>
      <c r="BP226" s="518" t="str">
        <f>IF(AND(_A4="A-220-300",'2025'!$I$4="CA",'2025'!$I$2=BP195),'2025DATA'!$K$33,"")</f>
        <v/>
      </c>
      <c r="BQ226" s="518" t="str">
        <f>IF(AND(_A4="A-220-300",'2025'!$I$4="CA",'2025'!$I$2=BQ195),'2025DATA'!$L$33,"")</f>
        <v/>
      </c>
      <c r="BR226" s="518" t="str">
        <f>IF(AND(_A4="A-220-300",'2025'!$I$4="CA",'2025'!$I$2=BR195),'2025DATA'!$M$33,"")</f>
        <v/>
      </c>
      <c r="BS226" s="520" t="str">
        <f>IF(AND(_A4="A-220-300",'2025'!$I$4="CA",'2025'!$I$2=BS195),'2025DATA'!$N$33,"")</f>
        <v/>
      </c>
      <c r="BT226" s="940" t="s">
        <v>51</v>
      </c>
      <c r="BU226" s="13" t="s">
        <v>61</v>
      </c>
      <c r="BV226" s="518" t="str">
        <f>IF(AND(_A5="A-220-300",'2025'!$I$4="CA",'2025'!$I$2=BV195),'2025DATA'!$C$33,"")</f>
        <v/>
      </c>
      <c r="BW226" s="518" t="str">
        <f>IF(AND(_A5="A-220-300",'2025'!$I$4="CA",'2025'!$I$2=BW195),'2025DATA'!$D$33,"")</f>
        <v/>
      </c>
      <c r="BX226" s="518" t="str">
        <f>IF(AND(_A5="A-220-300",'2025'!$I$4="CA",'2025'!$I$2=BX195),'2025DATA'!$E$33,"")</f>
        <v/>
      </c>
      <c r="BY226" s="518" t="str">
        <f>IF(AND(_A5="A-220-300",'2025'!$I$4="CA",'2025'!$I$2=BY195),'2025DATA'!$F$33,"")</f>
        <v/>
      </c>
      <c r="BZ226" s="518" t="str">
        <f>IF(AND(_A5="A-220-300",'2025'!$I$4="CA",'2025'!$I$2=BZ195),'2025DATA'!$G$33,"")</f>
        <v/>
      </c>
      <c r="CA226" s="518" t="str">
        <f>IF(AND(_A5="A-220-300",'2025'!$I$4="CA",'2025'!$I$2=CA195),'2025DATA'!$H$33,"")</f>
        <v/>
      </c>
      <c r="CB226" s="518" t="str">
        <f>IF(AND(_A5="A-220-300",'2025'!$I$4="CA",'2025'!$I$2=CB195),'2025DATA'!$I$33,"")</f>
        <v/>
      </c>
      <c r="CC226" s="518" t="str">
        <f>IF(AND(_A5="A-220-300",'2025'!$I$4="CA",'2025'!$I$2=CC195),'2025DATA'!$J$33,"")</f>
        <v/>
      </c>
      <c r="CD226" s="518" t="str">
        <f>IF(AND(_A5="A-220-300",'2025'!$I$4="CA",'2025'!$I$2=CD195),'2025DATA'!$K$33,"")</f>
        <v/>
      </c>
      <c r="CE226" s="518" t="str">
        <f>IF(AND(_A5="A-220-300",'2025'!$I$4="CA",'2025'!$I$2=CE195),'2025DATA'!$L$33,"")</f>
        <v/>
      </c>
      <c r="CF226" s="518" t="str">
        <f>IF(AND(_A5="A-220-300",'2025'!$I$4="CA",'2025'!$I$2=CF195),'2025DATA'!$M$33,"")</f>
        <v/>
      </c>
      <c r="CG226" s="520" t="str">
        <f>IF(AND(_A5="A-220-300",'2025'!$I$4="CA",'2025'!$I$2=CG195),'2025DATA'!$N$33,"")</f>
        <v/>
      </c>
      <c r="CH226" s="940" t="s">
        <v>51</v>
      </c>
      <c r="CI226" s="13" t="s">
        <v>61</v>
      </c>
      <c r="CJ226" s="518" t="str">
        <f>IF(AND(_A6="A-220-300",'2025'!$I$4="CA",'2025'!$I$2=CJ195),'2025DATA'!$C$33,"")</f>
        <v/>
      </c>
      <c r="CK226" s="518" t="str">
        <f>IF(AND(_A6="A-220-300",'2025'!$I$4="CA",'2025'!$I$2=CK195),'2025DATA'!$D$33,"")</f>
        <v/>
      </c>
      <c r="CL226" s="518" t="str">
        <f>IF(AND(_A6="A-220-300",'2025'!$I$4="CA",'2025'!$I$2=CL195),'2025DATA'!$E$33,"")</f>
        <v/>
      </c>
      <c r="CM226" s="518" t="str">
        <f>IF(AND(_A6="A-220-300",'2025'!$I$4="CA",'2025'!$I$2=CM195),'2025DATA'!$F$33,"")</f>
        <v/>
      </c>
      <c r="CN226" s="518" t="str">
        <f>IF(AND(_A6="A-220-300",'2025'!$I$4="CA",'2025'!$I$2=CN195),'2025DATA'!$G$33,"")</f>
        <v/>
      </c>
      <c r="CO226" s="518" t="str">
        <f>IF(AND(_A6="A-220-300",'2025'!$I$4="CA",'2025'!$I$2=CO195),'2025DATA'!$H$33,"")</f>
        <v/>
      </c>
      <c r="CP226" s="518" t="str">
        <f>IF(AND(_A6="A-220-300",'2025'!$I$4="CA",'2025'!$I$2=CP195),'2025DATA'!$I$33,"")</f>
        <v/>
      </c>
      <c r="CQ226" s="518" t="str">
        <f>IF(AND(_A6="A-220-300",'2025'!$I$4="CA",'2025'!$I$2=CQ195),'2025DATA'!$J$33,"")</f>
        <v/>
      </c>
      <c r="CR226" s="518" t="str">
        <f>IF(AND(_A6="A-220-300",'2025'!$I$4="CA",'2025'!$I$2=CR195),'2025DATA'!$K$33,"")</f>
        <v/>
      </c>
      <c r="CS226" s="518" t="str">
        <f>IF(AND(_A6="A-220-300",'2025'!$I$4="CA",'2025'!$I$2=CS195),'2025DATA'!$L$33,"")</f>
        <v/>
      </c>
      <c r="CT226" s="518" t="str">
        <f>IF(AND(_A6="A-220-300",'2025'!$I$4="CA",'2025'!$I$2=CT195),'2025DATA'!$M$33,"")</f>
        <v/>
      </c>
      <c r="CU226" s="520" t="str">
        <f>IF(AND(_A6="A-220-300",'2025'!$I$4="CA",'2025'!$I$2=CU195),'2025DATA'!$N$33,"")</f>
        <v/>
      </c>
    </row>
    <row r="227" spans="16:99" x14ac:dyDescent="0.25">
      <c r="P227" s="940"/>
      <c r="Q227" s="13" t="s">
        <v>62</v>
      </c>
      <c r="R227" s="518" t="str">
        <f>IF(AND(_A1="A-220-300",'2025'!$I$4="FO",'2025'!$I$2=R195),'2025DATA'!$C$34,"")</f>
        <v/>
      </c>
      <c r="S227" s="518" t="str">
        <f>IF(AND(_A1="A-220-300",'2025'!$I$4="FO",'2025'!$I$2=S195),'2025DATA'!$D$34,"")</f>
        <v/>
      </c>
      <c r="T227" s="518" t="str">
        <f>IF(AND(_A1="A-220-300",'2025'!$I$4="FO",'2025'!$I$2=T195),'2025DATA'!$E$34,"")</f>
        <v/>
      </c>
      <c r="U227" s="518" t="str">
        <f>IF(AND(_A1="A-220-300",'2025'!$I$4="FO",'2025'!$I$2=U195),'2025DATA'!$F$34,"")</f>
        <v/>
      </c>
      <c r="V227" s="518" t="str">
        <f>IF(AND(_A1="A-220-300",'2025'!$I$4="FO",'2025'!$I$2=V195),'2025DATA'!$G$34,"")</f>
        <v/>
      </c>
      <c r="W227" s="518" t="str">
        <f>IF(AND(_A1="A-220-300",'2025'!$I$4="FO",'2025'!$I$2=W195),'2025DATA'!$H$34,"")</f>
        <v/>
      </c>
      <c r="X227" s="518" t="str">
        <f>IF(AND(_A1="A-220-300",'2025'!$I$4="FO",'2025'!$I$2=X195),'2025DATA'!$I$34,"")</f>
        <v/>
      </c>
      <c r="Y227" s="518" t="str">
        <f>IF(AND(_A1="A-220-300",'2025'!$I$4="FO",'2025'!$I$2=Y195),'2025DATA'!$J$34,"")</f>
        <v/>
      </c>
      <c r="Z227" s="518" t="str">
        <f>IF(AND(_A1="A-220-300",'2025'!$I$4="FO",'2025'!$I$2=Z195),'2025DATA'!$K$34,"")</f>
        <v/>
      </c>
      <c r="AA227" s="518" t="str">
        <f>IF(AND(_A1="A-220-300",'2025'!$I$4="FO",'2025'!$I$2=AA195),'2025DATA'!$L$34,"")</f>
        <v/>
      </c>
      <c r="AB227" s="518" t="str">
        <f>IF(AND(_A1="A-220-300",'2025'!$I$4="FO",'2025'!$I$2=AB195),'2025DATA'!$M$34,"")</f>
        <v/>
      </c>
      <c r="AC227" s="520" t="str">
        <f>IF(AND(_A1="A-220-300",'2025'!$I$4="FO",'2025'!$I$2=AC195),'2025DATA'!$N$34,"")</f>
        <v/>
      </c>
      <c r="AD227" s="940"/>
      <c r="AE227" s="13" t="s">
        <v>62</v>
      </c>
      <c r="AF227" s="518" t="str">
        <f>IF(AND(_A2="A-220-300",'2025'!$I$4="FO",'2025'!$I$2=AF195),'2025DATA'!$C$34,"")</f>
        <v/>
      </c>
      <c r="AG227" s="518" t="str">
        <f>IF(AND(_A2="A-220-300",'2025'!$I$4="FO",'2025'!$I$2=AG195),'2025DATA'!$D$34,"")</f>
        <v/>
      </c>
      <c r="AH227" s="518" t="str">
        <f>IF(AND(_A2="A-220-300",'2025'!$I$4="FO",'2025'!$I$2=AH195),'2025DATA'!$E$34,"")</f>
        <v/>
      </c>
      <c r="AI227" s="518" t="str">
        <f>IF(AND(_A2="A-220-300",'2025'!$I$4="FO",'2025'!$I$2=AI195),'2025DATA'!$F$34,"")</f>
        <v/>
      </c>
      <c r="AJ227" s="518" t="str">
        <f>IF(AND(_A2="A-220-300",'2025'!$I$4="FO",'2025'!$I$2=AJ195),'2025DATA'!$G$34,"")</f>
        <v/>
      </c>
      <c r="AK227" s="518" t="str">
        <f>IF(AND(_A2="A-220-300",'2025'!$I$4="FO",'2025'!$I$2=AK195),'2025DATA'!$H$34,"")</f>
        <v/>
      </c>
      <c r="AL227" s="518" t="str">
        <f>IF(AND(_A2="A-220-300",'2025'!$I$4="FO",'2025'!$I$2=AL195),'2025DATA'!$I$34,"")</f>
        <v/>
      </c>
      <c r="AM227" s="518" t="str">
        <f>IF(AND(_A2="A-220-300",'2025'!$I$4="FO",'2025'!$I$2=AM195),'2025DATA'!$J$34,"")</f>
        <v/>
      </c>
      <c r="AN227" s="518" t="str">
        <f>IF(AND(_A2="A-220-300",'2025'!$I$4="FO",'2025'!$I$2=AN195),'2025DATA'!$K$34,"")</f>
        <v/>
      </c>
      <c r="AO227" s="518" t="str">
        <f>IF(AND(_A2="A-220-300",'2025'!$I$4="FO",'2025'!$I$2=AO195),'2025DATA'!$L$34,"")</f>
        <v/>
      </c>
      <c r="AP227" s="518" t="str">
        <f>IF(AND(_A2="A-220-300",'2025'!$I$4="FO",'2025'!$I$2=AP195),'2025DATA'!$M$34,"")</f>
        <v/>
      </c>
      <c r="AQ227" s="520" t="str">
        <f>IF(AND(_A2="A-220-300",'2025'!$I$4="FO",'2025'!$I$2=AQ195),'2025DATA'!$N$34,"")</f>
        <v/>
      </c>
      <c r="AR227" s="940"/>
      <c r="AS227" s="13" t="s">
        <v>62</v>
      </c>
      <c r="AT227" s="518" t="str">
        <f>IF(AND(_A3="A-220-300",'2025'!$I$4="FO",'2025'!$I$2=AT195),'2025DATA'!$C$34,"")</f>
        <v/>
      </c>
      <c r="AU227" s="518" t="str">
        <f>IF(AND(_A3="A-220-300",'2025'!$I$4="FO",'2025'!$I$2=AU195),'2025DATA'!$D$34,"")</f>
        <v/>
      </c>
      <c r="AV227" s="518" t="str">
        <f>IF(AND(_A3="A-220-300",'2025'!$I$4="FO",'2025'!$I$2=AV195),'2025DATA'!$E$34,"")</f>
        <v/>
      </c>
      <c r="AW227" s="518" t="str">
        <f>IF(AND(_A3="A-220-300",'2025'!$I$4="FO",'2025'!$I$2=AW195),'2025DATA'!$F$34,"")</f>
        <v/>
      </c>
      <c r="AX227" s="518" t="str">
        <f>IF(AND(_A3="A-220-300",'2025'!$I$4="FO",'2025'!$I$2=AX195),'2025DATA'!$G$34,"")</f>
        <v/>
      </c>
      <c r="AY227" s="518" t="str">
        <f>IF(AND(_A3="A-220-300",'2025'!$I$4="FO",'2025'!$I$2=AY195),'2025DATA'!$H$34,"")</f>
        <v/>
      </c>
      <c r="AZ227" s="518" t="str">
        <f>IF(AND(_A3="A-220-300",'2025'!$I$4="FO",'2025'!$I$2=AZ195),'2025DATA'!$I$34,"")</f>
        <v/>
      </c>
      <c r="BA227" s="518" t="str">
        <f>IF(AND(_A3="A-220-300",'2025'!$I$4="FO",'2025'!$I$2=BA195),'2025DATA'!$J$34,"")</f>
        <v/>
      </c>
      <c r="BB227" s="518" t="str">
        <f>IF(AND(_A3="A-220-300",'2025'!$I$4="FO",'2025'!$I$2=BB195),'2025DATA'!$K$34,"")</f>
        <v/>
      </c>
      <c r="BC227" s="518" t="str">
        <f>IF(AND(_A3="A-220-300",'2025'!$I$4="FO",'2025'!$I$2=BC195),'2025DATA'!$L$34,"")</f>
        <v/>
      </c>
      <c r="BD227" s="518" t="str">
        <f>IF(AND(_A3="A-220-300",'2025'!$I$4="FO",'2025'!$I$2=BD195),'2025DATA'!$M$34,"")</f>
        <v/>
      </c>
      <c r="BE227" s="520" t="str">
        <f>IF(AND(_A3="A-220-300",'2025'!$I$4="FO",'2025'!$I$2=BE195),'2025DATA'!$N$34,"")</f>
        <v/>
      </c>
      <c r="BF227" s="940"/>
      <c r="BG227" s="13" t="s">
        <v>62</v>
      </c>
      <c r="BH227" s="518" t="str">
        <f>IF(AND(_A4="A-220-300",'2025'!$I$4="FO",'2025'!$I$2=BH195),'2025DATA'!$C$34,"")</f>
        <v/>
      </c>
      <c r="BI227" s="518" t="str">
        <f>IF(AND(_A4="A-220-300",'2025'!$I$4="FO",'2025'!$I$2=BI195),'2025DATA'!$D$34,"")</f>
        <v/>
      </c>
      <c r="BJ227" s="518" t="str">
        <f>IF(AND(_A4="A-220-300",'2025'!$I$4="FO",'2025'!$I$2=BJ195),'2025DATA'!$E$34,"")</f>
        <v/>
      </c>
      <c r="BK227" s="518" t="str">
        <f>IF(AND(_A4="A-220-300",'2025'!$I$4="FO",'2025'!$I$2=BK195),'2025DATA'!$F$34,"")</f>
        <v/>
      </c>
      <c r="BL227" s="518" t="str">
        <f>IF(AND(_A4="A-220-300",'2025'!$I$4="FO",'2025'!$I$2=BL195),'2025DATA'!$G$34,"")</f>
        <v/>
      </c>
      <c r="BM227" s="518" t="str">
        <f>IF(AND(_A4="A-220-300",'2025'!$I$4="FO",'2025'!$I$2=BM195),'2025DATA'!$H$34,"")</f>
        <v/>
      </c>
      <c r="BN227" s="518" t="str">
        <f>IF(AND(_A4="A-220-300",'2025'!$I$4="FO",'2025'!$I$2=BN195),'2025DATA'!$I$34,"")</f>
        <v/>
      </c>
      <c r="BO227" s="518" t="str">
        <f>IF(AND(_A4="A-220-300",'2025'!$I$4="FO",'2025'!$I$2=BO195),'2025DATA'!$J$34,"")</f>
        <v/>
      </c>
      <c r="BP227" s="518" t="str">
        <f>IF(AND(_A4="A-220-300",'2025'!$I$4="FO",'2025'!$I$2=BP195),'2025DATA'!$K$34,"")</f>
        <v/>
      </c>
      <c r="BQ227" s="518" t="str">
        <f>IF(AND(_A4="A-220-300",'2025'!$I$4="FO",'2025'!$I$2=BQ195),'2025DATA'!$L$34,"")</f>
        <v/>
      </c>
      <c r="BR227" s="518" t="str">
        <f>IF(AND(_A4="A-220-300",'2025'!$I$4="FO",'2025'!$I$2=BR195),'2025DATA'!$M$34,"")</f>
        <v/>
      </c>
      <c r="BS227" s="520" t="str">
        <f>IF(AND(_A4="A-220-300",'2025'!$I$4="FO",'2025'!$I$2=BS195),'2025DATA'!$N$34,"")</f>
        <v/>
      </c>
      <c r="BT227" s="940"/>
      <c r="BU227" s="13" t="s">
        <v>62</v>
      </c>
      <c r="BV227" s="518" t="str">
        <f>IF(AND(_A5="A-220-300",'2025'!$I$4="FO",'2025'!$I$2=BV195),'2025DATA'!$C$34,"")</f>
        <v/>
      </c>
      <c r="BW227" s="518" t="str">
        <f>IF(AND(_A5="A-220-300",'2025'!$I$4="FO",'2025'!$I$2=BW195),'2025DATA'!$D$34,"")</f>
        <v/>
      </c>
      <c r="BX227" s="518" t="str">
        <f>IF(AND(_A5="A-220-300",'2025'!$I$4="FO",'2025'!$I$2=BX195),'2025DATA'!$E$34,"")</f>
        <v/>
      </c>
      <c r="BY227" s="518" t="str">
        <f>IF(AND(_A5="A-220-300",'2025'!$I$4="FO",'2025'!$I$2=BY195),'2025DATA'!$F$34,"")</f>
        <v/>
      </c>
      <c r="BZ227" s="518" t="str">
        <f>IF(AND(_A5="A-220-300",'2025'!$I$4="FO",'2025'!$I$2=BZ195),'2025DATA'!$G$34,"")</f>
        <v/>
      </c>
      <c r="CA227" s="518" t="str">
        <f>IF(AND(_A5="A-220-300",'2025'!$I$4="FO",'2025'!$I$2=CA195),'2025DATA'!$H$34,"")</f>
        <v/>
      </c>
      <c r="CB227" s="518" t="str">
        <f>IF(AND(_A5="A-220-300",'2025'!$I$4="FO",'2025'!$I$2=CB195),'2025DATA'!$I$34,"")</f>
        <v/>
      </c>
      <c r="CC227" s="518" t="str">
        <f>IF(AND(_A5="A-220-300",'2025'!$I$4="FO",'2025'!$I$2=CC195),'2025DATA'!$J$34,"")</f>
        <v/>
      </c>
      <c r="CD227" s="518" t="str">
        <f>IF(AND(_A5="A-220-300",'2025'!$I$4="FO",'2025'!$I$2=CD195),'2025DATA'!$K$34,"")</f>
        <v/>
      </c>
      <c r="CE227" s="518" t="str">
        <f>IF(AND(_A5="A-220-300",'2025'!$I$4="FO",'2025'!$I$2=CE195),'2025DATA'!$L$34,"")</f>
        <v/>
      </c>
      <c r="CF227" s="518" t="str">
        <f>IF(AND(_A5="A-220-300",'2025'!$I$4="FO",'2025'!$I$2=CF195),'2025DATA'!$M$34,"")</f>
        <v/>
      </c>
      <c r="CG227" s="520" t="str">
        <f>IF(AND(_A5="A-220-300",'2025'!$I$4="FO",'2025'!$I$2=CG195),'2025DATA'!$N$34,"")</f>
        <v/>
      </c>
      <c r="CH227" s="940"/>
      <c r="CI227" s="13" t="s">
        <v>62</v>
      </c>
      <c r="CJ227" s="518" t="str">
        <f>IF(AND(_A6="A-220-300",'2025'!$I$4="FO",'2025'!$I$2=CJ195),'2025DATA'!$C$34,"")</f>
        <v/>
      </c>
      <c r="CK227" s="518" t="str">
        <f>IF(AND(_A6="A-220-300",'2025'!$I$4="FO",'2025'!$I$2=CK195),'2025DATA'!$D$34,"")</f>
        <v/>
      </c>
      <c r="CL227" s="518" t="str">
        <f>IF(AND(_A6="A-220-300",'2025'!$I$4="FO",'2025'!$I$2=CL195),'2025DATA'!$E$34,"")</f>
        <v/>
      </c>
      <c r="CM227" s="518" t="str">
        <f>IF(AND(_A6="A-220-300",'2025'!$I$4="FO",'2025'!$I$2=CM195),'2025DATA'!$F$34,"")</f>
        <v/>
      </c>
      <c r="CN227" s="518" t="str">
        <f>IF(AND(_A6="A-220-300",'2025'!$I$4="FO",'2025'!$I$2=CN195),'2025DATA'!$G$34,"")</f>
        <v/>
      </c>
      <c r="CO227" s="518" t="str">
        <f>IF(AND(_A6="A-220-300",'2025'!$I$4="FO",'2025'!$I$2=CO195),'2025DATA'!$H$34,"")</f>
        <v/>
      </c>
      <c r="CP227" s="518" t="str">
        <f>IF(AND(_A6="A-220-300",'2025'!$I$4="FO",'2025'!$I$2=CP195),'2025DATA'!$I$34,"")</f>
        <v/>
      </c>
      <c r="CQ227" s="518" t="str">
        <f>IF(AND(_A6="A-220-300",'2025'!$I$4="FO",'2025'!$I$2=CQ195),'2025DATA'!$J$34,"")</f>
        <v/>
      </c>
      <c r="CR227" s="518" t="str">
        <f>IF(AND(_A6="A-220-300",'2025'!$I$4="FO",'2025'!$I$2=CR195),'2025DATA'!$K$34,"")</f>
        <v/>
      </c>
      <c r="CS227" s="518" t="str">
        <f>IF(AND(_A6="A-220-300",'2025'!$I$4="FO",'2025'!$I$2=CS195),'2025DATA'!$L$34,"")</f>
        <v/>
      </c>
      <c r="CT227" s="518" t="str">
        <f>IF(AND(_A6="A-220-300",'2025'!$I$4="FO",'2025'!$I$2=CT195),'2025DATA'!$M$34,"")</f>
        <v/>
      </c>
      <c r="CU227" s="520" t="str">
        <f>IF(AND(_A6="A-220-300",'2025'!$I$4="FO",'2025'!$I$2=CU195),'2025DATA'!$N$34,"")</f>
        <v/>
      </c>
    </row>
    <row r="228" spans="16:99" x14ac:dyDescent="0.25">
      <c r="P228" s="940" t="s">
        <v>52</v>
      </c>
      <c r="Q228" s="13" t="s">
        <v>61</v>
      </c>
      <c r="R228" s="518" t="str">
        <f>IF(AND(_A1="A-220-100",'2025'!$I$4="CA",'2025'!$I$2=R195),'2025DATA'!$C$35,"")</f>
        <v/>
      </c>
      <c r="S228" s="518" t="str">
        <f>IF(AND(_A1="A-220-100",'2025'!$I$4="CA",'2025'!$I$2=S195),'2025DATA'!$D$35,"")</f>
        <v/>
      </c>
      <c r="T228" s="518" t="str">
        <f>IF(AND(_A1="A-220-100",'2025'!$I$4="CA",'2025'!$I$2=T195),'2025DATA'!$E$35,"")</f>
        <v/>
      </c>
      <c r="U228" s="518" t="str">
        <f>IF(AND(_A1="A-220-100",'2025'!$I$4="CA",'2025'!$I$2=U195),'2025DATA'!$F$35,"")</f>
        <v/>
      </c>
      <c r="V228" s="518" t="str">
        <f>IF(AND(_A1="A-220-100",'2025'!$I$4="CA",'2025'!$I$2=V195),'2025DATA'!$G$35,"")</f>
        <v/>
      </c>
      <c r="W228" s="518" t="str">
        <f>IF(AND(_A1="A-220-100",'2025'!$I$4="CA",'2025'!$I$2=W195),'2025DATA'!$H$35,"")</f>
        <v/>
      </c>
      <c r="X228" s="518" t="str">
        <f>IF(AND(_A1="A-220-100",'2025'!$I$4="CA",'2025'!$I$2=X195),'2025DATA'!$I$35,"")</f>
        <v/>
      </c>
      <c r="Y228" s="518" t="str">
        <f>IF(AND(_A1="A-220-100",'2025'!$I$4="CA",'2025'!$I$2=Y195),'2025DATA'!$J$35,"")</f>
        <v/>
      </c>
      <c r="Z228" s="518" t="str">
        <f>IF(AND(_A1="A-220-100",'2025'!$I$4="CA",'2025'!$I$2=Z195),'2025DATA'!$K$35,"")</f>
        <v/>
      </c>
      <c r="AA228" s="518" t="str">
        <f>IF(AND(_A1="A-220-100",'2025'!$I$4="CA",'2025'!$I$2=AA195),'2025DATA'!$L$35,"")</f>
        <v/>
      </c>
      <c r="AB228" s="518" t="str">
        <f>IF(AND(_A1="A-220-100",'2025'!$I$4="CA",'2025'!$I$2=AB195),'2025DATA'!$M$35,"")</f>
        <v/>
      </c>
      <c r="AC228" s="520" t="str">
        <f>IF(AND(_A1="A-220-100",'2025'!$I$4="CA",'2025'!$I$2=AC195),'2025DATA'!$N$35,"")</f>
        <v/>
      </c>
      <c r="AD228" s="940" t="s">
        <v>52</v>
      </c>
      <c r="AE228" s="13" t="s">
        <v>61</v>
      </c>
      <c r="AF228" s="518" t="str">
        <f>IF(AND(_A2="A-220-100",'2025'!$I$4="CA",'2025'!$I$2=AF195),'2025DATA'!$C$35,"")</f>
        <v/>
      </c>
      <c r="AG228" s="518" t="str">
        <f>IF(AND(_A2="A-220-100",'2025'!$I$4="CA",'2025'!$I$2=AG195),'2025DATA'!$D$35,"")</f>
        <v/>
      </c>
      <c r="AH228" s="518" t="str">
        <f>IF(AND(_A2="A-220-100",'2025'!$I$4="CA",'2025'!$I$2=AH195),'2025DATA'!$E$35,"")</f>
        <v/>
      </c>
      <c r="AI228" s="518" t="str">
        <f>IF(AND(_A2="A-220-100",'2025'!$I$4="CA",'2025'!$I$2=AI195),'2025DATA'!$F$35,"")</f>
        <v/>
      </c>
      <c r="AJ228" s="518" t="str">
        <f>IF(AND(_A2="A-220-100",'2025'!$I$4="CA",'2025'!$I$2=AJ195),'2025DATA'!$G$35,"")</f>
        <v/>
      </c>
      <c r="AK228" s="518" t="str">
        <f>IF(AND(_A2="A-220-100",'2025'!$I$4="CA",'2025'!$I$2=AK195),'2025DATA'!$H$35,"")</f>
        <v/>
      </c>
      <c r="AL228" s="518" t="str">
        <f>IF(AND(_A2="A-220-100",'2025'!$I$4="CA",'2025'!$I$2=AL195),'2025DATA'!$I$35,"")</f>
        <v/>
      </c>
      <c r="AM228" s="518" t="str">
        <f>IF(AND(_A2="A-220-100",'2025'!$I$4="CA",'2025'!$I$2=AM195),'2025DATA'!$J$35,"")</f>
        <v/>
      </c>
      <c r="AN228" s="518" t="str">
        <f>IF(AND(_A2="A-220-100",'2025'!$I$4="CA",'2025'!$I$2=AN195),'2025DATA'!$K$35,"")</f>
        <v/>
      </c>
      <c r="AO228" s="518" t="str">
        <f>IF(AND(_A2="A-220-100",'2025'!$I$4="CA",'2025'!$I$2=AO195),'2025DATA'!$L$35,"")</f>
        <v/>
      </c>
      <c r="AP228" s="518" t="str">
        <f>IF(AND(_A2="A-220-100",'2025'!$I$4="CA",'2025'!$I$2=AP195),'2025DATA'!$M$35,"")</f>
        <v/>
      </c>
      <c r="AQ228" s="520" t="str">
        <f>IF(AND(_A2="A-220-100",'2025'!$I$4="CA",'2025'!$I$2=AQ195),'2025DATA'!$N$35,"")</f>
        <v/>
      </c>
      <c r="AR228" s="940" t="s">
        <v>52</v>
      </c>
      <c r="AS228" s="13" t="s">
        <v>61</v>
      </c>
      <c r="AT228" s="518" t="str">
        <f>IF(AND(_A3="A-220-100",'2025'!$I$4="CA",'2025'!$I$2=AT195),'2025DATA'!$C$35,"")</f>
        <v/>
      </c>
      <c r="AU228" s="518" t="str">
        <f>IF(AND(_A3="A-220-100",'2025'!$I$4="CA",'2025'!$I$2=AU195),'2025DATA'!$D$35,"")</f>
        <v/>
      </c>
      <c r="AV228" s="518" t="str">
        <f>IF(AND(_A3="A-220-100",'2025'!$I$4="CA",'2025'!$I$2=AV195),'2025DATA'!$E$35,"")</f>
        <v/>
      </c>
      <c r="AW228" s="518" t="str">
        <f>IF(AND(_A3="A-220-100",'2025'!$I$4="CA",'2025'!$I$2=AW195),'2025DATA'!$F$35,"")</f>
        <v/>
      </c>
      <c r="AX228" s="518" t="str">
        <f>IF(AND(_A3="A-220-100",'2025'!$I$4="CA",'2025'!$I$2=AX195),'2025DATA'!$G$35,"")</f>
        <v/>
      </c>
      <c r="AY228" s="518" t="str">
        <f>IF(AND(_A3="A-220-100",'2025'!$I$4="CA",'2025'!$I$2=AY195),'2025DATA'!$H$35,"")</f>
        <v/>
      </c>
      <c r="AZ228" s="518" t="str">
        <f>IF(AND(_A3="A-220-100",'2025'!$I$4="CA",'2025'!$I$2=AZ195),'2025DATA'!$I$35,"")</f>
        <v/>
      </c>
      <c r="BA228" s="518" t="str">
        <f>IF(AND(_A3="A-220-100",'2025'!$I$4="CA",'2025'!$I$2=BA195),'2025DATA'!$J$35,"")</f>
        <v/>
      </c>
      <c r="BB228" s="518" t="str">
        <f>IF(AND(_A3="A-220-100",'2025'!$I$4="CA",'2025'!$I$2=BB195),'2025DATA'!$K$35,"")</f>
        <v/>
      </c>
      <c r="BC228" s="518" t="str">
        <f>IF(AND(_A3="A-220-100",'2025'!$I$4="CA",'2025'!$I$2=BC195),'2025DATA'!$L$35,"")</f>
        <v/>
      </c>
      <c r="BD228" s="518" t="str">
        <f>IF(AND(_A3="A-220-100",'2025'!$I$4="CA",'2025'!$I$2=BD195),'2025DATA'!$M$35,"")</f>
        <v/>
      </c>
      <c r="BE228" s="520" t="str">
        <f>IF(AND(_A3="A-220-100",'2025'!$I$4="CA",'2025'!$I$2=BE195),'2025DATA'!$N$35,"")</f>
        <v/>
      </c>
      <c r="BF228" s="940" t="s">
        <v>52</v>
      </c>
      <c r="BG228" s="13" t="s">
        <v>61</v>
      </c>
      <c r="BH228" s="518" t="str">
        <f>IF(AND(_A4="A-220-100",'2025'!$I$4="CA",'2025'!$I$2=BH195),'2025DATA'!$C$35,"")</f>
        <v/>
      </c>
      <c r="BI228" s="518" t="str">
        <f>IF(AND(_A4="A-220-100",'2025'!$I$4="CA",'2025'!$I$2=BI195),'2025DATA'!$D$35,"")</f>
        <v/>
      </c>
      <c r="BJ228" s="518" t="str">
        <f>IF(AND(_A4="A-220-100",'2025'!$I$4="CA",'2025'!$I$2=BJ195),'2025DATA'!$E$35,"")</f>
        <v/>
      </c>
      <c r="BK228" s="518" t="str">
        <f>IF(AND(_A4="A-220-100",'2025'!$I$4="CA",'2025'!$I$2=BK195),'2025DATA'!$F$35,"")</f>
        <v/>
      </c>
      <c r="BL228" s="518" t="str">
        <f>IF(AND(_A4="A-220-100",'2025'!$I$4="CA",'2025'!$I$2=BL195),'2025DATA'!$G$35,"")</f>
        <v/>
      </c>
      <c r="BM228" s="518" t="str">
        <f>IF(AND(_A4="A-220-100",'2025'!$I$4="CA",'2025'!$I$2=BM195),'2025DATA'!$H$35,"")</f>
        <v/>
      </c>
      <c r="BN228" s="518" t="str">
        <f>IF(AND(_A4="A-220-100",'2025'!$I$4="CA",'2025'!$I$2=BN195),'2025DATA'!$I$35,"")</f>
        <v/>
      </c>
      <c r="BO228" s="518" t="str">
        <f>IF(AND(_A4="A-220-100",'2025'!$I$4="CA",'2025'!$I$2=BO195),'2025DATA'!$J$35,"")</f>
        <v/>
      </c>
      <c r="BP228" s="518" t="str">
        <f>IF(AND(_A4="A-220-100",'2025'!$I$4="CA",'2025'!$I$2=BP195),'2025DATA'!$K$35,"")</f>
        <v/>
      </c>
      <c r="BQ228" s="518" t="str">
        <f>IF(AND(_A4="A-220-100",'2025'!$I$4="CA",'2025'!$I$2=BQ195),'2025DATA'!$L$35,"")</f>
        <v/>
      </c>
      <c r="BR228" s="518" t="str">
        <f>IF(AND(_A4="A-220-100",'2025'!$I$4="CA",'2025'!$I$2=BR195),'2025DATA'!$M$35,"")</f>
        <v/>
      </c>
      <c r="BS228" s="520" t="str">
        <f>IF(AND(_A4="A-220-100",'2025'!$I$4="CA",'2025'!$I$2=BS195),'2025DATA'!$N$35,"")</f>
        <v/>
      </c>
      <c r="BT228" s="940" t="s">
        <v>52</v>
      </c>
      <c r="BU228" s="13" t="s">
        <v>61</v>
      </c>
      <c r="BV228" s="518" t="str">
        <f>IF(AND(_A5="A-220-100",'2025'!$I$4="CA",'2025'!$I$2=BV195),'2025DATA'!$C$35,"")</f>
        <v/>
      </c>
      <c r="BW228" s="518" t="str">
        <f>IF(AND(_A5="A-220-100",'2025'!$I$4="CA",'2025'!$I$2=BW195),'2025DATA'!$D$35,"")</f>
        <v/>
      </c>
      <c r="BX228" s="518" t="str">
        <f>IF(AND(_A5="A-220-100",'2025'!$I$4="CA",'2025'!$I$2=BX195),'2025DATA'!$E$35,"")</f>
        <v/>
      </c>
      <c r="BY228" s="518" t="str">
        <f>IF(AND(_A5="A-220-100",'2025'!$I$4="CA",'2025'!$I$2=BY195),'2025DATA'!$F$35,"")</f>
        <v/>
      </c>
      <c r="BZ228" s="518" t="str">
        <f>IF(AND(_A5="A-220-100",'2025'!$I$4="CA",'2025'!$I$2=BZ195),'2025DATA'!$G$35,"")</f>
        <v/>
      </c>
      <c r="CA228" s="518" t="str">
        <f>IF(AND(_A5="A-220-100",'2025'!$I$4="CA",'2025'!$I$2=CA195),'2025DATA'!$H$35,"")</f>
        <v/>
      </c>
      <c r="CB228" s="518" t="str">
        <f>IF(AND(_A5="A-220-100",'2025'!$I$4="CA",'2025'!$I$2=CB195),'2025DATA'!$I$35,"")</f>
        <v/>
      </c>
      <c r="CC228" s="518" t="str">
        <f>IF(AND(_A5="A-220-100",'2025'!$I$4="CA",'2025'!$I$2=CC195),'2025DATA'!$J$35,"")</f>
        <v/>
      </c>
      <c r="CD228" s="518" t="str">
        <f>IF(AND(_A5="A-220-100",'2025'!$I$4="CA",'2025'!$I$2=CD195),'2025DATA'!$K$35,"")</f>
        <v/>
      </c>
      <c r="CE228" s="518" t="str">
        <f>IF(AND(_A5="A-220-100",'2025'!$I$4="CA",'2025'!$I$2=CE195),'2025DATA'!$L$35,"")</f>
        <v/>
      </c>
      <c r="CF228" s="518" t="str">
        <f>IF(AND(_A5="A-220-100",'2025'!$I$4="CA",'2025'!$I$2=CF195),'2025DATA'!$M$35,"")</f>
        <v/>
      </c>
      <c r="CG228" s="520" t="str">
        <f>IF(AND(_A5="A-220-100",'2025'!$I$4="CA",'2025'!$I$2=CG195),'2025DATA'!$N$35,"")</f>
        <v/>
      </c>
      <c r="CH228" s="940" t="s">
        <v>52</v>
      </c>
      <c r="CI228" s="13" t="s">
        <v>61</v>
      </c>
      <c r="CJ228" s="518" t="str">
        <f>IF(AND(_A6="A-220-100",'2025'!$I$4="CA",'2025'!$I$2=CJ195),'2025DATA'!$C$35,"")</f>
        <v/>
      </c>
      <c r="CK228" s="518" t="str">
        <f>IF(AND(_A6="A-220-100",'2025'!$I$4="CA",'2025'!$I$2=CK195),'2025DATA'!$D$35,"")</f>
        <v/>
      </c>
      <c r="CL228" s="518" t="str">
        <f>IF(AND(_A6="A-220-100",'2025'!$I$4="CA",'2025'!$I$2=CL195),'2025DATA'!$E$35,"")</f>
        <v/>
      </c>
      <c r="CM228" s="518" t="str">
        <f>IF(AND(_A6="A-220-100",'2025'!$I$4="CA",'2025'!$I$2=CM195),'2025DATA'!$F$35,"")</f>
        <v/>
      </c>
      <c r="CN228" s="518" t="str">
        <f>IF(AND(_A6="A-220-100",'2025'!$I$4="CA",'2025'!$I$2=CN195),'2025DATA'!$G$35,"")</f>
        <v/>
      </c>
      <c r="CO228" s="518" t="str">
        <f>IF(AND(_A6="A-220-100",'2025'!$I$4="CA",'2025'!$I$2=CO195),'2025DATA'!$H$35,"")</f>
        <v/>
      </c>
      <c r="CP228" s="518" t="str">
        <f>IF(AND(_A6="A-220-100",'2025'!$I$4="CA",'2025'!$I$2=CP195),'2025DATA'!$I$35,"")</f>
        <v/>
      </c>
      <c r="CQ228" s="518" t="str">
        <f>IF(AND(_A6="A-220-100",'2025'!$I$4="CA",'2025'!$I$2=CQ195),'2025DATA'!$J$35,"")</f>
        <v/>
      </c>
      <c r="CR228" s="518" t="str">
        <f>IF(AND(_A6="A-220-100",'2025'!$I$4="CA",'2025'!$I$2=CR195),'2025DATA'!$K$35,"")</f>
        <v/>
      </c>
      <c r="CS228" s="518" t="str">
        <f>IF(AND(_A6="A-220-100",'2025'!$I$4="CA",'2025'!$I$2=CS195),'2025DATA'!$L$35,"")</f>
        <v/>
      </c>
      <c r="CT228" s="518" t="str">
        <f>IF(AND(_A6="A-220-100",'2025'!$I$4="CA",'2025'!$I$2=CT195),'2025DATA'!$M$35,"")</f>
        <v/>
      </c>
      <c r="CU228" s="520" t="str">
        <f>IF(AND(_A6="A-220-100",'2025'!$I$4="CA",'2025'!$I$2=CU195),'2025DATA'!$N$35,"")</f>
        <v/>
      </c>
    </row>
    <row r="229" spans="16:99" x14ac:dyDescent="0.25">
      <c r="P229" s="940"/>
      <c r="Q229" s="13" t="s">
        <v>62</v>
      </c>
      <c r="R229" s="518" t="str">
        <f>IF(AND(_A1="A-220-100",'2025'!$I$4="FO",'2025'!$I$2=R195),'2025DATA'!$C$36,"")</f>
        <v/>
      </c>
      <c r="S229" s="518" t="str">
        <f>IF(AND(_A1="A-220-100",'2025'!$I$4="FO",'2025'!$I$2=S195),'2025DATA'!$D$36,"")</f>
        <v/>
      </c>
      <c r="T229" s="518" t="str">
        <f>IF(AND(_A1="A-220-100",'2025'!$I$4="FO",'2025'!$I$2=T195),'2025DATA'!$E$36,"")</f>
        <v/>
      </c>
      <c r="U229" s="518" t="str">
        <f>IF(AND(_A1="A-220-100",'2025'!$I$4="FO",'2025'!$I$2=U195),'2025DATA'!$F$36,"")</f>
        <v/>
      </c>
      <c r="V229" s="518" t="str">
        <f>IF(AND(_A1="A-220-100",'2025'!$I$4="FO",'2025'!$I$2=V195),'2025DATA'!$G$36,"")</f>
        <v/>
      </c>
      <c r="W229" s="518" t="str">
        <f>IF(AND(_A1="A-220-100",'2025'!$I$4="FO",'2025'!$I$2=W195),'2025DATA'!$H$36,"")</f>
        <v/>
      </c>
      <c r="X229" s="518" t="str">
        <f>IF(AND(_A1="A-220-100",'2025'!$I$4="FO",'2025'!$I$2=X195),'2025DATA'!$I$36,"")</f>
        <v/>
      </c>
      <c r="Y229" s="518" t="str">
        <f>IF(AND(_A1="A-220-100",'2025'!$I$4="FO",'2025'!$I$2=Y195),'2025DATA'!$J$36,"")</f>
        <v/>
      </c>
      <c r="Z229" s="518" t="str">
        <f>IF(AND(_A1="A-220-100",'2025'!$I$4="FO",'2025'!$I$2=Z195),'2025DATA'!$K$36,"")</f>
        <v/>
      </c>
      <c r="AA229" s="518" t="str">
        <f>IF(AND(_A1="A-220-100",'2025'!$I$4="FO",'2025'!$I$2=AA195),'2025DATA'!$L$36,"")</f>
        <v/>
      </c>
      <c r="AB229" s="518" t="str">
        <f>IF(AND(_A1="A-220-100",'2025'!$I$4="FO",'2025'!$I$2=AB195),'2025DATA'!$M$36,"")</f>
        <v/>
      </c>
      <c r="AC229" s="520" t="str">
        <f>IF(AND(_A1="A-220-100",'2025'!$I$4="FO",'2025'!$I$2=AC195),'2025DATA'!$N$36,"")</f>
        <v/>
      </c>
      <c r="AD229" s="940"/>
      <c r="AE229" s="13" t="s">
        <v>62</v>
      </c>
      <c r="AF229" s="518" t="str">
        <f>IF(AND(_A2="A-220-100",'2025'!$I$4="FO",'2025'!$I$2=AF195),'2025DATA'!$C$36,"")</f>
        <v/>
      </c>
      <c r="AG229" s="518" t="str">
        <f>IF(AND(_A2="A-220-100",'2025'!$I$4="FO",'2025'!$I$2=AG195),'2025DATA'!$D$36,"")</f>
        <v/>
      </c>
      <c r="AH229" s="518" t="str">
        <f>IF(AND(_A2="A-220-100",'2025'!$I$4="FO",'2025'!$I$2=AH195),'2025DATA'!$E$36,"")</f>
        <v/>
      </c>
      <c r="AI229" s="518" t="str">
        <f>IF(AND(_A2="A-220-100",'2025'!$I$4="FO",'2025'!$I$2=AI195),'2025DATA'!$F$36,"")</f>
        <v/>
      </c>
      <c r="AJ229" s="518" t="str">
        <f>IF(AND(_A2="A-220-100",'2025'!$I$4="FO",'2025'!$I$2=AJ195),'2025DATA'!$G$36,"")</f>
        <v/>
      </c>
      <c r="AK229" s="518" t="str">
        <f>IF(AND(_A2="A-220-100",'2025'!$I$4="FO",'2025'!$I$2=AK195),'2025DATA'!$H$36,"")</f>
        <v/>
      </c>
      <c r="AL229" s="518" t="str">
        <f>IF(AND(_A2="A-220-100",'2025'!$I$4="FO",'2025'!$I$2=AL195),'2025DATA'!$I$36,"")</f>
        <v/>
      </c>
      <c r="AM229" s="518" t="str">
        <f>IF(AND(_A2="A-220-100",'2025'!$I$4="FO",'2025'!$I$2=AM195),'2025DATA'!$J$36,"")</f>
        <v/>
      </c>
      <c r="AN229" s="518" t="str">
        <f>IF(AND(_A2="A-220-100",'2025'!$I$4="FO",'2025'!$I$2=AN195),'2025DATA'!$K$36,"")</f>
        <v/>
      </c>
      <c r="AO229" s="518" t="str">
        <f>IF(AND(_A2="A-220-100",'2025'!$I$4="FO",'2025'!$I$2=AO195),'2025DATA'!$L$36,"")</f>
        <v/>
      </c>
      <c r="AP229" s="518" t="str">
        <f>IF(AND(_A2="A-220-100",'2025'!$I$4="FO",'2025'!$I$2=AP195),'2025DATA'!$M$36,"")</f>
        <v/>
      </c>
      <c r="AQ229" s="520" t="str">
        <f>IF(AND(_A2="A-220-100",'2025'!$I$4="FO",'2025'!$I$2=AQ195),'2025DATA'!$N$36,"")</f>
        <v/>
      </c>
      <c r="AR229" s="940"/>
      <c r="AS229" s="13" t="s">
        <v>62</v>
      </c>
      <c r="AT229" s="518" t="str">
        <f>IF(AND(_A3="A-220-100",'2025'!$I$4="FO",'2025'!$I$2=AT195),'2025DATA'!$C$36,"")</f>
        <v/>
      </c>
      <c r="AU229" s="518" t="str">
        <f>IF(AND(_A3="A-220-100",'2025'!$I$4="FO",'2025'!$I$2=AU195),'2025DATA'!$D$36,"")</f>
        <v/>
      </c>
      <c r="AV229" s="518" t="str">
        <f>IF(AND(_A3="A-220-100",'2025'!$I$4="FO",'2025'!$I$2=AV195),'2025DATA'!$E$36,"")</f>
        <v/>
      </c>
      <c r="AW229" s="518" t="str">
        <f>IF(AND(_A3="A-220-100",'2025'!$I$4="FO",'2025'!$I$2=AW195),'2025DATA'!$F$36,"")</f>
        <v/>
      </c>
      <c r="AX229" s="518" t="str">
        <f>IF(AND(_A3="A-220-100",'2025'!$I$4="FO",'2025'!$I$2=AX195),'2025DATA'!$G$36,"")</f>
        <v/>
      </c>
      <c r="AY229" s="518" t="str">
        <f>IF(AND(_A3="A-220-100",'2025'!$I$4="FO",'2025'!$I$2=AY195),'2025DATA'!$H$36,"")</f>
        <v/>
      </c>
      <c r="AZ229" s="518" t="str">
        <f>IF(AND(_A3="A-220-100",'2025'!$I$4="FO",'2025'!$I$2=AZ195),'2025DATA'!$I$36,"")</f>
        <v/>
      </c>
      <c r="BA229" s="518" t="str">
        <f>IF(AND(_A3="A-220-100",'2025'!$I$4="FO",'2025'!$I$2=BA195),'2025DATA'!$J$36,"")</f>
        <v/>
      </c>
      <c r="BB229" s="518" t="str">
        <f>IF(AND(_A3="A-220-100",'2025'!$I$4="FO",'2025'!$I$2=BB195),'2025DATA'!$K$36,"")</f>
        <v/>
      </c>
      <c r="BC229" s="518" t="str">
        <f>IF(AND(_A3="A-220-100",'2025'!$I$4="FO",'2025'!$I$2=BC195),'2025DATA'!$L$36,"")</f>
        <v/>
      </c>
      <c r="BD229" s="518" t="str">
        <f>IF(AND(_A3="A-220-100",'2025'!$I$4="FO",'2025'!$I$2=BD195),'2025DATA'!$M$36,"")</f>
        <v/>
      </c>
      <c r="BE229" s="520" t="str">
        <f>IF(AND(_A3="A-220-100",'2025'!$I$4="FO",'2025'!$I$2=BE195),'2025DATA'!$N$36,"")</f>
        <v/>
      </c>
      <c r="BF229" s="940"/>
      <c r="BG229" s="13" t="s">
        <v>62</v>
      </c>
      <c r="BH229" s="518" t="str">
        <f>IF(AND(_A4="A-220-100",'2025'!$I$4="FO",'2025'!$I$2=BH195),'2025DATA'!$C$36,"")</f>
        <v/>
      </c>
      <c r="BI229" s="518" t="str">
        <f>IF(AND(_A4="A-220-100",'2025'!$I$4="FO",'2025'!$I$2=BI195),'2025DATA'!$D$36,"")</f>
        <v/>
      </c>
      <c r="BJ229" s="518" t="str">
        <f>IF(AND(_A4="A-220-100",'2025'!$I$4="FO",'2025'!$I$2=BJ195),'2025DATA'!$E$36,"")</f>
        <v/>
      </c>
      <c r="BK229" s="518" t="str">
        <f>IF(AND(_A4="A-220-100",'2025'!$I$4="FO",'2025'!$I$2=BK195),'2025DATA'!$F$36,"")</f>
        <v/>
      </c>
      <c r="BL229" s="518" t="str">
        <f>IF(AND(_A4="A-220-100",'2025'!$I$4="FO",'2025'!$I$2=BL195),'2025DATA'!$G$36,"")</f>
        <v/>
      </c>
      <c r="BM229" s="518" t="str">
        <f>IF(AND(_A4="A-220-100",'2025'!$I$4="FO",'2025'!$I$2=BM195),'2025DATA'!$H$36,"")</f>
        <v/>
      </c>
      <c r="BN229" s="518" t="str">
        <f>IF(AND(_A4="A-220-100",'2025'!$I$4="FO",'2025'!$I$2=BN195),'2025DATA'!$I$36,"")</f>
        <v/>
      </c>
      <c r="BO229" s="518" t="str">
        <f>IF(AND(_A4="A-220-100",'2025'!$I$4="FO",'2025'!$I$2=BO195),'2025DATA'!$J$36,"")</f>
        <v/>
      </c>
      <c r="BP229" s="518" t="str">
        <f>IF(AND(_A4="A-220-100",'2025'!$I$4="FO",'2025'!$I$2=BP195),'2025DATA'!$K$36,"")</f>
        <v/>
      </c>
      <c r="BQ229" s="518" t="str">
        <f>IF(AND(_A4="A-220-100",'2025'!$I$4="FO",'2025'!$I$2=BQ195),'2025DATA'!$L$36,"")</f>
        <v/>
      </c>
      <c r="BR229" s="518" t="str">
        <f>IF(AND(_A4="A-220-100",'2025'!$I$4="FO",'2025'!$I$2=BR195),'2025DATA'!$M$36,"")</f>
        <v/>
      </c>
      <c r="BS229" s="520" t="str">
        <f>IF(AND(_A4="A-220-100",'2025'!$I$4="FO",'2025'!$I$2=BS195),'2025DATA'!$N$36,"")</f>
        <v/>
      </c>
      <c r="BT229" s="940"/>
      <c r="BU229" s="13" t="s">
        <v>62</v>
      </c>
      <c r="BV229" s="518" t="str">
        <f>IF(AND(_A5="A-220-100",'2025'!$I$4="FO",'2025'!$I$2=BV195),'2025DATA'!$C$36,"")</f>
        <v/>
      </c>
      <c r="BW229" s="518" t="str">
        <f>IF(AND(_A5="A-220-100",'2025'!$I$4="FO",'2025'!$I$2=BW195),'2025DATA'!$D$36,"")</f>
        <v/>
      </c>
      <c r="BX229" s="518" t="str">
        <f>IF(AND(_A5="A-220-100",'2025'!$I$4="FO",'2025'!$I$2=BX195),'2025DATA'!$E$36,"")</f>
        <v/>
      </c>
      <c r="BY229" s="518" t="str">
        <f>IF(AND(_A5="A-220-100",'2025'!$I$4="FO",'2025'!$I$2=BY195),'2025DATA'!$F$36,"")</f>
        <v/>
      </c>
      <c r="BZ229" s="518" t="str">
        <f>IF(AND(_A5="A-220-100",'2025'!$I$4="FO",'2025'!$I$2=BZ195),'2025DATA'!$G$36,"")</f>
        <v/>
      </c>
      <c r="CA229" s="518" t="str">
        <f>IF(AND(_A5="A-220-100",'2025'!$I$4="FO",'2025'!$I$2=CA195),'2025DATA'!$H$36,"")</f>
        <v/>
      </c>
      <c r="CB229" s="518" t="str">
        <f>IF(AND(_A5="A-220-100",'2025'!$I$4="FO",'2025'!$I$2=CB195),'2025DATA'!$I$36,"")</f>
        <v/>
      </c>
      <c r="CC229" s="518" t="str">
        <f>IF(AND(_A5="A-220-100",'2025'!$I$4="FO",'2025'!$I$2=CC195),'2025DATA'!$J$36,"")</f>
        <v/>
      </c>
      <c r="CD229" s="518" t="str">
        <f>IF(AND(_A5="A-220-100",'2025'!$I$4="FO",'2025'!$I$2=CD195),'2025DATA'!$K$36,"")</f>
        <v/>
      </c>
      <c r="CE229" s="518" t="str">
        <f>IF(AND(_A5="A-220-100",'2025'!$I$4="FO",'2025'!$I$2=CE195),'2025DATA'!$L$36,"")</f>
        <v/>
      </c>
      <c r="CF229" s="518" t="str">
        <f>IF(AND(_A5="A-220-100",'2025'!$I$4="FO",'2025'!$I$2=CF195),'2025DATA'!$M$36,"")</f>
        <v/>
      </c>
      <c r="CG229" s="520" t="str">
        <f>IF(AND(_A5="A-220-100",'2025'!$I$4="FO",'2025'!$I$2=CG195),'2025DATA'!$N$36,"")</f>
        <v/>
      </c>
      <c r="CH229" s="940"/>
      <c r="CI229" s="13" t="s">
        <v>62</v>
      </c>
      <c r="CJ229" s="518" t="str">
        <f>IF(AND(_A6="A-220-100",'2025'!$I$4="FO",'2025'!$I$2=CJ195),'2025DATA'!$C$36,"")</f>
        <v/>
      </c>
      <c r="CK229" s="518" t="str">
        <f>IF(AND(_A6="A-220-100",'2025'!$I$4="FO",'2025'!$I$2=CK195),'2025DATA'!$D$36,"")</f>
        <v/>
      </c>
      <c r="CL229" s="518" t="str">
        <f>IF(AND(_A6="A-220-100",'2025'!$I$4="FO",'2025'!$I$2=CL195),'2025DATA'!$E$36,"")</f>
        <v/>
      </c>
      <c r="CM229" s="518" t="str">
        <f>IF(AND(_A6="A-220-100",'2025'!$I$4="FO",'2025'!$I$2=CM195),'2025DATA'!$F$36,"")</f>
        <v/>
      </c>
      <c r="CN229" s="518" t="str">
        <f>IF(AND(_A6="A-220-100",'2025'!$I$4="FO",'2025'!$I$2=CN195),'2025DATA'!$G$36,"")</f>
        <v/>
      </c>
      <c r="CO229" s="518" t="str">
        <f>IF(AND(_A6="A-220-100",'2025'!$I$4="FO",'2025'!$I$2=CO195),'2025DATA'!$H$36,"")</f>
        <v/>
      </c>
      <c r="CP229" s="518" t="str">
        <f>IF(AND(_A6="A-220-100",'2025'!$I$4="FO",'2025'!$I$2=CP195),'2025DATA'!$I$36,"")</f>
        <v/>
      </c>
      <c r="CQ229" s="518" t="str">
        <f>IF(AND(_A6="A-220-100",'2025'!$I$4="FO",'2025'!$I$2=CQ195),'2025DATA'!$J$36,"")</f>
        <v/>
      </c>
      <c r="CR229" s="518" t="str">
        <f>IF(AND(_A6="A-220-100",'2025'!$I$4="FO",'2025'!$I$2=CR195),'2025DATA'!$K$36,"")</f>
        <v/>
      </c>
      <c r="CS229" s="518" t="str">
        <f>IF(AND(_A6="A-220-100",'2025'!$I$4="FO",'2025'!$I$2=CS195),'2025DATA'!$L$36,"")</f>
        <v/>
      </c>
      <c r="CT229" s="518" t="str">
        <f>IF(AND(_A6="A-220-100",'2025'!$I$4="FO",'2025'!$I$2=CT195),'2025DATA'!$M$36,"")</f>
        <v/>
      </c>
      <c r="CU229" s="520" t="str">
        <f>IF(AND(_A6="A-220-100",'2025'!$I$4="FO",'2025'!$I$2=CU195),'2025DATA'!$N$36,"")</f>
        <v/>
      </c>
    </row>
    <row r="230" spans="16:99" x14ac:dyDescent="0.25">
      <c r="P230" s="940" t="s">
        <v>53</v>
      </c>
      <c r="Q230" s="13" t="s">
        <v>61</v>
      </c>
      <c r="R230" s="518" t="str">
        <f>IF(AND(_A1="B-717",'2025'!$I$4="CA",'2025'!$I$2=R195),'2025DATA'!$C$37,"")</f>
        <v/>
      </c>
      <c r="S230" s="518" t="str">
        <f>IF(AND(_A1="B-717",'2025'!$I$4="CA",'2025'!$I$2=S195),'2025DATA'!$D$37,"")</f>
        <v/>
      </c>
      <c r="T230" s="518" t="str">
        <f>IF(AND(_A1="B-717",'2025'!$I$4="CA",'2025'!$I$2=T195),'2025DATA'!$E$37,"")</f>
        <v/>
      </c>
      <c r="U230" s="518" t="str">
        <f>IF(AND(_A1="B-717",'2025'!$I$4="CA",'2025'!$I$2=U195),'2025DATA'!$F$37,"")</f>
        <v/>
      </c>
      <c r="V230" s="518" t="str">
        <f>IF(AND(_A1="B-717",'2025'!$I$4="CA",'2025'!$I$2=V195),'2025DATA'!$G$37,"")</f>
        <v/>
      </c>
      <c r="W230" s="518" t="str">
        <f>IF(AND(_A1="B-717",'2025'!$I$4="CA",'2025'!$I$2=W195),'2025DATA'!$H$37,"")</f>
        <v/>
      </c>
      <c r="X230" s="518" t="str">
        <f>IF(AND(_A1="B-717",'2025'!$I$4="CA",'2025'!$I$2=X195),'2025DATA'!$I$37,"")</f>
        <v/>
      </c>
      <c r="Y230" s="518" t="str">
        <f>IF(AND(_A1="B-717",'2025'!$I$4="CA",'2025'!$I$2=Y195),'2025DATA'!$J$37,"")</f>
        <v/>
      </c>
      <c r="Z230" s="518" t="str">
        <f>IF(AND(_A1="B-717",'2025'!$I$4="CA",'2025'!$I$2=Z195),'2025DATA'!$K$37,"")</f>
        <v/>
      </c>
      <c r="AA230" s="518" t="str">
        <f>IF(AND(_A1="B-717",'2025'!$I$4="CA",'2025'!$I$2=AA195),'2025DATA'!$L$37,"")</f>
        <v/>
      </c>
      <c r="AB230" s="518" t="str">
        <f>IF(AND(_A1="B-717",'2025'!$I$4="CA",'2025'!$I$2=AB195),'2025DATA'!$M$37,"")</f>
        <v/>
      </c>
      <c r="AC230" s="520" t="str">
        <f>IF(AND(_A1="B-717",'2025'!$I$4="CA",'2025'!$I$2=AC195),'2025DATA'!$N$37,"")</f>
        <v/>
      </c>
      <c r="AD230" s="940" t="s">
        <v>53</v>
      </c>
      <c r="AE230" s="13" t="s">
        <v>61</v>
      </c>
      <c r="AF230" s="518" t="str">
        <f>IF(AND(_A2="B-717",'2025'!$I$4="CA",'2025'!$I$2=AF195),'2025DATA'!$C$37,"")</f>
        <v/>
      </c>
      <c r="AG230" s="518" t="str">
        <f>IF(AND(_A2="B-717",'2025'!$I$4="CA",'2025'!$I$2=AG195),'2025DATA'!$D$37,"")</f>
        <v/>
      </c>
      <c r="AH230" s="518" t="str">
        <f>IF(AND(_A2="B-717",'2025'!$I$4="CA",'2025'!$I$2=AH195),'2025DATA'!$E$37,"")</f>
        <v/>
      </c>
      <c r="AI230" s="518" t="str">
        <f>IF(AND(_A2="B-717",'2025'!$I$4="CA",'2025'!$I$2=AI195),'2025DATA'!$F$37,"")</f>
        <v/>
      </c>
      <c r="AJ230" s="518" t="str">
        <f>IF(AND(_A2="B-717",'2025'!$I$4="CA",'2025'!$I$2=AJ195),'2025DATA'!$G$37,"")</f>
        <v/>
      </c>
      <c r="AK230" s="518" t="str">
        <f>IF(AND(_A2="B-717",'2025'!$I$4="CA",'2025'!$I$2=AK195),'2025DATA'!$H$37,"")</f>
        <v/>
      </c>
      <c r="AL230" s="518" t="str">
        <f>IF(AND(_A2="B-717",'2025'!$I$4="CA",'2025'!$I$2=AL195),'2025DATA'!$I$37,"")</f>
        <v/>
      </c>
      <c r="AM230" s="518" t="str">
        <f>IF(AND(_A2="B-717",'2025'!$I$4="CA",'2025'!$I$2=AM195),'2025DATA'!$J$37,"")</f>
        <v/>
      </c>
      <c r="AN230" s="518" t="str">
        <f>IF(AND(_A2="B-717",'2025'!$I$4="CA",'2025'!$I$2=AN195),'2025DATA'!$K$37,"")</f>
        <v/>
      </c>
      <c r="AO230" s="518" t="str">
        <f>IF(AND(_A2="B-717",'2025'!$I$4="CA",'2025'!$I$2=AO195),'2025DATA'!$L$37,"")</f>
        <v/>
      </c>
      <c r="AP230" s="518" t="str">
        <f>IF(AND(_A2="B-717",'2025'!$I$4="CA",'2025'!$I$2=AP195),'2025DATA'!$M$37,"")</f>
        <v/>
      </c>
      <c r="AQ230" s="520" t="str">
        <f>IF(AND(_A2="B-717",'2025'!$I$4="CA",'2025'!$I$2=AQ195),'2025DATA'!$N$37,"")</f>
        <v/>
      </c>
      <c r="AR230" s="940" t="s">
        <v>53</v>
      </c>
      <c r="AS230" s="13" t="s">
        <v>61</v>
      </c>
      <c r="AT230" s="518" t="str">
        <f>IF(AND(_A3="B-717",'2025'!$I$4="CA",'2025'!$I$2=AT195),'2025DATA'!$C$37,"")</f>
        <v/>
      </c>
      <c r="AU230" s="518" t="str">
        <f>IF(AND(_A3="B-717",'2025'!$I$4="CA",'2025'!$I$2=AU195),'2025DATA'!$D$37,"")</f>
        <v/>
      </c>
      <c r="AV230" s="518" t="str">
        <f>IF(AND(_A3="B-717",'2025'!$I$4="CA",'2025'!$I$2=AV195),'2025DATA'!$E$37,"")</f>
        <v/>
      </c>
      <c r="AW230" s="518" t="str">
        <f>IF(AND(_A3="B-717",'2025'!$I$4="CA",'2025'!$I$2=AW195),'2025DATA'!$F$37,"")</f>
        <v/>
      </c>
      <c r="AX230" s="518" t="str">
        <f>IF(AND(_A3="B-717",'2025'!$I$4="CA",'2025'!$I$2=AX195),'2025DATA'!$G$37,"")</f>
        <v/>
      </c>
      <c r="AY230" s="518" t="str">
        <f>IF(AND(_A3="B-717",'2025'!$I$4="CA",'2025'!$I$2=AY195),'2025DATA'!$H$37,"")</f>
        <v/>
      </c>
      <c r="AZ230" s="518" t="str">
        <f>IF(AND(_A3="B-717",'2025'!$I$4="CA",'2025'!$I$2=AZ195),'2025DATA'!$I$37,"")</f>
        <v/>
      </c>
      <c r="BA230" s="518" t="str">
        <f>IF(AND(_A3="B-717",'2025'!$I$4="CA",'2025'!$I$2=BA195),'2025DATA'!$J$37,"")</f>
        <v/>
      </c>
      <c r="BB230" s="518" t="str">
        <f>IF(AND(_A3="B-717",'2025'!$I$4="CA",'2025'!$I$2=BB195),'2025DATA'!$K$37,"")</f>
        <v/>
      </c>
      <c r="BC230" s="518" t="str">
        <f>IF(AND(_A3="B-717",'2025'!$I$4="CA",'2025'!$I$2=BC195),'2025DATA'!$L$37,"")</f>
        <v/>
      </c>
      <c r="BD230" s="518" t="str">
        <f>IF(AND(_A3="B-717",'2025'!$I$4="CA",'2025'!$I$2=BD195),'2025DATA'!$M$37,"")</f>
        <v/>
      </c>
      <c r="BE230" s="520" t="str">
        <f>IF(AND(_A3="B-717",'2025'!$I$4="CA",'2025'!$I$2=BE195),'2025DATA'!$N$37,"")</f>
        <v/>
      </c>
      <c r="BF230" s="940" t="s">
        <v>53</v>
      </c>
      <c r="BG230" s="13" t="s">
        <v>61</v>
      </c>
      <c r="BH230" s="518" t="str">
        <f>IF(AND(_A4="B-717",'2025'!$I$4="CA",'2025'!$I$2=BH195),'2025DATA'!$C$37,"")</f>
        <v/>
      </c>
      <c r="BI230" s="518" t="str">
        <f>IF(AND(_A4="B-717",'2025'!$I$4="CA",'2025'!$I$2=BI195),'2025DATA'!$D$37,"")</f>
        <v/>
      </c>
      <c r="BJ230" s="518" t="str">
        <f>IF(AND(_A4="B-717",'2025'!$I$4="CA",'2025'!$I$2=BJ195),'2025DATA'!$E$37,"")</f>
        <v/>
      </c>
      <c r="BK230" s="518" t="str">
        <f>IF(AND(_A4="B-717",'2025'!$I$4="CA",'2025'!$I$2=BK195),'2025DATA'!$F$37,"")</f>
        <v/>
      </c>
      <c r="BL230" s="518" t="str">
        <f>IF(AND(_A4="B-717",'2025'!$I$4="CA",'2025'!$I$2=BL195),'2025DATA'!$G$37,"")</f>
        <v/>
      </c>
      <c r="BM230" s="518" t="str">
        <f>IF(AND(_A4="B-717",'2025'!$I$4="CA",'2025'!$I$2=BM195),'2025DATA'!$H$37,"")</f>
        <v/>
      </c>
      <c r="BN230" s="518" t="str">
        <f>IF(AND(_A4="B-717",'2025'!$I$4="CA",'2025'!$I$2=BN195),'2025DATA'!$I$37,"")</f>
        <v/>
      </c>
      <c r="BO230" s="518" t="str">
        <f>IF(AND(_A4="B-717",'2025'!$I$4="CA",'2025'!$I$2=BO195),'2025DATA'!$J$37,"")</f>
        <v/>
      </c>
      <c r="BP230" s="518" t="str">
        <f>IF(AND(_A4="B-717",'2025'!$I$4="CA",'2025'!$I$2=BP195),'2025DATA'!$K$37,"")</f>
        <v/>
      </c>
      <c r="BQ230" s="518" t="str">
        <f>IF(AND(_A4="B-717",'2025'!$I$4="CA",'2025'!$I$2=BQ195),'2025DATA'!$L$37,"")</f>
        <v/>
      </c>
      <c r="BR230" s="518" t="str">
        <f>IF(AND(_A4="B-717",'2025'!$I$4="CA",'2025'!$I$2=BR195),'2025DATA'!$M$37,"")</f>
        <v/>
      </c>
      <c r="BS230" s="520" t="str">
        <f>IF(AND(_A4="B-717",'2025'!$I$4="CA",'2025'!$I$2=BS195),'2025DATA'!$N$37,"")</f>
        <v/>
      </c>
      <c r="BT230" s="940" t="s">
        <v>53</v>
      </c>
      <c r="BU230" s="13" t="s">
        <v>61</v>
      </c>
      <c r="BV230" s="518" t="str">
        <f>IF(AND(_A5="B-717",'2025'!$I$4="CA",'2025'!$I$2=BV195),'2025DATA'!$C$37,"")</f>
        <v/>
      </c>
      <c r="BW230" s="518" t="str">
        <f>IF(AND(_A5="B-717",'2025'!$I$4="CA",'2025'!$I$2=BW195),'2025DATA'!$D$37,"")</f>
        <v/>
      </c>
      <c r="BX230" s="518" t="str">
        <f>IF(AND(_A5="B-717",'2025'!$I$4="CA",'2025'!$I$2=BX195),'2025DATA'!$E$37,"")</f>
        <v/>
      </c>
      <c r="BY230" s="518" t="str">
        <f>IF(AND(_A5="B-717",'2025'!$I$4="CA",'2025'!$I$2=BY195),'2025DATA'!$F$37,"")</f>
        <v/>
      </c>
      <c r="BZ230" s="518" t="str">
        <f>IF(AND(_A5="B-717",'2025'!$I$4="CA",'2025'!$I$2=BZ195),'2025DATA'!$G$37,"")</f>
        <v/>
      </c>
      <c r="CA230" s="518" t="str">
        <f>IF(AND(_A5="B-717",'2025'!$I$4="CA",'2025'!$I$2=CA195),'2025DATA'!$H$37,"")</f>
        <v/>
      </c>
      <c r="CB230" s="518" t="str">
        <f>IF(AND(_A5="B-717",'2025'!$I$4="CA",'2025'!$I$2=CB195),'2025DATA'!$I$37,"")</f>
        <v/>
      </c>
      <c r="CC230" s="518" t="str">
        <f>IF(AND(_A5="B-717",'2025'!$I$4="CA",'2025'!$I$2=CC195),'2025DATA'!$J$37,"")</f>
        <v/>
      </c>
      <c r="CD230" s="518" t="str">
        <f>IF(AND(_A5="B-717",'2025'!$I$4="CA",'2025'!$I$2=CD195),'2025DATA'!$K$37,"")</f>
        <v/>
      </c>
      <c r="CE230" s="518" t="str">
        <f>IF(AND(_A5="B-717",'2025'!$I$4="CA",'2025'!$I$2=CE195),'2025DATA'!$L$37,"")</f>
        <v/>
      </c>
      <c r="CF230" s="518" t="str">
        <f>IF(AND(_A5="B-717",'2025'!$I$4="CA",'2025'!$I$2=CF195),'2025DATA'!$M$37,"")</f>
        <v/>
      </c>
      <c r="CG230" s="520" t="str">
        <f>IF(AND(_A5="B-717",'2025'!$I$4="CA",'2025'!$I$2=CG195),'2025DATA'!$N$37,"")</f>
        <v/>
      </c>
      <c r="CH230" s="940" t="s">
        <v>53</v>
      </c>
      <c r="CI230" s="13" t="s">
        <v>61</v>
      </c>
      <c r="CJ230" s="518" t="str">
        <f>IF(AND(_A6="B-717",'2025'!$I$4="CA",'2025'!$I$2=CJ195),'2025DATA'!$C$37,"")</f>
        <v/>
      </c>
      <c r="CK230" s="518" t="str">
        <f>IF(AND(_A6="B-717",'2025'!$I$4="CA",'2025'!$I$2=CK195),'2025DATA'!$D$37,"")</f>
        <v/>
      </c>
      <c r="CL230" s="518" t="str">
        <f>IF(AND(_A6="B-717",'2025'!$I$4="CA",'2025'!$I$2=CL195),'2025DATA'!$E$37,"")</f>
        <v/>
      </c>
      <c r="CM230" s="518" t="str">
        <f>IF(AND(_A6="B-717",'2025'!$I$4="CA",'2025'!$I$2=CM195),'2025DATA'!$F$37,"")</f>
        <v/>
      </c>
      <c r="CN230" s="518" t="str">
        <f>IF(AND(_A6="B-717",'2025'!$I$4="CA",'2025'!$I$2=CN195),'2025DATA'!$G$37,"")</f>
        <v/>
      </c>
      <c r="CO230" s="518" t="str">
        <f>IF(AND(_A6="B-717",'2025'!$I$4="CA",'2025'!$I$2=CO195),'2025DATA'!$H$37,"")</f>
        <v/>
      </c>
      <c r="CP230" s="518" t="str">
        <f>IF(AND(_A6="B-717",'2025'!$I$4="CA",'2025'!$I$2=CP195),'2025DATA'!$I$37,"")</f>
        <v/>
      </c>
      <c r="CQ230" s="518" t="str">
        <f>IF(AND(_A6="B-717",'2025'!$I$4="CA",'2025'!$I$2=CQ195),'2025DATA'!$J$37,"")</f>
        <v/>
      </c>
      <c r="CR230" s="518" t="str">
        <f>IF(AND(_A6="B-717",'2025'!$I$4="CA",'2025'!$I$2=CR195),'2025DATA'!$K$37,"")</f>
        <v/>
      </c>
      <c r="CS230" s="518" t="str">
        <f>IF(AND(_A6="B-717",'2025'!$I$4="CA",'2025'!$I$2=CS195),'2025DATA'!$L$37,"")</f>
        <v/>
      </c>
      <c r="CT230" s="518" t="str">
        <f>IF(AND(_A6="B-717",'2025'!$I$4="CA",'2025'!$I$2=CT195),'2025DATA'!$M$37,"")</f>
        <v/>
      </c>
      <c r="CU230" s="520" t="str">
        <f>IF(AND(_A6="B-717",'2025'!$I$4="CA",'2025'!$I$2=CU195),'2025DATA'!$N$37,"")</f>
        <v/>
      </c>
    </row>
    <row r="231" spans="16:99" ht="15.75" thickBot="1" x14ac:dyDescent="0.3">
      <c r="P231" s="942"/>
      <c r="Q231" s="2" t="s">
        <v>62</v>
      </c>
      <c r="R231" s="518" t="str">
        <f>IF(AND(_A1="B-717",'2025'!$I$4="FO",'2025'!$I$2=R195),'2025DATA'!$C$38,"")</f>
        <v/>
      </c>
      <c r="S231" s="518" t="str">
        <f>IF(AND(_A1="B-717",'2025'!$I$4="FO",'2025'!$I$2=S195),'2025DATA'!$D$38,"")</f>
        <v/>
      </c>
      <c r="T231" s="518" t="str">
        <f>IF(AND(_A1="B-717",'2025'!$I$4="FO",'2025'!$I$2=T195),'2025DATA'!$E$38,"")</f>
        <v/>
      </c>
      <c r="U231" s="518" t="str">
        <f>IF(AND(_A1="B-717",'2025'!$I$4="FO",'2025'!$I$2=U195),'2025DATA'!$F$38,"")</f>
        <v/>
      </c>
      <c r="V231" s="518" t="str">
        <f>IF(AND(_A1="B-717",'2025'!$I$4="FO",'2025'!$I$2=V195),'2025DATA'!$G$38,"")</f>
        <v/>
      </c>
      <c r="W231" s="518" t="str">
        <f>IF(AND(_A1="B-717",'2025'!$I$4="FO",'2025'!$I$2=W195),'2025DATA'!$H$38,"")</f>
        <v/>
      </c>
      <c r="X231" s="518" t="str">
        <f>IF(AND(_A1="B-717",'2025'!$I$4="FO",'2025'!$I$2=X195),'2025DATA'!$I$38,"")</f>
        <v/>
      </c>
      <c r="Y231" s="518" t="str">
        <f>IF(AND(_A1="B-717",'2025'!$I$4="FO",'2025'!$I$2=Y195),'2025DATA'!$J$38,"")</f>
        <v/>
      </c>
      <c r="Z231" s="518" t="str">
        <f>IF(AND(_A1="B-717",'2025'!$I$4="FO",'2025'!$I$2=Z195),'2025DATA'!$K$38,"")</f>
        <v/>
      </c>
      <c r="AA231" s="518" t="str">
        <f>IF(AND(_A1="B-717",'2025'!$I$4="FO",'2025'!$I$2=AA195),'2025DATA'!$L$38,"")</f>
        <v/>
      </c>
      <c r="AB231" s="518" t="str">
        <f>IF(AND(_A1="B-717",'2025'!$I$4="FO",'2025'!$I$2=AB195),'2025DATA'!$M$38,"")</f>
        <v/>
      </c>
      <c r="AC231" s="520" t="str">
        <f>IF(AND(_A1="B-717",'2025'!$I$4="FO",'2025'!$I$2=AC195),'2025DATA'!$N$38,"")</f>
        <v/>
      </c>
      <c r="AD231" s="942"/>
      <c r="AE231" s="2" t="s">
        <v>62</v>
      </c>
      <c r="AF231" s="518" t="str">
        <f>IF(AND(_A2="B-717",'2025'!$I$4="FO",'2025'!$I$2=AF195),'2025DATA'!$C$38,"")</f>
        <v/>
      </c>
      <c r="AG231" s="518" t="str">
        <f>IF(AND(_A2="B-717",'2025'!$I$4="FO",'2025'!$I$2=AG195),'2025DATA'!$D$38,"")</f>
        <v/>
      </c>
      <c r="AH231" s="518" t="str">
        <f>IF(AND(_A2="B-717",'2025'!$I$4="FO",'2025'!$I$2=AH195),'2025DATA'!$E$38,"")</f>
        <v/>
      </c>
      <c r="AI231" s="518" t="str">
        <f>IF(AND(_A2="B-717",'2025'!$I$4="FO",'2025'!$I$2=AI195),'2025DATA'!$F$38,"")</f>
        <v/>
      </c>
      <c r="AJ231" s="518" t="str">
        <f>IF(AND(_A2="B-717",'2025'!$I$4="FO",'2025'!$I$2=AJ195),'2025DATA'!$G$38,"")</f>
        <v/>
      </c>
      <c r="AK231" s="518" t="str">
        <f>IF(AND(_A2="B-717",'2025'!$I$4="FO",'2025'!$I$2=AK195),'2025DATA'!$H$38,"")</f>
        <v/>
      </c>
      <c r="AL231" s="518" t="str">
        <f>IF(AND(_A2="B-717",'2025'!$I$4="FO",'2025'!$I$2=AL195),'2025DATA'!$I$38,"")</f>
        <v/>
      </c>
      <c r="AM231" s="518" t="str">
        <f>IF(AND(_A2="B-717",'2025'!$I$4="FO",'2025'!$I$2=AM195),'2025DATA'!$J$38,"")</f>
        <v/>
      </c>
      <c r="AN231" s="518" t="str">
        <f>IF(AND(_A2="B-717",'2025'!$I$4="FO",'2025'!$I$2=AN195),'2025DATA'!$K$38,"")</f>
        <v/>
      </c>
      <c r="AO231" s="518" t="str">
        <f>IF(AND(_A2="B-717",'2025'!$I$4="FO",'2025'!$I$2=AO195),'2025DATA'!$L$38,"")</f>
        <v/>
      </c>
      <c r="AP231" s="518" t="str">
        <f>IF(AND(_A2="B-717",'2025'!$I$4="FO",'2025'!$I$2=AP195),'2025DATA'!$M$38,"")</f>
        <v/>
      </c>
      <c r="AQ231" s="520" t="str">
        <f>IF(AND(_A2="B-717",'2025'!$I$4="FO",'2025'!$I$2=AQ195),'2025DATA'!$N$38,"")</f>
        <v/>
      </c>
      <c r="AR231" s="942"/>
      <c r="AS231" s="2" t="s">
        <v>62</v>
      </c>
      <c r="AT231" s="518" t="str">
        <f>IF(AND(_A3="B-717",'2025'!$I$4="FO",'2025'!$I$2=AT195),'2025DATA'!$C$38,"")</f>
        <v/>
      </c>
      <c r="AU231" s="518" t="str">
        <f>IF(AND(_A3="B-717",'2025'!$I$4="FO",'2025'!$I$2=AU195),'2025DATA'!$D$38,"")</f>
        <v/>
      </c>
      <c r="AV231" s="518" t="str">
        <f>IF(AND(_A3="B-717",'2025'!$I$4="FO",'2025'!$I$2=AV195),'2025DATA'!$E$38,"")</f>
        <v/>
      </c>
      <c r="AW231" s="518" t="str">
        <f>IF(AND(_A3="B-717",'2025'!$I$4="FO",'2025'!$I$2=AW195),'2025DATA'!$F$38,"")</f>
        <v/>
      </c>
      <c r="AX231" s="518" t="str">
        <f>IF(AND(_A3="B-717",'2025'!$I$4="FO",'2025'!$I$2=AX195),'2025DATA'!$G$38,"")</f>
        <v/>
      </c>
      <c r="AY231" s="518" t="str">
        <f>IF(AND(_A3="B-717",'2025'!$I$4="FO",'2025'!$I$2=AY195),'2025DATA'!$H$38,"")</f>
        <v/>
      </c>
      <c r="AZ231" s="518" t="str">
        <f>IF(AND(_A3="B-717",'2025'!$I$4="FO",'2025'!$I$2=AZ195),'2025DATA'!$I$38,"")</f>
        <v/>
      </c>
      <c r="BA231" s="518" t="str">
        <f>IF(AND(_A3="B-717",'2025'!$I$4="FO",'2025'!$I$2=BA195),'2025DATA'!$J$38,"")</f>
        <v/>
      </c>
      <c r="BB231" s="518" t="str">
        <f>IF(AND(_A3="B-717",'2025'!$I$4="FO",'2025'!$I$2=BB195),'2025DATA'!$K$38,"")</f>
        <v/>
      </c>
      <c r="BC231" s="518" t="str">
        <f>IF(AND(_A3="B-717",'2025'!$I$4="FO",'2025'!$I$2=BC195),'2025DATA'!$L$38,"")</f>
        <v/>
      </c>
      <c r="BD231" s="518" t="str">
        <f>IF(AND(_A3="B-717",'2025'!$I$4="FO",'2025'!$I$2=BD195),'2025DATA'!$M$38,"")</f>
        <v/>
      </c>
      <c r="BE231" s="520" t="str">
        <f>IF(AND(_A3="B-717",'2025'!$I$4="FO",'2025'!$I$2=BE195),'2025DATA'!$N$38,"")</f>
        <v/>
      </c>
      <c r="BF231" s="942"/>
      <c r="BG231" s="2" t="s">
        <v>62</v>
      </c>
      <c r="BH231" s="518" t="str">
        <f>IF(AND(_A4="B-717",'2025'!$I$4="FO",'2025'!$I$2=BH195),'2025DATA'!$C$38,"")</f>
        <v/>
      </c>
      <c r="BI231" s="518" t="str">
        <f>IF(AND(_A4="B-717",'2025'!$I$4="FO",'2025'!$I$2=BI195),'2025DATA'!$D$38,"")</f>
        <v/>
      </c>
      <c r="BJ231" s="518" t="str">
        <f>IF(AND(_A4="B-717",'2025'!$I$4="FO",'2025'!$I$2=BJ195),'2025DATA'!$E$38,"")</f>
        <v/>
      </c>
      <c r="BK231" s="518" t="str">
        <f>IF(AND(_A4="B-717",'2025'!$I$4="FO",'2025'!$I$2=BK195),'2025DATA'!$F$38,"")</f>
        <v/>
      </c>
      <c r="BL231" s="518" t="str">
        <f>IF(AND(_A4="B-717",'2025'!$I$4="FO",'2025'!$I$2=BL195),'2025DATA'!$G$38,"")</f>
        <v/>
      </c>
      <c r="BM231" s="518" t="str">
        <f>IF(AND(_A4="B-717",'2025'!$I$4="FO",'2025'!$I$2=BM195),'2025DATA'!$H$38,"")</f>
        <v/>
      </c>
      <c r="BN231" s="518" t="str">
        <f>IF(AND(_A4="B-717",'2025'!$I$4="FO",'2025'!$I$2=BN195),'2025DATA'!$I$38,"")</f>
        <v/>
      </c>
      <c r="BO231" s="518" t="str">
        <f>IF(AND(_A4="B-717",'2025'!$I$4="FO",'2025'!$I$2=BO195),'2025DATA'!$J$38,"")</f>
        <v/>
      </c>
      <c r="BP231" s="518" t="str">
        <f>IF(AND(_A4="B-717",'2025'!$I$4="FO",'2025'!$I$2=BP195),'2025DATA'!$K$38,"")</f>
        <v/>
      </c>
      <c r="BQ231" s="518" t="str">
        <f>IF(AND(_A4="B-717",'2025'!$I$4="FO",'2025'!$I$2=BQ195),'2025DATA'!$L$38,"")</f>
        <v/>
      </c>
      <c r="BR231" s="518" t="str">
        <f>IF(AND(_A4="B-717",'2025'!$I$4="FO",'2025'!$I$2=BR195),'2025DATA'!$M$38,"")</f>
        <v/>
      </c>
      <c r="BS231" s="520" t="str">
        <f>IF(AND(_A4="B-717",'2025'!$I$4="FO",'2025'!$I$2=BS195),'2025DATA'!$N$38,"")</f>
        <v/>
      </c>
      <c r="BT231" s="942"/>
      <c r="BU231" s="2" t="s">
        <v>62</v>
      </c>
      <c r="BV231" s="518" t="str">
        <f>IF(AND(_A5="B-717",'2025'!$I$4="FO",'2025'!$I$2=BV195),'2025DATA'!$C$38,"")</f>
        <v/>
      </c>
      <c r="BW231" s="518" t="str">
        <f>IF(AND(_A5="B-717",'2025'!$I$4="FO",'2025'!$I$2=BW195),'2025DATA'!$D$38,"")</f>
        <v/>
      </c>
      <c r="BX231" s="518" t="str">
        <f>IF(AND(_A5="B-717",'2025'!$I$4="FO",'2025'!$I$2=BX195),'2025DATA'!$E$38,"")</f>
        <v/>
      </c>
      <c r="BY231" s="518" t="str">
        <f>IF(AND(_A5="B-717",'2025'!$I$4="FO",'2025'!$I$2=BY195),'2025DATA'!$F$38,"")</f>
        <v/>
      </c>
      <c r="BZ231" s="518" t="str">
        <f>IF(AND(_A5="B-717",'2025'!$I$4="FO",'2025'!$I$2=BZ195),'2025DATA'!$G$38,"")</f>
        <v/>
      </c>
      <c r="CA231" s="518" t="str">
        <f>IF(AND(_A5="B-717",'2025'!$I$4="FO",'2025'!$I$2=CA195),'2025DATA'!$H$38,"")</f>
        <v/>
      </c>
      <c r="CB231" s="518" t="str">
        <f>IF(AND(_A5="B-717",'2025'!$I$4="FO",'2025'!$I$2=CB195),'2025DATA'!$I$38,"")</f>
        <v/>
      </c>
      <c r="CC231" s="518" t="str">
        <f>IF(AND(_A5="B-717",'2025'!$I$4="FO",'2025'!$I$2=CC195),'2025DATA'!$J$38,"")</f>
        <v/>
      </c>
      <c r="CD231" s="518" t="str">
        <f>IF(AND(_A5="B-717",'2025'!$I$4="FO",'2025'!$I$2=CD195),'2025DATA'!$K$38,"")</f>
        <v/>
      </c>
      <c r="CE231" s="518" t="str">
        <f>IF(AND(_A5="B-717",'2025'!$I$4="FO",'2025'!$I$2=CE195),'2025DATA'!$L$38,"")</f>
        <v/>
      </c>
      <c r="CF231" s="518" t="str">
        <f>IF(AND(_A5="B-717",'2025'!$I$4="FO",'2025'!$I$2=CF195),'2025DATA'!$M$38,"")</f>
        <v/>
      </c>
      <c r="CG231" s="520" t="str">
        <f>IF(AND(_A5="B-717",'2025'!$I$4="FO",'2025'!$I$2=CG195),'2025DATA'!$N$38,"")</f>
        <v/>
      </c>
      <c r="CH231" s="942"/>
      <c r="CI231" s="2" t="s">
        <v>62</v>
      </c>
      <c r="CJ231" s="518" t="str">
        <f>IF(AND(_A6="B-717",'2025'!$I$4="FO",'2025'!$I$2=CJ195),'2025DATA'!$C$38,"")</f>
        <v/>
      </c>
      <c r="CK231" s="518" t="str">
        <f>IF(AND(_A6="B-717",'2025'!$I$4="FO",'2025'!$I$2=CK195),'2025DATA'!$D$38,"")</f>
        <v/>
      </c>
      <c r="CL231" s="518" t="str">
        <f>IF(AND(_A6="B-717",'2025'!$I$4="FO",'2025'!$I$2=CL195),'2025DATA'!$E$38,"")</f>
        <v/>
      </c>
      <c r="CM231" s="518" t="str">
        <f>IF(AND(_A6="B-717",'2025'!$I$4="FO",'2025'!$I$2=CM195),'2025DATA'!$F$38,"")</f>
        <v/>
      </c>
      <c r="CN231" s="518" t="str">
        <f>IF(AND(_A6="B-717",'2025'!$I$4="FO",'2025'!$I$2=CN195),'2025DATA'!$G$38,"")</f>
        <v/>
      </c>
      <c r="CO231" s="518" t="str">
        <f>IF(AND(_A6="B-717",'2025'!$I$4="FO",'2025'!$I$2=CO195),'2025DATA'!$H$38,"")</f>
        <v/>
      </c>
      <c r="CP231" s="518" t="str">
        <f>IF(AND(_A6="B-717",'2025'!$I$4="FO",'2025'!$I$2=CP195),'2025DATA'!$I$38,"")</f>
        <v/>
      </c>
      <c r="CQ231" s="518" t="str">
        <f>IF(AND(_A6="B-717",'2025'!$I$4="FO",'2025'!$I$2=CQ195),'2025DATA'!$J$38,"")</f>
        <v/>
      </c>
      <c r="CR231" s="518" t="str">
        <f>IF(AND(_A6="B-717",'2025'!$I$4="FO",'2025'!$I$2=CR195),'2025DATA'!$K$38,"")</f>
        <v/>
      </c>
      <c r="CS231" s="518" t="str">
        <f>IF(AND(_A6="B-717",'2025'!$I$4="FO",'2025'!$I$2=CS195),'2025DATA'!$L$38,"")</f>
        <v/>
      </c>
      <c r="CT231" s="518" t="str">
        <f>IF(AND(_A6="B-717",'2025'!$I$4="FO",'2025'!$I$2=CT195),'2025DATA'!$M$38,"")</f>
        <v/>
      </c>
      <c r="CU231" s="520" t="str">
        <f>IF(AND(_A6="B-717",'2025'!$I$4="FO",'2025'!$I$2=CU195),'2025DATA'!$N$38,"")</f>
        <v/>
      </c>
    </row>
    <row r="232" spans="16:99" x14ac:dyDescent="0.25">
      <c r="P232" s="943" t="s">
        <v>116</v>
      </c>
      <c r="Q232" s="944"/>
      <c r="R232" s="944"/>
      <c r="S232" s="944"/>
      <c r="T232" s="944"/>
      <c r="U232" s="944"/>
      <c r="V232" s="944"/>
      <c r="W232" s="944"/>
      <c r="X232" s="944"/>
      <c r="Y232" s="944"/>
      <c r="Z232" s="944"/>
      <c r="AA232" s="944"/>
      <c r="AB232" s="944"/>
      <c r="AC232" s="945"/>
      <c r="AD232" s="943" t="s">
        <v>117</v>
      </c>
      <c r="AE232" s="944"/>
      <c r="AF232" s="944"/>
      <c r="AG232" s="944"/>
      <c r="AH232" s="944"/>
      <c r="AI232" s="944"/>
      <c r="AJ232" s="944"/>
      <c r="AK232" s="944"/>
      <c r="AL232" s="944"/>
      <c r="AM232" s="944"/>
      <c r="AN232" s="944"/>
      <c r="AO232" s="944"/>
      <c r="AP232" s="944"/>
      <c r="AQ232" s="945"/>
      <c r="AR232" s="943" t="s">
        <v>118</v>
      </c>
      <c r="AS232" s="944"/>
      <c r="AT232" s="944"/>
      <c r="AU232" s="944"/>
      <c r="AV232" s="944"/>
      <c r="AW232" s="944"/>
      <c r="AX232" s="944"/>
      <c r="AY232" s="944"/>
      <c r="AZ232" s="944"/>
      <c r="BA232" s="944"/>
      <c r="BB232" s="944"/>
      <c r="BC232" s="944"/>
      <c r="BD232" s="944"/>
      <c r="BE232" s="945"/>
      <c r="BF232" s="943" t="s">
        <v>119</v>
      </c>
      <c r="BG232" s="944"/>
      <c r="BH232" s="944"/>
      <c r="BI232" s="944"/>
      <c r="BJ232" s="944"/>
      <c r="BK232" s="944"/>
      <c r="BL232" s="944"/>
      <c r="BM232" s="944"/>
      <c r="BN232" s="944"/>
      <c r="BO232" s="944"/>
      <c r="BP232" s="944"/>
      <c r="BQ232" s="944"/>
      <c r="BR232" s="944"/>
      <c r="BS232" s="945"/>
      <c r="BT232" s="943" t="s">
        <v>120</v>
      </c>
      <c r="BU232" s="944"/>
      <c r="BV232" s="944"/>
      <c r="BW232" s="944"/>
      <c r="BX232" s="944"/>
      <c r="BY232" s="944"/>
      <c r="BZ232" s="944"/>
      <c r="CA232" s="944"/>
      <c r="CB232" s="944"/>
      <c r="CC232" s="944"/>
      <c r="CD232" s="944"/>
      <c r="CE232" s="944"/>
      <c r="CF232" s="944"/>
      <c r="CG232" s="945"/>
      <c r="CH232" s="943" t="s">
        <v>121</v>
      </c>
      <c r="CI232" s="944"/>
      <c r="CJ232" s="944"/>
      <c r="CK232" s="944"/>
      <c r="CL232" s="944"/>
      <c r="CM232" s="944"/>
      <c r="CN232" s="944"/>
      <c r="CO232" s="944"/>
      <c r="CP232" s="944"/>
      <c r="CQ232" s="944"/>
      <c r="CR232" s="944"/>
      <c r="CS232" s="944"/>
      <c r="CT232" s="944"/>
      <c r="CU232" s="945"/>
    </row>
    <row r="233" spans="16:99" x14ac:dyDescent="0.25">
      <c r="P233" s="565">
        <v>7</v>
      </c>
      <c r="Q233" s="565">
        <f>SUM(R234:AC269)</f>
        <v>0</v>
      </c>
      <c r="R233" s="3">
        <v>12</v>
      </c>
      <c r="S233" s="3">
        <v>11</v>
      </c>
      <c r="T233" s="3">
        <v>10</v>
      </c>
      <c r="U233" s="3">
        <v>9</v>
      </c>
      <c r="V233" s="3">
        <v>8</v>
      </c>
      <c r="W233" s="3">
        <v>7</v>
      </c>
      <c r="X233" s="3">
        <v>6</v>
      </c>
      <c r="Y233" s="3">
        <v>5</v>
      </c>
      <c r="Z233" s="3">
        <v>4</v>
      </c>
      <c r="AA233" s="3">
        <v>3</v>
      </c>
      <c r="AB233" s="3">
        <v>2</v>
      </c>
      <c r="AC233" s="519">
        <v>1</v>
      </c>
      <c r="AD233" s="565">
        <v>7</v>
      </c>
      <c r="AE233" s="565">
        <f>SUM(AF234:AQ269)</f>
        <v>0</v>
      </c>
      <c r="AF233" s="3">
        <v>12</v>
      </c>
      <c r="AG233" s="3">
        <v>11</v>
      </c>
      <c r="AH233" s="3">
        <v>10</v>
      </c>
      <c r="AI233" s="3">
        <v>9</v>
      </c>
      <c r="AJ233" s="3">
        <v>8</v>
      </c>
      <c r="AK233" s="3">
        <v>7</v>
      </c>
      <c r="AL233" s="3">
        <v>6</v>
      </c>
      <c r="AM233" s="3">
        <v>5</v>
      </c>
      <c r="AN233" s="3">
        <v>4</v>
      </c>
      <c r="AO233" s="3">
        <v>3</v>
      </c>
      <c r="AP233" s="3">
        <v>2</v>
      </c>
      <c r="AQ233" s="519">
        <v>1</v>
      </c>
      <c r="AR233" s="565">
        <v>7</v>
      </c>
      <c r="AS233" s="565">
        <f>SUM(AT234:BE269)</f>
        <v>0</v>
      </c>
      <c r="AT233" s="3">
        <v>12</v>
      </c>
      <c r="AU233" s="3">
        <v>11</v>
      </c>
      <c r="AV233" s="3">
        <v>10</v>
      </c>
      <c r="AW233" s="3">
        <v>9</v>
      </c>
      <c r="AX233" s="3">
        <v>8</v>
      </c>
      <c r="AY233" s="3">
        <v>7</v>
      </c>
      <c r="AZ233" s="3">
        <v>6</v>
      </c>
      <c r="BA233" s="3">
        <v>5</v>
      </c>
      <c r="BB233" s="3">
        <v>4</v>
      </c>
      <c r="BC233" s="3">
        <v>3</v>
      </c>
      <c r="BD233" s="3">
        <v>2</v>
      </c>
      <c r="BE233" s="519">
        <v>1</v>
      </c>
      <c r="BF233" s="565">
        <v>7</v>
      </c>
      <c r="BG233" s="565">
        <f>SUM(BH234:BS269)</f>
        <v>0</v>
      </c>
      <c r="BH233" s="3">
        <v>12</v>
      </c>
      <c r="BI233" s="3">
        <v>11</v>
      </c>
      <c r="BJ233" s="3">
        <v>10</v>
      </c>
      <c r="BK233" s="3">
        <v>9</v>
      </c>
      <c r="BL233" s="3">
        <v>8</v>
      </c>
      <c r="BM233" s="3">
        <v>7</v>
      </c>
      <c r="BN233" s="3">
        <v>6</v>
      </c>
      <c r="BO233" s="3">
        <v>5</v>
      </c>
      <c r="BP233" s="3">
        <v>4</v>
      </c>
      <c r="BQ233" s="3">
        <v>3</v>
      </c>
      <c r="BR233" s="3">
        <v>2</v>
      </c>
      <c r="BS233" s="519">
        <v>1</v>
      </c>
      <c r="BT233" s="565">
        <v>7</v>
      </c>
      <c r="BU233" s="565">
        <f>SUM(BV234:CG269)</f>
        <v>0</v>
      </c>
      <c r="BV233" s="3">
        <v>12</v>
      </c>
      <c r="BW233" s="3">
        <v>11</v>
      </c>
      <c r="BX233" s="3">
        <v>10</v>
      </c>
      <c r="BY233" s="3">
        <v>9</v>
      </c>
      <c r="BZ233" s="3">
        <v>8</v>
      </c>
      <c r="CA233" s="3">
        <v>7</v>
      </c>
      <c r="CB233" s="3">
        <v>6</v>
      </c>
      <c r="CC233" s="3">
        <v>5</v>
      </c>
      <c r="CD233" s="3">
        <v>4</v>
      </c>
      <c r="CE233" s="3">
        <v>3</v>
      </c>
      <c r="CF233" s="3">
        <v>2</v>
      </c>
      <c r="CG233" s="519">
        <v>1</v>
      </c>
      <c r="CH233" s="565">
        <v>7</v>
      </c>
      <c r="CI233" s="565">
        <f>SUM(CJ234:CU269)</f>
        <v>0</v>
      </c>
      <c r="CJ233" s="3">
        <v>12</v>
      </c>
      <c r="CK233" s="3">
        <v>11</v>
      </c>
      <c r="CL233" s="3">
        <v>10</v>
      </c>
      <c r="CM233" s="3">
        <v>9</v>
      </c>
      <c r="CN233" s="3">
        <v>8</v>
      </c>
      <c r="CO233" s="3">
        <v>7</v>
      </c>
      <c r="CP233" s="3">
        <v>6</v>
      </c>
      <c r="CQ233" s="3">
        <v>5</v>
      </c>
      <c r="CR233" s="3">
        <v>4</v>
      </c>
      <c r="CS233" s="3">
        <v>3</v>
      </c>
      <c r="CT233" s="3">
        <v>2</v>
      </c>
      <c r="CU233" s="519">
        <v>1</v>
      </c>
    </row>
    <row r="234" spans="16:99" x14ac:dyDescent="0.25">
      <c r="P234" s="940" t="s">
        <v>39</v>
      </c>
      <c r="Q234" s="13" t="s">
        <v>61</v>
      </c>
      <c r="R234" s="518" t="str">
        <f>IF(AND(_A1="A-350",'2025'!$J$4="CA",'2025'!$J$2=R233),'2025DATA'!$C$3,"")</f>
        <v/>
      </c>
      <c r="S234" s="518" t="str">
        <f>IF(AND(_A1="A-350",'2025'!$J$4="CA",'2025'!$J$2=S233),'2025DATA'!$D$3,"")</f>
        <v/>
      </c>
      <c r="T234" s="518" t="str">
        <f>IF(AND(_A1="A-350",'2025'!$J$4="CA",'2025'!$J$2=T233),'2025DATA'!$E$3,"")</f>
        <v/>
      </c>
      <c r="U234" s="518" t="str">
        <f>IF(AND(_A1="A-350",'2025'!$J$4="CA",'2025'!$J$2=U233),'2025DATA'!$F$3,"")</f>
        <v/>
      </c>
      <c r="V234" s="518" t="str">
        <f>IF(AND(_A1="A-350",'2025'!$J$4="CA",'2025'!$J$2=V233),'2025DATA'!$G$3,"")</f>
        <v/>
      </c>
      <c r="W234" s="518" t="str">
        <f>IF(AND(_A1="A-350",'2025'!$J$4="CA",'2025'!$J$2=W233),'2025DATA'!$H$3,"")</f>
        <v/>
      </c>
      <c r="X234" s="518" t="str">
        <f>IF(AND(_A1="A-350",'2025'!$J$4="CA",'2025'!$J$2=X233),'2025DATA'!$I$3,"")</f>
        <v/>
      </c>
      <c r="Y234" s="518" t="str">
        <f>IF(AND(_A1="A-350",'2025'!$J$4="CA",'2025'!$J$2=Y233),'2025DATA'!$J$3,"")</f>
        <v/>
      </c>
      <c r="Z234" s="518" t="str">
        <f>IF(AND(_A1="A-350",'2025'!$J$4="CA",'2025'!$J$2=Z233),'2025DATA'!$K$3,"")</f>
        <v/>
      </c>
      <c r="AA234" s="518" t="str">
        <f>IF(AND(_A1="A-350",'2025'!$J$4="CA",'2025'!$J$2=AA233),'2025DATA'!$L$3,"")</f>
        <v/>
      </c>
      <c r="AB234" s="518" t="str">
        <f>IF(AND(_A1="A-350",'2025'!$J$4="CA",'2025'!$J$2=AB233),'2025DATA'!$M$3,"")</f>
        <v/>
      </c>
      <c r="AC234" s="520" t="str">
        <f>IF(AND(_A1="A-350",'2025'!$J$4="CA",'2025'!$J$2=AC233),'2025DATA'!$N$3,"")</f>
        <v/>
      </c>
      <c r="AD234" s="940" t="s">
        <v>39</v>
      </c>
      <c r="AE234" s="13" t="s">
        <v>61</v>
      </c>
      <c r="AF234" s="518" t="str">
        <f>IF(AND(_A2="A-350",'2025'!$J$4="CA",'2025'!$J$2=AF233),'2025DATA'!$C$3,"")</f>
        <v/>
      </c>
      <c r="AG234" s="518" t="str">
        <f>IF(AND(_A2="A-350",'2025'!$J$4="CA",'2025'!$J$2=AG233),'2025DATA'!$D$3,"")</f>
        <v/>
      </c>
      <c r="AH234" s="518" t="str">
        <f>IF(AND(_A2="A-350",'2025'!$J$4="CA",'2025'!$J$2=AH233),'2025DATA'!$E$3,"")</f>
        <v/>
      </c>
      <c r="AI234" s="518" t="str">
        <f>IF(AND(_A2="A-350",'2025'!$J$4="CA",'2025'!$J$2=AI233),'2025DATA'!$F$3,"")</f>
        <v/>
      </c>
      <c r="AJ234" s="518" t="str">
        <f>IF(AND(_A2="A-350",'2025'!$J$4="CA",'2025'!$J$2=AJ233),'2025DATA'!$G$3,"")</f>
        <v/>
      </c>
      <c r="AK234" s="518" t="str">
        <f>IF(AND(_A2="A-350",'2025'!$J$4="CA",'2025'!$J$2=AK233),'2025DATA'!$H$3,"")</f>
        <v/>
      </c>
      <c r="AL234" s="518" t="str">
        <f>IF(AND(_A2="A-350",'2025'!$J$4="CA",'2025'!$J$2=AL233),'2025DATA'!$I$3,"")</f>
        <v/>
      </c>
      <c r="AM234" s="518" t="str">
        <f>IF(AND(_A2="A-350",'2025'!$J$4="CA",'2025'!$J$2=AM233),'2025DATA'!$J$3,"")</f>
        <v/>
      </c>
      <c r="AN234" s="518" t="str">
        <f>IF(AND(_A2="A-350",'2025'!$J$4="CA",'2025'!$J$2=AN233),'2025DATA'!$K$3,"")</f>
        <v/>
      </c>
      <c r="AO234" s="518" t="str">
        <f>IF(AND(_A2="A-350",'2025'!$J$4="CA",'2025'!$J$2=AO233),'2025DATA'!$L$3,"")</f>
        <v/>
      </c>
      <c r="AP234" s="518" t="str">
        <f>IF(AND(_A2="A-350",'2025'!$J$4="CA",'2025'!$J$2=AP233),'2025DATA'!$M$3,"")</f>
        <v/>
      </c>
      <c r="AQ234" s="520" t="str">
        <f>IF(AND(_A2="A-350",'2025'!$J$4="CA",'2025'!$J$2=AQ233),'2025DATA'!$N$3,"")</f>
        <v/>
      </c>
      <c r="AR234" s="940" t="s">
        <v>39</v>
      </c>
      <c r="AS234" s="13" t="s">
        <v>61</v>
      </c>
      <c r="AT234" s="518" t="str">
        <f>IF(AND(_A3="A-350",'2025'!$J$4="CA",'2025'!$J$2=AT233),'2025DATA'!$C$3,"")</f>
        <v/>
      </c>
      <c r="AU234" s="518" t="str">
        <f>IF(AND(_A3="A-350",'2025'!$J$4="CA",'2025'!$J$2=AU233),'2025DATA'!$D$3,"")</f>
        <v/>
      </c>
      <c r="AV234" s="518" t="str">
        <f>IF(AND(_A3="A-350",'2025'!$J$4="CA",'2025'!$J$2=AV233),'2025DATA'!$E$3,"")</f>
        <v/>
      </c>
      <c r="AW234" s="518" t="str">
        <f>IF(AND(_A3="A-350",'2025'!$J$4="CA",'2025'!$J$2=AW233),'2025DATA'!$F$3,"")</f>
        <v/>
      </c>
      <c r="AX234" s="518" t="str">
        <f>IF(AND(_A3="A-350",'2025'!$J$4="CA",'2025'!$J$2=AX233),'2025DATA'!$G$3,"")</f>
        <v/>
      </c>
      <c r="AY234" s="518" t="str">
        <f>IF(AND(_A3="A-350",'2025'!$J$4="CA",'2025'!$J$2=AY233),'2025DATA'!$H$3,"")</f>
        <v/>
      </c>
      <c r="AZ234" s="518" t="str">
        <f>IF(AND(_A3="A-350",'2025'!$J$4="CA",'2025'!$J$2=AZ233),'2025DATA'!$I$3,"")</f>
        <v/>
      </c>
      <c r="BA234" s="518" t="str">
        <f>IF(AND(_A3="A-350",'2025'!$J$4="CA",'2025'!$J$2=BA233),'2025DATA'!$J$3,"")</f>
        <v/>
      </c>
      <c r="BB234" s="518" t="str">
        <f>IF(AND(_A3="A-350",'2025'!$J$4="CA",'2025'!$J$2=BB233),'2025DATA'!$K$3,"")</f>
        <v/>
      </c>
      <c r="BC234" s="518" t="str">
        <f>IF(AND(_A3="A-350",'2025'!$J$4="CA",'2025'!$J$2=BC233),'2025DATA'!$L$3,"")</f>
        <v/>
      </c>
      <c r="BD234" s="518" t="str">
        <f>IF(AND(_A3="A-350",'2025'!$J$4="CA",'2025'!$J$2=BD233),'2025DATA'!$M$3,"")</f>
        <v/>
      </c>
      <c r="BE234" s="520" t="str">
        <f>IF(AND(_A3="A-350",'2025'!$J$4="CA",'2025'!$J$2=BE233),'2025DATA'!$N$3,"")</f>
        <v/>
      </c>
      <c r="BF234" s="940" t="s">
        <v>39</v>
      </c>
      <c r="BG234" s="13" t="s">
        <v>61</v>
      </c>
      <c r="BH234" s="518" t="str">
        <f>IF(AND(_A4="A-350",'2025'!$J$4="CA",'2025'!$J$2=BH233),'2025DATA'!$C$3,"")</f>
        <v/>
      </c>
      <c r="BI234" s="518" t="str">
        <f>IF(AND(_A4="A-350",'2025'!$J$4="CA",'2025'!$J$2=BI233),'2025DATA'!$D$3,"")</f>
        <v/>
      </c>
      <c r="BJ234" s="518" t="str">
        <f>IF(AND(_A4="A-350",'2025'!$J$4="CA",'2025'!$J$2=BJ233),'2025DATA'!$E$3,"")</f>
        <v/>
      </c>
      <c r="BK234" s="518" t="str">
        <f>IF(AND(_A4="A-350",'2025'!$J$4="CA",'2025'!$J$2=BK233),'2025DATA'!$F$3,"")</f>
        <v/>
      </c>
      <c r="BL234" s="518" t="str">
        <f>IF(AND(_A4="A-350",'2025'!$J$4="CA",'2025'!$J$2=BL233),'2025DATA'!$G$3,"")</f>
        <v/>
      </c>
      <c r="BM234" s="518" t="str">
        <f>IF(AND(_A4="A-350",'2025'!$J$4="CA",'2025'!$J$2=BM233),'2025DATA'!$H$3,"")</f>
        <v/>
      </c>
      <c r="BN234" s="518" t="str">
        <f>IF(AND(_A4="A-350",'2025'!$J$4="CA",'2025'!$J$2=BN233),'2025DATA'!$I$3,"")</f>
        <v/>
      </c>
      <c r="BO234" s="518" t="str">
        <f>IF(AND(_A4="A-350",'2025'!$J$4="CA",'2025'!$J$2=BO233),'2025DATA'!$J$3,"")</f>
        <v/>
      </c>
      <c r="BP234" s="518" t="str">
        <f>IF(AND(_A4="A-350",'2025'!$J$4="CA",'2025'!$J$2=BP233),'2025DATA'!$K$3,"")</f>
        <v/>
      </c>
      <c r="BQ234" s="518" t="str">
        <f>IF(AND(_A4="A-350",'2025'!$J$4="CA",'2025'!$J$2=BQ233),'2025DATA'!$L$3,"")</f>
        <v/>
      </c>
      <c r="BR234" s="518" t="str">
        <f>IF(AND(_A4="A-350",'2025'!$J$4="CA",'2025'!$J$2=BR233),'2025DATA'!$M$3,"")</f>
        <v/>
      </c>
      <c r="BS234" s="520" t="str">
        <f>IF(AND(_A4="A-350",'2025'!$J$4="CA",'2025'!$J$2=BS233),'2025DATA'!$N$3,"")</f>
        <v/>
      </c>
      <c r="BT234" s="940" t="s">
        <v>39</v>
      </c>
      <c r="BU234" s="13" t="s">
        <v>61</v>
      </c>
      <c r="BV234" s="518" t="str">
        <f>IF(AND(_A5="A-350",'2025'!$J$4="CA",'2025'!$J$2=BV233),'2025DATA'!$C$3,"")</f>
        <v/>
      </c>
      <c r="BW234" s="518" t="str">
        <f>IF(AND(_A5="A-350",'2025'!$J$4="CA",'2025'!$J$2=BW233),'2025DATA'!$D$3,"")</f>
        <v/>
      </c>
      <c r="BX234" s="518" t="str">
        <f>IF(AND(_A5="A-350",'2025'!$J$4="CA",'2025'!$J$2=BX233),'2025DATA'!$E$3,"")</f>
        <v/>
      </c>
      <c r="BY234" s="518" t="str">
        <f>IF(AND(_A5="A-350",'2025'!$J$4="CA",'2025'!$J$2=BY233),'2025DATA'!$F$3,"")</f>
        <v/>
      </c>
      <c r="BZ234" s="518" t="str">
        <f>IF(AND(_A5="A-350",'2025'!$J$4="CA",'2025'!$J$2=BZ233),'2025DATA'!$G$3,"")</f>
        <v/>
      </c>
      <c r="CA234" s="518" t="str">
        <f>IF(AND(_A5="A-350",'2025'!$J$4="CA",'2025'!$J$2=CA233),'2025DATA'!$H$3,"")</f>
        <v/>
      </c>
      <c r="CB234" s="518" t="str">
        <f>IF(AND(_A5="A-350",'2025'!$J$4="CA",'2025'!$J$2=CB233),'2025DATA'!$I$3,"")</f>
        <v/>
      </c>
      <c r="CC234" s="518" t="str">
        <f>IF(AND(_A5="A-350",'2025'!$J$4="CA",'2025'!$J$2=CC233),'2025DATA'!$J$3,"")</f>
        <v/>
      </c>
      <c r="CD234" s="518" t="str">
        <f>IF(AND(_A5="A-350",'2025'!$J$4="CA",'2025'!$J$2=CD233),'2025DATA'!$K$3,"")</f>
        <v/>
      </c>
      <c r="CE234" s="518" t="str">
        <f>IF(AND(_A5="A-350",'2025'!$J$4="CA",'2025'!$J$2=CE233),'2025DATA'!$L$3,"")</f>
        <v/>
      </c>
      <c r="CF234" s="518" t="str">
        <f>IF(AND(_A5="A-350",'2025'!$J$4="CA",'2025'!$J$2=CF233),'2025DATA'!$M$3,"")</f>
        <v/>
      </c>
      <c r="CG234" s="520" t="str">
        <f>IF(AND(_A5="A-350",'2025'!$J$4="CA",'2025'!$J$2=CG233),'2025DATA'!$N$3,"")</f>
        <v/>
      </c>
      <c r="CH234" s="940" t="s">
        <v>39</v>
      </c>
      <c r="CI234" s="13" t="s">
        <v>61</v>
      </c>
      <c r="CJ234" s="518" t="str">
        <f>IF(AND(_A6="A-350",'2025'!$J$4="CA",'2025'!$J$2=CJ233),'2025DATA'!$C$3,"")</f>
        <v/>
      </c>
      <c r="CK234" s="518" t="str">
        <f>IF(AND(_A6="A-350",'2025'!$J$4="CA",'2025'!$J$2=CK233),'2025DATA'!$D$3,"")</f>
        <v/>
      </c>
      <c r="CL234" s="518" t="str">
        <f>IF(AND(_A6="A-350",'2025'!$J$4="CA",'2025'!$J$2=CL233),'2025DATA'!$E$3,"")</f>
        <v/>
      </c>
      <c r="CM234" s="518" t="str">
        <f>IF(AND(_A6="A-350",'2025'!$J$4="CA",'2025'!$J$2=CM233),'2025DATA'!$F$3,"")</f>
        <v/>
      </c>
      <c r="CN234" s="518" t="str">
        <f>IF(AND(_A6="A-350",'2025'!$J$4="CA",'2025'!$J$2=CN233),'2025DATA'!$G$3,"")</f>
        <v/>
      </c>
      <c r="CO234" s="518" t="str">
        <f>IF(AND(_A6="A-350",'2025'!$J$4="CA",'2025'!$J$2=CO233),'2025DATA'!$H$3,"")</f>
        <v/>
      </c>
      <c r="CP234" s="518" t="str">
        <f>IF(AND(_A6="A-350",'2025'!$J$4="CA",'2025'!$J$2=CP233),'2025DATA'!$I$3,"")</f>
        <v/>
      </c>
      <c r="CQ234" s="518" t="str">
        <f>IF(AND(_A6="A-350",'2025'!$J$4="CA",'2025'!$J$2=CQ233),'2025DATA'!$J$3,"")</f>
        <v/>
      </c>
      <c r="CR234" s="518" t="str">
        <f>IF(AND(_A6="A-350",'2025'!$J$4="CA",'2025'!$J$2=CR233),'2025DATA'!$K$3,"")</f>
        <v/>
      </c>
      <c r="CS234" s="518" t="str">
        <f>IF(AND(_A6="A-350",'2025'!$J$4="CA",'2025'!$J$2=CS233),'2025DATA'!$L$3,"")</f>
        <v/>
      </c>
      <c r="CT234" s="518" t="str">
        <f>IF(AND(_A6="A-350",'2025'!$J$4="CA",'2025'!$J$2=CT233),'2025DATA'!$M$3,"")</f>
        <v/>
      </c>
      <c r="CU234" s="520" t="str">
        <f>IF(AND(_A6="A-350",'2025'!$J$4="CA",'2025'!$J$2=CU233),'2025DATA'!$N$3,"")</f>
        <v/>
      </c>
    </row>
    <row r="235" spans="16:99" x14ac:dyDescent="0.25">
      <c r="P235" s="940"/>
      <c r="Q235" s="13" t="s">
        <v>62</v>
      </c>
      <c r="R235" s="518" t="str">
        <f>IF(AND(_A1="A-350",'2025'!$J$4="FO",'2025'!$J$2=R233),'2025DATA'!$C$4,"")</f>
        <v/>
      </c>
      <c r="S235" s="518" t="str">
        <f>IF(AND(_A1="A-350",'2025'!$J$4="FO",'2025'!$J$2=S233),'2025DATA'!$D$4,"")</f>
        <v/>
      </c>
      <c r="T235" s="518" t="str">
        <f>IF(AND(_A1="A-350",'2025'!$J$4="FO",'2025'!$J$2=T233),'2025DATA'!$E$4,"")</f>
        <v/>
      </c>
      <c r="U235" s="518" t="str">
        <f>IF(AND(_A1="A-350",'2025'!$J$4="FO",'2025'!$J$2=U233),'2025DATA'!$F$4,"")</f>
        <v/>
      </c>
      <c r="V235" s="518" t="str">
        <f>IF(AND(_A1="A-350",'2025'!$J$4="FO",'2025'!$J$2=V233),'2025DATA'!$G$4,"")</f>
        <v/>
      </c>
      <c r="W235" s="518" t="str">
        <f>IF(AND(_A1="A-350",'2025'!$J$4="FO",'2025'!$J$2=W233),'2025DATA'!$H$4,"")</f>
        <v/>
      </c>
      <c r="X235" s="518" t="str">
        <f>IF(AND(_A1="A-350",'2025'!$J$4="FO",'2025'!$J$2=X233),'2025DATA'!$I$4,"")</f>
        <v/>
      </c>
      <c r="Y235" s="518" t="str">
        <f>IF(AND(_A1="A-350",'2025'!$J$4="FO",'2025'!$J$2=Y233),'2025DATA'!$J$4,"")</f>
        <v/>
      </c>
      <c r="Z235" s="518" t="str">
        <f>IF(AND(_A1="A-350",'2025'!$J$4="FO",'2025'!$J$2=Z233),'2025DATA'!$K$4,"")</f>
        <v/>
      </c>
      <c r="AA235" s="518" t="str">
        <f>IF(AND(_A1="A-350",'2025'!$J$4="FO",'2025'!$J$2=AA233),'2025DATA'!$L$4,"")</f>
        <v/>
      </c>
      <c r="AB235" s="518" t="str">
        <f>IF(AND(_A1="A-350",'2025'!$J$4="FO",'2025'!$J$2=AB233),'2025DATA'!$M$4,"")</f>
        <v/>
      </c>
      <c r="AC235" s="520" t="str">
        <f>IF(AND(_A1="A-350",'2025'!$J$4="FO",'2025'!$J$2=AC233),'2025DATA'!$N$4,"")</f>
        <v/>
      </c>
      <c r="AD235" s="940"/>
      <c r="AE235" s="13" t="s">
        <v>62</v>
      </c>
      <c r="AF235" s="518" t="str">
        <f>IF(AND(_A2="A-350",'2025'!$J$4="FO",'2025'!$J$2=AF233),'2025DATA'!$C$4,"")</f>
        <v/>
      </c>
      <c r="AG235" s="518" t="str">
        <f>IF(AND(_A2="A-350",'2025'!$J$4="FO",'2025'!$J$2=AG233),'2025DATA'!$D$4,"")</f>
        <v/>
      </c>
      <c r="AH235" s="518" t="str">
        <f>IF(AND(_A2="A-350",'2025'!$J$4="FO",'2025'!$J$2=AH233),'2025DATA'!$E$4,"")</f>
        <v/>
      </c>
      <c r="AI235" s="518" t="str">
        <f>IF(AND(_A2="A-350",'2025'!$J$4="FO",'2025'!$J$2=AI233),'2025DATA'!$F$4,"")</f>
        <v/>
      </c>
      <c r="AJ235" s="518" t="str">
        <f>IF(AND(_A2="A-350",'2025'!$J$4="FO",'2025'!$J$2=AJ233),'2025DATA'!$G$4,"")</f>
        <v/>
      </c>
      <c r="AK235" s="518" t="str">
        <f>IF(AND(_A2="A-350",'2025'!$J$4="FO",'2025'!$J$2=AK233),'2025DATA'!$H$4,"")</f>
        <v/>
      </c>
      <c r="AL235" s="518" t="str">
        <f>IF(AND(_A2="A-350",'2025'!$J$4="FO",'2025'!$J$2=AL233),'2025DATA'!$I$4,"")</f>
        <v/>
      </c>
      <c r="AM235" s="518" t="str">
        <f>IF(AND(_A2="A-350",'2025'!$J$4="FO",'2025'!$J$2=AM233),'2025DATA'!$J$4,"")</f>
        <v/>
      </c>
      <c r="AN235" s="518" t="str">
        <f>IF(AND(_A2="A-350",'2025'!$J$4="FO",'2025'!$J$2=AN233),'2025DATA'!$K$4,"")</f>
        <v/>
      </c>
      <c r="AO235" s="518" t="str">
        <f>IF(AND(_A2="A-350",'2025'!$J$4="FO",'2025'!$J$2=AO233),'2025DATA'!$L$4,"")</f>
        <v/>
      </c>
      <c r="AP235" s="518" t="str">
        <f>IF(AND(_A2="A-350",'2025'!$J$4="FO",'2025'!$J$2=AP233),'2025DATA'!$M$4,"")</f>
        <v/>
      </c>
      <c r="AQ235" s="520" t="str">
        <f>IF(AND(_A2="A-350",'2025'!$J$4="FO",'2025'!$J$2=AQ233),'2025DATA'!$N$4,"")</f>
        <v/>
      </c>
      <c r="AR235" s="940"/>
      <c r="AS235" s="13" t="s">
        <v>62</v>
      </c>
      <c r="AT235" s="518" t="str">
        <f>IF(AND(_A3="A-350",'2025'!$J$4="FO",'2025'!$J$2=AT233),'2025DATA'!$C$4,"")</f>
        <v/>
      </c>
      <c r="AU235" s="518" t="str">
        <f>IF(AND(_A3="A-350",'2025'!$J$4="FO",'2025'!$J$2=AU233),'2025DATA'!$D$4,"")</f>
        <v/>
      </c>
      <c r="AV235" s="518" t="str">
        <f>IF(AND(_A3="A-350",'2025'!$J$4="FO",'2025'!$J$2=AV233),'2025DATA'!$E$4,"")</f>
        <v/>
      </c>
      <c r="AW235" s="518" t="str">
        <f>IF(AND(_A3="A-350",'2025'!$J$4="FO",'2025'!$J$2=AW233),'2025DATA'!$F$4,"")</f>
        <v/>
      </c>
      <c r="AX235" s="518" t="str">
        <f>IF(AND(_A3="A-350",'2025'!$J$4="FO",'2025'!$J$2=AX233),'2025DATA'!$G$4,"")</f>
        <v/>
      </c>
      <c r="AY235" s="518" t="str">
        <f>IF(AND(_A3="A-350",'2025'!$J$4="FO",'2025'!$J$2=AY233),'2025DATA'!$H$4,"")</f>
        <v/>
      </c>
      <c r="AZ235" s="518" t="str">
        <f>IF(AND(_A3="A-350",'2025'!$J$4="FO",'2025'!$J$2=AZ233),'2025DATA'!$I$4,"")</f>
        <v/>
      </c>
      <c r="BA235" s="518" t="str">
        <f>IF(AND(_A3="A-350",'2025'!$J$4="FO",'2025'!$J$2=BA233),'2025DATA'!$J$4,"")</f>
        <v/>
      </c>
      <c r="BB235" s="518" t="str">
        <f>IF(AND(_A3="A-350",'2025'!$J$4="FO",'2025'!$J$2=BB233),'2025DATA'!$K$4,"")</f>
        <v/>
      </c>
      <c r="BC235" s="518" t="str">
        <f>IF(AND(_A3="A-350",'2025'!$J$4="FO",'2025'!$J$2=BC233),'2025DATA'!$L$4,"")</f>
        <v/>
      </c>
      <c r="BD235" s="518" t="str">
        <f>IF(AND(_A3="A-350",'2025'!$J$4="FO",'2025'!$J$2=BD233),'2025DATA'!$M$4,"")</f>
        <v/>
      </c>
      <c r="BE235" s="520" t="str">
        <f>IF(AND(_A3="A-350",'2025'!$J$4="FO",'2025'!$J$2=BE233),'2025DATA'!$N$4,"")</f>
        <v/>
      </c>
      <c r="BF235" s="940"/>
      <c r="BG235" s="13" t="s">
        <v>62</v>
      </c>
      <c r="BH235" s="518" t="str">
        <f>IF(AND(_A4="A-350",'2025'!$J$4="FO",'2025'!$J$2=BH233),'2025DATA'!$C$4,"")</f>
        <v/>
      </c>
      <c r="BI235" s="518" t="str">
        <f>IF(AND(_A4="A-350",'2025'!$J$4="FO",'2025'!$J$2=BI233),'2025DATA'!$D$4,"")</f>
        <v/>
      </c>
      <c r="BJ235" s="518" t="str">
        <f>IF(AND(_A4="A-350",'2025'!$J$4="FO",'2025'!$J$2=BJ233),'2025DATA'!$E$4,"")</f>
        <v/>
      </c>
      <c r="BK235" s="518" t="str">
        <f>IF(AND(_A4="A-350",'2025'!$J$4="FO",'2025'!$J$2=BK233),'2025DATA'!$F$4,"")</f>
        <v/>
      </c>
      <c r="BL235" s="518" t="str">
        <f>IF(AND(_A4="A-350",'2025'!$J$4="FO",'2025'!$J$2=BL233),'2025DATA'!$G$4,"")</f>
        <v/>
      </c>
      <c r="BM235" s="518" t="str">
        <f>IF(AND(_A4="A-350",'2025'!$J$4="FO",'2025'!$J$2=BM233),'2025DATA'!$H$4,"")</f>
        <v/>
      </c>
      <c r="BN235" s="518" t="str">
        <f>IF(AND(_A4="A-350",'2025'!$J$4="FO",'2025'!$J$2=BN233),'2025DATA'!$I$4,"")</f>
        <v/>
      </c>
      <c r="BO235" s="518" t="str">
        <f>IF(AND(_A4="A-350",'2025'!$J$4="FO",'2025'!$J$2=BO233),'2025DATA'!$J$4,"")</f>
        <v/>
      </c>
      <c r="BP235" s="518" t="str">
        <f>IF(AND(_A4="A-350",'2025'!$J$4="FO",'2025'!$J$2=BP233),'2025DATA'!$K$4,"")</f>
        <v/>
      </c>
      <c r="BQ235" s="518" t="str">
        <f>IF(AND(_A4="A-350",'2025'!$J$4="FO",'2025'!$J$2=BQ233),'2025DATA'!$L$4,"")</f>
        <v/>
      </c>
      <c r="BR235" s="518" t="str">
        <f>IF(AND(_A4="A-350",'2025'!$J$4="FO",'2025'!$J$2=BR233),'2025DATA'!$M$4,"")</f>
        <v/>
      </c>
      <c r="BS235" s="520" t="str">
        <f>IF(AND(_A4="A-350",'2025'!$J$4="FO",'2025'!$J$2=BS233),'2025DATA'!$N$4,"")</f>
        <v/>
      </c>
      <c r="BT235" s="940"/>
      <c r="BU235" s="13" t="s">
        <v>62</v>
      </c>
      <c r="BV235" s="518" t="str">
        <f>IF(AND(_A5="A-350",'2025'!$J$4="FO",'2025'!$J$2=BV233),'2025DATA'!$C$4,"")</f>
        <v/>
      </c>
      <c r="BW235" s="518" t="str">
        <f>IF(AND(_A5="A-350",'2025'!$J$4="FO",'2025'!$J$2=BW233),'2025DATA'!$D$4,"")</f>
        <v/>
      </c>
      <c r="BX235" s="518" t="str">
        <f>IF(AND(_A5="A-350",'2025'!$J$4="FO",'2025'!$J$2=BX233),'2025DATA'!$E$4,"")</f>
        <v/>
      </c>
      <c r="BY235" s="518" t="str">
        <f>IF(AND(_A5="A-350",'2025'!$J$4="FO",'2025'!$J$2=BY233),'2025DATA'!$F$4,"")</f>
        <v/>
      </c>
      <c r="BZ235" s="518" t="str">
        <f>IF(AND(_A5="A-350",'2025'!$J$4="FO",'2025'!$J$2=BZ233),'2025DATA'!$G$4,"")</f>
        <v/>
      </c>
      <c r="CA235" s="518" t="str">
        <f>IF(AND(_A5="A-350",'2025'!$J$4="FO",'2025'!$J$2=CA233),'2025DATA'!$H$4,"")</f>
        <v/>
      </c>
      <c r="CB235" s="518" t="str">
        <f>IF(AND(_A5="A-350",'2025'!$J$4="FO",'2025'!$J$2=CB233),'2025DATA'!$I$4,"")</f>
        <v/>
      </c>
      <c r="CC235" s="518" t="str">
        <f>IF(AND(_A5="A-350",'2025'!$J$4="FO",'2025'!$J$2=CC233),'2025DATA'!$J$4,"")</f>
        <v/>
      </c>
      <c r="CD235" s="518" t="str">
        <f>IF(AND(_A5="A-350",'2025'!$J$4="FO",'2025'!$J$2=CD233),'2025DATA'!$K$4,"")</f>
        <v/>
      </c>
      <c r="CE235" s="518" t="str">
        <f>IF(AND(_A5="A-350",'2025'!$J$4="FO",'2025'!$J$2=CE233),'2025DATA'!$L$4,"")</f>
        <v/>
      </c>
      <c r="CF235" s="518" t="str">
        <f>IF(AND(_A5="A-350",'2025'!$J$4="FO",'2025'!$J$2=CF233),'2025DATA'!$M$4,"")</f>
        <v/>
      </c>
      <c r="CG235" s="520" t="str">
        <f>IF(AND(_A5="A-350",'2025'!$J$4="FO",'2025'!$J$2=CG233),'2025DATA'!$N$4,"")</f>
        <v/>
      </c>
      <c r="CH235" s="940"/>
      <c r="CI235" s="13" t="s">
        <v>62</v>
      </c>
      <c r="CJ235" s="518" t="str">
        <f>IF(AND(_A6="A-350",'2025'!$J$4="FO",'2025'!$J$2=CJ233),'2025DATA'!$C$4,"")</f>
        <v/>
      </c>
      <c r="CK235" s="518" t="str">
        <f>IF(AND(_A6="A-350",'2025'!$J$4="FO",'2025'!$J$2=CK233),'2025DATA'!$D$4,"")</f>
        <v/>
      </c>
      <c r="CL235" s="518" t="str">
        <f>IF(AND(_A6="A-350",'2025'!$J$4="FO",'2025'!$J$2=CL233),'2025DATA'!$E$4,"")</f>
        <v/>
      </c>
      <c r="CM235" s="518" t="str">
        <f>IF(AND(_A6="A-350",'2025'!$J$4="FO",'2025'!$J$2=CM233),'2025DATA'!$F$4,"")</f>
        <v/>
      </c>
      <c r="CN235" s="518" t="str">
        <f>IF(AND(_A6="A-350",'2025'!$J$4="FO",'2025'!$J$2=CN233),'2025DATA'!$G$4,"")</f>
        <v/>
      </c>
      <c r="CO235" s="518" t="str">
        <f>IF(AND(_A6="A-350",'2025'!$J$4="FO",'2025'!$J$2=CO233),'2025DATA'!$H$4,"")</f>
        <v/>
      </c>
      <c r="CP235" s="518" t="str">
        <f>IF(AND(_A6="A-350",'2025'!$J$4="FO",'2025'!$J$2=CP233),'2025DATA'!$I$4,"")</f>
        <v/>
      </c>
      <c r="CQ235" s="518" t="str">
        <f>IF(AND(_A6="A-350",'2025'!$J$4="FO",'2025'!$J$2=CQ233),'2025DATA'!$J$4,"")</f>
        <v/>
      </c>
      <c r="CR235" s="518" t="str">
        <f>IF(AND(_A6="A-350",'2025'!$J$4="FO",'2025'!$J$2=CR233),'2025DATA'!$K$4,"")</f>
        <v/>
      </c>
      <c r="CS235" s="518" t="str">
        <f>IF(AND(_A6="A-350",'2025'!$J$4="FO",'2025'!$J$2=CS233),'2025DATA'!$L$4,"")</f>
        <v/>
      </c>
      <c r="CT235" s="518" t="str">
        <f>IF(AND(_A6="A-350",'2025'!$J$4="FO",'2025'!$J$2=CT233),'2025DATA'!$M$4,"")</f>
        <v/>
      </c>
      <c r="CU235" s="520" t="str">
        <f>IF(AND(_A6="A-350",'2025'!$J$4="FO",'2025'!$J$2=CU233),'2025DATA'!$N$4,"")</f>
        <v/>
      </c>
    </row>
    <row r="236" spans="16:99" x14ac:dyDescent="0.25">
      <c r="P236" s="940" t="s">
        <v>65</v>
      </c>
      <c r="Q236" s="13" t="s">
        <v>61</v>
      </c>
      <c r="R236" s="518" t="str">
        <f>IF(AND(_A1="A-330-900",'2025'!$J$4="CA",'2025'!$J$2=R233),'2025DATA'!$C$5,"")</f>
        <v/>
      </c>
      <c r="S236" s="518" t="str">
        <f>IF(AND(_A1="A-330-900",'2025'!$J$4="CA",'2025'!$J$2=S233),'2025DATA'!$D$5,"")</f>
        <v/>
      </c>
      <c r="T236" s="518" t="str">
        <f>IF(AND(_A1="A-330-900",'2025'!$J$4="CA",'2025'!$J$2=T233),'2025DATA'!$E$5,"")</f>
        <v/>
      </c>
      <c r="U236" s="518" t="str">
        <f>IF(AND(_A1="A-330-900",'2025'!$J$4="CA",'2025'!$J$2=U233),'2025DATA'!$F$5,"")</f>
        <v/>
      </c>
      <c r="V236" s="518" t="str">
        <f>IF(AND(_A1="A-330-900",'2025'!$J$4="CA",'2025'!$J$2=V233),'2025DATA'!$G$5,"")</f>
        <v/>
      </c>
      <c r="W236" s="518" t="str">
        <f>IF(AND(_A1="A-330-900",'2025'!$J$4="CA",'2025'!$J$2=W233),'2025DATA'!$H$5,"")</f>
        <v/>
      </c>
      <c r="X236" s="518" t="str">
        <f>IF(AND(_A1="A-330-900",'2025'!$J$4="CA",'2025'!$J$2=X233),'2025DATA'!$I$5,"")</f>
        <v/>
      </c>
      <c r="Y236" s="518" t="str">
        <f>IF(AND(_A1="A-330-900",'2025'!$J$4="CA",'2025'!$J$2=Y233),'2025DATA'!$J$5,"")</f>
        <v/>
      </c>
      <c r="Z236" s="518" t="str">
        <f>IF(AND(_A1="A-330-900",'2025'!$J$4="CA",'2025'!$J$2=Z233),'2025DATA'!$K$5,"")</f>
        <v/>
      </c>
      <c r="AA236" s="518" t="str">
        <f>IF(AND(_A1="A-330-900",'2025'!$J$4="CA",'2025'!$J$2=AA233),'2025DATA'!$L$5,"")</f>
        <v/>
      </c>
      <c r="AB236" s="518" t="str">
        <f>IF(AND(_A1="A-330-900",'2025'!$J$4="CA",'2025'!$J$2=AB233),'2025DATA'!$M$5,"")</f>
        <v/>
      </c>
      <c r="AC236" s="520" t="str">
        <f>IF(AND(_A1="A-330-900",'2025'!$J$4="CA",'2025'!$J$2=AC233),'2025DATA'!$N$5,"")</f>
        <v/>
      </c>
      <c r="AD236" s="940" t="s">
        <v>65</v>
      </c>
      <c r="AE236" s="13" t="s">
        <v>61</v>
      </c>
      <c r="AF236" s="518" t="str">
        <f>IF(AND(_A2="A-330-900",'2025'!$J$4="CA",'2025'!$J$2=AF233),'2025DATA'!$C$5,"")</f>
        <v/>
      </c>
      <c r="AG236" s="518" t="str">
        <f>IF(AND(_A2="A-330-900",'2025'!$J$4="CA",'2025'!$J$2=AG233),'2025DATA'!$D$5,"")</f>
        <v/>
      </c>
      <c r="AH236" s="518" t="str">
        <f>IF(AND(_A2="A-330-900",'2025'!$J$4="CA",'2025'!$J$2=AH233),'2025DATA'!$E$5,"")</f>
        <v/>
      </c>
      <c r="AI236" s="518" t="str">
        <f>IF(AND(_A2="A-330-900",'2025'!$J$4="CA",'2025'!$J$2=AI233),'2025DATA'!$F$5,"")</f>
        <v/>
      </c>
      <c r="AJ236" s="518" t="str">
        <f>IF(AND(_A2="A-330-900",'2025'!$J$4="CA",'2025'!$J$2=AJ233),'2025DATA'!$G$5,"")</f>
        <v/>
      </c>
      <c r="AK236" s="518" t="str">
        <f>IF(AND(_A2="A-330-900",'2025'!$J$4="CA",'2025'!$J$2=AK233),'2025DATA'!$H$5,"")</f>
        <v/>
      </c>
      <c r="AL236" s="518" t="str">
        <f>IF(AND(_A2="A-330-900",'2025'!$J$4="CA",'2025'!$J$2=AL233),'2025DATA'!$I$5,"")</f>
        <v/>
      </c>
      <c r="AM236" s="518" t="str">
        <f>IF(AND(_A2="A-330-900",'2025'!$J$4="CA",'2025'!$J$2=AM233),'2025DATA'!$J$5,"")</f>
        <v/>
      </c>
      <c r="AN236" s="518" t="str">
        <f>IF(AND(_A2="A-330-900",'2025'!$J$4="CA",'2025'!$J$2=AN233),'2025DATA'!$K$5,"")</f>
        <v/>
      </c>
      <c r="AO236" s="518" t="str">
        <f>IF(AND(_A2="A-330-900",'2025'!$J$4="CA",'2025'!$J$2=AO233),'2025DATA'!$L$5,"")</f>
        <v/>
      </c>
      <c r="AP236" s="518" t="str">
        <f>IF(AND(_A2="A-330-900",'2025'!$J$4="CA",'2025'!$J$2=AP233),'2025DATA'!$M$5,"")</f>
        <v/>
      </c>
      <c r="AQ236" s="520" t="str">
        <f>IF(AND(_A2="A-330-900",'2025'!$J$4="CA",'2025'!$J$2=AQ233),'2025DATA'!$N$5,"")</f>
        <v/>
      </c>
      <c r="AR236" s="940" t="s">
        <v>65</v>
      </c>
      <c r="AS236" s="13" t="s">
        <v>61</v>
      </c>
      <c r="AT236" s="518" t="str">
        <f>IF(AND(_A3="A-330-900",'2025'!$J$4="CA",'2025'!$J$2=AT233),'2025DATA'!$C$5,"")</f>
        <v/>
      </c>
      <c r="AU236" s="518" t="str">
        <f>IF(AND(_A3="A-330-900",'2025'!$J$4="CA",'2025'!$J$2=AU233),'2025DATA'!$D$5,"")</f>
        <v/>
      </c>
      <c r="AV236" s="518" t="str">
        <f>IF(AND(_A3="A-330-900",'2025'!$J$4="CA",'2025'!$J$2=AV233),'2025DATA'!$E$5,"")</f>
        <v/>
      </c>
      <c r="AW236" s="518" t="str">
        <f>IF(AND(_A3="A-330-900",'2025'!$J$4="CA",'2025'!$J$2=AW233),'2025DATA'!$F$5,"")</f>
        <v/>
      </c>
      <c r="AX236" s="518" t="str">
        <f>IF(AND(_A3="A-330-900",'2025'!$J$4="CA",'2025'!$J$2=AX233),'2025DATA'!$G$5,"")</f>
        <v/>
      </c>
      <c r="AY236" s="518" t="str">
        <f>IF(AND(_A3="A-330-900",'2025'!$J$4="CA",'2025'!$J$2=AY233),'2025DATA'!$H$5,"")</f>
        <v/>
      </c>
      <c r="AZ236" s="518" t="str">
        <f>IF(AND(_A3="A-330-900",'2025'!$J$4="CA",'2025'!$J$2=AZ233),'2025DATA'!$I$5,"")</f>
        <v/>
      </c>
      <c r="BA236" s="518" t="str">
        <f>IF(AND(_A3="A-330-900",'2025'!$J$4="CA",'2025'!$J$2=BA233),'2025DATA'!$J$5,"")</f>
        <v/>
      </c>
      <c r="BB236" s="518" t="str">
        <f>IF(AND(_A3="A-330-900",'2025'!$J$4="CA",'2025'!$J$2=BB233),'2025DATA'!$K$5,"")</f>
        <v/>
      </c>
      <c r="BC236" s="518" t="str">
        <f>IF(AND(_A3="A-330-900",'2025'!$J$4="CA",'2025'!$J$2=BC233),'2025DATA'!$L$5,"")</f>
        <v/>
      </c>
      <c r="BD236" s="518" t="str">
        <f>IF(AND(_A3="A-330-900",'2025'!$J$4="CA",'2025'!$J$2=BD233),'2025DATA'!$M$5,"")</f>
        <v/>
      </c>
      <c r="BE236" s="520" t="str">
        <f>IF(AND(_A3="A-330-900",'2025'!$J$4="CA",'2025'!$J$2=BE233),'2025DATA'!$N$5,"")</f>
        <v/>
      </c>
      <c r="BF236" s="940" t="s">
        <v>65</v>
      </c>
      <c r="BG236" s="13" t="s">
        <v>61</v>
      </c>
      <c r="BH236" s="518" t="str">
        <f>IF(AND(_A4="A-330-900",'2025'!$J$4="CA",'2025'!$J$2=BH233),'2025DATA'!$C$5,"")</f>
        <v/>
      </c>
      <c r="BI236" s="518" t="str">
        <f>IF(AND(_A4="A-330-900",'2025'!$J$4="CA",'2025'!$J$2=BI233),'2025DATA'!$D$5,"")</f>
        <v/>
      </c>
      <c r="BJ236" s="518" t="str">
        <f>IF(AND(_A4="A-330-900",'2025'!$J$4="CA",'2025'!$J$2=BJ233),'2025DATA'!$E$5,"")</f>
        <v/>
      </c>
      <c r="BK236" s="518" t="str">
        <f>IF(AND(_A4="A-330-900",'2025'!$J$4="CA",'2025'!$J$2=BK233),'2025DATA'!$F$5,"")</f>
        <v/>
      </c>
      <c r="BL236" s="518" t="str">
        <f>IF(AND(_A4="A-330-900",'2025'!$J$4="CA",'2025'!$J$2=BL233),'2025DATA'!$G$5,"")</f>
        <v/>
      </c>
      <c r="BM236" s="518" t="str">
        <f>IF(AND(_A4="A-330-900",'2025'!$J$4="CA",'2025'!$J$2=BM233),'2025DATA'!$H$5,"")</f>
        <v/>
      </c>
      <c r="BN236" s="518" t="str">
        <f>IF(AND(_A4="A-330-900",'2025'!$J$4="CA",'2025'!$J$2=BN233),'2025DATA'!$I$5,"")</f>
        <v/>
      </c>
      <c r="BO236" s="518" t="str">
        <f>IF(AND(_A4="A-330-900",'2025'!$J$4="CA",'2025'!$J$2=BO233),'2025DATA'!$J$5,"")</f>
        <v/>
      </c>
      <c r="BP236" s="518" t="str">
        <f>IF(AND(_A4="A-330-900",'2025'!$J$4="CA",'2025'!$J$2=BP233),'2025DATA'!$K$5,"")</f>
        <v/>
      </c>
      <c r="BQ236" s="518" t="str">
        <f>IF(AND(_A4="A-330-900",'2025'!$J$4="CA",'2025'!$J$2=BQ233),'2025DATA'!$L$5,"")</f>
        <v/>
      </c>
      <c r="BR236" s="518" t="str">
        <f>IF(AND(_A4="A-330-900",'2025'!$J$4="CA",'2025'!$J$2=BR233),'2025DATA'!$M$5,"")</f>
        <v/>
      </c>
      <c r="BS236" s="520" t="str">
        <f>IF(AND(_A4="A-330-900",'2025'!$J$4="CA",'2025'!$J$2=BS233),'2025DATA'!$N$5,"")</f>
        <v/>
      </c>
      <c r="BT236" s="940" t="s">
        <v>65</v>
      </c>
      <c r="BU236" s="13" t="s">
        <v>61</v>
      </c>
      <c r="BV236" s="518" t="str">
        <f>IF(AND(_A5="A-330-900",'2025'!$J$4="CA",'2025'!$J$2=BV233),'2025DATA'!$C$5,"")</f>
        <v/>
      </c>
      <c r="BW236" s="518" t="str">
        <f>IF(AND(_A5="A-330-900",'2025'!$J$4="CA",'2025'!$J$2=BW233),'2025DATA'!$D$5,"")</f>
        <v/>
      </c>
      <c r="BX236" s="518" t="str">
        <f>IF(AND(_A5="A-330-900",'2025'!$J$4="CA",'2025'!$J$2=BX233),'2025DATA'!$E$5,"")</f>
        <v/>
      </c>
      <c r="BY236" s="518" t="str">
        <f>IF(AND(_A5="A-330-900",'2025'!$J$4="CA",'2025'!$J$2=BY233),'2025DATA'!$F$5,"")</f>
        <v/>
      </c>
      <c r="BZ236" s="518" t="str">
        <f>IF(AND(_A5="A-330-900",'2025'!$J$4="CA",'2025'!$J$2=BZ233),'2025DATA'!$G$5,"")</f>
        <v/>
      </c>
      <c r="CA236" s="518" t="str">
        <f>IF(AND(_A5="A-330-900",'2025'!$J$4="CA",'2025'!$J$2=CA233),'2025DATA'!$H$5,"")</f>
        <v/>
      </c>
      <c r="CB236" s="518" t="str">
        <f>IF(AND(_A5="A-330-900",'2025'!$J$4="CA",'2025'!$J$2=CB233),'2025DATA'!$I$5,"")</f>
        <v/>
      </c>
      <c r="CC236" s="518" t="str">
        <f>IF(AND(_A5="A-330-900",'2025'!$J$4="CA",'2025'!$J$2=CC233),'2025DATA'!$J$5,"")</f>
        <v/>
      </c>
      <c r="CD236" s="518" t="str">
        <f>IF(AND(_A5="A-330-900",'2025'!$J$4="CA",'2025'!$J$2=CD233),'2025DATA'!$K$5,"")</f>
        <v/>
      </c>
      <c r="CE236" s="518" t="str">
        <f>IF(AND(_A5="A-330-900",'2025'!$J$4="CA",'2025'!$J$2=CE233),'2025DATA'!$L$5,"")</f>
        <v/>
      </c>
      <c r="CF236" s="518" t="str">
        <f>IF(AND(_A5="A-330-900",'2025'!$J$4="CA",'2025'!$J$2=CF233),'2025DATA'!$M$5,"")</f>
        <v/>
      </c>
      <c r="CG236" s="520" t="str">
        <f>IF(AND(_A5="A-330-900",'2025'!$J$4="CA",'2025'!$J$2=CG233),'2025DATA'!$N$5,"")</f>
        <v/>
      </c>
      <c r="CH236" s="940" t="s">
        <v>65</v>
      </c>
      <c r="CI236" s="13" t="s">
        <v>61</v>
      </c>
      <c r="CJ236" s="518" t="str">
        <f>IF(AND(_A6="A-330-900",'2025'!$J$4="CA",'2025'!$J$2=CJ233),'2025DATA'!$C$5,"")</f>
        <v/>
      </c>
      <c r="CK236" s="518" t="str">
        <f>IF(AND(_A6="A-330-900",'2025'!$J$4="CA",'2025'!$J$2=CK233),'2025DATA'!$D$5,"")</f>
        <v/>
      </c>
      <c r="CL236" s="518" t="str">
        <f>IF(AND(_A6="A-330-900",'2025'!$J$4="CA",'2025'!$J$2=CL233),'2025DATA'!$E$5,"")</f>
        <v/>
      </c>
      <c r="CM236" s="518" t="str">
        <f>IF(AND(_A6="A-330-900",'2025'!$J$4="CA",'2025'!$J$2=CM233),'2025DATA'!$F$5,"")</f>
        <v/>
      </c>
      <c r="CN236" s="518" t="str">
        <f>IF(AND(_A6="A-330-900",'2025'!$J$4="CA",'2025'!$J$2=CN233),'2025DATA'!$G$5,"")</f>
        <v/>
      </c>
      <c r="CO236" s="518" t="str">
        <f>IF(AND(_A6="A-330-900",'2025'!$J$4="CA",'2025'!$J$2=CO233),'2025DATA'!$H$5,"")</f>
        <v/>
      </c>
      <c r="CP236" s="518" t="str">
        <f>IF(AND(_A6="A-330-900",'2025'!$J$4="CA",'2025'!$J$2=CP233),'2025DATA'!$I$5,"")</f>
        <v/>
      </c>
      <c r="CQ236" s="518" t="str">
        <f>IF(AND(_A6="A-330-900",'2025'!$J$4="CA",'2025'!$J$2=CQ233),'2025DATA'!$J$5,"")</f>
        <v/>
      </c>
      <c r="CR236" s="518" t="str">
        <f>IF(AND(_A6="A-330-900",'2025'!$J$4="CA",'2025'!$J$2=CR233),'2025DATA'!$K$5,"")</f>
        <v/>
      </c>
      <c r="CS236" s="518" t="str">
        <f>IF(AND(_A6="A-330-900",'2025'!$J$4="CA",'2025'!$J$2=CS233),'2025DATA'!$L$5,"")</f>
        <v/>
      </c>
      <c r="CT236" s="518" t="str">
        <f>IF(AND(_A6="A-330-900",'2025'!$J$4="CA",'2025'!$J$2=CT233),'2025DATA'!$M$5,"")</f>
        <v/>
      </c>
      <c r="CU236" s="520" t="str">
        <f>IF(AND(_A6="A-330-900",'2025'!$J$4="CA",'2025'!$J$2=CU233),'2025DATA'!$N$5,"")</f>
        <v/>
      </c>
    </row>
    <row r="237" spans="16:99" x14ac:dyDescent="0.25">
      <c r="P237" s="940"/>
      <c r="Q237" s="13" t="s">
        <v>62</v>
      </c>
      <c r="R237" s="518" t="str">
        <f>IF(AND(_A1="A-330-900",'2025'!$J$4="FO",'2025'!$J$2=R233),'2025DATA'!$C$6,"")</f>
        <v/>
      </c>
      <c r="S237" s="518" t="str">
        <f>IF(AND(_A1="A-330-900",'2025'!$J$4="FO",'2025'!$J$2=S233),'2025DATA'!$D$6,"")</f>
        <v/>
      </c>
      <c r="T237" s="518" t="str">
        <f>IF(AND(_A1="A-330-900",'2025'!$J$4="FO",'2025'!$J$2=T233),'2025DATA'!$E$6,"")</f>
        <v/>
      </c>
      <c r="U237" s="518" t="str">
        <f>IF(AND(_A1="A-330-900",'2025'!$J$4="FO",'2025'!$J$2=U233),'2025DATA'!$F$6,"")</f>
        <v/>
      </c>
      <c r="V237" s="518" t="str">
        <f>IF(AND(_A1="A-330-900",'2025'!$J$4="FO",'2025'!$J$2=V233),'2025DATA'!$G$6,"")</f>
        <v/>
      </c>
      <c r="W237" s="518" t="str">
        <f>IF(AND(_A1="A-330-900",'2025'!$J$4="FO",'2025'!$J$2=W233),'2025DATA'!$H$6,"")</f>
        <v/>
      </c>
      <c r="X237" s="518" t="str">
        <f>IF(AND(_A1="A-330-900",'2025'!$J$4="FO",'2025'!$J$2=X233),'2025DATA'!$I$6,"")</f>
        <v/>
      </c>
      <c r="Y237" s="518" t="str">
        <f>IF(AND(_A1="A-330-900",'2025'!$J$4="FO",'2025'!$J$2=Y233),'2025DATA'!$J$6,"")</f>
        <v/>
      </c>
      <c r="Z237" s="518" t="str">
        <f>IF(AND(_A1="A-330-900",'2025'!$J$4="FO",'2025'!$J$2=Z233),'2025DATA'!$K$6,"")</f>
        <v/>
      </c>
      <c r="AA237" s="518" t="str">
        <f>IF(AND(_A1="A-330-900",'2025'!$J$4="FO",'2025'!$J$2=AA233),'2025DATA'!$L$6,"")</f>
        <v/>
      </c>
      <c r="AB237" s="518" t="str">
        <f>IF(AND(_A1="A-330-900",'2025'!$J$4="FO",'2025'!$J$2=AB233),'2025DATA'!$M$6,"")</f>
        <v/>
      </c>
      <c r="AC237" s="520" t="str">
        <f>IF(AND(_A1="A-330-900",'2025'!$J$4="FO",'2025'!$J$2=AC233),'2025DATA'!$N$6,"")</f>
        <v/>
      </c>
      <c r="AD237" s="940"/>
      <c r="AE237" s="13" t="s">
        <v>62</v>
      </c>
      <c r="AF237" s="518" t="str">
        <f>IF(AND(_A2="A-330-900",'2025'!$J$4="FO",'2025'!$J$2=AF233),'2025DATA'!$C$6,"")</f>
        <v/>
      </c>
      <c r="AG237" s="518" t="str">
        <f>IF(AND(_A2="A-330-900",'2025'!$J$4="FO",'2025'!$J$2=AG233),'2025DATA'!$D$6,"")</f>
        <v/>
      </c>
      <c r="AH237" s="518" t="str">
        <f>IF(AND(_A2="A-330-900",'2025'!$J$4="FO",'2025'!$J$2=AH233),'2025DATA'!$E$6,"")</f>
        <v/>
      </c>
      <c r="AI237" s="518" t="str">
        <f>IF(AND(_A2="A-330-900",'2025'!$J$4="FO",'2025'!$J$2=AI233),'2025DATA'!$F$6,"")</f>
        <v/>
      </c>
      <c r="AJ237" s="518" t="str">
        <f>IF(AND(_A2="A-330-900",'2025'!$J$4="FO",'2025'!$J$2=AJ233),'2025DATA'!$G$6,"")</f>
        <v/>
      </c>
      <c r="AK237" s="518" t="str">
        <f>IF(AND(_A2="A-330-900",'2025'!$J$4="FO",'2025'!$J$2=AK233),'2025DATA'!$H$6,"")</f>
        <v/>
      </c>
      <c r="AL237" s="518" t="str">
        <f>IF(AND(_A2="A-330-900",'2025'!$J$4="FO",'2025'!$J$2=AL233),'2025DATA'!$I$6,"")</f>
        <v/>
      </c>
      <c r="AM237" s="518" t="str">
        <f>IF(AND(_A2="A-330-900",'2025'!$J$4="FO",'2025'!$J$2=AM233),'2025DATA'!$J$6,"")</f>
        <v/>
      </c>
      <c r="AN237" s="518" t="str">
        <f>IF(AND(_A2="A-330-900",'2025'!$J$4="FO",'2025'!$J$2=AN233),'2025DATA'!$K$6,"")</f>
        <v/>
      </c>
      <c r="AO237" s="518" t="str">
        <f>IF(AND(_A2="A-330-900",'2025'!$J$4="FO",'2025'!$J$2=AO233),'2025DATA'!$L$6,"")</f>
        <v/>
      </c>
      <c r="AP237" s="518" t="str">
        <f>IF(AND(_A2="A-330-900",'2025'!$J$4="FO",'2025'!$J$2=AP233),'2025DATA'!$M$6,"")</f>
        <v/>
      </c>
      <c r="AQ237" s="520" t="str">
        <f>IF(AND(_A2="A-330-900",'2025'!$J$4="FO",'2025'!$J$2=AQ233),'2025DATA'!$N$6,"")</f>
        <v/>
      </c>
      <c r="AR237" s="940"/>
      <c r="AS237" s="13" t="s">
        <v>62</v>
      </c>
      <c r="AT237" s="518" t="str">
        <f>IF(AND(_A3="A-330-900",'2025'!$J$4="FO",'2025'!$J$2=AT233),'2025DATA'!$C$6,"")</f>
        <v/>
      </c>
      <c r="AU237" s="518" t="str">
        <f>IF(AND(_A3="A-330-900",'2025'!$J$4="FO",'2025'!$J$2=AU233),'2025DATA'!$D$6,"")</f>
        <v/>
      </c>
      <c r="AV237" s="518" t="str">
        <f>IF(AND(_A3="A-330-900",'2025'!$J$4="FO",'2025'!$J$2=AV233),'2025DATA'!$E$6,"")</f>
        <v/>
      </c>
      <c r="AW237" s="518" t="str">
        <f>IF(AND(_A3="A-330-900",'2025'!$J$4="FO",'2025'!$J$2=AW233),'2025DATA'!$F$6,"")</f>
        <v/>
      </c>
      <c r="AX237" s="518" t="str">
        <f>IF(AND(_A3="A-330-900",'2025'!$J$4="FO",'2025'!$J$2=AX233),'2025DATA'!$G$6,"")</f>
        <v/>
      </c>
      <c r="AY237" s="518" t="str">
        <f>IF(AND(_A3="A-330-900",'2025'!$J$4="FO",'2025'!$J$2=AY233),'2025DATA'!$H$6,"")</f>
        <v/>
      </c>
      <c r="AZ237" s="518" t="str">
        <f>IF(AND(_A3="A-330-900",'2025'!$J$4="FO",'2025'!$J$2=AZ233),'2025DATA'!$I$6,"")</f>
        <v/>
      </c>
      <c r="BA237" s="518" t="str">
        <f>IF(AND(_A3="A-330-900",'2025'!$J$4="FO",'2025'!$J$2=BA233),'2025DATA'!$J$6,"")</f>
        <v/>
      </c>
      <c r="BB237" s="518" t="str">
        <f>IF(AND(_A3="A-330-900",'2025'!$J$4="FO",'2025'!$J$2=BB233),'2025DATA'!$K$6,"")</f>
        <v/>
      </c>
      <c r="BC237" s="518" t="str">
        <f>IF(AND(_A3="A-330-900",'2025'!$J$4="FO",'2025'!$J$2=BC233),'2025DATA'!$L$6,"")</f>
        <v/>
      </c>
      <c r="BD237" s="518" t="str">
        <f>IF(AND(_A3="A-330-900",'2025'!$J$4="FO",'2025'!$J$2=BD233),'2025DATA'!$M$6,"")</f>
        <v/>
      </c>
      <c r="BE237" s="520" t="str">
        <f>IF(AND(_A3="A-330-900",'2025'!$J$4="FO",'2025'!$J$2=BE233),'2025DATA'!$N$6,"")</f>
        <v/>
      </c>
      <c r="BF237" s="940"/>
      <c r="BG237" s="13" t="s">
        <v>62</v>
      </c>
      <c r="BH237" s="518" t="str">
        <f>IF(AND(_A4="A-330-900",'2025'!$J$4="FO",'2025'!$J$2=BH233),'2025DATA'!$C$6,"")</f>
        <v/>
      </c>
      <c r="BI237" s="518" t="str">
        <f>IF(AND(_A4="A-330-900",'2025'!$J$4="FO",'2025'!$J$2=BI233),'2025DATA'!$D$6,"")</f>
        <v/>
      </c>
      <c r="BJ237" s="518" t="str">
        <f>IF(AND(_A4="A-330-900",'2025'!$J$4="FO",'2025'!$J$2=BJ233),'2025DATA'!$E$6,"")</f>
        <v/>
      </c>
      <c r="BK237" s="518" t="str">
        <f>IF(AND(_A4="A-330-900",'2025'!$J$4="FO",'2025'!$J$2=BK233),'2025DATA'!$F$6,"")</f>
        <v/>
      </c>
      <c r="BL237" s="518" t="str">
        <f>IF(AND(_A4="A-330-900",'2025'!$J$4="FO",'2025'!$J$2=BL233),'2025DATA'!$G$6,"")</f>
        <v/>
      </c>
      <c r="BM237" s="518" t="str">
        <f>IF(AND(_A4="A-330-900",'2025'!$J$4="FO",'2025'!$J$2=BM233),'2025DATA'!$H$6,"")</f>
        <v/>
      </c>
      <c r="BN237" s="518" t="str">
        <f>IF(AND(_A4="A-330-900",'2025'!$J$4="FO",'2025'!$J$2=BN233),'2025DATA'!$I$6,"")</f>
        <v/>
      </c>
      <c r="BO237" s="518" t="str">
        <f>IF(AND(_A4="A-330-900",'2025'!$J$4="FO",'2025'!$J$2=BO233),'2025DATA'!$J$6,"")</f>
        <v/>
      </c>
      <c r="BP237" s="518" t="str">
        <f>IF(AND(_A4="A-330-900",'2025'!$J$4="FO",'2025'!$J$2=BP233),'2025DATA'!$K$6,"")</f>
        <v/>
      </c>
      <c r="BQ237" s="518" t="str">
        <f>IF(AND(_A4="A-330-900",'2025'!$J$4="FO",'2025'!$J$2=BQ233),'2025DATA'!$L$6,"")</f>
        <v/>
      </c>
      <c r="BR237" s="518" t="str">
        <f>IF(AND(_A4="A-330-900",'2025'!$J$4="FO",'2025'!$J$2=BR233),'2025DATA'!$M$6,"")</f>
        <v/>
      </c>
      <c r="BS237" s="520" t="str">
        <f>IF(AND(_A4="A-330-900",'2025'!$J$4="FO",'2025'!$J$2=BS233),'2025DATA'!$N$6,"")</f>
        <v/>
      </c>
      <c r="BT237" s="940"/>
      <c r="BU237" s="13" t="s">
        <v>62</v>
      </c>
      <c r="BV237" s="518" t="str">
        <f>IF(AND(_A5="A-330-900",'2025'!$J$4="FO",'2025'!$J$2=BV233),'2025DATA'!$C$6,"")</f>
        <v/>
      </c>
      <c r="BW237" s="518" t="str">
        <f>IF(AND(_A5="A-330-900",'2025'!$J$4="FO",'2025'!$J$2=BW233),'2025DATA'!$D$6,"")</f>
        <v/>
      </c>
      <c r="BX237" s="518" t="str">
        <f>IF(AND(_A5="A-330-900",'2025'!$J$4="FO",'2025'!$J$2=BX233),'2025DATA'!$E$6,"")</f>
        <v/>
      </c>
      <c r="BY237" s="518" t="str">
        <f>IF(AND(_A5="A-330-900",'2025'!$J$4="FO",'2025'!$J$2=BY233),'2025DATA'!$F$6,"")</f>
        <v/>
      </c>
      <c r="BZ237" s="518" t="str">
        <f>IF(AND(_A5="A-330-900",'2025'!$J$4="FO",'2025'!$J$2=BZ233),'2025DATA'!$G$6,"")</f>
        <v/>
      </c>
      <c r="CA237" s="518" t="str">
        <f>IF(AND(_A5="A-330-900",'2025'!$J$4="FO",'2025'!$J$2=CA233),'2025DATA'!$H$6,"")</f>
        <v/>
      </c>
      <c r="CB237" s="518" t="str">
        <f>IF(AND(_A5="A-330-900",'2025'!$J$4="FO",'2025'!$J$2=CB233),'2025DATA'!$I$6,"")</f>
        <v/>
      </c>
      <c r="CC237" s="518" t="str">
        <f>IF(AND(_A5="A-330-900",'2025'!$J$4="FO",'2025'!$J$2=CC233),'2025DATA'!$J$6,"")</f>
        <v/>
      </c>
      <c r="CD237" s="518" t="str">
        <f>IF(AND(_A5="A-330-900",'2025'!$J$4="FO",'2025'!$J$2=CD233),'2025DATA'!$K$6,"")</f>
        <v/>
      </c>
      <c r="CE237" s="518" t="str">
        <f>IF(AND(_A5="A-330-900",'2025'!$J$4="FO",'2025'!$J$2=CE233),'2025DATA'!$L$6,"")</f>
        <v/>
      </c>
      <c r="CF237" s="518" t="str">
        <f>IF(AND(_A5="A-330-900",'2025'!$J$4="FO",'2025'!$J$2=CF233),'2025DATA'!$M$6,"")</f>
        <v/>
      </c>
      <c r="CG237" s="520" t="str">
        <f>IF(AND(_A5="A-330-900",'2025'!$J$4="FO",'2025'!$J$2=CG233),'2025DATA'!$N$6,"")</f>
        <v/>
      </c>
      <c r="CH237" s="940"/>
      <c r="CI237" s="13" t="s">
        <v>62</v>
      </c>
      <c r="CJ237" s="518" t="str">
        <f>IF(AND(_A6="A-330-900",'2025'!$J$4="FO",'2025'!$J$2=CJ233),'2025DATA'!$C$6,"")</f>
        <v/>
      </c>
      <c r="CK237" s="518" t="str">
        <f>IF(AND(_A6="A-330-900",'2025'!$J$4="FO",'2025'!$J$2=CK233),'2025DATA'!$D$6,"")</f>
        <v/>
      </c>
      <c r="CL237" s="518" t="str">
        <f>IF(AND(_A6="A-330-900",'2025'!$J$4="FO",'2025'!$J$2=CL233),'2025DATA'!$E$6,"")</f>
        <v/>
      </c>
      <c r="CM237" s="518" t="str">
        <f>IF(AND(_A6="A-330-900",'2025'!$J$4="FO",'2025'!$J$2=CM233),'2025DATA'!$F$6,"")</f>
        <v/>
      </c>
      <c r="CN237" s="518" t="str">
        <f>IF(AND(_A6="A-330-900",'2025'!$J$4="FO",'2025'!$J$2=CN233),'2025DATA'!$G$6,"")</f>
        <v/>
      </c>
      <c r="CO237" s="518" t="str">
        <f>IF(AND(_A6="A-330-900",'2025'!$J$4="FO",'2025'!$J$2=CO233),'2025DATA'!$H$6,"")</f>
        <v/>
      </c>
      <c r="CP237" s="518" t="str">
        <f>IF(AND(_A6="A-330-900",'2025'!$J$4="FO",'2025'!$J$2=CP233),'2025DATA'!$I$6,"")</f>
        <v/>
      </c>
      <c r="CQ237" s="518" t="str">
        <f>IF(AND(_A6="A-330-900",'2025'!$J$4="FO",'2025'!$J$2=CQ233),'2025DATA'!$J$6,"")</f>
        <v/>
      </c>
      <c r="CR237" s="518" t="str">
        <f>IF(AND(_A6="A-330-900",'2025'!$J$4="FO",'2025'!$J$2=CR233),'2025DATA'!$K$6,"")</f>
        <v/>
      </c>
      <c r="CS237" s="518" t="str">
        <f>IF(AND(_A6="A-330-900",'2025'!$J$4="FO",'2025'!$J$2=CS233),'2025DATA'!$L$6,"")</f>
        <v/>
      </c>
      <c r="CT237" s="518" t="str">
        <f>IF(AND(_A6="A-330-900",'2025'!$J$4="FO",'2025'!$J$2=CT233),'2025DATA'!$M$6,"")</f>
        <v/>
      </c>
      <c r="CU237" s="520" t="str">
        <f>IF(AND(_A6="A-330-900",'2025'!$J$4="FO",'2025'!$J$2=CU233),'2025DATA'!$N$6,"")</f>
        <v/>
      </c>
    </row>
    <row r="238" spans="16:99" x14ac:dyDescent="0.25">
      <c r="P238" s="940" t="s">
        <v>64</v>
      </c>
      <c r="Q238" s="13" t="s">
        <v>61</v>
      </c>
      <c r="R238" s="518" t="str">
        <f>IF(AND(_A1="A-330-300",'2025'!$J$4="CA",'2025'!$J$2=R233),'2025DATA'!$C$7,"")</f>
        <v/>
      </c>
      <c r="S238" s="518" t="str">
        <f>IF(AND(_A1="A-330-300",'2025'!$J$4="CA",'2025'!$J$2=S233),'2025DATA'!$D$7,"")</f>
        <v/>
      </c>
      <c r="T238" s="518" t="str">
        <f>IF(AND(_A1="A-330-300",'2025'!$J$4="CA",'2025'!$J$2=T233),'2025DATA'!$E$7,"")</f>
        <v/>
      </c>
      <c r="U238" s="518" t="str">
        <f>IF(AND(_A1="A-330-300",'2025'!$J$4="CA",'2025'!$J$2=U233),'2025DATA'!$F$7,"")</f>
        <v/>
      </c>
      <c r="V238" s="518" t="str">
        <f>IF(AND(_A1="A-330-300",'2025'!$J$4="CA",'2025'!$J$2=V233),'2025DATA'!$G$7,"")</f>
        <v/>
      </c>
      <c r="W238" s="518" t="str">
        <f>IF(AND(_A1="A-330-300",'2025'!$J$4="CA",'2025'!$J$2=W233),'2025DATA'!$H$7,"")</f>
        <v/>
      </c>
      <c r="X238" s="518" t="str">
        <f>IF(AND(_A1="A-330-300",'2025'!$J$4="CA",'2025'!$J$2=X233),'2025DATA'!$I$7,"")</f>
        <v/>
      </c>
      <c r="Y238" s="518" t="str">
        <f>IF(AND(_A1="A-330-300",'2025'!$J$4="CA",'2025'!$J$2=Y233),'2025DATA'!$J$7,"")</f>
        <v/>
      </c>
      <c r="Z238" s="518" t="str">
        <f>IF(AND(_A1="A-330-300",'2025'!$J$4="CA",'2025'!$J$2=Z233),'2025DATA'!$K$7,"")</f>
        <v/>
      </c>
      <c r="AA238" s="518" t="str">
        <f>IF(AND(_A1="A-330-300",'2025'!$J$4="CA",'2025'!$J$2=AA233),'2025DATA'!$L$7,"")</f>
        <v/>
      </c>
      <c r="AB238" s="518" t="str">
        <f>IF(AND(_A1="A-330-300",'2025'!$J$4="CA",'2025'!$J$2=AB233),'2025DATA'!$M$7,"")</f>
        <v/>
      </c>
      <c r="AC238" s="520" t="str">
        <f>IF(AND(_A1="A-330-300",'2025'!$J$4="CA",'2025'!$J$2=AC233),'2025DATA'!$N$7,"")</f>
        <v/>
      </c>
      <c r="AD238" s="940" t="s">
        <v>64</v>
      </c>
      <c r="AE238" s="13" t="s">
        <v>61</v>
      </c>
      <c r="AF238" s="518" t="str">
        <f>IF(AND(_A2="A-330-300",'2025'!$J$4="CA",'2025'!$J$2=AF233),'2025DATA'!$C$7,"")</f>
        <v/>
      </c>
      <c r="AG238" s="518" t="str">
        <f>IF(AND(_A2="A-330-300",'2025'!$J$4="CA",'2025'!$J$2=AG233),'2025DATA'!$D$7,"")</f>
        <v/>
      </c>
      <c r="AH238" s="518" t="str">
        <f>IF(AND(_A2="A-330-300",'2025'!$J$4="CA",'2025'!$J$2=AH233),'2025DATA'!$E$7,"")</f>
        <v/>
      </c>
      <c r="AI238" s="518" t="str">
        <f>IF(AND(_A2="A-330-300",'2025'!$J$4="CA",'2025'!$J$2=AI233),'2025DATA'!$F$7,"")</f>
        <v/>
      </c>
      <c r="AJ238" s="518" t="str">
        <f>IF(AND(_A2="A-330-300",'2025'!$J$4="CA",'2025'!$J$2=AJ233),'2025DATA'!$G$7,"")</f>
        <v/>
      </c>
      <c r="AK238" s="518" t="str">
        <f>IF(AND(_A2="A-330-300",'2025'!$J$4="CA",'2025'!$J$2=AK233),'2025DATA'!$H$7,"")</f>
        <v/>
      </c>
      <c r="AL238" s="518" t="str">
        <f>IF(AND(_A2="A-330-300",'2025'!$J$4="CA",'2025'!$J$2=AL233),'2025DATA'!$I$7,"")</f>
        <v/>
      </c>
      <c r="AM238" s="518" t="str">
        <f>IF(AND(_A2="A-330-300",'2025'!$J$4="CA",'2025'!$J$2=AM233),'2025DATA'!$J$7,"")</f>
        <v/>
      </c>
      <c r="AN238" s="518" t="str">
        <f>IF(AND(_A2="A-330-300",'2025'!$J$4="CA",'2025'!$J$2=AN233),'2025DATA'!$K$7,"")</f>
        <v/>
      </c>
      <c r="AO238" s="518" t="str">
        <f>IF(AND(_A2="A-330-300",'2025'!$J$4="CA",'2025'!$J$2=AO233),'2025DATA'!$L$7,"")</f>
        <v/>
      </c>
      <c r="AP238" s="518" t="str">
        <f>IF(AND(_A2="A-330-300",'2025'!$J$4="CA",'2025'!$J$2=AP233),'2025DATA'!$M$7,"")</f>
        <v/>
      </c>
      <c r="AQ238" s="520" t="str">
        <f>IF(AND(_A2="A-330-300",'2025'!$J$4="CA",'2025'!$J$2=AQ233),'2025DATA'!$N$7,"")</f>
        <v/>
      </c>
      <c r="AR238" s="940" t="s">
        <v>64</v>
      </c>
      <c r="AS238" s="13" t="s">
        <v>61</v>
      </c>
      <c r="AT238" s="518" t="str">
        <f>IF(AND(_A3="A-330-300",'2025'!$J$4="CA",'2025'!$J$2=AT233),'2025DATA'!$C$7,"")</f>
        <v/>
      </c>
      <c r="AU238" s="518" t="str">
        <f>IF(AND(_A3="A-330-300",'2025'!$J$4="CA",'2025'!$J$2=AU233),'2025DATA'!$D$7,"")</f>
        <v/>
      </c>
      <c r="AV238" s="518" t="str">
        <f>IF(AND(_A3="A-330-300",'2025'!$J$4="CA",'2025'!$J$2=AV233),'2025DATA'!$E$7,"")</f>
        <v/>
      </c>
      <c r="AW238" s="518" t="str">
        <f>IF(AND(_A3="A-330-300",'2025'!$J$4="CA",'2025'!$J$2=AW233),'2025DATA'!$F$7,"")</f>
        <v/>
      </c>
      <c r="AX238" s="518" t="str">
        <f>IF(AND(_A3="A-330-300",'2025'!$J$4="CA",'2025'!$J$2=AX233),'2025DATA'!$G$7,"")</f>
        <v/>
      </c>
      <c r="AY238" s="518" t="str">
        <f>IF(AND(_A3="A-330-300",'2025'!$J$4="CA",'2025'!$J$2=AY233),'2025DATA'!$H$7,"")</f>
        <v/>
      </c>
      <c r="AZ238" s="518" t="str">
        <f>IF(AND(_A3="A-330-300",'2025'!$J$4="CA",'2025'!$J$2=AZ233),'2025DATA'!$I$7,"")</f>
        <v/>
      </c>
      <c r="BA238" s="518" t="str">
        <f>IF(AND(_A3="A-330-300",'2025'!$J$4="CA",'2025'!$J$2=BA233),'2025DATA'!$J$7,"")</f>
        <v/>
      </c>
      <c r="BB238" s="518" t="str">
        <f>IF(AND(_A3="A-330-300",'2025'!$J$4="CA",'2025'!$J$2=BB233),'2025DATA'!$K$7,"")</f>
        <v/>
      </c>
      <c r="BC238" s="518" t="str">
        <f>IF(AND(_A3="A-330-300",'2025'!$J$4="CA",'2025'!$J$2=BC233),'2025DATA'!$L$7,"")</f>
        <v/>
      </c>
      <c r="BD238" s="518" t="str">
        <f>IF(AND(_A3="A-330-300",'2025'!$J$4="CA",'2025'!$J$2=BD233),'2025DATA'!$M$7,"")</f>
        <v/>
      </c>
      <c r="BE238" s="520" t="str">
        <f>IF(AND(_A3="A-330-300",'2025'!$J$4="CA",'2025'!$J$2=BE233),'2025DATA'!$N$7,"")</f>
        <v/>
      </c>
      <c r="BF238" s="940" t="s">
        <v>64</v>
      </c>
      <c r="BG238" s="13" t="s">
        <v>61</v>
      </c>
      <c r="BH238" s="518" t="str">
        <f>IF(AND(_A4="A-330-300",'2025'!$J$4="CA",'2025'!$J$2=BH233),'2025DATA'!$C$7,"")</f>
        <v/>
      </c>
      <c r="BI238" s="518" t="str">
        <f>IF(AND(_A4="A-330-300",'2025'!$J$4="CA",'2025'!$J$2=BI233),'2025DATA'!$D$7,"")</f>
        <v/>
      </c>
      <c r="BJ238" s="518" t="str">
        <f>IF(AND(_A4="A-330-300",'2025'!$J$4="CA",'2025'!$J$2=BJ233),'2025DATA'!$E$7,"")</f>
        <v/>
      </c>
      <c r="BK238" s="518" t="str">
        <f>IF(AND(_A4="A-330-300",'2025'!$J$4="CA",'2025'!$J$2=BK233),'2025DATA'!$F$7,"")</f>
        <v/>
      </c>
      <c r="BL238" s="518" t="str">
        <f>IF(AND(_A4="A-330-300",'2025'!$J$4="CA",'2025'!$J$2=BL233),'2025DATA'!$G$7,"")</f>
        <v/>
      </c>
      <c r="BM238" s="518" t="str">
        <f>IF(AND(_A4="A-330-300",'2025'!$J$4="CA",'2025'!$J$2=BM233),'2025DATA'!$H$7,"")</f>
        <v/>
      </c>
      <c r="BN238" s="518" t="str">
        <f>IF(AND(_A4="A-330-300",'2025'!$J$4="CA",'2025'!$J$2=BN233),'2025DATA'!$I$7,"")</f>
        <v/>
      </c>
      <c r="BO238" s="518" t="str">
        <f>IF(AND(_A4="A-330-300",'2025'!$J$4="CA",'2025'!$J$2=BO233),'2025DATA'!$J$7,"")</f>
        <v/>
      </c>
      <c r="BP238" s="518" t="str">
        <f>IF(AND(_A4="A-330-300",'2025'!$J$4="CA",'2025'!$J$2=BP233),'2025DATA'!$K$7,"")</f>
        <v/>
      </c>
      <c r="BQ238" s="518" t="str">
        <f>IF(AND(_A4="A-330-300",'2025'!$J$4="CA",'2025'!$J$2=BQ233),'2025DATA'!$L$7,"")</f>
        <v/>
      </c>
      <c r="BR238" s="518" t="str">
        <f>IF(AND(_A4="A-330-300",'2025'!$J$4="CA",'2025'!$J$2=BR233),'2025DATA'!$M$7,"")</f>
        <v/>
      </c>
      <c r="BS238" s="520" t="str">
        <f>IF(AND(_A4="A-330-300",'2025'!$J$4="CA",'2025'!$J$2=BS233),'2025DATA'!$N$7,"")</f>
        <v/>
      </c>
      <c r="BT238" s="940" t="s">
        <v>64</v>
      </c>
      <c r="BU238" s="13" t="s">
        <v>61</v>
      </c>
      <c r="BV238" s="518" t="str">
        <f>IF(AND(_A5="A-330-300",'2025'!$J$4="CA",'2025'!$J$2=BV233),'2025DATA'!$C$7,"")</f>
        <v/>
      </c>
      <c r="BW238" s="518" t="str">
        <f>IF(AND(_A5="A-330-300",'2025'!$J$4="CA",'2025'!$J$2=BW233),'2025DATA'!$D$7,"")</f>
        <v/>
      </c>
      <c r="BX238" s="518" t="str">
        <f>IF(AND(_A5="A-330-300",'2025'!$J$4="CA",'2025'!$J$2=BX233),'2025DATA'!$E$7,"")</f>
        <v/>
      </c>
      <c r="BY238" s="518" t="str">
        <f>IF(AND(_A5="A-330-300",'2025'!$J$4="CA",'2025'!$J$2=BY233),'2025DATA'!$F$7,"")</f>
        <v/>
      </c>
      <c r="BZ238" s="518" t="str">
        <f>IF(AND(_A5="A-330-300",'2025'!$J$4="CA",'2025'!$J$2=BZ233),'2025DATA'!$G$7,"")</f>
        <v/>
      </c>
      <c r="CA238" s="518" t="str">
        <f>IF(AND(_A5="A-330-300",'2025'!$J$4="CA",'2025'!$J$2=CA233),'2025DATA'!$H$7,"")</f>
        <v/>
      </c>
      <c r="CB238" s="518" t="str">
        <f>IF(AND(_A5="A-330-300",'2025'!$J$4="CA",'2025'!$J$2=CB233),'2025DATA'!$I$7,"")</f>
        <v/>
      </c>
      <c r="CC238" s="518" t="str">
        <f>IF(AND(_A5="A-330-300",'2025'!$J$4="CA",'2025'!$J$2=CC233),'2025DATA'!$J$7,"")</f>
        <v/>
      </c>
      <c r="CD238" s="518" t="str">
        <f>IF(AND(_A5="A-330-300",'2025'!$J$4="CA",'2025'!$J$2=CD233),'2025DATA'!$K$7,"")</f>
        <v/>
      </c>
      <c r="CE238" s="518" t="str">
        <f>IF(AND(_A5="A-330-300",'2025'!$J$4="CA",'2025'!$J$2=CE233),'2025DATA'!$L$7,"")</f>
        <v/>
      </c>
      <c r="CF238" s="518" t="str">
        <f>IF(AND(_A5="A-330-300",'2025'!$J$4="CA",'2025'!$J$2=CF233),'2025DATA'!$M$7,"")</f>
        <v/>
      </c>
      <c r="CG238" s="520" t="str">
        <f>IF(AND(_A5="A-330-300",'2025'!$J$4="CA",'2025'!$J$2=CG233),'2025DATA'!$N$7,"")</f>
        <v/>
      </c>
      <c r="CH238" s="940" t="s">
        <v>64</v>
      </c>
      <c r="CI238" s="13" t="s">
        <v>61</v>
      </c>
      <c r="CJ238" s="518" t="str">
        <f>IF(AND(_A6="A-330-300",'2025'!$J$4="CA",'2025'!$J$2=CJ233),'2025DATA'!$C$7,"")</f>
        <v/>
      </c>
      <c r="CK238" s="518" t="str">
        <f>IF(AND(_A6="A-330-300",'2025'!$J$4="CA",'2025'!$J$2=CK233),'2025DATA'!$D$7,"")</f>
        <v/>
      </c>
      <c r="CL238" s="518" t="str">
        <f>IF(AND(_A6="A-330-300",'2025'!$J$4="CA",'2025'!$J$2=CL233),'2025DATA'!$E$7,"")</f>
        <v/>
      </c>
      <c r="CM238" s="518" t="str">
        <f>IF(AND(_A6="A-330-300",'2025'!$J$4="CA",'2025'!$J$2=CM233),'2025DATA'!$F$7,"")</f>
        <v/>
      </c>
      <c r="CN238" s="518" t="str">
        <f>IF(AND(_A6="A-330-300",'2025'!$J$4="CA",'2025'!$J$2=CN233),'2025DATA'!$G$7,"")</f>
        <v/>
      </c>
      <c r="CO238" s="518" t="str">
        <f>IF(AND(_A6="A-330-300",'2025'!$J$4="CA",'2025'!$J$2=CO233),'2025DATA'!$H$7,"")</f>
        <v/>
      </c>
      <c r="CP238" s="518" t="str">
        <f>IF(AND(_A6="A-330-300",'2025'!$J$4="CA",'2025'!$J$2=CP233),'2025DATA'!$I$7,"")</f>
        <v/>
      </c>
      <c r="CQ238" s="518" t="str">
        <f>IF(AND(_A6="A-330-300",'2025'!$J$4="CA",'2025'!$J$2=CQ233),'2025DATA'!$J$7,"")</f>
        <v/>
      </c>
      <c r="CR238" s="518" t="str">
        <f>IF(AND(_A6="A-330-300",'2025'!$J$4="CA",'2025'!$J$2=CR233),'2025DATA'!$K$7,"")</f>
        <v/>
      </c>
      <c r="CS238" s="518" t="str">
        <f>IF(AND(_A6="A-330-300",'2025'!$J$4="CA",'2025'!$J$2=CS233),'2025DATA'!$L$7,"")</f>
        <v/>
      </c>
      <c r="CT238" s="518" t="str">
        <f>IF(AND(_A6="A-330-300",'2025'!$J$4="CA",'2025'!$J$2=CT233),'2025DATA'!$M$7,"")</f>
        <v/>
      </c>
      <c r="CU238" s="520" t="str">
        <f>IF(AND(_A6="A-330-300",'2025'!$J$4="CA",'2025'!$J$2=CU233),'2025DATA'!$N$7,"")</f>
        <v/>
      </c>
    </row>
    <row r="239" spans="16:99" x14ac:dyDescent="0.25">
      <c r="P239" s="940"/>
      <c r="Q239" s="13" t="s">
        <v>62</v>
      </c>
      <c r="R239" s="518" t="str">
        <f>IF(AND(_A1="A-330-300",'2025'!$J$4="FO",'2025'!$J$2=R233),'2025DATA'!$C$8,"")</f>
        <v/>
      </c>
      <c r="S239" s="518" t="str">
        <f>IF(AND(_A1="A-330-300",'2025'!$J$4="FO",'2025'!$J$2=S233),'2025DATA'!$D$8,"")</f>
        <v/>
      </c>
      <c r="T239" s="518" t="str">
        <f>IF(AND(_A1="A-330-300",'2025'!$J$4="FO",'2025'!$J$2=T233),'2025DATA'!$E$8,"")</f>
        <v/>
      </c>
      <c r="U239" s="518" t="str">
        <f>IF(AND(_A1="A-330-300",'2025'!$J$4="FO",'2025'!$J$2=U233),'2025DATA'!$F$8,"")</f>
        <v/>
      </c>
      <c r="V239" s="518" t="str">
        <f>IF(AND(_A1="A-330-300",'2025'!$J$4="FO",'2025'!$J$2=V233),'2025DATA'!$G$8,"")</f>
        <v/>
      </c>
      <c r="W239" s="518" t="str">
        <f>IF(AND(_A1="A-330-300",'2025'!$J$4="FO",'2025'!$J$2=W233),'2025DATA'!$H$8,"")</f>
        <v/>
      </c>
      <c r="X239" s="518" t="str">
        <f>IF(AND(_A1="A-330-300",'2025'!$J$4="FO",'2025'!$J$2=X233),'2025DATA'!$I$8,"")</f>
        <v/>
      </c>
      <c r="Y239" s="518" t="str">
        <f>IF(AND(_A1="A-330-300",'2025'!$J$4="FO",'2025'!$J$2=Y233),'2025DATA'!$J$8,"")</f>
        <v/>
      </c>
      <c r="Z239" s="518" t="str">
        <f>IF(AND(_A1="A-330-300",'2025'!$J$4="FO",'2025'!$J$2=Z233),'2025DATA'!$K$8,"")</f>
        <v/>
      </c>
      <c r="AA239" s="518" t="str">
        <f>IF(AND(_A1="A-330-300",'2025'!$J$4="FO",'2025'!$J$2=AA233),'2025DATA'!$L$8,"")</f>
        <v/>
      </c>
      <c r="AB239" s="518" t="str">
        <f>IF(AND(_A1="A-330-300",'2025'!$J$4="FO",'2025'!$J$2=AB233),'2025DATA'!$M$8,"")</f>
        <v/>
      </c>
      <c r="AC239" s="520" t="str">
        <f>IF(AND(_A1="A-330-300",'2025'!$J$4="FO",'2025'!$J$2=AC233),'2025DATA'!$N$8,"")</f>
        <v/>
      </c>
      <c r="AD239" s="940"/>
      <c r="AE239" s="13" t="s">
        <v>62</v>
      </c>
      <c r="AF239" s="518" t="str">
        <f>IF(AND(_A2="A-330-300",'2025'!$J$4="FO",'2025'!$J$2=AF233),'2025DATA'!$C$8,"")</f>
        <v/>
      </c>
      <c r="AG239" s="518" t="str">
        <f>IF(AND(_A2="A-330-300",'2025'!$J$4="FO",'2025'!$J$2=AG233),'2025DATA'!$D$8,"")</f>
        <v/>
      </c>
      <c r="AH239" s="518" t="str">
        <f>IF(AND(_A2="A-330-300",'2025'!$J$4="FO",'2025'!$J$2=AH233),'2025DATA'!$E$8,"")</f>
        <v/>
      </c>
      <c r="AI239" s="518" t="str">
        <f>IF(AND(_A2="A-330-300",'2025'!$J$4="FO",'2025'!$J$2=AI233),'2025DATA'!$F$8,"")</f>
        <v/>
      </c>
      <c r="AJ239" s="518" t="str">
        <f>IF(AND(_A2="A-330-300",'2025'!$J$4="FO",'2025'!$J$2=AJ233),'2025DATA'!$G$8,"")</f>
        <v/>
      </c>
      <c r="AK239" s="518" t="str">
        <f>IF(AND(_A2="A-330-300",'2025'!$J$4="FO",'2025'!$J$2=AK233),'2025DATA'!$H$8,"")</f>
        <v/>
      </c>
      <c r="AL239" s="518" t="str">
        <f>IF(AND(_A2="A-330-300",'2025'!$J$4="FO",'2025'!$J$2=AL233),'2025DATA'!$I$8,"")</f>
        <v/>
      </c>
      <c r="AM239" s="518" t="str">
        <f>IF(AND(_A2="A-330-300",'2025'!$J$4="FO",'2025'!$J$2=AM233),'2025DATA'!$J$8,"")</f>
        <v/>
      </c>
      <c r="AN239" s="518" t="str">
        <f>IF(AND(_A2="A-330-300",'2025'!$J$4="FO",'2025'!$J$2=AN233),'2025DATA'!$K$8,"")</f>
        <v/>
      </c>
      <c r="AO239" s="518" t="str">
        <f>IF(AND(_A2="A-330-300",'2025'!$J$4="FO",'2025'!$J$2=AO233),'2025DATA'!$L$8,"")</f>
        <v/>
      </c>
      <c r="AP239" s="518" t="str">
        <f>IF(AND(_A2="A-330-300",'2025'!$J$4="FO",'2025'!$J$2=AP233),'2025DATA'!$M$8,"")</f>
        <v/>
      </c>
      <c r="AQ239" s="520" t="str">
        <f>IF(AND(_A2="A-330-300",'2025'!$J$4="FO",'2025'!$J$2=AQ233),'2025DATA'!$N$8,"")</f>
        <v/>
      </c>
      <c r="AR239" s="940"/>
      <c r="AS239" s="13" t="s">
        <v>62</v>
      </c>
      <c r="AT239" s="518" t="str">
        <f>IF(AND(_A3="A-330-300",'2025'!$J$4="FO",'2025'!$J$2=AT233),'2025DATA'!$C$8,"")</f>
        <v/>
      </c>
      <c r="AU239" s="518" t="str">
        <f>IF(AND(_A3="A-330-300",'2025'!$J$4="FO",'2025'!$J$2=AU233),'2025DATA'!$D$8,"")</f>
        <v/>
      </c>
      <c r="AV239" s="518" t="str">
        <f>IF(AND(_A3="A-330-300",'2025'!$J$4="FO",'2025'!$J$2=AV233),'2025DATA'!$E$8,"")</f>
        <v/>
      </c>
      <c r="AW239" s="518" t="str">
        <f>IF(AND(_A3="A-330-300",'2025'!$J$4="FO",'2025'!$J$2=AW233),'2025DATA'!$F$8,"")</f>
        <v/>
      </c>
      <c r="AX239" s="518" t="str">
        <f>IF(AND(_A3="A-330-300",'2025'!$J$4="FO",'2025'!$J$2=AX233),'2025DATA'!$G$8,"")</f>
        <v/>
      </c>
      <c r="AY239" s="518" t="str">
        <f>IF(AND(_A3="A-330-300",'2025'!$J$4="FO",'2025'!$J$2=AY233),'2025DATA'!$H$8,"")</f>
        <v/>
      </c>
      <c r="AZ239" s="518" t="str">
        <f>IF(AND(_A3="A-330-300",'2025'!$J$4="FO",'2025'!$J$2=AZ233),'2025DATA'!$I$8,"")</f>
        <v/>
      </c>
      <c r="BA239" s="518" t="str">
        <f>IF(AND(_A3="A-330-300",'2025'!$J$4="FO",'2025'!$J$2=BA233),'2025DATA'!$J$8,"")</f>
        <v/>
      </c>
      <c r="BB239" s="518" t="str">
        <f>IF(AND(_A3="A-330-300",'2025'!$J$4="FO",'2025'!$J$2=BB233),'2025DATA'!$K$8,"")</f>
        <v/>
      </c>
      <c r="BC239" s="518" t="str">
        <f>IF(AND(_A3="A-330-300",'2025'!$J$4="FO",'2025'!$J$2=BC233),'2025DATA'!$L$8,"")</f>
        <v/>
      </c>
      <c r="BD239" s="518" t="str">
        <f>IF(AND(_A3="A-330-300",'2025'!$J$4="FO",'2025'!$J$2=BD233),'2025DATA'!$M$8,"")</f>
        <v/>
      </c>
      <c r="BE239" s="520" t="str">
        <f>IF(AND(_A3="A-330-300",'2025'!$J$4="FO",'2025'!$J$2=BE233),'2025DATA'!$N$8,"")</f>
        <v/>
      </c>
      <c r="BF239" s="940"/>
      <c r="BG239" s="13" t="s">
        <v>62</v>
      </c>
      <c r="BH239" s="518" t="str">
        <f>IF(AND(_A4="A-330-300",'2025'!$J$4="FO",'2025'!$J$2=BH233),'2025DATA'!$C$8,"")</f>
        <v/>
      </c>
      <c r="BI239" s="518" t="str">
        <f>IF(AND(_A4="A-330-300",'2025'!$J$4="FO",'2025'!$J$2=BI233),'2025DATA'!$D$8,"")</f>
        <v/>
      </c>
      <c r="BJ239" s="518" t="str">
        <f>IF(AND(_A4="A-330-300",'2025'!$J$4="FO",'2025'!$J$2=BJ233),'2025DATA'!$E$8,"")</f>
        <v/>
      </c>
      <c r="BK239" s="518" t="str">
        <f>IF(AND(_A4="A-330-300",'2025'!$J$4="FO",'2025'!$J$2=BK233),'2025DATA'!$F$8,"")</f>
        <v/>
      </c>
      <c r="BL239" s="518" t="str">
        <f>IF(AND(_A4="A-330-300",'2025'!$J$4="FO",'2025'!$J$2=BL233),'2025DATA'!$G$8,"")</f>
        <v/>
      </c>
      <c r="BM239" s="518" t="str">
        <f>IF(AND(_A4="A-330-300",'2025'!$J$4="FO",'2025'!$J$2=BM233),'2025DATA'!$H$8,"")</f>
        <v/>
      </c>
      <c r="BN239" s="518" t="str">
        <f>IF(AND(_A4="A-330-300",'2025'!$J$4="FO",'2025'!$J$2=BN233),'2025DATA'!$I$8,"")</f>
        <v/>
      </c>
      <c r="BO239" s="518" t="str">
        <f>IF(AND(_A4="A-330-300",'2025'!$J$4="FO",'2025'!$J$2=BO233),'2025DATA'!$J$8,"")</f>
        <v/>
      </c>
      <c r="BP239" s="518" t="str">
        <f>IF(AND(_A4="A-330-300",'2025'!$J$4="FO",'2025'!$J$2=BP233),'2025DATA'!$K$8,"")</f>
        <v/>
      </c>
      <c r="BQ239" s="518" t="str">
        <f>IF(AND(_A4="A-330-300",'2025'!$J$4="FO",'2025'!$J$2=BQ233),'2025DATA'!$L$8,"")</f>
        <v/>
      </c>
      <c r="BR239" s="518" t="str">
        <f>IF(AND(_A4="A-330-300",'2025'!$J$4="FO",'2025'!$J$2=BR233),'2025DATA'!$M$8,"")</f>
        <v/>
      </c>
      <c r="BS239" s="520" t="str">
        <f>IF(AND(_A4="A-330-300",'2025'!$J$4="FO",'2025'!$J$2=BS233),'2025DATA'!$N$8,"")</f>
        <v/>
      </c>
      <c r="BT239" s="940"/>
      <c r="BU239" s="13" t="s">
        <v>62</v>
      </c>
      <c r="BV239" s="518" t="str">
        <f>IF(AND(_A5="A-330-300",'2025'!$J$4="FO",'2025'!$J$2=BV233),'2025DATA'!$C$8,"")</f>
        <v/>
      </c>
      <c r="BW239" s="518" t="str">
        <f>IF(AND(_A5="A-330-300",'2025'!$J$4="FO",'2025'!$J$2=BW233),'2025DATA'!$D$8,"")</f>
        <v/>
      </c>
      <c r="BX239" s="518" t="str">
        <f>IF(AND(_A5="A-330-300",'2025'!$J$4="FO",'2025'!$J$2=BX233),'2025DATA'!$E$8,"")</f>
        <v/>
      </c>
      <c r="BY239" s="518" t="str">
        <f>IF(AND(_A5="A-330-300",'2025'!$J$4="FO",'2025'!$J$2=BY233),'2025DATA'!$F$8,"")</f>
        <v/>
      </c>
      <c r="BZ239" s="518" t="str">
        <f>IF(AND(_A5="A-330-300",'2025'!$J$4="FO",'2025'!$J$2=BZ233),'2025DATA'!$G$8,"")</f>
        <v/>
      </c>
      <c r="CA239" s="518" t="str">
        <f>IF(AND(_A5="A-330-300",'2025'!$J$4="FO",'2025'!$J$2=CA233),'2025DATA'!$H$8,"")</f>
        <v/>
      </c>
      <c r="CB239" s="518" t="str">
        <f>IF(AND(_A5="A-330-300",'2025'!$J$4="FO",'2025'!$J$2=CB233),'2025DATA'!$I$8,"")</f>
        <v/>
      </c>
      <c r="CC239" s="518" t="str">
        <f>IF(AND(_A5="A-330-300",'2025'!$J$4="FO",'2025'!$J$2=CC233),'2025DATA'!$J$8,"")</f>
        <v/>
      </c>
      <c r="CD239" s="518" t="str">
        <f>IF(AND(_A5="A-330-300",'2025'!$J$4="FO",'2025'!$J$2=CD233),'2025DATA'!$K$8,"")</f>
        <v/>
      </c>
      <c r="CE239" s="518" t="str">
        <f>IF(AND(_A5="A-330-300",'2025'!$J$4="FO",'2025'!$J$2=CE233),'2025DATA'!$L$8,"")</f>
        <v/>
      </c>
      <c r="CF239" s="518" t="str">
        <f>IF(AND(_A5="A-330-300",'2025'!$J$4="FO",'2025'!$J$2=CF233),'2025DATA'!$M$8,"")</f>
        <v/>
      </c>
      <c r="CG239" s="520" t="str">
        <f>IF(AND(_A5="A-330-300",'2025'!$J$4="FO",'2025'!$J$2=CG233),'2025DATA'!$N$8,"")</f>
        <v/>
      </c>
      <c r="CH239" s="940"/>
      <c r="CI239" s="13" t="s">
        <v>62</v>
      </c>
      <c r="CJ239" s="518" t="str">
        <f>IF(AND(_A6="A-330-300",'2025'!$J$4="FO",'2025'!$J$2=CJ233),'2025DATA'!$C$8,"")</f>
        <v/>
      </c>
      <c r="CK239" s="518" t="str">
        <f>IF(AND(_A6="A-330-300",'2025'!$J$4="FO",'2025'!$J$2=CK233),'2025DATA'!$D$8,"")</f>
        <v/>
      </c>
      <c r="CL239" s="518" t="str">
        <f>IF(AND(_A6="A-330-300",'2025'!$J$4="FO",'2025'!$J$2=CL233),'2025DATA'!$E$8,"")</f>
        <v/>
      </c>
      <c r="CM239" s="518" t="str">
        <f>IF(AND(_A6="A-330-300",'2025'!$J$4="FO",'2025'!$J$2=CM233),'2025DATA'!$F$8,"")</f>
        <v/>
      </c>
      <c r="CN239" s="518" t="str">
        <f>IF(AND(_A6="A-330-300",'2025'!$J$4="FO",'2025'!$J$2=CN233),'2025DATA'!$G$8,"")</f>
        <v/>
      </c>
      <c r="CO239" s="518" t="str">
        <f>IF(AND(_A6="A-330-300",'2025'!$J$4="FO",'2025'!$J$2=CO233),'2025DATA'!$H$8,"")</f>
        <v/>
      </c>
      <c r="CP239" s="518" t="str">
        <f>IF(AND(_A6="A-330-300",'2025'!$J$4="FO",'2025'!$J$2=CP233),'2025DATA'!$I$8,"")</f>
        <v/>
      </c>
      <c r="CQ239" s="518" t="str">
        <f>IF(AND(_A6="A-330-300",'2025'!$J$4="FO",'2025'!$J$2=CQ233),'2025DATA'!$J$8,"")</f>
        <v/>
      </c>
      <c r="CR239" s="518" t="str">
        <f>IF(AND(_A6="A-330-300",'2025'!$J$4="FO",'2025'!$J$2=CR233),'2025DATA'!$K$8,"")</f>
        <v/>
      </c>
      <c r="CS239" s="518" t="str">
        <f>IF(AND(_A6="A-330-300",'2025'!$J$4="FO",'2025'!$J$2=CS233),'2025DATA'!$L$8,"")</f>
        <v/>
      </c>
      <c r="CT239" s="518" t="str">
        <f>IF(AND(_A6="A-330-300",'2025'!$J$4="FO",'2025'!$J$2=CT233),'2025DATA'!$M$8,"")</f>
        <v/>
      </c>
      <c r="CU239" s="520" t="str">
        <f>IF(AND(_A6="A-330-300",'2025'!$J$4="FO",'2025'!$J$2=CU233),'2025DATA'!$N$8,"")</f>
        <v/>
      </c>
    </row>
    <row r="240" spans="16:99" x14ac:dyDescent="0.25">
      <c r="P240" s="940" t="s">
        <v>66</v>
      </c>
      <c r="Q240" s="13" t="s">
        <v>61</v>
      </c>
      <c r="R240" s="518" t="str">
        <f>IF(AND(_A1="A-330-200",'2025'!$J$4="CA",'2025'!$J$2=R233),'2025DATA'!$C$9,"")</f>
        <v/>
      </c>
      <c r="S240" s="518" t="str">
        <f>IF(AND(_A1="A-330-200",'2025'!$J$4="CA",'2025'!$J$2=S233),'2025DATA'!$D$9,"")</f>
        <v/>
      </c>
      <c r="T240" s="518" t="str">
        <f>IF(AND(_A1="A-330-200",'2025'!$J$4="CA",'2025'!$J$2=T233),'2025DATA'!$E$9,"")</f>
        <v/>
      </c>
      <c r="U240" s="518" t="str">
        <f>IF(AND(_A1="A-330-200",'2025'!$J$4="CA",'2025'!$J$2=U233),'2025DATA'!$F$9,"")</f>
        <v/>
      </c>
      <c r="V240" s="518" t="str">
        <f>IF(AND(_A1="A-330-200",'2025'!$J$4="CA",'2025'!$J$2=V233),'2025DATA'!$G$9,"")</f>
        <v/>
      </c>
      <c r="W240" s="518" t="str">
        <f>IF(AND(_A1="A-330-200",'2025'!$J$4="CA",'2025'!$J$2=W233),'2025DATA'!$H$9,"")</f>
        <v/>
      </c>
      <c r="X240" s="518" t="str">
        <f>IF(AND(_A1="A-330-200",'2025'!$J$4="CA",'2025'!$J$2=X233),'2025DATA'!$I$9,"")</f>
        <v/>
      </c>
      <c r="Y240" s="518" t="str">
        <f>IF(AND(_A1="A-330-200",'2025'!$J$4="CA",'2025'!$J$2=Y233),'2025DATA'!$J$9,"")</f>
        <v/>
      </c>
      <c r="Z240" s="518" t="str">
        <f>IF(AND(_A1="A-330-200",'2025'!$J$4="CA",'2025'!$J$2=Z233),'2025DATA'!$K$9,"")</f>
        <v/>
      </c>
      <c r="AA240" s="518" t="str">
        <f>IF(AND(_A1="A-330-200",'2025'!$J$4="CA",'2025'!$J$2=AA233),'2025DATA'!$L$9,"")</f>
        <v/>
      </c>
      <c r="AB240" s="518" t="str">
        <f>IF(AND(_A1="A-330-200",'2025'!$J$4="CA",'2025'!$J$2=AB233),'2025DATA'!$M$9,"")</f>
        <v/>
      </c>
      <c r="AC240" s="520" t="str">
        <f>IF(AND(_A1="A-330-200",'2025'!$J$4="CA",'2025'!$J$2=AC233),'2025DATA'!$N$9,"")</f>
        <v/>
      </c>
      <c r="AD240" s="940" t="s">
        <v>66</v>
      </c>
      <c r="AE240" s="13" t="s">
        <v>61</v>
      </c>
      <c r="AF240" s="518" t="str">
        <f>IF(AND(_A2="A-330-200",'2025'!$J$4="CA",'2025'!$J$2=AF233),'2025DATA'!$C$9,"")</f>
        <v/>
      </c>
      <c r="AG240" s="518" t="str">
        <f>IF(AND(_A2="A-330-200",'2025'!$J$4="CA",'2025'!$J$2=AG233),'2025DATA'!$D$9,"")</f>
        <v/>
      </c>
      <c r="AH240" s="518" t="str">
        <f>IF(AND(_A2="A-330-200",'2025'!$J$4="CA",'2025'!$J$2=AH233),'2025DATA'!$E$9,"")</f>
        <v/>
      </c>
      <c r="AI240" s="518" t="str">
        <f>IF(AND(_A2="A-330-200",'2025'!$J$4="CA",'2025'!$J$2=AI233),'2025DATA'!$F$9,"")</f>
        <v/>
      </c>
      <c r="AJ240" s="518" t="str">
        <f>IF(AND(_A2="A-330-200",'2025'!$J$4="CA",'2025'!$J$2=AJ233),'2025DATA'!$G$9,"")</f>
        <v/>
      </c>
      <c r="AK240" s="518" t="str">
        <f>IF(AND(_A2="A-330-200",'2025'!$J$4="CA",'2025'!$J$2=AK233),'2025DATA'!$H$9,"")</f>
        <v/>
      </c>
      <c r="AL240" s="518" t="str">
        <f>IF(AND(_A2="A-330-200",'2025'!$J$4="CA",'2025'!$J$2=AL233),'2025DATA'!$I$9,"")</f>
        <v/>
      </c>
      <c r="AM240" s="518" t="str">
        <f>IF(AND(_A2="A-330-200",'2025'!$J$4="CA",'2025'!$J$2=AM233),'2025DATA'!$J$9,"")</f>
        <v/>
      </c>
      <c r="AN240" s="518" t="str">
        <f>IF(AND(_A2="A-330-200",'2025'!$J$4="CA",'2025'!$J$2=AN233),'2025DATA'!$K$9,"")</f>
        <v/>
      </c>
      <c r="AO240" s="518" t="str">
        <f>IF(AND(_A2="A-330-200",'2025'!$J$4="CA",'2025'!$J$2=AO233),'2025DATA'!$L$9,"")</f>
        <v/>
      </c>
      <c r="AP240" s="518" t="str">
        <f>IF(AND(_A2="A-330-200",'2025'!$J$4="CA",'2025'!$J$2=AP233),'2025DATA'!$M$9,"")</f>
        <v/>
      </c>
      <c r="AQ240" s="520" t="str">
        <f>IF(AND(_A2="A-330-200",'2025'!$J$4="CA",'2025'!$J$2=AQ233),'2025DATA'!$N$9,"")</f>
        <v/>
      </c>
      <c r="AR240" s="940" t="s">
        <v>66</v>
      </c>
      <c r="AS240" s="13" t="s">
        <v>61</v>
      </c>
      <c r="AT240" s="518" t="str">
        <f>IF(AND(_A3="A-330-200",'2025'!$J$4="CA",'2025'!$J$2=AT233),'2025DATA'!$C$9,"")</f>
        <v/>
      </c>
      <c r="AU240" s="518" t="str">
        <f>IF(AND(_A3="A-330-200",'2025'!$J$4="CA",'2025'!$J$2=AU233),'2025DATA'!$D$9,"")</f>
        <v/>
      </c>
      <c r="AV240" s="518" t="str">
        <f>IF(AND(_A3="A-330-200",'2025'!$J$4="CA",'2025'!$J$2=AV233),'2025DATA'!$E$9,"")</f>
        <v/>
      </c>
      <c r="AW240" s="518" t="str">
        <f>IF(AND(_A3="A-330-200",'2025'!$J$4="CA",'2025'!$J$2=AW233),'2025DATA'!$F$9,"")</f>
        <v/>
      </c>
      <c r="AX240" s="518" t="str">
        <f>IF(AND(_A3="A-330-200",'2025'!$J$4="CA",'2025'!$J$2=AX233),'2025DATA'!$G$9,"")</f>
        <v/>
      </c>
      <c r="AY240" s="518" t="str">
        <f>IF(AND(_A3="A-330-200",'2025'!$J$4="CA",'2025'!$J$2=AY233),'2025DATA'!$H$9,"")</f>
        <v/>
      </c>
      <c r="AZ240" s="518" t="str">
        <f>IF(AND(_A3="A-330-200",'2025'!$J$4="CA",'2025'!$J$2=AZ233),'2025DATA'!$I$9,"")</f>
        <v/>
      </c>
      <c r="BA240" s="518" t="str">
        <f>IF(AND(_A3="A-330-200",'2025'!$J$4="CA",'2025'!$J$2=BA233),'2025DATA'!$J$9,"")</f>
        <v/>
      </c>
      <c r="BB240" s="518" t="str">
        <f>IF(AND(_A3="A-330-200",'2025'!$J$4="CA",'2025'!$J$2=BB233),'2025DATA'!$K$9,"")</f>
        <v/>
      </c>
      <c r="BC240" s="518" t="str">
        <f>IF(AND(_A3="A-330-200",'2025'!$J$4="CA",'2025'!$J$2=BC233),'2025DATA'!$L$9,"")</f>
        <v/>
      </c>
      <c r="BD240" s="518" t="str">
        <f>IF(AND(_A3="A-330-200",'2025'!$J$4="CA",'2025'!$J$2=BD233),'2025DATA'!$M$9,"")</f>
        <v/>
      </c>
      <c r="BE240" s="520" t="str">
        <f>IF(AND(_A3="A-330-200",'2025'!$J$4="CA",'2025'!$J$2=BE233),'2025DATA'!$N$9,"")</f>
        <v/>
      </c>
      <c r="BF240" s="940" t="s">
        <v>66</v>
      </c>
      <c r="BG240" s="13" t="s">
        <v>61</v>
      </c>
      <c r="BH240" s="518" t="str">
        <f>IF(AND(_A4="A-330-200",'2025'!$J$4="CA",'2025'!$J$2=BH233),'2025DATA'!$C$9,"")</f>
        <v/>
      </c>
      <c r="BI240" s="518" t="str">
        <f>IF(AND(_A4="A-330-200",'2025'!$J$4="CA",'2025'!$J$2=BI233),'2025DATA'!$D$9,"")</f>
        <v/>
      </c>
      <c r="BJ240" s="518" t="str">
        <f>IF(AND(_A4="A-330-200",'2025'!$J$4="CA",'2025'!$J$2=BJ233),'2025DATA'!$E$9,"")</f>
        <v/>
      </c>
      <c r="BK240" s="518" t="str">
        <f>IF(AND(_A4="A-330-200",'2025'!$J$4="CA",'2025'!$J$2=BK233),'2025DATA'!$F$9,"")</f>
        <v/>
      </c>
      <c r="BL240" s="518" t="str">
        <f>IF(AND(_A4="A-330-200",'2025'!$J$4="CA",'2025'!$J$2=BL233),'2025DATA'!$G$9,"")</f>
        <v/>
      </c>
      <c r="BM240" s="518" t="str">
        <f>IF(AND(_A4="A-330-200",'2025'!$J$4="CA",'2025'!$J$2=BM233),'2025DATA'!$H$9,"")</f>
        <v/>
      </c>
      <c r="BN240" s="518" t="str">
        <f>IF(AND(_A4="A-330-200",'2025'!$J$4="CA",'2025'!$J$2=BN233),'2025DATA'!$I$9,"")</f>
        <v/>
      </c>
      <c r="BO240" s="518" t="str">
        <f>IF(AND(_A4="A-330-200",'2025'!$J$4="CA",'2025'!$J$2=BO233),'2025DATA'!$J$9,"")</f>
        <v/>
      </c>
      <c r="BP240" s="518" t="str">
        <f>IF(AND(_A4="A-330-200",'2025'!$J$4="CA",'2025'!$J$2=BP233),'2025DATA'!$K$9,"")</f>
        <v/>
      </c>
      <c r="BQ240" s="518" t="str">
        <f>IF(AND(_A4="A-330-200",'2025'!$J$4="CA",'2025'!$J$2=BQ233),'2025DATA'!$L$9,"")</f>
        <v/>
      </c>
      <c r="BR240" s="518" t="str">
        <f>IF(AND(_A4="A-330-200",'2025'!$J$4="CA",'2025'!$J$2=BR233),'2025DATA'!$M$9,"")</f>
        <v/>
      </c>
      <c r="BS240" s="520" t="str">
        <f>IF(AND(_A4="A-330-200",'2025'!$J$4="CA",'2025'!$J$2=BS233),'2025DATA'!$N$9,"")</f>
        <v/>
      </c>
      <c r="BT240" s="940" t="s">
        <v>66</v>
      </c>
      <c r="BU240" s="13" t="s">
        <v>61</v>
      </c>
      <c r="BV240" s="518" t="str">
        <f>IF(AND(_A5="A-330-200",'2025'!$J$4="CA",'2025'!$J$2=BV233),'2025DATA'!$C$9,"")</f>
        <v/>
      </c>
      <c r="BW240" s="518" t="str">
        <f>IF(AND(_A5="A-330-200",'2025'!$J$4="CA",'2025'!$J$2=BW233),'2025DATA'!$D$9,"")</f>
        <v/>
      </c>
      <c r="BX240" s="518" t="str">
        <f>IF(AND(_A5="A-330-200",'2025'!$J$4="CA",'2025'!$J$2=BX233),'2025DATA'!$E$9,"")</f>
        <v/>
      </c>
      <c r="BY240" s="518" t="str">
        <f>IF(AND(_A5="A-330-200",'2025'!$J$4="CA",'2025'!$J$2=BY233),'2025DATA'!$F$9,"")</f>
        <v/>
      </c>
      <c r="BZ240" s="518" t="str">
        <f>IF(AND(_A5="A-330-200",'2025'!$J$4="CA",'2025'!$J$2=BZ233),'2025DATA'!$G$9,"")</f>
        <v/>
      </c>
      <c r="CA240" s="518" t="str">
        <f>IF(AND(_A5="A-330-200",'2025'!$J$4="CA",'2025'!$J$2=CA233),'2025DATA'!$H$9,"")</f>
        <v/>
      </c>
      <c r="CB240" s="518" t="str">
        <f>IF(AND(_A5="A-330-200",'2025'!$J$4="CA",'2025'!$J$2=CB233),'2025DATA'!$I$9,"")</f>
        <v/>
      </c>
      <c r="CC240" s="518" t="str">
        <f>IF(AND(_A5="A-330-200",'2025'!$J$4="CA",'2025'!$J$2=CC233),'2025DATA'!$J$9,"")</f>
        <v/>
      </c>
      <c r="CD240" s="518" t="str">
        <f>IF(AND(_A5="A-330-200",'2025'!$J$4="CA",'2025'!$J$2=CD233),'2025DATA'!$K$9,"")</f>
        <v/>
      </c>
      <c r="CE240" s="518" t="str">
        <f>IF(AND(_A5="A-330-200",'2025'!$J$4="CA",'2025'!$J$2=CE233),'2025DATA'!$L$9,"")</f>
        <v/>
      </c>
      <c r="CF240" s="518" t="str">
        <f>IF(AND(_A5="A-330-200",'2025'!$J$4="CA",'2025'!$J$2=CF233),'2025DATA'!$M$9,"")</f>
        <v/>
      </c>
      <c r="CG240" s="520" t="str">
        <f>IF(AND(_A5="A-330-200",'2025'!$J$4="CA",'2025'!$J$2=CG233),'2025DATA'!$N$9,"")</f>
        <v/>
      </c>
      <c r="CH240" s="940" t="s">
        <v>66</v>
      </c>
      <c r="CI240" s="13" t="s">
        <v>61</v>
      </c>
      <c r="CJ240" s="518" t="str">
        <f>IF(AND(_A6="A-330-200",'2025'!$J$4="CA",'2025'!$J$2=CJ233),'2025DATA'!$C$9,"")</f>
        <v/>
      </c>
      <c r="CK240" s="518" t="str">
        <f>IF(AND(_A6="A-330-200",'2025'!$J$4="CA",'2025'!$J$2=CK233),'2025DATA'!$D$9,"")</f>
        <v/>
      </c>
      <c r="CL240" s="518" t="str">
        <f>IF(AND(_A6="A-330-200",'2025'!$J$4="CA",'2025'!$J$2=CL233),'2025DATA'!$E$9,"")</f>
        <v/>
      </c>
      <c r="CM240" s="518" t="str">
        <f>IF(AND(_A6="A-330-200",'2025'!$J$4="CA",'2025'!$J$2=CM233),'2025DATA'!$F$9,"")</f>
        <v/>
      </c>
      <c r="CN240" s="518" t="str">
        <f>IF(AND(_A6="A-330-200",'2025'!$J$4="CA",'2025'!$J$2=CN233),'2025DATA'!$G$9,"")</f>
        <v/>
      </c>
      <c r="CO240" s="518" t="str">
        <f>IF(AND(_A6="A-330-200",'2025'!$J$4="CA",'2025'!$J$2=CO233),'2025DATA'!$H$9,"")</f>
        <v/>
      </c>
      <c r="CP240" s="518" t="str">
        <f>IF(AND(_A6="A-330-200",'2025'!$J$4="CA",'2025'!$J$2=CP233),'2025DATA'!$I$9,"")</f>
        <v/>
      </c>
      <c r="CQ240" s="518" t="str">
        <f>IF(AND(_A6="A-330-200",'2025'!$J$4="CA",'2025'!$J$2=CQ233),'2025DATA'!$J$9,"")</f>
        <v/>
      </c>
      <c r="CR240" s="518" t="str">
        <f>IF(AND(_A6="A-330-200",'2025'!$J$4="CA",'2025'!$J$2=CR233),'2025DATA'!$K$9,"")</f>
        <v/>
      </c>
      <c r="CS240" s="518" t="str">
        <f>IF(AND(_A6="A-330-200",'2025'!$J$4="CA",'2025'!$J$2=CS233),'2025DATA'!$L$9,"")</f>
        <v/>
      </c>
      <c r="CT240" s="518" t="str">
        <f>IF(AND(_A6="A-330-200",'2025'!$J$4="CA",'2025'!$J$2=CT233),'2025DATA'!$M$9,"")</f>
        <v/>
      </c>
      <c r="CU240" s="520" t="str">
        <f>IF(AND(_A6="A-330-200",'2025'!$J$4="CA",'2025'!$J$2=CU233),'2025DATA'!$N$9,"")</f>
        <v/>
      </c>
    </row>
    <row r="241" spans="16:99" x14ac:dyDescent="0.25">
      <c r="P241" s="940"/>
      <c r="Q241" s="13" t="s">
        <v>62</v>
      </c>
      <c r="R241" s="518" t="str">
        <f>IF(AND(_A1="A-330-200",'2025'!$J$4="FO",'2025'!$J$2=R233),'2025DATA'!$C$10,"")</f>
        <v/>
      </c>
      <c r="S241" s="518" t="str">
        <f>IF(AND(_A1="A-330-200",'2025'!$J$4="FO",'2025'!$J$2=S233),'2025DATA'!$D$10,"")</f>
        <v/>
      </c>
      <c r="T241" s="518" t="str">
        <f>IF(AND(_A1="A-330-200",'2025'!$J$4="FO",'2025'!$J$2=T233),'2025DATA'!$E$10,"")</f>
        <v/>
      </c>
      <c r="U241" s="518" t="str">
        <f>IF(AND(_A1="A-330-200",'2025'!$J$4="FO",'2025'!$J$2=U233),'2025DATA'!$F$10,"")</f>
        <v/>
      </c>
      <c r="V241" s="518" t="str">
        <f>IF(AND(_A1="A-330-200",'2025'!$J$4="FO",'2025'!$J$2=V233),'2025DATA'!$G$10,"")</f>
        <v/>
      </c>
      <c r="W241" s="518" t="str">
        <f>IF(AND(_A1="A-330-200",'2025'!$J$4="FO",'2025'!$J$2=W233),'2025DATA'!$H$10,"")</f>
        <v/>
      </c>
      <c r="X241" s="518" t="str">
        <f>IF(AND(_A1="A-330-200",'2025'!$J$4="FO",'2025'!$J$2=X233),'2025DATA'!$I$10,"")</f>
        <v/>
      </c>
      <c r="Y241" s="518" t="str">
        <f>IF(AND(_A1="A-330-200",'2025'!$J$4="FO",'2025'!$J$2=Y233),'2025DATA'!$J$10,"")</f>
        <v/>
      </c>
      <c r="Z241" s="518" t="str">
        <f>IF(AND(_A1="A-330-200",'2025'!$J$4="FO",'2025'!$J$2=Z233),'2025DATA'!$K$10,"")</f>
        <v/>
      </c>
      <c r="AA241" s="518" t="str">
        <f>IF(AND(_A1="A-330-200",'2025'!$J$4="FO",'2025'!$J$2=AA233),'2025DATA'!$L$10,"")</f>
        <v/>
      </c>
      <c r="AB241" s="518" t="str">
        <f>IF(AND(_A1="A-330-200",'2025'!$J$4="FO",'2025'!$J$2=AB233),'2025DATA'!$M$10,"")</f>
        <v/>
      </c>
      <c r="AC241" s="520" t="str">
        <f>IF(AND(_A1="A-330-200",'2025'!$J$4="FO",'2025'!$J$2=AC233),'2025DATA'!$N$10,"")</f>
        <v/>
      </c>
      <c r="AD241" s="940"/>
      <c r="AE241" s="13" t="s">
        <v>62</v>
      </c>
      <c r="AF241" s="518" t="str">
        <f>IF(AND(_A2="A-330-200",'2025'!$J$4="FO",'2025'!$J$2=AF233),'2025DATA'!$C$10,"")</f>
        <v/>
      </c>
      <c r="AG241" s="518" t="str">
        <f>IF(AND(_A2="A-330-200",'2025'!$J$4="FO",'2025'!$J$2=AG233),'2025DATA'!$D$10,"")</f>
        <v/>
      </c>
      <c r="AH241" s="518" t="str">
        <f>IF(AND(_A2="A-330-200",'2025'!$J$4="FO",'2025'!$J$2=AH233),'2025DATA'!$E$10,"")</f>
        <v/>
      </c>
      <c r="AI241" s="518" t="str">
        <f>IF(AND(_A2="A-330-200",'2025'!$J$4="FO",'2025'!$J$2=AI233),'2025DATA'!$F$10,"")</f>
        <v/>
      </c>
      <c r="AJ241" s="518" t="str">
        <f>IF(AND(_A2="A-330-200",'2025'!$J$4="FO",'2025'!$J$2=AJ233),'2025DATA'!$G$10,"")</f>
        <v/>
      </c>
      <c r="AK241" s="518" t="str">
        <f>IF(AND(_A2="A-330-200",'2025'!$J$4="FO",'2025'!$J$2=AK233),'2025DATA'!$H$10,"")</f>
        <v/>
      </c>
      <c r="AL241" s="518" t="str">
        <f>IF(AND(_A2="A-330-200",'2025'!$J$4="FO",'2025'!$J$2=AL233),'2025DATA'!$I$10,"")</f>
        <v/>
      </c>
      <c r="AM241" s="518" t="str">
        <f>IF(AND(_A2="A-330-200",'2025'!$J$4="FO",'2025'!$J$2=AM233),'2025DATA'!$J$10,"")</f>
        <v/>
      </c>
      <c r="AN241" s="518" t="str">
        <f>IF(AND(_A2="A-330-200",'2025'!$J$4="FO",'2025'!$J$2=AN233),'2025DATA'!$K$10,"")</f>
        <v/>
      </c>
      <c r="AO241" s="518" t="str">
        <f>IF(AND(_A2="A-330-200",'2025'!$J$4="FO",'2025'!$J$2=AO233),'2025DATA'!$L$10,"")</f>
        <v/>
      </c>
      <c r="AP241" s="518" t="str">
        <f>IF(AND(_A2="A-330-200",'2025'!$J$4="FO",'2025'!$J$2=AP233),'2025DATA'!$M$10,"")</f>
        <v/>
      </c>
      <c r="AQ241" s="520" t="str">
        <f>IF(AND(_A2="A-330-200",'2025'!$J$4="FO",'2025'!$J$2=AQ233),'2025DATA'!$N$10,"")</f>
        <v/>
      </c>
      <c r="AR241" s="940"/>
      <c r="AS241" s="13" t="s">
        <v>62</v>
      </c>
      <c r="AT241" s="518" t="str">
        <f>IF(AND(_A3="A-330-200",'2025'!$J$4="FO",'2025'!$J$2=AT233),'2025DATA'!$C$10,"")</f>
        <v/>
      </c>
      <c r="AU241" s="518" t="str">
        <f>IF(AND(_A3="A-330-200",'2025'!$J$4="FO",'2025'!$J$2=AU233),'2025DATA'!$D$10,"")</f>
        <v/>
      </c>
      <c r="AV241" s="518" t="str">
        <f>IF(AND(_A3="A-330-200",'2025'!$J$4="FO",'2025'!$J$2=AV233),'2025DATA'!$E$10,"")</f>
        <v/>
      </c>
      <c r="AW241" s="518" t="str">
        <f>IF(AND(_A3="A-330-200",'2025'!$J$4="FO",'2025'!$J$2=AW233),'2025DATA'!$F$10,"")</f>
        <v/>
      </c>
      <c r="AX241" s="518" t="str">
        <f>IF(AND(_A3="A-330-200",'2025'!$J$4="FO",'2025'!$J$2=AX233),'2025DATA'!$G$10,"")</f>
        <v/>
      </c>
      <c r="AY241" s="518" t="str">
        <f>IF(AND(_A3="A-330-200",'2025'!$J$4="FO",'2025'!$J$2=AY233),'2025DATA'!$H$10,"")</f>
        <v/>
      </c>
      <c r="AZ241" s="518" t="str">
        <f>IF(AND(_A3="A-330-200",'2025'!$J$4="FO",'2025'!$J$2=AZ233),'2025DATA'!$I$10,"")</f>
        <v/>
      </c>
      <c r="BA241" s="518" t="str">
        <f>IF(AND(_A3="A-330-200",'2025'!$J$4="FO",'2025'!$J$2=BA233),'2025DATA'!$J$10,"")</f>
        <v/>
      </c>
      <c r="BB241" s="518" t="str">
        <f>IF(AND(_A3="A-330-200",'2025'!$J$4="FO",'2025'!$J$2=BB233),'2025DATA'!$K$10,"")</f>
        <v/>
      </c>
      <c r="BC241" s="518" t="str">
        <f>IF(AND(_A3="A-330-200",'2025'!$J$4="FO",'2025'!$J$2=BC233),'2025DATA'!$L$10,"")</f>
        <v/>
      </c>
      <c r="BD241" s="518" t="str">
        <f>IF(AND(_A3="A-330-200",'2025'!$J$4="FO",'2025'!$J$2=BD233),'2025DATA'!$M$10,"")</f>
        <v/>
      </c>
      <c r="BE241" s="520" t="str">
        <f>IF(AND(_A3="A-330-200",'2025'!$J$4="FO",'2025'!$J$2=BE233),'2025DATA'!$N$10,"")</f>
        <v/>
      </c>
      <c r="BF241" s="940"/>
      <c r="BG241" s="13" t="s">
        <v>62</v>
      </c>
      <c r="BH241" s="518" t="str">
        <f>IF(AND(_A4="A-330-200",'2025'!$J$4="FO",'2025'!$J$2=BH233),'2025DATA'!$C$10,"")</f>
        <v/>
      </c>
      <c r="BI241" s="518" t="str">
        <f>IF(AND(_A4="A-330-200",'2025'!$J$4="FO",'2025'!$J$2=BI233),'2025DATA'!$D$10,"")</f>
        <v/>
      </c>
      <c r="BJ241" s="518" t="str">
        <f>IF(AND(_A4="A-330-200",'2025'!$J$4="FO",'2025'!$J$2=BJ233),'2025DATA'!$E$10,"")</f>
        <v/>
      </c>
      <c r="BK241" s="518" t="str">
        <f>IF(AND(_A4="A-330-200",'2025'!$J$4="FO",'2025'!$J$2=BK233),'2025DATA'!$F$10,"")</f>
        <v/>
      </c>
      <c r="BL241" s="518" t="str">
        <f>IF(AND(_A4="A-330-200",'2025'!$J$4="FO",'2025'!$J$2=BL233),'2025DATA'!$G$10,"")</f>
        <v/>
      </c>
      <c r="BM241" s="518" t="str">
        <f>IF(AND(_A4="A-330-200",'2025'!$J$4="FO",'2025'!$J$2=BM233),'2025DATA'!$H$10,"")</f>
        <v/>
      </c>
      <c r="BN241" s="518" t="str">
        <f>IF(AND(_A4="A-330-200",'2025'!$J$4="FO",'2025'!$J$2=BN233),'2025DATA'!$I$10,"")</f>
        <v/>
      </c>
      <c r="BO241" s="518" t="str">
        <f>IF(AND(_A4="A-330-200",'2025'!$J$4="FO",'2025'!$J$2=BO233),'2025DATA'!$J$10,"")</f>
        <v/>
      </c>
      <c r="BP241" s="518" t="str">
        <f>IF(AND(_A4="A-330-200",'2025'!$J$4="FO",'2025'!$J$2=BP233),'2025DATA'!$K$10,"")</f>
        <v/>
      </c>
      <c r="BQ241" s="518" t="str">
        <f>IF(AND(_A4="A-330-200",'2025'!$J$4="FO",'2025'!$J$2=BQ233),'2025DATA'!$L$10,"")</f>
        <v/>
      </c>
      <c r="BR241" s="518" t="str">
        <f>IF(AND(_A4="A-330-200",'2025'!$J$4="FO",'2025'!$J$2=BR233),'2025DATA'!$M$10,"")</f>
        <v/>
      </c>
      <c r="BS241" s="520" t="str">
        <f>IF(AND(_A4="A-330-200",'2025'!$J$4="FO",'2025'!$J$2=BS233),'2025DATA'!$N$10,"")</f>
        <v/>
      </c>
      <c r="BT241" s="940"/>
      <c r="BU241" s="13" t="s">
        <v>62</v>
      </c>
      <c r="BV241" s="518" t="str">
        <f>IF(AND(_A5="A-330-200",'2025'!$J$4="FO",'2025'!$J$2=BV233),'2025DATA'!$C$10,"")</f>
        <v/>
      </c>
      <c r="BW241" s="518" t="str">
        <f>IF(AND(_A5="A-330-200",'2025'!$J$4="FO",'2025'!$J$2=BW233),'2025DATA'!$D$10,"")</f>
        <v/>
      </c>
      <c r="BX241" s="518" t="str">
        <f>IF(AND(_A5="A-330-200",'2025'!$J$4="FO",'2025'!$J$2=BX233),'2025DATA'!$E$10,"")</f>
        <v/>
      </c>
      <c r="BY241" s="518" t="str">
        <f>IF(AND(_A5="A-330-200",'2025'!$J$4="FO",'2025'!$J$2=BY233),'2025DATA'!$F$10,"")</f>
        <v/>
      </c>
      <c r="BZ241" s="518" t="str">
        <f>IF(AND(_A5="A-330-200",'2025'!$J$4="FO",'2025'!$J$2=BZ233),'2025DATA'!$G$10,"")</f>
        <v/>
      </c>
      <c r="CA241" s="518" t="str">
        <f>IF(AND(_A5="A-330-200",'2025'!$J$4="FO",'2025'!$J$2=CA233),'2025DATA'!$H$10,"")</f>
        <v/>
      </c>
      <c r="CB241" s="518" t="str">
        <f>IF(AND(_A5="A-330-200",'2025'!$J$4="FO",'2025'!$J$2=CB233),'2025DATA'!$I$10,"")</f>
        <v/>
      </c>
      <c r="CC241" s="518" t="str">
        <f>IF(AND(_A5="A-330-200",'2025'!$J$4="FO",'2025'!$J$2=CC233),'2025DATA'!$J$10,"")</f>
        <v/>
      </c>
      <c r="CD241" s="518" t="str">
        <f>IF(AND(_A5="A-330-200",'2025'!$J$4="FO",'2025'!$J$2=CD233),'2025DATA'!$K$10,"")</f>
        <v/>
      </c>
      <c r="CE241" s="518" t="str">
        <f>IF(AND(_A5="A-330-200",'2025'!$J$4="FO",'2025'!$J$2=CE233),'2025DATA'!$L$10,"")</f>
        <v/>
      </c>
      <c r="CF241" s="518" t="str">
        <f>IF(AND(_A5="A-330-200",'2025'!$J$4="FO",'2025'!$J$2=CF233),'2025DATA'!$M$10,"")</f>
        <v/>
      </c>
      <c r="CG241" s="520" t="str">
        <f>IF(AND(_A5="A-330-200",'2025'!$J$4="FO",'2025'!$J$2=CG233),'2025DATA'!$N$10,"")</f>
        <v/>
      </c>
      <c r="CH241" s="940"/>
      <c r="CI241" s="13" t="s">
        <v>62</v>
      </c>
      <c r="CJ241" s="518" t="str">
        <f>IF(AND(_A6="A-330-200",'2025'!$J$4="FO",'2025'!$J$2=CJ233),'2025DATA'!$C$10,"")</f>
        <v/>
      </c>
      <c r="CK241" s="518" t="str">
        <f>IF(AND(_A6="A-330-200",'2025'!$J$4="FO",'2025'!$J$2=CK233),'2025DATA'!$D$10,"")</f>
        <v/>
      </c>
      <c r="CL241" s="518" t="str">
        <f>IF(AND(_A6="A-330-200",'2025'!$J$4="FO",'2025'!$J$2=CL233),'2025DATA'!$E$10,"")</f>
        <v/>
      </c>
      <c r="CM241" s="518" t="str">
        <f>IF(AND(_A6="A-330-200",'2025'!$J$4="FO",'2025'!$J$2=CM233),'2025DATA'!$F$10,"")</f>
        <v/>
      </c>
      <c r="CN241" s="518" t="str">
        <f>IF(AND(_A6="A-330-200",'2025'!$J$4="FO",'2025'!$J$2=CN233),'2025DATA'!$G$10,"")</f>
        <v/>
      </c>
      <c r="CO241" s="518" t="str">
        <f>IF(AND(_A6="A-330-200",'2025'!$J$4="FO",'2025'!$J$2=CO233),'2025DATA'!$H$10,"")</f>
        <v/>
      </c>
      <c r="CP241" s="518" t="str">
        <f>IF(AND(_A6="A-330-200",'2025'!$J$4="FO",'2025'!$J$2=CP233),'2025DATA'!$I$10,"")</f>
        <v/>
      </c>
      <c r="CQ241" s="518" t="str">
        <f>IF(AND(_A6="A-330-200",'2025'!$J$4="FO",'2025'!$J$2=CQ233),'2025DATA'!$J$10,"")</f>
        <v/>
      </c>
      <c r="CR241" s="518" t="str">
        <f>IF(AND(_A6="A-330-200",'2025'!$J$4="FO",'2025'!$J$2=CR233),'2025DATA'!$K$10,"")</f>
        <v/>
      </c>
      <c r="CS241" s="518" t="str">
        <f>IF(AND(_A6="A-330-200",'2025'!$J$4="FO",'2025'!$J$2=CS233),'2025DATA'!$L$10,"")</f>
        <v/>
      </c>
      <c r="CT241" s="518" t="str">
        <f>IF(AND(_A6="A-330-200",'2025'!$J$4="FO",'2025'!$J$2=CT233),'2025DATA'!$M$10,"")</f>
        <v/>
      </c>
      <c r="CU241" s="520" t="str">
        <f>IF(AND(_A6="A-330-200",'2025'!$J$4="FO",'2025'!$J$2=CU233),'2025DATA'!$N$10,"")</f>
        <v/>
      </c>
    </row>
    <row r="242" spans="16:99" x14ac:dyDescent="0.25">
      <c r="P242" s="940" t="s">
        <v>42</v>
      </c>
      <c r="Q242" s="13" t="s">
        <v>61</v>
      </c>
      <c r="R242" s="518" t="str">
        <f>IF(AND(_A1="B-767-400ER",'2025'!$J$4="CA",'2025'!$J$2=R233),'2025DATA'!$C$11,"")</f>
        <v/>
      </c>
      <c r="S242" s="518" t="str">
        <f>IF(AND(_A1="B-767-400ER",'2025'!$J$4="CA",'2025'!$J$2=S233),'2025DATA'!$D$11,"")</f>
        <v/>
      </c>
      <c r="T242" s="518" t="str">
        <f>IF(AND(_A1="B-767-400ER",'2025'!$J$4="CA",'2025'!$J$2=T233),'2025DATA'!$E$11,"")</f>
        <v/>
      </c>
      <c r="U242" s="518" t="str">
        <f>IF(AND(_A1="B-767-400ER",'2025'!$J$4="CA",'2025'!$J$2=U233),'2025DATA'!$F$11,"")</f>
        <v/>
      </c>
      <c r="V242" s="518" t="str">
        <f>IF(AND(_A1="B-767-400ER",'2025'!$J$4="CA",'2025'!$J$2=V233),'2025DATA'!$G$11,"")</f>
        <v/>
      </c>
      <c r="W242" s="518" t="str">
        <f>IF(AND(_A1="B-767-400ER",'2025'!$J$4="CA",'2025'!$J$2=W233),'2025DATA'!$H$11,"")</f>
        <v/>
      </c>
      <c r="X242" s="518" t="str">
        <f>IF(AND(_A1="B-767-400ER",'2025'!$J$4="CA",'2025'!$J$2=X233),'2025DATA'!$I$11,"")</f>
        <v/>
      </c>
      <c r="Y242" s="518" t="str">
        <f>IF(AND(_A1="B-767-400ER",'2025'!$J$4="CA",'2025'!$J$2=Y233),'2025DATA'!$J$11,"")</f>
        <v/>
      </c>
      <c r="Z242" s="518" t="str">
        <f>IF(AND(_A1="B-767-400ER",'2025'!$J$4="CA",'2025'!$J$2=Z233),'2025DATA'!$K$11,"")</f>
        <v/>
      </c>
      <c r="AA242" s="518" t="str">
        <f>IF(AND(_A1="B-767-400ER",'2025'!$J$4="CA",'2025'!$J$2=AA233),'2025DATA'!$L$11,"")</f>
        <v/>
      </c>
      <c r="AB242" s="518" t="str">
        <f>IF(AND(_A1="B-767-400ER",'2025'!$J$4="CA",'2025'!$J$2=AB233),'2025DATA'!$M$11,"")</f>
        <v/>
      </c>
      <c r="AC242" s="520" t="str">
        <f>IF(AND(_A1="B-767-400ER",'2025'!$J$4="CA",'2025'!$J$2=AC233),'2025DATA'!$N$11,"")</f>
        <v/>
      </c>
      <c r="AD242" s="940" t="s">
        <v>42</v>
      </c>
      <c r="AE242" s="13" t="s">
        <v>61</v>
      </c>
      <c r="AF242" s="518" t="str">
        <f>IF(AND(_A2="B-767-400ER",'2025'!$J$4="CA",'2025'!$J$2=AF233),'2025DATA'!$C$11,"")</f>
        <v/>
      </c>
      <c r="AG242" s="518" t="str">
        <f>IF(AND(_A2="B-767-400ER",'2025'!$J$4="CA",'2025'!$J$2=AG233),'2025DATA'!$D$11,"")</f>
        <v/>
      </c>
      <c r="AH242" s="518" t="str">
        <f>IF(AND(_A2="B-767-400ER",'2025'!$J$4="CA",'2025'!$J$2=AH233),'2025DATA'!$E$11,"")</f>
        <v/>
      </c>
      <c r="AI242" s="518" t="str">
        <f>IF(AND(_A2="B-767-400ER",'2025'!$J$4="CA",'2025'!$J$2=AI233),'2025DATA'!$F$11,"")</f>
        <v/>
      </c>
      <c r="AJ242" s="518" t="str">
        <f>IF(AND(_A2="B-767-400ER",'2025'!$J$4="CA",'2025'!$J$2=AJ233),'2025DATA'!$G$11,"")</f>
        <v/>
      </c>
      <c r="AK242" s="518" t="str">
        <f>IF(AND(_A2="B-767-400ER",'2025'!$J$4="CA",'2025'!$J$2=AK233),'2025DATA'!$H$11,"")</f>
        <v/>
      </c>
      <c r="AL242" s="518" t="str">
        <f>IF(AND(_A2="B-767-400ER",'2025'!$J$4="CA",'2025'!$J$2=AL233),'2025DATA'!$I$11,"")</f>
        <v/>
      </c>
      <c r="AM242" s="518" t="str">
        <f>IF(AND(_A2="B-767-400ER",'2025'!$J$4="CA",'2025'!$J$2=AM233),'2025DATA'!$J$11,"")</f>
        <v/>
      </c>
      <c r="AN242" s="518" t="str">
        <f>IF(AND(_A2="B-767-400ER",'2025'!$J$4="CA",'2025'!$J$2=AN233),'2025DATA'!$K$11,"")</f>
        <v/>
      </c>
      <c r="AO242" s="518" t="str">
        <f>IF(AND(_A2="B-767-400ER",'2025'!$J$4="CA",'2025'!$J$2=AO233),'2025DATA'!$L$11,"")</f>
        <v/>
      </c>
      <c r="AP242" s="518" t="str">
        <f>IF(AND(_A2="B-767-400ER",'2025'!$J$4="CA",'2025'!$J$2=AP233),'2025DATA'!$M$11,"")</f>
        <v/>
      </c>
      <c r="AQ242" s="520" t="str">
        <f>IF(AND(_A2="B-767-400ER",'2025'!$J$4="CA",'2025'!$J$2=AQ233),'2025DATA'!$N$11,"")</f>
        <v/>
      </c>
      <c r="AR242" s="940" t="s">
        <v>42</v>
      </c>
      <c r="AS242" s="13" t="s">
        <v>61</v>
      </c>
      <c r="AT242" s="518" t="str">
        <f>IF(AND(_A3="B-767-400ER",'2025'!$J$4="CA",'2025'!$J$2=AT233),'2025DATA'!$C$11,"")</f>
        <v/>
      </c>
      <c r="AU242" s="518" t="str">
        <f>IF(AND(_A3="B-767-400ER",'2025'!$J$4="CA",'2025'!$J$2=AU233),'2025DATA'!$D$11,"")</f>
        <v/>
      </c>
      <c r="AV242" s="518" t="str">
        <f>IF(AND(_A3="B-767-400ER",'2025'!$J$4="CA",'2025'!$J$2=AV233),'2025DATA'!$E$11,"")</f>
        <v/>
      </c>
      <c r="AW242" s="518" t="str">
        <f>IF(AND(_A3="B-767-400ER",'2025'!$J$4="CA",'2025'!$J$2=AW233),'2025DATA'!$F$11,"")</f>
        <v/>
      </c>
      <c r="AX242" s="518" t="str">
        <f>IF(AND(_A3="B-767-400ER",'2025'!$J$4="CA",'2025'!$J$2=AX233),'2025DATA'!$G$11,"")</f>
        <v/>
      </c>
      <c r="AY242" s="518" t="str">
        <f>IF(AND(_A3="B-767-400ER",'2025'!$J$4="CA",'2025'!$J$2=AY233),'2025DATA'!$H$11,"")</f>
        <v/>
      </c>
      <c r="AZ242" s="518" t="str">
        <f>IF(AND(_A3="B-767-400ER",'2025'!$J$4="CA",'2025'!$J$2=AZ233),'2025DATA'!$I$11,"")</f>
        <v/>
      </c>
      <c r="BA242" s="518" t="str">
        <f>IF(AND(_A3="B-767-400ER",'2025'!$J$4="CA",'2025'!$J$2=BA233),'2025DATA'!$J$11,"")</f>
        <v/>
      </c>
      <c r="BB242" s="518" t="str">
        <f>IF(AND(_A3="B-767-400ER",'2025'!$J$4="CA",'2025'!$J$2=BB233),'2025DATA'!$K$11,"")</f>
        <v/>
      </c>
      <c r="BC242" s="518" t="str">
        <f>IF(AND(_A3="B-767-400ER",'2025'!$J$4="CA",'2025'!$J$2=BC233),'2025DATA'!$L$11,"")</f>
        <v/>
      </c>
      <c r="BD242" s="518" t="str">
        <f>IF(AND(_A3="B-767-400ER",'2025'!$J$4="CA",'2025'!$J$2=BD233),'2025DATA'!$M$11,"")</f>
        <v/>
      </c>
      <c r="BE242" s="520" t="str">
        <f>IF(AND(_A3="B-767-400ER",'2025'!$J$4="CA",'2025'!$J$2=BE233),'2025DATA'!$N$11,"")</f>
        <v/>
      </c>
      <c r="BF242" s="940" t="s">
        <v>42</v>
      </c>
      <c r="BG242" s="13" t="s">
        <v>61</v>
      </c>
      <c r="BH242" s="518" t="str">
        <f>IF(AND(_A4="B-767-400ER",'2025'!$J$4="CA",'2025'!$J$2=BH233),'2025DATA'!$C$11,"")</f>
        <v/>
      </c>
      <c r="BI242" s="518" t="str">
        <f>IF(AND(_A4="B-767-400ER",'2025'!$J$4="CA",'2025'!$J$2=BI233),'2025DATA'!$D$11,"")</f>
        <v/>
      </c>
      <c r="BJ242" s="518" t="str">
        <f>IF(AND(_A4="B-767-400ER",'2025'!$J$4="CA",'2025'!$J$2=BJ233),'2025DATA'!$E$11,"")</f>
        <v/>
      </c>
      <c r="BK242" s="518" t="str">
        <f>IF(AND(_A4="B-767-400ER",'2025'!$J$4="CA",'2025'!$J$2=BK233),'2025DATA'!$F$11,"")</f>
        <v/>
      </c>
      <c r="BL242" s="518" t="str">
        <f>IF(AND(_A4="B-767-400ER",'2025'!$J$4="CA",'2025'!$J$2=BL233),'2025DATA'!$G$11,"")</f>
        <v/>
      </c>
      <c r="BM242" s="518" t="str">
        <f>IF(AND(_A4="B-767-400ER",'2025'!$J$4="CA",'2025'!$J$2=BM233),'2025DATA'!$H$11,"")</f>
        <v/>
      </c>
      <c r="BN242" s="518" t="str">
        <f>IF(AND(_A4="B-767-400ER",'2025'!$J$4="CA",'2025'!$J$2=BN233),'2025DATA'!$I$11,"")</f>
        <v/>
      </c>
      <c r="BO242" s="518" t="str">
        <f>IF(AND(_A4="B-767-400ER",'2025'!$J$4="CA",'2025'!$J$2=BO233),'2025DATA'!$J$11,"")</f>
        <v/>
      </c>
      <c r="BP242" s="518" t="str">
        <f>IF(AND(_A4="B-767-400ER",'2025'!$J$4="CA",'2025'!$J$2=BP233),'2025DATA'!$K$11,"")</f>
        <v/>
      </c>
      <c r="BQ242" s="518" t="str">
        <f>IF(AND(_A4="B-767-400ER",'2025'!$J$4="CA",'2025'!$J$2=BQ233),'2025DATA'!$L$11,"")</f>
        <v/>
      </c>
      <c r="BR242" s="518" t="str">
        <f>IF(AND(_A4="B-767-400ER",'2025'!$J$4="CA",'2025'!$J$2=BR233),'2025DATA'!$M$11,"")</f>
        <v/>
      </c>
      <c r="BS242" s="520" t="str">
        <f>IF(AND(_A4="B-767-400ER",'2025'!$J$4="CA",'2025'!$J$2=BS233),'2025DATA'!$N$11,"")</f>
        <v/>
      </c>
      <c r="BT242" s="940" t="s">
        <v>42</v>
      </c>
      <c r="BU242" s="13" t="s">
        <v>61</v>
      </c>
      <c r="BV242" s="518" t="str">
        <f>IF(AND(_A5="B-767-400ER",'2025'!$J$4="CA",'2025'!$J$2=BV233),'2025DATA'!$C$11,"")</f>
        <v/>
      </c>
      <c r="BW242" s="518" t="str">
        <f>IF(AND(_A5="B-767-400ER",'2025'!$J$4="CA",'2025'!$J$2=BW233),'2025DATA'!$D$11,"")</f>
        <v/>
      </c>
      <c r="BX242" s="518" t="str">
        <f>IF(AND(_A5="B-767-400ER",'2025'!$J$4="CA",'2025'!$J$2=BX233),'2025DATA'!$E$11,"")</f>
        <v/>
      </c>
      <c r="BY242" s="518" t="str">
        <f>IF(AND(_A5="B-767-400ER",'2025'!$J$4="CA",'2025'!$J$2=BY233),'2025DATA'!$F$11,"")</f>
        <v/>
      </c>
      <c r="BZ242" s="518" t="str">
        <f>IF(AND(_A5="B-767-400ER",'2025'!$J$4="CA",'2025'!$J$2=BZ233),'2025DATA'!$G$11,"")</f>
        <v/>
      </c>
      <c r="CA242" s="518" t="str">
        <f>IF(AND(_A5="B-767-400ER",'2025'!$J$4="CA",'2025'!$J$2=CA233),'2025DATA'!$H$11,"")</f>
        <v/>
      </c>
      <c r="CB242" s="518" t="str">
        <f>IF(AND(_A5="B-767-400ER",'2025'!$J$4="CA",'2025'!$J$2=CB233),'2025DATA'!$I$11,"")</f>
        <v/>
      </c>
      <c r="CC242" s="518" t="str">
        <f>IF(AND(_A5="B-767-400ER",'2025'!$J$4="CA",'2025'!$J$2=CC233),'2025DATA'!$J$11,"")</f>
        <v/>
      </c>
      <c r="CD242" s="518" t="str">
        <f>IF(AND(_A5="B-767-400ER",'2025'!$J$4="CA",'2025'!$J$2=CD233),'2025DATA'!$K$11,"")</f>
        <v/>
      </c>
      <c r="CE242" s="518" t="str">
        <f>IF(AND(_A5="B-767-400ER",'2025'!$J$4="CA",'2025'!$J$2=CE233),'2025DATA'!$L$11,"")</f>
        <v/>
      </c>
      <c r="CF242" s="518" t="str">
        <f>IF(AND(_A5="B-767-400ER",'2025'!$J$4="CA",'2025'!$J$2=CF233),'2025DATA'!$M$11,"")</f>
        <v/>
      </c>
      <c r="CG242" s="520" t="str">
        <f>IF(AND(_A5="B-767-400ER",'2025'!$J$4="CA",'2025'!$J$2=CG233),'2025DATA'!$N$11,"")</f>
        <v/>
      </c>
      <c r="CH242" s="940" t="s">
        <v>42</v>
      </c>
      <c r="CI242" s="13" t="s">
        <v>61</v>
      </c>
      <c r="CJ242" s="518" t="str">
        <f>IF(AND(_A6="B-767-400ER",'2025'!$J$4="CA",'2025'!$J$2=CJ233),'2025DATA'!$C$11,"")</f>
        <v/>
      </c>
      <c r="CK242" s="518" t="str">
        <f>IF(AND(_A6="B-767-400ER",'2025'!$J$4="CA",'2025'!$J$2=CK233),'2025DATA'!$D$11,"")</f>
        <v/>
      </c>
      <c r="CL242" s="518" t="str">
        <f>IF(AND(_A6="B-767-400ER",'2025'!$J$4="CA",'2025'!$J$2=CL233),'2025DATA'!$E$11,"")</f>
        <v/>
      </c>
      <c r="CM242" s="518" t="str">
        <f>IF(AND(_A6="B-767-400ER",'2025'!$J$4="CA",'2025'!$J$2=CM233),'2025DATA'!$F$11,"")</f>
        <v/>
      </c>
      <c r="CN242" s="518" t="str">
        <f>IF(AND(_A6="B-767-400ER",'2025'!$J$4="CA",'2025'!$J$2=CN233),'2025DATA'!$G$11,"")</f>
        <v/>
      </c>
      <c r="CO242" s="518" t="str">
        <f>IF(AND(_A6="B-767-400ER",'2025'!$J$4="CA",'2025'!$J$2=CO233),'2025DATA'!$H$11,"")</f>
        <v/>
      </c>
      <c r="CP242" s="518" t="str">
        <f>IF(AND(_A6="B-767-400ER",'2025'!$J$4="CA",'2025'!$J$2=CP233),'2025DATA'!$I$11,"")</f>
        <v/>
      </c>
      <c r="CQ242" s="518" t="str">
        <f>IF(AND(_A6="B-767-400ER",'2025'!$J$4="CA",'2025'!$J$2=CQ233),'2025DATA'!$J$11,"")</f>
        <v/>
      </c>
      <c r="CR242" s="518" t="str">
        <f>IF(AND(_A6="B-767-400ER",'2025'!$J$4="CA",'2025'!$J$2=CR233),'2025DATA'!$K$11,"")</f>
        <v/>
      </c>
      <c r="CS242" s="518" t="str">
        <f>IF(AND(_A6="B-767-400ER",'2025'!$J$4="CA",'2025'!$J$2=CS233),'2025DATA'!$L$11,"")</f>
        <v/>
      </c>
      <c r="CT242" s="518" t="str">
        <f>IF(AND(_A6="B-767-400ER",'2025'!$J$4="CA",'2025'!$J$2=CT233),'2025DATA'!$M$11,"")</f>
        <v/>
      </c>
      <c r="CU242" s="520" t="str">
        <f>IF(AND(_A6="B-767-400ER",'2025'!$J$4="CA",'2025'!$J$2=CU233),'2025DATA'!$N$11,"")</f>
        <v/>
      </c>
    </row>
    <row r="243" spans="16:99" x14ac:dyDescent="0.25">
      <c r="P243" s="940"/>
      <c r="Q243" s="13" t="s">
        <v>62</v>
      </c>
      <c r="R243" s="518" t="str">
        <f>IF(AND(_A1="B-767-400ER",'2025'!$J$4="FO",'2025'!$J$2=R233),'2025DATA'!$C$12,"")</f>
        <v/>
      </c>
      <c r="S243" s="518" t="str">
        <f>IF(AND(_A1="B-767-400ER",'2025'!$J$4="FO",'2025'!$J$2=S233),'2025DATA'!$D$12,"")</f>
        <v/>
      </c>
      <c r="T243" s="518" t="str">
        <f>IF(AND(_A1="B-767-400ER",'2025'!$J$4="FO",'2025'!$J$2=T233),'2025DATA'!$E$12,"")</f>
        <v/>
      </c>
      <c r="U243" s="518" t="str">
        <f>IF(AND(_A1="B-767-400ER",'2025'!$J$4="FO",'2025'!$J$2=U233),'2025DATA'!$F$12,"")</f>
        <v/>
      </c>
      <c r="V243" s="518" t="str">
        <f>IF(AND(_A1="B-767-400ER",'2025'!$J$4="FO",'2025'!$J$2=V233),'2025DATA'!$G$12,"")</f>
        <v/>
      </c>
      <c r="W243" s="518" t="str">
        <f>IF(AND(_A1="B-767-400ER",'2025'!$J$4="FO",'2025'!$J$2=W233),'2025DATA'!$H$12,"")</f>
        <v/>
      </c>
      <c r="X243" s="518" t="str">
        <f>IF(AND(_A1="B-767-400ER",'2025'!$J$4="FO",'2025'!$J$2=X233),'2025DATA'!$I$12,"")</f>
        <v/>
      </c>
      <c r="Y243" s="518" t="str">
        <f>IF(AND(_A1="B-767-400ER",'2025'!$J$4="FO",'2025'!$J$2=Y233),'2025DATA'!$J$12,"")</f>
        <v/>
      </c>
      <c r="Z243" s="518" t="str">
        <f>IF(AND(_A1="B-767-400ER",'2025'!$J$4="FO",'2025'!$J$2=Z233),'2025DATA'!$K$12,"")</f>
        <v/>
      </c>
      <c r="AA243" s="518" t="str">
        <f>IF(AND(_A1="B-767-400ER",'2025'!$J$4="FO",'2025'!$J$2=AA233),'2025DATA'!$L$12,"")</f>
        <v/>
      </c>
      <c r="AB243" s="518" t="str">
        <f>IF(AND(_A1="B-767-400ER",'2025'!$J$4="FO",'2025'!$J$2=AB233),'2025DATA'!$M$12,"")</f>
        <v/>
      </c>
      <c r="AC243" s="520" t="str">
        <f>IF(AND(_A1="B-767-400ER",'2025'!$J$4="FO",'2025'!$J$2=AC233),'2025DATA'!$N$12,"")</f>
        <v/>
      </c>
      <c r="AD243" s="940"/>
      <c r="AE243" s="13" t="s">
        <v>62</v>
      </c>
      <c r="AF243" s="518" t="str">
        <f>IF(AND(_A2="B-767-400ER",'2025'!$J$4="FO",'2025'!$J$2=AF233),'2025DATA'!$C$12,"")</f>
        <v/>
      </c>
      <c r="AG243" s="518" t="str">
        <f>IF(AND(_A2="B-767-400ER",'2025'!$J$4="FO",'2025'!$J$2=AG233),'2025DATA'!$D$12,"")</f>
        <v/>
      </c>
      <c r="AH243" s="518" t="str">
        <f>IF(AND(_A2="B-767-400ER",'2025'!$J$4="FO",'2025'!$J$2=AH233),'2025DATA'!$E$12,"")</f>
        <v/>
      </c>
      <c r="AI243" s="518" t="str">
        <f>IF(AND(_A2="B-767-400ER",'2025'!$J$4="FO",'2025'!$J$2=AI233),'2025DATA'!$F$12,"")</f>
        <v/>
      </c>
      <c r="AJ243" s="518" t="str">
        <f>IF(AND(_A2="B-767-400ER",'2025'!$J$4="FO",'2025'!$J$2=AJ233),'2025DATA'!$G$12,"")</f>
        <v/>
      </c>
      <c r="AK243" s="518" t="str">
        <f>IF(AND(_A2="B-767-400ER",'2025'!$J$4="FO",'2025'!$J$2=AK233),'2025DATA'!$H$12,"")</f>
        <v/>
      </c>
      <c r="AL243" s="518" t="str">
        <f>IF(AND(_A2="B-767-400ER",'2025'!$J$4="FO",'2025'!$J$2=AL233),'2025DATA'!$I$12,"")</f>
        <v/>
      </c>
      <c r="AM243" s="518" t="str">
        <f>IF(AND(_A2="B-767-400ER",'2025'!$J$4="FO",'2025'!$J$2=AM233),'2025DATA'!$J$12,"")</f>
        <v/>
      </c>
      <c r="AN243" s="518" t="str">
        <f>IF(AND(_A2="B-767-400ER",'2025'!$J$4="FO",'2025'!$J$2=AN233),'2025DATA'!$K$12,"")</f>
        <v/>
      </c>
      <c r="AO243" s="518" t="str">
        <f>IF(AND(_A2="B-767-400ER",'2025'!$J$4="FO",'2025'!$J$2=AO233),'2025DATA'!$L$12,"")</f>
        <v/>
      </c>
      <c r="AP243" s="518" t="str">
        <f>IF(AND(_A2="B-767-400ER",'2025'!$J$4="FO",'2025'!$J$2=AP233),'2025DATA'!$M$12,"")</f>
        <v/>
      </c>
      <c r="AQ243" s="520" t="str">
        <f>IF(AND(_A2="B-767-400ER",'2025'!$J$4="FO",'2025'!$J$2=AQ233),'2025DATA'!$N$12,"")</f>
        <v/>
      </c>
      <c r="AR243" s="940"/>
      <c r="AS243" s="13" t="s">
        <v>62</v>
      </c>
      <c r="AT243" s="518" t="str">
        <f>IF(AND(_A3="B-767-400ER",'2025'!$J$4="FO",'2025'!$J$2=AT233),'2025DATA'!$C$12,"")</f>
        <v/>
      </c>
      <c r="AU243" s="518" t="str">
        <f>IF(AND(_A3="B-767-400ER",'2025'!$J$4="FO",'2025'!$J$2=AU233),'2025DATA'!$D$12,"")</f>
        <v/>
      </c>
      <c r="AV243" s="518" t="str">
        <f>IF(AND(_A3="B-767-400ER",'2025'!$J$4="FO",'2025'!$J$2=AV233),'2025DATA'!$E$12,"")</f>
        <v/>
      </c>
      <c r="AW243" s="518" t="str">
        <f>IF(AND(_A3="B-767-400ER",'2025'!$J$4="FO",'2025'!$J$2=AW233),'2025DATA'!$F$12,"")</f>
        <v/>
      </c>
      <c r="AX243" s="518" t="str">
        <f>IF(AND(_A3="B-767-400ER",'2025'!$J$4="FO",'2025'!$J$2=AX233),'2025DATA'!$G$12,"")</f>
        <v/>
      </c>
      <c r="AY243" s="518" t="str">
        <f>IF(AND(_A3="B-767-400ER",'2025'!$J$4="FO",'2025'!$J$2=AY233),'2025DATA'!$H$12,"")</f>
        <v/>
      </c>
      <c r="AZ243" s="518" t="str">
        <f>IF(AND(_A3="B-767-400ER",'2025'!$J$4="FO",'2025'!$J$2=AZ233),'2025DATA'!$I$12,"")</f>
        <v/>
      </c>
      <c r="BA243" s="518" t="str">
        <f>IF(AND(_A3="B-767-400ER",'2025'!$J$4="FO",'2025'!$J$2=BA233),'2025DATA'!$J$12,"")</f>
        <v/>
      </c>
      <c r="BB243" s="518" t="str">
        <f>IF(AND(_A3="B-767-400ER",'2025'!$J$4="FO",'2025'!$J$2=BB233),'2025DATA'!$K$12,"")</f>
        <v/>
      </c>
      <c r="BC243" s="518" t="str">
        <f>IF(AND(_A3="B-767-400ER",'2025'!$J$4="FO",'2025'!$J$2=BC233),'2025DATA'!$L$12,"")</f>
        <v/>
      </c>
      <c r="BD243" s="518" t="str">
        <f>IF(AND(_A3="B-767-400ER",'2025'!$J$4="FO",'2025'!$J$2=BD233),'2025DATA'!$M$12,"")</f>
        <v/>
      </c>
      <c r="BE243" s="520" t="str">
        <f>IF(AND(_A3="B-767-400ER",'2025'!$J$4="FO",'2025'!$J$2=BE233),'2025DATA'!$N$12,"")</f>
        <v/>
      </c>
      <c r="BF243" s="940"/>
      <c r="BG243" s="13" t="s">
        <v>62</v>
      </c>
      <c r="BH243" s="518" t="str">
        <f>IF(AND(_A4="B-767-400ER",'2025'!$J$4="FO",'2025'!$J$2=BH233),'2025DATA'!$C$12,"")</f>
        <v/>
      </c>
      <c r="BI243" s="518" t="str">
        <f>IF(AND(_A4="B-767-400ER",'2025'!$J$4="FO",'2025'!$J$2=BI233),'2025DATA'!$D$12,"")</f>
        <v/>
      </c>
      <c r="BJ243" s="518" t="str">
        <f>IF(AND(_A4="B-767-400ER",'2025'!$J$4="FO",'2025'!$J$2=BJ233),'2025DATA'!$E$12,"")</f>
        <v/>
      </c>
      <c r="BK243" s="518" t="str">
        <f>IF(AND(_A4="B-767-400ER",'2025'!$J$4="FO",'2025'!$J$2=BK233),'2025DATA'!$F$12,"")</f>
        <v/>
      </c>
      <c r="BL243" s="518" t="str">
        <f>IF(AND(_A4="B-767-400ER",'2025'!$J$4="FO",'2025'!$J$2=BL233),'2025DATA'!$G$12,"")</f>
        <v/>
      </c>
      <c r="BM243" s="518" t="str">
        <f>IF(AND(_A4="B-767-400ER",'2025'!$J$4="FO",'2025'!$J$2=BM233),'2025DATA'!$H$12,"")</f>
        <v/>
      </c>
      <c r="BN243" s="518" t="str">
        <f>IF(AND(_A4="B-767-400ER",'2025'!$J$4="FO",'2025'!$J$2=BN233),'2025DATA'!$I$12,"")</f>
        <v/>
      </c>
      <c r="BO243" s="518" t="str">
        <f>IF(AND(_A4="B-767-400ER",'2025'!$J$4="FO",'2025'!$J$2=BO233),'2025DATA'!$J$12,"")</f>
        <v/>
      </c>
      <c r="BP243" s="518" t="str">
        <f>IF(AND(_A4="B-767-400ER",'2025'!$J$4="FO",'2025'!$J$2=BP233),'2025DATA'!$K$12,"")</f>
        <v/>
      </c>
      <c r="BQ243" s="518" t="str">
        <f>IF(AND(_A4="B-767-400ER",'2025'!$J$4="FO",'2025'!$J$2=BQ233),'2025DATA'!$L$12,"")</f>
        <v/>
      </c>
      <c r="BR243" s="518" t="str">
        <f>IF(AND(_A4="B-767-400ER",'2025'!$J$4="FO",'2025'!$J$2=BR233),'2025DATA'!$M$12,"")</f>
        <v/>
      </c>
      <c r="BS243" s="520" t="str">
        <f>IF(AND(_A4="B-767-400ER",'2025'!$J$4="FO",'2025'!$J$2=BS233),'2025DATA'!$N$12,"")</f>
        <v/>
      </c>
      <c r="BT243" s="940"/>
      <c r="BU243" s="13" t="s">
        <v>62</v>
      </c>
      <c r="BV243" s="518" t="str">
        <f>IF(AND(_A5="B-767-400ER",'2025'!$J$4="FO",'2025'!$J$2=BV233),'2025DATA'!$C$12,"")</f>
        <v/>
      </c>
      <c r="BW243" s="518" t="str">
        <f>IF(AND(_A5="B-767-400ER",'2025'!$J$4="FO",'2025'!$J$2=BW233),'2025DATA'!$D$12,"")</f>
        <v/>
      </c>
      <c r="BX243" s="518" t="str">
        <f>IF(AND(_A5="B-767-400ER",'2025'!$J$4="FO",'2025'!$J$2=BX233),'2025DATA'!$E$12,"")</f>
        <v/>
      </c>
      <c r="BY243" s="518" t="str">
        <f>IF(AND(_A5="B-767-400ER",'2025'!$J$4="FO",'2025'!$J$2=BY233),'2025DATA'!$F$12,"")</f>
        <v/>
      </c>
      <c r="BZ243" s="518" t="str">
        <f>IF(AND(_A5="B-767-400ER",'2025'!$J$4="FO",'2025'!$J$2=BZ233),'2025DATA'!$G$12,"")</f>
        <v/>
      </c>
      <c r="CA243" s="518" t="str">
        <f>IF(AND(_A5="B-767-400ER",'2025'!$J$4="FO",'2025'!$J$2=CA233),'2025DATA'!$H$12,"")</f>
        <v/>
      </c>
      <c r="CB243" s="518" t="str">
        <f>IF(AND(_A5="B-767-400ER",'2025'!$J$4="FO",'2025'!$J$2=CB233),'2025DATA'!$I$12,"")</f>
        <v/>
      </c>
      <c r="CC243" s="518" t="str">
        <f>IF(AND(_A5="B-767-400ER",'2025'!$J$4="FO",'2025'!$J$2=CC233),'2025DATA'!$J$12,"")</f>
        <v/>
      </c>
      <c r="CD243" s="518" t="str">
        <f>IF(AND(_A5="B-767-400ER",'2025'!$J$4="FO",'2025'!$J$2=CD233),'2025DATA'!$K$12,"")</f>
        <v/>
      </c>
      <c r="CE243" s="518" t="str">
        <f>IF(AND(_A5="B-767-400ER",'2025'!$J$4="FO",'2025'!$J$2=CE233),'2025DATA'!$L$12,"")</f>
        <v/>
      </c>
      <c r="CF243" s="518" t="str">
        <f>IF(AND(_A5="B-767-400ER",'2025'!$J$4="FO",'2025'!$J$2=CF233),'2025DATA'!$M$12,"")</f>
        <v/>
      </c>
      <c r="CG243" s="520" t="str">
        <f>IF(AND(_A5="B-767-400ER",'2025'!$J$4="FO",'2025'!$J$2=CG233),'2025DATA'!$N$12,"")</f>
        <v/>
      </c>
      <c r="CH243" s="940"/>
      <c r="CI243" s="13" t="s">
        <v>62</v>
      </c>
      <c r="CJ243" s="518" t="str">
        <f>IF(AND(_A6="B-767-400ER",'2025'!$J$4="FO",'2025'!$J$2=CJ233),'2025DATA'!$C$12,"")</f>
        <v/>
      </c>
      <c r="CK243" s="518" t="str">
        <f>IF(AND(_A6="B-767-400ER",'2025'!$J$4="FO",'2025'!$J$2=CK233),'2025DATA'!$D$12,"")</f>
        <v/>
      </c>
      <c r="CL243" s="518" t="str">
        <f>IF(AND(_A6="B-767-400ER",'2025'!$J$4="FO",'2025'!$J$2=CL233),'2025DATA'!$E$12,"")</f>
        <v/>
      </c>
      <c r="CM243" s="518" t="str">
        <f>IF(AND(_A6="B-767-400ER",'2025'!$J$4="FO",'2025'!$J$2=CM233),'2025DATA'!$F$12,"")</f>
        <v/>
      </c>
      <c r="CN243" s="518" t="str">
        <f>IF(AND(_A6="B-767-400ER",'2025'!$J$4="FO",'2025'!$J$2=CN233),'2025DATA'!$G$12,"")</f>
        <v/>
      </c>
      <c r="CO243" s="518" t="str">
        <f>IF(AND(_A6="B-767-400ER",'2025'!$J$4="FO",'2025'!$J$2=CO233),'2025DATA'!$H$12,"")</f>
        <v/>
      </c>
      <c r="CP243" s="518" t="str">
        <f>IF(AND(_A6="B-767-400ER",'2025'!$J$4="FO",'2025'!$J$2=CP233),'2025DATA'!$I$12,"")</f>
        <v/>
      </c>
      <c r="CQ243" s="518" t="str">
        <f>IF(AND(_A6="B-767-400ER",'2025'!$J$4="FO",'2025'!$J$2=CQ233),'2025DATA'!$J$12,"")</f>
        <v/>
      </c>
      <c r="CR243" s="518" t="str">
        <f>IF(AND(_A6="B-767-400ER",'2025'!$J$4="FO",'2025'!$J$2=CR233),'2025DATA'!$K$12,"")</f>
        <v/>
      </c>
      <c r="CS243" s="518" t="str">
        <f>IF(AND(_A6="B-767-400ER",'2025'!$J$4="FO",'2025'!$J$2=CS233),'2025DATA'!$L$12,"")</f>
        <v/>
      </c>
      <c r="CT243" s="518" t="str">
        <f>IF(AND(_A6="B-767-400ER",'2025'!$J$4="FO",'2025'!$J$2=CT233),'2025DATA'!$M$12,"")</f>
        <v/>
      </c>
      <c r="CU243" s="520" t="str">
        <f>IF(AND(_A6="B-767-400ER",'2025'!$J$4="FO",'2025'!$J$2=CU233),'2025DATA'!$N$12,"")</f>
        <v/>
      </c>
    </row>
    <row r="244" spans="16:99" x14ac:dyDescent="0.25">
      <c r="P244" s="940" t="s">
        <v>43</v>
      </c>
      <c r="Q244" s="13" t="s">
        <v>61</v>
      </c>
      <c r="R244" s="518" t="str">
        <f>IF(AND(_A1="B-767-300ER",'2025'!$J$4="CA",'2025'!$J$2=R233),'2025DATA'!$C$13,"")</f>
        <v/>
      </c>
      <c r="S244" s="518" t="str">
        <f>IF(AND(_A1="B-767-300ER",'2025'!$J$4="CA",'2025'!$J$2=S233),'2025DATA'!$D$13,"")</f>
        <v/>
      </c>
      <c r="T244" s="518" t="str">
        <f>IF(AND(_A1="B-767-300ER",'2025'!$J$4="CA",'2025'!$J$2=T233),'2025DATA'!$E$13,"")</f>
        <v/>
      </c>
      <c r="U244" s="518" t="str">
        <f>IF(AND(_A1="B-767-300ER",'2025'!$J$4="CA",'2025'!$J$2=U233),'2025DATA'!$F$13,"")</f>
        <v/>
      </c>
      <c r="V244" s="518" t="str">
        <f>IF(AND(_A1="B-767-300ER",'2025'!$J$4="CA",'2025'!$J$2=V233),'2025DATA'!$G$13,"")</f>
        <v/>
      </c>
      <c r="W244" s="518" t="str">
        <f>IF(AND(_A1="B-767-300ER",'2025'!$J$4="CA",'2025'!$J$2=W233),'2025DATA'!$H$13,"")</f>
        <v/>
      </c>
      <c r="X244" s="518" t="str">
        <f>IF(AND(_A1="B-767-300ER",'2025'!$J$4="CA",'2025'!$J$2=X233),'2025DATA'!$I$13,"")</f>
        <v/>
      </c>
      <c r="Y244" s="518" t="str">
        <f>IF(AND(_A1="B-767-300ER",'2025'!$J$4="CA",'2025'!$J$2=Y233),'2025DATA'!$J$13,"")</f>
        <v/>
      </c>
      <c r="Z244" s="518" t="str">
        <f>IF(AND(_A1="B-767-300ER",'2025'!$J$4="CA",'2025'!$J$2=Z233),'2025DATA'!$K$13,"")</f>
        <v/>
      </c>
      <c r="AA244" s="518" t="str">
        <f>IF(AND(_A1="B-767-300ER",'2025'!$J$4="CA",'2025'!$J$2=AA233),'2025DATA'!$L$13,"")</f>
        <v/>
      </c>
      <c r="AB244" s="518" t="str">
        <f>IF(AND(_A1="B-767-300ER",'2025'!$J$4="CA",'2025'!$J$2=AB233),'2025DATA'!$M$13,"")</f>
        <v/>
      </c>
      <c r="AC244" s="520" t="str">
        <f>IF(AND(_A1="B-767-300ER",'2025'!$J$4="CA",'2025'!$J$2=AC233),'2025DATA'!$N$13,"")</f>
        <v/>
      </c>
      <c r="AD244" s="940" t="s">
        <v>43</v>
      </c>
      <c r="AE244" s="13" t="s">
        <v>61</v>
      </c>
      <c r="AF244" s="518" t="str">
        <f>IF(AND(_A2="B-767-300ER",'2025'!$J$4="CA",'2025'!$J$2=AF233),'2025DATA'!$C$13,"")</f>
        <v/>
      </c>
      <c r="AG244" s="518" t="str">
        <f>IF(AND(_A2="B-767-300ER",'2025'!$J$4="CA",'2025'!$J$2=AG233),'2025DATA'!$D$13,"")</f>
        <v/>
      </c>
      <c r="AH244" s="518" t="str">
        <f>IF(AND(_A2="B-767-300ER",'2025'!$J$4="CA",'2025'!$J$2=AH233),'2025DATA'!$E$13,"")</f>
        <v/>
      </c>
      <c r="AI244" s="518" t="str">
        <f>IF(AND(_A2="B-767-300ER",'2025'!$J$4="CA",'2025'!$J$2=AI233),'2025DATA'!$F$13,"")</f>
        <v/>
      </c>
      <c r="AJ244" s="518" t="str">
        <f>IF(AND(_A2="B-767-300ER",'2025'!$J$4="CA",'2025'!$J$2=AJ233),'2025DATA'!$G$13,"")</f>
        <v/>
      </c>
      <c r="AK244" s="518" t="str">
        <f>IF(AND(_A2="B-767-300ER",'2025'!$J$4="CA",'2025'!$J$2=AK233),'2025DATA'!$H$13,"")</f>
        <v/>
      </c>
      <c r="AL244" s="518" t="str">
        <f>IF(AND(_A2="B-767-300ER",'2025'!$J$4="CA",'2025'!$J$2=AL233),'2025DATA'!$I$13,"")</f>
        <v/>
      </c>
      <c r="AM244" s="518" t="str">
        <f>IF(AND(_A2="B-767-300ER",'2025'!$J$4="CA",'2025'!$J$2=AM233),'2025DATA'!$J$13,"")</f>
        <v/>
      </c>
      <c r="AN244" s="518" t="str">
        <f>IF(AND(_A2="B-767-300ER",'2025'!$J$4="CA",'2025'!$J$2=AN233),'2025DATA'!$K$13,"")</f>
        <v/>
      </c>
      <c r="AO244" s="518" t="str">
        <f>IF(AND(_A2="B-767-300ER",'2025'!$J$4="CA",'2025'!$J$2=AO233),'2025DATA'!$L$13,"")</f>
        <v/>
      </c>
      <c r="AP244" s="518" t="str">
        <f>IF(AND(_A2="B-767-300ER",'2025'!$J$4="CA",'2025'!$J$2=AP233),'2025DATA'!$M$13,"")</f>
        <v/>
      </c>
      <c r="AQ244" s="520" t="str">
        <f>IF(AND(_A2="B-767-300ER",'2025'!$J$4="CA",'2025'!$J$2=AQ233),'2025DATA'!$N$13,"")</f>
        <v/>
      </c>
      <c r="AR244" s="940" t="s">
        <v>43</v>
      </c>
      <c r="AS244" s="13" t="s">
        <v>61</v>
      </c>
      <c r="AT244" s="518" t="str">
        <f>IF(AND(_A3="B-767-300ER",'2025'!$J$4="CA",'2025'!$J$2=AT233),'2025DATA'!$C$13,"")</f>
        <v/>
      </c>
      <c r="AU244" s="518" t="str">
        <f>IF(AND(_A3="B-767-300ER",'2025'!$J$4="CA",'2025'!$J$2=AU233),'2025DATA'!$D$13,"")</f>
        <v/>
      </c>
      <c r="AV244" s="518" t="str">
        <f>IF(AND(_A3="B-767-300ER",'2025'!$J$4="CA",'2025'!$J$2=AV233),'2025DATA'!$E$13,"")</f>
        <v/>
      </c>
      <c r="AW244" s="518" t="str">
        <f>IF(AND(_A3="B-767-300ER",'2025'!$J$4="CA",'2025'!$J$2=AW233),'2025DATA'!$F$13,"")</f>
        <v/>
      </c>
      <c r="AX244" s="518" t="str">
        <f>IF(AND(_A3="B-767-300ER",'2025'!$J$4="CA",'2025'!$J$2=AX233),'2025DATA'!$G$13,"")</f>
        <v/>
      </c>
      <c r="AY244" s="518" t="str">
        <f>IF(AND(_A3="B-767-300ER",'2025'!$J$4="CA",'2025'!$J$2=AY233),'2025DATA'!$H$13,"")</f>
        <v/>
      </c>
      <c r="AZ244" s="518" t="str">
        <f>IF(AND(_A3="B-767-300ER",'2025'!$J$4="CA",'2025'!$J$2=AZ233),'2025DATA'!$I$13,"")</f>
        <v/>
      </c>
      <c r="BA244" s="518" t="str">
        <f>IF(AND(_A3="B-767-300ER",'2025'!$J$4="CA",'2025'!$J$2=BA233),'2025DATA'!$J$13,"")</f>
        <v/>
      </c>
      <c r="BB244" s="518" t="str">
        <f>IF(AND(_A3="B-767-300ER",'2025'!$J$4="CA",'2025'!$J$2=BB233),'2025DATA'!$K$13,"")</f>
        <v/>
      </c>
      <c r="BC244" s="518" t="str">
        <f>IF(AND(_A3="B-767-300ER",'2025'!$J$4="CA",'2025'!$J$2=BC233),'2025DATA'!$L$13,"")</f>
        <v/>
      </c>
      <c r="BD244" s="518" t="str">
        <f>IF(AND(_A3="B-767-300ER",'2025'!$J$4="CA",'2025'!$J$2=BD233),'2025DATA'!$M$13,"")</f>
        <v/>
      </c>
      <c r="BE244" s="520" t="str">
        <f>IF(AND(_A3="B-767-300ER",'2025'!$J$4="CA",'2025'!$J$2=BE233),'2025DATA'!$N$13,"")</f>
        <v/>
      </c>
      <c r="BF244" s="940" t="s">
        <v>43</v>
      </c>
      <c r="BG244" s="13" t="s">
        <v>61</v>
      </c>
      <c r="BH244" s="518" t="str">
        <f>IF(AND(_A4="B-767-300ER",'2025'!$J$4="CA",'2025'!$J$2=BH233),'2025DATA'!$C$13,"")</f>
        <v/>
      </c>
      <c r="BI244" s="518" t="str">
        <f>IF(AND(_A4="B-767-300ER",'2025'!$J$4="CA",'2025'!$J$2=BI233),'2025DATA'!$D$13,"")</f>
        <v/>
      </c>
      <c r="BJ244" s="518" t="str">
        <f>IF(AND(_A4="B-767-300ER",'2025'!$J$4="CA",'2025'!$J$2=BJ233),'2025DATA'!$E$13,"")</f>
        <v/>
      </c>
      <c r="BK244" s="518" t="str">
        <f>IF(AND(_A4="B-767-300ER",'2025'!$J$4="CA",'2025'!$J$2=BK233),'2025DATA'!$F$13,"")</f>
        <v/>
      </c>
      <c r="BL244" s="518" t="str">
        <f>IF(AND(_A4="B-767-300ER",'2025'!$J$4="CA",'2025'!$J$2=BL233),'2025DATA'!$G$13,"")</f>
        <v/>
      </c>
      <c r="BM244" s="518" t="str">
        <f>IF(AND(_A4="B-767-300ER",'2025'!$J$4="CA",'2025'!$J$2=BM233),'2025DATA'!$H$13,"")</f>
        <v/>
      </c>
      <c r="BN244" s="518" t="str">
        <f>IF(AND(_A4="B-767-300ER",'2025'!$J$4="CA",'2025'!$J$2=BN233),'2025DATA'!$I$13,"")</f>
        <v/>
      </c>
      <c r="BO244" s="518" t="str">
        <f>IF(AND(_A4="B-767-300ER",'2025'!$J$4="CA",'2025'!$J$2=BO233),'2025DATA'!$J$13,"")</f>
        <v/>
      </c>
      <c r="BP244" s="518" t="str">
        <f>IF(AND(_A4="B-767-300ER",'2025'!$J$4="CA",'2025'!$J$2=BP233),'2025DATA'!$K$13,"")</f>
        <v/>
      </c>
      <c r="BQ244" s="518" t="str">
        <f>IF(AND(_A4="B-767-300ER",'2025'!$J$4="CA",'2025'!$J$2=BQ233),'2025DATA'!$L$13,"")</f>
        <v/>
      </c>
      <c r="BR244" s="518" t="str">
        <f>IF(AND(_A4="B-767-300ER",'2025'!$J$4="CA",'2025'!$J$2=BR233),'2025DATA'!$M$13,"")</f>
        <v/>
      </c>
      <c r="BS244" s="520" t="str">
        <f>IF(AND(_A4="B-767-300ER",'2025'!$J$4="CA",'2025'!$J$2=BS233),'2025DATA'!$N$13,"")</f>
        <v/>
      </c>
      <c r="BT244" s="940" t="s">
        <v>43</v>
      </c>
      <c r="BU244" s="13" t="s">
        <v>61</v>
      </c>
      <c r="BV244" s="518" t="str">
        <f>IF(AND(_A5="B-767-300ER",'2025'!$J$4="CA",'2025'!$J$2=BV233),'2025DATA'!$C$13,"")</f>
        <v/>
      </c>
      <c r="BW244" s="518" t="str">
        <f>IF(AND(_A5="B-767-300ER",'2025'!$J$4="CA",'2025'!$J$2=BW233),'2025DATA'!$D$13,"")</f>
        <v/>
      </c>
      <c r="BX244" s="518" t="str">
        <f>IF(AND(_A5="B-767-300ER",'2025'!$J$4="CA",'2025'!$J$2=BX233),'2025DATA'!$E$13,"")</f>
        <v/>
      </c>
      <c r="BY244" s="518" t="str">
        <f>IF(AND(_A5="B-767-300ER",'2025'!$J$4="CA",'2025'!$J$2=BY233),'2025DATA'!$F$13,"")</f>
        <v/>
      </c>
      <c r="BZ244" s="518" t="str">
        <f>IF(AND(_A5="B-767-300ER",'2025'!$J$4="CA",'2025'!$J$2=BZ233),'2025DATA'!$G$13,"")</f>
        <v/>
      </c>
      <c r="CA244" s="518" t="str">
        <f>IF(AND(_A5="B-767-300ER",'2025'!$J$4="CA",'2025'!$J$2=CA233),'2025DATA'!$H$13,"")</f>
        <v/>
      </c>
      <c r="CB244" s="518" t="str">
        <f>IF(AND(_A5="B-767-300ER",'2025'!$J$4="CA",'2025'!$J$2=CB233),'2025DATA'!$I$13,"")</f>
        <v/>
      </c>
      <c r="CC244" s="518" t="str">
        <f>IF(AND(_A5="B-767-300ER",'2025'!$J$4="CA",'2025'!$J$2=CC233),'2025DATA'!$J$13,"")</f>
        <v/>
      </c>
      <c r="CD244" s="518" t="str">
        <f>IF(AND(_A5="B-767-300ER",'2025'!$J$4="CA",'2025'!$J$2=CD233),'2025DATA'!$K$13,"")</f>
        <v/>
      </c>
      <c r="CE244" s="518" t="str">
        <f>IF(AND(_A5="B-767-300ER",'2025'!$J$4="CA",'2025'!$J$2=CE233),'2025DATA'!$L$13,"")</f>
        <v/>
      </c>
      <c r="CF244" s="518" t="str">
        <f>IF(AND(_A5="B-767-300ER",'2025'!$J$4="CA",'2025'!$J$2=CF233),'2025DATA'!$M$13,"")</f>
        <v/>
      </c>
      <c r="CG244" s="520" t="str">
        <f>IF(AND(_A5="B-767-300ER",'2025'!$J$4="CA",'2025'!$J$2=CG233),'2025DATA'!$N$13,"")</f>
        <v/>
      </c>
      <c r="CH244" s="940" t="s">
        <v>43</v>
      </c>
      <c r="CI244" s="13" t="s">
        <v>61</v>
      </c>
      <c r="CJ244" s="518" t="str">
        <f>IF(AND(_A6="B-767-300ER",'2025'!$J$4="CA",'2025'!$J$2=CJ233),'2025DATA'!$C$13,"")</f>
        <v/>
      </c>
      <c r="CK244" s="518" t="str">
        <f>IF(AND(_A6="B-767-300ER",'2025'!$J$4="CA",'2025'!$J$2=CK233),'2025DATA'!$D$13,"")</f>
        <v/>
      </c>
      <c r="CL244" s="518" t="str">
        <f>IF(AND(_A6="B-767-300ER",'2025'!$J$4="CA",'2025'!$J$2=CL233),'2025DATA'!$E$13,"")</f>
        <v/>
      </c>
      <c r="CM244" s="518" t="str">
        <f>IF(AND(_A6="B-767-300ER",'2025'!$J$4="CA",'2025'!$J$2=CM233),'2025DATA'!$F$13,"")</f>
        <v/>
      </c>
      <c r="CN244" s="518" t="str">
        <f>IF(AND(_A6="B-767-300ER",'2025'!$J$4="CA",'2025'!$J$2=CN233),'2025DATA'!$G$13,"")</f>
        <v/>
      </c>
      <c r="CO244" s="518" t="str">
        <f>IF(AND(_A6="B-767-300ER",'2025'!$J$4="CA",'2025'!$J$2=CO233),'2025DATA'!$H$13,"")</f>
        <v/>
      </c>
      <c r="CP244" s="518" t="str">
        <f>IF(AND(_A6="B-767-300ER",'2025'!$J$4="CA",'2025'!$J$2=CP233),'2025DATA'!$I$13,"")</f>
        <v/>
      </c>
      <c r="CQ244" s="518" t="str">
        <f>IF(AND(_A6="B-767-300ER",'2025'!$J$4="CA",'2025'!$J$2=CQ233),'2025DATA'!$J$13,"")</f>
        <v/>
      </c>
      <c r="CR244" s="518" t="str">
        <f>IF(AND(_A6="B-767-300ER",'2025'!$J$4="CA",'2025'!$J$2=CR233),'2025DATA'!$K$13,"")</f>
        <v/>
      </c>
      <c r="CS244" s="518" t="str">
        <f>IF(AND(_A6="B-767-300ER",'2025'!$J$4="CA",'2025'!$J$2=CS233),'2025DATA'!$L$13,"")</f>
        <v/>
      </c>
      <c r="CT244" s="518" t="str">
        <f>IF(AND(_A6="B-767-300ER",'2025'!$J$4="CA",'2025'!$J$2=CT233),'2025DATA'!$M$13,"")</f>
        <v/>
      </c>
      <c r="CU244" s="520" t="str">
        <f>IF(AND(_A6="B-767-300ER",'2025'!$J$4="CA",'2025'!$J$2=CU233),'2025DATA'!$N$13,"")</f>
        <v/>
      </c>
    </row>
    <row r="245" spans="16:99" x14ac:dyDescent="0.25">
      <c r="P245" s="940"/>
      <c r="Q245" s="13" t="s">
        <v>62</v>
      </c>
      <c r="R245" s="518" t="str">
        <f>IF(AND(_A1="B-767-300ER",'2025'!$J$4="FO",'2025'!$J$2=R233),'2025DATA'!$C$14,"")</f>
        <v/>
      </c>
      <c r="S245" s="518" t="str">
        <f>IF(AND(_A1="B-767-300ER",'2025'!$J$4="FO",'2025'!$J$2=S233),'2025DATA'!$D$14,"")</f>
        <v/>
      </c>
      <c r="T245" s="518" t="str">
        <f>IF(AND(_A1="B-767-300ER",'2025'!$J$4="FO",'2025'!$J$2=T233),'2025DATA'!$E$14,"")</f>
        <v/>
      </c>
      <c r="U245" s="518" t="str">
        <f>IF(AND(_A1="B-767-300ER",'2025'!$J$4="FO",'2025'!$J$2=U233),'2025DATA'!$F$14,"")</f>
        <v/>
      </c>
      <c r="V245" s="518" t="str">
        <f>IF(AND(_A1="B-767-300ER",'2025'!$J$4="FO",'2025'!$J$2=V233),'2025DATA'!$G$14,"")</f>
        <v/>
      </c>
      <c r="W245" s="518" t="str">
        <f>IF(AND(_A1="B-767-300ER",'2025'!$J$4="FO",'2025'!$J$2=W233),'2025DATA'!$H$14,"")</f>
        <v/>
      </c>
      <c r="X245" s="518" t="str">
        <f>IF(AND(_A1="B-767-300ER",'2025'!$J$4="FO",'2025'!$J$2=X233),'2025DATA'!$I$14,"")</f>
        <v/>
      </c>
      <c r="Y245" s="518" t="str">
        <f>IF(AND(_A1="B-767-300ER",'2025'!$J$4="FO",'2025'!$J$2=Y233),'2025DATA'!$J$14,"")</f>
        <v/>
      </c>
      <c r="Z245" s="518" t="str">
        <f>IF(AND(_A1="B-767-300ER",'2025'!$J$4="FO",'2025'!$J$2=Z233),'2025DATA'!$K$14,"")</f>
        <v/>
      </c>
      <c r="AA245" s="518" t="str">
        <f>IF(AND(_A1="B-767-300ER",'2025'!$J$4="FO",'2025'!$J$2=AA233),'2025DATA'!$L$14,"")</f>
        <v/>
      </c>
      <c r="AB245" s="518" t="str">
        <f>IF(AND(_A1="B-767-300ER",'2025'!$J$4="FO",'2025'!$J$2=AB233),'2025DATA'!$M$14,"")</f>
        <v/>
      </c>
      <c r="AC245" s="520" t="str">
        <f>IF(AND(_A1="B-767-300ER",'2025'!$J$4="FO",'2025'!$J$2=AC233),'2025DATA'!$N$14,"")</f>
        <v/>
      </c>
      <c r="AD245" s="940"/>
      <c r="AE245" s="13" t="s">
        <v>62</v>
      </c>
      <c r="AF245" s="518" t="str">
        <f>IF(AND(_A2="B-767-300ER",'2025'!$J$4="FO",'2025'!$J$2=AF233),'2025DATA'!$C$14,"")</f>
        <v/>
      </c>
      <c r="AG245" s="518" t="str">
        <f>IF(AND(_A2="B-767-300ER",'2025'!$J$4="FO",'2025'!$J$2=AG233),'2025DATA'!$D$14,"")</f>
        <v/>
      </c>
      <c r="AH245" s="518" t="str">
        <f>IF(AND(_A2="B-767-300ER",'2025'!$J$4="FO",'2025'!$J$2=AH233),'2025DATA'!$E$14,"")</f>
        <v/>
      </c>
      <c r="AI245" s="518" t="str">
        <f>IF(AND(_A2="B-767-300ER",'2025'!$J$4="FO",'2025'!$J$2=AI233),'2025DATA'!$F$14,"")</f>
        <v/>
      </c>
      <c r="AJ245" s="518" t="str">
        <f>IF(AND(_A2="B-767-300ER",'2025'!$J$4="FO",'2025'!$J$2=AJ233),'2025DATA'!$G$14,"")</f>
        <v/>
      </c>
      <c r="AK245" s="518" t="str">
        <f>IF(AND(_A2="B-767-300ER",'2025'!$J$4="FO",'2025'!$J$2=AK233),'2025DATA'!$H$14,"")</f>
        <v/>
      </c>
      <c r="AL245" s="518" t="str">
        <f>IF(AND(_A2="B-767-300ER",'2025'!$J$4="FO",'2025'!$J$2=AL233),'2025DATA'!$I$14,"")</f>
        <v/>
      </c>
      <c r="AM245" s="518" t="str">
        <f>IF(AND(_A2="B-767-300ER",'2025'!$J$4="FO",'2025'!$J$2=AM233),'2025DATA'!$J$14,"")</f>
        <v/>
      </c>
      <c r="AN245" s="518" t="str">
        <f>IF(AND(_A2="B-767-300ER",'2025'!$J$4="FO",'2025'!$J$2=AN233),'2025DATA'!$K$14,"")</f>
        <v/>
      </c>
      <c r="AO245" s="518" t="str">
        <f>IF(AND(_A2="B-767-300ER",'2025'!$J$4="FO",'2025'!$J$2=AO233),'2025DATA'!$L$14,"")</f>
        <v/>
      </c>
      <c r="AP245" s="518" t="str">
        <f>IF(AND(_A2="B-767-300ER",'2025'!$J$4="FO",'2025'!$J$2=AP233),'2025DATA'!$M$14,"")</f>
        <v/>
      </c>
      <c r="AQ245" s="520" t="str">
        <f>IF(AND(_A2="B-767-300ER",'2025'!$J$4="FO",'2025'!$J$2=AQ233),'2025DATA'!$N$14,"")</f>
        <v/>
      </c>
      <c r="AR245" s="940"/>
      <c r="AS245" s="13" t="s">
        <v>62</v>
      </c>
      <c r="AT245" s="518" t="str">
        <f>IF(AND(_A3="B-767-300ER",'2025'!$J$4="FO",'2025'!$J$2=AT233),'2025DATA'!$C$14,"")</f>
        <v/>
      </c>
      <c r="AU245" s="518" t="str">
        <f>IF(AND(_A3="B-767-300ER",'2025'!$J$4="FO",'2025'!$J$2=AU233),'2025DATA'!$D$14,"")</f>
        <v/>
      </c>
      <c r="AV245" s="518" t="str">
        <f>IF(AND(_A3="B-767-300ER",'2025'!$J$4="FO",'2025'!$J$2=AV233),'2025DATA'!$E$14,"")</f>
        <v/>
      </c>
      <c r="AW245" s="518" t="str">
        <f>IF(AND(_A3="B-767-300ER",'2025'!$J$4="FO",'2025'!$J$2=AW233),'2025DATA'!$F$14,"")</f>
        <v/>
      </c>
      <c r="AX245" s="518" t="str">
        <f>IF(AND(_A3="B-767-300ER",'2025'!$J$4="FO",'2025'!$J$2=AX233),'2025DATA'!$G$14,"")</f>
        <v/>
      </c>
      <c r="AY245" s="518" t="str">
        <f>IF(AND(_A3="B-767-300ER",'2025'!$J$4="FO",'2025'!$J$2=AY233),'2025DATA'!$H$14,"")</f>
        <v/>
      </c>
      <c r="AZ245" s="518" t="str">
        <f>IF(AND(_A3="B-767-300ER",'2025'!$J$4="FO",'2025'!$J$2=AZ233),'2025DATA'!$I$14,"")</f>
        <v/>
      </c>
      <c r="BA245" s="518" t="str">
        <f>IF(AND(_A3="B-767-300ER",'2025'!$J$4="FO",'2025'!$J$2=BA233),'2025DATA'!$J$14,"")</f>
        <v/>
      </c>
      <c r="BB245" s="518" t="str">
        <f>IF(AND(_A3="B-767-300ER",'2025'!$J$4="FO",'2025'!$J$2=BB233),'2025DATA'!$K$14,"")</f>
        <v/>
      </c>
      <c r="BC245" s="518" t="str">
        <f>IF(AND(_A3="B-767-300ER",'2025'!$J$4="FO",'2025'!$J$2=BC233),'2025DATA'!$L$14,"")</f>
        <v/>
      </c>
      <c r="BD245" s="518" t="str">
        <f>IF(AND(_A3="B-767-300ER",'2025'!$J$4="FO",'2025'!$J$2=BD233),'2025DATA'!$M$14,"")</f>
        <v/>
      </c>
      <c r="BE245" s="520" t="str">
        <f>IF(AND(_A3="B-767-300ER",'2025'!$J$4="FO",'2025'!$J$2=BE233),'2025DATA'!$N$14,"")</f>
        <v/>
      </c>
      <c r="BF245" s="940"/>
      <c r="BG245" s="13" t="s">
        <v>62</v>
      </c>
      <c r="BH245" s="518" t="str">
        <f>IF(AND(_A4="B-767-300ER",'2025'!$J$4="FO",'2025'!$J$2=BH233),'2025DATA'!$C$14,"")</f>
        <v/>
      </c>
      <c r="BI245" s="518" t="str">
        <f>IF(AND(_A4="B-767-300ER",'2025'!$J$4="FO",'2025'!$J$2=BI233),'2025DATA'!$D$14,"")</f>
        <v/>
      </c>
      <c r="BJ245" s="518" t="str">
        <f>IF(AND(_A4="B-767-300ER",'2025'!$J$4="FO",'2025'!$J$2=BJ233),'2025DATA'!$E$14,"")</f>
        <v/>
      </c>
      <c r="BK245" s="518" t="str">
        <f>IF(AND(_A4="B-767-300ER",'2025'!$J$4="FO",'2025'!$J$2=BK233),'2025DATA'!$F$14,"")</f>
        <v/>
      </c>
      <c r="BL245" s="518" t="str">
        <f>IF(AND(_A4="B-767-300ER",'2025'!$J$4="FO",'2025'!$J$2=BL233),'2025DATA'!$G$14,"")</f>
        <v/>
      </c>
      <c r="BM245" s="518" t="str">
        <f>IF(AND(_A4="B-767-300ER",'2025'!$J$4="FO",'2025'!$J$2=BM233),'2025DATA'!$H$14,"")</f>
        <v/>
      </c>
      <c r="BN245" s="518" t="str">
        <f>IF(AND(_A4="B-767-300ER",'2025'!$J$4="FO",'2025'!$J$2=BN233),'2025DATA'!$I$14,"")</f>
        <v/>
      </c>
      <c r="BO245" s="518" t="str">
        <f>IF(AND(_A4="B-767-300ER",'2025'!$J$4="FO",'2025'!$J$2=BO233),'2025DATA'!$J$14,"")</f>
        <v/>
      </c>
      <c r="BP245" s="518" t="str">
        <f>IF(AND(_A4="B-767-300ER",'2025'!$J$4="FO",'2025'!$J$2=BP233),'2025DATA'!$K$14,"")</f>
        <v/>
      </c>
      <c r="BQ245" s="518" t="str">
        <f>IF(AND(_A4="B-767-300ER",'2025'!$J$4="FO",'2025'!$J$2=BQ233),'2025DATA'!$L$14,"")</f>
        <v/>
      </c>
      <c r="BR245" s="518" t="str">
        <f>IF(AND(_A4="B-767-300ER",'2025'!$J$4="FO",'2025'!$J$2=BR233),'2025DATA'!$M$14,"")</f>
        <v/>
      </c>
      <c r="BS245" s="520" t="str">
        <f>IF(AND(_A4="B-767-300ER",'2025'!$J$4="FO",'2025'!$J$2=BS233),'2025DATA'!$N$14,"")</f>
        <v/>
      </c>
      <c r="BT245" s="940"/>
      <c r="BU245" s="13" t="s">
        <v>62</v>
      </c>
      <c r="BV245" s="518" t="str">
        <f>IF(AND(_A5="B-767-300ER",'2025'!$J$4="FO",'2025'!$J$2=BV233),'2025DATA'!$C$14,"")</f>
        <v/>
      </c>
      <c r="BW245" s="518" t="str">
        <f>IF(AND(_A5="B-767-300ER",'2025'!$J$4="FO",'2025'!$J$2=BW233),'2025DATA'!$D$14,"")</f>
        <v/>
      </c>
      <c r="BX245" s="518" t="str">
        <f>IF(AND(_A5="B-767-300ER",'2025'!$J$4="FO",'2025'!$J$2=BX233),'2025DATA'!$E$14,"")</f>
        <v/>
      </c>
      <c r="BY245" s="518" t="str">
        <f>IF(AND(_A5="B-767-300ER",'2025'!$J$4="FO",'2025'!$J$2=BY233),'2025DATA'!$F$14,"")</f>
        <v/>
      </c>
      <c r="BZ245" s="518" t="str">
        <f>IF(AND(_A5="B-767-300ER",'2025'!$J$4="FO",'2025'!$J$2=BZ233),'2025DATA'!$G$14,"")</f>
        <v/>
      </c>
      <c r="CA245" s="518" t="str">
        <f>IF(AND(_A5="B-767-300ER",'2025'!$J$4="FO",'2025'!$J$2=CA233),'2025DATA'!$H$14,"")</f>
        <v/>
      </c>
      <c r="CB245" s="518" t="str">
        <f>IF(AND(_A5="B-767-300ER",'2025'!$J$4="FO",'2025'!$J$2=CB233),'2025DATA'!$I$14,"")</f>
        <v/>
      </c>
      <c r="CC245" s="518" t="str">
        <f>IF(AND(_A5="B-767-300ER",'2025'!$J$4="FO",'2025'!$J$2=CC233),'2025DATA'!$J$14,"")</f>
        <v/>
      </c>
      <c r="CD245" s="518" t="str">
        <f>IF(AND(_A5="B-767-300ER",'2025'!$J$4="FO",'2025'!$J$2=CD233),'2025DATA'!$K$14,"")</f>
        <v/>
      </c>
      <c r="CE245" s="518" t="str">
        <f>IF(AND(_A5="B-767-300ER",'2025'!$J$4="FO",'2025'!$J$2=CE233),'2025DATA'!$L$14,"")</f>
        <v/>
      </c>
      <c r="CF245" s="518" t="str">
        <f>IF(AND(_A5="B-767-300ER",'2025'!$J$4="FO",'2025'!$J$2=CF233),'2025DATA'!$M$14,"")</f>
        <v/>
      </c>
      <c r="CG245" s="520" t="str">
        <f>IF(AND(_A5="B-767-300ER",'2025'!$J$4="FO",'2025'!$J$2=CG233),'2025DATA'!$N$14,"")</f>
        <v/>
      </c>
      <c r="CH245" s="940"/>
      <c r="CI245" s="13" t="s">
        <v>62</v>
      </c>
      <c r="CJ245" s="518" t="str">
        <f>IF(AND(_A6="B-767-300ER",'2025'!$J$4="FO",'2025'!$J$2=CJ233),'2025DATA'!$C$14,"")</f>
        <v/>
      </c>
      <c r="CK245" s="518" t="str">
        <f>IF(AND(_A6="B-767-300ER",'2025'!$J$4="FO",'2025'!$J$2=CK233),'2025DATA'!$D$14,"")</f>
        <v/>
      </c>
      <c r="CL245" s="518" t="str">
        <f>IF(AND(_A6="B-767-300ER",'2025'!$J$4="FO",'2025'!$J$2=CL233),'2025DATA'!$E$14,"")</f>
        <v/>
      </c>
      <c r="CM245" s="518" t="str">
        <f>IF(AND(_A6="B-767-300ER",'2025'!$J$4="FO",'2025'!$J$2=CM233),'2025DATA'!$F$14,"")</f>
        <v/>
      </c>
      <c r="CN245" s="518" t="str">
        <f>IF(AND(_A6="B-767-300ER",'2025'!$J$4="FO",'2025'!$J$2=CN233),'2025DATA'!$G$14,"")</f>
        <v/>
      </c>
      <c r="CO245" s="518" t="str">
        <f>IF(AND(_A6="B-767-300ER",'2025'!$J$4="FO",'2025'!$J$2=CO233),'2025DATA'!$H$14,"")</f>
        <v/>
      </c>
      <c r="CP245" s="518" t="str">
        <f>IF(AND(_A6="B-767-300ER",'2025'!$J$4="FO",'2025'!$J$2=CP233),'2025DATA'!$I$14,"")</f>
        <v/>
      </c>
      <c r="CQ245" s="518" t="str">
        <f>IF(AND(_A6="B-767-300ER",'2025'!$J$4="FO",'2025'!$J$2=CQ233),'2025DATA'!$J$14,"")</f>
        <v/>
      </c>
      <c r="CR245" s="518" t="str">
        <f>IF(AND(_A6="B-767-300ER",'2025'!$J$4="FO",'2025'!$J$2=CR233),'2025DATA'!$K$14,"")</f>
        <v/>
      </c>
      <c r="CS245" s="518" t="str">
        <f>IF(AND(_A6="B-767-300ER",'2025'!$J$4="FO",'2025'!$J$2=CS233),'2025DATA'!$L$14,"")</f>
        <v/>
      </c>
      <c r="CT245" s="518" t="str">
        <f>IF(AND(_A6="B-767-300ER",'2025'!$J$4="FO",'2025'!$J$2=CT233),'2025DATA'!$M$14,"")</f>
        <v/>
      </c>
      <c r="CU245" s="520" t="str">
        <f>IF(AND(_A6="B-767-300ER",'2025'!$J$4="FO",'2025'!$J$2=CU233),'2025DATA'!$N$14,"")</f>
        <v/>
      </c>
    </row>
    <row r="246" spans="16:99" x14ac:dyDescent="0.25">
      <c r="P246" s="940" t="s">
        <v>67</v>
      </c>
      <c r="Q246" s="13" t="s">
        <v>61</v>
      </c>
      <c r="R246" s="518" t="str">
        <f>IF(AND(_A1="B-767-300",'2025'!$J$4="CA",'2025'!$J$2=R233),'2025DATA'!$C$15,"")</f>
        <v/>
      </c>
      <c r="S246" s="518" t="str">
        <f>IF(AND(_A1="B-767-300",'2025'!$J$4="CA",'2025'!$J$2=S233),'2025DATA'!$D$15,"")</f>
        <v/>
      </c>
      <c r="T246" s="518" t="str">
        <f>IF(AND(_A1="B-767-300",'2025'!$J$4="CA",'2025'!$J$2=T233),'2025DATA'!$E$15,"")</f>
        <v/>
      </c>
      <c r="U246" s="518" t="str">
        <f>IF(AND(_A1="B-767-300",'2025'!$J$4="CA",'2025'!$J$2=U233),'2025DATA'!$F$15,"")</f>
        <v/>
      </c>
      <c r="V246" s="518" t="str">
        <f>IF(AND(_A1="B-767-300",'2025'!$J$4="CA",'2025'!$J$2=V233),'2025DATA'!$G$15,"")</f>
        <v/>
      </c>
      <c r="W246" s="518" t="str">
        <f>IF(AND(_A1="B-767-300",'2025'!$J$4="CA",'2025'!$J$2=W233),'2025DATA'!$H$15,"")</f>
        <v/>
      </c>
      <c r="X246" s="518" t="str">
        <f>IF(AND(_A1="B-767-300",'2025'!$J$4="CA",'2025'!$J$2=X233),'2025DATA'!$I$15,"")</f>
        <v/>
      </c>
      <c r="Y246" s="518" t="str">
        <f>IF(AND(_A1="B-767-300",'2025'!$J$4="CA",'2025'!$J$2=Y233),'2025DATA'!$J$15,"")</f>
        <v/>
      </c>
      <c r="Z246" s="518" t="str">
        <f>IF(AND(_A1="B-767-300",'2025'!$J$4="CA",'2025'!$J$2=Z233),'2025DATA'!$K$15,"")</f>
        <v/>
      </c>
      <c r="AA246" s="518" t="str">
        <f>IF(AND(_A1="B-767-300",'2025'!$J$4="CA",'2025'!$J$2=AA233),'2025DATA'!$L$15,"")</f>
        <v/>
      </c>
      <c r="AB246" s="518" t="str">
        <f>IF(AND(_A1="B-767-300",'2025'!$J$4="CA",'2025'!$J$2=AB233),'2025DATA'!$M$15,"")</f>
        <v/>
      </c>
      <c r="AC246" s="520" t="str">
        <f>IF(AND(_A1="B-767-300",'2025'!$J$4="CA",'2025'!$J$2=AC233),'2025DATA'!$N$15,"")</f>
        <v/>
      </c>
      <c r="AD246" s="940" t="s">
        <v>67</v>
      </c>
      <c r="AE246" s="13" t="s">
        <v>61</v>
      </c>
      <c r="AF246" s="518" t="str">
        <f>IF(AND(_A2="B-767-300",'2025'!$J$4="CA",'2025'!$J$2=AF233),'2025DATA'!$C$15,"")</f>
        <v/>
      </c>
      <c r="AG246" s="518" t="str">
        <f>IF(AND(_A2="B-767-300",'2025'!$J$4="CA",'2025'!$J$2=AG233),'2025DATA'!$D$15,"")</f>
        <v/>
      </c>
      <c r="AH246" s="518" t="str">
        <f>IF(AND(_A2="B-767-300",'2025'!$J$4="CA",'2025'!$J$2=AH233),'2025DATA'!$E$15,"")</f>
        <v/>
      </c>
      <c r="AI246" s="518" t="str">
        <f>IF(AND(_A2="B-767-300",'2025'!$J$4="CA",'2025'!$J$2=AI233),'2025DATA'!$F$15,"")</f>
        <v/>
      </c>
      <c r="AJ246" s="518" t="str">
        <f>IF(AND(_A2="B-767-300",'2025'!$J$4="CA",'2025'!$J$2=AJ233),'2025DATA'!$G$15,"")</f>
        <v/>
      </c>
      <c r="AK246" s="518" t="str">
        <f>IF(AND(_A2="B-767-300",'2025'!$J$4="CA",'2025'!$J$2=AK233),'2025DATA'!$H$15,"")</f>
        <v/>
      </c>
      <c r="AL246" s="518" t="str">
        <f>IF(AND(_A2="B-767-300",'2025'!$J$4="CA",'2025'!$J$2=AL233),'2025DATA'!$I$15,"")</f>
        <v/>
      </c>
      <c r="AM246" s="518" t="str">
        <f>IF(AND(_A2="B-767-300",'2025'!$J$4="CA",'2025'!$J$2=AM233),'2025DATA'!$J$15,"")</f>
        <v/>
      </c>
      <c r="AN246" s="518" t="str">
        <f>IF(AND(_A2="B-767-300",'2025'!$J$4="CA",'2025'!$J$2=AN233),'2025DATA'!$K$15,"")</f>
        <v/>
      </c>
      <c r="AO246" s="518" t="str">
        <f>IF(AND(_A2="B-767-300",'2025'!$J$4="CA",'2025'!$J$2=AO233),'2025DATA'!$L$15,"")</f>
        <v/>
      </c>
      <c r="AP246" s="518" t="str">
        <f>IF(AND(_A2="B-767-300",'2025'!$J$4="CA",'2025'!$J$2=AP233),'2025DATA'!$M$15,"")</f>
        <v/>
      </c>
      <c r="AQ246" s="520" t="str">
        <f>IF(AND(_A2="B-767-300",'2025'!$J$4="CA",'2025'!$J$2=AQ233),'2025DATA'!$N$15,"")</f>
        <v/>
      </c>
      <c r="AR246" s="940" t="s">
        <v>67</v>
      </c>
      <c r="AS246" s="13" t="s">
        <v>61</v>
      </c>
      <c r="AT246" s="518" t="str">
        <f>IF(AND(_A3="B-767-300",'2025'!$J$4="CA",'2025'!$J$2=AT233),'2025DATA'!$C$15,"")</f>
        <v/>
      </c>
      <c r="AU246" s="518" t="str">
        <f>IF(AND(_A3="B-767-300",'2025'!$J$4="CA",'2025'!$J$2=AU233),'2025DATA'!$D$15,"")</f>
        <v/>
      </c>
      <c r="AV246" s="518" t="str">
        <f>IF(AND(_A3="B-767-300",'2025'!$J$4="CA",'2025'!$J$2=AV233),'2025DATA'!$E$15,"")</f>
        <v/>
      </c>
      <c r="AW246" s="518" t="str">
        <f>IF(AND(_A3="B-767-300",'2025'!$J$4="CA",'2025'!$J$2=AW233),'2025DATA'!$F$15,"")</f>
        <v/>
      </c>
      <c r="AX246" s="518" t="str">
        <f>IF(AND(_A3="B-767-300",'2025'!$J$4="CA",'2025'!$J$2=AX233),'2025DATA'!$G$15,"")</f>
        <v/>
      </c>
      <c r="AY246" s="518" t="str">
        <f>IF(AND(_A3="B-767-300",'2025'!$J$4="CA",'2025'!$J$2=AY233),'2025DATA'!$H$15,"")</f>
        <v/>
      </c>
      <c r="AZ246" s="518" t="str">
        <f>IF(AND(_A3="B-767-300",'2025'!$J$4="CA",'2025'!$J$2=AZ233),'2025DATA'!$I$15,"")</f>
        <v/>
      </c>
      <c r="BA246" s="518" t="str">
        <f>IF(AND(_A3="B-767-300",'2025'!$J$4="CA",'2025'!$J$2=BA233),'2025DATA'!$J$15,"")</f>
        <v/>
      </c>
      <c r="BB246" s="518" t="str">
        <f>IF(AND(_A3="B-767-300",'2025'!$J$4="CA",'2025'!$J$2=BB233),'2025DATA'!$K$15,"")</f>
        <v/>
      </c>
      <c r="BC246" s="518" t="str">
        <f>IF(AND(_A3="B-767-300",'2025'!$J$4="CA",'2025'!$J$2=BC233),'2025DATA'!$L$15,"")</f>
        <v/>
      </c>
      <c r="BD246" s="518" t="str">
        <f>IF(AND(_A3="B-767-300",'2025'!$J$4="CA",'2025'!$J$2=BD233),'2025DATA'!$M$15,"")</f>
        <v/>
      </c>
      <c r="BE246" s="520" t="str">
        <f>IF(AND(_A3="B-767-300",'2025'!$J$4="CA",'2025'!$J$2=BE233),'2025DATA'!$N$15,"")</f>
        <v/>
      </c>
      <c r="BF246" s="940" t="s">
        <v>67</v>
      </c>
      <c r="BG246" s="13" t="s">
        <v>61</v>
      </c>
      <c r="BH246" s="518" t="str">
        <f>IF(AND(_A4="B-767-300",'2025'!$J$4="CA",'2025'!$J$2=BH233),'2025DATA'!$C$15,"")</f>
        <v/>
      </c>
      <c r="BI246" s="518" t="str">
        <f>IF(AND(_A4="B-767-300",'2025'!$J$4="CA",'2025'!$J$2=BI233),'2025DATA'!$D$15,"")</f>
        <v/>
      </c>
      <c r="BJ246" s="518" t="str">
        <f>IF(AND(_A4="B-767-300",'2025'!$J$4="CA",'2025'!$J$2=BJ233),'2025DATA'!$E$15,"")</f>
        <v/>
      </c>
      <c r="BK246" s="518" t="str">
        <f>IF(AND(_A4="B-767-300",'2025'!$J$4="CA",'2025'!$J$2=BK233),'2025DATA'!$F$15,"")</f>
        <v/>
      </c>
      <c r="BL246" s="518" t="str">
        <f>IF(AND(_A4="B-767-300",'2025'!$J$4="CA",'2025'!$J$2=BL233),'2025DATA'!$G$15,"")</f>
        <v/>
      </c>
      <c r="BM246" s="518" t="str">
        <f>IF(AND(_A4="B-767-300",'2025'!$J$4="CA",'2025'!$J$2=BM233),'2025DATA'!$H$15,"")</f>
        <v/>
      </c>
      <c r="BN246" s="518" t="str">
        <f>IF(AND(_A4="B-767-300",'2025'!$J$4="CA",'2025'!$J$2=BN233),'2025DATA'!$I$15,"")</f>
        <v/>
      </c>
      <c r="BO246" s="518" t="str">
        <f>IF(AND(_A4="B-767-300",'2025'!$J$4="CA",'2025'!$J$2=BO233),'2025DATA'!$J$15,"")</f>
        <v/>
      </c>
      <c r="BP246" s="518" t="str">
        <f>IF(AND(_A4="B-767-300",'2025'!$J$4="CA",'2025'!$J$2=BP233),'2025DATA'!$K$15,"")</f>
        <v/>
      </c>
      <c r="BQ246" s="518" t="str">
        <f>IF(AND(_A4="B-767-300",'2025'!$J$4="CA",'2025'!$J$2=BQ233),'2025DATA'!$L$15,"")</f>
        <v/>
      </c>
      <c r="BR246" s="518" t="str">
        <f>IF(AND(_A4="B-767-300",'2025'!$J$4="CA",'2025'!$J$2=BR233),'2025DATA'!$M$15,"")</f>
        <v/>
      </c>
      <c r="BS246" s="520" t="str">
        <f>IF(AND(_A4="B-767-300",'2025'!$J$4="CA",'2025'!$J$2=BS233),'2025DATA'!$N$15,"")</f>
        <v/>
      </c>
      <c r="BT246" s="940" t="s">
        <v>67</v>
      </c>
      <c r="BU246" s="13" t="s">
        <v>61</v>
      </c>
      <c r="BV246" s="518" t="str">
        <f>IF(AND(_A5="B-767-300",'2025'!$J$4="CA",'2025'!$J$2=BV233),'2025DATA'!$C$15,"")</f>
        <v/>
      </c>
      <c r="BW246" s="518" t="str">
        <f>IF(AND(_A5="B-767-300",'2025'!$J$4="CA",'2025'!$J$2=BW233),'2025DATA'!$D$15,"")</f>
        <v/>
      </c>
      <c r="BX246" s="518" t="str">
        <f>IF(AND(_A5="B-767-300",'2025'!$J$4="CA",'2025'!$J$2=BX233),'2025DATA'!$E$15,"")</f>
        <v/>
      </c>
      <c r="BY246" s="518" t="str">
        <f>IF(AND(_A5="B-767-300",'2025'!$J$4="CA",'2025'!$J$2=BY233),'2025DATA'!$F$15,"")</f>
        <v/>
      </c>
      <c r="BZ246" s="518" t="str">
        <f>IF(AND(_A5="B-767-300",'2025'!$J$4="CA",'2025'!$J$2=BZ233),'2025DATA'!$G$15,"")</f>
        <v/>
      </c>
      <c r="CA246" s="518" t="str">
        <f>IF(AND(_A5="B-767-300",'2025'!$J$4="CA",'2025'!$J$2=CA233),'2025DATA'!$H$15,"")</f>
        <v/>
      </c>
      <c r="CB246" s="518" t="str">
        <f>IF(AND(_A5="B-767-300",'2025'!$J$4="CA",'2025'!$J$2=CB233),'2025DATA'!$I$15,"")</f>
        <v/>
      </c>
      <c r="CC246" s="518" t="str">
        <f>IF(AND(_A5="B-767-300",'2025'!$J$4="CA",'2025'!$J$2=CC233),'2025DATA'!$J$15,"")</f>
        <v/>
      </c>
      <c r="CD246" s="518" t="str">
        <f>IF(AND(_A5="B-767-300",'2025'!$J$4="CA",'2025'!$J$2=CD233),'2025DATA'!$K$15,"")</f>
        <v/>
      </c>
      <c r="CE246" s="518" t="str">
        <f>IF(AND(_A5="B-767-300",'2025'!$J$4="CA",'2025'!$J$2=CE233),'2025DATA'!$L$15,"")</f>
        <v/>
      </c>
      <c r="CF246" s="518" t="str">
        <f>IF(AND(_A5="B-767-300",'2025'!$J$4="CA",'2025'!$J$2=CF233),'2025DATA'!$M$15,"")</f>
        <v/>
      </c>
      <c r="CG246" s="520" t="str">
        <f>IF(AND(_A5="B-767-300",'2025'!$J$4="CA",'2025'!$J$2=CG233),'2025DATA'!$N$15,"")</f>
        <v/>
      </c>
      <c r="CH246" s="940" t="s">
        <v>67</v>
      </c>
      <c r="CI246" s="13" t="s">
        <v>61</v>
      </c>
      <c r="CJ246" s="518" t="str">
        <f>IF(AND(_A6="B-767-300",'2025'!$J$4="CA",'2025'!$J$2=CJ233),'2025DATA'!$C$15,"")</f>
        <v/>
      </c>
      <c r="CK246" s="518" t="str">
        <f>IF(AND(_A6="B-767-300",'2025'!$J$4="CA",'2025'!$J$2=CK233),'2025DATA'!$D$15,"")</f>
        <v/>
      </c>
      <c r="CL246" s="518" t="str">
        <f>IF(AND(_A6="B-767-300",'2025'!$J$4="CA",'2025'!$J$2=CL233),'2025DATA'!$E$15,"")</f>
        <v/>
      </c>
      <c r="CM246" s="518" t="str">
        <f>IF(AND(_A6="B-767-300",'2025'!$J$4="CA",'2025'!$J$2=CM233),'2025DATA'!$F$15,"")</f>
        <v/>
      </c>
      <c r="CN246" s="518" t="str">
        <f>IF(AND(_A6="B-767-300",'2025'!$J$4="CA",'2025'!$J$2=CN233),'2025DATA'!$G$15,"")</f>
        <v/>
      </c>
      <c r="CO246" s="518" t="str">
        <f>IF(AND(_A6="B-767-300",'2025'!$J$4="CA",'2025'!$J$2=CO233),'2025DATA'!$H$15,"")</f>
        <v/>
      </c>
      <c r="CP246" s="518" t="str">
        <f>IF(AND(_A6="B-767-300",'2025'!$J$4="CA",'2025'!$J$2=CP233),'2025DATA'!$I$15,"")</f>
        <v/>
      </c>
      <c r="CQ246" s="518" t="str">
        <f>IF(AND(_A6="B-767-300",'2025'!$J$4="CA",'2025'!$J$2=CQ233),'2025DATA'!$J$15,"")</f>
        <v/>
      </c>
      <c r="CR246" s="518" t="str">
        <f>IF(AND(_A6="B-767-300",'2025'!$J$4="CA",'2025'!$J$2=CR233),'2025DATA'!$K$15,"")</f>
        <v/>
      </c>
      <c r="CS246" s="518" t="str">
        <f>IF(AND(_A6="B-767-300",'2025'!$J$4="CA",'2025'!$J$2=CS233),'2025DATA'!$L$15,"")</f>
        <v/>
      </c>
      <c r="CT246" s="518" t="str">
        <f>IF(AND(_A6="B-767-300",'2025'!$J$4="CA",'2025'!$J$2=CT233),'2025DATA'!$M$15,"")</f>
        <v/>
      </c>
      <c r="CU246" s="520" t="str">
        <f>IF(AND(_A6="B-767-300",'2025'!$J$4="CA",'2025'!$J$2=CU233),'2025DATA'!$N$15,"")</f>
        <v/>
      </c>
    </row>
    <row r="247" spans="16:99" x14ac:dyDescent="0.25">
      <c r="P247" s="940"/>
      <c r="Q247" s="13" t="s">
        <v>62</v>
      </c>
      <c r="R247" s="518" t="str">
        <f>IF(AND(_A1="B-767-300",'2025'!$J$4="FO",'2025'!$J$2=R233),'2025DATA'!$C$16,"")</f>
        <v/>
      </c>
      <c r="S247" s="518" t="str">
        <f>IF(AND(_A1="B-767-300",'2025'!$J$4="FO",'2025'!$J$2=S233),'2025DATA'!$D$16,"")</f>
        <v/>
      </c>
      <c r="T247" s="518" t="str">
        <f>IF(AND(_A1="B-767-300",'2025'!$J$4="FO",'2025'!$J$2=T233),'2025DATA'!$E$16,"")</f>
        <v/>
      </c>
      <c r="U247" s="518" t="str">
        <f>IF(AND(_A1="B-767-300",'2025'!$J$4="FO",'2025'!$J$2=U233),'2025DATA'!$F$16,"")</f>
        <v/>
      </c>
      <c r="V247" s="518" t="str">
        <f>IF(AND(_A1="B-767-300",'2025'!$J$4="FO",'2025'!$J$2=V233),'2025DATA'!$G$16,"")</f>
        <v/>
      </c>
      <c r="W247" s="518" t="str">
        <f>IF(AND(_A1="B-767-300",'2025'!$J$4="FO",'2025'!$J$2=W233),'2025DATA'!$H$16,"")</f>
        <v/>
      </c>
      <c r="X247" s="518" t="str">
        <f>IF(AND(_A1="B-767-300",'2025'!$J$4="FO",'2025'!$J$2=X233),'2025DATA'!$I$16,"")</f>
        <v/>
      </c>
      <c r="Y247" s="518" t="str">
        <f>IF(AND(_A1="B-767-300",'2025'!$J$4="FO",'2025'!$J$2=Y233),'2025DATA'!$J$16,"")</f>
        <v/>
      </c>
      <c r="Z247" s="518" t="str">
        <f>IF(AND(_A1="B-767-300",'2025'!$J$4="FO",'2025'!$J$2=Z233),'2025DATA'!$K$16,"")</f>
        <v/>
      </c>
      <c r="AA247" s="518" t="str">
        <f>IF(AND(_A1="B-767-300",'2025'!$J$4="FO",'2025'!$J$2=AA233),'2025DATA'!$L$16,"")</f>
        <v/>
      </c>
      <c r="AB247" s="518" t="str">
        <f>IF(AND(_A1="B-767-300",'2025'!$J$4="FO",'2025'!$J$2=AB233),'2025DATA'!$M$16,"")</f>
        <v/>
      </c>
      <c r="AC247" s="520" t="str">
        <f>IF(AND(_A1="B-767-300",'2025'!$J$4="FO",'2025'!$J$2=AC233),'2025DATA'!$N$16,"")</f>
        <v/>
      </c>
      <c r="AD247" s="940"/>
      <c r="AE247" s="13" t="s">
        <v>62</v>
      </c>
      <c r="AF247" s="518" t="str">
        <f>IF(AND(_A2="B-767-300",'2025'!$J$4="FO",'2025'!$J$2=AF233),'2025DATA'!$C$16,"")</f>
        <v/>
      </c>
      <c r="AG247" s="518" t="str">
        <f>IF(AND(_A2="B-767-300",'2025'!$J$4="FO",'2025'!$J$2=AG233),'2025DATA'!$D$16,"")</f>
        <v/>
      </c>
      <c r="AH247" s="518" t="str">
        <f>IF(AND(_A2="B-767-300",'2025'!$J$4="FO",'2025'!$J$2=AH233),'2025DATA'!$E$16,"")</f>
        <v/>
      </c>
      <c r="AI247" s="518" t="str">
        <f>IF(AND(_A2="B-767-300",'2025'!$J$4="FO",'2025'!$J$2=AI233),'2025DATA'!$F$16,"")</f>
        <v/>
      </c>
      <c r="AJ247" s="518" t="str">
        <f>IF(AND(_A2="B-767-300",'2025'!$J$4="FO",'2025'!$J$2=AJ233),'2025DATA'!$G$16,"")</f>
        <v/>
      </c>
      <c r="AK247" s="518" t="str">
        <f>IF(AND(_A2="B-767-300",'2025'!$J$4="FO",'2025'!$J$2=AK233),'2025DATA'!$H$16,"")</f>
        <v/>
      </c>
      <c r="AL247" s="518" t="str">
        <f>IF(AND(_A2="B-767-300",'2025'!$J$4="FO",'2025'!$J$2=AL233),'2025DATA'!$I$16,"")</f>
        <v/>
      </c>
      <c r="AM247" s="518" t="str">
        <f>IF(AND(_A2="B-767-300",'2025'!$J$4="FO",'2025'!$J$2=AM233),'2025DATA'!$J$16,"")</f>
        <v/>
      </c>
      <c r="AN247" s="518" t="str">
        <f>IF(AND(_A2="B-767-300",'2025'!$J$4="FO",'2025'!$J$2=AN233),'2025DATA'!$K$16,"")</f>
        <v/>
      </c>
      <c r="AO247" s="518" t="str">
        <f>IF(AND(_A2="B-767-300",'2025'!$J$4="FO",'2025'!$J$2=AO233),'2025DATA'!$L$16,"")</f>
        <v/>
      </c>
      <c r="AP247" s="518" t="str">
        <f>IF(AND(_A2="B-767-300",'2025'!$J$4="FO",'2025'!$J$2=AP233),'2025DATA'!$M$16,"")</f>
        <v/>
      </c>
      <c r="AQ247" s="520" t="str">
        <f>IF(AND(_A2="B-767-300",'2025'!$J$4="FO",'2025'!$J$2=AQ233),'2025DATA'!$N$16,"")</f>
        <v/>
      </c>
      <c r="AR247" s="940"/>
      <c r="AS247" s="13" t="s">
        <v>62</v>
      </c>
      <c r="AT247" s="518" t="str">
        <f>IF(AND(_A3="B-767-300",'2025'!$J$4="FO",'2025'!$J$2=AT233),'2025DATA'!$C$16,"")</f>
        <v/>
      </c>
      <c r="AU247" s="518" t="str">
        <f>IF(AND(_A3="B-767-300",'2025'!$J$4="FO",'2025'!$J$2=AU233),'2025DATA'!$D$16,"")</f>
        <v/>
      </c>
      <c r="AV247" s="518" t="str">
        <f>IF(AND(_A3="B-767-300",'2025'!$J$4="FO",'2025'!$J$2=AV233),'2025DATA'!$E$16,"")</f>
        <v/>
      </c>
      <c r="AW247" s="518" t="str">
        <f>IF(AND(_A3="B-767-300",'2025'!$J$4="FO",'2025'!$J$2=AW233),'2025DATA'!$F$16,"")</f>
        <v/>
      </c>
      <c r="AX247" s="518" t="str">
        <f>IF(AND(_A3="B-767-300",'2025'!$J$4="FO",'2025'!$J$2=AX233),'2025DATA'!$G$16,"")</f>
        <v/>
      </c>
      <c r="AY247" s="518" t="str">
        <f>IF(AND(_A3="B-767-300",'2025'!$J$4="FO",'2025'!$J$2=AY233),'2025DATA'!$H$16,"")</f>
        <v/>
      </c>
      <c r="AZ247" s="518" t="str">
        <f>IF(AND(_A3="B-767-300",'2025'!$J$4="FO",'2025'!$J$2=AZ233),'2025DATA'!$I$16,"")</f>
        <v/>
      </c>
      <c r="BA247" s="518" t="str">
        <f>IF(AND(_A3="B-767-300",'2025'!$J$4="FO",'2025'!$J$2=BA233),'2025DATA'!$J$16,"")</f>
        <v/>
      </c>
      <c r="BB247" s="518" t="str">
        <f>IF(AND(_A3="B-767-300",'2025'!$J$4="FO",'2025'!$J$2=BB233),'2025DATA'!$K$16,"")</f>
        <v/>
      </c>
      <c r="BC247" s="518" t="str">
        <f>IF(AND(_A3="B-767-300",'2025'!$J$4="FO",'2025'!$J$2=BC233),'2025DATA'!$L$16,"")</f>
        <v/>
      </c>
      <c r="BD247" s="518" t="str">
        <f>IF(AND(_A3="B-767-300",'2025'!$J$4="FO",'2025'!$J$2=BD233),'2025DATA'!$M$16,"")</f>
        <v/>
      </c>
      <c r="BE247" s="520" t="str">
        <f>IF(AND(_A3="B-767-300",'2025'!$J$4="FO",'2025'!$J$2=BE233),'2025DATA'!$N$16,"")</f>
        <v/>
      </c>
      <c r="BF247" s="940"/>
      <c r="BG247" s="13" t="s">
        <v>62</v>
      </c>
      <c r="BH247" s="518" t="str">
        <f>IF(AND(_A4="B-767-300",'2025'!$J$4="FO",'2025'!$J$2=BH233),'2025DATA'!$C$16,"")</f>
        <v/>
      </c>
      <c r="BI247" s="518" t="str">
        <f>IF(AND(_A4="B-767-300",'2025'!$J$4="FO",'2025'!$J$2=BI233),'2025DATA'!$D$16,"")</f>
        <v/>
      </c>
      <c r="BJ247" s="518" t="str">
        <f>IF(AND(_A4="B-767-300",'2025'!$J$4="FO",'2025'!$J$2=BJ233),'2025DATA'!$E$16,"")</f>
        <v/>
      </c>
      <c r="BK247" s="518" t="str">
        <f>IF(AND(_A4="B-767-300",'2025'!$J$4="FO",'2025'!$J$2=BK233),'2025DATA'!$F$16,"")</f>
        <v/>
      </c>
      <c r="BL247" s="518" t="str">
        <f>IF(AND(_A4="B-767-300",'2025'!$J$4="FO",'2025'!$J$2=BL233),'2025DATA'!$G$16,"")</f>
        <v/>
      </c>
      <c r="BM247" s="518" t="str">
        <f>IF(AND(_A4="B-767-300",'2025'!$J$4="FO",'2025'!$J$2=BM233),'2025DATA'!$H$16,"")</f>
        <v/>
      </c>
      <c r="BN247" s="518" t="str">
        <f>IF(AND(_A4="B-767-300",'2025'!$J$4="FO",'2025'!$J$2=BN233),'2025DATA'!$I$16,"")</f>
        <v/>
      </c>
      <c r="BO247" s="518" t="str">
        <f>IF(AND(_A4="B-767-300",'2025'!$J$4="FO",'2025'!$J$2=BO233),'2025DATA'!$J$16,"")</f>
        <v/>
      </c>
      <c r="BP247" s="518" t="str">
        <f>IF(AND(_A4="B-767-300",'2025'!$J$4="FO",'2025'!$J$2=BP233),'2025DATA'!$K$16,"")</f>
        <v/>
      </c>
      <c r="BQ247" s="518" t="str">
        <f>IF(AND(_A4="B-767-300",'2025'!$J$4="FO",'2025'!$J$2=BQ233),'2025DATA'!$L$16,"")</f>
        <v/>
      </c>
      <c r="BR247" s="518" t="str">
        <f>IF(AND(_A4="B-767-300",'2025'!$J$4="FO",'2025'!$J$2=BR233),'2025DATA'!$M$16,"")</f>
        <v/>
      </c>
      <c r="BS247" s="520" t="str">
        <f>IF(AND(_A4="B-767-300",'2025'!$J$4="FO",'2025'!$J$2=BS233),'2025DATA'!$N$16,"")</f>
        <v/>
      </c>
      <c r="BT247" s="940"/>
      <c r="BU247" s="13" t="s">
        <v>62</v>
      </c>
      <c r="BV247" s="518" t="str">
        <f>IF(AND(_A5="B-767-300",'2025'!$J$4="FO",'2025'!$J$2=BV233),'2025DATA'!$C$16,"")</f>
        <v/>
      </c>
      <c r="BW247" s="518" t="str">
        <f>IF(AND(_A5="B-767-300",'2025'!$J$4="FO",'2025'!$J$2=BW233),'2025DATA'!$D$16,"")</f>
        <v/>
      </c>
      <c r="BX247" s="518" t="str">
        <f>IF(AND(_A5="B-767-300",'2025'!$J$4="FO",'2025'!$J$2=BX233),'2025DATA'!$E$16,"")</f>
        <v/>
      </c>
      <c r="BY247" s="518" t="str">
        <f>IF(AND(_A5="B-767-300",'2025'!$J$4="FO",'2025'!$J$2=BY233),'2025DATA'!$F$16,"")</f>
        <v/>
      </c>
      <c r="BZ247" s="518" t="str">
        <f>IF(AND(_A5="B-767-300",'2025'!$J$4="FO",'2025'!$J$2=BZ233),'2025DATA'!$G$16,"")</f>
        <v/>
      </c>
      <c r="CA247" s="518" t="str">
        <f>IF(AND(_A5="B-767-300",'2025'!$J$4="FO",'2025'!$J$2=CA233),'2025DATA'!$H$16,"")</f>
        <v/>
      </c>
      <c r="CB247" s="518" t="str">
        <f>IF(AND(_A5="B-767-300",'2025'!$J$4="FO",'2025'!$J$2=CB233),'2025DATA'!$I$16,"")</f>
        <v/>
      </c>
      <c r="CC247" s="518" t="str">
        <f>IF(AND(_A5="B-767-300",'2025'!$J$4="FO",'2025'!$J$2=CC233),'2025DATA'!$J$16,"")</f>
        <v/>
      </c>
      <c r="CD247" s="518" t="str">
        <f>IF(AND(_A5="B-767-300",'2025'!$J$4="FO",'2025'!$J$2=CD233),'2025DATA'!$K$16,"")</f>
        <v/>
      </c>
      <c r="CE247" s="518" t="str">
        <f>IF(AND(_A5="B-767-300",'2025'!$J$4="FO",'2025'!$J$2=CE233),'2025DATA'!$L$16,"")</f>
        <v/>
      </c>
      <c r="CF247" s="518" t="str">
        <f>IF(AND(_A5="B-767-300",'2025'!$J$4="FO",'2025'!$J$2=CF233),'2025DATA'!$M$16,"")</f>
        <v/>
      </c>
      <c r="CG247" s="520" t="str">
        <f>IF(AND(_A5="B-767-300",'2025'!$J$4="FO",'2025'!$J$2=CG233),'2025DATA'!$N$16,"")</f>
        <v/>
      </c>
      <c r="CH247" s="940"/>
      <c r="CI247" s="13" t="s">
        <v>62</v>
      </c>
      <c r="CJ247" s="518" t="str">
        <f>IF(AND(_A6="B-767-300",'2025'!$J$4="FO",'2025'!$J$2=CJ233),'2025DATA'!$C$16,"")</f>
        <v/>
      </c>
      <c r="CK247" s="518" t="str">
        <f>IF(AND(_A6="B-767-300",'2025'!$J$4="FO",'2025'!$J$2=CK233),'2025DATA'!$D$16,"")</f>
        <v/>
      </c>
      <c r="CL247" s="518" t="str">
        <f>IF(AND(_A6="B-767-300",'2025'!$J$4="FO",'2025'!$J$2=CL233),'2025DATA'!$E$16,"")</f>
        <v/>
      </c>
      <c r="CM247" s="518" t="str">
        <f>IF(AND(_A6="B-767-300",'2025'!$J$4="FO",'2025'!$J$2=CM233),'2025DATA'!$F$16,"")</f>
        <v/>
      </c>
      <c r="CN247" s="518" t="str">
        <f>IF(AND(_A6="B-767-300",'2025'!$J$4="FO",'2025'!$J$2=CN233),'2025DATA'!$G$16,"")</f>
        <v/>
      </c>
      <c r="CO247" s="518" t="str">
        <f>IF(AND(_A6="B-767-300",'2025'!$J$4="FO",'2025'!$J$2=CO233),'2025DATA'!$H$16,"")</f>
        <v/>
      </c>
      <c r="CP247" s="518" t="str">
        <f>IF(AND(_A6="B-767-300",'2025'!$J$4="FO",'2025'!$J$2=CP233),'2025DATA'!$I$16,"")</f>
        <v/>
      </c>
      <c r="CQ247" s="518" t="str">
        <f>IF(AND(_A6="B-767-300",'2025'!$J$4="FO",'2025'!$J$2=CQ233),'2025DATA'!$J$16,"")</f>
        <v/>
      </c>
      <c r="CR247" s="518" t="str">
        <f>IF(AND(_A6="B-767-300",'2025'!$J$4="FO",'2025'!$J$2=CR233),'2025DATA'!$K$16,"")</f>
        <v/>
      </c>
      <c r="CS247" s="518" t="str">
        <f>IF(AND(_A6="B-767-300",'2025'!$J$4="FO",'2025'!$J$2=CS233),'2025DATA'!$L$16,"")</f>
        <v/>
      </c>
      <c r="CT247" s="518" t="str">
        <f>IF(AND(_A6="B-767-300",'2025'!$J$4="FO",'2025'!$J$2=CT233),'2025DATA'!$M$16,"")</f>
        <v/>
      </c>
      <c r="CU247" s="520" t="str">
        <f>IF(AND(_A6="B-767-300",'2025'!$J$4="FO",'2025'!$J$2=CU233),'2025DATA'!$N$16,"")</f>
        <v/>
      </c>
    </row>
    <row r="248" spans="16:99" x14ac:dyDescent="0.25">
      <c r="P248" s="940" t="s">
        <v>68</v>
      </c>
      <c r="Q248" s="13" t="s">
        <v>61</v>
      </c>
      <c r="R248" s="518" t="str">
        <f>IF(AND(_A1="B-767-200",'2025'!$J$4="CA",'2025'!$J$2=R233),'2025DATA'!$C$17,"")</f>
        <v/>
      </c>
      <c r="S248" s="518" t="str">
        <f>IF(AND(_A1="B-767-200",'2025'!$J$4="CA",'2025'!$J$2=S233),'2025DATA'!$D$17,"")</f>
        <v/>
      </c>
      <c r="T248" s="518" t="str">
        <f>IF(AND(_A1="B-767-200",'2025'!$J$4="CA",'2025'!$J$2=T233),'2025DATA'!$E$17,"")</f>
        <v/>
      </c>
      <c r="U248" s="518" t="str">
        <f>IF(AND(_A1="B-767-200",'2025'!$J$4="CA",'2025'!$J$2=U233),'2025DATA'!$F$17,"")</f>
        <v/>
      </c>
      <c r="V248" s="518" t="str">
        <f>IF(AND(_A1="B-767-200",'2025'!$J$4="CA",'2025'!$J$2=V233),'2025DATA'!$G$17,"")</f>
        <v/>
      </c>
      <c r="W248" s="518" t="str">
        <f>IF(AND(_A1="B-767-200",'2025'!$J$4="CA",'2025'!$J$2=W233),'2025DATA'!$H$17,"")</f>
        <v/>
      </c>
      <c r="X248" s="518" t="str">
        <f>IF(AND(_A1="B-767-200",'2025'!$J$4="CA",'2025'!$J$2=X233),'2025DATA'!$I$17,"")</f>
        <v/>
      </c>
      <c r="Y248" s="518" t="str">
        <f>IF(AND(_A1="B-767-200",'2025'!$J$4="CA",'2025'!$J$2=Y233),'2025DATA'!$J$17,"")</f>
        <v/>
      </c>
      <c r="Z248" s="518" t="str">
        <f>IF(AND(_A1="B-767-200",'2025'!$J$4="CA",'2025'!$J$2=Z233),'2025DATA'!$K$17,"")</f>
        <v/>
      </c>
      <c r="AA248" s="518" t="str">
        <f>IF(AND(_A1="B-767-200",'2025'!$J$4="CA",'2025'!$J$2=AA233),'2025DATA'!$L$17,"")</f>
        <v/>
      </c>
      <c r="AB248" s="518" t="str">
        <f>IF(AND(_A1="B-767-200",'2025'!$J$4="CA",'2025'!$J$2=AB233),'2025DATA'!$M$17,"")</f>
        <v/>
      </c>
      <c r="AC248" s="520" t="str">
        <f>IF(AND(_A1="B-767-200",'2025'!$J$4="CA",'2025'!$J$2=AC233),'2025DATA'!$N$17,"")</f>
        <v/>
      </c>
      <c r="AD248" s="940" t="s">
        <v>68</v>
      </c>
      <c r="AE248" s="13" t="s">
        <v>61</v>
      </c>
      <c r="AF248" s="518" t="str">
        <f>IF(AND(_A2="B-767-200",'2025'!$J$4="CA",'2025'!$J$2=AF233),'2025DATA'!$C$17,"")</f>
        <v/>
      </c>
      <c r="AG248" s="518" t="str">
        <f>IF(AND(_A2="B-767-200",'2025'!$J$4="CA",'2025'!$J$2=AG233),'2025DATA'!$D$17,"")</f>
        <v/>
      </c>
      <c r="AH248" s="518" t="str">
        <f>IF(AND(_A2="B-767-200",'2025'!$J$4="CA",'2025'!$J$2=AH233),'2025DATA'!$E$17,"")</f>
        <v/>
      </c>
      <c r="AI248" s="518" t="str">
        <f>IF(AND(_A2="B-767-200",'2025'!$J$4="CA",'2025'!$J$2=AI233),'2025DATA'!$F$17,"")</f>
        <v/>
      </c>
      <c r="AJ248" s="518" t="str">
        <f>IF(AND(_A2="B-767-200",'2025'!$J$4="CA",'2025'!$J$2=AJ233),'2025DATA'!$G$17,"")</f>
        <v/>
      </c>
      <c r="AK248" s="518" t="str">
        <f>IF(AND(_A2="B-767-200",'2025'!$J$4="CA",'2025'!$J$2=AK233),'2025DATA'!$H$17,"")</f>
        <v/>
      </c>
      <c r="AL248" s="518" t="str">
        <f>IF(AND(_A2="B-767-200",'2025'!$J$4="CA",'2025'!$J$2=AL233),'2025DATA'!$I$17,"")</f>
        <v/>
      </c>
      <c r="AM248" s="518" t="str">
        <f>IF(AND(_A2="B-767-200",'2025'!$J$4="CA",'2025'!$J$2=AM233),'2025DATA'!$J$17,"")</f>
        <v/>
      </c>
      <c r="AN248" s="518" t="str">
        <f>IF(AND(_A2="B-767-200",'2025'!$J$4="CA",'2025'!$J$2=AN233),'2025DATA'!$K$17,"")</f>
        <v/>
      </c>
      <c r="AO248" s="518" t="str">
        <f>IF(AND(_A2="B-767-200",'2025'!$J$4="CA",'2025'!$J$2=AO233),'2025DATA'!$L$17,"")</f>
        <v/>
      </c>
      <c r="AP248" s="518" t="str">
        <f>IF(AND(_A2="B-767-200",'2025'!$J$4="CA",'2025'!$J$2=AP233),'2025DATA'!$M$17,"")</f>
        <v/>
      </c>
      <c r="AQ248" s="520" t="str">
        <f>IF(AND(_A2="B-767-200",'2025'!$J$4="CA",'2025'!$J$2=AQ233),'2025DATA'!$N$17,"")</f>
        <v/>
      </c>
      <c r="AR248" s="940" t="s">
        <v>68</v>
      </c>
      <c r="AS248" s="13" t="s">
        <v>61</v>
      </c>
      <c r="AT248" s="518" t="str">
        <f>IF(AND(_A3="B-767-200",'2025'!$J$4="CA",'2025'!$J$2=AT233),'2025DATA'!$C$17,"")</f>
        <v/>
      </c>
      <c r="AU248" s="518" t="str">
        <f>IF(AND(_A3="B-767-200",'2025'!$J$4="CA",'2025'!$J$2=AU233),'2025DATA'!$D$17,"")</f>
        <v/>
      </c>
      <c r="AV248" s="518" t="str">
        <f>IF(AND(_A3="B-767-200",'2025'!$J$4="CA",'2025'!$J$2=AV233),'2025DATA'!$E$17,"")</f>
        <v/>
      </c>
      <c r="AW248" s="518" t="str">
        <f>IF(AND(_A3="B-767-200",'2025'!$J$4="CA",'2025'!$J$2=AW233),'2025DATA'!$F$17,"")</f>
        <v/>
      </c>
      <c r="AX248" s="518" t="str">
        <f>IF(AND(_A3="B-767-200",'2025'!$J$4="CA",'2025'!$J$2=AX233),'2025DATA'!$G$17,"")</f>
        <v/>
      </c>
      <c r="AY248" s="518" t="str">
        <f>IF(AND(_A3="B-767-200",'2025'!$J$4="CA",'2025'!$J$2=AY233),'2025DATA'!$H$17,"")</f>
        <v/>
      </c>
      <c r="AZ248" s="518" t="str">
        <f>IF(AND(_A3="B-767-200",'2025'!$J$4="CA",'2025'!$J$2=AZ233),'2025DATA'!$I$17,"")</f>
        <v/>
      </c>
      <c r="BA248" s="518" t="str">
        <f>IF(AND(_A3="B-767-200",'2025'!$J$4="CA",'2025'!$J$2=BA233),'2025DATA'!$J$17,"")</f>
        <v/>
      </c>
      <c r="BB248" s="518" t="str">
        <f>IF(AND(_A3="B-767-200",'2025'!$J$4="CA",'2025'!$J$2=BB233),'2025DATA'!$K$17,"")</f>
        <v/>
      </c>
      <c r="BC248" s="518" t="str">
        <f>IF(AND(_A3="B-767-200",'2025'!$J$4="CA",'2025'!$J$2=BC233),'2025DATA'!$L$17,"")</f>
        <v/>
      </c>
      <c r="BD248" s="518" t="str">
        <f>IF(AND(_A3="B-767-200",'2025'!$J$4="CA",'2025'!$J$2=BD233),'2025DATA'!$M$17,"")</f>
        <v/>
      </c>
      <c r="BE248" s="520" t="str">
        <f>IF(AND(_A3="B-767-200",'2025'!$J$4="CA",'2025'!$J$2=BE233),'2025DATA'!$N$17,"")</f>
        <v/>
      </c>
      <c r="BF248" s="940" t="s">
        <v>68</v>
      </c>
      <c r="BG248" s="13" t="s">
        <v>61</v>
      </c>
      <c r="BH248" s="518" t="str">
        <f>IF(AND(_A4="B-767-200",'2025'!$J$4="CA",'2025'!$J$2=BH233),'2025DATA'!$C$17,"")</f>
        <v/>
      </c>
      <c r="BI248" s="518" t="str">
        <f>IF(AND(_A4="B-767-200",'2025'!$J$4="CA",'2025'!$J$2=BI233),'2025DATA'!$D$17,"")</f>
        <v/>
      </c>
      <c r="BJ248" s="518" t="str">
        <f>IF(AND(_A4="B-767-200",'2025'!$J$4="CA",'2025'!$J$2=BJ233),'2025DATA'!$E$17,"")</f>
        <v/>
      </c>
      <c r="BK248" s="518" t="str">
        <f>IF(AND(_A4="B-767-200",'2025'!$J$4="CA",'2025'!$J$2=BK233),'2025DATA'!$F$17,"")</f>
        <v/>
      </c>
      <c r="BL248" s="518" t="str">
        <f>IF(AND(_A4="B-767-200",'2025'!$J$4="CA",'2025'!$J$2=BL233),'2025DATA'!$G$17,"")</f>
        <v/>
      </c>
      <c r="BM248" s="518" t="str">
        <f>IF(AND(_A4="B-767-200",'2025'!$J$4="CA",'2025'!$J$2=BM233),'2025DATA'!$H$17,"")</f>
        <v/>
      </c>
      <c r="BN248" s="518" t="str">
        <f>IF(AND(_A4="B-767-200",'2025'!$J$4="CA",'2025'!$J$2=BN233),'2025DATA'!$I$17,"")</f>
        <v/>
      </c>
      <c r="BO248" s="518" t="str">
        <f>IF(AND(_A4="B-767-200",'2025'!$J$4="CA",'2025'!$J$2=BO233),'2025DATA'!$J$17,"")</f>
        <v/>
      </c>
      <c r="BP248" s="518" t="str">
        <f>IF(AND(_A4="B-767-200",'2025'!$J$4="CA",'2025'!$J$2=BP233),'2025DATA'!$K$17,"")</f>
        <v/>
      </c>
      <c r="BQ248" s="518" t="str">
        <f>IF(AND(_A4="B-767-200",'2025'!$J$4="CA",'2025'!$J$2=BQ233),'2025DATA'!$L$17,"")</f>
        <v/>
      </c>
      <c r="BR248" s="518" t="str">
        <f>IF(AND(_A4="B-767-200",'2025'!$J$4="CA",'2025'!$J$2=BR233),'2025DATA'!$M$17,"")</f>
        <v/>
      </c>
      <c r="BS248" s="520" t="str">
        <f>IF(AND(_A4="B-767-200",'2025'!$J$4="CA",'2025'!$J$2=BS233),'2025DATA'!$N$17,"")</f>
        <v/>
      </c>
      <c r="BT248" s="940" t="s">
        <v>68</v>
      </c>
      <c r="BU248" s="13" t="s">
        <v>61</v>
      </c>
      <c r="BV248" s="518" t="str">
        <f>IF(AND(_A5="B-767-200",'2025'!$J$4="CA",'2025'!$J$2=BV233),'2025DATA'!$C$17,"")</f>
        <v/>
      </c>
      <c r="BW248" s="518" t="str">
        <f>IF(AND(_A5="B-767-200",'2025'!$J$4="CA",'2025'!$J$2=BW233),'2025DATA'!$D$17,"")</f>
        <v/>
      </c>
      <c r="BX248" s="518" t="str">
        <f>IF(AND(_A5="B-767-200",'2025'!$J$4="CA",'2025'!$J$2=BX233),'2025DATA'!$E$17,"")</f>
        <v/>
      </c>
      <c r="BY248" s="518" t="str">
        <f>IF(AND(_A5="B-767-200",'2025'!$J$4="CA",'2025'!$J$2=BY233),'2025DATA'!$F$17,"")</f>
        <v/>
      </c>
      <c r="BZ248" s="518" t="str">
        <f>IF(AND(_A5="B-767-200",'2025'!$J$4="CA",'2025'!$J$2=BZ233),'2025DATA'!$G$17,"")</f>
        <v/>
      </c>
      <c r="CA248" s="518" t="str">
        <f>IF(AND(_A5="B-767-200",'2025'!$J$4="CA",'2025'!$J$2=CA233),'2025DATA'!$H$17,"")</f>
        <v/>
      </c>
      <c r="CB248" s="518" t="str">
        <f>IF(AND(_A5="B-767-200",'2025'!$J$4="CA",'2025'!$J$2=CB233),'2025DATA'!$I$17,"")</f>
        <v/>
      </c>
      <c r="CC248" s="518" t="str">
        <f>IF(AND(_A5="B-767-200",'2025'!$J$4="CA",'2025'!$J$2=CC233),'2025DATA'!$J$17,"")</f>
        <v/>
      </c>
      <c r="CD248" s="518" t="str">
        <f>IF(AND(_A5="B-767-200",'2025'!$J$4="CA",'2025'!$J$2=CD233),'2025DATA'!$K$17,"")</f>
        <v/>
      </c>
      <c r="CE248" s="518" t="str">
        <f>IF(AND(_A5="B-767-200",'2025'!$J$4="CA",'2025'!$J$2=CE233),'2025DATA'!$L$17,"")</f>
        <v/>
      </c>
      <c r="CF248" s="518" t="str">
        <f>IF(AND(_A5="B-767-200",'2025'!$J$4="CA",'2025'!$J$2=CF233),'2025DATA'!$M$17,"")</f>
        <v/>
      </c>
      <c r="CG248" s="520" t="str">
        <f>IF(AND(_A5="B-767-200",'2025'!$J$4="CA",'2025'!$J$2=CG233),'2025DATA'!$N$17,"")</f>
        <v/>
      </c>
      <c r="CH248" s="940" t="s">
        <v>68</v>
      </c>
      <c r="CI248" s="13" t="s">
        <v>61</v>
      </c>
      <c r="CJ248" s="518" t="str">
        <f>IF(AND(_A6="B-767-200",'2025'!$J$4="CA",'2025'!$J$2=CJ233),'2025DATA'!$C$17,"")</f>
        <v/>
      </c>
      <c r="CK248" s="518" t="str">
        <f>IF(AND(_A6="B-767-200",'2025'!$J$4="CA",'2025'!$J$2=CK233),'2025DATA'!$D$17,"")</f>
        <v/>
      </c>
      <c r="CL248" s="518" t="str">
        <f>IF(AND(_A6="B-767-200",'2025'!$J$4="CA",'2025'!$J$2=CL233),'2025DATA'!$E$17,"")</f>
        <v/>
      </c>
      <c r="CM248" s="518" t="str">
        <f>IF(AND(_A6="B-767-200",'2025'!$J$4="CA",'2025'!$J$2=CM233),'2025DATA'!$F$17,"")</f>
        <v/>
      </c>
      <c r="CN248" s="518" t="str">
        <f>IF(AND(_A6="B-767-200",'2025'!$J$4="CA",'2025'!$J$2=CN233),'2025DATA'!$G$17,"")</f>
        <v/>
      </c>
      <c r="CO248" s="518" t="str">
        <f>IF(AND(_A6="B-767-200",'2025'!$J$4="CA",'2025'!$J$2=CO233),'2025DATA'!$H$17,"")</f>
        <v/>
      </c>
      <c r="CP248" s="518" t="str">
        <f>IF(AND(_A6="B-767-200",'2025'!$J$4="CA",'2025'!$J$2=CP233),'2025DATA'!$I$17,"")</f>
        <v/>
      </c>
      <c r="CQ248" s="518" t="str">
        <f>IF(AND(_A6="B-767-200",'2025'!$J$4="CA",'2025'!$J$2=CQ233),'2025DATA'!$J$17,"")</f>
        <v/>
      </c>
      <c r="CR248" s="518" t="str">
        <f>IF(AND(_A6="B-767-200",'2025'!$J$4="CA",'2025'!$J$2=CR233),'2025DATA'!$K$17,"")</f>
        <v/>
      </c>
      <c r="CS248" s="518" t="str">
        <f>IF(AND(_A6="B-767-200",'2025'!$J$4="CA",'2025'!$J$2=CS233),'2025DATA'!$L$17,"")</f>
        <v/>
      </c>
      <c r="CT248" s="518" t="str">
        <f>IF(AND(_A6="B-767-200",'2025'!$J$4="CA",'2025'!$J$2=CT233),'2025DATA'!$M$17,"")</f>
        <v/>
      </c>
      <c r="CU248" s="520" t="str">
        <f>IF(AND(_A6="B-767-200",'2025'!$J$4="CA",'2025'!$J$2=CU233),'2025DATA'!$N$17,"")</f>
        <v/>
      </c>
    </row>
    <row r="249" spans="16:99" x14ac:dyDescent="0.25">
      <c r="P249" s="940"/>
      <c r="Q249" s="13" t="s">
        <v>62</v>
      </c>
      <c r="R249" s="518" t="str">
        <f>IF(AND(_A1="B-767-200",'2025'!$J$4="FO",'2025'!$J$2=R233),'2025DATA'!$C$18,"")</f>
        <v/>
      </c>
      <c r="S249" s="518" t="str">
        <f>IF(AND(_A1="B-767-200",'2025'!$J$4="FO",'2025'!$J$2=S233),'2025DATA'!$D$18,"")</f>
        <v/>
      </c>
      <c r="T249" s="518" t="str">
        <f>IF(AND(_A1="B-767-200",'2025'!$J$4="FO",'2025'!$J$2=T233),'2025DATA'!$E$18,"")</f>
        <v/>
      </c>
      <c r="U249" s="518" t="str">
        <f>IF(AND(_A1="B-767-200",'2025'!$J$4="FO",'2025'!$J$2=U233),'2025DATA'!$F$18,"")</f>
        <v/>
      </c>
      <c r="V249" s="518" t="str">
        <f>IF(AND(_A1="B-767-200",'2025'!$J$4="FO",'2025'!$J$2=V233),'2025DATA'!$G$18,"")</f>
        <v/>
      </c>
      <c r="W249" s="518" t="str">
        <f>IF(AND(_A1="B-767-200",'2025'!$J$4="FO",'2025'!$J$2=W233),'2025DATA'!$H$18,"")</f>
        <v/>
      </c>
      <c r="X249" s="518" t="str">
        <f>IF(AND(_A1="B-767-200",'2025'!$J$4="FO",'2025'!$J$2=X233),'2025DATA'!$I$18,"")</f>
        <v/>
      </c>
      <c r="Y249" s="518" t="str">
        <f>IF(AND(_A1="B-767-200",'2025'!$J$4="FO",'2025'!$J$2=Y233),'2025DATA'!$J$18,"")</f>
        <v/>
      </c>
      <c r="Z249" s="518" t="str">
        <f>IF(AND(_A1="B-767-200",'2025'!$J$4="FO",'2025'!$J$2=Z233),'2025DATA'!$K$18,"")</f>
        <v/>
      </c>
      <c r="AA249" s="518" t="str">
        <f>IF(AND(_A1="B-767-200",'2025'!$J$4="FO",'2025'!$J$2=AA233),'2025DATA'!$L$18,"")</f>
        <v/>
      </c>
      <c r="AB249" s="518" t="str">
        <f>IF(AND(_A1="B-767-200",'2025'!$J$4="FO",'2025'!$J$2=AB233),'2025DATA'!$M$18,"")</f>
        <v/>
      </c>
      <c r="AC249" s="520" t="str">
        <f>IF(AND(_A1="B-767-200",'2025'!$J$4="FO",'2025'!$J$2=AC233),'2025DATA'!$N$18,"")</f>
        <v/>
      </c>
      <c r="AD249" s="940"/>
      <c r="AE249" s="13" t="s">
        <v>62</v>
      </c>
      <c r="AF249" s="518" t="str">
        <f>IF(AND(_A2="B-767-200",'2025'!$J$4="FO",'2025'!$J$2=AF233),'2025DATA'!$C$18,"")</f>
        <v/>
      </c>
      <c r="AG249" s="518" t="str">
        <f>IF(AND(_A2="B-767-200",'2025'!$J$4="FO",'2025'!$J$2=AG233),'2025DATA'!$D$18,"")</f>
        <v/>
      </c>
      <c r="AH249" s="518" t="str">
        <f>IF(AND(_A2="B-767-200",'2025'!$J$4="FO",'2025'!$J$2=AH233),'2025DATA'!$E$18,"")</f>
        <v/>
      </c>
      <c r="AI249" s="518" t="str">
        <f>IF(AND(_A2="B-767-200",'2025'!$J$4="FO",'2025'!$J$2=AI233),'2025DATA'!$F$18,"")</f>
        <v/>
      </c>
      <c r="AJ249" s="518" t="str">
        <f>IF(AND(_A2="B-767-200",'2025'!$J$4="FO",'2025'!$J$2=AJ233),'2025DATA'!$G$18,"")</f>
        <v/>
      </c>
      <c r="AK249" s="518" t="str">
        <f>IF(AND(_A2="B-767-200",'2025'!$J$4="FO",'2025'!$J$2=AK233),'2025DATA'!$H$18,"")</f>
        <v/>
      </c>
      <c r="AL249" s="518" t="str">
        <f>IF(AND(_A2="B-767-200",'2025'!$J$4="FO",'2025'!$J$2=AL233),'2025DATA'!$I$18,"")</f>
        <v/>
      </c>
      <c r="AM249" s="518" t="str">
        <f>IF(AND(_A2="B-767-200",'2025'!$J$4="FO",'2025'!$J$2=AM233),'2025DATA'!$J$18,"")</f>
        <v/>
      </c>
      <c r="AN249" s="518" t="str">
        <f>IF(AND(_A2="B-767-200",'2025'!$J$4="FO",'2025'!$J$2=AN233),'2025DATA'!$K$18,"")</f>
        <v/>
      </c>
      <c r="AO249" s="518" t="str">
        <f>IF(AND(_A2="B-767-200",'2025'!$J$4="FO",'2025'!$J$2=AO233),'2025DATA'!$L$18,"")</f>
        <v/>
      </c>
      <c r="AP249" s="518" t="str">
        <f>IF(AND(_A2="B-767-200",'2025'!$J$4="FO",'2025'!$J$2=AP233),'2025DATA'!$M$18,"")</f>
        <v/>
      </c>
      <c r="AQ249" s="520" t="str">
        <f>IF(AND(_A2="B-767-200",'2025'!$J$4="FO",'2025'!$J$2=AQ233),'2025DATA'!$N$18,"")</f>
        <v/>
      </c>
      <c r="AR249" s="940"/>
      <c r="AS249" s="13" t="s">
        <v>62</v>
      </c>
      <c r="AT249" s="518" t="str">
        <f>IF(AND(_A3="B-767-200",'2025'!$J$4="FO",'2025'!$J$2=AT233),'2025DATA'!$C$18,"")</f>
        <v/>
      </c>
      <c r="AU249" s="518" t="str">
        <f>IF(AND(_A3="B-767-200",'2025'!$J$4="FO",'2025'!$J$2=AU233),'2025DATA'!$D$18,"")</f>
        <v/>
      </c>
      <c r="AV249" s="518" t="str">
        <f>IF(AND(_A3="B-767-200",'2025'!$J$4="FO",'2025'!$J$2=AV233),'2025DATA'!$E$18,"")</f>
        <v/>
      </c>
      <c r="AW249" s="518" t="str">
        <f>IF(AND(_A3="B-767-200",'2025'!$J$4="FO",'2025'!$J$2=AW233),'2025DATA'!$F$18,"")</f>
        <v/>
      </c>
      <c r="AX249" s="518" t="str">
        <f>IF(AND(_A3="B-767-200",'2025'!$J$4="FO",'2025'!$J$2=AX233),'2025DATA'!$G$18,"")</f>
        <v/>
      </c>
      <c r="AY249" s="518" t="str">
        <f>IF(AND(_A3="B-767-200",'2025'!$J$4="FO",'2025'!$J$2=AY233),'2025DATA'!$H$18,"")</f>
        <v/>
      </c>
      <c r="AZ249" s="518" t="str">
        <f>IF(AND(_A3="B-767-200",'2025'!$J$4="FO",'2025'!$J$2=AZ233),'2025DATA'!$I$18,"")</f>
        <v/>
      </c>
      <c r="BA249" s="518" t="str">
        <f>IF(AND(_A3="B-767-200",'2025'!$J$4="FO",'2025'!$J$2=BA233),'2025DATA'!$J$18,"")</f>
        <v/>
      </c>
      <c r="BB249" s="518" t="str">
        <f>IF(AND(_A3="B-767-200",'2025'!$J$4="FO",'2025'!$J$2=BB233),'2025DATA'!$K$18,"")</f>
        <v/>
      </c>
      <c r="BC249" s="518" t="str">
        <f>IF(AND(_A3="B-767-200",'2025'!$J$4="FO",'2025'!$J$2=BC233),'2025DATA'!$L$18,"")</f>
        <v/>
      </c>
      <c r="BD249" s="518" t="str">
        <f>IF(AND(_A3="B-767-200",'2025'!$J$4="FO",'2025'!$J$2=BD233),'2025DATA'!$M$18,"")</f>
        <v/>
      </c>
      <c r="BE249" s="520" t="str">
        <f>IF(AND(_A3="B-767-200",'2025'!$J$4="FO",'2025'!$J$2=BE233),'2025DATA'!$N$18,"")</f>
        <v/>
      </c>
      <c r="BF249" s="940"/>
      <c r="BG249" s="13" t="s">
        <v>62</v>
      </c>
      <c r="BH249" s="518" t="str">
        <f>IF(AND(_A4="B-767-200",'2025'!$J$4="FO",'2025'!$J$2=BH233),'2025DATA'!$C$18,"")</f>
        <v/>
      </c>
      <c r="BI249" s="518" t="str">
        <f>IF(AND(_A4="B-767-200",'2025'!$J$4="FO",'2025'!$J$2=BI233),'2025DATA'!$D$18,"")</f>
        <v/>
      </c>
      <c r="BJ249" s="518" t="str">
        <f>IF(AND(_A4="B-767-200",'2025'!$J$4="FO",'2025'!$J$2=BJ233),'2025DATA'!$E$18,"")</f>
        <v/>
      </c>
      <c r="BK249" s="518" t="str">
        <f>IF(AND(_A4="B-767-200",'2025'!$J$4="FO",'2025'!$J$2=BK233),'2025DATA'!$F$18,"")</f>
        <v/>
      </c>
      <c r="BL249" s="518" t="str">
        <f>IF(AND(_A4="B-767-200",'2025'!$J$4="FO",'2025'!$J$2=BL233),'2025DATA'!$G$18,"")</f>
        <v/>
      </c>
      <c r="BM249" s="518" t="str">
        <f>IF(AND(_A4="B-767-200",'2025'!$J$4="FO",'2025'!$J$2=BM233),'2025DATA'!$H$18,"")</f>
        <v/>
      </c>
      <c r="BN249" s="518" t="str">
        <f>IF(AND(_A4="B-767-200",'2025'!$J$4="FO",'2025'!$J$2=BN233),'2025DATA'!$I$18,"")</f>
        <v/>
      </c>
      <c r="BO249" s="518" t="str">
        <f>IF(AND(_A4="B-767-200",'2025'!$J$4="FO",'2025'!$J$2=BO233),'2025DATA'!$J$18,"")</f>
        <v/>
      </c>
      <c r="BP249" s="518" t="str">
        <f>IF(AND(_A4="B-767-200",'2025'!$J$4="FO",'2025'!$J$2=BP233),'2025DATA'!$K$18,"")</f>
        <v/>
      </c>
      <c r="BQ249" s="518" t="str">
        <f>IF(AND(_A4="B-767-200",'2025'!$J$4="FO",'2025'!$J$2=BQ233),'2025DATA'!$L$18,"")</f>
        <v/>
      </c>
      <c r="BR249" s="518" t="str">
        <f>IF(AND(_A4="B-767-200",'2025'!$J$4="FO",'2025'!$J$2=BR233),'2025DATA'!$M$18,"")</f>
        <v/>
      </c>
      <c r="BS249" s="520" t="str">
        <f>IF(AND(_A4="B-767-200",'2025'!$J$4="FO",'2025'!$J$2=BS233),'2025DATA'!$N$18,"")</f>
        <v/>
      </c>
      <c r="BT249" s="940"/>
      <c r="BU249" s="13" t="s">
        <v>62</v>
      </c>
      <c r="BV249" s="518" t="str">
        <f>IF(AND(_A5="B-767-200",'2025'!$J$4="FO",'2025'!$J$2=BV233),'2025DATA'!$C$18,"")</f>
        <v/>
      </c>
      <c r="BW249" s="518" t="str">
        <f>IF(AND(_A5="B-767-200",'2025'!$J$4="FO",'2025'!$J$2=BW233),'2025DATA'!$D$18,"")</f>
        <v/>
      </c>
      <c r="BX249" s="518" t="str">
        <f>IF(AND(_A5="B-767-200",'2025'!$J$4="FO",'2025'!$J$2=BX233),'2025DATA'!$E$18,"")</f>
        <v/>
      </c>
      <c r="BY249" s="518" t="str">
        <f>IF(AND(_A5="B-767-200",'2025'!$J$4="FO",'2025'!$J$2=BY233),'2025DATA'!$F$18,"")</f>
        <v/>
      </c>
      <c r="BZ249" s="518" t="str">
        <f>IF(AND(_A5="B-767-200",'2025'!$J$4="FO",'2025'!$J$2=BZ233),'2025DATA'!$G$18,"")</f>
        <v/>
      </c>
      <c r="CA249" s="518" t="str">
        <f>IF(AND(_A5="B-767-200",'2025'!$J$4="FO",'2025'!$J$2=CA233),'2025DATA'!$H$18,"")</f>
        <v/>
      </c>
      <c r="CB249" s="518" t="str">
        <f>IF(AND(_A5="B-767-200",'2025'!$J$4="FO",'2025'!$J$2=CB233),'2025DATA'!$I$18,"")</f>
        <v/>
      </c>
      <c r="CC249" s="518" t="str">
        <f>IF(AND(_A5="B-767-200",'2025'!$J$4="FO",'2025'!$J$2=CC233),'2025DATA'!$J$18,"")</f>
        <v/>
      </c>
      <c r="CD249" s="518" t="str">
        <f>IF(AND(_A5="B-767-200",'2025'!$J$4="FO",'2025'!$J$2=CD233),'2025DATA'!$K$18,"")</f>
        <v/>
      </c>
      <c r="CE249" s="518" t="str">
        <f>IF(AND(_A5="B-767-200",'2025'!$J$4="FO",'2025'!$J$2=CE233),'2025DATA'!$L$18,"")</f>
        <v/>
      </c>
      <c r="CF249" s="518" t="str">
        <f>IF(AND(_A5="B-767-200",'2025'!$J$4="FO",'2025'!$J$2=CF233),'2025DATA'!$M$18,"")</f>
        <v/>
      </c>
      <c r="CG249" s="520" t="str">
        <f>IF(AND(_A5="B-767-200",'2025'!$J$4="FO",'2025'!$J$2=CG233),'2025DATA'!$N$18,"")</f>
        <v/>
      </c>
      <c r="CH249" s="940"/>
      <c r="CI249" s="13" t="s">
        <v>62</v>
      </c>
      <c r="CJ249" s="518" t="str">
        <f>IF(AND(_A6="B-767-200",'2025'!$J$4="FO",'2025'!$J$2=CJ233),'2025DATA'!$C$18,"")</f>
        <v/>
      </c>
      <c r="CK249" s="518" t="str">
        <f>IF(AND(_A6="B-767-200",'2025'!$J$4="FO",'2025'!$J$2=CK233),'2025DATA'!$D$18,"")</f>
        <v/>
      </c>
      <c r="CL249" s="518" t="str">
        <f>IF(AND(_A6="B-767-200",'2025'!$J$4="FO",'2025'!$J$2=CL233),'2025DATA'!$E$18,"")</f>
        <v/>
      </c>
      <c r="CM249" s="518" t="str">
        <f>IF(AND(_A6="B-767-200",'2025'!$J$4="FO",'2025'!$J$2=CM233),'2025DATA'!$F$18,"")</f>
        <v/>
      </c>
      <c r="CN249" s="518" t="str">
        <f>IF(AND(_A6="B-767-200",'2025'!$J$4="FO",'2025'!$J$2=CN233),'2025DATA'!$G$18,"")</f>
        <v/>
      </c>
      <c r="CO249" s="518" t="str">
        <f>IF(AND(_A6="B-767-200",'2025'!$J$4="FO",'2025'!$J$2=CO233),'2025DATA'!$H$18,"")</f>
        <v/>
      </c>
      <c r="CP249" s="518" t="str">
        <f>IF(AND(_A6="B-767-200",'2025'!$J$4="FO",'2025'!$J$2=CP233),'2025DATA'!$I$18,"")</f>
        <v/>
      </c>
      <c r="CQ249" s="518" t="str">
        <f>IF(AND(_A6="B-767-200",'2025'!$J$4="FO",'2025'!$J$2=CQ233),'2025DATA'!$J$18,"")</f>
        <v/>
      </c>
      <c r="CR249" s="518" t="str">
        <f>IF(AND(_A6="B-767-200",'2025'!$J$4="FO",'2025'!$J$2=CR233),'2025DATA'!$K$18,"")</f>
        <v/>
      </c>
      <c r="CS249" s="518" t="str">
        <f>IF(AND(_A6="B-767-200",'2025'!$J$4="FO",'2025'!$J$2=CS233),'2025DATA'!$L$18,"")</f>
        <v/>
      </c>
      <c r="CT249" s="518" t="str">
        <f>IF(AND(_A6="B-767-200",'2025'!$J$4="FO",'2025'!$J$2=CT233),'2025DATA'!$M$18,"")</f>
        <v/>
      </c>
      <c r="CU249" s="520" t="str">
        <f>IF(AND(_A6="B-767-200",'2025'!$J$4="FO",'2025'!$J$2=CU233),'2025DATA'!$N$18,"")</f>
        <v/>
      </c>
    </row>
    <row r="250" spans="16:99" x14ac:dyDescent="0.25">
      <c r="P250" s="940" t="s">
        <v>45</v>
      </c>
      <c r="Q250" s="13" t="s">
        <v>61</v>
      </c>
      <c r="R250" s="518" t="str">
        <f>IF(AND(_A1="B-757",'2025'!$J$4="CA",'2025'!$J$2=R233),'2025DATA'!$C$19,"")</f>
        <v/>
      </c>
      <c r="S250" s="518" t="str">
        <f>IF(AND(_A1="B-757",'2025'!$J$4="CA",'2025'!$J$2=S233),'2025DATA'!$D$19,"")</f>
        <v/>
      </c>
      <c r="T250" s="518" t="str">
        <f>IF(AND(_A1="B-757",'2025'!$J$4="CA",'2025'!$J$2=T233),'2025DATA'!$E$19,"")</f>
        <v/>
      </c>
      <c r="U250" s="518" t="str">
        <f>IF(AND(_A1="B-757",'2025'!$J$4="CA",'2025'!$J$2=U233),'2025DATA'!$F$19,"")</f>
        <v/>
      </c>
      <c r="V250" s="518" t="str">
        <f>IF(AND(_A1="B-757",'2025'!$J$4="CA",'2025'!$J$2=V233),'2025DATA'!$G$19,"")</f>
        <v/>
      </c>
      <c r="W250" s="518" t="str">
        <f>IF(AND(_A1="B-757",'2025'!$J$4="CA",'2025'!$J$2=W233),'2025DATA'!$H$19,"")</f>
        <v/>
      </c>
      <c r="X250" s="518" t="str">
        <f>IF(AND(_A1="B-757",'2025'!$J$4="CA",'2025'!$J$2=X233),'2025DATA'!$I$19,"")</f>
        <v/>
      </c>
      <c r="Y250" s="518" t="str">
        <f>IF(AND(_A1="B-757",'2025'!$J$4="CA",'2025'!$J$2=Y233),'2025DATA'!$J$19,"")</f>
        <v/>
      </c>
      <c r="Z250" s="518" t="str">
        <f>IF(AND(_A1="B-757",'2025'!$J$4="CA",'2025'!$J$2=Z233),'2025DATA'!$K$19,"")</f>
        <v/>
      </c>
      <c r="AA250" s="518" t="str">
        <f>IF(AND(_A1="B-757",'2025'!$J$4="CA",'2025'!$J$2=AA233),'2025DATA'!$L$19,"")</f>
        <v/>
      </c>
      <c r="AB250" s="518" t="str">
        <f>IF(AND(_A1="B-757",'2025'!$J$4="CA",'2025'!$J$2=AB233),'2025DATA'!$M$19,"")</f>
        <v/>
      </c>
      <c r="AC250" s="520" t="str">
        <f>IF(AND(_A1="B-757",'2025'!$J$4="CA",'2025'!$J$2=AC233),'2025DATA'!$N$19,"")</f>
        <v/>
      </c>
      <c r="AD250" s="940" t="s">
        <v>45</v>
      </c>
      <c r="AE250" s="13" t="s">
        <v>61</v>
      </c>
      <c r="AF250" s="518" t="str">
        <f>IF(AND(_A2="B-757",'2025'!$J$4="CA",'2025'!$J$2=AF233),'2025DATA'!$C$19,"")</f>
        <v/>
      </c>
      <c r="AG250" s="518" t="str">
        <f>IF(AND(_A2="B-757",'2025'!$J$4="CA",'2025'!$J$2=AG233),'2025DATA'!$D$19,"")</f>
        <v/>
      </c>
      <c r="AH250" s="518" t="str">
        <f>IF(AND(_A2="B-757",'2025'!$J$4="CA",'2025'!$J$2=AH233),'2025DATA'!$E$19,"")</f>
        <v/>
      </c>
      <c r="AI250" s="518" t="str">
        <f>IF(AND(_A2="B-757",'2025'!$J$4="CA",'2025'!$J$2=AI233),'2025DATA'!$F$19,"")</f>
        <v/>
      </c>
      <c r="AJ250" s="518" t="str">
        <f>IF(AND(_A2="B-757",'2025'!$J$4="CA",'2025'!$J$2=AJ233),'2025DATA'!$G$19,"")</f>
        <v/>
      </c>
      <c r="AK250" s="518" t="str">
        <f>IF(AND(_A2="B-757",'2025'!$J$4="CA",'2025'!$J$2=AK233),'2025DATA'!$H$19,"")</f>
        <v/>
      </c>
      <c r="AL250" s="518" t="str">
        <f>IF(AND(_A2="B-757",'2025'!$J$4="CA",'2025'!$J$2=AL233),'2025DATA'!$I$19,"")</f>
        <v/>
      </c>
      <c r="AM250" s="518" t="str">
        <f>IF(AND(_A2="B-757",'2025'!$J$4="CA",'2025'!$J$2=AM233),'2025DATA'!$J$19,"")</f>
        <v/>
      </c>
      <c r="AN250" s="518" t="str">
        <f>IF(AND(_A2="B-757",'2025'!$J$4="CA",'2025'!$J$2=AN233),'2025DATA'!$K$19,"")</f>
        <v/>
      </c>
      <c r="AO250" s="518" t="str">
        <f>IF(AND(_A2="B-757",'2025'!$J$4="CA",'2025'!$J$2=AO233),'2025DATA'!$L$19,"")</f>
        <v/>
      </c>
      <c r="AP250" s="518" t="str">
        <f>IF(AND(_A2="B-757",'2025'!$J$4="CA",'2025'!$J$2=AP233),'2025DATA'!$M$19,"")</f>
        <v/>
      </c>
      <c r="AQ250" s="520" t="str">
        <f>IF(AND(_A2="B-757",'2025'!$J$4="CA",'2025'!$J$2=AQ233),'2025DATA'!$N$19,"")</f>
        <v/>
      </c>
      <c r="AR250" s="940" t="s">
        <v>45</v>
      </c>
      <c r="AS250" s="13" t="s">
        <v>61</v>
      </c>
      <c r="AT250" s="518" t="str">
        <f>IF(AND(_A3="B-757",'2025'!$J$4="CA",'2025'!$J$2=AT233),'2025DATA'!$C$19,"")</f>
        <v/>
      </c>
      <c r="AU250" s="518" t="str">
        <f>IF(AND(_A3="B-757",'2025'!$J$4="CA",'2025'!$J$2=AU233),'2025DATA'!$D$19,"")</f>
        <v/>
      </c>
      <c r="AV250" s="518" t="str">
        <f>IF(AND(_A3="B-757",'2025'!$J$4="CA",'2025'!$J$2=AV233),'2025DATA'!$E$19,"")</f>
        <v/>
      </c>
      <c r="AW250" s="518" t="str">
        <f>IF(AND(_A3="B-757",'2025'!$J$4="CA",'2025'!$J$2=AW233),'2025DATA'!$F$19,"")</f>
        <v/>
      </c>
      <c r="AX250" s="518" t="str">
        <f>IF(AND(_A3="B-757",'2025'!$J$4="CA",'2025'!$J$2=AX233),'2025DATA'!$G$19,"")</f>
        <v/>
      </c>
      <c r="AY250" s="518" t="str">
        <f>IF(AND(_A3="B-757",'2025'!$J$4="CA",'2025'!$J$2=AY233),'2025DATA'!$H$19,"")</f>
        <v/>
      </c>
      <c r="AZ250" s="518" t="str">
        <f>IF(AND(_A3="B-757",'2025'!$J$4="CA",'2025'!$J$2=AZ233),'2025DATA'!$I$19,"")</f>
        <v/>
      </c>
      <c r="BA250" s="518" t="str">
        <f>IF(AND(_A3="B-757",'2025'!$J$4="CA",'2025'!$J$2=BA233),'2025DATA'!$J$19,"")</f>
        <v/>
      </c>
      <c r="BB250" s="518" t="str">
        <f>IF(AND(_A3="B-757",'2025'!$J$4="CA",'2025'!$J$2=BB233),'2025DATA'!$K$19,"")</f>
        <v/>
      </c>
      <c r="BC250" s="518" t="str">
        <f>IF(AND(_A3="B-757",'2025'!$J$4="CA",'2025'!$J$2=BC233),'2025DATA'!$L$19,"")</f>
        <v/>
      </c>
      <c r="BD250" s="518" t="str">
        <f>IF(AND(_A3="B-757",'2025'!$J$4="CA",'2025'!$J$2=BD233),'2025DATA'!$M$19,"")</f>
        <v/>
      </c>
      <c r="BE250" s="520" t="str">
        <f>IF(AND(_A3="B-757",'2025'!$J$4="CA",'2025'!$J$2=BE233),'2025DATA'!$N$19,"")</f>
        <v/>
      </c>
      <c r="BF250" s="940" t="s">
        <v>45</v>
      </c>
      <c r="BG250" s="13" t="s">
        <v>61</v>
      </c>
      <c r="BH250" s="518" t="str">
        <f>IF(AND(_A4="B-757",'2025'!$J$4="CA",'2025'!$J$2=BH233),'2025DATA'!$C$19,"")</f>
        <v/>
      </c>
      <c r="BI250" s="518" t="str">
        <f>IF(AND(_A4="B-757",'2025'!$J$4="CA",'2025'!$J$2=BI233),'2025DATA'!$D$19,"")</f>
        <v/>
      </c>
      <c r="BJ250" s="518" t="str">
        <f>IF(AND(_A4="B-757",'2025'!$J$4="CA",'2025'!$J$2=BJ233),'2025DATA'!$E$19,"")</f>
        <v/>
      </c>
      <c r="BK250" s="518" t="str">
        <f>IF(AND(_A4="B-757",'2025'!$J$4="CA",'2025'!$J$2=BK233),'2025DATA'!$F$19,"")</f>
        <v/>
      </c>
      <c r="BL250" s="518" t="str">
        <f>IF(AND(_A4="B-757",'2025'!$J$4="CA",'2025'!$J$2=BL233),'2025DATA'!$G$19,"")</f>
        <v/>
      </c>
      <c r="BM250" s="518" t="str">
        <f>IF(AND(_A4="B-757",'2025'!$J$4="CA",'2025'!$J$2=BM233),'2025DATA'!$H$19,"")</f>
        <v/>
      </c>
      <c r="BN250" s="518" t="str">
        <f>IF(AND(_A4="B-757",'2025'!$J$4="CA",'2025'!$J$2=BN233),'2025DATA'!$I$19,"")</f>
        <v/>
      </c>
      <c r="BO250" s="518" t="str">
        <f>IF(AND(_A4="B-757",'2025'!$J$4="CA",'2025'!$J$2=BO233),'2025DATA'!$J$19,"")</f>
        <v/>
      </c>
      <c r="BP250" s="518" t="str">
        <f>IF(AND(_A4="B-757",'2025'!$J$4="CA",'2025'!$J$2=BP233),'2025DATA'!$K$19,"")</f>
        <v/>
      </c>
      <c r="BQ250" s="518" t="str">
        <f>IF(AND(_A4="B-757",'2025'!$J$4="CA",'2025'!$J$2=BQ233),'2025DATA'!$L$19,"")</f>
        <v/>
      </c>
      <c r="BR250" s="518" t="str">
        <f>IF(AND(_A4="B-757",'2025'!$J$4="CA",'2025'!$J$2=BR233),'2025DATA'!$M$19,"")</f>
        <v/>
      </c>
      <c r="BS250" s="520" t="str">
        <f>IF(AND(_A4="B-757",'2025'!$J$4="CA",'2025'!$J$2=BS233),'2025DATA'!$N$19,"")</f>
        <v/>
      </c>
      <c r="BT250" s="940" t="s">
        <v>45</v>
      </c>
      <c r="BU250" s="13" t="s">
        <v>61</v>
      </c>
      <c r="BV250" s="518" t="str">
        <f>IF(AND(_A5="B-757",'2025'!$J$4="CA",'2025'!$J$2=BV233),'2025DATA'!$C$19,"")</f>
        <v/>
      </c>
      <c r="BW250" s="518" t="str">
        <f>IF(AND(_A5="B-757",'2025'!$J$4="CA",'2025'!$J$2=BW233),'2025DATA'!$D$19,"")</f>
        <v/>
      </c>
      <c r="BX250" s="518" t="str">
        <f>IF(AND(_A5="B-757",'2025'!$J$4="CA",'2025'!$J$2=BX233),'2025DATA'!$E$19,"")</f>
        <v/>
      </c>
      <c r="BY250" s="518" t="str">
        <f>IF(AND(_A5="B-757",'2025'!$J$4="CA",'2025'!$J$2=BY233),'2025DATA'!$F$19,"")</f>
        <v/>
      </c>
      <c r="BZ250" s="518" t="str">
        <f>IF(AND(_A5="B-757",'2025'!$J$4="CA",'2025'!$J$2=BZ233),'2025DATA'!$G$19,"")</f>
        <v/>
      </c>
      <c r="CA250" s="518" t="str">
        <f>IF(AND(_A5="B-757",'2025'!$J$4="CA",'2025'!$J$2=CA233),'2025DATA'!$H$19,"")</f>
        <v/>
      </c>
      <c r="CB250" s="518" t="str">
        <f>IF(AND(_A5="B-757",'2025'!$J$4="CA",'2025'!$J$2=CB233),'2025DATA'!$I$19,"")</f>
        <v/>
      </c>
      <c r="CC250" s="518" t="str">
        <f>IF(AND(_A5="B-757",'2025'!$J$4="CA",'2025'!$J$2=CC233),'2025DATA'!$J$19,"")</f>
        <v/>
      </c>
      <c r="CD250" s="518" t="str">
        <f>IF(AND(_A5="B-757",'2025'!$J$4="CA",'2025'!$J$2=CD233),'2025DATA'!$K$19,"")</f>
        <v/>
      </c>
      <c r="CE250" s="518" t="str">
        <f>IF(AND(_A5="B-757",'2025'!$J$4="CA",'2025'!$J$2=CE233),'2025DATA'!$L$19,"")</f>
        <v/>
      </c>
      <c r="CF250" s="518" t="str">
        <f>IF(AND(_A5="B-757",'2025'!$J$4="CA",'2025'!$J$2=CF233),'2025DATA'!$M$19,"")</f>
        <v/>
      </c>
      <c r="CG250" s="520" t="str">
        <f>IF(AND(_A5="B-757",'2025'!$J$4="CA",'2025'!$J$2=CG233),'2025DATA'!$N$19,"")</f>
        <v/>
      </c>
      <c r="CH250" s="940" t="s">
        <v>45</v>
      </c>
      <c r="CI250" s="13" t="s">
        <v>61</v>
      </c>
      <c r="CJ250" s="518" t="str">
        <f>IF(AND(_A6="B-757",'2025'!$J$4="CA",'2025'!$J$2=CJ233),'2025DATA'!$C$19,"")</f>
        <v/>
      </c>
      <c r="CK250" s="518" t="str">
        <f>IF(AND(_A6="B-757",'2025'!$J$4="CA",'2025'!$J$2=CK233),'2025DATA'!$D$19,"")</f>
        <v/>
      </c>
      <c r="CL250" s="518" t="str">
        <f>IF(AND(_A6="B-757",'2025'!$J$4="CA",'2025'!$J$2=CL233),'2025DATA'!$E$19,"")</f>
        <v/>
      </c>
      <c r="CM250" s="518" t="str">
        <f>IF(AND(_A6="B-757",'2025'!$J$4="CA",'2025'!$J$2=CM233),'2025DATA'!$F$19,"")</f>
        <v/>
      </c>
      <c r="CN250" s="518" t="str">
        <f>IF(AND(_A6="B-757",'2025'!$J$4="CA",'2025'!$J$2=CN233),'2025DATA'!$G$19,"")</f>
        <v/>
      </c>
      <c r="CO250" s="518" t="str">
        <f>IF(AND(_A6="B-757",'2025'!$J$4="CA",'2025'!$J$2=CO233),'2025DATA'!$H$19,"")</f>
        <v/>
      </c>
      <c r="CP250" s="518" t="str">
        <f>IF(AND(_A6="B-757",'2025'!$J$4="CA",'2025'!$J$2=CP233),'2025DATA'!$I$19,"")</f>
        <v/>
      </c>
      <c r="CQ250" s="518" t="str">
        <f>IF(AND(_A6="B-757",'2025'!$J$4="CA",'2025'!$J$2=CQ233),'2025DATA'!$J$19,"")</f>
        <v/>
      </c>
      <c r="CR250" s="518" t="str">
        <f>IF(AND(_A6="B-757",'2025'!$J$4="CA",'2025'!$J$2=CR233),'2025DATA'!$K$19,"")</f>
        <v/>
      </c>
      <c r="CS250" s="518" t="str">
        <f>IF(AND(_A6="B-757",'2025'!$J$4="CA",'2025'!$J$2=CS233),'2025DATA'!$L$19,"")</f>
        <v/>
      </c>
      <c r="CT250" s="518" t="str">
        <f>IF(AND(_A6="B-757",'2025'!$J$4="CA",'2025'!$J$2=CT233),'2025DATA'!$M$19,"")</f>
        <v/>
      </c>
      <c r="CU250" s="520" t="str">
        <f>IF(AND(_A6="B-757",'2025'!$J$4="CA",'2025'!$J$2=CU233),'2025DATA'!$N$19,"")</f>
        <v/>
      </c>
    </row>
    <row r="251" spans="16:99" x14ac:dyDescent="0.25">
      <c r="P251" s="940"/>
      <c r="Q251" s="13" t="s">
        <v>62</v>
      </c>
      <c r="R251" s="518" t="str">
        <f>IF(AND(_A1="B-757",'2025'!$J$4="FO",'2025'!$J$2=R233),'2025DATA'!$C$20,"")</f>
        <v/>
      </c>
      <c r="S251" s="518" t="str">
        <f>IF(AND(_A1="B-757",'2025'!$J$4="FO",'2025'!$J$2=S233),'2025DATA'!$D$20,"")</f>
        <v/>
      </c>
      <c r="T251" s="518" t="str">
        <f>IF(AND(_A1="B-757",'2025'!$J$4="FO",'2025'!$J$2=T233),'2025DATA'!$E$20,"")</f>
        <v/>
      </c>
      <c r="U251" s="518" t="str">
        <f>IF(AND(_A1="B-757",'2025'!$J$4="FO",'2025'!$J$2=U233),'2025DATA'!$F$20,"")</f>
        <v/>
      </c>
      <c r="V251" s="518" t="str">
        <f>IF(AND(_A1="B-757",'2025'!$J$4="FO",'2025'!$J$2=V233),'2025DATA'!$G$20,"")</f>
        <v/>
      </c>
      <c r="W251" s="518" t="str">
        <f>IF(AND(_A1="B-757",'2025'!$J$4="FO",'2025'!$J$2=W233),'2025DATA'!$H$20,"")</f>
        <v/>
      </c>
      <c r="X251" s="518" t="str">
        <f>IF(AND(_A1="B-757",'2025'!$J$4="FO",'2025'!$J$2=X233),'2025DATA'!$I$20,"")</f>
        <v/>
      </c>
      <c r="Y251" s="518" t="str">
        <f>IF(AND(_A1="B-757",'2025'!$J$4="FO",'2025'!$J$2=Y233),'2025DATA'!$J$20,"")</f>
        <v/>
      </c>
      <c r="Z251" s="518" t="str">
        <f>IF(AND(_A1="B-757",'2025'!$J$4="FO",'2025'!$J$2=Z233),'2025DATA'!$K$20,"")</f>
        <v/>
      </c>
      <c r="AA251" s="518" t="str">
        <f>IF(AND(_A1="B-757",'2025'!$J$4="FO",'2025'!$J$2=AA233),'2025DATA'!$L$20,"")</f>
        <v/>
      </c>
      <c r="AB251" s="518" t="str">
        <f>IF(AND(_A1="B-757",'2025'!$J$4="FO",'2025'!$J$2=AB233),'2025DATA'!$M$20,"")</f>
        <v/>
      </c>
      <c r="AC251" s="520" t="str">
        <f>IF(AND(_A1="B-757",'2025'!$J$4="FO",'2025'!$J$2=AC233),'2025DATA'!$N$20,"")</f>
        <v/>
      </c>
      <c r="AD251" s="940"/>
      <c r="AE251" s="13" t="s">
        <v>62</v>
      </c>
      <c r="AF251" s="518" t="str">
        <f>IF(AND(_A2="B-757",'2025'!$J$4="FO",'2025'!$J$2=AF233),'2025DATA'!$C$20,"")</f>
        <v/>
      </c>
      <c r="AG251" s="518" t="str">
        <f>IF(AND(_A2="B-757",'2025'!$J$4="FO",'2025'!$J$2=AG233),'2025DATA'!$D$20,"")</f>
        <v/>
      </c>
      <c r="AH251" s="518" t="str">
        <f>IF(AND(_A2="B-757",'2025'!$J$4="FO",'2025'!$J$2=AH233),'2025DATA'!$E$20,"")</f>
        <v/>
      </c>
      <c r="AI251" s="518" t="str">
        <f>IF(AND(_A2="B-757",'2025'!$J$4="FO",'2025'!$J$2=AI233),'2025DATA'!$F$20,"")</f>
        <v/>
      </c>
      <c r="AJ251" s="518" t="str">
        <f>IF(AND(_A2="B-757",'2025'!$J$4="FO",'2025'!$J$2=AJ233),'2025DATA'!$G$20,"")</f>
        <v/>
      </c>
      <c r="AK251" s="518" t="str">
        <f>IF(AND(_A2="B-757",'2025'!$J$4="FO",'2025'!$J$2=AK233),'2025DATA'!$H$20,"")</f>
        <v/>
      </c>
      <c r="AL251" s="518" t="str">
        <f>IF(AND(_A2="B-757",'2025'!$J$4="FO",'2025'!$J$2=AL233),'2025DATA'!$I$20,"")</f>
        <v/>
      </c>
      <c r="AM251" s="518" t="str">
        <f>IF(AND(_A2="B-757",'2025'!$J$4="FO",'2025'!$J$2=AM233),'2025DATA'!$J$20,"")</f>
        <v/>
      </c>
      <c r="AN251" s="518" t="str">
        <f>IF(AND(_A2="B-757",'2025'!$J$4="FO",'2025'!$J$2=AN233),'2025DATA'!$K$20,"")</f>
        <v/>
      </c>
      <c r="AO251" s="518" t="str">
        <f>IF(AND(_A2="B-757",'2025'!$J$4="FO",'2025'!$J$2=AO233),'2025DATA'!$L$20,"")</f>
        <v/>
      </c>
      <c r="AP251" s="518" t="str">
        <f>IF(AND(_A2="B-757",'2025'!$J$4="FO",'2025'!$J$2=AP233),'2025DATA'!$M$20,"")</f>
        <v/>
      </c>
      <c r="AQ251" s="520" t="str">
        <f>IF(AND(_A2="B-757",'2025'!$J$4="FO",'2025'!$J$2=AQ233),'2025DATA'!$N$20,"")</f>
        <v/>
      </c>
      <c r="AR251" s="940"/>
      <c r="AS251" s="13" t="s">
        <v>62</v>
      </c>
      <c r="AT251" s="518" t="str">
        <f>IF(AND(_A3="B-757",'2025'!$J$4="FO",'2025'!$J$2=AT233),'2025DATA'!$C$20,"")</f>
        <v/>
      </c>
      <c r="AU251" s="518" t="str">
        <f>IF(AND(_A3="B-757",'2025'!$J$4="FO",'2025'!$J$2=AU233),'2025DATA'!$D$20,"")</f>
        <v/>
      </c>
      <c r="AV251" s="518" t="str">
        <f>IF(AND(_A3="B-757",'2025'!$J$4="FO",'2025'!$J$2=AV233),'2025DATA'!$E$20,"")</f>
        <v/>
      </c>
      <c r="AW251" s="518" t="str">
        <f>IF(AND(_A3="B-757",'2025'!$J$4="FO",'2025'!$J$2=AW233),'2025DATA'!$F$20,"")</f>
        <v/>
      </c>
      <c r="AX251" s="518" t="str">
        <f>IF(AND(_A3="B-757",'2025'!$J$4="FO",'2025'!$J$2=AX233),'2025DATA'!$G$20,"")</f>
        <v/>
      </c>
      <c r="AY251" s="518" t="str">
        <f>IF(AND(_A3="B-757",'2025'!$J$4="FO",'2025'!$J$2=AY233),'2025DATA'!$H$20,"")</f>
        <v/>
      </c>
      <c r="AZ251" s="518" t="str">
        <f>IF(AND(_A3="B-757",'2025'!$J$4="FO",'2025'!$J$2=AZ233),'2025DATA'!$I$20,"")</f>
        <v/>
      </c>
      <c r="BA251" s="518" t="str">
        <f>IF(AND(_A3="B-757",'2025'!$J$4="FO",'2025'!$J$2=BA233),'2025DATA'!$J$20,"")</f>
        <v/>
      </c>
      <c r="BB251" s="518" t="str">
        <f>IF(AND(_A3="B-757",'2025'!$J$4="FO",'2025'!$J$2=BB233),'2025DATA'!$K$20,"")</f>
        <v/>
      </c>
      <c r="BC251" s="518" t="str">
        <f>IF(AND(_A3="B-757",'2025'!$J$4="FO",'2025'!$J$2=BC233),'2025DATA'!$L$20,"")</f>
        <v/>
      </c>
      <c r="BD251" s="518" t="str">
        <f>IF(AND(_A3="B-757",'2025'!$J$4="FO",'2025'!$J$2=BD233),'2025DATA'!$M$20,"")</f>
        <v/>
      </c>
      <c r="BE251" s="520" t="str">
        <f>IF(AND(_A3="B-757",'2025'!$J$4="FO",'2025'!$J$2=BE233),'2025DATA'!$N$20,"")</f>
        <v/>
      </c>
      <c r="BF251" s="940"/>
      <c r="BG251" s="13" t="s">
        <v>62</v>
      </c>
      <c r="BH251" s="518" t="str">
        <f>IF(AND(_A4="B-757",'2025'!$J$4="FO",'2025'!$J$2=BH233),'2025DATA'!$C$20,"")</f>
        <v/>
      </c>
      <c r="BI251" s="518" t="str">
        <f>IF(AND(_A4="B-757",'2025'!$J$4="FO",'2025'!$J$2=BI233),'2025DATA'!$D$20,"")</f>
        <v/>
      </c>
      <c r="BJ251" s="518" t="str">
        <f>IF(AND(_A4="B-757",'2025'!$J$4="FO",'2025'!$J$2=BJ233),'2025DATA'!$E$20,"")</f>
        <v/>
      </c>
      <c r="BK251" s="518" t="str">
        <f>IF(AND(_A4="B-757",'2025'!$J$4="FO",'2025'!$J$2=BK233),'2025DATA'!$F$20,"")</f>
        <v/>
      </c>
      <c r="BL251" s="518" t="str">
        <f>IF(AND(_A4="B-757",'2025'!$J$4="FO",'2025'!$J$2=BL233),'2025DATA'!$G$20,"")</f>
        <v/>
      </c>
      <c r="BM251" s="518" t="str">
        <f>IF(AND(_A4="B-757",'2025'!$J$4="FO",'2025'!$J$2=BM233),'2025DATA'!$H$20,"")</f>
        <v/>
      </c>
      <c r="BN251" s="518" t="str">
        <f>IF(AND(_A4="B-757",'2025'!$J$4="FO",'2025'!$J$2=BN233),'2025DATA'!$I$20,"")</f>
        <v/>
      </c>
      <c r="BO251" s="518" t="str">
        <f>IF(AND(_A4="B-757",'2025'!$J$4="FO",'2025'!$J$2=BO233),'2025DATA'!$J$20,"")</f>
        <v/>
      </c>
      <c r="BP251" s="518" t="str">
        <f>IF(AND(_A4="B-757",'2025'!$J$4="FO",'2025'!$J$2=BP233),'2025DATA'!$K$20,"")</f>
        <v/>
      </c>
      <c r="BQ251" s="518" t="str">
        <f>IF(AND(_A4="B-757",'2025'!$J$4="FO",'2025'!$J$2=BQ233),'2025DATA'!$L$20,"")</f>
        <v/>
      </c>
      <c r="BR251" s="518" t="str">
        <f>IF(AND(_A4="B-757",'2025'!$J$4="FO",'2025'!$J$2=BR233),'2025DATA'!$M$20,"")</f>
        <v/>
      </c>
      <c r="BS251" s="520" t="str">
        <f>IF(AND(_A4="B-757",'2025'!$J$4="FO",'2025'!$J$2=BS233),'2025DATA'!$N$20,"")</f>
        <v/>
      </c>
      <c r="BT251" s="940"/>
      <c r="BU251" s="13" t="s">
        <v>62</v>
      </c>
      <c r="BV251" s="518" t="str">
        <f>IF(AND(_A5="B-757",'2025'!$J$4="FO",'2025'!$J$2=BV233),'2025DATA'!$C$20,"")</f>
        <v/>
      </c>
      <c r="BW251" s="518" t="str">
        <f>IF(AND(_A5="B-757",'2025'!$J$4="FO",'2025'!$J$2=BW233),'2025DATA'!$D$20,"")</f>
        <v/>
      </c>
      <c r="BX251" s="518" t="str">
        <f>IF(AND(_A5="B-757",'2025'!$J$4="FO",'2025'!$J$2=BX233),'2025DATA'!$E$20,"")</f>
        <v/>
      </c>
      <c r="BY251" s="518" t="str">
        <f>IF(AND(_A5="B-757",'2025'!$J$4="FO",'2025'!$J$2=BY233),'2025DATA'!$F$20,"")</f>
        <v/>
      </c>
      <c r="BZ251" s="518" t="str">
        <f>IF(AND(_A5="B-757",'2025'!$J$4="FO",'2025'!$J$2=BZ233),'2025DATA'!$G$20,"")</f>
        <v/>
      </c>
      <c r="CA251" s="518" t="str">
        <f>IF(AND(_A5="B-757",'2025'!$J$4="FO",'2025'!$J$2=CA233),'2025DATA'!$H$20,"")</f>
        <v/>
      </c>
      <c r="CB251" s="518" t="str">
        <f>IF(AND(_A5="B-757",'2025'!$J$4="FO",'2025'!$J$2=CB233),'2025DATA'!$I$20,"")</f>
        <v/>
      </c>
      <c r="CC251" s="518" t="str">
        <f>IF(AND(_A5="B-757",'2025'!$J$4="FO",'2025'!$J$2=CC233),'2025DATA'!$J$20,"")</f>
        <v/>
      </c>
      <c r="CD251" s="518" t="str">
        <f>IF(AND(_A5="B-757",'2025'!$J$4="FO",'2025'!$J$2=CD233),'2025DATA'!$K$20,"")</f>
        <v/>
      </c>
      <c r="CE251" s="518" t="str">
        <f>IF(AND(_A5="B-757",'2025'!$J$4="FO",'2025'!$J$2=CE233),'2025DATA'!$L$20,"")</f>
        <v/>
      </c>
      <c r="CF251" s="518" t="str">
        <f>IF(AND(_A5="B-757",'2025'!$J$4="FO",'2025'!$J$2=CF233),'2025DATA'!$M$20,"")</f>
        <v/>
      </c>
      <c r="CG251" s="520" t="str">
        <f>IF(AND(_A5="B-757",'2025'!$J$4="FO",'2025'!$J$2=CG233),'2025DATA'!$N$20,"")</f>
        <v/>
      </c>
      <c r="CH251" s="940"/>
      <c r="CI251" s="13" t="s">
        <v>62</v>
      </c>
      <c r="CJ251" s="518" t="str">
        <f>IF(AND(_A6="B-757",'2025'!$J$4="FO",'2025'!$J$2=CJ233),'2025DATA'!$C$20,"")</f>
        <v/>
      </c>
      <c r="CK251" s="518" t="str">
        <f>IF(AND(_A6="B-757",'2025'!$J$4="FO",'2025'!$J$2=CK233),'2025DATA'!$D$20,"")</f>
        <v/>
      </c>
      <c r="CL251" s="518" t="str">
        <f>IF(AND(_A6="B-757",'2025'!$J$4="FO",'2025'!$J$2=CL233),'2025DATA'!$E$20,"")</f>
        <v/>
      </c>
      <c r="CM251" s="518" t="str">
        <f>IF(AND(_A6="B-757",'2025'!$J$4="FO",'2025'!$J$2=CM233),'2025DATA'!$F$20,"")</f>
        <v/>
      </c>
      <c r="CN251" s="518" t="str">
        <f>IF(AND(_A6="B-757",'2025'!$J$4="FO",'2025'!$J$2=CN233),'2025DATA'!$G$20,"")</f>
        <v/>
      </c>
      <c r="CO251" s="518" t="str">
        <f>IF(AND(_A6="B-757",'2025'!$J$4="FO",'2025'!$J$2=CO233),'2025DATA'!$H$20,"")</f>
        <v/>
      </c>
      <c r="CP251" s="518" t="str">
        <f>IF(AND(_A6="B-757",'2025'!$J$4="FO",'2025'!$J$2=CP233),'2025DATA'!$I$20,"")</f>
        <v/>
      </c>
      <c r="CQ251" s="518" t="str">
        <f>IF(AND(_A6="B-757",'2025'!$J$4="FO",'2025'!$J$2=CQ233),'2025DATA'!$J$20,"")</f>
        <v/>
      </c>
      <c r="CR251" s="518" t="str">
        <f>IF(AND(_A6="B-757",'2025'!$J$4="FO",'2025'!$J$2=CR233),'2025DATA'!$K$20,"")</f>
        <v/>
      </c>
      <c r="CS251" s="518" t="str">
        <f>IF(AND(_A6="B-757",'2025'!$J$4="FO",'2025'!$J$2=CS233),'2025DATA'!$L$20,"")</f>
        <v/>
      </c>
      <c r="CT251" s="518" t="str">
        <f>IF(AND(_A6="B-757",'2025'!$J$4="FO",'2025'!$J$2=CT233),'2025DATA'!$M$20,"")</f>
        <v/>
      </c>
      <c r="CU251" s="520" t="str">
        <f>IF(AND(_A6="B-757",'2025'!$J$4="FO",'2025'!$J$2=CU233),'2025DATA'!$N$20,"")</f>
        <v/>
      </c>
    </row>
    <row r="252" spans="16:99" x14ac:dyDescent="0.25">
      <c r="P252" s="940" t="s">
        <v>47</v>
      </c>
      <c r="Q252" s="13" t="s">
        <v>61</v>
      </c>
      <c r="R252" s="518" t="str">
        <f>IF(AND(_A1="B-737-900",'2025'!$J$4="CA",'2025'!$J$2=R233),'2025DATA'!$C$21,"")</f>
        <v/>
      </c>
      <c r="S252" s="518" t="str">
        <f>IF(AND(_A1="B-737-900",'2025'!$J$4="CA",'2025'!$J$2=S233),'2025DATA'!$D$21,"")</f>
        <v/>
      </c>
      <c r="T252" s="518" t="str">
        <f>IF(AND(_A1="B-737-900",'2025'!$J$4="CA",'2025'!$J$2=T233),'2025DATA'!$E$21,"")</f>
        <v/>
      </c>
      <c r="U252" s="518" t="str">
        <f>IF(AND(_A1="B-737-900",'2025'!$J$4="CA",'2025'!$J$2=U233),'2025DATA'!$F$21,"")</f>
        <v/>
      </c>
      <c r="V252" s="518" t="str">
        <f>IF(AND(_A1="B-737-900",'2025'!$J$4="CA",'2025'!$J$2=V233),'2025DATA'!$G$21,"")</f>
        <v/>
      </c>
      <c r="W252" s="518" t="str">
        <f>IF(AND(_A1="B-737-900",'2025'!$J$4="CA",'2025'!$J$2=W233),'2025DATA'!$H$21,"")</f>
        <v/>
      </c>
      <c r="X252" s="518" t="str">
        <f>IF(AND(_A1="B-737-900",'2025'!$J$4="CA",'2025'!$J$2=X233),'2025DATA'!$I$21,"")</f>
        <v/>
      </c>
      <c r="Y252" s="518" t="str">
        <f>IF(AND(_A1="B-737-900",'2025'!$J$4="CA",'2025'!$J$2=Y233),'2025DATA'!$J$21,"")</f>
        <v/>
      </c>
      <c r="Z252" s="518" t="str">
        <f>IF(AND(_A1="B-737-900",'2025'!$J$4="CA",'2025'!$J$2=Z233),'2025DATA'!$K$21,"")</f>
        <v/>
      </c>
      <c r="AA252" s="518" t="str">
        <f>IF(AND(_A1="B-737-900",'2025'!$J$4="CA",'2025'!$J$2=AA233),'2025DATA'!$L$21,"")</f>
        <v/>
      </c>
      <c r="AB252" s="518" t="str">
        <f>IF(AND(_A1="B-737-900",'2025'!$J$4="CA",'2025'!$J$2=AB233),'2025DATA'!$M$21,"")</f>
        <v/>
      </c>
      <c r="AC252" s="520" t="str">
        <f>IF(AND(_A1="B-737-900",'2025'!$J$4="CA",'2025'!$J$2=AC233),'2025DATA'!$N$21,"")</f>
        <v/>
      </c>
      <c r="AD252" s="940" t="s">
        <v>47</v>
      </c>
      <c r="AE252" s="13" t="s">
        <v>61</v>
      </c>
      <c r="AF252" s="518" t="str">
        <f>IF(AND(_A2="B-737-900",'2025'!$J$4="CA",'2025'!$J$2=AF233),'2025DATA'!$C$21,"")</f>
        <v/>
      </c>
      <c r="AG252" s="518" t="str">
        <f>IF(AND(_A2="B-737-900",'2025'!$J$4="CA",'2025'!$J$2=AG233),'2025DATA'!$D$21,"")</f>
        <v/>
      </c>
      <c r="AH252" s="518" t="str">
        <f>IF(AND(_A2="B-737-900",'2025'!$J$4="CA",'2025'!$J$2=AH233),'2025DATA'!$E$21,"")</f>
        <v/>
      </c>
      <c r="AI252" s="518" t="str">
        <f>IF(AND(_A2="B-737-900",'2025'!$J$4="CA",'2025'!$J$2=AI233),'2025DATA'!$F$21,"")</f>
        <v/>
      </c>
      <c r="AJ252" s="518" t="str">
        <f>IF(AND(_A2="B-737-900",'2025'!$J$4="CA",'2025'!$J$2=AJ233),'2025DATA'!$G$21,"")</f>
        <v/>
      </c>
      <c r="AK252" s="518" t="str">
        <f>IF(AND(_A2="B-737-900",'2025'!$J$4="CA",'2025'!$J$2=AK233),'2025DATA'!$H$21,"")</f>
        <v/>
      </c>
      <c r="AL252" s="518" t="str">
        <f>IF(AND(_A2="B-737-900",'2025'!$J$4="CA",'2025'!$J$2=AL233),'2025DATA'!$I$21,"")</f>
        <v/>
      </c>
      <c r="AM252" s="518" t="str">
        <f>IF(AND(_A2="B-737-900",'2025'!$J$4="CA",'2025'!$J$2=AM233),'2025DATA'!$J$21,"")</f>
        <v/>
      </c>
      <c r="AN252" s="518" t="str">
        <f>IF(AND(_A2="B-737-900",'2025'!$J$4="CA",'2025'!$J$2=AN233),'2025DATA'!$K$21,"")</f>
        <v/>
      </c>
      <c r="AO252" s="518" t="str">
        <f>IF(AND(_A2="B-737-900",'2025'!$J$4="CA",'2025'!$J$2=AO233),'2025DATA'!$L$21,"")</f>
        <v/>
      </c>
      <c r="AP252" s="518" t="str">
        <f>IF(AND(_A2="B-737-900",'2025'!$J$4="CA",'2025'!$J$2=AP233),'2025DATA'!$M$21,"")</f>
        <v/>
      </c>
      <c r="AQ252" s="520" t="str">
        <f>IF(AND(_A2="B-737-900",'2025'!$J$4="CA",'2025'!$J$2=AQ233),'2025DATA'!$N$21,"")</f>
        <v/>
      </c>
      <c r="AR252" s="940" t="s">
        <v>47</v>
      </c>
      <c r="AS252" s="13" t="s">
        <v>61</v>
      </c>
      <c r="AT252" s="518" t="str">
        <f>IF(AND(_A3="B-737-900",'2025'!$J$4="CA",'2025'!$J$2=AT233),'2025DATA'!$C$21,"")</f>
        <v/>
      </c>
      <c r="AU252" s="518" t="str">
        <f>IF(AND(_A3="B-737-900",'2025'!$J$4="CA",'2025'!$J$2=AU233),'2025DATA'!$D$21,"")</f>
        <v/>
      </c>
      <c r="AV252" s="518" t="str">
        <f>IF(AND(_A3="B-737-900",'2025'!$J$4="CA",'2025'!$J$2=AV233),'2025DATA'!$E$21,"")</f>
        <v/>
      </c>
      <c r="AW252" s="518" t="str">
        <f>IF(AND(_A3="B-737-900",'2025'!$J$4="CA",'2025'!$J$2=AW233),'2025DATA'!$F$21,"")</f>
        <v/>
      </c>
      <c r="AX252" s="518" t="str">
        <f>IF(AND(_A3="B-737-900",'2025'!$J$4="CA",'2025'!$J$2=AX233),'2025DATA'!$G$21,"")</f>
        <v/>
      </c>
      <c r="AY252" s="518" t="str">
        <f>IF(AND(_A3="B-737-900",'2025'!$J$4="CA",'2025'!$J$2=AY233),'2025DATA'!$H$21,"")</f>
        <v/>
      </c>
      <c r="AZ252" s="518" t="str">
        <f>IF(AND(_A3="B-737-900",'2025'!$J$4="CA",'2025'!$J$2=AZ233),'2025DATA'!$I$21,"")</f>
        <v/>
      </c>
      <c r="BA252" s="518" t="str">
        <f>IF(AND(_A3="B-737-900",'2025'!$J$4="CA",'2025'!$J$2=BA233),'2025DATA'!$J$21,"")</f>
        <v/>
      </c>
      <c r="BB252" s="518" t="str">
        <f>IF(AND(_A3="B-737-900",'2025'!$J$4="CA",'2025'!$J$2=BB233),'2025DATA'!$K$21,"")</f>
        <v/>
      </c>
      <c r="BC252" s="518" t="str">
        <f>IF(AND(_A3="B-737-900",'2025'!$J$4="CA",'2025'!$J$2=BC233),'2025DATA'!$L$21,"")</f>
        <v/>
      </c>
      <c r="BD252" s="518" t="str">
        <f>IF(AND(_A3="B-737-900",'2025'!$J$4="CA",'2025'!$J$2=BD233),'2025DATA'!$M$21,"")</f>
        <v/>
      </c>
      <c r="BE252" s="520" t="str">
        <f>IF(AND(_A3="B-737-900",'2025'!$J$4="CA",'2025'!$J$2=BE233),'2025DATA'!$N$21,"")</f>
        <v/>
      </c>
      <c r="BF252" s="940" t="s">
        <v>47</v>
      </c>
      <c r="BG252" s="13" t="s">
        <v>61</v>
      </c>
      <c r="BH252" s="518" t="str">
        <f>IF(AND(_A4="B-737-900",'2025'!$J$4="CA",'2025'!$J$2=BH233),'2025DATA'!$C$21,"")</f>
        <v/>
      </c>
      <c r="BI252" s="518" t="str">
        <f>IF(AND(_A4="B-737-900",'2025'!$J$4="CA",'2025'!$J$2=BI233),'2025DATA'!$D$21,"")</f>
        <v/>
      </c>
      <c r="BJ252" s="518" t="str">
        <f>IF(AND(_A4="B-737-900",'2025'!$J$4="CA",'2025'!$J$2=BJ233),'2025DATA'!$E$21,"")</f>
        <v/>
      </c>
      <c r="BK252" s="518" t="str">
        <f>IF(AND(_A4="B-737-900",'2025'!$J$4="CA",'2025'!$J$2=BK233),'2025DATA'!$F$21,"")</f>
        <v/>
      </c>
      <c r="BL252" s="518" t="str">
        <f>IF(AND(_A4="B-737-900",'2025'!$J$4="CA",'2025'!$J$2=BL233),'2025DATA'!$G$21,"")</f>
        <v/>
      </c>
      <c r="BM252" s="518" t="str">
        <f>IF(AND(_A4="B-737-900",'2025'!$J$4="CA",'2025'!$J$2=BM233),'2025DATA'!$H$21,"")</f>
        <v/>
      </c>
      <c r="BN252" s="518" t="str">
        <f>IF(AND(_A4="B-737-900",'2025'!$J$4="CA",'2025'!$J$2=BN233),'2025DATA'!$I$21,"")</f>
        <v/>
      </c>
      <c r="BO252" s="518" t="str">
        <f>IF(AND(_A4="B-737-900",'2025'!$J$4="CA",'2025'!$J$2=BO233),'2025DATA'!$J$21,"")</f>
        <v/>
      </c>
      <c r="BP252" s="518" t="str">
        <f>IF(AND(_A4="B-737-900",'2025'!$J$4="CA",'2025'!$J$2=BP233),'2025DATA'!$K$21,"")</f>
        <v/>
      </c>
      <c r="BQ252" s="518" t="str">
        <f>IF(AND(_A4="B-737-900",'2025'!$J$4="CA",'2025'!$J$2=BQ233),'2025DATA'!$L$21,"")</f>
        <v/>
      </c>
      <c r="BR252" s="518" t="str">
        <f>IF(AND(_A4="B-737-900",'2025'!$J$4="CA",'2025'!$J$2=BR233),'2025DATA'!$M$21,"")</f>
        <v/>
      </c>
      <c r="BS252" s="520" t="str">
        <f>IF(AND(_A4="B-737-900",'2025'!$J$4="CA",'2025'!$J$2=BS233),'2025DATA'!$N$21,"")</f>
        <v/>
      </c>
      <c r="BT252" s="940" t="s">
        <v>47</v>
      </c>
      <c r="BU252" s="13" t="s">
        <v>61</v>
      </c>
      <c r="BV252" s="518" t="str">
        <f>IF(AND(_A5="B-737-900",'2025'!$J$4="CA",'2025'!$J$2=BV233),'2025DATA'!$C$21,"")</f>
        <v/>
      </c>
      <c r="BW252" s="518" t="str">
        <f>IF(AND(_A5="B-737-900",'2025'!$J$4="CA",'2025'!$J$2=BW233),'2025DATA'!$D$21,"")</f>
        <v/>
      </c>
      <c r="BX252" s="518" t="str">
        <f>IF(AND(_A5="B-737-900",'2025'!$J$4="CA",'2025'!$J$2=BX233),'2025DATA'!$E$21,"")</f>
        <v/>
      </c>
      <c r="BY252" s="518" t="str">
        <f>IF(AND(_A5="B-737-900",'2025'!$J$4="CA",'2025'!$J$2=BY233),'2025DATA'!$F$21,"")</f>
        <v/>
      </c>
      <c r="BZ252" s="518" t="str">
        <f>IF(AND(_A5="B-737-900",'2025'!$J$4="CA",'2025'!$J$2=BZ233),'2025DATA'!$G$21,"")</f>
        <v/>
      </c>
      <c r="CA252" s="518" t="str">
        <f>IF(AND(_A5="B-737-900",'2025'!$J$4="CA",'2025'!$J$2=CA233),'2025DATA'!$H$21,"")</f>
        <v/>
      </c>
      <c r="CB252" s="518" t="str">
        <f>IF(AND(_A5="B-737-900",'2025'!$J$4="CA",'2025'!$J$2=CB233),'2025DATA'!$I$21,"")</f>
        <v/>
      </c>
      <c r="CC252" s="518" t="str">
        <f>IF(AND(_A5="B-737-900",'2025'!$J$4="CA",'2025'!$J$2=CC233),'2025DATA'!$J$21,"")</f>
        <v/>
      </c>
      <c r="CD252" s="518" t="str">
        <f>IF(AND(_A5="B-737-900",'2025'!$J$4="CA",'2025'!$J$2=CD233),'2025DATA'!$K$21,"")</f>
        <v/>
      </c>
      <c r="CE252" s="518" t="str">
        <f>IF(AND(_A5="B-737-900",'2025'!$J$4="CA",'2025'!$J$2=CE233),'2025DATA'!$L$21,"")</f>
        <v/>
      </c>
      <c r="CF252" s="518" t="str">
        <f>IF(AND(_A5="B-737-900",'2025'!$J$4="CA",'2025'!$J$2=CF233),'2025DATA'!$M$21,"")</f>
        <v/>
      </c>
      <c r="CG252" s="520" t="str">
        <f>IF(AND(_A5="B-737-900",'2025'!$J$4="CA",'2025'!$J$2=CG233),'2025DATA'!$N$21,"")</f>
        <v/>
      </c>
      <c r="CH252" s="940" t="s">
        <v>47</v>
      </c>
      <c r="CI252" s="13" t="s">
        <v>61</v>
      </c>
      <c r="CJ252" s="518" t="str">
        <f>IF(AND(_A6="B-737-900",'2025'!$J$4="CA",'2025'!$J$2=CJ233),'2025DATA'!$C$21,"")</f>
        <v/>
      </c>
      <c r="CK252" s="518" t="str">
        <f>IF(AND(_A6="B-737-900",'2025'!$J$4="CA",'2025'!$J$2=CK233),'2025DATA'!$D$21,"")</f>
        <v/>
      </c>
      <c r="CL252" s="518" t="str">
        <f>IF(AND(_A6="B-737-900",'2025'!$J$4="CA",'2025'!$J$2=CL233),'2025DATA'!$E$21,"")</f>
        <v/>
      </c>
      <c r="CM252" s="518" t="str">
        <f>IF(AND(_A6="B-737-900",'2025'!$J$4="CA",'2025'!$J$2=CM233),'2025DATA'!$F$21,"")</f>
        <v/>
      </c>
      <c r="CN252" s="518" t="str">
        <f>IF(AND(_A6="B-737-900",'2025'!$J$4="CA",'2025'!$J$2=CN233),'2025DATA'!$G$21,"")</f>
        <v/>
      </c>
      <c r="CO252" s="518" t="str">
        <f>IF(AND(_A6="B-737-900",'2025'!$J$4="CA",'2025'!$J$2=CO233),'2025DATA'!$H$21,"")</f>
        <v/>
      </c>
      <c r="CP252" s="518" t="str">
        <f>IF(AND(_A6="B-737-900",'2025'!$J$4="CA",'2025'!$J$2=CP233),'2025DATA'!$I$21,"")</f>
        <v/>
      </c>
      <c r="CQ252" s="518" t="str">
        <f>IF(AND(_A6="B-737-900",'2025'!$J$4="CA",'2025'!$J$2=CQ233),'2025DATA'!$J$21,"")</f>
        <v/>
      </c>
      <c r="CR252" s="518" t="str">
        <f>IF(AND(_A6="B-737-900",'2025'!$J$4="CA",'2025'!$J$2=CR233),'2025DATA'!$K$21,"")</f>
        <v/>
      </c>
      <c r="CS252" s="518" t="str">
        <f>IF(AND(_A6="B-737-900",'2025'!$J$4="CA",'2025'!$J$2=CS233),'2025DATA'!$L$21,"")</f>
        <v/>
      </c>
      <c r="CT252" s="518" t="str">
        <f>IF(AND(_A6="B-737-900",'2025'!$J$4="CA",'2025'!$J$2=CT233),'2025DATA'!$M$21,"")</f>
        <v/>
      </c>
      <c r="CU252" s="520" t="str">
        <f>IF(AND(_A6="B-737-900",'2025'!$J$4="CA",'2025'!$J$2=CU233),'2025DATA'!$N$21,"")</f>
        <v/>
      </c>
    </row>
    <row r="253" spans="16:99" x14ac:dyDescent="0.25">
      <c r="P253" s="940"/>
      <c r="Q253" s="13" t="s">
        <v>62</v>
      </c>
      <c r="R253" s="518" t="str">
        <f>IF(AND(_A1="B-737-900",'2025'!$J$4="FO",'2025'!$J$2=R233),'2025DATA'!$C$22,"")</f>
        <v/>
      </c>
      <c r="S253" s="518" t="str">
        <f>IF(AND(_A1="B-737-900",'2025'!$J$4="FO",'2025'!$J$2=S233),'2025DATA'!$D$22,"")</f>
        <v/>
      </c>
      <c r="T253" s="518" t="str">
        <f>IF(AND(_A1="B-737-900",'2025'!$J$4="FO",'2025'!$J$2=T233),'2025DATA'!$E$22,"")</f>
        <v/>
      </c>
      <c r="U253" s="518" t="str">
        <f>IF(AND(_A1="B-737-900",'2025'!$J$4="FO",'2025'!$J$2=U233),'2025DATA'!$F$22,"")</f>
        <v/>
      </c>
      <c r="V253" s="518" t="str">
        <f>IF(AND(_A1="B-737-900",'2025'!$J$4="FO",'2025'!$J$2=V233),'2025DATA'!$G$22,"")</f>
        <v/>
      </c>
      <c r="W253" s="518" t="str">
        <f>IF(AND(_A1="B-737-900",'2025'!$J$4="FO",'2025'!$J$2=W233),'2025DATA'!$H$22,"")</f>
        <v/>
      </c>
      <c r="X253" s="518" t="str">
        <f>IF(AND(_A1="B-737-900",'2025'!$J$4="FO",'2025'!$J$2=X233),'2025DATA'!$I$22,"")</f>
        <v/>
      </c>
      <c r="Y253" s="518" t="str">
        <f>IF(AND(_A1="B-737-900",'2025'!$J$4="FO",'2025'!$J$2=Y233),'2025DATA'!$J$22,"")</f>
        <v/>
      </c>
      <c r="Z253" s="518" t="str">
        <f>IF(AND(_A1="B-737-900",'2025'!$J$4="FO",'2025'!$J$2=Z233),'2025DATA'!$K$22,"")</f>
        <v/>
      </c>
      <c r="AA253" s="518" t="str">
        <f>IF(AND(_A1="B-737-900",'2025'!$J$4="FO",'2025'!$J$2=AA233),'2025DATA'!$L$22,"")</f>
        <v/>
      </c>
      <c r="AB253" s="518" t="str">
        <f>IF(AND(_A1="B-737-900",'2025'!$J$4="FO",'2025'!$J$2=AB233),'2025DATA'!$M$22,"")</f>
        <v/>
      </c>
      <c r="AC253" s="520" t="str">
        <f>IF(AND(_A1="B-737-900",'2025'!$J$4="FO",'2025'!$J$2=AC233),'2025DATA'!$N$22,"")</f>
        <v/>
      </c>
      <c r="AD253" s="940"/>
      <c r="AE253" s="13" t="s">
        <v>62</v>
      </c>
      <c r="AF253" s="518" t="str">
        <f>IF(AND(_A2="B-737-900",'2025'!$J$4="FO",'2025'!$J$2=AF233),'2025DATA'!$C$22,"")</f>
        <v/>
      </c>
      <c r="AG253" s="518" t="str">
        <f>IF(AND(_A2="B-737-900",'2025'!$J$4="FO",'2025'!$J$2=AG233),'2025DATA'!$D$22,"")</f>
        <v/>
      </c>
      <c r="AH253" s="518" t="str">
        <f>IF(AND(_A2="B-737-900",'2025'!$J$4="FO",'2025'!$J$2=AH233),'2025DATA'!$E$22,"")</f>
        <v/>
      </c>
      <c r="AI253" s="518" t="str">
        <f>IF(AND(_A2="B-737-900",'2025'!$J$4="FO",'2025'!$J$2=AI233),'2025DATA'!$F$22,"")</f>
        <v/>
      </c>
      <c r="AJ253" s="518" t="str">
        <f>IF(AND(_A2="B-737-900",'2025'!$J$4="FO",'2025'!$J$2=AJ233),'2025DATA'!$G$22,"")</f>
        <v/>
      </c>
      <c r="AK253" s="518" t="str">
        <f>IF(AND(_A2="B-737-900",'2025'!$J$4="FO",'2025'!$J$2=AK233),'2025DATA'!$H$22,"")</f>
        <v/>
      </c>
      <c r="AL253" s="518" t="str">
        <f>IF(AND(_A2="B-737-900",'2025'!$J$4="FO",'2025'!$J$2=AL233),'2025DATA'!$I$22,"")</f>
        <v/>
      </c>
      <c r="AM253" s="518" t="str">
        <f>IF(AND(_A2="B-737-900",'2025'!$J$4="FO",'2025'!$J$2=AM233),'2025DATA'!$J$22,"")</f>
        <v/>
      </c>
      <c r="AN253" s="518" t="str">
        <f>IF(AND(_A2="B-737-900",'2025'!$J$4="FO",'2025'!$J$2=AN233),'2025DATA'!$K$22,"")</f>
        <v/>
      </c>
      <c r="AO253" s="518" t="str">
        <f>IF(AND(_A2="B-737-900",'2025'!$J$4="FO",'2025'!$J$2=AO233),'2025DATA'!$L$22,"")</f>
        <v/>
      </c>
      <c r="AP253" s="518" t="str">
        <f>IF(AND(_A2="B-737-900",'2025'!$J$4="FO",'2025'!$J$2=AP233),'2025DATA'!$M$22,"")</f>
        <v/>
      </c>
      <c r="AQ253" s="520" t="str">
        <f>IF(AND(_A2="B-737-900",'2025'!$J$4="FO",'2025'!$J$2=AQ233),'2025DATA'!$N$22,"")</f>
        <v/>
      </c>
      <c r="AR253" s="940"/>
      <c r="AS253" s="13" t="s">
        <v>62</v>
      </c>
      <c r="AT253" s="518" t="str">
        <f>IF(AND(_A3="B-737-900",'2025'!$J$4="FO",'2025'!$J$2=AT233),'2025DATA'!$C$22,"")</f>
        <v/>
      </c>
      <c r="AU253" s="518" t="str">
        <f>IF(AND(_A3="B-737-900",'2025'!$J$4="FO",'2025'!$J$2=AU233),'2025DATA'!$D$22,"")</f>
        <v/>
      </c>
      <c r="AV253" s="518" t="str">
        <f>IF(AND(_A3="B-737-900",'2025'!$J$4="FO",'2025'!$J$2=AV233),'2025DATA'!$E$22,"")</f>
        <v/>
      </c>
      <c r="AW253" s="518" t="str">
        <f>IF(AND(_A3="B-737-900",'2025'!$J$4="FO",'2025'!$J$2=AW233),'2025DATA'!$F$22,"")</f>
        <v/>
      </c>
      <c r="AX253" s="518" t="str">
        <f>IF(AND(_A3="B-737-900",'2025'!$J$4="FO",'2025'!$J$2=AX233),'2025DATA'!$G$22,"")</f>
        <v/>
      </c>
      <c r="AY253" s="518" t="str">
        <f>IF(AND(_A3="B-737-900",'2025'!$J$4="FO",'2025'!$J$2=AY233),'2025DATA'!$H$22,"")</f>
        <v/>
      </c>
      <c r="AZ253" s="518" t="str">
        <f>IF(AND(_A3="B-737-900",'2025'!$J$4="FO",'2025'!$J$2=AZ233),'2025DATA'!$I$22,"")</f>
        <v/>
      </c>
      <c r="BA253" s="518" t="str">
        <f>IF(AND(_A3="B-737-900",'2025'!$J$4="FO",'2025'!$J$2=BA233),'2025DATA'!$J$22,"")</f>
        <v/>
      </c>
      <c r="BB253" s="518" t="str">
        <f>IF(AND(_A3="B-737-900",'2025'!$J$4="FO",'2025'!$J$2=BB233),'2025DATA'!$K$22,"")</f>
        <v/>
      </c>
      <c r="BC253" s="518" t="str">
        <f>IF(AND(_A3="B-737-900",'2025'!$J$4="FO",'2025'!$J$2=BC233),'2025DATA'!$L$22,"")</f>
        <v/>
      </c>
      <c r="BD253" s="518" t="str">
        <f>IF(AND(_A3="B-737-900",'2025'!$J$4="FO",'2025'!$J$2=BD233),'2025DATA'!$M$22,"")</f>
        <v/>
      </c>
      <c r="BE253" s="520" t="str">
        <f>IF(AND(_A3="B-737-900",'2025'!$J$4="FO",'2025'!$J$2=BE233),'2025DATA'!$N$22,"")</f>
        <v/>
      </c>
      <c r="BF253" s="940"/>
      <c r="BG253" s="13" t="s">
        <v>62</v>
      </c>
      <c r="BH253" s="518" t="str">
        <f>IF(AND(_A4="B-737-900",'2025'!$J$4="FO",'2025'!$J$2=BH233),'2025DATA'!$C$22,"")</f>
        <v/>
      </c>
      <c r="BI253" s="518" t="str">
        <f>IF(AND(_A4="B-737-900",'2025'!$J$4="FO",'2025'!$J$2=BI233),'2025DATA'!$D$22,"")</f>
        <v/>
      </c>
      <c r="BJ253" s="518" t="str">
        <f>IF(AND(_A4="B-737-900",'2025'!$J$4="FO",'2025'!$J$2=BJ233),'2025DATA'!$E$22,"")</f>
        <v/>
      </c>
      <c r="BK253" s="518" t="str">
        <f>IF(AND(_A4="B-737-900",'2025'!$J$4="FO",'2025'!$J$2=BK233),'2025DATA'!$F$22,"")</f>
        <v/>
      </c>
      <c r="BL253" s="518" t="str">
        <f>IF(AND(_A4="B-737-900",'2025'!$J$4="FO",'2025'!$J$2=BL233),'2025DATA'!$G$22,"")</f>
        <v/>
      </c>
      <c r="BM253" s="518" t="str">
        <f>IF(AND(_A4="B-737-900",'2025'!$J$4="FO",'2025'!$J$2=BM233),'2025DATA'!$H$22,"")</f>
        <v/>
      </c>
      <c r="BN253" s="518" t="str">
        <f>IF(AND(_A4="B-737-900",'2025'!$J$4="FO",'2025'!$J$2=BN233),'2025DATA'!$I$22,"")</f>
        <v/>
      </c>
      <c r="BO253" s="518" t="str">
        <f>IF(AND(_A4="B-737-900",'2025'!$J$4="FO",'2025'!$J$2=BO233),'2025DATA'!$J$22,"")</f>
        <v/>
      </c>
      <c r="BP253" s="518" t="str">
        <f>IF(AND(_A4="B-737-900",'2025'!$J$4="FO",'2025'!$J$2=BP233),'2025DATA'!$K$22,"")</f>
        <v/>
      </c>
      <c r="BQ253" s="518" t="str">
        <f>IF(AND(_A4="B-737-900",'2025'!$J$4="FO",'2025'!$J$2=BQ233),'2025DATA'!$L$22,"")</f>
        <v/>
      </c>
      <c r="BR253" s="518" t="str">
        <f>IF(AND(_A4="B-737-900",'2025'!$J$4="FO",'2025'!$J$2=BR233),'2025DATA'!$M$22,"")</f>
        <v/>
      </c>
      <c r="BS253" s="520" t="str">
        <f>IF(AND(_A4="B-737-900",'2025'!$J$4="FO",'2025'!$J$2=BS233),'2025DATA'!$N$22,"")</f>
        <v/>
      </c>
      <c r="BT253" s="940"/>
      <c r="BU253" s="13" t="s">
        <v>62</v>
      </c>
      <c r="BV253" s="518" t="str">
        <f>IF(AND(_A5="B-737-900",'2025'!$J$4="FO",'2025'!$J$2=BV233),'2025DATA'!$C$22,"")</f>
        <v/>
      </c>
      <c r="BW253" s="518" t="str">
        <f>IF(AND(_A5="B-737-900",'2025'!$J$4="FO",'2025'!$J$2=BW233),'2025DATA'!$D$22,"")</f>
        <v/>
      </c>
      <c r="BX253" s="518" t="str">
        <f>IF(AND(_A5="B-737-900",'2025'!$J$4="FO",'2025'!$J$2=BX233),'2025DATA'!$E$22,"")</f>
        <v/>
      </c>
      <c r="BY253" s="518" t="str">
        <f>IF(AND(_A5="B-737-900",'2025'!$J$4="FO",'2025'!$J$2=BY233),'2025DATA'!$F$22,"")</f>
        <v/>
      </c>
      <c r="BZ253" s="518" t="str">
        <f>IF(AND(_A5="B-737-900",'2025'!$J$4="FO",'2025'!$J$2=BZ233),'2025DATA'!$G$22,"")</f>
        <v/>
      </c>
      <c r="CA253" s="518" t="str">
        <f>IF(AND(_A5="B-737-900",'2025'!$J$4="FO",'2025'!$J$2=CA233),'2025DATA'!$H$22,"")</f>
        <v/>
      </c>
      <c r="CB253" s="518" t="str">
        <f>IF(AND(_A5="B-737-900",'2025'!$J$4="FO",'2025'!$J$2=CB233),'2025DATA'!$I$22,"")</f>
        <v/>
      </c>
      <c r="CC253" s="518" t="str">
        <f>IF(AND(_A5="B-737-900",'2025'!$J$4="FO",'2025'!$J$2=CC233),'2025DATA'!$J$22,"")</f>
        <v/>
      </c>
      <c r="CD253" s="518" t="str">
        <f>IF(AND(_A5="B-737-900",'2025'!$J$4="FO",'2025'!$J$2=CD233),'2025DATA'!$K$22,"")</f>
        <v/>
      </c>
      <c r="CE253" s="518" t="str">
        <f>IF(AND(_A5="B-737-900",'2025'!$J$4="FO",'2025'!$J$2=CE233),'2025DATA'!$L$22,"")</f>
        <v/>
      </c>
      <c r="CF253" s="518" t="str">
        <f>IF(AND(_A5="B-737-900",'2025'!$J$4="FO",'2025'!$J$2=CF233),'2025DATA'!$M$22,"")</f>
        <v/>
      </c>
      <c r="CG253" s="520" t="str">
        <f>IF(AND(_A5="B-737-900",'2025'!$J$4="FO",'2025'!$J$2=CG233),'2025DATA'!$N$22,"")</f>
        <v/>
      </c>
      <c r="CH253" s="940"/>
      <c r="CI253" s="13" t="s">
        <v>62</v>
      </c>
      <c r="CJ253" s="518" t="str">
        <f>IF(AND(_A6="B-737-900",'2025'!$J$4="FO",'2025'!$J$2=CJ233),'2025DATA'!$C$22,"")</f>
        <v/>
      </c>
      <c r="CK253" s="518" t="str">
        <f>IF(AND(_A6="B-737-900",'2025'!$J$4="FO",'2025'!$J$2=CK233),'2025DATA'!$D$22,"")</f>
        <v/>
      </c>
      <c r="CL253" s="518" t="str">
        <f>IF(AND(_A6="B-737-900",'2025'!$J$4="FO",'2025'!$J$2=CL233),'2025DATA'!$E$22,"")</f>
        <v/>
      </c>
      <c r="CM253" s="518" t="str">
        <f>IF(AND(_A6="B-737-900",'2025'!$J$4="FO",'2025'!$J$2=CM233),'2025DATA'!$F$22,"")</f>
        <v/>
      </c>
      <c r="CN253" s="518" t="str">
        <f>IF(AND(_A6="B-737-900",'2025'!$J$4="FO",'2025'!$J$2=CN233),'2025DATA'!$G$22,"")</f>
        <v/>
      </c>
      <c r="CO253" s="518" t="str">
        <f>IF(AND(_A6="B-737-900",'2025'!$J$4="FO",'2025'!$J$2=CO233),'2025DATA'!$H$22,"")</f>
        <v/>
      </c>
      <c r="CP253" s="518" t="str">
        <f>IF(AND(_A6="B-737-900",'2025'!$J$4="FO",'2025'!$J$2=CP233),'2025DATA'!$I$22,"")</f>
        <v/>
      </c>
      <c r="CQ253" s="518" t="str">
        <f>IF(AND(_A6="B-737-900",'2025'!$J$4="FO",'2025'!$J$2=CQ233),'2025DATA'!$J$22,"")</f>
        <v/>
      </c>
      <c r="CR253" s="518" t="str">
        <f>IF(AND(_A6="B-737-900",'2025'!$J$4="FO",'2025'!$J$2=CR233),'2025DATA'!$K$22,"")</f>
        <v/>
      </c>
      <c r="CS253" s="518" t="str">
        <f>IF(AND(_A6="B-737-900",'2025'!$J$4="FO",'2025'!$J$2=CS233),'2025DATA'!$L$22,"")</f>
        <v/>
      </c>
      <c r="CT253" s="518" t="str">
        <f>IF(AND(_A6="B-737-900",'2025'!$J$4="FO",'2025'!$J$2=CT233),'2025DATA'!$M$22,"")</f>
        <v/>
      </c>
      <c r="CU253" s="520" t="str">
        <f>IF(AND(_A6="B-737-900",'2025'!$J$4="FO",'2025'!$J$2=CU233),'2025DATA'!$N$22,"")</f>
        <v/>
      </c>
    </row>
    <row r="254" spans="16:99" x14ac:dyDescent="0.25">
      <c r="P254" s="940" t="s">
        <v>69</v>
      </c>
      <c r="Q254" s="13" t="s">
        <v>61</v>
      </c>
      <c r="R254" s="518" t="str">
        <f>IF(AND(_A1="B-737-800",'2025'!$J$4="CA",'2025'!$J$2=R233),'2025DATA'!$C$23,"")</f>
        <v/>
      </c>
      <c r="S254" s="518" t="str">
        <f>IF(AND(_A1="B-737-800",'2025'!$J$4="CA",'2025'!$J$2=S233),'2025DATA'!$D$23,"")</f>
        <v/>
      </c>
      <c r="T254" s="518" t="str">
        <f>IF(AND(_A1="B-737-800",'2025'!$J$4="CA",'2025'!$J$2=T233),'2025DATA'!$E$23,"")</f>
        <v/>
      </c>
      <c r="U254" s="518" t="str">
        <f>IF(AND(_A1="B-737-800",'2025'!$J$4="CA",'2025'!$J$2=U233),'2025DATA'!$F$23,"")</f>
        <v/>
      </c>
      <c r="V254" s="518" t="str">
        <f>IF(AND(_A1="B-737-800",'2025'!$J$4="CA",'2025'!$J$2=V233),'2025DATA'!$G$23,"")</f>
        <v/>
      </c>
      <c r="W254" s="518" t="str">
        <f>IF(AND(_A1="B-737-800",'2025'!$J$4="CA",'2025'!$J$2=W233),'2025DATA'!$H$23,"")</f>
        <v/>
      </c>
      <c r="X254" s="518" t="str">
        <f>IF(AND(_A1="B-737-800",'2025'!$J$4="CA",'2025'!$J$2=X233),'2025DATA'!$I$23,"")</f>
        <v/>
      </c>
      <c r="Y254" s="518" t="str">
        <f>IF(AND(_A1="B-737-800",'2025'!$J$4="CA",'2025'!$J$2=Y233),'2025DATA'!$J$23,"")</f>
        <v/>
      </c>
      <c r="Z254" s="518" t="str">
        <f>IF(AND(_A1="B-737-800",'2025'!$J$4="CA",'2025'!$J$2=Z233),'2025DATA'!$K$23,"")</f>
        <v/>
      </c>
      <c r="AA254" s="518" t="str">
        <f>IF(AND(_A1="B-737-800",'2025'!$J$4="CA",'2025'!$J$2=AA233),'2025DATA'!$L$23,"")</f>
        <v/>
      </c>
      <c r="AB254" s="518" t="str">
        <f>IF(AND(_A1="B-737-800",'2025'!$J$4="CA",'2025'!$J$2=AB233),'2025DATA'!$M$23,"")</f>
        <v/>
      </c>
      <c r="AC254" s="520" t="str">
        <f>IF(AND(_A1="B-737-800",'2025'!$J$4="CA",'2025'!$J$2=AC233),'2025DATA'!$N$23,"")</f>
        <v/>
      </c>
      <c r="AD254" s="940" t="s">
        <v>69</v>
      </c>
      <c r="AE254" s="13" t="s">
        <v>61</v>
      </c>
      <c r="AF254" s="518" t="str">
        <f>IF(AND(_A2="B-737-800",'2025'!$J$4="CA",'2025'!$J$2=AF233),'2025DATA'!$C$23,"")</f>
        <v/>
      </c>
      <c r="AG254" s="518" t="str">
        <f>IF(AND(_A2="B-737-800",'2025'!$J$4="CA",'2025'!$J$2=AG233),'2025DATA'!$D$23,"")</f>
        <v/>
      </c>
      <c r="AH254" s="518" t="str">
        <f>IF(AND(_A2="B-737-800",'2025'!$J$4="CA",'2025'!$J$2=AH233),'2025DATA'!$E$23,"")</f>
        <v/>
      </c>
      <c r="AI254" s="518" t="str">
        <f>IF(AND(_A2="B-737-800",'2025'!$J$4="CA",'2025'!$J$2=AI233),'2025DATA'!$F$23,"")</f>
        <v/>
      </c>
      <c r="AJ254" s="518" t="str">
        <f>IF(AND(_A2="B-737-800",'2025'!$J$4="CA",'2025'!$J$2=AJ233),'2025DATA'!$G$23,"")</f>
        <v/>
      </c>
      <c r="AK254" s="518" t="str">
        <f>IF(AND(_A2="B-737-800",'2025'!$J$4="CA",'2025'!$J$2=AK233),'2025DATA'!$H$23,"")</f>
        <v/>
      </c>
      <c r="AL254" s="518" t="str">
        <f>IF(AND(_A2="B-737-800",'2025'!$J$4="CA",'2025'!$J$2=AL233),'2025DATA'!$I$23,"")</f>
        <v/>
      </c>
      <c r="AM254" s="518" t="str">
        <f>IF(AND(_A2="B-737-800",'2025'!$J$4="CA",'2025'!$J$2=AM233),'2025DATA'!$J$23,"")</f>
        <v/>
      </c>
      <c r="AN254" s="518" t="str">
        <f>IF(AND(_A2="B-737-800",'2025'!$J$4="CA",'2025'!$J$2=AN233),'2025DATA'!$K$23,"")</f>
        <v/>
      </c>
      <c r="AO254" s="518" t="str">
        <f>IF(AND(_A2="B-737-800",'2025'!$J$4="CA",'2025'!$J$2=AO233),'2025DATA'!$L$23,"")</f>
        <v/>
      </c>
      <c r="AP254" s="518" t="str">
        <f>IF(AND(_A2="B-737-800",'2025'!$J$4="CA",'2025'!$J$2=AP233),'2025DATA'!$M$23,"")</f>
        <v/>
      </c>
      <c r="AQ254" s="520" t="str">
        <f>IF(AND(_A2="B-737-800",'2025'!$J$4="CA",'2025'!$J$2=AQ233),'2025DATA'!$N$23,"")</f>
        <v/>
      </c>
      <c r="AR254" s="940" t="s">
        <v>69</v>
      </c>
      <c r="AS254" s="13" t="s">
        <v>61</v>
      </c>
      <c r="AT254" s="518" t="str">
        <f>IF(AND(_A3="B-737-800",'2025'!$J$4="CA",'2025'!$J$2=AT233),'2025DATA'!$C$23,"")</f>
        <v/>
      </c>
      <c r="AU254" s="518" t="str">
        <f>IF(AND(_A3="B-737-800",'2025'!$J$4="CA",'2025'!$J$2=AU233),'2025DATA'!$D$23,"")</f>
        <v/>
      </c>
      <c r="AV254" s="518" t="str">
        <f>IF(AND(_A3="B-737-800",'2025'!$J$4="CA",'2025'!$J$2=AV233),'2025DATA'!$E$23,"")</f>
        <v/>
      </c>
      <c r="AW254" s="518" t="str">
        <f>IF(AND(_A3="B-737-800",'2025'!$J$4="CA",'2025'!$J$2=AW233),'2025DATA'!$F$23,"")</f>
        <v/>
      </c>
      <c r="AX254" s="518" t="str">
        <f>IF(AND(_A3="B-737-800",'2025'!$J$4="CA",'2025'!$J$2=AX233),'2025DATA'!$G$23,"")</f>
        <v/>
      </c>
      <c r="AY254" s="518" t="str">
        <f>IF(AND(_A3="B-737-800",'2025'!$J$4="CA",'2025'!$J$2=AY233),'2025DATA'!$H$23,"")</f>
        <v/>
      </c>
      <c r="AZ254" s="518" t="str">
        <f>IF(AND(_A3="B-737-800",'2025'!$J$4="CA",'2025'!$J$2=AZ233),'2025DATA'!$I$23,"")</f>
        <v/>
      </c>
      <c r="BA254" s="518" t="str">
        <f>IF(AND(_A3="B-737-800",'2025'!$J$4="CA",'2025'!$J$2=BA233),'2025DATA'!$J$23,"")</f>
        <v/>
      </c>
      <c r="BB254" s="518" t="str">
        <f>IF(AND(_A3="B-737-800",'2025'!$J$4="CA",'2025'!$J$2=BB233),'2025DATA'!$K$23,"")</f>
        <v/>
      </c>
      <c r="BC254" s="518" t="str">
        <f>IF(AND(_A3="B-737-800",'2025'!$J$4="CA",'2025'!$J$2=BC233),'2025DATA'!$L$23,"")</f>
        <v/>
      </c>
      <c r="BD254" s="518" t="str">
        <f>IF(AND(_A3="B-737-800",'2025'!$J$4="CA",'2025'!$J$2=BD233),'2025DATA'!$M$23,"")</f>
        <v/>
      </c>
      <c r="BE254" s="520" t="str">
        <f>IF(AND(_A3="B-737-800",'2025'!$J$4="CA",'2025'!$J$2=BE233),'2025DATA'!$N$23,"")</f>
        <v/>
      </c>
      <c r="BF254" s="940" t="s">
        <v>69</v>
      </c>
      <c r="BG254" s="13" t="s">
        <v>61</v>
      </c>
      <c r="BH254" s="518" t="str">
        <f>IF(AND(_A4="B-737-800",'2025'!$J$4="CA",'2025'!$J$2=BH233),'2025DATA'!$C$23,"")</f>
        <v/>
      </c>
      <c r="BI254" s="518" t="str">
        <f>IF(AND(_A4="B-737-800",'2025'!$J$4="CA",'2025'!$J$2=BI233),'2025DATA'!$D$23,"")</f>
        <v/>
      </c>
      <c r="BJ254" s="518" t="str">
        <f>IF(AND(_A4="B-737-800",'2025'!$J$4="CA",'2025'!$J$2=BJ233),'2025DATA'!$E$23,"")</f>
        <v/>
      </c>
      <c r="BK254" s="518" t="str">
        <f>IF(AND(_A4="B-737-800",'2025'!$J$4="CA",'2025'!$J$2=BK233),'2025DATA'!$F$23,"")</f>
        <v/>
      </c>
      <c r="BL254" s="518" t="str">
        <f>IF(AND(_A4="B-737-800",'2025'!$J$4="CA",'2025'!$J$2=BL233),'2025DATA'!$G$23,"")</f>
        <v/>
      </c>
      <c r="BM254" s="518" t="str">
        <f>IF(AND(_A4="B-737-800",'2025'!$J$4="CA",'2025'!$J$2=BM233),'2025DATA'!$H$23,"")</f>
        <v/>
      </c>
      <c r="BN254" s="518" t="str">
        <f>IF(AND(_A4="B-737-800",'2025'!$J$4="CA",'2025'!$J$2=BN233),'2025DATA'!$I$23,"")</f>
        <v/>
      </c>
      <c r="BO254" s="518" t="str">
        <f>IF(AND(_A4="B-737-800",'2025'!$J$4="CA",'2025'!$J$2=BO233),'2025DATA'!$J$23,"")</f>
        <v/>
      </c>
      <c r="BP254" s="518" t="str">
        <f>IF(AND(_A4="B-737-800",'2025'!$J$4="CA",'2025'!$J$2=BP233),'2025DATA'!$K$23,"")</f>
        <v/>
      </c>
      <c r="BQ254" s="518" t="str">
        <f>IF(AND(_A4="B-737-800",'2025'!$J$4="CA",'2025'!$J$2=BQ233),'2025DATA'!$L$23,"")</f>
        <v/>
      </c>
      <c r="BR254" s="518" t="str">
        <f>IF(AND(_A4="B-737-800",'2025'!$J$4="CA",'2025'!$J$2=BR233),'2025DATA'!$M$23,"")</f>
        <v/>
      </c>
      <c r="BS254" s="520" t="str">
        <f>IF(AND(_A4="B-737-800",'2025'!$J$4="CA",'2025'!$J$2=BS233),'2025DATA'!$N$23,"")</f>
        <v/>
      </c>
      <c r="BT254" s="940" t="s">
        <v>69</v>
      </c>
      <c r="BU254" s="13" t="s">
        <v>61</v>
      </c>
      <c r="BV254" s="518" t="str">
        <f>IF(AND(_A5="B-737-800",'2025'!$J$4="CA",'2025'!$J$2=BV233),'2025DATA'!$C$23,"")</f>
        <v/>
      </c>
      <c r="BW254" s="518" t="str">
        <f>IF(AND(_A5="B-737-800",'2025'!$J$4="CA",'2025'!$J$2=BW233),'2025DATA'!$D$23,"")</f>
        <v/>
      </c>
      <c r="BX254" s="518" t="str">
        <f>IF(AND(_A5="B-737-800",'2025'!$J$4="CA",'2025'!$J$2=BX233),'2025DATA'!$E$23,"")</f>
        <v/>
      </c>
      <c r="BY254" s="518" t="str">
        <f>IF(AND(_A5="B-737-800",'2025'!$J$4="CA",'2025'!$J$2=BY233),'2025DATA'!$F$23,"")</f>
        <v/>
      </c>
      <c r="BZ254" s="518" t="str">
        <f>IF(AND(_A5="B-737-800",'2025'!$J$4="CA",'2025'!$J$2=BZ233),'2025DATA'!$G$23,"")</f>
        <v/>
      </c>
      <c r="CA254" s="518" t="str">
        <f>IF(AND(_A5="B-737-800",'2025'!$J$4="CA",'2025'!$J$2=CA233),'2025DATA'!$H$23,"")</f>
        <v/>
      </c>
      <c r="CB254" s="518" t="str">
        <f>IF(AND(_A5="B-737-800",'2025'!$J$4="CA",'2025'!$J$2=CB233),'2025DATA'!$I$23,"")</f>
        <v/>
      </c>
      <c r="CC254" s="518" t="str">
        <f>IF(AND(_A5="B-737-800",'2025'!$J$4="CA",'2025'!$J$2=CC233),'2025DATA'!$J$23,"")</f>
        <v/>
      </c>
      <c r="CD254" s="518" t="str">
        <f>IF(AND(_A5="B-737-800",'2025'!$J$4="CA",'2025'!$J$2=CD233),'2025DATA'!$K$23,"")</f>
        <v/>
      </c>
      <c r="CE254" s="518" t="str">
        <f>IF(AND(_A5="B-737-800",'2025'!$J$4="CA",'2025'!$J$2=CE233),'2025DATA'!$L$23,"")</f>
        <v/>
      </c>
      <c r="CF254" s="518" t="str">
        <f>IF(AND(_A5="B-737-800",'2025'!$J$4="CA",'2025'!$J$2=CF233),'2025DATA'!$M$23,"")</f>
        <v/>
      </c>
      <c r="CG254" s="520" t="str">
        <f>IF(AND(_A5="B-737-800",'2025'!$J$4="CA",'2025'!$J$2=CG233),'2025DATA'!$N$23,"")</f>
        <v/>
      </c>
      <c r="CH254" s="940" t="s">
        <v>69</v>
      </c>
      <c r="CI254" s="13" t="s">
        <v>61</v>
      </c>
      <c r="CJ254" s="518" t="str">
        <f>IF(AND(_A6="B-737-800",'2025'!$J$4="CA",'2025'!$J$2=CJ233),'2025DATA'!$C$23,"")</f>
        <v/>
      </c>
      <c r="CK254" s="518" t="str">
        <f>IF(AND(_A6="B-737-800",'2025'!$J$4="CA",'2025'!$J$2=CK233),'2025DATA'!$D$23,"")</f>
        <v/>
      </c>
      <c r="CL254" s="518" t="str">
        <f>IF(AND(_A6="B-737-800",'2025'!$J$4="CA",'2025'!$J$2=CL233),'2025DATA'!$E$23,"")</f>
        <v/>
      </c>
      <c r="CM254" s="518" t="str">
        <f>IF(AND(_A6="B-737-800",'2025'!$J$4="CA",'2025'!$J$2=CM233),'2025DATA'!$F$23,"")</f>
        <v/>
      </c>
      <c r="CN254" s="518" t="str">
        <f>IF(AND(_A6="B-737-800",'2025'!$J$4="CA",'2025'!$J$2=CN233),'2025DATA'!$G$23,"")</f>
        <v/>
      </c>
      <c r="CO254" s="518" t="str">
        <f>IF(AND(_A6="B-737-800",'2025'!$J$4="CA",'2025'!$J$2=CO233),'2025DATA'!$H$23,"")</f>
        <v/>
      </c>
      <c r="CP254" s="518" t="str">
        <f>IF(AND(_A6="B-737-800",'2025'!$J$4="CA",'2025'!$J$2=CP233),'2025DATA'!$I$23,"")</f>
        <v/>
      </c>
      <c r="CQ254" s="518" t="str">
        <f>IF(AND(_A6="B-737-800",'2025'!$J$4="CA",'2025'!$J$2=CQ233),'2025DATA'!$J$23,"")</f>
        <v/>
      </c>
      <c r="CR254" s="518" t="str">
        <f>IF(AND(_A6="B-737-800",'2025'!$J$4="CA",'2025'!$J$2=CR233),'2025DATA'!$K$23,"")</f>
        <v/>
      </c>
      <c r="CS254" s="518" t="str">
        <f>IF(AND(_A6="B-737-800",'2025'!$J$4="CA",'2025'!$J$2=CS233),'2025DATA'!$L$23,"")</f>
        <v/>
      </c>
      <c r="CT254" s="518" t="str">
        <f>IF(AND(_A6="B-737-800",'2025'!$J$4="CA",'2025'!$J$2=CT233),'2025DATA'!$M$23,"")</f>
        <v/>
      </c>
      <c r="CU254" s="520" t="str">
        <f>IF(AND(_A6="B-737-800",'2025'!$J$4="CA",'2025'!$J$2=CU233),'2025DATA'!$N$23,"")</f>
        <v/>
      </c>
    </row>
    <row r="255" spans="16:99" x14ac:dyDescent="0.25">
      <c r="P255" s="940"/>
      <c r="Q255" s="13" t="s">
        <v>62</v>
      </c>
      <c r="R255" s="518" t="str">
        <f>IF(AND(_A1="B-737-800",'2025'!$J$4="FO",'2025'!$J$2=R233),'2025DATA'!$C$24,"")</f>
        <v/>
      </c>
      <c r="S255" s="518" t="str">
        <f>IF(AND(_A1="B-737-800",'2025'!$J$4="FO",'2025'!$J$2=S233),'2025DATA'!$D$24,"")</f>
        <v/>
      </c>
      <c r="T255" s="518" t="str">
        <f>IF(AND(_A1="B-737-800",'2025'!$J$4="FO",'2025'!$J$2=T233),'2025DATA'!$E$24,"")</f>
        <v/>
      </c>
      <c r="U255" s="518" t="str">
        <f>IF(AND(_A1="B-737-800",'2025'!$J$4="FO",'2025'!$J$2=U233),'2025DATA'!$F$24,"")</f>
        <v/>
      </c>
      <c r="V255" s="518" t="str">
        <f>IF(AND(_A1="B-737-800",'2025'!$J$4="FO",'2025'!$J$2=V233),'2025DATA'!$G$24,"")</f>
        <v/>
      </c>
      <c r="W255" s="518" t="str">
        <f>IF(AND(_A1="B-737-800",'2025'!$J$4="FO",'2025'!$J$2=W233),'2025DATA'!$H$24,"")</f>
        <v/>
      </c>
      <c r="X255" s="518" t="str">
        <f>IF(AND(_A1="B-737-800",'2025'!$J$4="FO",'2025'!$J$2=X233),'2025DATA'!$I$24,"")</f>
        <v/>
      </c>
      <c r="Y255" s="518" t="str">
        <f>IF(AND(_A1="B-737-800",'2025'!$J$4="FO",'2025'!$J$2=Y233),'2025DATA'!$J$24,"")</f>
        <v/>
      </c>
      <c r="Z255" s="518" t="str">
        <f>IF(AND(_A1="B-737-800",'2025'!$J$4="FO",'2025'!$J$2=Z233),'2025DATA'!$K$24,"")</f>
        <v/>
      </c>
      <c r="AA255" s="518" t="str">
        <f>IF(AND(_A1="B-737-800",'2025'!$J$4="FO",'2025'!$J$2=AA233),'2025DATA'!$L$24,"")</f>
        <v/>
      </c>
      <c r="AB255" s="518" t="str">
        <f>IF(AND(_A1="B-737-800",'2025'!$J$4="FO",'2025'!$J$2=AB233),'2025DATA'!$M$24,"")</f>
        <v/>
      </c>
      <c r="AC255" s="520" t="str">
        <f>IF(AND(_A1="B-737-800",'2025'!$J$4="FO",'2025'!$J$2=AC233),'2025DATA'!$N$24,"")</f>
        <v/>
      </c>
      <c r="AD255" s="940"/>
      <c r="AE255" s="13" t="s">
        <v>62</v>
      </c>
      <c r="AF255" s="518" t="str">
        <f>IF(AND(_A2="B-737-800",'2025'!$J$4="FO",'2025'!$J$2=AF233),'2025DATA'!$C$24,"")</f>
        <v/>
      </c>
      <c r="AG255" s="518" t="str">
        <f>IF(AND(_A2="B-737-800",'2025'!$J$4="FO",'2025'!$J$2=AG233),'2025DATA'!$D$24,"")</f>
        <v/>
      </c>
      <c r="AH255" s="518" t="str">
        <f>IF(AND(_A2="B-737-800",'2025'!$J$4="FO",'2025'!$J$2=AH233),'2025DATA'!$E$24,"")</f>
        <v/>
      </c>
      <c r="AI255" s="518" t="str">
        <f>IF(AND(_A2="B-737-800",'2025'!$J$4="FO",'2025'!$J$2=AI233),'2025DATA'!$F$24,"")</f>
        <v/>
      </c>
      <c r="AJ255" s="518" t="str">
        <f>IF(AND(_A2="B-737-800",'2025'!$J$4="FO",'2025'!$J$2=AJ233),'2025DATA'!$G$24,"")</f>
        <v/>
      </c>
      <c r="AK255" s="518" t="str">
        <f>IF(AND(_A2="B-737-800",'2025'!$J$4="FO",'2025'!$J$2=AK233),'2025DATA'!$H$24,"")</f>
        <v/>
      </c>
      <c r="AL255" s="518" t="str">
        <f>IF(AND(_A2="B-737-800",'2025'!$J$4="FO",'2025'!$J$2=AL233),'2025DATA'!$I$24,"")</f>
        <v/>
      </c>
      <c r="AM255" s="518" t="str">
        <f>IF(AND(_A2="B-737-800",'2025'!$J$4="FO",'2025'!$J$2=AM233),'2025DATA'!$J$24,"")</f>
        <v/>
      </c>
      <c r="AN255" s="518" t="str">
        <f>IF(AND(_A2="B-737-800",'2025'!$J$4="FO",'2025'!$J$2=AN233),'2025DATA'!$K$24,"")</f>
        <v/>
      </c>
      <c r="AO255" s="518" t="str">
        <f>IF(AND(_A2="B-737-800",'2025'!$J$4="FO",'2025'!$J$2=AO233),'2025DATA'!$L$24,"")</f>
        <v/>
      </c>
      <c r="AP255" s="518" t="str">
        <f>IF(AND(_A2="B-737-800",'2025'!$J$4="FO",'2025'!$J$2=AP233),'2025DATA'!$M$24,"")</f>
        <v/>
      </c>
      <c r="AQ255" s="520" t="str">
        <f>IF(AND(_A2="B-737-800",'2025'!$J$4="FO",'2025'!$J$2=AQ233),'2025DATA'!$N$24,"")</f>
        <v/>
      </c>
      <c r="AR255" s="940"/>
      <c r="AS255" s="13" t="s">
        <v>62</v>
      </c>
      <c r="AT255" s="518" t="str">
        <f>IF(AND(_A3="B-737-800",'2025'!$J$4="FO",'2025'!$J$2=AT233),'2025DATA'!$C$24,"")</f>
        <v/>
      </c>
      <c r="AU255" s="518" t="str">
        <f>IF(AND(_A3="B-737-800",'2025'!$J$4="FO",'2025'!$J$2=AU233),'2025DATA'!$D$24,"")</f>
        <v/>
      </c>
      <c r="AV255" s="518" t="str">
        <f>IF(AND(_A3="B-737-800",'2025'!$J$4="FO",'2025'!$J$2=AV233),'2025DATA'!$E$24,"")</f>
        <v/>
      </c>
      <c r="AW255" s="518" t="str">
        <f>IF(AND(_A3="B-737-800",'2025'!$J$4="FO",'2025'!$J$2=AW233),'2025DATA'!$F$24,"")</f>
        <v/>
      </c>
      <c r="AX255" s="518" t="str">
        <f>IF(AND(_A3="B-737-800",'2025'!$J$4="FO",'2025'!$J$2=AX233),'2025DATA'!$G$24,"")</f>
        <v/>
      </c>
      <c r="AY255" s="518" t="str">
        <f>IF(AND(_A3="B-737-800",'2025'!$J$4="FO",'2025'!$J$2=AY233),'2025DATA'!$H$24,"")</f>
        <v/>
      </c>
      <c r="AZ255" s="518" t="str">
        <f>IF(AND(_A3="B-737-800",'2025'!$J$4="FO",'2025'!$J$2=AZ233),'2025DATA'!$I$24,"")</f>
        <v/>
      </c>
      <c r="BA255" s="518" t="str">
        <f>IF(AND(_A3="B-737-800",'2025'!$J$4="FO",'2025'!$J$2=BA233),'2025DATA'!$J$24,"")</f>
        <v/>
      </c>
      <c r="BB255" s="518" t="str">
        <f>IF(AND(_A3="B-737-800",'2025'!$J$4="FO",'2025'!$J$2=BB233),'2025DATA'!$K$24,"")</f>
        <v/>
      </c>
      <c r="BC255" s="518" t="str">
        <f>IF(AND(_A3="B-737-800",'2025'!$J$4="FO",'2025'!$J$2=BC233),'2025DATA'!$L$24,"")</f>
        <v/>
      </c>
      <c r="BD255" s="518" t="str">
        <f>IF(AND(_A3="B-737-800",'2025'!$J$4="FO",'2025'!$J$2=BD233),'2025DATA'!$M$24,"")</f>
        <v/>
      </c>
      <c r="BE255" s="520" t="str">
        <f>IF(AND(_A3="B-737-800",'2025'!$J$4="FO",'2025'!$J$2=BE233),'2025DATA'!$N$24,"")</f>
        <v/>
      </c>
      <c r="BF255" s="940"/>
      <c r="BG255" s="13" t="s">
        <v>62</v>
      </c>
      <c r="BH255" s="518" t="str">
        <f>IF(AND(_A4="B-737-800",'2025'!$J$4="FO",'2025'!$J$2=BH233),'2025DATA'!$C$24,"")</f>
        <v/>
      </c>
      <c r="BI255" s="518" t="str">
        <f>IF(AND(_A4="B-737-800",'2025'!$J$4="FO",'2025'!$J$2=BI233),'2025DATA'!$D$24,"")</f>
        <v/>
      </c>
      <c r="BJ255" s="518" t="str">
        <f>IF(AND(_A4="B-737-800",'2025'!$J$4="FO",'2025'!$J$2=BJ233),'2025DATA'!$E$24,"")</f>
        <v/>
      </c>
      <c r="BK255" s="518" t="str">
        <f>IF(AND(_A4="B-737-800",'2025'!$J$4="FO",'2025'!$J$2=BK233),'2025DATA'!$F$24,"")</f>
        <v/>
      </c>
      <c r="BL255" s="518" t="str">
        <f>IF(AND(_A4="B-737-800",'2025'!$J$4="FO",'2025'!$J$2=BL233),'2025DATA'!$G$24,"")</f>
        <v/>
      </c>
      <c r="BM255" s="518" t="str">
        <f>IF(AND(_A4="B-737-800",'2025'!$J$4="FO",'2025'!$J$2=BM233),'2025DATA'!$H$24,"")</f>
        <v/>
      </c>
      <c r="BN255" s="518" t="str">
        <f>IF(AND(_A4="B-737-800",'2025'!$J$4="FO",'2025'!$J$2=BN233),'2025DATA'!$I$24,"")</f>
        <v/>
      </c>
      <c r="BO255" s="518" t="str">
        <f>IF(AND(_A4="B-737-800",'2025'!$J$4="FO",'2025'!$J$2=BO233),'2025DATA'!$J$24,"")</f>
        <v/>
      </c>
      <c r="BP255" s="518" t="str">
        <f>IF(AND(_A4="B-737-800",'2025'!$J$4="FO",'2025'!$J$2=BP233),'2025DATA'!$K$24,"")</f>
        <v/>
      </c>
      <c r="BQ255" s="518" t="str">
        <f>IF(AND(_A4="B-737-800",'2025'!$J$4="FO",'2025'!$J$2=BQ233),'2025DATA'!$L$24,"")</f>
        <v/>
      </c>
      <c r="BR255" s="518" t="str">
        <f>IF(AND(_A4="B-737-800",'2025'!$J$4="FO",'2025'!$J$2=BR233),'2025DATA'!$M$24,"")</f>
        <v/>
      </c>
      <c r="BS255" s="520" t="str">
        <f>IF(AND(_A4="B-737-800",'2025'!$J$4="FO",'2025'!$J$2=BS233),'2025DATA'!$N$24,"")</f>
        <v/>
      </c>
      <c r="BT255" s="940"/>
      <c r="BU255" s="13" t="s">
        <v>62</v>
      </c>
      <c r="BV255" s="518" t="str">
        <f>IF(AND(_A5="B-737-800",'2025'!$J$4="FO",'2025'!$J$2=BV233),'2025DATA'!$C$24,"")</f>
        <v/>
      </c>
      <c r="BW255" s="518" t="str">
        <f>IF(AND(_A5="B-737-800",'2025'!$J$4="FO",'2025'!$J$2=BW233),'2025DATA'!$D$24,"")</f>
        <v/>
      </c>
      <c r="BX255" s="518" t="str">
        <f>IF(AND(_A5="B-737-800",'2025'!$J$4="FO",'2025'!$J$2=BX233),'2025DATA'!$E$24,"")</f>
        <v/>
      </c>
      <c r="BY255" s="518" t="str">
        <f>IF(AND(_A5="B-737-800",'2025'!$J$4="FO",'2025'!$J$2=BY233),'2025DATA'!$F$24,"")</f>
        <v/>
      </c>
      <c r="BZ255" s="518" t="str">
        <f>IF(AND(_A5="B-737-800",'2025'!$J$4="FO",'2025'!$J$2=BZ233),'2025DATA'!$G$24,"")</f>
        <v/>
      </c>
      <c r="CA255" s="518" t="str">
        <f>IF(AND(_A5="B-737-800",'2025'!$J$4="FO",'2025'!$J$2=CA233),'2025DATA'!$H$24,"")</f>
        <v/>
      </c>
      <c r="CB255" s="518" t="str">
        <f>IF(AND(_A5="B-737-800",'2025'!$J$4="FO",'2025'!$J$2=CB233),'2025DATA'!$I$24,"")</f>
        <v/>
      </c>
      <c r="CC255" s="518" t="str">
        <f>IF(AND(_A5="B-737-800",'2025'!$J$4="FO",'2025'!$J$2=CC233),'2025DATA'!$J$24,"")</f>
        <v/>
      </c>
      <c r="CD255" s="518" t="str">
        <f>IF(AND(_A5="B-737-800",'2025'!$J$4="FO",'2025'!$J$2=CD233),'2025DATA'!$K$24,"")</f>
        <v/>
      </c>
      <c r="CE255" s="518" t="str">
        <f>IF(AND(_A5="B-737-800",'2025'!$J$4="FO",'2025'!$J$2=CE233),'2025DATA'!$L$24,"")</f>
        <v/>
      </c>
      <c r="CF255" s="518" t="str">
        <f>IF(AND(_A5="B-737-800",'2025'!$J$4="FO",'2025'!$J$2=CF233),'2025DATA'!$M$24,"")</f>
        <v/>
      </c>
      <c r="CG255" s="520" t="str">
        <f>IF(AND(_A5="B-737-800",'2025'!$J$4="FO",'2025'!$J$2=CG233),'2025DATA'!$N$24,"")</f>
        <v/>
      </c>
      <c r="CH255" s="940"/>
      <c r="CI255" s="13" t="s">
        <v>62</v>
      </c>
      <c r="CJ255" s="518" t="str">
        <f>IF(AND(_A6="B-737-800",'2025'!$J$4="FO",'2025'!$J$2=CJ233),'2025DATA'!$C$24,"")</f>
        <v/>
      </c>
      <c r="CK255" s="518" t="str">
        <f>IF(AND(_A6="B-737-800",'2025'!$J$4="FO",'2025'!$J$2=CK233),'2025DATA'!$D$24,"")</f>
        <v/>
      </c>
      <c r="CL255" s="518" t="str">
        <f>IF(AND(_A6="B-737-800",'2025'!$J$4="FO",'2025'!$J$2=CL233),'2025DATA'!$E$24,"")</f>
        <v/>
      </c>
      <c r="CM255" s="518" t="str">
        <f>IF(AND(_A6="B-737-800",'2025'!$J$4="FO",'2025'!$J$2=CM233),'2025DATA'!$F$24,"")</f>
        <v/>
      </c>
      <c r="CN255" s="518" t="str">
        <f>IF(AND(_A6="B-737-800",'2025'!$J$4="FO",'2025'!$J$2=CN233),'2025DATA'!$G$24,"")</f>
        <v/>
      </c>
      <c r="CO255" s="518" t="str">
        <f>IF(AND(_A6="B-737-800",'2025'!$J$4="FO",'2025'!$J$2=CO233),'2025DATA'!$H$24,"")</f>
        <v/>
      </c>
      <c r="CP255" s="518" t="str">
        <f>IF(AND(_A6="B-737-800",'2025'!$J$4="FO",'2025'!$J$2=CP233),'2025DATA'!$I$24,"")</f>
        <v/>
      </c>
      <c r="CQ255" s="518" t="str">
        <f>IF(AND(_A6="B-737-800",'2025'!$J$4="FO",'2025'!$J$2=CQ233),'2025DATA'!$J$24,"")</f>
        <v/>
      </c>
      <c r="CR255" s="518" t="str">
        <f>IF(AND(_A6="B-737-800",'2025'!$J$4="FO",'2025'!$J$2=CR233),'2025DATA'!$K$24,"")</f>
        <v/>
      </c>
      <c r="CS255" s="518" t="str">
        <f>IF(AND(_A6="B-737-800",'2025'!$J$4="FO",'2025'!$J$2=CS233),'2025DATA'!$L$24,"")</f>
        <v/>
      </c>
      <c r="CT255" s="518" t="str">
        <f>IF(AND(_A6="B-737-800",'2025'!$J$4="FO",'2025'!$J$2=CT233),'2025DATA'!$M$24,"")</f>
        <v/>
      </c>
      <c r="CU255" s="520" t="str">
        <f>IF(AND(_A6="B-737-800",'2025'!$J$4="FO",'2025'!$J$2=CU233),'2025DATA'!$N$24,"")</f>
        <v/>
      </c>
    </row>
    <row r="256" spans="16:99" x14ac:dyDescent="0.25">
      <c r="P256" s="940" t="s">
        <v>46</v>
      </c>
      <c r="Q256" s="13" t="s">
        <v>61</v>
      </c>
      <c r="R256" s="518" t="str">
        <f>IF(AND(_A1="A-321N",'2025'!$J$4="CA",'2025'!$J$2=R233),'2025DATA'!$C$25,"")</f>
        <v/>
      </c>
      <c r="S256" s="518" t="str">
        <f>IF(AND(_A1="A-321N",'2025'!$J$4="CA",'2025'!$J$2=S233),'2025DATA'!$D$25,"")</f>
        <v/>
      </c>
      <c r="T256" s="518" t="str">
        <f>IF(AND(_A1="A-321N",'2025'!$J$4="CA",'2025'!$J$2=T233),'2025DATA'!$E$25,"")</f>
        <v/>
      </c>
      <c r="U256" s="518" t="str">
        <f>IF(AND(_A1="A-321N",'2025'!$J$4="CA",'2025'!$J$2=U233),'2025DATA'!$F$25,"")</f>
        <v/>
      </c>
      <c r="V256" s="518" t="str">
        <f>IF(AND(_A1="A-321N",'2025'!$J$4="CA",'2025'!$J$2=V233),'2025DATA'!$G$25,"")</f>
        <v/>
      </c>
      <c r="W256" s="518" t="str">
        <f>IF(AND(_A1="A-321N",'2025'!$J$4="CA",'2025'!$J$2=W233),'2025DATA'!$H$25,"")</f>
        <v/>
      </c>
      <c r="X256" s="518" t="str">
        <f>IF(AND(_A1="A-321N",'2025'!$J$4="CA",'2025'!$J$2=X233),'2025DATA'!$I$25,"")</f>
        <v/>
      </c>
      <c r="Y256" s="518" t="str">
        <f>IF(AND(_A1="A-321N",'2025'!$J$4="CA",'2025'!$J$2=Y233),'2025DATA'!$J$25,"")</f>
        <v/>
      </c>
      <c r="Z256" s="518" t="str">
        <f>IF(AND(_A1="A-321N",'2025'!$J$4="CA",'2025'!$J$2=Z233),'2025DATA'!$K$25,"")</f>
        <v/>
      </c>
      <c r="AA256" s="518" t="str">
        <f>IF(AND(_A1="A-321N",'2025'!$J$4="CA",'2025'!$J$2=AA233),'2025DATA'!$L$25,"")</f>
        <v/>
      </c>
      <c r="AB256" s="518" t="str">
        <f>IF(AND(_A1="A-321N",'2025'!$J$4="CA",'2025'!$J$2=AB233),'2025DATA'!$M$25,"")</f>
        <v/>
      </c>
      <c r="AC256" s="520" t="str">
        <f>IF(AND(_A1="A-321N",'2025'!$J$4="CA",'2025'!$J$2=AC233),'2025DATA'!$N$25,"")</f>
        <v/>
      </c>
      <c r="AD256" s="940" t="s">
        <v>46</v>
      </c>
      <c r="AE256" s="13" t="s">
        <v>61</v>
      </c>
      <c r="AF256" s="518" t="str">
        <f>IF(AND(_A2="A-321N",'2025'!$J$4="CA",'2025'!$J$2=AF233),'2025DATA'!$C$25,"")</f>
        <v/>
      </c>
      <c r="AG256" s="518" t="str">
        <f>IF(AND(_A2="A-321N",'2025'!$J$4="CA",'2025'!$J$2=AG233),'2025DATA'!$D$25,"")</f>
        <v/>
      </c>
      <c r="AH256" s="518" t="str">
        <f>IF(AND(_A2="A-321N",'2025'!$J$4="CA",'2025'!$J$2=AH233),'2025DATA'!$E$25,"")</f>
        <v/>
      </c>
      <c r="AI256" s="518" t="str">
        <f>IF(AND(_A2="A-321N",'2025'!$J$4="CA",'2025'!$J$2=AI233),'2025DATA'!$F$25,"")</f>
        <v/>
      </c>
      <c r="AJ256" s="518" t="str">
        <f>IF(AND(_A2="A-321N",'2025'!$J$4="CA",'2025'!$J$2=AJ233),'2025DATA'!$G$25,"")</f>
        <v/>
      </c>
      <c r="AK256" s="518" t="str">
        <f>IF(AND(_A2="A-321N",'2025'!$J$4="CA",'2025'!$J$2=AK233),'2025DATA'!$H$25,"")</f>
        <v/>
      </c>
      <c r="AL256" s="518" t="str">
        <f>IF(AND(_A2="A-321N",'2025'!$J$4="CA",'2025'!$J$2=AL233),'2025DATA'!$I$25,"")</f>
        <v/>
      </c>
      <c r="AM256" s="518" t="str">
        <f>IF(AND(_A2="A-321N",'2025'!$J$4="CA",'2025'!$J$2=AM233),'2025DATA'!$J$25,"")</f>
        <v/>
      </c>
      <c r="AN256" s="518" t="str">
        <f>IF(AND(_A2="A-321N",'2025'!$J$4="CA",'2025'!$J$2=AN233),'2025DATA'!$K$25,"")</f>
        <v/>
      </c>
      <c r="AO256" s="518" t="str">
        <f>IF(AND(_A2="A-321N",'2025'!$J$4="CA",'2025'!$J$2=AO233),'2025DATA'!$L$25,"")</f>
        <v/>
      </c>
      <c r="AP256" s="518" t="str">
        <f>IF(AND(_A2="A-321N",'2025'!$J$4="CA",'2025'!$J$2=AP233),'2025DATA'!$M$25,"")</f>
        <v/>
      </c>
      <c r="AQ256" s="520" t="str">
        <f>IF(AND(_A2="A-321N",'2025'!$J$4="CA",'2025'!$J$2=AQ233),'2025DATA'!$N$25,"")</f>
        <v/>
      </c>
      <c r="AR256" s="940" t="s">
        <v>46</v>
      </c>
      <c r="AS256" s="13" t="s">
        <v>61</v>
      </c>
      <c r="AT256" s="518" t="str">
        <f>IF(AND(_A3="A-321N",'2025'!$J$4="CA",'2025'!$J$2=AT233),'2025DATA'!$C$25,"")</f>
        <v/>
      </c>
      <c r="AU256" s="518" t="str">
        <f>IF(AND(_A3="A-321N",'2025'!$J$4="CA",'2025'!$J$2=AU233),'2025DATA'!$D$25,"")</f>
        <v/>
      </c>
      <c r="AV256" s="518" t="str">
        <f>IF(AND(_A3="A-321N",'2025'!$J$4="CA",'2025'!$J$2=AV233),'2025DATA'!$E$25,"")</f>
        <v/>
      </c>
      <c r="AW256" s="518" t="str">
        <f>IF(AND(_A3="A-321N",'2025'!$J$4="CA",'2025'!$J$2=AW233),'2025DATA'!$F$25,"")</f>
        <v/>
      </c>
      <c r="AX256" s="518" t="str">
        <f>IF(AND(_A3="A-321N",'2025'!$J$4="CA",'2025'!$J$2=AX233),'2025DATA'!$G$25,"")</f>
        <v/>
      </c>
      <c r="AY256" s="518" t="str">
        <f>IF(AND(_A3="A-321N",'2025'!$J$4="CA",'2025'!$J$2=AY233),'2025DATA'!$H$25,"")</f>
        <v/>
      </c>
      <c r="AZ256" s="518" t="str">
        <f>IF(AND(_A3="A-321N",'2025'!$J$4="CA",'2025'!$J$2=AZ233),'2025DATA'!$I$25,"")</f>
        <v/>
      </c>
      <c r="BA256" s="518" t="str">
        <f>IF(AND(_A3="A-321N",'2025'!$J$4="CA",'2025'!$J$2=BA233),'2025DATA'!$J$25,"")</f>
        <v/>
      </c>
      <c r="BB256" s="518" t="str">
        <f>IF(AND(_A3="A-321N",'2025'!$J$4="CA",'2025'!$J$2=BB233),'2025DATA'!$K$25,"")</f>
        <v/>
      </c>
      <c r="BC256" s="518" t="str">
        <f>IF(AND(_A3="A-321N",'2025'!$J$4="CA",'2025'!$J$2=BC233),'2025DATA'!$L$25,"")</f>
        <v/>
      </c>
      <c r="BD256" s="518" t="str">
        <f>IF(AND(_A3="A-321N",'2025'!$J$4="CA",'2025'!$J$2=BD233),'2025DATA'!$M$25,"")</f>
        <v/>
      </c>
      <c r="BE256" s="520" t="str">
        <f>IF(AND(_A3="A-321N",'2025'!$J$4="CA",'2025'!$J$2=BE233),'2025DATA'!$N$25,"")</f>
        <v/>
      </c>
      <c r="BF256" s="940" t="s">
        <v>46</v>
      </c>
      <c r="BG256" s="13" t="s">
        <v>61</v>
      </c>
      <c r="BH256" s="518" t="str">
        <f>IF(AND(_A4="A-321N",'2025'!$J$4="CA",'2025'!$J$2=BH233),'2025DATA'!$C$25,"")</f>
        <v/>
      </c>
      <c r="BI256" s="518" t="str">
        <f>IF(AND(_A4="A-321N",'2025'!$J$4="CA",'2025'!$J$2=BI233),'2025DATA'!$D$25,"")</f>
        <v/>
      </c>
      <c r="BJ256" s="518" t="str">
        <f>IF(AND(_A4="A-321N",'2025'!$J$4="CA",'2025'!$J$2=BJ233),'2025DATA'!$E$25,"")</f>
        <v/>
      </c>
      <c r="BK256" s="518" t="str">
        <f>IF(AND(_A4="A-321N",'2025'!$J$4="CA",'2025'!$J$2=BK233),'2025DATA'!$F$25,"")</f>
        <v/>
      </c>
      <c r="BL256" s="518" t="str">
        <f>IF(AND(_A4="A-321N",'2025'!$J$4="CA",'2025'!$J$2=BL233),'2025DATA'!$G$25,"")</f>
        <v/>
      </c>
      <c r="BM256" s="518" t="str">
        <f>IF(AND(_A4="A-321N",'2025'!$J$4="CA",'2025'!$J$2=BM233),'2025DATA'!$H$25,"")</f>
        <v/>
      </c>
      <c r="BN256" s="518" t="str">
        <f>IF(AND(_A4="A-321N",'2025'!$J$4="CA",'2025'!$J$2=BN233),'2025DATA'!$I$25,"")</f>
        <v/>
      </c>
      <c r="BO256" s="518" t="str">
        <f>IF(AND(_A4="A-321N",'2025'!$J$4="CA",'2025'!$J$2=BO233),'2025DATA'!$J$25,"")</f>
        <v/>
      </c>
      <c r="BP256" s="518" t="str">
        <f>IF(AND(_A4="A-321N",'2025'!$J$4="CA",'2025'!$J$2=BP233),'2025DATA'!$K$25,"")</f>
        <v/>
      </c>
      <c r="BQ256" s="518" t="str">
        <f>IF(AND(_A4="A-321N",'2025'!$J$4="CA",'2025'!$J$2=BQ233),'2025DATA'!$L$25,"")</f>
        <v/>
      </c>
      <c r="BR256" s="518" t="str">
        <f>IF(AND(_A4="A-321N",'2025'!$J$4="CA",'2025'!$J$2=BR233),'2025DATA'!$M$25,"")</f>
        <v/>
      </c>
      <c r="BS256" s="520" t="str">
        <f>IF(AND(_A4="A-321N",'2025'!$J$4="CA",'2025'!$J$2=BS233),'2025DATA'!$N$25,"")</f>
        <v/>
      </c>
      <c r="BT256" s="940" t="s">
        <v>46</v>
      </c>
      <c r="BU256" s="13" t="s">
        <v>61</v>
      </c>
      <c r="BV256" s="518" t="str">
        <f>IF(AND(_A5="A-321N",'2025'!$J$4="CA",'2025'!$J$2=BV233),'2025DATA'!$C$25,"")</f>
        <v/>
      </c>
      <c r="BW256" s="518" t="str">
        <f>IF(AND(_A5="A-321N",'2025'!$J$4="CA",'2025'!$J$2=BW233),'2025DATA'!$D$25,"")</f>
        <v/>
      </c>
      <c r="BX256" s="518" t="str">
        <f>IF(AND(_A5="A-321N",'2025'!$J$4="CA",'2025'!$J$2=BX233),'2025DATA'!$E$25,"")</f>
        <v/>
      </c>
      <c r="BY256" s="518" t="str">
        <f>IF(AND(_A5="A-321N",'2025'!$J$4="CA",'2025'!$J$2=BY233),'2025DATA'!$F$25,"")</f>
        <v/>
      </c>
      <c r="BZ256" s="518" t="str">
        <f>IF(AND(_A5="A-321N",'2025'!$J$4="CA",'2025'!$J$2=BZ233),'2025DATA'!$G$25,"")</f>
        <v/>
      </c>
      <c r="CA256" s="518" t="str">
        <f>IF(AND(_A5="A-321N",'2025'!$J$4="CA",'2025'!$J$2=CA233),'2025DATA'!$H$25,"")</f>
        <v/>
      </c>
      <c r="CB256" s="518" t="str">
        <f>IF(AND(_A5="A-321N",'2025'!$J$4="CA",'2025'!$J$2=CB233),'2025DATA'!$I$25,"")</f>
        <v/>
      </c>
      <c r="CC256" s="518" t="str">
        <f>IF(AND(_A5="A-321N",'2025'!$J$4="CA",'2025'!$J$2=CC233),'2025DATA'!$J$25,"")</f>
        <v/>
      </c>
      <c r="CD256" s="518" t="str">
        <f>IF(AND(_A5="A-321N",'2025'!$J$4="CA",'2025'!$J$2=CD233),'2025DATA'!$K$25,"")</f>
        <v/>
      </c>
      <c r="CE256" s="518" t="str">
        <f>IF(AND(_A5="A-321N",'2025'!$J$4="CA",'2025'!$J$2=CE233),'2025DATA'!$L$25,"")</f>
        <v/>
      </c>
      <c r="CF256" s="518" t="str">
        <f>IF(AND(_A5="A-321N",'2025'!$J$4="CA",'2025'!$J$2=CF233),'2025DATA'!$M$25,"")</f>
        <v/>
      </c>
      <c r="CG256" s="520" t="str">
        <f>IF(AND(_A5="A-321N",'2025'!$J$4="CA",'2025'!$J$2=CG233),'2025DATA'!$N$25,"")</f>
        <v/>
      </c>
      <c r="CH256" s="940" t="s">
        <v>46</v>
      </c>
      <c r="CI256" s="13" t="s">
        <v>61</v>
      </c>
      <c r="CJ256" s="518" t="str">
        <f>IF(AND(_A6="A-321N",'2025'!$J$4="CA",'2025'!$J$2=CJ233),'2025DATA'!$C$25,"")</f>
        <v/>
      </c>
      <c r="CK256" s="518" t="str">
        <f>IF(AND(_A6="A-321N",'2025'!$J$4="CA",'2025'!$J$2=CK233),'2025DATA'!$D$25,"")</f>
        <v/>
      </c>
      <c r="CL256" s="518" t="str">
        <f>IF(AND(_A6="A-321N",'2025'!$J$4="CA",'2025'!$J$2=CL233),'2025DATA'!$E$25,"")</f>
        <v/>
      </c>
      <c r="CM256" s="518" t="str">
        <f>IF(AND(_A6="A-321N",'2025'!$J$4="CA",'2025'!$J$2=CM233),'2025DATA'!$F$25,"")</f>
        <v/>
      </c>
      <c r="CN256" s="518" t="str">
        <f>IF(AND(_A6="A-321N",'2025'!$J$4="CA",'2025'!$J$2=CN233),'2025DATA'!$G$25,"")</f>
        <v/>
      </c>
      <c r="CO256" s="518" t="str">
        <f>IF(AND(_A6="A-321N",'2025'!$J$4="CA",'2025'!$J$2=CO233),'2025DATA'!$H$25,"")</f>
        <v/>
      </c>
      <c r="CP256" s="518" t="str">
        <f>IF(AND(_A6="A-321N",'2025'!$J$4="CA",'2025'!$J$2=CP233),'2025DATA'!$I$25,"")</f>
        <v/>
      </c>
      <c r="CQ256" s="518" t="str">
        <f>IF(AND(_A6="A-321N",'2025'!$J$4="CA",'2025'!$J$2=CQ233),'2025DATA'!$J$25,"")</f>
        <v/>
      </c>
      <c r="CR256" s="518" t="str">
        <f>IF(AND(_A6="A-321N",'2025'!$J$4="CA",'2025'!$J$2=CR233),'2025DATA'!$K$25,"")</f>
        <v/>
      </c>
      <c r="CS256" s="518" t="str">
        <f>IF(AND(_A6="A-321N",'2025'!$J$4="CA",'2025'!$J$2=CS233),'2025DATA'!$L$25,"")</f>
        <v/>
      </c>
      <c r="CT256" s="518" t="str">
        <f>IF(AND(_A6="A-321N",'2025'!$J$4="CA",'2025'!$J$2=CT233),'2025DATA'!$M$25,"")</f>
        <v/>
      </c>
      <c r="CU256" s="520" t="str">
        <f>IF(AND(_A6="A-321N",'2025'!$J$4="CA",'2025'!$J$2=CU233),'2025DATA'!$N$25,"")</f>
        <v/>
      </c>
    </row>
    <row r="257" spans="16:99" x14ac:dyDescent="0.25">
      <c r="P257" s="940"/>
      <c r="Q257" s="13" t="s">
        <v>62</v>
      </c>
      <c r="R257" s="518" t="str">
        <f>IF(AND(_A1="A-321N",'2025'!$J$4="FO",'2025'!$J$2=R233),'2025DATA'!$C$26,"")</f>
        <v/>
      </c>
      <c r="S257" s="518" t="str">
        <f>IF(AND(_A1="A-321N",'2025'!$J$4="FO",'2025'!$J$2=S233),'2025DATA'!$D$26,"")</f>
        <v/>
      </c>
      <c r="T257" s="518" t="str">
        <f>IF(AND(_A1="A-321N",'2025'!$J$4="FO",'2025'!$J$2=T233),'2025DATA'!$E$26,"")</f>
        <v/>
      </c>
      <c r="U257" s="518" t="str">
        <f>IF(AND(_A1="A-321N",'2025'!$J$4="FO",'2025'!$J$2=U233),'2025DATA'!$F$26,"")</f>
        <v/>
      </c>
      <c r="V257" s="518" t="str">
        <f>IF(AND(_A1="A-321N",'2025'!$J$4="FO",'2025'!$J$2=V233),'2025DATA'!$G$26,"")</f>
        <v/>
      </c>
      <c r="W257" s="518" t="str">
        <f>IF(AND(_A1="A-321N",'2025'!$J$4="FO",'2025'!$J$2=W233),'2025DATA'!$H$26,"")</f>
        <v/>
      </c>
      <c r="X257" s="518" t="str">
        <f>IF(AND(_A1="A-321N",'2025'!$J$4="FO",'2025'!$J$2=X233),'2025DATA'!$I$26,"")</f>
        <v/>
      </c>
      <c r="Y257" s="518" t="str">
        <f>IF(AND(_A1="A-321N",'2025'!$J$4="FO",'2025'!$J$2=Y233),'2025DATA'!$J$26,"")</f>
        <v/>
      </c>
      <c r="Z257" s="518" t="str">
        <f>IF(AND(_A1="A-321N",'2025'!$J$4="FO",'2025'!$J$2=Z233),'2025DATA'!$K$26,"")</f>
        <v/>
      </c>
      <c r="AA257" s="518" t="str">
        <f>IF(AND(_A1="A-321N",'2025'!$J$4="FO",'2025'!$J$2=AA233),'2025DATA'!$L$26,"")</f>
        <v/>
      </c>
      <c r="AB257" s="518" t="str">
        <f>IF(AND(_A1="A-321N",'2025'!$J$4="FO",'2025'!$J$2=AB233),'2025DATA'!$M$26,"")</f>
        <v/>
      </c>
      <c r="AC257" s="520" t="str">
        <f>IF(AND(_A1="A-321N",'2025'!$J$4="FO",'2025'!$J$2=AC233),'2025DATA'!$N$26,"")</f>
        <v/>
      </c>
      <c r="AD257" s="940"/>
      <c r="AE257" s="13" t="s">
        <v>62</v>
      </c>
      <c r="AF257" s="518" t="str">
        <f>IF(AND(_A2="A-321N",'2025'!$J$4="FO",'2025'!$J$2=AF233),'2025DATA'!$C$26,"")</f>
        <v/>
      </c>
      <c r="AG257" s="518" t="str">
        <f>IF(AND(_A2="A-321N",'2025'!$J$4="FO",'2025'!$J$2=AG233),'2025DATA'!$D$26,"")</f>
        <v/>
      </c>
      <c r="AH257" s="518" t="str">
        <f>IF(AND(_A2="A-321N",'2025'!$J$4="FO",'2025'!$J$2=AH233),'2025DATA'!$E$26,"")</f>
        <v/>
      </c>
      <c r="AI257" s="518" t="str">
        <f>IF(AND(_A2="A-321N",'2025'!$J$4="FO",'2025'!$J$2=AI233),'2025DATA'!$F$26,"")</f>
        <v/>
      </c>
      <c r="AJ257" s="518" t="str">
        <f>IF(AND(_A2="A-321N",'2025'!$J$4="FO",'2025'!$J$2=AJ233),'2025DATA'!$G$26,"")</f>
        <v/>
      </c>
      <c r="AK257" s="518" t="str">
        <f>IF(AND(_A2="A-321N",'2025'!$J$4="FO",'2025'!$J$2=AK233),'2025DATA'!$H$26,"")</f>
        <v/>
      </c>
      <c r="AL257" s="518" t="str">
        <f>IF(AND(_A2="A-321N",'2025'!$J$4="FO",'2025'!$J$2=AL233),'2025DATA'!$I$26,"")</f>
        <v/>
      </c>
      <c r="AM257" s="518" t="str">
        <f>IF(AND(_A2="A-321N",'2025'!$J$4="FO",'2025'!$J$2=AM233),'2025DATA'!$J$26,"")</f>
        <v/>
      </c>
      <c r="AN257" s="518" t="str">
        <f>IF(AND(_A2="A-321N",'2025'!$J$4="FO",'2025'!$J$2=AN233),'2025DATA'!$K$26,"")</f>
        <v/>
      </c>
      <c r="AO257" s="518" t="str">
        <f>IF(AND(_A2="A-321N",'2025'!$J$4="FO",'2025'!$J$2=AO233),'2025DATA'!$L$26,"")</f>
        <v/>
      </c>
      <c r="AP257" s="518" t="str">
        <f>IF(AND(_A2="A-321N",'2025'!$J$4="FO",'2025'!$J$2=AP233),'2025DATA'!$M$26,"")</f>
        <v/>
      </c>
      <c r="AQ257" s="520" t="str">
        <f>IF(AND(_A2="A-321N",'2025'!$J$4="FO",'2025'!$J$2=AQ233),'2025DATA'!$N$26,"")</f>
        <v/>
      </c>
      <c r="AR257" s="940"/>
      <c r="AS257" s="13" t="s">
        <v>62</v>
      </c>
      <c r="AT257" s="518" t="str">
        <f>IF(AND(_A3="A-321N",'2025'!$J$4="FO",'2025'!$J$2=AT233),'2025DATA'!$C$26,"")</f>
        <v/>
      </c>
      <c r="AU257" s="518" t="str">
        <f>IF(AND(_A3="A-321N",'2025'!$J$4="FO",'2025'!$J$2=AU233),'2025DATA'!$D$26,"")</f>
        <v/>
      </c>
      <c r="AV257" s="518" t="str">
        <f>IF(AND(_A3="A-321N",'2025'!$J$4="FO",'2025'!$J$2=AV233),'2025DATA'!$E$26,"")</f>
        <v/>
      </c>
      <c r="AW257" s="518" t="str">
        <f>IF(AND(_A3="A-321N",'2025'!$J$4="FO",'2025'!$J$2=AW233),'2025DATA'!$F$26,"")</f>
        <v/>
      </c>
      <c r="AX257" s="518" t="str">
        <f>IF(AND(_A3="A-321N",'2025'!$J$4="FO",'2025'!$J$2=AX233),'2025DATA'!$G$26,"")</f>
        <v/>
      </c>
      <c r="AY257" s="518" t="str">
        <f>IF(AND(_A3="A-321N",'2025'!$J$4="FO",'2025'!$J$2=AY233),'2025DATA'!$H$26,"")</f>
        <v/>
      </c>
      <c r="AZ257" s="518" t="str">
        <f>IF(AND(_A3="A-321N",'2025'!$J$4="FO",'2025'!$J$2=AZ233),'2025DATA'!$I$26,"")</f>
        <v/>
      </c>
      <c r="BA257" s="518" t="str">
        <f>IF(AND(_A3="A-321N",'2025'!$J$4="FO",'2025'!$J$2=BA233),'2025DATA'!$J$26,"")</f>
        <v/>
      </c>
      <c r="BB257" s="518" t="str">
        <f>IF(AND(_A3="A-321N",'2025'!$J$4="FO",'2025'!$J$2=BB233),'2025DATA'!$K$26,"")</f>
        <v/>
      </c>
      <c r="BC257" s="518" t="str">
        <f>IF(AND(_A3="A-321N",'2025'!$J$4="FO",'2025'!$J$2=BC233),'2025DATA'!$L$26,"")</f>
        <v/>
      </c>
      <c r="BD257" s="518" t="str">
        <f>IF(AND(_A3="A-321N",'2025'!$J$4="FO",'2025'!$J$2=BD233),'2025DATA'!$M$26,"")</f>
        <v/>
      </c>
      <c r="BE257" s="520" t="str">
        <f>IF(AND(_A3="A-321N",'2025'!$J$4="FO",'2025'!$J$2=BE233),'2025DATA'!$N$26,"")</f>
        <v/>
      </c>
      <c r="BF257" s="940"/>
      <c r="BG257" s="13" t="s">
        <v>62</v>
      </c>
      <c r="BH257" s="518" t="str">
        <f>IF(AND(_A4="A-321N",'2025'!$J$4="FO",'2025'!$J$2=BH233),'2025DATA'!$C$26,"")</f>
        <v/>
      </c>
      <c r="BI257" s="518" t="str">
        <f>IF(AND(_A4="A-321N",'2025'!$J$4="FO",'2025'!$J$2=BI233),'2025DATA'!$D$26,"")</f>
        <v/>
      </c>
      <c r="BJ257" s="518" t="str">
        <f>IF(AND(_A4="A-321N",'2025'!$J$4="FO",'2025'!$J$2=BJ233),'2025DATA'!$E$26,"")</f>
        <v/>
      </c>
      <c r="BK257" s="518" t="str">
        <f>IF(AND(_A4="A-321N",'2025'!$J$4="FO",'2025'!$J$2=BK233),'2025DATA'!$F$26,"")</f>
        <v/>
      </c>
      <c r="BL257" s="518" t="str">
        <f>IF(AND(_A4="A-321N",'2025'!$J$4="FO",'2025'!$J$2=BL233),'2025DATA'!$G$26,"")</f>
        <v/>
      </c>
      <c r="BM257" s="518" t="str">
        <f>IF(AND(_A4="A-321N",'2025'!$J$4="FO",'2025'!$J$2=BM233),'2025DATA'!$H$26,"")</f>
        <v/>
      </c>
      <c r="BN257" s="518" t="str">
        <f>IF(AND(_A4="A-321N",'2025'!$J$4="FO",'2025'!$J$2=BN233),'2025DATA'!$I$26,"")</f>
        <v/>
      </c>
      <c r="BO257" s="518" t="str">
        <f>IF(AND(_A4="A-321N",'2025'!$J$4="FO",'2025'!$J$2=BO233),'2025DATA'!$J$26,"")</f>
        <v/>
      </c>
      <c r="BP257" s="518" t="str">
        <f>IF(AND(_A4="A-321N",'2025'!$J$4="FO",'2025'!$J$2=BP233),'2025DATA'!$K$26,"")</f>
        <v/>
      </c>
      <c r="BQ257" s="518" t="str">
        <f>IF(AND(_A4="A-321N",'2025'!$J$4="FO",'2025'!$J$2=BQ233),'2025DATA'!$L$26,"")</f>
        <v/>
      </c>
      <c r="BR257" s="518" t="str">
        <f>IF(AND(_A4="A-321N",'2025'!$J$4="FO",'2025'!$J$2=BR233),'2025DATA'!$M$26,"")</f>
        <v/>
      </c>
      <c r="BS257" s="520" t="str">
        <f>IF(AND(_A4="A-321N",'2025'!$J$4="FO",'2025'!$J$2=BS233),'2025DATA'!$N$26,"")</f>
        <v/>
      </c>
      <c r="BT257" s="940"/>
      <c r="BU257" s="13" t="s">
        <v>62</v>
      </c>
      <c r="BV257" s="518" t="str">
        <f>IF(AND(_A5="A-321N",'2025'!$J$4="FO",'2025'!$J$2=BV233),'2025DATA'!$C$26,"")</f>
        <v/>
      </c>
      <c r="BW257" s="518" t="str">
        <f>IF(AND(_A5="A-321N",'2025'!$J$4="FO",'2025'!$J$2=BW233),'2025DATA'!$D$26,"")</f>
        <v/>
      </c>
      <c r="BX257" s="518" t="str">
        <f>IF(AND(_A5="A-321N",'2025'!$J$4="FO",'2025'!$J$2=BX233),'2025DATA'!$E$26,"")</f>
        <v/>
      </c>
      <c r="BY257" s="518" t="str">
        <f>IF(AND(_A5="A-321N",'2025'!$J$4="FO",'2025'!$J$2=BY233),'2025DATA'!$F$26,"")</f>
        <v/>
      </c>
      <c r="BZ257" s="518" t="str">
        <f>IF(AND(_A5="A-321N",'2025'!$J$4="FO",'2025'!$J$2=BZ233),'2025DATA'!$G$26,"")</f>
        <v/>
      </c>
      <c r="CA257" s="518" t="str">
        <f>IF(AND(_A5="A-321N",'2025'!$J$4="FO",'2025'!$J$2=CA233),'2025DATA'!$H$26,"")</f>
        <v/>
      </c>
      <c r="CB257" s="518" t="str">
        <f>IF(AND(_A5="A-321N",'2025'!$J$4="FO",'2025'!$J$2=CB233),'2025DATA'!$I$26,"")</f>
        <v/>
      </c>
      <c r="CC257" s="518" t="str">
        <f>IF(AND(_A5="A-321N",'2025'!$J$4="FO",'2025'!$J$2=CC233),'2025DATA'!$J$26,"")</f>
        <v/>
      </c>
      <c r="CD257" s="518" t="str">
        <f>IF(AND(_A5="A-321N",'2025'!$J$4="FO",'2025'!$J$2=CD233),'2025DATA'!$K$26,"")</f>
        <v/>
      </c>
      <c r="CE257" s="518" t="str">
        <f>IF(AND(_A5="A-321N",'2025'!$J$4="FO",'2025'!$J$2=CE233),'2025DATA'!$L$26,"")</f>
        <v/>
      </c>
      <c r="CF257" s="518" t="str">
        <f>IF(AND(_A5="A-321N",'2025'!$J$4="FO",'2025'!$J$2=CF233),'2025DATA'!$M$26,"")</f>
        <v/>
      </c>
      <c r="CG257" s="520" t="str">
        <f>IF(AND(_A5="A-321N",'2025'!$J$4="FO",'2025'!$J$2=CG233),'2025DATA'!$N$26,"")</f>
        <v/>
      </c>
      <c r="CH257" s="940"/>
      <c r="CI257" s="13" t="s">
        <v>62</v>
      </c>
      <c r="CJ257" s="518" t="str">
        <f>IF(AND(_A6="A-321N",'2025'!$J$4="FO",'2025'!$J$2=CJ233),'2025DATA'!$C$26,"")</f>
        <v/>
      </c>
      <c r="CK257" s="518" t="str">
        <f>IF(AND(_A6="A-321N",'2025'!$J$4="FO",'2025'!$J$2=CK233),'2025DATA'!$D$26,"")</f>
        <v/>
      </c>
      <c r="CL257" s="518" t="str">
        <f>IF(AND(_A6="A-321N",'2025'!$J$4="FO",'2025'!$J$2=CL233),'2025DATA'!$E$26,"")</f>
        <v/>
      </c>
      <c r="CM257" s="518" t="str">
        <f>IF(AND(_A6="A-321N",'2025'!$J$4="FO",'2025'!$J$2=CM233),'2025DATA'!$F$26,"")</f>
        <v/>
      </c>
      <c r="CN257" s="518" t="str">
        <f>IF(AND(_A6="A-321N",'2025'!$J$4="FO",'2025'!$J$2=CN233),'2025DATA'!$G$26,"")</f>
        <v/>
      </c>
      <c r="CO257" s="518" t="str">
        <f>IF(AND(_A6="A-321N",'2025'!$J$4="FO",'2025'!$J$2=CO233),'2025DATA'!$H$26,"")</f>
        <v/>
      </c>
      <c r="CP257" s="518" t="str">
        <f>IF(AND(_A6="A-321N",'2025'!$J$4="FO",'2025'!$J$2=CP233),'2025DATA'!$I$26,"")</f>
        <v/>
      </c>
      <c r="CQ257" s="518" t="str">
        <f>IF(AND(_A6="A-321N",'2025'!$J$4="FO",'2025'!$J$2=CQ233),'2025DATA'!$J$26,"")</f>
        <v/>
      </c>
      <c r="CR257" s="518" t="str">
        <f>IF(AND(_A6="A-321N",'2025'!$J$4="FO",'2025'!$J$2=CR233),'2025DATA'!$K$26,"")</f>
        <v/>
      </c>
      <c r="CS257" s="518" t="str">
        <f>IF(AND(_A6="A-321N",'2025'!$J$4="FO",'2025'!$J$2=CS233),'2025DATA'!$L$26,"")</f>
        <v/>
      </c>
      <c r="CT257" s="518" t="str">
        <f>IF(AND(_A6="A-321N",'2025'!$J$4="FO",'2025'!$J$2=CT233),'2025DATA'!$M$26,"")</f>
        <v/>
      </c>
      <c r="CU257" s="520" t="str">
        <f>IF(AND(_A6="A-321N",'2025'!$J$4="FO",'2025'!$J$2=CU233),'2025DATA'!$N$26,"")</f>
        <v/>
      </c>
    </row>
    <row r="258" spans="16:99" x14ac:dyDescent="0.25">
      <c r="P258" s="940" t="s">
        <v>48</v>
      </c>
      <c r="Q258" s="13" t="s">
        <v>61</v>
      </c>
      <c r="R258" s="518" t="str">
        <f>IF(AND(_A1="A-321",'2025'!$J$4="CA",'2025'!$J$2=R233),'2025DATA'!$C$27,"")</f>
        <v/>
      </c>
      <c r="S258" s="518" t="str">
        <f>IF(AND(_A1="A-321",'2025'!$J$4="CA",'2025'!$J$2=S233),'2025DATA'!$D$27,"")</f>
        <v/>
      </c>
      <c r="T258" s="518" t="str">
        <f>IF(AND(_A1="A-321",'2025'!$J$4="CA",'2025'!$J$2=T233),'2025DATA'!$E$27,"")</f>
        <v/>
      </c>
      <c r="U258" s="518" t="str">
        <f>IF(AND(_A1="A-321",'2025'!$J$4="CA",'2025'!$J$2=U233),'2025DATA'!$F$27,"")</f>
        <v/>
      </c>
      <c r="V258" s="518" t="str">
        <f>IF(AND(_A1="A-321",'2025'!$J$4="CA",'2025'!$J$2=V233),'2025DATA'!$G$27,"")</f>
        <v/>
      </c>
      <c r="W258" s="518" t="str">
        <f>IF(AND(_A1="A-321",'2025'!$J$4="CA",'2025'!$J$2=W233),'2025DATA'!$H$27,"")</f>
        <v/>
      </c>
      <c r="X258" s="518" t="str">
        <f>IF(AND(_A1="A-321",'2025'!$J$4="CA",'2025'!$J$2=X233),'2025DATA'!$I$27,"")</f>
        <v/>
      </c>
      <c r="Y258" s="518" t="str">
        <f>IF(AND(_A1="A-321",'2025'!$J$4="CA",'2025'!$J$2=Y233),'2025DATA'!$J$27,"")</f>
        <v/>
      </c>
      <c r="Z258" s="518" t="str">
        <f>IF(AND(_A1="A-321",'2025'!$J$4="CA",'2025'!$J$2=Z233),'2025DATA'!$K$27,"")</f>
        <v/>
      </c>
      <c r="AA258" s="518" t="str">
        <f>IF(AND(_A1="A-321",'2025'!$J$4="CA",'2025'!$J$2=AA233),'2025DATA'!$L$27,"")</f>
        <v/>
      </c>
      <c r="AB258" s="518" t="str">
        <f>IF(AND(_A1="A-321",'2025'!$J$4="CA",'2025'!$J$2=AB233),'2025DATA'!$M$27,"")</f>
        <v/>
      </c>
      <c r="AC258" s="520" t="str">
        <f>IF(AND(_A1="A-321",'2025'!$J$4="CA",'2025'!$J$2=AC233),'2025DATA'!$N$27,"")</f>
        <v/>
      </c>
      <c r="AD258" s="940" t="s">
        <v>48</v>
      </c>
      <c r="AE258" s="13" t="s">
        <v>61</v>
      </c>
      <c r="AF258" s="518" t="str">
        <f>IF(AND(_A2="A-321",'2025'!$J$4="CA",'2025'!$J$2=AF233),'2025DATA'!$C$27,"")</f>
        <v/>
      </c>
      <c r="AG258" s="518" t="str">
        <f>IF(AND(_A2="A-321",'2025'!$J$4="CA",'2025'!$J$2=AG233),'2025DATA'!$D$27,"")</f>
        <v/>
      </c>
      <c r="AH258" s="518" t="str">
        <f>IF(AND(_A2="A-321",'2025'!$J$4="CA",'2025'!$J$2=AH233),'2025DATA'!$E$27,"")</f>
        <v/>
      </c>
      <c r="AI258" s="518" t="str">
        <f>IF(AND(_A2="A-321",'2025'!$J$4="CA",'2025'!$J$2=AI233),'2025DATA'!$F$27,"")</f>
        <v/>
      </c>
      <c r="AJ258" s="518" t="str">
        <f>IF(AND(_A2="A-321",'2025'!$J$4="CA",'2025'!$J$2=AJ233),'2025DATA'!$G$27,"")</f>
        <v/>
      </c>
      <c r="AK258" s="518" t="str">
        <f>IF(AND(_A2="A-321",'2025'!$J$4="CA",'2025'!$J$2=AK233),'2025DATA'!$H$27,"")</f>
        <v/>
      </c>
      <c r="AL258" s="518" t="str">
        <f>IF(AND(_A2="A-321",'2025'!$J$4="CA",'2025'!$J$2=AL233),'2025DATA'!$I$27,"")</f>
        <v/>
      </c>
      <c r="AM258" s="518" t="str">
        <f>IF(AND(_A2="A-321",'2025'!$J$4="CA",'2025'!$J$2=AM233),'2025DATA'!$J$27,"")</f>
        <v/>
      </c>
      <c r="AN258" s="518" t="str">
        <f>IF(AND(_A2="A-321",'2025'!$J$4="CA",'2025'!$J$2=AN233),'2025DATA'!$K$27,"")</f>
        <v/>
      </c>
      <c r="AO258" s="518" t="str">
        <f>IF(AND(_A2="A-321",'2025'!$J$4="CA",'2025'!$J$2=AO233),'2025DATA'!$L$27,"")</f>
        <v/>
      </c>
      <c r="AP258" s="518" t="str">
        <f>IF(AND(_A2="A-321",'2025'!$J$4="CA",'2025'!$J$2=AP233),'2025DATA'!$M$27,"")</f>
        <v/>
      </c>
      <c r="AQ258" s="520" t="str">
        <f>IF(AND(_A2="A-321",'2025'!$J$4="CA",'2025'!$J$2=AQ233),'2025DATA'!$N$27,"")</f>
        <v/>
      </c>
      <c r="AR258" s="940" t="s">
        <v>48</v>
      </c>
      <c r="AS258" s="13" t="s">
        <v>61</v>
      </c>
      <c r="AT258" s="518" t="str">
        <f>IF(AND(_A3="A-321",'2025'!$J$4="CA",'2025'!$J$2=AT233),'2025DATA'!$C$27,"")</f>
        <v/>
      </c>
      <c r="AU258" s="518" t="str">
        <f>IF(AND(_A3="A-321",'2025'!$J$4="CA",'2025'!$J$2=AU233),'2025DATA'!$D$27,"")</f>
        <v/>
      </c>
      <c r="AV258" s="518" t="str">
        <f>IF(AND(_A3="A-321",'2025'!$J$4="CA",'2025'!$J$2=AV233),'2025DATA'!$E$27,"")</f>
        <v/>
      </c>
      <c r="AW258" s="518" t="str">
        <f>IF(AND(_A3="A-321",'2025'!$J$4="CA",'2025'!$J$2=AW233),'2025DATA'!$F$27,"")</f>
        <v/>
      </c>
      <c r="AX258" s="518" t="str">
        <f>IF(AND(_A3="A-321",'2025'!$J$4="CA",'2025'!$J$2=AX233),'2025DATA'!$G$27,"")</f>
        <v/>
      </c>
      <c r="AY258" s="518" t="str">
        <f>IF(AND(_A3="A-321",'2025'!$J$4="CA",'2025'!$J$2=AY233),'2025DATA'!$H$27,"")</f>
        <v/>
      </c>
      <c r="AZ258" s="518" t="str">
        <f>IF(AND(_A3="A-321",'2025'!$J$4="CA",'2025'!$J$2=AZ233),'2025DATA'!$I$27,"")</f>
        <v/>
      </c>
      <c r="BA258" s="518" t="str">
        <f>IF(AND(_A3="A-321",'2025'!$J$4="CA",'2025'!$J$2=BA233),'2025DATA'!$J$27,"")</f>
        <v/>
      </c>
      <c r="BB258" s="518" t="str">
        <f>IF(AND(_A3="A-321",'2025'!$J$4="CA",'2025'!$J$2=BB233),'2025DATA'!$K$27,"")</f>
        <v/>
      </c>
      <c r="BC258" s="518" t="str">
        <f>IF(AND(_A3="A-321",'2025'!$J$4="CA",'2025'!$J$2=BC233),'2025DATA'!$L$27,"")</f>
        <v/>
      </c>
      <c r="BD258" s="518" t="str">
        <f>IF(AND(_A3="A-321",'2025'!$J$4="CA",'2025'!$J$2=BD233),'2025DATA'!$M$27,"")</f>
        <v/>
      </c>
      <c r="BE258" s="520" t="str">
        <f>IF(AND(_A3="A-321",'2025'!$J$4="CA",'2025'!$J$2=BE233),'2025DATA'!$N$27,"")</f>
        <v/>
      </c>
      <c r="BF258" s="940" t="s">
        <v>48</v>
      </c>
      <c r="BG258" s="13" t="s">
        <v>61</v>
      </c>
      <c r="BH258" s="518" t="str">
        <f>IF(AND(_A4="A-321",'2025'!$J$4="CA",'2025'!$J$2=BH233),'2025DATA'!$C$27,"")</f>
        <v/>
      </c>
      <c r="BI258" s="518" t="str">
        <f>IF(AND(_A4="A-321",'2025'!$J$4="CA",'2025'!$J$2=BI233),'2025DATA'!$D$27,"")</f>
        <v/>
      </c>
      <c r="BJ258" s="518" t="str">
        <f>IF(AND(_A4="A-321",'2025'!$J$4="CA",'2025'!$J$2=BJ233),'2025DATA'!$E$27,"")</f>
        <v/>
      </c>
      <c r="BK258" s="518" t="str">
        <f>IF(AND(_A4="A-321",'2025'!$J$4="CA",'2025'!$J$2=BK233),'2025DATA'!$F$27,"")</f>
        <v/>
      </c>
      <c r="BL258" s="518" t="str">
        <f>IF(AND(_A4="A-321",'2025'!$J$4="CA",'2025'!$J$2=BL233),'2025DATA'!$G$27,"")</f>
        <v/>
      </c>
      <c r="BM258" s="518" t="str">
        <f>IF(AND(_A4="A-321",'2025'!$J$4="CA",'2025'!$J$2=BM233),'2025DATA'!$H$27,"")</f>
        <v/>
      </c>
      <c r="BN258" s="518" t="str">
        <f>IF(AND(_A4="A-321",'2025'!$J$4="CA",'2025'!$J$2=BN233),'2025DATA'!$I$27,"")</f>
        <v/>
      </c>
      <c r="BO258" s="518" t="str">
        <f>IF(AND(_A4="A-321",'2025'!$J$4="CA",'2025'!$J$2=BO233),'2025DATA'!$J$27,"")</f>
        <v/>
      </c>
      <c r="BP258" s="518" t="str">
        <f>IF(AND(_A4="A-321",'2025'!$J$4="CA",'2025'!$J$2=BP233),'2025DATA'!$K$27,"")</f>
        <v/>
      </c>
      <c r="BQ258" s="518" t="str">
        <f>IF(AND(_A4="A-321",'2025'!$J$4="CA",'2025'!$J$2=BQ233),'2025DATA'!$L$27,"")</f>
        <v/>
      </c>
      <c r="BR258" s="518" t="str">
        <f>IF(AND(_A4="A-321",'2025'!$J$4="CA",'2025'!$J$2=BR233),'2025DATA'!$M$27,"")</f>
        <v/>
      </c>
      <c r="BS258" s="520" t="str">
        <f>IF(AND(_A4="A-321",'2025'!$J$4="CA",'2025'!$J$2=BS233),'2025DATA'!$N$27,"")</f>
        <v/>
      </c>
      <c r="BT258" s="940" t="s">
        <v>48</v>
      </c>
      <c r="BU258" s="13" t="s">
        <v>61</v>
      </c>
      <c r="BV258" s="518" t="str">
        <f>IF(AND(_A5="A-321",'2025'!$J$4="CA",'2025'!$J$2=BV233),'2025DATA'!$C$27,"")</f>
        <v/>
      </c>
      <c r="BW258" s="518" t="str">
        <f>IF(AND(_A5="A-321",'2025'!$J$4="CA",'2025'!$J$2=BW233),'2025DATA'!$D$27,"")</f>
        <v/>
      </c>
      <c r="BX258" s="518" t="str">
        <f>IF(AND(_A5="A-321",'2025'!$J$4="CA",'2025'!$J$2=BX233),'2025DATA'!$E$27,"")</f>
        <v/>
      </c>
      <c r="BY258" s="518" t="str">
        <f>IF(AND(_A5="A-321",'2025'!$J$4="CA",'2025'!$J$2=BY233),'2025DATA'!$F$27,"")</f>
        <v/>
      </c>
      <c r="BZ258" s="518" t="str">
        <f>IF(AND(_A5="A-321",'2025'!$J$4="CA",'2025'!$J$2=BZ233),'2025DATA'!$G$27,"")</f>
        <v/>
      </c>
      <c r="CA258" s="518" t="str">
        <f>IF(AND(_A5="A-321",'2025'!$J$4="CA",'2025'!$J$2=CA233),'2025DATA'!$H$27,"")</f>
        <v/>
      </c>
      <c r="CB258" s="518" t="str">
        <f>IF(AND(_A5="A-321",'2025'!$J$4="CA",'2025'!$J$2=CB233),'2025DATA'!$I$27,"")</f>
        <v/>
      </c>
      <c r="CC258" s="518" t="str">
        <f>IF(AND(_A5="A-321",'2025'!$J$4="CA",'2025'!$J$2=CC233),'2025DATA'!$J$27,"")</f>
        <v/>
      </c>
      <c r="CD258" s="518" t="str">
        <f>IF(AND(_A5="A-321",'2025'!$J$4="CA",'2025'!$J$2=CD233),'2025DATA'!$K$27,"")</f>
        <v/>
      </c>
      <c r="CE258" s="518" t="str">
        <f>IF(AND(_A5="A-321",'2025'!$J$4="CA",'2025'!$J$2=CE233),'2025DATA'!$L$27,"")</f>
        <v/>
      </c>
      <c r="CF258" s="518" t="str">
        <f>IF(AND(_A5="A-321",'2025'!$J$4="CA",'2025'!$J$2=CF233),'2025DATA'!$M$27,"")</f>
        <v/>
      </c>
      <c r="CG258" s="520" t="str">
        <f>IF(AND(_A5="A-321",'2025'!$J$4="CA",'2025'!$J$2=CG233),'2025DATA'!$N$27,"")</f>
        <v/>
      </c>
      <c r="CH258" s="940" t="s">
        <v>48</v>
      </c>
      <c r="CI258" s="13" t="s">
        <v>61</v>
      </c>
      <c r="CJ258" s="518" t="str">
        <f>IF(AND(_A6="A-321",'2025'!$J$4="CA",'2025'!$J$2=CJ233),'2025DATA'!$C$27,"")</f>
        <v/>
      </c>
      <c r="CK258" s="518" t="str">
        <f>IF(AND(_A6="A-321",'2025'!$J$4="CA",'2025'!$J$2=CK233),'2025DATA'!$D$27,"")</f>
        <v/>
      </c>
      <c r="CL258" s="518" t="str">
        <f>IF(AND(_A6="A-321",'2025'!$J$4="CA",'2025'!$J$2=CL233),'2025DATA'!$E$27,"")</f>
        <v/>
      </c>
      <c r="CM258" s="518" t="str">
        <f>IF(AND(_A6="A-321",'2025'!$J$4="CA",'2025'!$J$2=CM233),'2025DATA'!$F$27,"")</f>
        <v/>
      </c>
      <c r="CN258" s="518" t="str">
        <f>IF(AND(_A6="A-321",'2025'!$J$4="CA",'2025'!$J$2=CN233),'2025DATA'!$G$27,"")</f>
        <v/>
      </c>
      <c r="CO258" s="518" t="str">
        <f>IF(AND(_A6="A-321",'2025'!$J$4="CA",'2025'!$J$2=CO233),'2025DATA'!$H$27,"")</f>
        <v/>
      </c>
      <c r="CP258" s="518" t="str">
        <f>IF(AND(_A6="A-321",'2025'!$J$4="CA",'2025'!$J$2=CP233),'2025DATA'!$I$27,"")</f>
        <v/>
      </c>
      <c r="CQ258" s="518" t="str">
        <f>IF(AND(_A6="A-321",'2025'!$J$4="CA",'2025'!$J$2=CQ233),'2025DATA'!$J$27,"")</f>
        <v/>
      </c>
      <c r="CR258" s="518" t="str">
        <f>IF(AND(_A6="A-321",'2025'!$J$4="CA",'2025'!$J$2=CR233),'2025DATA'!$K$27,"")</f>
        <v/>
      </c>
      <c r="CS258" s="518" t="str">
        <f>IF(AND(_A6="A-321",'2025'!$J$4="CA",'2025'!$J$2=CS233),'2025DATA'!$L$27,"")</f>
        <v/>
      </c>
      <c r="CT258" s="518" t="str">
        <f>IF(AND(_A6="A-321",'2025'!$J$4="CA",'2025'!$J$2=CT233),'2025DATA'!$M$27,"")</f>
        <v/>
      </c>
      <c r="CU258" s="520" t="str">
        <f>IF(AND(_A6="A-321",'2025'!$J$4="CA",'2025'!$J$2=CU233),'2025DATA'!$N$27,"")</f>
        <v/>
      </c>
    </row>
    <row r="259" spans="16:99" x14ac:dyDescent="0.25">
      <c r="P259" s="940"/>
      <c r="Q259" s="13" t="s">
        <v>62</v>
      </c>
      <c r="R259" s="518" t="str">
        <f>IF(AND(_A1="A-321",'2025'!$J$4="FO",'2025'!$J$2=R233),'2025DATA'!$C$28,"")</f>
        <v/>
      </c>
      <c r="S259" s="518" t="str">
        <f>IF(AND(_A1="A-321",'2025'!$J$4="FO",'2025'!$J$2=S233),'2025DATA'!$D$28,"")</f>
        <v/>
      </c>
      <c r="T259" s="518" t="str">
        <f>IF(AND(_A1="A-321",'2025'!$J$4="FO",'2025'!$J$2=T233),'2025DATA'!$E$28,"")</f>
        <v/>
      </c>
      <c r="U259" s="518" t="str">
        <f>IF(AND(_A1="A-321",'2025'!$J$4="FO",'2025'!$J$2=U233),'2025DATA'!$F$28,"")</f>
        <v/>
      </c>
      <c r="V259" s="518" t="str">
        <f>IF(AND(_A1="A-321",'2025'!$J$4="FO",'2025'!$J$2=V233),'2025DATA'!$G$28,"")</f>
        <v/>
      </c>
      <c r="W259" s="518" t="str">
        <f>IF(AND(_A1="A-321",'2025'!$J$4="FO",'2025'!$J$2=W233),'2025DATA'!$H$28,"")</f>
        <v/>
      </c>
      <c r="X259" s="518" t="str">
        <f>IF(AND(_A1="A-321",'2025'!$J$4="FO",'2025'!$J$2=X233),'2025DATA'!$I$28,"")</f>
        <v/>
      </c>
      <c r="Y259" s="518" t="str">
        <f>IF(AND(_A1="A-321",'2025'!$J$4="FO",'2025'!$J$2=Y233),'2025DATA'!$J$28,"")</f>
        <v/>
      </c>
      <c r="Z259" s="518" t="str">
        <f>IF(AND(_A1="A-321",'2025'!$J$4="FO",'2025'!$J$2=Z233),'2025DATA'!$K$28,"")</f>
        <v/>
      </c>
      <c r="AA259" s="518" t="str">
        <f>IF(AND(_A1="A-321",'2025'!$J$4="FO",'2025'!$J$2=AA233),'2025DATA'!$L$28,"")</f>
        <v/>
      </c>
      <c r="AB259" s="518" t="str">
        <f>IF(AND(_A1="A-321",'2025'!$J$4="FO",'2025'!$J$2=AB233),'2025DATA'!$M$28,"")</f>
        <v/>
      </c>
      <c r="AC259" s="520" t="str">
        <f>IF(AND(_A1="A-321",'2025'!$J$4="FO",'2025'!$J$2=AC233),'2025DATA'!$N$28,"")</f>
        <v/>
      </c>
      <c r="AD259" s="940"/>
      <c r="AE259" s="13" t="s">
        <v>62</v>
      </c>
      <c r="AF259" s="518" t="str">
        <f>IF(AND(_A2="A-321",'2025'!$J$4="FO",'2025'!$J$2=AF233),'2025DATA'!$C$28,"")</f>
        <v/>
      </c>
      <c r="AG259" s="518" t="str">
        <f>IF(AND(_A2="A-321",'2025'!$J$4="FO",'2025'!$J$2=AG233),'2025DATA'!$D$28,"")</f>
        <v/>
      </c>
      <c r="AH259" s="518" t="str">
        <f>IF(AND(_A2="A-321",'2025'!$J$4="FO",'2025'!$J$2=AH233),'2025DATA'!$E$28,"")</f>
        <v/>
      </c>
      <c r="AI259" s="518" t="str">
        <f>IF(AND(_A2="A-321",'2025'!$J$4="FO",'2025'!$J$2=AI233),'2025DATA'!$F$28,"")</f>
        <v/>
      </c>
      <c r="AJ259" s="518" t="str">
        <f>IF(AND(_A2="A-321",'2025'!$J$4="FO",'2025'!$J$2=AJ233),'2025DATA'!$G$28,"")</f>
        <v/>
      </c>
      <c r="AK259" s="518" t="str">
        <f>IF(AND(_A2="A-321",'2025'!$J$4="FO",'2025'!$J$2=AK233),'2025DATA'!$H$28,"")</f>
        <v/>
      </c>
      <c r="AL259" s="518" t="str">
        <f>IF(AND(_A2="A-321",'2025'!$J$4="FO",'2025'!$J$2=AL233),'2025DATA'!$I$28,"")</f>
        <v/>
      </c>
      <c r="AM259" s="518" t="str">
        <f>IF(AND(_A2="A-321",'2025'!$J$4="FO",'2025'!$J$2=AM233),'2025DATA'!$J$28,"")</f>
        <v/>
      </c>
      <c r="AN259" s="518" t="str">
        <f>IF(AND(_A2="A-321",'2025'!$J$4="FO",'2025'!$J$2=AN233),'2025DATA'!$K$28,"")</f>
        <v/>
      </c>
      <c r="AO259" s="518" t="str">
        <f>IF(AND(_A2="A-321",'2025'!$J$4="FO",'2025'!$J$2=AO233),'2025DATA'!$L$28,"")</f>
        <v/>
      </c>
      <c r="AP259" s="518" t="str">
        <f>IF(AND(_A2="A-321",'2025'!$J$4="FO",'2025'!$J$2=AP233),'2025DATA'!$M$28,"")</f>
        <v/>
      </c>
      <c r="AQ259" s="520" t="str">
        <f>IF(AND(_A2="A-321",'2025'!$J$4="FO",'2025'!$J$2=AQ233),'2025DATA'!$N$28,"")</f>
        <v/>
      </c>
      <c r="AR259" s="940"/>
      <c r="AS259" s="13" t="s">
        <v>62</v>
      </c>
      <c r="AT259" s="518" t="str">
        <f>IF(AND(_A3="A-321",'2025'!$J$4="FO",'2025'!$J$2=AT233),'2025DATA'!$C$28,"")</f>
        <v/>
      </c>
      <c r="AU259" s="518" t="str">
        <f>IF(AND(_A3="A-321",'2025'!$J$4="FO",'2025'!$J$2=AU233),'2025DATA'!$D$28,"")</f>
        <v/>
      </c>
      <c r="AV259" s="518" t="str">
        <f>IF(AND(_A3="A-321",'2025'!$J$4="FO",'2025'!$J$2=AV233),'2025DATA'!$E$28,"")</f>
        <v/>
      </c>
      <c r="AW259" s="518" t="str">
        <f>IF(AND(_A3="A-321",'2025'!$J$4="FO",'2025'!$J$2=AW233),'2025DATA'!$F$28,"")</f>
        <v/>
      </c>
      <c r="AX259" s="518" t="str">
        <f>IF(AND(_A3="A-321",'2025'!$J$4="FO",'2025'!$J$2=AX233),'2025DATA'!$G$28,"")</f>
        <v/>
      </c>
      <c r="AY259" s="518" t="str">
        <f>IF(AND(_A3="A-321",'2025'!$J$4="FO",'2025'!$J$2=AY233),'2025DATA'!$H$28,"")</f>
        <v/>
      </c>
      <c r="AZ259" s="518" t="str">
        <f>IF(AND(_A3="A-321",'2025'!$J$4="FO",'2025'!$J$2=AZ233),'2025DATA'!$I$28,"")</f>
        <v/>
      </c>
      <c r="BA259" s="518" t="str">
        <f>IF(AND(_A3="A-321",'2025'!$J$4="FO",'2025'!$J$2=BA233),'2025DATA'!$J$28,"")</f>
        <v/>
      </c>
      <c r="BB259" s="518" t="str">
        <f>IF(AND(_A3="A-321",'2025'!$J$4="FO",'2025'!$J$2=BB233),'2025DATA'!$K$28,"")</f>
        <v/>
      </c>
      <c r="BC259" s="518" t="str">
        <f>IF(AND(_A3="A-321",'2025'!$J$4="FO",'2025'!$J$2=BC233),'2025DATA'!$L$28,"")</f>
        <v/>
      </c>
      <c r="BD259" s="518" t="str">
        <f>IF(AND(_A3="A-321",'2025'!$J$4="FO",'2025'!$J$2=BD233),'2025DATA'!$M$28,"")</f>
        <v/>
      </c>
      <c r="BE259" s="520" t="str">
        <f>IF(AND(_A3="A-321",'2025'!$J$4="FO",'2025'!$J$2=BE233),'2025DATA'!$N$28,"")</f>
        <v/>
      </c>
      <c r="BF259" s="940"/>
      <c r="BG259" s="13" t="s">
        <v>62</v>
      </c>
      <c r="BH259" s="518" t="str">
        <f>IF(AND(_A4="A-321",'2025'!$J$4="FO",'2025'!$J$2=BH233),'2025DATA'!$C$28,"")</f>
        <v/>
      </c>
      <c r="BI259" s="518" t="str">
        <f>IF(AND(_A4="A-321",'2025'!$J$4="FO",'2025'!$J$2=BI233),'2025DATA'!$D$28,"")</f>
        <v/>
      </c>
      <c r="BJ259" s="518" t="str">
        <f>IF(AND(_A4="A-321",'2025'!$J$4="FO",'2025'!$J$2=BJ233),'2025DATA'!$E$28,"")</f>
        <v/>
      </c>
      <c r="BK259" s="518" t="str">
        <f>IF(AND(_A4="A-321",'2025'!$J$4="FO",'2025'!$J$2=BK233),'2025DATA'!$F$28,"")</f>
        <v/>
      </c>
      <c r="BL259" s="518" t="str">
        <f>IF(AND(_A4="A-321",'2025'!$J$4="FO",'2025'!$J$2=BL233),'2025DATA'!$G$28,"")</f>
        <v/>
      </c>
      <c r="BM259" s="518" t="str">
        <f>IF(AND(_A4="A-321",'2025'!$J$4="FO",'2025'!$J$2=BM233),'2025DATA'!$H$28,"")</f>
        <v/>
      </c>
      <c r="BN259" s="518" t="str">
        <f>IF(AND(_A4="A-321",'2025'!$J$4="FO",'2025'!$J$2=BN233),'2025DATA'!$I$28,"")</f>
        <v/>
      </c>
      <c r="BO259" s="518" t="str">
        <f>IF(AND(_A4="A-321",'2025'!$J$4="FO",'2025'!$J$2=BO233),'2025DATA'!$J$28,"")</f>
        <v/>
      </c>
      <c r="BP259" s="518" t="str">
        <f>IF(AND(_A4="A-321",'2025'!$J$4="FO",'2025'!$J$2=BP233),'2025DATA'!$K$28,"")</f>
        <v/>
      </c>
      <c r="BQ259" s="518" t="str">
        <f>IF(AND(_A4="A-321",'2025'!$J$4="FO",'2025'!$J$2=BQ233),'2025DATA'!$L$28,"")</f>
        <v/>
      </c>
      <c r="BR259" s="518" t="str">
        <f>IF(AND(_A4="A-321",'2025'!$J$4="FO",'2025'!$J$2=BR233),'2025DATA'!$M$28,"")</f>
        <v/>
      </c>
      <c r="BS259" s="520" t="str">
        <f>IF(AND(_A4="A-321",'2025'!$J$4="FO",'2025'!$J$2=BS233),'2025DATA'!$N$28,"")</f>
        <v/>
      </c>
      <c r="BT259" s="940"/>
      <c r="BU259" s="13" t="s">
        <v>62</v>
      </c>
      <c r="BV259" s="518" t="str">
        <f>IF(AND(_A5="A-321",'2025'!$J$4="FO",'2025'!$J$2=BV233),'2025DATA'!$C$28,"")</f>
        <v/>
      </c>
      <c r="BW259" s="518" t="str">
        <f>IF(AND(_A5="A-321",'2025'!$J$4="FO",'2025'!$J$2=BW233),'2025DATA'!$D$28,"")</f>
        <v/>
      </c>
      <c r="BX259" s="518" t="str">
        <f>IF(AND(_A5="A-321",'2025'!$J$4="FO",'2025'!$J$2=BX233),'2025DATA'!$E$28,"")</f>
        <v/>
      </c>
      <c r="BY259" s="518" t="str">
        <f>IF(AND(_A5="A-321",'2025'!$J$4="FO",'2025'!$J$2=BY233),'2025DATA'!$F$28,"")</f>
        <v/>
      </c>
      <c r="BZ259" s="518" t="str">
        <f>IF(AND(_A5="A-321",'2025'!$J$4="FO",'2025'!$J$2=BZ233),'2025DATA'!$G$28,"")</f>
        <v/>
      </c>
      <c r="CA259" s="518" t="str">
        <f>IF(AND(_A5="A-321",'2025'!$J$4="FO",'2025'!$J$2=CA233),'2025DATA'!$H$28,"")</f>
        <v/>
      </c>
      <c r="CB259" s="518" t="str">
        <f>IF(AND(_A5="A-321",'2025'!$J$4="FO",'2025'!$J$2=CB233),'2025DATA'!$I$28,"")</f>
        <v/>
      </c>
      <c r="CC259" s="518" t="str">
        <f>IF(AND(_A5="A-321",'2025'!$J$4="FO",'2025'!$J$2=CC233),'2025DATA'!$J$28,"")</f>
        <v/>
      </c>
      <c r="CD259" s="518" t="str">
        <f>IF(AND(_A5="A-321",'2025'!$J$4="FO",'2025'!$J$2=CD233),'2025DATA'!$K$28,"")</f>
        <v/>
      </c>
      <c r="CE259" s="518" t="str">
        <f>IF(AND(_A5="A-321",'2025'!$J$4="FO",'2025'!$J$2=CE233),'2025DATA'!$L$28,"")</f>
        <v/>
      </c>
      <c r="CF259" s="518" t="str">
        <f>IF(AND(_A5="A-321",'2025'!$J$4="FO",'2025'!$J$2=CF233),'2025DATA'!$M$28,"")</f>
        <v/>
      </c>
      <c r="CG259" s="520" t="str">
        <f>IF(AND(_A5="A-321",'2025'!$J$4="FO",'2025'!$J$2=CG233),'2025DATA'!$N$28,"")</f>
        <v/>
      </c>
      <c r="CH259" s="940"/>
      <c r="CI259" s="13" t="s">
        <v>62</v>
      </c>
      <c r="CJ259" s="518" t="str">
        <f>IF(AND(_A6="A-321",'2025'!$J$4="FO",'2025'!$J$2=CJ233),'2025DATA'!$C$28,"")</f>
        <v/>
      </c>
      <c r="CK259" s="518" t="str">
        <f>IF(AND(_A6="A-321",'2025'!$J$4="FO",'2025'!$J$2=CK233),'2025DATA'!$D$28,"")</f>
        <v/>
      </c>
      <c r="CL259" s="518" t="str">
        <f>IF(AND(_A6="A-321",'2025'!$J$4="FO",'2025'!$J$2=CL233),'2025DATA'!$E$28,"")</f>
        <v/>
      </c>
      <c r="CM259" s="518" t="str">
        <f>IF(AND(_A6="A-321",'2025'!$J$4="FO",'2025'!$J$2=CM233),'2025DATA'!$F$28,"")</f>
        <v/>
      </c>
      <c r="CN259" s="518" t="str">
        <f>IF(AND(_A6="A-321",'2025'!$J$4="FO",'2025'!$J$2=CN233),'2025DATA'!$G$28,"")</f>
        <v/>
      </c>
      <c r="CO259" s="518" t="str">
        <f>IF(AND(_A6="A-321",'2025'!$J$4="FO",'2025'!$J$2=CO233),'2025DATA'!$H$28,"")</f>
        <v/>
      </c>
      <c r="CP259" s="518" t="str">
        <f>IF(AND(_A6="A-321",'2025'!$J$4="FO",'2025'!$J$2=CP233),'2025DATA'!$I$28,"")</f>
        <v/>
      </c>
      <c r="CQ259" s="518" t="str">
        <f>IF(AND(_A6="A-321",'2025'!$J$4="FO",'2025'!$J$2=CQ233),'2025DATA'!$J$28,"")</f>
        <v/>
      </c>
      <c r="CR259" s="518" t="str">
        <f>IF(AND(_A6="A-321",'2025'!$J$4="FO",'2025'!$J$2=CR233),'2025DATA'!$K$28,"")</f>
        <v/>
      </c>
      <c r="CS259" s="518" t="str">
        <f>IF(AND(_A6="A-321",'2025'!$J$4="FO",'2025'!$J$2=CS233),'2025DATA'!$L$28,"")</f>
        <v/>
      </c>
      <c r="CT259" s="518" t="str">
        <f>IF(AND(_A6="A-321",'2025'!$J$4="FO",'2025'!$J$2=CT233),'2025DATA'!$M$28,"")</f>
        <v/>
      </c>
      <c r="CU259" s="520" t="str">
        <f>IF(AND(_A6="A-321",'2025'!$J$4="FO",'2025'!$J$2=CU233),'2025DATA'!$N$28,"")</f>
        <v/>
      </c>
    </row>
    <row r="260" spans="16:99" x14ac:dyDescent="0.25">
      <c r="P260" s="940" t="s">
        <v>70</v>
      </c>
      <c r="Q260" s="13" t="s">
        <v>61</v>
      </c>
      <c r="R260" s="518" t="str">
        <f>IF(AND(_A1="A-320",'2025'!$J$4="CA",'2025'!$J$2=R233),'2025DATA'!$C$29,"")</f>
        <v/>
      </c>
      <c r="S260" s="518" t="str">
        <f>IF(AND(_A1="A-320",'2025'!$J$4="CA",'2025'!$J$2=S233),'2025DATA'!$D$29,"")</f>
        <v/>
      </c>
      <c r="T260" s="518" t="str">
        <f>IF(AND(_A1="A-320",'2025'!$J$4="CA",'2025'!$J$2=T233),'2025DATA'!$E$29,"")</f>
        <v/>
      </c>
      <c r="U260" s="518" t="str">
        <f>IF(AND(_A1="A-320",'2025'!$J$4="CA",'2025'!$J$2=U233),'2025DATA'!$F$29,"")</f>
        <v/>
      </c>
      <c r="V260" s="518" t="str">
        <f>IF(AND(_A1="A-320",'2025'!$J$4="CA",'2025'!$J$2=V233),'2025DATA'!$G$29,"")</f>
        <v/>
      </c>
      <c r="W260" s="518" t="str">
        <f>IF(AND(_A1="A-320",'2025'!$J$4="CA",'2025'!$J$2=W233),'2025DATA'!$H$29,"")</f>
        <v/>
      </c>
      <c r="X260" s="518" t="str">
        <f>IF(AND(_A1="A-320",'2025'!$J$4="CA",'2025'!$J$2=X233),'2025DATA'!$I$29,"")</f>
        <v/>
      </c>
      <c r="Y260" s="518" t="str">
        <f>IF(AND(_A1="A-320",'2025'!$J$4="CA",'2025'!$J$2=Y233),'2025DATA'!$J$29,"")</f>
        <v/>
      </c>
      <c r="Z260" s="518" t="str">
        <f>IF(AND(_A1="A-320",'2025'!$J$4="CA",'2025'!$J$2=Z233),'2025DATA'!$K$29,"")</f>
        <v/>
      </c>
      <c r="AA260" s="518" t="str">
        <f>IF(AND(_A1="A-320",'2025'!$J$4="CA",'2025'!$J$2=AA233),'2025DATA'!$L$29,"")</f>
        <v/>
      </c>
      <c r="AB260" s="518" t="str">
        <f>IF(AND(_A1="A-320",'2025'!$J$4="CA",'2025'!$J$2=AB233),'2025DATA'!$M$29,"")</f>
        <v/>
      </c>
      <c r="AC260" s="520" t="str">
        <f>IF(AND(_A1="A-320",'2025'!$J$4="CA",'2025'!$J$2=AC233),'2025DATA'!$N$29,"")</f>
        <v/>
      </c>
      <c r="AD260" s="940" t="s">
        <v>70</v>
      </c>
      <c r="AE260" s="13" t="s">
        <v>61</v>
      </c>
      <c r="AF260" s="518" t="str">
        <f>IF(AND(_A2="A-320",'2025'!$J$4="CA",'2025'!$J$2=AF233),'2025DATA'!$C$29,"")</f>
        <v/>
      </c>
      <c r="AG260" s="518" t="str">
        <f>IF(AND(_A2="A-320",'2025'!$J$4="CA",'2025'!$J$2=AG233),'2025DATA'!$D$29,"")</f>
        <v/>
      </c>
      <c r="AH260" s="518" t="str">
        <f>IF(AND(_A2="A-320",'2025'!$J$4="CA",'2025'!$J$2=AH233),'2025DATA'!$E$29,"")</f>
        <v/>
      </c>
      <c r="AI260" s="518" t="str">
        <f>IF(AND(_A2="A-320",'2025'!$J$4="CA",'2025'!$J$2=AI233),'2025DATA'!$F$29,"")</f>
        <v/>
      </c>
      <c r="AJ260" s="518" t="str">
        <f>IF(AND(_A2="A-320",'2025'!$J$4="CA",'2025'!$J$2=AJ233),'2025DATA'!$G$29,"")</f>
        <v/>
      </c>
      <c r="AK260" s="518" t="str">
        <f>IF(AND(_A2="A-320",'2025'!$J$4="CA",'2025'!$J$2=AK233),'2025DATA'!$H$29,"")</f>
        <v/>
      </c>
      <c r="AL260" s="518" t="str">
        <f>IF(AND(_A2="A-320",'2025'!$J$4="CA",'2025'!$J$2=AL233),'2025DATA'!$I$29,"")</f>
        <v/>
      </c>
      <c r="AM260" s="518" t="str">
        <f>IF(AND(_A2="A-320",'2025'!$J$4="CA",'2025'!$J$2=AM233),'2025DATA'!$J$29,"")</f>
        <v/>
      </c>
      <c r="AN260" s="518" t="str">
        <f>IF(AND(_A2="A-320",'2025'!$J$4="CA",'2025'!$J$2=AN233),'2025DATA'!$K$29,"")</f>
        <v/>
      </c>
      <c r="AO260" s="518" t="str">
        <f>IF(AND(_A2="A-320",'2025'!$J$4="CA",'2025'!$J$2=AO233),'2025DATA'!$L$29,"")</f>
        <v/>
      </c>
      <c r="AP260" s="518" t="str">
        <f>IF(AND(_A2="A-320",'2025'!$J$4="CA",'2025'!$J$2=AP233),'2025DATA'!$M$29,"")</f>
        <v/>
      </c>
      <c r="AQ260" s="520" t="str">
        <f>IF(AND(_A2="A-320",'2025'!$J$4="CA",'2025'!$J$2=AQ233),'2025DATA'!$N$29,"")</f>
        <v/>
      </c>
      <c r="AR260" s="940" t="s">
        <v>70</v>
      </c>
      <c r="AS260" s="13" t="s">
        <v>61</v>
      </c>
      <c r="AT260" s="518" t="str">
        <f>IF(AND(_A3="A-320",'2025'!$J$4="CA",'2025'!$J$2=AT233),'2025DATA'!$C$29,"")</f>
        <v/>
      </c>
      <c r="AU260" s="518" t="str">
        <f>IF(AND(_A3="A-320",'2025'!$J$4="CA",'2025'!$J$2=AU233),'2025DATA'!$D$29,"")</f>
        <v/>
      </c>
      <c r="AV260" s="518" t="str">
        <f>IF(AND(_A3="A-320",'2025'!$J$4="CA",'2025'!$J$2=AV233),'2025DATA'!$E$29,"")</f>
        <v/>
      </c>
      <c r="AW260" s="518" t="str">
        <f>IF(AND(_A3="A-320",'2025'!$J$4="CA",'2025'!$J$2=AW233),'2025DATA'!$F$29,"")</f>
        <v/>
      </c>
      <c r="AX260" s="518" t="str">
        <f>IF(AND(_A3="A-320",'2025'!$J$4="CA",'2025'!$J$2=AX233),'2025DATA'!$G$29,"")</f>
        <v/>
      </c>
      <c r="AY260" s="518" t="str">
        <f>IF(AND(_A3="A-320",'2025'!$J$4="CA",'2025'!$J$2=AY233),'2025DATA'!$H$29,"")</f>
        <v/>
      </c>
      <c r="AZ260" s="518" t="str">
        <f>IF(AND(_A3="A-320",'2025'!$J$4="CA",'2025'!$J$2=AZ233),'2025DATA'!$I$29,"")</f>
        <v/>
      </c>
      <c r="BA260" s="518" t="str">
        <f>IF(AND(_A3="A-320",'2025'!$J$4="CA",'2025'!$J$2=BA233),'2025DATA'!$J$29,"")</f>
        <v/>
      </c>
      <c r="BB260" s="518" t="str">
        <f>IF(AND(_A3="A-320",'2025'!$J$4="CA",'2025'!$J$2=BB233),'2025DATA'!$K$29,"")</f>
        <v/>
      </c>
      <c r="BC260" s="518" t="str">
        <f>IF(AND(_A3="A-320",'2025'!$J$4="CA",'2025'!$J$2=BC233),'2025DATA'!$L$29,"")</f>
        <v/>
      </c>
      <c r="BD260" s="518" t="str">
        <f>IF(AND(_A3="A-320",'2025'!$J$4="CA",'2025'!$J$2=BD233),'2025DATA'!$M$29,"")</f>
        <v/>
      </c>
      <c r="BE260" s="520" t="str">
        <f>IF(AND(_A3="A-320",'2025'!$J$4="CA",'2025'!$J$2=BE233),'2025DATA'!$N$29,"")</f>
        <v/>
      </c>
      <c r="BF260" s="940" t="s">
        <v>70</v>
      </c>
      <c r="BG260" s="13" t="s">
        <v>61</v>
      </c>
      <c r="BH260" s="518" t="str">
        <f>IF(AND(_A4="A-320",'2025'!$J$4="CA",'2025'!$J$2=BH233),'2025DATA'!$C$29,"")</f>
        <v/>
      </c>
      <c r="BI260" s="518" t="str">
        <f>IF(AND(_A4="A-320",'2025'!$J$4="CA",'2025'!$J$2=BI233),'2025DATA'!$D$29,"")</f>
        <v/>
      </c>
      <c r="BJ260" s="518" t="str">
        <f>IF(AND(_A4="A-320",'2025'!$J$4="CA",'2025'!$J$2=BJ233),'2025DATA'!$E$29,"")</f>
        <v/>
      </c>
      <c r="BK260" s="518" t="str">
        <f>IF(AND(_A4="A-320",'2025'!$J$4="CA",'2025'!$J$2=BK233),'2025DATA'!$F$29,"")</f>
        <v/>
      </c>
      <c r="BL260" s="518" t="str">
        <f>IF(AND(_A4="A-320",'2025'!$J$4="CA",'2025'!$J$2=BL233),'2025DATA'!$G$29,"")</f>
        <v/>
      </c>
      <c r="BM260" s="518" t="str">
        <f>IF(AND(_A4="A-320",'2025'!$J$4="CA",'2025'!$J$2=BM233),'2025DATA'!$H$29,"")</f>
        <v/>
      </c>
      <c r="BN260" s="518" t="str">
        <f>IF(AND(_A4="A-320",'2025'!$J$4="CA",'2025'!$J$2=BN233),'2025DATA'!$I$29,"")</f>
        <v/>
      </c>
      <c r="BO260" s="518" t="str">
        <f>IF(AND(_A4="A-320",'2025'!$J$4="CA",'2025'!$J$2=BO233),'2025DATA'!$J$29,"")</f>
        <v/>
      </c>
      <c r="BP260" s="518" t="str">
        <f>IF(AND(_A4="A-320",'2025'!$J$4="CA",'2025'!$J$2=BP233),'2025DATA'!$K$29,"")</f>
        <v/>
      </c>
      <c r="BQ260" s="518" t="str">
        <f>IF(AND(_A4="A-320",'2025'!$J$4="CA",'2025'!$J$2=BQ233),'2025DATA'!$L$29,"")</f>
        <v/>
      </c>
      <c r="BR260" s="518" t="str">
        <f>IF(AND(_A4="A-320",'2025'!$J$4="CA",'2025'!$J$2=BR233),'2025DATA'!$M$29,"")</f>
        <v/>
      </c>
      <c r="BS260" s="520" t="str">
        <f>IF(AND(_A4="A-320",'2025'!$J$4="CA",'2025'!$J$2=BS233),'2025DATA'!$N$29,"")</f>
        <v/>
      </c>
      <c r="BT260" s="940" t="s">
        <v>70</v>
      </c>
      <c r="BU260" s="13" t="s">
        <v>61</v>
      </c>
      <c r="BV260" s="518" t="str">
        <f>IF(AND(_A5="A-320",'2025'!$J$4="CA",'2025'!$J$2=BV233),'2025DATA'!$C$29,"")</f>
        <v/>
      </c>
      <c r="BW260" s="518" t="str">
        <f>IF(AND(_A5="A-320",'2025'!$J$4="CA",'2025'!$J$2=BW233),'2025DATA'!$D$29,"")</f>
        <v/>
      </c>
      <c r="BX260" s="518" t="str">
        <f>IF(AND(_A5="A-320",'2025'!$J$4="CA",'2025'!$J$2=BX233),'2025DATA'!$E$29,"")</f>
        <v/>
      </c>
      <c r="BY260" s="518" t="str">
        <f>IF(AND(_A5="A-320",'2025'!$J$4="CA",'2025'!$J$2=BY233),'2025DATA'!$F$29,"")</f>
        <v/>
      </c>
      <c r="BZ260" s="518" t="str">
        <f>IF(AND(_A5="A-320",'2025'!$J$4="CA",'2025'!$J$2=BZ233),'2025DATA'!$G$29,"")</f>
        <v/>
      </c>
      <c r="CA260" s="518" t="str">
        <f>IF(AND(_A5="A-320",'2025'!$J$4="CA",'2025'!$J$2=CA233),'2025DATA'!$H$29,"")</f>
        <v/>
      </c>
      <c r="CB260" s="518" t="str">
        <f>IF(AND(_A5="A-320",'2025'!$J$4="CA",'2025'!$J$2=CB233),'2025DATA'!$I$29,"")</f>
        <v/>
      </c>
      <c r="CC260" s="518" t="str">
        <f>IF(AND(_A5="A-320",'2025'!$J$4="CA",'2025'!$J$2=CC233),'2025DATA'!$J$29,"")</f>
        <v/>
      </c>
      <c r="CD260" s="518" t="str">
        <f>IF(AND(_A5="A-320",'2025'!$J$4="CA",'2025'!$J$2=CD233),'2025DATA'!$K$29,"")</f>
        <v/>
      </c>
      <c r="CE260" s="518" t="str">
        <f>IF(AND(_A5="A-320",'2025'!$J$4="CA",'2025'!$J$2=CE233),'2025DATA'!$L$29,"")</f>
        <v/>
      </c>
      <c r="CF260" s="518" t="str">
        <f>IF(AND(_A5="A-320",'2025'!$J$4="CA",'2025'!$J$2=CF233),'2025DATA'!$M$29,"")</f>
        <v/>
      </c>
      <c r="CG260" s="520" t="str">
        <f>IF(AND(_A5="A-320",'2025'!$J$4="CA",'2025'!$J$2=CG233),'2025DATA'!$N$29,"")</f>
        <v/>
      </c>
      <c r="CH260" s="940" t="s">
        <v>70</v>
      </c>
      <c r="CI260" s="13" t="s">
        <v>61</v>
      </c>
      <c r="CJ260" s="518" t="str">
        <f>IF(AND(_A6="A-320",'2025'!$J$4="CA",'2025'!$J$2=CJ233),'2025DATA'!$C$29,"")</f>
        <v/>
      </c>
      <c r="CK260" s="518" t="str">
        <f>IF(AND(_A6="A-320",'2025'!$J$4="CA",'2025'!$J$2=CK233),'2025DATA'!$D$29,"")</f>
        <v/>
      </c>
      <c r="CL260" s="518" t="str">
        <f>IF(AND(_A6="A-320",'2025'!$J$4="CA",'2025'!$J$2=CL233),'2025DATA'!$E$29,"")</f>
        <v/>
      </c>
      <c r="CM260" s="518" t="str">
        <f>IF(AND(_A6="A-320",'2025'!$J$4="CA",'2025'!$J$2=CM233),'2025DATA'!$F$29,"")</f>
        <v/>
      </c>
      <c r="CN260" s="518" t="str">
        <f>IF(AND(_A6="A-320",'2025'!$J$4="CA",'2025'!$J$2=CN233),'2025DATA'!$G$29,"")</f>
        <v/>
      </c>
      <c r="CO260" s="518" t="str">
        <f>IF(AND(_A6="A-320",'2025'!$J$4="CA",'2025'!$J$2=CO233),'2025DATA'!$H$29,"")</f>
        <v/>
      </c>
      <c r="CP260" s="518" t="str">
        <f>IF(AND(_A6="A-320",'2025'!$J$4="CA",'2025'!$J$2=CP233),'2025DATA'!$I$29,"")</f>
        <v/>
      </c>
      <c r="CQ260" s="518" t="str">
        <f>IF(AND(_A6="A-320",'2025'!$J$4="CA",'2025'!$J$2=CQ233),'2025DATA'!$J$29,"")</f>
        <v/>
      </c>
      <c r="CR260" s="518" t="str">
        <f>IF(AND(_A6="A-320",'2025'!$J$4="CA",'2025'!$J$2=CR233),'2025DATA'!$K$29,"")</f>
        <v/>
      </c>
      <c r="CS260" s="518" t="str">
        <f>IF(AND(_A6="A-320",'2025'!$J$4="CA",'2025'!$J$2=CS233),'2025DATA'!$L$29,"")</f>
        <v/>
      </c>
      <c r="CT260" s="518" t="str">
        <f>IF(AND(_A6="A-320",'2025'!$J$4="CA",'2025'!$J$2=CT233),'2025DATA'!$M$29,"")</f>
        <v/>
      </c>
      <c r="CU260" s="520" t="str">
        <f>IF(AND(_A6="A-320",'2025'!$J$4="CA",'2025'!$J$2=CU233),'2025DATA'!$N$29,"")</f>
        <v/>
      </c>
    </row>
    <row r="261" spans="16:99" x14ac:dyDescent="0.25">
      <c r="P261" s="940"/>
      <c r="Q261" s="13" t="s">
        <v>62</v>
      </c>
      <c r="R261" s="518" t="str">
        <f>IF(AND(_A1="A-320",'2025'!$J$4="FO",'2025'!$J$2=R233),'2025DATA'!$C$30,"")</f>
        <v/>
      </c>
      <c r="S261" s="518" t="str">
        <f>IF(AND(_A1="A-320",'2025'!$J$4="FO",'2025'!$J$2=S233),'2025DATA'!$D$30,"")</f>
        <v/>
      </c>
      <c r="T261" s="518" t="str">
        <f>IF(AND(_A1="A-320",'2025'!$J$4="FO",'2025'!$J$2=T233),'2025DATA'!$E$30,"")</f>
        <v/>
      </c>
      <c r="U261" s="518" t="str">
        <f>IF(AND(_A1="A-320",'2025'!$J$4="FO",'2025'!$J$2=U233),'2025DATA'!$F$30,"")</f>
        <v/>
      </c>
      <c r="V261" s="518" t="str">
        <f>IF(AND(_A1="A-320",'2025'!$J$4="FO",'2025'!$J$2=V233),'2025DATA'!$G$30,"")</f>
        <v/>
      </c>
      <c r="W261" s="518" t="str">
        <f>IF(AND(_A1="A-320",'2025'!$J$4="FO",'2025'!$J$2=W233),'2025DATA'!$H$30,"")</f>
        <v/>
      </c>
      <c r="X261" s="518" t="str">
        <f>IF(AND(_A1="A-320",'2025'!$J$4="FO",'2025'!$J$2=X233),'2025DATA'!$I$30,"")</f>
        <v/>
      </c>
      <c r="Y261" s="518" t="str">
        <f>IF(AND(_A1="A-320",'2025'!$J$4="FO",'2025'!$J$2=Y233),'2025DATA'!$J$30,"")</f>
        <v/>
      </c>
      <c r="Z261" s="518" t="str">
        <f>IF(AND(_A1="A-320",'2025'!$J$4="FO",'2025'!$J$2=Z233),'2025DATA'!$K$30,"")</f>
        <v/>
      </c>
      <c r="AA261" s="518" t="str">
        <f>IF(AND(_A1="A-320",'2025'!$J$4="FO",'2025'!$J$2=AA233),'2025DATA'!$L$30,"")</f>
        <v/>
      </c>
      <c r="AB261" s="518" t="str">
        <f>IF(AND(_A1="A-320",'2025'!$J$4="FO",'2025'!$J$2=AB233),'2025DATA'!$M$30,"")</f>
        <v/>
      </c>
      <c r="AC261" s="520" t="str">
        <f>IF(AND(_A1="A-320",'2025'!$J$4="FO",'2025'!$J$2=AC233),'2025DATA'!$N$30,"")</f>
        <v/>
      </c>
      <c r="AD261" s="940"/>
      <c r="AE261" s="13" t="s">
        <v>62</v>
      </c>
      <c r="AF261" s="518" t="str">
        <f>IF(AND(_A2="A-320",'2025'!$J$4="FO",'2025'!$J$2=AF233),'2025DATA'!$C$30,"")</f>
        <v/>
      </c>
      <c r="AG261" s="518" t="str">
        <f>IF(AND(_A2="A-320",'2025'!$J$4="FO",'2025'!$J$2=AG233),'2025DATA'!$D$30,"")</f>
        <v/>
      </c>
      <c r="AH261" s="518" t="str">
        <f>IF(AND(_A2="A-320",'2025'!$J$4="FO",'2025'!$J$2=AH233),'2025DATA'!$E$30,"")</f>
        <v/>
      </c>
      <c r="AI261" s="518" t="str">
        <f>IF(AND(_A2="A-320",'2025'!$J$4="FO",'2025'!$J$2=AI233),'2025DATA'!$F$30,"")</f>
        <v/>
      </c>
      <c r="AJ261" s="518" t="str">
        <f>IF(AND(_A2="A-320",'2025'!$J$4="FO",'2025'!$J$2=AJ233),'2025DATA'!$G$30,"")</f>
        <v/>
      </c>
      <c r="AK261" s="518" t="str">
        <f>IF(AND(_A2="A-320",'2025'!$J$4="FO",'2025'!$J$2=AK233),'2025DATA'!$H$30,"")</f>
        <v/>
      </c>
      <c r="AL261" s="518" t="str">
        <f>IF(AND(_A2="A-320",'2025'!$J$4="FO",'2025'!$J$2=AL233),'2025DATA'!$I$30,"")</f>
        <v/>
      </c>
      <c r="AM261" s="518" t="str">
        <f>IF(AND(_A2="A-320",'2025'!$J$4="FO",'2025'!$J$2=AM233),'2025DATA'!$J$30,"")</f>
        <v/>
      </c>
      <c r="AN261" s="518" t="str">
        <f>IF(AND(_A2="A-320",'2025'!$J$4="FO",'2025'!$J$2=AN233),'2025DATA'!$K$30,"")</f>
        <v/>
      </c>
      <c r="AO261" s="518" t="str">
        <f>IF(AND(_A2="A-320",'2025'!$J$4="FO",'2025'!$J$2=AO233),'2025DATA'!$L$30,"")</f>
        <v/>
      </c>
      <c r="AP261" s="518" t="str">
        <f>IF(AND(_A2="A-320",'2025'!$J$4="FO",'2025'!$J$2=AP233),'2025DATA'!$M$30,"")</f>
        <v/>
      </c>
      <c r="AQ261" s="520" t="str">
        <f>IF(AND(_A2="A-320",'2025'!$J$4="FO",'2025'!$J$2=AQ233),'2025DATA'!$N$30,"")</f>
        <v/>
      </c>
      <c r="AR261" s="940"/>
      <c r="AS261" s="13" t="s">
        <v>62</v>
      </c>
      <c r="AT261" s="518" t="str">
        <f>IF(AND(_A3="A-320",'2025'!$J$4="FO",'2025'!$J$2=AT233),'2025DATA'!$C$30,"")</f>
        <v/>
      </c>
      <c r="AU261" s="518" t="str">
        <f>IF(AND(_A3="A-320",'2025'!$J$4="FO",'2025'!$J$2=AU233),'2025DATA'!$D$30,"")</f>
        <v/>
      </c>
      <c r="AV261" s="518" t="str">
        <f>IF(AND(_A3="A-320",'2025'!$J$4="FO",'2025'!$J$2=AV233),'2025DATA'!$E$30,"")</f>
        <v/>
      </c>
      <c r="AW261" s="518" t="str">
        <f>IF(AND(_A3="A-320",'2025'!$J$4="FO",'2025'!$J$2=AW233),'2025DATA'!$F$30,"")</f>
        <v/>
      </c>
      <c r="AX261" s="518" t="str">
        <f>IF(AND(_A3="A-320",'2025'!$J$4="FO",'2025'!$J$2=AX233),'2025DATA'!$G$30,"")</f>
        <v/>
      </c>
      <c r="AY261" s="518" t="str">
        <f>IF(AND(_A3="A-320",'2025'!$J$4="FO",'2025'!$J$2=AY233),'2025DATA'!$H$30,"")</f>
        <v/>
      </c>
      <c r="AZ261" s="518" t="str">
        <f>IF(AND(_A3="A-320",'2025'!$J$4="FO",'2025'!$J$2=AZ233),'2025DATA'!$I$30,"")</f>
        <v/>
      </c>
      <c r="BA261" s="518" t="str">
        <f>IF(AND(_A3="A-320",'2025'!$J$4="FO",'2025'!$J$2=BA233),'2025DATA'!$J$30,"")</f>
        <v/>
      </c>
      <c r="BB261" s="518" t="str">
        <f>IF(AND(_A3="A-320",'2025'!$J$4="FO",'2025'!$J$2=BB233),'2025DATA'!$K$30,"")</f>
        <v/>
      </c>
      <c r="BC261" s="518" t="str">
        <f>IF(AND(_A3="A-320",'2025'!$J$4="FO",'2025'!$J$2=BC233),'2025DATA'!$L$30,"")</f>
        <v/>
      </c>
      <c r="BD261" s="518" t="str">
        <f>IF(AND(_A3="A-320",'2025'!$J$4="FO",'2025'!$J$2=BD233),'2025DATA'!$M$30,"")</f>
        <v/>
      </c>
      <c r="BE261" s="520" t="str">
        <f>IF(AND(_A3="A-320",'2025'!$J$4="FO",'2025'!$J$2=BE233),'2025DATA'!$N$30,"")</f>
        <v/>
      </c>
      <c r="BF261" s="940"/>
      <c r="BG261" s="13" t="s">
        <v>62</v>
      </c>
      <c r="BH261" s="518" t="str">
        <f>IF(AND(_A4="A-320",'2025'!$J$4="FO",'2025'!$J$2=BH233),'2025DATA'!$C$30,"")</f>
        <v/>
      </c>
      <c r="BI261" s="518" t="str">
        <f>IF(AND(_A4="A-320",'2025'!$J$4="FO",'2025'!$J$2=BI233),'2025DATA'!$D$30,"")</f>
        <v/>
      </c>
      <c r="BJ261" s="518" t="str">
        <f>IF(AND(_A4="A-320",'2025'!$J$4="FO",'2025'!$J$2=BJ233),'2025DATA'!$E$30,"")</f>
        <v/>
      </c>
      <c r="BK261" s="518" t="str">
        <f>IF(AND(_A4="A-320",'2025'!$J$4="FO",'2025'!$J$2=BK233),'2025DATA'!$F$30,"")</f>
        <v/>
      </c>
      <c r="BL261" s="518" t="str">
        <f>IF(AND(_A4="A-320",'2025'!$J$4="FO",'2025'!$J$2=BL233),'2025DATA'!$G$30,"")</f>
        <v/>
      </c>
      <c r="BM261" s="518" t="str">
        <f>IF(AND(_A4="A-320",'2025'!$J$4="FO",'2025'!$J$2=BM233),'2025DATA'!$H$30,"")</f>
        <v/>
      </c>
      <c r="BN261" s="518" t="str">
        <f>IF(AND(_A4="A-320",'2025'!$J$4="FO",'2025'!$J$2=BN233),'2025DATA'!$I$30,"")</f>
        <v/>
      </c>
      <c r="BO261" s="518" t="str">
        <f>IF(AND(_A4="A-320",'2025'!$J$4="FO",'2025'!$J$2=BO233),'2025DATA'!$J$30,"")</f>
        <v/>
      </c>
      <c r="BP261" s="518" t="str">
        <f>IF(AND(_A4="A-320",'2025'!$J$4="FO",'2025'!$J$2=BP233),'2025DATA'!$K$30,"")</f>
        <v/>
      </c>
      <c r="BQ261" s="518" t="str">
        <f>IF(AND(_A4="A-320",'2025'!$J$4="FO",'2025'!$J$2=BQ233),'2025DATA'!$L$30,"")</f>
        <v/>
      </c>
      <c r="BR261" s="518" t="str">
        <f>IF(AND(_A4="A-320",'2025'!$J$4="FO",'2025'!$J$2=BR233),'2025DATA'!$M$30,"")</f>
        <v/>
      </c>
      <c r="BS261" s="520" t="str">
        <f>IF(AND(_A4="A-320",'2025'!$J$4="FO",'2025'!$J$2=BS233),'2025DATA'!$N$30,"")</f>
        <v/>
      </c>
      <c r="BT261" s="940"/>
      <c r="BU261" s="13" t="s">
        <v>62</v>
      </c>
      <c r="BV261" s="518" t="str">
        <f>IF(AND(_A5="A-320",'2025'!$J$4="FO",'2025'!$J$2=BV233),'2025DATA'!$C$30,"")</f>
        <v/>
      </c>
      <c r="BW261" s="518" t="str">
        <f>IF(AND(_A5="A-320",'2025'!$J$4="FO",'2025'!$J$2=BW233),'2025DATA'!$D$30,"")</f>
        <v/>
      </c>
      <c r="BX261" s="518" t="str">
        <f>IF(AND(_A5="A-320",'2025'!$J$4="FO",'2025'!$J$2=BX233),'2025DATA'!$E$30,"")</f>
        <v/>
      </c>
      <c r="BY261" s="518" t="str">
        <f>IF(AND(_A5="A-320",'2025'!$J$4="FO",'2025'!$J$2=BY233),'2025DATA'!$F$30,"")</f>
        <v/>
      </c>
      <c r="BZ261" s="518" t="str">
        <f>IF(AND(_A5="A-320",'2025'!$J$4="FO",'2025'!$J$2=BZ233),'2025DATA'!$G$30,"")</f>
        <v/>
      </c>
      <c r="CA261" s="518" t="str">
        <f>IF(AND(_A5="A-320",'2025'!$J$4="FO",'2025'!$J$2=CA233),'2025DATA'!$H$30,"")</f>
        <v/>
      </c>
      <c r="CB261" s="518" t="str">
        <f>IF(AND(_A5="A-320",'2025'!$J$4="FO",'2025'!$J$2=CB233),'2025DATA'!$I$30,"")</f>
        <v/>
      </c>
      <c r="CC261" s="518" t="str">
        <f>IF(AND(_A5="A-320",'2025'!$J$4="FO",'2025'!$J$2=CC233),'2025DATA'!$J$30,"")</f>
        <v/>
      </c>
      <c r="CD261" s="518" t="str">
        <f>IF(AND(_A5="A-320",'2025'!$J$4="FO",'2025'!$J$2=CD233),'2025DATA'!$K$30,"")</f>
        <v/>
      </c>
      <c r="CE261" s="518" t="str">
        <f>IF(AND(_A5="A-320",'2025'!$J$4="FO",'2025'!$J$2=CE233),'2025DATA'!$L$30,"")</f>
        <v/>
      </c>
      <c r="CF261" s="518" t="str">
        <f>IF(AND(_A5="A-320",'2025'!$J$4="FO",'2025'!$J$2=CF233),'2025DATA'!$M$30,"")</f>
        <v/>
      </c>
      <c r="CG261" s="520" t="str">
        <f>IF(AND(_A5="A-320",'2025'!$J$4="FO",'2025'!$J$2=CG233),'2025DATA'!$N$30,"")</f>
        <v/>
      </c>
      <c r="CH261" s="940"/>
      <c r="CI261" s="13" t="s">
        <v>62</v>
      </c>
      <c r="CJ261" s="518" t="str">
        <f>IF(AND(_A6="A-320",'2025'!$J$4="FO",'2025'!$J$2=CJ233),'2025DATA'!$C$30,"")</f>
        <v/>
      </c>
      <c r="CK261" s="518" t="str">
        <f>IF(AND(_A6="A-320",'2025'!$J$4="FO",'2025'!$J$2=CK233),'2025DATA'!$D$30,"")</f>
        <v/>
      </c>
      <c r="CL261" s="518" t="str">
        <f>IF(AND(_A6="A-320",'2025'!$J$4="FO",'2025'!$J$2=CL233),'2025DATA'!$E$30,"")</f>
        <v/>
      </c>
      <c r="CM261" s="518" t="str">
        <f>IF(AND(_A6="A-320",'2025'!$J$4="FO",'2025'!$J$2=CM233),'2025DATA'!$F$30,"")</f>
        <v/>
      </c>
      <c r="CN261" s="518" t="str">
        <f>IF(AND(_A6="A-320",'2025'!$J$4="FO",'2025'!$J$2=CN233),'2025DATA'!$G$30,"")</f>
        <v/>
      </c>
      <c r="CO261" s="518" t="str">
        <f>IF(AND(_A6="A-320",'2025'!$J$4="FO",'2025'!$J$2=CO233),'2025DATA'!$H$30,"")</f>
        <v/>
      </c>
      <c r="CP261" s="518" t="str">
        <f>IF(AND(_A6="A-320",'2025'!$J$4="FO",'2025'!$J$2=CP233),'2025DATA'!$I$30,"")</f>
        <v/>
      </c>
      <c r="CQ261" s="518" t="str">
        <f>IF(AND(_A6="A-320",'2025'!$J$4="FO",'2025'!$J$2=CQ233),'2025DATA'!$J$30,"")</f>
        <v/>
      </c>
      <c r="CR261" s="518" t="str">
        <f>IF(AND(_A6="A-320",'2025'!$J$4="FO",'2025'!$J$2=CR233),'2025DATA'!$K$30,"")</f>
        <v/>
      </c>
      <c r="CS261" s="518" t="str">
        <f>IF(AND(_A6="A-320",'2025'!$J$4="FO",'2025'!$J$2=CS233),'2025DATA'!$L$30,"")</f>
        <v/>
      </c>
      <c r="CT261" s="518" t="str">
        <f>IF(AND(_A6="A-320",'2025'!$J$4="FO",'2025'!$J$2=CT233),'2025DATA'!$M$30,"")</f>
        <v/>
      </c>
      <c r="CU261" s="520" t="str">
        <f>IF(AND(_A6="A-320",'2025'!$J$4="FO",'2025'!$J$2=CU233),'2025DATA'!$N$30,"")</f>
        <v/>
      </c>
    </row>
    <row r="262" spans="16:99" x14ac:dyDescent="0.25">
      <c r="P262" s="940" t="s">
        <v>71</v>
      </c>
      <c r="Q262" s="13" t="s">
        <v>61</v>
      </c>
      <c r="R262" s="518" t="str">
        <f>IF(AND(_A1="A-319",'2025'!$J$4="CA",'2025'!$J$2=R233),'2025DATA'!$C$31,"")</f>
        <v/>
      </c>
      <c r="S262" s="518" t="str">
        <f>IF(AND(_A1="A-319",'2025'!$J$4="CA",'2025'!$J$2=S233),'2025DATA'!$D$31,"")</f>
        <v/>
      </c>
      <c r="T262" s="518" t="str">
        <f>IF(AND(_A1="A-319",'2025'!$J$4="CA",'2025'!$J$2=T233),'2025DATA'!$E$31,"")</f>
        <v/>
      </c>
      <c r="U262" s="518" t="str">
        <f>IF(AND(_A1="A-319",'2025'!$J$4="CA",'2025'!$J$2=U233),'2025DATA'!$F$31,"")</f>
        <v/>
      </c>
      <c r="V262" s="518" t="str">
        <f>IF(AND(_A1="A-319",'2025'!$J$4="CA",'2025'!$J$2=V233),'2025DATA'!$G$31,"")</f>
        <v/>
      </c>
      <c r="W262" s="518" t="str">
        <f>IF(AND(_A1="A-319",'2025'!$J$4="CA",'2025'!$J$2=W233),'2025DATA'!$H$31,"")</f>
        <v/>
      </c>
      <c r="X262" s="518" t="str">
        <f>IF(AND(_A1="A-319",'2025'!$J$4="CA",'2025'!$J$2=X233),'2025DATA'!$I$31,"")</f>
        <v/>
      </c>
      <c r="Y262" s="518" t="str">
        <f>IF(AND(_A1="A-319",'2025'!$J$4="CA",'2025'!$J$2=Y233),'2025DATA'!$J$31,"")</f>
        <v/>
      </c>
      <c r="Z262" s="518" t="str">
        <f>IF(AND(_A1="A-319",'2025'!$J$4="CA",'2025'!$J$2=Z233),'2025DATA'!$K$31,"")</f>
        <v/>
      </c>
      <c r="AA262" s="518" t="str">
        <f>IF(AND(_A1="A-319",'2025'!$J$4="CA",'2025'!$J$2=AA233),'2025DATA'!$L$31,"")</f>
        <v/>
      </c>
      <c r="AB262" s="518" t="str">
        <f>IF(AND(_A1="A-319",'2025'!$J$4="CA",'2025'!$J$2=AB233),'2025DATA'!$M$31,"")</f>
        <v/>
      </c>
      <c r="AC262" s="520" t="str">
        <f>IF(AND(_A1="A-319",'2025'!$J$4="CA",'2025'!$J$2=AC233),'2025DATA'!$N$31,"")</f>
        <v/>
      </c>
      <c r="AD262" s="940" t="s">
        <v>71</v>
      </c>
      <c r="AE262" s="13" t="s">
        <v>61</v>
      </c>
      <c r="AF262" s="518" t="str">
        <f>IF(AND(_A2="A-319",'2025'!$J$4="CA",'2025'!$J$2=AF233),'2025DATA'!$C$31,"")</f>
        <v/>
      </c>
      <c r="AG262" s="518" t="str">
        <f>IF(AND(_A2="A-319",'2025'!$J$4="CA",'2025'!$J$2=AG233),'2025DATA'!$D$31,"")</f>
        <v/>
      </c>
      <c r="AH262" s="518" t="str">
        <f>IF(AND(_A2="A-319",'2025'!$J$4="CA",'2025'!$J$2=AH233),'2025DATA'!$E$31,"")</f>
        <v/>
      </c>
      <c r="AI262" s="518" t="str">
        <f>IF(AND(_A2="A-319",'2025'!$J$4="CA",'2025'!$J$2=AI233),'2025DATA'!$F$31,"")</f>
        <v/>
      </c>
      <c r="AJ262" s="518" t="str">
        <f>IF(AND(_A2="A-319",'2025'!$J$4="CA",'2025'!$J$2=AJ233),'2025DATA'!$G$31,"")</f>
        <v/>
      </c>
      <c r="AK262" s="518" t="str">
        <f>IF(AND(_A2="A-319",'2025'!$J$4="CA",'2025'!$J$2=AK233),'2025DATA'!$H$31,"")</f>
        <v/>
      </c>
      <c r="AL262" s="518" t="str">
        <f>IF(AND(_A2="A-319",'2025'!$J$4="CA",'2025'!$J$2=AL233),'2025DATA'!$I$31,"")</f>
        <v/>
      </c>
      <c r="AM262" s="518" t="str">
        <f>IF(AND(_A2="A-319",'2025'!$J$4="CA",'2025'!$J$2=AM233),'2025DATA'!$J$31,"")</f>
        <v/>
      </c>
      <c r="AN262" s="518" t="str">
        <f>IF(AND(_A2="A-319",'2025'!$J$4="CA",'2025'!$J$2=AN233),'2025DATA'!$K$31,"")</f>
        <v/>
      </c>
      <c r="AO262" s="518" t="str">
        <f>IF(AND(_A2="A-319",'2025'!$J$4="CA",'2025'!$J$2=AO233),'2025DATA'!$L$31,"")</f>
        <v/>
      </c>
      <c r="AP262" s="518" t="str">
        <f>IF(AND(_A2="A-319",'2025'!$J$4="CA",'2025'!$J$2=AP233),'2025DATA'!$M$31,"")</f>
        <v/>
      </c>
      <c r="AQ262" s="520" t="str">
        <f>IF(AND(_A2="A-319",'2025'!$J$4="CA",'2025'!$J$2=AQ233),'2025DATA'!$N$31,"")</f>
        <v/>
      </c>
      <c r="AR262" s="940" t="s">
        <v>71</v>
      </c>
      <c r="AS262" s="13" t="s">
        <v>61</v>
      </c>
      <c r="AT262" s="518" t="str">
        <f>IF(AND(_A3="A-319",'2025'!$J$4="CA",'2025'!$J$2=AT233),'2025DATA'!$C$31,"")</f>
        <v/>
      </c>
      <c r="AU262" s="518" t="str">
        <f>IF(AND(_A3="A-319",'2025'!$J$4="CA",'2025'!$J$2=AU233),'2025DATA'!$D$31,"")</f>
        <v/>
      </c>
      <c r="AV262" s="518" t="str">
        <f>IF(AND(_A3="A-319",'2025'!$J$4="CA",'2025'!$J$2=AV233),'2025DATA'!$E$31,"")</f>
        <v/>
      </c>
      <c r="AW262" s="518" t="str">
        <f>IF(AND(_A3="A-319",'2025'!$J$4="CA",'2025'!$J$2=AW233),'2025DATA'!$F$31,"")</f>
        <v/>
      </c>
      <c r="AX262" s="518" t="str">
        <f>IF(AND(_A3="A-319",'2025'!$J$4="CA",'2025'!$J$2=AX233),'2025DATA'!$G$31,"")</f>
        <v/>
      </c>
      <c r="AY262" s="518" t="str">
        <f>IF(AND(_A3="A-319",'2025'!$J$4="CA",'2025'!$J$2=AY233),'2025DATA'!$H$31,"")</f>
        <v/>
      </c>
      <c r="AZ262" s="518" t="str">
        <f>IF(AND(_A3="A-319",'2025'!$J$4="CA",'2025'!$J$2=AZ233),'2025DATA'!$I$31,"")</f>
        <v/>
      </c>
      <c r="BA262" s="518" t="str">
        <f>IF(AND(_A3="A-319",'2025'!$J$4="CA",'2025'!$J$2=BA233),'2025DATA'!$J$31,"")</f>
        <v/>
      </c>
      <c r="BB262" s="518" t="str">
        <f>IF(AND(_A3="A-319",'2025'!$J$4="CA",'2025'!$J$2=BB233),'2025DATA'!$K$31,"")</f>
        <v/>
      </c>
      <c r="BC262" s="518" t="str">
        <f>IF(AND(_A3="A-319",'2025'!$J$4="CA",'2025'!$J$2=BC233),'2025DATA'!$L$31,"")</f>
        <v/>
      </c>
      <c r="BD262" s="518" t="str">
        <f>IF(AND(_A3="A-319",'2025'!$J$4="CA",'2025'!$J$2=BD233),'2025DATA'!$M$31,"")</f>
        <v/>
      </c>
      <c r="BE262" s="520" t="str">
        <f>IF(AND(_A3="A-319",'2025'!$J$4="CA",'2025'!$J$2=BE233),'2025DATA'!$N$31,"")</f>
        <v/>
      </c>
      <c r="BF262" s="940" t="s">
        <v>71</v>
      </c>
      <c r="BG262" s="13" t="s">
        <v>61</v>
      </c>
      <c r="BH262" s="518" t="str">
        <f>IF(AND(_A4="A-319",'2025'!$J$4="CA",'2025'!$J$2=BH233),'2025DATA'!$C$31,"")</f>
        <v/>
      </c>
      <c r="BI262" s="518" t="str">
        <f>IF(AND(_A4="A-319",'2025'!$J$4="CA",'2025'!$J$2=BI233),'2025DATA'!$D$31,"")</f>
        <v/>
      </c>
      <c r="BJ262" s="518" t="str">
        <f>IF(AND(_A4="A-319",'2025'!$J$4="CA",'2025'!$J$2=BJ233),'2025DATA'!$E$31,"")</f>
        <v/>
      </c>
      <c r="BK262" s="518" t="str">
        <f>IF(AND(_A4="A-319",'2025'!$J$4="CA",'2025'!$J$2=BK233),'2025DATA'!$F$31,"")</f>
        <v/>
      </c>
      <c r="BL262" s="518" t="str">
        <f>IF(AND(_A4="A-319",'2025'!$J$4="CA",'2025'!$J$2=BL233),'2025DATA'!$G$31,"")</f>
        <v/>
      </c>
      <c r="BM262" s="518" t="str">
        <f>IF(AND(_A4="A-319",'2025'!$J$4="CA",'2025'!$J$2=BM233),'2025DATA'!$H$31,"")</f>
        <v/>
      </c>
      <c r="BN262" s="518" t="str">
        <f>IF(AND(_A4="A-319",'2025'!$J$4="CA",'2025'!$J$2=BN233),'2025DATA'!$I$31,"")</f>
        <v/>
      </c>
      <c r="BO262" s="518" t="str">
        <f>IF(AND(_A4="A-319",'2025'!$J$4="CA",'2025'!$J$2=BO233),'2025DATA'!$J$31,"")</f>
        <v/>
      </c>
      <c r="BP262" s="518" t="str">
        <f>IF(AND(_A4="A-319",'2025'!$J$4="CA",'2025'!$J$2=BP233),'2025DATA'!$K$31,"")</f>
        <v/>
      </c>
      <c r="BQ262" s="518" t="str">
        <f>IF(AND(_A4="A-319",'2025'!$J$4="CA",'2025'!$J$2=BQ233),'2025DATA'!$L$31,"")</f>
        <v/>
      </c>
      <c r="BR262" s="518" t="str">
        <f>IF(AND(_A4="A-319",'2025'!$J$4="CA",'2025'!$J$2=BR233),'2025DATA'!$M$31,"")</f>
        <v/>
      </c>
      <c r="BS262" s="520" t="str">
        <f>IF(AND(_A4="A-319",'2025'!$J$4="CA",'2025'!$J$2=BS233),'2025DATA'!$N$31,"")</f>
        <v/>
      </c>
      <c r="BT262" s="940" t="s">
        <v>71</v>
      </c>
      <c r="BU262" s="13" t="s">
        <v>61</v>
      </c>
      <c r="BV262" s="518" t="str">
        <f>IF(AND(_A5="A-319",'2025'!$J$4="CA",'2025'!$J$2=BV233),'2025DATA'!$C$31,"")</f>
        <v/>
      </c>
      <c r="BW262" s="518" t="str">
        <f>IF(AND(_A5="A-319",'2025'!$J$4="CA",'2025'!$J$2=BW233),'2025DATA'!$D$31,"")</f>
        <v/>
      </c>
      <c r="BX262" s="518" t="str">
        <f>IF(AND(_A5="A-319",'2025'!$J$4="CA",'2025'!$J$2=BX233),'2025DATA'!$E$31,"")</f>
        <v/>
      </c>
      <c r="BY262" s="518" t="str">
        <f>IF(AND(_A5="A-319",'2025'!$J$4="CA",'2025'!$J$2=BY233),'2025DATA'!$F$31,"")</f>
        <v/>
      </c>
      <c r="BZ262" s="518" t="str">
        <f>IF(AND(_A5="A-319",'2025'!$J$4="CA",'2025'!$J$2=BZ233),'2025DATA'!$G$31,"")</f>
        <v/>
      </c>
      <c r="CA262" s="518" t="str">
        <f>IF(AND(_A5="A-319",'2025'!$J$4="CA",'2025'!$J$2=CA233),'2025DATA'!$H$31,"")</f>
        <v/>
      </c>
      <c r="CB262" s="518" t="str">
        <f>IF(AND(_A5="A-319",'2025'!$J$4="CA",'2025'!$J$2=CB233),'2025DATA'!$I$31,"")</f>
        <v/>
      </c>
      <c r="CC262" s="518" t="str">
        <f>IF(AND(_A5="A-319",'2025'!$J$4="CA",'2025'!$J$2=CC233),'2025DATA'!$J$31,"")</f>
        <v/>
      </c>
      <c r="CD262" s="518" t="str">
        <f>IF(AND(_A5="A-319",'2025'!$J$4="CA",'2025'!$J$2=CD233),'2025DATA'!$K$31,"")</f>
        <v/>
      </c>
      <c r="CE262" s="518" t="str">
        <f>IF(AND(_A5="A-319",'2025'!$J$4="CA",'2025'!$J$2=CE233),'2025DATA'!$L$31,"")</f>
        <v/>
      </c>
      <c r="CF262" s="518" t="str">
        <f>IF(AND(_A5="A-319",'2025'!$J$4="CA",'2025'!$J$2=CF233),'2025DATA'!$M$31,"")</f>
        <v/>
      </c>
      <c r="CG262" s="520" t="str">
        <f>IF(AND(_A5="A-319",'2025'!$J$4="CA",'2025'!$J$2=CG233),'2025DATA'!$N$31,"")</f>
        <v/>
      </c>
      <c r="CH262" s="940" t="s">
        <v>71</v>
      </c>
      <c r="CI262" s="13" t="s">
        <v>61</v>
      </c>
      <c r="CJ262" s="518" t="str">
        <f>IF(AND(_A6="A-319",'2025'!$J$4="CA",'2025'!$J$2=CJ233),'2025DATA'!$C$31,"")</f>
        <v/>
      </c>
      <c r="CK262" s="518" t="str">
        <f>IF(AND(_A6="A-319",'2025'!$J$4="CA",'2025'!$J$2=CK233),'2025DATA'!$D$31,"")</f>
        <v/>
      </c>
      <c r="CL262" s="518" t="str">
        <f>IF(AND(_A6="A-319",'2025'!$J$4="CA",'2025'!$J$2=CL233),'2025DATA'!$E$31,"")</f>
        <v/>
      </c>
      <c r="CM262" s="518" t="str">
        <f>IF(AND(_A6="A-319",'2025'!$J$4="CA",'2025'!$J$2=CM233),'2025DATA'!$F$31,"")</f>
        <v/>
      </c>
      <c r="CN262" s="518" t="str">
        <f>IF(AND(_A6="A-319",'2025'!$J$4="CA",'2025'!$J$2=CN233),'2025DATA'!$G$31,"")</f>
        <v/>
      </c>
      <c r="CO262" s="518" t="str">
        <f>IF(AND(_A6="A-319",'2025'!$J$4="CA",'2025'!$J$2=CO233),'2025DATA'!$H$31,"")</f>
        <v/>
      </c>
      <c r="CP262" s="518" t="str">
        <f>IF(AND(_A6="A-319",'2025'!$J$4="CA",'2025'!$J$2=CP233),'2025DATA'!$I$31,"")</f>
        <v/>
      </c>
      <c r="CQ262" s="518" t="str">
        <f>IF(AND(_A6="A-319",'2025'!$J$4="CA",'2025'!$J$2=CQ233),'2025DATA'!$J$31,"")</f>
        <v/>
      </c>
      <c r="CR262" s="518" t="str">
        <f>IF(AND(_A6="A-319",'2025'!$J$4="CA",'2025'!$J$2=CR233),'2025DATA'!$K$31,"")</f>
        <v/>
      </c>
      <c r="CS262" s="518" t="str">
        <f>IF(AND(_A6="A-319",'2025'!$J$4="CA",'2025'!$J$2=CS233),'2025DATA'!$L$31,"")</f>
        <v/>
      </c>
      <c r="CT262" s="518" t="str">
        <f>IF(AND(_A6="A-319",'2025'!$J$4="CA",'2025'!$J$2=CT233),'2025DATA'!$M$31,"")</f>
        <v/>
      </c>
      <c r="CU262" s="520" t="str">
        <f>IF(AND(_A6="A-319",'2025'!$J$4="CA",'2025'!$J$2=CU233),'2025DATA'!$N$31,"")</f>
        <v/>
      </c>
    </row>
    <row r="263" spans="16:99" x14ac:dyDescent="0.25">
      <c r="P263" s="940"/>
      <c r="Q263" s="13" t="s">
        <v>62</v>
      </c>
      <c r="R263" s="518" t="str">
        <f>IF(AND(_A1="A-319",'2025'!$J$4="FO",'2025'!$J$2=R233),'2025DATA'!$C$32,"")</f>
        <v/>
      </c>
      <c r="S263" s="518" t="str">
        <f>IF(AND(_A1="A-319",'2025'!$J$4="FO",'2025'!$J$2=S233),'2025DATA'!$D$32,"")</f>
        <v/>
      </c>
      <c r="T263" s="518" t="str">
        <f>IF(AND(_A1="A-319",'2025'!$J$4="FO",'2025'!$J$2=T233),'2025DATA'!$E$32,"")</f>
        <v/>
      </c>
      <c r="U263" s="518" t="str">
        <f>IF(AND(_A1="A-319",'2025'!$J$4="FO",'2025'!$J$2=U233),'2025DATA'!$F$32,"")</f>
        <v/>
      </c>
      <c r="V263" s="518" t="str">
        <f>IF(AND(_A1="A-319",'2025'!$J$4="FO",'2025'!$J$2=V233),'2025DATA'!$G$32,"")</f>
        <v/>
      </c>
      <c r="W263" s="518" t="str">
        <f>IF(AND(_A1="A-319",'2025'!$J$4="FO",'2025'!$J$2=W233),'2025DATA'!$H$32,"")</f>
        <v/>
      </c>
      <c r="X263" s="518" t="str">
        <f>IF(AND(_A1="A-319",'2025'!$J$4="FO",'2025'!$J$2=X233),'2025DATA'!$I$32,"")</f>
        <v/>
      </c>
      <c r="Y263" s="518" t="str">
        <f>IF(AND(_A1="A-319",'2025'!$J$4="FO",'2025'!$J$2=Y233),'2025DATA'!$J$32,"")</f>
        <v/>
      </c>
      <c r="Z263" s="518" t="str">
        <f>IF(AND(_A1="A-319",'2025'!$J$4="FO",'2025'!$J$2=Z233),'2025DATA'!$K$32,"")</f>
        <v/>
      </c>
      <c r="AA263" s="518" t="str">
        <f>IF(AND(_A1="A-319",'2025'!$J$4="FO",'2025'!$J$2=AA233),'2025DATA'!$L$32,"")</f>
        <v/>
      </c>
      <c r="AB263" s="518" t="str">
        <f>IF(AND(_A1="A-319",'2025'!$J$4="FO",'2025'!$J$2=AB233),'2025DATA'!$M$32,"")</f>
        <v/>
      </c>
      <c r="AC263" s="520" t="str">
        <f>IF(AND(_A1="A-319",'2025'!$J$4="FO",'2025'!$J$2=AC233),'2025DATA'!$N$32,"")</f>
        <v/>
      </c>
      <c r="AD263" s="940"/>
      <c r="AE263" s="13" t="s">
        <v>62</v>
      </c>
      <c r="AF263" s="518" t="str">
        <f>IF(AND(_A2="A-319",'2025'!$J$4="FO",'2025'!$J$2=AF233),'2025DATA'!$C$32,"")</f>
        <v/>
      </c>
      <c r="AG263" s="518" t="str">
        <f>IF(AND(_A2="A-319",'2025'!$J$4="FO",'2025'!$J$2=AG233),'2025DATA'!$D$32,"")</f>
        <v/>
      </c>
      <c r="AH263" s="518" t="str">
        <f>IF(AND(_A2="A-319",'2025'!$J$4="FO",'2025'!$J$2=AH233),'2025DATA'!$E$32,"")</f>
        <v/>
      </c>
      <c r="AI263" s="518" t="str">
        <f>IF(AND(_A2="A-319",'2025'!$J$4="FO",'2025'!$J$2=AI233),'2025DATA'!$F$32,"")</f>
        <v/>
      </c>
      <c r="AJ263" s="518" t="str">
        <f>IF(AND(_A2="A-319",'2025'!$J$4="FO",'2025'!$J$2=AJ233),'2025DATA'!$G$32,"")</f>
        <v/>
      </c>
      <c r="AK263" s="518" t="str">
        <f>IF(AND(_A2="A-319",'2025'!$J$4="FO",'2025'!$J$2=AK233),'2025DATA'!$H$32,"")</f>
        <v/>
      </c>
      <c r="AL263" s="518" t="str">
        <f>IF(AND(_A2="A-319",'2025'!$J$4="FO",'2025'!$J$2=AL233),'2025DATA'!$I$32,"")</f>
        <v/>
      </c>
      <c r="AM263" s="518" t="str">
        <f>IF(AND(_A2="A-319",'2025'!$J$4="FO",'2025'!$J$2=AM233),'2025DATA'!$J$32,"")</f>
        <v/>
      </c>
      <c r="AN263" s="518" t="str">
        <f>IF(AND(_A2="A-319",'2025'!$J$4="FO",'2025'!$J$2=AN233),'2025DATA'!$K$32,"")</f>
        <v/>
      </c>
      <c r="AO263" s="518" t="str">
        <f>IF(AND(_A2="A-319",'2025'!$J$4="FO",'2025'!$J$2=AO233),'2025DATA'!$L$32,"")</f>
        <v/>
      </c>
      <c r="AP263" s="518" t="str">
        <f>IF(AND(_A2="A-319",'2025'!$J$4="FO",'2025'!$J$2=AP233),'2025DATA'!$M$32,"")</f>
        <v/>
      </c>
      <c r="AQ263" s="520" t="str">
        <f>IF(AND(_A2="A-319",'2025'!$J$4="FO",'2025'!$J$2=AQ233),'2025DATA'!$N$32,"")</f>
        <v/>
      </c>
      <c r="AR263" s="940"/>
      <c r="AS263" s="13" t="s">
        <v>62</v>
      </c>
      <c r="AT263" s="518" t="str">
        <f>IF(AND(_A3="A-319",'2025'!$J$4="FO",'2025'!$J$2=AT233),'2025DATA'!$C$32,"")</f>
        <v/>
      </c>
      <c r="AU263" s="518" t="str">
        <f>IF(AND(_A3="A-319",'2025'!$J$4="FO",'2025'!$J$2=AU233),'2025DATA'!$D$32,"")</f>
        <v/>
      </c>
      <c r="AV263" s="518" t="str">
        <f>IF(AND(_A3="A-319",'2025'!$J$4="FO",'2025'!$J$2=AV233),'2025DATA'!$E$32,"")</f>
        <v/>
      </c>
      <c r="AW263" s="518" t="str">
        <f>IF(AND(_A3="A-319",'2025'!$J$4="FO",'2025'!$J$2=AW233),'2025DATA'!$F$32,"")</f>
        <v/>
      </c>
      <c r="AX263" s="518" t="str">
        <f>IF(AND(_A3="A-319",'2025'!$J$4="FO",'2025'!$J$2=AX233),'2025DATA'!$G$32,"")</f>
        <v/>
      </c>
      <c r="AY263" s="518" t="str">
        <f>IF(AND(_A3="A-319",'2025'!$J$4="FO",'2025'!$J$2=AY233),'2025DATA'!$H$32,"")</f>
        <v/>
      </c>
      <c r="AZ263" s="518" t="str">
        <f>IF(AND(_A3="A-319",'2025'!$J$4="FO",'2025'!$J$2=AZ233),'2025DATA'!$I$32,"")</f>
        <v/>
      </c>
      <c r="BA263" s="518" t="str">
        <f>IF(AND(_A3="A-319",'2025'!$J$4="FO",'2025'!$J$2=BA233),'2025DATA'!$J$32,"")</f>
        <v/>
      </c>
      <c r="BB263" s="518" t="str">
        <f>IF(AND(_A3="A-319",'2025'!$J$4="FO",'2025'!$J$2=BB233),'2025DATA'!$K$32,"")</f>
        <v/>
      </c>
      <c r="BC263" s="518" t="str">
        <f>IF(AND(_A3="A-319",'2025'!$J$4="FO",'2025'!$J$2=BC233),'2025DATA'!$L$32,"")</f>
        <v/>
      </c>
      <c r="BD263" s="518" t="str">
        <f>IF(AND(_A3="A-319",'2025'!$J$4="FO",'2025'!$J$2=BD233),'2025DATA'!$M$32,"")</f>
        <v/>
      </c>
      <c r="BE263" s="520" t="str">
        <f>IF(AND(_A3="A-319",'2025'!$J$4="FO",'2025'!$J$2=BE233),'2025DATA'!$N$32,"")</f>
        <v/>
      </c>
      <c r="BF263" s="940"/>
      <c r="BG263" s="13" t="s">
        <v>62</v>
      </c>
      <c r="BH263" s="518" t="str">
        <f>IF(AND(_A4="A-319",'2025'!$J$4="FO",'2025'!$J$2=BH233),'2025DATA'!$C$32,"")</f>
        <v/>
      </c>
      <c r="BI263" s="518" t="str">
        <f>IF(AND(_A4="A-319",'2025'!$J$4="FO",'2025'!$J$2=BI233),'2025DATA'!$D$32,"")</f>
        <v/>
      </c>
      <c r="BJ263" s="518" t="str">
        <f>IF(AND(_A4="A-319",'2025'!$J$4="FO",'2025'!$J$2=BJ233),'2025DATA'!$E$32,"")</f>
        <v/>
      </c>
      <c r="BK263" s="518" t="str">
        <f>IF(AND(_A4="A-319",'2025'!$J$4="FO",'2025'!$J$2=BK233),'2025DATA'!$F$32,"")</f>
        <v/>
      </c>
      <c r="BL263" s="518" t="str">
        <f>IF(AND(_A4="A-319",'2025'!$J$4="FO",'2025'!$J$2=BL233),'2025DATA'!$G$32,"")</f>
        <v/>
      </c>
      <c r="BM263" s="518" t="str">
        <f>IF(AND(_A4="A-319",'2025'!$J$4="FO",'2025'!$J$2=BM233),'2025DATA'!$H$32,"")</f>
        <v/>
      </c>
      <c r="BN263" s="518" t="str">
        <f>IF(AND(_A4="A-319",'2025'!$J$4="FO",'2025'!$J$2=BN233),'2025DATA'!$I$32,"")</f>
        <v/>
      </c>
      <c r="BO263" s="518" t="str">
        <f>IF(AND(_A4="A-319",'2025'!$J$4="FO",'2025'!$J$2=BO233),'2025DATA'!$J$32,"")</f>
        <v/>
      </c>
      <c r="BP263" s="518" t="str">
        <f>IF(AND(_A4="A-319",'2025'!$J$4="FO",'2025'!$J$2=BP233),'2025DATA'!$K$32,"")</f>
        <v/>
      </c>
      <c r="BQ263" s="518" t="str">
        <f>IF(AND(_A4="A-319",'2025'!$J$4="FO",'2025'!$J$2=BQ233),'2025DATA'!$L$32,"")</f>
        <v/>
      </c>
      <c r="BR263" s="518" t="str">
        <f>IF(AND(_A4="A-319",'2025'!$J$4="FO",'2025'!$J$2=BR233),'2025DATA'!$M$32,"")</f>
        <v/>
      </c>
      <c r="BS263" s="520" t="str">
        <f>IF(AND(_A4="A-319",'2025'!$J$4="FO",'2025'!$J$2=BS233),'2025DATA'!$N$32,"")</f>
        <v/>
      </c>
      <c r="BT263" s="940"/>
      <c r="BU263" s="13" t="s">
        <v>62</v>
      </c>
      <c r="BV263" s="518" t="str">
        <f>IF(AND(_A5="A-319",'2025'!$J$4="FO",'2025'!$J$2=BV233),'2025DATA'!$C$32,"")</f>
        <v/>
      </c>
      <c r="BW263" s="518" t="str">
        <f>IF(AND(_A5="A-319",'2025'!$J$4="FO",'2025'!$J$2=BW233),'2025DATA'!$D$32,"")</f>
        <v/>
      </c>
      <c r="BX263" s="518" t="str">
        <f>IF(AND(_A5="A-319",'2025'!$J$4="FO",'2025'!$J$2=BX233),'2025DATA'!$E$32,"")</f>
        <v/>
      </c>
      <c r="BY263" s="518" t="str">
        <f>IF(AND(_A5="A-319",'2025'!$J$4="FO",'2025'!$J$2=BY233),'2025DATA'!$F$32,"")</f>
        <v/>
      </c>
      <c r="BZ263" s="518" t="str">
        <f>IF(AND(_A5="A-319",'2025'!$J$4="FO",'2025'!$J$2=BZ233),'2025DATA'!$G$32,"")</f>
        <v/>
      </c>
      <c r="CA263" s="518" t="str">
        <f>IF(AND(_A5="A-319",'2025'!$J$4="FO",'2025'!$J$2=CA233),'2025DATA'!$H$32,"")</f>
        <v/>
      </c>
      <c r="CB263" s="518" t="str">
        <f>IF(AND(_A5="A-319",'2025'!$J$4="FO",'2025'!$J$2=CB233),'2025DATA'!$I$32,"")</f>
        <v/>
      </c>
      <c r="CC263" s="518" t="str">
        <f>IF(AND(_A5="A-319",'2025'!$J$4="FO",'2025'!$J$2=CC233),'2025DATA'!$J$32,"")</f>
        <v/>
      </c>
      <c r="CD263" s="518" t="str">
        <f>IF(AND(_A5="A-319",'2025'!$J$4="FO",'2025'!$J$2=CD233),'2025DATA'!$K$32,"")</f>
        <v/>
      </c>
      <c r="CE263" s="518" t="str">
        <f>IF(AND(_A5="A-319",'2025'!$J$4="FO",'2025'!$J$2=CE233),'2025DATA'!$L$32,"")</f>
        <v/>
      </c>
      <c r="CF263" s="518" t="str">
        <f>IF(AND(_A5="A-319",'2025'!$J$4="FO",'2025'!$J$2=CF233),'2025DATA'!$M$32,"")</f>
        <v/>
      </c>
      <c r="CG263" s="520" t="str">
        <f>IF(AND(_A5="A-319",'2025'!$J$4="FO",'2025'!$J$2=CG233),'2025DATA'!$N$32,"")</f>
        <v/>
      </c>
      <c r="CH263" s="940"/>
      <c r="CI263" s="13" t="s">
        <v>62</v>
      </c>
      <c r="CJ263" s="518" t="str">
        <f>IF(AND(_A6="A-319",'2025'!$J$4="FO",'2025'!$J$2=CJ233),'2025DATA'!$C$32,"")</f>
        <v/>
      </c>
      <c r="CK263" s="518" t="str">
        <f>IF(AND(_A6="A-319",'2025'!$J$4="FO",'2025'!$J$2=CK233),'2025DATA'!$D$32,"")</f>
        <v/>
      </c>
      <c r="CL263" s="518" t="str">
        <f>IF(AND(_A6="A-319",'2025'!$J$4="FO",'2025'!$J$2=CL233),'2025DATA'!$E$32,"")</f>
        <v/>
      </c>
      <c r="CM263" s="518" t="str">
        <f>IF(AND(_A6="A-319",'2025'!$J$4="FO",'2025'!$J$2=CM233),'2025DATA'!$F$32,"")</f>
        <v/>
      </c>
      <c r="CN263" s="518" t="str">
        <f>IF(AND(_A6="A-319",'2025'!$J$4="FO",'2025'!$J$2=CN233),'2025DATA'!$G$32,"")</f>
        <v/>
      </c>
      <c r="CO263" s="518" t="str">
        <f>IF(AND(_A6="A-319",'2025'!$J$4="FO",'2025'!$J$2=CO233),'2025DATA'!$H$32,"")</f>
        <v/>
      </c>
      <c r="CP263" s="518" t="str">
        <f>IF(AND(_A6="A-319",'2025'!$J$4="FO",'2025'!$J$2=CP233),'2025DATA'!$I$32,"")</f>
        <v/>
      </c>
      <c r="CQ263" s="518" t="str">
        <f>IF(AND(_A6="A-319",'2025'!$J$4="FO",'2025'!$J$2=CQ233),'2025DATA'!$J$32,"")</f>
        <v/>
      </c>
      <c r="CR263" s="518" t="str">
        <f>IF(AND(_A6="A-319",'2025'!$J$4="FO",'2025'!$J$2=CR233),'2025DATA'!$K$32,"")</f>
        <v/>
      </c>
      <c r="CS263" s="518" t="str">
        <f>IF(AND(_A6="A-319",'2025'!$J$4="FO",'2025'!$J$2=CS233),'2025DATA'!$L$32,"")</f>
        <v/>
      </c>
      <c r="CT263" s="518" t="str">
        <f>IF(AND(_A6="A-319",'2025'!$J$4="FO",'2025'!$J$2=CT233),'2025DATA'!$M$32,"")</f>
        <v/>
      </c>
      <c r="CU263" s="520" t="str">
        <f>IF(AND(_A6="A-319",'2025'!$J$4="FO",'2025'!$J$2=CU233),'2025DATA'!$N$32,"")</f>
        <v/>
      </c>
    </row>
    <row r="264" spans="16:99" x14ac:dyDescent="0.25">
      <c r="P264" s="940" t="s">
        <v>51</v>
      </c>
      <c r="Q264" s="13" t="s">
        <v>61</v>
      </c>
      <c r="R264" s="518" t="str">
        <f>IF(AND(_A1="A-220-300",'2025'!$J$4="CA",'2025'!$J$2=R233),'2025DATA'!$C$33,"")</f>
        <v/>
      </c>
      <c r="S264" s="518" t="str">
        <f>IF(AND(_A1="A-220-300",'2025'!$J$4="CA",'2025'!$J$2=S233),'2025DATA'!$D$33,"")</f>
        <v/>
      </c>
      <c r="T264" s="518" t="str">
        <f>IF(AND(_A1="A-220-300",'2025'!$J$4="CA",'2025'!$J$2=T233),'2025DATA'!$E$33,"")</f>
        <v/>
      </c>
      <c r="U264" s="518" t="str">
        <f>IF(AND(_A1="A-220-300",'2025'!$J$4="CA",'2025'!$J$2=U233),'2025DATA'!$F$33,"")</f>
        <v/>
      </c>
      <c r="V264" s="518" t="str">
        <f>IF(AND(_A1="A-220-300",'2025'!$J$4="CA",'2025'!$J$2=V233),'2025DATA'!$G$33,"")</f>
        <v/>
      </c>
      <c r="W264" s="518" t="str">
        <f>IF(AND(_A1="A-220-300",'2025'!$J$4="CA",'2025'!$J$2=W233),'2025DATA'!$H$33,"")</f>
        <v/>
      </c>
      <c r="X264" s="518" t="str">
        <f>IF(AND(_A1="A-220-300",'2025'!$J$4="CA",'2025'!$J$2=X233),'2025DATA'!$I$33,"")</f>
        <v/>
      </c>
      <c r="Y264" s="518" t="str">
        <f>IF(AND(_A1="A-220-300",'2025'!$J$4="CA",'2025'!$J$2=Y233),'2025DATA'!$J$33,"")</f>
        <v/>
      </c>
      <c r="Z264" s="518" t="str">
        <f>IF(AND(_A1="A-220-300",'2025'!$J$4="CA",'2025'!$J$2=Z233),'2025DATA'!$K$33,"")</f>
        <v/>
      </c>
      <c r="AA264" s="518" t="str">
        <f>IF(AND(_A1="A-220-300",'2025'!$J$4="CA",'2025'!$J$2=AA233),'2025DATA'!$L$33,"")</f>
        <v/>
      </c>
      <c r="AB264" s="518" t="str">
        <f>IF(AND(_A1="A-220-300",'2025'!$J$4="CA",'2025'!$J$2=AB233),'2025DATA'!$M$33,"")</f>
        <v/>
      </c>
      <c r="AC264" s="520" t="str">
        <f>IF(AND(_A1="A-220-300",'2025'!$J$4="CA",'2025'!$J$2=AC233),'2025DATA'!$N$33,"")</f>
        <v/>
      </c>
      <c r="AD264" s="940" t="s">
        <v>51</v>
      </c>
      <c r="AE264" s="13" t="s">
        <v>61</v>
      </c>
      <c r="AF264" s="518" t="str">
        <f>IF(AND(_A2="A-220-300",'2025'!$J$4="CA",'2025'!$J$2=AF233),'2025DATA'!$C$33,"")</f>
        <v/>
      </c>
      <c r="AG264" s="518" t="str">
        <f>IF(AND(_A2="A-220-300",'2025'!$J$4="CA",'2025'!$J$2=AG233),'2025DATA'!$D$33,"")</f>
        <v/>
      </c>
      <c r="AH264" s="518" t="str">
        <f>IF(AND(_A2="A-220-300",'2025'!$J$4="CA",'2025'!$J$2=AH233),'2025DATA'!$E$33,"")</f>
        <v/>
      </c>
      <c r="AI264" s="518" t="str">
        <f>IF(AND(_A2="A-220-300",'2025'!$J$4="CA",'2025'!$J$2=AI233),'2025DATA'!$F$33,"")</f>
        <v/>
      </c>
      <c r="AJ264" s="518" t="str">
        <f>IF(AND(_A2="A-220-300",'2025'!$J$4="CA",'2025'!$J$2=AJ233),'2025DATA'!$G$33,"")</f>
        <v/>
      </c>
      <c r="AK264" s="518" t="str">
        <f>IF(AND(_A2="A-220-300",'2025'!$J$4="CA",'2025'!$J$2=AK233),'2025DATA'!$H$33,"")</f>
        <v/>
      </c>
      <c r="AL264" s="518" t="str">
        <f>IF(AND(_A2="A-220-300",'2025'!$J$4="CA",'2025'!$J$2=AL233),'2025DATA'!$I$33,"")</f>
        <v/>
      </c>
      <c r="AM264" s="518" t="str">
        <f>IF(AND(_A2="A-220-300",'2025'!$J$4="CA",'2025'!$J$2=AM233),'2025DATA'!$J$33,"")</f>
        <v/>
      </c>
      <c r="AN264" s="518" t="str">
        <f>IF(AND(_A2="A-220-300",'2025'!$J$4="CA",'2025'!$J$2=AN233),'2025DATA'!$K$33,"")</f>
        <v/>
      </c>
      <c r="AO264" s="518" t="str">
        <f>IF(AND(_A2="A-220-300",'2025'!$J$4="CA",'2025'!$J$2=AO233),'2025DATA'!$L$33,"")</f>
        <v/>
      </c>
      <c r="AP264" s="518" t="str">
        <f>IF(AND(_A2="A-220-300",'2025'!$J$4="CA",'2025'!$J$2=AP233),'2025DATA'!$M$33,"")</f>
        <v/>
      </c>
      <c r="AQ264" s="520" t="str">
        <f>IF(AND(_A2="A-220-300",'2025'!$J$4="CA",'2025'!$J$2=AQ233),'2025DATA'!$N$33,"")</f>
        <v/>
      </c>
      <c r="AR264" s="940" t="s">
        <v>51</v>
      </c>
      <c r="AS264" s="13" t="s">
        <v>61</v>
      </c>
      <c r="AT264" s="518" t="str">
        <f>IF(AND(_A3="A-220-300",'2025'!$J$4="CA",'2025'!$J$2=AT233),'2025DATA'!$C$33,"")</f>
        <v/>
      </c>
      <c r="AU264" s="518" t="str">
        <f>IF(AND(_A3="A-220-300",'2025'!$J$4="CA",'2025'!$J$2=AU233),'2025DATA'!$D$33,"")</f>
        <v/>
      </c>
      <c r="AV264" s="518" t="str">
        <f>IF(AND(_A3="A-220-300",'2025'!$J$4="CA",'2025'!$J$2=AV233),'2025DATA'!$E$33,"")</f>
        <v/>
      </c>
      <c r="AW264" s="518" t="str">
        <f>IF(AND(_A3="A-220-300",'2025'!$J$4="CA",'2025'!$J$2=AW233),'2025DATA'!$F$33,"")</f>
        <v/>
      </c>
      <c r="AX264" s="518" t="str">
        <f>IF(AND(_A3="A-220-300",'2025'!$J$4="CA",'2025'!$J$2=AX233),'2025DATA'!$G$33,"")</f>
        <v/>
      </c>
      <c r="AY264" s="518" t="str">
        <f>IF(AND(_A3="A-220-300",'2025'!$J$4="CA",'2025'!$J$2=AY233),'2025DATA'!$H$33,"")</f>
        <v/>
      </c>
      <c r="AZ264" s="518" t="str">
        <f>IF(AND(_A3="A-220-300",'2025'!$J$4="CA",'2025'!$J$2=AZ233),'2025DATA'!$I$33,"")</f>
        <v/>
      </c>
      <c r="BA264" s="518" t="str">
        <f>IF(AND(_A3="A-220-300",'2025'!$J$4="CA",'2025'!$J$2=BA233),'2025DATA'!$J$33,"")</f>
        <v/>
      </c>
      <c r="BB264" s="518" t="str">
        <f>IF(AND(_A3="A-220-300",'2025'!$J$4="CA",'2025'!$J$2=BB233),'2025DATA'!$K$33,"")</f>
        <v/>
      </c>
      <c r="BC264" s="518" t="str">
        <f>IF(AND(_A3="A-220-300",'2025'!$J$4="CA",'2025'!$J$2=BC233),'2025DATA'!$L$33,"")</f>
        <v/>
      </c>
      <c r="BD264" s="518" t="str">
        <f>IF(AND(_A3="A-220-300",'2025'!$J$4="CA",'2025'!$J$2=BD233),'2025DATA'!$M$33,"")</f>
        <v/>
      </c>
      <c r="BE264" s="520" t="str">
        <f>IF(AND(_A3="A-220-300",'2025'!$J$4="CA",'2025'!$J$2=BE233),'2025DATA'!$N$33,"")</f>
        <v/>
      </c>
      <c r="BF264" s="940" t="s">
        <v>51</v>
      </c>
      <c r="BG264" s="13" t="s">
        <v>61</v>
      </c>
      <c r="BH264" s="518" t="str">
        <f>IF(AND(_A4="A-220-300",'2025'!$J$4="CA",'2025'!$J$2=BH233),'2025DATA'!$C$33,"")</f>
        <v/>
      </c>
      <c r="BI264" s="518" t="str">
        <f>IF(AND(_A4="A-220-300",'2025'!$J$4="CA",'2025'!$J$2=BI233),'2025DATA'!$D$33,"")</f>
        <v/>
      </c>
      <c r="BJ264" s="518" t="str">
        <f>IF(AND(_A4="A-220-300",'2025'!$J$4="CA",'2025'!$J$2=BJ233),'2025DATA'!$E$33,"")</f>
        <v/>
      </c>
      <c r="BK264" s="518" t="str">
        <f>IF(AND(_A4="A-220-300",'2025'!$J$4="CA",'2025'!$J$2=BK233),'2025DATA'!$F$33,"")</f>
        <v/>
      </c>
      <c r="BL264" s="518" t="str">
        <f>IF(AND(_A4="A-220-300",'2025'!$J$4="CA",'2025'!$J$2=BL233),'2025DATA'!$G$33,"")</f>
        <v/>
      </c>
      <c r="BM264" s="518" t="str">
        <f>IF(AND(_A4="A-220-300",'2025'!$J$4="CA",'2025'!$J$2=BM233),'2025DATA'!$H$33,"")</f>
        <v/>
      </c>
      <c r="BN264" s="518" t="str">
        <f>IF(AND(_A4="A-220-300",'2025'!$J$4="CA",'2025'!$J$2=BN233),'2025DATA'!$I$33,"")</f>
        <v/>
      </c>
      <c r="BO264" s="518" t="str">
        <f>IF(AND(_A4="A-220-300",'2025'!$J$4="CA",'2025'!$J$2=BO233),'2025DATA'!$J$33,"")</f>
        <v/>
      </c>
      <c r="BP264" s="518" t="str">
        <f>IF(AND(_A4="A-220-300",'2025'!$J$4="CA",'2025'!$J$2=BP233),'2025DATA'!$K$33,"")</f>
        <v/>
      </c>
      <c r="BQ264" s="518" t="str">
        <f>IF(AND(_A4="A-220-300",'2025'!$J$4="CA",'2025'!$J$2=BQ233),'2025DATA'!$L$33,"")</f>
        <v/>
      </c>
      <c r="BR264" s="518" t="str">
        <f>IF(AND(_A4="A-220-300",'2025'!$J$4="CA",'2025'!$J$2=BR233),'2025DATA'!$M$33,"")</f>
        <v/>
      </c>
      <c r="BS264" s="520" t="str">
        <f>IF(AND(_A4="A-220-300",'2025'!$J$4="CA",'2025'!$J$2=BS233),'2025DATA'!$N$33,"")</f>
        <v/>
      </c>
      <c r="BT264" s="940" t="s">
        <v>51</v>
      </c>
      <c r="BU264" s="13" t="s">
        <v>61</v>
      </c>
      <c r="BV264" s="518" t="str">
        <f>IF(AND(_A5="A-220-300",'2025'!$J$4="CA",'2025'!$J$2=BV233),'2025DATA'!$C$33,"")</f>
        <v/>
      </c>
      <c r="BW264" s="518" t="str">
        <f>IF(AND(_A5="A-220-300",'2025'!$J$4="CA",'2025'!$J$2=BW233),'2025DATA'!$D$33,"")</f>
        <v/>
      </c>
      <c r="BX264" s="518" t="str">
        <f>IF(AND(_A5="A-220-300",'2025'!$J$4="CA",'2025'!$J$2=BX233),'2025DATA'!$E$33,"")</f>
        <v/>
      </c>
      <c r="BY264" s="518" t="str">
        <f>IF(AND(_A5="A-220-300",'2025'!$J$4="CA",'2025'!$J$2=BY233),'2025DATA'!$F$33,"")</f>
        <v/>
      </c>
      <c r="BZ264" s="518" t="str">
        <f>IF(AND(_A5="A-220-300",'2025'!$J$4="CA",'2025'!$J$2=BZ233),'2025DATA'!$G$33,"")</f>
        <v/>
      </c>
      <c r="CA264" s="518" t="str">
        <f>IF(AND(_A5="A-220-300",'2025'!$J$4="CA",'2025'!$J$2=CA233),'2025DATA'!$H$33,"")</f>
        <v/>
      </c>
      <c r="CB264" s="518" t="str">
        <f>IF(AND(_A5="A-220-300",'2025'!$J$4="CA",'2025'!$J$2=CB233),'2025DATA'!$I$33,"")</f>
        <v/>
      </c>
      <c r="CC264" s="518" t="str">
        <f>IF(AND(_A5="A-220-300",'2025'!$J$4="CA",'2025'!$J$2=CC233),'2025DATA'!$J$33,"")</f>
        <v/>
      </c>
      <c r="CD264" s="518" t="str">
        <f>IF(AND(_A5="A-220-300",'2025'!$J$4="CA",'2025'!$J$2=CD233),'2025DATA'!$K$33,"")</f>
        <v/>
      </c>
      <c r="CE264" s="518" t="str">
        <f>IF(AND(_A5="A-220-300",'2025'!$J$4="CA",'2025'!$J$2=CE233),'2025DATA'!$L$33,"")</f>
        <v/>
      </c>
      <c r="CF264" s="518" t="str">
        <f>IF(AND(_A5="A-220-300",'2025'!$J$4="CA",'2025'!$J$2=CF233),'2025DATA'!$M$33,"")</f>
        <v/>
      </c>
      <c r="CG264" s="520" t="str">
        <f>IF(AND(_A5="A-220-300",'2025'!$J$4="CA",'2025'!$J$2=CG233),'2025DATA'!$N$33,"")</f>
        <v/>
      </c>
      <c r="CH264" s="940" t="s">
        <v>51</v>
      </c>
      <c r="CI264" s="13" t="s">
        <v>61</v>
      </c>
      <c r="CJ264" s="518" t="str">
        <f>IF(AND(_A6="A-220-300",'2025'!$J$4="CA",'2025'!$J$2=CJ233),'2025DATA'!$C$33,"")</f>
        <v/>
      </c>
      <c r="CK264" s="518" t="str">
        <f>IF(AND(_A6="A-220-300",'2025'!$J$4="CA",'2025'!$J$2=CK233),'2025DATA'!$D$33,"")</f>
        <v/>
      </c>
      <c r="CL264" s="518" t="str">
        <f>IF(AND(_A6="A-220-300",'2025'!$J$4="CA",'2025'!$J$2=CL233),'2025DATA'!$E$33,"")</f>
        <v/>
      </c>
      <c r="CM264" s="518" t="str">
        <f>IF(AND(_A6="A-220-300",'2025'!$J$4="CA",'2025'!$J$2=CM233),'2025DATA'!$F$33,"")</f>
        <v/>
      </c>
      <c r="CN264" s="518" t="str">
        <f>IF(AND(_A6="A-220-300",'2025'!$J$4="CA",'2025'!$J$2=CN233),'2025DATA'!$G$33,"")</f>
        <v/>
      </c>
      <c r="CO264" s="518" t="str">
        <f>IF(AND(_A6="A-220-300",'2025'!$J$4="CA",'2025'!$J$2=CO233),'2025DATA'!$H$33,"")</f>
        <v/>
      </c>
      <c r="CP264" s="518" t="str">
        <f>IF(AND(_A6="A-220-300",'2025'!$J$4="CA",'2025'!$J$2=CP233),'2025DATA'!$I$33,"")</f>
        <v/>
      </c>
      <c r="CQ264" s="518" t="str">
        <f>IF(AND(_A6="A-220-300",'2025'!$J$4="CA",'2025'!$J$2=CQ233),'2025DATA'!$J$33,"")</f>
        <v/>
      </c>
      <c r="CR264" s="518" t="str">
        <f>IF(AND(_A6="A-220-300",'2025'!$J$4="CA",'2025'!$J$2=CR233),'2025DATA'!$K$33,"")</f>
        <v/>
      </c>
      <c r="CS264" s="518" t="str">
        <f>IF(AND(_A6="A-220-300",'2025'!$J$4="CA",'2025'!$J$2=CS233),'2025DATA'!$L$33,"")</f>
        <v/>
      </c>
      <c r="CT264" s="518" t="str">
        <f>IF(AND(_A6="A-220-300",'2025'!$J$4="CA",'2025'!$J$2=CT233),'2025DATA'!$M$33,"")</f>
        <v/>
      </c>
      <c r="CU264" s="520" t="str">
        <f>IF(AND(_A6="A-220-300",'2025'!$J$4="CA",'2025'!$J$2=CU233),'2025DATA'!$N$33,"")</f>
        <v/>
      </c>
    </row>
    <row r="265" spans="16:99" x14ac:dyDescent="0.25">
      <c r="P265" s="940"/>
      <c r="Q265" s="13" t="s">
        <v>62</v>
      </c>
      <c r="R265" s="518" t="str">
        <f>IF(AND(_A1="A-220-300",'2025'!$J$4="FO",'2025'!$J$2=R233),'2025DATA'!$C$34,"")</f>
        <v/>
      </c>
      <c r="S265" s="518" t="str">
        <f>IF(AND(_A1="A-220-300",'2025'!$J$4="FO",'2025'!$J$2=S233),'2025DATA'!$D$34,"")</f>
        <v/>
      </c>
      <c r="T265" s="518" t="str">
        <f>IF(AND(_A1="A-220-300",'2025'!$J$4="FO",'2025'!$J$2=T233),'2025DATA'!$E$34,"")</f>
        <v/>
      </c>
      <c r="U265" s="518" t="str">
        <f>IF(AND(_A1="A-220-300",'2025'!$J$4="FO",'2025'!$J$2=U233),'2025DATA'!$F$34,"")</f>
        <v/>
      </c>
      <c r="V265" s="518" t="str">
        <f>IF(AND(_A1="A-220-300",'2025'!$J$4="FO",'2025'!$J$2=V233),'2025DATA'!$G$34,"")</f>
        <v/>
      </c>
      <c r="W265" s="518" t="str">
        <f>IF(AND(_A1="A-220-300",'2025'!$J$4="FO",'2025'!$J$2=W233),'2025DATA'!$H$34,"")</f>
        <v/>
      </c>
      <c r="X265" s="518" t="str">
        <f>IF(AND(_A1="A-220-300",'2025'!$J$4="FO",'2025'!$J$2=X233),'2025DATA'!$I$34,"")</f>
        <v/>
      </c>
      <c r="Y265" s="518" t="str">
        <f>IF(AND(_A1="A-220-300",'2025'!$J$4="FO",'2025'!$J$2=Y233),'2025DATA'!$J$34,"")</f>
        <v/>
      </c>
      <c r="Z265" s="518" t="str">
        <f>IF(AND(_A1="A-220-300",'2025'!$J$4="FO",'2025'!$J$2=Z233),'2025DATA'!$K$34,"")</f>
        <v/>
      </c>
      <c r="AA265" s="518" t="str">
        <f>IF(AND(_A1="A-220-300",'2025'!$J$4="FO",'2025'!$J$2=AA233),'2025DATA'!$L$34,"")</f>
        <v/>
      </c>
      <c r="AB265" s="518" t="str">
        <f>IF(AND(_A1="A-220-300",'2025'!$J$4="FO",'2025'!$J$2=AB233),'2025DATA'!$M$34,"")</f>
        <v/>
      </c>
      <c r="AC265" s="520" t="str">
        <f>IF(AND(_A1="A-220-300",'2025'!$J$4="FO",'2025'!$J$2=AC233),'2025DATA'!$N$34,"")</f>
        <v/>
      </c>
      <c r="AD265" s="940"/>
      <c r="AE265" s="13" t="s">
        <v>62</v>
      </c>
      <c r="AF265" s="518" t="str">
        <f>IF(AND(_A2="A-220-300",'2025'!$J$4="FO",'2025'!$J$2=AF233),'2025DATA'!$C$34,"")</f>
        <v/>
      </c>
      <c r="AG265" s="518" t="str">
        <f>IF(AND(_A2="A-220-300",'2025'!$J$4="FO",'2025'!$J$2=AG233),'2025DATA'!$D$34,"")</f>
        <v/>
      </c>
      <c r="AH265" s="518" t="str">
        <f>IF(AND(_A2="A-220-300",'2025'!$J$4="FO",'2025'!$J$2=AH233),'2025DATA'!$E$34,"")</f>
        <v/>
      </c>
      <c r="AI265" s="518" t="str">
        <f>IF(AND(_A2="A-220-300",'2025'!$J$4="FO",'2025'!$J$2=AI233),'2025DATA'!$F$34,"")</f>
        <v/>
      </c>
      <c r="AJ265" s="518" t="str">
        <f>IF(AND(_A2="A-220-300",'2025'!$J$4="FO",'2025'!$J$2=AJ233),'2025DATA'!$G$34,"")</f>
        <v/>
      </c>
      <c r="AK265" s="518" t="str">
        <f>IF(AND(_A2="A-220-300",'2025'!$J$4="FO",'2025'!$J$2=AK233),'2025DATA'!$H$34,"")</f>
        <v/>
      </c>
      <c r="AL265" s="518" t="str">
        <f>IF(AND(_A2="A-220-300",'2025'!$J$4="FO",'2025'!$J$2=AL233),'2025DATA'!$I$34,"")</f>
        <v/>
      </c>
      <c r="AM265" s="518" t="str">
        <f>IF(AND(_A2="A-220-300",'2025'!$J$4="FO",'2025'!$J$2=AM233),'2025DATA'!$J$34,"")</f>
        <v/>
      </c>
      <c r="AN265" s="518" t="str">
        <f>IF(AND(_A2="A-220-300",'2025'!$J$4="FO",'2025'!$J$2=AN233),'2025DATA'!$K$34,"")</f>
        <v/>
      </c>
      <c r="AO265" s="518" t="str">
        <f>IF(AND(_A2="A-220-300",'2025'!$J$4="FO",'2025'!$J$2=AO233),'2025DATA'!$L$34,"")</f>
        <v/>
      </c>
      <c r="AP265" s="518" t="str">
        <f>IF(AND(_A2="A-220-300",'2025'!$J$4="FO",'2025'!$J$2=AP233),'2025DATA'!$M$34,"")</f>
        <v/>
      </c>
      <c r="AQ265" s="520" t="str">
        <f>IF(AND(_A2="A-220-300",'2025'!$J$4="FO",'2025'!$J$2=AQ233),'2025DATA'!$N$34,"")</f>
        <v/>
      </c>
      <c r="AR265" s="940"/>
      <c r="AS265" s="13" t="s">
        <v>62</v>
      </c>
      <c r="AT265" s="518" t="str">
        <f>IF(AND(_A3="A-220-300",'2025'!$J$4="FO",'2025'!$J$2=AT233),'2025DATA'!$C$34,"")</f>
        <v/>
      </c>
      <c r="AU265" s="518" t="str">
        <f>IF(AND(_A3="A-220-300",'2025'!$J$4="FO",'2025'!$J$2=AU233),'2025DATA'!$D$34,"")</f>
        <v/>
      </c>
      <c r="AV265" s="518" t="str">
        <f>IF(AND(_A3="A-220-300",'2025'!$J$4="FO",'2025'!$J$2=AV233),'2025DATA'!$E$34,"")</f>
        <v/>
      </c>
      <c r="AW265" s="518" t="str">
        <f>IF(AND(_A3="A-220-300",'2025'!$J$4="FO",'2025'!$J$2=AW233),'2025DATA'!$F$34,"")</f>
        <v/>
      </c>
      <c r="AX265" s="518" t="str">
        <f>IF(AND(_A3="A-220-300",'2025'!$J$4="FO",'2025'!$J$2=AX233),'2025DATA'!$G$34,"")</f>
        <v/>
      </c>
      <c r="AY265" s="518" t="str">
        <f>IF(AND(_A3="A-220-300",'2025'!$J$4="FO",'2025'!$J$2=AY233),'2025DATA'!$H$34,"")</f>
        <v/>
      </c>
      <c r="AZ265" s="518" t="str">
        <f>IF(AND(_A3="A-220-300",'2025'!$J$4="FO",'2025'!$J$2=AZ233),'2025DATA'!$I$34,"")</f>
        <v/>
      </c>
      <c r="BA265" s="518" t="str">
        <f>IF(AND(_A3="A-220-300",'2025'!$J$4="FO",'2025'!$J$2=BA233),'2025DATA'!$J$34,"")</f>
        <v/>
      </c>
      <c r="BB265" s="518" t="str">
        <f>IF(AND(_A3="A-220-300",'2025'!$J$4="FO",'2025'!$J$2=BB233),'2025DATA'!$K$34,"")</f>
        <v/>
      </c>
      <c r="BC265" s="518" t="str">
        <f>IF(AND(_A3="A-220-300",'2025'!$J$4="FO",'2025'!$J$2=BC233),'2025DATA'!$L$34,"")</f>
        <v/>
      </c>
      <c r="BD265" s="518" t="str">
        <f>IF(AND(_A3="A-220-300",'2025'!$J$4="FO",'2025'!$J$2=BD233),'2025DATA'!$M$34,"")</f>
        <v/>
      </c>
      <c r="BE265" s="520" t="str">
        <f>IF(AND(_A3="A-220-300",'2025'!$J$4="FO",'2025'!$J$2=BE233),'2025DATA'!$N$34,"")</f>
        <v/>
      </c>
      <c r="BF265" s="940"/>
      <c r="BG265" s="13" t="s">
        <v>62</v>
      </c>
      <c r="BH265" s="518" t="str">
        <f>IF(AND(_A4="A-220-300",'2025'!$J$4="FO",'2025'!$J$2=BH233),'2025DATA'!$C$34,"")</f>
        <v/>
      </c>
      <c r="BI265" s="518" t="str">
        <f>IF(AND(_A4="A-220-300",'2025'!$J$4="FO",'2025'!$J$2=BI233),'2025DATA'!$D$34,"")</f>
        <v/>
      </c>
      <c r="BJ265" s="518" t="str">
        <f>IF(AND(_A4="A-220-300",'2025'!$J$4="FO",'2025'!$J$2=BJ233),'2025DATA'!$E$34,"")</f>
        <v/>
      </c>
      <c r="BK265" s="518" t="str">
        <f>IF(AND(_A4="A-220-300",'2025'!$J$4="FO",'2025'!$J$2=BK233),'2025DATA'!$F$34,"")</f>
        <v/>
      </c>
      <c r="BL265" s="518" t="str">
        <f>IF(AND(_A4="A-220-300",'2025'!$J$4="FO",'2025'!$J$2=BL233),'2025DATA'!$G$34,"")</f>
        <v/>
      </c>
      <c r="BM265" s="518" t="str">
        <f>IF(AND(_A4="A-220-300",'2025'!$J$4="FO",'2025'!$J$2=BM233),'2025DATA'!$H$34,"")</f>
        <v/>
      </c>
      <c r="BN265" s="518" t="str">
        <f>IF(AND(_A4="A-220-300",'2025'!$J$4="FO",'2025'!$J$2=BN233),'2025DATA'!$I$34,"")</f>
        <v/>
      </c>
      <c r="BO265" s="518" t="str">
        <f>IF(AND(_A4="A-220-300",'2025'!$J$4="FO",'2025'!$J$2=BO233),'2025DATA'!$J$34,"")</f>
        <v/>
      </c>
      <c r="BP265" s="518" t="str">
        <f>IF(AND(_A4="A-220-300",'2025'!$J$4="FO",'2025'!$J$2=BP233),'2025DATA'!$K$34,"")</f>
        <v/>
      </c>
      <c r="BQ265" s="518" t="str">
        <f>IF(AND(_A4="A-220-300",'2025'!$J$4="FO",'2025'!$J$2=BQ233),'2025DATA'!$L$34,"")</f>
        <v/>
      </c>
      <c r="BR265" s="518" t="str">
        <f>IF(AND(_A4="A-220-300",'2025'!$J$4="FO",'2025'!$J$2=BR233),'2025DATA'!$M$34,"")</f>
        <v/>
      </c>
      <c r="BS265" s="520" t="str">
        <f>IF(AND(_A4="A-220-300",'2025'!$J$4="FO",'2025'!$J$2=BS233),'2025DATA'!$N$34,"")</f>
        <v/>
      </c>
      <c r="BT265" s="940"/>
      <c r="BU265" s="13" t="s">
        <v>62</v>
      </c>
      <c r="BV265" s="518" t="str">
        <f>IF(AND(_A5="A-220-300",'2025'!$J$4="FO",'2025'!$J$2=BV233),'2025DATA'!$C$34,"")</f>
        <v/>
      </c>
      <c r="BW265" s="518" t="str">
        <f>IF(AND(_A5="A-220-300",'2025'!$J$4="FO",'2025'!$J$2=BW233),'2025DATA'!$D$34,"")</f>
        <v/>
      </c>
      <c r="BX265" s="518" t="str">
        <f>IF(AND(_A5="A-220-300",'2025'!$J$4="FO",'2025'!$J$2=BX233),'2025DATA'!$E$34,"")</f>
        <v/>
      </c>
      <c r="BY265" s="518" t="str">
        <f>IF(AND(_A5="A-220-300",'2025'!$J$4="FO",'2025'!$J$2=BY233),'2025DATA'!$F$34,"")</f>
        <v/>
      </c>
      <c r="BZ265" s="518" t="str">
        <f>IF(AND(_A5="A-220-300",'2025'!$J$4="FO",'2025'!$J$2=BZ233),'2025DATA'!$G$34,"")</f>
        <v/>
      </c>
      <c r="CA265" s="518" t="str">
        <f>IF(AND(_A5="A-220-300",'2025'!$J$4="FO",'2025'!$J$2=CA233),'2025DATA'!$H$34,"")</f>
        <v/>
      </c>
      <c r="CB265" s="518" t="str">
        <f>IF(AND(_A5="A-220-300",'2025'!$J$4="FO",'2025'!$J$2=CB233),'2025DATA'!$I$34,"")</f>
        <v/>
      </c>
      <c r="CC265" s="518" t="str">
        <f>IF(AND(_A5="A-220-300",'2025'!$J$4="FO",'2025'!$J$2=CC233),'2025DATA'!$J$34,"")</f>
        <v/>
      </c>
      <c r="CD265" s="518" t="str">
        <f>IF(AND(_A5="A-220-300",'2025'!$J$4="FO",'2025'!$J$2=CD233),'2025DATA'!$K$34,"")</f>
        <v/>
      </c>
      <c r="CE265" s="518" t="str">
        <f>IF(AND(_A5="A-220-300",'2025'!$J$4="FO",'2025'!$J$2=CE233),'2025DATA'!$L$34,"")</f>
        <v/>
      </c>
      <c r="CF265" s="518" t="str">
        <f>IF(AND(_A5="A-220-300",'2025'!$J$4="FO",'2025'!$J$2=CF233),'2025DATA'!$M$34,"")</f>
        <v/>
      </c>
      <c r="CG265" s="520" t="str">
        <f>IF(AND(_A5="A-220-300",'2025'!$J$4="FO",'2025'!$J$2=CG233),'2025DATA'!$N$34,"")</f>
        <v/>
      </c>
      <c r="CH265" s="940"/>
      <c r="CI265" s="13" t="s">
        <v>62</v>
      </c>
      <c r="CJ265" s="518" t="str">
        <f>IF(AND(_A6="A-220-300",'2025'!$J$4="FO",'2025'!$J$2=CJ233),'2025DATA'!$C$34,"")</f>
        <v/>
      </c>
      <c r="CK265" s="518" t="str">
        <f>IF(AND(_A6="A-220-300",'2025'!$J$4="FO",'2025'!$J$2=CK233),'2025DATA'!$D$34,"")</f>
        <v/>
      </c>
      <c r="CL265" s="518" t="str">
        <f>IF(AND(_A6="A-220-300",'2025'!$J$4="FO",'2025'!$J$2=CL233),'2025DATA'!$E$34,"")</f>
        <v/>
      </c>
      <c r="CM265" s="518" t="str">
        <f>IF(AND(_A6="A-220-300",'2025'!$J$4="FO",'2025'!$J$2=CM233),'2025DATA'!$F$34,"")</f>
        <v/>
      </c>
      <c r="CN265" s="518" t="str">
        <f>IF(AND(_A6="A-220-300",'2025'!$J$4="FO",'2025'!$J$2=CN233),'2025DATA'!$G$34,"")</f>
        <v/>
      </c>
      <c r="CO265" s="518" t="str">
        <f>IF(AND(_A6="A-220-300",'2025'!$J$4="FO",'2025'!$J$2=CO233),'2025DATA'!$H$34,"")</f>
        <v/>
      </c>
      <c r="CP265" s="518" t="str">
        <f>IF(AND(_A6="A-220-300",'2025'!$J$4="FO",'2025'!$J$2=CP233),'2025DATA'!$I$34,"")</f>
        <v/>
      </c>
      <c r="CQ265" s="518" t="str">
        <f>IF(AND(_A6="A-220-300",'2025'!$J$4="FO",'2025'!$J$2=CQ233),'2025DATA'!$J$34,"")</f>
        <v/>
      </c>
      <c r="CR265" s="518" t="str">
        <f>IF(AND(_A6="A-220-300",'2025'!$J$4="FO",'2025'!$J$2=CR233),'2025DATA'!$K$34,"")</f>
        <v/>
      </c>
      <c r="CS265" s="518" t="str">
        <f>IF(AND(_A6="A-220-300",'2025'!$J$4="FO",'2025'!$J$2=CS233),'2025DATA'!$L$34,"")</f>
        <v/>
      </c>
      <c r="CT265" s="518" t="str">
        <f>IF(AND(_A6="A-220-300",'2025'!$J$4="FO",'2025'!$J$2=CT233),'2025DATA'!$M$34,"")</f>
        <v/>
      </c>
      <c r="CU265" s="520" t="str">
        <f>IF(AND(_A6="A-220-300",'2025'!$J$4="FO",'2025'!$J$2=CU233),'2025DATA'!$N$34,"")</f>
        <v/>
      </c>
    </row>
    <row r="266" spans="16:99" x14ac:dyDescent="0.25">
      <c r="P266" s="940" t="s">
        <v>52</v>
      </c>
      <c r="Q266" s="13" t="s">
        <v>61</v>
      </c>
      <c r="R266" s="518" t="str">
        <f>IF(AND(_A1="A-220-100",'2025'!$J$4="CA",'2025'!$J$2=R233),'2025DATA'!$C$35,"")</f>
        <v/>
      </c>
      <c r="S266" s="518" t="str">
        <f>IF(AND(_A1="A-220-100",'2025'!$J$4="CA",'2025'!$J$2=S233),'2025DATA'!$D$35,"")</f>
        <v/>
      </c>
      <c r="T266" s="518" t="str">
        <f>IF(AND(_A1="A-220-100",'2025'!$J$4="CA",'2025'!$J$2=T233),'2025DATA'!$E$35,"")</f>
        <v/>
      </c>
      <c r="U266" s="518" t="str">
        <f>IF(AND(_A1="A-220-100",'2025'!$J$4="CA",'2025'!$J$2=U233),'2025DATA'!$F$35,"")</f>
        <v/>
      </c>
      <c r="V266" s="518" t="str">
        <f>IF(AND(_A1="A-220-100",'2025'!$J$4="CA",'2025'!$J$2=V233),'2025DATA'!$G$35,"")</f>
        <v/>
      </c>
      <c r="W266" s="518" t="str">
        <f>IF(AND(_A1="A-220-100",'2025'!$J$4="CA",'2025'!$J$2=W233),'2025DATA'!$H$35,"")</f>
        <v/>
      </c>
      <c r="X266" s="518" t="str">
        <f>IF(AND(_A1="A-220-100",'2025'!$J$4="CA",'2025'!$J$2=X233),'2025DATA'!$I$35,"")</f>
        <v/>
      </c>
      <c r="Y266" s="518" t="str">
        <f>IF(AND(_A1="A-220-100",'2025'!$J$4="CA",'2025'!$J$2=Y233),'2025DATA'!$J$35,"")</f>
        <v/>
      </c>
      <c r="Z266" s="518" t="str">
        <f>IF(AND(_A1="A-220-100",'2025'!$J$4="CA",'2025'!$J$2=Z233),'2025DATA'!$K$35,"")</f>
        <v/>
      </c>
      <c r="AA266" s="518" t="str">
        <f>IF(AND(_A1="A-220-100",'2025'!$J$4="CA",'2025'!$J$2=AA233),'2025DATA'!$L$35,"")</f>
        <v/>
      </c>
      <c r="AB266" s="518" t="str">
        <f>IF(AND(_A1="A-220-100",'2025'!$J$4="CA",'2025'!$J$2=AB233),'2025DATA'!$M$35,"")</f>
        <v/>
      </c>
      <c r="AC266" s="520" t="str">
        <f>IF(AND(_A1="A-220-100",'2025'!$J$4="CA",'2025'!$J$2=AC233),'2025DATA'!$N$35,"")</f>
        <v/>
      </c>
      <c r="AD266" s="940" t="s">
        <v>52</v>
      </c>
      <c r="AE266" s="13" t="s">
        <v>61</v>
      </c>
      <c r="AF266" s="518" t="str">
        <f>IF(AND(_A2="A-220-100",'2025'!$J$4="CA",'2025'!$J$2=AF233),'2025DATA'!$C$35,"")</f>
        <v/>
      </c>
      <c r="AG266" s="518" t="str">
        <f>IF(AND(_A2="A-220-100",'2025'!$J$4="CA",'2025'!$J$2=AG233),'2025DATA'!$D$35,"")</f>
        <v/>
      </c>
      <c r="AH266" s="518" t="str">
        <f>IF(AND(_A2="A-220-100",'2025'!$J$4="CA",'2025'!$J$2=AH233),'2025DATA'!$E$35,"")</f>
        <v/>
      </c>
      <c r="AI266" s="518" t="str">
        <f>IF(AND(_A2="A-220-100",'2025'!$J$4="CA",'2025'!$J$2=AI233),'2025DATA'!$F$35,"")</f>
        <v/>
      </c>
      <c r="AJ266" s="518" t="str">
        <f>IF(AND(_A2="A-220-100",'2025'!$J$4="CA",'2025'!$J$2=AJ233),'2025DATA'!$G$35,"")</f>
        <v/>
      </c>
      <c r="AK266" s="518" t="str">
        <f>IF(AND(_A2="A-220-100",'2025'!$J$4="CA",'2025'!$J$2=AK233),'2025DATA'!$H$35,"")</f>
        <v/>
      </c>
      <c r="AL266" s="518" t="str">
        <f>IF(AND(_A2="A-220-100",'2025'!$J$4="CA",'2025'!$J$2=AL233),'2025DATA'!$I$35,"")</f>
        <v/>
      </c>
      <c r="AM266" s="518" t="str">
        <f>IF(AND(_A2="A-220-100",'2025'!$J$4="CA",'2025'!$J$2=AM233),'2025DATA'!$J$35,"")</f>
        <v/>
      </c>
      <c r="AN266" s="518" t="str">
        <f>IF(AND(_A2="A-220-100",'2025'!$J$4="CA",'2025'!$J$2=AN233),'2025DATA'!$K$35,"")</f>
        <v/>
      </c>
      <c r="AO266" s="518" t="str">
        <f>IF(AND(_A2="A-220-100",'2025'!$J$4="CA",'2025'!$J$2=AO233),'2025DATA'!$L$35,"")</f>
        <v/>
      </c>
      <c r="AP266" s="518" t="str">
        <f>IF(AND(_A2="A-220-100",'2025'!$J$4="CA",'2025'!$J$2=AP233),'2025DATA'!$M$35,"")</f>
        <v/>
      </c>
      <c r="AQ266" s="520" t="str">
        <f>IF(AND(_A2="A-220-100",'2025'!$J$4="CA",'2025'!$J$2=AQ233),'2025DATA'!$N$35,"")</f>
        <v/>
      </c>
      <c r="AR266" s="940" t="s">
        <v>52</v>
      </c>
      <c r="AS266" s="13" t="s">
        <v>61</v>
      </c>
      <c r="AT266" s="518" t="str">
        <f>IF(AND(_A3="A-220-100",'2025'!$J$4="CA",'2025'!$J$2=AT233),'2025DATA'!$C$35,"")</f>
        <v/>
      </c>
      <c r="AU266" s="518" t="str">
        <f>IF(AND(_A3="A-220-100",'2025'!$J$4="CA",'2025'!$J$2=AU233),'2025DATA'!$D$35,"")</f>
        <v/>
      </c>
      <c r="AV266" s="518" t="str">
        <f>IF(AND(_A3="A-220-100",'2025'!$J$4="CA",'2025'!$J$2=AV233),'2025DATA'!$E$35,"")</f>
        <v/>
      </c>
      <c r="AW266" s="518" t="str">
        <f>IF(AND(_A3="A-220-100",'2025'!$J$4="CA",'2025'!$J$2=AW233),'2025DATA'!$F$35,"")</f>
        <v/>
      </c>
      <c r="AX266" s="518" t="str">
        <f>IF(AND(_A3="A-220-100",'2025'!$J$4="CA",'2025'!$J$2=AX233),'2025DATA'!$G$35,"")</f>
        <v/>
      </c>
      <c r="AY266" s="518" t="str">
        <f>IF(AND(_A3="A-220-100",'2025'!$J$4="CA",'2025'!$J$2=AY233),'2025DATA'!$H$35,"")</f>
        <v/>
      </c>
      <c r="AZ266" s="518" t="str">
        <f>IF(AND(_A3="A-220-100",'2025'!$J$4="CA",'2025'!$J$2=AZ233),'2025DATA'!$I$35,"")</f>
        <v/>
      </c>
      <c r="BA266" s="518" t="str">
        <f>IF(AND(_A3="A-220-100",'2025'!$J$4="CA",'2025'!$J$2=BA233),'2025DATA'!$J$35,"")</f>
        <v/>
      </c>
      <c r="BB266" s="518" t="str">
        <f>IF(AND(_A3="A-220-100",'2025'!$J$4="CA",'2025'!$J$2=BB233),'2025DATA'!$K$35,"")</f>
        <v/>
      </c>
      <c r="BC266" s="518" t="str">
        <f>IF(AND(_A3="A-220-100",'2025'!$J$4="CA",'2025'!$J$2=BC233),'2025DATA'!$L$35,"")</f>
        <v/>
      </c>
      <c r="BD266" s="518" t="str">
        <f>IF(AND(_A3="A-220-100",'2025'!$J$4="CA",'2025'!$J$2=BD233),'2025DATA'!$M$35,"")</f>
        <v/>
      </c>
      <c r="BE266" s="520" t="str">
        <f>IF(AND(_A3="A-220-100",'2025'!$J$4="CA",'2025'!$J$2=BE233),'2025DATA'!$N$35,"")</f>
        <v/>
      </c>
      <c r="BF266" s="940" t="s">
        <v>52</v>
      </c>
      <c r="BG266" s="13" t="s">
        <v>61</v>
      </c>
      <c r="BH266" s="518" t="str">
        <f>IF(AND(_A4="A-220-100",'2025'!$J$4="CA",'2025'!$J$2=BH233),'2025DATA'!$C$35,"")</f>
        <v/>
      </c>
      <c r="BI266" s="518" t="str">
        <f>IF(AND(_A4="A-220-100",'2025'!$J$4="CA",'2025'!$J$2=BI233),'2025DATA'!$D$35,"")</f>
        <v/>
      </c>
      <c r="BJ266" s="518" t="str">
        <f>IF(AND(_A4="A-220-100",'2025'!$J$4="CA",'2025'!$J$2=BJ233),'2025DATA'!$E$35,"")</f>
        <v/>
      </c>
      <c r="BK266" s="518" t="str">
        <f>IF(AND(_A4="A-220-100",'2025'!$J$4="CA",'2025'!$J$2=BK233),'2025DATA'!$F$35,"")</f>
        <v/>
      </c>
      <c r="BL266" s="518" t="str">
        <f>IF(AND(_A4="A-220-100",'2025'!$J$4="CA",'2025'!$J$2=BL233),'2025DATA'!$G$35,"")</f>
        <v/>
      </c>
      <c r="BM266" s="518" t="str">
        <f>IF(AND(_A4="A-220-100",'2025'!$J$4="CA",'2025'!$J$2=BM233),'2025DATA'!$H$35,"")</f>
        <v/>
      </c>
      <c r="BN266" s="518" t="str">
        <f>IF(AND(_A4="A-220-100",'2025'!$J$4="CA",'2025'!$J$2=BN233),'2025DATA'!$I$35,"")</f>
        <v/>
      </c>
      <c r="BO266" s="518" t="str">
        <f>IF(AND(_A4="A-220-100",'2025'!$J$4="CA",'2025'!$J$2=BO233),'2025DATA'!$J$35,"")</f>
        <v/>
      </c>
      <c r="BP266" s="518" t="str">
        <f>IF(AND(_A4="A-220-100",'2025'!$J$4="CA",'2025'!$J$2=BP233),'2025DATA'!$K$35,"")</f>
        <v/>
      </c>
      <c r="BQ266" s="518" t="str">
        <f>IF(AND(_A4="A-220-100",'2025'!$J$4="CA",'2025'!$J$2=BQ233),'2025DATA'!$L$35,"")</f>
        <v/>
      </c>
      <c r="BR266" s="518" t="str">
        <f>IF(AND(_A4="A-220-100",'2025'!$J$4="CA",'2025'!$J$2=BR233),'2025DATA'!$M$35,"")</f>
        <v/>
      </c>
      <c r="BS266" s="520" t="str">
        <f>IF(AND(_A4="A-220-100",'2025'!$J$4="CA",'2025'!$J$2=BS233),'2025DATA'!$N$35,"")</f>
        <v/>
      </c>
      <c r="BT266" s="940" t="s">
        <v>52</v>
      </c>
      <c r="BU266" s="13" t="s">
        <v>61</v>
      </c>
      <c r="BV266" s="518" t="str">
        <f>IF(AND(_A5="A-220-100",'2025'!$J$4="CA",'2025'!$J$2=BV233),'2025DATA'!$C$35,"")</f>
        <v/>
      </c>
      <c r="BW266" s="518" t="str">
        <f>IF(AND(_A5="A-220-100",'2025'!$J$4="CA",'2025'!$J$2=BW233),'2025DATA'!$D$35,"")</f>
        <v/>
      </c>
      <c r="BX266" s="518" t="str">
        <f>IF(AND(_A5="A-220-100",'2025'!$J$4="CA",'2025'!$J$2=BX233),'2025DATA'!$E$35,"")</f>
        <v/>
      </c>
      <c r="BY266" s="518" t="str">
        <f>IF(AND(_A5="A-220-100",'2025'!$J$4="CA",'2025'!$J$2=BY233),'2025DATA'!$F$35,"")</f>
        <v/>
      </c>
      <c r="BZ266" s="518" t="str">
        <f>IF(AND(_A5="A-220-100",'2025'!$J$4="CA",'2025'!$J$2=BZ233),'2025DATA'!$G$35,"")</f>
        <v/>
      </c>
      <c r="CA266" s="518" t="str">
        <f>IF(AND(_A5="A-220-100",'2025'!$J$4="CA",'2025'!$J$2=CA233),'2025DATA'!$H$35,"")</f>
        <v/>
      </c>
      <c r="CB266" s="518" t="str">
        <f>IF(AND(_A5="A-220-100",'2025'!$J$4="CA",'2025'!$J$2=CB233),'2025DATA'!$I$35,"")</f>
        <v/>
      </c>
      <c r="CC266" s="518" t="str">
        <f>IF(AND(_A5="A-220-100",'2025'!$J$4="CA",'2025'!$J$2=CC233),'2025DATA'!$J$35,"")</f>
        <v/>
      </c>
      <c r="CD266" s="518" t="str">
        <f>IF(AND(_A5="A-220-100",'2025'!$J$4="CA",'2025'!$J$2=CD233),'2025DATA'!$K$35,"")</f>
        <v/>
      </c>
      <c r="CE266" s="518" t="str">
        <f>IF(AND(_A5="A-220-100",'2025'!$J$4="CA",'2025'!$J$2=CE233),'2025DATA'!$L$35,"")</f>
        <v/>
      </c>
      <c r="CF266" s="518" t="str">
        <f>IF(AND(_A5="A-220-100",'2025'!$J$4="CA",'2025'!$J$2=CF233),'2025DATA'!$M$35,"")</f>
        <v/>
      </c>
      <c r="CG266" s="520" t="str">
        <f>IF(AND(_A5="A-220-100",'2025'!$J$4="CA",'2025'!$J$2=CG233),'2025DATA'!$N$35,"")</f>
        <v/>
      </c>
      <c r="CH266" s="940" t="s">
        <v>52</v>
      </c>
      <c r="CI266" s="13" t="s">
        <v>61</v>
      </c>
      <c r="CJ266" s="518" t="str">
        <f>IF(AND(_A6="A-220-100",'2025'!$J$4="CA",'2025'!$J$2=CJ233),'2025DATA'!$C$35,"")</f>
        <v/>
      </c>
      <c r="CK266" s="518" t="str">
        <f>IF(AND(_A6="A-220-100",'2025'!$J$4="CA",'2025'!$J$2=CK233),'2025DATA'!$D$35,"")</f>
        <v/>
      </c>
      <c r="CL266" s="518" t="str">
        <f>IF(AND(_A6="A-220-100",'2025'!$J$4="CA",'2025'!$J$2=CL233),'2025DATA'!$E$35,"")</f>
        <v/>
      </c>
      <c r="CM266" s="518" t="str">
        <f>IF(AND(_A6="A-220-100",'2025'!$J$4="CA",'2025'!$J$2=CM233),'2025DATA'!$F$35,"")</f>
        <v/>
      </c>
      <c r="CN266" s="518" t="str">
        <f>IF(AND(_A6="A-220-100",'2025'!$J$4="CA",'2025'!$J$2=CN233),'2025DATA'!$G$35,"")</f>
        <v/>
      </c>
      <c r="CO266" s="518" t="str">
        <f>IF(AND(_A6="A-220-100",'2025'!$J$4="CA",'2025'!$J$2=CO233),'2025DATA'!$H$35,"")</f>
        <v/>
      </c>
      <c r="CP266" s="518" t="str">
        <f>IF(AND(_A6="A-220-100",'2025'!$J$4="CA",'2025'!$J$2=CP233),'2025DATA'!$I$35,"")</f>
        <v/>
      </c>
      <c r="CQ266" s="518" t="str">
        <f>IF(AND(_A6="A-220-100",'2025'!$J$4="CA",'2025'!$J$2=CQ233),'2025DATA'!$J$35,"")</f>
        <v/>
      </c>
      <c r="CR266" s="518" t="str">
        <f>IF(AND(_A6="A-220-100",'2025'!$J$4="CA",'2025'!$J$2=CR233),'2025DATA'!$K$35,"")</f>
        <v/>
      </c>
      <c r="CS266" s="518" t="str">
        <f>IF(AND(_A6="A-220-100",'2025'!$J$4="CA",'2025'!$J$2=CS233),'2025DATA'!$L$35,"")</f>
        <v/>
      </c>
      <c r="CT266" s="518" t="str">
        <f>IF(AND(_A6="A-220-100",'2025'!$J$4="CA",'2025'!$J$2=CT233),'2025DATA'!$M$35,"")</f>
        <v/>
      </c>
      <c r="CU266" s="520" t="str">
        <f>IF(AND(_A6="A-220-100",'2025'!$J$4="CA",'2025'!$J$2=CU233),'2025DATA'!$N$35,"")</f>
        <v/>
      </c>
    </row>
    <row r="267" spans="16:99" x14ac:dyDescent="0.25">
      <c r="P267" s="940"/>
      <c r="Q267" s="13" t="s">
        <v>62</v>
      </c>
      <c r="R267" s="518" t="str">
        <f>IF(AND(_A1="A-220-100",'2025'!$J$4="FO",'2025'!$J$2=R233),'2025DATA'!$C$36,"")</f>
        <v/>
      </c>
      <c r="S267" s="518" t="str">
        <f>IF(AND(_A1="A-220-100",'2025'!$J$4="FO",'2025'!$J$2=S233),'2025DATA'!$D$36,"")</f>
        <v/>
      </c>
      <c r="T267" s="518" t="str">
        <f>IF(AND(_A1="A-220-100",'2025'!$J$4="FO",'2025'!$J$2=T233),'2025DATA'!$E$36,"")</f>
        <v/>
      </c>
      <c r="U267" s="518" t="str">
        <f>IF(AND(_A1="A-220-100",'2025'!$J$4="FO",'2025'!$J$2=U233),'2025DATA'!$F$36,"")</f>
        <v/>
      </c>
      <c r="V267" s="518" t="str">
        <f>IF(AND(_A1="A-220-100",'2025'!$J$4="FO",'2025'!$J$2=V233),'2025DATA'!$G$36,"")</f>
        <v/>
      </c>
      <c r="W267" s="518" t="str">
        <f>IF(AND(_A1="A-220-100",'2025'!$J$4="FO",'2025'!$J$2=W233),'2025DATA'!$H$36,"")</f>
        <v/>
      </c>
      <c r="X267" s="518" t="str">
        <f>IF(AND(_A1="A-220-100",'2025'!$J$4="FO",'2025'!$J$2=X233),'2025DATA'!$I$36,"")</f>
        <v/>
      </c>
      <c r="Y267" s="518" t="str">
        <f>IF(AND(_A1="A-220-100",'2025'!$J$4="FO",'2025'!$J$2=Y233),'2025DATA'!$J$36,"")</f>
        <v/>
      </c>
      <c r="Z267" s="518" t="str">
        <f>IF(AND(_A1="A-220-100",'2025'!$J$4="FO",'2025'!$J$2=Z233),'2025DATA'!$K$36,"")</f>
        <v/>
      </c>
      <c r="AA267" s="518" t="str">
        <f>IF(AND(_A1="A-220-100",'2025'!$J$4="FO",'2025'!$J$2=AA233),'2025DATA'!$L$36,"")</f>
        <v/>
      </c>
      <c r="AB267" s="518" t="str">
        <f>IF(AND(_A1="A-220-100",'2025'!$J$4="FO",'2025'!$J$2=AB233),'2025DATA'!$M$36,"")</f>
        <v/>
      </c>
      <c r="AC267" s="520" t="str">
        <f>IF(AND(_A1="A-220-100",'2025'!$J$4="FO",'2025'!$J$2=AC233),'2025DATA'!$N$36,"")</f>
        <v/>
      </c>
      <c r="AD267" s="940"/>
      <c r="AE267" s="13" t="s">
        <v>62</v>
      </c>
      <c r="AF267" s="518" t="str">
        <f>IF(AND(_A2="A-220-100",'2025'!$J$4="FO",'2025'!$J$2=AF233),'2025DATA'!$C$36,"")</f>
        <v/>
      </c>
      <c r="AG267" s="518" t="str">
        <f>IF(AND(_A2="A-220-100",'2025'!$J$4="FO",'2025'!$J$2=AG233),'2025DATA'!$D$36,"")</f>
        <v/>
      </c>
      <c r="AH267" s="518" t="str">
        <f>IF(AND(_A2="A-220-100",'2025'!$J$4="FO",'2025'!$J$2=AH233),'2025DATA'!$E$36,"")</f>
        <v/>
      </c>
      <c r="AI267" s="518" t="str">
        <f>IF(AND(_A2="A-220-100",'2025'!$J$4="FO",'2025'!$J$2=AI233),'2025DATA'!$F$36,"")</f>
        <v/>
      </c>
      <c r="AJ267" s="518" t="str">
        <f>IF(AND(_A2="A-220-100",'2025'!$J$4="FO",'2025'!$J$2=AJ233),'2025DATA'!$G$36,"")</f>
        <v/>
      </c>
      <c r="AK267" s="518" t="str">
        <f>IF(AND(_A2="A-220-100",'2025'!$J$4="FO",'2025'!$J$2=AK233),'2025DATA'!$H$36,"")</f>
        <v/>
      </c>
      <c r="AL267" s="518" t="str">
        <f>IF(AND(_A2="A-220-100",'2025'!$J$4="FO",'2025'!$J$2=AL233),'2025DATA'!$I$36,"")</f>
        <v/>
      </c>
      <c r="AM267" s="518" t="str">
        <f>IF(AND(_A2="A-220-100",'2025'!$J$4="FO",'2025'!$J$2=AM233),'2025DATA'!$J$36,"")</f>
        <v/>
      </c>
      <c r="AN267" s="518" t="str">
        <f>IF(AND(_A2="A-220-100",'2025'!$J$4="FO",'2025'!$J$2=AN233),'2025DATA'!$K$36,"")</f>
        <v/>
      </c>
      <c r="AO267" s="518" t="str">
        <f>IF(AND(_A2="A-220-100",'2025'!$J$4="FO",'2025'!$J$2=AO233),'2025DATA'!$L$36,"")</f>
        <v/>
      </c>
      <c r="AP267" s="518" t="str">
        <f>IF(AND(_A2="A-220-100",'2025'!$J$4="FO",'2025'!$J$2=AP233),'2025DATA'!$M$36,"")</f>
        <v/>
      </c>
      <c r="AQ267" s="520" t="str">
        <f>IF(AND(_A2="A-220-100",'2025'!$J$4="FO",'2025'!$J$2=AQ233),'2025DATA'!$N$36,"")</f>
        <v/>
      </c>
      <c r="AR267" s="940"/>
      <c r="AS267" s="13" t="s">
        <v>62</v>
      </c>
      <c r="AT267" s="518" t="str">
        <f>IF(AND(_A3="A-220-100",'2025'!$J$4="FO",'2025'!$J$2=AT233),'2025DATA'!$C$36,"")</f>
        <v/>
      </c>
      <c r="AU267" s="518" t="str">
        <f>IF(AND(_A3="A-220-100",'2025'!$J$4="FO",'2025'!$J$2=AU233),'2025DATA'!$D$36,"")</f>
        <v/>
      </c>
      <c r="AV267" s="518" t="str">
        <f>IF(AND(_A3="A-220-100",'2025'!$J$4="FO",'2025'!$J$2=AV233),'2025DATA'!$E$36,"")</f>
        <v/>
      </c>
      <c r="AW267" s="518" t="str">
        <f>IF(AND(_A3="A-220-100",'2025'!$J$4="FO",'2025'!$J$2=AW233),'2025DATA'!$F$36,"")</f>
        <v/>
      </c>
      <c r="AX267" s="518" t="str">
        <f>IF(AND(_A3="A-220-100",'2025'!$J$4="FO",'2025'!$J$2=AX233),'2025DATA'!$G$36,"")</f>
        <v/>
      </c>
      <c r="AY267" s="518" t="str">
        <f>IF(AND(_A3="A-220-100",'2025'!$J$4="FO",'2025'!$J$2=AY233),'2025DATA'!$H$36,"")</f>
        <v/>
      </c>
      <c r="AZ267" s="518" t="str">
        <f>IF(AND(_A3="A-220-100",'2025'!$J$4="FO",'2025'!$J$2=AZ233),'2025DATA'!$I$36,"")</f>
        <v/>
      </c>
      <c r="BA267" s="518" t="str">
        <f>IF(AND(_A3="A-220-100",'2025'!$J$4="FO",'2025'!$J$2=BA233),'2025DATA'!$J$36,"")</f>
        <v/>
      </c>
      <c r="BB267" s="518" t="str">
        <f>IF(AND(_A3="A-220-100",'2025'!$J$4="FO",'2025'!$J$2=BB233),'2025DATA'!$K$36,"")</f>
        <v/>
      </c>
      <c r="BC267" s="518" t="str">
        <f>IF(AND(_A3="A-220-100",'2025'!$J$4="FO",'2025'!$J$2=BC233),'2025DATA'!$L$36,"")</f>
        <v/>
      </c>
      <c r="BD267" s="518" t="str">
        <f>IF(AND(_A3="A-220-100",'2025'!$J$4="FO",'2025'!$J$2=BD233),'2025DATA'!$M$36,"")</f>
        <v/>
      </c>
      <c r="BE267" s="520" t="str">
        <f>IF(AND(_A3="A-220-100",'2025'!$J$4="FO",'2025'!$J$2=BE233),'2025DATA'!$N$36,"")</f>
        <v/>
      </c>
      <c r="BF267" s="940"/>
      <c r="BG267" s="13" t="s">
        <v>62</v>
      </c>
      <c r="BH267" s="518" t="str">
        <f>IF(AND(_A4="A-220-100",'2025'!$J$4="FO",'2025'!$J$2=BH233),'2025DATA'!$C$36,"")</f>
        <v/>
      </c>
      <c r="BI267" s="518" t="str">
        <f>IF(AND(_A4="A-220-100",'2025'!$J$4="FO",'2025'!$J$2=BI233),'2025DATA'!$D$36,"")</f>
        <v/>
      </c>
      <c r="BJ267" s="518" t="str">
        <f>IF(AND(_A4="A-220-100",'2025'!$J$4="FO",'2025'!$J$2=BJ233),'2025DATA'!$E$36,"")</f>
        <v/>
      </c>
      <c r="BK267" s="518" t="str">
        <f>IF(AND(_A4="A-220-100",'2025'!$J$4="FO",'2025'!$J$2=BK233),'2025DATA'!$F$36,"")</f>
        <v/>
      </c>
      <c r="BL267" s="518" t="str">
        <f>IF(AND(_A4="A-220-100",'2025'!$J$4="FO",'2025'!$J$2=BL233),'2025DATA'!$G$36,"")</f>
        <v/>
      </c>
      <c r="BM267" s="518" t="str">
        <f>IF(AND(_A4="A-220-100",'2025'!$J$4="FO",'2025'!$J$2=BM233),'2025DATA'!$H$36,"")</f>
        <v/>
      </c>
      <c r="BN267" s="518" t="str">
        <f>IF(AND(_A4="A-220-100",'2025'!$J$4="FO",'2025'!$J$2=BN233),'2025DATA'!$I$36,"")</f>
        <v/>
      </c>
      <c r="BO267" s="518" t="str">
        <f>IF(AND(_A4="A-220-100",'2025'!$J$4="FO",'2025'!$J$2=BO233),'2025DATA'!$J$36,"")</f>
        <v/>
      </c>
      <c r="BP267" s="518" t="str">
        <f>IF(AND(_A4="A-220-100",'2025'!$J$4="FO",'2025'!$J$2=BP233),'2025DATA'!$K$36,"")</f>
        <v/>
      </c>
      <c r="BQ267" s="518" t="str">
        <f>IF(AND(_A4="A-220-100",'2025'!$J$4="FO",'2025'!$J$2=BQ233),'2025DATA'!$L$36,"")</f>
        <v/>
      </c>
      <c r="BR267" s="518" t="str">
        <f>IF(AND(_A4="A-220-100",'2025'!$J$4="FO",'2025'!$J$2=BR233),'2025DATA'!$M$36,"")</f>
        <v/>
      </c>
      <c r="BS267" s="520" t="str">
        <f>IF(AND(_A4="A-220-100",'2025'!$J$4="FO",'2025'!$J$2=BS233),'2025DATA'!$N$36,"")</f>
        <v/>
      </c>
      <c r="BT267" s="940"/>
      <c r="BU267" s="13" t="s">
        <v>62</v>
      </c>
      <c r="BV267" s="518" t="str">
        <f>IF(AND(_A5="A-220-100",'2025'!$J$4="FO",'2025'!$J$2=BV233),'2025DATA'!$C$36,"")</f>
        <v/>
      </c>
      <c r="BW267" s="518" t="str">
        <f>IF(AND(_A5="A-220-100",'2025'!$J$4="FO",'2025'!$J$2=BW233),'2025DATA'!$D$36,"")</f>
        <v/>
      </c>
      <c r="BX267" s="518" t="str">
        <f>IF(AND(_A5="A-220-100",'2025'!$J$4="FO",'2025'!$J$2=BX233),'2025DATA'!$E$36,"")</f>
        <v/>
      </c>
      <c r="BY267" s="518" t="str">
        <f>IF(AND(_A5="A-220-100",'2025'!$J$4="FO",'2025'!$J$2=BY233),'2025DATA'!$F$36,"")</f>
        <v/>
      </c>
      <c r="BZ267" s="518" t="str">
        <f>IF(AND(_A5="A-220-100",'2025'!$J$4="FO",'2025'!$J$2=BZ233),'2025DATA'!$G$36,"")</f>
        <v/>
      </c>
      <c r="CA267" s="518" t="str">
        <f>IF(AND(_A5="A-220-100",'2025'!$J$4="FO",'2025'!$J$2=CA233),'2025DATA'!$H$36,"")</f>
        <v/>
      </c>
      <c r="CB267" s="518" t="str">
        <f>IF(AND(_A5="A-220-100",'2025'!$J$4="FO",'2025'!$J$2=CB233),'2025DATA'!$I$36,"")</f>
        <v/>
      </c>
      <c r="CC267" s="518" t="str">
        <f>IF(AND(_A5="A-220-100",'2025'!$J$4="FO",'2025'!$J$2=CC233),'2025DATA'!$J$36,"")</f>
        <v/>
      </c>
      <c r="CD267" s="518" t="str">
        <f>IF(AND(_A5="A-220-100",'2025'!$J$4="FO",'2025'!$J$2=CD233),'2025DATA'!$K$36,"")</f>
        <v/>
      </c>
      <c r="CE267" s="518" t="str">
        <f>IF(AND(_A5="A-220-100",'2025'!$J$4="FO",'2025'!$J$2=CE233),'2025DATA'!$L$36,"")</f>
        <v/>
      </c>
      <c r="CF267" s="518" t="str">
        <f>IF(AND(_A5="A-220-100",'2025'!$J$4="FO",'2025'!$J$2=CF233),'2025DATA'!$M$36,"")</f>
        <v/>
      </c>
      <c r="CG267" s="520" t="str">
        <f>IF(AND(_A5="A-220-100",'2025'!$J$4="FO",'2025'!$J$2=CG233),'2025DATA'!$N$36,"")</f>
        <v/>
      </c>
      <c r="CH267" s="940"/>
      <c r="CI267" s="13" t="s">
        <v>62</v>
      </c>
      <c r="CJ267" s="518" t="str">
        <f>IF(AND(_A6="A-220-100",'2025'!$J$4="FO",'2025'!$J$2=CJ233),'2025DATA'!$C$36,"")</f>
        <v/>
      </c>
      <c r="CK267" s="518" t="str">
        <f>IF(AND(_A6="A-220-100",'2025'!$J$4="FO",'2025'!$J$2=CK233),'2025DATA'!$D$36,"")</f>
        <v/>
      </c>
      <c r="CL267" s="518" t="str">
        <f>IF(AND(_A6="A-220-100",'2025'!$J$4="FO",'2025'!$J$2=CL233),'2025DATA'!$E$36,"")</f>
        <v/>
      </c>
      <c r="CM267" s="518" t="str">
        <f>IF(AND(_A6="A-220-100",'2025'!$J$4="FO",'2025'!$J$2=CM233),'2025DATA'!$F$36,"")</f>
        <v/>
      </c>
      <c r="CN267" s="518" t="str">
        <f>IF(AND(_A6="A-220-100",'2025'!$J$4="FO",'2025'!$J$2=CN233),'2025DATA'!$G$36,"")</f>
        <v/>
      </c>
      <c r="CO267" s="518" t="str">
        <f>IF(AND(_A6="A-220-100",'2025'!$J$4="FO",'2025'!$J$2=CO233),'2025DATA'!$H$36,"")</f>
        <v/>
      </c>
      <c r="CP267" s="518" t="str">
        <f>IF(AND(_A6="A-220-100",'2025'!$J$4="FO",'2025'!$J$2=CP233),'2025DATA'!$I$36,"")</f>
        <v/>
      </c>
      <c r="CQ267" s="518" t="str">
        <f>IF(AND(_A6="A-220-100",'2025'!$J$4="FO",'2025'!$J$2=CQ233),'2025DATA'!$J$36,"")</f>
        <v/>
      </c>
      <c r="CR267" s="518" t="str">
        <f>IF(AND(_A6="A-220-100",'2025'!$J$4="FO",'2025'!$J$2=CR233),'2025DATA'!$K$36,"")</f>
        <v/>
      </c>
      <c r="CS267" s="518" t="str">
        <f>IF(AND(_A6="A-220-100",'2025'!$J$4="FO",'2025'!$J$2=CS233),'2025DATA'!$L$36,"")</f>
        <v/>
      </c>
      <c r="CT267" s="518" t="str">
        <f>IF(AND(_A6="A-220-100",'2025'!$J$4="FO",'2025'!$J$2=CT233),'2025DATA'!$M$36,"")</f>
        <v/>
      </c>
      <c r="CU267" s="520" t="str">
        <f>IF(AND(_A6="A-220-100",'2025'!$J$4="FO",'2025'!$J$2=CU233),'2025DATA'!$N$36,"")</f>
        <v/>
      </c>
    </row>
    <row r="268" spans="16:99" x14ac:dyDescent="0.25">
      <c r="P268" s="940" t="s">
        <v>53</v>
      </c>
      <c r="Q268" s="13" t="s">
        <v>61</v>
      </c>
      <c r="R268" s="518" t="str">
        <f>IF(AND(_A1="B-717",'2025'!$J$4="CA",'2025'!$J$2=R233),'2025DATA'!$C$37,"")</f>
        <v/>
      </c>
      <c r="S268" s="518" t="str">
        <f>IF(AND(_A1="B-717",'2025'!$J$4="CA",'2025'!$J$2=S233),'2025DATA'!$D$37,"")</f>
        <v/>
      </c>
      <c r="T268" s="518" t="str">
        <f>IF(AND(_A1="B-717",'2025'!$J$4="CA",'2025'!$J$2=T233),'2025DATA'!$E$37,"")</f>
        <v/>
      </c>
      <c r="U268" s="518" t="str">
        <f>IF(AND(_A1="B-717",'2025'!$J$4="CA",'2025'!$J$2=U233),'2025DATA'!$F$37,"")</f>
        <v/>
      </c>
      <c r="V268" s="518" t="str">
        <f>IF(AND(_A1="B-717",'2025'!$J$4="CA",'2025'!$J$2=V233),'2025DATA'!$G$37,"")</f>
        <v/>
      </c>
      <c r="W268" s="518" t="str">
        <f>IF(AND(_A1="B-717",'2025'!$J$4="CA",'2025'!$J$2=W233),'2025DATA'!$H$37,"")</f>
        <v/>
      </c>
      <c r="X268" s="518" t="str">
        <f>IF(AND(_A1="B-717",'2025'!$J$4="CA",'2025'!$J$2=X233),'2025DATA'!$I$37,"")</f>
        <v/>
      </c>
      <c r="Y268" s="518" t="str">
        <f>IF(AND(_A1="B-717",'2025'!$J$4="CA",'2025'!$J$2=Y233),'2025DATA'!$J$37,"")</f>
        <v/>
      </c>
      <c r="Z268" s="518" t="str">
        <f>IF(AND(_A1="B-717",'2025'!$J$4="CA",'2025'!$J$2=Z233),'2025DATA'!$K$37,"")</f>
        <v/>
      </c>
      <c r="AA268" s="518" t="str">
        <f>IF(AND(_A1="B-717",'2025'!$J$4="CA",'2025'!$J$2=AA233),'2025DATA'!$L$37,"")</f>
        <v/>
      </c>
      <c r="AB268" s="518" t="str">
        <f>IF(AND(_A1="B-717",'2025'!$J$4="CA",'2025'!$J$2=AB233),'2025DATA'!$M$37,"")</f>
        <v/>
      </c>
      <c r="AC268" s="520" t="str">
        <f>IF(AND(_A1="B-717",'2025'!$J$4="CA",'2025'!$J$2=AC233),'2025DATA'!$N$37,"")</f>
        <v/>
      </c>
      <c r="AD268" s="940" t="s">
        <v>53</v>
      </c>
      <c r="AE268" s="13" t="s">
        <v>61</v>
      </c>
      <c r="AF268" s="518" t="str">
        <f>IF(AND(_A2="B-717",'2025'!$J$4="CA",'2025'!$J$2=AF233),'2025DATA'!$C$37,"")</f>
        <v/>
      </c>
      <c r="AG268" s="518" t="str">
        <f>IF(AND(_A2="B-717",'2025'!$J$4="CA",'2025'!$J$2=AG233),'2025DATA'!$D$37,"")</f>
        <v/>
      </c>
      <c r="AH268" s="518" t="str">
        <f>IF(AND(_A2="B-717",'2025'!$J$4="CA",'2025'!$J$2=AH233),'2025DATA'!$E$37,"")</f>
        <v/>
      </c>
      <c r="AI268" s="518" t="str">
        <f>IF(AND(_A2="B-717",'2025'!$J$4="CA",'2025'!$J$2=AI233),'2025DATA'!$F$37,"")</f>
        <v/>
      </c>
      <c r="AJ268" s="518" t="str">
        <f>IF(AND(_A2="B-717",'2025'!$J$4="CA",'2025'!$J$2=AJ233),'2025DATA'!$G$37,"")</f>
        <v/>
      </c>
      <c r="AK268" s="518" t="str">
        <f>IF(AND(_A2="B-717",'2025'!$J$4="CA",'2025'!$J$2=AK233),'2025DATA'!$H$37,"")</f>
        <v/>
      </c>
      <c r="AL268" s="518" t="str">
        <f>IF(AND(_A2="B-717",'2025'!$J$4="CA",'2025'!$J$2=AL233),'2025DATA'!$I$37,"")</f>
        <v/>
      </c>
      <c r="AM268" s="518" t="str">
        <f>IF(AND(_A2="B-717",'2025'!$J$4="CA",'2025'!$J$2=AM233),'2025DATA'!$J$37,"")</f>
        <v/>
      </c>
      <c r="AN268" s="518" t="str">
        <f>IF(AND(_A2="B-717",'2025'!$J$4="CA",'2025'!$J$2=AN233),'2025DATA'!$K$37,"")</f>
        <v/>
      </c>
      <c r="AO268" s="518" t="str">
        <f>IF(AND(_A2="B-717",'2025'!$J$4="CA",'2025'!$J$2=AO233),'2025DATA'!$L$37,"")</f>
        <v/>
      </c>
      <c r="AP268" s="518" t="str">
        <f>IF(AND(_A2="B-717",'2025'!$J$4="CA",'2025'!$J$2=AP233),'2025DATA'!$M$37,"")</f>
        <v/>
      </c>
      <c r="AQ268" s="520" t="str">
        <f>IF(AND(_A2="B-717",'2025'!$J$4="CA",'2025'!$J$2=AQ233),'2025DATA'!$N$37,"")</f>
        <v/>
      </c>
      <c r="AR268" s="940" t="s">
        <v>53</v>
      </c>
      <c r="AS268" s="13" t="s">
        <v>61</v>
      </c>
      <c r="AT268" s="518" t="str">
        <f>IF(AND(_A3="B-717",'2025'!$J$4="CA",'2025'!$J$2=AT233),'2025DATA'!$C$37,"")</f>
        <v/>
      </c>
      <c r="AU268" s="518" t="str">
        <f>IF(AND(_A3="B-717",'2025'!$J$4="CA",'2025'!$J$2=AU233),'2025DATA'!$D$37,"")</f>
        <v/>
      </c>
      <c r="AV268" s="518" t="str">
        <f>IF(AND(_A3="B-717",'2025'!$J$4="CA",'2025'!$J$2=AV233),'2025DATA'!$E$37,"")</f>
        <v/>
      </c>
      <c r="AW268" s="518" t="str">
        <f>IF(AND(_A3="B-717",'2025'!$J$4="CA",'2025'!$J$2=AW233),'2025DATA'!$F$37,"")</f>
        <v/>
      </c>
      <c r="AX268" s="518" t="str">
        <f>IF(AND(_A3="B-717",'2025'!$J$4="CA",'2025'!$J$2=AX233),'2025DATA'!$G$37,"")</f>
        <v/>
      </c>
      <c r="AY268" s="518" t="str">
        <f>IF(AND(_A3="B-717",'2025'!$J$4="CA",'2025'!$J$2=AY233),'2025DATA'!$H$37,"")</f>
        <v/>
      </c>
      <c r="AZ268" s="518" t="str">
        <f>IF(AND(_A3="B-717",'2025'!$J$4="CA",'2025'!$J$2=AZ233),'2025DATA'!$I$37,"")</f>
        <v/>
      </c>
      <c r="BA268" s="518" t="str">
        <f>IF(AND(_A3="B-717",'2025'!$J$4="CA",'2025'!$J$2=BA233),'2025DATA'!$J$37,"")</f>
        <v/>
      </c>
      <c r="BB268" s="518" t="str">
        <f>IF(AND(_A3="B-717",'2025'!$J$4="CA",'2025'!$J$2=BB233),'2025DATA'!$K$37,"")</f>
        <v/>
      </c>
      <c r="BC268" s="518" t="str">
        <f>IF(AND(_A3="B-717",'2025'!$J$4="CA",'2025'!$J$2=BC233),'2025DATA'!$L$37,"")</f>
        <v/>
      </c>
      <c r="BD268" s="518" t="str">
        <f>IF(AND(_A3="B-717",'2025'!$J$4="CA",'2025'!$J$2=BD233),'2025DATA'!$M$37,"")</f>
        <v/>
      </c>
      <c r="BE268" s="520" t="str">
        <f>IF(AND(_A3="B-717",'2025'!$J$4="CA",'2025'!$J$2=BE233),'2025DATA'!$N$37,"")</f>
        <v/>
      </c>
      <c r="BF268" s="940" t="s">
        <v>53</v>
      </c>
      <c r="BG268" s="13" t="s">
        <v>61</v>
      </c>
      <c r="BH268" s="518" t="str">
        <f>IF(AND(_A4="B-717",'2025'!$J$4="CA",'2025'!$J$2=BH233),'2025DATA'!$C$37,"")</f>
        <v/>
      </c>
      <c r="BI268" s="518" t="str">
        <f>IF(AND(_A4="B-717",'2025'!$J$4="CA",'2025'!$J$2=BI233),'2025DATA'!$D$37,"")</f>
        <v/>
      </c>
      <c r="BJ268" s="518" t="str">
        <f>IF(AND(_A4="B-717",'2025'!$J$4="CA",'2025'!$J$2=BJ233),'2025DATA'!$E$37,"")</f>
        <v/>
      </c>
      <c r="BK268" s="518" t="str">
        <f>IF(AND(_A4="B-717",'2025'!$J$4="CA",'2025'!$J$2=BK233),'2025DATA'!$F$37,"")</f>
        <v/>
      </c>
      <c r="BL268" s="518" t="str">
        <f>IF(AND(_A4="B-717",'2025'!$J$4="CA",'2025'!$J$2=BL233),'2025DATA'!$G$37,"")</f>
        <v/>
      </c>
      <c r="BM268" s="518" t="str">
        <f>IF(AND(_A4="B-717",'2025'!$J$4="CA",'2025'!$J$2=BM233),'2025DATA'!$H$37,"")</f>
        <v/>
      </c>
      <c r="BN268" s="518" t="str">
        <f>IF(AND(_A4="B-717",'2025'!$J$4="CA",'2025'!$J$2=BN233),'2025DATA'!$I$37,"")</f>
        <v/>
      </c>
      <c r="BO268" s="518" t="str">
        <f>IF(AND(_A4="B-717",'2025'!$J$4="CA",'2025'!$J$2=BO233),'2025DATA'!$J$37,"")</f>
        <v/>
      </c>
      <c r="BP268" s="518" t="str">
        <f>IF(AND(_A4="B-717",'2025'!$J$4="CA",'2025'!$J$2=BP233),'2025DATA'!$K$37,"")</f>
        <v/>
      </c>
      <c r="BQ268" s="518" t="str">
        <f>IF(AND(_A4="B-717",'2025'!$J$4="CA",'2025'!$J$2=BQ233),'2025DATA'!$L$37,"")</f>
        <v/>
      </c>
      <c r="BR268" s="518" t="str">
        <f>IF(AND(_A4="B-717",'2025'!$J$4="CA",'2025'!$J$2=BR233),'2025DATA'!$M$37,"")</f>
        <v/>
      </c>
      <c r="BS268" s="520" t="str">
        <f>IF(AND(_A4="B-717",'2025'!$J$4="CA",'2025'!$J$2=BS233),'2025DATA'!$N$37,"")</f>
        <v/>
      </c>
      <c r="BT268" s="940" t="s">
        <v>53</v>
      </c>
      <c r="BU268" s="13" t="s">
        <v>61</v>
      </c>
      <c r="BV268" s="518" t="str">
        <f>IF(AND(_A5="B-717",'2025'!$J$4="CA",'2025'!$J$2=BV233),'2025DATA'!$C$37,"")</f>
        <v/>
      </c>
      <c r="BW268" s="518" t="str">
        <f>IF(AND(_A5="B-717",'2025'!$J$4="CA",'2025'!$J$2=BW233),'2025DATA'!$D$37,"")</f>
        <v/>
      </c>
      <c r="BX268" s="518" t="str">
        <f>IF(AND(_A5="B-717",'2025'!$J$4="CA",'2025'!$J$2=BX233),'2025DATA'!$E$37,"")</f>
        <v/>
      </c>
      <c r="BY268" s="518" t="str">
        <f>IF(AND(_A5="B-717",'2025'!$J$4="CA",'2025'!$J$2=BY233),'2025DATA'!$F$37,"")</f>
        <v/>
      </c>
      <c r="BZ268" s="518" t="str">
        <f>IF(AND(_A5="B-717",'2025'!$J$4="CA",'2025'!$J$2=BZ233),'2025DATA'!$G$37,"")</f>
        <v/>
      </c>
      <c r="CA268" s="518" t="str">
        <f>IF(AND(_A5="B-717",'2025'!$J$4="CA",'2025'!$J$2=CA233),'2025DATA'!$H$37,"")</f>
        <v/>
      </c>
      <c r="CB268" s="518" t="str">
        <f>IF(AND(_A5="B-717",'2025'!$J$4="CA",'2025'!$J$2=CB233),'2025DATA'!$I$37,"")</f>
        <v/>
      </c>
      <c r="CC268" s="518" t="str">
        <f>IF(AND(_A5="B-717",'2025'!$J$4="CA",'2025'!$J$2=CC233),'2025DATA'!$J$37,"")</f>
        <v/>
      </c>
      <c r="CD268" s="518" t="str">
        <f>IF(AND(_A5="B-717",'2025'!$J$4="CA",'2025'!$J$2=CD233),'2025DATA'!$K$37,"")</f>
        <v/>
      </c>
      <c r="CE268" s="518" t="str">
        <f>IF(AND(_A5="B-717",'2025'!$J$4="CA",'2025'!$J$2=CE233),'2025DATA'!$L$37,"")</f>
        <v/>
      </c>
      <c r="CF268" s="518" t="str">
        <f>IF(AND(_A5="B-717",'2025'!$J$4="CA",'2025'!$J$2=CF233),'2025DATA'!$M$37,"")</f>
        <v/>
      </c>
      <c r="CG268" s="520" t="str">
        <f>IF(AND(_A5="B-717",'2025'!$J$4="CA",'2025'!$J$2=CG233),'2025DATA'!$N$37,"")</f>
        <v/>
      </c>
      <c r="CH268" s="940" t="s">
        <v>53</v>
      </c>
      <c r="CI268" s="13" t="s">
        <v>61</v>
      </c>
      <c r="CJ268" s="518" t="str">
        <f>IF(AND(_A6="B-717",'2025'!$J$4="CA",'2025'!$J$2=CJ233),'2025DATA'!$C$37,"")</f>
        <v/>
      </c>
      <c r="CK268" s="518" t="str">
        <f>IF(AND(_A6="B-717",'2025'!$J$4="CA",'2025'!$J$2=CK233),'2025DATA'!$D$37,"")</f>
        <v/>
      </c>
      <c r="CL268" s="518" t="str">
        <f>IF(AND(_A6="B-717",'2025'!$J$4="CA",'2025'!$J$2=CL233),'2025DATA'!$E$37,"")</f>
        <v/>
      </c>
      <c r="CM268" s="518" t="str">
        <f>IF(AND(_A6="B-717",'2025'!$J$4="CA",'2025'!$J$2=CM233),'2025DATA'!$F$37,"")</f>
        <v/>
      </c>
      <c r="CN268" s="518" t="str">
        <f>IF(AND(_A6="B-717",'2025'!$J$4="CA",'2025'!$J$2=CN233),'2025DATA'!$G$37,"")</f>
        <v/>
      </c>
      <c r="CO268" s="518" t="str">
        <f>IF(AND(_A6="B-717",'2025'!$J$4="CA",'2025'!$J$2=CO233),'2025DATA'!$H$37,"")</f>
        <v/>
      </c>
      <c r="CP268" s="518" t="str">
        <f>IF(AND(_A6="B-717",'2025'!$J$4="CA",'2025'!$J$2=CP233),'2025DATA'!$I$37,"")</f>
        <v/>
      </c>
      <c r="CQ268" s="518" t="str">
        <f>IF(AND(_A6="B-717",'2025'!$J$4="CA",'2025'!$J$2=CQ233),'2025DATA'!$J$37,"")</f>
        <v/>
      </c>
      <c r="CR268" s="518" t="str">
        <f>IF(AND(_A6="B-717",'2025'!$J$4="CA",'2025'!$J$2=CR233),'2025DATA'!$K$37,"")</f>
        <v/>
      </c>
      <c r="CS268" s="518" t="str">
        <f>IF(AND(_A6="B-717",'2025'!$J$4="CA",'2025'!$J$2=CS233),'2025DATA'!$L$37,"")</f>
        <v/>
      </c>
      <c r="CT268" s="518" t="str">
        <f>IF(AND(_A6="B-717",'2025'!$J$4="CA",'2025'!$J$2=CT233),'2025DATA'!$M$37,"")</f>
        <v/>
      </c>
      <c r="CU268" s="520" t="str">
        <f>IF(AND(_A6="B-717",'2025'!$J$4="CA",'2025'!$J$2=CU233),'2025DATA'!$N$37,"")</f>
        <v/>
      </c>
    </row>
    <row r="269" spans="16:99" ht="15.75" thickBot="1" x14ac:dyDescent="0.3">
      <c r="P269" s="941"/>
      <c r="Q269" s="521" t="s">
        <v>62</v>
      </c>
      <c r="R269" s="518" t="str">
        <f>IF(AND(_A1="B-717",'2025'!$J$4="FO",'2025'!$J$2=R233),'2025DATA'!$C$38,"")</f>
        <v/>
      </c>
      <c r="S269" s="518" t="str">
        <f>IF(AND(_A1="B-717",'2025'!$J$4="FO",'2025'!$J$2=S233),'2025DATA'!$D$38,"")</f>
        <v/>
      </c>
      <c r="T269" s="518" t="str">
        <f>IF(AND(_A1="B-717",'2025'!$J$4="FO",'2025'!$J$2=T233),'2025DATA'!$E$38,"")</f>
        <v/>
      </c>
      <c r="U269" s="518" t="str">
        <f>IF(AND(_A1="B-717",'2025'!$J$4="FO",'2025'!$J$2=U233),'2025DATA'!$F$38,"")</f>
        <v/>
      </c>
      <c r="V269" s="518" t="str">
        <f>IF(AND(_A1="B-717",'2025'!$J$4="FO",'2025'!$J$2=V233),'2025DATA'!$G$38,"")</f>
        <v/>
      </c>
      <c r="W269" s="518" t="str">
        <f>IF(AND(_A1="B-717",'2025'!$J$4="FO",'2025'!$J$2=W233),'2025DATA'!$H$38,"")</f>
        <v/>
      </c>
      <c r="X269" s="518" t="str">
        <f>IF(AND(_A1="B-717",'2025'!$J$4="FO",'2025'!$J$2=X233),'2025DATA'!$I$38,"")</f>
        <v/>
      </c>
      <c r="Y269" s="518" t="str">
        <f>IF(AND(_A1="B-717",'2025'!$J$4="FO",'2025'!$J$2=Y233),'2025DATA'!$J$38,"")</f>
        <v/>
      </c>
      <c r="Z269" s="518" t="str">
        <f>IF(AND(_A1="B-717",'2025'!$J$4="FO",'2025'!$J$2=Z233),'2025DATA'!$K$38,"")</f>
        <v/>
      </c>
      <c r="AA269" s="518" t="str">
        <f>IF(AND(_A1="B-717",'2025'!$J$4="FO",'2025'!$J$2=AA233),'2025DATA'!$L$38,"")</f>
        <v/>
      </c>
      <c r="AB269" s="518" t="str">
        <f>IF(AND(_A1="B-717",'2025'!$J$4="FO",'2025'!$J$2=AB233),'2025DATA'!$M$38,"")</f>
        <v/>
      </c>
      <c r="AC269" s="520" t="str">
        <f>IF(AND(_A1="B-717",'2025'!$J$4="FO",'2025'!$J$2=AC233),'2025DATA'!$N$38,"")</f>
        <v/>
      </c>
      <c r="AD269" s="941"/>
      <c r="AE269" s="521" t="s">
        <v>62</v>
      </c>
      <c r="AF269" s="518" t="str">
        <f>IF(AND(_A2="B-717",'2025'!$J$4="FO",'2025'!$J$2=AF233),'2025DATA'!$C$38,"")</f>
        <v/>
      </c>
      <c r="AG269" s="518" t="str">
        <f>IF(AND(_A2="B-717",'2025'!$J$4="FO",'2025'!$J$2=AG233),'2025DATA'!$D$38,"")</f>
        <v/>
      </c>
      <c r="AH269" s="518" t="str">
        <f>IF(AND(_A2="B-717",'2025'!$J$4="FO",'2025'!$J$2=AH233),'2025DATA'!$E$38,"")</f>
        <v/>
      </c>
      <c r="AI269" s="518" t="str">
        <f>IF(AND(_A2="B-717",'2025'!$J$4="FO",'2025'!$J$2=AI233),'2025DATA'!$F$38,"")</f>
        <v/>
      </c>
      <c r="AJ269" s="518" t="str">
        <f>IF(AND(_A2="B-717",'2025'!$J$4="FO",'2025'!$J$2=AJ233),'2025DATA'!$G$38,"")</f>
        <v/>
      </c>
      <c r="AK269" s="518" t="str">
        <f>IF(AND(_A2="B-717",'2025'!$J$4="FO",'2025'!$J$2=AK233),'2025DATA'!$H$38,"")</f>
        <v/>
      </c>
      <c r="AL269" s="518" t="str">
        <f>IF(AND(_A2="B-717",'2025'!$J$4="FO",'2025'!$J$2=AL233),'2025DATA'!$I$38,"")</f>
        <v/>
      </c>
      <c r="AM269" s="518" t="str">
        <f>IF(AND(_A2="B-717",'2025'!$J$4="FO",'2025'!$J$2=AM233),'2025DATA'!$J$38,"")</f>
        <v/>
      </c>
      <c r="AN269" s="518" t="str">
        <f>IF(AND(_A2="B-717",'2025'!$J$4="FO",'2025'!$J$2=AN233),'2025DATA'!$K$38,"")</f>
        <v/>
      </c>
      <c r="AO269" s="518" t="str">
        <f>IF(AND(_A2="B-717",'2025'!$J$4="FO",'2025'!$J$2=AO233),'2025DATA'!$L$38,"")</f>
        <v/>
      </c>
      <c r="AP269" s="518" t="str">
        <f>IF(AND(_A2="B-717",'2025'!$J$4="FO",'2025'!$J$2=AP233),'2025DATA'!$M$38,"")</f>
        <v/>
      </c>
      <c r="AQ269" s="520" t="str">
        <f>IF(AND(_A2="B-717",'2025'!$J$4="FO",'2025'!$J$2=AQ233),'2025DATA'!$N$38,"")</f>
        <v/>
      </c>
      <c r="AR269" s="941"/>
      <c r="AS269" s="521" t="s">
        <v>62</v>
      </c>
      <c r="AT269" s="518" t="str">
        <f>IF(AND(_A3="B-717",'2025'!$J$4="FO",'2025'!$J$2=AT233),'2025DATA'!$C$38,"")</f>
        <v/>
      </c>
      <c r="AU269" s="518" t="str">
        <f>IF(AND(_A3="B-717",'2025'!$J$4="FO",'2025'!$J$2=AU233),'2025DATA'!$D$38,"")</f>
        <v/>
      </c>
      <c r="AV269" s="518" t="str">
        <f>IF(AND(_A3="B-717",'2025'!$J$4="FO",'2025'!$J$2=AV233),'2025DATA'!$E$38,"")</f>
        <v/>
      </c>
      <c r="AW269" s="518" t="str">
        <f>IF(AND(_A3="B-717",'2025'!$J$4="FO",'2025'!$J$2=AW233),'2025DATA'!$F$38,"")</f>
        <v/>
      </c>
      <c r="AX269" s="518" t="str">
        <f>IF(AND(_A3="B-717",'2025'!$J$4="FO",'2025'!$J$2=AX233),'2025DATA'!$G$38,"")</f>
        <v/>
      </c>
      <c r="AY269" s="518" t="str">
        <f>IF(AND(_A3="B-717",'2025'!$J$4="FO",'2025'!$J$2=AY233),'2025DATA'!$H$38,"")</f>
        <v/>
      </c>
      <c r="AZ269" s="518" t="str">
        <f>IF(AND(_A3="B-717",'2025'!$J$4="FO",'2025'!$J$2=AZ233),'2025DATA'!$I$38,"")</f>
        <v/>
      </c>
      <c r="BA269" s="518" t="str">
        <f>IF(AND(_A3="B-717",'2025'!$J$4="FO",'2025'!$J$2=BA233),'2025DATA'!$J$38,"")</f>
        <v/>
      </c>
      <c r="BB269" s="518" t="str">
        <f>IF(AND(_A3="B-717",'2025'!$J$4="FO",'2025'!$J$2=BB233),'2025DATA'!$K$38,"")</f>
        <v/>
      </c>
      <c r="BC269" s="518" t="str">
        <f>IF(AND(_A3="B-717",'2025'!$J$4="FO",'2025'!$J$2=BC233),'2025DATA'!$L$38,"")</f>
        <v/>
      </c>
      <c r="BD269" s="518" t="str">
        <f>IF(AND(_A3="B-717",'2025'!$J$4="FO",'2025'!$J$2=BD233),'2025DATA'!$M$38,"")</f>
        <v/>
      </c>
      <c r="BE269" s="520" t="str">
        <f>IF(AND(_A3="B-717",'2025'!$J$4="FO",'2025'!$J$2=BE233),'2025DATA'!$N$38,"")</f>
        <v/>
      </c>
      <c r="BF269" s="941"/>
      <c r="BG269" s="521" t="s">
        <v>62</v>
      </c>
      <c r="BH269" s="518" t="str">
        <f>IF(AND(_A4="B-717",'2025'!$J$4="FO",'2025'!$J$2=BH233),'2025DATA'!$C$38,"")</f>
        <v/>
      </c>
      <c r="BI269" s="518" t="str">
        <f>IF(AND(_A4="B-717",'2025'!$J$4="FO",'2025'!$J$2=BI233),'2025DATA'!$D$38,"")</f>
        <v/>
      </c>
      <c r="BJ269" s="518" t="str">
        <f>IF(AND(_A4="B-717",'2025'!$J$4="FO",'2025'!$J$2=BJ233),'2025DATA'!$E$38,"")</f>
        <v/>
      </c>
      <c r="BK269" s="518" t="str">
        <f>IF(AND(_A4="B-717",'2025'!$J$4="FO",'2025'!$J$2=BK233),'2025DATA'!$F$38,"")</f>
        <v/>
      </c>
      <c r="BL269" s="518" t="str">
        <f>IF(AND(_A4="B-717",'2025'!$J$4="FO",'2025'!$J$2=BL233),'2025DATA'!$G$38,"")</f>
        <v/>
      </c>
      <c r="BM269" s="518" t="str">
        <f>IF(AND(_A4="B-717",'2025'!$J$4="FO",'2025'!$J$2=BM233),'2025DATA'!$H$38,"")</f>
        <v/>
      </c>
      <c r="BN269" s="518" t="str">
        <f>IF(AND(_A4="B-717",'2025'!$J$4="FO",'2025'!$J$2=BN233),'2025DATA'!$I$38,"")</f>
        <v/>
      </c>
      <c r="BO269" s="518" t="str">
        <f>IF(AND(_A4="B-717",'2025'!$J$4="FO",'2025'!$J$2=BO233),'2025DATA'!$J$38,"")</f>
        <v/>
      </c>
      <c r="BP269" s="518" t="str">
        <f>IF(AND(_A4="B-717",'2025'!$J$4="FO",'2025'!$J$2=BP233),'2025DATA'!$K$38,"")</f>
        <v/>
      </c>
      <c r="BQ269" s="518" t="str">
        <f>IF(AND(_A4="B-717",'2025'!$J$4="FO",'2025'!$J$2=BQ233),'2025DATA'!$L$38,"")</f>
        <v/>
      </c>
      <c r="BR269" s="518" t="str">
        <f>IF(AND(_A4="B-717",'2025'!$J$4="FO",'2025'!$J$2=BR233),'2025DATA'!$M$38,"")</f>
        <v/>
      </c>
      <c r="BS269" s="520" t="str">
        <f>IF(AND(_A4="B-717",'2025'!$J$4="FO",'2025'!$J$2=BS233),'2025DATA'!$N$38,"")</f>
        <v/>
      </c>
      <c r="BT269" s="941"/>
      <c r="BU269" s="521" t="s">
        <v>62</v>
      </c>
      <c r="BV269" s="518" t="str">
        <f>IF(AND(_A5="B-717",'2025'!$J$4="FO",'2025'!$J$2=BV233),'2025DATA'!$C$38,"")</f>
        <v/>
      </c>
      <c r="BW269" s="518" t="str">
        <f>IF(AND(_A5="B-717",'2025'!$J$4="FO",'2025'!$J$2=BW233),'2025DATA'!$D$38,"")</f>
        <v/>
      </c>
      <c r="BX269" s="518" t="str">
        <f>IF(AND(_A5="B-717",'2025'!$J$4="FO",'2025'!$J$2=BX233),'2025DATA'!$E$38,"")</f>
        <v/>
      </c>
      <c r="BY269" s="518" t="str">
        <f>IF(AND(_A5="B-717",'2025'!$J$4="FO",'2025'!$J$2=BY233),'2025DATA'!$F$38,"")</f>
        <v/>
      </c>
      <c r="BZ269" s="518" t="str">
        <f>IF(AND(_A5="B-717",'2025'!$J$4="FO",'2025'!$J$2=BZ233),'2025DATA'!$G$38,"")</f>
        <v/>
      </c>
      <c r="CA269" s="518" t="str">
        <f>IF(AND(_A5="B-717",'2025'!$J$4="FO",'2025'!$J$2=CA233),'2025DATA'!$H$38,"")</f>
        <v/>
      </c>
      <c r="CB269" s="518" t="str">
        <f>IF(AND(_A5="B-717",'2025'!$J$4="FO",'2025'!$J$2=CB233),'2025DATA'!$I$38,"")</f>
        <v/>
      </c>
      <c r="CC269" s="518" t="str">
        <f>IF(AND(_A5="B-717",'2025'!$J$4="FO",'2025'!$J$2=CC233),'2025DATA'!$J$38,"")</f>
        <v/>
      </c>
      <c r="CD269" s="518" t="str">
        <f>IF(AND(_A5="B-717",'2025'!$J$4="FO",'2025'!$J$2=CD233),'2025DATA'!$K$38,"")</f>
        <v/>
      </c>
      <c r="CE269" s="518" t="str">
        <f>IF(AND(_A5="B-717",'2025'!$J$4="FO",'2025'!$J$2=CE233),'2025DATA'!$L$38,"")</f>
        <v/>
      </c>
      <c r="CF269" s="518" t="str">
        <f>IF(AND(_A5="B-717",'2025'!$J$4="FO",'2025'!$J$2=CF233),'2025DATA'!$M$38,"")</f>
        <v/>
      </c>
      <c r="CG269" s="520" t="str">
        <f>IF(AND(_A5="B-717",'2025'!$J$4="FO",'2025'!$J$2=CG233),'2025DATA'!$N$38,"")</f>
        <v/>
      </c>
      <c r="CH269" s="941"/>
      <c r="CI269" s="521" t="s">
        <v>62</v>
      </c>
      <c r="CJ269" s="518" t="str">
        <f>IF(AND(_A6="B-717",'2025'!$J$4="FO",'2025'!$J$2=CJ233),'2025DATA'!$C$38,"")</f>
        <v/>
      </c>
      <c r="CK269" s="518" t="str">
        <f>IF(AND(_A6="B-717",'2025'!$J$4="FO",'2025'!$J$2=CK233),'2025DATA'!$D$38,"")</f>
        <v/>
      </c>
      <c r="CL269" s="518" t="str">
        <f>IF(AND(_A6="B-717",'2025'!$J$4="FO",'2025'!$J$2=CL233),'2025DATA'!$E$38,"")</f>
        <v/>
      </c>
      <c r="CM269" s="518" t="str">
        <f>IF(AND(_A6="B-717",'2025'!$J$4="FO",'2025'!$J$2=CM233),'2025DATA'!$F$38,"")</f>
        <v/>
      </c>
      <c r="CN269" s="518" t="str">
        <f>IF(AND(_A6="B-717",'2025'!$J$4="FO",'2025'!$J$2=CN233),'2025DATA'!$G$38,"")</f>
        <v/>
      </c>
      <c r="CO269" s="518" t="str">
        <f>IF(AND(_A6="B-717",'2025'!$J$4="FO",'2025'!$J$2=CO233),'2025DATA'!$H$38,"")</f>
        <v/>
      </c>
      <c r="CP269" s="518" t="str">
        <f>IF(AND(_A6="B-717",'2025'!$J$4="FO",'2025'!$J$2=CP233),'2025DATA'!$I$38,"")</f>
        <v/>
      </c>
      <c r="CQ269" s="518" t="str">
        <f>IF(AND(_A6="B-717",'2025'!$J$4="FO",'2025'!$J$2=CQ233),'2025DATA'!$J$38,"")</f>
        <v/>
      </c>
      <c r="CR269" s="518" t="str">
        <f>IF(AND(_A6="B-717",'2025'!$J$4="FO",'2025'!$J$2=CR233),'2025DATA'!$K$38,"")</f>
        <v/>
      </c>
      <c r="CS269" s="518" t="str">
        <f>IF(AND(_A6="B-717",'2025'!$J$4="FO",'2025'!$J$2=CS233),'2025DATA'!$L$38,"")</f>
        <v/>
      </c>
      <c r="CT269" s="518" t="str">
        <f>IF(AND(_A6="B-717",'2025'!$J$4="FO",'2025'!$J$2=CT233),'2025DATA'!$M$38,"")</f>
        <v/>
      </c>
      <c r="CU269" s="520" t="str">
        <f>IF(AND(_A6="B-717",'2025'!$J$4="FO",'2025'!$J$2=CU233),'2025DATA'!$N$38,"")</f>
        <v/>
      </c>
    </row>
    <row r="270" spans="16:99" x14ac:dyDescent="0.25">
      <c r="P270" s="943" t="s">
        <v>116</v>
      </c>
      <c r="Q270" s="944"/>
      <c r="R270" s="944"/>
      <c r="S270" s="944"/>
      <c r="T270" s="944"/>
      <c r="U270" s="944"/>
      <c r="V270" s="944"/>
      <c r="W270" s="944"/>
      <c r="X270" s="944"/>
      <c r="Y270" s="944"/>
      <c r="Z270" s="944"/>
      <c r="AA270" s="944"/>
      <c r="AB270" s="944"/>
      <c r="AC270" s="945"/>
      <c r="AD270" s="943" t="s">
        <v>117</v>
      </c>
      <c r="AE270" s="944"/>
      <c r="AF270" s="944"/>
      <c r="AG270" s="944"/>
      <c r="AH270" s="944"/>
      <c r="AI270" s="944"/>
      <c r="AJ270" s="944"/>
      <c r="AK270" s="944"/>
      <c r="AL270" s="944"/>
      <c r="AM270" s="944"/>
      <c r="AN270" s="944"/>
      <c r="AO270" s="944"/>
      <c r="AP270" s="944"/>
      <c r="AQ270" s="945"/>
      <c r="AR270" s="943" t="s">
        <v>118</v>
      </c>
      <c r="AS270" s="944"/>
      <c r="AT270" s="944"/>
      <c r="AU270" s="944"/>
      <c r="AV270" s="944"/>
      <c r="AW270" s="944"/>
      <c r="AX270" s="944"/>
      <c r="AY270" s="944"/>
      <c r="AZ270" s="944"/>
      <c r="BA270" s="944"/>
      <c r="BB270" s="944"/>
      <c r="BC270" s="944"/>
      <c r="BD270" s="944"/>
      <c r="BE270" s="945"/>
      <c r="BF270" s="943" t="s">
        <v>119</v>
      </c>
      <c r="BG270" s="944"/>
      <c r="BH270" s="944"/>
      <c r="BI270" s="944"/>
      <c r="BJ270" s="944"/>
      <c r="BK270" s="944"/>
      <c r="BL270" s="944"/>
      <c r="BM270" s="944"/>
      <c r="BN270" s="944"/>
      <c r="BO270" s="944"/>
      <c r="BP270" s="944"/>
      <c r="BQ270" s="944"/>
      <c r="BR270" s="944"/>
      <c r="BS270" s="945"/>
      <c r="BT270" s="943" t="s">
        <v>120</v>
      </c>
      <c r="BU270" s="944"/>
      <c r="BV270" s="944"/>
      <c r="BW270" s="944"/>
      <c r="BX270" s="944"/>
      <c r="BY270" s="944"/>
      <c r="BZ270" s="944"/>
      <c r="CA270" s="944"/>
      <c r="CB270" s="944"/>
      <c r="CC270" s="944"/>
      <c r="CD270" s="944"/>
      <c r="CE270" s="944"/>
      <c r="CF270" s="944"/>
      <c r="CG270" s="945"/>
      <c r="CH270" s="943" t="s">
        <v>121</v>
      </c>
      <c r="CI270" s="944"/>
      <c r="CJ270" s="944"/>
      <c r="CK270" s="944"/>
      <c r="CL270" s="944"/>
      <c r="CM270" s="944"/>
      <c r="CN270" s="944"/>
      <c r="CO270" s="944"/>
      <c r="CP270" s="944"/>
      <c r="CQ270" s="944"/>
      <c r="CR270" s="944"/>
      <c r="CS270" s="944"/>
      <c r="CT270" s="944"/>
      <c r="CU270" s="945"/>
    </row>
    <row r="271" spans="16:99" x14ac:dyDescent="0.25">
      <c r="P271" s="577">
        <v>8</v>
      </c>
      <c r="Q271" s="577">
        <f>SUM(R272:AC307)</f>
        <v>0</v>
      </c>
      <c r="R271" s="3">
        <v>12</v>
      </c>
      <c r="S271" s="3">
        <v>11</v>
      </c>
      <c r="T271" s="3">
        <v>10</v>
      </c>
      <c r="U271" s="3">
        <v>9</v>
      </c>
      <c r="V271" s="3">
        <v>8</v>
      </c>
      <c r="W271" s="3">
        <v>7</v>
      </c>
      <c r="X271" s="3">
        <v>6</v>
      </c>
      <c r="Y271" s="3">
        <v>5</v>
      </c>
      <c r="Z271" s="3">
        <v>4</v>
      </c>
      <c r="AA271" s="3">
        <v>3</v>
      </c>
      <c r="AB271" s="3">
        <v>2</v>
      </c>
      <c r="AC271" s="519">
        <v>1</v>
      </c>
      <c r="AD271" s="577">
        <v>8</v>
      </c>
      <c r="AE271" s="577">
        <f>SUM(AF272:AQ307)</f>
        <v>0</v>
      </c>
      <c r="AF271" s="3">
        <v>12</v>
      </c>
      <c r="AG271" s="3">
        <v>11</v>
      </c>
      <c r="AH271" s="3">
        <v>10</v>
      </c>
      <c r="AI271" s="3">
        <v>9</v>
      </c>
      <c r="AJ271" s="3">
        <v>8</v>
      </c>
      <c r="AK271" s="3">
        <v>7</v>
      </c>
      <c r="AL271" s="3">
        <v>6</v>
      </c>
      <c r="AM271" s="3">
        <v>5</v>
      </c>
      <c r="AN271" s="3">
        <v>4</v>
      </c>
      <c r="AO271" s="3">
        <v>3</v>
      </c>
      <c r="AP271" s="3">
        <v>2</v>
      </c>
      <c r="AQ271" s="519">
        <v>1</v>
      </c>
      <c r="AR271" s="577">
        <v>8</v>
      </c>
      <c r="AS271" s="577">
        <f>SUM(AT272:BE307)</f>
        <v>0</v>
      </c>
      <c r="AT271" s="3">
        <v>12</v>
      </c>
      <c r="AU271" s="3">
        <v>11</v>
      </c>
      <c r="AV271" s="3">
        <v>10</v>
      </c>
      <c r="AW271" s="3">
        <v>9</v>
      </c>
      <c r="AX271" s="3">
        <v>8</v>
      </c>
      <c r="AY271" s="3">
        <v>7</v>
      </c>
      <c r="AZ271" s="3">
        <v>6</v>
      </c>
      <c r="BA271" s="3">
        <v>5</v>
      </c>
      <c r="BB271" s="3">
        <v>4</v>
      </c>
      <c r="BC271" s="3">
        <v>3</v>
      </c>
      <c r="BD271" s="3">
        <v>2</v>
      </c>
      <c r="BE271" s="519">
        <v>1</v>
      </c>
      <c r="BF271" s="577">
        <v>8</v>
      </c>
      <c r="BG271" s="577">
        <f>SUM(BH272:BS307)</f>
        <v>0</v>
      </c>
      <c r="BH271" s="3">
        <v>12</v>
      </c>
      <c r="BI271" s="3">
        <v>11</v>
      </c>
      <c r="BJ271" s="3">
        <v>10</v>
      </c>
      <c r="BK271" s="3">
        <v>9</v>
      </c>
      <c r="BL271" s="3">
        <v>8</v>
      </c>
      <c r="BM271" s="3">
        <v>7</v>
      </c>
      <c r="BN271" s="3">
        <v>6</v>
      </c>
      <c r="BO271" s="3">
        <v>5</v>
      </c>
      <c r="BP271" s="3">
        <v>4</v>
      </c>
      <c r="BQ271" s="3">
        <v>3</v>
      </c>
      <c r="BR271" s="3">
        <v>2</v>
      </c>
      <c r="BS271" s="519">
        <v>1</v>
      </c>
      <c r="BT271" s="577">
        <v>8</v>
      </c>
      <c r="BU271" s="577">
        <f>SUM(BV272:CG307)</f>
        <v>0</v>
      </c>
      <c r="BV271" s="3">
        <v>12</v>
      </c>
      <c r="BW271" s="3">
        <v>11</v>
      </c>
      <c r="BX271" s="3">
        <v>10</v>
      </c>
      <c r="BY271" s="3">
        <v>9</v>
      </c>
      <c r="BZ271" s="3">
        <v>8</v>
      </c>
      <c r="CA271" s="3">
        <v>7</v>
      </c>
      <c r="CB271" s="3">
        <v>6</v>
      </c>
      <c r="CC271" s="3">
        <v>5</v>
      </c>
      <c r="CD271" s="3">
        <v>4</v>
      </c>
      <c r="CE271" s="3">
        <v>3</v>
      </c>
      <c r="CF271" s="3">
        <v>2</v>
      </c>
      <c r="CG271" s="519">
        <v>1</v>
      </c>
      <c r="CH271" s="577">
        <v>8</v>
      </c>
      <c r="CI271" s="577">
        <f>SUM(CJ272:CU307)</f>
        <v>0</v>
      </c>
      <c r="CJ271" s="3">
        <v>12</v>
      </c>
      <c r="CK271" s="3">
        <v>11</v>
      </c>
      <c r="CL271" s="3">
        <v>10</v>
      </c>
      <c r="CM271" s="3">
        <v>9</v>
      </c>
      <c r="CN271" s="3">
        <v>8</v>
      </c>
      <c r="CO271" s="3">
        <v>7</v>
      </c>
      <c r="CP271" s="3">
        <v>6</v>
      </c>
      <c r="CQ271" s="3">
        <v>5</v>
      </c>
      <c r="CR271" s="3">
        <v>4</v>
      </c>
      <c r="CS271" s="3">
        <v>3</v>
      </c>
      <c r="CT271" s="3">
        <v>2</v>
      </c>
      <c r="CU271" s="519">
        <v>1</v>
      </c>
    </row>
    <row r="272" spans="16:99" x14ac:dyDescent="0.25">
      <c r="P272" s="940" t="s">
        <v>39</v>
      </c>
      <c r="Q272" s="13" t="s">
        <v>61</v>
      </c>
      <c r="R272" s="518" t="str">
        <f>IF(AND(_A1="A-350",'2025'!$K$4="CA",'2025'!$K$2=R271),'2025DATA'!$C$3,"")</f>
        <v/>
      </c>
      <c r="S272" s="518" t="str">
        <f>IF(AND(_A1="A-350",'2025'!$K$4="CA",'2025'!$K$2=S271),'2025DATA'!$D$3,"")</f>
        <v/>
      </c>
      <c r="T272" s="518" t="str">
        <f>IF(AND(_A1="A-350",'2025'!$K$4="CA",'2025'!$K$2=T271),'2025DATA'!$E$3,"")</f>
        <v/>
      </c>
      <c r="U272" s="518" t="str">
        <f>IF(AND(_A1="A-350",'2025'!$K$4="CA",'2025'!$K$2=U271),'2025DATA'!$F$3,"")</f>
        <v/>
      </c>
      <c r="V272" s="518" t="str">
        <f>IF(AND(_A1="A-350",'2025'!$K$4="CA",'2025'!$K$2=V271),'2025DATA'!$G$3,"")</f>
        <v/>
      </c>
      <c r="W272" s="518" t="str">
        <f>IF(AND(_A1="A-350",'2025'!$K$4="CA",'2025'!$K$2=W271),'2025DATA'!$H$3,"")</f>
        <v/>
      </c>
      <c r="X272" s="518" t="str">
        <f>IF(AND(_A1="A-350",'2025'!$K$4="CA",'2025'!$K$2=X271),'2025DATA'!$I$3,"")</f>
        <v/>
      </c>
      <c r="Y272" s="518" t="str">
        <f>IF(AND(_A1="A-350",'2025'!$K$4="CA",'2025'!$K$2=Y271),'2025DATA'!$J$3,"")</f>
        <v/>
      </c>
      <c r="Z272" s="518" t="str">
        <f>IF(AND(_A1="A-350",'2025'!$K$4="CA",'2025'!$K$2=Z271),'2025DATA'!$K$3,"")</f>
        <v/>
      </c>
      <c r="AA272" s="518" t="str">
        <f>IF(AND(_A1="A-350",'2025'!$K$4="CA",'2025'!$K$2=AA271),'2025DATA'!$L$3,"")</f>
        <v/>
      </c>
      <c r="AB272" s="518" t="str">
        <f>IF(AND(_A1="A-350",'2025'!$K$4="CA",'2025'!$K$2=AB271),'2025DATA'!$M$3,"")</f>
        <v/>
      </c>
      <c r="AC272" s="520" t="str">
        <f>IF(AND(_A1="A-350",'2025'!$K$4="CA",'2025'!$K$2=AC271),'2025DATA'!$N$3,"")</f>
        <v/>
      </c>
      <c r="AD272" s="940" t="s">
        <v>39</v>
      </c>
      <c r="AE272" s="13" t="s">
        <v>61</v>
      </c>
      <c r="AF272" s="518" t="str">
        <f>IF(AND(_A2="A-350",'2025'!$K$4="CA",'2025'!$K$2=AF271),'2025DATA'!$C$3,"")</f>
        <v/>
      </c>
      <c r="AG272" s="518" t="str">
        <f>IF(AND(_A2="A-350",'2025'!$K$4="CA",'2025'!$K$2=AG271),'2025DATA'!$D$3,"")</f>
        <v/>
      </c>
      <c r="AH272" s="518" t="str">
        <f>IF(AND(_A2="A-350",'2025'!$K$4="CA",'2025'!$K$2=AH271),'2025DATA'!$E$3,"")</f>
        <v/>
      </c>
      <c r="AI272" s="518" t="str">
        <f>IF(AND(_A2="A-350",'2025'!$K$4="CA",'2025'!$K$2=AI271),'2025DATA'!$F$3,"")</f>
        <v/>
      </c>
      <c r="AJ272" s="518" t="str">
        <f>IF(AND(_A2="A-350",'2025'!$K$4="CA",'2025'!$K$2=AJ271),'2025DATA'!$G$3,"")</f>
        <v/>
      </c>
      <c r="AK272" s="518" t="str">
        <f>IF(AND(_A2="A-350",'2025'!$K$4="CA",'2025'!$K$2=AK271),'2025DATA'!$H$3,"")</f>
        <v/>
      </c>
      <c r="AL272" s="518" t="str">
        <f>IF(AND(_A2="A-350",'2025'!$K$4="CA",'2025'!$K$2=AL271),'2025DATA'!$I$3,"")</f>
        <v/>
      </c>
      <c r="AM272" s="518" t="str">
        <f>IF(AND(_A2="A-350",'2025'!$K$4="CA",'2025'!$K$2=AM271),'2025DATA'!$J$3,"")</f>
        <v/>
      </c>
      <c r="AN272" s="518" t="str">
        <f>IF(AND(_A2="A-350",'2025'!$K$4="CA",'2025'!$K$2=AN271),'2025DATA'!$K$3,"")</f>
        <v/>
      </c>
      <c r="AO272" s="518" t="str">
        <f>IF(AND(_A2="A-350",'2025'!$K$4="CA",'2025'!$K$2=AO271),'2025DATA'!$L$3,"")</f>
        <v/>
      </c>
      <c r="AP272" s="518" t="str">
        <f>IF(AND(_A2="A-350",'2025'!$K$4="CA",'2025'!$K$2=AP271),'2025DATA'!$M$3,"")</f>
        <v/>
      </c>
      <c r="AQ272" s="520" t="str">
        <f>IF(AND(_A2="A-350",'2025'!$K$4="CA",'2025'!$K$2=AQ271),'2025DATA'!$N$3,"")</f>
        <v/>
      </c>
      <c r="AR272" s="940" t="s">
        <v>39</v>
      </c>
      <c r="AS272" s="13" t="s">
        <v>61</v>
      </c>
      <c r="AT272" s="518" t="str">
        <f>IF(AND(_A3="A-350",'2025'!$K$4="CA",'2025'!$K$2=AT271),'2025DATA'!$C$3,"")</f>
        <v/>
      </c>
      <c r="AU272" s="518" t="str">
        <f>IF(AND(_A3="A-350",'2025'!$K$4="CA",'2025'!$K$2=AU271),'2025DATA'!$D$3,"")</f>
        <v/>
      </c>
      <c r="AV272" s="518" t="str">
        <f>IF(AND(_A3="A-350",'2025'!$K$4="CA",'2025'!$K$2=AV271),'2025DATA'!$E$3,"")</f>
        <v/>
      </c>
      <c r="AW272" s="518" t="str">
        <f>IF(AND(_A3="A-350",'2025'!$K$4="CA",'2025'!$K$2=AW271),'2025DATA'!$F$3,"")</f>
        <v/>
      </c>
      <c r="AX272" s="518" t="str">
        <f>IF(AND(_A3="A-350",'2025'!$K$4="CA",'2025'!$K$2=AX271),'2025DATA'!$G$3,"")</f>
        <v/>
      </c>
      <c r="AY272" s="518" t="str">
        <f>IF(AND(_A3="A-350",'2025'!$K$4="CA",'2025'!$K$2=AY271),'2025DATA'!$H$3,"")</f>
        <v/>
      </c>
      <c r="AZ272" s="518" t="str">
        <f>IF(AND(_A3="A-350",'2025'!$K$4="CA",'2025'!$K$2=AZ271),'2025DATA'!$I$3,"")</f>
        <v/>
      </c>
      <c r="BA272" s="518" t="str">
        <f>IF(AND(_A3="A-350",'2025'!$K$4="CA",'2025'!$K$2=BA271),'2025DATA'!$J$3,"")</f>
        <v/>
      </c>
      <c r="BB272" s="518" t="str">
        <f>IF(AND(_A3="A-350",'2025'!$K$4="CA",'2025'!$K$2=BB271),'2025DATA'!$K$3,"")</f>
        <v/>
      </c>
      <c r="BC272" s="518" t="str">
        <f>IF(AND(_A3="A-350",'2025'!$K$4="CA",'2025'!$K$2=BC271),'2025DATA'!$L$3,"")</f>
        <v/>
      </c>
      <c r="BD272" s="518" t="str">
        <f>IF(AND(_A3="A-350",'2025'!$K$4="CA",'2025'!$K$2=BD271),'2025DATA'!$M$3,"")</f>
        <v/>
      </c>
      <c r="BE272" s="520" t="str">
        <f>IF(AND(_A3="A-350",'2025'!$K$4="CA",'2025'!$K$2=BE271),'2025DATA'!$N$3,"")</f>
        <v/>
      </c>
      <c r="BF272" s="940" t="s">
        <v>39</v>
      </c>
      <c r="BG272" s="13" t="s">
        <v>61</v>
      </c>
      <c r="BH272" s="518" t="str">
        <f>IF(AND(_A4="A-350",'2025'!$K$4="CA",'2025'!$K$2=BH271),'2025DATA'!$C$3,"")</f>
        <v/>
      </c>
      <c r="BI272" s="518" t="str">
        <f>IF(AND(_A4="A-350",'2025'!$K$4="CA",'2025'!$K$2=BI271),'2025DATA'!$D$3,"")</f>
        <v/>
      </c>
      <c r="BJ272" s="518" t="str">
        <f>IF(AND(_A4="A-350",'2025'!$K$4="CA",'2025'!$K$2=BJ271),'2025DATA'!$E$3,"")</f>
        <v/>
      </c>
      <c r="BK272" s="518" t="str">
        <f>IF(AND(_A4="A-350",'2025'!$K$4="CA",'2025'!$K$2=BK271),'2025DATA'!$F$3,"")</f>
        <v/>
      </c>
      <c r="BL272" s="518" t="str">
        <f>IF(AND(_A4="A-350",'2025'!$K$4="CA",'2025'!$K$2=BL271),'2025DATA'!$G$3,"")</f>
        <v/>
      </c>
      <c r="BM272" s="518" t="str">
        <f>IF(AND(_A4="A-350",'2025'!$K$4="CA",'2025'!$K$2=BM271),'2025DATA'!$H$3,"")</f>
        <v/>
      </c>
      <c r="BN272" s="518" t="str">
        <f>IF(AND(_A4="A-350",'2025'!$K$4="CA",'2025'!$K$2=BN271),'2025DATA'!$I$3,"")</f>
        <v/>
      </c>
      <c r="BO272" s="518" t="str">
        <f>IF(AND(_A4="A-350",'2025'!$K$4="CA",'2025'!$K$2=BO271),'2025DATA'!$J$3,"")</f>
        <v/>
      </c>
      <c r="BP272" s="518" t="str">
        <f>IF(AND(_A4="A-350",'2025'!$K$4="CA",'2025'!$K$2=BP271),'2025DATA'!$K$3,"")</f>
        <v/>
      </c>
      <c r="BQ272" s="518" t="str">
        <f>IF(AND(_A4="A-350",'2025'!$K$4="CA",'2025'!$K$2=BQ271),'2025DATA'!$L$3,"")</f>
        <v/>
      </c>
      <c r="BR272" s="518" t="str">
        <f>IF(AND(_A4="A-350",'2025'!$K$4="CA",'2025'!$K$2=BR271),'2025DATA'!$M$3,"")</f>
        <v/>
      </c>
      <c r="BS272" s="520" t="str">
        <f>IF(AND(_A4="A-350",'2025'!$K$4="CA",'2025'!$K$2=BS271),'2025DATA'!$N$3,"")</f>
        <v/>
      </c>
      <c r="BT272" s="940" t="s">
        <v>39</v>
      </c>
      <c r="BU272" s="13" t="s">
        <v>61</v>
      </c>
      <c r="BV272" s="518" t="str">
        <f>IF(AND(_A5="A-350",'2025'!$K$4="CA",'2025'!$K$2=BV271),'2025DATA'!$C$3,"")</f>
        <v/>
      </c>
      <c r="BW272" s="518" t="str">
        <f>IF(AND(_A5="A-350",'2025'!$K$4="CA",'2025'!$K$2=BW271),'2025DATA'!$D$3,"")</f>
        <v/>
      </c>
      <c r="BX272" s="518" t="str">
        <f>IF(AND(_A5="A-350",'2025'!$K$4="CA",'2025'!$K$2=BX271),'2025DATA'!$E$3,"")</f>
        <v/>
      </c>
      <c r="BY272" s="518" t="str">
        <f>IF(AND(_A5="A-350",'2025'!$K$4="CA",'2025'!$K$2=BY271),'2025DATA'!$F$3,"")</f>
        <v/>
      </c>
      <c r="BZ272" s="518" t="str">
        <f>IF(AND(_A5="A-350",'2025'!$K$4="CA",'2025'!$K$2=BZ271),'2025DATA'!$G$3,"")</f>
        <v/>
      </c>
      <c r="CA272" s="518" t="str">
        <f>IF(AND(_A5="A-350",'2025'!$K$4="CA",'2025'!$K$2=CA271),'2025DATA'!$H$3,"")</f>
        <v/>
      </c>
      <c r="CB272" s="518" t="str">
        <f>IF(AND(_A5="A-350",'2025'!$K$4="CA",'2025'!$K$2=CB271),'2025DATA'!$I$3,"")</f>
        <v/>
      </c>
      <c r="CC272" s="518" t="str">
        <f>IF(AND(_A5="A-350",'2025'!$K$4="CA",'2025'!$K$2=CC271),'2025DATA'!$J$3,"")</f>
        <v/>
      </c>
      <c r="CD272" s="518" t="str">
        <f>IF(AND(_A5="A-350",'2025'!$K$4="CA",'2025'!$K$2=CD271),'2025DATA'!$K$3,"")</f>
        <v/>
      </c>
      <c r="CE272" s="518" t="str">
        <f>IF(AND(_A5="A-350",'2025'!$K$4="CA",'2025'!$K$2=CE271),'2025DATA'!$L$3,"")</f>
        <v/>
      </c>
      <c r="CF272" s="518" t="str">
        <f>IF(AND(_A5="A-350",'2025'!$K$4="CA",'2025'!$K$2=CF271),'2025DATA'!$M$3,"")</f>
        <v/>
      </c>
      <c r="CG272" s="520" t="str">
        <f>IF(AND(_A5="A-350",'2025'!$K$4="CA",'2025'!$K$2=CG271),'2025DATA'!$N$3,"")</f>
        <v/>
      </c>
      <c r="CH272" s="940" t="s">
        <v>39</v>
      </c>
      <c r="CI272" s="13" t="s">
        <v>61</v>
      </c>
      <c r="CJ272" s="518" t="str">
        <f>IF(AND(_A6="A-350",'2025'!$K$4="CA",'2025'!$K$2=CJ271),'2025DATA'!$C$3,"")</f>
        <v/>
      </c>
      <c r="CK272" s="518" t="str">
        <f>IF(AND(_A6="A-350",'2025'!$K$4="CA",'2025'!$K$2=CK271),'2025DATA'!$D$3,"")</f>
        <v/>
      </c>
      <c r="CL272" s="518" t="str">
        <f>IF(AND(_A6="A-350",'2025'!$K$4="CA",'2025'!$K$2=CL271),'2025DATA'!$E$3,"")</f>
        <v/>
      </c>
      <c r="CM272" s="518" t="str">
        <f>IF(AND(_A6="A-350",'2025'!$K$4="CA",'2025'!$K$2=CM271),'2025DATA'!$F$3,"")</f>
        <v/>
      </c>
      <c r="CN272" s="518" t="str">
        <f>IF(AND(_A6="A-350",'2025'!$K$4="CA",'2025'!$K$2=CN271),'2025DATA'!$G$3,"")</f>
        <v/>
      </c>
      <c r="CO272" s="518" t="str">
        <f>IF(AND(_A6="A-350",'2025'!$K$4="CA",'2025'!$K$2=CO271),'2025DATA'!$H$3,"")</f>
        <v/>
      </c>
      <c r="CP272" s="518" t="str">
        <f>IF(AND(_A6="A-350",'2025'!$K$4="CA",'2025'!$K$2=CP271),'2025DATA'!$I$3,"")</f>
        <v/>
      </c>
      <c r="CQ272" s="518" t="str">
        <f>IF(AND(_A6="A-350",'2025'!$K$4="CA",'2025'!$K$2=CQ271),'2025DATA'!$J$3,"")</f>
        <v/>
      </c>
      <c r="CR272" s="518" t="str">
        <f>IF(AND(_A6="A-350",'2025'!$K$4="CA",'2025'!$K$2=CR271),'2025DATA'!$K$3,"")</f>
        <v/>
      </c>
      <c r="CS272" s="518" t="str">
        <f>IF(AND(_A6="A-350",'2025'!$K$4="CA",'2025'!$K$2=CS271),'2025DATA'!$L$3,"")</f>
        <v/>
      </c>
      <c r="CT272" s="518" t="str">
        <f>IF(AND(_A6="A-350",'2025'!$K$4="CA",'2025'!$K$2=CT271),'2025DATA'!$M$3,"")</f>
        <v/>
      </c>
      <c r="CU272" s="520" t="str">
        <f>IF(AND(_A6="A-350",'2025'!$K$4="CA",'2025'!$K$2=CU271),'2025DATA'!$N$3,"")</f>
        <v/>
      </c>
    </row>
    <row r="273" spans="16:99" x14ac:dyDescent="0.25">
      <c r="P273" s="940"/>
      <c r="Q273" s="13" t="s">
        <v>62</v>
      </c>
      <c r="R273" s="518" t="str">
        <f>IF(AND(_A1="A-350",'2025'!$K$4="FO",'2025'!$K$2=R271),'2025DATA'!$C$4,"")</f>
        <v/>
      </c>
      <c r="S273" s="518" t="str">
        <f>IF(AND(_A1="A-350",'2025'!$K$4="FO",'2025'!$K$2=S271),'2025DATA'!$D$4,"")</f>
        <v/>
      </c>
      <c r="T273" s="518" t="str">
        <f>IF(AND(_A1="A-350",'2025'!$K$4="FO",'2025'!$K$2=T271),'2025DATA'!$E$4,"")</f>
        <v/>
      </c>
      <c r="U273" s="518" t="str">
        <f>IF(AND(_A1="A-350",'2025'!$K$4="FO",'2025'!$K$2=U271),'2025DATA'!$F$4,"")</f>
        <v/>
      </c>
      <c r="V273" s="518" t="str">
        <f>IF(AND(_A1="A-350",'2025'!$K$4="FO",'2025'!$K$2=V271),'2025DATA'!$G$4,"")</f>
        <v/>
      </c>
      <c r="W273" s="518" t="str">
        <f>IF(AND(_A1="A-350",'2025'!$K$4="FO",'2025'!$K$2=W271),'2025DATA'!$H$4,"")</f>
        <v/>
      </c>
      <c r="X273" s="518" t="str">
        <f>IF(AND(_A1="A-350",'2025'!$K$4="FO",'2025'!$K$2=X271),'2025DATA'!$I$4,"")</f>
        <v/>
      </c>
      <c r="Y273" s="518" t="str">
        <f>IF(AND(_A1="A-350",'2025'!$K$4="FO",'2025'!$K$2=Y271),'2025DATA'!$J$4,"")</f>
        <v/>
      </c>
      <c r="Z273" s="518" t="str">
        <f>IF(AND(_A1="A-350",'2025'!$K$4="FO",'2025'!$K$2=Z271),'2025DATA'!$K$4,"")</f>
        <v/>
      </c>
      <c r="AA273" s="518" t="str">
        <f>IF(AND(_A1="A-350",'2025'!$K$4="FO",'2025'!$K$2=AA271),'2025DATA'!$L$4,"")</f>
        <v/>
      </c>
      <c r="AB273" s="518" t="str">
        <f>IF(AND(_A1="A-350",'2025'!$K$4="FO",'2025'!$K$2=AB271),'2025DATA'!$M$4,"")</f>
        <v/>
      </c>
      <c r="AC273" s="520" t="str">
        <f>IF(AND(_A1="A-350",'2025'!$K$4="FO",'2025'!$K$2=AC271),'2025DATA'!$N$4,"")</f>
        <v/>
      </c>
      <c r="AD273" s="940"/>
      <c r="AE273" s="13" t="s">
        <v>62</v>
      </c>
      <c r="AF273" s="518" t="str">
        <f>IF(AND(_A2="A-350",'2025'!$K$4="FO",'2025'!$K$2=AF271),'2025DATA'!$C$4,"")</f>
        <v/>
      </c>
      <c r="AG273" s="518" t="str">
        <f>IF(AND(_A2="A-350",'2025'!$K$4="FO",'2025'!$K$2=AG271),'2025DATA'!$D$4,"")</f>
        <v/>
      </c>
      <c r="AH273" s="518" t="str">
        <f>IF(AND(_A2="A-350",'2025'!$K$4="FO",'2025'!$K$2=AH271),'2025DATA'!$E$4,"")</f>
        <v/>
      </c>
      <c r="AI273" s="518" t="str">
        <f>IF(AND(_A2="A-350",'2025'!$K$4="FO",'2025'!$K$2=AI271),'2025DATA'!$F$4,"")</f>
        <v/>
      </c>
      <c r="AJ273" s="518" t="str">
        <f>IF(AND(_A2="A-350",'2025'!$K$4="FO",'2025'!$K$2=AJ271),'2025DATA'!$G$4,"")</f>
        <v/>
      </c>
      <c r="AK273" s="518" t="str">
        <f>IF(AND(_A2="A-350",'2025'!$K$4="FO",'2025'!$K$2=AK271),'2025DATA'!$H$4,"")</f>
        <v/>
      </c>
      <c r="AL273" s="518" t="str">
        <f>IF(AND(_A2="A-350",'2025'!$K$4="FO",'2025'!$K$2=AL271),'2025DATA'!$I$4,"")</f>
        <v/>
      </c>
      <c r="AM273" s="518" t="str">
        <f>IF(AND(_A2="A-350",'2025'!$K$4="FO",'2025'!$K$2=AM271),'2025DATA'!$J$4,"")</f>
        <v/>
      </c>
      <c r="AN273" s="518" t="str">
        <f>IF(AND(_A2="A-350",'2025'!$K$4="FO",'2025'!$K$2=AN271),'2025DATA'!$K$4,"")</f>
        <v/>
      </c>
      <c r="AO273" s="518" t="str">
        <f>IF(AND(_A2="A-350",'2025'!$K$4="FO",'2025'!$K$2=AO271),'2025DATA'!$L$4,"")</f>
        <v/>
      </c>
      <c r="AP273" s="518" t="str">
        <f>IF(AND(_A2="A-350",'2025'!$K$4="FO",'2025'!$K$2=AP271),'2025DATA'!$M$4,"")</f>
        <v/>
      </c>
      <c r="AQ273" s="520" t="str">
        <f>IF(AND(_A2="A-350",'2025'!$K$4="FO",'2025'!$K$2=AQ271),'2025DATA'!$N$4,"")</f>
        <v/>
      </c>
      <c r="AR273" s="940"/>
      <c r="AS273" s="13" t="s">
        <v>62</v>
      </c>
      <c r="AT273" s="518" t="str">
        <f>IF(AND(_A3="A-350",'2025'!$K$4="FO",'2025'!$K$2=AT271),'2025DATA'!$C$4,"")</f>
        <v/>
      </c>
      <c r="AU273" s="518" t="str">
        <f>IF(AND(_A3="A-350",'2025'!$K$4="FO",'2025'!$K$2=AU271),'2025DATA'!$D$4,"")</f>
        <v/>
      </c>
      <c r="AV273" s="518" t="str">
        <f>IF(AND(_A3="A-350",'2025'!$K$4="FO",'2025'!$K$2=AV271),'2025DATA'!$E$4,"")</f>
        <v/>
      </c>
      <c r="AW273" s="518" t="str">
        <f>IF(AND(_A3="A-350",'2025'!$K$4="FO",'2025'!$K$2=AW271),'2025DATA'!$F$4,"")</f>
        <v/>
      </c>
      <c r="AX273" s="518" t="str">
        <f>IF(AND(_A3="A-350",'2025'!$K$4="FO",'2025'!$K$2=AX271),'2025DATA'!$G$4,"")</f>
        <v/>
      </c>
      <c r="AY273" s="518" t="str">
        <f>IF(AND(_A3="A-350",'2025'!$K$4="FO",'2025'!$K$2=AY271),'2025DATA'!$H$4,"")</f>
        <v/>
      </c>
      <c r="AZ273" s="518" t="str">
        <f>IF(AND(_A3="A-350",'2025'!$K$4="FO",'2025'!$K$2=AZ271),'2025DATA'!$I$4,"")</f>
        <v/>
      </c>
      <c r="BA273" s="518" t="str">
        <f>IF(AND(_A3="A-350",'2025'!$K$4="FO",'2025'!$K$2=BA271),'2025DATA'!$J$4,"")</f>
        <v/>
      </c>
      <c r="BB273" s="518" t="str">
        <f>IF(AND(_A3="A-350",'2025'!$K$4="FO",'2025'!$K$2=BB271),'2025DATA'!$K$4,"")</f>
        <v/>
      </c>
      <c r="BC273" s="518" t="str">
        <f>IF(AND(_A3="A-350",'2025'!$K$4="FO",'2025'!$K$2=BC271),'2025DATA'!$L$4,"")</f>
        <v/>
      </c>
      <c r="BD273" s="518" t="str">
        <f>IF(AND(_A3="A-350",'2025'!$K$4="FO",'2025'!$K$2=BD271),'2025DATA'!$M$4,"")</f>
        <v/>
      </c>
      <c r="BE273" s="520" t="str">
        <f>IF(AND(_A3="A-350",'2025'!$K$4="FO",'2025'!$K$2=BE271),'2025DATA'!$N$4,"")</f>
        <v/>
      </c>
      <c r="BF273" s="940"/>
      <c r="BG273" s="13" t="s">
        <v>62</v>
      </c>
      <c r="BH273" s="518" t="str">
        <f>IF(AND(_A4="A-350",'2025'!$K$4="FO",'2025'!$K$2=BH271),'2025DATA'!$C$4,"")</f>
        <v/>
      </c>
      <c r="BI273" s="518" t="str">
        <f>IF(AND(_A4="A-350",'2025'!$K$4="FO",'2025'!$K$2=BI271),'2025DATA'!$D$4,"")</f>
        <v/>
      </c>
      <c r="BJ273" s="518" t="str">
        <f>IF(AND(_A4="A-350",'2025'!$K$4="FO",'2025'!$K$2=BJ271),'2025DATA'!$E$4,"")</f>
        <v/>
      </c>
      <c r="BK273" s="518" t="str">
        <f>IF(AND(_A4="A-350",'2025'!$K$4="FO",'2025'!$K$2=BK271),'2025DATA'!$F$4,"")</f>
        <v/>
      </c>
      <c r="BL273" s="518" t="str">
        <f>IF(AND(_A4="A-350",'2025'!$K$4="FO",'2025'!$K$2=BL271),'2025DATA'!$G$4,"")</f>
        <v/>
      </c>
      <c r="BM273" s="518" t="str">
        <f>IF(AND(_A4="A-350",'2025'!$K$4="FO",'2025'!$K$2=BM271),'2025DATA'!$H$4,"")</f>
        <v/>
      </c>
      <c r="BN273" s="518" t="str">
        <f>IF(AND(_A4="A-350",'2025'!$K$4="FO",'2025'!$K$2=BN271),'2025DATA'!$I$4,"")</f>
        <v/>
      </c>
      <c r="BO273" s="518" t="str">
        <f>IF(AND(_A4="A-350",'2025'!$K$4="FO",'2025'!$K$2=BO271),'2025DATA'!$J$4,"")</f>
        <v/>
      </c>
      <c r="BP273" s="518" t="str">
        <f>IF(AND(_A4="A-350",'2025'!$K$4="FO",'2025'!$K$2=BP271),'2025DATA'!$K$4,"")</f>
        <v/>
      </c>
      <c r="BQ273" s="518" t="str">
        <f>IF(AND(_A4="A-350",'2025'!$K$4="FO",'2025'!$K$2=BQ271),'2025DATA'!$L$4,"")</f>
        <v/>
      </c>
      <c r="BR273" s="518" t="str">
        <f>IF(AND(_A4="A-350",'2025'!$K$4="FO",'2025'!$K$2=BR271),'2025DATA'!$M$4,"")</f>
        <v/>
      </c>
      <c r="BS273" s="520" t="str">
        <f>IF(AND(_A4="A-350",'2025'!$K$4="FO",'2025'!$K$2=BS271),'2025DATA'!$N$4,"")</f>
        <v/>
      </c>
      <c r="BT273" s="940"/>
      <c r="BU273" s="13" t="s">
        <v>62</v>
      </c>
      <c r="BV273" s="518" t="str">
        <f>IF(AND(_A5="A-350",'2025'!$K$4="FO",'2025'!$K$2=BV271),'2025DATA'!$C$4,"")</f>
        <v/>
      </c>
      <c r="BW273" s="518" t="str">
        <f>IF(AND(_A5="A-350",'2025'!$K$4="FO",'2025'!$K$2=BW271),'2025DATA'!$D$4,"")</f>
        <v/>
      </c>
      <c r="BX273" s="518" t="str">
        <f>IF(AND(_A5="A-350",'2025'!$K$4="FO",'2025'!$K$2=BX271),'2025DATA'!$E$4,"")</f>
        <v/>
      </c>
      <c r="BY273" s="518" t="str">
        <f>IF(AND(_A5="A-350",'2025'!$K$4="FO",'2025'!$K$2=BY271),'2025DATA'!$F$4,"")</f>
        <v/>
      </c>
      <c r="BZ273" s="518" t="str">
        <f>IF(AND(_A5="A-350",'2025'!$K$4="FO",'2025'!$K$2=BZ271),'2025DATA'!$G$4,"")</f>
        <v/>
      </c>
      <c r="CA273" s="518" t="str">
        <f>IF(AND(_A5="A-350",'2025'!$K$4="FO",'2025'!$K$2=CA271),'2025DATA'!$H$4,"")</f>
        <v/>
      </c>
      <c r="CB273" s="518" t="str">
        <f>IF(AND(_A5="A-350",'2025'!$K$4="FO",'2025'!$K$2=CB271),'2025DATA'!$I$4,"")</f>
        <v/>
      </c>
      <c r="CC273" s="518" t="str">
        <f>IF(AND(_A5="A-350",'2025'!$K$4="FO",'2025'!$K$2=CC271),'2025DATA'!$J$4,"")</f>
        <v/>
      </c>
      <c r="CD273" s="518" t="str">
        <f>IF(AND(_A5="A-350",'2025'!$K$4="FO",'2025'!$K$2=CD271),'2025DATA'!$K$4,"")</f>
        <v/>
      </c>
      <c r="CE273" s="518" t="str">
        <f>IF(AND(_A5="A-350",'2025'!$K$4="FO",'2025'!$K$2=CE271),'2025DATA'!$L$4,"")</f>
        <v/>
      </c>
      <c r="CF273" s="518" t="str">
        <f>IF(AND(_A5="A-350",'2025'!$K$4="FO",'2025'!$K$2=CF271),'2025DATA'!$M$4,"")</f>
        <v/>
      </c>
      <c r="CG273" s="520" t="str">
        <f>IF(AND(_A5="A-350",'2025'!$K$4="FO",'2025'!$K$2=CG271),'2025DATA'!$N$4,"")</f>
        <v/>
      </c>
      <c r="CH273" s="940"/>
      <c r="CI273" s="13" t="s">
        <v>62</v>
      </c>
      <c r="CJ273" s="518" t="str">
        <f>IF(AND(_A6="A-350",'2025'!$K$4="FO",'2025'!$K$2=CJ271),'2025DATA'!$C$4,"")</f>
        <v/>
      </c>
      <c r="CK273" s="518" t="str">
        <f>IF(AND(_A6="A-350",'2025'!$K$4="FO",'2025'!$K$2=CK271),'2025DATA'!$D$4,"")</f>
        <v/>
      </c>
      <c r="CL273" s="518" t="str">
        <f>IF(AND(_A6="A-350",'2025'!$K$4="FO",'2025'!$K$2=CL271),'2025DATA'!$E$4,"")</f>
        <v/>
      </c>
      <c r="CM273" s="518" t="str">
        <f>IF(AND(_A6="A-350",'2025'!$K$4="FO",'2025'!$K$2=CM271),'2025DATA'!$F$4,"")</f>
        <v/>
      </c>
      <c r="CN273" s="518" t="str">
        <f>IF(AND(_A6="A-350",'2025'!$K$4="FO",'2025'!$K$2=CN271),'2025DATA'!$G$4,"")</f>
        <v/>
      </c>
      <c r="CO273" s="518" t="str">
        <f>IF(AND(_A6="A-350",'2025'!$K$4="FO",'2025'!$K$2=CO271),'2025DATA'!$H$4,"")</f>
        <v/>
      </c>
      <c r="CP273" s="518" t="str">
        <f>IF(AND(_A6="A-350",'2025'!$K$4="FO",'2025'!$K$2=CP271),'2025DATA'!$I$4,"")</f>
        <v/>
      </c>
      <c r="CQ273" s="518" t="str">
        <f>IF(AND(_A6="A-350",'2025'!$K$4="FO",'2025'!$K$2=CQ271),'2025DATA'!$J$4,"")</f>
        <v/>
      </c>
      <c r="CR273" s="518" t="str">
        <f>IF(AND(_A6="A-350",'2025'!$K$4="FO",'2025'!$K$2=CR271),'2025DATA'!$K$4,"")</f>
        <v/>
      </c>
      <c r="CS273" s="518" t="str">
        <f>IF(AND(_A6="A-350",'2025'!$K$4="FO",'2025'!$K$2=CS271),'2025DATA'!$L$4,"")</f>
        <v/>
      </c>
      <c r="CT273" s="518" t="str">
        <f>IF(AND(_A6="A-350",'2025'!$K$4="FO",'2025'!$K$2=CT271),'2025DATA'!$M$4,"")</f>
        <v/>
      </c>
      <c r="CU273" s="520" t="str">
        <f>IF(AND(_A6="A-350",'2025'!$K$4="FO",'2025'!$K$2=CU271),'2025DATA'!$N$4,"")</f>
        <v/>
      </c>
    </row>
    <row r="274" spans="16:99" x14ac:dyDescent="0.25">
      <c r="P274" s="940" t="s">
        <v>65</v>
      </c>
      <c r="Q274" s="13" t="s">
        <v>61</v>
      </c>
      <c r="R274" s="518" t="str">
        <f>IF(AND(_A1="A-330-900",'2025'!$K$4="CA",'2025'!$K$2=R271),'2025DATA'!$C$5,"")</f>
        <v/>
      </c>
      <c r="S274" s="518" t="str">
        <f>IF(AND(_A1="A-330-900",'2025'!$K$4="CA",'2025'!$K$2=S271),'2025DATA'!$D$5,"")</f>
        <v/>
      </c>
      <c r="T274" s="518" t="str">
        <f>IF(AND(_A1="A-330-900",'2025'!$K$4="CA",'2025'!$K$2=T271),'2025DATA'!$E$5,"")</f>
        <v/>
      </c>
      <c r="U274" s="518" t="str">
        <f>IF(AND(_A1="A-330-900",'2025'!$K$4="CA",'2025'!$K$2=U271),'2025DATA'!$F$5,"")</f>
        <v/>
      </c>
      <c r="V274" s="518" t="str">
        <f>IF(AND(_A1="A-330-900",'2025'!$K$4="CA",'2025'!$K$2=V271),'2025DATA'!$G$5,"")</f>
        <v/>
      </c>
      <c r="W274" s="518" t="str">
        <f>IF(AND(_A1="A-330-900",'2025'!$K$4="CA",'2025'!$K$2=W271),'2025DATA'!$H$5,"")</f>
        <v/>
      </c>
      <c r="X274" s="518" t="str">
        <f>IF(AND(_A1="A-330-900",'2025'!$K$4="CA",'2025'!$K$2=X271),'2025DATA'!$I$5,"")</f>
        <v/>
      </c>
      <c r="Y274" s="518" t="str">
        <f>IF(AND(_A1="A-330-900",'2025'!$K$4="CA",'2025'!$K$2=Y271),'2025DATA'!$J$5,"")</f>
        <v/>
      </c>
      <c r="Z274" s="518" t="str">
        <f>IF(AND(_A1="A-330-900",'2025'!$K$4="CA",'2025'!$K$2=Z271),'2025DATA'!$K$5,"")</f>
        <v/>
      </c>
      <c r="AA274" s="518" t="str">
        <f>IF(AND(_A1="A-330-900",'2025'!$K$4="CA",'2025'!$K$2=AA271),'2025DATA'!$L$5,"")</f>
        <v/>
      </c>
      <c r="AB274" s="518" t="str">
        <f>IF(AND(_A1="A-330-900",'2025'!$K$4="CA",'2025'!$K$2=AB271),'2025DATA'!$M$5,"")</f>
        <v/>
      </c>
      <c r="AC274" s="520" t="str">
        <f>IF(AND(_A1="A-330-900",'2025'!$K$4="CA",'2025'!$K$2=AC271),'2025DATA'!$N$5,"")</f>
        <v/>
      </c>
      <c r="AD274" s="940" t="s">
        <v>65</v>
      </c>
      <c r="AE274" s="13" t="s">
        <v>61</v>
      </c>
      <c r="AF274" s="518" t="str">
        <f>IF(AND(_A2="A-330-900",'2025'!$K$4="CA",'2025'!$K$2=AF271),'2025DATA'!$C$5,"")</f>
        <v/>
      </c>
      <c r="AG274" s="518" t="str">
        <f>IF(AND(_A2="A-330-900",'2025'!$K$4="CA",'2025'!$K$2=AG271),'2025DATA'!$D$5,"")</f>
        <v/>
      </c>
      <c r="AH274" s="518" t="str">
        <f>IF(AND(_A2="A-330-900",'2025'!$K$4="CA",'2025'!$K$2=AH271),'2025DATA'!$E$5,"")</f>
        <v/>
      </c>
      <c r="AI274" s="518" t="str">
        <f>IF(AND(_A2="A-330-900",'2025'!$K$4="CA",'2025'!$K$2=AI271),'2025DATA'!$F$5,"")</f>
        <v/>
      </c>
      <c r="AJ274" s="518" t="str">
        <f>IF(AND(_A2="A-330-900",'2025'!$K$4="CA",'2025'!$K$2=AJ271),'2025DATA'!$G$5,"")</f>
        <v/>
      </c>
      <c r="AK274" s="518" t="str">
        <f>IF(AND(_A2="A-330-900",'2025'!$K$4="CA",'2025'!$K$2=AK271),'2025DATA'!$H$5,"")</f>
        <v/>
      </c>
      <c r="AL274" s="518" t="str">
        <f>IF(AND(_A2="A-330-900",'2025'!$K$4="CA",'2025'!$K$2=AL271),'2025DATA'!$I$5,"")</f>
        <v/>
      </c>
      <c r="AM274" s="518" t="str">
        <f>IF(AND(_A2="A-330-900",'2025'!$K$4="CA",'2025'!$K$2=AM271),'2025DATA'!$J$5,"")</f>
        <v/>
      </c>
      <c r="AN274" s="518" t="str">
        <f>IF(AND(_A2="A-330-900",'2025'!$K$4="CA",'2025'!$K$2=AN271),'2025DATA'!$K$5,"")</f>
        <v/>
      </c>
      <c r="AO274" s="518" t="str">
        <f>IF(AND(_A2="A-330-900",'2025'!$K$4="CA",'2025'!$K$2=AO271),'2025DATA'!$L$5,"")</f>
        <v/>
      </c>
      <c r="AP274" s="518" t="str">
        <f>IF(AND(_A2="A-330-900",'2025'!$K$4="CA",'2025'!$K$2=AP271),'2025DATA'!$M$5,"")</f>
        <v/>
      </c>
      <c r="AQ274" s="520" t="str">
        <f>IF(AND(_A2="A-330-900",'2025'!$K$4="CA",'2025'!$K$2=AQ271),'2025DATA'!$N$5,"")</f>
        <v/>
      </c>
      <c r="AR274" s="940" t="s">
        <v>65</v>
      </c>
      <c r="AS274" s="13" t="s">
        <v>61</v>
      </c>
      <c r="AT274" s="518" t="str">
        <f>IF(AND(_A3="A-330-900",'2025'!$K$4="CA",'2025'!$K$2=AT271),'2025DATA'!$C$5,"")</f>
        <v/>
      </c>
      <c r="AU274" s="518" t="str">
        <f>IF(AND(_A3="A-330-900",'2025'!$K$4="CA",'2025'!$K$2=AU271),'2025DATA'!$D$5,"")</f>
        <v/>
      </c>
      <c r="AV274" s="518" t="str">
        <f>IF(AND(_A3="A-330-900",'2025'!$K$4="CA",'2025'!$K$2=AV271),'2025DATA'!$E$5,"")</f>
        <v/>
      </c>
      <c r="AW274" s="518" t="str">
        <f>IF(AND(_A3="A-330-900",'2025'!$K$4="CA",'2025'!$K$2=AW271),'2025DATA'!$F$5,"")</f>
        <v/>
      </c>
      <c r="AX274" s="518" t="str">
        <f>IF(AND(_A3="A-330-900",'2025'!$K$4="CA",'2025'!$K$2=AX271),'2025DATA'!$G$5,"")</f>
        <v/>
      </c>
      <c r="AY274" s="518" t="str">
        <f>IF(AND(_A3="A-330-900",'2025'!$K$4="CA",'2025'!$K$2=AY271),'2025DATA'!$H$5,"")</f>
        <v/>
      </c>
      <c r="AZ274" s="518" t="str">
        <f>IF(AND(_A3="A-330-900",'2025'!$K$4="CA",'2025'!$K$2=AZ271),'2025DATA'!$I$5,"")</f>
        <v/>
      </c>
      <c r="BA274" s="518" t="str">
        <f>IF(AND(_A3="A-330-900",'2025'!$K$4="CA",'2025'!$K$2=BA271),'2025DATA'!$J$5,"")</f>
        <v/>
      </c>
      <c r="BB274" s="518" t="str">
        <f>IF(AND(_A3="A-330-900",'2025'!$K$4="CA",'2025'!$K$2=BB271),'2025DATA'!$K$5,"")</f>
        <v/>
      </c>
      <c r="BC274" s="518" t="str">
        <f>IF(AND(_A3="A-330-900",'2025'!$K$4="CA",'2025'!$K$2=BC271),'2025DATA'!$L$5,"")</f>
        <v/>
      </c>
      <c r="BD274" s="518" t="str">
        <f>IF(AND(_A3="A-330-900",'2025'!$K$4="CA",'2025'!$K$2=BD271),'2025DATA'!$M$5,"")</f>
        <v/>
      </c>
      <c r="BE274" s="520" t="str">
        <f>IF(AND(_A3="A-330-900",'2025'!$K$4="CA",'2025'!$K$2=BE271),'2025DATA'!$N$5,"")</f>
        <v/>
      </c>
      <c r="BF274" s="940" t="s">
        <v>65</v>
      </c>
      <c r="BG274" s="13" t="s">
        <v>61</v>
      </c>
      <c r="BH274" s="518" t="str">
        <f>IF(AND(_A4="A-330-900",'2025'!$K$4="CA",'2025'!$K$2=BH271),'2025DATA'!$C$5,"")</f>
        <v/>
      </c>
      <c r="BI274" s="518" t="str">
        <f>IF(AND(_A4="A-330-900",'2025'!$K$4="CA",'2025'!$K$2=BI271),'2025DATA'!$D$5,"")</f>
        <v/>
      </c>
      <c r="BJ274" s="518" t="str">
        <f>IF(AND(_A4="A-330-900",'2025'!$K$4="CA",'2025'!$K$2=BJ271),'2025DATA'!$E$5,"")</f>
        <v/>
      </c>
      <c r="BK274" s="518" t="str">
        <f>IF(AND(_A4="A-330-900",'2025'!$K$4="CA",'2025'!$K$2=BK271),'2025DATA'!$F$5,"")</f>
        <v/>
      </c>
      <c r="BL274" s="518" t="str">
        <f>IF(AND(_A4="A-330-900",'2025'!$K$4="CA",'2025'!$K$2=BL271),'2025DATA'!$G$5,"")</f>
        <v/>
      </c>
      <c r="BM274" s="518" t="str">
        <f>IF(AND(_A4="A-330-900",'2025'!$K$4="CA",'2025'!$K$2=BM271),'2025DATA'!$H$5,"")</f>
        <v/>
      </c>
      <c r="BN274" s="518" t="str">
        <f>IF(AND(_A4="A-330-900",'2025'!$K$4="CA",'2025'!$K$2=BN271),'2025DATA'!$I$5,"")</f>
        <v/>
      </c>
      <c r="BO274" s="518" t="str">
        <f>IF(AND(_A4="A-330-900",'2025'!$K$4="CA",'2025'!$K$2=BO271),'2025DATA'!$J$5,"")</f>
        <v/>
      </c>
      <c r="BP274" s="518" t="str">
        <f>IF(AND(_A4="A-330-900",'2025'!$K$4="CA",'2025'!$K$2=BP271),'2025DATA'!$K$5,"")</f>
        <v/>
      </c>
      <c r="BQ274" s="518" t="str">
        <f>IF(AND(_A4="A-330-900",'2025'!$K$4="CA",'2025'!$K$2=BQ271),'2025DATA'!$L$5,"")</f>
        <v/>
      </c>
      <c r="BR274" s="518" t="str">
        <f>IF(AND(_A4="A-330-900",'2025'!$K$4="CA",'2025'!$K$2=BR271),'2025DATA'!$M$5,"")</f>
        <v/>
      </c>
      <c r="BS274" s="520" t="str">
        <f>IF(AND(_A4="A-330-900",'2025'!$K$4="CA",'2025'!$K$2=BS271),'2025DATA'!$N$5,"")</f>
        <v/>
      </c>
      <c r="BT274" s="940" t="s">
        <v>65</v>
      </c>
      <c r="BU274" s="13" t="s">
        <v>61</v>
      </c>
      <c r="BV274" s="518" t="str">
        <f>IF(AND(_A5="A-330-900",'2025'!$K$4="CA",'2025'!$K$2=BV271),'2025DATA'!$C$5,"")</f>
        <v/>
      </c>
      <c r="BW274" s="518" t="str">
        <f>IF(AND(_A5="A-330-900",'2025'!$K$4="CA",'2025'!$K$2=BW271),'2025DATA'!$D$5,"")</f>
        <v/>
      </c>
      <c r="BX274" s="518" t="str">
        <f>IF(AND(_A5="A-330-900",'2025'!$K$4="CA",'2025'!$K$2=BX271),'2025DATA'!$E$5,"")</f>
        <v/>
      </c>
      <c r="BY274" s="518" t="str">
        <f>IF(AND(_A5="A-330-900",'2025'!$K$4="CA",'2025'!$K$2=BY271),'2025DATA'!$F$5,"")</f>
        <v/>
      </c>
      <c r="BZ274" s="518" t="str">
        <f>IF(AND(_A5="A-330-900",'2025'!$K$4="CA",'2025'!$K$2=BZ271),'2025DATA'!$G$5,"")</f>
        <v/>
      </c>
      <c r="CA274" s="518" t="str">
        <f>IF(AND(_A5="A-330-900",'2025'!$K$4="CA",'2025'!$K$2=CA271),'2025DATA'!$H$5,"")</f>
        <v/>
      </c>
      <c r="CB274" s="518" t="str">
        <f>IF(AND(_A5="A-330-900",'2025'!$K$4="CA",'2025'!$K$2=CB271),'2025DATA'!$I$5,"")</f>
        <v/>
      </c>
      <c r="CC274" s="518" t="str">
        <f>IF(AND(_A5="A-330-900",'2025'!$K$4="CA",'2025'!$K$2=CC271),'2025DATA'!$J$5,"")</f>
        <v/>
      </c>
      <c r="CD274" s="518" t="str">
        <f>IF(AND(_A5="A-330-900",'2025'!$K$4="CA",'2025'!$K$2=CD271),'2025DATA'!$K$5,"")</f>
        <v/>
      </c>
      <c r="CE274" s="518" t="str">
        <f>IF(AND(_A5="A-330-900",'2025'!$K$4="CA",'2025'!$K$2=CE271),'2025DATA'!$L$5,"")</f>
        <v/>
      </c>
      <c r="CF274" s="518" t="str">
        <f>IF(AND(_A5="A-330-900",'2025'!$K$4="CA",'2025'!$K$2=CF271),'2025DATA'!$M$5,"")</f>
        <v/>
      </c>
      <c r="CG274" s="520" t="str">
        <f>IF(AND(_A5="A-330-900",'2025'!$K$4="CA",'2025'!$K$2=CG271),'2025DATA'!$N$5,"")</f>
        <v/>
      </c>
      <c r="CH274" s="940" t="s">
        <v>65</v>
      </c>
      <c r="CI274" s="13" t="s">
        <v>61</v>
      </c>
      <c r="CJ274" s="518" t="str">
        <f>IF(AND(_A6="A-330-900",'2025'!$K$4="CA",'2025'!$K$2=CJ271),'2025DATA'!$C$5,"")</f>
        <v/>
      </c>
      <c r="CK274" s="518" t="str">
        <f>IF(AND(_A6="A-330-900",'2025'!$K$4="CA",'2025'!$K$2=CK271),'2025DATA'!$D$5,"")</f>
        <v/>
      </c>
      <c r="CL274" s="518" t="str">
        <f>IF(AND(_A6="A-330-900",'2025'!$K$4="CA",'2025'!$K$2=CL271),'2025DATA'!$E$5,"")</f>
        <v/>
      </c>
      <c r="CM274" s="518" t="str">
        <f>IF(AND(_A6="A-330-900",'2025'!$K$4="CA",'2025'!$K$2=CM271),'2025DATA'!$F$5,"")</f>
        <v/>
      </c>
      <c r="CN274" s="518" t="str">
        <f>IF(AND(_A6="A-330-900",'2025'!$K$4="CA",'2025'!$K$2=CN271),'2025DATA'!$G$5,"")</f>
        <v/>
      </c>
      <c r="CO274" s="518" t="str">
        <f>IF(AND(_A6="A-330-900",'2025'!$K$4="CA",'2025'!$K$2=CO271),'2025DATA'!$H$5,"")</f>
        <v/>
      </c>
      <c r="CP274" s="518" t="str">
        <f>IF(AND(_A6="A-330-900",'2025'!$K$4="CA",'2025'!$K$2=CP271),'2025DATA'!$I$5,"")</f>
        <v/>
      </c>
      <c r="CQ274" s="518" t="str">
        <f>IF(AND(_A6="A-330-900",'2025'!$K$4="CA",'2025'!$K$2=CQ271),'2025DATA'!$J$5,"")</f>
        <v/>
      </c>
      <c r="CR274" s="518" t="str">
        <f>IF(AND(_A6="A-330-900",'2025'!$K$4="CA",'2025'!$K$2=CR271),'2025DATA'!$K$5,"")</f>
        <v/>
      </c>
      <c r="CS274" s="518" t="str">
        <f>IF(AND(_A6="A-330-900",'2025'!$K$4="CA",'2025'!$K$2=CS271),'2025DATA'!$L$5,"")</f>
        <v/>
      </c>
      <c r="CT274" s="518" t="str">
        <f>IF(AND(_A6="A-330-900",'2025'!$K$4="CA",'2025'!$K$2=CT271),'2025DATA'!$M$5,"")</f>
        <v/>
      </c>
      <c r="CU274" s="520" t="str">
        <f>IF(AND(_A6="A-330-900",'2025'!$K$4="CA",'2025'!$K$2=CU271),'2025DATA'!$N$5,"")</f>
        <v/>
      </c>
    </row>
    <row r="275" spans="16:99" x14ac:dyDescent="0.25">
      <c r="P275" s="940"/>
      <c r="Q275" s="13" t="s">
        <v>62</v>
      </c>
      <c r="R275" s="518" t="str">
        <f>IF(AND(_A1="A-330-900",'2025'!$K$4="FO",'2025'!$K$2=R271),'2025DATA'!$C$6,"")</f>
        <v/>
      </c>
      <c r="S275" s="518" t="str">
        <f>IF(AND(_A1="A-330-900",'2025'!$K$4="FO",'2025'!$K$2=S271),'2025DATA'!$D$6,"")</f>
        <v/>
      </c>
      <c r="T275" s="518" t="str">
        <f>IF(AND(_A1="A-330-900",'2025'!$K$4="FO",'2025'!$K$2=T271),'2025DATA'!$E$6,"")</f>
        <v/>
      </c>
      <c r="U275" s="518" t="str">
        <f>IF(AND(_A1="A-330-900",'2025'!$K$4="FO",'2025'!$K$2=U271),'2025DATA'!$F$6,"")</f>
        <v/>
      </c>
      <c r="V275" s="518" t="str">
        <f>IF(AND(_A1="A-330-900",'2025'!$K$4="FO",'2025'!$K$2=V271),'2025DATA'!$G$6,"")</f>
        <v/>
      </c>
      <c r="W275" s="518" t="str">
        <f>IF(AND(_A1="A-330-900",'2025'!$K$4="FO",'2025'!$K$2=W271),'2025DATA'!$H$6,"")</f>
        <v/>
      </c>
      <c r="X275" s="518" t="str">
        <f>IF(AND(_A1="A-330-900",'2025'!$K$4="FO",'2025'!$K$2=X271),'2025DATA'!$I$6,"")</f>
        <v/>
      </c>
      <c r="Y275" s="518" t="str">
        <f>IF(AND(_A1="A-330-900",'2025'!$K$4="FO",'2025'!$K$2=Y271),'2025DATA'!$J$6,"")</f>
        <v/>
      </c>
      <c r="Z275" s="518" t="str">
        <f>IF(AND(_A1="A-330-900",'2025'!$K$4="FO",'2025'!$K$2=Z271),'2025DATA'!$K$6,"")</f>
        <v/>
      </c>
      <c r="AA275" s="518" t="str">
        <f>IF(AND(_A1="A-330-900",'2025'!$K$4="FO",'2025'!$K$2=AA271),'2025DATA'!$L$6,"")</f>
        <v/>
      </c>
      <c r="AB275" s="518" t="str">
        <f>IF(AND(_A1="A-330-900",'2025'!$K$4="FO",'2025'!$K$2=AB271),'2025DATA'!$M$6,"")</f>
        <v/>
      </c>
      <c r="AC275" s="520" t="str">
        <f>IF(AND(_A1="A-330-900",'2025'!$K$4="FO",'2025'!$K$2=AC271),'2025DATA'!$N$6,"")</f>
        <v/>
      </c>
      <c r="AD275" s="940"/>
      <c r="AE275" s="13" t="s">
        <v>62</v>
      </c>
      <c r="AF275" s="518" t="str">
        <f>IF(AND(_A2="A-330-900",'2025'!$K$4="FO",'2025'!$K$2=AF271),'2025DATA'!$C$6,"")</f>
        <v/>
      </c>
      <c r="AG275" s="518" t="str">
        <f>IF(AND(_A2="A-330-900",'2025'!$K$4="FO",'2025'!$K$2=AG271),'2025DATA'!$D$6,"")</f>
        <v/>
      </c>
      <c r="AH275" s="518" t="str">
        <f>IF(AND(_A2="A-330-900",'2025'!$K$4="FO",'2025'!$K$2=AH271),'2025DATA'!$E$6,"")</f>
        <v/>
      </c>
      <c r="AI275" s="518" t="str">
        <f>IF(AND(_A2="A-330-900",'2025'!$K$4="FO",'2025'!$K$2=AI271),'2025DATA'!$F$6,"")</f>
        <v/>
      </c>
      <c r="AJ275" s="518" t="str">
        <f>IF(AND(_A2="A-330-900",'2025'!$K$4="FO",'2025'!$K$2=AJ271),'2025DATA'!$G$6,"")</f>
        <v/>
      </c>
      <c r="AK275" s="518" t="str">
        <f>IF(AND(_A2="A-330-900",'2025'!$K$4="FO",'2025'!$K$2=AK271),'2025DATA'!$H$6,"")</f>
        <v/>
      </c>
      <c r="AL275" s="518" t="str">
        <f>IF(AND(_A2="A-330-900",'2025'!$K$4="FO",'2025'!$K$2=AL271),'2025DATA'!$I$6,"")</f>
        <v/>
      </c>
      <c r="AM275" s="518" t="str">
        <f>IF(AND(_A2="A-330-900",'2025'!$K$4="FO",'2025'!$K$2=AM271),'2025DATA'!$J$6,"")</f>
        <v/>
      </c>
      <c r="AN275" s="518" t="str">
        <f>IF(AND(_A2="A-330-900",'2025'!$K$4="FO",'2025'!$K$2=AN271),'2025DATA'!$K$6,"")</f>
        <v/>
      </c>
      <c r="AO275" s="518" t="str">
        <f>IF(AND(_A2="A-330-900",'2025'!$K$4="FO",'2025'!$K$2=AO271),'2025DATA'!$L$6,"")</f>
        <v/>
      </c>
      <c r="AP275" s="518" t="str">
        <f>IF(AND(_A2="A-330-900",'2025'!$K$4="FO",'2025'!$K$2=AP271),'2025DATA'!$M$6,"")</f>
        <v/>
      </c>
      <c r="AQ275" s="520" t="str">
        <f>IF(AND(_A2="A-330-900",'2025'!$K$4="FO",'2025'!$K$2=AQ271),'2025DATA'!$N$6,"")</f>
        <v/>
      </c>
      <c r="AR275" s="940"/>
      <c r="AS275" s="13" t="s">
        <v>62</v>
      </c>
      <c r="AT275" s="518" t="str">
        <f>IF(AND(_A3="A-330-900",'2025'!$K$4="FO",'2025'!$K$2=AT271),'2025DATA'!$C$6,"")</f>
        <v/>
      </c>
      <c r="AU275" s="518" t="str">
        <f>IF(AND(_A3="A-330-900",'2025'!$K$4="FO",'2025'!$K$2=AU271),'2025DATA'!$D$6,"")</f>
        <v/>
      </c>
      <c r="AV275" s="518" t="str">
        <f>IF(AND(_A3="A-330-900",'2025'!$K$4="FO",'2025'!$K$2=AV271),'2025DATA'!$E$6,"")</f>
        <v/>
      </c>
      <c r="AW275" s="518" t="str">
        <f>IF(AND(_A3="A-330-900",'2025'!$K$4="FO",'2025'!$K$2=AW271),'2025DATA'!$F$6,"")</f>
        <v/>
      </c>
      <c r="AX275" s="518" t="str">
        <f>IF(AND(_A3="A-330-900",'2025'!$K$4="FO",'2025'!$K$2=AX271),'2025DATA'!$G$6,"")</f>
        <v/>
      </c>
      <c r="AY275" s="518" t="str">
        <f>IF(AND(_A3="A-330-900",'2025'!$K$4="FO",'2025'!$K$2=AY271),'2025DATA'!$H$6,"")</f>
        <v/>
      </c>
      <c r="AZ275" s="518" t="str">
        <f>IF(AND(_A3="A-330-900",'2025'!$K$4="FO",'2025'!$K$2=AZ271),'2025DATA'!$I$6,"")</f>
        <v/>
      </c>
      <c r="BA275" s="518" t="str">
        <f>IF(AND(_A3="A-330-900",'2025'!$K$4="FO",'2025'!$K$2=BA271),'2025DATA'!$J$6,"")</f>
        <v/>
      </c>
      <c r="BB275" s="518" t="str">
        <f>IF(AND(_A3="A-330-900",'2025'!$K$4="FO",'2025'!$K$2=BB271),'2025DATA'!$K$6,"")</f>
        <v/>
      </c>
      <c r="BC275" s="518" t="str">
        <f>IF(AND(_A3="A-330-900",'2025'!$K$4="FO",'2025'!$K$2=BC271),'2025DATA'!$L$6,"")</f>
        <v/>
      </c>
      <c r="BD275" s="518" t="str">
        <f>IF(AND(_A3="A-330-900",'2025'!$K$4="FO",'2025'!$K$2=BD271),'2025DATA'!$M$6,"")</f>
        <v/>
      </c>
      <c r="BE275" s="520" t="str">
        <f>IF(AND(_A3="A-330-900",'2025'!$K$4="FO",'2025'!$K$2=BE271),'2025DATA'!$N$6,"")</f>
        <v/>
      </c>
      <c r="BF275" s="940"/>
      <c r="BG275" s="13" t="s">
        <v>62</v>
      </c>
      <c r="BH275" s="518" t="str">
        <f>IF(AND(_A4="A-330-900",'2025'!$K$4="FO",'2025'!$K$2=BH271),'2025DATA'!$C$6,"")</f>
        <v/>
      </c>
      <c r="BI275" s="518" t="str">
        <f>IF(AND(_A4="A-330-900",'2025'!$K$4="FO",'2025'!$K$2=BI271),'2025DATA'!$D$6,"")</f>
        <v/>
      </c>
      <c r="BJ275" s="518" t="str">
        <f>IF(AND(_A4="A-330-900",'2025'!$K$4="FO",'2025'!$K$2=BJ271),'2025DATA'!$E$6,"")</f>
        <v/>
      </c>
      <c r="BK275" s="518" t="str">
        <f>IF(AND(_A4="A-330-900",'2025'!$K$4="FO",'2025'!$K$2=BK271),'2025DATA'!$F$6,"")</f>
        <v/>
      </c>
      <c r="BL275" s="518" t="str">
        <f>IF(AND(_A4="A-330-900",'2025'!$K$4="FO",'2025'!$K$2=BL271),'2025DATA'!$G$6,"")</f>
        <v/>
      </c>
      <c r="BM275" s="518" t="str">
        <f>IF(AND(_A4="A-330-900",'2025'!$K$4="FO",'2025'!$K$2=BM271),'2025DATA'!$H$6,"")</f>
        <v/>
      </c>
      <c r="BN275" s="518" t="str">
        <f>IF(AND(_A4="A-330-900",'2025'!$K$4="FO",'2025'!$K$2=BN271),'2025DATA'!$I$6,"")</f>
        <v/>
      </c>
      <c r="BO275" s="518" t="str">
        <f>IF(AND(_A4="A-330-900",'2025'!$K$4="FO",'2025'!$K$2=BO271),'2025DATA'!$J$6,"")</f>
        <v/>
      </c>
      <c r="BP275" s="518" t="str">
        <f>IF(AND(_A4="A-330-900",'2025'!$K$4="FO",'2025'!$K$2=BP271),'2025DATA'!$K$6,"")</f>
        <v/>
      </c>
      <c r="BQ275" s="518" t="str">
        <f>IF(AND(_A4="A-330-900",'2025'!$K$4="FO",'2025'!$K$2=BQ271),'2025DATA'!$L$6,"")</f>
        <v/>
      </c>
      <c r="BR275" s="518" t="str">
        <f>IF(AND(_A4="A-330-900",'2025'!$K$4="FO",'2025'!$K$2=BR271),'2025DATA'!$M$6,"")</f>
        <v/>
      </c>
      <c r="BS275" s="520" t="str">
        <f>IF(AND(_A4="A-330-900",'2025'!$K$4="FO",'2025'!$K$2=BS271),'2025DATA'!$N$6,"")</f>
        <v/>
      </c>
      <c r="BT275" s="940"/>
      <c r="BU275" s="13" t="s">
        <v>62</v>
      </c>
      <c r="BV275" s="518" t="str">
        <f>IF(AND(_A5="A-330-900",'2025'!$K$4="FO",'2025'!$K$2=BV271),'2025DATA'!$C$6,"")</f>
        <v/>
      </c>
      <c r="BW275" s="518" t="str">
        <f>IF(AND(_A5="A-330-900",'2025'!$K$4="FO",'2025'!$K$2=BW271),'2025DATA'!$D$6,"")</f>
        <v/>
      </c>
      <c r="BX275" s="518" t="str">
        <f>IF(AND(_A5="A-330-900",'2025'!$K$4="FO",'2025'!$K$2=BX271),'2025DATA'!$E$6,"")</f>
        <v/>
      </c>
      <c r="BY275" s="518" t="str">
        <f>IF(AND(_A5="A-330-900",'2025'!$K$4="FO",'2025'!$K$2=BY271),'2025DATA'!$F$6,"")</f>
        <v/>
      </c>
      <c r="BZ275" s="518" t="str">
        <f>IF(AND(_A5="A-330-900",'2025'!$K$4="FO",'2025'!$K$2=BZ271),'2025DATA'!$G$6,"")</f>
        <v/>
      </c>
      <c r="CA275" s="518" t="str">
        <f>IF(AND(_A5="A-330-900",'2025'!$K$4="FO",'2025'!$K$2=CA271),'2025DATA'!$H$6,"")</f>
        <v/>
      </c>
      <c r="CB275" s="518" t="str">
        <f>IF(AND(_A5="A-330-900",'2025'!$K$4="FO",'2025'!$K$2=CB271),'2025DATA'!$I$6,"")</f>
        <v/>
      </c>
      <c r="CC275" s="518" t="str">
        <f>IF(AND(_A5="A-330-900",'2025'!$K$4="FO",'2025'!$K$2=CC271),'2025DATA'!$J$6,"")</f>
        <v/>
      </c>
      <c r="CD275" s="518" t="str">
        <f>IF(AND(_A5="A-330-900",'2025'!$K$4="FO",'2025'!$K$2=CD271),'2025DATA'!$K$6,"")</f>
        <v/>
      </c>
      <c r="CE275" s="518" t="str">
        <f>IF(AND(_A5="A-330-900",'2025'!$K$4="FO",'2025'!$K$2=CE271),'2025DATA'!$L$6,"")</f>
        <v/>
      </c>
      <c r="CF275" s="518" t="str">
        <f>IF(AND(_A5="A-330-900",'2025'!$K$4="FO",'2025'!$K$2=CF271),'2025DATA'!$M$6,"")</f>
        <v/>
      </c>
      <c r="CG275" s="520" t="str">
        <f>IF(AND(_A5="A-330-900",'2025'!$K$4="FO",'2025'!$K$2=CG271),'2025DATA'!$N$6,"")</f>
        <v/>
      </c>
      <c r="CH275" s="940"/>
      <c r="CI275" s="13" t="s">
        <v>62</v>
      </c>
      <c r="CJ275" s="518" t="str">
        <f>IF(AND(_A6="A-330-900",'2025'!$K$4="FO",'2025'!$K$2=CJ271),'2025DATA'!$C$6,"")</f>
        <v/>
      </c>
      <c r="CK275" s="518" t="str">
        <f>IF(AND(_A6="A-330-900",'2025'!$K$4="FO",'2025'!$K$2=CK271),'2025DATA'!$D$6,"")</f>
        <v/>
      </c>
      <c r="CL275" s="518" t="str">
        <f>IF(AND(_A6="A-330-900",'2025'!$K$4="FO",'2025'!$K$2=CL271),'2025DATA'!$E$6,"")</f>
        <v/>
      </c>
      <c r="CM275" s="518" t="str">
        <f>IF(AND(_A6="A-330-900",'2025'!$K$4="FO",'2025'!$K$2=CM271),'2025DATA'!$F$6,"")</f>
        <v/>
      </c>
      <c r="CN275" s="518" t="str">
        <f>IF(AND(_A6="A-330-900",'2025'!$K$4="FO",'2025'!$K$2=CN271),'2025DATA'!$G$6,"")</f>
        <v/>
      </c>
      <c r="CO275" s="518" t="str">
        <f>IF(AND(_A6="A-330-900",'2025'!$K$4="FO",'2025'!$K$2=CO271),'2025DATA'!$H$6,"")</f>
        <v/>
      </c>
      <c r="CP275" s="518" t="str">
        <f>IF(AND(_A6="A-330-900",'2025'!$K$4="FO",'2025'!$K$2=CP271),'2025DATA'!$I$6,"")</f>
        <v/>
      </c>
      <c r="CQ275" s="518" t="str">
        <f>IF(AND(_A6="A-330-900",'2025'!$K$4="FO",'2025'!$K$2=CQ271),'2025DATA'!$J$6,"")</f>
        <v/>
      </c>
      <c r="CR275" s="518" t="str">
        <f>IF(AND(_A6="A-330-900",'2025'!$K$4="FO",'2025'!$K$2=CR271),'2025DATA'!$K$6,"")</f>
        <v/>
      </c>
      <c r="CS275" s="518" t="str">
        <f>IF(AND(_A6="A-330-900",'2025'!$K$4="FO",'2025'!$K$2=CS271),'2025DATA'!$L$6,"")</f>
        <v/>
      </c>
      <c r="CT275" s="518" t="str">
        <f>IF(AND(_A6="A-330-900",'2025'!$K$4="FO",'2025'!$K$2=CT271),'2025DATA'!$M$6,"")</f>
        <v/>
      </c>
      <c r="CU275" s="520" t="str">
        <f>IF(AND(_A6="A-330-900",'2025'!$K$4="FO",'2025'!$K$2=CU271),'2025DATA'!$N$6,"")</f>
        <v/>
      </c>
    </row>
    <row r="276" spans="16:99" x14ac:dyDescent="0.25">
      <c r="P276" s="940" t="s">
        <v>64</v>
      </c>
      <c r="Q276" s="13" t="s">
        <v>61</v>
      </c>
      <c r="R276" s="518" t="str">
        <f>IF(AND(_A1="A-330-300",'2025'!$K$4="CA",'2025'!$K$2=R271),'2025DATA'!$C$7,"")</f>
        <v/>
      </c>
      <c r="S276" s="518" t="str">
        <f>IF(AND(_A1="A-330-300",'2025'!$K$4="CA",'2025'!$K$2=S271),'2025DATA'!$D$7,"")</f>
        <v/>
      </c>
      <c r="T276" s="518" t="str">
        <f>IF(AND(_A1="A-330-300",'2025'!$K$4="CA",'2025'!$K$2=T271),'2025DATA'!$E$7,"")</f>
        <v/>
      </c>
      <c r="U276" s="518" t="str">
        <f>IF(AND(_A1="A-330-300",'2025'!$K$4="CA",'2025'!$K$2=U271),'2025DATA'!$F$7,"")</f>
        <v/>
      </c>
      <c r="V276" s="518" t="str">
        <f>IF(AND(_A1="A-330-300",'2025'!$K$4="CA",'2025'!$K$2=V271),'2025DATA'!$G$7,"")</f>
        <v/>
      </c>
      <c r="W276" s="518" t="str">
        <f>IF(AND(_A1="A-330-300",'2025'!$K$4="CA",'2025'!$K$2=W271),'2025DATA'!$H$7,"")</f>
        <v/>
      </c>
      <c r="X276" s="518" t="str">
        <f>IF(AND(_A1="A-330-300",'2025'!$K$4="CA",'2025'!$K$2=X271),'2025DATA'!$I$7,"")</f>
        <v/>
      </c>
      <c r="Y276" s="518" t="str">
        <f>IF(AND(_A1="A-330-300",'2025'!$K$4="CA",'2025'!$K$2=Y271),'2025DATA'!$J$7,"")</f>
        <v/>
      </c>
      <c r="Z276" s="518" t="str">
        <f>IF(AND(_A1="A-330-300",'2025'!$K$4="CA",'2025'!$K$2=Z271),'2025DATA'!$K$7,"")</f>
        <v/>
      </c>
      <c r="AA276" s="518" t="str">
        <f>IF(AND(_A1="A-330-300",'2025'!$K$4="CA",'2025'!$K$2=AA271),'2025DATA'!$L$7,"")</f>
        <v/>
      </c>
      <c r="AB276" s="518" t="str">
        <f>IF(AND(_A1="A-330-300",'2025'!$K$4="CA",'2025'!$K$2=AB271),'2025DATA'!$M$7,"")</f>
        <v/>
      </c>
      <c r="AC276" s="520" t="str">
        <f>IF(AND(_A1="A-330-300",'2025'!$K$4="CA",'2025'!$K$2=AC271),'2025DATA'!$N$7,"")</f>
        <v/>
      </c>
      <c r="AD276" s="940" t="s">
        <v>64</v>
      </c>
      <c r="AE276" s="13" t="s">
        <v>61</v>
      </c>
      <c r="AF276" s="518" t="str">
        <f>IF(AND(_A2="A-330-300",'2025'!$K$4="CA",'2025'!$K$2=AF271),'2025DATA'!$C$7,"")</f>
        <v/>
      </c>
      <c r="AG276" s="518" t="str">
        <f>IF(AND(_A2="A-330-300",'2025'!$K$4="CA",'2025'!$K$2=AG271),'2025DATA'!$D$7,"")</f>
        <v/>
      </c>
      <c r="AH276" s="518" t="str">
        <f>IF(AND(_A2="A-330-300",'2025'!$K$4="CA",'2025'!$K$2=AH271),'2025DATA'!$E$7,"")</f>
        <v/>
      </c>
      <c r="AI276" s="518" t="str">
        <f>IF(AND(_A2="A-330-300",'2025'!$K$4="CA",'2025'!$K$2=AI271),'2025DATA'!$F$7,"")</f>
        <v/>
      </c>
      <c r="AJ276" s="518" t="str">
        <f>IF(AND(_A2="A-330-300",'2025'!$K$4="CA",'2025'!$K$2=AJ271),'2025DATA'!$G$7,"")</f>
        <v/>
      </c>
      <c r="AK276" s="518" t="str">
        <f>IF(AND(_A2="A-330-300",'2025'!$K$4="CA",'2025'!$K$2=AK271),'2025DATA'!$H$7,"")</f>
        <v/>
      </c>
      <c r="AL276" s="518" t="str">
        <f>IF(AND(_A2="A-330-300",'2025'!$K$4="CA",'2025'!$K$2=AL271),'2025DATA'!$I$7,"")</f>
        <v/>
      </c>
      <c r="AM276" s="518" t="str">
        <f>IF(AND(_A2="A-330-300",'2025'!$K$4="CA",'2025'!$K$2=AM271),'2025DATA'!$J$7,"")</f>
        <v/>
      </c>
      <c r="AN276" s="518" t="str">
        <f>IF(AND(_A2="A-330-300",'2025'!$K$4="CA",'2025'!$K$2=AN271),'2025DATA'!$K$7,"")</f>
        <v/>
      </c>
      <c r="AO276" s="518" t="str">
        <f>IF(AND(_A2="A-330-300",'2025'!$K$4="CA",'2025'!$K$2=AO271),'2025DATA'!$L$7,"")</f>
        <v/>
      </c>
      <c r="AP276" s="518" t="str">
        <f>IF(AND(_A2="A-330-300",'2025'!$K$4="CA",'2025'!$K$2=AP271),'2025DATA'!$M$7,"")</f>
        <v/>
      </c>
      <c r="AQ276" s="520" t="str">
        <f>IF(AND(_A2="A-330-300",'2025'!$K$4="CA",'2025'!$K$2=AQ271),'2025DATA'!$N$7,"")</f>
        <v/>
      </c>
      <c r="AR276" s="940" t="s">
        <v>64</v>
      </c>
      <c r="AS276" s="13" t="s">
        <v>61</v>
      </c>
      <c r="AT276" s="518" t="str">
        <f>IF(AND(_A3="A-330-300",'2025'!$K$4="CA",'2025'!$K$2=AT271),'2025DATA'!$C$7,"")</f>
        <v/>
      </c>
      <c r="AU276" s="518" t="str">
        <f>IF(AND(_A3="A-330-300",'2025'!$K$4="CA",'2025'!$K$2=AU271),'2025DATA'!$D$7,"")</f>
        <v/>
      </c>
      <c r="AV276" s="518" t="str">
        <f>IF(AND(_A3="A-330-300",'2025'!$K$4="CA",'2025'!$K$2=AV271),'2025DATA'!$E$7,"")</f>
        <v/>
      </c>
      <c r="AW276" s="518" t="str">
        <f>IF(AND(_A3="A-330-300",'2025'!$K$4="CA",'2025'!$K$2=AW271),'2025DATA'!$F$7,"")</f>
        <v/>
      </c>
      <c r="AX276" s="518" t="str">
        <f>IF(AND(_A3="A-330-300",'2025'!$K$4="CA",'2025'!$K$2=AX271),'2025DATA'!$G$7,"")</f>
        <v/>
      </c>
      <c r="AY276" s="518" t="str">
        <f>IF(AND(_A3="A-330-300",'2025'!$K$4="CA",'2025'!$K$2=AY271),'2025DATA'!$H$7,"")</f>
        <v/>
      </c>
      <c r="AZ276" s="518" t="str">
        <f>IF(AND(_A3="A-330-300",'2025'!$K$4="CA",'2025'!$K$2=AZ271),'2025DATA'!$I$7,"")</f>
        <v/>
      </c>
      <c r="BA276" s="518" t="str">
        <f>IF(AND(_A3="A-330-300",'2025'!$K$4="CA",'2025'!$K$2=BA271),'2025DATA'!$J$7,"")</f>
        <v/>
      </c>
      <c r="BB276" s="518" t="str">
        <f>IF(AND(_A3="A-330-300",'2025'!$K$4="CA",'2025'!$K$2=BB271),'2025DATA'!$K$7,"")</f>
        <v/>
      </c>
      <c r="BC276" s="518" t="str">
        <f>IF(AND(_A3="A-330-300",'2025'!$K$4="CA",'2025'!$K$2=BC271),'2025DATA'!$L$7,"")</f>
        <v/>
      </c>
      <c r="BD276" s="518" t="str">
        <f>IF(AND(_A3="A-330-300",'2025'!$K$4="CA",'2025'!$K$2=BD271),'2025DATA'!$M$7,"")</f>
        <v/>
      </c>
      <c r="BE276" s="520" t="str">
        <f>IF(AND(_A3="A-330-300",'2025'!$K$4="CA",'2025'!$K$2=BE271),'2025DATA'!$N$7,"")</f>
        <v/>
      </c>
      <c r="BF276" s="940" t="s">
        <v>64</v>
      </c>
      <c r="BG276" s="13" t="s">
        <v>61</v>
      </c>
      <c r="BH276" s="518" t="str">
        <f>IF(AND(_A4="A-330-300",'2025'!$K$4="CA",'2025'!$K$2=BH271),'2025DATA'!$C$7,"")</f>
        <v/>
      </c>
      <c r="BI276" s="518" t="str">
        <f>IF(AND(_A4="A-330-300",'2025'!$K$4="CA",'2025'!$K$2=BI271),'2025DATA'!$D$7,"")</f>
        <v/>
      </c>
      <c r="BJ276" s="518" t="str">
        <f>IF(AND(_A4="A-330-300",'2025'!$K$4="CA",'2025'!$K$2=BJ271),'2025DATA'!$E$7,"")</f>
        <v/>
      </c>
      <c r="BK276" s="518" t="str">
        <f>IF(AND(_A4="A-330-300",'2025'!$K$4="CA",'2025'!$K$2=BK271),'2025DATA'!$F$7,"")</f>
        <v/>
      </c>
      <c r="BL276" s="518" t="str">
        <f>IF(AND(_A4="A-330-300",'2025'!$K$4="CA",'2025'!$K$2=BL271),'2025DATA'!$G$7,"")</f>
        <v/>
      </c>
      <c r="BM276" s="518" t="str">
        <f>IF(AND(_A4="A-330-300",'2025'!$K$4="CA",'2025'!$K$2=BM271),'2025DATA'!$H$7,"")</f>
        <v/>
      </c>
      <c r="BN276" s="518" t="str">
        <f>IF(AND(_A4="A-330-300",'2025'!$K$4="CA",'2025'!$K$2=BN271),'2025DATA'!$I$7,"")</f>
        <v/>
      </c>
      <c r="BO276" s="518" t="str">
        <f>IF(AND(_A4="A-330-300",'2025'!$K$4="CA",'2025'!$K$2=BO271),'2025DATA'!$J$7,"")</f>
        <v/>
      </c>
      <c r="BP276" s="518" t="str">
        <f>IF(AND(_A4="A-330-300",'2025'!$K$4="CA",'2025'!$K$2=BP271),'2025DATA'!$K$7,"")</f>
        <v/>
      </c>
      <c r="BQ276" s="518" t="str">
        <f>IF(AND(_A4="A-330-300",'2025'!$K$4="CA",'2025'!$K$2=BQ271),'2025DATA'!$L$7,"")</f>
        <v/>
      </c>
      <c r="BR276" s="518" t="str">
        <f>IF(AND(_A4="A-330-300",'2025'!$K$4="CA",'2025'!$K$2=BR271),'2025DATA'!$M$7,"")</f>
        <v/>
      </c>
      <c r="BS276" s="520" t="str">
        <f>IF(AND(_A4="A-330-300",'2025'!$K$4="CA",'2025'!$K$2=BS271),'2025DATA'!$N$7,"")</f>
        <v/>
      </c>
      <c r="BT276" s="940" t="s">
        <v>64</v>
      </c>
      <c r="BU276" s="13" t="s">
        <v>61</v>
      </c>
      <c r="BV276" s="518" t="str">
        <f>IF(AND(_A5="A-330-300",'2025'!$K$4="CA",'2025'!$K$2=BV271),'2025DATA'!$C$7,"")</f>
        <v/>
      </c>
      <c r="BW276" s="518" t="str">
        <f>IF(AND(_A5="A-330-300",'2025'!$K$4="CA",'2025'!$K$2=BW271),'2025DATA'!$D$7,"")</f>
        <v/>
      </c>
      <c r="BX276" s="518" t="str">
        <f>IF(AND(_A5="A-330-300",'2025'!$K$4="CA",'2025'!$K$2=BX271),'2025DATA'!$E$7,"")</f>
        <v/>
      </c>
      <c r="BY276" s="518" t="str">
        <f>IF(AND(_A5="A-330-300",'2025'!$K$4="CA",'2025'!$K$2=BY271),'2025DATA'!$F$7,"")</f>
        <v/>
      </c>
      <c r="BZ276" s="518" t="str">
        <f>IF(AND(_A5="A-330-300",'2025'!$K$4="CA",'2025'!$K$2=BZ271),'2025DATA'!$G$7,"")</f>
        <v/>
      </c>
      <c r="CA276" s="518" t="str">
        <f>IF(AND(_A5="A-330-300",'2025'!$K$4="CA",'2025'!$K$2=CA271),'2025DATA'!$H$7,"")</f>
        <v/>
      </c>
      <c r="CB276" s="518" t="str">
        <f>IF(AND(_A5="A-330-300",'2025'!$K$4="CA",'2025'!$K$2=CB271),'2025DATA'!$I$7,"")</f>
        <v/>
      </c>
      <c r="CC276" s="518" t="str">
        <f>IF(AND(_A5="A-330-300",'2025'!$K$4="CA",'2025'!$K$2=CC271),'2025DATA'!$J$7,"")</f>
        <v/>
      </c>
      <c r="CD276" s="518" t="str">
        <f>IF(AND(_A5="A-330-300",'2025'!$K$4="CA",'2025'!$K$2=CD271),'2025DATA'!$K$7,"")</f>
        <v/>
      </c>
      <c r="CE276" s="518" t="str">
        <f>IF(AND(_A5="A-330-300",'2025'!$K$4="CA",'2025'!$K$2=CE271),'2025DATA'!$L$7,"")</f>
        <v/>
      </c>
      <c r="CF276" s="518" t="str">
        <f>IF(AND(_A5="A-330-300",'2025'!$K$4="CA",'2025'!$K$2=CF271),'2025DATA'!$M$7,"")</f>
        <v/>
      </c>
      <c r="CG276" s="520" t="str">
        <f>IF(AND(_A5="A-330-300",'2025'!$K$4="CA",'2025'!$K$2=CG271),'2025DATA'!$N$7,"")</f>
        <v/>
      </c>
      <c r="CH276" s="940" t="s">
        <v>64</v>
      </c>
      <c r="CI276" s="13" t="s">
        <v>61</v>
      </c>
      <c r="CJ276" s="518" t="str">
        <f>IF(AND(_A6="A-330-300",'2025'!$K$4="CA",'2025'!$K$2=CJ271),'2025DATA'!$C$7,"")</f>
        <v/>
      </c>
      <c r="CK276" s="518" t="str">
        <f>IF(AND(_A6="A-330-300",'2025'!$K$4="CA",'2025'!$K$2=CK271),'2025DATA'!$D$7,"")</f>
        <v/>
      </c>
      <c r="CL276" s="518" t="str">
        <f>IF(AND(_A6="A-330-300",'2025'!$K$4="CA",'2025'!$K$2=CL271),'2025DATA'!$E$7,"")</f>
        <v/>
      </c>
      <c r="CM276" s="518" t="str">
        <f>IF(AND(_A6="A-330-300",'2025'!$K$4="CA",'2025'!$K$2=CM271),'2025DATA'!$F$7,"")</f>
        <v/>
      </c>
      <c r="CN276" s="518" t="str">
        <f>IF(AND(_A6="A-330-300",'2025'!$K$4="CA",'2025'!$K$2=CN271),'2025DATA'!$G$7,"")</f>
        <v/>
      </c>
      <c r="CO276" s="518" t="str">
        <f>IF(AND(_A6="A-330-300",'2025'!$K$4="CA",'2025'!$K$2=CO271),'2025DATA'!$H$7,"")</f>
        <v/>
      </c>
      <c r="CP276" s="518" t="str">
        <f>IF(AND(_A6="A-330-300",'2025'!$K$4="CA",'2025'!$K$2=CP271),'2025DATA'!$I$7,"")</f>
        <v/>
      </c>
      <c r="CQ276" s="518" t="str">
        <f>IF(AND(_A6="A-330-300",'2025'!$K$4="CA",'2025'!$K$2=CQ271),'2025DATA'!$J$7,"")</f>
        <v/>
      </c>
      <c r="CR276" s="518" t="str">
        <f>IF(AND(_A6="A-330-300",'2025'!$K$4="CA",'2025'!$K$2=CR271),'2025DATA'!$K$7,"")</f>
        <v/>
      </c>
      <c r="CS276" s="518" t="str">
        <f>IF(AND(_A6="A-330-300",'2025'!$K$4="CA",'2025'!$K$2=CS271),'2025DATA'!$L$7,"")</f>
        <v/>
      </c>
      <c r="CT276" s="518" t="str">
        <f>IF(AND(_A6="A-330-300",'2025'!$K$4="CA",'2025'!$K$2=CT271),'2025DATA'!$M$7,"")</f>
        <v/>
      </c>
      <c r="CU276" s="520" t="str">
        <f>IF(AND(_A6="A-330-300",'2025'!$K$4="CA",'2025'!$K$2=CU271),'2025DATA'!$N$7,"")</f>
        <v/>
      </c>
    </row>
    <row r="277" spans="16:99" x14ac:dyDescent="0.25">
      <c r="P277" s="940"/>
      <c r="Q277" s="13" t="s">
        <v>62</v>
      </c>
      <c r="R277" s="518" t="str">
        <f>IF(AND(_A1="A-330-300",'2025'!$K$4="FO",'2025'!$K$2=R271),'2025DATA'!$C$8,"")</f>
        <v/>
      </c>
      <c r="S277" s="518" t="str">
        <f>IF(AND(_A1="A-330-300",'2025'!$K$4="FO",'2025'!$K$2=S271),'2025DATA'!$D$8,"")</f>
        <v/>
      </c>
      <c r="T277" s="518" t="str">
        <f>IF(AND(_A1="A-330-300",'2025'!$K$4="FO",'2025'!$K$2=T271),'2025DATA'!$E$8,"")</f>
        <v/>
      </c>
      <c r="U277" s="518" t="str">
        <f>IF(AND(_A1="A-330-300",'2025'!$K$4="FO",'2025'!$K$2=U271),'2025DATA'!$F$8,"")</f>
        <v/>
      </c>
      <c r="V277" s="518" t="str">
        <f>IF(AND(_A1="A-330-300",'2025'!$K$4="FO",'2025'!$K$2=V271),'2025DATA'!$G$8,"")</f>
        <v/>
      </c>
      <c r="W277" s="518" t="str">
        <f>IF(AND(_A1="A-330-300",'2025'!$K$4="FO",'2025'!$K$2=W271),'2025DATA'!$H$8,"")</f>
        <v/>
      </c>
      <c r="X277" s="518" t="str">
        <f>IF(AND(_A1="A-330-300",'2025'!$K$4="FO",'2025'!$K$2=X271),'2025DATA'!$I$8,"")</f>
        <v/>
      </c>
      <c r="Y277" s="518" t="str">
        <f>IF(AND(_A1="A-330-300",'2025'!$K$4="FO",'2025'!$K$2=Y271),'2025DATA'!$J$8,"")</f>
        <v/>
      </c>
      <c r="Z277" s="518" t="str">
        <f>IF(AND(_A1="A-330-300",'2025'!$K$4="FO",'2025'!$K$2=Z271),'2025DATA'!$K$8,"")</f>
        <v/>
      </c>
      <c r="AA277" s="518" t="str">
        <f>IF(AND(_A1="A-330-300",'2025'!$K$4="FO",'2025'!$K$2=AA271),'2025DATA'!$L$8,"")</f>
        <v/>
      </c>
      <c r="AB277" s="518" t="str">
        <f>IF(AND(_A1="A-330-300",'2025'!$K$4="FO",'2025'!$K$2=AB271),'2025DATA'!$M$8,"")</f>
        <v/>
      </c>
      <c r="AC277" s="520" t="str">
        <f>IF(AND(_A1="A-330-300",'2025'!$K$4="FO",'2025'!$K$2=AC271),'2025DATA'!$N$8,"")</f>
        <v/>
      </c>
      <c r="AD277" s="940"/>
      <c r="AE277" s="13" t="s">
        <v>62</v>
      </c>
      <c r="AF277" s="518" t="str">
        <f>IF(AND(_A2="A-330-300",'2025'!$K$4="FO",'2025'!$K$2=AF271),'2025DATA'!$C$8,"")</f>
        <v/>
      </c>
      <c r="AG277" s="518" t="str">
        <f>IF(AND(_A2="A-330-300",'2025'!$K$4="FO",'2025'!$K$2=AG271),'2025DATA'!$D$8,"")</f>
        <v/>
      </c>
      <c r="AH277" s="518" t="str">
        <f>IF(AND(_A2="A-330-300",'2025'!$K$4="FO",'2025'!$K$2=AH271),'2025DATA'!$E$8,"")</f>
        <v/>
      </c>
      <c r="AI277" s="518" t="str">
        <f>IF(AND(_A2="A-330-300",'2025'!$K$4="FO",'2025'!$K$2=AI271),'2025DATA'!$F$8,"")</f>
        <v/>
      </c>
      <c r="AJ277" s="518" t="str">
        <f>IF(AND(_A2="A-330-300",'2025'!$K$4="FO",'2025'!$K$2=AJ271),'2025DATA'!$G$8,"")</f>
        <v/>
      </c>
      <c r="AK277" s="518" t="str">
        <f>IF(AND(_A2="A-330-300",'2025'!$K$4="FO",'2025'!$K$2=AK271),'2025DATA'!$H$8,"")</f>
        <v/>
      </c>
      <c r="AL277" s="518" t="str">
        <f>IF(AND(_A2="A-330-300",'2025'!$K$4="FO",'2025'!$K$2=AL271),'2025DATA'!$I$8,"")</f>
        <v/>
      </c>
      <c r="AM277" s="518" t="str">
        <f>IF(AND(_A2="A-330-300",'2025'!$K$4="FO",'2025'!$K$2=AM271),'2025DATA'!$J$8,"")</f>
        <v/>
      </c>
      <c r="AN277" s="518" t="str">
        <f>IF(AND(_A2="A-330-300",'2025'!$K$4="FO",'2025'!$K$2=AN271),'2025DATA'!$K$8,"")</f>
        <v/>
      </c>
      <c r="AO277" s="518" t="str">
        <f>IF(AND(_A2="A-330-300",'2025'!$K$4="FO",'2025'!$K$2=AO271),'2025DATA'!$L$8,"")</f>
        <v/>
      </c>
      <c r="AP277" s="518" t="str">
        <f>IF(AND(_A2="A-330-300",'2025'!$K$4="FO",'2025'!$K$2=AP271),'2025DATA'!$M$8,"")</f>
        <v/>
      </c>
      <c r="AQ277" s="520" t="str">
        <f>IF(AND(_A2="A-330-300",'2025'!$K$4="FO",'2025'!$K$2=AQ271),'2025DATA'!$N$8,"")</f>
        <v/>
      </c>
      <c r="AR277" s="940"/>
      <c r="AS277" s="13" t="s">
        <v>62</v>
      </c>
      <c r="AT277" s="518" t="str">
        <f>IF(AND(_A3="A-330-300",'2025'!$K$4="FO",'2025'!$K$2=AT271),'2025DATA'!$C$8,"")</f>
        <v/>
      </c>
      <c r="AU277" s="518" t="str">
        <f>IF(AND(_A3="A-330-300",'2025'!$K$4="FO",'2025'!$K$2=AU271),'2025DATA'!$D$8,"")</f>
        <v/>
      </c>
      <c r="AV277" s="518" t="str">
        <f>IF(AND(_A3="A-330-300",'2025'!$K$4="FO",'2025'!$K$2=AV271),'2025DATA'!$E$8,"")</f>
        <v/>
      </c>
      <c r="AW277" s="518" t="str">
        <f>IF(AND(_A3="A-330-300",'2025'!$K$4="FO",'2025'!$K$2=AW271),'2025DATA'!$F$8,"")</f>
        <v/>
      </c>
      <c r="AX277" s="518" t="str">
        <f>IF(AND(_A3="A-330-300",'2025'!$K$4="FO",'2025'!$K$2=AX271),'2025DATA'!$G$8,"")</f>
        <v/>
      </c>
      <c r="AY277" s="518" t="str">
        <f>IF(AND(_A3="A-330-300",'2025'!$K$4="FO",'2025'!$K$2=AY271),'2025DATA'!$H$8,"")</f>
        <v/>
      </c>
      <c r="AZ277" s="518" t="str">
        <f>IF(AND(_A3="A-330-300",'2025'!$K$4="FO",'2025'!$K$2=AZ271),'2025DATA'!$I$8,"")</f>
        <v/>
      </c>
      <c r="BA277" s="518" t="str">
        <f>IF(AND(_A3="A-330-300",'2025'!$K$4="FO",'2025'!$K$2=BA271),'2025DATA'!$J$8,"")</f>
        <v/>
      </c>
      <c r="BB277" s="518" t="str">
        <f>IF(AND(_A3="A-330-300",'2025'!$K$4="FO",'2025'!$K$2=BB271),'2025DATA'!$K$8,"")</f>
        <v/>
      </c>
      <c r="BC277" s="518" t="str">
        <f>IF(AND(_A3="A-330-300",'2025'!$K$4="FO",'2025'!$K$2=BC271),'2025DATA'!$L$8,"")</f>
        <v/>
      </c>
      <c r="BD277" s="518" t="str">
        <f>IF(AND(_A3="A-330-300",'2025'!$K$4="FO",'2025'!$K$2=BD271),'2025DATA'!$M$8,"")</f>
        <v/>
      </c>
      <c r="BE277" s="520" t="str">
        <f>IF(AND(_A3="A-330-300",'2025'!$K$4="FO",'2025'!$K$2=BE271),'2025DATA'!$N$8,"")</f>
        <v/>
      </c>
      <c r="BF277" s="940"/>
      <c r="BG277" s="13" t="s">
        <v>62</v>
      </c>
      <c r="BH277" s="518" t="str">
        <f>IF(AND(_A4="A-330-300",'2025'!$K$4="FO",'2025'!$K$2=BH271),'2025DATA'!$C$8,"")</f>
        <v/>
      </c>
      <c r="BI277" s="518" t="str">
        <f>IF(AND(_A4="A-330-300",'2025'!$K$4="FO",'2025'!$K$2=BI271),'2025DATA'!$D$8,"")</f>
        <v/>
      </c>
      <c r="BJ277" s="518" t="str">
        <f>IF(AND(_A4="A-330-300",'2025'!$K$4="FO",'2025'!$K$2=BJ271),'2025DATA'!$E$8,"")</f>
        <v/>
      </c>
      <c r="BK277" s="518" t="str">
        <f>IF(AND(_A4="A-330-300",'2025'!$K$4="FO",'2025'!$K$2=BK271),'2025DATA'!$F$8,"")</f>
        <v/>
      </c>
      <c r="BL277" s="518" t="str">
        <f>IF(AND(_A4="A-330-300",'2025'!$K$4="FO",'2025'!$K$2=BL271),'2025DATA'!$G$8,"")</f>
        <v/>
      </c>
      <c r="BM277" s="518" t="str">
        <f>IF(AND(_A4="A-330-300",'2025'!$K$4="FO",'2025'!$K$2=BM271),'2025DATA'!$H$8,"")</f>
        <v/>
      </c>
      <c r="BN277" s="518" t="str">
        <f>IF(AND(_A4="A-330-300",'2025'!$K$4="FO",'2025'!$K$2=BN271),'2025DATA'!$I$8,"")</f>
        <v/>
      </c>
      <c r="BO277" s="518" t="str">
        <f>IF(AND(_A4="A-330-300",'2025'!$K$4="FO",'2025'!$K$2=BO271),'2025DATA'!$J$8,"")</f>
        <v/>
      </c>
      <c r="BP277" s="518" t="str">
        <f>IF(AND(_A4="A-330-300",'2025'!$K$4="FO",'2025'!$K$2=BP271),'2025DATA'!$K$8,"")</f>
        <v/>
      </c>
      <c r="BQ277" s="518" t="str">
        <f>IF(AND(_A4="A-330-300",'2025'!$K$4="FO",'2025'!$K$2=BQ271),'2025DATA'!$L$8,"")</f>
        <v/>
      </c>
      <c r="BR277" s="518" t="str">
        <f>IF(AND(_A4="A-330-300",'2025'!$K$4="FO",'2025'!$K$2=BR271),'2025DATA'!$M$8,"")</f>
        <v/>
      </c>
      <c r="BS277" s="520" t="str">
        <f>IF(AND(_A4="A-330-300",'2025'!$K$4="FO",'2025'!$K$2=BS271),'2025DATA'!$N$8,"")</f>
        <v/>
      </c>
      <c r="BT277" s="940"/>
      <c r="BU277" s="13" t="s">
        <v>62</v>
      </c>
      <c r="BV277" s="518" t="str">
        <f>IF(AND(_A5="A-330-300",'2025'!$K$4="FO",'2025'!$K$2=BV271),'2025DATA'!$C$8,"")</f>
        <v/>
      </c>
      <c r="BW277" s="518" t="str">
        <f>IF(AND(_A5="A-330-300",'2025'!$K$4="FO",'2025'!$K$2=BW271),'2025DATA'!$D$8,"")</f>
        <v/>
      </c>
      <c r="BX277" s="518" t="str">
        <f>IF(AND(_A5="A-330-300",'2025'!$K$4="FO",'2025'!$K$2=BX271),'2025DATA'!$E$8,"")</f>
        <v/>
      </c>
      <c r="BY277" s="518" t="str">
        <f>IF(AND(_A5="A-330-300",'2025'!$K$4="FO",'2025'!$K$2=BY271),'2025DATA'!$F$8,"")</f>
        <v/>
      </c>
      <c r="BZ277" s="518" t="str">
        <f>IF(AND(_A5="A-330-300",'2025'!$K$4="FO",'2025'!$K$2=BZ271),'2025DATA'!$G$8,"")</f>
        <v/>
      </c>
      <c r="CA277" s="518" t="str">
        <f>IF(AND(_A5="A-330-300",'2025'!$K$4="FO",'2025'!$K$2=CA271),'2025DATA'!$H$8,"")</f>
        <v/>
      </c>
      <c r="CB277" s="518" t="str">
        <f>IF(AND(_A5="A-330-300",'2025'!$K$4="FO",'2025'!$K$2=CB271),'2025DATA'!$I$8,"")</f>
        <v/>
      </c>
      <c r="CC277" s="518" t="str">
        <f>IF(AND(_A5="A-330-300",'2025'!$K$4="FO",'2025'!$K$2=CC271),'2025DATA'!$J$8,"")</f>
        <v/>
      </c>
      <c r="CD277" s="518" t="str">
        <f>IF(AND(_A5="A-330-300",'2025'!$K$4="FO",'2025'!$K$2=CD271),'2025DATA'!$K$8,"")</f>
        <v/>
      </c>
      <c r="CE277" s="518" t="str">
        <f>IF(AND(_A5="A-330-300",'2025'!$K$4="FO",'2025'!$K$2=CE271),'2025DATA'!$L$8,"")</f>
        <v/>
      </c>
      <c r="CF277" s="518" t="str">
        <f>IF(AND(_A5="A-330-300",'2025'!$K$4="FO",'2025'!$K$2=CF271),'2025DATA'!$M$8,"")</f>
        <v/>
      </c>
      <c r="CG277" s="520" t="str">
        <f>IF(AND(_A5="A-330-300",'2025'!$K$4="FO",'2025'!$K$2=CG271),'2025DATA'!$N$8,"")</f>
        <v/>
      </c>
      <c r="CH277" s="940"/>
      <c r="CI277" s="13" t="s">
        <v>62</v>
      </c>
      <c r="CJ277" s="518" t="str">
        <f>IF(AND(_A6="A-330-300",'2025'!$K$4="FO",'2025'!$K$2=CJ271),'2025DATA'!$C$8,"")</f>
        <v/>
      </c>
      <c r="CK277" s="518" t="str">
        <f>IF(AND(_A6="A-330-300",'2025'!$K$4="FO",'2025'!$K$2=CK271),'2025DATA'!$D$8,"")</f>
        <v/>
      </c>
      <c r="CL277" s="518" t="str">
        <f>IF(AND(_A6="A-330-300",'2025'!$K$4="FO",'2025'!$K$2=CL271),'2025DATA'!$E$8,"")</f>
        <v/>
      </c>
      <c r="CM277" s="518" t="str">
        <f>IF(AND(_A6="A-330-300",'2025'!$K$4="FO",'2025'!$K$2=CM271),'2025DATA'!$F$8,"")</f>
        <v/>
      </c>
      <c r="CN277" s="518" t="str">
        <f>IF(AND(_A6="A-330-300",'2025'!$K$4="FO",'2025'!$K$2=CN271),'2025DATA'!$G$8,"")</f>
        <v/>
      </c>
      <c r="CO277" s="518" t="str">
        <f>IF(AND(_A6="A-330-300",'2025'!$K$4="FO",'2025'!$K$2=CO271),'2025DATA'!$H$8,"")</f>
        <v/>
      </c>
      <c r="CP277" s="518" t="str">
        <f>IF(AND(_A6="A-330-300",'2025'!$K$4="FO",'2025'!$K$2=CP271),'2025DATA'!$I$8,"")</f>
        <v/>
      </c>
      <c r="CQ277" s="518" t="str">
        <f>IF(AND(_A6="A-330-300",'2025'!$K$4="FO",'2025'!$K$2=CQ271),'2025DATA'!$J$8,"")</f>
        <v/>
      </c>
      <c r="CR277" s="518" t="str">
        <f>IF(AND(_A6="A-330-300",'2025'!$K$4="FO",'2025'!$K$2=CR271),'2025DATA'!$K$8,"")</f>
        <v/>
      </c>
      <c r="CS277" s="518" t="str">
        <f>IF(AND(_A6="A-330-300",'2025'!$K$4="FO",'2025'!$K$2=CS271),'2025DATA'!$L$8,"")</f>
        <v/>
      </c>
      <c r="CT277" s="518" t="str">
        <f>IF(AND(_A6="A-330-300",'2025'!$K$4="FO",'2025'!$K$2=CT271),'2025DATA'!$M$8,"")</f>
        <v/>
      </c>
      <c r="CU277" s="520" t="str">
        <f>IF(AND(_A6="A-330-300",'2025'!$K$4="FO",'2025'!$K$2=CU271),'2025DATA'!$N$8,"")</f>
        <v/>
      </c>
    </row>
    <row r="278" spans="16:99" x14ac:dyDescent="0.25">
      <c r="P278" s="940" t="s">
        <v>66</v>
      </c>
      <c r="Q278" s="13" t="s">
        <v>61</v>
      </c>
      <c r="R278" s="518" t="str">
        <f>IF(AND(_A1="A-330-200",'2025'!$K$4="CA",'2025'!$K$2=R271),'2025DATA'!$C$9,"")</f>
        <v/>
      </c>
      <c r="S278" s="518" t="str">
        <f>IF(AND(_A1="A-330-200",'2025'!$K$4="CA",'2025'!$K$2=S271),'2025DATA'!$D$9,"")</f>
        <v/>
      </c>
      <c r="T278" s="518" t="str">
        <f>IF(AND(_A1="A-330-200",'2025'!$K$4="CA",'2025'!$K$2=T271),'2025DATA'!$E$9,"")</f>
        <v/>
      </c>
      <c r="U278" s="518" t="str">
        <f>IF(AND(_A1="A-330-200",'2025'!$K$4="CA",'2025'!$K$2=U271),'2025DATA'!$F$9,"")</f>
        <v/>
      </c>
      <c r="V278" s="518" t="str">
        <f>IF(AND(_A1="A-330-200",'2025'!$K$4="CA",'2025'!$K$2=V271),'2025DATA'!$G$9,"")</f>
        <v/>
      </c>
      <c r="W278" s="518" t="str">
        <f>IF(AND(_A1="A-330-200",'2025'!$K$4="CA",'2025'!$K$2=W271),'2025DATA'!$H$9,"")</f>
        <v/>
      </c>
      <c r="X278" s="518" t="str">
        <f>IF(AND(_A1="A-330-200",'2025'!$K$4="CA",'2025'!$K$2=X271),'2025DATA'!$I$9,"")</f>
        <v/>
      </c>
      <c r="Y278" s="518" t="str">
        <f>IF(AND(_A1="A-330-200",'2025'!$K$4="CA",'2025'!$K$2=Y271),'2025DATA'!$J$9,"")</f>
        <v/>
      </c>
      <c r="Z278" s="518" t="str">
        <f>IF(AND(_A1="A-330-200",'2025'!$K$4="CA",'2025'!$K$2=Z271),'2025DATA'!$K$9,"")</f>
        <v/>
      </c>
      <c r="AA278" s="518" t="str">
        <f>IF(AND(_A1="A-330-200",'2025'!$K$4="CA",'2025'!$K$2=AA271),'2025DATA'!$L$9,"")</f>
        <v/>
      </c>
      <c r="AB278" s="518" t="str">
        <f>IF(AND(_A1="A-330-200",'2025'!$K$4="CA",'2025'!$K$2=AB271),'2025DATA'!$M$9,"")</f>
        <v/>
      </c>
      <c r="AC278" s="520" t="str">
        <f>IF(AND(_A1="A-330-200",'2025'!$K$4="CA",'2025'!$K$2=AC271),'2025DATA'!$N$9,"")</f>
        <v/>
      </c>
      <c r="AD278" s="940" t="s">
        <v>66</v>
      </c>
      <c r="AE278" s="13" t="s">
        <v>61</v>
      </c>
      <c r="AF278" s="518" t="str">
        <f>IF(AND(_A2="A-330-200",'2025'!$K$4="CA",'2025'!$K$2=AF271),'2025DATA'!$C$9,"")</f>
        <v/>
      </c>
      <c r="AG278" s="518" t="str">
        <f>IF(AND(_A2="A-330-200",'2025'!$K$4="CA",'2025'!$K$2=AG271),'2025DATA'!$D$9,"")</f>
        <v/>
      </c>
      <c r="AH278" s="518" t="str">
        <f>IF(AND(_A2="A-330-200",'2025'!$K$4="CA",'2025'!$K$2=AH271),'2025DATA'!$E$9,"")</f>
        <v/>
      </c>
      <c r="AI278" s="518" t="str">
        <f>IF(AND(_A2="A-330-200",'2025'!$K$4="CA",'2025'!$K$2=AI271),'2025DATA'!$F$9,"")</f>
        <v/>
      </c>
      <c r="AJ278" s="518" t="str">
        <f>IF(AND(_A2="A-330-200",'2025'!$K$4="CA",'2025'!$K$2=AJ271),'2025DATA'!$G$9,"")</f>
        <v/>
      </c>
      <c r="AK278" s="518" t="str">
        <f>IF(AND(_A2="A-330-200",'2025'!$K$4="CA",'2025'!$K$2=AK271),'2025DATA'!$H$9,"")</f>
        <v/>
      </c>
      <c r="AL278" s="518" t="str">
        <f>IF(AND(_A2="A-330-200",'2025'!$K$4="CA",'2025'!$K$2=AL271),'2025DATA'!$I$9,"")</f>
        <v/>
      </c>
      <c r="AM278" s="518" t="str">
        <f>IF(AND(_A2="A-330-200",'2025'!$K$4="CA",'2025'!$K$2=AM271),'2025DATA'!$J$9,"")</f>
        <v/>
      </c>
      <c r="AN278" s="518" t="str">
        <f>IF(AND(_A2="A-330-200",'2025'!$K$4="CA",'2025'!$K$2=AN271),'2025DATA'!$K$9,"")</f>
        <v/>
      </c>
      <c r="AO278" s="518" t="str">
        <f>IF(AND(_A2="A-330-200",'2025'!$K$4="CA",'2025'!$K$2=AO271),'2025DATA'!$L$9,"")</f>
        <v/>
      </c>
      <c r="AP278" s="518" t="str">
        <f>IF(AND(_A2="A-330-200",'2025'!$K$4="CA",'2025'!$K$2=AP271),'2025DATA'!$M$9,"")</f>
        <v/>
      </c>
      <c r="AQ278" s="520" t="str">
        <f>IF(AND(_A2="A-330-200",'2025'!$K$4="CA",'2025'!$K$2=AQ271),'2025DATA'!$N$9,"")</f>
        <v/>
      </c>
      <c r="AR278" s="940" t="s">
        <v>66</v>
      </c>
      <c r="AS278" s="13" t="s">
        <v>61</v>
      </c>
      <c r="AT278" s="518" t="str">
        <f>IF(AND(_A3="A-330-200",'2025'!$K$4="CA",'2025'!$K$2=AT271),'2025DATA'!$C$9,"")</f>
        <v/>
      </c>
      <c r="AU278" s="518" t="str">
        <f>IF(AND(_A3="A-330-200",'2025'!$K$4="CA",'2025'!$K$2=AU271),'2025DATA'!$D$9,"")</f>
        <v/>
      </c>
      <c r="AV278" s="518" t="str">
        <f>IF(AND(_A3="A-330-200",'2025'!$K$4="CA",'2025'!$K$2=AV271),'2025DATA'!$E$9,"")</f>
        <v/>
      </c>
      <c r="AW278" s="518" t="str">
        <f>IF(AND(_A3="A-330-200",'2025'!$K$4="CA",'2025'!$K$2=AW271),'2025DATA'!$F$9,"")</f>
        <v/>
      </c>
      <c r="AX278" s="518" t="str">
        <f>IF(AND(_A3="A-330-200",'2025'!$K$4="CA",'2025'!$K$2=AX271),'2025DATA'!$G$9,"")</f>
        <v/>
      </c>
      <c r="AY278" s="518" t="str">
        <f>IF(AND(_A3="A-330-200",'2025'!$K$4="CA",'2025'!$K$2=AY271),'2025DATA'!$H$9,"")</f>
        <v/>
      </c>
      <c r="AZ278" s="518" t="str">
        <f>IF(AND(_A3="A-330-200",'2025'!$K$4="CA",'2025'!$K$2=AZ271),'2025DATA'!$I$9,"")</f>
        <v/>
      </c>
      <c r="BA278" s="518" t="str">
        <f>IF(AND(_A3="A-330-200",'2025'!$K$4="CA",'2025'!$K$2=BA271),'2025DATA'!$J$9,"")</f>
        <v/>
      </c>
      <c r="BB278" s="518" t="str">
        <f>IF(AND(_A3="A-330-200",'2025'!$K$4="CA",'2025'!$K$2=BB271),'2025DATA'!$K$9,"")</f>
        <v/>
      </c>
      <c r="BC278" s="518" t="str">
        <f>IF(AND(_A3="A-330-200",'2025'!$K$4="CA",'2025'!$K$2=BC271),'2025DATA'!$L$9,"")</f>
        <v/>
      </c>
      <c r="BD278" s="518" t="str">
        <f>IF(AND(_A3="A-330-200",'2025'!$K$4="CA",'2025'!$K$2=BD271),'2025DATA'!$M$9,"")</f>
        <v/>
      </c>
      <c r="BE278" s="520" t="str">
        <f>IF(AND(_A3="A-330-200",'2025'!$K$4="CA",'2025'!$K$2=BE271),'2025DATA'!$N$9,"")</f>
        <v/>
      </c>
      <c r="BF278" s="940" t="s">
        <v>66</v>
      </c>
      <c r="BG278" s="13" t="s">
        <v>61</v>
      </c>
      <c r="BH278" s="518" t="str">
        <f>IF(AND(_A4="A-330-200",'2025'!$K$4="CA",'2025'!$K$2=BH271),'2025DATA'!$C$9,"")</f>
        <v/>
      </c>
      <c r="BI278" s="518" t="str">
        <f>IF(AND(_A4="A-330-200",'2025'!$K$4="CA",'2025'!$K$2=BI271),'2025DATA'!$D$9,"")</f>
        <v/>
      </c>
      <c r="BJ278" s="518" t="str">
        <f>IF(AND(_A4="A-330-200",'2025'!$K$4="CA",'2025'!$K$2=BJ271),'2025DATA'!$E$9,"")</f>
        <v/>
      </c>
      <c r="BK278" s="518" t="str">
        <f>IF(AND(_A4="A-330-200",'2025'!$K$4="CA",'2025'!$K$2=BK271),'2025DATA'!$F$9,"")</f>
        <v/>
      </c>
      <c r="BL278" s="518" t="str">
        <f>IF(AND(_A4="A-330-200",'2025'!$K$4="CA",'2025'!$K$2=BL271),'2025DATA'!$G$9,"")</f>
        <v/>
      </c>
      <c r="BM278" s="518" t="str">
        <f>IF(AND(_A4="A-330-200",'2025'!$K$4="CA",'2025'!$K$2=BM271),'2025DATA'!$H$9,"")</f>
        <v/>
      </c>
      <c r="BN278" s="518" t="str">
        <f>IF(AND(_A4="A-330-200",'2025'!$K$4="CA",'2025'!$K$2=BN271),'2025DATA'!$I$9,"")</f>
        <v/>
      </c>
      <c r="BO278" s="518" t="str">
        <f>IF(AND(_A4="A-330-200",'2025'!$K$4="CA",'2025'!$K$2=BO271),'2025DATA'!$J$9,"")</f>
        <v/>
      </c>
      <c r="BP278" s="518" t="str">
        <f>IF(AND(_A4="A-330-200",'2025'!$K$4="CA",'2025'!$K$2=BP271),'2025DATA'!$K$9,"")</f>
        <v/>
      </c>
      <c r="BQ278" s="518" t="str">
        <f>IF(AND(_A4="A-330-200",'2025'!$K$4="CA",'2025'!$K$2=BQ271),'2025DATA'!$L$9,"")</f>
        <v/>
      </c>
      <c r="BR278" s="518" t="str">
        <f>IF(AND(_A4="A-330-200",'2025'!$K$4="CA",'2025'!$K$2=BR271),'2025DATA'!$M$9,"")</f>
        <v/>
      </c>
      <c r="BS278" s="520" t="str">
        <f>IF(AND(_A4="A-330-200",'2025'!$K$4="CA",'2025'!$K$2=BS271),'2025DATA'!$N$9,"")</f>
        <v/>
      </c>
      <c r="BT278" s="940" t="s">
        <v>66</v>
      </c>
      <c r="BU278" s="13" t="s">
        <v>61</v>
      </c>
      <c r="BV278" s="518" t="str">
        <f>IF(AND(_A5="A-330-200",'2025'!$K$4="CA",'2025'!$K$2=BV271),'2025DATA'!$C$9,"")</f>
        <v/>
      </c>
      <c r="BW278" s="518" t="str">
        <f>IF(AND(_A5="A-330-200",'2025'!$K$4="CA",'2025'!$K$2=BW271),'2025DATA'!$D$9,"")</f>
        <v/>
      </c>
      <c r="BX278" s="518" t="str">
        <f>IF(AND(_A5="A-330-200",'2025'!$K$4="CA",'2025'!$K$2=BX271),'2025DATA'!$E$9,"")</f>
        <v/>
      </c>
      <c r="BY278" s="518" t="str">
        <f>IF(AND(_A5="A-330-200",'2025'!$K$4="CA",'2025'!$K$2=BY271),'2025DATA'!$F$9,"")</f>
        <v/>
      </c>
      <c r="BZ278" s="518" t="str">
        <f>IF(AND(_A5="A-330-200",'2025'!$K$4="CA",'2025'!$K$2=BZ271),'2025DATA'!$G$9,"")</f>
        <v/>
      </c>
      <c r="CA278" s="518" t="str">
        <f>IF(AND(_A5="A-330-200",'2025'!$K$4="CA",'2025'!$K$2=CA271),'2025DATA'!$H$9,"")</f>
        <v/>
      </c>
      <c r="CB278" s="518" t="str">
        <f>IF(AND(_A5="A-330-200",'2025'!$K$4="CA",'2025'!$K$2=CB271),'2025DATA'!$I$9,"")</f>
        <v/>
      </c>
      <c r="CC278" s="518" t="str">
        <f>IF(AND(_A5="A-330-200",'2025'!$K$4="CA",'2025'!$K$2=CC271),'2025DATA'!$J$9,"")</f>
        <v/>
      </c>
      <c r="CD278" s="518" t="str">
        <f>IF(AND(_A5="A-330-200",'2025'!$K$4="CA",'2025'!$K$2=CD271),'2025DATA'!$K$9,"")</f>
        <v/>
      </c>
      <c r="CE278" s="518" t="str">
        <f>IF(AND(_A5="A-330-200",'2025'!$K$4="CA",'2025'!$K$2=CE271),'2025DATA'!$L$9,"")</f>
        <v/>
      </c>
      <c r="CF278" s="518" t="str">
        <f>IF(AND(_A5="A-330-200",'2025'!$K$4="CA",'2025'!$K$2=CF271),'2025DATA'!$M$9,"")</f>
        <v/>
      </c>
      <c r="CG278" s="520" t="str">
        <f>IF(AND(_A5="A-330-200",'2025'!$K$4="CA",'2025'!$K$2=CG271),'2025DATA'!$N$9,"")</f>
        <v/>
      </c>
      <c r="CH278" s="940" t="s">
        <v>66</v>
      </c>
      <c r="CI278" s="13" t="s">
        <v>61</v>
      </c>
      <c r="CJ278" s="518" t="str">
        <f>IF(AND(_A6="A-330-200",'2025'!$K$4="CA",'2025'!$K$2=CJ271),'2025DATA'!$C$9,"")</f>
        <v/>
      </c>
      <c r="CK278" s="518" t="str">
        <f>IF(AND(_A6="A-330-200",'2025'!$K$4="CA",'2025'!$K$2=CK271),'2025DATA'!$D$9,"")</f>
        <v/>
      </c>
      <c r="CL278" s="518" t="str">
        <f>IF(AND(_A6="A-330-200",'2025'!$K$4="CA",'2025'!$K$2=CL271),'2025DATA'!$E$9,"")</f>
        <v/>
      </c>
      <c r="CM278" s="518" t="str">
        <f>IF(AND(_A6="A-330-200",'2025'!$K$4="CA",'2025'!$K$2=CM271),'2025DATA'!$F$9,"")</f>
        <v/>
      </c>
      <c r="CN278" s="518" t="str">
        <f>IF(AND(_A6="A-330-200",'2025'!$K$4="CA",'2025'!$K$2=CN271),'2025DATA'!$G$9,"")</f>
        <v/>
      </c>
      <c r="CO278" s="518" t="str">
        <f>IF(AND(_A6="A-330-200",'2025'!$K$4="CA",'2025'!$K$2=CO271),'2025DATA'!$H$9,"")</f>
        <v/>
      </c>
      <c r="CP278" s="518" t="str">
        <f>IF(AND(_A6="A-330-200",'2025'!$K$4="CA",'2025'!$K$2=CP271),'2025DATA'!$I$9,"")</f>
        <v/>
      </c>
      <c r="CQ278" s="518" t="str">
        <f>IF(AND(_A6="A-330-200",'2025'!$K$4="CA",'2025'!$K$2=CQ271),'2025DATA'!$J$9,"")</f>
        <v/>
      </c>
      <c r="CR278" s="518" t="str">
        <f>IF(AND(_A6="A-330-200",'2025'!$K$4="CA",'2025'!$K$2=CR271),'2025DATA'!$K$9,"")</f>
        <v/>
      </c>
      <c r="CS278" s="518" t="str">
        <f>IF(AND(_A6="A-330-200",'2025'!$K$4="CA",'2025'!$K$2=CS271),'2025DATA'!$L$9,"")</f>
        <v/>
      </c>
      <c r="CT278" s="518" t="str">
        <f>IF(AND(_A6="A-330-200",'2025'!$K$4="CA",'2025'!$K$2=CT271),'2025DATA'!$M$9,"")</f>
        <v/>
      </c>
      <c r="CU278" s="520" t="str">
        <f>IF(AND(_A6="A-330-200",'2025'!$K$4="CA",'2025'!$K$2=CU271),'2025DATA'!$N$9,"")</f>
        <v/>
      </c>
    </row>
    <row r="279" spans="16:99" x14ac:dyDescent="0.25">
      <c r="P279" s="940"/>
      <c r="Q279" s="13" t="s">
        <v>62</v>
      </c>
      <c r="R279" s="518" t="str">
        <f>IF(AND(_A1="A-330-200",'2025'!$K$4="FO",'2025'!$K$2=R271),'2025DATA'!$C$10,"")</f>
        <v/>
      </c>
      <c r="S279" s="518" t="str">
        <f>IF(AND(_A1="A-330-200",'2025'!$K$4="FO",'2025'!$K$2=S271),'2025DATA'!$D$10,"")</f>
        <v/>
      </c>
      <c r="T279" s="518" t="str">
        <f>IF(AND(_A1="A-330-200",'2025'!$K$4="FO",'2025'!$K$2=T271),'2025DATA'!$E$10,"")</f>
        <v/>
      </c>
      <c r="U279" s="518" t="str">
        <f>IF(AND(_A1="A-330-200",'2025'!$K$4="FO",'2025'!$K$2=U271),'2025DATA'!$F$10,"")</f>
        <v/>
      </c>
      <c r="V279" s="518" t="str">
        <f>IF(AND(_A1="A-330-200",'2025'!$K$4="FO",'2025'!$K$2=V271),'2025DATA'!$G$10,"")</f>
        <v/>
      </c>
      <c r="W279" s="518" t="str">
        <f>IF(AND(_A1="A-330-200",'2025'!$K$4="FO",'2025'!$K$2=W271),'2025DATA'!$H$10,"")</f>
        <v/>
      </c>
      <c r="X279" s="518" t="str">
        <f>IF(AND(_A1="A-330-200",'2025'!$K$4="FO",'2025'!$K$2=X271),'2025DATA'!$I$10,"")</f>
        <v/>
      </c>
      <c r="Y279" s="518" t="str">
        <f>IF(AND(_A1="A-330-200",'2025'!$K$4="FO",'2025'!$K$2=Y271),'2025DATA'!$J$10,"")</f>
        <v/>
      </c>
      <c r="Z279" s="518" t="str">
        <f>IF(AND(_A1="A-330-200",'2025'!$K$4="FO",'2025'!$K$2=Z271),'2025DATA'!$K$10,"")</f>
        <v/>
      </c>
      <c r="AA279" s="518" t="str">
        <f>IF(AND(_A1="A-330-200",'2025'!$K$4="FO",'2025'!$K$2=AA271),'2025DATA'!$L$10,"")</f>
        <v/>
      </c>
      <c r="AB279" s="518" t="str">
        <f>IF(AND(_A1="A-330-200",'2025'!$K$4="FO",'2025'!$K$2=AB271),'2025DATA'!$M$10,"")</f>
        <v/>
      </c>
      <c r="AC279" s="520" t="str">
        <f>IF(AND(_A1="A-330-200",'2025'!$K$4="FO",'2025'!$K$2=AC271),'2025DATA'!$N$10,"")</f>
        <v/>
      </c>
      <c r="AD279" s="940"/>
      <c r="AE279" s="13" t="s">
        <v>62</v>
      </c>
      <c r="AF279" s="518" t="str">
        <f>IF(AND(_A2="A-330-200",'2025'!$K$4="FO",'2025'!$K$2=AF271),'2025DATA'!$C$10,"")</f>
        <v/>
      </c>
      <c r="AG279" s="518" t="str">
        <f>IF(AND(_A2="A-330-200",'2025'!$K$4="FO",'2025'!$K$2=AG271),'2025DATA'!$D$10,"")</f>
        <v/>
      </c>
      <c r="AH279" s="518" t="str">
        <f>IF(AND(_A2="A-330-200",'2025'!$K$4="FO",'2025'!$K$2=AH271),'2025DATA'!$E$10,"")</f>
        <v/>
      </c>
      <c r="AI279" s="518" t="str">
        <f>IF(AND(_A2="A-330-200",'2025'!$K$4="FO",'2025'!$K$2=AI271),'2025DATA'!$F$10,"")</f>
        <v/>
      </c>
      <c r="AJ279" s="518" t="str">
        <f>IF(AND(_A2="A-330-200",'2025'!$K$4="FO",'2025'!$K$2=AJ271),'2025DATA'!$G$10,"")</f>
        <v/>
      </c>
      <c r="AK279" s="518" t="str">
        <f>IF(AND(_A2="A-330-200",'2025'!$K$4="FO",'2025'!$K$2=AK271),'2025DATA'!$H$10,"")</f>
        <v/>
      </c>
      <c r="AL279" s="518" t="str">
        <f>IF(AND(_A2="A-330-200",'2025'!$K$4="FO",'2025'!$K$2=AL271),'2025DATA'!$I$10,"")</f>
        <v/>
      </c>
      <c r="AM279" s="518" t="str">
        <f>IF(AND(_A2="A-330-200",'2025'!$K$4="FO",'2025'!$K$2=AM271),'2025DATA'!$J$10,"")</f>
        <v/>
      </c>
      <c r="AN279" s="518" t="str">
        <f>IF(AND(_A2="A-330-200",'2025'!$K$4="FO",'2025'!$K$2=AN271),'2025DATA'!$K$10,"")</f>
        <v/>
      </c>
      <c r="AO279" s="518" t="str">
        <f>IF(AND(_A2="A-330-200",'2025'!$K$4="FO",'2025'!$K$2=AO271),'2025DATA'!$L$10,"")</f>
        <v/>
      </c>
      <c r="AP279" s="518" t="str">
        <f>IF(AND(_A2="A-330-200",'2025'!$K$4="FO",'2025'!$K$2=AP271),'2025DATA'!$M$10,"")</f>
        <v/>
      </c>
      <c r="AQ279" s="520" t="str">
        <f>IF(AND(_A2="A-330-200",'2025'!$K$4="FO",'2025'!$K$2=AQ271),'2025DATA'!$N$10,"")</f>
        <v/>
      </c>
      <c r="AR279" s="940"/>
      <c r="AS279" s="13" t="s">
        <v>62</v>
      </c>
      <c r="AT279" s="518" t="str">
        <f>IF(AND(_A3="A-330-200",'2025'!$K$4="FO",'2025'!$K$2=AT271),'2025DATA'!$C$10,"")</f>
        <v/>
      </c>
      <c r="AU279" s="518" t="str">
        <f>IF(AND(_A3="A-330-200",'2025'!$K$4="FO",'2025'!$K$2=AU271),'2025DATA'!$D$10,"")</f>
        <v/>
      </c>
      <c r="AV279" s="518" t="str">
        <f>IF(AND(_A3="A-330-200",'2025'!$K$4="FO",'2025'!$K$2=AV271),'2025DATA'!$E$10,"")</f>
        <v/>
      </c>
      <c r="AW279" s="518" t="str">
        <f>IF(AND(_A3="A-330-200",'2025'!$K$4="FO",'2025'!$K$2=AW271),'2025DATA'!$F$10,"")</f>
        <v/>
      </c>
      <c r="AX279" s="518" t="str">
        <f>IF(AND(_A3="A-330-200",'2025'!$K$4="FO",'2025'!$K$2=AX271),'2025DATA'!$G$10,"")</f>
        <v/>
      </c>
      <c r="AY279" s="518" t="str">
        <f>IF(AND(_A3="A-330-200",'2025'!$K$4="FO",'2025'!$K$2=AY271),'2025DATA'!$H$10,"")</f>
        <v/>
      </c>
      <c r="AZ279" s="518" t="str">
        <f>IF(AND(_A3="A-330-200",'2025'!$K$4="FO",'2025'!$K$2=AZ271),'2025DATA'!$I$10,"")</f>
        <v/>
      </c>
      <c r="BA279" s="518" t="str">
        <f>IF(AND(_A3="A-330-200",'2025'!$K$4="FO",'2025'!$K$2=BA271),'2025DATA'!$J$10,"")</f>
        <v/>
      </c>
      <c r="BB279" s="518" t="str">
        <f>IF(AND(_A3="A-330-200",'2025'!$K$4="FO",'2025'!$K$2=BB271),'2025DATA'!$K$10,"")</f>
        <v/>
      </c>
      <c r="BC279" s="518" t="str">
        <f>IF(AND(_A3="A-330-200",'2025'!$K$4="FO",'2025'!$K$2=BC271),'2025DATA'!$L$10,"")</f>
        <v/>
      </c>
      <c r="BD279" s="518" t="str">
        <f>IF(AND(_A3="A-330-200",'2025'!$K$4="FO",'2025'!$K$2=BD271),'2025DATA'!$M$10,"")</f>
        <v/>
      </c>
      <c r="BE279" s="520" t="str">
        <f>IF(AND(_A3="A-330-200",'2025'!$K$4="FO",'2025'!$K$2=BE271),'2025DATA'!$N$10,"")</f>
        <v/>
      </c>
      <c r="BF279" s="940"/>
      <c r="BG279" s="13" t="s">
        <v>62</v>
      </c>
      <c r="BH279" s="518" t="str">
        <f>IF(AND(_A4="A-330-200",'2025'!$K$4="FO",'2025'!$K$2=BH271),'2025DATA'!$C$10,"")</f>
        <v/>
      </c>
      <c r="BI279" s="518" t="str">
        <f>IF(AND(_A4="A-330-200",'2025'!$K$4="FO",'2025'!$K$2=BI271),'2025DATA'!$D$10,"")</f>
        <v/>
      </c>
      <c r="BJ279" s="518" t="str">
        <f>IF(AND(_A4="A-330-200",'2025'!$K$4="FO",'2025'!$K$2=BJ271),'2025DATA'!$E$10,"")</f>
        <v/>
      </c>
      <c r="BK279" s="518" t="str">
        <f>IF(AND(_A4="A-330-200",'2025'!$K$4="FO",'2025'!$K$2=BK271),'2025DATA'!$F$10,"")</f>
        <v/>
      </c>
      <c r="BL279" s="518" t="str">
        <f>IF(AND(_A4="A-330-200",'2025'!$K$4="FO",'2025'!$K$2=BL271),'2025DATA'!$G$10,"")</f>
        <v/>
      </c>
      <c r="BM279" s="518" t="str">
        <f>IF(AND(_A4="A-330-200",'2025'!$K$4="FO",'2025'!$K$2=BM271),'2025DATA'!$H$10,"")</f>
        <v/>
      </c>
      <c r="BN279" s="518" t="str">
        <f>IF(AND(_A4="A-330-200",'2025'!$K$4="FO",'2025'!$K$2=BN271),'2025DATA'!$I$10,"")</f>
        <v/>
      </c>
      <c r="BO279" s="518" t="str">
        <f>IF(AND(_A4="A-330-200",'2025'!$K$4="FO",'2025'!$K$2=BO271),'2025DATA'!$J$10,"")</f>
        <v/>
      </c>
      <c r="BP279" s="518" t="str">
        <f>IF(AND(_A4="A-330-200",'2025'!$K$4="FO",'2025'!$K$2=BP271),'2025DATA'!$K$10,"")</f>
        <v/>
      </c>
      <c r="BQ279" s="518" t="str">
        <f>IF(AND(_A4="A-330-200",'2025'!$K$4="FO",'2025'!$K$2=BQ271),'2025DATA'!$L$10,"")</f>
        <v/>
      </c>
      <c r="BR279" s="518" t="str">
        <f>IF(AND(_A4="A-330-200",'2025'!$K$4="FO",'2025'!$K$2=BR271),'2025DATA'!$M$10,"")</f>
        <v/>
      </c>
      <c r="BS279" s="520" t="str">
        <f>IF(AND(_A4="A-330-200",'2025'!$K$4="FO",'2025'!$K$2=BS271),'2025DATA'!$N$10,"")</f>
        <v/>
      </c>
      <c r="BT279" s="940"/>
      <c r="BU279" s="13" t="s">
        <v>62</v>
      </c>
      <c r="BV279" s="518" t="str">
        <f>IF(AND(_A5="A-330-200",'2025'!$K$4="FO",'2025'!$K$2=BV271),'2025DATA'!$C$10,"")</f>
        <v/>
      </c>
      <c r="BW279" s="518" t="str">
        <f>IF(AND(_A5="A-330-200",'2025'!$K$4="FO",'2025'!$K$2=BW271),'2025DATA'!$D$10,"")</f>
        <v/>
      </c>
      <c r="BX279" s="518" t="str">
        <f>IF(AND(_A5="A-330-200",'2025'!$K$4="FO",'2025'!$K$2=BX271),'2025DATA'!$E$10,"")</f>
        <v/>
      </c>
      <c r="BY279" s="518" t="str">
        <f>IF(AND(_A5="A-330-200",'2025'!$K$4="FO",'2025'!$K$2=BY271),'2025DATA'!$F$10,"")</f>
        <v/>
      </c>
      <c r="BZ279" s="518" t="str">
        <f>IF(AND(_A5="A-330-200",'2025'!$K$4="FO",'2025'!$K$2=BZ271),'2025DATA'!$G$10,"")</f>
        <v/>
      </c>
      <c r="CA279" s="518" t="str">
        <f>IF(AND(_A5="A-330-200",'2025'!$K$4="FO",'2025'!$K$2=CA271),'2025DATA'!$H$10,"")</f>
        <v/>
      </c>
      <c r="CB279" s="518" t="str">
        <f>IF(AND(_A5="A-330-200",'2025'!$K$4="FO",'2025'!$K$2=CB271),'2025DATA'!$I$10,"")</f>
        <v/>
      </c>
      <c r="CC279" s="518" t="str">
        <f>IF(AND(_A5="A-330-200",'2025'!$K$4="FO",'2025'!$K$2=CC271),'2025DATA'!$J$10,"")</f>
        <v/>
      </c>
      <c r="CD279" s="518" t="str">
        <f>IF(AND(_A5="A-330-200",'2025'!$K$4="FO",'2025'!$K$2=CD271),'2025DATA'!$K$10,"")</f>
        <v/>
      </c>
      <c r="CE279" s="518" t="str">
        <f>IF(AND(_A5="A-330-200",'2025'!$K$4="FO",'2025'!$K$2=CE271),'2025DATA'!$L$10,"")</f>
        <v/>
      </c>
      <c r="CF279" s="518" t="str">
        <f>IF(AND(_A5="A-330-200",'2025'!$K$4="FO",'2025'!$K$2=CF271),'2025DATA'!$M$10,"")</f>
        <v/>
      </c>
      <c r="CG279" s="520" t="str">
        <f>IF(AND(_A5="A-330-200",'2025'!$K$4="FO",'2025'!$K$2=CG271),'2025DATA'!$N$10,"")</f>
        <v/>
      </c>
      <c r="CH279" s="940"/>
      <c r="CI279" s="13" t="s">
        <v>62</v>
      </c>
      <c r="CJ279" s="518" t="str">
        <f>IF(AND(_A6="A-330-200",'2025'!$K$4="FO",'2025'!$K$2=CJ271),'2025DATA'!$C$10,"")</f>
        <v/>
      </c>
      <c r="CK279" s="518" t="str">
        <f>IF(AND(_A6="A-330-200",'2025'!$K$4="FO",'2025'!$K$2=CK271),'2025DATA'!$D$10,"")</f>
        <v/>
      </c>
      <c r="CL279" s="518" t="str">
        <f>IF(AND(_A6="A-330-200",'2025'!$K$4="FO",'2025'!$K$2=CL271),'2025DATA'!$E$10,"")</f>
        <v/>
      </c>
      <c r="CM279" s="518" t="str">
        <f>IF(AND(_A6="A-330-200",'2025'!$K$4="FO",'2025'!$K$2=CM271),'2025DATA'!$F$10,"")</f>
        <v/>
      </c>
      <c r="CN279" s="518" t="str">
        <f>IF(AND(_A6="A-330-200",'2025'!$K$4="FO",'2025'!$K$2=CN271),'2025DATA'!$G$10,"")</f>
        <v/>
      </c>
      <c r="CO279" s="518" t="str">
        <f>IF(AND(_A6="A-330-200",'2025'!$K$4="FO",'2025'!$K$2=CO271),'2025DATA'!$H$10,"")</f>
        <v/>
      </c>
      <c r="CP279" s="518" t="str">
        <f>IF(AND(_A6="A-330-200",'2025'!$K$4="FO",'2025'!$K$2=CP271),'2025DATA'!$I$10,"")</f>
        <v/>
      </c>
      <c r="CQ279" s="518" t="str">
        <f>IF(AND(_A6="A-330-200",'2025'!$K$4="FO",'2025'!$K$2=CQ271),'2025DATA'!$J$10,"")</f>
        <v/>
      </c>
      <c r="CR279" s="518" t="str">
        <f>IF(AND(_A6="A-330-200",'2025'!$K$4="FO",'2025'!$K$2=CR271),'2025DATA'!$K$10,"")</f>
        <v/>
      </c>
      <c r="CS279" s="518" t="str">
        <f>IF(AND(_A6="A-330-200",'2025'!$K$4="FO",'2025'!$K$2=CS271),'2025DATA'!$L$10,"")</f>
        <v/>
      </c>
      <c r="CT279" s="518" t="str">
        <f>IF(AND(_A6="A-330-200",'2025'!$K$4="FO",'2025'!$K$2=CT271),'2025DATA'!$M$10,"")</f>
        <v/>
      </c>
      <c r="CU279" s="520" t="str">
        <f>IF(AND(_A6="A-330-200",'2025'!$K$4="FO",'2025'!$K$2=CU271),'2025DATA'!$N$10,"")</f>
        <v/>
      </c>
    </row>
    <row r="280" spans="16:99" x14ac:dyDescent="0.25">
      <c r="P280" s="940" t="s">
        <v>42</v>
      </c>
      <c r="Q280" s="13" t="s">
        <v>61</v>
      </c>
      <c r="R280" s="518" t="str">
        <f>IF(AND(_A1="B-767-400ER",'2025'!$K$4="CA",'2025'!$K$2=R271),'2025DATA'!$C$11,"")</f>
        <v/>
      </c>
      <c r="S280" s="518" t="str">
        <f>IF(AND(_A1="B-767-400ER",'2025'!$K$4="CA",'2025'!$K$2=S271),'2025DATA'!$D$11,"")</f>
        <v/>
      </c>
      <c r="T280" s="518" t="str">
        <f>IF(AND(_A1="B-767-400ER",'2025'!$K$4="CA",'2025'!$K$2=T271),'2025DATA'!$E$11,"")</f>
        <v/>
      </c>
      <c r="U280" s="518" t="str">
        <f>IF(AND(_A1="B-767-400ER",'2025'!$K$4="CA",'2025'!$K$2=U271),'2025DATA'!$F$11,"")</f>
        <v/>
      </c>
      <c r="V280" s="518" t="str">
        <f>IF(AND(_A1="B-767-400ER",'2025'!$K$4="CA",'2025'!$K$2=V271),'2025DATA'!$G$11,"")</f>
        <v/>
      </c>
      <c r="W280" s="518" t="str">
        <f>IF(AND(_A1="B-767-400ER",'2025'!$K$4="CA",'2025'!$K$2=W271),'2025DATA'!$H$11,"")</f>
        <v/>
      </c>
      <c r="X280" s="518" t="str">
        <f>IF(AND(_A1="B-767-400ER",'2025'!$K$4="CA",'2025'!$K$2=X271),'2025DATA'!$I$11,"")</f>
        <v/>
      </c>
      <c r="Y280" s="518" t="str">
        <f>IF(AND(_A1="B-767-400ER",'2025'!$K$4="CA",'2025'!$K$2=Y271),'2025DATA'!$J$11,"")</f>
        <v/>
      </c>
      <c r="Z280" s="518" t="str">
        <f>IF(AND(_A1="B-767-400ER",'2025'!$K$4="CA",'2025'!$K$2=Z271),'2025DATA'!$K$11,"")</f>
        <v/>
      </c>
      <c r="AA280" s="518" t="str">
        <f>IF(AND(_A1="B-767-400ER",'2025'!$K$4="CA",'2025'!$K$2=AA271),'2025DATA'!$L$11,"")</f>
        <v/>
      </c>
      <c r="AB280" s="518" t="str">
        <f>IF(AND(_A1="B-767-400ER",'2025'!$K$4="CA",'2025'!$K$2=AB271),'2025DATA'!$M$11,"")</f>
        <v/>
      </c>
      <c r="AC280" s="520" t="str">
        <f>IF(AND(_A1="B-767-400ER",'2025'!$K$4="CA",'2025'!$K$2=AC271),'2025DATA'!$N$11,"")</f>
        <v/>
      </c>
      <c r="AD280" s="940" t="s">
        <v>42</v>
      </c>
      <c r="AE280" s="13" t="s">
        <v>61</v>
      </c>
      <c r="AF280" s="518" t="str">
        <f>IF(AND(_A2="B-767-400ER",'2025'!$K$4="CA",'2025'!$K$2=AF271),'2025DATA'!$C$11,"")</f>
        <v/>
      </c>
      <c r="AG280" s="518" t="str">
        <f>IF(AND(_A2="B-767-400ER",'2025'!$K$4="CA",'2025'!$K$2=AG271),'2025DATA'!$D$11,"")</f>
        <v/>
      </c>
      <c r="AH280" s="518" t="str">
        <f>IF(AND(_A2="B-767-400ER",'2025'!$K$4="CA",'2025'!$K$2=AH271),'2025DATA'!$E$11,"")</f>
        <v/>
      </c>
      <c r="AI280" s="518" t="str">
        <f>IF(AND(_A2="B-767-400ER",'2025'!$K$4="CA",'2025'!$K$2=AI271),'2025DATA'!$F$11,"")</f>
        <v/>
      </c>
      <c r="AJ280" s="518" t="str">
        <f>IF(AND(_A2="B-767-400ER",'2025'!$K$4="CA",'2025'!$K$2=AJ271),'2025DATA'!$G$11,"")</f>
        <v/>
      </c>
      <c r="AK280" s="518" t="str">
        <f>IF(AND(_A2="B-767-400ER",'2025'!$K$4="CA",'2025'!$K$2=AK271),'2025DATA'!$H$11,"")</f>
        <v/>
      </c>
      <c r="AL280" s="518" t="str">
        <f>IF(AND(_A2="B-767-400ER",'2025'!$K$4="CA",'2025'!$K$2=AL271),'2025DATA'!$I$11,"")</f>
        <v/>
      </c>
      <c r="AM280" s="518" t="str">
        <f>IF(AND(_A2="B-767-400ER",'2025'!$K$4="CA",'2025'!$K$2=AM271),'2025DATA'!$J$11,"")</f>
        <v/>
      </c>
      <c r="AN280" s="518" t="str">
        <f>IF(AND(_A2="B-767-400ER",'2025'!$K$4="CA",'2025'!$K$2=AN271),'2025DATA'!$K$11,"")</f>
        <v/>
      </c>
      <c r="AO280" s="518" t="str">
        <f>IF(AND(_A2="B-767-400ER",'2025'!$K$4="CA",'2025'!$K$2=AO271),'2025DATA'!$L$11,"")</f>
        <v/>
      </c>
      <c r="AP280" s="518" t="str">
        <f>IF(AND(_A2="B-767-400ER",'2025'!$K$4="CA",'2025'!$K$2=AP271),'2025DATA'!$M$11,"")</f>
        <v/>
      </c>
      <c r="AQ280" s="520" t="str">
        <f>IF(AND(_A2="B-767-400ER",'2025'!$K$4="CA",'2025'!$K$2=AQ271),'2025DATA'!$N$11,"")</f>
        <v/>
      </c>
      <c r="AR280" s="940" t="s">
        <v>42</v>
      </c>
      <c r="AS280" s="13" t="s">
        <v>61</v>
      </c>
      <c r="AT280" s="518" t="str">
        <f>IF(AND(_A3="B-767-400ER",'2025'!$K$4="CA",'2025'!$K$2=AT271),'2025DATA'!$C$11,"")</f>
        <v/>
      </c>
      <c r="AU280" s="518" t="str">
        <f>IF(AND(_A3="B-767-400ER",'2025'!$K$4="CA",'2025'!$K$2=AU271),'2025DATA'!$D$11,"")</f>
        <v/>
      </c>
      <c r="AV280" s="518" t="str">
        <f>IF(AND(_A3="B-767-400ER",'2025'!$K$4="CA",'2025'!$K$2=AV271),'2025DATA'!$E$11,"")</f>
        <v/>
      </c>
      <c r="AW280" s="518" t="str">
        <f>IF(AND(_A3="B-767-400ER",'2025'!$K$4="CA",'2025'!$K$2=AW271),'2025DATA'!$F$11,"")</f>
        <v/>
      </c>
      <c r="AX280" s="518" t="str">
        <f>IF(AND(_A3="B-767-400ER",'2025'!$K$4="CA",'2025'!$K$2=AX271),'2025DATA'!$G$11,"")</f>
        <v/>
      </c>
      <c r="AY280" s="518" t="str">
        <f>IF(AND(_A3="B-767-400ER",'2025'!$K$4="CA",'2025'!$K$2=AY271),'2025DATA'!$H$11,"")</f>
        <v/>
      </c>
      <c r="AZ280" s="518" t="str">
        <f>IF(AND(_A3="B-767-400ER",'2025'!$K$4="CA",'2025'!$K$2=AZ271),'2025DATA'!$I$11,"")</f>
        <v/>
      </c>
      <c r="BA280" s="518" t="str">
        <f>IF(AND(_A3="B-767-400ER",'2025'!$K$4="CA",'2025'!$K$2=BA271),'2025DATA'!$J$11,"")</f>
        <v/>
      </c>
      <c r="BB280" s="518" t="str">
        <f>IF(AND(_A3="B-767-400ER",'2025'!$K$4="CA",'2025'!$K$2=BB271),'2025DATA'!$K$11,"")</f>
        <v/>
      </c>
      <c r="BC280" s="518" t="str">
        <f>IF(AND(_A3="B-767-400ER",'2025'!$K$4="CA",'2025'!$K$2=BC271),'2025DATA'!$L$11,"")</f>
        <v/>
      </c>
      <c r="BD280" s="518" t="str">
        <f>IF(AND(_A3="B-767-400ER",'2025'!$K$4="CA",'2025'!$K$2=BD271),'2025DATA'!$M$11,"")</f>
        <v/>
      </c>
      <c r="BE280" s="520" t="str">
        <f>IF(AND(_A3="B-767-400ER",'2025'!$K$4="CA",'2025'!$K$2=BE271),'2025DATA'!$N$11,"")</f>
        <v/>
      </c>
      <c r="BF280" s="940" t="s">
        <v>42</v>
      </c>
      <c r="BG280" s="13" t="s">
        <v>61</v>
      </c>
      <c r="BH280" s="518" t="str">
        <f>IF(AND(_A4="B-767-400ER",'2025'!$K$4="CA",'2025'!$K$2=BH271),'2025DATA'!$C$11,"")</f>
        <v/>
      </c>
      <c r="BI280" s="518" t="str">
        <f>IF(AND(_A4="B-767-400ER",'2025'!$K$4="CA",'2025'!$K$2=BI271),'2025DATA'!$D$11,"")</f>
        <v/>
      </c>
      <c r="BJ280" s="518" t="str">
        <f>IF(AND(_A4="B-767-400ER",'2025'!$K$4="CA",'2025'!$K$2=BJ271),'2025DATA'!$E$11,"")</f>
        <v/>
      </c>
      <c r="BK280" s="518" t="str">
        <f>IF(AND(_A4="B-767-400ER",'2025'!$K$4="CA",'2025'!$K$2=BK271),'2025DATA'!$F$11,"")</f>
        <v/>
      </c>
      <c r="BL280" s="518" t="str">
        <f>IF(AND(_A4="B-767-400ER",'2025'!$K$4="CA",'2025'!$K$2=BL271),'2025DATA'!$G$11,"")</f>
        <v/>
      </c>
      <c r="BM280" s="518" t="str">
        <f>IF(AND(_A4="B-767-400ER",'2025'!$K$4="CA",'2025'!$K$2=BM271),'2025DATA'!$H$11,"")</f>
        <v/>
      </c>
      <c r="BN280" s="518" t="str">
        <f>IF(AND(_A4="B-767-400ER",'2025'!$K$4="CA",'2025'!$K$2=BN271),'2025DATA'!$I$11,"")</f>
        <v/>
      </c>
      <c r="BO280" s="518" t="str">
        <f>IF(AND(_A4="B-767-400ER",'2025'!$K$4="CA",'2025'!$K$2=BO271),'2025DATA'!$J$11,"")</f>
        <v/>
      </c>
      <c r="BP280" s="518" t="str">
        <f>IF(AND(_A4="B-767-400ER",'2025'!$K$4="CA",'2025'!$K$2=BP271),'2025DATA'!$K$11,"")</f>
        <v/>
      </c>
      <c r="BQ280" s="518" t="str">
        <f>IF(AND(_A4="B-767-400ER",'2025'!$K$4="CA",'2025'!$K$2=BQ271),'2025DATA'!$L$11,"")</f>
        <v/>
      </c>
      <c r="BR280" s="518" t="str">
        <f>IF(AND(_A4="B-767-400ER",'2025'!$K$4="CA",'2025'!$K$2=BR271),'2025DATA'!$M$11,"")</f>
        <v/>
      </c>
      <c r="BS280" s="520" t="str">
        <f>IF(AND(_A4="B-767-400ER",'2025'!$K$4="CA",'2025'!$K$2=BS271),'2025DATA'!$N$11,"")</f>
        <v/>
      </c>
      <c r="BT280" s="940" t="s">
        <v>42</v>
      </c>
      <c r="BU280" s="13" t="s">
        <v>61</v>
      </c>
      <c r="BV280" s="518" t="str">
        <f>IF(AND(_A5="B-767-400ER",'2025'!$K$4="CA",'2025'!$K$2=BV271),'2025DATA'!$C$11,"")</f>
        <v/>
      </c>
      <c r="BW280" s="518" t="str">
        <f>IF(AND(_A5="B-767-400ER",'2025'!$K$4="CA",'2025'!$K$2=BW271),'2025DATA'!$D$11,"")</f>
        <v/>
      </c>
      <c r="BX280" s="518" t="str">
        <f>IF(AND(_A5="B-767-400ER",'2025'!$K$4="CA",'2025'!$K$2=BX271),'2025DATA'!$E$11,"")</f>
        <v/>
      </c>
      <c r="BY280" s="518" t="str">
        <f>IF(AND(_A5="B-767-400ER",'2025'!$K$4="CA",'2025'!$K$2=BY271),'2025DATA'!$F$11,"")</f>
        <v/>
      </c>
      <c r="BZ280" s="518" t="str">
        <f>IF(AND(_A5="B-767-400ER",'2025'!$K$4="CA",'2025'!$K$2=BZ271),'2025DATA'!$G$11,"")</f>
        <v/>
      </c>
      <c r="CA280" s="518" t="str">
        <f>IF(AND(_A5="B-767-400ER",'2025'!$K$4="CA",'2025'!$K$2=CA271),'2025DATA'!$H$11,"")</f>
        <v/>
      </c>
      <c r="CB280" s="518" t="str">
        <f>IF(AND(_A5="B-767-400ER",'2025'!$K$4="CA",'2025'!$K$2=CB271),'2025DATA'!$I$11,"")</f>
        <v/>
      </c>
      <c r="CC280" s="518" t="str">
        <f>IF(AND(_A5="B-767-400ER",'2025'!$K$4="CA",'2025'!$K$2=CC271),'2025DATA'!$J$11,"")</f>
        <v/>
      </c>
      <c r="CD280" s="518" t="str">
        <f>IF(AND(_A5="B-767-400ER",'2025'!$K$4="CA",'2025'!$K$2=CD271),'2025DATA'!$K$11,"")</f>
        <v/>
      </c>
      <c r="CE280" s="518" t="str">
        <f>IF(AND(_A5="B-767-400ER",'2025'!$K$4="CA",'2025'!$K$2=CE271),'2025DATA'!$L$11,"")</f>
        <v/>
      </c>
      <c r="CF280" s="518" t="str">
        <f>IF(AND(_A5="B-767-400ER",'2025'!$K$4="CA",'2025'!$K$2=CF271),'2025DATA'!$M$11,"")</f>
        <v/>
      </c>
      <c r="CG280" s="520" t="str">
        <f>IF(AND(_A5="B-767-400ER",'2025'!$K$4="CA",'2025'!$K$2=CG271),'2025DATA'!$N$11,"")</f>
        <v/>
      </c>
      <c r="CH280" s="940" t="s">
        <v>42</v>
      </c>
      <c r="CI280" s="13" t="s">
        <v>61</v>
      </c>
      <c r="CJ280" s="518" t="str">
        <f>IF(AND(_A6="B-767-400ER",'2025'!$K$4="CA",'2025'!$K$2=CJ271),'2025DATA'!$C$11,"")</f>
        <v/>
      </c>
      <c r="CK280" s="518" t="str">
        <f>IF(AND(_A6="B-767-400ER",'2025'!$K$4="CA",'2025'!$K$2=CK271),'2025DATA'!$D$11,"")</f>
        <v/>
      </c>
      <c r="CL280" s="518" t="str">
        <f>IF(AND(_A6="B-767-400ER",'2025'!$K$4="CA",'2025'!$K$2=CL271),'2025DATA'!$E$11,"")</f>
        <v/>
      </c>
      <c r="CM280" s="518" t="str">
        <f>IF(AND(_A6="B-767-400ER",'2025'!$K$4="CA",'2025'!$K$2=CM271),'2025DATA'!$F$11,"")</f>
        <v/>
      </c>
      <c r="CN280" s="518" t="str">
        <f>IF(AND(_A6="B-767-400ER",'2025'!$K$4="CA",'2025'!$K$2=CN271),'2025DATA'!$G$11,"")</f>
        <v/>
      </c>
      <c r="CO280" s="518" t="str">
        <f>IF(AND(_A6="B-767-400ER",'2025'!$K$4="CA",'2025'!$K$2=CO271),'2025DATA'!$H$11,"")</f>
        <v/>
      </c>
      <c r="CP280" s="518" t="str">
        <f>IF(AND(_A6="B-767-400ER",'2025'!$K$4="CA",'2025'!$K$2=CP271),'2025DATA'!$I$11,"")</f>
        <v/>
      </c>
      <c r="CQ280" s="518" t="str">
        <f>IF(AND(_A6="B-767-400ER",'2025'!$K$4="CA",'2025'!$K$2=CQ271),'2025DATA'!$J$11,"")</f>
        <v/>
      </c>
      <c r="CR280" s="518" t="str">
        <f>IF(AND(_A6="B-767-400ER",'2025'!$K$4="CA",'2025'!$K$2=CR271),'2025DATA'!$K$11,"")</f>
        <v/>
      </c>
      <c r="CS280" s="518" t="str">
        <f>IF(AND(_A6="B-767-400ER",'2025'!$K$4="CA",'2025'!$K$2=CS271),'2025DATA'!$L$11,"")</f>
        <v/>
      </c>
      <c r="CT280" s="518" t="str">
        <f>IF(AND(_A6="B-767-400ER",'2025'!$K$4="CA",'2025'!$K$2=CT271),'2025DATA'!$M$11,"")</f>
        <v/>
      </c>
      <c r="CU280" s="520" t="str">
        <f>IF(AND(_A6="B-767-400ER",'2025'!$K$4="CA",'2025'!$K$2=CU271),'2025DATA'!$N$11,"")</f>
        <v/>
      </c>
    </row>
    <row r="281" spans="16:99" x14ac:dyDescent="0.25">
      <c r="P281" s="940"/>
      <c r="Q281" s="13" t="s">
        <v>62</v>
      </c>
      <c r="R281" s="518" t="str">
        <f>IF(AND(_A1="B-767-400ER",'2025'!$K$4="FO",'2025'!$K$2=R271),'2025DATA'!$C$12,"")</f>
        <v/>
      </c>
      <c r="S281" s="518" t="str">
        <f>IF(AND(_A1="B-767-400ER",'2025'!$K$4="FO",'2025'!$K$2=S271),'2025DATA'!$D$12,"")</f>
        <v/>
      </c>
      <c r="T281" s="518" t="str">
        <f>IF(AND(_A1="B-767-400ER",'2025'!$K$4="FO",'2025'!$K$2=T271),'2025DATA'!$E$12,"")</f>
        <v/>
      </c>
      <c r="U281" s="518" t="str">
        <f>IF(AND(_A1="B-767-400ER",'2025'!$K$4="FO",'2025'!$K$2=U271),'2025DATA'!$F$12,"")</f>
        <v/>
      </c>
      <c r="V281" s="518" t="str">
        <f>IF(AND(_A1="B-767-400ER",'2025'!$K$4="FO",'2025'!$K$2=V271),'2025DATA'!$G$12,"")</f>
        <v/>
      </c>
      <c r="W281" s="518" t="str">
        <f>IF(AND(_A1="B-767-400ER",'2025'!$K$4="FO",'2025'!$K$2=W271),'2025DATA'!$H$12,"")</f>
        <v/>
      </c>
      <c r="X281" s="518" t="str">
        <f>IF(AND(_A1="B-767-400ER",'2025'!$K$4="FO",'2025'!$K$2=X271),'2025DATA'!$I$12,"")</f>
        <v/>
      </c>
      <c r="Y281" s="518" t="str">
        <f>IF(AND(_A1="B-767-400ER",'2025'!$K$4="FO",'2025'!$K$2=Y271),'2025DATA'!$J$12,"")</f>
        <v/>
      </c>
      <c r="Z281" s="518" t="str">
        <f>IF(AND(_A1="B-767-400ER",'2025'!$K$4="FO",'2025'!$K$2=Z271),'2025DATA'!$K$12,"")</f>
        <v/>
      </c>
      <c r="AA281" s="518" t="str">
        <f>IF(AND(_A1="B-767-400ER",'2025'!$K$4="FO",'2025'!$K$2=AA271),'2025DATA'!$L$12,"")</f>
        <v/>
      </c>
      <c r="AB281" s="518" t="str">
        <f>IF(AND(_A1="B-767-400ER",'2025'!$K$4="FO",'2025'!$K$2=AB271),'2025DATA'!$M$12,"")</f>
        <v/>
      </c>
      <c r="AC281" s="520" t="str">
        <f>IF(AND(_A1="B-767-400ER",'2025'!$K$4="FO",'2025'!$K$2=AC271),'2025DATA'!$N$12,"")</f>
        <v/>
      </c>
      <c r="AD281" s="940"/>
      <c r="AE281" s="13" t="s">
        <v>62</v>
      </c>
      <c r="AF281" s="518" t="str">
        <f>IF(AND(_A2="B-767-400ER",'2025'!$K$4="FO",'2025'!$K$2=AF271),'2025DATA'!$C$12,"")</f>
        <v/>
      </c>
      <c r="AG281" s="518" t="str">
        <f>IF(AND(_A2="B-767-400ER",'2025'!$K$4="FO",'2025'!$K$2=AG271),'2025DATA'!$D$12,"")</f>
        <v/>
      </c>
      <c r="AH281" s="518" t="str">
        <f>IF(AND(_A2="B-767-400ER",'2025'!$K$4="FO",'2025'!$K$2=AH271),'2025DATA'!$E$12,"")</f>
        <v/>
      </c>
      <c r="AI281" s="518" t="str">
        <f>IF(AND(_A2="B-767-400ER",'2025'!$K$4="FO",'2025'!$K$2=AI271),'2025DATA'!$F$12,"")</f>
        <v/>
      </c>
      <c r="AJ281" s="518" t="str">
        <f>IF(AND(_A2="B-767-400ER",'2025'!$K$4="FO",'2025'!$K$2=AJ271),'2025DATA'!$G$12,"")</f>
        <v/>
      </c>
      <c r="AK281" s="518" t="str">
        <f>IF(AND(_A2="B-767-400ER",'2025'!$K$4="FO",'2025'!$K$2=AK271),'2025DATA'!$H$12,"")</f>
        <v/>
      </c>
      <c r="AL281" s="518" t="str">
        <f>IF(AND(_A2="B-767-400ER",'2025'!$K$4="FO",'2025'!$K$2=AL271),'2025DATA'!$I$12,"")</f>
        <v/>
      </c>
      <c r="AM281" s="518" t="str">
        <f>IF(AND(_A2="B-767-400ER",'2025'!$K$4="FO",'2025'!$K$2=AM271),'2025DATA'!$J$12,"")</f>
        <v/>
      </c>
      <c r="AN281" s="518" t="str">
        <f>IF(AND(_A2="B-767-400ER",'2025'!$K$4="FO",'2025'!$K$2=AN271),'2025DATA'!$K$12,"")</f>
        <v/>
      </c>
      <c r="AO281" s="518" t="str">
        <f>IF(AND(_A2="B-767-400ER",'2025'!$K$4="FO",'2025'!$K$2=AO271),'2025DATA'!$L$12,"")</f>
        <v/>
      </c>
      <c r="AP281" s="518" t="str">
        <f>IF(AND(_A2="B-767-400ER",'2025'!$K$4="FO",'2025'!$K$2=AP271),'2025DATA'!$M$12,"")</f>
        <v/>
      </c>
      <c r="AQ281" s="520" t="str">
        <f>IF(AND(_A2="B-767-400ER",'2025'!$K$4="FO",'2025'!$K$2=AQ271),'2025DATA'!$N$12,"")</f>
        <v/>
      </c>
      <c r="AR281" s="940"/>
      <c r="AS281" s="13" t="s">
        <v>62</v>
      </c>
      <c r="AT281" s="518" t="str">
        <f>IF(AND(_A3="B-767-400ER",'2025'!$K$4="FO",'2025'!$K$2=AT271),'2025DATA'!$C$12,"")</f>
        <v/>
      </c>
      <c r="AU281" s="518" t="str">
        <f>IF(AND(_A3="B-767-400ER",'2025'!$K$4="FO",'2025'!$K$2=AU271),'2025DATA'!$D$12,"")</f>
        <v/>
      </c>
      <c r="AV281" s="518" t="str">
        <f>IF(AND(_A3="B-767-400ER",'2025'!$K$4="FO",'2025'!$K$2=AV271),'2025DATA'!$E$12,"")</f>
        <v/>
      </c>
      <c r="AW281" s="518" t="str">
        <f>IF(AND(_A3="B-767-400ER",'2025'!$K$4="FO",'2025'!$K$2=AW271),'2025DATA'!$F$12,"")</f>
        <v/>
      </c>
      <c r="AX281" s="518" t="str">
        <f>IF(AND(_A3="B-767-400ER",'2025'!$K$4="FO",'2025'!$K$2=AX271),'2025DATA'!$G$12,"")</f>
        <v/>
      </c>
      <c r="AY281" s="518" t="str">
        <f>IF(AND(_A3="B-767-400ER",'2025'!$K$4="FO",'2025'!$K$2=AY271),'2025DATA'!$H$12,"")</f>
        <v/>
      </c>
      <c r="AZ281" s="518" t="str">
        <f>IF(AND(_A3="B-767-400ER",'2025'!$K$4="FO",'2025'!$K$2=AZ271),'2025DATA'!$I$12,"")</f>
        <v/>
      </c>
      <c r="BA281" s="518" t="str">
        <f>IF(AND(_A3="B-767-400ER",'2025'!$K$4="FO",'2025'!$K$2=BA271),'2025DATA'!$J$12,"")</f>
        <v/>
      </c>
      <c r="BB281" s="518" t="str">
        <f>IF(AND(_A3="B-767-400ER",'2025'!$K$4="FO",'2025'!$K$2=BB271),'2025DATA'!$K$12,"")</f>
        <v/>
      </c>
      <c r="BC281" s="518" t="str">
        <f>IF(AND(_A3="B-767-400ER",'2025'!$K$4="FO",'2025'!$K$2=BC271),'2025DATA'!$L$12,"")</f>
        <v/>
      </c>
      <c r="BD281" s="518" t="str">
        <f>IF(AND(_A3="B-767-400ER",'2025'!$K$4="FO",'2025'!$K$2=BD271),'2025DATA'!$M$12,"")</f>
        <v/>
      </c>
      <c r="BE281" s="520" t="str">
        <f>IF(AND(_A3="B-767-400ER",'2025'!$K$4="FO",'2025'!$K$2=BE271),'2025DATA'!$N$12,"")</f>
        <v/>
      </c>
      <c r="BF281" s="940"/>
      <c r="BG281" s="13" t="s">
        <v>62</v>
      </c>
      <c r="BH281" s="518" t="str">
        <f>IF(AND(_A4="B-767-400ER",'2025'!$K$4="FO",'2025'!$K$2=BH271),'2025DATA'!$C$12,"")</f>
        <v/>
      </c>
      <c r="BI281" s="518" t="str">
        <f>IF(AND(_A4="B-767-400ER",'2025'!$K$4="FO",'2025'!$K$2=BI271),'2025DATA'!$D$12,"")</f>
        <v/>
      </c>
      <c r="BJ281" s="518" t="str">
        <f>IF(AND(_A4="B-767-400ER",'2025'!$K$4="FO",'2025'!$K$2=BJ271),'2025DATA'!$E$12,"")</f>
        <v/>
      </c>
      <c r="BK281" s="518" t="str">
        <f>IF(AND(_A4="B-767-400ER",'2025'!$K$4="FO",'2025'!$K$2=BK271),'2025DATA'!$F$12,"")</f>
        <v/>
      </c>
      <c r="BL281" s="518" t="str">
        <f>IF(AND(_A4="B-767-400ER",'2025'!$K$4="FO",'2025'!$K$2=BL271),'2025DATA'!$G$12,"")</f>
        <v/>
      </c>
      <c r="BM281" s="518" t="str">
        <f>IF(AND(_A4="B-767-400ER",'2025'!$K$4="FO",'2025'!$K$2=BM271),'2025DATA'!$H$12,"")</f>
        <v/>
      </c>
      <c r="BN281" s="518" t="str">
        <f>IF(AND(_A4="B-767-400ER",'2025'!$K$4="FO",'2025'!$K$2=BN271),'2025DATA'!$I$12,"")</f>
        <v/>
      </c>
      <c r="BO281" s="518" t="str">
        <f>IF(AND(_A4="B-767-400ER",'2025'!$K$4="FO",'2025'!$K$2=BO271),'2025DATA'!$J$12,"")</f>
        <v/>
      </c>
      <c r="BP281" s="518" t="str">
        <f>IF(AND(_A4="B-767-400ER",'2025'!$K$4="FO",'2025'!$K$2=BP271),'2025DATA'!$K$12,"")</f>
        <v/>
      </c>
      <c r="BQ281" s="518" t="str">
        <f>IF(AND(_A4="B-767-400ER",'2025'!$K$4="FO",'2025'!$K$2=BQ271),'2025DATA'!$L$12,"")</f>
        <v/>
      </c>
      <c r="BR281" s="518" t="str">
        <f>IF(AND(_A4="B-767-400ER",'2025'!$K$4="FO",'2025'!$K$2=BR271),'2025DATA'!$M$12,"")</f>
        <v/>
      </c>
      <c r="BS281" s="520" t="str">
        <f>IF(AND(_A4="B-767-400ER",'2025'!$K$4="FO",'2025'!$K$2=BS271),'2025DATA'!$N$12,"")</f>
        <v/>
      </c>
      <c r="BT281" s="940"/>
      <c r="BU281" s="13" t="s">
        <v>62</v>
      </c>
      <c r="BV281" s="518" t="str">
        <f>IF(AND(_A5="B-767-400ER",'2025'!$K$4="FO",'2025'!$K$2=BV271),'2025DATA'!$C$12,"")</f>
        <v/>
      </c>
      <c r="BW281" s="518" t="str">
        <f>IF(AND(_A5="B-767-400ER",'2025'!$K$4="FO",'2025'!$K$2=BW271),'2025DATA'!$D$12,"")</f>
        <v/>
      </c>
      <c r="BX281" s="518" t="str">
        <f>IF(AND(_A5="B-767-400ER",'2025'!$K$4="FO",'2025'!$K$2=BX271),'2025DATA'!$E$12,"")</f>
        <v/>
      </c>
      <c r="BY281" s="518" t="str">
        <f>IF(AND(_A5="B-767-400ER",'2025'!$K$4="FO",'2025'!$K$2=BY271),'2025DATA'!$F$12,"")</f>
        <v/>
      </c>
      <c r="BZ281" s="518" t="str">
        <f>IF(AND(_A5="B-767-400ER",'2025'!$K$4="FO",'2025'!$K$2=BZ271),'2025DATA'!$G$12,"")</f>
        <v/>
      </c>
      <c r="CA281" s="518" t="str">
        <f>IF(AND(_A5="B-767-400ER",'2025'!$K$4="FO",'2025'!$K$2=CA271),'2025DATA'!$H$12,"")</f>
        <v/>
      </c>
      <c r="CB281" s="518" t="str">
        <f>IF(AND(_A5="B-767-400ER",'2025'!$K$4="FO",'2025'!$K$2=CB271),'2025DATA'!$I$12,"")</f>
        <v/>
      </c>
      <c r="CC281" s="518" t="str">
        <f>IF(AND(_A5="B-767-400ER",'2025'!$K$4="FO",'2025'!$K$2=CC271),'2025DATA'!$J$12,"")</f>
        <v/>
      </c>
      <c r="CD281" s="518" t="str">
        <f>IF(AND(_A5="B-767-400ER",'2025'!$K$4="FO",'2025'!$K$2=CD271),'2025DATA'!$K$12,"")</f>
        <v/>
      </c>
      <c r="CE281" s="518" t="str">
        <f>IF(AND(_A5="B-767-400ER",'2025'!$K$4="FO",'2025'!$K$2=CE271),'2025DATA'!$L$12,"")</f>
        <v/>
      </c>
      <c r="CF281" s="518" t="str">
        <f>IF(AND(_A5="B-767-400ER",'2025'!$K$4="FO",'2025'!$K$2=CF271),'2025DATA'!$M$12,"")</f>
        <v/>
      </c>
      <c r="CG281" s="520" t="str">
        <f>IF(AND(_A5="B-767-400ER",'2025'!$K$4="FO",'2025'!$K$2=CG271),'2025DATA'!$N$12,"")</f>
        <v/>
      </c>
      <c r="CH281" s="940"/>
      <c r="CI281" s="13" t="s">
        <v>62</v>
      </c>
      <c r="CJ281" s="518" t="str">
        <f>IF(AND(_A6="B-767-400ER",'2025'!$K$4="FO",'2025'!$K$2=CJ271),'2025DATA'!$C$12,"")</f>
        <v/>
      </c>
      <c r="CK281" s="518" t="str">
        <f>IF(AND(_A6="B-767-400ER",'2025'!$K$4="FO",'2025'!$K$2=CK271),'2025DATA'!$D$12,"")</f>
        <v/>
      </c>
      <c r="CL281" s="518" t="str">
        <f>IF(AND(_A6="B-767-400ER",'2025'!$K$4="FO",'2025'!$K$2=CL271),'2025DATA'!$E$12,"")</f>
        <v/>
      </c>
      <c r="CM281" s="518" t="str">
        <f>IF(AND(_A6="B-767-400ER",'2025'!$K$4="FO",'2025'!$K$2=CM271),'2025DATA'!$F$12,"")</f>
        <v/>
      </c>
      <c r="CN281" s="518" t="str">
        <f>IF(AND(_A6="B-767-400ER",'2025'!$K$4="FO",'2025'!$K$2=CN271),'2025DATA'!$G$12,"")</f>
        <v/>
      </c>
      <c r="CO281" s="518" t="str">
        <f>IF(AND(_A6="B-767-400ER",'2025'!$K$4="FO",'2025'!$K$2=CO271),'2025DATA'!$H$12,"")</f>
        <v/>
      </c>
      <c r="CP281" s="518" t="str">
        <f>IF(AND(_A6="B-767-400ER",'2025'!$K$4="FO",'2025'!$K$2=CP271),'2025DATA'!$I$12,"")</f>
        <v/>
      </c>
      <c r="CQ281" s="518" t="str">
        <f>IF(AND(_A6="B-767-400ER",'2025'!$K$4="FO",'2025'!$K$2=CQ271),'2025DATA'!$J$12,"")</f>
        <v/>
      </c>
      <c r="CR281" s="518" t="str">
        <f>IF(AND(_A6="B-767-400ER",'2025'!$K$4="FO",'2025'!$K$2=CR271),'2025DATA'!$K$12,"")</f>
        <v/>
      </c>
      <c r="CS281" s="518" t="str">
        <f>IF(AND(_A6="B-767-400ER",'2025'!$K$4="FO",'2025'!$K$2=CS271),'2025DATA'!$L$12,"")</f>
        <v/>
      </c>
      <c r="CT281" s="518" t="str">
        <f>IF(AND(_A6="B-767-400ER",'2025'!$K$4="FO",'2025'!$K$2=CT271),'2025DATA'!$M$12,"")</f>
        <v/>
      </c>
      <c r="CU281" s="520" t="str">
        <f>IF(AND(_A6="B-767-400ER",'2025'!$K$4="FO",'2025'!$K$2=CU271),'2025DATA'!$N$12,"")</f>
        <v/>
      </c>
    </row>
    <row r="282" spans="16:99" x14ac:dyDescent="0.25">
      <c r="P282" s="940" t="s">
        <v>43</v>
      </c>
      <c r="Q282" s="13" t="s">
        <v>61</v>
      </c>
      <c r="R282" s="518" t="str">
        <f>IF(AND(_A1="B-767-300ER",'2025'!$K$4="CA",'2025'!$K$2=R271),'2025DATA'!$C$13,"")</f>
        <v/>
      </c>
      <c r="S282" s="518" t="str">
        <f>IF(AND(_A1="B-767-300ER",'2025'!$K$4="CA",'2025'!$K$2=S271),'2025DATA'!$D$13,"")</f>
        <v/>
      </c>
      <c r="T282" s="518" t="str">
        <f>IF(AND(_A1="B-767-300ER",'2025'!$K$4="CA",'2025'!$K$2=T271),'2025DATA'!$E$13,"")</f>
        <v/>
      </c>
      <c r="U282" s="518" t="str">
        <f>IF(AND(_A1="B-767-300ER",'2025'!$K$4="CA",'2025'!$K$2=U271),'2025DATA'!$F$13,"")</f>
        <v/>
      </c>
      <c r="V282" s="518" t="str">
        <f>IF(AND(_A1="B-767-300ER",'2025'!$K$4="CA",'2025'!$K$2=V271),'2025DATA'!$G$13,"")</f>
        <v/>
      </c>
      <c r="W282" s="518" t="str">
        <f>IF(AND(_A1="B-767-300ER",'2025'!$K$4="CA",'2025'!$K$2=W271),'2025DATA'!$H$13,"")</f>
        <v/>
      </c>
      <c r="X282" s="518" t="str">
        <f>IF(AND(_A1="B-767-300ER",'2025'!$K$4="CA",'2025'!$K$2=X271),'2025DATA'!$I$13,"")</f>
        <v/>
      </c>
      <c r="Y282" s="518" t="str">
        <f>IF(AND(_A1="B-767-300ER",'2025'!$K$4="CA",'2025'!$K$2=Y271),'2025DATA'!$J$13,"")</f>
        <v/>
      </c>
      <c r="Z282" s="518" t="str">
        <f>IF(AND(_A1="B-767-300ER",'2025'!$K$4="CA",'2025'!$K$2=Z271),'2025DATA'!$K$13,"")</f>
        <v/>
      </c>
      <c r="AA282" s="518" t="str">
        <f>IF(AND(_A1="B-767-300ER",'2025'!$K$4="CA",'2025'!$K$2=AA271),'2025DATA'!$L$13,"")</f>
        <v/>
      </c>
      <c r="AB282" s="518" t="str">
        <f>IF(AND(_A1="B-767-300ER",'2025'!$K$4="CA",'2025'!$K$2=AB271),'2025DATA'!$M$13,"")</f>
        <v/>
      </c>
      <c r="AC282" s="520" t="str">
        <f>IF(AND(_A1="B-767-300ER",'2025'!$K$4="CA",'2025'!$K$2=AC271),'2025DATA'!$N$13,"")</f>
        <v/>
      </c>
      <c r="AD282" s="940" t="s">
        <v>43</v>
      </c>
      <c r="AE282" s="13" t="s">
        <v>61</v>
      </c>
      <c r="AF282" s="518" t="str">
        <f>IF(AND(_A2="B-767-300ER",'2025'!$K$4="CA",'2025'!$K$2=AF271),'2025DATA'!$C$13,"")</f>
        <v/>
      </c>
      <c r="AG282" s="518" t="str">
        <f>IF(AND(_A2="B-767-300ER",'2025'!$K$4="CA",'2025'!$K$2=AG271),'2025DATA'!$D$13,"")</f>
        <v/>
      </c>
      <c r="AH282" s="518" t="str">
        <f>IF(AND(_A2="B-767-300ER",'2025'!$K$4="CA",'2025'!$K$2=AH271),'2025DATA'!$E$13,"")</f>
        <v/>
      </c>
      <c r="AI282" s="518" t="str">
        <f>IF(AND(_A2="B-767-300ER",'2025'!$K$4="CA",'2025'!$K$2=AI271),'2025DATA'!$F$13,"")</f>
        <v/>
      </c>
      <c r="AJ282" s="518" t="str">
        <f>IF(AND(_A2="B-767-300ER",'2025'!$K$4="CA",'2025'!$K$2=AJ271),'2025DATA'!$G$13,"")</f>
        <v/>
      </c>
      <c r="AK282" s="518" t="str">
        <f>IF(AND(_A2="B-767-300ER",'2025'!$K$4="CA",'2025'!$K$2=AK271),'2025DATA'!$H$13,"")</f>
        <v/>
      </c>
      <c r="AL282" s="518" t="str">
        <f>IF(AND(_A2="B-767-300ER",'2025'!$K$4="CA",'2025'!$K$2=AL271),'2025DATA'!$I$13,"")</f>
        <v/>
      </c>
      <c r="AM282" s="518" t="str">
        <f>IF(AND(_A2="B-767-300ER",'2025'!$K$4="CA",'2025'!$K$2=AM271),'2025DATA'!$J$13,"")</f>
        <v/>
      </c>
      <c r="AN282" s="518" t="str">
        <f>IF(AND(_A2="B-767-300ER",'2025'!$K$4="CA",'2025'!$K$2=AN271),'2025DATA'!$K$13,"")</f>
        <v/>
      </c>
      <c r="AO282" s="518" t="str">
        <f>IF(AND(_A2="B-767-300ER",'2025'!$K$4="CA",'2025'!$K$2=AO271),'2025DATA'!$L$13,"")</f>
        <v/>
      </c>
      <c r="AP282" s="518" t="str">
        <f>IF(AND(_A2="B-767-300ER",'2025'!$K$4="CA",'2025'!$K$2=AP271),'2025DATA'!$M$13,"")</f>
        <v/>
      </c>
      <c r="AQ282" s="520" t="str">
        <f>IF(AND(_A2="B-767-300ER",'2025'!$K$4="CA",'2025'!$K$2=AQ271),'2025DATA'!$N$13,"")</f>
        <v/>
      </c>
      <c r="AR282" s="940" t="s">
        <v>43</v>
      </c>
      <c r="AS282" s="13" t="s">
        <v>61</v>
      </c>
      <c r="AT282" s="518" t="str">
        <f>IF(AND(_A3="B-767-300ER",'2025'!$K$4="CA",'2025'!$K$2=AT271),'2025DATA'!$C$13,"")</f>
        <v/>
      </c>
      <c r="AU282" s="518" t="str">
        <f>IF(AND(_A3="B-767-300ER",'2025'!$K$4="CA",'2025'!$K$2=AU271),'2025DATA'!$D$13,"")</f>
        <v/>
      </c>
      <c r="AV282" s="518" t="str">
        <f>IF(AND(_A3="B-767-300ER",'2025'!$K$4="CA",'2025'!$K$2=AV271),'2025DATA'!$E$13,"")</f>
        <v/>
      </c>
      <c r="AW282" s="518" t="str">
        <f>IF(AND(_A3="B-767-300ER",'2025'!$K$4="CA",'2025'!$K$2=AW271),'2025DATA'!$F$13,"")</f>
        <v/>
      </c>
      <c r="AX282" s="518" t="str">
        <f>IF(AND(_A3="B-767-300ER",'2025'!$K$4="CA",'2025'!$K$2=AX271),'2025DATA'!$G$13,"")</f>
        <v/>
      </c>
      <c r="AY282" s="518" t="str">
        <f>IF(AND(_A3="B-767-300ER",'2025'!$K$4="CA",'2025'!$K$2=AY271),'2025DATA'!$H$13,"")</f>
        <v/>
      </c>
      <c r="AZ282" s="518" t="str">
        <f>IF(AND(_A3="B-767-300ER",'2025'!$K$4="CA",'2025'!$K$2=AZ271),'2025DATA'!$I$13,"")</f>
        <v/>
      </c>
      <c r="BA282" s="518" t="str">
        <f>IF(AND(_A3="B-767-300ER",'2025'!$K$4="CA",'2025'!$K$2=BA271),'2025DATA'!$J$13,"")</f>
        <v/>
      </c>
      <c r="BB282" s="518" t="str">
        <f>IF(AND(_A3="B-767-300ER",'2025'!$K$4="CA",'2025'!$K$2=BB271),'2025DATA'!$K$13,"")</f>
        <v/>
      </c>
      <c r="BC282" s="518" t="str">
        <f>IF(AND(_A3="B-767-300ER",'2025'!$K$4="CA",'2025'!$K$2=BC271),'2025DATA'!$L$13,"")</f>
        <v/>
      </c>
      <c r="BD282" s="518" t="str">
        <f>IF(AND(_A3="B-767-300ER",'2025'!$K$4="CA",'2025'!$K$2=BD271),'2025DATA'!$M$13,"")</f>
        <v/>
      </c>
      <c r="BE282" s="520" t="str">
        <f>IF(AND(_A3="B-767-300ER",'2025'!$K$4="CA",'2025'!$K$2=BE271),'2025DATA'!$N$13,"")</f>
        <v/>
      </c>
      <c r="BF282" s="940" t="s">
        <v>43</v>
      </c>
      <c r="BG282" s="13" t="s">
        <v>61</v>
      </c>
      <c r="BH282" s="518" t="str">
        <f>IF(AND(_A4="B-767-300ER",'2025'!$K$4="CA",'2025'!$K$2=BH271),'2025DATA'!$C$13,"")</f>
        <v/>
      </c>
      <c r="BI282" s="518" t="str">
        <f>IF(AND(_A4="B-767-300ER",'2025'!$K$4="CA",'2025'!$K$2=BI271),'2025DATA'!$D$13,"")</f>
        <v/>
      </c>
      <c r="BJ282" s="518" t="str">
        <f>IF(AND(_A4="B-767-300ER",'2025'!$K$4="CA",'2025'!$K$2=BJ271),'2025DATA'!$E$13,"")</f>
        <v/>
      </c>
      <c r="BK282" s="518" t="str">
        <f>IF(AND(_A4="B-767-300ER",'2025'!$K$4="CA",'2025'!$K$2=BK271),'2025DATA'!$F$13,"")</f>
        <v/>
      </c>
      <c r="BL282" s="518" t="str">
        <f>IF(AND(_A4="B-767-300ER",'2025'!$K$4="CA",'2025'!$K$2=BL271),'2025DATA'!$G$13,"")</f>
        <v/>
      </c>
      <c r="BM282" s="518" t="str">
        <f>IF(AND(_A4="B-767-300ER",'2025'!$K$4="CA",'2025'!$K$2=BM271),'2025DATA'!$H$13,"")</f>
        <v/>
      </c>
      <c r="BN282" s="518" t="str">
        <f>IF(AND(_A4="B-767-300ER",'2025'!$K$4="CA",'2025'!$K$2=BN271),'2025DATA'!$I$13,"")</f>
        <v/>
      </c>
      <c r="BO282" s="518" t="str">
        <f>IF(AND(_A4="B-767-300ER",'2025'!$K$4="CA",'2025'!$K$2=BO271),'2025DATA'!$J$13,"")</f>
        <v/>
      </c>
      <c r="BP282" s="518" t="str">
        <f>IF(AND(_A4="B-767-300ER",'2025'!$K$4="CA",'2025'!$K$2=BP271),'2025DATA'!$K$13,"")</f>
        <v/>
      </c>
      <c r="BQ282" s="518" t="str">
        <f>IF(AND(_A4="B-767-300ER",'2025'!$K$4="CA",'2025'!$K$2=BQ271),'2025DATA'!$L$13,"")</f>
        <v/>
      </c>
      <c r="BR282" s="518" t="str">
        <f>IF(AND(_A4="B-767-300ER",'2025'!$K$4="CA",'2025'!$K$2=BR271),'2025DATA'!$M$13,"")</f>
        <v/>
      </c>
      <c r="BS282" s="520" t="str">
        <f>IF(AND(_A4="B-767-300ER",'2025'!$K$4="CA",'2025'!$K$2=BS271),'2025DATA'!$N$13,"")</f>
        <v/>
      </c>
      <c r="BT282" s="940" t="s">
        <v>43</v>
      </c>
      <c r="BU282" s="13" t="s">
        <v>61</v>
      </c>
      <c r="BV282" s="518" t="str">
        <f>IF(AND(_A5="B-767-300ER",'2025'!$K$4="CA",'2025'!$K$2=BV271),'2025DATA'!$C$13,"")</f>
        <v/>
      </c>
      <c r="BW282" s="518" t="str">
        <f>IF(AND(_A5="B-767-300ER",'2025'!$K$4="CA",'2025'!$K$2=BW271),'2025DATA'!$D$13,"")</f>
        <v/>
      </c>
      <c r="BX282" s="518" t="str">
        <f>IF(AND(_A5="B-767-300ER",'2025'!$K$4="CA",'2025'!$K$2=BX271),'2025DATA'!$E$13,"")</f>
        <v/>
      </c>
      <c r="BY282" s="518" t="str">
        <f>IF(AND(_A5="B-767-300ER",'2025'!$K$4="CA",'2025'!$K$2=BY271),'2025DATA'!$F$13,"")</f>
        <v/>
      </c>
      <c r="BZ282" s="518" t="str">
        <f>IF(AND(_A5="B-767-300ER",'2025'!$K$4="CA",'2025'!$K$2=BZ271),'2025DATA'!$G$13,"")</f>
        <v/>
      </c>
      <c r="CA282" s="518" t="str">
        <f>IF(AND(_A5="B-767-300ER",'2025'!$K$4="CA",'2025'!$K$2=CA271),'2025DATA'!$H$13,"")</f>
        <v/>
      </c>
      <c r="CB282" s="518" t="str">
        <f>IF(AND(_A5="B-767-300ER",'2025'!$K$4="CA",'2025'!$K$2=CB271),'2025DATA'!$I$13,"")</f>
        <v/>
      </c>
      <c r="CC282" s="518" t="str">
        <f>IF(AND(_A5="B-767-300ER",'2025'!$K$4="CA",'2025'!$K$2=CC271),'2025DATA'!$J$13,"")</f>
        <v/>
      </c>
      <c r="CD282" s="518" t="str">
        <f>IF(AND(_A5="B-767-300ER",'2025'!$K$4="CA",'2025'!$K$2=CD271),'2025DATA'!$K$13,"")</f>
        <v/>
      </c>
      <c r="CE282" s="518" t="str">
        <f>IF(AND(_A5="B-767-300ER",'2025'!$K$4="CA",'2025'!$K$2=CE271),'2025DATA'!$L$13,"")</f>
        <v/>
      </c>
      <c r="CF282" s="518" t="str">
        <f>IF(AND(_A5="B-767-300ER",'2025'!$K$4="CA",'2025'!$K$2=CF271),'2025DATA'!$M$13,"")</f>
        <v/>
      </c>
      <c r="CG282" s="520" t="str">
        <f>IF(AND(_A5="B-767-300ER",'2025'!$K$4="CA",'2025'!$K$2=CG271),'2025DATA'!$N$13,"")</f>
        <v/>
      </c>
      <c r="CH282" s="940" t="s">
        <v>43</v>
      </c>
      <c r="CI282" s="13" t="s">
        <v>61</v>
      </c>
      <c r="CJ282" s="518" t="str">
        <f>IF(AND(_A6="B-767-300ER",'2025'!$K$4="CA",'2025'!$K$2=CJ271),'2025DATA'!$C$13,"")</f>
        <v/>
      </c>
      <c r="CK282" s="518" t="str">
        <f>IF(AND(_A6="B-767-300ER",'2025'!$K$4="CA",'2025'!$K$2=CK271),'2025DATA'!$D$13,"")</f>
        <v/>
      </c>
      <c r="CL282" s="518" t="str">
        <f>IF(AND(_A6="B-767-300ER",'2025'!$K$4="CA",'2025'!$K$2=CL271),'2025DATA'!$E$13,"")</f>
        <v/>
      </c>
      <c r="CM282" s="518" t="str">
        <f>IF(AND(_A6="B-767-300ER",'2025'!$K$4="CA",'2025'!$K$2=CM271),'2025DATA'!$F$13,"")</f>
        <v/>
      </c>
      <c r="CN282" s="518" t="str">
        <f>IF(AND(_A6="B-767-300ER",'2025'!$K$4="CA",'2025'!$K$2=CN271),'2025DATA'!$G$13,"")</f>
        <v/>
      </c>
      <c r="CO282" s="518" t="str">
        <f>IF(AND(_A6="B-767-300ER",'2025'!$K$4="CA",'2025'!$K$2=CO271),'2025DATA'!$H$13,"")</f>
        <v/>
      </c>
      <c r="CP282" s="518" t="str">
        <f>IF(AND(_A6="B-767-300ER",'2025'!$K$4="CA",'2025'!$K$2=CP271),'2025DATA'!$I$13,"")</f>
        <v/>
      </c>
      <c r="CQ282" s="518" t="str">
        <f>IF(AND(_A6="B-767-300ER",'2025'!$K$4="CA",'2025'!$K$2=CQ271),'2025DATA'!$J$13,"")</f>
        <v/>
      </c>
      <c r="CR282" s="518" t="str">
        <f>IF(AND(_A6="B-767-300ER",'2025'!$K$4="CA",'2025'!$K$2=CR271),'2025DATA'!$K$13,"")</f>
        <v/>
      </c>
      <c r="CS282" s="518" t="str">
        <f>IF(AND(_A6="B-767-300ER",'2025'!$K$4="CA",'2025'!$K$2=CS271),'2025DATA'!$L$13,"")</f>
        <v/>
      </c>
      <c r="CT282" s="518" t="str">
        <f>IF(AND(_A6="B-767-300ER",'2025'!$K$4="CA",'2025'!$K$2=CT271),'2025DATA'!$M$13,"")</f>
        <v/>
      </c>
      <c r="CU282" s="520" t="str">
        <f>IF(AND(_A6="B-767-300ER",'2025'!$K$4="CA",'2025'!$K$2=CU271),'2025DATA'!$N$13,"")</f>
        <v/>
      </c>
    </row>
    <row r="283" spans="16:99" x14ac:dyDescent="0.25">
      <c r="P283" s="940"/>
      <c r="Q283" s="13" t="s">
        <v>62</v>
      </c>
      <c r="R283" s="518" t="str">
        <f>IF(AND(_A1="B-767-300ER",'2025'!$K$4="FO",'2025'!$K$2=R271),'2025DATA'!$C$14,"")</f>
        <v/>
      </c>
      <c r="S283" s="518" t="str">
        <f>IF(AND(_A1="B-767-300ER",'2025'!$K$4="FO",'2025'!$K$2=S271),'2025DATA'!$D$14,"")</f>
        <v/>
      </c>
      <c r="T283" s="518" t="str">
        <f>IF(AND(_A1="B-767-300ER",'2025'!$K$4="FO",'2025'!$K$2=T271),'2025DATA'!$E$14,"")</f>
        <v/>
      </c>
      <c r="U283" s="518" t="str">
        <f>IF(AND(_A1="B-767-300ER",'2025'!$K$4="FO",'2025'!$K$2=U271),'2025DATA'!$F$14,"")</f>
        <v/>
      </c>
      <c r="V283" s="518" t="str">
        <f>IF(AND(_A1="B-767-300ER",'2025'!$K$4="FO",'2025'!$K$2=V271),'2025DATA'!$G$14,"")</f>
        <v/>
      </c>
      <c r="W283" s="518" t="str">
        <f>IF(AND(_A1="B-767-300ER",'2025'!$K$4="FO",'2025'!$K$2=W271),'2025DATA'!$H$14,"")</f>
        <v/>
      </c>
      <c r="X283" s="518" t="str">
        <f>IF(AND(_A1="B-767-300ER",'2025'!$K$4="FO",'2025'!$K$2=X271),'2025DATA'!$I$14,"")</f>
        <v/>
      </c>
      <c r="Y283" s="518" t="str">
        <f>IF(AND(_A1="B-767-300ER",'2025'!$K$4="FO",'2025'!$K$2=Y271),'2025DATA'!$J$14,"")</f>
        <v/>
      </c>
      <c r="Z283" s="518" t="str">
        <f>IF(AND(_A1="B-767-300ER",'2025'!$K$4="FO",'2025'!$K$2=Z271),'2025DATA'!$K$14,"")</f>
        <v/>
      </c>
      <c r="AA283" s="518" t="str">
        <f>IF(AND(_A1="B-767-300ER",'2025'!$K$4="FO",'2025'!$K$2=AA271),'2025DATA'!$L$14,"")</f>
        <v/>
      </c>
      <c r="AB283" s="518" t="str">
        <f>IF(AND(_A1="B-767-300ER",'2025'!$K$4="FO",'2025'!$K$2=AB271),'2025DATA'!$M$14,"")</f>
        <v/>
      </c>
      <c r="AC283" s="520" t="str">
        <f>IF(AND(_A1="B-767-300ER",'2025'!$K$4="FO",'2025'!$K$2=AC271),'2025DATA'!$N$14,"")</f>
        <v/>
      </c>
      <c r="AD283" s="940"/>
      <c r="AE283" s="13" t="s">
        <v>62</v>
      </c>
      <c r="AF283" s="518" t="str">
        <f>IF(AND(_A2="B-767-300ER",'2025'!$K$4="FO",'2025'!$K$2=AF271),'2025DATA'!$C$14,"")</f>
        <v/>
      </c>
      <c r="AG283" s="518" t="str">
        <f>IF(AND(_A2="B-767-300ER",'2025'!$K$4="FO",'2025'!$K$2=AG271),'2025DATA'!$D$14,"")</f>
        <v/>
      </c>
      <c r="AH283" s="518" t="str">
        <f>IF(AND(_A2="B-767-300ER",'2025'!$K$4="FO",'2025'!$K$2=AH271),'2025DATA'!$E$14,"")</f>
        <v/>
      </c>
      <c r="AI283" s="518" t="str">
        <f>IF(AND(_A2="B-767-300ER",'2025'!$K$4="FO",'2025'!$K$2=AI271),'2025DATA'!$F$14,"")</f>
        <v/>
      </c>
      <c r="AJ283" s="518" t="str">
        <f>IF(AND(_A2="B-767-300ER",'2025'!$K$4="FO",'2025'!$K$2=AJ271),'2025DATA'!$G$14,"")</f>
        <v/>
      </c>
      <c r="AK283" s="518" t="str">
        <f>IF(AND(_A2="B-767-300ER",'2025'!$K$4="FO",'2025'!$K$2=AK271),'2025DATA'!$H$14,"")</f>
        <v/>
      </c>
      <c r="AL283" s="518" t="str">
        <f>IF(AND(_A2="B-767-300ER",'2025'!$K$4="FO",'2025'!$K$2=AL271),'2025DATA'!$I$14,"")</f>
        <v/>
      </c>
      <c r="AM283" s="518" t="str">
        <f>IF(AND(_A2="B-767-300ER",'2025'!$K$4="FO",'2025'!$K$2=AM271),'2025DATA'!$J$14,"")</f>
        <v/>
      </c>
      <c r="AN283" s="518" t="str">
        <f>IF(AND(_A2="B-767-300ER",'2025'!$K$4="FO",'2025'!$K$2=AN271),'2025DATA'!$K$14,"")</f>
        <v/>
      </c>
      <c r="AO283" s="518" t="str">
        <f>IF(AND(_A2="B-767-300ER",'2025'!$K$4="FO",'2025'!$K$2=AO271),'2025DATA'!$L$14,"")</f>
        <v/>
      </c>
      <c r="AP283" s="518" t="str">
        <f>IF(AND(_A2="B-767-300ER",'2025'!$K$4="FO",'2025'!$K$2=AP271),'2025DATA'!$M$14,"")</f>
        <v/>
      </c>
      <c r="AQ283" s="520" t="str">
        <f>IF(AND(_A2="B-767-300ER",'2025'!$K$4="FO",'2025'!$K$2=AQ271),'2025DATA'!$N$14,"")</f>
        <v/>
      </c>
      <c r="AR283" s="940"/>
      <c r="AS283" s="13" t="s">
        <v>62</v>
      </c>
      <c r="AT283" s="518" t="str">
        <f>IF(AND(_A3="B-767-300ER",'2025'!$K$4="FO",'2025'!$K$2=AT271),'2025DATA'!$C$14,"")</f>
        <v/>
      </c>
      <c r="AU283" s="518" t="str">
        <f>IF(AND(_A3="B-767-300ER",'2025'!$K$4="FO",'2025'!$K$2=AU271),'2025DATA'!$D$14,"")</f>
        <v/>
      </c>
      <c r="AV283" s="518" t="str">
        <f>IF(AND(_A3="B-767-300ER",'2025'!$K$4="FO",'2025'!$K$2=AV271),'2025DATA'!$E$14,"")</f>
        <v/>
      </c>
      <c r="AW283" s="518" t="str">
        <f>IF(AND(_A3="B-767-300ER",'2025'!$K$4="FO",'2025'!$K$2=AW271),'2025DATA'!$F$14,"")</f>
        <v/>
      </c>
      <c r="AX283" s="518" t="str">
        <f>IF(AND(_A3="B-767-300ER",'2025'!$K$4="FO",'2025'!$K$2=AX271),'2025DATA'!$G$14,"")</f>
        <v/>
      </c>
      <c r="AY283" s="518" t="str">
        <f>IF(AND(_A3="B-767-300ER",'2025'!$K$4="FO",'2025'!$K$2=AY271),'2025DATA'!$H$14,"")</f>
        <v/>
      </c>
      <c r="AZ283" s="518" t="str">
        <f>IF(AND(_A3="B-767-300ER",'2025'!$K$4="FO",'2025'!$K$2=AZ271),'2025DATA'!$I$14,"")</f>
        <v/>
      </c>
      <c r="BA283" s="518" t="str">
        <f>IF(AND(_A3="B-767-300ER",'2025'!$K$4="FO",'2025'!$K$2=BA271),'2025DATA'!$J$14,"")</f>
        <v/>
      </c>
      <c r="BB283" s="518" t="str">
        <f>IF(AND(_A3="B-767-300ER",'2025'!$K$4="FO",'2025'!$K$2=BB271),'2025DATA'!$K$14,"")</f>
        <v/>
      </c>
      <c r="BC283" s="518" t="str">
        <f>IF(AND(_A3="B-767-300ER",'2025'!$K$4="FO",'2025'!$K$2=BC271),'2025DATA'!$L$14,"")</f>
        <v/>
      </c>
      <c r="BD283" s="518" t="str">
        <f>IF(AND(_A3="B-767-300ER",'2025'!$K$4="FO",'2025'!$K$2=BD271),'2025DATA'!$M$14,"")</f>
        <v/>
      </c>
      <c r="BE283" s="520" t="str">
        <f>IF(AND(_A3="B-767-300ER",'2025'!$K$4="FO",'2025'!$K$2=BE271),'2025DATA'!$N$14,"")</f>
        <v/>
      </c>
      <c r="BF283" s="940"/>
      <c r="BG283" s="13" t="s">
        <v>62</v>
      </c>
      <c r="BH283" s="518" t="str">
        <f>IF(AND(_A4="B-767-300ER",'2025'!$K$4="FO",'2025'!$K$2=BH271),'2025DATA'!$C$14,"")</f>
        <v/>
      </c>
      <c r="BI283" s="518" t="str">
        <f>IF(AND(_A4="B-767-300ER",'2025'!$K$4="FO",'2025'!$K$2=BI271),'2025DATA'!$D$14,"")</f>
        <v/>
      </c>
      <c r="BJ283" s="518" t="str">
        <f>IF(AND(_A4="B-767-300ER",'2025'!$K$4="FO",'2025'!$K$2=BJ271),'2025DATA'!$E$14,"")</f>
        <v/>
      </c>
      <c r="BK283" s="518" t="str">
        <f>IF(AND(_A4="B-767-300ER",'2025'!$K$4="FO",'2025'!$K$2=BK271),'2025DATA'!$F$14,"")</f>
        <v/>
      </c>
      <c r="BL283" s="518" t="str">
        <f>IF(AND(_A4="B-767-300ER",'2025'!$K$4="FO",'2025'!$K$2=BL271),'2025DATA'!$G$14,"")</f>
        <v/>
      </c>
      <c r="BM283" s="518" t="str">
        <f>IF(AND(_A4="B-767-300ER",'2025'!$K$4="FO",'2025'!$K$2=BM271),'2025DATA'!$H$14,"")</f>
        <v/>
      </c>
      <c r="BN283" s="518" t="str">
        <f>IF(AND(_A4="B-767-300ER",'2025'!$K$4="FO",'2025'!$K$2=BN271),'2025DATA'!$I$14,"")</f>
        <v/>
      </c>
      <c r="BO283" s="518" t="str">
        <f>IF(AND(_A4="B-767-300ER",'2025'!$K$4="FO",'2025'!$K$2=BO271),'2025DATA'!$J$14,"")</f>
        <v/>
      </c>
      <c r="BP283" s="518" t="str">
        <f>IF(AND(_A4="B-767-300ER",'2025'!$K$4="FO",'2025'!$K$2=BP271),'2025DATA'!$K$14,"")</f>
        <v/>
      </c>
      <c r="BQ283" s="518" t="str">
        <f>IF(AND(_A4="B-767-300ER",'2025'!$K$4="FO",'2025'!$K$2=BQ271),'2025DATA'!$L$14,"")</f>
        <v/>
      </c>
      <c r="BR283" s="518" t="str">
        <f>IF(AND(_A4="B-767-300ER",'2025'!$K$4="FO",'2025'!$K$2=BR271),'2025DATA'!$M$14,"")</f>
        <v/>
      </c>
      <c r="BS283" s="520" t="str">
        <f>IF(AND(_A4="B-767-300ER",'2025'!$K$4="FO",'2025'!$K$2=BS271),'2025DATA'!$N$14,"")</f>
        <v/>
      </c>
      <c r="BT283" s="940"/>
      <c r="BU283" s="13" t="s">
        <v>62</v>
      </c>
      <c r="BV283" s="518" t="str">
        <f>IF(AND(_A5="B-767-300ER",'2025'!$K$4="FO",'2025'!$K$2=BV271),'2025DATA'!$C$14,"")</f>
        <v/>
      </c>
      <c r="BW283" s="518" t="str">
        <f>IF(AND(_A5="B-767-300ER",'2025'!$K$4="FO",'2025'!$K$2=BW271),'2025DATA'!$D$14,"")</f>
        <v/>
      </c>
      <c r="BX283" s="518" t="str">
        <f>IF(AND(_A5="B-767-300ER",'2025'!$K$4="FO",'2025'!$K$2=BX271),'2025DATA'!$E$14,"")</f>
        <v/>
      </c>
      <c r="BY283" s="518" t="str">
        <f>IF(AND(_A5="B-767-300ER",'2025'!$K$4="FO",'2025'!$K$2=BY271),'2025DATA'!$F$14,"")</f>
        <v/>
      </c>
      <c r="BZ283" s="518" t="str">
        <f>IF(AND(_A5="B-767-300ER",'2025'!$K$4="FO",'2025'!$K$2=BZ271),'2025DATA'!$G$14,"")</f>
        <v/>
      </c>
      <c r="CA283" s="518" t="str">
        <f>IF(AND(_A5="B-767-300ER",'2025'!$K$4="FO",'2025'!$K$2=CA271),'2025DATA'!$H$14,"")</f>
        <v/>
      </c>
      <c r="CB283" s="518" t="str">
        <f>IF(AND(_A5="B-767-300ER",'2025'!$K$4="FO",'2025'!$K$2=CB271),'2025DATA'!$I$14,"")</f>
        <v/>
      </c>
      <c r="CC283" s="518" t="str">
        <f>IF(AND(_A5="B-767-300ER",'2025'!$K$4="FO",'2025'!$K$2=CC271),'2025DATA'!$J$14,"")</f>
        <v/>
      </c>
      <c r="CD283" s="518" t="str">
        <f>IF(AND(_A5="B-767-300ER",'2025'!$K$4="FO",'2025'!$K$2=CD271),'2025DATA'!$K$14,"")</f>
        <v/>
      </c>
      <c r="CE283" s="518" t="str">
        <f>IF(AND(_A5="B-767-300ER",'2025'!$K$4="FO",'2025'!$K$2=CE271),'2025DATA'!$L$14,"")</f>
        <v/>
      </c>
      <c r="CF283" s="518" t="str">
        <f>IF(AND(_A5="B-767-300ER",'2025'!$K$4="FO",'2025'!$K$2=CF271),'2025DATA'!$M$14,"")</f>
        <v/>
      </c>
      <c r="CG283" s="520" t="str">
        <f>IF(AND(_A5="B-767-300ER",'2025'!$K$4="FO",'2025'!$K$2=CG271),'2025DATA'!$N$14,"")</f>
        <v/>
      </c>
      <c r="CH283" s="940"/>
      <c r="CI283" s="13" t="s">
        <v>62</v>
      </c>
      <c r="CJ283" s="518" t="str">
        <f>IF(AND(_A6="B-767-300ER",'2025'!$K$4="FO",'2025'!$K$2=CJ271),'2025DATA'!$C$14,"")</f>
        <v/>
      </c>
      <c r="CK283" s="518" t="str">
        <f>IF(AND(_A6="B-767-300ER",'2025'!$K$4="FO",'2025'!$K$2=CK271),'2025DATA'!$D$14,"")</f>
        <v/>
      </c>
      <c r="CL283" s="518" t="str">
        <f>IF(AND(_A6="B-767-300ER",'2025'!$K$4="FO",'2025'!$K$2=CL271),'2025DATA'!$E$14,"")</f>
        <v/>
      </c>
      <c r="CM283" s="518" t="str">
        <f>IF(AND(_A6="B-767-300ER",'2025'!$K$4="FO",'2025'!$K$2=CM271),'2025DATA'!$F$14,"")</f>
        <v/>
      </c>
      <c r="CN283" s="518" t="str">
        <f>IF(AND(_A6="B-767-300ER",'2025'!$K$4="FO",'2025'!$K$2=CN271),'2025DATA'!$G$14,"")</f>
        <v/>
      </c>
      <c r="CO283" s="518" t="str">
        <f>IF(AND(_A6="B-767-300ER",'2025'!$K$4="FO",'2025'!$K$2=CO271),'2025DATA'!$H$14,"")</f>
        <v/>
      </c>
      <c r="CP283" s="518" t="str">
        <f>IF(AND(_A6="B-767-300ER",'2025'!$K$4="FO",'2025'!$K$2=CP271),'2025DATA'!$I$14,"")</f>
        <v/>
      </c>
      <c r="CQ283" s="518" t="str">
        <f>IF(AND(_A6="B-767-300ER",'2025'!$K$4="FO",'2025'!$K$2=CQ271),'2025DATA'!$J$14,"")</f>
        <v/>
      </c>
      <c r="CR283" s="518" t="str">
        <f>IF(AND(_A6="B-767-300ER",'2025'!$K$4="FO",'2025'!$K$2=CR271),'2025DATA'!$K$14,"")</f>
        <v/>
      </c>
      <c r="CS283" s="518" t="str">
        <f>IF(AND(_A6="B-767-300ER",'2025'!$K$4="FO",'2025'!$K$2=CS271),'2025DATA'!$L$14,"")</f>
        <v/>
      </c>
      <c r="CT283" s="518" t="str">
        <f>IF(AND(_A6="B-767-300ER",'2025'!$K$4="FO",'2025'!$K$2=CT271),'2025DATA'!$M$14,"")</f>
        <v/>
      </c>
      <c r="CU283" s="520" t="str">
        <f>IF(AND(_A6="B-767-300ER",'2025'!$K$4="FO",'2025'!$K$2=CU271),'2025DATA'!$N$14,"")</f>
        <v/>
      </c>
    </row>
    <row r="284" spans="16:99" x14ac:dyDescent="0.25">
      <c r="P284" s="940" t="s">
        <v>67</v>
      </c>
      <c r="Q284" s="13" t="s">
        <v>61</v>
      </c>
      <c r="R284" s="518" t="str">
        <f>IF(AND(_A1="B-767-300",'2025'!$K$4="CA",'2025'!$K$2=R271),'2025DATA'!$C$15,"")</f>
        <v/>
      </c>
      <c r="S284" s="518" t="str">
        <f>IF(AND(_A1="B-767-300",'2025'!$K$4="CA",'2025'!$K$2=S271),'2025DATA'!$D$15,"")</f>
        <v/>
      </c>
      <c r="T284" s="518" t="str">
        <f>IF(AND(_A1="B-767-300",'2025'!$K$4="CA",'2025'!$K$2=T271),'2025DATA'!$E$15,"")</f>
        <v/>
      </c>
      <c r="U284" s="518" t="str">
        <f>IF(AND(_A1="B-767-300",'2025'!$K$4="CA",'2025'!$K$2=U271),'2025DATA'!$F$15,"")</f>
        <v/>
      </c>
      <c r="V284" s="518" t="str">
        <f>IF(AND(_A1="B-767-300",'2025'!$K$4="CA",'2025'!$K$2=V271),'2025DATA'!$G$15,"")</f>
        <v/>
      </c>
      <c r="W284" s="518" t="str">
        <f>IF(AND(_A1="B-767-300",'2025'!$K$4="CA",'2025'!$K$2=W271),'2025DATA'!$H$15,"")</f>
        <v/>
      </c>
      <c r="X284" s="518" t="str">
        <f>IF(AND(_A1="B-767-300",'2025'!$K$4="CA",'2025'!$K$2=X271),'2025DATA'!$I$15,"")</f>
        <v/>
      </c>
      <c r="Y284" s="518" t="str">
        <f>IF(AND(_A1="B-767-300",'2025'!$K$4="CA",'2025'!$K$2=Y271),'2025DATA'!$J$15,"")</f>
        <v/>
      </c>
      <c r="Z284" s="518" t="str">
        <f>IF(AND(_A1="B-767-300",'2025'!$K$4="CA",'2025'!$K$2=Z271),'2025DATA'!$K$15,"")</f>
        <v/>
      </c>
      <c r="AA284" s="518" t="str">
        <f>IF(AND(_A1="B-767-300",'2025'!$K$4="CA",'2025'!$K$2=AA271),'2025DATA'!$L$15,"")</f>
        <v/>
      </c>
      <c r="AB284" s="518" t="str">
        <f>IF(AND(_A1="B-767-300",'2025'!$K$4="CA",'2025'!$K$2=AB271),'2025DATA'!$M$15,"")</f>
        <v/>
      </c>
      <c r="AC284" s="520" t="str">
        <f>IF(AND(_A1="B-767-300",'2025'!$K$4="CA",'2025'!$K$2=AC271),'2025DATA'!$N$15,"")</f>
        <v/>
      </c>
      <c r="AD284" s="940" t="s">
        <v>67</v>
      </c>
      <c r="AE284" s="13" t="s">
        <v>61</v>
      </c>
      <c r="AF284" s="518" t="str">
        <f>IF(AND(_A2="B-767-300",'2025'!$K$4="CA",'2025'!$K$2=AF271),'2025DATA'!$C$15,"")</f>
        <v/>
      </c>
      <c r="AG284" s="518" t="str">
        <f>IF(AND(_A2="B-767-300",'2025'!$K$4="CA",'2025'!$K$2=AG271),'2025DATA'!$D$15,"")</f>
        <v/>
      </c>
      <c r="AH284" s="518" t="str">
        <f>IF(AND(_A2="B-767-300",'2025'!$K$4="CA",'2025'!$K$2=AH271),'2025DATA'!$E$15,"")</f>
        <v/>
      </c>
      <c r="AI284" s="518" t="str">
        <f>IF(AND(_A2="B-767-300",'2025'!$K$4="CA",'2025'!$K$2=AI271),'2025DATA'!$F$15,"")</f>
        <v/>
      </c>
      <c r="AJ284" s="518" t="str">
        <f>IF(AND(_A2="B-767-300",'2025'!$K$4="CA",'2025'!$K$2=AJ271),'2025DATA'!$G$15,"")</f>
        <v/>
      </c>
      <c r="AK284" s="518" t="str">
        <f>IF(AND(_A2="B-767-300",'2025'!$K$4="CA",'2025'!$K$2=AK271),'2025DATA'!$H$15,"")</f>
        <v/>
      </c>
      <c r="AL284" s="518" t="str">
        <f>IF(AND(_A2="B-767-300",'2025'!$K$4="CA",'2025'!$K$2=AL271),'2025DATA'!$I$15,"")</f>
        <v/>
      </c>
      <c r="AM284" s="518" t="str">
        <f>IF(AND(_A2="B-767-300",'2025'!$K$4="CA",'2025'!$K$2=AM271),'2025DATA'!$J$15,"")</f>
        <v/>
      </c>
      <c r="AN284" s="518" t="str">
        <f>IF(AND(_A2="B-767-300",'2025'!$K$4="CA",'2025'!$K$2=AN271),'2025DATA'!$K$15,"")</f>
        <v/>
      </c>
      <c r="AO284" s="518" t="str">
        <f>IF(AND(_A2="B-767-300",'2025'!$K$4="CA",'2025'!$K$2=AO271),'2025DATA'!$L$15,"")</f>
        <v/>
      </c>
      <c r="AP284" s="518" t="str">
        <f>IF(AND(_A2="B-767-300",'2025'!$K$4="CA",'2025'!$K$2=AP271),'2025DATA'!$M$15,"")</f>
        <v/>
      </c>
      <c r="AQ284" s="520" t="str">
        <f>IF(AND(_A2="B-767-300",'2025'!$K$4="CA",'2025'!$K$2=AQ271),'2025DATA'!$N$15,"")</f>
        <v/>
      </c>
      <c r="AR284" s="940" t="s">
        <v>67</v>
      </c>
      <c r="AS284" s="13" t="s">
        <v>61</v>
      </c>
      <c r="AT284" s="518" t="str">
        <f>IF(AND(_A3="B-767-300",'2025'!$K$4="CA",'2025'!$K$2=AT271),'2025DATA'!$C$15,"")</f>
        <v/>
      </c>
      <c r="AU284" s="518" t="str">
        <f>IF(AND(_A3="B-767-300",'2025'!$K$4="CA",'2025'!$K$2=AU271),'2025DATA'!$D$15,"")</f>
        <v/>
      </c>
      <c r="AV284" s="518" t="str">
        <f>IF(AND(_A3="B-767-300",'2025'!$K$4="CA",'2025'!$K$2=AV271),'2025DATA'!$E$15,"")</f>
        <v/>
      </c>
      <c r="AW284" s="518" t="str">
        <f>IF(AND(_A3="B-767-300",'2025'!$K$4="CA",'2025'!$K$2=AW271),'2025DATA'!$F$15,"")</f>
        <v/>
      </c>
      <c r="AX284" s="518" t="str">
        <f>IF(AND(_A3="B-767-300",'2025'!$K$4="CA",'2025'!$K$2=AX271),'2025DATA'!$G$15,"")</f>
        <v/>
      </c>
      <c r="AY284" s="518" t="str">
        <f>IF(AND(_A3="B-767-300",'2025'!$K$4="CA",'2025'!$K$2=AY271),'2025DATA'!$H$15,"")</f>
        <v/>
      </c>
      <c r="AZ284" s="518" t="str">
        <f>IF(AND(_A3="B-767-300",'2025'!$K$4="CA",'2025'!$K$2=AZ271),'2025DATA'!$I$15,"")</f>
        <v/>
      </c>
      <c r="BA284" s="518" t="str">
        <f>IF(AND(_A3="B-767-300",'2025'!$K$4="CA",'2025'!$K$2=BA271),'2025DATA'!$J$15,"")</f>
        <v/>
      </c>
      <c r="BB284" s="518" t="str">
        <f>IF(AND(_A3="B-767-300",'2025'!$K$4="CA",'2025'!$K$2=BB271),'2025DATA'!$K$15,"")</f>
        <v/>
      </c>
      <c r="BC284" s="518" t="str">
        <f>IF(AND(_A3="B-767-300",'2025'!$K$4="CA",'2025'!$K$2=BC271),'2025DATA'!$L$15,"")</f>
        <v/>
      </c>
      <c r="BD284" s="518" t="str">
        <f>IF(AND(_A3="B-767-300",'2025'!$K$4="CA",'2025'!$K$2=BD271),'2025DATA'!$M$15,"")</f>
        <v/>
      </c>
      <c r="BE284" s="520" t="str">
        <f>IF(AND(_A3="B-767-300",'2025'!$K$4="CA",'2025'!$K$2=BE271),'2025DATA'!$N$15,"")</f>
        <v/>
      </c>
      <c r="BF284" s="940" t="s">
        <v>67</v>
      </c>
      <c r="BG284" s="13" t="s">
        <v>61</v>
      </c>
      <c r="BH284" s="518" t="str">
        <f>IF(AND(_A4="B-767-300",'2025'!$K$4="CA",'2025'!$K$2=BH271),'2025DATA'!$C$15,"")</f>
        <v/>
      </c>
      <c r="BI284" s="518" t="str">
        <f>IF(AND(_A4="B-767-300",'2025'!$K$4="CA",'2025'!$K$2=BI271),'2025DATA'!$D$15,"")</f>
        <v/>
      </c>
      <c r="BJ284" s="518" t="str">
        <f>IF(AND(_A4="B-767-300",'2025'!$K$4="CA",'2025'!$K$2=BJ271),'2025DATA'!$E$15,"")</f>
        <v/>
      </c>
      <c r="BK284" s="518" t="str">
        <f>IF(AND(_A4="B-767-300",'2025'!$K$4="CA",'2025'!$K$2=BK271),'2025DATA'!$F$15,"")</f>
        <v/>
      </c>
      <c r="BL284" s="518" t="str">
        <f>IF(AND(_A4="B-767-300",'2025'!$K$4="CA",'2025'!$K$2=BL271),'2025DATA'!$G$15,"")</f>
        <v/>
      </c>
      <c r="BM284" s="518" t="str">
        <f>IF(AND(_A4="B-767-300",'2025'!$K$4="CA",'2025'!$K$2=BM271),'2025DATA'!$H$15,"")</f>
        <v/>
      </c>
      <c r="BN284" s="518" t="str">
        <f>IF(AND(_A4="B-767-300",'2025'!$K$4="CA",'2025'!$K$2=BN271),'2025DATA'!$I$15,"")</f>
        <v/>
      </c>
      <c r="BO284" s="518" t="str">
        <f>IF(AND(_A4="B-767-300",'2025'!$K$4="CA",'2025'!$K$2=BO271),'2025DATA'!$J$15,"")</f>
        <v/>
      </c>
      <c r="BP284" s="518" t="str">
        <f>IF(AND(_A4="B-767-300",'2025'!$K$4="CA",'2025'!$K$2=BP271),'2025DATA'!$K$15,"")</f>
        <v/>
      </c>
      <c r="BQ284" s="518" t="str">
        <f>IF(AND(_A4="B-767-300",'2025'!$K$4="CA",'2025'!$K$2=BQ271),'2025DATA'!$L$15,"")</f>
        <v/>
      </c>
      <c r="BR284" s="518" t="str">
        <f>IF(AND(_A4="B-767-300",'2025'!$K$4="CA",'2025'!$K$2=BR271),'2025DATA'!$M$15,"")</f>
        <v/>
      </c>
      <c r="BS284" s="520" t="str">
        <f>IF(AND(_A4="B-767-300",'2025'!$K$4="CA",'2025'!$K$2=BS271),'2025DATA'!$N$15,"")</f>
        <v/>
      </c>
      <c r="BT284" s="940" t="s">
        <v>67</v>
      </c>
      <c r="BU284" s="13" t="s">
        <v>61</v>
      </c>
      <c r="BV284" s="518" t="str">
        <f>IF(AND(_A5="B-767-300",'2025'!$K$4="CA",'2025'!$K$2=BV271),'2025DATA'!$C$15,"")</f>
        <v/>
      </c>
      <c r="BW284" s="518" t="str">
        <f>IF(AND(_A5="B-767-300",'2025'!$K$4="CA",'2025'!$K$2=BW271),'2025DATA'!$D$15,"")</f>
        <v/>
      </c>
      <c r="BX284" s="518" t="str">
        <f>IF(AND(_A5="B-767-300",'2025'!$K$4="CA",'2025'!$K$2=BX271),'2025DATA'!$E$15,"")</f>
        <v/>
      </c>
      <c r="BY284" s="518" t="str">
        <f>IF(AND(_A5="B-767-300",'2025'!$K$4="CA",'2025'!$K$2=BY271),'2025DATA'!$F$15,"")</f>
        <v/>
      </c>
      <c r="BZ284" s="518" t="str">
        <f>IF(AND(_A5="B-767-300",'2025'!$K$4="CA",'2025'!$K$2=BZ271),'2025DATA'!$G$15,"")</f>
        <v/>
      </c>
      <c r="CA284" s="518" t="str">
        <f>IF(AND(_A5="B-767-300",'2025'!$K$4="CA",'2025'!$K$2=CA271),'2025DATA'!$H$15,"")</f>
        <v/>
      </c>
      <c r="CB284" s="518" t="str">
        <f>IF(AND(_A5="B-767-300",'2025'!$K$4="CA",'2025'!$K$2=CB271),'2025DATA'!$I$15,"")</f>
        <v/>
      </c>
      <c r="CC284" s="518" t="str">
        <f>IF(AND(_A5="B-767-300",'2025'!$K$4="CA",'2025'!$K$2=CC271),'2025DATA'!$J$15,"")</f>
        <v/>
      </c>
      <c r="CD284" s="518" t="str">
        <f>IF(AND(_A5="B-767-300",'2025'!$K$4="CA",'2025'!$K$2=CD271),'2025DATA'!$K$15,"")</f>
        <v/>
      </c>
      <c r="CE284" s="518" t="str">
        <f>IF(AND(_A5="B-767-300",'2025'!$K$4="CA",'2025'!$K$2=CE271),'2025DATA'!$L$15,"")</f>
        <v/>
      </c>
      <c r="CF284" s="518" t="str">
        <f>IF(AND(_A5="B-767-300",'2025'!$K$4="CA",'2025'!$K$2=CF271),'2025DATA'!$M$15,"")</f>
        <v/>
      </c>
      <c r="CG284" s="520" t="str">
        <f>IF(AND(_A5="B-767-300",'2025'!$K$4="CA",'2025'!$K$2=CG271),'2025DATA'!$N$15,"")</f>
        <v/>
      </c>
      <c r="CH284" s="940" t="s">
        <v>67</v>
      </c>
      <c r="CI284" s="13" t="s">
        <v>61</v>
      </c>
      <c r="CJ284" s="518" t="str">
        <f>IF(AND(_A6="B-767-300",'2025'!$K$4="CA",'2025'!$K$2=CJ271),'2025DATA'!$C$15,"")</f>
        <v/>
      </c>
      <c r="CK284" s="518" t="str">
        <f>IF(AND(_A6="B-767-300",'2025'!$K$4="CA",'2025'!$K$2=CK271),'2025DATA'!$D$15,"")</f>
        <v/>
      </c>
      <c r="CL284" s="518" t="str">
        <f>IF(AND(_A6="B-767-300",'2025'!$K$4="CA",'2025'!$K$2=CL271),'2025DATA'!$E$15,"")</f>
        <v/>
      </c>
      <c r="CM284" s="518" t="str">
        <f>IF(AND(_A6="B-767-300",'2025'!$K$4="CA",'2025'!$K$2=CM271),'2025DATA'!$F$15,"")</f>
        <v/>
      </c>
      <c r="CN284" s="518" t="str">
        <f>IF(AND(_A6="B-767-300",'2025'!$K$4="CA",'2025'!$K$2=CN271),'2025DATA'!$G$15,"")</f>
        <v/>
      </c>
      <c r="CO284" s="518" t="str">
        <f>IF(AND(_A6="B-767-300",'2025'!$K$4="CA",'2025'!$K$2=CO271),'2025DATA'!$H$15,"")</f>
        <v/>
      </c>
      <c r="CP284" s="518" t="str">
        <f>IF(AND(_A6="B-767-300",'2025'!$K$4="CA",'2025'!$K$2=CP271),'2025DATA'!$I$15,"")</f>
        <v/>
      </c>
      <c r="CQ284" s="518" t="str">
        <f>IF(AND(_A6="B-767-300",'2025'!$K$4="CA",'2025'!$K$2=CQ271),'2025DATA'!$J$15,"")</f>
        <v/>
      </c>
      <c r="CR284" s="518" t="str">
        <f>IF(AND(_A6="B-767-300",'2025'!$K$4="CA",'2025'!$K$2=CR271),'2025DATA'!$K$15,"")</f>
        <v/>
      </c>
      <c r="CS284" s="518" t="str">
        <f>IF(AND(_A6="B-767-300",'2025'!$K$4="CA",'2025'!$K$2=CS271),'2025DATA'!$L$15,"")</f>
        <v/>
      </c>
      <c r="CT284" s="518" t="str">
        <f>IF(AND(_A6="B-767-300",'2025'!$K$4="CA",'2025'!$K$2=CT271),'2025DATA'!$M$15,"")</f>
        <v/>
      </c>
      <c r="CU284" s="520" t="str">
        <f>IF(AND(_A6="B-767-300",'2025'!$K$4="CA",'2025'!$K$2=CU271),'2025DATA'!$N$15,"")</f>
        <v/>
      </c>
    </row>
    <row r="285" spans="16:99" x14ac:dyDescent="0.25">
      <c r="P285" s="940"/>
      <c r="Q285" s="13" t="s">
        <v>62</v>
      </c>
      <c r="R285" s="518" t="str">
        <f>IF(AND(_A1="B-767-300",'2025'!$K$4="FO",'2025'!$K$2=R271),'2025DATA'!$C$16,"")</f>
        <v/>
      </c>
      <c r="S285" s="518" t="str">
        <f>IF(AND(_A1="B-767-300",'2025'!$K$4="FO",'2025'!$K$2=S271),'2025DATA'!$D$16,"")</f>
        <v/>
      </c>
      <c r="T285" s="518" t="str">
        <f>IF(AND(_A1="B-767-300",'2025'!$K$4="FO",'2025'!$K$2=T271),'2025DATA'!$E$16,"")</f>
        <v/>
      </c>
      <c r="U285" s="518" t="str">
        <f>IF(AND(_A1="B-767-300",'2025'!$K$4="FO",'2025'!$K$2=U271),'2025DATA'!$F$16,"")</f>
        <v/>
      </c>
      <c r="V285" s="518" t="str">
        <f>IF(AND(_A1="B-767-300",'2025'!$K$4="FO",'2025'!$K$2=V271),'2025DATA'!$G$16,"")</f>
        <v/>
      </c>
      <c r="W285" s="518" t="str">
        <f>IF(AND(_A1="B-767-300",'2025'!$K$4="FO",'2025'!$K$2=W271),'2025DATA'!$H$16,"")</f>
        <v/>
      </c>
      <c r="X285" s="518" t="str">
        <f>IF(AND(_A1="B-767-300",'2025'!$K$4="FO",'2025'!$K$2=X271),'2025DATA'!$I$16,"")</f>
        <v/>
      </c>
      <c r="Y285" s="518" t="str">
        <f>IF(AND(_A1="B-767-300",'2025'!$K$4="FO",'2025'!$K$2=Y271),'2025DATA'!$J$16,"")</f>
        <v/>
      </c>
      <c r="Z285" s="518" t="str">
        <f>IF(AND(_A1="B-767-300",'2025'!$K$4="FO",'2025'!$K$2=Z271),'2025DATA'!$K$16,"")</f>
        <v/>
      </c>
      <c r="AA285" s="518" t="str">
        <f>IF(AND(_A1="B-767-300",'2025'!$K$4="FO",'2025'!$K$2=AA271),'2025DATA'!$L$16,"")</f>
        <v/>
      </c>
      <c r="AB285" s="518" t="str">
        <f>IF(AND(_A1="B-767-300",'2025'!$K$4="FO",'2025'!$K$2=AB271),'2025DATA'!$M$16,"")</f>
        <v/>
      </c>
      <c r="AC285" s="520" t="str">
        <f>IF(AND(_A1="B-767-300",'2025'!$K$4="FO",'2025'!$K$2=AC271),'2025DATA'!$N$16,"")</f>
        <v/>
      </c>
      <c r="AD285" s="940"/>
      <c r="AE285" s="13" t="s">
        <v>62</v>
      </c>
      <c r="AF285" s="518" t="str">
        <f>IF(AND(_A2="B-767-300",'2025'!$K$4="FO",'2025'!$K$2=AF271),'2025DATA'!$C$16,"")</f>
        <v/>
      </c>
      <c r="AG285" s="518" t="str">
        <f>IF(AND(_A2="B-767-300",'2025'!$K$4="FO",'2025'!$K$2=AG271),'2025DATA'!$D$16,"")</f>
        <v/>
      </c>
      <c r="AH285" s="518" t="str">
        <f>IF(AND(_A2="B-767-300",'2025'!$K$4="FO",'2025'!$K$2=AH271),'2025DATA'!$E$16,"")</f>
        <v/>
      </c>
      <c r="AI285" s="518" t="str">
        <f>IF(AND(_A2="B-767-300",'2025'!$K$4="FO",'2025'!$K$2=AI271),'2025DATA'!$F$16,"")</f>
        <v/>
      </c>
      <c r="AJ285" s="518" t="str">
        <f>IF(AND(_A2="B-767-300",'2025'!$K$4="FO",'2025'!$K$2=AJ271),'2025DATA'!$G$16,"")</f>
        <v/>
      </c>
      <c r="AK285" s="518" t="str">
        <f>IF(AND(_A2="B-767-300",'2025'!$K$4="FO",'2025'!$K$2=AK271),'2025DATA'!$H$16,"")</f>
        <v/>
      </c>
      <c r="AL285" s="518" t="str">
        <f>IF(AND(_A2="B-767-300",'2025'!$K$4="FO",'2025'!$K$2=AL271),'2025DATA'!$I$16,"")</f>
        <v/>
      </c>
      <c r="AM285" s="518" t="str">
        <f>IF(AND(_A2="B-767-300",'2025'!$K$4="FO",'2025'!$K$2=AM271),'2025DATA'!$J$16,"")</f>
        <v/>
      </c>
      <c r="AN285" s="518" t="str">
        <f>IF(AND(_A2="B-767-300",'2025'!$K$4="FO",'2025'!$K$2=AN271),'2025DATA'!$K$16,"")</f>
        <v/>
      </c>
      <c r="AO285" s="518" t="str">
        <f>IF(AND(_A2="B-767-300",'2025'!$K$4="FO",'2025'!$K$2=AO271),'2025DATA'!$L$16,"")</f>
        <v/>
      </c>
      <c r="AP285" s="518" t="str">
        <f>IF(AND(_A2="B-767-300",'2025'!$K$4="FO",'2025'!$K$2=AP271),'2025DATA'!$M$16,"")</f>
        <v/>
      </c>
      <c r="AQ285" s="520" t="str">
        <f>IF(AND(_A2="B-767-300",'2025'!$K$4="FO",'2025'!$K$2=AQ271),'2025DATA'!$N$16,"")</f>
        <v/>
      </c>
      <c r="AR285" s="940"/>
      <c r="AS285" s="13" t="s">
        <v>62</v>
      </c>
      <c r="AT285" s="518" t="str">
        <f>IF(AND(_A3="B-767-300",'2025'!$K$4="FO",'2025'!$K$2=AT271),'2025DATA'!$C$16,"")</f>
        <v/>
      </c>
      <c r="AU285" s="518" t="str">
        <f>IF(AND(_A3="B-767-300",'2025'!$K$4="FO",'2025'!$K$2=AU271),'2025DATA'!$D$16,"")</f>
        <v/>
      </c>
      <c r="AV285" s="518" t="str">
        <f>IF(AND(_A3="B-767-300",'2025'!$K$4="FO",'2025'!$K$2=AV271),'2025DATA'!$E$16,"")</f>
        <v/>
      </c>
      <c r="AW285" s="518" t="str">
        <f>IF(AND(_A3="B-767-300",'2025'!$K$4="FO",'2025'!$K$2=AW271),'2025DATA'!$F$16,"")</f>
        <v/>
      </c>
      <c r="AX285" s="518" t="str">
        <f>IF(AND(_A3="B-767-300",'2025'!$K$4="FO",'2025'!$K$2=AX271),'2025DATA'!$G$16,"")</f>
        <v/>
      </c>
      <c r="AY285" s="518" t="str">
        <f>IF(AND(_A3="B-767-300",'2025'!$K$4="FO",'2025'!$K$2=AY271),'2025DATA'!$H$16,"")</f>
        <v/>
      </c>
      <c r="AZ285" s="518" t="str">
        <f>IF(AND(_A3="B-767-300",'2025'!$K$4="FO",'2025'!$K$2=AZ271),'2025DATA'!$I$16,"")</f>
        <v/>
      </c>
      <c r="BA285" s="518" t="str">
        <f>IF(AND(_A3="B-767-300",'2025'!$K$4="FO",'2025'!$K$2=BA271),'2025DATA'!$J$16,"")</f>
        <v/>
      </c>
      <c r="BB285" s="518" t="str">
        <f>IF(AND(_A3="B-767-300",'2025'!$K$4="FO",'2025'!$K$2=BB271),'2025DATA'!$K$16,"")</f>
        <v/>
      </c>
      <c r="BC285" s="518" t="str">
        <f>IF(AND(_A3="B-767-300",'2025'!$K$4="FO",'2025'!$K$2=BC271),'2025DATA'!$L$16,"")</f>
        <v/>
      </c>
      <c r="BD285" s="518" t="str">
        <f>IF(AND(_A3="B-767-300",'2025'!$K$4="FO",'2025'!$K$2=BD271),'2025DATA'!$M$16,"")</f>
        <v/>
      </c>
      <c r="BE285" s="520" t="str">
        <f>IF(AND(_A3="B-767-300",'2025'!$K$4="FO",'2025'!$K$2=BE271),'2025DATA'!$N$16,"")</f>
        <v/>
      </c>
      <c r="BF285" s="940"/>
      <c r="BG285" s="13" t="s">
        <v>62</v>
      </c>
      <c r="BH285" s="518" t="str">
        <f>IF(AND(_A4="B-767-300",'2025'!$K$4="FO",'2025'!$K$2=BH271),'2025DATA'!$C$16,"")</f>
        <v/>
      </c>
      <c r="BI285" s="518" t="str">
        <f>IF(AND(_A4="B-767-300",'2025'!$K$4="FO",'2025'!$K$2=BI271),'2025DATA'!$D$16,"")</f>
        <v/>
      </c>
      <c r="BJ285" s="518" t="str">
        <f>IF(AND(_A4="B-767-300",'2025'!$K$4="FO",'2025'!$K$2=BJ271),'2025DATA'!$E$16,"")</f>
        <v/>
      </c>
      <c r="BK285" s="518" t="str">
        <f>IF(AND(_A4="B-767-300",'2025'!$K$4="FO",'2025'!$K$2=BK271),'2025DATA'!$F$16,"")</f>
        <v/>
      </c>
      <c r="BL285" s="518" t="str">
        <f>IF(AND(_A4="B-767-300",'2025'!$K$4="FO",'2025'!$K$2=BL271),'2025DATA'!$G$16,"")</f>
        <v/>
      </c>
      <c r="BM285" s="518" t="str">
        <f>IF(AND(_A4="B-767-300",'2025'!$K$4="FO",'2025'!$K$2=BM271),'2025DATA'!$H$16,"")</f>
        <v/>
      </c>
      <c r="BN285" s="518" t="str">
        <f>IF(AND(_A4="B-767-300",'2025'!$K$4="FO",'2025'!$K$2=BN271),'2025DATA'!$I$16,"")</f>
        <v/>
      </c>
      <c r="BO285" s="518" t="str">
        <f>IF(AND(_A4="B-767-300",'2025'!$K$4="FO",'2025'!$K$2=BO271),'2025DATA'!$J$16,"")</f>
        <v/>
      </c>
      <c r="BP285" s="518" t="str">
        <f>IF(AND(_A4="B-767-300",'2025'!$K$4="FO",'2025'!$K$2=BP271),'2025DATA'!$K$16,"")</f>
        <v/>
      </c>
      <c r="BQ285" s="518" t="str">
        <f>IF(AND(_A4="B-767-300",'2025'!$K$4="FO",'2025'!$K$2=BQ271),'2025DATA'!$L$16,"")</f>
        <v/>
      </c>
      <c r="BR285" s="518" t="str">
        <f>IF(AND(_A4="B-767-300",'2025'!$K$4="FO",'2025'!$K$2=BR271),'2025DATA'!$M$16,"")</f>
        <v/>
      </c>
      <c r="BS285" s="520" t="str">
        <f>IF(AND(_A4="B-767-300",'2025'!$K$4="FO",'2025'!$K$2=BS271),'2025DATA'!$N$16,"")</f>
        <v/>
      </c>
      <c r="BT285" s="940"/>
      <c r="BU285" s="13" t="s">
        <v>62</v>
      </c>
      <c r="BV285" s="518" t="str">
        <f>IF(AND(_A5="B-767-300",'2025'!$K$4="FO",'2025'!$K$2=BV271),'2025DATA'!$C$16,"")</f>
        <v/>
      </c>
      <c r="BW285" s="518" t="str">
        <f>IF(AND(_A5="B-767-300",'2025'!$K$4="FO",'2025'!$K$2=BW271),'2025DATA'!$D$16,"")</f>
        <v/>
      </c>
      <c r="BX285" s="518" t="str">
        <f>IF(AND(_A5="B-767-300",'2025'!$K$4="FO",'2025'!$K$2=BX271),'2025DATA'!$E$16,"")</f>
        <v/>
      </c>
      <c r="BY285" s="518" t="str">
        <f>IF(AND(_A5="B-767-300",'2025'!$K$4="FO",'2025'!$K$2=BY271),'2025DATA'!$F$16,"")</f>
        <v/>
      </c>
      <c r="BZ285" s="518" t="str">
        <f>IF(AND(_A5="B-767-300",'2025'!$K$4="FO",'2025'!$K$2=BZ271),'2025DATA'!$G$16,"")</f>
        <v/>
      </c>
      <c r="CA285" s="518" t="str">
        <f>IF(AND(_A5="B-767-300",'2025'!$K$4="FO",'2025'!$K$2=CA271),'2025DATA'!$H$16,"")</f>
        <v/>
      </c>
      <c r="CB285" s="518" t="str">
        <f>IF(AND(_A5="B-767-300",'2025'!$K$4="FO",'2025'!$K$2=CB271),'2025DATA'!$I$16,"")</f>
        <v/>
      </c>
      <c r="CC285" s="518" t="str">
        <f>IF(AND(_A5="B-767-300",'2025'!$K$4="FO",'2025'!$K$2=CC271),'2025DATA'!$J$16,"")</f>
        <v/>
      </c>
      <c r="CD285" s="518" t="str">
        <f>IF(AND(_A5="B-767-300",'2025'!$K$4="FO",'2025'!$K$2=CD271),'2025DATA'!$K$16,"")</f>
        <v/>
      </c>
      <c r="CE285" s="518" t="str">
        <f>IF(AND(_A5="B-767-300",'2025'!$K$4="FO",'2025'!$K$2=CE271),'2025DATA'!$L$16,"")</f>
        <v/>
      </c>
      <c r="CF285" s="518" t="str">
        <f>IF(AND(_A5="B-767-300",'2025'!$K$4="FO",'2025'!$K$2=CF271),'2025DATA'!$M$16,"")</f>
        <v/>
      </c>
      <c r="CG285" s="520" t="str">
        <f>IF(AND(_A5="B-767-300",'2025'!$K$4="FO",'2025'!$K$2=CG271),'2025DATA'!$N$16,"")</f>
        <v/>
      </c>
      <c r="CH285" s="940"/>
      <c r="CI285" s="13" t="s">
        <v>62</v>
      </c>
      <c r="CJ285" s="518" t="str">
        <f>IF(AND(_A6="B-767-300",'2025'!$K$4="FO",'2025'!$K$2=CJ271),'2025DATA'!$C$16,"")</f>
        <v/>
      </c>
      <c r="CK285" s="518" t="str">
        <f>IF(AND(_A6="B-767-300",'2025'!$K$4="FO",'2025'!$K$2=CK271),'2025DATA'!$D$16,"")</f>
        <v/>
      </c>
      <c r="CL285" s="518" t="str">
        <f>IF(AND(_A6="B-767-300",'2025'!$K$4="FO",'2025'!$K$2=CL271),'2025DATA'!$E$16,"")</f>
        <v/>
      </c>
      <c r="CM285" s="518" t="str">
        <f>IF(AND(_A6="B-767-300",'2025'!$K$4="FO",'2025'!$K$2=CM271),'2025DATA'!$F$16,"")</f>
        <v/>
      </c>
      <c r="CN285" s="518" t="str">
        <f>IF(AND(_A6="B-767-300",'2025'!$K$4="FO",'2025'!$K$2=CN271),'2025DATA'!$G$16,"")</f>
        <v/>
      </c>
      <c r="CO285" s="518" t="str">
        <f>IF(AND(_A6="B-767-300",'2025'!$K$4="FO",'2025'!$K$2=CO271),'2025DATA'!$H$16,"")</f>
        <v/>
      </c>
      <c r="CP285" s="518" t="str">
        <f>IF(AND(_A6="B-767-300",'2025'!$K$4="FO",'2025'!$K$2=CP271),'2025DATA'!$I$16,"")</f>
        <v/>
      </c>
      <c r="CQ285" s="518" t="str">
        <f>IF(AND(_A6="B-767-300",'2025'!$K$4="FO",'2025'!$K$2=CQ271),'2025DATA'!$J$16,"")</f>
        <v/>
      </c>
      <c r="CR285" s="518" t="str">
        <f>IF(AND(_A6="B-767-300",'2025'!$K$4="FO",'2025'!$K$2=CR271),'2025DATA'!$K$16,"")</f>
        <v/>
      </c>
      <c r="CS285" s="518" t="str">
        <f>IF(AND(_A6="B-767-300",'2025'!$K$4="FO",'2025'!$K$2=CS271),'2025DATA'!$L$16,"")</f>
        <v/>
      </c>
      <c r="CT285" s="518" t="str">
        <f>IF(AND(_A6="B-767-300",'2025'!$K$4="FO",'2025'!$K$2=CT271),'2025DATA'!$M$16,"")</f>
        <v/>
      </c>
      <c r="CU285" s="520" t="str">
        <f>IF(AND(_A6="B-767-300",'2025'!$K$4="FO",'2025'!$K$2=CU271),'2025DATA'!$N$16,"")</f>
        <v/>
      </c>
    </row>
    <row r="286" spans="16:99" x14ac:dyDescent="0.25">
      <c r="P286" s="940" t="s">
        <v>68</v>
      </c>
      <c r="Q286" s="13" t="s">
        <v>61</v>
      </c>
      <c r="R286" s="518" t="str">
        <f>IF(AND(_A1="B-767-200",'2025'!$K$4="CA",'2025'!$K$2=R271),'2025DATA'!$C$17,"")</f>
        <v/>
      </c>
      <c r="S286" s="518" t="str">
        <f>IF(AND(_A1="B-767-200",'2025'!$K$4="CA",'2025'!$K$2=S271),'2025DATA'!$D$17,"")</f>
        <v/>
      </c>
      <c r="T286" s="518" t="str">
        <f>IF(AND(_A1="B-767-200",'2025'!$K$4="CA",'2025'!$K$2=T271),'2025DATA'!$E$17,"")</f>
        <v/>
      </c>
      <c r="U286" s="518" t="str">
        <f>IF(AND(_A1="B-767-200",'2025'!$K$4="CA",'2025'!$K$2=U271),'2025DATA'!$F$17,"")</f>
        <v/>
      </c>
      <c r="V286" s="518" t="str">
        <f>IF(AND(_A1="B-767-200",'2025'!$K$4="CA",'2025'!$K$2=V271),'2025DATA'!$G$17,"")</f>
        <v/>
      </c>
      <c r="W286" s="518" t="str">
        <f>IF(AND(_A1="B-767-200",'2025'!$K$4="CA",'2025'!$K$2=W271),'2025DATA'!$H$17,"")</f>
        <v/>
      </c>
      <c r="X286" s="518" t="str">
        <f>IF(AND(_A1="B-767-200",'2025'!$K$4="CA",'2025'!$K$2=X271),'2025DATA'!$I$17,"")</f>
        <v/>
      </c>
      <c r="Y286" s="518" t="str">
        <f>IF(AND(_A1="B-767-200",'2025'!$K$4="CA",'2025'!$K$2=Y271),'2025DATA'!$J$17,"")</f>
        <v/>
      </c>
      <c r="Z286" s="518" t="str">
        <f>IF(AND(_A1="B-767-200",'2025'!$K$4="CA",'2025'!$K$2=Z271),'2025DATA'!$K$17,"")</f>
        <v/>
      </c>
      <c r="AA286" s="518" t="str">
        <f>IF(AND(_A1="B-767-200",'2025'!$K$4="CA",'2025'!$K$2=AA271),'2025DATA'!$L$17,"")</f>
        <v/>
      </c>
      <c r="AB286" s="518" t="str">
        <f>IF(AND(_A1="B-767-200",'2025'!$K$4="CA",'2025'!$K$2=AB271),'2025DATA'!$M$17,"")</f>
        <v/>
      </c>
      <c r="AC286" s="520" t="str">
        <f>IF(AND(_A1="B-767-200",'2025'!$K$4="CA",'2025'!$K$2=AC271),'2025DATA'!$N$17,"")</f>
        <v/>
      </c>
      <c r="AD286" s="940" t="s">
        <v>68</v>
      </c>
      <c r="AE286" s="13" t="s">
        <v>61</v>
      </c>
      <c r="AF286" s="518" t="str">
        <f>IF(AND(_A2="B-767-200",'2025'!$K$4="CA",'2025'!$K$2=AF271),'2025DATA'!$C$17,"")</f>
        <v/>
      </c>
      <c r="AG286" s="518" t="str">
        <f>IF(AND(_A2="B-767-200",'2025'!$K$4="CA",'2025'!$K$2=AG271),'2025DATA'!$D$17,"")</f>
        <v/>
      </c>
      <c r="AH286" s="518" t="str">
        <f>IF(AND(_A2="B-767-200",'2025'!$K$4="CA",'2025'!$K$2=AH271),'2025DATA'!$E$17,"")</f>
        <v/>
      </c>
      <c r="AI286" s="518" t="str">
        <f>IF(AND(_A2="B-767-200",'2025'!$K$4="CA",'2025'!$K$2=AI271),'2025DATA'!$F$17,"")</f>
        <v/>
      </c>
      <c r="AJ286" s="518" t="str">
        <f>IF(AND(_A2="B-767-200",'2025'!$K$4="CA",'2025'!$K$2=AJ271),'2025DATA'!$G$17,"")</f>
        <v/>
      </c>
      <c r="AK286" s="518" t="str">
        <f>IF(AND(_A2="B-767-200",'2025'!$K$4="CA",'2025'!$K$2=AK271),'2025DATA'!$H$17,"")</f>
        <v/>
      </c>
      <c r="AL286" s="518" t="str">
        <f>IF(AND(_A2="B-767-200",'2025'!$K$4="CA",'2025'!$K$2=AL271),'2025DATA'!$I$17,"")</f>
        <v/>
      </c>
      <c r="AM286" s="518" t="str">
        <f>IF(AND(_A2="B-767-200",'2025'!$K$4="CA",'2025'!$K$2=AM271),'2025DATA'!$J$17,"")</f>
        <v/>
      </c>
      <c r="AN286" s="518" t="str">
        <f>IF(AND(_A2="B-767-200",'2025'!$K$4="CA",'2025'!$K$2=AN271),'2025DATA'!$K$17,"")</f>
        <v/>
      </c>
      <c r="AO286" s="518" t="str">
        <f>IF(AND(_A2="B-767-200",'2025'!$K$4="CA",'2025'!$K$2=AO271),'2025DATA'!$L$17,"")</f>
        <v/>
      </c>
      <c r="AP286" s="518" t="str">
        <f>IF(AND(_A2="B-767-200",'2025'!$K$4="CA",'2025'!$K$2=AP271),'2025DATA'!$M$17,"")</f>
        <v/>
      </c>
      <c r="AQ286" s="520" t="str">
        <f>IF(AND(_A2="B-767-200",'2025'!$K$4="CA",'2025'!$K$2=AQ271),'2025DATA'!$N$17,"")</f>
        <v/>
      </c>
      <c r="AR286" s="940" t="s">
        <v>68</v>
      </c>
      <c r="AS286" s="13" t="s">
        <v>61</v>
      </c>
      <c r="AT286" s="518" t="str">
        <f>IF(AND(_A3="B-767-200",'2025'!$K$4="CA",'2025'!$K$2=AT271),'2025DATA'!$C$17,"")</f>
        <v/>
      </c>
      <c r="AU286" s="518" t="str">
        <f>IF(AND(_A3="B-767-200",'2025'!$K$4="CA",'2025'!$K$2=AU271),'2025DATA'!$D$17,"")</f>
        <v/>
      </c>
      <c r="AV286" s="518" t="str">
        <f>IF(AND(_A3="B-767-200",'2025'!$K$4="CA",'2025'!$K$2=AV271),'2025DATA'!$E$17,"")</f>
        <v/>
      </c>
      <c r="AW286" s="518" t="str">
        <f>IF(AND(_A3="B-767-200",'2025'!$K$4="CA",'2025'!$K$2=AW271),'2025DATA'!$F$17,"")</f>
        <v/>
      </c>
      <c r="AX286" s="518" t="str">
        <f>IF(AND(_A3="B-767-200",'2025'!$K$4="CA",'2025'!$K$2=AX271),'2025DATA'!$G$17,"")</f>
        <v/>
      </c>
      <c r="AY286" s="518" t="str">
        <f>IF(AND(_A3="B-767-200",'2025'!$K$4="CA",'2025'!$K$2=AY271),'2025DATA'!$H$17,"")</f>
        <v/>
      </c>
      <c r="AZ286" s="518" t="str">
        <f>IF(AND(_A3="B-767-200",'2025'!$K$4="CA",'2025'!$K$2=AZ271),'2025DATA'!$I$17,"")</f>
        <v/>
      </c>
      <c r="BA286" s="518" t="str">
        <f>IF(AND(_A3="B-767-200",'2025'!$K$4="CA",'2025'!$K$2=BA271),'2025DATA'!$J$17,"")</f>
        <v/>
      </c>
      <c r="BB286" s="518" t="str">
        <f>IF(AND(_A3="B-767-200",'2025'!$K$4="CA",'2025'!$K$2=BB271),'2025DATA'!$K$17,"")</f>
        <v/>
      </c>
      <c r="BC286" s="518" t="str">
        <f>IF(AND(_A3="B-767-200",'2025'!$K$4="CA",'2025'!$K$2=BC271),'2025DATA'!$L$17,"")</f>
        <v/>
      </c>
      <c r="BD286" s="518" t="str">
        <f>IF(AND(_A3="B-767-200",'2025'!$K$4="CA",'2025'!$K$2=BD271),'2025DATA'!$M$17,"")</f>
        <v/>
      </c>
      <c r="BE286" s="520" t="str">
        <f>IF(AND(_A3="B-767-200",'2025'!$K$4="CA",'2025'!$K$2=BE271),'2025DATA'!$N$17,"")</f>
        <v/>
      </c>
      <c r="BF286" s="940" t="s">
        <v>68</v>
      </c>
      <c r="BG286" s="13" t="s">
        <v>61</v>
      </c>
      <c r="BH286" s="518" t="str">
        <f>IF(AND(_A4="B-767-200",'2025'!$K$4="CA",'2025'!$K$2=BH271),'2025DATA'!$C$17,"")</f>
        <v/>
      </c>
      <c r="BI286" s="518" t="str">
        <f>IF(AND(_A4="B-767-200",'2025'!$K$4="CA",'2025'!$K$2=BI271),'2025DATA'!$D$17,"")</f>
        <v/>
      </c>
      <c r="BJ286" s="518" t="str">
        <f>IF(AND(_A4="B-767-200",'2025'!$K$4="CA",'2025'!$K$2=BJ271),'2025DATA'!$E$17,"")</f>
        <v/>
      </c>
      <c r="BK286" s="518" t="str">
        <f>IF(AND(_A4="B-767-200",'2025'!$K$4="CA",'2025'!$K$2=BK271),'2025DATA'!$F$17,"")</f>
        <v/>
      </c>
      <c r="BL286" s="518" t="str">
        <f>IF(AND(_A4="B-767-200",'2025'!$K$4="CA",'2025'!$K$2=BL271),'2025DATA'!$G$17,"")</f>
        <v/>
      </c>
      <c r="BM286" s="518" t="str">
        <f>IF(AND(_A4="B-767-200",'2025'!$K$4="CA",'2025'!$K$2=BM271),'2025DATA'!$H$17,"")</f>
        <v/>
      </c>
      <c r="BN286" s="518" t="str">
        <f>IF(AND(_A4="B-767-200",'2025'!$K$4="CA",'2025'!$K$2=BN271),'2025DATA'!$I$17,"")</f>
        <v/>
      </c>
      <c r="BO286" s="518" t="str">
        <f>IF(AND(_A4="B-767-200",'2025'!$K$4="CA",'2025'!$K$2=BO271),'2025DATA'!$J$17,"")</f>
        <v/>
      </c>
      <c r="BP286" s="518" t="str">
        <f>IF(AND(_A4="B-767-200",'2025'!$K$4="CA",'2025'!$K$2=BP271),'2025DATA'!$K$17,"")</f>
        <v/>
      </c>
      <c r="BQ286" s="518" t="str">
        <f>IF(AND(_A4="B-767-200",'2025'!$K$4="CA",'2025'!$K$2=BQ271),'2025DATA'!$L$17,"")</f>
        <v/>
      </c>
      <c r="BR286" s="518" t="str">
        <f>IF(AND(_A4="B-767-200",'2025'!$K$4="CA",'2025'!$K$2=BR271),'2025DATA'!$M$17,"")</f>
        <v/>
      </c>
      <c r="BS286" s="520" t="str">
        <f>IF(AND(_A4="B-767-200",'2025'!$K$4="CA",'2025'!$K$2=BS271),'2025DATA'!$N$17,"")</f>
        <v/>
      </c>
      <c r="BT286" s="940" t="s">
        <v>68</v>
      </c>
      <c r="BU286" s="13" t="s">
        <v>61</v>
      </c>
      <c r="BV286" s="518" t="str">
        <f>IF(AND(_A5="B-767-200",'2025'!$K$4="CA",'2025'!$K$2=BV271),'2025DATA'!$C$17,"")</f>
        <v/>
      </c>
      <c r="BW286" s="518" t="str">
        <f>IF(AND(_A5="B-767-200",'2025'!$K$4="CA",'2025'!$K$2=BW271),'2025DATA'!$D$17,"")</f>
        <v/>
      </c>
      <c r="BX286" s="518" t="str">
        <f>IF(AND(_A5="B-767-200",'2025'!$K$4="CA",'2025'!$K$2=BX271),'2025DATA'!$E$17,"")</f>
        <v/>
      </c>
      <c r="BY286" s="518" t="str">
        <f>IF(AND(_A5="B-767-200",'2025'!$K$4="CA",'2025'!$K$2=BY271),'2025DATA'!$F$17,"")</f>
        <v/>
      </c>
      <c r="BZ286" s="518" t="str">
        <f>IF(AND(_A5="B-767-200",'2025'!$K$4="CA",'2025'!$K$2=BZ271),'2025DATA'!$G$17,"")</f>
        <v/>
      </c>
      <c r="CA286" s="518" t="str">
        <f>IF(AND(_A5="B-767-200",'2025'!$K$4="CA",'2025'!$K$2=CA271),'2025DATA'!$H$17,"")</f>
        <v/>
      </c>
      <c r="CB286" s="518" t="str">
        <f>IF(AND(_A5="B-767-200",'2025'!$K$4="CA",'2025'!$K$2=CB271),'2025DATA'!$I$17,"")</f>
        <v/>
      </c>
      <c r="CC286" s="518" t="str">
        <f>IF(AND(_A5="B-767-200",'2025'!$K$4="CA",'2025'!$K$2=CC271),'2025DATA'!$J$17,"")</f>
        <v/>
      </c>
      <c r="CD286" s="518" t="str">
        <f>IF(AND(_A5="B-767-200",'2025'!$K$4="CA",'2025'!$K$2=CD271),'2025DATA'!$K$17,"")</f>
        <v/>
      </c>
      <c r="CE286" s="518" t="str">
        <f>IF(AND(_A5="B-767-200",'2025'!$K$4="CA",'2025'!$K$2=CE271),'2025DATA'!$L$17,"")</f>
        <v/>
      </c>
      <c r="CF286" s="518" t="str">
        <f>IF(AND(_A5="B-767-200",'2025'!$K$4="CA",'2025'!$K$2=CF271),'2025DATA'!$M$17,"")</f>
        <v/>
      </c>
      <c r="CG286" s="520" t="str">
        <f>IF(AND(_A5="B-767-200",'2025'!$K$4="CA",'2025'!$K$2=CG271),'2025DATA'!$N$17,"")</f>
        <v/>
      </c>
      <c r="CH286" s="940" t="s">
        <v>68</v>
      </c>
      <c r="CI286" s="13" t="s">
        <v>61</v>
      </c>
      <c r="CJ286" s="518" t="str">
        <f>IF(AND(_A6="B-767-200",'2025'!$K$4="CA",'2025'!$K$2=CJ271),'2025DATA'!$C$17,"")</f>
        <v/>
      </c>
      <c r="CK286" s="518" t="str">
        <f>IF(AND(_A6="B-767-200",'2025'!$K$4="CA",'2025'!$K$2=CK271),'2025DATA'!$D$17,"")</f>
        <v/>
      </c>
      <c r="CL286" s="518" t="str">
        <f>IF(AND(_A6="B-767-200",'2025'!$K$4="CA",'2025'!$K$2=CL271),'2025DATA'!$E$17,"")</f>
        <v/>
      </c>
      <c r="CM286" s="518" t="str">
        <f>IF(AND(_A6="B-767-200",'2025'!$K$4="CA",'2025'!$K$2=CM271),'2025DATA'!$F$17,"")</f>
        <v/>
      </c>
      <c r="CN286" s="518" t="str">
        <f>IF(AND(_A6="B-767-200",'2025'!$K$4="CA",'2025'!$K$2=CN271),'2025DATA'!$G$17,"")</f>
        <v/>
      </c>
      <c r="CO286" s="518" t="str">
        <f>IF(AND(_A6="B-767-200",'2025'!$K$4="CA",'2025'!$K$2=CO271),'2025DATA'!$H$17,"")</f>
        <v/>
      </c>
      <c r="CP286" s="518" t="str">
        <f>IF(AND(_A6="B-767-200",'2025'!$K$4="CA",'2025'!$K$2=CP271),'2025DATA'!$I$17,"")</f>
        <v/>
      </c>
      <c r="CQ286" s="518" t="str">
        <f>IF(AND(_A6="B-767-200",'2025'!$K$4="CA",'2025'!$K$2=CQ271),'2025DATA'!$J$17,"")</f>
        <v/>
      </c>
      <c r="CR286" s="518" t="str">
        <f>IF(AND(_A6="B-767-200",'2025'!$K$4="CA",'2025'!$K$2=CR271),'2025DATA'!$K$17,"")</f>
        <v/>
      </c>
      <c r="CS286" s="518" t="str">
        <f>IF(AND(_A6="B-767-200",'2025'!$K$4="CA",'2025'!$K$2=CS271),'2025DATA'!$L$17,"")</f>
        <v/>
      </c>
      <c r="CT286" s="518" t="str">
        <f>IF(AND(_A6="B-767-200",'2025'!$K$4="CA",'2025'!$K$2=CT271),'2025DATA'!$M$17,"")</f>
        <v/>
      </c>
      <c r="CU286" s="520" t="str">
        <f>IF(AND(_A6="B-767-200",'2025'!$K$4="CA",'2025'!$K$2=CU271),'2025DATA'!$N$17,"")</f>
        <v/>
      </c>
    </row>
    <row r="287" spans="16:99" x14ac:dyDescent="0.25">
      <c r="P287" s="940"/>
      <c r="Q287" s="13" t="s">
        <v>62</v>
      </c>
      <c r="R287" s="518" t="str">
        <f>IF(AND(_A1="B-767-200",'2025'!$K$4="FO",'2025'!$K$2=R271),'2025DATA'!$C$18,"")</f>
        <v/>
      </c>
      <c r="S287" s="518" t="str">
        <f>IF(AND(_A1="B-767-200",'2025'!$K$4="FO",'2025'!$K$2=S271),'2025DATA'!$D$18,"")</f>
        <v/>
      </c>
      <c r="T287" s="518" t="str">
        <f>IF(AND(_A1="B-767-200",'2025'!$K$4="FO",'2025'!$K$2=T271),'2025DATA'!$E$18,"")</f>
        <v/>
      </c>
      <c r="U287" s="518" t="str">
        <f>IF(AND(_A1="B-767-200",'2025'!$K$4="FO",'2025'!$K$2=U271),'2025DATA'!$F$18,"")</f>
        <v/>
      </c>
      <c r="V287" s="518" t="str">
        <f>IF(AND(_A1="B-767-200",'2025'!$K$4="FO",'2025'!$K$2=V271),'2025DATA'!$G$18,"")</f>
        <v/>
      </c>
      <c r="W287" s="518" t="str">
        <f>IF(AND(_A1="B-767-200",'2025'!$K$4="FO",'2025'!$K$2=W271),'2025DATA'!$H$18,"")</f>
        <v/>
      </c>
      <c r="X287" s="518" t="str">
        <f>IF(AND(_A1="B-767-200",'2025'!$K$4="FO",'2025'!$K$2=X271),'2025DATA'!$I$18,"")</f>
        <v/>
      </c>
      <c r="Y287" s="518" t="str">
        <f>IF(AND(_A1="B-767-200",'2025'!$K$4="FO",'2025'!$K$2=Y271),'2025DATA'!$J$18,"")</f>
        <v/>
      </c>
      <c r="Z287" s="518" t="str">
        <f>IF(AND(_A1="B-767-200",'2025'!$K$4="FO",'2025'!$K$2=Z271),'2025DATA'!$K$18,"")</f>
        <v/>
      </c>
      <c r="AA287" s="518" t="str">
        <f>IF(AND(_A1="B-767-200",'2025'!$K$4="FO",'2025'!$K$2=AA271),'2025DATA'!$L$18,"")</f>
        <v/>
      </c>
      <c r="AB287" s="518" t="str">
        <f>IF(AND(_A1="B-767-200",'2025'!$K$4="FO",'2025'!$K$2=AB271),'2025DATA'!$M$18,"")</f>
        <v/>
      </c>
      <c r="AC287" s="520" t="str">
        <f>IF(AND(_A1="B-767-200",'2025'!$K$4="FO",'2025'!$K$2=AC271),'2025DATA'!$N$18,"")</f>
        <v/>
      </c>
      <c r="AD287" s="940"/>
      <c r="AE287" s="13" t="s">
        <v>62</v>
      </c>
      <c r="AF287" s="518" t="str">
        <f>IF(AND(_A2="B-767-200",'2025'!$K$4="FO",'2025'!$K$2=AF271),'2025DATA'!$C$18,"")</f>
        <v/>
      </c>
      <c r="AG287" s="518" t="str">
        <f>IF(AND(_A2="B-767-200",'2025'!$K$4="FO",'2025'!$K$2=AG271),'2025DATA'!$D$18,"")</f>
        <v/>
      </c>
      <c r="AH287" s="518" t="str">
        <f>IF(AND(_A2="B-767-200",'2025'!$K$4="FO",'2025'!$K$2=AH271),'2025DATA'!$E$18,"")</f>
        <v/>
      </c>
      <c r="AI287" s="518" t="str">
        <f>IF(AND(_A2="B-767-200",'2025'!$K$4="FO",'2025'!$K$2=AI271),'2025DATA'!$F$18,"")</f>
        <v/>
      </c>
      <c r="AJ287" s="518" t="str">
        <f>IF(AND(_A2="B-767-200",'2025'!$K$4="FO",'2025'!$K$2=AJ271),'2025DATA'!$G$18,"")</f>
        <v/>
      </c>
      <c r="AK287" s="518" t="str">
        <f>IF(AND(_A2="B-767-200",'2025'!$K$4="FO",'2025'!$K$2=AK271),'2025DATA'!$H$18,"")</f>
        <v/>
      </c>
      <c r="AL287" s="518" t="str">
        <f>IF(AND(_A2="B-767-200",'2025'!$K$4="FO",'2025'!$K$2=AL271),'2025DATA'!$I$18,"")</f>
        <v/>
      </c>
      <c r="AM287" s="518" t="str">
        <f>IF(AND(_A2="B-767-200",'2025'!$K$4="FO",'2025'!$K$2=AM271),'2025DATA'!$J$18,"")</f>
        <v/>
      </c>
      <c r="AN287" s="518" t="str">
        <f>IF(AND(_A2="B-767-200",'2025'!$K$4="FO",'2025'!$K$2=AN271),'2025DATA'!$K$18,"")</f>
        <v/>
      </c>
      <c r="AO287" s="518" t="str">
        <f>IF(AND(_A2="B-767-200",'2025'!$K$4="FO",'2025'!$K$2=AO271),'2025DATA'!$L$18,"")</f>
        <v/>
      </c>
      <c r="AP287" s="518" t="str">
        <f>IF(AND(_A2="B-767-200",'2025'!$K$4="FO",'2025'!$K$2=AP271),'2025DATA'!$M$18,"")</f>
        <v/>
      </c>
      <c r="AQ287" s="520" t="str">
        <f>IF(AND(_A2="B-767-200",'2025'!$K$4="FO",'2025'!$K$2=AQ271),'2025DATA'!$N$18,"")</f>
        <v/>
      </c>
      <c r="AR287" s="940"/>
      <c r="AS287" s="13" t="s">
        <v>62</v>
      </c>
      <c r="AT287" s="518" t="str">
        <f>IF(AND(_A3="B-767-200",'2025'!$K$4="FO",'2025'!$K$2=AT271),'2025DATA'!$C$18,"")</f>
        <v/>
      </c>
      <c r="AU287" s="518" t="str">
        <f>IF(AND(_A3="B-767-200",'2025'!$K$4="FO",'2025'!$K$2=AU271),'2025DATA'!$D$18,"")</f>
        <v/>
      </c>
      <c r="AV287" s="518" t="str">
        <f>IF(AND(_A3="B-767-200",'2025'!$K$4="FO",'2025'!$K$2=AV271),'2025DATA'!$E$18,"")</f>
        <v/>
      </c>
      <c r="AW287" s="518" t="str">
        <f>IF(AND(_A3="B-767-200",'2025'!$K$4="FO",'2025'!$K$2=AW271),'2025DATA'!$F$18,"")</f>
        <v/>
      </c>
      <c r="AX287" s="518" t="str">
        <f>IF(AND(_A3="B-767-200",'2025'!$K$4="FO",'2025'!$K$2=AX271),'2025DATA'!$G$18,"")</f>
        <v/>
      </c>
      <c r="AY287" s="518" t="str">
        <f>IF(AND(_A3="B-767-200",'2025'!$K$4="FO",'2025'!$K$2=AY271),'2025DATA'!$H$18,"")</f>
        <v/>
      </c>
      <c r="AZ287" s="518" t="str">
        <f>IF(AND(_A3="B-767-200",'2025'!$K$4="FO",'2025'!$K$2=AZ271),'2025DATA'!$I$18,"")</f>
        <v/>
      </c>
      <c r="BA287" s="518" t="str">
        <f>IF(AND(_A3="B-767-200",'2025'!$K$4="FO",'2025'!$K$2=BA271),'2025DATA'!$J$18,"")</f>
        <v/>
      </c>
      <c r="BB287" s="518" t="str">
        <f>IF(AND(_A3="B-767-200",'2025'!$K$4="FO",'2025'!$K$2=BB271),'2025DATA'!$K$18,"")</f>
        <v/>
      </c>
      <c r="BC287" s="518" t="str">
        <f>IF(AND(_A3="B-767-200",'2025'!$K$4="FO",'2025'!$K$2=BC271),'2025DATA'!$L$18,"")</f>
        <v/>
      </c>
      <c r="BD287" s="518" t="str">
        <f>IF(AND(_A3="B-767-200",'2025'!$K$4="FO",'2025'!$K$2=BD271),'2025DATA'!$M$18,"")</f>
        <v/>
      </c>
      <c r="BE287" s="520" t="str">
        <f>IF(AND(_A3="B-767-200",'2025'!$K$4="FO",'2025'!$K$2=BE271),'2025DATA'!$N$18,"")</f>
        <v/>
      </c>
      <c r="BF287" s="940"/>
      <c r="BG287" s="13" t="s">
        <v>62</v>
      </c>
      <c r="BH287" s="518" t="str">
        <f>IF(AND(_A4="B-767-200",'2025'!$K$4="FO",'2025'!$K$2=BH271),'2025DATA'!$C$18,"")</f>
        <v/>
      </c>
      <c r="BI287" s="518" t="str">
        <f>IF(AND(_A4="B-767-200",'2025'!$K$4="FO",'2025'!$K$2=BI271),'2025DATA'!$D$18,"")</f>
        <v/>
      </c>
      <c r="BJ287" s="518" t="str">
        <f>IF(AND(_A4="B-767-200",'2025'!$K$4="FO",'2025'!$K$2=BJ271),'2025DATA'!$E$18,"")</f>
        <v/>
      </c>
      <c r="BK287" s="518" t="str">
        <f>IF(AND(_A4="B-767-200",'2025'!$K$4="FO",'2025'!$K$2=BK271),'2025DATA'!$F$18,"")</f>
        <v/>
      </c>
      <c r="BL287" s="518" t="str">
        <f>IF(AND(_A4="B-767-200",'2025'!$K$4="FO",'2025'!$K$2=BL271),'2025DATA'!$G$18,"")</f>
        <v/>
      </c>
      <c r="BM287" s="518" t="str">
        <f>IF(AND(_A4="B-767-200",'2025'!$K$4="FO",'2025'!$K$2=BM271),'2025DATA'!$H$18,"")</f>
        <v/>
      </c>
      <c r="BN287" s="518" t="str">
        <f>IF(AND(_A4="B-767-200",'2025'!$K$4="FO",'2025'!$K$2=BN271),'2025DATA'!$I$18,"")</f>
        <v/>
      </c>
      <c r="BO287" s="518" t="str">
        <f>IF(AND(_A4="B-767-200",'2025'!$K$4="FO",'2025'!$K$2=BO271),'2025DATA'!$J$18,"")</f>
        <v/>
      </c>
      <c r="BP287" s="518" t="str">
        <f>IF(AND(_A4="B-767-200",'2025'!$K$4="FO",'2025'!$K$2=BP271),'2025DATA'!$K$18,"")</f>
        <v/>
      </c>
      <c r="BQ287" s="518" t="str">
        <f>IF(AND(_A4="B-767-200",'2025'!$K$4="FO",'2025'!$K$2=BQ271),'2025DATA'!$L$18,"")</f>
        <v/>
      </c>
      <c r="BR287" s="518" t="str">
        <f>IF(AND(_A4="B-767-200",'2025'!$K$4="FO",'2025'!$K$2=BR271),'2025DATA'!$M$18,"")</f>
        <v/>
      </c>
      <c r="BS287" s="520" t="str">
        <f>IF(AND(_A4="B-767-200",'2025'!$K$4="FO",'2025'!$K$2=BS271),'2025DATA'!$N$18,"")</f>
        <v/>
      </c>
      <c r="BT287" s="940"/>
      <c r="BU287" s="13" t="s">
        <v>62</v>
      </c>
      <c r="BV287" s="518" t="str">
        <f>IF(AND(_A5="B-767-200",'2025'!$K$4="FO",'2025'!$K$2=BV271),'2025DATA'!$C$18,"")</f>
        <v/>
      </c>
      <c r="BW287" s="518" t="str">
        <f>IF(AND(_A5="B-767-200",'2025'!$K$4="FO",'2025'!$K$2=BW271),'2025DATA'!$D$18,"")</f>
        <v/>
      </c>
      <c r="BX287" s="518" t="str">
        <f>IF(AND(_A5="B-767-200",'2025'!$K$4="FO",'2025'!$K$2=BX271),'2025DATA'!$E$18,"")</f>
        <v/>
      </c>
      <c r="BY287" s="518" t="str">
        <f>IF(AND(_A5="B-767-200",'2025'!$K$4="FO",'2025'!$K$2=BY271),'2025DATA'!$F$18,"")</f>
        <v/>
      </c>
      <c r="BZ287" s="518" t="str">
        <f>IF(AND(_A5="B-767-200",'2025'!$K$4="FO",'2025'!$K$2=BZ271),'2025DATA'!$G$18,"")</f>
        <v/>
      </c>
      <c r="CA287" s="518" t="str">
        <f>IF(AND(_A5="B-767-200",'2025'!$K$4="FO",'2025'!$K$2=CA271),'2025DATA'!$H$18,"")</f>
        <v/>
      </c>
      <c r="CB287" s="518" t="str">
        <f>IF(AND(_A5="B-767-200",'2025'!$K$4="FO",'2025'!$K$2=CB271),'2025DATA'!$I$18,"")</f>
        <v/>
      </c>
      <c r="CC287" s="518" t="str">
        <f>IF(AND(_A5="B-767-200",'2025'!$K$4="FO",'2025'!$K$2=CC271),'2025DATA'!$J$18,"")</f>
        <v/>
      </c>
      <c r="CD287" s="518" t="str">
        <f>IF(AND(_A5="B-767-200",'2025'!$K$4="FO",'2025'!$K$2=CD271),'2025DATA'!$K$18,"")</f>
        <v/>
      </c>
      <c r="CE287" s="518" t="str">
        <f>IF(AND(_A5="B-767-200",'2025'!$K$4="FO",'2025'!$K$2=CE271),'2025DATA'!$L$18,"")</f>
        <v/>
      </c>
      <c r="CF287" s="518" t="str">
        <f>IF(AND(_A5="B-767-200",'2025'!$K$4="FO",'2025'!$K$2=CF271),'2025DATA'!$M$18,"")</f>
        <v/>
      </c>
      <c r="CG287" s="520" t="str">
        <f>IF(AND(_A5="B-767-200",'2025'!$K$4="FO",'2025'!$K$2=CG271),'2025DATA'!$N$18,"")</f>
        <v/>
      </c>
      <c r="CH287" s="940"/>
      <c r="CI287" s="13" t="s">
        <v>62</v>
      </c>
      <c r="CJ287" s="518" t="str">
        <f>IF(AND(_A6="B-767-200",'2025'!$K$4="FO",'2025'!$K$2=CJ271),'2025DATA'!$C$18,"")</f>
        <v/>
      </c>
      <c r="CK287" s="518" t="str">
        <f>IF(AND(_A6="B-767-200",'2025'!$K$4="FO",'2025'!$K$2=CK271),'2025DATA'!$D$18,"")</f>
        <v/>
      </c>
      <c r="CL287" s="518" t="str">
        <f>IF(AND(_A6="B-767-200",'2025'!$K$4="FO",'2025'!$K$2=CL271),'2025DATA'!$E$18,"")</f>
        <v/>
      </c>
      <c r="CM287" s="518" t="str">
        <f>IF(AND(_A6="B-767-200",'2025'!$K$4="FO",'2025'!$K$2=CM271),'2025DATA'!$F$18,"")</f>
        <v/>
      </c>
      <c r="CN287" s="518" t="str">
        <f>IF(AND(_A6="B-767-200",'2025'!$K$4="FO",'2025'!$K$2=CN271),'2025DATA'!$G$18,"")</f>
        <v/>
      </c>
      <c r="CO287" s="518" t="str">
        <f>IF(AND(_A6="B-767-200",'2025'!$K$4="FO",'2025'!$K$2=CO271),'2025DATA'!$H$18,"")</f>
        <v/>
      </c>
      <c r="CP287" s="518" t="str">
        <f>IF(AND(_A6="B-767-200",'2025'!$K$4="FO",'2025'!$K$2=CP271),'2025DATA'!$I$18,"")</f>
        <v/>
      </c>
      <c r="CQ287" s="518" t="str">
        <f>IF(AND(_A6="B-767-200",'2025'!$K$4="FO",'2025'!$K$2=CQ271),'2025DATA'!$J$18,"")</f>
        <v/>
      </c>
      <c r="CR287" s="518" t="str">
        <f>IF(AND(_A6="B-767-200",'2025'!$K$4="FO",'2025'!$K$2=CR271),'2025DATA'!$K$18,"")</f>
        <v/>
      </c>
      <c r="CS287" s="518" t="str">
        <f>IF(AND(_A6="B-767-200",'2025'!$K$4="FO",'2025'!$K$2=CS271),'2025DATA'!$L$18,"")</f>
        <v/>
      </c>
      <c r="CT287" s="518" t="str">
        <f>IF(AND(_A6="B-767-200",'2025'!$K$4="FO",'2025'!$K$2=CT271),'2025DATA'!$M$18,"")</f>
        <v/>
      </c>
      <c r="CU287" s="520" t="str">
        <f>IF(AND(_A6="B-767-200",'2025'!$K$4="FO",'2025'!$K$2=CU271),'2025DATA'!$N$18,"")</f>
        <v/>
      </c>
    </row>
    <row r="288" spans="16:99" x14ac:dyDescent="0.25">
      <c r="P288" s="940" t="s">
        <v>45</v>
      </c>
      <c r="Q288" s="13" t="s">
        <v>61</v>
      </c>
      <c r="R288" s="518" t="str">
        <f>IF(AND(_A1="B-757",'2025'!$K$4="CA",'2025'!$K$2=R271),'2025DATA'!$C$19,"")</f>
        <v/>
      </c>
      <c r="S288" s="518" t="str">
        <f>IF(AND(_A1="B-757",'2025'!$K$4="CA",'2025'!$K$2=S271),'2025DATA'!$D$19,"")</f>
        <v/>
      </c>
      <c r="T288" s="518" t="str">
        <f>IF(AND(_A1="B-757",'2025'!$K$4="CA",'2025'!$K$2=T271),'2025DATA'!$E$19,"")</f>
        <v/>
      </c>
      <c r="U288" s="518" t="str">
        <f>IF(AND(_A1="B-757",'2025'!$K$4="CA",'2025'!$K$2=U271),'2025DATA'!$F$19,"")</f>
        <v/>
      </c>
      <c r="V288" s="518" t="str">
        <f>IF(AND(_A1="B-757",'2025'!$K$4="CA",'2025'!$K$2=V271),'2025DATA'!$G$19,"")</f>
        <v/>
      </c>
      <c r="W288" s="518" t="str">
        <f>IF(AND(_A1="B-757",'2025'!$K$4="CA",'2025'!$K$2=W271),'2025DATA'!$H$19,"")</f>
        <v/>
      </c>
      <c r="X288" s="518" t="str">
        <f>IF(AND(_A1="B-757",'2025'!$K$4="CA",'2025'!$K$2=X271),'2025DATA'!$I$19,"")</f>
        <v/>
      </c>
      <c r="Y288" s="518" t="str">
        <f>IF(AND(_A1="B-757",'2025'!$K$4="CA",'2025'!$K$2=Y271),'2025DATA'!$J$19,"")</f>
        <v/>
      </c>
      <c r="Z288" s="518" t="str">
        <f>IF(AND(_A1="B-757",'2025'!$K$4="CA",'2025'!$K$2=Z271),'2025DATA'!$K$19,"")</f>
        <v/>
      </c>
      <c r="AA288" s="518" t="str">
        <f>IF(AND(_A1="B-757",'2025'!$K$4="CA",'2025'!$K$2=AA271),'2025DATA'!$L$19,"")</f>
        <v/>
      </c>
      <c r="AB288" s="518" t="str">
        <f>IF(AND(_A1="B-757",'2025'!$K$4="CA",'2025'!$K$2=AB271),'2025DATA'!$M$19,"")</f>
        <v/>
      </c>
      <c r="AC288" s="520" t="str">
        <f>IF(AND(_A1="B-757",'2025'!$K$4="CA",'2025'!$K$2=AC271),'2025DATA'!$N$19,"")</f>
        <v/>
      </c>
      <c r="AD288" s="940" t="s">
        <v>45</v>
      </c>
      <c r="AE288" s="13" t="s">
        <v>61</v>
      </c>
      <c r="AF288" s="518" t="str">
        <f>IF(AND(_A2="B-757",'2025'!$K$4="CA",'2025'!$K$2=AF271),'2025DATA'!$C$19,"")</f>
        <v/>
      </c>
      <c r="AG288" s="518" t="str">
        <f>IF(AND(_A2="B-757",'2025'!$K$4="CA",'2025'!$K$2=AG271),'2025DATA'!$D$19,"")</f>
        <v/>
      </c>
      <c r="AH288" s="518" t="str">
        <f>IF(AND(_A2="B-757",'2025'!$K$4="CA",'2025'!$K$2=AH271),'2025DATA'!$E$19,"")</f>
        <v/>
      </c>
      <c r="AI288" s="518" t="str">
        <f>IF(AND(_A2="B-757",'2025'!$K$4="CA",'2025'!$K$2=AI271),'2025DATA'!$F$19,"")</f>
        <v/>
      </c>
      <c r="AJ288" s="518" t="str">
        <f>IF(AND(_A2="B-757",'2025'!$K$4="CA",'2025'!$K$2=AJ271),'2025DATA'!$G$19,"")</f>
        <v/>
      </c>
      <c r="AK288" s="518" t="str">
        <f>IF(AND(_A2="B-757",'2025'!$K$4="CA",'2025'!$K$2=AK271),'2025DATA'!$H$19,"")</f>
        <v/>
      </c>
      <c r="AL288" s="518" t="str">
        <f>IF(AND(_A2="B-757",'2025'!$K$4="CA",'2025'!$K$2=AL271),'2025DATA'!$I$19,"")</f>
        <v/>
      </c>
      <c r="AM288" s="518" t="str">
        <f>IF(AND(_A2="B-757",'2025'!$K$4="CA",'2025'!$K$2=AM271),'2025DATA'!$J$19,"")</f>
        <v/>
      </c>
      <c r="AN288" s="518" t="str">
        <f>IF(AND(_A2="B-757",'2025'!$K$4="CA",'2025'!$K$2=AN271),'2025DATA'!$K$19,"")</f>
        <v/>
      </c>
      <c r="AO288" s="518" t="str">
        <f>IF(AND(_A2="B-757",'2025'!$K$4="CA",'2025'!$K$2=AO271),'2025DATA'!$L$19,"")</f>
        <v/>
      </c>
      <c r="AP288" s="518" t="str">
        <f>IF(AND(_A2="B-757",'2025'!$K$4="CA",'2025'!$K$2=AP271),'2025DATA'!$M$19,"")</f>
        <v/>
      </c>
      <c r="AQ288" s="520" t="str">
        <f>IF(AND(_A2="B-757",'2025'!$K$4="CA",'2025'!$K$2=AQ271),'2025DATA'!$N$19,"")</f>
        <v/>
      </c>
      <c r="AR288" s="940" t="s">
        <v>45</v>
      </c>
      <c r="AS288" s="13" t="s">
        <v>61</v>
      </c>
      <c r="AT288" s="518" t="str">
        <f>IF(AND(_A3="B-757",'2025'!$K$4="CA",'2025'!$K$2=AT271),'2025DATA'!$C$19,"")</f>
        <v/>
      </c>
      <c r="AU288" s="518" t="str">
        <f>IF(AND(_A3="B-757",'2025'!$K$4="CA",'2025'!$K$2=AU271),'2025DATA'!$D$19,"")</f>
        <v/>
      </c>
      <c r="AV288" s="518" t="str">
        <f>IF(AND(_A3="B-757",'2025'!$K$4="CA",'2025'!$K$2=AV271),'2025DATA'!$E$19,"")</f>
        <v/>
      </c>
      <c r="AW288" s="518" t="str">
        <f>IF(AND(_A3="B-757",'2025'!$K$4="CA",'2025'!$K$2=AW271),'2025DATA'!$F$19,"")</f>
        <v/>
      </c>
      <c r="AX288" s="518" t="str">
        <f>IF(AND(_A3="B-757",'2025'!$K$4="CA",'2025'!$K$2=AX271),'2025DATA'!$G$19,"")</f>
        <v/>
      </c>
      <c r="AY288" s="518" t="str">
        <f>IF(AND(_A3="B-757",'2025'!$K$4="CA",'2025'!$K$2=AY271),'2025DATA'!$H$19,"")</f>
        <v/>
      </c>
      <c r="AZ288" s="518" t="str">
        <f>IF(AND(_A3="B-757",'2025'!$K$4="CA",'2025'!$K$2=AZ271),'2025DATA'!$I$19,"")</f>
        <v/>
      </c>
      <c r="BA288" s="518" t="str">
        <f>IF(AND(_A3="B-757",'2025'!$K$4="CA",'2025'!$K$2=BA271),'2025DATA'!$J$19,"")</f>
        <v/>
      </c>
      <c r="BB288" s="518" t="str">
        <f>IF(AND(_A3="B-757",'2025'!$K$4="CA",'2025'!$K$2=BB271),'2025DATA'!$K$19,"")</f>
        <v/>
      </c>
      <c r="BC288" s="518" t="str">
        <f>IF(AND(_A3="B-757",'2025'!$K$4="CA",'2025'!$K$2=BC271),'2025DATA'!$L$19,"")</f>
        <v/>
      </c>
      <c r="BD288" s="518" t="str">
        <f>IF(AND(_A3="B-757",'2025'!$K$4="CA",'2025'!$K$2=BD271),'2025DATA'!$M$19,"")</f>
        <v/>
      </c>
      <c r="BE288" s="520" t="str">
        <f>IF(AND(_A3="B-757",'2025'!$K$4="CA",'2025'!$K$2=BE271),'2025DATA'!$N$19,"")</f>
        <v/>
      </c>
      <c r="BF288" s="940" t="s">
        <v>45</v>
      </c>
      <c r="BG288" s="13" t="s">
        <v>61</v>
      </c>
      <c r="BH288" s="518" t="str">
        <f>IF(AND(_A4="B-757",'2025'!$K$4="CA",'2025'!$K$2=BH271),'2025DATA'!$C$19,"")</f>
        <v/>
      </c>
      <c r="BI288" s="518" t="str">
        <f>IF(AND(_A4="B-757",'2025'!$K$4="CA",'2025'!$K$2=BI271),'2025DATA'!$D$19,"")</f>
        <v/>
      </c>
      <c r="BJ288" s="518" t="str">
        <f>IF(AND(_A4="B-757",'2025'!$K$4="CA",'2025'!$K$2=BJ271),'2025DATA'!$E$19,"")</f>
        <v/>
      </c>
      <c r="BK288" s="518" t="str">
        <f>IF(AND(_A4="B-757",'2025'!$K$4="CA",'2025'!$K$2=BK271),'2025DATA'!$F$19,"")</f>
        <v/>
      </c>
      <c r="BL288" s="518" t="str">
        <f>IF(AND(_A4="B-757",'2025'!$K$4="CA",'2025'!$K$2=BL271),'2025DATA'!$G$19,"")</f>
        <v/>
      </c>
      <c r="BM288" s="518" t="str">
        <f>IF(AND(_A4="B-757",'2025'!$K$4="CA",'2025'!$K$2=BM271),'2025DATA'!$H$19,"")</f>
        <v/>
      </c>
      <c r="BN288" s="518" t="str">
        <f>IF(AND(_A4="B-757",'2025'!$K$4="CA",'2025'!$K$2=BN271),'2025DATA'!$I$19,"")</f>
        <v/>
      </c>
      <c r="BO288" s="518" t="str">
        <f>IF(AND(_A4="B-757",'2025'!$K$4="CA",'2025'!$K$2=BO271),'2025DATA'!$J$19,"")</f>
        <v/>
      </c>
      <c r="BP288" s="518" t="str">
        <f>IF(AND(_A4="B-757",'2025'!$K$4="CA",'2025'!$K$2=BP271),'2025DATA'!$K$19,"")</f>
        <v/>
      </c>
      <c r="BQ288" s="518" t="str">
        <f>IF(AND(_A4="B-757",'2025'!$K$4="CA",'2025'!$K$2=BQ271),'2025DATA'!$L$19,"")</f>
        <v/>
      </c>
      <c r="BR288" s="518" t="str">
        <f>IF(AND(_A4="B-757",'2025'!$K$4="CA",'2025'!$K$2=BR271),'2025DATA'!$M$19,"")</f>
        <v/>
      </c>
      <c r="BS288" s="520" t="str">
        <f>IF(AND(_A4="B-757",'2025'!$K$4="CA",'2025'!$K$2=BS271),'2025DATA'!$N$19,"")</f>
        <v/>
      </c>
      <c r="BT288" s="940" t="s">
        <v>45</v>
      </c>
      <c r="BU288" s="13" t="s">
        <v>61</v>
      </c>
      <c r="BV288" s="518" t="str">
        <f>IF(AND(_A5="B-757",'2025'!$K$4="CA",'2025'!$K$2=BV271),'2025DATA'!$C$19,"")</f>
        <v/>
      </c>
      <c r="BW288" s="518" t="str">
        <f>IF(AND(_A5="B-757",'2025'!$K$4="CA",'2025'!$K$2=BW271),'2025DATA'!$D$19,"")</f>
        <v/>
      </c>
      <c r="BX288" s="518" t="str">
        <f>IF(AND(_A5="B-757",'2025'!$K$4="CA",'2025'!$K$2=BX271),'2025DATA'!$E$19,"")</f>
        <v/>
      </c>
      <c r="BY288" s="518" t="str">
        <f>IF(AND(_A5="B-757",'2025'!$K$4="CA",'2025'!$K$2=BY271),'2025DATA'!$F$19,"")</f>
        <v/>
      </c>
      <c r="BZ288" s="518" t="str">
        <f>IF(AND(_A5="B-757",'2025'!$K$4="CA",'2025'!$K$2=BZ271),'2025DATA'!$G$19,"")</f>
        <v/>
      </c>
      <c r="CA288" s="518" t="str">
        <f>IF(AND(_A5="B-757",'2025'!$K$4="CA",'2025'!$K$2=CA271),'2025DATA'!$H$19,"")</f>
        <v/>
      </c>
      <c r="CB288" s="518" t="str">
        <f>IF(AND(_A5="B-757",'2025'!$K$4="CA",'2025'!$K$2=CB271),'2025DATA'!$I$19,"")</f>
        <v/>
      </c>
      <c r="CC288" s="518" t="str">
        <f>IF(AND(_A5="B-757",'2025'!$K$4="CA",'2025'!$K$2=CC271),'2025DATA'!$J$19,"")</f>
        <v/>
      </c>
      <c r="CD288" s="518" t="str">
        <f>IF(AND(_A5="B-757",'2025'!$K$4="CA",'2025'!$K$2=CD271),'2025DATA'!$K$19,"")</f>
        <v/>
      </c>
      <c r="CE288" s="518" t="str">
        <f>IF(AND(_A5="B-757",'2025'!$K$4="CA",'2025'!$K$2=CE271),'2025DATA'!$L$19,"")</f>
        <v/>
      </c>
      <c r="CF288" s="518" t="str">
        <f>IF(AND(_A5="B-757",'2025'!$K$4="CA",'2025'!$K$2=CF271),'2025DATA'!$M$19,"")</f>
        <v/>
      </c>
      <c r="CG288" s="520" t="str">
        <f>IF(AND(_A5="B-757",'2025'!$K$4="CA",'2025'!$K$2=CG271),'2025DATA'!$N$19,"")</f>
        <v/>
      </c>
      <c r="CH288" s="940" t="s">
        <v>45</v>
      </c>
      <c r="CI288" s="13" t="s">
        <v>61</v>
      </c>
      <c r="CJ288" s="518" t="str">
        <f>IF(AND(_A6="B-757",'2025'!$K$4="CA",'2025'!$K$2=CJ271),'2025DATA'!$C$19,"")</f>
        <v/>
      </c>
      <c r="CK288" s="518" t="str">
        <f>IF(AND(_A6="B-757",'2025'!$K$4="CA",'2025'!$K$2=CK271),'2025DATA'!$D$19,"")</f>
        <v/>
      </c>
      <c r="CL288" s="518" t="str">
        <f>IF(AND(_A6="B-757",'2025'!$K$4="CA",'2025'!$K$2=CL271),'2025DATA'!$E$19,"")</f>
        <v/>
      </c>
      <c r="CM288" s="518" t="str">
        <f>IF(AND(_A6="B-757",'2025'!$K$4="CA",'2025'!$K$2=CM271),'2025DATA'!$F$19,"")</f>
        <v/>
      </c>
      <c r="CN288" s="518" t="str">
        <f>IF(AND(_A6="B-757",'2025'!$K$4="CA",'2025'!$K$2=CN271),'2025DATA'!$G$19,"")</f>
        <v/>
      </c>
      <c r="CO288" s="518" t="str">
        <f>IF(AND(_A6="B-757",'2025'!$K$4="CA",'2025'!$K$2=CO271),'2025DATA'!$H$19,"")</f>
        <v/>
      </c>
      <c r="CP288" s="518" t="str">
        <f>IF(AND(_A6="B-757",'2025'!$K$4="CA",'2025'!$K$2=CP271),'2025DATA'!$I$19,"")</f>
        <v/>
      </c>
      <c r="CQ288" s="518" t="str">
        <f>IF(AND(_A6="B-757",'2025'!$K$4="CA",'2025'!$K$2=CQ271),'2025DATA'!$J$19,"")</f>
        <v/>
      </c>
      <c r="CR288" s="518" t="str">
        <f>IF(AND(_A6="B-757",'2025'!$K$4="CA",'2025'!$K$2=CR271),'2025DATA'!$K$19,"")</f>
        <v/>
      </c>
      <c r="CS288" s="518" t="str">
        <f>IF(AND(_A6="B-757",'2025'!$K$4="CA",'2025'!$K$2=CS271),'2025DATA'!$L$19,"")</f>
        <v/>
      </c>
      <c r="CT288" s="518" t="str">
        <f>IF(AND(_A6="B-757",'2025'!$K$4="CA",'2025'!$K$2=CT271),'2025DATA'!$M$19,"")</f>
        <v/>
      </c>
      <c r="CU288" s="520" t="str">
        <f>IF(AND(_A6="B-757",'2025'!$K$4="CA",'2025'!$K$2=CU271),'2025DATA'!$N$19,"")</f>
        <v/>
      </c>
    </row>
    <row r="289" spans="16:99" x14ac:dyDescent="0.25">
      <c r="P289" s="940"/>
      <c r="Q289" s="13" t="s">
        <v>62</v>
      </c>
      <c r="R289" s="518" t="str">
        <f>IF(AND(_A1="B-757",'2025'!$K$4="FO",'2025'!$K$2=R271),'2025DATA'!$C$20,"")</f>
        <v/>
      </c>
      <c r="S289" s="518" t="str">
        <f>IF(AND(_A1="B-757",'2025'!$K$4="FO",'2025'!$K$2=S271),'2025DATA'!$D$20,"")</f>
        <v/>
      </c>
      <c r="T289" s="518" t="str">
        <f>IF(AND(_A1="B-757",'2025'!$K$4="FO",'2025'!$K$2=T271),'2025DATA'!$E$20,"")</f>
        <v/>
      </c>
      <c r="U289" s="518" t="str">
        <f>IF(AND(_A1="B-757",'2025'!$K$4="FO",'2025'!$K$2=U271),'2025DATA'!$F$20,"")</f>
        <v/>
      </c>
      <c r="V289" s="518" t="str">
        <f>IF(AND(_A1="B-757",'2025'!$K$4="FO",'2025'!$K$2=V271),'2025DATA'!$G$20,"")</f>
        <v/>
      </c>
      <c r="W289" s="518" t="str">
        <f>IF(AND(_A1="B-757",'2025'!$K$4="FO",'2025'!$K$2=W271),'2025DATA'!$H$20,"")</f>
        <v/>
      </c>
      <c r="X289" s="518" t="str">
        <f>IF(AND(_A1="B-757",'2025'!$K$4="FO",'2025'!$K$2=X271),'2025DATA'!$I$20,"")</f>
        <v/>
      </c>
      <c r="Y289" s="518" t="str">
        <f>IF(AND(_A1="B-757",'2025'!$K$4="FO",'2025'!$K$2=Y271),'2025DATA'!$J$20,"")</f>
        <v/>
      </c>
      <c r="Z289" s="518" t="str">
        <f>IF(AND(_A1="B-757",'2025'!$K$4="FO",'2025'!$K$2=Z271),'2025DATA'!$K$20,"")</f>
        <v/>
      </c>
      <c r="AA289" s="518" t="str">
        <f>IF(AND(_A1="B-757",'2025'!$K$4="FO",'2025'!$K$2=AA271),'2025DATA'!$L$20,"")</f>
        <v/>
      </c>
      <c r="AB289" s="518" t="str">
        <f>IF(AND(_A1="B-757",'2025'!$K$4="FO",'2025'!$K$2=AB271),'2025DATA'!$M$20,"")</f>
        <v/>
      </c>
      <c r="AC289" s="520" t="str">
        <f>IF(AND(_A1="B-757",'2025'!$K$4="FO",'2025'!$K$2=AC271),'2025DATA'!$N$20,"")</f>
        <v/>
      </c>
      <c r="AD289" s="940"/>
      <c r="AE289" s="13" t="s">
        <v>62</v>
      </c>
      <c r="AF289" s="518" t="str">
        <f>IF(AND(_A2="B-757",'2025'!$K$4="FO",'2025'!$K$2=AF271),'2025DATA'!$C$20,"")</f>
        <v/>
      </c>
      <c r="AG289" s="518" t="str">
        <f>IF(AND(_A2="B-757",'2025'!$K$4="FO",'2025'!$K$2=AG271),'2025DATA'!$D$20,"")</f>
        <v/>
      </c>
      <c r="AH289" s="518" t="str">
        <f>IF(AND(_A2="B-757",'2025'!$K$4="FO",'2025'!$K$2=AH271),'2025DATA'!$E$20,"")</f>
        <v/>
      </c>
      <c r="AI289" s="518" t="str">
        <f>IF(AND(_A2="B-757",'2025'!$K$4="FO",'2025'!$K$2=AI271),'2025DATA'!$F$20,"")</f>
        <v/>
      </c>
      <c r="AJ289" s="518" t="str">
        <f>IF(AND(_A2="B-757",'2025'!$K$4="FO",'2025'!$K$2=AJ271),'2025DATA'!$G$20,"")</f>
        <v/>
      </c>
      <c r="AK289" s="518" t="str">
        <f>IF(AND(_A2="B-757",'2025'!$K$4="FO",'2025'!$K$2=AK271),'2025DATA'!$H$20,"")</f>
        <v/>
      </c>
      <c r="AL289" s="518" t="str">
        <f>IF(AND(_A2="B-757",'2025'!$K$4="FO",'2025'!$K$2=AL271),'2025DATA'!$I$20,"")</f>
        <v/>
      </c>
      <c r="AM289" s="518" t="str">
        <f>IF(AND(_A2="B-757",'2025'!$K$4="FO",'2025'!$K$2=AM271),'2025DATA'!$J$20,"")</f>
        <v/>
      </c>
      <c r="AN289" s="518" t="str">
        <f>IF(AND(_A2="B-757",'2025'!$K$4="FO",'2025'!$K$2=AN271),'2025DATA'!$K$20,"")</f>
        <v/>
      </c>
      <c r="AO289" s="518" t="str">
        <f>IF(AND(_A2="B-757",'2025'!$K$4="FO",'2025'!$K$2=AO271),'2025DATA'!$L$20,"")</f>
        <v/>
      </c>
      <c r="AP289" s="518" t="str">
        <f>IF(AND(_A2="B-757",'2025'!$K$4="FO",'2025'!$K$2=AP271),'2025DATA'!$M$20,"")</f>
        <v/>
      </c>
      <c r="AQ289" s="520" t="str">
        <f>IF(AND(_A2="B-757",'2025'!$K$4="FO",'2025'!$K$2=AQ271),'2025DATA'!$N$20,"")</f>
        <v/>
      </c>
      <c r="AR289" s="940"/>
      <c r="AS289" s="13" t="s">
        <v>62</v>
      </c>
      <c r="AT289" s="518" t="str">
        <f>IF(AND(_A3="B-757",'2025'!$K$4="FO",'2025'!$K$2=AT271),'2025DATA'!$C$20,"")</f>
        <v/>
      </c>
      <c r="AU289" s="518" t="str">
        <f>IF(AND(_A3="B-757",'2025'!$K$4="FO",'2025'!$K$2=AU271),'2025DATA'!$D$20,"")</f>
        <v/>
      </c>
      <c r="AV289" s="518" t="str">
        <f>IF(AND(_A3="B-757",'2025'!$K$4="FO",'2025'!$K$2=AV271),'2025DATA'!$E$20,"")</f>
        <v/>
      </c>
      <c r="AW289" s="518" t="str">
        <f>IF(AND(_A3="B-757",'2025'!$K$4="FO",'2025'!$K$2=AW271),'2025DATA'!$F$20,"")</f>
        <v/>
      </c>
      <c r="AX289" s="518" t="str">
        <f>IF(AND(_A3="B-757",'2025'!$K$4="FO",'2025'!$K$2=AX271),'2025DATA'!$G$20,"")</f>
        <v/>
      </c>
      <c r="AY289" s="518" t="str">
        <f>IF(AND(_A3="B-757",'2025'!$K$4="FO",'2025'!$K$2=AY271),'2025DATA'!$H$20,"")</f>
        <v/>
      </c>
      <c r="AZ289" s="518" t="str">
        <f>IF(AND(_A3="B-757",'2025'!$K$4="FO",'2025'!$K$2=AZ271),'2025DATA'!$I$20,"")</f>
        <v/>
      </c>
      <c r="BA289" s="518" t="str">
        <f>IF(AND(_A3="B-757",'2025'!$K$4="FO",'2025'!$K$2=BA271),'2025DATA'!$J$20,"")</f>
        <v/>
      </c>
      <c r="BB289" s="518" t="str">
        <f>IF(AND(_A3="B-757",'2025'!$K$4="FO",'2025'!$K$2=BB271),'2025DATA'!$K$20,"")</f>
        <v/>
      </c>
      <c r="BC289" s="518" t="str">
        <f>IF(AND(_A3="B-757",'2025'!$K$4="FO",'2025'!$K$2=BC271),'2025DATA'!$L$20,"")</f>
        <v/>
      </c>
      <c r="BD289" s="518" t="str">
        <f>IF(AND(_A3="B-757",'2025'!$K$4="FO",'2025'!$K$2=BD271),'2025DATA'!$M$20,"")</f>
        <v/>
      </c>
      <c r="BE289" s="520" t="str">
        <f>IF(AND(_A3="B-757",'2025'!$K$4="FO",'2025'!$K$2=BE271),'2025DATA'!$N$20,"")</f>
        <v/>
      </c>
      <c r="BF289" s="940"/>
      <c r="BG289" s="13" t="s">
        <v>62</v>
      </c>
      <c r="BH289" s="518" t="str">
        <f>IF(AND(_A4="B-757",'2025'!$K$4="FO",'2025'!$K$2=BH271),'2025DATA'!$C$20,"")</f>
        <v/>
      </c>
      <c r="BI289" s="518" t="str">
        <f>IF(AND(_A4="B-757",'2025'!$K$4="FO",'2025'!$K$2=BI271),'2025DATA'!$D$20,"")</f>
        <v/>
      </c>
      <c r="BJ289" s="518" t="str">
        <f>IF(AND(_A4="B-757",'2025'!$K$4="FO",'2025'!$K$2=BJ271),'2025DATA'!$E$20,"")</f>
        <v/>
      </c>
      <c r="BK289" s="518" t="str">
        <f>IF(AND(_A4="B-757",'2025'!$K$4="FO",'2025'!$K$2=BK271),'2025DATA'!$F$20,"")</f>
        <v/>
      </c>
      <c r="BL289" s="518" t="str">
        <f>IF(AND(_A4="B-757",'2025'!$K$4="FO",'2025'!$K$2=BL271),'2025DATA'!$G$20,"")</f>
        <v/>
      </c>
      <c r="BM289" s="518" t="str">
        <f>IF(AND(_A4="B-757",'2025'!$K$4="FO",'2025'!$K$2=BM271),'2025DATA'!$H$20,"")</f>
        <v/>
      </c>
      <c r="BN289" s="518" t="str">
        <f>IF(AND(_A4="B-757",'2025'!$K$4="FO",'2025'!$K$2=BN271),'2025DATA'!$I$20,"")</f>
        <v/>
      </c>
      <c r="BO289" s="518" t="str">
        <f>IF(AND(_A4="B-757",'2025'!$K$4="FO",'2025'!$K$2=BO271),'2025DATA'!$J$20,"")</f>
        <v/>
      </c>
      <c r="BP289" s="518" t="str">
        <f>IF(AND(_A4="B-757",'2025'!$K$4="FO",'2025'!$K$2=BP271),'2025DATA'!$K$20,"")</f>
        <v/>
      </c>
      <c r="BQ289" s="518" t="str">
        <f>IF(AND(_A4="B-757",'2025'!$K$4="FO",'2025'!$K$2=BQ271),'2025DATA'!$L$20,"")</f>
        <v/>
      </c>
      <c r="BR289" s="518" t="str">
        <f>IF(AND(_A4="B-757",'2025'!$K$4="FO",'2025'!$K$2=BR271),'2025DATA'!$M$20,"")</f>
        <v/>
      </c>
      <c r="BS289" s="520" t="str">
        <f>IF(AND(_A4="B-757",'2025'!$K$4="FO",'2025'!$K$2=BS271),'2025DATA'!$N$20,"")</f>
        <v/>
      </c>
      <c r="BT289" s="940"/>
      <c r="BU289" s="13" t="s">
        <v>62</v>
      </c>
      <c r="BV289" s="518" t="str">
        <f>IF(AND(_A5="B-757",'2025'!$K$4="FO",'2025'!$K$2=BV271),'2025DATA'!$C$20,"")</f>
        <v/>
      </c>
      <c r="BW289" s="518" t="str">
        <f>IF(AND(_A5="B-757",'2025'!$K$4="FO",'2025'!$K$2=BW271),'2025DATA'!$D$20,"")</f>
        <v/>
      </c>
      <c r="BX289" s="518" t="str">
        <f>IF(AND(_A5="B-757",'2025'!$K$4="FO",'2025'!$K$2=BX271),'2025DATA'!$E$20,"")</f>
        <v/>
      </c>
      <c r="BY289" s="518" t="str">
        <f>IF(AND(_A5="B-757",'2025'!$K$4="FO",'2025'!$K$2=BY271),'2025DATA'!$F$20,"")</f>
        <v/>
      </c>
      <c r="BZ289" s="518" t="str">
        <f>IF(AND(_A5="B-757",'2025'!$K$4="FO",'2025'!$K$2=BZ271),'2025DATA'!$G$20,"")</f>
        <v/>
      </c>
      <c r="CA289" s="518" t="str">
        <f>IF(AND(_A5="B-757",'2025'!$K$4="FO",'2025'!$K$2=CA271),'2025DATA'!$H$20,"")</f>
        <v/>
      </c>
      <c r="CB289" s="518" t="str">
        <f>IF(AND(_A5="B-757",'2025'!$K$4="FO",'2025'!$K$2=CB271),'2025DATA'!$I$20,"")</f>
        <v/>
      </c>
      <c r="CC289" s="518" t="str">
        <f>IF(AND(_A5="B-757",'2025'!$K$4="FO",'2025'!$K$2=CC271),'2025DATA'!$J$20,"")</f>
        <v/>
      </c>
      <c r="CD289" s="518" t="str">
        <f>IF(AND(_A5="B-757",'2025'!$K$4="FO",'2025'!$K$2=CD271),'2025DATA'!$K$20,"")</f>
        <v/>
      </c>
      <c r="CE289" s="518" t="str">
        <f>IF(AND(_A5="B-757",'2025'!$K$4="FO",'2025'!$K$2=CE271),'2025DATA'!$L$20,"")</f>
        <v/>
      </c>
      <c r="CF289" s="518" t="str">
        <f>IF(AND(_A5="B-757",'2025'!$K$4="FO",'2025'!$K$2=CF271),'2025DATA'!$M$20,"")</f>
        <v/>
      </c>
      <c r="CG289" s="520" t="str">
        <f>IF(AND(_A5="B-757",'2025'!$K$4="FO",'2025'!$K$2=CG271),'2025DATA'!$N$20,"")</f>
        <v/>
      </c>
      <c r="CH289" s="940"/>
      <c r="CI289" s="13" t="s">
        <v>62</v>
      </c>
      <c r="CJ289" s="518" t="str">
        <f>IF(AND(_A6="B-757",'2025'!$K$4="FO",'2025'!$K$2=CJ271),'2025DATA'!$C$20,"")</f>
        <v/>
      </c>
      <c r="CK289" s="518" t="str">
        <f>IF(AND(_A6="B-757",'2025'!$K$4="FO",'2025'!$K$2=CK271),'2025DATA'!$D$20,"")</f>
        <v/>
      </c>
      <c r="CL289" s="518" t="str">
        <f>IF(AND(_A6="B-757",'2025'!$K$4="FO",'2025'!$K$2=CL271),'2025DATA'!$E$20,"")</f>
        <v/>
      </c>
      <c r="CM289" s="518" t="str">
        <f>IF(AND(_A6="B-757",'2025'!$K$4="FO",'2025'!$K$2=CM271),'2025DATA'!$F$20,"")</f>
        <v/>
      </c>
      <c r="CN289" s="518" t="str">
        <f>IF(AND(_A6="B-757",'2025'!$K$4="FO",'2025'!$K$2=CN271),'2025DATA'!$G$20,"")</f>
        <v/>
      </c>
      <c r="CO289" s="518" t="str">
        <f>IF(AND(_A6="B-757",'2025'!$K$4="FO",'2025'!$K$2=CO271),'2025DATA'!$H$20,"")</f>
        <v/>
      </c>
      <c r="CP289" s="518" t="str">
        <f>IF(AND(_A6="B-757",'2025'!$K$4="FO",'2025'!$K$2=CP271),'2025DATA'!$I$20,"")</f>
        <v/>
      </c>
      <c r="CQ289" s="518" t="str">
        <f>IF(AND(_A6="B-757",'2025'!$K$4="FO",'2025'!$K$2=CQ271),'2025DATA'!$J$20,"")</f>
        <v/>
      </c>
      <c r="CR289" s="518" t="str">
        <f>IF(AND(_A6="B-757",'2025'!$K$4="FO",'2025'!$K$2=CR271),'2025DATA'!$K$20,"")</f>
        <v/>
      </c>
      <c r="CS289" s="518" t="str">
        <f>IF(AND(_A6="B-757",'2025'!$K$4="FO",'2025'!$K$2=CS271),'2025DATA'!$L$20,"")</f>
        <v/>
      </c>
      <c r="CT289" s="518" t="str">
        <f>IF(AND(_A6="B-757",'2025'!$K$4="FO",'2025'!$K$2=CT271),'2025DATA'!$M$20,"")</f>
        <v/>
      </c>
      <c r="CU289" s="520" t="str">
        <f>IF(AND(_A6="B-757",'2025'!$K$4="FO",'2025'!$K$2=CU271),'2025DATA'!$N$20,"")</f>
        <v/>
      </c>
    </row>
    <row r="290" spans="16:99" x14ac:dyDescent="0.25">
      <c r="P290" s="940" t="s">
        <v>47</v>
      </c>
      <c r="Q290" s="13" t="s">
        <v>61</v>
      </c>
      <c r="R290" s="518" t="str">
        <f>IF(AND(_A1="B-737-900",'2025'!$K$4="CA",'2025'!$K$2=R271),'2025DATA'!$C$21,"")</f>
        <v/>
      </c>
      <c r="S290" s="518" t="str">
        <f>IF(AND(_A1="B-737-900",'2025'!$K$4="CA",'2025'!$K$2=S271),'2025DATA'!$D$21,"")</f>
        <v/>
      </c>
      <c r="T290" s="518" t="str">
        <f>IF(AND(_A1="B-737-900",'2025'!$K$4="CA",'2025'!$K$2=T271),'2025DATA'!$E$21,"")</f>
        <v/>
      </c>
      <c r="U290" s="518" t="str">
        <f>IF(AND(_A1="B-737-900",'2025'!$K$4="CA",'2025'!$K$2=U271),'2025DATA'!$F$21,"")</f>
        <v/>
      </c>
      <c r="V290" s="518" t="str">
        <f>IF(AND(_A1="B-737-900",'2025'!$K$4="CA",'2025'!$K$2=V271),'2025DATA'!$G$21,"")</f>
        <v/>
      </c>
      <c r="W290" s="518" t="str">
        <f>IF(AND(_A1="B-737-900",'2025'!$K$4="CA",'2025'!$K$2=W271),'2025DATA'!$H$21,"")</f>
        <v/>
      </c>
      <c r="X290" s="518" t="str">
        <f>IF(AND(_A1="B-737-900",'2025'!$K$4="CA",'2025'!$K$2=X271),'2025DATA'!$I$21,"")</f>
        <v/>
      </c>
      <c r="Y290" s="518" t="str">
        <f>IF(AND(_A1="B-737-900",'2025'!$K$4="CA",'2025'!$K$2=Y271),'2025DATA'!$J$21,"")</f>
        <v/>
      </c>
      <c r="Z290" s="518" t="str">
        <f>IF(AND(_A1="B-737-900",'2025'!$K$4="CA",'2025'!$K$2=Z271),'2025DATA'!$K$21,"")</f>
        <v/>
      </c>
      <c r="AA290" s="518" t="str">
        <f>IF(AND(_A1="B-737-900",'2025'!$K$4="CA",'2025'!$K$2=AA271),'2025DATA'!$L$21,"")</f>
        <v/>
      </c>
      <c r="AB290" s="518" t="str">
        <f>IF(AND(_A1="B-737-900",'2025'!$K$4="CA",'2025'!$K$2=AB271),'2025DATA'!$M$21,"")</f>
        <v/>
      </c>
      <c r="AC290" s="520" t="str">
        <f>IF(AND(_A1="B-737-900",'2025'!$K$4="CA",'2025'!$K$2=AC271),'2025DATA'!$N$21,"")</f>
        <v/>
      </c>
      <c r="AD290" s="940" t="s">
        <v>47</v>
      </c>
      <c r="AE290" s="13" t="s">
        <v>61</v>
      </c>
      <c r="AF290" s="518" t="str">
        <f>IF(AND(_A2="B-737-900",'2025'!$K$4="CA",'2025'!$K$2=AF271),'2025DATA'!$C$21,"")</f>
        <v/>
      </c>
      <c r="AG290" s="518" t="str">
        <f>IF(AND(_A2="B-737-900",'2025'!$K$4="CA",'2025'!$K$2=AG271),'2025DATA'!$D$21,"")</f>
        <v/>
      </c>
      <c r="AH290" s="518" t="str">
        <f>IF(AND(_A2="B-737-900",'2025'!$K$4="CA",'2025'!$K$2=AH271),'2025DATA'!$E$21,"")</f>
        <v/>
      </c>
      <c r="AI290" s="518" t="str">
        <f>IF(AND(_A2="B-737-900",'2025'!$K$4="CA",'2025'!$K$2=AI271),'2025DATA'!$F$21,"")</f>
        <v/>
      </c>
      <c r="AJ290" s="518" t="str">
        <f>IF(AND(_A2="B-737-900",'2025'!$K$4="CA",'2025'!$K$2=AJ271),'2025DATA'!$G$21,"")</f>
        <v/>
      </c>
      <c r="AK290" s="518" t="str">
        <f>IF(AND(_A2="B-737-900",'2025'!$K$4="CA",'2025'!$K$2=AK271),'2025DATA'!$H$21,"")</f>
        <v/>
      </c>
      <c r="AL290" s="518" t="str">
        <f>IF(AND(_A2="B-737-900",'2025'!$K$4="CA",'2025'!$K$2=AL271),'2025DATA'!$I$21,"")</f>
        <v/>
      </c>
      <c r="AM290" s="518" t="str">
        <f>IF(AND(_A2="B-737-900",'2025'!$K$4="CA",'2025'!$K$2=AM271),'2025DATA'!$J$21,"")</f>
        <v/>
      </c>
      <c r="AN290" s="518" t="str">
        <f>IF(AND(_A2="B-737-900",'2025'!$K$4="CA",'2025'!$K$2=AN271),'2025DATA'!$K$21,"")</f>
        <v/>
      </c>
      <c r="AO290" s="518" t="str">
        <f>IF(AND(_A2="B-737-900",'2025'!$K$4="CA",'2025'!$K$2=AO271),'2025DATA'!$L$21,"")</f>
        <v/>
      </c>
      <c r="AP290" s="518" t="str">
        <f>IF(AND(_A2="B-737-900",'2025'!$K$4="CA",'2025'!$K$2=AP271),'2025DATA'!$M$21,"")</f>
        <v/>
      </c>
      <c r="AQ290" s="520" t="str">
        <f>IF(AND(_A2="B-737-900",'2025'!$K$4="CA",'2025'!$K$2=AQ271),'2025DATA'!$N$21,"")</f>
        <v/>
      </c>
      <c r="AR290" s="940" t="s">
        <v>47</v>
      </c>
      <c r="AS290" s="13" t="s">
        <v>61</v>
      </c>
      <c r="AT290" s="518" t="str">
        <f>IF(AND(_A3="B-737-900",'2025'!$K$4="CA",'2025'!$K$2=AT271),'2025DATA'!$C$21,"")</f>
        <v/>
      </c>
      <c r="AU290" s="518" t="str">
        <f>IF(AND(_A3="B-737-900",'2025'!$K$4="CA",'2025'!$K$2=AU271),'2025DATA'!$D$21,"")</f>
        <v/>
      </c>
      <c r="AV290" s="518" t="str">
        <f>IF(AND(_A3="B-737-900",'2025'!$K$4="CA",'2025'!$K$2=AV271),'2025DATA'!$E$21,"")</f>
        <v/>
      </c>
      <c r="AW290" s="518" t="str">
        <f>IF(AND(_A3="B-737-900",'2025'!$K$4="CA",'2025'!$K$2=AW271),'2025DATA'!$F$21,"")</f>
        <v/>
      </c>
      <c r="AX290" s="518" t="str">
        <f>IF(AND(_A3="B-737-900",'2025'!$K$4="CA",'2025'!$K$2=AX271),'2025DATA'!$G$21,"")</f>
        <v/>
      </c>
      <c r="AY290" s="518" t="str">
        <f>IF(AND(_A3="B-737-900",'2025'!$K$4="CA",'2025'!$K$2=AY271),'2025DATA'!$H$21,"")</f>
        <v/>
      </c>
      <c r="AZ290" s="518" t="str">
        <f>IF(AND(_A3="B-737-900",'2025'!$K$4="CA",'2025'!$K$2=AZ271),'2025DATA'!$I$21,"")</f>
        <v/>
      </c>
      <c r="BA290" s="518" t="str">
        <f>IF(AND(_A3="B-737-900",'2025'!$K$4="CA",'2025'!$K$2=BA271),'2025DATA'!$J$21,"")</f>
        <v/>
      </c>
      <c r="BB290" s="518" t="str">
        <f>IF(AND(_A3="B-737-900",'2025'!$K$4="CA",'2025'!$K$2=BB271),'2025DATA'!$K$21,"")</f>
        <v/>
      </c>
      <c r="BC290" s="518" t="str">
        <f>IF(AND(_A3="B-737-900",'2025'!$K$4="CA",'2025'!$K$2=BC271),'2025DATA'!$L$21,"")</f>
        <v/>
      </c>
      <c r="BD290" s="518" t="str">
        <f>IF(AND(_A3="B-737-900",'2025'!$K$4="CA",'2025'!$K$2=BD271),'2025DATA'!$M$21,"")</f>
        <v/>
      </c>
      <c r="BE290" s="520" t="str">
        <f>IF(AND(_A3="B-737-900",'2025'!$K$4="CA",'2025'!$K$2=BE271),'2025DATA'!$N$21,"")</f>
        <v/>
      </c>
      <c r="BF290" s="940" t="s">
        <v>47</v>
      </c>
      <c r="BG290" s="13" t="s">
        <v>61</v>
      </c>
      <c r="BH290" s="518" t="str">
        <f>IF(AND(_A4="B-737-900",'2025'!$K$4="CA",'2025'!$K$2=BH271),'2025DATA'!$C$21,"")</f>
        <v/>
      </c>
      <c r="BI290" s="518" t="str">
        <f>IF(AND(_A4="B-737-900",'2025'!$K$4="CA",'2025'!$K$2=BI271),'2025DATA'!$D$21,"")</f>
        <v/>
      </c>
      <c r="BJ290" s="518" t="str">
        <f>IF(AND(_A4="B-737-900",'2025'!$K$4="CA",'2025'!$K$2=BJ271),'2025DATA'!$E$21,"")</f>
        <v/>
      </c>
      <c r="BK290" s="518" t="str">
        <f>IF(AND(_A4="B-737-900",'2025'!$K$4="CA",'2025'!$K$2=BK271),'2025DATA'!$F$21,"")</f>
        <v/>
      </c>
      <c r="BL290" s="518" t="str">
        <f>IF(AND(_A4="B-737-900",'2025'!$K$4="CA",'2025'!$K$2=BL271),'2025DATA'!$G$21,"")</f>
        <v/>
      </c>
      <c r="BM290" s="518" t="str">
        <f>IF(AND(_A4="B-737-900",'2025'!$K$4="CA",'2025'!$K$2=BM271),'2025DATA'!$H$21,"")</f>
        <v/>
      </c>
      <c r="BN290" s="518" t="str">
        <f>IF(AND(_A4="B-737-900",'2025'!$K$4="CA",'2025'!$K$2=BN271),'2025DATA'!$I$21,"")</f>
        <v/>
      </c>
      <c r="BO290" s="518" t="str">
        <f>IF(AND(_A4="B-737-900",'2025'!$K$4="CA",'2025'!$K$2=BO271),'2025DATA'!$J$21,"")</f>
        <v/>
      </c>
      <c r="BP290" s="518" t="str">
        <f>IF(AND(_A4="B-737-900",'2025'!$K$4="CA",'2025'!$K$2=BP271),'2025DATA'!$K$21,"")</f>
        <v/>
      </c>
      <c r="BQ290" s="518" t="str">
        <f>IF(AND(_A4="B-737-900",'2025'!$K$4="CA",'2025'!$K$2=BQ271),'2025DATA'!$L$21,"")</f>
        <v/>
      </c>
      <c r="BR290" s="518" t="str">
        <f>IF(AND(_A4="B-737-900",'2025'!$K$4="CA",'2025'!$K$2=BR271),'2025DATA'!$M$21,"")</f>
        <v/>
      </c>
      <c r="BS290" s="520" t="str">
        <f>IF(AND(_A4="B-737-900",'2025'!$K$4="CA",'2025'!$K$2=BS271),'2025DATA'!$N$21,"")</f>
        <v/>
      </c>
      <c r="BT290" s="940" t="s">
        <v>47</v>
      </c>
      <c r="BU290" s="13" t="s">
        <v>61</v>
      </c>
      <c r="BV290" s="518" t="str">
        <f>IF(AND(_A5="B-737-900",'2025'!$K$4="CA",'2025'!$K$2=BV271),'2025DATA'!$C$21,"")</f>
        <v/>
      </c>
      <c r="BW290" s="518" t="str">
        <f>IF(AND(_A5="B-737-900",'2025'!$K$4="CA",'2025'!$K$2=BW271),'2025DATA'!$D$21,"")</f>
        <v/>
      </c>
      <c r="BX290" s="518" t="str">
        <f>IF(AND(_A5="B-737-900",'2025'!$K$4="CA",'2025'!$K$2=BX271),'2025DATA'!$E$21,"")</f>
        <v/>
      </c>
      <c r="BY290" s="518" t="str">
        <f>IF(AND(_A5="B-737-900",'2025'!$K$4="CA",'2025'!$K$2=BY271),'2025DATA'!$F$21,"")</f>
        <v/>
      </c>
      <c r="BZ290" s="518" t="str">
        <f>IF(AND(_A5="B-737-900",'2025'!$K$4="CA",'2025'!$K$2=BZ271),'2025DATA'!$G$21,"")</f>
        <v/>
      </c>
      <c r="CA290" s="518" t="str">
        <f>IF(AND(_A5="B-737-900",'2025'!$K$4="CA",'2025'!$K$2=CA271),'2025DATA'!$H$21,"")</f>
        <v/>
      </c>
      <c r="CB290" s="518" t="str">
        <f>IF(AND(_A5="B-737-900",'2025'!$K$4="CA",'2025'!$K$2=CB271),'2025DATA'!$I$21,"")</f>
        <v/>
      </c>
      <c r="CC290" s="518" t="str">
        <f>IF(AND(_A5="B-737-900",'2025'!$K$4="CA",'2025'!$K$2=CC271),'2025DATA'!$J$21,"")</f>
        <v/>
      </c>
      <c r="CD290" s="518" t="str">
        <f>IF(AND(_A5="B-737-900",'2025'!$K$4="CA",'2025'!$K$2=CD271),'2025DATA'!$K$21,"")</f>
        <v/>
      </c>
      <c r="CE290" s="518" t="str">
        <f>IF(AND(_A5="B-737-900",'2025'!$K$4="CA",'2025'!$K$2=CE271),'2025DATA'!$L$21,"")</f>
        <v/>
      </c>
      <c r="CF290" s="518" t="str">
        <f>IF(AND(_A5="B-737-900",'2025'!$K$4="CA",'2025'!$K$2=CF271),'2025DATA'!$M$21,"")</f>
        <v/>
      </c>
      <c r="CG290" s="520" t="str">
        <f>IF(AND(_A5="B-737-900",'2025'!$K$4="CA",'2025'!$K$2=CG271),'2025DATA'!$N$21,"")</f>
        <v/>
      </c>
      <c r="CH290" s="940" t="s">
        <v>47</v>
      </c>
      <c r="CI290" s="13" t="s">
        <v>61</v>
      </c>
      <c r="CJ290" s="518" t="str">
        <f>IF(AND(_A6="B-737-900",'2025'!$K$4="CA",'2025'!$K$2=CJ271),'2025DATA'!$C$21,"")</f>
        <v/>
      </c>
      <c r="CK290" s="518" t="str">
        <f>IF(AND(_A6="B-737-900",'2025'!$K$4="CA",'2025'!$K$2=CK271),'2025DATA'!$D$21,"")</f>
        <v/>
      </c>
      <c r="CL290" s="518" t="str">
        <f>IF(AND(_A6="B-737-900",'2025'!$K$4="CA",'2025'!$K$2=CL271),'2025DATA'!$E$21,"")</f>
        <v/>
      </c>
      <c r="CM290" s="518" t="str">
        <f>IF(AND(_A6="B-737-900",'2025'!$K$4="CA",'2025'!$K$2=CM271),'2025DATA'!$F$21,"")</f>
        <v/>
      </c>
      <c r="CN290" s="518" t="str">
        <f>IF(AND(_A6="B-737-900",'2025'!$K$4="CA",'2025'!$K$2=CN271),'2025DATA'!$G$21,"")</f>
        <v/>
      </c>
      <c r="CO290" s="518" t="str">
        <f>IF(AND(_A6="B-737-900",'2025'!$K$4="CA",'2025'!$K$2=CO271),'2025DATA'!$H$21,"")</f>
        <v/>
      </c>
      <c r="CP290" s="518" t="str">
        <f>IF(AND(_A6="B-737-900",'2025'!$K$4="CA",'2025'!$K$2=CP271),'2025DATA'!$I$21,"")</f>
        <v/>
      </c>
      <c r="CQ290" s="518" t="str">
        <f>IF(AND(_A6="B-737-900",'2025'!$K$4="CA",'2025'!$K$2=CQ271),'2025DATA'!$J$21,"")</f>
        <v/>
      </c>
      <c r="CR290" s="518" t="str">
        <f>IF(AND(_A6="B-737-900",'2025'!$K$4="CA",'2025'!$K$2=CR271),'2025DATA'!$K$21,"")</f>
        <v/>
      </c>
      <c r="CS290" s="518" t="str">
        <f>IF(AND(_A6="B-737-900",'2025'!$K$4="CA",'2025'!$K$2=CS271),'2025DATA'!$L$21,"")</f>
        <v/>
      </c>
      <c r="CT290" s="518" t="str">
        <f>IF(AND(_A6="B-737-900",'2025'!$K$4="CA",'2025'!$K$2=CT271),'2025DATA'!$M$21,"")</f>
        <v/>
      </c>
      <c r="CU290" s="520" t="str">
        <f>IF(AND(_A6="B-737-900",'2025'!$K$4="CA",'2025'!$K$2=CU271),'2025DATA'!$N$21,"")</f>
        <v/>
      </c>
    </row>
    <row r="291" spans="16:99" x14ac:dyDescent="0.25">
      <c r="P291" s="940"/>
      <c r="Q291" s="13" t="s">
        <v>62</v>
      </c>
      <c r="R291" s="518" t="str">
        <f>IF(AND(_A1="B-737-900",'2025'!$K$4="FO",'2025'!$K$2=R271),'2025DATA'!$C$22,"")</f>
        <v/>
      </c>
      <c r="S291" s="518" t="str">
        <f>IF(AND(_A1="B-737-900",'2025'!$K$4="FO",'2025'!$K$2=S271),'2025DATA'!$D$22,"")</f>
        <v/>
      </c>
      <c r="T291" s="518" t="str">
        <f>IF(AND(_A1="B-737-900",'2025'!$K$4="FO",'2025'!$K$2=T271),'2025DATA'!$E$22,"")</f>
        <v/>
      </c>
      <c r="U291" s="518" t="str">
        <f>IF(AND(_A1="B-737-900",'2025'!$K$4="FO",'2025'!$K$2=U271),'2025DATA'!$F$22,"")</f>
        <v/>
      </c>
      <c r="V291" s="518" t="str">
        <f>IF(AND(_A1="B-737-900",'2025'!$K$4="FO",'2025'!$K$2=V271),'2025DATA'!$G$22,"")</f>
        <v/>
      </c>
      <c r="W291" s="518" t="str">
        <f>IF(AND(_A1="B-737-900",'2025'!$K$4="FO",'2025'!$K$2=W271),'2025DATA'!$H$22,"")</f>
        <v/>
      </c>
      <c r="X291" s="518" t="str">
        <f>IF(AND(_A1="B-737-900",'2025'!$K$4="FO",'2025'!$K$2=X271),'2025DATA'!$I$22,"")</f>
        <v/>
      </c>
      <c r="Y291" s="518" t="str">
        <f>IF(AND(_A1="B-737-900",'2025'!$K$4="FO",'2025'!$K$2=Y271),'2025DATA'!$J$22,"")</f>
        <v/>
      </c>
      <c r="Z291" s="518" t="str">
        <f>IF(AND(_A1="B-737-900",'2025'!$K$4="FO",'2025'!$K$2=Z271),'2025DATA'!$K$22,"")</f>
        <v/>
      </c>
      <c r="AA291" s="518" t="str">
        <f>IF(AND(_A1="B-737-900",'2025'!$K$4="FO",'2025'!$K$2=AA271),'2025DATA'!$L$22,"")</f>
        <v/>
      </c>
      <c r="AB291" s="518" t="str">
        <f>IF(AND(_A1="B-737-900",'2025'!$K$4="FO",'2025'!$K$2=AB271),'2025DATA'!$M$22,"")</f>
        <v/>
      </c>
      <c r="AC291" s="520" t="str">
        <f>IF(AND(_A1="B-737-900",'2025'!$K$4="FO",'2025'!$K$2=AC271),'2025DATA'!$N$22,"")</f>
        <v/>
      </c>
      <c r="AD291" s="940"/>
      <c r="AE291" s="13" t="s">
        <v>62</v>
      </c>
      <c r="AF291" s="518" t="str">
        <f>IF(AND(_A2="B-737-900",'2025'!$K$4="FO",'2025'!$K$2=AF271),'2025DATA'!$C$22,"")</f>
        <v/>
      </c>
      <c r="AG291" s="518" t="str">
        <f>IF(AND(_A2="B-737-900",'2025'!$K$4="FO",'2025'!$K$2=AG271),'2025DATA'!$D$22,"")</f>
        <v/>
      </c>
      <c r="AH291" s="518" t="str">
        <f>IF(AND(_A2="B-737-900",'2025'!$K$4="FO",'2025'!$K$2=AH271),'2025DATA'!$E$22,"")</f>
        <v/>
      </c>
      <c r="AI291" s="518" t="str">
        <f>IF(AND(_A2="B-737-900",'2025'!$K$4="FO",'2025'!$K$2=AI271),'2025DATA'!$F$22,"")</f>
        <v/>
      </c>
      <c r="AJ291" s="518" t="str">
        <f>IF(AND(_A2="B-737-900",'2025'!$K$4="FO",'2025'!$K$2=AJ271),'2025DATA'!$G$22,"")</f>
        <v/>
      </c>
      <c r="AK291" s="518" t="str">
        <f>IF(AND(_A2="B-737-900",'2025'!$K$4="FO",'2025'!$K$2=AK271),'2025DATA'!$H$22,"")</f>
        <v/>
      </c>
      <c r="AL291" s="518" t="str">
        <f>IF(AND(_A2="B-737-900",'2025'!$K$4="FO",'2025'!$K$2=AL271),'2025DATA'!$I$22,"")</f>
        <v/>
      </c>
      <c r="AM291" s="518" t="str">
        <f>IF(AND(_A2="B-737-900",'2025'!$K$4="FO",'2025'!$K$2=AM271),'2025DATA'!$J$22,"")</f>
        <v/>
      </c>
      <c r="AN291" s="518" t="str">
        <f>IF(AND(_A2="B-737-900",'2025'!$K$4="FO",'2025'!$K$2=AN271),'2025DATA'!$K$22,"")</f>
        <v/>
      </c>
      <c r="AO291" s="518" t="str">
        <f>IF(AND(_A2="B-737-900",'2025'!$K$4="FO",'2025'!$K$2=AO271),'2025DATA'!$L$22,"")</f>
        <v/>
      </c>
      <c r="AP291" s="518" t="str">
        <f>IF(AND(_A2="B-737-900",'2025'!$K$4="FO",'2025'!$K$2=AP271),'2025DATA'!$M$22,"")</f>
        <v/>
      </c>
      <c r="AQ291" s="520" t="str">
        <f>IF(AND(_A2="B-737-900",'2025'!$K$4="FO",'2025'!$K$2=AQ271),'2025DATA'!$N$22,"")</f>
        <v/>
      </c>
      <c r="AR291" s="940"/>
      <c r="AS291" s="13" t="s">
        <v>62</v>
      </c>
      <c r="AT291" s="518" t="str">
        <f>IF(AND(_A3="B-737-900",'2025'!$K$4="FO",'2025'!$K$2=AT271),'2025DATA'!$C$22,"")</f>
        <v/>
      </c>
      <c r="AU291" s="518" t="str">
        <f>IF(AND(_A3="B-737-900",'2025'!$K$4="FO",'2025'!$K$2=AU271),'2025DATA'!$D$22,"")</f>
        <v/>
      </c>
      <c r="AV291" s="518" t="str">
        <f>IF(AND(_A3="B-737-900",'2025'!$K$4="FO",'2025'!$K$2=AV271),'2025DATA'!$E$22,"")</f>
        <v/>
      </c>
      <c r="AW291" s="518" t="str">
        <f>IF(AND(_A3="B-737-900",'2025'!$K$4="FO",'2025'!$K$2=AW271),'2025DATA'!$F$22,"")</f>
        <v/>
      </c>
      <c r="AX291" s="518" t="str">
        <f>IF(AND(_A3="B-737-900",'2025'!$K$4="FO",'2025'!$K$2=AX271),'2025DATA'!$G$22,"")</f>
        <v/>
      </c>
      <c r="AY291" s="518" t="str">
        <f>IF(AND(_A3="B-737-900",'2025'!$K$4="FO",'2025'!$K$2=AY271),'2025DATA'!$H$22,"")</f>
        <v/>
      </c>
      <c r="AZ291" s="518" t="str">
        <f>IF(AND(_A3="B-737-900",'2025'!$K$4="FO",'2025'!$K$2=AZ271),'2025DATA'!$I$22,"")</f>
        <v/>
      </c>
      <c r="BA291" s="518" t="str">
        <f>IF(AND(_A3="B-737-900",'2025'!$K$4="FO",'2025'!$K$2=BA271),'2025DATA'!$J$22,"")</f>
        <v/>
      </c>
      <c r="BB291" s="518" t="str">
        <f>IF(AND(_A3="B-737-900",'2025'!$K$4="FO",'2025'!$K$2=BB271),'2025DATA'!$K$22,"")</f>
        <v/>
      </c>
      <c r="BC291" s="518" t="str">
        <f>IF(AND(_A3="B-737-900",'2025'!$K$4="FO",'2025'!$K$2=BC271),'2025DATA'!$L$22,"")</f>
        <v/>
      </c>
      <c r="BD291" s="518" t="str">
        <f>IF(AND(_A3="B-737-900",'2025'!$K$4="FO",'2025'!$K$2=BD271),'2025DATA'!$M$22,"")</f>
        <v/>
      </c>
      <c r="BE291" s="520" t="str">
        <f>IF(AND(_A3="B-737-900",'2025'!$K$4="FO",'2025'!$K$2=BE271),'2025DATA'!$N$22,"")</f>
        <v/>
      </c>
      <c r="BF291" s="940"/>
      <c r="BG291" s="13" t="s">
        <v>62</v>
      </c>
      <c r="BH291" s="518" t="str">
        <f>IF(AND(_A4="B-737-900",'2025'!$K$4="FO",'2025'!$K$2=BH271),'2025DATA'!$C$22,"")</f>
        <v/>
      </c>
      <c r="BI291" s="518" t="str">
        <f>IF(AND(_A4="B-737-900",'2025'!$K$4="FO",'2025'!$K$2=BI271),'2025DATA'!$D$22,"")</f>
        <v/>
      </c>
      <c r="BJ291" s="518" t="str">
        <f>IF(AND(_A4="B-737-900",'2025'!$K$4="FO",'2025'!$K$2=BJ271),'2025DATA'!$E$22,"")</f>
        <v/>
      </c>
      <c r="BK291" s="518" t="str">
        <f>IF(AND(_A4="B-737-900",'2025'!$K$4="FO",'2025'!$K$2=BK271),'2025DATA'!$F$22,"")</f>
        <v/>
      </c>
      <c r="BL291" s="518" t="str">
        <f>IF(AND(_A4="B-737-900",'2025'!$K$4="FO",'2025'!$K$2=BL271),'2025DATA'!$G$22,"")</f>
        <v/>
      </c>
      <c r="BM291" s="518" t="str">
        <f>IF(AND(_A4="B-737-900",'2025'!$K$4="FO",'2025'!$K$2=BM271),'2025DATA'!$H$22,"")</f>
        <v/>
      </c>
      <c r="BN291" s="518" t="str">
        <f>IF(AND(_A4="B-737-900",'2025'!$K$4="FO",'2025'!$K$2=BN271),'2025DATA'!$I$22,"")</f>
        <v/>
      </c>
      <c r="BO291" s="518" t="str">
        <f>IF(AND(_A4="B-737-900",'2025'!$K$4="FO",'2025'!$K$2=BO271),'2025DATA'!$J$22,"")</f>
        <v/>
      </c>
      <c r="BP291" s="518" t="str">
        <f>IF(AND(_A4="B-737-900",'2025'!$K$4="FO",'2025'!$K$2=BP271),'2025DATA'!$K$22,"")</f>
        <v/>
      </c>
      <c r="BQ291" s="518" t="str">
        <f>IF(AND(_A4="B-737-900",'2025'!$K$4="FO",'2025'!$K$2=BQ271),'2025DATA'!$L$22,"")</f>
        <v/>
      </c>
      <c r="BR291" s="518" t="str">
        <f>IF(AND(_A4="B-737-900",'2025'!$K$4="FO",'2025'!$K$2=BR271),'2025DATA'!$M$22,"")</f>
        <v/>
      </c>
      <c r="BS291" s="520" t="str">
        <f>IF(AND(_A4="B-737-900",'2025'!$K$4="FO",'2025'!$K$2=BS271),'2025DATA'!$N$22,"")</f>
        <v/>
      </c>
      <c r="BT291" s="940"/>
      <c r="BU291" s="13" t="s">
        <v>62</v>
      </c>
      <c r="BV291" s="518" t="str">
        <f>IF(AND(_A5="B-737-900",'2025'!$K$4="FO",'2025'!$K$2=BV271),'2025DATA'!$C$22,"")</f>
        <v/>
      </c>
      <c r="BW291" s="518" t="str">
        <f>IF(AND(_A5="B-737-900",'2025'!$K$4="FO",'2025'!$K$2=BW271),'2025DATA'!$D$22,"")</f>
        <v/>
      </c>
      <c r="BX291" s="518" t="str">
        <f>IF(AND(_A5="B-737-900",'2025'!$K$4="FO",'2025'!$K$2=BX271),'2025DATA'!$E$22,"")</f>
        <v/>
      </c>
      <c r="BY291" s="518" t="str">
        <f>IF(AND(_A5="B-737-900",'2025'!$K$4="FO",'2025'!$K$2=BY271),'2025DATA'!$F$22,"")</f>
        <v/>
      </c>
      <c r="BZ291" s="518" t="str">
        <f>IF(AND(_A5="B-737-900",'2025'!$K$4="FO",'2025'!$K$2=BZ271),'2025DATA'!$G$22,"")</f>
        <v/>
      </c>
      <c r="CA291" s="518" t="str">
        <f>IF(AND(_A5="B-737-900",'2025'!$K$4="FO",'2025'!$K$2=CA271),'2025DATA'!$H$22,"")</f>
        <v/>
      </c>
      <c r="CB291" s="518" t="str">
        <f>IF(AND(_A5="B-737-900",'2025'!$K$4="FO",'2025'!$K$2=CB271),'2025DATA'!$I$22,"")</f>
        <v/>
      </c>
      <c r="CC291" s="518" t="str">
        <f>IF(AND(_A5="B-737-900",'2025'!$K$4="FO",'2025'!$K$2=CC271),'2025DATA'!$J$22,"")</f>
        <v/>
      </c>
      <c r="CD291" s="518" t="str">
        <f>IF(AND(_A5="B-737-900",'2025'!$K$4="FO",'2025'!$K$2=CD271),'2025DATA'!$K$22,"")</f>
        <v/>
      </c>
      <c r="CE291" s="518" t="str">
        <f>IF(AND(_A5="B-737-900",'2025'!$K$4="FO",'2025'!$K$2=CE271),'2025DATA'!$L$22,"")</f>
        <v/>
      </c>
      <c r="CF291" s="518" t="str">
        <f>IF(AND(_A5="B-737-900",'2025'!$K$4="FO",'2025'!$K$2=CF271),'2025DATA'!$M$22,"")</f>
        <v/>
      </c>
      <c r="CG291" s="520" t="str">
        <f>IF(AND(_A5="B-737-900",'2025'!$K$4="FO",'2025'!$K$2=CG271),'2025DATA'!$N$22,"")</f>
        <v/>
      </c>
      <c r="CH291" s="940"/>
      <c r="CI291" s="13" t="s">
        <v>62</v>
      </c>
      <c r="CJ291" s="518" t="str">
        <f>IF(AND(_A6="B-737-900",'2025'!$K$4="FO",'2025'!$K$2=CJ271),'2025DATA'!$C$22,"")</f>
        <v/>
      </c>
      <c r="CK291" s="518" t="str">
        <f>IF(AND(_A6="B-737-900",'2025'!$K$4="FO",'2025'!$K$2=CK271),'2025DATA'!$D$22,"")</f>
        <v/>
      </c>
      <c r="CL291" s="518" t="str">
        <f>IF(AND(_A6="B-737-900",'2025'!$K$4="FO",'2025'!$K$2=CL271),'2025DATA'!$E$22,"")</f>
        <v/>
      </c>
      <c r="CM291" s="518" t="str">
        <f>IF(AND(_A6="B-737-900",'2025'!$K$4="FO",'2025'!$K$2=CM271),'2025DATA'!$F$22,"")</f>
        <v/>
      </c>
      <c r="CN291" s="518" t="str">
        <f>IF(AND(_A6="B-737-900",'2025'!$K$4="FO",'2025'!$K$2=CN271),'2025DATA'!$G$22,"")</f>
        <v/>
      </c>
      <c r="CO291" s="518" t="str">
        <f>IF(AND(_A6="B-737-900",'2025'!$K$4="FO",'2025'!$K$2=CO271),'2025DATA'!$H$22,"")</f>
        <v/>
      </c>
      <c r="CP291" s="518" t="str">
        <f>IF(AND(_A6="B-737-900",'2025'!$K$4="FO",'2025'!$K$2=CP271),'2025DATA'!$I$22,"")</f>
        <v/>
      </c>
      <c r="CQ291" s="518" t="str">
        <f>IF(AND(_A6="B-737-900",'2025'!$K$4="FO",'2025'!$K$2=CQ271),'2025DATA'!$J$22,"")</f>
        <v/>
      </c>
      <c r="CR291" s="518" t="str">
        <f>IF(AND(_A6="B-737-900",'2025'!$K$4="FO",'2025'!$K$2=CR271),'2025DATA'!$K$22,"")</f>
        <v/>
      </c>
      <c r="CS291" s="518" t="str">
        <f>IF(AND(_A6="B-737-900",'2025'!$K$4="FO",'2025'!$K$2=CS271),'2025DATA'!$L$22,"")</f>
        <v/>
      </c>
      <c r="CT291" s="518" t="str">
        <f>IF(AND(_A6="B-737-900",'2025'!$K$4="FO",'2025'!$K$2=CT271),'2025DATA'!$M$22,"")</f>
        <v/>
      </c>
      <c r="CU291" s="520" t="str">
        <f>IF(AND(_A6="B-737-900",'2025'!$K$4="FO",'2025'!$K$2=CU271),'2025DATA'!$N$22,"")</f>
        <v/>
      </c>
    </row>
    <row r="292" spans="16:99" x14ac:dyDescent="0.25">
      <c r="P292" s="940" t="s">
        <v>69</v>
      </c>
      <c r="Q292" s="13" t="s">
        <v>61</v>
      </c>
      <c r="R292" s="518" t="str">
        <f>IF(AND(_A1="B-737-800",'2025'!$K$4="CA",'2025'!$K$2=R271),'2025DATA'!$C$23,"")</f>
        <v/>
      </c>
      <c r="S292" s="518" t="str">
        <f>IF(AND(_A1="B-737-800",'2025'!$K$4="CA",'2025'!$K$2=S271),'2025DATA'!$D$23,"")</f>
        <v/>
      </c>
      <c r="T292" s="518" t="str">
        <f>IF(AND(_A1="B-737-800",'2025'!$K$4="CA",'2025'!$K$2=T271),'2025DATA'!$E$23,"")</f>
        <v/>
      </c>
      <c r="U292" s="518" t="str">
        <f>IF(AND(_A1="B-737-800",'2025'!$K$4="CA",'2025'!$K$2=U271),'2025DATA'!$F$23,"")</f>
        <v/>
      </c>
      <c r="V292" s="518" t="str">
        <f>IF(AND(_A1="B-737-800",'2025'!$K$4="CA",'2025'!$K$2=V271),'2025DATA'!$G$23,"")</f>
        <v/>
      </c>
      <c r="W292" s="518" t="str">
        <f>IF(AND(_A1="B-737-800",'2025'!$K$4="CA",'2025'!$K$2=W271),'2025DATA'!$H$23,"")</f>
        <v/>
      </c>
      <c r="X292" s="518" t="str">
        <f>IF(AND(_A1="B-737-800",'2025'!$K$4="CA",'2025'!$K$2=X271),'2025DATA'!$I$23,"")</f>
        <v/>
      </c>
      <c r="Y292" s="518" t="str">
        <f>IF(AND(_A1="B-737-800",'2025'!$K$4="CA",'2025'!$K$2=Y271),'2025DATA'!$J$23,"")</f>
        <v/>
      </c>
      <c r="Z292" s="518" t="str">
        <f>IF(AND(_A1="B-737-800",'2025'!$K$4="CA",'2025'!$K$2=Z271),'2025DATA'!$K$23,"")</f>
        <v/>
      </c>
      <c r="AA292" s="518" t="str">
        <f>IF(AND(_A1="B-737-800",'2025'!$K$4="CA",'2025'!$K$2=AA271),'2025DATA'!$L$23,"")</f>
        <v/>
      </c>
      <c r="AB292" s="518" t="str">
        <f>IF(AND(_A1="B-737-800",'2025'!$K$4="CA",'2025'!$K$2=AB271),'2025DATA'!$M$23,"")</f>
        <v/>
      </c>
      <c r="AC292" s="520" t="str">
        <f>IF(AND(_A1="B-737-800",'2025'!$K$4="CA",'2025'!$K$2=AC271),'2025DATA'!$N$23,"")</f>
        <v/>
      </c>
      <c r="AD292" s="940" t="s">
        <v>69</v>
      </c>
      <c r="AE292" s="13" t="s">
        <v>61</v>
      </c>
      <c r="AF292" s="518" t="str">
        <f>IF(AND(_A2="B-737-800",'2025'!$K$4="CA",'2025'!$K$2=AF271),'2025DATA'!$C$23,"")</f>
        <v/>
      </c>
      <c r="AG292" s="518" t="str">
        <f>IF(AND(_A2="B-737-800",'2025'!$K$4="CA",'2025'!$K$2=AG271),'2025DATA'!$D$23,"")</f>
        <v/>
      </c>
      <c r="AH292" s="518" t="str">
        <f>IF(AND(_A2="B-737-800",'2025'!$K$4="CA",'2025'!$K$2=AH271),'2025DATA'!$E$23,"")</f>
        <v/>
      </c>
      <c r="AI292" s="518" t="str">
        <f>IF(AND(_A2="B-737-800",'2025'!$K$4="CA",'2025'!$K$2=AI271),'2025DATA'!$F$23,"")</f>
        <v/>
      </c>
      <c r="AJ292" s="518" t="str">
        <f>IF(AND(_A2="B-737-800",'2025'!$K$4="CA",'2025'!$K$2=AJ271),'2025DATA'!$G$23,"")</f>
        <v/>
      </c>
      <c r="AK292" s="518" t="str">
        <f>IF(AND(_A2="B-737-800",'2025'!$K$4="CA",'2025'!$K$2=AK271),'2025DATA'!$H$23,"")</f>
        <v/>
      </c>
      <c r="AL292" s="518" t="str">
        <f>IF(AND(_A2="B-737-800",'2025'!$K$4="CA",'2025'!$K$2=AL271),'2025DATA'!$I$23,"")</f>
        <v/>
      </c>
      <c r="AM292" s="518" t="str">
        <f>IF(AND(_A2="B-737-800",'2025'!$K$4="CA",'2025'!$K$2=AM271),'2025DATA'!$J$23,"")</f>
        <v/>
      </c>
      <c r="AN292" s="518" t="str">
        <f>IF(AND(_A2="B-737-800",'2025'!$K$4="CA",'2025'!$K$2=AN271),'2025DATA'!$K$23,"")</f>
        <v/>
      </c>
      <c r="AO292" s="518" t="str">
        <f>IF(AND(_A2="B-737-800",'2025'!$K$4="CA",'2025'!$K$2=AO271),'2025DATA'!$L$23,"")</f>
        <v/>
      </c>
      <c r="AP292" s="518" t="str">
        <f>IF(AND(_A2="B-737-800",'2025'!$K$4="CA",'2025'!$K$2=AP271),'2025DATA'!$M$23,"")</f>
        <v/>
      </c>
      <c r="AQ292" s="520" t="str">
        <f>IF(AND(_A2="B-737-800",'2025'!$K$4="CA",'2025'!$K$2=AQ271),'2025DATA'!$N$23,"")</f>
        <v/>
      </c>
      <c r="AR292" s="940" t="s">
        <v>69</v>
      </c>
      <c r="AS292" s="13" t="s">
        <v>61</v>
      </c>
      <c r="AT292" s="518" t="str">
        <f>IF(AND(_A3="B-737-800",'2025'!$K$4="CA",'2025'!$K$2=AT271),'2025DATA'!$C$23,"")</f>
        <v/>
      </c>
      <c r="AU292" s="518" t="str">
        <f>IF(AND(_A3="B-737-800",'2025'!$K$4="CA",'2025'!$K$2=AU271),'2025DATA'!$D$23,"")</f>
        <v/>
      </c>
      <c r="AV292" s="518" t="str">
        <f>IF(AND(_A3="B-737-800",'2025'!$K$4="CA",'2025'!$K$2=AV271),'2025DATA'!$E$23,"")</f>
        <v/>
      </c>
      <c r="AW292" s="518" t="str">
        <f>IF(AND(_A3="B-737-800",'2025'!$K$4="CA",'2025'!$K$2=AW271),'2025DATA'!$F$23,"")</f>
        <v/>
      </c>
      <c r="AX292" s="518" t="str">
        <f>IF(AND(_A3="B-737-800",'2025'!$K$4="CA",'2025'!$K$2=AX271),'2025DATA'!$G$23,"")</f>
        <v/>
      </c>
      <c r="AY292" s="518" t="str">
        <f>IF(AND(_A3="B-737-800",'2025'!$K$4="CA",'2025'!$K$2=AY271),'2025DATA'!$H$23,"")</f>
        <v/>
      </c>
      <c r="AZ292" s="518" t="str">
        <f>IF(AND(_A3="B-737-800",'2025'!$K$4="CA",'2025'!$K$2=AZ271),'2025DATA'!$I$23,"")</f>
        <v/>
      </c>
      <c r="BA292" s="518" t="str">
        <f>IF(AND(_A3="B-737-800",'2025'!$K$4="CA",'2025'!$K$2=BA271),'2025DATA'!$J$23,"")</f>
        <v/>
      </c>
      <c r="BB292" s="518" t="str">
        <f>IF(AND(_A3="B-737-800",'2025'!$K$4="CA",'2025'!$K$2=BB271),'2025DATA'!$K$23,"")</f>
        <v/>
      </c>
      <c r="BC292" s="518" t="str">
        <f>IF(AND(_A3="B-737-800",'2025'!$K$4="CA",'2025'!$K$2=BC271),'2025DATA'!$L$23,"")</f>
        <v/>
      </c>
      <c r="BD292" s="518" t="str">
        <f>IF(AND(_A3="B-737-800",'2025'!$K$4="CA",'2025'!$K$2=BD271),'2025DATA'!$M$23,"")</f>
        <v/>
      </c>
      <c r="BE292" s="520" t="str">
        <f>IF(AND(_A3="B-737-800",'2025'!$K$4="CA",'2025'!$K$2=BE271),'2025DATA'!$N$23,"")</f>
        <v/>
      </c>
      <c r="BF292" s="940" t="s">
        <v>69</v>
      </c>
      <c r="BG292" s="13" t="s">
        <v>61</v>
      </c>
      <c r="BH292" s="518" t="str">
        <f>IF(AND(_A4="B-737-800",'2025'!$K$4="CA",'2025'!$K$2=BH271),'2025DATA'!$C$23,"")</f>
        <v/>
      </c>
      <c r="BI292" s="518" t="str">
        <f>IF(AND(_A4="B-737-800",'2025'!$K$4="CA",'2025'!$K$2=BI271),'2025DATA'!$D$23,"")</f>
        <v/>
      </c>
      <c r="BJ292" s="518" t="str">
        <f>IF(AND(_A4="B-737-800",'2025'!$K$4="CA",'2025'!$K$2=BJ271),'2025DATA'!$E$23,"")</f>
        <v/>
      </c>
      <c r="BK292" s="518" t="str">
        <f>IF(AND(_A4="B-737-800",'2025'!$K$4="CA",'2025'!$K$2=BK271),'2025DATA'!$F$23,"")</f>
        <v/>
      </c>
      <c r="BL292" s="518" t="str">
        <f>IF(AND(_A4="B-737-800",'2025'!$K$4="CA",'2025'!$K$2=BL271),'2025DATA'!$G$23,"")</f>
        <v/>
      </c>
      <c r="BM292" s="518" t="str">
        <f>IF(AND(_A4="B-737-800",'2025'!$K$4="CA",'2025'!$K$2=BM271),'2025DATA'!$H$23,"")</f>
        <v/>
      </c>
      <c r="BN292" s="518" t="str">
        <f>IF(AND(_A4="B-737-800",'2025'!$K$4="CA",'2025'!$K$2=BN271),'2025DATA'!$I$23,"")</f>
        <v/>
      </c>
      <c r="BO292" s="518" t="str">
        <f>IF(AND(_A4="B-737-800",'2025'!$K$4="CA",'2025'!$K$2=BO271),'2025DATA'!$J$23,"")</f>
        <v/>
      </c>
      <c r="BP292" s="518" t="str">
        <f>IF(AND(_A4="B-737-800",'2025'!$K$4="CA",'2025'!$K$2=BP271),'2025DATA'!$K$23,"")</f>
        <v/>
      </c>
      <c r="BQ292" s="518" t="str">
        <f>IF(AND(_A4="B-737-800",'2025'!$K$4="CA",'2025'!$K$2=BQ271),'2025DATA'!$L$23,"")</f>
        <v/>
      </c>
      <c r="BR292" s="518" t="str">
        <f>IF(AND(_A4="B-737-800",'2025'!$K$4="CA",'2025'!$K$2=BR271),'2025DATA'!$M$23,"")</f>
        <v/>
      </c>
      <c r="BS292" s="520" t="str">
        <f>IF(AND(_A4="B-737-800",'2025'!$K$4="CA",'2025'!$K$2=BS271),'2025DATA'!$N$23,"")</f>
        <v/>
      </c>
      <c r="BT292" s="940" t="s">
        <v>69</v>
      </c>
      <c r="BU292" s="13" t="s">
        <v>61</v>
      </c>
      <c r="BV292" s="518" t="str">
        <f>IF(AND(_A5="B-737-800",'2025'!$K$4="CA",'2025'!$K$2=BV271),'2025DATA'!$C$23,"")</f>
        <v/>
      </c>
      <c r="BW292" s="518" t="str">
        <f>IF(AND(_A5="B-737-800",'2025'!$K$4="CA",'2025'!$K$2=BW271),'2025DATA'!$D$23,"")</f>
        <v/>
      </c>
      <c r="BX292" s="518" t="str">
        <f>IF(AND(_A5="B-737-800",'2025'!$K$4="CA",'2025'!$K$2=BX271),'2025DATA'!$E$23,"")</f>
        <v/>
      </c>
      <c r="BY292" s="518" t="str">
        <f>IF(AND(_A5="B-737-800",'2025'!$K$4="CA",'2025'!$K$2=BY271),'2025DATA'!$F$23,"")</f>
        <v/>
      </c>
      <c r="BZ292" s="518" t="str">
        <f>IF(AND(_A5="B-737-800",'2025'!$K$4="CA",'2025'!$K$2=BZ271),'2025DATA'!$G$23,"")</f>
        <v/>
      </c>
      <c r="CA292" s="518" t="str">
        <f>IF(AND(_A5="B-737-800",'2025'!$K$4="CA",'2025'!$K$2=CA271),'2025DATA'!$H$23,"")</f>
        <v/>
      </c>
      <c r="CB292" s="518" t="str">
        <f>IF(AND(_A5="B-737-800",'2025'!$K$4="CA",'2025'!$K$2=CB271),'2025DATA'!$I$23,"")</f>
        <v/>
      </c>
      <c r="CC292" s="518" t="str">
        <f>IF(AND(_A5="B-737-800",'2025'!$K$4="CA",'2025'!$K$2=CC271),'2025DATA'!$J$23,"")</f>
        <v/>
      </c>
      <c r="CD292" s="518" t="str">
        <f>IF(AND(_A5="B-737-800",'2025'!$K$4="CA",'2025'!$K$2=CD271),'2025DATA'!$K$23,"")</f>
        <v/>
      </c>
      <c r="CE292" s="518" t="str">
        <f>IF(AND(_A5="B-737-800",'2025'!$K$4="CA",'2025'!$K$2=CE271),'2025DATA'!$L$23,"")</f>
        <v/>
      </c>
      <c r="CF292" s="518" t="str">
        <f>IF(AND(_A5="B-737-800",'2025'!$K$4="CA",'2025'!$K$2=CF271),'2025DATA'!$M$23,"")</f>
        <v/>
      </c>
      <c r="CG292" s="520" t="str">
        <f>IF(AND(_A5="B-737-800",'2025'!$K$4="CA",'2025'!$K$2=CG271),'2025DATA'!$N$23,"")</f>
        <v/>
      </c>
      <c r="CH292" s="940" t="s">
        <v>69</v>
      </c>
      <c r="CI292" s="13" t="s">
        <v>61</v>
      </c>
      <c r="CJ292" s="518" t="str">
        <f>IF(AND(_A6="B-737-800",'2025'!$K$4="CA",'2025'!$K$2=CJ271),'2025DATA'!$C$23,"")</f>
        <v/>
      </c>
      <c r="CK292" s="518" t="str">
        <f>IF(AND(_A6="B-737-800",'2025'!$K$4="CA",'2025'!$K$2=CK271),'2025DATA'!$D$23,"")</f>
        <v/>
      </c>
      <c r="CL292" s="518" t="str">
        <f>IF(AND(_A6="B-737-800",'2025'!$K$4="CA",'2025'!$K$2=CL271),'2025DATA'!$E$23,"")</f>
        <v/>
      </c>
      <c r="CM292" s="518" t="str">
        <f>IF(AND(_A6="B-737-800",'2025'!$K$4="CA",'2025'!$K$2=CM271),'2025DATA'!$F$23,"")</f>
        <v/>
      </c>
      <c r="CN292" s="518" t="str">
        <f>IF(AND(_A6="B-737-800",'2025'!$K$4="CA",'2025'!$K$2=CN271),'2025DATA'!$G$23,"")</f>
        <v/>
      </c>
      <c r="CO292" s="518" t="str">
        <f>IF(AND(_A6="B-737-800",'2025'!$K$4="CA",'2025'!$K$2=CO271),'2025DATA'!$H$23,"")</f>
        <v/>
      </c>
      <c r="CP292" s="518" t="str">
        <f>IF(AND(_A6="B-737-800",'2025'!$K$4="CA",'2025'!$K$2=CP271),'2025DATA'!$I$23,"")</f>
        <v/>
      </c>
      <c r="CQ292" s="518" t="str">
        <f>IF(AND(_A6="B-737-800",'2025'!$K$4="CA",'2025'!$K$2=CQ271),'2025DATA'!$J$23,"")</f>
        <v/>
      </c>
      <c r="CR292" s="518" t="str">
        <f>IF(AND(_A6="B-737-800",'2025'!$K$4="CA",'2025'!$K$2=CR271),'2025DATA'!$K$23,"")</f>
        <v/>
      </c>
      <c r="CS292" s="518" t="str">
        <f>IF(AND(_A6="B-737-800",'2025'!$K$4="CA",'2025'!$K$2=CS271),'2025DATA'!$L$23,"")</f>
        <v/>
      </c>
      <c r="CT292" s="518" t="str">
        <f>IF(AND(_A6="B-737-800",'2025'!$K$4="CA",'2025'!$K$2=CT271),'2025DATA'!$M$23,"")</f>
        <v/>
      </c>
      <c r="CU292" s="520" t="str">
        <f>IF(AND(_A6="B-737-800",'2025'!$K$4="CA",'2025'!$K$2=CU271),'2025DATA'!$N$23,"")</f>
        <v/>
      </c>
    </row>
    <row r="293" spans="16:99" x14ac:dyDescent="0.25">
      <c r="P293" s="940"/>
      <c r="Q293" s="13" t="s">
        <v>62</v>
      </c>
      <c r="R293" s="518" t="str">
        <f>IF(AND(_A1="B-737-800",'2025'!$K$4="FO",'2025'!$K$2=R271),'2025DATA'!$C$24,"")</f>
        <v/>
      </c>
      <c r="S293" s="518" t="str">
        <f>IF(AND(_A1="B-737-800",'2025'!$K$4="FO",'2025'!$K$2=S271),'2025DATA'!$D$24,"")</f>
        <v/>
      </c>
      <c r="T293" s="518" t="str">
        <f>IF(AND(_A1="B-737-800",'2025'!$K$4="FO",'2025'!$K$2=T271),'2025DATA'!$E$24,"")</f>
        <v/>
      </c>
      <c r="U293" s="518" t="str">
        <f>IF(AND(_A1="B-737-800",'2025'!$K$4="FO",'2025'!$K$2=U271),'2025DATA'!$F$24,"")</f>
        <v/>
      </c>
      <c r="V293" s="518" t="str">
        <f>IF(AND(_A1="B-737-800",'2025'!$K$4="FO",'2025'!$K$2=V271),'2025DATA'!$G$24,"")</f>
        <v/>
      </c>
      <c r="W293" s="518" t="str">
        <f>IF(AND(_A1="B-737-800",'2025'!$K$4="FO",'2025'!$K$2=W271),'2025DATA'!$H$24,"")</f>
        <v/>
      </c>
      <c r="X293" s="518" t="str">
        <f>IF(AND(_A1="B-737-800",'2025'!$K$4="FO",'2025'!$K$2=X271),'2025DATA'!$I$24,"")</f>
        <v/>
      </c>
      <c r="Y293" s="518" t="str">
        <f>IF(AND(_A1="B-737-800",'2025'!$K$4="FO",'2025'!$K$2=Y271),'2025DATA'!$J$24,"")</f>
        <v/>
      </c>
      <c r="Z293" s="518" t="str">
        <f>IF(AND(_A1="B-737-800",'2025'!$K$4="FO",'2025'!$K$2=Z271),'2025DATA'!$K$24,"")</f>
        <v/>
      </c>
      <c r="AA293" s="518" t="str">
        <f>IF(AND(_A1="B-737-800",'2025'!$K$4="FO",'2025'!$K$2=AA271),'2025DATA'!$L$24,"")</f>
        <v/>
      </c>
      <c r="AB293" s="518" t="str">
        <f>IF(AND(_A1="B-737-800",'2025'!$K$4="FO",'2025'!$K$2=AB271),'2025DATA'!$M$24,"")</f>
        <v/>
      </c>
      <c r="AC293" s="520" t="str">
        <f>IF(AND(_A1="B-737-800",'2025'!$K$4="FO",'2025'!$K$2=AC271),'2025DATA'!$N$24,"")</f>
        <v/>
      </c>
      <c r="AD293" s="940"/>
      <c r="AE293" s="13" t="s">
        <v>62</v>
      </c>
      <c r="AF293" s="518" t="str">
        <f>IF(AND(_A2="B-737-800",'2025'!$K$4="FO",'2025'!$K$2=AF271),'2025DATA'!$C$24,"")</f>
        <v/>
      </c>
      <c r="AG293" s="518" t="str">
        <f>IF(AND(_A2="B-737-800",'2025'!$K$4="FO",'2025'!$K$2=AG271),'2025DATA'!$D$24,"")</f>
        <v/>
      </c>
      <c r="AH293" s="518" t="str">
        <f>IF(AND(_A2="B-737-800",'2025'!$K$4="FO",'2025'!$K$2=AH271),'2025DATA'!$E$24,"")</f>
        <v/>
      </c>
      <c r="AI293" s="518" t="str">
        <f>IF(AND(_A2="B-737-800",'2025'!$K$4="FO",'2025'!$K$2=AI271),'2025DATA'!$F$24,"")</f>
        <v/>
      </c>
      <c r="AJ293" s="518" t="str">
        <f>IF(AND(_A2="B-737-800",'2025'!$K$4="FO",'2025'!$K$2=AJ271),'2025DATA'!$G$24,"")</f>
        <v/>
      </c>
      <c r="AK293" s="518" t="str">
        <f>IF(AND(_A2="B-737-800",'2025'!$K$4="FO",'2025'!$K$2=AK271),'2025DATA'!$H$24,"")</f>
        <v/>
      </c>
      <c r="AL293" s="518" t="str">
        <f>IF(AND(_A2="B-737-800",'2025'!$K$4="FO",'2025'!$K$2=AL271),'2025DATA'!$I$24,"")</f>
        <v/>
      </c>
      <c r="AM293" s="518" t="str">
        <f>IF(AND(_A2="B-737-800",'2025'!$K$4="FO",'2025'!$K$2=AM271),'2025DATA'!$J$24,"")</f>
        <v/>
      </c>
      <c r="AN293" s="518" t="str">
        <f>IF(AND(_A2="B-737-800",'2025'!$K$4="FO",'2025'!$K$2=AN271),'2025DATA'!$K$24,"")</f>
        <v/>
      </c>
      <c r="AO293" s="518" t="str">
        <f>IF(AND(_A2="B-737-800",'2025'!$K$4="FO",'2025'!$K$2=AO271),'2025DATA'!$L$24,"")</f>
        <v/>
      </c>
      <c r="AP293" s="518" t="str">
        <f>IF(AND(_A2="B-737-800",'2025'!$K$4="FO",'2025'!$K$2=AP271),'2025DATA'!$M$24,"")</f>
        <v/>
      </c>
      <c r="AQ293" s="520" t="str">
        <f>IF(AND(_A2="B-737-800",'2025'!$K$4="FO",'2025'!$K$2=AQ271),'2025DATA'!$N$24,"")</f>
        <v/>
      </c>
      <c r="AR293" s="940"/>
      <c r="AS293" s="13" t="s">
        <v>62</v>
      </c>
      <c r="AT293" s="518" t="str">
        <f>IF(AND(_A3="B-737-800",'2025'!$K$4="FO",'2025'!$K$2=AT271),'2025DATA'!$C$24,"")</f>
        <v/>
      </c>
      <c r="AU293" s="518" t="str">
        <f>IF(AND(_A3="B-737-800",'2025'!$K$4="FO",'2025'!$K$2=AU271),'2025DATA'!$D$24,"")</f>
        <v/>
      </c>
      <c r="AV293" s="518" t="str">
        <f>IF(AND(_A3="B-737-800",'2025'!$K$4="FO",'2025'!$K$2=AV271),'2025DATA'!$E$24,"")</f>
        <v/>
      </c>
      <c r="AW293" s="518" t="str">
        <f>IF(AND(_A3="B-737-800",'2025'!$K$4="FO",'2025'!$K$2=AW271),'2025DATA'!$F$24,"")</f>
        <v/>
      </c>
      <c r="AX293" s="518" t="str">
        <f>IF(AND(_A3="B-737-800",'2025'!$K$4="FO",'2025'!$K$2=AX271),'2025DATA'!$G$24,"")</f>
        <v/>
      </c>
      <c r="AY293" s="518" t="str">
        <f>IF(AND(_A3="B-737-800",'2025'!$K$4="FO",'2025'!$K$2=AY271),'2025DATA'!$H$24,"")</f>
        <v/>
      </c>
      <c r="AZ293" s="518" t="str">
        <f>IF(AND(_A3="B-737-800",'2025'!$K$4="FO",'2025'!$K$2=AZ271),'2025DATA'!$I$24,"")</f>
        <v/>
      </c>
      <c r="BA293" s="518" t="str">
        <f>IF(AND(_A3="B-737-800",'2025'!$K$4="FO",'2025'!$K$2=BA271),'2025DATA'!$J$24,"")</f>
        <v/>
      </c>
      <c r="BB293" s="518" t="str">
        <f>IF(AND(_A3="B-737-800",'2025'!$K$4="FO",'2025'!$K$2=BB271),'2025DATA'!$K$24,"")</f>
        <v/>
      </c>
      <c r="BC293" s="518" t="str">
        <f>IF(AND(_A3="B-737-800",'2025'!$K$4="FO",'2025'!$K$2=BC271),'2025DATA'!$L$24,"")</f>
        <v/>
      </c>
      <c r="BD293" s="518" t="str">
        <f>IF(AND(_A3="B-737-800",'2025'!$K$4="FO",'2025'!$K$2=BD271),'2025DATA'!$M$24,"")</f>
        <v/>
      </c>
      <c r="BE293" s="520" t="str">
        <f>IF(AND(_A3="B-737-800",'2025'!$K$4="FO",'2025'!$K$2=BE271),'2025DATA'!$N$24,"")</f>
        <v/>
      </c>
      <c r="BF293" s="940"/>
      <c r="BG293" s="13" t="s">
        <v>62</v>
      </c>
      <c r="BH293" s="518" t="str">
        <f>IF(AND(_A4="B-737-800",'2025'!$K$4="FO",'2025'!$K$2=BH271),'2025DATA'!$C$24,"")</f>
        <v/>
      </c>
      <c r="BI293" s="518" t="str">
        <f>IF(AND(_A4="B-737-800",'2025'!$K$4="FO",'2025'!$K$2=BI271),'2025DATA'!$D$24,"")</f>
        <v/>
      </c>
      <c r="BJ293" s="518" t="str">
        <f>IF(AND(_A4="B-737-800",'2025'!$K$4="FO",'2025'!$K$2=BJ271),'2025DATA'!$E$24,"")</f>
        <v/>
      </c>
      <c r="BK293" s="518" t="str">
        <f>IF(AND(_A4="B-737-800",'2025'!$K$4="FO",'2025'!$K$2=BK271),'2025DATA'!$F$24,"")</f>
        <v/>
      </c>
      <c r="BL293" s="518" t="str">
        <f>IF(AND(_A4="B-737-800",'2025'!$K$4="FO",'2025'!$K$2=BL271),'2025DATA'!$G$24,"")</f>
        <v/>
      </c>
      <c r="BM293" s="518" t="str">
        <f>IF(AND(_A4="B-737-800",'2025'!$K$4="FO",'2025'!$K$2=BM271),'2025DATA'!$H$24,"")</f>
        <v/>
      </c>
      <c r="BN293" s="518" t="str">
        <f>IF(AND(_A4="B-737-800",'2025'!$K$4="FO",'2025'!$K$2=BN271),'2025DATA'!$I$24,"")</f>
        <v/>
      </c>
      <c r="BO293" s="518" t="str">
        <f>IF(AND(_A4="B-737-800",'2025'!$K$4="FO",'2025'!$K$2=BO271),'2025DATA'!$J$24,"")</f>
        <v/>
      </c>
      <c r="BP293" s="518" t="str">
        <f>IF(AND(_A4="B-737-800",'2025'!$K$4="FO",'2025'!$K$2=BP271),'2025DATA'!$K$24,"")</f>
        <v/>
      </c>
      <c r="BQ293" s="518" t="str">
        <f>IF(AND(_A4="B-737-800",'2025'!$K$4="FO",'2025'!$K$2=BQ271),'2025DATA'!$L$24,"")</f>
        <v/>
      </c>
      <c r="BR293" s="518" t="str">
        <f>IF(AND(_A4="B-737-800",'2025'!$K$4="FO",'2025'!$K$2=BR271),'2025DATA'!$M$24,"")</f>
        <v/>
      </c>
      <c r="BS293" s="520" t="str">
        <f>IF(AND(_A4="B-737-800",'2025'!$K$4="FO",'2025'!$K$2=BS271),'2025DATA'!$N$24,"")</f>
        <v/>
      </c>
      <c r="BT293" s="940"/>
      <c r="BU293" s="13" t="s">
        <v>62</v>
      </c>
      <c r="BV293" s="518" t="str">
        <f>IF(AND(_A5="B-737-800",'2025'!$K$4="FO",'2025'!$K$2=BV271),'2025DATA'!$C$24,"")</f>
        <v/>
      </c>
      <c r="BW293" s="518" t="str">
        <f>IF(AND(_A5="B-737-800",'2025'!$K$4="FO",'2025'!$K$2=BW271),'2025DATA'!$D$24,"")</f>
        <v/>
      </c>
      <c r="BX293" s="518" t="str">
        <f>IF(AND(_A5="B-737-800",'2025'!$K$4="FO",'2025'!$K$2=BX271),'2025DATA'!$E$24,"")</f>
        <v/>
      </c>
      <c r="BY293" s="518" t="str">
        <f>IF(AND(_A5="B-737-800",'2025'!$K$4="FO",'2025'!$K$2=BY271),'2025DATA'!$F$24,"")</f>
        <v/>
      </c>
      <c r="BZ293" s="518" t="str">
        <f>IF(AND(_A5="B-737-800",'2025'!$K$4="FO",'2025'!$K$2=BZ271),'2025DATA'!$G$24,"")</f>
        <v/>
      </c>
      <c r="CA293" s="518" t="str">
        <f>IF(AND(_A5="B-737-800",'2025'!$K$4="FO",'2025'!$K$2=CA271),'2025DATA'!$H$24,"")</f>
        <v/>
      </c>
      <c r="CB293" s="518" t="str">
        <f>IF(AND(_A5="B-737-800",'2025'!$K$4="FO",'2025'!$K$2=CB271),'2025DATA'!$I$24,"")</f>
        <v/>
      </c>
      <c r="CC293" s="518" t="str">
        <f>IF(AND(_A5="B-737-800",'2025'!$K$4="FO",'2025'!$K$2=CC271),'2025DATA'!$J$24,"")</f>
        <v/>
      </c>
      <c r="CD293" s="518" t="str">
        <f>IF(AND(_A5="B-737-800",'2025'!$K$4="FO",'2025'!$K$2=CD271),'2025DATA'!$K$24,"")</f>
        <v/>
      </c>
      <c r="CE293" s="518" t="str">
        <f>IF(AND(_A5="B-737-800",'2025'!$K$4="FO",'2025'!$K$2=CE271),'2025DATA'!$L$24,"")</f>
        <v/>
      </c>
      <c r="CF293" s="518" t="str">
        <f>IF(AND(_A5="B-737-800",'2025'!$K$4="FO",'2025'!$K$2=CF271),'2025DATA'!$M$24,"")</f>
        <v/>
      </c>
      <c r="CG293" s="520" t="str">
        <f>IF(AND(_A5="B-737-800",'2025'!$K$4="FO",'2025'!$K$2=CG271),'2025DATA'!$N$24,"")</f>
        <v/>
      </c>
      <c r="CH293" s="940"/>
      <c r="CI293" s="13" t="s">
        <v>62</v>
      </c>
      <c r="CJ293" s="518" t="str">
        <f>IF(AND(_A6="B-737-800",'2025'!$K$4="FO",'2025'!$K$2=CJ271),'2025DATA'!$C$24,"")</f>
        <v/>
      </c>
      <c r="CK293" s="518" t="str">
        <f>IF(AND(_A6="B-737-800",'2025'!$K$4="FO",'2025'!$K$2=CK271),'2025DATA'!$D$24,"")</f>
        <v/>
      </c>
      <c r="CL293" s="518" t="str">
        <f>IF(AND(_A6="B-737-800",'2025'!$K$4="FO",'2025'!$K$2=CL271),'2025DATA'!$E$24,"")</f>
        <v/>
      </c>
      <c r="CM293" s="518" t="str">
        <f>IF(AND(_A6="B-737-800",'2025'!$K$4="FO",'2025'!$K$2=CM271),'2025DATA'!$F$24,"")</f>
        <v/>
      </c>
      <c r="CN293" s="518" t="str">
        <f>IF(AND(_A6="B-737-800",'2025'!$K$4="FO",'2025'!$K$2=CN271),'2025DATA'!$G$24,"")</f>
        <v/>
      </c>
      <c r="CO293" s="518" t="str">
        <f>IF(AND(_A6="B-737-800",'2025'!$K$4="FO",'2025'!$K$2=CO271),'2025DATA'!$H$24,"")</f>
        <v/>
      </c>
      <c r="CP293" s="518" t="str">
        <f>IF(AND(_A6="B-737-800",'2025'!$K$4="FO",'2025'!$K$2=CP271),'2025DATA'!$I$24,"")</f>
        <v/>
      </c>
      <c r="CQ293" s="518" t="str">
        <f>IF(AND(_A6="B-737-800",'2025'!$K$4="FO",'2025'!$K$2=CQ271),'2025DATA'!$J$24,"")</f>
        <v/>
      </c>
      <c r="CR293" s="518" t="str">
        <f>IF(AND(_A6="B-737-800",'2025'!$K$4="FO",'2025'!$K$2=CR271),'2025DATA'!$K$24,"")</f>
        <v/>
      </c>
      <c r="CS293" s="518" t="str">
        <f>IF(AND(_A6="B-737-800",'2025'!$K$4="FO",'2025'!$K$2=CS271),'2025DATA'!$L$24,"")</f>
        <v/>
      </c>
      <c r="CT293" s="518" t="str">
        <f>IF(AND(_A6="B-737-800",'2025'!$K$4="FO",'2025'!$K$2=CT271),'2025DATA'!$M$24,"")</f>
        <v/>
      </c>
      <c r="CU293" s="520" t="str">
        <f>IF(AND(_A6="B-737-800",'2025'!$K$4="FO",'2025'!$K$2=CU271),'2025DATA'!$N$24,"")</f>
        <v/>
      </c>
    </row>
    <row r="294" spans="16:99" x14ac:dyDescent="0.25">
      <c r="P294" s="940" t="s">
        <v>46</v>
      </c>
      <c r="Q294" s="13" t="s">
        <v>61</v>
      </c>
      <c r="R294" s="518" t="str">
        <f>IF(AND(_A1="A-321N",'2025'!$K$4="CA",'2025'!$K$2=R271),'2025DATA'!$C$25,"")</f>
        <v/>
      </c>
      <c r="S294" s="518" t="str">
        <f>IF(AND(_A1="A-321N",'2025'!$K$4="CA",'2025'!$K$2=S271),'2025DATA'!$D$25,"")</f>
        <v/>
      </c>
      <c r="T294" s="518" t="str">
        <f>IF(AND(_A1="A-321N",'2025'!$K$4="CA",'2025'!$K$2=T271),'2025DATA'!$E$25,"")</f>
        <v/>
      </c>
      <c r="U294" s="518" t="str">
        <f>IF(AND(_A1="A-321N",'2025'!$K$4="CA",'2025'!$K$2=U271),'2025DATA'!$F$25,"")</f>
        <v/>
      </c>
      <c r="V294" s="518" t="str">
        <f>IF(AND(_A1="A-321N",'2025'!$K$4="CA",'2025'!$K$2=V271),'2025DATA'!$G$25,"")</f>
        <v/>
      </c>
      <c r="W294" s="518" t="str">
        <f>IF(AND(_A1="A-321N",'2025'!$K$4="CA",'2025'!$K$2=W271),'2025DATA'!$H$25,"")</f>
        <v/>
      </c>
      <c r="X294" s="518" t="str">
        <f>IF(AND(_A1="A-321N",'2025'!$K$4="CA",'2025'!$K$2=X271),'2025DATA'!$I$25,"")</f>
        <v/>
      </c>
      <c r="Y294" s="518" t="str">
        <f>IF(AND(_A1="A-321N",'2025'!$K$4="CA",'2025'!$K$2=Y271),'2025DATA'!$J$25,"")</f>
        <v/>
      </c>
      <c r="Z294" s="518" t="str">
        <f>IF(AND(_A1="A-321N",'2025'!$K$4="CA",'2025'!$K$2=Z271),'2025DATA'!$K$25,"")</f>
        <v/>
      </c>
      <c r="AA294" s="518" t="str">
        <f>IF(AND(_A1="A-321N",'2025'!$K$4="CA",'2025'!$K$2=AA271),'2025DATA'!$L$25,"")</f>
        <v/>
      </c>
      <c r="AB294" s="518" t="str">
        <f>IF(AND(_A1="A-321N",'2025'!$K$4="CA",'2025'!$K$2=AB271),'2025DATA'!$M$25,"")</f>
        <v/>
      </c>
      <c r="AC294" s="520" t="str">
        <f>IF(AND(_A1="A-321N",'2025'!$K$4="CA",'2025'!$K$2=AC271),'2025DATA'!$N$25,"")</f>
        <v/>
      </c>
      <c r="AD294" s="940" t="s">
        <v>46</v>
      </c>
      <c r="AE294" s="13" t="s">
        <v>61</v>
      </c>
      <c r="AF294" s="518" t="str">
        <f>IF(AND(_A2="A-321N",'2025'!$K$4="CA",'2025'!$K$2=AF271),'2025DATA'!$C$25,"")</f>
        <v/>
      </c>
      <c r="AG294" s="518" t="str">
        <f>IF(AND(_A2="A-321N",'2025'!$K$4="CA",'2025'!$K$2=AG271),'2025DATA'!$D$25,"")</f>
        <v/>
      </c>
      <c r="AH294" s="518" t="str">
        <f>IF(AND(_A2="A-321N",'2025'!$K$4="CA",'2025'!$K$2=AH271),'2025DATA'!$E$25,"")</f>
        <v/>
      </c>
      <c r="AI294" s="518" t="str">
        <f>IF(AND(_A2="A-321N",'2025'!$K$4="CA",'2025'!$K$2=AI271),'2025DATA'!$F$25,"")</f>
        <v/>
      </c>
      <c r="AJ294" s="518" t="str">
        <f>IF(AND(_A2="A-321N",'2025'!$K$4="CA",'2025'!$K$2=AJ271),'2025DATA'!$G$25,"")</f>
        <v/>
      </c>
      <c r="AK294" s="518" t="str">
        <f>IF(AND(_A2="A-321N",'2025'!$K$4="CA",'2025'!$K$2=AK271),'2025DATA'!$H$25,"")</f>
        <v/>
      </c>
      <c r="AL294" s="518" t="str">
        <f>IF(AND(_A2="A-321N",'2025'!$K$4="CA",'2025'!$K$2=AL271),'2025DATA'!$I$25,"")</f>
        <v/>
      </c>
      <c r="AM294" s="518" t="str">
        <f>IF(AND(_A2="A-321N",'2025'!$K$4="CA",'2025'!$K$2=AM271),'2025DATA'!$J$25,"")</f>
        <v/>
      </c>
      <c r="AN294" s="518" t="str">
        <f>IF(AND(_A2="A-321N",'2025'!$K$4="CA",'2025'!$K$2=AN271),'2025DATA'!$K$25,"")</f>
        <v/>
      </c>
      <c r="AO294" s="518" t="str">
        <f>IF(AND(_A2="A-321N",'2025'!$K$4="CA",'2025'!$K$2=AO271),'2025DATA'!$L$25,"")</f>
        <v/>
      </c>
      <c r="AP294" s="518" t="str">
        <f>IF(AND(_A2="A-321N",'2025'!$K$4="CA",'2025'!$K$2=AP271),'2025DATA'!$M$25,"")</f>
        <v/>
      </c>
      <c r="AQ294" s="520" t="str">
        <f>IF(AND(_A2="A-321N",'2025'!$K$4="CA",'2025'!$K$2=AQ271),'2025DATA'!$N$25,"")</f>
        <v/>
      </c>
      <c r="AR294" s="940" t="s">
        <v>46</v>
      </c>
      <c r="AS294" s="13" t="s">
        <v>61</v>
      </c>
      <c r="AT294" s="518" t="str">
        <f>IF(AND(_A3="A-321N",'2025'!$K$4="CA",'2025'!$K$2=AT271),'2025DATA'!$C$25,"")</f>
        <v/>
      </c>
      <c r="AU294" s="518" t="str">
        <f>IF(AND(_A3="A-321N",'2025'!$K$4="CA",'2025'!$K$2=AU271),'2025DATA'!$D$25,"")</f>
        <v/>
      </c>
      <c r="AV294" s="518" t="str">
        <f>IF(AND(_A3="A-321N",'2025'!$K$4="CA",'2025'!$K$2=AV271),'2025DATA'!$E$25,"")</f>
        <v/>
      </c>
      <c r="AW294" s="518" t="str">
        <f>IF(AND(_A3="A-321N",'2025'!$K$4="CA",'2025'!$K$2=AW271),'2025DATA'!$F$25,"")</f>
        <v/>
      </c>
      <c r="AX294" s="518" t="str">
        <f>IF(AND(_A3="A-321N",'2025'!$K$4="CA",'2025'!$K$2=AX271),'2025DATA'!$G$25,"")</f>
        <v/>
      </c>
      <c r="AY294" s="518" t="str">
        <f>IF(AND(_A3="A-321N",'2025'!$K$4="CA",'2025'!$K$2=AY271),'2025DATA'!$H$25,"")</f>
        <v/>
      </c>
      <c r="AZ294" s="518" t="str">
        <f>IF(AND(_A3="A-321N",'2025'!$K$4="CA",'2025'!$K$2=AZ271),'2025DATA'!$I$25,"")</f>
        <v/>
      </c>
      <c r="BA294" s="518" t="str">
        <f>IF(AND(_A3="A-321N",'2025'!$K$4="CA",'2025'!$K$2=BA271),'2025DATA'!$J$25,"")</f>
        <v/>
      </c>
      <c r="BB294" s="518" t="str">
        <f>IF(AND(_A3="A-321N",'2025'!$K$4="CA",'2025'!$K$2=BB271),'2025DATA'!$K$25,"")</f>
        <v/>
      </c>
      <c r="BC294" s="518" t="str">
        <f>IF(AND(_A3="A-321N",'2025'!$K$4="CA",'2025'!$K$2=BC271),'2025DATA'!$L$25,"")</f>
        <v/>
      </c>
      <c r="BD294" s="518" t="str">
        <f>IF(AND(_A3="A-321N",'2025'!$K$4="CA",'2025'!$K$2=BD271),'2025DATA'!$M$25,"")</f>
        <v/>
      </c>
      <c r="BE294" s="520" t="str">
        <f>IF(AND(_A3="A-321N",'2025'!$K$4="CA",'2025'!$K$2=BE271),'2025DATA'!$N$25,"")</f>
        <v/>
      </c>
      <c r="BF294" s="940" t="s">
        <v>46</v>
      </c>
      <c r="BG294" s="13" t="s">
        <v>61</v>
      </c>
      <c r="BH294" s="518" t="str">
        <f>IF(AND(_A4="A-321N",'2025'!$K$4="CA",'2025'!$K$2=BH271),'2025DATA'!$C$25,"")</f>
        <v/>
      </c>
      <c r="BI294" s="518" t="str">
        <f>IF(AND(_A4="A-321N",'2025'!$K$4="CA",'2025'!$K$2=BI271),'2025DATA'!$D$25,"")</f>
        <v/>
      </c>
      <c r="BJ294" s="518" t="str">
        <f>IF(AND(_A4="A-321N",'2025'!$K$4="CA",'2025'!$K$2=BJ271),'2025DATA'!$E$25,"")</f>
        <v/>
      </c>
      <c r="BK294" s="518" t="str">
        <f>IF(AND(_A4="A-321N",'2025'!$K$4="CA",'2025'!$K$2=BK271),'2025DATA'!$F$25,"")</f>
        <v/>
      </c>
      <c r="BL294" s="518" t="str">
        <f>IF(AND(_A4="A-321N",'2025'!$K$4="CA",'2025'!$K$2=BL271),'2025DATA'!$G$25,"")</f>
        <v/>
      </c>
      <c r="BM294" s="518" t="str">
        <f>IF(AND(_A4="A-321N",'2025'!$K$4="CA",'2025'!$K$2=BM271),'2025DATA'!$H$25,"")</f>
        <v/>
      </c>
      <c r="BN294" s="518" t="str">
        <f>IF(AND(_A4="A-321N",'2025'!$K$4="CA",'2025'!$K$2=BN271),'2025DATA'!$I$25,"")</f>
        <v/>
      </c>
      <c r="BO294" s="518" t="str">
        <f>IF(AND(_A4="A-321N",'2025'!$K$4="CA",'2025'!$K$2=BO271),'2025DATA'!$J$25,"")</f>
        <v/>
      </c>
      <c r="BP294" s="518" t="str">
        <f>IF(AND(_A4="A-321N",'2025'!$K$4="CA",'2025'!$K$2=BP271),'2025DATA'!$K$25,"")</f>
        <v/>
      </c>
      <c r="BQ294" s="518" t="str">
        <f>IF(AND(_A4="A-321N",'2025'!$K$4="CA",'2025'!$K$2=BQ271),'2025DATA'!$L$25,"")</f>
        <v/>
      </c>
      <c r="BR294" s="518" t="str">
        <f>IF(AND(_A4="A-321N",'2025'!$K$4="CA",'2025'!$K$2=BR271),'2025DATA'!$M$25,"")</f>
        <v/>
      </c>
      <c r="BS294" s="520" t="str">
        <f>IF(AND(_A4="A-321N",'2025'!$K$4="CA",'2025'!$K$2=BS271),'2025DATA'!$N$25,"")</f>
        <v/>
      </c>
      <c r="BT294" s="940" t="s">
        <v>46</v>
      </c>
      <c r="BU294" s="13" t="s">
        <v>61</v>
      </c>
      <c r="BV294" s="518" t="str">
        <f>IF(AND(_A5="A-321N",'2025'!$K$4="CA",'2025'!$K$2=BV271),'2025DATA'!$C$25,"")</f>
        <v/>
      </c>
      <c r="BW294" s="518" t="str">
        <f>IF(AND(_A5="A-321N",'2025'!$K$4="CA",'2025'!$K$2=BW271),'2025DATA'!$D$25,"")</f>
        <v/>
      </c>
      <c r="BX294" s="518" t="str">
        <f>IF(AND(_A5="A-321N",'2025'!$K$4="CA",'2025'!$K$2=BX271),'2025DATA'!$E$25,"")</f>
        <v/>
      </c>
      <c r="BY294" s="518" t="str">
        <f>IF(AND(_A5="A-321N",'2025'!$K$4="CA",'2025'!$K$2=BY271),'2025DATA'!$F$25,"")</f>
        <v/>
      </c>
      <c r="BZ294" s="518" t="str">
        <f>IF(AND(_A5="A-321N",'2025'!$K$4="CA",'2025'!$K$2=BZ271),'2025DATA'!$G$25,"")</f>
        <v/>
      </c>
      <c r="CA294" s="518" t="str">
        <f>IF(AND(_A5="A-321N",'2025'!$K$4="CA",'2025'!$K$2=CA271),'2025DATA'!$H$25,"")</f>
        <v/>
      </c>
      <c r="CB294" s="518" t="str">
        <f>IF(AND(_A5="A-321N",'2025'!$K$4="CA",'2025'!$K$2=CB271),'2025DATA'!$I$25,"")</f>
        <v/>
      </c>
      <c r="CC294" s="518" t="str">
        <f>IF(AND(_A5="A-321N",'2025'!$K$4="CA",'2025'!$K$2=CC271),'2025DATA'!$J$25,"")</f>
        <v/>
      </c>
      <c r="CD294" s="518" t="str">
        <f>IF(AND(_A5="A-321N",'2025'!$K$4="CA",'2025'!$K$2=CD271),'2025DATA'!$K$25,"")</f>
        <v/>
      </c>
      <c r="CE294" s="518" t="str">
        <f>IF(AND(_A5="A-321N",'2025'!$K$4="CA",'2025'!$K$2=CE271),'2025DATA'!$L$25,"")</f>
        <v/>
      </c>
      <c r="CF294" s="518" t="str">
        <f>IF(AND(_A5="A-321N",'2025'!$K$4="CA",'2025'!$K$2=CF271),'2025DATA'!$M$25,"")</f>
        <v/>
      </c>
      <c r="CG294" s="520" t="str">
        <f>IF(AND(_A5="A-321N",'2025'!$K$4="CA",'2025'!$K$2=CG271),'2025DATA'!$N$25,"")</f>
        <v/>
      </c>
      <c r="CH294" s="940" t="s">
        <v>46</v>
      </c>
      <c r="CI294" s="13" t="s">
        <v>61</v>
      </c>
      <c r="CJ294" s="518" t="str">
        <f>IF(AND(_A6="A-321N",'2025'!$K$4="CA",'2025'!$K$2=CJ271),'2025DATA'!$C$25,"")</f>
        <v/>
      </c>
      <c r="CK294" s="518" t="str">
        <f>IF(AND(_A6="A-321N",'2025'!$K$4="CA",'2025'!$K$2=CK271),'2025DATA'!$D$25,"")</f>
        <v/>
      </c>
      <c r="CL294" s="518" t="str">
        <f>IF(AND(_A6="A-321N",'2025'!$K$4="CA",'2025'!$K$2=CL271),'2025DATA'!$E$25,"")</f>
        <v/>
      </c>
      <c r="CM294" s="518" t="str">
        <f>IF(AND(_A6="A-321N",'2025'!$K$4="CA",'2025'!$K$2=CM271),'2025DATA'!$F$25,"")</f>
        <v/>
      </c>
      <c r="CN294" s="518" t="str">
        <f>IF(AND(_A6="A-321N",'2025'!$K$4="CA",'2025'!$K$2=CN271),'2025DATA'!$G$25,"")</f>
        <v/>
      </c>
      <c r="CO294" s="518" t="str">
        <f>IF(AND(_A6="A-321N",'2025'!$K$4="CA",'2025'!$K$2=CO271),'2025DATA'!$H$25,"")</f>
        <v/>
      </c>
      <c r="CP294" s="518" t="str">
        <f>IF(AND(_A6="A-321N",'2025'!$K$4="CA",'2025'!$K$2=CP271),'2025DATA'!$I$25,"")</f>
        <v/>
      </c>
      <c r="CQ294" s="518" t="str">
        <f>IF(AND(_A6="A-321N",'2025'!$K$4="CA",'2025'!$K$2=CQ271),'2025DATA'!$J$25,"")</f>
        <v/>
      </c>
      <c r="CR294" s="518" t="str">
        <f>IF(AND(_A6="A-321N",'2025'!$K$4="CA",'2025'!$K$2=CR271),'2025DATA'!$K$25,"")</f>
        <v/>
      </c>
      <c r="CS294" s="518" t="str">
        <f>IF(AND(_A6="A-321N",'2025'!$K$4="CA",'2025'!$K$2=CS271),'2025DATA'!$L$25,"")</f>
        <v/>
      </c>
      <c r="CT294" s="518" t="str">
        <f>IF(AND(_A6="A-321N",'2025'!$K$4="CA",'2025'!$K$2=CT271),'2025DATA'!$M$25,"")</f>
        <v/>
      </c>
      <c r="CU294" s="520" t="str">
        <f>IF(AND(_A6="A-321N",'2025'!$K$4="CA",'2025'!$K$2=CU271),'2025DATA'!$N$25,"")</f>
        <v/>
      </c>
    </row>
    <row r="295" spans="16:99" x14ac:dyDescent="0.25">
      <c r="P295" s="940"/>
      <c r="Q295" s="13" t="s">
        <v>62</v>
      </c>
      <c r="R295" s="518" t="str">
        <f>IF(AND(_A1="A-321N",'2025'!$K$4="FO",'2025'!$K$2=R271),'2025DATA'!$C$26,"")</f>
        <v/>
      </c>
      <c r="S295" s="518" t="str">
        <f>IF(AND(_A1="A-321N",'2025'!$K$4="FO",'2025'!$K$2=S271),'2025DATA'!$D$26,"")</f>
        <v/>
      </c>
      <c r="T295" s="518" t="str">
        <f>IF(AND(_A1="A-321N",'2025'!$K$4="FO",'2025'!$K$2=T271),'2025DATA'!$E$26,"")</f>
        <v/>
      </c>
      <c r="U295" s="518" t="str">
        <f>IF(AND(_A1="A-321N",'2025'!$K$4="FO",'2025'!$K$2=U271),'2025DATA'!$F$26,"")</f>
        <v/>
      </c>
      <c r="V295" s="518" t="str">
        <f>IF(AND(_A1="A-321N",'2025'!$K$4="FO",'2025'!$K$2=V271),'2025DATA'!$G$26,"")</f>
        <v/>
      </c>
      <c r="W295" s="518" t="str">
        <f>IF(AND(_A1="A-321N",'2025'!$K$4="FO",'2025'!$K$2=W271),'2025DATA'!$H$26,"")</f>
        <v/>
      </c>
      <c r="X295" s="518" t="str">
        <f>IF(AND(_A1="A-321N",'2025'!$K$4="FO",'2025'!$K$2=X271),'2025DATA'!$I$26,"")</f>
        <v/>
      </c>
      <c r="Y295" s="518" t="str">
        <f>IF(AND(_A1="A-321N",'2025'!$K$4="FO",'2025'!$K$2=Y271),'2025DATA'!$J$26,"")</f>
        <v/>
      </c>
      <c r="Z295" s="518" t="str">
        <f>IF(AND(_A1="A-321N",'2025'!$K$4="FO",'2025'!$K$2=Z271),'2025DATA'!$K$26,"")</f>
        <v/>
      </c>
      <c r="AA295" s="518" t="str">
        <f>IF(AND(_A1="A-321N",'2025'!$K$4="FO",'2025'!$K$2=AA271),'2025DATA'!$L$26,"")</f>
        <v/>
      </c>
      <c r="AB295" s="518" t="str">
        <f>IF(AND(_A1="A-321N",'2025'!$K$4="FO",'2025'!$K$2=AB271),'2025DATA'!$M$26,"")</f>
        <v/>
      </c>
      <c r="AC295" s="520" t="str">
        <f>IF(AND(_A1="A-321N",'2025'!$K$4="FO",'2025'!$K$2=AC271),'2025DATA'!$N$26,"")</f>
        <v/>
      </c>
      <c r="AD295" s="940"/>
      <c r="AE295" s="13" t="s">
        <v>62</v>
      </c>
      <c r="AF295" s="518" t="str">
        <f>IF(AND(_A2="A-321N",'2025'!$K$4="FO",'2025'!$K$2=AF271),'2025DATA'!$C$26,"")</f>
        <v/>
      </c>
      <c r="AG295" s="518" t="str">
        <f>IF(AND(_A2="A-321N",'2025'!$K$4="FO",'2025'!$K$2=AG271),'2025DATA'!$D$26,"")</f>
        <v/>
      </c>
      <c r="AH295" s="518" t="str">
        <f>IF(AND(_A2="A-321N",'2025'!$K$4="FO",'2025'!$K$2=AH271),'2025DATA'!$E$26,"")</f>
        <v/>
      </c>
      <c r="AI295" s="518" t="str">
        <f>IF(AND(_A2="A-321N",'2025'!$K$4="FO",'2025'!$K$2=AI271),'2025DATA'!$F$26,"")</f>
        <v/>
      </c>
      <c r="AJ295" s="518" t="str">
        <f>IF(AND(_A2="A-321N",'2025'!$K$4="FO",'2025'!$K$2=AJ271),'2025DATA'!$G$26,"")</f>
        <v/>
      </c>
      <c r="AK295" s="518" t="str">
        <f>IF(AND(_A2="A-321N",'2025'!$K$4="FO",'2025'!$K$2=AK271),'2025DATA'!$H$26,"")</f>
        <v/>
      </c>
      <c r="AL295" s="518" t="str">
        <f>IF(AND(_A2="A-321N",'2025'!$K$4="FO",'2025'!$K$2=AL271),'2025DATA'!$I$26,"")</f>
        <v/>
      </c>
      <c r="AM295" s="518" t="str">
        <f>IF(AND(_A2="A-321N",'2025'!$K$4="FO",'2025'!$K$2=AM271),'2025DATA'!$J$26,"")</f>
        <v/>
      </c>
      <c r="AN295" s="518" t="str">
        <f>IF(AND(_A2="A-321N",'2025'!$K$4="FO",'2025'!$K$2=AN271),'2025DATA'!$K$26,"")</f>
        <v/>
      </c>
      <c r="AO295" s="518" t="str">
        <f>IF(AND(_A2="A-321N",'2025'!$K$4="FO",'2025'!$K$2=AO271),'2025DATA'!$L$26,"")</f>
        <v/>
      </c>
      <c r="AP295" s="518" t="str">
        <f>IF(AND(_A2="A-321N",'2025'!$K$4="FO",'2025'!$K$2=AP271),'2025DATA'!$M$26,"")</f>
        <v/>
      </c>
      <c r="AQ295" s="520" t="str">
        <f>IF(AND(_A2="A-321N",'2025'!$K$4="FO",'2025'!$K$2=AQ271),'2025DATA'!$N$26,"")</f>
        <v/>
      </c>
      <c r="AR295" s="940"/>
      <c r="AS295" s="13" t="s">
        <v>62</v>
      </c>
      <c r="AT295" s="518" t="str">
        <f>IF(AND(_A3="A-321N",'2025'!$K$4="FO",'2025'!$K$2=AT271),'2025DATA'!$C$26,"")</f>
        <v/>
      </c>
      <c r="AU295" s="518" t="str">
        <f>IF(AND(_A3="A-321N",'2025'!$K$4="FO",'2025'!$K$2=AU271),'2025DATA'!$D$26,"")</f>
        <v/>
      </c>
      <c r="AV295" s="518" t="str">
        <f>IF(AND(_A3="A-321N",'2025'!$K$4="FO",'2025'!$K$2=AV271),'2025DATA'!$E$26,"")</f>
        <v/>
      </c>
      <c r="AW295" s="518" t="str">
        <f>IF(AND(_A3="A-321N",'2025'!$K$4="FO",'2025'!$K$2=AW271),'2025DATA'!$F$26,"")</f>
        <v/>
      </c>
      <c r="AX295" s="518" t="str">
        <f>IF(AND(_A3="A-321N",'2025'!$K$4="FO",'2025'!$K$2=AX271),'2025DATA'!$G$26,"")</f>
        <v/>
      </c>
      <c r="AY295" s="518" t="str">
        <f>IF(AND(_A3="A-321N",'2025'!$K$4="FO",'2025'!$K$2=AY271),'2025DATA'!$H$26,"")</f>
        <v/>
      </c>
      <c r="AZ295" s="518" t="str">
        <f>IF(AND(_A3="A-321N",'2025'!$K$4="FO",'2025'!$K$2=AZ271),'2025DATA'!$I$26,"")</f>
        <v/>
      </c>
      <c r="BA295" s="518" t="str">
        <f>IF(AND(_A3="A-321N",'2025'!$K$4="FO",'2025'!$K$2=BA271),'2025DATA'!$J$26,"")</f>
        <v/>
      </c>
      <c r="BB295" s="518" t="str">
        <f>IF(AND(_A3="A-321N",'2025'!$K$4="FO",'2025'!$K$2=BB271),'2025DATA'!$K$26,"")</f>
        <v/>
      </c>
      <c r="BC295" s="518" t="str">
        <f>IF(AND(_A3="A-321N",'2025'!$K$4="FO",'2025'!$K$2=BC271),'2025DATA'!$L$26,"")</f>
        <v/>
      </c>
      <c r="BD295" s="518" t="str">
        <f>IF(AND(_A3="A-321N",'2025'!$K$4="FO",'2025'!$K$2=BD271),'2025DATA'!$M$26,"")</f>
        <v/>
      </c>
      <c r="BE295" s="520" t="str">
        <f>IF(AND(_A3="A-321N",'2025'!$K$4="FO",'2025'!$K$2=BE271),'2025DATA'!$N$26,"")</f>
        <v/>
      </c>
      <c r="BF295" s="940"/>
      <c r="BG295" s="13" t="s">
        <v>62</v>
      </c>
      <c r="BH295" s="518" t="str">
        <f>IF(AND(_A4="A-321N",'2025'!$K$4="FO",'2025'!$K$2=BH271),'2025DATA'!$C$26,"")</f>
        <v/>
      </c>
      <c r="BI295" s="518" t="str">
        <f>IF(AND(_A4="A-321N",'2025'!$K$4="FO",'2025'!$K$2=BI271),'2025DATA'!$D$26,"")</f>
        <v/>
      </c>
      <c r="BJ295" s="518" t="str">
        <f>IF(AND(_A4="A-321N",'2025'!$K$4="FO",'2025'!$K$2=BJ271),'2025DATA'!$E$26,"")</f>
        <v/>
      </c>
      <c r="BK295" s="518" t="str">
        <f>IF(AND(_A4="A-321N",'2025'!$K$4="FO",'2025'!$K$2=BK271),'2025DATA'!$F$26,"")</f>
        <v/>
      </c>
      <c r="BL295" s="518" t="str">
        <f>IF(AND(_A4="A-321N",'2025'!$K$4="FO",'2025'!$K$2=BL271),'2025DATA'!$G$26,"")</f>
        <v/>
      </c>
      <c r="BM295" s="518" t="str">
        <f>IF(AND(_A4="A-321N",'2025'!$K$4="FO",'2025'!$K$2=BM271),'2025DATA'!$H$26,"")</f>
        <v/>
      </c>
      <c r="BN295" s="518" t="str">
        <f>IF(AND(_A4="A-321N",'2025'!$K$4="FO",'2025'!$K$2=BN271),'2025DATA'!$I$26,"")</f>
        <v/>
      </c>
      <c r="BO295" s="518" t="str">
        <f>IF(AND(_A4="A-321N",'2025'!$K$4="FO",'2025'!$K$2=BO271),'2025DATA'!$J$26,"")</f>
        <v/>
      </c>
      <c r="BP295" s="518" t="str">
        <f>IF(AND(_A4="A-321N",'2025'!$K$4="FO",'2025'!$K$2=BP271),'2025DATA'!$K$26,"")</f>
        <v/>
      </c>
      <c r="BQ295" s="518" t="str">
        <f>IF(AND(_A4="A-321N",'2025'!$K$4="FO",'2025'!$K$2=BQ271),'2025DATA'!$L$26,"")</f>
        <v/>
      </c>
      <c r="BR295" s="518" t="str">
        <f>IF(AND(_A4="A-321N",'2025'!$K$4="FO",'2025'!$K$2=BR271),'2025DATA'!$M$26,"")</f>
        <v/>
      </c>
      <c r="BS295" s="520" t="str">
        <f>IF(AND(_A4="A-321N",'2025'!$K$4="FO",'2025'!$K$2=BS271),'2025DATA'!$N$26,"")</f>
        <v/>
      </c>
      <c r="BT295" s="940"/>
      <c r="BU295" s="13" t="s">
        <v>62</v>
      </c>
      <c r="BV295" s="518" t="str">
        <f>IF(AND(_A5="A-321N",'2025'!$K$4="FO",'2025'!$K$2=BV271),'2025DATA'!$C$26,"")</f>
        <v/>
      </c>
      <c r="BW295" s="518" t="str">
        <f>IF(AND(_A5="A-321N",'2025'!$K$4="FO",'2025'!$K$2=BW271),'2025DATA'!$D$26,"")</f>
        <v/>
      </c>
      <c r="BX295" s="518" t="str">
        <f>IF(AND(_A5="A-321N",'2025'!$K$4="FO",'2025'!$K$2=BX271),'2025DATA'!$E$26,"")</f>
        <v/>
      </c>
      <c r="BY295" s="518" t="str">
        <f>IF(AND(_A5="A-321N",'2025'!$K$4="FO",'2025'!$K$2=BY271),'2025DATA'!$F$26,"")</f>
        <v/>
      </c>
      <c r="BZ295" s="518" t="str">
        <f>IF(AND(_A5="A-321N",'2025'!$K$4="FO",'2025'!$K$2=BZ271),'2025DATA'!$G$26,"")</f>
        <v/>
      </c>
      <c r="CA295" s="518" t="str">
        <f>IF(AND(_A5="A-321N",'2025'!$K$4="FO",'2025'!$K$2=CA271),'2025DATA'!$H$26,"")</f>
        <v/>
      </c>
      <c r="CB295" s="518" t="str">
        <f>IF(AND(_A5="A-321N",'2025'!$K$4="FO",'2025'!$K$2=CB271),'2025DATA'!$I$26,"")</f>
        <v/>
      </c>
      <c r="CC295" s="518" t="str">
        <f>IF(AND(_A5="A-321N",'2025'!$K$4="FO",'2025'!$K$2=CC271),'2025DATA'!$J$26,"")</f>
        <v/>
      </c>
      <c r="CD295" s="518" t="str">
        <f>IF(AND(_A5="A-321N",'2025'!$K$4="FO",'2025'!$K$2=CD271),'2025DATA'!$K$26,"")</f>
        <v/>
      </c>
      <c r="CE295" s="518" t="str">
        <f>IF(AND(_A5="A-321N",'2025'!$K$4="FO",'2025'!$K$2=CE271),'2025DATA'!$L$26,"")</f>
        <v/>
      </c>
      <c r="CF295" s="518" t="str">
        <f>IF(AND(_A5="A-321N",'2025'!$K$4="FO",'2025'!$K$2=CF271),'2025DATA'!$M$26,"")</f>
        <v/>
      </c>
      <c r="CG295" s="520" t="str">
        <f>IF(AND(_A5="A-321N",'2025'!$K$4="FO",'2025'!$K$2=CG271),'2025DATA'!$N$26,"")</f>
        <v/>
      </c>
      <c r="CH295" s="940"/>
      <c r="CI295" s="13" t="s">
        <v>62</v>
      </c>
      <c r="CJ295" s="518" t="str">
        <f>IF(AND(_A6="A-321N",'2025'!$K$4="FO",'2025'!$K$2=CJ271),'2025DATA'!$C$26,"")</f>
        <v/>
      </c>
      <c r="CK295" s="518" t="str">
        <f>IF(AND(_A6="A-321N",'2025'!$K$4="FO",'2025'!$K$2=CK271),'2025DATA'!$D$26,"")</f>
        <v/>
      </c>
      <c r="CL295" s="518" t="str">
        <f>IF(AND(_A6="A-321N",'2025'!$K$4="FO",'2025'!$K$2=CL271),'2025DATA'!$E$26,"")</f>
        <v/>
      </c>
      <c r="CM295" s="518" t="str">
        <f>IF(AND(_A6="A-321N",'2025'!$K$4="FO",'2025'!$K$2=CM271),'2025DATA'!$F$26,"")</f>
        <v/>
      </c>
      <c r="CN295" s="518" t="str">
        <f>IF(AND(_A6="A-321N",'2025'!$K$4="FO",'2025'!$K$2=CN271),'2025DATA'!$G$26,"")</f>
        <v/>
      </c>
      <c r="CO295" s="518" t="str">
        <f>IF(AND(_A6="A-321N",'2025'!$K$4="FO",'2025'!$K$2=CO271),'2025DATA'!$H$26,"")</f>
        <v/>
      </c>
      <c r="CP295" s="518" t="str">
        <f>IF(AND(_A6="A-321N",'2025'!$K$4="FO",'2025'!$K$2=CP271),'2025DATA'!$I$26,"")</f>
        <v/>
      </c>
      <c r="CQ295" s="518" t="str">
        <f>IF(AND(_A6="A-321N",'2025'!$K$4="FO",'2025'!$K$2=CQ271),'2025DATA'!$J$26,"")</f>
        <v/>
      </c>
      <c r="CR295" s="518" t="str">
        <f>IF(AND(_A6="A-321N",'2025'!$K$4="FO",'2025'!$K$2=CR271),'2025DATA'!$K$26,"")</f>
        <v/>
      </c>
      <c r="CS295" s="518" t="str">
        <f>IF(AND(_A6="A-321N",'2025'!$K$4="FO",'2025'!$K$2=CS271),'2025DATA'!$L$26,"")</f>
        <v/>
      </c>
      <c r="CT295" s="518" t="str">
        <f>IF(AND(_A6="A-321N",'2025'!$K$4="FO",'2025'!$K$2=CT271),'2025DATA'!$M$26,"")</f>
        <v/>
      </c>
      <c r="CU295" s="520" t="str">
        <f>IF(AND(_A6="A-321N",'2025'!$K$4="FO",'2025'!$K$2=CU271),'2025DATA'!$N$26,"")</f>
        <v/>
      </c>
    </row>
    <row r="296" spans="16:99" x14ac:dyDescent="0.25">
      <c r="P296" s="940" t="s">
        <v>48</v>
      </c>
      <c r="Q296" s="13" t="s">
        <v>61</v>
      </c>
      <c r="R296" s="518" t="str">
        <f>IF(AND(_A1="A-321",'2025'!$K$4="CA",'2025'!$K$2=R271),'2025DATA'!$C$27,"")</f>
        <v/>
      </c>
      <c r="S296" s="518" t="str">
        <f>IF(AND(_A1="A-321",'2025'!$K$4="CA",'2025'!$K$2=S271),'2025DATA'!$D$27,"")</f>
        <v/>
      </c>
      <c r="T296" s="518" t="str">
        <f>IF(AND(_A1="A-321",'2025'!$K$4="CA",'2025'!$K$2=T271),'2025DATA'!$E$27,"")</f>
        <v/>
      </c>
      <c r="U296" s="518" t="str">
        <f>IF(AND(_A1="A-321",'2025'!$K$4="CA",'2025'!$K$2=U271),'2025DATA'!$F$27,"")</f>
        <v/>
      </c>
      <c r="V296" s="518" t="str">
        <f>IF(AND(_A1="A-321",'2025'!$K$4="CA",'2025'!$K$2=V271),'2025DATA'!$G$27,"")</f>
        <v/>
      </c>
      <c r="W296" s="518" t="str">
        <f>IF(AND(_A1="A-321",'2025'!$K$4="CA",'2025'!$K$2=W271),'2025DATA'!$H$27,"")</f>
        <v/>
      </c>
      <c r="X296" s="518" t="str">
        <f>IF(AND(_A1="A-321",'2025'!$K$4="CA",'2025'!$K$2=X271),'2025DATA'!$I$27,"")</f>
        <v/>
      </c>
      <c r="Y296" s="518" t="str">
        <f>IF(AND(_A1="A-321",'2025'!$K$4="CA",'2025'!$K$2=Y271),'2025DATA'!$J$27,"")</f>
        <v/>
      </c>
      <c r="Z296" s="518" t="str">
        <f>IF(AND(_A1="A-321",'2025'!$K$4="CA",'2025'!$K$2=Z271),'2025DATA'!$K$27,"")</f>
        <v/>
      </c>
      <c r="AA296" s="518" t="str">
        <f>IF(AND(_A1="A-321",'2025'!$K$4="CA",'2025'!$K$2=AA271),'2025DATA'!$L$27,"")</f>
        <v/>
      </c>
      <c r="AB296" s="518" t="str">
        <f>IF(AND(_A1="A-321",'2025'!$K$4="CA",'2025'!$K$2=AB271),'2025DATA'!$M$27,"")</f>
        <v/>
      </c>
      <c r="AC296" s="520" t="str">
        <f>IF(AND(_A1="A-321",'2025'!$K$4="CA",'2025'!$K$2=AC271),'2025DATA'!$N$27,"")</f>
        <v/>
      </c>
      <c r="AD296" s="940" t="s">
        <v>48</v>
      </c>
      <c r="AE296" s="13" t="s">
        <v>61</v>
      </c>
      <c r="AF296" s="518" t="str">
        <f>IF(AND(_A2="A-321",'2025'!$K$4="CA",'2025'!$K$2=AF271),'2025DATA'!$C$27,"")</f>
        <v/>
      </c>
      <c r="AG296" s="518" t="str">
        <f>IF(AND(_A2="A-321",'2025'!$K$4="CA",'2025'!$K$2=AG271),'2025DATA'!$D$27,"")</f>
        <v/>
      </c>
      <c r="AH296" s="518" t="str">
        <f>IF(AND(_A2="A-321",'2025'!$K$4="CA",'2025'!$K$2=AH271),'2025DATA'!$E$27,"")</f>
        <v/>
      </c>
      <c r="AI296" s="518" t="str">
        <f>IF(AND(_A2="A-321",'2025'!$K$4="CA",'2025'!$K$2=AI271),'2025DATA'!$F$27,"")</f>
        <v/>
      </c>
      <c r="AJ296" s="518" t="str">
        <f>IF(AND(_A2="A-321",'2025'!$K$4="CA",'2025'!$K$2=AJ271),'2025DATA'!$G$27,"")</f>
        <v/>
      </c>
      <c r="AK296" s="518" t="str">
        <f>IF(AND(_A2="A-321",'2025'!$K$4="CA",'2025'!$K$2=AK271),'2025DATA'!$H$27,"")</f>
        <v/>
      </c>
      <c r="AL296" s="518" t="str">
        <f>IF(AND(_A2="A-321",'2025'!$K$4="CA",'2025'!$K$2=AL271),'2025DATA'!$I$27,"")</f>
        <v/>
      </c>
      <c r="AM296" s="518" t="str">
        <f>IF(AND(_A2="A-321",'2025'!$K$4="CA",'2025'!$K$2=AM271),'2025DATA'!$J$27,"")</f>
        <v/>
      </c>
      <c r="AN296" s="518" t="str">
        <f>IF(AND(_A2="A-321",'2025'!$K$4="CA",'2025'!$K$2=AN271),'2025DATA'!$K$27,"")</f>
        <v/>
      </c>
      <c r="AO296" s="518" t="str">
        <f>IF(AND(_A2="A-321",'2025'!$K$4="CA",'2025'!$K$2=AO271),'2025DATA'!$L$27,"")</f>
        <v/>
      </c>
      <c r="AP296" s="518" t="str">
        <f>IF(AND(_A2="A-321",'2025'!$K$4="CA",'2025'!$K$2=AP271),'2025DATA'!$M$27,"")</f>
        <v/>
      </c>
      <c r="AQ296" s="520" t="str">
        <f>IF(AND(_A2="A-321",'2025'!$K$4="CA",'2025'!$K$2=AQ271),'2025DATA'!$N$27,"")</f>
        <v/>
      </c>
      <c r="AR296" s="940" t="s">
        <v>48</v>
      </c>
      <c r="AS296" s="13" t="s">
        <v>61</v>
      </c>
      <c r="AT296" s="518" t="str">
        <f>IF(AND(_A3="A-321",'2025'!$K$4="CA",'2025'!$K$2=AT271),'2025DATA'!$C$27,"")</f>
        <v/>
      </c>
      <c r="AU296" s="518" t="str">
        <f>IF(AND(_A3="A-321",'2025'!$K$4="CA",'2025'!$K$2=AU271),'2025DATA'!$D$27,"")</f>
        <v/>
      </c>
      <c r="AV296" s="518" t="str">
        <f>IF(AND(_A3="A-321",'2025'!$K$4="CA",'2025'!$K$2=AV271),'2025DATA'!$E$27,"")</f>
        <v/>
      </c>
      <c r="AW296" s="518" t="str">
        <f>IF(AND(_A3="A-321",'2025'!$K$4="CA",'2025'!$K$2=AW271),'2025DATA'!$F$27,"")</f>
        <v/>
      </c>
      <c r="AX296" s="518" t="str">
        <f>IF(AND(_A3="A-321",'2025'!$K$4="CA",'2025'!$K$2=AX271),'2025DATA'!$G$27,"")</f>
        <v/>
      </c>
      <c r="AY296" s="518" t="str">
        <f>IF(AND(_A3="A-321",'2025'!$K$4="CA",'2025'!$K$2=AY271),'2025DATA'!$H$27,"")</f>
        <v/>
      </c>
      <c r="AZ296" s="518" t="str">
        <f>IF(AND(_A3="A-321",'2025'!$K$4="CA",'2025'!$K$2=AZ271),'2025DATA'!$I$27,"")</f>
        <v/>
      </c>
      <c r="BA296" s="518" t="str">
        <f>IF(AND(_A3="A-321",'2025'!$K$4="CA",'2025'!$K$2=BA271),'2025DATA'!$J$27,"")</f>
        <v/>
      </c>
      <c r="BB296" s="518" t="str">
        <f>IF(AND(_A3="A-321",'2025'!$K$4="CA",'2025'!$K$2=BB271),'2025DATA'!$K$27,"")</f>
        <v/>
      </c>
      <c r="BC296" s="518" t="str">
        <f>IF(AND(_A3="A-321",'2025'!$K$4="CA",'2025'!$K$2=BC271),'2025DATA'!$L$27,"")</f>
        <v/>
      </c>
      <c r="BD296" s="518" t="str">
        <f>IF(AND(_A3="A-321",'2025'!$K$4="CA",'2025'!$K$2=BD271),'2025DATA'!$M$27,"")</f>
        <v/>
      </c>
      <c r="BE296" s="520" t="str">
        <f>IF(AND(_A3="A-321",'2025'!$K$4="CA",'2025'!$K$2=BE271),'2025DATA'!$N$27,"")</f>
        <v/>
      </c>
      <c r="BF296" s="940" t="s">
        <v>48</v>
      </c>
      <c r="BG296" s="13" t="s">
        <v>61</v>
      </c>
      <c r="BH296" s="518" t="str">
        <f>IF(AND(_A4="A-321",'2025'!$K$4="CA",'2025'!$K$2=BH271),'2025DATA'!$C$27,"")</f>
        <v/>
      </c>
      <c r="BI296" s="518" t="str">
        <f>IF(AND(_A4="A-321",'2025'!$K$4="CA",'2025'!$K$2=BI271),'2025DATA'!$D$27,"")</f>
        <v/>
      </c>
      <c r="BJ296" s="518" t="str">
        <f>IF(AND(_A4="A-321",'2025'!$K$4="CA",'2025'!$K$2=BJ271),'2025DATA'!$E$27,"")</f>
        <v/>
      </c>
      <c r="BK296" s="518" t="str">
        <f>IF(AND(_A4="A-321",'2025'!$K$4="CA",'2025'!$K$2=BK271),'2025DATA'!$F$27,"")</f>
        <v/>
      </c>
      <c r="BL296" s="518" t="str">
        <f>IF(AND(_A4="A-321",'2025'!$K$4="CA",'2025'!$K$2=BL271),'2025DATA'!$G$27,"")</f>
        <v/>
      </c>
      <c r="BM296" s="518" t="str">
        <f>IF(AND(_A4="A-321",'2025'!$K$4="CA",'2025'!$K$2=BM271),'2025DATA'!$H$27,"")</f>
        <v/>
      </c>
      <c r="BN296" s="518" t="str">
        <f>IF(AND(_A4="A-321",'2025'!$K$4="CA",'2025'!$K$2=BN271),'2025DATA'!$I$27,"")</f>
        <v/>
      </c>
      <c r="BO296" s="518" t="str">
        <f>IF(AND(_A4="A-321",'2025'!$K$4="CA",'2025'!$K$2=BO271),'2025DATA'!$J$27,"")</f>
        <v/>
      </c>
      <c r="BP296" s="518" t="str">
        <f>IF(AND(_A4="A-321",'2025'!$K$4="CA",'2025'!$K$2=BP271),'2025DATA'!$K$27,"")</f>
        <v/>
      </c>
      <c r="BQ296" s="518" t="str">
        <f>IF(AND(_A4="A-321",'2025'!$K$4="CA",'2025'!$K$2=BQ271),'2025DATA'!$L$27,"")</f>
        <v/>
      </c>
      <c r="BR296" s="518" t="str">
        <f>IF(AND(_A4="A-321",'2025'!$K$4="CA",'2025'!$K$2=BR271),'2025DATA'!$M$27,"")</f>
        <v/>
      </c>
      <c r="BS296" s="520" t="str">
        <f>IF(AND(_A4="A-321",'2025'!$K$4="CA",'2025'!$K$2=BS271),'2025DATA'!$N$27,"")</f>
        <v/>
      </c>
      <c r="BT296" s="940" t="s">
        <v>48</v>
      </c>
      <c r="BU296" s="13" t="s">
        <v>61</v>
      </c>
      <c r="BV296" s="518" t="str">
        <f>IF(AND(_A5="A-321",'2025'!$K$4="CA",'2025'!$K$2=BV271),'2025DATA'!$C$27,"")</f>
        <v/>
      </c>
      <c r="BW296" s="518" t="str">
        <f>IF(AND(_A5="A-321",'2025'!$K$4="CA",'2025'!$K$2=BW271),'2025DATA'!$D$27,"")</f>
        <v/>
      </c>
      <c r="BX296" s="518" t="str">
        <f>IF(AND(_A5="A-321",'2025'!$K$4="CA",'2025'!$K$2=BX271),'2025DATA'!$E$27,"")</f>
        <v/>
      </c>
      <c r="BY296" s="518" t="str">
        <f>IF(AND(_A5="A-321",'2025'!$K$4="CA",'2025'!$K$2=BY271),'2025DATA'!$F$27,"")</f>
        <v/>
      </c>
      <c r="BZ296" s="518" t="str">
        <f>IF(AND(_A5="A-321",'2025'!$K$4="CA",'2025'!$K$2=BZ271),'2025DATA'!$G$27,"")</f>
        <v/>
      </c>
      <c r="CA296" s="518" t="str">
        <f>IF(AND(_A5="A-321",'2025'!$K$4="CA",'2025'!$K$2=CA271),'2025DATA'!$H$27,"")</f>
        <v/>
      </c>
      <c r="CB296" s="518" t="str">
        <f>IF(AND(_A5="A-321",'2025'!$K$4="CA",'2025'!$K$2=CB271),'2025DATA'!$I$27,"")</f>
        <v/>
      </c>
      <c r="CC296" s="518" t="str">
        <f>IF(AND(_A5="A-321",'2025'!$K$4="CA",'2025'!$K$2=CC271),'2025DATA'!$J$27,"")</f>
        <v/>
      </c>
      <c r="CD296" s="518" t="str">
        <f>IF(AND(_A5="A-321",'2025'!$K$4="CA",'2025'!$K$2=CD271),'2025DATA'!$K$27,"")</f>
        <v/>
      </c>
      <c r="CE296" s="518" t="str">
        <f>IF(AND(_A5="A-321",'2025'!$K$4="CA",'2025'!$K$2=CE271),'2025DATA'!$L$27,"")</f>
        <v/>
      </c>
      <c r="CF296" s="518" t="str">
        <f>IF(AND(_A5="A-321",'2025'!$K$4="CA",'2025'!$K$2=CF271),'2025DATA'!$M$27,"")</f>
        <v/>
      </c>
      <c r="CG296" s="520" t="str">
        <f>IF(AND(_A5="A-321",'2025'!$K$4="CA",'2025'!$K$2=CG271),'2025DATA'!$N$27,"")</f>
        <v/>
      </c>
      <c r="CH296" s="940" t="s">
        <v>48</v>
      </c>
      <c r="CI296" s="13" t="s">
        <v>61</v>
      </c>
      <c r="CJ296" s="518" t="str">
        <f>IF(AND(_A6="A-321",'2025'!$K$4="CA",'2025'!$K$2=CJ271),'2025DATA'!$C$27,"")</f>
        <v/>
      </c>
      <c r="CK296" s="518" t="str">
        <f>IF(AND(_A6="A-321",'2025'!$K$4="CA",'2025'!$K$2=CK271),'2025DATA'!$D$27,"")</f>
        <v/>
      </c>
      <c r="CL296" s="518" t="str">
        <f>IF(AND(_A6="A-321",'2025'!$K$4="CA",'2025'!$K$2=CL271),'2025DATA'!$E$27,"")</f>
        <v/>
      </c>
      <c r="CM296" s="518" t="str">
        <f>IF(AND(_A6="A-321",'2025'!$K$4="CA",'2025'!$K$2=CM271),'2025DATA'!$F$27,"")</f>
        <v/>
      </c>
      <c r="CN296" s="518" t="str">
        <f>IF(AND(_A6="A-321",'2025'!$K$4="CA",'2025'!$K$2=CN271),'2025DATA'!$G$27,"")</f>
        <v/>
      </c>
      <c r="CO296" s="518" t="str">
        <f>IF(AND(_A6="A-321",'2025'!$K$4="CA",'2025'!$K$2=CO271),'2025DATA'!$H$27,"")</f>
        <v/>
      </c>
      <c r="CP296" s="518" t="str">
        <f>IF(AND(_A6="A-321",'2025'!$K$4="CA",'2025'!$K$2=CP271),'2025DATA'!$I$27,"")</f>
        <v/>
      </c>
      <c r="CQ296" s="518" t="str">
        <f>IF(AND(_A6="A-321",'2025'!$K$4="CA",'2025'!$K$2=CQ271),'2025DATA'!$J$27,"")</f>
        <v/>
      </c>
      <c r="CR296" s="518" t="str">
        <f>IF(AND(_A6="A-321",'2025'!$K$4="CA",'2025'!$K$2=CR271),'2025DATA'!$K$27,"")</f>
        <v/>
      </c>
      <c r="CS296" s="518" t="str">
        <f>IF(AND(_A6="A-321",'2025'!$K$4="CA",'2025'!$K$2=CS271),'2025DATA'!$L$27,"")</f>
        <v/>
      </c>
      <c r="CT296" s="518" t="str">
        <f>IF(AND(_A6="A-321",'2025'!$K$4="CA",'2025'!$K$2=CT271),'2025DATA'!$M$27,"")</f>
        <v/>
      </c>
      <c r="CU296" s="520" t="str">
        <f>IF(AND(_A6="A-321",'2025'!$K$4="CA",'2025'!$K$2=CU271),'2025DATA'!$N$27,"")</f>
        <v/>
      </c>
    </row>
    <row r="297" spans="16:99" x14ac:dyDescent="0.25">
      <c r="P297" s="940"/>
      <c r="Q297" s="13" t="s">
        <v>62</v>
      </c>
      <c r="R297" s="518" t="str">
        <f>IF(AND(_A1="A-321",'2025'!$K$4="FO",'2025'!$K$2=R271),'2025DATA'!$C$28,"")</f>
        <v/>
      </c>
      <c r="S297" s="518" t="str">
        <f>IF(AND(_A1="A-321",'2025'!$K$4="FO",'2025'!$K$2=S271),'2025DATA'!$D$28,"")</f>
        <v/>
      </c>
      <c r="T297" s="518" t="str">
        <f>IF(AND(_A1="A-321",'2025'!$K$4="FO",'2025'!$K$2=T271),'2025DATA'!$E$28,"")</f>
        <v/>
      </c>
      <c r="U297" s="518" t="str">
        <f>IF(AND(_A1="A-321",'2025'!$K$4="FO",'2025'!$K$2=U271),'2025DATA'!$F$28,"")</f>
        <v/>
      </c>
      <c r="V297" s="518" t="str">
        <f>IF(AND(_A1="A-321",'2025'!$K$4="FO",'2025'!$K$2=V271),'2025DATA'!$G$28,"")</f>
        <v/>
      </c>
      <c r="W297" s="518" t="str">
        <f>IF(AND(_A1="A-321",'2025'!$K$4="FO",'2025'!$K$2=W271),'2025DATA'!$H$28,"")</f>
        <v/>
      </c>
      <c r="X297" s="518" t="str">
        <f>IF(AND(_A1="A-321",'2025'!$K$4="FO",'2025'!$K$2=X271),'2025DATA'!$I$28,"")</f>
        <v/>
      </c>
      <c r="Y297" s="518" t="str">
        <f>IF(AND(_A1="A-321",'2025'!$K$4="FO",'2025'!$K$2=Y271),'2025DATA'!$J$28,"")</f>
        <v/>
      </c>
      <c r="Z297" s="518" t="str">
        <f>IF(AND(_A1="A-321",'2025'!$K$4="FO",'2025'!$K$2=Z271),'2025DATA'!$K$28,"")</f>
        <v/>
      </c>
      <c r="AA297" s="518" t="str">
        <f>IF(AND(_A1="A-321",'2025'!$K$4="FO",'2025'!$K$2=AA271),'2025DATA'!$L$28,"")</f>
        <v/>
      </c>
      <c r="AB297" s="518" t="str">
        <f>IF(AND(_A1="A-321",'2025'!$K$4="FO",'2025'!$K$2=AB271),'2025DATA'!$M$28,"")</f>
        <v/>
      </c>
      <c r="AC297" s="520" t="str">
        <f>IF(AND(_A1="A-321",'2025'!$K$4="FO",'2025'!$K$2=AC271),'2025DATA'!$N$28,"")</f>
        <v/>
      </c>
      <c r="AD297" s="940"/>
      <c r="AE297" s="13" t="s">
        <v>62</v>
      </c>
      <c r="AF297" s="518" t="str">
        <f>IF(AND(_A2="A-321",'2025'!$K$4="FO",'2025'!$K$2=AF271),'2025DATA'!$C$28,"")</f>
        <v/>
      </c>
      <c r="AG297" s="518" t="str">
        <f>IF(AND(_A2="A-321",'2025'!$K$4="FO",'2025'!$K$2=AG271),'2025DATA'!$D$28,"")</f>
        <v/>
      </c>
      <c r="AH297" s="518" t="str">
        <f>IF(AND(_A2="A-321",'2025'!$K$4="FO",'2025'!$K$2=AH271),'2025DATA'!$E$28,"")</f>
        <v/>
      </c>
      <c r="AI297" s="518" t="str">
        <f>IF(AND(_A2="A-321",'2025'!$K$4="FO",'2025'!$K$2=AI271),'2025DATA'!$F$28,"")</f>
        <v/>
      </c>
      <c r="AJ297" s="518" t="str">
        <f>IF(AND(_A2="A-321",'2025'!$K$4="FO",'2025'!$K$2=AJ271),'2025DATA'!$G$28,"")</f>
        <v/>
      </c>
      <c r="AK297" s="518" t="str">
        <f>IF(AND(_A2="A-321",'2025'!$K$4="FO",'2025'!$K$2=AK271),'2025DATA'!$H$28,"")</f>
        <v/>
      </c>
      <c r="AL297" s="518" t="str">
        <f>IF(AND(_A2="A-321",'2025'!$K$4="FO",'2025'!$K$2=AL271),'2025DATA'!$I$28,"")</f>
        <v/>
      </c>
      <c r="AM297" s="518" t="str">
        <f>IF(AND(_A2="A-321",'2025'!$K$4="FO",'2025'!$K$2=AM271),'2025DATA'!$J$28,"")</f>
        <v/>
      </c>
      <c r="AN297" s="518" t="str">
        <f>IF(AND(_A2="A-321",'2025'!$K$4="FO",'2025'!$K$2=AN271),'2025DATA'!$K$28,"")</f>
        <v/>
      </c>
      <c r="AO297" s="518" t="str">
        <f>IF(AND(_A2="A-321",'2025'!$K$4="FO",'2025'!$K$2=AO271),'2025DATA'!$L$28,"")</f>
        <v/>
      </c>
      <c r="AP297" s="518" t="str">
        <f>IF(AND(_A2="A-321",'2025'!$K$4="FO",'2025'!$K$2=AP271),'2025DATA'!$M$28,"")</f>
        <v/>
      </c>
      <c r="AQ297" s="520" t="str">
        <f>IF(AND(_A2="A-321",'2025'!$K$4="FO",'2025'!$K$2=AQ271),'2025DATA'!$N$28,"")</f>
        <v/>
      </c>
      <c r="AR297" s="940"/>
      <c r="AS297" s="13" t="s">
        <v>62</v>
      </c>
      <c r="AT297" s="518" t="str">
        <f>IF(AND(_A3="A-321",'2025'!$K$4="FO",'2025'!$K$2=AT271),'2025DATA'!$C$28,"")</f>
        <v/>
      </c>
      <c r="AU297" s="518" t="str">
        <f>IF(AND(_A3="A-321",'2025'!$K$4="FO",'2025'!$K$2=AU271),'2025DATA'!$D$28,"")</f>
        <v/>
      </c>
      <c r="AV297" s="518" t="str">
        <f>IF(AND(_A3="A-321",'2025'!$K$4="FO",'2025'!$K$2=AV271),'2025DATA'!$E$28,"")</f>
        <v/>
      </c>
      <c r="AW297" s="518" t="str">
        <f>IF(AND(_A3="A-321",'2025'!$K$4="FO",'2025'!$K$2=AW271),'2025DATA'!$F$28,"")</f>
        <v/>
      </c>
      <c r="AX297" s="518" t="str">
        <f>IF(AND(_A3="A-321",'2025'!$K$4="FO",'2025'!$K$2=AX271),'2025DATA'!$G$28,"")</f>
        <v/>
      </c>
      <c r="AY297" s="518" t="str">
        <f>IF(AND(_A3="A-321",'2025'!$K$4="FO",'2025'!$K$2=AY271),'2025DATA'!$H$28,"")</f>
        <v/>
      </c>
      <c r="AZ297" s="518" t="str">
        <f>IF(AND(_A3="A-321",'2025'!$K$4="FO",'2025'!$K$2=AZ271),'2025DATA'!$I$28,"")</f>
        <v/>
      </c>
      <c r="BA297" s="518" t="str">
        <f>IF(AND(_A3="A-321",'2025'!$K$4="FO",'2025'!$K$2=BA271),'2025DATA'!$J$28,"")</f>
        <v/>
      </c>
      <c r="BB297" s="518" t="str">
        <f>IF(AND(_A3="A-321",'2025'!$K$4="FO",'2025'!$K$2=BB271),'2025DATA'!$K$28,"")</f>
        <v/>
      </c>
      <c r="BC297" s="518" t="str">
        <f>IF(AND(_A3="A-321",'2025'!$K$4="FO",'2025'!$K$2=BC271),'2025DATA'!$L$28,"")</f>
        <v/>
      </c>
      <c r="BD297" s="518" t="str">
        <f>IF(AND(_A3="A-321",'2025'!$K$4="FO",'2025'!$K$2=BD271),'2025DATA'!$M$28,"")</f>
        <v/>
      </c>
      <c r="BE297" s="520" t="str">
        <f>IF(AND(_A3="A-321",'2025'!$K$4="FO",'2025'!$K$2=BE271),'2025DATA'!$N$28,"")</f>
        <v/>
      </c>
      <c r="BF297" s="940"/>
      <c r="BG297" s="13" t="s">
        <v>62</v>
      </c>
      <c r="BH297" s="518" t="str">
        <f>IF(AND(_A4="A-321",'2025'!$K$4="FO",'2025'!$K$2=BH271),'2025DATA'!$C$28,"")</f>
        <v/>
      </c>
      <c r="BI297" s="518" t="str">
        <f>IF(AND(_A4="A-321",'2025'!$K$4="FO",'2025'!$K$2=BI271),'2025DATA'!$D$28,"")</f>
        <v/>
      </c>
      <c r="BJ297" s="518" t="str">
        <f>IF(AND(_A4="A-321",'2025'!$K$4="FO",'2025'!$K$2=BJ271),'2025DATA'!$E$28,"")</f>
        <v/>
      </c>
      <c r="BK297" s="518" t="str">
        <f>IF(AND(_A4="A-321",'2025'!$K$4="FO",'2025'!$K$2=BK271),'2025DATA'!$F$28,"")</f>
        <v/>
      </c>
      <c r="BL297" s="518" t="str">
        <f>IF(AND(_A4="A-321",'2025'!$K$4="FO",'2025'!$K$2=BL271),'2025DATA'!$G$28,"")</f>
        <v/>
      </c>
      <c r="BM297" s="518" t="str">
        <f>IF(AND(_A4="A-321",'2025'!$K$4="FO",'2025'!$K$2=BM271),'2025DATA'!$H$28,"")</f>
        <v/>
      </c>
      <c r="BN297" s="518" t="str">
        <f>IF(AND(_A4="A-321",'2025'!$K$4="FO",'2025'!$K$2=BN271),'2025DATA'!$I$28,"")</f>
        <v/>
      </c>
      <c r="BO297" s="518" t="str">
        <f>IF(AND(_A4="A-321",'2025'!$K$4="FO",'2025'!$K$2=BO271),'2025DATA'!$J$28,"")</f>
        <v/>
      </c>
      <c r="BP297" s="518" t="str">
        <f>IF(AND(_A4="A-321",'2025'!$K$4="FO",'2025'!$K$2=BP271),'2025DATA'!$K$28,"")</f>
        <v/>
      </c>
      <c r="BQ297" s="518" t="str">
        <f>IF(AND(_A4="A-321",'2025'!$K$4="FO",'2025'!$K$2=BQ271),'2025DATA'!$L$28,"")</f>
        <v/>
      </c>
      <c r="BR297" s="518" t="str">
        <f>IF(AND(_A4="A-321",'2025'!$K$4="FO",'2025'!$K$2=BR271),'2025DATA'!$M$28,"")</f>
        <v/>
      </c>
      <c r="BS297" s="520" t="str">
        <f>IF(AND(_A4="A-321",'2025'!$K$4="FO",'2025'!$K$2=BS271),'2025DATA'!$N$28,"")</f>
        <v/>
      </c>
      <c r="BT297" s="940"/>
      <c r="BU297" s="13" t="s">
        <v>62</v>
      </c>
      <c r="BV297" s="518" t="str">
        <f>IF(AND(_A5="A-321",'2025'!$K$4="FO",'2025'!$K$2=BV271),'2025DATA'!$C$28,"")</f>
        <v/>
      </c>
      <c r="BW297" s="518" t="str">
        <f>IF(AND(_A5="A-321",'2025'!$K$4="FO",'2025'!$K$2=BW271),'2025DATA'!$D$28,"")</f>
        <v/>
      </c>
      <c r="BX297" s="518" t="str">
        <f>IF(AND(_A5="A-321",'2025'!$K$4="FO",'2025'!$K$2=BX271),'2025DATA'!$E$28,"")</f>
        <v/>
      </c>
      <c r="BY297" s="518" t="str">
        <f>IF(AND(_A5="A-321",'2025'!$K$4="FO",'2025'!$K$2=BY271),'2025DATA'!$F$28,"")</f>
        <v/>
      </c>
      <c r="BZ297" s="518" t="str">
        <f>IF(AND(_A5="A-321",'2025'!$K$4="FO",'2025'!$K$2=BZ271),'2025DATA'!$G$28,"")</f>
        <v/>
      </c>
      <c r="CA297" s="518" t="str">
        <f>IF(AND(_A5="A-321",'2025'!$K$4="FO",'2025'!$K$2=CA271),'2025DATA'!$H$28,"")</f>
        <v/>
      </c>
      <c r="CB297" s="518" t="str">
        <f>IF(AND(_A5="A-321",'2025'!$K$4="FO",'2025'!$K$2=CB271),'2025DATA'!$I$28,"")</f>
        <v/>
      </c>
      <c r="CC297" s="518" t="str">
        <f>IF(AND(_A5="A-321",'2025'!$K$4="FO",'2025'!$K$2=CC271),'2025DATA'!$J$28,"")</f>
        <v/>
      </c>
      <c r="CD297" s="518" t="str">
        <f>IF(AND(_A5="A-321",'2025'!$K$4="FO",'2025'!$K$2=CD271),'2025DATA'!$K$28,"")</f>
        <v/>
      </c>
      <c r="CE297" s="518" t="str">
        <f>IF(AND(_A5="A-321",'2025'!$K$4="FO",'2025'!$K$2=CE271),'2025DATA'!$L$28,"")</f>
        <v/>
      </c>
      <c r="CF297" s="518" t="str">
        <f>IF(AND(_A5="A-321",'2025'!$K$4="FO",'2025'!$K$2=CF271),'2025DATA'!$M$28,"")</f>
        <v/>
      </c>
      <c r="CG297" s="520" t="str">
        <f>IF(AND(_A5="A-321",'2025'!$K$4="FO",'2025'!$K$2=CG271),'2025DATA'!$N$28,"")</f>
        <v/>
      </c>
      <c r="CH297" s="940"/>
      <c r="CI297" s="13" t="s">
        <v>62</v>
      </c>
      <c r="CJ297" s="518" t="str">
        <f>IF(AND(_A6="A-321",'2025'!$K$4="FO",'2025'!$K$2=CJ271),'2025DATA'!$C$28,"")</f>
        <v/>
      </c>
      <c r="CK297" s="518" t="str">
        <f>IF(AND(_A6="A-321",'2025'!$K$4="FO",'2025'!$K$2=CK271),'2025DATA'!$D$28,"")</f>
        <v/>
      </c>
      <c r="CL297" s="518" t="str">
        <f>IF(AND(_A6="A-321",'2025'!$K$4="FO",'2025'!$K$2=CL271),'2025DATA'!$E$28,"")</f>
        <v/>
      </c>
      <c r="CM297" s="518" t="str">
        <f>IF(AND(_A6="A-321",'2025'!$K$4="FO",'2025'!$K$2=CM271),'2025DATA'!$F$28,"")</f>
        <v/>
      </c>
      <c r="CN297" s="518" t="str">
        <f>IF(AND(_A6="A-321",'2025'!$K$4="FO",'2025'!$K$2=CN271),'2025DATA'!$G$28,"")</f>
        <v/>
      </c>
      <c r="CO297" s="518" t="str">
        <f>IF(AND(_A6="A-321",'2025'!$K$4="FO",'2025'!$K$2=CO271),'2025DATA'!$H$28,"")</f>
        <v/>
      </c>
      <c r="CP297" s="518" t="str">
        <f>IF(AND(_A6="A-321",'2025'!$K$4="FO",'2025'!$K$2=CP271),'2025DATA'!$I$28,"")</f>
        <v/>
      </c>
      <c r="CQ297" s="518" t="str">
        <f>IF(AND(_A6="A-321",'2025'!$K$4="FO",'2025'!$K$2=CQ271),'2025DATA'!$J$28,"")</f>
        <v/>
      </c>
      <c r="CR297" s="518" t="str">
        <f>IF(AND(_A6="A-321",'2025'!$K$4="FO",'2025'!$K$2=CR271),'2025DATA'!$K$28,"")</f>
        <v/>
      </c>
      <c r="CS297" s="518" t="str">
        <f>IF(AND(_A6="A-321",'2025'!$K$4="FO",'2025'!$K$2=CS271),'2025DATA'!$L$28,"")</f>
        <v/>
      </c>
      <c r="CT297" s="518" t="str">
        <f>IF(AND(_A6="A-321",'2025'!$K$4="FO",'2025'!$K$2=CT271),'2025DATA'!$M$28,"")</f>
        <v/>
      </c>
      <c r="CU297" s="520" t="str">
        <f>IF(AND(_A6="A-321",'2025'!$K$4="FO",'2025'!$K$2=CU271),'2025DATA'!$N$28,"")</f>
        <v/>
      </c>
    </row>
    <row r="298" spans="16:99" x14ac:dyDescent="0.25">
      <c r="P298" s="940" t="s">
        <v>70</v>
      </c>
      <c r="Q298" s="13" t="s">
        <v>61</v>
      </c>
      <c r="R298" s="518" t="str">
        <f>IF(AND(_A1="A-320",'2025'!$K$4="CA",'2025'!$K$2=R271),'2025DATA'!$C$29,"")</f>
        <v/>
      </c>
      <c r="S298" s="518" t="str">
        <f>IF(AND(_A1="A-320",'2025'!$K$4="CA",'2025'!$K$2=S271),'2025DATA'!$D$29,"")</f>
        <v/>
      </c>
      <c r="T298" s="518" t="str">
        <f>IF(AND(_A1="A-320",'2025'!$K$4="CA",'2025'!$K$2=T271),'2025DATA'!$E$29,"")</f>
        <v/>
      </c>
      <c r="U298" s="518" t="str">
        <f>IF(AND(_A1="A-320",'2025'!$K$4="CA",'2025'!$K$2=U271),'2025DATA'!$F$29,"")</f>
        <v/>
      </c>
      <c r="V298" s="518" t="str">
        <f>IF(AND(_A1="A-320",'2025'!$K$4="CA",'2025'!$K$2=V271),'2025DATA'!$G$29,"")</f>
        <v/>
      </c>
      <c r="W298" s="518" t="str">
        <f>IF(AND(_A1="A-320",'2025'!$K$4="CA",'2025'!$K$2=W271),'2025DATA'!$H$29,"")</f>
        <v/>
      </c>
      <c r="X298" s="518" t="str">
        <f>IF(AND(_A1="A-320",'2025'!$K$4="CA",'2025'!$K$2=X271),'2025DATA'!$I$29,"")</f>
        <v/>
      </c>
      <c r="Y298" s="518" t="str">
        <f>IF(AND(_A1="A-320",'2025'!$K$4="CA",'2025'!$K$2=Y271),'2025DATA'!$J$29,"")</f>
        <v/>
      </c>
      <c r="Z298" s="518" t="str">
        <f>IF(AND(_A1="A-320",'2025'!$K$4="CA",'2025'!$K$2=Z271),'2025DATA'!$K$29,"")</f>
        <v/>
      </c>
      <c r="AA298" s="518" t="str">
        <f>IF(AND(_A1="A-320",'2025'!$K$4="CA",'2025'!$K$2=AA271),'2025DATA'!$L$29,"")</f>
        <v/>
      </c>
      <c r="AB298" s="518" t="str">
        <f>IF(AND(_A1="A-320",'2025'!$K$4="CA",'2025'!$K$2=AB271),'2025DATA'!$M$29,"")</f>
        <v/>
      </c>
      <c r="AC298" s="520" t="str">
        <f>IF(AND(_A1="A-320",'2025'!$K$4="CA",'2025'!$K$2=AC271),'2025DATA'!$N$29,"")</f>
        <v/>
      </c>
      <c r="AD298" s="940" t="s">
        <v>70</v>
      </c>
      <c r="AE298" s="13" t="s">
        <v>61</v>
      </c>
      <c r="AF298" s="518" t="str">
        <f>IF(AND(_A2="A-320",'2025'!$K$4="CA",'2025'!$K$2=AF271),'2025DATA'!$C$29,"")</f>
        <v/>
      </c>
      <c r="AG298" s="518" t="str">
        <f>IF(AND(_A2="A-320",'2025'!$K$4="CA",'2025'!$K$2=AG271),'2025DATA'!$D$29,"")</f>
        <v/>
      </c>
      <c r="AH298" s="518" t="str">
        <f>IF(AND(_A2="A-320",'2025'!$K$4="CA",'2025'!$K$2=AH271),'2025DATA'!$E$29,"")</f>
        <v/>
      </c>
      <c r="AI298" s="518" t="str">
        <f>IF(AND(_A2="A-320",'2025'!$K$4="CA",'2025'!$K$2=AI271),'2025DATA'!$F$29,"")</f>
        <v/>
      </c>
      <c r="AJ298" s="518" t="str">
        <f>IF(AND(_A2="A-320",'2025'!$K$4="CA",'2025'!$K$2=AJ271),'2025DATA'!$G$29,"")</f>
        <v/>
      </c>
      <c r="AK298" s="518" t="str">
        <f>IF(AND(_A2="A-320",'2025'!$K$4="CA",'2025'!$K$2=AK271),'2025DATA'!$H$29,"")</f>
        <v/>
      </c>
      <c r="AL298" s="518" t="str">
        <f>IF(AND(_A2="A-320",'2025'!$K$4="CA",'2025'!$K$2=AL271),'2025DATA'!$I$29,"")</f>
        <v/>
      </c>
      <c r="AM298" s="518" t="str">
        <f>IF(AND(_A2="A-320",'2025'!$K$4="CA",'2025'!$K$2=AM271),'2025DATA'!$J$29,"")</f>
        <v/>
      </c>
      <c r="AN298" s="518" t="str">
        <f>IF(AND(_A2="A-320",'2025'!$K$4="CA",'2025'!$K$2=AN271),'2025DATA'!$K$29,"")</f>
        <v/>
      </c>
      <c r="AO298" s="518" t="str">
        <f>IF(AND(_A2="A-320",'2025'!$K$4="CA",'2025'!$K$2=AO271),'2025DATA'!$L$29,"")</f>
        <v/>
      </c>
      <c r="AP298" s="518" t="str">
        <f>IF(AND(_A2="A-320",'2025'!$K$4="CA",'2025'!$K$2=AP271),'2025DATA'!$M$29,"")</f>
        <v/>
      </c>
      <c r="AQ298" s="520" t="str">
        <f>IF(AND(_A2="A-320",'2025'!$K$4="CA",'2025'!$K$2=AQ271),'2025DATA'!$N$29,"")</f>
        <v/>
      </c>
      <c r="AR298" s="940" t="s">
        <v>70</v>
      </c>
      <c r="AS298" s="13" t="s">
        <v>61</v>
      </c>
      <c r="AT298" s="518" t="str">
        <f>IF(AND(_A3="A-320",'2025'!$K$4="CA",'2025'!$K$2=AT271),'2025DATA'!$C$29,"")</f>
        <v/>
      </c>
      <c r="AU298" s="518" t="str">
        <f>IF(AND(_A3="A-320",'2025'!$K$4="CA",'2025'!$K$2=AU271),'2025DATA'!$D$29,"")</f>
        <v/>
      </c>
      <c r="AV298" s="518" t="str">
        <f>IF(AND(_A3="A-320",'2025'!$K$4="CA",'2025'!$K$2=AV271),'2025DATA'!$E$29,"")</f>
        <v/>
      </c>
      <c r="AW298" s="518" t="str">
        <f>IF(AND(_A3="A-320",'2025'!$K$4="CA",'2025'!$K$2=AW271),'2025DATA'!$F$29,"")</f>
        <v/>
      </c>
      <c r="AX298" s="518" t="str">
        <f>IF(AND(_A3="A-320",'2025'!$K$4="CA",'2025'!$K$2=AX271),'2025DATA'!$G$29,"")</f>
        <v/>
      </c>
      <c r="AY298" s="518" t="str">
        <f>IF(AND(_A3="A-320",'2025'!$K$4="CA",'2025'!$K$2=AY271),'2025DATA'!$H$29,"")</f>
        <v/>
      </c>
      <c r="AZ298" s="518" t="str">
        <f>IF(AND(_A3="A-320",'2025'!$K$4="CA",'2025'!$K$2=AZ271),'2025DATA'!$I$29,"")</f>
        <v/>
      </c>
      <c r="BA298" s="518" t="str">
        <f>IF(AND(_A3="A-320",'2025'!$K$4="CA",'2025'!$K$2=BA271),'2025DATA'!$J$29,"")</f>
        <v/>
      </c>
      <c r="BB298" s="518" t="str">
        <f>IF(AND(_A3="A-320",'2025'!$K$4="CA",'2025'!$K$2=BB271),'2025DATA'!$K$29,"")</f>
        <v/>
      </c>
      <c r="BC298" s="518" t="str">
        <f>IF(AND(_A3="A-320",'2025'!$K$4="CA",'2025'!$K$2=BC271),'2025DATA'!$L$29,"")</f>
        <v/>
      </c>
      <c r="BD298" s="518" t="str">
        <f>IF(AND(_A3="A-320",'2025'!$K$4="CA",'2025'!$K$2=BD271),'2025DATA'!$M$29,"")</f>
        <v/>
      </c>
      <c r="BE298" s="520" t="str">
        <f>IF(AND(_A3="A-320",'2025'!$K$4="CA",'2025'!$K$2=BE271),'2025DATA'!$N$29,"")</f>
        <v/>
      </c>
      <c r="BF298" s="940" t="s">
        <v>70</v>
      </c>
      <c r="BG298" s="13" t="s">
        <v>61</v>
      </c>
      <c r="BH298" s="518" t="str">
        <f>IF(AND(_A4="A-320",'2025'!$K$4="CA",'2025'!$K$2=BH271),'2025DATA'!$C$29,"")</f>
        <v/>
      </c>
      <c r="BI298" s="518" t="str">
        <f>IF(AND(_A4="A-320",'2025'!$K$4="CA",'2025'!$K$2=BI271),'2025DATA'!$D$29,"")</f>
        <v/>
      </c>
      <c r="BJ298" s="518" t="str">
        <f>IF(AND(_A4="A-320",'2025'!$K$4="CA",'2025'!$K$2=BJ271),'2025DATA'!$E$29,"")</f>
        <v/>
      </c>
      <c r="BK298" s="518" t="str">
        <f>IF(AND(_A4="A-320",'2025'!$K$4="CA",'2025'!$K$2=BK271),'2025DATA'!$F$29,"")</f>
        <v/>
      </c>
      <c r="BL298" s="518" t="str">
        <f>IF(AND(_A4="A-320",'2025'!$K$4="CA",'2025'!$K$2=BL271),'2025DATA'!$G$29,"")</f>
        <v/>
      </c>
      <c r="BM298" s="518" t="str">
        <f>IF(AND(_A4="A-320",'2025'!$K$4="CA",'2025'!$K$2=BM271),'2025DATA'!$H$29,"")</f>
        <v/>
      </c>
      <c r="BN298" s="518" t="str">
        <f>IF(AND(_A4="A-320",'2025'!$K$4="CA",'2025'!$K$2=BN271),'2025DATA'!$I$29,"")</f>
        <v/>
      </c>
      <c r="BO298" s="518" t="str">
        <f>IF(AND(_A4="A-320",'2025'!$K$4="CA",'2025'!$K$2=BO271),'2025DATA'!$J$29,"")</f>
        <v/>
      </c>
      <c r="BP298" s="518" t="str">
        <f>IF(AND(_A4="A-320",'2025'!$K$4="CA",'2025'!$K$2=BP271),'2025DATA'!$K$29,"")</f>
        <v/>
      </c>
      <c r="BQ298" s="518" t="str">
        <f>IF(AND(_A4="A-320",'2025'!$K$4="CA",'2025'!$K$2=BQ271),'2025DATA'!$L$29,"")</f>
        <v/>
      </c>
      <c r="BR298" s="518" t="str">
        <f>IF(AND(_A4="A-320",'2025'!$K$4="CA",'2025'!$K$2=BR271),'2025DATA'!$M$29,"")</f>
        <v/>
      </c>
      <c r="BS298" s="520" t="str">
        <f>IF(AND(_A4="A-320",'2025'!$K$4="CA",'2025'!$K$2=BS271),'2025DATA'!$N$29,"")</f>
        <v/>
      </c>
      <c r="BT298" s="940" t="s">
        <v>70</v>
      </c>
      <c r="BU298" s="13" t="s">
        <v>61</v>
      </c>
      <c r="BV298" s="518" t="str">
        <f>IF(AND(_A5="A-320",'2025'!$K$4="CA",'2025'!$K$2=BV271),'2025DATA'!$C$29,"")</f>
        <v/>
      </c>
      <c r="BW298" s="518" t="str">
        <f>IF(AND(_A5="A-320",'2025'!$K$4="CA",'2025'!$K$2=BW271),'2025DATA'!$D$29,"")</f>
        <v/>
      </c>
      <c r="BX298" s="518" t="str">
        <f>IF(AND(_A5="A-320",'2025'!$K$4="CA",'2025'!$K$2=BX271),'2025DATA'!$E$29,"")</f>
        <v/>
      </c>
      <c r="BY298" s="518" t="str">
        <f>IF(AND(_A5="A-320",'2025'!$K$4="CA",'2025'!$K$2=BY271),'2025DATA'!$F$29,"")</f>
        <v/>
      </c>
      <c r="BZ298" s="518" t="str">
        <f>IF(AND(_A5="A-320",'2025'!$K$4="CA",'2025'!$K$2=BZ271),'2025DATA'!$G$29,"")</f>
        <v/>
      </c>
      <c r="CA298" s="518" t="str">
        <f>IF(AND(_A5="A-320",'2025'!$K$4="CA",'2025'!$K$2=CA271),'2025DATA'!$H$29,"")</f>
        <v/>
      </c>
      <c r="CB298" s="518" t="str">
        <f>IF(AND(_A5="A-320",'2025'!$K$4="CA",'2025'!$K$2=CB271),'2025DATA'!$I$29,"")</f>
        <v/>
      </c>
      <c r="CC298" s="518" t="str">
        <f>IF(AND(_A5="A-320",'2025'!$K$4="CA",'2025'!$K$2=CC271),'2025DATA'!$J$29,"")</f>
        <v/>
      </c>
      <c r="CD298" s="518" t="str">
        <f>IF(AND(_A5="A-320",'2025'!$K$4="CA",'2025'!$K$2=CD271),'2025DATA'!$K$29,"")</f>
        <v/>
      </c>
      <c r="CE298" s="518" t="str">
        <f>IF(AND(_A5="A-320",'2025'!$K$4="CA",'2025'!$K$2=CE271),'2025DATA'!$L$29,"")</f>
        <v/>
      </c>
      <c r="CF298" s="518" t="str">
        <f>IF(AND(_A5="A-320",'2025'!$K$4="CA",'2025'!$K$2=CF271),'2025DATA'!$M$29,"")</f>
        <v/>
      </c>
      <c r="CG298" s="520" t="str">
        <f>IF(AND(_A5="A-320",'2025'!$K$4="CA",'2025'!$K$2=CG271),'2025DATA'!$N$29,"")</f>
        <v/>
      </c>
      <c r="CH298" s="940" t="s">
        <v>70</v>
      </c>
      <c r="CI298" s="13" t="s">
        <v>61</v>
      </c>
      <c r="CJ298" s="518" t="str">
        <f>IF(AND(_A6="A-320",'2025'!$K$4="CA",'2025'!$K$2=CJ271),'2025DATA'!$C$29,"")</f>
        <v/>
      </c>
      <c r="CK298" s="518" t="str">
        <f>IF(AND(_A6="A-320",'2025'!$K$4="CA",'2025'!$K$2=CK271),'2025DATA'!$D$29,"")</f>
        <v/>
      </c>
      <c r="CL298" s="518" t="str">
        <f>IF(AND(_A6="A-320",'2025'!$K$4="CA",'2025'!$K$2=CL271),'2025DATA'!$E$29,"")</f>
        <v/>
      </c>
      <c r="CM298" s="518" t="str">
        <f>IF(AND(_A6="A-320",'2025'!$K$4="CA",'2025'!$K$2=CM271),'2025DATA'!$F$29,"")</f>
        <v/>
      </c>
      <c r="CN298" s="518" t="str">
        <f>IF(AND(_A6="A-320",'2025'!$K$4="CA",'2025'!$K$2=CN271),'2025DATA'!$G$29,"")</f>
        <v/>
      </c>
      <c r="CO298" s="518" t="str">
        <f>IF(AND(_A6="A-320",'2025'!$K$4="CA",'2025'!$K$2=CO271),'2025DATA'!$H$29,"")</f>
        <v/>
      </c>
      <c r="CP298" s="518" t="str">
        <f>IF(AND(_A6="A-320",'2025'!$K$4="CA",'2025'!$K$2=CP271),'2025DATA'!$I$29,"")</f>
        <v/>
      </c>
      <c r="CQ298" s="518" t="str">
        <f>IF(AND(_A6="A-320",'2025'!$K$4="CA",'2025'!$K$2=CQ271),'2025DATA'!$J$29,"")</f>
        <v/>
      </c>
      <c r="CR298" s="518" t="str">
        <f>IF(AND(_A6="A-320",'2025'!$K$4="CA",'2025'!$K$2=CR271),'2025DATA'!$K$29,"")</f>
        <v/>
      </c>
      <c r="CS298" s="518" t="str">
        <f>IF(AND(_A6="A-320",'2025'!$K$4="CA",'2025'!$K$2=CS271),'2025DATA'!$L$29,"")</f>
        <v/>
      </c>
      <c r="CT298" s="518" t="str">
        <f>IF(AND(_A6="A-320",'2025'!$K$4="CA",'2025'!$K$2=CT271),'2025DATA'!$M$29,"")</f>
        <v/>
      </c>
      <c r="CU298" s="520" t="str">
        <f>IF(AND(_A6="A-320",'2025'!$K$4="CA",'2025'!$K$2=CU271),'2025DATA'!$N$29,"")</f>
        <v/>
      </c>
    </row>
    <row r="299" spans="16:99" x14ac:dyDescent="0.25">
      <c r="P299" s="940"/>
      <c r="Q299" s="13" t="s">
        <v>62</v>
      </c>
      <c r="R299" s="518" t="str">
        <f>IF(AND(_A1="A-320",'2025'!$K$4="FO",'2025'!$K$2=R271),'2025DATA'!$C$30,"")</f>
        <v/>
      </c>
      <c r="S299" s="518" t="str">
        <f>IF(AND(_A1="A-320",'2025'!$K$4="FO",'2025'!$K$2=S271),'2025DATA'!$D$30,"")</f>
        <v/>
      </c>
      <c r="T299" s="518" t="str">
        <f>IF(AND(_A1="A-320",'2025'!$K$4="FO",'2025'!$K$2=T271),'2025DATA'!$E$30,"")</f>
        <v/>
      </c>
      <c r="U299" s="518" t="str">
        <f>IF(AND(_A1="A-320",'2025'!$K$4="FO",'2025'!$K$2=U271),'2025DATA'!$F$30,"")</f>
        <v/>
      </c>
      <c r="V299" s="518" t="str">
        <f>IF(AND(_A1="A-320",'2025'!$K$4="FO",'2025'!$K$2=V271),'2025DATA'!$G$30,"")</f>
        <v/>
      </c>
      <c r="W299" s="518" t="str">
        <f>IF(AND(_A1="A-320",'2025'!$K$4="FO",'2025'!$K$2=W271),'2025DATA'!$H$30,"")</f>
        <v/>
      </c>
      <c r="X299" s="518" t="str">
        <f>IF(AND(_A1="A-320",'2025'!$K$4="FO",'2025'!$K$2=X271),'2025DATA'!$I$30,"")</f>
        <v/>
      </c>
      <c r="Y299" s="518" t="str">
        <f>IF(AND(_A1="A-320",'2025'!$K$4="FO",'2025'!$K$2=Y271),'2025DATA'!$J$30,"")</f>
        <v/>
      </c>
      <c r="Z299" s="518" t="str">
        <f>IF(AND(_A1="A-320",'2025'!$K$4="FO",'2025'!$K$2=Z271),'2025DATA'!$K$30,"")</f>
        <v/>
      </c>
      <c r="AA299" s="518" t="str">
        <f>IF(AND(_A1="A-320",'2025'!$K$4="FO",'2025'!$K$2=AA271),'2025DATA'!$L$30,"")</f>
        <v/>
      </c>
      <c r="AB299" s="518" t="str">
        <f>IF(AND(_A1="A-320",'2025'!$K$4="FO",'2025'!$K$2=AB271),'2025DATA'!$M$30,"")</f>
        <v/>
      </c>
      <c r="AC299" s="520" t="str">
        <f>IF(AND(_A1="A-320",'2025'!$K$4="FO",'2025'!$K$2=AC271),'2025DATA'!$N$30,"")</f>
        <v/>
      </c>
      <c r="AD299" s="940"/>
      <c r="AE299" s="13" t="s">
        <v>62</v>
      </c>
      <c r="AF299" s="518" t="str">
        <f>IF(AND(_A2="A-320",'2025'!$K$4="FO",'2025'!$K$2=AF271),'2025DATA'!$C$30,"")</f>
        <v/>
      </c>
      <c r="AG299" s="518" t="str">
        <f>IF(AND(_A2="A-320",'2025'!$K$4="FO",'2025'!$K$2=AG271),'2025DATA'!$D$30,"")</f>
        <v/>
      </c>
      <c r="AH299" s="518" t="str">
        <f>IF(AND(_A2="A-320",'2025'!$K$4="FO",'2025'!$K$2=AH271),'2025DATA'!$E$30,"")</f>
        <v/>
      </c>
      <c r="AI299" s="518" t="str">
        <f>IF(AND(_A2="A-320",'2025'!$K$4="FO",'2025'!$K$2=AI271),'2025DATA'!$F$30,"")</f>
        <v/>
      </c>
      <c r="AJ299" s="518" t="str">
        <f>IF(AND(_A2="A-320",'2025'!$K$4="FO",'2025'!$K$2=AJ271),'2025DATA'!$G$30,"")</f>
        <v/>
      </c>
      <c r="AK299" s="518" t="str">
        <f>IF(AND(_A2="A-320",'2025'!$K$4="FO",'2025'!$K$2=AK271),'2025DATA'!$H$30,"")</f>
        <v/>
      </c>
      <c r="AL299" s="518" t="str">
        <f>IF(AND(_A2="A-320",'2025'!$K$4="FO",'2025'!$K$2=AL271),'2025DATA'!$I$30,"")</f>
        <v/>
      </c>
      <c r="AM299" s="518" t="str">
        <f>IF(AND(_A2="A-320",'2025'!$K$4="FO",'2025'!$K$2=AM271),'2025DATA'!$J$30,"")</f>
        <v/>
      </c>
      <c r="AN299" s="518" t="str">
        <f>IF(AND(_A2="A-320",'2025'!$K$4="FO",'2025'!$K$2=AN271),'2025DATA'!$K$30,"")</f>
        <v/>
      </c>
      <c r="AO299" s="518" t="str">
        <f>IF(AND(_A2="A-320",'2025'!$K$4="FO",'2025'!$K$2=AO271),'2025DATA'!$L$30,"")</f>
        <v/>
      </c>
      <c r="AP299" s="518" t="str">
        <f>IF(AND(_A2="A-320",'2025'!$K$4="FO",'2025'!$K$2=AP271),'2025DATA'!$M$30,"")</f>
        <v/>
      </c>
      <c r="AQ299" s="520" t="str">
        <f>IF(AND(_A2="A-320",'2025'!$K$4="FO",'2025'!$K$2=AQ271),'2025DATA'!$N$30,"")</f>
        <v/>
      </c>
      <c r="AR299" s="940"/>
      <c r="AS299" s="13" t="s">
        <v>62</v>
      </c>
      <c r="AT299" s="518" t="str">
        <f>IF(AND(_A3="A-320",'2025'!$K$4="FO",'2025'!$K$2=AT271),'2025DATA'!$C$30,"")</f>
        <v/>
      </c>
      <c r="AU299" s="518" t="str">
        <f>IF(AND(_A3="A-320",'2025'!$K$4="FO",'2025'!$K$2=AU271),'2025DATA'!$D$30,"")</f>
        <v/>
      </c>
      <c r="AV299" s="518" t="str">
        <f>IF(AND(_A3="A-320",'2025'!$K$4="FO",'2025'!$K$2=AV271),'2025DATA'!$E$30,"")</f>
        <v/>
      </c>
      <c r="AW299" s="518" t="str">
        <f>IF(AND(_A3="A-320",'2025'!$K$4="FO",'2025'!$K$2=AW271),'2025DATA'!$F$30,"")</f>
        <v/>
      </c>
      <c r="AX299" s="518" t="str">
        <f>IF(AND(_A3="A-320",'2025'!$K$4="FO",'2025'!$K$2=AX271),'2025DATA'!$G$30,"")</f>
        <v/>
      </c>
      <c r="AY299" s="518" t="str">
        <f>IF(AND(_A3="A-320",'2025'!$K$4="FO",'2025'!$K$2=AY271),'2025DATA'!$H$30,"")</f>
        <v/>
      </c>
      <c r="AZ299" s="518" t="str">
        <f>IF(AND(_A3="A-320",'2025'!$K$4="FO",'2025'!$K$2=AZ271),'2025DATA'!$I$30,"")</f>
        <v/>
      </c>
      <c r="BA299" s="518" t="str">
        <f>IF(AND(_A3="A-320",'2025'!$K$4="FO",'2025'!$K$2=BA271),'2025DATA'!$J$30,"")</f>
        <v/>
      </c>
      <c r="BB299" s="518" t="str">
        <f>IF(AND(_A3="A-320",'2025'!$K$4="FO",'2025'!$K$2=BB271),'2025DATA'!$K$30,"")</f>
        <v/>
      </c>
      <c r="BC299" s="518" t="str">
        <f>IF(AND(_A3="A-320",'2025'!$K$4="FO",'2025'!$K$2=BC271),'2025DATA'!$L$30,"")</f>
        <v/>
      </c>
      <c r="BD299" s="518" t="str">
        <f>IF(AND(_A3="A-320",'2025'!$K$4="FO",'2025'!$K$2=BD271),'2025DATA'!$M$30,"")</f>
        <v/>
      </c>
      <c r="BE299" s="520" t="str">
        <f>IF(AND(_A3="A-320",'2025'!$K$4="FO",'2025'!$K$2=BE271),'2025DATA'!$N$30,"")</f>
        <v/>
      </c>
      <c r="BF299" s="940"/>
      <c r="BG299" s="13" t="s">
        <v>62</v>
      </c>
      <c r="BH299" s="518" t="str">
        <f>IF(AND(_A4="A-320",'2025'!$K$4="FO",'2025'!$K$2=BH271),'2025DATA'!$C$30,"")</f>
        <v/>
      </c>
      <c r="BI299" s="518" t="str">
        <f>IF(AND(_A4="A-320",'2025'!$K$4="FO",'2025'!$K$2=BI271),'2025DATA'!$D$30,"")</f>
        <v/>
      </c>
      <c r="BJ299" s="518" t="str">
        <f>IF(AND(_A4="A-320",'2025'!$K$4="FO",'2025'!$K$2=BJ271),'2025DATA'!$E$30,"")</f>
        <v/>
      </c>
      <c r="BK299" s="518" t="str">
        <f>IF(AND(_A4="A-320",'2025'!$K$4="FO",'2025'!$K$2=BK271),'2025DATA'!$F$30,"")</f>
        <v/>
      </c>
      <c r="BL299" s="518" t="str">
        <f>IF(AND(_A4="A-320",'2025'!$K$4="FO",'2025'!$K$2=BL271),'2025DATA'!$G$30,"")</f>
        <v/>
      </c>
      <c r="BM299" s="518" t="str">
        <f>IF(AND(_A4="A-320",'2025'!$K$4="FO",'2025'!$K$2=BM271),'2025DATA'!$H$30,"")</f>
        <v/>
      </c>
      <c r="BN299" s="518" t="str">
        <f>IF(AND(_A4="A-320",'2025'!$K$4="FO",'2025'!$K$2=BN271),'2025DATA'!$I$30,"")</f>
        <v/>
      </c>
      <c r="BO299" s="518" t="str">
        <f>IF(AND(_A4="A-320",'2025'!$K$4="FO",'2025'!$K$2=BO271),'2025DATA'!$J$30,"")</f>
        <v/>
      </c>
      <c r="BP299" s="518" t="str">
        <f>IF(AND(_A4="A-320",'2025'!$K$4="FO",'2025'!$K$2=BP271),'2025DATA'!$K$30,"")</f>
        <v/>
      </c>
      <c r="BQ299" s="518" t="str">
        <f>IF(AND(_A4="A-320",'2025'!$K$4="FO",'2025'!$K$2=BQ271),'2025DATA'!$L$30,"")</f>
        <v/>
      </c>
      <c r="BR299" s="518" t="str">
        <f>IF(AND(_A4="A-320",'2025'!$K$4="FO",'2025'!$K$2=BR271),'2025DATA'!$M$30,"")</f>
        <v/>
      </c>
      <c r="BS299" s="520" t="str">
        <f>IF(AND(_A4="A-320",'2025'!$K$4="FO",'2025'!$K$2=BS271),'2025DATA'!$N$30,"")</f>
        <v/>
      </c>
      <c r="BT299" s="940"/>
      <c r="BU299" s="13" t="s">
        <v>62</v>
      </c>
      <c r="BV299" s="518" t="str">
        <f>IF(AND(_A5="A-320",'2025'!$K$4="FO",'2025'!$K$2=BV271),'2025DATA'!$C$30,"")</f>
        <v/>
      </c>
      <c r="BW299" s="518" t="str">
        <f>IF(AND(_A5="A-320",'2025'!$K$4="FO",'2025'!$K$2=BW271),'2025DATA'!$D$30,"")</f>
        <v/>
      </c>
      <c r="BX299" s="518" t="str">
        <f>IF(AND(_A5="A-320",'2025'!$K$4="FO",'2025'!$K$2=BX271),'2025DATA'!$E$30,"")</f>
        <v/>
      </c>
      <c r="BY299" s="518" t="str">
        <f>IF(AND(_A5="A-320",'2025'!$K$4="FO",'2025'!$K$2=BY271),'2025DATA'!$F$30,"")</f>
        <v/>
      </c>
      <c r="BZ299" s="518" t="str">
        <f>IF(AND(_A5="A-320",'2025'!$K$4="FO",'2025'!$K$2=BZ271),'2025DATA'!$G$30,"")</f>
        <v/>
      </c>
      <c r="CA299" s="518" t="str">
        <f>IF(AND(_A5="A-320",'2025'!$K$4="FO",'2025'!$K$2=CA271),'2025DATA'!$H$30,"")</f>
        <v/>
      </c>
      <c r="CB299" s="518" t="str">
        <f>IF(AND(_A5="A-320",'2025'!$K$4="FO",'2025'!$K$2=CB271),'2025DATA'!$I$30,"")</f>
        <v/>
      </c>
      <c r="CC299" s="518" t="str">
        <f>IF(AND(_A5="A-320",'2025'!$K$4="FO",'2025'!$K$2=CC271),'2025DATA'!$J$30,"")</f>
        <v/>
      </c>
      <c r="CD299" s="518" t="str">
        <f>IF(AND(_A5="A-320",'2025'!$K$4="FO",'2025'!$K$2=CD271),'2025DATA'!$K$30,"")</f>
        <v/>
      </c>
      <c r="CE299" s="518" t="str">
        <f>IF(AND(_A5="A-320",'2025'!$K$4="FO",'2025'!$K$2=CE271),'2025DATA'!$L$30,"")</f>
        <v/>
      </c>
      <c r="CF299" s="518" t="str">
        <f>IF(AND(_A5="A-320",'2025'!$K$4="FO",'2025'!$K$2=CF271),'2025DATA'!$M$30,"")</f>
        <v/>
      </c>
      <c r="CG299" s="520" t="str">
        <f>IF(AND(_A5="A-320",'2025'!$K$4="FO",'2025'!$K$2=CG271),'2025DATA'!$N$30,"")</f>
        <v/>
      </c>
      <c r="CH299" s="940"/>
      <c r="CI299" s="13" t="s">
        <v>62</v>
      </c>
      <c r="CJ299" s="518" t="str">
        <f>IF(AND(_A6="A-320",'2025'!$K$4="FO",'2025'!$K$2=CJ271),'2025DATA'!$C$30,"")</f>
        <v/>
      </c>
      <c r="CK299" s="518" t="str">
        <f>IF(AND(_A6="A-320",'2025'!$K$4="FO",'2025'!$K$2=CK271),'2025DATA'!$D$30,"")</f>
        <v/>
      </c>
      <c r="CL299" s="518" t="str">
        <f>IF(AND(_A6="A-320",'2025'!$K$4="FO",'2025'!$K$2=CL271),'2025DATA'!$E$30,"")</f>
        <v/>
      </c>
      <c r="CM299" s="518" t="str">
        <f>IF(AND(_A6="A-320",'2025'!$K$4="FO",'2025'!$K$2=CM271),'2025DATA'!$F$30,"")</f>
        <v/>
      </c>
      <c r="CN299" s="518" t="str">
        <f>IF(AND(_A6="A-320",'2025'!$K$4="FO",'2025'!$K$2=CN271),'2025DATA'!$G$30,"")</f>
        <v/>
      </c>
      <c r="CO299" s="518" t="str">
        <f>IF(AND(_A6="A-320",'2025'!$K$4="FO",'2025'!$K$2=CO271),'2025DATA'!$H$30,"")</f>
        <v/>
      </c>
      <c r="CP299" s="518" t="str">
        <f>IF(AND(_A6="A-320",'2025'!$K$4="FO",'2025'!$K$2=CP271),'2025DATA'!$I$30,"")</f>
        <v/>
      </c>
      <c r="CQ299" s="518" t="str">
        <f>IF(AND(_A6="A-320",'2025'!$K$4="FO",'2025'!$K$2=CQ271),'2025DATA'!$J$30,"")</f>
        <v/>
      </c>
      <c r="CR299" s="518" t="str">
        <f>IF(AND(_A6="A-320",'2025'!$K$4="FO",'2025'!$K$2=CR271),'2025DATA'!$K$30,"")</f>
        <v/>
      </c>
      <c r="CS299" s="518" t="str">
        <f>IF(AND(_A6="A-320",'2025'!$K$4="FO",'2025'!$K$2=CS271),'2025DATA'!$L$30,"")</f>
        <v/>
      </c>
      <c r="CT299" s="518" t="str">
        <f>IF(AND(_A6="A-320",'2025'!$K$4="FO",'2025'!$K$2=CT271),'2025DATA'!$M$30,"")</f>
        <v/>
      </c>
      <c r="CU299" s="520" t="str">
        <f>IF(AND(_A6="A-320",'2025'!$K$4="FO",'2025'!$K$2=CU271),'2025DATA'!$N$30,"")</f>
        <v/>
      </c>
    </row>
    <row r="300" spans="16:99" x14ac:dyDescent="0.25">
      <c r="P300" s="940" t="s">
        <v>71</v>
      </c>
      <c r="Q300" s="13" t="s">
        <v>61</v>
      </c>
      <c r="R300" s="518" t="str">
        <f>IF(AND(_A1="A-319",'2025'!$K$4="CA",'2025'!$K$2=R271),'2025DATA'!$C$31,"")</f>
        <v/>
      </c>
      <c r="S300" s="518" t="str">
        <f>IF(AND(_A1="A-319",'2025'!$K$4="CA",'2025'!$K$2=S271),'2025DATA'!$D$31,"")</f>
        <v/>
      </c>
      <c r="T300" s="518" t="str">
        <f>IF(AND(_A1="A-319",'2025'!$K$4="CA",'2025'!$K$2=T271),'2025DATA'!$E$31,"")</f>
        <v/>
      </c>
      <c r="U300" s="518" t="str">
        <f>IF(AND(_A1="A-319",'2025'!$K$4="CA",'2025'!$K$2=U271),'2025DATA'!$F$31,"")</f>
        <v/>
      </c>
      <c r="V300" s="518" t="str">
        <f>IF(AND(_A1="A-319",'2025'!$K$4="CA",'2025'!$K$2=V271),'2025DATA'!$G$31,"")</f>
        <v/>
      </c>
      <c r="W300" s="518" t="str">
        <f>IF(AND(_A1="A-319",'2025'!$K$4="CA",'2025'!$K$2=W271),'2025DATA'!$H$31,"")</f>
        <v/>
      </c>
      <c r="X300" s="518" t="str">
        <f>IF(AND(_A1="A-319",'2025'!$K$4="CA",'2025'!$K$2=X271),'2025DATA'!$I$31,"")</f>
        <v/>
      </c>
      <c r="Y300" s="518" t="str">
        <f>IF(AND(_A1="A-319",'2025'!$K$4="CA",'2025'!$K$2=Y271),'2025DATA'!$J$31,"")</f>
        <v/>
      </c>
      <c r="Z300" s="518" t="str">
        <f>IF(AND(_A1="A-319",'2025'!$K$4="CA",'2025'!$K$2=Z271),'2025DATA'!$K$31,"")</f>
        <v/>
      </c>
      <c r="AA300" s="518" t="str">
        <f>IF(AND(_A1="A-319",'2025'!$K$4="CA",'2025'!$K$2=AA271),'2025DATA'!$L$31,"")</f>
        <v/>
      </c>
      <c r="AB300" s="518" t="str">
        <f>IF(AND(_A1="A-319",'2025'!$K$4="CA",'2025'!$K$2=AB271),'2025DATA'!$M$31,"")</f>
        <v/>
      </c>
      <c r="AC300" s="520" t="str">
        <f>IF(AND(_A1="A-319",'2025'!$K$4="CA",'2025'!$K$2=AC271),'2025DATA'!$N$31,"")</f>
        <v/>
      </c>
      <c r="AD300" s="940" t="s">
        <v>71</v>
      </c>
      <c r="AE300" s="13" t="s">
        <v>61</v>
      </c>
      <c r="AF300" s="518" t="str">
        <f>IF(AND(_A2="A-319",'2025'!$K$4="CA",'2025'!$K$2=AF271),'2025DATA'!$C$31,"")</f>
        <v/>
      </c>
      <c r="AG300" s="518" t="str">
        <f>IF(AND(_A2="A-319",'2025'!$K$4="CA",'2025'!$K$2=AG271),'2025DATA'!$D$31,"")</f>
        <v/>
      </c>
      <c r="AH300" s="518" t="str">
        <f>IF(AND(_A2="A-319",'2025'!$K$4="CA",'2025'!$K$2=AH271),'2025DATA'!$E$31,"")</f>
        <v/>
      </c>
      <c r="AI300" s="518" t="str">
        <f>IF(AND(_A2="A-319",'2025'!$K$4="CA",'2025'!$K$2=AI271),'2025DATA'!$F$31,"")</f>
        <v/>
      </c>
      <c r="AJ300" s="518" t="str">
        <f>IF(AND(_A2="A-319",'2025'!$K$4="CA",'2025'!$K$2=AJ271),'2025DATA'!$G$31,"")</f>
        <v/>
      </c>
      <c r="AK300" s="518" t="str">
        <f>IF(AND(_A2="A-319",'2025'!$K$4="CA",'2025'!$K$2=AK271),'2025DATA'!$H$31,"")</f>
        <v/>
      </c>
      <c r="AL300" s="518" t="str">
        <f>IF(AND(_A2="A-319",'2025'!$K$4="CA",'2025'!$K$2=AL271),'2025DATA'!$I$31,"")</f>
        <v/>
      </c>
      <c r="AM300" s="518" t="str">
        <f>IF(AND(_A2="A-319",'2025'!$K$4="CA",'2025'!$K$2=AM271),'2025DATA'!$J$31,"")</f>
        <v/>
      </c>
      <c r="AN300" s="518" t="str">
        <f>IF(AND(_A2="A-319",'2025'!$K$4="CA",'2025'!$K$2=AN271),'2025DATA'!$K$31,"")</f>
        <v/>
      </c>
      <c r="AO300" s="518" t="str">
        <f>IF(AND(_A2="A-319",'2025'!$K$4="CA",'2025'!$K$2=AO271),'2025DATA'!$L$31,"")</f>
        <v/>
      </c>
      <c r="AP300" s="518" t="str">
        <f>IF(AND(_A2="A-319",'2025'!$K$4="CA",'2025'!$K$2=AP271),'2025DATA'!$M$31,"")</f>
        <v/>
      </c>
      <c r="AQ300" s="520" t="str">
        <f>IF(AND(_A2="A-319",'2025'!$K$4="CA",'2025'!$K$2=AQ271),'2025DATA'!$N$31,"")</f>
        <v/>
      </c>
      <c r="AR300" s="940" t="s">
        <v>71</v>
      </c>
      <c r="AS300" s="13" t="s">
        <v>61</v>
      </c>
      <c r="AT300" s="518" t="str">
        <f>IF(AND(_A3="A-319",'2025'!$K$4="CA",'2025'!$K$2=AT271),'2025DATA'!$C$31,"")</f>
        <v/>
      </c>
      <c r="AU300" s="518" t="str">
        <f>IF(AND(_A3="A-319",'2025'!$K$4="CA",'2025'!$K$2=AU271),'2025DATA'!$D$31,"")</f>
        <v/>
      </c>
      <c r="AV300" s="518" t="str">
        <f>IF(AND(_A3="A-319",'2025'!$K$4="CA",'2025'!$K$2=AV271),'2025DATA'!$E$31,"")</f>
        <v/>
      </c>
      <c r="AW300" s="518" t="str">
        <f>IF(AND(_A3="A-319",'2025'!$K$4="CA",'2025'!$K$2=AW271),'2025DATA'!$F$31,"")</f>
        <v/>
      </c>
      <c r="AX300" s="518" t="str">
        <f>IF(AND(_A3="A-319",'2025'!$K$4="CA",'2025'!$K$2=AX271),'2025DATA'!$G$31,"")</f>
        <v/>
      </c>
      <c r="AY300" s="518" t="str">
        <f>IF(AND(_A3="A-319",'2025'!$K$4="CA",'2025'!$K$2=AY271),'2025DATA'!$H$31,"")</f>
        <v/>
      </c>
      <c r="AZ300" s="518" t="str">
        <f>IF(AND(_A3="A-319",'2025'!$K$4="CA",'2025'!$K$2=AZ271),'2025DATA'!$I$31,"")</f>
        <v/>
      </c>
      <c r="BA300" s="518" t="str">
        <f>IF(AND(_A3="A-319",'2025'!$K$4="CA",'2025'!$K$2=BA271),'2025DATA'!$J$31,"")</f>
        <v/>
      </c>
      <c r="BB300" s="518" t="str">
        <f>IF(AND(_A3="A-319",'2025'!$K$4="CA",'2025'!$K$2=BB271),'2025DATA'!$K$31,"")</f>
        <v/>
      </c>
      <c r="BC300" s="518" t="str">
        <f>IF(AND(_A3="A-319",'2025'!$K$4="CA",'2025'!$K$2=BC271),'2025DATA'!$L$31,"")</f>
        <v/>
      </c>
      <c r="BD300" s="518" t="str">
        <f>IF(AND(_A3="A-319",'2025'!$K$4="CA",'2025'!$K$2=BD271),'2025DATA'!$M$31,"")</f>
        <v/>
      </c>
      <c r="BE300" s="520" t="str">
        <f>IF(AND(_A3="A-319",'2025'!$K$4="CA",'2025'!$K$2=BE271),'2025DATA'!$N$31,"")</f>
        <v/>
      </c>
      <c r="BF300" s="940" t="s">
        <v>71</v>
      </c>
      <c r="BG300" s="13" t="s">
        <v>61</v>
      </c>
      <c r="BH300" s="518" t="str">
        <f>IF(AND(_A4="A-319",'2025'!$K$4="CA",'2025'!$K$2=BH271),'2025DATA'!$C$31,"")</f>
        <v/>
      </c>
      <c r="BI300" s="518" t="str">
        <f>IF(AND(_A4="A-319",'2025'!$K$4="CA",'2025'!$K$2=BI271),'2025DATA'!$D$31,"")</f>
        <v/>
      </c>
      <c r="BJ300" s="518" t="str">
        <f>IF(AND(_A4="A-319",'2025'!$K$4="CA",'2025'!$K$2=BJ271),'2025DATA'!$E$31,"")</f>
        <v/>
      </c>
      <c r="BK300" s="518" t="str">
        <f>IF(AND(_A4="A-319",'2025'!$K$4="CA",'2025'!$K$2=BK271),'2025DATA'!$F$31,"")</f>
        <v/>
      </c>
      <c r="BL300" s="518" t="str">
        <f>IF(AND(_A4="A-319",'2025'!$K$4="CA",'2025'!$K$2=BL271),'2025DATA'!$G$31,"")</f>
        <v/>
      </c>
      <c r="BM300" s="518" t="str">
        <f>IF(AND(_A4="A-319",'2025'!$K$4="CA",'2025'!$K$2=BM271),'2025DATA'!$H$31,"")</f>
        <v/>
      </c>
      <c r="BN300" s="518" t="str">
        <f>IF(AND(_A4="A-319",'2025'!$K$4="CA",'2025'!$K$2=BN271),'2025DATA'!$I$31,"")</f>
        <v/>
      </c>
      <c r="BO300" s="518" t="str">
        <f>IF(AND(_A4="A-319",'2025'!$K$4="CA",'2025'!$K$2=BO271),'2025DATA'!$J$31,"")</f>
        <v/>
      </c>
      <c r="BP300" s="518" t="str">
        <f>IF(AND(_A4="A-319",'2025'!$K$4="CA",'2025'!$K$2=BP271),'2025DATA'!$K$31,"")</f>
        <v/>
      </c>
      <c r="BQ300" s="518" t="str">
        <f>IF(AND(_A4="A-319",'2025'!$K$4="CA",'2025'!$K$2=BQ271),'2025DATA'!$L$31,"")</f>
        <v/>
      </c>
      <c r="BR300" s="518" t="str">
        <f>IF(AND(_A4="A-319",'2025'!$K$4="CA",'2025'!$K$2=BR271),'2025DATA'!$M$31,"")</f>
        <v/>
      </c>
      <c r="BS300" s="520" t="str">
        <f>IF(AND(_A4="A-319",'2025'!$K$4="CA",'2025'!$K$2=BS271),'2025DATA'!$N$31,"")</f>
        <v/>
      </c>
      <c r="BT300" s="940" t="s">
        <v>71</v>
      </c>
      <c r="BU300" s="13" t="s">
        <v>61</v>
      </c>
      <c r="BV300" s="518" t="str">
        <f>IF(AND(_A5="A-319",'2025'!$K$4="CA",'2025'!$K$2=BV271),'2025DATA'!$C$31,"")</f>
        <v/>
      </c>
      <c r="BW300" s="518" t="str">
        <f>IF(AND(_A5="A-319",'2025'!$K$4="CA",'2025'!$K$2=BW271),'2025DATA'!$D$31,"")</f>
        <v/>
      </c>
      <c r="BX300" s="518" t="str">
        <f>IF(AND(_A5="A-319",'2025'!$K$4="CA",'2025'!$K$2=BX271),'2025DATA'!$E$31,"")</f>
        <v/>
      </c>
      <c r="BY300" s="518" t="str">
        <f>IF(AND(_A5="A-319",'2025'!$K$4="CA",'2025'!$K$2=BY271),'2025DATA'!$F$31,"")</f>
        <v/>
      </c>
      <c r="BZ300" s="518" t="str">
        <f>IF(AND(_A5="A-319",'2025'!$K$4="CA",'2025'!$K$2=BZ271),'2025DATA'!$G$31,"")</f>
        <v/>
      </c>
      <c r="CA300" s="518" t="str">
        <f>IF(AND(_A5="A-319",'2025'!$K$4="CA",'2025'!$K$2=CA271),'2025DATA'!$H$31,"")</f>
        <v/>
      </c>
      <c r="CB300" s="518" t="str">
        <f>IF(AND(_A5="A-319",'2025'!$K$4="CA",'2025'!$K$2=CB271),'2025DATA'!$I$31,"")</f>
        <v/>
      </c>
      <c r="CC300" s="518" t="str">
        <f>IF(AND(_A5="A-319",'2025'!$K$4="CA",'2025'!$K$2=CC271),'2025DATA'!$J$31,"")</f>
        <v/>
      </c>
      <c r="CD300" s="518" t="str">
        <f>IF(AND(_A5="A-319",'2025'!$K$4="CA",'2025'!$K$2=CD271),'2025DATA'!$K$31,"")</f>
        <v/>
      </c>
      <c r="CE300" s="518" t="str">
        <f>IF(AND(_A5="A-319",'2025'!$K$4="CA",'2025'!$K$2=CE271),'2025DATA'!$L$31,"")</f>
        <v/>
      </c>
      <c r="CF300" s="518" t="str">
        <f>IF(AND(_A5="A-319",'2025'!$K$4="CA",'2025'!$K$2=CF271),'2025DATA'!$M$31,"")</f>
        <v/>
      </c>
      <c r="CG300" s="520" t="str">
        <f>IF(AND(_A5="A-319",'2025'!$K$4="CA",'2025'!$K$2=CG271),'2025DATA'!$N$31,"")</f>
        <v/>
      </c>
      <c r="CH300" s="940" t="s">
        <v>71</v>
      </c>
      <c r="CI300" s="13" t="s">
        <v>61</v>
      </c>
      <c r="CJ300" s="518" t="str">
        <f>IF(AND(_A6="A-319",'2025'!$K$4="CA",'2025'!$K$2=CJ271),'2025DATA'!$C$31,"")</f>
        <v/>
      </c>
      <c r="CK300" s="518" t="str">
        <f>IF(AND(_A6="A-319",'2025'!$K$4="CA",'2025'!$K$2=CK271),'2025DATA'!$D$31,"")</f>
        <v/>
      </c>
      <c r="CL300" s="518" t="str">
        <f>IF(AND(_A6="A-319",'2025'!$K$4="CA",'2025'!$K$2=CL271),'2025DATA'!$E$31,"")</f>
        <v/>
      </c>
      <c r="CM300" s="518" t="str">
        <f>IF(AND(_A6="A-319",'2025'!$K$4="CA",'2025'!$K$2=CM271),'2025DATA'!$F$31,"")</f>
        <v/>
      </c>
      <c r="CN300" s="518" t="str">
        <f>IF(AND(_A6="A-319",'2025'!$K$4="CA",'2025'!$K$2=CN271),'2025DATA'!$G$31,"")</f>
        <v/>
      </c>
      <c r="CO300" s="518" t="str">
        <f>IF(AND(_A6="A-319",'2025'!$K$4="CA",'2025'!$K$2=CO271),'2025DATA'!$H$31,"")</f>
        <v/>
      </c>
      <c r="CP300" s="518" t="str">
        <f>IF(AND(_A6="A-319",'2025'!$K$4="CA",'2025'!$K$2=CP271),'2025DATA'!$I$31,"")</f>
        <v/>
      </c>
      <c r="CQ300" s="518" t="str">
        <f>IF(AND(_A6="A-319",'2025'!$K$4="CA",'2025'!$K$2=CQ271),'2025DATA'!$J$31,"")</f>
        <v/>
      </c>
      <c r="CR300" s="518" t="str">
        <f>IF(AND(_A6="A-319",'2025'!$K$4="CA",'2025'!$K$2=CR271),'2025DATA'!$K$31,"")</f>
        <v/>
      </c>
      <c r="CS300" s="518" t="str">
        <f>IF(AND(_A6="A-319",'2025'!$K$4="CA",'2025'!$K$2=CS271),'2025DATA'!$L$31,"")</f>
        <v/>
      </c>
      <c r="CT300" s="518" t="str">
        <f>IF(AND(_A6="A-319",'2025'!$K$4="CA",'2025'!$K$2=CT271),'2025DATA'!$M$31,"")</f>
        <v/>
      </c>
      <c r="CU300" s="520" t="str">
        <f>IF(AND(_A6="A-319",'2025'!$K$4="CA",'2025'!$K$2=CU271),'2025DATA'!$N$31,"")</f>
        <v/>
      </c>
    </row>
    <row r="301" spans="16:99" x14ac:dyDescent="0.25">
      <c r="P301" s="940"/>
      <c r="Q301" s="13" t="s">
        <v>62</v>
      </c>
      <c r="R301" s="518" t="str">
        <f>IF(AND(_A1="A-319",'2025'!$K$4="FO",'2025'!$K$2=R271),'2025DATA'!$C$32,"")</f>
        <v/>
      </c>
      <c r="S301" s="518" t="str">
        <f>IF(AND(_A1="A-319",'2025'!$K$4="FO",'2025'!$K$2=S271),'2025DATA'!$D$32,"")</f>
        <v/>
      </c>
      <c r="T301" s="518" t="str">
        <f>IF(AND(_A1="A-319",'2025'!$K$4="FO",'2025'!$K$2=T271),'2025DATA'!$E$32,"")</f>
        <v/>
      </c>
      <c r="U301" s="518" t="str">
        <f>IF(AND(_A1="A-319",'2025'!$K$4="FO",'2025'!$K$2=U271),'2025DATA'!$F$32,"")</f>
        <v/>
      </c>
      <c r="V301" s="518" t="str">
        <f>IF(AND(_A1="A-319",'2025'!$K$4="FO",'2025'!$K$2=V271),'2025DATA'!$G$32,"")</f>
        <v/>
      </c>
      <c r="W301" s="518" t="str">
        <f>IF(AND(_A1="A-319",'2025'!$K$4="FO",'2025'!$K$2=W271),'2025DATA'!$H$32,"")</f>
        <v/>
      </c>
      <c r="X301" s="518" t="str">
        <f>IF(AND(_A1="A-319",'2025'!$K$4="FO",'2025'!$K$2=X271),'2025DATA'!$I$32,"")</f>
        <v/>
      </c>
      <c r="Y301" s="518" t="str">
        <f>IF(AND(_A1="A-319",'2025'!$K$4="FO",'2025'!$K$2=Y271),'2025DATA'!$J$32,"")</f>
        <v/>
      </c>
      <c r="Z301" s="518" t="str">
        <f>IF(AND(_A1="A-319",'2025'!$K$4="FO",'2025'!$K$2=Z271),'2025DATA'!$K$32,"")</f>
        <v/>
      </c>
      <c r="AA301" s="518" t="str">
        <f>IF(AND(_A1="A-319",'2025'!$K$4="FO",'2025'!$K$2=AA271),'2025DATA'!$L$32,"")</f>
        <v/>
      </c>
      <c r="AB301" s="518" t="str">
        <f>IF(AND(_A1="A-319",'2025'!$K$4="FO",'2025'!$K$2=AB271),'2025DATA'!$M$32,"")</f>
        <v/>
      </c>
      <c r="AC301" s="520" t="str">
        <f>IF(AND(_A1="A-319",'2025'!$K$4="FO",'2025'!$K$2=AC271),'2025DATA'!$N$32,"")</f>
        <v/>
      </c>
      <c r="AD301" s="940"/>
      <c r="AE301" s="13" t="s">
        <v>62</v>
      </c>
      <c r="AF301" s="518" t="str">
        <f>IF(AND(_A2="A-319",'2025'!$K$4="FO",'2025'!$K$2=AF271),'2025DATA'!$C$32,"")</f>
        <v/>
      </c>
      <c r="AG301" s="518" t="str">
        <f>IF(AND(_A2="A-319",'2025'!$K$4="FO",'2025'!$K$2=AG271),'2025DATA'!$D$32,"")</f>
        <v/>
      </c>
      <c r="AH301" s="518" t="str">
        <f>IF(AND(_A2="A-319",'2025'!$K$4="FO",'2025'!$K$2=AH271),'2025DATA'!$E$32,"")</f>
        <v/>
      </c>
      <c r="AI301" s="518" t="str">
        <f>IF(AND(_A2="A-319",'2025'!$K$4="FO",'2025'!$K$2=AI271),'2025DATA'!$F$32,"")</f>
        <v/>
      </c>
      <c r="AJ301" s="518" t="str">
        <f>IF(AND(_A2="A-319",'2025'!$K$4="FO",'2025'!$K$2=AJ271),'2025DATA'!$G$32,"")</f>
        <v/>
      </c>
      <c r="AK301" s="518" t="str">
        <f>IF(AND(_A2="A-319",'2025'!$K$4="FO",'2025'!$K$2=AK271),'2025DATA'!$H$32,"")</f>
        <v/>
      </c>
      <c r="AL301" s="518" t="str">
        <f>IF(AND(_A2="A-319",'2025'!$K$4="FO",'2025'!$K$2=AL271),'2025DATA'!$I$32,"")</f>
        <v/>
      </c>
      <c r="AM301" s="518" t="str">
        <f>IF(AND(_A2="A-319",'2025'!$K$4="FO",'2025'!$K$2=AM271),'2025DATA'!$J$32,"")</f>
        <v/>
      </c>
      <c r="AN301" s="518" t="str">
        <f>IF(AND(_A2="A-319",'2025'!$K$4="FO",'2025'!$K$2=AN271),'2025DATA'!$K$32,"")</f>
        <v/>
      </c>
      <c r="AO301" s="518" t="str">
        <f>IF(AND(_A2="A-319",'2025'!$K$4="FO",'2025'!$K$2=AO271),'2025DATA'!$L$32,"")</f>
        <v/>
      </c>
      <c r="AP301" s="518" t="str">
        <f>IF(AND(_A2="A-319",'2025'!$K$4="FO",'2025'!$K$2=AP271),'2025DATA'!$M$32,"")</f>
        <v/>
      </c>
      <c r="AQ301" s="520" t="str">
        <f>IF(AND(_A2="A-319",'2025'!$K$4="FO",'2025'!$K$2=AQ271),'2025DATA'!$N$32,"")</f>
        <v/>
      </c>
      <c r="AR301" s="940"/>
      <c r="AS301" s="13" t="s">
        <v>62</v>
      </c>
      <c r="AT301" s="518" t="str">
        <f>IF(AND(_A3="A-319",'2025'!$K$4="FO",'2025'!$K$2=AT271),'2025DATA'!$C$32,"")</f>
        <v/>
      </c>
      <c r="AU301" s="518" t="str">
        <f>IF(AND(_A3="A-319",'2025'!$K$4="FO",'2025'!$K$2=AU271),'2025DATA'!$D$32,"")</f>
        <v/>
      </c>
      <c r="AV301" s="518" t="str">
        <f>IF(AND(_A3="A-319",'2025'!$K$4="FO",'2025'!$K$2=AV271),'2025DATA'!$E$32,"")</f>
        <v/>
      </c>
      <c r="AW301" s="518" t="str">
        <f>IF(AND(_A3="A-319",'2025'!$K$4="FO",'2025'!$K$2=AW271),'2025DATA'!$F$32,"")</f>
        <v/>
      </c>
      <c r="AX301" s="518" t="str">
        <f>IF(AND(_A3="A-319",'2025'!$K$4="FO",'2025'!$K$2=AX271),'2025DATA'!$G$32,"")</f>
        <v/>
      </c>
      <c r="AY301" s="518" t="str">
        <f>IF(AND(_A3="A-319",'2025'!$K$4="FO",'2025'!$K$2=AY271),'2025DATA'!$H$32,"")</f>
        <v/>
      </c>
      <c r="AZ301" s="518" t="str">
        <f>IF(AND(_A3="A-319",'2025'!$K$4="FO",'2025'!$K$2=AZ271),'2025DATA'!$I$32,"")</f>
        <v/>
      </c>
      <c r="BA301" s="518" t="str">
        <f>IF(AND(_A3="A-319",'2025'!$K$4="FO",'2025'!$K$2=BA271),'2025DATA'!$J$32,"")</f>
        <v/>
      </c>
      <c r="BB301" s="518" t="str">
        <f>IF(AND(_A3="A-319",'2025'!$K$4="FO",'2025'!$K$2=BB271),'2025DATA'!$K$32,"")</f>
        <v/>
      </c>
      <c r="BC301" s="518" t="str">
        <f>IF(AND(_A3="A-319",'2025'!$K$4="FO",'2025'!$K$2=BC271),'2025DATA'!$L$32,"")</f>
        <v/>
      </c>
      <c r="BD301" s="518" t="str">
        <f>IF(AND(_A3="A-319",'2025'!$K$4="FO",'2025'!$K$2=BD271),'2025DATA'!$M$32,"")</f>
        <v/>
      </c>
      <c r="BE301" s="520" t="str">
        <f>IF(AND(_A3="A-319",'2025'!$K$4="FO",'2025'!$K$2=BE271),'2025DATA'!$N$32,"")</f>
        <v/>
      </c>
      <c r="BF301" s="940"/>
      <c r="BG301" s="13" t="s">
        <v>62</v>
      </c>
      <c r="BH301" s="518" t="str">
        <f>IF(AND(_A4="A-319",'2025'!$K$4="FO",'2025'!$K$2=BH271),'2025DATA'!$C$32,"")</f>
        <v/>
      </c>
      <c r="BI301" s="518" t="str">
        <f>IF(AND(_A4="A-319",'2025'!$K$4="FO",'2025'!$K$2=BI271),'2025DATA'!$D$32,"")</f>
        <v/>
      </c>
      <c r="BJ301" s="518" t="str">
        <f>IF(AND(_A4="A-319",'2025'!$K$4="FO",'2025'!$K$2=BJ271),'2025DATA'!$E$32,"")</f>
        <v/>
      </c>
      <c r="BK301" s="518" t="str">
        <f>IF(AND(_A4="A-319",'2025'!$K$4="FO",'2025'!$K$2=BK271),'2025DATA'!$F$32,"")</f>
        <v/>
      </c>
      <c r="BL301" s="518" t="str">
        <f>IF(AND(_A4="A-319",'2025'!$K$4="FO",'2025'!$K$2=BL271),'2025DATA'!$G$32,"")</f>
        <v/>
      </c>
      <c r="BM301" s="518" t="str">
        <f>IF(AND(_A4="A-319",'2025'!$K$4="FO",'2025'!$K$2=BM271),'2025DATA'!$H$32,"")</f>
        <v/>
      </c>
      <c r="BN301" s="518" t="str">
        <f>IF(AND(_A4="A-319",'2025'!$K$4="FO",'2025'!$K$2=BN271),'2025DATA'!$I$32,"")</f>
        <v/>
      </c>
      <c r="BO301" s="518" t="str">
        <f>IF(AND(_A4="A-319",'2025'!$K$4="FO",'2025'!$K$2=BO271),'2025DATA'!$J$32,"")</f>
        <v/>
      </c>
      <c r="BP301" s="518" t="str">
        <f>IF(AND(_A4="A-319",'2025'!$K$4="FO",'2025'!$K$2=BP271),'2025DATA'!$K$32,"")</f>
        <v/>
      </c>
      <c r="BQ301" s="518" t="str">
        <f>IF(AND(_A4="A-319",'2025'!$K$4="FO",'2025'!$K$2=BQ271),'2025DATA'!$L$32,"")</f>
        <v/>
      </c>
      <c r="BR301" s="518" t="str">
        <f>IF(AND(_A4="A-319",'2025'!$K$4="FO",'2025'!$K$2=BR271),'2025DATA'!$M$32,"")</f>
        <v/>
      </c>
      <c r="BS301" s="520" t="str">
        <f>IF(AND(_A4="A-319",'2025'!$K$4="FO",'2025'!$K$2=BS271),'2025DATA'!$N$32,"")</f>
        <v/>
      </c>
      <c r="BT301" s="940"/>
      <c r="BU301" s="13" t="s">
        <v>62</v>
      </c>
      <c r="BV301" s="518" t="str">
        <f>IF(AND(_A5="A-319",'2025'!$K$4="FO",'2025'!$K$2=BV271),'2025DATA'!$C$32,"")</f>
        <v/>
      </c>
      <c r="BW301" s="518" t="str">
        <f>IF(AND(_A5="A-319",'2025'!$K$4="FO",'2025'!$K$2=BW271),'2025DATA'!$D$32,"")</f>
        <v/>
      </c>
      <c r="BX301" s="518" t="str">
        <f>IF(AND(_A5="A-319",'2025'!$K$4="FO",'2025'!$K$2=BX271),'2025DATA'!$E$32,"")</f>
        <v/>
      </c>
      <c r="BY301" s="518" t="str">
        <f>IF(AND(_A5="A-319",'2025'!$K$4="FO",'2025'!$K$2=BY271),'2025DATA'!$F$32,"")</f>
        <v/>
      </c>
      <c r="BZ301" s="518" t="str">
        <f>IF(AND(_A5="A-319",'2025'!$K$4="FO",'2025'!$K$2=BZ271),'2025DATA'!$G$32,"")</f>
        <v/>
      </c>
      <c r="CA301" s="518" t="str">
        <f>IF(AND(_A5="A-319",'2025'!$K$4="FO",'2025'!$K$2=CA271),'2025DATA'!$H$32,"")</f>
        <v/>
      </c>
      <c r="CB301" s="518" t="str">
        <f>IF(AND(_A5="A-319",'2025'!$K$4="FO",'2025'!$K$2=CB271),'2025DATA'!$I$32,"")</f>
        <v/>
      </c>
      <c r="CC301" s="518" t="str">
        <f>IF(AND(_A5="A-319",'2025'!$K$4="FO",'2025'!$K$2=CC271),'2025DATA'!$J$32,"")</f>
        <v/>
      </c>
      <c r="CD301" s="518" t="str">
        <f>IF(AND(_A5="A-319",'2025'!$K$4="FO",'2025'!$K$2=CD271),'2025DATA'!$K$32,"")</f>
        <v/>
      </c>
      <c r="CE301" s="518" t="str">
        <f>IF(AND(_A5="A-319",'2025'!$K$4="FO",'2025'!$K$2=CE271),'2025DATA'!$L$32,"")</f>
        <v/>
      </c>
      <c r="CF301" s="518" t="str">
        <f>IF(AND(_A5="A-319",'2025'!$K$4="FO",'2025'!$K$2=CF271),'2025DATA'!$M$32,"")</f>
        <v/>
      </c>
      <c r="CG301" s="520" t="str">
        <f>IF(AND(_A5="A-319",'2025'!$K$4="FO",'2025'!$K$2=CG271),'2025DATA'!$N$32,"")</f>
        <v/>
      </c>
      <c r="CH301" s="940"/>
      <c r="CI301" s="13" t="s">
        <v>62</v>
      </c>
      <c r="CJ301" s="518" t="str">
        <f>IF(AND(_A6="A-319",'2025'!$K$4="FO",'2025'!$K$2=CJ271),'2025DATA'!$C$32,"")</f>
        <v/>
      </c>
      <c r="CK301" s="518" t="str">
        <f>IF(AND(_A6="A-319",'2025'!$K$4="FO",'2025'!$K$2=CK271),'2025DATA'!$D$32,"")</f>
        <v/>
      </c>
      <c r="CL301" s="518" t="str">
        <f>IF(AND(_A6="A-319",'2025'!$K$4="FO",'2025'!$K$2=CL271),'2025DATA'!$E$32,"")</f>
        <v/>
      </c>
      <c r="CM301" s="518" t="str">
        <f>IF(AND(_A6="A-319",'2025'!$K$4="FO",'2025'!$K$2=CM271),'2025DATA'!$F$32,"")</f>
        <v/>
      </c>
      <c r="CN301" s="518" t="str">
        <f>IF(AND(_A6="A-319",'2025'!$K$4="FO",'2025'!$K$2=CN271),'2025DATA'!$G$32,"")</f>
        <v/>
      </c>
      <c r="CO301" s="518" t="str">
        <f>IF(AND(_A6="A-319",'2025'!$K$4="FO",'2025'!$K$2=CO271),'2025DATA'!$H$32,"")</f>
        <v/>
      </c>
      <c r="CP301" s="518" t="str">
        <f>IF(AND(_A6="A-319",'2025'!$K$4="FO",'2025'!$K$2=CP271),'2025DATA'!$I$32,"")</f>
        <v/>
      </c>
      <c r="CQ301" s="518" t="str">
        <f>IF(AND(_A6="A-319",'2025'!$K$4="FO",'2025'!$K$2=CQ271),'2025DATA'!$J$32,"")</f>
        <v/>
      </c>
      <c r="CR301" s="518" t="str">
        <f>IF(AND(_A6="A-319",'2025'!$K$4="FO",'2025'!$K$2=CR271),'2025DATA'!$K$32,"")</f>
        <v/>
      </c>
      <c r="CS301" s="518" t="str">
        <f>IF(AND(_A6="A-319",'2025'!$K$4="FO",'2025'!$K$2=CS271),'2025DATA'!$L$32,"")</f>
        <v/>
      </c>
      <c r="CT301" s="518" t="str">
        <f>IF(AND(_A6="A-319",'2025'!$K$4="FO",'2025'!$K$2=CT271),'2025DATA'!$M$32,"")</f>
        <v/>
      </c>
      <c r="CU301" s="520" t="str">
        <f>IF(AND(_A6="A-319",'2025'!$K$4="FO",'2025'!$K$2=CU271),'2025DATA'!$N$32,"")</f>
        <v/>
      </c>
    </row>
    <row r="302" spans="16:99" x14ac:dyDescent="0.25">
      <c r="P302" s="940" t="s">
        <v>51</v>
      </c>
      <c r="Q302" s="13" t="s">
        <v>61</v>
      </c>
      <c r="R302" s="518" t="str">
        <f>IF(AND(_A1="A-220-300",'2025'!$K$4="CA",'2025'!$K$2=R271),'2025DATA'!$C$33,"")</f>
        <v/>
      </c>
      <c r="S302" s="518" t="str">
        <f>IF(AND(_A1="A-220-300",'2025'!$K$4="CA",'2025'!$K$2=S271),'2025DATA'!$D$33,"")</f>
        <v/>
      </c>
      <c r="T302" s="518" t="str">
        <f>IF(AND(_A1="A-220-300",'2025'!$K$4="CA",'2025'!$K$2=T271),'2025DATA'!$E$33,"")</f>
        <v/>
      </c>
      <c r="U302" s="518" t="str">
        <f>IF(AND(_A1="A-220-300",'2025'!$K$4="CA",'2025'!$K$2=U271),'2025DATA'!$F$33,"")</f>
        <v/>
      </c>
      <c r="V302" s="518" t="str">
        <f>IF(AND(_A1="A-220-300",'2025'!$K$4="CA",'2025'!$K$2=V271),'2025DATA'!$G$33,"")</f>
        <v/>
      </c>
      <c r="W302" s="518" t="str">
        <f>IF(AND(_A1="A-220-300",'2025'!$K$4="CA",'2025'!$K$2=W271),'2025DATA'!$H$33,"")</f>
        <v/>
      </c>
      <c r="X302" s="518" t="str">
        <f>IF(AND(_A1="A-220-300",'2025'!$K$4="CA",'2025'!$K$2=X271),'2025DATA'!$I$33,"")</f>
        <v/>
      </c>
      <c r="Y302" s="518" t="str">
        <f>IF(AND(_A1="A-220-300",'2025'!$K$4="CA",'2025'!$K$2=Y271),'2025DATA'!$J$33,"")</f>
        <v/>
      </c>
      <c r="Z302" s="518" t="str">
        <f>IF(AND(_A1="A-220-300",'2025'!$K$4="CA",'2025'!$K$2=Z271),'2025DATA'!$K$33,"")</f>
        <v/>
      </c>
      <c r="AA302" s="518" t="str">
        <f>IF(AND(_A1="A-220-300",'2025'!$K$4="CA",'2025'!$K$2=AA271),'2025DATA'!$L$33,"")</f>
        <v/>
      </c>
      <c r="AB302" s="518" t="str">
        <f>IF(AND(_A1="A-220-300",'2025'!$K$4="CA",'2025'!$K$2=AB271),'2025DATA'!$M$33,"")</f>
        <v/>
      </c>
      <c r="AC302" s="520" t="str">
        <f>IF(AND(_A1="A-220-300",'2025'!$K$4="CA",'2025'!$K$2=AC271),'2025DATA'!$N$33,"")</f>
        <v/>
      </c>
      <c r="AD302" s="940" t="s">
        <v>51</v>
      </c>
      <c r="AE302" s="13" t="s">
        <v>61</v>
      </c>
      <c r="AF302" s="518" t="str">
        <f>IF(AND(_A2="A-220-300",'2025'!$K$4="CA",'2025'!$K$2=AF271),'2025DATA'!$C$33,"")</f>
        <v/>
      </c>
      <c r="AG302" s="518" t="str">
        <f>IF(AND(_A2="A-220-300",'2025'!$K$4="CA",'2025'!$K$2=AG271),'2025DATA'!$D$33,"")</f>
        <v/>
      </c>
      <c r="AH302" s="518" t="str">
        <f>IF(AND(_A2="A-220-300",'2025'!$K$4="CA",'2025'!$K$2=AH271),'2025DATA'!$E$33,"")</f>
        <v/>
      </c>
      <c r="AI302" s="518" t="str">
        <f>IF(AND(_A2="A-220-300",'2025'!$K$4="CA",'2025'!$K$2=AI271),'2025DATA'!$F$33,"")</f>
        <v/>
      </c>
      <c r="AJ302" s="518" t="str">
        <f>IF(AND(_A2="A-220-300",'2025'!$K$4="CA",'2025'!$K$2=AJ271),'2025DATA'!$G$33,"")</f>
        <v/>
      </c>
      <c r="AK302" s="518" t="str">
        <f>IF(AND(_A2="A-220-300",'2025'!$K$4="CA",'2025'!$K$2=AK271),'2025DATA'!$H$33,"")</f>
        <v/>
      </c>
      <c r="AL302" s="518" t="str">
        <f>IF(AND(_A2="A-220-300",'2025'!$K$4="CA",'2025'!$K$2=AL271),'2025DATA'!$I$33,"")</f>
        <v/>
      </c>
      <c r="AM302" s="518" t="str">
        <f>IF(AND(_A2="A-220-300",'2025'!$K$4="CA",'2025'!$K$2=AM271),'2025DATA'!$J$33,"")</f>
        <v/>
      </c>
      <c r="AN302" s="518" t="str">
        <f>IF(AND(_A2="A-220-300",'2025'!$K$4="CA",'2025'!$K$2=AN271),'2025DATA'!$K$33,"")</f>
        <v/>
      </c>
      <c r="AO302" s="518" t="str">
        <f>IF(AND(_A2="A-220-300",'2025'!$K$4="CA",'2025'!$K$2=AO271),'2025DATA'!$L$33,"")</f>
        <v/>
      </c>
      <c r="AP302" s="518" t="str">
        <f>IF(AND(_A2="A-220-300",'2025'!$K$4="CA",'2025'!$K$2=AP271),'2025DATA'!$M$33,"")</f>
        <v/>
      </c>
      <c r="AQ302" s="520" t="str">
        <f>IF(AND(_A2="A-220-300",'2025'!$K$4="CA",'2025'!$K$2=AQ271),'2025DATA'!$N$33,"")</f>
        <v/>
      </c>
      <c r="AR302" s="940" t="s">
        <v>51</v>
      </c>
      <c r="AS302" s="13" t="s">
        <v>61</v>
      </c>
      <c r="AT302" s="518" t="str">
        <f>IF(AND(_A3="A-220-300",'2025'!$K$4="CA",'2025'!$K$2=AT271),'2025DATA'!$C$33,"")</f>
        <v/>
      </c>
      <c r="AU302" s="518" t="str">
        <f>IF(AND(_A3="A-220-300",'2025'!$K$4="CA",'2025'!$K$2=AU271),'2025DATA'!$D$33,"")</f>
        <v/>
      </c>
      <c r="AV302" s="518" t="str">
        <f>IF(AND(_A3="A-220-300",'2025'!$K$4="CA",'2025'!$K$2=AV271),'2025DATA'!$E$33,"")</f>
        <v/>
      </c>
      <c r="AW302" s="518" t="str">
        <f>IF(AND(_A3="A-220-300",'2025'!$K$4="CA",'2025'!$K$2=AW271),'2025DATA'!$F$33,"")</f>
        <v/>
      </c>
      <c r="AX302" s="518" t="str">
        <f>IF(AND(_A3="A-220-300",'2025'!$K$4="CA",'2025'!$K$2=AX271),'2025DATA'!$G$33,"")</f>
        <v/>
      </c>
      <c r="AY302" s="518" t="str">
        <f>IF(AND(_A3="A-220-300",'2025'!$K$4="CA",'2025'!$K$2=AY271),'2025DATA'!$H$33,"")</f>
        <v/>
      </c>
      <c r="AZ302" s="518" t="str">
        <f>IF(AND(_A3="A-220-300",'2025'!$K$4="CA",'2025'!$K$2=AZ271),'2025DATA'!$I$33,"")</f>
        <v/>
      </c>
      <c r="BA302" s="518" t="str">
        <f>IF(AND(_A3="A-220-300",'2025'!$K$4="CA",'2025'!$K$2=BA271),'2025DATA'!$J$33,"")</f>
        <v/>
      </c>
      <c r="BB302" s="518" t="str">
        <f>IF(AND(_A3="A-220-300",'2025'!$K$4="CA",'2025'!$K$2=BB271),'2025DATA'!$K$33,"")</f>
        <v/>
      </c>
      <c r="BC302" s="518" t="str">
        <f>IF(AND(_A3="A-220-300",'2025'!$K$4="CA",'2025'!$K$2=BC271),'2025DATA'!$L$33,"")</f>
        <v/>
      </c>
      <c r="BD302" s="518" t="str">
        <f>IF(AND(_A3="A-220-300",'2025'!$K$4="CA",'2025'!$K$2=BD271),'2025DATA'!$M$33,"")</f>
        <v/>
      </c>
      <c r="BE302" s="520" t="str">
        <f>IF(AND(_A3="A-220-300",'2025'!$K$4="CA",'2025'!$K$2=BE271),'2025DATA'!$N$33,"")</f>
        <v/>
      </c>
      <c r="BF302" s="940" t="s">
        <v>51</v>
      </c>
      <c r="BG302" s="13" t="s">
        <v>61</v>
      </c>
      <c r="BH302" s="518" t="str">
        <f>IF(AND(_A4="A-220-300",'2025'!$K$4="CA",'2025'!$K$2=BH271),'2025DATA'!$C$33,"")</f>
        <v/>
      </c>
      <c r="BI302" s="518" t="str">
        <f>IF(AND(_A4="A-220-300",'2025'!$K$4="CA",'2025'!$K$2=BI271),'2025DATA'!$D$33,"")</f>
        <v/>
      </c>
      <c r="BJ302" s="518" t="str">
        <f>IF(AND(_A4="A-220-300",'2025'!$K$4="CA",'2025'!$K$2=BJ271),'2025DATA'!$E$33,"")</f>
        <v/>
      </c>
      <c r="BK302" s="518" t="str">
        <f>IF(AND(_A4="A-220-300",'2025'!$K$4="CA",'2025'!$K$2=BK271),'2025DATA'!$F$33,"")</f>
        <v/>
      </c>
      <c r="BL302" s="518" t="str">
        <f>IF(AND(_A4="A-220-300",'2025'!$K$4="CA",'2025'!$K$2=BL271),'2025DATA'!$G$33,"")</f>
        <v/>
      </c>
      <c r="BM302" s="518" t="str">
        <f>IF(AND(_A4="A-220-300",'2025'!$K$4="CA",'2025'!$K$2=BM271),'2025DATA'!$H$33,"")</f>
        <v/>
      </c>
      <c r="BN302" s="518" t="str">
        <f>IF(AND(_A4="A-220-300",'2025'!$K$4="CA",'2025'!$K$2=BN271),'2025DATA'!$I$33,"")</f>
        <v/>
      </c>
      <c r="BO302" s="518" t="str">
        <f>IF(AND(_A4="A-220-300",'2025'!$K$4="CA",'2025'!$K$2=BO271),'2025DATA'!$J$33,"")</f>
        <v/>
      </c>
      <c r="BP302" s="518" t="str">
        <f>IF(AND(_A4="A-220-300",'2025'!$K$4="CA",'2025'!$K$2=BP271),'2025DATA'!$K$33,"")</f>
        <v/>
      </c>
      <c r="BQ302" s="518" t="str">
        <f>IF(AND(_A4="A-220-300",'2025'!$K$4="CA",'2025'!$K$2=BQ271),'2025DATA'!$L$33,"")</f>
        <v/>
      </c>
      <c r="BR302" s="518" t="str">
        <f>IF(AND(_A4="A-220-300",'2025'!$K$4="CA",'2025'!$K$2=BR271),'2025DATA'!$M$33,"")</f>
        <v/>
      </c>
      <c r="BS302" s="520" t="str">
        <f>IF(AND(_A4="A-220-300",'2025'!$K$4="CA",'2025'!$K$2=BS271),'2025DATA'!$N$33,"")</f>
        <v/>
      </c>
      <c r="BT302" s="940" t="s">
        <v>51</v>
      </c>
      <c r="BU302" s="13" t="s">
        <v>61</v>
      </c>
      <c r="BV302" s="518" t="str">
        <f>IF(AND(_A5="A-220-300",'2025'!$K$4="CA",'2025'!$K$2=BV271),'2025DATA'!$C$33,"")</f>
        <v/>
      </c>
      <c r="BW302" s="518" t="str">
        <f>IF(AND(_A5="A-220-300",'2025'!$K$4="CA",'2025'!$K$2=BW271),'2025DATA'!$D$33,"")</f>
        <v/>
      </c>
      <c r="BX302" s="518" t="str">
        <f>IF(AND(_A5="A-220-300",'2025'!$K$4="CA",'2025'!$K$2=BX271),'2025DATA'!$E$33,"")</f>
        <v/>
      </c>
      <c r="BY302" s="518" t="str">
        <f>IF(AND(_A5="A-220-300",'2025'!$K$4="CA",'2025'!$K$2=BY271),'2025DATA'!$F$33,"")</f>
        <v/>
      </c>
      <c r="BZ302" s="518" t="str">
        <f>IF(AND(_A5="A-220-300",'2025'!$K$4="CA",'2025'!$K$2=BZ271),'2025DATA'!$G$33,"")</f>
        <v/>
      </c>
      <c r="CA302" s="518" t="str">
        <f>IF(AND(_A5="A-220-300",'2025'!$K$4="CA",'2025'!$K$2=CA271),'2025DATA'!$H$33,"")</f>
        <v/>
      </c>
      <c r="CB302" s="518" t="str">
        <f>IF(AND(_A5="A-220-300",'2025'!$K$4="CA",'2025'!$K$2=CB271),'2025DATA'!$I$33,"")</f>
        <v/>
      </c>
      <c r="CC302" s="518" t="str">
        <f>IF(AND(_A5="A-220-300",'2025'!$K$4="CA",'2025'!$K$2=CC271),'2025DATA'!$J$33,"")</f>
        <v/>
      </c>
      <c r="CD302" s="518" t="str">
        <f>IF(AND(_A5="A-220-300",'2025'!$K$4="CA",'2025'!$K$2=CD271),'2025DATA'!$K$33,"")</f>
        <v/>
      </c>
      <c r="CE302" s="518" t="str">
        <f>IF(AND(_A5="A-220-300",'2025'!$K$4="CA",'2025'!$K$2=CE271),'2025DATA'!$L$33,"")</f>
        <v/>
      </c>
      <c r="CF302" s="518" t="str">
        <f>IF(AND(_A5="A-220-300",'2025'!$K$4="CA",'2025'!$K$2=CF271),'2025DATA'!$M$33,"")</f>
        <v/>
      </c>
      <c r="CG302" s="520" t="str">
        <f>IF(AND(_A5="A-220-300",'2025'!$K$4="CA",'2025'!$K$2=CG271),'2025DATA'!$N$33,"")</f>
        <v/>
      </c>
      <c r="CH302" s="940" t="s">
        <v>51</v>
      </c>
      <c r="CI302" s="13" t="s">
        <v>61</v>
      </c>
      <c r="CJ302" s="518" t="str">
        <f>IF(AND(_A6="A-220-300",'2025'!$K$4="CA",'2025'!$K$2=CJ271),'2025DATA'!$C$33,"")</f>
        <v/>
      </c>
      <c r="CK302" s="518" t="str">
        <f>IF(AND(_A6="A-220-300",'2025'!$K$4="CA",'2025'!$K$2=CK271),'2025DATA'!$D$33,"")</f>
        <v/>
      </c>
      <c r="CL302" s="518" t="str">
        <f>IF(AND(_A6="A-220-300",'2025'!$K$4="CA",'2025'!$K$2=CL271),'2025DATA'!$E$33,"")</f>
        <v/>
      </c>
      <c r="CM302" s="518" t="str">
        <f>IF(AND(_A6="A-220-300",'2025'!$K$4="CA",'2025'!$K$2=CM271),'2025DATA'!$F$33,"")</f>
        <v/>
      </c>
      <c r="CN302" s="518" t="str">
        <f>IF(AND(_A6="A-220-300",'2025'!$K$4="CA",'2025'!$K$2=CN271),'2025DATA'!$G$33,"")</f>
        <v/>
      </c>
      <c r="CO302" s="518" t="str">
        <f>IF(AND(_A6="A-220-300",'2025'!$K$4="CA",'2025'!$K$2=CO271),'2025DATA'!$H$33,"")</f>
        <v/>
      </c>
      <c r="CP302" s="518" t="str">
        <f>IF(AND(_A6="A-220-300",'2025'!$K$4="CA",'2025'!$K$2=CP271),'2025DATA'!$I$33,"")</f>
        <v/>
      </c>
      <c r="CQ302" s="518" t="str">
        <f>IF(AND(_A6="A-220-300",'2025'!$K$4="CA",'2025'!$K$2=CQ271),'2025DATA'!$J$33,"")</f>
        <v/>
      </c>
      <c r="CR302" s="518" t="str">
        <f>IF(AND(_A6="A-220-300",'2025'!$K$4="CA",'2025'!$K$2=CR271),'2025DATA'!$K$33,"")</f>
        <v/>
      </c>
      <c r="CS302" s="518" t="str">
        <f>IF(AND(_A6="A-220-300",'2025'!$K$4="CA",'2025'!$K$2=CS271),'2025DATA'!$L$33,"")</f>
        <v/>
      </c>
      <c r="CT302" s="518" t="str">
        <f>IF(AND(_A6="A-220-300",'2025'!$K$4="CA",'2025'!$K$2=CT271),'2025DATA'!$M$33,"")</f>
        <v/>
      </c>
      <c r="CU302" s="520" t="str">
        <f>IF(AND(_A6="A-220-300",'2025'!$K$4="CA",'2025'!$K$2=CU271),'2025DATA'!$N$33,"")</f>
        <v/>
      </c>
    </row>
    <row r="303" spans="16:99" x14ac:dyDescent="0.25">
      <c r="P303" s="940"/>
      <c r="Q303" s="13" t="s">
        <v>62</v>
      </c>
      <c r="R303" s="518" t="str">
        <f>IF(AND(_A1="A-220-300",'2025'!$K$4="FO",'2025'!$K$2=R271),'2025DATA'!$C$34,"")</f>
        <v/>
      </c>
      <c r="S303" s="518" t="str">
        <f>IF(AND(_A1="A-220-300",'2025'!$K$4="FO",'2025'!$K$2=S271),'2025DATA'!$D$34,"")</f>
        <v/>
      </c>
      <c r="T303" s="518" t="str">
        <f>IF(AND(_A1="A-220-300",'2025'!$K$4="FO",'2025'!$K$2=T271),'2025DATA'!$E$34,"")</f>
        <v/>
      </c>
      <c r="U303" s="518" t="str">
        <f>IF(AND(_A1="A-220-300",'2025'!$K$4="FO",'2025'!$K$2=U271),'2025DATA'!$F$34,"")</f>
        <v/>
      </c>
      <c r="V303" s="518" t="str">
        <f>IF(AND(_A1="A-220-300",'2025'!$K$4="FO",'2025'!$K$2=V271),'2025DATA'!$G$34,"")</f>
        <v/>
      </c>
      <c r="W303" s="518" t="str">
        <f>IF(AND(_A1="A-220-300",'2025'!$K$4="FO",'2025'!$K$2=W271),'2025DATA'!$H$34,"")</f>
        <v/>
      </c>
      <c r="X303" s="518" t="str">
        <f>IF(AND(_A1="A-220-300",'2025'!$K$4="FO",'2025'!$K$2=X271),'2025DATA'!$I$34,"")</f>
        <v/>
      </c>
      <c r="Y303" s="518" t="str">
        <f>IF(AND(_A1="A-220-300",'2025'!$K$4="FO",'2025'!$K$2=Y271),'2025DATA'!$J$34,"")</f>
        <v/>
      </c>
      <c r="Z303" s="518" t="str">
        <f>IF(AND(_A1="A-220-300",'2025'!$K$4="FO",'2025'!$K$2=Z271),'2025DATA'!$K$34,"")</f>
        <v/>
      </c>
      <c r="AA303" s="518" t="str">
        <f>IF(AND(_A1="A-220-300",'2025'!$K$4="FO",'2025'!$K$2=AA271),'2025DATA'!$L$34,"")</f>
        <v/>
      </c>
      <c r="AB303" s="518" t="str">
        <f>IF(AND(_A1="A-220-300",'2025'!$K$4="FO",'2025'!$K$2=AB271),'2025DATA'!$M$34,"")</f>
        <v/>
      </c>
      <c r="AC303" s="520" t="str">
        <f>IF(AND(_A1="A-220-300",'2025'!$K$4="FO",'2025'!$K$2=AC271),'2025DATA'!$N$34,"")</f>
        <v/>
      </c>
      <c r="AD303" s="940"/>
      <c r="AE303" s="13" t="s">
        <v>62</v>
      </c>
      <c r="AF303" s="518" t="str">
        <f>IF(AND(_A2="A-220-300",'2025'!$K$4="FO",'2025'!$K$2=AF271),'2025DATA'!$C$34,"")</f>
        <v/>
      </c>
      <c r="AG303" s="518" t="str">
        <f>IF(AND(_A2="A-220-300",'2025'!$K$4="FO",'2025'!$K$2=AG271),'2025DATA'!$D$34,"")</f>
        <v/>
      </c>
      <c r="AH303" s="518" t="str">
        <f>IF(AND(_A2="A-220-300",'2025'!$K$4="FO",'2025'!$K$2=AH271),'2025DATA'!$E$34,"")</f>
        <v/>
      </c>
      <c r="AI303" s="518" t="str">
        <f>IF(AND(_A2="A-220-300",'2025'!$K$4="FO",'2025'!$K$2=AI271),'2025DATA'!$F$34,"")</f>
        <v/>
      </c>
      <c r="AJ303" s="518" t="str">
        <f>IF(AND(_A2="A-220-300",'2025'!$K$4="FO",'2025'!$K$2=AJ271),'2025DATA'!$G$34,"")</f>
        <v/>
      </c>
      <c r="AK303" s="518" t="str">
        <f>IF(AND(_A2="A-220-300",'2025'!$K$4="FO",'2025'!$K$2=AK271),'2025DATA'!$H$34,"")</f>
        <v/>
      </c>
      <c r="AL303" s="518" t="str">
        <f>IF(AND(_A2="A-220-300",'2025'!$K$4="FO",'2025'!$K$2=AL271),'2025DATA'!$I$34,"")</f>
        <v/>
      </c>
      <c r="AM303" s="518" t="str">
        <f>IF(AND(_A2="A-220-300",'2025'!$K$4="FO",'2025'!$K$2=AM271),'2025DATA'!$J$34,"")</f>
        <v/>
      </c>
      <c r="AN303" s="518" t="str">
        <f>IF(AND(_A2="A-220-300",'2025'!$K$4="FO",'2025'!$K$2=AN271),'2025DATA'!$K$34,"")</f>
        <v/>
      </c>
      <c r="AO303" s="518" t="str">
        <f>IF(AND(_A2="A-220-300",'2025'!$K$4="FO",'2025'!$K$2=AO271),'2025DATA'!$L$34,"")</f>
        <v/>
      </c>
      <c r="AP303" s="518" t="str">
        <f>IF(AND(_A2="A-220-300",'2025'!$K$4="FO",'2025'!$K$2=AP271),'2025DATA'!$M$34,"")</f>
        <v/>
      </c>
      <c r="AQ303" s="520" t="str">
        <f>IF(AND(_A2="A-220-300",'2025'!$K$4="FO",'2025'!$K$2=AQ271),'2025DATA'!$N$34,"")</f>
        <v/>
      </c>
      <c r="AR303" s="940"/>
      <c r="AS303" s="13" t="s">
        <v>62</v>
      </c>
      <c r="AT303" s="518" t="str">
        <f>IF(AND(_A3="A-220-300",'2025'!$K$4="FO",'2025'!$K$2=AT271),'2025DATA'!$C$34,"")</f>
        <v/>
      </c>
      <c r="AU303" s="518" t="str">
        <f>IF(AND(_A3="A-220-300",'2025'!$K$4="FO",'2025'!$K$2=AU271),'2025DATA'!$D$34,"")</f>
        <v/>
      </c>
      <c r="AV303" s="518" t="str">
        <f>IF(AND(_A3="A-220-300",'2025'!$K$4="FO",'2025'!$K$2=AV271),'2025DATA'!$E$34,"")</f>
        <v/>
      </c>
      <c r="AW303" s="518" t="str">
        <f>IF(AND(_A3="A-220-300",'2025'!$K$4="FO",'2025'!$K$2=AW271),'2025DATA'!$F$34,"")</f>
        <v/>
      </c>
      <c r="AX303" s="518" t="str">
        <f>IF(AND(_A3="A-220-300",'2025'!$K$4="FO",'2025'!$K$2=AX271),'2025DATA'!$G$34,"")</f>
        <v/>
      </c>
      <c r="AY303" s="518" t="str">
        <f>IF(AND(_A3="A-220-300",'2025'!$K$4="FO",'2025'!$K$2=AY271),'2025DATA'!$H$34,"")</f>
        <v/>
      </c>
      <c r="AZ303" s="518" t="str">
        <f>IF(AND(_A3="A-220-300",'2025'!$K$4="FO",'2025'!$K$2=AZ271),'2025DATA'!$I$34,"")</f>
        <v/>
      </c>
      <c r="BA303" s="518" t="str">
        <f>IF(AND(_A3="A-220-300",'2025'!$K$4="FO",'2025'!$K$2=BA271),'2025DATA'!$J$34,"")</f>
        <v/>
      </c>
      <c r="BB303" s="518" t="str">
        <f>IF(AND(_A3="A-220-300",'2025'!$K$4="FO",'2025'!$K$2=BB271),'2025DATA'!$K$34,"")</f>
        <v/>
      </c>
      <c r="BC303" s="518" t="str">
        <f>IF(AND(_A3="A-220-300",'2025'!$K$4="FO",'2025'!$K$2=BC271),'2025DATA'!$L$34,"")</f>
        <v/>
      </c>
      <c r="BD303" s="518" t="str">
        <f>IF(AND(_A3="A-220-300",'2025'!$K$4="FO",'2025'!$K$2=BD271),'2025DATA'!$M$34,"")</f>
        <v/>
      </c>
      <c r="BE303" s="520" t="str">
        <f>IF(AND(_A3="A-220-300",'2025'!$K$4="FO",'2025'!$K$2=BE271),'2025DATA'!$N$34,"")</f>
        <v/>
      </c>
      <c r="BF303" s="940"/>
      <c r="BG303" s="13" t="s">
        <v>62</v>
      </c>
      <c r="BH303" s="518" t="str">
        <f>IF(AND(_A4="A-220-300",'2025'!$K$4="FO",'2025'!$K$2=BH271),'2025DATA'!$C$34,"")</f>
        <v/>
      </c>
      <c r="BI303" s="518" t="str">
        <f>IF(AND(_A4="A-220-300",'2025'!$K$4="FO",'2025'!$K$2=BI271),'2025DATA'!$D$34,"")</f>
        <v/>
      </c>
      <c r="BJ303" s="518" t="str">
        <f>IF(AND(_A4="A-220-300",'2025'!$K$4="FO",'2025'!$K$2=BJ271),'2025DATA'!$E$34,"")</f>
        <v/>
      </c>
      <c r="BK303" s="518" t="str">
        <f>IF(AND(_A4="A-220-300",'2025'!$K$4="FO",'2025'!$K$2=BK271),'2025DATA'!$F$34,"")</f>
        <v/>
      </c>
      <c r="BL303" s="518" t="str">
        <f>IF(AND(_A4="A-220-300",'2025'!$K$4="FO",'2025'!$K$2=BL271),'2025DATA'!$G$34,"")</f>
        <v/>
      </c>
      <c r="BM303" s="518" t="str">
        <f>IF(AND(_A4="A-220-300",'2025'!$K$4="FO",'2025'!$K$2=BM271),'2025DATA'!$H$34,"")</f>
        <v/>
      </c>
      <c r="BN303" s="518" t="str">
        <f>IF(AND(_A4="A-220-300",'2025'!$K$4="FO",'2025'!$K$2=BN271),'2025DATA'!$I$34,"")</f>
        <v/>
      </c>
      <c r="BO303" s="518" t="str">
        <f>IF(AND(_A4="A-220-300",'2025'!$K$4="FO",'2025'!$K$2=BO271),'2025DATA'!$J$34,"")</f>
        <v/>
      </c>
      <c r="BP303" s="518" t="str">
        <f>IF(AND(_A4="A-220-300",'2025'!$K$4="FO",'2025'!$K$2=BP271),'2025DATA'!$K$34,"")</f>
        <v/>
      </c>
      <c r="BQ303" s="518" t="str">
        <f>IF(AND(_A4="A-220-300",'2025'!$K$4="FO",'2025'!$K$2=BQ271),'2025DATA'!$L$34,"")</f>
        <v/>
      </c>
      <c r="BR303" s="518" t="str">
        <f>IF(AND(_A4="A-220-300",'2025'!$K$4="FO",'2025'!$K$2=BR271),'2025DATA'!$M$34,"")</f>
        <v/>
      </c>
      <c r="BS303" s="520" t="str">
        <f>IF(AND(_A4="A-220-300",'2025'!$K$4="FO",'2025'!$K$2=BS271),'2025DATA'!$N$34,"")</f>
        <v/>
      </c>
      <c r="BT303" s="940"/>
      <c r="BU303" s="13" t="s">
        <v>62</v>
      </c>
      <c r="BV303" s="518" t="str">
        <f>IF(AND(_A5="A-220-300",'2025'!$K$4="FO",'2025'!$K$2=BV271),'2025DATA'!$C$34,"")</f>
        <v/>
      </c>
      <c r="BW303" s="518" t="str">
        <f>IF(AND(_A5="A-220-300",'2025'!$K$4="FO",'2025'!$K$2=BW271),'2025DATA'!$D$34,"")</f>
        <v/>
      </c>
      <c r="BX303" s="518" t="str">
        <f>IF(AND(_A5="A-220-300",'2025'!$K$4="FO",'2025'!$K$2=BX271),'2025DATA'!$E$34,"")</f>
        <v/>
      </c>
      <c r="BY303" s="518" t="str">
        <f>IF(AND(_A5="A-220-300",'2025'!$K$4="FO",'2025'!$K$2=BY271),'2025DATA'!$F$34,"")</f>
        <v/>
      </c>
      <c r="BZ303" s="518" t="str">
        <f>IF(AND(_A5="A-220-300",'2025'!$K$4="FO",'2025'!$K$2=BZ271),'2025DATA'!$G$34,"")</f>
        <v/>
      </c>
      <c r="CA303" s="518" t="str">
        <f>IF(AND(_A5="A-220-300",'2025'!$K$4="FO",'2025'!$K$2=CA271),'2025DATA'!$H$34,"")</f>
        <v/>
      </c>
      <c r="CB303" s="518" t="str">
        <f>IF(AND(_A5="A-220-300",'2025'!$K$4="FO",'2025'!$K$2=CB271),'2025DATA'!$I$34,"")</f>
        <v/>
      </c>
      <c r="CC303" s="518" t="str">
        <f>IF(AND(_A5="A-220-300",'2025'!$K$4="FO",'2025'!$K$2=CC271),'2025DATA'!$J$34,"")</f>
        <v/>
      </c>
      <c r="CD303" s="518" t="str">
        <f>IF(AND(_A5="A-220-300",'2025'!$K$4="FO",'2025'!$K$2=CD271),'2025DATA'!$K$34,"")</f>
        <v/>
      </c>
      <c r="CE303" s="518" t="str">
        <f>IF(AND(_A5="A-220-300",'2025'!$K$4="FO",'2025'!$K$2=CE271),'2025DATA'!$L$34,"")</f>
        <v/>
      </c>
      <c r="CF303" s="518" t="str">
        <f>IF(AND(_A5="A-220-300",'2025'!$K$4="FO",'2025'!$K$2=CF271),'2025DATA'!$M$34,"")</f>
        <v/>
      </c>
      <c r="CG303" s="520" t="str">
        <f>IF(AND(_A5="A-220-300",'2025'!$K$4="FO",'2025'!$K$2=CG271),'2025DATA'!$N$34,"")</f>
        <v/>
      </c>
      <c r="CH303" s="940"/>
      <c r="CI303" s="13" t="s">
        <v>62</v>
      </c>
      <c r="CJ303" s="518" t="str">
        <f>IF(AND(_A6="A-220-300",'2025'!$K$4="FO",'2025'!$K$2=CJ271),'2025DATA'!$C$34,"")</f>
        <v/>
      </c>
      <c r="CK303" s="518" t="str">
        <f>IF(AND(_A6="A-220-300",'2025'!$K$4="FO",'2025'!$K$2=CK271),'2025DATA'!$D$34,"")</f>
        <v/>
      </c>
      <c r="CL303" s="518" t="str">
        <f>IF(AND(_A6="A-220-300",'2025'!$K$4="FO",'2025'!$K$2=CL271),'2025DATA'!$E$34,"")</f>
        <v/>
      </c>
      <c r="CM303" s="518" t="str">
        <f>IF(AND(_A6="A-220-300",'2025'!$K$4="FO",'2025'!$K$2=CM271),'2025DATA'!$F$34,"")</f>
        <v/>
      </c>
      <c r="CN303" s="518" t="str">
        <f>IF(AND(_A6="A-220-300",'2025'!$K$4="FO",'2025'!$K$2=CN271),'2025DATA'!$G$34,"")</f>
        <v/>
      </c>
      <c r="CO303" s="518" t="str">
        <f>IF(AND(_A6="A-220-300",'2025'!$K$4="FO",'2025'!$K$2=CO271),'2025DATA'!$H$34,"")</f>
        <v/>
      </c>
      <c r="CP303" s="518" t="str">
        <f>IF(AND(_A6="A-220-300",'2025'!$K$4="FO",'2025'!$K$2=CP271),'2025DATA'!$I$34,"")</f>
        <v/>
      </c>
      <c r="CQ303" s="518" t="str">
        <f>IF(AND(_A6="A-220-300",'2025'!$K$4="FO",'2025'!$K$2=CQ271),'2025DATA'!$J$34,"")</f>
        <v/>
      </c>
      <c r="CR303" s="518" t="str">
        <f>IF(AND(_A6="A-220-300",'2025'!$K$4="FO",'2025'!$K$2=CR271),'2025DATA'!$K$34,"")</f>
        <v/>
      </c>
      <c r="CS303" s="518" t="str">
        <f>IF(AND(_A6="A-220-300",'2025'!$K$4="FO",'2025'!$K$2=CS271),'2025DATA'!$L$34,"")</f>
        <v/>
      </c>
      <c r="CT303" s="518" t="str">
        <f>IF(AND(_A6="A-220-300",'2025'!$K$4="FO",'2025'!$K$2=CT271),'2025DATA'!$M$34,"")</f>
        <v/>
      </c>
      <c r="CU303" s="520" t="str">
        <f>IF(AND(_A6="A-220-300",'2025'!$K$4="FO",'2025'!$K$2=CU271),'2025DATA'!$N$34,"")</f>
        <v/>
      </c>
    </row>
    <row r="304" spans="16:99" x14ac:dyDescent="0.25">
      <c r="P304" s="940" t="s">
        <v>52</v>
      </c>
      <c r="Q304" s="13" t="s">
        <v>61</v>
      </c>
      <c r="R304" s="518" t="str">
        <f>IF(AND(_A1="A-220-100",'2025'!$K$4="CA",'2025'!$K$2=R271),'2025DATA'!$C$35,"")</f>
        <v/>
      </c>
      <c r="S304" s="518" t="str">
        <f>IF(AND(_A1="A-220-100",'2025'!$K$4="CA",'2025'!$K$2=S271),'2025DATA'!$D$35,"")</f>
        <v/>
      </c>
      <c r="T304" s="518" t="str">
        <f>IF(AND(_A1="A-220-100",'2025'!$K$4="CA",'2025'!$K$2=T271),'2025DATA'!$E$35,"")</f>
        <v/>
      </c>
      <c r="U304" s="518" t="str">
        <f>IF(AND(_A1="A-220-100",'2025'!$K$4="CA",'2025'!$K$2=U271),'2025DATA'!$F$35,"")</f>
        <v/>
      </c>
      <c r="V304" s="518" t="str">
        <f>IF(AND(_A1="A-220-100",'2025'!$K$4="CA",'2025'!$K$2=V271),'2025DATA'!$G$35,"")</f>
        <v/>
      </c>
      <c r="W304" s="518" t="str">
        <f>IF(AND(_A1="A-220-100",'2025'!$K$4="CA",'2025'!$K$2=W271),'2025DATA'!$H$35,"")</f>
        <v/>
      </c>
      <c r="X304" s="518" t="str">
        <f>IF(AND(_A1="A-220-100",'2025'!$K$4="CA",'2025'!$K$2=X271),'2025DATA'!$I$35,"")</f>
        <v/>
      </c>
      <c r="Y304" s="518" t="str">
        <f>IF(AND(_A1="A-220-100",'2025'!$K$4="CA",'2025'!$K$2=Y271),'2025DATA'!$J$35,"")</f>
        <v/>
      </c>
      <c r="Z304" s="518" t="str">
        <f>IF(AND(_A1="A-220-100",'2025'!$K$4="CA",'2025'!$K$2=Z271),'2025DATA'!$K$35,"")</f>
        <v/>
      </c>
      <c r="AA304" s="518" t="str">
        <f>IF(AND(_A1="A-220-100",'2025'!$K$4="CA",'2025'!$K$2=AA271),'2025DATA'!$L$35,"")</f>
        <v/>
      </c>
      <c r="AB304" s="518" t="str">
        <f>IF(AND(_A1="A-220-100",'2025'!$K$4="CA",'2025'!$K$2=AB271),'2025DATA'!$M$35,"")</f>
        <v/>
      </c>
      <c r="AC304" s="520" t="str">
        <f>IF(AND(_A1="A-220-100",'2025'!$K$4="CA",'2025'!$K$2=AC271),'2025DATA'!$N$35,"")</f>
        <v/>
      </c>
      <c r="AD304" s="940" t="s">
        <v>52</v>
      </c>
      <c r="AE304" s="13" t="s">
        <v>61</v>
      </c>
      <c r="AF304" s="518" t="str">
        <f>IF(AND(_A2="A-220-100",'2025'!$K$4="CA",'2025'!$K$2=AF271),'2025DATA'!$C$35,"")</f>
        <v/>
      </c>
      <c r="AG304" s="518" t="str">
        <f>IF(AND(_A2="A-220-100",'2025'!$K$4="CA",'2025'!$K$2=AG271),'2025DATA'!$D$35,"")</f>
        <v/>
      </c>
      <c r="AH304" s="518" t="str">
        <f>IF(AND(_A2="A-220-100",'2025'!$K$4="CA",'2025'!$K$2=AH271),'2025DATA'!$E$35,"")</f>
        <v/>
      </c>
      <c r="AI304" s="518" t="str">
        <f>IF(AND(_A2="A-220-100",'2025'!$K$4="CA",'2025'!$K$2=AI271),'2025DATA'!$F$35,"")</f>
        <v/>
      </c>
      <c r="AJ304" s="518" t="str">
        <f>IF(AND(_A2="A-220-100",'2025'!$K$4="CA",'2025'!$K$2=AJ271),'2025DATA'!$G$35,"")</f>
        <v/>
      </c>
      <c r="AK304" s="518" t="str">
        <f>IF(AND(_A2="A-220-100",'2025'!$K$4="CA",'2025'!$K$2=AK271),'2025DATA'!$H$35,"")</f>
        <v/>
      </c>
      <c r="AL304" s="518" t="str">
        <f>IF(AND(_A2="A-220-100",'2025'!$K$4="CA",'2025'!$K$2=AL271),'2025DATA'!$I$35,"")</f>
        <v/>
      </c>
      <c r="AM304" s="518" t="str">
        <f>IF(AND(_A2="A-220-100",'2025'!$K$4="CA",'2025'!$K$2=AM271),'2025DATA'!$J$35,"")</f>
        <v/>
      </c>
      <c r="AN304" s="518" t="str">
        <f>IF(AND(_A2="A-220-100",'2025'!$K$4="CA",'2025'!$K$2=AN271),'2025DATA'!$K$35,"")</f>
        <v/>
      </c>
      <c r="AO304" s="518" t="str">
        <f>IF(AND(_A2="A-220-100",'2025'!$K$4="CA",'2025'!$K$2=AO271),'2025DATA'!$L$35,"")</f>
        <v/>
      </c>
      <c r="AP304" s="518" t="str">
        <f>IF(AND(_A2="A-220-100",'2025'!$K$4="CA",'2025'!$K$2=AP271),'2025DATA'!$M$35,"")</f>
        <v/>
      </c>
      <c r="AQ304" s="520" t="str">
        <f>IF(AND(_A2="A-220-100",'2025'!$K$4="CA",'2025'!$K$2=AQ271),'2025DATA'!$N$35,"")</f>
        <v/>
      </c>
      <c r="AR304" s="940" t="s">
        <v>52</v>
      </c>
      <c r="AS304" s="13" t="s">
        <v>61</v>
      </c>
      <c r="AT304" s="518" t="str">
        <f>IF(AND(_A3="A-220-100",'2025'!$K$4="CA",'2025'!$K$2=AT271),'2025DATA'!$C$35,"")</f>
        <v/>
      </c>
      <c r="AU304" s="518" t="str">
        <f>IF(AND(_A3="A-220-100",'2025'!$K$4="CA",'2025'!$K$2=AU271),'2025DATA'!$D$35,"")</f>
        <v/>
      </c>
      <c r="AV304" s="518" t="str">
        <f>IF(AND(_A3="A-220-100",'2025'!$K$4="CA",'2025'!$K$2=AV271),'2025DATA'!$E$35,"")</f>
        <v/>
      </c>
      <c r="AW304" s="518" t="str">
        <f>IF(AND(_A3="A-220-100",'2025'!$K$4="CA",'2025'!$K$2=AW271),'2025DATA'!$F$35,"")</f>
        <v/>
      </c>
      <c r="AX304" s="518" t="str">
        <f>IF(AND(_A3="A-220-100",'2025'!$K$4="CA",'2025'!$K$2=AX271),'2025DATA'!$G$35,"")</f>
        <v/>
      </c>
      <c r="AY304" s="518" t="str">
        <f>IF(AND(_A3="A-220-100",'2025'!$K$4="CA",'2025'!$K$2=AY271),'2025DATA'!$H$35,"")</f>
        <v/>
      </c>
      <c r="AZ304" s="518" t="str">
        <f>IF(AND(_A3="A-220-100",'2025'!$K$4="CA",'2025'!$K$2=AZ271),'2025DATA'!$I$35,"")</f>
        <v/>
      </c>
      <c r="BA304" s="518" t="str">
        <f>IF(AND(_A3="A-220-100",'2025'!$K$4="CA",'2025'!$K$2=BA271),'2025DATA'!$J$35,"")</f>
        <v/>
      </c>
      <c r="BB304" s="518" t="str">
        <f>IF(AND(_A3="A-220-100",'2025'!$K$4="CA",'2025'!$K$2=BB271),'2025DATA'!$K$35,"")</f>
        <v/>
      </c>
      <c r="BC304" s="518" t="str">
        <f>IF(AND(_A3="A-220-100",'2025'!$K$4="CA",'2025'!$K$2=BC271),'2025DATA'!$L$35,"")</f>
        <v/>
      </c>
      <c r="BD304" s="518" t="str">
        <f>IF(AND(_A3="A-220-100",'2025'!$K$4="CA",'2025'!$K$2=BD271),'2025DATA'!$M$35,"")</f>
        <v/>
      </c>
      <c r="BE304" s="520" t="str">
        <f>IF(AND(_A3="A-220-100",'2025'!$K$4="CA",'2025'!$K$2=BE271),'2025DATA'!$N$35,"")</f>
        <v/>
      </c>
      <c r="BF304" s="940" t="s">
        <v>52</v>
      </c>
      <c r="BG304" s="13" t="s">
        <v>61</v>
      </c>
      <c r="BH304" s="518" t="str">
        <f>IF(AND(_A4="A-220-100",'2025'!$K$4="CA",'2025'!$K$2=BH271),'2025DATA'!$C$35,"")</f>
        <v/>
      </c>
      <c r="BI304" s="518" t="str">
        <f>IF(AND(_A4="A-220-100",'2025'!$K$4="CA",'2025'!$K$2=BI271),'2025DATA'!$D$35,"")</f>
        <v/>
      </c>
      <c r="BJ304" s="518" t="str">
        <f>IF(AND(_A4="A-220-100",'2025'!$K$4="CA",'2025'!$K$2=BJ271),'2025DATA'!$E$35,"")</f>
        <v/>
      </c>
      <c r="BK304" s="518" t="str">
        <f>IF(AND(_A4="A-220-100",'2025'!$K$4="CA",'2025'!$K$2=BK271),'2025DATA'!$F$35,"")</f>
        <v/>
      </c>
      <c r="BL304" s="518" t="str">
        <f>IF(AND(_A4="A-220-100",'2025'!$K$4="CA",'2025'!$K$2=BL271),'2025DATA'!$G$35,"")</f>
        <v/>
      </c>
      <c r="BM304" s="518" t="str">
        <f>IF(AND(_A4="A-220-100",'2025'!$K$4="CA",'2025'!$K$2=BM271),'2025DATA'!$H$35,"")</f>
        <v/>
      </c>
      <c r="BN304" s="518" t="str">
        <f>IF(AND(_A4="A-220-100",'2025'!$K$4="CA",'2025'!$K$2=BN271),'2025DATA'!$I$35,"")</f>
        <v/>
      </c>
      <c r="BO304" s="518" t="str">
        <f>IF(AND(_A4="A-220-100",'2025'!$K$4="CA",'2025'!$K$2=BO271),'2025DATA'!$J$35,"")</f>
        <v/>
      </c>
      <c r="BP304" s="518" t="str">
        <f>IF(AND(_A4="A-220-100",'2025'!$K$4="CA",'2025'!$K$2=BP271),'2025DATA'!$K$35,"")</f>
        <v/>
      </c>
      <c r="BQ304" s="518" t="str">
        <f>IF(AND(_A4="A-220-100",'2025'!$K$4="CA",'2025'!$K$2=BQ271),'2025DATA'!$L$35,"")</f>
        <v/>
      </c>
      <c r="BR304" s="518" t="str">
        <f>IF(AND(_A4="A-220-100",'2025'!$K$4="CA",'2025'!$K$2=BR271),'2025DATA'!$M$35,"")</f>
        <v/>
      </c>
      <c r="BS304" s="520" t="str">
        <f>IF(AND(_A4="A-220-100",'2025'!$K$4="CA",'2025'!$K$2=BS271),'2025DATA'!$N$35,"")</f>
        <v/>
      </c>
      <c r="BT304" s="940" t="s">
        <v>52</v>
      </c>
      <c r="BU304" s="13" t="s">
        <v>61</v>
      </c>
      <c r="BV304" s="518" t="str">
        <f>IF(AND(_A5="A-220-100",'2025'!$K$4="CA",'2025'!$K$2=BV271),'2025DATA'!$C$35,"")</f>
        <v/>
      </c>
      <c r="BW304" s="518" t="str">
        <f>IF(AND(_A5="A-220-100",'2025'!$K$4="CA",'2025'!$K$2=BW271),'2025DATA'!$D$35,"")</f>
        <v/>
      </c>
      <c r="BX304" s="518" t="str">
        <f>IF(AND(_A5="A-220-100",'2025'!$K$4="CA",'2025'!$K$2=BX271),'2025DATA'!$E$35,"")</f>
        <v/>
      </c>
      <c r="BY304" s="518" t="str">
        <f>IF(AND(_A5="A-220-100",'2025'!$K$4="CA",'2025'!$K$2=BY271),'2025DATA'!$F$35,"")</f>
        <v/>
      </c>
      <c r="BZ304" s="518" t="str">
        <f>IF(AND(_A5="A-220-100",'2025'!$K$4="CA",'2025'!$K$2=BZ271),'2025DATA'!$G$35,"")</f>
        <v/>
      </c>
      <c r="CA304" s="518" t="str">
        <f>IF(AND(_A5="A-220-100",'2025'!$K$4="CA",'2025'!$K$2=CA271),'2025DATA'!$H$35,"")</f>
        <v/>
      </c>
      <c r="CB304" s="518" t="str">
        <f>IF(AND(_A5="A-220-100",'2025'!$K$4="CA",'2025'!$K$2=CB271),'2025DATA'!$I$35,"")</f>
        <v/>
      </c>
      <c r="CC304" s="518" t="str">
        <f>IF(AND(_A5="A-220-100",'2025'!$K$4="CA",'2025'!$K$2=CC271),'2025DATA'!$J$35,"")</f>
        <v/>
      </c>
      <c r="CD304" s="518" t="str">
        <f>IF(AND(_A5="A-220-100",'2025'!$K$4="CA",'2025'!$K$2=CD271),'2025DATA'!$K$35,"")</f>
        <v/>
      </c>
      <c r="CE304" s="518" t="str">
        <f>IF(AND(_A5="A-220-100",'2025'!$K$4="CA",'2025'!$K$2=CE271),'2025DATA'!$L$35,"")</f>
        <v/>
      </c>
      <c r="CF304" s="518" t="str">
        <f>IF(AND(_A5="A-220-100",'2025'!$K$4="CA",'2025'!$K$2=CF271),'2025DATA'!$M$35,"")</f>
        <v/>
      </c>
      <c r="CG304" s="520" t="str">
        <f>IF(AND(_A5="A-220-100",'2025'!$K$4="CA",'2025'!$K$2=CG271),'2025DATA'!$N$35,"")</f>
        <v/>
      </c>
      <c r="CH304" s="940" t="s">
        <v>52</v>
      </c>
      <c r="CI304" s="13" t="s">
        <v>61</v>
      </c>
      <c r="CJ304" s="518" t="str">
        <f>IF(AND(_A6="A-220-100",'2025'!$K$4="CA",'2025'!$K$2=CJ271),'2025DATA'!$C$35,"")</f>
        <v/>
      </c>
      <c r="CK304" s="518" t="str">
        <f>IF(AND(_A6="A-220-100",'2025'!$K$4="CA",'2025'!$K$2=CK271),'2025DATA'!$D$35,"")</f>
        <v/>
      </c>
      <c r="CL304" s="518" t="str">
        <f>IF(AND(_A6="A-220-100",'2025'!$K$4="CA",'2025'!$K$2=CL271),'2025DATA'!$E$35,"")</f>
        <v/>
      </c>
      <c r="CM304" s="518" t="str">
        <f>IF(AND(_A6="A-220-100",'2025'!$K$4="CA",'2025'!$K$2=CM271),'2025DATA'!$F$35,"")</f>
        <v/>
      </c>
      <c r="CN304" s="518" t="str">
        <f>IF(AND(_A6="A-220-100",'2025'!$K$4="CA",'2025'!$K$2=CN271),'2025DATA'!$G$35,"")</f>
        <v/>
      </c>
      <c r="CO304" s="518" t="str">
        <f>IF(AND(_A6="A-220-100",'2025'!$K$4="CA",'2025'!$K$2=CO271),'2025DATA'!$H$35,"")</f>
        <v/>
      </c>
      <c r="CP304" s="518" t="str">
        <f>IF(AND(_A6="A-220-100",'2025'!$K$4="CA",'2025'!$K$2=CP271),'2025DATA'!$I$35,"")</f>
        <v/>
      </c>
      <c r="CQ304" s="518" t="str">
        <f>IF(AND(_A6="A-220-100",'2025'!$K$4="CA",'2025'!$K$2=CQ271),'2025DATA'!$J$35,"")</f>
        <v/>
      </c>
      <c r="CR304" s="518" t="str">
        <f>IF(AND(_A6="A-220-100",'2025'!$K$4="CA",'2025'!$K$2=CR271),'2025DATA'!$K$35,"")</f>
        <v/>
      </c>
      <c r="CS304" s="518" t="str">
        <f>IF(AND(_A6="A-220-100",'2025'!$K$4="CA",'2025'!$K$2=CS271),'2025DATA'!$L$35,"")</f>
        <v/>
      </c>
      <c r="CT304" s="518" t="str">
        <f>IF(AND(_A6="A-220-100",'2025'!$K$4="CA",'2025'!$K$2=CT271),'2025DATA'!$M$35,"")</f>
        <v/>
      </c>
      <c r="CU304" s="520" t="str">
        <f>IF(AND(_A6="A-220-100",'2025'!$K$4="CA",'2025'!$K$2=CU271),'2025DATA'!$N$35,"")</f>
        <v/>
      </c>
    </row>
    <row r="305" spans="16:99" x14ac:dyDescent="0.25">
      <c r="P305" s="940"/>
      <c r="Q305" s="13" t="s">
        <v>62</v>
      </c>
      <c r="R305" s="518" t="str">
        <f>IF(AND(_A1="A-220-100",'2025'!$K$4="FO",'2025'!$K$2=R271),'2025DATA'!$C$36,"")</f>
        <v/>
      </c>
      <c r="S305" s="518" t="str">
        <f>IF(AND(_A1="A-220-100",'2025'!$K$4="FO",'2025'!$K$2=S271),'2025DATA'!$D$36,"")</f>
        <v/>
      </c>
      <c r="T305" s="518" t="str">
        <f>IF(AND(_A1="A-220-100",'2025'!$K$4="FO",'2025'!$K$2=T271),'2025DATA'!$E$36,"")</f>
        <v/>
      </c>
      <c r="U305" s="518" t="str">
        <f>IF(AND(_A1="A-220-100",'2025'!$K$4="FO",'2025'!$K$2=U271),'2025DATA'!$F$36,"")</f>
        <v/>
      </c>
      <c r="V305" s="518" t="str">
        <f>IF(AND(_A1="A-220-100",'2025'!$K$4="FO",'2025'!$K$2=V271),'2025DATA'!$G$36,"")</f>
        <v/>
      </c>
      <c r="W305" s="518" t="str">
        <f>IF(AND(_A1="A-220-100",'2025'!$K$4="FO",'2025'!$K$2=W271),'2025DATA'!$H$36,"")</f>
        <v/>
      </c>
      <c r="X305" s="518" t="str">
        <f>IF(AND(_A1="A-220-100",'2025'!$K$4="FO",'2025'!$K$2=X271),'2025DATA'!$I$36,"")</f>
        <v/>
      </c>
      <c r="Y305" s="518" t="str">
        <f>IF(AND(_A1="A-220-100",'2025'!$K$4="FO",'2025'!$K$2=Y271),'2025DATA'!$J$36,"")</f>
        <v/>
      </c>
      <c r="Z305" s="518" t="str">
        <f>IF(AND(_A1="A-220-100",'2025'!$K$4="FO",'2025'!$K$2=Z271),'2025DATA'!$K$36,"")</f>
        <v/>
      </c>
      <c r="AA305" s="518" t="str">
        <f>IF(AND(_A1="A-220-100",'2025'!$K$4="FO",'2025'!$K$2=AA271),'2025DATA'!$L$36,"")</f>
        <v/>
      </c>
      <c r="AB305" s="518" t="str">
        <f>IF(AND(_A1="A-220-100",'2025'!$K$4="FO",'2025'!$K$2=AB271),'2025DATA'!$M$36,"")</f>
        <v/>
      </c>
      <c r="AC305" s="520" t="str">
        <f>IF(AND(_A1="A-220-100",'2025'!$K$4="FO",'2025'!$K$2=AC271),'2025DATA'!$N$36,"")</f>
        <v/>
      </c>
      <c r="AD305" s="940"/>
      <c r="AE305" s="13" t="s">
        <v>62</v>
      </c>
      <c r="AF305" s="518" t="str">
        <f>IF(AND(_A2="A-220-100",'2025'!$K$4="FO",'2025'!$K$2=AF271),'2025DATA'!$C$36,"")</f>
        <v/>
      </c>
      <c r="AG305" s="518" t="str">
        <f>IF(AND(_A2="A-220-100",'2025'!$K$4="FO",'2025'!$K$2=AG271),'2025DATA'!$D$36,"")</f>
        <v/>
      </c>
      <c r="AH305" s="518" t="str">
        <f>IF(AND(_A2="A-220-100",'2025'!$K$4="FO",'2025'!$K$2=AH271),'2025DATA'!$E$36,"")</f>
        <v/>
      </c>
      <c r="AI305" s="518" t="str">
        <f>IF(AND(_A2="A-220-100",'2025'!$K$4="FO",'2025'!$K$2=AI271),'2025DATA'!$F$36,"")</f>
        <v/>
      </c>
      <c r="AJ305" s="518" t="str">
        <f>IF(AND(_A2="A-220-100",'2025'!$K$4="FO",'2025'!$K$2=AJ271),'2025DATA'!$G$36,"")</f>
        <v/>
      </c>
      <c r="AK305" s="518" t="str">
        <f>IF(AND(_A2="A-220-100",'2025'!$K$4="FO",'2025'!$K$2=AK271),'2025DATA'!$H$36,"")</f>
        <v/>
      </c>
      <c r="AL305" s="518" t="str">
        <f>IF(AND(_A2="A-220-100",'2025'!$K$4="FO",'2025'!$K$2=AL271),'2025DATA'!$I$36,"")</f>
        <v/>
      </c>
      <c r="AM305" s="518" t="str">
        <f>IF(AND(_A2="A-220-100",'2025'!$K$4="FO",'2025'!$K$2=AM271),'2025DATA'!$J$36,"")</f>
        <v/>
      </c>
      <c r="AN305" s="518" t="str">
        <f>IF(AND(_A2="A-220-100",'2025'!$K$4="FO",'2025'!$K$2=AN271),'2025DATA'!$K$36,"")</f>
        <v/>
      </c>
      <c r="AO305" s="518" t="str">
        <f>IF(AND(_A2="A-220-100",'2025'!$K$4="FO",'2025'!$K$2=AO271),'2025DATA'!$L$36,"")</f>
        <v/>
      </c>
      <c r="AP305" s="518" t="str">
        <f>IF(AND(_A2="A-220-100",'2025'!$K$4="FO",'2025'!$K$2=AP271),'2025DATA'!$M$36,"")</f>
        <v/>
      </c>
      <c r="AQ305" s="520" t="str">
        <f>IF(AND(_A2="A-220-100",'2025'!$K$4="FO",'2025'!$K$2=AQ271),'2025DATA'!$N$36,"")</f>
        <v/>
      </c>
      <c r="AR305" s="940"/>
      <c r="AS305" s="13" t="s">
        <v>62</v>
      </c>
      <c r="AT305" s="518" t="str">
        <f>IF(AND(_A3="A-220-100",'2025'!$K$4="FO",'2025'!$K$2=AT271),'2025DATA'!$C$36,"")</f>
        <v/>
      </c>
      <c r="AU305" s="518" t="str">
        <f>IF(AND(_A3="A-220-100",'2025'!$K$4="FO",'2025'!$K$2=AU271),'2025DATA'!$D$36,"")</f>
        <v/>
      </c>
      <c r="AV305" s="518" t="str">
        <f>IF(AND(_A3="A-220-100",'2025'!$K$4="FO",'2025'!$K$2=AV271),'2025DATA'!$E$36,"")</f>
        <v/>
      </c>
      <c r="AW305" s="518" t="str">
        <f>IF(AND(_A3="A-220-100",'2025'!$K$4="FO",'2025'!$K$2=AW271),'2025DATA'!$F$36,"")</f>
        <v/>
      </c>
      <c r="AX305" s="518" t="str">
        <f>IF(AND(_A3="A-220-100",'2025'!$K$4="FO",'2025'!$K$2=AX271),'2025DATA'!$G$36,"")</f>
        <v/>
      </c>
      <c r="AY305" s="518" t="str">
        <f>IF(AND(_A3="A-220-100",'2025'!$K$4="FO",'2025'!$K$2=AY271),'2025DATA'!$H$36,"")</f>
        <v/>
      </c>
      <c r="AZ305" s="518" t="str">
        <f>IF(AND(_A3="A-220-100",'2025'!$K$4="FO",'2025'!$K$2=AZ271),'2025DATA'!$I$36,"")</f>
        <v/>
      </c>
      <c r="BA305" s="518" t="str">
        <f>IF(AND(_A3="A-220-100",'2025'!$K$4="FO",'2025'!$K$2=BA271),'2025DATA'!$J$36,"")</f>
        <v/>
      </c>
      <c r="BB305" s="518" t="str">
        <f>IF(AND(_A3="A-220-100",'2025'!$K$4="FO",'2025'!$K$2=BB271),'2025DATA'!$K$36,"")</f>
        <v/>
      </c>
      <c r="BC305" s="518" t="str">
        <f>IF(AND(_A3="A-220-100",'2025'!$K$4="FO",'2025'!$K$2=BC271),'2025DATA'!$L$36,"")</f>
        <v/>
      </c>
      <c r="BD305" s="518" t="str">
        <f>IF(AND(_A3="A-220-100",'2025'!$K$4="FO",'2025'!$K$2=BD271),'2025DATA'!$M$36,"")</f>
        <v/>
      </c>
      <c r="BE305" s="520" t="str">
        <f>IF(AND(_A3="A-220-100",'2025'!$K$4="FO",'2025'!$K$2=BE271),'2025DATA'!$N$36,"")</f>
        <v/>
      </c>
      <c r="BF305" s="940"/>
      <c r="BG305" s="13" t="s">
        <v>62</v>
      </c>
      <c r="BH305" s="518" t="str">
        <f>IF(AND(_A4="A-220-100",'2025'!$K$4="FO",'2025'!$K$2=BH271),'2025DATA'!$C$36,"")</f>
        <v/>
      </c>
      <c r="BI305" s="518" t="str">
        <f>IF(AND(_A4="A-220-100",'2025'!$K$4="FO",'2025'!$K$2=BI271),'2025DATA'!$D$36,"")</f>
        <v/>
      </c>
      <c r="BJ305" s="518" t="str">
        <f>IF(AND(_A4="A-220-100",'2025'!$K$4="FO",'2025'!$K$2=BJ271),'2025DATA'!$E$36,"")</f>
        <v/>
      </c>
      <c r="BK305" s="518" t="str">
        <f>IF(AND(_A4="A-220-100",'2025'!$K$4="FO",'2025'!$K$2=BK271),'2025DATA'!$F$36,"")</f>
        <v/>
      </c>
      <c r="BL305" s="518" t="str">
        <f>IF(AND(_A4="A-220-100",'2025'!$K$4="FO",'2025'!$K$2=BL271),'2025DATA'!$G$36,"")</f>
        <v/>
      </c>
      <c r="BM305" s="518" t="str">
        <f>IF(AND(_A4="A-220-100",'2025'!$K$4="FO",'2025'!$K$2=BM271),'2025DATA'!$H$36,"")</f>
        <v/>
      </c>
      <c r="BN305" s="518" t="str">
        <f>IF(AND(_A4="A-220-100",'2025'!$K$4="FO",'2025'!$K$2=BN271),'2025DATA'!$I$36,"")</f>
        <v/>
      </c>
      <c r="BO305" s="518" t="str">
        <f>IF(AND(_A4="A-220-100",'2025'!$K$4="FO",'2025'!$K$2=BO271),'2025DATA'!$J$36,"")</f>
        <v/>
      </c>
      <c r="BP305" s="518" t="str">
        <f>IF(AND(_A4="A-220-100",'2025'!$K$4="FO",'2025'!$K$2=BP271),'2025DATA'!$K$36,"")</f>
        <v/>
      </c>
      <c r="BQ305" s="518" t="str">
        <f>IF(AND(_A4="A-220-100",'2025'!$K$4="FO",'2025'!$K$2=BQ271),'2025DATA'!$L$36,"")</f>
        <v/>
      </c>
      <c r="BR305" s="518" t="str">
        <f>IF(AND(_A4="A-220-100",'2025'!$K$4="FO",'2025'!$K$2=BR271),'2025DATA'!$M$36,"")</f>
        <v/>
      </c>
      <c r="BS305" s="520" t="str">
        <f>IF(AND(_A4="A-220-100",'2025'!$K$4="FO",'2025'!$K$2=BS271),'2025DATA'!$N$36,"")</f>
        <v/>
      </c>
      <c r="BT305" s="940"/>
      <c r="BU305" s="13" t="s">
        <v>62</v>
      </c>
      <c r="BV305" s="518" t="str">
        <f>IF(AND(_A5="A-220-100",'2025'!$K$4="FO",'2025'!$K$2=BV271),'2025DATA'!$C$36,"")</f>
        <v/>
      </c>
      <c r="BW305" s="518" t="str">
        <f>IF(AND(_A5="A-220-100",'2025'!$K$4="FO",'2025'!$K$2=BW271),'2025DATA'!$D$36,"")</f>
        <v/>
      </c>
      <c r="BX305" s="518" t="str">
        <f>IF(AND(_A5="A-220-100",'2025'!$K$4="FO",'2025'!$K$2=BX271),'2025DATA'!$E$36,"")</f>
        <v/>
      </c>
      <c r="BY305" s="518" t="str">
        <f>IF(AND(_A5="A-220-100",'2025'!$K$4="FO",'2025'!$K$2=BY271),'2025DATA'!$F$36,"")</f>
        <v/>
      </c>
      <c r="BZ305" s="518" t="str">
        <f>IF(AND(_A5="A-220-100",'2025'!$K$4="FO",'2025'!$K$2=BZ271),'2025DATA'!$G$36,"")</f>
        <v/>
      </c>
      <c r="CA305" s="518" t="str">
        <f>IF(AND(_A5="A-220-100",'2025'!$K$4="FO",'2025'!$K$2=CA271),'2025DATA'!$H$36,"")</f>
        <v/>
      </c>
      <c r="CB305" s="518" t="str">
        <f>IF(AND(_A5="A-220-100",'2025'!$K$4="FO",'2025'!$K$2=CB271),'2025DATA'!$I$36,"")</f>
        <v/>
      </c>
      <c r="CC305" s="518" t="str">
        <f>IF(AND(_A5="A-220-100",'2025'!$K$4="FO",'2025'!$K$2=CC271),'2025DATA'!$J$36,"")</f>
        <v/>
      </c>
      <c r="CD305" s="518" t="str">
        <f>IF(AND(_A5="A-220-100",'2025'!$K$4="FO",'2025'!$K$2=CD271),'2025DATA'!$K$36,"")</f>
        <v/>
      </c>
      <c r="CE305" s="518" t="str">
        <f>IF(AND(_A5="A-220-100",'2025'!$K$4="FO",'2025'!$K$2=CE271),'2025DATA'!$L$36,"")</f>
        <v/>
      </c>
      <c r="CF305" s="518" t="str">
        <f>IF(AND(_A5="A-220-100",'2025'!$K$4="FO",'2025'!$K$2=CF271),'2025DATA'!$M$36,"")</f>
        <v/>
      </c>
      <c r="CG305" s="520" t="str">
        <f>IF(AND(_A5="A-220-100",'2025'!$K$4="FO",'2025'!$K$2=CG271),'2025DATA'!$N$36,"")</f>
        <v/>
      </c>
      <c r="CH305" s="940"/>
      <c r="CI305" s="13" t="s">
        <v>62</v>
      </c>
      <c r="CJ305" s="518" t="str">
        <f>IF(AND(_A6="A-220-100",'2025'!$K$4="FO",'2025'!$K$2=CJ271),'2025DATA'!$C$36,"")</f>
        <v/>
      </c>
      <c r="CK305" s="518" t="str">
        <f>IF(AND(_A6="A-220-100",'2025'!$K$4="FO",'2025'!$K$2=CK271),'2025DATA'!$D$36,"")</f>
        <v/>
      </c>
      <c r="CL305" s="518" t="str">
        <f>IF(AND(_A6="A-220-100",'2025'!$K$4="FO",'2025'!$K$2=CL271),'2025DATA'!$E$36,"")</f>
        <v/>
      </c>
      <c r="CM305" s="518" t="str">
        <f>IF(AND(_A6="A-220-100",'2025'!$K$4="FO",'2025'!$K$2=CM271),'2025DATA'!$F$36,"")</f>
        <v/>
      </c>
      <c r="CN305" s="518" t="str">
        <f>IF(AND(_A6="A-220-100",'2025'!$K$4="FO",'2025'!$K$2=CN271),'2025DATA'!$G$36,"")</f>
        <v/>
      </c>
      <c r="CO305" s="518" t="str">
        <f>IF(AND(_A6="A-220-100",'2025'!$K$4="FO",'2025'!$K$2=CO271),'2025DATA'!$H$36,"")</f>
        <v/>
      </c>
      <c r="CP305" s="518" t="str">
        <f>IF(AND(_A6="A-220-100",'2025'!$K$4="FO",'2025'!$K$2=CP271),'2025DATA'!$I$36,"")</f>
        <v/>
      </c>
      <c r="CQ305" s="518" t="str">
        <f>IF(AND(_A6="A-220-100",'2025'!$K$4="FO",'2025'!$K$2=CQ271),'2025DATA'!$J$36,"")</f>
        <v/>
      </c>
      <c r="CR305" s="518" t="str">
        <f>IF(AND(_A6="A-220-100",'2025'!$K$4="FO",'2025'!$K$2=CR271),'2025DATA'!$K$36,"")</f>
        <v/>
      </c>
      <c r="CS305" s="518" t="str">
        <f>IF(AND(_A6="A-220-100",'2025'!$K$4="FO",'2025'!$K$2=CS271),'2025DATA'!$L$36,"")</f>
        <v/>
      </c>
      <c r="CT305" s="518" t="str">
        <f>IF(AND(_A6="A-220-100",'2025'!$K$4="FO",'2025'!$K$2=CT271),'2025DATA'!$M$36,"")</f>
        <v/>
      </c>
      <c r="CU305" s="520" t="str">
        <f>IF(AND(_A6="A-220-100",'2025'!$K$4="FO",'2025'!$K$2=CU271),'2025DATA'!$N$36,"")</f>
        <v/>
      </c>
    </row>
    <row r="306" spans="16:99" x14ac:dyDescent="0.25">
      <c r="P306" s="940" t="s">
        <v>53</v>
      </c>
      <c r="Q306" s="13" t="s">
        <v>61</v>
      </c>
      <c r="R306" s="518" t="str">
        <f>IF(AND(_A1="B-717",'2025'!$K$4="CA",'2025'!$K$2=R271),'2025DATA'!$C$37,"")</f>
        <v/>
      </c>
      <c r="S306" s="518" t="str">
        <f>IF(AND(_A1="B-717",'2025'!$K$4="CA",'2025'!$K$2=S271),'2025DATA'!$D$37,"")</f>
        <v/>
      </c>
      <c r="T306" s="518" t="str">
        <f>IF(AND(_A1="B-717",'2025'!$K$4="CA",'2025'!$K$2=T271),'2025DATA'!$E$37,"")</f>
        <v/>
      </c>
      <c r="U306" s="518" t="str">
        <f>IF(AND(_A1="B-717",'2025'!$K$4="CA",'2025'!$K$2=U271),'2025DATA'!$F$37,"")</f>
        <v/>
      </c>
      <c r="V306" s="518" t="str">
        <f>IF(AND(_A1="B-717",'2025'!$K$4="CA",'2025'!$K$2=V271),'2025DATA'!$G$37,"")</f>
        <v/>
      </c>
      <c r="W306" s="518" t="str">
        <f>IF(AND(_A1="B-717",'2025'!$K$4="CA",'2025'!$K$2=W271),'2025DATA'!$H$37,"")</f>
        <v/>
      </c>
      <c r="X306" s="518" t="str">
        <f>IF(AND(_A1="B-717",'2025'!$K$4="CA",'2025'!$K$2=X271),'2025DATA'!$I$37,"")</f>
        <v/>
      </c>
      <c r="Y306" s="518" t="str">
        <f>IF(AND(_A1="B-717",'2025'!$K$4="CA",'2025'!$K$2=Y271),'2025DATA'!$J$37,"")</f>
        <v/>
      </c>
      <c r="Z306" s="518" t="str">
        <f>IF(AND(_A1="B-717",'2025'!$K$4="CA",'2025'!$K$2=Z271),'2025DATA'!$K$37,"")</f>
        <v/>
      </c>
      <c r="AA306" s="518" t="str">
        <f>IF(AND(_A1="B-717",'2025'!$K$4="CA",'2025'!$K$2=AA271),'2025DATA'!$L$37,"")</f>
        <v/>
      </c>
      <c r="AB306" s="518" t="str">
        <f>IF(AND(_A1="B-717",'2025'!$K$4="CA",'2025'!$K$2=AB271),'2025DATA'!$M$37,"")</f>
        <v/>
      </c>
      <c r="AC306" s="520" t="str">
        <f>IF(AND(_A1="B-717",'2025'!$K$4="CA",'2025'!$K$2=AC271),'2025DATA'!$N$37,"")</f>
        <v/>
      </c>
      <c r="AD306" s="940" t="s">
        <v>53</v>
      </c>
      <c r="AE306" s="13" t="s">
        <v>61</v>
      </c>
      <c r="AF306" s="518" t="str">
        <f>IF(AND(_A2="B-717",'2025'!$K$4="CA",'2025'!$K$2=AF271),'2025DATA'!$C$37,"")</f>
        <v/>
      </c>
      <c r="AG306" s="518" t="str">
        <f>IF(AND(_A2="B-717",'2025'!$K$4="CA",'2025'!$K$2=AG271),'2025DATA'!$D$37,"")</f>
        <v/>
      </c>
      <c r="AH306" s="518" t="str">
        <f>IF(AND(_A2="B-717",'2025'!$K$4="CA",'2025'!$K$2=AH271),'2025DATA'!$E$37,"")</f>
        <v/>
      </c>
      <c r="AI306" s="518" t="str">
        <f>IF(AND(_A2="B-717",'2025'!$K$4="CA",'2025'!$K$2=AI271),'2025DATA'!$F$37,"")</f>
        <v/>
      </c>
      <c r="AJ306" s="518" t="str">
        <f>IF(AND(_A2="B-717",'2025'!$K$4="CA",'2025'!$K$2=AJ271),'2025DATA'!$G$37,"")</f>
        <v/>
      </c>
      <c r="AK306" s="518" t="str">
        <f>IF(AND(_A2="B-717",'2025'!$K$4="CA",'2025'!$K$2=AK271),'2025DATA'!$H$37,"")</f>
        <v/>
      </c>
      <c r="AL306" s="518" t="str">
        <f>IF(AND(_A2="B-717",'2025'!$K$4="CA",'2025'!$K$2=AL271),'2025DATA'!$I$37,"")</f>
        <v/>
      </c>
      <c r="AM306" s="518" t="str">
        <f>IF(AND(_A2="B-717",'2025'!$K$4="CA",'2025'!$K$2=AM271),'2025DATA'!$J$37,"")</f>
        <v/>
      </c>
      <c r="AN306" s="518" t="str">
        <f>IF(AND(_A2="B-717",'2025'!$K$4="CA",'2025'!$K$2=AN271),'2025DATA'!$K$37,"")</f>
        <v/>
      </c>
      <c r="AO306" s="518" t="str">
        <f>IF(AND(_A2="B-717",'2025'!$K$4="CA",'2025'!$K$2=AO271),'2025DATA'!$L$37,"")</f>
        <v/>
      </c>
      <c r="AP306" s="518" t="str">
        <f>IF(AND(_A2="B-717",'2025'!$K$4="CA",'2025'!$K$2=AP271),'2025DATA'!$M$37,"")</f>
        <v/>
      </c>
      <c r="AQ306" s="520" t="str">
        <f>IF(AND(_A2="B-717",'2025'!$K$4="CA",'2025'!$K$2=AQ271),'2025DATA'!$N$37,"")</f>
        <v/>
      </c>
      <c r="AR306" s="940" t="s">
        <v>53</v>
      </c>
      <c r="AS306" s="13" t="s">
        <v>61</v>
      </c>
      <c r="AT306" s="518" t="str">
        <f>IF(AND(_A3="B-717",'2025'!$K$4="CA",'2025'!$K$2=AT271),'2025DATA'!$C$37,"")</f>
        <v/>
      </c>
      <c r="AU306" s="518" t="str">
        <f>IF(AND(_A3="B-717",'2025'!$K$4="CA",'2025'!$K$2=AU271),'2025DATA'!$D$37,"")</f>
        <v/>
      </c>
      <c r="AV306" s="518" t="str">
        <f>IF(AND(_A3="B-717",'2025'!$K$4="CA",'2025'!$K$2=AV271),'2025DATA'!$E$37,"")</f>
        <v/>
      </c>
      <c r="AW306" s="518" t="str">
        <f>IF(AND(_A3="B-717",'2025'!$K$4="CA",'2025'!$K$2=AW271),'2025DATA'!$F$37,"")</f>
        <v/>
      </c>
      <c r="AX306" s="518" t="str">
        <f>IF(AND(_A3="B-717",'2025'!$K$4="CA",'2025'!$K$2=AX271),'2025DATA'!$G$37,"")</f>
        <v/>
      </c>
      <c r="AY306" s="518" t="str">
        <f>IF(AND(_A3="B-717",'2025'!$K$4="CA",'2025'!$K$2=AY271),'2025DATA'!$H$37,"")</f>
        <v/>
      </c>
      <c r="AZ306" s="518" t="str">
        <f>IF(AND(_A3="B-717",'2025'!$K$4="CA",'2025'!$K$2=AZ271),'2025DATA'!$I$37,"")</f>
        <v/>
      </c>
      <c r="BA306" s="518" t="str">
        <f>IF(AND(_A3="B-717",'2025'!$K$4="CA",'2025'!$K$2=BA271),'2025DATA'!$J$37,"")</f>
        <v/>
      </c>
      <c r="BB306" s="518" t="str">
        <f>IF(AND(_A3="B-717",'2025'!$K$4="CA",'2025'!$K$2=BB271),'2025DATA'!$K$37,"")</f>
        <v/>
      </c>
      <c r="BC306" s="518" t="str">
        <f>IF(AND(_A3="B-717",'2025'!$K$4="CA",'2025'!$K$2=BC271),'2025DATA'!$L$37,"")</f>
        <v/>
      </c>
      <c r="BD306" s="518" t="str">
        <f>IF(AND(_A3="B-717",'2025'!$K$4="CA",'2025'!$K$2=BD271),'2025DATA'!$M$37,"")</f>
        <v/>
      </c>
      <c r="BE306" s="520" t="str">
        <f>IF(AND(_A3="B-717",'2025'!$K$4="CA",'2025'!$K$2=BE271),'2025DATA'!$N$37,"")</f>
        <v/>
      </c>
      <c r="BF306" s="940" t="s">
        <v>53</v>
      </c>
      <c r="BG306" s="13" t="s">
        <v>61</v>
      </c>
      <c r="BH306" s="518" t="str">
        <f>IF(AND(_A4="B-717",'2025'!$K$4="CA",'2025'!$K$2=BH271),'2025DATA'!$C$37,"")</f>
        <v/>
      </c>
      <c r="BI306" s="518" t="str">
        <f>IF(AND(_A4="B-717",'2025'!$K$4="CA",'2025'!$K$2=BI271),'2025DATA'!$D$37,"")</f>
        <v/>
      </c>
      <c r="BJ306" s="518" t="str">
        <f>IF(AND(_A4="B-717",'2025'!$K$4="CA",'2025'!$K$2=BJ271),'2025DATA'!$E$37,"")</f>
        <v/>
      </c>
      <c r="BK306" s="518" t="str">
        <f>IF(AND(_A4="B-717",'2025'!$K$4="CA",'2025'!$K$2=BK271),'2025DATA'!$F$37,"")</f>
        <v/>
      </c>
      <c r="BL306" s="518" t="str">
        <f>IF(AND(_A4="B-717",'2025'!$K$4="CA",'2025'!$K$2=BL271),'2025DATA'!$G$37,"")</f>
        <v/>
      </c>
      <c r="BM306" s="518" t="str">
        <f>IF(AND(_A4="B-717",'2025'!$K$4="CA",'2025'!$K$2=BM271),'2025DATA'!$H$37,"")</f>
        <v/>
      </c>
      <c r="BN306" s="518" t="str">
        <f>IF(AND(_A4="B-717",'2025'!$K$4="CA",'2025'!$K$2=BN271),'2025DATA'!$I$37,"")</f>
        <v/>
      </c>
      <c r="BO306" s="518" t="str">
        <f>IF(AND(_A4="B-717",'2025'!$K$4="CA",'2025'!$K$2=BO271),'2025DATA'!$J$37,"")</f>
        <v/>
      </c>
      <c r="BP306" s="518" t="str">
        <f>IF(AND(_A4="B-717",'2025'!$K$4="CA",'2025'!$K$2=BP271),'2025DATA'!$K$37,"")</f>
        <v/>
      </c>
      <c r="BQ306" s="518" t="str">
        <f>IF(AND(_A4="B-717",'2025'!$K$4="CA",'2025'!$K$2=BQ271),'2025DATA'!$L$37,"")</f>
        <v/>
      </c>
      <c r="BR306" s="518" t="str">
        <f>IF(AND(_A4="B-717",'2025'!$K$4="CA",'2025'!$K$2=BR271),'2025DATA'!$M$37,"")</f>
        <v/>
      </c>
      <c r="BS306" s="520" t="str">
        <f>IF(AND(_A4="B-717",'2025'!$K$4="CA",'2025'!$K$2=BS271),'2025DATA'!$N$37,"")</f>
        <v/>
      </c>
      <c r="BT306" s="940" t="s">
        <v>53</v>
      </c>
      <c r="BU306" s="13" t="s">
        <v>61</v>
      </c>
      <c r="BV306" s="518" t="str">
        <f>IF(AND(_A5="B-717",'2025'!$K$4="CA",'2025'!$K$2=BV271),'2025DATA'!$C$37,"")</f>
        <v/>
      </c>
      <c r="BW306" s="518" t="str">
        <f>IF(AND(_A5="B-717",'2025'!$K$4="CA",'2025'!$K$2=BW271),'2025DATA'!$D$37,"")</f>
        <v/>
      </c>
      <c r="BX306" s="518" t="str">
        <f>IF(AND(_A5="B-717",'2025'!$K$4="CA",'2025'!$K$2=BX271),'2025DATA'!$E$37,"")</f>
        <v/>
      </c>
      <c r="BY306" s="518" t="str">
        <f>IF(AND(_A5="B-717",'2025'!$K$4="CA",'2025'!$K$2=BY271),'2025DATA'!$F$37,"")</f>
        <v/>
      </c>
      <c r="BZ306" s="518" t="str">
        <f>IF(AND(_A5="B-717",'2025'!$K$4="CA",'2025'!$K$2=BZ271),'2025DATA'!$G$37,"")</f>
        <v/>
      </c>
      <c r="CA306" s="518" t="str">
        <f>IF(AND(_A5="B-717",'2025'!$K$4="CA",'2025'!$K$2=CA271),'2025DATA'!$H$37,"")</f>
        <v/>
      </c>
      <c r="CB306" s="518" t="str">
        <f>IF(AND(_A5="B-717",'2025'!$K$4="CA",'2025'!$K$2=CB271),'2025DATA'!$I$37,"")</f>
        <v/>
      </c>
      <c r="CC306" s="518" t="str">
        <f>IF(AND(_A5="B-717",'2025'!$K$4="CA",'2025'!$K$2=CC271),'2025DATA'!$J$37,"")</f>
        <v/>
      </c>
      <c r="CD306" s="518" t="str">
        <f>IF(AND(_A5="B-717",'2025'!$K$4="CA",'2025'!$K$2=CD271),'2025DATA'!$K$37,"")</f>
        <v/>
      </c>
      <c r="CE306" s="518" t="str">
        <f>IF(AND(_A5="B-717",'2025'!$K$4="CA",'2025'!$K$2=CE271),'2025DATA'!$L$37,"")</f>
        <v/>
      </c>
      <c r="CF306" s="518" t="str">
        <f>IF(AND(_A5="B-717",'2025'!$K$4="CA",'2025'!$K$2=CF271),'2025DATA'!$M$37,"")</f>
        <v/>
      </c>
      <c r="CG306" s="520" t="str">
        <f>IF(AND(_A5="B-717",'2025'!$K$4="CA",'2025'!$K$2=CG271),'2025DATA'!$N$37,"")</f>
        <v/>
      </c>
      <c r="CH306" s="940" t="s">
        <v>53</v>
      </c>
      <c r="CI306" s="13" t="s">
        <v>61</v>
      </c>
      <c r="CJ306" s="518" t="str">
        <f>IF(AND(_A6="B-717",'2025'!$K$4="CA",'2025'!$K$2=CJ271),'2025DATA'!$C$37,"")</f>
        <v/>
      </c>
      <c r="CK306" s="518" t="str">
        <f>IF(AND(_A6="B-717",'2025'!$K$4="CA",'2025'!$K$2=CK271),'2025DATA'!$D$37,"")</f>
        <v/>
      </c>
      <c r="CL306" s="518" t="str">
        <f>IF(AND(_A6="B-717",'2025'!$K$4="CA",'2025'!$K$2=CL271),'2025DATA'!$E$37,"")</f>
        <v/>
      </c>
      <c r="CM306" s="518" t="str">
        <f>IF(AND(_A6="B-717",'2025'!$K$4="CA",'2025'!$K$2=CM271),'2025DATA'!$F$37,"")</f>
        <v/>
      </c>
      <c r="CN306" s="518" t="str">
        <f>IF(AND(_A6="B-717",'2025'!$K$4="CA",'2025'!$K$2=CN271),'2025DATA'!$G$37,"")</f>
        <v/>
      </c>
      <c r="CO306" s="518" t="str">
        <f>IF(AND(_A6="B-717",'2025'!$K$4="CA",'2025'!$K$2=CO271),'2025DATA'!$H$37,"")</f>
        <v/>
      </c>
      <c r="CP306" s="518" t="str">
        <f>IF(AND(_A6="B-717",'2025'!$K$4="CA",'2025'!$K$2=CP271),'2025DATA'!$I$37,"")</f>
        <v/>
      </c>
      <c r="CQ306" s="518" t="str">
        <f>IF(AND(_A6="B-717",'2025'!$K$4="CA",'2025'!$K$2=CQ271),'2025DATA'!$J$37,"")</f>
        <v/>
      </c>
      <c r="CR306" s="518" t="str">
        <f>IF(AND(_A6="B-717",'2025'!$K$4="CA",'2025'!$K$2=CR271),'2025DATA'!$K$37,"")</f>
        <v/>
      </c>
      <c r="CS306" s="518" t="str">
        <f>IF(AND(_A6="B-717",'2025'!$K$4="CA",'2025'!$K$2=CS271),'2025DATA'!$L$37,"")</f>
        <v/>
      </c>
      <c r="CT306" s="518" t="str">
        <f>IF(AND(_A6="B-717",'2025'!$K$4="CA",'2025'!$K$2=CT271),'2025DATA'!$M$37,"")</f>
        <v/>
      </c>
      <c r="CU306" s="520" t="str">
        <f>IF(AND(_A6="B-717",'2025'!$K$4="CA",'2025'!$K$2=CU271),'2025DATA'!$N$37,"")</f>
        <v/>
      </c>
    </row>
    <row r="307" spans="16:99" ht="15.75" thickBot="1" x14ac:dyDescent="0.3">
      <c r="P307" s="942"/>
      <c r="Q307" s="2" t="s">
        <v>62</v>
      </c>
      <c r="R307" s="518" t="str">
        <f>IF(AND(_A1="B-717",'2025'!$K$4="FO",'2025'!$K$2=R271),'2025DATA'!$C$38,"")</f>
        <v/>
      </c>
      <c r="S307" s="518" t="str">
        <f>IF(AND(_A1="B-717",'2025'!$K$4="FO",'2025'!$K$2=S271),'2025DATA'!$D$38,"")</f>
        <v/>
      </c>
      <c r="T307" s="518" t="str">
        <f>IF(AND(_A1="B-717",'2025'!$K$4="FO",'2025'!$K$2=T271),'2025DATA'!$E$38,"")</f>
        <v/>
      </c>
      <c r="U307" s="518" t="str">
        <f>IF(AND(_A1="B-717",'2025'!$K$4="FO",'2025'!$K$2=U271),'2025DATA'!$F$38,"")</f>
        <v/>
      </c>
      <c r="V307" s="518" t="str">
        <f>IF(AND(_A1="B-717",'2025'!$K$4="FO",'2025'!$K$2=V271),'2025DATA'!$G$38,"")</f>
        <v/>
      </c>
      <c r="W307" s="518" t="str">
        <f>IF(AND(_A1="B-717",'2025'!$K$4="FO",'2025'!$K$2=W271),'2025DATA'!$H$38,"")</f>
        <v/>
      </c>
      <c r="X307" s="518" t="str">
        <f>IF(AND(_A1="B-717",'2025'!$K$4="FO",'2025'!$K$2=X271),'2025DATA'!$I$38,"")</f>
        <v/>
      </c>
      <c r="Y307" s="518" t="str">
        <f>IF(AND(_A1="B-717",'2025'!$K$4="FO",'2025'!$K$2=Y271),'2025DATA'!$J$38,"")</f>
        <v/>
      </c>
      <c r="Z307" s="518" t="str">
        <f>IF(AND(_A1="B-717",'2025'!$K$4="FO",'2025'!$K$2=Z271),'2025DATA'!$K$38,"")</f>
        <v/>
      </c>
      <c r="AA307" s="518" t="str">
        <f>IF(AND(_A1="B-717",'2025'!$K$4="FO",'2025'!$K$2=AA271),'2025DATA'!$L$38,"")</f>
        <v/>
      </c>
      <c r="AB307" s="518" t="str">
        <f>IF(AND(_A1="B-717",'2025'!$K$4="FO",'2025'!$K$2=AB271),'2025DATA'!$M$38,"")</f>
        <v/>
      </c>
      <c r="AC307" s="520" t="str">
        <f>IF(AND(_A1="B-717",'2025'!$K$4="FO",'2025'!$K$2=AC271),'2025DATA'!$N$38,"")</f>
        <v/>
      </c>
      <c r="AD307" s="942"/>
      <c r="AE307" s="2" t="s">
        <v>62</v>
      </c>
      <c r="AF307" s="518" t="str">
        <f>IF(AND(_A2="B-717",'2025'!$K$4="FO",'2025'!$K$2=AF271),'2025DATA'!$C$38,"")</f>
        <v/>
      </c>
      <c r="AG307" s="518" t="str">
        <f>IF(AND(_A2="B-717",'2025'!$K$4="FO",'2025'!$K$2=AG271),'2025DATA'!$D$38,"")</f>
        <v/>
      </c>
      <c r="AH307" s="518" t="str">
        <f>IF(AND(_A2="B-717",'2025'!$K$4="FO",'2025'!$K$2=AH271),'2025DATA'!$E$38,"")</f>
        <v/>
      </c>
      <c r="AI307" s="518" t="str">
        <f>IF(AND(_A2="B-717",'2025'!$K$4="FO",'2025'!$K$2=AI271),'2025DATA'!$F$38,"")</f>
        <v/>
      </c>
      <c r="AJ307" s="518" t="str">
        <f>IF(AND(_A2="B-717",'2025'!$K$4="FO",'2025'!$K$2=AJ271),'2025DATA'!$G$38,"")</f>
        <v/>
      </c>
      <c r="AK307" s="518" t="str">
        <f>IF(AND(_A2="B-717",'2025'!$K$4="FO",'2025'!$K$2=AK271),'2025DATA'!$H$38,"")</f>
        <v/>
      </c>
      <c r="AL307" s="518" t="str">
        <f>IF(AND(_A2="B-717",'2025'!$K$4="FO",'2025'!$K$2=AL271),'2025DATA'!$I$38,"")</f>
        <v/>
      </c>
      <c r="AM307" s="518" t="str">
        <f>IF(AND(_A2="B-717",'2025'!$K$4="FO",'2025'!$K$2=AM271),'2025DATA'!$J$38,"")</f>
        <v/>
      </c>
      <c r="AN307" s="518" t="str">
        <f>IF(AND(_A2="B-717",'2025'!$K$4="FO",'2025'!$K$2=AN271),'2025DATA'!$K$38,"")</f>
        <v/>
      </c>
      <c r="AO307" s="518" t="str">
        <f>IF(AND(_A2="B-717",'2025'!$K$4="FO",'2025'!$K$2=AO271),'2025DATA'!$L$38,"")</f>
        <v/>
      </c>
      <c r="AP307" s="518" t="str">
        <f>IF(AND(_A2="B-717",'2025'!$K$4="FO",'2025'!$K$2=AP271),'2025DATA'!$M$38,"")</f>
        <v/>
      </c>
      <c r="AQ307" s="520" t="str">
        <f>IF(AND(_A2="B-717",'2025'!$K$4="FO",'2025'!$K$2=AQ271),'2025DATA'!$N$38,"")</f>
        <v/>
      </c>
      <c r="AR307" s="942"/>
      <c r="AS307" s="2" t="s">
        <v>62</v>
      </c>
      <c r="AT307" s="518" t="str">
        <f>IF(AND(_A3="B-717",'2025'!$K$4="FO",'2025'!$K$2=AT271),'2025DATA'!$C$38,"")</f>
        <v/>
      </c>
      <c r="AU307" s="518" t="str">
        <f>IF(AND(_A3="B-717",'2025'!$K$4="FO",'2025'!$K$2=AU271),'2025DATA'!$D$38,"")</f>
        <v/>
      </c>
      <c r="AV307" s="518" t="str">
        <f>IF(AND(_A3="B-717",'2025'!$K$4="FO",'2025'!$K$2=AV271),'2025DATA'!$E$38,"")</f>
        <v/>
      </c>
      <c r="AW307" s="518" t="str">
        <f>IF(AND(_A3="B-717",'2025'!$K$4="FO",'2025'!$K$2=AW271),'2025DATA'!$F$38,"")</f>
        <v/>
      </c>
      <c r="AX307" s="518" t="str">
        <f>IF(AND(_A3="B-717",'2025'!$K$4="FO",'2025'!$K$2=AX271),'2025DATA'!$G$38,"")</f>
        <v/>
      </c>
      <c r="AY307" s="518" t="str">
        <f>IF(AND(_A3="B-717",'2025'!$K$4="FO",'2025'!$K$2=AY271),'2025DATA'!$H$38,"")</f>
        <v/>
      </c>
      <c r="AZ307" s="518" t="str">
        <f>IF(AND(_A3="B-717",'2025'!$K$4="FO",'2025'!$K$2=AZ271),'2025DATA'!$I$38,"")</f>
        <v/>
      </c>
      <c r="BA307" s="518" t="str">
        <f>IF(AND(_A3="B-717",'2025'!$K$4="FO",'2025'!$K$2=BA271),'2025DATA'!$J$38,"")</f>
        <v/>
      </c>
      <c r="BB307" s="518" t="str">
        <f>IF(AND(_A3="B-717",'2025'!$K$4="FO",'2025'!$K$2=BB271),'2025DATA'!$K$38,"")</f>
        <v/>
      </c>
      <c r="BC307" s="518" t="str">
        <f>IF(AND(_A3="B-717",'2025'!$K$4="FO",'2025'!$K$2=BC271),'2025DATA'!$L$38,"")</f>
        <v/>
      </c>
      <c r="BD307" s="518" t="str">
        <f>IF(AND(_A3="B-717",'2025'!$K$4="FO",'2025'!$K$2=BD271),'2025DATA'!$M$38,"")</f>
        <v/>
      </c>
      <c r="BE307" s="520" t="str">
        <f>IF(AND(_A3="B-717",'2025'!$K$4="FO",'2025'!$K$2=BE271),'2025DATA'!$N$38,"")</f>
        <v/>
      </c>
      <c r="BF307" s="942"/>
      <c r="BG307" s="2" t="s">
        <v>62</v>
      </c>
      <c r="BH307" s="518" t="str">
        <f>IF(AND(_A4="B-717",'2025'!$K$4="FO",'2025'!$K$2=BH271),'2025DATA'!$C$38,"")</f>
        <v/>
      </c>
      <c r="BI307" s="518" t="str">
        <f>IF(AND(_A4="B-717",'2025'!$K$4="FO",'2025'!$K$2=BI271),'2025DATA'!$D$38,"")</f>
        <v/>
      </c>
      <c r="BJ307" s="518" t="str">
        <f>IF(AND(_A4="B-717",'2025'!$K$4="FO",'2025'!$K$2=BJ271),'2025DATA'!$E$38,"")</f>
        <v/>
      </c>
      <c r="BK307" s="518" t="str">
        <f>IF(AND(_A4="B-717",'2025'!$K$4="FO",'2025'!$K$2=BK271),'2025DATA'!$F$38,"")</f>
        <v/>
      </c>
      <c r="BL307" s="518" t="str">
        <f>IF(AND(_A4="B-717",'2025'!$K$4="FO",'2025'!$K$2=BL271),'2025DATA'!$G$38,"")</f>
        <v/>
      </c>
      <c r="BM307" s="518" t="str">
        <f>IF(AND(_A4="B-717",'2025'!$K$4="FO",'2025'!$K$2=BM271),'2025DATA'!$H$38,"")</f>
        <v/>
      </c>
      <c r="BN307" s="518" t="str">
        <f>IF(AND(_A4="B-717",'2025'!$K$4="FO",'2025'!$K$2=BN271),'2025DATA'!$I$38,"")</f>
        <v/>
      </c>
      <c r="BO307" s="518" t="str">
        <f>IF(AND(_A4="B-717",'2025'!$K$4="FO",'2025'!$K$2=BO271),'2025DATA'!$J$38,"")</f>
        <v/>
      </c>
      <c r="BP307" s="518" t="str">
        <f>IF(AND(_A4="B-717",'2025'!$K$4="FO",'2025'!$K$2=BP271),'2025DATA'!$K$38,"")</f>
        <v/>
      </c>
      <c r="BQ307" s="518" t="str">
        <f>IF(AND(_A4="B-717",'2025'!$K$4="FO",'2025'!$K$2=BQ271),'2025DATA'!$L$38,"")</f>
        <v/>
      </c>
      <c r="BR307" s="518" t="str">
        <f>IF(AND(_A4="B-717",'2025'!$K$4="FO",'2025'!$K$2=BR271),'2025DATA'!$M$38,"")</f>
        <v/>
      </c>
      <c r="BS307" s="520" t="str">
        <f>IF(AND(_A4="B-717",'2025'!$K$4="FO",'2025'!$K$2=BS271),'2025DATA'!$N$38,"")</f>
        <v/>
      </c>
      <c r="BT307" s="942"/>
      <c r="BU307" s="2" t="s">
        <v>62</v>
      </c>
      <c r="BV307" s="518" t="str">
        <f>IF(AND(_A5="B-717",'2025'!$K$4="FO",'2025'!$K$2=BV271),'2025DATA'!$C$38,"")</f>
        <v/>
      </c>
      <c r="BW307" s="518" t="str">
        <f>IF(AND(_A5="B-717",'2025'!$K$4="FO",'2025'!$K$2=BW271),'2025DATA'!$D$38,"")</f>
        <v/>
      </c>
      <c r="BX307" s="518" t="str">
        <f>IF(AND(_A5="B-717",'2025'!$K$4="FO",'2025'!$K$2=BX271),'2025DATA'!$E$38,"")</f>
        <v/>
      </c>
      <c r="BY307" s="518" t="str">
        <f>IF(AND(_A5="B-717",'2025'!$K$4="FO",'2025'!$K$2=BY271),'2025DATA'!$F$38,"")</f>
        <v/>
      </c>
      <c r="BZ307" s="518" t="str">
        <f>IF(AND(_A5="B-717",'2025'!$K$4="FO",'2025'!$K$2=BZ271),'2025DATA'!$G$38,"")</f>
        <v/>
      </c>
      <c r="CA307" s="518" t="str">
        <f>IF(AND(_A5="B-717",'2025'!$K$4="FO",'2025'!$K$2=CA271),'2025DATA'!$H$38,"")</f>
        <v/>
      </c>
      <c r="CB307" s="518" t="str">
        <f>IF(AND(_A5="B-717",'2025'!$K$4="FO",'2025'!$K$2=CB271),'2025DATA'!$I$38,"")</f>
        <v/>
      </c>
      <c r="CC307" s="518" t="str">
        <f>IF(AND(_A5="B-717",'2025'!$K$4="FO",'2025'!$K$2=CC271),'2025DATA'!$J$38,"")</f>
        <v/>
      </c>
      <c r="CD307" s="518" t="str">
        <f>IF(AND(_A5="B-717",'2025'!$K$4="FO",'2025'!$K$2=CD271),'2025DATA'!$K$38,"")</f>
        <v/>
      </c>
      <c r="CE307" s="518" t="str">
        <f>IF(AND(_A5="B-717",'2025'!$K$4="FO",'2025'!$K$2=CE271),'2025DATA'!$L$38,"")</f>
        <v/>
      </c>
      <c r="CF307" s="518" t="str">
        <f>IF(AND(_A5="B-717",'2025'!$K$4="FO",'2025'!$K$2=CF271),'2025DATA'!$M$38,"")</f>
        <v/>
      </c>
      <c r="CG307" s="520" t="str">
        <f>IF(AND(_A5="B-717",'2025'!$K$4="FO",'2025'!$K$2=CG271),'2025DATA'!$N$38,"")</f>
        <v/>
      </c>
      <c r="CH307" s="942"/>
      <c r="CI307" s="2" t="s">
        <v>62</v>
      </c>
      <c r="CJ307" s="518" t="str">
        <f>IF(AND(_A6="B-717",'2025'!$K$4="FO",'2025'!$K$2=CJ271),'2025DATA'!$C$38,"")</f>
        <v/>
      </c>
      <c r="CK307" s="518" t="str">
        <f>IF(AND(_A6="B-717",'2025'!$K$4="FO",'2025'!$K$2=CK271),'2025DATA'!$D$38,"")</f>
        <v/>
      </c>
      <c r="CL307" s="518" t="str">
        <f>IF(AND(_A6="B-717",'2025'!$K$4="FO",'2025'!$K$2=CL271),'2025DATA'!$E$38,"")</f>
        <v/>
      </c>
      <c r="CM307" s="518" t="str">
        <f>IF(AND(_A6="B-717",'2025'!$K$4="FO",'2025'!$K$2=CM271),'2025DATA'!$F$38,"")</f>
        <v/>
      </c>
      <c r="CN307" s="518" t="str">
        <f>IF(AND(_A6="B-717",'2025'!$K$4="FO",'2025'!$K$2=CN271),'2025DATA'!$G$38,"")</f>
        <v/>
      </c>
      <c r="CO307" s="518" t="str">
        <f>IF(AND(_A6="B-717",'2025'!$K$4="FO",'2025'!$K$2=CO271),'2025DATA'!$H$38,"")</f>
        <v/>
      </c>
      <c r="CP307" s="518" t="str">
        <f>IF(AND(_A6="B-717",'2025'!$K$4="FO",'2025'!$K$2=CP271),'2025DATA'!$I$38,"")</f>
        <v/>
      </c>
      <c r="CQ307" s="518" t="str">
        <f>IF(AND(_A6="B-717",'2025'!$K$4="FO",'2025'!$K$2=CQ271),'2025DATA'!$J$38,"")</f>
        <v/>
      </c>
      <c r="CR307" s="518" t="str">
        <f>IF(AND(_A6="B-717",'2025'!$K$4="FO",'2025'!$K$2=CR271),'2025DATA'!$K$38,"")</f>
        <v/>
      </c>
      <c r="CS307" s="518" t="str">
        <f>IF(AND(_A6="B-717",'2025'!$K$4="FO",'2025'!$K$2=CS271),'2025DATA'!$L$38,"")</f>
        <v/>
      </c>
      <c r="CT307" s="518" t="str">
        <f>IF(AND(_A6="B-717",'2025'!$K$4="FO",'2025'!$K$2=CT271),'2025DATA'!$M$38,"")</f>
        <v/>
      </c>
      <c r="CU307" s="520" t="str">
        <f>IF(AND(_A6="B-717",'2025'!$K$4="FO",'2025'!$K$2=CU271),'2025DATA'!$N$38,"")</f>
        <v/>
      </c>
    </row>
    <row r="308" spans="16:99" x14ac:dyDescent="0.25">
      <c r="P308" s="943" t="s">
        <v>116</v>
      </c>
      <c r="Q308" s="944"/>
      <c r="R308" s="944"/>
      <c r="S308" s="944"/>
      <c r="T308" s="944"/>
      <c r="U308" s="944"/>
      <c r="V308" s="944"/>
      <c r="W308" s="944"/>
      <c r="X308" s="944"/>
      <c r="Y308" s="944"/>
      <c r="Z308" s="944"/>
      <c r="AA308" s="944"/>
      <c r="AB308" s="944"/>
      <c r="AC308" s="945"/>
      <c r="AD308" s="943" t="s">
        <v>117</v>
      </c>
      <c r="AE308" s="944"/>
      <c r="AF308" s="944"/>
      <c r="AG308" s="944"/>
      <c r="AH308" s="944"/>
      <c r="AI308" s="944"/>
      <c r="AJ308" s="944"/>
      <c r="AK308" s="944"/>
      <c r="AL308" s="944"/>
      <c r="AM308" s="944"/>
      <c r="AN308" s="944"/>
      <c r="AO308" s="944"/>
      <c r="AP308" s="944"/>
      <c r="AQ308" s="945"/>
      <c r="AR308" s="943" t="s">
        <v>118</v>
      </c>
      <c r="AS308" s="944"/>
      <c r="AT308" s="944"/>
      <c r="AU308" s="944"/>
      <c r="AV308" s="944"/>
      <c r="AW308" s="944"/>
      <c r="AX308" s="944"/>
      <c r="AY308" s="944"/>
      <c r="AZ308" s="944"/>
      <c r="BA308" s="944"/>
      <c r="BB308" s="944"/>
      <c r="BC308" s="944"/>
      <c r="BD308" s="944"/>
      <c r="BE308" s="945"/>
      <c r="BF308" s="943" t="s">
        <v>119</v>
      </c>
      <c r="BG308" s="944"/>
      <c r="BH308" s="944"/>
      <c r="BI308" s="944"/>
      <c r="BJ308" s="944"/>
      <c r="BK308" s="944"/>
      <c r="BL308" s="944"/>
      <c r="BM308" s="944"/>
      <c r="BN308" s="944"/>
      <c r="BO308" s="944"/>
      <c r="BP308" s="944"/>
      <c r="BQ308" s="944"/>
      <c r="BR308" s="944"/>
      <c r="BS308" s="945"/>
      <c r="BT308" s="943" t="s">
        <v>120</v>
      </c>
      <c r="BU308" s="944"/>
      <c r="BV308" s="944"/>
      <c r="BW308" s="944"/>
      <c r="BX308" s="944"/>
      <c r="BY308" s="944"/>
      <c r="BZ308" s="944"/>
      <c r="CA308" s="944"/>
      <c r="CB308" s="944"/>
      <c r="CC308" s="944"/>
      <c r="CD308" s="944"/>
      <c r="CE308" s="944"/>
      <c r="CF308" s="944"/>
      <c r="CG308" s="945"/>
      <c r="CH308" s="943" t="s">
        <v>121</v>
      </c>
      <c r="CI308" s="944"/>
      <c r="CJ308" s="944"/>
      <c r="CK308" s="944"/>
      <c r="CL308" s="944"/>
      <c r="CM308" s="944"/>
      <c r="CN308" s="944"/>
      <c r="CO308" s="944"/>
      <c r="CP308" s="944"/>
      <c r="CQ308" s="944"/>
      <c r="CR308" s="944"/>
      <c r="CS308" s="944"/>
      <c r="CT308" s="944"/>
      <c r="CU308" s="945"/>
    </row>
    <row r="309" spans="16:99" x14ac:dyDescent="0.25">
      <c r="P309" s="567">
        <v>9</v>
      </c>
      <c r="Q309" s="567">
        <f>SUM(R310:AC345)</f>
        <v>0</v>
      </c>
      <c r="R309" s="3">
        <v>12</v>
      </c>
      <c r="S309" s="3">
        <v>11</v>
      </c>
      <c r="T309" s="3">
        <v>10</v>
      </c>
      <c r="U309" s="3">
        <v>9</v>
      </c>
      <c r="V309" s="3">
        <v>8</v>
      </c>
      <c r="W309" s="3">
        <v>7</v>
      </c>
      <c r="X309" s="3">
        <v>6</v>
      </c>
      <c r="Y309" s="3">
        <v>5</v>
      </c>
      <c r="Z309" s="3">
        <v>4</v>
      </c>
      <c r="AA309" s="3">
        <v>3</v>
      </c>
      <c r="AB309" s="3">
        <v>2</v>
      </c>
      <c r="AC309" s="519">
        <v>1</v>
      </c>
      <c r="AD309" s="567">
        <v>9</v>
      </c>
      <c r="AE309" s="567">
        <f>SUM(AF310:AQ345)</f>
        <v>0</v>
      </c>
      <c r="AF309" s="3">
        <v>12</v>
      </c>
      <c r="AG309" s="3">
        <v>11</v>
      </c>
      <c r="AH309" s="3">
        <v>10</v>
      </c>
      <c r="AI309" s="3">
        <v>9</v>
      </c>
      <c r="AJ309" s="3">
        <v>8</v>
      </c>
      <c r="AK309" s="3">
        <v>7</v>
      </c>
      <c r="AL309" s="3">
        <v>6</v>
      </c>
      <c r="AM309" s="3">
        <v>5</v>
      </c>
      <c r="AN309" s="3">
        <v>4</v>
      </c>
      <c r="AO309" s="3">
        <v>3</v>
      </c>
      <c r="AP309" s="3">
        <v>2</v>
      </c>
      <c r="AQ309" s="519">
        <v>1</v>
      </c>
      <c r="AR309" s="567">
        <v>9</v>
      </c>
      <c r="AS309" s="567">
        <f>SUM(AT310:BE345)</f>
        <v>0</v>
      </c>
      <c r="AT309" s="3">
        <v>12</v>
      </c>
      <c r="AU309" s="3">
        <v>11</v>
      </c>
      <c r="AV309" s="3">
        <v>10</v>
      </c>
      <c r="AW309" s="3">
        <v>9</v>
      </c>
      <c r="AX309" s="3">
        <v>8</v>
      </c>
      <c r="AY309" s="3">
        <v>7</v>
      </c>
      <c r="AZ309" s="3">
        <v>6</v>
      </c>
      <c r="BA309" s="3">
        <v>5</v>
      </c>
      <c r="BB309" s="3">
        <v>4</v>
      </c>
      <c r="BC309" s="3">
        <v>3</v>
      </c>
      <c r="BD309" s="3">
        <v>2</v>
      </c>
      <c r="BE309" s="519">
        <v>1</v>
      </c>
      <c r="BF309" s="567">
        <v>9</v>
      </c>
      <c r="BG309" s="567">
        <f>SUM(BH310:BS345)</f>
        <v>0</v>
      </c>
      <c r="BH309" s="3">
        <v>12</v>
      </c>
      <c r="BI309" s="3">
        <v>11</v>
      </c>
      <c r="BJ309" s="3">
        <v>10</v>
      </c>
      <c r="BK309" s="3">
        <v>9</v>
      </c>
      <c r="BL309" s="3">
        <v>8</v>
      </c>
      <c r="BM309" s="3">
        <v>7</v>
      </c>
      <c r="BN309" s="3">
        <v>6</v>
      </c>
      <c r="BO309" s="3">
        <v>5</v>
      </c>
      <c r="BP309" s="3">
        <v>4</v>
      </c>
      <c r="BQ309" s="3">
        <v>3</v>
      </c>
      <c r="BR309" s="3">
        <v>2</v>
      </c>
      <c r="BS309" s="519">
        <v>1</v>
      </c>
      <c r="BT309" s="567">
        <v>9</v>
      </c>
      <c r="BU309" s="567">
        <f>SUM(BV310:CG345)</f>
        <v>0</v>
      </c>
      <c r="BV309" s="3">
        <v>12</v>
      </c>
      <c r="BW309" s="3">
        <v>11</v>
      </c>
      <c r="BX309" s="3">
        <v>10</v>
      </c>
      <c r="BY309" s="3">
        <v>9</v>
      </c>
      <c r="BZ309" s="3">
        <v>8</v>
      </c>
      <c r="CA309" s="3">
        <v>7</v>
      </c>
      <c r="CB309" s="3">
        <v>6</v>
      </c>
      <c r="CC309" s="3">
        <v>5</v>
      </c>
      <c r="CD309" s="3">
        <v>4</v>
      </c>
      <c r="CE309" s="3">
        <v>3</v>
      </c>
      <c r="CF309" s="3">
        <v>2</v>
      </c>
      <c r="CG309" s="519">
        <v>1</v>
      </c>
      <c r="CH309" s="567">
        <v>9</v>
      </c>
      <c r="CI309" s="567">
        <f>SUM(CJ310:CU345)</f>
        <v>0</v>
      </c>
      <c r="CJ309" s="3">
        <v>12</v>
      </c>
      <c r="CK309" s="3">
        <v>11</v>
      </c>
      <c r="CL309" s="3">
        <v>10</v>
      </c>
      <c r="CM309" s="3">
        <v>9</v>
      </c>
      <c r="CN309" s="3">
        <v>8</v>
      </c>
      <c r="CO309" s="3">
        <v>7</v>
      </c>
      <c r="CP309" s="3">
        <v>6</v>
      </c>
      <c r="CQ309" s="3">
        <v>5</v>
      </c>
      <c r="CR309" s="3">
        <v>4</v>
      </c>
      <c r="CS309" s="3">
        <v>3</v>
      </c>
      <c r="CT309" s="3">
        <v>2</v>
      </c>
      <c r="CU309" s="519">
        <v>1</v>
      </c>
    </row>
    <row r="310" spans="16:99" x14ac:dyDescent="0.25">
      <c r="P310" s="940" t="s">
        <v>39</v>
      </c>
      <c r="Q310" s="13" t="s">
        <v>61</v>
      </c>
      <c r="R310" s="518" t="str">
        <f>IF(AND(_A1="A-350",'2025'!$L$4="CA",'2025'!$L$2=R309),'2025DATA'!$C$3,"")</f>
        <v/>
      </c>
      <c r="S310" s="518" t="str">
        <f>IF(AND(_A1="A-350",'2025'!$L$4="CA",'2025'!$L$2=S309),'2025DATA'!$D$3,"")</f>
        <v/>
      </c>
      <c r="T310" s="518" t="str">
        <f>IF(AND(_A1="A-350",'2025'!$L$4="CA",'2025'!$L$2=T309),'2025DATA'!$E$3,"")</f>
        <v/>
      </c>
      <c r="U310" s="518" t="str">
        <f>IF(AND(_A1="A-350",'2025'!$L$4="CA",'2025'!$L$2=U309),'2025DATA'!$F$3,"")</f>
        <v/>
      </c>
      <c r="V310" s="518" t="str">
        <f>IF(AND(_A1="A-350",'2025'!$L$4="CA",'2025'!$L$2=V309),'2025DATA'!$G$3,"")</f>
        <v/>
      </c>
      <c r="W310" s="518" t="str">
        <f>IF(AND(_A1="A-350",'2025'!$L$4="CA",'2025'!$L$2=W309),'2025DATA'!$H$3,"")</f>
        <v/>
      </c>
      <c r="X310" s="518" t="str">
        <f>IF(AND(_A1="A-350",'2025'!$L$4="CA",'2025'!$L$2=X309),'2025DATA'!$I$3,"")</f>
        <v/>
      </c>
      <c r="Y310" s="518" t="str">
        <f>IF(AND(_A1="A-350",'2025'!$L$4="CA",'2025'!$L$2=Y309),'2025DATA'!$J$3,"")</f>
        <v/>
      </c>
      <c r="Z310" s="518" t="str">
        <f>IF(AND(_A1="A-350",'2025'!$L$4="CA",'2025'!$L$2=Z309),'2025DATA'!$K$3,"")</f>
        <v/>
      </c>
      <c r="AA310" s="518" t="str">
        <f>IF(AND(_A1="A-350",'2025'!$L$4="CA",'2025'!$L$2=AA309),'2025DATA'!$L$3,"")</f>
        <v/>
      </c>
      <c r="AB310" s="518" t="str">
        <f>IF(AND(_A1="A-350",'2025'!$L$4="CA",'2025'!$L$2=AB309),'2025DATA'!$M$3,"")</f>
        <v/>
      </c>
      <c r="AC310" s="520" t="str">
        <f>IF(AND(_A1="A-350",'2025'!$L$4="CA",'2025'!$L$2=AC309),'2025DATA'!$N$3,"")</f>
        <v/>
      </c>
      <c r="AD310" s="940" t="s">
        <v>39</v>
      </c>
      <c r="AE310" s="13" t="s">
        <v>61</v>
      </c>
      <c r="AF310" s="518" t="str">
        <f>IF(AND(_A2="A-350",'2025'!$L$4="CA",'2025'!$L$2=AF309),'2025DATA'!$C$3,"")</f>
        <v/>
      </c>
      <c r="AG310" s="518" t="str">
        <f>IF(AND(_A2="A-350",'2025'!$L$4="CA",'2025'!$L$2=AG309),'2025DATA'!$D$3,"")</f>
        <v/>
      </c>
      <c r="AH310" s="518" t="str">
        <f>IF(AND(_A2="A-350",'2025'!$L$4="CA",'2025'!$L$2=AH309),'2025DATA'!$E$3,"")</f>
        <v/>
      </c>
      <c r="AI310" s="518" t="str">
        <f>IF(AND(_A2="A-350",'2025'!$L$4="CA",'2025'!$L$2=AI309),'2025DATA'!$F$3,"")</f>
        <v/>
      </c>
      <c r="AJ310" s="518" t="str">
        <f>IF(AND(_A2="A-350",'2025'!$L$4="CA",'2025'!$L$2=AJ309),'2025DATA'!$G$3,"")</f>
        <v/>
      </c>
      <c r="AK310" s="518" t="str">
        <f>IF(AND(_A2="A-350",'2025'!$L$4="CA",'2025'!$L$2=AK309),'2025DATA'!$H$3,"")</f>
        <v/>
      </c>
      <c r="AL310" s="518" t="str">
        <f>IF(AND(_A2="A-350",'2025'!$L$4="CA",'2025'!$L$2=AL309),'2025DATA'!$I$3,"")</f>
        <v/>
      </c>
      <c r="AM310" s="518" t="str">
        <f>IF(AND(_A2="A-350",'2025'!$L$4="CA",'2025'!$L$2=AM309),'2025DATA'!$J$3,"")</f>
        <v/>
      </c>
      <c r="AN310" s="518" t="str">
        <f>IF(AND(_A2="A-350",'2025'!$L$4="CA",'2025'!$L$2=AN309),'2025DATA'!$K$3,"")</f>
        <v/>
      </c>
      <c r="AO310" s="518" t="str">
        <f>IF(AND(_A2="A-350",'2025'!$L$4="CA",'2025'!$L$2=AO309),'2025DATA'!$L$3,"")</f>
        <v/>
      </c>
      <c r="AP310" s="518" t="str">
        <f>IF(AND(_A2="A-350",'2025'!$L$4="CA",'2025'!$L$2=AP309),'2025DATA'!$M$3,"")</f>
        <v/>
      </c>
      <c r="AQ310" s="520" t="str">
        <f>IF(AND(_A2="A-350",'2025'!$L$4="CA",'2025'!$L$2=AQ309),'2025DATA'!$N$3,"")</f>
        <v/>
      </c>
      <c r="AR310" s="940" t="s">
        <v>39</v>
      </c>
      <c r="AS310" s="13" t="s">
        <v>61</v>
      </c>
      <c r="AT310" s="518" t="str">
        <f>IF(AND(_A3="A-350",'2025'!$L$4="CA",'2025'!$L$2=AT309),'2025DATA'!$C$3,"")</f>
        <v/>
      </c>
      <c r="AU310" s="518" t="str">
        <f>IF(AND(_A3="A-350",'2025'!$L$4="CA",'2025'!$L$2=AU309),'2025DATA'!$D$3,"")</f>
        <v/>
      </c>
      <c r="AV310" s="518" t="str">
        <f>IF(AND(_A3="A-350",'2025'!$L$4="CA",'2025'!$L$2=AV309),'2025DATA'!$E$3,"")</f>
        <v/>
      </c>
      <c r="AW310" s="518" t="str">
        <f>IF(AND(_A3="A-350",'2025'!$L$4="CA",'2025'!$L$2=AW309),'2025DATA'!$F$3,"")</f>
        <v/>
      </c>
      <c r="AX310" s="518" t="str">
        <f>IF(AND(_A3="A-350",'2025'!$L$4="CA",'2025'!$L$2=AX309),'2025DATA'!$G$3,"")</f>
        <v/>
      </c>
      <c r="AY310" s="518" t="str">
        <f>IF(AND(_A3="A-350",'2025'!$L$4="CA",'2025'!$L$2=AY309),'2025DATA'!$H$3,"")</f>
        <v/>
      </c>
      <c r="AZ310" s="518" t="str">
        <f>IF(AND(_A3="A-350",'2025'!$L$4="CA",'2025'!$L$2=AZ309),'2025DATA'!$I$3,"")</f>
        <v/>
      </c>
      <c r="BA310" s="518" t="str">
        <f>IF(AND(_A3="A-350",'2025'!$L$4="CA",'2025'!$L$2=BA309),'2025DATA'!$J$3,"")</f>
        <v/>
      </c>
      <c r="BB310" s="518" t="str">
        <f>IF(AND(_A3="A-350",'2025'!$L$4="CA",'2025'!$L$2=BB309),'2025DATA'!$K$3,"")</f>
        <v/>
      </c>
      <c r="BC310" s="518" t="str">
        <f>IF(AND(_A3="A-350",'2025'!$L$4="CA",'2025'!$L$2=BC309),'2025DATA'!$L$3,"")</f>
        <v/>
      </c>
      <c r="BD310" s="518" t="str">
        <f>IF(AND(_A3="A-350",'2025'!$L$4="CA",'2025'!$L$2=BD309),'2025DATA'!$M$3,"")</f>
        <v/>
      </c>
      <c r="BE310" s="520" t="str">
        <f>IF(AND(_A3="A-350",'2025'!$L$4="CA",'2025'!$L$2=BE309),'2025DATA'!$N$3,"")</f>
        <v/>
      </c>
      <c r="BF310" s="940" t="s">
        <v>39</v>
      </c>
      <c r="BG310" s="13" t="s">
        <v>61</v>
      </c>
      <c r="BH310" s="518" t="str">
        <f>IF(AND(_A4="A-350",'2025'!$L$4="CA",'2025'!$L$2=BH309),'2025DATA'!$C$3,"")</f>
        <v/>
      </c>
      <c r="BI310" s="518" t="str">
        <f>IF(AND(_A4="A-350",'2025'!$L$4="CA",'2025'!$L$2=BI309),'2025DATA'!$D$3,"")</f>
        <v/>
      </c>
      <c r="BJ310" s="518" t="str">
        <f>IF(AND(_A4="A-350",'2025'!$L$4="CA",'2025'!$L$2=BJ309),'2025DATA'!$E$3,"")</f>
        <v/>
      </c>
      <c r="BK310" s="518" t="str">
        <f>IF(AND(_A4="A-350",'2025'!$L$4="CA",'2025'!$L$2=BK309),'2025DATA'!$F$3,"")</f>
        <v/>
      </c>
      <c r="BL310" s="518" t="str">
        <f>IF(AND(_A4="A-350",'2025'!$L$4="CA",'2025'!$L$2=BL309),'2025DATA'!$G$3,"")</f>
        <v/>
      </c>
      <c r="BM310" s="518" t="str">
        <f>IF(AND(_A4="A-350",'2025'!$L$4="CA",'2025'!$L$2=BM309),'2025DATA'!$H$3,"")</f>
        <v/>
      </c>
      <c r="BN310" s="518" t="str">
        <f>IF(AND(_A4="A-350",'2025'!$L$4="CA",'2025'!$L$2=BN309),'2025DATA'!$I$3,"")</f>
        <v/>
      </c>
      <c r="BO310" s="518" t="str">
        <f>IF(AND(_A4="A-350",'2025'!$L$4="CA",'2025'!$L$2=BO309),'2025DATA'!$J$3,"")</f>
        <v/>
      </c>
      <c r="BP310" s="518" t="str">
        <f>IF(AND(_A4="A-350",'2025'!$L$4="CA",'2025'!$L$2=BP309),'2025DATA'!$K$3,"")</f>
        <v/>
      </c>
      <c r="BQ310" s="518" t="str">
        <f>IF(AND(_A4="A-350",'2025'!$L$4="CA",'2025'!$L$2=BQ309),'2025DATA'!$L$3,"")</f>
        <v/>
      </c>
      <c r="BR310" s="518" t="str">
        <f>IF(AND(_A4="A-350",'2025'!$L$4="CA",'2025'!$L$2=BR309),'2025DATA'!$M$3,"")</f>
        <v/>
      </c>
      <c r="BS310" s="520" t="str">
        <f>IF(AND(_A4="A-350",'2025'!$L$4="CA",'2025'!$L$2=BS309),'2025DATA'!$N$3,"")</f>
        <v/>
      </c>
      <c r="BT310" s="940" t="s">
        <v>39</v>
      </c>
      <c r="BU310" s="13" t="s">
        <v>61</v>
      </c>
      <c r="BV310" s="518" t="str">
        <f>IF(AND(_A5="A-350",'2025'!$L$4="CA",'2025'!$L$2=BV309),'2025DATA'!$C$3,"")</f>
        <v/>
      </c>
      <c r="BW310" s="518" t="str">
        <f>IF(AND(_A5="A-350",'2025'!$L$4="CA",'2025'!$L$2=BW309),'2025DATA'!$D$3,"")</f>
        <v/>
      </c>
      <c r="BX310" s="518" t="str">
        <f>IF(AND(_A5="A-350",'2025'!$L$4="CA",'2025'!$L$2=BX309),'2025DATA'!$E$3,"")</f>
        <v/>
      </c>
      <c r="BY310" s="518" t="str">
        <f>IF(AND(_A5="A-350",'2025'!$L$4="CA",'2025'!$L$2=BY309),'2025DATA'!$F$3,"")</f>
        <v/>
      </c>
      <c r="BZ310" s="518" t="str">
        <f>IF(AND(_A5="A-350",'2025'!$L$4="CA",'2025'!$L$2=BZ309),'2025DATA'!$G$3,"")</f>
        <v/>
      </c>
      <c r="CA310" s="518" t="str">
        <f>IF(AND(_A5="A-350",'2025'!$L$4="CA",'2025'!$L$2=CA309),'2025DATA'!$H$3,"")</f>
        <v/>
      </c>
      <c r="CB310" s="518" t="str">
        <f>IF(AND(_A5="A-350",'2025'!$L$4="CA",'2025'!$L$2=CB309),'2025DATA'!$I$3,"")</f>
        <v/>
      </c>
      <c r="CC310" s="518" t="str">
        <f>IF(AND(_A5="A-350",'2025'!$L$4="CA",'2025'!$L$2=CC309),'2025DATA'!$J$3,"")</f>
        <v/>
      </c>
      <c r="CD310" s="518" t="str">
        <f>IF(AND(_A5="A-350",'2025'!$L$4="CA",'2025'!$L$2=CD309),'2025DATA'!$K$3,"")</f>
        <v/>
      </c>
      <c r="CE310" s="518" t="str">
        <f>IF(AND(_A5="A-350",'2025'!$L$4="CA",'2025'!$L$2=CE309),'2025DATA'!$L$3,"")</f>
        <v/>
      </c>
      <c r="CF310" s="518" t="str">
        <f>IF(AND(_A5="A-350",'2025'!$L$4="CA",'2025'!$L$2=CF309),'2025DATA'!$M$3,"")</f>
        <v/>
      </c>
      <c r="CG310" s="520" t="str">
        <f>IF(AND(_A5="A-350",'2025'!$L$4="CA",'2025'!$L$2=CG309),'2025DATA'!$N$3,"")</f>
        <v/>
      </c>
      <c r="CH310" s="940" t="s">
        <v>39</v>
      </c>
      <c r="CI310" s="13" t="s">
        <v>61</v>
      </c>
      <c r="CJ310" s="518" t="str">
        <f>IF(AND(_A6="A-350",'2025'!$L$4="CA",'2025'!$L$2=CJ309),'2025DATA'!$C$3,"")</f>
        <v/>
      </c>
      <c r="CK310" s="518" t="str">
        <f>IF(AND(_A6="A-350",'2025'!$L$4="CA",'2025'!$L$2=CK309),'2025DATA'!$D$3,"")</f>
        <v/>
      </c>
      <c r="CL310" s="518" t="str">
        <f>IF(AND(_A6="A-350",'2025'!$L$4="CA",'2025'!$L$2=CL309),'2025DATA'!$E$3,"")</f>
        <v/>
      </c>
      <c r="CM310" s="518" t="str">
        <f>IF(AND(_A6="A-350",'2025'!$L$4="CA",'2025'!$L$2=CM309),'2025DATA'!$F$3,"")</f>
        <v/>
      </c>
      <c r="CN310" s="518" t="str">
        <f>IF(AND(_A6="A-350",'2025'!$L$4="CA",'2025'!$L$2=CN309),'2025DATA'!$G$3,"")</f>
        <v/>
      </c>
      <c r="CO310" s="518" t="str">
        <f>IF(AND(_A6="A-350",'2025'!$L$4="CA",'2025'!$L$2=CO309),'2025DATA'!$H$3,"")</f>
        <v/>
      </c>
      <c r="CP310" s="518" t="str">
        <f>IF(AND(_A6="A-350",'2025'!$L$4="CA",'2025'!$L$2=CP309),'2025DATA'!$I$3,"")</f>
        <v/>
      </c>
      <c r="CQ310" s="518" t="str">
        <f>IF(AND(_A6="A-350",'2025'!$L$4="CA",'2025'!$L$2=CQ309),'2025DATA'!$J$3,"")</f>
        <v/>
      </c>
      <c r="CR310" s="518" t="str">
        <f>IF(AND(_A6="A-350",'2025'!$L$4="CA",'2025'!$L$2=CR309),'2025DATA'!$K$3,"")</f>
        <v/>
      </c>
      <c r="CS310" s="518" t="str">
        <f>IF(AND(_A6="A-350",'2025'!$L$4="CA",'2025'!$L$2=CS309),'2025DATA'!$L$3,"")</f>
        <v/>
      </c>
      <c r="CT310" s="518" t="str">
        <f>IF(AND(_A6="A-350",'2025'!$L$4="CA",'2025'!$L$2=CT309),'2025DATA'!$M$3,"")</f>
        <v/>
      </c>
      <c r="CU310" s="520" t="str">
        <f>IF(AND(_A6="A-350",'2025'!$L$4="CA",'2025'!$L$2=CU309),'2025DATA'!$N$3,"")</f>
        <v/>
      </c>
    </row>
    <row r="311" spans="16:99" x14ac:dyDescent="0.25">
      <c r="P311" s="940"/>
      <c r="Q311" s="13" t="s">
        <v>62</v>
      </c>
      <c r="R311" s="518" t="str">
        <f>IF(AND(_A1="A-350",'2025'!$L$4="FO",'2025'!$L$2=R309),'2025DATA'!$C$4,"")</f>
        <v/>
      </c>
      <c r="S311" s="518" t="str">
        <f>IF(AND(_A1="A-350",'2025'!$L$4="FO",'2025'!$L$2=S309),'2025DATA'!$D$4,"")</f>
        <v/>
      </c>
      <c r="T311" s="518" t="str">
        <f>IF(AND(_A1="A-350",'2025'!$L$4="FO",'2025'!$L$2=T309),'2025DATA'!$E$4,"")</f>
        <v/>
      </c>
      <c r="U311" s="518" t="str">
        <f>IF(AND(_A1="A-350",'2025'!$L$4="FO",'2025'!$L$2=U309),'2025DATA'!$F$4,"")</f>
        <v/>
      </c>
      <c r="V311" s="518" t="str">
        <f>IF(AND(_A1="A-350",'2025'!$L$4="FO",'2025'!$L$2=V309),'2025DATA'!$G$4,"")</f>
        <v/>
      </c>
      <c r="W311" s="518" t="str">
        <f>IF(AND(_A1="A-350",'2025'!$L$4="FO",'2025'!$L$2=W309),'2025DATA'!$H$4,"")</f>
        <v/>
      </c>
      <c r="X311" s="518" t="str">
        <f>IF(AND(_A1="A-350",'2025'!$L$4="FO",'2025'!$L$2=X309),'2025DATA'!$I$4,"")</f>
        <v/>
      </c>
      <c r="Y311" s="518" t="str">
        <f>IF(AND(_A1="A-350",'2025'!$L$4="FO",'2025'!$L$2=Y309),'2025DATA'!$J$4,"")</f>
        <v/>
      </c>
      <c r="Z311" s="518" t="str">
        <f>IF(AND(_A1="A-350",'2025'!$L$4="FO",'2025'!$L$2=Z309),'2025DATA'!$K$4,"")</f>
        <v/>
      </c>
      <c r="AA311" s="518" t="str">
        <f>IF(AND(_A1="A-350",'2025'!$L$4="FO",'2025'!$L$2=AA309),'2025DATA'!$L$4,"")</f>
        <v/>
      </c>
      <c r="AB311" s="518" t="str">
        <f>IF(AND(_A1="A-350",'2025'!$L$4="FO",'2025'!$L$2=AB309),'2025DATA'!$M$4,"")</f>
        <v/>
      </c>
      <c r="AC311" s="520" t="str">
        <f>IF(AND(_A1="A-350",'2025'!$L$4="FO",'2025'!$L$2=AC309),'2025DATA'!$N$4,"")</f>
        <v/>
      </c>
      <c r="AD311" s="940"/>
      <c r="AE311" s="13" t="s">
        <v>62</v>
      </c>
      <c r="AF311" s="518" t="str">
        <f>IF(AND(_A2="A-350",'2025'!$L$4="FO",'2025'!$L$2=AF309),'2025DATA'!$C$4,"")</f>
        <v/>
      </c>
      <c r="AG311" s="518" t="str">
        <f>IF(AND(_A2="A-350",'2025'!$L$4="FO",'2025'!$L$2=AG309),'2025DATA'!$D$4,"")</f>
        <v/>
      </c>
      <c r="AH311" s="518" t="str">
        <f>IF(AND(_A2="A-350",'2025'!$L$4="FO",'2025'!$L$2=AH309),'2025DATA'!$E$4,"")</f>
        <v/>
      </c>
      <c r="AI311" s="518" t="str">
        <f>IF(AND(_A2="A-350",'2025'!$L$4="FO",'2025'!$L$2=AI309),'2025DATA'!$F$4,"")</f>
        <v/>
      </c>
      <c r="AJ311" s="518" t="str">
        <f>IF(AND(_A2="A-350",'2025'!$L$4="FO",'2025'!$L$2=AJ309),'2025DATA'!$G$4,"")</f>
        <v/>
      </c>
      <c r="AK311" s="518" t="str">
        <f>IF(AND(_A2="A-350",'2025'!$L$4="FO",'2025'!$L$2=AK309),'2025DATA'!$H$4,"")</f>
        <v/>
      </c>
      <c r="AL311" s="518" t="str">
        <f>IF(AND(_A2="A-350",'2025'!$L$4="FO",'2025'!$L$2=AL309),'2025DATA'!$I$4,"")</f>
        <v/>
      </c>
      <c r="AM311" s="518" t="str">
        <f>IF(AND(_A2="A-350",'2025'!$L$4="FO",'2025'!$L$2=AM309),'2025DATA'!$J$4,"")</f>
        <v/>
      </c>
      <c r="AN311" s="518" t="str">
        <f>IF(AND(_A2="A-350",'2025'!$L$4="FO",'2025'!$L$2=AN309),'2025DATA'!$K$4,"")</f>
        <v/>
      </c>
      <c r="AO311" s="518" t="str">
        <f>IF(AND(_A2="A-350",'2025'!$L$4="FO",'2025'!$L$2=AO309),'2025DATA'!$L$4,"")</f>
        <v/>
      </c>
      <c r="AP311" s="518" t="str">
        <f>IF(AND(_A2="A-350",'2025'!$L$4="FO",'2025'!$L$2=AP309),'2025DATA'!$M$4,"")</f>
        <v/>
      </c>
      <c r="AQ311" s="520" t="str">
        <f>IF(AND(_A2="A-350",'2025'!$L$4="FO",'2025'!$L$2=AQ309),'2025DATA'!$N$4,"")</f>
        <v/>
      </c>
      <c r="AR311" s="940"/>
      <c r="AS311" s="13" t="s">
        <v>62</v>
      </c>
      <c r="AT311" s="518" t="str">
        <f>IF(AND(_A3="A-350",'2025'!$L$4="FO",'2025'!$L$2=AT309),'2025DATA'!$C$4,"")</f>
        <v/>
      </c>
      <c r="AU311" s="518" t="str">
        <f>IF(AND(_A3="A-350",'2025'!$L$4="FO",'2025'!$L$2=AU309),'2025DATA'!$D$4,"")</f>
        <v/>
      </c>
      <c r="AV311" s="518" t="str">
        <f>IF(AND(_A3="A-350",'2025'!$L$4="FO",'2025'!$L$2=AV309),'2025DATA'!$E$4,"")</f>
        <v/>
      </c>
      <c r="AW311" s="518" t="str">
        <f>IF(AND(_A3="A-350",'2025'!$L$4="FO",'2025'!$L$2=AW309),'2025DATA'!$F$4,"")</f>
        <v/>
      </c>
      <c r="AX311" s="518" t="str">
        <f>IF(AND(_A3="A-350",'2025'!$L$4="FO",'2025'!$L$2=AX309),'2025DATA'!$G$4,"")</f>
        <v/>
      </c>
      <c r="AY311" s="518" t="str">
        <f>IF(AND(_A3="A-350",'2025'!$L$4="FO",'2025'!$L$2=AY309),'2025DATA'!$H$4,"")</f>
        <v/>
      </c>
      <c r="AZ311" s="518" t="str">
        <f>IF(AND(_A3="A-350",'2025'!$L$4="FO",'2025'!$L$2=AZ309),'2025DATA'!$I$4,"")</f>
        <v/>
      </c>
      <c r="BA311" s="518" t="str">
        <f>IF(AND(_A3="A-350",'2025'!$L$4="FO",'2025'!$L$2=BA309),'2025DATA'!$J$4,"")</f>
        <v/>
      </c>
      <c r="BB311" s="518" t="str">
        <f>IF(AND(_A3="A-350",'2025'!$L$4="FO",'2025'!$L$2=BB309),'2025DATA'!$K$4,"")</f>
        <v/>
      </c>
      <c r="BC311" s="518" t="str">
        <f>IF(AND(_A3="A-350",'2025'!$L$4="FO",'2025'!$L$2=BC309),'2025DATA'!$L$4,"")</f>
        <v/>
      </c>
      <c r="BD311" s="518" t="str">
        <f>IF(AND(_A3="A-350",'2025'!$L$4="FO",'2025'!$L$2=BD309),'2025DATA'!$M$4,"")</f>
        <v/>
      </c>
      <c r="BE311" s="520" t="str">
        <f>IF(AND(_A3="A-350",'2025'!$L$4="FO",'2025'!$L$2=BE309),'2025DATA'!$N$4,"")</f>
        <v/>
      </c>
      <c r="BF311" s="940"/>
      <c r="BG311" s="13" t="s">
        <v>62</v>
      </c>
      <c r="BH311" s="518" t="str">
        <f>IF(AND(_A4="A-350",'2025'!$L$4="FO",'2025'!$L$2=BH309),'2025DATA'!$C$4,"")</f>
        <v/>
      </c>
      <c r="BI311" s="518" t="str">
        <f>IF(AND(_A4="A-350",'2025'!$L$4="FO",'2025'!$L$2=BI309),'2025DATA'!$D$4,"")</f>
        <v/>
      </c>
      <c r="BJ311" s="518" t="str">
        <f>IF(AND(_A4="A-350",'2025'!$L$4="FO",'2025'!$L$2=BJ309),'2025DATA'!$E$4,"")</f>
        <v/>
      </c>
      <c r="BK311" s="518" t="str">
        <f>IF(AND(_A4="A-350",'2025'!$L$4="FO",'2025'!$L$2=BK309),'2025DATA'!$F$4,"")</f>
        <v/>
      </c>
      <c r="BL311" s="518" t="str">
        <f>IF(AND(_A4="A-350",'2025'!$L$4="FO",'2025'!$L$2=BL309),'2025DATA'!$G$4,"")</f>
        <v/>
      </c>
      <c r="BM311" s="518" t="str">
        <f>IF(AND(_A4="A-350",'2025'!$L$4="FO",'2025'!$L$2=BM309),'2025DATA'!$H$4,"")</f>
        <v/>
      </c>
      <c r="BN311" s="518" t="str">
        <f>IF(AND(_A4="A-350",'2025'!$L$4="FO",'2025'!$L$2=BN309),'2025DATA'!$I$4,"")</f>
        <v/>
      </c>
      <c r="BO311" s="518" t="str">
        <f>IF(AND(_A4="A-350",'2025'!$L$4="FO",'2025'!$L$2=BO309),'2025DATA'!$J$4,"")</f>
        <v/>
      </c>
      <c r="BP311" s="518" t="str">
        <f>IF(AND(_A4="A-350",'2025'!$L$4="FO",'2025'!$L$2=BP309),'2025DATA'!$K$4,"")</f>
        <v/>
      </c>
      <c r="BQ311" s="518" t="str">
        <f>IF(AND(_A4="A-350",'2025'!$L$4="FO",'2025'!$L$2=BQ309),'2025DATA'!$L$4,"")</f>
        <v/>
      </c>
      <c r="BR311" s="518" t="str">
        <f>IF(AND(_A4="A-350",'2025'!$L$4="FO",'2025'!$L$2=BR309),'2025DATA'!$M$4,"")</f>
        <v/>
      </c>
      <c r="BS311" s="520" t="str">
        <f>IF(AND(_A4="A-350",'2025'!$L$4="FO",'2025'!$L$2=BS309),'2025DATA'!$N$4,"")</f>
        <v/>
      </c>
      <c r="BT311" s="940"/>
      <c r="BU311" s="13" t="s">
        <v>62</v>
      </c>
      <c r="BV311" s="518" t="str">
        <f>IF(AND(_A5="A-350",'2025'!$L$4="FO",'2025'!$L$2=BV309),'2025DATA'!$C$4,"")</f>
        <v/>
      </c>
      <c r="BW311" s="518" t="str">
        <f>IF(AND(_A5="A-350",'2025'!$L$4="FO",'2025'!$L$2=BW309),'2025DATA'!$D$4,"")</f>
        <v/>
      </c>
      <c r="BX311" s="518" t="str">
        <f>IF(AND(_A5="A-350",'2025'!$L$4="FO",'2025'!$L$2=BX309),'2025DATA'!$E$4,"")</f>
        <v/>
      </c>
      <c r="BY311" s="518" t="str">
        <f>IF(AND(_A5="A-350",'2025'!$L$4="FO",'2025'!$L$2=BY309),'2025DATA'!$F$4,"")</f>
        <v/>
      </c>
      <c r="BZ311" s="518" t="str">
        <f>IF(AND(_A5="A-350",'2025'!$L$4="FO",'2025'!$L$2=BZ309),'2025DATA'!$G$4,"")</f>
        <v/>
      </c>
      <c r="CA311" s="518" t="str">
        <f>IF(AND(_A5="A-350",'2025'!$L$4="FO",'2025'!$L$2=CA309),'2025DATA'!$H$4,"")</f>
        <v/>
      </c>
      <c r="CB311" s="518" t="str">
        <f>IF(AND(_A5="A-350",'2025'!$L$4="FO",'2025'!$L$2=CB309),'2025DATA'!$I$4,"")</f>
        <v/>
      </c>
      <c r="CC311" s="518" t="str">
        <f>IF(AND(_A5="A-350",'2025'!$L$4="FO",'2025'!$L$2=CC309),'2025DATA'!$J$4,"")</f>
        <v/>
      </c>
      <c r="CD311" s="518" t="str">
        <f>IF(AND(_A5="A-350",'2025'!$L$4="FO",'2025'!$L$2=CD309),'2025DATA'!$K$4,"")</f>
        <v/>
      </c>
      <c r="CE311" s="518" t="str">
        <f>IF(AND(_A5="A-350",'2025'!$L$4="FO",'2025'!$L$2=CE309),'2025DATA'!$L$4,"")</f>
        <v/>
      </c>
      <c r="CF311" s="518" t="str">
        <f>IF(AND(_A5="A-350",'2025'!$L$4="FO",'2025'!$L$2=CF309),'2025DATA'!$M$4,"")</f>
        <v/>
      </c>
      <c r="CG311" s="520" t="str">
        <f>IF(AND(_A5="A-350",'2025'!$L$4="FO",'2025'!$L$2=CG309),'2025DATA'!$N$4,"")</f>
        <v/>
      </c>
      <c r="CH311" s="940"/>
      <c r="CI311" s="13" t="s">
        <v>62</v>
      </c>
      <c r="CJ311" s="518" t="str">
        <f>IF(AND(_A6="A-350",'2025'!$L$4="FO",'2025'!$L$2=CJ309),'2025DATA'!$C$4,"")</f>
        <v/>
      </c>
      <c r="CK311" s="518" t="str">
        <f>IF(AND(_A6="A-350",'2025'!$L$4="FO",'2025'!$L$2=CK309),'2025DATA'!$D$4,"")</f>
        <v/>
      </c>
      <c r="CL311" s="518" t="str">
        <f>IF(AND(_A6="A-350",'2025'!$L$4="FO",'2025'!$L$2=CL309),'2025DATA'!$E$4,"")</f>
        <v/>
      </c>
      <c r="CM311" s="518" t="str">
        <f>IF(AND(_A6="A-350",'2025'!$L$4="FO",'2025'!$L$2=CM309),'2025DATA'!$F$4,"")</f>
        <v/>
      </c>
      <c r="CN311" s="518" t="str">
        <f>IF(AND(_A6="A-350",'2025'!$L$4="FO",'2025'!$L$2=CN309),'2025DATA'!$G$4,"")</f>
        <v/>
      </c>
      <c r="CO311" s="518" t="str">
        <f>IF(AND(_A6="A-350",'2025'!$L$4="FO",'2025'!$L$2=CO309),'2025DATA'!$H$4,"")</f>
        <v/>
      </c>
      <c r="CP311" s="518" t="str">
        <f>IF(AND(_A6="A-350",'2025'!$L$4="FO",'2025'!$L$2=CP309),'2025DATA'!$I$4,"")</f>
        <v/>
      </c>
      <c r="CQ311" s="518" t="str">
        <f>IF(AND(_A6="A-350",'2025'!$L$4="FO",'2025'!$L$2=CQ309),'2025DATA'!$J$4,"")</f>
        <v/>
      </c>
      <c r="CR311" s="518" t="str">
        <f>IF(AND(_A6="A-350",'2025'!$L$4="FO",'2025'!$L$2=CR309),'2025DATA'!$K$4,"")</f>
        <v/>
      </c>
      <c r="CS311" s="518" t="str">
        <f>IF(AND(_A6="A-350",'2025'!$L$4="FO",'2025'!$L$2=CS309),'2025DATA'!$L$4,"")</f>
        <v/>
      </c>
      <c r="CT311" s="518" t="str">
        <f>IF(AND(_A6="A-350",'2025'!$L$4="FO",'2025'!$L$2=CT309),'2025DATA'!$M$4,"")</f>
        <v/>
      </c>
      <c r="CU311" s="520" t="str">
        <f>IF(AND(_A6="A-350",'2025'!$L$4="FO",'2025'!$L$2=CU309),'2025DATA'!$N$4,"")</f>
        <v/>
      </c>
    </row>
    <row r="312" spans="16:99" x14ac:dyDescent="0.25">
      <c r="P312" s="940" t="s">
        <v>65</v>
      </c>
      <c r="Q312" s="13" t="s">
        <v>61</v>
      </c>
      <c r="R312" s="518" t="str">
        <f>IF(AND(_A1="A-330-900",'2025'!$L$4="CA",'2025'!$L$2=R309),'2025DATA'!$C$5,"")</f>
        <v/>
      </c>
      <c r="S312" s="518" t="str">
        <f>IF(AND(_A1="A-330-900",'2025'!$L$4="CA",'2025'!$L$2=S309),'2025DATA'!$D$5,"")</f>
        <v/>
      </c>
      <c r="T312" s="518" t="str">
        <f>IF(AND(_A1="A-330-900",'2025'!$L$4="CA",'2025'!$L$2=T309),'2025DATA'!$E$5,"")</f>
        <v/>
      </c>
      <c r="U312" s="518" t="str">
        <f>IF(AND(_A1="A-330-900",'2025'!$L$4="CA",'2025'!$L$2=U309),'2025DATA'!$F$5,"")</f>
        <v/>
      </c>
      <c r="V312" s="518" t="str">
        <f>IF(AND(_A1="A-330-900",'2025'!$L$4="CA",'2025'!$L$2=V309),'2025DATA'!$G$5,"")</f>
        <v/>
      </c>
      <c r="W312" s="518" t="str">
        <f>IF(AND(_A1="A-330-900",'2025'!$L$4="CA",'2025'!$L$2=W309),'2025DATA'!$H$5,"")</f>
        <v/>
      </c>
      <c r="X312" s="518" t="str">
        <f>IF(AND(_A1="A-330-900",'2025'!$L$4="CA",'2025'!$L$2=X309),'2025DATA'!$I$5,"")</f>
        <v/>
      </c>
      <c r="Y312" s="518" t="str">
        <f>IF(AND(_A1="A-330-900",'2025'!$L$4="CA",'2025'!$L$2=Y309),'2025DATA'!$J$5,"")</f>
        <v/>
      </c>
      <c r="Z312" s="518" t="str">
        <f>IF(AND(_A1="A-330-900",'2025'!$L$4="CA",'2025'!$L$2=Z309),'2025DATA'!$K$5,"")</f>
        <v/>
      </c>
      <c r="AA312" s="518" t="str">
        <f>IF(AND(_A1="A-330-900",'2025'!$L$4="CA",'2025'!$L$2=AA309),'2025DATA'!$L$5,"")</f>
        <v/>
      </c>
      <c r="AB312" s="518" t="str">
        <f>IF(AND(_A1="A-330-900",'2025'!$L$4="CA",'2025'!$L$2=AB309),'2025DATA'!$M$5,"")</f>
        <v/>
      </c>
      <c r="AC312" s="520" t="str">
        <f>IF(AND(_A1="A-330-900",'2025'!$L$4="CA",'2025'!$L$2=AC309),'2025DATA'!$N$5,"")</f>
        <v/>
      </c>
      <c r="AD312" s="940" t="s">
        <v>65</v>
      </c>
      <c r="AE312" s="13" t="s">
        <v>61</v>
      </c>
      <c r="AF312" s="518" t="str">
        <f>IF(AND(_A2="A-330-900",'2025'!$L$4="CA",'2025'!$L$2=AF309),'2025DATA'!$C$5,"")</f>
        <v/>
      </c>
      <c r="AG312" s="518" t="str">
        <f>IF(AND(_A2="A-330-900",'2025'!$L$4="CA",'2025'!$L$2=AG309),'2025DATA'!$D$5,"")</f>
        <v/>
      </c>
      <c r="AH312" s="518" t="str">
        <f>IF(AND(_A2="A-330-900",'2025'!$L$4="CA",'2025'!$L$2=AH309),'2025DATA'!$E$5,"")</f>
        <v/>
      </c>
      <c r="AI312" s="518" t="str">
        <f>IF(AND(_A2="A-330-900",'2025'!$L$4="CA",'2025'!$L$2=AI309),'2025DATA'!$F$5,"")</f>
        <v/>
      </c>
      <c r="AJ312" s="518" t="str">
        <f>IF(AND(_A2="A-330-900",'2025'!$L$4="CA",'2025'!$L$2=AJ309),'2025DATA'!$G$5,"")</f>
        <v/>
      </c>
      <c r="AK312" s="518" t="str">
        <f>IF(AND(_A2="A-330-900",'2025'!$L$4="CA",'2025'!$L$2=AK309),'2025DATA'!$H$5,"")</f>
        <v/>
      </c>
      <c r="AL312" s="518" t="str">
        <f>IF(AND(_A2="A-330-900",'2025'!$L$4="CA",'2025'!$L$2=AL309),'2025DATA'!$I$5,"")</f>
        <v/>
      </c>
      <c r="AM312" s="518" t="str">
        <f>IF(AND(_A2="A-330-900",'2025'!$L$4="CA",'2025'!$L$2=AM309),'2025DATA'!$J$5,"")</f>
        <v/>
      </c>
      <c r="AN312" s="518" t="str">
        <f>IF(AND(_A2="A-330-900",'2025'!$L$4="CA",'2025'!$L$2=AN309),'2025DATA'!$K$5,"")</f>
        <v/>
      </c>
      <c r="AO312" s="518" t="str">
        <f>IF(AND(_A2="A-330-900",'2025'!$L$4="CA",'2025'!$L$2=AO309),'2025DATA'!$L$5,"")</f>
        <v/>
      </c>
      <c r="AP312" s="518" t="str">
        <f>IF(AND(_A2="A-330-900",'2025'!$L$4="CA",'2025'!$L$2=AP309),'2025DATA'!$M$5,"")</f>
        <v/>
      </c>
      <c r="AQ312" s="520" t="str">
        <f>IF(AND(_A2="A-330-900",'2025'!$L$4="CA",'2025'!$L$2=AQ309),'2025DATA'!$N$5,"")</f>
        <v/>
      </c>
      <c r="AR312" s="940" t="s">
        <v>65</v>
      </c>
      <c r="AS312" s="13" t="s">
        <v>61</v>
      </c>
      <c r="AT312" s="518" t="str">
        <f>IF(AND(_A3="A-330-900",'2025'!$L$4="CA",'2025'!$L$2=AT309),'2025DATA'!$C$5,"")</f>
        <v/>
      </c>
      <c r="AU312" s="518" t="str">
        <f>IF(AND(_A3="A-330-900",'2025'!$L$4="CA",'2025'!$L$2=AU309),'2025DATA'!$D$5,"")</f>
        <v/>
      </c>
      <c r="AV312" s="518" t="str">
        <f>IF(AND(_A3="A-330-900",'2025'!$L$4="CA",'2025'!$L$2=AV309),'2025DATA'!$E$5,"")</f>
        <v/>
      </c>
      <c r="AW312" s="518" t="str">
        <f>IF(AND(_A3="A-330-900",'2025'!$L$4="CA",'2025'!$L$2=AW309),'2025DATA'!$F$5,"")</f>
        <v/>
      </c>
      <c r="AX312" s="518" t="str">
        <f>IF(AND(_A3="A-330-900",'2025'!$L$4="CA",'2025'!$L$2=AX309),'2025DATA'!$G$5,"")</f>
        <v/>
      </c>
      <c r="AY312" s="518" t="str">
        <f>IF(AND(_A3="A-330-900",'2025'!$L$4="CA",'2025'!$L$2=AY309),'2025DATA'!$H$5,"")</f>
        <v/>
      </c>
      <c r="AZ312" s="518" t="str">
        <f>IF(AND(_A3="A-330-900",'2025'!$L$4="CA",'2025'!$L$2=AZ309),'2025DATA'!$I$5,"")</f>
        <v/>
      </c>
      <c r="BA312" s="518" t="str">
        <f>IF(AND(_A3="A-330-900",'2025'!$L$4="CA",'2025'!$L$2=BA309),'2025DATA'!$J$5,"")</f>
        <v/>
      </c>
      <c r="BB312" s="518" t="str">
        <f>IF(AND(_A3="A-330-900",'2025'!$L$4="CA",'2025'!$L$2=BB309),'2025DATA'!$K$5,"")</f>
        <v/>
      </c>
      <c r="BC312" s="518" t="str">
        <f>IF(AND(_A3="A-330-900",'2025'!$L$4="CA",'2025'!$L$2=BC309),'2025DATA'!$L$5,"")</f>
        <v/>
      </c>
      <c r="BD312" s="518" t="str">
        <f>IF(AND(_A3="A-330-900",'2025'!$L$4="CA",'2025'!$L$2=BD309),'2025DATA'!$M$5,"")</f>
        <v/>
      </c>
      <c r="BE312" s="520" t="str">
        <f>IF(AND(_A3="A-330-900",'2025'!$L$4="CA",'2025'!$L$2=BE309),'2025DATA'!$N$5,"")</f>
        <v/>
      </c>
      <c r="BF312" s="940" t="s">
        <v>65</v>
      </c>
      <c r="BG312" s="13" t="s">
        <v>61</v>
      </c>
      <c r="BH312" s="518" t="str">
        <f>IF(AND(_A4="A-330-900",'2025'!$L$4="CA",'2025'!$L$2=BH309),'2025DATA'!$C$5,"")</f>
        <v/>
      </c>
      <c r="BI312" s="518" t="str">
        <f>IF(AND(_A4="A-330-900",'2025'!$L$4="CA",'2025'!$L$2=BI309),'2025DATA'!$D$5,"")</f>
        <v/>
      </c>
      <c r="BJ312" s="518" t="str">
        <f>IF(AND(_A4="A-330-900",'2025'!$L$4="CA",'2025'!$L$2=BJ309),'2025DATA'!$E$5,"")</f>
        <v/>
      </c>
      <c r="BK312" s="518" t="str">
        <f>IF(AND(_A4="A-330-900",'2025'!$L$4="CA",'2025'!$L$2=BK309),'2025DATA'!$F$5,"")</f>
        <v/>
      </c>
      <c r="BL312" s="518" t="str">
        <f>IF(AND(_A4="A-330-900",'2025'!$L$4="CA",'2025'!$L$2=BL309),'2025DATA'!$G$5,"")</f>
        <v/>
      </c>
      <c r="BM312" s="518" t="str">
        <f>IF(AND(_A4="A-330-900",'2025'!$L$4="CA",'2025'!$L$2=BM309),'2025DATA'!$H$5,"")</f>
        <v/>
      </c>
      <c r="BN312" s="518" t="str">
        <f>IF(AND(_A4="A-330-900",'2025'!$L$4="CA",'2025'!$L$2=BN309),'2025DATA'!$I$5,"")</f>
        <v/>
      </c>
      <c r="BO312" s="518" t="str">
        <f>IF(AND(_A4="A-330-900",'2025'!$L$4="CA",'2025'!$L$2=BO309),'2025DATA'!$J$5,"")</f>
        <v/>
      </c>
      <c r="BP312" s="518" t="str">
        <f>IF(AND(_A4="A-330-900",'2025'!$L$4="CA",'2025'!$L$2=BP309),'2025DATA'!$K$5,"")</f>
        <v/>
      </c>
      <c r="BQ312" s="518" t="str">
        <f>IF(AND(_A4="A-330-900",'2025'!$L$4="CA",'2025'!$L$2=BQ309),'2025DATA'!$L$5,"")</f>
        <v/>
      </c>
      <c r="BR312" s="518" t="str">
        <f>IF(AND(_A4="A-330-900",'2025'!$L$4="CA",'2025'!$L$2=BR309),'2025DATA'!$M$5,"")</f>
        <v/>
      </c>
      <c r="BS312" s="520" t="str">
        <f>IF(AND(_A4="A-330-900",'2025'!$L$4="CA",'2025'!$L$2=BS309),'2025DATA'!$N$5,"")</f>
        <v/>
      </c>
      <c r="BT312" s="940" t="s">
        <v>65</v>
      </c>
      <c r="BU312" s="13" t="s">
        <v>61</v>
      </c>
      <c r="BV312" s="518" t="str">
        <f>IF(AND(_A5="A-330-900",'2025'!$L$4="CA",'2025'!$L$2=BV309),'2025DATA'!$C$5,"")</f>
        <v/>
      </c>
      <c r="BW312" s="518" t="str">
        <f>IF(AND(_A5="A-330-900",'2025'!$L$4="CA",'2025'!$L$2=BW309),'2025DATA'!$D$5,"")</f>
        <v/>
      </c>
      <c r="BX312" s="518" t="str">
        <f>IF(AND(_A5="A-330-900",'2025'!$L$4="CA",'2025'!$L$2=BX309),'2025DATA'!$E$5,"")</f>
        <v/>
      </c>
      <c r="BY312" s="518" t="str">
        <f>IF(AND(_A5="A-330-900",'2025'!$L$4="CA",'2025'!$L$2=BY309),'2025DATA'!$F$5,"")</f>
        <v/>
      </c>
      <c r="BZ312" s="518" t="str">
        <f>IF(AND(_A5="A-330-900",'2025'!$L$4="CA",'2025'!$L$2=BZ309),'2025DATA'!$G$5,"")</f>
        <v/>
      </c>
      <c r="CA312" s="518" t="str">
        <f>IF(AND(_A5="A-330-900",'2025'!$L$4="CA",'2025'!$L$2=CA309),'2025DATA'!$H$5,"")</f>
        <v/>
      </c>
      <c r="CB312" s="518" t="str">
        <f>IF(AND(_A5="A-330-900",'2025'!$L$4="CA",'2025'!$L$2=CB309),'2025DATA'!$I$5,"")</f>
        <v/>
      </c>
      <c r="CC312" s="518" t="str">
        <f>IF(AND(_A5="A-330-900",'2025'!$L$4="CA",'2025'!$L$2=CC309),'2025DATA'!$J$5,"")</f>
        <v/>
      </c>
      <c r="CD312" s="518" t="str">
        <f>IF(AND(_A5="A-330-900",'2025'!$L$4="CA",'2025'!$L$2=CD309),'2025DATA'!$K$5,"")</f>
        <v/>
      </c>
      <c r="CE312" s="518" t="str">
        <f>IF(AND(_A5="A-330-900",'2025'!$L$4="CA",'2025'!$L$2=CE309),'2025DATA'!$L$5,"")</f>
        <v/>
      </c>
      <c r="CF312" s="518" t="str">
        <f>IF(AND(_A5="A-330-900",'2025'!$L$4="CA",'2025'!$L$2=CF309),'2025DATA'!$M$5,"")</f>
        <v/>
      </c>
      <c r="CG312" s="520" t="str">
        <f>IF(AND(_A5="A-330-900",'2025'!$L$4="CA",'2025'!$L$2=CG309),'2025DATA'!$N$5,"")</f>
        <v/>
      </c>
      <c r="CH312" s="940" t="s">
        <v>65</v>
      </c>
      <c r="CI312" s="13" t="s">
        <v>61</v>
      </c>
      <c r="CJ312" s="518" t="str">
        <f>IF(AND(_A6="A-330-900",'2025'!$L$4="CA",'2025'!$L$2=CJ309),'2025DATA'!$C$5,"")</f>
        <v/>
      </c>
      <c r="CK312" s="518" t="str">
        <f>IF(AND(_A6="A-330-900",'2025'!$L$4="CA",'2025'!$L$2=CK309),'2025DATA'!$D$5,"")</f>
        <v/>
      </c>
      <c r="CL312" s="518" t="str">
        <f>IF(AND(_A6="A-330-900",'2025'!$L$4="CA",'2025'!$L$2=CL309),'2025DATA'!$E$5,"")</f>
        <v/>
      </c>
      <c r="CM312" s="518" t="str">
        <f>IF(AND(_A6="A-330-900",'2025'!$L$4="CA",'2025'!$L$2=CM309),'2025DATA'!$F$5,"")</f>
        <v/>
      </c>
      <c r="CN312" s="518" t="str">
        <f>IF(AND(_A6="A-330-900",'2025'!$L$4="CA",'2025'!$L$2=CN309),'2025DATA'!$G$5,"")</f>
        <v/>
      </c>
      <c r="CO312" s="518" t="str">
        <f>IF(AND(_A6="A-330-900",'2025'!$L$4="CA",'2025'!$L$2=CO309),'2025DATA'!$H$5,"")</f>
        <v/>
      </c>
      <c r="CP312" s="518" t="str">
        <f>IF(AND(_A6="A-330-900",'2025'!$L$4="CA",'2025'!$L$2=CP309),'2025DATA'!$I$5,"")</f>
        <v/>
      </c>
      <c r="CQ312" s="518" t="str">
        <f>IF(AND(_A6="A-330-900",'2025'!$L$4="CA",'2025'!$L$2=CQ309),'2025DATA'!$J$5,"")</f>
        <v/>
      </c>
      <c r="CR312" s="518" t="str">
        <f>IF(AND(_A6="A-330-900",'2025'!$L$4="CA",'2025'!$L$2=CR309),'2025DATA'!$K$5,"")</f>
        <v/>
      </c>
      <c r="CS312" s="518" t="str">
        <f>IF(AND(_A6="A-330-900",'2025'!$L$4="CA",'2025'!$L$2=CS309),'2025DATA'!$L$5,"")</f>
        <v/>
      </c>
      <c r="CT312" s="518" t="str">
        <f>IF(AND(_A6="A-330-900",'2025'!$L$4="CA",'2025'!$L$2=CT309),'2025DATA'!$M$5,"")</f>
        <v/>
      </c>
      <c r="CU312" s="520" t="str">
        <f>IF(AND(_A6="A-330-900",'2025'!$L$4="CA",'2025'!$L$2=CU309),'2025DATA'!$N$5,"")</f>
        <v/>
      </c>
    </row>
    <row r="313" spans="16:99" x14ac:dyDescent="0.25">
      <c r="P313" s="940"/>
      <c r="Q313" s="13" t="s">
        <v>62</v>
      </c>
      <c r="R313" s="518" t="str">
        <f>IF(AND(_A1="A-330-900",'2025'!$L$4="FO",'2025'!$L$2=R309),'2025DATA'!$C$6,"")</f>
        <v/>
      </c>
      <c r="S313" s="518" t="str">
        <f>IF(AND(_A1="A-330-900",'2025'!$L$4="FO",'2025'!$L$2=S309),'2025DATA'!$D$6,"")</f>
        <v/>
      </c>
      <c r="T313" s="518" t="str">
        <f>IF(AND(_A1="A-330-900",'2025'!$L$4="FO",'2025'!$L$2=T309),'2025DATA'!$E$6,"")</f>
        <v/>
      </c>
      <c r="U313" s="518" t="str">
        <f>IF(AND(_A1="A-330-900",'2025'!$L$4="FO",'2025'!$L$2=U309),'2025DATA'!$F$6,"")</f>
        <v/>
      </c>
      <c r="V313" s="518" t="str">
        <f>IF(AND(_A1="A-330-900",'2025'!$L$4="FO",'2025'!$L$2=V309),'2025DATA'!$G$6,"")</f>
        <v/>
      </c>
      <c r="W313" s="518" t="str">
        <f>IF(AND(_A1="A-330-900",'2025'!$L$4="FO",'2025'!$L$2=W309),'2025DATA'!$H$6,"")</f>
        <v/>
      </c>
      <c r="X313" s="518" t="str">
        <f>IF(AND(_A1="A-330-900",'2025'!$L$4="FO",'2025'!$L$2=X309),'2025DATA'!$I$6,"")</f>
        <v/>
      </c>
      <c r="Y313" s="518" t="str">
        <f>IF(AND(_A1="A-330-900",'2025'!$L$4="FO",'2025'!$L$2=Y309),'2025DATA'!$J$6,"")</f>
        <v/>
      </c>
      <c r="Z313" s="518" t="str">
        <f>IF(AND(_A1="A-330-900",'2025'!$L$4="FO",'2025'!$L$2=Z309),'2025DATA'!$K$6,"")</f>
        <v/>
      </c>
      <c r="AA313" s="518" t="str">
        <f>IF(AND(_A1="A-330-900",'2025'!$L$4="FO",'2025'!$L$2=AA309),'2025DATA'!$L$6,"")</f>
        <v/>
      </c>
      <c r="AB313" s="518" t="str">
        <f>IF(AND(_A1="A-330-900",'2025'!$L$4="FO",'2025'!$L$2=AB309),'2025DATA'!$M$6,"")</f>
        <v/>
      </c>
      <c r="AC313" s="520" t="str">
        <f>IF(AND(_A1="A-330-900",'2025'!$L$4="FO",'2025'!$L$2=AC309),'2025DATA'!$N$6,"")</f>
        <v/>
      </c>
      <c r="AD313" s="940"/>
      <c r="AE313" s="13" t="s">
        <v>62</v>
      </c>
      <c r="AF313" s="518" t="str">
        <f>IF(AND(_A2="A-330-900",'2025'!$L$4="FO",'2025'!$L$2=AF309),'2025DATA'!$C$6,"")</f>
        <v/>
      </c>
      <c r="AG313" s="518" t="str">
        <f>IF(AND(_A2="A-330-900",'2025'!$L$4="FO",'2025'!$L$2=AG309),'2025DATA'!$D$6,"")</f>
        <v/>
      </c>
      <c r="AH313" s="518" t="str">
        <f>IF(AND(_A2="A-330-900",'2025'!$L$4="FO",'2025'!$L$2=AH309),'2025DATA'!$E$6,"")</f>
        <v/>
      </c>
      <c r="AI313" s="518" t="str">
        <f>IF(AND(_A2="A-330-900",'2025'!$L$4="FO",'2025'!$L$2=AI309),'2025DATA'!$F$6,"")</f>
        <v/>
      </c>
      <c r="AJ313" s="518" t="str">
        <f>IF(AND(_A2="A-330-900",'2025'!$L$4="FO",'2025'!$L$2=AJ309),'2025DATA'!$G$6,"")</f>
        <v/>
      </c>
      <c r="AK313" s="518" t="str">
        <f>IF(AND(_A2="A-330-900",'2025'!$L$4="FO",'2025'!$L$2=AK309),'2025DATA'!$H$6,"")</f>
        <v/>
      </c>
      <c r="AL313" s="518" t="str">
        <f>IF(AND(_A2="A-330-900",'2025'!$L$4="FO",'2025'!$L$2=AL309),'2025DATA'!$I$6,"")</f>
        <v/>
      </c>
      <c r="AM313" s="518" t="str">
        <f>IF(AND(_A2="A-330-900",'2025'!$L$4="FO",'2025'!$L$2=AM309),'2025DATA'!$J$6,"")</f>
        <v/>
      </c>
      <c r="AN313" s="518" t="str">
        <f>IF(AND(_A2="A-330-900",'2025'!$L$4="FO",'2025'!$L$2=AN309),'2025DATA'!$K$6,"")</f>
        <v/>
      </c>
      <c r="AO313" s="518" t="str">
        <f>IF(AND(_A2="A-330-900",'2025'!$L$4="FO",'2025'!$L$2=AO309),'2025DATA'!$L$6,"")</f>
        <v/>
      </c>
      <c r="AP313" s="518" t="str">
        <f>IF(AND(_A2="A-330-900",'2025'!$L$4="FO",'2025'!$L$2=AP309),'2025DATA'!$M$6,"")</f>
        <v/>
      </c>
      <c r="AQ313" s="520" t="str">
        <f>IF(AND(_A2="A-330-900",'2025'!$L$4="FO",'2025'!$L$2=AQ309),'2025DATA'!$N$6,"")</f>
        <v/>
      </c>
      <c r="AR313" s="940"/>
      <c r="AS313" s="13" t="s">
        <v>62</v>
      </c>
      <c r="AT313" s="518" t="str">
        <f>IF(AND(_A3="A-330-900",'2025'!$L$4="FO",'2025'!$L$2=AT309),'2025DATA'!$C$6,"")</f>
        <v/>
      </c>
      <c r="AU313" s="518" t="str">
        <f>IF(AND(_A3="A-330-900",'2025'!$L$4="FO",'2025'!$L$2=AU309),'2025DATA'!$D$6,"")</f>
        <v/>
      </c>
      <c r="AV313" s="518" t="str">
        <f>IF(AND(_A3="A-330-900",'2025'!$L$4="FO",'2025'!$L$2=AV309),'2025DATA'!$E$6,"")</f>
        <v/>
      </c>
      <c r="AW313" s="518" t="str">
        <f>IF(AND(_A3="A-330-900",'2025'!$L$4="FO",'2025'!$L$2=AW309),'2025DATA'!$F$6,"")</f>
        <v/>
      </c>
      <c r="AX313" s="518" t="str">
        <f>IF(AND(_A3="A-330-900",'2025'!$L$4="FO",'2025'!$L$2=AX309),'2025DATA'!$G$6,"")</f>
        <v/>
      </c>
      <c r="AY313" s="518" t="str">
        <f>IF(AND(_A3="A-330-900",'2025'!$L$4="FO",'2025'!$L$2=AY309),'2025DATA'!$H$6,"")</f>
        <v/>
      </c>
      <c r="AZ313" s="518" t="str">
        <f>IF(AND(_A3="A-330-900",'2025'!$L$4="FO",'2025'!$L$2=AZ309),'2025DATA'!$I$6,"")</f>
        <v/>
      </c>
      <c r="BA313" s="518" t="str">
        <f>IF(AND(_A3="A-330-900",'2025'!$L$4="FO",'2025'!$L$2=BA309),'2025DATA'!$J$6,"")</f>
        <v/>
      </c>
      <c r="BB313" s="518" t="str">
        <f>IF(AND(_A3="A-330-900",'2025'!$L$4="FO",'2025'!$L$2=BB309),'2025DATA'!$K$6,"")</f>
        <v/>
      </c>
      <c r="BC313" s="518" t="str">
        <f>IF(AND(_A3="A-330-900",'2025'!$L$4="FO",'2025'!$L$2=BC309),'2025DATA'!$L$6,"")</f>
        <v/>
      </c>
      <c r="BD313" s="518" t="str">
        <f>IF(AND(_A3="A-330-900",'2025'!$L$4="FO",'2025'!$L$2=BD309),'2025DATA'!$M$6,"")</f>
        <v/>
      </c>
      <c r="BE313" s="520" t="str">
        <f>IF(AND(_A3="A-330-900",'2025'!$L$4="FO",'2025'!$L$2=BE309),'2025DATA'!$N$6,"")</f>
        <v/>
      </c>
      <c r="BF313" s="940"/>
      <c r="BG313" s="13" t="s">
        <v>62</v>
      </c>
      <c r="BH313" s="518" t="str">
        <f>IF(AND(_A4="A-330-900",'2025'!$L$4="FO",'2025'!$L$2=BH309),'2025DATA'!$C$6,"")</f>
        <v/>
      </c>
      <c r="BI313" s="518" t="str">
        <f>IF(AND(_A4="A-330-900",'2025'!$L$4="FO",'2025'!$L$2=BI309),'2025DATA'!$D$6,"")</f>
        <v/>
      </c>
      <c r="BJ313" s="518" t="str">
        <f>IF(AND(_A4="A-330-900",'2025'!$L$4="FO",'2025'!$L$2=BJ309),'2025DATA'!$E$6,"")</f>
        <v/>
      </c>
      <c r="BK313" s="518" t="str">
        <f>IF(AND(_A4="A-330-900",'2025'!$L$4="FO",'2025'!$L$2=BK309),'2025DATA'!$F$6,"")</f>
        <v/>
      </c>
      <c r="BL313" s="518" t="str">
        <f>IF(AND(_A4="A-330-900",'2025'!$L$4="FO",'2025'!$L$2=BL309),'2025DATA'!$G$6,"")</f>
        <v/>
      </c>
      <c r="BM313" s="518" t="str">
        <f>IF(AND(_A4="A-330-900",'2025'!$L$4="FO",'2025'!$L$2=BM309),'2025DATA'!$H$6,"")</f>
        <v/>
      </c>
      <c r="BN313" s="518" t="str">
        <f>IF(AND(_A4="A-330-900",'2025'!$L$4="FO",'2025'!$L$2=BN309),'2025DATA'!$I$6,"")</f>
        <v/>
      </c>
      <c r="BO313" s="518" t="str">
        <f>IF(AND(_A4="A-330-900",'2025'!$L$4="FO",'2025'!$L$2=BO309),'2025DATA'!$J$6,"")</f>
        <v/>
      </c>
      <c r="BP313" s="518" t="str">
        <f>IF(AND(_A4="A-330-900",'2025'!$L$4="FO",'2025'!$L$2=BP309),'2025DATA'!$K$6,"")</f>
        <v/>
      </c>
      <c r="BQ313" s="518" t="str">
        <f>IF(AND(_A4="A-330-900",'2025'!$L$4="FO",'2025'!$L$2=BQ309),'2025DATA'!$L$6,"")</f>
        <v/>
      </c>
      <c r="BR313" s="518" t="str">
        <f>IF(AND(_A4="A-330-900",'2025'!$L$4="FO",'2025'!$L$2=BR309),'2025DATA'!$M$6,"")</f>
        <v/>
      </c>
      <c r="BS313" s="520" t="str">
        <f>IF(AND(_A4="A-330-900",'2025'!$L$4="FO",'2025'!$L$2=BS309),'2025DATA'!$N$6,"")</f>
        <v/>
      </c>
      <c r="BT313" s="940"/>
      <c r="BU313" s="13" t="s">
        <v>62</v>
      </c>
      <c r="BV313" s="518" t="str">
        <f>IF(AND(_A5="A-330-900",'2025'!$L$4="FO",'2025'!$L$2=BV309),'2025DATA'!$C$6,"")</f>
        <v/>
      </c>
      <c r="BW313" s="518" t="str">
        <f>IF(AND(_A5="A-330-900",'2025'!$L$4="FO",'2025'!$L$2=BW309),'2025DATA'!$D$6,"")</f>
        <v/>
      </c>
      <c r="BX313" s="518" t="str">
        <f>IF(AND(_A5="A-330-900",'2025'!$L$4="FO",'2025'!$L$2=BX309),'2025DATA'!$E$6,"")</f>
        <v/>
      </c>
      <c r="BY313" s="518" t="str">
        <f>IF(AND(_A5="A-330-900",'2025'!$L$4="FO",'2025'!$L$2=BY309),'2025DATA'!$F$6,"")</f>
        <v/>
      </c>
      <c r="BZ313" s="518" t="str">
        <f>IF(AND(_A5="A-330-900",'2025'!$L$4="FO",'2025'!$L$2=BZ309),'2025DATA'!$G$6,"")</f>
        <v/>
      </c>
      <c r="CA313" s="518" t="str">
        <f>IF(AND(_A5="A-330-900",'2025'!$L$4="FO",'2025'!$L$2=CA309),'2025DATA'!$H$6,"")</f>
        <v/>
      </c>
      <c r="CB313" s="518" t="str">
        <f>IF(AND(_A5="A-330-900",'2025'!$L$4="FO",'2025'!$L$2=CB309),'2025DATA'!$I$6,"")</f>
        <v/>
      </c>
      <c r="CC313" s="518" t="str">
        <f>IF(AND(_A5="A-330-900",'2025'!$L$4="FO",'2025'!$L$2=CC309),'2025DATA'!$J$6,"")</f>
        <v/>
      </c>
      <c r="CD313" s="518" t="str">
        <f>IF(AND(_A5="A-330-900",'2025'!$L$4="FO",'2025'!$L$2=CD309),'2025DATA'!$K$6,"")</f>
        <v/>
      </c>
      <c r="CE313" s="518" t="str">
        <f>IF(AND(_A5="A-330-900",'2025'!$L$4="FO",'2025'!$L$2=CE309),'2025DATA'!$L$6,"")</f>
        <v/>
      </c>
      <c r="CF313" s="518" t="str">
        <f>IF(AND(_A5="A-330-900",'2025'!$L$4="FO",'2025'!$L$2=CF309),'2025DATA'!$M$6,"")</f>
        <v/>
      </c>
      <c r="CG313" s="520" t="str">
        <f>IF(AND(_A5="A-330-900",'2025'!$L$4="FO",'2025'!$L$2=CG309),'2025DATA'!$N$6,"")</f>
        <v/>
      </c>
      <c r="CH313" s="940"/>
      <c r="CI313" s="13" t="s">
        <v>62</v>
      </c>
      <c r="CJ313" s="518" t="str">
        <f>IF(AND(_A6="A-330-900",'2025'!$L$4="FO",'2025'!$L$2=CJ309),'2025DATA'!$C$6,"")</f>
        <v/>
      </c>
      <c r="CK313" s="518" t="str">
        <f>IF(AND(_A6="A-330-900",'2025'!$L$4="FO",'2025'!$L$2=CK309),'2025DATA'!$D$6,"")</f>
        <v/>
      </c>
      <c r="CL313" s="518" t="str">
        <f>IF(AND(_A6="A-330-900",'2025'!$L$4="FO",'2025'!$L$2=CL309),'2025DATA'!$E$6,"")</f>
        <v/>
      </c>
      <c r="CM313" s="518" t="str">
        <f>IF(AND(_A6="A-330-900",'2025'!$L$4="FO",'2025'!$L$2=CM309),'2025DATA'!$F$6,"")</f>
        <v/>
      </c>
      <c r="CN313" s="518" t="str">
        <f>IF(AND(_A6="A-330-900",'2025'!$L$4="FO",'2025'!$L$2=CN309),'2025DATA'!$G$6,"")</f>
        <v/>
      </c>
      <c r="CO313" s="518" t="str">
        <f>IF(AND(_A6="A-330-900",'2025'!$L$4="FO",'2025'!$L$2=CO309),'2025DATA'!$H$6,"")</f>
        <v/>
      </c>
      <c r="CP313" s="518" t="str">
        <f>IF(AND(_A6="A-330-900",'2025'!$L$4="FO",'2025'!$L$2=CP309),'2025DATA'!$I$6,"")</f>
        <v/>
      </c>
      <c r="CQ313" s="518" t="str">
        <f>IF(AND(_A6="A-330-900",'2025'!$L$4="FO",'2025'!$L$2=CQ309),'2025DATA'!$J$6,"")</f>
        <v/>
      </c>
      <c r="CR313" s="518" t="str">
        <f>IF(AND(_A6="A-330-900",'2025'!$L$4="FO",'2025'!$L$2=CR309),'2025DATA'!$K$6,"")</f>
        <v/>
      </c>
      <c r="CS313" s="518" t="str">
        <f>IF(AND(_A6="A-330-900",'2025'!$L$4="FO",'2025'!$L$2=CS309),'2025DATA'!$L$6,"")</f>
        <v/>
      </c>
      <c r="CT313" s="518" t="str">
        <f>IF(AND(_A6="A-330-900",'2025'!$L$4="FO",'2025'!$L$2=CT309),'2025DATA'!$M$6,"")</f>
        <v/>
      </c>
      <c r="CU313" s="520" t="str">
        <f>IF(AND(_A6="A-330-900",'2025'!$L$4="FO",'2025'!$L$2=CU309),'2025DATA'!$N$6,"")</f>
        <v/>
      </c>
    </row>
    <row r="314" spans="16:99" x14ac:dyDescent="0.25">
      <c r="P314" s="940" t="s">
        <v>64</v>
      </c>
      <c r="Q314" s="13" t="s">
        <v>61</v>
      </c>
      <c r="R314" s="518" t="str">
        <f>IF(AND(_A1="A-330-300",'2025'!$L$4="CA",'2025'!$L$2=R309),'2025DATA'!$C$7,"")</f>
        <v/>
      </c>
      <c r="S314" s="518" t="str">
        <f>IF(AND(_A1="A-330-300",'2025'!$L$4="CA",'2025'!$L$2=S309),'2025DATA'!$D$7,"")</f>
        <v/>
      </c>
      <c r="T314" s="518" t="str">
        <f>IF(AND(_A1="A-330-300",'2025'!$L$4="CA",'2025'!$L$2=T309),'2025DATA'!$E$7,"")</f>
        <v/>
      </c>
      <c r="U314" s="518" t="str">
        <f>IF(AND(_A1="A-330-300",'2025'!$L$4="CA",'2025'!$L$2=U309),'2025DATA'!$F$7,"")</f>
        <v/>
      </c>
      <c r="V314" s="518" t="str">
        <f>IF(AND(_A1="A-330-300",'2025'!$L$4="CA",'2025'!$L$2=V309),'2025DATA'!$G$7,"")</f>
        <v/>
      </c>
      <c r="W314" s="518" t="str">
        <f>IF(AND(_A1="A-330-300",'2025'!$L$4="CA",'2025'!$L$2=W309),'2025DATA'!$H$7,"")</f>
        <v/>
      </c>
      <c r="X314" s="518" t="str">
        <f>IF(AND(_A1="A-330-300",'2025'!$L$4="CA",'2025'!$L$2=X309),'2025DATA'!$I$7,"")</f>
        <v/>
      </c>
      <c r="Y314" s="518" t="str">
        <f>IF(AND(_A1="A-330-300",'2025'!$L$4="CA",'2025'!$L$2=Y309),'2025DATA'!$J$7,"")</f>
        <v/>
      </c>
      <c r="Z314" s="518" t="str">
        <f>IF(AND(_A1="A-330-300",'2025'!$L$4="CA",'2025'!$L$2=Z309),'2025DATA'!$K$7,"")</f>
        <v/>
      </c>
      <c r="AA314" s="518" t="str">
        <f>IF(AND(_A1="A-330-300",'2025'!$L$4="CA",'2025'!$L$2=AA309),'2025DATA'!$L$7,"")</f>
        <v/>
      </c>
      <c r="AB314" s="518" t="str">
        <f>IF(AND(_A1="A-330-300",'2025'!$L$4="CA",'2025'!$L$2=AB309),'2025DATA'!$M$7,"")</f>
        <v/>
      </c>
      <c r="AC314" s="520" t="str">
        <f>IF(AND(_A1="A-330-300",'2025'!$L$4="CA",'2025'!$L$2=AC309),'2025DATA'!$N$7,"")</f>
        <v/>
      </c>
      <c r="AD314" s="940" t="s">
        <v>64</v>
      </c>
      <c r="AE314" s="13" t="s">
        <v>61</v>
      </c>
      <c r="AF314" s="518" t="str">
        <f>IF(AND(_A2="A-330-300",'2025'!$L$4="CA",'2025'!$L$2=AF309),'2025DATA'!$C$7,"")</f>
        <v/>
      </c>
      <c r="AG314" s="518" t="str">
        <f>IF(AND(_A2="A-330-300",'2025'!$L$4="CA",'2025'!$L$2=AG309),'2025DATA'!$D$7,"")</f>
        <v/>
      </c>
      <c r="AH314" s="518" t="str">
        <f>IF(AND(_A2="A-330-300",'2025'!$L$4="CA",'2025'!$L$2=AH309),'2025DATA'!$E$7,"")</f>
        <v/>
      </c>
      <c r="AI314" s="518" t="str">
        <f>IF(AND(_A2="A-330-300",'2025'!$L$4="CA",'2025'!$L$2=AI309),'2025DATA'!$F$7,"")</f>
        <v/>
      </c>
      <c r="AJ314" s="518" t="str">
        <f>IF(AND(_A2="A-330-300",'2025'!$L$4="CA",'2025'!$L$2=AJ309),'2025DATA'!$G$7,"")</f>
        <v/>
      </c>
      <c r="AK314" s="518" t="str">
        <f>IF(AND(_A2="A-330-300",'2025'!$L$4="CA",'2025'!$L$2=AK309),'2025DATA'!$H$7,"")</f>
        <v/>
      </c>
      <c r="AL314" s="518" t="str">
        <f>IF(AND(_A2="A-330-300",'2025'!$L$4="CA",'2025'!$L$2=AL309),'2025DATA'!$I$7,"")</f>
        <v/>
      </c>
      <c r="AM314" s="518" t="str">
        <f>IF(AND(_A2="A-330-300",'2025'!$L$4="CA",'2025'!$L$2=AM309),'2025DATA'!$J$7,"")</f>
        <v/>
      </c>
      <c r="AN314" s="518" t="str">
        <f>IF(AND(_A2="A-330-300",'2025'!$L$4="CA",'2025'!$L$2=AN309),'2025DATA'!$K$7,"")</f>
        <v/>
      </c>
      <c r="AO314" s="518" t="str">
        <f>IF(AND(_A2="A-330-300",'2025'!$L$4="CA",'2025'!$L$2=AO309),'2025DATA'!$L$7,"")</f>
        <v/>
      </c>
      <c r="AP314" s="518" t="str">
        <f>IF(AND(_A2="A-330-300",'2025'!$L$4="CA",'2025'!$L$2=AP309),'2025DATA'!$M$7,"")</f>
        <v/>
      </c>
      <c r="AQ314" s="520" t="str">
        <f>IF(AND(_A2="A-330-300",'2025'!$L$4="CA",'2025'!$L$2=AQ309),'2025DATA'!$N$7,"")</f>
        <v/>
      </c>
      <c r="AR314" s="940" t="s">
        <v>64</v>
      </c>
      <c r="AS314" s="13" t="s">
        <v>61</v>
      </c>
      <c r="AT314" s="518" t="str">
        <f>IF(AND(_A3="A-330-300",'2025'!$L$4="CA",'2025'!$L$2=AT309),'2025DATA'!$C$7,"")</f>
        <v/>
      </c>
      <c r="AU314" s="518" t="str">
        <f>IF(AND(_A3="A-330-300",'2025'!$L$4="CA",'2025'!$L$2=AU309),'2025DATA'!$D$7,"")</f>
        <v/>
      </c>
      <c r="AV314" s="518" t="str">
        <f>IF(AND(_A3="A-330-300",'2025'!$L$4="CA",'2025'!$L$2=AV309),'2025DATA'!$E$7,"")</f>
        <v/>
      </c>
      <c r="AW314" s="518" t="str">
        <f>IF(AND(_A3="A-330-300",'2025'!$L$4="CA",'2025'!$L$2=AW309),'2025DATA'!$F$7,"")</f>
        <v/>
      </c>
      <c r="AX314" s="518" t="str">
        <f>IF(AND(_A3="A-330-300",'2025'!$L$4="CA",'2025'!$L$2=AX309),'2025DATA'!$G$7,"")</f>
        <v/>
      </c>
      <c r="AY314" s="518" t="str">
        <f>IF(AND(_A3="A-330-300",'2025'!$L$4="CA",'2025'!$L$2=AY309),'2025DATA'!$H$7,"")</f>
        <v/>
      </c>
      <c r="AZ314" s="518" t="str">
        <f>IF(AND(_A3="A-330-300",'2025'!$L$4="CA",'2025'!$L$2=AZ309),'2025DATA'!$I$7,"")</f>
        <v/>
      </c>
      <c r="BA314" s="518" t="str">
        <f>IF(AND(_A3="A-330-300",'2025'!$L$4="CA",'2025'!$L$2=BA309),'2025DATA'!$J$7,"")</f>
        <v/>
      </c>
      <c r="BB314" s="518" t="str">
        <f>IF(AND(_A3="A-330-300",'2025'!$L$4="CA",'2025'!$L$2=BB309),'2025DATA'!$K$7,"")</f>
        <v/>
      </c>
      <c r="BC314" s="518" t="str">
        <f>IF(AND(_A3="A-330-300",'2025'!$L$4="CA",'2025'!$L$2=BC309),'2025DATA'!$L$7,"")</f>
        <v/>
      </c>
      <c r="BD314" s="518" t="str">
        <f>IF(AND(_A3="A-330-300",'2025'!$L$4="CA",'2025'!$L$2=BD309),'2025DATA'!$M$7,"")</f>
        <v/>
      </c>
      <c r="BE314" s="520" t="str">
        <f>IF(AND(_A3="A-330-300",'2025'!$L$4="CA",'2025'!$L$2=BE309),'2025DATA'!$N$7,"")</f>
        <v/>
      </c>
      <c r="BF314" s="940" t="s">
        <v>64</v>
      </c>
      <c r="BG314" s="13" t="s">
        <v>61</v>
      </c>
      <c r="BH314" s="518" t="str">
        <f>IF(AND(_A4="A-330-300",'2025'!$L$4="CA",'2025'!$L$2=BH309),'2025DATA'!$C$7,"")</f>
        <v/>
      </c>
      <c r="BI314" s="518" t="str">
        <f>IF(AND(_A4="A-330-300",'2025'!$L$4="CA",'2025'!$L$2=BI309),'2025DATA'!$D$7,"")</f>
        <v/>
      </c>
      <c r="BJ314" s="518" t="str">
        <f>IF(AND(_A4="A-330-300",'2025'!$L$4="CA",'2025'!$L$2=BJ309),'2025DATA'!$E$7,"")</f>
        <v/>
      </c>
      <c r="BK314" s="518" t="str">
        <f>IF(AND(_A4="A-330-300",'2025'!$L$4="CA",'2025'!$L$2=BK309),'2025DATA'!$F$7,"")</f>
        <v/>
      </c>
      <c r="BL314" s="518" t="str">
        <f>IF(AND(_A4="A-330-300",'2025'!$L$4="CA",'2025'!$L$2=BL309),'2025DATA'!$G$7,"")</f>
        <v/>
      </c>
      <c r="BM314" s="518" t="str">
        <f>IF(AND(_A4="A-330-300",'2025'!$L$4="CA",'2025'!$L$2=BM309),'2025DATA'!$H$7,"")</f>
        <v/>
      </c>
      <c r="BN314" s="518" t="str">
        <f>IF(AND(_A4="A-330-300",'2025'!$L$4="CA",'2025'!$L$2=BN309),'2025DATA'!$I$7,"")</f>
        <v/>
      </c>
      <c r="BO314" s="518" t="str">
        <f>IF(AND(_A4="A-330-300",'2025'!$L$4="CA",'2025'!$L$2=BO309),'2025DATA'!$J$7,"")</f>
        <v/>
      </c>
      <c r="BP314" s="518" t="str">
        <f>IF(AND(_A4="A-330-300",'2025'!$L$4="CA",'2025'!$L$2=BP309),'2025DATA'!$K$7,"")</f>
        <v/>
      </c>
      <c r="BQ314" s="518" t="str">
        <f>IF(AND(_A4="A-330-300",'2025'!$L$4="CA",'2025'!$L$2=BQ309),'2025DATA'!$L$7,"")</f>
        <v/>
      </c>
      <c r="BR314" s="518" t="str">
        <f>IF(AND(_A4="A-330-300",'2025'!$L$4="CA",'2025'!$L$2=BR309),'2025DATA'!$M$7,"")</f>
        <v/>
      </c>
      <c r="BS314" s="520" t="str">
        <f>IF(AND(_A4="A-330-300",'2025'!$L$4="CA",'2025'!$L$2=BS309),'2025DATA'!$N$7,"")</f>
        <v/>
      </c>
      <c r="BT314" s="940" t="s">
        <v>64</v>
      </c>
      <c r="BU314" s="13" t="s">
        <v>61</v>
      </c>
      <c r="BV314" s="518" t="str">
        <f>IF(AND(_A5="A-330-300",'2025'!$L$4="CA",'2025'!$L$2=BV309),'2025DATA'!$C$7,"")</f>
        <v/>
      </c>
      <c r="BW314" s="518" t="str">
        <f>IF(AND(_A5="A-330-300",'2025'!$L$4="CA",'2025'!$L$2=BW309),'2025DATA'!$D$7,"")</f>
        <v/>
      </c>
      <c r="BX314" s="518" t="str">
        <f>IF(AND(_A5="A-330-300",'2025'!$L$4="CA",'2025'!$L$2=BX309),'2025DATA'!$E$7,"")</f>
        <v/>
      </c>
      <c r="BY314" s="518" t="str">
        <f>IF(AND(_A5="A-330-300",'2025'!$L$4="CA",'2025'!$L$2=BY309),'2025DATA'!$F$7,"")</f>
        <v/>
      </c>
      <c r="BZ314" s="518" t="str">
        <f>IF(AND(_A5="A-330-300",'2025'!$L$4="CA",'2025'!$L$2=BZ309),'2025DATA'!$G$7,"")</f>
        <v/>
      </c>
      <c r="CA314" s="518" t="str">
        <f>IF(AND(_A5="A-330-300",'2025'!$L$4="CA",'2025'!$L$2=CA309),'2025DATA'!$H$7,"")</f>
        <v/>
      </c>
      <c r="CB314" s="518" t="str">
        <f>IF(AND(_A5="A-330-300",'2025'!$L$4="CA",'2025'!$L$2=CB309),'2025DATA'!$I$7,"")</f>
        <v/>
      </c>
      <c r="CC314" s="518" t="str">
        <f>IF(AND(_A5="A-330-300",'2025'!$L$4="CA",'2025'!$L$2=CC309),'2025DATA'!$J$7,"")</f>
        <v/>
      </c>
      <c r="CD314" s="518" t="str">
        <f>IF(AND(_A5="A-330-300",'2025'!$L$4="CA",'2025'!$L$2=CD309),'2025DATA'!$K$7,"")</f>
        <v/>
      </c>
      <c r="CE314" s="518" t="str">
        <f>IF(AND(_A5="A-330-300",'2025'!$L$4="CA",'2025'!$L$2=CE309),'2025DATA'!$L$7,"")</f>
        <v/>
      </c>
      <c r="CF314" s="518" t="str">
        <f>IF(AND(_A5="A-330-300",'2025'!$L$4="CA",'2025'!$L$2=CF309),'2025DATA'!$M$7,"")</f>
        <v/>
      </c>
      <c r="CG314" s="520" t="str">
        <f>IF(AND(_A5="A-330-300",'2025'!$L$4="CA",'2025'!$L$2=CG309),'2025DATA'!$N$7,"")</f>
        <v/>
      </c>
      <c r="CH314" s="940" t="s">
        <v>64</v>
      </c>
      <c r="CI314" s="13" t="s">
        <v>61</v>
      </c>
      <c r="CJ314" s="518" t="str">
        <f>IF(AND(_A6="A-330-300",'2025'!$L$4="CA",'2025'!$L$2=CJ309),'2025DATA'!$C$7,"")</f>
        <v/>
      </c>
      <c r="CK314" s="518" t="str">
        <f>IF(AND(_A6="A-330-300",'2025'!$L$4="CA",'2025'!$L$2=CK309),'2025DATA'!$D$7,"")</f>
        <v/>
      </c>
      <c r="CL314" s="518" t="str">
        <f>IF(AND(_A6="A-330-300",'2025'!$L$4="CA",'2025'!$L$2=CL309),'2025DATA'!$E$7,"")</f>
        <v/>
      </c>
      <c r="CM314" s="518" t="str">
        <f>IF(AND(_A6="A-330-300",'2025'!$L$4="CA",'2025'!$L$2=CM309),'2025DATA'!$F$7,"")</f>
        <v/>
      </c>
      <c r="CN314" s="518" t="str">
        <f>IF(AND(_A6="A-330-300",'2025'!$L$4="CA",'2025'!$L$2=CN309),'2025DATA'!$G$7,"")</f>
        <v/>
      </c>
      <c r="CO314" s="518" t="str">
        <f>IF(AND(_A6="A-330-300",'2025'!$L$4="CA",'2025'!$L$2=CO309),'2025DATA'!$H$7,"")</f>
        <v/>
      </c>
      <c r="CP314" s="518" t="str">
        <f>IF(AND(_A6="A-330-300",'2025'!$L$4="CA",'2025'!$L$2=CP309),'2025DATA'!$I$7,"")</f>
        <v/>
      </c>
      <c r="CQ314" s="518" t="str">
        <f>IF(AND(_A6="A-330-300",'2025'!$L$4="CA",'2025'!$L$2=CQ309),'2025DATA'!$J$7,"")</f>
        <v/>
      </c>
      <c r="CR314" s="518" t="str">
        <f>IF(AND(_A6="A-330-300",'2025'!$L$4="CA",'2025'!$L$2=CR309),'2025DATA'!$K$7,"")</f>
        <v/>
      </c>
      <c r="CS314" s="518" t="str">
        <f>IF(AND(_A6="A-330-300",'2025'!$L$4="CA",'2025'!$L$2=CS309),'2025DATA'!$L$7,"")</f>
        <v/>
      </c>
      <c r="CT314" s="518" t="str">
        <f>IF(AND(_A6="A-330-300",'2025'!$L$4="CA",'2025'!$L$2=CT309),'2025DATA'!$M$7,"")</f>
        <v/>
      </c>
      <c r="CU314" s="520" t="str">
        <f>IF(AND(_A6="A-330-300",'2025'!$L$4="CA",'2025'!$L$2=CU309),'2025DATA'!$N$7,"")</f>
        <v/>
      </c>
    </row>
    <row r="315" spans="16:99" x14ac:dyDescent="0.25">
      <c r="P315" s="940"/>
      <c r="Q315" s="13" t="s">
        <v>62</v>
      </c>
      <c r="R315" s="518" t="str">
        <f>IF(AND(_A1="A-330-300",'2025'!$L$4="FO",'2025'!$L$2=R309),'2025DATA'!$C$8,"")</f>
        <v/>
      </c>
      <c r="S315" s="518" t="str">
        <f>IF(AND(_A1="A-330-300",'2025'!$L$4="FO",'2025'!$L$2=S309),'2025DATA'!$D$8,"")</f>
        <v/>
      </c>
      <c r="T315" s="518" t="str">
        <f>IF(AND(_A1="A-330-300",'2025'!$L$4="FO",'2025'!$L$2=T309),'2025DATA'!$E$8,"")</f>
        <v/>
      </c>
      <c r="U315" s="518" t="str">
        <f>IF(AND(_A1="A-330-300",'2025'!$L$4="FO",'2025'!$L$2=U309),'2025DATA'!$F$8,"")</f>
        <v/>
      </c>
      <c r="V315" s="518" t="str">
        <f>IF(AND(_A1="A-330-300",'2025'!$L$4="FO",'2025'!$L$2=V309),'2025DATA'!$G$8,"")</f>
        <v/>
      </c>
      <c r="W315" s="518" t="str">
        <f>IF(AND(_A1="A-330-300",'2025'!$L$4="FO",'2025'!$L$2=W309),'2025DATA'!$H$8,"")</f>
        <v/>
      </c>
      <c r="X315" s="518" t="str">
        <f>IF(AND(_A1="A-330-300",'2025'!$L$4="FO",'2025'!$L$2=X309),'2025DATA'!$I$8,"")</f>
        <v/>
      </c>
      <c r="Y315" s="518" t="str">
        <f>IF(AND(_A1="A-330-300",'2025'!$L$4="FO",'2025'!$L$2=Y309),'2025DATA'!$J$8,"")</f>
        <v/>
      </c>
      <c r="Z315" s="518" t="str">
        <f>IF(AND(_A1="A-330-300",'2025'!$L$4="FO",'2025'!$L$2=Z309),'2025DATA'!$K$8,"")</f>
        <v/>
      </c>
      <c r="AA315" s="518" t="str">
        <f>IF(AND(_A1="A-330-300",'2025'!$L$4="FO",'2025'!$L$2=AA309),'2025DATA'!$L$8,"")</f>
        <v/>
      </c>
      <c r="AB315" s="518" t="str">
        <f>IF(AND(_A1="A-330-300",'2025'!$L$4="FO",'2025'!$L$2=AB309),'2025DATA'!$M$8,"")</f>
        <v/>
      </c>
      <c r="AC315" s="520" t="str">
        <f>IF(AND(_A1="A-330-300",'2025'!$L$4="FO",'2025'!$L$2=AC309),'2025DATA'!$N$8,"")</f>
        <v/>
      </c>
      <c r="AD315" s="940"/>
      <c r="AE315" s="13" t="s">
        <v>62</v>
      </c>
      <c r="AF315" s="518" t="str">
        <f>IF(AND(_A2="A-330-300",'2025'!$L$4="FO",'2025'!$L$2=AF309),'2025DATA'!$C$8,"")</f>
        <v/>
      </c>
      <c r="AG315" s="518" t="str">
        <f>IF(AND(_A2="A-330-300",'2025'!$L$4="FO",'2025'!$L$2=AG309),'2025DATA'!$D$8,"")</f>
        <v/>
      </c>
      <c r="AH315" s="518" t="str">
        <f>IF(AND(_A2="A-330-300",'2025'!$L$4="FO",'2025'!$L$2=AH309),'2025DATA'!$E$8,"")</f>
        <v/>
      </c>
      <c r="AI315" s="518" t="str">
        <f>IF(AND(_A2="A-330-300",'2025'!$L$4="FO",'2025'!$L$2=AI309),'2025DATA'!$F$8,"")</f>
        <v/>
      </c>
      <c r="AJ315" s="518" t="str">
        <f>IF(AND(_A2="A-330-300",'2025'!$L$4="FO",'2025'!$L$2=AJ309),'2025DATA'!$G$8,"")</f>
        <v/>
      </c>
      <c r="AK315" s="518" t="str">
        <f>IF(AND(_A2="A-330-300",'2025'!$L$4="FO",'2025'!$L$2=AK309),'2025DATA'!$H$8,"")</f>
        <v/>
      </c>
      <c r="AL315" s="518" t="str">
        <f>IF(AND(_A2="A-330-300",'2025'!$L$4="FO",'2025'!$L$2=AL309),'2025DATA'!$I$8,"")</f>
        <v/>
      </c>
      <c r="AM315" s="518" t="str">
        <f>IF(AND(_A2="A-330-300",'2025'!$L$4="FO",'2025'!$L$2=AM309),'2025DATA'!$J$8,"")</f>
        <v/>
      </c>
      <c r="AN315" s="518" t="str">
        <f>IF(AND(_A2="A-330-300",'2025'!$L$4="FO",'2025'!$L$2=AN309),'2025DATA'!$K$8,"")</f>
        <v/>
      </c>
      <c r="AO315" s="518" t="str">
        <f>IF(AND(_A2="A-330-300",'2025'!$L$4="FO",'2025'!$L$2=AO309),'2025DATA'!$L$8,"")</f>
        <v/>
      </c>
      <c r="AP315" s="518" t="str">
        <f>IF(AND(_A2="A-330-300",'2025'!$L$4="FO",'2025'!$L$2=AP309),'2025DATA'!$M$8,"")</f>
        <v/>
      </c>
      <c r="AQ315" s="520" t="str">
        <f>IF(AND(_A2="A-330-300",'2025'!$L$4="FO",'2025'!$L$2=AQ309),'2025DATA'!$N$8,"")</f>
        <v/>
      </c>
      <c r="AR315" s="940"/>
      <c r="AS315" s="13" t="s">
        <v>62</v>
      </c>
      <c r="AT315" s="518" t="str">
        <f>IF(AND(_A3="A-330-300",'2025'!$L$4="FO",'2025'!$L$2=AT309),'2025DATA'!$C$8,"")</f>
        <v/>
      </c>
      <c r="AU315" s="518" t="str">
        <f>IF(AND(_A3="A-330-300",'2025'!$L$4="FO",'2025'!$L$2=AU309),'2025DATA'!$D$8,"")</f>
        <v/>
      </c>
      <c r="AV315" s="518" t="str">
        <f>IF(AND(_A3="A-330-300",'2025'!$L$4="FO",'2025'!$L$2=AV309),'2025DATA'!$E$8,"")</f>
        <v/>
      </c>
      <c r="AW315" s="518" t="str">
        <f>IF(AND(_A3="A-330-300",'2025'!$L$4="FO",'2025'!$L$2=AW309),'2025DATA'!$F$8,"")</f>
        <v/>
      </c>
      <c r="AX315" s="518" t="str">
        <f>IF(AND(_A3="A-330-300",'2025'!$L$4="FO",'2025'!$L$2=AX309),'2025DATA'!$G$8,"")</f>
        <v/>
      </c>
      <c r="AY315" s="518" t="str">
        <f>IF(AND(_A3="A-330-300",'2025'!$L$4="FO",'2025'!$L$2=AY309),'2025DATA'!$H$8,"")</f>
        <v/>
      </c>
      <c r="AZ315" s="518" t="str">
        <f>IF(AND(_A3="A-330-300",'2025'!$L$4="FO",'2025'!$L$2=AZ309),'2025DATA'!$I$8,"")</f>
        <v/>
      </c>
      <c r="BA315" s="518" t="str">
        <f>IF(AND(_A3="A-330-300",'2025'!$L$4="FO",'2025'!$L$2=BA309),'2025DATA'!$J$8,"")</f>
        <v/>
      </c>
      <c r="BB315" s="518" t="str">
        <f>IF(AND(_A3="A-330-300",'2025'!$L$4="FO",'2025'!$L$2=BB309),'2025DATA'!$K$8,"")</f>
        <v/>
      </c>
      <c r="BC315" s="518" t="str">
        <f>IF(AND(_A3="A-330-300",'2025'!$L$4="FO",'2025'!$L$2=BC309),'2025DATA'!$L$8,"")</f>
        <v/>
      </c>
      <c r="BD315" s="518" t="str">
        <f>IF(AND(_A3="A-330-300",'2025'!$L$4="FO",'2025'!$L$2=BD309),'2025DATA'!$M$8,"")</f>
        <v/>
      </c>
      <c r="BE315" s="520" t="str">
        <f>IF(AND(_A3="A-330-300",'2025'!$L$4="FO",'2025'!$L$2=BE309),'2025DATA'!$N$8,"")</f>
        <v/>
      </c>
      <c r="BF315" s="940"/>
      <c r="BG315" s="13" t="s">
        <v>62</v>
      </c>
      <c r="BH315" s="518" t="str">
        <f>IF(AND(_A4="A-330-300",'2025'!$L$4="FO",'2025'!$L$2=BH309),'2025DATA'!$C$8,"")</f>
        <v/>
      </c>
      <c r="BI315" s="518" t="str">
        <f>IF(AND(_A4="A-330-300",'2025'!$L$4="FO",'2025'!$L$2=BI309),'2025DATA'!$D$8,"")</f>
        <v/>
      </c>
      <c r="BJ315" s="518" t="str">
        <f>IF(AND(_A4="A-330-300",'2025'!$L$4="FO",'2025'!$L$2=BJ309),'2025DATA'!$E$8,"")</f>
        <v/>
      </c>
      <c r="BK315" s="518" t="str">
        <f>IF(AND(_A4="A-330-300",'2025'!$L$4="FO",'2025'!$L$2=BK309),'2025DATA'!$F$8,"")</f>
        <v/>
      </c>
      <c r="BL315" s="518" t="str">
        <f>IF(AND(_A4="A-330-300",'2025'!$L$4="FO",'2025'!$L$2=BL309),'2025DATA'!$G$8,"")</f>
        <v/>
      </c>
      <c r="BM315" s="518" t="str">
        <f>IF(AND(_A4="A-330-300",'2025'!$L$4="FO",'2025'!$L$2=BM309),'2025DATA'!$H$8,"")</f>
        <v/>
      </c>
      <c r="BN315" s="518" t="str">
        <f>IF(AND(_A4="A-330-300",'2025'!$L$4="FO",'2025'!$L$2=BN309),'2025DATA'!$I$8,"")</f>
        <v/>
      </c>
      <c r="BO315" s="518" t="str">
        <f>IF(AND(_A4="A-330-300",'2025'!$L$4="FO",'2025'!$L$2=BO309),'2025DATA'!$J$8,"")</f>
        <v/>
      </c>
      <c r="BP315" s="518" t="str">
        <f>IF(AND(_A4="A-330-300",'2025'!$L$4="FO",'2025'!$L$2=BP309),'2025DATA'!$K$8,"")</f>
        <v/>
      </c>
      <c r="BQ315" s="518" t="str">
        <f>IF(AND(_A4="A-330-300",'2025'!$L$4="FO",'2025'!$L$2=BQ309),'2025DATA'!$L$8,"")</f>
        <v/>
      </c>
      <c r="BR315" s="518" t="str">
        <f>IF(AND(_A4="A-330-300",'2025'!$L$4="FO",'2025'!$L$2=BR309),'2025DATA'!$M$8,"")</f>
        <v/>
      </c>
      <c r="BS315" s="520" t="str">
        <f>IF(AND(_A4="A-330-300",'2025'!$L$4="FO",'2025'!$L$2=BS309),'2025DATA'!$N$8,"")</f>
        <v/>
      </c>
      <c r="BT315" s="940"/>
      <c r="BU315" s="13" t="s">
        <v>62</v>
      </c>
      <c r="BV315" s="518" t="str">
        <f>IF(AND(_A5="A-330-300",'2025'!$L$4="FO",'2025'!$L$2=BV309),'2025DATA'!$C$8,"")</f>
        <v/>
      </c>
      <c r="BW315" s="518" t="str">
        <f>IF(AND(_A5="A-330-300",'2025'!$L$4="FO",'2025'!$L$2=BW309),'2025DATA'!$D$8,"")</f>
        <v/>
      </c>
      <c r="BX315" s="518" t="str">
        <f>IF(AND(_A5="A-330-300",'2025'!$L$4="FO",'2025'!$L$2=BX309),'2025DATA'!$E$8,"")</f>
        <v/>
      </c>
      <c r="BY315" s="518" t="str">
        <f>IF(AND(_A5="A-330-300",'2025'!$L$4="FO",'2025'!$L$2=BY309),'2025DATA'!$F$8,"")</f>
        <v/>
      </c>
      <c r="BZ315" s="518" t="str">
        <f>IF(AND(_A5="A-330-300",'2025'!$L$4="FO",'2025'!$L$2=BZ309),'2025DATA'!$G$8,"")</f>
        <v/>
      </c>
      <c r="CA315" s="518" t="str">
        <f>IF(AND(_A5="A-330-300",'2025'!$L$4="FO",'2025'!$L$2=CA309),'2025DATA'!$H$8,"")</f>
        <v/>
      </c>
      <c r="CB315" s="518" t="str">
        <f>IF(AND(_A5="A-330-300",'2025'!$L$4="FO",'2025'!$L$2=CB309),'2025DATA'!$I$8,"")</f>
        <v/>
      </c>
      <c r="CC315" s="518" t="str">
        <f>IF(AND(_A5="A-330-300",'2025'!$L$4="FO",'2025'!$L$2=CC309),'2025DATA'!$J$8,"")</f>
        <v/>
      </c>
      <c r="CD315" s="518" t="str">
        <f>IF(AND(_A5="A-330-300",'2025'!$L$4="FO",'2025'!$L$2=CD309),'2025DATA'!$K$8,"")</f>
        <v/>
      </c>
      <c r="CE315" s="518" t="str">
        <f>IF(AND(_A5="A-330-300",'2025'!$L$4="FO",'2025'!$L$2=CE309),'2025DATA'!$L$8,"")</f>
        <v/>
      </c>
      <c r="CF315" s="518" t="str">
        <f>IF(AND(_A5="A-330-300",'2025'!$L$4="FO",'2025'!$L$2=CF309),'2025DATA'!$M$8,"")</f>
        <v/>
      </c>
      <c r="CG315" s="520" t="str">
        <f>IF(AND(_A5="A-330-300",'2025'!$L$4="FO",'2025'!$L$2=CG309),'2025DATA'!$N$8,"")</f>
        <v/>
      </c>
      <c r="CH315" s="940"/>
      <c r="CI315" s="13" t="s">
        <v>62</v>
      </c>
      <c r="CJ315" s="518" t="str">
        <f>IF(AND(_A6="A-330-300",'2025'!$L$4="FO",'2025'!$L$2=CJ309),'2025DATA'!$C$8,"")</f>
        <v/>
      </c>
      <c r="CK315" s="518" t="str">
        <f>IF(AND(_A6="A-330-300",'2025'!$L$4="FO",'2025'!$L$2=CK309),'2025DATA'!$D$8,"")</f>
        <v/>
      </c>
      <c r="CL315" s="518" t="str">
        <f>IF(AND(_A6="A-330-300",'2025'!$L$4="FO",'2025'!$L$2=CL309),'2025DATA'!$E$8,"")</f>
        <v/>
      </c>
      <c r="CM315" s="518" t="str">
        <f>IF(AND(_A6="A-330-300",'2025'!$L$4="FO",'2025'!$L$2=CM309),'2025DATA'!$F$8,"")</f>
        <v/>
      </c>
      <c r="CN315" s="518" t="str">
        <f>IF(AND(_A6="A-330-300",'2025'!$L$4="FO",'2025'!$L$2=CN309),'2025DATA'!$G$8,"")</f>
        <v/>
      </c>
      <c r="CO315" s="518" t="str">
        <f>IF(AND(_A6="A-330-300",'2025'!$L$4="FO",'2025'!$L$2=CO309),'2025DATA'!$H$8,"")</f>
        <v/>
      </c>
      <c r="CP315" s="518" t="str">
        <f>IF(AND(_A6="A-330-300",'2025'!$L$4="FO",'2025'!$L$2=CP309),'2025DATA'!$I$8,"")</f>
        <v/>
      </c>
      <c r="CQ315" s="518" t="str">
        <f>IF(AND(_A6="A-330-300",'2025'!$L$4="FO",'2025'!$L$2=CQ309),'2025DATA'!$J$8,"")</f>
        <v/>
      </c>
      <c r="CR315" s="518" t="str">
        <f>IF(AND(_A6="A-330-300",'2025'!$L$4="FO",'2025'!$L$2=CR309),'2025DATA'!$K$8,"")</f>
        <v/>
      </c>
      <c r="CS315" s="518" t="str">
        <f>IF(AND(_A6="A-330-300",'2025'!$L$4="FO",'2025'!$L$2=CS309),'2025DATA'!$L$8,"")</f>
        <v/>
      </c>
      <c r="CT315" s="518" t="str">
        <f>IF(AND(_A6="A-330-300",'2025'!$L$4="FO",'2025'!$L$2=CT309),'2025DATA'!$M$8,"")</f>
        <v/>
      </c>
      <c r="CU315" s="520" t="str">
        <f>IF(AND(_A6="A-330-300",'2025'!$L$4="FO",'2025'!$L$2=CU309),'2025DATA'!$N$8,"")</f>
        <v/>
      </c>
    </row>
    <row r="316" spans="16:99" x14ac:dyDescent="0.25">
      <c r="P316" s="940" t="s">
        <v>66</v>
      </c>
      <c r="Q316" s="13" t="s">
        <v>61</v>
      </c>
      <c r="R316" s="518" t="str">
        <f>IF(AND(_A1="A-330-200",'2025'!$L$4="CA",'2025'!$L$2=R309),'2025DATA'!$C$9,"")</f>
        <v/>
      </c>
      <c r="S316" s="518" t="str">
        <f>IF(AND(_A1="A-330-200",'2025'!$L$4="CA",'2025'!$L$2=S309),'2025DATA'!$D$9,"")</f>
        <v/>
      </c>
      <c r="T316" s="518" t="str">
        <f>IF(AND(_A1="A-330-200",'2025'!$L$4="CA",'2025'!$L$2=T309),'2025DATA'!$E$9,"")</f>
        <v/>
      </c>
      <c r="U316" s="518" t="str">
        <f>IF(AND(_A1="A-330-200",'2025'!$L$4="CA",'2025'!$L$2=U309),'2025DATA'!$F$9,"")</f>
        <v/>
      </c>
      <c r="V316" s="518" t="str">
        <f>IF(AND(_A1="A-330-200",'2025'!$L$4="CA",'2025'!$L$2=V309),'2025DATA'!$G$9,"")</f>
        <v/>
      </c>
      <c r="W316" s="518" t="str">
        <f>IF(AND(_A1="A-330-200",'2025'!$L$4="CA",'2025'!$L$2=W309),'2025DATA'!$H$9,"")</f>
        <v/>
      </c>
      <c r="X316" s="518" t="str">
        <f>IF(AND(_A1="A-330-200",'2025'!$L$4="CA",'2025'!$L$2=X309),'2025DATA'!$I$9,"")</f>
        <v/>
      </c>
      <c r="Y316" s="518" t="str">
        <f>IF(AND(_A1="A-330-200",'2025'!$L$4="CA",'2025'!$L$2=Y309),'2025DATA'!$J$9,"")</f>
        <v/>
      </c>
      <c r="Z316" s="518" t="str">
        <f>IF(AND(_A1="A-330-200",'2025'!$L$4="CA",'2025'!$L$2=Z309),'2025DATA'!$K$9,"")</f>
        <v/>
      </c>
      <c r="AA316" s="518" t="str">
        <f>IF(AND(_A1="A-330-200",'2025'!$L$4="CA",'2025'!$L$2=AA309),'2025DATA'!$L$9,"")</f>
        <v/>
      </c>
      <c r="AB316" s="518" t="str">
        <f>IF(AND(_A1="A-330-200",'2025'!$L$4="CA",'2025'!$L$2=AB309),'2025DATA'!$M$9,"")</f>
        <v/>
      </c>
      <c r="AC316" s="520" t="str">
        <f>IF(AND(_A1="A-330-200",'2025'!$L$4="CA",'2025'!$L$2=AC309),'2025DATA'!$N$9,"")</f>
        <v/>
      </c>
      <c r="AD316" s="940" t="s">
        <v>66</v>
      </c>
      <c r="AE316" s="13" t="s">
        <v>61</v>
      </c>
      <c r="AF316" s="518" t="str">
        <f>IF(AND(_A2="A-330-200",'2025'!$L$4="CA",'2025'!$L$2=AF309),'2025DATA'!$C$9,"")</f>
        <v/>
      </c>
      <c r="AG316" s="518" t="str">
        <f>IF(AND(_A2="A-330-200",'2025'!$L$4="CA",'2025'!$L$2=AG309),'2025DATA'!$D$9,"")</f>
        <v/>
      </c>
      <c r="AH316" s="518" t="str">
        <f>IF(AND(_A2="A-330-200",'2025'!$L$4="CA",'2025'!$L$2=AH309),'2025DATA'!$E$9,"")</f>
        <v/>
      </c>
      <c r="AI316" s="518" t="str">
        <f>IF(AND(_A2="A-330-200",'2025'!$L$4="CA",'2025'!$L$2=AI309),'2025DATA'!$F$9,"")</f>
        <v/>
      </c>
      <c r="AJ316" s="518" t="str">
        <f>IF(AND(_A2="A-330-200",'2025'!$L$4="CA",'2025'!$L$2=AJ309),'2025DATA'!$G$9,"")</f>
        <v/>
      </c>
      <c r="AK316" s="518" t="str">
        <f>IF(AND(_A2="A-330-200",'2025'!$L$4="CA",'2025'!$L$2=AK309),'2025DATA'!$H$9,"")</f>
        <v/>
      </c>
      <c r="AL316" s="518" t="str">
        <f>IF(AND(_A2="A-330-200",'2025'!$L$4="CA",'2025'!$L$2=AL309),'2025DATA'!$I$9,"")</f>
        <v/>
      </c>
      <c r="AM316" s="518" t="str">
        <f>IF(AND(_A2="A-330-200",'2025'!$L$4="CA",'2025'!$L$2=AM309),'2025DATA'!$J$9,"")</f>
        <v/>
      </c>
      <c r="AN316" s="518" t="str">
        <f>IF(AND(_A2="A-330-200",'2025'!$L$4="CA",'2025'!$L$2=AN309),'2025DATA'!$K$9,"")</f>
        <v/>
      </c>
      <c r="AO316" s="518" t="str">
        <f>IF(AND(_A2="A-330-200",'2025'!$L$4="CA",'2025'!$L$2=AO309),'2025DATA'!$L$9,"")</f>
        <v/>
      </c>
      <c r="AP316" s="518" t="str">
        <f>IF(AND(_A2="A-330-200",'2025'!$L$4="CA",'2025'!$L$2=AP309),'2025DATA'!$M$9,"")</f>
        <v/>
      </c>
      <c r="AQ316" s="520" t="str">
        <f>IF(AND(_A2="A-330-200",'2025'!$L$4="CA",'2025'!$L$2=AQ309),'2025DATA'!$N$9,"")</f>
        <v/>
      </c>
      <c r="AR316" s="940" t="s">
        <v>66</v>
      </c>
      <c r="AS316" s="13" t="s">
        <v>61</v>
      </c>
      <c r="AT316" s="518" t="str">
        <f>IF(AND(_A3="A-330-200",'2025'!$L$4="CA",'2025'!$L$2=AT309),'2025DATA'!$C$9,"")</f>
        <v/>
      </c>
      <c r="AU316" s="518" t="str">
        <f>IF(AND(_A3="A-330-200",'2025'!$L$4="CA",'2025'!$L$2=AU309),'2025DATA'!$D$9,"")</f>
        <v/>
      </c>
      <c r="AV316" s="518" t="str">
        <f>IF(AND(_A3="A-330-200",'2025'!$L$4="CA",'2025'!$L$2=AV309),'2025DATA'!$E$9,"")</f>
        <v/>
      </c>
      <c r="AW316" s="518" t="str">
        <f>IF(AND(_A3="A-330-200",'2025'!$L$4="CA",'2025'!$L$2=AW309),'2025DATA'!$F$9,"")</f>
        <v/>
      </c>
      <c r="AX316" s="518" t="str">
        <f>IF(AND(_A3="A-330-200",'2025'!$L$4="CA",'2025'!$L$2=AX309),'2025DATA'!$G$9,"")</f>
        <v/>
      </c>
      <c r="AY316" s="518" t="str">
        <f>IF(AND(_A3="A-330-200",'2025'!$L$4="CA",'2025'!$L$2=AY309),'2025DATA'!$H$9,"")</f>
        <v/>
      </c>
      <c r="AZ316" s="518" t="str">
        <f>IF(AND(_A3="A-330-200",'2025'!$L$4="CA",'2025'!$L$2=AZ309),'2025DATA'!$I$9,"")</f>
        <v/>
      </c>
      <c r="BA316" s="518" t="str">
        <f>IF(AND(_A3="A-330-200",'2025'!$L$4="CA",'2025'!$L$2=BA309),'2025DATA'!$J$9,"")</f>
        <v/>
      </c>
      <c r="BB316" s="518" t="str">
        <f>IF(AND(_A3="A-330-200",'2025'!$L$4="CA",'2025'!$L$2=BB309),'2025DATA'!$K$9,"")</f>
        <v/>
      </c>
      <c r="BC316" s="518" t="str">
        <f>IF(AND(_A3="A-330-200",'2025'!$L$4="CA",'2025'!$L$2=BC309),'2025DATA'!$L$9,"")</f>
        <v/>
      </c>
      <c r="BD316" s="518" t="str">
        <f>IF(AND(_A3="A-330-200",'2025'!$L$4="CA",'2025'!$L$2=BD309),'2025DATA'!$M$9,"")</f>
        <v/>
      </c>
      <c r="BE316" s="520" t="str">
        <f>IF(AND(_A3="A-330-200",'2025'!$L$4="CA",'2025'!$L$2=BE309),'2025DATA'!$N$9,"")</f>
        <v/>
      </c>
      <c r="BF316" s="940" t="s">
        <v>66</v>
      </c>
      <c r="BG316" s="13" t="s">
        <v>61</v>
      </c>
      <c r="BH316" s="518" t="str">
        <f>IF(AND(_A4="A-330-200",'2025'!$L$4="CA",'2025'!$L$2=BH309),'2025DATA'!$C$9,"")</f>
        <v/>
      </c>
      <c r="BI316" s="518" t="str">
        <f>IF(AND(_A4="A-330-200",'2025'!$L$4="CA",'2025'!$L$2=BI309),'2025DATA'!$D$9,"")</f>
        <v/>
      </c>
      <c r="BJ316" s="518" t="str">
        <f>IF(AND(_A4="A-330-200",'2025'!$L$4="CA",'2025'!$L$2=BJ309),'2025DATA'!$E$9,"")</f>
        <v/>
      </c>
      <c r="BK316" s="518" t="str">
        <f>IF(AND(_A4="A-330-200",'2025'!$L$4="CA",'2025'!$L$2=BK309),'2025DATA'!$F$9,"")</f>
        <v/>
      </c>
      <c r="BL316" s="518" t="str">
        <f>IF(AND(_A4="A-330-200",'2025'!$L$4="CA",'2025'!$L$2=BL309),'2025DATA'!$G$9,"")</f>
        <v/>
      </c>
      <c r="BM316" s="518" t="str">
        <f>IF(AND(_A4="A-330-200",'2025'!$L$4="CA",'2025'!$L$2=BM309),'2025DATA'!$H$9,"")</f>
        <v/>
      </c>
      <c r="BN316" s="518" t="str">
        <f>IF(AND(_A4="A-330-200",'2025'!$L$4="CA",'2025'!$L$2=BN309),'2025DATA'!$I$9,"")</f>
        <v/>
      </c>
      <c r="BO316" s="518" t="str">
        <f>IF(AND(_A4="A-330-200",'2025'!$L$4="CA",'2025'!$L$2=BO309),'2025DATA'!$J$9,"")</f>
        <v/>
      </c>
      <c r="BP316" s="518" t="str">
        <f>IF(AND(_A4="A-330-200",'2025'!$L$4="CA",'2025'!$L$2=BP309),'2025DATA'!$K$9,"")</f>
        <v/>
      </c>
      <c r="BQ316" s="518" t="str">
        <f>IF(AND(_A4="A-330-200",'2025'!$L$4="CA",'2025'!$L$2=BQ309),'2025DATA'!$L$9,"")</f>
        <v/>
      </c>
      <c r="BR316" s="518" t="str">
        <f>IF(AND(_A4="A-330-200",'2025'!$L$4="CA",'2025'!$L$2=BR309),'2025DATA'!$M$9,"")</f>
        <v/>
      </c>
      <c r="BS316" s="520" t="str">
        <f>IF(AND(_A4="A-330-200",'2025'!$L$4="CA",'2025'!$L$2=BS309),'2025DATA'!$N$9,"")</f>
        <v/>
      </c>
      <c r="BT316" s="940" t="s">
        <v>66</v>
      </c>
      <c r="BU316" s="13" t="s">
        <v>61</v>
      </c>
      <c r="BV316" s="518" t="str">
        <f>IF(AND(_A5="A-330-200",'2025'!$L$4="CA",'2025'!$L$2=BV309),'2025DATA'!$C$9,"")</f>
        <v/>
      </c>
      <c r="BW316" s="518" t="str">
        <f>IF(AND(_A5="A-330-200",'2025'!$L$4="CA",'2025'!$L$2=BW309),'2025DATA'!$D$9,"")</f>
        <v/>
      </c>
      <c r="BX316" s="518" t="str">
        <f>IF(AND(_A5="A-330-200",'2025'!$L$4="CA",'2025'!$L$2=BX309),'2025DATA'!$E$9,"")</f>
        <v/>
      </c>
      <c r="BY316" s="518" t="str">
        <f>IF(AND(_A5="A-330-200",'2025'!$L$4="CA",'2025'!$L$2=BY309),'2025DATA'!$F$9,"")</f>
        <v/>
      </c>
      <c r="BZ316" s="518" t="str">
        <f>IF(AND(_A5="A-330-200",'2025'!$L$4="CA",'2025'!$L$2=BZ309),'2025DATA'!$G$9,"")</f>
        <v/>
      </c>
      <c r="CA316" s="518" t="str">
        <f>IF(AND(_A5="A-330-200",'2025'!$L$4="CA",'2025'!$L$2=CA309),'2025DATA'!$H$9,"")</f>
        <v/>
      </c>
      <c r="CB316" s="518" t="str">
        <f>IF(AND(_A5="A-330-200",'2025'!$L$4="CA",'2025'!$L$2=CB309),'2025DATA'!$I$9,"")</f>
        <v/>
      </c>
      <c r="CC316" s="518" t="str">
        <f>IF(AND(_A5="A-330-200",'2025'!$L$4="CA",'2025'!$L$2=CC309),'2025DATA'!$J$9,"")</f>
        <v/>
      </c>
      <c r="CD316" s="518" t="str">
        <f>IF(AND(_A5="A-330-200",'2025'!$L$4="CA",'2025'!$L$2=CD309),'2025DATA'!$K$9,"")</f>
        <v/>
      </c>
      <c r="CE316" s="518" t="str">
        <f>IF(AND(_A5="A-330-200",'2025'!$L$4="CA",'2025'!$L$2=CE309),'2025DATA'!$L$9,"")</f>
        <v/>
      </c>
      <c r="CF316" s="518" t="str">
        <f>IF(AND(_A5="A-330-200",'2025'!$L$4="CA",'2025'!$L$2=CF309),'2025DATA'!$M$9,"")</f>
        <v/>
      </c>
      <c r="CG316" s="520" t="str">
        <f>IF(AND(_A5="A-330-200",'2025'!$L$4="CA",'2025'!$L$2=CG309),'2025DATA'!$N$9,"")</f>
        <v/>
      </c>
      <c r="CH316" s="940" t="s">
        <v>66</v>
      </c>
      <c r="CI316" s="13" t="s">
        <v>61</v>
      </c>
      <c r="CJ316" s="518" t="str">
        <f>IF(AND(_A6="A-330-200",'2025'!$L$4="CA",'2025'!$L$2=CJ309),'2025DATA'!$C$9,"")</f>
        <v/>
      </c>
      <c r="CK316" s="518" t="str">
        <f>IF(AND(_A6="A-330-200",'2025'!$L$4="CA",'2025'!$L$2=CK309),'2025DATA'!$D$9,"")</f>
        <v/>
      </c>
      <c r="CL316" s="518" t="str">
        <f>IF(AND(_A6="A-330-200",'2025'!$L$4="CA",'2025'!$L$2=CL309),'2025DATA'!$E$9,"")</f>
        <v/>
      </c>
      <c r="CM316" s="518" t="str">
        <f>IF(AND(_A6="A-330-200",'2025'!$L$4="CA",'2025'!$L$2=CM309),'2025DATA'!$F$9,"")</f>
        <v/>
      </c>
      <c r="CN316" s="518" t="str">
        <f>IF(AND(_A6="A-330-200",'2025'!$L$4="CA",'2025'!$L$2=CN309),'2025DATA'!$G$9,"")</f>
        <v/>
      </c>
      <c r="CO316" s="518" t="str">
        <f>IF(AND(_A6="A-330-200",'2025'!$L$4="CA",'2025'!$L$2=CO309),'2025DATA'!$H$9,"")</f>
        <v/>
      </c>
      <c r="CP316" s="518" t="str">
        <f>IF(AND(_A6="A-330-200",'2025'!$L$4="CA",'2025'!$L$2=CP309),'2025DATA'!$I$9,"")</f>
        <v/>
      </c>
      <c r="CQ316" s="518" t="str">
        <f>IF(AND(_A6="A-330-200",'2025'!$L$4="CA",'2025'!$L$2=CQ309),'2025DATA'!$J$9,"")</f>
        <v/>
      </c>
      <c r="CR316" s="518" t="str">
        <f>IF(AND(_A6="A-330-200",'2025'!$L$4="CA",'2025'!$L$2=CR309),'2025DATA'!$K$9,"")</f>
        <v/>
      </c>
      <c r="CS316" s="518" t="str">
        <f>IF(AND(_A6="A-330-200",'2025'!$L$4="CA",'2025'!$L$2=CS309),'2025DATA'!$L$9,"")</f>
        <v/>
      </c>
      <c r="CT316" s="518" t="str">
        <f>IF(AND(_A6="A-330-200",'2025'!$L$4="CA",'2025'!$L$2=CT309),'2025DATA'!$M$9,"")</f>
        <v/>
      </c>
      <c r="CU316" s="520" t="str">
        <f>IF(AND(_A6="A-330-200",'2025'!$L$4="CA",'2025'!$L$2=CU309),'2025DATA'!$N$9,"")</f>
        <v/>
      </c>
    </row>
    <row r="317" spans="16:99" x14ac:dyDescent="0.25">
      <c r="P317" s="940"/>
      <c r="Q317" s="13" t="s">
        <v>62</v>
      </c>
      <c r="R317" s="518" t="str">
        <f>IF(AND(_A1="A-330-200",'2025'!$L$4="FO",'2025'!$L$2=R309),'2025DATA'!$C$10,"")</f>
        <v/>
      </c>
      <c r="S317" s="518" t="str">
        <f>IF(AND(_A1="A-330-200",'2025'!$L$4="FO",'2025'!$L$2=S309),'2025DATA'!$D$10,"")</f>
        <v/>
      </c>
      <c r="T317" s="518" t="str">
        <f>IF(AND(_A1="A-330-200",'2025'!$L$4="FO",'2025'!$L$2=T309),'2025DATA'!$E$10,"")</f>
        <v/>
      </c>
      <c r="U317" s="518" t="str">
        <f>IF(AND(_A1="A-330-200",'2025'!$L$4="FO",'2025'!$L$2=U309),'2025DATA'!$F$10,"")</f>
        <v/>
      </c>
      <c r="V317" s="518" t="str">
        <f>IF(AND(_A1="A-330-200",'2025'!$L$4="FO",'2025'!$L$2=V309),'2025DATA'!$G$10,"")</f>
        <v/>
      </c>
      <c r="W317" s="518" t="str">
        <f>IF(AND(_A1="A-330-200",'2025'!$L$4="FO",'2025'!$L$2=W309),'2025DATA'!$H$10,"")</f>
        <v/>
      </c>
      <c r="X317" s="518" t="str">
        <f>IF(AND(_A1="A-330-200",'2025'!$L$4="FO",'2025'!$L$2=X309),'2025DATA'!$I$10,"")</f>
        <v/>
      </c>
      <c r="Y317" s="518" t="str">
        <f>IF(AND(_A1="A-330-200",'2025'!$L$4="FO",'2025'!$L$2=Y309),'2025DATA'!$J$10,"")</f>
        <v/>
      </c>
      <c r="Z317" s="518" t="str">
        <f>IF(AND(_A1="A-330-200",'2025'!$L$4="FO",'2025'!$L$2=Z309),'2025DATA'!$K$10,"")</f>
        <v/>
      </c>
      <c r="AA317" s="518" t="str">
        <f>IF(AND(_A1="A-330-200",'2025'!$L$4="FO",'2025'!$L$2=AA309),'2025DATA'!$L$10,"")</f>
        <v/>
      </c>
      <c r="AB317" s="518" t="str">
        <f>IF(AND(_A1="A-330-200",'2025'!$L$4="FO",'2025'!$L$2=AB309),'2025DATA'!$M$10,"")</f>
        <v/>
      </c>
      <c r="AC317" s="520" t="str">
        <f>IF(AND(_A1="A-330-200",'2025'!$L$4="FO",'2025'!$L$2=AC309),'2025DATA'!$N$10,"")</f>
        <v/>
      </c>
      <c r="AD317" s="940"/>
      <c r="AE317" s="13" t="s">
        <v>62</v>
      </c>
      <c r="AF317" s="518" t="str">
        <f>IF(AND(_A2="A-330-200",'2025'!$L$4="FO",'2025'!$L$2=AF309),'2025DATA'!$C$10,"")</f>
        <v/>
      </c>
      <c r="AG317" s="518" t="str">
        <f>IF(AND(_A2="A-330-200",'2025'!$L$4="FO",'2025'!$L$2=AG309),'2025DATA'!$D$10,"")</f>
        <v/>
      </c>
      <c r="AH317" s="518" t="str">
        <f>IF(AND(_A2="A-330-200",'2025'!$L$4="FO",'2025'!$L$2=AH309),'2025DATA'!$E$10,"")</f>
        <v/>
      </c>
      <c r="AI317" s="518" t="str">
        <f>IF(AND(_A2="A-330-200",'2025'!$L$4="FO",'2025'!$L$2=AI309),'2025DATA'!$F$10,"")</f>
        <v/>
      </c>
      <c r="AJ317" s="518" t="str">
        <f>IF(AND(_A2="A-330-200",'2025'!$L$4="FO",'2025'!$L$2=AJ309),'2025DATA'!$G$10,"")</f>
        <v/>
      </c>
      <c r="AK317" s="518" t="str">
        <f>IF(AND(_A2="A-330-200",'2025'!$L$4="FO",'2025'!$L$2=AK309),'2025DATA'!$H$10,"")</f>
        <v/>
      </c>
      <c r="AL317" s="518" t="str">
        <f>IF(AND(_A2="A-330-200",'2025'!$L$4="FO",'2025'!$L$2=AL309),'2025DATA'!$I$10,"")</f>
        <v/>
      </c>
      <c r="AM317" s="518" t="str">
        <f>IF(AND(_A2="A-330-200",'2025'!$L$4="FO",'2025'!$L$2=AM309),'2025DATA'!$J$10,"")</f>
        <v/>
      </c>
      <c r="AN317" s="518" t="str">
        <f>IF(AND(_A2="A-330-200",'2025'!$L$4="FO",'2025'!$L$2=AN309),'2025DATA'!$K$10,"")</f>
        <v/>
      </c>
      <c r="AO317" s="518" t="str">
        <f>IF(AND(_A2="A-330-200",'2025'!$L$4="FO",'2025'!$L$2=AO309),'2025DATA'!$L$10,"")</f>
        <v/>
      </c>
      <c r="AP317" s="518" t="str">
        <f>IF(AND(_A2="A-330-200",'2025'!$L$4="FO",'2025'!$L$2=AP309),'2025DATA'!$M$10,"")</f>
        <v/>
      </c>
      <c r="AQ317" s="520" t="str">
        <f>IF(AND(_A2="A-330-200",'2025'!$L$4="FO",'2025'!$L$2=AQ309),'2025DATA'!$N$10,"")</f>
        <v/>
      </c>
      <c r="AR317" s="940"/>
      <c r="AS317" s="13" t="s">
        <v>62</v>
      </c>
      <c r="AT317" s="518" t="str">
        <f>IF(AND(_A3="A-330-200",'2025'!$L$4="FO",'2025'!$L$2=AT309),'2025DATA'!$C$10,"")</f>
        <v/>
      </c>
      <c r="AU317" s="518" t="str">
        <f>IF(AND(_A3="A-330-200",'2025'!$L$4="FO",'2025'!$L$2=AU309),'2025DATA'!$D$10,"")</f>
        <v/>
      </c>
      <c r="AV317" s="518" t="str">
        <f>IF(AND(_A3="A-330-200",'2025'!$L$4="FO",'2025'!$L$2=AV309),'2025DATA'!$E$10,"")</f>
        <v/>
      </c>
      <c r="AW317" s="518" t="str">
        <f>IF(AND(_A3="A-330-200",'2025'!$L$4="FO",'2025'!$L$2=AW309),'2025DATA'!$F$10,"")</f>
        <v/>
      </c>
      <c r="AX317" s="518" t="str">
        <f>IF(AND(_A3="A-330-200",'2025'!$L$4="FO",'2025'!$L$2=AX309),'2025DATA'!$G$10,"")</f>
        <v/>
      </c>
      <c r="AY317" s="518" t="str">
        <f>IF(AND(_A3="A-330-200",'2025'!$L$4="FO",'2025'!$L$2=AY309),'2025DATA'!$H$10,"")</f>
        <v/>
      </c>
      <c r="AZ317" s="518" t="str">
        <f>IF(AND(_A3="A-330-200",'2025'!$L$4="FO",'2025'!$L$2=AZ309),'2025DATA'!$I$10,"")</f>
        <v/>
      </c>
      <c r="BA317" s="518" t="str">
        <f>IF(AND(_A3="A-330-200",'2025'!$L$4="FO",'2025'!$L$2=BA309),'2025DATA'!$J$10,"")</f>
        <v/>
      </c>
      <c r="BB317" s="518" t="str">
        <f>IF(AND(_A3="A-330-200",'2025'!$L$4="FO",'2025'!$L$2=BB309),'2025DATA'!$K$10,"")</f>
        <v/>
      </c>
      <c r="BC317" s="518" t="str">
        <f>IF(AND(_A3="A-330-200",'2025'!$L$4="FO",'2025'!$L$2=BC309),'2025DATA'!$L$10,"")</f>
        <v/>
      </c>
      <c r="BD317" s="518" t="str">
        <f>IF(AND(_A3="A-330-200",'2025'!$L$4="FO",'2025'!$L$2=BD309),'2025DATA'!$M$10,"")</f>
        <v/>
      </c>
      <c r="BE317" s="520" t="str">
        <f>IF(AND(_A3="A-330-200",'2025'!$L$4="FO",'2025'!$L$2=BE309),'2025DATA'!$N$10,"")</f>
        <v/>
      </c>
      <c r="BF317" s="940"/>
      <c r="BG317" s="13" t="s">
        <v>62</v>
      </c>
      <c r="BH317" s="518" t="str">
        <f>IF(AND(_A4="A-330-200",'2025'!$L$4="FO",'2025'!$L$2=BH309),'2025DATA'!$C$10,"")</f>
        <v/>
      </c>
      <c r="BI317" s="518" t="str">
        <f>IF(AND(_A4="A-330-200",'2025'!$L$4="FO",'2025'!$L$2=BI309),'2025DATA'!$D$10,"")</f>
        <v/>
      </c>
      <c r="BJ317" s="518" t="str">
        <f>IF(AND(_A4="A-330-200",'2025'!$L$4="FO",'2025'!$L$2=BJ309),'2025DATA'!$E$10,"")</f>
        <v/>
      </c>
      <c r="BK317" s="518" t="str">
        <f>IF(AND(_A4="A-330-200",'2025'!$L$4="FO",'2025'!$L$2=BK309),'2025DATA'!$F$10,"")</f>
        <v/>
      </c>
      <c r="BL317" s="518" t="str">
        <f>IF(AND(_A4="A-330-200",'2025'!$L$4="FO",'2025'!$L$2=BL309),'2025DATA'!$G$10,"")</f>
        <v/>
      </c>
      <c r="BM317" s="518" t="str">
        <f>IF(AND(_A4="A-330-200",'2025'!$L$4="FO",'2025'!$L$2=BM309),'2025DATA'!$H$10,"")</f>
        <v/>
      </c>
      <c r="BN317" s="518" t="str">
        <f>IF(AND(_A4="A-330-200",'2025'!$L$4="FO",'2025'!$L$2=BN309),'2025DATA'!$I$10,"")</f>
        <v/>
      </c>
      <c r="BO317" s="518" t="str">
        <f>IF(AND(_A4="A-330-200",'2025'!$L$4="FO",'2025'!$L$2=BO309),'2025DATA'!$J$10,"")</f>
        <v/>
      </c>
      <c r="BP317" s="518" t="str">
        <f>IF(AND(_A4="A-330-200",'2025'!$L$4="FO",'2025'!$L$2=BP309),'2025DATA'!$K$10,"")</f>
        <v/>
      </c>
      <c r="BQ317" s="518" t="str">
        <f>IF(AND(_A4="A-330-200",'2025'!$L$4="FO",'2025'!$L$2=BQ309),'2025DATA'!$L$10,"")</f>
        <v/>
      </c>
      <c r="BR317" s="518" t="str">
        <f>IF(AND(_A4="A-330-200",'2025'!$L$4="FO",'2025'!$L$2=BR309),'2025DATA'!$M$10,"")</f>
        <v/>
      </c>
      <c r="BS317" s="520" t="str">
        <f>IF(AND(_A4="A-330-200",'2025'!$L$4="FO",'2025'!$L$2=BS309),'2025DATA'!$N$10,"")</f>
        <v/>
      </c>
      <c r="BT317" s="940"/>
      <c r="BU317" s="13" t="s">
        <v>62</v>
      </c>
      <c r="BV317" s="518" t="str">
        <f>IF(AND(_A5="A-330-200",'2025'!$L$4="FO",'2025'!$L$2=BV309),'2025DATA'!$C$10,"")</f>
        <v/>
      </c>
      <c r="BW317" s="518" t="str">
        <f>IF(AND(_A5="A-330-200",'2025'!$L$4="FO",'2025'!$L$2=BW309),'2025DATA'!$D$10,"")</f>
        <v/>
      </c>
      <c r="BX317" s="518" t="str">
        <f>IF(AND(_A5="A-330-200",'2025'!$L$4="FO",'2025'!$L$2=BX309),'2025DATA'!$E$10,"")</f>
        <v/>
      </c>
      <c r="BY317" s="518" t="str">
        <f>IF(AND(_A5="A-330-200",'2025'!$L$4="FO",'2025'!$L$2=BY309),'2025DATA'!$F$10,"")</f>
        <v/>
      </c>
      <c r="BZ317" s="518" t="str">
        <f>IF(AND(_A5="A-330-200",'2025'!$L$4="FO",'2025'!$L$2=BZ309),'2025DATA'!$G$10,"")</f>
        <v/>
      </c>
      <c r="CA317" s="518" t="str">
        <f>IF(AND(_A5="A-330-200",'2025'!$L$4="FO",'2025'!$L$2=CA309),'2025DATA'!$H$10,"")</f>
        <v/>
      </c>
      <c r="CB317" s="518" t="str">
        <f>IF(AND(_A5="A-330-200",'2025'!$L$4="FO",'2025'!$L$2=CB309),'2025DATA'!$I$10,"")</f>
        <v/>
      </c>
      <c r="CC317" s="518" t="str">
        <f>IF(AND(_A5="A-330-200",'2025'!$L$4="FO",'2025'!$L$2=CC309),'2025DATA'!$J$10,"")</f>
        <v/>
      </c>
      <c r="CD317" s="518" t="str">
        <f>IF(AND(_A5="A-330-200",'2025'!$L$4="FO",'2025'!$L$2=CD309),'2025DATA'!$K$10,"")</f>
        <v/>
      </c>
      <c r="CE317" s="518" t="str">
        <f>IF(AND(_A5="A-330-200",'2025'!$L$4="FO",'2025'!$L$2=CE309),'2025DATA'!$L$10,"")</f>
        <v/>
      </c>
      <c r="CF317" s="518" t="str">
        <f>IF(AND(_A5="A-330-200",'2025'!$L$4="FO",'2025'!$L$2=CF309),'2025DATA'!$M$10,"")</f>
        <v/>
      </c>
      <c r="CG317" s="520" t="str">
        <f>IF(AND(_A5="A-330-200",'2025'!$L$4="FO",'2025'!$L$2=CG309),'2025DATA'!$N$10,"")</f>
        <v/>
      </c>
      <c r="CH317" s="940"/>
      <c r="CI317" s="13" t="s">
        <v>62</v>
      </c>
      <c r="CJ317" s="518" t="str">
        <f>IF(AND(_A6="A-330-200",'2025'!$L$4="FO",'2025'!$L$2=CJ309),'2025DATA'!$C$10,"")</f>
        <v/>
      </c>
      <c r="CK317" s="518" t="str">
        <f>IF(AND(_A6="A-330-200",'2025'!$L$4="FO",'2025'!$L$2=CK309),'2025DATA'!$D$10,"")</f>
        <v/>
      </c>
      <c r="CL317" s="518" t="str">
        <f>IF(AND(_A6="A-330-200",'2025'!$L$4="FO",'2025'!$L$2=CL309),'2025DATA'!$E$10,"")</f>
        <v/>
      </c>
      <c r="CM317" s="518" t="str">
        <f>IF(AND(_A6="A-330-200",'2025'!$L$4="FO",'2025'!$L$2=CM309),'2025DATA'!$F$10,"")</f>
        <v/>
      </c>
      <c r="CN317" s="518" t="str">
        <f>IF(AND(_A6="A-330-200",'2025'!$L$4="FO",'2025'!$L$2=CN309),'2025DATA'!$G$10,"")</f>
        <v/>
      </c>
      <c r="CO317" s="518" t="str">
        <f>IF(AND(_A6="A-330-200",'2025'!$L$4="FO",'2025'!$L$2=CO309),'2025DATA'!$H$10,"")</f>
        <v/>
      </c>
      <c r="CP317" s="518" t="str">
        <f>IF(AND(_A6="A-330-200",'2025'!$L$4="FO",'2025'!$L$2=CP309),'2025DATA'!$I$10,"")</f>
        <v/>
      </c>
      <c r="CQ317" s="518" t="str">
        <f>IF(AND(_A6="A-330-200",'2025'!$L$4="FO",'2025'!$L$2=CQ309),'2025DATA'!$J$10,"")</f>
        <v/>
      </c>
      <c r="CR317" s="518" t="str">
        <f>IF(AND(_A6="A-330-200",'2025'!$L$4="FO",'2025'!$L$2=CR309),'2025DATA'!$K$10,"")</f>
        <v/>
      </c>
      <c r="CS317" s="518" t="str">
        <f>IF(AND(_A6="A-330-200",'2025'!$L$4="FO",'2025'!$L$2=CS309),'2025DATA'!$L$10,"")</f>
        <v/>
      </c>
      <c r="CT317" s="518" t="str">
        <f>IF(AND(_A6="A-330-200",'2025'!$L$4="FO",'2025'!$L$2=CT309),'2025DATA'!$M$10,"")</f>
        <v/>
      </c>
      <c r="CU317" s="520" t="str">
        <f>IF(AND(_A6="A-330-200",'2025'!$L$4="FO",'2025'!$L$2=CU309),'2025DATA'!$N$10,"")</f>
        <v/>
      </c>
    </row>
    <row r="318" spans="16:99" x14ac:dyDescent="0.25">
      <c r="P318" s="940" t="s">
        <v>42</v>
      </c>
      <c r="Q318" s="13" t="s">
        <v>61</v>
      </c>
      <c r="R318" s="518" t="str">
        <f>IF(AND(_A1="B-767-400ER",'2025'!$L$4="CA",'2025'!$L$2=R309),'2025DATA'!$C$11,"")</f>
        <v/>
      </c>
      <c r="S318" s="518" t="str">
        <f>IF(AND(_A1="B-767-400ER",'2025'!$L$4="CA",'2025'!$L$2=S309),'2025DATA'!$D$11,"")</f>
        <v/>
      </c>
      <c r="T318" s="518" t="str">
        <f>IF(AND(_A1="B-767-400ER",'2025'!$L$4="CA",'2025'!$L$2=T309),'2025DATA'!$E$11,"")</f>
        <v/>
      </c>
      <c r="U318" s="518" t="str">
        <f>IF(AND(_A1="B-767-400ER",'2025'!$L$4="CA",'2025'!$L$2=U309),'2025DATA'!$F$11,"")</f>
        <v/>
      </c>
      <c r="V318" s="518" t="str">
        <f>IF(AND(_A1="B-767-400ER",'2025'!$L$4="CA",'2025'!$L$2=V309),'2025DATA'!$G$11,"")</f>
        <v/>
      </c>
      <c r="W318" s="518" t="str">
        <f>IF(AND(_A1="B-767-400ER",'2025'!$L$4="CA",'2025'!$L$2=W309),'2025DATA'!$H$11,"")</f>
        <v/>
      </c>
      <c r="X318" s="518" t="str">
        <f>IF(AND(_A1="B-767-400ER",'2025'!$L$4="CA",'2025'!$L$2=X309),'2025DATA'!$I$11,"")</f>
        <v/>
      </c>
      <c r="Y318" s="518" t="str">
        <f>IF(AND(_A1="B-767-400ER",'2025'!$L$4="CA",'2025'!$L$2=Y309),'2025DATA'!$J$11,"")</f>
        <v/>
      </c>
      <c r="Z318" s="518" t="str">
        <f>IF(AND(_A1="B-767-400ER",'2025'!$L$4="CA",'2025'!$L$2=Z309),'2025DATA'!$K$11,"")</f>
        <v/>
      </c>
      <c r="AA318" s="518" t="str">
        <f>IF(AND(_A1="B-767-400ER",'2025'!$L$4="CA",'2025'!$L$2=AA309),'2025DATA'!$L$11,"")</f>
        <v/>
      </c>
      <c r="AB318" s="518" t="str">
        <f>IF(AND(_A1="B-767-400ER",'2025'!$L$4="CA",'2025'!$L$2=AB309),'2025DATA'!$M$11,"")</f>
        <v/>
      </c>
      <c r="AC318" s="520" t="str">
        <f>IF(AND(_A1="B-767-400ER",'2025'!$L$4="CA",'2025'!$L$2=AC309),'2025DATA'!$N$11,"")</f>
        <v/>
      </c>
      <c r="AD318" s="940" t="s">
        <v>42</v>
      </c>
      <c r="AE318" s="13" t="s">
        <v>61</v>
      </c>
      <c r="AF318" s="518" t="str">
        <f>IF(AND(_A2="B-767-400ER",'2025'!$L$4="CA",'2025'!$L$2=AF309),'2025DATA'!$C$11,"")</f>
        <v/>
      </c>
      <c r="AG318" s="518" t="str">
        <f>IF(AND(_A2="B-767-400ER",'2025'!$L$4="CA",'2025'!$L$2=AG309),'2025DATA'!$D$11,"")</f>
        <v/>
      </c>
      <c r="AH318" s="518" t="str">
        <f>IF(AND(_A2="B-767-400ER",'2025'!$L$4="CA",'2025'!$L$2=AH309),'2025DATA'!$E$11,"")</f>
        <v/>
      </c>
      <c r="AI318" s="518" t="str">
        <f>IF(AND(_A2="B-767-400ER",'2025'!$L$4="CA",'2025'!$L$2=AI309),'2025DATA'!$F$11,"")</f>
        <v/>
      </c>
      <c r="AJ318" s="518" t="str">
        <f>IF(AND(_A2="B-767-400ER",'2025'!$L$4="CA",'2025'!$L$2=AJ309),'2025DATA'!$G$11,"")</f>
        <v/>
      </c>
      <c r="AK318" s="518" t="str">
        <f>IF(AND(_A2="B-767-400ER",'2025'!$L$4="CA",'2025'!$L$2=AK309),'2025DATA'!$H$11,"")</f>
        <v/>
      </c>
      <c r="AL318" s="518" t="str">
        <f>IF(AND(_A2="B-767-400ER",'2025'!$L$4="CA",'2025'!$L$2=AL309),'2025DATA'!$I$11,"")</f>
        <v/>
      </c>
      <c r="AM318" s="518" t="str">
        <f>IF(AND(_A2="B-767-400ER",'2025'!$L$4="CA",'2025'!$L$2=AM309),'2025DATA'!$J$11,"")</f>
        <v/>
      </c>
      <c r="AN318" s="518" t="str">
        <f>IF(AND(_A2="B-767-400ER",'2025'!$L$4="CA",'2025'!$L$2=AN309),'2025DATA'!$K$11,"")</f>
        <v/>
      </c>
      <c r="AO318" s="518" t="str">
        <f>IF(AND(_A2="B-767-400ER",'2025'!$L$4="CA",'2025'!$L$2=AO309),'2025DATA'!$L$11,"")</f>
        <v/>
      </c>
      <c r="AP318" s="518" t="str">
        <f>IF(AND(_A2="B-767-400ER",'2025'!$L$4="CA",'2025'!$L$2=AP309),'2025DATA'!$M$11,"")</f>
        <v/>
      </c>
      <c r="AQ318" s="520" t="str">
        <f>IF(AND(_A2="B-767-400ER",'2025'!$L$4="CA",'2025'!$L$2=AQ309),'2025DATA'!$N$11,"")</f>
        <v/>
      </c>
      <c r="AR318" s="940" t="s">
        <v>42</v>
      </c>
      <c r="AS318" s="13" t="s">
        <v>61</v>
      </c>
      <c r="AT318" s="518" t="str">
        <f>IF(AND(_A3="B-767-400ER",'2025'!$L$4="CA",'2025'!$L$2=AT309),'2025DATA'!$C$11,"")</f>
        <v/>
      </c>
      <c r="AU318" s="518" t="str">
        <f>IF(AND(_A3="B-767-400ER",'2025'!$L$4="CA",'2025'!$L$2=AU309),'2025DATA'!$D$11,"")</f>
        <v/>
      </c>
      <c r="AV318" s="518" t="str">
        <f>IF(AND(_A3="B-767-400ER",'2025'!$L$4="CA",'2025'!$L$2=AV309),'2025DATA'!$E$11,"")</f>
        <v/>
      </c>
      <c r="AW318" s="518" t="str">
        <f>IF(AND(_A3="B-767-400ER",'2025'!$L$4="CA",'2025'!$L$2=AW309),'2025DATA'!$F$11,"")</f>
        <v/>
      </c>
      <c r="AX318" s="518" t="str">
        <f>IF(AND(_A3="B-767-400ER",'2025'!$L$4="CA",'2025'!$L$2=AX309),'2025DATA'!$G$11,"")</f>
        <v/>
      </c>
      <c r="AY318" s="518" t="str">
        <f>IF(AND(_A3="B-767-400ER",'2025'!$L$4="CA",'2025'!$L$2=AY309),'2025DATA'!$H$11,"")</f>
        <v/>
      </c>
      <c r="AZ318" s="518" t="str">
        <f>IF(AND(_A3="B-767-400ER",'2025'!$L$4="CA",'2025'!$L$2=AZ309),'2025DATA'!$I$11,"")</f>
        <v/>
      </c>
      <c r="BA318" s="518" t="str">
        <f>IF(AND(_A3="B-767-400ER",'2025'!$L$4="CA",'2025'!$L$2=BA309),'2025DATA'!$J$11,"")</f>
        <v/>
      </c>
      <c r="BB318" s="518" t="str">
        <f>IF(AND(_A3="B-767-400ER",'2025'!$L$4="CA",'2025'!$L$2=BB309),'2025DATA'!$K$11,"")</f>
        <v/>
      </c>
      <c r="BC318" s="518" t="str">
        <f>IF(AND(_A3="B-767-400ER",'2025'!$L$4="CA",'2025'!$L$2=BC309),'2025DATA'!$L$11,"")</f>
        <v/>
      </c>
      <c r="BD318" s="518" t="str">
        <f>IF(AND(_A3="B-767-400ER",'2025'!$L$4="CA",'2025'!$L$2=BD309),'2025DATA'!$M$11,"")</f>
        <v/>
      </c>
      <c r="BE318" s="520" t="str">
        <f>IF(AND(_A3="B-767-400ER",'2025'!$L$4="CA",'2025'!$L$2=BE309),'2025DATA'!$N$11,"")</f>
        <v/>
      </c>
      <c r="BF318" s="940" t="s">
        <v>42</v>
      </c>
      <c r="BG318" s="13" t="s">
        <v>61</v>
      </c>
      <c r="BH318" s="518" t="str">
        <f>IF(AND(_A4="B-767-400ER",'2025'!$L$4="CA",'2025'!$L$2=BH309),'2025DATA'!$C$11,"")</f>
        <v/>
      </c>
      <c r="BI318" s="518" t="str">
        <f>IF(AND(_A4="B-767-400ER",'2025'!$L$4="CA",'2025'!$L$2=BI309),'2025DATA'!$D$11,"")</f>
        <v/>
      </c>
      <c r="BJ318" s="518" t="str">
        <f>IF(AND(_A4="B-767-400ER",'2025'!$L$4="CA",'2025'!$L$2=BJ309),'2025DATA'!$E$11,"")</f>
        <v/>
      </c>
      <c r="BK318" s="518" t="str">
        <f>IF(AND(_A4="B-767-400ER",'2025'!$L$4="CA",'2025'!$L$2=BK309),'2025DATA'!$F$11,"")</f>
        <v/>
      </c>
      <c r="BL318" s="518" t="str">
        <f>IF(AND(_A4="B-767-400ER",'2025'!$L$4="CA",'2025'!$L$2=BL309),'2025DATA'!$G$11,"")</f>
        <v/>
      </c>
      <c r="BM318" s="518" t="str">
        <f>IF(AND(_A4="B-767-400ER",'2025'!$L$4="CA",'2025'!$L$2=BM309),'2025DATA'!$H$11,"")</f>
        <v/>
      </c>
      <c r="BN318" s="518" t="str">
        <f>IF(AND(_A4="B-767-400ER",'2025'!$L$4="CA",'2025'!$L$2=BN309),'2025DATA'!$I$11,"")</f>
        <v/>
      </c>
      <c r="BO318" s="518" t="str">
        <f>IF(AND(_A4="B-767-400ER",'2025'!$L$4="CA",'2025'!$L$2=BO309),'2025DATA'!$J$11,"")</f>
        <v/>
      </c>
      <c r="BP318" s="518" t="str">
        <f>IF(AND(_A4="B-767-400ER",'2025'!$L$4="CA",'2025'!$L$2=BP309),'2025DATA'!$K$11,"")</f>
        <v/>
      </c>
      <c r="BQ318" s="518" t="str">
        <f>IF(AND(_A4="B-767-400ER",'2025'!$L$4="CA",'2025'!$L$2=BQ309),'2025DATA'!$L$11,"")</f>
        <v/>
      </c>
      <c r="BR318" s="518" t="str">
        <f>IF(AND(_A4="B-767-400ER",'2025'!$L$4="CA",'2025'!$L$2=BR309),'2025DATA'!$M$11,"")</f>
        <v/>
      </c>
      <c r="BS318" s="520" t="str">
        <f>IF(AND(_A4="B-767-400ER",'2025'!$L$4="CA",'2025'!$L$2=BS309),'2025DATA'!$N$11,"")</f>
        <v/>
      </c>
      <c r="BT318" s="940" t="s">
        <v>42</v>
      </c>
      <c r="BU318" s="13" t="s">
        <v>61</v>
      </c>
      <c r="BV318" s="518" t="str">
        <f>IF(AND(_A5="B-767-400ER",'2025'!$L$4="CA",'2025'!$L$2=BV309),'2025DATA'!$C$11,"")</f>
        <v/>
      </c>
      <c r="BW318" s="518" t="str">
        <f>IF(AND(_A5="B-767-400ER",'2025'!$L$4="CA",'2025'!$L$2=BW309),'2025DATA'!$D$11,"")</f>
        <v/>
      </c>
      <c r="BX318" s="518" t="str">
        <f>IF(AND(_A5="B-767-400ER",'2025'!$L$4="CA",'2025'!$L$2=BX309),'2025DATA'!$E$11,"")</f>
        <v/>
      </c>
      <c r="BY318" s="518" t="str">
        <f>IF(AND(_A5="B-767-400ER",'2025'!$L$4="CA",'2025'!$L$2=BY309),'2025DATA'!$F$11,"")</f>
        <v/>
      </c>
      <c r="BZ318" s="518" t="str">
        <f>IF(AND(_A5="B-767-400ER",'2025'!$L$4="CA",'2025'!$L$2=BZ309),'2025DATA'!$G$11,"")</f>
        <v/>
      </c>
      <c r="CA318" s="518" t="str">
        <f>IF(AND(_A5="B-767-400ER",'2025'!$L$4="CA",'2025'!$L$2=CA309),'2025DATA'!$H$11,"")</f>
        <v/>
      </c>
      <c r="CB318" s="518" t="str">
        <f>IF(AND(_A5="B-767-400ER",'2025'!$L$4="CA",'2025'!$L$2=CB309),'2025DATA'!$I$11,"")</f>
        <v/>
      </c>
      <c r="CC318" s="518" t="str">
        <f>IF(AND(_A5="B-767-400ER",'2025'!$L$4="CA",'2025'!$L$2=CC309),'2025DATA'!$J$11,"")</f>
        <v/>
      </c>
      <c r="CD318" s="518" t="str">
        <f>IF(AND(_A5="B-767-400ER",'2025'!$L$4="CA",'2025'!$L$2=CD309),'2025DATA'!$K$11,"")</f>
        <v/>
      </c>
      <c r="CE318" s="518" t="str">
        <f>IF(AND(_A5="B-767-400ER",'2025'!$L$4="CA",'2025'!$L$2=CE309),'2025DATA'!$L$11,"")</f>
        <v/>
      </c>
      <c r="CF318" s="518" t="str">
        <f>IF(AND(_A5="B-767-400ER",'2025'!$L$4="CA",'2025'!$L$2=CF309),'2025DATA'!$M$11,"")</f>
        <v/>
      </c>
      <c r="CG318" s="520" t="str">
        <f>IF(AND(_A5="B-767-400ER",'2025'!$L$4="CA",'2025'!$L$2=CG309),'2025DATA'!$N$11,"")</f>
        <v/>
      </c>
      <c r="CH318" s="940" t="s">
        <v>42</v>
      </c>
      <c r="CI318" s="13" t="s">
        <v>61</v>
      </c>
      <c r="CJ318" s="518" t="str">
        <f>IF(AND(_A6="B-767-400ER",'2025'!$L$4="CA",'2025'!$L$2=CJ309),'2025DATA'!$C$11,"")</f>
        <v/>
      </c>
      <c r="CK318" s="518" t="str">
        <f>IF(AND(_A6="B-767-400ER",'2025'!$L$4="CA",'2025'!$L$2=CK309),'2025DATA'!$D$11,"")</f>
        <v/>
      </c>
      <c r="CL318" s="518" t="str">
        <f>IF(AND(_A6="B-767-400ER",'2025'!$L$4="CA",'2025'!$L$2=CL309),'2025DATA'!$E$11,"")</f>
        <v/>
      </c>
      <c r="CM318" s="518" t="str">
        <f>IF(AND(_A6="B-767-400ER",'2025'!$L$4="CA",'2025'!$L$2=CM309),'2025DATA'!$F$11,"")</f>
        <v/>
      </c>
      <c r="CN318" s="518" t="str">
        <f>IF(AND(_A6="B-767-400ER",'2025'!$L$4="CA",'2025'!$L$2=CN309),'2025DATA'!$G$11,"")</f>
        <v/>
      </c>
      <c r="CO318" s="518" t="str">
        <f>IF(AND(_A6="B-767-400ER",'2025'!$L$4="CA",'2025'!$L$2=CO309),'2025DATA'!$H$11,"")</f>
        <v/>
      </c>
      <c r="CP318" s="518" t="str">
        <f>IF(AND(_A6="B-767-400ER",'2025'!$L$4="CA",'2025'!$L$2=CP309),'2025DATA'!$I$11,"")</f>
        <v/>
      </c>
      <c r="CQ318" s="518" t="str">
        <f>IF(AND(_A6="B-767-400ER",'2025'!$L$4="CA",'2025'!$L$2=CQ309),'2025DATA'!$J$11,"")</f>
        <v/>
      </c>
      <c r="CR318" s="518" t="str">
        <f>IF(AND(_A6="B-767-400ER",'2025'!$L$4="CA",'2025'!$L$2=CR309),'2025DATA'!$K$11,"")</f>
        <v/>
      </c>
      <c r="CS318" s="518" t="str">
        <f>IF(AND(_A6="B-767-400ER",'2025'!$L$4="CA",'2025'!$L$2=CS309),'2025DATA'!$L$11,"")</f>
        <v/>
      </c>
      <c r="CT318" s="518" t="str">
        <f>IF(AND(_A6="B-767-400ER",'2025'!$L$4="CA",'2025'!$L$2=CT309),'2025DATA'!$M$11,"")</f>
        <v/>
      </c>
      <c r="CU318" s="520" t="str">
        <f>IF(AND(_A6="B-767-400ER",'2025'!$L$4="CA",'2025'!$L$2=CU309),'2025DATA'!$N$11,"")</f>
        <v/>
      </c>
    </row>
    <row r="319" spans="16:99" x14ac:dyDescent="0.25">
      <c r="P319" s="940"/>
      <c r="Q319" s="13" t="s">
        <v>62</v>
      </c>
      <c r="R319" s="518" t="str">
        <f>IF(AND(_A1="B-767-400ER",'2025'!$L$4="FO",'2025'!$L$2=R309),'2025DATA'!$C$12,"")</f>
        <v/>
      </c>
      <c r="S319" s="518" t="str">
        <f>IF(AND(_A1="B-767-400ER",'2025'!$L$4="FO",'2025'!$L$2=S309),'2025DATA'!$D$12,"")</f>
        <v/>
      </c>
      <c r="T319" s="518" t="str">
        <f>IF(AND(_A1="B-767-400ER",'2025'!$L$4="FO",'2025'!$L$2=T309),'2025DATA'!$E$12,"")</f>
        <v/>
      </c>
      <c r="U319" s="518" t="str">
        <f>IF(AND(_A1="B-767-400ER",'2025'!$L$4="FO",'2025'!$L$2=U309),'2025DATA'!$F$12,"")</f>
        <v/>
      </c>
      <c r="V319" s="518" t="str">
        <f>IF(AND(_A1="B-767-400ER",'2025'!$L$4="FO",'2025'!$L$2=V309),'2025DATA'!$G$12,"")</f>
        <v/>
      </c>
      <c r="W319" s="518" t="str">
        <f>IF(AND(_A1="B-767-400ER",'2025'!$L$4="FO",'2025'!$L$2=W309),'2025DATA'!$H$12,"")</f>
        <v/>
      </c>
      <c r="X319" s="518" t="str">
        <f>IF(AND(_A1="B-767-400ER",'2025'!$L$4="FO",'2025'!$L$2=X309),'2025DATA'!$I$12,"")</f>
        <v/>
      </c>
      <c r="Y319" s="518" t="str">
        <f>IF(AND(_A1="B-767-400ER",'2025'!$L$4="FO",'2025'!$L$2=Y309),'2025DATA'!$J$12,"")</f>
        <v/>
      </c>
      <c r="Z319" s="518" t="str">
        <f>IF(AND(_A1="B-767-400ER",'2025'!$L$4="FO",'2025'!$L$2=Z309),'2025DATA'!$K$12,"")</f>
        <v/>
      </c>
      <c r="AA319" s="518" t="str">
        <f>IF(AND(_A1="B-767-400ER",'2025'!$L$4="FO",'2025'!$L$2=AA309),'2025DATA'!$L$12,"")</f>
        <v/>
      </c>
      <c r="AB319" s="518" t="str">
        <f>IF(AND(_A1="B-767-400ER",'2025'!$L$4="FO",'2025'!$L$2=AB309),'2025DATA'!$M$12,"")</f>
        <v/>
      </c>
      <c r="AC319" s="520" t="str">
        <f>IF(AND(_A1="B-767-400ER",'2025'!$L$4="FO",'2025'!$L$2=AC309),'2025DATA'!$N$12,"")</f>
        <v/>
      </c>
      <c r="AD319" s="940"/>
      <c r="AE319" s="13" t="s">
        <v>62</v>
      </c>
      <c r="AF319" s="518" t="str">
        <f>IF(AND(_A2="B-767-400ER",'2025'!$L$4="FO",'2025'!$L$2=AF309),'2025DATA'!$C$12,"")</f>
        <v/>
      </c>
      <c r="AG319" s="518" t="str">
        <f>IF(AND(_A2="B-767-400ER",'2025'!$L$4="FO",'2025'!$L$2=AG309),'2025DATA'!$D$12,"")</f>
        <v/>
      </c>
      <c r="AH319" s="518" t="str">
        <f>IF(AND(_A2="B-767-400ER",'2025'!$L$4="FO",'2025'!$L$2=AH309),'2025DATA'!$E$12,"")</f>
        <v/>
      </c>
      <c r="AI319" s="518" t="str">
        <f>IF(AND(_A2="B-767-400ER",'2025'!$L$4="FO",'2025'!$L$2=AI309),'2025DATA'!$F$12,"")</f>
        <v/>
      </c>
      <c r="AJ319" s="518" t="str">
        <f>IF(AND(_A2="B-767-400ER",'2025'!$L$4="FO",'2025'!$L$2=AJ309),'2025DATA'!$G$12,"")</f>
        <v/>
      </c>
      <c r="AK319" s="518" t="str">
        <f>IF(AND(_A2="B-767-400ER",'2025'!$L$4="FO",'2025'!$L$2=AK309),'2025DATA'!$H$12,"")</f>
        <v/>
      </c>
      <c r="AL319" s="518" t="str">
        <f>IF(AND(_A2="B-767-400ER",'2025'!$L$4="FO",'2025'!$L$2=AL309),'2025DATA'!$I$12,"")</f>
        <v/>
      </c>
      <c r="AM319" s="518" t="str">
        <f>IF(AND(_A2="B-767-400ER",'2025'!$L$4="FO",'2025'!$L$2=AM309),'2025DATA'!$J$12,"")</f>
        <v/>
      </c>
      <c r="AN319" s="518" t="str">
        <f>IF(AND(_A2="B-767-400ER",'2025'!$L$4="FO",'2025'!$L$2=AN309),'2025DATA'!$K$12,"")</f>
        <v/>
      </c>
      <c r="AO319" s="518" t="str">
        <f>IF(AND(_A2="B-767-400ER",'2025'!$L$4="FO",'2025'!$L$2=AO309),'2025DATA'!$L$12,"")</f>
        <v/>
      </c>
      <c r="AP319" s="518" t="str">
        <f>IF(AND(_A2="B-767-400ER",'2025'!$L$4="FO",'2025'!$L$2=AP309),'2025DATA'!$M$12,"")</f>
        <v/>
      </c>
      <c r="AQ319" s="520" t="str">
        <f>IF(AND(_A2="B-767-400ER",'2025'!$L$4="FO",'2025'!$L$2=AQ309),'2025DATA'!$N$12,"")</f>
        <v/>
      </c>
      <c r="AR319" s="940"/>
      <c r="AS319" s="13" t="s">
        <v>62</v>
      </c>
      <c r="AT319" s="518" t="str">
        <f>IF(AND(_A3="B-767-400ER",'2025'!$L$4="FO",'2025'!$L$2=AT309),'2025DATA'!$C$12,"")</f>
        <v/>
      </c>
      <c r="AU319" s="518" t="str">
        <f>IF(AND(_A3="B-767-400ER",'2025'!$L$4="FO",'2025'!$L$2=AU309),'2025DATA'!$D$12,"")</f>
        <v/>
      </c>
      <c r="AV319" s="518" t="str">
        <f>IF(AND(_A3="B-767-400ER",'2025'!$L$4="FO",'2025'!$L$2=AV309),'2025DATA'!$E$12,"")</f>
        <v/>
      </c>
      <c r="AW319" s="518" t="str">
        <f>IF(AND(_A3="B-767-400ER",'2025'!$L$4="FO",'2025'!$L$2=AW309),'2025DATA'!$F$12,"")</f>
        <v/>
      </c>
      <c r="AX319" s="518" t="str">
        <f>IF(AND(_A3="B-767-400ER",'2025'!$L$4="FO",'2025'!$L$2=AX309),'2025DATA'!$G$12,"")</f>
        <v/>
      </c>
      <c r="AY319" s="518" t="str">
        <f>IF(AND(_A3="B-767-400ER",'2025'!$L$4="FO",'2025'!$L$2=AY309),'2025DATA'!$H$12,"")</f>
        <v/>
      </c>
      <c r="AZ319" s="518" t="str">
        <f>IF(AND(_A3="B-767-400ER",'2025'!$L$4="FO",'2025'!$L$2=AZ309),'2025DATA'!$I$12,"")</f>
        <v/>
      </c>
      <c r="BA319" s="518" t="str">
        <f>IF(AND(_A3="B-767-400ER",'2025'!$L$4="FO",'2025'!$L$2=BA309),'2025DATA'!$J$12,"")</f>
        <v/>
      </c>
      <c r="BB319" s="518" t="str">
        <f>IF(AND(_A3="B-767-400ER",'2025'!$L$4="FO",'2025'!$L$2=BB309),'2025DATA'!$K$12,"")</f>
        <v/>
      </c>
      <c r="BC319" s="518" t="str">
        <f>IF(AND(_A3="B-767-400ER",'2025'!$L$4="FO",'2025'!$L$2=BC309),'2025DATA'!$L$12,"")</f>
        <v/>
      </c>
      <c r="BD319" s="518" t="str">
        <f>IF(AND(_A3="B-767-400ER",'2025'!$L$4="FO",'2025'!$L$2=BD309),'2025DATA'!$M$12,"")</f>
        <v/>
      </c>
      <c r="BE319" s="520" t="str">
        <f>IF(AND(_A3="B-767-400ER",'2025'!$L$4="FO",'2025'!$L$2=BE309),'2025DATA'!$N$12,"")</f>
        <v/>
      </c>
      <c r="BF319" s="940"/>
      <c r="BG319" s="13" t="s">
        <v>62</v>
      </c>
      <c r="BH319" s="518" t="str">
        <f>IF(AND(_A4="B-767-400ER",'2025'!$L$4="FO",'2025'!$L$2=BH309),'2025DATA'!$C$12,"")</f>
        <v/>
      </c>
      <c r="BI319" s="518" t="str">
        <f>IF(AND(_A4="B-767-400ER",'2025'!$L$4="FO",'2025'!$L$2=BI309),'2025DATA'!$D$12,"")</f>
        <v/>
      </c>
      <c r="BJ319" s="518" t="str">
        <f>IF(AND(_A4="B-767-400ER",'2025'!$L$4="FO",'2025'!$L$2=BJ309),'2025DATA'!$E$12,"")</f>
        <v/>
      </c>
      <c r="BK319" s="518" t="str">
        <f>IF(AND(_A4="B-767-400ER",'2025'!$L$4="FO",'2025'!$L$2=BK309),'2025DATA'!$F$12,"")</f>
        <v/>
      </c>
      <c r="BL319" s="518" t="str">
        <f>IF(AND(_A4="B-767-400ER",'2025'!$L$4="FO",'2025'!$L$2=BL309),'2025DATA'!$G$12,"")</f>
        <v/>
      </c>
      <c r="BM319" s="518" t="str">
        <f>IF(AND(_A4="B-767-400ER",'2025'!$L$4="FO",'2025'!$L$2=BM309),'2025DATA'!$H$12,"")</f>
        <v/>
      </c>
      <c r="BN319" s="518" t="str">
        <f>IF(AND(_A4="B-767-400ER",'2025'!$L$4="FO",'2025'!$L$2=BN309),'2025DATA'!$I$12,"")</f>
        <v/>
      </c>
      <c r="BO319" s="518" t="str">
        <f>IF(AND(_A4="B-767-400ER",'2025'!$L$4="FO",'2025'!$L$2=BO309),'2025DATA'!$J$12,"")</f>
        <v/>
      </c>
      <c r="BP319" s="518" t="str">
        <f>IF(AND(_A4="B-767-400ER",'2025'!$L$4="FO",'2025'!$L$2=BP309),'2025DATA'!$K$12,"")</f>
        <v/>
      </c>
      <c r="BQ319" s="518" t="str">
        <f>IF(AND(_A4="B-767-400ER",'2025'!$L$4="FO",'2025'!$L$2=BQ309),'2025DATA'!$L$12,"")</f>
        <v/>
      </c>
      <c r="BR319" s="518" t="str">
        <f>IF(AND(_A4="B-767-400ER",'2025'!$L$4="FO",'2025'!$L$2=BR309),'2025DATA'!$M$12,"")</f>
        <v/>
      </c>
      <c r="BS319" s="520" t="str">
        <f>IF(AND(_A4="B-767-400ER",'2025'!$L$4="FO",'2025'!$L$2=BS309),'2025DATA'!$N$12,"")</f>
        <v/>
      </c>
      <c r="BT319" s="940"/>
      <c r="BU319" s="13" t="s">
        <v>62</v>
      </c>
      <c r="BV319" s="518" t="str">
        <f>IF(AND(_A5="B-767-400ER",'2025'!$L$4="FO",'2025'!$L$2=BV309),'2025DATA'!$C$12,"")</f>
        <v/>
      </c>
      <c r="BW319" s="518" t="str">
        <f>IF(AND(_A5="B-767-400ER",'2025'!$L$4="FO",'2025'!$L$2=BW309),'2025DATA'!$D$12,"")</f>
        <v/>
      </c>
      <c r="BX319" s="518" t="str">
        <f>IF(AND(_A5="B-767-400ER",'2025'!$L$4="FO",'2025'!$L$2=BX309),'2025DATA'!$E$12,"")</f>
        <v/>
      </c>
      <c r="BY319" s="518" t="str">
        <f>IF(AND(_A5="B-767-400ER",'2025'!$L$4="FO",'2025'!$L$2=BY309),'2025DATA'!$F$12,"")</f>
        <v/>
      </c>
      <c r="BZ319" s="518" t="str">
        <f>IF(AND(_A5="B-767-400ER",'2025'!$L$4="FO",'2025'!$L$2=BZ309),'2025DATA'!$G$12,"")</f>
        <v/>
      </c>
      <c r="CA319" s="518" t="str">
        <f>IF(AND(_A5="B-767-400ER",'2025'!$L$4="FO",'2025'!$L$2=CA309),'2025DATA'!$H$12,"")</f>
        <v/>
      </c>
      <c r="CB319" s="518" t="str">
        <f>IF(AND(_A5="B-767-400ER",'2025'!$L$4="FO",'2025'!$L$2=CB309),'2025DATA'!$I$12,"")</f>
        <v/>
      </c>
      <c r="CC319" s="518" t="str">
        <f>IF(AND(_A5="B-767-400ER",'2025'!$L$4="FO",'2025'!$L$2=CC309),'2025DATA'!$J$12,"")</f>
        <v/>
      </c>
      <c r="CD319" s="518" t="str">
        <f>IF(AND(_A5="B-767-400ER",'2025'!$L$4="FO",'2025'!$L$2=CD309),'2025DATA'!$K$12,"")</f>
        <v/>
      </c>
      <c r="CE319" s="518" t="str">
        <f>IF(AND(_A5="B-767-400ER",'2025'!$L$4="FO",'2025'!$L$2=CE309),'2025DATA'!$L$12,"")</f>
        <v/>
      </c>
      <c r="CF319" s="518" t="str">
        <f>IF(AND(_A5="B-767-400ER",'2025'!$L$4="FO",'2025'!$L$2=CF309),'2025DATA'!$M$12,"")</f>
        <v/>
      </c>
      <c r="CG319" s="520" t="str">
        <f>IF(AND(_A5="B-767-400ER",'2025'!$L$4="FO",'2025'!$L$2=CG309),'2025DATA'!$N$12,"")</f>
        <v/>
      </c>
      <c r="CH319" s="940"/>
      <c r="CI319" s="13" t="s">
        <v>62</v>
      </c>
      <c r="CJ319" s="518" t="str">
        <f>IF(AND(_A6="B-767-400ER",'2025'!$L$4="FO",'2025'!$L$2=CJ309),'2025DATA'!$C$12,"")</f>
        <v/>
      </c>
      <c r="CK319" s="518" t="str">
        <f>IF(AND(_A6="B-767-400ER",'2025'!$L$4="FO",'2025'!$L$2=CK309),'2025DATA'!$D$12,"")</f>
        <v/>
      </c>
      <c r="CL319" s="518" t="str">
        <f>IF(AND(_A6="B-767-400ER",'2025'!$L$4="FO",'2025'!$L$2=CL309),'2025DATA'!$E$12,"")</f>
        <v/>
      </c>
      <c r="CM319" s="518" t="str">
        <f>IF(AND(_A6="B-767-400ER",'2025'!$L$4="FO",'2025'!$L$2=CM309),'2025DATA'!$F$12,"")</f>
        <v/>
      </c>
      <c r="CN319" s="518" t="str">
        <f>IF(AND(_A6="B-767-400ER",'2025'!$L$4="FO",'2025'!$L$2=CN309),'2025DATA'!$G$12,"")</f>
        <v/>
      </c>
      <c r="CO319" s="518" t="str">
        <f>IF(AND(_A6="B-767-400ER",'2025'!$L$4="FO",'2025'!$L$2=CO309),'2025DATA'!$H$12,"")</f>
        <v/>
      </c>
      <c r="CP319" s="518" t="str">
        <f>IF(AND(_A6="B-767-400ER",'2025'!$L$4="FO",'2025'!$L$2=CP309),'2025DATA'!$I$12,"")</f>
        <v/>
      </c>
      <c r="CQ319" s="518" t="str">
        <f>IF(AND(_A6="B-767-400ER",'2025'!$L$4="FO",'2025'!$L$2=CQ309),'2025DATA'!$J$12,"")</f>
        <v/>
      </c>
      <c r="CR319" s="518" t="str">
        <f>IF(AND(_A6="B-767-400ER",'2025'!$L$4="FO",'2025'!$L$2=CR309),'2025DATA'!$K$12,"")</f>
        <v/>
      </c>
      <c r="CS319" s="518" t="str">
        <f>IF(AND(_A6="B-767-400ER",'2025'!$L$4="FO",'2025'!$L$2=CS309),'2025DATA'!$L$12,"")</f>
        <v/>
      </c>
      <c r="CT319" s="518" t="str">
        <f>IF(AND(_A6="B-767-400ER",'2025'!$L$4="FO",'2025'!$L$2=CT309),'2025DATA'!$M$12,"")</f>
        <v/>
      </c>
      <c r="CU319" s="520" t="str">
        <f>IF(AND(_A6="B-767-400ER",'2025'!$L$4="FO",'2025'!$L$2=CU309),'2025DATA'!$N$12,"")</f>
        <v/>
      </c>
    </row>
    <row r="320" spans="16:99" x14ac:dyDescent="0.25">
      <c r="P320" s="940" t="s">
        <v>43</v>
      </c>
      <c r="Q320" s="13" t="s">
        <v>61</v>
      </c>
      <c r="R320" s="518" t="str">
        <f>IF(AND(_A1="B-767-300ER",'2025'!$L$4="CA",'2025'!$L$2=R309),'2025DATA'!$C$13,"")</f>
        <v/>
      </c>
      <c r="S320" s="518" t="str">
        <f>IF(AND(_A1="B-767-300ER",'2025'!$L$4="CA",'2025'!$L$2=S309),'2025DATA'!$D$13,"")</f>
        <v/>
      </c>
      <c r="T320" s="518" t="str">
        <f>IF(AND(_A1="B-767-300ER",'2025'!$L$4="CA",'2025'!$L$2=T309),'2025DATA'!$E$13,"")</f>
        <v/>
      </c>
      <c r="U320" s="518" t="str">
        <f>IF(AND(_A1="B-767-300ER",'2025'!$L$4="CA",'2025'!$L$2=U309),'2025DATA'!$F$13,"")</f>
        <v/>
      </c>
      <c r="V320" s="518" t="str">
        <f>IF(AND(_A1="B-767-300ER",'2025'!$L$4="CA",'2025'!$L$2=V309),'2025DATA'!$G$13,"")</f>
        <v/>
      </c>
      <c r="W320" s="518" t="str">
        <f>IF(AND(_A1="B-767-300ER",'2025'!$L$4="CA",'2025'!$L$2=W309),'2025DATA'!$H$13,"")</f>
        <v/>
      </c>
      <c r="X320" s="518" t="str">
        <f>IF(AND(_A1="B-767-300ER",'2025'!$L$4="CA",'2025'!$L$2=X309),'2025DATA'!$I$13,"")</f>
        <v/>
      </c>
      <c r="Y320" s="518" t="str">
        <f>IF(AND(_A1="B-767-300ER",'2025'!$L$4="CA",'2025'!$L$2=Y309),'2025DATA'!$J$13,"")</f>
        <v/>
      </c>
      <c r="Z320" s="518" t="str">
        <f>IF(AND(_A1="B-767-300ER",'2025'!$L$4="CA",'2025'!$L$2=Z309),'2025DATA'!$K$13,"")</f>
        <v/>
      </c>
      <c r="AA320" s="518" t="str">
        <f>IF(AND(_A1="B-767-300ER",'2025'!$L$4="CA",'2025'!$L$2=AA309),'2025DATA'!$L$13,"")</f>
        <v/>
      </c>
      <c r="AB320" s="518" t="str">
        <f>IF(AND(_A1="B-767-300ER",'2025'!$L$4="CA",'2025'!$L$2=AB309),'2025DATA'!$M$13,"")</f>
        <v/>
      </c>
      <c r="AC320" s="520" t="str">
        <f>IF(AND(_A1="B-767-300ER",'2025'!$L$4="CA",'2025'!$L$2=AC309),'2025DATA'!$N$13,"")</f>
        <v/>
      </c>
      <c r="AD320" s="940" t="s">
        <v>43</v>
      </c>
      <c r="AE320" s="13" t="s">
        <v>61</v>
      </c>
      <c r="AF320" s="518" t="str">
        <f>IF(AND(_A2="B-767-300ER",'2025'!$L$4="CA",'2025'!$L$2=AF309),'2025DATA'!$C$13,"")</f>
        <v/>
      </c>
      <c r="AG320" s="518" t="str">
        <f>IF(AND(_A2="B-767-300ER",'2025'!$L$4="CA",'2025'!$L$2=AG309),'2025DATA'!$D$13,"")</f>
        <v/>
      </c>
      <c r="AH320" s="518" t="str">
        <f>IF(AND(_A2="B-767-300ER",'2025'!$L$4="CA",'2025'!$L$2=AH309),'2025DATA'!$E$13,"")</f>
        <v/>
      </c>
      <c r="AI320" s="518" t="str">
        <f>IF(AND(_A2="B-767-300ER",'2025'!$L$4="CA",'2025'!$L$2=AI309),'2025DATA'!$F$13,"")</f>
        <v/>
      </c>
      <c r="AJ320" s="518" t="str">
        <f>IF(AND(_A2="B-767-300ER",'2025'!$L$4="CA",'2025'!$L$2=AJ309),'2025DATA'!$G$13,"")</f>
        <v/>
      </c>
      <c r="AK320" s="518" t="str">
        <f>IF(AND(_A2="B-767-300ER",'2025'!$L$4="CA",'2025'!$L$2=AK309),'2025DATA'!$H$13,"")</f>
        <v/>
      </c>
      <c r="AL320" s="518" t="str">
        <f>IF(AND(_A2="B-767-300ER",'2025'!$L$4="CA",'2025'!$L$2=AL309),'2025DATA'!$I$13,"")</f>
        <v/>
      </c>
      <c r="AM320" s="518" t="str">
        <f>IF(AND(_A2="B-767-300ER",'2025'!$L$4="CA",'2025'!$L$2=AM309),'2025DATA'!$J$13,"")</f>
        <v/>
      </c>
      <c r="AN320" s="518" t="str">
        <f>IF(AND(_A2="B-767-300ER",'2025'!$L$4="CA",'2025'!$L$2=AN309),'2025DATA'!$K$13,"")</f>
        <v/>
      </c>
      <c r="AO320" s="518" t="str">
        <f>IF(AND(_A2="B-767-300ER",'2025'!$L$4="CA",'2025'!$L$2=AO309),'2025DATA'!$L$13,"")</f>
        <v/>
      </c>
      <c r="AP320" s="518" t="str">
        <f>IF(AND(_A2="B-767-300ER",'2025'!$L$4="CA",'2025'!$L$2=AP309),'2025DATA'!$M$13,"")</f>
        <v/>
      </c>
      <c r="AQ320" s="520" t="str">
        <f>IF(AND(_A2="B-767-300ER",'2025'!$L$4="CA",'2025'!$L$2=AQ309),'2025DATA'!$N$13,"")</f>
        <v/>
      </c>
      <c r="AR320" s="940" t="s">
        <v>43</v>
      </c>
      <c r="AS320" s="13" t="s">
        <v>61</v>
      </c>
      <c r="AT320" s="518" t="str">
        <f>IF(AND(_A3="B-767-300ER",'2025'!$L$4="CA",'2025'!$L$2=AT309),'2025DATA'!$C$13,"")</f>
        <v/>
      </c>
      <c r="AU320" s="518" t="str">
        <f>IF(AND(_A3="B-767-300ER",'2025'!$L$4="CA",'2025'!$L$2=AU309),'2025DATA'!$D$13,"")</f>
        <v/>
      </c>
      <c r="AV320" s="518" t="str">
        <f>IF(AND(_A3="B-767-300ER",'2025'!$L$4="CA",'2025'!$L$2=AV309),'2025DATA'!$E$13,"")</f>
        <v/>
      </c>
      <c r="AW320" s="518" t="str">
        <f>IF(AND(_A3="B-767-300ER",'2025'!$L$4="CA",'2025'!$L$2=AW309),'2025DATA'!$F$13,"")</f>
        <v/>
      </c>
      <c r="AX320" s="518" t="str">
        <f>IF(AND(_A3="B-767-300ER",'2025'!$L$4="CA",'2025'!$L$2=AX309),'2025DATA'!$G$13,"")</f>
        <v/>
      </c>
      <c r="AY320" s="518" t="str">
        <f>IF(AND(_A3="B-767-300ER",'2025'!$L$4="CA",'2025'!$L$2=AY309),'2025DATA'!$H$13,"")</f>
        <v/>
      </c>
      <c r="AZ320" s="518" t="str">
        <f>IF(AND(_A3="B-767-300ER",'2025'!$L$4="CA",'2025'!$L$2=AZ309),'2025DATA'!$I$13,"")</f>
        <v/>
      </c>
      <c r="BA320" s="518" t="str">
        <f>IF(AND(_A3="B-767-300ER",'2025'!$L$4="CA",'2025'!$L$2=BA309),'2025DATA'!$J$13,"")</f>
        <v/>
      </c>
      <c r="BB320" s="518" t="str">
        <f>IF(AND(_A3="B-767-300ER",'2025'!$L$4="CA",'2025'!$L$2=BB309),'2025DATA'!$K$13,"")</f>
        <v/>
      </c>
      <c r="BC320" s="518" t="str">
        <f>IF(AND(_A3="B-767-300ER",'2025'!$L$4="CA",'2025'!$L$2=BC309),'2025DATA'!$L$13,"")</f>
        <v/>
      </c>
      <c r="BD320" s="518" t="str">
        <f>IF(AND(_A3="B-767-300ER",'2025'!$L$4="CA",'2025'!$L$2=BD309),'2025DATA'!$M$13,"")</f>
        <v/>
      </c>
      <c r="BE320" s="520" t="str">
        <f>IF(AND(_A3="B-767-300ER",'2025'!$L$4="CA",'2025'!$L$2=BE309),'2025DATA'!$N$13,"")</f>
        <v/>
      </c>
      <c r="BF320" s="940" t="s">
        <v>43</v>
      </c>
      <c r="BG320" s="13" t="s">
        <v>61</v>
      </c>
      <c r="BH320" s="518" t="str">
        <f>IF(AND(_A4="B-767-300ER",'2025'!$L$4="CA",'2025'!$L$2=BH309),'2025DATA'!$C$13,"")</f>
        <v/>
      </c>
      <c r="BI320" s="518" t="str">
        <f>IF(AND(_A4="B-767-300ER",'2025'!$L$4="CA",'2025'!$L$2=BI309),'2025DATA'!$D$13,"")</f>
        <v/>
      </c>
      <c r="BJ320" s="518" t="str">
        <f>IF(AND(_A4="B-767-300ER",'2025'!$L$4="CA",'2025'!$L$2=BJ309),'2025DATA'!$E$13,"")</f>
        <v/>
      </c>
      <c r="BK320" s="518" t="str">
        <f>IF(AND(_A4="B-767-300ER",'2025'!$L$4="CA",'2025'!$L$2=BK309),'2025DATA'!$F$13,"")</f>
        <v/>
      </c>
      <c r="BL320" s="518" t="str">
        <f>IF(AND(_A4="B-767-300ER",'2025'!$L$4="CA",'2025'!$L$2=BL309),'2025DATA'!$G$13,"")</f>
        <v/>
      </c>
      <c r="BM320" s="518" t="str">
        <f>IF(AND(_A4="B-767-300ER",'2025'!$L$4="CA",'2025'!$L$2=BM309),'2025DATA'!$H$13,"")</f>
        <v/>
      </c>
      <c r="BN320" s="518" t="str">
        <f>IF(AND(_A4="B-767-300ER",'2025'!$L$4="CA",'2025'!$L$2=BN309),'2025DATA'!$I$13,"")</f>
        <v/>
      </c>
      <c r="BO320" s="518" t="str">
        <f>IF(AND(_A4="B-767-300ER",'2025'!$L$4="CA",'2025'!$L$2=BO309),'2025DATA'!$J$13,"")</f>
        <v/>
      </c>
      <c r="BP320" s="518" t="str">
        <f>IF(AND(_A4="B-767-300ER",'2025'!$L$4="CA",'2025'!$L$2=BP309),'2025DATA'!$K$13,"")</f>
        <v/>
      </c>
      <c r="BQ320" s="518" t="str">
        <f>IF(AND(_A4="B-767-300ER",'2025'!$L$4="CA",'2025'!$L$2=BQ309),'2025DATA'!$L$13,"")</f>
        <v/>
      </c>
      <c r="BR320" s="518" t="str">
        <f>IF(AND(_A4="B-767-300ER",'2025'!$L$4="CA",'2025'!$L$2=BR309),'2025DATA'!$M$13,"")</f>
        <v/>
      </c>
      <c r="BS320" s="520" t="str">
        <f>IF(AND(_A4="B-767-300ER",'2025'!$L$4="CA",'2025'!$L$2=BS309),'2025DATA'!$N$13,"")</f>
        <v/>
      </c>
      <c r="BT320" s="940" t="s">
        <v>43</v>
      </c>
      <c r="BU320" s="13" t="s">
        <v>61</v>
      </c>
      <c r="BV320" s="518" t="str">
        <f>IF(AND(_A5="B-767-300ER",'2025'!$L$4="CA",'2025'!$L$2=BV309),'2025DATA'!$C$13,"")</f>
        <v/>
      </c>
      <c r="BW320" s="518" t="str">
        <f>IF(AND(_A5="B-767-300ER",'2025'!$L$4="CA",'2025'!$L$2=BW309),'2025DATA'!$D$13,"")</f>
        <v/>
      </c>
      <c r="BX320" s="518" t="str">
        <f>IF(AND(_A5="B-767-300ER",'2025'!$L$4="CA",'2025'!$L$2=BX309),'2025DATA'!$E$13,"")</f>
        <v/>
      </c>
      <c r="BY320" s="518" t="str">
        <f>IF(AND(_A5="B-767-300ER",'2025'!$L$4="CA",'2025'!$L$2=BY309),'2025DATA'!$F$13,"")</f>
        <v/>
      </c>
      <c r="BZ320" s="518" t="str">
        <f>IF(AND(_A5="B-767-300ER",'2025'!$L$4="CA",'2025'!$L$2=BZ309),'2025DATA'!$G$13,"")</f>
        <v/>
      </c>
      <c r="CA320" s="518" t="str">
        <f>IF(AND(_A5="B-767-300ER",'2025'!$L$4="CA",'2025'!$L$2=CA309),'2025DATA'!$H$13,"")</f>
        <v/>
      </c>
      <c r="CB320" s="518" t="str">
        <f>IF(AND(_A5="B-767-300ER",'2025'!$L$4="CA",'2025'!$L$2=CB309),'2025DATA'!$I$13,"")</f>
        <v/>
      </c>
      <c r="CC320" s="518" t="str">
        <f>IF(AND(_A5="B-767-300ER",'2025'!$L$4="CA",'2025'!$L$2=CC309),'2025DATA'!$J$13,"")</f>
        <v/>
      </c>
      <c r="CD320" s="518" t="str">
        <f>IF(AND(_A5="B-767-300ER",'2025'!$L$4="CA",'2025'!$L$2=CD309),'2025DATA'!$K$13,"")</f>
        <v/>
      </c>
      <c r="CE320" s="518" t="str">
        <f>IF(AND(_A5="B-767-300ER",'2025'!$L$4="CA",'2025'!$L$2=CE309),'2025DATA'!$L$13,"")</f>
        <v/>
      </c>
      <c r="CF320" s="518" t="str">
        <f>IF(AND(_A5="B-767-300ER",'2025'!$L$4="CA",'2025'!$L$2=CF309),'2025DATA'!$M$13,"")</f>
        <v/>
      </c>
      <c r="CG320" s="520" t="str">
        <f>IF(AND(_A5="B-767-300ER",'2025'!$L$4="CA",'2025'!$L$2=CG309),'2025DATA'!$N$13,"")</f>
        <v/>
      </c>
      <c r="CH320" s="940" t="s">
        <v>43</v>
      </c>
      <c r="CI320" s="13" t="s">
        <v>61</v>
      </c>
      <c r="CJ320" s="518" t="str">
        <f>IF(AND(_A6="B-767-300ER",'2025'!$L$4="CA",'2025'!$L$2=CJ309),'2025DATA'!$C$13,"")</f>
        <v/>
      </c>
      <c r="CK320" s="518" t="str">
        <f>IF(AND(_A6="B-767-300ER",'2025'!$L$4="CA",'2025'!$L$2=CK309),'2025DATA'!$D$13,"")</f>
        <v/>
      </c>
      <c r="CL320" s="518" t="str">
        <f>IF(AND(_A6="B-767-300ER",'2025'!$L$4="CA",'2025'!$L$2=CL309),'2025DATA'!$E$13,"")</f>
        <v/>
      </c>
      <c r="CM320" s="518" t="str">
        <f>IF(AND(_A6="B-767-300ER",'2025'!$L$4="CA",'2025'!$L$2=CM309),'2025DATA'!$F$13,"")</f>
        <v/>
      </c>
      <c r="CN320" s="518" t="str">
        <f>IF(AND(_A6="B-767-300ER",'2025'!$L$4="CA",'2025'!$L$2=CN309),'2025DATA'!$G$13,"")</f>
        <v/>
      </c>
      <c r="CO320" s="518" t="str">
        <f>IF(AND(_A6="B-767-300ER",'2025'!$L$4="CA",'2025'!$L$2=CO309),'2025DATA'!$H$13,"")</f>
        <v/>
      </c>
      <c r="CP320" s="518" t="str">
        <f>IF(AND(_A6="B-767-300ER",'2025'!$L$4="CA",'2025'!$L$2=CP309),'2025DATA'!$I$13,"")</f>
        <v/>
      </c>
      <c r="CQ320" s="518" t="str">
        <f>IF(AND(_A6="B-767-300ER",'2025'!$L$4="CA",'2025'!$L$2=CQ309),'2025DATA'!$J$13,"")</f>
        <v/>
      </c>
      <c r="CR320" s="518" t="str">
        <f>IF(AND(_A6="B-767-300ER",'2025'!$L$4="CA",'2025'!$L$2=CR309),'2025DATA'!$K$13,"")</f>
        <v/>
      </c>
      <c r="CS320" s="518" t="str">
        <f>IF(AND(_A6="B-767-300ER",'2025'!$L$4="CA",'2025'!$L$2=CS309),'2025DATA'!$L$13,"")</f>
        <v/>
      </c>
      <c r="CT320" s="518" t="str">
        <f>IF(AND(_A6="B-767-300ER",'2025'!$L$4="CA",'2025'!$L$2=CT309),'2025DATA'!$M$13,"")</f>
        <v/>
      </c>
      <c r="CU320" s="520" t="str">
        <f>IF(AND(_A6="B-767-300ER",'2025'!$L$4="CA",'2025'!$L$2=CU309),'2025DATA'!$N$13,"")</f>
        <v/>
      </c>
    </row>
    <row r="321" spans="16:99" x14ac:dyDescent="0.25">
      <c r="P321" s="940"/>
      <c r="Q321" s="13" t="s">
        <v>62</v>
      </c>
      <c r="R321" s="518" t="str">
        <f>IF(AND(_A1="B-767-300ER",'2025'!$L$4="FO",'2025'!$L$2=R309),'2025DATA'!$C$14,"")</f>
        <v/>
      </c>
      <c r="S321" s="518" t="str">
        <f>IF(AND(_A1="B-767-300ER",'2025'!$L$4="FO",'2025'!$L$2=S309),'2025DATA'!$D$14,"")</f>
        <v/>
      </c>
      <c r="T321" s="518" t="str">
        <f>IF(AND(_A1="B-767-300ER",'2025'!$L$4="FO",'2025'!$L$2=T309),'2025DATA'!$E$14,"")</f>
        <v/>
      </c>
      <c r="U321" s="518" t="str">
        <f>IF(AND(_A1="B-767-300ER",'2025'!$L$4="FO",'2025'!$L$2=U309),'2025DATA'!$F$14,"")</f>
        <v/>
      </c>
      <c r="V321" s="518" t="str">
        <f>IF(AND(_A1="B-767-300ER",'2025'!$L$4="FO",'2025'!$L$2=V309),'2025DATA'!$G$14,"")</f>
        <v/>
      </c>
      <c r="W321" s="518" t="str">
        <f>IF(AND(_A1="B-767-300ER",'2025'!$L$4="FO",'2025'!$L$2=W309),'2025DATA'!$H$14,"")</f>
        <v/>
      </c>
      <c r="X321" s="518" t="str">
        <f>IF(AND(_A1="B-767-300ER",'2025'!$L$4="FO",'2025'!$L$2=X309),'2025DATA'!$I$14,"")</f>
        <v/>
      </c>
      <c r="Y321" s="518" t="str">
        <f>IF(AND(_A1="B-767-300ER",'2025'!$L$4="FO",'2025'!$L$2=Y309),'2025DATA'!$J$14,"")</f>
        <v/>
      </c>
      <c r="Z321" s="518" t="str">
        <f>IF(AND(_A1="B-767-300ER",'2025'!$L$4="FO",'2025'!$L$2=Z309),'2025DATA'!$K$14,"")</f>
        <v/>
      </c>
      <c r="AA321" s="518" t="str">
        <f>IF(AND(_A1="B-767-300ER",'2025'!$L$4="FO",'2025'!$L$2=AA309),'2025DATA'!$L$14,"")</f>
        <v/>
      </c>
      <c r="AB321" s="518" t="str">
        <f>IF(AND(_A1="B-767-300ER",'2025'!$L$4="FO",'2025'!$L$2=AB309),'2025DATA'!$M$14,"")</f>
        <v/>
      </c>
      <c r="AC321" s="520" t="str">
        <f>IF(AND(_A1="B-767-300ER",'2025'!$L$4="FO",'2025'!$L$2=AC309),'2025DATA'!$N$14,"")</f>
        <v/>
      </c>
      <c r="AD321" s="940"/>
      <c r="AE321" s="13" t="s">
        <v>62</v>
      </c>
      <c r="AF321" s="518" t="str">
        <f>IF(AND(_A2="B-767-300ER",'2025'!$L$4="FO",'2025'!$L$2=AF309),'2025DATA'!$C$14,"")</f>
        <v/>
      </c>
      <c r="AG321" s="518" t="str">
        <f>IF(AND(_A2="B-767-300ER",'2025'!$L$4="FO",'2025'!$L$2=AG309),'2025DATA'!$D$14,"")</f>
        <v/>
      </c>
      <c r="AH321" s="518" t="str">
        <f>IF(AND(_A2="B-767-300ER",'2025'!$L$4="FO",'2025'!$L$2=AH309),'2025DATA'!$E$14,"")</f>
        <v/>
      </c>
      <c r="AI321" s="518" t="str">
        <f>IF(AND(_A2="B-767-300ER",'2025'!$L$4="FO",'2025'!$L$2=AI309),'2025DATA'!$F$14,"")</f>
        <v/>
      </c>
      <c r="AJ321" s="518" t="str">
        <f>IF(AND(_A2="B-767-300ER",'2025'!$L$4="FO",'2025'!$L$2=AJ309),'2025DATA'!$G$14,"")</f>
        <v/>
      </c>
      <c r="AK321" s="518" t="str">
        <f>IF(AND(_A2="B-767-300ER",'2025'!$L$4="FO",'2025'!$L$2=AK309),'2025DATA'!$H$14,"")</f>
        <v/>
      </c>
      <c r="AL321" s="518" t="str">
        <f>IF(AND(_A2="B-767-300ER",'2025'!$L$4="FO",'2025'!$L$2=AL309),'2025DATA'!$I$14,"")</f>
        <v/>
      </c>
      <c r="AM321" s="518" t="str">
        <f>IF(AND(_A2="B-767-300ER",'2025'!$L$4="FO",'2025'!$L$2=AM309),'2025DATA'!$J$14,"")</f>
        <v/>
      </c>
      <c r="AN321" s="518" t="str">
        <f>IF(AND(_A2="B-767-300ER",'2025'!$L$4="FO",'2025'!$L$2=AN309),'2025DATA'!$K$14,"")</f>
        <v/>
      </c>
      <c r="AO321" s="518" t="str">
        <f>IF(AND(_A2="B-767-300ER",'2025'!$L$4="FO",'2025'!$L$2=AO309),'2025DATA'!$L$14,"")</f>
        <v/>
      </c>
      <c r="AP321" s="518" t="str">
        <f>IF(AND(_A2="B-767-300ER",'2025'!$L$4="FO",'2025'!$L$2=AP309),'2025DATA'!$M$14,"")</f>
        <v/>
      </c>
      <c r="AQ321" s="520" t="str">
        <f>IF(AND(_A2="B-767-300ER",'2025'!$L$4="FO",'2025'!$L$2=AQ309),'2025DATA'!$N$14,"")</f>
        <v/>
      </c>
      <c r="AR321" s="940"/>
      <c r="AS321" s="13" t="s">
        <v>62</v>
      </c>
      <c r="AT321" s="518" t="str">
        <f>IF(AND(_A3="B-767-300ER",'2025'!$L$4="FO",'2025'!$L$2=AT309),'2025DATA'!$C$14,"")</f>
        <v/>
      </c>
      <c r="AU321" s="518" t="str">
        <f>IF(AND(_A3="B-767-300ER",'2025'!$L$4="FO",'2025'!$L$2=AU309),'2025DATA'!$D$14,"")</f>
        <v/>
      </c>
      <c r="AV321" s="518" t="str">
        <f>IF(AND(_A3="B-767-300ER",'2025'!$L$4="FO",'2025'!$L$2=AV309),'2025DATA'!$E$14,"")</f>
        <v/>
      </c>
      <c r="AW321" s="518" t="str">
        <f>IF(AND(_A3="B-767-300ER",'2025'!$L$4="FO",'2025'!$L$2=AW309),'2025DATA'!$F$14,"")</f>
        <v/>
      </c>
      <c r="AX321" s="518" t="str">
        <f>IF(AND(_A3="B-767-300ER",'2025'!$L$4="FO",'2025'!$L$2=AX309),'2025DATA'!$G$14,"")</f>
        <v/>
      </c>
      <c r="AY321" s="518" t="str">
        <f>IF(AND(_A3="B-767-300ER",'2025'!$L$4="FO",'2025'!$L$2=AY309),'2025DATA'!$H$14,"")</f>
        <v/>
      </c>
      <c r="AZ321" s="518" t="str">
        <f>IF(AND(_A3="B-767-300ER",'2025'!$L$4="FO",'2025'!$L$2=AZ309),'2025DATA'!$I$14,"")</f>
        <v/>
      </c>
      <c r="BA321" s="518" t="str">
        <f>IF(AND(_A3="B-767-300ER",'2025'!$L$4="FO",'2025'!$L$2=BA309),'2025DATA'!$J$14,"")</f>
        <v/>
      </c>
      <c r="BB321" s="518" t="str">
        <f>IF(AND(_A3="B-767-300ER",'2025'!$L$4="FO",'2025'!$L$2=BB309),'2025DATA'!$K$14,"")</f>
        <v/>
      </c>
      <c r="BC321" s="518" t="str">
        <f>IF(AND(_A3="B-767-300ER",'2025'!$L$4="FO",'2025'!$L$2=BC309),'2025DATA'!$L$14,"")</f>
        <v/>
      </c>
      <c r="BD321" s="518" t="str">
        <f>IF(AND(_A3="B-767-300ER",'2025'!$L$4="FO",'2025'!$L$2=BD309),'2025DATA'!$M$14,"")</f>
        <v/>
      </c>
      <c r="BE321" s="520" t="str">
        <f>IF(AND(_A3="B-767-300ER",'2025'!$L$4="FO",'2025'!$L$2=BE309),'2025DATA'!$N$14,"")</f>
        <v/>
      </c>
      <c r="BF321" s="940"/>
      <c r="BG321" s="13" t="s">
        <v>62</v>
      </c>
      <c r="BH321" s="518" t="str">
        <f>IF(AND(_A4="B-767-300ER",'2025'!$L$4="FO",'2025'!$L$2=BH309),'2025DATA'!$C$14,"")</f>
        <v/>
      </c>
      <c r="BI321" s="518" t="str">
        <f>IF(AND(_A4="B-767-300ER",'2025'!$L$4="FO",'2025'!$L$2=BI309),'2025DATA'!$D$14,"")</f>
        <v/>
      </c>
      <c r="BJ321" s="518" t="str">
        <f>IF(AND(_A4="B-767-300ER",'2025'!$L$4="FO",'2025'!$L$2=BJ309),'2025DATA'!$E$14,"")</f>
        <v/>
      </c>
      <c r="BK321" s="518" t="str">
        <f>IF(AND(_A4="B-767-300ER",'2025'!$L$4="FO",'2025'!$L$2=BK309),'2025DATA'!$F$14,"")</f>
        <v/>
      </c>
      <c r="BL321" s="518" t="str">
        <f>IF(AND(_A4="B-767-300ER",'2025'!$L$4="FO",'2025'!$L$2=BL309),'2025DATA'!$G$14,"")</f>
        <v/>
      </c>
      <c r="BM321" s="518" t="str">
        <f>IF(AND(_A4="B-767-300ER",'2025'!$L$4="FO",'2025'!$L$2=BM309),'2025DATA'!$H$14,"")</f>
        <v/>
      </c>
      <c r="BN321" s="518" t="str">
        <f>IF(AND(_A4="B-767-300ER",'2025'!$L$4="FO",'2025'!$L$2=BN309),'2025DATA'!$I$14,"")</f>
        <v/>
      </c>
      <c r="BO321" s="518" t="str">
        <f>IF(AND(_A4="B-767-300ER",'2025'!$L$4="FO",'2025'!$L$2=BO309),'2025DATA'!$J$14,"")</f>
        <v/>
      </c>
      <c r="BP321" s="518" t="str">
        <f>IF(AND(_A4="B-767-300ER",'2025'!$L$4="FO",'2025'!$L$2=BP309),'2025DATA'!$K$14,"")</f>
        <v/>
      </c>
      <c r="BQ321" s="518" t="str">
        <f>IF(AND(_A4="B-767-300ER",'2025'!$L$4="FO",'2025'!$L$2=BQ309),'2025DATA'!$L$14,"")</f>
        <v/>
      </c>
      <c r="BR321" s="518" t="str">
        <f>IF(AND(_A4="B-767-300ER",'2025'!$L$4="FO",'2025'!$L$2=BR309),'2025DATA'!$M$14,"")</f>
        <v/>
      </c>
      <c r="BS321" s="520" t="str">
        <f>IF(AND(_A4="B-767-300ER",'2025'!$L$4="FO",'2025'!$L$2=BS309),'2025DATA'!$N$14,"")</f>
        <v/>
      </c>
      <c r="BT321" s="940"/>
      <c r="BU321" s="13" t="s">
        <v>62</v>
      </c>
      <c r="BV321" s="518" t="str">
        <f>IF(AND(_A5="B-767-300ER",'2025'!$L$4="FO",'2025'!$L$2=BV309),'2025DATA'!$C$14,"")</f>
        <v/>
      </c>
      <c r="BW321" s="518" t="str">
        <f>IF(AND(_A5="B-767-300ER",'2025'!$L$4="FO",'2025'!$L$2=BW309),'2025DATA'!$D$14,"")</f>
        <v/>
      </c>
      <c r="BX321" s="518" t="str">
        <f>IF(AND(_A5="B-767-300ER",'2025'!$L$4="FO",'2025'!$L$2=BX309),'2025DATA'!$E$14,"")</f>
        <v/>
      </c>
      <c r="BY321" s="518" t="str">
        <f>IF(AND(_A5="B-767-300ER",'2025'!$L$4="FO",'2025'!$L$2=BY309),'2025DATA'!$F$14,"")</f>
        <v/>
      </c>
      <c r="BZ321" s="518" t="str">
        <f>IF(AND(_A5="B-767-300ER",'2025'!$L$4="FO",'2025'!$L$2=BZ309),'2025DATA'!$G$14,"")</f>
        <v/>
      </c>
      <c r="CA321" s="518" t="str">
        <f>IF(AND(_A5="B-767-300ER",'2025'!$L$4="FO",'2025'!$L$2=CA309),'2025DATA'!$H$14,"")</f>
        <v/>
      </c>
      <c r="CB321" s="518" t="str">
        <f>IF(AND(_A5="B-767-300ER",'2025'!$L$4="FO",'2025'!$L$2=CB309),'2025DATA'!$I$14,"")</f>
        <v/>
      </c>
      <c r="CC321" s="518" t="str">
        <f>IF(AND(_A5="B-767-300ER",'2025'!$L$4="FO",'2025'!$L$2=CC309),'2025DATA'!$J$14,"")</f>
        <v/>
      </c>
      <c r="CD321" s="518" t="str">
        <f>IF(AND(_A5="B-767-300ER",'2025'!$L$4="FO",'2025'!$L$2=CD309),'2025DATA'!$K$14,"")</f>
        <v/>
      </c>
      <c r="CE321" s="518" t="str">
        <f>IF(AND(_A5="B-767-300ER",'2025'!$L$4="FO",'2025'!$L$2=CE309),'2025DATA'!$L$14,"")</f>
        <v/>
      </c>
      <c r="CF321" s="518" t="str">
        <f>IF(AND(_A5="B-767-300ER",'2025'!$L$4="FO",'2025'!$L$2=CF309),'2025DATA'!$M$14,"")</f>
        <v/>
      </c>
      <c r="CG321" s="520" t="str">
        <f>IF(AND(_A5="B-767-300ER",'2025'!$L$4="FO",'2025'!$L$2=CG309),'2025DATA'!$N$14,"")</f>
        <v/>
      </c>
      <c r="CH321" s="940"/>
      <c r="CI321" s="13" t="s">
        <v>62</v>
      </c>
      <c r="CJ321" s="518" t="str">
        <f>IF(AND(_A6="B-767-300ER",'2025'!$L$4="FO",'2025'!$L$2=CJ309),'2025DATA'!$C$14,"")</f>
        <v/>
      </c>
      <c r="CK321" s="518" t="str">
        <f>IF(AND(_A6="B-767-300ER",'2025'!$L$4="FO",'2025'!$L$2=CK309),'2025DATA'!$D$14,"")</f>
        <v/>
      </c>
      <c r="CL321" s="518" t="str">
        <f>IF(AND(_A6="B-767-300ER",'2025'!$L$4="FO",'2025'!$L$2=CL309),'2025DATA'!$E$14,"")</f>
        <v/>
      </c>
      <c r="CM321" s="518" t="str">
        <f>IF(AND(_A6="B-767-300ER",'2025'!$L$4="FO",'2025'!$L$2=CM309),'2025DATA'!$F$14,"")</f>
        <v/>
      </c>
      <c r="CN321" s="518" t="str">
        <f>IF(AND(_A6="B-767-300ER",'2025'!$L$4="FO",'2025'!$L$2=CN309),'2025DATA'!$G$14,"")</f>
        <v/>
      </c>
      <c r="CO321" s="518" t="str">
        <f>IF(AND(_A6="B-767-300ER",'2025'!$L$4="FO",'2025'!$L$2=CO309),'2025DATA'!$H$14,"")</f>
        <v/>
      </c>
      <c r="CP321" s="518" t="str">
        <f>IF(AND(_A6="B-767-300ER",'2025'!$L$4="FO",'2025'!$L$2=CP309),'2025DATA'!$I$14,"")</f>
        <v/>
      </c>
      <c r="CQ321" s="518" t="str">
        <f>IF(AND(_A6="B-767-300ER",'2025'!$L$4="FO",'2025'!$L$2=CQ309),'2025DATA'!$J$14,"")</f>
        <v/>
      </c>
      <c r="CR321" s="518" t="str">
        <f>IF(AND(_A6="B-767-300ER",'2025'!$L$4="FO",'2025'!$L$2=CR309),'2025DATA'!$K$14,"")</f>
        <v/>
      </c>
      <c r="CS321" s="518" t="str">
        <f>IF(AND(_A6="B-767-300ER",'2025'!$L$4="FO",'2025'!$L$2=CS309),'2025DATA'!$L$14,"")</f>
        <v/>
      </c>
      <c r="CT321" s="518" t="str">
        <f>IF(AND(_A6="B-767-300ER",'2025'!$L$4="FO",'2025'!$L$2=CT309),'2025DATA'!$M$14,"")</f>
        <v/>
      </c>
      <c r="CU321" s="520" t="str">
        <f>IF(AND(_A6="B-767-300ER",'2025'!$L$4="FO",'2025'!$L$2=CU309),'2025DATA'!$N$14,"")</f>
        <v/>
      </c>
    </row>
    <row r="322" spans="16:99" x14ac:dyDescent="0.25">
      <c r="P322" s="940" t="s">
        <v>67</v>
      </c>
      <c r="Q322" s="13" t="s">
        <v>61</v>
      </c>
      <c r="R322" s="518" t="str">
        <f>IF(AND(_A1="B-767-300",'2025'!$L$4="CA",'2025'!$L$2=R309),'2025DATA'!$C$15,"")</f>
        <v/>
      </c>
      <c r="S322" s="518" t="str">
        <f>IF(AND(_A1="B-767-300",'2025'!$L$4="CA",'2025'!$L$2=S309),'2025DATA'!$D$15,"")</f>
        <v/>
      </c>
      <c r="T322" s="518" t="str">
        <f>IF(AND(_A1="B-767-300",'2025'!$L$4="CA",'2025'!$L$2=T309),'2025DATA'!$E$15,"")</f>
        <v/>
      </c>
      <c r="U322" s="518" t="str">
        <f>IF(AND(_A1="B-767-300",'2025'!$L$4="CA",'2025'!$L$2=U309),'2025DATA'!$F$15,"")</f>
        <v/>
      </c>
      <c r="V322" s="518" t="str">
        <f>IF(AND(_A1="B-767-300",'2025'!$L$4="CA",'2025'!$L$2=V309),'2025DATA'!$G$15,"")</f>
        <v/>
      </c>
      <c r="W322" s="518" t="str">
        <f>IF(AND(_A1="B-767-300",'2025'!$L$4="CA",'2025'!$L$2=W309),'2025DATA'!$H$15,"")</f>
        <v/>
      </c>
      <c r="X322" s="518" t="str">
        <f>IF(AND(_A1="B-767-300",'2025'!$L$4="CA",'2025'!$L$2=X309),'2025DATA'!$I$15,"")</f>
        <v/>
      </c>
      <c r="Y322" s="518" t="str">
        <f>IF(AND(_A1="B-767-300",'2025'!$L$4="CA",'2025'!$L$2=Y309),'2025DATA'!$J$15,"")</f>
        <v/>
      </c>
      <c r="Z322" s="518" t="str">
        <f>IF(AND(_A1="B-767-300",'2025'!$L$4="CA",'2025'!$L$2=Z309),'2025DATA'!$K$15,"")</f>
        <v/>
      </c>
      <c r="AA322" s="518" t="str">
        <f>IF(AND(_A1="B-767-300",'2025'!$L$4="CA",'2025'!$L$2=AA309),'2025DATA'!$L$15,"")</f>
        <v/>
      </c>
      <c r="AB322" s="518" t="str">
        <f>IF(AND(_A1="B-767-300",'2025'!$L$4="CA",'2025'!$L$2=AB309),'2025DATA'!$M$15,"")</f>
        <v/>
      </c>
      <c r="AC322" s="520" t="str">
        <f>IF(AND(_A1="B-767-300",'2025'!$L$4="CA",'2025'!$L$2=AC309),'2025DATA'!$N$15,"")</f>
        <v/>
      </c>
      <c r="AD322" s="940" t="s">
        <v>67</v>
      </c>
      <c r="AE322" s="13" t="s">
        <v>61</v>
      </c>
      <c r="AF322" s="518" t="str">
        <f>IF(AND(_A2="B-767-300",'2025'!$L$4="CA",'2025'!$L$2=AF309),'2025DATA'!$C$15,"")</f>
        <v/>
      </c>
      <c r="AG322" s="518" t="str">
        <f>IF(AND(_A2="B-767-300",'2025'!$L$4="CA",'2025'!$L$2=AG309),'2025DATA'!$D$15,"")</f>
        <v/>
      </c>
      <c r="AH322" s="518" t="str">
        <f>IF(AND(_A2="B-767-300",'2025'!$L$4="CA",'2025'!$L$2=AH309),'2025DATA'!$E$15,"")</f>
        <v/>
      </c>
      <c r="AI322" s="518" t="str">
        <f>IF(AND(_A2="B-767-300",'2025'!$L$4="CA",'2025'!$L$2=AI309),'2025DATA'!$F$15,"")</f>
        <v/>
      </c>
      <c r="AJ322" s="518" t="str">
        <f>IF(AND(_A2="B-767-300",'2025'!$L$4="CA",'2025'!$L$2=AJ309),'2025DATA'!$G$15,"")</f>
        <v/>
      </c>
      <c r="AK322" s="518" t="str">
        <f>IF(AND(_A2="B-767-300",'2025'!$L$4="CA",'2025'!$L$2=AK309),'2025DATA'!$H$15,"")</f>
        <v/>
      </c>
      <c r="AL322" s="518" t="str">
        <f>IF(AND(_A2="B-767-300",'2025'!$L$4="CA",'2025'!$L$2=AL309),'2025DATA'!$I$15,"")</f>
        <v/>
      </c>
      <c r="AM322" s="518" t="str">
        <f>IF(AND(_A2="B-767-300",'2025'!$L$4="CA",'2025'!$L$2=AM309),'2025DATA'!$J$15,"")</f>
        <v/>
      </c>
      <c r="AN322" s="518" t="str">
        <f>IF(AND(_A2="B-767-300",'2025'!$L$4="CA",'2025'!$L$2=AN309),'2025DATA'!$K$15,"")</f>
        <v/>
      </c>
      <c r="AO322" s="518" t="str">
        <f>IF(AND(_A2="B-767-300",'2025'!$L$4="CA",'2025'!$L$2=AO309),'2025DATA'!$L$15,"")</f>
        <v/>
      </c>
      <c r="AP322" s="518" t="str">
        <f>IF(AND(_A2="B-767-300",'2025'!$L$4="CA",'2025'!$L$2=AP309),'2025DATA'!$M$15,"")</f>
        <v/>
      </c>
      <c r="AQ322" s="520" t="str">
        <f>IF(AND(_A2="B-767-300",'2025'!$L$4="CA",'2025'!$L$2=AQ309),'2025DATA'!$N$15,"")</f>
        <v/>
      </c>
      <c r="AR322" s="940" t="s">
        <v>67</v>
      </c>
      <c r="AS322" s="13" t="s">
        <v>61</v>
      </c>
      <c r="AT322" s="518" t="str">
        <f>IF(AND(_A3="B-767-300",'2025'!$L$4="CA",'2025'!$L$2=AT309),'2025DATA'!$C$15,"")</f>
        <v/>
      </c>
      <c r="AU322" s="518" t="str">
        <f>IF(AND(_A3="B-767-300",'2025'!$L$4="CA",'2025'!$L$2=AU309),'2025DATA'!$D$15,"")</f>
        <v/>
      </c>
      <c r="AV322" s="518" t="str">
        <f>IF(AND(_A3="B-767-300",'2025'!$L$4="CA",'2025'!$L$2=AV309),'2025DATA'!$E$15,"")</f>
        <v/>
      </c>
      <c r="AW322" s="518" t="str">
        <f>IF(AND(_A3="B-767-300",'2025'!$L$4="CA",'2025'!$L$2=AW309),'2025DATA'!$F$15,"")</f>
        <v/>
      </c>
      <c r="AX322" s="518" t="str">
        <f>IF(AND(_A3="B-767-300",'2025'!$L$4="CA",'2025'!$L$2=AX309),'2025DATA'!$G$15,"")</f>
        <v/>
      </c>
      <c r="AY322" s="518" t="str">
        <f>IF(AND(_A3="B-767-300",'2025'!$L$4="CA",'2025'!$L$2=AY309),'2025DATA'!$H$15,"")</f>
        <v/>
      </c>
      <c r="AZ322" s="518" t="str">
        <f>IF(AND(_A3="B-767-300",'2025'!$L$4="CA",'2025'!$L$2=AZ309),'2025DATA'!$I$15,"")</f>
        <v/>
      </c>
      <c r="BA322" s="518" t="str">
        <f>IF(AND(_A3="B-767-300",'2025'!$L$4="CA",'2025'!$L$2=BA309),'2025DATA'!$J$15,"")</f>
        <v/>
      </c>
      <c r="BB322" s="518" t="str">
        <f>IF(AND(_A3="B-767-300",'2025'!$L$4="CA",'2025'!$L$2=BB309),'2025DATA'!$K$15,"")</f>
        <v/>
      </c>
      <c r="BC322" s="518" t="str">
        <f>IF(AND(_A3="B-767-300",'2025'!$L$4="CA",'2025'!$L$2=BC309),'2025DATA'!$L$15,"")</f>
        <v/>
      </c>
      <c r="BD322" s="518" t="str">
        <f>IF(AND(_A3="B-767-300",'2025'!$L$4="CA",'2025'!$L$2=BD309),'2025DATA'!$M$15,"")</f>
        <v/>
      </c>
      <c r="BE322" s="520" t="str">
        <f>IF(AND(_A3="B-767-300",'2025'!$L$4="CA",'2025'!$L$2=BE309),'2025DATA'!$N$15,"")</f>
        <v/>
      </c>
      <c r="BF322" s="940" t="s">
        <v>67</v>
      </c>
      <c r="BG322" s="13" t="s">
        <v>61</v>
      </c>
      <c r="BH322" s="518" t="str">
        <f>IF(AND(_A4="B-767-300",'2025'!$L$4="CA",'2025'!$L$2=BH309),'2025DATA'!$C$15,"")</f>
        <v/>
      </c>
      <c r="BI322" s="518" t="str">
        <f>IF(AND(_A4="B-767-300",'2025'!$L$4="CA",'2025'!$L$2=BI309),'2025DATA'!$D$15,"")</f>
        <v/>
      </c>
      <c r="BJ322" s="518" t="str">
        <f>IF(AND(_A4="B-767-300",'2025'!$L$4="CA",'2025'!$L$2=BJ309),'2025DATA'!$E$15,"")</f>
        <v/>
      </c>
      <c r="BK322" s="518" t="str">
        <f>IF(AND(_A4="B-767-300",'2025'!$L$4="CA",'2025'!$L$2=BK309),'2025DATA'!$F$15,"")</f>
        <v/>
      </c>
      <c r="BL322" s="518" t="str">
        <f>IF(AND(_A4="B-767-300",'2025'!$L$4="CA",'2025'!$L$2=BL309),'2025DATA'!$G$15,"")</f>
        <v/>
      </c>
      <c r="BM322" s="518" t="str">
        <f>IF(AND(_A4="B-767-300",'2025'!$L$4="CA",'2025'!$L$2=BM309),'2025DATA'!$H$15,"")</f>
        <v/>
      </c>
      <c r="BN322" s="518" t="str">
        <f>IF(AND(_A4="B-767-300",'2025'!$L$4="CA",'2025'!$L$2=BN309),'2025DATA'!$I$15,"")</f>
        <v/>
      </c>
      <c r="BO322" s="518" t="str">
        <f>IF(AND(_A4="B-767-300",'2025'!$L$4="CA",'2025'!$L$2=BO309),'2025DATA'!$J$15,"")</f>
        <v/>
      </c>
      <c r="BP322" s="518" t="str">
        <f>IF(AND(_A4="B-767-300",'2025'!$L$4="CA",'2025'!$L$2=BP309),'2025DATA'!$K$15,"")</f>
        <v/>
      </c>
      <c r="BQ322" s="518" t="str">
        <f>IF(AND(_A4="B-767-300",'2025'!$L$4="CA",'2025'!$L$2=BQ309),'2025DATA'!$L$15,"")</f>
        <v/>
      </c>
      <c r="BR322" s="518" t="str">
        <f>IF(AND(_A4="B-767-300",'2025'!$L$4="CA",'2025'!$L$2=BR309),'2025DATA'!$M$15,"")</f>
        <v/>
      </c>
      <c r="BS322" s="520" t="str">
        <f>IF(AND(_A4="B-767-300",'2025'!$L$4="CA",'2025'!$L$2=BS309),'2025DATA'!$N$15,"")</f>
        <v/>
      </c>
      <c r="BT322" s="940" t="s">
        <v>67</v>
      </c>
      <c r="BU322" s="13" t="s">
        <v>61</v>
      </c>
      <c r="BV322" s="518" t="str">
        <f>IF(AND(_A5="B-767-300",'2025'!$L$4="CA",'2025'!$L$2=BV309),'2025DATA'!$C$15,"")</f>
        <v/>
      </c>
      <c r="BW322" s="518" t="str">
        <f>IF(AND(_A5="B-767-300",'2025'!$L$4="CA",'2025'!$L$2=BW309),'2025DATA'!$D$15,"")</f>
        <v/>
      </c>
      <c r="BX322" s="518" t="str">
        <f>IF(AND(_A5="B-767-300",'2025'!$L$4="CA",'2025'!$L$2=BX309),'2025DATA'!$E$15,"")</f>
        <v/>
      </c>
      <c r="BY322" s="518" t="str">
        <f>IF(AND(_A5="B-767-300",'2025'!$L$4="CA",'2025'!$L$2=BY309),'2025DATA'!$F$15,"")</f>
        <v/>
      </c>
      <c r="BZ322" s="518" t="str">
        <f>IF(AND(_A5="B-767-300",'2025'!$L$4="CA",'2025'!$L$2=BZ309),'2025DATA'!$G$15,"")</f>
        <v/>
      </c>
      <c r="CA322" s="518" t="str">
        <f>IF(AND(_A5="B-767-300",'2025'!$L$4="CA",'2025'!$L$2=CA309),'2025DATA'!$H$15,"")</f>
        <v/>
      </c>
      <c r="CB322" s="518" t="str">
        <f>IF(AND(_A5="B-767-300",'2025'!$L$4="CA",'2025'!$L$2=CB309),'2025DATA'!$I$15,"")</f>
        <v/>
      </c>
      <c r="CC322" s="518" t="str">
        <f>IF(AND(_A5="B-767-300",'2025'!$L$4="CA",'2025'!$L$2=CC309),'2025DATA'!$J$15,"")</f>
        <v/>
      </c>
      <c r="CD322" s="518" t="str">
        <f>IF(AND(_A5="B-767-300",'2025'!$L$4="CA",'2025'!$L$2=CD309),'2025DATA'!$K$15,"")</f>
        <v/>
      </c>
      <c r="CE322" s="518" t="str">
        <f>IF(AND(_A5="B-767-300",'2025'!$L$4="CA",'2025'!$L$2=CE309),'2025DATA'!$L$15,"")</f>
        <v/>
      </c>
      <c r="CF322" s="518" t="str">
        <f>IF(AND(_A5="B-767-300",'2025'!$L$4="CA",'2025'!$L$2=CF309),'2025DATA'!$M$15,"")</f>
        <v/>
      </c>
      <c r="CG322" s="520" t="str">
        <f>IF(AND(_A5="B-767-300",'2025'!$L$4="CA",'2025'!$L$2=CG309),'2025DATA'!$N$15,"")</f>
        <v/>
      </c>
      <c r="CH322" s="940" t="s">
        <v>67</v>
      </c>
      <c r="CI322" s="13" t="s">
        <v>61</v>
      </c>
      <c r="CJ322" s="518" t="str">
        <f>IF(AND(_A6="B-767-300",'2025'!$L$4="CA",'2025'!$L$2=CJ309),'2025DATA'!$C$15,"")</f>
        <v/>
      </c>
      <c r="CK322" s="518" t="str">
        <f>IF(AND(_A6="B-767-300",'2025'!$L$4="CA",'2025'!$L$2=CK309),'2025DATA'!$D$15,"")</f>
        <v/>
      </c>
      <c r="CL322" s="518" t="str">
        <f>IF(AND(_A6="B-767-300",'2025'!$L$4="CA",'2025'!$L$2=CL309),'2025DATA'!$E$15,"")</f>
        <v/>
      </c>
      <c r="CM322" s="518" t="str">
        <f>IF(AND(_A6="B-767-300",'2025'!$L$4="CA",'2025'!$L$2=CM309),'2025DATA'!$F$15,"")</f>
        <v/>
      </c>
      <c r="CN322" s="518" t="str">
        <f>IF(AND(_A6="B-767-300",'2025'!$L$4="CA",'2025'!$L$2=CN309),'2025DATA'!$G$15,"")</f>
        <v/>
      </c>
      <c r="CO322" s="518" t="str">
        <f>IF(AND(_A6="B-767-300",'2025'!$L$4="CA",'2025'!$L$2=CO309),'2025DATA'!$H$15,"")</f>
        <v/>
      </c>
      <c r="CP322" s="518" t="str">
        <f>IF(AND(_A6="B-767-300",'2025'!$L$4="CA",'2025'!$L$2=CP309),'2025DATA'!$I$15,"")</f>
        <v/>
      </c>
      <c r="CQ322" s="518" t="str">
        <f>IF(AND(_A6="B-767-300",'2025'!$L$4="CA",'2025'!$L$2=CQ309),'2025DATA'!$J$15,"")</f>
        <v/>
      </c>
      <c r="CR322" s="518" t="str">
        <f>IF(AND(_A6="B-767-300",'2025'!$L$4="CA",'2025'!$L$2=CR309),'2025DATA'!$K$15,"")</f>
        <v/>
      </c>
      <c r="CS322" s="518" t="str">
        <f>IF(AND(_A6="B-767-300",'2025'!$L$4="CA",'2025'!$L$2=CS309),'2025DATA'!$L$15,"")</f>
        <v/>
      </c>
      <c r="CT322" s="518" t="str">
        <f>IF(AND(_A6="B-767-300",'2025'!$L$4="CA",'2025'!$L$2=CT309),'2025DATA'!$M$15,"")</f>
        <v/>
      </c>
      <c r="CU322" s="520" t="str">
        <f>IF(AND(_A6="B-767-300",'2025'!$L$4="CA",'2025'!$L$2=CU309),'2025DATA'!$N$15,"")</f>
        <v/>
      </c>
    </row>
    <row r="323" spans="16:99" x14ac:dyDescent="0.25">
      <c r="P323" s="940"/>
      <c r="Q323" s="13" t="s">
        <v>62</v>
      </c>
      <c r="R323" s="518" t="str">
        <f>IF(AND(_A1="B-767-300",'2025'!$L$4="FO",'2025'!$L$2=R309),'2025DATA'!$C$16,"")</f>
        <v/>
      </c>
      <c r="S323" s="518" t="str">
        <f>IF(AND(_A1="B-767-300",'2025'!$L$4="FO",'2025'!$L$2=S309),'2025DATA'!$D$16,"")</f>
        <v/>
      </c>
      <c r="T323" s="518" t="str">
        <f>IF(AND(_A1="B-767-300",'2025'!$L$4="FO",'2025'!$L$2=T309),'2025DATA'!$E$16,"")</f>
        <v/>
      </c>
      <c r="U323" s="518" t="str">
        <f>IF(AND(_A1="B-767-300",'2025'!$L$4="FO",'2025'!$L$2=U309),'2025DATA'!$F$16,"")</f>
        <v/>
      </c>
      <c r="V323" s="518" t="str">
        <f>IF(AND(_A1="B-767-300",'2025'!$L$4="FO",'2025'!$L$2=V309),'2025DATA'!$G$16,"")</f>
        <v/>
      </c>
      <c r="W323" s="518" t="str">
        <f>IF(AND(_A1="B-767-300",'2025'!$L$4="FO",'2025'!$L$2=W309),'2025DATA'!$H$16,"")</f>
        <v/>
      </c>
      <c r="X323" s="518" t="str">
        <f>IF(AND(_A1="B-767-300",'2025'!$L$4="FO",'2025'!$L$2=X309),'2025DATA'!$I$16,"")</f>
        <v/>
      </c>
      <c r="Y323" s="518" t="str">
        <f>IF(AND(_A1="B-767-300",'2025'!$L$4="FO",'2025'!$L$2=Y309),'2025DATA'!$J$16,"")</f>
        <v/>
      </c>
      <c r="Z323" s="518" t="str">
        <f>IF(AND(_A1="B-767-300",'2025'!$L$4="FO",'2025'!$L$2=Z309),'2025DATA'!$K$16,"")</f>
        <v/>
      </c>
      <c r="AA323" s="518" t="str">
        <f>IF(AND(_A1="B-767-300",'2025'!$L$4="FO",'2025'!$L$2=AA309),'2025DATA'!$L$16,"")</f>
        <v/>
      </c>
      <c r="AB323" s="518" t="str">
        <f>IF(AND(_A1="B-767-300",'2025'!$L$4="FO",'2025'!$L$2=AB309),'2025DATA'!$M$16,"")</f>
        <v/>
      </c>
      <c r="AC323" s="520" t="str">
        <f>IF(AND(_A1="B-767-300",'2025'!$L$4="FO",'2025'!$L$2=AC309),'2025DATA'!$N$16,"")</f>
        <v/>
      </c>
      <c r="AD323" s="940"/>
      <c r="AE323" s="13" t="s">
        <v>62</v>
      </c>
      <c r="AF323" s="518" t="str">
        <f>IF(AND(_A2="B-767-300",'2025'!$L$4="FO",'2025'!$L$2=AF309),'2025DATA'!$C$16,"")</f>
        <v/>
      </c>
      <c r="AG323" s="518" t="str">
        <f>IF(AND(_A2="B-767-300",'2025'!$L$4="FO",'2025'!$L$2=AG309),'2025DATA'!$D$16,"")</f>
        <v/>
      </c>
      <c r="AH323" s="518" t="str">
        <f>IF(AND(_A2="B-767-300",'2025'!$L$4="FO",'2025'!$L$2=AH309),'2025DATA'!$E$16,"")</f>
        <v/>
      </c>
      <c r="AI323" s="518" t="str">
        <f>IF(AND(_A2="B-767-300",'2025'!$L$4="FO",'2025'!$L$2=AI309),'2025DATA'!$F$16,"")</f>
        <v/>
      </c>
      <c r="AJ323" s="518" t="str">
        <f>IF(AND(_A2="B-767-300",'2025'!$L$4="FO",'2025'!$L$2=AJ309),'2025DATA'!$G$16,"")</f>
        <v/>
      </c>
      <c r="AK323" s="518" t="str">
        <f>IF(AND(_A2="B-767-300",'2025'!$L$4="FO",'2025'!$L$2=AK309),'2025DATA'!$H$16,"")</f>
        <v/>
      </c>
      <c r="AL323" s="518" t="str">
        <f>IF(AND(_A2="B-767-300",'2025'!$L$4="FO",'2025'!$L$2=AL309),'2025DATA'!$I$16,"")</f>
        <v/>
      </c>
      <c r="AM323" s="518" t="str">
        <f>IF(AND(_A2="B-767-300",'2025'!$L$4="FO",'2025'!$L$2=AM309),'2025DATA'!$J$16,"")</f>
        <v/>
      </c>
      <c r="AN323" s="518" t="str">
        <f>IF(AND(_A2="B-767-300",'2025'!$L$4="FO",'2025'!$L$2=AN309),'2025DATA'!$K$16,"")</f>
        <v/>
      </c>
      <c r="AO323" s="518" t="str">
        <f>IF(AND(_A2="B-767-300",'2025'!$L$4="FO",'2025'!$L$2=AO309),'2025DATA'!$L$16,"")</f>
        <v/>
      </c>
      <c r="AP323" s="518" t="str">
        <f>IF(AND(_A2="B-767-300",'2025'!$L$4="FO",'2025'!$L$2=AP309),'2025DATA'!$M$16,"")</f>
        <v/>
      </c>
      <c r="AQ323" s="520" t="str">
        <f>IF(AND(_A2="B-767-300",'2025'!$L$4="FO",'2025'!$L$2=AQ309),'2025DATA'!$N$16,"")</f>
        <v/>
      </c>
      <c r="AR323" s="940"/>
      <c r="AS323" s="13" t="s">
        <v>62</v>
      </c>
      <c r="AT323" s="518" t="str">
        <f>IF(AND(_A3="B-767-300",'2025'!$L$4="FO",'2025'!$L$2=AT309),'2025DATA'!$C$16,"")</f>
        <v/>
      </c>
      <c r="AU323" s="518" t="str">
        <f>IF(AND(_A3="B-767-300",'2025'!$L$4="FO",'2025'!$L$2=AU309),'2025DATA'!$D$16,"")</f>
        <v/>
      </c>
      <c r="AV323" s="518" t="str">
        <f>IF(AND(_A3="B-767-300",'2025'!$L$4="FO",'2025'!$L$2=AV309),'2025DATA'!$E$16,"")</f>
        <v/>
      </c>
      <c r="AW323" s="518" t="str">
        <f>IF(AND(_A3="B-767-300",'2025'!$L$4="FO",'2025'!$L$2=AW309),'2025DATA'!$F$16,"")</f>
        <v/>
      </c>
      <c r="AX323" s="518" t="str">
        <f>IF(AND(_A3="B-767-300",'2025'!$L$4="FO",'2025'!$L$2=AX309),'2025DATA'!$G$16,"")</f>
        <v/>
      </c>
      <c r="AY323" s="518" t="str">
        <f>IF(AND(_A3="B-767-300",'2025'!$L$4="FO",'2025'!$L$2=AY309),'2025DATA'!$H$16,"")</f>
        <v/>
      </c>
      <c r="AZ323" s="518" t="str">
        <f>IF(AND(_A3="B-767-300",'2025'!$L$4="FO",'2025'!$L$2=AZ309),'2025DATA'!$I$16,"")</f>
        <v/>
      </c>
      <c r="BA323" s="518" t="str">
        <f>IF(AND(_A3="B-767-300",'2025'!$L$4="FO",'2025'!$L$2=BA309),'2025DATA'!$J$16,"")</f>
        <v/>
      </c>
      <c r="BB323" s="518" t="str">
        <f>IF(AND(_A3="B-767-300",'2025'!$L$4="FO",'2025'!$L$2=BB309),'2025DATA'!$K$16,"")</f>
        <v/>
      </c>
      <c r="BC323" s="518" t="str">
        <f>IF(AND(_A3="B-767-300",'2025'!$L$4="FO",'2025'!$L$2=BC309),'2025DATA'!$L$16,"")</f>
        <v/>
      </c>
      <c r="BD323" s="518" t="str">
        <f>IF(AND(_A3="B-767-300",'2025'!$L$4="FO",'2025'!$L$2=BD309),'2025DATA'!$M$16,"")</f>
        <v/>
      </c>
      <c r="BE323" s="520" t="str">
        <f>IF(AND(_A3="B-767-300",'2025'!$L$4="FO",'2025'!$L$2=BE309),'2025DATA'!$N$16,"")</f>
        <v/>
      </c>
      <c r="BF323" s="940"/>
      <c r="BG323" s="13" t="s">
        <v>62</v>
      </c>
      <c r="BH323" s="518" t="str">
        <f>IF(AND(_A4="B-767-300",'2025'!$L$4="FO",'2025'!$L$2=BH309),'2025DATA'!$C$16,"")</f>
        <v/>
      </c>
      <c r="BI323" s="518" t="str">
        <f>IF(AND(_A4="B-767-300",'2025'!$L$4="FO",'2025'!$L$2=BI309),'2025DATA'!$D$16,"")</f>
        <v/>
      </c>
      <c r="BJ323" s="518" t="str">
        <f>IF(AND(_A4="B-767-300",'2025'!$L$4="FO",'2025'!$L$2=BJ309),'2025DATA'!$E$16,"")</f>
        <v/>
      </c>
      <c r="BK323" s="518" t="str">
        <f>IF(AND(_A4="B-767-300",'2025'!$L$4="FO",'2025'!$L$2=BK309),'2025DATA'!$F$16,"")</f>
        <v/>
      </c>
      <c r="BL323" s="518" t="str">
        <f>IF(AND(_A4="B-767-300",'2025'!$L$4="FO",'2025'!$L$2=BL309),'2025DATA'!$G$16,"")</f>
        <v/>
      </c>
      <c r="BM323" s="518" t="str">
        <f>IF(AND(_A4="B-767-300",'2025'!$L$4="FO",'2025'!$L$2=BM309),'2025DATA'!$H$16,"")</f>
        <v/>
      </c>
      <c r="BN323" s="518" t="str">
        <f>IF(AND(_A4="B-767-300",'2025'!$L$4="FO",'2025'!$L$2=BN309),'2025DATA'!$I$16,"")</f>
        <v/>
      </c>
      <c r="BO323" s="518" t="str">
        <f>IF(AND(_A4="B-767-300",'2025'!$L$4="FO",'2025'!$L$2=BO309),'2025DATA'!$J$16,"")</f>
        <v/>
      </c>
      <c r="BP323" s="518" t="str">
        <f>IF(AND(_A4="B-767-300",'2025'!$L$4="FO",'2025'!$L$2=BP309),'2025DATA'!$K$16,"")</f>
        <v/>
      </c>
      <c r="BQ323" s="518" t="str">
        <f>IF(AND(_A4="B-767-300",'2025'!$L$4="FO",'2025'!$L$2=BQ309),'2025DATA'!$L$16,"")</f>
        <v/>
      </c>
      <c r="BR323" s="518" t="str">
        <f>IF(AND(_A4="B-767-300",'2025'!$L$4="FO",'2025'!$L$2=BR309),'2025DATA'!$M$16,"")</f>
        <v/>
      </c>
      <c r="BS323" s="520" t="str">
        <f>IF(AND(_A4="B-767-300",'2025'!$L$4="FO",'2025'!$L$2=BS309),'2025DATA'!$N$16,"")</f>
        <v/>
      </c>
      <c r="BT323" s="940"/>
      <c r="BU323" s="13" t="s">
        <v>62</v>
      </c>
      <c r="BV323" s="518" t="str">
        <f>IF(AND(_A5="B-767-300",'2025'!$L$4="FO",'2025'!$L$2=BV309),'2025DATA'!$C$16,"")</f>
        <v/>
      </c>
      <c r="BW323" s="518" t="str">
        <f>IF(AND(_A5="B-767-300",'2025'!$L$4="FO",'2025'!$L$2=BW309),'2025DATA'!$D$16,"")</f>
        <v/>
      </c>
      <c r="BX323" s="518" t="str">
        <f>IF(AND(_A5="B-767-300",'2025'!$L$4="FO",'2025'!$L$2=BX309),'2025DATA'!$E$16,"")</f>
        <v/>
      </c>
      <c r="BY323" s="518" t="str">
        <f>IF(AND(_A5="B-767-300",'2025'!$L$4="FO",'2025'!$L$2=BY309),'2025DATA'!$F$16,"")</f>
        <v/>
      </c>
      <c r="BZ323" s="518" t="str">
        <f>IF(AND(_A5="B-767-300",'2025'!$L$4="FO",'2025'!$L$2=BZ309),'2025DATA'!$G$16,"")</f>
        <v/>
      </c>
      <c r="CA323" s="518" t="str">
        <f>IF(AND(_A5="B-767-300",'2025'!$L$4="FO",'2025'!$L$2=CA309),'2025DATA'!$H$16,"")</f>
        <v/>
      </c>
      <c r="CB323" s="518" t="str">
        <f>IF(AND(_A5="B-767-300",'2025'!$L$4="FO",'2025'!$L$2=CB309),'2025DATA'!$I$16,"")</f>
        <v/>
      </c>
      <c r="CC323" s="518" t="str">
        <f>IF(AND(_A5="B-767-300",'2025'!$L$4="FO",'2025'!$L$2=CC309),'2025DATA'!$J$16,"")</f>
        <v/>
      </c>
      <c r="CD323" s="518" t="str">
        <f>IF(AND(_A5="B-767-300",'2025'!$L$4="FO",'2025'!$L$2=CD309),'2025DATA'!$K$16,"")</f>
        <v/>
      </c>
      <c r="CE323" s="518" t="str">
        <f>IF(AND(_A5="B-767-300",'2025'!$L$4="FO",'2025'!$L$2=CE309),'2025DATA'!$L$16,"")</f>
        <v/>
      </c>
      <c r="CF323" s="518" t="str">
        <f>IF(AND(_A5="B-767-300",'2025'!$L$4="FO",'2025'!$L$2=CF309),'2025DATA'!$M$16,"")</f>
        <v/>
      </c>
      <c r="CG323" s="520" t="str">
        <f>IF(AND(_A5="B-767-300",'2025'!$L$4="FO",'2025'!$L$2=CG309),'2025DATA'!$N$16,"")</f>
        <v/>
      </c>
      <c r="CH323" s="940"/>
      <c r="CI323" s="13" t="s">
        <v>62</v>
      </c>
      <c r="CJ323" s="518" t="str">
        <f>IF(AND(_A6="B-767-300",'2025'!$L$4="FO",'2025'!$L$2=CJ309),'2025DATA'!$C$16,"")</f>
        <v/>
      </c>
      <c r="CK323" s="518" t="str">
        <f>IF(AND(_A6="B-767-300",'2025'!$L$4="FO",'2025'!$L$2=CK309),'2025DATA'!$D$16,"")</f>
        <v/>
      </c>
      <c r="CL323" s="518" t="str">
        <f>IF(AND(_A6="B-767-300",'2025'!$L$4="FO",'2025'!$L$2=CL309),'2025DATA'!$E$16,"")</f>
        <v/>
      </c>
      <c r="CM323" s="518" t="str">
        <f>IF(AND(_A6="B-767-300",'2025'!$L$4="FO",'2025'!$L$2=CM309),'2025DATA'!$F$16,"")</f>
        <v/>
      </c>
      <c r="CN323" s="518" t="str">
        <f>IF(AND(_A6="B-767-300",'2025'!$L$4="FO",'2025'!$L$2=CN309),'2025DATA'!$G$16,"")</f>
        <v/>
      </c>
      <c r="CO323" s="518" t="str">
        <f>IF(AND(_A6="B-767-300",'2025'!$L$4="FO",'2025'!$L$2=CO309),'2025DATA'!$H$16,"")</f>
        <v/>
      </c>
      <c r="CP323" s="518" t="str">
        <f>IF(AND(_A6="B-767-300",'2025'!$L$4="FO",'2025'!$L$2=CP309),'2025DATA'!$I$16,"")</f>
        <v/>
      </c>
      <c r="CQ323" s="518" t="str">
        <f>IF(AND(_A6="B-767-300",'2025'!$L$4="FO",'2025'!$L$2=CQ309),'2025DATA'!$J$16,"")</f>
        <v/>
      </c>
      <c r="CR323" s="518" t="str">
        <f>IF(AND(_A6="B-767-300",'2025'!$L$4="FO",'2025'!$L$2=CR309),'2025DATA'!$K$16,"")</f>
        <v/>
      </c>
      <c r="CS323" s="518" t="str">
        <f>IF(AND(_A6="B-767-300",'2025'!$L$4="FO",'2025'!$L$2=CS309),'2025DATA'!$L$16,"")</f>
        <v/>
      </c>
      <c r="CT323" s="518" t="str">
        <f>IF(AND(_A6="B-767-300",'2025'!$L$4="FO",'2025'!$L$2=CT309),'2025DATA'!$M$16,"")</f>
        <v/>
      </c>
      <c r="CU323" s="520" t="str">
        <f>IF(AND(_A6="B-767-300",'2025'!$L$4="FO",'2025'!$L$2=CU309),'2025DATA'!$N$16,"")</f>
        <v/>
      </c>
    </row>
    <row r="324" spans="16:99" x14ac:dyDescent="0.25">
      <c r="P324" s="940" t="s">
        <v>68</v>
      </c>
      <c r="Q324" s="13" t="s">
        <v>61</v>
      </c>
      <c r="R324" s="518" t="str">
        <f>IF(AND(_A1="B-767-200",'2025'!$L$4="CA",'2025'!$L$2=R309),'2025DATA'!$C$17,"")</f>
        <v/>
      </c>
      <c r="S324" s="518" t="str">
        <f>IF(AND(_A1="B-767-200",'2025'!$L$4="CA",'2025'!$L$2=S309),'2025DATA'!$D$17,"")</f>
        <v/>
      </c>
      <c r="T324" s="518" t="str">
        <f>IF(AND(_A1="B-767-200",'2025'!$L$4="CA",'2025'!$L$2=T309),'2025DATA'!$E$17,"")</f>
        <v/>
      </c>
      <c r="U324" s="518" t="str">
        <f>IF(AND(_A1="B-767-200",'2025'!$L$4="CA",'2025'!$L$2=U309),'2025DATA'!$F$17,"")</f>
        <v/>
      </c>
      <c r="V324" s="518" t="str">
        <f>IF(AND(_A1="B-767-200",'2025'!$L$4="CA",'2025'!$L$2=V309),'2025DATA'!$G$17,"")</f>
        <v/>
      </c>
      <c r="W324" s="518" t="str">
        <f>IF(AND(_A1="B-767-200",'2025'!$L$4="CA",'2025'!$L$2=W309),'2025DATA'!$H$17,"")</f>
        <v/>
      </c>
      <c r="X324" s="518" t="str">
        <f>IF(AND(_A1="B-767-200",'2025'!$L$4="CA",'2025'!$L$2=X309),'2025DATA'!$I$17,"")</f>
        <v/>
      </c>
      <c r="Y324" s="518" t="str">
        <f>IF(AND(_A1="B-767-200",'2025'!$L$4="CA",'2025'!$L$2=Y309),'2025DATA'!$J$17,"")</f>
        <v/>
      </c>
      <c r="Z324" s="518" t="str">
        <f>IF(AND(_A1="B-767-200",'2025'!$L$4="CA",'2025'!$L$2=Z309),'2025DATA'!$K$17,"")</f>
        <v/>
      </c>
      <c r="AA324" s="518" t="str">
        <f>IF(AND(_A1="B-767-200",'2025'!$L$4="CA",'2025'!$L$2=AA309),'2025DATA'!$L$17,"")</f>
        <v/>
      </c>
      <c r="AB324" s="518" t="str">
        <f>IF(AND(_A1="B-767-200",'2025'!$L$4="CA",'2025'!$L$2=AB309),'2025DATA'!$M$17,"")</f>
        <v/>
      </c>
      <c r="AC324" s="520" t="str">
        <f>IF(AND(_A1="B-767-200",'2025'!$L$4="CA",'2025'!$L$2=AC309),'2025DATA'!$N$17,"")</f>
        <v/>
      </c>
      <c r="AD324" s="940" t="s">
        <v>68</v>
      </c>
      <c r="AE324" s="13" t="s">
        <v>61</v>
      </c>
      <c r="AF324" s="518" t="str">
        <f>IF(AND(_A2="B-767-200",'2025'!$L$4="CA",'2025'!$L$2=AF309),'2025DATA'!$C$17,"")</f>
        <v/>
      </c>
      <c r="AG324" s="518" t="str">
        <f>IF(AND(_A2="B-767-200",'2025'!$L$4="CA",'2025'!$L$2=AG309),'2025DATA'!$D$17,"")</f>
        <v/>
      </c>
      <c r="AH324" s="518" t="str">
        <f>IF(AND(_A2="B-767-200",'2025'!$L$4="CA",'2025'!$L$2=AH309),'2025DATA'!$E$17,"")</f>
        <v/>
      </c>
      <c r="AI324" s="518" t="str">
        <f>IF(AND(_A2="B-767-200",'2025'!$L$4="CA",'2025'!$L$2=AI309),'2025DATA'!$F$17,"")</f>
        <v/>
      </c>
      <c r="AJ324" s="518" t="str">
        <f>IF(AND(_A2="B-767-200",'2025'!$L$4="CA",'2025'!$L$2=AJ309),'2025DATA'!$G$17,"")</f>
        <v/>
      </c>
      <c r="AK324" s="518" t="str">
        <f>IF(AND(_A2="B-767-200",'2025'!$L$4="CA",'2025'!$L$2=AK309),'2025DATA'!$H$17,"")</f>
        <v/>
      </c>
      <c r="AL324" s="518" t="str">
        <f>IF(AND(_A2="B-767-200",'2025'!$L$4="CA",'2025'!$L$2=AL309),'2025DATA'!$I$17,"")</f>
        <v/>
      </c>
      <c r="AM324" s="518" t="str">
        <f>IF(AND(_A2="B-767-200",'2025'!$L$4="CA",'2025'!$L$2=AM309),'2025DATA'!$J$17,"")</f>
        <v/>
      </c>
      <c r="AN324" s="518" t="str">
        <f>IF(AND(_A2="B-767-200",'2025'!$L$4="CA",'2025'!$L$2=AN309),'2025DATA'!$K$17,"")</f>
        <v/>
      </c>
      <c r="AO324" s="518" t="str">
        <f>IF(AND(_A2="B-767-200",'2025'!$L$4="CA",'2025'!$L$2=AO309),'2025DATA'!$L$17,"")</f>
        <v/>
      </c>
      <c r="AP324" s="518" t="str">
        <f>IF(AND(_A2="B-767-200",'2025'!$L$4="CA",'2025'!$L$2=AP309),'2025DATA'!$M$17,"")</f>
        <v/>
      </c>
      <c r="AQ324" s="520" t="str">
        <f>IF(AND(_A2="B-767-200",'2025'!$L$4="CA",'2025'!$L$2=AQ309),'2025DATA'!$N$17,"")</f>
        <v/>
      </c>
      <c r="AR324" s="940" t="s">
        <v>68</v>
      </c>
      <c r="AS324" s="13" t="s">
        <v>61</v>
      </c>
      <c r="AT324" s="518" t="str">
        <f>IF(AND(_A3="B-767-200",'2025'!$L$4="CA",'2025'!$L$2=AT309),'2025DATA'!$C$17,"")</f>
        <v/>
      </c>
      <c r="AU324" s="518" t="str">
        <f>IF(AND(_A3="B-767-200",'2025'!$L$4="CA",'2025'!$L$2=AU309),'2025DATA'!$D$17,"")</f>
        <v/>
      </c>
      <c r="AV324" s="518" t="str">
        <f>IF(AND(_A3="B-767-200",'2025'!$L$4="CA",'2025'!$L$2=AV309),'2025DATA'!$E$17,"")</f>
        <v/>
      </c>
      <c r="AW324" s="518" t="str">
        <f>IF(AND(_A3="B-767-200",'2025'!$L$4="CA",'2025'!$L$2=AW309),'2025DATA'!$F$17,"")</f>
        <v/>
      </c>
      <c r="AX324" s="518" t="str">
        <f>IF(AND(_A3="B-767-200",'2025'!$L$4="CA",'2025'!$L$2=AX309),'2025DATA'!$G$17,"")</f>
        <v/>
      </c>
      <c r="AY324" s="518" t="str">
        <f>IF(AND(_A3="B-767-200",'2025'!$L$4="CA",'2025'!$L$2=AY309),'2025DATA'!$H$17,"")</f>
        <v/>
      </c>
      <c r="AZ324" s="518" t="str">
        <f>IF(AND(_A3="B-767-200",'2025'!$L$4="CA",'2025'!$L$2=AZ309),'2025DATA'!$I$17,"")</f>
        <v/>
      </c>
      <c r="BA324" s="518" t="str">
        <f>IF(AND(_A3="B-767-200",'2025'!$L$4="CA",'2025'!$L$2=BA309),'2025DATA'!$J$17,"")</f>
        <v/>
      </c>
      <c r="BB324" s="518" t="str">
        <f>IF(AND(_A3="B-767-200",'2025'!$L$4="CA",'2025'!$L$2=BB309),'2025DATA'!$K$17,"")</f>
        <v/>
      </c>
      <c r="BC324" s="518" t="str">
        <f>IF(AND(_A3="B-767-200",'2025'!$L$4="CA",'2025'!$L$2=BC309),'2025DATA'!$L$17,"")</f>
        <v/>
      </c>
      <c r="BD324" s="518" t="str">
        <f>IF(AND(_A3="B-767-200",'2025'!$L$4="CA",'2025'!$L$2=BD309),'2025DATA'!$M$17,"")</f>
        <v/>
      </c>
      <c r="BE324" s="520" t="str">
        <f>IF(AND(_A3="B-767-200",'2025'!$L$4="CA",'2025'!$L$2=BE309),'2025DATA'!$N$17,"")</f>
        <v/>
      </c>
      <c r="BF324" s="940" t="s">
        <v>68</v>
      </c>
      <c r="BG324" s="13" t="s">
        <v>61</v>
      </c>
      <c r="BH324" s="518" t="str">
        <f>IF(AND(_A4="B-767-200",'2025'!$L$4="CA",'2025'!$L$2=BH309),'2025DATA'!$C$17,"")</f>
        <v/>
      </c>
      <c r="BI324" s="518" t="str">
        <f>IF(AND(_A4="B-767-200",'2025'!$L$4="CA",'2025'!$L$2=BI309),'2025DATA'!$D$17,"")</f>
        <v/>
      </c>
      <c r="BJ324" s="518" t="str">
        <f>IF(AND(_A4="B-767-200",'2025'!$L$4="CA",'2025'!$L$2=BJ309),'2025DATA'!$E$17,"")</f>
        <v/>
      </c>
      <c r="BK324" s="518" t="str">
        <f>IF(AND(_A4="B-767-200",'2025'!$L$4="CA",'2025'!$L$2=BK309),'2025DATA'!$F$17,"")</f>
        <v/>
      </c>
      <c r="BL324" s="518" t="str">
        <f>IF(AND(_A4="B-767-200",'2025'!$L$4="CA",'2025'!$L$2=BL309),'2025DATA'!$G$17,"")</f>
        <v/>
      </c>
      <c r="BM324" s="518" t="str">
        <f>IF(AND(_A4="B-767-200",'2025'!$L$4="CA",'2025'!$L$2=BM309),'2025DATA'!$H$17,"")</f>
        <v/>
      </c>
      <c r="BN324" s="518" t="str">
        <f>IF(AND(_A4="B-767-200",'2025'!$L$4="CA",'2025'!$L$2=BN309),'2025DATA'!$I$17,"")</f>
        <v/>
      </c>
      <c r="BO324" s="518" t="str">
        <f>IF(AND(_A4="B-767-200",'2025'!$L$4="CA",'2025'!$L$2=BO309),'2025DATA'!$J$17,"")</f>
        <v/>
      </c>
      <c r="BP324" s="518" t="str">
        <f>IF(AND(_A4="B-767-200",'2025'!$L$4="CA",'2025'!$L$2=BP309),'2025DATA'!$K$17,"")</f>
        <v/>
      </c>
      <c r="BQ324" s="518" t="str">
        <f>IF(AND(_A4="B-767-200",'2025'!$L$4="CA",'2025'!$L$2=BQ309),'2025DATA'!$L$17,"")</f>
        <v/>
      </c>
      <c r="BR324" s="518" t="str">
        <f>IF(AND(_A4="B-767-200",'2025'!$L$4="CA",'2025'!$L$2=BR309),'2025DATA'!$M$17,"")</f>
        <v/>
      </c>
      <c r="BS324" s="520" t="str">
        <f>IF(AND(_A4="B-767-200",'2025'!$L$4="CA",'2025'!$L$2=BS309),'2025DATA'!$N$17,"")</f>
        <v/>
      </c>
      <c r="BT324" s="940" t="s">
        <v>68</v>
      </c>
      <c r="BU324" s="13" t="s">
        <v>61</v>
      </c>
      <c r="BV324" s="518" t="str">
        <f>IF(AND(_A5="B-767-200",'2025'!$L$4="CA",'2025'!$L$2=BV309),'2025DATA'!$C$17,"")</f>
        <v/>
      </c>
      <c r="BW324" s="518" t="str">
        <f>IF(AND(_A5="B-767-200",'2025'!$L$4="CA",'2025'!$L$2=BW309),'2025DATA'!$D$17,"")</f>
        <v/>
      </c>
      <c r="BX324" s="518" t="str">
        <f>IF(AND(_A5="B-767-200",'2025'!$L$4="CA",'2025'!$L$2=BX309),'2025DATA'!$E$17,"")</f>
        <v/>
      </c>
      <c r="BY324" s="518" t="str">
        <f>IF(AND(_A5="B-767-200",'2025'!$L$4="CA",'2025'!$L$2=BY309),'2025DATA'!$F$17,"")</f>
        <v/>
      </c>
      <c r="BZ324" s="518" t="str">
        <f>IF(AND(_A5="B-767-200",'2025'!$L$4="CA",'2025'!$L$2=BZ309),'2025DATA'!$G$17,"")</f>
        <v/>
      </c>
      <c r="CA324" s="518" t="str">
        <f>IF(AND(_A5="B-767-200",'2025'!$L$4="CA",'2025'!$L$2=CA309),'2025DATA'!$H$17,"")</f>
        <v/>
      </c>
      <c r="CB324" s="518" t="str">
        <f>IF(AND(_A5="B-767-200",'2025'!$L$4="CA",'2025'!$L$2=CB309),'2025DATA'!$I$17,"")</f>
        <v/>
      </c>
      <c r="CC324" s="518" t="str">
        <f>IF(AND(_A5="B-767-200",'2025'!$L$4="CA",'2025'!$L$2=CC309),'2025DATA'!$J$17,"")</f>
        <v/>
      </c>
      <c r="CD324" s="518" t="str">
        <f>IF(AND(_A5="B-767-200",'2025'!$L$4="CA",'2025'!$L$2=CD309),'2025DATA'!$K$17,"")</f>
        <v/>
      </c>
      <c r="CE324" s="518" t="str">
        <f>IF(AND(_A5="B-767-200",'2025'!$L$4="CA",'2025'!$L$2=CE309),'2025DATA'!$L$17,"")</f>
        <v/>
      </c>
      <c r="CF324" s="518" t="str">
        <f>IF(AND(_A5="B-767-200",'2025'!$L$4="CA",'2025'!$L$2=CF309),'2025DATA'!$M$17,"")</f>
        <v/>
      </c>
      <c r="CG324" s="520" t="str">
        <f>IF(AND(_A5="B-767-200",'2025'!$L$4="CA",'2025'!$L$2=CG309),'2025DATA'!$N$17,"")</f>
        <v/>
      </c>
      <c r="CH324" s="940" t="s">
        <v>68</v>
      </c>
      <c r="CI324" s="13" t="s">
        <v>61</v>
      </c>
      <c r="CJ324" s="518" t="str">
        <f>IF(AND(_A6="B-767-200",'2025'!$L$4="CA",'2025'!$L$2=CJ309),'2025DATA'!$C$17,"")</f>
        <v/>
      </c>
      <c r="CK324" s="518" t="str">
        <f>IF(AND(_A6="B-767-200",'2025'!$L$4="CA",'2025'!$L$2=CK309),'2025DATA'!$D$17,"")</f>
        <v/>
      </c>
      <c r="CL324" s="518" t="str">
        <f>IF(AND(_A6="B-767-200",'2025'!$L$4="CA",'2025'!$L$2=CL309),'2025DATA'!$E$17,"")</f>
        <v/>
      </c>
      <c r="CM324" s="518" t="str">
        <f>IF(AND(_A6="B-767-200",'2025'!$L$4="CA",'2025'!$L$2=CM309),'2025DATA'!$F$17,"")</f>
        <v/>
      </c>
      <c r="CN324" s="518" t="str">
        <f>IF(AND(_A6="B-767-200",'2025'!$L$4="CA",'2025'!$L$2=CN309),'2025DATA'!$G$17,"")</f>
        <v/>
      </c>
      <c r="CO324" s="518" t="str">
        <f>IF(AND(_A6="B-767-200",'2025'!$L$4="CA",'2025'!$L$2=CO309),'2025DATA'!$H$17,"")</f>
        <v/>
      </c>
      <c r="CP324" s="518" t="str">
        <f>IF(AND(_A6="B-767-200",'2025'!$L$4="CA",'2025'!$L$2=CP309),'2025DATA'!$I$17,"")</f>
        <v/>
      </c>
      <c r="CQ324" s="518" t="str">
        <f>IF(AND(_A6="B-767-200",'2025'!$L$4="CA",'2025'!$L$2=CQ309),'2025DATA'!$J$17,"")</f>
        <v/>
      </c>
      <c r="CR324" s="518" t="str">
        <f>IF(AND(_A6="B-767-200",'2025'!$L$4="CA",'2025'!$L$2=CR309),'2025DATA'!$K$17,"")</f>
        <v/>
      </c>
      <c r="CS324" s="518" t="str">
        <f>IF(AND(_A6="B-767-200",'2025'!$L$4="CA",'2025'!$L$2=CS309),'2025DATA'!$L$17,"")</f>
        <v/>
      </c>
      <c r="CT324" s="518" t="str">
        <f>IF(AND(_A6="B-767-200",'2025'!$L$4="CA",'2025'!$L$2=CT309),'2025DATA'!$M$17,"")</f>
        <v/>
      </c>
      <c r="CU324" s="520" t="str">
        <f>IF(AND(_A6="B-767-200",'2025'!$L$4="CA",'2025'!$L$2=CU309),'2025DATA'!$N$17,"")</f>
        <v/>
      </c>
    </row>
    <row r="325" spans="16:99" x14ac:dyDescent="0.25">
      <c r="P325" s="940"/>
      <c r="Q325" s="13" t="s">
        <v>62</v>
      </c>
      <c r="R325" s="518" t="str">
        <f>IF(AND(_A1="B-767-200",'2025'!$L$4="FO",'2025'!$L$2=R309),'2025DATA'!$C$18,"")</f>
        <v/>
      </c>
      <c r="S325" s="518" t="str">
        <f>IF(AND(_A1="B-767-200",'2025'!$L$4="FO",'2025'!$L$2=S309),'2025DATA'!$D$18,"")</f>
        <v/>
      </c>
      <c r="T325" s="518" t="str">
        <f>IF(AND(_A1="B-767-200",'2025'!$L$4="FO",'2025'!$L$2=T309),'2025DATA'!$E$18,"")</f>
        <v/>
      </c>
      <c r="U325" s="518" t="str">
        <f>IF(AND(_A1="B-767-200",'2025'!$L$4="FO",'2025'!$L$2=U309),'2025DATA'!$F$18,"")</f>
        <v/>
      </c>
      <c r="V325" s="518" t="str">
        <f>IF(AND(_A1="B-767-200",'2025'!$L$4="FO",'2025'!$L$2=V309),'2025DATA'!$G$18,"")</f>
        <v/>
      </c>
      <c r="W325" s="518" t="str">
        <f>IF(AND(_A1="B-767-200",'2025'!$L$4="FO",'2025'!$L$2=W309),'2025DATA'!$H$18,"")</f>
        <v/>
      </c>
      <c r="X325" s="518" t="str">
        <f>IF(AND(_A1="B-767-200",'2025'!$L$4="FO",'2025'!$L$2=X309),'2025DATA'!$I$18,"")</f>
        <v/>
      </c>
      <c r="Y325" s="518" t="str">
        <f>IF(AND(_A1="B-767-200",'2025'!$L$4="FO",'2025'!$L$2=Y309),'2025DATA'!$J$18,"")</f>
        <v/>
      </c>
      <c r="Z325" s="518" t="str">
        <f>IF(AND(_A1="B-767-200",'2025'!$L$4="FO",'2025'!$L$2=Z309),'2025DATA'!$K$18,"")</f>
        <v/>
      </c>
      <c r="AA325" s="518" t="str">
        <f>IF(AND(_A1="B-767-200",'2025'!$L$4="FO",'2025'!$L$2=AA309),'2025DATA'!$L$18,"")</f>
        <v/>
      </c>
      <c r="AB325" s="518" t="str">
        <f>IF(AND(_A1="B-767-200",'2025'!$L$4="FO",'2025'!$L$2=AB309),'2025DATA'!$M$18,"")</f>
        <v/>
      </c>
      <c r="AC325" s="520" t="str">
        <f>IF(AND(_A1="B-767-200",'2025'!$L$4="FO",'2025'!$L$2=AC309),'2025DATA'!$N$18,"")</f>
        <v/>
      </c>
      <c r="AD325" s="940"/>
      <c r="AE325" s="13" t="s">
        <v>62</v>
      </c>
      <c r="AF325" s="518" t="str">
        <f>IF(AND(_A2="B-767-200",'2025'!$L$4="FO",'2025'!$L$2=AF309),'2025DATA'!$C$18,"")</f>
        <v/>
      </c>
      <c r="AG325" s="518" t="str">
        <f>IF(AND(_A2="B-767-200",'2025'!$L$4="FO",'2025'!$L$2=AG309),'2025DATA'!$D$18,"")</f>
        <v/>
      </c>
      <c r="AH325" s="518" t="str">
        <f>IF(AND(_A2="B-767-200",'2025'!$L$4="FO",'2025'!$L$2=AH309),'2025DATA'!$E$18,"")</f>
        <v/>
      </c>
      <c r="AI325" s="518" t="str">
        <f>IF(AND(_A2="B-767-200",'2025'!$L$4="FO",'2025'!$L$2=AI309),'2025DATA'!$F$18,"")</f>
        <v/>
      </c>
      <c r="AJ325" s="518" t="str">
        <f>IF(AND(_A2="B-767-200",'2025'!$L$4="FO",'2025'!$L$2=AJ309),'2025DATA'!$G$18,"")</f>
        <v/>
      </c>
      <c r="AK325" s="518" t="str">
        <f>IF(AND(_A2="B-767-200",'2025'!$L$4="FO",'2025'!$L$2=AK309),'2025DATA'!$H$18,"")</f>
        <v/>
      </c>
      <c r="AL325" s="518" t="str">
        <f>IF(AND(_A2="B-767-200",'2025'!$L$4="FO",'2025'!$L$2=AL309),'2025DATA'!$I$18,"")</f>
        <v/>
      </c>
      <c r="AM325" s="518" t="str">
        <f>IF(AND(_A2="B-767-200",'2025'!$L$4="FO",'2025'!$L$2=AM309),'2025DATA'!$J$18,"")</f>
        <v/>
      </c>
      <c r="AN325" s="518" t="str">
        <f>IF(AND(_A2="B-767-200",'2025'!$L$4="FO",'2025'!$L$2=AN309),'2025DATA'!$K$18,"")</f>
        <v/>
      </c>
      <c r="AO325" s="518" t="str">
        <f>IF(AND(_A2="B-767-200",'2025'!$L$4="FO",'2025'!$L$2=AO309),'2025DATA'!$L$18,"")</f>
        <v/>
      </c>
      <c r="AP325" s="518" t="str">
        <f>IF(AND(_A2="B-767-200",'2025'!$L$4="FO",'2025'!$L$2=AP309),'2025DATA'!$M$18,"")</f>
        <v/>
      </c>
      <c r="AQ325" s="520" t="str">
        <f>IF(AND(_A2="B-767-200",'2025'!$L$4="FO",'2025'!$L$2=AQ309),'2025DATA'!$N$18,"")</f>
        <v/>
      </c>
      <c r="AR325" s="940"/>
      <c r="AS325" s="13" t="s">
        <v>62</v>
      </c>
      <c r="AT325" s="518" t="str">
        <f>IF(AND(_A3="B-767-200",'2025'!$L$4="FO",'2025'!$L$2=AT309),'2025DATA'!$C$18,"")</f>
        <v/>
      </c>
      <c r="AU325" s="518" t="str">
        <f>IF(AND(_A3="B-767-200",'2025'!$L$4="FO",'2025'!$L$2=AU309),'2025DATA'!$D$18,"")</f>
        <v/>
      </c>
      <c r="AV325" s="518" t="str">
        <f>IF(AND(_A3="B-767-200",'2025'!$L$4="FO",'2025'!$L$2=AV309),'2025DATA'!$E$18,"")</f>
        <v/>
      </c>
      <c r="AW325" s="518" t="str">
        <f>IF(AND(_A3="B-767-200",'2025'!$L$4="FO",'2025'!$L$2=AW309),'2025DATA'!$F$18,"")</f>
        <v/>
      </c>
      <c r="AX325" s="518" t="str">
        <f>IF(AND(_A3="B-767-200",'2025'!$L$4="FO",'2025'!$L$2=AX309),'2025DATA'!$G$18,"")</f>
        <v/>
      </c>
      <c r="AY325" s="518" t="str">
        <f>IF(AND(_A3="B-767-200",'2025'!$L$4="FO",'2025'!$L$2=AY309),'2025DATA'!$H$18,"")</f>
        <v/>
      </c>
      <c r="AZ325" s="518" t="str">
        <f>IF(AND(_A3="B-767-200",'2025'!$L$4="FO",'2025'!$L$2=AZ309),'2025DATA'!$I$18,"")</f>
        <v/>
      </c>
      <c r="BA325" s="518" t="str">
        <f>IF(AND(_A3="B-767-200",'2025'!$L$4="FO",'2025'!$L$2=BA309),'2025DATA'!$J$18,"")</f>
        <v/>
      </c>
      <c r="BB325" s="518" t="str">
        <f>IF(AND(_A3="B-767-200",'2025'!$L$4="FO",'2025'!$L$2=BB309),'2025DATA'!$K$18,"")</f>
        <v/>
      </c>
      <c r="BC325" s="518" t="str">
        <f>IF(AND(_A3="B-767-200",'2025'!$L$4="FO",'2025'!$L$2=BC309),'2025DATA'!$L$18,"")</f>
        <v/>
      </c>
      <c r="BD325" s="518" t="str">
        <f>IF(AND(_A3="B-767-200",'2025'!$L$4="FO",'2025'!$L$2=BD309),'2025DATA'!$M$18,"")</f>
        <v/>
      </c>
      <c r="BE325" s="520" t="str">
        <f>IF(AND(_A3="B-767-200",'2025'!$L$4="FO",'2025'!$L$2=BE309),'2025DATA'!$N$18,"")</f>
        <v/>
      </c>
      <c r="BF325" s="940"/>
      <c r="BG325" s="13" t="s">
        <v>62</v>
      </c>
      <c r="BH325" s="518" t="str">
        <f>IF(AND(_A4="B-767-200",'2025'!$L$4="FO",'2025'!$L$2=BH309),'2025DATA'!$C$18,"")</f>
        <v/>
      </c>
      <c r="BI325" s="518" t="str">
        <f>IF(AND(_A4="B-767-200",'2025'!$L$4="FO",'2025'!$L$2=BI309),'2025DATA'!$D$18,"")</f>
        <v/>
      </c>
      <c r="BJ325" s="518" t="str">
        <f>IF(AND(_A4="B-767-200",'2025'!$L$4="FO",'2025'!$L$2=BJ309),'2025DATA'!$E$18,"")</f>
        <v/>
      </c>
      <c r="BK325" s="518" t="str">
        <f>IF(AND(_A4="B-767-200",'2025'!$L$4="FO",'2025'!$L$2=BK309),'2025DATA'!$F$18,"")</f>
        <v/>
      </c>
      <c r="BL325" s="518" t="str">
        <f>IF(AND(_A4="B-767-200",'2025'!$L$4="FO",'2025'!$L$2=BL309),'2025DATA'!$G$18,"")</f>
        <v/>
      </c>
      <c r="BM325" s="518" t="str">
        <f>IF(AND(_A4="B-767-200",'2025'!$L$4="FO",'2025'!$L$2=BM309),'2025DATA'!$H$18,"")</f>
        <v/>
      </c>
      <c r="BN325" s="518" t="str">
        <f>IF(AND(_A4="B-767-200",'2025'!$L$4="FO",'2025'!$L$2=BN309),'2025DATA'!$I$18,"")</f>
        <v/>
      </c>
      <c r="BO325" s="518" t="str">
        <f>IF(AND(_A4="B-767-200",'2025'!$L$4="FO",'2025'!$L$2=BO309),'2025DATA'!$J$18,"")</f>
        <v/>
      </c>
      <c r="BP325" s="518" t="str">
        <f>IF(AND(_A4="B-767-200",'2025'!$L$4="FO",'2025'!$L$2=BP309),'2025DATA'!$K$18,"")</f>
        <v/>
      </c>
      <c r="BQ325" s="518" t="str">
        <f>IF(AND(_A4="B-767-200",'2025'!$L$4="FO",'2025'!$L$2=BQ309),'2025DATA'!$L$18,"")</f>
        <v/>
      </c>
      <c r="BR325" s="518" t="str">
        <f>IF(AND(_A4="B-767-200",'2025'!$L$4="FO",'2025'!$L$2=BR309),'2025DATA'!$M$18,"")</f>
        <v/>
      </c>
      <c r="BS325" s="520" t="str">
        <f>IF(AND(_A4="B-767-200",'2025'!$L$4="FO",'2025'!$L$2=BS309),'2025DATA'!$N$18,"")</f>
        <v/>
      </c>
      <c r="BT325" s="940"/>
      <c r="BU325" s="13" t="s">
        <v>62</v>
      </c>
      <c r="BV325" s="518" t="str">
        <f>IF(AND(_A5="B-767-200",'2025'!$L$4="FO",'2025'!$L$2=BV309),'2025DATA'!$C$18,"")</f>
        <v/>
      </c>
      <c r="BW325" s="518" t="str">
        <f>IF(AND(_A5="B-767-200",'2025'!$L$4="FO",'2025'!$L$2=BW309),'2025DATA'!$D$18,"")</f>
        <v/>
      </c>
      <c r="BX325" s="518" t="str">
        <f>IF(AND(_A5="B-767-200",'2025'!$L$4="FO",'2025'!$L$2=BX309),'2025DATA'!$E$18,"")</f>
        <v/>
      </c>
      <c r="BY325" s="518" t="str">
        <f>IF(AND(_A5="B-767-200",'2025'!$L$4="FO",'2025'!$L$2=BY309),'2025DATA'!$F$18,"")</f>
        <v/>
      </c>
      <c r="BZ325" s="518" t="str">
        <f>IF(AND(_A5="B-767-200",'2025'!$L$4="FO",'2025'!$L$2=BZ309),'2025DATA'!$G$18,"")</f>
        <v/>
      </c>
      <c r="CA325" s="518" t="str">
        <f>IF(AND(_A5="B-767-200",'2025'!$L$4="FO",'2025'!$L$2=CA309),'2025DATA'!$H$18,"")</f>
        <v/>
      </c>
      <c r="CB325" s="518" t="str">
        <f>IF(AND(_A5="B-767-200",'2025'!$L$4="FO",'2025'!$L$2=CB309),'2025DATA'!$I$18,"")</f>
        <v/>
      </c>
      <c r="CC325" s="518" t="str">
        <f>IF(AND(_A5="B-767-200",'2025'!$L$4="FO",'2025'!$L$2=CC309),'2025DATA'!$J$18,"")</f>
        <v/>
      </c>
      <c r="CD325" s="518" t="str">
        <f>IF(AND(_A5="B-767-200",'2025'!$L$4="FO",'2025'!$L$2=CD309),'2025DATA'!$K$18,"")</f>
        <v/>
      </c>
      <c r="CE325" s="518" t="str">
        <f>IF(AND(_A5="B-767-200",'2025'!$L$4="FO",'2025'!$L$2=CE309),'2025DATA'!$L$18,"")</f>
        <v/>
      </c>
      <c r="CF325" s="518" t="str">
        <f>IF(AND(_A5="B-767-200",'2025'!$L$4="FO",'2025'!$L$2=CF309),'2025DATA'!$M$18,"")</f>
        <v/>
      </c>
      <c r="CG325" s="520" t="str">
        <f>IF(AND(_A5="B-767-200",'2025'!$L$4="FO",'2025'!$L$2=CG309),'2025DATA'!$N$18,"")</f>
        <v/>
      </c>
      <c r="CH325" s="940"/>
      <c r="CI325" s="13" t="s">
        <v>62</v>
      </c>
      <c r="CJ325" s="518" t="str">
        <f>IF(AND(_A6="B-767-200",'2025'!$L$4="FO",'2025'!$L$2=CJ309),'2025DATA'!$C$18,"")</f>
        <v/>
      </c>
      <c r="CK325" s="518" t="str">
        <f>IF(AND(_A6="B-767-200",'2025'!$L$4="FO",'2025'!$L$2=CK309),'2025DATA'!$D$18,"")</f>
        <v/>
      </c>
      <c r="CL325" s="518" t="str">
        <f>IF(AND(_A6="B-767-200",'2025'!$L$4="FO",'2025'!$L$2=CL309),'2025DATA'!$E$18,"")</f>
        <v/>
      </c>
      <c r="CM325" s="518" t="str">
        <f>IF(AND(_A6="B-767-200",'2025'!$L$4="FO",'2025'!$L$2=CM309),'2025DATA'!$F$18,"")</f>
        <v/>
      </c>
      <c r="CN325" s="518" t="str">
        <f>IF(AND(_A6="B-767-200",'2025'!$L$4="FO",'2025'!$L$2=CN309),'2025DATA'!$G$18,"")</f>
        <v/>
      </c>
      <c r="CO325" s="518" t="str">
        <f>IF(AND(_A6="B-767-200",'2025'!$L$4="FO",'2025'!$L$2=CO309),'2025DATA'!$H$18,"")</f>
        <v/>
      </c>
      <c r="CP325" s="518" t="str">
        <f>IF(AND(_A6="B-767-200",'2025'!$L$4="FO",'2025'!$L$2=CP309),'2025DATA'!$I$18,"")</f>
        <v/>
      </c>
      <c r="CQ325" s="518" t="str">
        <f>IF(AND(_A6="B-767-200",'2025'!$L$4="FO",'2025'!$L$2=CQ309),'2025DATA'!$J$18,"")</f>
        <v/>
      </c>
      <c r="CR325" s="518" t="str">
        <f>IF(AND(_A6="B-767-200",'2025'!$L$4="FO",'2025'!$L$2=CR309),'2025DATA'!$K$18,"")</f>
        <v/>
      </c>
      <c r="CS325" s="518" t="str">
        <f>IF(AND(_A6="B-767-200",'2025'!$L$4="FO",'2025'!$L$2=CS309),'2025DATA'!$L$18,"")</f>
        <v/>
      </c>
      <c r="CT325" s="518" t="str">
        <f>IF(AND(_A6="B-767-200",'2025'!$L$4="FO",'2025'!$L$2=CT309),'2025DATA'!$M$18,"")</f>
        <v/>
      </c>
      <c r="CU325" s="520" t="str">
        <f>IF(AND(_A6="B-767-200",'2025'!$L$4="FO",'2025'!$L$2=CU309),'2025DATA'!$N$18,"")</f>
        <v/>
      </c>
    </row>
    <row r="326" spans="16:99" x14ac:dyDescent="0.25">
      <c r="P326" s="940" t="s">
        <v>45</v>
      </c>
      <c r="Q326" s="13" t="s">
        <v>61</v>
      </c>
      <c r="R326" s="518" t="str">
        <f>IF(AND(_A1="B-757",'2025'!$L$4="CA",'2025'!$L$2=R309),'2025DATA'!$C$19,"")</f>
        <v/>
      </c>
      <c r="S326" s="518" t="str">
        <f>IF(AND(_A1="B-757",'2025'!$L$4="CA",'2025'!$L$2=S309),'2025DATA'!$D$19,"")</f>
        <v/>
      </c>
      <c r="T326" s="518" t="str">
        <f>IF(AND(_A1="B-757",'2025'!$L$4="CA",'2025'!$L$2=T309),'2025DATA'!$E$19,"")</f>
        <v/>
      </c>
      <c r="U326" s="518" t="str">
        <f>IF(AND(_A1="B-757",'2025'!$L$4="CA",'2025'!$L$2=U309),'2025DATA'!$F$19,"")</f>
        <v/>
      </c>
      <c r="V326" s="518" t="str">
        <f>IF(AND(_A1="B-757",'2025'!$L$4="CA",'2025'!$L$2=V309),'2025DATA'!$G$19,"")</f>
        <v/>
      </c>
      <c r="W326" s="518" t="str">
        <f>IF(AND(_A1="B-757",'2025'!$L$4="CA",'2025'!$L$2=W309),'2025DATA'!$H$19,"")</f>
        <v/>
      </c>
      <c r="X326" s="518" t="str">
        <f>IF(AND(_A1="B-757",'2025'!$L$4="CA",'2025'!$L$2=X309),'2025DATA'!$I$19,"")</f>
        <v/>
      </c>
      <c r="Y326" s="518" t="str">
        <f>IF(AND(_A1="B-757",'2025'!$L$4="CA",'2025'!$L$2=Y309),'2025DATA'!$J$19,"")</f>
        <v/>
      </c>
      <c r="Z326" s="518" t="str">
        <f>IF(AND(_A1="B-757",'2025'!$L$4="CA",'2025'!$L$2=Z309),'2025DATA'!$K$19,"")</f>
        <v/>
      </c>
      <c r="AA326" s="518" t="str">
        <f>IF(AND(_A1="B-757",'2025'!$L$4="CA",'2025'!$L$2=AA309),'2025DATA'!$L$19,"")</f>
        <v/>
      </c>
      <c r="AB326" s="518" t="str">
        <f>IF(AND(_A1="B-757",'2025'!$L$4="CA",'2025'!$L$2=AB309),'2025DATA'!$M$19,"")</f>
        <v/>
      </c>
      <c r="AC326" s="520" t="str">
        <f>IF(AND(_A1="B-757",'2025'!$L$4="CA",'2025'!$L$2=AC309),'2025DATA'!$N$19,"")</f>
        <v/>
      </c>
      <c r="AD326" s="940" t="s">
        <v>45</v>
      </c>
      <c r="AE326" s="13" t="s">
        <v>61</v>
      </c>
      <c r="AF326" s="518" t="str">
        <f>IF(AND(_A2="B-757",'2025'!$L$4="CA",'2025'!$L$2=AF309),'2025DATA'!$C$19,"")</f>
        <v/>
      </c>
      <c r="AG326" s="518" t="str">
        <f>IF(AND(_A2="B-757",'2025'!$L$4="CA",'2025'!$L$2=AG309),'2025DATA'!$D$19,"")</f>
        <v/>
      </c>
      <c r="AH326" s="518" t="str">
        <f>IF(AND(_A2="B-757",'2025'!$L$4="CA",'2025'!$L$2=AH309),'2025DATA'!$E$19,"")</f>
        <v/>
      </c>
      <c r="AI326" s="518" t="str">
        <f>IF(AND(_A2="B-757",'2025'!$L$4="CA",'2025'!$L$2=AI309),'2025DATA'!$F$19,"")</f>
        <v/>
      </c>
      <c r="AJ326" s="518" t="str">
        <f>IF(AND(_A2="B-757",'2025'!$L$4="CA",'2025'!$L$2=AJ309),'2025DATA'!$G$19,"")</f>
        <v/>
      </c>
      <c r="AK326" s="518" t="str">
        <f>IF(AND(_A2="B-757",'2025'!$L$4="CA",'2025'!$L$2=AK309),'2025DATA'!$H$19,"")</f>
        <v/>
      </c>
      <c r="AL326" s="518" t="str">
        <f>IF(AND(_A2="B-757",'2025'!$L$4="CA",'2025'!$L$2=AL309),'2025DATA'!$I$19,"")</f>
        <v/>
      </c>
      <c r="AM326" s="518" t="str">
        <f>IF(AND(_A2="B-757",'2025'!$L$4="CA",'2025'!$L$2=AM309),'2025DATA'!$J$19,"")</f>
        <v/>
      </c>
      <c r="AN326" s="518" t="str">
        <f>IF(AND(_A2="B-757",'2025'!$L$4="CA",'2025'!$L$2=AN309),'2025DATA'!$K$19,"")</f>
        <v/>
      </c>
      <c r="AO326" s="518" t="str">
        <f>IF(AND(_A2="B-757",'2025'!$L$4="CA",'2025'!$L$2=AO309),'2025DATA'!$L$19,"")</f>
        <v/>
      </c>
      <c r="AP326" s="518" t="str">
        <f>IF(AND(_A2="B-757",'2025'!$L$4="CA",'2025'!$L$2=AP309),'2025DATA'!$M$19,"")</f>
        <v/>
      </c>
      <c r="AQ326" s="520" t="str">
        <f>IF(AND(_A2="B-757",'2025'!$L$4="CA",'2025'!$L$2=AQ309),'2025DATA'!$N$19,"")</f>
        <v/>
      </c>
      <c r="AR326" s="940" t="s">
        <v>45</v>
      </c>
      <c r="AS326" s="13" t="s">
        <v>61</v>
      </c>
      <c r="AT326" s="518" t="str">
        <f>IF(AND(_A3="B-757",'2025'!$L$4="CA",'2025'!$L$2=AT309),'2025DATA'!$C$19,"")</f>
        <v/>
      </c>
      <c r="AU326" s="518" t="str">
        <f>IF(AND(_A3="B-757",'2025'!$L$4="CA",'2025'!$L$2=AU309),'2025DATA'!$D$19,"")</f>
        <v/>
      </c>
      <c r="AV326" s="518" t="str">
        <f>IF(AND(_A3="B-757",'2025'!$L$4="CA",'2025'!$L$2=AV309),'2025DATA'!$E$19,"")</f>
        <v/>
      </c>
      <c r="AW326" s="518" t="str">
        <f>IF(AND(_A3="B-757",'2025'!$L$4="CA",'2025'!$L$2=AW309),'2025DATA'!$F$19,"")</f>
        <v/>
      </c>
      <c r="AX326" s="518" t="str">
        <f>IF(AND(_A3="B-757",'2025'!$L$4="CA",'2025'!$L$2=AX309),'2025DATA'!$G$19,"")</f>
        <v/>
      </c>
      <c r="AY326" s="518" t="str">
        <f>IF(AND(_A3="B-757",'2025'!$L$4="CA",'2025'!$L$2=AY309),'2025DATA'!$H$19,"")</f>
        <v/>
      </c>
      <c r="AZ326" s="518" t="str">
        <f>IF(AND(_A3="B-757",'2025'!$L$4="CA",'2025'!$L$2=AZ309),'2025DATA'!$I$19,"")</f>
        <v/>
      </c>
      <c r="BA326" s="518" t="str">
        <f>IF(AND(_A3="B-757",'2025'!$L$4="CA",'2025'!$L$2=BA309),'2025DATA'!$J$19,"")</f>
        <v/>
      </c>
      <c r="BB326" s="518" t="str">
        <f>IF(AND(_A3="B-757",'2025'!$L$4="CA",'2025'!$L$2=BB309),'2025DATA'!$K$19,"")</f>
        <v/>
      </c>
      <c r="BC326" s="518" t="str">
        <f>IF(AND(_A3="B-757",'2025'!$L$4="CA",'2025'!$L$2=BC309),'2025DATA'!$L$19,"")</f>
        <v/>
      </c>
      <c r="BD326" s="518" t="str">
        <f>IF(AND(_A3="B-757",'2025'!$L$4="CA",'2025'!$L$2=BD309),'2025DATA'!$M$19,"")</f>
        <v/>
      </c>
      <c r="BE326" s="520" t="str">
        <f>IF(AND(_A3="B-757",'2025'!$L$4="CA",'2025'!$L$2=BE309),'2025DATA'!$N$19,"")</f>
        <v/>
      </c>
      <c r="BF326" s="940" t="s">
        <v>45</v>
      </c>
      <c r="BG326" s="13" t="s">
        <v>61</v>
      </c>
      <c r="BH326" s="518" t="str">
        <f>IF(AND(_A4="B-757",'2025'!$L$4="CA",'2025'!$L$2=BH309),'2025DATA'!$C$19,"")</f>
        <v/>
      </c>
      <c r="BI326" s="518" t="str">
        <f>IF(AND(_A4="B-757",'2025'!$L$4="CA",'2025'!$L$2=BI309),'2025DATA'!$D$19,"")</f>
        <v/>
      </c>
      <c r="BJ326" s="518" t="str">
        <f>IF(AND(_A4="B-757",'2025'!$L$4="CA",'2025'!$L$2=BJ309),'2025DATA'!$E$19,"")</f>
        <v/>
      </c>
      <c r="BK326" s="518" t="str">
        <f>IF(AND(_A4="B-757",'2025'!$L$4="CA",'2025'!$L$2=BK309),'2025DATA'!$F$19,"")</f>
        <v/>
      </c>
      <c r="BL326" s="518" t="str">
        <f>IF(AND(_A4="B-757",'2025'!$L$4="CA",'2025'!$L$2=BL309),'2025DATA'!$G$19,"")</f>
        <v/>
      </c>
      <c r="BM326" s="518" t="str">
        <f>IF(AND(_A4="B-757",'2025'!$L$4="CA",'2025'!$L$2=BM309),'2025DATA'!$H$19,"")</f>
        <v/>
      </c>
      <c r="BN326" s="518" t="str">
        <f>IF(AND(_A4="B-757",'2025'!$L$4="CA",'2025'!$L$2=BN309),'2025DATA'!$I$19,"")</f>
        <v/>
      </c>
      <c r="BO326" s="518" t="str">
        <f>IF(AND(_A4="B-757",'2025'!$L$4="CA",'2025'!$L$2=BO309),'2025DATA'!$J$19,"")</f>
        <v/>
      </c>
      <c r="BP326" s="518" t="str">
        <f>IF(AND(_A4="B-757",'2025'!$L$4="CA",'2025'!$L$2=BP309),'2025DATA'!$K$19,"")</f>
        <v/>
      </c>
      <c r="BQ326" s="518" t="str">
        <f>IF(AND(_A4="B-757",'2025'!$L$4="CA",'2025'!$L$2=BQ309),'2025DATA'!$L$19,"")</f>
        <v/>
      </c>
      <c r="BR326" s="518" t="str">
        <f>IF(AND(_A4="B-757",'2025'!$L$4="CA",'2025'!$L$2=BR309),'2025DATA'!$M$19,"")</f>
        <v/>
      </c>
      <c r="BS326" s="520" t="str">
        <f>IF(AND(_A4="B-757",'2025'!$L$4="CA",'2025'!$L$2=BS309),'2025DATA'!$N$19,"")</f>
        <v/>
      </c>
      <c r="BT326" s="940" t="s">
        <v>45</v>
      </c>
      <c r="BU326" s="13" t="s">
        <v>61</v>
      </c>
      <c r="BV326" s="518" t="str">
        <f>IF(AND(_A5="B-757",'2025'!$L$4="CA",'2025'!$L$2=BV309),'2025DATA'!$C$19,"")</f>
        <v/>
      </c>
      <c r="BW326" s="518" t="str">
        <f>IF(AND(_A5="B-757",'2025'!$L$4="CA",'2025'!$L$2=BW309),'2025DATA'!$D$19,"")</f>
        <v/>
      </c>
      <c r="BX326" s="518" t="str">
        <f>IF(AND(_A5="B-757",'2025'!$L$4="CA",'2025'!$L$2=BX309),'2025DATA'!$E$19,"")</f>
        <v/>
      </c>
      <c r="BY326" s="518" t="str">
        <f>IF(AND(_A5="B-757",'2025'!$L$4="CA",'2025'!$L$2=BY309),'2025DATA'!$F$19,"")</f>
        <v/>
      </c>
      <c r="BZ326" s="518" t="str">
        <f>IF(AND(_A5="B-757",'2025'!$L$4="CA",'2025'!$L$2=BZ309),'2025DATA'!$G$19,"")</f>
        <v/>
      </c>
      <c r="CA326" s="518" t="str">
        <f>IF(AND(_A5="B-757",'2025'!$L$4="CA",'2025'!$L$2=CA309),'2025DATA'!$H$19,"")</f>
        <v/>
      </c>
      <c r="CB326" s="518" t="str">
        <f>IF(AND(_A5="B-757",'2025'!$L$4="CA",'2025'!$L$2=CB309),'2025DATA'!$I$19,"")</f>
        <v/>
      </c>
      <c r="CC326" s="518" t="str">
        <f>IF(AND(_A5="B-757",'2025'!$L$4="CA",'2025'!$L$2=CC309),'2025DATA'!$J$19,"")</f>
        <v/>
      </c>
      <c r="CD326" s="518" t="str">
        <f>IF(AND(_A5="B-757",'2025'!$L$4="CA",'2025'!$L$2=CD309),'2025DATA'!$K$19,"")</f>
        <v/>
      </c>
      <c r="CE326" s="518" t="str">
        <f>IF(AND(_A5="B-757",'2025'!$L$4="CA",'2025'!$L$2=CE309),'2025DATA'!$L$19,"")</f>
        <v/>
      </c>
      <c r="CF326" s="518" t="str">
        <f>IF(AND(_A5="B-757",'2025'!$L$4="CA",'2025'!$L$2=CF309),'2025DATA'!$M$19,"")</f>
        <v/>
      </c>
      <c r="CG326" s="520" t="str">
        <f>IF(AND(_A5="B-757",'2025'!$L$4="CA",'2025'!$L$2=CG309),'2025DATA'!$N$19,"")</f>
        <v/>
      </c>
      <c r="CH326" s="940" t="s">
        <v>45</v>
      </c>
      <c r="CI326" s="13" t="s">
        <v>61</v>
      </c>
      <c r="CJ326" s="518" t="str">
        <f>IF(AND(_A6="B-757",'2025'!$L$4="CA",'2025'!$L$2=CJ309),'2025DATA'!$C$19,"")</f>
        <v/>
      </c>
      <c r="CK326" s="518" t="str">
        <f>IF(AND(_A6="B-757",'2025'!$L$4="CA",'2025'!$L$2=CK309),'2025DATA'!$D$19,"")</f>
        <v/>
      </c>
      <c r="CL326" s="518" t="str">
        <f>IF(AND(_A6="B-757",'2025'!$L$4="CA",'2025'!$L$2=CL309),'2025DATA'!$E$19,"")</f>
        <v/>
      </c>
      <c r="CM326" s="518" t="str">
        <f>IF(AND(_A6="B-757",'2025'!$L$4="CA",'2025'!$L$2=CM309),'2025DATA'!$F$19,"")</f>
        <v/>
      </c>
      <c r="CN326" s="518" t="str">
        <f>IF(AND(_A6="B-757",'2025'!$L$4="CA",'2025'!$L$2=CN309),'2025DATA'!$G$19,"")</f>
        <v/>
      </c>
      <c r="CO326" s="518" t="str">
        <f>IF(AND(_A6="B-757",'2025'!$L$4="CA",'2025'!$L$2=CO309),'2025DATA'!$H$19,"")</f>
        <v/>
      </c>
      <c r="CP326" s="518" t="str">
        <f>IF(AND(_A6="B-757",'2025'!$L$4="CA",'2025'!$L$2=CP309),'2025DATA'!$I$19,"")</f>
        <v/>
      </c>
      <c r="CQ326" s="518" t="str">
        <f>IF(AND(_A6="B-757",'2025'!$L$4="CA",'2025'!$L$2=CQ309),'2025DATA'!$J$19,"")</f>
        <v/>
      </c>
      <c r="CR326" s="518" t="str">
        <f>IF(AND(_A6="B-757",'2025'!$L$4="CA",'2025'!$L$2=CR309),'2025DATA'!$K$19,"")</f>
        <v/>
      </c>
      <c r="CS326" s="518" t="str">
        <f>IF(AND(_A6="B-757",'2025'!$L$4="CA",'2025'!$L$2=CS309),'2025DATA'!$L$19,"")</f>
        <v/>
      </c>
      <c r="CT326" s="518" t="str">
        <f>IF(AND(_A6="B-757",'2025'!$L$4="CA",'2025'!$L$2=CT309),'2025DATA'!$M$19,"")</f>
        <v/>
      </c>
      <c r="CU326" s="520" t="str">
        <f>IF(AND(_A6="B-757",'2025'!$L$4="CA",'2025'!$L$2=CU309),'2025DATA'!$N$19,"")</f>
        <v/>
      </c>
    </row>
    <row r="327" spans="16:99" x14ac:dyDescent="0.25">
      <c r="P327" s="940"/>
      <c r="Q327" s="13" t="s">
        <v>62</v>
      </c>
      <c r="R327" s="518" t="str">
        <f>IF(AND(_A1="B-757",'2025'!$L$4="FO",'2025'!$L$2=R309),'2025DATA'!$C$20,"")</f>
        <v/>
      </c>
      <c r="S327" s="518" t="str">
        <f>IF(AND(_A1="B-757",'2025'!$L$4="FO",'2025'!$L$2=S309),'2025DATA'!$D$20,"")</f>
        <v/>
      </c>
      <c r="T327" s="518" t="str">
        <f>IF(AND(_A1="B-757",'2025'!$L$4="FO",'2025'!$L$2=T309),'2025DATA'!$E$20,"")</f>
        <v/>
      </c>
      <c r="U327" s="518" t="str">
        <f>IF(AND(_A1="B-757",'2025'!$L$4="FO",'2025'!$L$2=U309),'2025DATA'!$F$20,"")</f>
        <v/>
      </c>
      <c r="V327" s="518" t="str">
        <f>IF(AND(_A1="B-757",'2025'!$L$4="FO",'2025'!$L$2=V309),'2025DATA'!$G$20,"")</f>
        <v/>
      </c>
      <c r="W327" s="518" t="str">
        <f>IF(AND(_A1="B-757",'2025'!$L$4="FO",'2025'!$L$2=W309),'2025DATA'!$H$20,"")</f>
        <v/>
      </c>
      <c r="X327" s="518" t="str">
        <f>IF(AND(_A1="B-757",'2025'!$L$4="FO",'2025'!$L$2=X309),'2025DATA'!$I$20,"")</f>
        <v/>
      </c>
      <c r="Y327" s="518" t="str">
        <f>IF(AND(_A1="B-757",'2025'!$L$4="FO",'2025'!$L$2=Y309),'2025DATA'!$J$20,"")</f>
        <v/>
      </c>
      <c r="Z327" s="518" t="str">
        <f>IF(AND(_A1="B-757",'2025'!$L$4="FO",'2025'!$L$2=Z309),'2025DATA'!$K$20,"")</f>
        <v/>
      </c>
      <c r="AA327" s="518" t="str">
        <f>IF(AND(_A1="B-757",'2025'!$L$4="FO",'2025'!$L$2=AA309),'2025DATA'!$L$20,"")</f>
        <v/>
      </c>
      <c r="AB327" s="518" t="str">
        <f>IF(AND(_A1="B-757",'2025'!$L$4="FO",'2025'!$L$2=AB309),'2025DATA'!$M$20,"")</f>
        <v/>
      </c>
      <c r="AC327" s="520" t="str">
        <f>IF(AND(_A1="B-757",'2025'!$L$4="FO",'2025'!$L$2=AC309),'2025DATA'!$N$20,"")</f>
        <v/>
      </c>
      <c r="AD327" s="940"/>
      <c r="AE327" s="13" t="s">
        <v>62</v>
      </c>
      <c r="AF327" s="518" t="str">
        <f>IF(AND(_A2="B-757",'2025'!$L$4="FO",'2025'!$L$2=AF309),'2025DATA'!$C$20,"")</f>
        <v/>
      </c>
      <c r="AG327" s="518" t="str">
        <f>IF(AND(_A2="B-757",'2025'!$L$4="FO",'2025'!$L$2=AG309),'2025DATA'!$D$20,"")</f>
        <v/>
      </c>
      <c r="AH327" s="518" t="str">
        <f>IF(AND(_A2="B-757",'2025'!$L$4="FO",'2025'!$L$2=AH309),'2025DATA'!$E$20,"")</f>
        <v/>
      </c>
      <c r="AI327" s="518" t="str">
        <f>IF(AND(_A2="B-757",'2025'!$L$4="FO",'2025'!$L$2=AI309),'2025DATA'!$F$20,"")</f>
        <v/>
      </c>
      <c r="AJ327" s="518" t="str">
        <f>IF(AND(_A2="B-757",'2025'!$L$4="FO",'2025'!$L$2=AJ309),'2025DATA'!$G$20,"")</f>
        <v/>
      </c>
      <c r="AK327" s="518" t="str">
        <f>IF(AND(_A2="B-757",'2025'!$L$4="FO",'2025'!$L$2=AK309),'2025DATA'!$H$20,"")</f>
        <v/>
      </c>
      <c r="AL327" s="518" t="str">
        <f>IF(AND(_A2="B-757",'2025'!$L$4="FO",'2025'!$L$2=AL309),'2025DATA'!$I$20,"")</f>
        <v/>
      </c>
      <c r="AM327" s="518" t="str">
        <f>IF(AND(_A2="B-757",'2025'!$L$4="FO",'2025'!$L$2=AM309),'2025DATA'!$J$20,"")</f>
        <v/>
      </c>
      <c r="AN327" s="518" t="str">
        <f>IF(AND(_A2="B-757",'2025'!$L$4="FO",'2025'!$L$2=AN309),'2025DATA'!$K$20,"")</f>
        <v/>
      </c>
      <c r="AO327" s="518" t="str">
        <f>IF(AND(_A2="B-757",'2025'!$L$4="FO",'2025'!$L$2=AO309),'2025DATA'!$L$20,"")</f>
        <v/>
      </c>
      <c r="AP327" s="518" t="str">
        <f>IF(AND(_A2="B-757",'2025'!$L$4="FO",'2025'!$L$2=AP309),'2025DATA'!$M$20,"")</f>
        <v/>
      </c>
      <c r="AQ327" s="520" t="str">
        <f>IF(AND(_A2="B-757",'2025'!$L$4="FO",'2025'!$L$2=AQ309),'2025DATA'!$N$20,"")</f>
        <v/>
      </c>
      <c r="AR327" s="940"/>
      <c r="AS327" s="13" t="s">
        <v>62</v>
      </c>
      <c r="AT327" s="518" t="str">
        <f>IF(AND(_A3="B-757",'2025'!$L$4="FO",'2025'!$L$2=AT309),'2025DATA'!$C$20,"")</f>
        <v/>
      </c>
      <c r="AU327" s="518" t="str">
        <f>IF(AND(_A3="B-757",'2025'!$L$4="FO",'2025'!$L$2=AU309),'2025DATA'!$D$20,"")</f>
        <v/>
      </c>
      <c r="AV327" s="518" t="str">
        <f>IF(AND(_A3="B-757",'2025'!$L$4="FO",'2025'!$L$2=AV309),'2025DATA'!$E$20,"")</f>
        <v/>
      </c>
      <c r="AW327" s="518" t="str">
        <f>IF(AND(_A3="B-757",'2025'!$L$4="FO",'2025'!$L$2=AW309),'2025DATA'!$F$20,"")</f>
        <v/>
      </c>
      <c r="AX327" s="518" t="str">
        <f>IF(AND(_A3="B-757",'2025'!$L$4="FO",'2025'!$L$2=AX309),'2025DATA'!$G$20,"")</f>
        <v/>
      </c>
      <c r="AY327" s="518" t="str">
        <f>IF(AND(_A3="B-757",'2025'!$L$4="FO",'2025'!$L$2=AY309),'2025DATA'!$H$20,"")</f>
        <v/>
      </c>
      <c r="AZ327" s="518" t="str">
        <f>IF(AND(_A3="B-757",'2025'!$L$4="FO",'2025'!$L$2=AZ309),'2025DATA'!$I$20,"")</f>
        <v/>
      </c>
      <c r="BA327" s="518" t="str">
        <f>IF(AND(_A3="B-757",'2025'!$L$4="FO",'2025'!$L$2=BA309),'2025DATA'!$J$20,"")</f>
        <v/>
      </c>
      <c r="BB327" s="518" t="str">
        <f>IF(AND(_A3="B-757",'2025'!$L$4="FO",'2025'!$L$2=BB309),'2025DATA'!$K$20,"")</f>
        <v/>
      </c>
      <c r="BC327" s="518" t="str">
        <f>IF(AND(_A3="B-757",'2025'!$L$4="FO",'2025'!$L$2=BC309),'2025DATA'!$L$20,"")</f>
        <v/>
      </c>
      <c r="BD327" s="518" t="str">
        <f>IF(AND(_A3="B-757",'2025'!$L$4="FO",'2025'!$L$2=BD309),'2025DATA'!$M$20,"")</f>
        <v/>
      </c>
      <c r="BE327" s="520" t="str">
        <f>IF(AND(_A3="B-757",'2025'!$L$4="FO",'2025'!$L$2=BE309),'2025DATA'!$N$20,"")</f>
        <v/>
      </c>
      <c r="BF327" s="940"/>
      <c r="BG327" s="13" t="s">
        <v>62</v>
      </c>
      <c r="BH327" s="518" t="str">
        <f>IF(AND(_A4="B-757",'2025'!$L$4="FO",'2025'!$L$2=BH309),'2025DATA'!$C$20,"")</f>
        <v/>
      </c>
      <c r="BI327" s="518" t="str">
        <f>IF(AND(_A4="B-757",'2025'!$L$4="FO",'2025'!$L$2=BI309),'2025DATA'!$D$20,"")</f>
        <v/>
      </c>
      <c r="BJ327" s="518" t="str">
        <f>IF(AND(_A4="B-757",'2025'!$L$4="FO",'2025'!$L$2=BJ309),'2025DATA'!$E$20,"")</f>
        <v/>
      </c>
      <c r="BK327" s="518" t="str">
        <f>IF(AND(_A4="B-757",'2025'!$L$4="FO",'2025'!$L$2=BK309),'2025DATA'!$F$20,"")</f>
        <v/>
      </c>
      <c r="BL327" s="518" t="str">
        <f>IF(AND(_A4="B-757",'2025'!$L$4="FO",'2025'!$L$2=BL309),'2025DATA'!$G$20,"")</f>
        <v/>
      </c>
      <c r="BM327" s="518" t="str">
        <f>IF(AND(_A4="B-757",'2025'!$L$4="FO",'2025'!$L$2=BM309),'2025DATA'!$H$20,"")</f>
        <v/>
      </c>
      <c r="BN327" s="518" t="str">
        <f>IF(AND(_A4="B-757",'2025'!$L$4="FO",'2025'!$L$2=BN309),'2025DATA'!$I$20,"")</f>
        <v/>
      </c>
      <c r="BO327" s="518" t="str">
        <f>IF(AND(_A4="B-757",'2025'!$L$4="FO",'2025'!$L$2=BO309),'2025DATA'!$J$20,"")</f>
        <v/>
      </c>
      <c r="BP327" s="518" t="str">
        <f>IF(AND(_A4="B-757",'2025'!$L$4="FO",'2025'!$L$2=BP309),'2025DATA'!$K$20,"")</f>
        <v/>
      </c>
      <c r="BQ327" s="518" t="str">
        <f>IF(AND(_A4="B-757",'2025'!$L$4="FO",'2025'!$L$2=BQ309),'2025DATA'!$L$20,"")</f>
        <v/>
      </c>
      <c r="BR327" s="518" t="str">
        <f>IF(AND(_A4="B-757",'2025'!$L$4="FO",'2025'!$L$2=BR309),'2025DATA'!$M$20,"")</f>
        <v/>
      </c>
      <c r="BS327" s="520" t="str">
        <f>IF(AND(_A4="B-757",'2025'!$L$4="FO",'2025'!$L$2=BS309),'2025DATA'!$N$20,"")</f>
        <v/>
      </c>
      <c r="BT327" s="940"/>
      <c r="BU327" s="13" t="s">
        <v>62</v>
      </c>
      <c r="BV327" s="518" t="str">
        <f>IF(AND(_A5="B-757",'2025'!$L$4="FO",'2025'!$L$2=BV309),'2025DATA'!$C$20,"")</f>
        <v/>
      </c>
      <c r="BW327" s="518" t="str">
        <f>IF(AND(_A5="B-757",'2025'!$L$4="FO",'2025'!$L$2=BW309),'2025DATA'!$D$20,"")</f>
        <v/>
      </c>
      <c r="BX327" s="518" t="str">
        <f>IF(AND(_A5="B-757",'2025'!$L$4="FO",'2025'!$L$2=BX309),'2025DATA'!$E$20,"")</f>
        <v/>
      </c>
      <c r="BY327" s="518" t="str">
        <f>IF(AND(_A5="B-757",'2025'!$L$4="FO",'2025'!$L$2=BY309),'2025DATA'!$F$20,"")</f>
        <v/>
      </c>
      <c r="BZ327" s="518" t="str">
        <f>IF(AND(_A5="B-757",'2025'!$L$4="FO",'2025'!$L$2=BZ309),'2025DATA'!$G$20,"")</f>
        <v/>
      </c>
      <c r="CA327" s="518" t="str">
        <f>IF(AND(_A5="B-757",'2025'!$L$4="FO",'2025'!$L$2=CA309),'2025DATA'!$H$20,"")</f>
        <v/>
      </c>
      <c r="CB327" s="518" t="str">
        <f>IF(AND(_A5="B-757",'2025'!$L$4="FO",'2025'!$L$2=CB309),'2025DATA'!$I$20,"")</f>
        <v/>
      </c>
      <c r="CC327" s="518" t="str">
        <f>IF(AND(_A5="B-757",'2025'!$L$4="FO",'2025'!$L$2=CC309),'2025DATA'!$J$20,"")</f>
        <v/>
      </c>
      <c r="CD327" s="518" t="str">
        <f>IF(AND(_A5="B-757",'2025'!$L$4="FO",'2025'!$L$2=CD309),'2025DATA'!$K$20,"")</f>
        <v/>
      </c>
      <c r="CE327" s="518" t="str">
        <f>IF(AND(_A5="B-757",'2025'!$L$4="FO",'2025'!$L$2=CE309),'2025DATA'!$L$20,"")</f>
        <v/>
      </c>
      <c r="CF327" s="518" t="str">
        <f>IF(AND(_A5="B-757",'2025'!$L$4="FO",'2025'!$L$2=CF309),'2025DATA'!$M$20,"")</f>
        <v/>
      </c>
      <c r="CG327" s="520" t="str">
        <f>IF(AND(_A5="B-757",'2025'!$L$4="FO",'2025'!$L$2=CG309),'2025DATA'!$N$20,"")</f>
        <v/>
      </c>
      <c r="CH327" s="940"/>
      <c r="CI327" s="13" t="s">
        <v>62</v>
      </c>
      <c r="CJ327" s="518" t="str">
        <f>IF(AND(_A6="B-757",'2025'!$L$4="FO",'2025'!$L$2=CJ309),'2025DATA'!$C$20,"")</f>
        <v/>
      </c>
      <c r="CK327" s="518" t="str">
        <f>IF(AND(_A6="B-757",'2025'!$L$4="FO",'2025'!$L$2=CK309),'2025DATA'!$D$20,"")</f>
        <v/>
      </c>
      <c r="CL327" s="518" t="str">
        <f>IF(AND(_A6="B-757",'2025'!$L$4="FO",'2025'!$L$2=CL309),'2025DATA'!$E$20,"")</f>
        <v/>
      </c>
      <c r="CM327" s="518" t="str">
        <f>IF(AND(_A6="B-757",'2025'!$L$4="FO",'2025'!$L$2=CM309),'2025DATA'!$F$20,"")</f>
        <v/>
      </c>
      <c r="CN327" s="518" t="str">
        <f>IF(AND(_A6="B-757",'2025'!$L$4="FO",'2025'!$L$2=CN309),'2025DATA'!$G$20,"")</f>
        <v/>
      </c>
      <c r="CO327" s="518" t="str">
        <f>IF(AND(_A6="B-757",'2025'!$L$4="FO",'2025'!$L$2=CO309),'2025DATA'!$H$20,"")</f>
        <v/>
      </c>
      <c r="CP327" s="518" t="str">
        <f>IF(AND(_A6="B-757",'2025'!$L$4="FO",'2025'!$L$2=CP309),'2025DATA'!$I$20,"")</f>
        <v/>
      </c>
      <c r="CQ327" s="518" t="str">
        <f>IF(AND(_A6="B-757",'2025'!$L$4="FO",'2025'!$L$2=CQ309),'2025DATA'!$J$20,"")</f>
        <v/>
      </c>
      <c r="CR327" s="518" t="str">
        <f>IF(AND(_A6="B-757",'2025'!$L$4="FO",'2025'!$L$2=CR309),'2025DATA'!$K$20,"")</f>
        <v/>
      </c>
      <c r="CS327" s="518" t="str">
        <f>IF(AND(_A6="B-757",'2025'!$L$4="FO",'2025'!$L$2=CS309),'2025DATA'!$L$20,"")</f>
        <v/>
      </c>
      <c r="CT327" s="518" t="str">
        <f>IF(AND(_A6="B-757",'2025'!$L$4="FO",'2025'!$L$2=CT309),'2025DATA'!$M$20,"")</f>
        <v/>
      </c>
      <c r="CU327" s="520" t="str">
        <f>IF(AND(_A6="B-757",'2025'!$L$4="FO",'2025'!$L$2=CU309),'2025DATA'!$N$20,"")</f>
        <v/>
      </c>
    </row>
    <row r="328" spans="16:99" x14ac:dyDescent="0.25">
      <c r="P328" s="940" t="s">
        <v>47</v>
      </c>
      <c r="Q328" s="13" t="s">
        <v>61</v>
      </c>
      <c r="R328" s="518" t="str">
        <f>IF(AND(_A1="B-737-900",'2025'!$L$4="CA",'2025'!$L$2=R309),'2025DATA'!$C$21,"")</f>
        <v/>
      </c>
      <c r="S328" s="518" t="str">
        <f>IF(AND(_A1="B-737-900",'2025'!$L$4="CA",'2025'!$L$2=S309),'2025DATA'!$D$21,"")</f>
        <v/>
      </c>
      <c r="T328" s="518" t="str">
        <f>IF(AND(_A1="B-737-900",'2025'!$L$4="CA",'2025'!$L$2=T309),'2025DATA'!$E$21,"")</f>
        <v/>
      </c>
      <c r="U328" s="518" t="str">
        <f>IF(AND(_A1="B-737-900",'2025'!$L$4="CA",'2025'!$L$2=U309),'2025DATA'!$F$21,"")</f>
        <v/>
      </c>
      <c r="V328" s="518" t="str">
        <f>IF(AND(_A1="B-737-900",'2025'!$L$4="CA",'2025'!$L$2=V309),'2025DATA'!$G$21,"")</f>
        <v/>
      </c>
      <c r="W328" s="518" t="str">
        <f>IF(AND(_A1="B-737-900",'2025'!$L$4="CA",'2025'!$L$2=W309),'2025DATA'!$H$21,"")</f>
        <v/>
      </c>
      <c r="X328" s="518" t="str">
        <f>IF(AND(_A1="B-737-900",'2025'!$L$4="CA",'2025'!$L$2=X309),'2025DATA'!$I$21,"")</f>
        <v/>
      </c>
      <c r="Y328" s="518" t="str">
        <f>IF(AND(_A1="B-737-900",'2025'!$L$4="CA",'2025'!$L$2=Y309),'2025DATA'!$J$21,"")</f>
        <v/>
      </c>
      <c r="Z328" s="518" t="str">
        <f>IF(AND(_A1="B-737-900",'2025'!$L$4="CA",'2025'!$L$2=Z309),'2025DATA'!$K$21,"")</f>
        <v/>
      </c>
      <c r="AA328" s="518" t="str">
        <f>IF(AND(_A1="B-737-900",'2025'!$L$4="CA",'2025'!$L$2=AA309),'2025DATA'!$L$21,"")</f>
        <v/>
      </c>
      <c r="AB328" s="518" t="str">
        <f>IF(AND(_A1="B-737-900",'2025'!$L$4="CA",'2025'!$L$2=AB309),'2025DATA'!$M$21,"")</f>
        <v/>
      </c>
      <c r="AC328" s="520" t="str">
        <f>IF(AND(_A1="B-737-900",'2025'!$L$4="CA",'2025'!$L$2=AC309),'2025DATA'!$N$21,"")</f>
        <v/>
      </c>
      <c r="AD328" s="940" t="s">
        <v>47</v>
      </c>
      <c r="AE328" s="13" t="s">
        <v>61</v>
      </c>
      <c r="AF328" s="518" t="str">
        <f>IF(AND(_A2="B-737-900",'2025'!$L$4="CA",'2025'!$L$2=AF309),'2025DATA'!$C$21,"")</f>
        <v/>
      </c>
      <c r="AG328" s="518" t="str">
        <f>IF(AND(_A2="B-737-900",'2025'!$L$4="CA",'2025'!$L$2=AG309),'2025DATA'!$D$21,"")</f>
        <v/>
      </c>
      <c r="AH328" s="518" t="str">
        <f>IF(AND(_A2="B-737-900",'2025'!$L$4="CA",'2025'!$L$2=AH309),'2025DATA'!$E$21,"")</f>
        <v/>
      </c>
      <c r="AI328" s="518" t="str">
        <f>IF(AND(_A2="B-737-900",'2025'!$L$4="CA",'2025'!$L$2=AI309),'2025DATA'!$F$21,"")</f>
        <v/>
      </c>
      <c r="AJ328" s="518" t="str">
        <f>IF(AND(_A2="B-737-900",'2025'!$L$4="CA",'2025'!$L$2=AJ309),'2025DATA'!$G$21,"")</f>
        <v/>
      </c>
      <c r="AK328" s="518" t="str">
        <f>IF(AND(_A2="B-737-900",'2025'!$L$4="CA",'2025'!$L$2=AK309),'2025DATA'!$H$21,"")</f>
        <v/>
      </c>
      <c r="AL328" s="518" t="str">
        <f>IF(AND(_A2="B-737-900",'2025'!$L$4="CA",'2025'!$L$2=AL309),'2025DATA'!$I$21,"")</f>
        <v/>
      </c>
      <c r="AM328" s="518" t="str">
        <f>IF(AND(_A2="B-737-900",'2025'!$L$4="CA",'2025'!$L$2=AM309),'2025DATA'!$J$21,"")</f>
        <v/>
      </c>
      <c r="AN328" s="518" t="str">
        <f>IF(AND(_A2="B-737-900",'2025'!$L$4="CA",'2025'!$L$2=AN309),'2025DATA'!$K$21,"")</f>
        <v/>
      </c>
      <c r="AO328" s="518" t="str">
        <f>IF(AND(_A2="B-737-900",'2025'!$L$4="CA",'2025'!$L$2=AO309),'2025DATA'!$L$21,"")</f>
        <v/>
      </c>
      <c r="AP328" s="518" t="str">
        <f>IF(AND(_A2="B-737-900",'2025'!$L$4="CA",'2025'!$L$2=AP309),'2025DATA'!$M$21,"")</f>
        <v/>
      </c>
      <c r="AQ328" s="520" t="str">
        <f>IF(AND(_A2="B-737-900",'2025'!$L$4="CA",'2025'!$L$2=AQ309),'2025DATA'!$N$21,"")</f>
        <v/>
      </c>
      <c r="AR328" s="940" t="s">
        <v>47</v>
      </c>
      <c r="AS328" s="13" t="s">
        <v>61</v>
      </c>
      <c r="AT328" s="518" t="str">
        <f>IF(AND(_A3="B-737-900",'2025'!$L$4="CA",'2025'!$L$2=AT309),'2025DATA'!$C$21,"")</f>
        <v/>
      </c>
      <c r="AU328" s="518" t="str">
        <f>IF(AND(_A3="B-737-900",'2025'!$L$4="CA",'2025'!$L$2=AU309),'2025DATA'!$D$21,"")</f>
        <v/>
      </c>
      <c r="AV328" s="518" t="str">
        <f>IF(AND(_A3="B-737-900",'2025'!$L$4="CA",'2025'!$L$2=AV309),'2025DATA'!$E$21,"")</f>
        <v/>
      </c>
      <c r="AW328" s="518" t="str">
        <f>IF(AND(_A3="B-737-900",'2025'!$L$4="CA",'2025'!$L$2=AW309),'2025DATA'!$F$21,"")</f>
        <v/>
      </c>
      <c r="AX328" s="518" t="str">
        <f>IF(AND(_A3="B-737-900",'2025'!$L$4="CA",'2025'!$L$2=AX309),'2025DATA'!$G$21,"")</f>
        <v/>
      </c>
      <c r="AY328" s="518" t="str">
        <f>IF(AND(_A3="B-737-900",'2025'!$L$4="CA",'2025'!$L$2=AY309),'2025DATA'!$H$21,"")</f>
        <v/>
      </c>
      <c r="AZ328" s="518" t="str">
        <f>IF(AND(_A3="B-737-900",'2025'!$L$4="CA",'2025'!$L$2=AZ309),'2025DATA'!$I$21,"")</f>
        <v/>
      </c>
      <c r="BA328" s="518" t="str">
        <f>IF(AND(_A3="B-737-900",'2025'!$L$4="CA",'2025'!$L$2=BA309),'2025DATA'!$J$21,"")</f>
        <v/>
      </c>
      <c r="BB328" s="518" t="str">
        <f>IF(AND(_A3="B-737-900",'2025'!$L$4="CA",'2025'!$L$2=BB309),'2025DATA'!$K$21,"")</f>
        <v/>
      </c>
      <c r="BC328" s="518" t="str">
        <f>IF(AND(_A3="B-737-900",'2025'!$L$4="CA",'2025'!$L$2=BC309),'2025DATA'!$L$21,"")</f>
        <v/>
      </c>
      <c r="BD328" s="518" t="str">
        <f>IF(AND(_A3="B-737-900",'2025'!$L$4="CA",'2025'!$L$2=BD309),'2025DATA'!$M$21,"")</f>
        <v/>
      </c>
      <c r="BE328" s="520" t="str">
        <f>IF(AND(_A3="B-737-900",'2025'!$L$4="CA",'2025'!$L$2=BE309),'2025DATA'!$N$21,"")</f>
        <v/>
      </c>
      <c r="BF328" s="940" t="s">
        <v>47</v>
      </c>
      <c r="BG328" s="13" t="s">
        <v>61</v>
      </c>
      <c r="BH328" s="518" t="str">
        <f>IF(AND(_A4="B-737-900",'2025'!$L$4="CA",'2025'!$L$2=BH309),'2025DATA'!$C$21,"")</f>
        <v/>
      </c>
      <c r="BI328" s="518" t="str">
        <f>IF(AND(_A4="B-737-900",'2025'!$L$4="CA",'2025'!$L$2=BI309),'2025DATA'!$D$21,"")</f>
        <v/>
      </c>
      <c r="BJ328" s="518" t="str">
        <f>IF(AND(_A4="B-737-900",'2025'!$L$4="CA",'2025'!$L$2=BJ309),'2025DATA'!$E$21,"")</f>
        <v/>
      </c>
      <c r="BK328" s="518" t="str">
        <f>IF(AND(_A4="B-737-900",'2025'!$L$4="CA",'2025'!$L$2=BK309),'2025DATA'!$F$21,"")</f>
        <v/>
      </c>
      <c r="BL328" s="518" t="str">
        <f>IF(AND(_A4="B-737-900",'2025'!$L$4="CA",'2025'!$L$2=BL309),'2025DATA'!$G$21,"")</f>
        <v/>
      </c>
      <c r="BM328" s="518" t="str">
        <f>IF(AND(_A4="B-737-900",'2025'!$L$4="CA",'2025'!$L$2=BM309),'2025DATA'!$H$21,"")</f>
        <v/>
      </c>
      <c r="BN328" s="518" t="str">
        <f>IF(AND(_A4="B-737-900",'2025'!$L$4="CA",'2025'!$L$2=BN309),'2025DATA'!$I$21,"")</f>
        <v/>
      </c>
      <c r="BO328" s="518" t="str">
        <f>IF(AND(_A4="B-737-900",'2025'!$L$4="CA",'2025'!$L$2=BO309),'2025DATA'!$J$21,"")</f>
        <v/>
      </c>
      <c r="BP328" s="518" t="str">
        <f>IF(AND(_A4="B-737-900",'2025'!$L$4="CA",'2025'!$L$2=BP309),'2025DATA'!$K$21,"")</f>
        <v/>
      </c>
      <c r="BQ328" s="518" t="str">
        <f>IF(AND(_A4="B-737-900",'2025'!$L$4="CA",'2025'!$L$2=BQ309),'2025DATA'!$L$21,"")</f>
        <v/>
      </c>
      <c r="BR328" s="518" t="str">
        <f>IF(AND(_A4="B-737-900",'2025'!$L$4="CA",'2025'!$L$2=BR309),'2025DATA'!$M$21,"")</f>
        <v/>
      </c>
      <c r="BS328" s="520" t="str">
        <f>IF(AND(_A4="B-737-900",'2025'!$L$4="CA",'2025'!$L$2=BS309),'2025DATA'!$N$21,"")</f>
        <v/>
      </c>
      <c r="BT328" s="940" t="s">
        <v>47</v>
      </c>
      <c r="BU328" s="13" t="s">
        <v>61</v>
      </c>
      <c r="BV328" s="518" t="str">
        <f>IF(AND(_A5="B-737-900",'2025'!$L$4="CA",'2025'!$L$2=BV309),'2025DATA'!$C$21,"")</f>
        <v/>
      </c>
      <c r="BW328" s="518" t="str">
        <f>IF(AND(_A5="B-737-900",'2025'!$L$4="CA",'2025'!$L$2=BW309),'2025DATA'!$D$21,"")</f>
        <v/>
      </c>
      <c r="BX328" s="518" t="str">
        <f>IF(AND(_A5="B-737-900",'2025'!$L$4="CA",'2025'!$L$2=BX309),'2025DATA'!$E$21,"")</f>
        <v/>
      </c>
      <c r="BY328" s="518" t="str">
        <f>IF(AND(_A5="B-737-900",'2025'!$L$4="CA",'2025'!$L$2=BY309),'2025DATA'!$F$21,"")</f>
        <v/>
      </c>
      <c r="BZ328" s="518" t="str">
        <f>IF(AND(_A5="B-737-900",'2025'!$L$4="CA",'2025'!$L$2=BZ309),'2025DATA'!$G$21,"")</f>
        <v/>
      </c>
      <c r="CA328" s="518" t="str">
        <f>IF(AND(_A5="B-737-900",'2025'!$L$4="CA",'2025'!$L$2=CA309),'2025DATA'!$H$21,"")</f>
        <v/>
      </c>
      <c r="CB328" s="518" t="str">
        <f>IF(AND(_A5="B-737-900",'2025'!$L$4="CA",'2025'!$L$2=CB309),'2025DATA'!$I$21,"")</f>
        <v/>
      </c>
      <c r="CC328" s="518" t="str">
        <f>IF(AND(_A5="B-737-900",'2025'!$L$4="CA",'2025'!$L$2=CC309),'2025DATA'!$J$21,"")</f>
        <v/>
      </c>
      <c r="CD328" s="518" t="str">
        <f>IF(AND(_A5="B-737-900",'2025'!$L$4="CA",'2025'!$L$2=CD309),'2025DATA'!$K$21,"")</f>
        <v/>
      </c>
      <c r="CE328" s="518" t="str">
        <f>IF(AND(_A5="B-737-900",'2025'!$L$4="CA",'2025'!$L$2=CE309),'2025DATA'!$L$21,"")</f>
        <v/>
      </c>
      <c r="CF328" s="518" t="str">
        <f>IF(AND(_A5="B-737-900",'2025'!$L$4="CA",'2025'!$L$2=CF309),'2025DATA'!$M$21,"")</f>
        <v/>
      </c>
      <c r="CG328" s="520" t="str">
        <f>IF(AND(_A5="B-737-900",'2025'!$L$4="CA",'2025'!$L$2=CG309),'2025DATA'!$N$21,"")</f>
        <v/>
      </c>
      <c r="CH328" s="940" t="s">
        <v>47</v>
      </c>
      <c r="CI328" s="13" t="s">
        <v>61</v>
      </c>
      <c r="CJ328" s="518" t="str">
        <f>IF(AND(_A6="B-737-900",'2025'!$L$4="CA",'2025'!$L$2=CJ309),'2025DATA'!$C$21,"")</f>
        <v/>
      </c>
      <c r="CK328" s="518" t="str">
        <f>IF(AND(_A6="B-737-900",'2025'!$L$4="CA",'2025'!$L$2=CK309),'2025DATA'!$D$21,"")</f>
        <v/>
      </c>
      <c r="CL328" s="518" t="str">
        <f>IF(AND(_A6="B-737-900",'2025'!$L$4="CA",'2025'!$L$2=CL309),'2025DATA'!$E$21,"")</f>
        <v/>
      </c>
      <c r="CM328" s="518" t="str">
        <f>IF(AND(_A6="B-737-900",'2025'!$L$4="CA",'2025'!$L$2=CM309),'2025DATA'!$F$21,"")</f>
        <v/>
      </c>
      <c r="CN328" s="518" t="str">
        <f>IF(AND(_A6="B-737-900",'2025'!$L$4="CA",'2025'!$L$2=CN309),'2025DATA'!$G$21,"")</f>
        <v/>
      </c>
      <c r="CO328" s="518" t="str">
        <f>IF(AND(_A6="B-737-900",'2025'!$L$4="CA",'2025'!$L$2=CO309),'2025DATA'!$H$21,"")</f>
        <v/>
      </c>
      <c r="CP328" s="518" t="str">
        <f>IF(AND(_A6="B-737-900",'2025'!$L$4="CA",'2025'!$L$2=CP309),'2025DATA'!$I$21,"")</f>
        <v/>
      </c>
      <c r="CQ328" s="518" t="str">
        <f>IF(AND(_A6="B-737-900",'2025'!$L$4="CA",'2025'!$L$2=CQ309),'2025DATA'!$J$21,"")</f>
        <v/>
      </c>
      <c r="CR328" s="518" t="str">
        <f>IF(AND(_A6="B-737-900",'2025'!$L$4="CA",'2025'!$L$2=CR309),'2025DATA'!$K$21,"")</f>
        <v/>
      </c>
      <c r="CS328" s="518" t="str">
        <f>IF(AND(_A6="B-737-900",'2025'!$L$4="CA",'2025'!$L$2=CS309),'2025DATA'!$L$21,"")</f>
        <v/>
      </c>
      <c r="CT328" s="518" t="str">
        <f>IF(AND(_A6="B-737-900",'2025'!$L$4="CA",'2025'!$L$2=CT309),'2025DATA'!$M$21,"")</f>
        <v/>
      </c>
      <c r="CU328" s="520" t="str">
        <f>IF(AND(_A6="B-737-900",'2025'!$L$4="CA",'2025'!$L$2=CU309),'2025DATA'!$N$21,"")</f>
        <v/>
      </c>
    </row>
    <row r="329" spans="16:99" x14ac:dyDescent="0.25">
      <c r="P329" s="940"/>
      <c r="Q329" s="13" t="s">
        <v>62</v>
      </c>
      <c r="R329" s="518" t="str">
        <f>IF(AND(_A1="B-737-900",'2025'!$L$4="FO",'2025'!$L$2=R309),'2025DATA'!$C$22,"")</f>
        <v/>
      </c>
      <c r="S329" s="518" t="str">
        <f>IF(AND(_A1="B-737-900",'2025'!$L$4="FO",'2025'!$L$2=S309),'2025DATA'!$D$22,"")</f>
        <v/>
      </c>
      <c r="T329" s="518" t="str">
        <f>IF(AND(_A1="B-737-900",'2025'!$L$4="FO",'2025'!$L$2=T309),'2025DATA'!$E$22,"")</f>
        <v/>
      </c>
      <c r="U329" s="518" t="str">
        <f>IF(AND(_A1="B-737-900",'2025'!$L$4="FO",'2025'!$L$2=U309),'2025DATA'!$F$22,"")</f>
        <v/>
      </c>
      <c r="V329" s="518" t="str">
        <f>IF(AND(_A1="B-737-900",'2025'!$L$4="FO",'2025'!$L$2=V309),'2025DATA'!$G$22,"")</f>
        <v/>
      </c>
      <c r="W329" s="518" t="str">
        <f>IF(AND(_A1="B-737-900",'2025'!$L$4="FO",'2025'!$L$2=W309),'2025DATA'!$H$22,"")</f>
        <v/>
      </c>
      <c r="X329" s="518" t="str">
        <f>IF(AND(_A1="B-737-900",'2025'!$L$4="FO",'2025'!$L$2=X309),'2025DATA'!$I$22,"")</f>
        <v/>
      </c>
      <c r="Y329" s="518" t="str">
        <f>IF(AND(_A1="B-737-900",'2025'!$L$4="FO",'2025'!$L$2=Y309),'2025DATA'!$J$22,"")</f>
        <v/>
      </c>
      <c r="Z329" s="518" t="str">
        <f>IF(AND(_A1="B-737-900",'2025'!$L$4="FO",'2025'!$L$2=Z309),'2025DATA'!$K$22,"")</f>
        <v/>
      </c>
      <c r="AA329" s="518" t="str">
        <f>IF(AND(_A1="B-737-900",'2025'!$L$4="FO",'2025'!$L$2=AA309),'2025DATA'!$L$22,"")</f>
        <v/>
      </c>
      <c r="AB329" s="518" t="str">
        <f>IF(AND(_A1="B-737-900",'2025'!$L$4="FO",'2025'!$L$2=AB309),'2025DATA'!$M$22,"")</f>
        <v/>
      </c>
      <c r="AC329" s="520" t="str">
        <f>IF(AND(_A1="B-737-900",'2025'!$L$4="FO",'2025'!$L$2=AC309),'2025DATA'!$N$22,"")</f>
        <v/>
      </c>
      <c r="AD329" s="940"/>
      <c r="AE329" s="13" t="s">
        <v>62</v>
      </c>
      <c r="AF329" s="518" t="str">
        <f>IF(AND(_A2="B-737-900",'2025'!$L$4="FO",'2025'!$L$2=AF309),'2025DATA'!$C$22,"")</f>
        <v/>
      </c>
      <c r="AG329" s="518" t="str">
        <f>IF(AND(_A2="B-737-900",'2025'!$L$4="FO",'2025'!$L$2=AG309),'2025DATA'!$D$22,"")</f>
        <v/>
      </c>
      <c r="AH329" s="518" t="str">
        <f>IF(AND(_A2="B-737-900",'2025'!$L$4="FO",'2025'!$L$2=AH309),'2025DATA'!$E$22,"")</f>
        <v/>
      </c>
      <c r="AI329" s="518" t="str">
        <f>IF(AND(_A2="B-737-900",'2025'!$L$4="FO",'2025'!$L$2=AI309),'2025DATA'!$F$22,"")</f>
        <v/>
      </c>
      <c r="AJ329" s="518" t="str">
        <f>IF(AND(_A2="B-737-900",'2025'!$L$4="FO",'2025'!$L$2=AJ309),'2025DATA'!$G$22,"")</f>
        <v/>
      </c>
      <c r="AK329" s="518" t="str">
        <f>IF(AND(_A2="B-737-900",'2025'!$L$4="FO",'2025'!$L$2=AK309),'2025DATA'!$H$22,"")</f>
        <v/>
      </c>
      <c r="AL329" s="518" t="str">
        <f>IF(AND(_A2="B-737-900",'2025'!$L$4="FO",'2025'!$L$2=AL309),'2025DATA'!$I$22,"")</f>
        <v/>
      </c>
      <c r="AM329" s="518" t="str">
        <f>IF(AND(_A2="B-737-900",'2025'!$L$4="FO",'2025'!$L$2=AM309),'2025DATA'!$J$22,"")</f>
        <v/>
      </c>
      <c r="AN329" s="518" t="str">
        <f>IF(AND(_A2="B-737-900",'2025'!$L$4="FO",'2025'!$L$2=AN309),'2025DATA'!$K$22,"")</f>
        <v/>
      </c>
      <c r="AO329" s="518" t="str">
        <f>IF(AND(_A2="B-737-900",'2025'!$L$4="FO",'2025'!$L$2=AO309),'2025DATA'!$L$22,"")</f>
        <v/>
      </c>
      <c r="AP329" s="518" t="str">
        <f>IF(AND(_A2="B-737-900",'2025'!$L$4="FO",'2025'!$L$2=AP309),'2025DATA'!$M$22,"")</f>
        <v/>
      </c>
      <c r="AQ329" s="520" t="str">
        <f>IF(AND(_A2="B-737-900",'2025'!$L$4="FO",'2025'!$L$2=AQ309),'2025DATA'!$N$22,"")</f>
        <v/>
      </c>
      <c r="AR329" s="940"/>
      <c r="AS329" s="13" t="s">
        <v>62</v>
      </c>
      <c r="AT329" s="518" t="str">
        <f>IF(AND(_A3="B-737-900",'2025'!$L$4="FO",'2025'!$L$2=AT309),'2025DATA'!$C$22,"")</f>
        <v/>
      </c>
      <c r="AU329" s="518" t="str">
        <f>IF(AND(_A3="B-737-900",'2025'!$L$4="FO",'2025'!$L$2=AU309),'2025DATA'!$D$22,"")</f>
        <v/>
      </c>
      <c r="AV329" s="518" t="str">
        <f>IF(AND(_A3="B-737-900",'2025'!$L$4="FO",'2025'!$L$2=AV309),'2025DATA'!$E$22,"")</f>
        <v/>
      </c>
      <c r="AW329" s="518" t="str">
        <f>IF(AND(_A3="B-737-900",'2025'!$L$4="FO",'2025'!$L$2=AW309),'2025DATA'!$F$22,"")</f>
        <v/>
      </c>
      <c r="AX329" s="518" t="str">
        <f>IF(AND(_A3="B-737-900",'2025'!$L$4="FO",'2025'!$L$2=AX309),'2025DATA'!$G$22,"")</f>
        <v/>
      </c>
      <c r="AY329" s="518" t="str">
        <f>IF(AND(_A3="B-737-900",'2025'!$L$4="FO",'2025'!$L$2=AY309),'2025DATA'!$H$22,"")</f>
        <v/>
      </c>
      <c r="AZ329" s="518" t="str">
        <f>IF(AND(_A3="B-737-900",'2025'!$L$4="FO",'2025'!$L$2=AZ309),'2025DATA'!$I$22,"")</f>
        <v/>
      </c>
      <c r="BA329" s="518" t="str">
        <f>IF(AND(_A3="B-737-900",'2025'!$L$4="FO",'2025'!$L$2=BA309),'2025DATA'!$J$22,"")</f>
        <v/>
      </c>
      <c r="BB329" s="518" t="str">
        <f>IF(AND(_A3="B-737-900",'2025'!$L$4="FO",'2025'!$L$2=BB309),'2025DATA'!$K$22,"")</f>
        <v/>
      </c>
      <c r="BC329" s="518" t="str">
        <f>IF(AND(_A3="B-737-900",'2025'!$L$4="FO",'2025'!$L$2=BC309),'2025DATA'!$L$22,"")</f>
        <v/>
      </c>
      <c r="BD329" s="518" t="str">
        <f>IF(AND(_A3="B-737-900",'2025'!$L$4="FO",'2025'!$L$2=BD309),'2025DATA'!$M$22,"")</f>
        <v/>
      </c>
      <c r="BE329" s="520" t="str">
        <f>IF(AND(_A3="B-737-900",'2025'!$L$4="FO",'2025'!$L$2=BE309),'2025DATA'!$N$22,"")</f>
        <v/>
      </c>
      <c r="BF329" s="940"/>
      <c r="BG329" s="13" t="s">
        <v>62</v>
      </c>
      <c r="BH329" s="518" t="str">
        <f>IF(AND(_A4="B-737-900",'2025'!$L$4="FO",'2025'!$L$2=BH309),'2025DATA'!$C$22,"")</f>
        <v/>
      </c>
      <c r="BI329" s="518" t="str">
        <f>IF(AND(_A4="B-737-900",'2025'!$L$4="FO",'2025'!$L$2=BI309),'2025DATA'!$D$22,"")</f>
        <v/>
      </c>
      <c r="BJ329" s="518" t="str">
        <f>IF(AND(_A4="B-737-900",'2025'!$L$4="FO",'2025'!$L$2=BJ309),'2025DATA'!$E$22,"")</f>
        <v/>
      </c>
      <c r="BK329" s="518" t="str">
        <f>IF(AND(_A4="B-737-900",'2025'!$L$4="FO",'2025'!$L$2=BK309),'2025DATA'!$F$22,"")</f>
        <v/>
      </c>
      <c r="BL329" s="518" t="str">
        <f>IF(AND(_A4="B-737-900",'2025'!$L$4="FO",'2025'!$L$2=BL309),'2025DATA'!$G$22,"")</f>
        <v/>
      </c>
      <c r="BM329" s="518" t="str">
        <f>IF(AND(_A4="B-737-900",'2025'!$L$4="FO",'2025'!$L$2=BM309),'2025DATA'!$H$22,"")</f>
        <v/>
      </c>
      <c r="BN329" s="518" t="str">
        <f>IF(AND(_A4="B-737-900",'2025'!$L$4="FO",'2025'!$L$2=BN309),'2025DATA'!$I$22,"")</f>
        <v/>
      </c>
      <c r="BO329" s="518" t="str">
        <f>IF(AND(_A4="B-737-900",'2025'!$L$4="FO",'2025'!$L$2=BO309),'2025DATA'!$J$22,"")</f>
        <v/>
      </c>
      <c r="BP329" s="518" t="str">
        <f>IF(AND(_A4="B-737-900",'2025'!$L$4="FO",'2025'!$L$2=BP309),'2025DATA'!$K$22,"")</f>
        <v/>
      </c>
      <c r="BQ329" s="518" t="str">
        <f>IF(AND(_A4="B-737-900",'2025'!$L$4="FO",'2025'!$L$2=BQ309),'2025DATA'!$L$22,"")</f>
        <v/>
      </c>
      <c r="BR329" s="518" t="str">
        <f>IF(AND(_A4="B-737-900",'2025'!$L$4="FO",'2025'!$L$2=BR309),'2025DATA'!$M$22,"")</f>
        <v/>
      </c>
      <c r="BS329" s="520" t="str">
        <f>IF(AND(_A4="B-737-900",'2025'!$L$4="FO",'2025'!$L$2=BS309),'2025DATA'!$N$22,"")</f>
        <v/>
      </c>
      <c r="BT329" s="940"/>
      <c r="BU329" s="13" t="s">
        <v>62</v>
      </c>
      <c r="BV329" s="518" t="str">
        <f>IF(AND(_A5="B-737-900",'2025'!$L$4="FO",'2025'!$L$2=BV309),'2025DATA'!$C$22,"")</f>
        <v/>
      </c>
      <c r="BW329" s="518" t="str">
        <f>IF(AND(_A5="B-737-900",'2025'!$L$4="FO",'2025'!$L$2=BW309),'2025DATA'!$D$22,"")</f>
        <v/>
      </c>
      <c r="BX329" s="518" t="str">
        <f>IF(AND(_A5="B-737-900",'2025'!$L$4="FO",'2025'!$L$2=BX309),'2025DATA'!$E$22,"")</f>
        <v/>
      </c>
      <c r="BY329" s="518" t="str">
        <f>IF(AND(_A5="B-737-900",'2025'!$L$4="FO",'2025'!$L$2=BY309),'2025DATA'!$F$22,"")</f>
        <v/>
      </c>
      <c r="BZ329" s="518" t="str">
        <f>IF(AND(_A5="B-737-900",'2025'!$L$4="FO",'2025'!$L$2=BZ309),'2025DATA'!$G$22,"")</f>
        <v/>
      </c>
      <c r="CA329" s="518" t="str">
        <f>IF(AND(_A5="B-737-900",'2025'!$L$4="FO",'2025'!$L$2=CA309),'2025DATA'!$H$22,"")</f>
        <v/>
      </c>
      <c r="CB329" s="518" t="str">
        <f>IF(AND(_A5="B-737-900",'2025'!$L$4="FO",'2025'!$L$2=CB309),'2025DATA'!$I$22,"")</f>
        <v/>
      </c>
      <c r="CC329" s="518" t="str">
        <f>IF(AND(_A5="B-737-900",'2025'!$L$4="FO",'2025'!$L$2=CC309),'2025DATA'!$J$22,"")</f>
        <v/>
      </c>
      <c r="CD329" s="518" t="str">
        <f>IF(AND(_A5="B-737-900",'2025'!$L$4="FO",'2025'!$L$2=CD309),'2025DATA'!$K$22,"")</f>
        <v/>
      </c>
      <c r="CE329" s="518" t="str">
        <f>IF(AND(_A5="B-737-900",'2025'!$L$4="FO",'2025'!$L$2=CE309),'2025DATA'!$L$22,"")</f>
        <v/>
      </c>
      <c r="CF329" s="518" t="str">
        <f>IF(AND(_A5="B-737-900",'2025'!$L$4="FO",'2025'!$L$2=CF309),'2025DATA'!$M$22,"")</f>
        <v/>
      </c>
      <c r="CG329" s="520" t="str">
        <f>IF(AND(_A5="B-737-900",'2025'!$L$4="FO",'2025'!$L$2=CG309),'2025DATA'!$N$22,"")</f>
        <v/>
      </c>
      <c r="CH329" s="940"/>
      <c r="CI329" s="13" t="s">
        <v>62</v>
      </c>
      <c r="CJ329" s="518" t="str">
        <f>IF(AND(_A6="B-737-900",'2025'!$L$4="FO",'2025'!$L$2=CJ309),'2025DATA'!$C$22,"")</f>
        <v/>
      </c>
      <c r="CK329" s="518" t="str">
        <f>IF(AND(_A6="B-737-900",'2025'!$L$4="FO",'2025'!$L$2=CK309),'2025DATA'!$D$22,"")</f>
        <v/>
      </c>
      <c r="CL329" s="518" t="str">
        <f>IF(AND(_A6="B-737-900",'2025'!$L$4="FO",'2025'!$L$2=CL309),'2025DATA'!$E$22,"")</f>
        <v/>
      </c>
      <c r="CM329" s="518" t="str">
        <f>IF(AND(_A6="B-737-900",'2025'!$L$4="FO",'2025'!$L$2=CM309),'2025DATA'!$F$22,"")</f>
        <v/>
      </c>
      <c r="CN329" s="518" t="str">
        <f>IF(AND(_A6="B-737-900",'2025'!$L$4="FO",'2025'!$L$2=CN309),'2025DATA'!$G$22,"")</f>
        <v/>
      </c>
      <c r="CO329" s="518" t="str">
        <f>IF(AND(_A6="B-737-900",'2025'!$L$4="FO",'2025'!$L$2=CO309),'2025DATA'!$H$22,"")</f>
        <v/>
      </c>
      <c r="CP329" s="518" t="str">
        <f>IF(AND(_A6="B-737-900",'2025'!$L$4="FO",'2025'!$L$2=CP309),'2025DATA'!$I$22,"")</f>
        <v/>
      </c>
      <c r="CQ329" s="518" t="str">
        <f>IF(AND(_A6="B-737-900",'2025'!$L$4="FO",'2025'!$L$2=CQ309),'2025DATA'!$J$22,"")</f>
        <v/>
      </c>
      <c r="CR329" s="518" t="str">
        <f>IF(AND(_A6="B-737-900",'2025'!$L$4="FO",'2025'!$L$2=CR309),'2025DATA'!$K$22,"")</f>
        <v/>
      </c>
      <c r="CS329" s="518" t="str">
        <f>IF(AND(_A6="B-737-900",'2025'!$L$4="FO",'2025'!$L$2=CS309),'2025DATA'!$L$22,"")</f>
        <v/>
      </c>
      <c r="CT329" s="518" t="str">
        <f>IF(AND(_A6="B-737-900",'2025'!$L$4="FO",'2025'!$L$2=CT309),'2025DATA'!$M$22,"")</f>
        <v/>
      </c>
      <c r="CU329" s="520" t="str">
        <f>IF(AND(_A6="B-737-900",'2025'!$L$4="FO",'2025'!$L$2=CU309),'2025DATA'!$N$22,"")</f>
        <v/>
      </c>
    </row>
    <row r="330" spans="16:99" x14ac:dyDescent="0.25">
      <c r="P330" s="940" t="s">
        <v>69</v>
      </c>
      <c r="Q330" s="13" t="s">
        <v>61</v>
      </c>
      <c r="R330" s="518" t="str">
        <f>IF(AND(_A1="B-737-800",'2025'!$L$4="CA",'2025'!$L$2=R309),'2025DATA'!$C$23,"")</f>
        <v/>
      </c>
      <c r="S330" s="518" t="str">
        <f>IF(AND(_A1="B-737-800",'2025'!$L$4="CA",'2025'!$L$2=S309),'2025DATA'!$D$23,"")</f>
        <v/>
      </c>
      <c r="T330" s="518" t="str">
        <f>IF(AND(_A1="B-737-800",'2025'!$L$4="CA",'2025'!$L$2=T309),'2025DATA'!$E$23,"")</f>
        <v/>
      </c>
      <c r="U330" s="518" t="str">
        <f>IF(AND(_A1="B-737-800",'2025'!$L$4="CA",'2025'!$L$2=U309),'2025DATA'!$F$23,"")</f>
        <v/>
      </c>
      <c r="V330" s="518" t="str">
        <f>IF(AND(_A1="B-737-800",'2025'!$L$4="CA",'2025'!$L$2=V309),'2025DATA'!$G$23,"")</f>
        <v/>
      </c>
      <c r="W330" s="518" t="str">
        <f>IF(AND(_A1="B-737-800",'2025'!$L$4="CA",'2025'!$L$2=W309),'2025DATA'!$H$23,"")</f>
        <v/>
      </c>
      <c r="X330" s="518" t="str">
        <f>IF(AND(_A1="B-737-800",'2025'!$L$4="CA",'2025'!$L$2=X309),'2025DATA'!$I$23,"")</f>
        <v/>
      </c>
      <c r="Y330" s="518" t="str">
        <f>IF(AND(_A1="B-737-800",'2025'!$L$4="CA",'2025'!$L$2=Y309),'2025DATA'!$J$23,"")</f>
        <v/>
      </c>
      <c r="Z330" s="518" t="str">
        <f>IF(AND(_A1="B-737-800",'2025'!$L$4="CA",'2025'!$L$2=Z309),'2025DATA'!$K$23,"")</f>
        <v/>
      </c>
      <c r="AA330" s="518" t="str">
        <f>IF(AND(_A1="B-737-800",'2025'!$L$4="CA",'2025'!$L$2=AA309),'2025DATA'!$L$23,"")</f>
        <v/>
      </c>
      <c r="AB330" s="518" t="str">
        <f>IF(AND(_A1="B-737-800",'2025'!$L$4="CA",'2025'!$L$2=AB309),'2025DATA'!$M$23,"")</f>
        <v/>
      </c>
      <c r="AC330" s="520" t="str">
        <f>IF(AND(_A1="B-737-800",'2025'!$L$4="CA",'2025'!$L$2=AC309),'2025DATA'!$N$23,"")</f>
        <v/>
      </c>
      <c r="AD330" s="940" t="s">
        <v>69</v>
      </c>
      <c r="AE330" s="13" t="s">
        <v>61</v>
      </c>
      <c r="AF330" s="518" t="str">
        <f>IF(AND(_A2="B-737-800",'2025'!$L$4="CA",'2025'!$L$2=AF309),'2025DATA'!$C$23,"")</f>
        <v/>
      </c>
      <c r="AG330" s="518" t="str">
        <f>IF(AND(_A2="B-737-800",'2025'!$L$4="CA",'2025'!$L$2=AG309),'2025DATA'!$D$23,"")</f>
        <v/>
      </c>
      <c r="AH330" s="518" t="str">
        <f>IF(AND(_A2="B-737-800",'2025'!$L$4="CA",'2025'!$L$2=AH309),'2025DATA'!$E$23,"")</f>
        <v/>
      </c>
      <c r="AI330" s="518" t="str">
        <f>IF(AND(_A2="B-737-800",'2025'!$L$4="CA",'2025'!$L$2=AI309),'2025DATA'!$F$23,"")</f>
        <v/>
      </c>
      <c r="AJ330" s="518" t="str">
        <f>IF(AND(_A2="B-737-800",'2025'!$L$4="CA",'2025'!$L$2=AJ309),'2025DATA'!$G$23,"")</f>
        <v/>
      </c>
      <c r="AK330" s="518" t="str">
        <f>IF(AND(_A2="B-737-800",'2025'!$L$4="CA",'2025'!$L$2=AK309),'2025DATA'!$H$23,"")</f>
        <v/>
      </c>
      <c r="AL330" s="518" t="str">
        <f>IF(AND(_A2="B-737-800",'2025'!$L$4="CA",'2025'!$L$2=AL309),'2025DATA'!$I$23,"")</f>
        <v/>
      </c>
      <c r="AM330" s="518" t="str">
        <f>IF(AND(_A2="B-737-800",'2025'!$L$4="CA",'2025'!$L$2=AM309),'2025DATA'!$J$23,"")</f>
        <v/>
      </c>
      <c r="AN330" s="518" t="str">
        <f>IF(AND(_A2="B-737-800",'2025'!$L$4="CA",'2025'!$L$2=AN309),'2025DATA'!$K$23,"")</f>
        <v/>
      </c>
      <c r="AO330" s="518" t="str">
        <f>IF(AND(_A2="B-737-800",'2025'!$L$4="CA",'2025'!$L$2=AO309),'2025DATA'!$L$23,"")</f>
        <v/>
      </c>
      <c r="AP330" s="518" t="str">
        <f>IF(AND(_A2="B-737-800",'2025'!$L$4="CA",'2025'!$L$2=AP309),'2025DATA'!$M$23,"")</f>
        <v/>
      </c>
      <c r="AQ330" s="520" t="str">
        <f>IF(AND(_A2="B-737-800",'2025'!$L$4="CA",'2025'!$L$2=AQ309),'2025DATA'!$N$23,"")</f>
        <v/>
      </c>
      <c r="AR330" s="940" t="s">
        <v>69</v>
      </c>
      <c r="AS330" s="13" t="s">
        <v>61</v>
      </c>
      <c r="AT330" s="518" t="str">
        <f>IF(AND(_A3="B-737-800",'2025'!$L$4="CA",'2025'!$L$2=AT309),'2025DATA'!$C$23,"")</f>
        <v/>
      </c>
      <c r="AU330" s="518" t="str">
        <f>IF(AND(_A3="B-737-800",'2025'!$L$4="CA",'2025'!$L$2=AU309),'2025DATA'!$D$23,"")</f>
        <v/>
      </c>
      <c r="AV330" s="518" t="str">
        <f>IF(AND(_A3="B-737-800",'2025'!$L$4="CA",'2025'!$L$2=AV309),'2025DATA'!$E$23,"")</f>
        <v/>
      </c>
      <c r="AW330" s="518" t="str">
        <f>IF(AND(_A3="B-737-800",'2025'!$L$4="CA",'2025'!$L$2=AW309),'2025DATA'!$F$23,"")</f>
        <v/>
      </c>
      <c r="AX330" s="518" t="str">
        <f>IF(AND(_A3="B-737-800",'2025'!$L$4="CA",'2025'!$L$2=AX309),'2025DATA'!$G$23,"")</f>
        <v/>
      </c>
      <c r="AY330" s="518" t="str">
        <f>IF(AND(_A3="B-737-800",'2025'!$L$4="CA",'2025'!$L$2=AY309),'2025DATA'!$H$23,"")</f>
        <v/>
      </c>
      <c r="AZ330" s="518" t="str">
        <f>IF(AND(_A3="B-737-800",'2025'!$L$4="CA",'2025'!$L$2=AZ309),'2025DATA'!$I$23,"")</f>
        <v/>
      </c>
      <c r="BA330" s="518" t="str">
        <f>IF(AND(_A3="B-737-800",'2025'!$L$4="CA",'2025'!$L$2=BA309),'2025DATA'!$J$23,"")</f>
        <v/>
      </c>
      <c r="BB330" s="518" t="str">
        <f>IF(AND(_A3="B-737-800",'2025'!$L$4="CA",'2025'!$L$2=BB309),'2025DATA'!$K$23,"")</f>
        <v/>
      </c>
      <c r="BC330" s="518" t="str">
        <f>IF(AND(_A3="B-737-800",'2025'!$L$4="CA",'2025'!$L$2=BC309),'2025DATA'!$L$23,"")</f>
        <v/>
      </c>
      <c r="BD330" s="518" t="str">
        <f>IF(AND(_A3="B-737-800",'2025'!$L$4="CA",'2025'!$L$2=BD309),'2025DATA'!$M$23,"")</f>
        <v/>
      </c>
      <c r="BE330" s="520" t="str">
        <f>IF(AND(_A3="B-737-800",'2025'!$L$4="CA",'2025'!$L$2=BE309),'2025DATA'!$N$23,"")</f>
        <v/>
      </c>
      <c r="BF330" s="940" t="s">
        <v>69</v>
      </c>
      <c r="BG330" s="13" t="s">
        <v>61</v>
      </c>
      <c r="BH330" s="518" t="str">
        <f>IF(AND(_A4="B-737-800",'2025'!$L$4="CA",'2025'!$L$2=BH309),'2025DATA'!$C$23,"")</f>
        <v/>
      </c>
      <c r="BI330" s="518" t="str">
        <f>IF(AND(_A4="B-737-800",'2025'!$L$4="CA",'2025'!$L$2=BI309),'2025DATA'!$D$23,"")</f>
        <v/>
      </c>
      <c r="BJ330" s="518" t="str">
        <f>IF(AND(_A4="B-737-800",'2025'!$L$4="CA",'2025'!$L$2=BJ309),'2025DATA'!$E$23,"")</f>
        <v/>
      </c>
      <c r="BK330" s="518" t="str">
        <f>IF(AND(_A4="B-737-800",'2025'!$L$4="CA",'2025'!$L$2=BK309),'2025DATA'!$F$23,"")</f>
        <v/>
      </c>
      <c r="BL330" s="518" t="str">
        <f>IF(AND(_A4="B-737-800",'2025'!$L$4="CA",'2025'!$L$2=BL309),'2025DATA'!$G$23,"")</f>
        <v/>
      </c>
      <c r="BM330" s="518" t="str">
        <f>IF(AND(_A4="B-737-800",'2025'!$L$4="CA",'2025'!$L$2=BM309),'2025DATA'!$H$23,"")</f>
        <v/>
      </c>
      <c r="BN330" s="518" t="str">
        <f>IF(AND(_A4="B-737-800",'2025'!$L$4="CA",'2025'!$L$2=BN309),'2025DATA'!$I$23,"")</f>
        <v/>
      </c>
      <c r="BO330" s="518" t="str">
        <f>IF(AND(_A4="B-737-800",'2025'!$L$4="CA",'2025'!$L$2=BO309),'2025DATA'!$J$23,"")</f>
        <v/>
      </c>
      <c r="BP330" s="518" t="str">
        <f>IF(AND(_A4="B-737-800",'2025'!$L$4="CA",'2025'!$L$2=BP309),'2025DATA'!$K$23,"")</f>
        <v/>
      </c>
      <c r="BQ330" s="518" t="str">
        <f>IF(AND(_A4="B-737-800",'2025'!$L$4="CA",'2025'!$L$2=BQ309),'2025DATA'!$L$23,"")</f>
        <v/>
      </c>
      <c r="BR330" s="518" t="str">
        <f>IF(AND(_A4="B-737-800",'2025'!$L$4="CA",'2025'!$L$2=BR309),'2025DATA'!$M$23,"")</f>
        <v/>
      </c>
      <c r="BS330" s="520" t="str">
        <f>IF(AND(_A4="B-737-800",'2025'!$L$4="CA",'2025'!$L$2=BS309),'2025DATA'!$N$23,"")</f>
        <v/>
      </c>
      <c r="BT330" s="940" t="s">
        <v>69</v>
      </c>
      <c r="BU330" s="13" t="s">
        <v>61</v>
      </c>
      <c r="BV330" s="518" t="str">
        <f>IF(AND(_A5="B-737-800",'2025'!$L$4="CA",'2025'!$L$2=BV309),'2025DATA'!$C$23,"")</f>
        <v/>
      </c>
      <c r="BW330" s="518" t="str">
        <f>IF(AND(_A5="B-737-800",'2025'!$L$4="CA",'2025'!$L$2=BW309),'2025DATA'!$D$23,"")</f>
        <v/>
      </c>
      <c r="BX330" s="518" t="str">
        <f>IF(AND(_A5="B-737-800",'2025'!$L$4="CA",'2025'!$L$2=BX309),'2025DATA'!$E$23,"")</f>
        <v/>
      </c>
      <c r="BY330" s="518" t="str">
        <f>IF(AND(_A5="B-737-800",'2025'!$L$4="CA",'2025'!$L$2=BY309),'2025DATA'!$F$23,"")</f>
        <v/>
      </c>
      <c r="BZ330" s="518" t="str">
        <f>IF(AND(_A5="B-737-800",'2025'!$L$4="CA",'2025'!$L$2=BZ309),'2025DATA'!$G$23,"")</f>
        <v/>
      </c>
      <c r="CA330" s="518" t="str">
        <f>IF(AND(_A5="B-737-800",'2025'!$L$4="CA",'2025'!$L$2=CA309),'2025DATA'!$H$23,"")</f>
        <v/>
      </c>
      <c r="CB330" s="518" t="str">
        <f>IF(AND(_A5="B-737-800",'2025'!$L$4="CA",'2025'!$L$2=CB309),'2025DATA'!$I$23,"")</f>
        <v/>
      </c>
      <c r="CC330" s="518" t="str">
        <f>IF(AND(_A5="B-737-800",'2025'!$L$4="CA",'2025'!$L$2=CC309),'2025DATA'!$J$23,"")</f>
        <v/>
      </c>
      <c r="CD330" s="518" t="str">
        <f>IF(AND(_A5="B-737-800",'2025'!$L$4="CA",'2025'!$L$2=CD309),'2025DATA'!$K$23,"")</f>
        <v/>
      </c>
      <c r="CE330" s="518" t="str">
        <f>IF(AND(_A5="B-737-800",'2025'!$L$4="CA",'2025'!$L$2=CE309),'2025DATA'!$L$23,"")</f>
        <v/>
      </c>
      <c r="CF330" s="518" t="str">
        <f>IF(AND(_A5="B-737-800",'2025'!$L$4="CA",'2025'!$L$2=CF309),'2025DATA'!$M$23,"")</f>
        <v/>
      </c>
      <c r="CG330" s="520" t="str">
        <f>IF(AND(_A5="B-737-800",'2025'!$L$4="CA",'2025'!$L$2=CG309),'2025DATA'!$N$23,"")</f>
        <v/>
      </c>
      <c r="CH330" s="940" t="s">
        <v>69</v>
      </c>
      <c r="CI330" s="13" t="s">
        <v>61</v>
      </c>
      <c r="CJ330" s="518" t="str">
        <f>IF(AND(_A6="B-737-800",'2025'!$L$4="CA",'2025'!$L$2=CJ309),'2025DATA'!$C$23,"")</f>
        <v/>
      </c>
      <c r="CK330" s="518" t="str">
        <f>IF(AND(_A6="B-737-800",'2025'!$L$4="CA",'2025'!$L$2=CK309),'2025DATA'!$D$23,"")</f>
        <v/>
      </c>
      <c r="CL330" s="518" t="str">
        <f>IF(AND(_A6="B-737-800",'2025'!$L$4="CA",'2025'!$L$2=CL309),'2025DATA'!$E$23,"")</f>
        <v/>
      </c>
      <c r="CM330" s="518" t="str">
        <f>IF(AND(_A6="B-737-800",'2025'!$L$4="CA",'2025'!$L$2=CM309),'2025DATA'!$F$23,"")</f>
        <v/>
      </c>
      <c r="CN330" s="518" t="str">
        <f>IF(AND(_A6="B-737-800",'2025'!$L$4="CA",'2025'!$L$2=CN309),'2025DATA'!$G$23,"")</f>
        <v/>
      </c>
      <c r="CO330" s="518" t="str">
        <f>IF(AND(_A6="B-737-800",'2025'!$L$4="CA",'2025'!$L$2=CO309),'2025DATA'!$H$23,"")</f>
        <v/>
      </c>
      <c r="CP330" s="518" t="str">
        <f>IF(AND(_A6="B-737-800",'2025'!$L$4="CA",'2025'!$L$2=CP309),'2025DATA'!$I$23,"")</f>
        <v/>
      </c>
      <c r="CQ330" s="518" t="str">
        <f>IF(AND(_A6="B-737-800",'2025'!$L$4="CA",'2025'!$L$2=CQ309),'2025DATA'!$J$23,"")</f>
        <v/>
      </c>
      <c r="CR330" s="518" t="str">
        <f>IF(AND(_A6="B-737-800",'2025'!$L$4="CA",'2025'!$L$2=CR309),'2025DATA'!$K$23,"")</f>
        <v/>
      </c>
      <c r="CS330" s="518" t="str">
        <f>IF(AND(_A6="B-737-800",'2025'!$L$4="CA",'2025'!$L$2=CS309),'2025DATA'!$L$23,"")</f>
        <v/>
      </c>
      <c r="CT330" s="518" t="str">
        <f>IF(AND(_A6="B-737-800",'2025'!$L$4="CA",'2025'!$L$2=CT309),'2025DATA'!$M$23,"")</f>
        <v/>
      </c>
      <c r="CU330" s="520" t="str">
        <f>IF(AND(_A6="B-737-800",'2025'!$L$4="CA",'2025'!$L$2=CU309),'2025DATA'!$N$23,"")</f>
        <v/>
      </c>
    </row>
    <row r="331" spans="16:99" x14ac:dyDescent="0.25">
      <c r="P331" s="940"/>
      <c r="Q331" s="13" t="s">
        <v>62</v>
      </c>
      <c r="R331" s="518" t="str">
        <f>IF(AND(_A1="B-737-800",'2025'!$L$4="FO",'2025'!$L$2=R309),'2025DATA'!$C$24,"")</f>
        <v/>
      </c>
      <c r="S331" s="518" t="str">
        <f>IF(AND(_A1="B-737-800",'2025'!$L$4="FO",'2025'!$L$2=S309),'2025DATA'!$D$24,"")</f>
        <v/>
      </c>
      <c r="T331" s="518" t="str">
        <f>IF(AND(_A1="B-737-800",'2025'!$L$4="FO",'2025'!$L$2=T309),'2025DATA'!$E$24,"")</f>
        <v/>
      </c>
      <c r="U331" s="518" t="str">
        <f>IF(AND(_A1="B-737-800",'2025'!$L$4="FO",'2025'!$L$2=U309),'2025DATA'!$F$24,"")</f>
        <v/>
      </c>
      <c r="V331" s="518" t="str">
        <f>IF(AND(_A1="B-737-800",'2025'!$L$4="FO",'2025'!$L$2=V309),'2025DATA'!$G$24,"")</f>
        <v/>
      </c>
      <c r="W331" s="518" t="str">
        <f>IF(AND(_A1="B-737-800",'2025'!$L$4="FO",'2025'!$L$2=W309),'2025DATA'!$H$24,"")</f>
        <v/>
      </c>
      <c r="X331" s="518" t="str">
        <f>IF(AND(_A1="B-737-800",'2025'!$L$4="FO",'2025'!$L$2=X309),'2025DATA'!$I$24,"")</f>
        <v/>
      </c>
      <c r="Y331" s="518" t="str">
        <f>IF(AND(_A1="B-737-800",'2025'!$L$4="FO",'2025'!$L$2=Y309),'2025DATA'!$J$24,"")</f>
        <v/>
      </c>
      <c r="Z331" s="518" t="str">
        <f>IF(AND(_A1="B-737-800",'2025'!$L$4="FO",'2025'!$L$2=Z309),'2025DATA'!$K$24,"")</f>
        <v/>
      </c>
      <c r="AA331" s="518" t="str">
        <f>IF(AND(_A1="B-737-800",'2025'!$L$4="FO",'2025'!$L$2=AA309),'2025DATA'!$L$24,"")</f>
        <v/>
      </c>
      <c r="AB331" s="518" t="str">
        <f>IF(AND(_A1="B-737-800",'2025'!$L$4="FO",'2025'!$L$2=AB309),'2025DATA'!$M$24,"")</f>
        <v/>
      </c>
      <c r="AC331" s="520" t="str">
        <f>IF(AND(_A1="B-737-800",'2025'!$L$4="FO",'2025'!$L$2=AC309),'2025DATA'!$N$24,"")</f>
        <v/>
      </c>
      <c r="AD331" s="940"/>
      <c r="AE331" s="13" t="s">
        <v>62</v>
      </c>
      <c r="AF331" s="518" t="str">
        <f>IF(AND(_A2="B-737-800",'2025'!$L$4="FO",'2025'!$L$2=AF309),'2025DATA'!$C$24,"")</f>
        <v/>
      </c>
      <c r="AG331" s="518" t="str">
        <f>IF(AND(_A2="B-737-800",'2025'!$L$4="FO",'2025'!$L$2=AG309),'2025DATA'!$D$24,"")</f>
        <v/>
      </c>
      <c r="AH331" s="518" t="str">
        <f>IF(AND(_A2="B-737-800",'2025'!$L$4="FO",'2025'!$L$2=AH309),'2025DATA'!$E$24,"")</f>
        <v/>
      </c>
      <c r="AI331" s="518" t="str">
        <f>IF(AND(_A2="B-737-800",'2025'!$L$4="FO",'2025'!$L$2=AI309),'2025DATA'!$F$24,"")</f>
        <v/>
      </c>
      <c r="AJ331" s="518" t="str">
        <f>IF(AND(_A2="B-737-800",'2025'!$L$4="FO",'2025'!$L$2=AJ309),'2025DATA'!$G$24,"")</f>
        <v/>
      </c>
      <c r="AK331" s="518" t="str">
        <f>IF(AND(_A2="B-737-800",'2025'!$L$4="FO",'2025'!$L$2=AK309),'2025DATA'!$H$24,"")</f>
        <v/>
      </c>
      <c r="AL331" s="518" t="str">
        <f>IF(AND(_A2="B-737-800",'2025'!$L$4="FO",'2025'!$L$2=AL309),'2025DATA'!$I$24,"")</f>
        <v/>
      </c>
      <c r="AM331" s="518" t="str">
        <f>IF(AND(_A2="B-737-800",'2025'!$L$4="FO",'2025'!$L$2=AM309),'2025DATA'!$J$24,"")</f>
        <v/>
      </c>
      <c r="AN331" s="518" t="str">
        <f>IF(AND(_A2="B-737-800",'2025'!$L$4="FO",'2025'!$L$2=AN309),'2025DATA'!$K$24,"")</f>
        <v/>
      </c>
      <c r="AO331" s="518" t="str">
        <f>IF(AND(_A2="B-737-800",'2025'!$L$4="FO",'2025'!$L$2=AO309),'2025DATA'!$L$24,"")</f>
        <v/>
      </c>
      <c r="AP331" s="518" t="str">
        <f>IF(AND(_A2="B-737-800",'2025'!$L$4="FO",'2025'!$L$2=AP309),'2025DATA'!$M$24,"")</f>
        <v/>
      </c>
      <c r="AQ331" s="520" t="str">
        <f>IF(AND(_A2="B-737-800",'2025'!$L$4="FO",'2025'!$L$2=AQ309),'2025DATA'!$N$24,"")</f>
        <v/>
      </c>
      <c r="AR331" s="940"/>
      <c r="AS331" s="13" t="s">
        <v>62</v>
      </c>
      <c r="AT331" s="518" t="str">
        <f>IF(AND(_A3="B-737-800",'2025'!$L$4="FO",'2025'!$L$2=AT309),'2025DATA'!$C$24,"")</f>
        <v/>
      </c>
      <c r="AU331" s="518" t="str">
        <f>IF(AND(_A3="B-737-800",'2025'!$L$4="FO",'2025'!$L$2=AU309),'2025DATA'!$D$24,"")</f>
        <v/>
      </c>
      <c r="AV331" s="518" t="str">
        <f>IF(AND(_A3="B-737-800",'2025'!$L$4="FO",'2025'!$L$2=AV309),'2025DATA'!$E$24,"")</f>
        <v/>
      </c>
      <c r="AW331" s="518" t="str">
        <f>IF(AND(_A3="B-737-800",'2025'!$L$4="FO",'2025'!$L$2=AW309),'2025DATA'!$F$24,"")</f>
        <v/>
      </c>
      <c r="AX331" s="518" t="str">
        <f>IF(AND(_A3="B-737-800",'2025'!$L$4="FO",'2025'!$L$2=AX309),'2025DATA'!$G$24,"")</f>
        <v/>
      </c>
      <c r="AY331" s="518" t="str">
        <f>IF(AND(_A3="B-737-800",'2025'!$L$4="FO",'2025'!$L$2=AY309),'2025DATA'!$H$24,"")</f>
        <v/>
      </c>
      <c r="AZ331" s="518" t="str">
        <f>IF(AND(_A3="B-737-800",'2025'!$L$4="FO",'2025'!$L$2=AZ309),'2025DATA'!$I$24,"")</f>
        <v/>
      </c>
      <c r="BA331" s="518" t="str">
        <f>IF(AND(_A3="B-737-800",'2025'!$L$4="FO",'2025'!$L$2=BA309),'2025DATA'!$J$24,"")</f>
        <v/>
      </c>
      <c r="BB331" s="518" t="str">
        <f>IF(AND(_A3="B-737-800",'2025'!$L$4="FO",'2025'!$L$2=BB309),'2025DATA'!$K$24,"")</f>
        <v/>
      </c>
      <c r="BC331" s="518" t="str">
        <f>IF(AND(_A3="B-737-800",'2025'!$L$4="FO",'2025'!$L$2=BC309),'2025DATA'!$L$24,"")</f>
        <v/>
      </c>
      <c r="BD331" s="518" t="str">
        <f>IF(AND(_A3="B-737-800",'2025'!$L$4="FO",'2025'!$L$2=BD309),'2025DATA'!$M$24,"")</f>
        <v/>
      </c>
      <c r="BE331" s="520" t="str">
        <f>IF(AND(_A3="B-737-800",'2025'!$L$4="FO",'2025'!$L$2=BE309),'2025DATA'!$N$24,"")</f>
        <v/>
      </c>
      <c r="BF331" s="940"/>
      <c r="BG331" s="13" t="s">
        <v>62</v>
      </c>
      <c r="BH331" s="518" t="str">
        <f>IF(AND(_A4="B-737-800",'2025'!$L$4="FO",'2025'!$L$2=BH309),'2025DATA'!$C$24,"")</f>
        <v/>
      </c>
      <c r="BI331" s="518" t="str">
        <f>IF(AND(_A4="B-737-800",'2025'!$L$4="FO",'2025'!$L$2=BI309),'2025DATA'!$D$24,"")</f>
        <v/>
      </c>
      <c r="BJ331" s="518" t="str">
        <f>IF(AND(_A4="B-737-800",'2025'!$L$4="FO",'2025'!$L$2=BJ309),'2025DATA'!$E$24,"")</f>
        <v/>
      </c>
      <c r="BK331" s="518" t="str">
        <f>IF(AND(_A4="B-737-800",'2025'!$L$4="FO",'2025'!$L$2=BK309),'2025DATA'!$F$24,"")</f>
        <v/>
      </c>
      <c r="BL331" s="518" t="str">
        <f>IF(AND(_A4="B-737-800",'2025'!$L$4="FO",'2025'!$L$2=BL309),'2025DATA'!$G$24,"")</f>
        <v/>
      </c>
      <c r="BM331" s="518" t="str">
        <f>IF(AND(_A4="B-737-800",'2025'!$L$4="FO",'2025'!$L$2=BM309),'2025DATA'!$H$24,"")</f>
        <v/>
      </c>
      <c r="BN331" s="518" t="str">
        <f>IF(AND(_A4="B-737-800",'2025'!$L$4="FO",'2025'!$L$2=BN309),'2025DATA'!$I$24,"")</f>
        <v/>
      </c>
      <c r="BO331" s="518" t="str">
        <f>IF(AND(_A4="B-737-800",'2025'!$L$4="FO",'2025'!$L$2=BO309),'2025DATA'!$J$24,"")</f>
        <v/>
      </c>
      <c r="BP331" s="518" t="str">
        <f>IF(AND(_A4="B-737-800",'2025'!$L$4="FO",'2025'!$L$2=BP309),'2025DATA'!$K$24,"")</f>
        <v/>
      </c>
      <c r="BQ331" s="518" t="str">
        <f>IF(AND(_A4="B-737-800",'2025'!$L$4="FO",'2025'!$L$2=BQ309),'2025DATA'!$L$24,"")</f>
        <v/>
      </c>
      <c r="BR331" s="518" t="str">
        <f>IF(AND(_A4="B-737-800",'2025'!$L$4="FO",'2025'!$L$2=BR309),'2025DATA'!$M$24,"")</f>
        <v/>
      </c>
      <c r="BS331" s="520" t="str">
        <f>IF(AND(_A4="B-737-800",'2025'!$L$4="FO",'2025'!$L$2=BS309),'2025DATA'!$N$24,"")</f>
        <v/>
      </c>
      <c r="BT331" s="940"/>
      <c r="BU331" s="13" t="s">
        <v>62</v>
      </c>
      <c r="BV331" s="518" t="str">
        <f>IF(AND(_A5="B-737-800",'2025'!$L$4="FO",'2025'!$L$2=BV309),'2025DATA'!$C$24,"")</f>
        <v/>
      </c>
      <c r="BW331" s="518" t="str">
        <f>IF(AND(_A5="B-737-800",'2025'!$L$4="FO",'2025'!$L$2=BW309),'2025DATA'!$D$24,"")</f>
        <v/>
      </c>
      <c r="BX331" s="518" t="str">
        <f>IF(AND(_A5="B-737-800",'2025'!$L$4="FO",'2025'!$L$2=BX309),'2025DATA'!$E$24,"")</f>
        <v/>
      </c>
      <c r="BY331" s="518" t="str">
        <f>IF(AND(_A5="B-737-800",'2025'!$L$4="FO",'2025'!$L$2=BY309),'2025DATA'!$F$24,"")</f>
        <v/>
      </c>
      <c r="BZ331" s="518" t="str">
        <f>IF(AND(_A5="B-737-800",'2025'!$L$4="FO",'2025'!$L$2=BZ309),'2025DATA'!$G$24,"")</f>
        <v/>
      </c>
      <c r="CA331" s="518" t="str">
        <f>IF(AND(_A5="B-737-800",'2025'!$L$4="FO",'2025'!$L$2=CA309),'2025DATA'!$H$24,"")</f>
        <v/>
      </c>
      <c r="CB331" s="518" t="str">
        <f>IF(AND(_A5="B-737-800",'2025'!$L$4="FO",'2025'!$L$2=CB309),'2025DATA'!$I$24,"")</f>
        <v/>
      </c>
      <c r="CC331" s="518" t="str">
        <f>IF(AND(_A5="B-737-800",'2025'!$L$4="FO",'2025'!$L$2=CC309),'2025DATA'!$J$24,"")</f>
        <v/>
      </c>
      <c r="CD331" s="518" t="str">
        <f>IF(AND(_A5="B-737-800",'2025'!$L$4="FO",'2025'!$L$2=CD309),'2025DATA'!$K$24,"")</f>
        <v/>
      </c>
      <c r="CE331" s="518" t="str">
        <f>IF(AND(_A5="B-737-800",'2025'!$L$4="FO",'2025'!$L$2=CE309),'2025DATA'!$L$24,"")</f>
        <v/>
      </c>
      <c r="CF331" s="518" t="str">
        <f>IF(AND(_A5="B-737-800",'2025'!$L$4="FO",'2025'!$L$2=CF309),'2025DATA'!$M$24,"")</f>
        <v/>
      </c>
      <c r="CG331" s="520" t="str">
        <f>IF(AND(_A5="B-737-800",'2025'!$L$4="FO",'2025'!$L$2=CG309),'2025DATA'!$N$24,"")</f>
        <v/>
      </c>
      <c r="CH331" s="940"/>
      <c r="CI331" s="13" t="s">
        <v>62</v>
      </c>
      <c r="CJ331" s="518" t="str">
        <f>IF(AND(_A6="B-737-800",'2025'!$L$4="FO",'2025'!$L$2=CJ309),'2025DATA'!$C$24,"")</f>
        <v/>
      </c>
      <c r="CK331" s="518" t="str">
        <f>IF(AND(_A6="B-737-800",'2025'!$L$4="FO",'2025'!$L$2=CK309),'2025DATA'!$D$24,"")</f>
        <v/>
      </c>
      <c r="CL331" s="518" t="str">
        <f>IF(AND(_A6="B-737-800",'2025'!$L$4="FO",'2025'!$L$2=CL309),'2025DATA'!$E$24,"")</f>
        <v/>
      </c>
      <c r="CM331" s="518" t="str">
        <f>IF(AND(_A6="B-737-800",'2025'!$L$4="FO",'2025'!$L$2=CM309),'2025DATA'!$F$24,"")</f>
        <v/>
      </c>
      <c r="CN331" s="518" t="str">
        <f>IF(AND(_A6="B-737-800",'2025'!$L$4="FO",'2025'!$L$2=CN309),'2025DATA'!$G$24,"")</f>
        <v/>
      </c>
      <c r="CO331" s="518" t="str">
        <f>IF(AND(_A6="B-737-800",'2025'!$L$4="FO",'2025'!$L$2=CO309),'2025DATA'!$H$24,"")</f>
        <v/>
      </c>
      <c r="CP331" s="518" t="str">
        <f>IF(AND(_A6="B-737-800",'2025'!$L$4="FO",'2025'!$L$2=CP309),'2025DATA'!$I$24,"")</f>
        <v/>
      </c>
      <c r="CQ331" s="518" t="str">
        <f>IF(AND(_A6="B-737-800",'2025'!$L$4="FO",'2025'!$L$2=CQ309),'2025DATA'!$J$24,"")</f>
        <v/>
      </c>
      <c r="CR331" s="518" t="str">
        <f>IF(AND(_A6="B-737-800",'2025'!$L$4="FO",'2025'!$L$2=CR309),'2025DATA'!$K$24,"")</f>
        <v/>
      </c>
      <c r="CS331" s="518" t="str">
        <f>IF(AND(_A6="B-737-800",'2025'!$L$4="FO",'2025'!$L$2=CS309),'2025DATA'!$L$24,"")</f>
        <v/>
      </c>
      <c r="CT331" s="518" t="str">
        <f>IF(AND(_A6="B-737-800",'2025'!$L$4="FO",'2025'!$L$2=CT309),'2025DATA'!$M$24,"")</f>
        <v/>
      </c>
      <c r="CU331" s="520" t="str">
        <f>IF(AND(_A6="B-737-800",'2025'!$L$4="FO",'2025'!$L$2=CU309),'2025DATA'!$N$24,"")</f>
        <v/>
      </c>
    </row>
    <row r="332" spans="16:99" x14ac:dyDescent="0.25">
      <c r="P332" s="940" t="s">
        <v>46</v>
      </c>
      <c r="Q332" s="13" t="s">
        <v>61</v>
      </c>
      <c r="R332" s="518" t="str">
        <f>IF(AND(_A1="A-321N",'2025'!$L$4="CA",'2025'!$L$2=R309),'2025DATA'!$C$25,"")</f>
        <v/>
      </c>
      <c r="S332" s="518" t="str">
        <f>IF(AND(_A1="A-321N",'2025'!$L$4="CA",'2025'!$L$2=S309),'2025DATA'!$D$25,"")</f>
        <v/>
      </c>
      <c r="T332" s="518" t="str">
        <f>IF(AND(_A1="A-321N",'2025'!$L$4="CA",'2025'!$L$2=T309),'2025DATA'!$E$25,"")</f>
        <v/>
      </c>
      <c r="U332" s="518" t="str">
        <f>IF(AND(_A1="A-321N",'2025'!$L$4="CA",'2025'!$L$2=U309),'2025DATA'!$F$25,"")</f>
        <v/>
      </c>
      <c r="V332" s="518" t="str">
        <f>IF(AND(_A1="A-321N",'2025'!$L$4="CA",'2025'!$L$2=V309),'2025DATA'!$G$25,"")</f>
        <v/>
      </c>
      <c r="W332" s="518" t="str">
        <f>IF(AND(_A1="A-321N",'2025'!$L$4="CA",'2025'!$L$2=W309),'2025DATA'!$H$25,"")</f>
        <v/>
      </c>
      <c r="X332" s="518" t="str">
        <f>IF(AND(_A1="A-321N",'2025'!$L$4="CA",'2025'!$L$2=X309),'2025DATA'!$I$25,"")</f>
        <v/>
      </c>
      <c r="Y332" s="518" t="str">
        <f>IF(AND(_A1="A-321N",'2025'!$L$4="CA",'2025'!$L$2=Y309),'2025DATA'!$J$25,"")</f>
        <v/>
      </c>
      <c r="Z332" s="518" t="str">
        <f>IF(AND(_A1="A-321N",'2025'!$L$4="CA",'2025'!$L$2=Z309),'2025DATA'!$K$25,"")</f>
        <v/>
      </c>
      <c r="AA332" s="518" t="str">
        <f>IF(AND(_A1="A-321N",'2025'!$L$4="CA",'2025'!$L$2=AA309),'2025DATA'!$L$25,"")</f>
        <v/>
      </c>
      <c r="AB332" s="518" t="str">
        <f>IF(AND(_A1="A-321N",'2025'!$L$4="CA",'2025'!$L$2=AB309),'2025DATA'!$M$25,"")</f>
        <v/>
      </c>
      <c r="AC332" s="520" t="str">
        <f>IF(AND(_A1="A-321N",'2025'!$L$4="CA",'2025'!$L$2=AC309),'2025DATA'!$N$25,"")</f>
        <v/>
      </c>
      <c r="AD332" s="940" t="s">
        <v>46</v>
      </c>
      <c r="AE332" s="13" t="s">
        <v>61</v>
      </c>
      <c r="AF332" s="518" t="str">
        <f>IF(AND(_A2="A-321N",'2025'!$L$4="CA",'2025'!$L$2=AF309),'2025DATA'!$C$25,"")</f>
        <v/>
      </c>
      <c r="AG332" s="518" t="str">
        <f>IF(AND(_A2="A-321N",'2025'!$L$4="CA",'2025'!$L$2=AG309),'2025DATA'!$D$25,"")</f>
        <v/>
      </c>
      <c r="AH332" s="518" t="str">
        <f>IF(AND(_A2="A-321N",'2025'!$L$4="CA",'2025'!$L$2=AH309),'2025DATA'!$E$25,"")</f>
        <v/>
      </c>
      <c r="AI332" s="518" t="str">
        <f>IF(AND(_A2="A-321N",'2025'!$L$4="CA",'2025'!$L$2=AI309),'2025DATA'!$F$25,"")</f>
        <v/>
      </c>
      <c r="AJ332" s="518" t="str">
        <f>IF(AND(_A2="A-321N",'2025'!$L$4="CA",'2025'!$L$2=AJ309),'2025DATA'!$G$25,"")</f>
        <v/>
      </c>
      <c r="AK332" s="518" t="str">
        <f>IF(AND(_A2="A-321N",'2025'!$L$4="CA",'2025'!$L$2=AK309),'2025DATA'!$H$25,"")</f>
        <v/>
      </c>
      <c r="AL332" s="518" t="str">
        <f>IF(AND(_A2="A-321N",'2025'!$L$4="CA",'2025'!$L$2=AL309),'2025DATA'!$I$25,"")</f>
        <v/>
      </c>
      <c r="AM332" s="518" t="str">
        <f>IF(AND(_A2="A-321N",'2025'!$L$4="CA",'2025'!$L$2=AM309),'2025DATA'!$J$25,"")</f>
        <v/>
      </c>
      <c r="AN332" s="518" t="str">
        <f>IF(AND(_A2="A-321N",'2025'!$L$4="CA",'2025'!$L$2=AN309),'2025DATA'!$K$25,"")</f>
        <v/>
      </c>
      <c r="AO332" s="518" t="str">
        <f>IF(AND(_A2="A-321N",'2025'!$L$4="CA",'2025'!$L$2=AO309),'2025DATA'!$L$25,"")</f>
        <v/>
      </c>
      <c r="AP332" s="518" t="str">
        <f>IF(AND(_A2="A-321N",'2025'!$L$4="CA",'2025'!$L$2=AP309),'2025DATA'!$M$25,"")</f>
        <v/>
      </c>
      <c r="AQ332" s="520" t="str">
        <f>IF(AND(_A2="A-321N",'2025'!$L$4="CA",'2025'!$L$2=AQ309),'2025DATA'!$N$25,"")</f>
        <v/>
      </c>
      <c r="AR332" s="940" t="s">
        <v>46</v>
      </c>
      <c r="AS332" s="13" t="s">
        <v>61</v>
      </c>
      <c r="AT332" s="518" t="str">
        <f>IF(AND(_A3="A-321N",'2025'!$L$4="CA",'2025'!$L$2=AT309),'2025DATA'!$C$25,"")</f>
        <v/>
      </c>
      <c r="AU332" s="518" t="str">
        <f>IF(AND(_A3="A-321N",'2025'!$L$4="CA",'2025'!$L$2=AU309),'2025DATA'!$D$25,"")</f>
        <v/>
      </c>
      <c r="AV332" s="518" t="str">
        <f>IF(AND(_A3="A-321N",'2025'!$L$4="CA",'2025'!$L$2=AV309),'2025DATA'!$E$25,"")</f>
        <v/>
      </c>
      <c r="AW332" s="518" t="str">
        <f>IF(AND(_A3="A-321N",'2025'!$L$4="CA",'2025'!$L$2=AW309),'2025DATA'!$F$25,"")</f>
        <v/>
      </c>
      <c r="AX332" s="518" t="str">
        <f>IF(AND(_A3="A-321N",'2025'!$L$4="CA",'2025'!$L$2=AX309),'2025DATA'!$G$25,"")</f>
        <v/>
      </c>
      <c r="AY332" s="518" t="str">
        <f>IF(AND(_A3="A-321N",'2025'!$L$4="CA",'2025'!$L$2=AY309),'2025DATA'!$H$25,"")</f>
        <v/>
      </c>
      <c r="AZ332" s="518" t="str">
        <f>IF(AND(_A3="A-321N",'2025'!$L$4="CA",'2025'!$L$2=AZ309),'2025DATA'!$I$25,"")</f>
        <v/>
      </c>
      <c r="BA332" s="518" t="str">
        <f>IF(AND(_A3="A-321N",'2025'!$L$4="CA",'2025'!$L$2=BA309),'2025DATA'!$J$25,"")</f>
        <v/>
      </c>
      <c r="BB332" s="518" t="str">
        <f>IF(AND(_A3="A-321N",'2025'!$L$4="CA",'2025'!$L$2=BB309),'2025DATA'!$K$25,"")</f>
        <v/>
      </c>
      <c r="BC332" s="518" t="str">
        <f>IF(AND(_A3="A-321N",'2025'!$L$4="CA",'2025'!$L$2=BC309),'2025DATA'!$L$25,"")</f>
        <v/>
      </c>
      <c r="BD332" s="518" t="str">
        <f>IF(AND(_A3="A-321N",'2025'!$L$4="CA",'2025'!$L$2=BD309),'2025DATA'!$M$25,"")</f>
        <v/>
      </c>
      <c r="BE332" s="520" t="str">
        <f>IF(AND(_A3="A-321N",'2025'!$L$4="CA",'2025'!$L$2=BE309),'2025DATA'!$N$25,"")</f>
        <v/>
      </c>
      <c r="BF332" s="940" t="s">
        <v>46</v>
      </c>
      <c r="BG332" s="13" t="s">
        <v>61</v>
      </c>
      <c r="BH332" s="518" t="str">
        <f>IF(AND(_A4="A-321N",'2025'!$L$4="CA",'2025'!$L$2=BH309),'2025DATA'!$C$25,"")</f>
        <v/>
      </c>
      <c r="BI332" s="518" t="str">
        <f>IF(AND(_A4="A-321N",'2025'!$L$4="CA",'2025'!$L$2=BI309),'2025DATA'!$D$25,"")</f>
        <v/>
      </c>
      <c r="BJ332" s="518" t="str">
        <f>IF(AND(_A4="A-321N",'2025'!$L$4="CA",'2025'!$L$2=BJ309),'2025DATA'!$E$25,"")</f>
        <v/>
      </c>
      <c r="BK332" s="518" t="str">
        <f>IF(AND(_A4="A-321N",'2025'!$L$4="CA",'2025'!$L$2=BK309),'2025DATA'!$F$25,"")</f>
        <v/>
      </c>
      <c r="BL332" s="518" t="str">
        <f>IF(AND(_A4="A-321N",'2025'!$L$4="CA",'2025'!$L$2=BL309),'2025DATA'!$G$25,"")</f>
        <v/>
      </c>
      <c r="BM332" s="518" t="str">
        <f>IF(AND(_A4="A-321N",'2025'!$L$4="CA",'2025'!$L$2=BM309),'2025DATA'!$H$25,"")</f>
        <v/>
      </c>
      <c r="BN332" s="518" t="str">
        <f>IF(AND(_A4="A-321N",'2025'!$L$4="CA",'2025'!$L$2=BN309),'2025DATA'!$I$25,"")</f>
        <v/>
      </c>
      <c r="BO332" s="518" t="str">
        <f>IF(AND(_A4="A-321N",'2025'!$L$4="CA",'2025'!$L$2=BO309),'2025DATA'!$J$25,"")</f>
        <v/>
      </c>
      <c r="BP332" s="518" t="str">
        <f>IF(AND(_A4="A-321N",'2025'!$L$4="CA",'2025'!$L$2=BP309),'2025DATA'!$K$25,"")</f>
        <v/>
      </c>
      <c r="BQ332" s="518" t="str">
        <f>IF(AND(_A4="A-321N",'2025'!$L$4="CA",'2025'!$L$2=BQ309),'2025DATA'!$L$25,"")</f>
        <v/>
      </c>
      <c r="BR332" s="518" t="str">
        <f>IF(AND(_A4="A-321N",'2025'!$L$4="CA",'2025'!$L$2=BR309),'2025DATA'!$M$25,"")</f>
        <v/>
      </c>
      <c r="BS332" s="520" t="str">
        <f>IF(AND(_A4="A-321N",'2025'!$L$4="CA",'2025'!$L$2=BS309),'2025DATA'!$N$25,"")</f>
        <v/>
      </c>
      <c r="BT332" s="940" t="s">
        <v>46</v>
      </c>
      <c r="BU332" s="13" t="s">
        <v>61</v>
      </c>
      <c r="BV332" s="518" t="str">
        <f>IF(AND(_A5="A-321N",'2025'!$L$4="CA",'2025'!$L$2=BV309),'2025DATA'!$C$25,"")</f>
        <v/>
      </c>
      <c r="BW332" s="518" t="str">
        <f>IF(AND(_A5="A-321N",'2025'!$L$4="CA",'2025'!$L$2=BW309),'2025DATA'!$D$25,"")</f>
        <v/>
      </c>
      <c r="BX332" s="518" t="str">
        <f>IF(AND(_A5="A-321N",'2025'!$L$4="CA",'2025'!$L$2=BX309),'2025DATA'!$E$25,"")</f>
        <v/>
      </c>
      <c r="BY332" s="518" t="str">
        <f>IF(AND(_A5="A-321N",'2025'!$L$4="CA",'2025'!$L$2=BY309),'2025DATA'!$F$25,"")</f>
        <v/>
      </c>
      <c r="BZ332" s="518" t="str">
        <f>IF(AND(_A5="A-321N",'2025'!$L$4="CA",'2025'!$L$2=BZ309),'2025DATA'!$G$25,"")</f>
        <v/>
      </c>
      <c r="CA332" s="518" t="str">
        <f>IF(AND(_A5="A-321N",'2025'!$L$4="CA",'2025'!$L$2=CA309),'2025DATA'!$H$25,"")</f>
        <v/>
      </c>
      <c r="CB332" s="518" t="str">
        <f>IF(AND(_A5="A-321N",'2025'!$L$4="CA",'2025'!$L$2=CB309),'2025DATA'!$I$25,"")</f>
        <v/>
      </c>
      <c r="CC332" s="518" t="str">
        <f>IF(AND(_A5="A-321N",'2025'!$L$4="CA",'2025'!$L$2=CC309),'2025DATA'!$J$25,"")</f>
        <v/>
      </c>
      <c r="CD332" s="518" t="str">
        <f>IF(AND(_A5="A-321N",'2025'!$L$4="CA",'2025'!$L$2=CD309),'2025DATA'!$K$25,"")</f>
        <v/>
      </c>
      <c r="CE332" s="518" t="str">
        <f>IF(AND(_A5="A-321N",'2025'!$L$4="CA",'2025'!$L$2=CE309),'2025DATA'!$L$25,"")</f>
        <v/>
      </c>
      <c r="CF332" s="518" t="str">
        <f>IF(AND(_A5="A-321N",'2025'!$L$4="CA",'2025'!$L$2=CF309),'2025DATA'!$M$25,"")</f>
        <v/>
      </c>
      <c r="CG332" s="520" t="str">
        <f>IF(AND(_A5="A-321N",'2025'!$L$4="CA",'2025'!$L$2=CG309),'2025DATA'!$N$25,"")</f>
        <v/>
      </c>
      <c r="CH332" s="940" t="s">
        <v>46</v>
      </c>
      <c r="CI332" s="13" t="s">
        <v>61</v>
      </c>
      <c r="CJ332" s="518" t="str">
        <f>IF(AND(_A6="A-321N",'2025'!$L$4="CA",'2025'!$L$2=CJ309),'2025DATA'!$C$25,"")</f>
        <v/>
      </c>
      <c r="CK332" s="518" t="str">
        <f>IF(AND(_A6="A-321N",'2025'!$L$4="CA",'2025'!$L$2=CK309),'2025DATA'!$D$25,"")</f>
        <v/>
      </c>
      <c r="CL332" s="518" t="str">
        <f>IF(AND(_A6="A-321N",'2025'!$L$4="CA",'2025'!$L$2=CL309),'2025DATA'!$E$25,"")</f>
        <v/>
      </c>
      <c r="CM332" s="518" t="str">
        <f>IF(AND(_A6="A-321N",'2025'!$L$4="CA",'2025'!$L$2=CM309),'2025DATA'!$F$25,"")</f>
        <v/>
      </c>
      <c r="CN332" s="518" t="str">
        <f>IF(AND(_A6="A-321N",'2025'!$L$4="CA",'2025'!$L$2=CN309),'2025DATA'!$G$25,"")</f>
        <v/>
      </c>
      <c r="CO332" s="518" t="str">
        <f>IF(AND(_A6="A-321N",'2025'!$L$4="CA",'2025'!$L$2=CO309),'2025DATA'!$H$25,"")</f>
        <v/>
      </c>
      <c r="CP332" s="518" t="str">
        <f>IF(AND(_A6="A-321N",'2025'!$L$4="CA",'2025'!$L$2=CP309),'2025DATA'!$I$25,"")</f>
        <v/>
      </c>
      <c r="CQ332" s="518" t="str">
        <f>IF(AND(_A6="A-321N",'2025'!$L$4="CA",'2025'!$L$2=CQ309),'2025DATA'!$J$25,"")</f>
        <v/>
      </c>
      <c r="CR332" s="518" t="str">
        <f>IF(AND(_A6="A-321N",'2025'!$L$4="CA",'2025'!$L$2=CR309),'2025DATA'!$K$25,"")</f>
        <v/>
      </c>
      <c r="CS332" s="518" t="str">
        <f>IF(AND(_A6="A-321N",'2025'!$L$4="CA",'2025'!$L$2=CS309),'2025DATA'!$L$25,"")</f>
        <v/>
      </c>
      <c r="CT332" s="518" t="str">
        <f>IF(AND(_A6="A-321N",'2025'!$L$4="CA",'2025'!$L$2=CT309),'2025DATA'!$M$25,"")</f>
        <v/>
      </c>
      <c r="CU332" s="520" t="str">
        <f>IF(AND(_A6="A-321N",'2025'!$L$4="CA",'2025'!$L$2=CU309),'2025DATA'!$N$25,"")</f>
        <v/>
      </c>
    </row>
    <row r="333" spans="16:99" x14ac:dyDescent="0.25">
      <c r="P333" s="940"/>
      <c r="Q333" s="13" t="s">
        <v>62</v>
      </c>
      <c r="R333" s="518" t="str">
        <f>IF(AND(_A1="A-321N",'2025'!$L$4="FO",'2025'!$L$2=R309),'2025DATA'!$C$26,"")</f>
        <v/>
      </c>
      <c r="S333" s="518" t="str">
        <f>IF(AND(_A1="A-321N",'2025'!$L$4="FO",'2025'!$L$2=S309),'2025DATA'!$D$26,"")</f>
        <v/>
      </c>
      <c r="T333" s="518" t="str">
        <f>IF(AND(_A1="A-321N",'2025'!$L$4="FO",'2025'!$L$2=T309),'2025DATA'!$E$26,"")</f>
        <v/>
      </c>
      <c r="U333" s="518" t="str">
        <f>IF(AND(_A1="A-321N",'2025'!$L$4="FO",'2025'!$L$2=U309),'2025DATA'!$F$26,"")</f>
        <v/>
      </c>
      <c r="V333" s="518" t="str">
        <f>IF(AND(_A1="A-321N",'2025'!$L$4="FO",'2025'!$L$2=V309),'2025DATA'!$G$26,"")</f>
        <v/>
      </c>
      <c r="W333" s="518" t="str">
        <f>IF(AND(_A1="A-321N",'2025'!$L$4="FO",'2025'!$L$2=W309),'2025DATA'!$H$26,"")</f>
        <v/>
      </c>
      <c r="X333" s="518" t="str">
        <f>IF(AND(_A1="A-321N",'2025'!$L$4="FO",'2025'!$L$2=X309),'2025DATA'!$I$26,"")</f>
        <v/>
      </c>
      <c r="Y333" s="518" t="str">
        <f>IF(AND(_A1="A-321N",'2025'!$L$4="FO",'2025'!$L$2=Y309),'2025DATA'!$J$26,"")</f>
        <v/>
      </c>
      <c r="Z333" s="518" t="str">
        <f>IF(AND(_A1="A-321N",'2025'!$L$4="FO",'2025'!$L$2=Z309),'2025DATA'!$K$26,"")</f>
        <v/>
      </c>
      <c r="AA333" s="518" t="str">
        <f>IF(AND(_A1="A-321N",'2025'!$L$4="FO",'2025'!$L$2=AA309),'2025DATA'!$L$26,"")</f>
        <v/>
      </c>
      <c r="AB333" s="518" t="str">
        <f>IF(AND(_A1="A-321N",'2025'!$L$4="FO",'2025'!$L$2=AB309),'2025DATA'!$M$26,"")</f>
        <v/>
      </c>
      <c r="AC333" s="520" t="str">
        <f>IF(AND(_A1="A-321N",'2025'!$L$4="FO",'2025'!$L$2=AC309),'2025DATA'!$N$26,"")</f>
        <v/>
      </c>
      <c r="AD333" s="940"/>
      <c r="AE333" s="13" t="s">
        <v>62</v>
      </c>
      <c r="AF333" s="518" t="str">
        <f>IF(AND(_A2="A-321N",'2025'!$L$4="FO",'2025'!$L$2=AF309),'2025DATA'!$C$26,"")</f>
        <v/>
      </c>
      <c r="AG333" s="518" t="str">
        <f>IF(AND(_A2="A-321N",'2025'!$L$4="FO",'2025'!$L$2=AG309),'2025DATA'!$D$26,"")</f>
        <v/>
      </c>
      <c r="AH333" s="518" t="str">
        <f>IF(AND(_A2="A-321N",'2025'!$L$4="FO",'2025'!$L$2=AH309),'2025DATA'!$E$26,"")</f>
        <v/>
      </c>
      <c r="AI333" s="518" t="str">
        <f>IF(AND(_A2="A-321N",'2025'!$L$4="FO",'2025'!$L$2=AI309),'2025DATA'!$F$26,"")</f>
        <v/>
      </c>
      <c r="AJ333" s="518" t="str">
        <f>IF(AND(_A2="A-321N",'2025'!$L$4="FO",'2025'!$L$2=AJ309),'2025DATA'!$G$26,"")</f>
        <v/>
      </c>
      <c r="AK333" s="518" t="str">
        <f>IF(AND(_A2="A-321N",'2025'!$L$4="FO",'2025'!$L$2=AK309),'2025DATA'!$H$26,"")</f>
        <v/>
      </c>
      <c r="AL333" s="518" t="str">
        <f>IF(AND(_A2="A-321N",'2025'!$L$4="FO",'2025'!$L$2=AL309),'2025DATA'!$I$26,"")</f>
        <v/>
      </c>
      <c r="AM333" s="518" t="str">
        <f>IF(AND(_A2="A-321N",'2025'!$L$4="FO",'2025'!$L$2=AM309),'2025DATA'!$J$26,"")</f>
        <v/>
      </c>
      <c r="AN333" s="518" t="str">
        <f>IF(AND(_A2="A-321N",'2025'!$L$4="FO",'2025'!$L$2=AN309),'2025DATA'!$K$26,"")</f>
        <v/>
      </c>
      <c r="AO333" s="518" t="str">
        <f>IF(AND(_A2="A-321N",'2025'!$L$4="FO",'2025'!$L$2=AO309),'2025DATA'!$L$26,"")</f>
        <v/>
      </c>
      <c r="AP333" s="518" t="str">
        <f>IF(AND(_A2="A-321N",'2025'!$L$4="FO",'2025'!$L$2=AP309),'2025DATA'!$M$26,"")</f>
        <v/>
      </c>
      <c r="AQ333" s="520" t="str">
        <f>IF(AND(_A2="A-321N",'2025'!$L$4="FO",'2025'!$L$2=AQ309),'2025DATA'!$N$26,"")</f>
        <v/>
      </c>
      <c r="AR333" s="940"/>
      <c r="AS333" s="13" t="s">
        <v>62</v>
      </c>
      <c r="AT333" s="518" t="str">
        <f>IF(AND(_A3="A-321N",'2025'!$L$4="FO",'2025'!$L$2=AT309),'2025DATA'!$C$26,"")</f>
        <v/>
      </c>
      <c r="AU333" s="518" t="str">
        <f>IF(AND(_A3="A-321N",'2025'!$L$4="FO",'2025'!$L$2=AU309),'2025DATA'!$D$26,"")</f>
        <v/>
      </c>
      <c r="AV333" s="518" t="str">
        <f>IF(AND(_A3="A-321N",'2025'!$L$4="FO",'2025'!$L$2=AV309),'2025DATA'!$E$26,"")</f>
        <v/>
      </c>
      <c r="AW333" s="518" t="str">
        <f>IF(AND(_A3="A-321N",'2025'!$L$4="FO",'2025'!$L$2=AW309),'2025DATA'!$F$26,"")</f>
        <v/>
      </c>
      <c r="AX333" s="518" t="str">
        <f>IF(AND(_A3="A-321N",'2025'!$L$4="FO",'2025'!$L$2=AX309),'2025DATA'!$G$26,"")</f>
        <v/>
      </c>
      <c r="AY333" s="518" t="str">
        <f>IF(AND(_A3="A-321N",'2025'!$L$4="FO",'2025'!$L$2=AY309),'2025DATA'!$H$26,"")</f>
        <v/>
      </c>
      <c r="AZ333" s="518" t="str">
        <f>IF(AND(_A3="A-321N",'2025'!$L$4="FO",'2025'!$L$2=AZ309),'2025DATA'!$I$26,"")</f>
        <v/>
      </c>
      <c r="BA333" s="518" t="str">
        <f>IF(AND(_A3="A-321N",'2025'!$L$4="FO",'2025'!$L$2=BA309),'2025DATA'!$J$26,"")</f>
        <v/>
      </c>
      <c r="BB333" s="518" t="str">
        <f>IF(AND(_A3="A-321N",'2025'!$L$4="FO",'2025'!$L$2=BB309),'2025DATA'!$K$26,"")</f>
        <v/>
      </c>
      <c r="BC333" s="518" t="str">
        <f>IF(AND(_A3="A-321N",'2025'!$L$4="FO",'2025'!$L$2=BC309),'2025DATA'!$L$26,"")</f>
        <v/>
      </c>
      <c r="BD333" s="518" t="str">
        <f>IF(AND(_A3="A-321N",'2025'!$L$4="FO",'2025'!$L$2=BD309),'2025DATA'!$M$26,"")</f>
        <v/>
      </c>
      <c r="BE333" s="520" t="str">
        <f>IF(AND(_A3="A-321N",'2025'!$L$4="FO",'2025'!$L$2=BE309),'2025DATA'!$N$26,"")</f>
        <v/>
      </c>
      <c r="BF333" s="940"/>
      <c r="BG333" s="13" t="s">
        <v>62</v>
      </c>
      <c r="BH333" s="518" t="str">
        <f>IF(AND(_A4="A-321N",'2025'!$L$4="FO",'2025'!$L$2=BH309),'2025DATA'!$C$26,"")</f>
        <v/>
      </c>
      <c r="BI333" s="518" t="str">
        <f>IF(AND(_A4="A-321N",'2025'!$L$4="FO",'2025'!$L$2=BI309),'2025DATA'!$D$26,"")</f>
        <v/>
      </c>
      <c r="BJ333" s="518" t="str">
        <f>IF(AND(_A4="A-321N",'2025'!$L$4="FO",'2025'!$L$2=BJ309),'2025DATA'!$E$26,"")</f>
        <v/>
      </c>
      <c r="BK333" s="518" t="str">
        <f>IF(AND(_A4="A-321N",'2025'!$L$4="FO",'2025'!$L$2=BK309),'2025DATA'!$F$26,"")</f>
        <v/>
      </c>
      <c r="BL333" s="518" t="str">
        <f>IF(AND(_A4="A-321N",'2025'!$L$4="FO",'2025'!$L$2=BL309),'2025DATA'!$G$26,"")</f>
        <v/>
      </c>
      <c r="BM333" s="518" t="str">
        <f>IF(AND(_A4="A-321N",'2025'!$L$4="FO",'2025'!$L$2=BM309),'2025DATA'!$H$26,"")</f>
        <v/>
      </c>
      <c r="BN333" s="518" t="str">
        <f>IF(AND(_A4="A-321N",'2025'!$L$4="FO",'2025'!$L$2=BN309),'2025DATA'!$I$26,"")</f>
        <v/>
      </c>
      <c r="BO333" s="518" t="str">
        <f>IF(AND(_A4="A-321N",'2025'!$L$4="FO",'2025'!$L$2=BO309),'2025DATA'!$J$26,"")</f>
        <v/>
      </c>
      <c r="BP333" s="518" t="str">
        <f>IF(AND(_A4="A-321N",'2025'!$L$4="FO",'2025'!$L$2=BP309),'2025DATA'!$K$26,"")</f>
        <v/>
      </c>
      <c r="BQ333" s="518" t="str">
        <f>IF(AND(_A4="A-321N",'2025'!$L$4="FO",'2025'!$L$2=BQ309),'2025DATA'!$L$26,"")</f>
        <v/>
      </c>
      <c r="BR333" s="518" t="str">
        <f>IF(AND(_A4="A-321N",'2025'!$L$4="FO",'2025'!$L$2=BR309),'2025DATA'!$M$26,"")</f>
        <v/>
      </c>
      <c r="BS333" s="520" t="str">
        <f>IF(AND(_A4="A-321N",'2025'!$L$4="FO",'2025'!$L$2=BS309),'2025DATA'!$N$26,"")</f>
        <v/>
      </c>
      <c r="BT333" s="940"/>
      <c r="BU333" s="13" t="s">
        <v>62</v>
      </c>
      <c r="BV333" s="518" t="str">
        <f>IF(AND(_A5="A-321N",'2025'!$L$4="FO",'2025'!$L$2=BV309),'2025DATA'!$C$26,"")</f>
        <v/>
      </c>
      <c r="BW333" s="518" t="str">
        <f>IF(AND(_A5="A-321N",'2025'!$L$4="FO",'2025'!$L$2=BW309),'2025DATA'!$D$26,"")</f>
        <v/>
      </c>
      <c r="BX333" s="518" t="str">
        <f>IF(AND(_A5="A-321N",'2025'!$L$4="FO",'2025'!$L$2=BX309),'2025DATA'!$E$26,"")</f>
        <v/>
      </c>
      <c r="BY333" s="518" t="str">
        <f>IF(AND(_A5="A-321N",'2025'!$L$4="FO",'2025'!$L$2=BY309),'2025DATA'!$F$26,"")</f>
        <v/>
      </c>
      <c r="BZ333" s="518" t="str">
        <f>IF(AND(_A5="A-321N",'2025'!$L$4="FO",'2025'!$L$2=BZ309),'2025DATA'!$G$26,"")</f>
        <v/>
      </c>
      <c r="CA333" s="518" t="str">
        <f>IF(AND(_A5="A-321N",'2025'!$L$4="FO",'2025'!$L$2=CA309),'2025DATA'!$H$26,"")</f>
        <v/>
      </c>
      <c r="CB333" s="518" t="str">
        <f>IF(AND(_A5="A-321N",'2025'!$L$4="FO",'2025'!$L$2=CB309),'2025DATA'!$I$26,"")</f>
        <v/>
      </c>
      <c r="CC333" s="518" t="str">
        <f>IF(AND(_A5="A-321N",'2025'!$L$4="FO",'2025'!$L$2=CC309),'2025DATA'!$J$26,"")</f>
        <v/>
      </c>
      <c r="CD333" s="518" t="str">
        <f>IF(AND(_A5="A-321N",'2025'!$L$4="FO",'2025'!$L$2=CD309),'2025DATA'!$K$26,"")</f>
        <v/>
      </c>
      <c r="CE333" s="518" t="str">
        <f>IF(AND(_A5="A-321N",'2025'!$L$4="FO",'2025'!$L$2=CE309),'2025DATA'!$L$26,"")</f>
        <v/>
      </c>
      <c r="CF333" s="518" t="str">
        <f>IF(AND(_A5="A-321N",'2025'!$L$4="FO",'2025'!$L$2=CF309),'2025DATA'!$M$26,"")</f>
        <v/>
      </c>
      <c r="CG333" s="520" t="str">
        <f>IF(AND(_A5="A-321N",'2025'!$L$4="FO",'2025'!$L$2=CG309),'2025DATA'!$N$26,"")</f>
        <v/>
      </c>
      <c r="CH333" s="940"/>
      <c r="CI333" s="13" t="s">
        <v>62</v>
      </c>
      <c r="CJ333" s="518" t="str">
        <f>IF(AND(_A6="A-321N",'2025'!$L$4="FO",'2025'!$L$2=CJ309),'2025DATA'!$C$26,"")</f>
        <v/>
      </c>
      <c r="CK333" s="518" t="str">
        <f>IF(AND(_A6="A-321N",'2025'!$L$4="FO",'2025'!$L$2=CK309),'2025DATA'!$D$26,"")</f>
        <v/>
      </c>
      <c r="CL333" s="518" t="str">
        <f>IF(AND(_A6="A-321N",'2025'!$L$4="FO",'2025'!$L$2=CL309),'2025DATA'!$E$26,"")</f>
        <v/>
      </c>
      <c r="CM333" s="518" t="str">
        <f>IF(AND(_A6="A-321N",'2025'!$L$4="FO",'2025'!$L$2=CM309),'2025DATA'!$F$26,"")</f>
        <v/>
      </c>
      <c r="CN333" s="518" t="str">
        <f>IF(AND(_A6="A-321N",'2025'!$L$4="FO",'2025'!$L$2=CN309),'2025DATA'!$G$26,"")</f>
        <v/>
      </c>
      <c r="CO333" s="518" t="str">
        <f>IF(AND(_A6="A-321N",'2025'!$L$4="FO",'2025'!$L$2=CO309),'2025DATA'!$H$26,"")</f>
        <v/>
      </c>
      <c r="CP333" s="518" t="str">
        <f>IF(AND(_A6="A-321N",'2025'!$L$4="FO",'2025'!$L$2=CP309),'2025DATA'!$I$26,"")</f>
        <v/>
      </c>
      <c r="CQ333" s="518" t="str">
        <f>IF(AND(_A6="A-321N",'2025'!$L$4="FO",'2025'!$L$2=CQ309),'2025DATA'!$J$26,"")</f>
        <v/>
      </c>
      <c r="CR333" s="518" t="str">
        <f>IF(AND(_A6="A-321N",'2025'!$L$4="FO",'2025'!$L$2=CR309),'2025DATA'!$K$26,"")</f>
        <v/>
      </c>
      <c r="CS333" s="518" t="str">
        <f>IF(AND(_A6="A-321N",'2025'!$L$4="FO",'2025'!$L$2=CS309),'2025DATA'!$L$26,"")</f>
        <v/>
      </c>
      <c r="CT333" s="518" t="str">
        <f>IF(AND(_A6="A-321N",'2025'!$L$4="FO",'2025'!$L$2=CT309),'2025DATA'!$M$26,"")</f>
        <v/>
      </c>
      <c r="CU333" s="520" t="str">
        <f>IF(AND(_A6="A-321N",'2025'!$L$4="FO",'2025'!$L$2=CU309),'2025DATA'!$N$26,"")</f>
        <v/>
      </c>
    </row>
    <row r="334" spans="16:99" x14ac:dyDescent="0.25">
      <c r="P334" s="940" t="s">
        <v>48</v>
      </c>
      <c r="Q334" s="13" t="s">
        <v>61</v>
      </c>
      <c r="R334" s="518" t="str">
        <f>IF(AND(_A1="A-321",'2025'!$L$4="CA",'2025'!$L$2=R309),'2025DATA'!$C$27,"")</f>
        <v/>
      </c>
      <c r="S334" s="518" t="str">
        <f>IF(AND(_A1="A-321",'2025'!$L$4="CA",'2025'!$L$2=S309),'2025DATA'!$D$27,"")</f>
        <v/>
      </c>
      <c r="T334" s="518" t="str">
        <f>IF(AND(_A1="A-321",'2025'!$L$4="CA",'2025'!$L$2=T309),'2025DATA'!$E$27,"")</f>
        <v/>
      </c>
      <c r="U334" s="518" t="str">
        <f>IF(AND(_A1="A-321",'2025'!$L$4="CA",'2025'!$L$2=U309),'2025DATA'!$F$27,"")</f>
        <v/>
      </c>
      <c r="V334" s="518" t="str">
        <f>IF(AND(_A1="A-321",'2025'!$L$4="CA",'2025'!$L$2=V309),'2025DATA'!$G$27,"")</f>
        <v/>
      </c>
      <c r="W334" s="518" t="str">
        <f>IF(AND(_A1="A-321",'2025'!$L$4="CA",'2025'!$L$2=W309),'2025DATA'!$H$27,"")</f>
        <v/>
      </c>
      <c r="X334" s="518" t="str">
        <f>IF(AND(_A1="A-321",'2025'!$L$4="CA",'2025'!$L$2=X309),'2025DATA'!$I$27,"")</f>
        <v/>
      </c>
      <c r="Y334" s="518" t="str">
        <f>IF(AND(_A1="A-321",'2025'!$L$4="CA",'2025'!$L$2=Y309),'2025DATA'!$J$27,"")</f>
        <v/>
      </c>
      <c r="Z334" s="518" t="str">
        <f>IF(AND(_A1="A-321",'2025'!$L$4="CA",'2025'!$L$2=Z309),'2025DATA'!$K$27,"")</f>
        <v/>
      </c>
      <c r="AA334" s="518" t="str">
        <f>IF(AND(_A1="A-321",'2025'!$L$4="CA",'2025'!$L$2=AA309),'2025DATA'!$L$27,"")</f>
        <v/>
      </c>
      <c r="AB334" s="518" t="str">
        <f>IF(AND(_A1="A-321",'2025'!$L$4="CA",'2025'!$L$2=AB309),'2025DATA'!$M$27,"")</f>
        <v/>
      </c>
      <c r="AC334" s="520" t="str">
        <f>IF(AND(_A1="A-321",'2025'!$L$4="CA",'2025'!$L$2=AC309),'2025DATA'!$N$27,"")</f>
        <v/>
      </c>
      <c r="AD334" s="940" t="s">
        <v>48</v>
      </c>
      <c r="AE334" s="13" t="s">
        <v>61</v>
      </c>
      <c r="AF334" s="518" t="str">
        <f>IF(AND(_A2="A-321",'2025'!$L$4="CA",'2025'!$L$2=AF309),'2025DATA'!$C$27,"")</f>
        <v/>
      </c>
      <c r="AG334" s="518" t="str">
        <f>IF(AND(_A2="A-321",'2025'!$L$4="CA",'2025'!$L$2=AG309),'2025DATA'!$D$27,"")</f>
        <v/>
      </c>
      <c r="AH334" s="518" t="str">
        <f>IF(AND(_A2="A-321",'2025'!$L$4="CA",'2025'!$L$2=AH309),'2025DATA'!$E$27,"")</f>
        <v/>
      </c>
      <c r="AI334" s="518" t="str">
        <f>IF(AND(_A2="A-321",'2025'!$L$4="CA",'2025'!$L$2=AI309),'2025DATA'!$F$27,"")</f>
        <v/>
      </c>
      <c r="AJ334" s="518" t="str">
        <f>IF(AND(_A2="A-321",'2025'!$L$4="CA",'2025'!$L$2=AJ309),'2025DATA'!$G$27,"")</f>
        <v/>
      </c>
      <c r="AK334" s="518" t="str">
        <f>IF(AND(_A2="A-321",'2025'!$L$4="CA",'2025'!$L$2=AK309),'2025DATA'!$H$27,"")</f>
        <v/>
      </c>
      <c r="AL334" s="518" t="str">
        <f>IF(AND(_A2="A-321",'2025'!$L$4="CA",'2025'!$L$2=AL309),'2025DATA'!$I$27,"")</f>
        <v/>
      </c>
      <c r="AM334" s="518" t="str">
        <f>IF(AND(_A2="A-321",'2025'!$L$4="CA",'2025'!$L$2=AM309),'2025DATA'!$J$27,"")</f>
        <v/>
      </c>
      <c r="AN334" s="518" t="str">
        <f>IF(AND(_A2="A-321",'2025'!$L$4="CA",'2025'!$L$2=AN309),'2025DATA'!$K$27,"")</f>
        <v/>
      </c>
      <c r="AO334" s="518" t="str">
        <f>IF(AND(_A2="A-321",'2025'!$L$4="CA",'2025'!$L$2=AO309),'2025DATA'!$L$27,"")</f>
        <v/>
      </c>
      <c r="AP334" s="518" t="str">
        <f>IF(AND(_A2="A-321",'2025'!$L$4="CA",'2025'!$L$2=AP309),'2025DATA'!$M$27,"")</f>
        <v/>
      </c>
      <c r="AQ334" s="520" t="str">
        <f>IF(AND(_A2="A-321",'2025'!$L$4="CA",'2025'!$L$2=AQ309),'2025DATA'!$N$27,"")</f>
        <v/>
      </c>
      <c r="AR334" s="940" t="s">
        <v>48</v>
      </c>
      <c r="AS334" s="13" t="s">
        <v>61</v>
      </c>
      <c r="AT334" s="518" t="str">
        <f>IF(AND(_A3="A-321",'2025'!$L$4="CA",'2025'!$L$2=AT309),'2025DATA'!$C$27,"")</f>
        <v/>
      </c>
      <c r="AU334" s="518" t="str">
        <f>IF(AND(_A3="A-321",'2025'!$L$4="CA",'2025'!$L$2=AU309),'2025DATA'!$D$27,"")</f>
        <v/>
      </c>
      <c r="AV334" s="518" t="str">
        <f>IF(AND(_A3="A-321",'2025'!$L$4="CA",'2025'!$L$2=AV309),'2025DATA'!$E$27,"")</f>
        <v/>
      </c>
      <c r="AW334" s="518" t="str">
        <f>IF(AND(_A3="A-321",'2025'!$L$4="CA",'2025'!$L$2=AW309),'2025DATA'!$F$27,"")</f>
        <v/>
      </c>
      <c r="AX334" s="518" t="str">
        <f>IF(AND(_A3="A-321",'2025'!$L$4="CA",'2025'!$L$2=AX309),'2025DATA'!$G$27,"")</f>
        <v/>
      </c>
      <c r="AY334" s="518" t="str">
        <f>IF(AND(_A3="A-321",'2025'!$L$4="CA",'2025'!$L$2=AY309),'2025DATA'!$H$27,"")</f>
        <v/>
      </c>
      <c r="AZ334" s="518" t="str">
        <f>IF(AND(_A3="A-321",'2025'!$L$4="CA",'2025'!$L$2=AZ309),'2025DATA'!$I$27,"")</f>
        <v/>
      </c>
      <c r="BA334" s="518" t="str">
        <f>IF(AND(_A3="A-321",'2025'!$L$4="CA",'2025'!$L$2=BA309),'2025DATA'!$J$27,"")</f>
        <v/>
      </c>
      <c r="BB334" s="518" t="str">
        <f>IF(AND(_A3="A-321",'2025'!$L$4="CA",'2025'!$L$2=BB309),'2025DATA'!$K$27,"")</f>
        <v/>
      </c>
      <c r="BC334" s="518" t="str">
        <f>IF(AND(_A3="A-321",'2025'!$L$4="CA",'2025'!$L$2=BC309),'2025DATA'!$L$27,"")</f>
        <v/>
      </c>
      <c r="BD334" s="518" t="str">
        <f>IF(AND(_A3="A-321",'2025'!$L$4="CA",'2025'!$L$2=BD309),'2025DATA'!$M$27,"")</f>
        <v/>
      </c>
      <c r="BE334" s="520" t="str">
        <f>IF(AND(_A3="A-321",'2025'!$L$4="CA",'2025'!$L$2=BE309),'2025DATA'!$N$27,"")</f>
        <v/>
      </c>
      <c r="BF334" s="940" t="s">
        <v>48</v>
      </c>
      <c r="BG334" s="13" t="s">
        <v>61</v>
      </c>
      <c r="BH334" s="518" t="str">
        <f>IF(AND(_A4="A-321",'2025'!$L$4="CA",'2025'!$L$2=BH309),'2025DATA'!$C$27,"")</f>
        <v/>
      </c>
      <c r="BI334" s="518" t="str">
        <f>IF(AND(_A4="A-321",'2025'!$L$4="CA",'2025'!$L$2=BI309),'2025DATA'!$D$27,"")</f>
        <v/>
      </c>
      <c r="BJ334" s="518" t="str">
        <f>IF(AND(_A4="A-321",'2025'!$L$4="CA",'2025'!$L$2=BJ309),'2025DATA'!$E$27,"")</f>
        <v/>
      </c>
      <c r="BK334" s="518" t="str">
        <f>IF(AND(_A4="A-321",'2025'!$L$4="CA",'2025'!$L$2=BK309),'2025DATA'!$F$27,"")</f>
        <v/>
      </c>
      <c r="BL334" s="518" t="str">
        <f>IF(AND(_A4="A-321",'2025'!$L$4="CA",'2025'!$L$2=BL309),'2025DATA'!$G$27,"")</f>
        <v/>
      </c>
      <c r="BM334" s="518" t="str">
        <f>IF(AND(_A4="A-321",'2025'!$L$4="CA",'2025'!$L$2=BM309),'2025DATA'!$H$27,"")</f>
        <v/>
      </c>
      <c r="BN334" s="518" t="str">
        <f>IF(AND(_A4="A-321",'2025'!$L$4="CA",'2025'!$L$2=BN309),'2025DATA'!$I$27,"")</f>
        <v/>
      </c>
      <c r="BO334" s="518" t="str">
        <f>IF(AND(_A4="A-321",'2025'!$L$4="CA",'2025'!$L$2=BO309),'2025DATA'!$J$27,"")</f>
        <v/>
      </c>
      <c r="BP334" s="518" t="str">
        <f>IF(AND(_A4="A-321",'2025'!$L$4="CA",'2025'!$L$2=BP309),'2025DATA'!$K$27,"")</f>
        <v/>
      </c>
      <c r="BQ334" s="518" t="str">
        <f>IF(AND(_A4="A-321",'2025'!$L$4="CA",'2025'!$L$2=BQ309),'2025DATA'!$L$27,"")</f>
        <v/>
      </c>
      <c r="BR334" s="518" t="str">
        <f>IF(AND(_A4="A-321",'2025'!$L$4="CA",'2025'!$L$2=BR309),'2025DATA'!$M$27,"")</f>
        <v/>
      </c>
      <c r="BS334" s="520" t="str">
        <f>IF(AND(_A4="A-321",'2025'!$L$4="CA",'2025'!$L$2=BS309),'2025DATA'!$N$27,"")</f>
        <v/>
      </c>
      <c r="BT334" s="940" t="s">
        <v>48</v>
      </c>
      <c r="BU334" s="13" t="s">
        <v>61</v>
      </c>
      <c r="BV334" s="518" t="str">
        <f>IF(AND(_A5="A-321",'2025'!$L$4="CA",'2025'!$L$2=BV309),'2025DATA'!$C$27,"")</f>
        <v/>
      </c>
      <c r="BW334" s="518" t="str">
        <f>IF(AND(_A5="A-321",'2025'!$L$4="CA",'2025'!$L$2=BW309),'2025DATA'!$D$27,"")</f>
        <v/>
      </c>
      <c r="BX334" s="518" t="str">
        <f>IF(AND(_A5="A-321",'2025'!$L$4="CA",'2025'!$L$2=BX309),'2025DATA'!$E$27,"")</f>
        <v/>
      </c>
      <c r="BY334" s="518" t="str">
        <f>IF(AND(_A5="A-321",'2025'!$L$4="CA",'2025'!$L$2=BY309),'2025DATA'!$F$27,"")</f>
        <v/>
      </c>
      <c r="BZ334" s="518" t="str">
        <f>IF(AND(_A5="A-321",'2025'!$L$4="CA",'2025'!$L$2=BZ309),'2025DATA'!$G$27,"")</f>
        <v/>
      </c>
      <c r="CA334" s="518" t="str">
        <f>IF(AND(_A5="A-321",'2025'!$L$4="CA",'2025'!$L$2=CA309),'2025DATA'!$H$27,"")</f>
        <v/>
      </c>
      <c r="CB334" s="518" t="str">
        <f>IF(AND(_A5="A-321",'2025'!$L$4="CA",'2025'!$L$2=CB309),'2025DATA'!$I$27,"")</f>
        <v/>
      </c>
      <c r="CC334" s="518" t="str">
        <f>IF(AND(_A5="A-321",'2025'!$L$4="CA",'2025'!$L$2=CC309),'2025DATA'!$J$27,"")</f>
        <v/>
      </c>
      <c r="CD334" s="518" t="str">
        <f>IF(AND(_A5="A-321",'2025'!$L$4="CA",'2025'!$L$2=CD309),'2025DATA'!$K$27,"")</f>
        <v/>
      </c>
      <c r="CE334" s="518" t="str">
        <f>IF(AND(_A5="A-321",'2025'!$L$4="CA",'2025'!$L$2=CE309),'2025DATA'!$L$27,"")</f>
        <v/>
      </c>
      <c r="CF334" s="518" t="str">
        <f>IF(AND(_A5="A-321",'2025'!$L$4="CA",'2025'!$L$2=CF309),'2025DATA'!$M$27,"")</f>
        <v/>
      </c>
      <c r="CG334" s="520" t="str">
        <f>IF(AND(_A5="A-321",'2025'!$L$4="CA",'2025'!$L$2=CG309),'2025DATA'!$N$27,"")</f>
        <v/>
      </c>
      <c r="CH334" s="940" t="s">
        <v>48</v>
      </c>
      <c r="CI334" s="13" t="s">
        <v>61</v>
      </c>
      <c r="CJ334" s="518" t="str">
        <f>IF(AND(_A6="A-321",'2025'!$L$4="CA",'2025'!$L$2=CJ309),'2025DATA'!$C$27,"")</f>
        <v/>
      </c>
      <c r="CK334" s="518" t="str">
        <f>IF(AND(_A6="A-321",'2025'!$L$4="CA",'2025'!$L$2=CK309),'2025DATA'!$D$27,"")</f>
        <v/>
      </c>
      <c r="CL334" s="518" t="str">
        <f>IF(AND(_A6="A-321",'2025'!$L$4="CA",'2025'!$L$2=CL309),'2025DATA'!$E$27,"")</f>
        <v/>
      </c>
      <c r="CM334" s="518" t="str">
        <f>IF(AND(_A6="A-321",'2025'!$L$4="CA",'2025'!$L$2=CM309),'2025DATA'!$F$27,"")</f>
        <v/>
      </c>
      <c r="CN334" s="518" t="str">
        <f>IF(AND(_A6="A-321",'2025'!$L$4="CA",'2025'!$L$2=CN309),'2025DATA'!$G$27,"")</f>
        <v/>
      </c>
      <c r="CO334" s="518" t="str">
        <f>IF(AND(_A6="A-321",'2025'!$L$4="CA",'2025'!$L$2=CO309),'2025DATA'!$H$27,"")</f>
        <v/>
      </c>
      <c r="CP334" s="518" t="str">
        <f>IF(AND(_A6="A-321",'2025'!$L$4="CA",'2025'!$L$2=CP309),'2025DATA'!$I$27,"")</f>
        <v/>
      </c>
      <c r="CQ334" s="518" t="str">
        <f>IF(AND(_A6="A-321",'2025'!$L$4="CA",'2025'!$L$2=CQ309),'2025DATA'!$J$27,"")</f>
        <v/>
      </c>
      <c r="CR334" s="518" t="str">
        <f>IF(AND(_A6="A-321",'2025'!$L$4="CA",'2025'!$L$2=CR309),'2025DATA'!$K$27,"")</f>
        <v/>
      </c>
      <c r="CS334" s="518" t="str">
        <f>IF(AND(_A6="A-321",'2025'!$L$4="CA",'2025'!$L$2=CS309),'2025DATA'!$L$27,"")</f>
        <v/>
      </c>
      <c r="CT334" s="518" t="str">
        <f>IF(AND(_A6="A-321",'2025'!$L$4="CA",'2025'!$L$2=CT309),'2025DATA'!$M$27,"")</f>
        <v/>
      </c>
      <c r="CU334" s="520" t="str">
        <f>IF(AND(_A6="A-321",'2025'!$L$4="CA",'2025'!$L$2=CU309),'2025DATA'!$N$27,"")</f>
        <v/>
      </c>
    </row>
    <row r="335" spans="16:99" x14ac:dyDescent="0.25">
      <c r="P335" s="940"/>
      <c r="Q335" s="13" t="s">
        <v>62</v>
      </c>
      <c r="R335" s="518" t="str">
        <f>IF(AND(_A1="A-321",'2025'!$L$4="FO",'2025'!$L$2=R309),'2025DATA'!$C$28,"")</f>
        <v/>
      </c>
      <c r="S335" s="518" t="str">
        <f>IF(AND(_A1="A-321",'2025'!$L$4="FO",'2025'!$L$2=S309),'2025DATA'!$D$28,"")</f>
        <v/>
      </c>
      <c r="T335" s="518" t="str">
        <f>IF(AND(_A1="A-321",'2025'!$L$4="FO",'2025'!$L$2=T309),'2025DATA'!$E$28,"")</f>
        <v/>
      </c>
      <c r="U335" s="518" t="str">
        <f>IF(AND(_A1="A-321",'2025'!$L$4="FO",'2025'!$L$2=U309),'2025DATA'!$F$28,"")</f>
        <v/>
      </c>
      <c r="V335" s="518" t="str">
        <f>IF(AND(_A1="A-321",'2025'!$L$4="FO",'2025'!$L$2=V309),'2025DATA'!$G$28,"")</f>
        <v/>
      </c>
      <c r="W335" s="518" t="str">
        <f>IF(AND(_A1="A-321",'2025'!$L$4="FO",'2025'!$L$2=W309),'2025DATA'!$H$28,"")</f>
        <v/>
      </c>
      <c r="X335" s="518" t="str">
        <f>IF(AND(_A1="A-321",'2025'!$L$4="FO",'2025'!$L$2=X309),'2025DATA'!$I$28,"")</f>
        <v/>
      </c>
      <c r="Y335" s="518" t="str">
        <f>IF(AND(_A1="A-321",'2025'!$L$4="FO",'2025'!$L$2=Y309),'2025DATA'!$J$28,"")</f>
        <v/>
      </c>
      <c r="Z335" s="518" t="str">
        <f>IF(AND(_A1="A-321",'2025'!$L$4="FO",'2025'!$L$2=Z309),'2025DATA'!$K$28,"")</f>
        <v/>
      </c>
      <c r="AA335" s="518" t="str">
        <f>IF(AND(_A1="A-321",'2025'!$L$4="FO",'2025'!$L$2=AA309),'2025DATA'!$L$28,"")</f>
        <v/>
      </c>
      <c r="AB335" s="518" t="str">
        <f>IF(AND(_A1="A-321",'2025'!$L$4="FO",'2025'!$L$2=AB309),'2025DATA'!$M$28,"")</f>
        <v/>
      </c>
      <c r="AC335" s="520" t="str">
        <f>IF(AND(_A1="A-321",'2025'!$L$4="FO",'2025'!$L$2=AC309),'2025DATA'!$N$28,"")</f>
        <v/>
      </c>
      <c r="AD335" s="940"/>
      <c r="AE335" s="13" t="s">
        <v>62</v>
      </c>
      <c r="AF335" s="518" t="str">
        <f>IF(AND(_A2="A-321",'2025'!$L$4="FO",'2025'!$L$2=AF309),'2025DATA'!$C$28,"")</f>
        <v/>
      </c>
      <c r="AG335" s="518" t="str">
        <f>IF(AND(_A2="A-321",'2025'!$L$4="FO",'2025'!$L$2=AG309),'2025DATA'!$D$28,"")</f>
        <v/>
      </c>
      <c r="AH335" s="518" t="str">
        <f>IF(AND(_A2="A-321",'2025'!$L$4="FO",'2025'!$L$2=AH309),'2025DATA'!$E$28,"")</f>
        <v/>
      </c>
      <c r="AI335" s="518" t="str">
        <f>IF(AND(_A2="A-321",'2025'!$L$4="FO",'2025'!$L$2=AI309),'2025DATA'!$F$28,"")</f>
        <v/>
      </c>
      <c r="AJ335" s="518" t="str">
        <f>IF(AND(_A2="A-321",'2025'!$L$4="FO",'2025'!$L$2=AJ309),'2025DATA'!$G$28,"")</f>
        <v/>
      </c>
      <c r="AK335" s="518" t="str">
        <f>IF(AND(_A2="A-321",'2025'!$L$4="FO",'2025'!$L$2=AK309),'2025DATA'!$H$28,"")</f>
        <v/>
      </c>
      <c r="AL335" s="518" t="str">
        <f>IF(AND(_A2="A-321",'2025'!$L$4="FO",'2025'!$L$2=AL309),'2025DATA'!$I$28,"")</f>
        <v/>
      </c>
      <c r="AM335" s="518" t="str">
        <f>IF(AND(_A2="A-321",'2025'!$L$4="FO",'2025'!$L$2=AM309),'2025DATA'!$J$28,"")</f>
        <v/>
      </c>
      <c r="AN335" s="518" t="str">
        <f>IF(AND(_A2="A-321",'2025'!$L$4="FO",'2025'!$L$2=AN309),'2025DATA'!$K$28,"")</f>
        <v/>
      </c>
      <c r="AO335" s="518" t="str">
        <f>IF(AND(_A2="A-321",'2025'!$L$4="FO",'2025'!$L$2=AO309),'2025DATA'!$L$28,"")</f>
        <v/>
      </c>
      <c r="AP335" s="518" t="str">
        <f>IF(AND(_A2="A-321",'2025'!$L$4="FO",'2025'!$L$2=AP309),'2025DATA'!$M$28,"")</f>
        <v/>
      </c>
      <c r="AQ335" s="520" t="str">
        <f>IF(AND(_A2="A-321",'2025'!$L$4="FO",'2025'!$L$2=AQ309),'2025DATA'!$N$28,"")</f>
        <v/>
      </c>
      <c r="AR335" s="940"/>
      <c r="AS335" s="13" t="s">
        <v>62</v>
      </c>
      <c r="AT335" s="518" t="str">
        <f>IF(AND(_A3="A-321",'2025'!$L$4="FO",'2025'!$L$2=AT309),'2025DATA'!$C$28,"")</f>
        <v/>
      </c>
      <c r="AU335" s="518" t="str">
        <f>IF(AND(_A3="A-321",'2025'!$L$4="FO",'2025'!$L$2=AU309),'2025DATA'!$D$28,"")</f>
        <v/>
      </c>
      <c r="AV335" s="518" t="str">
        <f>IF(AND(_A3="A-321",'2025'!$L$4="FO",'2025'!$L$2=AV309),'2025DATA'!$E$28,"")</f>
        <v/>
      </c>
      <c r="AW335" s="518" t="str">
        <f>IF(AND(_A3="A-321",'2025'!$L$4="FO",'2025'!$L$2=AW309),'2025DATA'!$F$28,"")</f>
        <v/>
      </c>
      <c r="AX335" s="518" t="str">
        <f>IF(AND(_A3="A-321",'2025'!$L$4="FO",'2025'!$L$2=AX309),'2025DATA'!$G$28,"")</f>
        <v/>
      </c>
      <c r="AY335" s="518" t="str">
        <f>IF(AND(_A3="A-321",'2025'!$L$4="FO",'2025'!$L$2=AY309),'2025DATA'!$H$28,"")</f>
        <v/>
      </c>
      <c r="AZ335" s="518" t="str">
        <f>IF(AND(_A3="A-321",'2025'!$L$4="FO",'2025'!$L$2=AZ309),'2025DATA'!$I$28,"")</f>
        <v/>
      </c>
      <c r="BA335" s="518" t="str">
        <f>IF(AND(_A3="A-321",'2025'!$L$4="FO",'2025'!$L$2=BA309),'2025DATA'!$J$28,"")</f>
        <v/>
      </c>
      <c r="BB335" s="518" t="str">
        <f>IF(AND(_A3="A-321",'2025'!$L$4="FO",'2025'!$L$2=BB309),'2025DATA'!$K$28,"")</f>
        <v/>
      </c>
      <c r="BC335" s="518" t="str">
        <f>IF(AND(_A3="A-321",'2025'!$L$4="FO",'2025'!$L$2=BC309),'2025DATA'!$L$28,"")</f>
        <v/>
      </c>
      <c r="BD335" s="518" t="str">
        <f>IF(AND(_A3="A-321",'2025'!$L$4="FO",'2025'!$L$2=BD309),'2025DATA'!$M$28,"")</f>
        <v/>
      </c>
      <c r="BE335" s="520" t="str">
        <f>IF(AND(_A3="A-321",'2025'!$L$4="FO",'2025'!$L$2=BE309),'2025DATA'!$N$28,"")</f>
        <v/>
      </c>
      <c r="BF335" s="940"/>
      <c r="BG335" s="13" t="s">
        <v>62</v>
      </c>
      <c r="BH335" s="518" t="str">
        <f>IF(AND(_A4="A-321",'2025'!$L$4="FO",'2025'!$L$2=BH309),'2025DATA'!$C$28,"")</f>
        <v/>
      </c>
      <c r="BI335" s="518" t="str">
        <f>IF(AND(_A4="A-321",'2025'!$L$4="FO",'2025'!$L$2=BI309),'2025DATA'!$D$28,"")</f>
        <v/>
      </c>
      <c r="BJ335" s="518" t="str">
        <f>IF(AND(_A4="A-321",'2025'!$L$4="FO",'2025'!$L$2=BJ309),'2025DATA'!$E$28,"")</f>
        <v/>
      </c>
      <c r="BK335" s="518" t="str">
        <f>IF(AND(_A4="A-321",'2025'!$L$4="FO",'2025'!$L$2=BK309),'2025DATA'!$F$28,"")</f>
        <v/>
      </c>
      <c r="BL335" s="518" t="str">
        <f>IF(AND(_A4="A-321",'2025'!$L$4="FO",'2025'!$L$2=BL309),'2025DATA'!$G$28,"")</f>
        <v/>
      </c>
      <c r="BM335" s="518" t="str">
        <f>IF(AND(_A4="A-321",'2025'!$L$4="FO",'2025'!$L$2=BM309),'2025DATA'!$H$28,"")</f>
        <v/>
      </c>
      <c r="BN335" s="518" t="str">
        <f>IF(AND(_A4="A-321",'2025'!$L$4="FO",'2025'!$L$2=BN309),'2025DATA'!$I$28,"")</f>
        <v/>
      </c>
      <c r="BO335" s="518" t="str">
        <f>IF(AND(_A4="A-321",'2025'!$L$4="FO",'2025'!$L$2=BO309),'2025DATA'!$J$28,"")</f>
        <v/>
      </c>
      <c r="BP335" s="518" t="str">
        <f>IF(AND(_A4="A-321",'2025'!$L$4="FO",'2025'!$L$2=BP309),'2025DATA'!$K$28,"")</f>
        <v/>
      </c>
      <c r="BQ335" s="518" t="str">
        <f>IF(AND(_A4="A-321",'2025'!$L$4="FO",'2025'!$L$2=BQ309),'2025DATA'!$L$28,"")</f>
        <v/>
      </c>
      <c r="BR335" s="518" t="str">
        <f>IF(AND(_A4="A-321",'2025'!$L$4="FO",'2025'!$L$2=BR309),'2025DATA'!$M$28,"")</f>
        <v/>
      </c>
      <c r="BS335" s="520" t="str">
        <f>IF(AND(_A4="A-321",'2025'!$L$4="FO",'2025'!$L$2=BS309),'2025DATA'!$N$28,"")</f>
        <v/>
      </c>
      <c r="BT335" s="940"/>
      <c r="BU335" s="13" t="s">
        <v>62</v>
      </c>
      <c r="BV335" s="518" t="str">
        <f>IF(AND(_A5="A-321",'2025'!$L$4="FO",'2025'!$L$2=BV309),'2025DATA'!$C$28,"")</f>
        <v/>
      </c>
      <c r="BW335" s="518" t="str">
        <f>IF(AND(_A5="A-321",'2025'!$L$4="FO",'2025'!$L$2=BW309),'2025DATA'!$D$28,"")</f>
        <v/>
      </c>
      <c r="BX335" s="518" t="str">
        <f>IF(AND(_A5="A-321",'2025'!$L$4="FO",'2025'!$L$2=BX309),'2025DATA'!$E$28,"")</f>
        <v/>
      </c>
      <c r="BY335" s="518" t="str">
        <f>IF(AND(_A5="A-321",'2025'!$L$4="FO",'2025'!$L$2=BY309),'2025DATA'!$F$28,"")</f>
        <v/>
      </c>
      <c r="BZ335" s="518" t="str">
        <f>IF(AND(_A5="A-321",'2025'!$L$4="FO",'2025'!$L$2=BZ309),'2025DATA'!$G$28,"")</f>
        <v/>
      </c>
      <c r="CA335" s="518" t="str">
        <f>IF(AND(_A5="A-321",'2025'!$L$4="FO",'2025'!$L$2=CA309),'2025DATA'!$H$28,"")</f>
        <v/>
      </c>
      <c r="CB335" s="518" t="str">
        <f>IF(AND(_A5="A-321",'2025'!$L$4="FO",'2025'!$L$2=CB309),'2025DATA'!$I$28,"")</f>
        <v/>
      </c>
      <c r="CC335" s="518" t="str">
        <f>IF(AND(_A5="A-321",'2025'!$L$4="FO",'2025'!$L$2=CC309),'2025DATA'!$J$28,"")</f>
        <v/>
      </c>
      <c r="CD335" s="518" t="str">
        <f>IF(AND(_A5="A-321",'2025'!$L$4="FO",'2025'!$L$2=CD309),'2025DATA'!$K$28,"")</f>
        <v/>
      </c>
      <c r="CE335" s="518" t="str">
        <f>IF(AND(_A5="A-321",'2025'!$L$4="FO",'2025'!$L$2=CE309),'2025DATA'!$L$28,"")</f>
        <v/>
      </c>
      <c r="CF335" s="518" t="str">
        <f>IF(AND(_A5="A-321",'2025'!$L$4="FO",'2025'!$L$2=CF309),'2025DATA'!$M$28,"")</f>
        <v/>
      </c>
      <c r="CG335" s="520" t="str">
        <f>IF(AND(_A5="A-321",'2025'!$L$4="FO",'2025'!$L$2=CG309),'2025DATA'!$N$28,"")</f>
        <v/>
      </c>
      <c r="CH335" s="940"/>
      <c r="CI335" s="13" t="s">
        <v>62</v>
      </c>
      <c r="CJ335" s="518" t="str">
        <f>IF(AND(_A6="A-321",'2025'!$L$4="FO",'2025'!$L$2=CJ309),'2025DATA'!$C$28,"")</f>
        <v/>
      </c>
      <c r="CK335" s="518" t="str">
        <f>IF(AND(_A6="A-321",'2025'!$L$4="FO",'2025'!$L$2=CK309),'2025DATA'!$D$28,"")</f>
        <v/>
      </c>
      <c r="CL335" s="518" t="str">
        <f>IF(AND(_A6="A-321",'2025'!$L$4="FO",'2025'!$L$2=CL309),'2025DATA'!$E$28,"")</f>
        <v/>
      </c>
      <c r="CM335" s="518" t="str">
        <f>IF(AND(_A6="A-321",'2025'!$L$4="FO",'2025'!$L$2=CM309),'2025DATA'!$F$28,"")</f>
        <v/>
      </c>
      <c r="CN335" s="518" t="str">
        <f>IF(AND(_A6="A-321",'2025'!$L$4="FO",'2025'!$L$2=CN309),'2025DATA'!$G$28,"")</f>
        <v/>
      </c>
      <c r="CO335" s="518" t="str">
        <f>IF(AND(_A6="A-321",'2025'!$L$4="FO",'2025'!$L$2=CO309),'2025DATA'!$H$28,"")</f>
        <v/>
      </c>
      <c r="CP335" s="518" t="str">
        <f>IF(AND(_A6="A-321",'2025'!$L$4="FO",'2025'!$L$2=CP309),'2025DATA'!$I$28,"")</f>
        <v/>
      </c>
      <c r="CQ335" s="518" t="str">
        <f>IF(AND(_A6="A-321",'2025'!$L$4="FO",'2025'!$L$2=CQ309),'2025DATA'!$J$28,"")</f>
        <v/>
      </c>
      <c r="CR335" s="518" t="str">
        <f>IF(AND(_A6="A-321",'2025'!$L$4="FO",'2025'!$L$2=CR309),'2025DATA'!$K$28,"")</f>
        <v/>
      </c>
      <c r="CS335" s="518" t="str">
        <f>IF(AND(_A6="A-321",'2025'!$L$4="FO",'2025'!$L$2=CS309),'2025DATA'!$L$28,"")</f>
        <v/>
      </c>
      <c r="CT335" s="518" t="str">
        <f>IF(AND(_A6="A-321",'2025'!$L$4="FO",'2025'!$L$2=CT309),'2025DATA'!$M$28,"")</f>
        <v/>
      </c>
      <c r="CU335" s="520" t="str">
        <f>IF(AND(_A6="A-321",'2025'!$L$4="FO",'2025'!$L$2=CU309),'2025DATA'!$N$28,"")</f>
        <v/>
      </c>
    </row>
    <row r="336" spans="16:99" x14ac:dyDescent="0.25">
      <c r="P336" s="940" t="s">
        <v>70</v>
      </c>
      <c r="Q336" s="13" t="s">
        <v>61</v>
      </c>
      <c r="R336" s="518" t="str">
        <f>IF(AND(_A1="A-320",'2025'!$L$4="CA",'2025'!$L$2=R309),'2025DATA'!$C$29,"")</f>
        <v/>
      </c>
      <c r="S336" s="518" t="str">
        <f>IF(AND(_A1="A-320",'2025'!$L$4="CA",'2025'!$L$2=S309),'2025DATA'!$D$29,"")</f>
        <v/>
      </c>
      <c r="T336" s="518" t="str">
        <f>IF(AND(_A1="A-320",'2025'!$L$4="CA",'2025'!$L$2=T309),'2025DATA'!$E$29,"")</f>
        <v/>
      </c>
      <c r="U336" s="518" t="str">
        <f>IF(AND(_A1="A-320",'2025'!$L$4="CA",'2025'!$L$2=U309),'2025DATA'!$F$29,"")</f>
        <v/>
      </c>
      <c r="V336" s="518" t="str">
        <f>IF(AND(_A1="A-320",'2025'!$L$4="CA",'2025'!$L$2=V309),'2025DATA'!$G$29,"")</f>
        <v/>
      </c>
      <c r="W336" s="518" t="str">
        <f>IF(AND(_A1="A-320",'2025'!$L$4="CA",'2025'!$L$2=W309),'2025DATA'!$H$29,"")</f>
        <v/>
      </c>
      <c r="X336" s="518" t="str">
        <f>IF(AND(_A1="A-320",'2025'!$L$4="CA",'2025'!$L$2=X309),'2025DATA'!$I$29,"")</f>
        <v/>
      </c>
      <c r="Y336" s="518" t="str">
        <f>IF(AND(_A1="A-320",'2025'!$L$4="CA",'2025'!$L$2=Y309),'2025DATA'!$J$29,"")</f>
        <v/>
      </c>
      <c r="Z336" s="518" t="str">
        <f>IF(AND(_A1="A-320",'2025'!$L$4="CA",'2025'!$L$2=Z309),'2025DATA'!$K$29,"")</f>
        <v/>
      </c>
      <c r="AA336" s="518" t="str">
        <f>IF(AND(_A1="A-320",'2025'!$L$4="CA",'2025'!$L$2=AA309),'2025DATA'!$L$29,"")</f>
        <v/>
      </c>
      <c r="AB336" s="518" t="str">
        <f>IF(AND(_A1="A-320",'2025'!$L$4="CA",'2025'!$L$2=AB309),'2025DATA'!$M$29,"")</f>
        <v/>
      </c>
      <c r="AC336" s="520" t="str">
        <f>IF(AND(_A1="A-320",'2025'!$L$4="CA",'2025'!$L$2=AC309),'2025DATA'!$N$29,"")</f>
        <v/>
      </c>
      <c r="AD336" s="940" t="s">
        <v>70</v>
      </c>
      <c r="AE336" s="13" t="s">
        <v>61</v>
      </c>
      <c r="AF336" s="518" t="str">
        <f>IF(AND(_A2="A-320",'2025'!$L$4="CA",'2025'!$L$2=AF309),'2025DATA'!$C$29,"")</f>
        <v/>
      </c>
      <c r="AG336" s="518" t="str">
        <f>IF(AND(_A2="A-320",'2025'!$L$4="CA",'2025'!$L$2=AG309),'2025DATA'!$D$29,"")</f>
        <v/>
      </c>
      <c r="AH336" s="518" t="str">
        <f>IF(AND(_A2="A-320",'2025'!$L$4="CA",'2025'!$L$2=AH309),'2025DATA'!$E$29,"")</f>
        <v/>
      </c>
      <c r="AI336" s="518" t="str">
        <f>IF(AND(_A2="A-320",'2025'!$L$4="CA",'2025'!$L$2=AI309),'2025DATA'!$F$29,"")</f>
        <v/>
      </c>
      <c r="AJ336" s="518" t="str">
        <f>IF(AND(_A2="A-320",'2025'!$L$4="CA",'2025'!$L$2=AJ309),'2025DATA'!$G$29,"")</f>
        <v/>
      </c>
      <c r="AK336" s="518" t="str">
        <f>IF(AND(_A2="A-320",'2025'!$L$4="CA",'2025'!$L$2=AK309),'2025DATA'!$H$29,"")</f>
        <v/>
      </c>
      <c r="AL336" s="518" t="str">
        <f>IF(AND(_A2="A-320",'2025'!$L$4="CA",'2025'!$L$2=AL309),'2025DATA'!$I$29,"")</f>
        <v/>
      </c>
      <c r="AM336" s="518" t="str">
        <f>IF(AND(_A2="A-320",'2025'!$L$4="CA",'2025'!$L$2=AM309),'2025DATA'!$J$29,"")</f>
        <v/>
      </c>
      <c r="AN336" s="518" t="str">
        <f>IF(AND(_A2="A-320",'2025'!$L$4="CA",'2025'!$L$2=AN309),'2025DATA'!$K$29,"")</f>
        <v/>
      </c>
      <c r="AO336" s="518" t="str">
        <f>IF(AND(_A2="A-320",'2025'!$L$4="CA",'2025'!$L$2=AO309),'2025DATA'!$L$29,"")</f>
        <v/>
      </c>
      <c r="AP336" s="518" t="str">
        <f>IF(AND(_A2="A-320",'2025'!$L$4="CA",'2025'!$L$2=AP309),'2025DATA'!$M$29,"")</f>
        <v/>
      </c>
      <c r="AQ336" s="520" t="str">
        <f>IF(AND(_A2="A-320",'2025'!$L$4="CA",'2025'!$L$2=AQ309),'2025DATA'!$N$29,"")</f>
        <v/>
      </c>
      <c r="AR336" s="940" t="s">
        <v>70</v>
      </c>
      <c r="AS336" s="13" t="s">
        <v>61</v>
      </c>
      <c r="AT336" s="518" t="str">
        <f>IF(AND(_A3="A-320",'2025'!$L$4="CA",'2025'!$L$2=AT309),'2025DATA'!$C$29,"")</f>
        <v/>
      </c>
      <c r="AU336" s="518" t="str">
        <f>IF(AND(_A3="A-320",'2025'!$L$4="CA",'2025'!$L$2=AU309),'2025DATA'!$D$29,"")</f>
        <v/>
      </c>
      <c r="AV336" s="518" t="str">
        <f>IF(AND(_A3="A-320",'2025'!$L$4="CA",'2025'!$L$2=AV309),'2025DATA'!$E$29,"")</f>
        <v/>
      </c>
      <c r="AW336" s="518" t="str">
        <f>IF(AND(_A3="A-320",'2025'!$L$4="CA",'2025'!$L$2=AW309),'2025DATA'!$F$29,"")</f>
        <v/>
      </c>
      <c r="AX336" s="518" t="str">
        <f>IF(AND(_A3="A-320",'2025'!$L$4="CA",'2025'!$L$2=AX309),'2025DATA'!$G$29,"")</f>
        <v/>
      </c>
      <c r="AY336" s="518" t="str">
        <f>IF(AND(_A3="A-320",'2025'!$L$4="CA",'2025'!$L$2=AY309),'2025DATA'!$H$29,"")</f>
        <v/>
      </c>
      <c r="AZ336" s="518" t="str">
        <f>IF(AND(_A3="A-320",'2025'!$L$4="CA",'2025'!$L$2=AZ309),'2025DATA'!$I$29,"")</f>
        <v/>
      </c>
      <c r="BA336" s="518" t="str">
        <f>IF(AND(_A3="A-320",'2025'!$L$4="CA",'2025'!$L$2=BA309),'2025DATA'!$J$29,"")</f>
        <v/>
      </c>
      <c r="BB336" s="518" t="str">
        <f>IF(AND(_A3="A-320",'2025'!$L$4="CA",'2025'!$L$2=BB309),'2025DATA'!$K$29,"")</f>
        <v/>
      </c>
      <c r="BC336" s="518" t="str">
        <f>IF(AND(_A3="A-320",'2025'!$L$4="CA",'2025'!$L$2=BC309),'2025DATA'!$L$29,"")</f>
        <v/>
      </c>
      <c r="BD336" s="518" t="str">
        <f>IF(AND(_A3="A-320",'2025'!$L$4="CA",'2025'!$L$2=BD309),'2025DATA'!$M$29,"")</f>
        <v/>
      </c>
      <c r="BE336" s="520" t="str">
        <f>IF(AND(_A3="A-320",'2025'!$L$4="CA",'2025'!$L$2=BE309),'2025DATA'!$N$29,"")</f>
        <v/>
      </c>
      <c r="BF336" s="940" t="s">
        <v>70</v>
      </c>
      <c r="BG336" s="13" t="s">
        <v>61</v>
      </c>
      <c r="BH336" s="518" t="str">
        <f>IF(AND(_A4="A-320",'2025'!$L$4="CA",'2025'!$L$2=BH309),'2025DATA'!$C$29,"")</f>
        <v/>
      </c>
      <c r="BI336" s="518" t="str">
        <f>IF(AND(_A4="A-320",'2025'!$L$4="CA",'2025'!$L$2=BI309),'2025DATA'!$D$29,"")</f>
        <v/>
      </c>
      <c r="BJ336" s="518" t="str">
        <f>IF(AND(_A4="A-320",'2025'!$L$4="CA",'2025'!$L$2=BJ309),'2025DATA'!$E$29,"")</f>
        <v/>
      </c>
      <c r="BK336" s="518" t="str">
        <f>IF(AND(_A4="A-320",'2025'!$L$4="CA",'2025'!$L$2=BK309),'2025DATA'!$F$29,"")</f>
        <v/>
      </c>
      <c r="BL336" s="518" t="str">
        <f>IF(AND(_A4="A-320",'2025'!$L$4="CA",'2025'!$L$2=BL309),'2025DATA'!$G$29,"")</f>
        <v/>
      </c>
      <c r="BM336" s="518" t="str">
        <f>IF(AND(_A4="A-320",'2025'!$L$4="CA",'2025'!$L$2=BM309),'2025DATA'!$H$29,"")</f>
        <v/>
      </c>
      <c r="BN336" s="518" t="str">
        <f>IF(AND(_A4="A-320",'2025'!$L$4="CA",'2025'!$L$2=BN309),'2025DATA'!$I$29,"")</f>
        <v/>
      </c>
      <c r="BO336" s="518" t="str">
        <f>IF(AND(_A4="A-320",'2025'!$L$4="CA",'2025'!$L$2=BO309),'2025DATA'!$J$29,"")</f>
        <v/>
      </c>
      <c r="BP336" s="518" t="str">
        <f>IF(AND(_A4="A-320",'2025'!$L$4="CA",'2025'!$L$2=BP309),'2025DATA'!$K$29,"")</f>
        <v/>
      </c>
      <c r="BQ336" s="518" t="str">
        <f>IF(AND(_A4="A-320",'2025'!$L$4="CA",'2025'!$L$2=BQ309),'2025DATA'!$L$29,"")</f>
        <v/>
      </c>
      <c r="BR336" s="518" t="str">
        <f>IF(AND(_A4="A-320",'2025'!$L$4="CA",'2025'!$L$2=BR309),'2025DATA'!$M$29,"")</f>
        <v/>
      </c>
      <c r="BS336" s="520" t="str">
        <f>IF(AND(_A4="A-320",'2025'!$L$4="CA",'2025'!$L$2=BS309),'2025DATA'!$N$29,"")</f>
        <v/>
      </c>
      <c r="BT336" s="940" t="s">
        <v>70</v>
      </c>
      <c r="BU336" s="13" t="s">
        <v>61</v>
      </c>
      <c r="BV336" s="518" t="str">
        <f>IF(AND(_A5="A-320",'2025'!$L$4="CA",'2025'!$L$2=BV309),'2025DATA'!$C$29,"")</f>
        <v/>
      </c>
      <c r="BW336" s="518" t="str">
        <f>IF(AND(_A5="A-320",'2025'!$L$4="CA",'2025'!$L$2=BW309),'2025DATA'!$D$29,"")</f>
        <v/>
      </c>
      <c r="BX336" s="518" t="str">
        <f>IF(AND(_A5="A-320",'2025'!$L$4="CA",'2025'!$L$2=BX309),'2025DATA'!$E$29,"")</f>
        <v/>
      </c>
      <c r="BY336" s="518" t="str">
        <f>IF(AND(_A5="A-320",'2025'!$L$4="CA",'2025'!$L$2=BY309),'2025DATA'!$F$29,"")</f>
        <v/>
      </c>
      <c r="BZ336" s="518" t="str">
        <f>IF(AND(_A5="A-320",'2025'!$L$4="CA",'2025'!$L$2=BZ309),'2025DATA'!$G$29,"")</f>
        <v/>
      </c>
      <c r="CA336" s="518" t="str">
        <f>IF(AND(_A5="A-320",'2025'!$L$4="CA",'2025'!$L$2=CA309),'2025DATA'!$H$29,"")</f>
        <v/>
      </c>
      <c r="CB336" s="518" t="str">
        <f>IF(AND(_A5="A-320",'2025'!$L$4="CA",'2025'!$L$2=CB309),'2025DATA'!$I$29,"")</f>
        <v/>
      </c>
      <c r="CC336" s="518" t="str">
        <f>IF(AND(_A5="A-320",'2025'!$L$4="CA",'2025'!$L$2=CC309),'2025DATA'!$J$29,"")</f>
        <v/>
      </c>
      <c r="CD336" s="518" t="str">
        <f>IF(AND(_A5="A-320",'2025'!$L$4="CA",'2025'!$L$2=CD309),'2025DATA'!$K$29,"")</f>
        <v/>
      </c>
      <c r="CE336" s="518" t="str">
        <f>IF(AND(_A5="A-320",'2025'!$L$4="CA",'2025'!$L$2=CE309),'2025DATA'!$L$29,"")</f>
        <v/>
      </c>
      <c r="CF336" s="518" t="str">
        <f>IF(AND(_A5="A-320",'2025'!$L$4="CA",'2025'!$L$2=CF309),'2025DATA'!$M$29,"")</f>
        <v/>
      </c>
      <c r="CG336" s="520" t="str">
        <f>IF(AND(_A5="A-320",'2025'!$L$4="CA",'2025'!$L$2=CG309),'2025DATA'!$N$29,"")</f>
        <v/>
      </c>
      <c r="CH336" s="940" t="s">
        <v>70</v>
      </c>
      <c r="CI336" s="13" t="s">
        <v>61</v>
      </c>
      <c r="CJ336" s="518" t="str">
        <f>IF(AND(_A6="A-320",'2025'!$L$4="CA",'2025'!$L$2=CJ309),'2025DATA'!$C$29,"")</f>
        <v/>
      </c>
      <c r="CK336" s="518" t="str">
        <f>IF(AND(_A6="A-320",'2025'!$L$4="CA",'2025'!$L$2=CK309),'2025DATA'!$D$29,"")</f>
        <v/>
      </c>
      <c r="CL336" s="518" t="str">
        <f>IF(AND(_A6="A-320",'2025'!$L$4="CA",'2025'!$L$2=CL309),'2025DATA'!$E$29,"")</f>
        <v/>
      </c>
      <c r="CM336" s="518" t="str">
        <f>IF(AND(_A6="A-320",'2025'!$L$4="CA",'2025'!$L$2=CM309),'2025DATA'!$F$29,"")</f>
        <v/>
      </c>
      <c r="CN336" s="518" t="str">
        <f>IF(AND(_A6="A-320",'2025'!$L$4="CA",'2025'!$L$2=CN309),'2025DATA'!$G$29,"")</f>
        <v/>
      </c>
      <c r="CO336" s="518" t="str">
        <f>IF(AND(_A6="A-320",'2025'!$L$4="CA",'2025'!$L$2=CO309),'2025DATA'!$H$29,"")</f>
        <v/>
      </c>
      <c r="CP336" s="518" t="str">
        <f>IF(AND(_A6="A-320",'2025'!$L$4="CA",'2025'!$L$2=CP309),'2025DATA'!$I$29,"")</f>
        <v/>
      </c>
      <c r="CQ336" s="518" t="str">
        <f>IF(AND(_A6="A-320",'2025'!$L$4="CA",'2025'!$L$2=CQ309),'2025DATA'!$J$29,"")</f>
        <v/>
      </c>
      <c r="CR336" s="518" t="str">
        <f>IF(AND(_A6="A-320",'2025'!$L$4="CA",'2025'!$L$2=CR309),'2025DATA'!$K$29,"")</f>
        <v/>
      </c>
      <c r="CS336" s="518" t="str">
        <f>IF(AND(_A6="A-320",'2025'!$L$4="CA",'2025'!$L$2=CS309),'2025DATA'!$L$29,"")</f>
        <v/>
      </c>
      <c r="CT336" s="518" t="str">
        <f>IF(AND(_A6="A-320",'2025'!$L$4="CA",'2025'!$L$2=CT309),'2025DATA'!$M$29,"")</f>
        <v/>
      </c>
      <c r="CU336" s="520" t="str">
        <f>IF(AND(_A6="A-320",'2025'!$L$4="CA",'2025'!$L$2=CU309),'2025DATA'!$N$29,"")</f>
        <v/>
      </c>
    </row>
    <row r="337" spans="16:99" x14ac:dyDescent="0.25">
      <c r="P337" s="940"/>
      <c r="Q337" s="13" t="s">
        <v>62</v>
      </c>
      <c r="R337" s="518" t="str">
        <f>IF(AND(_A1="A-320",'2025'!$L$4="FO",'2025'!$L$2=R309),'2025DATA'!$C$30,"")</f>
        <v/>
      </c>
      <c r="S337" s="518" t="str">
        <f>IF(AND(_A1="A-320",'2025'!$L$4="FO",'2025'!$L$2=S309),'2025DATA'!$D$30,"")</f>
        <v/>
      </c>
      <c r="T337" s="518" t="str">
        <f>IF(AND(_A1="A-320",'2025'!$L$4="FO",'2025'!$L$2=T309),'2025DATA'!$E$30,"")</f>
        <v/>
      </c>
      <c r="U337" s="518" t="str">
        <f>IF(AND(_A1="A-320",'2025'!$L$4="FO",'2025'!$L$2=U309),'2025DATA'!$F$30,"")</f>
        <v/>
      </c>
      <c r="V337" s="518" t="str">
        <f>IF(AND(_A1="A-320",'2025'!$L$4="FO",'2025'!$L$2=V309),'2025DATA'!$G$30,"")</f>
        <v/>
      </c>
      <c r="W337" s="518" t="str">
        <f>IF(AND(_A1="A-320",'2025'!$L$4="FO",'2025'!$L$2=W309),'2025DATA'!$H$30,"")</f>
        <v/>
      </c>
      <c r="X337" s="518" t="str">
        <f>IF(AND(_A1="A-320",'2025'!$L$4="FO",'2025'!$L$2=X309),'2025DATA'!$I$30,"")</f>
        <v/>
      </c>
      <c r="Y337" s="518" t="str">
        <f>IF(AND(_A1="A-320",'2025'!$L$4="FO",'2025'!$L$2=Y309),'2025DATA'!$J$30,"")</f>
        <v/>
      </c>
      <c r="Z337" s="518" t="str">
        <f>IF(AND(_A1="A-320",'2025'!$L$4="FO",'2025'!$L$2=Z309),'2025DATA'!$K$30,"")</f>
        <v/>
      </c>
      <c r="AA337" s="518" t="str">
        <f>IF(AND(_A1="A-320",'2025'!$L$4="FO",'2025'!$L$2=AA309),'2025DATA'!$L$30,"")</f>
        <v/>
      </c>
      <c r="AB337" s="518" t="str">
        <f>IF(AND(_A1="A-320",'2025'!$L$4="FO",'2025'!$L$2=AB309),'2025DATA'!$M$30,"")</f>
        <v/>
      </c>
      <c r="AC337" s="520" t="str">
        <f>IF(AND(_A1="A-320",'2025'!$L$4="FO",'2025'!$L$2=AC309),'2025DATA'!$N$30,"")</f>
        <v/>
      </c>
      <c r="AD337" s="940"/>
      <c r="AE337" s="13" t="s">
        <v>62</v>
      </c>
      <c r="AF337" s="518" t="str">
        <f>IF(AND(_A2="A-320",'2025'!$L$4="FO",'2025'!$L$2=AF309),'2025DATA'!$C$30,"")</f>
        <v/>
      </c>
      <c r="AG337" s="518" t="str">
        <f>IF(AND(_A2="A-320",'2025'!$L$4="FO",'2025'!$L$2=AG309),'2025DATA'!$D$30,"")</f>
        <v/>
      </c>
      <c r="AH337" s="518" t="str">
        <f>IF(AND(_A2="A-320",'2025'!$L$4="FO",'2025'!$L$2=AH309),'2025DATA'!$E$30,"")</f>
        <v/>
      </c>
      <c r="AI337" s="518" t="str">
        <f>IF(AND(_A2="A-320",'2025'!$L$4="FO",'2025'!$L$2=AI309),'2025DATA'!$F$30,"")</f>
        <v/>
      </c>
      <c r="AJ337" s="518" t="str">
        <f>IF(AND(_A2="A-320",'2025'!$L$4="FO",'2025'!$L$2=AJ309),'2025DATA'!$G$30,"")</f>
        <v/>
      </c>
      <c r="AK337" s="518" t="str">
        <f>IF(AND(_A2="A-320",'2025'!$L$4="FO",'2025'!$L$2=AK309),'2025DATA'!$H$30,"")</f>
        <v/>
      </c>
      <c r="AL337" s="518" t="str">
        <f>IF(AND(_A2="A-320",'2025'!$L$4="FO",'2025'!$L$2=AL309),'2025DATA'!$I$30,"")</f>
        <v/>
      </c>
      <c r="AM337" s="518" t="str">
        <f>IF(AND(_A2="A-320",'2025'!$L$4="FO",'2025'!$L$2=AM309),'2025DATA'!$J$30,"")</f>
        <v/>
      </c>
      <c r="AN337" s="518" t="str">
        <f>IF(AND(_A2="A-320",'2025'!$L$4="FO",'2025'!$L$2=AN309),'2025DATA'!$K$30,"")</f>
        <v/>
      </c>
      <c r="AO337" s="518" t="str">
        <f>IF(AND(_A2="A-320",'2025'!$L$4="FO",'2025'!$L$2=AO309),'2025DATA'!$L$30,"")</f>
        <v/>
      </c>
      <c r="AP337" s="518" t="str">
        <f>IF(AND(_A2="A-320",'2025'!$L$4="FO",'2025'!$L$2=AP309),'2025DATA'!$M$30,"")</f>
        <v/>
      </c>
      <c r="AQ337" s="520" t="str">
        <f>IF(AND(_A2="A-320",'2025'!$L$4="FO",'2025'!$L$2=AQ309),'2025DATA'!$N$30,"")</f>
        <v/>
      </c>
      <c r="AR337" s="940"/>
      <c r="AS337" s="13" t="s">
        <v>62</v>
      </c>
      <c r="AT337" s="518" t="str">
        <f>IF(AND(_A3="A-320",'2025'!$L$4="FO",'2025'!$L$2=AT309),'2025DATA'!$C$30,"")</f>
        <v/>
      </c>
      <c r="AU337" s="518" t="str">
        <f>IF(AND(_A3="A-320",'2025'!$L$4="FO",'2025'!$L$2=AU309),'2025DATA'!$D$30,"")</f>
        <v/>
      </c>
      <c r="AV337" s="518" t="str">
        <f>IF(AND(_A3="A-320",'2025'!$L$4="FO",'2025'!$L$2=AV309),'2025DATA'!$E$30,"")</f>
        <v/>
      </c>
      <c r="AW337" s="518" t="str">
        <f>IF(AND(_A3="A-320",'2025'!$L$4="FO",'2025'!$L$2=AW309),'2025DATA'!$F$30,"")</f>
        <v/>
      </c>
      <c r="AX337" s="518" t="str">
        <f>IF(AND(_A3="A-320",'2025'!$L$4="FO",'2025'!$L$2=AX309),'2025DATA'!$G$30,"")</f>
        <v/>
      </c>
      <c r="AY337" s="518" t="str">
        <f>IF(AND(_A3="A-320",'2025'!$L$4="FO",'2025'!$L$2=AY309),'2025DATA'!$H$30,"")</f>
        <v/>
      </c>
      <c r="AZ337" s="518" t="str">
        <f>IF(AND(_A3="A-320",'2025'!$L$4="FO",'2025'!$L$2=AZ309),'2025DATA'!$I$30,"")</f>
        <v/>
      </c>
      <c r="BA337" s="518" t="str">
        <f>IF(AND(_A3="A-320",'2025'!$L$4="FO",'2025'!$L$2=BA309),'2025DATA'!$J$30,"")</f>
        <v/>
      </c>
      <c r="BB337" s="518" t="str">
        <f>IF(AND(_A3="A-320",'2025'!$L$4="FO",'2025'!$L$2=BB309),'2025DATA'!$K$30,"")</f>
        <v/>
      </c>
      <c r="BC337" s="518" t="str">
        <f>IF(AND(_A3="A-320",'2025'!$L$4="FO",'2025'!$L$2=BC309),'2025DATA'!$L$30,"")</f>
        <v/>
      </c>
      <c r="BD337" s="518" t="str">
        <f>IF(AND(_A3="A-320",'2025'!$L$4="FO",'2025'!$L$2=BD309),'2025DATA'!$M$30,"")</f>
        <v/>
      </c>
      <c r="BE337" s="520" t="str">
        <f>IF(AND(_A3="A-320",'2025'!$L$4="FO",'2025'!$L$2=BE309),'2025DATA'!$N$30,"")</f>
        <v/>
      </c>
      <c r="BF337" s="940"/>
      <c r="BG337" s="13" t="s">
        <v>62</v>
      </c>
      <c r="BH337" s="518" t="str">
        <f>IF(AND(_A4="A-320",'2025'!$L$4="FO",'2025'!$L$2=BH309),'2025DATA'!$C$30,"")</f>
        <v/>
      </c>
      <c r="BI337" s="518" t="str">
        <f>IF(AND(_A4="A-320",'2025'!$L$4="FO",'2025'!$L$2=BI309),'2025DATA'!$D$30,"")</f>
        <v/>
      </c>
      <c r="BJ337" s="518" t="str">
        <f>IF(AND(_A4="A-320",'2025'!$L$4="FO",'2025'!$L$2=BJ309),'2025DATA'!$E$30,"")</f>
        <v/>
      </c>
      <c r="BK337" s="518" t="str">
        <f>IF(AND(_A4="A-320",'2025'!$L$4="FO",'2025'!$L$2=BK309),'2025DATA'!$F$30,"")</f>
        <v/>
      </c>
      <c r="BL337" s="518" t="str">
        <f>IF(AND(_A4="A-320",'2025'!$L$4="FO",'2025'!$L$2=BL309),'2025DATA'!$G$30,"")</f>
        <v/>
      </c>
      <c r="BM337" s="518" t="str">
        <f>IF(AND(_A4="A-320",'2025'!$L$4="FO",'2025'!$L$2=BM309),'2025DATA'!$H$30,"")</f>
        <v/>
      </c>
      <c r="BN337" s="518" t="str">
        <f>IF(AND(_A4="A-320",'2025'!$L$4="FO",'2025'!$L$2=BN309),'2025DATA'!$I$30,"")</f>
        <v/>
      </c>
      <c r="BO337" s="518" t="str">
        <f>IF(AND(_A4="A-320",'2025'!$L$4="FO",'2025'!$L$2=BO309),'2025DATA'!$J$30,"")</f>
        <v/>
      </c>
      <c r="BP337" s="518" t="str">
        <f>IF(AND(_A4="A-320",'2025'!$L$4="FO",'2025'!$L$2=BP309),'2025DATA'!$K$30,"")</f>
        <v/>
      </c>
      <c r="BQ337" s="518" t="str">
        <f>IF(AND(_A4="A-320",'2025'!$L$4="FO",'2025'!$L$2=BQ309),'2025DATA'!$L$30,"")</f>
        <v/>
      </c>
      <c r="BR337" s="518" t="str">
        <f>IF(AND(_A4="A-320",'2025'!$L$4="FO",'2025'!$L$2=BR309),'2025DATA'!$M$30,"")</f>
        <v/>
      </c>
      <c r="BS337" s="520" t="str">
        <f>IF(AND(_A4="A-320",'2025'!$L$4="FO",'2025'!$L$2=BS309),'2025DATA'!$N$30,"")</f>
        <v/>
      </c>
      <c r="BT337" s="940"/>
      <c r="BU337" s="13" t="s">
        <v>62</v>
      </c>
      <c r="BV337" s="518" t="str">
        <f>IF(AND(_A5="A-320",'2025'!$L$4="FO",'2025'!$L$2=BV309),'2025DATA'!$C$30,"")</f>
        <v/>
      </c>
      <c r="BW337" s="518" t="str">
        <f>IF(AND(_A5="A-320",'2025'!$L$4="FO",'2025'!$L$2=BW309),'2025DATA'!$D$30,"")</f>
        <v/>
      </c>
      <c r="BX337" s="518" t="str">
        <f>IF(AND(_A5="A-320",'2025'!$L$4="FO",'2025'!$L$2=BX309),'2025DATA'!$E$30,"")</f>
        <v/>
      </c>
      <c r="BY337" s="518" t="str">
        <f>IF(AND(_A5="A-320",'2025'!$L$4="FO",'2025'!$L$2=BY309),'2025DATA'!$F$30,"")</f>
        <v/>
      </c>
      <c r="BZ337" s="518" t="str">
        <f>IF(AND(_A5="A-320",'2025'!$L$4="FO",'2025'!$L$2=BZ309),'2025DATA'!$G$30,"")</f>
        <v/>
      </c>
      <c r="CA337" s="518" t="str">
        <f>IF(AND(_A5="A-320",'2025'!$L$4="FO",'2025'!$L$2=CA309),'2025DATA'!$H$30,"")</f>
        <v/>
      </c>
      <c r="CB337" s="518" t="str">
        <f>IF(AND(_A5="A-320",'2025'!$L$4="FO",'2025'!$L$2=CB309),'2025DATA'!$I$30,"")</f>
        <v/>
      </c>
      <c r="CC337" s="518" t="str">
        <f>IF(AND(_A5="A-320",'2025'!$L$4="FO",'2025'!$L$2=CC309),'2025DATA'!$J$30,"")</f>
        <v/>
      </c>
      <c r="CD337" s="518" t="str">
        <f>IF(AND(_A5="A-320",'2025'!$L$4="FO",'2025'!$L$2=CD309),'2025DATA'!$K$30,"")</f>
        <v/>
      </c>
      <c r="CE337" s="518" t="str">
        <f>IF(AND(_A5="A-320",'2025'!$L$4="FO",'2025'!$L$2=CE309),'2025DATA'!$L$30,"")</f>
        <v/>
      </c>
      <c r="CF337" s="518" t="str">
        <f>IF(AND(_A5="A-320",'2025'!$L$4="FO",'2025'!$L$2=CF309),'2025DATA'!$M$30,"")</f>
        <v/>
      </c>
      <c r="CG337" s="520" t="str">
        <f>IF(AND(_A5="A-320",'2025'!$L$4="FO",'2025'!$L$2=CG309),'2025DATA'!$N$30,"")</f>
        <v/>
      </c>
      <c r="CH337" s="940"/>
      <c r="CI337" s="13" t="s">
        <v>62</v>
      </c>
      <c r="CJ337" s="518" t="str">
        <f>IF(AND(_A6="A-320",'2025'!$L$4="FO",'2025'!$L$2=CJ309),'2025DATA'!$C$30,"")</f>
        <v/>
      </c>
      <c r="CK337" s="518" t="str">
        <f>IF(AND(_A6="A-320",'2025'!$L$4="FO",'2025'!$L$2=CK309),'2025DATA'!$D$30,"")</f>
        <v/>
      </c>
      <c r="CL337" s="518" t="str">
        <f>IF(AND(_A6="A-320",'2025'!$L$4="FO",'2025'!$L$2=CL309),'2025DATA'!$E$30,"")</f>
        <v/>
      </c>
      <c r="CM337" s="518" t="str">
        <f>IF(AND(_A6="A-320",'2025'!$L$4="FO",'2025'!$L$2=CM309),'2025DATA'!$F$30,"")</f>
        <v/>
      </c>
      <c r="CN337" s="518" t="str">
        <f>IF(AND(_A6="A-320",'2025'!$L$4="FO",'2025'!$L$2=CN309),'2025DATA'!$G$30,"")</f>
        <v/>
      </c>
      <c r="CO337" s="518" t="str">
        <f>IF(AND(_A6="A-320",'2025'!$L$4="FO",'2025'!$L$2=CO309),'2025DATA'!$H$30,"")</f>
        <v/>
      </c>
      <c r="CP337" s="518" t="str">
        <f>IF(AND(_A6="A-320",'2025'!$L$4="FO",'2025'!$L$2=CP309),'2025DATA'!$I$30,"")</f>
        <v/>
      </c>
      <c r="CQ337" s="518" t="str">
        <f>IF(AND(_A6="A-320",'2025'!$L$4="FO",'2025'!$L$2=CQ309),'2025DATA'!$J$30,"")</f>
        <v/>
      </c>
      <c r="CR337" s="518" t="str">
        <f>IF(AND(_A6="A-320",'2025'!$L$4="FO",'2025'!$L$2=CR309),'2025DATA'!$K$30,"")</f>
        <v/>
      </c>
      <c r="CS337" s="518" t="str">
        <f>IF(AND(_A6="A-320",'2025'!$L$4="FO",'2025'!$L$2=CS309),'2025DATA'!$L$30,"")</f>
        <v/>
      </c>
      <c r="CT337" s="518" t="str">
        <f>IF(AND(_A6="A-320",'2025'!$L$4="FO",'2025'!$L$2=CT309),'2025DATA'!$M$30,"")</f>
        <v/>
      </c>
      <c r="CU337" s="520" t="str">
        <f>IF(AND(_A6="A-320",'2025'!$L$4="FO",'2025'!$L$2=CU309),'2025DATA'!$N$30,"")</f>
        <v/>
      </c>
    </row>
    <row r="338" spans="16:99" x14ac:dyDescent="0.25">
      <c r="P338" s="940" t="s">
        <v>71</v>
      </c>
      <c r="Q338" s="13" t="s">
        <v>61</v>
      </c>
      <c r="R338" s="518" t="str">
        <f>IF(AND(_A1="A-319",'2025'!$L$4="CA",'2025'!$L$2=R309),'2025DATA'!$C$31,"")</f>
        <v/>
      </c>
      <c r="S338" s="518" t="str">
        <f>IF(AND(_A1="A-319",'2025'!$L$4="CA",'2025'!$L$2=S309),'2025DATA'!$D$31,"")</f>
        <v/>
      </c>
      <c r="T338" s="518" t="str">
        <f>IF(AND(_A1="A-319",'2025'!$L$4="CA",'2025'!$L$2=T309),'2025DATA'!$E$31,"")</f>
        <v/>
      </c>
      <c r="U338" s="518" t="str">
        <f>IF(AND(_A1="A-319",'2025'!$L$4="CA",'2025'!$L$2=U309),'2025DATA'!$F$31,"")</f>
        <v/>
      </c>
      <c r="V338" s="518" t="str">
        <f>IF(AND(_A1="A-319",'2025'!$L$4="CA",'2025'!$L$2=V309),'2025DATA'!$G$31,"")</f>
        <v/>
      </c>
      <c r="W338" s="518" t="str">
        <f>IF(AND(_A1="A-319",'2025'!$L$4="CA",'2025'!$L$2=W309),'2025DATA'!$H$31,"")</f>
        <v/>
      </c>
      <c r="X338" s="518" t="str">
        <f>IF(AND(_A1="A-319",'2025'!$L$4="CA",'2025'!$L$2=X309),'2025DATA'!$I$31,"")</f>
        <v/>
      </c>
      <c r="Y338" s="518" t="str">
        <f>IF(AND(_A1="A-319",'2025'!$L$4="CA",'2025'!$L$2=Y309),'2025DATA'!$J$31,"")</f>
        <v/>
      </c>
      <c r="Z338" s="518" t="str">
        <f>IF(AND(_A1="A-319",'2025'!$L$4="CA",'2025'!$L$2=Z309),'2025DATA'!$K$31,"")</f>
        <v/>
      </c>
      <c r="AA338" s="518" t="str">
        <f>IF(AND(_A1="A-319",'2025'!$L$4="CA",'2025'!$L$2=AA309),'2025DATA'!$L$31,"")</f>
        <v/>
      </c>
      <c r="AB338" s="518" t="str">
        <f>IF(AND(_A1="A-319",'2025'!$L$4="CA",'2025'!$L$2=AB309),'2025DATA'!$M$31,"")</f>
        <v/>
      </c>
      <c r="AC338" s="520" t="str">
        <f>IF(AND(_A1="A-319",'2025'!$L$4="CA",'2025'!$L$2=AC309),'2025DATA'!$N$31,"")</f>
        <v/>
      </c>
      <c r="AD338" s="940" t="s">
        <v>71</v>
      </c>
      <c r="AE338" s="13" t="s">
        <v>61</v>
      </c>
      <c r="AF338" s="518" t="str">
        <f>IF(AND(_A2="A-319",'2025'!$L$4="CA",'2025'!$L$2=AF309),'2025DATA'!$C$31,"")</f>
        <v/>
      </c>
      <c r="AG338" s="518" t="str">
        <f>IF(AND(_A2="A-319",'2025'!$L$4="CA",'2025'!$L$2=AG309),'2025DATA'!$D$31,"")</f>
        <v/>
      </c>
      <c r="AH338" s="518" t="str">
        <f>IF(AND(_A2="A-319",'2025'!$L$4="CA",'2025'!$L$2=AH309),'2025DATA'!$E$31,"")</f>
        <v/>
      </c>
      <c r="AI338" s="518" t="str">
        <f>IF(AND(_A2="A-319",'2025'!$L$4="CA",'2025'!$L$2=AI309),'2025DATA'!$F$31,"")</f>
        <v/>
      </c>
      <c r="AJ338" s="518" t="str">
        <f>IF(AND(_A2="A-319",'2025'!$L$4="CA",'2025'!$L$2=AJ309),'2025DATA'!$G$31,"")</f>
        <v/>
      </c>
      <c r="AK338" s="518" t="str">
        <f>IF(AND(_A2="A-319",'2025'!$L$4="CA",'2025'!$L$2=AK309),'2025DATA'!$H$31,"")</f>
        <v/>
      </c>
      <c r="AL338" s="518" t="str">
        <f>IF(AND(_A2="A-319",'2025'!$L$4="CA",'2025'!$L$2=AL309),'2025DATA'!$I$31,"")</f>
        <v/>
      </c>
      <c r="AM338" s="518" t="str">
        <f>IF(AND(_A2="A-319",'2025'!$L$4="CA",'2025'!$L$2=AM309),'2025DATA'!$J$31,"")</f>
        <v/>
      </c>
      <c r="AN338" s="518" t="str">
        <f>IF(AND(_A2="A-319",'2025'!$L$4="CA",'2025'!$L$2=AN309),'2025DATA'!$K$31,"")</f>
        <v/>
      </c>
      <c r="AO338" s="518" t="str">
        <f>IF(AND(_A2="A-319",'2025'!$L$4="CA",'2025'!$L$2=AO309),'2025DATA'!$L$31,"")</f>
        <v/>
      </c>
      <c r="AP338" s="518" t="str">
        <f>IF(AND(_A2="A-319",'2025'!$L$4="CA",'2025'!$L$2=AP309),'2025DATA'!$M$31,"")</f>
        <v/>
      </c>
      <c r="AQ338" s="520" t="str">
        <f>IF(AND(_A2="A-319",'2025'!$L$4="CA",'2025'!$L$2=AQ309),'2025DATA'!$N$31,"")</f>
        <v/>
      </c>
      <c r="AR338" s="940" t="s">
        <v>71</v>
      </c>
      <c r="AS338" s="13" t="s">
        <v>61</v>
      </c>
      <c r="AT338" s="518" t="str">
        <f>IF(AND(_A3="A-319",'2025'!$L$4="CA",'2025'!$L$2=AT309),'2025DATA'!$C$31,"")</f>
        <v/>
      </c>
      <c r="AU338" s="518" t="str">
        <f>IF(AND(_A3="A-319",'2025'!$L$4="CA",'2025'!$L$2=AU309),'2025DATA'!$D$31,"")</f>
        <v/>
      </c>
      <c r="AV338" s="518" t="str">
        <f>IF(AND(_A3="A-319",'2025'!$L$4="CA",'2025'!$L$2=AV309),'2025DATA'!$E$31,"")</f>
        <v/>
      </c>
      <c r="AW338" s="518" t="str">
        <f>IF(AND(_A3="A-319",'2025'!$L$4="CA",'2025'!$L$2=AW309),'2025DATA'!$F$31,"")</f>
        <v/>
      </c>
      <c r="AX338" s="518" t="str">
        <f>IF(AND(_A3="A-319",'2025'!$L$4="CA",'2025'!$L$2=AX309),'2025DATA'!$G$31,"")</f>
        <v/>
      </c>
      <c r="AY338" s="518" t="str">
        <f>IF(AND(_A3="A-319",'2025'!$L$4="CA",'2025'!$L$2=AY309),'2025DATA'!$H$31,"")</f>
        <v/>
      </c>
      <c r="AZ338" s="518" t="str">
        <f>IF(AND(_A3="A-319",'2025'!$L$4="CA",'2025'!$L$2=AZ309),'2025DATA'!$I$31,"")</f>
        <v/>
      </c>
      <c r="BA338" s="518" t="str">
        <f>IF(AND(_A3="A-319",'2025'!$L$4="CA",'2025'!$L$2=BA309),'2025DATA'!$J$31,"")</f>
        <v/>
      </c>
      <c r="BB338" s="518" t="str">
        <f>IF(AND(_A3="A-319",'2025'!$L$4="CA",'2025'!$L$2=BB309),'2025DATA'!$K$31,"")</f>
        <v/>
      </c>
      <c r="BC338" s="518" t="str">
        <f>IF(AND(_A3="A-319",'2025'!$L$4="CA",'2025'!$L$2=BC309),'2025DATA'!$L$31,"")</f>
        <v/>
      </c>
      <c r="BD338" s="518" t="str">
        <f>IF(AND(_A3="A-319",'2025'!$L$4="CA",'2025'!$L$2=BD309),'2025DATA'!$M$31,"")</f>
        <v/>
      </c>
      <c r="BE338" s="520" t="str">
        <f>IF(AND(_A3="A-319",'2025'!$L$4="CA",'2025'!$L$2=BE309),'2025DATA'!$N$31,"")</f>
        <v/>
      </c>
      <c r="BF338" s="940" t="s">
        <v>71</v>
      </c>
      <c r="BG338" s="13" t="s">
        <v>61</v>
      </c>
      <c r="BH338" s="518" t="str">
        <f>IF(AND(_A4="A-319",'2025'!$L$4="CA",'2025'!$L$2=BH309),'2025DATA'!$C$31,"")</f>
        <v/>
      </c>
      <c r="BI338" s="518" t="str">
        <f>IF(AND(_A4="A-319",'2025'!$L$4="CA",'2025'!$L$2=BI309),'2025DATA'!$D$31,"")</f>
        <v/>
      </c>
      <c r="BJ338" s="518" t="str">
        <f>IF(AND(_A4="A-319",'2025'!$L$4="CA",'2025'!$L$2=BJ309),'2025DATA'!$E$31,"")</f>
        <v/>
      </c>
      <c r="BK338" s="518" t="str">
        <f>IF(AND(_A4="A-319",'2025'!$L$4="CA",'2025'!$L$2=BK309),'2025DATA'!$F$31,"")</f>
        <v/>
      </c>
      <c r="BL338" s="518" t="str">
        <f>IF(AND(_A4="A-319",'2025'!$L$4="CA",'2025'!$L$2=BL309),'2025DATA'!$G$31,"")</f>
        <v/>
      </c>
      <c r="BM338" s="518" t="str">
        <f>IF(AND(_A4="A-319",'2025'!$L$4="CA",'2025'!$L$2=BM309),'2025DATA'!$H$31,"")</f>
        <v/>
      </c>
      <c r="BN338" s="518" t="str">
        <f>IF(AND(_A4="A-319",'2025'!$L$4="CA",'2025'!$L$2=BN309),'2025DATA'!$I$31,"")</f>
        <v/>
      </c>
      <c r="BO338" s="518" t="str">
        <f>IF(AND(_A4="A-319",'2025'!$L$4="CA",'2025'!$L$2=BO309),'2025DATA'!$J$31,"")</f>
        <v/>
      </c>
      <c r="BP338" s="518" t="str">
        <f>IF(AND(_A4="A-319",'2025'!$L$4="CA",'2025'!$L$2=BP309),'2025DATA'!$K$31,"")</f>
        <v/>
      </c>
      <c r="BQ338" s="518" t="str">
        <f>IF(AND(_A4="A-319",'2025'!$L$4="CA",'2025'!$L$2=BQ309),'2025DATA'!$L$31,"")</f>
        <v/>
      </c>
      <c r="BR338" s="518" t="str">
        <f>IF(AND(_A4="A-319",'2025'!$L$4="CA",'2025'!$L$2=BR309),'2025DATA'!$M$31,"")</f>
        <v/>
      </c>
      <c r="BS338" s="520" t="str">
        <f>IF(AND(_A4="A-319",'2025'!$L$4="CA",'2025'!$L$2=BS309),'2025DATA'!$N$31,"")</f>
        <v/>
      </c>
      <c r="BT338" s="940" t="s">
        <v>71</v>
      </c>
      <c r="BU338" s="13" t="s">
        <v>61</v>
      </c>
      <c r="BV338" s="518" t="str">
        <f>IF(AND(_A5="A-319",'2025'!$L$4="CA",'2025'!$L$2=BV309),'2025DATA'!$C$31,"")</f>
        <v/>
      </c>
      <c r="BW338" s="518" t="str">
        <f>IF(AND(_A5="A-319",'2025'!$L$4="CA",'2025'!$L$2=BW309),'2025DATA'!$D$31,"")</f>
        <v/>
      </c>
      <c r="BX338" s="518" t="str">
        <f>IF(AND(_A5="A-319",'2025'!$L$4="CA",'2025'!$L$2=BX309),'2025DATA'!$E$31,"")</f>
        <v/>
      </c>
      <c r="BY338" s="518" t="str">
        <f>IF(AND(_A5="A-319",'2025'!$L$4="CA",'2025'!$L$2=BY309),'2025DATA'!$F$31,"")</f>
        <v/>
      </c>
      <c r="BZ338" s="518" t="str">
        <f>IF(AND(_A5="A-319",'2025'!$L$4="CA",'2025'!$L$2=BZ309),'2025DATA'!$G$31,"")</f>
        <v/>
      </c>
      <c r="CA338" s="518" t="str">
        <f>IF(AND(_A5="A-319",'2025'!$L$4="CA",'2025'!$L$2=CA309),'2025DATA'!$H$31,"")</f>
        <v/>
      </c>
      <c r="CB338" s="518" t="str">
        <f>IF(AND(_A5="A-319",'2025'!$L$4="CA",'2025'!$L$2=CB309),'2025DATA'!$I$31,"")</f>
        <v/>
      </c>
      <c r="CC338" s="518" t="str">
        <f>IF(AND(_A5="A-319",'2025'!$L$4="CA",'2025'!$L$2=CC309),'2025DATA'!$J$31,"")</f>
        <v/>
      </c>
      <c r="CD338" s="518" t="str">
        <f>IF(AND(_A5="A-319",'2025'!$L$4="CA",'2025'!$L$2=CD309),'2025DATA'!$K$31,"")</f>
        <v/>
      </c>
      <c r="CE338" s="518" t="str">
        <f>IF(AND(_A5="A-319",'2025'!$L$4="CA",'2025'!$L$2=CE309),'2025DATA'!$L$31,"")</f>
        <v/>
      </c>
      <c r="CF338" s="518" t="str">
        <f>IF(AND(_A5="A-319",'2025'!$L$4="CA",'2025'!$L$2=CF309),'2025DATA'!$M$31,"")</f>
        <v/>
      </c>
      <c r="CG338" s="520" t="str">
        <f>IF(AND(_A5="A-319",'2025'!$L$4="CA",'2025'!$L$2=CG309),'2025DATA'!$N$31,"")</f>
        <v/>
      </c>
      <c r="CH338" s="940" t="s">
        <v>71</v>
      </c>
      <c r="CI338" s="13" t="s">
        <v>61</v>
      </c>
      <c r="CJ338" s="518" t="str">
        <f>IF(AND(_A6="A-319",'2025'!$L$4="CA",'2025'!$L$2=CJ309),'2025DATA'!$C$31,"")</f>
        <v/>
      </c>
      <c r="CK338" s="518" t="str">
        <f>IF(AND(_A6="A-319",'2025'!$L$4="CA",'2025'!$L$2=CK309),'2025DATA'!$D$31,"")</f>
        <v/>
      </c>
      <c r="CL338" s="518" t="str">
        <f>IF(AND(_A6="A-319",'2025'!$L$4="CA",'2025'!$L$2=CL309),'2025DATA'!$E$31,"")</f>
        <v/>
      </c>
      <c r="CM338" s="518" t="str">
        <f>IF(AND(_A6="A-319",'2025'!$L$4="CA",'2025'!$L$2=CM309),'2025DATA'!$F$31,"")</f>
        <v/>
      </c>
      <c r="CN338" s="518" t="str">
        <f>IF(AND(_A6="A-319",'2025'!$L$4="CA",'2025'!$L$2=CN309),'2025DATA'!$G$31,"")</f>
        <v/>
      </c>
      <c r="CO338" s="518" t="str">
        <f>IF(AND(_A6="A-319",'2025'!$L$4="CA",'2025'!$L$2=CO309),'2025DATA'!$H$31,"")</f>
        <v/>
      </c>
      <c r="CP338" s="518" t="str">
        <f>IF(AND(_A6="A-319",'2025'!$L$4="CA",'2025'!$L$2=CP309),'2025DATA'!$I$31,"")</f>
        <v/>
      </c>
      <c r="CQ338" s="518" t="str">
        <f>IF(AND(_A6="A-319",'2025'!$L$4="CA",'2025'!$L$2=CQ309),'2025DATA'!$J$31,"")</f>
        <v/>
      </c>
      <c r="CR338" s="518" t="str">
        <f>IF(AND(_A6="A-319",'2025'!$L$4="CA",'2025'!$L$2=CR309),'2025DATA'!$K$31,"")</f>
        <v/>
      </c>
      <c r="CS338" s="518" t="str">
        <f>IF(AND(_A6="A-319",'2025'!$L$4="CA",'2025'!$L$2=CS309),'2025DATA'!$L$31,"")</f>
        <v/>
      </c>
      <c r="CT338" s="518" t="str">
        <f>IF(AND(_A6="A-319",'2025'!$L$4="CA",'2025'!$L$2=CT309),'2025DATA'!$M$31,"")</f>
        <v/>
      </c>
      <c r="CU338" s="520" t="str">
        <f>IF(AND(_A6="A-319",'2025'!$L$4="CA",'2025'!$L$2=CU309),'2025DATA'!$N$31,"")</f>
        <v/>
      </c>
    </row>
    <row r="339" spans="16:99" x14ac:dyDescent="0.25">
      <c r="P339" s="940"/>
      <c r="Q339" s="13" t="s">
        <v>62</v>
      </c>
      <c r="R339" s="518" t="str">
        <f>IF(AND(_A1="A-319",'2025'!$L$4="FO",'2025'!$L$2=R309),'2025DATA'!$C$32,"")</f>
        <v/>
      </c>
      <c r="S339" s="518" t="str">
        <f>IF(AND(_A1="A-319",'2025'!$L$4="FO",'2025'!$L$2=S309),'2025DATA'!$D$32,"")</f>
        <v/>
      </c>
      <c r="T339" s="518" t="str">
        <f>IF(AND(_A1="A-319",'2025'!$L$4="FO",'2025'!$L$2=T309),'2025DATA'!$E$32,"")</f>
        <v/>
      </c>
      <c r="U339" s="518" t="str">
        <f>IF(AND(_A1="A-319",'2025'!$L$4="FO",'2025'!$L$2=U309),'2025DATA'!$F$32,"")</f>
        <v/>
      </c>
      <c r="V339" s="518" t="str">
        <f>IF(AND(_A1="A-319",'2025'!$L$4="FO",'2025'!$L$2=V309),'2025DATA'!$G$32,"")</f>
        <v/>
      </c>
      <c r="W339" s="518" t="str">
        <f>IF(AND(_A1="A-319",'2025'!$L$4="FO",'2025'!$L$2=W309),'2025DATA'!$H$32,"")</f>
        <v/>
      </c>
      <c r="X339" s="518" t="str">
        <f>IF(AND(_A1="A-319",'2025'!$L$4="FO",'2025'!$L$2=X309),'2025DATA'!$I$32,"")</f>
        <v/>
      </c>
      <c r="Y339" s="518" t="str">
        <f>IF(AND(_A1="A-319",'2025'!$L$4="FO",'2025'!$L$2=Y309),'2025DATA'!$J$32,"")</f>
        <v/>
      </c>
      <c r="Z339" s="518" t="str">
        <f>IF(AND(_A1="A-319",'2025'!$L$4="FO",'2025'!$L$2=Z309),'2025DATA'!$K$32,"")</f>
        <v/>
      </c>
      <c r="AA339" s="518" t="str">
        <f>IF(AND(_A1="A-319",'2025'!$L$4="FO",'2025'!$L$2=AA309),'2025DATA'!$L$32,"")</f>
        <v/>
      </c>
      <c r="AB339" s="518" t="str">
        <f>IF(AND(_A1="A-319",'2025'!$L$4="FO",'2025'!$L$2=AB309),'2025DATA'!$M$32,"")</f>
        <v/>
      </c>
      <c r="AC339" s="520" t="str">
        <f>IF(AND(_A1="A-319",'2025'!$L$4="FO",'2025'!$L$2=AC309),'2025DATA'!$N$32,"")</f>
        <v/>
      </c>
      <c r="AD339" s="940"/>
      <c r="AE339" s="13" t="s">
        <v>62</v>
      </c>
      <c r="AF339" s="518" t="str">
        <f>IF(AND(_A2="A-319",'2025'!$L$4="FO",'2025'!$L$2=AF309),'2025DATA'!$C$32,"")</f>
        <v/>
      </c>
      <c r="AG339" s="518" t="str">
        <f>IF(AND(_A2="A-319",'2025'!$L$4="FO",'2025'!$L$2=AG309),'2025DATA'!$D$32,"")</f>
        <v/>
      </c>
      <c r="AH339" s="518" t="str">
        <f>IF(AND(_A2="A-319",'2025'!$L$4="FO",'2025'!$L$2=AH309),'2025DATA'!$E$32,"")</f>
        <v/>
      </c>
      <c r="AI339" s="518" t="str">
        <f>IF(AND(_A2="A-319",'2025'!$L$4="FO",'2025'!$L$2=AI309),'2025DATA'!$F$32,"")</f>
        <v/>
      </c>
      <c r="AJ339" s="518" t="str">
        <f>IF(AND(_A2="A-319",'2025'!$L$4="FO",'2025'!$L$2=AJ309),'2025DATA'!$G$32,"")</f>
        <v/>
      </c>
      <c r="AK339" s="518" t="str">
        <f>IF(AND(_A2="A-319",'2025'!$L$4="FO",'2025'!$L$2=AK309),'2025DATA'!$H$32,"")</f>
        <v/>
      </c>
      <c r="AL339" s="518" t="str">
        <f>IF(AND(_A2="A-319",'2025'!$L$4="FO",'2025'!$L$2=AL309),'2025DATA'!$I$32,"")</f>
        <v/>
      </c>
      <c r="AM339" s="518" t="str">
        <f>IF(AND(_A2="A-319",'2025'!$L$4="FO",'2025'!$L$2=AM309),'2025DATA'!$J$32,"")</f>
        <v/>
      </c>
      <c r="AN339" s="518" t="str">
        <f>IF(AND(_A2="A-319",'2025'!$L$4="FO",'2025'!$L$2=AN309),'2025DATA'!$K$32,"")</f>
        <v/>
      </c>
      <c r="AO339" s="518" t="str">
        <f>IF(AND(_A2="A-319",'2025'!$L$4="FO",'2025'!$L$2=AO309),'2025DATA'!$L$32,"")</f>
        <v/>
      </c>
      <c r="AP339" s="518" t="str">
        <f>IF(AND(_A2="A-319",'2025'!$L$4="FO",'2025'!$L$2=AP309),'2025DATA'!$M$32,"")</f>
        <v/>
      </c>
      <c r="AQ339" s="520" t="str">
        <f>IF(AND(_A2="A-319",'2025'!$L$4="FO",'2025'!$L$2=AQ309),'2025DATA'!$N$32,"")</f>
        <v/>
      </c>
      <c r="AR339" s="940"/>
      <c r="AS339" s="13" t="s">
        <v>62</v>
      </c>
      <c r="AT339" s="518" t="str">
        <f>IF(AND(_A3="A-319",'2025'!$L$4="FO",'2025'!$L$2=AT309),'2025DATA'!$C$32,"")</f>
        <v/>
      </c>
      <c r="AU339" s="518" t="str">
        <f>IF(AND(_A3="A-319",'2025'!$L$4="FO",'2025'!$L$2=AU309),'2025DATA'!$D$32,"")</f>
        <v/>
      </c>
      <c r="AV339" s="518" t="str">
        <f>IF(AND(_A3="A-319",'2025'!$L$4="FO",'2025'!$L$2=AV309),'2025DATA'!$E$32,"")</f>
        <v/>
      </c>
      <c r="AW339" s="518" t="str">
        <f>IF(AND(_A3="A-319",'2025'!$L$4="FO",'2025'!$L$2=AW309),'2025DATA'!$F$32,"")</f>
        <v/>
      </c>
      <c r="AX339" s="518" t="str">
        <f>IF(AND(_A3="A-319",'2025'!$L$4="FO",'2025'!$L$2=AX309),'2025DATA'!$G$32,"")</f>
        <v/>
      </c>
      <c r="AY339" s="518" t="str">
        <f>IF(AND(_A3="A-319",'2025'!$L$4="FO",'2025'!$L$2=AY309),'2025DATA'!$H$32,"")</f>
        <v/>
      </c>
      <c r="AZ339" s="518" t="str">
        <f>IF(AND(_A3="A-319",'2025'!$L$4="FO",'2025'!$L$2=AZ309),'2025DATA'!$I$32,"")</f>
        <v/>
      </c>
      <c r="BA339" s="518" t="str">
        <f>IF(AND(_A3="A-319",'2025'!$L$4="FO",'2025'!$L$2=BA309),'2025DATA'!$J$32,"")</f>
        <v/>
      </c>
      <c r="BB339" s="518" t="str">
        <f>IF(AND(_A3="A-319",'2025'!$L$4="FO",'2025'!$L$2=BB309),'2025DATA'!$K$32,"")</f>
        <v/>
      </c>
      <c r="BC339" s="518" t="str">
        <f>IF(AND(_A3="A-319",'2025'!$L$4="FO",'2025'!$L$2=BC309),'2025DATA'!$L$32,"")</f>
        <v/>
      </c>
      <c r="BD339" s="518" t="str">
        <f>IF(AND(_A3="A-319",'2025'!$L$4="FO",'2025'!$L$2=BD309),'2025DATA'!$M$32,"")</f>
        <v/>
      </c>
      <c r="BE339" s="520" t="str">
        <f>IF(AND(_A3="A-319",'2025'!$L$4="FO",'2025'!$L$2=BE309),'2025DATA'!$N$32,"")</f>
        <v/>
      </c>
      <c r="BF339" s="940"/>
      <c r="BG339" s="13" t="s">
        <v>62</v>
      </c>
      <c r="BH339" s="518" t="str">
        <f>IF(AND(_A4="A-319",'2025'!$L$4="FO",'2025'!$L$2=BH309),'2025DATA'!$C$32,"")</f>
        <v/>
      </c>
      <c r="BI339" s="518" t="str">
        <f>IF(AND(_A4="A-319",'2025'!$L$4="FO",'2025'!$L$2=BI309),'2025DATA'!$D$32,"")</f>
        <v/>
      </c>
      <c r="BJ339" s="518" t="str">
        <f>IF(AND(_A4="A-319",'2025'!$L$4="FO",'2025'!$L$2=BJ309),'2025DATA'!$E$32,"")</f>
        <v/>
      </c>
      <c r="BK339" s="518" t="str">
        <f>IF(AND(_A4="A-319",'2025'!$L$4="FO",'2025'!$L$2=BK309),'2025DATA'!$F$32,"")</f>
        <v/>
      </c>
      <c r="BL339" s="518" t="str">
        <f>IF(AND(_A4="A-319",'2025'!$L$4="FO",'2025'!$L$2=BL309),'2025DATA'!$G$32,"")</f>
        <v/>
      </c>
      <c r="BM339" s="518" t="str">
        <f>IF(AND(_A4="A-319",'2025'!$L$4="FO",'2025'!$L$2=BM309),'2025DATA'!$H$32,"")</f>
        <v/>
      </c>
      <c r="BN339" s="518" t="str">
        <f>IF(AND(_A4="A-319",'2025'!$L$4="FO",'2025'!$L$2=BN309),'2025DATA'!$I$32,"")</f>
        <v/>
      </c>
      <c r="BO339" s="518" t="str">
        <f>IF(AND(_A4="A-319",'2025'!$L$4="FO",'2025'!$L$2=BO309),'2025DATA'!$J$32,"")</f>
        <v/>
      </c>
      <c r="BP339" s="518" t="str">
        <f>IF(AND(_A4="A-319",'2025'!$L$4="FO",'2025'!$L$2=BP309),'2025DATA'!$K$32,"")</f>
        <v/>
      </c>
      <c r="BQ339" s="518" t="str">
        <f>IF(AND(_A4="A-319",'2025'!$L$4="FO",'2025'!$L$2=BQ309),'2025DATA'!$L$32,"")</f>
        <v/>
      </c>
      <c r="BR339" s="518" t="str">
        <f>IF(AND(_A4="A-319",'2025'!$L$4="FO",'2025'!$L$2=BR309),'2025DATA'!$M$32,"")</f>
        <v/>
      </c>
      <c r="BS339" s="520" t="str">
        <f>IF(AND(_A4="A-319",'2025'!$L$4="FO",'2025'!$L$2=BS309),'2025DATA'!$N$32,"")</f>
        <v/>
      </c>
      <c r="BT339" s="940"/>
      <c r="BU339" s="13" t="s">
        <v>62</v>
      </c>
      <c r="BV339" s="518" t="str">
        <f>IF(AND(_A5="A-319",'2025'!$L$4="FO",'2025'!$L$2=BV309),'2025DATA'!$C$32,"")</f>
        <v/>
      </c>
      <c r="BW339" s="518" t="str">
        <f>IF(AND(_A5="A-319",'2025'!$L$4="FO",'2025'!$L$2=BW309),'2025DATA'!$D$32,"")</f>
        <v/>
      </c>
      <c r="BX339" s="518" t="str">
        <f>IF(AND(_A5="A-319",'2025'!$L$4="FO",'2025'!$L$2=BX309),'2025DATA'!$E$32,"")</f>
        <v/>
      </c>
      <c r="BY339" s="518" t="str">
        <f>IF(AND(_A5="A-319",'2025'!$L$4="FO",'2025'!$L$2=BY309),'2025DATA'!$F$32,"")</f>
        <v/>
      </c>
      <c r="BZ339" s="518" t="str">
        <f>IF(AND(_A5="A-319",'2025'!$L$4="FO",'2025'!$L$2=BZ309),'2025DATA'!$G$32,"")</f>
        <v/>
      </c>
      <c r="CA339" s="518" t="str">
        <f>IF(AND(_A5="A-319",'2025'!$L$4="FO",'2025'!$L$2=CA309),'2025DATA'!$H$32,"")</f>
        <v/>
      </c>
      <c r="CB339" s="518" t="str">
        <f>IF(AND(_A5="A-319",'2025'!$L$4="FO",'2025'!$L$2=CB309),'2025DATA'!$I$32,"")</f>
        <v/>
      </c>
      <c r="CC339" s="518" t="str">
        <f>IF(AND(_A5="A-319",'2025'!$L$4="FO",'2025'!$L$2=CC309),'2025DATA'!$J$32,"")</f>
        <v/>
      </c>
      <c r="CD339" s="518" t="str">
        <f>IF(AND(_A5="A-319",'2025'!$L$4="FO",'2025'!$L$2=CD309),'2025DATA'!$K$32,"")</f>
        <v/>
      </c>
      <c r="CE339" s="518" t="str">
        <f>IF(AND(_A5="A-319",'2025'!$L$4="FO",'2025'!$L$2=CE309),'2025DATA'!$L$32,"")</f>
        <v/>
      </c>
      <c r="CF339" s="518" t="str">
        <f>IF(AND(_A5="A-319",'2025'!$L$4="FO",'2025'!$L$2=CF309),'2025DATA'!$M$32,"")</f>
        <v/>
      </c>
      <c r="CG339" s="520" t="str">
        <f>IF(AND(_A5="A-319",'2025'!$L$4="FO",'2025'!$L$2=CG309),'2025DATA'!$N$32,"")</f>
        <v/>
      </c>
      <c r="CH339" s="940"/>
      <c r="CI339" s="13" t="s">
        <v>62</v>
      </c>
      <c r="CJ339" s="518" t="str">
        <f>IF(AND(_A6="A-319",'2025'!$L$4="FO",'2025'!$L$2=CJ309),'2025DATA'!$C$32,"")</f>
        <v/>
      </c>
      <c r="CK339" s="518" t="str">
        <f>IF(AND(_A6="A-319",'2025'!$L$4="FO",'2025'!$L$2=CK309),'2025DATA'!$D$32,"")</f>
        <v/>
      </c>
      <c r="CL339" s="518" t="str">
        <f>IF(AND(_A6="A-319",'2025'!$L$4="FO",'2025'!$L$2=CL309),'2025DATA'!$E$32,"")</f>
        <v/>
      </c>
      <c r="CM339" s="518" t="str">
        <f>IF(AND(_A6="A-319",'2025'!$L$4="FO",'2025'!$L$2=CM309),'2025DATA'!$F$32,"")</f>
        <v/>
      </c>
      <c r="CN339" s="518" t="str">
        <f>IF(AND(_A6="A-319",'2025'!$L$4="FO",'2025'!$L$2=CN309),'2025DATA'!$G$32,"")</f>
        <v/>
      </c>
      <c r="CO339" s="518" t="str">
        <f>IF(AND(_A6="A-319",'2025'!$L$4="FO",'2025'!$L$2=CO309),'2025DATA'!$H$32,"")</f>
        <v/>
      </c>
      <c r="CP339" s="518" t="str">
        <f>IF(AND(_A6="A-319",'2025'!$L$4="FO",'2025'!$L$2=CP309),'2025DATA'!$I$32,"")</f>
        <v/>
      </c>
      <c r="CQ339" s="518" t="str">
        <f>IF(AND(_A6="A-319",'2025'!$L$4="FO",'2025'!$L$2=CQ309),'2025DATA'!$J$32,"")</f>
        <v/>
      </c>
      <c r="CR339" s="518" t="str">
        <f>IF(AND(_A6="A-319",'2025'!$L$4="FO",'2025'!$L$2=CR309),'2025DATA'!$K$32,"")</f>
        <v/>
      </c>
      <c r="CS339" s="518" t="str">
        <f>IF(AND(_A6="A-319",'2025'!$L$4="FO",'2025'!$L$2=CS309),'2025DATA'!$L$32,"")</f>
        <v/>
      </c>
      <c r="CT339" s="518" t="str">
        <f>IF(AND(_A6="A-319",'2025'!$L$4="FO",'2025'!$L$2=CT309),'2025DATA'!$M$32,"")</f>
        <v/>
      </c>
      <c r="CU339" s="520" t="str">
        <f>IF(AND(_A6="A-319",'2025'!$L$4="FO",'2025'!$L$2=CU309),'2025DATA'!$N$32,"")</f>
        <v/>
      </c>
    </row>
    <row r="340" spans="16:99" x14ac:dyDescent="0.25">
      <c r="P340" s="940" t="s">
        <v>51</v>
      </c>
      <c r="Q340" s="13" t="s">
        <v>61</v>
      </c>
      <c r="R340" s="518" t="str">
        <f>IF(AND(_A1="A-220-300",'2025'!$L$4="CA",'2025'!$L$2=R309),'2025DATA'!$C$33,"")</f>
        <v/>
      </c>
      <c r="S340" s="518" t="str">
        <f>IF(AND(_A1="A-220-300",'2025'!$L$4="CA",'2025'!$L$2=S309),'2025DATA'!$D$33,"")</f>
        <v/>
      </c>
      <c r="T340" s="518" t="str">
        <f>IF(AND(_A1="A-220-300",'2025'!$L$4="CA",'2025'!$L$2=T309),'2025DATA'!$E$33,"")</f>
        <v/>
      </c>
      <c r="U340" s="518" t="str">
        <f>IF(AND(_A1="A-220-300",'2025'!$L$4="CA",'2025'!$L$2=U309),'2025DATA'!$F$33,"")</f>
        <v/>
      </c>
      <c r="V340" s="518" t="str">
        <f>IF(AND(_A1="A-220-300",'2025'!$L$4="CA",'2025'!$L$2=V309),'2025DATA'!$G$33,"")</f>
        <v/>
      </c>
      <c r="W340" s="518" t="str">
        <f>IF(AND(_A1="A-220-300",'2025'!$L$4="CA",'2025'!$L$2=W309),'2025DATA'!$H$33,"")</f>
        <v/>
      </c>
      <c r="X340" s="518" t="str">
        <f>IF(AND(_A1="A-220-300",'2025'!$L$4="CA",'2025'!$L$2=X309),'2025DATA'!$I$33,"")</f>
        <v/>
      </c>
      <c r="Y340" s="518" t="str">
        <f>IF(AND(_A1="A-220-300",'2025'!$L$4="CA",'2025'!$L$2=Y309),'2025DATA'!$J$33,"")</f>
        <v/>
      </c>
      <c r="Z340" s="518" t="str">
        <f>IF(AND(_A1="A-220-300",'2025'!$L$4="CA",'2025'!$L$2=Z309),'2025DATA'!$K$33,"")</f>
        <v/>
      </c>
      <c r="AA340" s="518" t="str">
        <f>IF(AND(_A1="A-220-300",'2025'!$L$4="CA",'2025'!$L$2=AA309),'2025DATA'!$L$33,"")</f>
        <v/>
      </c>
      <c r="AB340" s="518" t="str">
        <f>IF(AND(_A1="A-220-300",'2025'!$L$4="CA",'2025'!$L$2=AB309),'2025DATA'!$M$33,"")</f>
        <v/>
      </c>
      <c r="AC340" s="520" t="str">
        <f>IF(AND(_A1="A-220-300",'2025'!$L$4="CA",'2025'!$L$2=AC309),'2025DATA'!$N$33,"")</f>
        <v/>
      </c>
      <c r="AD340" s="940" t="s">
        <v>51</v>
      </c>
      <c r="AE340" s="13" t="s">
        <v>61</v>
      </c>
      <c r="AF340" s="518" t="str">
        <f>IF(AND(_A2="A-220-300",'2025'!$L$4="CA",'2025'!$L$2=AF309),'2025DATA'!$C$33,"")</f>
        <v/>
      </c>
      <c r="AG340" s="518" t="str">
        <f>IF(AND(_A2="A-220-300",'2025'!$L$4="CA",'2025'!$L$2=AG309),'2025DATA'!$D$33,"")</f>
        <v/>
      </c>
      <c r="AH340" s="518" t="str">
        <f>IF(AND(_A2="A-220-300",'2025'!$L$4="CA",'2025'!$L$2=AH309),'2025DATA'!$E$33,"")</f>
        <v/>
      </c>
      <c r="AI340" s="518" t="str">
        <f>IF(AND(_A2="A-220-300",'2025'!$L$4="CA",'2025'!$L$2=AI309),'2025DATA'!$F$33,"")</f>
        <v/>
      </c>
      <c r="AJ340" s="518" t="str">
        <f>IF(AND(_A2="A-220-300",'2025'!$L$4="CA",'2025'!$L$2=AJ309),'2025DATA'!$G$33,"")</f>
        <v/>
      </c>
      <c r="AK340" s="518" t="str">
        <f>IF(AND(_A2="A-220-300",'2025'!$L$4="CA",'2025'!$L$2=AK309),'2025DATA'!$H$33,"")</f>
        <v/>
      </c>
      <c r="AL340" s="518" t="str">
        <f>IF(AND(_A2="A-220-300",'2025'!$L$4="CA",'2025'!$L$2=AL309),'2025DATA'!$I$33,"")</f>
        <v/>
      </c>
      <c r="AM340" s="518" t="str">
        <f>IF(AND(_A2="A-220-300",'2025'!$L$4="CA",'2025'!$L$2=AM309),'2025DATA'!$J$33,"")</f>
        <v/>
      </c>
      <c r="AN340" s="518" t="str">
        <f>IF(AND(_A2="A-220-300",'2025'!$L$4="CA",'2025'!$L$2=AN309),'2025DATA'!$K$33,"")</f>
        <v/>
      </c>
      <c r="AO340" s="518" t="str">
        <f>IF(AND(_A2="A-220-300",'2025'!$L$4="CA",'2025'!$L$2=AO309),'2025DATA'!$L$33,"")</f>
        <v/>
      </c>
      <c r="AP340" s="518" t="str">
        <f>IF(AND(_A2="A-220-300",'2025'!$L$4="CA",'2025'!$L$2=AP309),'2025DATA'!$M$33,"")</f>
        <v/>
      </c>
      <c r="AQ340" s="520" t="str">
        <f>IF(AND(_A2="A-220-300",'2025'!$L$4="CA",'2025'!$L$2=AQ309),'2025DATA'!$N$33,"")</f>
        <v/>
      </c>
      <c r="AR340" s="940" t="s">
        <v>51</v>
      </c>
      <c r="AS340" s="13" t="s">
        <v>61</v>
      </c>
      <c r="AT340" s="518" t="str">
        <f>IF(AND(_A3="A-220-300",'2025'!$L$4="CA",'2025'!$L$2=AT309),'2025DATA'!$C$33,"")</f>
        <v/>
      </c>
      <c r="AU340" s="518" t="str">
        <f>IF(AND(_A3="A-220-300",'2025'!$L$4="CA",'2025'!$L$2=AU309),'2025DATA'!$D$33,"")</f>
        <v/>
      </c>
      <c r="AV340" s="518" t="str">
        <f>IF(AND(_A3="A-220-300",'2025'!$L$4="CA",'2025'!$L$2=AV309),'2025DATA'!$E$33,"")</f>
        <v/>
      </c>
      <c r="AW340" s="518" t="str">
        <f>IF(AND(_A3="A-220-300",'2025'!$L$4="CA",'2025'!$L$2=AW309),'2025DATA'!$F$33,"")</f>
        <v/>
      </c>
      <c r="AX340" s="518" t="str">
        <f>IF(AND(_A3="A-220-300",'2025'!$L$4="CA",'2025'!$L$2=AX309),'2025DATA'!$G$33,"")</f>
        <v/>
      </c>
      <c r="AY340" s="518" t="str">
        <f>IF(AND(_A3="A-220-300",'2025'!$L$4="CA",'2025'!$L$2=AY309),'2025DATA'!$H$33,"")</f>
        <v/>
      </c>
      <c r="AZ340" s="518" t="str">
        <f>IF(AND(_A3="A-220-300",'2025'!$L$4="CA",'2025'!$L$2=AZ309),'2025DATA'!$I$33,"")</f>
        <v/>
      </c>
      <c r="BA340" s="518" t="str">
        <f>IF(AND(_A3="A-220-300",'2025'!$L$4="CA",'2025'!$L$2=BA309),'2025DATA'!$J$33,"")</f>
        <v/>
      </c>
      <c r="BB340" s="518" t="str">
        <f>IF(AND(_A3="A-220-300",'2025'!$L$4="CA",'2025'!$L$2=BB309),'2025DATA'!$K$33,"")</f>
        <v/>
      </c>
      <c r="BC340" s="518" t="str">
        <f>IF(AND(_A3="A-220-300",'2025'!$L$4="CA",'2025'!$L$2=BC309),'2025DATA'!$L$33,"")</f>
        <v/>
      </c>
      <c r="BD340" s="518" t="str">
        <f>IF(AND(_A3="A-220-300",'2025'!$L$4="CA",'2025'!$L$2=BD309),'2025DATA'!$M$33,"")</f>
        <v/>
      </c>
      <c r="BE340" s="520" t="str">
        <f>IF(AND(_A3="A-220-300",'2025'!$L$4="CA",'2025'!$L$2=BE309),'2025DATA'!$N$33,"")</f>
        <v/>
      </c>
      <c r="BF340" s="940" t="s">
        <v>51</v>
      </c>
      <c r="BG340" s="13" t="s">
        <v>61</v>
      </c>
      <c r="BH340" s="518" t="str">
        <f>IF(AND(_A4="A-220-300",'2025'!$L$4="CA",'2025'!$L$2=BH309),'2025DATA'!$C$33,"")</f>
        <v/>
      </c>
      <c r="BI340" s="518" t="str">
        <f>IF(AND(_A4="A-220-300",'2025'!$L$4="CA",'2025'!$L$2=BI309),'2025DATA'!$D$33,"")</f>
        <v/>
      </c>
      <c r="BJ340" s="518" t="str">
        <f>IF(AND(_A4="A-220-300",'2025'!$L$4="CA",'2025'!$L$2=BJ309),'2025DATA'!$E$33,"")</f>
        <v/>
      </c>
      <c r="BK340" s="518" t="str">
        <f>IF(AND(_A4="A-220-300",'2025'!$L$4="CA",'2025'!$L$2=BK309),'2025DATA'!$F$33,"")</f>
        <v/>
      </c>
      <c r="BL340" s="518" t="str">
        <f>IF(AND(_A4="A-220-300",'2025'!$L$4="CA",'2025'!$L$2=BL309),'2025DATA'!$G$33,"")</f>
        <v/>
      </c>
      <c r="BM340" s="518" t="str">
        <f>IF(AND(_A4="A-220-300",'2025'!$L$4="CA",'2025'!$L$2=BM309),'2025DATA'!$H$33,"")</f>
        <v/>
      </c>
      <c r="BN340" s="518" t="str">
        <f>IF(AND(_A4="A-220-300",'2025'!$L$4="CA",'2025'!$L$2=BN309),'2025DATA'!$I$33,"")</f>
        <v/>
      </c>
      <c r="BO340" s="518" t="str">
        <f>IF(AND(_A4="A-220-300",'2025'!$L$4="CA",'2025'!$L$2=BO309),'2025DATA'!$J$33,"")</f>
        <v/>
      </c>
      <c r="BP340" s="518" t="str">
        <f>IF(AND(_A4="A-220-300",'2025'!$L$4="CA",'2025'!$L$2=BP309),'2025DATA'!$K$33,"")</f>
        <v/>
      </c>
      <c r="BQ340" s="518" t="str">
        <f>IF(AND(_A4="A-220-300",'2025'!$L$4="CA",'2025'!$L$2=BQ309),'2025DATA'!$L$33,"")</f>
        <v/>
      </c>
      <c r="BR340" s="518" t="str">
        <f>IF(AND(_A4="A-220-300",'2025'!$L$4="CA",'2025'!$L$2=BR309),'2025DATA'!$M$33,"")</f>
        <v/>
      </c>
      <c r="BS340" s="520" t="str">
        <f>IF(AND(_A4="A-220-300",'2025'!$L$4="CA",'2025'!$L$2=BS309),'2025DATA'!$N$33,"")</f>
        <v/>
      </c>
      <c r="BT340" s="940" t="s">
        <v>51</v>
      </c>
      <c r="BU340" s="13" t="s">
        <v>61</v>
      </c>
      <c r="BV340" s="518" t="str">
        <f>IF(AND(_A5="A-220-300",'2025'!$L$4="CA",'2025'!$L$2=BV309),'2025DATA'!$C$33,"")</f>
        <v/>
      </c>
      <c r="BW340" s="518" t="str">
        <f>IF(AND(_A5="A-220-300",'2025'!$L$4="CA",'2025'!$L$2=BW309),'2025DATA'!$D$33,"")</f>
        <v/>
      </c>
      <c r="BX340" s="518" t="str">
        <f>IF(AND(_A5="A-220-300",'2025'!$L$4="CA",'2025'!$L$2=BX309),'2025DATA'!$E$33,"")</f>
        <v/>
      </c>
      <c r="BY340" s="518" t="str">
        <f>IF(AND(_A5="A-220-300",'2025'!$L$4="CA",'2025'!$L$2=BY309),'2025DATA'!$F$33,"")</f>
        <v/>
      </c>
      <c r="BZ340" s="518" t="str">
        <f>IF(AND(_A5="A-220-300",'2025'!$L$4="CA",'2025'!$L$2=BZ309),'2025DATA'!$G$33,"")</f>
        <v/>
      </c>
      <c r="CA340" s="518" t="str">
        <f>IF(AND(_A5="A-220-300",'2025'!$L$4="CA",'2025'!$L$2=CA309),'2025DATA'!$H$33,"")</f>
        <v/>
      </c>
      <c r="CB340" s="518" t="str">
        <f>IF(AND(_A5="A-220-300",'2025'!$L$4="CA",'2025'!$L$2=CB309),'2025DATA'!$I$33,"")</f>
        <v/>
      </c>
      <c r="CC340" s="518" t="str">
        <f>IF(AND(_A5="A-220-300",'2025'!$L$4="CA",'2025'!$L$2=CC309),'2025DATA'!$J$33,"")</f>
        <v/>
      </c>
      <c r="CD340" s="518" t="str">
        <f>IF(AND(_A5="A-220-300",'2025'!$L$4="CA",'2025'!$L$2=CD309),'2025DATA'!$K$33,"")</f>
        <v/>
      </c>
      <c r="CE340" s="518" t="str">
        <f>IF(AND(_A5="A-220-300",'2025'!$L$4="CA",'2025'!$L$2=CE309),'2025DATA'!$L$33,"")</f>
        <v/>
      </c>
      <c r="CF340" s="518" t="str">
        <f>IF(AND(_A5="A-220-300",'2025'!$L$4="CA",'2025'!$L$2=CF309),'2025DATA'!$M$33,"")</f>
        <v/>
      </c>
      <c r="CG340" s="520" t="str">
        <f>IF(AND(_A5="A-220-300",'2025'!$L$4="CA",'2025'!$L$2=CG309),'2025DATA'!$N$33,"")</f>
        <v/>
      </c>
      <c r="CH340" s="940" t="s">
        <v>51</v>
      </c>
      <c r="CI340" s="13" t="s">
        <v>61</v>
      </c>
      <c r="CJ340" s="518" t="str">
        <f>IF(AND(_A6="A-220-300",'2025'!$L$4="CA",'2025'!$L$2=CJ309),'2025DATA'!$C$33,"")</f>
        <v/>
      </c>
      <c r="CK340" s="518" t="str">
        <f>IF(AND(_A6="A-220-300",'2025'!$L$4="CA",'2025'!$L$2=CK309),'2025DATA'!$D$33,"")</f>
        <v/>
      </c>
      <c r="CL340" s="518" t="str">
        <f>IF(AND(_A6="A-220-300",'2025'!$L$4="CA",'2025'!$L$2=CL309),'2025DATA'!$E$33,"")</f>
        <v/>
      </c>
      <c r="CM340" s="518" t="str">
        <f>IF(AND(_A6="A-220-300",'2025'!$L$4="CA",'2025'!$L$2=CM309),'2025DATA'!$F$33,"")</f>
        <v/>
      </c>
      <c r="CN340" s="518" t="str">
        <f>IF(AND(_A6="A-220-300",'2025'!$L$4="CA",'2025'!$L$2=CN309),'2025DATA'!$G$33,"")</f>
        <v/>
      </c>
      <c r="CO340" s="518" t="str">
        <f>IF(AND(_A6="A-220-300",'2025'!$L$4="CA",'2025'!$L$2=CO309),'2025DATA'!$H$33,"")</f>
        <v/>
      </c>
      <c r="CP340" s="518" t="str">
        <f>IF(AND(_A6="A-220-300",'2025'!$L$4="CA",'2025'!$L$2=CP309),'2025DATA'!$I$33,"")</f>
        <v/>
      </c>
      <c r="CQ340" s="518" t="str">
        <f>IF(AND(_A6="A-220-300",'2025'!$L$4="CA",'2025'!$L$2=CQ309),'2025DATA'!$J$33,"")</f>
        <v/>
      </c>
      <c r="CR340" s="518" t="str">
        <f>IF(AND(_A6="A-220-300",'2025'!$L$4="CA",'2025'!$L$2=CR309),'2025DATA'!$K$33,"")</f>
        <v/>
      </c>
      <c r="CS340" s="518" t="str">
        <f>IF(AND(_A6="A-220-300",'2025'!$L$4="CA",'2025'!$L$2=CS309),'2025DATA'!$L$33,"")</f>
        <v/>
      </c>
      <c r="CT340" s="518" t="str">
        <f>IF(AND(_A6="A-220-300",'2025'!$L$4="CA",'2025'!$L$2=CT309),'2025DATA'!$M$33,"")</f>
        <v/>
      </c>
      <c r="CU340" s="520" t="str">
        <f>IF(AND(_A6="A-220-300",'2025'!$L$4="CA",'2025'!$L$2=CU309),'2025DATA'!$N$33,"")</f>
        <v/>
      </c>
    </row>
    <row r="341" spans="16:99" x14ac:dyDescent="0.25">
      <c r="P341" s="940"/>
      <c r="Q341" s="13" t="s">
        <v>62</v>
      </c>
      <c r="R341" s="518" t="str">
        <f>IF(AND(_A1="A-220-300",'2025'!$L$4="FO",'2025'!$L$2=R309),'2025DATA'!$C$34,"")</f>
        <v/>
      </c>
      <c r="S341" s="518" t="str">
        <f>IF(AND(_A1="A-220-300",'2025'!$L$4="FO",'2025'!$L$2=S309),'2025DATA'!$D$34,"")</f>
        <v/>
      </c>
      <c r="T341" s="518" t="str">
        <f>IF(AND(_A1="A-220-300",'2025'!$L$4="FO",'2025'!$L$2=T309),'2025DATA'!$E$34,"")</f>
        <v/>
      </c>
      <c r="U341" s="518" t="str">
        <f>IF(AND(_A1="A-220-300",'2025'!$L$4="FO",'2025'!$L$2=U309),'2025DATA'!$F$34,"")</f>
        <v/>
      </c>
      <c r="V341" s="518" t="str">
        <f>IF(AND(_A1="A-220-300",'2025'!$L$4="FO",'2025'!$L$2=V309),'2025DATA'!$G$34,"")</f>
        <v/>
      </c>
      <c r="W341" s="518" t="str">
        <f>IF(AND(_A1="A-220-300",'2025'!$L$4="FO",'2025'!$L$2=W309),'2025DATA'!$H$34,"")</f>
        <v/>
      </c>
      <c r="X341" s="518" t="str">
        <f>IF(AND(_A1="A-220-300",'2025'!$L$4="FO",'2025'!$L$2=X309),'2025DATA'!$I$34,"")</f>
        <v/>
      </c>
      <c r="Y341" s="518" t="str">
        <f>IF(AND(_A1="A-220-300",'2025'!$L$4="FO",'2025'!$L$2=Y309),'2025DATA'!$J$34,"")</f>
        <v/>
      </c>
      <c r="Z341" s="518" t="str">
        <f>IF(AND(_A1="A-220-300",'2025'!$L$4="FO",'2025'!$L$2=Z309),'2025DATA'!$K$34,"")</f>
        <v/>
      </c>
      <c r="AA341" s="518" t="str">
        <f>IF(AND(_A1="A-220-300",'2025'!$L$4="FO",'2025'!$L$2=AA309),'2025DATA'!$L$34,"")</f>
        <v/>
      </c>
      <c r="AB341" s="518" t="str">
        <f>IF(AND(_A1="A-220-300",'2025'!$L$4="FO",'2025'!$L$2=AB309),'2025DATA'!$M$34,"")</f>
        <v/>
      </c>
      <c r="AC341" s="520" t="str">
        <f>IF(AND(_A1="A-220-300",'2025'!$L$4="FO",'2025'!$L$2=AC309),'2025DATA'!$N$34,"")</f>
        <v/>
      </c>
      <c r="AD341" s="940"/>
      <c r="AE341" s="13" t="s">
        <v>62</v>
      </c>
      <c r="AF341" s="518" t="str">
        <f>IF(AND(_A2="A-220-300",'2025'!$L$4="FO",'2025'!$L$2=AF309),'2025DATA'!$C$34,"")</f>
        <v/>
      </c>
      <c r="AG341" s="518" t="str">
        <f>IF(AND(_A2="A-220-300",'2025'!$L$4="FO",'2025'!$L$2=AG309),'2025DATA'!$D$34,"")</f>
        <v/>
      </c>
      <c r="AH341" s="518" t="str">
        <f>IF(AND(_A2="A-220-300",'2025'!$L$4="FO",'2025'!$L$2=AH309),'2025DATA'!$E$34,"")</f>
        <v/>
      </c>
      <c r="AI341" s="518" t="str">
        <f>IF(AND(_A2="A-220-300",'2025'!$L$4="FO",'2025'!$L$2=AI309),'2025DATA'!$F$34,"")</f>
        <v/>
      </c>
      <c r="AJ341" s="518" t="str">
        <f>IF(AND(_A2="A-220-300",'2025'!$L$4="FO",'2025'!$L$2=AJ309),'2025DATA'!$G$34,"")</f>
        <v/>
      </c>
      <c r="AK341" s="518" t="str">
        <f>IF(AND(_A2="A-220-300",'2025'!$L$4="FO",'2025'!$L$2=AK309),'2025DATA'!$H$34,"")</f>
        <v/>
      </c>
      <c r="AL341" s="518" t="str">
        <f>IF(AND(_A2="A-220-300",'2025'!$L$4="FO",'2025'!$L$2=AL309),'2025DATA'!$I$34,"")</f>
        <v/>
      </c>
      <c r="AM341" s="518" t="str">
        <f>IF(AND(_A2="A-220-300",'2025'!$L$4="FO",'2025'!$L$2=AM309),'2025DATA'!$J$34,"")</f>
        <v/>
      </c>
      <c r="AN341" s="518" t="str">
        <f>IF(AND(_A2="A-220-300",'2025'!$L$4="FO",'2025'!$L$2=AN309),'2025DATA'!$K$34,"")</f>
        <v/>
      </c>
      <c r="AO341" s="518" t="str">
        <f>IF(AND(_A2="A-220-300",'2025'!$L$4="FO",'2025'!$L$2=AO309),'2025DATA'!$L$34,"")</f>
        <v/>
      </c>
      <c r="AP341" s="518" t="str">
        <f>IF(AND(_A2="A-220-300",'2025'!$L$4="FO",'2025'!$L$2=AP309),'2025DATA'!$M$34,"")</f>
        <v/>
      </c>
      <c r="AQ341" s="520" t="str">
        <f>IF(AND(_A2="A-220-300",'2025'!$L$4="FO",'2025'!$L$2=AQ309),'2025DATA'!$N$34,"")</f>
        <v/>
      </c>
      <c r="AR341" s="940"/>
      <c r="AS341" s="13" t="s">
        <v>62</v>
      </c>
      <c r="AT341" s="518" t="str">
        <f>IF(AND(_A3="A-220-300",'2025'!$L$4="FO",'2025'!$L$2=AT309),'2025DATA'!$C$34,"")</f>
        <v/>
      </c>
      <c r="AU341" s="518" t="str">
        <f>IF(AND(_A3="A-220-300",'2025'!$L$4="FO",'2025'!$L$2=AU309),'2025DATA'!$D$34,"")</f>
        <v/>
      </c>
      <c r="AV341" s="518" t="str">
        <f>IF(AND(_A3="A-220-300",'2025'!$L$4="FO",'2025'!$L$2=AV309),'2025DATA'!$E$34,"")</f>
        <v/>
      </c>
      <c r="AW341" s="518" t="str">
        <f>IF(AND(_A3="A-220-300",'2025'!$L$4="FO",'2025'!$L$2=AW309),'2025DATA'!$F$34,"")</f>
        <v/>
      </c>
      <c r="AX341" s="518" t="str">
        <f>IF(AND(_A3="A-220-300",'2025'!$L$4="FO",'2025'!$L$2=AX309),'2025DATA'!$G$34,"")</f>
        <v/>
      </c>
      <c r="AY341" s="518" t="str">
        <f>IF(AND(_A3="A-220-300",'2025'!$L$4="FO",'2025'!$L$2=AY309),'2025DATA'!$H$34,"")</f>
        <v/>
      </c>
      <c r="AZ341" s="518" t="str">
        <f>IF(AND(_A3="A-220-300",'2025'!$L$4="FO",'2025'!$L$2=AZ309),'2025DATA'!$I$34,"")</f>
        <v/>
      </c>
      <c r="BA341" s="518" t="str">
        <f>IF(AND(_A3="A-220-300",'2025'!$L$4="FO",'2025'!$L$2=BA309),'2025DATA'!$J$34,"")</f>
        <v/>
      </c>
      <c r="BB341" s="518" t="str">
        <f>IF(AND(_A3="A-220-300",'2025'!$L$4="FO",'2025'!$L$2=BB309),'2025DATA'!$K$34,"")</f>
        <v/>
      </c>
      <c r="BC341" s="518" t="str">
        <f>IF(AND(_A3="A-220-300",'2025'!$L$4="FO",'2025'!$L$2=BC309),'2025DATA'!$L$34,"")</f>
        <v/>
      </c>
      <c r="BD341" s="518" t="str">
        <f>IF(AND(_A3="A-220-300",'2025'!$L$4="FO",'2025'!$L$2=BD309),'2025DATA'!$M$34,"")</f>
        <v/>
      </c>
      <c r="BE341" s="520" t="str">
        <f>IF(AND(_A3="A-220-300",'2025'!$L$4="FO",'2025'!$L$2=BE309),'2025DATA'!$N$34,"")</f>
        <v/>
      </c>
      <c r="BF341" s="940"/>
      <c r="BG341" s="13" t="s">
        <v>62</v>
      </c>
      <c r="BH341" s="518" t="str">
        <f>IF(AND(_A4="A-220-300",'2025'!$L$4="FO",'2025'!$L$2=BH309),'2025DATA'!$C$34,"")</f>
        <v/>
      </c>
      <c r="BI341" s="518" t="str">
        <f>IF(AND(_A4="A-220-300",'2025'!$L$4="FO",'2025'!$L$2=BI309),'2025DATA'!$D$34,"")</f>
        <v/>
      </c>
      <c r="BJ341" s="518" t="str">
        <f>IF(AND(_A4="A-220-300",'2025'!$L$4="FO",'2025'!$L$2=BJ309),'2025DATA'!$E$34,"")</f>
        <v/>
      </c>
      <c r="BK341" s="518" t="str">
        <f>IF(AND(_A4="A-220-300",'2025'!$L$4="FO",'2025'!$L$2=BK309),'2025DATA'!$F$34,"")</f>
        <v/>
      </c>
      <c r="BL341" s="518" t="str">
        <f>IF(AND(_A4="A-220-300",'2025'!$L$4="FO",'2025'!$L$2=BL309),'2025DATA'!$G$34,"")</f>
        <v/>
      </c>
      <c r="BM341" s="518" t="str">
        <f>IF(AND(_A4="A-220-300",'2025'!$L$4="FO",'2025'!$L$2=BM309),'2025DATA'!$H$34,"")</f>
        <v/>
      </c>
      <c r="BN341" s="518" t="str">
        <f>IF(AND(_A4="A-220-300",'2025'!$L$4="FO",'2025'!$L$2=BN309),'2025DATA'!$I$34,"")</f>
        <v/>
      </c>
      <c r="BO341" s="518" t="str">
        <f>IF(AND(_A4="A-220-300",'2025'!$L$4="FO",'2025'!$L$2=BO309),'2025DATA'!$J$34,"")</f>
        <v/>
      </c>
      <c r="BP341" s="518" t="str">
        <f>IF(AND(_A4="A-220-300",'2025'!$L$4="FO",'2025'!$L$2=BP309),'2025DATA'!$K$34,"")</f>
        <v/>
      </c>
      <c r="BQ341" s="518" t="str">
        <f>IF(AND(_A4="A-220-300",'2025'!$L$4="FO",'2025'!$L$2=BQ309),'2025DATA'!$L$34,"")</f>
        <v/>
      </c>
      <c r="BR341" s="518" t="str">
        <f>IF(AND(_A4="A-220-300",'2025'!$L$4="FO",'2025'!$L$2=BR309),'2025DATA'!$M$34,"")</f>
        <v/>
      </c>
      <c r="BS341" s="520" t="str">
        <f>IF(AND(_A4="A-220-300",'2025'!$L$4="FO",'2025'!$L$2=BS309),'2025DATA'!$N$34,"")</f>
        <v/>
      </c>
      <c r="BT341" s="940"/>
      <c r="BU341" s="13" t="s">
        <v>62</v>
      </c>
      <c r="BV341" s="518" t="str">
        <f>IF(AND(_A5="A-220-300",'2025'!$L$4="FO",'2025'!$L$2=BV309),'2025DATA'!$C$34,"")</f>
        <v/>
      </c>
      <c r="BW341" s="518" t="str">
        <f>IF(AND(_A5="A-220-300",'2025'!$L$4="FO",'2025'!$L$2=BW309),'2025DATA'!$D$34,"")</f>
        <v/>
      </c>
      <c r="BX341" s="518" t="str">
        <f>IF(AND(_A5="A-220-300",'2025'!$L$4="FO",'2025'!$L$2=BX309),'2025DATA'!$E$34,"")</f>
        <v/>
      </c>
      <c r="BY341" s="518" t="str">
        <f>IF(AND(_A5="A-220-300",'2025'!$L$4="FO",'2025'!$L$2=BY309),'2025DATA'!$F$34,"")</f>
        <v/>
      </c>
      <c r="BZ341" s="518" t="str">
        <f>IF(AND(_A5="A-220-300",'2025'!$L$4="FO",'2025'!$L$2=BZ309),'2025DATA'!$G$34,"")</f>
        <v/>
      </c>
      <c r="CA341" s="518" t="str">
        <f>IF(AND(_A5="A-220-300",'2025'!$L$4="FO",'2025'!$L$2=CA309),'2025DATA'!$H$34,"")</f>
        <v/>
      </c>
      <c r="CB341" s="518" t="str">
        <f>IF(AND(_A5="A-220-300",'2025'!$L$4="FO",'2025'!$L$2=CB309),'2025DATA'!$I$34,"")</f>
        <v/>
      </c>
      <c r="CC341" s="518" t="str">
        <f>IF(AND(_A5="A-220-300",'2025'!$L$4="FO",'2025'!$L$2=CC309),'2025DATA'!$J$34,"")</f>
        <v/>
      </c>
      <c r="CD341" s="518" t="str">
        <f>IF(AND(_A5="A-220-300",'2025'!$L$4="FO",'2025'!$L$2=CD309),'2025DATA'!$K$34,"")</f>
        <v/>
      </c>
      <c r="CE341" s="518" t="str">
        <f>IF(AND(_A5="A-220-300",'2025'!$L$4="FO",'2025'!$L$2=CE309),'2025DATA'!$L$34,"")</f>
        <v/>
      </c>
      <c r="CF341" s="518" t="str">
        <f>IF(AND(_A5="A-220-300",'2025'!$L$4="FO",'2025'!$L$2=CF309),'2025DATA'!$M$34,"")</f>
        <v/>
      </c>
      <c r="CG341" s="520" t="str">
        <f>IF(AND(_A5="A-220-300",'2025'!$L$4="FO",'2025'!$L$2=CG309),'2025DATA'!$N$34,"")</f>
        <v/>
      </c>
      <c r="CH341" s="940"/>
      <c r="CI341" s="13" t="s">
        <v>62</v>
      </c>
      <c r="CJ341" s="518" t="str">
        <f>IF(AND(_A6="A-220-300",'2025'!$L$4="FO",'2025'!$L$2=CJ309),'2025DATA'!$C$34,"")</f>
        <v/>
      </c>
      <c r="CK341" s="518" t="str">
        <f>IF(AND(_A6="A-220-300",'2025'!$L$4="FO",'2025'!$L$2=CK309),'2025DATA'!$D$34,"")</f>
        <v/>
      </c>
      <c r="CL341" s="518" t="str">
        <f>IF(AND(_A6="A-220-300",'2025'!$L$4="FO",'2025'!$L$2=CL309),'2025DATA'!$E$34,"")</f>
        <v/>
      </c>
      <c r="CM341" s="518" t="str">
        <f>IF(AND(_A6="A-220-300",'2025'!$L$4="FO",'2025'!$L$2=CM309),'2025DATA'!$F$34,"")</f>
        <v/>
      </c>
      <c r="CN341" s="518" t="str">
        <f>IF(AND(_A6="A-220-300",'2025'!$L$4="FO",'2025'!$L$2=CN309),'2025DATA'!$G$34,"")</f>
        <v/>
      </c>
      <c r="CO341" s="518" t="str">
        <f>IF(AND(_A6="A-220-300",'2025'!$L$4="FO",'2025'!$L$2=CO309),'2025DATA'!$H$34,"")</f>
        <v/>
      </c>
      <c r="CP341" s="518" t="str">
        <f>IF(AND(_A6="A-220-300",'2025'!$L$4="FO",'2025'!$L$2=CP309),'2025DATA'!$I$34,"")</f>
        <v/>
      </c>
      <c r="CQ341" s="518" t="str">
        <f>IF(AND(_A6="A-220-300",'2025'!$L$4="FO",'2025'!$L$2=CQ309),'2025DATA'!$J$34,"")</f>
        <v/>
      </c>
      <c r="CR341" s="518" t="str">
        <f>IF(AND(_A6="A-220-300",'2025'!$L$4="FO",'2025'!$L$2=CR309),'2025DATA'!$K$34,"")</f>
        <v/>
      </c>
      <c r="CS341" s="518" t="str">
        <f>IF(AND(_A6="A-220-300",'2025'!$L$4="FO",'2025'!$L$2=CS309),'2025DATA'!$L$34,"")</f>
        <v/>
      </c>
      <c r="CT341" s="518" t="str">
        <f>IF(AND(_A6="A-220-300",'2025'!$L$4="FO",'2025'!$L$2=CT309),'2025DATA'!$M$34,"")</f>
        <v/>
      </c>
      <c r="CU341" s="520" t="str">
        <f>IF(AND(_A6="A-220-300",'2025'!$L$4="FO",'2025'!$L$2=CU309),'2025DATA'!$N$34,"")</f>
        <v/>
      </c>
    </row>
    <row r="342" spans="16:99" x14ac:dyDescent="0.25">
      <c r="P342" s="940" t="s">
        <v>52</v>
      </c>
      <c r="Q342" s="13" t="s">
        <v>61</v>
      </c>
      <c r="R342" s="518" t="str">
        <f>IF(AND(_A1="A-220-100",'2025'!$L$4="CA",'2025'!$L$2=R309),'2025DATA'!$C$35,"")</f>
        <v/>
      </c>
      <c r="S342" s="518" t="str">
        <f>IF(AND(_A1="A-220-100",'2025'!$L$4="CA",'2025'!$L$2=S309),'2025DATA'!$D$35,"")</f>
        <v/>
      </c>
      <c r="T342" s="518" t="str">
        <f>IF(AND(_A1="A-220-100",'2025'!$L$4="CA",'2025'!$L$2=T309),'2025DATA'!$E$35,"")</f>
        <v/>
      </c>
      <c r="U342" s="518" t="str">
        <f>IF(AND(_A1="A-220-100",'2025'!$L$4="CA",'2025'!$L$2=U309),'2025DATA'!$F$35,"")</f>
        <v/>
      </c>
      <c r="V342" s="518" t="str">
        <f>IF(AND(_A1="A-220-100",'2025'!$L$4="CA",'2025'!$L$2=V309),'2025DATA'!$G$35,"")</f>
        <v/>
      </c>
      <c r="W342" s="518" t="str">
        <f>IF(AND(_A1="A-220-100",'2025'!$L$4="CA",'2025'!$L$2=W309),'2025DATA'!$H$35,"")</f>
        <v/>
      </c>
      <c r="X342" s="518" t="str">
        <f>IF(AND(_A1="A-220-100",'2025'!$L$4="CA",'2025'!$L$2=X309),'2025DATA'!$I$35,"")</f>
        <v/>
      </c>
      <c r="Y342" s="518" t="str">
        <f>IF(AND(_A1="A-220-100",'2025'!$L$4="CA",'2025'!$L$2=Y309),'2025DATA'!$J$35,"")</f>
        <v/>
      </c>
      <c r="Z342" s="518" t="str">
        <f>IF(AND(_A1="A-220-100",'2025'!$L$4="CA",'2025'!$L$2=Z309),'2025DATA'!$K$35,"")</f>
        <v/>
      </c>
      <c r="AA342" s="518" t="str">
        <f>IF(AND(_A1="A-220-100",'2025'!$L$4="CA",'2025'!$L$2=AA309),'2025DATA'!$L$35,"")</f>
        <v/>
      </c>
      <c r="AB342" s="518" t="str">
        <f>IF(AND(_A1="A-220-100",'2025'!$L$4="CA",'2025'!$L$2=AB309),'2025DATA'!$M$35,"")</f>
        <v/>
      </c>
      <c r="AC342" s="520" t="str">
        <f>IF(AND(_A1="A-220-100",'2025'!$L$4="CA",'2025'!$L$2=AC309),'2025DATA'!$N$35,"")</f>
        <v/>
      </c>
      <c r="AD342" s="940" t="s">
        <v>52</v>
      </c>
      <c r="AE342" s="13" t="s">
        <v>61</v>
      </c>
      <c r="AF342" s="518" t="str">
        <f>IF(AND(_A2="A-220-100",'2025'!$L$4="CA",'2025'!$L$2=AF309),'2025DATA'!$C$35,"")</f>
        <v/>
      </c>
      <c r="AG342" s="518" t="str">
        <f>IF(AND(_A2="A-220-100",'2025'!$L$4="CA",'2025'!$L$2=AG309),'2025DATA'!$D$35,"")</f>
        <v/>
      </c>
      <c r="AH342" s="518" t="str">
        <f>IF(AND(_A2="A-220-100",'2025'!$L$4="CA",'2025'!$L$2=AH309),'2025DATA'!$E$35,"")</f>
        <v/>
      </c>
      <c r="AI342" s="518" t="str">
        <f>IF(AND(_A2="A-220-100",'2025'!$L$4="CA",'2025'!$L$2=AI309),'2025DATA'!$F$35,"")</f>
        <v/>
      </c>
      <c r="AJ342" s="518" t="str">
        <f>IF(AND(_A2="A-220-100",'2025'!$L$4="CA",'2025'!$L$2=AJ309),'2025DATA'!$G$35,"")</f>
        <v/>
      </c>
      <c r="AK342" s="518" t="str">
        <f>IF(AND(_A2="A-220-100",'2025'!$L$4="CA",'2025'!$L$2=AK309),'2025DATA'!$H$35,"")</f>
        <v/>
      </c>
      <c r="AL342" s="518" t="str">
        <f>IF(AND(_A2="A-220-100",'2025'!$L$4="CA",'2025'!$L$2=AL309),'2025DATA'!$I$35,"")</f>
        <v/>
      </c>
      <c r="AM342" s="518" t="str">
        <f>IF(AND(_A2="A-220-100",'2025'!$L$4="CA",'2025'!$L$2=AM309),'2025DATA'!$J$35,"")</f>
        <v/>
      </c>
      <c r="AN342" s="518" t="str">
        <f>IF(AND(_A2="A-220-100",'2025'!$L$4="CA",'2025'!$L$2=AN309),'2025DATA'!$K$35,"")</f>
        <v/>
      </c>
      <c r="AO342" s="518" t="str">
        <f>IF(AND(_A2="A-220-100",'2025'!$L$4="CA",'2025'!$L$2=AO309),'2025DATA'!$L$35,"")</f>
        <v/>
      </c>
      <c r="AP342" s="518" t="str">
        <f>IF(AND(_A2="A-220-100",'2025'!$L$4="CA",'2025'!$L$2=AP309),'2025DATA'!$M$35,"")</f>
        <v/>
      </c>
      <c r="AQ342" s="520" t="str">
        <f>IF(AND(_A2="A-220-100",'2025'!$L$4="CA",'2025'!$L$2=AQ309),'2025DATA'!$N$35,"")</f>
        <v/>
      </c>
      <c r="AR342" s="940" t="s">
        <v>52</v>
      </c>
      <c r="AS342" s="13" t="s">
        <v>61</v>
      </c>
      <c r="AT342" s="518" t="str">
        <f>IF(AND(_A3="A-220-100",'2025'!$L$4="CA",'2025'!$L$2=AT309),'2025DATA'!$C$35,"")</f>
        <v/>
      </c>
      <c r="AU342" s="518" t="str">
        <f>IF(AND(_A3="A-220-100",'2025'!$L$4="CA",'2025'!$L$2=AU309),'2025DATA'!$D$35,"")</f>
        <v/>
      </c>
      <c r="AV342" s="518" t="str">
        <f>IF(AND(_A3="A-220-100",'2025'!$L$4="CA",'2025'!$L$2=AV309),'2025DATA'!$E$35,"")</f>
        <v/>
      </c>
      <c r="AW342" s="518" t="str">
        <f>IF(AND(_A3="A-220-100",'2025'!$L$4="CA",'2025'!$L$2=AW309),'2025DATA'!$F$35,"")</f>
        <v/>
      </c>
      <c r="AX342" s="518" t="str">
        <f>IF(AND(_A3="A-220-100",'2025'!$L$4="CA",'2025'!$L$2=AX309),'2025DATA'!$G$35,"")</f>
        <v/>
      </c>
      <c r="AY342" s="518" t="str">
        <f>IF(AND(_A3="A-220-100",'2025'!$L$4="CA",'2025'!$L$2=AY309),'2025DATA'!$H$35,"")</f>
        <v/>
      </c>
      <c r="AZ342" s="518" t="str">
        <f>IF(AND(_A3="A-220-100",'2025'!$L$4="CA",'2025'!$L$2=AZ309),'2025DATA'!$I$35,"")</f>
        <v/>
      </c>
      <c r="BA342" s="518" t="str">
        <f>IF(AND(_A3="A-220-100",'2025'!$L$4="CA",'2025'!$L$2=BA309),'2025DATA'!$J$35,"")</f>
        <v/>
      </c>
      <c r="BB342" s="518" t="str">
        <f>IF(AND(_A3="A-220-100",'2025'!$L$4="CA",'2025'!$L$2=BB309),'2025DATA'!$K$35,"")</f>
        <v/>
      </c>
      <c r="BC342" s="518" t="str">
        <f>IF(AND(_A3="A-220-100",'2025'!$L$4="CA",'2025'!$L$2=BC309),'2025DATA'!$L$35,"")</f>
        <v/>
      </c>
      <c r="BD342" s="518" t="str">
        <f>IF(AND(_A3="A-220-100",'2025'!$L$4="CA",'2025'!$L$2=BD309),'2025DATA'!$M$35,"")</f>
        <v/>
      </c>
      <c r="BE342" s="520" t="str">
        <f>IF(AND(_A3="A-220-100",'2025'!$L$4="CA",'2025'!$L$2=BE309),'2025DATA'!$N$35,"")</f>
        <v/>
      </c>
      <c r="BF342" s="940" t="s">
        <v>52</v>
      </c>
      <c r="BG342" s="13" t="s">
        <v>61</v>
      </c>
      <c r="BH342" s="518" t="str">
        <f>IF(AND(_A4="A-220-100",'2025'!$L$4="CA",'2025'!$L$2=BH309),'2025DATA'!$C$35,"")</f>
        <v/>
      </c>
      <c r="BI342" s="518" t="str">
        <f>IF(AND(_A4="A-220-100",'2025'!$L$4="CA",'2025'!$L$2=BI309),'2025DATA'!$D$35,"")</f>
        <v/>
      </c>
      <c r="BJ342" s="518" t="str">
        <f>IF(AND(_A4="A-220-100",'2025'!$L$4="CA",'2025'!$L$2=BJ309),'2025DATA'!$E$35,"")</f>
        <v/>
      </c>
      <c r="BK342" s="518" t="str">
        <f>IF(AND(_A4="A-220-100",'2025'!$L$4="CA",'2025'!$L$2=BK309),'2025DATA'!$F$35,"")</f>
        <v/>
      </c>
      <c r="BL342" s="518" t="str">
        <f>IF(AND(_A4="A-220-100",'2025'!$L$4="CA",'2025'!$L$2=BL309),'2025DATA'!$G$35,"")</f>
        <v/>
      </c>
      <c r="BM342" s="518" t="str">
        <f>IF(AND(_A4="A-220-100",'2025'!$L$4="CA",'2025'!$L$2=BM309),'2025DATA'!$H$35,"")</f>
        <v/>
      </c>
      <c r="BN342" s="518" t="str">
        <f>IF(AND(_A4="A-220-100",'2025'!$L$4="CA",'2025'!$L$2=BN309),'2025DATA'!$I$35,"")</f>
        <v/>
      </c>
      <c r="BO342" s="518" t="str">
        <f>IF(AND(_A4="A-220-100",'2025'!$L$4="CA",'2025'!$L$2=BO309),'2025DATA'!$J$35,"")</f>
        <v/>
      </c>
      <c r="BP342" s="518" t="str">
        <f>IF(AND(_A4="A-220-100",'2025'!$L$4="CA",'2025'!$L$2=BP309),'2025DATA'!$K$35,"")</f>
        <v/>
      </c>
      <c r="BQ342" s="518" t="str">
        <f>IF(AND(_A4="A-220-100",'2025'!$L$4="CA",'2025'!$L$2=BQ309),'2025DATA'!$L$35,"")</f>
        <v/>
      </c>
      <c r="BR342" s="518" t="str">
        <f>IF(AND(_A4="A-220-100",'2025'!$L$4="CA",'2025'!$L$2=BR309),'2025DATA'!$M$35,"")</f>
        <v/>
      </c>
      <c r="BS342" s="520" t="str">
        <f>IF(AND(_A4="A-220-100",'2025'!$L$4="CA",'2025'!$L$2=BS309),'2025DATA'!$N$35,"")</f>
        <v/>
      </c>
      <c r="BT342" s="940" t="s">
        <v>52</v>
      </c>
      <c r="BU342" s="13" t="s">
        <v>61</v>
      </c>
      <c r="BV342" s="518" t="str">
        <f>IF(AND(_A5="A-220-100",'2025'!$L$4="CA",'2025'!$L$2=BV309),'2025DATA'!$C$35,"")</f>
        <v/>
      </c>
      <c r="BW342" s="518" t="str">
        <f>IF(AND(_A5="A-220-100",'2025'!$L$4="CA",'2025'!$L$2=BW309),'2025DATA'!$D$35,"")</f>
        <v/>
      </c>
      <c r="BX342" s="518" t="str">
        <f>IF(AND(_A5="A-220-100",'2025'!$L$4="CA",'2025'!$L$2=BX309),'2025DATA'!$E$35,"")</f>
        <v/>
      </c>
      <c r="BY342" s="518" t="str">
        <f>IF(AND(_A5="A-220-100",'2025'!$L$4="CA",'2025'!$L$2=BY309),'2025DATA'!$F$35,"")</f>
        <v/>
      </c>
      <c r="BZ342" s="518" t="str">
        <f>IF(AND(_A5="A-220-100",'2025'!$L$4="CA",'2025'!$L$2=BZ309),'2025DATA'!$G$35,"")</f>
        <v/>
      </c>
      <c r="CA342" s="518" t="str">
        <f>IF(AND(_A5="A-220-100",'2025'!$L$4="CA",'2025'!$L$2=CA309),'2025DATA'!$H$35,"")</f>
        <v/>
      </c>
      <c r="CB342" s="518" t="str">
        <f>IF(AND(_A5="A-220-100",'2025'!$L$4="CA",'2025'!$L$2=CB309),'2025DATA'!$I$35,"")</f>
        <v/>
      </c>
      <c r="CC342" s="518" t="str">
        <f>IF(AND(_A5="A-220-100",'2025'!$L$4="CA",'2025'!$L$2=CC309),'2025DATA'!$J$35,"")</f>
        <v/>
      </c>
      <c r="CD342" s="518" t="str">
        <f>IF(AND(_A5="A-220-100",'2025'!$L$4="CA",'2025'!$L$2=CD309),'2025DATA'!$K$35,"")</f>
        <v/>
      </c>
      <c r="CE342" s="518" t="str">
        <f>IF(AND(_A5="A-220-100",'2025'!$L$4="CA",'2025'!$L$2=CE309),'2025DATA'!$L$35,"")</f>
        <v/>
      </c>
      <c r="CF342" s="518" t="str">
        <f>IF(AND(_A5="A-220-100",'2025'!$L$4="CA",'2025'!$L$2=CF309),'2025DATA'!$M$35,"")</f>
        <v/>
      </c>
      <c r="CG342" s="520" t="str">
        <f>IF(AND(_A5="A-220-100",'2025'!$L$4="CA",'2025'!$L$2=CG309),'2025DATA'!$N$35,"")</f>
        <v/>
      </c>
      <c r="CH342" s="940" t="s">
        <v>52</v>
      </c>
      <c r="CI342" s="13" t="s">
        <v>61</v>
      </c>
      <c r="CJ342" s="518" t="str">
        <f>IF(AND(_A6="A-220-100",'2025'!$L$4="CA",'2025'!$L$2=CJ309),'2025DATA'!$C$35,"")</f>
        <v/>
      </c>
      <c r="CK342" s="518" t="str">
        <f>IF(AND(_A6="A-220-100",'2025'!$L$4="CA",'2025'!$L$2=CK309),'2025DATA'!$D$35,"")</f>
        <v/>
      </c>
      <c r="CL342" s="518" t="str">
        <f>IF(AND(_A6="A-220-100",'2025'!$L$4="CA",'2025'!$L$2=CL309),'2025DATA'!$E$35,"")</f>
        <v/>
      </c>
      <c r="CM342" s="518" t="str">
        <f>IF(AND(_A6="A-220-100",'2025'!$L$4="CA",'2025'!$L$2=CM309),'2025DATA'!$F$35,"")</f>
        <v/>
      </c>
      <c r="CN342" s="518" t="str">
        <f>IF(AND(_A6="A-220-100",'2025'!$L$4="CA",'2025'!$L$2=CN309),'2025DATA'!$G$35,"")</f>
        <v/>
      </c>
      <c r="CO342" s="518" t="str">
        <f>IF(AND(_A6="A-220-100",'2025'!$L$4="CA",'2025'!$L$2=CO309),'2025DATA'!$H$35,"")</f>
        <v/>
      </c>
      <c r="CP342" s="518" t="str">
        <f>IF(AND(_A6="A-220-100",'2025'!$L$4="CA",'2025'!$L$2=CP309),'2025DATA'!$I$35,"")</f>
        <v/>
      </c>
      <c r="CQ342" s="518" t="str">
        <f>IF(AND(_A6="A-220-100",'2025'!$L$4="CA",'2025'!$L$2=CQ309),'2025DATA'!$J$35,"")</f>
        <v/>
      </c>
      <c r="CR342" s="518" t="str">
        <f>IF(AND(_A6="A-220-100",'2025'!$L$4="CA",'2025'!$L$2=CR309),'2025DATA'!$K$35,"")</f>
        <v/>
      </c>
      <c r="CS342" s="518" t="str">
        <f>IF(AND(_A6="A-220-100",'2025'!$L$4="CA",'2025'!$L$2=CS309),'2025DATA'!$L$35,"")</f>
        <v/>
      </c>
      <c r="CT342" s="518" t="str">
        <f>IF(AND(_A6="A-220-100",'2025'!$L$4="CA",'2025'!$L$2=CT309),'2025DATA'!$M$35,"")</f>
        <v/>
      </c>
      <c r="CU342" s="520" t="str">
        <f>IF(AND(_A6="A-220-100",'2025'!$L$4="CA",'2025'!$L$2=CU309),'2025DATA'!$N$35,"")</f>
        <v/>
      </c>
    </row>
    <row r="343" spans="16:99" x14ac:dyDescent="0.25">
      <c r="P343" s="940"/>
      <c r="Q343" s="13" t="s">
        <v>62</v>
      </c>
      <c r="R343" s="518" t="str">
        <f>IF(AND(_A1="A-220-100",'2025'!$L$4="FO",'2025'!$L$2=R309),'2025DATA'!$C$36,"")</f>
        <v/>
      </c>
      <c r="S343" s="518" t="str">
        <f>IF(AND(_A1="A-220-100",'2025'!$L$4="FO",'2025'!$L$2=S309),'2025DATA'!$D$36,"")</f>
        <v/>
      </c>
      <c r="T343" s="518" t="str">
        <f>IF(AND(_A1="A-220-100",'2025'!$L$4="FO",'2025'!$L$2=T309),'2025DATA'!$E$36,"")</f>
        <v/>
      </c>
      <c r="U343" s="518" t="str">
        <f>IF(AND(_A1="A-220-100",'2025'!$L$4="FO",'2025'!$L$2=U309),'2025DATA'!$F$36,"")</f>
        <v/>
      </c>
      <c r="V343" s="518" t="str">
        <f>IF(AND(_A1="A-220-100",'2025'!$L$4="FO",'2025'!$L$2=V309),'2025DATA'!$G$36,"")</f>
        <v/>
      </c>
      <c r="W343" s="518" t="str">
        <f>IF(AND(_A1="A-220-100",'2025'!$L$4="FO",'2025'!$L$2=W309),'2025DATA'!$H$36,"")</f>
        <v/>
      </c>
      <c r="X343" s="518" t="str">
        <f>IF(AND(_A1="A-220-100",'2025'!$L$4="FO",'2025'!$L$2=X309),'2025DATA'!$I$36,"")</f>
        <v/>
      </c>
      <c r="Y343" s="518" t="str">
        <f>IF(AND(_A1="A-220-100",'2025'!$L$4="FO",'2025'!$L$2=Y309),'2025DATA'!$J$36,"")</f>
        <v/>
      </c>
      <c r="Z343" s="518" t="str">
        <f>IF(AND(_A1="A-220-100",'2025'!$L$4="FO",'2025'!$L$2=Z309),'2025DATA'!$K$36,"")</f>
        <v/>
      </c>
      <c r="AA343" s="518" t="str">
        <f>IF(AND(_A1="A-220-100",'2025'!$L$4="FO",'2025'!$L$2=AA309),'2025DATA'!$L$36,"")</f>
        <v/>
      </c>
      <c r="AB343" s="518" t="str">
        <f>IF(AND(_A1="A-220-100",'2025'!$L$4="FO",'2025'!$L$2=AB309),'2025DATA'!$M$36,"")</f>
        <v/>
      </c>
      <c r="AC343" s="520" t="str">
        <f>IF(AND(_A1="A-220-100",'2025'!$L$4="FO",'2025'!$L$2=AC309),'2025DATA'!$N$36,"")</f>
        <v/>
      </c>
      <c r="AD343" s="940"/>
      <c r="AE343" s="13" t="s">
        <v>62</v>
      </c>
      <c r="AF343" s="518" t="str">
        <f>IF(AND(_A2="A-220-100",'2025'!$L$4="FO",'2025'!$L$2=AF309),'2025DATA'!$C$36,"")</f>
        <v/>
      </c>
      <c r="AG343" s="518" t="str">
        <f>IF(AND(_A2="A-220-100",'2025'!$L$4="FO",'2025'!$L$2=AG309),'2025DATA'!$D$36,"")</f>
        <v/>
      </c>
      <c r="AH343" s="518" t="str">
        <f>IF(AND(_A2="A-220-100",'2025'!$L$4="FO",'2025'!$L$2=AH309),'2025DATA'!$E$36,"")</f>
        <v/>
      </c>
      <c r="AI343" s="518" t="str">
        <f>IF(AND(_A2="A-220-100",'2025'!$L$4="FO",'2025'!$L$2=AI309),'2025DATA'!$F$36,"")</f>
        <v/>
      </c>
      <c r="AJ343" s="518" t="str">
        <f>IF(AND(_A2="A-220-100",'2025'!$L$4="FO",'2025'!$L$2=AJ309),'2025DATA'!$G$36,"")</f>
        <v/>
      </c>
      <c r="AK343" s="518" t="str">
        <f>IF(AND(_A2="A-220-100",'2025'!$L$4="FO",'2025'!$L$2=AK309),'2025DATA'!$H$36,"")</f>
        <v/>
      </c>
      <c r="AL343" s="518" t="str">
        <f>IF(AND(_A2="A-220-100",'2025'!$L$4="FO",'2025'!$L$2=AL309),'2025DATA'!$I$36,"")</f>
        <v/>
      </c>
      <c r="AM343" s="518" t="str">
        <f>IF(AND(_A2="A-220-100",'2025'!$L$4="FO",'2025'!$L$2=AM309),'2025DATA'!$J$36,"")</f>
        <v/>
      </c>
      <c r="AN343" s="518" t="str">
        <f>IF(AND(_A2="A-220-100",'2025'!$L$4="FO",'2025'!$L$2=AN309),'2025DATA'!$K$36,"")</f>
        <v/>
      </c>
      <c r="AO343" s="518" t="str">
        <f>IF(AND(_A2="A-220-100",'2025'!$L$4="FO",'2025'!$L$2=AO309),'2025DATA'!$L$36,"")</f>
        <v/>
      </c>
      <c r="AP343" s="518" t="str">
        <f>IF(AND(_A2="A-220-100",'2025'!$L$4="FO",'2025'!$L$2=AP309),'2025DATA'!$M$36,"")</f>
        <v/>
      </c>
      <c r="AQ343" s="520" t="str">
        <f>IF(AND(_A2="A-220-100",'2025'!$L$4="FO",'2025'!$L$2=AQ309),'2025DATA'!$N$36,"")</f>
        <v/>
      </c>
      <c r="AR343" s="940"/>
      <c r="AS343" s="13" t="s">
        <v>62</v>
      </c>
      <c r="AT343" s="518" t="str">
        <f>IF(AND(_A3="A-220-100",'2025'!$L$4="FO",'2025'!$L$2=AT309),'2025DATA'!$C$36,"")</f>
        <v/>
      </c>
      <c r="AU343" s="518" t="str">
        <f>IF(AND(_A3="A-220-100",'2025'!$L$4="FO",'2025'!$L$2=AU309),'2025DATA'!$D$36,"")</f>
        <v/>
      </c>
      <c r="AV343" s="518" t="str">
        <f>IF(AND(_A3="A-220-100",'2025'!$L$4="FO",'2025'!$L$2=AV309),'2025DATA'!$E$36,"")</f>
        <v/>
      </c>
      <c r="AW343" s="518" t="str">
        <f>IF(AND(_A3="A-220-100",'2025'!$L$4="FO",'2025'!$L$2=AW309),'2025DATA'!$F$36,"")</f>
        <v/>
      </c>
      <c r="AX343" s="518" t="str">
        <f>IF(AND(_A3="A-220-100",'2025'!$L$4="FO",'2025'!$L$2=AX309),'2025DATA'!$G$36,"")</f>
        <v/>
      </c>
      <c r="AY343" s="518" t="str">
        <f>IF(AND(_A3="A-220-100",'2025'!$L$4="FO",'2025'!$L$2=AY309),'2025DATA'!$H$36,"")</f>
        <v/>
      </c>
      <c r="AZ343" s="518" t="str">
        <f>IF(AND(_A3="A-220-100",'2025'!$L$4="FO",'2025'!$L$2=AZ309),'2025DATA'!$I$36,"")</f>
        <v/>
      </c>
      <c r="BA343" s="518" t="str">
        <f>IF(AND(_A3="A-220-100",'2025'!$L$4="FO",'2025'!$L$2=BA309),'2025DATA'!$J$36,"")</f>
        <v/>
      </c>
      <c r="BB343" s="518" t="str">
        <f>IF(AND(_A3="A-220-100",'2025'!$L$4="FO",'2025'!$L$2=BB309),'2025DATA'!$K$36,"")</f>
        <v/>
      </c>
      <c r="BC343" s="518" t="str">
        <f>IF(AND(_A3="A-220-100",'2025'!$L$4="FO",'2025'!$L$2=BC309),'2025DATA'!$L$36,"")</f>
        <v/>
      </c>
      <c r="BD343" s="518" t="str">
        <f>IF(AND(_A3="A-220-100",'2025'!$L$4="FO",'2025'!$L$2=BD309),'2025DATA'!$M$36,"")</f>
        <v/>
      </c>
      <c r="BE343" s="520" t="str">
        <f>IF(AND(_A3="A-220-100",'2025'!$L$4="FO",'2025'!$L$2=BE309),'2025DATA'!$N$36,"")</f>
        <v/>
      </c>
      <c r="BF343" s="940"/>
      <c r="BG343" s="13" t="s">
        <v>62</v>
      </c>
      <c r="BH343" s="518" t="str">
        <f>IF(AND(_A4="A-220-100",'2025'!$L$4="FO",'2025'!$L$2=BH309),'2025DATA'!$C$36,"")</f>
        <v/>
      </c>
      <c r="BI343" s="518" t="str">
        <f>IF(AND(_A4="A-220-100",'2025'!$L$4="FO",'2025'!$L$2=BI309),'2025DATA'!$D$36,"")</f>
        <v/>
      </c>
      <c r="BJ343" s="518" t="str">
        <f>IF(AND(_A4="A-220-100",'2025'!$L$4="FO",'2025'!$L$2=BJ309),'2025DATA'!$E$36,"")</f>
        <v/>
      </c>
      <c r="BK343" s="518" t="str">
        <f>IF(AND(_A4="A-220-100",'2025'!$L$4="FO",'2025'!$L$2=BK309),'2025DATA'!$F$36,"")</f>
        <v/>
      </c>
      <c r="BL343" s="518" t="str">
        <f>IF(AND(_A4="A-220-100",'2025'!$L$4="FO",'2025'!$L$2=BL309),'2025DATA'!$G$36,"")</f>
        <v/>
      </c>
      <c r="BM343" s="518" t="str">
        <f>IF(AND(_A4="A-220-100",'2025'!$L$4="FO",'2025'!$L$2=BM309),'2025DATA'!$H$36,"")</f>
        <v/>
      </c>
      <c r="BN343" s="518" t="str">
        <f>IF(AND(_A4="A-220-100",'2025'!$L$4="FO",'2025'!$L$2=BN309),'2025DATA'!$I$36,"")</f>
        <v/>
      </c>
      <c r="BO343" s="518" t="str">
        <f>IF(AND(_A4="A-220-100",'2025'!$L$4="FO",'2025'!$L$2=BO309),'2025DATA'!$J$36,"")</f>
        <v/>
      </c>
      <c r="BP343" s="518" t="str">
        <f>IF(AND(_A4="A-220-100",'2025'!$L$4="FO",'2025'!$L$2=BP309),'2025DATA'!$K$36,"")</f>
        <v/>
      </c>
      <c r="BQ343" s="518" t="str">
        <f>IF(AND(_A4="A-220-100",'2025'!$L$4="FO",'2025'!$L$2=BQ309),'2025DATA'!$L$36,"")</f>
        <v/>
      </c>
      <c r="BR343" s="518" t="str">
        <f>IF(AND(_A4="A-220-100",'2025'!$L$4="FO",'2025'!$L$2=BR309),'2025DATA'!$M$36,"")</f>
        <v/>
      </c>
      <c r="BS343" s="520" t="str">
        <f>IF(AND(_A4="A-220-100",'2025'!$L$4="FO",'2025'!$L$2=BS309),'2025DATA'!$N$36,"")</f>
        <v/>
      </c>
      <c r="BT343" s="940"/>
      <c r="BU343" s="13" t="s">
        <v>62</v>
      </c>
      <c r="BV343" s="518" t="str">
        <f>IF(AND(_A5="A-220-100",'2025'!$L$4="FO",'2025'!$L$2=BV309),'2025DATA'!$C$36,"")</f>
        <v/>
      </c>
      <c r="BW343" s="518" t="str">
        <f>IF(AND(_A5="A-220-100",'2025'!$L$4="FO",'2025'!$L$2=BW309),'2025DATA'!$D$36,"")</f>
        <v/>
      </c>
      <c r="BX343" s="518" t="str">
        <f>IF(AND(_A5="A-220-100",'2025'!$L$4="FO",'2025'!$L$2=BX309),'2025DATA'!$E$36,"")</f>
        <v/>
      </c>
      <c r="BY343" s="518" t="str">
        <f>IF(AND(_A5="A-220-100",'2025'!$L$4="FO",'2025'!$L$2=BY309),'2025DATA'!$F$36,"")</f>
        <v/>
      </c>
      <c r="BZ343" s="518" t="str">
        <f>IF(AND(_A5="A-220-100",'2025'!$L$4="FO",'2025'!$L$2=BZ309),'2025DATA'!$G$36,"")</f>
        <v/>
      </c>
      <c r="CA343" s="518" t="str">
        <f>IF(AND(_A5="A-220-100",'2025'!$L$4="FO",'2025'!$L$2=CA309),'2025DATA'!$H$36,"")</f>
        <v/>
      </c>
      <c r="CB343" s="518" t="str">
        <f>IF(AND(_A5="A-220-100",'2025'!$L$4="FO",'2025'!$L$2=CB309),'2025DATA'!$I$36,"")</f>
        <v/>
      </c>
      <c r="CC343" s="518" t="str">
        <f>IF(AND(_A5="A-220-100",'2025'!$L$4="FO",'2025'!$L$2=CC309),'2025DATA'!$J$36,"")</f>
        <v/>
      </c>
      <c r="CD343" s="518" t="str">
        <f>IF(AND(_A5="A-220-100",'2025'!$L$4="FO",'2025'!$L$2=CD309),'2025DATA'!$K$36,"")</f>
        <v/>
      </c>
      <c r="CE343" s="518" t="str">
        <f>IF(AND(_A5="A-220-100",'2025'!$L$4="FO",'2025'!$L$2=CE309),'2025DATA'!$L$36,"")</f>
        <v/>
      </c>
      <c r="CF343" s="518" t="str">
        <f>IF(AND(_A5="A-220-100",'2025'!$L$4="FO",'2025'!$L$2=CF309),'2025DATA'!$M$36,"")</f>
        <v/>
      </c>
      <c r="CG343" s="520" t="str">
        <f>IF(AND(_A5="A-220-100",'2025'!$L$4="FO",'2025'!$L$2=CG309),'2025DATA'!$N$36,"")</f>
        <v/>
      </c>
      <c r="CH343" s="940"/>
      <c r="CI343" s="13" t="s">
        <v>62</v>
      </c>
      <c r="CJ343" s="518" t="str">
        <f>IF(AND(_A6="A-220-100",'2025'!$L$4="FO",'2025'!$L$2=CJ309),'2025DATA'!$C$36,"")</f>
        <v/>
      </c>
      <c r="CK343" s="518" t="str">
        <f>IF(AND(_A6="A-220-100",'2025'!$L$4="FO",'2025'!$L$2=CK309),'2025DATA'!$D$36,"")</f>
        <v/>
      </c>
      <c r="CL343" s="518" t="str">
        <f>IF(AND(_A6="A-220-100",'2025'!$L$4="FO",'2025'!$L$2=CL309),'2025DATA'!$E$36,"")</f>
        <v/>
      </c>
      <c r="CM343" s="518" t="str">
        <f>IF(AND(_A6="A-220-100",'2025'!$L$4="FO",'2025'!$L$2=CM309),'2025DATA'!$F$36,"")</f>
        <v/>
      </c>
      <c r="CN343" s="518" t="str">
        <f>IF(AND(_A6="A-220-100",'2025'!$L$4="FO",'2025'!$L$2=CN309),'2025DATA'!$G$36,"")</f>
        <v/>
      </c>
      <c r="CO343" s="518" t="str">
        <f>IF(AND(_A6="A-220-100",'2025'!$L$4="FO",'2025'!$L$2=CO309),'2025DATA'!$H$36,"")</f>
        <v/>
      </c>
      <c r="CP343" s="518" t="str">
        <f>IF(AND(_A6="A-220-100",'2025'!$L$4="FO",'2025'!$L$2=CP309),'2025DATA'!$I$36,"")</f>
        <v/>
      </c>
      <c r="CQ343" s="518" t="str">
        <f>IF(AND(_A6="A-220-100",'2025'!$L$4="FO",'2025'!$L$2=CQ309),'2025DATA'!$J$36,"")</f>
        <v/>
      </c>
      <c r="CR343" s="518" t="str">
        <f>IF(AND(_A6="A-220-100",'2025'!$L$4="FO",'2025'!$L$2=CR309),'2025DATA'!$K$36,"")</f>
        <v/>
      </c>
      <c r="CS343" s="518" t="str">
        <f>IF(AND(_A6="A-220-100",'2025'!$L$4="FO",'2025'!$L$2=CS309),'2025DATA'!$L$36,"")</f>
        <v/>
      </c>
      <c r="CT343" s="518" t="str">
        <f>IF(AND(_A6="A-220-100",'2025'!$L$4="FO",'2025'!$L$2=CT309),'2025DATA'!$M$36,"")</f>
        <v/>
      </c>
      <c r="CU343" s="520" t="str">
        <f>IF(AND(_A6="A-220-100",'2025'!$L$4="FO",'2025'!$L$2=CU309),'2025DATA'!$N$36,"")</f>
        <v/>
      </c>
    </row>
    <row r="344" spans="16:99" x14ac:dyDescent="0.25">
      <c r="P344" s="940" t="s">
        <v>53</v>
      </c>
      <c r="Q344" s="13" t="s">
        <v>61</v>
      </c>
      <c r="R344" s="518" t="str">
        <f>IF(AND(_A1="B-717",'2025'!$L$4="CA",'2025'!$L$2=R309),'2025DATA'!$C$37,"")</f>
        <v/>
      </c>
      <c r="S344" s="518" t="str">
        <f>IF(AND(_A1="B-717",'2025'!$L$4="CA",'2025'!$L$2=S309),'2025DATA'!$D$37,"")</f>
        <v/>
      </c>
      <c r="T344" s="518" t="str">
        <f>IF(AND(_A1="B-717",'2025'!$L$4="CA",'2025'!$L$2=T309),'2025DATA'!$E$37,"")</f>
        <v/>
      </c>
      <c r="U344" s="518" t="str">
        <f>IF(AND(_A1="B-717",'2025'!$L$4="CA",'2025'!$L$2=U309),'2025DATA'!$F$37,"")</f>
        <v/>
      </c>
      <c r="V344" s="518" t="str">
        <f>IF(AND(_A1="B-717",'2025'!$L$4="CA",'2025'!$L$2=V309),'2025DATA'!$G$37,"")</f>
        <v/>
      </c>
      <c r="W344" s="518" t="str">
        <f>IF(AND(_A1="B-717",'2025'!$L$4="CA",'2025'!$L$2=W309),'2025DATA'!$H$37,"")</f>
        <v/>
      </c>
      <c r="X344" s="518" t="str">
        <f>IF(AND(_A1="B-717",'2025'!$L$4="CA",'2025'!$L$2=X309),'2025DATA'!$I$37,"")</f>
        <v/>
      </c>
      <c r="Y344" s="518" t="str">
        <f>IF(AND(_A1="B-717",'2025'!$L$4="CA",'2025'!$L$2=Y309),'2025DATA'!$J$37,"")</f>
        <v/>
      </c>
      <c r="Z344" s="518" t="str">
        <f>IF(AND(_A1="B-717",'2025'!$L$4="CA",'2025'!$L$2=Z309),'2025DATA'!$K$37,"")</f>
        <v/>
      </c>
      <c r="AA344" s="518" t="str">
        <f>IF(AND(_A1="B-717",'2025'!$L$4="CA",'2025'!$L$2=AA309),'2025DATA'!$L$37,"")</f>
        <v/>
      </c>
      <c r="AB344" s="518" t="str">
        <f>IF(AND(_A1="B-717",'2025'!$L$4="CA",'2025'!$L$2=AB309),'2025DATA'!$M$37,"")</f>
        <v/>
      </c>
      <c r="AC344" s="520" t="str">
        <f>IF(AND(_A1="B-717",'2025'!$L$4="CA",'2025'!$L$2=AC309),'2025DATA'!$N$37,"")</f>
        <v/>
      </c>
      <c r="AD344" s="940" t="s">
        <v>53</v>
      </c>
      <c r="AE344" s="13" t="s">
        <v>61</v>
      </c>
      <c r="AF344" s="518" t="str">
        <f>IF(AND(_A2="B-717",'2025'!$L$4="CA",'2025'!$L$2=AF309),'2025DATA'!$C$37,"")</f>
        <v/>
      </c>
      <c r="AG344" s="518" t="str">
        <f>IF(AND(_A2="B-717",'2025'!$L$4="CA",'2025'!$L$2=AG309),'2025DATA'!$D$37,"")</f>
        <v/>
      </c>
      <c r="AH344" s="518" t="str">
        <f>IF(AND(_A2="B-717",'2025'!$L$4="CA",'2025'!$L$2=AH309),'2025DATA'!$E$37,"")</f>
        <v/>
      </c>
      <c r="AI344" s="518" t="str">
        <f>IF(AND(_A2="B-717",'2025'!$L$4="CA",'2025'!$L$2=AI309),'2025DATA'!$F$37,"")</f>
        <v/>
      </c>
      <c r="AJ344" s="518" t="str">
        <f>IF(AND(_A2="B-717",'2025'!$L$4="CA",'2025'!$L$2=AJ309),'2025DATA'!$G$37,"")</f>
        <v/>
      </c>
      <c r="AK344" s="518" t="str">
        <f>IF(AND(_A2="B-717",'2025'!$L$4="CA",'2025'!$L$2=AK309),'2025DATA'!$H$37,"")</f>
        <v/>
      </c>
      <c r="AL344" s="518" t="str">
        <f>IF(AND(_A2="B-717",'2025'!$L$4="CA",'2025'!$L$2=AL309),'2025DATA'!$I$37,"")</f>
        <v/>
      </c>
      <c r="AM344" s="518" t="str">
        <f>IF(AND(_A2="B-717",'2025'!$L$4="CA",'2025'!$L$2=AM309),'2025DATA'!$J$37,"")</f>
        <v/>
      </c>
      <c r="AN344" s="518" t="str">
        <f>IF(AND(_A2="B-717",'2025'!$L$4="CA",'2025'!$L$2=AN309),'2025DATA'!$K$37,"")</f>
        <v/>
      </c>
      <c r="AO344" s="518" t="str">
        <f>IF(AND(_A2="B-717",'2025'!$L$4="CA",'2025'!$L$2=AO309),'2025DATA'!$L$37,"")</f>
        <v/>
      </c>
      <c r="AP344" s="518" t="str">
        <f>IF(AND(_A2="B-717",'2025'!$L$4="CA",'2025'!$L$2=AP309),'2025DATA'!$M$37,"")</f>
        <v/>
      </c>
      <c r="AQ344" s="520" t="str">
        <f>IF(AND(_A2="B-717",'2025'!$L$4="CA",'2025'!$L$2=AQ309),'2025DATA'!$N$37,"")</f>
        <v/>
      </c>
      <c r="AR344" s="940" t="s">
        <v>53</v>
      </c>
      <c r="AS344" s="13" t="s">
        <v>61</v>
      </c>
      <c r="AT344" s="518" t="str">
        <f>IF(AND(_A3="B-717",'2025'!$L$4="CA",'2025'!$L$2=AT309),'2025DATA'!$C$37,"")</f>
        <v/>
      </c>
      <c r="AU344" s="518" t="str">
        <f>IF(AND(_A3="B-717",'2025'!$L$4="CA",'2025'!$L$2=AU309),'2025DATA'!$D$37,"")</f>
        <v/>
      </c>
      <c r="AV344" s="518" t="str">
        <f>IF(AND(_A3="B-717",'2025'!$L$4="CA",'2025'!$L$2=AV309),'2025DATA'!$E$37,"")</f>
        <v/>
      </c>
      <c r="AW344" s="518" t="str">
        <f>IF(AND(_A3="B-717",'2025'!$L$4="CA",'2025'!$L$2=AW309),'2025DATA'!$F$37,"")</f>
        <v/>
      </c>
      <c r="AX344" s="518" t="str">
        <f>IF(AND(_A3="B-717",'2025'!$L$4="CA",'2025'!$L$2=AX309),'2025DATA'!$G$37,"")</f>
        <v/>
      </c>
      <c r="AY344" s="518" t="str">
        <f>IF(AND(_A3="B-717",'2025'!$L$4="CA",'2025'!$L$2=AY309),'2025DATA'!$H$37,"")</f>
        <v/>
      </c>
      <c r="AZ344" s="518" t="str">
        <f>IF(AND(_A3="B-717",'2025'!$L$4="CA",'2025'!$L$2=AZ309),'2025DATA'!$I$37,"")</f>
        <v/>
      </c>
      <c r="BA344" s="518" t="str">
        <f>IF(AND(_A3="B-717",'2025'!$L$4="CA",'2025'!$L$2=BA309),'2025DATA'!$J$37,"")</f>
        <v/>
      </c>
      <c r="BB344" s="518" t="str">
        <f>IF(AND(_A3="B-717",'2025'!$L$4="CA",'2025'!$L$2=BB309),'2025DATA'!$K$37,"")</f>
        <v/>
      </c>
      <c r="BC344" s="518" t="str">
        <f>IF(AND(_A3="B-717",'2025'!$L$4="CA",'2025'!$L$2=BC309),'2025DATA'!$L$37,"")</f>
        <v/>
      </c>
      <c r="BD344" s="518" t="str">
        <f>IF(AND(_A3="B-717",'2025'!$L$4="CA",'2025'!$L$2=BD309),'2025DATA'!$M$37,"")</f>
        <v/>
      </c>
      <c r="BE344" s="520" t="str">
        <f>IF(AND(_A3="B-717",'2025'!$L$4="CA",'2025'!$L$2=BE309),'2025DATA'!$N$37,"")</f>
        <v/>
      </c>
      <c r="BF344" s="940" t="s">
        <v>53</v>
      </c>
      <c r="BG344" s="13" t="s">
        <v>61</v>
      </c>
      <c r="BH344" s="518" t="str">
        <f>IF(AND(_A4="B-717",'2025'!$L$4="CA",'2025'!$L$2=BH309),'2025DATA'!$C$37,"")</f>
        <v/>
      </c>
      <c r="BI344" s="518" t="str">
        <f>IF(AND(_A4="B-717",'2025'!$L$4="CA",'2025'!$L$2=BI309),'2025DATA'!$D$37,"")</f>
        <v/>
      </c>
      <c r="BJ344" s="518" t="str">
        <f>IF(AND(_A4="B-717",'2025'!$L$4="CA",'2025'!$L$2=BJ309),'2025DATA'!$E$37,"")</f>
        <v/>
      </c>
      <c r="BK344" s="518" t="str">
        <f>IF(AND(_A4="B-717",'2025'!$L$4="CA",'2025'!$L$2=BK309),'2025DATA'!$F$37,"")</f>
        <v/>
      </c>
      <c r="BL344" s="518" t="str">
        <f>IF(AND(_A4="B-717",'2025'!$L$4="CA",'2025'!$L$2=BL309),'2025DATA'!$G$37,"")</f>
        <v/>
      </c>
      <c r="BM344" s="518" t="str">
        <f>IF(AND(_A4="B-717",'2025'!$L$4="CA",'2025'!$L$2=BM309),'2025DATA'!$H$37,"")</f>
        <v/>
      </c>
      <c r="BN344" s="518" t="str">
        <f>IF(AND(_A4="B-717",'2025'!$L$4="CA",'2025'!$L$2=BN309),'2025DATA'!$I$37,"")</f>
        <v/>
      </c>
      <c r="BO344" s="518" t="str">
        <f>IF(AND(_A4="B-717",'2025'!$L$4="CA",'2025'!$L$2=BO309),'2025DATA'!$J$37,"")</f>
        <v/>
      </c>
      <c r="BP344" s="518" t="str">
        <f>IF(AND(_A4="B-717",'2025'!$L$4="CA",'2025'!$L$2=BP309),'2025DATA'!$K$37,"")</f>
        <v/>
      </c>
      <c r="BQ344" s="518" t="str">
        <f>IF(AND(_A4="B-717",'2025'!$L$4="CA",'2025'!$L$2=BQ309),'2025DATA'!$L$37,"")</f>
        <v/>
      </c>
      <c r="BR344" s="518" t="str">
        <f>IF(AND(_A4="B-717",'2025'!$L$4="CA",'2025'!$L$2=BR309),'2025DATA'!$M$37,"")</f>
        <v/>
      </c>
      <c r="BS344" s="520" t="str">
        <f>IF(AND(_A4="B-717",'2025'!$L$4="CA",'2025'!$L$2=BS309),'2025DATA'!$N$37,"")</f>
        <v/>
      </c>
      <c r="BT344" s="940" t="s">
        <v>53</v>
      </c>
      <c r="BU344" s="13" t="s">
        <v>61</v>
      </c>
      <c r="BV344" s="518" t="str">
        <f>IF(AND(_A5="B-717",'2025'!$L$4="CA",'2025'!$L$2=BV309),'2025DATA'!$C$37,"")</f>
        <v/>
      </c>
      <c r="BW344" s="518" t="str">
        <f>IF(AND(_A5="B-717",'2025'!$L$4="CA",'2025'!$L$2=BW309),'2025DATA'!$D$37,"")</f>
        <v/>
      </c>
      <c r="BX344" s="518" t="str">
        <f>IF(AND(_A5="B-717",'2025'!$L$4="CA",'2025'!$L$2=BX309),'2025DATA'!$E$37,"")</f>
        <v/>
      </c>
      <c r="BY344" s="518" t="str">
        <f>IF(AND(_A5="B-717",'2025'!$L$4="CA",'2025'!$L$2=BY309),'2025DATA'!$F$37,"")</f>
        <v/>
      </c>
      <c r="BZ344" s="518" t="str">
        <f>IF(AND(_A5="B-717",'2025'!$L$4="CA",'2025'!$L$2=BZ309),'2025DATA'!$G$37,"")</f>
        <v/>
      </c>
      <c r="CA344" s="518" t="str">
        <f>IF(AND(_A5="B-717",'2025'!$L$4="CA",'2025'!$L$2=CA309),'2025DATA'!$H$37,"")</f>
        <v/>
      </c>
      <c r="CB344" s="518" t="str">
        <f>IF(AND(_A5="B-717",'2025'!$L$4="CA",'2025'!$L$2=CB309),'2025DATA'!$I$37,"")</f>
        <v/>
      </c>
      <c r="CC344" s="518" t="str">
        <f>IF(AND(_A5="B-717",'2025'!$L$4="CA",'2025'!$L$2=CC309),'2025DATA'!$J$37,"")</f>
        <v/>
      </c>
      <c r="CD344" s="518" t="str">
        <f>IF(AND(_A5="B-717",'2025'!$L$4="CA",'2025'!$L$2=CD309),'2025DATA'!$K$37,"")</f>
        <v/>
      </c>
      <c r="CE344" s="518" t="str">
        <f>IF(AND(_A5="B-717",'2025'!$L$4="CA",'2025'!$L$2=CE309),'2025DATA'!$L$37,"")</f>
        <v/>
      </c>
      <c r="CF344" s="518" t="str">
        <f>IF(AND(_A5="B-717",'2025'!$L$4="CA",'2025'!$L$2=CF309),'2025DATA'!$M$37,"")</f>
        <v/>
      </c>
      <c r="CG344" s="520" t="str">
        <f>IF(AND(_A5="B-717",'2025'!$L$4="CA",'2025'!$L$2=CG309),'2025DATA'!$N$37,"")</f>
        <v/>
      </c>
      <c r="CH344" s="940" t="s">
        <v>53</v>
      </c>
      <c r="CI344" s="13" t="s">
        <v>61</v>
      </c>
      <c r="CJ344" s="518" t="str">
        <f>IF(AND(_A6="B-717",'2025'!$L$4="CA",'2025'!$L$2=CJ309),'2025DATA'!$C$37,"")</f>
        <v/>
      </c>
      <c r="CK344" s="518" t="str">
        <f>IF(AND(_A6="B-717",'2025'!$L$4="CA",'2025'!$L$2=CK309),'2025DATA'!$D$37,"")</f>
        <v/>
      </c>
      <c r="CL344" s="518" t="str">
        <f>IF(AND(_A6="B-717",'2025'!$L$4="CA",'2025'!$L$2=CL309),'2025DATA'!$E$37,"")</f>
        <v/>
      </c>
      <c r="CM344" s="518" t="str">
        <f>IF(AND(_A6="B-717",'2025'!$L$4="CA",'2025'!$L$2=CM309),'2025DATA'!$F$37,"")</f>
        <v/>
      </c>
      <c r="CN344" s="518" t="str">
        <f>IF(AND(_A6="B-717",'2025'!$L$4="CA",'2025'!$L$2=CN309),'2025DATA'!$G$37,"")</f>
        <v/>
      </c>
      <c r="CO344" s="518" t="str">
        <f>IF(AND(_A6="B-717",'2025'!$L$4="CA",'2025'!$L$2=CO309),'2025DATA'!$H$37,"")</f>
        <v/>
      </c>
      <c r="CP344" s="518" t="str">
        <f>IF(AND(_A6="B-717",'2025'!$L$4="CA",'2025'!$L$2=CP309),'2025DATA'!$I$37,"")</f>
        <v/>
      </c>
      <c r="CQ344" s="518" t="str">
        <f>IF(AND(_A6="B-717",'2025'!$L$4="CA",'2025'!$L$2=CQ309),'2025DATA'!$J$37,"")</f>
        <v/>
      </c>
      <c r="CR344" s="518" t="str">
        <f>IF(AND(_A6="B-717",'2025'!$L$4="CA",'2025'!$L$2=CR309),'2025DATA'!$K$37,"")</f>
        <v/>
      </c>
      <c r="CS344" s="518" t="str">
        <f>IF(AND(_A6="B-717",'2025'!$L$4="CA",'2025'!$L$2=CS309),'2025DATA'!$L$37,"")</f>
        <v/>
      </c>
      <c r="CT344" s="518" t="str">
        <f>IF(AND(_A6="B-717",'2025'!$L$4="CA",'2025'!$L$2=CT309),'2025DATA'!$M$37,"")</f>
        <v/>
      </c>
      <c r="CU344" s="520" t="str">
        <f>IF(AND(_A6="B-717",'2025'!$L$4="CA",'2025'!$L$2=CU309),'2025DATA'!$N$37,"")</f>
        <v/>
      </c>
    </row>
    <row r="345" spans="16:99" ht="15.75" thickBot="1" x14ac:dyDescent="0.3">
      <c r="P345" s="941"/>
      <c r="Q345" s="521" t="s">
        <v>62</v>
      </c>
      <c r="R345" s="518" t="str">
        <f>IF(AND(_A1="B-717",'2025'!$L$4="FO",'2025'!$L$2=R309),'2025DATA'!$C$38,"")</f>
        <v/>
      </c>
      <c r="S345" s="518" t="str">
        <f>IF(AND(_A1="B-717",'2025'!$L$4="FO",'2025'!$L$2=S309),'2025DATA'!$D$38,"")</f>
        <v/>
      </c>
      <c r="T345" s="518" t="str">
        <f>IF(AND(_A1="B-717",'2025'!$L$4="FO",'2025'!$L$2=T309),'2025DATA'!$E$38,"")</f>
        <v/>
      </c>
      <c r="U345" s="518" t="str">
        <f>IF(AND(_A1="B-717",'2025'!$L$4="FO",'2025'!$L$2=U309),'2025DATA'!$F$38,"")</f>
        <v/>
      </c>
      <c r="V345" s="518" t="str">
        <f>IF(AND(_A1="B-717",'2025'!$L$4="FO",'2025'!$L$2=V309),'2025DATA'!$G$38,"")</f>
        <v/>
      </c>
      <c r="W345" s="518" t="str">
        <f>IF(AND(_A1="B-717",'2025'!$L$4="FO",'2025'!$L$2=W309),'2025DATA'!$H$38,"")</f>
        <v/>
      </c>
      <c r="X345" s="518" t="str">
        <f>IF(AND(_A1="B-717",'2025'!$L$4="FO",'2025'!$L$2=X309),'2025DATA'!$I$38,"")</f>
        <v/>
      </c>
      <c r="Y345" s="518" t="str">
        <f>IF(AND(_A1="B-717",'2025'!$L$4="FO",'2025'!$L$2=Y309),'2025DATA'!$J$38,"")</f>
        <v/>
      </c>
      <c r="Z345" s="518" t="str">
        <f>IF(AND(_A1="B-717",'2025'!$L$4="FO",'2025'!$L$2=Z309),'2025DATA'!$K$38,"")</f>
        <v/>
      </c>
      <c r="AA345" s="518" t="str">
        <f>IF(AND(_A1="B-717",'2025'!$L$4="FO",'2025'!$L$2=AA309),'2025DATA'!$L$38,"")</f>
        <v/>
      </c>
      <c r="AB345" s="518" t="str">
        <f>IF(AND(_A1="B-717",'2025'!$L$4="FO",'2025'!$L$2=AB309),'2025DATA'!$M$38,"")</f>
        <v/>
      </c>
      <c r="AC345" s="520" t="str">
        <f>IF(AND(_A1="B-717",'2025'!$L$4="FO",'2025'!$L$2=AC309),'2025DATA'!$N$38,"")</f>
        <v/>
      </c>
      <c r="AD345" s="941"/>
      <c r="AE345" s="521" t="s">
        <v>62</v>
      </c>
      <c r="AF345" s="518" t="str">
        <f>IF(AND(_A2="B-717",'2025'!$L$4="FO",'2025'!$L$2=AF309),'2025DATA'!$C$38,"")</f>
        <v/>
      </c>
      <c r="AG345" s="518" t="str">
        <f>IF(AND(_A2="B-717",'2025'!$L$4="FO",'2025'!$L$2=AG309),'2025DATA'!$D$38,"")</f>
        <v/>
      </c>
      <c r="AH345" s="518" t="str">
        <f>IF(AND(_A2="B-717",'2025'!$L$4="FO",'2025'!$L$2=AH309),'2025DATA'!$E$38,"")</f>
        <v/>
      </c>
      <c r="AI345" s="518" t="str">
        <f>IF(AND(_A2="B-717",'2025'!$L$4="FO",'2025'!$L$2=AI309),'2025DATA'!$F$38,"")</f>
        <v/>
      </c>
      <c r="AJ345" s="518" t="str">
        <f>IF(AND(_A2="B-717",'2025'!$L$4="FO",'2025'!$L$2=AJ309),'2025DATA'!$G$38,"")</f>
        <v/>
      </c>
      <c r="AK345" s="518" t="str">
        <f>IF(AND(_A2="B-717",'2025'!$L$4="FO",'2025'!$L$2=AK309),'2025DATA'!$H$38,"")</f>
        <v/>
      </c>
      <c r="AL345" s="518" t="str">
        <f>IF(AND(_A2="B-717",'2025'!$L$4="FO",'2025'!$L$2=AL309),'2025DATA'!$I$38,"")</f>
        <v/>
      </c>
      <c r="AM345" s="518" t="str">
        <f>IF(AND(_A2="B-717",'2025'!$L$4="FO",'2025'!$L$2=AM309),'2025DATA'!$J$38,"")</f>
        <v/>
      </c>
      <c r="AN345" s="518" t="str">
        <f>IF(AND(_A2="B-717",'2025'!$L$4="FO",'2025'!$L$2=AN309),'2025DATA'!$K$38,"")</f>
        <v/>
      </c>
      <c r="AO345" s="518" t="str">
        <f>IF(AND(_A2="B-717",'2025'!$L$4="FO",'2025'!$L$2=AO309),'2025DATA'!$L$38,"")</f>
        <v/>
      </c>
      <c r="AP345" s="518" t="str">
        <f>IF(AND(_A2="B-717",'2025'!$L$4="FO",'2025'!$L$2=AP309),'2025DATA'!$M$38,"")</f>
        <v/>
      </c>
      <c r="AQ345" s="520" t="str">
        <f>IF(AND(_A2="B-717",'2025'!$L$4="FO",'2025'!$L$2=AQ309),'2025DATA'!$N$38,"")</f>
        <v/>
      </c>
      <c r="AR345" s="941"/>
      <c r="AS345" s="521" t="s">
        <v>62</v>
      </c>
      <c r="AT345" s="518" t="str">
        <f>IF(AND(_A3="B-717",'2025'!$L$4="FO",'2025'!$L$2=AT309),'2025DATA'!$C$38,"")</f>
        <v/>
      </c>
      <c r="AU345" s="518" t="str">
        <f>IF(AND(_A3="B-717",'2025'!$L$4="FO",'2025'!$L$2=AU309),'2025DATA'!$D$38,"")</f>
        <v/>
      </c>
      <c r="AV345" s="518" t="str">
        <f>IF(AND(_A3="B-717",'2025'!$L$4="FO",'2025'!$L$2=AV309),'2025DATA'!$E$38,"")</f>
        <v/>
      </c>
      <c r="AW345" s="518" t="str">
        <f>IF(AND(_A3="B-717",'2025'!$L$4="FO",'2025'!$L$2=AW309),'2025DATA'!$F$38,"")</f>
        <v/>
      </c>
      <c r="AX345" s="518" t="str">
        <f>IF(AND(_A3="B-717",'2025'!$L$4="FO",'2025'!$L$2=AX309),'2025DATA'!$G$38,"")</f>
        <v/>
      </c>
      <c r="AY345" s="518" t="str">
        <f>IF(AND(_A3="B-717",'2025'!$L$4="FO",'2025'!$L$2=AY309),'2025DATA'!$H$38,"")</f>
        <v/>
      </c>
      <c r="AZ345" s="518" t="str">
        <f>IF(AND(_A3="B-717",'2025'!$L$4="FO",'2025'!$L$2=AZ309),'2025DATA'!$I$38,"")</f>
        <v/>
      </c>
      <c r="BA345" s="518" t="str">
        <f>IF(AND(_A3="B-717",'2025'!$L$4="FO",'2025'!$L$2=BA309),'2025DATA'!$J$38,"")</f>
        <v/>
      </c>
      <c r="BB345" s="518" t="str">
        <f>IF(AND(_A3="B-717",'2025'!$L$4="FO",'2025'!$L$2=BB309),'2025DATA'!$K$38,"")</f>
        <v/>
      </c>
      <c r="BC345" s="518" t="str">
        <f>IF(AND(_A3="B-717",'2025'!$L$4="FO",'2025'!$L$2=BC309),'2025DATA'!$L$38,"")</f>
        <v/>
      </c>
      <c r="BD345" s="518" t="str">
        <f>IF(AND(_A3="B-717",'2025'!$L$4="FO",'2025'!$L$2=BD309),'2025DATA'!$M$38,"")</f>
        <v/>
      </c>
      <c r="BE345" s="520" t="str">
        <f>IF(AND(_A3="B-717",'2025'!$L$4="FO",'2025'!$L$2=BE309),'2025DATA'!$N$38,"")</f>
        <v/>
      </c>
      <c r="BF345" s="941"/>
      <c r="BG345" s="521" t="s">
        <v>62</v>
      </c>
      <c r="BH345" s="518" t="str">
        <f>IF(AND(_A4="B-717",'2025'!$L$4="FO",'2025'!$L$2=BH309),'2025DATA'!$C$38,"")</f>
        <v/>
      </c>
      <c r="BI345" s="518" t="str">
        <f>IF(AND(_A4="B-717",'2025'!$L$4="FO",'2025'!$L$2=BI309),'2025DATA'!$D$38,"")</f>
        <v/>
      </c>
      <c r="BJ345" s="518" t="str">
        <f>IF(AND(_A4="B-717",'2025'!$L$4="FO",'2025'!$L$2=BJ309),'2025DATA'!$E$38,"")</f>
        <v/>
      </c>
      <c r="BK345" s="518" t="str">
        <f>IF(AND(_A4="B-717",'2025'!$L$4="FO",'2025'!$L$2=BK309),'2025DATA'!$F$38,"")</f>
        <v/>
      </c>
      <c r="BL345" s="518" t="str">
        <f>IF(AND(_A4="B-717",'2025'!$L$4="FO",'2025'!$L$2=BL309),'2025DATA'!$G$38,"")</f>
        <v/>
      </c>
      <c r="BM345" s="518" t="str">
        <f>IF(AND(_A4="B-717",'2025'!$L$4="FO",'2025'!$L$2=BM309),'2025DATA'!$H$38,"")</f>
        <v/>
      </c>
      <c r="BN345" s="518" t="str">
        <f>IF(AND(_A4="B-717",'2025'!$L$4="FO",'2025'!$L$2=BN309),'2025DATA'!$I$38,"")</f>
        <v/>
      </c>
      <c r="BO345" s="518" t="str">
        <f>IF(AND(_A4="B-717",'2025'!$L$4="FO",'2025'!$L$2=BO309),'2025DATA'!$J$38,"")</f>
        <v/>
      </c>
      <c r="BP345" s="518" t="str">
        <f>IF(AND(_A4="B-717",'2025'!$L$4="FO",'2025'!$L$2=BP309),'2025DATA'!$K$38,"")</f>
        <v/>
      </c>
      <c r="BQ345" s="518" t="str">
        <f>IF(AND(_A4="B-717",'2025'!$L$4="FO",'2025'!$L$2=BQ309),'2025DATA'!$L$38,"")</f>
        <v/>
      </c>
      <c r="BR345" s="518" t="str">
        <f>IF(AND(_A4="B-717",'2025'!$L$4="FO",'2025'!$L$2=BR309),'2025DATA'!$M$38,"")</f>
        <v/>
      </c>
      <c r="BS345" s="520" t="str">
        <f>IF(AND(_A4="B-717",'2025'!$L$4="FO",'2025'!$L$2=BS309),'2025DATA'!$N$38,"")</f>
        <v/>
      </c>
      <c r="BT345" s="941"/>
      <c r="BU345" s="521" t="s">
        <v>62</v>
      </c>
      <c r="BV345" s="518" t="str">
        <f>IF(AND(_A5="B-717",'2025'!$L$4="FO",'2025'!$L$2=BV309),'2025DATA'!$C$38,"")</f>
        <v/>
      </c>
      <c r="BW345" s="518" t="str">
        <f>IF(AND(_A5="B-717",'2025'!$L$4="FO",'2025'!$L$2=BW309),'2025DATA'!$D$38,"")</f>
        <v/>
      </c>
      <c r="BX345" s="518" t="str">
        <f>IF(AND(_A5="B-717",'2025'!$L$4="FO",'2025'!$L$2=BX309),'2025DATA'!$E$38,"")</f>
        <v/>
      </c>
      <c r="BY345" s="518" t="str">
        <f>IF(AND(_A5="B-717",'2025'!$L$4="FO",'2025'!$L$2=BY309),'2025DATA'!$F$38,"")</f>
        <v/>
      </c>
      <c r="BZ345" s="518" t="str">
        <f>IF(AND(_A5="B-717",'2025'!$L$4="FO",'2025'!$L$2=BZ309),'2025DATA'!$G$38,"")</f>
        <v/>
      </c>
      <c r="CA345" s="518" t="str">
        <f>IF(AND(_A5="B-717",'2025'!$L$4="FO",'2025'!$L$2=CA309),'2025DATA'!$H$38,"")</f>
        <v/>
      </c>
      <c r="CB345" s="518" t="str">
        <f>IF(AND(_A5="B-717",'2025'!$L$4="FO",'2025'!$L$2=CB309),'2025DATA'!$I$38,"")</f>
        <v/>
      </c>
      <c r="CC345" s="518" t="str">
        <f>IF(AND(_A5="B-717",'2025'!$L$4="FO",'2025'!$L$2=CC309),'2025DATA'!$J$38,"")</f>
        <v/>
      </c>
      <c r="CD345" s="518" t="str">
        <f>IF(AND(_A5="B-717",'2025'!$L$4="FO",'2025'!$L$2=CD309),'2025DATA'!$K$38,"")</f>
        <v/>
      </c>
      <c r="CE345" s="518" t="str">
        <f>IF(AND(_A5="B-717",'2025'!$L$4="FO",'2025'!$L$2=CE309),'2025DATA'!$L$38,"")</f>
        <v/>
      </c>
      <c r="CF345" s="518" t="str">
        <f>IF(AND(_A5="B-717",'2025'!$L$4="FO",'2025'!$L$2=CF309),'2025DATA'!$M$38,"")</f>
        <v/>
      </c>
      <c r="CG345" s="520" t="str">
        <f>IF(AND(_A5="B-717",'2025'!$L$4="FO",'2025'!$L$2=CG309),'2025DATA'!$N$38,"")</f>
        <v/>
      </c>
      <c r="CH345" s="941"/>
      <c r="CI345" s="521" t="s">
        <v>62</v>
      </c>
      <c r="CJ345" s="518" t="str">
        <f>IF(AND(_A6="B-717",'2025'!$L$4="FO",'2025'!$L$2=CJ309),'2025DATA'!$C$38,"")</f>
        <v/>
      </c>
      <c r="CK345" s="518" t="str">
        <f>IF(AND(_A6="B-717",'2025'!$L$4="FO",'2025'!$L$2=CK309),'2025DATA'!$D$38,"")</f>
        <v/>
      </c>
      <c r="CL345" s="518" t="str">
        <f>IF(AND(_A6="B-717",'2025'!$L$4="FO",'2025'!$L$2=CL309),'2025DATA'!$E$38,"")</f>
        <v/>
      </c>
      <c r="CM345" s="518" t="str">
        <f>IF(AND(_A6="B-717",'2025'!$L$4="FO",'2025'!$L$2=CM309),'2025DATA'!$F$38,"")</f>
        <v/>
      </c>
      <c r="CN345" s="518" t="str">
        <f>IF(AND(_A6="B-717",'2025'!$L$4="FO",'2025'!$L$2=CN309),'2025DATA'!$G$38,"")</f>
        <v/>
      </c>
      <c r="CO345" s="518" t="str">
        <f>IF(AND(_A6="B-717",'2025'!$L$4="FO",'2025'!$L$2=CO309),'2025DATA'!$H$38,"")</f>
        <v/>
      </c>
      <c r="CP345" s="518" t="str">
        <f>IF(AND(_A6="B-717",'2025'!$L$4="FO",'2025'!$L$2=CP309),'2025DATA'!$I$38,"")</f>
        <v/>
      </c>
      <c r="CQ345" s="518" t="str">
        <f>IF(AND(_A6="B-717",'2025'!$L$4="FO",'2025'!$L$2=CQ309),'2025DATA'!$J$38,"")</f>
        <v/>
      </c>
      <c r="CR345" s="518" t="str">
        <f>IF(AND(_A6="B-717",'2025'!$L$4="FO",'2025'!$L$2=CR309),'2025DATA'!$K$38,"")</f>
        <v/>
      </c>
      <c r="CS345" s="518" t="str">
        <f>IF(AND(_A6="B-717",'2025'!$L$4="FO",'2025'!$L$2=CS309),'2025DATA'!$L$38,"")</f>
        <v/>
      </c>
      <c r="CT345" s="518" t="str">
        <f>IF(AND(_A6="B-717",'2025'!$L$4="FO",'2025'!$L$2=CT309),'2025DATA'!$M$38,"")</f>
        <v/>
      </c>
      <c r="CU345" s="520" t="str">
        <f>IF(AND(_A6="B-717",'2025'!$L$4="FO",'2025'!$L$2=CU309),'2025DATA'!$N$38,"")</f>
        <v/>
      </c>
    </row>
    <row r="346" spans="16:99" x14ac:dyDescent="0.25">
      <c r="P346" s="943" t="s">
        <v>116</v>
      </c>
      <c r="Q346" s="944"/>
      <c r="R346" s="944"/>
      <c r="S346" s="944"/>
      <c r="T346" s="944"/>
      <c r="U346" s="944"/>
      <c r="V346" s="944"/>
      <c r="W346" s="944"/>
      <c r="X346" s="944"/>
      <c r="Y346" s="944"/>
      <c r="Z346" s="944"/>
      <c r="AA346" s="944"/>
      <c r="AB346" s="944"/>
      <c r="AC346" s="945"/>
      <c r="AD346" s="943" t="s">
        <v>117</v>
      </c>
      <c r="AE346" s="944"/>
      <c r="AF346" s="944"/>
      <c r="AG346" s="944"/>
      <c r="AH346" s="944"/>
      <c r="AI346" s="944"/>
      <c r="AJ346" s="944"/>
      <c r="AK346" s="944"/>
      <c r="AL346" s="944"/>
      <c r="AM346" s="944"/>
      <c r="AN346" s="944"/>
      <c r="AO346" s="944"/>
      <c r="AP346" s="944"/>
      <c r="AQ346" s="945"/>
      <c r="AR346" s="943" t="s">
        <v>118</v>
      </c>
      <c r="AS346" s="944"/>
      <c r="AT346" s="944"/>
      <c r="AU346" s="944"/>
      <c r="AV346" s="944"/>
      <c r="AW346" s="944"/>
      <c r="AX346" s="944"/>
      <c r="AY346" s="944"/>
      <c r="AZ346" s="944"/>
      <c r="BA346" s="944"/>
      <c r="BB346" s="944"/>
      <c r="BC346" s="944"/>
      <c r="BD346" s="944"/>
      <c r="BE346" s="945"/>
      <c r="BF346" s="943" t="s">
        <v>119</v>
      </c>
      <c r="BG346" s="944"/>
      <c r="BH346" s="944"/>
      <c r="BI346" s="944"/>
      <c r="BJ346" s="944"/>
      <c r="BK346" s="944"/>
      <c r="BL346" s="944"/>
      <c r="BM346" s="944"/>
      <c r="BN346" s="944"/>
      <c r="BO346" s="944"/>
      <c r="BP346" s="944"/>
      <c r="BQ346" s="944"/>
      <c r="BR346" s="944"/>
      <c r="BS346" s="945"/>
      <c r="BT346" s="943" t="s">
        <v>120</v>
      </c>
      <c r="BU346" s="944"/>
      <c r="BV346" s="944"/>
      <c r="BW346" s="944"/>
      <c r="BX346" s="944"/>
      <c r="BY346" s="944"/>
      <c r="BZ346" s="944"/>
      <c r="CA346" s="944"/>
      <c r="CB346" s="944"/>
      <c r="CC346" s="944"/>
      <c r="CD346" s="944"/>
      <c r="CE346" s="944"/>
      <c r="CF346" s="944"/>
      <c r="CG346" s="945"/>
      <c r="CH346" s="943" t="s">
        <v>121</v>
      </c>
      <c r="CI346" s="944"/>
      <c r="CJ346" s="944"/>
      <c r="CK346" s="944"/>
      <c r="CL346" s="944"/>
      <c r="CM346" s="944"/>
      <c r="CN346" s="944"/>
      <c r="CO346" s="944"/>
      <c r="CP346" s="944"/>
      <c r="CQ346" s="944"/>
      <c r="CR346" s="944"/>
      <c r="CS346" s="944"/>
      <c r="CT346" s="944"/>
      <c r="CU346" s="945"/>
    </row>
    <row r="347" spans="16:99" x14ac:dyDescent="0.25">
      <c r="P347" s="569">
        <v>10</v>
      </c>
      <c r="Q347" s="569">
        <f>SUM(R348:AC383)</f>
        <v>0</v>
      </c>
      <c r="R347" s="3">
        <v>12</v>
      </c>
      <c r="S347" s="3">
        <v>11</v>
      </c>
      <c r="T347" s="3">
        <v>10</v>
      </c>
      <c r="U347" s="3">
        <v>9</v>
      </c>
      <c r="V347" s="3">
        <v>8</v>
      </c>
      <c r="W347" s="3">
        <v>7</v>
      </c>
      <c r="X347" s="3">
        <v>6</v>
      </c>
      <c r="Y347" s="3">
        <v>5</v>
      </c>
      <c r="Z347" s="3">
        <v>4</v>
      </c>
      <c r="AA347" s="3">
        <v>3</v>
      </c>
      <c r="AB347" s="3">
        <v>2</v>
      </c>
      <c r="AC347" s="519">
        <v>1</v>
      </c>
      <c r="AD347" s="569">
        <v>10</v>
      </c>
      <c r="AE347" s="569">
        <f>SUM(AF348:AQ383)</f>
        <v>0</v>
      </c>
      <c r="AF347" s="3">
        <v>12</v>
      </c>
      <c r="AG347" s="3">
        <v>11</v>
      </c>
      <c r="AH347" s="3">
        <v>10</v>
      </c>
      <c r="AI347" s="3">
        <v>9</v>
      </c>
      <c r="AJ347" s="3">
        <v>8</v>
      </c>
      <c r="AK347" s="3">
        <v>7</v>
      </c>
      <c r="AL347" s="3">
        <v>6</v>
      </c>
      <c r="AM347" s="3">
        <v>5</v>
      </c>
      <c r="AN347" s="3">
        <v>4</v>
      </c>
      <c r="AO347" s="3">
        <v>3</v>
      </c>
      <c r="AP347" s="3">
        <v>2</v>
      </c>
      <c r="AQ347" s="519">
        <v>1</v>
      </c>
      <c r="AR347" s="569">
        <v>10</v>
      </c>
      <c r="AS347" s="569">
        <f>SUM(AT348:BE383)</f>
        <v>0</v>
      </c>
      <c r="AT347" s="3">
        <v>12</v>
      </c>
      <c r="AU347" s="3">
        <v>11</v>
      </c>
      <c r="AV347" s="3">
        <v>10</v>
      </c>
      <c r="AW347" s="3">
        <v>9</v>
      </c>
      <c r="AX347" s="3">
        <v>8</v>
      </c>
      <c r="AY347" s="3">
        <v>7</v>
      </c>
      <c r="AZ347" s="3">
        <v>6</v>
      </c>
      <c r="BA347" s="3">
        <v>5</v>
      </c>
      <c r="BB347" s="3">
        <v>4</v>
      </c>
      <c r="BC347" s="3">
        <v>3</v>
      </c>
      <c r="BD347" s="3">
        <v>2</v>
      </c>
      <c r="BE347" s="519">
        <v>1</v>
      </c>
      <c r="BF347" s="569">
        <v>10</v>
      </c>
      <c r="BG347" s="569">
        <f>SUM(BH348:BS383)</f>
        <v>0</v>
      </c>
      <c r="BH347" s="3">
        <v>12</v>
      </c>
      <c r="BI347" s="3">
        <v>11</v>
      </c>
      <c r="BJ347" s="3">
        <v>10</v>
      </c>
      <c r="BK347" s="3">
        <v>9</v>
      </c>
      <c r="BL347" s="3">
        <v>8</v>
      </c>
      <c r="BM347" s="3">
        <v>7</v>
      </c>
      <c r="BN347" s="3">
        <v>6</v>
      </c>
      <c r="BO347" s="3">
        <v>5</v>
      </c>
      <c r="BP347" s="3">
        <v>4</v>
      </c>
      <c r="BQ347" s="3">
        <v>3</v>
      </c>
      <c r="BR347" s="3">
        <v>2</v>
      </c>
      <c r="BS347" s="519">
        <v>1</v>
      </c>
      <c r="BT347" s="569">
        <v>10</v>
      </c>
      <c r="BU347" s="569">
        <f>SUM(BV348:CG383)</f>
        <v>0</v>
      </c>
      <c r="BV347" s="3">
        <v>12</v>
      </c>
      <c r="BW347" s="3">
        <v>11</v>
      </c>
      <c r="BX347" s="3">
        <v>10</v>
      </c>
      <c r="BY347" s="3">
        <v>9</v>
      </c>
      <c r="BZ347" s="3">
        <v>8</v>
      </c>
      <c r="CA347" s="3">
        <v>7</v>
      </c>
      <c r="CB347" s="3">
        <v>6</v>
      </c>
      <c r="CC347" s="3">
        <v>5</v>
      </c>
      <c r="CD347" s="3">
        <v>4</v>
      </c>
      <c r="CE347" s="3">
        <v>3</v>
      </c>
      <c r="CF347" s="3">
        <v>2</v>
      </c>
      <c r="CG347" s="519">
        <v>1</v>
      </c>
      <c r="CH347" s="569">
        <v>10</v>
      </c>
      <c r="CI347" s="569">
        <f>SUM(CJ348:CU383)</f>
        <v>0</v>
      </c>
      <c r="CJ347" s="3">
        <v>12</v>
      </c>
      <c r="CK347" s="3">
        <v>11</v>
      </c>
      <c r="CL347" s="3">
        <v>10</v>
      </c>
      <c r="CM347" s="3">
        <v>9</v>
      </c>
      <c r="CN347" s="3">
        <v>8</v>
      </c>
      <c r="CO347" s="3">
        <v>7</v>
      </c>
      <c r="CP347" s="3">
        <v>6</v>
      </c>
      <c r="CQ347" s="3">
        <v>5</v>
      </c>
      <c r="CR347" s="3">
        <v>4</v>
      </c>
      <c r="CS347" s="3">
        <v>3</v>
      </c>
      <c r="CT347" s="3">
        <v>2</v>
      </c>
      <c r="CU347" s="519">
        <v>1</v>
      </c>
    </row>
    <row r="348" spans="16:99" x14ac:dyDescent="0.25">
      <c r="P348" s="940" t="s">
        <v>39</v>
      </c>
      <c r="Q348" s="13" t="s">
        <v>61</v>
      </c>
      <c r="R348" s="518" t="str">
        <f>IF(AND(_A1="A-350",'2025'!$M$4="CA",'2025'!$M$2=R347),'2025DATA'!$C$3,"")</f>
        <v/>
      </c>
      <c r="S348" s="518" t="str">
        <f>IF(AND(_A1="A-350",'2025'!$M$4="CA",'2025'!$M$2=S347),'2025DATA'!$D$3,"")</f>
        <v/>
      </c>
      <c r="T348" s="518" t="str">
        <f>IF(AND(_A1="A-350",'2025'!$M$4="CA",'2025'!$M$2=T347),'2025DATA'!$E$3,"")</f>
        <v/>
      </c>
      <c r="U348" s="518" t="str">
        <f>IF(AND(_A1="A-350",'2025'!$M$4="CA",'2025'!$M$2=U347),'2025DATA'!$F$3,"")</f>
        <v/>
      </c>
      <c r="V348" s="518" t="str">
        <f>IF(AND(_A1="A-350",'2025'!$M$4="CA",'2025'!$M$2=V347),'2025DATA'!$G$3,"")</f>
        <v/>
      </c>
      <c r="W348" s="518" t="str">
        <f>IF(AND(_A1="A-350",'2025'!$M$4="CA",'2025'!$M$2=W347),'2025DATA'!$H$3,"")</f>
        <v/>
      </c>
      <c r="X348" s="518" t="str">
        <f>IF(AND(_A1="A-350",'2025'!$M$4="CA",'2025'!$M$2=X347),'2025DATA'!$I$3,"")</f>
        <v/>
      </c>
      <c r="Y348" s="518" t="str">
        <f>IF(AND(_A1="A-350",'2025'!$M$4="CA",'2025'!$M$2=Y347),'2025DATA'!$J$3,"")</f>
        <v/>
      </c>
      <c r="Z348" s="518" t="str">
        <f>IF(AND(_A1="A-350",'2025'!$M$4="CA",'2025'!$M$2=Z347),'2025DATA'!$K$3,"")</f>
        <v/>
      </c>
      <c r="AA348" s="518" t="str">
        <f>IF(AND(_A1="A-350",'2025'!$M$4="CA",'2025'!$M$2=AA347),'2025DATA'!$L$3,"")</f>
        <v/>
      </c>
      <c r="AB348" s="518" t="str">
        <f>IF(AND(_A1="A-350",'2025'!$M$4="CA",'2025'!$M$2=AB347),'2025DATA'!$M$3,"")</f>
        <v/>
      </c>
      <c r="AC348" s="520" t="str">
        <f>IF(AND(_A1="A-350",'2025'!$M$4="CA",'2025'!$M$2=AC347),'2025DATA'!$N$3,"")</f>
        <v/>
      </c>
      <c r="AD348" s="940" t="s">
        <v>39</v>
      </c>
      <c r="AE348" s="13" t="s">
        <v>61</v>
      </c>
      <c r="AF348" s="518" t="str">
        <f>IF(AND(_A2="A-350",'2025'!$M$4="CA",'2025'!$M$2=AF347),'2025DATA'!$C$3,"")</f>
        <v/>
      </c>
      <c r="AG348" s="518" t="str">
        <f>IF(AND(_A2="A-350",'2025'!$M$4="CA",'2025'!$M$2=AG347),'2025DATA'!$D$3,"")</f>
        <v/>
      </c>
      <c r="AH348" s="518" t="str">
        <f>IF(AND(_A2="A-350",'2025'!$M$4="CA",'2025'!$M$2=AH347),'2025DATA'!$E$3,"")</f>
        <v/>
      </c>
      <c r="AI348" s="518" t="str">
        <f>IF(AND(_A2="A-350",'2025'!$M$4="CA",'2025'!$M$2=AI347),'2025DATA'!$F$3,"")</f>
        <v/>
      </c>
      <c r="AJ348" s="518" t="str">
        <f>IF(AND(_A2="A-350",'2025'!$M$4="CA",'2025'!$M$2=AJ347),'2025DATA'!$G$3,"")</f>
        <v/>
      </c>
      <c r="AK348" s="518" t="str">
        <f>IF(AND(_A2="A-350",'2025'!$M$4="CA",'2025'!$M$2=AK347),'2025DATA'!$H$3,"")</f>
        <v/>
      </c>
      <c r="AL348" s="518" t="str">
        <f>IF(AND(_A2="A-350",'2025'!$M$4="CA",'2025'!$M$2=AL347),'2025DATA'!$I$3,"")</f>
        <v/>
      </c>
      <c r="AM348" s="518" t="str">
        <f>IF(AND(_A2="A-350",'2025'!$M$4="CA",'2025'!$M$2=AM347),'2025DATA'!$J$3,"")</f>
        <v/>
      </c>
      <c r="AN348" s="518" t="str">
        <f>IF(AND(_A2="A-350",'2025'!$M$4="CA",'2025'!$M$2=AN347),'2025DATA'!$K$3,"")</f>
        <v/>
      </c>
      <c r="AO348" s="518" t="str">
        <f>IF(AND(_A2="A-350",'2025'!$M$4="CA",'2025'!$M$2=AO347),'2025DATA'!$L$3,"")</f>
        <v/>
      </c>
      <c r="AP348" s="518" t="str">
        <f>IF(AND(_A2="A-350",'2025'!$M$4="CA",'2025'!$M$2=AP347),'2025DATA'!$M$3,"")</f>
        <v/>
      </c>
      <c r="AQ348" s="520" t="str">
        <f>IF(AND(_A2="A-350",'2025'!$M$4="CA",'2025'!$M$2=AQ347),'2025DATA'!$N$3,"")</f>
        <v/>
      </c>
      <c r="AR348" s="940" t="s">
        <v>39</v>
      </c>
      <c r="AS348" s="13" t="s">
        <v>61</v>
      </c>
      <c r="AT348" s="518" t="str">
        <f>IF(AND(_A3="A-350",'2025'!$M$4="CA",'2025'!$M$2=AT347),'2025DATA'!$C$3,"")</f>
        <v/>
      </c>
      <c r="AU348" s="518" t="str">
        <f>IF(AND(_A3="A-350",'2025'!$M$4="CA",'2025'!$M$2=AU347),'2025DATA'!$D$3,"")</f>
        <v/>
      </c>
      <c r="AV348" s="518" t="str">
        <f>IF(AND(_A3="A-350",'2025'!$M$4="CA",'2025'!$M$2=AV347),'2025DATA'!$E$3,"")</f>
        <v/>
      </c>
      <c r="AW348" s="518" t="str">
        <f>IF(AND(_A3="A-350",'2025'!$M$4="CA",'2025'!$M$2=AW347),'2025DATA'!$F$3,"")</f>
        <v/>
      </c>
      <c r="AX348" s="518" t="str">
        <f>IF(AND(_A3="A-350",'2025'!$M$4="CA",'2025'!$M$2=AX347),'2025DATA'!$G$3,"")</f>
        <v/>
      </c>
      <c r="AY348" s="518" t="str">
        <f>IF(AND(_A3="A-350",'2025'!$M$4="CA",'2025'!$M$2=AY347),'2025DATA'!$H$3,"")</f>
        <v/>
      </c>
      <c r="AZ348" s="518" t="str">
        <f>IF(AND(_A3="A-350",'2025'!$M$4="CA",'2025'!$M$2=AZ347),'2025DATA'!$I$3,"")</f>
        <v/>
      </c>
      <c r="BA348" s="518" t="str">
        <f>IF(AND(_A3="A-350",'2025'!$M$4="CA",'2025'!$M$2=BA347),'2025DATA'!$J$3,"")</f>
        <v/>
      </c>
      <c r="BB348" s="518" t="str">
        <f>IF(AND(_A3="A-350",'2025'!$M$4="CA",'2025'!$M$2=BB347),'2025DATA'!$K$3,"")</f>
        <v/>
      </c>
      <c r="BC348" s="518" t="str">
        <f>IF(AND(_A3="A-350",'2025'!$M$4="CA",'2025'!$M$2=BC347),'2025DATA'!$L$3,"")</f>
        <v/>
      </c>
      <c r="BD348" s="518" t="str">
        <f>IF(AND(_A3="A-350",'2025'!$M$4="CA",'2025'!$M$2=BD347),'2025DATA'!$M$3,"")</f>
        <v/>
      </c>
      <c r="BE348" s="520" t="str">
        <f>IF(AND(_A3="A-350",'2025'!$M$4="CA",'2025'!$M$2=BE347),'2025DATA'!$N$3,"")</f>
        <v/>
      </c>
      <c r="BF348" s="940" t="s">
        <v>39</v>
      </c>
      <c r="BG348" s="13" t="s">
        <v>61</v>
      </c>
      <c r="BH348" s="518" t="str">
        <f>IF(AND(_A4="A-350",'2025'!$M$4="CA",'2025'!$M$2=BH347),'2025DATA'!$C$3,"")</f>
        <v/>
      </c>
      <c r="BI348" s="518" t="str">
        <f>IF(AND(_A4="A-350",'2025'!$M$4="CA",'2025'!$M$2=BI347),'2025DATA'!$D$3,"")</f>
        <v/>
      </c>
      <c r="BJ348" s="518" t="str">
        <f>IF(AND(_A4="A-350",'2025'!$M$4="CA",'2025'!$M$2=BJ347),'2025DATA'!$E$3,"")</f>
        <v/>
      </c>
      <c r="BK348" s="518" t="str">
        <f>IF(AND(_A4="A-350",'2025'!$M$4="CA",'2025'!$M$2=BK347),'2025DATA'!$F$3,"")</f>
        <v/>
      </c>
      <c r="BL348" s="518" t="str">
        <f>IF(AND(_A4="A-350",'2025'!$M$4="CA",'2025'!$M$2=BL347),'2025DATA'!$G$3,"")</f>
        <v/>
      </c>
      <c r="BM348" s="518" t="str">
        <f>IF(AND(_A4="A-350",'2025'!$M$4="CA",'2025'!$M$2=BM347),'2025DATA'!$H$3,"")</f>
        <v/>
      </c>
      <c r="BN348" s="518" t="str">
        <f>IF(AND(_A4="A-350",'2025'!$M$4="CA",'2025'!$M$2=BN347),'2025DATA'!$I$3,"")</f>
        <v/>
      </c>
      <c r="BO348" s="518" t="str">
        <f>IF(AND(_A4="A-350",'2025'!$M$4="CA",'2025'!$M$2=BO347),'2025DATA'!$J$3,"")</f>
        <v/>
      </c>
      <c r="BP348" s="518" t="str">
        <f>IF(AND(_A4="A-350",'2025'!$M$4="CA",'2025'!$M$2=BP347),'2025DATA'!$K$3,"")</f>
        <v/>
      </c>
      <c r="BQ348" s="518" t="str">
        <f>IF(AND(_A4="A-350",'2025'!$M$4="CA",'2025'!$M$2=BQ347),'2025DATA'!$L$3,"")</f>
        <v/>
      </c>
      <c r="BR348" s="518" t="str">
        <f>IF(AND(_A4="A-350",'2025'!$M$4="CA",'2025'!$M$2=BR347),'2025DATA'!$M$3,"")</f>
        <v/>
      </c>
      <c r="BS348" s="520" t="str">
        <f>IF(AND(_A4="A-350",'2025'!$M$4="CA",'2025'!$M$2=BS347),'2025DATA'!$N$3,"")</f>
        <v/>
      </c>
      <c r="BT348" s="940" t="s">
        <v>39</v>
      </c>
      <c r="BU348" s="13" t="s">
        <v>61</v>
      </c>
      <c r="BV348" s="518" t="str">
        <f>IF(AND(_A5="A-350",'2025'!$M$4="CA",'2025'!$M$2=BV347),'2025DATA'!$C$3,"")</f>
        <v/>
      </c>
      <c r="BW348" s="518" t="str">
        <f>IF(AND(_A5="A-350",'2025'!$M$4="CA",'2025'!$M$2=BW347),'2025DATA'!$D$3,"")</f>
        <v/>
      </c>
      <c r="BX348" s="518" t="str">
        <f>IF(AND(_A5="A-350",'2025'!$M$4="CA",'2025'!$M$2=BX347),'2025DATA'!$E$3,"")</f>
        <v/>
      </c>
      <c r="BY348" s="518" t="str">
        <f>IF(AND(_A5="A-350",'2025'!$M$4="CA",'2025'!$M$2=BY347),'2025DATA'!$F$3,"")</f>
        <v/>
      </c>
      <c r="BZ348" s="518" t="str">
        <f>IF(AND(_A5="A-350",'2025'!$M$4="CA",'2025'!$M$2=BZ347),'2025DATA'!$G$3,"")</f>
        <v/>
      </c>
      <c r="CA348" s="518" t="str">
        <f>IF(AND(_A5="A-350",'2025'!$M$4="CA",'2025'!$M$2=CA347),'2025DATA'!$H$3,"")</f>
        <v/>
      </c>
      <c r="CB348" s="518" t="str">
        <f>IF(AND(_A5="A-350",'2025'!$M$4="CA",'2025'!$M$2=CB347),'2025DATA'!$I$3,"")</f>
        <v/>
      </c>
      <c r="CC348" s="518" t="str">
        <f>IF(AND(_A5="A-350",'2025'!$M$4="CA",'2025'!$M$2=CC347),'2025DATA'!$J$3,"")</f>
        <v/>
      </c>
      <c r="CD348" s="518" t="str">
        <f>IF(AND(_A5="A-350",'2025'!$M$4="CA",'2025'!$M$2=CD347),'2025DATA'!$K$3,"")</f>
        <v/>
      </c>
      <c r="CE348" s="518" t="str">
        <f>IF(AND(_A5="A-350",'2025'!$M$4="CA",'2025'!$M$2=CE347),'2025DATA'!$L$3,"")</f>
        <v/>
      </c>
      <c r="CF348" s="518" t="str">
        <f>IF(AND(_A5="A-350",'2025'!$M$4="CA",'2025'!$M$2=CF347),'2025DATA'!$M$3,"")</f>
        <v/>
      </c>
      <c r="CG348" s="520" t="str">
        <f>IF(AND(_A5="A-350",'2025'!$M$4="CA",'2025'!$M$2=CG347),'2025DATA'!$N$3,"")</f>
        <v/>
      </c>
      <c r="CH348" s="940" t="s">
        <v>39</v>
      </c>
      <c r="CI348" s="13" t="s">
        <v>61</v>
      </c>
      <c r="CJ348" s="518" t="str">
        <f>IF(AND(_A6="A-350",'2025'!$M$4="CA",'2025'!$M$2=CJ347),'2025DATA'!$C$3,"")</f>
        <v/>
      </c>
      <c r="CK348" s="518" t="str">
        <f>IF(AND(_A6="A-350",'2025'!$M$4="CA",'2025'!$M$2=CK347),'2025DATA'!$D$3,"")</f>
        <v/>
      </c>
      <c r="CL348" s="518" t="str">
        <f>IF(AND(_A6="A-350",'2025'!$M$4="CA",'2025'!$M$2=CL347),'2025DATA'!$E$3,"")</f>
        <v/>
      </c>
      <c r="CM348" s="518" t="str">
        <f>IF(AND(_A6="A-350",'2025'!$M$4="CA",'2025'!$M$2=CM347),'2025DATA'!$F$3,"")</f>
        <v/>
      </c>
      <c r="CN348" s="518" t="str">
        <f>IF(AND(_A6="A-350",'2025'!$M$4="CA",'2025'!$M$2=CN347),'2025DATA'!$G$3,"")</f>
        <v/>
      </c>
      <c r="CO348" s="518" t="str">
        <f>IF(AND(_A6="A-350",'2025'!$M$4="CA",'2025'!$M$2=CO347),'2025DATA'!$H$3,"")</f>
        <v/>
      </c>
      <c r="CP348" s="518" t="str">
        <f>IF(AND(_A6="A-350",'2025'!$M$4="CA",'2025'!$M$2=CP347),'2025DATA'!$I$3,"")</f>
        <v/>
      </c>
      <c r="CQ348" s="518" t="str">
        <f>IF(AND(_A6="A-350",'2025'!$M$4="CA",'2025'!$M$2=CQ347),'2025DATA'!$J$3,"")</f>
        <v/>
      </c>
      <c r="CR348" s="518" t="str">
        <f>IF(AND(_A6="A-350",'2025'!$M$4="CA",'2025'!$M$2=CR347),'2025DATA'!$K$3,"")</f>
        <v/>
      </c>
      <c r="CS348" s="518" t="str">
        <f>IF(AND(_A6="A-350",'2025'!$M$4="CA",'2025'!$M$2=CS347),'2025DATA'!$L$3,"")</f>
        <v/>
      </c>
      <c r="CT348" s="518" t="str">
        <f>IF(AND(_A6="A-350",'2025'!$M$4="CA",'2025'!$M$2=CT347),'2025DATA'!$M$3,"")</f>
        <v/>
      </c>
      <c r="CU348" s="520" t="str">
        <f>IF(AND(_A6="A-350",'2025'!$M$4="CA",'2025'!$M$2=CU347),'2025DATA'!$N$3,"")</f>
        <v/>
      </c>
    </row>
    <row r="349" spans="16:99" x14ac:dyDescent="0.25">
      <c r="P349" s="940"/>
      <c r="Q349" s="13" t="s">
        <v>62</v>
      </c>
      <c r="R349" s="518" t="str">
        <f>IF(AND(_A1="A-350",'2025'!$M$4="FO",'2025'!$M$2=R347),'2025DATA'!$C$4,"")</f>
        <v/>
      </c>
      <c r="S349" s="518" t="str">
        <f>IF(AND(_A1="A-350",'2025'!$M$4="FO",'2025'!$M$2=S347),'2025DATA'!$D$4,"")</f>
        <v/>
      </c>
      <c r="T349" s="518" t="str">
        <f>IF(AND(_A1="A-350",'2025'!$M$4="FO",'2025'!$M$2=T347),'2025DATA'!$E$4,"")</f>
        <v/>
      </c>
      <c r="U349" s="518" t="str">
        <f>IF(AND(_A1="A-350",'2025'!$M$4="FO",'2025'!$M$2=U347),'2025DATA'!$F$4,"")</f>
        <v/>
      </c>
      <c r="V349" s="518" t="str">
        <f>IF(AND(_A1="A-350",'2025'!$M$4="FO",'2025'!$M$2=V347),'2025DATA'!$G$4,"")</f>
        <v/>
      </c>
      <c r="W349" s="518" t="str">
        <f>IF(AND(_A1="A-350",'2025'!$M$4="FO",'2025'!$M$2=W347),'2025DATA'!$H$4,"")</f>
        <v/>
      </c>
      <c r="X349" s="518" t="str">
        <f>IF(AND(_A1="A-350",'2025'!$M$4="FO",'2025'!$M$2=X347),'2025DATA'!$I$4,"")</f>
        <v/>
      </c>
      <c r="Y349" s="518" t="str">
        <f>IF(AND(_A1="A-350",'2025'!$M$4="FO",'2025'!$M$2=Y347),'2025DATA'!$J$4,"")</f>
        <v/>
      </c>
      <c r="Z349" s="518" t="str">
        <f>IF(AND(_A1="A-350",'2025'!$M$4="FO",'2025'!$M$2=Z347),'2025DATA'!$K$4,"")</f>
        <v/>
      </c>
      <c r="AA349" s="518" t="str">
        <f>IF(AND(_A1="A-350",'2025'!$M$4="FO",'2025'!$M$2=AA347),'2025DATA'!$L$4,"")</f>
        <v/>
      </c>
      <c r="AB349" s="518" t="str">
        <f>IF(AND(_A1="A-350",'2025'!$M$4="FO",'2025'!$M$2=AB347),'2025DATA'!$M$4,"")</f>
        <v/>
      </c>
      <c r="AC349" s="520" t="str">
        <f>IF(AND(_A1="A-350",'2025'!$M$4="FO",'2025'!$M$2=AC347),'2025DATA'!$N$4,"")</f>
        <v/>
      </c>
      <c r="AD349" s="940"/>
      <c r="AE349" s="13" t="s">
        <v>62</v>
      </c>
      <c r="AF349" s="518" t="str">
        <f>IF(AND(_A2="A-350",'2025'!$M$4="FO",'2025'!$M$2=AF347),'2025DATA'!$C$4,"")</f>
        <v/>
      </c>
      <c r="AG349" s="518" t="str">
        <f>IF(AND(_A2="A-350",'2025'!$M$4="FO",'2025'!$M$2=AG347),'2025DATA'!$D$4,"")</f>
        <v/>
      </c>
      <c r="AH349" s="518" t="str">
        <f>IF(AND(_A2="A-350",'2025'!$M$4="FO",'2025'!$M$2=AH347),'2025DATA'!$E$4,"")</f>
        <v/>
      </c>
      <c r="AI349" s="518" t="str">
        <f>IF(AND(_A2="A-350",'2025'!$M$4="FO",'2025'!$M$2=AI347),'2025DATA'!$F$4,"")</f>
        <v/>
      </c>
      <c r="AJ349" s="518" t="str">
        <f>IF(AND(_A2="A-350",'2025'!$M$4="FO",'2025'!$M$2=AJ347),'2025DATA'!$G$4,"")</f>
        <v/>
      </c>
      <c r="AK349" s="518" t="str">
        <f>IF(AND(_A2="A-350",'2025'!$M$4="FO",'2025'!$M$2=AK347),'2025DATA'!$H$4,"")</f>
        <v/>
      </c>
      <c r="AL349" s="518" t="str">
        <f>IF(AND(_A2="A-350",'2025'!$M$4="FO",'2025'!$M$2=AL347),'2025DATA'!$I$4,"")</f>
        <v/>
      </c>
      <c r="AM349" s="518" t="str">
        <f>IF(AND(_A2="A-350",'2025'!$M$4="FO",'2025'!$M$2=AM347),'2025DATA'!$J$4,"")</f>
        <v/>
      </c>
      <c r="AN349" s="518" t="str">
        <f>IF(AND(_A2="A-350",'2025'!$M$4="FO",'2025'!$M$2=AN347),'2025DATA'!$K$4,"")</f>
        <v/>
      </c>
      <c r="AO349" s="518" t="str">
        <f>IF(AND(_A2="A-350",'2025'!$M$4="FO",'2025'!$M$2=AO347),'2025DATA'!$L$4,"")</f>
        <v/>
      </c>
      <c r="AP349" s="518" t="str">
        <f>IF(AND(_A2="A-350",'2025'!$M$4="FO",'2025'!$M$2=AP347),'2025DATA'!$M$4,"")</f>
        <v/>
      </c>
      <c r="AQ349" s="520" t="str">
        <f>IF(AND(_A2="A-350",'2025'!$M$4="FO",'2025'!$M$2=AQ347),'2025DATA'!$N$4,"")</f>
        <v/>
      </c>
      <c r="AR349" s="940"/>
      <c r="AS349" s="13" t="s">
        <v>62</v>
      </c>
      <c r="AT349" s="518" t="str">
        <f>IF(AND(_A3="A-350",'2025'!$M$4="FO",'2025'!$M$2=AT347),'2025DATA'!$C$4,"")</f>
        <v/>
      </c>
      <c r="AU349" s="518" t="str">
        <f>IF(AND(_A3="A-350",'2025'!$M$4="FO",'2025'!$M$2=AU347),'2025DATA'!$D$4,"")</f>
        <v/>
      </c>
      <c r="AV349" s="518" t="str">
        <f>IF(AND(_A3="A-350",'2025'!$M$4="FO",'2025'!$M$2=AV347),'2025DATA'!$E$4,"")</f>
        <v/>
      </c>
      <c r="AW349" s="518" t="str">
        <f>IF(AND(_A3="A-350",'2025'!$M$4="FO",'2025'!$M$2=AW347),'2025DATA'!$F$4,"")</f>
        <v/>
      </c>
      <c r="AX349" s="518" t="str">
        <f>IF(AND(_A3="A-350",'2025'!$M$4="FO",'2025'!$M$2=AX347),'2025DATA'!$G$4,"")</f>
        <v/>
      </c>
      <c r="AY349" s="518" t="str">
        <f>IF(AND(_A3="A-350",'2025'!$M$4="FO",'2025'!$M$2=AY347),'2025DATA'!$H$4,"")</f>
        <v/>
      </c>
      <c r="AZ349" s="518" t="str">
        <f>IF(AND(_A3="A-350",'2025'!$M$4="FO",'2025'!$M$2=AZ347),'2025DATA'!$I$4,"")</f>
        <v/>
      </c>
      <c r="BA349" s="518" t="str">
        <f>IF(AND(_A3="A-350",'2025'!$M$4="FO",'2025'!$M$2=BA347),'2025DATA'!$J$4,"")</f>
        <v/>
      </c>
      <c r="BB349" s="518" t="str">
        <f>IF(AND(_A3="A-350",'2025'!$M$4="FO",'2025'!$M$2=BB347),'2025DATA'!$K$4,"")</f>
        <v/>
      </c>
      <c r="BC349" s="518" t="str">
        <f>IF(AND(_A3="A-350",'2025'!$M$4="FO",'2025'!$M$2=BC347),'2025DATA'!$L$4,"")</f>
        <v/>
      </c>
      <c r="BD349" s="518" t="str">
        <f>IF(AND(_A3="A-350",'2025'!$M$4="FO",'2025'!$M$2=BD347),'2025DATA'!$M$4,"")</f>
        <v/>
      </c>
      <c r="BE349" s="520" t="str">
        <f>IF(AND(_A3="A-350",'2025'!$M$4="FO",'2025'!$M$2=BE347),'2025DATA'!$N$4,"")</f>
        <v/>
      </c>
      <c r="BF349" s="940"/>
      <c r="BG349" s="13" t="s">
        <v>62</v>
      </c>
      <c r="BH349" s="518" t="str">
        <f>IF(AND(_A4="A-350",'2025'!$M$4="FO",'2025'!$M$2=BH347),'2025DATA'!$C$4,"")</f>
        <v/>
      </c>
      <c r="BI349" s="518" t="str">
        <f>IF(AND(_A4="A-350",'2025'!$M$4="FO",'2025'!$M$2=BI347),'2025DATA'!$D$4,"")</f>
        <v/>
      </c>
      <c r="BJ349" s="518" t="str">
        <f>IF(AND(_A4="A-350",'2025'!$M$4="FO",'2025'!$M$2=BJ347),'2025DATA'!$E$4,"")</f>
        <v/>
      </c>
      <c r="BK349" s="518" t="str">
        <f>IF(AND(_A4="A-350",'2025'!$M$4="FO",'2025'!$M$2=BK347),'2025DATA'!$F$4,"")</f>
        <v/>
      </c>
      <c r="BL349" s="518" t="str">
        <f>IF(AND(_A4="A-350",'2025'!$M$4="FO",'2025'!$M$2=BL347),'2025DATA'!$G$4,"")</f>
        <v/>
      </c>
      <c r="BM349" s="518" t="str">
        <f>IF(AND(_A4="A-350",'2025'!$M$4="FO",'2025'!$M$2=BM347),'2025DATA'!$H$4,"")</f>
        <v/>
      </c>
      <c r="BN349" s="518" t="str">
        <f>IF(AND(_A4="A-350",'2025'!$M$4="FO",'2025'!$M$2=BN347),'2025DATA'!$I$4,"")</f>
        <v/>
      </c>
      <c r="BO349" s="518" t="str">
        <f>IF(AND(_A4="A-350",'2025'!$M$4="FO",'2025'!$M$2=BO347),'2025DATA'!$J$4,"")</f>
        <v/>
      </c>
      <c r="BP349" s="518" t="str">
        <f>IF(AND(_A4="A-350",'2025'!$M$4="FO",'2025'!$M$2=BP347),'2025DATA'!$K$4,"")</f>
        <v/>
      </c>
      <c r="BQ349" s="518" t="str">
        <f>IF(AND(_A4="A-350",'2025'!$M$4="FO",'2025'!$M$2=BQ347),'2025DATA'!$L$4,"")</f>
        <v/>
      </c>
      <c r="BR349" s="518" t="str">
        <f>IF(AND(_A4="A-350",'2025'!$M$4="FO",'2025'!$M$2=BR347),'2025DATA'!$M$4,"")</f>
        <v/>
      </c>
      <c r="BS349" s="520" t="str">
        <f>IF(AND(_A4="A-350",'2025'!$M$4="FO",'2025'!$M$2=BS347),'2025DATA'!$N$4,"")</f>
        <v/>
      </c>
      <c r="BT349" s="940"/>
      <c r="BU349" s="13" t="s">
        <v>62</v>
      </c>
      <c r="BV349" s="518" t="str">
        <f>IF(AND(_A5="A-350",'2025'!$M$4="FO",'2025'!$M$2=BV347),'2025DATA'!$C$4,"")</f>
        <v/>
      </c>
      <c r="BW349" s="518" t="str">
        <f>IF(AND(_A5="A-350",'2025'!$M$4="FO",'2025'!$M$2=BW347),'2025DATA'!$D$4,"")</f>
        <v/>
      </c>
      <c r="BX349" s="518" t="str">
        <f>IF(AND(_A5="A-350",'2025'!$M$4="FO",'2025'!$M$2=BX347),'2025DATA'!$E$4,"")</f>
        <v/>
      </c>
      <c r="BY349" s="518" t="str">
        <f>IF(AND(_A5="A-350",'2025'!$M$4="FO",'2025'!$M$2=BY347),'2025DATA'!$F$4,"")</f>
        <v/>
      </c>
      <c r="BZ349" s="518" t="str">
        <f>IF(AND(_A5="A-350",'2025'!$M$4="FO",'2025'!$M$2=BZ347),'2025DATA'!$G$4,"")</f>
        <v/>
      </c>
      <c r="CA349" s="518" t="str">
        <f>IF(AND(_A5="A-350",'2025'!$M$4="FO",'2025'!$M$2=CA347),'2025DATA'!$H$4,"")</f>
        <v/>
      </c>
      <c r="CB349" s="518" t="str">
        <f>IF(AND(_A5="A-350",'2025'!$M$4="FO",'2025'!$M$2=CB347),'2025DATA'!$I$4,"")</f>
        <v/>
      </c>
      <c r="CC349" s="518" t="str">
        <f>IF(AND(_A5="A-350",'2025'!$M$4="FO",'2025'!$M$2=CC347),'2025DATA'!$J$4,"")</f>
        <v/>
      </c>
      <c r="CD349" s="518" t="str">
        <f>IF(AND(_A5="A-350",'2025'!$M$4="FO",'2025'!$M$2=CD347),'2025DATA'!$K$4,"")</f>
        <v/>
      </c>
      <c r="CE349" s="518" t="str">
        <f>IF(AND(_A5="A-350",'2025'!$M$4="FO",'2025'!$M$2=CE347),'2025DATA'!$L$4,"")</f>
        <v/>
      </c>
      <c r="CF349" s="518" t="str">
        <f>IF(AND(_A5="A-350",'2025'!$M$4="FO",'2025'!$M$2=CF347),'2025DATA'!$M$4,"")</f>
        <v/>
      </c>
      <c r="CG349" s="520" t="str">
        <f>IF(AND(_A5="A-350",'2025'!$M$4="FO",'2025'!$M$2=CG347),'2025DATA'!$N$4,"")</f>
        <v/>
      </c>
      <c r="CH349" s="940"/>
      <c r="CI349" s="13" t="s">
        <v>62</v>
      </c>
      <c r="CJ349" s="518" t="str">
        <f>IF(AND(_A6="A-350",'2025'!$M$4="FO",'2025'!$M$2=CJ347),'2025DATA'!$C$4,"")</f>
        <v/>
      </c>
      <c r="CK349" s="518" t="str">
        <f>IF(AND(_A6="A-350",'2025'!$M$4="FO",'2025'!$M$2=CK347),'2025DATA'!$D$4,"")</f>
        <v/>
      </c>
      <c r="CL349" s="518" t="str">
        <f>IF(AND(_A6="A-350",'2025'!$M$4="FO",'2025'!$M$2=CL347),'2025DATA'!$E$4,"")</f>
        <v/>
      </c>
      <c r="CM349" s="518" t="str">
        <f>IF(AND(_A6="A-350",'2025'!$M$4="FO",'2025'!$M$2=CM347),'2025DATA'!$F$4,"")</f>
        <v/>
      </c>
      <c r="CN349" s="518" t="str">
        <f>IF(AND(_A6="A-350",'2025'!$M$4="FO",'2025'!$M$2=CN347),'2025DATA'!$G$4,"")</f>
        <v/>
      </c>
      <c r="CO349" s="518" t="str">
        <f>IF(AND(_A6="A-350",'2025'!$M$4="FO",'2025'!$M$2=CO347),'2025DATA'!$H$4,"")</f>
        <v/>
      </c>
      <c r="CP349" s="518" t="str">
        <f>IF(AND(_A6="A-350",'2025'!$M$4="FO",'2025'!$M$2=CP347),'2025DATA'!$I$4,"")</f>
        <v/>
      </c>
      <c r="CQ349" s="518" t="str">
        <f>IF(AND(_A6="A-350",'2025'!$M$4="FO",'2025'!$M$2=CQ347),'2025DATA'!$J$4,"")</f>
        <v/>
      </c>
      <c r="CR349" s="518" t="str">
        <f>IF(AND(_A6="A-350",'2025'!$M$4="FO",'2025'!$M$2=CR347),'2025DATA'!$K$4,"")</f>
        <v/>
      </c>
      <c r="CS349" s="518" t="str">
        <f>IF(AND(_A6="A-350",'2025'!$M$4="FO",'2025'!$M$2=CS347),'2025DATA'!$L$4,"")</f>
        <v/>
      </c>
      <c r="CT349" s="518" t="str">
        <f>IF(AND(_A6="A-350",'2025'!$M$4="FO",'2025'!$M$2=CT347),'2025DATA'!$M$4,"")</f>
        <v/>
      </c>
      <c r="CU349" s="520" t="str">
        <f>IF(AND(_A6="A-350",'2025'!$M$4="FO",'2025'!$M$2=CU347),'2025DATA'!$N$4,"")</f>
        <v/>
      </c>
    </row>
    <row r="350" spans="16:99" x14ac:dyDescent="0.25">
      <c r="P350" s="940" t="s">
        <v>65</v>
      </c>
      <c r="Q350" s="13" t="s">
        <v>61</v>
      </c>
      <c r="R350" s="518" t="str">
        <f>IF(AND(_A1="A-330-900",'2025'!$M$4="CA",'2025'!$M$2=R347),'2025DATA'!$C$5,"")</f>
        <v/>
      </c>
      <c r="S350" s="518" t="str">
        <f>IF(AND(_A1="A-330-900",'2025'!$M$4="CA",'2025'!$M$2=S347),'2025DATA'!$D$5,"")</f>
        <v/>
      </c>
      <c r="T350" s="518" t="str">
        <f>IF(AND(_A1="A-330-900",'2025'!$M$4="CA",'2025'!$M$2=T347),'2025DATA'!$E$5,"")</f>
        <v/>
      </c>
      <c r="U350" s="518" t="str">
        <f>IF(AND(_A1="A-330-900",'2025'!$M$4="CA",'2025'!$M$2=U347),'2025DATA'!$F$5,"")</f>
        <v/>
      </c>
      <c r="V350" s="518" t="str">
        <f>IF(AND(_A1="A-330-900",'2025'!$M$4="CA",'2025'!$M$2=V347),'2025DATA'!$G$5,"")</f>
        <v/>
      </c>
      <c r="W350" s="518" t="str">
        <f>IF(AND(_A1="A-330-900",'2025'!$M$4="CA",'2025'!$M$2=W347),'2025DATA'!$H$5,"")</f>
        <v/>
      </c>
      <c r="X350" s="518" t="str">
        <f>IF(AND(_A1="A-330-900",'2025'!$M$4="CA",'2025'!$M$2=X347),'2025DATA'!$I$5,"")</f>
        <v/>
      </c>
      <c r="Y350" s="518" t="str">
        <f>IF(AND(_A1="A-330-900",'2025'!$M$4="CA",'2025'!$M$2=Y347),'2025DATA'!$J$5,"")</f>
        <v/>
      </c>
      <c r="Z350" s="518" t="str">
        <f>IF(AND(_A1="A-330-900",'2025'!$M$4="CA",'2025'!$M$2=Z347),'2025DATA'!$K$5,"")</f>
        <v/>
      </c>
      <c r="AA350" s="518" t="str">
        <f>IF(AND(_A1="A-330-900",'2025'!$M$4="CA",'2025'!$M$2=AA347),'2025DATA'!$L$5,"")</f>
        <v/>
      </c>
      <c r="AB350" s="518" t="str">
        <f>IF(AND(_A1="A-330-900",'2025'!$M$4="CA",'2025'!$M$2=AB347),'2025DATA'!$M$5,"")</f>
        <v/>
      </c>
      <c r="AC350" s="520" t="str">
        <f>IF(AND(_A1="A-330-900",'2025'!$M$4="CA",'2025'!$M$2=AC347),'2025DATA'!$N$5,"")</f>
        <v/>
      </c>
      <c r="AD350" s="940" t="s">
        <v>65</v>
      </c>
      <c r="AE350" s="13" t="s">
        <v>61</v>
      </c>
      <c r="AF350" s="518" t="str">
        <f>IF(AND(_A2="A-330-900",'2025'!$M$4="CA",'2025'!$M$2=AF347),'2025DATA'!$C$5,"")</f>
        <v/>
      </c>
      <c r="AG350" s="518" t="str">
        <f>IF(AND(_A2="A-330-900",'2025'!$M$4="CA",'2025'!$M$2=AG347),'2025DATA'!$D$5,"")</f>
        <v/>
      </c>
      <c r="AH350" s="518" t="str">
        <f>IF(AND(_A2="A-330-900",'2025'!$M$4="CA",'2025'!$M$2=AH347),'2025DATA'!$E$5,"")</f>
        <v/>
      </c>
      <c r="AI350" s="518" t="str">
        <f>IF(AND(_A2="A-330-900",'2025'!$M$4="CA",'2025'!$M$2=AI347),'2025DATA'!$F$5,"")</f>
        <v/>
      </c>
      <c r="AJ350" s="518" t="str">
        <f>IF(AND(_A2="A-330-900",'2025'!$M$4="CA",'2025'!$M$2=AJ347),'2025DATA'!$G$5,"")</f>
        <v/>
      </c>
      <c r="AK350" s="518" t="str">
        <f>IF(AND(_A2="A-330-900",'2025'!$M$4="CA",'2025'!$M$2=AK347),'2025DATA'!$H$5,"")</f>
        <v/>
      </c>
      <c r="AL350" s="518" t="str">
        <f>IF(AND(_A2="A-330-900",'2025'!$M$4="CA",'2025'!$M$2=AL347),'2025DATA'!$I$5,"")</f>
        <v/>
      </c>
      <c r="AM350" s="518" t="str">
        <f>IF(AND(_A2="A-330-900",'2025'!$M$4="CA",'2025'!$M$2=AM347),'2025DATA'!$J$5,"")</f>
        <v/>
      </c>
      <c r="AN350" s="518" t="str">
        <f>IF(AND(_A2="A-330-900",'2025'!$M$4="CA",'2025'!$M$2=AN347),'2025DATA'!$K$5,"")</f>
        <v/>
      </c>
      <c r="AO350" s="518" t="str">
        <f>IF(AND(_A2="A-330-900",'2025'!$M$4="CA",'2025'!$M$2=AO347),'2025DATA'!$L$5,"")</f>
        <v/>
      </c>
      <c r="AP350" s="518" t="str">
        <f>IF(AND(_A2="A-330-900",'2025'!$M$4="CA",'2025'!$M$2=AP347),'2025DATA'!$M$5,"")</f>
        <v/>
      </c>
      <c r="AQ350" s="520" t="str">
        <f>IF(AND(_A2="A-330-900",'2025'!$M$4="CA",'2025'!$M$2=AQ347),'2025DATA'!$N$5,"")</f>
        <v/>
      </c>
      <c r="AR350" s="940" t="s">
        <v>65</v>
      </c>
      <c r="AS350" s="13" t="s">
        <v>61</v>
      </c>
      <c r="AT350" s="518" t="str">
        <f>IF(AND(_A3="A-330-900",'2025'!$M$4="CA",'2025'!$M$2=AT347),'2025DATA'!$C$5,"")</f>
        <v/>
      </c>
      <c r="AU350" s="518" t="str">
        <f>IF(AND(_A3="A-330-900",'2025'!$M$4="CA",'2025'!$M$2=AU347),'2025DATA'!$D$5,"")</f>
        <v/>
      </c>
      <c r="AV350" s="518" t="str">
        <f>IF(AND(_A3="A-330-900",'2025'!$M$4="CA",'2025'!$M$2=AV347),'2025DATA'!$E$5,"")</f>
        <v/>
      </c>
      <c r="AW350" s="518" t="str">
        <f>IF(AND(_A3="A-330-900",'2025'!$M$4="CA",'2025'!$M$2=AW347),'2025DATA'!$F$5,"")</f>
        <v/>
      </c>
      <c r="AX350" s="518" t="str">
        <f>IF(AND(_A3="A-330-900",'2025'!$M$4="CA",'2025'!$M$2=AX347),'2025DATA'!$G$5,"")</f>
        <v/>
      </c>
      <c r="AY350" s="518" t="str">
        <f>IF(AND(_A3="A-330-900",'2025'!$M$4="CA",'2025'!$M$2=AY347),'2025DATA'!$H$5,"")</f>
        <v/>
      </c>
      <c r="AZ350" s="518" t="str">
        <f>IF(AND(_A3="A-330-900",'2025'!$M$4="CA",'2025'!$M$2=AZ347),'2025DATA'!$I$5,"")</f>
        <v/>
      </c>
      <c r="BA350" s="518" t="str">
        <f>IF(AND(_A3="A-330-900",'2025'!$M$4="CA",'2025'!$M$2=BA347),'2025DATA'!$J$5,"")</f>
        <v/>
      </c>
      <c r="BB350" s="518" t="str">
        <f>IF(AND(_A3="A-330-900",'2025'!$M$4="CA",'2025'!$M$2=BB347),'2025DATA'!$K$5,"")</f>
        <v/>
      </c>
      <c r="BC350" s="518" t="str">
        <f>IF(AND(_A3="A-330-900",'2025'!$M$4="CA",'2025'!$M$2=BC347),'2025DATA'!$L$5,"")</f>
        <v/>
      </c>
      <c r="BD350" s="518" t="str">
        <f>IF(AND(_A3="A-330-900",'2025'!$M$4="CA",'2025'!$M$2=BD347),'2025DATA'!$M$5,"")</f>
        <v/>
      </c>
      <c r="BE350" s="520" t="str">
        <f>IF(AND(_A3="A-330-900",'2025'!$M$4="CA",'2025'!$M$2=BE347),'2025DATA'!$N$5,"")</f>
        <v/>
      </c>
      <c r="BF350" s="940" t="s">
        <v>65</v>
      </c>
      <c r="BG350" s="13" t="s">
        <v>61</v>
      </c>
      <c r="BH350" s="518" t="str">
        <f>IF(AND(_A4="A-330-900",'2025'!$M$4="CA",'2025'!$M$2=BH347),'2025DATA'!$C$5,"")</f>
        <v/>
      </c>
      <c r="BI350" s="518" t="str">
        <f>IF(AND(_A4="A-330-900",'2025'!$M$4="CA",'2025'!$M$2=BI347),'2025DATA'!$D$5,"")</f>
        <v/>
      </c>
      <c r="BJ350" s="518" t="str">
        <f>IF(AND(_A4="A-330-900",'2025'!$M$4="CA",'2025'!$M$2=BJ347),'2025DATA'!$E$5,"")</f>
        <v/>
      </c>
      <c r="BK350" s="518" t="str">
        <f>IF(AND(_A4="A-330-900",'2025'!$M$4="CA",'2025'!$M$2=BK347),'2025DATA'!$F$5,"")</f>
        <v/>
      </c>
      <c r="BL350" s="518" t="str">
        <f>IF(AND(_A4="A-330-900",'2025'!$M$4="CA",'2025'!$M$2=BL347),'2025DATA'!$G$5,"")</f>
        <v/>
      </c>
      <c r="BM350" s="518" t="str">
        <f>IF(AND(_A4="A-330-900",'2025'!$M$4="CA",'2025'!$M$2=BM347),'2025DATA'!$H$5,"")</f>
        <v/>
      </c>
      <c r="BN350" s="518" t="str">
        <f>IF(AND(_A4="A-330-900",'2025'!$M$4="CA",'2025'!$M$2=BN347),'2025DATA'!$I$5,"")</f>
        <v/>
      </c>
      <c r="BO350" s="518" t="str">
        <f>IF(AND(_A4="A-330-900",'2025'!$M$4="CA",'2025'!$M$2=BO347),'2025DATA'!$J$5,"")</f>
        <v/>
      </c>
      <c r="BP350" s="518" t="str">
        <f>IF(AND(_A4="A-330-900",'2025'!$M$4="CA",'2025'!$M$2=BP347),'2025DATA'!$K$5,"")</f>
        <v/>
      </c>
      <c r="BQ350" s="518" t="str">
        <f>IF(AND(_A4="A-330-900",'2025'!$M$4="CA",'2025'!$M$2=BQ347),'2025DATA'!$L$5,"")</f>
        <v/>
      </c>
      <c r="BR350" s="518" t="str">
        <f>IF(AND(_A4="A-330-900",'2025'!$M$4="CA",'2025'!$M$2=BR347),'2025DATA'!$M$5,"")</f>
        <v/>
      </c>
      <c r="BS350" s="520" t="str">
        <f>IF(AND(_A4="A-330-900",'2025'!$M$4="CA",'2025'!$M$2=BS347),'2025DATA'!$N$5,"")</f>
        <v/>
      </c>
      <c r="BT350" s="940" t="s">
        <v>65</v>
      </c>
      <c r="BU350" s="13" t="s">
        <v>61</v>
      </c>
      <c r="BV350" s="518" t="str">
        <f>IF(AND(_A5="A-330-900",'2025'!$M$4="CA",'2025'!$M$2=BV347),'2025DATA'!$C$5,"")</f>
        <v/>
      </c>
      <c r="BW350" s="518" t="str">
        <f>IF(AND(_A5="A-330-900",'2025'!$M$4="CA",'2025'!$M$2=BW347),'2025DATA'!$D$5,"")</f>
        <v/>
      </c>
      <c r="BX350" s="518" t="str">
        <f>IF(AND(_A5="A-330-900",'2025'!$M$4="CA",'2025'!$M$2=BX347),'2025DATA'!$E$5,"")</f>
        <v/>
      </c>
      <c r="BY350" s="518" t="str">
        <f>IF(AND(_A5="A-330-900",'2025'!$M$4="CA",'2025'!$M$2=BY347),'2025DATA'!$F$5,"")</f>
        <v/>
      </c>
      <c r="BZ350" s="518" t="str">
        <f>IF(AND(_A5="A-330-900",'2025'!$M$4="CA",'2025'!$M$2=BZ347),'2025DATA'!$G$5,"")</f>
        <v/>
      </c>
      <c r="CA350" s="518" t="str">
        <f>IF(AND(_A5="A-330-900",'2025'!$M$4="CA",'2025'!$M$2=CA347),'2025DATA'!$H$5,"")</f>
        <v/>
      </c>
      <c r="CB350" s="518" t="str">
        <f>IF(AND(_A5="A-330-900",'2025'!$M$4="CA",'2025'!$M$2=CB347),'2025DATA'!$I$5,"")</f>
        <v/>
      </c>
      <c r="CC350" s="518" t="str">
        <f>IF(AND(_A5="A-330-900",'2025'!$M$4="CA",'2025'!$M$2=CC347),'2025DATA'!$J$5,"")</f>
        <v/>
      </c>
      <c r="CD350" s="518" t="str">
        <f>IF(AND(_A5="A-330-900",'2025'!$M$4="CA",'2025'!$M$2=CD347),'2025DATA'!$K$5,"")</f>
        <v/>
      </c>
      <c r="CE350" s="518" t="str">
        <f>IF(AND(_A5="A-330-900",'2025'!$M$4="CA",'2025'!$M$2=CE347),'2025DATA'!$L$5,"")</f>
        <v/>
      </c>
      <c r="CF350" s="518" t="str">
        <f>IF(AND(_A5="A-330-900",'2025'!$M$4="CA",'2025'!$M$2=CF347),'2025DATA'!$M$5,"")</f>
        <v/>
      </c>
      <c r="CG350" s="520" t="str">
        <f>IF(AND(_A5="A-330-900",'2025'!$M$4="CA",'2025'!$M$2=CG347),'2025DATA'!$N$5,"")</f>
        <v/>
      </c>
      <c r="CH350" s="940" t="s">
        <v>65</v>
      </c>
      <c r="CI350" s="13" t="s">
        <v>61</v>
      </c>
      <c r="CJ350" s="518" t="str">
        <f>IF(AND(_A6="A-330-900",'2025'!$M$4="CA",'2025'!$M$2=CJ347),'2025DATA'!$C$5,"")</f>
        <v/>
      </c>
      <c r="CK350" s="518" t="str">
        <f>IF(AND(_A6="A-330-900",'2025'!$M$4="CA",'2025'!$M$2=CK347),'2025DATA'!$D$5,"")</f>
        <v/>
      </c>
      <c r="CL350" s="518" t="str">
        <f>IF(AND(_A6="A-330-900",'2025'!$M$4="CA",'2025'!$M$2=CL347),'2025DATA'!$E$5,"")</f>
        <v/>
      </c>
      <c r="CM350" s="518" t="str">
        <f>IF(AND(_A6="A-330-900",'2025'!$M$4="CA",'2025'!$M$2=CM347),'2025DATA'!$F$5,"")</f>
        <v/>
      </c>
      <c r="CN350" s="518" t="str">
        <f>IF(AND(_A6="A-330-900",'2025'!$M$4="CA",'2025'!$M$2=CN347),'2025DATA'!$G$5,"")</f>
        <v/>
      </c>
      <c r="CO350" s="518" t="str">
        <f>IF(AND(_A6="A-330-900",'2025'!$M$4="CA",'2025'!$M$2=CO347),'2025DATA'!$H$5,"")</f>
        <v/>
      </c>
      <c r="CP350" s="518" t="str">
        <f>IF(AND(_A6="A-330-900",'2025'!$M$4="CA",'2025'!$M$2=CP347),'2025DATA'!$I$5,"")</f>
        <v/>
      </c>
      <c r="CQ350" s="518" t="str">
        <f>IF(AND(_A6="A-330-900",'2025'!$M$4="CA",'2025'!$M$2=CQ347),'2025DATA'!$J$5,"")</f>
        <v/>
      </c>
      <c r="CR350" s="518" t="str">
        <f>IF(AND(_A6="A-330-900",'2025'!$M$4="CA",'2025'!$M$2=CR347),'2025DATA'!$K$5,"")</f>
        <v/>
      </c>
      <c r="CS350" s="518" t="str">
        <f>IF(AND(_A6="A-330-900",'2025'!$M$4="CA",'2025'!$M$2=CS347),'2025DATA'!$L$5,"")</f>
        <v/>
      </c>
      <c r="CT350" s="518" t="str">
        <f>IF(AND(_A6="A-330-900",'2025'!$M$4="CA",'2025'!$M$2=CT347),'2025DATA'!$M$5,"")</f>
        <v/>
      </c>
      <c r="CU350" s="520" t="str">
        <f>IF(AND(_A6="A-330-900",'2025'!$M$4="CA",'2025'!$M$2=CU347),'2025DATA'!$N$5,"")</f>
        <v/>
      </c>
    </row>
    <row r="351" spans="16:99" x14ac:dyDescent="0.25">
      <c r="P351" s="940"/>
      <c r="Q351" s="13" t="s">
        <v>62</v>
      </c>
      <c r="R351" s="518" t="str">
        <f>IF(AND(_A1="A-330-900",'2025'!$M$4="FO",'2025'!$M$2=R347),'2025DATA'!$C$6,"")</f>
        <v/>
      </c>
      <c r="S351" s="518" t="str">
        <f>IF(AND(_A1="A-330-900",'2025'!$M$4="FO",'2025'!$M$2=S347),'2025DATA'!$D$6,"")</f>
        <v/>
      </c>
      <c r="T351" s="518" t="str">
        <f>IF(AND(_A1="A-330-900",'2025'!$M$4="FO",'2025'!$M$2=T347),'2025DATA'!$E$6,"")</f>
        <v/>
      </c>
      <c r="U351" s="518" t="str">
        <f>IF(AND(_A1="A-330-900",'2025'!$M$4="FO",'2025'!$M$2=U347),'2025DATA'!$F$6,"")</f>
        <v/>
      </c>
      <c r="V351" s="518" t="str">
        <f>IF(AND(_A1="A-330-900",'2025'!$M$4="FO",'2025'!$M$2=V347),'2025DATA'!$G$6,"")</f>
        <v/>
      </c>
      <c r="W351" s="518" t="str">
        <f>IF(AND(_A1="A-330-900",'2025'!$M$4="FO",'2025'!$M$2=W347),'2025DATA'!$H$6,"")</f>
        <v/>
      </c>
      <c r="X351" s="518" t="str">
        <f>IF(AND(_A1="A-330-900",'2025'!$M$4="FO",'2025'!$M$2=X347),'2025DATA'!$I$6,"")</f>
        <v/>
      </c>
      <c r="Y351" s="518" t="str">
        <f>IF(AND(_A1="A-330-900",'2025'!$M$4="FO",'2025'!$M$2=Y347),'2025DATA'!$J$6,"")</f>
        <v/>
      </c>
      <c r="Z351" s="518" t="str">
        <f>IF(AND(_A1="A-330-900",'2025'!$M$4="FO",'2025'!$M$2=Z347),'2025DATA'!$K$6,"")</f>
        <v/>
      </c>
      <c r="AA351" s="518" t="str">
        <f>IF(AND(_A1="A-330-900",'2025'!$M$4="FO",'2025'!$M$2=AA347),'2025DATA'!$L$6,"")</f>
        <v/>
      </c>
      <c r="AB351" s="518" t="str">
        <f>IF(AND(_A1="A-330-900",'2025'!$M$4="FO",'2025'!$M$2=AB347),'2025DATA'!$M$6,"")</f>
        <v/>
      </c>
      <c r="AC351" s="520" t="str">
        <f>IF(AND(_A1="A-330-900",'2025'!$M$4="FO",'2025'!$M$2=AC347),'2025DATA'!$N$6,"")</f>
        <v/>
      </c>
      <c r="AD351" s="940"/>
      <c r="AE351" s="13" t="s">
        <v>62</v>
      </c>
      <c r="AF351" s="518" t="str">
        <f>IF(AND(_A2="A-330-900",'2025'!$M$4="FO",'2025'!$M$2=AF347),'2025DATA'!$C$6,"")</f>
        <v/>
      </c>
      <c r="AG351" s="518" t="str">
        <f>IF(AND(_A2="A-330-900",'2025'!$M$4="FO",'2025'!$M$2=AG347),'2025DATA'!$D$6,"")</f>
        <v/>
      </c>
      <c r="AH351" s="518" t="str">
        <f>IF(AND(_A2="A-330-900",'2025'!$M$4="FO",'2025'!$M$2=AH347),'2025DATA'!$E$6,"")</f>
        <v/>
      </c>
      <c r="AI351" s="518" t="str">
        <f>IF(AND(_A2="A-330-900",'2025'!$M$4="FO",'2025'!$M$2=AI347),'2025DATA'!$F$6,"")</f>
        <v/>
      </c>
      <c r="AJ351" s="518" t="str">
        <f>IF(AND(_A2="A-330-900",'2025'!$M$4="FO",'2025'!$M$2=AJ347),'2025DATA'!$G$6,"")</f>
        <v/>
      </c>
      <c r="AK351" s="518" t="str">
        <f>IF(AND(_A2="A-330-900",'2025'!$M$4="FO",'2025'!$M$2=AK347),'2025DATA'!$H$6,"")</f>
        <v/>
      </c>
      <c r="AL351" s="518" t="str">
        <f>IF(AND(_A2="A-330-900",'2025'!$M$4="FO",'2025'!$M$2=AL347),'2025DATA'!$I$6,"")</f>
        <v/>
      </c>
      <c r="AM351" s="518" t="str">
        <f>IF(AND(_A2="A-330-900",'2025'!$M$4="FO",'2025'!$M$2=AM347),'2025DATA'!$J$6,"")</f>
        <v/>
      </c>
      <c r="AN351" s="518" t="str">
        <f>IF(AND(_A2="A-330-900",'2025'!$M$4="FO",'2025'!$M$2=AN347),'2025DATA'!$K$6,"")</f>
        <v/>
      </c>
      <c r="AO351" s="518" t="str">
        <f>IF(AND(_A2="A-330-900",'2025'!$M$4="FO",'2025'!$M$2=AO347),'2025DATA'!$L$6,"")</f>
        <v/>
      </c>
      <c r="AP351" s="518" t="str">
        <f>IF(AND(_A2="A-330-900",'2025'!$M$4="FO",'2025'!$M$2=AP347),'2025DATA'!$M$6,"")</f>
        <v/>
      </c>
      <c r="AQ351" s="520" t="str">
        <f>IF(AND(_A2="A-330-900",'2025'!$M$4="FO",'2025'!$M$2=AQ347),'2025DATA'!$N$6,"")</f>
        <v/>
      </c>
      <c r="AR351" s="940"/>
      <c r="AS351" s="13" t="s">
        <v>62</v>
      </c>
      <c r="AT351" s="518" t="str">
        <f>IF(AND(_A3="A-330-900",'2025'!$M$4="FO",'2025'!$M$2=AT347),'2025DATA'!$C$6,"")</f>
        <v/>
      </c>
      <c r="AU351" s="518" t="str">
        <f>IF(AND(_A3="A-330-900",'2025'!$M$4="FO",'2025'!$M$2=AU347),'2025DATA'!$D$6,"")</f>
        <v/>
      </c>
      <c r="AV351" s="518" t="str">
        <f>IF(AND(_A3="A-330-900",'2025'!$M$4="FO",'2025'!$M$2=AV347),'2025DATA'!$E$6,"")</f>
        <v/>
      </c>
      <c r="AW351" s="518" t="str">
        <f>IF(AND(_A3="A-330-900",'2025'!$M$4="FO",'2025'!$M$2=AW347),'2025DATA'!$F$6,"")</f>
        <v/>
      </c>
      <c r="AX351" s="518" t="str">
        <f>IF(AND(_A3="A-330-900",'2025'!$M$4="FO",'2025'!$M$2=AX347),'2025DATA'!$G$6,"")</f>
        <v/>
      </c>
      <c r="AY351" s="518" t="str">
        <f>IF(AND(_A3="A-330-900",'2025'!$M$4="FO",'2025'!$M$2=AY347),'2025DATA'!$H$6,"")</f>
        <v/>
      </c>
      <c r="AZ351" s="518" t="str">
        <f>IF(AND(_A3="A-330-900",'2025'!$M$4="FO",'2025'!$M$2=AZ347),'2025DATA'!$I$6,"")</f>
        <v/>
      </c>
      <c r="BA351" s="518" t="str">
        <f>IF(AND(_A3="A-330-900",'2025'!$M$4="FO",'2025'!$M$2=BA347),'2025DATA'!$J$6,"")</f>
        <v/>
      </c>
      <c r="BB351" s="518" t="str">
        <f>IF(AND(_A3="A-330-900",'2025'!$M$4="FO",'2025'!$M$2=BB347),'2025DATA'!$K$6,"")</f>
        <v/>
      </c>
      <c r="BC351" s="518" t="str">
        <f>IF(AND(_A3="A-330-900",'2025'!$M$4="FO",'2025'!$M$2=BC347),'2025DATA'!$L$6,"")</f>
        <v/>
      </c>
      <c r="BD351" s="518" t="str">
        <f>IF(AND(_A3="A-330-900",'2025'!$M$4="FO",'2025'!$M$2=BD347),'2025DATA'!$M$6,"")</f>
        <v/>
      </c>
      <c r="BE351" s="520" t="str">
        <f>IF(AND(_A3="A-330-900",'2025'!$M$4="FO",'2025'!$M$2=BE347),'2025DATA'!$N$6,"")</f>
        <v/>
      </c>
      <c r="BF351" s="940"/>
      <c r="BG351" s="13" t="s">
        <v>62</v>
      </c>
      <c r="BH351" s="518" t="str">
        <f>IF(AND(_A4="A-330-900",'2025'!$M$4="FO",'2025'!$M$2=BH347),'2025DATA'!$C$6,"")</f>
        <v/>
      </c>
      <c r="BI351" s="518" t="str">
        <f>IF(AND(_A4="A-330-900",'2025'!$M$4="FO",'2025'!$M$2=BI347),'2025DATA'!$D$6,"")</f>
        <v/>
      </c>
      <c r="BJ351" s="518" t="str">
        <f>IF(AND(_A4="A-330-900",'2025'!$M$4="FO",'2025'!$M$2=BJ347),'2025DATA'!$E$6,"")</f>
        <v/>
      </c>
      <c r="BK351" s="518" t="str">
        <f>IF(AND(_A4="A-330-900",'2025'!$M$4="FO",'2025'!$M$2=BK347),'2025DATA'!$F$6,"")</f>
        <v/>
      </c>
      <c r="BL351" s="518" t="str">
        <f>IF(AND(_A4="A-330-900",'2025'!$M$4="FO",'2025'!$M$2=BL347),'2025DATA'!$G$6,"")</f>
        <v/>
      </c>
      <c r="BM351" s="518" t="str">
        <f>IF(AND(_A4="A-330-900",'2025'!$M$4="FO",'2025'!$M$2=BM347),'2025DATA'!$H$6,"")</f>
        <v/>
      </c>
      <c r="BN351" s="518" t="str">
        <f>IF(AND(_A4="A-330-900",'2025'!$M$4="FO",'2025'!$M$2=BN347),'2025DATA'!$I$6,"")</f>
        <v/>
      </c>
      <c r="BO351" s="518" t="str">
        <f>IF(AND(_A4="A-330-900",'2025'!$M$4="FO",'2025'!$M$2=BO347),'2025DATA'!$J$6,"")</f>
        <v/>
      </c>
      <c r="BP351" s="518" t="str">
        <f>IF(AND(_A4="A-330-900",'2025'!$M$4="FO",'2025'!$M$2=BP347),'2025DATA'!$K$6,"")</f>
        <v/>
      </c>
      <c r="BQ351" s="518" t="str">
        <f>IF(AND(_A4="A-330-900",'2025'!$M$4="FO",'2025'!$M$2=BQ347),'2025DATA'!$L$6,"")</f>
        <v/>
      </c>
      <c r="BR351" s="518" t="str">
        <f>IF(AND(_A4="A-330-900",'2025'!$M$4="FO",'2025'!$M$2=BR347),'2025DATA'!$M$6,"")</f>
        <v/>
      </c>
      <c r="BS351" s="520" t="str">
        <f>IF(AND(_A4="A-330-900",'2025'!$M$4="FO",'2025'!$M$2=BS347),'2025DATA'!$N$6,"")</f>
        <v/>
      </c>
      <c r="BT351" s="940"/>
      <c r="BU351" s="13" t="s">
        <v>62</v>
      </c>
      <c r="BV351" s="518" t="str">
        <f>IF(AND(_A5="A-330-900",'2025'!$M$4="FO",'2025'!$M$2=BV347),'2025DATA'!$C$6,"")</f>
        <v/>
      </c>
      <c r="BW351" s="518" t="str">
        <f>IF(AND(_A5="A-330-900",'2025'!$M$4="FO",'2025'!$M$2=BW347),'2025DATA'!$D$6,"")</f>
        <v/>
      </c>
      <c r="BX351" s="518" t="str">
        <f>IF(AND(_A5="A-330-900",'2025'!$M$4="FO",'2025'!$M$2=BX347),'2025DATA'!$E$6,"")</f>
        <v/>
      </c>
      <c r="BY351" s="518" t="str">
        <f>IF(AND(_A5="A-330-900",'2025'!$M$4="FO",'2025'!$M$2=BY347),'2025DATA'!$F$6,"")</f>
        <v/>
      </c>
      <c r="BZ351" s="518" t="str">
        <f>IF(AND(_A5="A-330-900",'2025'!$M$4="FO",'2025'!$M$2=BZ347),'2025DATA'!$G$6,"")</f>
        <v/>
      </c>
      <c r="CA351" s="518" t="str">
        <f>IF(AND(_A5="A-330-900",'2025'!$M$4="FO",'2025'!$M$2=CA347),'2025DATA'!$H$6,"")</f>
        <v/>
      </c>
      <c r="CB351" s="518" t="str">
        <f>IF(AND(_A5="A-330-900",'2025'!$M$4="FO",'2025'!$M$2=CB347),'2025DATA'!$I$6,"")</f>
        <v/>
      </c>
      <c r="CC351" s="518" t="str">
        <f>IF(AND(_A5="A-330-900",'2025'!$M$4="FO",'2025'!$M$2=CC347),'2025DATA'!$J$6,"")</f>
        <v/>
      </c>
      <c r="CD351" s="518" t="str">
        <f>IF(AND(_A5="A-330-900",'2025'!$M$4="FO",'2025'!$M$2=CD347),'2025DATA'!$K$6,"")</f>
        <v/>
      </c>
      <c r="CE351" s="518" t="str">
        <f>IF(AND(_A5="A-330-900",'2025'!$M$4="FO",'2025'!$M$2=CE347),'2025DATA'!$L$6,"")</f>
        <v/>
      </c>
      <c r="CF351" s="518" t="str">
        <f>IF(AND(_A5="A-330-900",'2025'!$M$4="FO",'2025'!$M$2=CF347),'2025DATA'!$M$6,"")</f>
        <v/>
      </c>
      <c r="CG351" s="520" t="str">
        <f>IF(AND(_A5="A-330-900",'2025'!$M$4="FO",'2025'!$M$2=CG347),'2025DATA'!$N$6,"")</f>
        <v/>
      </c>
      <c r="CH351" s="940"/>
      <c r="CI351" s="13" t="s">
        <v>62</v>
      </c>
      <c r="CJ351" s="518" t="str">
        <f>IF(AND(_A6="A-330-900",'2025'!$M$4="FO",'2025'!$M$2=CJ347),'2025DATA'!$C$6,"")</f>
        <v/>
      </c>
      <c r="CK351" s="518" t="str">
        <f>IF(AND(_A6="A-330-900",'2025'!$M$4="FO",'2025'!$M$2=CK347),'2025DATA'!$D$6,"")</f>
        <v/>
      </c>
      <c r="CL351" s="518" t="str">
        <f>IF(AND(_A6="A-330-900",'2025'!$M$4="FO",'2025'!$M$2=CL347),'2025DATA'!$E$6,"")</f>
        <v/>
      </c>
      <c r="CM351" s="518" t="str">
        <f>IF(AND(_A6="A-330-900",'2025'!$M$4="FO",'2025'!$M$2=CM347),'2025DATA'!$F$6,"")</f>
        <v/>
      </c>
      <c r="CN351" s="518" t="str">
        <f>IF(AND(_A6="A-330-900",'2025'!$M$4="FO",'2025'!$M$2=CN347),'2025DATA'!$G$6,"")</f>
        <v/>
      </c>
      <c r="CO351" s="518" t="str">
        <f>IF(AND(_A6="A-330-900",'2025'!$M$4="FO",'2025'!$M$2=CO347),'2025DATA'!$H$6,"")</f>
        <v/>
      </c>
      <c r="CP351" s="518" t="str">
        <f>IF(AND(_A6="A-330-900",'2025'!$M$4="FO",'2025'!$M$2=CP347),'2025DATA'!$I$6,"")</f>
        <v/>
      </c>
      <c r="CQ351" s="518" t="str">
        <f>IF(AND(_A6="A-330-900",'2025'!$M$4="FO",'2025'!$M$2=CQ347),'2025DATA'!$J$6,"")</f>
        <v/>
      </c>
      <c r="CR351" s="518" t="str">
        <f>IF(AND(_A6="A-330-900",'2025'!$M$4="FO",'2025'!$M$2=CR347),'2025DATA'!$K$6,"")</f>
        <v/>
      </c>
      <c r="CS351" s="518" t="str">
        <f>IF(AND(_A6="A-330-900",'2025'!$M$4="FO",'2025'!$M$2=CS347),'2025DATA'!$L$6,"")</f>
        <v/>
      </c>
      <c r="CT351" s="518" t="str">
        <f>IF(AND(_A6="A-330-900",'2025'!$M$4="FO",'2025'!$M$2=CT347),'2025DATA'!$M$6,"")</f>
        <v/>
      </c>
      <c r="CU351" s="520" t="str">
        <f>IF(AND(_A6="A-330-900",'2025'!$M$4="FO",'2025'!$M$2=CU347),'2025DATA'!$N$6,"")</f>
        <v/>
      </c>
    </row>
    <row r="352" spans="16:99" x14ac:dyDescent="0.25">
      <c r="P352" s="940" t="s">
        <v>64</v>
      </c>
      <c r="Q352" s="13" t="s">
        <v>61</v>
      </c>
      <c r="R352" s="518" t="str">
        <f>IF(AND(_A1="A-330-300",'2025'!$M$4="CA",'2025'!$M$2=R347),'2025DATA'!$C$7,"")</f>
        <v/>
      </c>
      <c r="S352" s="518" t="str">
        <f>IF(AND(_A1="A-330-300",'2025'!$M$4="CA",'2025'!$M$2=S347),'2025DATA'!$D$7,"")</f>
        <v/>
      </c>
      <c r="T352" s="518" t="str">
        <f>IF(AND(_A1="A-330-300",'2025'!$M$4="CA",'2025'!$M$2=T347),'2025DATA'!$E$7,"")</f>
        <v/>
      </c>
      <c r="U352" s="518" t="str">
        <f>IF(AND(_A1="A-330-300",'2025'!$M$4="CA",'2025'!$M$2=U347),'2025DATA'!$F$7,"")</f>
        <v/>
      </c>
      <c r="V352" s="518" t="str">
        <f>IF(AND(_A1="A-330-300",'2025'!$M$4="CA",'2025'!$M$2=V347),'2025DATA'!$G$7,"")</f>
        <v/>
      </c>
      <c r="W352" s="518" t="str">
        <f>IF(AND(_A1="A-330-300",'2025'!$M$4="CA",'2025'!$M$2=W347),'2025DATA'!$H$7,"")</f>
        <v/>
      </c>
      <c r="X352" s="518" t="str">
        <f>IF(AND(_A1="A-330-300",'2025'!$M$4="CA",'2025'!$M$2=X347),'2025DATA'!$I$7,"")</f>
        <v/>
      </c>
      <c r="Y352" s="518" t="str">
        <f>IF(AND(_A1="A-330-300",'2025'!$M$4="CA",'2025'!$M$2=Y347),'2025DATA'!$J$7,"")</f>
        <v/>
      </c>
      <c r="Z352" s="518" t="str">
        <f>IF(AND(_A1="A-330-300",'2025'!$M$4="CA",'2025'!$M$2=Z347),'2025DATA'!$K$7,"")</f>
        <v/>
      </c>
      <c r="AA352" s="518" t="str">
        <f>IF(AND(_A1="A-330-300",'2025'!$M$4="CA",'2025'!$M$2=AA347),'2025DATA'!$L$7,"")</f>
        <v/>
      </c>
      <c r="AB352" s="518" t="str">
        <f>IF(AND(_A1="A-330-300",'2025'!$M$4="CA",'2025'!$M$2=AB347),'2025DATA'!$M$7,"")</f>
        <v/>
      </c>
      <c r="AC352" s="520" t="str">
        <f>IF(AND(_A1="A-330-300",'2025'!$M$4="CA",'2025'!$M$2=AC347),'2025DATA'!$N$7,"")</f>
        <v/>
      </c>
      <c r="AD352" s="940" t="s">
        <v>64</v>
      </c>
      <c r="AE352" s="13" t="s">
        <v>61</v>
      </c>
      <c r="AF352" s="518" t="str">
        <f>IF(AND(_A2="A-330-300",'2025'!$M$4="CA",'2025'!$M$2=AF347),'2025DATA'!$C$7,"")</f>
        <v/>
      </c>
      <c r="AG352" s="518" t="str">
        <f>IF(AND(_A2="A-330-300",'2025'!$M$4="CA",'2025'!$M$2=AG347),'2025DATA'!$D$7,"")</f>
        <v/>
      </c>
      <c r="AH352" s="518" t="str">
        <f>IF(AND(_A2="A-330-300",'2025'!$M$4="CA",'2025'!$M$2=AH347),'2025DATA'!$E$7,"")</f>
        <v/>
      </c>
      <c r="AI352" s="518" t="str">
        <f>IF(AND(_A2="A-330-300",'2025'!$M$4="CA",'2025'!$M$2=AI347),'2025DATA'!$F$7,"")</f>
        <v/>
      </c>
      <c r="AJ352" s="518" t="str">
        <f>IF(AND(_A2="A-330-300",'2025'!$M$4="CA",'2025'!$M$2=AJ347),'2025DATA'!$G$7,"")</f>
        <v/>
      </c>
      <c r="AK352" s="518" t="str">
        <f>IF(AND(_A2="A-330-300",'2025'!$M$4="CA",'2025'!$M$2=AK347),'2025DATA'!$H$7,"")</f>
        <v/>
      </c>
      <c r="AL352" s="518" t="str">
        <f>IF(AND(_A2="A-330-300",'2025'!$M$4="CA",'2025'!$M$2=AL347),'2025DATA'!$I$7,"")</f>
        <v/>
      </c>
      <c r="AM352" s="518" t="str">
        <f>IF(AND(_A2="A-330-300",'2025'!$M$4="CA",'2025'!$M$2=AM347),'2025DATA'!$J$7,"")</f>
        <v/>
      </c>
      <c r="AN352" s="518" t="str">
        <f>IF(AND(_A2="A-330-300",'2025'!$M$4="CA",'2025'!$M$2=AN347),'2025DATA'!$K$7,"")</f>
        <v/>
      </c>
      <c r="AO352" s="518" t="str">
        <f>IF(AND(_A2="A-330-300",'2025'!$M$4="CA",'2025'!$M$2=AO347),'2025DATA'!$L$7,"")</f>
        <v/>
      </c>
      <c r="AP352" s="518" t="str">
        <f>IF(AND(_A2="A-330-300",'2025'!$M$4="CA",'2025'!$M$2=AP347),'2025DATA'!$M$7,"")</f>
        <v/>
      </c>
      <c r="AQ352" s="520" t="str">
        <f>IF(AND(_A2="A-330-300",'2025'!$M$4="CA",'2025'!$M$2=AQ347),'2025DATA'!$N$7,"")</f>
        <v/>
      </c>
      <c r="AR352" s="940" t="s">
        <v>64</v>
      </c>
      <c r="AS352" s="13" t="s">
        <v>61</v>
      </c>
      <c r="AT352" s="518" t="str">
        <f>IF(AND(_A3="A-330-300",'2025'!$M$4="CA",'2025'!$M$2=AT347),'2025DATA'!$C$7,"")</f>
        <v/>
      </c>
      <c r="AU352" s="518" t="str">
        <f>IF(AND(_A3="A-330-300",'2025'!$M$4="CA",'2025'!$M$2=AU347),'2025DATA'!$D$7,"")</f>
        <v/>
      </c>
      <c r="AV352" s="518" t="str">
        <f>IF(AND(_A3="A-330-300",'2025'!$M$4="CA",'2025'!$M$2=AV347),'2025DATA'!$E$7,"")</f>
        <v/>
      </c>
      <c r="AW352" s="518" t="str">
        <f>IF(AND(_A3="A-330-300",'2025'!$M$4="CA",'2025'!$M$2=AW347),'2025DATA'!$F$7,"")</f>
        <v/>
      </c>
      <c r="AX352" s="518" t="str">
        <f>IF(AND(_A3="A-330-300",'2025'!$M$4="CA",'2025'!$M$2=AX347),'2025DATA'!$G$7,"")</f>
        <v/>
      </c>
      <c r="AY352" s="518" t="str">
        <f>IF(AND(_A3="A-330-300",'2025'!$M$4="CA",'2025'!$M$2=AY347),'2025DATA'!$H$7,"")</f>
        <v/>
      </c>
      <c r="AZ352" s="518" t="str">
        <f>IF(AND(_A3="A-330-300",'2025'!$M$4="CA",'2025'!$M$2=AZ347),'2025DATA'!$I$7,"")</f>
        <v/>
      </c>
      <c r="BA352" s="518" t="str">
        <f>IF(AND(_A3="A-330-300",'2025'!$M$4="CA",'2025'!$M$2=BA347),'2025DATA'!$J$7,"")</f>
        <v/>
      </c>
      <c r="BB352" s="518" t="str">
        <f>IF(AND(_A3="A-330-300",'2025'!$M$4="CA",'2025'!$M$2=BB347),'2025DATA'!$K$7,"")</f>
        <v/>
      </c>
      <c r="BC352" s="518" t="str">
        <f>IF(AND(_A3="A-330-300",'2025'!$M$4="CA",'2025'!$M$2=BC347),'2025DATA'!$L$7,"")</f>
        <v/>
      </c>
      <c r="BD352" s="518" t="str">
        <f>IF(AND(_A3="A-330-300",'2025'!$M$4="CA",'2025'!$M$2=BD347),'2025DATA'!$M$7,"")</f>
        <v/>
      </c>
      <c r="BE352" s="520" t="str">
        <f>IF(AND(_A3="A-330-300",'2025'!$M$4="CA",'2025'!$M$2=BE347),'2025DATA'!$N$7,"")</f>
        <v/>
      </c>
      <c r="BF352" s="940" t="s">
        <v>64</v>
      </c>
      <c r="BG352" s="13" t="s">
        <v>61</v>
      </c>
      <c r="BH352" s="518" t="str">
        <f>IF(AND(_A4="A-330-300",'2025'!$M$4="CA",'2025'!$M$2=BH347),'2025DATA'!$C$7,"")</f>
        <v/>
      </c>
      <c r="BI352" s="518" t="str">
        <f>IF(AND(_A4="A-330-300",'2025'!$M$4="CA",'2025'!$M$2=BI347),'2025DATA'!$D$7,"")</f>
        <v/>
      </c>
      <c r="BJ352" s="518" t="str">
        <f>IF(AND(_A4="A-330-300",'2025'!$M$4="CA",'2025'!$M$2=BJ347),'2025DATA'!$E$7,"")</f>
        <v/>
      </c>
      <c r="BK352" s="518" t="str">
        <f>IF(AND(_A4="A-330-300",'2025'!$M$4="CA",'2025'!$M$2=BK347),'2025DATA'!$F$7,"")</f>
        <v/>
      </c>
      <c r="BL352" s="518" t="str">
        <f>IF(AND(_A4="A-330-300",'2025'!$M$4="CA",'2025'!$M$2=BL347),'2025DATA'!$G$7,"")</f>
        <v/>
      </c>
      <c r="BM352" s="518" t="str">
        <f>IF(AND(_A4="A-330-300",'2025'!$M$4="CA",'2025'!$M$2=BM347),'2025DATA'!$H$7,"")</f>
        <v/>
      </c>
      <c r="BN352" s="518" t="str">
        <f>IF(AND(_A4="A-330-300",'2025'!$M$4="CA",'2025'!$M$2=BN347),'2025DATA'!$I$7,"")</f>
        <v/>
      </c>
      <c r="BO352" s="518" t="str">
        <f>IF(AND(_A4="A-330-300",'2025'!$M$4="CA",'2025'!$M$2=BO347),'2025DATA'!$J$7,"")</f>
        <v/>
      </c>
      <c r="BP352" s="518" t="str">
        <f>IF(AND(_A4="A-330-300",'2025'!$M$4="CA",'2025'!$M$2=BP347),'2025DATA'!$K$7,"")</f>
        <v/>
      </c>
      <c r="BQ352" s="518" t="str">
        <f>IF(AND(_A4="A-330-300",'2025'!$M$4="CA",'2025'!$M$2=BQ347),'2025DATA'!$L$7,"")</f>
        <v/>
      </c>
      <c r="BR352" s="518" t="str">
        <f>IF(AND(_A4="A-330-300",'2025'!$M$4="CA",'2025'!$M$2=BR347),'2025DATA'!$M$7,"")</f>
        <v/>
      </c>
      <c r="BS352" s="520" t="str">
        <f>IF(AND(_A4="A-330-300",'2025'!$M$4="CA",'2025'!$M$2=BS347),'2025DATA'!$N$7,"")</f>
        <v/>
      </c>
      <c r="BT352" s="940" t="s">
        <v>64</v>
      </c>
      <c r="BU352" s="13" t="s">
        <v>61</v>
      </c>
      <c r="BV352" s="518" t="str">
        <f>IF(AND(_A5="A-330-300",'2025'!$M$4="CA",'2025'!$M$2=BV347),'2025DATA'!$C$7,"")</f>
        <v/>
      </c>
      <c r="BW352" s="518" t="str">
        <f>IF(AND(_A5="A-330-300",'2025'!$M$4="CA",'2025'!$M$2=BW347),'2025DATA'!$D$7,"")</f>
        <v/>
      </c>
      <c r="BX352" s="518" t="str">
        <f>IF(AND(_A5="A-330-300",'2025'!$M$4="CA",'2025'!$M$2=BX347),'2025DATA'!$E$7,"")</f>
        <v/>
      </c>
      <c r="BY352" s="518" t="str">
        <f>IF(AND(_A5="A-330-300",'2025'!$M$4="CA",'2025'!$M$2=BY347),'2025DATA'!$F$7,"")</f>
        <v/>
      </c>
      <c r="BZ352" s="518" t="str">
        <f>IF(AND(_A5="A-330-300",'2025'!$M$4="CA",'2025'!$M$2=BZ347),'2025DATA'!$G$7,"")</f>
        <v/>
      </c>
      <c r="CA352" s="518" t="str">
        <f>IF(AND(_A5="A-330-300",'2025'!$M$4="CA",'2025'!$M$2=CA347),'2025DATA'!$H$7,"")</f>
        <v/>
      </c>
      <c r="CB352" s="518" t="str">
        <f>IF(AND(_A5="A-330-300",'2025'!$M$4="CA",'2025'!$M$2=CB347),'2025DATA'!$I$7,"")</f>
        <v/>
      </c>
      <c r="CC352" s="518" t="str">
        <f>IF(AND(_A5="A-330-300",'2025'!$M$4="CA",'2025'!$M$2=CC347),'2025DATA'!$J$7,"")</f>
        <v/>
      </c>
      <c r="CD352" s="518" t="str">
        <f>IF(AND(_A5="A-330-300",'2025'!$M$4="CA",'2025'!$M$2=CD347),'2025DATA'!$K$7,"")</f>
        <v/>
      </c>
      <c r="CE352" s="518" t="str">
        <f>IF(AND(_A5="A-330-300",'2025'!$M$4="CA",'2025'!$M$2=CE347),'2025DATA'!$L$7,"")</f>
        <v/>
      </c>
      <c r="CF352" s="518" t="str">
        <f>IF(AND(_A5="A-330-300",'2025'!$M$4="CA",'2025'!$M$2=CF347),'2025DATA'!$M$7,"")</f>
        <v/>
      </c>
      <c r="CG352" s="520" t="str">
        <f>IF(AND(_A5="A-330-300",'2025'!$M$4="CA",'2025'!$M$2=CG347),'2025DATA'!$N$7,"")</f>
        <v/>
      </c>
      <c r="CH352" s="940" t="s">
        <v>64</v>
      </c>
      <c r="CI352" s="13" t="s">
        <v>61</v>
      </c>
      <c r="CJ352" s="518" t="str">
        <f>IF(AND(_A6="A-330-300",'2025'!$M$4="CA",'2025'!$M$2=CJ347),'2025DATA'!$C$7,"")</f>
        <v/>
      </c>
      <c r="CK352" s="518" t="str">
        <f>IF(AND(_A6="A-330-300",'2025'!$M$4="CA",'2025'!$M$2=CK347),'2025DATA'!$D$7,"")</f>
        <v/>
      </c>
      <c r="CL352" s="518" t="str">
        <f>IF(AND(_A6="A-330-300",'2025'!$M$4="CA",'2025'!$M$2=CL347),'2025DATA'!$E$7,"")</f>
        <v/>
      </c>
      <c r="CM352" s="518" t="str">
        <f>IF(AND(_A6="A-330-300",'2025'!$M$4="CA",'2025'!$M$2=CM347),'2025DATA'!$F$7,"")</f>
        <v/>
      </c>
      <c r="CN352" s="518" t="str">
        <f>IF(AND(_A6="A-330-300",'2025'!$M$4="CA",'2025'!$M$2=CN347),'2025DATA'!$G$7,"")</f>
        <v/>
      </c>
      <c r="CO352" s="518" t="str">
        <f>IF(AND(_A6="A-330-300",'2025'!$M$4="CA",'2025'!$M$2=CO347),'2025DATA'!$H$7,"")</f>
        <v/>
      </c>
      <c r="CP352" s="518" t="str">
        <f>IF(AND(_A6="A-330-300",'2025'!$M$4="CA",'2025'!$M$2=CP347),'2025DATA'!$I$7,"")</f>
        <v/>
      </c>
      <c r="CQ352" s="518" t="str">
        <f>IF(AND(_A6="A-330-300",'2025'!$M$4="CA",'2025'!$M$2=CQ347),'2025DATA'!$J$7,"")</f>
        <v/>
      </c>
      <c r="CR352" s="518" t="str">
        <f>IF(AND(_A6="A-330-300",'2025'!$M$4="CA",'2025'!$M$2=CR347),'2025DATA'!$K$7,"")</f>
        <v/>
      </c>
      <c r="CS352" s="518" t="str">
        <f>IF(AND(_A6="A-330-300",'2025'!$M$4="CA",'2025'!$M$2=CS347),'2025DATA'!$L$7,"")</f>
        <v/>
      </c>
      <c r="CT352" s="518" t="str">
        <f>IF(AND(_A6="A-330-300",'2025'!$M$4="CA",'2025'!$M$2=CT347),'2025DATA'!$M$7,"")</f>
        <v/>
      </c>
      <c r="CU352" s="520" t="str">
        <f>IF(AND(_A6="A-330-300",'2025'!$M$4="CA",'2025'!$M$2=CU347),'2025DATA'!$N$7,"")</f>
        <v/>
      </c>
    </row>
    <row r="353" spans="16:99" x14ac:dyDescent="0.25">
      <c r="P353" s="940"/>
      <c r="Q353" s="13" t="s">
        <v>62</v>
      </c>
      <c r="R353" s="518" t="str">
        <f>IF(AND(_A1="A-330-300",'2025'!$M$4="FO",'2025'!$M$2=R347),'2025DATA'!$C$8,"")</f>
        <v/>
      </c>
      <c r="S353" s="518" t="str">
        <f>IF(AND(_A1="A-330-300",'2025'!$M$4="FO",'2025'!$M$2=S347),'2025DATA'!$D$8,"")</f>
        <v/>
      </c>
      <c r="T353" s="518" t="str">
        <f>IF(AND(_A1="A-330-300",'2025'!$M$4="FO",'2025'!$M$2=T347),'2025DATA'!$E$8,"")</f>
        <v/>
      </c>
      <c r="U353" s="518" t="str">
        <f>IF(AND(_A1="A-330-300",'2025'!$M$4="FO",'2025'!$M$2=U347),'2025DATA'!$F$8,"")</f>
        <v/>
      </c>
      <c r="V353" s="518" t="str">
        <f>IF(AND(_A1="A-330-300",'2025'!$M$4="FO",'2025'!$M$2=V347),'2025DATA'!$G$8,"")</f>
        <v/>
      </c>
      <c r="W353" s="518" t="str">
        <f>IF(AND(_A1="A-330-300",'2025'!$M$4="FO",'2025'!$M$2=W347),'2025DATA'!$H$8,"")</f>
        <v/>
      </c>
      <c r="X353" s="518" t="str">
        <f>IF(AND(_A1="A-330-300",'2025'!$M$4="FO",'2025'!$M$2=X347),'2025DATA'!$I$8,"")</f>
        <v/>
      </c>
      <c r="Y353" s="518" t="str">
        <f>IF(AND(_A1="A-330-300",'2025'!$M$4="FO",'2025'!$M$2=Y347),'2025DATA'!$J$8,"")</f>
        <v/>
      </c>
      <c r="Z353" s="518" t="str">
        <f>IF(AND(_A1="A-330-300",'2025'!$M$4="FO",'2025'!$M$2=Z347),'2025DATA'!$K$8,"")</f>
        <v/>
      </c>
      <c r="AA353" s="518" t="str">
        <f>IF(AND(_A1="A-330-300",'2025'!$M$4="FO",'2025'!$M$2=AA347),'2025DATA'!$L$8,"")</f>
        <v/>
      </c>
      <c r="AB353" s="518" t="str">
        <f>IF(AND(_A1="A-330-300",'2025'!$M$4="FO",'2025'!$M$2=AB347),'2025DATA'!$M$8,"")</f>
        <v/>
      </c>
      <c r="AC353" s="520" t="str">
        <f>IF(AND(_A1="A-330-300",'2025'!$M$4="FO",'2025'!$M$2=AC347),'2025DATA'!$N$8,"")</f>
        <v/>
      </c>
      <c r="AD353" s="940"/>
      <c r="AE353" s="13" t="s">
        <v>62</v>
      </c>
      <c r="AF353" s="518" t="str">
        <f>IF(AND(_A2="A-330-300",'2025'!$M$4="FO",'2025'!$M$2=AF347),'2025DATA'!$C$8,"")</f>
        <v/>
      </c>
      <c r="AG353" s="518" t="str">
        <f>IF(AND(_A2="A-330-300",'2025'!$M$4="FO",'2025'!$M$2=AG347),'2025DATA'!$D$8,"")</f>
        <v/>
      </c>
      <c r="AH353" s="518" t="str">
        <f>IF(AND(_A2="A-330-300",'2025'!$M$4="FO",'2025'!$M$2=AH347),'2025DATA'!$E$8,"")</f>
        <v/>
      </c>
      <c r="AI353" s="518" t="str">
        <f>IF(AND(_A2="A-330-300",'2025'!$M$4="FO",'2025'!$M$2=AI347),'2025DATA'!$F$8,"")</f>
        <v/>
      </c>
      <c r="AJ353" s="518" t="str">
        <f>IF(AND(_A2="A-330-300",'2025'!$M$4="FO",'2025'!$M$2=AJ347),'2025DATA'!$G$8,"")</f>
        <v/>
      </c>
      <c r="AK353" s="518" t="str">
        <f>IF(AND(_A2="A-330-300",'2025'!$M$4="FO",'2025'!$M$2=AK347),'2025DATA'!$H$8,"")</f>
        <v/>
      </c>
      <c r="AL353" s="518" t="str">
        <f>IF(AND(_A2="A-330-300",'2025'!$M$4="FO",'2025'!$M$2=AL347),'2025DATA'!$I$8,"")</f>
        <v/>
      </c>
      <c r="AM353" s="518" t="str">
        <f>IF(AND(_A2="A-330-300",'2025'!$M$4="FO",'2025'!$M$2=AM347),'2025DATA'!$J$8,"")</f>
        <v/>
      </c>
      <c r="AN353" s="518" t="str">
        <f>IF(AND(_A2="A-330-300",'2025'!$M$4="FO",'2025'!$M$2=AN347),'2025DATA'!$K$8,"")</f>
        <v/>
      </c>
      <c r="AO353" s="518" t="str">
        <f>IF(AND(_A2="A-330-300",'2025'!$M$4="FO",'2025'!$M$2=AO347),'2025DATA'!$L$8,"")</f>
        <v/>
      </c>
      <c r="AP353" s="518" t="str">
        <f>IF(AND(_A2="A-330-300",'2025'!$M$4="FO",'2025'!$M$2=AP347),'2025DATA'!$M$8,"")</f>
        <v/>
      </c>
      <c r="AQ353" s="520" t="str">
        <f>IF(AND(_A2="A-330-300",'2025'!$M$4="FO",'2025'!$M$2=AQ347),'2025DATA'!$N$8,"")</f>
        <v/>
      </c>
      <c r="AR353" s="940"/>
      <c r="AS353" s="13" t="s">
        <v>62</v>
      </c>
      <c r="AT353" s="518" t="str">
        <f>IF(AND(_A3="A-330-300",'2025'!$M$4="FO",'2025'!$M$2=AT347),'2025DATA'!$C$8,"")</f>
        <v/>
      </c>
      <c r="AU353" s="518" t="str">
        <f>IF(AND(_A3="A-330-300",'2025'!$M$4="FO",'2025'!$M$2=AU347),'2025DATA'!$D$8,"")</f>
        <v/>
      </c>
      <c r="AV353" s="518" t="str">
        <f>IF(AND(_A3="A-330-300",'2025'!$M$4="FO",'2025'!$M$2=AV347),'2025DATA'!$E$8,"")</f>
        <v/>
      </c>
      <c r="AW353" s="518" t="str">
        <f>IF(AND(_A3="A-330-300",'2025'!$M$4="FO",'2025'!$M$2=AW347),'2025DATA'!$F$8,"")</f>
        <v/>
      </c>
      <c r="AX353" s="518" t="str">
        <f>IF(AND(_A3="A-330-300",'2025'!$M$4="FO",'2025'!$M$2=AX347),'2025DATA'!$G$8,"")</f>
        <v/>
      </c>
      <c r="AY353" s="518" t="str">
        <f>IF(AND(_A3="A-330-300",'2025'!$M$4="FO",'2025'!$M$2=AY347),'2025DATA'!$H$8,"")</f>
        <v/>
      </c>
      <c r="AZ353" s="518" t="str">
        <f>IF(AND(_A3="A-330-300",'2025'!$M$4="FO",'2025'!$M$2=AZ347),'2025DATA'!$I$8,"")</f>
        <v/>
      </c>
      <c r="BA353" s="518" t="str">
        <f>IF(AND(_A3="A-330-300",'2025'!$M$4="FO",'2025'!$M$2=BA347),'2025DATA'!$J$8,"")</f>
        <v/>
      </c>
      <c r="BB353" s="518" t="str">
        <f>IF(AND(_A3="A-330-300",'2025'!$M$4="FO",'2025'!$M$2=BB347),'2025DATA'!$K$8,"")</f>
        <v/>
      </c>
      <c r="BC353" s="518" t="str">
        <f>IF(AND(_A3="A-330-300",'2025'!$M$4="FO",'2025'!$M$2=BC347),'2025DATA'!$L$8,"")</f>
        <v/>
      </c>
      <c r="BD353" s="518" t="str">
        <f>IF(AND(_A3="A-330-300",'2025'!$M$4="FO",'2025'!$M$2=BD347),'2025DATA'!$M$8,"")</f>
        <v/>
      </c>
      <c r="BE353" s="520" t="str">
        <f>IF(AND(_A3="A-330-300",'2025'!$M$4="FO",'2025'!$M$2=BE347),'2025DATA'!$N$8,"")</f>
        <v/>
      </c>
      <c r="BF353" s="940"/>
      <c r="BG353" s="13" t="s">
        <v>62</v>
      </c>
      <c r="BH353" s="518" t="str">
        <f>IF(AND(_A4="A-330-300",'2025'!$M$4="FO",'2025'!$M$2=BH347),'2025DATA'!$C$8,"")</f>
        <v/>
      </c>
      <c r="BI353" s="518" t="str">
        <f>IF(AND(_A4="A-330-300",'2025'!$M$4="FO",'2025'!$M$2=BI347),'2025DATA'!$D$8,"")</f>
        <v/>
      </c>
      <c r="BJ353" s="518" t="str">
        <f>IF(AND(_A4="A-330-300",'2025'!$M$4="FO",'2025'!$M$2=BJ347),'2025DATA'!$E$8,"")</f>
        <v/>
      </c>
      <c r="BK353" s="518" t="str">
        <f>IF(AND(_A4="A-330-300",'2025'!$M$4="FO",'2025'!$M$2=BK347),'2025DATA'!$F$8,"")</f>
        <v/>
      </c>
      <c r="BL353" s="518" t="str">
        <f>IF(AND(_A4="A-330-300",'2025'!$M$4="FO",'2025'!$M$2=BL347),'2025DATA'!$G$8,"")</f>
        <v/>
      </c>
      <c r="BM353" s="518" t="str">
        <f>IF(AND(_A4="A-330-300",'2025'!$M$4="FO",'2025'!$M$2=BM347),'2025DATA'!$H$8,"")</f>
        <v/>
      </c>
      <c r="BN353" s="518" t="str">
        <f>IF(AND(_A4="A-330-300",'2025'!$M$4="FO",'2025'!$M$2=BN347),'2025DATA'!$I$8,"")</f>
        <v/>
      </c>
      <c r="BO353" s="518" t="str">
        <f>IF(AND(_A4="A-330-300",'2025'!$M$4="FO",'2025'!$M$2=BO347),'2025DATA'!$J$8,"")</f>
        <v/>
      </c>
      <c r="BP353" s="518" t="str">
        <f>IF(AND(_A4="A-330-300",'2025'!$M$4="FO",'2025'!$M$2=BP347),'2025DATA'!$K$8,"")</f>
        <v/>
      </c>
      <c r="BQ353" s="518" t="str">
        <f>IF(AND(_A4="A-330-300",'2025'!$M$4="FO",'2025'!$M$2=BQ347),'2025DATA'!$L$8,"")</f>
        <v/>
      </c>
      <c r="BR353" s="518" t="str">
        <f>IF(AND(_A4="A-330-300",'2025'!$M$4="FO",'2025'!$M$2=BR347),'2025DATA'!$M$8,"")</f>
        <v/>
      </c>
      <c r="BS353" s="520" t="str">
        <f>IF(AND(_A4="A-330-300",'2025'!$M$4="FO",'2025'!$M$2=BS347),'2025DATA'!$N$8,"")</f>
        <v/>
      </c>
      <c r="BT353" s="940"/>
      <c r="BU353" s="13" t="s">
        <v>62</v>
      </c>
      <c r="BV353" s="518" t="str">
        <f>IF(AND(_A5="A-330-300",'2025'!$M$4="FO",'2025'!$M$2=BV347),'2025DATA'!$C$8,"")</f>
        <v/>
      </c>
      <c r="BW353" s="518" t="str">
        <f>IF(AND(_A5="A-330-300",'2025'!$M$4="FO",'2025'!$M$2=BW347),'2025DATA'!$D$8,"")</f>
        <v/>
      </c>
      <c r="BX353" s="518" t="str">
        <f>IF(AND(_A5="A-330-300",'2025'!$M$4="FO",'2025'!$M$2=BX347),'2025DATA'!$E$8,"")</f>
        <v/>
      </c>
      <c r="BY353" s="518" t="str">
        <f>IF(AND(_A5="A-330-300",'2025'!$M$4="FO",'2025'!$M$2=BY347),'2025DATA'!$F$8,"")</f>
        <v/>
      </c>
      <c r="BZ353" s="518" t="str">
        <f>IF(AND(_A5="A-330-300",'2025'!$M$4="FO",'2025'!$M$2=BZ347),'2025DATA'!$G$8,"")</f>
        <v/>
      </c>
      <c r="CA353" s="518" t="str">
        <f>IF(AND(_A5="A-330-300",'2025'!$M$4="FO",'2025'!$M$2=CA347),'2025DATA'!$H$8,"")</f>
        <v/>
      </c>
      <c r="CB353" s="518" t="str">
        <f>IF(AND(_A5="A-330-300",'2025'!$M$4="FO",'2025'!$M$2=CB347),'2025DATA'!$I$8,"")</f>
        <v/>
      </c>
      <c r="CC353" s="518" t="str">
        <f>IF(AND(_A5="A-330-300",'2025'!$M$4="FO",'2025'!$M$2=CC347),'2025DATA'!$J$8,"")</f>
        <v/>
      </c>
      <c r="CD353" s="518" t="str">
        <f>IF(AND(_A5="A-330-300",'2025'!$M$4="FO",'2025'!$M$2=CD347),'2025DATA'!$K$8,"")</f>
        <v/>
      </c>
      <c r="CE353" s="518" t="str">
        <f>IF(AND(_A5="A-330-300",'2025'!$M$4="FO",'2025'!$M$2=CE347),'2025DATA'!$L$8,"")</f>
        <v/>
      </c>
      <c r="CF353" s="518" t="str">
        <f>IF(AND(_A5="A-330-300",'2025'!$M$4="FO",'2025'!$M$2=CF347),'2025DATA'!$M$8,"")</f>
        <v/>
      </c>
      <c r="CG353" s="520" t="str">
        <f>IF(AND(_A5="A-330-300",'2025'!$M$4="FO",'2025'!$M$2=CG347),'2025DATA'!$N$8,"")</f>
        <v/>
      </c>
      <c r="CH353" s="940"/>
      <c r="CI353" s="13" t="s">
        <v>62</v>
      </c>
      <c r="CJ353" s="518" t="str">
        <f>IF(AND(_A6="A-330-300",'2025'!$M$4="FO",'2025'!$M$2=CJ347),'2025DATA'!$C$8,"")</f>
        <v/>
      </c>
      <c r="CK353" s="518" t="str">
        <f>IF(AND(_A6="A-330-300",'2025'!$M$4="FO",'2025'!$M$2=CK347),'2025DATA'!$D$8,"")</f>
        <v/>
      </c>
      <c r="CL353" s="518" t="str">
        <f>IF(AND(_A6="A-330-300",'2025'!$M$4="FO",'2025'!$M$2=CL347),'2025DATA'!$E$8,"")</f>
        <v/>
      </c>
      <c r="CM353" s="518" t="str">
        <f>IF(AND(_A6="A-330-300",'2025'!$M$4="FO",'2025'!$M$2=CM347),'2025DATA'!$F$8,"")</f>
        <v/>
      </c>
      <c r="CN353" s="518" t="str">
        <f>IF(AND(_A6="A-330-300",'2025'!$M$4="FO",'2025'!$M$2=CN347),'2025DATA'!$G$8,"")</f>
        <v/>
      </c>
      <c r="CO353" s="518" t="str">
        <f>IF(AND(_A6="A-330-300",'2025'!$M$4="FO",'2025'!$M$2=CO347),'2025DATA'!$H$8,"")</f>
        <v/>
      </c>
      <c r="CP353" s="518" t="str">
        <f>IF(AND(_A6="A-330-300",'2025'!$M$4="FO",'2025'!$M$2=CP347),'2025DATA'!$I$8,"")</f>
        <v/>
      </c>
      <c r="CQ353" s="518" t="str">
        <f>IF(AND(_A6="A-330-300",'2025'!$M$4="FO",'2025'!$M$2=CQ347),'2025DATA'!$J$8,"")</f>
        <v/>
      </c>
      <c r="CR353" s="518" t="str">
        <f>IF(AND(_A6="A-330-300",'2025'!$M$4="FO",'2025'!$M$2=CR347),'2025DATA'!$K$8,"")</f>
        <v/>
      </c>
      <c r="CS353" s="518" t="str">
        <f>IF(AND(_A6="A-330-300",'2025'!$M$4="FO",'2025'!$M$2=CS347),'2025DATA'!$L$8,"")</f>
        <v/>
      </c>
      <c r="CT353" s="518" t="str">
        <f>IF(AND(_A6="A-330-300",'2025'!$M$4="FO",'2025'!$M$2=CT347),'2025DATA'!$M$8,"")</f>
        <v/>
      </c>
      <c r="CU353" s="520" t="str">
        <f>IF(AND(_A6="A-330-300",'2025'!$M$4="FO",'2025'!$M$2=CU347),'2025DATA'!$N$8,"")</f>
        <v/>
      </c>
    </row>
    <row r="354" spans="16:99" x14ac:dyDescent="0.25">
      <c r="P354" s="940" t="s">
        <v>66</v>
      </c>
      <c r="Q354" s="13" t="s">
        <v>61</v>
      </c>
      <c r="R354" s="518" t="str">
        <f>IF(AND(_A1="A-330-200",'2025'!$M$4="CA",'2025'!$M$2=R347),'2025DATA'!$C$9,"")</f>
        <v/>
      </c>
      <c r="S354" s="518" t="str">
        <f>IF(AND(_A1="A-330-200",'2025'!$M$4="CA",'2025'!$M$2=S347),'2025DATA'!$D$9,"")</f>
        <v/>
      </c>
      <c r="T354" s="518" t="str">
        <f>IF(AND(_A1="A-330-200",'2025'!$M$4="CA",'2025'!$M$2=T347),'2025DATA'!$E$9,"")</f>
        <v/>
      </c>
      <c r="U354" s="518" t="str">
        <f>IF(AND(_A1="A-330-200",'2025'!$M$4="CA",'2025'!$M$2=U347),'2025DATA'!$F$9,"")</f>
        <v/>
      </c>
      <c r="V354" s="518" t="str">
        <f>IF(AND(_A1="A-330-200",'2025'!$M$4="CA",'2025'!$M$2=V347),'2025DATA'!$G$9,"")</f>
        <v/>
      </c>
      <c r="W354" s="518" t="str">
        <f>IF(AND(_A1="A-330-200",'2025'!$M$4="CA",'2025'!$M$2=W347),'2025DATA'!$H$9,"")</f>
        <v/>
      </c>
      <c r="X354" s="518" t="str">
        <f>IF(AND(_A1="A-330-200",'2025'!$M$4="CA",'2025'!$M$2=X347),'2025DATA'!$I$9,"")</f>
        <v/>
      </c>
      <c r="Y354" s="518" t="str">
        <f>IF(AND(_A1="A-330-200",'2025'!$M$4="CA",'2025'!$M$2=Y347),'2025DATA'!$J$9,"")</f>
        <v/>
      </c>
      <c r="Z354" s="518" t="str">
        <f>IF(AND(_A1="A-330-200",'2025'!$M$4="CA",'2025'!$M$2=Z347),'2025DATA'!$K$9,"")</f>
        <v/>
      </c>
      <c r="AA354" s="518" t="str">
        <f>IF(AND(_A1="A-330-200",'2025'!$M$4="CA",'2025'!$M$2=AA347),'2025DATA'!$L$9,"")</f>
        <v/>
      </c>
      <c r="AB354" s="518" t="str">
        <f>IF(AND(_A1="A-330-200",'2025'!$M$4="CA",'2025'!$M$2=AB347),'2025DATA'!$M$9,"")</f>
        <v/>
      </c>
      <c r="AC354" s="520" t="str">
        <f>IF(AND(_A1="A-330-200",'2025'!$M$4="CA",'2025'!$M$2=AC347),'2025DATA'!$N$9,"")</f>
        <v/>
      </c>
      <c r="AD354" s="940" t="s">
        <v>66</v>
      </c>
      <c r="AE354" s="13" t="s">
        <v>61</v>
      </c>
      <c r="AF354" s="518" t="str">
        <f>IF(AND(_A2="A-330-200",'2025'!$M$4="CA",'2025'!$M$2=AF347),'2025DATA'!$C$9,"")</f>
        <v/>
      </c>
      <c r="AG354" s="518" t="str">
        <f>IF(AND(_A2="A-330-200",'2025'!$M$4="CA",'2025'!$M$2=AG347),'2025DATA'!$D$9,"")</f>
        <v/>
      </c>
      <c r="AH354" s="518" t="str">
        <f>IF(AND(_A2="A-330-200",'2025'!$M$4="CA",'2025'!$M$2=AH347),'2025DATA'!$E$9,"")</f>
        <v/>
      </c>
      <c r="AI354" s="518" t="str">
        <f>IF(AND(_A2="A-330-200",'2025'!$M$4="CA",'2025'!$M$2=AI347),'2025DATA'!$F$9,"")</f>
        <v/>
      </c>
      <c r="AJ354" s="518" t="str">
        <f>IF(AND(_A2="A-330-200",'2025'!$M$4="CA",'2025'!$M$2=AJ347),'2025DATA'!$G$9,"")</f>
        <v/>
      </c>
      <c r="AK354" s="518" t="str">
        <f>IF(AND(_A2="A-330-200",'2025'!$M$4="CA",'2025'!$M$2=AK347),'2025DATA'!$H$9,"")</f>
        <v/>
      </c>
      <c r="AL354" s="518" t="str">
        <f>IF(AND(_A2="A-330-200",'2025'!$M$4="CA",'2025'!$M$2=AL347),'2025DATA'!$I$9,"")</f>
        <v/>
      </c>
      <c r="AM354" s="518" t="str">
        <f>IF(AND(_A2="A-330-200",'2025'!$M$4="CA",'2025'!$M$2=AM347),'2025DATA'!$J$9,"")</f>
        <v/>
      </c>
      <c r="AN354" s="518" t="str">
        <f>IF(AND(_A2="A-330-200",'2025'!$M$4="CA",'2025'!$M$2=AN347),'2025DATA'!$K$9,"")</f>
        <v/>
      </c>
      <c r="AO354" s="518" t="str">
        <f>IF(AND(_A2="A-330-200",'2025'!$M$4="CA",'2025'!$M$2=AO347),'2025DATA'!$L$9,"")</f>
        <v/>
      </c>
      <c r="AP354" s="518" t="str">
        <f>IF(AND(_A2="A-330-200",'2025'!$M$4="CA",'2025'!$M$2=AP347),'2025DATA'!$M$9,"")</f>
        <v/>
      </c>
      <c r="AQ354" s="520" t="str">
        <f>IF(AND(_A2="A-330-200",'2025'!$M$4="CA",'2025'!$M$2=AQ347),'2025DATA'!$N$9,"")</f>
        <v/>
      </c>
      <c r="AR354" s="940" t="s">
        <v>66</v>
      </c>
      <c r="AS354" s="13" t="s">
        <v>61</v>
      </c>
      <c r="AT354" s="518" t="str">
        <f>IF(AND(_A3="A-330-200",'2025'!$M$4="CA",'2025'!$M$2=AT347),'2025DATA'!$C$9,"")</f>
        <v/>
      </c>
      <c r="AU354" s="518" t="str">
        <f>IF(AND(_A3="A-330-200",'2025'!$M$4="CA",'2025'!$M$2=AU347),'2025DATA'!$D$9,"")</f>
        <v/>
      </c>
      <c r="AV354" s="518" t="str">
        <f>IF(AND(_A3="A-330-200",'2025'!$M$4="CA",'2025'!$M$2=AV347),'2025DATA'!$E$9,"")</f>
        <v/>
      </c>
      <c r="AW354" s="518" t="str">
        <f>IF(AND(_A3="A-330-200",'2025'!$M$4="CA",'2025'!$M$2=AW347),'2025DATA'!$F$9,"")</f>
        <v/>
      </c>
      <c r="AX354" s="518" t="str">
        <f>IF(AND(_A3="A-330-200",'2025'!$M$4="CA",'2025'!$M$2=AX347),'2025DATA'!$G$9,"")</f>
        <v/>
      </c>
      <c r="AY354" s="518" t="str">
        <f>IF(AND(_A3="A-330-200",'2025'!$M$4="CA",'2025'!$M$2=AY347),'2025DATA'!$H$9,"")</f>
        <v/>
      </c>
      <c r="AZ354" s="518" t="str">
        <f>IF(AND(_A3="A-330-200",'2025'!$M$4="CA",'2025'!$M$2=AZ347),'2025DATA'!$I$9,"")</f>
        <v/>
      </c>
      <c r="BA354" s="518" t="str">
        <f>IF(AND(_A3="A-330-200",'2025'!$M$4="CA",'2025'!$M$2=BA347),'2025DATA'!$J$9,"")</f>
        <v/>
      </c>
      <c r="BB354" s="518" t="str">
        <f>IF(AND(_A3="A-330-200",'2025'!$M$4="CA",'2025'!$M$2=BB347),'2025DATA'!$K$9,"")</f>
        <v/>
      </c>
      <c r="BC354" s="518" t="str">
        <f>IF(AND(_A3="A-330-200",'2025'!$M$4="CA",'2025'!$M$2=BC347),'2025DATA'!$L$9,"")</f>
        <v/>
      </c>
      <c r="BD354" s="518" t="str">
        <f>IF(AND(_A3="A-330-200",'2025'!$M$4="CA",'2025'!$M$2=BD347),'2025DATA'!$M$9,"")</f>
        <v/>
      </c>
      <c r="BE354" s="520" t="str">
        <f>IF(AND(_A3="A-330-200",'2025'!$M$4="CA",'2025'!$M$2=BE347),'2025DATA'!$N$9,"")</f>
        <v/>
      </c>
      <c r="BF354" s="940" t="s">
        <v>66</v>
      </c>
      <c r="BG354" s="13" t="s">
        <v>61</v>
      </c>
      <c r="BH354" s="518" t="str">
        <f>IF(AND(_A4="A-330-200",'2025'!$M$4="CA",'2025'!$M$2=BH347),'2025DATA'!$C$9,"")</f>
        <v/>
      </c>
      <c r="BI354" s="518" t="str">
        <f>IF(AND(_A4="A-330-200",'2025'!$M$4="CA",'2025'!$M$2=BI347),'2025DATA'!$D$9,"")</f>
        <v/>
      </c>
      <c r="BJ354" s="518" t="str">
        <f>IF(AND(_A4="A-330-200",'2025'!$M$4="CA",'2025'!$M$2=BJ347),'2025DATA'!$E$9,"")</f>
        <v/>
      </c>
      <c r="BK354" s="518" t="str">
        <f>IF(AND(_A4="A-330-200",'2025'!$M$4="CA",'2025'!$M$2=BK347),'2025DATA'!$F$9,"")</f>
        <v/>
      </c>
      <c r="BL354" s="518" t="str">
        <f>IF(AND(_A4="A-330-200",'2025'!$M$4="CA",'2025'!$M$2=BL347),'2025DATA'!$G$9,"")</f>
        <v/>
      </c>
      <c r="BM354" s="518" t="str">
        <f>IF(AND(_A4="A-330-200",'2025'!$M$4="CA",'2025'!$M$2=BM347),'2025DATA'!$H$9,"")</f>
        <v/>
      </c>
      <c r="BN354" s="518" t="str">
        <f>IF(AND(_A4="A-330-200",'2025'!$M$4="CA",'2025'!$M$2=BN347),'2025DATA'!$I$9,"")</f>
        <v/>
      </c>
      <c r="BO354" s="518" t="str">
        <f>IF(AND(_A4="A-330-200",'2025'!$M$4="CA",'2025'!$M$2=BO347),'2025DATA'!$J$9,"")</f>
        <v/>
      </c>
      <c r="BP354" s="518" t="str">
        <f>IF(AND(_A4="A-330-200",'2025'!$M$4="CA",'2025'!$M$2=BP347),'2025DATA'!$K$9,"")</f>
        <v/>
      </c>
      <c r="BQ354" s="518" t="str">
        <f>IF(AND(_A4="A-330-200",'2025'!$M$4="CA",'2025'!$M$2=BQ347),'2025DATA'!$L$9,"")</f>
        <v/>
      </c>
      <c r="BR354" s="518" t="str">
        <f>IF(AND(_A4="A-330-200",'2025'!$M$4="CA",'2025'!$M$2=BR347),'2025DATA'!$M$9,"")</f>
        <v/>
      </c>
      <c r="BS354" s="520" t="str">
        <f>IF(AND(_A4="A-330-200",'2025'!$M$4="CA",'2025'!$M$2=BS347),'2025DATA'!$N$9,"")</f>
        <v/>
      </c>
      <c r="BT354" s="940" t="s">
        <v>66</v>
      </c>
      <c r="BU354" s="13" t="s">
        <v>61</v>
      </c>
      <c r="BV354" s="518" t="str">
        <f>IF(AND(_A5="A-330-200",'2025'!$M$4="CA",'2025'!$M$2=BV347),'2025DATA'!$C$9,"")</f>
        <v/>
      </c>
      <c r="BW354" s="518" t="str">
        <f>IF(AND(_A5="A-330-200",'2025'!$M$4="CA",'2025'!$M$2=BW347),'2025DATA'!$D$9,"")</f>
        <v/>
      </c>
      <c r="BX354" s="518" t="str">
        <f>IF(AND(_A5="A-330-200",'2025'!$M$4="CA",'2025'!$M$2=BX347),'2025DATA'!$E$9,"")</f>
        <v/>
      </c>
      <c r="BY354" s="518" t="str">
        <f>IF(AND(_A5="A-330-200",'2025'!$M$4="CA",'2025'!$M$2=BY347),'2025DATA'!$F$9,"")</f>
        <v/>
      </c>
      <c r="BZ354" s="518" t="str">
        <f>IF(AND(_A5="A-330-200",'2025'!$M$4="CA",'2025'!$M$2=BZ347),'2025DATA'!$G$9,"")</f>
        <v/>
      </c>
      <c r="CA354" s="518" t="str">
        <f>IF(AND(_A5="A-330-200",'2025'!$M$4="CA",'2025'!$M$2=CA347),'2025DATA'!$H$9,"")</f>
        <v/>
      </c>
      <c r="CB354" s="518" t="str">
        <f>IF(AND(_A5="A-330-200",'2025'!$M$4="CA",'2025'!$M$2=CB347),'2025DATA'!$I$9,"")</f>
        <v/>
      </c>
      <c r="CC354" s="518" t="str">
        <f>IF(AND(_A5="A-330-200",'2025'!$M$4="CA",'2025'!$M$2=CC347),'2025DATA'!$J$9,"")</f>
        <v/>
      </c>
      <c r="CD354" s="518" t="str">
        <f>IF(AND(_A5="A-330-200",'2025'!$M$4="CA",'2025'!$M$2=CD347),'2025DATA'!$K$9,"")</f>
        <v/>
      </c>
      <c r="CE354" s="518" t="str">
        <f>IF(AND(_A5="A-330-200",'2025'!$M$4="CA",'2025'!$M$2=CE347),'2025DATA'!$L$9,"")</f>
        <v/>
      </c>
      <c r="CF354" s="518" t="str">
        <f>IF(AND(_A5="A-330-200",'2025'!$M$4="CA",'2025'!$M$2=CF347),'2025DATA'!$M$9,"")</f>
        <v/>
      </c>
      <c r="CG354" s="520" t="str">
        <f>IF(AND(_A5="A-330-200",'2025'!$M$4="CA",'2025'!$M$2=CG347),'2025DATA'!$N$9,"")</f>
        <v/>
      </c>
      <c r="CH354" s="940" t="s">
        <v>66</v>
      </c>
      <c r="CI354" s="13" t="s">
        <v>61</v>
      </c>
      <c r="CJ354" s="518" t="str">
        <f>IF(AND(_A6="A-330-200",'2025'!$M$4="CA",'2025'!$M$2=CJ347),'2025DATA'!$C$9,"")</f>
        <v/>
      </c>
      <c r="CK354" s="518" t="str">
        <f>IF(AND(_A6="A-330-200",'2025'!$M$4="CA",'2025'!$M$2=CK347),'2025DATA'!$D$9,"")</f>
        <v/>
      </c>
      <c r="CL354" s="518" t="str">
        <f>IF(AND(_A6="A-330-200",'2025'!$M$4="CA",'2025'!$M$2=CL347),'2025DATA'!$E$9,"")</f>
        <v/>
      </c>
      <c r="CM354" s="518" t="str">
        <f>IF(AND(_A6="A-330-200",'2025'!$M$4="CA",'2025'!$M$2=CM347),'2025DATA'!$F$9,"")</f>
        <v/>
      </c>
      <c r="CN354" s="518" t="str">
        <f>IF(AND(_A6="A-330-200",'2025'!$M$4="CA",'2025'!$M$2=CN347),'2025DATA'!$G$9,"")</f>
        <v/>
      </c>
      <c r="CO354" s="518" t="str">
        <f>IF(AND(_A6="A-330-200",'2025'!$M$4="CA",'2025'!$M$2=CO347),'2025DATA'!$H$9,"")</f>
        <v/>
      </c>
      <c r="CP354" s="518" t="str">
        <f>IF(AND(_A6="A-330-200",'2025'!$M$4="CA",'2025'!$M$2=CP347),'2025DATA'!$I$9,"")</f>
        <v/>
      </c>
      <c r="CQ354" s="518" t="str">
        <f>IF(AND(_A6="A-330-200",'2025'!$M$4="CA",'2025'!$M$2=CQ347),'2025DATA'!$J$9,"")</f>
        <v/>
      </c>
      <c r="CR354" s="518" t="str">
        <f>IF(AND(_A6="A-330-200",'2025'!$M$4="CA",'2025'!$M$2=CR347),'2025DATA'!$K$9,"")</f>
        <v/>
      </c>
      <c r="CS354" s="518" t="str">
        <f>IF(AND(_A6="A-330-200",'2025'!$M$4="CA",'2025'!$M$2=CS347),'2025DATA'!$L$9,"")</f>
        <v/>
      </c>
      <c r="CT354" s="518" t="str">
        <f>IF(AND(_A6="A-330-200",'2025'!$M$4="CA",'2025'!$M$2=CT347),'2025DATA'!$M$9,"")</f>
        <v/>
      </c>
      <c r="CU354" s="520" t="str">
        <f>IF(AND(_A6="A-330-200",'2025'!$M$4="CA",'2025'!$M$2=CU347),'2025DATA'!$N$9,"")</f>
        <v/>
      </c>
    </row>
    <row r="355" spans="16:99" x14ac:dyDescent="0.25">
      <c r="P355" s="940"/>
      <c r="Q355" s="13" t="s">
        <v>62</v>
      </c>
      <c r="R355" s="518" t="str">
        <f>IF(AND(_A1="A-330-200",'2025'!$M$4="FO",'2025'!$M$2=R347),'2025DATA'!$C$10,"")</f>
        <v/>
      </c>
      <c r="S355" s="518" t="str">
        <f>IF(AND(_A1="A-330-200",'2025'!$M$4="FO",'2025'!$M$2=S347),'2025DATA'!$D$10,"")</f>
        <v/>
      </c>
      <c r="T355" s="518" t="str">
        <f>IF(AND(_A1="A-330-200",'2025'!$M$4="FO",'2025'!$M$2=T347),'2025DATA'!$E$10,"")</f>
        <v/>
      </c>
      <c r="U355" s="518" t="str">
        <f>IF(AND(_A1="A-330-200",'2025'!$M$4="FO",'2025'!$M$2=U347),'2025DATA'!$F$10,"")</f>
        <v/>
      </c>
      <c r="V355" s="518" t="str">
        <f>IF(AND(_A1="A-330-200",'2025'!$M$4="FO",'2025'!$M$2=V347),'2025DATA'!$G$10,"")</f>
        <v/>
      </c>
      <c r="W355" s="518" t="str">
        <f>IF(AND(_A1="A-330-200",'2025'!$M$4="FO",'2025'!$M$2=W347),'2025DATA'!$H$10,"")</f>
        <v/>
      </c>
      <c r="X355" s="518" t="str">
        <f>IF(AND(_A1="A-330-200",'2025'!$M$4="FO",'2025'!$M$2=X347),'2025DATA'!$I$10,"")</f>
        <v/>
      </c>
      <c r="Y355" s="518" t="str">
        <f>IF(AND(_A1="A-330-200",'2025'!$M$4="FO",'2025'!$M$2=Y347),'2025DATA'!$J$10,"")</f>
        <v/>
      </c>
      <c r="Z355" s="518" t="str">
        <f>IF(AND(_A1="A-330-200",'2025'!$M$4="FO",'2025'!$M$2=Z347),'2025DATA'!$K$10,"")</f>
        <v/>
      </c>
      <c r="AA355" s="518" t="str">
        <f>IF(AND(_A1="A-330-200",'2025'!$M$4="FO",'2025'!$M$2=AA347),'2025DATA'!$L$10,"")</f>
        <v/>
      </c>
      <c r="AB355" s="518" t="str">
        <f>IF(AND(_A1="A-330-200",'2025'!$M$4="FO",'2025'!$M$2=AB347),'2025DATA'!$M$10,"")</f>
        <v/>
      </c>
      <c r="AC355" s="520" t="str">
        <f>IF(AND(_A1="A-330-200",'2025'!$M$4="FO",'2025'!$M$2=AC347),'2025DATA'!$N$10,"")</f>
        <v/>
      </c>
      <c r="AD355" s="940"/>
      <c r="AE355" s="13" t="s">
        <v>62</v>
      </c>
      <c r="AF355" s="518" t="str">
        <f>IF(AND(_A2="A-330-200",'2025'!$M$4="FO",'2025'!$M$2=AF347),'2025DATA'!$C$10,"")</f>
        <v/>
      </c>
      <c r="AG355" s="518" t="str">
        <f>IF(AND(_A2="A-330-200",'2025'!$M$4="FO",'2025'!$M$2=AG347),'2025DATA'!$D$10,"")</f>
        <v/>
      </c>
      <c r="AH355" s="518" t="str">
        <f>IF(AND(_A2="A-330-200",'2025'!$M$4="FO",'2025'!$M$2=AH347),'2025DATA'!$E$10,"")</f>
        <v/>
      </c>
      <c r="AI355" s="518" t="str">
        <f>IF(AND(_A2="A-330-200",'2025'!$M$4="FO",'2025'!$M$2=AI347),'2025DATA'!$F$10,"")</f>
        <v/>
      </c>
      <c r="AJ355" s="518" t="str">
        <f>IF(AND(_A2="A-330-200",'2025'!$M$4="FO",'2025'!$M$2=AJ347),'2025DATA'!$G$10,"")</f>
        <v/>
      </c>
      <c r="AK355" s="518" t="str">
        <f>IF(AND(_A2="A-330-200",'2025'!$M$4="FO",'2025'!$M$2=AK347),'2025DATA'!$H$10,"")</f>
        <v/>
      </c>
      <c r="AL355" s="518" t="str">
        <f>IF(AND(_A2="A-330-200",'2025'!$M$4="FO",'2025'!$M$2=AL347),'2025DATA'!$I$10,"")</f>
        <v/>
      </c>
      <c r="AM355" s="518" t="str">
        <f>IF(AND(_A2="A-330-200",'2025'!$M$4="FO",'2025'!$M$2=AM347),'2025DATA'!$J$10,"")</f>
        <v/>
      </c>
      <c r="AN355" s="518" t="str">
        <f>IF(AND(_A2="A-330-200",'2025'!$M$4="FO",'2025'!$M$2=AN347),'2025DATA'!$K$10,"")</f>
        <v/>
      </c>
      <c r="AO355" s="518" t="str">
        <f>IF(AND(_A2="A-330-200",'2025'!$M$4="FO",'2025'!$M$2=AO347),'2025DATA'!$L$10,"")</f>
        <v/>
      </c>
      <c r="AP355" s="518" t="str">
        <f>IF(AND(_A2="A-330-200",'2025'!$M$4="FO",'2025'!$M$2=AP347),'2025DATA'!$M$10,"")</f>
        <v/>
      </c>
      <c r="AQ355" s="520" t="str">
        <f>IF(AND(_A2="A-330-200",'2025'!$M$4="FO",'2025'!$M$2=AQ347),'2025DATA'!$N$10,"")</f>
        <v/>
      </c>
      <c r="AR355" s="940"/>
      <c r="AS355" s="13" t="s">
        <v>62</v>
      </c>
      <c r="AT355" s="518" t="str">
        <f>IF(AND(_A3="A-330-200",'2025'!$M$4="FO",'2025'!$M$2=AT347),'2025DATA'!$C$10,"")</f>
        <v/>
      </c>
      <c r="AU355" s="518" t="str">
        <f>IF(AND(_A3="A-330-200",'2025'!$M$4="FO",'2025'!$M$2=AU347),'2025DATA'!$D$10,"")</f>
        <v/>
      </c>
      <c r="AV355" s="518" t="str">
        <f>IF(AND(_A3="A-330-200",'2025'!$M$4="FO",'2025'!$M$2=AV347),'2025DATA'!$E$10,"")</f>
        <v/>
      </c>
      <c r="AW355" s="518" t="str">
        <f>IF(AND(_A3="A-330-200",'2025'!$M$4="FO",'2025'!$M$2=AW347),'2025DATA'!$F$10,"")</f>
        <v/>
      </c>
      <c r="AX355" s="518" t="str">
        <f>IF(AND(_A3="A-330-200",'2025'!$M$4="FO",'2025'!$M$2=AX347),'2025DATA'!$G$10,"")</f>
        <v/>
      </c>
      <c r="AY355" s="518" t="str">
        <f>IF(AND(_A3="A-330-200",'2025'!$M$4="FO",'2025'!$M$2=AY347),'2025DATA'!$H$10,"")</f>
        <v/>
      </c>
      <c r="AZ355" s="518" t="str">
        <f>IF(AND(_A3="A-330-200",'2025'!$M$4="FO",'2025'!$M$2=AZ347),'2025DATA'!$I$10,"")</f>
        <v/>
      </c>
      <c r="BA355" s="518" t="str">
        <f>IF(AND(_A3="A-330-200",'2025'!$M$4="FO",'2025'!$M$2=BA347),'2025DATA'!$J$10,"")</f>
        <v/>
      </c>
      <c r="BB355" s="518" t="str">
        <f>IF(AND(_A3="A-330-200",'2025'!$M$4="FO",'2025'!$M$2=BB347),'2025DATA'!$K$10,"")</f>
        <v/>
      </c>
      <c r="BC355" s="518" t="str">
        <f>IF(AND(_A3="A-330-200",'2025'!$M$4="FO",'2025'!$M$2=BC347),'2025DATA'!$L$10,"")</f>
        <v/>
      </c>
      <c r="BD355" s="518" t="str">
        <f>IF(AND(_A3="A-330-200",'2025'!$M$4="FO",'2025'!$M$2=BD347),'2025DATA'!$M$10,"")</f>
        <v/>
      </c>
      <c r="BE355" s="520" t="str">
        <f>IF(AND(_A3="A-330-200",'2025'!$M$4="FO",'2025'!$M$2=BE347),'2025DATA'!$N$10,"")</f>
        <v/>
      </c>
      <c r="BF355" s="940"/>
      <c r="BG355" s="13" t="s">
        <v>62</v>
      </c>
      <c r="BH355" s="518" t="str">
        <f>IF(AND(_A4="A-330-200",'2025'!$M$4="FO",'2025'!$M$2=BH347),'2025DATA'!$C$10,"")</f>
        <v/>
      </c>
      <c r="BI355" s="518" t="str">
        <f>IF(AND(_A4="A-330-200",'2025'!$M$4="FO",'2025'!$M$2=BI347),'2025DATA'!$D$10,"")</f>
        <v/>
      </c>
      <c r="BJ355" s="518" t="str">
        <f>IF(AND(_A4="A-330-200",'2025'!$M$4="FO",'2025'!$M$2=BJ347),'2025DATA'!$E$10,"")</f>
        <v/>
      </c>
      <c r="BK355" s="518" t="str">
        <f>IF(AND(_A4="A-330-200",'2025'!$M$4="FO",'2025'!$M$2=BK347),'2025DATA'!$F$10,"")</f>
        <v/>
      </c>
      <c r="BL355" s="518" t="str">
        <f>IF(AND(_A4="A-330-200",'2025'!$M$4="FO",'2025'!$M$2=BL347),'2025DATA'!$G$10,"")</f>
        <v/>
      </c>
      <c r="BM355" s="518" t="str">
        <f>IF(AND(_A4="A-330-200",'2025'!$M$4="FO",'2025'!$M$2=BM347),'2025DATA'!$H$10,"")</f>
        <v/>
      </c>
      <c r="BN355" s="518" t="str">
        <f>IF(AND(_A4="A-330-200",'2025'!$M$4="FO",'2025'!$M$2=BN347),'2025DATA'!$I$10,"")</f>
        <v/>
      </c>
      <c r="BO355" s="518" t="str">
        <f>IF(AND(_A4="A-330-200",'2025'!$M$4="FO",'2025'!$M$2=BO347),'2025DATA'!$J$10,"")</f>
        <v/>
      </c>
      <c r="BP355" s="518" t="str">
        <f>IF(AND(_A4="A-330-200",'2025'!$M$4="FO",'2025'!$M$2=BP347),'2025DATA'!$K$10,"")</f>
        <v/>
      </c>
      <c r="BQ355" s="518" t="str">
        <f>IF(AND(_A4="A-330-200",'2025'!$M$4="FO",'2025'!$M$2=BQ347),'2025DATA'!$L$10,"")</f>
        <v/>
      </c>
      <c r="BR355" s="518" t="str">
        <f>IF(AND(_A4="A-330-200",'2025'!$M$4="FO",'2025'!$M$2=BR347),'2025DATA'!$M$10,"")</f>
        <v/>
      </c>
      <c r="BS355" s="520" t="str">
        <f>IF(AND(_A4="A-330-200",'2025'!$M$4="FO",'2025'!$M$2=BS347),'2025DATA'!$N$10,"")</f>
        <v/>
      </c>
      <c r="BT355" s="940"/>
      <c r="BU355" s="13" t="s">
        <v>62</v>
      </c>
      <c r="BV355" s="518" t="str">
        <f>IF(AND(_A5="A-330-200",'2025'!$M$4="FO",'2025'!$M$2=BV347),'2025DATA'!$C$10,"")</f>
        <v/>
      </c>
      <c r="BW355" s="518" t="str">
        <f>IF(AND(_A5="A-330-200",'2025'!$M$4="FO",'2025'!$M$2=BW347),'2025DATA'!$D$10,"")</f>
        <v/>
      </c>
      <c r="BX355" s="518" t="str">
        <f>IF(AND(_A5="A-330-200",'2025'!$M$4="FO",'2025'!$M$2=BX347),'2025DATA'!$E$10,"")</f>
        <v/>
      </c>
      <c r="BY355" s="518" t="str">
        <f>IF(AND(_A5="A-330-200",'2025'!$M$4="FO",'2025'!$M$2=BY347),'2025DATA'!$F$10,"")</f>
        <v/>
      </c>
      <c r="BZ355" s="518" t="str">
        <f>IF(AND(_A5="A-330-200",'2025'!$M$4="FO",'2025'!$M$2=BZ347),'2025DATA'!$G$10,"")</f>
        <v/>
      </c>
      <c r="CA355" s="518" t="str">
        <f>IF(AND(_A5="A-330-200",'2025'!$M$4="FO",'2025'!$M$2=CA347),'2025DATA'!$H$10,"")</f>
        <v/>
      </c>
      <c r="CB355" s="518" t="str">
        <f>IF(AND(_A5="A-330-200",'2025'!$M$4="FO",'2025'!$M$2=CB347),'2025DATA'!$I$10,"")</f>
        <v/>
      </c>
      <c r="CC355" s="518" t="str">
        <f>IF(AND(_A5="A-330-200",'2025'!$M$4="FO",'2025'!$M$2=CC347),'2025DATA'!$J$10,"")</f>
        <v/>
      </c>
      <c r="CD355" s="518" t="str">
        <f>IF(AND(_A5="A-330-200",'2025'!$M$4="FO",'2025'!$M$2=CD347),'2025DATA'!$K$10,"")</f>
        <v/>
      </c>
      <c r="CE355" s="518" t="str">
        <f>IF(AND(_A5="A-330-200",'2025'!$M$4="FO",'2025'!$M$2=CE347),'2025DATA'!$L$10,"")</f>
        <v/>
      </c>
      <c r="CF355" s="518" t="str">
        <f>IF(AND(_A5="A-330-200",'2025'!$M$4="FO",'2025'!$M$2=CF347),'2025DATA'!$M$10,"")</f>
        <v/>
      </c>
      <c r="CG355" s="520" t="str">
        <f>IF(AND(_A5="A-330-200",'2025'!$M$4="FO",'2025'!$M$2=CG347),'2025DATA'!$N$10,"")</f>
        <v/>
      </c>
      <c r="CH355" s="940"/>
      <c r="CI355" s="13" t="s">
        <v>62</v>
      </c>
      <c r="CJ355" s="518" t="str">
        <f>IF(AND(_A6="A-330-200",'2025'!$M$4="FO",'2025'!$M$2=CJ347),'2025DATA'!$C$10,"")</f>
        <v/>
      </c>
      <c r="CK355" s="518" t="str">
        <f>IF(AND(_A6="A-330-200",'2025'!$M$4="FO",'2025'!$M$2=CK347),'2025DATA'!$D$10,"")</f>
        <v/>
      </c>
      <c r="CL355" s="518" t="str">
        <f>IF(AND(_A6="A-330-200",'2025'!$M$4="FO",'2025'!$M$2=CL347),'2025DATA'!$E$10,"")</f>
        <v/>
      </c>
      <c r="CM355" s="518" t="str">
        <f>IF(AND(_A6="A-330-200",'2025'!$M$4="FO",'2025'!$M$2=CM347),'2025DATA'!$F$10,"")</f>
        <v/>
      </c>
      <c r="CN355" s="518" t="str">
        <f>IF(AND(_A6="A-330-200",'2025'!$M$4="FO",'2025'!$M$2=CN347),'2025DATA'!$G$10,"")</f>
        <v/>
      </c>
      <c r="CO355" s="518" t="str">
        <f>IF(AND(_A6="A-330-200",'2025'!$M$4="FO",'2025'!$M$2=CO347),'2025DATA'!$H$10,"")</f>
        <v/>
      </c>
      <c r="CP355" s="518" t="str">
        <f>IF(AND(_A6="A-330-200",'2025'!$M$4="FO",'2025'!$M$2=CP347),'2025DATA'!$I$10,"")</f>
        <v/>
      </c>
      <c r="CQ355" s="518" t="str">
        <f>IF(AND(_A6="A-330-200",'2025'!$M$4="FO",'2025'!$M$2=CQ347),'2025DATA'!$J$10,"")</f>
        <v/>
      </c>
      <c r="CR355" s="518" t="str">
        <f>IF(AND(_A6="A-330-200",'2025'!$M$4="FO",'2025'!$M$2=CR347),'2025DATA'!$K$10,"")</f>
        <v/>
      </c>
      <c r="CS355" s="518" t="str">
        <f>IF(AND(_A6="A-330-200",'2025'!$M$4="FO",'2025'!$M$2=CS347),'2025DATA'!$L$10,"")</f>
        <v/>
      </c>
      <c r="CT355" s="518" t="str">
        <f>IF(AND(_A6="A-330-200",'2025'!$M$4="FO",'2025'!$M$2=CT347),'2025DATA'!$M$10,"")</f>
        <v/>
      </c>
      <c r="CU355" s="520" t="str">
        <f>IF(AND(_A6="A-330-200",'2025'!$M$4="FO",'2025'!$M$2=CU347),'2025DATA'!$N$10,"")</f>
        <v/>
      </c>
    </row>
    <row r="356" spans="16:99" x14ac:dyDescent="0.25">
      <c r="P356" s="940" t="s">
        <v>42</v>
      </c>
      <c r="Q356" s="13" t="s">
        <v>61</v>
      </c>
      <c r="R356" s="518" t="str">
        <f>IF(AND(_A1="B-767-400ER",'2025'!$M$4="CA",'2025'!$M$2=R347),'2025DATA'!$C$11,"")</f>
        <v/>
      </c>
      <c r="S356" s="518" t="str">
        <f>IF(AND(_A1="B-767-400ER",'2025'!$M$4="CA",'2025'!$M$2=S347),'2025DATA'!$D$11,"")</f>
        <v/>
      </c>
      <c r="T356" s="518" t="str">
        <f>IF(AND(_A1="B-767-400ER",'2025'!$M$4="CA",'2025'!$M$2=T347),'2025DATA'!$E$11,"")</f>
        <v/>
      </c>
      <c r="U356" s="518" t="str">
        <f>IF(AND(_A1="B-767-400ER",'2025'!$M$4="CA",'2025'!$M$2=U347),'2025DATA'!$F$11,"")</f>
        <v/>
      </c>
      <c r="V356" s="518" t="str">
        <f>IF(AND(_A1="B-767-400ER",'2025'!$M$4="CA",'2025'!$M$2=V347),'2025DATA'!$G$11,"")</f>
        <v/>
      </c>
      <c r="W356" s="518" t="str">
        <f>IF(AND(_A1="B-767-400ER",'2025'!$M$4="CA",'2025'!$M$2=W347),'2025DATA'!$H$11,"")</f>
        <v/>
      </c>
      <c r="X356" s="518" t="str">
        <f>IF(AND(_A1="B-767-400ER",'2025'!$M$4="CA",'2025'!$M$2=X347),'2025DATA'!$I$11,"")</f>
        <v/>
      </c>
      <c r="Y356" s="518" t="str">
        <f>IF(AND(_A1="B-767-400ER",'2025'!$M$4="CA",'2025'!$M$2=Y347),'2025DATA'!$J$11,"")</f>
        <v/>
      </c>
      <c r="Z356" s="518" t="str">
        <f>IF(AND(_A1="B-767-400ER",'2025'!$M$4="CA",'2025'!$M$2=Z347),'2025DATA'!$K$11,"")</f>
        <v/>
      </c>
      <c r="AA356" s="518" t="str">
        <f>IF(AND(_A1="B-767-400ER",'2025'!$M$4="CA",'2025'!$M$2=AA347),'2025DATA'!$L$11,"")</f>
        <v/>
      </c>
      <c r="AB356" s="518" t="str">
        <f>IF(AND(_A1="B-767-400ER",'2025'!$M$4="CA",'2025'!$M$2=AB347),'2025DATA'!$M$11,"")</f>
        <v/>
      </c>
      <c r="AC356" s="520" t="str">
        <f>IF(AND(_A1="B-767-400ER",'2025'!$M$4="CA",'2025'!$M$2=AC347),'2025DATA'!$N$11,"")</f>
        <v/>
      </c>
      <c r="AD356" s="940" t="s">
        <v>42</v>
      </c>
      <c r="AE356" s="13" t="s">
        <v>61</v>
      </c>
      <c r="AF356" s="518" t="str">
        <f>IF(AND(_A2="B-767-400ER",'2025'!$M$4="CA",'2025'!$M$2=AF347),'2025DATA'!$C$11,"")</f>
        <v/>
      </c>
      <c r="AG356" s="518" t="str">
        <f>IF(AND(_A2="B-767-400ER",'2025'!$M$4="CA",'2025'!$M$2=AG347),'2025DATA'!$D$11,"")</f>
        <v/>
      </c>
      <c r="AH356" s="518" t="str">
        <f>IF(AND(_A2="B-767-400ER",'2025'!$M$4="CA",'2025'!$M$2=AH347),'2025DATA'!$E$11,"")</f>
        <v/>
      </c>
      <c r="AI356" s="518" t="str">
        <f>IF(AND(_A2="B-767-400ER",'2025'!$M$4="CA",'2025'!$M$2=AI347),'2025DATA'!$F$11,"")</f>
        <v/>
      </c>
      <c r="AJ356" s="518" t="str">
        <f>IF(AND(_A2="B-767-400ER",'2025'!$M$4="CA",'2025'!$M$2=AJ347),'2025DATA'!$G$11,"")</f>
        <v/>
      </c>
      <c r="AK356" s="518" t="str">
        <f>IF(AND(_A2="B-767-400ER",'2025'!$M$4="CA",'2025'!$M$2=AK347),'2025DATA'!$H$11,"")</f>
        <v/>
      </c>
      <c r="AL356" s="518" t="str">
        <f>IF(AND(_A2="B-767-400ER",'2025'!$M$4="CA",'2025'!$M$2=AL347),'2025DATA'!$I$11,"")</f>
        <v/>
      </c>
      <c r="AM356" s="518" t="str">
        <f>IF(AND(_A2="B-767-400ER",'2025'!$M$4="CA",'2025'!$M$2=AM347),'2025DATA'!$J$11,"")</f>
        <v/>
      </c>
      <c r="AN356" s="518" t="str">
        <f>IF(AND(_A2="B-767-400ER",'2025'!$M$4="CA",'2025'!$M$2=AN347),'2025DATA'!$K$11,"")</f>
        <v/>
      </c>
      <c r="AO356" s="518" t="str">
        <f>IF(AND(_A2="B-767-400ER",'2025'!$M$4="CA",'2025'!$M$2=AO347),'2025DATA'!$L$11,"")</f>
        <v/>
      </c>
      <c r="AP356" s="518" t="str">
        <f>IF(AND(_A2="B-767-400ER",'2025'!$M$4="CA",'2025'!$M$2=AP347),'2025DATA'!$M$11,"")</f>
        <v/>
      </c>
      <c r="AQ356" s="520" t="str">
        <f>IF(AND(_A2="B-767-400ER",'2025'!$M$4="CA",'2025'!$M$2=AQ347),'2025DATA'!$N$11,"")</f>
        <v/>
      </c>
      <c r="AR356" s="940" t="s">
        <v>42</v>
      </c>
      <c r="AS356" s="13" t="s">
        <v>61</v>
      </c>
      <c r="AT356" s="518" t="str">
        <f>IF(AND(_A3="B-767-400ER",'2025'!$M$4="CA",'2025'!$M$2=AT347),'2025DATA'!$C$11,"")</f>
        <v/>
      </c>
      <c r="AU356" s="518" t="str">
        <f>IF(AND(_A3="B-767-400ER",'2025'!$M$4="CA",'2025'!$M$2=AU347),'2025DATA'!$D$11,"")</f>
        <v/>
      </c>
      <c r="AV356" s="518" t="str">
        <f>IF(AND(_A3="B-767-400ER",'2025'!$M$4="CA",'2025'!$M$2=AV347),'2025DATA'!$E$11,"")</f>
        <v/>
      </c>
      <c r="AW356" s="518" t="str">
        <f>IF(AND(_A3="B-767-400ER",'2025'!$M$4="CA",'2025'!$M$2=AW347),'2025DATA'!$F$11,"")</f>
        <v/>
      </c>
      <c r="AX356" s="518" t="str">
        <f>IF(AND(_A3="B-767-400ER",'2025'!$M$4="CA",'2025'!$M$2=AX347),'2025DATA'!$G$11,"")</f>
        <v/>
      </c>
      <c r="AY356" s="518" t="str">
        <f>IF(AND(_A3="B-767-400ER",'2025'!$M$4="CA",'2025'!$M$2=AY347),'2025DATA'!$H$11,"")</f>
        <v/>
      </c>
      <c r="AZ356" s="518" t="str">
        <f>IF(AND(_A3="B-767-400ER",'2025'!$M$4="CA",'2025'!$M$2=AZ347),'2025DATA'!$I$11,"")</f>
        <v/>
      </c>
      <c r="BA356" s="518" t="str">
        <f>IF(AND(_A3="B-767-400ER",'2025'!$M$4="CA",'2025'!$M$2=BA347),'2025DATA'!$J$11,"")</f>
        <v/>
      </c>
      <c r="BB356" s="518" t="str">
        <f>IF(AND(_A3="B-767-400ER",'2025'!$M$4="CA",'2025'!$M$2=BB347),'2025DATA'!$K$11,"")</f>
        <v/>
      </c>
      <c r="BC356" s="518" t="str">
        <f>IF(AND(_A3="B-767-400ER",'2025'!$M$4="CA",'2025'!$M$2=BC347),'2025DATA'!$L$11,"")</f>
        <v/>
      </c>
      <c r="BD356" s="518" t="str">
        <f>IF(AND(_A3="B-767-400ER",'2025'!$M$4="CA",'2025'!$M$2=BD347),'2025DATA'!$M$11,"")</f>
        <v/>
      </c>
      <c r="BE356" s="520" t="str">
        <f>IF(AND(_A3="B-767-400ER",'2025'!$M$4="CA",'2025'!$M$2=BE347),'2025DATA'!$N$11,"")</f>
        <v/>
      </c>
      <c r="BF356" s="940" t="s">
        <v>42</v>
      </c>
      <c r="BG356" s="13" t="s">
        <v>61</v>
      </c>
      <c r="BH356" s="518" t="str">
        <f>IF(AND(_A4="B-767-400ER",'2025'!$M$4="CA",'2025'!$M$2=BH347),'2025DATA'!$C$11,"")</f>
        <v/>
      </c>
      <c r="BI356" s="518" t="str">
        <f>IF(AND(_A4="B-767-400ER",'2025'!$M$4="CA",'2025'!$M$2=BI347),'2025DATA'!$D$11,"")</f>
        <v/>
      </c>
      <c r="BJ356" s="518" t="str">
        <f>IF(AND(_A4="B-767-400ER",'2025'!$M$4="CA",'2025'!$M$2=BJ347),'2025DATA'!$E$11,"")</f>
        <v/>
      </c>
      <c r="BK356" s="518" t="str">
        <f>IF(AND(_A4="B-767-400ER",'2025'!$M$4="CA",'2025'!$M$2=BK347),'2025DATA'!$F$11,"")</f>
        <v/>
      </c>
      <c r="BL356" s="518" t="str">
        <f>IF(AND(_A4="B-767-400ER",'2025'!$M$4="CA",'2025'!$M$2=BL347),'2025DATA'!$G$11,"")</f>
        <v/>
      </c>
      <c r="BM356" s="518" t="str">
        <f>IF(AND(_A4="B-767-400ER",'2025'!$M$4="CA",'2025'!$M$2=BM347),'2025DATA'!$H$11,"")</f>
        <v/>
      </c>
      <c r="BN356" s="518" t="str">
        <f>IF(AND(_A4="B-767-400ER",'2025'!$M$4="CA",'2025'!$M$2=BN347),'2025DATA'!$I$11,"")</f>
        <v/>
      </c>
      <c r="BO356" s="518" t="str">
        <f>IF(AND(_A4="B-767-400ER",'2025'!$M$4="CA",'2025'!$M$2=BO347),'2025DATA'!$J$11,"")</f>
        <v/>
      </c>
      <c r="BP356" s="518" t="str">
        <f>IF(AND(_A4="B-767-400ER",'2025'!$M$4="CA",'2025'!$M$2=BP347),'2025DATA'!$K$11,"")</f>
        <v/>
      </c>
      <c r="BQ356" s="518" t="str">
        <f>IF(AND(_A4="B-767-400ER",'2025'!$M$4="CA",'2025'!$M$2=BQ347),'2025DATA'!$L$11,"")</f>
        <v/>
      </c>
      <c r="BR356" s="518" t="str">
        <f>IF(AND(_A4="B-767-400ER",'2025'!$M$4="CA",'2025'!$M$2=BR347),'2025DATA'!$M$11,"")</f>
        <v/>
      </c>
      <c r="BS356" s="520" t="str">
        <f>IF(AND(_A4="B-767-400ER",'2025'!$M$4="CA",'2025'!$M$2=BS347),'2025DATA'!$N$11,"")</f>
        <v/>
      </c>
      <c r="BT356" s="940" t="s">
        <v>42</v>
      </c>
      <c r="BU356" s="13" t="s">
        <v>61</v>
      </c>
      <c r="BV356" s="518" t="str">
        <f>IF(AND(_A5="B-767-400ER",'2025'!$M$4="CA",'2025'!$M$2=BV347),'2025DATA'!$C$11,"")</f>
        <v/>
      </c>
      <c r="BW356" s="518" t="str">
        <f>IF(AND(_A5="B-767-400ER",'2025'!$M$4="CA",'2025'!$M$2=BW347),'2025DATA'!$D$11,"")</f>
        <v/>
      </c>
      <c r="BX356" s="518" t="str">
        <f>IF(AND(_A5="B-767-400ER",'2025'!$M$4="CA",'2025'!$M$2=BX347),'2025DATA'!$E$11,"")</f>
        <v/>
      </c>
      <c r="BY356" s="518" t="str">
        <f>IF(AND(_A5="B-767-400ER",'2025'!$M$4="CA",'2025'!$M$2=BY347),'2025DATA'!$F$11,"")</f>
        <v/>
      </c>
      <c r="BZ356" s="518" t="str">
        <f>IF(AND(_A5="B-767-400ER",'2025'!$M$4="CA",'2025'!$M$2=BZ347),'2025DATA'!$G$11,"")</f>
        <v/>
      </c>
      <c r="CA356" s="518" t="str">
        <f>IF(AND(_A5="B-767-400ER",'2025'!$M$4="CA",'2025'!$M$2=CA347),'2025DATA'!$H$11,"")</f>
        <v/>
      </c>
      <c r="CB356" s="518" t="str">
        <f>IF(AND(_A5="B-767-400ER",'2025'!$M$4="CA",'2025'!$M$2=CB347),'2025DATA'!$I$11,"")</f>
        <v/>
      </c>
      <c r="CC356" s="518" t="str">
        <f>IF(AND(_A5="B-767-400ER",'2025'!$M$4="CA",'2025'!$M$2=CC347),'2025DATA'!$J$11,"")</f>
        <v/>
      </c>
      <c r="CD356" s="518" t="str">
        <f>IF(AND(_A5="B-767-400ER",'2025'!$M$4="CA",'2025'!$M$2=CD347),'2025DATA'!$K$11,"")</f>
        <v/>
      </c>
      <c r="CE356" s="518" t="str">
        <f>IF(AND(_A5="B-767-400ER",'2025'!$M$4="CA",'2025'!$M$2=CE347),'2025DATA'!$L$11,"")</f>
        <v/>
      </c>
      <c r="CF356" s="518" t="str">
        <f>IF(AND(_A5="B-767-400ER",'2025'!$M$4="CA",'2025'!$M$2=CF347),'2025DATA'!$M$11,"")</f>
        <v/>
      </c>
      <c r="CG356" s="520" t="str">
        <f>IF(AND(_A5="B-767-400ER",'2025'!$M$4="CA",'2025'!$M$2=CG347),'2025DATA'!$N$11,"")</f>
        <v/>
      </c>
      <c r="CH356" s="940" t="s">
        <v>42</v>
      </c>
      <c r="CI356" s="13" t="s">
        <v>61</v>
      </c>
      <c r="CJ356" s="518" t="str">
        <f>IF(AND(_A6="B-767-400ER",'2025'!$M$4="CA",'2025'!$M$2=CJ347),'2025DATA'!$C$11,"")</f>
        <v/>
      </c>
      <c r="CK356" s="518" t="str">
        <f>IF(AND(_A6="B-767-400ER",'2025'!$M$4="CA",'2025'!$M$2=CK347),'2025DATA'!$D$11,"")</f>
        <v/>
      </c>
      <c r="CL356" s="518" t="str">
        <f>IF(AND(_A6="B-767-400ER",'2025'!$M$4="CA",'2025'!$M$2=CL347),'2025DATA'!$E$11,"")</f>
        <v/>
      </c>
      <c r="CM356" s="518" t="str">
        <f>IF(AND(_A6="B-767-400ER",'2025'!$M$4="CA",'2025'!$M$2=CM347),'2025DATA'!$F$11,"")</f>
        <v/>
      </c>
      <c r="CN356" s="518" t="str">
        <f>IF(AND(_A6="B-767-400ER",'2025'!$M$4="CA",'2025'!$M$2=CN347),'2025DATA'!$G$11,"")</f>
        <v/>
      </c>
      <c r="CO356" s="518" t="str">
        <f>IF(AND(_A6="B-767-400ER",'2025'!$M$4="CA",'2025'!$M$2=CO347),'2025DATA'!$H$11,"")</f>
        <v/>
      </c>
      <c r="CP356" s="518" t="str">
        <f>IF(AND(_A6="B-767-400ER",'2025'!$M$4="CA",'2025'!$M$2=CP347),'2025DATA'!$I$11,"")</f>
        <v/>
      </c>
      <c r="CQ356" s="518" t="str">
        <f>IF(AND(_A6="B-767-400ER",'2025'!$M$4="CA",'2025'!$M$2=CQ347),'2025DATA'!$J$11,"")</f>
        <v/>
      </c>
      <c r="CR356" s="518" t="str">
        <f>IF(AND(_A6="B-767-400ER",'2025'!$M$4="CA",'2025'!$M$2=CR347),'2025DATA'!$K$11,"")</f>
        <v/>
      </c>
      <c r="CS356" s="518" t="str">
        <f>IF(AND(_A6="B-767-400ER",'2025'!$M$4="CA",'2025'!$M$2=CS347),'2025DATA'!$L$11,"")</f>
        <v/>
      </c>
      <c r="CT356" s="518" t="str">
        <f>IF(AND(_A6="B-767-400ER",'2025'!$M$4="CA",'2025'!$M$2=CT347),'2025DATA'!$M$11,"")</f>
        <v/>
      </c>
      <c r="CU356" s="520" t="str">
        <f>IF(AND(_A6="B-767-400ER",'2025'!$M$4="CA",'2025'!$M$2=CU347),'2025DATA'!$N$11,"")</f>
        <v/>
      </c>
    </row>
    <row r="357" spans="16:99" x14ac:dyDescent="0.25">
      <c r="P357" s="940"/>
      <c r="Q357" s="13" t="s">
        <v>62</v>
      </c>
      <c r="R357" s="518" t="str">
        <f>IF(AND(_A1="B-767-400ER",'2025'!$M$4="FO",'2025'!$M$2=R347),'2025DATA'!$C$12,"")</f>
        <v/>
      </c>
      <c r="S357" s="518" t="str">
        <f>IF(AND(_A1="B-767-400ER",'2025'!$M$4="FO",'2025'!$M$2=S347),'2025DATA'!$D$12,"")</f>
        <v/>
      </c>
      <c r="T357" s="518" t="str">
        <f>IF(AND(_A1="B-767-400ER",'2025'!$M$4="FO",'2025'!$M$2=T347),'2025DATA'!$E$12,"")</f>
        <v/>
      </c>
      <c r="U357" s="518" t="str">
        <f>IF(AND(_A1="B-767-400ER",'2025'!$M$4="FO",'2025'!$M$2=U347),'2025DATA'!$F$12,"")</f>
        <v/>
      </c>
      <c r="V357" s="518" t="str">
        <f>IF(AND(_A1="B-767-400ER",'2025'!$M$4="FO",'2025'!$M$2=V347),'2025DATA'!$G$12,"")</f>
        <v/>
      </c>
      <c r="W357" s="518" t="str">
        <f>IF(AND(_A1="B-767-400ER",'2025'!$M$4="FO",'2025'!$M$2=W347),'2025DATA'!$H$12,"")</f>
        <v/>
      </c>
      <c r="X357" s="518" t="str">
        <f>IF(AND(_A1="B-767-400ER",'2025'!$M$4="FO",'2025'!$M$2=X347),'2025DATA'!$I$12,"")</f>
        <v/>
      </c>
      <c r="Y357" s="518" t="str">
        <f>IF(AND(_A1="B-767-400ER",'2025'!$M$4="FO",'2025'!$M$2=Y347),'2025DATA'!$J$12,"")</f>
        <v/>
      </c>
      <c r="Z357" s="518" t="str">
        <f>IF(AND(_A1="B-767-400ER",'2025'!$M$4="FO",'2025'!$M$2=Z347),'2025DATA'!$K$12,"")</f>
        <v/>
      </c>
      <c r="AA357" s="518" t="str">
        <f>IF(AND(_A1="B-767-400ER",'2025'!$M$4="FO",'2025'!$M$2=AA347),'2025DATA'!$L$12,"")</f>
        <v/>
      </c>
      <c r="AB357" s="518" t="str">
        <f>IF(AND(_A1="B-767-400ER",'2025'!$M$4="FO",'2025'!$M$2=AB347),'2025DATA'!$M$12,"")</f>
        <v/>
      </c>
      <c r="AC357" s="520" t="str">
        <f>IF(AND(_A1="B-767-400ER",'2025'!$M$4="FO",'2025'!$M$2=AC347),'2025DATA'!$N$12,"")</f>
        <v/>
      </c>
      <c r="AD357" s="940"/>
      <c r="AE357" s="13" t="s">
        <v>62</v>
      </c>
      <c r="AF357" s="518" t="str">
        <f>IF(AND(_A2="B-767-400ER",'2025'!$M$4="FO",'2025'!$M$2=AF347),'2025DATA'!$C$12,"")</f>
        <v/>
      </c>
      <c r="AG357" s="518" t="str">
        <f>IF(AND(_A2="B-767-400ER",'2025'!$M$4="FO",'2025'!$M$2=AG347),'2025DATA'!$D$12,"")</f>
        <v/>
      </c>
      <c r="AH357" s="518" t="str">
        <f>IF(AND(_A2="B-767-400ER",'2025'!$M$4="FO",'2025'!$M$2=AH347),'2025DATA'!$E$12,"")</f>
        <v/>
      </c>
      <c r="AI357" s="518" t="str">
        <f>IF(AND(_A2="B-767-400ER",'2025'!$M$4="FO",'2025'!$M$2=AI347),'2025DATA'!$F$12,"")</f>
        <v/>
      </c>
      <c r="AJ357" s="518" t="str">
        <f>IF(AND(_A2="B-767-400ER",'2025'!$M$4="FO",'2025'!$M$2=AJ347),'2025DATA'!$G$12,"")</f>
        <v/>
      </c>
      <c r="AK357" s="518" t="str">
        <f>IF(AND(_A2="B-767-400ER",'2025'!$M$4="FO",'2025'!$M$2=AK347),'2025DATA'!$H$12,"")</f>
        <v/>
      </c>
      <c r="AL357" s="518" t="str">
        <f>IF(AND(_A2="B-767-400ER",'2025'!$M$4="FO",'2025'!$M$2=AL347),'2025DATA'!$I$12,"")</f>
        <v/>
      </c>
      <c r="AM357" s="518" t="str">
        <f>IF(AND(_A2="B-767-400ER",'2025'!$M$4="FO",'2025'!$M$2=AM347),'2025DATA'!$J$12,"")</f>
        <v/>
      </c>
      <c r="AN357" s="518" t="str">
        <f>IF(AND(_A2="B-767-400ER",'2025'!$M$4="FO",'2025'!$M$2=AN347),'2025DATA'!$K$12,"")</f>
        <v/>
      </c>
      <c r="AO357" s="518" t="str">
        <f>IF(AND(_A2="B-767-400ER",'2025'!$M$4="FO",'2025'!$M$2=AO347),'2025DATA'!$L$12,"")</f>
        <v/>
      </c>
      <c r="AP357" s="518" t="str">
        <f>IF(AND(_A2="B-767-400ER",'2025'!$M$4="FO",'2025'!$M$2=AP347),'2025DATA'!$M$12,"")</f>
        <v/>
      </c>
      <c r="AQ357" s="520" t="str">
        <f>IF(AND(_A2="B-767-400ER",'2025'!$M$4="FO",'2025'!$M$2=AQ347),'2025DATA'!$N$12,"")</f>
        <v/>
      </c>
      <c r="AR357" s="940"/>
      <c r="AS357" s="13" t="s">
        <v>62</v>
      </c>
      <c r="AT357" s="518" t="str">
        <f>IF(AND(_A3="B-767-400ER",'2025'!$M$4="FO",'2025'!$M$2=AT347),'2025DATA'!$C$12,"")</f>
        <v/>
      </c>
      <c r="AU357" s="518" t="str">
        <f>IF(AND(_A3="B-767-400ER",'2025'!$M$4="FO",'2025'!$M$2=AU347),'2025DATA'!$D$12,"")</f>
        <v/>
      </c>
      <c r="AV357" s="518" t="str">
        <f>IF(AND(_A3="B-767-400ER",'2025'!$M$4="FO",'2025'!$M$2=AV347),'2025DATA'!$E$12,"")</f>
        <v/>
      </c>
      <c r="AW357" s="518" t="str">
        <f>IF(AND(_A3="B-767-400ER",'2025'!$M$4="FO",'2025'!$M$2=AW347),'2025DATA'!$F$12,"")</f>
        <v/>
      </c>
      <c r="AX357" s="518" t="str">
        <f>IF(AND(_A3="B-767-400ER",'2025'!$M$4="FO",'2025'!$M$2=AX347),'2025DATA'!$G$12,"")</f>
        <v/>
      </c>
      <c r="AY357" s="518" t="str">
        <f>IF(AND(_A3="B-767-400ER",'2025'!$M$4="FO",'2025'!$M$2=AY347),'2025DATA'!$H$12,"")</f>
        <v/>
      </c>
      <c r="AZ357" s="518" t="str">
        <f>IF(AND(_A3="B-767-400ER",'2025'!$M$4="FO",'2025'!$M$2=AZ347),'2025DATA'!$I$12,"")</f>
        <v/>
      </c>
      <c r="BA357" s="518" t="str">
        <f>IF(AND(_A3="B-767-400ER",'2025'!$M$4="FO",'2025'!$M$2=BA347),'2025DATA'!$J$12,"")</f>
        <v/>
      </c>
      <c r="BB357" s="518" t="str">
        <f>IF(AND(_A3="B-767-400ER",'2025'!$M$4="FO",'2025'!$M$2=BB347),'2025DATA'!$K$12,"")</f>
        <v/>
      </c>
      <c r="BC357" s="518" t="str">
        <f>IF(AND(_A3="B-767-400ER",'2025'!$M$4="FO",'2025'!$M$2=BC347),'2025DATA'!$L$12,"")</f>
        <v/>
      </c>
      <c r="BD357" s="518" t="str">
        <f>IF(AND(_A3="B-767-400ER",'2025'!$M$4="FO",'2025'!$M$2=BD347),'2025DATA'!$M$12,"")</f>
        <v/>
      </c>
      <c r="BE357" s="520" t="str">
        <f>IF(AND(_A3="B-767-400ER",'2025'!$M$4="FO",'2025'!$M$2=BE347),'2025DATA'!$N$12,"")</f>
        <v/>
      </c>
      <c r="BF357" s="940"/>
      <c r="BG357" s="13" t="s">
        <v>62</v>
      </c>
      <c r="BH357" s="518" t="str">
        <f>IF(AND(_A4="B-767-400ER",'2025'!$M$4="FO",'2025'!$M$2=BH347),'2025DATA'!$C$12,"")</f>
        <v/>
      </c>
      <c r="BI357" s="518" t="str">
        <f>IF(AND(_A4="B-767-400ER",'2025'!$M$4="FO",'2025'!$M$2=BI347),'2025DATA'!$D$12,"")</f>
        <v/>
      </c>
      <c r="BJ357" s="518" t="str">
        <f>IF(AND(_A4="B-767-400ER",'2025'!$M$4="FO",'2025'!$M$2=BJ347),'2025DATA'!$E$12,"")</f>
        <v/>
      </c>
      <c r="BK357" s="518" t="str">
        <f>IF(AND(_A4="B-767-400ER",'2025'!$M$4="FO",'2025'!$M$2=BK347),'2025DATA'!$F$12,"")</f>
        <v/>
      </c>
      <c r="BL357" s="518" t="str">
        <f>IF(AND(_A4="B-767-400ER",'2025'!$M$4="FO",'2025'!$M$2=BL347),'2025DATA'!$G$12,"")</f>
        <v/>
      </c>
      <c r="BM357" s="518" t="str">
        <f>IF(AND(_A4="B-767-400ER",'2025'!$M$4="FO",'2025'!$M$2=BM347),'2025DATA'!$H$12,"")</f>
        <v/>
      </c>
      <c r="BN357" s="518" t="str">
        <f>IF(AND(_A4="B-767-400ER",'2025'!$M$4="FO",'2025'!$M$2=BN347),'2025DATA'!$I$12,"")</f>
        <v/>
      </c>
      <c r="BO357" s="518" t="str">
        <f>IF(AND(_A4="B-767-400ER",'2025'!$M$4="FO",'2025'!$M$2=BO347),'2025DATA'!$J$12,"")</f>
        <v/>
      </c>
      <c r="BP357" s="518" t="str">
        <f>IF(AND(_A4="B-767-400ER",'2025'!$M$4="FO",'2025'!$M$2=BP347),'2025DATA'!$K$12,"")</f>
        <v/>
      </c>
      <c r="BQ357" s="518" t="str">
        <f>IF(AND(_A4="B-767-400ER",'2025'!$M$4="FO",'2025'!$M$2=BQ347),'2025DATA'!$L$12,"")</f>
        <v/>
      </c>
      <c r="BR357" s="518" t="str">
        <f>IF(AND(_A4="B-767-400ER",'2025'!$M$4="FO",'2025'!$M$2=BR347),'2025DATA'!$M$12,"")</f>
        <v/>
      </c>
      <c r="BS357" s="520" t="str">
        <f>IF(AND(_A4="B-767-400ER",'2025'!$M$4="FO",'2025'!$M$2=BS347),'2025DATA'!$N$12,"")</f>
        <v/>
      </c>
      <c r="BT357" s="940"/>
      <c r="BU357" s="13" t="s">
        <v>62</v>
      </c>
      <c r="BV357" s="518" t="str">
        <f>IF(AND(_A5="B-767-400ER",'2025'!$M$4="FO",'2025'!$M$2=BV347),'2025DATA'!$C$12,"")</f>
        <v/>
      </c>
      <c r="BW357" s="518" t="str">
        <f>IF(AND(_A5="B-767-400ER",'2025'!$M$4="FO",'2025'!$M$2=BW347),'2025DATA'!$D$12,"")</f>
        <v/>
      </c>
      <c r="BX357" s="518" t="str">
        <f>IF(AND(_A5="B-767-400ER",'2025'!$M$4="FO",'2025'!$M$2=BX347),'2025DATA'!$E$12,"")</f>
        <v/>
      </c>
      <c r="BY357" s="518" t="str">
        <f>IF(AND(_A5="B-767-400ER",'2025'!$M$4="FO",'2025'!$M$2=BY347),'2025DATA'!$F$12,"")</f>
        <v/>
      </c>
      <c r="BZ357" s="518" t="str">
        <f>IF(AND(_A5="B-767-400ER",'2025'!$M$4="FO",'2025'!$M$2=BZ347),'2025DATA'!$G$12,"")</f>
        <v/>
      </c>
      <c r="CA357" s="518" t="str">
        <f>IF(AND(_A5="B-767-400ER",'2025'!$M$4="FO",'2025'!$M$2=CA347),'2025DATA'!$H$12,"")</f>
        <v/>
      </c>
      <c r="CB357" s="518" t="str">
        <f>IF(AND(_A5="B-767-400ER",'2025'!$M$4="FO",'2025'!$M$2=CB347),'2025DATA'!$I$12,"")</f>
        <v/>
      </c>
      <c r="CC357" s="518" t="str">
        <f>IF(AND(_A5="B-767-400ER",'2025'!$M$4="FO",'2025'!$M$2=CC347),'2025DATA'!$J$12,"")</f>
        <v/>
      </c>
      <c r="CD357" s="518" t="str">
        <f>IF(AND(_A5="B-767-400ER",'2025'!$M$4="FO",'2025'!$M$2=CD347),'2025DATA'!$K$12,"")</f>
        <v/>
      </c>
      <c r="CE357" s="518" t="str">
        <f>IF(AND(_A5="B-767-400ER",'2025'!$M$4="FO",'2025'!$M$2=CE347),'2025DATA'!$L$12,"")</f>
        <v/>
      </c>
      <c r="CF357" s="518" t="str">
        <f>IF(AND(_A5="B-767-400ER",'2025'!$M$4="FO",'2025'!$M$2=CF347),'2025DATA'!$M$12,"")</f>
        <v/>
      </c>
      <c r="CG357" s="520" t="str">
        <f>IF(AND(_A5="B-767-400ER",'2025'!$M$4="FO",'2025'!$M$2=CG347),'2025DATA'!$N$12,"")</f>
        <v/>
      </c>
      <c r="CH357" s="940"/>
      <c r="CI357" s="13" t="s">
        <v>62</v>
      </c>
      <c r="CJ357" s="518" t="str">
        <f>IF(AND(_A6="B-767-400ER",'2025'!$M$4="FO",'2025'!$M$2=CJ347),'2025DATA'!$C$12,"")</f>
        <v/>
      </c>
      <c r="CK357" s="518" t="str">
        <f>IF(AND(_A6="B-767-400ER",'2025'!$M$4="FO",'2025'!$M$2=CK347),'2025DATA'!$D$12,"")</f>
        <v/>
      </c>
      <c r="CL357" s="518" t="str">
        <f>IF(AND(_A6="B-767-400ER",'2025'!$M$4="FO",'2025'!$M$2=CL347),'2025DATA'!$E$12,"")</f>
        <v/>
      </c>
      <c r="CM357" s="518" t="str">
        <f>IF(AND(_A6="B-767-400ER",'2025'!$M$4="FO",'2025'!$M$2=CM347),'2025DATA'!$F$12,"")</f>
        <v/>
      </c>
      <c r="CN357" s="518" t="str">
        <f>IF(AND(_A6="B-767-400ER",'2025'!$M$4="FO",'2025'!$M$2=CN347),'2025DATA'!$G$12,"")</f>
        <v/>
      </c>
      <c r="CO357" s="518" t="str">
        <f>IF(AND(_A6="B-767-400ER",'2025'!$M$4="FO",'2025'!$M$2=CO347),'2025DATA'!$H$12,"")</f>
        <v/>
      </c>
      <c r="CP357" s="518" t="str">
        <f>IF(AND(_A6="B-767-400ER",'2025'!$M$4="FO",'2025'!$M$2=CP347),'2025DATA'!$I$12,"")</f>
        <v/>
      </c>
      <c r="CQ357" s="518" t="str">
        <f>IF(AND(_A6="B-767-400ER",'2025'!$M$4="FO",'2025'!$M$2=CQ347),'2025DATA'!$J$12,"")</f>
        <v/>
      </c>
      <c r="CR357" s="518" t="str">
        <f>IF(AND(_A6="B-767-400ER",'2025'!$M$4="FO",'2025'!$M$2=CR347),'2025DATA'!$K$12,"")</f>
        <v/>
      </c>
      <c r="CS357" s="518" t="str">
        <f>IF(AND(_A6="B-767-400ER",'2025'!$M$4="FO",'2025'!$M$2=CS347),'2025DATA'!$L$12,"")</f>
        <v/>
      </c>
      <c r="CT357" s="518" t="str">
        <f>IF(AND(_A6="B-767-400ER",'2025'!$M$4="FO",'2025'!$M$2=CT347),'2025DATA'!$M$12,"")</f>
        <v/>
      </c>
      <c r="CU357" s="520" t="str">
        <f>IF(AND(_A6="B-767-400ER",'2025'!$M$4="FO",'2025'!$M$2=CU347),'2025DATA'!$N$12,"")</f>
        <v/>
      </c>
    </row>
    <row r="358" spans="16:99" x14ac:dyDescent="0.25">
      <c r="P358" s="940" t="s">
        <v>43</v>
      </c>
      <c r="Q358" s="13" t="s">
        <v>61</v>
      </c>
      <c r="R358" s="518" t="str">
        <f>IF(AND(_A1="B-767-300ER",'2025'!$M$4="CA",'2025'!$M$2=R347),'2025DATA'!$C$13,"")</f>
        <v/>
      </c>
      <c r="S358" s="518" t="str">
        <f>IF(AND(_A1="B-767-300ER",'2025'!$M$4="CA",'2025'!$M$2=S347),'2025DATA'!$D$13,"")</f>
        <v/>
      </c>
      <c r="T358" s="518" t="str">
        <f>IF(AND(_A1="B-767-300ER",'2025'!$M$4="CA",'2025'!$M$2=T347),'2025DATA'!$E$13,"")</f>
        <v/>
      </c>
      <c r="U358" s="518" t="str">
        <f>IF(AND(_A1="B-767-300ER",'2025'!$M$4="CA",'2025'!$M$2=U347),'2025DATA'!$F$13,"")</f>
        <v/>
      </c>
      <c r="V358" s="518" t="str">
        <f>IF(AND(_A1="B-767-300ER",'2025'!$M$4="CA",'2025'!$M$2=V347),'2025DATA'!$G$13,"")</f>
        <v/>
      </c>
      <c r="W358" s="518" t="str">
        <f>IF(AND(_A1="B-767-300ER",'2025'!$M$4="CA",'2025'!$M$2=W347),'2025DATA'!$H$13,"")</f>
        <v/>
      </c>
      <c r="X358" s="518" t="str">
        <f>IF(AND(_A1="B-767-300ER",'2025'!$M$4="CA",'2025'!$M$2=X347),'2025DATA'!$I$13,"")</f>
        <v/>
      </c>
      <c r="Y358" s="518" t="str">
        <f>IF(AND(_A1="B-767-300ER",'2025'!$M$4="CA",'2025'!$M$2=Y347),'2025DATA'!$J$13,"")</f>
        <v/>
      </c>
      <c r="Z358" s="518" t="str">
        <f>IF(AND(_A1="B-767-300ER",'2025'!$M$4="CA",'2025'!$M$2=Z347),'2025DATA'!$K$13,"")</f>
        <v/>
      </c>
      <c r="AA358" s="518" t="str">
        <f>IF(AND(_A1="B-767-300ER",'2025'!$M$4="CA",'2025'!$M$2=AA347),'2025DATA'!$L$13,"")</f>
        <v/>
      </c>
      <c r="AB358" s="518" t="str">
        <f>IF(AND(_A1="B-767-300ER",'2025'!$M$4="CA",'2025'!$M$2=AB347),'2025DATA'!$M$13,"")</f>
        <v/>
      </c>
      <c r="AC358" s="520" t="str">
        <f>IF(AND(_A1="B-767-300ER",'2025'!$M$4="CA",'2025'!$M$2=AC347),'2025DATA'!$N$13,"")</f>
        <v/>
      </c>
      <c r="AD358" s="940" t="s">
        <v>43</v>
      </c>
      <c r="AE358" s="13" t="s">
        <v>61</v>
      </c>
      <c r="AF358" s="518" t="str">
        <f>IF(AND(_A2="B-767-300ER",'2025'!$M$4="CA",'2025'!$M$2=AF347),'2025DATA'!$C$13,"")</f>
        <v/>
      </c>
      <c r="AG358" s="518" t="str">
        <f>IF(AND(_A2="B-767-300ER",'2025'!$M$4="CA",'2025'!$M$2=AG347),'2025DATA'!$D$13,"")</f>
        <v/>
      </c>
      <c r="AH358" s="518" t="str">
        <f>IF(AND(_A2="B-767-300ER",'2025'!$M$4="CA",'2025'!$M$2=AH347),'2025DATA'!$E$13,"")</f>
        <v/>
      </c>
      <c r="AI358" s="518" t="str">
        <f>IF(AND(_A2="B-767-300ER",'2025'!$M$4="CA",'2025'!$M$2=AI347),'2025DATA'!$F$13,"")</f>
        <v/>
      </c>
      <c r="AJ358" s="518" t="str">
        <f>IF(AND(_A2="B-767-300ER",'2025'!$M$4="CA",'2025'!$M$2=AJ347),'2025DATA'!$G$13,"")</f>
        <v/>
      </c>
      <c r="AK358" s="518" t="str">
        <f>IF(AND(_A2="B-767-300ER",'2025'!$M$4="CA",'2025'!$M$2=AK347),'2025DATA'!$H$13,"")</f>
        <v/>
      </c>
      <c r="AL358" s="518" t="str">
        <f>IF(AND(_A2="B-767-300ER",'2025'!$M$4="CA",'2025'!$M$2=AL347),'2025DATA'!$I$13,"")</f>
        <v/>
      </c>
      <c r="AM358" s="518" t="str">
        <f>IF(AND(_A2="B-767-300ER",'2025'!$M$4="CA",'2025'!$M$2=AM347),'2025DATA'!$J$13,"")</f>
        <v/>
      </c>
      <c r="AN358" s="518" t="str">
        <f>IF(AND(_A2="B-767-300ER",'2025'!$M$4="CA",'2025'!$M$2=AN347),'2025DATA'!$K$13,"")</f>
        <v/>
      </c>
      <c r="AO358" s="518" t="str">
        <f>IF(AND(_A2="B-767-300ER",'2025'!$M$4="CA",'2025'!$M$2=AO347),'2025DATA'!$L$13,"")</f>
        <v/>
      </c>
      <c r="AP358" s="518" t="str">
        <f>IF(AND(_A2="B-767-300ER",'2025'!$M$4="CA",'2025'!$M$2=AP347),'2025DATA'!$M$13,"")</f>
        <v/>
      </c>
      <c r="AQ358" s="520" t="str">
        <f>IF(AND(_A2="B-767-300ER",'2025'!$M$4="CA",'2025'!$M$2=AQ347),'2025DATA'!$N$13,"")</f>
        <v/>
      </c>
      <c r="AR358" s="940" t="s">
        <v>43</v>
      </c>
      <c r="AS358" s="13" t="s">
        <v>61</v>
      </c>
      <c r="AT358" s="518" t="str">
        <f>IF(AND(_A3="B-767-300ER",'2025'!$M$4="CA",'2025'!$M$2=AT347),'2025DATA'!$C$13,"")</f>
        <v/>
      </c>
      <c r="AU358" s="518" t="str">
        <f>IF(AND(_A3="B-767-300ER",'2025'!$M$4="CA",'2025'!$M$2=AU347),'2025DATA'!$D$13,"")</f>
        <v/>
      </c>
      <c r="AV358" s="518" t="str">
        <f>IF(AND(_A3="B-767-300ER",'2025'!$M$4="CA",'2025'!$M$2=AV347),'2025DATA'!$E$13,"")</f>
        <v/>
      </c>
      <c r="AW358" s="518" t="str">
        <f>IF(AND(_A3="B-767-300ER",'2025'!$M$4="CA",'2025'!$M$2=AW347),'2025DATA'!$F$13,"")</f>
        <v/>
      </c>
      <c r="AX358" s="518" t="str">
        <f>IF(AND(_A3="B-767-300ER",'2025'!$M$4="CA",'2025'!$M$2=AX347),'2025DATA'!$G$13,"")</f>
        <v/>
      </c>
      <c r="AY358" s="518" t="str">
        <f>IF(AND(_A3="B-767-300ER",'2025'!$M$4="CA",'2025'!$M$2=AY347),'2025DATA'!$H$13,"")</f>
        <v/>
      </c>
      <c r="AZ358" s="518" t="str">
        <f>IF(AND(_A3="B-767-300ER",'2025'!$M$4="CA",'2025'!$M$2=AZ347),'2025DATA'!$I$13,"")</f>
        <v/>
      </c>
      <c r="BA358" s="518" t="str">
        <f>IF(AND(_A3="B-767-300ER",'2025'!$M$4="CA",'2025'!$M$2=BA347),'2025DATA'!$J$13,"")</f>
        <v/>
      </c>
      <c r="BB358" s="518" t="str">
        <f>IF(AND(_A3="B-767-300ER",'2025'!$M$4="CA",'2025'!$M$2=BB347),'2025DATA'!$K$13,"")</f>
        <v/>
      </c>
      <c r="BC358" s="518" t="str">
        <f>IF(AND(_A3="B-767-300ER",'2025'!$M$4="CA",'2025'!$M$2=BC347),'2025DATA'!$L$13,"")</f>
        <v/>
      </c>
      <c r="BD358" s="518" t="str">
        <f>IF(AND(_A3="B-767-300ER",'2025'!$M$4="CA",'2025'!$M$2=BD347),'2025DATA'!$M$13,"")</f>
        <v/>
      </c>
      <c r="BE358" s="520" t="str">
        <f>IF(AND(_A3="B-767-300ER",'2025'!$M$4="CA",'2025'!$M$2=BE347),'2025DATA'!$N$13,"")</f>
        <v/>
      </c>
      <c r="BF358" s="940" t="s">
        <v>43</v>
      </c>
      <c r="BG358" s="13" t="s">
        <v>61</v>
      </c>
      <c r="BH358" s="518" t="str">
        <f>IF(AND(_A4="B-767-300ER",'2025'!$M$4="CA",'2025'!$M$2=BH347),'2025DATA'!$C$13,"")</f>
        <v/>
      </c>
      <c r="BI358" s="518" t="str">
        <f>IF(AND(_A4="B-767-300ER",'2025'!$M$4="CA",'2025'!$M$2=BI347),'2025DATA'!$D$13,"")</f>
        <v/>
      </c>
      <c r="BJ358" s="518" t="str">
        <f>IF(AND(_A4="B-767-300ER",'2025'!$M$4="CA",'2025'!$M$2=BJ347),'2025DATA'!$E$13,"")</f>
        <v/>
      </c>
      <c r="BK358" s="518" t="str">
        <f>IF(AND(_A4="B-767-300ER",'2025'!$M$4="CA",'2025'!$M$2=BK347),'2025DATA'!$F$13,"")</f>
        <v/>
      </c>
      <c r="BL358" s="518" t="str">
        <f>IF(AND(_A4="B-767-300ER",'2025'!$M$4="CA",'2025'!$M$2=BL347),'2025DATA'!$G$13,"")</f>
        <v/>
      </c>
      <c r="BM358" s="518" t="str">
        <f>IF(AND(_A4="B-767-300ER",'2025'!$M$4="CA",'2025'!$M$2=BM347),'2025DATA'!$H$13,"")</f>
        <v/>
      </c>
      <c r="BN358" s="518" t="str">
        <f>IF(AND(_A4="B-767-300ER",'2025'!$M$4="CA",'2025'!$M$2=BN347),'2025DATA'!$I$13,"")</f>
        <v/>
      </c>
      <c r="BO358" s="518" t="str">
        <f>IF(AND(_A4="B-767-300ER",'2025'!$M$4="CA",'2025'!$M$2=BO347),'2025DATA'!$J$13,"")</f>
        <v/>
      </c>
      <c r="BP358" s="518" t="str">
        <f>IF(AND(_A4="B-767-300ER",'2025'!$M$4="CA",'2025'!$M$2=BP347),'2025DATA'!$K$13,"")</f>
        <v/>
      </c>
      <c r="BQ358" s="518" t="str">
        <f>IF(AND(_A4="B-767-300ER",'2025'!$M$4="CA",'2025'!$M$2=BQ347),'2025DATA'!$L$13,"")</f>
        <v/>
      </c>
      <c r="BR358" s="518" t="str">
        <f>IF(AND(_A4="B-767-300ER",'2025'!$M$4="CA",'2025'!$M$2=BR347),'2025DATA'!$M$13,"")</f>
        <v/>
      </c>
      <c r="BS358" s="520" t="str">
        <f>IF(AND(_A4="B-767-300ER",'2025'!$M$4="CA",'2025'!$M$2=BS347),'2025DATA'!$N$13,"")</f>
        <v/>
      </c>
      <c r="BT358" s="940" t="s">
        <v>43</v>
      </c>
      <c r="BU358" s="13" t="s">
        <v>61</v>
      </c>
      <c r="BV358" s="518" t="str">
        <f>IF(AND(_A5="B-767-300ER",'2025'!$M$4="CA",'2025'!$M$2=BV347),'2025DATA'!$C$13,"")</f>
        <v/>
      </c>
      <c r="BW358" s="518" t="str">
        <f>IF(AND(_A5="B-767-300ER",'2025'!$M$4="CA",'2025'!$M$2=BW347),'2025DATA'!$D$13,"")</f>
        <v/>
      </c>
      <c r="BX358" s="518" t="str">
        <f>IF(AND(_A5="B-767-300ER",'2025'!$M$4="CA",'2025'!$M$2=BX347),'2025DATA'!$E$13,"")</f>
        <v/>
      </c>
      <c r="BY358" s="518" t="str">
        <f>IF(AND(_A5="B-767-300ER",'2025'!$M$4="CA",'2025'!$M$2=BY347),'2025DATA'!$F$13,"")</f>
        <v/>
      </c>
      <c r="BZ358" s="518" t="str">
        <f>IF(AND(_A5="B-767-300ER",'2025'!$M$4="CA",'2025'!$M$2=BZ347),'2025DATA'!$G$13,"")</f>
        <v/>
      </c>
      <c r="CA358" s="518" t="str">
        <f>IF(AND(_A5="B-767-300ER",'2025'!$M$4="CA",'2025'!$M$2=CA347),'2025DATA'!$H$13,"")</f>
        <v/>
      </c>
      <c r="CB358" s="518" t="str">
        <f>IF(AND(_A5="B-767-300ER",'2025'!$M$4="CA",'2025'!$M$2=CB347),'2025DATA'!$I$13,"")</f>
        <v/>
      </c>
      <c r="CC358" s="518" t="str">
        <f>IF(AND(_A5="B-767-300ER",'2025'!$M$4="CA",'2025'!$M$2=CC347),'2025DATA'!$J$13,"")</f>
        <v/>
      </c>
      <c r="CD358" s="518" t="str">
        <f>IF(AND(_A5="B-767-300ER",'2025'!$M$4="CA",'2025'!$M$2=CD347),'2025DATA'!$K$13,"")</f>
        <v/>
      </c>
      <c r="CE358" s="518" t="str">
        <f>IF(AND(_A5="B-767-300ER",'2025'!$M$4="CA",'2025'!$M$2=CE347),'2025DATA'!$L$13,"")</f>
        <v/>
      </c>
      <c r="CF358" s="518" t="str">
        <f>IF(AND(_A5="B-767-300ER",'2025'!$M$4="CA",'2025'!$M$2=CF347),'2025DATA'!$M$13,"")</f>
        <v/>
      </c>
      <c r="CG358" s="520" t="str">
        <f>IF(AND(_A5="B-767-300ER",'2025'!$M$4="CA",'2025'!$M$2=CG347),'2025DATA'!$N$13,"")</f>
        <v/>
      </c>
      <c r="CH358" s="940" t="s">
        <v>43</v>
      </c>
      <c r="CI358" s="13" t="s">
        <v>61</v>
      </c>
      <c r="CJ358" s="518" t="str">
        <f>IF(AND(_A6="B-767-300ER",'2025'!$M$4="CA",'2025'!$M$2=CJ347),'2025DATA'!$C$13,"")</f>
        <v/>
      </c>
      <c r="CK358" s="518" t="str">
        <f>IF(AND(_A6="B-767-300ER",'2025'!$M$4="CA",'2025'!$M$2=CK347),'2025DATA'!$D$13,"")</f>
        <v/>
      </c>
      <c r="CL358" s="518" t="str">
        <f>IF(AND(_A6="B-767-300ER",'2025'!$M$4="CA",'2025'!$M$2=CL347),'2025DATA'!$E$13,"")</f>
        <v/>
      </c>
      <c r="CM358" s="518" t="str">
        <f>IF(AND(_A6="B-767-300ER",'2025'!$M$4="CA",'2025'!$M$2=CM347),'2025DATA'!$F$13,"")</f>
        <v/>
      </c>
      <c r="CN358" s="518" t="str">
        <f>IF(AND(_A6="B-767-300ER",'2025'!$M$4="CA",'2025'!$M$2=CN347),'2025DATA'!$G$13,"")</f>
        <v/>
      </c>
      <c r="CO358" s="518" t="str">
        <f>IF(AND(_A6="B-767-300ER",'2025'!$M$4="CA",'2025'!$M$2=CO347),'2025DATA'!$H$13,"")</f>
        <v/>
      </c>
      <c r="CP358" s="518" t="str">
        <f>IF(AND(_A6="B-767-300ER",'2025'!$M$4="CA",'2025'!$M$2=CP347),'2025DATA'!$I$13,"")</f>
        <v/>
      </c>
      <c r="CQ358" s="518" t="str">
        <f>IF(AND(_A6="B-767-300ER",'2025'!$M$4="CA",'2025'!$M$2=CQ347),'2025DATA'!$J$13,"")</f>
        <v/>
      </c>
      <c r="CR358" s="518" t="str">
        <f>IF(AND(_A6="B-767-300ER",'2025'!$M$4="CA",'2025'!$M$2=CR347),'2025DATA'!$K$13,"")</f>
        <v/>
      </c>
      <c r="CS358" s="518" t="str">
        <f>IF(AND(_A6="B-767-300ER",'2025'!$M$4="CA",'2025'!$M$2=CS347),'2025DATA'!$L$13,"")</f>
        <v/>
      </c>
      <c r="CT358" s="518" t="str">
        <f>IF(AND(_A6="B-767-300ER",'2025'!$M$4="CA",'2025'!$M$2=CT347),'2025DATA'!$M$13,"")</f>
        <v/>
      </c>
      <c r="CU358" s="520" t="str">
        <f>IF(AND(_A6="B-767-300ER",'2025'!$M$4="CA",'2025'!$M$2=CU347),'2025DATA'!$N$13,"")</f>
        <v/>
      </c>
    </row>
    <row r="359" spans="16:99" x14ac:dyDescent="0.25">
      <c r="P359" s="940"/>
      <c r="Q359" s="13" t="s">
        <v>62</v>
      </c>
      <c r="R359" s="518" t="str">
        <f>IF(AND(_A1="B-767-300ER",'2025'!$M$4="FO",'2025'!$M$2=R347),'2025DATA'!$C$14,"")</f>
        <v/>
      </c>
      <c r="S359" s="518" t="str">
        <f>IF(AND(_A1="B-767-300ER",'2025'!$M$4="FO",'2025'!$M$2=S347),'2025DATA'!$D$14,"")</f>
        <v/>
      </c>
      <c r="T359" s="518" t="str">
        <f>IF(AND(_A1="B-767-300ER",'2025'!$M$4="FO",'2025'!$M$2=T347),'2025DATA'!$E$14,"")</f>
        <v/>
      </c>
      <c r="U359" s="518" t="str">
        <f>IF(AND(_A1="B-767-300ER",'2025'!$M$4="FO",'2025'!$M$2=U347),'2025DATA'!$F$14,"")</f>
        <v/>
      </c>
      <c r="V359" s="518" t="str">
        <f>IF(AND(_A1="B-767-300ER",'2025'!$M$4="FO",'2025'!$M$2=V347),'2025DATA'!$G$14,"")</f>
        <v/>
      </c>
      <c r="W359" s="518" t="str">
        <f>IF(AND(_A1="B-767-300ER",'2025'!$M$4="FO",'2025'!$M$2=W347),'2025DATA'!$H$14,"")</f>
        <v/>
      </c>
      <c r="X359" s="518" t="str">
        <f>IF(AND(_A1="B-767-300ER",'2025'!$M$4="FO",'2025'!$M$2=X347),'2025DATA'!$I$14,"")</f>
        <v/>
      </c>
      <c r="Y359" s="518" t="str">
        <f>IF(AND(_A1="B-767-300ER",'2025'!$M$4="FO",'2025'!$M$2=Y347),'2025DATA'!$J$14,"")</f>
        <v/>
      </c>
      <c r="Z359" s="518" t="str">
        <f>IF(AND(_A1="B-767-300ER",'2025'!$M$4="FO",'2025'!$M$2=Z347),'2025DATA'!$K$14,"")</f>
        <v/>
      </c>
      <c r="AA359" s="518" t="str">
        <f>IF(AND(_A1="B-767-300ER",'2025'!$M$4="FO",'2025'!$M$2=AA347),'2025DATA'!$L$14,"")</f>
        <v/>
      </c>
      <c r="AB359" s="518" t="str">
        <f>IF(AND(_A1="B-767-300ER",'2025'!$M$4="FO",'2025'!$M$2=AB347),'2025DATA'!$M$14,"")</f>
        <v/>
      </c>
      <c r="AC359" s="520" t="str">
        <f>IF(AND(_A1="B-767-300ER",'2025'!$M$4="FO",'2025'!$M$2=AC347),'2025DATA'!$N$14,"")</f>
        <v/>
      </c>
      <c r="AD359" s="940"/>
      <c r="AE359" s="13" t="s">
        <v>62</v>
      </c>
      <c r="AF359" s="518" t="str">
        <f>IF(AND(_A2="B-767-300ER",'2025'!$M$4="FO",'2025'!$M$2=AF347),'2025DATA'!$C$14,"")</f>
        <v/>
      </c>
      <c r="AG359" s="518" t="str">
        <f>IF(AND(_A2="B-767-300ER",'2025'!$M$4="FO",'2025'!$M$2=AG347),'2025DATA'!$D$14,"")</f>
        <v/>
      </c>
      <c r="AH359" s="518" t="str">
        <f>IF(AND(_A2="B-767-300ER",'2025'!$M$4="FO",'2025'!$M$2=AH347),'2025DATA'!$E$14,"")</f>
        <v/>
      </c>
      <c r="AI359" s="518" t="str">
        <f>IF(AND(_A2="B-767-300ER",'2025'!$M$4="FO",'2025'!$M$2=AI347),'2025DATA'!$F$14,"")</f>
        <v/>
      </c>
      <c r="AJ359" s="518" t="str">
        <f>IF(AND(_A2="B-767-300ER",'2025'!$M$4="FO",'2025'!$M$2=AJ347),'2025DATA'!$G$14,"")</f>
        <v/>
      </c>
      <c r="AK359" s="518" t="str">
        <f>IF(AND(_A2="B-767-300ER",'2025'!$M$4="FO",'2025'!$M$2=AK347),'2025DATA'!$H$14,"")</f>
        <v/>
      </c>
      <c r="AL359" s="518" t="str">
        <f>IF(AND(_A2="B-767-300ER",'2025'!$M$4="FO",'2025'!$M$2=AL347),'2025DATA'!$I$14,"")</f>
        <v/>
      </c>
      <c r="AM359" s="518" t="str">
        <f>IF(AND(_A2="B-767-300ER",'2025'!$M$4="FO",'2025'!$M$2=AM347),'2025DATA'!$J$14,"")</f>
        <v/>
      </c>
      <c r="AN359" s="518" t="str">
        <f>IF(AND(_A2="B-767-300ER",'2025'!$M$4="FO",'2025'!$M$2=AN347),'2025DATA'!$K$14,"")</f>
        <v/>
      </c>
      <c r="AO359" s="518" t="str">
        <f>IF(AND(_A2="B-767-300ER",'2025'!$M$4="FO",'2025'!$M$2=AO347),'2025DATA'!$L$14,"")</f>
        <v/>
      </c>
      <c r="AP359" s="518" t="str">
        <f>IF(AND(_A2="B-767-300ER",'2025'!$M$4="FO",'2025'!$M$2=AP347),'2025DATA'!$M$14,"")</f>
        <v/>
      </c>
      <c r="AQ359" s="520" t="str">
        <f>IF(AND(_A2="B-767-300ER",'2025'!$M$4="FO",'2025'!$M$2=AQ347),'2025DATA'!$N$14,"")</f>
        <v/>
      </c>
      <c r="AR359" s="940"/>
      <c r="AS359" s="13" t="s">
        <v>62</v>
      </c>
      <c r="AT359" s="518" t="str">
        <f>IF(AND(_A3="B-767-300ER",'2025'!$M$4="FO",'2025'!$M$2=AT347),'2025DATA'!$C$14,"")</f>
        <v/>
      </c>
      <c r="AU359" s="518" t="str">
        <f>IF(AND(_A3="B-767-300ER",'2025'!$M$4="FO",'2025'!$M$2=AU347),'2025DATA'!$D$14,"")</f>
        <v/>
      </c>
      <c r="AV359" s="518" t="str">
        <f>IF(AND(_A3="B-767-300ER",'2025'!$M$4="FO",'2025'!$M$2=AV347),'2025DATA'!$E$14,"")</f>
        <v/>
      </c>
      <c r="AW359" s="518" t="str">
        <f>IF(AND(_A3="B-767-300ER",'2025'!$M$4="FO",'2025'!$M$2=AW347),'2025DATA'!$F$14,"")</f>
        <v/>
      </c>
      <c r="AX359" s="518" t="str">
        <f>IF(AND(_A3="B-767-300ER",'2025'!$M$4="FO",'2025'!$M$2=AX347),'2025DATA'!$G$14,"")</f>
        <v/>
      </c>
      <c r="AY359" s="518" t="str">
        <f>IF(AND(_A3="B-767-300ER",'2025'!$M$4="FO",'2025'!$M$2=AY347),'2025DATA'!$H$14,"")</f>
        <v/>
      </c>
      <c r="AZ359" s="518" t="str">
        <f>IF(AND(_A3="B-767-300ER",'2025'!$M$4="FO",'2025'!$M$2=AZ347),'2025DATA'!$I$14,"")</f>
        <v/>
      </c>
      <c r="BA359" s="518" t="str">
        <f>IF(AND(_A3="B-767-300ER",'2025'!$M$4="FO",'2025'!$M$2=BA347),'2025DATA'!$J$14,"")</f>
        <v/>
      </c>
      <c r="BB359" s="518" t="str">
        <f>IF(AND(_A3="B-767-300ER",'2025'!$M$4="FO",'2025'!$M$2=BB347),'2025DATA'!$K$14,"")</f>
        <v/>
      </c>
      <c r="BC359" s="518" t="str">
        <f>IF(AND(_A3="B-767-300ER",'2025'!$M$4="FO",'2025'!$M$2=BC347),'2025DATA'!$L$14,"")</f>
        <v/>
      </c>
      <c r="BD359" s="518" t="str">
        <f>IF(AND(_A3="B-767-300ER",'2025'!$M$4="FO",'2025'!$M$2=BD347),'2025DATA'!$M$14,"")</f>
        <v/>
      </c>
      <c r="BE359" s="520" t="str">
        <f>IF(AND(_A3="B-767-300ER",'2025'!$M$4="FO",'2025'!$M$2=BE347),'2025DATA'!$N$14,"")</f>
        <v/>
      </c>
      <c r="BF359" s="940"/>
      <c r="BG359" s="13" t="s">
        <v>62</v>
      </c>
      <c r="BH359" s="518" t="str">
        <f>IF(AND(_A4="B-767-300ER",'2025'!$M$4="FO",'2025'!$M$2=BH347),'2025DATA'!$C$14,"")</f>
        <v/>
      </c>
      <c r="BI359" s="518" t="str">
        <f>IF(AND(_A4="B-767-300ER",'2025'!$M$4="FO",'2025'!$M$2=BI347),'2025DATA'!$D$14,"")</f>
        <v/>
      </c>
      <c r="BJ359" s="518" t="str">
        <f>IF(AND(_A4="B-767-300ER",'2025'!$M$4="FO",'2025'!$M$2=BJ347),'2025DATA'!$E$14,"")</f>
        <v/>
      </c>
      <c r="BK359" s="518" t="str">
        <f>IF(AND(_A4="B-767-300ER",'2025'!$M$4="FO",'2025'!$M$2=BK347),'2025DATA'!$F$14,"")</f>
        <v/>
      </c>
      <c r="BL359" s="518" t="str">
        <f>IF(AND(_A4="B-767-300ER",'2025'!$M$4="FO",'2025'!$M$2=BL347),'2025DATA'!$G$14,"")</f>
        <v/>
      </c>
      <c r="BM359" s="518" t="str">
        <f>IF(AND(_A4="B-767-300ER",'2025'!$M$4="FO",'2025'!$M$2=BM347),'2025DATA'!$H$14,"")</f>
        <v/>
      </c>
      <c r="BN359" s="518" t="str">
        <f>IF(AND(_A4="B-767-300ER",'2025'!$M$4="FO",'2025'!$M$2=BN347),'2025DATA'!$I$14,"")</f>
        <v/>
      </c>
      <c r="BO359" s="518" t="str">
        <f>IF(AND(_A4="B-767-300ER",'2025'!$M$4="FO",'2025'!$M$2=BO347),'2025DATA'!$J$14,"")</f>
        <v/>
      </c>
      <c r="BP359" s="518" t="str">
        <f>IF(AND(_A4="B-767-300ER",'2025'!$M$4="FO",'2025'!$M$2=BP347),'2025DATA'!$K$14,"")</f>
        <v/>
      </c>
      <c r="BQ359" s="518" t="str">
        <f>IF(AND(_A4="B-767-300ER",'2025'!$M$4="FO",'2025'!$M$2=BQ347),'2025DATA'!$L$14,"")</f>
        <v/>
      </c>
      <c r="BR359" s="518" t="str">
        <f>IF(AND(_A4="B-767-300ER",'2025'!$M$4="FO",'2025'!$M$2=BR347),'2025DATA'!$M$14,"")</f>
        <v/>
      </c>
      <c r="BS359" s="520" t="str">
        <f>IF(AND(_A4="B-767-300ER",'2025'!$M$4="FO",'2025'!$M$2=BS347),'2025DATA'!$N$14,"")</f>
        <v/>
      </c>
      <c r="BT359" s="940"/>
      <c r="BU359" s="13" t="s">
        <v>62</v>
      </c>
      <c r="BV359" s="518" t="str">
        <f>IF(AND(_A5="B-767-300ER",'2025'!$M$4="FO",'2025'!$M$2=BV347),'2025DATA'!$C$14,"")</f>
        <v/>
      </c>
      <c r="BW359" s="518" t="str">
        <f>IF(AND(_A5="B-767-300ER",'2025'!$M$4="FO",'2025'!$M$2=BW347),'2025DATA'!$D$14,"")</f>
        <v/>
      </c>
      <c r="BX359" s="518" t="str">
        <f>IF(AND(_A5="B-767-300ER",'2025'!$M$4="FO",'2025'!$M$2=BX347),'2025DATA'!$E$14,"")</f>
        <v/>
      </c>
      <c r="BY359" s="518" t="str">
        <f>IF(AND(_A5="B-767-300ER",'2025'!$M$4="FO",'2025'!$M$2=BY347),'2025DATA'!$F$14,"")</f>
        <v/>
      </c>
      <c r="BZ359" s="518" t="str">
        <f>IF(AND(_A5="B-767-300ER",'2025'!$M$4="FO",'2025'!$M$2=BZ347),'2025DATA'!$G$14,"")</f>
        <v/>
      </c>
      <c r="CA359" s="518" t="str">
        <f>IF(AND(_A5="B-767-300ER",'2025'!$M$4="FO",'2025'!$M$2=CA347),'2025DATA'!$H$14,"")</f>
        <v/>
      </c>
      <c r="CB359" s="518" t="str">
        <f>IF(AND(_A5="B-767-300ER",'2025'!$M$4="FO",'2025'!$M$2=CB347),'2025DATA'!$I$14,"")</f>
        <v/>
      </c>
      <c r="CC359" s="518" t="str">
        <f>IF(AND(_A5="B-767-300ER",'2025'!$M$4="FO",'2025'!$M$2=CC347),'2025DATA'!$J$14,"")</f>
        <v/>
      </c>
      <c r="CD359" s="518" t="str">
        <f>IF(AND(_A5="B-767-300ER",'2025'!$M$4="FO",'2025'!$M$2=CD347),'2025DATA'!$K$14,"")</f>
        <v/>
      </c>
      <c r="CE359" s="518" t="str">
        <f>IF(AND(_A5="B-767-300ER",'2025'!$M$4="FO",'2025'!$M$2=CE347),'2025DATA'!$L$14,"")</f>
        <v/>
      </c>
      <c r="CF359" s="518" t="str">
        <f>IF(AND(_A5="B-767-300ER",'2025'!$M$4="FO",'2025'!$M$2=CF347),'2025DATA'!$M$14,"")</f>
        <v/>
      </c>
      <c r="CG359" s="520" t="str">
        <f>IF(AND(_A5="B-767-300ER",'2025'!$M$4="FO",'2025'!$M$2=CG347),'2025DATA'!$N$14,"")</f>
        <v/>
      </c>
      <c r="CH359" s="940"/>
      <c r="CI359" s="13" t="s">
        <v>62</v>
      </c>
      <c r="CJ359" s="518" t="str">
        <f>IF(AND(_A6="B-767-300ER",'2025'!$M$4="FO",'2025'!$M$2=CJ347),'2025DATA'!$C$14,"")</f>
        <v/>
      </c>
      <c r="CK359" s="518" t="str">
        <f>IF(AND(_A6="B-767-300ER",'2025'!$M$4="FO",'2025'!$M$2=CK347),'2025DATA'!$D$14,"")</f>
        <v/>
      </c>
      <c r="CL359" s="518" t="str">
        <f>IF(AND(_A6="B-767-300ER",'2025'!$M$4="FO",'2025'!$M$2=CL347),'2025DATA'!$E$14,"")</f>
        <v/>
      </c>
      <c r="CM359" s="518" t="str">
        <f>IF(AND(_A6="B-767-300ER",'2025'!$M$4="FO",'2025'!$M$2=CM347),'2025DATA'!$F$14,"")</f>
        <v/>
      </c>
      <c r="CN359" s="518" t="str">
        <f>IF(AND(_A6="B-767-300ER",'2025'!$M$4="FO",'2025'!$M$2=CN347),'2025DATA'!$G$14,"")</f>
        <v/>
      </c>
      <c r="CO359" s="518" t="str">
        <f>IF(AND(_A6="B-767-300ER",'2025'!$M$4="FO",'2025'!$M$2=CO347),'2025DATA'!$H$14,"")</f>
        <v/>
      </c>
      <c r="CP359" s="518" t="str">
        <f>IF(AND(_A6="B-767-300ER",'2025'!$M$4="FO",'2025'!$M$2=CP347),'2025DATA'!$I$14,"")</f>
        <v/>
      </c>
      <c r="CQ359" s="518" t="str">
        <f>IF(AND(_A6="B-767-300ER",'2025'!$M$4="FO",'2025'!$M$2=CQ347),'2025DATA'!$J$14,"")</f>
        <v/>
      </c>
      <c r="CR359" s="518" t="str">
        <f>IF(AND(_A6="B-767-300ER",'2025'!$M$4="FO",'2025'!$M$2=CR347),'2025DATA'!$K$14,"")</f>
        <v/>
      </c>
      <c r="CS359" s="518" t="str">
        <f>IF(AND(_A6="B-767-300ER",'2025'!$M$4="FO",'2025'!$M$2=CS347),'2025DATA'!$L$14,"")</f>
        <v/>
      </c>
      <c r="CT359" s="518" t="str">
        <f>IF(AND(_A6="B-767-300ER",'2025'!$M$4="FO",'2025'!$M$2=CT347),'2025DATA'!$M$14,"")</f>
        <v/>
      </c>
      <c r="CU359" s="520" t="str">
        <f>IF(AND(_A6="B-767-300ER",'2025'!$M$4="FO",'2025'!$M$2=CU347),'2025DATA'!$N$14,"")</f>
        <v/>
      </c>
    </row>
    <row r="360" spans="16:99" x14ac:dyDescent="0.25">
      <c r="P360" s="940" t="s">
        <v>67</v>
      </c>
      <c r="Q360" s="13" t="s">
        <v>61</v>
      </c>
      <c r="R360" s="518" t="str">
        <f>IF(AND(_A1="B-767-300",'2025'!$M$4="CA",'2025'!$M$2=R347),'2025DATA'!$C$15,"")</f>
        <v/>
      </c>
      <c r="S360" s="518" t="str">
        <f>IF(AND(_A1="B-767-300",'2025'!$M$4="CA",'2025'!$M$2=S347),'2025DATA'!$D$15,"")</f>
        <v/>
      </c>
      <c r="T360" s="518" t="str">
        <f>IF(AND(_A1="B-767-300",'2025'!$M$4="CA",'2025'!$M$2=T347),'2025DATA'!$E$15,"")</f>
        <v/>
      </c>
      <c r="U360" s="518" t="str">
        <f>IF(AND(_A1="B-767-300",'2025'!$M$4="CA",'2025'!$M$2=U347),'2025DATA'!$F$15,"")</f>
        <v/>
      </c>
      <c r="V360" s="518" t="str">
        <f>IF(AND(_A1="B-767-300",'2025'!$M$4="CA",'2025'!$M$2=V347),'2025DATA'!$G$15,"")</f>
        <v/>
      </c>
      <c r="W360" s="518" t="str">
        <f>IF(AND(_A1="B-767-300",'2025'!$M$4="CA",'2025'!$M$2=W347),'2025DATA'!$H$15,"")</f>
        <v/>
      </c>
      <c r="X360" s="518" t="str">
        <f>IF(AND(_A1="B-767-300",'2025'!$M$4="CA",'2025'!$M$2=X347),'2025DATA'!$I$15,"")</f>
        <v/>
      </c>
      <c r="Y360" s="518" t="str">
        <f>IF(AND(_A1="B-767-300",'2025'!$M$4="CA",'2025'!$M$2=Y347),'2025DATA'!$J$15,"")</f>
        <v/>
      </c>
      <c r="Z360" s="518" t="str">
        <f>IF(AND(_A1="B-767-300",'2025'!$M$4="CA",'2025'!$M$2=Z347),'2025DATA'!$K$15,"")</f>
        <v/>
      </c>
      <c r="AA360" s="518" t="str">
        <f>IF(AND(_A1="B-767-300",'2025'!$M$4="CA",'2025'!$M$2=AA347),'2025DATA'!$L$15,"")</f>
        <v/>
      </c>
      <c r="AB360" s="518" t="str">
        <f>IF(AND(_A1="B-767-300",'2025'!$M$4="CA",'2025'!$M$2=AB347),'2025DATA'!$M$15,"")</f>
        <v/>
      </c>
      <c r="AC360" s="520" t="str">
        <f>IF(AND(_A1="B-767-300",'2025'!$M$4="CA",'2025'!$M$2=AC347),'2025DATA'!$N$15,"")</f>
        <v/>
      </c>
      <c r="AD360" s="940" t="s">
        <v>67</v>
      </c>
      <c r="AE360" s="13" t="s">
        <v>61</v>
      </c>
      <c r="AF360" s="518" t="str">
        <f>IF(AND(_A2="B-767-300",'2025'!$M$4="CA",'2025'!$M$2=AF347),'2025DATA'!$C$15,"")</f>
        <v/>
      </c>
      <c r="AG360" s="518" t="str">
        <f>IF(AND(_A2="B-767-300",'2025'!$M$4="CA",'2025'!$M$2=AG347),'2025DATA'!$D$15,"")</f>
        <v/>
      </c>
      <c r="AH360" s="518" t="str">
        <f>IF(AND(_A2="B-767-300",'2025'!$M$4="CA",'2025'!$M$2=AH347),'2025DATA'!$E$15,"")</f>
        <v/>
      </c>
      <c r="AI360" s="518" t="str">
        <f>IF(AND(_A2="B-767-300",'2025'!$M$4="CA",'2025'!$M$2=AI347),'2025DATA'!$F$15,"")</f>
        <v/>
      </c>
      <c r="AJ360" s="518" t="str">
        <f>IF(AND(_A2="B-767-300",'2025'!$M$4="CA",'2025'!$M$2=AJ347),'2025DATA'!$G$15,"")</f>
        <v/>
      </c>
      <c r="AK360" s="518" t="str">
        <f>IF(AND(_A2="B-767-300",'2025'!$M$4="CA",'2025'!$M$2=AK347),'2025DATA'!$H$15,"")</f>
        <v/>
      </c>
      <c r="AL360" s="518" t="str">
        <f>IF(AND(_A2="B-767-300",'2025'!$M$4="CA",'2025'!$M$2=AL347),'2025DATA'!$I$15,"")</f>
        <v/>
      </c>
      <c r="AM360" s="518" t="str">
        <f>IF(AND(_A2="B-767-300",'2025'!$M$4="CA",'2025'!$M$2=AM347),'2025DATA'!$J$15,"")</f>
        <v/>
      </c>
      <c r="AN360" s="518" t="str">
        <f>IF(AND(_A2="B-767-300",'2025'!$M$4="CA",'2025'!$M$2=AN347),'2025DATA'!$K$15,"")</f>
        <v/>
      </c>
      <c r="AO360" s="518" t="str">
        <f>IF(AND(_A2="B-767-300",'2025'!$M$4="CA",'2025'!$M$2=AO347),'2025DATA'!$L$15,"")</f>
        <v/>
      </c>
      <c r="AP360" s="518" t="str">
        <f>IF(AND(_A2="B-767-300",'2025'!$M$4="CA",'2025'!$M$2=AP347),'2025DATA'!$M$15,"")</f>
        <v/>
      </c>
      <c r="AQ360" s="520" t="str">
        <f>IF(AND(_A2="B-767-300",'2025'!$M$4="CA",'2025'!$M$2=AQ347),'2025DATA'!$N$15,"")</f>
        <v/>
      </c>
      <c r="AR360" s="940" t="s">
        <v>67</v>
      </c>
      <c r="AS360" s="13" t="s">
        <v>61</v>
      </c>
      <c r="AT360" s="518" t="str">
        <f>IF(AND(_A3="B-767-300",'2025'!$M$4="CA",'2025'!$M$2=AT347),'2025DATA'!$C$15,"")</f>
        <v/>
      </c>
      <c r="AU360" s="518" t="str">
        <f>IF(AND(_A3="B-767-300",'2025'!$M$4="CA",'2025'!$M$2=AU347),'2025DATA'!$D$15,"")</f>
        <v/>
      </c>
      <c r="AV360" s="518" t="str">
        <f>IF(AND(_A3="B-767-300",'2025'!$M$4="CA",'2025'!$M$2=AV347),'2025DATA'!$E$15,"")</f>
        <v/>
      </c>
      <c r="AW360" s="518" t="str">
        <f>IF(AND(_A3="B-767-300",'2025'!$M$4="CA",'2025'!$M$2=AW347),'2025DATA'!$F$15,"")</f>
        <v/>
      </c>
      <c r="AX360" s="518" t="str">
        <f>IF(AND(_A3="B-767-300",'2025'!$M$4="CA",'2025'!$M$2=AX347),'2025DATA'!$G$15,"")</f>
        <v/>
      </c>
      <c r="AY360" s="518" t="str">
        <f>IF(AND(_A3="B-767-300",'2025'!$M$4="CA",'2025'!$M$2=AY347),'2025DATA'!$H$15,"")</f>
        <v/>
      </c>
      <c r="AZ360" s="518" t="str">
        <f>IF(AND(_A3="B-767-300",'2025'!$M$4="CA",'2025'!$M$2=AZ347),'2025DATA'!$I$15,"")</f>
        <v/>
      </c>
      <c r="BA360" s="518" t="str">
        <f>IF(AND(_A3="B-767-300",'2025'!$M$4="CA",'2025'!$M$2=BA347),'2025DATA'!$J$15,"")</f>
        <v/>
      </c>
      <c r="BB360" s="518" t="str">
        <f>IF(AND(_A3="B-767-300",'2025'!$M$4="CA",'2025'!$M$2=BB347),'2025DATA'!$K$15,"")</f>
        <v/>
      </c>
      <c r="BC360" s="518" t="str">
        <f>IF(AND(_A3="B-767-300",'2025'!$M$4="CA",'2025'!$M$2=BC347),'2025DATA'!$L$15,"")</f>
        <v/>
      </c>
      <c r="BD360" s="518" t="str">
        <f>IF(AND(_A3="B-767-300",'2025'!$M$4="CA",'2025'!$M$2=BD347),'2025DATA'!$M$15,"")</f>
        <v/>
      </c>
      <c r="BE360" s="520" t="str">
        <f>IF(AND(_A3="B-767-300",'2025'!$M$4="CA",'2025'!$M$2=BE347),'2025DATA'!$N$15,"")</f>
        <v/>
      </c>
      <c r="BF360" s="940" t="s">
        <v>67</v>
      </c>
      <c r="BG360" s="13" t="s">
        <v>61</v>
      </c>
      <c r="BH360" s="518" t="str">
        <f>IF(AND(_A4="B-767-300",'2025'!$M$4="CA",'2025'!$M$2=BH347),'2025DATA'!$C$15,"")</f>
        <v/>
      </c>
      <c r="BI360" s="518" t="str">
        <f>IF(AND(_A4="B-767-300",'2025'!$M$4="CA",'2025'!$M$2=BI347),'2025DATA'!$D$15,"")</f>
        <v/>
      </c>
      <c r="BJ360" s="518" t="str">
        <f>IF(AND(_A4="B-767-300",'2025'!$M$4="CA",'2025'!$M$2=BJ347),'2025DATA'!$E$15,"")</f>
        <v/>
      </c>
      <c r="BK360" s="518" t="str">
        <f>IF(AND(_A4="B-767-300",'2025'!$M$4="CA",'2025'!$M$2=BK347),'2025DATA'!$F$15,"")</f>
        <v/>
      </c>
      <c r="BL360" s="518" t="str">
        <f>IF(AND(_A4="B-767-300",'2025'!$M$4="CA",'2025'!$M$2=BL347),'2025DATA'!$G$15,"")</f>
        <v/>
      </c>
      <c r="BM360" s="518" t="str">
        <f>IF(AND(_A4="B-767-300",'2025'!$M$4="CA",'2025'!$M$2=BM347),'2025DATA'!$H$15,"")</f>
        <v/>
      </c>
      <c r="BN360" s="518" t="str">
        <f>IF(AND(_A4="B-767-300",'2025'!$M$4="CA",'2025'!$M$2=BN347),'2025DATA'!$I$15,"")</f>
        <v/>
      </c>
      <c r="BO360" s="518" t="str">
        <f>IF(AND(_A4="B-767-300",'2025'!$M$4="CA",'2025'!$M$2=BO347),'2025DATA'!$J$15,"")</f>
        <v/>
      </c>
      <c r="BP360" s="518" t="str">
        <f>IF(AND(_A4="B-767-300",'2025'!$M$4="CA",'2025'!$M$2=BP347),'2025DATA'!$K$15,"")</f>
        <v/>
      </c>
      <c r="BQ360" s="518" t="str">
        <f>IF(AND(_A4="B-767-300",'2025'!$M$4="CA",'2025'!$M$2=BQ347),'2025DATA'!$L$15,"")</f>
        <v/>
      </c>
      <c r="BR360" s="518" t="str">
        <f>IF(AND(_A4="B-767-300",'2025'!$M$4="CA",'2025'!$M$2=BR347),'2025DATA'!$M$15,"")</f>
        <v/>
      </c>
      <c r="BS360" s="520" t="str">
        <f>IF(AND(_A4="B-767-300",'2025'!$M$4="CA",'2025'!$M$2=BS347),'2025DATA'!$N$15,"")</f>
        <v/>
      </c>
      <c r="BT360" s="940" t="s">
        <v>67</v>
      </c>
      <c r="BU360" s="13" t="s">
        <v>61</v>
      </c>
      <c r="BV360" s="518" t="str">
        <f>IF(AND(_A5="B-767-300",'2025'!$M$4="CA",'2025'!$M$2=BV347),'2025DATA'!$C$15,"")</f>
        <v/>
      </c>
      <c r="BW360" s="518" t="str">
        <f>IF(AND(_A5="B-767-300",'2025'!$M$4="CA",'2025'!$M$2=BW347),'2025DATA'!$D$15,"")</f>
        <v/>
      </c>
      <c r="BX360" s="518" t="str">
        <f>IF(AND(_A5="B-767-300",'2025'!$M$4="CA",'2025'!$M$2=BX347),'2025DATA'!$E$15,"")</f>
        <v/>
      </c>
      <c r="BY360" s="518" t="str">
        <f>IF(AND(_A5="B-767-300",'2025'!$M$4="CA",'2025'!$M$2=BY347),'2025DATA'!$F$15,"")</f>
        <v/>
      </c>
      <c r="BZ360" s="518" t="str">
        <f>IF(AND(_A5="B-767-300",'2025'!$M$4="CA",'2025'!$M$2=BZ347),'2025DATA'!$G$15,"")</f>
        <v/>
      </c>
      <c r="CA360" s="518" t="str">
        <f>IF(AND(_A5="B-767-300",'2025'!$M$4="CA",'2025'!$M$2=CA347),'2025DATA'!$H$15,"")</f>
        <v/>
      </c>
      <c r="CB360" s="518" t="str">
        <f>IF(AND(_A5="B-767-300",'2025'!$M$4="CA",'2025'!$M$2=CB347),'2025DATA'!$I$15,"")</f>
        <v/>
      </c>
      <c r="CC360" s="518" t="str">
        <f>IF(AND(_A5="B-767-300",'2025'!$M$4="CA",'2025'!$M$2=CC347),'2025DATA'!$J$15,"")</f>
        <v/>
      </c>
      <c r="CD360" s="518" t="str">
        <f>IF(AND(_A5="B-767-300",'2025'!$M$4="CA",'2025'!$M$2=CD347),'2025DATA'!$K$15,"")</f>
        <v/>
      </c>
      <c r="CE360" s="518" t="str">
        <f>IF(AND(_A5="B-767-300",'2025'!$M$4="CA",'2025'!$M$2=CE347),'2025DATA'!$L$15,"")</f>
        <v/>
      </c>
      <c r="CF360" s="518" t="str">
        <f>IF(AND(_A5="B-767-300",'2025'!$M$4="CA",'2025'!$M$2=CF347),'2025DATA'!$M$15,"")</f>
        <v/>
      </c>
      <c r="CG360" s="520" t="str">
        <f>IF(AND(_A5="B-767-300",'2025'!$M$4="CA",'2025'!$M$2=CG347),'2025DATA'!$N$15,"")</f>
        <v/>
      </c>
      <c r="CH360" s="940" t="s">
        <v>67</v>
      </c>
      <c r="CI360" s="13" t="s">
        <v>61</v>
      </c>
      <c r="CJ360" s="518" t="str">
        <f>IF(AND(_A6="B-767-300",'2025'!$M$4="CA",'2025'!$M$2=CJ347),'2025DATA'!$C$15,"")</f>
        <v/>
      </c>
      <c r="CK360" s="518" t="str">
        <f>IF(AND(_A6="B-767-300",'2025'!$M$4="CA",'2025'!$M$2=CK347),'2025DATA'!$D$15,"")</f>
        <v/>
      </c>
      <c r="CL360" s="518" t="str">
        <f>IF(AND(_A6="B-767-300",'2025'!$M$4="CA",'2025'!$M$2=CL347),'2025DATA'!$E$15,"")</f>
        <v/>
      </c>
      <c r="CM360" s="518" t="str">
        <f>IF(AND(_A6="B-767-300",'2025'!$M$4="CA",'2025'!$M$2=CM347),'2025DATA'!$F$15,"")</f>
        <v/>
      </c>
      <c r="CN360" s="518" t="str">
        <f>IF(AND(_A6="B-767-300",'2025'!$M$4="CA",'2025'!$M$2=CN347),'2025DATA'!$G$15,"")</f>
        <v/>
      </c>
      <c r="CO360" s="518" t="str">
        <f>IF(AND(_A6="B-767-300",'2025'!$M$4="CA",'2025'!$M$2=CO347),'2025DATA'!$H$15,"")</f>
        <v/>
      </c>
      <c r="CP360" s="518" t="str">
        <f>IF(AND(_A6="B-767-300",'2025'!$M$4="CA",'2025'!$M$2=CP347),'2025DATA'!$I$15,"")</f>
        <v/>
      </c>
      <c r="CQ360" s="518" t="str">
        <f>IF(AND(_A6="B-767-300",'2025'!$M$4="CA",'2025'!$M$2=CQ347),'2025DATA'!$J$15,"")</f>
        <v/>
      </c>
      <c r="CR360" s="518" t="str">
        <f>IF(AND(_A6="B-767-300",'2025'!$M$4="CA",'2025'!$M$2=CR347),'2025DATA'!$K$15,"")</f>
        <v/>
      </c>
      <c r="CS360" s="518" t="str">
        <f>IF(AND(_A6="B-767-300",'2025'!$M$4="CA",'2025'!$M$2=CS347),'2025DATA'!$L$15,"")</f>
        <v/>
      </c>
      <c r="CT360" s="518" t="str">
        <f>IF(AND(_A6="B-767-300",'2025'!$M$4="CA",'2025'!$M$2=CT347),'2025DATA'!$M$15,"")</f>
        <v/>
      </c>
      <c r="CU360" s="520" t="str">
        <f>IF(AND(_A6="B-767-300",'2025'!$M$4="CA",'2025'!$M$2=CU347),'2025DATA'!$N$15,"")</f>
        <v/>
      </c>
    </row>
    <row r="361" spans="16:99" x14ac:dyDescent="0.25">
      <c r="P361" s="940"/>
      <c r="Q361" s="13" t="s">
        <v>62</v>
      </c>
      <c r="R361" s="518" t="str">
        <f>IF(AND(_A1="B-767-300",'2025'!$M$4="FO",'2025'!$M$2=R347),'2025DATA'!$C$16,"")</f>
        <v/>
      </c>
      <c r="S361" s="518" t="str">
        <f>IF(AND(_A1="B-767-300",'2025'!$M$4="FO",'2025'!$M$2=S347),'2025DATA'!$D$16,"")</f>
        <v/>
      </c>
      <c r="T361" s="518" t="str">
        <f>IF(AND(_A1="B-767-300",'2025'!$M$4="FO",'2025'!$M$2=T347),'2025DATA'!$E$16,"")</f>
        <v/>
      </c>
      <c r="U361" s="518" t="str">
        <f>IF(AND(_A1="B-767-300",'2025'!$M$4="FO",'2025'!$M$2=U347),'2025DATA'!$F$16,"")</f>
        <v/>
      </c>
      <c r="V361" s="518" t="str">
        <f>IF(AND(_A1="B-767-300",'2025'!$M$4="FO",'2025'!$M$2=V347),'2025DATA'!$G$16,"")</f>
        <v/>
      </c>
      <c r="W361" s="518" t="str">
        <f>IF(AND(_A1="B-767-300",'2025'!$M$4="FO",'2025'!$M$2=W347),'2025DATA'!$H$16,"")</f>
        <v/>
      </c>
      <c r="X361" s="518" t="str">
        <f>IF(AND(_A1="B-767-300",'2025'!$M$4="FO",'2025'!$M$2=X347),'2025DATA'!$I$16,"")</f>
        <v/>
      </c>
      <c r="Y361" s="518" t="str">
        <f>IF(AND(_A1="B-767-300",'2025'!$M$4="FO",'2025'!$M$2=Y347),'2025DATA'!$J$16,"")</f>
        <v/>
      </c>
      <c r="Z361" s="518" t="str">
        <f>IF(AND(_A1="B-767-300",'2025'!$M$4="FO",'2025'!$M$2=Z347),'2025DATA'!$K$16,"")</f>
        <v/>
      </c>
      <c r="AA361" s="518" t="str">
        <f>IF(AND(_A1="B-767-300",'2025'!$M$4="FO",'2025'!$M$2=AA347),'2025DATA'!$L$16,"")</f>
        <v/>
      </c>
      <c r="AB361" s="518" t="str">
        <f>IF(AND(_A1="B-767-300",'2025'!$M$4="FO",'2025'!$M$2=AB347),'2025DATA'!$M$16,"")</f>
        <v/>
      </c>
      <c r="AC361" s="520" t="str">
        <f>IF(AND(_A1="B-767-300",'2025'!$M$4="FO",'2025'!$M$2=AC347),'2025DATA'!$N$16,"")</f>
        <v/>
      </c>
      <c r="AD361" s="940"/>
      <c r="AE361" s="13" t="s">
        <v>62</v>
      </c>
      <c r="AF361" s="518" t="str">
        <f>IF(AND(_A2="B-767-300",'2025'!$M$4="FO",'2025'!$M$2=AF347),'2025DATA'!$C$16,"")</f>
        <v/>
      </c>
      <c r="AG361" s="518" t="str">
        <f>IF(AND(_A2="B-767-300",'2025'!$M$4="FO",'2025'!$M$2=AG347),'2025DATA'!$D$16,"")</f>
        <v/>
      </c>
      <c r="AH361" s="518" t="str">
        <f>IF(AND(_A2="B-767-300",'2025'!$M$4="FO",'2025'!$M$2=AH347),'2025DATA'!$E$16,"")</f>
        <v/>
      </c>
      <c r="AI361" s="518" t="str">
        <f>IF(AND(_A2="B-767-300",'2025'!$M$4="FO",'2025'!$M$2=AI347),'2025DATA'!$F$16,"")</f>
        <v/>
      </c>
      <c r="AJ361" s="518" t="str">
        <f>IF(AND(_A2="B-767-300",'2025'!$M$4="FO",'2025'!$M$2=AJ347),'2025DATA'!$G$16,"")</f>
        <v/>
      </c>
      <c r="AK361" s="518" t="str">
        <f>IF(AND(_A2="B-767-300",'2025'!$M$4="FO",'2025'!$M$2=AK347),'2025DATA'!$H$16,"")</f>
        <v/>
      </c>
      <c r="AL361" s="518" t="str">
        <f>IF(AND(_A2="B-767-300",'2025'!$M$4="FO",'2025'!$M$2=AL347),'2025DATA'!$I$16,"")</f>
        <v/>
      </c>
      <c r="AM361" s="518" t="str">
        <f>IF(AND(_A2="B-767-300",'2025'!$M$4="FO",'2025'!$M$2=AM347),'2025DATA'!$J$16,"")</f>
        <v/>
      </c>
      <c r="AN361" s="518" t="str">
        <f>IF(AND(_A2="B-767-300",'2025'!$M$4="FO",'2025'!$M$2=AN347),'2025DATA'!$K$16,"")</f>
        <v/>
      </c>
      <c r="AO361" s="518" t="str">
        <f>IF(AND(_A2="B-767-300",'2025'!$M$4="FO",'2025'!$M$2=AO347),'2025DATA'!$L$16,"")</f>
        <v/>
      </c>
      <c r="AP361" s="518" t="str">
        <f>IF(AND(_A2="B-767-300",'2025'!$M$4="FO",'2025'!$M$2=AP347),'2025DATA'!$M$16,"")</f>
        <v/>
      </c>
      <c r="AQ361" s="520" t="str">
        <f>IF(AND(_A2="B-767-300",'2025'!$M$4="FO",'2025'!$M$2=AQ347),'2025DATA'!$N$16,"")</f>
        <v/>
      </c>
      <c r="AR361" s="940"/>
      <c r="AS361" s="13" t="s">
        <v>62</v>
      </c>
      <c r="AT361" s="518" t="str">
        <f>IF(AND(_A3="B-767-300",'2025'!$M$4="FO",'2025'!$M$2=AT347),'2025DATA'!$C$16,"")</f>
        <v/>
      </c>
      <c r="AU361" s="518" t="str">
        <f>IF(AND(_A3="B-767-300",'2025'!$M$4="FO",'2025'!$M$2=AU347),'2025DATA'!$D$16,"")</f>
        <v/>
      </c>
      <c r="AV361" s="518" t="str">
        <f>IF(AND(_A3="B-767-300",'2025'!$M$4="FO",'2025'!$M$2=AV347),'2025DATA'!$E$16,"")</f>
        <v/>
      </c>
      <c r="AW361" s="518" t="str">
        <f>IF(AND(_A3="B-767-300",'2025'!$M$4="FO",'2025'!$M$2=AW347),'2025DATA'!$F$16,"")</f>
        <v/>
      </c>
      <c r="AX361" s="518" t="str">
        <f>IF(AND(_A3="B-767-300",'2025'!$M$4="FO",'2025'!$M$2=AX347),'2025DATA'!$G$16,"")</f>
        <v/>
      </c>
      <c r="AY361" s="518" t="str">
        <f>IF(AND(_A3="B-767-300",'2025'!$M$4="FO",'2025'!$M$2=AY347),'2025DATA'!$H$16,"")</f>
        <v/>
      </c>
      <c r="AZ361" s="518" t="str">
        <f>IF(AND(_A3="B-767-300",'2025'!$M$4="FO",'2025'!$M$2=AZ347),'2025DATA'!$I$16,"")</f>
        <v/>
      </c>
      <c r="BA361" s="518" t="str">
        <f>IF(AND(_A3="B-767-300",'2025'!$M$4="FO",'2025'!$M$2=BA347),'2025DATA'!$J$16,"")</f>
        <v/>
      </c>
      <c r="BB361" s="518" t="str">
        <f>IF(AND(_A3="B-767-300",'2025'!$M$4="FO",'2025'!$M$2=BB347),'2025DATA'!$K$16,"")</f>
        <v/>
      </c>
      <c r="BC361" s="518" t="str">
        <f>IF(AND(_A3="B-767-300",'2025'!$M$4="FO",'2025'!$M$2=BC347),'2025DATA'!$L$16,"")</f>
        <v/>
      </c>
      <c r="BD361" s="518" t="str">
        <f>IF(AND(_A3="B-767-300",'2025'!$M$4="FO",'2025'!$M$2=BD347),'2025DATA'!$M$16,"")</f>
        <v/>
      </c>
      <c r="BE361" s="520" t="str">
        <f>IF(AND(_A3="B-767-300",'2025'!$M$4="FO",'2025'!$M$2=BE347),'2025DATA'!$N$16,"")</f>
        <v/>
      </c>
      <c r="BF361" s="940"/>
      <c r="BG361" s="13" t="s">
        <v>62</v>
      </c>
      <c r="BH361" s="518" t="str">
        <f>IF(AND(_A4="B-767-300",'2025'!$M$4="FO",'2025'!$M$2=BH347),'2025DATA'!$C$16,"")</f>
        <v/>
      </c>
      <c r="BI361" s="518" t="str">
        <f>IF(AND(_A4="B-767-300",'2025'!$M$4="FO",'2025'!$M$2=BI347),'2025DATA'!$D$16,"")</f>
        <v/>
      </c>
      <c r="BJ361" s="518" t="str">
        <f>IF(AND(_A4="B-767-300",'2025'!$M$4="FO",'2025'!$M$2=BJ347),'2025DATA'!$E$16,"")</f>
        <v/>
      </c>
      <c r="BK361" s="518" t="str">
        <f>IF(AND(_A4="B-767-300",'2025'!$M$4="FO",'2025'!$M$2=BK347),'2025DATA'!$F$16,"")</f>
        <v/>
      </c>
      <c r="BL361" s="518" t="str">
        <f>IF(AND(_A4="B-767-300",'2025'!$M$4="FO",'2025'!$M$2=BL347),'2025DATA'!$G$16,"")</f>
        <v/>
      </c>
      <c r="BM361" s="518" t="str">
        <f>IF(AND(_A4="B-767-300",'2025'!$M$4="FO",'2025'!$M$2=BM347),'2025DATA'!$H$16,"")</f>
        <v/>
      </c>
      <c r="BN361" s="518" t="str">
        <f>IF(AND(_A4="B-767-300",'2025'!$M$4="FO",'2025'!$M$2=BN347),'2025DATA'!$I$16,"")</f>
        <v/>
      </c>
      <c r="BO361" s="518" t="str">
        <f>IF(AND(_A4="B-767-300",'2025'!$M$4="FO",'2025'!$M$2=BO347),'2025DATA'!$J$16,"")</f>
        <v/>
      </c>
      <c r="BP361" s="518" t="str">
        <f>IF(AND(_A4="B-767-300",'2025'!$M$4="FO",'2025'!$M$2=BP347),'2025DATA'!$K$16,"")</f>
        <v/>
      </c>
      <c r="BQ361" s="518" t="str">
        <f>IF(AND(_A4="B-767-300",'2025'!$M$4="FO",'2025'!$M$2=BQ347),'2025DATA'!$L$16,"")</f>
        <v/>
      </c>
      <c r="BR361" s="518" t="str">
        <f>IF(AND(_A4="B-767-300",'2025'!$M$4="FO",'2025'!$M$2=BR347),'2025DATA'!$M$16,"")</f>
        <v/>
      </c>
      <c r="BS361" s="520" t="str">
        <f>IF(AND(_A4="B-767-300",'2025'!$M$4="FO",'2025'!$M$2=BS347),'2025DATA'!$N$16,"")</f>
        <v/>
      </c>
      <c r="BT361" s="940"/>
      <c r="BU361" s="13" t="s">
        <v>62</v>
      </c>
      <c r="BV361" s="518" t="str">
        <f>IF(AND(_A5="B-767-300",'2025'!$M$4="FO",'2025'!$M$2=BV347),'2025DATA'!$C$16,"")</f>
        <v/>
      </c>
      <c r="BW361" s="518" t="str">
        <f>IF(AND(_A5="B-767-300",'2025'!$M$4="FO",'2025'!$M$2=BW347),'2025DATA'!$D$16,"")</f>
        <v/>
      </c>
      <c r="BX361" s="518" t="str">
        <f>IF(AND(_A5="B-767-300",'2025'!$M$4="FO",'2025'!$M$2=BX347),'2025DATA'!$E$16,"")</f>
        <v/>
      </c>
      <c r="BY361" s="518" t="str">
        <f>IF(AND(_A5="B-767-300",'2025'!$M$4="FO",'2025'!$M$2=BY347),'2025DATA'!$F$16,"")</f>
        <v/>
      </c>
      <c r="BZ361" s="518" t="str">
        <f>IF(AND(_A5="B-767-300",'2025'!$M$4="FO",'2025'!$M$2=BZ347),'2025DATA'!$G$16,"")</f>
        <v/>
      </c>
      <c r="CA361" s="518" t="str">
        <f>IF(AND(_A5="B-767-300",'2025'!$M$4="FO",'2025'!$M$2=CA347),'2025DATA'!$H$16,"")</f>
        <v/>
      </c>
      <c r="CB361" s="518" t="str">
        <f>IF(AND(_A5="B-767-300",'2025'!$M$4="FO",'2025'!$M$2=CB347),'2025DATA'!$I$16,"")</f>
        <v/>
      </c>
      <c r="CC361" s="518" t="str">
        <f>IF(AND(_A5="B-767-300",'2025'!$M$4="FO",'2025'!$M$2=CC347),'2025DATA'!$J$16,"")</f>
        <v/>
      </c>
      <c r="CD361" s="518" t="str">
        <f>IF(AND(_A5="B-767-300",'2025'!$M$4="FO",'2025'!$M$2=CD347),'2025DATA'!$K$16,"")</f>
        <v/>
      </c>
      <c r="CE361" s="518" t="str">
        <f>IF(AND(_A5="B-767-300",'2025'!$M$4="FO",'2025'!$M$2=CE347),'2025DATA'!$L$16,"")</f>
        <v/>
      </c>
      <c r="CF361" s="518" t="str">
        <f>IF(AND(_A5="B-767-300",'2025'!$M$4="FO",'2025'!$M$2=CF347),'2025DATA'!$M$16,"")</f>
        <v/>
      </c>
      <c r="CG361" s="520" t="str">
        <f>IF(AND(_A5="B-767-300",'2025'!$M$4="FO",'2025'!$M$2=CG347),'2025DATA'!$N$16,"")</f>
        <v/>
      </c>
      <c r="CH361" s="940"/>
      <c r="CI361" s="13" t="s">
        <v>62</v>
      </c>
      <c r="CJ361" s="518" t="str">
        <f>IF(AND(_A6="B-767-300",'2025'!$M$4="FO",'2025'!$M$2=CJ347),'2025DATA'!$C$16,"")</f>
        <v/>
      </c>
      <c r="CK361" s="518" t="str">
        <f>IF(AND(_A6="B-767-300",'2025'!$M$4="FO",'2025'!$M$2=CK347),'2025DATA'!$D$16,"")</f>
        <v/>
      </c>
      <c r="CL361" s="518" t="str">
        <f>IF(AND(_A6="B-767-300",'2025'!$M$4="FO",'2025'!$M$2=CL347),'2025DATA'!$E$16,"")</f>
        <v/>
      </c>
      <c r="CM361" s="518" t="str">
        <f>IF(AND(_A6="B-767-300",'2025'!$M$4="FO",'2025'!$M$2=CM347),'2025DATA'!$F$16,"")</f>
        <v/>
      </c>
      <c r="CN361" s="518" t="str">
        <f>IF(AND(_A6="B-767-300",'2025'!$M$4="FO",'2025'!$M$2=CN347),'2025DATA'!$G$16,"")</f>
        <v/>
      </c>
      <c r="CO361" s="518" t="str">
        <f>IF(AND(_A6="B-767-300",'2025'!$M$4="FO",'2025'!$M$2=CO347),'2025DATA'!$H$16,"")</f>
        <v/>
      </c>
      <c r="CP361" s="518" t="str">
        <f>IF(AND(_A6="B-767-300",'2025'!$M$4="FO",'2025'!$M$2=CP347),'2025DATA'!$I$16,"")</f>
        <v/>
      </c>
      <c r="CQ361" s="518" t="str">
        <f>IF(AND(_A6="B-767-300",'2025'!$M$4="FO",'2025'!$M$2=CQ347),'2025DATA'!$J$16,"")</f>
        <v/>
      </c>
      <c r="CR361" s="518" t="str">
        <f>IF(AND(_A6="B-767-300",'2025'!$M$4="FO",'2025'!$M$2=CR347),'2025DATA'!$K$16,"")</f>
        <v/>
      </c>
      <c r="CS361" s="518" t="str">
        <f>IF(AND(_A6="B-767-300",'2025'!$M$4="FO",'2025'!$M$2=CS347),'2025DATA'!$L$16,"")</f>
        <v/>
      </c>
      <c r="CT361" s="518" t="str">
        <f>IF(AND(_A6="B-767-300",'2025'!$M$4="FO",'2025'!$M$2=CT347),'2025DATA'!$M$16,"")</f>
        <v/>
      </c>
      <c r="CU361" s="520" t="str">
        <f>IF(AND(_A6="B-767-300",'2025'!$M$4="FO",'2025'!$M$2=CU347),'2025DATA'!$N$16,"")</f>
        <v/>
      </c>
    </row>
    <row r="362" spans="16:99" x14ac:dyDescent="0.25">
      <c r="P362" s="940" t="s">
        <v>68</v>
      </c>
      <c r="Q362" s="13" t="s">
        <v>61</v>
      </c>
      <c r="R362" s="518" t="str">
        <f>IF(AND(_A1="B-767-200",'2025'!$M$4="CA",'2025'!$M$2=R347),'2025DATA'!$C$17,"")</f>
        <v/>
      </c>
      <c r="S362" s="518" t="str">
        <f>IF(AND(_A1="B-767-200",'2025'!$M$4="CA",'2025'!$M$2=S347),'2025DATA'!$D$17,"")</f>
        <v/>
      </c>
      <c r="T362" s="518" t="str">
        <f>IF(AND(_A1="B-767-200",'2025'!$M$4="CA",'2025'!$M$2=T347),'2025DATA'!$E$17,"")</f>
        <v/>
      </c>
      <c r="U362" s="518" t="str">
        <f>IF(AND(_A1="B-767-200",'2025'!$M$4="CA",'2025'!$M$2=U347),'2025DATA'!$F$17,"")</f>
        <v/>
      </c>
      <c r="V362" s="518" t="str">
        <f>IF(AND(_A1="B-767-200",'2025'!$M$4="CA",'2025'!$M$2=V347),'2025DATA'!$G$17,"")</f>
        <v/>
      </c>
      <c r="W362" s="518" t="str">
        <f>IF(AND(_A1="B-767-200",'2025'!$M$4="CA",'2025'!$M$2=W347),'2025DATA'!$H$17,"")</f>
        <v/>
      </c>
      <c r="X362" s="518" t="str">
        <f>IF(AND(_A1="B-767-200",'2025'!$M$4="CA",'2025'!$M$2=X347),'2025DATA'!$I$17,"")</f>
        <v/>
      </c>
      <c r="Y362" s="518" t="str">
        <f>IF(AND(_A1="B-767-200",'2025'!$M$4="CA",'2025'!$M$2=Y347),'2025DATA'!$J$17,"")</f>
        <v/>
      </c>
      <c r="Z362" s="518" t="str">
        <f>IF(AND(_A1="B-767-200",'2025'!$M$4="CA",'2025'!$M$2=Z347),'2025DATA'!$K$17,"")</f>
        <v/>
      </c>
      <c r="AA362" s="518" t="str">
        <f>IF(AND(_A1="B-767-200",'2025'!$M$4="CA",'2025'!$M$2=AA347),'2025DATA'!$L$17,"")</f>
        <v/>
      </c>
      <c r="AB362" s="518" t="str">
        <f>IF(AND(_A1="B-767-200",'2025'!$M$4="CA",'2025'!$M$2=AB347),'2025DATA'!$M$17,"")</f>
        <v/>
      </c>
      <c r="AC362" s="520" t="str">
        <f>IF(AND(_A1="B-767-200",'2025'!$M$4="CA",'2025'!$M$2=AC347),'2025DATA'!$N$17,"")</f>
        <v/>
      </c>
      <c r="AD362" s="940" t="s">
        <v>68</v>
      </c>
      <c r="AE362" s="13" t="s">
        <v>61</v>
      </c>
      <c r="AF362" s="518" t="str">
        <f>IF(AND(_A2="B-767-200",'2025'!$M$4="CA",'2025'!$M$2=AF347),'2025DATA'!$C$17,"")</f>
        <v/>
      </c>
      <c r="AG362" s="518" t="str">
        <f>IF(AND(_A2="B-767-200",'2025'!$M$4="CA",'2025'!$M$2=AG347),'2025DATA'!$D$17,"")</f>
        <v/>
      </c>
      <c r="AH362" s="518" t="str">
        <f>IF(AND(_A2="B-767-200",'2025'!$M$4="CA",'2025'!$M$2=AH347),'2025DATA'!$E$17,"")</f>
        <v/>
      </c>
      <c r="AI362" s="518" t="str">
        <f>IF(AND(_A2="B-767-200",'2025'!$M$4="CA",'2025'!$M$2=AI347),'2025DATA'!$F$17,"")</f>
        <v/>
      </c>
      <c r="AJ362" s="518" t="str">
        <f>IF(AND(_A2="B-767-200",'2025'!$M$4="CA",'2025'!$M$2=AJ347),'2025DATA'!$G$17,"")</f>
        <v/>
      </c>
      <c r="AK362" s="518" t="str">
        <f>IF(AND(_A2="B-767-200",'2025'!$M$4="CA",'2025'!$M$2=AK347),'2025DATA'!$H$17,"")</f>
        <v/>
      </c>
      <c r="AL362" s="518" t="str">
        <f>IF(AND(_A2="B-767-200",'2025'!$M$4="CA",'2025'!$M$2=AL347),'2025DATA'!$I$17,"")</f>
        <v/>
      </c>
      <c r="AM362" s="518" t="str">
        <f>IF(AND(_A2="B-767-200",'2025'!$M$4="CA",'2025'!$M$2=AM347),'2025DATA'!$J$17,"")</f>
        <v/>
      </c>
      <c r="AN362" s="518" t="str">
        <f>IF(AND(_A2="B-767-200",'2025'!$M$4="CA",'2025'!$M$2=AN347),'2025DATA'!$K$17,"")</f>
        <v/>
      </c>
      <c r="AO362" s="518" t="str">
        <f>IF(AND(_A2="B-767-200",'2025'!$M$4="CA",'2025'!$M$2=AO347),'2025DATA'!$L$17,"")</f>
        <v/>
      </c>
      <c r="AP362" s="518" t="str">
        <f>IF(AND(_A2="B-767-200",'2025'!$M$4="CA",'2025'!$M$2=AP347),'2025DATA'!$M$17,"")</f>
        <v/>
      </c>
      <c r="AQ362" s="520" t="str">
        <f>IF(AND(_A2="B-767-200",'2025'!$M$4="CA",'2025'!$M$2=AQ347),'2025DATA'!$N$17,"")</f>
        <v/>
      </c>
      <c r="AR362" s="940" t="s">
        <v>68</v>
      </c>
      <c r="AS362" s="13" t="s">
        <v>61</v>
      </c>
      <c r="AT362" s="518" t="str">
        <f>IF(AND(_A3="B-767-200",'2025'!$M$4="CA",'2025'!$M$2=AT347),'2025DATA'!$C$17,"")</f>
        <v/>
      </c>
      <c r="AU362" s="518" t="str">
        <f>IF(AND(_A3="B-767-200",'2025'!$M$4="CA",'2025'!$M$2=AU347),'2025DATA'!$D$17,"")</f>
        <v/>
      </c>
      <c r="AV362" s="518" t="str">
        <f>IF(AND(_A3="B-767-200",'2025'!$M$4="CA",'2025'!$M$2=AV347),'2025DATA'!$E$17,"")</f>
        <v/>
      </c>
      <c r="AW362" s="518" t="str">
        <f>IF(AND(_A3="B-767-200",'2025'!$M$4="CA",'2025'!$M$2=AW347),'2025DATA'!$F$17,"")</f>
        <v/>
      </c>
      <c r="AX362" s="518" t="str">
        <f>IF(AND(_A3="B-767-200",'2025'!$M$4="CA",'2025'!$M$2=AX347),'2025DATA'!$G$17,"")</f>
        <v/>
      </c>
      <c r="AY362" s="518" t="str">
        <f>IF(AND(_A3="B-767-200",'2025'!$M$4="CA",'2025'!$M$2=AY347),'2025DATA'!$H$17,"")</f>
        <v/>
      </c>
      <c r="AZ362" s="518" t="str">
        <f>IF(AND(_A3="B-767-200",'2025'!$M$4="CA",'2025'!$M$2=AZ347),'2025DATA'!$I$17,"")</f>
        <v/>
      </c>
      <c r="BA362" s="518" t="str">
        <f>IF(AND(_A3="B-767-200",'2025'!$M$4="CA",'2025'!$M$2=BA347),'2025DATA'!$J$17,"")</f>
        <v/>
      </c>
      <c r="BB362" s="518" t="str">
        <f>IF(AND(_A3="B-767-200",'2025'!$M$4="CA",'2025'!$M$2=BB347),'2025DATA'!$K$17,"")</f>
        <v/>
      </c>
      <c r="BC362" s="518" t="str">
        <f>IF(AND(_A3="B-767-200",'2025'!$M$4="CA",'2025'!$M$2=BC347),'2025DATA'!$L$17,"")</f>
        <v/>
      </c>
      <c r="BD362" s="518" t="str">
        <f>IF(AND(_A3="B-767-200",'2025'!$M$4="CA",'2025'!$M$2=BD347),'2025DATA'!$M$17,"")</f>
        <v/>
      </c>
      <c r="BE362" s="520" t="str">
        <f>IF(AND(_A3="B-767-200",'2025'!$M$4="CA",'2025'!$M$2=BE347),'2025DATA'!$N$17,"")</f>
        <v/>
      </c>
      <c r="BF362" s="940" t="s">
        <v>68</v>
      </c>
      <c r="BG362" s="13" t="s">
        <v>61</v>
      </c>
      <c r="BH362" s="518" t="str">
        <f>IF(AND(_A4="B-767-200",'2025'!$M$4="CA",'2025'!$M$2=BH347),'2025DATA'!$C$17,"")</f>
        <v/>
      </c>
      <c r="BI362" s="518" t="str">
        <f>IF(AND(_A4="B-767-200",'2025'!$M$4="CA",'2025'!$M$2=BI347),'2025DATA'!$D$17,"")</f>
        <v/>
      </c>
      <c r="BJ362" s="518" t="str">
        <f>IF(AND(_A4="B-767-200",'2025'!$M$4="CA",'2025'!$M$2=BJ347),'2025DATA'!$E$17,"")</f>
        <v/>
      </c>
      <c r="BK362" s="518" t="str">
        <f>IF(AND(_A4="B-767-200",'2025'!$M$4="CA",'2025'!$M$2=BK347),'2025DATA'!$F$17,"")</f>
        <v/>
      </c>
      <c r="BL362" s="518" t="str">
        <f>IF(AND(_A4="B-767-200",'2025'!$M$4="CA",'2025'!$M$2=BL347),'2025DATA'!$G$17,"")</f>
        <v/>
      </c>
      <c r="BM362" s="518" t="str">
        <f>IF(AND(_A4="B-767-200",'2025'!$M$4="CA",'2025'!$M$2=BM347),'2025DATA'!$H$17,"")</f>
        <v/>
      </c>
      <c r="BN362" s="518" t="str">
        <f>IF(AND(_A4="B-767-200",'2025'!$M$4="CA",'2025'!$M$2=BN347),'2025DATA'!$I$17,"")</f>
        <v/>
      </c>
      <c r="BO362" s="518" t="str">
        <f>IF(AND(_A4="B-767-200",'2025'!$M$4="CA",'2025'!$M$2=BO347),'2025DATA'!$J$17,"")</f>
        <v/>
      </c>
      <c r="BP362" s="518" t="str">
        <f>IF(AND(_A4="B-767-200",'2025'!$M$4="CA",'2025'!$M$2=BP347),'2025DATA'!$K$17,"")</f>
        <v/>
      </c>
      <c r="BQ362" s="518" t="str">
        <f>IF(AND(_A4="B-767-200",'2025'!$M$4="CA",'2025'!$M$2=BQ347),'2025DATA'!$L$17,"")</f>
        <v/>
      </c>
      <c r="BR362" s="518" t="str">
        <f>IF(AND(_A4="B-767-200",'2025'!$M$4="CA",'2025'!$M$2=BR347),'2025DATA'!$M$17,"")</f>
        <v/>
      </c>
      <c r="BS362" s="520" t="str">
        <f>IF(AND(_A4="B-767-200",'2025'!$M$4="CA",'2025'!$M$2=BS347),'2025DATA'!$N$17,"")</f>
        <v/>
      </c>
      <c r="BT362" s="940" t="s">
        <v>68</v>
      </c>
      <c r="BU362" s="13" t="s">
        <v>61</v>
      </c>
      <c r="BV362" s="518" t="str">
        <f>IF(AND(_A5="B-767-200",'2025'!$M$4="CA",'2025'!$M$2=BV347),'2025DATA'!$C$17,"")</f>
        <v/>
      </c>
      <c r="BW362" s="518" t="str">
        <f>IF(AND(_A5="B-767-200",'2025'!$M$4="CA",'2025'!$M$2=BW347),'2025DATA'!$D$17,"")</f>
        <v/>
      </c>
      <c r="BX362" s="518" t="str">
        <f>IF(AND(_A5="B-767-200",'2025'!$M$4="CA",'2025'!$M$2=BX347),'2025DATA'!$E$17,"")</f>
        <v/>
      </c>
      <c r="BY362" s="518" t="str">
        <f>IF(AND(_A5="B-767-200",'2025'!$M$4="CA",'2025'!$M$2=BY347),'2025DATA'!$F$17,"")</f>
        <v/>
      </c>
      <c r="BZ362" s="518" t="str">
        <f>IF(AND(_A5="B-767-200",'2025'!$M$4="CA",'2025'!$M$2=BZ347),'2025DATA'!$G$17,"")</f>
        <v/>
      </c>
      <c r="CA362" s="518" t="str">
        <f>IF(AND(_A5="B-767-200",'2025'!$M$4="CA",'2025'!$M$2=CA347),'2025DATA'!$H$17,"")</f>
        <v/>
      </c>
      <c r="CB362" s="518" t="str">
        <f>IF(AND(_A5="B-767-200",'2025'!$M$4="CA",'2025'!$M$2=CB347),'2025DATA'!$I$17,"")</f>
        <v/>
      </c>
      <c r="CC362" s="518" t="str">
        <f>IF(AND(_A5="B-767-200",'2025'!$M$4="CA",'2025'!$M$2=CC347),'2025DATA'!$J$17,"")</f>
        <v/>
      </c>
      <c r="CD362" s="518" t="str">
        <f>IF(AND(_A5="B-767-200",'2025'!$M$4="CA",'2025'!$M$2=CD347),'2025DATA'!$K$17,"")</f>
        <v/>
      </c>
      <c r="CE362" s="518" t="str">
        <f>IF(AND(_A5="B-767-200",'2025'!$M$4="CA",'2025'!$M$2=CE347),'2025DATA'!$L$17,"")</f>
        <v/>
      </c>
      <c r="CF362" s="518" t="str">
        <f>IF(AND(_A5="B-767-200",'2025'!$M$4="CA",'2025'!$M$2=CF347),'2025DATA'!$M$17,"")</f>
        <v/>
      </c>
      <c r="CG362" s="520" t="str">
        <f>IF(AND(_A5="B-767-200",'2025'!$M$4="CA",'2025'!$M$2=CG347),'2025DATA'!$N$17,"")</f>
        <v/>
      </c>
      <c r="CH362" s="940" t="s">
        <v>68</v>
      </c>
      <c r="CI362" s="13" t="s">
        <v>61</v>
      </c>
      <c r="CJ362" s="518" t="str">
        <f>IF(AND(_A6="B-767-200",'2025'!$M$4="CA",'2025'!$M$2=CJ347),'2025DATA'!$C$17,"")</f>
        <v/>
      </c>
      <c r="CK362" s="518" t="str">
        <f>IF(AND(_A6="B-767-200",'2025'!$M$4="CA",'2025'!$M$2=CK347),'2025DATA'!$D$17,"")</f>
        <v/>
      </c>
      <c r="CL362" s="518" t="str">
        <f>IF(AND(_A6="B-767-200",'2025'!$M$4="CA",'2025'!$M$2=CL347),'2025DATA'!$E$17,"")</f>
        <v/>
      </c>
      <c r="CM362" s="518" t="str">
        <f>IF(AND(_A6="B-767-200",'2025'!$M$4="CA",'2025'!$M$2=CM347),'2025DATA'!$F$17,"")</f>
        <v/>
      </c>
      <c r="CN362" s="518" t="str">
        <f>IF(AND(_A6="B-767-200",'2025'!$M$4="CA",'2025'!$M$2=CN347),'2025DATA'!$G$17,"")</f>
        <v/>
      </c>
      <c r="CO362" s="518" t="str">
        <f>IF(AND(_A6="B-767-200",'2025'!$M$4="CA",'2025'!$M$2=CO347),'2025DATA'!$H$17,"")</f>
        <v/>
      </c>
      <c r="CP362" s="518" t="str">
        <f>IF(AND(_A6="B-767-200",'2025'!$M$4="CA",'2025'!$M$2=CP347),'2025DATA'!$I$17,"")</f>
        <v/>
      </c>
      <c r="CQ362" s="518" t="str">
        <f>IF(AND(_A6="B-767-200",'2025'!$M$4="CA",'2025'!$M$2=CQ347),'2025DATA'!$J$17,"")</f>
        <v/>
      </c>
      <c r="CR362" s="518" t="str">
        <f>IF(AND(_A6="B-767-200",'2025'!$M$4="CA",'2025'!$M$2=CR347),'2025DATA'!$K$17,"")</f>
        <v/>
      </c>
      <c r="CS362" s="518" t="str">
        <f>IF(AND(_A6="B-767-200",'2025'!$M$4="CA",'2025'!$M$2=CS347),'2025DATA'!$L$17,"")</f>
        <v/>
      </c>
      <c r="CT362" s="518" t="str">
        <f>IF(AND(_A6="B-767-200",'2025'!$M$4="CA",'2025'!$M$2=CT347),'2025DATA'!$M$17,"")</f>
        <v/>
      </c>
      <c r="CU362" s="520" t="str">
        <f>IF(AND(_A6="B-767-200",'2025'!$M$4="CA",'2025'!$M$2=CU347),'2025DATA'!$N$17,"")</f>
        <v/>
      </c>
    </row>
    <row r="363" spans="16:99" x14ac:dyDescent="0.25">
      <c r="P363" s="940"/>
      <c r="Q363" s="13" t="s">
        <v>62</v>
      </c>
      <c r="R363" s="518" t="str">
        <f>IF(AND(_A1="B-767-200",'2025'!$M$4="FO",'2025'!$M$2=R347),'2025DATA'!$C$18,"")</f>
        <v/>
      </c>
      <c r="S363" s="518" t="str">
        <f>IF(AND(_A1="B-767-200",'2025'!$M$4="FO",'2025'!$M$2=S347),'2025DATA'!$D$18,"")</f>
        <v/>
      </c>
      <c r="T363" s="518" t="str">
        <f>IF(AND(_A1="B-767-200",'2025'!$M$4="FO",'2025'!$M$2=T347),'2025DATA'!$E$18,"")</f>
        <v/>
      </c>
      <c r="U363" s="518" t="str">
        <f>IF(AND(_A1="B-767-200",'2025'!$M$4="FO",'2025'!$M$2=U347),'2025DATA'!$F$18,"")</f>
        <v/>
      </c>
      <c r="V363" s="518" t="str">
        <f>IF(AND(_A1="B-767-200",'2025'!$M$4="FO",'2025'!$M$2=V347),'2025DATA'!$G$18,"")</f>
        <v/>
      </c>
      <c r="W363" s="518" t="str">
        <f>IF(AND(_A1="B-767-200",'2025'!$M$4="FO",'2025'!$M$2=W347),'2025DATA'!$H$18,"")</f>
        <v/>
      </c>
      <c r="X363" s="518" t="str">
        <f>IF(AND(_A1="B-767-200",'2025'!$M$4="FO",'2025'!$M$2=X347),'2025DATA'!$I$18,"")</f>
        <v/>
      </c>
      <c r="Y363" s="518" t="str">
        <f>IF(AND(_A1="B-767-200",'2025'!$M$4="FO",'2025'!$M$2=Y347),'2025DATA'!$J$18,"")</f>
        <v/>
      </c>
      <c r="Z363" s="518" t="str">
        <f>IF(AND(_A1="B-767-200",'2025'!$M$4="FO",'2025'!$M$2=Z347),'2025DATA'!$K$18,"")</f>
        <v/>
      </c>
      <c r="AA363" s="518" t="str">
        <f>IF(AND(_A1="B-767-200",'2025'!$M$4="FO",'2025'!$M$2=AA347),'2025DATA'!$L$18,"")</f>
        <v/>
      </c>
      <c r="AB363" s="518" t="str">
        <f>IF(AND(_A1="B-767-200",'2025'!$M$4="FO",'2025'!$M$2=AB347),'2025DATA'!$M$18,"")</f>
        <v/>
      </c>
      <c r="AC363" s="520" t="str">
        <f>IF(AND(_A1="B-767-200",'2025'!$M$4="FO",'2025'!$M$2=AC347),'2025DATA'!$N$18,"")</f>
        <v/>
      </c>
      <c r="AD363" s="940"/>
      <c r="AE363" s="13" t="s">
        <v>62</v>
      </c>
      <c r="AF363" s="518" t="str">
        <f>IF(AND(_A2="B-767-200",'2025'!$M$4="FO",'2025'!$M$2=AF347),'2025DATA'!$C$18,"")</f>
        <v/>
      </c>
      <c r="AG363" s="518" t="str">
        <f>IF(AND(_A2="B-767-200",'2025'!$M$4="FO",'2025'!$M$2=AG347),'2025DATA'!$D$18,"")</f>
        <v/>
      </c>
      <c r="AH363" s="518" t="str">
        <f>IF(AND(_A2="B-767-200",'2025'!$M$4="FO",'2025'!$M$2=AH347),'2025DATA'!$E$18,"")</f>
        <v/>
      </c>
      <c r="AI363" s="518" t="str">
        <f>IF(AND(_A2="B-767-200",'2025'!$M$4="FO",'2025'!$M$2=AI347),'2025DATA'!$F$18,"")</f>
        <v/>
      </c>
      <c r="AJ363" s="518" t="str">
        <f>IF(AND(_A2="B-767-200",'2025'!$M$4="FO",'2025'!$M$2=AJ347),'2025DATA'!$G$18,"")</f>
        <v/>
      </c>
      <c r="AK363" s="518" t="str">
        <f>IF(AND(_A2="B-767-200",'2025'!$M$4="FO",'2025'!$M$2=AK347),'2025DATA'!$H$18,"")</f>
        <v/>
      </c>
      <c r="AL363" s="518" t="str">
        <f>IF(AND(_A2="B-767-200",'2025'!$M$4="FO",'2025'!$M$2=AL347),'2025DATA'!$I$18,"")</f>
        <v/>
      </c>
      <c r="AM363" s="518" t="str">
        <f>IF(AND(_A2="B-767-200",'2025'!$M$4="FO",'2025'!$M$2=AM347),'2025DATA'!$J$18,"")</f>
        <v/>
      </c>
      <c r="AN363" s="518" t="str">
        <f>IF(AND(_A2="B-767-200",'2025'!$M$4="FO",'2025'!$M$2=AN347),'2025DATA'!$K$18,"")</f>
        <v/>
      </c>
      <c r="AO363" s="518" t="str">
        <f>IF(AND(_A2="B-767-200",'2025'!$M$4="FO",'2025'!$M$2=AO347),'2025DATA'!$L$18,"")</f>
        <v/>
      </c>
      <c r="AP363" s="518" t="str">
        <f>IF(AND(_A2="B-767-200",'2025'!$M$4="FO",'2025'!$M$2=AP347),'2025DATA'!$M$18,"")</f>
        <v/>
      </c>
      <c r="AQ363" s="520" t="str">
        <f>IF(AND(_A2="B-767-200",'2025'!$M$4="FO",'2025'!$M$2=AQ347),'2025DATA'!$N$18,"")</f>
        <v/>
      </c>
      <c r="AR363" s="940"/>
      <c r="AS363" s="13" t="s">
        <v>62</v>
      </c>
      <c r="AT363" s="518" t="str">
        <f>IF(AND(_A3="B-767-200",'2025'!$M$4="FO",'2025'!$M$2=AT347),'2025DATA'!$C$18,"")</f>
        <v/>
      </c>
      <c r="AU363" s="518" t="str">
        <f>IF(AND(_A3="B-767-200",'2025'!$M$4="FO",'2025'!$M$2=AU347),'2025DATA'!$D$18,"")</f>
        <v/>
      </c>
      <c r="AV363" s="518" t="str">
        <f>IF(AND(_A3="B-767-200",'2025'!$M$4="FO",'2025'!$M$2=AV347),'2025DATA'!$E$18,"")</f>
        <v/>
      </c>
      <c r="AW363" s="518" t="str">
        <f>IF(AND(_A3="B-767-200",'2025'!$M$4="FO",'2025'!$M$2=AW347),'2025DATA'!$F$18,"")</f>
        <v/>
      </c>
      <c r="AX363" s="518" t="str">
        <f>IF(AND(_A3="B-767-200",'2025'!$M$4="FO",'2025'!$M$2=AX347),'2025DATA'!$G$18,"")</f>
        <v/>
      </c>
      <c r="AY363" s="518" t="str">
        <f>IF(AND(_A3="B-767-200",'2025'!$M$4="FO",'2025'!$M$2=AY347),'2025DATA'!$H$18,"")</f>
        <v/>
      </c>
      <c r="AZ363" s="518" t="str">
        <f>IF(AND(_A3="B-767-200",'2025'!$M$4="FO",'2025'!$M$2=AZ347),'2025DATA'!$I$18,"")</f>
        <v/>
      </c>
      <c r="BA363" s="518" t="str">
        <f>IF(AND(_A3="B-767-200",'2025'!$M$4="FO",'2025'!$M$2=BA347),'2025DATA'!$J$18,"")</f>
        <v/>
      </c>
      <c r="BB363" s="518" t="str">
        <f>IF(AND(_A3="B-767-200",'2025'!$M$4="FO",'2025'!$M$2=BB347),'2025DATA'!$K$18,"")</f>
        <v/>
      </c>
      <c r="BC363" s="518" t="str">
        <f>IF(AND(_A3="B-767-200",'2025'!$M$4="FO",'2025'!$M$2=BC347),'2025DATA'!$L$18,"")</f>
        <v/>
      </c>
      <c r="BD363" s="518" t="str">
        <f>IF(AND(_A3="B-767-200",'2025'!$M$4="FO",'2025'!$M$2=BD347),'2025DATA'!$M$18,"")</f>
        <v/>
      </c>
      <c r="BE363" s="520" t="str">
        <f>IF(AND(_A3="B-767-200",'2025'!$M$4="FO",'2025'!$M$2=BE347),'2025DATA'!$N$18,"")</f>
        <v/>
      </c>
      <c r="BF363" s="940"/>
      <c r="BG363" s="13" t="s">
        <v>62</v>
      </c>
      <c r="BH363" s="518" t="str">
        <f>IF(AND(_A4="B-767-200",'2025'!$M$4="FO",'2025'!$M$2=BH347),'2025DATA'!$C$18,"")</f>
        <v/>
      </c>
      <c r="BI363" s="518" t="str">
        <f>IF(AND(_A4="B-767-200",'2025'!$M$4="FO",'2025'!$M$2=BI347),'2025DATA'!$D$18,"")</f>
        <v/>
      </c>
      <c r="BJ363" s="518" t="str">
        <f>IF(AND(_A4="B-767-200",'2025'!$M$4="FO",'2025'!$M$2=BJ347),'2025DATA'!$E$18,"")</f>
        <v/>
      </c>
      <c r="BK363" s="518" t="str">
        <f>IF(AND(_A4="B-767-200",'2025'!$M$4="FO",'2025'!$M$2=BK347),'2025DATA'!$F$18,"")</f>
        <v/>
      </c>
      <c r="BL363" s="518" t="str">
        <f>IF(AND(_A4="B-767-200",'2025'!$M$4="FO",'2025'!$M$2=BL347),'2025DATA'!$G$18,"")</f>
        <v/>
      </c>
      <c r="BM363" s="518" t="str">
        <f>IF(AND(_A4="B-767-200",'2025'!$M$4="FO",'2025'!$M$2=BM347),'2025DATA'!$H$18,"")</f>
        <v/>
      </c>
      <c r="BN363" s="518" t="str">
        <f>IF(AND(_A4="B-767-200",'2025'!$M$4="FO",'2025'!$M$2=BN347),'2025DATA'!$I$18,"")</f>
        <v/>
      </c>
      <c r="BO363" s="518" t="str">
        <f>IF(AND(_A4="B-767-200",'2025'!$M$4="FO",'2025'!$M$2=BO347),'2025DATA'!$J$18,"")</f>
        <v/>
      </c>
      <c r="BP363" s="518" t="str">
        <f>IF(AND(_A4="B-767-200",'2025'!$M$4="FO",'2025'!$M$2=BP347),'2025DATA'!$K$18,"")</f>
        <v/>
      </c>
      <c r="BQ363" s="518" t="str">
        <f>IF(AND(_A4="B-767-200",'2025'!$M$4="FO",'2025'!$M$2=BQ347),'2025DATA'!$L$18,"")</f>
        <v/>
      </c>
      <c r="BR363" s="518" t="str">
        <f>IF(AND(_A4="B-767-200",'2025'!$M$4="FO",'2025'!$M$2=BR347),'2025DATA'!$M$18,"")</f>
        <v/>
      </c>
      <c r="BS363" s="520" t="str">
        <f>IF(AND(_A4="B-767-200",'2025'!$M$4="FO",'2025'!$M$2=BS347),'2025DATA'!$N$18,"")</f>
        <v/>
      </c>
      <c r="BT363" s="940"/>
      <c r="BU363" s="13" t="s">
        <v>62</v>
      </c>
      <c r="BV363" s="518" t="str">
        <f>IF(AND(_A5="B-767-200",'2025'!$M$4="FO",'2025'!$M$2=BV347),'2025DATA'!$C$18,"")</f>
        <v/>
      </c>
      <c r="BW363" s="518" t="str">
        <f>IF(AND(_A5="B-767-200",'2025'!$M$4="FO",'2025'!$M$2=BW347),'2025DATA'!$D$18,"")</f>
        <v/>
      </c>
      <c r="BX363" s="518" t="str">
        <f>IF(AND(_A5="B-767-200",'2025'!$M$4="FO",'2025'!$M$2=BX347),'2025DATA'!$E$18,"")</f>
        <v/>
      </c>
      <c r="BY363" s="518" t="str">
        <f>IF(AND(_A5="B-767-200",'2025'!$M$4="FO",'2025'!$M$2=BY347),'2025DATA'!$F$18,"")</f>
        <v/>
      </c>
      <c r="BZ363" s="518" t="str">
        <f>IF(AND(_A5="B-767-200",'2025'!$M$4="FO",'2025'!$M$2=BZ347),'2025DATA'!$G$18,"")</f>
        <v/>
      </c>
      <c r="CA363" s="518" t="str">
        <f>IF(AND(_A5="B-767-200",'2025'!$M$4="FO",'2025'!$M$2=CA347),'2025DATA'!$H$18,"")</f>
        <v/>
      </c>
      <c r="CB363" s="518" t="str">
        <f>IF(AND(_A5="B-767-200",'2025'!$M$4="FO",'2025'!$M$2=CB347),'2025DATA'!$I$18,"")</f>
        <v/>
      </c>
      <c r="CC363" s="518" t="str">
        <f>IF(AND(_A5="B-767-200",'2025'!$M$4="FO",'2025'!$M$2=CC347),'2025DATA'!$J$18,"")</f>
        <v/>
      </c>
      <c r="CD363" s="518" t="str">
        <f>IF(AND(_A5="B-767-200",'2025'!$M$4="FO",'2025'!$M$2=CD347),'2025DATA'!$K$18,"")</f>
        <v/>
      </c>
      <c r="CE363" s="518" t="str">
        <f>IF(AND(_A5="B-767-200",'2025'!$M$4="FO",'2025'!$M$2=CE347),'2025DATA'!$L$18,"")</f>
        <v/>
      </c>
      <c r="CF363" s="518" t="str">
        <f>IF(AND(_A5="B-767-200",'2025'!$M$4="FO",'2025'!$M$2=CF347),'2025DATA'!$M$18,"")</f>
        <v/>
      </c>
      <c r="CG363" s="520" t="str">
        <f>IF(AND(_A5="B-767-200",'2025'!$M$4="FO",'2025'!$M$2=CG347),'2025DATA'!$N$18,"")</f>
        <v/>
      </c>
      <c r="CH363" s="940"/>
      <c r="CI363" s="13" t="s">
        <v>62</v>
      </c>
      <c r="CJ363" s="518" t="str">
        <f>IF(AND(_A6="B-767-200",'2025'!$M$4="FO",'2025'!$M$2=CJ347),'2025DATA'!$C$18,"")</f>
        <v/>
      </c>
      <c r="CK363" s="518" t="str">
        <f>IF(AND(_A6="B-767-200",'2025'!$M$4="FO",'2025'!$M$2=CK347),'2025DATA'!$D$18,"")</f>
        <v/>
      </c>
      <c r="CL363" s="518" t="str">
        <f>IF(AND(_A6="B-767-200",'2025'!$M$4="FO",'2025'!$M$2=CL347),'2025DATA'!$E$18,"")</f>
        <v/>
      </c>
      <c r="CM363" s="518" t="str">
        <f>IF(AND(_A6="B-767-200",'2025'!$M$4="FO",'2025'!$M$2=CM347),'2025DATA'!$F$18,"")</f>
        <v/>
      </c>
      <c r="CN363" s="518" t="str">
        <f>IF(AND(_A6="B-767-200",'2025'!$M$4="FO",'2025'!$M$2=CN347),'2025DATA'!$G$18,"")</f>
        <v/>
      </c>
      <c r="CO363" s="518" t="str">
        <f>IF(AND(_A6="B-767-200",'2025'!$M$4="FO",'2025'!$M$2=CO347),'2025DATA'!$H$18,"")</f>
        <v/>
      </c>
      <c r="CP363" s="518" t="str">
        <f>IF(AND(_A6="B-767-200",'2025'!$M$4="FO",'2025'!$M$2=CP347),'2025DATA'!$I$18,"")</f>
        <v/>
      </c>
      <c r="CQ363" s="518" t="str">
        <f>IF(AND(_A6="B-767-200",'2025'!$M$4="FO",'2025'!$M$2=CQ347),'2025DATA'!$J$18,"")</f>
        <v/>
      </c>
      <c r="CR363" s="518" t="str">
        <f>IF(AND(_A6="B-767-200",'2025'!$M$4="FO",'2025'!$M$2=CR347),'2025DATA'!$K$18,"")</f>
        <v/>
      </c>
      <c r="CS363" s="518" t="str">
        <f>IF(AND(_A6="B-767-200",'2025'!$M$4="FO",'2025'!$M$2=CS347),'2025DATA'!$L$18,"")</f>
        <v/>
      </c>
      <c r="CT363" s="518" t="str">
        <f>IF(AND(_A6="B-767-200",'2025'!$M$4="FO",'2025'!$M$2=CT347),'2025DATA'!$M$18,"")</f>
        <v/>
      </c>
      <c r="CU363" s="520" t="str">
        <f>IF(AND(_A6="B-767-200",'2025'!$M$4="FO",'2025'!$M$2=CU347),'2025DATA'!$N$18,"")</f>
        <v/>
      </c>
    </row>
    <row r="364" spans="16:99" x14ac:dyDescent="0.25">
      <c r="P364" s="940" t="s">
        <v>45</v>
      </c>
      <c r="Q364" s="13" t="s">
        <v>61</v>
      </c>
      <c r="R364" s="518" t="str">
        <f>IF(AND(_A1="B-757",'2025'!$M$4="CA",'2025'!$M$2=R347),'2025DATA'!$C$19,"")</f>
        <v/>
      </c>
      <c r="S364" s="518" t="str">
        <f>IF(AND(_A1="B-757",'2025'!$M$4="CA",'2025'!$M$2=S347),'2025DATA'!$D$19,"")</f>
        <v/>
      </c>
      <c r="T364" s="518" t="str">
        <f>IF(AND(_A1="B-757",'2025'!$M$4="CA",'2025'!$M$2=T347),'2025DATA'!$E$19,"")</f>
        <v/>
      </c>
      <c r="U364" s="518" t="str">
        <f>IF(AND(_A1="B-757",'2025'!$M$4="CA",'2025'!$M$2=U347),'2025DATA'!$F$19,"")</f>
        <v/>
      </c>
      <c r="V364" s="518" t="str">
        <f>IF(AND(_A1="B-757",'2025'!$M$4="CA",'2025'!$M$2=V347),'2025DATA'!$G$19,"")</f>
        <v/>
      </c>
      <c r="W364" s="518" t="str">
        <f>IF(AND(_A1="B-757",'2025'!$M$4="CA",'2025'!$M$2=W347),'2025DATA'!$H$19,"")</f>
        <v/>
      </c>
      <c r="X364" s="518" t="str">
        <f>IF(AND(_A1="B-757",'2025'!$M$4="CA",'2025'!$M$2=X347),'2025DATA'!$I$19,"")</f>
        <v/>
      </c>
      <c r="Y364" s="518" t="str">
        <f>IF(AND(_A1="B-757",'2025'!$M$4="CA",'2025'!$M$2=Y347),'2025DATA'!$J$19,"")</f>
        <v/>
      </c>
      <c r="Z364" s="518" t="str">
        <f>IF(AND(_A1="B-757",'2025'!$M$4="CA",'2025'!$M$2=Z347),'2025DATA'!$K$19,"")</f>
        <v/>
      </c>
      <c r="AA364" s="518" t="str">
        <f>IF(AND(_A1="B-757",'2025'!$M$4="CA",'2025'!$M$2=AA347),'2025DATA'!$L$19,"")</f>
        <v/>
      </c>
      <c r="AB364" s="518" t="str">
        <f>IF(AND(_A1="B-757",'2025'!$M$4="CA",'2025'!$M$2=AB347),'2025DATA'!$M$19,"")</f>
        <v/>
      </c>
      <c r="AC364" s="520" t="str">
        <f>IF(AND(_A1="B-757",'2025'!$M$4="CA",'2025'!$M$2=AC347),'2025DATA'!$N$19,"")</f>
        <v/>
      </c>
      <c r="AD364" s="940" t="s">
        <v>45</v>
      </c>
      <c r="AE364" s="13" t="s">
        <v>61</v>
      </c>
      <c r="AF364" s="518" t="str">
        <f>IF(AND(_A2="B-757",'2025'!$M$4="CA",'2025'!$M$2=AF347),'2025DATA'!$C$19,"")</f>
        <v/>
      </c>
      <c r="AG364" s="518" t="str">
        <f>IF(AND(_A2="B-757",'2025'!$M$4="CA",'2025'!$M$2=AG347),'2025DATA'!$D$19,"")</f>
        <v/>
      </c>
      <c r="AH364" s="518" t="str">
        <f>IF(AND(_A2="B-757",'2025'!$M$4="CA",'2025'!$M$2=AH347),'2025DATA'!$E$19,"")</f>
        <v/>
      </c>
      <c r="AI364" s="518" t="str">
        <f>IF(AND(_A2="B-757",'2025'!$M$4="CA",'2025'!$M$2=AI347),'2025DATA'!$F$19,"")</f>
        <v/>
      </c>
      <c r="AJ364" s="518" t="str">
        <f>IF(AND(_A2="B-757",'2025'!$M$4="CA",'2025'!$M$2=AJ347),'2025DATA'!$G$19,"")</f>
        <v/>
      </c>
      <c r="AK364" s="518" t="str">
        <f>IF(AND(_A2="B-757",'2025'!$M$4="CA",'2025'!$M$2=AK347),'2025DATA'!$H$19,"")</f>
        <v/>
      </c>
      <c r="AL364" s="518" t="str">
        <f>IF(AND(_A2="B-757",'2025'!$M$4="CA",'2025'!$M$2=AL347),'2025DATA'!$I$19,"")</f>
        <v/>
      </c>
      <c r="AM364" s="518" t="str">
        <f>IF(AND(_A2="B-757",'2025'!$M$4="CA",'2025'!$M$2=AM347),'2025DATA'!$J$19,"")</f>
        <v/>
      </c>
      <c r="AN364" s="518" t="str">
        <f>IF(AND(_A2="B-757",'2025'!$M$4="CA",'2025'!$M$2=AN347),'2025DATA'!$K$19,"")</f>
        <v/>
      </c>
      <c r="AO364" s="518" t="str">
        <f>IF(AND(_A2="B-757",'2025'!$M$4="CA",'2025'!$M$2=AO347),'2025DATA'!$L$19,"")</f>
        <v/>
      </c>
      <c r="AP364" s="518" t="str">
        <f>IF(AND(_A2="B-757",'2025'!$M$4="CA",'2025'!$M$2=AP347),'2025DATA'!$M$19,"")</f>
        <v/>
      </c>
      <c r="AQ364" s="520" t="str">
        <f>IF(AND(_A2="B-757",'2025'!$M$4="CA",'2025'!$M$2=AQ347),'2025DATA'!$N$19,"")</f>
        <v/>
      </c>
      <c r="AR364" s="940" t="s">
        <v>45</v>
      </c>
      <c r="AS364" s="13" t="s">
        <v>61</v>
      </c>
      <c r="AT364" s="518" t="str">
        <f>IF(AND(_A3="B-757",'2025'!$M$4="CA",'2025'!$M$2=AT347),'2025DATA'!$C$19,"")</f>
        <v/>
      </c>
      <c r="AU364" s="518" t="str">
        <f>IF(AND(_A3="B-757",'2025'!$M$4="CA",'2025'!$M$2=AU347),'2025DATA'!$D$19,"")</f>
        <v/>
      </c>
      <c r="AV364" s="518" t="str">
        <f>IF(AND(_A3="B-757",'2025'!$M$4="CA",'2025'!$M$2=AV347),'2025DATA'!$E$19,"")</f>
        <v/>
      </c>
      <c r="AW364" s="518" t="str">
        <f>IF(AND(_A3="B-757",'2025'!$M$4="CA",'2025'!$M$2=AW347),'2025DATA'!$F$19,"")</f>
        <v/>
      </c>
      <c r="AX364" s="518" t="str">
        <f>IF(AND(_A3="B-757",'2025'!$M$4="CA",'2025'!$M$2=AX347),'2025DATA'!$G$19,"")</f>
        <v/>
      </c>
      <c r="AY364" s="518" t="str">
        <f>IF(AND(_A3="B-757",'2025'!$M$4="CA",'2025'!$M$2=AY347),'2025DATA'!$H$19,"")</f>
        <v/>
      </c>
      <c r="AZ364" s="518" t="str">
        <f>IF(AND(_A3="B-757",'2025'!$M$4="CA",'2025'!$M$2=AZ347),'2025DATA'!$I$19,"")</f>
        <v/>
      </c>
      <c r="BA364" s="518" t="str">
        <f>IF(AND(_A3="B-757",'2025'!$M$4="CA",'2025'!$M$2=BA347),'2025DATA'!$J$19,"")</f>
        <v/>
      </c>
      <c r="BB364" s="518" t="str">
        <f>IF(AND(_A3="B-757",'2025'!$M$4="CA",'2025'!$M$2=BB347),'2025DATA'!$K$19,"")</f>
        <v/>
      </c>
      <c r="BC364" s="518" t="str">
        <f>IF(AND(_A3="B-757",'2025'!$M$4="CA",'2025'!$M$2=BC347),'2025DATA'!$L$19,"")</f>
        <v/>
      </c>
      <c r="BD364" s="518" t="str">
        <f>IF(AND(_A3="B-757",'2025'!$M$4="CA",'2025'!$M$2=BD347),'2025DATA'!$M$19,"")</f>
        <v/>
      </c>
      <c r="BE364" s="520" t="str">
        <f>IF(AND(_A3="B-757",'2025'!$M$4="CA",'2025'!$M$2=BE347),'2025DATA'!$N$19,"")</f>
        <v/>
      </c>
      <c r="BF364" s="940" t="s">
        <v>45</v>
      </c>
      <c r="BG364" s="13" t="s">
        <v>61</v>
      </c>
      <c r="BH364" s="518" t="str">
        <f>IF(AND(_A4="B-757",'2025'!$M$4="CA",'2025'!$M$2=BH347),'2025DATA'!$C$19,"")</f>
        <v/>
      </c>
      <c r="BI364" s="518" t="str">
        <f>IF(AND(_A4="B-757",'2025'!$M$4="CA",'2025'!$M$2=BI347),'2025DATA'!$D$19,"")</f>
        <v/>
      </c>
      <c r="BJ364" s="518" t="str">
        <f>IF(AND(_A4="B-757",'2025'!$M$4="CA",'2025'!$M$2=BJ347),'2025DATA'!$E$19,"")</f>
        <v/>
      </c>
      <c r="BK364" s="518" t="str">
        <f>IF(AND(_A4="B-757",'2025'!$M$4="CA",'2025'!$M$2=BK347),'2025DATA'!$F$19,"")</f>
        <v/>
      </c>
      <c r="BL364" s="518" t="str">
        <f>IF(AND(_A4="B-757",'2025'!$M$4="CA",'2025'!$M$2=BL347),'2025DATA'!$G$19,"")</f>
        <v/>
      </c>
      <c r="BM364" s="518" t="str">
        <f>IF(AND(_A4="B-757",'2025'!$M$4="CA",'2025'!$M$2=BM347),'2025DATA'!$H$19,"")</f>
        <v/>
      </c>
      <c r="BN364" s="518" t="str">
        <f>IF(AND(_A4="B-757",'2025'!$M$4="CA",'2025'!$M$2=BN347),'2025DATA'!$I$19,"")</f>
        <v/>
      </c>
      <c r="BO364" s="518" t="str">
        <f>IF(AND(_A4="B-757",'2025'!$M$4="CA",'2025'!$M$2=BO347),'2025DATA'!$J$19,"")</f>
        <v/>
      </c>
      <c r="BP364" s="518" t="str">
        <f>IF(AND(_A4="B-757",'2025'!$M$4="CA",'2025'!$M$2=BP347),'2025DATA'!$K$19,"")</f>
        <v/>
      </c>
      <c r="BQ364" s="518" t="str">
        <f>IF(AND(_A4="B-757",'2025'!$M$4="CA",'2025'!$M$2=BQ347),'2025DATA'!$L$19,"")</f>
        <v/>
      </c>
      <c r="BR364" s="518" t="str">
        <f>IF(AND(_A4="B-757",'2025'!$M$4="CA",'2025'!$M$2=BR347),'2025DATA'!$M$19,"")</f>
        <v/>
      </c>
      <c r="BS364" s="520" t="str">
        <f>IF(AND(_A4="B-757",'2025'!$M$4="CA",'2025'!$M$2=BS347),'2025DATA'!$N$19,"")</f>
        <v/>
      </c>
      <c r="BT364" s="940" t="s">
        <v>45</v>
      </c>
      <c r="BU364" s="13" t="s">
        <v>61</v>
      </c>
      <c r="BV364" s="518" t="str">
        <f>IF(AND(_A5="B-757",'2025'!$M$4="CA",'2025'!$M$2=BV347),'2025DATA'!$C$19,"")</f>
        <v/>
      </c>
      <c r="BW364" s="518" t="str">
        <f>IF(AND(_A5="B-757",'2025'!$M$4="CA",'2025'!$M$2=BW347),'2025DATA'!$D$19,"")</f>
        <v/>
      </c>
      <c r="BX364" s="518" t="str">
        <f>IF(AND(_A5="B-757",'2025'!$M$4="CA",'2025'!$M$2=BX347),'2025DATA'!$E$19,"")</f>
        <v/>
      </c>
      <c r="BY364" s="518" t="str">
        <f>IF(AND(_A5="B-757",'2025'!$M$4="CA",'2025'!$M$2=BY347),'2025DATA'!$F$19,"")</f>
        <v/>
      </c>
      <c r="BZ364" s="518" t="str">
        <f>IF(AND(_A5="B-757",'2025'!$M$4="CA",'2025'!$M$2=BZ347),'2025DATA'!$G$19,"")</f>
        <v/>
      </c>
      <c r="CA364" s="518" t="str">
        <f>IF(AND(_A5="B-757",'2025'!$M$4="CA",'2025'!$M$2=CA347),'2025DATA'!$H$19,"")</f>
        <v/>
      </c>
      <c r="CB364" s="518" t="str">
        <f>IF(AND(_A5="B-757",'2025'!$M$4="CA",'2025'!$M$2=CB347),'2025DATA'!$I$19,"")</f>
        <v/>
      </c>
      <c r="CC364" s="518" t="str">
        <f>IF(AND(_A5="B-757",'2025'!$M$4="CA",'2025'!$M$2=CC347),'2025DATA'!$J$19,"")</f>
        <v/>
      </c>
      <c r="CD364" s="518" t="str">
        <f>IF(AND(_A5="B-757",'2025'!$M$4="CA",'2025'!$M$2=CD347),'2025DATA'!$K$19,"")</f>
        <v/>
      </c>
      <c r="CE364" s="518" t="str">
        <f>IF(AND(_A5="B-757",'2025'!$M$4="CA",'2025'!$M$2=CE347),'2025DATA'!$L$19,"")</f>
        <v/>
      </c>
      <c r="CF364" s="518" t="str">
        <f>IF(AND(_A5="B-757",'2025'!$M$4="CA",'2025'!$M$2=CF347),'2025DATA'!$M$19,"")</f>
        <v/>
      </c>
      <c r="CG364" s="520" t="str">
        <f>IF(AND(_A5="B-757",'2025'!$M$4="CA",'2025'!$M$2=CG347),'2025DATA'!$N$19,"")</f>
        <v/>
      </c>
      <c r="CH364" s="940" t="s">
        <v>45</v>
      </c>
      <c r="CI364" s="13" t="s">
        <v>61</v>
      </c>
      <c r="CJ364" s="518" t="str">
        <f>IF(AND(_A6="B-757",'2025'!$M$4="CA",'2025'!$M$2=CJ347),'2025DATA'!$C$19,"")</f>
        <v/>
      </c>
      <c r="CK364" s="518" t="str">
        <f>IF(AND(_A6="B-757",'2025'!$M$4="CA",'2025'!$M$2=CK347),'2025DATA'!$D$19,"")</f>
        <v/>
      </c>
      <c r="CL364" s="518" t="str">
        <f>IF(AND(_A6="B-757",'2025'!$M$4="CA",'2025'!$M$2=CL347),'2025DATA'!$E$19,"")</f>
        <v/>
      </c>
      <c r="CM364" s="518" t="str">
        <f>IF(AND(_A6="B-757",'2025'!$M$4="CA",'2025'!$M$2=CM347),'2025DATA'!$F$19,"")</f>
        <v/>
      </c>
      <c r="CN364" s="518" t="str">
        <f>IF(AND(_A6="B-757",'2025'!$M$4="CA",'2025'!$M$2=CN347),'2025DATA'!$G$19,"")</f>
        <v/>
      </c>
      <c r="CO364" s="518" t="str">
        <f>IF(AND(_A6="B-757",'2025'!$M$4="CA",'2025'!$M$2=CO347),'2025DATA'!$H$19,"")</f>
        <v/>
      </c>
      <c r="CP364" s="518" t="str">
        <f>IF(AND(_A6="B-757",'2025'!$M$4="CA",'2025'!$M$2=CP347),'2025DATA'!$I$19,"")</f>
        <v/>
      </c>
      <c r="CQ364" s="518" t="str">
        <f>IF(AND(_A6="B-757",'2025'!$M$4="CA",'2025'!$M$2=CQ347),'2025DATA'!$J$19,"")</f>
        <v/>
      </c>
      <c r="CR364" s="518" t="str">
        <f>IF(AND(_A6="B-757",'2025'!$M$4="CA",'2025'!$M$2=CR347),'2025DATA'!$K$19,"")</f>
        <v/>
      </c>
      <c r="CS364" s="518" t="str">
        <f>IF(AND(_A6="B-757",'2025'!$M$4="CA",'2025'!$M$2=CS347),'2025DATA'!$L$19,"")</f>
        <v/>
      </c>
      <c r="CT364" s="518" t="str">
        <f>IF(AND(_A6="B-757",'2025'!$M$4="CA",'2025'!$M$2=CT347),'2025DATA'!$M$19,"")</f>
        <v/>
      </c>
      <c r="CU364" s="520" t="str">
        <f>IF(AND(_A6="B-757",'2025'!$M$4="CA",'2025'!$M$2=CU347),'2025DATA'!$N$19,"")</f>
        <v/>
      </c>
    </row>
    <row r="365" spans="16:99" x14ac:dyDescent="0.25">
      <c r="P365" s="940"/>
      <c r="Q365" s="13" t="s">
        <v>62</v>
      </c>
      <c r="R365" s="518" t="str">
        <f>IF(AND(_A1="B-757",'2025'!$M$4="FO",'2025'!$M$2=R347),'2025DATA'!$C$20,"")</f>
        <v/>
      </c>
      <c r="S365" s="518" t="str">
        <f>IF(AND(_A1="B-757",'2025'!$M$4="FO",'2025'!$M$2=S347),'2025DATA'!$D$20,"")</f>
        <v/>
      </c>
      <c r="T365" s="518" t="str">
        <f>IF(AND(_A1="B-757",'2025'!$M$4="FO",'2025'!$M$2=T347),'2025DATA'!$E$20,"")</f>
        <v/>
      </c>
      <c r="U365" s="518" t="str">
        <f>IF(AND(_A1="B-757",'2025'!$M$4="FO",'2025'!$M$2=U347),'2025DATA'!$F$20,"")</f>
        <v/>
      </c>
      <c r="V365" s="518" t="str">
        <f>IF(AND(_A1="B-757",'2025'!$M$4="FO",'2025'!$M$2=V347),'2025DATA'!$G$20,"")</f>
        <v/>
      </c>
      <c r="W365" s="518" t="str">
        <f>IF(AND(_A1="B-757",'2025'!$M$4="FO",'2025'!$M$2=W347),'2025DATA'!$H$20,"")</f>
        <v/>
      </c>
      <c r="X365" s="518" t="str">
        <f>IF(AND(_A1="B-757",'2025'!$M$4="FO",'2025'!$M$2=X347),'2025DATA'!$I$20,"")</f>
        <v/>
      </c>
      <c r="Y365" s="518" t="str">
        <f>IF(AND(_A1="B-757",'2025'!$M$4="FO",'2025'!$M$2=Y347),'2025DATA'!$J$20,"")</f>
        <v/>
      </c>
      <c r="Z365" s="518" t="str">
        <f>IF(AND(_A1="B-757",'2025'!$M$4="FO",'2025'!$M$2=Z347),'2025DATA'!$K$20,"")</f>
        <v/>
      </c>
      <c r="AA365" s="518" t="str">
        <f>IF(AND(_A1="B-757",'2025'!$M$4="FO",'2025'!$M$2=AA347),'2025DATA'!$L$20,"")</f>
        <v/>
      </c>
      <c r="AB365" s="518" t="str">
        <f>IF(AND(_A1="B-757",'2025'!$M$4="FO",'2025'!$M$2=AB347),'2025DATA'!$M$20,"")</f>
        <v/>
      </c>
      <c r="AC365" s="520" t="str">
        <f>IF(AND(_A1="B-757",'2025'!$M$4="FO",'2025'!$M$2=AC347),'2025DATA'!$N$20,"")</f>
        <v/>
      </c>
      <c r="AD365" s="940"/>
      <c r="AE365" s="13" t="s">
        <v>62</v>
      </c>
      <c r="AF365" s="518" t="str">
        <f>IF(AND(_A2="B-757",'2025'!$M$4="FO",'2025'!$M$2=AF347),'2025DATA'!$C$20,"")</f>
        <v/>
      </c>
      <c r="AG365" s="518" t="str">
        <f>IF(AND(_A2="B-757",'2025'!$M$4="FO",'2025'!$M$2=AG347),'2025DATA'!$D$20,"")</f>
        <v/>
      </c>
      <c r="AH365" s="518" t="str">
        <f>IF(AND(_A2="B-757",'2025'!$M$4="FO",'2025'!$M$2=AH347),'2025DATA'!$E$20,"")</f>
        <v/>
      </c>
      <c r="AI365" s="518" t="str">
        <f>IF(AND(_A2="B-757",'2025'!$M$4="FO",'2025'!$M$2=AI347),'2025DATA'!$F$20,"")</f>
        <v/>
      </c>
      <c r="AJ365" s="518" t="str">
        <f>IF(AND(_A2="B-757",'2025'!$M$4="FO",'2025'!$M$2=AJ347),'2025DATA'!$G$20,"")</f>
        <v/>
      </c>
      <c r="AK365" s="518" t="str">
        <f>IF(AND(_A2="B-757",'2025'!$M$4="FO",'2025'!$M$2=AK347),'2025DATA'!$H$20,"")</f>
        <v/>
      </c>
      <c r="AL365" s="518" t="str">
        <f>IF(AND(_A2="B-757",'2025'!$M$4="FO",'2025'!$M$2=AL347),'2025DATA'!$I$20,"")</f>
        <v/>
      </c>
      <c r="AM365" s="518" t="str">
        <f>IF(AND(_A2="B-757",'2025'!$M$4="FO",'2025'!$M$2=AM347),'2025DATA'!$J$20,"")</f>
        <v/>
      </c>
      <c r="AN365" s="518" t="str">
        <f>IF(AND(_A2="B-757",'2025'!$M$4="FO",'2025'!$M$2=AN347),'2025DATA'!$K$20,"")</f>
        <v/>
      </c>
      <c r="AO365" s="518" t="str">
        <f>IF(AND(_A2="B-757",'2025'!$M$4="FO",'2025'!$M$2=AO347),'2025DATA'!$L$20,"")</f>
        <v/>
      </c>
      <c r="AP365" s="518" t="str">
        <f>IF(AND(_A2="B-757",'2025'!$M$4="FO",'2025'!$M$2=AP347),'2025DATA'!$M$20,"")</f>
        <v/>
      </c>
      <c r="AQ365" s="520" t="str">
        <f>IF(AND(_A2="B-757",'2025'!$M$4="FO",'2025'!$M$2=AQ347),'2025DATA'!$N$20,"")</f>
        <v/>
      </c>
      <c r="AR365" s="940"/>
      <c r="AS365" s="13" t="s">
        <v>62</v>
      </c>
      <c r="AT365" s="518" t="str">
        <f>IF(AND(_A3="B-757",'2025'!$M$4="FO",'2025'!$M$2=AT347),'2025DATA'!$C$20,"")</f>
        <v/>
      </c>
      <c r="AU365" s="518" t="str">
        <f>IF(AND(_A3="B-757",'2025'!$M$4="FO",'2025'!$M$2=AU347),'2025DATA'!$D$20,"")</f>
        <v/>
      </c>
      <c r="AV365" s="518" t="str">
        <f>IF(AND(_A3="B-757",'2025'!$M$4="FO",'2025'!$M$2=AV347),'2025DATA'!$E$20,"")</f>
        <v/>
      </c>
      <c r="AW365" s="518" t="str">
        <f>IF(AND(_A3="B-757",'2025'!$M$4="FO",'2025'!$M$2=AW347),'2025DATA'!$F$20,"")</f>
        <v/>
      </c>
      <c r="AX365" s="518" t="str">
        <f>IF(AND(_A3="B-757",'2025'!$M$4="FO",'2025'!$M$2=AX347),'2025DATA'!$G$20,"")</f>
        <v/>
      </c>
      <c r="AY365" s="518" t="str">
        <f>IF(AND(_A3="B-757",'2025'!$M$4="FO",'2025'!$M$2=AY347),'2025DATA'!$H$20,"")</f>
        <v/>
      </c>
      <c r="AZ365" s="518" t="str">
        <f>IF(AND(_A3="B-757",'2025'!$M$4="FO",'2025'!$M$2=AZ347),'2025DATA'!$I$20,"")</f>
        <v/>
      </c>
      <c r="BA365" s="518" t="str">
        <f>IF(AND(_A3="B-757",'2025'!$M$4="FO",'2025'!$M$2=BA347),'2025DATA'!$J$20,"")</f>
        <v/>
      </c>
      <c r="BB365" s="518" t="str">
        <f>IF(AND(_A3="B-757",'2025'!$M$4="FO",'2025'!$M$2=BB347),'2025DATA'!$K$20,"")</f>
        <v/>
      </c>
      <c r="BC365" s="518" t="str">
        <f>IF(AND(_A3="B-757",'2025'!$M$4="FO",'2025'!$M$2=BC347),'2025DATA'!$L$20,"")</f>
        <v/>
      </c>
      <c r="BD365" s="518" t="str">
        <f>IF(AND(_A3="B-757",'2025'!$M$4="FO",'2025'!$M$2=BD347),'2025DATA'!$M$20,"")</f>
        <v/>
      </c>
      <c r="BE365" s="520" t="str">
        <f>IF(AND(_A3="B-757",'2025'!$M$4="FO",'2025'!$M$2=BE347),'2025DATA'!$N$20,"")</f>
        <v/>
      </c>
      <c r="BF365" s="940"/>
      <c r="BG365" s="13" t="s">
        <v>62</v>
      </c>
      <c r="BH365" s="518" t="str">
        <f>IF(AND(_A4="B-757",'2025'!$M$4="FO",'2025'!$M$2=BH347),'2025DATA'!$C$20,"")</f>
        <v/>
      </c>
      <c r="BI365" s="518" t="str">
        <f>IF(AND(_A4="B-757",'2025'!$M$4="FO",'2025'!$M$2=BI347),'2025DATA'!$D$20,"")</f>
        <v/>
      </c>
      <c r="BJ365" s="518" t="str">
        <f>IF(AND(_A4="B-757",'2025'!$M$4="FO",'2025'!$M$2=BJ347),'2025DATA'!$E$20,"")</f>
        <v/>
      </c>
      <c r="BK365" s="518" t="str">
        <f>IF(AND(_A4="B-757",'2025'!$M$4="FO",'2025'!$M$2=BK347),'2025DATA'!$F$20,"")</f>
        <v/>
      </c>
      <c r="BL365" s="518" t="str">
        <f>IF(AND(_A4="B-757",'2025'!$M$4="FO",'2025'!$M$2=BL347),'2025DATA'!$G$20,"")</f>
        <v/>
      </c>
      <c r="BM365" s="518" t="str">
        <f>IF(AND(_A4="B-757",'2025'!$M$4="FO",'2025'!$M$2=BM347),'2025DATA'!$H$20,"")</f>
        <v/>
      </c>
      <c r="BN365" s="518" t="str">
        <f>IF(AND(_A4="B-757",'2025'!$M$4="FO",'2025'!$M$2=BN347),'2025DATA'!$I$20,"")</f>
        <v/>
      </c>
      <c r="BO365" s="518" t="str">
        <f>IF(AND(_A4="B-757",'2025'!$M$4="FO",'2025'!$M$2=BO347),'2025DATA'!$J$20,"")</f>
        <v/>
      </c>
      <c r="BP365" s="518" t="str">
        <f>IF(AND(_A4="B-757",'2025'!$M$4="FO",'2025'!$M$2=BP347),'2025DATA'!$K$20,"")</f>
        <v/>
      </c>
      <c r="BQ365" s="518" t="str">
        <f>IF(AND(_A4="B-757",'2025'!$M$4="FO",'2025'!$M$2=BQ347),'2025DATA'!$L$20,"")</f>
        <v/>
      </c>
      <c r="BR365" s="518" t="str">
        <f>IF(AND(_A4="B-757",'2025'!$M$4="FO",'2025'!$M$2=BR347),'2025DATA'!$M$20,"")</f>
        <v/>
      </c>
      <c r="BS365" s="520" t="str">
        <f>IF(AND(_A4="B-757",'2025'!$M$4="FO",'2025'!$M$2=BS347),'2025DATA'!$N$20,"")</f>
        <v/>
      </c>
      <c r="BT365" s="940"/>
      <c r="BU365" s="13" t="s">
        <v>62</v>
      </c>
      <c r="BV365" s="518" t="str">
        <f>IF(AND(_A5="B-757",'2025'!$M$4="FO",'2025'!$M$2=BV347),'2025DATA'!$C$20,"")</f>
        <v/>
      </c>
      <c r="BW365" s="518" t="str">
        <f>IF(AND(_A5="B-757",'2025'!$M$4="FO",'2025'!$M$2=BW347),'2025DATA'!$D$20,"")</f>
        <v/>
      </c>
      <c r="BX365" s="518" t="str">
        <f>IF(AND(_A5="B-757",'2025'!$M$4="FO",'2025'!$M$2=BX347),'2025DATA'!$E$20,"")</f>
        <v/>
      </c>
      <c r="BY365" s="518" t="str">
        <f>IF(AND(_A5="B-757",'2025'!$M$4="FO",'2025'!$M$2=BY347),'2025DATA'!$F$20,"")</f>
        <v/>
      </c>
      <c r="BZ365" s="518" t="str">
        <f>IF(AND(_A5="B-757",'2025'!$M$4="FO",'2025'!$M$2=BZ347),'2025DATA'!$G$20,"")</f>
        <v/>
      </c>
      <c r="CA365" s="518" t="str">
        <f>IF(AND(_A5="B-757",'2025'!$M$4="FO",'2025'!$M$2=CA347),'2025DATA'!$H$20,"")</f>
        <v/>
      </c>
      <c r="CB365" s="518" t="str">
        <f>IF(AND(_A5="B-757",'2025'!$M$4="FO",'2025'!$M$2=CB347),'2025DATA'!$I$20,"")</f>
        <v/>
      </c>
      <c r="CC365" s="518" t="str">
        <f>IF(AND(_A5="B-757",'2025'!$M$4="FO",'2025'!$M$2=CC347),'2025DATA'!$J$20,"")</f>
        <v/>
      </c>
      <c r="CD365" s="518" t="str">
        <f>IF(AND(_A5="B-757",'2025'!$M$4="FO",'2025'!$M$2=CD347),'2025DATA'!$K$20,"")</f>
        <v/>
      </c>
      <c r="CE365" s="518" t="str">
        <f>IF(AND(_A5="B-757",'2025'!$M$4="FO",'2025'!$M$2=CE347),'2025DATA'!$L$20,"")</f>
        <v/>
      </c>
      <c r="CF365" s="518" t="str">
        <f>IF(AND(_A5="B-757",'2025'!$M$4="FO",'2025'!$M$2=CF347),'2025DATA'!$M$20,"")</f>
        <v/>
      </c>
      <c r="CG365" s="520" t="str">
        <f>IF(AND(_A5="B-757",'2025'!$M$4="FO",'2025'!$M$2=CG347),'2025DATA'!$N$20,"")</f>
        <v/>
      </c>
      <c r="CH365" s="940"/>
      <c r="CI365" s="13" t="s">
        <v>62</v>
      </c>
      <c r="CJ365" s="518" t="str">
        <f>IF(AND(_A6="B-757",'2025'!$M$4="FO",'2025'!$M$2=CJ347),'2025DATA'!$C$20,"")</f>
        <v/>
      </c>
      <c r="CK365" s="518" t="str">
        <f>IF(AND(_A6="B-757",'2025'!$M$4="FO",'2025'!$M$2=CK347),'2025DATA'!$D$20,"")</f>
        <v/>
      </c>
      <c r="CL365" s="518" t="str">
        <f>IF(AND(_A6="B-757",'2025'!$M$4="FO",'2025'!$M$2=CL347),'2025DATA'!$E$20,"")</f>
        <v/>
      </c>
      <c r="CM365" s="518" t="str">
        <f>IF(AND(_A6="B-757",'2025'!$M$4="FO",'2025'!$M$2=CM347),'2025DATA'!$F$20,"")</f>
        <v/>
      </c>
      <c r="CN365" s="518" t="str">
        <f>IF(AND(_A6="B-757",'2025'!$M$4="FO",'2025'!$M$2=CN347),'2025DATA'!$G$20,"")</f>
        <v/>
      </c>
      <c r="CO365" s="518" t="str">
        <f>IF(AND(_A6="B-757",'2025'!$M$4="FO",'2025'!$M$2=CO347),'2025DATA'!$H$20,"")</f>
        <v/>
      </c>
      <c r="CP365" s="518" t="str">
        <f>IF(AND(_A6="B-757",'2025'!$M$4="FO",'2025'!$M$2=CP347),'2025DATA'!$I$20,"")</f>
        <v/>
      </c>
      <c r="CQ365" s="518" t="str">
        <f>IF(AND(_A6="B-757",'2025'!$M$4="FO",'2025'!$M$2=CQ347),'2025DATA'!$J$20,"")</f>
        <v/>
      </c>
      <c r="CR365" s="518" t="str">
        <f>IF(AND(_A6="B-757",'2025'!$M$4="FO",'2025'!$M$2=CR347),'2025DATA'!$K$20,"")</f>
        <v/>
      </c>
      <c r="CS365" s="518" t="str">
        <f>IF(AND(_A6="B-757",'2025'!$M$4="FO",'2025'!$M$2=CS347),'2025DATA'!$L$20,"")</f>
        <v/>
      </c>
      <c r="CT365" s="518" t="str">
        <f>IF(AND(_A6="B-757",'2025'!$M$4="FO",'2025'!$M$2=CT347),'2025DATA'!$M$20,"")</f>
        <v/>
      </c>
      <c r="CU365" s="520" t="str">
        <f>IF(AND(_A6="B-757",'2025'!$M$4="FO",'2025'!$M$2=CU347),'2025DATA'!$N$20,"")</f>
        <v/>
      </c>
    </row>
    <row r="366" spans="16:99" x14ac:dyDescent="0.25">
      <c r="P366" s="940" t="s">
        <v>47</v>
      </c>
      <c r="Q366" s="13" t="s">
        <v>61</v>
      </c>
      <c r="R366" s="518" t="str">
        <f>IF(AND(_A1="B-737-900",'2025'!$M$4="CA",'2025'!$M$2=R347),'2025DATA'!$C$21,"")</f>
        <v/>
      </c>
      <c r="S366" s="518" t="str">
        <f>IF(AND(_A1="B-737-900",'2025'!$M$4="CA",'2025'!$M$2=S347),'2025DATA'!$D$21,"")</f>
        <v/>
      </c>
      <c r="T366" s="518" t="str">
        <f>IF(AND(_A1="B-737-900",'2025'!$M$4="CA",'2025'!$M$2=T347),'2025DATA'!$E$21,"")</f>
        <v/>
      </c>
      <c r="U366" s="518" t="str">
        <f>IF(AND(_A1="B-737-900",'2025'!$M$4="CA",'2025'!$M$2=U347),'2025DATA'!$F$21,"")</f>
        <v/>
      </c>
      <c r="V366" s="518" t="str">
        <f>IF(AND(_A1="B-737-900",'2025'!$M$4="CA",'2025'!$M$2=V347),'2025DATA'!$G$21,"")</f>
        <v/>
      </c>
      <c r="W366" s="518" t="str">
        <f>IF(AND(_A1="B-737-900",'2025'!$M$4="CA",'2025'!$M$2=W347),'2025DATA'!$H$21,"")</f>
        <v/>
      </c>
      <c r="X366" s="518" t="str">
        <f>IF(AND(_A1="B-737-900",'2025'!$M$4="CA",'2025'!$M$2=X347),'2025DATA'!$I$21,"")</f>
        <v/>
      </c>
      <c r="Y366" s="518" t="str">
        <f>IF(AND(_A1="B-737-900",'2025'!$M$4="CA",'2025'!$M$2=Y347),'2025DATA'!$J$21,"")</f>
        <v/>
      </c>
      <c r="Z366" s="518" t="str">
        <f>IF(AND(_A1="B-737-900",'2025'!$M$4="CA",'2025'!$M$2=Z347),'2025DATA'!$K$21,"")</f>
        <v/>
      </c>
      <c r="AA366" s="518" t="str">
        <f>IF(AND(_A1="B-737-900",'2025'!$M$4="CA",'2025'!$M$2=AA347),'2025DATA'!$L$21,"")</f>
        <v/>
      </c>
      <c r="AB366" s="518" t="str">
        <f>IF(AND(_A1="B-737-900",'2025'!$M$4="CA",'2025'!$M$2=AB347),'2025DATA'!$M$21,"")</f>
        <v/>
      </c>
      <c r="AC366" s="520" t="str">
        <f>IF(AND(_A1="B-737-900",'2025'!$M$4="CA",'2025'!$M$2=AC347),'2025DATA'!$N$21,"")</f>
        <v/>
      </c>
      <c r="AD366" s="940" t="s">
        <v>47</v>
      </c>
      <c r="AE366" s="13" t="s">
        <v>61</v>
      </c>
      <c r="AF366" s="518" t="str">
        <f>IF(AND(_A2="B-737-900",'2025'!$M$4="CA",'2025'!$M$2=AF347),'2025DATA'!$C$21,"")</f>
        <v/>
      </c>
      <c r="AG366" s="518" t="str">
        <f>IF(AND(_A2="B-737-900",'2025'!$M$4="CA",'2025'!$M$2=AG347),'2025DATA'!$D$21,"")</f>
        <v/>
      </c>
      <c r="AH366" s="518" t="str">
        <f>IF(AND(_A2="B-737-900",'2025'!$M$4="CA",'2025'!$M$2=AH347),'2025DATA'!$E$21,"")</f>
        <v/>
      </c>
      <c r="AI366" s="518" t="str">
        <f>IF(AND(_A2="B-737-900",'2025'!$M$4="CA",'2025'!$M$2=AI347),'2025DATA'!$F$21,"")</f>
        <v/>
      </c>
      <c r="AJ366" s="518" t="str">
        <f>IF(AND(_A2="B-737-900",'2025'!$M$4="CA",'2025'!$M$2=AJ347),'2025DATA'!$G$21,"")</f>
        <v/>
      </c>
      <c r="AK366" s="518" t="str">
        <f>IF(AND(_A2="B-737-900",'2025'!$M$4="CA",'2025'!$M$2=AK347),'2025DATA'!$H$21,"")</f>
        <v/>
      </c>
      <c r="AL366" s="518" t="str">
        <f>IF(AND(_A2="B-737-900",'2025'!$M$4="CA",'2025'!$M$2=AL347),'2025DATA'!$I$21,"")</f>
        <v/>
      </c>
      <c r="AM366" s="518" t="str">
        <f>IF(AND(_A2="B-737-900",'2025'!$M$4="CA",'2025'!$M$2=AM347),'2025DATA'!$J$21,"")</f>
        <v/>
      </c>
      <c r="AN366" s="518" t="str">
        <f>IF(AND(_A2="B-737-900",'2025'!$M$4="CA",'2025'!$M$2=AN347),'2025DATA'!$K$21,"")</f>
        <v/>
      </c>
      <c r="AO366" s="518" t="str">
        <f>IF(AND(_A2="B-737-900",'2025'!$M$4="CA",'2025'!$M$2=AO347),'2025DATA'!$L$21,"")</f>
        <v/>
      </c>
      <c r="AP366" s="518" t="str">
        <f>IF(AND(_A2="B-737-900",'2025'!$M$4="CA",'2025'!$M$2=AP347),'2025DATA'!$M$21,"")</f>
        <v/>
      </c>
      <c r="AQ366" s="520" t="str">
        <f>IF(AND(_A2="B-737-900",'2025'!$M$4="CA",'2025'!$M$2=AQ347),'2025DATA'!$N$21,"")</f>
        <v/>
      </c>
      <c r="AR366" s="940" t="s">
        <v>47</v>
      </c>
      <c r="AS366" s="13" t="s">
        <v>61</v>
      </c>
      <c r="AT366" s="518" t="str">
        <f>IF(AND(_A3="B-737-900",'2025'!$M$4="CA",'2025'!$M$2=AT347),'2025DATA'!$C$21,"")</f>
        <v/>
      </c>
      <c r="AU366" s="518" t="str">
        <f>IF(AND(_A3="B-737-900",'2025'!$M$4="CA",'2025'!$M$2=AU347),'2025DATA'!$D$21,"")</f>
        <v/>
      </c>
      <c r="AV366" s="518" t="str">
        <f>IF(AND(_A3="B-737-900",'2025'!$M$4="CA",'2025'!$M$2=AV347),'2025DATA'!$E$21,"")</f>
        <v/>
      </c>
      <c r="AW366" s="518" t="str">
        <f>IF(AND(_A3="B-737-900",'2025'!$M$4="CA",'2025'!$M$2=AW347),'2025DATA'!$F$21,"")</f>
        <v/>
      </c>
      <c r="AX366" s="518" t="str">
        <f>IF(AND(_A3="B-737-900",'2025'!$M$4="CA",'2025'!$M$2=AX347),'2025DATA'!$G$21,"")</f>
        <v/>
      </c>
      <c r="AY366" s="518" t="str">
        <f>IF(AND(_A3="B-737-900",'2025'!$M$4="CA",'2025'!$M$2=AY347),'2025DATA'!$H$21,"")</f>
        <v/>
      </c>
      <c r="AZ366" s="518" t="str">
        <f>IF(AND(_A3="B-737-900",'2025'!$M$4="CA",'2025'!$M$2=AZ347),'2025DATA'!$I$21,"")</f>
        <v/>
      </c>
      <c r="BA366" s="518" t="str">
        <f>IF(AND(_A3="B-737-900",'2025'!$M$4="CA",'2025'!$M$2=BA347),'2025DATA'!$J$21,"")</f>
        <v/>
      </c>
      <c r="BB366" s="518" t="str">
        <f>IF(AND(_A3="B-737-900",'2025'!$M$4="CA",'2025'!$M$2=BB347),'2025DATA'!$K$21,"")</f>
        <v/>
      </c>
      <c r="BC366" s="518" t="str">
        <f>IF(AND(_A3="B-737-900",'2025'!$M$4="CA",'2025'!$M$2=BC347),'2025DATA'!$L$21,"")</f>
        <v/>
      </c>
      <c r="BD366" s="518" t="str">
        <f>IF(AND(_A3="B-737-900",'2025'!$M$4="CA",'2025'!$M$2=BD347),'2025DATA'!$M$21,"")</f>
        <v/>
      </c>
      <c r="BE366" s="520" t="str">
        <f>IF(AND(_A3="B-737-900",'2025'!$M$4="CA",'2025'!$M$2=BE347),'2025DATA'!$N$21,"")</f>
        <v/>
      </c>
      <c r="BF366" s="940" t="s">
        <v>47</v>
      </c>
      <c r="BG366" s="13" t="s">
        <v>61</v>
      </c>
      <c r="BH366" s="518" t="str">
        <f>IF(AND(_A4="B-737-900",'2025'!$M$4="CA",'2025'!$M$2=BH347),'2025DATA'!$C$21,"")</f>
        <v/>
      </c>
      <c r="BI366" s="518" t="str">
        <f>IF(AND(_A4="B-737-900",'2025'!$M$4="CA",'2025'!$M$2=BI347),'2025DATA'!$D$21,"")</f>
        <v/>
      </c>
      <c r="BJ366" s="518" t="str">
        <f>IF(AND(_A4="B-737-900",'2025'!$M$4="CA",'2025'!$M$2=BJ347),'2025DATA'!$E$21,"")</f>
        <v/>
      </c>
      <c r="BK366" s="518" t="str">
        <f>IF(AND(_A4="B-737-900",'2025'!$M$4="CA",'2025'!$M$2=BK347),'2025DATA'!$F$21,"")</f>
        <v/>
      </c>
      <c r="BL366" s="518" t="str">
        <f>IF(AND(_A4="B-737-900",'2025'!$M$4="CA",'2025'!$M$2=BL347),'2025DATA'!$G$21,"")</f>
        <v/>
      </c>
      <c r="BM366" s="518" t="str">
        <f>IF(AND(_A4="B-737-900",'2025'!$M$4="CA",'2025'!$M$2=BM347),'2025DATA'!$H$21,"")</f>
        <v/>
      </c>
      <c r="BN366" s="518" t="str">
        <f>IF(AND(_A4="B-737-900",'2025'!$M$4="CA",'2025'!$M$2=BN347),'2025DATA'!$I$21,"")</f>
        <v/>
      </c>
      <c r="BO366" s="518" t="str">
        <f>IF(AND(_A4="B-737-900",'2025'!$M$4="CA",'2025'!$M$2=BO347),'2025DATA'!$J$21,"")</f>
        <v/>
      </c>
      <c r="BP366" s="518" t="str">
        <f>IF(AND(_A4="B-737-900",'2025'!$M$4="CA",'2025'!$M$2=BP347),'2025DATA'!$K$21,"")</f>
        <v/>
      </c>
      <c r="BQ366" s="518" t="str">
        <f>IF(AND(_A4="B-737-900",'2025'!$M$4="CA",'2025'!$M$2=BQ347),'2025DATA'!$L$21,"")</f>
        <v/>
      </c>
      <c r="BR366" s="518" t="str">
        <f>IF(AND(_A4="B-737-900",'2025'!$M$4="CA",'2025'!$M$2=BR347),'2025DATA'!$M$21,"")</f>
        <v/>
      </c>
      <c r="BS366" s="520" t="str">
        <f>IF(AND(_A4="B-737-900",'2025'!$M$4="CA",'2025'!$M$2=BS347),'2025DATA'!$N$21,"")</f>
        <v/>
      </c>
      <c r="BT366" s="940" t="s">
        <v>47</v>
      </c>
      <c r="BU366" s="13" t="s">
        <v>61</v>
      </c>
      <c r="BV366" s="518" t="str">
        <f>IF(AND(_A5="B-737-900",'2025'!$M$4="CA",'2025'!$M$2=BV347),'2025DATA'!$C$21,"")</f>
        <v/>
      </c>
      <c r="BW366" s="518" t="str">
        <f>IF(AND(_A5="B-737-900",'2025'!$M$4="CA",'2025'!$M$2=BW347),'2025DATA'!$D$21,"")</f>
        <v/>
      </c>
      <c r="BX366" s="518" t="str">
        <f>IF(AND(_A5="B-737-900",'2025'!$M$4="CA",'2025'!$M$2=BX347),'2025DATA'!$E$21,"")</f>
        <v/>
      </c>
      <c r="BY366" s="518" t="str">
        <f>IF(AND(_A5="B-737-900",'2025'!$M$4="CA",'2025'!$M$2=BY347),'2025DATA'!$F$21,"")</f>
        <v/>
      </c>
      <c r="BZ366" s="518" t="str">
        <f>IF(AND(_A5="B-737-900",'2025'!$M$4="CA",'2025'!$M$2=BZ347),'2025DATA'!$G$21,"")</f>
        <v/>
      </c>
      <c r="CA366" s="518" t="str">
        <f>IF(AND(_A5="B-737-900",'2025'!$M$4="CA",'2025'!$M$2=CA347),'2025DATA'!$H$21,"")</f>
        <v/>
      </c>
      <c r="CB366" s="518" t="str">
        <f>IF(AND(_A5="B-737-900",'2025'!$M$4="CA",'2025'!$M$2=CB347),'2025DATA'!$I$21,"")</f>
        <v/>
      </c>
      <c r="CC366" s="518" t="str">
        <f>IF(AND(_A5="B-737-900",'2025'!$M$4="CA",'2025'!$M$2=CC347),'2025DATA'!$J$21,"")</f>
        <v/>
      </c>
      <c r="CD366" s="518" t="str">
        <f>IF(AND(_A5="B-737-900",'2025'!$M$4="CA",'2025'!$M$2=CD347),'2025DATA'!$K$21,"")</f>
        <v/>
      </c>
      <c r="CE366" s="518" t="str">
        <f>IF(AND(_A5="B-737-900",'2025'!$M$4="CA",'2025'!$M$2=CE347),'2025DATA'!$L$21,"")</f>
        <v/>
      </c>
      <c r="CF366" s="518" t="str">
        <f>IF(AND(_A5="B-737-900",'2025'!$M$4="CA",'2025'!$M$2=CF347),'2025DATA'!$M$21,"")</f>
        <v/>
      </c>
      <c r="CG366" s="520" t="str">
        <f>IF(AND(_A5="B-737-900",'2025'!$M$4="CA",'2025'!$M$2=CG347),'2025DATA'!$N$21,"")</f>
        <v/>
      </c>
      <c r="CH366" s="940" t="s">
        <v>47</v>
      </c>
      <c r="CI366" s="13" t="s">
        <v>61</v>
      </c>
      <c r="CJ366" s="518" t="str">
        <f>IF(AND(_A6="B-737-900",'2025'!$M$4="CA",'2025'!$M$2=CJ347),'2025DATA'!$C$21,"")</f>
        <v/>
      </c>
      <c r="CK366" s="518" t="str">
        <f>IF(AND(_A6="B-737-900",'2025'!$M$4="CA",'2025'!$M$2=CK347),'2025DATA'!$D$21,"")</f>
        <v/>
      </c>
      <c r="CL366" s="518" t="str">
        <f>IF(AND(_A6="B-737-900",'2025'!$M$4="CA",'2025'!$M$2=CL347),'2025DATA'!$E$21,"")</f>
        <v/>
      </c>
      <c r="CM366" s="518" t="str">
        <f>IF(AND(_A6="B-737-900",'2025'!$M$4="CA",'2025'!$M$2=CM347),'2025DATA'!$F$21,"")</f>
        <v/>
      </c>
      <c r="CN366" s="518" t="str">
        <f>IF(AND(_A6="B-737-900",'2025'!$M$4="CA",'2025'!$M$2=CN347),'2025DATA'!$G$21,"")</f>
        <v/>
      </c>
      <c r="CO366" s="518" t="str">
        <f>IF(AND(_A6="B-737-900",'2025'!$M$4="CA",'2025'!$M$2=CO347),'2025DATA'!$H$21,"")</f>
        <v/>
      </c>
      <c r="CP366" s="518" t="str">
        <f>IF(AND(_A6="B-737-900",'2025'!$M$4="CA",'2025'!$M$2=CP347),'2025DATA'!$I$21,"")</f>
        <v/>
      </c>
      <c r="CQ366" s="518" t="str">
        <f>IF(AND(_A6="B-737-900",'2025'!$M$4="CA",'2025'!$M$2=CQ347),'2025DATA'!$J$21,"")</f>
        <v/>
      </c>
      <c r="CR366" s="518" t="str">
        <f>IF(AND(_A6="B-737-900",'2025'!$M$4="CA",'2025'!$M$2=CR347),'2025DATA'!$K$21,"")</f>
        <v/>
      </c>
      <c r="CS366" s="518" t="str">
        <f>IF(AND(_A6="B-737-900",'2025'!$M$4="CA",'2025'!$M$2=CS347),'2025DATA'!$L$21,"")</f>
        <v/>
      </c>
      <c r="CT366" s="518" t="str">
        <f>IF(AND(_A6="B-737-900",'2025'!$M$4="CA",'2025'!$M$2=CT347),'2025DATA'!$M$21,"")</f>
        <v/>
      </c>
      <c r="CU366" s="520" t="str">
        <f>IF(AND(_A6="B-737-900",'2025'!$M$4="CA",'2025'!$M$2=CU347),'2025DATA'!$N$21,"")</f>
        <v/>
      </c>
    </row>
    <row r="367" spans="16:99" x14ac:dyDescent="0.25">
      <c r="P367" s="940"/>
      <c r="Q367" s="13" t="s">
        <v>62</v>
      </c>
      <c r="R367" s="518" t="str">
        <f>IF(AND(_A1="B-737-900",'2025'!$M$4="FO",'2025'!$M$2=R347),'2025DATA'!$C$22,"")</f>
        <v/>
      </c>
      <c r="S367" s="518" t="str">
        <f>IF(AND(_A1="B-737-900",'2025'!$M$4="FO",'2025'!$M$2=S347),'2025DATA'!$D$22,"")</f>
        <v/>
      </c>
      <c r="T367" s="518" t="str">
        <f>IF(AND(_A1="B-737-900",'2025'!$M$4="FO",'2025'!$M$2=T347),'2025DATA'!$E$22,"")</f>
        <v/>
      </c>
      <c r="U367" s="518" t="str">
        <f>IF(AND(_A1="B-737-900",'2025'!$M$4="FO",'2025'!$M$2=U347),'2025DATA'!$F$22,"")</f>
        <v/>
      </c>
      <c r="V367" s="518" t="str">
        <f>IF(AND(_A1="B-737-900",'2025'!$M$4="FO",'2025'!$M$2=V347),'2025DATA'!$G$22,"")</f>
        <v/>
      </c>
      <c r="W367" s="518" t="str">
        <f>IF(AND(_A1="B-737-900",'2025'!$M$4="FO",'2025'!$M$2=W347),'2025DATA'!$H$22,"")</f>
        <v/>
      </c>
      <c r="X367" s="518" t="str">
        <f>IF(AND(_A1="B-737-900",'2025'!$M$4="FO",'2025'!$M$2=X347),'2025DATA'!$I$22,"")</f>
        <v/>
      </c>
      <c r="Y367" s="518" t="str">
        <f>IF(AND(_A1="B-737-900",'2025'!$M$4="FO",'2025'!$M$2=Y347),'2025DATA'!$J$22,"")</f>
        <v/>
      </c>
      <c r="Z367" s="518" t="str">
        <f>IF(AND(_A1="B-737-900",'2025'!$M$4="FO",'2025'!$M$2=Z347),'2025DATA'!$K$22,"")</f>
        <v/>
      </c>
      <c r="AA367" s="518" t="str">
        <f>IF(AND(_A1="B-737-900",'2025'!$M$4="FO",'2025'!$M$2=AA347),'2025DATA'!$L$22,"")</f>
        <v/>
      </c>
      <c r="AB367" s="518" t="str">
        <f>IF(AND(_A1="B-737-900",'2025'!$M$4="FO",'2025'!$M$2=AB347),'2025DATA'!$M$22,"")</f>
        <v/>
      </c>
      <c r="AC367" s="520" t="str">
        <f>IF(AND(_A1="B-737-900",'2025'!$M$4="FO",'2025'!$M$2=AC347),'2025DATA'!$N$22,"")</f>
        <v/>
      </c>
      <c r="AD367" s="940"/>
      <c r="AE367" s="13" t="s">
        <v>62</v>
      </c>
      <c r="AF367" s="518" t="str">
        <f>IF(AND(_A2="B-737-900",'2025'!$M$4="FO",'2025'!$M$2=AF347),'2025DATA'!$C$22,"")</f>
        <v/>
      </c>
      <c r="AG367" s="518" t="str">
        <f>IF(AND(_A2="B-737-900",'2025'!$M$4="FO",'2025'!$M$2=AG347),'2025DATA'!$D$22,"")</f>
        <v/>
      </c>
      <c r="AH367" s="518" t="str">
        <f>IF(AND(_A2="B-737-900",'2025'!$M$4="FO",'2025'!$M$2=AH347),'2025DATA'!$E$22,"")</f>
        <v/>
      </c>
      <c r="AI367" s="518" t="str">
        <f>IF(AND(_A2="B-737-900",'2025'!$M$4="FO",'2025'!$M$2=AI347),'2025DATA'!$F$22,"")</f>
        <v/>
      </c>
      <c r="AJ367" s="518" t="str">
        <f>IF(AND(_A2="B-737-900",'2025'!$M$4="FO",'2025'!$M$2=AJ347),'2025DATA'!$G$22,"")</f>
        <v/>
      </c>
      <c r="AK367" s="518" t="str">
        <f>IF(AND(_A2="B-737-900",'2025'!$M$4="FO",'2025'!$M$2=AK347),'2025DATA'!$H$22,"")</f>
        <v/>
      </c>
      <c r="AL367" s="518" t="str">
        <f>IF(AND(_A2="B-737-900",'2025'!$M$4="FO",'2025'!$M$2=AL347),'2025DATA'!$I$22,"")</f>
        <v/>
      </c>
      <c r="AM367" s="518" t="str">
        <f>IF(AND(_A2="B-737-900",'2025'!$M$4="FO",'2025'!$M$2=AM347),'2025DATA'!$J$22,"")</f>
        <v/>
      </c>
      <c r="AN367" s="518" t="str">
        <f>IF(AND(_A2="B-737-900",'2025'!$M$4="FO",'2025'!$M$2=AN347),'2025DATA'!$K$22,"")</f>
        <v/>
      </c>
      <c r="AO367" s="518" t="str">
        <f>IF(AND(_A2="B-737-900",'2025'!$M$4="FO",'2025'!$M$2=AO347),'2025DATA'!$L$22,"")</f>
        <v/>
      </c>
      <c r="AP367" s="518" t="str">
        <f>IF(AND(_A2="B-737-900",'2025'!$M$4="FO",'2025'!$M$2=AP347),'2025DATA'!$M$22,"")</f>
        <v/>
      </c>
      <c r="AQ367" s="520" t="str">
        <f>IF(AND(_A2="B-737-900",'2025'!$M$4="FO",'2025'!$M$2=AQ347),'2025DATA'!$N$22,"")</f>
        <v/>
      </c>
      <c r="AR367" s="940"/>
      <c r="AS367" s="13" t="s">
        <v>62</v>
      </c>
      <c r="AT367" s="518" t="str">
        <f>IF(AND(_A3="B-737-900",'2025'!$M$4="FO",'2025'!$M$2=AT347),'2025DATA'!$C$22,"")</f>
        <v/>
      </c>
      <c r="AU367" s="518" t="str">
        <f>IF(AND(_A3="B-737-900",'2025'!$M$4="FO",'2025'!$M$2=AU347),'2025DATA'!$D$22,"")</f>
        <v/>
      </c>
      <c r="AV367" s="518" t="str">
        <f>IF(AND(_A3="B-737-900",'2025'!$M$4="FO",'2025'!$M$2=AV347),'2025DATA'!$E$22,"")</f>
        <v/>
      </c>
      <c r="AW367" s="518" t="str">
        <f>IF(AND(_A3="B-737-900",'2025'!$M$4="FO",'2025'!$M$2=AW347),'2025DATA'!$F$22,"")</f>
        <v/>
      </c>
      <c r="AX367" s="518" t="str">
        <f>IF(AND(_A3="B-737-900",'2025'!$M$4="FO",'2025'!$M$2=AX347),'2025DATA'!$G$22,"")</f>
        <v/>
      </c>
      <c r="AY367" s="518" t="str">
        <f>IF(AND(_A3="B-737-900",'2025'!$M$4="FO",'2025'!$M$2=AY347),'2025DATA'!$H$22,"")</f>
        <v/>
      </c>
      <c r="AZ367" s="518" t="str">
        <f>IF(AND(_A3="B-737-900",'2025'!$M$4="FO",'2025'!$M$2=AZ347),'2025DATA'!$I$22,"")</f>
        <v/>
      </c>
      <c r="BA367" s="518" t="str">
        <f>IF(AND(_A3="B-737-900",'2025'!$M$4="FO",'2025'!$M$2=BA347),'2025DATA'!$J$22,"")</f>
        <v/>
      </c>
      <c r="BB367" s="518" t="str">
        <f>IF(AND(_A3="B-737-900",'2025'!$M$4="FO",'2025'!$M$2=BB347),'2025DATA'!$K$22,"")</f>
        <v/>
      </c>
      <c r="BC367" s="518" t="str">
        <f>IF(AND(_A3="B-737-900",'2025'!$M$4="FO",'2025'!$M$2=BC347),'2025DATA'!$L$22,"")</f>
        <v/>
      </c>
      <c r="BD367" s="518" t="str">
        <f>IF(AND(_A3="B-737-900",'2025'!$M$4="FO",'2025'!$M$2=BD347),'2025DATA'!$M$22,"")</f>
        <v/>
      </c>
      <c r="BE367" s="520" t="str">
        <f>IF(AND(_A3="B-737-900",'2025'!$M$4="FO",'2025'!$M$2=BE347),'2025DATA'!$N$22,"")</f>
        <v/>
      </c>
      <c r="BF367" s="940"/>
      <c r="BG367" s="13" t="s">
        <v>62</v>
      </c>
      <c r="BH367" s="518" t="str">
        <f>IF(AND(_A4="B-737-900",'2025'!$M$4="FO",'2025'!$M$2=BH347),'2025DATA'!$C$22,"")</f>
        <v/>
      </c>
      <c r="BI367" s="518" t="str">
        <f>IF(AND(_A4="B-737-900",'2025'!$M$4="FO",'2025'!$M$2=BI347),'2025DATA'!$D$22,"")</f>
        <v/>
      </c>
      <c r="BJ367" s="518" t="str">
        <f>IF(AND(_A4="B-737-900",'2025'!$M$4="FO",'2025'!$M$2=BJ347),'2025DATA'!$E$22,"")</f>
        <v/>
      </c>
      <c r="BK367" s="518" t="str">
        <f>IF(AND(_A4="B-737-900",'2025'!$M$4="FO",'2025'!$M$2=BK347),'2025DATA'!$F$22,"")</f>
        <v/>
      </c>
      <c r="BL367" s="518" t="str">
        <f>IF(AND(_A4="B-737-900",'2025'!$M$4="FO",'2025'!$M$2=BL347),'2025DATA'!$G$22,"")</f>
        <v/>
      </c>
      <c r="BM367" s="518" t="str">
        <f>IF(AND(_A4="B-737-900",'2025'!$M$4="FO",'2025'!$M$2=BM347),'2025DATA'!$H$22,"")</f>
        <v/>
      </c>
      <c r="BN367" s="518" t="str">
        <f>IF(AND(_A4="B-737-900",'2025'!$M$4="FO",'2025'!$M$2=BN347),'2025DATA'!$I$22,"")</f>
        <v/>
      </c>
      <c r="BO367" s="518" t="str">
        <f>IF(AND(_A4="B-737-900",'2025'!$M$4="FO",'2025'!$M$2=BO347),'2025DATA'!$J$22,"")</f>
        <v/>
      </c>
      <c r="BP367" s="518" t="str">
        <f>IF(AND(_A4="B-737-900",'2025'!$M$4="FO",'2025'!$M$2=BP347),'2025DATA'!$K$22,"")</f>
        <v/>
      </c>
      <c r="BQ367" s="518" t="str">
        <f>IF(AND(_A4="B-737-900",'2025'!$M$4="FO",'2025'!$M$2=BQ347),'2025DATA'!$L$22,"")</f>
        <v/>
      </c>
      <c r="BR367" s="518" t="str">
        <f>IF(AND(_A4="B-737-900",'2025'!$M$4="FO",'2025'!$M$2=BR347),'2025DATA'!$M$22,"")</f>
        <v/>
      </c>
      <c r="BS367" s="520" t="str">
        <f>IF(AND(_A4="B-737-900",'2025'!$M$4="FO",'2025'!$M$2=BS347),'2025DATA'!$N$22,"")</f>
        <v/>
      </c>
      <c r="BT367" s="940"/>
      <c r="BU367" s="13" t="s">
        <v>62</v>
      </c>
      <c r="BV367" s="518" t="str">
        <f>IF(AND(_A5="B-737-900",'2025'!$M$4="FO",'2025'!$M$2=BV347),'2025DATA'!$C$22,"")</f>
        <v/>
      </c>
      <c r="BW367" s="518" t="str">
        <f>IF(AND(_A5="B-737-900",'2025'!$M$4="FO",'2025'!$M$2=BW347),'2025DATA'!$D$22,"")</f>
        <v/>
      </c>
      <c r="BX367" s="518" t="str">
        <f>IF(AND(_A5="B-737-900",'2025'!$M$4="FO",'2025'!$M$2=BX347),'2025DATA'!$E$22,"")</f>
        <v/>
      </c>
      <c r="BY367" s="518" t="str">
        <f>IF(AND(_A5="B-737-900",'2025'!$M$4="FO",'2025'!$M$2=BY347),'2025DATA'!$F$22,"")</f>
        <v/>
      </c>
      <c r="BZ367" s="518" t="str">
        <f>IF(AND(_A5="B-737-900",'2025'!$M$4="FO",'2025'!$M$2=BZ347),'2025DATA'!$G$22,"")</f>
        <v/>
      </c>
      <c r="CA367" s="518" t="str">
        <f>IF(AND(_A5="B-737-900",'2025'!$M$4="FO",'2025'!$M$2=CA347),'2025DATA'!$H$22,"")</f>
        <v/>
      </c>
      <c r="CB367" s="518" t="str">
        <f>IF(AND(_A5="B-737-900",'2025'!$M$4="FO",'2025'!$M$2=CB347),'2025DATA'!$I$22,"")</f>
        <v/>
      </c>
      <c r="CC367" s="518" t="str">
        <f>IF(AND(_A5="B-737-900",'2025'!$M$4="FO",'2025'!$M$2=CC347),'2025DATA'!$J$22,"")</f>
        <v/>
      </c>
      <c r="CD367" s="518" t="str">
        <f>IF(AND(_A5="B-737-900",'2025'!$M$4="FO",'2025'!$M$2=CD347),'2025DATA'!$K$22,"")</f>
        <v/>
      </c>
      <c r="CE367" s="518" t="str">
        <f>IF(AND(_A5="B-737-900",'2025'!$M$4="FO",'2025'!$M$2=CE347),'2025DATA'!$L$22,"")</f>
        <v/>
      </c>
      <c r="CF367" s="518" t="str">
        <f>IF(AND(_A5="B-737-900",'2025'!$M$4="FO",'2025'!$M$2=CF347),'2025DATA'!$M$22,"")</f>
        <v/>
      </c>
      <c r="CG367" s="520" t="str">
        <f>IF(AND(_A5="B-737-900",'2025'!$M$4="FO",'2025'!$M$2=CG347),'2025DATA'!$N$22,"")</f>
        <v/>
      </c>
      <c r="CH367" s="940"/>
      <c r="CI367" s="13" t="s">
        <v>62</v>
      </c>
      <c r="CJ367" s="518" t="str">
        <f>IF(AND(_A6="B-737-900",'2025'!$M$4="FO",'2025'!$M$2=CJ347),'2025DATA'!$C$22,"")</f>
        <v/>
      </c>
      <c r="CK367" s="518" t="str">
        <f>IF(AND(_A6="B-737-900",'2025'!$M$4="FO",'2025'!$M$2=CK347),'2025DATA'!$D$22,"")</f>
        <v/>
      </c>
      <c r="CL367" s="518" t="str">
        <f>IF(AND(_A6="B-737-900",'2025'!$M$4="FO",'2025'!$M$2=CL347),'2025DATA'!$E$22,"")</f>
        <v/>
      </c>
      <c r="CM367" s="518" t="str">
        <f>IF(AND(_A6="B-737-900",'2025'!$M$4="FO",'2025'!$M$2=CM347),'2025DATA'!$F$22,"")</f>
        <v/>
      </c>
      <c r="CN367" s="518" t="str">
        <f>IF(AND(_A6="B-737-900",'2025'!$M$4="FO",'2025'!$M$2=CN347),'2025DATA'!$G$22,"")</f>
        <v/>
      </c>
      <c r="CO367" s="518" t="str">
        <f>IF(AND(_A6="B-737-900",'2025'!$M$4="FO",'2025'!$M$2=CO347),'2025DATA'!$H$22,"")</f>
        <v/>
      </c>
      <c r="CP367" s="518" t="str">
        <f>IF(AND(_A6="B-737-900",'2025'!$M$4="FO",'2025'!$M$2=CP347),'2025DATA'!$I$22,"")</f>
        <v/>
      </c>
      <c r="CQ367" s="518" t="str">
        <f>IF(AND(_A6="B-737-900",'2025'!$M$4="FO",'2025'!$M$2=CQ347),'2025DATA'!$J$22,"")</f>
        <v/>
      </c>
      <c r="CR367" s="518" t="str">
        <f>IF(AND(_A6="B-737-900",'2025'!$M$4="FO",'2025'!$M$2=CR347),'2025DATA'!$K$22,"")</f>
        <v/>
      </c>
      <c r="CS367" s="518" t="str">
        <f>IF(AND(_A6="B-737-900",'2025'!$M$4="FO",'2025'!$M$2=CS347),'2025DATA'!$L$22,"")</f>
        <v/>
      </c>
      <c r="CT367" s="518" t="str">
        <f>IF(AND(_A6="B-737-900",'2025'!$M$4="FO",'2025'!$M$2=CT347),'2025DATA'!$M$22,"")</f>
        <v/>
      </c>
      <c r="CU367" s="520" t="str">
        <f>IF(AND(_A6="B-737-900",'2025'!$M$4="FO",'2025'!$M$2=CU347),'2025DATA'!$N$22,"")</f>
        <v/>
      </c>
    </row>
    <row r="368" spans="16:99" x14ac:dyDescent="0.25">
      <c r="P368" s="940" t="s">
        <v>69</v>
      </c>
      <c r="Q368" s="13" t="s">
        <v>61</v>
      </c>
      <c r="R368" s="518" t="str">
        <f>IF(AND(_A1="B-737-800",'2025'!$M$4="CA",'2025'!$M$2=R347),'2025DATA'!$C$23,"")</f>
        <v/>
      </c>
      <c r="S368" s="518" t="str">
        <f>IF(AND(_A1="B-737-800",'2025'!$M$4="CA",'2025'!$M$2=S347),'2025DATA'!$D$23,"")</f>
        <v/>
      </c>
      <c r="T368" s="518" t="str">
        <f>IF(AND(_A1="B-737-800",'2025'!$M$4="CA",'2025'!$M$2=T347),'2025DATA'!$E$23,"")</f>
        <v/>
      </c>
      <c r="U368" s="518" t="str">
        <f>IF(AND(_A1="B-737-800",'2025'!$M$4="CA",'2025'!$M$2=U347),'2025DATA'!$F$23,"")</f>
        <v/>
      </c>
      <c r="V368" s="518" t="str">
        <f>IF(AND(_A1="B-737-800",'2025'!$M$4="CA",'2025'!$M$2=V347),'2025DATA'!$G$23,"")</f>
        <v/>
      </c>
      <c r="W368" s="518" t="str">
        <f>IF(AND(_A1="B-737-800",'2025'!$M$4="CA",'2025'!$M$2=W347),'2025DATA'!$H$23,"")</f>
        <v/>
      </c>
      <c r="X368" s="518" t="str">
        <f>IF(AND(_A1="B-737-800",'2025'!$M$4="CA",'2025'!$M$2=X347),'2025DATA'!$I$23,"")</f>
        <v/>
      </c>
      <c r="Y368" s="518" t="str">
        <f>IF(AND(_A1="B-737-800",'2025'!$M$4="CA",'2025'!$M$2=Y347),'2025DATA'!$J$23,"")</f>
        <v/>
      </c>
      <c r="Z368" s="518" t="str">
        <f>IF(AND(_A1="B-737-800",'2025'!$M$4="CA",'2025'!$M$2=Z347),'2025DATA'!$K$23,"")</f>
        <v/>
      </c>
      <c r="AA368" s="518" t="str">
        <f>IF(AND(_A1="B-737-800",'2025'!$M$4="CA",'2025'!$M$2=AA347),'2025DATA'!$L$23,"")</f>
        <v/>
      </c>
      <c r="AB368" s="518" t="str">
        <f>IF(AND(_A1="B-737-800",'2025'!$M$4="CA",'2025'!$M$2=AB347),'2025DATA'!$M$23,"")</f>
        <v/>
      </c>
      <c r="AC368" s="520" t="str">
        <f>IF(AND(_A1="B-737-800",'2025'!$M$4="CA",'2025'!$M$2=AC347),'2025DATA'!$N$23,"")</f>
        <v/>
      </c>
      <c r="AD368" s="940" t="s">
        <v>69</v>
      </c>
      <c r="AE368" s="13" t="s">
        <v>61</v>
      </c>
      <c r="AF368" s="518" t="str">
        <f>IF(AND(_A2="B-737-800",'2025'!$M$4="CA",'2025'!$M$2=AF347),'2025DATA'!$C$23,"")</f>
        <v/>
      </c>
      <c r="AG368" s="518" t="str">
        <f>IF(AND(_A2="B-737-800",'2025'!$M$4="CA",'2025'!$M$2=AG347),'2025DATA'!$D$23,"")</f>
        <v/>
      </c>
      <c r="AH368" s="518" t="str">
        <f>IF(AND(_A2="B-737-800",'2025'!$M$4="CA",'2025'!$M$2=AH347),'2025DATA'!$E$23,"")</f>
        <v/>
      </c>
      <c r="AI368" s="518" t="str">
        <f>IF(AND(_A2="B-737-800",'2025'!$M$4="CA",'2025'!$M$2=AI347),'2025DATA'!$F$23,"")</f>
        <v/>
      </c>
      <c r="AJ368" s="518" t="str">
        <f>IF(AND(_A2="B-737-800",'2025'!$M$4="CA",'2025'!$M$2=AJ347),'2025DATA'!$G$23,"")</f>
        <v/>
      </c>
      <c r="AK368" s="518" t="str">
        <f>IF(AND(_A2="B-737-800",'2025'!$M$4="CA",'2025'!$M$2=AK347),'2025DATA'!$H$23,"")</f>
        <v/>
      </c>
      <c r="AL368" s="518" t="str">
        <f>IF(AND(_A2="B-737-800",'2025'!$M$4="CA",'2025'!$M$2=AL347),'2025DATA'!$I$23,"")</f>
        <v/>
      </c>
      <c r="AM368" s="518" t="str">
        <f>IF(AND(_A2="B-737-800",'2025'!$M$4="CA",'2025'!$M$2=AM347),'2025DATA'!$J$23,"")</f>
        <v/>
      </c>
      <c r="AN368" s="518" t="str">
        <f>IF(AND(_A2="B-737-800",'2025'!$M$4="CA",'2025'!$M$2=AN347),'2025DATA'!$K$23,"")</f>
        <v/>
      </c>
      <c r="AO368" s="518" t="str">
        <f>IF(AND(_A2="B-737-800",'2025'!$M$4="CA",'2025'!$M$2=AO347),'2025DATA'!$L$23,"")</f>
        <v/>
      </c>
      <c r="AP368" s="518" t="str">
        <f>IF(AND(_A2="B-737-800",'2025'!$M$4="CA",'2025'!$M$2=AP347),'2025DATA'!$M$23,"")</f>
        <v/>
      </c>
      <c r="AQ368" s="520" t="str">
        <f>IF(AND(_A2="B-737-800",'2025'!$M$4="CA",'2025'!$M$2=AQ347),'2025DATA'!$N$23,"")</f>
        <v/>
      </c>
      <c r="AR368" s="940" t="s">
        <v>69</v>
      </c>
      <c r="AS368" s="13" t="s">
        <v>61</v>
      </c>
      <c r="AT368" s="518" t="str">
        <f>IF(AND(_A3="B-737-800",'2025'!$M$4="CA",'2025'!$M$2=AT347),'2025DATA'!$C$23,"")</f>
        <v/>
      </c>
      <c r="AU368" s="518" t="str">
        <f>IF(AND(_A3="B-737-800",'2025'!$M$4="CA",'2025'!$M$2=AU347),'2025DATA'!$D$23,"")</f>
        <v/>
      </c>
      <c r="AV368" s="518" t="str">
        <f>IF(AND(_A3="B-737-800",'2025'!$M$4="CA",'2025'!$M$2=AV347),'2025DATA'!$E$23,"")</f>
        <v/>
      </c>
      <c r="AW368" s="518" t="str">
        <f>IF(AND(_A3="B-737-800",'2025'!$M$4="CA",'2025'!$M$2=AW347),'2025DATA'!$F$23,"")</f>
        <v/>
      </c>
      <c r="AX368" s="518" t="str">
        <f>IF(AND(_A3="B-737-800",'2025'!$M$4="CA",'2025'!$M$2=AX347),'2025DATA'!$G$23,"")</f>
        <v/>
      </c>
      <c r="AY368" s="518" t="str">
        <f>IF(AND(_A3="B-737-800",'2025'!$M$4="CA",'2025'!$M$2=AY347),'2025DATA'!$H$23,"")</f>
        <v/>
      </c>
      <c r="AZ368" s="518" t="str">
        <f>IF(AND(_A3="B-737-800",'2025'!$M$4="CA",'2025'!$M$2=AZ347),'2025DATA'!$I$23,"")</f>
        <v/>
      </c>
      <c r="BA368" s="518" t="str">
        <f>IF(AND(_A3="B-737-800",'2025'!$M$4="CA",'2025'!$M$2=BA347),'2025DATA'!$J$23,"")</f>
        <v/>
      </c>
      <c r="BB368" s="518" t="str">
        <f>IF(AND(_A3="B-737-800",'2025'!$M$4="CA",'2025'!$M$2=BB347),'2025DATA'!$K$23,"")</f>
        <v/>
      </c>
      <c r="BC368" s="518" t="str">
        <f>IF(AND(_A3="B-737-800",'2025'!$M$4="CA",'2025'!$M$2=BC347),'2025DATA'!$L$23,"")</f>
        <v/>
      </c>
      <c r="BD368" s="518" t="str">
        <f>IF(AND(_A3="B-737-800",'2025'!$M$4="CA",'2025'!$M$2=BD347),'2025DATA'!$M$23,"")</f>
        <v/>
      </c>
      <c r="BE368" s="520" t="str">
        <f>IF(AND(_A3="B-737-800",'2025'!$M$4="CA",'2025'!$M$2=BE347),'2025DATA'!$N$23,"")</f>
        <v/>
      </c>
      <c r="BF368" s="940" t="s">
        <v>69</v>
      </c>
      <c r="BG368" s="13" t="s">
        <v>61</v>
      </c>
      <c r="BH368" s="518" t="str">
        <f>IF(AND(_A4="B-737-800",'2025'!$M$4="CA",'2025'!$M$2=BH347),'2025DATA'!$C$23,"")</f>
        <v/>
      </c>
      <c r="BI368" s="518" t="str">
        <f>IF(AND(_A4="B-737-800",'2025'!$M$4="CA",'2025'!$M$2=BI347),'2025DATA'!$D$23,"")</f>
        <v/>
      </c>
      <c r="BJ368" s="518" t="str">
        <f>IF(AND(_A4="B-737-800",'2025'!$M$4="CA",'2025'!$M$2=BJ347),'2025DATA'!$E$23,"")</f>
        <v/>
      </c>
      <c r="BK368" s="518" t="str">
        <f>IF(AND(_A4="B-737-800",'2025'!$M$4="CA",'2025'!$M$2=BK347),'2025DATA'!$F$23,"")</f>
        <v/>
      </c>
      <c r="BL368" s="518" t="str">
        <f>IF(AND(_A4="B-737-800",'2025'!$M$4="CA",'2025'!$M$2=BL347),'2025DATA'!$G$23,"")</f>
        <v/>
      </c>
      <c r="BM368" s="518" t="str">
        <f>IF(AND(_A4="B-737-800",'2025'!$M$4="CA",'2025'!$M$2=BM347),'2025DATA'!$H$23,"")</f>
        <v/>
      </c>
      <c r="BN368" s="518" t="str">
        <f>IF(AND(_A4="B-737-800",'2025'!$M$4="CA",'2025'!$M$2=BN347),'2025DATA'!$I$23,"")</f>
        <v/>
      </c>
      <c r="BO368" s="518" t="str">
        <f>IF(AND(_A4="B-737-800",'2025'!$M$4="CA",'2025'!$M$2=BO347),'2025DATA'!$J$23,"")</f>
        <v/>
      </c>
      <c r="BP368" s="518" t="str">
        <f>IF(AND(_A4="B-737-800",'2025'!$M$4="CA",'2025'!$M$2=BP347),'2025DATA'!$K$23,"")</f>
        <v/>
      </c>
      <c r="BQ368" s="518" t="str">
        <f>IF(AND(_A4="B-737-800",'2025'!$M$4="CA",'2025'!$M$2=BQ347),'2025DATA'!$L$23,"")</f>
        <v/>
      </c>
      <c r="BR368" s="518" t="str">
        <f>IF(AND(_A4="B-737-800",'2025'!$M$4="CA",'2025'!$M$2=BR347),'2025DATA'!$M$23,"")</f>
        <v/>
      </c>
      <c r="BS368" s="520" t="str">
        <f>IF(AND(_A4="B-737-800",'2025'!$M$4="CA",'2025'!$M$2=BS347),'2025DATA'!$N$23,"")</f>
        <v/>
      </c>
      <c r="BT368" s="940" t="s">
        <v>69</v>
      </c>
      <c r="BU368" s="13" t="s">
        <v>61</v>
      </c>
      <c r="BV368" s="518" t="str">
        <f>IF(AND(_A5="B-737-800",'2025'!$M$4="CA",'2025'!$M$2=BV347),'2025DATA'!$C$23,"")</f>
        <v/>
      </c>
      <c r="BW368" s="518" t="str">
        <f>IF(AND(_A5="B-737-800",'2025'!$M$4="CA",'2025'!$M$2=BW347),'2025DATA'!$D$23,"")</f>
        <v/>
      </c>
      <c r="BX368" s="518" t="str">
        <f>IF(AND(_A5="B-737-800",'2025'!$M$4="CA",'2025'!$M$2=BX347),'2025DATA'!$E$23,"")</f>
        <v/>
      </c>
      <c r="BY368" s="518" t="str">
        <f>IF(AND(_A5="B-737-800",'2025'!$M$4="CA",'2025'!$M$2=BY347),'2025DATA'!$F$23,"")</f>
        <v/>
      </c>
      <c r="BZ368" s="518" t="str">
        <f>IF(AND(_A5="B-737-800",'2025'!$M$4="CA",'2025'!$M$2=BZ347),'2025DATA'!$G$23,"")</f>
        <v/>
      </c>
      <c r="CA368" s="518" t="str">
        <f>IF(AND(_A5="B-737-800",'2025'!$M$4="CA",'2025'!$M$2=CA347),'2025DATA'!$H$23,"")</f>
        <v/>
      </c>
      <c r="CB368" s="518" t="str">
        <f>IF(AND(_A5="B-737-800",'2025'!$M$4="CA",'2025'!$M$2=CB347),'2025DATA'!$I$23,"")</f>
        <v/>
      </c>
      <c r="CC368" s="518" t="str">
        <f>IF(AND(_A5="B-737-800",'2025'!$M$4="CA",'2025'!$M$2=CC347),'2025DATA'!$J$23,"")</f>
        <v/>
      </c>
      <c r="CD368" s="518" t="str">
        <f>IF(AND(_A5="B-737-800",'2025'!$M$4="CA",'2025'!$M$2=CD347),'2025DATA'!$K$23,"")</f>
        <v/>
      </c>
      <c r="CE368" s="518" t="str">
        <f>IF(AND(_A5="B-737-800",'2025'!$M$4="CA",'2025'!$M$2=CE347),'2025DATA'!$L$23,"")</f>
        <v/>
      </c>
      <c r="CF368" s="518" t="str">
        <f>IF(AND(_A5="B-737-800",'2025'!$M$4="CA",'2025'!$M$2=CF347),'2025DATA'!$M$23,"")</f>
        <v/>
      </c>
      <c r="CG368" s="520" t="str">
        <f>IF(AND(_A5="B-737-800",'2025'!$M$4="CA",'2025'!$M$2=CG347),'2025DATA'!$N$23,"")</f>
        <v/>
      </c>
      <c r="CH368" s="940" t="s">
        <v>69</v>
      </c>
      <c r="CI368" s="13" t="s">
        <v>61</v>
      </c>
      <c r="CJ368" s="518" t="str">
        <f>IF(AND(_A6="B-737-800",'2025'!$M$4="CA",'2025'!$M$2=CJ347),'2025DATA'!$C$23,"")</f>
        <v/>
      </c>
      <c r="CK368" s="518" t="str">
        <f>IF(AND(_A6="B-737-800",'2025'!$M$4="CA",'2025'!$M$2=CK347),'2025DATA'!$D$23,"")</f>
        <v/>
      </c>
      <c r="CL368" s="518" t="str">
        <f>IF(AND(_A6="B-737-800",'2025'!$M$4="CA",'2025'!$M$2=CL347),'2025DATA'!$E$23,"")</f>
        <v/>
      </c>
      <c r="CM368" s="518" t="str">
        <f>IF(AND(_A6="B-737-800",'2025'!$M$4="CA",'2025'!$M$2=CM347),'2025DATA'!$F$23,"")</f>
        <v/>
      </c>
      <c r="CN368" s="518" t="str">
        <f>IF(AND(_A6="B-737-800",'2025'!$M$4="CA",'2025'!$M$2=CN347),'2025DATA'!$G$23,"")</f>
        <v/>
      </c>
      <c r="CO368" s="518" t="str">
        <f>IF(AND(_A6="B-737-800",'2025'!$M$4="CA",'2025'!$M$2=CO347),'2025DATA'!$H$23,"")</f>
        <v/>
      </c>
      <c r="CP368" s="518" t="str">
        <f>IF(AND(_A6="B-737-800",'2025'!$M$4="CA",'2025'!$M$2=CP347),'2025DATA'!$I$23,"")</f>
        <v/>
      </c>
      <c r="CQ368" s="518" t="str">
        <f>IF(AND(_A6="B-737-800",'2025'!$M$4="CA",'2025'!$M$2=CQ347),'2025DATA'!$J$23,"")</f>
        <v/>
      </c>
      <c r="CR368" s="518" t="str">
        <f>IF(AND(_A6="B-737-800",'2025'!$M$4="CA",'2025'!$M$2=CR347),'2025DATA'!$K$23,"")</f>
        <v/>
      </c>
      <c r="CS368" s="518" t="str">
        <f>IF(AND(_A6="B-737-800",'2025'!$M$4="CA",'2025'!$M$2=CS347),'2025DATA'!$L$23,"")</f>
        <v/>
      </c>
      <c r="CT368" s="518" t="str">
        <f>IF(AND(_A6="B-737-800",'2025'!$M$4="CA",'2025'!$M$2=CT347),'2025DATA'!$M$23,"")</f>
        <v/>
      </c>
      <c r="CU368" s="520" t="str">
        <f>IF(AND(_A6="B-737-800",'2025'!$M$4="CA",'2025'!$M$2=CU347),'2025DATA'!$N$23,"")</f>
        <v/>
      </c>
    </row>
    <row r="369" spans="16:99" x14ac:dyDescent="0.25">
      <c r="P369" s="940"/>
      <c r="Q369" s="13" t="s">
        <v>62</v>
      </c>
      <c r="R369" s="518" t="str">
        <f>IF(AND(_A1="B-737-800",'2025'!$M$4="FO",'2025'!$M$2=R347),'2025DATA'!$C$24,"")</f>
        <v/>
      </c>
      <c r="S369" s="518" t="str">
        <f>IF(AND(_A1="B-737-800",'2025'!$M$4="FO",'2025'!$M$2=S347),'2025DATA'!$D$24,"")</f>
        <v/>
      </c>
      <c r="T369" s="518" t="str">
        <f>IF(AND(_A1="B-737-800",'2025'!$M$4="FO",'2025'!$M$2=T347),'2025DATA'!$E$24,"")</f>
        <v/>
      </c>
      <c r="U369" s="518" t="str">
        <f>IF(AND(_A1="B-737-800",'2025'!$M$4="FO",'2025'!$M$2=U347),'2025DATA'!$F$24,"")</f>
        <v/>
      </c>
      <c r="V369" s="518" t="str">
        <f>IF(AND(_A1="B-737-800",'2025'!$M$4="FO",'2025'!$M$2=V347),'2025DATA'!$G$24,"")</f>
        <v/>
      </c>
      <c r="W369" s="518" t="str">
        <f>IF(AND(_A1="B-737-800",'2025'!$M$4="FO",'2025'!$M$2=W347),'2025DATA'!$H$24,"")</f>
        <v/>
      </c>
      <c r="X369" s="518" t="str">
        <f>IF(AND(_A1="B-737-800",'2025'!$M$4="FO",'2025'!$M$2=X347),'2025DATA'!$I$24,"")</f>
        <v/>
      </c>
      <c r="Y369" s="518" t="str">
        <f>IF(AND(_A1="B-737-800",'2025'!$M$4="FO",'2025'!$M$2=Y347),'2025DATA'!$J$24,"")</f>
        <v/>
      </c>
      <c r="Z369" s="518" t="str">
        <f>IF(AND(_A1="B-737-800",'2025'!$M$4="FO",'2025'!$M$2=Z347),'2025DATA'!$K$24,"")</f>
        <v/>
      </c>
      <c r="AA369" s="518" t="str">
        <f>IF(AND(_A1="B-737-800",'2025'!$M$4="FO",'2025'!$M$2=AA347),'2025DATA'!$L$24,"")</f>
        <v/>
      </c>
      <c r="AB369" s="518" t="str">
        <f>IF(AND(_A1="B-737-800",'2025'!$M$4="FO",'2025'!$M$2=AB347),'2025DATA'!$M$24,"")</f>
        <v/>
      </c>
      <c r="AC369" s="520" t="str">
        <f>IF(AND(_A1="B-737-800",'2025'!$M$4="FO",'2025'!$M$2=AC347),'2025DATA'!$N$24,"")</f>
        <v/>
      </c>
      <c r="AD369" s="940"/>
      <c r="AE369" s="13" t="s">
        <v>62</v>
      </c>
      <c r="AF369" s="518" t="str">
        <f>IF(AND(_A2="B-737-800",'2025'!$M$4="FO",'2025'!$M$2=AF347),'2025DATA'!$C$24,"")</f>
        <v/>
      </c>
      <c r="AG369" s="518" t="str">
        <f>IF(AND(_A2="B-737-800",'2025'!$M$4="FO",'2025'!$M$2=AG347),'2025DATA'!$D$24,"")</f>
        <v/>
      </c>
      <c r="AH369" s="518" t="str">
        <f>IF(AND(_A2="B-737-800",'2025'!$M$4="FO",'2025'!$M$2=AH347),'2025DATA'!$E$24,"")</f>
        <v/>
      </c>
      <c r="AI369" s="518" t="str">
        <f>IF(AND(_A2="B-737-800",'2025'!$M$4="FO",'2025'!$M$2=AI347),'2025DATA'!$F$24,"")</f>
        <v/>
      </c>
      <c r="AJ369" s="518" t="str">
        <f>IF(AND(_A2="B-737-800",'2025'!$M$4="FO",'2025'!$M$2=AJ347),'2025DATA'!$G$24,"")</f>
        <v/>
      </c>
      <c r="AK369" s="518" t="str">
        <f>IF(AND(_A2="B-737-800",'2025'!$M$4="FO",'2025'!$M$2=AK347),'2025DATA'!$H$24,"")</f>
        <v/>
      </c>
      <c r="AL369" s="518" t="str">
        <f>IF(AND(_A2="B-737-800",'2025'!$M$4="FO",'2025'!$M$2=AL347),'2025DATA'!$I$24,"")</f>
        <v/>
      </c>
      <c r="AM369" s="518" t="str">
        <f>IF(AND(_A2="B-737-800",'2025'!$M$4="FO",'2025'!$M$2=AM347),'2025DATA'!$J$24,"")</f>
        <v/>
      </c>
      <c r="AN369" s="518" t="str">
        <f>IF(AND(_A2="B-737-800",'2025'!$M$4="FO",'2025'!$M$2=AN347),'2025DATA'!$K$24,"")</f>
        <v/>
      </c>
      <c r="AO369" s="518" t="str">
        <f>IF(AND(_A2="B-737-800",'2025'!$M$4="FO",'2025'!$M$2=AO347),'2025DATA'!$L$24,"")</f>
        <v/>
      </c>
      <c r="AP369" s="518" t="str">
        <f>IF(AND(_A2="B-737-800",'2025'!$M$4="FO",'2025'!$M$2=AP347),'2025DATA'!$M$24,"")</f>
        <v/>
      </c>
      <c r="AQ369" s="520" t="str">
        <f>IF(AND(_A2="B-737-800",'2025'!$M$4="FO",'2025'!$M$2=AQ347),'2025DATA'!$N$24,"")</f>
        <v/>
      </c>
      <c r="AR369" s="940"/>
      <c r="AS369" s="13" t="s">
        <v>62</v>
      </c>
      <c r="AT369" s="518" t="str">
        <f>IF(AND(_A3="B-737-800",'2025'!$M$4="FO",'2025'!$M$2=AT347),'2025DATA'!$C$24,"")</f>
        <v/>
      </c>
      <c r="AU369" s="518" t="str">
        <f>IF(AND(_A3="B-737-800",'2025'!$M$4="FO",'2025'!$M$2=AU347),'2025DATA'!$D$24,"")</f>
        <v/>
      </c>
      <c r="AV369" s="518" t="str">
        <f>IF(AND(_A3="B-737-800",'2025'!$M$4="FO",'2025'!$M$2=AV347),'2025DATA'!$E$24,"")</f>
        <v/>
      </c>
      <c r="AW369" s="518" t="str">
        <f>IF(AND(_A3="B-737-800",'2025'!$M$4="FO",'2025'!$M$2=AW347),'2025DATA'!$F$24,"")</f>
        <v/>
      </c>
      <c r="AX369" s="518" t="str">
        <f>IF(AND(_A3="B-737-800",'2025'!$M$4="FO",'2025'!$M$2=AX347),'2025DATA'!$G$24,"")</f>
        <v/>
      </c>
      <c r="AY369" s="518" t="str">
        <f>IF(AND(_A3="B-737-800",'2025'!$M$4="FO",'2025'!$M$2=AY347),'2025DATA'!$H$24,"")</f>
        <v/>
      </c>
      <c r="AZ369" s="518" t="str">
        <f>IF(AND(_A3="B-737-800",'2025'!$M$4="FO",'2025'!$M$2=AZ347),'2025DATA'!$I$24,"")</f>
        <v/>
      </c>
      <c r="BA369" s="518" t="str">
        <f>IF(AND(_A3="B-737-800",'2025'!$M$4="FO",'2025'!$M$2=BA347),'2025DATA'!$J$24,"")</f>
        <v/>
      </c>
      <c r="BB369" s="518" t="str">
        <f>IF(AND(_A3="B-737-800",'2025'!$M$4="FO",'2025'!$M$2=BB347),'2025DATA'!$K$24,"")</f>
        <v/>
      </c>
      <c r="BC369" s="518" t="str">
        <f>IF(AND(_A3="B-737-800",'2025'!$M$4="FO",'2025'!$M$2=BC347),'2025DATA'!$L$24,"")</f>
        <v/>
      </c>
      <c r="BD369" s="518" t="str">
        <f>IF(AND(_A3="B-737-800",'2025'!$M$4="FO",'2025'!$M$2=BD347),'2025DATA'!$M$24,"")</f>
        <v/>
      </c>
      <c r="BE369" s="520" t="str">
        <f>IF(AND(_A3="B-737-800",'2025'!$M$4="FO",'2025'!$M$2=BE347),'2025DATA'!$N$24,"")</f>
        <v/>
      </c>
      <c r="BF369" s="940"/>
      <c r="BG369" s="13" t="s">
        <v>62</v>
      </c>
      <c r="BH369" s="518" t="str">
        <f>IF(AND(_A4="B-737-800",'2025'!$M$4="FO",'2025'!$M$2=BH347),'2025DATA'!$C$24,"")</f>
        <v/>
      </c>
      <c r="BI369" s="518" t="str">
        <f>IF(AND(_A4="B-737-800",'2025'!$M$4="FO",'2025'!$M$2=BI347),'2025DATA'!$D$24,"")</f>
        <v/>
      </c>
      <c r="BJ369" s="518" t="str">
        <f>IF(AND(_A4="B-737-800",'2025'!$M$4="FO",'2025'!$M$2=BJ347),'2025DATA'!$E$24,"")</f>
        <v/>
      </c>
      <c r="BK369" s="518" t="str">
        <f>IF(AND(_A4="B-737-800",'2025'!$M$4="FO",'2025'!$M$2=BK347),'2025DATA'!$F$24,"")</f>
        <v/>
      </c>
      <c r="BL369" s="518" t="str">
        <f>IF(AND(_A4="B-737-800",'2025'!$M$4="FO",'2025'!$M$2=BL347),'2025DATA'!$G$24,"")</f>
        <v/>
      </c>
      <c r="BM369" s="518" t="str">
        <f>IF(AND(_A4="B-737-800",'2025'!$M$4="FO",'2025'!$M$2=BM347),'2025DATA'!$H$24,"")</f>
        <v/>
      </c>
      <c r="BN369" s="518" t="str">
        <f>IF(AND(_A4="B-737-800",'2025'!$M$4="FO",'2025'!$M$2=BN347),'2025DATA'!$I$24,"")</f>
        <v/>
      </c>
      <c r="BO369" s="518" t="str">
        <f>IF(AND(_A4="B-737-800",'2025'!$M$4="FO",'2025'!$M$2=BO347),'2025DATA'!$J$24,"")</f>
        <v/>
      </c>
      <c r="BP369" s="518" t="str">
        <f>IF(AND(_A4="B-737-800",'2025'!$M$4="FO",'2025'!$M$2=BP347),'2025DATA'!$K$24,"")</f>
        <v/>
      </c>
      <c r="BQ369" s="518" t="str">
        <f>IF(AND(_A4="B-737-800",'2025'!$M$4="FO",'2025'!$M$2=BQ347),'2025DATA'!$L$24,"")</f>
        <v/>
      </c>
      <c r="BR369" s="518" t="str">
        <f>IF(AND(_A4="B-737-800",'2025'!$M$4="FO",'2025'!$M$2=BR347),'2025DATA'!$M$24,"")</f>
        <v/>
      </c>
      <c r="BS369" s="520" t="str">
        <f>IF(AND(_A4="B-737-800",'2025'!$M$4="FO",'2025'!$M$2=BS347),'2025DATA'!$N$24,"")</f>
        <v/>
      </c>
      <c r="BT369" s="940"/>
      <c r="BU369" s="13" t="s">
        <v>62</v>
      </c>
      <c r="BV369" s="518" t="str">
        <f>IF(AND(_A5="B-737-800",'2025'!$M$4="FO",'2025'!$M$2=BV347),'2025DATA'!$C$24,"")</f>
        <v/>
      </c>
      <c r="BW369" s="518" t="str">
        <f>IF(AND(_A5="B-737-800",'2025'!$M$4="FO",'2025'!$M$2=BW347),'2025DATA'!$D$24,"")</f>
        <v/>
      </c>
      <c r="BX369" s="518" t="str">
        <f>IF(AND(_A5="B-737-800",'2025'!$M$4="FO",'2025'!$M$2=BX347),'2025DATA'!$E$24,"")</f>
        <v/>
      </c>
      <c r="BY369" s="518" t="str">
        <f>IF(AND(_A5="B-737-800",'2025'!$M$4="FO",'2025'!$M$2=BY347),'2025DATA'!$F$24,"")</f>
        <v/>
      </c>
      <c r="BZ369" s="518" t="str">
        <f>IF(AND(_A5="B-737-800",'2025'!$M$4="FO",'2025'!$M$2=BZ347),'2025DATA'!$G$24,"")</f>
        <v/>
      </c>
      <c r="CA369" s="518" t="str">
        <f>IF(AND(_A5="B-737-800",'2025'!$M$4="FO",'2025'!$M$2=CA347),'2025DATA'!$H$24,"")</f>
        <v/>
      </c>
      <c r="CB369" s="518" t="str">
        <f>IF(AND(_A5="B-737-800",'2025'!$M$4="FO",'2025'!$M$2=CB347),'2025DATA'!$I$24,"")</f>
        <v/>
      </c>
      <c r="CC369" s="518" t="str">
        <f>IF(AND(_A5="B-737-800",'2025'!$M$4="FO",'2025'!$M$2=CC347),'2025DATA'!$J$24,"")</f>
        <v/>
      </c>
      <c r="CD369" s="518" t="str">
        <f>IF(AND(_A5="B-737-800",'2025'!$M$4="FO",'2025'!$M$2=CD347),'2025DATA'!$K$24,"")</f>
        <v/>
      </c>
      <c r="CE369" s="518" t="str">
        <f>IF(AND(_A5="B-737-800",'2025'!$M$4="FO",'2025'!$M$2=CE347),'2025DATA'!$L$24,"")</f>
        <v/>
      </c>
      <c r="CF369" s="518" t="str">
        <f>IF(AND(_A5="B-737-800",'2025'!$M$4="FO",'2025'!$M$2=CF347),'2025DATA'!$M$24,"")</f>
        <v/>
      </c>
      <c r="CG369" s="520" t="str">
        <f>IF(AND(_A5="B-737-800",'2025'!$M$4="FO",'2025'!$M$2=CG347),'2025DATA'!$N$24,"")</f>
        <v/>
      </c>
      <c r="CH369" s="940"/>
      <c r="CI369" s="13" t="s">
        <v>62</v>
      </c>
      <c r="CJ369" s="518" t="str">
        <f>IF(AND(_A6="B-737-800",'2025'!$M$4="FO",'2025'!$M$2=CJ347),'2025DATA'!$C$24,"")</f>
        <v/>
      </c>
      <c r="CK369" s="518" t="str">
        <f>IF(AND(_A6="B-737-800",'2025'!$M$4="FO",'2025'!$M$2=CK347),'2025DATA'!$D$24,"")</f>
        <v/>
      </c>
      <c r="CL369" s="518" t="str">
        <f>IF(AND(_A6="B-737-800",'2025'!$M$4="FO",'2025'!$M$2=CL347),'2025DATA'!$E$24,"")</f>
        <v/>
      </c>
      <c r="CM369" s="518" t="str">
        <f>IF(AND(_A6="B-737-800",'2025'!$M$4="FO",'2025'!$M$2=CM347),'2025DATA'!$F$24,"")</f>
        <v/>
      </c>
      <c r="CN369" s="518" t="str">
        <f>IF(AND(_A6="B-737-800",'2025'!$M$4="FO",'2025'!$M$2=CN347),'2025DATA'!$G$24,"")</f>
        <v/>
      </c>
      <c r="CO369" s="518" t="str">
        <f>IF(AND(_A6="B-737-800",'2025'!$M$4="FO",'2025'!$M$2=CO347),'2025DATA'!$H$24,"")</f>
        <v/>
      </c>
      <c r="CP369" s="518" t="str">
        <f>IF(AND(_A6="B-737-800",'2025'!$M$4="FO",'2025'!$M$2=CP347),'2025DATA'!$I$24,"")</f>
        <v/>
      </c>
      <c r="CQ369" s="518" t="str">
        <f>IF(AND(_A6="B-737-800",'2025'!$M$4="FO",'2025'!$M$2=CQ347),'2025DATA'!$J$24,"")</f>
        <v/>
      </c>
      <c r="CR369" s="518" t="str">
        <f>IF(AND(_A6="B-737-800",'2025'!$M$4="FO",'2025'!$M$2=CR347),'2025DATA'!$K$24,"")</f>
        <v/>
      </c>
      <c r="CS369" s="518" t="str">
        <f>IF(AND(_A6="B-737-800",'2025'!$M$4="FO",'2025'!$M$2=CS347),'2025DATA'!$L$24,"")</f>
        <v/>
      </c>
      <c r="CT369" s="518" t="str">
        <f>IF(AND(_A6="B-737-800",'2025'!$M$4="FO",'2025'!$M$2=CT347),'2025DATA'!$M$24,"")</f>
        <v/>
      </c>
      <c r="CU369" s="520" t="str">
        <f>IF(AND(_A6="B-737-800",'2025'!$M$4="FO",'2025'!$M$2=CU347),'2025DATA'!$N$24,"")</f>
        <v/>
      </c>
    </row>
    <row r="370" spans="16:99" x14ac:dyDescent="0.25">
      <c r="P370" s="940" t="s">
        <v>46</v>
      </c>
      <c r="Q370" s="13" t="s">
        <v>61</v>
      </c>
      <c r="R370" s="518" t="str">
        <f>IF(AND(_A1="A-321N",'2025'!$M$4="CA",'2025'!$M$2=R347),'2025DATA'!$C$25,"")</f>
        <v/>
      </c>
      <c r="S370" s="518" t="str">
        <f>IF(AND(_A1="A-321N",'2025'!$M$4="CA",'2025'!$M$2=S347),'2025DATA'!$D$25,"")</f>
        <v/>
      </c>
      <c r="T370" s="518" t="str">
        <f>IF(AND(_A1="A-321N",'2025'!$M$4="CA",'2025'!$M$2=T347),'2025DATA'!$E$25,"")</f>
        <v/>
      </c>
      <c r="U370" s="518" t="str">
        <f>IF(AND(_A1="A-321N",'2025'!$M$4="CA",'2025'!$M$2=U347),'2025DATA'!$F$25,"")</f>
        <v/>
      </c>
      <c r="V370" s="518" t="str">
        <f>IF(AND(_A1="A-321N",'2025'!$M$4="CA",'2025'!$M$2=V347),'2025DATA'!$G$25,"")</f>
        <v/>
      </c>
      <c r="W370" s="518" t="str">
        <f>IF(AND(_A1="A-321N",'2025'!$M$4="CA",'2025'!$M$2=W347),'2025DATA'!$H$25,"")</f>
        <v/>
      </c>
      <c r="X370" s="518" t="str">
        <f>IF(AND(_A1="A-321N",'2025'!$M$4="CA",'2025'!$M$2=X347),'2025DATA'!$I$25,"")</f>
        <v/>
      </c>
      <c r="Y370" s="518" t="str">
        <f>IF(AND(_A1="A-321N",'2025'!$M$4="CA",'2025'!$M$2=Y347),'2025DATA'!$J$25,"")</f>
        <v/>
      </c>
      <c r="Z370" s="518" t="str">
        <f>IF(AND(_A1="A-321N",'2025'!$M$4="CA",'2025'!$M$2=Z347),'2025DATA'!$K$25,"")</f>
        <v/>
      </c>
      <c r="AA370" s="518" t="str">
        <f>IF(AND(_A1="A-321N",'2025'!$M$4="CA",'2025'!$M$2=AA347),'2025DATA'!$L$25,"")</f>
        <v/>
      </c>
      <c r="AB370" s="518" t="str">
        <f>IF(AND(_A1="A-321N",'2025'!$M$4="CA",'2025'!$M$2=AB347),'2025DATA'!$M$25,"")</f>
        <v/>
      </c>
      <c r="AC370" s="520" t="str">
        <f>IF(AND(_A1="A-321N",'2025'!$M$4="CA",'2025'!$M$2=AC347),'2025DATA'!$N$25,"")</f>
        <v/>
      </c>
      <c r="AD370" s="940" t="s">
        <v>46</v>
      </c>
      <c r="AE370" s="13" t="s">
        <v>61</v>
      </c>
      <c r="AF370" s="518" t="str">
        <f>IF(AND(_A2="A-321N",'2025'!$M$4="CA",'2025'!$M$2=AF347),'2025DATA'!$C$25,"")</f>
        <v/>
      </c>
      <c r="AG370" s="518" t="str">
        <f>IF(AND(_A2="A-321N",'2025'!$M$4="CA",'2025'!$M$2=AG347),'2025DATA'!$D$25,"")</f>
        <v/>
      </c>
      <c r="AH370" s="518" t="str">
        <f>IF(AND(_A2="A-321N",'2025'!$M$4="CA",'2025'!$M$2=AH347),'2025DATA'!$E$25,"")</f>
        <v/>
      </c>
      <c r="AI370" s="518" t="str">
        <f>IF(AND(_A2="A-321N",'2025'!$M$4="CA",'2025'!$M$2=AI347),'2025DATA'!$F$25,"")</f>
        <v/>
      </c>
      <c r="AJ370" s="518" t="str">
        <f>IF(AND(_A2="A-321N",'2025'!$M$4="CA",'2025'!$M$2=AJ347),'2025DATA'!$G$25,"")</f>
        <v/>
      </c>
      <c r="AK370" s="518" t="str">
        <f>IF(AND(_A2="A-321N",'2025'!$M$4="CA",'2025'!$M$2=AK347),'2025DATA'!$H$25,"")</f>
        <v/>
      </c>
      <c r="AL370" s="518" t="str">
        <f>IF(AND(_A2="A-321N",'2025'!$M$4="CA",'2025'!$M$2=AL347),'2025DATA'!$I$25,"")</f>
        <v/>
      </c>
      <c r="AM370" s="518" t="str">
        <f>IF(AND(_A2="A-321N",'2025'!$M$4="CA",'2025'!$M$2=AM347),'2025DATA'!$J$25,"")</f>
        <v/>
      </c>
      <c r="AN370" s="518" t="str">
        <f>IF(AND(_A2="A-321N",'2025'!$M$4="CA",'2025'!$M$2=AN347),'2025DATA'!$K$25,"")</f>
        <v/>
      </c>
      <c r="AO370" s="518" t="str">
        <f>IF(AND(_A2="A-321N",'2025'!$M$4="CA",'2025'!$M$2=AO347),'2025DATA'!$L$25,"")</f>
        <v/>
      </c>
      <c r="AP370" s="518" t="str">
        <f>IF(AND(_A2="A-321N",'2025'!$M$4="CA",'2025'!$M$2=AP347),'2025DATA'!$M$25,"")</f>
        <v/>
      </c>
      <c r="AQ370" s="520" t="str">
        <f>IF(AND(_A2="A-321N",'2025'!$M$4="CA",'2025'!$M$2=AQ347),'2025DATA'!$N$25,"")</f>
        <v/>
      </c>
      <c r="AR370" s="940" t="s">
        <v>46</v>
      </c>
      <c r="AS370" s="13" t="s">
        <v>61</v>
      </c>
      <c r="AT370" s="518" t="str">
        <f>IF(AND(_A3="A-321N",'2025'!$M$4="CA",'2025'!$M$2=AT347),'2025DATA'!$C$25,"")</f>
        <v/>
      </c>
      <c r="AU370" s="518" t="str">
        <f>IF(AND(_A3="A-321N",'2025'!$M$4="CA",'2025'!$M$2=AU347),'2025DATA'!$D$25,"")</f>
        <v/>
      </c>
      <c r="AV370" s="518" t="str">
        <f>IF(AND(_A3="A-321N",'2025'!$M$4="CA",'2025'!$M$2=AV347),'2025DATA'!$E$25,"")</f>
        <v/>
      </c>
      <c r="AW370" s="518" t="str">
        <f>IF(AND(_A3="A-321N",'2025'!$M$4="CA",'2025'!$M$2=AW347),'2025DATA'!$F$25,"")</f>
        <v/>
      </c>
      <c r="AX370" s="518" t="str">
        <f>IF(AND(_A3="A-321N",'2025'!$M$4="CA",'2025'!$M$2=AX347),'2025DATA'!$G$25,"")</f>
        <v/>
      </c>
      <c r="AY370" s="518" t="str">
        <f>IF(AND(_A3="A-321N",'2025'!$M$4="CA",'2025'!$M$2=AY347),'2025DATA'!$H$25,"")</f>
        <v/>
      </c>
      <c r="AZ370" s="518" t="str">
        <f>IF(AND(_A3="A-321N",'2025'!$M$4="CA",'2025'!$M$2=AZ347),'2025DATA'!$I$25,"")</f>
        <v/>
      </c>
      <c r="BA370" s="518" t="str">
        <f>IF(AND(_A3="A-321N",'2025'!$M$4="CA",'2025'!$M$2=BA347),'2025DATA'!$J$25,"")</f>
        <v/>
      </c>
      <c r="BB370" s="518" t="str">
        <f>IF(AND(_A3="A-321N",'2025'!$M$4="CA",'2025'!$M$2=BB347),'2025DATA'!$K$25,"")</f>
        <v/>
      </c>
      <c r="BC370" s="518" t="str">
        <f>IF(AND(_A3="A-321N",'2025'!$M$4="CA",'2025'!$M$2=BC347),'2025DATA'!$L$25,"")</f>
        <v/>
      </c>
      <c r="BD370" s="518" t="str">
        <f>IF(AND(_A3="A-321N",'2025'!$M$4="CA",'2025'!$M$2=BD347),'2025DATA'!$M$25,"")</f>
        <v/>
      </c>
      <c r="BE370" s="520" t="str">
        <f>IF(AND(_A3="A-321N",'2025'!$M$4="CA",'2025'!$M$2=BE347),'2025DATA'!$N$25,"")</f>
        <v/>
      </c>
      <c r="BF370" s="940" t="s">
        <v>46</v>
      </c>
      <c r="BG370" s="13" t="s">
        <v>61</v>
      </c>
      <c r="BH370" s="518" t="str">
        <f>IF(AND(_A4="A-321N",'2025'!$M$4="CA",'2025'!$M$2=BH347),'2025DATA'!$C$25,"")</f>
        <v/>
      </c>
      <c r="BI370" s="518" t="str">
        <f>IF(AND(_A4="A-321N",'2025'!$M$4="CA",'2025'!$M$2=BI347),'2025DATA'!$D$25,"")</f>
        <v/>
      </c>
      <c r="BJ370" s="518" t="str">
        <f>IF(AND(_A4="A-321N",'2025'!$M$4="CA",'2025'!$M$2=BJ347),'2025DATA'!$E$25,"")</f>
        <v/>
      </c>
      <c r="BK370" s="518" t="str">
        <f>IF(AND(_A4="A-321N",'2025'!$M$4="CA",'2025'!$M$2=BK347),'2025DATA'!$F$25,"")</f>
        <v/>
      </c>
      <c r="BL370" s="518" t="str">
        <f>IF(AND(_A4="A-321N",'2025'!$M$4="CA",'2025'!$M$2=BL347),'2025DATA'!$G$25,"")</f>
        <v/>
      </c>
      <c r="BM370" s="518" t="str">
        <f>IF(AND(_A4="A-321N",'2025'!$M$4="CA",'2025'!$M$2=BM347),'2025DATA'!$H$25,"")</f>
        <v/>
      </c>
      <c r="BN370" s="518" t="str">
        <f>IF(AND(_A4="A-321N",'2025'!$M$4="CA",'2025'!$M$2=BN347),'2025DATA'!$I$25,"")</f>
        <v/>
      </c>
      <c r="BO370" s="518" t="str">
        <f>IF(AND(_A4="A-321N",'2025'!$M$4="CA",'2025'!$M$2=BO347),'2025DATA'!$J$25,"")</f>
        <v/>
      </c>
      <c r="BP370" s="518" t="str">
        <f>IF(AND(_A4="A-321N",'2025'!$M$4="CA",'2025'!$M$2=BP347),'2025DATA'!$K$25,"")</f>
        <v/>
      </c>
      <c r="BQ370" s="518" t="str">
        <f>IF(AND(_A4="A-321N",'2025'!$M$4="CA",'2025'!$M$2=BQ347),'2025DATA'!$L$25,"")</f>
        <v/>
      </c>
      <c r="BR370" s="518" t="str">
        <f>IF(AND(_A4="A-321N",'2025'!$M$4="CA",'2025'!$M$2=BR347),'2025DATA'!$M$25,"")</f>
        <v/>
      </c>
      <c r="BS370" s="520" t="str">
        <f>IF(AND(_A4="A-321N",'2025'!$M$4="CA",'2025'!$M$2=BS347),'2025DATA'!$N$25,"")</f>
        <v/>
      </c>
      <c r="BT370" s="940" t="s">
        <v>46</v>
      </c>
      <c r="BU370" s="13" t="s">
        <v>61</v>
      </c>
      <c r="BV370" s="518" t="str">
        <f>IF(AND(_A5="A-321N",'2025'!$M$4="CA",'2025'!$M$2=BV347),'2025DATA'!$C$25,"")</f>
        <v/>
      </c>
      <c r="BW370" s="518" t="str">
        <f>IF(AND(_A5="A-321N",'2025'!$M$4="CA",'2025'!$M$2=BW347),'2025DATA'!$D$25,"")</f>
        <v/>
      </c>
      <c r="BX370" s="518" t="str">
        <f>IF(AND(_A5="A-321N",'2025'!$M$4="CA",'2025'!$M$2=BX347),'2025DATA'!$E$25,"")</f>
        <v/>
      </c>
      <c r="BY370" s="518" t="str">
        <f>IF(AND(_A5="A-321N",'2025'!$M$4="CA",'2025'!$M$2=BY347),'2025DATA'!$F$25,"")</f>
        <v/>
      </c>
      <c r="BZ370" s="518" t="str">
        <f>IF(AND(_A5="A-321N",'2025'!$M$4="CA",'2025'!$M$2=BZ347),'2025DATA'!$G$25,"")</f>
        <v/>
      </c>
      <c r="CA370" s="518" t="str">
        <f>IF(AND(_A5="A-321N",'2025'!$M$4="CA",'2025'!$M$2=CA347),'2025DATA'!$H$25,"")</f>
        <v/>
      </c>
      <c r="CB370" s="518" t="str">
        <f>IF(AND(_A5="A-321N",'2025'!$M$4="CA",'2025'!$M$2=CB347),'2025DATA'!$I$25,"")</f>
        <v/>
      </c>
      <c r="CC370" s="518" t="str">
        <f>IF(AND(_A5="A-321N",'2025'!$M$4="CA",'2025'!$M$2=CC347),'2025DATA'!$J$25,"")</f>
        <v/>
      </c>
      <c r="CD370" s="518" t="str">
        <f>IF(AND(_A5="A-321N",'2025'!$M$4="CA",'2025'!$M$2=CD347),'2025DATA'!$K$25,"")</f>
        <v/>
      </c>
      <c r="CE370" s="518" t="str">
        <f>IF(AND(_A5="A-321N",'2025'!$M$4="CA",'2025'!$M$2=CE347),'2025DATA'!$L$25,"")</f>
        <v/>
      </c>
      <c r="CF370" s="518" t="str">
        <f>IF(AND(_A5="A-321N",'2025'!$M$4="CA",'2025'!$M$2=CF347),'2025DATA'!$M$25,"")</f>
        <v/>
      </c>
      <c r="CG370" s="520" t="str">
        <f>IF(AND(_A5="A-321N",'2025'!$M$4="CA",'2025'!$M$2=CG347),'2025DATA'!$N$25,"")</f>
        <v/>
      </c>
      <c r="CH370" s="940" t="s">
        <v>46</v>
      </c>
      <c r="CI370" s="13" t="s">
        <v>61</v>
      </c>
      <c r="CJ370" s="518" t="str">
        <f>IF(AND(_A6="A-321N",'2025'!$M$4="CA",'2025'!$M$2=CJ347),'2025DATA'!$C$25,"")</f>
        <v/>
      </c>
      <c r="CK370" s="518" t="str">
        <f>IF(AND(_A6="A-321N",'2025'!$M$4="CA",'2025'!$M$2=CK347),'2025DATA'!$D$25,"")</f>
        <v/>
      </c>
      <c r="CL370" s="518" t="str">
        <f>IF(AND(_A6="A-321N",'2025'!$M$4="CA",'2025'!$M$2=CL347),'2025DATA'!$E$25,"")</f>
        <v/>
      </c>
      <c r="CM370" s="518" t="str">
        <f>IF(AND(_A6="A-321N",'2025'!$M$4="CA",'2025'!$M$2=CM347),'2025DATA'!$F$25,"")</f>
        <v/>
      </c>
      <c r="CN370" s="518" t="str">
        <f>IF(AND(_A6="A-321N",'2025'!$M$4="CA",'2025'!$M$2=CN347),'2025DATA'!$G$25,"")</f>
        <v/>
      </c>
      <c r="CO370" s="518" t="str">
        <f>IF(AND(_A6="A-321N",'2025'!$M$4="CA",'2025'!$M$2=CO347),'2025DATA'!$H$25,"")</f>
        <v/>
      </c>
      <c r="CP370" s="518" t="str">
        <f>IF(AND(_A6="A-321N",'2025'!$M$4="CA",'2025'!$M$2=CP347),'2025DATA'!$I$25,"")</f>
        <v/>
      </c>
      <c r="CQ370" s="518" t="str">
        <f>IF(AND(_A6="A-321N",'2025'!$M$4="CA",'2025'!$M$2=CQ347),'2025DATA'!$J$25,"")</f>
        <v/>
      </c>
      <c r="CR370" s="518" t="str">
        <f>IF(AND(_A6="A-321N",'2025'!$M$4="CA",'2025'!$M$2=CR347),'2025DATA'!$K$25,"")</f>
        <v/>
      </c>
      <c r="CS370" s="518" t="str">
        <f>IF(AND(_A6="A-321N",'2025'!$M$4="CA",'2025'!$M$2=CS347),'2025DATA'!$L$25,"")</f>
        <v/>
      </c>
      <c r="CT370" s="518" t="str">
        <f>IF(AND(_A6="A-321N",'2025'!$M$4="CA",'2025'!$M$2=CT347),'2025DATA'!$M$25,"")</f>
        <v/>
      </c>
      <c r="CU370" s="520" t="str">
        <f>IF(AND(_A6="A-321N",'2025'!$M$4="CA",'2025'!$M$2=CU347),'2025DATA'!$N$25,"")</f>
        <v/>
      </c>
    </row>
    <row r="371" spans="16:99" x14ac:dyDescent="0.25">
      <c r="P371" s="940"/>
      <c r="Q371" s="13" t="s">
        <v>62</v>
      </c>
      <c r="R371" s="518" t="str">
        <f>IF(AND(_A1="A-321N",'2025'!$M$4="FO",'2025'!$M$2=R347),'2025DATA'!$C$26,"")</f>
        <v/>
      </c>
      <c r="S371" s="518" t="str">
        <f>IF(AND(_A1="A-321N",'2025'!$M$4="FO",'2025'!$M$2=S347),'2025DATA'!$D$26,"")</f>
        <v/>
      </c>
      <c r="T371" s="518" t="str">
        <f>IF(AND(_A1="A-321N",'2025'!$M$4="FO",'2025'!$M$2=T347),'2025DATA'!$E$26,"")</f>
        <v/>
      </c>
      <c r="U371" s="518" t="str">
        <f>IF(AND(_A1="A-321N",'2025'!$M$4="FO",'2025'!$M$2=U347),'2025DATA'!$F$26,"")</f>
        <v/>
      </c>
      <c r="V371" s="518" t="str">
        <f>IF(AND(_A1="A-321N",'2025'!$M$4="FO",'2025'!$M$2=V347),'2025DATA'!$G$26,"")</f>
        <v/>
      </c>
      <c r="W371" s="518" t="str">
        <f>IF(AND(_A1="A-321N",'2025'!$M$4="FO",'2025'!$M$2=W347),'2025DATA'!$H$26,"")</f>
        <v/>
      </c>
      <c r="X371" s="518" t="str">
        <f>IF(AND(_A1="A-321N",'2025'!$M$4="FO",'2025'!$M$2=X347),'2025DATA'!$I$26,"")</f>
        <v/>
      </c>
      <c r="Y371" s="518" t="str">
        <f>IF(AND(_A1="A-321N",'2025'!$M$4="FO",'2025'!$M$2=Y347),'2025DATA'!$J$26,"")</f>
        <v/>
      </c>
      <c r="Z371" s="518" t="str">
        <f>IF(AND(_A1="A-321N",'2025'!$M$4="FO",'2025'!$M$2=Z347),'2025DATA'!$K$26,"")</f>
        <v/>
      </c>
      <c r="AA371" s="518" t="str">
        <f>IF(AND(_A1="A-321N",'2025'!$M$4="FO",'2025'!$M$2=AA347),'2025DATA'!$L$26,"")</f>
        <v/>
      </c>
      <c r="AB371" s="518" t="str">
        <f>IF(AND(_A1="A-321N",'2025'!$M$4="FO",'2025'!$M$2=AB347),'2025DATA'!$M$26,"")</f>
        <v/>
      </c>
      <c r="AC371" s="520" t="str">
        <f>IF(AND(_A1="A-321N",'2025'!$M$4="FO",'2025'!$M$2=AC347),'2025DATA'!$N$26,"")</f>
        <v/>
      </c>
      <c r="AD371" s="940"/>
      <c r="AE371" s="13" t="s">
        <v>62</v>
      </c>
      <c r="AF371" s="518" t="str">
        <f>IF(AND(_A2="A-321N",'2025'!$M$4="FO",'2025'!$M$2=AF347),'2025DATA'!$C$26,"")</f>
        <v/>
      </c>
      <c r="AG371" s="518" t="str">
        <f>IF(AND(_A2="A-321N",'2025'!$M$4="FO",'2025'!$M$2=AG347),'2025DATA'!$D$26,"")</f>
        <v/>
      </c>
      <c r="AH371" s="518" t="str">
        <f>IF(AND(_A2="A-321N",'2025'!$M$4="FO",'2025'!$M$2=AH347),'2025DATA'!$E$26,"")</f>
        <v/>
      </c>
      <c r="AI371" s="518" t="str">
        <f>IF(AND(_A2="A-321N",'2025'!$M$4="FO",'2025'!$M$2=AI347),'2025DATA'!$F$26,"")</f>
        <v/>
      </c>
      <c r="AJ371" s="518" t="str">
        <f>IF(AND(_A2="A-321N",'2025'!$M$4="FO",'2025'!$M$2=AJ347),'2025DATA'!$G$26,"")</f>
        <v/>
      </c>
      <c r="AK371" s="518" t="str">
        <f>IF(AND(_A2="A-321N",'2025'!$M$4="FO",'2025'!$M$2=AK347),'2025DATA'!$H$26,"")</f>
        <v/>
      </c>
      <c r="AL371" s="518" t="str">
        <f>IF(AND(_A2="A-321N",'2025'!$M$4="FO",'2025'!$M$2=AL347),'2025DATA'!$I$26,"")</f>
        <v/>
      </c>
      <c r="AM371" s="518" t="str">
        <f>IF(AND(_A2="A-321N",'2025'!$M$4="FO",'2025'!$M$2=AM347),'2025DATA'!$J$26,"")</f>
        <v/>
      </c>
      <c r="AN371" s="518" t="str">
        <f>IF(AND(_A2="A-321N",'2025'!$M$4="FO",'2025'!$M$2=AN347),'2025DATA'!$K$26,"")</f>
        <v/>
      </c>
      <c r="AO371" s="518" t="str">
        <f>IF(AND(_A2="A-321N",'2025'!$M$4="FO",'2025'!$M$2=AO347),'2025DATA'!$L$26,"")</f>
        <v/>
      </c>
      <c r="AP371" s="518" t="str">
        <f>IF(AND(_A2="A-321N",'2025'!$M$4="FO",'2025'!$M$2=AP347),'2025DATA'!$M$26,"")</f>
        <v/>
      </c>
      <c r="AQ371" s="520" t="str">
        <f>IF(AND(_A2="A-321N",'2025'!$M$4="FO",'2025'!$M$2=AQ347),'2025DATA'!$N$26,"")</f>
        <v/>
      </c>
      <c r="AR371" s="940"/>
      <c r="AS371" s="13" t="s">
        <v>62</v>
      </c>
      <c r="AT371" s="518" t="str">
        <f>IF(AND(_A3="A-321N",'2025'!$M$4="FO",'2025'!$M$2=AT347),'2025DATA'!$C$26,"")</f>
        <v/>
      </c>
      <c r="AU371" s="518" t="str">
        <f>IF(AND(_A3="A-321N",'2025'!$M$4="FO",'2025'!$M$2=AU347),'2025DATA'!$D$26,"")</f>
        <v/>
      </c>
      <c r="AV371" s="518" t="str">
        <f>IF(AND(_A3="A-321N",'2025'!$M$4="FO",'2025'!$M$2=AV347),'2025DATA'!$E$26,"")</f>
        <v/>
      </c>
      <c r="AW371" s="518" t="str">
        <f>IF(AND(_A3="A-321N",'2025'!$M$4="FO",'2025'!$M$2=AW347),'2025DATA'!$F$26,"")</f>
        <v/>
      </c>
      <c r="AX371" s="518" t="str">
        <f>IF(AND(_A3="A-321N",'2025'!$M$4="FO",'2025'!$M$2=AX347),'2025DATA'!$G$26,"")</f>
        <v/>
      </c>
      <c r="AY371" s="518" t="str">
        <f>IF(AND(_A3="A-321N",'2025'!$M$4="FO",'2025'!$M$2=AY347),'2025DATA'!$H$26,"")</f>
        <v/>
      </c>
      <c r="AZ371" s="518" t="str">
        <f>IF(AND(_A3="A-321N",'2025'!$M$4="FO",'2025'!$M$2=AZ347),'2025DATA'!$I$26,"")</f>
        <v/>
      </c>
      <c r="BA371" s="518" t="str">
        <f>IF(AND(_A3="A-321N",'2025'!$M$4="FO",'2025'!$M$2=BA347),'2025DATA'!$J$26,"")</f>
        <v/>
      </c>
      <c r="BB371" s="518" t="str">
        <f>IF(AND(_A3="A-321N",'2025'!$M$4="FO",'2025'!$M$2=BB347),'2025DATA'!$K$26,"")</f>
        <v/>
      </c>
      <c r="BC371" s="518" t="str">
        <f>IF(AND(_A3="A-321N",'2025'!$M$4="FO",'2025'!$M$2=BC347),'2025DATA'!$L$26,"")</f>
        <v/>
      </c>
      <c r="BD371" s="518" t="str">
        <f>IF(AND(_A3="A-321N",'2025'!$M$4="FO",'2025'!$M$2=BD347),'2025DATA'!$M$26,"")</f>
        <v/>
      </c>
      <c r="BE371" s="520" t="str">
        <f>IF(AND(_A3="A-321N",'2025'!$M$4="FO",'2025'!$M$2=BE347),'2025DATA'!$N$26,"")</f>
        <v/>
      </c>
      <c r="BF371" s="940"/>
      <c r="BG371" s="13" t="s">
        <v>62</v>
      </c>
      <c r="BH371" s="518" t="str">
        <f>IF(AND(_A4="A-321N",'2025'!$M$4="FO",'2025'!$M$2=BH347),'2025DATA'!$C$26,"")</f>
        <v/>
      </c>
      <c r="BI371" s="518" t="str">
        <f>IF(AND(_A4="A-321N",'2025'!$M$4="FO",'2025'!$M$2=BI347),'2025DATA'!$D$26,"")</f>
        <v/>
      </c>
      <c r="BJ371" s="518" t="str">
        <f>IF(AND(_A4="A-321N",'2025'!$M$4="FO",'2025'!$M$2=BJ347),'2025DATA'!$E$26,"")</f>
        <v/>
      </c>
      <c r="BK371" s="518" t="str">
        <f>IF(AND(_A4="A-321N",'2025'!$M$4="FO",'2025'!$M$2=BK347),'2025DATA'!$F$26,"")</f>
        <v/>
      </c>
      <c r="BL371" s="518" t="str">
        <f>IF(AND(_A4="A-321N",'2025'!$M$4="FO",'2025'!$M$2=BL347),'2025DATA'!$G$26,"")</f>
        <v/>
      </c>
      <c r="BM371" s="518" t="str">
        <f>IF(AND(_A4="A-321N",'2025'!$M$4="FO",'2025'!$M$2=BM347),'2025DATA'!$H$26,"")</f>
        <v/>
      </c>
      <c r="BN371" s="518" t="str">
        <f>IF(AND(_A4="A-321N",'2025'!$M$4="FO",'2025'!$M$2=BN347),'2025DATA'!$I$26,"")</f>
        <v/>
      </c>
      <c r="BO371" s="518" t="str">
        <f>IF(AND(_A4="A-321N",'2025'!$M$4="FO",'2025'!$M$2=BO347),'2025DATA'!$J$26,"")</f>
        <v/>
      </c>
      <c r="BP371" s="518" t="str">
        <f>IF(AND(_A4="A-321N",'2025'!$M$4="FO",'2025'!$M$2=BP347),'2025DATA'!$K$26,"")</f>
        <v/>
      </c>
      <c r="BQ371" s="518" t="str">
        <f>IF(AND(_A4="A-321N",'2025'!$M$4="FO",'2025'!$M$2=BQ347),'2025DATA'!$L$26,"")</f>
        <v/>
      </c>
      <c r="BR371" s="518" t="str">
        <f>IF(AND(_A4="A-321N",'2025'!$M$4="FO",'2025'!$M$2=BR347),'2025DATA'!$M$26,"")</f>
        <v/>
      </c>
      <c r="BS371" s="520" t="str">
        <f>IF(AND(_A4="A-321N",'2025'!$M$4="FO",'2025'!$M$2=BS347),'2025DATA'!$N$26,"")</f>
        <v/>
      </c>
      <c r="BT371" s="940"/>
      <c r="BU371" s="13" t="s">
        <v>62</v>
      </c>
      <c r="BV371" s="518" t="str">
        <f>IF(AND(_A5="A-321N",'2025'!$M$4="FO",'2025'!$M$2=BV347),'2025DATA'!$C$26,"")</f>
        <v/>
      </c>
      <c r="BW371" s="518" t="str">
        <f>IF(AND(_A5="A-321N",'2025'!$M$4="FO",'2025'!$M$2=BW347),'2025DATA'!$D$26,"")</f>
        <v/>
      </c>
      <c r="BX371" s="518" t="str">
        <f>IF(AND(_A5="A-321N",'2025'!$M$4="FO",'2025'!$M$2=BX347),'2025DATA'!$E$26,"")</f>
        <v/>
      </c>
      <c r="BY371" s="518" t="str">
        <f>IF(AND(_A5="A-321N",'2025'!$M$4="FO",'2025'!$M$2=BY347),'2025DATA'!$F$26,"")</f>
        <v/>
      </c>
      <c r="BZ371" s="518" t="str">
        <f>IF(AND(_A5="A-321N",'2025'!$M$4="FO",'2025'!$M$2=BZ347),'2025DATA'!$G$26,"")</f>
        <v/>
      </c>
      <c r="CA371" s="518" t="str">
        <f>IF(AND(_A5="A-321N",'2025'!$M$4="FO",'2025'!$M$2=CA347),'2025DATA'!$H$26,"")</f>
        <v/>
      </c>
      <c r="CB371" s="518" t="str">
        <f>IF(AND(_A5="A-321N",'2025'!$M$4="FO",'2025'!$M$2=CB347),'2025DATA'!$I$26,"")</f>
        <v/>
      </c>
      <c r="CC371" s="518" t="str">
        <f>IF(AND(_A5="A-321N",'2025'!$M$4="FO",'2025'!$M$2=CC347),'2025DATA'!$J$26,"")</f>
        <v/>
      </c>
      <c r="CD371" s="518" t="str">
        <f>IF(AND(_A5="A-321N",'2025'!$M$4="FO",'2025'!$M$2=CD347),'2025DATA'!$K$26,"")</f>
        <v/>
      </c>
      <c r="CE371" s="518" t="str">
        <f>IF(AND(_A5="A-321N",'2025'!$M$4="FO",'2025'!$M$2=CE347),'2025DATA'!$L$26,"")</f>
        <v/>
      </c>
      <c r="CF371" s="518" t="str">
        <f>IF(AND(_A5="A-321N",'2025'!$M$4="FO",'2025'!$M$2=CF347),'2025DATA'!$M$26,"")</f>
        <v/>
      </c>
      <c r="CG371" s="520" t="str">
        <f>IF(AND(_A5="A-321N",'2025'!$M$4="FO",'2025'!$M$2=CG347),'2025DATA'!$N$26,"")</f>
        <v/>
      </c>
      <c r="CH371" s="940"/>
      <c r="CI371" s="13" t="s">
        <v>62</v>
      </c>
      <c r="CJ371" s="518" t="str">
        <f>IF(AND(_A6="A-321N",'2025'!$M$4="FO",'2025'!$M$2=CJ347),'2025DATA'!$C$26,"")</f>
        <v/>
      </c>
      <c r="CK371" s="518" t="str">
        <f>IF(AND(_A6="A-321N",'2025'!$M$4="FO",'2025'!$M$2=CK347),'2025DATA'!$D$26,"")</f>
        <v/>
      </c>
      <c r="CL371" s="518" t="str">
        <f>IF(AND(_A6="A-321N",'2025'!$M$4="FO",'2025'!$M$2=CL347),'2025DATA'!$E$26,"")</f>
        <v/>
      </c>
      <c r="CM371" s="518" t="str">
        <f>IF(AND(_A6="A-321N",'2025'!$M$4="FO",'2025'!$M$2=CM347),'2025DATA'!$F$26,"")</f>
        <v/>
      </c>
      <c r="CN371" s="518" t="str">
        <f>IF(AND(_A6="A-321N",'2025'!$M$4="FO",'2025'!$M$2=CN347),'2025DATA'!$G$26,"")</f>
        <v/>
      </c>
      <c r="CO371" s="518" t="str">
        <f>IF(AND(_A6="A-321N",'2025'!$M$4="FO",'2025'!$M$2=CO347),'2025DATA'!$H$26,"")</f>
        <v/>
      </c>
      <c r="CP371" s="518" t="str">
        <f>IF(AND(_A6="A-321N",'2025'!$M$4="FO",'2025'!$M$2=CP347),'2025DATA'!$I$26,"")</f>
        <v/>
      </c>
      <c r="CQ371" s="518" t="str">
        <f>IF(AND(_A6="A-321N",'2025'!$M$4="FO",'2025'!$M$2=CQ347),'2025DATA'!$J$26,"")</f>
        <v/>
      </c>
      <c r="CR371" s="518" t="str">
        <f>IF(AND(_A6="A-321N",'2025'!$M$4="FO",'2025'!$M$2=CR347),'2025DATA'!$K$26,"")</f>
        <v/>
      </c>
      <c r="CS371" s="518" t="str">
        <f>IF(AND(_A6="A-321N",'2025'!$M$4="FO",'2025'!$M$2=CS347),'2025DATA'!$L$26,"")</f>
        <v/>
      </c>
      <c r="CT371" s="518" t="str">
        <f>IF(AND(_A6="A-321N",'2025'!$M$4="FO",'2025'!$M$2=CT347),'2025DATA'!$M$26,"")</f>
        <v/>
      </c>
      <c r="CU371" s="520" t="str">
        <f>IF(AND(_A6="A-321N",'2025'!$M$4="FO",'2025'!$M$2=CU347),'2025DATA'!$N$26,"")</f>
        <v/>
      </c>
    </row>
    <row r="372" spans="16:99" x14ac:dyDescent="0.25">
      <c r="P372" s="940" t="s">
        <v>48</v>
      </c>
      <c r="Q372" s="13" t="s">
        <v>61</v>
      </c>
      <c r="R372" s="518" t="str">
        <f>IF(AND(_A1="A-321",'2025'!$M$4="CA",'2025'!$M$2=R347),'2025DATA'!$C$27,"")</f>
        <v/>
      </c>
      <c r="S372" s="518" t="str">
        <f>IF(AND(_A1="A-321",'2025'!$M$4="CA",'2025'!$M$2=S347),'2025DATA'!$D$27,"")</f>
        <v/>
      </c>
      <c r="T372" s="518" t="str">
        <f>IF(AND(_A1="A-321",'2025'!$M$4="CA",'2025'!$M$2=T347),'2025DATA'!$E$27,"")</f>
        <v/>
      </c>
      <c r="U372" s="518" t="str">
        <f>IF(AND(_A1="A-321",'2025'!$M$4="CA",'2025'!$M$2=U347),'2025DATA'!$F$27,"")</f>
        <v/>
      </c>
      <c r="V372" s="518" t="str">
        <f>IF(AND(_A1="A-321",'2025'!$M$4="CA",'2025'!$M$2=V347),'2025DATA'!$G$27,"")</f>
        <v/>
      </c>
      <c r="W372" s="518" t="str">
        <f>IF(AND(_A1="A-321",'2025'!$M$4="CA",'2025'!$M$2=W347),'2025DATA'!$H$27,"")</f>
        <v/>
      </c>
      <c r="X372" s="518" t="str">
        <f>IF(AND(_A1="A-321",'2025'!$M$4="CA",'2025'!$M$2=X347),'2025DATA'!$I$27,"")</f>
        <v/>
      </c>
      <c r="Y372" s="518" t="str">
        <f>IF(AND(_A1="A-321",'2025'!$M$4="CA",'2025'!$M$2=Y347),'2025DATA'!$J$27,"")</f>
        <v/>
      </c>
      <c r="Z372" s="518" t="str">
        <f>IF(AND(_A1="A-321",'2025'!$M$4="CA",'2025'!$M$2=Z347),'2025DATA'!$K$27,"")</f>
        <v/>
      </c>
      <c r="AA372" s="518" t="str">
        <f>IF(AND(_A1="A-321",'2025'!$M$4="CA",'2025'!$M$2=AA347),'2025DATA'!$L$27,"")</f>
        <v/>
      </c>
      <c r="AB372" s="518" t="str">
        <f>IF(AND(_A1="A-321",'2025'!$M$4="CA",'2025'!$M$2=AB347),'2025DATA'!$M$27,"")</f>
        <v/>
      </c>
      <c r="AC372" s="520" t="str">
        <f>IF(AND(_A1="A-321",'2025'!$M$4="CA",'2025'!$M$2=AC347),'2025DATA'!$N$27,"")</f>
        <v/>
      </c>
      <c r="AD372" s="940" t="s">
        <v>48</v>
      </c>
      <c r="AE372" s="13" t="s">
        <v>61</v>
      </c>
      <c r="AF372" s="518" t="str">
        <f>IF(AND(_A2="A-321",'2025'!$M$4="CA",'2025'!$M$2=AF347),'2025DATA'!$C$27,"")</f>
        <v/>
      </c>
      <c r="AG372" s="518" t="str">
        <f>IF(AND(_A2="A-321",'2025'!$M$4="CA",'2025'!$M$2=AG347),'2025DATA'!$D$27,"")</f>
        <v/>
      </c>
      <c r="AH372" s="518" t="str">
        <f>IF(AND(_A2="A-321",'2025'!$M$4="CA",'2025'!$M$2=AH347),'2025DATA'!$E$27,"")</f>
        <v/>
      </c>
      <c r="AI372" s="518" t="str">
        <f>IF(AND(_A2="A-321",'2025'!$M$4="CA",'2025'!$M$2=AI347),'2025DATA'!$F$27,"")</f>
        <v/>
      </c>
      <c r="AJ372" s="518" t="str">
        <f>IF(AND(_A2="A-321",'2025'!$M$4="CA",'2025'!$M$2=AJ347),'2025DATA'!$G$27,"")</f>
        <v/>
      </c>
      <c r="AK372" s="518" t="str">
        <f>IF(AND(_A2="A-321",'2025'!$M$4="CA",'2025'!$M$2=AK347),'2025DATA'!$H$27,"")</f>
        <v/>
      </c>
      <c r="AL372" s="518" t="str">
        <f>IF(AND(_A2="A-321",'2025'!$M$4="CA",'2025'!$M$2=AL347),'2025DATA'!$I$27,"")</f>
        <v/>
      </c>
      <c r="AM372" s="518" t="str">
        <f>IF(AND(_A2="A-321",'2025'!$M$4="CA",'2025'!$M$2=AM347),'2025DATA'!$J$27,"")</f>
        <v/>
      </c>
      <c r="AN372" s="518" t="str">
        <f>IF(AND(_A2="A-321",'2025'!$M$4="CA",'2025'!$M$2=AN347),'2025DATA'!$K$27,"")</f>
        <v/>
      </c>
      <c r="AO372" s="518" t="str">
        <f>IF(AND(_A2="A-321",'2025'!$M$4="CA",'2025'!$M$2=AO347),'2025DATA'!$L$27,"")</f>
        <v/>
      </c>
      <c r="AP372" s="518" t="str">
        <f>IF(AND(_A2="A-321",'2025'!$M$4="CA",'2025'!$M$2=AP347),'2025DATA'!$M$27,"")</f>
        <v/>
      </c>
      <c r="AQ372" s="520" t="str">
        <f>IF(AND(_A2="A-321",'2025'!$M$4="CA",'2025'!$M$2=AQ347),'2025DATA'!$N$27,"")</f>
        <v/>
      </c>
      <c r="AR372" s="940" t="s">
        <v>48</v>
      </c>
      <c r="AS372" s="13" t="s">
        <v>61</v>
      </c>
      <c r="AT372" s="518" t="str">
        <f>IF(AND(_A3="A-321",'2025'!$M$4="CA",'2025'!$M$2=AT347),'2025DATA'!$C$27,"")</f>
        <v/>
      </c>
      <c r="AU372" s="518" t="str">
        <f>IF(AND(_A3="A-321",'2025'!$M$4="CA",'2025'!$M$2=AU347),'2025DATA'!$D$27,"")</f>
        <v/>
      </c>
      <c r="AV372" s="518" t="str">
        <f>IF(AND(_A3="A-321",'2025'!$M$4="CA",'2025'!$M$2=AV347),'2025DATA'!$E$27,"")</f>
        <v/>
      </c>
      <c r="AW372" s="518" t="str">
        <f>IF(AND(_A3="A-321",'2025'!$M$4="CA",'2025'!$M$2=AW347),'2025DATA'!$F$27,"")</f>
        <v/>
      </c>
      <c r="AX372" s="518" t="str">
        <f>IF(AND(_A3="A-321",'2025'!$M$4="CA",'2025'!$M$2=AX347),'2025DATA'!$G$27,"")</f>
        <v/>
      </c>
      <c r="AY372" s="518" t="str">
        <f>IF(AND(_A3="A-321",'2025'!$M$4="CA",'2025'!$M$2=AY347),'2025DATA'!$H$27,"")</f>
        <v/>
      </c>
      <c r="AZ372" s="518" t="str">
        <f>IF(AND(_A3="A-321",'2025'!$M$4="CA",'2025'!$M$2=AZ347),'2025DATA'!$I$27,"")</f>
        <v/>
      </c>
      <c r="BA372" s="518" t="str">
        <f>IF(AND(_A3="A-321",'2025'!$M$4="CA",'2025'!$M$2=BA347),'2025DATA'!$J$27,"")</f>
        <v/>
      </c>
      <c r="BB372" s="518" t="str">
        <f>IF(AND(_A3="A-321",'2025'!$M$4="CA",'2025'!$M$2=BB347),'2025DATA'!$K$27,"")</f>
        <v/>
      </c>
      <c r="BC372" s="518" t="str">
        <f>IF(AND(_A3="A-321",'2025'!$M$4="CA",'2025'!$M$2=BC347),'2025DATA'!$L$27,"")</f>
        <v/>
      </c>
      <c r="BD372" s="518" t="str">
        <f>IF(AND(_A3="A-321",'2025'!$M$4="CA",'2025'!$M$2=BD347),'2025DATA'!$M$27,"")</f>
        <v/>
      </c>
      <c r="BE372" s="520" t="str">
        <f>IF(AND(_A3="A-321",'2025'!$M$4="CA",'2025'!$M$2=BE347),'2025DATA'!$N$27,"")</f>
        <v/>
      </c>
      <c r="BF372" s="940" t="s">
        <v>48</v>
      </c>
      <c r="BG372" s="13" t="s">
        <v>61</v>
      </c>
      <c r="BH372" s="518" t="str">
        <f>IF(AND(_A4="A-321",'2025'!$M$4="CA",'2025'!$M$2=BH347),'2025DATA'!$C$27,"")</f>
        <v/>
      </c>
      <c r="BI372" s="518" t="str">
        <f>IF(AND(_A4="A-321",'2025'!$M$4="CA",'2025'!$M$2=BI347),'2025DATA'!$D$27,"")</f>
        <v/>
      </c>
      <c r="BJ372" s="518" t="str">
        <f>IF(AND(_A4="A-321",'2025'!$M$4="CA",'2025'!$M$2=BJ347),'2025DATA'!$E$27,"")</f>
        <v/>
      </c>
      <c r="BK372" s="518" t="str">
        <f>IF(AND(_A4="A-321",'2025'!$M$4="CA",'2025'!$M$2=BK347),'2025DATA'!$F$27,"")</f>
        <v/>
      </c>
      <c r="BL372" s="518" t="str">
        <f>IF(AND(_A4="A-321",'2025'!$M$4="CA",'2025'!$M$2=BL347),'2025DATA'!$G$27,"")</f>
        <v/>
      </c>
      <c r="BM372" s="518" t="str">
        <f>IF(AND(_A4="A-321",'2025'!$M$4="CA",'2025'!$M$2=BM347),'2025DATA'!$H$27,"")</f>
        <v/>
      </c>
      <c r="BN372" s="518" t="str">
        <f>IF(AND(_A4="A-321",'2025'!$M$4="CA",'2025'!$M$2=BN347),'2025DATA'!$I$27,"")</f>
        <v/>
      </c>
      <c r="BO372" s="518" t="str">
        <f>IF(AND(_A4="A-321",'2025'!$M$4="CA",'2025'!$M$2=BO347),'2025DATA'!$J$27,"")</f>
        <v/>
      </c>
      <c r="BP372" s="518" t="str">
        <f>IF(AND(_A4="A-321",'2025'!$M$4="CA",'2025'!$M$2=BP347),'2025DATA'!$K$27,"")</f>
        <v/>
      </c>
      <c r="BQ372" s="518" t="str">
        <f>IF(AND(_A4="A-321",'2025'!$M$4="CA",'2025'!$M$2=BQ347),'2025DATA'!$L$27,"")</f>
        <v/>
      </c>
      <c r="BR372" s="518" t="str">
        <f>IF(AND(_A4="A-321",'2025'!$M$4="CA",'2025'!$M$2=BR347),'2025DATA'!$M$27,"")</f>
        <v/>
      </c>
      <c r="BS372" s="520" t="str">
        <f>IF(AND(_A4="A-321",'2025'!$M$4="CA",'2025'!$M$2=BS347),'2025DATA'!$N$27,"")</f>
        <v/>
      </c>
      <c r="BT372" s="940" t="s">
        <v>48</v>
      </c>
      <c r="BU372" s="13" t="s">
        <v>61</v>
      </c>
      <c r="BV372" s="518" t="str">
        <f>IF(AND(_A5="A-321",'2025'!$M$4="CA",'2025'!$M$2=BV347),'2025DATA'!$C$27,"")</f>
        <v/>
      </c>
      <c r="BW372" s="518" t="str">
        <f>IF(AND(_A5="A-321",'2025'!$M$4="CA",'2025'!$M$2=BW347),'2025DATA'!$D$27,"")</f>
        <v/>
      </c>
      <c r="BX372" s="518" t="str">
        <f>IF(AND(_A5="A-321",'2025'!$M$4="CA",'2025'!$M$2=BX347),'2025DATA'!$E$27,"")</f>
        <v/>
      </c>
      <c r="BY372" s="518" t="str">
        <f>IF(AND(_A5="A-321",'2025'!$M$4="CA",'2025'!$M$2=BY347),'2025DATA'!$F$27,"")</f>
        <v/>
      </c>
      <c r="BZ372" s="518" t="str">
        <f>IF(AND(_A5="A-321",'2025'!$M$4="CA",'2025'!$M$2=BZ347),'2025DATA'!$G$27,"")</f>
        <v/>
      </c>
      <c r="CA372" s="518" t="str">
        <f>IF(AND(_A5="A-321",'2025'!$M$4="CA",'2025'!$M$2=CA347),'2025DATA'!$H$27,"")</f>
        <v/>
      </c>
      <c r="CB372" s="518" t="str">
        <f>IF(AND(_A5="A-321",'2025'!$M$4="CA",'2025'!$M$2=CB347),'2025DATA'!$I$27,"")</f>
        <v/>
      </c>
      <c r="CC372" s="518" t="str">
        <f>IF(AND(_A5="A-321",'2025'!$M$4="CA",'2025'!$M$2=CC347),'2025DATA'!$J$27,"")</f>
        <v/>
      </c>
      <c r="CD372" s="518" t="str">
        <f>IF(AND(_A5="A-321",'2025'!$M$4="CA",'2025'!$M$2=CD347),'2025DATA'!$K$27,"")</f>
        <v/>
      </c>
      <c r="CE372" s="518" t="str">
        <f>IF(AND(_A5="A-321",'2025'!$M$4="CA",'2025'!$M$2=CE347),'2025DATA'!$L$27,"")</f>
        <v/>
      </c>
      <c r="CF372" s="518" t="str">
        <f>IF(AND(_A5="A-321",'2025'!$M$4="CA",'2025'!$M$2=CF347),'2025DATA'!$M$27,"")</f>
        <v/>
      </c>
      <c r="CG372" s="520" t="str">
        <f>IF(AND(_A5="A-321",'2025'!$M$4="CA",'2025'!$M$2=CG347),'2025DATA'!$N$27,"")</f>
        <v/>
      </c>
      <c r="CH372" s="940" t="s">
        <v>48</v>
      </c>
      <c r="CI372" s="13" t="s">
        <v>61</v>
      </c>
      <c r="CJ372" s="518" t="str">
        <f>IF(AND(_A6="A-321",'2025'!$M$4="CA",'2025'!$M$2=CJ347),'2025DATA'!$C$27,"")</f>
        <v/>
      </c>
      <c r="CK372" s="518" t="str">
        <f>IF(AND(_A6="A-321",'2025'!$M$4="CA",'2025'!$M$2=CK347),'2025DATA'!$D$27,"")</f>
        <v/>
      </c>
      <c r="CL372" s="518" t="str">
        <f>IF(AND(_A6="A-321",'2025'!$M$4="CA",'2025'!$M$2=CL347),'2025DATA'!$E$27,"")</f>
        <v/>
      </c>
      <c r="CM372" s="518" t="str">
        <f>IF(AND(_A6="A-321",'2025'!$M$4="CA",'2025'!$M$2=CM347),'2025DATA'!$F$27,"")</f>
        <v/>
      </c>
      <c r="CN372" s="518" t="str">
        <f>IF(AND(_A6="A-321",'2025'!$M$4="CA",'2025'!$M$2=CN347),'2025DATA'!$G$27,"")</f>
        <v/>
      </c>
      <c r="CO372" s="518" t="str">
        <f>IF(AND(_A6="A-321",'2025'!$M$4="CA",'2025'!$M$2=CO347),'2025DATA'!$H$27,"")</f>
        <v/>
      </c>
      <c r="CP372" s="518" t="str">
        <f>IF(AND(_A6="A-321",'2025'!$M$4="CA",'2025'!$M$2=CP347),'2025DATA'!$I$27,"")</f>
        <v/>
      </c>
      <c r="CQ372" s="518" t="str">
        <f>IF(AND(_A6="A-321",'2025'!$M$4="CA",'2025'!$M$2=CQ347),'2025DATA'!$J$27,"")</f>
        <v/>
      </c>
      <c r="CR372" s="518" t="str">
        <f>IF(AND(_A6="A-321",'2025'!$M$4="CA",'2025'!$M$2=CR347),'2025DATA'!$K$27,"")</f>
        <v/>
      </c>
      <c r="CS372" s="518" t="str">
        <f>IF(AND(_A6="A-321",'2025'!$M$4="CA",'2025'!$M$2=CS347),'2025DATA'!$L$27,"")</f>
        <v/>
      </c>
      <c r="CT372" s="518" t="str">
        <f>IF(AND(_A6="A-321",'2025'!$M$4="CA",'2025'!$M$2=CT347),'2025DATA'!$M$27,"")</f>
        <v/>
      </c>
      <c r="CU372" s="520" t="str">
        <f>IF(AND(_A6="A-321",'2025'!$M$4="CA",'2025'!$M$2=CU347),'2025DATA'!$N$27,"")</f>
        <v/>
      </c>
    </row>
    <row r="373" spans="16:99" x14ac:dyDescent="0.25">
      <c r="P373" s="940"/>
      <c r="Q373" s="13" t="s">
        <v>62</v>
      </c>
      <c r="R373" s="518" t="str">
        <f>IF(AND(_A1="A-321",'2025'!$M$4="FO",'2025'!$M$2=R347),'2025DATA'!$C$28,"")</f>
        <v/>
      </c>
      <c r="S373" s="518" t="str">
        <f>IF(AND(_A1="A-321",'2025'!$M$4="FO",'2025'!$M$2=S347),'2025DATA'!$D$28,"")</f>
        <v/>
      </c>
      <c r="T373" s="518" t="str">
        <f>IF(AND(_A1="A-321",'2025'!$M$4="FO",'2025'!$M$2=T347),'2025DATA'!$E$28,"")</f>
        <v/>
      </c>
      <c r="U373" s="518" t="str">
        <f>IF(AND(_A1="A-321",'2025'!$M$4="FO",'2025'!$M$2=U347),'2025DATA'!$F$28,"")</f>
        <v/>
      </c>
      <c r="V373" s="518" t="str">
        <f>IF(AND(_A1="A-321",'2025'!$M$4="FO",'2025'!$M$2=V347),'2025DATA'!$G$28,"")</f>
        <v/>
      </c>
      <c r="W373" s="518" t="str">
        <f>IF(AND(_A1="A-321",'2025'!$M$4="FO",'2025'!$M$2=W347),'2025DATA'!$H$28,"")</f>
        <v/>
      </c>
      <c r="X373" s="518" t="str">
        <f>IF(AND(_A1="A-321",'2025'!$M$4="FO",'2025'!$M$2=X347),'2025DATA'!$I$28,"")</f>
        <v/>
      </c>
      <c r="Y373" s="518" t="str">
        <f>IF(AND(_A1="A-321",'2025'!$M$4="FO",'2025'!$M$2=Y347),'2025DATA'!$J$28,"")</f>
        <v/>
      </c>
      <c r="Z373" s="518" t="str">
        <f>IF(AND(_A1="A-321",'2025'!$M$4="FO",'2025'!$M$2=Z347),'2025DATA'!$K$28,"")</f>
        <v/>
      </c>
      <c r="AA373" s="518" t="str">
        <f>IF(AND(_A1="A-321",'2025'!$M$4="FO",'2025'!$M$2=AA347),'2025DATA'!$L$28,"")</f>
        <v/>
      </c>
      <c r="AB373" s="518" t="str">
        <f>IF(AND(_A1="A-321",'2025'!$M$4="FO",'2025'!$M$2=AB347),'2025DATA'!$M$28,"")</f>
        <v/>
      </c>
      <c r="AC373" s="520" t="str">
        <f>IF(AND(_A1="A-321",'2025'!$M$4="FO",'2025'!$M$2=AC347),'2025DATA'!$N$28,"")</f>
        <v/>
      </c>
      <c r="AD373" s="940"/>
      <c r="AE373" s="13" t="s">
        <v>62</v>
      </c>
      <c r="AF373" s="518" t="str">
        <f>IF(AND(_A2="A-321",'2025'!$M$4="FO",'2025'!$M$2=AF347),'2025DATA'!$C$28,"")</f>
        <v/>
      </c>
      <c r="AG373" s="518" t="str">
        <f>IF(AND(_A2="A-321",'2025'!$M$4="FO",'2025'!$M$2=AG347),'2025DATA'!$D$28,"")</f>
        <v/>
      </c>
      <c r="AH373" s="518" t="str">
        <f>IF(AND(_A2="A-321",'2025'!$M$4="FO",'2025'!$M$2=AH347),'2025DATA'!$E$28,"")</f>
        <v/>
      </c>
      <c r="AI373" s="518" t="str">
        <f>IF(AND(_A2="A-321",'2025'!$M$4="FO",'2025'!$M$2=AI347),'2025DATA'!$F$28,"")</f>
        <v/>
      </c>
      <c r="AJ373" s="518" t="str">
        <f>IF(AND(_A2="A-321",'2025'!$M$4="FO",'2025'!$M$2=AJ347),'2025DATA'!$G$28,"")</f>
        <v/>
      </c>
      <c r="AK373" s="518" t="str">
        <f>IF(AND(_A2="A-321",'2025'!$M$4="FO",'2025'!$M$2=AK347),'2025DATA'!$H$28,"")</f>
        <v/>
      </c>
      <c r="AL373" s="518" t="str">
        <f>IF(AND(_A2="A-321",'2025'!$M$4="FO",'2025'!$M$2=AL347),'2025DATA'!$I$28,"")</f>
        <v/>
      </c>
      <c r="AM373" s="518" t="str">
        <f>IF(AND(_A2="A-321",'2025'!$M$4="FO",'2025'!$M$2=AM347),'2025DATA'!$J$28,"")</f>
        <v/>
      </c>
      <c r="AN373" s="518" t="str">
        <f>IF(AND(_A2="A-321",'2025'!$M$4="FO",'2025'!$M$2=AN347),'2025DATA'!$K$28,"")</f>
        <v/>
      </c>
      <c r="AO373" s="518" t="str">
        <f>IF(AND(_A2="A-321",'2025'!$M$4="FO",'2025'!$M$2=AO347),'2025DATA'!$L$28,"")</f>
        <v/>
      </c>
      <c r="AP373" s="518" t="str">
        <f>IF(AND(_A2="A-321",'2025'!$M$4="FO",'2025'!$M$2=AP347),'2025DATA'!$M$28,"")</f>
        <v/>
      </c>
      <c r="AQ373" s="520" t="str">
        <f>IF(AND(_A2="A-321",'2025'!$M$4="FO",'2025'!$M$2=AQ347),'2025DATA'!$N$28,"")</f>
        <v/>
      </c>
      <c r="AR373" s="940"/>
      <c r="AS373" s="13" t="s">
        <v>62</v>
      </c>
      <c r="AT373" s="518" t="str">
        <f>IF(AND(_A3="A-321",'2025'!$M$4="FO",'2025'!$M$2=AT347),'2025DATA'!$C$28,"")</f>
        <v/>
      </c>
      <c r="AU373" s="518" t="str">
        <f>IF(AND(_A3="A-321",'2025'!$M$4="FO",'2025'!$M$2=AU347),'2025DATA'!$D$28,"")</f>
        <v/>
      </c>
      <c r="AV373" s="518" t="str">
        <f>IF(AND(_A3="A-321",'2025'!$M$4="FO",'2025'!$M$2=AV347),'2025DATA'!$E$28,"")</f>
        <v/>
      </c>
      <c r="AW373" s="518" t="str">
        <f>IF(AND(_A3="A-321",'2025'!$M$4="FO",'2025'!$M$2=AW347),'2025DATA'!$F$28,"")</f>
        <v/>
      </c>
      <c r="AX373" s="518" t="str">
        <f>IF(AND(_A3="A-321",'2025'!$M$4="FO",'2025'!$M$2=AX347),'2025DATA'!$G$28,"")</f>
        <v/>
      </c>
      <c r="AY373" s="518" t="str">
        <f>IF(AND(_A3="A-321",'2025'!$M$4="FO",'2025'!$M$2=AY347),'2025DATA'!$H$28,"")</f>
        <v/>
      </c>
      <c r="AZ373" s="518" t="str">
        <f>IF(AND(_A3="A-321",'2025'!$M$4="FO",'2025'!$M$2=AZ347),'2025DATA'!$I$28,"")</f>
        <v/>
      </c>
      <c r="BA373" s="518" t="str">
        <f>IF(AND(_A3="A-321",'2025'!$M$4="FO",'2025'!$M$2=BA347),'2025DATA'!$J$28,"")</f>
        <v/>
      </c>
      <c r="BB373" s="518" t="str">
        <f>IF(AND(_A3="A-321",'2025'!$M$4="FO",'2025'!$M$2=BB347),'2025DATA'!$K$28,"")</f>
        <v/>
      </c>
      <c r="BC373" s="518" t="str">
        <f>IF(AND(_A3="A-321",'2025'!$M$4="FO",'2025'!$M$2=BC347),'2025DATA'!$L$28,"")</f>
        <v/>
      </c>
      <c r="BD373" s="518" t="str">
        <f>IF(AND(_A3="A-321",'2025'!$M$4="FO",'2025'!$M$2=BD347),'2025DATA'!$M$28,"")</f>
        <v/>
      </c>
      <c r="BE373" s="520" t="str">
        <f>IF(AND(_A3="A-321",'2025'!$M$4="FO",'2025'!$M$2=BE347),'2025DATA'!$N$28,"")</f>
        <v/>
      </c>
      <c r="BF373" s="940"/>
      <c r="BG373" s="13" t="s">
        <v>62</v>
      </c>
      <c r="BH373" s="518" t="str">
        <f>IF(AND(_A4="A-321",'2025'!$M$4="FO",'2025'!$M$2=BH347),'2025DATA'!$C$28,"")</f>
        <v/>
      </c>
      <c r="BI373" s="518" t="str">
        <f>IF(AND(_A4="A-321",'2025'!$M$4="FO",'2025'!$M$2=BI347),'2025DATA'!$D$28,"")</f>
        <v/>
      </c>
      <c r="BJ373" s="518" t="str">
        <f>IF(AND(_A4="A-321",'2025'!$M$4="FO",'2025'!$M$2=BJ347),'2025DATA'!$E$28,"")</f>
        <v/>
      </c>
      <c r="BK373" s="518" t="str">
        <f>IF(AND(_A4="A-321",'2025'!$M$4="FO",'2025'!$M$2=BK347),'2025DATA'!$F$28,"")</f>
        <v/>
      </c>
      <c r="BL373" s="518" t="str">
        <f>IF(AND(_A4="A-321",'2025'!$M$4="FO",'2025'!$M$2=BL347),'2025DATA'!$G$28,"")</f>
        <v/>
      </c>
      <c r="BM373" s="518" t="str">
        <f>IF(AND(_A4="A-321",'2025'!$M$4="FO",'2025'!$M$2=BM347),'2025DATA'!$H$28,"")</f>
        <v/>
      </c>
      <c r="BN373" s="518" t="str">
        <f>IF(AND(_A4="A-321",'2025'!$M$4="FO",'2025'!$M$2=BN347),'2025DATA'!$I$28,"")</f>
        <v/>
      </c>
      <c r="BO373" s="518" t="str">
        <f>IF(AND(_A4="A-321",'2025'!$M$4="FO",'2025'!$M$2=BO347),'2025DATA'!$J$28,"")</f>
        <v/>
      </c>
      <c r="BP373" s="518" t="str">
        <f>IF(AND(_A4="A-321",'2025'!$M$4="FO",'2025'!$M$2=BP347),'2025DATA'!$K$28,"")</f>
        <v/>
      </c>
      <c r="BQ373" s="518" t="str">
        <f>IF(AND(_A4="A-321",'2025'!$M$4="FO",'2025'!$M$2=BQ347),'2025DATA'!$L$28,"")</f>
        <v/>
      </c>
      <c r="BR373" s="518" t="str">
        <f>IF(AND(_A4="A-321",'2025'!$M$4="FO",'2025'!$M$2=BR347),'2025DATA'!$M$28,"")</f>
        <v/>
      </c>
      <c r="BS373" s="520" t="str">
        <f>IF(AND(_A4="A-321",'2025'!$M$4="FO",'2025'!$M$2=BS347),'2025DATA'!$N$28,"")</f>
        <v/>
      </c>
      <c r="BT373" s="940"/>
      <c r="BU373" s="13" t="s">
        <v>62</v>
      </c>
      <c r="BV373" s="518" t="str">
        <f>IF(AND(_A5="A-321",'2025'!$M$4="FO",'2025'!$M$2=BV347),'2025DATA'!$C$28,"")</f>
        <v/>
      </c>
      <c r="BW373" s="518" t="str">
        <f>IF(AND(_A5="A-321",'2025'!$M$4="FO",'2025'!$M$2=BW347),'2025DATA'!$D$28,"")</f>
        <v/>
      </c>
      <c r="BX373" s="518" t="str">
        <f>IF(AND(_A5="A-321",'2025'!$M$4="FO",'2025'!$M$2=BX347),'2025DATA'!$E$28,"")</f>
        <v/>
      </c>
      <c r="BY373" s="518" t="str">
        <f>IF(AND(_A5="A-321",'2025'!$M$4="FO",'2025'!$M$2=BY347),'2025DATA'!$F$28,"")</f>
        <v/>
      </c>
      <c r="BZ373" s="518" t="str">
        <f>IF(AND(_A5="A-321",'2025'!$M$4="FO",'2025'!$M$2=BZ347),'2025DATA'!$G$28,"")</f>
        <v/>
      </c>
      <c r="CA373" s="518" t="str">
        <f>IF(AND(_A5="A-321",'2025'!$M$4="FO",'2025'!$M$2=CA347),'2025DATA'!$H$28,"")</f>
        <v/>
      </c>
      <c r="CB373" s="518" t="str">
        <f>IF(AND(_A5="A-321",'2025'!$M$4="FO",'2025'!$M$2=CB347),'2025DATA'!$I$28,"")</f>
        <v/>
      </c>
      <c r="CC373" s="518" t="str">
        <f>IF(AND(_A5="A-321",'2025'!$M$4="FO",'2025'!$M$2=CC347),'2025DATA'!$J$28,"")</f>
        <v/>
      </c>
      <c r="CD373" s="518" t="str">
        <f>IF(AND(_A5="A-321",'2025'!$M$4="FO",'2025'!$M$2=CD347),'2025DATA'!$K$28,"")</f>
        <v/>
      </c>
      <c r="CE373" s="518" t="str">
        <f>IF(AND(_A5="A-321",'2025'!$M$4="FO",'2025'!$M$2=CE347),'2025DATA'!$L$28,"")</f>
        <v/>
      </c>
      <c r="CF373" s="518" t="str">
        <f>IF(AND(_A5="A-321",'2025'!$M$4="FO",'2025'!$M$2=CF347),'2025DATA'!$M$28,"")</f>
        <v/>
      </c>
      <c r="CG373" s="520" t="str">
        <f>IF(AND(_A5="A-321",'2025'!$M$4="FO",'2025'!$M$2=CG347),'2025DATA'!$N$28,"")</f>
        <v/>
      </c>
      <c r="CH373" s="940"/>
      <c r="CI373" s="13" t="s">
        <v>62</v>
      </c>
      <c r="CJ373" s="518" t="str">
        <f>IF(AND(_A6="A-321",'2025'!$M$4="FO",'2025'!$M$2=CJ347),'2025DATA'!$C$28,"")</f>
        <v/>
      </c>
      <c r="CK373" s="518" t="str">
        <f>IF(AND(_A6="A-321",'2025'!$M$4="FO",'2025'!$M$2=CK347),'2025DATA'!$D$28,"")</f>
        <v/>
      </c>
      <c r="CL373" s="518" t="str">
        <f>IF(AND(_A6="A-321",'2025'!$M$4="FO",'2025'!$M$2=CL347),'2025DATA'!$E$28,"")</f>
        <v/>
      </c>
      <c r="CM373" s="518" t="str">
        <f>IF(AND(_A6="A-321",'2025'!$M$4="FO",'2025'!$M$2=CM347),'2025DATA'!$F$28,"")</f>
        <v/>
      </c>
      <c r="CN373" s="518" t="str">
        <f>IF(AND(_A6="A-321",'2025'!$M$4="FO",'2025'!$M$2=CN347),'2025DATA'!$G$28,"")</f>
        <v/>
      </c>
      <c r="CO373" s="518" t="str">
        <f>IF(AND(_A6="A-321",'2025'!$M$4="FO",'2025'!$M$2=CO347),'2025DATA'!$H$28,"")</f>
        <v/>
      </c>
      <c r="CP373" s="518" t="str">
        <f>IF(AND(_A6="A-321",'2025'!$M$4="FO",'2025'!$M$2=CP347),'2025DATA'!$I$28,"")</f>
        <v/>
      </c>
      <c r="CQ373" s="518" t="str">
        <f>IF(AND(_A6="A-321",'2025'!$M$4="FO",'2025'!$M$2=CQ347),'2025DATA'!$J$28,"")</f>
        <v/>
      </c>
      <c r="CR373" s="518" t="str">
        <f>IF(AND(_A6="A-321",'2025'!$M$4="FO",'2025'!$M$2=CR347),'2025DATA'!$K$28,"")</f>
        <v/>
      </c>
      <c r="CS373" s="518" t="str">
        <f>IF(AND(_A6="A-321",'2025'!$M$4="FO",'2025'!$M$2=CS347),'2025DATA'!$L$28,"")</f>
        <v/>
      </c>
      <c r="CT373" s="518" t="str">
        <f>IF(AND(_A6="A-321",'2025'!$M$4="FO",'2025'!$M$2=CT347),'2025DATA'!$M$28,"")</f>
        <v/>
      </c>
      <c r="CU373" s="520" t="str">
        <f>IF(AND(_A6="A-321",'2025'!$M$4="FO",'2025'!$M$2=CU347),'2025DATA'!$N$28,"")</f>
        <v/>
      </c>
    </row>
    <row r="374" spans="16:99" x14ac:dyDescent="0.25">
      <c r="P374" s="940" t="s">
        <v>70</v>
      </c>
      <c r="Q374" s="13" t="s">
        <v>61</v>
      </c>
      <c r="R374" s="518" t="str">
        <f>IF(AND(_A1="A-320",'2025'!$M$4="CA",'2025'!$M$2=R347),'2025DATA'!$C$29,"")</f>
        <v/>
      </c>
      <c r="S374" s="518" t="str">
        <f>IF(AND(_A1="A-320",'2025'!$M$4="CA",'2025'!$M$2=S347),'2025DATA'!$D$29,"")</f>
        <v/>
      </c>
      <c r="T374" s="518" t="str">
        <f>IF(AND(_A1="A-320",'2025'!$M$4="CA",'2025'!$M$2=T347),'2025DATA'!$E$29,"")</f>
        <v/>
      </c>
      <c r="U374" s="518" t="str">
        <f>IF(AND(_A1="A-320",'2025'!$M$4="CA",'2025'!$M$2=U347),'2025DATA'!$F$29,"")</f>
        <v/>
      </c>
      <c r="V374" s="518" t="str">
        <f>IF(AND(_A1="A-320",'2025'!$M$4="CA",'2025'!$M$2=V347),'2025DATA'!$G$29,"")</f>
        <v/>
      </c>
      <c r="W374" s="518" t="str">
        <f>IF(AND(_A1="A-320",'2025'!$M$4="CA",'2025'!$M$2=W347),'2025DATA'!$H$29,"")</f>
        <v/>
      </c>
      <c r="X374" s="518" t="str">
        <f>IF(AND(_A1="A-320",'2025'!$M$4="CA",'2025'!$M$2=X347),'2025DATA'!$I$29,"")</f>
        <v/>
      </c>
      <c r="Y374" s="518" t="str">
        <f>IF(AND(_A1="A-320",'2025'!$M$4="CA",'2025'!$M$2=Y347),'2025DATA'!$J$29,"")</f>
        <v/>
      </c>
      <c r="Z374" s="518" t="str">
        <f>IF(AND(_A1="A-320",'2025'!$M$4="CA",'2025'!$M$2=Z347),'2025DATA'!$K$29,"")</f>
        <v/>
      </c>
      <c r="AA374" s="518" t="str">
        <f>IF(AND(_A1="A-320",'2025'!$M$4="CA",'2025'!$M$2=AA347),'2025DATA'!$L$29,"")</f>
        <v/>
      </c>
      <c r="AB374" s="518" t="str">
        <f>IF(AND(_A1="A-320",'2025'!$M$4="CA",'2025'!$M$2=AB347),'2025DATA'!$M$29,"")</f>
        <v/>
      </c>
      <c r="AC374" s="520" t="str">
        <f>IF(AND(_A1="A-320",'2025'!$M$4="CA",'2025'!$M$2=AC347),'2025DATA'!$N$29,"")</f>
        <v/>
      </c>
      <c r="AD374" s="940" t="s">
        <v>70</v>
      </c>
      <c r="AE374" s="13" t="s">
        <v>61</v>
      </c>
      <c r="AF374" s="518" t="str">
        <f>IF(AND(_A2="A-320",'2025'!$M$4="CA",'2025'!$M$2=AF347),'2025DATA'!$C$29,"")</f>
        <v/>
      </c>
      <c r="AG374" s="518" t="str">
        <f>IF(AND(_A2="A-320",'2025'!$M$4="CA",'2025'!$M$2=AG347),'2025DATA'!$D$29,"")</f>
        <v/>
      </c>
      <c r="AH374" s="518" t="str">
        <f>IF(AND(_A2="A-320",'2025'!$M$4="CA",'2025'!$M$2=AH347),'2025DATA'!$E$29,"")</f>
        <v/>
      </c>
      <c r="AI374" s="518" t="str">
        <f>IF(AND(_A2="A-320",'2025'!$M$4="CA",'2025'!$M$2=AI347),'2025DATA'!$F$29,"")</f>
        <v/>
      </c>
      <c r="AJ374" s="518" t="str">
        <f>IF(AND(_A2="A-320",'2025'!$M$4="CA",'2025'!$M$2=AJ347),'2025DATA'!$G$29,"")</f>
        <v/>
      </c>
      <c r="AK374" s="518" t="str">
        <f>IF(AND(_A2="A-320",'2025'!$M$4="CA",'2025'!$M$2=AK347),'2025DATA'!$H$29,"")</f>
        <v/>
      </c>
      <c r="AL374" s="518" t="str">
        <f>IF(AND(_A2="A-320",'2025'!$M$4="CA",'2025'!$M$2=AL347),'2025DATA'!$I$29,"")</f>
        <v/>
      </c>
      <c r="AM374" s="518" t="str">
        <f>IF(AND(_A2="A-320",'2025'!$M$4="CA",'2025'!$M$2=AM347),'2025DATA'!$J$29,"")</f>
        <v/>
      </c>
      <c r="AN374" s="518" t="str">
        <f>IF(AND(_A2="A-320",'2025'!$M$4="CA",'2025'!$M$2=AN347),'2025DATA'!$K$29,"")</f>
        <v/>
      </c>
      <c r="AO374" s="518" t="str">
        <f>IF(AND(_A2="A-320",'2025'!$M$4="CA",'2025'!$M$2=AO347),'2025DATA'!$L$29,"")</f>
        <v/>
      </c>
      <c r="AP374" s="518" t="str">
        <f>IF(AND(_A2="A-320",'2025'!$M$4="CA",'2025'!$M$2=AP347),'2025DATA'!$M$29,"")</f>
        <v/>
      </c>
      <c r="AQ374" s="520" t="str">
        <f>IF(AND(_A2="A-320",'2025'!$M$4="CA",'2025'!$M$2=AQ347),'2025DATA'!$N$29,"")</f>
        <v/>
      </c>
      <c r="AR374" s="940" t="s">
        <v>70</v>
      </c>
      <c r="AS374" s="13" t="s">
        <v>61</v>
      </c>
      <c r="AT374" s="518" t="str">
        <f>IF(AND(_A3="A-320",'2025'!$M$4="CA",'2025'!$M$2=AT347),'2025DATA'!$C$29,"")</f>
        <v/>
      </c>
      <c r="AU374" s="518" t="str">
        <f>IF(AND(_A3="A-320",'2025'!$M$4="CA",'2025'!$M$2=AU347),'2025DATA'!$D$29,"")</f>
        <v/>
      </c>
      <c r="AV374" s="518" t="str">
        <f>IF(AND(_A3="A-320",'2025'!$M$4="CA",'2025'!$M$2=AV347),'2025DATA'!$E$29,"")</f>
        <v/>
      </c>
      <c r="AW374" s="518" t="str">
        <f>IF(AND(_A3="A-320",'2025'!$M$4="CA",'2025'!$M$2=AW347),'2025DATA'!$F$29,"")</f>
        <v/>
      </c>
      <c r="AX374" s="518" t="str">
        <f>IF(AND(_A3="A-320",'2025'!$M$4="CA",'2025'!$M$2=AX347),'2025DATA'!$G$29,"")</f>
        <v/>
      </c>
      <c r="AY374" s="518" t="str">
        <f>IF(AND(_A3="A-320",'2025'!$M$4="CA",'2025'!$M$2=AY347),'2025DATA'!$H$29,"")</f>
        <v/>
      </c>
      <c r="AZ374" s="518" t="str">
        <f>IF(AND(_A3="A-320",'2025'!$M$4="CA",'2025'!$M$2=AZ347),'2025DATA'!$I$29,"")</f>
        <v/>
      </c>
      <c r="BA374" s="518" t="str">
        <f>IF(AND(_A3="A-320",'2025'!$M$4="CA",'2025'!$M$2=BA347),'2025DATA'!$J$29,"")</f>
        <v/>
      </c>
      <c r="BB374" s="518" t="str">
        <f>IF(AND(_A3="A-320",'2025'!$M$4="CA",'2025'!$M$2=BB347),'2025DATA'!$K$29,"")</f>
        <v/>
      </c>
      <c r="BC374" s="518" t="str">
        <f>IF(AND(_A3="A-320",'2025'!$M$4="CA",'2025'!$M$2=BC347),'2025DATA'!$L$29,"")</f>
        <v/>
      </c>
      <c r="BD374" s="518" t="str">
        <f>IF(AND(_A3="A-320",'2025'!$M$4="CA",'2025'!$M$2=BD347),'2025DATA'!$M$29,"")</f>
        <v/>
      </c>
      <c r="BE374" s="520" t="str">
        <f>IF(AND(_A3="A-320",'2025'!$M$4="CA",'2025'!$M$2=BE347),'2025DATA'!$N$29,"")</f>
        <v/>
      </c>
      <c r="BF374" s="940" t="s">
        <v>70</v>
      </c>
      <c r="BG374" s="13" t="s">
        <v>61</v>
      </c>
      <c r="BH374" s="518" t="str">
        <f>IF(AND(_A4="A-320",'2025'!$M$4="CA",'2025'!$M$2=BH347),'2025DATA'!$C$29,"")</f>
        <v/>
      </c>
      <c r="BI374" s="518" t="str">
        <f>IF(AND(_A4="A-320",'2025'!$M$4="CA",'2025'!$M$2=BI347),'2025DATA'!$D$29,"")</f>
        <v/>
      </c>
      <c r="BJ374" s="518" t="str">
        <f>IF(AND(_A4="A-320",'2025'!$M$4="CA",'2025'!$M$2=BJ347),'2025DATA'!$E$29,"")</f>
        <v/>
      </c>
      <c r="BK374" s="518" t="str">
        <f>IF(AND(_A4="A-320",'2025'!$M$4="CA",'2025'!$M$2=BK347),'2025DATA'!$F$29,"")</f>
        <v/>
      </c>
      <c r="BL374" s="518" t="str">
        <f>IF(AND(_A4="A-320",'2025'!$M$4="CA",'2025'!$M$2=BL347),'2025DATA'!$G$29,"")</f>
        <v/>
      </c>
      <c r="BM374" s="518" t="str">
        <f>IF(AND(_A4="A-320",'2025'!$M$4="CA",'2025'!$M$2=BM347),'2025DATA'!$H$29,"")</f>
        <v/>
      </c>
      <c r="BN374" s="518" t="str">
        <f>IF(AND(_A4="A-320",'2025'!$M$4="CA",'2025'!$M$2=BN347),'2025DATA'!$I$29,"")</f>
        <v/>
      </c>
      <c r="BO374" s="518" t="str">
        <f>IF(AND(_A4="A-320",'2025'!$M$4="CA",'2025'!$M$2=BO347),'2025DATA'!$J$29,"")</f>
        <v/>
      </c>
      <c r="BP374" s="518" t="str">
        <f>IF(AND(_A4="A-320",'2025'!$M$4="CA",'2025'!$M$2=BP347),'2025DATA'!$K$29,"")</f>
        <v/>
      </c>
      <c r="BQ374" s="518" t="str">
        <f>IF(AND(_A4="A-320",'2025'!$M$4="CA",'2025'!$M$2=BQ347),'2025DATA'!$L$29,"")</f>
        <v/>
      </c>
      <c r="BR374" s="518" t="str">
        <f>IF(AND(_A4="A-320",'2025'!$M$4="CA",'2025'!$M$2=BR347),'2025DATA'!$M$29,"")</f>
        <v/>
      </c>
      <c r="BS374" s="520" t="str">
        <f>IF(AND(_A4="A-320",'2025'!$M$4="CA",'2025'!$M$2=BS347),'2025DATA'!$N$29,"")</f>
        <v/>
      </c>
      <c r="BT374" s="940" t="s">
        <v>70</v>
      </c>
      <c r="BU374" s="13" t="s">
        <v>61</v>
      </c>
      <c r="BV374" s="518" t="str">
        <f>IF(AND(_A5="A-320",'2025'!$M$4="CA",'2025'!$M$2=BV347),'2025DATA'!$C$29,"")</f>
        <v/>
      </c>
      <c r="BW374" s="518" t="str">
        <f>IF(AND(_A5="A-320",'2025'!$M$4="CA",'2025'!$M$2=BW347),'2025DATA'!$D$29,"")</f>
        <v/>
      </c>
      <c r="BX374" s="518" t="str">
        <f>IF(AND(_A5="A-320",'2025'!$M$4="CA",'2025'!$M$2=BX347),'2025DATA'!$E$29,"")</f>
        <v/>
      </c>
      <c r="BY374" s="518" t="str">
        <f>IF(AND(_A5="A-320",'2025'!$M$4="CA",'2025'!$M$2=BY347),'2025DATA'!$F$29,"")</f>
        <v/>
      </c>
      <c r="BZ374" s="518" t="str">
        <f>IF(AND(_A5="A-320",'2025'!$M$4="CA",'2025'!$M$2=BZ347),'2025DATA'!$G$29,"")</f>
        <v/>
      </c>
      <c r="CA374" s="518" t="str">
        <f>IF(AND(_A5="A-320",'2025'!$M$4="CA",'2025'!$M$2=CA347),'2025DATA'!$H$29,"")</f>
        <v/>
      </c>
      <c r="CB374" s="518" t="str">
        <f>IF(AND(_A5="A-320",'2025'!$M$4="CA",'2025'!$M$2=CB347),'2025DATA'!$I$29,"")</f>
        <v/>
      </c>
      <c r="CC374" s="518" t="str">
        <f>IF(AND(_A5="A-320",'2025'!$M$4="CA",'2025'!$M$2=CC347),'2025DATA'!$J$29,"")</f>
        <v/>
      </c>
      <c r="CD374" s="518" t="str">
        <f>IF(AND(_A5="A-320",'2025'!$M$4="CA",'2025'!$M$2=CD347),'2025DATA'!$K$29,"")</f>
        <v/>
      </c>
      <c r="CE374" s="518" t="str">
        <f>IF(AND(_A5="A-320",'2025'!$M$4="CA",'2025'!$M$2=CE347),'2025DATA'!$L$29,"")</f>
        <v/>
      </c>
      <c r="CF374" s="518" t="str">
        <f>IF(AND(_A5="A-320",'2025'!$M$4="CA",'2025'!$M$2=CF347),'2025DATA'!$M$29,"")</f>
        <v/>
      </c>
      <c r="CG374" s="520" t="str">
        <f>IF(AND(_A5="A-320",'2025'!$M$4="CA",'2025'!$M$2=CG347),'2025DATA'!$N$29,"")</f>
        <v/>
      </c>
      <c r="CH374" s="940" t="s">
        <v>70</v>
      </c>
      <c r="CI374" s="13" t="s">
        <v>61</v>
      </c>
      <c r="CJ374" s="518" t="str">
        <f>IF(AND(_A6="A-320",'2025'!$M$4="CA",'2025'!$M$2=CJ347),'2025DATA'!$C$29,"")</f>
        <v/>
      </c>
      <c r="CK374" s="518" t="str">
        <f>IF(AND(_A6="A-320",'2025'!$M$4="CA",'2025'!$M$2=CK347),'2025DATA'!$D$29,"")</f>
        <v/>
      </c>
      <c r="CL374" s="518" t="str">
        <f>IF(AND(_A6="A-320",'2025'!$M$4="CA",'2025'!$M$2=CL347),'2025DATA'!$E$29,"")</f>
        <v/>
      </c>
      <c r="CM374" s="518" t="str">
        <f>IF(AND(_A6="A-320",'2025'!$M$4="CA",'2025'!$M$2=CM347),'2025DATA'!$F$29,"")</f>
        <v/>
      </c>
      <c r="CN374" s="518" t="str">
        <f>IF(AND(_A6="A-320",'2025'!$M$4="CA",'2025'!$M$2=CN347),'2025DATA'!$G$29,"")</f>
        <v/>
      </c>
      <c r="CO374" s="518" t="str">
        <f>IF(AND(_A6="A-320",'2025'!$M$4="CA",'2025'!$M$2=CO347),'2025DATA'!$H$29,"")</f>
        <v/>
      </c>
      <c r="CP374" s="518" t="str">
        <f>IF(AND(_A6="A-320",'2025'!$M$4="CA",'2025'!$M$2=CP347),'2025DATA'!$I$29,"")</f>
        <v/>
      </c>
      <c r="CQ374" s="518" t="str">
        <f>IF(AND(_A6="A-320",'2025'!$M$4="CA",'2025'!$M$2=CQ347),'2025DATA'!$J$29,"")</f>
        <v/>
      </c>
      <c r="CR374" s="518" t="str">
        <f>IF(AND(_A6="A-320",'2025'!$M$4="CA",'2025'!$M$2=CR347),'2025DATA'!$K$29,"")</f>
        <v/>
      </c>
      <c r="CS374" s="518" t="str">
        <f>IF(AND(_A6="A-320",'2025'!$M$4="CA",'2025'!$M$2=CS347),'2025DATA'!$L$29,"")</f>
        <v/>
      </c>
      <c r="CT374" s="518" t="str">
        <f>IF(AND(_A6="A-320",'2025'!$M$4="CA",'2025'!$M$2=CT347),'2025DATA'!$M$29,"")</f>
        <v/>
      </c>
      <c r="CU374" s="520" t="str">
        <f>IF(AND(_A6="A-320",'2025'!$M$4="CA",'2025'!$M$2=CU347),'2025DATA'!$N$29,"")</f>
        <v/>
      </c>
    </row>
    <row r="375" spans="16:99" x14ac:dyDescent="0.25">
      <c r="P375" s="940"/>
      <c r="Q375" s="13" t="s">
        <v>62</v>
      </c>
      <c r="R375" s="518" t="str">
        <f>IF(AND(_A1="A-320",'2025'!$M$4="FO",'2025'!$M$2=R347),'2025DATA'!$C$30,"")</f>
        <v/>
      </c>
      <c r="S375" s="518" t="str">
        <f>IF(AND(_A1="A-320",'2025'!$M$4="FO",'2025'!$M$2=S347),'2025DATA'!$D$30,"")</f>
        <v/>
      </c>
      <c r="T375" s="518" t="str">
        <f>IF(AND(_A1="A-320",'2025'!$M$4="FO",'2025'!$M$2=T347),'2025DATA'!$E$30,"")</f>
        <v/>
      </c>
      <c r="U375" s="518" t="str">
        <f>IF(AND(_A1="A-320",'2025'!$M$4="FO",'2025'!$M$2=U347),'2025DATA'!$F$30,"")</f>
        <v/>
      </c>
      <c r="V375" s="518" t="str">
        <f>IF(AND(_A1="A-320",'2025'!$M$4="FO",'2025'!$M$2=V347),'2025DATA'!$G$30,"")</f>
        <v/>
      </c>
      <c r="W375" s="518" t="str">
        <f>IF(AND(_A1="A-320",'2025'!$M$4="FO",'2025'!$M$2=W347),'2025DATA'!$H$30,"")</f>
        <v/>
      </c>
      <c r="X375" s="518" t="str">
        <f>IF(AND(_A1="A-320",'2025'!$M$4="FO",'2025'!$M$2=X347),'2025DATA'!$I$30,"")</f>
        <v/>
      </c>
      <c r="Y375" s="518" t="str">
        <f>IF(AND(_A1="A-320",'2025'!$M$4="FO",'2025'!$M$2=Y347),'2025DATA'!$J$30,"")</f>
        <v/>
      </c>
      <c r="Z375" s="518" t="str">
        <f>IF(AND(_A1="A-320",'2025'!$M$4="FO",'2025'!$M$2=Z347),'2025DATA'!$K$30,"")</f>
        <v/>
      </c>
      <c r="AA375" s="518" t="str">
        <f>IF(AND(_A1="A-320",'2025'!$M$4="FO",'2025'!$M$2=AA347),'2025DATA'!$L$30,"")</f>
        <v/>
      </c>
      <c r="AB375" s="518" t="str">
        <f>IF(AND(_A1="A-320",'2025'!$M$4="FO",'2025'!$M$2=AB347),'2025DATA'!$M$30,"")</f>
        <v/>
      </c>
      <c r="AC375" s="520" t="str">
        <f>IF(AND(_A1="A-320",'2025'!$M$4="FO",'2025'!$M$2=AC347),'2025DATA'!$N$30,"")</f>
        <v/>
      </c>
      <c r="AD375" s="940"/>
      <c r="AE375" s="13" t="s">
        <v>62</v>
      </c>
      <c r="AF375" s="518" t="str">
        <f>IF(AND(_A2="A-320",'2025'!$M$4="FO",'2025'!$M$2=AF347),'2025DATA'!$C$30,"")</f>
        <v/>
      </c>
      <c r="AG375" s="518" t="str">
        <f>IF(AND(_A2="A-320",'2025'!$M$4="FO",'2025'!$M$2=AG347),'2025DATA'!$D$30,"")</f>
        <v/>
      </c>
      <c r="AH375" s="518" t="str">
        <f>IF(AND(_A2="A-320",'2025'!$M$4="FO",'2025'!$M$2=AH347),'2025DATA'!$E$30,"")</f>
        <v/>
      </c>
      <c r="AI375" s="518" t="str">
        <f>IF(AND(_A2="A-320",'2025'!$M$4="FO",'2025'!$M$2=AI347),'2025DATA'!$F$30,"")</f>
        <v/>
      </c>
      <c r="AJ375" s="518" t="str">
        <f>IF(AND(_A2="A-320",'2025'!$M$4="FO",'2025'!$M$2=AJ347),'2025DATA'!$G$30,"")</f>
        <v/>
      </c>
      <c r="AK375" s="518" t="str">
        <f>IF(AND(_A2="A-320",'2025'!$M$4="FO",'2025'!$M$2=AK347),'2025DATA'!$H$30,"")</f>
        <v/>
      </c>
      <c r="AL375" s="518" t="str">
        <f>IF(AND(_A2="A-320",'2025'!$M$4="FO",'2025'!$M$2=AL347),'2025DATA'!$I$30,"")</f>
        <v/>
      </c>
      <c r="AM375" s="518" t="str">
        <f>IF(AND(_A2="A-320",'2025'!$M$4="FO",'2025'!$M$2=AM347),'2025DATA'!$J$30,"")</f>
        <v/>
      </c>
      <c r="AN375" s="518" t="str">
        <f>IF(AND(_A2="A-320",'2025'!$M$4="FO",'2025'!$M$2=AN347),'2025DATA'!$K$30,"")</f>
        <v/>
      </c>
      <c r="AO375" s="518" t="str">
        <f>IF(AND(_A2="A-320",'2025'!$M$4="FO",'2025'!$M$2=AO347),'2025DATA'!$L$30,"")</f>
        <v/>
      </c>
      <c r="AP375" s="518" t="str">
        <f>IF(AND(_A2="A-320",'2025'!$M$4="FO",'2025'!$M$2=AP347),'2025DATA'!$M$30,"")</f>
        <v/>
      </c>
      <c r="AQ375" s="520" t="str">
        <f>IF(AND(_A2="A-320",'2025'!$M$4="FO",'2025'!$M$2=AQ347),'2025DATA'!$N$30,"")</f>
        <v/>
      </c>
      <c r="AR375" s="940"/>
      <c r="AS375" s="13" t="s">
        <v>62</v>
      </c>
      <c r="AT375" s="518" t="str">
        <f>IF(AND(_A3="A-320",'2025'!$M$4="FO",'2025'!$M$2=AT347),'2025DATA'!$C$30,"")</f>
        <v/>
      </c>
      <c r="AU375" s="518" t="str">
        <f>IF(AND(_A3="A-320",'2025'!$M$4="FO",'2025'!$M$2=AU347),'2025DATA'!$D$30,"")</f>
        <v/>
      </c>
      <c r="AV375" s="518" t="str">
        <f>IF(AND(_A3="A-320",'2025'!$M$4="FO",'2025'!$M$2=AV347),'2025DATA'!$E$30,"")</f>
        <v/>
      </c>
      <c r="AW375" s="518" t="str">
        <f>IF(AND(_A3="A-320",'2025'!$M$4="FO",'2025'!$M$2=AW347),'2025DATA'!$F$30,"")</f>
        <v/>
      </c>
      <c r="AX375" s="518" t="str">
        <f>IF(AND(_A3="A-320",'2025'!$M$4="FO",'2025'!$M$2=AX347),'2025DATA'!$G$30,"")</f>
        <v/>
      </c>
      <c r="AY375" s="518" t="str">
        <f>IF(AND(_A3="A-320",'2025'!$M$4="FO",'2025'!$M$2=AY347),'2025DATA'!$H$30,"")</f>
        <v/>
      </c>
      <c r="AZ375" s="518" t="str">
        <f>IF(AND(_A3="A-320",'2025'!$M$4="FO",'2025'!$M$2=AZ347),'2025DATA'!$I$30,"")</f>
        <v/>
      </c>
      <c r="BA375" s="518" t="str">
        <f>IF(AND(_A3="A-320",'2025'!$M$4="FO",'2025'!$M$2=BA347),'2025DATA'!$J$30,"")</f>
        <v/>
      </c>
      <c r="BB375" s="518" t="str">
        <f>IF(AND(_A3="A-320",'2025'!$M$4="FO",'2025'!$M$2=BB347),'2025DATA'!$K$30,"")</f>
        <v/>
      </c>
      <c r="BC375" s="518" t="str">
        <f>IF(AND(_A3="A-320",'2025'!$M$4="FO",'2025'!$M$2=BC347),'2025DATA'!$L$30,"")</f>
        <v/>
      </c>
      <c r="BD375" s="518" t="str">
        <f>IF(AND(_A3="A-320",'2025'!$M$4="FO",'2025'!$M$2=BD347),'2025DATA'!$M$30,"")</f>
        <v/>
      </c>
      <c r="BE375" s="520" t="str">
        <f>IF(AND(_A3="A-320",'2025'!$M$4="FO",'2025'!$M$2=BE347),'2025DATA'!$N$30,"")</f>
        <v/>
      </c>
      <c r="BF375" s="940"/>
      <c r="BG375" s="13" t="s">
        <v>62</v>
      </c>
      <c r="BH375" s="518" t="str">
        <f>IF(AND(_A4="A-320",'2025'!$M$4="FO",'2025'!$M$2=BH347),'2025DATA'!$C$30,"")</f>
        <v/>
      </c>
      <c r="BI375" s="518" t="str">
        <f>IF(AND(_A4="A-320",'2025'!$M$4="FO",'2025'!$M$2=BI347),'2025DATA'!$D$30,"")</f>
        <v/>
      </c>
      <c r="BJ375" s="518" t="str">
        <f>IF(AND(_A4="A-320",'2025'!$M$4="FO",'2025'!$M$2=BJ347),'2025DATA'!$E$30,"")</f>
        <v/>
      </c>
      <c r="BK375" s="518" t="str">
        <f>IF(AND(_A4="A-320",'2025'!$M$4="FO",'2025'!$M$2=BK347),'2025DATA'!$F$30,"")</f>
        <v/>
      </c>
      <c r="BL375" s="518" t="str">
        <f>IF(AND(_A4="A-320",'2025'!$M$4="FO",'2025'!$M$2=BL347),'2025DATA'!$G$30,"")</f>
        <v/>
      </c>
      <c r="BM375" s="518" t="str">
        <f>IF(AND(_A4="A-320",'2025'!$M$4="FO",'2025'!$M$2=BM347),'2025DATA'!$H$30,"")</f>
        <v/>
      </c>
      <c r="BN375" s="518" t="str">
        <f>IF(AND(_A4="A-320",'2025'!$M$4="FO",'2025'!$M$2=BN347),'2025DATA'!$I$30,"")</f>
        <v/>
      </c>
      <c r="BO375" s="518" t="str">
        <f>IF(AND(_A4="A-320",'2025'!$M$4="FO",'2025'!$M$2=BO347),'2025DATA'!$J$30,"")</f>
        <v/>
      </c>
      <c r="BP375" s="518" t="str">
        <f>IF(AND(_A4="A-320",'2025'!$M$4="FO",'2025'!$M$2=BP347),'2025DATA'!$K$30,"")</f>
        <v/>
      </c>
      <c r="BQ375" s="518" t="str">
        <f>IF(AND(_A4="A-320",'2025'!$M$4="FO",'2025'!$M$2=BQ347),'2025DATA'!$L$30,"")</f>
        <v/>
      </c>
      <c r="BR375" s="518" t="str">
        <f>IF(AND(_A4="A-320",'2025'!$M$4="FO",'2025'!$M$2=BR347),'2025DATA'!$M$30,"")</f>
        <v/>
      </c>
      <c r="BS375" s="520" t="str">
        <f>IF(AND(_A4="A-320",'2025'!$M$4="FO",'2025'!$M$2=BS347),'2025DATA'!$N$30,"")</f>
        <v/>
      </c>
      <c r="BT375" s="940"/>
      <c r="BU375" s="13" t="s">
        <v>62</v>
      </c>
      <c r="BV375" s="518" t="str">
        <f>IF(AND(_A5="A-320",'2025'!$M$4="FO",'2025'!$M$2=BV347),'2025DATA'!$C$30,"")</f>
        <v/>
      </c>
      <c r="BW375" s="518" t="str">
        <f>IF(AND(_A5="A-320",'2025'!$M$4="FO",'2025'!$M$2=BW347),'2025DATA'!$D$30,"")</f>
        <v/>
      </c>
      <c r="BX375" s="518" t="str">
        <f>IF(AND(_A5="A-320",'2025'!$M$4="FO",'2025'!$M$2=BX347),'2025DATA'!$E$30,"")</f>
        <v/>
      </c>
      <c r="BY375" s="518" t="str">
        <f>IF(AND(_A5="A-320",'2025'!$M$4="FO",'2025'!$M$2=BY347),'2025DATA'!$F$30,"")</f>
        <v/>
      </c>
      <c r="BZ375" s="518" t="str">
        <f>IF(AND(_A5="A-320",'2025'!$M$4="FO",'2025'!$M$2=BZ347),'2025DATA'!$G$30,"")</f>
        <v/>
      </c>
      <c r="CA375" s="518" t="str">
        <f>IF(AND(_A5="A-320",'2025'!$M$4="FO",'2025'!$M$2=CA347),'2025DATA'!$H$30,"")</f>
        <v/>
      </c>
      <c r="CB375" s="518" t="str">
        <f>IF(AND(_A5="A-320",'2025'!$M$4="FO",'2025'!$M$2=CB347),'2025DATA'!$I$30,"")</f>
        <v/>
      </c>
      <c r="CC375" s="518" t="str">
        <f>IF(AND(_A5="A-320",'2025'!$M$4="FO",'2025'!$M$2=CC347),'2025DATA'!$J$30,"")</f>
        <v/>
      </c>
      <c r="CD375" s="518" t="str">
        <f>IF(AND(_A5="A-320",'2025'!$M$4="FO",'2025'!$M$2=CD347),'2025DATA'!$K$30,"")</f>
        <v/>
      </c>
      <c r="CE375" s="518" t="str">
        <f>IF(AND(_A5="A-320",'2025'!$M$4="FO",'2025'!$M$2=CE347),'2025DATA'!$L$30,"")</f>
        <v/>
      </c>
      <c r="CF375" s="518" t="str">
        <f>IF(AND(_A5="A-320",'2025'!$M$4="FO",'2025'!$M$2=CF347),'2025DATA'!$M$30,"")</f>
        <v/>
      </c>
      <c r="CG375" s="520" t="str">
        <f>IF(AND(_A5="A-320",'2025'!$M$4="FO",'2025'!$M$2=CG347),'2025DATA'!$N$30,"")</f>
        <v/>
      </c>
      <c r="CH375" s="940"/>
      <c r="CI375" s="13" t="s">
        <v>62</v>
      </c>
      <c r="CJ375" s="518" t="str">
        <f>IF(AND(_A6="A-320",'2025'!$M$4="FO",'2025'!$M$2=CJ347),'2025DATA'!$C$30,"")</f>
        <v/>
      </c>
      <c r="CK375" s="518" t="str">
        <f>IF(AND(_A6="A-320",'2025'!$M$4="FO",'2025'!$M$2=CK347),'2025DATA'!$D$30,"")</f>
        <v/>
      </c>
      <c r="CL375" s="518" t="str">
        <f>IF(AND(_A6="A-320",'2025'!$M$4="FO",'2025'!$M$2=CL347),'2025DATA'!$E$30,"")</f>
        <v/>
      </c>
      <c r="CM375" s="518" t="str">
        <f>IF(AND(_A6="A-320",'2025'!$M$4="FO",'2025'!$M$2=CM347),'2025DATA'!$F$30,"")</f>
        <v/>
      </c>
      <c r="CN375" s="518" t="str">
        <f>IF(AND(_A6="A-320",'2025'!$M$4="FO",'2025'!$M$2=CN347),'2025DATA'!$G$30,"")</f>
        <v/>
      </c>
      <c r="CO375" s="518" t="str">
        <f>IF(AND(_A6="A-320",'2025'!$M$4="FO",'2025'!$M$2=CO347),'2025DATA'!$H$30,"")</f>
        <v/>
      </c>
      <c r="CP375" s="518" t="str">
        <f>IF(AND(_A6="A-320",'2025'!$M$4="FO",'2025'!$M$2=CP347),'2025DATA'!$I$30,"")</f>
        <v/>
      </c>
      <c r="CQ375" s="518" t="str">
        <f>IF(AND(_A6="A-320",'2025'!$M$4="FO",'2025'!$M$2=CQ347),'2025DATA'!$J$30,"")</f>
        <v/>
      </c>
      <c r="CR375" s="518" t="str">
        <f>IF(AND(_A6="A-320",'2025'!$M$4="FO",'2025'!$M$2=CR347),'2025DATA'!$K$30,"")</f>
        <v/>
      </c>
      <c r="CS375" s="518" t="str">
        <f>IF(AND(_A6="A-320",'2025'!$M$4="FO",'2025'!$M$2=CS347),'2025DATA'!$L$30,"")</f>
        <v/>
      </c>
      <c r="CT375" s="518" t="str">
        <f>IF(AND(_A6="A-320",'2025'!$M$4="FO",'2025'!$M$2=CT347),'2025DATA'!$M$30,"")</f>
        <v/>
      </c>
      <c r="CU375" s="520" t="str">
        <f>IF(AND(_A6="A-320",'2025'!$M$4="FO",'2025'!$M$2=CU347),'2025DATA'!$N$30,"")</f>
        <v/>
      </c>
    </row>
    <row r="376" spans="16:99" x14ac:dyDescent="0.25">
      <c r="P376" s="940" t="s">
        <v>71</v>
      </c>
      <c r="Q376" s="13" t="s">
        <v>61</v>
      </c>
      <c r="R376" s="518" t="str">
        <f>IF(AND(_A1="A-319",'2025'!$M$4="CA",'2025'!$M$2=R347),'2025DATA'!$C$31,"")</f>
        <v/>
      </c>
      <c r="S376" s="518" t="str">
        <f>IF(AND(_A1="A-319",'2025'!$M$4="CA",'2025'!$M$2=S347),'2025DATA'!$D$31,"")</f>
        <v/>
      </c>
      <c r="T376" s="518" t="str">
        <f>IF(AND(_A1="A-319",'2025'!$M$4="CA",'2025'!$M$2=T347),'2025DATA'!$E$31,"")</f>
        <v/>
      </c>
      <c r="U376" s="518" t="str">
        <f>IF(AND(_A1="A-319",'2025'!$M$4="CA",'2025'!$M$2=U347),'2025DATA'!$F$31,"")</f>
        <v/>
      </c>
      <c r="V376" s="518" t="str">
        <f>IF(AND(_A1="A-319",'2025'!$M$4="CA",'2025'!$M$2=V347),'2025DATA'!$G$31,"")</f>
        <v/>
      </c>
      <c r="W376" s="518" t="str">
        <f>IF(AND(_A1="A-319",'2025'!$M$4="CA",'2025'!$M$2=W347),'2025DATA'!$H$31,"")</f>
        <v/>
      </c>
      <c r="X376" s="518" t="str">
        <f>IF(AND(_A1="A-319",'2025'!$M$4="CA",'2025'!$M$2=X347),'2025DATA'!$I$31,"")</f>
        <v/>
      </c>
      <c r="Y376" s="518" t="str">
        <f>IF(AND(_A1="A-319",'2025'!$M$4="CA",'2025'!$M$2=Y347),'2025DATA'!$J$31,"")</f>
        <v/>
      </c>
      <c r="Z376" s="518" t="str">
        <f>IF(AND(_A1="A-319",'2025'!$M$4="CA",'2025'!$M$2=Z347),'2025DATA'!$K$31,"")</f>
        <v/>
      </c>
      <c r="AA376" s="518" t="str">
        <f>IF(AND(_A1="A-319",'2025'!$M$4="CA",'2025'!$M$2=AA347),'2025DATA'!$L$31,"")</f>
        <v/>
      </c>
      <c r="AB376" s="518" t="str">
        <f>IF(AND(_A1="A-319",'2025'!$M$4="CA",'2025'!$M$2=AB347),'2025DATA'!$M$31,"")</f>
        <v/>
      </c>
      <c r="AC376" s="520" t="str">
        <f>IF(AND(_A1="A-319",'2025'!$M$4="CA",'2025'!$M$2=AC347),'2025DATA'!$N$31,"")</f>
        <v/>
      </c>
      <c r="AD376" s="940" t="s">
        <v>71</v>
      </c>
      <c r="AE376" s="13" t="s">
        <v>61</v>
      </c>
      <c r="AF376" s="518" t="str">
        <f>IF(AND(_A2="A-319",'2025'!$M$4="CA",'2025'!$M$2=AF347),'2025DATA'!$C$31,"")</f>
        <v/>
      </c>
      <c r="AG376" s="518" t="str">
        <f>IF(AND(_A2="A-319",'2025'!$M$4="CA",'2025'!$M$2=AG347),'2025DATA'!$D$31,"")</f>
        <v/>
      </c>
      <c r="AH376" s="518" t="str">
        <f>IF(AND(_A2="A-319",'2025'!$M$4="CA",'2025'!$M$2=AH347),'2025DATA'!$E$31,"")</f>
        <v/>
      </c>
      <c r="AI376" s="518" t="str">
        <f>IF(AND(_A2="A-319",'2025'!$M$4="CA",'2025'!$M$2=AI347),'2025DATA'!$F$31,"")</f>
        <v/>
      </c>
      <c r="AJ376" s="518" t="str">
        <f>IF(AND(_A2="A-319",'2025'!$M$4="CA",'2025'!$M$2=AJ347),'2025DATA'!$G$31,"")</f>
        <v/>
      </c>
      <c r="AK376" s="518" t="str">
        <f>IF(AND(_A2="A-319",'2025'!$M$4="CA",'2025'!$M$2=AK347),'2025DATA'!$H$31,"")</f>
        <v/>
      </c>
      <c r="AL376" s="518" t="str">
        <f>IF(AND(_A2="A-319",'2025'!$M$4="CA",'2025'!$M$2=AL347),'2025DATA'!$I$31,"")</f>
        <v/>
      </c>
      <c r="AM376" s="518" t="str">
        <f>IF(AND(_A2="A-319",'2025'!$M$4="CA",'2025'!$M$2=AM347),'2025DATA'!$J$31,"")</f>
        <v/>
      </c>
      <c r="AN376" s="518" t="str">
        <f>IF(AND(_A2="A-319",'2025'!$M$4="CA",'2025'!$M$2=AN347),'2025DATA'!$K$31,"")</f>
        <v/>
      </c>
      <c r="AO376" s="518" t="str">
        <f>IF(AND(_A2="A-319",'2025'!$M$4="CA",'2025'!$M$2=AO347),'2025DATA'!$L$31,"")</f>
        <v/>
      </c>
      <c r="AP376" s="518" t="str">
        <f>IF(AND(_A2="A-319",'2025'!$M$4="CA",'2025'!$M$2=AP347),'2025DATA'!$M$31,"")</f>
        <v/>
      </c>
      <c r="AQ376" s="520" t="str">
        <f>IF(AND(_A2="A-319",'2025'!$M$4="CA",'2025'!$M$2=AQ347),'2025DATA'!$N$31,"")</f>
        <v/>
      </c>
      <c r="AR376" s="940" t="s">
        <v>71</v>
      </c>
      <c r="AS376" s="13" t="s">
        <v>61</v>
      </c>
      <c r="AT376" s="518" t="str">
        <f>IF(AND(_A3="A-319",'2025'!$M$4="CA",'2025'!$M$2=AT347),'2025DATA'!$C$31,"")</f>
        <v/>
      </c>
      <c r="AU376" s="518" t="str">
        <f>IF(AND(_A3="A-319",'2025'!$M$4="CA",'2025'!$M$2=AU347),'2025DATA'!$D$31,"")</f>
        <v/>
      </c>
      <c r="AV376" s="518" t="str">
        <f>IF(AND(_A3="A-319",'2025'!$M$4="CA",'2025'!$M$2=AV347),'2025DATA'!$E$31,"")</f>
        <v/>
      </c>
      <c r="AW376" s="518" t="str">
        <f>IF(AND(_A3="A-319",'2025'!$M$4="CA",'2025'!$M$2=AW347),'2025DATA'!$F$31,"")</f>
        <v/>
      </c>
      <c r="AX376" s="518" t="str">
        <f>IF(AND(_A3="A-319",'2025'!$M$4="CA",'2025'!$M$2=AX347),'2025DATA'!$G$31,"")</f>
        <v/>
      </c>
      <c r="AY376" s="518" t="str">
        <f>IF(AND(_A3="A-319",'2025'!$M$4="CA",'2025'!$M$2=AY347),'2025DATA'!$H$31,"")</f>
        <v/>
      </c>
      <c r="AZ376" s="518" t="str">
        <f>IF(AND(_A3="A-319",'2025'!$M$4="CA",'2025'!$M$2=AZ347),'2025DATA'!$I$31,"")</f>
        <v/>
      </c>
      <c r="BA376" s="518" t="str">
        <f>IF(AND(_A3="A-319",'2025'!$M$4="CA",'2025'!$M$2=BA347),'2025DATA'!$J$31,"")</f>
        <v/>
      </c>
      <c r="BB376" s="518" t="str">
        <f>IF(AND(_A3="A-319",'2025'!$M$4="CA",'2025'!$M$2=BB347),'2025DATA'!$K$31,"")</f>
        <v/>
      </c>
      <c r="BC376" s="518" t="str">
        <f>IF(AND(_A3="A-319",'2025'!$M$4="CA",'2025'!$M$2=BC347),'2025DATA'!$L$31,"")</f>
        <v/>
      </c>
      <c r="BD376" s="518" t="str">
        <f>IF(AND(_A3="A-319",'2025'!$M$4="CA",'2025'!$M$2=BD347),'2025DATA'!$M$31,"")</f>
        <v/>
      </c>
      <c r="BE376" s="520" t="str">
        <f>IF(AND(_A3="A-319",'2025'!$M$4="CA",'2025'!$M$2=BE347),'2025DATA'!$N$31,"")</f>
        <v/>
      </c>
      <c r="BF376" s="940" t="s">
        <v>71</v>
      </c>
      <c r="BG376" s="13" t="s">
        <v>61</v>
      </c>
      <c r="BH376" s="518" t="str">
        <f>IF(AND(_A4="A-319",'2025'!$M$4="CA",'2025'!$M$2=BH347),'2025DATA'!$C$31,"")</f>
        <v/>
      </c>
      <c r="BI376" s="518" t="str">
        <f>IF(AND(_A4="A-319",'2025'!$M$4="CA",'2025'!$M$2=BI347),'2025DATA'!$D$31,"")</f>
        <v/>
      </c>
      <c r="BJ376" s="518" t="str">
        <f>IF(AND(_A4="A-319",'2025'!$M$4="CA",'2025'!$M$2=BJ347),'2025DATA'!$E$31,"")</f>
        <v/>
      </c>
      <c r="BK376" s="518" t="str">
        <f>IF(AND(_A4="A-319",'2025'!$M$4="CA",'2025'!$M$2=BK347),'2025DATA'!$F$31,"")</f>
        <v/>
      </c>
      <c r="BL376" s="518" t="str">
        <f>IF(AND(_A4="A-319",'2025'!$M$4="CA",'2025'!$M$2=BL347),'2025DATA'!$G$31,"")</f>
        <v/>
      </c>
      <c r="BM376" s="518" t="str">
        <f>IF(AND(_A4="A-319",'2025'!$M$4="CA",'2025'!$M$2=BM347),'2025DATA'!$H$31,"")</f>
        <v/>
      </c>
      <c r="BN376" s="518" t="str">
        <f>IF(AND(_A4="A-319",'2025'!$M$4="CA",'2025'!$M$2=BN347),'2025DATA'!$I$31,"")</f>
        <v/>
      </c>
      <c r="BO376" s="518" t="str">
        <f>IF(AND(_A4="A-319",'2025'!$M$4="CA",'2025'!$M$2=BO347),'2025DATA'!$J$31,"")</f>
        <v/>
      </c>
      <c r="BP376" s="518" t="str">
        <f>IF(AND(_A4="A-319",'2025'!$M$4="CA",'2025'!$M$2=BP347),'2025DATA'!$K$31,"")</f>
        <v/>
      </c>
      <c r="BQ376" s="518" t="str">
        <f>IF(AND(_A4="A-319",'2025'!$M$4="CA",'2025'!$M$2=BQ347),'2025DATA'!$L$31,"")</f>
        <v/>
      </c>
      <c r="BR376" s="518" t="str">
        <f>IF(AND(_A4="A-319",'2025'!$M$4="CA",'2025'!$M$2=BR347),'2025DATA'!$M$31,"")</f>
        <v/>
      </c>
      <c r="BS376" s="520" t="str">
        <f>IF(AND(_A4="A-319",'2025'!$M$4="CA",'2025'!$M$2=BS347),'2025DATA'!$N$31,"")</f>
        <v/>
      </c>
      <c r="BT376" s="940" t="s">
        <v>71</v>
      </c>
      <c r="BU376" s="13" t="s">
        <v>61</v>
      </c>
      <c r="BV376" s="518" t="str">
        <f>IF(AND(_A5="A-319",'2025'!$M$4="CA",'2025'!$M$2=BV347),'2025DATA'!$C$31,"")</f>
        <v/>
      </c>
      <c r="BW376" s="518" t="str">
        <f>IF(AND(_A5="A-319",'2025'!$M$4="CA",'2025'!$M$2=BW347),'2025DATA'!$D$31,"")</f>
        <v/>
      </c>
      <c r="BX376" s="518" t="str">
        <f>IF(AND(_A5="A-319",'2025'!$M$4="CA",'2025'!$M$2=BX347),'2025DATA'!$E$31,"")</f>
        <v/>
      </c>
      <c r="BY376" s="518" t="str">
        <f>IF(AND(_A5="A-319",'2025'!$M$4="CA",'2025'!$M$2=BY347),'2025DATA'!$F$31,"")</f>
        <v/>
      </c>
      <c r="BZ376" s="518" t="str">
        <f>IF(AND(_A5="A-319",'2025'!$M$4="CA",'2025'!$M$2=BZ347),'2025DATA'!$G$31,"")</f>
        <v/>
      </c>
      <c r="CA376" s="518" t="str">
        <f>IF(AND(_A5="A-319",'2025'!$M$4="CA",'2025'!$M$2=CA347),'2025DATA'!$H$31,"")</f>
        <v/>
      </c>
      <c r="CB376" s="518" t="str">
        <f>IF(AND(_A5="A-319",'2025'!$M$4="CA",'2025'!$M$2=CB347),'2025DATA'!$I$31,"")</f>
        <v/>
      </c>
      <c r="CC376" s="518" t="str">
        <f>IF(AND(_A5="A-319",'2025'!$M$4="CA",'2025'!$M$2=CC347),'2025DATA'!$J$31,"")</f>
        <v/>
      </c>
      <c r="CD376" s="518" t="str">
        <f>IF(AND(_A5="A-319",'2025'!$M$4="CA",'2025'!$M$2=CD347),'2025DATA'!$K$31,"")</f>
        <v/>
      </c>
      <c r="CE376" s="518" t="str">
        <f>IF(AND(_A5="A-319",'2025'!$M$4="CA",'2025'!$M$2=CE347),'2025DATA'!$L$31,"")</f>
        <v/>
      </c>
      <c r="CF376" s="518" t="str">
        <f>IF(AND(_A5="A-319",'2025'!$M$4="CA",'2025'!$M$2=CF347),'2025DATA'!$M$31,"")</f>
        <v/>
      </c>
      <c r="CG376" s="520" t="str">
        <f>IF(AND(_A5="A-319",'2025'!$M$4="CA",'2025'!$M$2=CG347),'2025DATA'!$N$31,"")</f>
        <v/>
      </c>
      <c r="CH376" s="940" t="s">
        <v>71</v>
      </c>
      <c r="CI376" s="13" t="s">
        <v>61</v>
      </c>
      <c r="CJ376" s="518" t="str">
        <f>IF(AND(_A6="A-319",'2025'!$M$4="CA",'2025'!$M$2=CJ347),'2025DATA'!$C$31,"")</f>
        <v/>
      </c>
      <c r="CK376" s="518" t="str">
        <f>IF(AND(_A6="A-319",'2025'!$M$4="CA",'2025'!$M$2=CK347),'2025DATA'!$D$31,"")</f>
        <v/>
      </c>
      <c r="CL376" s="518" t="str">
        <f>IF(AND(_A6="A-319",'2025'!$M$4="CA",'2025'!$M$2=CL347),'2025DATA'!$E$31,"")</f>
        <v/>
      </c>
      <c r="CM376" s="518" t="str">
        <f>IF(AND(_A6="A-319",'2025'!$M$4="CA",'2025'!$M$2=CM347),'2025DATA'!$F$31,"")</f>
        <v/>
      </c>
      <c r="CN376" s="518" t="str">
        <f>IF(AND(_A6="A-319",'2025'!$M$4="CA",'2025'!$M$2=CN347),'2025DATA'!$G$31,"")</f>
        <v/>
      </c>
      <c r="CO376" s="518" t="str">
        <f>IF(AND(_A6="A-319",'2025'!$M$4="CA",'2025'!$M$2=CO347),'2025DATA'!$H$31,"")</f>
        <v/>
      </c>
      <c r="CP376" s="518" t="str">
        <f>IF(AND(_A6="A-319",'2025'!$M$4="CA",'2025'!$M$2=CP347),'2025DATA'!$I$31,"")</f>
        <v/>
      </c>
      <c r="CQ376" s="518" t="str">
        <f>IF(AND(_A6="A-319",'2025'!$M$4="CA",'2025'!$M$2=CQ347),'2025DATA'!$J$31,"")</f>
        <v/>
      </c>
      <c r="CR376" s="518" t="str">
        <f>IF(AND(_A6="A-319",'2025'!$M$4="CA",'2025'!$M$2=CR347),'2025DATA'!$K$31,"")</f>
        <v/>
      </c>
      <c r="CS376" s="518" t="str">
        <f>IF(AND(_A6="A-319",'2025'!$M$4="CA",'2025'!$M$2=CS347),'2025DATA'!$L$31,"")</f>
        <v/>
      </c>
      <c r="CT376" s="518" t="str">
        <f>IF(AND(_A6="A-319",'2025'!$M$4="CA",'2025'!$M$2=CT347),'2025DATA'!$M$31,"")</f>
        <v/>
      </c>
      <c r="CU376" s="520" t="str">
        <f>IF(AND(_A6="A-319",'2025'!$M$4="CA",'2025'!$M$2=CU347),'2025DATA'!$N$31,"")</f>
        <v/>
      </c>
    </row>
    <row r="377" spans="16:99" x14ac:dyDescent="0.25">
      <c r="P377" s="940"/>
      <c r="Q377" s="13" t="s">
        <v>62</v>
      </c>
      <c r="R377" s="518" t="str">
        <f>IF(AND(_A1="A-319",'2025'!$M$4="FO",'2025'!$M$2=R347),'2025DATA'!$C$32,"")</f>
        <v/>
      </c>
      <c r="S377" s="518" t="str">
        <f>IF(AND(_A1="A-319",'2025'!$M$4="FO",'2025'!$M$2=S347),'2025DATA'!$D$32,"")</f>
        <v/>
      </c>
      <c r="T377" s="518" t="str">
        <f>IF(AND(_A1="A-319",'2025'!$M$4="FO",'2025'!$M$2=T347),'2025DATA'!$E$32,"")</f>
        <v/>
      </c>
      <c r="U377" s="518" t="str">
        <f>IF(AND(_A1="A-319",'2025'!$M$4="FO",'2025'!$M$2=U347),'2025DATA'!$F$32,"")</f>
        <v/>
      </c>
      <c r="V377" s="518" t="str">
        <f>IF(AND(_A1="A-319",'2025'!$M$4="FO",'2025'!$M$2=V347),'2025DATA'!$G$32,"")</f>
        <v/>
      </c>
      <c r="W377" s="518" t="str">
        <f>IF(AND(_A1="A-319",'2025'!$M$4="FO",'2025'!$M$2=W347),'2025DATA'!$H$32,"")</f>
        <v/>
      </c>
      <c r="X377" s="518" t="str">
        <f>IF(AND(_A1="A-319",'2025'!$M$4="FO",'2025'!$M$2=X347),'2025DATA'!$I$32,"")</f>
        <v/>
      </c>
      <c r="Y377" s="518" t="str">
        <f>IF(AND(_A1="A-319",'2025'!$M$4="FO",'2025'!$M$2=Y347),'2025DATA'!$J$32,"")</f>
        <v/>
      </c>
      <c r="Z377" s="518" t="str">
        <f>IF(AND(_A1="A-319",'2025'!$M$4="FO",'2025'!$M$2=Z347),'2025DATA'!$K$32,"")</f>
        <v/>
      </c>
      <c r="AA377" s="518" t="str">
        <f>IF(AND(_A1="A-319",'2025'!$M$4="FO",'2025'!$M$2=AA347),'2025DATA'!$L$32,"")</f>
        <v/>
      </c>
      <c r="AB377" s="518" t="str">
        <f>IF(AND(_A1="A-319",'2025'!$M$4="FO",'2025'!$M$2=AB347),'2025DATA'!$M$32,"")</f>
        <v/>
      </c>
      <c r="AC377" s="520" t="str">
        <f>IF(AND(_A1="A-319",'2025'!$M$4="FO",'2025'!$M$2=AC347),'2025DATA'!$N$32,"")</f>
        <v/>
      </c>
      <c r="AD377" s="940"/>
      <c r="AE377" s="13" t="s">
        <v>62</v>
      </c>
      <c r="AF377" s="518" t="str">
        <f>IF(AND(_A2="A-319",'2025'!$M$4="FO",'2025'!$M$2=AF347),'2025DATA'!$C$32,"")</f>
        <v/>
      </c>
      <c r="AG377" s="518" t="str">
        <f>IF(AND(_A2="A-319",'2025'!$M$4="FO",'2025'!$M$2=AG347),'2025DATA'!$D$32,"")</f>
        <v/>
      </c>
      <c r="AH377" s="518" t="str">
        <f>IF(AND(_A2="A-319",'2025'!$M$4="FO",'2025'!$M$2=AH347),'2025DATA'!$E$32,"")</f>
        <v/>
      </c>
      <c r="AI377" s="518" t="str">
        <f>IF(AND(_A2="A-319",'2025'!$M$4="FO",'2025'!$M$2=AI347),'2025DATA'!$F$32,"")</f>
        <v/>
      </c>
      <c r="AJ377" s="518" t="str">
        <f>IF(AND(_A2="A-319",'2025'!$M$4="FO",'2025'!$M$2=AJ347),'2025DATA'!$G$32,"")</f>
        <v/>
      </c>
      <c r="AK377" s="518" t="str">
        <f>IF(AND(_A2="A-319",'2025'!$M$4="FO",'2025'!$M$2=AK347),'2025DATA'!$H$32,"")</f>
        <v/>
      </c>
      <c r="AL377" s="518" t="str">
        <f>IF(AND(_A2="A-319",'2025'!$M$4="FO",'2025'!$M$2=AL347),'2025DATA'!$I$32,"")</f>
        <v/>
      </c>
      <c r="AM377" s="518" t="str">
        <f>IF(AND(_A2="A-319",'2025'!$M$4="FO",'2025'!$M$2=AM347),'2025DATA'!$J$32,"")</f>
        <v/>
      </c>
      <c r="AN377" s="518" t="str">
        <f>IF(AND(_A2="A-319",'2025'!$M$4="FO",'2025'!$M$2=AN347),'2025DATA'!$K$32,"")</f>
        <v/>
      </c>
      <c r="AO377" s="518" t="str">
        <f>IF(AND(_A2="A-319",'2025'!$M$4="FO",'2025'!$M$2=AO347),'2025DATA'!$L$32,"")</f>
        <v/>
      </c>
      <c r="AP377" s="518" t="str">
        <f>IF(AND(_A2="A-319",'2025'!$M$4="FO",'2025'!$M$2=AP347),'2025DATA'!$M$32,"")</f>
        <v/>
      </c>
      <c r="AQ377" s="520" t="str">
        <f>IF(AND(_A2="A-319",'2025'!$M$4="FO",'2025'!$M$2=AQ347),'2025DATA'!$N$32,"")</f>
        <v/>
      </c>
      <c r="AR377" s="940"/>
      <c r="AS377" s="13" t="s">
        <v>62</v>
      </c>
      <c r="AT377" s="518" t="str">
        <f>IF(AND(_A3="A-319",'2025'!$M$4="FO",'2025'!$M$2=AT347),'2025DATA'!$C$32,"")</f>
        <v/>
      </c>
      <c r="AU377" s="518" t="str">
        <f>IF(AND(_A3="A-319",'2025'!$M$4="FO",'2025'!$M$2=AU347),'2025DATA'!$D$32,"")</f>
        <v/>
      </c>
      <c r="AV377" s="518" t="str">
        <f>IF(AND(_A3="A-319",'2025'!$M$4="FO",'2025'!$M$2=AV347),'2025DATA'!$E$32,"")</f>
        <v/>
      </c>
      <c r="AW377" s="518" t="str">
        <f>IF(AND(_A3="A-319",'2025'!$M$4="FO",'2025'!$M$2=AW347),'2025DATA'!$F$32,"")</f>
        <v/>
      </c>
      <c r="AX377" s="518" t="str">
        <f>IF(AND(_A3="A-319",'2025'!$M$4="FO",'2025'!$M$2=AX347),'2025DATA'!$G$32,"")</f>
        <v/>
      </c>
      <c r="AY377" s="518" t="str">
        <f>IF(AND(_A3="A-319",'2025'!$M$4="FO",'2025'!$M$2=AY347),'2025DATA'!$H$32,"")</f>
        <v/>
      </c>
      <c r="AZ377" s="518" t="str">
        <f>IF(AND(_A3="A-319",'2025'!$M$4="FO",'2025'!$M$2=AZ347),'2025DATA'!$I$32,"")</f>
        <v/>
      </c>
      <c r="BA377" s="518" t="str">
        <f>IF(AND(_A3="A-319",'2025'!$M$4="FO",'2025'!$M$2=BA347),'2025DATA'!$J$32,"")</f>
        <v/>
      </c>
      <c r="BB377" s="518" t="str">
        <f>IF(AND(_A3="A-319",'2025'!$M$4="FO",'2025'!$M$2=BB347),'2025DATA'!$K$32,"")</f>
        <v/>
      </c>
      <c r="BC377" s="518" t="str">
        <f>IF(AND(_A3="A-319",'2025'!$M$4="FO",'2025'!$M$2=BC347),'2025DATA'!$L$32,"")</f>
        <v/>
      </c>
      <c r="BD377" s="518" t="str">
        <f>IF(AND(_A3="A-319",'2025'!$M$4="FO",'2025'!$M$2=BD347),'2025DATA'!$M$32,"")</f>
        <v/>
      </c>
      <c r="BE377" s="520" t="str">
        <f>IF(AND(_A3="A-319",'2025'!$M$4="FO",'2025'!$M$2=BE347),'2025DATA'!$N$32,"")</f>
        <v/>
      </c>
      <c r="BF377" s="940"/>
      <c r="BG377" s="13" t="s">
        <v>62</v>
      </c>
      <c r="BH377" s="518" t="str">
        <f>IF(AND(_A4="A-319",'2025'!$M$4="FO",'2025'!$M$2=BH347),'2025DATA'!$C$32,"")</f>
        <v/>
      </c>
      <c r="BI377" s="518" t="str">
        <f>IF(AND(_A4="A-319",'2025'!$M$4="FO",'2025'!$M$2=BI347),'2025DATA'!$D$32,"")</f>
        <v/>
      </c>
      <c r="BJ377" s="518" t="str">
        <f>IF(AND(_A4="A-319",'2025'!$M$4="FO",'2025'!$M$2=BJ347),'2025DATA'!$E$32,"")</f>
        <v/>
      </c>
      <c r="BK377" s="518" t="str">
        <f>IF(AND(_A4="A-319",'2025'!$M$4="FO",'2025'!$M$2=BK347),'2025DATA'!$F$32,"")</f>
        <v/>
      </c>
      <c r="BL377" s="518" t="str">
        <f>IF(AND(_A4="A-319",'2025'!$M$4="FO",'2025'!$M$2=BL347),'2025DATA'!$G$32,"")</f>
        <v/>
      </c>
      <c r="BM377" s="518" t="str">
        <f>IF(AND(_A4="A-319",'2025'!$M$4="FO",'2025'!$M$2=BM347),'2025DATA'!$H$32,"")</f>
        <v/>
      </c>
      <c r="BN377" s="518" t="str">
        <f>IF(AND(_A4="A-319",'2025'!$M$4="FO",'2025'!$M$2=BN347),'2025DATA'!$I$32,"")</f>
        <v/>
      </c>
      <c r="BO377" s="518" t="str">
        <f>IF(AND(_A4="A-319",'2025'!$M$4="FO",'2025'!$M$2=BO347),'2025DATA'!$J$32,"")</f>
        <v/>
      </c>
      <c r="BP377" s="518" t="str">
        <f>IF(AND(_A4="A-319",'2025'!$M$4="FO",'2025'!$M$2=BP347),'2025DATA'!$K$32,"")</f>
        <v/>
      </c>
      <c r="BQ377" s="518" t="str">
        <f>IF(AND(_A4="A-319",'2025'!$M$4="FO",'2025'!$M$2=BQ347),'2025DATA'!$L$32,"")</f>
        <v/>
      </c>
      <c r="BR377" s="518" t="str">
        <f>IF(AND(_A4="A-319",'2025'!$M$4="FO",'2025'!$M$2=BR347),'2025DATA'!$M$32,"")</f>
        <v/>
      </c>
      <c r="BS377" s="520" t="str">
        <f>IF(AND(_A4="A-319",'2025'!$M$4="FO",'2025'!$M$2=BS347),'2025DATA'!$N$32,"")</f>
        <v/>
      </c>
      <c r="BT377" s="940"/>
      <c r="BU377" s="13" t="s">
        <v>62</v>
      </c>
      <c r="BV377" s="518" t="str">
        <f>IF(AND(_A5="A-319",'2025'!$M$4="FO",'2025'!$M$2=BV347),'2025DATA'!$C$32,"")</f>
        <v/>
      </c>
      <c r="BW377" s="518" t="str">
        <f>IF(AND(_A5="A-319",'2025'!$M$4="FO",'2025'!$M$2=BW347),'2025DATA'!$D$32,"")</f>
        <v/>
      </c>
      <c r="BX377" s="518" t="str">
        <f>IF(AND(_A5="A-319",'2025'!$M$4="FO",'2025'!$M$2=BX347),'2025DATA'!$E$32,"")</f>
        <v/>
      </c>
      <c r="BY377" s="518" t="str">
        <f>IF(AND(_A5="A-319",'2025'!$M$4="FO",'2025'!$M$2=BY347),'2025DATA'!$F$32,"")</f>
        <v/>
      </c>
      <c r="BZ377" s="518" t="str">
        <f>IF(AND(_A5="A-319",'2025'!$M$4="FO",'2025'!$M$2=BZ347),'2025DATA'!$G$32,"")</f>
        <v/>
      </c>
      <c r="CA377" s="518" t="str">
        <f>IF(AND(_A5="A-319",'2025'!$M$4="FO",'2025'!$M$2=CA347),'2025DATA'!$H$32,"")</f>
        <v/>
      </c>
      <c r="CB377" s="518" t="str">
        <f>IF(AND(_A5="A-319",'2025'!$M$4="FO",'2025'!$M$2=CB347),'2025DATA'!$I$32,"")</f>
        <v/>
      </c>
      <c r="CC377" s="518" t="str">
        <f>IF(AND(_A5="A-319",'2025'!$M$4="FO",'2025'!$M$2=CC347),'2025DATA'!$J$32,"")</f>
        <v/>
      </c>
      <c r="CD377" s="518" t="str">
        <f>IF(AND(_A5="A-319",'2025'!$M$4="FO",'2025'!$M$2=CD347),'2025DATA'!$K$32,"")</f>
        <v/>
      </c>
      <c r="CE377" s="518" t="str">
        <f>IF(AND(_A5="A-319",'2025'!$M$4="FO",'2025'!$M$2=CE347),'2025DATA'!$L$32,"")</f>
        <v/>
      </c>
      <c r="CF377" s="518" t="str">
        <f>IF(AND(_A5="A-319",'2025'!$M$4="FO",'2025'!$M$2=CF347),'2025DATA'!$M$32,"")</f>
        <v/>
      </c>
      <c r="CG377" s="520" t="str">
        <f>IF(AND(_A5="A-319",'2025'!$M$4="FO",'2025'!$M$2=CG347),'2025DATA'!$N$32,"")</f>
        <v/>
      </c>
      <c r="CH377" s="940"/>
      <c r="CI377" s="13" t="s">
        <v>62</v>
      </c>
      <c r="CJ377" s="518" t="str">
        <f>IF(AND(_A6="A-319",'2025'!$M$4="FO",'2025'!$M$2=CJ347),'2025DATA'!$C$32,"")</f>
        <v/>
      </c>
      <c r="CK377" s="518" t="str">
        <f>IF(AND(_A6="A-319",'2025'!$M$4="FO",'2025'!$M$2=CK347),'2025DATA'!$D$32,"")</f>
        <v/>
      </c>
      <c r="CL377" s="518" t="str">
        <f>IF(AND(_A6="A-319",'2025'!$M$4="FO",'2025'!$M$2=CL347),'2025DATA'!$E$32,"")</f>
        <v/>
      </c>
      <c r="CM377" s="518" t="str">
        <f>IF(AND(_A6="A-319",'2025'!$M$4="FO",'2025'!$M$2=CM347),'2025DATA'!$F$32,"")</f>
        <v/>
      </c>
      <c r="CN377" s="518" t="str">
        <f>IF(AND(_A6="A-319",'2025'!$M$4="FO",'2025'!$M$2=CN347),'2025DATA'!$G$32,"")</f>
        <v/>
      </c>
      <c r="CO377" s="518" t="str">
        <f>IF(AND(_A6="A-319",'2025'!$M$4="FO",'2025'!$M$2=CO347),'2025DATA'!$H$32,"")</f>
        <v/>
      </c>
      <c r="CP377" s="518" t="str">
        <f>IF(AND(_A6="A-319",'2025'!$M$4="FO",'2025'!$M$2=CP347),'2025DATA'!$I$32,"")</f>
        <v/>
      </c>
      <c r="CQ377" s="518" t="str">
        <f>IF(AND(_A6="A-319",'2025'!$M$4="FO",'2025'!$M$2=CQ347),'2025DATA'!$J$32,"")</f>
        <v/>
      </c>
      <c r="CR377" s="518" t="str">
        <f>IF(AND(_A6="A-319",'2025'!$M$4="FO",'2025'!$M$2=CR347),'2025DATA'!$K$32,"")</f>
        <v/>
      </c>
      <c r="CS377" s="518" t="str">
        <f>IF(AND(_A6="A-319",'2025'!$M$4="FO",'2025'!$M$2=CS347),'2025DATA'!$L$32,"")</f>
        <v/>
      </c>
      <c r="CT377" s="518" t="str">
        <f>IF(AND(_A6="A-319",'2025'!$M$4="FO",'2025'!$M$2=CT347),'2025DATA'!$M$32,"")</f>
        <v/>
      </c>
      <c r="CU377" s="520" t="str">
        <f>IF(AND(_A6="A-319",'2025'!$M$4="FO",'2025'!$M$2=CU347),'2025DATA'!$N$32,"")</f>
        <v/>
      </c>
    </row>
    <row r="378" spans="16:99" x14ac:dyDescent="0.25">
      <c r="P378" s="940" t="s">
        <v>51</v>
      </c>
      <c r="Q378" s="13" t="s">
        <v>61</v>
      </c>
      <c r="R378" s="518" t="str">
        <f>IF(AND(_A1="A-220-300",'2025'!$M$4="CA",'2025'!$M$2=R347),'2025DATA'!$C$33,"")</f>
        <v/>
      </c>
      <c r="S378" s="518" t="str">
        <f>IF(AND(_A1="A-220-300",'2025'!$M$4="CA",'2025'!$M$2=S347),'2025DATA'!$D$33,"")</f>
        <v/>
      </c>
      <c r="T378" s="518" t="str">
        <f>IF(AND(_A1="A-220-300",'2025'!$M$4="CA",'2025'!$M$2=T347),'2025DATA'!$E$33,"")</f>
        <v/>
      </c>
      <c r="U378" s="518" t="str">
        <f>IF(AND(_A1="A-220-300",'2025'!$M$4="CA",'2025'!$M$2=U347),'2025DATA'!$F$33,"")</f>
        <v/>
      </c>
      <c r="V378" s="518" t="str">
        <f>IF(AND(_A1="A-220-300",'2025'!$M$4="CA",'2025'!$M$2=V347),'2025DATA'!$G$33,"")</f>
        <v/>
      </c>
      <c r="W378" s="518" t="str">
        <f>IF(AND(_A1="A-220-300",'2025'!$M$4="CA",'2025'!$M$2=W347),'2025DATA'!$H$33,"")</f>
        <v/>
      </c>
      <c r="X378" s="518" t="str">
        <f>IF(AND(_A1="A-220-300",'2025'!$M$4="CA",'2025'!$M$2=X347),'2025DATA'!$I$33,"")</f>
        <v/>
      </c>
      <c r="Y378" s="518" t="str">
        <f>IF(AND(_A1="A-220-300",'2025'!$M$4="CA",'2025'!$M$2=Y347),'2025DATA'!$J$33,"")</f>
        <v/>
      </c>
      <c r="Z378" s="518" t="str">
        <f>IF(AND(_A1="A-220-300",'2025'!$M$4="CA",'2025'!$M$2=Z347),'2025DATA'!$K$33,"")</f>
        <v/>
      </c>
      <c r="AA378" s="518" t="str">
        <f>IF(AND(_A1="A-220-300",'2025'!$M$4="CA",'2025'!$M$2=AA347),'2025DATA'!$L$33,"")</f>
        <v/>
      </c>
      <c r="AB378" s="518" t="str">
        <f>IF(AND(_A1="A-220-300",'2025'!$M$4="CA",'2025'!$M$2=AB347),'2025DATA'!$M$33,"")</f>
        <v/>
      </c>
      <c r="AC378" s="520" t="str">
        <f>IF(AND(_A1="A-220-300",'2025'!$M$4="CA",'2025'!$M$2=AC347),'2025DATA'!$N$33,"")</f>
        <v/>
      </c>
      <c r="AD378" s="940" t="s">
        <v>51</v>
      </c>
      <c r="AE378" s="13" t="s">
        <v>61</v>
      </c>
      <c r="AF378" s="518" t="str">
        <f>IF(AND(_A2="A-220-300",'2025'!$M$4="CA",'2025'!$M$2=AF347),'2025DATA'!$C$33,"")</f>
        <v/>
      </c>
      <c r="AG378" s="518" t="str">
        <f>IF(AND(_A2="A-220-300",'2025'!$M$4="CA",'2025'!$M$2=AG347),'2025DATA'!$D$33,"")</f>
        <v/>
      </c>
      <c r="AH378" s="518" t="str">
        <f>IF(AND(_A2="A-220-300",'2025'!$M$4="CA",'2025'!$M$2=AH347),'2025DATA'!$E$33,"")</f>
        <v/>
      </c>
      <c r="AI378" s="518" t="str">
        <f>IF(AND(_A2="A-220-300",'2025'!$M$4="CA",'2025'!$M$2=AI347),'2025DATA'!$F$33,"")</f>
        <v/>
      </c>
      <c r="AJ378" s="518" t="str">
        <f>IF(AND(_A2="A-220-300",'2025'!$M$4="CA",'2025'!$M$2=AJ347),'2025DATA'!$G$33,"")</f>
        <v/>
      </c>
      <c r="AK378" s="518" t="str">
        <f>IF(AND(_A2="A-220-300",'2025'!$M$4="CA",'2025'!$M$2=AK347),'2025DATA'!$H$33,"")</f>
        <v/>
      </c>
      <c r="AL378" s="518" t="str">
        <f>IF(AND(_A2="A-220-300",'2025'!$M$4="CA",'2025'!$M$2=AL347),'2025DATA'!$I$33,"")</f>
        <v/>
      </c>
      <c r="AM378" s="518" t="str">
        <f>IF(AND(_A2="A-220-300",'2025'!$M$4="CA",'2025'!$M$2=AM347),'2025DATA'!$J$33,"")</f>
        <v/>
      </c>
      <c r="AN378" s="518" t="str">
        <f>IF(AND(_A2="A-220-300",'2025'!$M$4="CA",'2025'!$M$2=AN347),'2025DATA'!$K$33,"")</f>
        <v/>
      </c>
      <c r="AO378" s="518" t="str">
        <f>IF(AND(_A2="A-220-300",'2025'!$M$4="CA",'2025'!$M$2=AO347),'2025DATA'!$L$33,"")</f>
        <v/>
      </c>
      <c r="AP378" s="518" t="str">
        <f>IF(AND(_A2="A-220-300",'2025'!$M$4="CA",'2025'!$M$2=AP347),'2025DATA'!$M$33,"")</f>
        <v/>
      </c>
      <c r="AQ378" s="520" t="str">
        <f>IF(AND(_A2="A-220-300",'2025'!$M$4="CA",'2025'!$M$2=AQ347),'2025DATA'!$N$33,"")</f>
        <v/>
      </c>
      <c r="AR378" s="940" t="s">
        <v>51</v>
      </c>
      <c r="AS378" s="13" t="s">
        <v>61</v>
      </c>
      <c r="AT378" s="518" t="str">
        <f>IF(AND(_A3="A-220-300",'2025'!$M$4="CA",'2025'!$M$2=AT347),'2025DATA'!$C$33,"")</f>
        <v/>
      </c>
      <c r="AU378" s="518" t="str">
        <f>IF(AND(_A3="A-220-300",'2025'!$M$4="CA",'2025'!$M$2=AU347),'2025DATA'!$D$33,"")</f>
        <v/>
      </c>
      <c r="AV378" s="518" t="str">
        <f>IF(AND(_A3="A-220-300",'2025'!$M$4="CA",'2025'!$M$2=AV347),'2025DATA'!$E$33,"")</f>
        <v/>
      </c>
      <c r="AW378" s="518" t="str">
        <f>IF(AND(_A3="A-220-300",'2025'!$M$4="CA",'2025'!$M$2=AW347),'2025DATA'!$F$33,"")</f>
        <v/>
      </c>
      <c r="AX378" s="518" t="str">
        <f>IF(AND(_A3="A-220-300",'2025'!$M$4="CA",'2025'!$M$2=AX347),'2025DATA'!$G$33,"")</f>
        <v/>
      </c>
      <c r="AY378" s="518" t="str">
        <f>IF(AND(_A3="A-220-300",'2025'!$M$4="CA",'2025'!$M$2=AY347),'2025DATA'!$H$33,"")</f>
        <v/>
      </c>
      <c r="AZ378" s="518" t="str">
        <f>IF(AND(_A3="A-220-300",'2025'!$M$4="CA",'2025'!$M$2=AZ347),'2025DATA'!$I$33,"")</f>
        <v/>
      </c>
      <c r="BA378" s="518" t="str">
        <f>IF(AND(_A3="A-220-300",'2025'!$M$4="CA",'2025'!$M$2=BA347),'2025DATA'!$J$33,"")</f>
        <v/>
      </c>
      <c r="BB378" s="518" t="str">
        <f>IF(AND(_A3="A-220-300",'2025'!$M$4="CA",'2025'!$M$2=BB347),'2025DATA'!$K$33,"")</f>
        <v/>
      </c>
      <c r="BC378" s="518" t="str">
        <f>IF(AND(_A3="A-220-300",'2025'!$M$4="CA",'2025'!$M$2=BC347),'2025DATA'!$L$33,"")</f>
        <v/>
      </c>
      <c r="BD378" s="518" t="str">
        <f>IF(AND(_A3="A-220-300",'2025'!$M$4="CA",'2025'!$M$2=BD347),'2025DATA'!$M$33,"")</f>
        <v/>
      </c>
      <c r="BE378" s="520" t="str">
        <f>IF(AND(_A3="A-220-300",'2025'!$M$4="CA",'2025'!$M$2=BE347),'2025DATA'!$N$33,"")</f>
        <v/>
      </c>
      <c r="BF378" s="940" t="s">
        <v>51</v>
      </c>
      <c r="BG378" s="13" t="s">
        <v>61</v>
      </c>
      <c r="BH378" s="518" t="str">
        <f>IF(AND(_A4="A-220-300",'2025'!$M$4="CA",'2025'!$M$2=BH347),'2025DATA'!$C$33,"")</f>
        <v/>
      </c>
      <c r="BI378" s="518" t="str">
        <f>IF(AND(_A4="A-220-300",'2025'!$M$4="CA",'2025'!$M$2=BI347),'2025DATA'!$D$33,"")</f>
        <v/>
      </c>
      <c r="BJ378" s="518" t="str">
        <f>IF(AND(_A4="A-220-300",'2025'!$M$4="CA",'2025'!$M$2=BJ347),'2025DATA'!$E$33,"")</f>
        <v/>
      </c>
      <c r="BK378" s="518" t="str">
        <f>IF(AND(_A4="A-220-300",'2025'!$M$4="CA",'2025'!$M$2=BK347),'2025DATA'!$F$33,"")</f>
        <v/>
      </c>
      <c r="BL378" s="518" t="str">
        <f>IF(AND(_A4="A-220-300",'2025'!$M$4="CA",'2025'!$M$2=BL347),'2025DATA'!$G$33,"")</f>
        <v/>
      </c>
      <c r="BM378" s="518" t="str">
        <f>IF(AND(_A4="A-220-300",'2025'!$M$4="CA",'2025'!$M$2=BM347),'2025DATA'!$H$33,"")</f>
        <v/>
      </c>
      <c r="BN378" s="518" t="str">
        <f>IF(AND(_A4="A-220-300",'2025'!$M$4="CA",'2025'!$M$2=BN347),'2025DATA'!$I$33,"")</f>
        <v/>
      </c>
      <c r="BO378" s="518" t="str">
        <f>IF(AND(_A4="A-220-300",'2025'!$M$4="CA",'2025'!$M$2=BO347),'2025DATA'!$J$33,"")</f>
        <v/>
      </c>
      <c r="BP378" s="518" t="str">
        <f>IF(AND(_A4="A-220-300",'2025'!$M$4="CA",'2025'!$M$2=BP347),'2025DATA'!$K$33,"")</f>
        <v/>
      </c>
      <c r="BQ378" s="518" t="str">
        <f>IF(AND(_A4="A-220-300",'2025'!$M$4="CA",'2025'!$M$2=BQ347),'2025DATA'!$L$33,"")</f>
        <v/>
      </c>
      <c r="BR378" s="518" t="str">
        <f>IF(AND(_A4="A-220-300",'2025'!$M$4="CA",'2025'!$M$2=BR347),'2025DATA'!$M$33,"")</f>
        <v/>
      </c>
      <c r="BS378" s="520" t="str">
        <f>IF(AND(_A4="A-220-300",'2025'!$M$4="CA",'2025'!$M$2=BS347),'2025DATA'!$N$33,"")</f>
        <v/>
      </c>
      <c r="BT378" s="940" t="s">
        <v>51</v>
      </c>
      <c r="BU378" s="13" t="s">
        <v>61</v>
      </c>
      <c r="BV378" s="518" t="str">
        <f>IF(AND(_A5="A-220-300",'2025'!$M$4="CA",'2025'!$M$2=BV347),'2025DATA'!$C$33,"")</f>
        <v/>
      </c>
      <c r="BW378" s="518" t="str">
        <f>IF(AND(_A5="A-220-300",'2025'!$M$4="CA",'2025'!$M$2=BW347),'2025DATA'!$D$33,"")</f>
        <v/>
      </c>
      <c r="BX378" s="518" t="str">
        <f>IF(AND(_A5="A-220-300",'2025'!$M$4="CA",'2025'!$M$2=BX347),'2025DATA'!$E$33,"")</f>
        <v/>
      </c>
      <c r="BY378" s="518" t="str">
        <f>IF(AND(_A5="A-220-300",'2025'!$M$4="CA",'2025'!$M$2=BY347),'2025DATA'!$F$33,"")</f>
        <v/>
      </c>
      <c r="BZ378" s="518" t="str">
        <f>IF(AND(_A5="A-220-300",'2025'!$M$4="CA",'2025'!$M$2=BZ347),'2025DATA'!$G$33,"")</f>
        <v/>
      </c>
      <c r="CA378" s="518" t="str">
        <f>IF(AND(_A5="A-220-300",'2025'!$M$4="CA",'2025'!$M$2=CA347),'2025DATA'!$H$33,"")</f>
        <v/>
      </c>
      <c r="CB378" s="518" t="str">
        <f>IF(AND(_A5="A-220-300",'2025'!$M$4="CA",'2025'!$M$2=CB347),'2025DATA'!$I$33,"")</f>
        <v/>
      </c>
      <c r="CC378" s="518" t="str">
        <f>IF(AND(_A5="A-220-300",'2025'!$M$4="CA",'2025'!$M$2=CC347),'2025DATA'!$J$33,"")</f>
        <v/>
      </c>
      <c r="CD378" s="518" t="str">
        <f>IF(AND(_A5="A-220-300",'2025'!$M$4="CA",'2025'!$M$2=CD347),'2025DATA'!$K$33,"")</f>
        <v/>
      </c>
      <c r="CE378" s="518" t="str">
        <f>IF(AND(_A5="A-220-300",'2025'!$M$4="CA",'2025'!$M$2=CE347),'2025DATA'!$L$33,"")</f>
        <v/>
      </c>
      <c r="CF378" s="518" t="str">
        <f>IF(AND(_A5="A-220-300",'2025'!$M$4="CA",'2025'!$M$2=CF347),'2025DATA'!$M$33,"")</f>
        <v/>
      </c>
      <c r="CG378" s="520" t="str">
        <f>IF(AND(_A5="A-220-300",'2025'!$M$4="CA",'2025'!$M$2=CG347),'2025DATA'!$N$33,"")</f>
        <v/>
      </c>
      <c r="CH378" s="940" t="s">
        <v>51</v>
      </c>
      <c r="CI378" s="13" t="s">
        <v>61</v>
      </c>
      <c r="CJ378" s="518" t="str">
        <f>IF(AND(_A6="A-220-300",'2025'!$M$4="CA",'2025'!$M$2=CJ347),'2025DATA'!$C$33,"")</f>
        <v/>
      </c>
      <c r="CK378" s="518" t="str">
        <f>IF(AND(_A6="A-220-300",'2025'!$M$4="CA",'2025'!$M$2=CK347),'2025DATA'!$D$33,"")</f>
        <v/>
      </c>
      <c r="CL378" s="518" t="str">
        <f>IF(AND(_A6="A-220-300",'2025'!$M$4="CA",'2025'!$M$2=CL347),'2025DATA'!$E$33,"")</f>
        <v/>
      </c>
      <c r="CM378" s="518" t="str">
        <f>IF(AND(_A6="A-220-300",'2025'!$M$4="CA",'2025'!$M$2=CM347),'2025DATA'!$F$33,"")</f>
        <v/>
      </c>
      <c r="CN378" s="518" t="str">
        <f>IF(AND(_A6="A-220-300",'2025'!$M$4="CA",'2025'!$M$2=CN347),'2025DATA'!$G$33,"")</f>
        <v/>
      </c>
      <c r="CO378" s="518" t="str">
        <f>IF(AND(_A6="A-220-300",'2025'!$M$4="CA",'2025'!$M$2=CO347),'2025DATA'!$H$33,"")</f>
        <v/>
      </c>
      <c r="CP378" s="518" t="str">
        <f>IF(AND(_A6="A-220-300",'2025'!$M$4="CA",'2025'!$M$2=CP347),'2025DATA'!$I$33,"")</f>
        <v/>
      </c>
      <c r="CQ378" s="518" t="str">
        <f>IF(AND(_A6="A-220-300",'2025'!$M$4="CA",'2025'!$M$2=CQ347),'2025DATA'!$J$33,"")</f>
        <v/>
      </c>
      <c r="CR378" s="518" t="str">
        <f>IF(AND(_A6="A-220-300",'2025'!$M$4="CA",'2025'!$M$2=CR347),'2025DATA'!$K$33,"")</f>
        <v/>
      </c>
      <c r="CS378" s="518" t="str">
        <f>IF(AND(_A6="A-220-300",'2025'!$M$4="CA",'2025'!$M$2=CS347),'2025DATA'!$L$33,"")</f>
        <v/>
      </c>
      <c r="CT378" s="518" t="str">
        <f>IF(AND(_A6="A-220-300",'2025'!$M$4="CA",'2025'!$M$2=CT347),'2025DATA'!$M$33,"")</f>
        <v/>
      </c>
      <c r="CU378" s="520" t="str">
        <f>IF(AND(_A6="A-220-300",'2025'!$M$4="CA",'2025'!$M$2=CU347),'2025DATA'!$N$33,"")</f>
        <v/>
      </c>
    </row>
    <row r="379" spans="16:99" x14ac:dyDescent="0.25">
      <c r="P379" s="940"/>
      <c r="Q379" s="13" t="s">
        <v>62</v>
      </c>
      <c r="R379" s="518" t="str">
        <f>IF(AND(_A1="A-220-300",'2025'!$M$4="FO",'2025'!$M$2=R347),'2025DATA'!$C$34,"")</f>
        <v/>
      </c>
      <c r="S379" s="518" t="str">
        <f>IF(AND(_A1="A-220-300",'2025'!$M$4="FO",'2025'!$M$2=S347),'2025DATA'!$D$34,"")</f>
        <v/>
      </c>
      <c r="T379" s="518" t="str">
        <f>IF(AND(_A1="A-220-300",'2025'!$M$4="FO",'2025'!$M$2=T347),'2025DATA'!$E$34,"")</f>
        <v/>
      </c>
      <c r="U379" s="518" t="str">
        <f>IF(AND(_A1="A-220-300",'2025'!$M$4="FO",'2025'!$M$2=U347),'2025DATA'!$F$34,"")</f>
        <v/>
      </c>
      <c r="V379" s="518" t="str">
        <f>IF(AND(_A1="A-220-300",'2025'!$M$4="FO",'2025'!$M$2=V347),'2025DATA'!$G$34,"")</f>
        <v/>
      </c>
      <c r="W379" s="518" t="str">
        <f>IF(AND(_A1="A-220-300",'2025'!$M$4="FO",'2025'!$M$2=W347),'2025DATA'!$H$34,"")</f>
        <v/>
      </c>
      <c r="X379" s="518" t="str">
        <f>IF(AND(_A1="A-220-300",'2025'!$M$4="FO",'2025'!$M$2=X347),'2025DATA'!$I$34,"")</f>
        <v/>
      </c>
      <c r="Y379" s="518" t="str">
        <f>IF(AND(_A1="A-220-300",'2025'!$M$4="FO",'2025'!$M$2=Y347),'2025DATA'!$J$34,"")</f>
        <v/>
      </c>
      <c r="Z379" s="518" t="str">
        <f>IF(AND(_A1="A-220-300",'2025'!$M$4="FO",'2025'!$M$2=Z347),'2025DATA'!$K$34,"")</f>
        <v/>
      </c>
      <c r="AA379" s="518" t="str">
        <f>IF(AND(_A1="A-220-300",'2025'!$M$4="FO",'2025'!$M$2=AA347),'2025DATA'!$L$34,"")</f>
        <v/>
      </c>
      <c r="AB379" s="518" t="str">
        <f>IF(AND(_A1="A-220-300",'2025'!$M$4="FO",'2025'!$M$2=AB347),'2025DATA'!$M$34,"")</f>
        <v/>
      </c>
      <c r="AC379" s="520" t="str">
        <f>IF(AND(_A1="A-220-300",'2025'!$M$4="FO",'2025'!$M$2=AC347),'2025DATA'!$N$34,"")</f>
        <v/>
      </c>
      <c r="AD379" s="940"/>
      <c r="AE379" s="13" t="s">
        <v>62</v>
      </c>
      <c r="AF379" s="518" t="str">
        <f>IF(AND(_A2="A-220-300",'2025'!$M$4="FO",'2025'!$M$2=AF347),'2025DATA'!$C$34,"")</f>
        <v/>
      </c>
      <c r="AG379" s="518" t="str">
        <f>IF(AND(_A2="A-220-300",'2025'!$M$4="FO",'2025'!$M$2=AG347),'2025DATA'!$D$34,"")</f>
        <v/>
      </c>
      <c r="AH379" s="518" t="str">
        <f>IF(AND(_A2="A-220-300",'2025'!$M$4="FO",'2025'!$M$2=AH347),'2025DATA'!$E$34,"")</f>
        <v/>
      </c>
      <c r="AI379" s="518" t="str">
        <f>IF(AND(_A2="A-220-300",'2025'!$M$4="FO",'2025'!$M$2=AI347),'2025DATA'!$F$34,"")</f>
        <v/>
      </c>
      <c r="AJ379" s="518" t="str">
        <f>IF(AND(_A2="A-220-300",'2025'!$M$4="FO",'2025'!$M$2=AJ347),'2025DATA'!$G$34,"")</f>
        <v/>
      </c>
      <c r="AK379" s="518" t="str">
        <f>IF(AND(_A2="A-220-300",'2025'!$M$4="FO",'2025'!$M$2=AK347),'2025DATA'!$H$34,"")</f>
        <v/>
      </c>
      <c r="AL379" s="518" t="str">
        <f>IF(AND(_A2="A-220-300",'2025'!$M$4="FO",'2025'!$M$2=AL347),'2025DATA'!$I$34,"")</f>
        <v/>
      </c>
      <c r="AM379" s="518" t="str">
        <f>IF(AND(_A2="A-220-300",'2025'!$M$4="FO",'2025'!$M$2=AM347),'2025DATA'!$J$34,"")</f>
        <v/>
      </c>
      <c r="AN379" s="518" t="str">
        <f>IF(AND(_A2="A-220-300",'2025'!$M$4="FO",'2025'!$M$2=AN347),'2025DATA'!$K$34,"")</f>
        <v/>
      </c>
      <c r="AO379" s="518" t="str">
        <f>IF(AND(_A2="A-220-300",'2025'!$M$4="FO",'2025'!$M$2=AO347),'2025DATA'!$L$34,"")</f>
        <v/>
      </c>
      <c r="AP379" s="518" t="str">
        <f>IF(AND(_A2="A-220-300",'2025'!$M$4="FO",'2025'!$M$2=AP347),'2025DATA'!$M$34,"")</f>
        <v/>
      </c>
      <c r="AQ379" s="520" t="str">
        <f>IF(AND(_A2="A-220-300",'2025'!$M$4="FO",'2025'!$M$2=AQ347),'2025DATA'!$N$34,"")</f>
        <v/>
      </c>
      <c r="AR379" s="940"/>
      <c r="AS379" s="13" t="s">
        <v>62</v>
      </c>
      <c r="AT379" s="518" t="str">
        <f>IF(AND(_A3="A-220-300",'2025'!$M$4="FO",'2025'!$M$2=AT347),'2025DATA'!$C$34,"")</f>
        <v/>
      </c>
      <c r="AU379" s="518" t="str">
        <f>IF(AND(_A3="A-220-300",'2025'!$M$4="FO",'2025'!$M$2=AU347),'2025DATA'!$D$34,"")</f>
        <v/>
      </c>
      <c r="AV379" s="518" t="str">
        <f>IF(AND(_A3="A-220-300",'2025'!$M$4="FO",'2025'!$M$2=AV347),'2025DATA'!$E$34,"")</f>
        <v/>
      </c>
      <c r="AW379" s="518" t="str">
        <f>IF(AND(_A3="A-220-300",'2025'!$M$4="FO",'2025'!$M$2=AW347),'2025DATA'!$F$34,"")</f>
        <v/>
      </c>
      <c r="AX379" s="518" t="str">
        <f>IF(AND(_A3="A-220-300",'2025'!$M$4="FO",'2025'!$M$2=AX347),'2025DATA'!$G$34,"")</f>
        <v/>
      </c>
      <c r="AY379" s="518" t="str">
        <f>IF(AND(_A3="A-220-300",'2025'!$M$4="FO",'2025'!$M$2=AY347),'2025DATA'!$H$34,"")</f>
        <v/>
      </c>
      <c r="AZ379" s="518" t="str">
        <f>IF(AND(_A3="A-220-300",'2025'!$M$4="FO",'2025'!$M$2=AZ347),'2025DATA'!$I$34,"")</f>
        <v/>
      </c>
      <c r="BA379" s="518" t="str">
        <f>IF(AND(_A3="A-220-300",'2025'!$M$4="FO",'2025'!$M$2=BA347),'2025DATA'!$J$34,"")</f>
        <v/>
      </c>
      <c r="BB379" s="518" t="str">
        <f>IF(AND(_A3="A-220-300",'2025'!$M$4="FO",'2025'!$M$2=BB347),'2025DATA'!$K$34,"")</f>
        <v/>
      </c>
      <c r="BC379" s="518" t="str">
        <f>IF(AND(_A3="A-220-300",'2025'!$M$4="FO",'2025'!$M$2=BC347),'2025DATA'!$L$34,"")</f>
        <v/>
      </c>
      <c r="BD379" s="518" t="str">
        <f>IF(AND(_A3="A-220-300",'2025'!$M$4="FO",'2025'!$M$2=BD347),'2025DATA'!$M$34,"")</f>
        <v/>
      </c>
      <c r="BE379" s="520" t="str">
        <f>IF(AND(_A3="A-220-300",'2025'!$M$4="FO",'2025'!$M$2=BE347),'2025DATA'!$N$34,"")</f>
        <v/>
      </c>
      <c r="BF379" s="940"/>
      <c r="BG379" s="13" t="s">
        <v>62</v>
      </c>
      <c r="BH379" s="518" t="str">
        <f>IF(AND(_A4="A-220-300",'2025'!$M$4="FO",'2025'!$M$2=BH347),'2025DATA'!$C$34,"")</f>
        <v/>
      </c>
      <c r="BI379" s="518" t="str">
        <f>IF(AND(_A4="A-220-300",'2025'!$M$4="FO",'2025'!$M$2=BI347),'2025DATA'!$D$34,"")</f>
        <v/>
      </c>
      <c r="BJ379" s="518" t="str">
        <f>IF(AND(_A4="A-220-300",'2025'!$M$4="FO",'2025'!$M$2=BJ347),'2025DATA'!$E$34,"")</f>
        <v/>
      </c>
      <c r="BK379" s="518" t="str">
        <f>IF(AND(_A4="A-220-300",'2025'!$M$4="FO",'2025'!$M$2=BK347),'2025DATA'!$F$34,"")</f>
        <v/>
      </c>
      <c r="BL379" s="518" t="str">
        <f>IF(AND(_A4="A-220-300",'2025'!$M$4="FO",'2025'!$M$2=BL347),'2025DATA'!$G$34,"")</f>
        <v/>
      </c>
      <c r="BM379" s="518" t="str">
        <f>IF(AND(_A4="A-220-300",'2025'!$M$4="FO",'2025'!$M$2=BM347),'2025DATA'!$H$34,"")</f>
        <v/>
      </c>
      <c r="BN379" s="518" t="str">
        <f>IF(AND(_A4="A-220-300",'2025'!$M$4="FO",'2025'!$M$2=BN347),'2025DATA'!$I$34,"")</f>
        <v/>
      </c>
      <c r="BO379" s="518" t="str">
        <f>IF(AND(_A4="A-220-300",'2025'!$M$4="FO",'2025'!$M$2=BO347),'2025DATA'!$J$34,"")</f>
        <v/>
      </c>
      <c r="BP379" s="518" t="str">
        <f>IF(AND(_A4="A-220-300",'2025'!$M$4="FO",'2025'!$M$2=BP347),'2025DATA'!$K$34,"")</f>
        <v/>
      </c>
      <c r="BQ379" s="518" t="str">
        <f>IF(AND(_A4="A-220-300",'2025'!$M$4="FO",'2025'!$M$2=BQ347),'2025DATA'!$L$34,"")</f>
        <v/>
      </c>
      <c r="BR379" s="518" t="str">
        <f>IF(AND(_A4="A-220-300",'2025'!$M$4="FO",'2025'!$M$2=BR347),'2025DATA'!$M$34,"")</f>
        <v/>
      </c>
      <c r="BS379" s="520" t="str">
        <f>IF(AND(_A4="A-220-300",'2025'!$M$4="FO",'2025'!$M$2=BS347),'2025DATA'!$N$34,"")</f>
        <v/>
      </c>
      <c r="BT379" s="940"/>
      <c r="BU379" s="13" t="s">
        <v>62</v>
      </c>
      <c r="BV379" s="518" t="str">
        <f>IF(AND(_A5="A-220-300",'2025'!$M$4="FO",'2025'!$M$2=BV347),'2025DATA'!$C$34,"")</f>
        <v/>
      </c>
      <c r="BW379" s="518" t="str">
        <f>IF(AND(_A5="A-220-300",'2025'!$M$4="FO",'2025'!$M$2=BW347),'2025DATA'!$D$34,"")</f>
        <v/>
      </c>
      <c r="BX379" s="518" t="str">
        <f>IF(AND(_A5="A-220-300",'2025'!$M$4="FO",'2025'!$M$2=BX347),'2025DATA'!$E$34,"")</f>
        <v/>
      </c>
      <c r="BY379" s="518" t="str">
        <f>IF(AND(_A5="A-220-300",'2025'!$M$4="FO",'2025'!$M$2=BY347),'2025DATA'!$F$34,"")</f>
        <v/>
      </c>
      <c r="BZ379" s="518" t="str">
        <f>IF(AND(_A5="A-220-300",'2025'!$M$4="FO",'2025'!$M$2=BZ347),'2025DATA'!$G$34,"")</f>
        <v/>
      </c>
      <c r="CA379" s="518" t="str">
        <f>IF(AND(_A5="A-220-300",'2025'!$M$4="FO",'2025'!$M$2=CA347),'2025DATA'!$H$34,"")</f>
        <v/>
      </c>
      <c r="CB379" s="518" t="str">
        <f>IF(AND(_A5="A-220-300",'2025'!$M$4="FO",'2025'!$M$2=CB347),'2025DATA'!$I$34,"")</f>
        <v/>
      </c>
      <c r="CC379" s="518" t="str">
        <f>IF(AND(_A5="A-220-300",'2025'!$M$4="FO",'2025'!$M$2=CC347),'2025DATA'!$J$34,"")</f>
        <v/>
      </c>
      <c r="CD379" s="518" t="str">
        <f>IF(AND(_A5="A-220-300",'2025'!$M$4="FO",'2025'!$M$2=CD347),'2025DATA'!$K$34,"")</f>
        <v/>
      </c>
      <c r="CE379" s="518" t="str">
        <f>IF(AND(_A5="A-220-300",'2025'!$M$4="FO",'2025'!$M$2=CE347),'2025DATA'!$L$34,"")</f>
        <v/>
      </c>
      <c r="CF379" s="518" t="str">
        <f>IF(AND(_A5="A-220-300",'2025'!$M$4="FO",'2025'!$M$2=CF347),'2025DATA'!$M$34,"")</f>
        <v/>
      </c>
      <c r="CG379" s="520" t="str">
        <f>IF(AND(_A5="A-220-300",'2025'!$M$4="FO",'2025'!$M$2=CG347),'2025DATA'!$N$34,"")</f>
        <v/>
      </c>
      <c r="CH379" s="940"/>
      <c r="CI379" s="13" t="s">
        <v>62</v>
      </c>
      <c r="CJ379" s="518" t="str">
        <f>IF(AND(_A6="A-220-300",'2025'!$M$4="FO",'2025'!$M$2=CJ347),'2025DATA'!$C$34,"")</f>
        <v/>
      </c>
      <c r="CK379" s="518" t="str">
        <f>IF(AND(_A6="A-220-300",'2025'!$M$4="FO",'2025'!$M$2=CK347),'2025DATA'!$D$34,"")</f>
        <v/>
      </c>
      <c r="CL379" s="518" t="str">
        <f>IF(AND(_A6="A-220-300",'2025'!$M$4="FO",'2025'!$M$2=CL347),'2025DATA'!$E$34,"")</f>
        <v/>
      </c>
      <c r="CM379" s="518" t="str">
        <f>IF(AND(_A6="A-220-300",'2025'!$M$4="FO",'2025'!$M$2=CM347),'2025DATA'!$F$34,"")</f>
        <v/>
      </c>
      <c r="CN379" s="518" t="str">
        <f>IF(AND(_A6="A-220-300",'2025'!$M$4="FO",'2025'!$M$2=CN347),'2025DATA'!$G$34,"")</f>
        <v/>
      </c>
      <c r="CO379" s="518" t="str">
        <f>IF(AND(_A6="A-220-300",'2025'!$M$4="FO",'2025'!$M$2=CO347),'2025DATA'!$H$34,"")</f>
        <v/>
      </c>
      <c r="CP379" s="518" t="str">
        <f>IF(AND(_A6="A-220-300",'2025'!$M$4="FO",'2025'!$M$2=CP347),'2025DATA'!$I$34,"")</f>
        <v/>
      </c>
      <c r="CQ379" s="518" t="str">
        <f>IF(AND(_A6="A-220-300",'2025'!$M$4="FO",'2025'!$M$2=CQ347),'2025DATA'!$J$34,"")</f>
        <v/>
      </c>
      <c r="CR379" s="518" t="str">
        <f>IF(AND(_A6="A-220-300",'2025'!$M$4="FO",'2025'!$M$2=CR347),'2025DATA'!$K$34,"")</f>
        <v/>
      </c>
      <c r="CS379" s="518" t="str">
        <f>IF(AND(_A6="A-220-300",'2025'!$M$4="FO",'2025'!$M$2=CS347),'2025DATA'!$L$34,"")</f>
        <v/>
      </c>
      <c r="CT379" s="518" t="str">
        <f>IF(AND(_A6="A-220-300",'2025'!$M$4="FO",'2025'!$M$2=CT347),'2025DATA'!$M$34,"")</f>
        <v/>
      </c>
      <c r="CU379" s="520" t="str">
        <f>IF(AND(_A6="A-220-300",'2025'!$M$4="FO",'2025'!$M$2=CU347),'2025DATA'!$N$34,"")</f>
        <v/>
      </c>
    </row>
    <row r="380" spans="16:99" x14ac:dyDescent="0.25">
      <c r="P380" s="940" t="s">
        <v>52</v>
      </c>
      <c r="Q380" s="13" t="s">
        <v>61</v>
      </c>
      <c r="R380" s="518" t="str">
        <f>IF(AND(_A1="A-220-100",'2025'!$M$4="CA",'2025'!$M$2=R347),'2025DATA'!$C$35,"")</f>
        <v/>
      </c>
      <c r="S380" s="518" t="str">
        <f>IF(AND(_A1="A-220-100",'2025'!$M$4="CA",'2025'!$M$2=S347),'2025DATA'!$D$35,"")</f>
        <v/>
      </c>
      <c r="T380" s="518" t="str">
        <f>IF(AND(_A1="A-220-100",'2025'!$M$4="CA",'2025'!$M$2=T347),'2025DATA'!$E$35,"")</f>
        <v/>
      </c>
      <c r="U380" s="518" t="str">
        <f>IF(AND(_A1="A-220-100",'2025'!$M$4="CA",'2025'!$M$2=U347),'2025DATA'!$F$35,"")</f>
        <v/>
      </c>
      <c r="V380" s="518" t="str">
        <f>IF(AND(_A1="A-220-100",'2025'!$M$4="CA",'2025'!$M$2=V347),'2025DATA'!$G$35,"")</f>
        <v/>
      </c>
      <c r="W380" s="518" t="str">
        <f>IF(AND(_A1="A-220-100",'2025'!$M$4="CA",'2025'!$M$2=W347),'2025DATA'!$H$35,"")</f>
        <v/>
      </c>
      <c r="X380" s="518" t="str">
        <f>IF(AND(_A1="A-220-100",'2025'!$M$4="CA",'2025'!$M$2=X347),'2025DATA'!$I$35,"")</f>
        <v/>
      </c>
      <c r="Y380" s="518" t="str">
        <f>IF(AND(_A1="A-220-100",'2025'!$M$4="CA",'2025'!$M$2=Y347),'2025DATA'!$J$35,"")</f>
        <v/>
      </c>
      <c r="Z380" s="518" t="str">
        <f>IF(AND(_A1="A-220-100",'2025'!$M$4="CA",'2025'!$M$2=Z347),'2025DATA'!$K$35,"")</f>
        <v/>
      </c>
      <c r="AA380" s="518" t="str">
        <f>IF(AND(_A1="A-220-100",'2025'!$M$4="CA",'2025'!$M$2=AA347),'2025DATA'!$L$35,"")</f>
        <v/>
      </c>
      <c r="AB380" s="518" t="str">
        <f>IF(AND(_A1="A-220-100",'2025'!$M$4="CA",'2025'!$M$2=AB347),'2025DATA'!$M$35,"")</f>
        <v/>
      </c>
      <c r="AC380" s="520" t="str">
        <f>IF(AND(_A1="A-220-100",'2025'!$M$4="CA",'2025'!$M$2=AC347),'2025DATA'!$N$35,"")</f>
        <v/>
      </c>
      <c r="AD380" s="940" t="s">
        <v>52</v>
      </c>
      <c r="AE380" s="13" t="s">
        <v>61</v>
      </c>
      <c r="AF380" s="518" t="str">
        <f>IF(AND(_A2="A-220-100",'2025'!$M$4="CA",'2025'!$M$2=AF347),'2025DATA'!$C$35,"")</f>
        <v/>
      </c>
      <c r="AG380" s="518" t="str">
        <f>IF(AND(_A2="A-220-100",'2025'!$M$4="CA",'2025'!$M$2=AG347),'2025DATA'!$D$35,"")</f>
        <v/>
      </c>
      <c r="AH380" s="518" t="str">
        <f>IF(AND(_A2="A-220-100",'2025'!$M$4="CA",'2025'!$M$2=AH347),'2025DATA'!$E$35,"")</f>
        <v/>
      </c>
      <c r="AI380" s="518" t="str">
        <f>IF(AND(_A2="A-220-100",'2025'!$M$4="CA",'2025'!$M$2=AI347),'2025DATA'!$F$35,"")</f>
        <v/>
      </c>
      <c r="AJ380" s="518" t="str">
        <f>IF(AND(_A2="A-220-100",'2025'!$M$4="CA",'2025'!$M$2=AJ347),'2025DATA'!$G$35,"")</f>
        <v/>
      </c>
      <c r="AK380" s="518" t="str">
        <f>IF(AND(_A2="A-220-100",'2025'!$M$4="CA",'2025'!$M$2=AK347),'2025DATA'!$H$35,"")</f>
        <v/>
      </c>
      <c r="AL380" s="518" t="str">
        <f>IF(AND(_A2="A-220-100",'2025'!$M$4="CA",'2025'!$M$2=AL347),'2025DATA'!$I$35,"")</f>
        <v/>
      </c>
      <c r="AM380" s="518" t="str">
        <f>IF(AND(_A2="A-220-100",'2025'!$M$4="CA",'2025'!$M$2=AM347),'2025DATA'!$J$35,"")</f>
        <v/>
      </c>
      <c r="AN380" s="518" t="str">
        <f>IF(AND(_A2="A-220-100",'2025'!$M$4="CA",'2025'!$M$2=AN347),'2025DATA'!$K$35,"")</f>
        <v/>
      </c>
      <c r="AO380" s="518" t="str">
        <f>IF(AND(_A2="A-220-100",'2025'!$M$4="CA",'2025'!$M$2=AO347),'2025DATA'!$L$35,"")</f>
        <v/>
      </c>
      <c r="AP380" s="518" t="str">
        <f>IF(AND(_A2="A-220-100",'2025'!$M$4="CA",'2025'!$M$2=AP347),'2025DATA'!$M$35,"")</f>
        <v/>
      </c>
      <c r="AQ380" s="520" t="str">
        <f>IF(AND(_A2="A-220-100",'2025'!$M$4="CA",'2025'!$M$2=AQ347),'2025DATA'!$N$35,"")</f>
        <v/>
      </c>
      <c r="AR380" s="940" t="s">
        <v>52</v>
      </c>
      <c r="AS380" s="13" t="s">
        <v>61</v>
      </c>
      <c r="AT380" s="518" t="str">
        <f>IF(AND(_A3="A-220-100",'2025'!$M$4="CA",'2025'!$M$2=AT347),'2025DATA'!$C$35,"")</f>
        <v/>
      </c>
      <c r="AU380" s="518" t="str">
        <f>IF(AND(_A3="A-220-100",'2025'!$M$4="CA",'2025'!$M$2=AU347),'2025DATA'!$D$35,"")</f>
        <v/>
      </c>
      <c r="AV380" s="518" t="str">
        <f>IF(AND(_A3="A-220-100",'2025'!$M$4="CA",'2025'!$M$2=AV347),'2025DATA'!$E$35,"")</f>
        <v/>
      </c>
      <c r="AW380" s="518" t="str">
        <f>IF(AND(_A3="A-220-100",'2025'!$M$4="CA",'2025'!$M$2=AW347),'2025DATA'!$F$35,"")</f>
        <v/>
      </c>
      <c r="AX380" s="518" t="str">
        <f>IF(AND(_A3="A-220-100",'2025'!$M$4="CA",'2025'!$M$2=AX347),'2025DATA'!$G$35,"")</f>
        <v/>
      </c>
      <c r="AY380" s="518" t="str">
        <f>IF(AND(_A3="A-220-100",'2025'!$M$4="CA",'2025'!$M$2=AY347),'2025DATA'!$H$35,"")</f>
        <v/>
      </c>
      <c r="AZ380" s="518" t="str">
        <f>IF(AND(_A3="A-220-100",'2025'!$M$4="CA",'2025'!$M$2=AZ347),'2025DATA'!$I$35,"")</f>
        <v/>
      </c>
      <c r="BA380" s="518" t="str">
        <f>IF(AND(_A3="A-220-100",'2025'!$M$4="CA",'2025'!$M$2=BA347),'2025DATA'!$J$35,"")</f>
        <v/>
      </c>
      <c r="BB380" s="518" t="str">
        <f>IF(AND(_A3="A-220-100",'2025'!$M$4="CA",'2025'!$M$2=BB347),'2025DATA'!$K$35,"")</f>
        <v/>
      </c>
      <c r="BC380" s="518" t="str">
        <f>IF(AND(_A3="A-220-100",'2025'!$M$4="CA",'2025'!$M$2=BC347),'2025DATA'!$L$35,"")</f>
        <v/>
      </c>
      <c r="BD380" s="518" t="str">
        <f>IF(AND(_A3="A-220-100",'2025'!$M$4="CA",'2025'!$M$2=BD347),'2025DATA'!$M$35,"")</f>
        <v/>
      </c>
      <c r="BE380" s="520" t="str">
        <f>IF(AND(_A3="A-220-100",'2025'!$M$4="CA",'2025'!$M$2=BE347),'2025DATA'!$N$35,"")</f>
        <v/>
      </c>
      <c r="BF380" s="940" t="s">
        <v>52</v>
      </c>
      <c r="BG380" s="13" t="s">
        <v>61</v>
      </c>
      <c r="BH380" s="518" t="str">
        <f>IF(AND(_A4="A-220-100",'2025'!$M$4="CA",'2025'!$M$2=BH347),'2025DATA'!$C$35,"")</f>
        <v/>
      </c>
      <c r="BI380" s="518" t="str">
        <f>IF(AND(_A4="A-220-100",'2025'!$M$4="CA",'2025'!$M$2=BI347),'2025DATA'!$D$35,"")</f>
        <v/>
      </c>
      <c r="BJ380" s="518" t="str">
        <f>IF(AND(_A4="A-220-100",'2025'!$M$4="CA",'2025'!$M$2=BJ347),'2025DATA'!$E$35,"")</f>
        <v/>
      </c>
      <c r="BK380" s="518" t="str">
        <f>IF(AND(_A4="A-220-100",'2025'!$M$4="CA",'2025'!$M$2=BK347),'2025DATA'!$F$35,"")</f>
        <v/>
      </c>
      <c r="BL380" s="518" t="str">
        <f>IF(AND(_A4="A-220-100",'2025'!$M$4="CA",'2025'!$M$2=BL347),'2025DATA'!$G$35,"")</f>
        <v/>
      </c>
      <c r="BM380" s="518" t="str">
        <f>IF(AND(_A4="A-220-100",'2025'!$M$4="CA",'2025'!$M$2=BM347),'2025DATA'!$H$35,"")</f>
        <v/>
      </c>
      <c r="BN380" s="518" t="str">
        <f>IF(AND(_A4="A-220-100",'2025'!$M$4="CA",'2025'!$M$2=BN347),'2025DATA'!$I$35,"")</f>
        <v/>
      </c>
      <c r="BO380" s="518" t="str">
        <f>IF(AND(_A4="A-220-100",'2025'!$M$4="CA",'2025'!$M$2=BO347),'2025DATA'!$J$35,"")</f>
        <v/>
      </c>
      <c r="BP380" s="518" t="str">
        <f>IF(AND(_A4="A-220-100",'2025'!$M$4="CA",'2025'!$M$2=BP347),'2025DATA'!$K$35,"")</f>
        <v/>
      </c>
      <c r="BQ380" s="518" t="str">
        <f>IF(AND(_A4="A-220-100",'2025'!$M$4="CA",'2025'!$M$2=BQ347),'2025DATA'!$L$35,"")</f>
        <v/>
      </c>
      <c r="BR380" s="518" t="str">
        <f>IF(AND(_A4="A-220-100",'2025'!$M$4="CA",'2025'!$M$2=BR347),'2025DATA'!$M$35,"")</f>
        <v/>
      </c>
      <c r="BS380" s="520" t="str">
        <f>IF(AND(_A4="A-220-100",'2025'!$M$4="CA",'2025'!$M$2=BS347),'2025DATA'!$N$35,"")</f>
        <v/>
      </c>
      <c r="BT380" s="940" t="s">
        <v>52</v>
      </c>
      <c r="BU380" s="13" t="s">
        <v>61</v>
      </c>
      <c r="BV380" s="518" t="str">
        <f>IF(AND(_A5="A-220-100",'2025'!$M$4="CA",'2025'!$M$2=BV347),'2025DATA'!$C$35,"")</f>
        <v/>
      </c>
      <c r="BW380" s="518" t="str">
        <f>IF(AND(_A5="A-220-100",'2025'!$M$4="CA",'2025'!$M$2=BW347),'2025DATA'!$D$35,"")</f>
        <v/>
      </c>
      <c r="BX380" s="518" t="str">
        <f>IF(AND(_A5="A-220-100",'2025'!$M$4="CA",'2025'!$M$2=BX347),'2025DATA'!$E$35,"")</f>
        <v/>
      </c>
      <c r="BY380" s="518" t="str">
        <f>IF(AND(_A5="A-220-100",'2025'!$M$4="CA",'2025'!$M$2=BY347),'2025DATA'!$F$35,"")</f>
        <v/>
      </c>
      <c r="BZ380" s="518" t="str">
        <f>IF(AND(_A5="A-220-100",'2025'!$M$4="CA",'2025'!$M$2=BZ347),'2025DATA'!$G$35,"")</f>
        <v/>
      </c>
      <c r="CA380" s="518" t="str">
        <f>IF(AND(_A5="A-220-100",'2025'!$M$4="CA",'2025'!$M$2=CA347),'2025DATA'!$H$35,"")</f>
        <v/>
      </c>
      <c r="CB380" s="518" t="str">
        <f>IF(AND(_A5="A-220-100",'2025'!$M$4="CA",'2025'!$M$2=CB347),'2025DATA'!$I$35,"")</f>
        <v/>
      </c>
      <c r="CC380" s="518" t="str">
        <f>IF(AND(_A5="A-220-100",'2025'!$M$4="CA",'2025'!$M$2=CC347),'2025DATA'!$J$35,"")</f>
        <v/>
      </c>
      <c r="CD380" s="518" t="str">
        <f>IF(AND(_A5="A-220-100",'2025'!$M$4="CA",'2025'!$M$2=CD347),'2025DATA'!$K$35,"")</f>
        <v/>
      </c>
      <c r="CE380" s="518" t="str">
        <f>IF(AND(_A5="A-220-100",'2025'!$M$4="CA",'2025'!$M$2=CE347),'2025DATA'!$L$35,"")</f>
        <v/>
      </c>
      <c r="CF380" s="518" t="str">
        <f>IF(AND(_A5="A-220-100",'2025'!$M$4="CA",'2025'!$M$2=CF347),'2025DATA'!$M$35,"")</f>
        <v/>
      </c>
      <c r="CG380" s="520" t="str">
        <f>IF(AND(_A5="A-220-100",'2025'!$M$4="CA",'2025'!$M$2=CG347),'2025DATA'!$N$35,"")</f>
        <v/>
      </c>
      <c r="CH380" s="940" t="s">
        <v>52</v>
      </c>
      <c r="CI380" s="13" t="s">
        <v>61</v>
      </c>
      <c r="CJ380" s="518" t="str">
        <f>IF(AND(_A6="A-220-100",'2025'!$M$4="CA",'2025'!$M$2=CJ347),'2025DATA'!$C$35,"")</f>
        <v/>
      </c>
      <c r="CK380" s="518" t="str">
        <f>IF(AND(_A6="A-220-100",'2025'!$M$4="CA",'2025'!$M$2=CK347),'2025DATA'!$D$35,"")</f>
        <v/>
      </c>
      <c r="CL380" s="518" t="str">
        <f>IF(AND(_A6="A-220-100",'2025'!$M$4="CA",'2025'!$M$2=CL347),'2025DATA'!$E$35,"")</f>
        <v/>
      </c>
      <c r="CM380" s="518" t="str">
        <f>IF(AND(_A6="A-220-100",'2025'!$M$4="CA",'2025'!$M$2=CM347),'2025DATA'!$F$35,"")</f>
        <v/>
      </c>
      <c r="CN380" s="518" t="str">
        <f>IF(AND(_A6="A-220-100",'2025'!$M$4="CA",'2025'!$M$2=CN347),'2025DATA'!$G$35,"")</f>
        <v/>
      </c>
      <c r="CO380" s="518" t="str">
        <f>IF(AND(_A6="A-220-100",'2025'!$M$4="CA",'2025'!$M$2=CO347),'2025DATA'!$H$35,"")</f>
        <v/>
      </c>
      <c r="CP380" s="518" t="str">
        <f>IF(AND(_A6="A-220-100",'2025'!$M$4="CA",'2025'!$M$2=CP347),'2025DATA'!$I$35,"")</f>
        <v/>
      </c>
      <c r="CQ380" s="518" t="str">
        <f>IF(AND(_A6="A-220-100",'2025'!$M$4="CA",'2025'!$M$2=CQ347),'2025DATA'!$J$35,"")</f>
        <v/>
      </c>
      <c r="CR380" s="518" t="str">
        <f>IF(AND(_A6="A-220-100",'2025'!$M$4="CA",'2025'!$M$2=CR347),'2025DATA'!$K$35,"")</f>
        <v/>
      </c>
      <c r="CS380" s="518" t="str">
        <f>IF(AND(_A6="A-220-100",'2025'!$M$4="CA",'2025'!$M$2=CS347),'2025DATA'!$L$35,"")</f>
        <v/>
      </c>
      <c r="CT380" s="518" t="str">
        <f>IF(AND(_A6="A-220-100",'2025'!$M$4="CA",'2025'!$M$2=CT347),'2025DATA'!$M$35,"")</f>
        <v/>
      </c>
      <c r="CU380" s="520" t="str">
        <f>IF(AND(_A6="A-220-100",'2025'!$M$4="CA",'2025'!$M$2=CU347),'2025DATA'!$N$35,"")</f>
        <v/>
      </c>
    </row>
    <row r="381" spans="16:99" x14ac:dyDescent="0.25">
      <c r="P381" s="940"/>
      <c r="Q381" s="13" t="s">
        <v>62</v>
      </c>
      <c r="R381" s="518" t="str">
        <f>IF(AND(_A1="A-220-100",'2025'!$M$4="FO",'2025'!$M$2=R347),'2025DATA'!$C$36,"")</f>
        <v/>
      </c>
      <c r="S381" s="518" t="str">
        <f>IF(AND(_A1="A-220-100",'2025'!$M$4="FO",'2025'!$M$2=S347),'2025DATA'!$D$36,"")</f>
        <v/>
      </c>
      <c r="T381" s="518" t="str">
        <f>IF(AND(_A1="A-220-100",'2025'!$M$4="FO",'2025'!$M$2=T347),'2025DATA'!$E$36,"")</f>
        <v/>
      </c>
      <c r="U381" s="518" t="str">
        <f>IF(AND(_A1="A-220-100",'2025'!$M$4="FO",'2025'!$M$2=U347),'2025DATA'!$F$36,"")</f>
        <v/>
      </c>
      <c r="V381" s="518" t="str">
        <f>IF(AND(_A1="A-220-100",'2025'!$M$4="FO",'2025'!$M$2=V347),'2025DATA'!$G$36,"")</f>
        <v/>
      </c>
      <c r="W381" s="518" t="str">
        <f>IF(AND(_A1="A-220-100",'2025'!$M$4="FO",'2025'!$M$2=W347),'2025DATA'!$H$36,"")</f>
        <v/>
      </c>
      <c r="X381" s="518" t="str">
        <f>IF(AND(_A1="A-220-100",'2025'!$M$4="FO",'2025'!$M$2=X347),'2025DATA'!$I$36,"")</f>
        <v/>
      </c>
      <c r="Y381" s="518" t="str">
        <f>IF(AND(_A1="A-220-100",'2025'!$M$4="FO",'2025'!$M$2=Y347),'2025DATA'!$J$36,"")</f>
        <v/>
      </c>
      <c r="Z381" s="518" t="str">
        <f>IF(AND(_A1="A-220-100",'2025'!$M$4="FO",'2025'!$M$2=Z347),'2025DATA'!$K$36,"")</f>
        <v/>
      </c>
      <c r="AA381" s="518" t="str">
        <f>IF(AND(_A1="A-220-100",'2025'!$M$4="FO",'2025'!$M$2=AA347),'2025DATA'!$L$36,"")</f>
        <v/>
      </c>
      <c r="AB381" s="518" t="str">
        <f>IF(AND(_A1="A-220-100",'2025'!$M$4="FO",'2025'!$M$2=AB347),'2025DATA'!$M$36,"")</f>
        <v/>
      </c>
      <c r="AC381" s="520" t="str">
        <f>IF(AND(_A1="A-220-100",'2025'!$M$4="FO",'2025'!$M$2=AC347),'2025DATA'!$N$36,"")</f>
        <v/>
      </c>
      <c r="AD381" s="940"/>
      <c r="AE381" s="13" t="s">
        <v>62</v>
      </c>
      <c r="AF381" s="518" t="str">
        <f>IF(AND(_A2="A-220-100",'2025'!$M$4="FO",'2025'!$M$2=AF347),'2025DATA'!$C$36,"")</f>
        <v/>
      </c>
      <c r="AG381" s="518" t="str">
        <f>IF(AND(_A2="A-220-100",'2025'!$M$4="FO",'2025'!$M$2=AG347),'2025DATA'!$D$36,"")</f>
        <v/>
      </c>
      <c r="AH381" s="518" t="str">
        <f>IF(AND(_A2="A-220-100",'2025'!$M$4="FO",'2025'!$M$2=AH347),'2025DATA'!$E$36,"")</f>
        <v/>
      </c>
      <c r="AI381" s="518" t="str">
        <f>IF(AND(_A2="A-220-100",'2025'!$M$4="FO",'2025'!$M$2=AI347),'2025DATA'!$F$36,"")</f>
        <v/>
      </c>
      <c r="AJ381" s="518" t="str">
        <f>IF(AND(_A2="A-220-100",'2025'!$M$4="FO",'2025'!$M$2=AJ347),'2025DATA'!$G$36,"")</f>
        <v/>
      </c>
      <c r="AK381" s="518" t="str">
        <f>IF(AND(_A2="A-220-100",'2025'!$M$4="FO",'2025'!$M$2=AK347),'2025DATA'!$H$36,"")</f>
        <v/>
      </c>
      <c r="AL381" s="518" t="str">
        <f>IF(AND(_A2="A-220-100",'2025'!$M$4="FO",'2025'!$M$2=AL347),'2025DATA'!$I$36,"")</f>
        <v/>
      </c>
      <c r="AM381" s="518" t="str">
        <f>IF(AND(_A2="A-220-100",'2025'!$M$4="FO",'2025'!$M$2=AM347),'2025DATA'!$J$36,"")</f>
        <v/>
      </c>
      <c r="AN381" s="518" t="str">
        <f>IF(AND(_A2="A-220-100",'2025'!$M$4="FO",'2025'!$M$2=AN347),'2025DATA'!$K$36,"")</f>
        <v/>
      </c>
      <c r="AO381" s="518" t="str">
        <f>IF(AND(_A2="A-220-100",'2025'!$M$4="FO",'2025'!$M$2=AO347),'2025DATA'!$L$36,"")</f>
        <v/>
      </c>
      <c r="AP381" s="518" t="str">
        <f>IF(AND(_A2="A-220-100",'2025'!$M$4="FO",'2025'!$M$2=AP347),'2025DATA'!$M$36,"")</f>
        <v/>
      </c>
      <c r="AQ381" s="520" t="str">
        <f>IF(AND(_A2="A-220-100",'2025'!$M$4="FO",'2025'!$M$2=AQ347),'2025DATA'!$N$36,"")</f>
        <v/>
      </c>
      <c r="AR381" s="940"/>
      <c r="AS381" s="13" t="s">
        <v>62</v>
      </c>
      <c r="AT381" s="518" t="str">
        <f>IF(AND(_A3="A-220-100",'2025'!$M$4="FO",'2025'!$M$2=AT347),'2025DATA'!$C$36,"")</f>
        <v/>
      </c>
      <c r="AU381" s="518" t="str">
        <f>IF(AND(_A3="A-220-100",'2025'!$M$4="FO",'2025'!$M$2=AU347),'2025DATA'!$D$36,"")</f>
        <v/>
      </c>
      <c r="AV381" s="518" t="str">
        <f>IF(AND(_A3="A-220-100",'2025'!$M$4="FO",'2025'!$M$2=AV347),'2025DATA'!$E$36,"")</f>
        <v/>
      </c>
      <c r="AW381" s="518" t="str">
        <f>IF(AND(_A3="A-220-100",'2025'!$M$4="FO",'2025'!$M$2=AW347),'2025DATA'!$F$36,"")</f>
        <v/>
      </c>
      <c r="AX381" s="518" t="str">
        <f>IF(AND(_A3="A-220-100",'2025'!$M$4="FO",'2025'!$M$2=AX347),'2025DATA'!$G$36,"")</f>
        <v/>
      </c>
      <c r="AY381" s="518" t="str">
        <f>IF(AND(_A3="A-220-100",'2025'!$M$4="FO",'2025'!$M$2=AY347),'2025DATA'!$H$36,"")</f>
        <v/>
      </c>
      <c r="AZ381" s="518" t="str">
        <f>IF(AND(_A3="A-220-100",'2025'!$M$4="FO",'2025'!$M$2=AZ347),'2025DATA'!$I$36,"")</f>
        <v/>
      </c>
      <c r="BA381" s="518" t="str">
        <f>IF(AND(_A3="A-220-100",'2025'!$M$4="FO",'2025'!$M$2=BA347),'2025DATA'!$J$36,"")</f>
        <v/>
      </c>
      <c r="BB381" s="518" t="str">
        <f>IF(AND(_A3="A-220-100",'2025'!$M$4="FO",'2025'!$M$2=BB347),'2025DATA'!$K$36,"")</f>
        <v/>
      </c>
      <c r="BC381" s="518" t="str">
        <f>IF(AND(_A3="A-220-100",'2025'!$M$4="FO",'2025'!$M$2=BC347),'2025DATA'!$L$36,"")</f>
        <v/>
      </c>
      <c r="BD381" s="518" t="str">
        <f>IF(AND(_A3="A-220-100",'2025'!$M$4="FO",'2025'!$M$2=BD347),'2025DATA'!$M$36,"")</f>
        <v/>
      </c>
      <c r="BE381" s="520" t="str">
        <f>IF(AND(_A3="A-220-100",'2025'!$M$4="FO",'2025'!$M$2=BE347),'2025DATA'!$N$36,"")</f>
        <v/>
      </c>
      <c r="BF381" s="940"/>
      <c r="BG381" s="13" t="s">
        <v>62</v>
      </c>
      <c r="BH381" s="518" t="str">
        <f>IF(AND(_A4="A-220-100",'2025'!$M$4="FO",'2025'!$M$2=BH347),'2025DATA'!$C$36,"")</f>
        <v/>
      </c>
      <c r="BI381" s="518" t="str">
        <f>IF(AND(_A4="A-220-100",'2025'!$M$4="FO",'2025'!$M$2=BI347),'2025DATA'!$D$36,"")</f>
        <v/>
      </c>
      <c r="BJ381" s="518" t="str">
        <f>IF(AND(_A4="A-220-100",'2025'!$M$4="FO",'2025'!$M$2=BJ347),'2025DATA'!$E$36,"")</f>
        <v/>
      </c>
      <c r="BK381" s="518" t="str">
        <f>IF(AND(_A4="A-220-100",'2025'!$M$4="FO",'2025'!$M$2=BK347),'2025DATA'!$F$36,"")</f>
        <v/>
      </c>
      <c r="BL381" s="518" t="str">
        <f>IF(AND(_A4="A-220-100",'2025'!$M$4="FO",'2025'!$M$2=BL347),'2025DATA'!$G$36,"")</f>
        <v/>
      </c>
      <c r="BM381" s="518" t="str">
        <f>IF(AND(_A4="A-220-100",'2025'!$M$4="FO",'2025'!$M$2=BM347),'2025DATA'!$H$36,"")</f>
        <v/>
      </c>
      <c r="BN381" s="518" t="str">
        <f>IF(AND(_A4="A-220-100",'2025'!$M$4="FO",'2025'!$M$2=BN347),'2025DATA'!$I$36,"")</f>
        <v/>
      </c>
      <c r="BO381" s="518" t="str">
        <f>IF(AND(_A4="A-220-100",'2025'!$M$4="FO",'2025'!$M$2=BO347),'2025DATA'!$J$36,"")</f>
        <v/>
      </c>
      <c r="BP381" s="518" t="str">
        <f>IF(AND(_A4="A-220-100",'2025'!$M$4="FO",'2025'!$M$2=BP347),'2025DATA'!$K$36,"")</f>
        <v/>
      </c>
      <c r="BQ381" s="518" t="str">
        <f>IF(AND(_A4="A-220-100",'2025'!$M$4="FO",'2025'!$M$2=BQ347),'2025DATA'!$L$36,"")</f>
        <v/>
      </c>
      <c r="BR381" s="518" t="str">
        <f>IF(AND(_A4="A-220-100",'2025'!$M$4="FO",'2025'!$M$2=BR347),'2025DATA'!$M$36,"")</f>
        <v/>
      </c>
      <c r="BS381" s="520" t="str">
        <f>IF(AND(_A4="A-220-100",'2025'!$M$4="FO",'2025'!$M$2=BS347),'2025DATA'!$N$36,"")</f>
        <v/>
      </c>
      <c r="BT381" s="940"/>
      <c r="BU381" s="13" t="s">
        <v>62</v>
      </c>
      <c r="BV381" s="518" t="str">
        <f>IF(AND(_A5="A-220-100",'2025'!$M$4="FO",'2025'!$M$2=BV347),'2025DATA'!$C$36,"")</f>
        <v/>
      </c>
      <c r="BW381" s="518" t="str">
        <f>IF(AND(_A5="A-220-100",'2025'!$M$4="FO",'2025'!$M$2=BW347),'2025DATA'!$D$36,"")</f>
        <v/>
      </c>
      <c r="BX381" s="518" t="str">
        <f>IF(AND(_A5="A-220-100",'2025'!$M$4="FO",'2025'!$M$2=BX347),'2025DATA'!$E$36,"")</f>
        <v/>
      </c>
      <c r="BY381" s="518" t="str">
        <f>IF(AND(_A5="A-220-100",'2025'!$M$4="FO",'2025'!$M$2=BY347),'2025DATA'!$F$36,"")</f>
        <v/>
      </c>
      <c r="BZ381" s="518" t="str">
        <f>IF(AND(_A5="A-220-100",'2025'!$M$4="FO",'2025'!$M$2=BZ347),'2025DATA'!$G$36,"")</f>
        <v/>
      </c>
      <c r="CA381" s="518" t="str">
        <f>IF(AND(_A5="A-220-100",'2025'!$M$4="FO",'2025'!$M$2=CA347),'2025DATA'!$H$36,"")</f>
        <v/>
      </c>
      <c r="CB381" s="518" t="str">
        <f>IF(AND(_A5="A-220-100",'2025'!$M$4="FO",'2025'!$M$2=CB347),'2025DATA'!$I$36,"")</f>
        <v/>
      </c>
      <c r="CC381" s="518" t="str">
        <f>IF(AND(_A5="A-220-100",'2025'!$M$4="FO",'2025'!$M$2=CC347),'2025DATA'!$J$36,"")</f>
        <v/>
      </c>
      <c r="CD381" s="518" t="str">
        <f>IF(AND(_A5="A-220-100",'2025'!$M$4="FO",'2025'!$M$2=CD347),'2025DATA'!$K$36,"")</f>
        <v/>
      </c>
      <c r="CE381" s="518" t="str">
        <f>IF(AND(_A5="A-220-100",'2025'!$M$4="FO",'2025'!$M$2=CE347),'2025DATA'!$L$36,"")</f>
        <v/>
      </c>
      <c r="CF381" s="518" t="str">
        <f>IF(AND(_A5="A-220-100",'2025'!$M$4="FO",'2025'!$M$2=CF347),'2025DATA'!$M$36,"")</f>
        <v/>
      </c>
      <c r="CG381" s="520" t="str">
        <f>IF(AND(_A5="A-220-100",'2025'!$M$4="FO",'2025'!$M$2=CG347),'2025DATA'!$N$36,"")</f>
        <v/>
      </c>
      <c r="CH381" s="940"/>
      <c r="CI381" s="13" t="s">
        <v>62</v>
      </c>
      <c r="CJ381" s="518" t="str">
        <f>IF(AND(_A6="A-220-100",'2025'!$M$4="FO",'2025'!$M$2=CJ347),'2025DATA'!$C$36,"")</f>
        <v/>
      </c>
      <c r="CK381" s="518" t="str">
        <f>IF(AND(_A6="A-220-100",'2025'!$M$4="FO",'2025'!$M$2=CK347),'2025DATA'!$D$36,"")</f>
        <v/>
      </c>
      <c r="CL381" s="518" t="str">
        <f>IF(AND(_A6="A-220-100",'2025'!$M$4="FO",'2025'!$M$2=CL347),'2025DATA'!$E$36,"")</f>
        <v/>
      </c>
      <c r="CM381" s="518" t="str">
        <f>IF(AND(_A6="A-220-100",'2025'!$M$4="FO",'2025'!$M$2=CM347),'2025DATA'!$F$36,"")</f>
        <v/>
      </c>
      <c r="CN381" s="518" t="str">
        <f>IF(AND(_A6="A-220-100",'2025'!$M$4="FO",'2025'!$M$2=CN347),'2025DATA'!$G$36,"")</f>
        <v/>
      </c>
      <c r="CO381" s="518" t="str">
        <f>IF(AND(_A6="A-220-100",'2025'!$M$4="FO",'2025'!$M$2=CO347),'2025DATA'!$H$36,"")</f>
        <v/>
      </c>
      <c r="CP381" s="518" t="str">
        <f>IF(AND(_A6="A-220-100",'2025'!$M$4="FO",'2025'!$M$2=CP347),'2025DATA'!$I$36,"")</f>
        <v/>
      </c>
      <c r="CQ381" s="518" t="str">
        <f>IF(AND(_A6="A-220-100",'2025'!$M$4="FO",'2025'!$M$2=CQ347),'2025DATA'!$J$36,"")</f>
        <v/>
      </c>
      <c r="CR381" s="518" t="str">
        <f>IF(AND(_A6="A-220-100",'2025'!$M$4="FO",'2025'!$M$2=CR347),'2025DATA'!$K$36,"")</f>
        <v/>
      </c>
      <c r="CS381" s="518" t="str">
        <f>IF(AND(_A6="A-220-100",'2025'!$M$4="FO",'2025'!$M$2=CS347),'2025DATA'!$L$36,"")</f>
        <v/>
      </c>
      <c r="CT381" s="518" t="str">
        <f>IF(AND(_A6="A-220-100",'2025'!$M$4="FO",'2025'!$M$2=CT347),'2025DATA'!$M$36,"")</f>
        <v/>
      </c>
      <c r="CU381" s="520" t="str">
        <f>IF(AND(_A6="A-220-100",'2025'!$M$4="FO",'2025'!$M$2=CU347),'2025DATA'!$N$36,"")</f>
        <v/>
      </c>
    </row>
    <row r="382" spans="16:99" x14ac:dyDescent="0.25">
      <c r="P382" s="940" t="s">
        <v>53</v>
      </c>
      <c r="Q382" s="13" t="s">
        <v>61</v>
      </c>
      <c r="R382" s="518" t="str">
        <f>IF(AND(_A1="B-717",'2025'!$M$4="CA",'2025'!$M$2=R347),'2025DATA'!$C$37,"")</f>
        <v/>
      </c>
      <c r="S382" s="518" t="str">
        <f>IF(AND(_A1="B-717",'2025'!$M$4="CA",'2025'!$M$2=S347),'2025DATA'!$D$37,"")</f>
        <v/>
      </c>
      <c r="T382" s="518" t="str">
        <f>IF(AND(_A1="B-717",'2025'!$M$4="CA",'2025'!$M$2=T347),'2025DATA'!$E$37,"")</f>
        <v/>
      </c>
      <c r="U382" s="518" t="str">
        <f>IF(AND(_A1="B-717",'2025'!$M$4="CA",'2025'!$M$2=U347),'2025DATA'!$F$37,"")</f>
        <v/>
      </c>
      <c r="V382" s="518" t="str">
        <f>IF(AND(_A1="B-717",'2025'!$M$4="CA",'2025'!$M$2=V347),'2025DATA'!$G$37,"")</f>
        <v/>
      </c>
      <c r="W382" s="518" t="str">
        <f>IF(AND(_A1="B-717",'2025'!$M$4="CA",'2025'!$M$2=W347),'2025DATA'!$H$37,"")</f>
        <v/>
      </c>
      <c r="X382" s="518" t="str">
        <f>IF(AND(_A1="B-717",'2025'!$M$4="CA",'2025'!$M$2=X347),'2025DATA'!$I$37,"")</f>
        <v/>
      </c>
      <c r="Y382" s="518" t="str">
        <f>IF(AND(_A1="B-717",'2025'!$M$4="CA",'2025'!$M$2=Y347),'2025DATA'!$J$37,"")</f>
        <v/>
      </c>
      <c r="Z382" s="518" t="str">
        <f>IF(AND(_A1="B-717",'2025'!$M$4="CA",'2025'!$M$2=Z347),'2025DATA'!$K$37,"")</f>
        <v/>
      </c>
      <c r="AA382" s="518" t="str">
        <f>IF(AND(_A1="B-717",'2025'!$M$4="CA",'2025'!$M$2=AA347),'2025DATA'!$L$37,"")</f>
        <v/>
      </c>
      <c r="AB382" s="518" t="str">
        <f>IF(AND(_A1="B-717",'2025'!$M$4="CA",'2025'!$M$2=AB347),'2025DATA'!$M$37,"")</f>
        <v/>
      </c>
      <c r="AC382" s="520" t="str">
        <f>IF(AND(_A1="B-717",'2025'!$M$4="CA",'2025'!$M$2=AC347),'2025DATA'!$N$37,"")</f>
        <v/>
      </c>
      <c r="AD382" s="940" t="s">
        <v>53</v>
      </c>
      <c r="AE382" s="13" t="s">
        <v>61</v>
      </c>
      <c r="AF382" s="518" t="str">
        <f>IF(AND(_A2="B-717",'2025'!$M$4="CA",'2025'!$M$2=AF347),'2025DATA'!$C$37,"")</f>
        <v/>
      </c>
      <c r="AG382" s="518" t="str">
        <f>IF(AND(_A2="B-717",'2025'!$M$4="CA",'2025'!$M$2=AG347),'2025DATA'!$D$37,"")</f>
        <v/>
      </c>
      <c r="AH382" s="518" t="str">
        <f>IF(AND(_A2="B-717",'2025'!$M$4="CA",'2025'!$M$2=AH347),'2025DATA'!$E$37,"")</f>
        <v/>
      </c>
      <c r="AI382" s="518" t="str">
        <f>IF(AND(_A2="B-717",'2025'!$M$4="CA",'2025'!$M$2=AI347),'2025DATA'!$F$37,"")</f>
        <v/>
      </c>
      <c r="AJ382" s="518" t="str">
        <f>IF(AND(_A2="B-717",'2025'!$M$4="CA",'2025'!$M$2=AJ347),'2025DATA'!$G$37,"")</f>
        <v/>
      </c>
      <c r="AK382" s="518" t="str">
        <f>IF(AND(_A2="B-717",'2025'!$M$4="CA",'2025'!$M$2=AK347),'2025DATA'!$H$37,"")</f>
        <v/>
      </c>
      <c r="AL382" s="518" t="str">
        <f>IF(AND(_A2="B-717",'2025'!$M$4="CA",'2025'!$M$2=AL347),'2025DATA'!$I$37,"")</f>
        <v/>
      </c>
      <c r="AM382" s="518" t="str">
        <f>IF(AND(_A2="B-717",'2025'!$M$4="CA",'2025'!$M$2=AM347),'2025DATA'!$J$37,"")</f>
        <v/>
      </c>
      <c r="AN382" s="518" t="str">
        <f>IF(AND(_A2="B-717",'2025'!$M$4="CA",'2025'!$M$2=AN347),'2025DATA'!$K$37,"")</f>
        <v/>
      </c>
      <c r="AO382" s="518" t="str">
        <f>IF(AND(_A2="B-717",'2025'!$M$4="CA",'2025'!$M$2=AO347),'2025DATA'!$L$37,"")</f>
        <v/>
      </c>
      <c r="AP382" s="518" t="str">
        <f>IF(AND(_A2="B-717",'2025'!$M$4="CA",'2025'!$M$2=AP347),'2025DATA'!$M$37,"")</f>
        <v/>
      </c>
      <c r="AQ382" s="520" t="str">
        <f>IF(AND(_A2="B-717",'2025'!$M$4="CA",'2025'!$M$2=AQ347),'2025DATA'!$N$37,"")</f>
        <v/>
      </c>
      <c r="AR382" s="940" t="s">
        <v>53</v>
      </c>
      <c r="AS382" s="13" t="s">
        <v>61</v>
      </c>
      <c r="AT382" s="518" t="str">
        <f>IF(AND(_A3="B-717",'2025'!$M$4="CA",'2025'!$M$2=AT347),'2025DATA'!$C$37,"")</f>
        <v/>
      </c>
      <c r="AU382" s="518" t="str">
        <f>IF(AND(_A3="B-717",'2025'!$M$4="CA",'2025'!$M$2=AU347),'2025DATA'!$D$37,"")</f>
        <v/>
      </c>
      <c r="AV382" s="518" t="str">
        <f>IF(AND(_A3="B-717",'2025'!$M$4="CA",'2025'!$M$2=AV347),'2025DATA'!$E$37,"")</f>
        <v/>
      </c>
      <c r="AW382" s="518" t="str">
        <f>IF(AND(_A3="B-717",'2025'!$M$4="CA",'2025'!$M$2=AW347),'2025DATA'!$F$37,"")</f>
        <v/>
      </c>
      <c r="AX382" s="518" t="str">
        <f>IF(AND(_A3="B-717",'2025'!$M$4="CA",'2025'!$M$2=AX347),'2025DATA'!$G$37,"")</f>
        <v/>
      </c>
      <c r="AY382" s="518" t="str">
        <f>IF(AND(_A3="B-717",'2025'!$M$4="CA",'2025'!$M$2=AY347),'2025DATA'!$H$37,"")</f>
        <v/>
      </c>
      <c r="AZ382" s="518" t="str">
        <f>IF(AND(_A3="B-717",'2025'!$M$4="CA",'2025'!$M$2=AZ347),'2025DATA'!$I$37,"")</f>
        <v/>
      </c>
      <c r="BA382" s="518" t="str">
        <f>IF(AND(_A3="B-717",'2025'!$M$4="CA",'2025'!$M$2=BA347),'2025DATA'!$J$37,"")</f>
        <v/>
      </c>
      <c r="BB382" s="518" t="str">
        <f>IF(AND(_A3="B-717",'2025'!$M$4="CA",'2025'!$M$2=BB347),'2025DATA'!$K$37,"")</f>
        <v/>
      </c>
      <c r="BC382" s="518" t="str">
        <f>IF(AND(_A3="B-717",'2025'!$M$4="CA",'2025'!$M$2=BC347),'2025DATA'!$L$37,"")</f>
        <v/>
      </c>
      <c r="BD382" s="518" t="str">
        <f>IF(AND(_A3="B-717",'2025'!$M$4="CA",'2025'!$M$2=BD347),'2025DATA'!$M$37,"")</f>
        <v/>
      </c>
      <c r="BE382" s="520" t="str">
        <f>IF(AND(_A3="B-717",'2025'!$M$4="CA",'2025'!$M$2=BE347),'2025DATA'!$N$37,"")</f>
        <v/>
      </c>
      <c r="BF382" s="940" t="s">
        <v>53</v>
      </c>
      <c r="BG382" s="13" t="s">
        <v>61</v>
      </c>
      <c r="BH382" s="518" t="str">
        <f>IF(AND(_A4="B-717",'2025'!$M$4="CA",'2025'!$M$2=BH347),'2025DATA'!$C$37,"")</f>
        <v/>
      </c>
      <c r="BI382" s="518" t="str">
        <f>IF(AND(_A4="B-717",'2025'!$M$4="CA",'2025'!$M$2=BI347),'2025DATA'!$D$37,"")</f>
        <v/>
      </c>
      <c r="BJ382" s="518" t="str">
        <f>IF(AND(_A4="B-717",'2025'!$M$4="CA",'2025'!$M$2=BJ347),'2025DATA'!$E$37,"")</f>
        <v/>
      </c>
      <c r="BK382" s="518" t="str">
        <f>IF(AND(_A4="B-717",'2025'!$M$4="CA",'2025'!$M$2=BK347),'2025DATA'!$F$37,"")</f>
        <v/>
      </c>
      <c r="BL382" s="518" t="str">
        <f>IF(AND(_A4="B-717",'2025'!$M$4="CA",'2025'!$M$2=BL347),'2025DATA'!$G$37,"")</f>
        <v/>
      </c>
      <c r="BM382" s="518" t="str">
        <f>IF(AND(_A4="B-717",'2025'!$M$4="CA",'2025'!$M$2=BM347),'2025DATA'!$H$37,"")</f>
        <v/>
      </c>
      <c r="BN382" s="518" t="str">
        <f>IF(AND(_A4="B-717",'2025'!$M$4="CA",'2025'!$M$2=BN347),'2025DATA'!$I$37,"")</f>
        <v/>
      </c>
      <c r="BO382" s="518" t="str">
        <f>IF(AND(_A4="B-717",'2025'!$M$4="CA",'2025'!$M$2=BO347),'2025DATA'!$J$37,"")</f>
        <v/>
      </c>
      <c r="BP382" s="518" t="str">
        <f>IF(AND(_A4="B-717",'2025'!$M$4="CA",'2025'!$M$2=BP347),'2025DATA'!$K$37,"")</f>
        <v/>
      </c>
      <c r="BQ382" s="518" t="str">
        <f>IF(AND(_A4="B-717",'2025'!$M$4="CA",'2025'!$M$2=BQ347),'2025DATA'!$L$37,"")</f>
        <v/>
      </c>
      <c r="BR382" s="518" t="str">
        <f>IF(AND(_A4="B-717",'2025'!$M$4="CA",'2025'!$M$2=BR347),'2025DATA'!$M$37,"")</f>
        <v/>
      </c>
      <c r="BS382" s="520" t="str">
        <f>IF(AND(_A4="B-717",'2025'!$M$4="CA",'2025'!$M$2=BS347),'2025DATA'!$N$37,"")</f>
        <v/>
      </c>
      <c r="BT382" s="940" t="s">
        <v>53</v>
      </c>
      <c r="BU382" s="13" t="s">
        <v>61</v>
      </c>
      <c r="BV382" s="518" t="str">
        <f>IF(AND(_A5="B-717",'2025'!$M$4="CA",'2025'!$M$2=BV347),'2025DATA'!$C$37,"")</f>
        <v/>
      </c>
      <c r="BW382" s="518" t="str">
        <f>IF(AND(_A5="B-717",'2025'!$M$4="CA",'2025'!$M$2=BW347),'2025DATA'!$D$37,"")</f>
        <v/>
      </c>
      <c r="BX382" s="518" t="str">
        <f>IF(AND(_A5="B-717",'2025'!$M$4="CA",'2025'!$M$2=BX347),'2025DATA'!$E$37,"")</f>
        <v/>
      </c>
      <c r="BY382" s="518" t="str">
        <f>IF(AND(_A5="B-717",'2025'!$M$4="CA",'2025'!$M$2=BY347),'2025DATA'!$F$37,"")</f>
        <v/>
      </c>
      <c r="BZ382" s="518" t="str">
        <f>IF(AND(_A5="B-717",'2025'!$M$4="CA",'2025'!$M$2=BZ347),'2025DATA'!$G$37,"")</f>
        <v/>
      </c>
      <c r="CA382" s="518" t="str">
        <f>IF(AND(_A5="B-717",'2025'!$M$4="CA",'2025'!$M$2=CA347),'2025DATA'!$H$37,"")</f>
        <v/>
      </c>
      <c r="CB382" s="518" t="str">
        <f>IF(AND(_A5="B-717",'2025'!$M$4="CA",'2025'!$M$2=CB347),'2025DATA'!$I$37,"")</f>
        <v/>
      </c>
      <c r="CC382" s="518" t="str">
        <f>IF(AND(_A5="B-717",'2025'!$M$4="CA",'2025'!$M$2=CC347),'2025DATA'!$J$37,"")</f>
        <v/>
      </c>
      <c r="CD382" s="518" t="str">
        <f>IF(AND(_A5="B-717",'2025'!$M$4="CA",'2025'!$M$2=CD347),'2025DATA'!$K$37,"")</f>
        <v/>
      </c>
      <c r="CE382" s="518" t="str">
        <f>IF(AND(_A5="B-717",'2025'!$M$4="CA",'2025'!$M$2=CE347),'2025DATA'!$L$37,"")</f>
        <v/>
      </c>
      <c r="CF382" s="518" t="str">
        <f>IF(AND(_A5="B-717",'2025'!$M$4="CA",'2025'!$M$2=CF347),'2025DATA'!$M$37,"")</f>
        <v/>
      </c>
      <c r="CG382" s="520" t="str">
        <f>IF(AND(_A5="B-717",'2025'!$M$4="CA",'2025'!$M$2=CG347),'2025DATA'!$N$37,"")</f>
        <v/>
      </c>
      <c r="CH382" s="940" t="s">
        <v>53</v>
      </c>
      <c r="CI382" s="13" t="s">
        <v>61</v>
      </c>
      <c r="CJ382" s="518" t="str">
        <f>IF(AND(_A6="B-717",'2025'!$M$4="CA",'2025'!$M$2=CJ347),'2025DATA'!$C$37,"")</f>
        <v/>
      </c>
      <c r="CK382" s="518" t="str">
        <f>IF(AND(_A6="B-717",'2025'!$M$4="CA",'2025'!$M$2=CK347),'2025DATA'!$D$37,"")</f>
        <v/>
      </c>
      <c r="CL382" s="518" t="str">
        <f>IF(AND(_A6="B-717",'2025'!$M$4="CA",'2025'!$M$2=CL347),'2025DATA'!$E$37,"")</f>
        <v/>
      </c>
      <c r="CM382" s="518" t="str">
        <f>IF(AND(_A6="B-717",'2025'!$M$4="CA",'2025'!$M$2=CM347),'2025DATA'!$F$37,"")</f>
        <v/>
      </c>
      <c r="CN382" s="518" t="str">
        <f>IF(AND(_A6="B-717",'2025'!$M$4="CA",'2025'!$M$2=CN347),'2025DATA'!$G$37,"")</f>
        <v/>
      </c>
      <c r="CO382" s="518" t="str">
        <f>IF(AND(_A6="B-717",'2025'!$M$4="CA",'2025'!$M$2=CO347),'2025DATA'!$H$37,"")</f>
        <v/>
      </c>
      <c r="CP382" s="518" t="str">
        <f>IF(AND(_A6="B-717",'2025'!$M$4="CA",'2025'!$M$2=CP347),'2025DATA'!$I$37,"")</f>
        <v/>
      </c>
      <c r="CQ382" s="518" t="str">
        <f>IF(AND(_A6="B-717",'2025'!$M$4="CA",'2025'!$M$2=CQ347),'2025DATA'!$J$37,"")</f>
        <v/>
      </c>
      <c r="CR382" s="518" t="str">
        <f>IF(AND(_A6="B-717",'2025'!$M$4="CA",'2025'!$M$2=CR347),'2025DATA'!$K$37,"")</f>
        <v/>
      </c>
      <c r="CS382" s="518" t="str">
        <f>IF(AND(_A6="B-717",'2025'!$M$4="CA",'2025'!$M$2=CS347),'2025DATA'!$L$37,"")</f>
        <v/>
      </c>
      <c r="CT382" s="518" t="str">
        <f>IF(AND(_A6="B-717",'2025'!$M$4="CA",'2025'!$M$2=CT347),'2025DATA'!$M$37,"")</f>
        <v/>
      </c>
      <c r="CU382" s="520" t="str">
        <f>IF(AND(_A6="B-717",'2025'!$M$4="CA",'2025'!$M$2=CU347),'2025DATA'!$N$37,"")</f>
        <v/>
      </c>
    </row>
    <row r="383" spans="16:99" ht="15.75" thickBot="1" x14ac:dyDescent="0.3">
      <c r="P383" s="942"/>
      <c r="Q383" s="2" t="s">
        <v>62</v>
      </c>
      <c r="R383" s="518" t="str">
        <f>IF(AND(_A1="B-717",'2025'!$M$4="FO",'2025'!$M$2=R347),'2025DATA'!$C$38,"")</f>
        <v/>
      </c>
      <c r="S383" s="518" t="str">
        <f>IF(AND(_A1="B-717",'2025'!$M$4="FO",'2025'!$M$2=S347),'2025DATA'!$D$38,"")</f>
        <v/>
      </c>
      <c r="T383" s="518" t="str">
        <f>IF(AND(_A1="B-717",'2025'!$M$4="FO",'2025'!$M$2=T347),'2025DATA'!$E$38,"")</f>
        <v/>
      </c>
      <c r="U383" s="518" t="str">
        <f>IF(AND(_A1="B-717",'2025'!$M$4="FO",'2025'!$M$2=U347),'2025DATA'!$F$38,"")</f>
        <v/>
      </c>
      <c r="V383" s="518" t="str">
        <f>IF(AND(_A1="B-717",'2025'!$M$4="FO",'2025'!$M$2=V347),'2025DATA'!$G$38,"")</f>
        <v/>
      </c>
      <c r="W383" s="518" t="str">
        <f>IF(AND(_A1="B-717",'2025'!$M$4="FO",'2025'!$M$2=W347),'2025DATA'!$H$38,"")</f>
        <v/>
      </c>
      <c r="X383" s="518" t="str">
        <f>IF(AND(_A1="B-717",'2025'!$M$4="FO",'2025'!$M$2=X347),'2025DATA'!$I$38,"")</f>
        <v/>
      </c>
      <c r="Y383" s="518" t="str">
        <f>IF(AND(_A1="B-717",'2025'!$M$4="FO",'2025'!$M$2=Y347),'2025DATA'!$J$38,"")</f>
        <v/>
      </c>
      <c r="Z383" s="518" t="str">
        <f>IF(AND(_A1="B-717",'2025'!$M$4="FO",'2025'!$M$2=Z347),'2025DATA'!$K$38,"")</f>
        <v/>
      </c>
      <c r="AA383" s="518" t="str">
        <f>IF(AND(_A1="B-717",'2025'!$M$4="FO",'2025'!$M$2=AA347),'2025DATA'!$L$38,"")</f>
        <v/>
      </c>
      <c r="AB383" s="518" t="str">
        <f>IF(AND(_A1="B-717",'2025'!$M$4="FO",'2025'!$M$2=AB347),'2025DATA'!$M$38,"")</f>
        <v/>
      </c>
      <c r="AC383" s="520" t="str">
        <f>IF(AND(_A1="B-717",'2025'!$M$4="FO",'2025'!$M$2=AC347),'2025DATA'!$N$38,"")</f>
        <v/>
      </c>
      <c r="AD383" s="942"/>
      <c r="AE383" s="2" t="s">
        <v>62</v>
      </c>
      <c r="AF383" s="518" t="str">
        <f>IF(AND(_A2="B-717",'2025'!$M$4="FO",'2025'!$M$2=AF347),'2025DATA'!$C$38,"")</f>
        <v/>
      </c>
      <c r="AG383" s="518" t="str">
        <f>IF(AND(_A2="B-717",'2025'!$M$4="FO",'2025'!$M$2=AG347),'2025DATA'!$D$38,"")</f>
        <v/>
      </c>
      <c r="AH383" s="518" t="str">
        <f>IF(AND(_A2="B-717",'2025'!$M$4="FO",'2025'!$M$2=AH347),'2025DATA'!$E$38,"")</f>
        <v/>
      </c>
      <c r="AI383" s="518" t="str">
        <f>IF(AND(_A2="B-717",'2025'!$M$4="FO",'2025'!$M$2=AI347),'2025DATA'!$F$38,"")</f>
        <v/>
      </c>
      <c r="AJ383" s="518" t="str">
        <f>IF(AND(_A2="B-717",'2025'!$M$4="FO",'2025'!$M$2=AJ347),'2025DATA'!$G$38,"")</f>
        <v/>
      </c>
      <c r="AK383" s="518" t="str">
        <f>IF(AND(_A2="B-717",'2025'!$M$4="FO",'2025'!$M$2=AK347),'2025DATA'!$H$38,"")</f>
        <v/>
      </c>
      <c r="AL383" s="518" t="str">
        <f>IF(AND(_A2="B-717",'2025'!$M$4="FO",'2025'!$M$2=AL347),'2025DATA'!$I$38,"")</f>
        <v/>
      </c>
      <c r="AM383" s="518" t="str">
        <f>IF(AND(_A2="B-717",'2025'!$M$4="FO",'2025'!$M$2=AM347),'2025DATA'!$J$38,"")</f>
        <v/>
      </c>
      <c r="AN383" s="518" t="str">
        <f>IF(AND(_A2="B-717",'2025'!$M$4="FO",'2025'!$M$2=AN347),'2025DATA'!$K$38,"")</f>
        <v/>
      </c>
      <c r="AO383" s="518" t="str">
        <f>IF(AND(_A2="B-717",'2025'!$M$4="FO",'2025'!$M$2=AO347),'2025DATA'!$L$38,"")</f>
        <v/>
      </c>
      <c r="AP383" s="518" t="str">
        <f>IF(AND(_A2="B-717",'2025'!$M$4="FO",'2025'!$M$2=AP347),'2025DATA'!$M$38,"")</f>
        <v/>
      </c>
      <c r="AQ383" s="520" t="str">
        <f>IF(AND(_A2="B-717",'2025'!$M$4="FO",'2025'!$M$2=AQ347),'2025DATA'!$N$38,"")</f>
        <v/>
      </c>
      <c r="AR383" s="942"/>
      <c r="AS383" s="2" t="s">
        <v>62</v>
      </c>
      <c r="AT383" s="518" t="str">
        <f>IF(AND(_A3="B-717",'2025'!$M$4="FO",'2025'!$M$2=AT347),'2025DATA'!$C$38,"")</f>
        <v/>
      </c>
      <c r="AU383" s="518" t="str">
        <f>IF(AND(_A3="B-717",'2025'!$M$4="FO",'2025'!$M$2=AU347),'2025DATA'!$D$38,"")</f>
        <v/>
      </c>
      <c r="AV383" s="518" t="str">
        <f>IF(AND(_A3="B-717",'2025'!$M$4="FO",'2025'!$M$2=AV347),'2025DATA'!$E$38,"")</f>
        <v/>
      </c>
      <c r="AW383" s="518" t="str">
        <f>IF(AND(_A3="B-717",'2025'!$M$4="FO",'2025'!$M$2=AW347),'2025DATA'!$F$38,"")</f>
        <v/>
      </c>
      <c r="AX383" s="518" t="str">
        <f>IF(AND(_A3="B-717",'2025'!$M$4="FO",'2025'!$M$2=AX347),'2025DATA'!$G$38,"")</f>
        <v/>
      </c>
      <c r="AY383" s="518" t="str">
        <f>IF(AND(_A3="B-717",'2025'!$M$4="FO",'2025'!$M$2=AY347),'2025DATA'!$H$38,"")</f>
        <v/>
      </c>
      <c r="AZ383" s="518" t="str">
        <f>IF(AND(_A3="B-717",'2025'!$M$4="FO",'2025'!$M$2=AZ347),'2025DATA'!$I$38,"")</f>
        <v/>
      </c>
      <c r="BA383" s="518" t="str">
        <f>IF(AND(_A3="B-717",'2025'!$M$4="FO",'2025'!$M$2=BA347),'2025DATA'!$J$38,"")</f>
        <v/>
      </c>
      <c r="BB383" s="518" t="str">
        <f>IF(AND(_A3="B-717",'2025'!$M$4="FO",'2025'!$M$2=BB347),'2025DATA'!$K$38,"")</f>
        <v/>
      </c>
      <c r="BC383" s="518" t="str">
        <f>IF(AND(_A3="B-717",'2025'!$M$4="FO",'2025'!$M$2=BC347),'2025DATA'!$L$38,"")</f>
        <v/>
      </c>
      <c r="BD383" s="518" t="str">
        <f>IF(AND(_A3="B-717",'2025'!$M$4="FO",'2025'!$M$2=BD347),'2025DATA'!$M$38,"")</f>
        <v/>
      </c>
      <c r="BE383" s="520" t="str">
        <f>IF(AND(_A3="B-717",'2025'!$M$4="FO",'2025'!$M$2=BE347),'2025DATA'!$N$38,"")</f>
        <v/>
      </c>
      <c r="BF383" s="942"/>
      <c r="BG383" s="2" t="s">
        <v>62</v>
      </c>
      <c r="BH383" s="518" t="str">
        <f>IF(AND(_A4="B-717",'2025'!$M$4="FO",'2025'!$M$2=BH347),'2025DATA'!$C$38,"")</f>
        <v/>
      </c>
      <c r="BI383" s="518" t="str">
        <f>IF(AND(_A4="B-717",'2025'!$M$4="FO",'2025'!$M$2=BI347),'2025DATA'!$D$38,"")</f>
        <v/>
      </c>
      <c r="BJ383" s="518" t="str">
        <f>IF(AND(_A4="B-717",'2025'!$M$4="FO",'2025'!$M$2=BJ347),'2025DATA'!$E$38,"")</f>
        <v/>
      </c>
      <c r="BK383" s="518" t="str">
        <f>IF(AND(_A4="B-717",'2025'!$M$4="FO",'2025'!$M$2=BK347),'2025DATA'!$F$38,"")</f>
        <v/>
      </c>
      <c r="BL383" s="518" t="str">
        <f>IF(AND(_A4="B-717",'2025'!$M$4="FO",'2025'!$M$2=BL347),'2025DATA'!$G$38,"")</f>
        <v/>
      </c>
      <c r="BM383" s="518" t="str">
        <f>IF(AND(_A4="B-717",'2025'!$M$4="FO",'2025'!$M$2=BM347),'2025DATA'!$H$38,"")</f>
        <v/>
      </c>
      <c r="BN383" s="518" t="str">
        <f>IF(AND(_A4="B-717",'2025'!$M$4="FO",'2025'!$M$2=BN347),'2025DATA'!$I$38,"")</f>
        <v/>
      </c>
      <c r="BO383" s="518" t="str">
        <f>IF(AND(_A4="B-717",'2025'!$M$4="FO",'2025'!$M$2=BO347),'2025DATA'!$J$38,"")</f>
        <v/>
      </c>
      <c r="BP383" s="518" t="str">
        <f>IF(AND(_A4="B-717",'2025'!$M$4="FO",'2025'!$M$2=BP347),'2025DATA'!$K$38,"")</f>
        <v/>
      </c>
      <c r="BQ383" s="518" t="str">
        <f>IF(AND(_A4="B-717",'2025'!$M$4="FO",'2025'!$M$2=BQ347),'2025DATA'!$L$38,"")</f>
        <v/>
      </c>
      <c r="BR383" s="518" t="str">
        <f>IF(AND(_A4="B-717",'2025'!$M$4="FO",'2025'!$M$2=BR347),'2025DATA'!$M$38,"")</f>
        <v/>
      </c>
      <c r="BS383" s="520" t="str">
        <f>IF(AND(_A4="B-717",'2025'!$M$4="FO",'2025'!$M$2=BS347),'2025DATA'!$N$38,"")</f>
        <v/>
      </c>
      <c r="BT383" s="942"/>
      <c r="BU383" s="2" t="s">
        <v>62</v>
      </c>
      <c r="BV383" s="518" t="str">
        <f>IF(AND(_A5="B-717",'2025'!$M$4="FO",'2025'!$M$2=BV347),'2025DATA'!$C$38,"")</f>
        <v/>
      </c>
      <c r="BW383" s="518" t="str">
        <f>IF(AND(_A5="B-717",'2025'!$M$4="FO",'2025'!$M$2=BW347),'2025DATA'!$D$38,"")</f>
        <v/>
      </c>
      <c r="BX383" s="518" t="str">
        <f>IF(AND(_A5="B-717",'2025'!$M$4="FO",'2025'!$M$2=BX347),'2025DATA'!$E$38,"")</f>
        <v/>
      </c>
      <c r="BY383" s="518" t="str">
        <f>IF(AND(_A5="B-717",'2025'!$M$4="FO",'2025'!$M$2=BY347),'2025DATA'!$F$38,"")</f>
        <v/>
      </c>
      <c r="BZ383" s="518" t="str">
        <f>IF(AND(_A5="B-717",'2025'!$M$4="FO",'2025'!$M$2=BZ347),'2025DATA'!$G$38,"")</f>
        <v/>
      </c>
      <c r="CA383" s="518" t="str">
        <f>IF(AND(_A5="B-717",'2025'!$M$4="FO",'2025'!$M$2=CA347),'2025DATA'!$H$38,"")</f>
        <v/>
      </c>
      <c r="CB383" s="518" t="str">
        <f>IF(AND(_A5="B-717",'2025'!$M$4="FO",'2025'!$M$2=CB347),'2025DATA'!$I$38,"")</f>
        <v/>
      </c>
      <c r="CC383" s="518" t="str">
        <f>IF(AND(_A5="B-717",'2025'!$M$4="FO",'2025'!$M$2=CC347),'2025DATA'!$J$38,"")</f>
        <v/>
      </c>
      <c r="CD383" s="518" t="str">
        <f>IF(AND(_A5="B-717",'2025'!$M$4="FO",'2025'!$M$2=CD347),'2025DATA'!$K$38,"")</f>
        <v/>
      </c>
      <c r="CE383" s="518" t="str">
        <f>IF(AND(_A5="B-717",'2025'!$M$4="FO",'2025'!$M$2=CE347),'2025DATA'!$L$38,"")</f>
        <v/>
      </c>
      <c r="CF383" s="518" t="str">
        <f>IF(AND(_A5="B-717",'2025'!$M$4="FO",'2025'!$M$2=CF347),'2025DATA'!$M$38,"")</f>
        <v/>
      </c>
      <c r="CG383" s="520" t="str">
        <f>IF(AND(_A5="B-717",'2025'!$M$4="FO",'2025'!$M$2=CG347),'2025DATA'!$N$38,"")</f>
        <v/>
      </c>
      <c r="CH383" s="942"/>
      <c r="CI383" s="2" t="s">
        <v>62</v>
      </c>
      <c r="CJ383" s="518" t="str">
        <f>IF(AND(_A6="B-717",'2025'!$M$4="FO",'2025'!$M$2=CJ347),'2025DATA'!$C$38,"")</f>
        <v/>
      </c>
      <c r="CK383" s="518" t="str">
        <f>IF(AND(_A6="B-717",'2025'!$M$4="FO",'2025'!$M$2=CK347),'2025DATA'!$D$38,"")</f>
        <v/>
      </c>
      <c r="CL383" s="518" t="str">
        <f>IF(AND(_A6="B-717",'2025'!$M$4="FO",'2025'!$M$2=CL347),'2025DATA'!$E$38,"")</f>
        <v/>
      </c>
      <c r="CM383" s="518" t="str">
        <f>IF(AND(_A6="B-717",'2025'!$M$4="FO",'2025'!$M$2=CM347),'2025DATA'!$F$38,"")</f>
        <v/>
      </c>
      <c r="CN383" s="518" t="str">
        <f>IF(AND(_A6="B-717",'2025'!$M$4="FO",'2025'!$M$2=CN347),'2025DATA'!$G$38,"")</f>
        <v/>
      </c>
      <c r="CO383" s="518" t="str">
        <f>IF(AND(_A6="B-717",'2025'!$M$4="FO",'2025'!$M$2=CO347),'2025DATA'!$H$38,"")</f>
        <v/>
      </c>
      <c r="CP383" s="518" t="str">
        <f>IF(AND(_A6="B-717",'2025'!$M$4="FO",'2025'!$M$2=CP347),'2025DATA'!$I$38,"")</f>
        <v/>
      </c>
      <c r="CQ383" s="518" t="str">
        <f>IF(AND(_A6="B-717",'2025'!$M$4="FO",'2025'!$M$2=CQ347),'2025DATA'!$J$38,"")</f>
        <v/>
      </c>
      <c r="CR383" s="518" t="str">
        <f>IF(AND(_A6="B-717",'2025'!$M$4="FO",'2025'!$M$2=CR347),'2025DATA'!$K$38,"")</f>
        <v/>
      </c>
      <c r="CS383" s="518" t="str">
        <f>IF(AND(_A6="B-717",'2025'!$M$4="FO",'2025'!$M$2=CS347),'2025DATA'!$L$38,"")</f>
        <v/>
      </c>
      <c r="CT383" s="518" t="str">
        <f>IF(AND(_A6="B-717",'2025'!$M$4="FO",'2025'!$M$2=CT347),'2025DATA'!$M$38,"")</f>
        <v/>
      </c>
      <c r="CU383" s="520" t="str">
        <f>IF(AND(_A6="B-717",'2025'!$M$4="FO",'2025'!$M$2=CU347),'2025DATA'!$N$38,"")</f>
        <v/>
      </c>
    </row>
    <row r="384" spans="16:99" x14ac:dyDescent="0.25">
      <c r="P384" s="943" t="s">
        <v>116</v>
      </c>
      <c r="Q384" s="944"/>
      <c r="R384" s="944"/>
      <c r="S384" s="944"/>
      <c r="T384" s="944"/>
      <c r="U384" s="944"/>
      <c r="V384" s="944"/>
      <c r="W384" s="944"/>
      <c r="X384" s="944"/>
      <c r="Y384" s="944"/>
      <c r="Z384" s="944"/>
      <c r="AA384" s="944"/>
      <c r="AB384" s="944"/>
      <c r="AC384" s="945"/>
      <c r="AD384" s="943" t="s">
        <v>117</v>
      </c>
      <c r="AE384" s="944"/>
      <c r="AF384" s="944"/>
      <c r="AG384" s="944"/>
      <c r="AH384" s="944"/>
      <c r="AI384" s="944"/>
      <c r="AJ384" s="944"/>
      <c r="AK384" s="944"/>
      <c r="AL384" s="944"/>
      <c r="AM384" s="944"/>
      <c r="AN384" s="944"/>
      <c r="AO384" s="944"/>
      <c r="AP384" s="944"/>
      <c r="AQ384" s="945"/>
      <c r="AR384" s="943" t="s">
        <v>118</v>
      </c>
      <c r="AS384" s="944"/>
      <c r="AT384" s="944"/>
      <c r="AU384" s="944"/>
      <c r="AV384" s="944"/>
      <c r="AW384" s="944"/>
      <c r="AX384" s="944"/>
      <c r="AY384" s="944"/>
      <c r="AZ384" s="944"/>
      <c r="BA384" s="944"/>
      <c r="BB384" s="944"/>
      <c r="BC384" s="944"/>
      <c r="BD384" s="944"/>
      <c r="BE384" s="945"/>
      <c r="BF384" s="943" t="s">
        <v>119</v>
      </c>
      <c r="BG384" s="944"/>
      <c r="BH384" s="944"/>
      <c r="BI384" s="944"/>
      <c r="BJ384" s="944"/>
      <c r="BK384" s="944"/>
      <c r="BL384" s="944"/>
      <c r="BM384" s="944"/>
      <c r="BN384" s="944"/>
      <c r="BO384" s="944"/>
      <c r="BP384" s="944"/>
      <c r="BQ384" s="944"/>
      <c r="BR384" s="944"/>
      <c r="BS384" s="945"/>
      <c r="BT384" s="943" t="s">
        <v>120</v>
      </c>
      <c r="BU384" s="944"/>
      <c r="BV384" s="944"/>
      <c r="BW384" s="944"/>
      <c r="BX384" s="944"/>
      <c r="BY384" s="944"/>
      <c r="BZ384" s="944"/>
      <c r="CA384" s="944"/>
      <c r="CB384" s="944"/>
      <c r="CC384" s="944"/>
      <c r="CD384" s="944"/>
      <c r="CE384" s="944"/>
      <c r="CF384" s="944"/>
      <c r="CG384" s="945"/>
      <c r="CH384" s="943" t="s">
        <v>121</v>
      </c>
      <c r="CI384" s="944"/>
      <c r="CJ384" s="944"/>
      <c r="CK384" s="944"/>
      <c r="CL384" s="944"/>
      <c r="CM384" s="944"/>
      <c r="CN384" s="944"/>
      <c r="CO384" s="944"/>
      <c r="CP384" s="944"/>
      <c r="CQ384" s="944"/>
      <c r="CR384" s="944"/>
      <c r="CS384" s="944"/>
      <c r="CT384" s="944"/>
      <c r="CU384" s="945"/>
    </row>
    <row r="385" spans="16:99" x14ac:dyDescent="0.25">
      <c r="P385" s="575">
        <v>11</v>
      </c>
      <c r="Q385" s="575">
        <f>SUM(R386:AC421)</f>
        <v>0</v>
      </c>
      <c r="R385" s="3">
        <v>12</v>
      </c>
      <c r="S385" s="3">
        <v>11</v>
      </c>
      <c r="T385" s="3">
        <v>10</v>
      </c>
      <c r="U385" s="3">
        <v>9</v>
      </c>
      <c r="V385" s="3">
        <v>8</v>
      </c>
      <c r="W385" s="3">
        <v>7</v>
      </c>
      <c r="X385" s="3">
        <v>6</v>
      </c>
      <c r="Y385" s="3">
        <v>5</v>
      </c>
      <c r="Z385" s="3">
        <v>4</v>
      </c>
      <c r="AA385" s="3">
        <v>3</v>
      </c>
      <c r="AB385" s="3">
        <v>2</v>
      </c>
      <c r="AC385" s="519">
        <v>1</v>
      </c>
      <c r="AD385" s="575">
        <v>11</v>
      </c>
      <c r="AE385" s="575">
        <f>SUM(AF386:AQ421)</f>
        <v>0</v>
      </c>
      <c r="AF385" s="3">
        <v>12</v>
      </c>
      <c r="AG385" s="3">
        <v>11</v>
      </c>
      <c r="AH385" s="3">
        <v>10</v>
      </c>
      <c r="AI385" s="3">
        <v>9</v>
      </c>
      <c r="AJ385" s="3">
        <v>8</v>
      </c>
      <c r="AK385" s="3">
        <v>7</v>
      </c>
      <c r="AL385" s="3">
        <v>6</v>
      </c>
      <c r="AM385" s="3">
        <v>5</v>
      </c>
      <c r="AN385" s="3">
        <v>4</v>
      </c>
      <c r="AO385" s="3">
        <v>3</v>
      </c>
      <c r="AP385" s="3">
        <v>2</v>
      </c>
      <c r="AQ385" s="519">
        <v>1</v>
      </c>
      <c r="AR385" s="575">
        <v>11</v>
      </c>
      <c r="AS385" s="575">
        <f>SUM(AT386:BE421)</f>
        <v>0</v>
      </c>
      <c r="AT385" s="3">
        <v>12</v>
      </c>
      <c r="AU385" s="3">
        <v>11</v>
      </c>
      <c r="AV385" s="3">
        <v>10</v>
      </c>
      <c r="AW385" s="3">
        <v>9</v>
      </c>
      <c r="AX385" s="3">
        <v>8</v>
      </c>
      <c r="AY385" s="3">
        <v>7</v>
      </c>
      <c r="AZ385" s="3">
        <v>6</v>
      </c>
      <c r="BA385" s="3">
        <v>5</v>
      </c>
      <c r="BB385" s="3">
        <v>4</v>
      </c>
      <c r="BC385" s="3">
        <v>3</v>
      </c>
      <c r="BD385" s="3">
        <v>2</v>
      </c>
      <c r="BE385" s="519">
        <v>1</v>
      </c>
      <c r="BF385" s="575">
        <v>11</v>
      </c>
      <c r="BG385" s="575">
        <f>SUM(BH386:BS421)</f>
        <v>0</v>
      </c>
      <c r="BH385" s="3">
        <v>12</v>
      </c>
      <c r="BI385" s="3">
        <v>11</v>
      </c>
      <c r="BJ385" s="3">
        <v>10</v>
      </c>
      <c r="BK385" s="3">
        <v>9</v>
      </c>
      <c r="BL385" s="3">
        <v>8</v>
      </c>
      <c r="BM385" s="3">
        <v>7</v>
      </c>
      <c r="BN385" s="3">
        <v>6</v>
      </c>
      <c r="BO385" s="3">
        <v>5</v>
      </c>
      <c r="BP385" s="3">
        <v>4</v>
      </c>
      <c r="BQ385" s="3">
        <v>3</v>
      </c>
      <c r="BR385" s="3">
        <v>2</v>
      </c>
      <c r="BS385" s="519">
        <v>1</v>
      </c>
      <c r="BT385" s="575">
        <v>11</v>
      </c>
      <c r="BU385" s="575">
        <f>SUM(BV386:CG421)</f>
        <v>0</v>
      </c>
      <c r="BV385" s="3">
        <v>12</v>
      </c>
      <c r="BW385" s="3">
        <v>11</v>
      </c>
      <c r="BX385" s="3">
        <v>10</v>
      </c>
      <c r="BY385" s="3">
        <v>9</v>
      </c>
      <c r="BZ385" s="3">
        <v>8</v>
      </c>
      <c r="CA385" s="3">
        <v>7</v>
      </c>
      <c r="CB385" s="3">
        <v>6</v>
      </c>
      <c r="CC385" s="3">
        <v>5</v>
      </c>
      <c r="CD385" s="3">
        <v>4</v>
      </c>
      <c r="CE385" s="3">
        <v>3</v>
      </c>
      <c r="CF385" s="3">
        <v>2</v>
      </c>
      <c r="CG385" s="519">
        <v>1</v>
      </c>
      <c r="CH385" s="575">
        <v>11</v>
      </c>
      <c r="CI385" s="575">
        <f>SUM(CJ386:CU421)</f>
        <v>0</v>
      </c>
      <c r="CJ385" s="3">
        <v>12</v>
      </c>
      <c r="CK385" s="3">
        <v>11</v>
      </c>
      <c r="CL385" s="3">
        <v>10</v>
      </c>
      <c r="CM385" s="3">
        <v>9</v>
      </c>
      <c r="CN385" s="3">
        <v>8</v>
      </c>
      <c r="CO385" s="3">
        <v>7</v>
      </c>
      <c r="CP385" s="3">
        <v>6</v>
      </c>
      <c r="CQ385" s="3">
        <v>5</v>
      </c>
      <c r="CR385" s="3">
        <v>4</v>
      </c>
      <c r="CS385" s="3">
        <v>3</v>
      </c>
      <c r="CT385" s="3">
        <v>2</v>
      </c>
      <c r="CU385" s="519">
        <v>1</v>
      </c>
    </row>
    <row r="386" spans="16:99" x14ac:dyDescent="0.25">
      <c r="P386" s="940" t="s">
        <v>39</v>
      </c>
      <c r="Q386" s="13" t="s">
        <v>61</v>
      </c>
      <c r="R386" s="518" t="str">
        <f>IF(AND(_A1="A-350",'2025'!$N$4="CA",'2025'!$N$2=R385),'2025DATA'!$C$3,"")</f>
        <v/>
      </c>
      <c r="S386" s="518" t="str">
        <f>IF(AND(_A1="A-350",'2025'!$N$4="CA",'2025'!$N$2=S385),'2025DATA'!$D$3,"")</f>
        <v/>
      </c>
      <c r="T386" s="518" t="str">
        <f>IF(AND(_A1="A-350",'2025'!$N$4="CA",'2025'!$N$2=T385),'2025DATA'!$E$3,"")</f>
        <v/>
      </c>
      <c r="U386" s="518" t="str">
        <f>IF(AND(_A1="A-350",'2025'!$N$4="CA",'2025'!$N$2=U385),'2025DATA'!$F$3,"")</f>
        <v/>
      </c>
      <c r="V386" s="518" t="str">
        <f>IF(AND(_A1="A-350",'2025'!$N$4="CA",'2025'!$N$2=V385),'2025DATA'!$G$3,"")</f>
        <v/>
      </c>
      <c r="W386" s="518" t="str">
        <f>IF(AND(_A1="A-350",'2025'!$N$4="CA",'2025'!$N$2=W385),'2025DATA'!$H$3,"")</f>
        <v/>
      </c>
      <c r="X386" s="518" t="str">
        <f>IF(AND(_A1="A-350",'2025'!$N$4="CA",'2025'!$N$2=X385),'2025DATA'!$I$3,"")</f>
        <v/>
      </c>
      <c r="Y386" s="518" t="str">
        <f>IF(AND(_A1="A-350",'2025'!$N$4="CA",'2025'!$N$2=Y385),'2025DATA'!$J$3,"")</f>
        <v/>
      </c>
      <c r="Z386" s="518" t="str">
        <f>IF(AND(_A1="A-350",'2025'!$N$4="CA",'2025'!$N$2=Z385),'2025DATA'!$K$3,"")</f>
        <v/>
      </c>
      <c r="AA386" s="518" t="str">
        <f>IF(AND(_A1="A-350",'2025'!$N$4="CA",'2025'!$N$2=AA385),'2025DATA'!$L$3,"")</f>
        <v/>
      </c>
      <c r="AB386" s="518" t="str">
        <f>IF(AND(_A1="A-350",'2025'!$N$4="CA",'2025'!$N$2=AB385),'2025DATA'!$M$3,"")</f>
        <v/>
      </c>
      <c r="AC386" s="520" t="str">
        <f>IF(AND(_A1="A-350",'2025'!$N$4="CA",'2025'!$N$2=AC385),'2025DATA'!$N$3,"")</f>
        <v/>
      </c>
      <c r="AD386" s="940" t="s">
        <v>39</v>
      </c>
      <c r="AE386" s="13" t="s">
        <v>61</v>
      </c>
      <c r="AF386" s="518" t="str">
        <f>IF(AND(_A2="A-350",'2025'!$N$4="CA",'2025'!$N$2=AF385),'2025DATA'!$C$3,"")</f>
        <v/>
      </c>
      <c r="AG386" s="518" t="str">
        <f>IF(AND(_A2="A-350",'2025'!$N$4="CA",'2025'!$N$2=AG385),'2025DATA'!$D$3,"")</f>
        <v/>
      </c>
      <c r="AH386" s="518" t="str">
        <f>IF(AND(_A2="A-350",'2025'!$N$4="CA",'2025'!$N$2=AH385),'2025DATA'!$E$3,"")</f>
        <v/>
      </c>
      <c r="AI386" s="518" t="str">
        <f>IF(AND(_A2="A-350",'2025'!$N$4="CA",'2025'!$N$2=AI385),'2025DATA'!$F$3,"")</f>
        <v/>
      </c>
      <c r="AJ386" s="518" t="str">
        <f>IF(AND(_A2="A-350",'2025'!$N$4="CA",'2025'!$N$2=AJ385),'2025DATA'!$G$3,"")</f>
        <v/>
      </c>
      <c r="AK386" s="518" t="str">
        <f>IF(AND(_A2="A-350",'2025'!$N$4="CA",'2025'!$N$2=AK385),'2025DATA'!$H$3,"")</f>
        <v/>
      </c>
      <c r="AL386" s="518" t="str">
        <f>IF(AND(_A2="A-350",'2025'!$N$4="CA",'2025'!$N$2=AL385),'2025DATA'!$I$3,"")</f>
        <v/>
      </c>
      <c r="AM386" s="518" t="str">
        <f>IF(AND(_A2="A-350",'2025'!$N$4="CA",'2025'!$N$2=AM385),'2025DATA'!$J$3,"")</f>
        <v/>
      </c>
      <c r="AN386" s="518" t="str">
        <f>IF(AND(_A2="A-350",'2025'!$N$4="CA",'2025'!$N$2=AN385),'2025DATA'!$K$3,"")</f>
        <v/>
      </c>
      <c r="AO386" s="518" t="str">
        <f>IF(AND(_A2="A-350",'2025'!$N$4="CA",'2025'!$N$2=AO385),'2025DATA'!$L$3,"")</f>
        <v/>
      </c>
      <c r="AP386" s="518" t="str">
        <f>IF(AND(_A2="A-350",'2025'!$N$4="CA",'2025'!$N$2=AP385),'2025DATA'!$M$3,"")</f>
        <v/>
      </c>
      <c r="AQ386" s="520" t="str">
        <f>IF(AND(_A2="A-350",'2025'!$N$4="CA",'2025'!$N$2=AQ385),'2025DATA'!$N$3,"")</f>
        <v/>
      </c>
      <c r="AR386" s="940" t="s">
        <v>39</v>
      </c>
      <c r="AS386" s="13" t="s">
        <v>61</v>
      </c>
      <c r="AT386" s="518" t="str">
        <f>IF(AND(_A3="A-350",'2025'!$N$4="CA",'2025'!$N$2=AT385),'2025DATA'!$C$3,"")</f>
        <v/>
      </c>
      <c r="AU386" s="518" t="str">
        <f>IF(AND(_A3="A-350",'2025'!$N$4="CA",'2025'!$N$2=AU385),'2025DATA'!$D$3,"")</f>
        <v/>
      </c>
      <c r="AV386" s="518" t="str">
        <f>IF(AND(_A3="A-350",'2025'!$N$4="CA",'2025'!$N$2=AV385),'2025DATA'!$E$3,"")</f>
        <v/>
      </c>
      <c r="AW386" s="518" t="str">
        <f>IF(AND(_A3="A-350",'2025'!$N$4="CA",'2025'!$N$2=AW385),'2025DATA'!$F$3,"")</f>
        <v/>
      </c>
      <c r="AX386" s="518" t="str">
        <f>IF(AND(_A3="A-350",'2025'!$N$4="CA",'2025'!$N$2=AX385),'2025DATA'!$G$3,"")</f>
        <v/>
      </c>
      <c r="AY386" s="518" t="str">
        <f>IF(AND(_A3="A-350",'2025'!$N$4="CA",'2025'!$N$2=AY385),'2025DATA'!$H$3,"")</f>
        <v/>
      </c>
      <c r="AZ386" s="518" t="str">
        <f>IF(AND(_A3="A-350",'2025'!$N$4="CA",'2025'!$N$2=AZ385),'2025DATA'!$I$3,"")</f>
        <v/>
      </c>
      <c r="BA386" s="518" t="str">
        <f>IF(AND(_A3="A-350",'2025'!$N$4="CA",'2025'!$N$2=BA385),'2025DATA'!$J$3,"")</f>
        <v/>
      </c>
      <c r="BB386" s="518" t="str">
        <f>IF(AND(_A3="A-350",'2025'!$N$4="CA",'2025'!$N$2=BB385),'2025DATA'!$K$3,"")</f>
        <v/>
      </c>
      <c r="BC386" s="518" t="str">
        <f>IF(AND(_A3="A-350",'2025'!$N$4="CA",'2025'!$N$2=BC385),'2025DATA'!$L$3,"")</f>
        <v/>
      </c>
      <c r="BD386" s="518" t="str">
        <f>IF(AND(_A3="A-350",'2025'!$N$4="CA",'2025'!$N$2=BD385),'2025DATA'!$M$3,"")</f>
        <v/>
      </c>
      <c r="BE386" s="520" t="str">
        <f>IF(AND(_A3="A-350",'2025'!$N$4="CA",'2025'!$N$2=BE385),'2025DATA'!$N$3,"")</f>
        <v/>
      </c>
      <c r="BF386" s="940" t="s">
        <v>39</v>
      </c>
      <c r="BG386" s="13" t="s">
        <v>61</v>
      </c>
      <c r="BH386" s="518" t="str">
        <f>IF(AND(_A4="A-350",'2025'!$N$4="CA",'2025'!$N$2=BH385),'2025DATA'!$C$3,"")</f>
        <v/>
      </c>
      <c r="BI386" s="518" t="str">
        <f>IF(AND(_A4="A-350",'2025'!$N$4="CA",'2025'!$N$2=BI385),'2025DATA'!$D$3,"")</f>
        <v/>
      </c>
      <c r="BJ386" s="518" t="str">
        <f>IF(AND(_A4="A-350",'2025'!$N$4="CA",'2025'!$N$2=BJ385),'2025DATA'!$E$3,"")</f>
        <v/>
      </c>
      <c r="BK386" s="518" t="str">
        <f>IF(AND(_A4="A-350",'2025'!$N$4="CA",'2025'!$N$2=BK385),'2025DATA'!$F$3,"")</f>
        <v/>
      </c>
      <c r="BL386" s="518" t="str">
        <f>IF(AND(_A4="A-350",'2025'!$N$4="CA",'2025'!$N$2=BL385),'2025DATA'!$G$3,"")</f>
        <v/>
      </c>
      <c r="BM386" s="518" t="str">
        <f>IF(AND(_A4="A-350",'2025'!$N$4="CA",'2025'!$N$2=BM385),'2025DATA'!$H$3,"")</f>
        <v/>
      </c>
      <c r="BN386" s="518" t="str">
        <f>IF(AND(_A4="A-350",'2025'!$N$4="CA",'2025'!$N$2=BN385),'2025DATA'!$I$3,"")</f>
        <v/>
      </c>
      <c r="BO386" s="518" t="str">
        <f>IF(AND(_A4="A-350",'2025'!$N$4="CA",'2025'!$N$2=BO385),'2025DATA'!$J$3,"")</f>
        <v/>
      </c>
      <c r="BP386" s="518" t="str">
        <f>IF(AND(_A4="A-350",'2025'!$N$4="CA",'2025'!$N$2=BP385),'2025DATA'!$K$3,"")</f>
        <v/>
      </c>
      <c r="BQ386" s="518" t="str">
        <f>IF(AND(_A4="A-350",'2025'!$N$4="CA",'2025'!$N$2=BQ385),'2025DATA'!$L$3,"")</f>
        <v/>
      </c>
      <c r="BR386" s="518" t="str">
        <f>IF(AND(_A4="A-350",'2025'!$N$4="CA",'2025'!$N$2=BR385),'2025DATA'!$M$3,"")</f>
        <v/>
      </c>
      <c r="BS386" s="520" t="str">
        <f>IF(AND(_A4="A-350",'2025'!$N$4="CA",'2025'!$N$2=BS385),'2025DATA'!$N$3,"")</f>
        <v/>
      </c>
      <c r="BT386" s="940" t="s">
        <v>39</v>
      </c>
      <c r="BU386" s="13" t="s">
        <v>61</v>
      </c>
      <c r="BV386" s="518" t="str">
        <f>IF(AND(_A5="A-350",'2025'!$N$4="CA",'2025'!$N$2=BV385),'2025DATA'!$C$3,"")</f>
        <v/>
      </c>
      <c r="BW386" s="518" t="str">
        <f>IF(AND(_A5="A-350",'2025'!$N$4="CA",'2025'!$N$2=BW385),'2025DATA'!$D$3,"")</f>
        <v/>
      </c>
      <c r="BX386" s="518" t="str">
        <f>IF(AND(_A5="A-350",'2025'!$N$4="CA",'2025'!$N$2=BX385),'2025DATA'!$E$3,"")</f>
        <v/>
      </c>
      <c r="BY386" s="518" t="str">
        <f>IF(AND(_A5="A-350",'2025'!$N$4="CA",'2025'!$N$2=BY385),'2025DATA'!$F$3,"")</f>
        <v/>
      </c>
      <c r="BZ386" s="518" t="str">
        <f>IF(AND(_A5="A-350",'2025'!$N$4="CA",'2025'!$N$2=BZ385),'2025DATA'!$G$3,"")</f>
        <v/>
      </c>
      <c r="CA386" s="518" t="str">
        <f>IF(AND(_A5="A-350",'2025'!$N$4="CA",'2025'!$N$2=CA385),'2025DATA'!$H$3,"")</f>
        <v/>
      </c>
      <c r="CB386" s="518" t="str">
        <f>IF(AND(_A5="A-350",'2025'!$N$4="CA",'2025'!$N$2=CB385),'2025DATA'!$I$3,"")</f>
        <v/>
      </c>
      <c r="CC386" s="518" t="str">
        <f>IF(AND(_A5="A-350",'2025'!$N$4="CA",'2025'!$N$2=CC385),'2025DATA'!$J$3,"")</f>
        <v/>
      </c>
      <c r="CD386" s="518" t="str">
        <f>IF(AND(_A5="A-350",'2025'!$N$4="CA",'2025'!$N$2=CD385),'2025DATA'!$K$3,"")</f>
        <v/>
      </c>
      <c r="CE386" s="518" t="str">
        <f>IF(AND(_A5="A-350",'2025'!$N$4="CA",'2025'!$N$2=CE385),'2025DATA'!$L$3,"")</f>
        <v/>
      </c>
      <c r="CF386" s="518" t="str">
        <f>IF(AND(_A5="A-350",'2025'!$N$4="CA",'2025'!$N$2=CF385),'2025DATA'!$M$3,"")</f>
        <v/>
      </c>
      <c r="CG386" s="520" t="str">
        <f>IF(AND(_A5="A-350",'2025'!$N$4="CA",'2025'!$N$2=CG385),'2025DATA'!$N$3,"")</f>
        <v/>
      </c>
      <c r="CH386" s="940" t="s">
        <v>39</v>
      </c>
      <c r="CI386" s="13" t="s">
        <v>61</v>
      </c>
      <c r="CJ386" s="518" t="str">
        <f>IF(AND(_A6="A-350",'2025'!$N$4="CA",'2025'!$N$2=CJ385),'2025DATA'!$C$3,"")</f>
        <v/>
      </c>
      <c r="CK386" s="518" t="str">
        <f>IF(AND(_A6="A-350",'2025'!$N$4="CA",'2025'!$N$2=CK385),'2025DATA'!$D$3,"")</f>
        <v/>
      </c>
      <c r="CL386" s="518" t="str">
        <f>IF(AND(_A6="A-350",'2025'!$N$4="CA",'2025'!$N$2=CL385),'2025DATA'!$E$3,"")</f>
        <v/>
      </c>
      <c r="CM386" s="518" t="str">
        <f>IF(AND(_A6="A-350",'2025'!$N$4="CA",'2025'!$N$2=CM385),'2025DATA'!$F$3,"")</f>
        <v/>
      </c>
      <c r="CN386" s="518" t="str">
        <f>IF(AND(_A6="A-350",'2025'!$N$4="CA",'2025'!$N$2=CN385),'2025DATA'!$G$3,"")</f>
        <v/>
      </c>
      <c r="CO386" s="518" t="str">
        <f>IF(AND(_A6="A-350",'2025'!$N$4="CA",'2025'!$N$2=CO385),'2025DATA'!$H$3,"")</f>
        <v/>
      </c>
      <c r="CP386" s="518" t="str">
        <f>IF(AND(_A6="A-350",'2025'!$N$4="CA",'2025'!$N$2=CP385),'2025DATA'!$I$3,"")</f>
        <v/>
      </c>
      <c r="CQ386" s="518" t="str">
        <f>IF(AND(_A6="A-350",'2025'!$N$4="CA",'2025'!$N$2=CQ385),'2025DATA'!$J$3,"")</f>
        <v/>
      </c>
      <c r="CR386" s="518" t="str">
        <f>IF(AND(_A6="A-350",'2025'!$N$4="CA",'2025'!$N$2=CR385),'2025DATA'!$K$3,"")</f>
        <v/>
      </c>
      <c r="CS386" s="518" t="str">
        <f>IF(AND(_A6="A-350",'2025'!$N$4="CA",'2025'!$N$2=CS385),'2025DATA'!$L$3,"")</f>
        <v/>
      </c>
      <c r="CT386" s="518" t="str">
        <f>IF(AND(_A6="A-350",'2025'!$N$4="CA",'2025'!$N$2=CT385),'2025DATA'!$M$3,"")</f>
        <v/>
      </c>
      <c r="CU386" s="520" t="str">
        <f>IF(AND(_A6="A-350",'2025'!$N$4="CA",'2025'!$N$2=CU385),'2025DATA'!$N$3,"")</f>
        <v/>
      </c>
    </row>
    <row r="387" spans="16:99" x14ac:dyDescent="0.25">
      <c r="P387" s="940"/>
      <c r="Q387" s="13" t="s">
        <v>62</v>
      </c>
      <c r="R387" s="518" t="str">
        <f>IF(AND(_A1="A-350",'2025'!$N$4="FO",'2025'!$N$2=R385),'2025DATA'!$C$4,"")</f>
        <v/>
      </c>
      <c r="S387" s="518" t="str">
        <f>IF(AND(_A1="A-350",'2025'!$N$4="FO",'2025'!$N$2=S385),'2025DATA'!$D$4,"")</f>
        <v/>
      </c>
      <c r="T387" s="518" t="str">
        <f>IF(AND(_A1="A-350",'2025'!$N$4="FO",'2025'!$N$2=T385),'2025DATA'!$E$4,"")</f>
        <v/>
      </c>
      <c r="U387" s="518" t="str">
        <f>IF(AND(_A1="A-350",'2025'!$N$4="FO",'2025'!$N$2=U385),'2025DATA'!$F$4,"")</f>
        <v/>
      </c>
      <c r="V387" s="518" t="str">
        <f>IF(AND(_A1="A-350",'2025'!$N$4="FO",'2025'!$N$2=V385),'2025DATA'!$G$4,"")</f>
        <v/>
      </c>
      <c r="W387" s="518" t="str">
        <f>IF(AND(_A1="A-350",'2025'!$N$4="FO",'2025'!$N$2=W385),'2025DATA'!$H$4,"")</f>
        <v/>
      </c>
      <c r="X387" s="518" t="str">
        <f>IF(AND(_A1="A-350",'2025'!$N$4="FO",'2025'!$N$2=X385),'2025DATA'!$I$4,"")</f>
        <v/>
      </c>
      <c r="Y387" s="518" t="str">
        <f>IF(AND(_A1="A-350",'2025'!$N$4="FO",'2025'!$N$2=Y385),'2025DATA'!$J$4,"")</f>
        <v/>
      </c>
      <c r="Z387" s="518" t="str">
        <f>IF(AND(_A1="A-350",'2025'!$N$4="FO",'2025'!$N$2=Z385),'2025DATA'!$K$4,"")</f>
        <v/>
      </c>
      <c r="AA387" s="518" t="str">
        <f>IF(AND(_A1="A-350",'2025'!$N$4="FO",'2025'!$N$2=AA385),'2025DATA'!$L$4,"")</f>
        <v/>
      </c>
      <c r="AB387" s="518" t="str">
        <f>IF(AND(_A1="A-350",'2025'!$N$4="FO",'2025'!$N$2=AB385),'2025DATA'!$M$4,"")</f>
        <v/>
      </c>
      <c r="AC387" s="520" t="str">
        <f>IF(AND(_A1="A-350",'2025'!$N$4="FO",'2025'!$N$2=AC385),'2025DATA'!$N$4,"")</f>
        <v/>
      </c>
      <c r="AD387" s="940"/>
      <c r="AE387" s="13" t="s">
        <v>62</v>
      </c>
      <c r="AF387" s="518" t="str">
        <f>IF(AND(_A2="A-350",'2025'!$N$4="FO",'2025'!$N$2=AF385),'2025DATA'!$C$4,"")</f>
        <v/>
      </c>
      <c r="AG387" s="518" t="str">
        <f>IF(AND(_A2="A-350",'2025'!$N$4="FO",'2025'!$N$2=AG385),'2025DATA'!$D$4,"")</f>
        <v/>
      </c>
      <c r="AH387" s="518" t="str">
        <f>IF(AND(_A2="A-350",'2025'!$N$4="FO",'2025'!$N$2=AH385),'2025DATA'!$E$4,"")</f>
        <v/>
      </c>
      <c r="AI387" s="518" t="str">
        <f>IF(AND(_A2="A-350",'2025'!$N$4="FO",'2025'!$N$2=AI385),'2025DATA'!$F$4,"")</f>
        <v/>
      </c>
      <c r="AJ387" s="518" t="str">
        <f>IF(AND(_A2="A-350",'2025'!$N$4="FO",'2025'!$N$2=AJ385),'2025DATA'!$G$4,"")</f>
        <v/>
      </c>
      <c r="AK387" s="518" t="str">
        <f>IF(AND(_A2="A-350",'2025'!$N$4="FO",'2025'!$N$2=AK385),'2025DATA'!$H$4,"")</f>
        <v/>
      </c>
      <c r="AL387" s="518" t="str">
        <f>IF(AND(_A2="A-350",'2025'!$N$4="FO",'2025'!$N$2=AL385),'2025DATA'!$I$4,"")</f>
        <v/>
      </c>
      <c r="AM387" s="518" t="str">
        <f>IF(AND(_A2="A-350",'2025'!$N$4="FO",'2025'!$N$2=AM385),'2025DATA'!$J$4,"")</f>
        <v/>
      </c>
      <c r="AN387" s="518" t="str">
        <f>IF(AND(_A2="A-350",'2025'!$N$4="FO",'2025'!$N$2=AN385),'2025DATA'!$K$4,"")</f>
        <v/>
      </c>
      <c r="AO387" s="518" t="str">
        <f>IF(AND(_A2="A-350",'2025'!$N$4="FO",'2025'!$N$2=AO385),'2025DATA'!$L$4,"")</f>
        <v/>
      </c>
      <c r="AP387" s="518" t="str">
        <f>IF(AND(_A2="A-350",'2025'!$N$4="FO",'2025'!$N$2=AP385),'2025DATA'!$M$4,"")</f>
        <v/>
      </c>
      <c r="AQ387" s="520" t="str">
        <f>IF(AND(_A2="A-350",'2025'!$N$4="FO",'2025'!$N$2=AQ385),'2025DATA'!$N$4,"")</f>
        <v/>
      </c>
      <c r="AR387" s="940"/>
      <c r="AS387" s="13" t="s">
        <v>62</v>
      </c>
      <c r="AT387" s="518" t="str">
        <f>IF(AND(_A3="A-350",'2025'!$N$4="FO",'2025'!$N$2=AT385),'2025DATA'!$C$4,"")</f>
        <v/>
      </c>
      <c r="AU387" s="518" t="str">
        <f>IF(AND(_A3="A-350",'2025'!$N$4="FO",'2025'!$N$2=AU385),'2025DATA'!$D$4,"")</f>
        <v/>
      </c>
      <c r="AV387" s="518" t="str">
        <f>IF(AND(_A3="A-350",'2025'!$N$4="FO",'2025'!$N$2=AV385),'2025DATA'!$E$4,"")</f>
        <v/>
      </c>
      <c r="AW387" s="518" t="str">
        <f>IF(AND(_A3="A-350",'2025'!$N$4="FO",'2025'!$N$2=AW385),'2025DATA'!$F$4,"")</f>
        <v/>
      </c>
      <c r="AX387" s="518" t="str">
        <f>IF(AND(_A3="A-350",'2025'!$N$4="FO",'2025'!$N$2=AX385),'2025DATA'!$G$4,"")</f>
        <v/>
      </c>
      <c r="AY387" s="518" t="str">
        <f>IF(AND(_A3="A-350",'2025'!$N$4="FO",'2025'!$N$2=AY385),'2025DATA'!$H$4,"")</f>
        <v/>
      </c>
      <c r="AZ387" s="518" t="str">
        <f>IF(AND(_A3="A-350",'2025'!$N$4="FO",'2025'!$N$2=AZ385),'2025DATA'!$I$4,"")</f>
        <v/>
      </c>
      <c r="BA387" s="518" t="str">
        <f>IF(AND(_A3="A-350",'2025'!$N$4="FO",'2025'!$N$2=BA385),'2025DATA'!$J$4,"")</f>
        <v/>
      </c>
      <c r="BB387" s="518" t="str">
        <f>IF(AND(_A3="A-350",'2025'!$N$4="FO",'2025'!$N$2=BB385),'2025DATA'!$K$4,"")</f>
        <v/>
      </c>
      <c r="BC387" s="518" t="str">
        <f>IF(AND(_A3="A-350",'2025'!$N$4="FO",'2025'!$N$2=BC385),'2025DATA'!$L$4,"")</f>
        <v/>
      </c>
      <c r="BD387" s="518" t="str">
        <f>IF(AND(_A3="A-350",'2025'!$N$4="FO",'2025'!$N$2=BD385),'2025DATA'!$M$4,"")</f>
        <v/>
      </c>
      <c r="BE387" s="520" t="str">
        <f>IF(AND(_A3="A-350",'2025'!$N$4="FO",'2025'!$N$2=BE385),'2025DATA'!$N$4,"")</f>
        <v/>
      </c>
      <c r="BF387" s="940"/>
      <c r="BG387" s="13" t="s">
        <v>62</v>
      </c>
      <c r="BH387" s="518" t="str">
        <f>IF(AND(_A4="A-350",'2025'!$N$4="FO",'2025'!$N$2=BH385),'2025DATA'!$C$4,"")</f>
        <v/>
      </c>
      <c r="BI387" s="518" t="str">
        <f>IF(AND(_A4="A-350",'2025'!$N$4="FO",'2025'!$N$2=BI385),'2025DATA'!$D$4,"")</f>
        <v/>
      </c>
      <c r="BJ387" s="518" t="str">
        <f>IF(AND(_A4="A-350",'2025'!$N$4="FO",'2025'!$N$2=BJ385),'2025DATA'!$E$4,"")</f>
        <v/>
      </c>
      <c r="BK387" s="518" t="str">
        <f>IF(AND(_A4="A-350",'2025'!$N$4="FO",'2025'!$N$2=BK385),'2025DATA'!$F$4,"")</f>
        <v/>
      </c>
      <c r="BL387" s="518" t="str">
        <f>IF(AND(_A4="A-350",'2025'!$N$4="FO",'2025'!$N$2=BL385),'2025DATA'!$G$4,"")</f>
        <v/>
      </c>
      <c r="BM387" s="518" t="str">
        <f>IF(AND(_A4="A-350",'2025'!$N$4="FO",'2025'!$N$2=BM385),'2025DATA'!$H$4,"")</f>
        <v/>
      </c>
      <c r="BN387" s="518" t="str">
        <f>IF(AND(_A4="A-350",'2025'!$N$4="FO",'2025'!$N$2=BN385),'2025DATA'!$I$4,"")</f>
        <v/>
      </c>
      <c r="BO387" s="518" t="str">
        <f>IF(AND(_A4="A-350",'2025'!$N$4="FO",'2025'!$N$2=BO385),'2025DATA'!$J$4,"")</f>
        <v/>
      </c>
      <c r="BP387" s="518" t="str">
        <f>IF(AND(_A4="A-350",'2025'!$N$4="FO",'2025'!$N$2=BP385),'2025DATA'!$K$4,"")</f>
        <v/>
      </c>
      <c r="BQ387" s="518" t="str">
        <f>IF(AND(_A4="A-350",'2025'!$N$4="FO",'2025'!$N$2=BQ385),'2025DATA'!$L$4,"")</f>
        <v/>
      </c>
      <c r="BR387" s="518" t="str">
        <f>IF(AND(_A4="A-350",'2025'!$N$4="FO",'2025'!$N$2=BR385),'2025DATA'!$M$4,"")</f>
        <v/>
      </c>
      <c r="BS387" s="520" t="str">
        <f>IF(AND(_A4="A-350",'2025'!$N$4="FO",'2025'!$N$2=BS385),'2025DATA'!$N$4,"")</f>
        <v/>
      </c>
      <c r="BT387" s="940"/>
      <c r="BU387" s="13" t="s">
        <v>62</v>
      </c>
      <c r="BV387" s="518" t="str">
        <f>IF(AND(_A5="A-350",'2025'!$N$4="FO",'2025'!$N$2=BV385),'2025DATA'!$C$4,"")</f>
        <v/>
      </c>
      <c r="BW387" s="518" t="str">
        <f>IF(AND(_A5="A-350",'2025'!$N$4="FO",'2025'!$N$2=BW385),'2025DATA'!$D$4,"")</f>
        <v/>
      </c>
      <c r="BX387" s="518" t="str">
        <f>IF(AND(_A5="A-350",'2025'!$N$4="FO",'2025'!$N$2=BX385),'2025DATA'!$E$4,"")</f>
        <v/>
      </c>
      <c r="BY387" s="518" t="str">
        <f>IF(AND(_A5="A-350",'2025'!$N$4="FO",'2025'!$N$2=BY385),'2025DATA'!$F$4,"")</f>
        <v/>
      </c>
      <c r="BZ387" s="518" t="str">
        <f>IF(AND(_A5="A-350",'2025'!$N$4="FO",'2025'!$N$2=BZ385),'2025DATA'!$G$4,"")</f>
        <v/>
      </c>
      <c r="CA387" s="518" t="str">
        <f>IF(AND(_A5="A-350",'2025'!$N$4="FO",'2025'!$N$2=CA385),'2025DATA'!$H$4,"")</f>
        <v/>
      </c>
      <c r="CB387" s="518" t="str">
        <f>IF(AND(_A5="A-350",'2025'!$N$4="FO",'2025'!$N$2=CB385),'2025DATA'!$I$4,"")</f>
        <v/>
      </c>
      <c r="CC387" s="518" t="str">
        <f>IF(AND(_A5="A-350",'2025'!$N$4="FO",'2025'!$N$2=CC385),'2025DATA'!$J$4,"")</f>
        <v/>
      </c>
      <c r="CD387" s="518" t="str">
        <f>IF(AND(_A5="A-350",'2025'!$N$4="FO",'2025'!$N$2=CD385),'2025DATA'!$K$4,"")</f>
        <v/>
      </c>
      <c r="CE387" s="518" t="str">
        <f>IF(AND(_A5="A-350",'2025'!$N$4="FO",'2025'!$N$2=CE385),'2025DATA'!$L$4,"")</f>
        <v/>
      </c>
      <c r="CF387" s="518" t="str">
        <f>IF(AND(_A5="A-350",'2025'!$N$4="FO",'2025'!$N$2=CF385),'2025DATA'!$M$4,"")</f>
        <v/>
      </c>
      <c r="CG387" s="520" t="str">
        <f>IF(AND(_A5="A-350",'2025'!$N$4="FO",'2025'!$N$2=CG385),'2025DATA'!$N$4,"")</f>
        <v/>
      </c>
      <c r="CH387" s="940"/>
      <c r="CI387" s="13" t="s">
        <v>62</v>
      </c>
      <c r="CJ387" s="518" t="str">
        <f>IF(AND(_A6="A-350",'2025'!$N$4="FO",'2025'!$N$2=CJ385),'2025DATA'!$C$4,"")</f>
        <v/>
      </c>
      <c r="CK387" s="518" t="str">
        <f>IF(AND(_A6="A-350",'2025'!$N$4="FO",'2025'!$N$2=CK385),'2025DATA'!$D$4,"")</f>
        <v/>
      </c>
      <c r="CL387" s="518" t="str">
        <f>IF(AND(_A6="A-350",'2025'!$N$4="FO",'2025'!$N$2=CL385),'2025DATA'!$E$4,"")</f>
        <v/>
      </c>
      <c r="CM387" s="518" t="str">
        <f>IF(AND(_A6="A-350",'2025'!$N$4="FO",'2025'!$N$2=CM385),'2025DATA'!$F$4,"")</f>
        <v/>
      </c>
      <c r="CN387" s="518" t="str">
        <f>IF(AND(_A6="A-350",'2025'!$N$4="FO",'2025'!$N$2=CN385),'2025DATA'!$G$4,"")</f>
        <v/>
      </c>
      <c r="CO387" s="518" t="str">
        <f>IF(AND(_A6="A-350",'2025'!$N$4="FO",'2025'!$N$2=CO385),'2025DATA'!$H$4,"")</f>
        <v/>
      </c>
      <c r="CP387" s="518" t="str">
        <f>IF(AND(_A6="A-350",'2025'!$N$4="FO",'2025'!$N$2=CP385),'2025DATA'!$I$4,"")</f>
        <v/>
      </c>
      <c r="CQ387" s="518" t="str">
        <f>IF(AND(_A6="A-350",'2025'!$N$4="FO",'2025'!$N$2=CQ385),'2025DATA'!$J$4,"")</f>
        <v/>
      </c>
      <c r="CR387" s="518" t="str">
        <f>IF(AND(_A6="A-350",'2025'!$N$4="FO",'2025'!$N$2=CR385),'2025DATA'!$K$4,"")</f>
        <v/>
      </c>
      <c r="CS387" s="518" t="str">
        <f>IF(AND(_A6="A-350",'2025'!$N$4="FO",'2025'!$N$2=CS385),'2025DATA'!$L$4,"")</f>
        <v/>
      </c>
      <c r="CT387" s="518" t="str">
        <f>IF(AND(_A6="A-350",'2025'!$N$4="FO",'2025'!$N$2=CT385),'2025DATA'!$M$4,"")</f>
        <v/>
      </c>
      <c r="CU387" s="520" t="str">
        <f>IF(AND(_A6="A-350",'2025'!$N$4="FO",'2025'!$N$2=CU385),'2025DATA'!$N$4,"")</f>
        <v/>
      </c>
    </row>
    <row r="388" spans="16:99" x14ac:dyDescent="0.25">
      <c r="P388" s="940" t="s">
        <v>65</v>
      </c>
      <c r="Q388" s="13" t="s">
        <v>61</v>
      </c>
      <c r="R388" s="518" t="str">
        <f>IF(AND(_A1="A-330-900",'2025'!$N$4="CA",'2025'!$N$2=R385),'2025DATA'!$C$5,"")</f>
        <v/>
      </c>
      <c r="S388" s="518" t="str">
        <f>IF(AND(_A1="A-330-900",'2025'!$N$4="CA",'2025'!$N$2=S385),'2025DATA'!$D$5,"")</f>
        <v/>
      </c>
      <c r="T388" s="518" t="str">
        <f>IF(AND(_A1="A-330-900",'2025'!$N$4="CA",'2025'!$N$2=T385),'2025DATA'!$E$5,"")</f>
        <v/>
      </c>
      <c r="U388" s="518" t="str">
        <f>IF(AND(_A1="A-330-900",'2025'!$N$4="CA",'2025'!$N$2=U385),'2025DATA'!$F$5,"")</f>
        <v/>
      </c>
      <c r="V388" s="518" t="str">
        <f>IF(AND(_A1="A-330-900",'2025'!$N$4="CA",'2025'!$N$2=V385),'2025DATA'!$G$5,"")</f>
        <v/>
      </c>
      <c r="W388" s="518" t="str">
        <f>IF(AND(_A1="A-330-900",'2025'!$N$4="CA",'2025'!$N$2=W385),'2025DATA'!$H$5,"")</f>
        <v/>
      </c>
      <c r="X388" s="518" t="str">
        <f>IF(AND(_A1="A-330-900",'2025'!$N$4="CA",'2025'!$N$2=X385),'2025DATA'!$I$5,"")</f>
        <v/>
      </c>
      <c r="Y388" s="518" t="str">
        <f>IF(AND(_A1="A-330-900",'2025'!$N$4="CA",'2025'!$N$2=Y385),'2025DATA'!$J$5,"")</f>
        <v/>
      </c>
      <c r="Z388" s="518" t="str">
        <f>IF(AND(_A1="A-330-900",'2025'!$N$4="CA",'2025'!$N$2=Z385),'2025DATA'!$K$5,"")</f>
        <v/>
      </c>
      <c r="AA388" s="518" t="str">
        <f>IF(AND(_A1="A-330-900",'2025'!$N$4="CA",'2025'!$N$2=AA385),'2025DATA'!$L$5,"")</f>
        <v/>
      </c>
      <c r="AB388" s="518" t="str">
        <f>IF(AND(_A1="A-330-900",'2025'!$N$4="CA",'2025'!$N$2=AB385),'2025DATA'!$M$5,"")</f>
        <v/>
      </c>
      <c r="AC388" s="520" t="str">
        <f>IF(AND(_A1="A-330-900",'2025'!$N$4="CA",'2025'!$N$2=AC385),'2025DATA'!$N$5,"")</f>
        <v/>
      </c>
      <c r="AD388" s="940" t="s">
        <v>65</v>
      </c>
      <c r="AE388" s="13" t="s">
        <v>61</v>
      </c>
      <c r="AF388" s="518" t="str">
        <f>IF(AND(_A2="A-330-900",'2025'!$N$4="CA",'2025'!$N$2=AF385),'2025DATA'!$C$5,"")</f>
        <v/>
      </c>
      <c r="AG388" s="518" t="str">
        <f>IF(AND(_A2="A-330-900",'2025'!$N$4="CA",'2025'!$N$2=AG385),'2025DATA'!$D$5,"")</f>
        <v/>
      </c>
      <c r="AH388" s="518" t="str">
        <f>IF(AND(_A2="A-330-900",'2025'!$N$4="CA",'2025'!$N$2=AH385),'2025DATA'!$E$5,"")</f>
        <v/>
      </c>
      <c r="AI388" s="518" t="str">
        <f>IF(AND(_A2="A-330-900",'2025'!$N$4="CA",'2025'!$N$2=AI385),'2025DATA'!$F$5,"")</f>
        <v/>
      </c>
      <c r="AJ388" s="518" t="str">
        <f>IF(AND(_A2="A-330-900",'2025'!$N$4="CA",'2025'!$N$2=AJ385),'2025DATA'!$G$5,"")</f>
        <v/>
      </c>
      <c r="AK388" s="518" t="str">
        <f>IF(AND(_A2="A-330-900",'2025'!$N$4="CA",'2025'!$N$2=AK385),'2025DATA'!$H$5,"")</f>
        <v/>
      </c>
      <c r="AL388" s="518" t="str">
        <f>IF(AND(_A2="A-330-900",'2025'!$N$4="CA",'2025'!$N$2=AL385),'2025DATA'!$I$5,"")</f>
        <v/>
      </c>
      <c r="AM388" s="518" t="str">
        <f>IF(AND(_A2="A-330-900",'2025'!$N$4="CA",'2025'!$N$2=AM385),'2025DATA'!$J$5,"")</f>
        <v/>
      </c>
      <c r="AN388" s="518" t="str">
        <f>IF(AND(_A2="A-330-900",'2025'!$N$4="CA",'2025'!$N$2=AN385),'2025DATA'!$K$5,"")</f>
        <v/>
      </c>
      <c r="AO388" s="518" t="str">
        <f>IF(AND(_A2="A-330-900",'2025'!$N$4="CA",'2025'!$N$2=AO385),'2025DATA'!$L$5,"")</f>
        <v/>
      </c>
      <c r="AP388" s="518" t="str">
        <f>IF(AND(_A2="A-330-900",'2025'!$N$4="CA",'2025'!$N$2=AP385),'2025DATA'!$M$5,"")</f>
        <v/>
      </c>
      <c r="AQ388" s="520" t="str">
        <f>IF(AND(_A2="A-330-900",'2025'!$N$4="CA",'2025'!$N$2=AQ385),'2025DATA'!$N$5,"")</f>
        <v/>
      </c>
      <c r="AR388" s="940" t="s">
        <v>65</v>
      </c>
      <c r="AS388" s="13" t="s">
        <v>61</v>
      </c>
      <c r="AT388" s="518" t="str">
        <f>IF(AND(_A3="A-330-900",'2025'!$N$4="CA",'2025'!$N$2=AT385),'2025DATA'!$C$5,"")</f>
        <v/>
      </c>
      <c r="AU388" s="518" t="str">
        <f>IF(AND(_A3="A-330-900",'2025'!$N$4="CA",'2025'!$N$2=AU385),'2025DATA'!$D$5,"")</f>
        <v/>
      </c>
      <c r="AV388" s="518" t="str">
        <f>IF(AND(_A3="A-330-900",'2025'!$N$4="CA",'2025'!$N$2=AV385),'2025DATA'!$E$5,"")</f>
        <v/>
      </c>
      <c r="AW388" s="518" t="str">
        <f>IF(AND(_A3="A-330-900",'2025'!$N$4="CA",'2025'!$N$2=AW385),'2025DATA'!$F$5,"")</f>
        <v/>
      </c>
      <c r="AX388" s="518" t="str">
        <f>IF(AND(_A3="A-330-900",'2025'!$N$4="CA",'2025'!$N$2=AX385),'2025DATA'!$G$5,"")</f>
        <v/>
      </c>
      <c r="AY388" s="518" t="str">
        <f>IF(AND(_A3="A-330-900",'2025'!$N$4="CA",'2025'!$N$2=AY385),'2025DATA'!$H$5,"")</f>
        <v/>
      </c>
      <c r="AZ388" s="518" t="str">
        <f>IF(AND(_A3="A-330-900",'2025'!$N$4="CA",'2025'!$N$2=AZ385),'2025DATA'!$I$5,"")</f>
        <v/>
      </c>
      <c r="BA388" s="518" t="str">
        <f>IF(AND(_A3="A-330-900",'2025'!$N$4="CA",'2025'!$N$2=BA385),'2025DATA'!$J$5,"")</f>
        <v/>
      </c>
      <c r="BB388" s="518" t="str">
        <f>IF(AND(_A3="A-330-900",'2025'!$N$4="CA",'2025'!$N$2=BB385),'2025DATA'!$K$5,"")</f>
        <v/>
      </c>
      <c r="BC388" s="518" t="str">
        <f>IF(AND(_A3="A-330-900",'2025'!$N$4="CA",'2025'!$N$2=BC385),'2025DATA'!$L$5,"")</f>
        <v/>
      </c>
      <c r="BD388" s="518" t="str">
        <f>IF(AND(_A3="A-330-900",'2025'!$N$4="CA",'2025'!$N$2=BD385),'2025DATA'!$M$5,"")</f>
        <v/>
      </c>
      <c r="BE388" s="520" t="str">
        <f>IF(AND(_A3="A-330-900",'2025'!$N$4="CA",'2025'!$N$2=BE385),'2025DATA'!$N$5,"")</f>
        <v/>
      </c>
      <c r="BF388" s="940" t="s">
        <v>65</v>
      </c>
      <c r="BG388" s="13" t="s">
        <v>61</v>
      </c>
      <c r="BH388" s="518" t="str">
        <f>IF(AND(_A4="A-330-900",'2025'!$N$4="CA",'2025'!$N$2=BH385),'2025DATA'!$C$5,"")</f>
        <v/>
      </c>
      <c r="BI388" s="518" t="str">
        <f>IF(AND(_A4="A-330-900",'2025'!$N$4="CA",'2025'!$N$2=BI385),'2025DATA'!$D$5,"")</f>
        <v/>
      </c>
      <c r="BJ388" s="518" t="str">
        <f>IF(AND(_A4="A-330-900",'2025'!$N$4="CA",'2025'!$N$2=BJ385),'2025DATA'!$E$5,"")</f>
        <v/>
      </c>
      <c r="BK388" s="518" t="str">
        <f>IF(AND(_A4="A-330-900",'2025'!$N$4="CA",'2025'!$N$2=BK385),'2025DATA'!$F$5,"")</f>
        <v/>
      </c>
      <c r="BL388" s="518" t="str">
        <f>IF(AND(_A4="A-330-900",'2025'!$N$4="CA",'2025'!$N$2=BL385),'2025DATA'!$G$5,"")</f>
        <v/>
      </c>
      <c r="BM388" s="518" t="str">
        <f>IF(AND(_A4="A-330-900",'2025'!$N$4="CA",'2025'!$N$2=BM385),'2025DATA'!$H$5,"")</f>
        <v/>
      </c>
      <c r="BN388" s="518" t="str">
        <f>IF(AND(_A4="A-330-900",'2025'!$N$4="CA",'2025'!$N$2=BN385),'2025DATA'!$I$5,"")</f>
        <v/>
      </c>
      <c r="BO388" s="518" t="str">
        <f>IF(AND(_A4="A-330-900",'2025'!$N$4="CA",'2025'!$N$2=BO385),'2025DATA'!$J$5,"")</f>
        <v/>
      </c>
      <c r="BP388" s="518" t="str">
        <f>IF(AND(_A4="A-330-900",'2025'!$N$4="CA",'2025'!$N$2=BP385),'2025DATA'!$K$5,"")</f>
        <v/>
      </c>
      <c r="BQ388" s="518" t="str">
        <f>IF(AND(_A4="A-330-900",'2025'!$N$4="CA",'2025'!$N$2=BQ385),'2025DATA'!$L$5,"")</f>
        <v/>
      </c>
      <c r="BR388" s="518" t="str">
        <f>IF(AND(_A4="A-330-900",'2025'!$N$4="CA",'2025'!$N$2=BR385),'2025DATA'!$M$5,"")</f>
        <v/>
      </c>
      <c r="BS388" s="520" t="str">
        <f>IF(AND(_A4="A-330-900",'2025'!$N$4="CA",'2025'!$N$2=BS385),'2025DATA'!$N$5,"")</f>
        <v/>
      </c>
      <c r="BT388" s="940" t="s">
        <v>65</v>
      </c>
      <c r="BU388" s="13" t="s">
        <v>61</v>
      </c>
      <c r="BV388" s="518" t="str">
        <f>IF(AND(_A5="A-330-900",'2025'!$N$4="CA",'2025'!$N$2=BV385),'2025DATA'!$C$5,"")</f>
        <v/>
      </c>
      <c r="BW388" s="518" t="str">
        <f>IF(AND(_A5="A-330-900",'2025'!$N$4="CA",'2025'!$N$2=BW385),'2025DATA'!$D$5,"")</f>
        <v/>
      </c>
      <c r="BX388" s="518" t="str">
        <f>IF(AND(_A5="A-330-900",'2025'!$N$4="CA",'2025'!$N$2=BX385),'2025DATA'!$E$5,"")</f>
        <v/>
      </c>
      <c r="BY388" s="518" t="str">
        <f>IF(AND(_A5="A-330-900",'2025'!$N$4="CA",'2025'!$N$2=BY385),'2025DATA'!$F$5,"")</f>
        <v/>
      </c>
      <c r="BZ388" s="518" t="str">
        <f>IF(AND(_A5="A-330-900",'2025'!$N$4="CA",'2025'!$N$2=BZ385),'2025DATA'!$G$5,"")</f>
        <v/>
      </c>
      <c r="CA388" s="518" t="str">
        <f>IF(AND(_A5="A-330-900",'2025'!$N$4="CA",'2025'!$N$2=CA385),'2025DATA'!$H$5,"")</f>
        <v/>
      </c>
      <c r="CB388" s="518" t="str">
        <f>IF(AND(_A5="A-330-900",'2025'!$N$4="CA",'2025'!$N$2=CB385),'2025DATA'!$I$5,"")</f>
        <v/>
      </c>
      <c r="CC388" s="518" t="str">
        <f>IF(AND(_A5="A-330-900",'2025'!$N$4="CA",'2025'!$N$2=CC385),'2025DATA'!$J$5,"")</f>
        <v/>
      </c>
      <c r="CD388" s="518" t="str">
        <f>IF(AND(_A5="A-330-900",'2025'!$N$4="CA",'2025'!$N$2=CD385),'2025DATA'!$K$5,"")</f>
        <v/>
      </c>
      <c r="CE388" s="518" t="str">
        <f>IF(AND(_A5="A-330-900",'2025'!$N$4="CA",'2025'!$N$2=CE385),'2025DATA'!$L$5,"")</f>
        <v/>
      </c>
      <c r="CF388" s="518" t="str">
        <f>IF(AND(_A5="A-330-900",'2025'!$N$4="CA",'2025'!$N$2=CF385),'2025DATA'!$M$5,"")</f>
        <v/>
      </c>
      <c r="CG388" s="520" t="str">
        <f>IF(AND(_A5="A-330-900",'2025'!$N$4="CA",'2025'!$N$2=CG385),'2025DATA'!$N$5,"")</f>
        <v/>
      </c>
      <c r="CH388" s="940" t="s">
        <v>65</v>
      </c>
      <c r="CI388" s="13" t="s">
        <v>61</v>
      </c>
      <c r="CJ388" s="518" t="str">
        <f>IF(AND(_A6="A-330-900",'2025'!$N$4="CA",'2025'!$N$2=CJ385),'2025DATA'!$C$5,"")</f>
        <v/>
      </c>
      <c r="CK388" s="518" t="str">
        <f>IF(AND(_A6="A-330-900",'2025'!$N$4="CA",'2025'!$N$2=CK385),'2025DATA'!$D$5,"")</f>
        <v/>
      </c>
      <c r="CL388" s="518" t="str">
        <f>IF(AND(_A6="A-330-900",'2025'!$N$4="CA",'2025'!$N$2=CL385),'2025DATA'!$E$5,"")</f>
        <v/>
      </c>
      <c r="CM388" s="518" t="str">
        <f>IF(AND(_A6="A-330-900",'2025'!$N$4="CA",'2025'!$N$2=CM385),'2025DATA'!$F$5,"")</f>
        <v/>
      </c>
      <c r="CN388" s="518" t="str">
        <f>IF(AND(_A6="A-330-900",'2025'!$N$4="CA",'2025'!$N$2=CN385),'2025DATA'!$G$5,"")</f>
        <v/>
      </c>
      <c r="CO388" s="518" t="str">
        <f>IF(AND(_A6="A-330-900",'2025'!$N$4="CA",'2025'!$N$2=CO385),'2025DATA'!$H$5,"")</f>
        <v/>
      </c>
      <c r="CP388" s="518" t="str">
        <f>IF(AND(_A6="A-330-900",'2025'!$N$4="CA",'2025'!$N$2=CP385),'2025DATA'!$I$5,"")</f>
        <v/>
      </c>
      <c r="CQ388" s="518" t="str">
        <f>IF(AND(_A6="A-330-900",'2025'!$N$4="CA",'2025'!$N$2=CQ385),'2025DATA'!$J$5,"")</f>
        <v/>
      </c>
      <c r="CR388" s="518" t="str">
        <f>IF(AND(_A6="A-330-900",'2025'!$N$4="CA",'2025'!$N$2=CR385),'2025DATA'!$K$5,"")</f>
        <v/>
      </c>
      <c r="CS388" s="518" t="str">
        <f>IF(AND(_A6="A-330-900",'2025'!$N$4="CA",'2025'!$N$2=CS385),'2025DATA'!$L$5,"")</f>
        <v/>
      </c>
      <c r="CT388" s="518" t="str">
        <f>IF(AND(_A6="A-330-900",'2025'!$N$4="CA",'2025'!$N$2=CT385),'2025DATA'!$M$5,"")</f>
        <v/>
      </c>
      <c r="CU388" s="520" t="str">
        <f>IF(AND(_A6="A-330-900",'2025'!$N$4="CA",'2025'!$N$2=CU385),'2025DATA'!$N$5,"")</f>
        <v/>
      </c>
    </row>
    <row r="389" spans="16:99" x14ac:dyDescent="0.25">
      <c r="P389" s="940"/>
      <c r="Q389" s="13" t="s">
        <v>62</v>
      </c>
      <c r="R389" s="518" t="str">
        <f>IF(AND(_A1="A-330-900",'2025'!$N$4="FO",'2025'!$N$2=R385),'2025DATA'!$C$6,"")</f>
        <v/>
      </c>
      <c r="S389" s="518" t="str">
        <f>IF(AND(_A1="A-330-900",'2025'!$N$4="FO",'2025'!$N$2=S385),'2025DATA'!$D$6,"")</f>
        <v/>
      </c>
      <c r="T389" s="518" t="str">
        <f>IF(AND(_A1="A-330-900",'2025'!$N$4="FO",'2025'!$N$2=T385),'2025DATA'!$E$6,"")</f>
        <v/>
      </c>
      <c r="U389" s="518" t="str">
        <f>IF(AND(_A1="A-330-900",'2025'!$N$4="FO",'2025'!$N$2=U385),'2025DATA'!$F$6,"")</f>
        <v/>
      </c>
      <c r="V389" s="518" t="str">
        <f>IF(AND(_A1="A-330-900",'2025'!$N$4="FO",'2025'!$N$2=V385),'2025DATA'!$G$6,"")</f>
        <v/>
      </c>
      <c r="W389" s="518" t="str">
        <f>IF(AND(_A1="A-330-900",'2025'!$N$4="FO",'2025'!$N$2=W385),'2025DATA'!$H$6,"")</f>
        <v/>
      </c>
      <c r="X389" s="518" t="str">
        <f>IF(AND(_A1="A-330-900",'2025'!$N$4="FO",'2025'!$N$2=X385),'2025DATA'!$I$6,"")</f>
        <v/>
      </c>
      <c r="Y389" s="518" t="str">
        <f>IF(AND(_A1="A-330-900",'2025'!$N$4="FO",'2025'!$N$2=Y385),'2025DATA'!$J$6,"")</f>
        <v/>
      </c>
      <c r="Z389" s="518" t="str">
        <f>IF(AND(_A1="A-330-900",'2025'!$N$4="FO",'2025'!$N$2=Z385),'2025DATA'!$K$6,"")</f>
        <v/>
      </c>
      <c r="AA389" s="518" t="str">
        <f>IF(AND(_A1="A-330-900",'2025'!$N$4="FO",'2025'!$N$2=AA385),'2025DATA'!$L$6,"")</f>
        <v/>
      </c>
      <c r="AB389" s="518" t="str">
        <f>IF(AND(_A1="A-330-900",'2025'!$N$4="FO",'2025'!$N$2=AB385),'2025DATA'!$M$6,"")</f>
        <v/>
      </c>
      <c r="AC389" s="520" t="str">
        <f>IF(AND(_A1="A-330-900",'2025'!$N$4="FO",'2025'!$N$2=AC385),'2025DATA'!$N$6,"")</f>
        <v/>
      </c>
      <c r="AD389" s="940"/>
      <c r="AE389" s="13" t="s">
        <v>62</v>
      </c>
      <c r="AF389" s="518" t="str">
        <f>IF(AND(_A2="A-330-900",'2025'!$N$4="FO",'2025'!$N$2=AF385),'2025DATA'!$C$6,"")</f>
        <v/>
      </c>
      <c r="AG389" s="518" t="str">
        <f>IF(AND(_A2="A-330-900",'2025'!$N$4="FO",'2025'!$N$2=AG385),'2025DATA'!$D$6,"")</f>
        <v/>
      </c>
      <c r="AH389" s="518" t="str">
        <f>IF(AND(_A2="A-330-900",'2025'!$N$4="FO",'2025'!$N$2=AH385),'2025DATA'!$E$6,"")</f>
        <v/>
      </c>
      <c r="AI389" s="518" t="str">
        <f>IF(AND(_A2="A-330-900",'2025'!$N$4="FO",'2025'!$N$2=AI385),'2025DATA'!$F$6,"")</f>
        <v/>
      </c>
      <c r="AJ389" s="518" t="str">
        <f>IF(AND(_A2="A-330-900",'2025'!$N$4="FO",'2025'!$N$2=AJ385),'2025DATA'!$G$6,"")</f>
        <v/>
      </c>
      <c r="AK389" s="518" t="str">
        <f>IF(AND(_A2="A-330-900",'2025'!$N$4="FO",'2025'!$N$2=AK385),'2025DATA'!$H$6,"")</f>
        <v/>
      </c>
      <c r="AL389" s="518" t="str">
        <f>IF(AND(_A2="A-330-900",'2025'!$N$4="FO",'2025'!$N$2=AL385),'2025DATA'!$I$6,"")</f>
        <v/>
      </c>
      <c r="AM389" s="518" t="str">
        <f>IF(AND(_A2="A-330-900",'2025'!$N$4="FO",'2025'!$N$2=AM385),'2025DATA'!$J$6,"")</f>
        <v/>
      </c>
      <c r="AN389" s="518" t="str">
        <f>IF(AND(_A2="A-330-900",'2025'!$N$4="FO",'2025'!$N$2=AN385),'2025DATA'!$K$6,"")</f>
        <v/>
      </c>
      <c r="AO389" s="518" t="str">
        <f>IF(AND(_A2="A-330-900",'2025'!$N$4="FO",'2025'!$N$2=AO385),'2025DATA'!$L$6,"")</f>
        <v/>
      </c>
      <c r="AP389" s="518" t="str">
        <f>IF(AND(_A2="A-330-900",'2025'!$N$4="FO",'2025'!$N$2=AP385),'2025DATA'!$M$6,"")</f>
        <v/>
      </c>
      <c r="AQ389" s="520" t="str">
        <f>IF(AND(_A2="A-330-900",'2025'!$N$4="FO",'2025'!$N$2=AQ385),'2025DATA'!$N$6,"")</f>
        <v/>
      </c>
      <c r="AR389" s="940"/>
      <c r="AS389" s="13" t="s">
        <v>62</v>
      </c>
      <c r="AT389" s="518" t="str">
        <f>IF(AND(_A3="A-330-900",'2025'!$N$4="FO",'2025'!$N$2=AT385),'2025DATA'!$C$6,"")</f>
        <v/>
      </c>
      <c r="AU389" s="518" t="str">
        <f>IF(AND(_A3="A-330-900",'2025'!$N$4="FO",'2025'!$N$2=AU385),'2025DATA'!$D$6,"")</f>
        <v/>
      </c>
      <c r="AV389" s="518" t="str">
        <f>IF(AND(_A3="A-330-900",'2025'!$N$4="FO",'2025'!$N$2=AV385),'2025DATA'!$E$6,"")</f>
        <v/>
      </c>
      <c r="AW389" s="518" t="str">
        <f>IF(AND(_A3="A-330-900",'2025'!$N$4="FO",'2025'!$N$2=AW385),'2025DATA'!$F$6,"")</f>
        <v/>
      </c>
      <c r="AX389" s="518" t="str">
        <f>IF(AND(_A3="A-330-900",'2025'!$N$4="FO",'2025'!$N$2=AX385),'2025DATA'!$G$6,"")</f>
        <v/>
      </c>
      <c r="AY389" s="518" t="str">
        <f>IF(AND(_A3="A-330-900",'2025'!$N$4="FO",'2025'!$N$2=AY385),'2025DATA'!$H$6,"")</f>
        <v/>
      </c>
      <c r="AZ389" s="518" t="str">
        <f>IF(AND(_A3="A-330-900",'2025'!$N$4="FO",'2025'!$N$2=AZ385),'2025DATA'!$I$6,"")</f>
        <v/>
      </c>
      <c r="BA389" s="518" t="str">
        <f>IF(AND(_A3="A-330-900",'2025'!$N$4="FO",'2025'!$N$2=BA385),'2025DATA'!$J$6,"")</f>
        <v/>
      </c>
      <c r="BB389" s="518" t="str">
        <f>IF(AND(_A3="A-330-900",'2025'!$N$4="FO",'2025'!$N$2=BB385),'2025DATA'!$K$6,"")</f>
        <v/>
      </c>
      <c r="BC389" s="518" t="str">
        <f>IF(AND(_A3="A-330-900",'2025'!$N$4="FO",'2025'!$N$2=BC385),'2025DATA'!$L$6,"")</f>
        <v/>
      </c>
      <c r="BD389" s="518" t="str">
        <f>IF(AND(_A3="A-330-900",'2025'!$N$4="FO",'2025'!$N$2=BD385),'2025DATA'!$M$6,"")</f>
        <v/>
      </c>
      <c r="BE389" s="520" t="str">
        <f>IF(AND(_A3="A-330-900",'2025'!$N$4="FO",'2025'!$N$2=BE385),'2025DATA'!$N$6,"")</f>
        <v/>
      </c>
      <c r="BF389" s="940"/>
      <c r="BG389" s="13" t="s">
        <v>62</v>
      </c>
      <c r="BH389" s="518" t="str">
        <f>IF(AND(_A4="A-330-900",'2025'!$N$4="FO",'2025'!$N$2=BH385),'2025DATA'!$C$6,"")</f>
        <v/>
      </c>
      <c r="BI389" s="518" t="str">
        <f>IF(AND(_A4="A-330-900",'2025'!$N$4="FO",'2025'!$N$2=BI385),'2025DATA'!$D$6,"")</f>
        <v/>
      </c>
      <c r="BJ389" s="518" t="str">
        <f>IF(AND(_A4="A-330-900",'2025'!$N$4="FO",'2025'!$N$2=BJ385),'2025DATA'!$E$6,"")</f>
        <v/>
      </c>
      <c r="BK389" s="518" t="str">
        <f>IF(AND(_A4="A-330-900",'2025'!$N$4="FO",'2025'!$N$2=BK385),'2025DATA'!$F$6,"")</f>
        <v/>
      </c>
      <c r="BL389" s="518" t="str">
        <f>IF(AND(_A4="A-330-900",'2025'!$N$4="FO",'2025'!$N$2=BL385),'2025DATA'!$G$6,"")</f>
        <v/>
      </c>
      <c r="BM389" s="518" t="str">
        <f>IF(AND(_A4="A-330-900",'2025'!$N$4="FO",'2025'!$N$2=BM385),'2025DATA'!$H$6,"")</f>
        <v/>
      </c>
      <c r="BN389" s="518" t="str">
        <f>IF(AND(_A4="A-330-900",'2025'!$N$4="FO",'2025'!$N$2=BN385),'2025DATA'!$I$6,"")</f>
        <v/>
      </c>
      <c r="BO389" s="518" t="str">
        <f>IF(AND(_A4="A-330-900",'2025'!$N$4="FO",'2025'!$N$2=BO385),'2025DATA'!$J$6,"")</f>
        <v/>
      </c>
      <c r="BP389" s="518" t="str">
        <f>IF(AND(_A4="A-330-900",'2025'!$N$4="FO",'2025'!$N$2=BP385),'2025DATA'!$K$6,"")</f>
        <v/>
      </c>
      <c r="BQ389" s="518" t="str">
        <f>IF(AND(_A4="A-330-900",'2025'!$N$4="FO",'2025'!$N$2=BQ385),'2025DATA'!$L$6,"")</f>
        <v/>
      </c>
      <c r="BR389" s="518" t="str">
        <f>IF(AND(_A4="A-330-900",'2025'!$N$4="FO",'2025'!$N$2=BR385),'2025DATA'!$M$6,"")</f>
        <v/>
      </c>
      <c r="BS389" s="520" t="str">
        <f>IF(AND(_A4="A-330-900",'2025'!$N$4="FO",'2025'!$N$2=BS385),'2025DATA'!$N$6,"")</f>
        <v/>
      </c>
      <c r="BT389" s="940"/>
      <c r="BU389" s="13" t="s">
        <v>62</v>
      </c>
      <c r="BV389" s="518" t="str">
        <f>IF(AND(_A5="A-330-900",'2025'!$N$4="FO",'2025'!$N$2=BV385),'2025DATA'!$C$6,"")</f>
        <v/>
      </c>
      <c r="BW389" s="518" t="str">
        <f>IF(AND(_A5="A-330-900",'2025'!$N$4="FO",'2025'!$N$2=BW385),'2025DATA'!$D$6,"")</f>
        <v/>
      </c>
      <c r="BX389" s="518" t="str">
        <f>IF(AND(_A5="A-330-900",'2025'!$N$4="FO",'2025'!$N$2=BX385),'2025DATA'!$E$6,"")</f>
        <v/>
      </c>
      <c r="BY389" s="518" t="str">
        <f>IF(AND(_A5="A-330-900",'2025'!$N$4="FO",'2025'!$N$2=BY385),'2025DATA'!$F$6,"")</f>
        <v/>
      </c>
      <c r="BZ389" s="518" t="str">
        <f>IF(AND(_A5="A-330-900",'2025'!$N$4="FO",'2025'!$N$2=BZ385),'2025DATA'!$G$6,"")</f>
        <v/>
      </c>
      <c r="CA389" s="518" t="str">
        <f>IF(AND(_A5="A-330-900",'2025'!$N$4="FO",'2025'!$N$2=CA385),'2025DATA'!$H$6,"")</f>
        <v/>
      </c>
      <c r="CB389" s="518" t="str">
        <f>IF(AND(_A5="A-330-900",'2025'!$N$4="FO",'2025'!$N$2=CB385),'2025DATA'!$I$6,"")</f>
        <v/>
      </c>
      <c r="CC389" s="518" t="str">
        <f>IF(AND(_A5="A-330-900",'2025'!$N$4="FO",'2025'!$N$2=CC385),'2025DATA'!$J$6,"")</f>
        <v/>
      </c>
      <c r="CD389" s="518" t="str">
        <f>IF(AND(_A5="A-330-900",'2025'!$N$4="FO",'2025'!$N$2=CD385),'2025DATA'!$K$6,"")</f>
        <v/>
      </c>
      <c r="CE389" s="518" t="str">
        <f>IF(AND(_A5="A-330-900",'2025'!$N$4="FO",'2025'!$N$2=CE385),'2025DATA'!$L$6,"")</f>
        <v/>
      </c>
      <c r="CF389" s="518" t="str">
        <f>IF(AND(_A5="A-330-900",'2025'!$N$4="FO",'2025'!$N$2=CF385),'2025DATA'!$M$6,"")</f>
        <v/>
      </c>
      <c r="CG389" s="520" t="str">
        <f>IF(AND(_A5="A-330-900",'2025'!$N$4="FO",'2025'!$N$2=CG385),'2025DATA'!$N$6,"")</f>
        <v/>
      </c>
      <c r="CH389" s="940"/>
      <c r="CI389" s="13" t="s">
        <v>62</v>
      </c>
      <c r="CJ389" s="518" t="str">
        <f>IF(AND(_A6="A-330-900",'2025'!$N$4="FO",'2025'!$N$2=CJ385),'2025DATA'!$C$6,"")</f>
        <v/>
      </c>
      <c r="CK389" s="518" t="str">
        <f>IF(AND(_A6="A-330-900",'2025'!$N$4="FO",'2025'!$N$2=CK385),'2025DATA'!$D$6,"")</f>
        <v/>
      </c>
      <c r="CL389" s="518" t="str">
        <f>IF(AND(_A6="A-330-900",'2025'!$N$4="FO",'2025'!$N$2=CL385),'2025DATA'!$E$6,"")</f>
        <v/>
      </c>
      <c r="CM389" s="518" t="str">
        <f>IF(AND(_A6="A-330-900",'2025'!$N$4="FO",'2025'!$N$2=CM385),'2025DATA'!$F$6,"")</f>
        <v/>
      </c>
      <c r="CN389" s="518" t="str">
        <f>IF(AND(_A6="A-330-900",'2025'!$N$4="FO",'2025'!$N$2=CN385),'2025DATA'!$G$6,"")</f>
        <v/>
      </c>
      <c r="CO389" s="518" t="str">
        <f>IF(AND(_A6="A-330-900",'2025'!$N$4="FO",'2025'!$N$2=CO385),'2025DATA'!$H$6,"")</f>
        <v/>
      </c>
      <c r="CP389" s="518" t="str">
        <f>IF(AND(_A6="A-330-900",'2025'!$N$4="FO",'2025'!$N$2=CP385),'2025DATA'!$I$6,"")</f>
        <v/>
      </c>
      <c r="CQ389" s="518" t="str">
        <f>IF(AND(_A6="A-330-900",'2025'!$N$4="FO",'2025'!$N$2=CQ385),'2025DATA'!$J$6,"")</f>
        <v/>
      </c>
      <c r="CR389" s="518" t="str">
        <f>IF(AND(_A6="A-330-900",'2025'!$N$4="FO",'2025'!$N$2=CR385),'2025DATA'!$K$6,"")</f>
        <v/>
      </c>
      <c r="CS389" s="518" t="str">
        <f>IF(AND(_A6="A-330-900",'2025'!$N$4="FO",'2025'!$N$2=CS385),'2025DATA'!$L$6,"")</f>
        <v/>
      </c>
      <c r="CT389" s="518" t="str">
        <f>IF(AND(_A6="A-330-900",'2025'!$N$4="FO",'2025'!$N$2=CT385),'2025DATA'!$M$6,"")</f>
        <v/>
      </c>
      <c r="CU389" s="520" t="str">
        <f>IF(AND(_A6="A-330-900",'2025'!$N$4="FO",'2025'!$N$2=CU385),'2025DATA'!$N$6,"")</f>
        <v/>
      </c>
    </row>
    <row r="390" spans="16:99" x14ac:dyDescent="0.25">
      <c r="P390" s="940" t="s">
        <v>64</v>
      </c>
      <c r="Q390" s="13" t="s">
        <v>61</v>
      </c>
      <c r="R390" s="518" t="str">
        <f>IF(AND(_A1="A-330-300",'2025'!$N$4="CA",'2025'!$N$2=R385),'2025DATA'!$C$7,"")</f>
        <v/>
      </c>
      <c r="S390" s="518" t="str">
        <f>IF(AND(_A1="A-330-300",'2025'!$N$4="CA",'2025'!$N$2=S385),'2025DATA'!$D$7,"")</f>
        <v/>
      </c>
      <c r="T390" s="518" t="str">
        <f>IF(AND(_A1="A-330-300",'2025'!$N$4="CA",'2025'!$N$2=T385),'2025DATA'!$E$7,"")</f>
        <v/>
      </c>
      <c r="U390" s="518" t="str">
        <f>IF(AND(_A1="A-330-300",'2025'!$N$4="CA",'2025'!$N$2=U385),'2025DATA'!$F$7,"")</f>
        <v/>
      </c>
      <c r="V390" s="518" t="str">
        <f>IF(AND(_A1="A-330-300",'2025'!$N$4="CA",'2025'!$N$2=V385),'2025DATA'!$G$7,"")</f>
        <v/>
      </c>
      <c r="W390" s="518" t="str">
        <f>IF(AND(_A1="A-330-300",'2025'!$N$4="CA",'2025'!$N$2=W385),'2025DATA'!$H$7,"")</f>
        <v/>
      </c>
      <c r="X390" s="518" t="str">
        <f>IF(AND(_A1="A-330-300",'2025'!$N$4="CA",'2025'!$N$2=X385),'2025DATA'!$I$7,"")</f>
        <v/>
      </c>
      <c r="Y390" s="518" t="str">
        <f>IF(AND(_A1="A-330-300",'2025'!$N$4="CA",'2025'!$N$2=Y385),'2025DATA'!$J$7,"")</f>
        <v/>
      </c>
      <c r="Z390" s="518" t="str">
        <f>IF(AND(_A1="A-330-300",'2025'!$N$4="CA",'2025'!$N$2=Z385),'2025DATA'!$K$7,"")</f>
        <v/>
      </c>
      <c r="AA390" s="518" t="str">
        <f>IF(AND(_A1="A-330-300",'2025'!$N$4="CA",'2025'!$N$2=AA385),'2025DATA'!$L$7,"")</f>
        <v/>
      </c>
      <c r="AB390" s="518" t="str">
        <f>IF(AND(_A1="A-330-300",'2025'!$N$4="CA",'2025'!$N$2=AB385),'2025DATA'!$M$7,"")</f>
        <v/>
      </c>
      <c r="AC390" s="520" t="str">
        <f>IF(AND(_A1="A-330-300",'2025'!$N$4="CA",'2025'!$N$2=AC385),'2025DATA'!$N$7,"")</f>
        <v/>
      </c>
      <c r="AD390" s="940" t="s">
        <v>64</v>
      </c>
      <c r="AE390" s="13" t="s">
        <v>61</v>
      </c>
      <c r="AF390" s="518" t="str">
        <f>IF(AND(_A2="A-330-300",'2025'!$N$4="CA",'2025'!$N$2=AF385),'2025DATA'!$C$7,"")</f>
        <v/>
      </c>
      <c r="AG390" s="518" t="str">
        <f>IF(AND(_A2="A-330-300",'2025'!$N$4="CA",'2025'!$N$2=AG385),'2025DATA'!$D$7,"")</f>
        <v/>
      </c>
      <c r="AH390" s="518" t="str">
        <f>IF(AND(_A2="A-330-300",'2025'!$N$4="CA",'2025'!$N$2=AH385),'2025DATA'!$E$7,"")</f>
        <v/>
      </c>
      <c r="AI390" s="518" t="str">
        <f>IF(AND(_A2="A-330-300",'2025'!$N$4="CA",'2025'!$N$2=AI385),'2025DATA'!$F$7,"")</f>
        <v/>
      </c>
      <c r="AJ390" s="518" t="str">
        <f>IF(AND(_A2="A-330-300",'2025'!$N$4="CA",'2025'!$N$2=AJ385),'2025DATA'!$G$7,"")</f>
        <v/>
      </c>
      <c r="AK390" s="518" t="str">
        <f>IF(AND(_A2="A-330-300",'2025'!$N$4="CA",'2025'!$N$2=AK385),'2025DATA'!$H$7,"")</f>
        <v/>
      </c>
      <c r="AL390" s="518" t="str">
        <f>IF(AND(_A2="A-330-300",'2025'!$N$4="CA",'2025'!$N$2=AL385),'2025DATA'!$I$7,"")</f>
        <v/>
      </c>
      <c r="AM390" s="518" t="str">
        <f>IF(AND(_A2="A-330-300",'2025'!$N$4="CA",'2025'!$N$2=AM385),'2025DATA'!$J$7,"")</f>
        <v/>
      </c>
      <c r="AN390" s="518" t="str">
        <f>IF(AND(_A2="A-330-300",'2025'!$N$4="CA",'2025'!$N$2=AN385),'2025DATA'!$K$7,"")</f>
        <v/>
      </c>
      <c r="AO390" s="518" t="str">
        <f>IF(AND(_A2="A-330-300",'2025'!$N$4="CA",'2025'!$N$2=AO385),'2025DATA'!$L$7,"")</f>
        <v/>
      </c>
      <c r="AP390" s="518" t="str">
        <f>IF(AND(_A2="A-330-300",'2025'!$N$4="CA",'2025'!$N$2=AP385),'2025DATA'!$M$7,"")</f>
        <v/>
      </c>
      <c r="AQ390" s="520" t="str">
        <f>IF(AND(_A2="A-330-300",'2025'!$N$4="CA",'2025'!$N$2=AQ385),'2025DATA'!$N$7,"")</f>
        <v/>
      </c>
      <c r="AR390" s="940" t="s">
        <v>64</v>
      </c>
      <c r="AS390" s="13" t="s">
        <v>61</v>
      </c>
      <c r="AT390" s="518" t="str">
        <f>IF(AND(_A3="A-330-300",'2025'!$N$4="CA",'2025'!$N$2=AT385),'2025DATA'!$C$7,"")</f>
        <v/>
      </c>
      <c r="AU390" s="518" t="str">
        <f>IF(AND(_A3="A-330-300",'2025'!$N$4="CA",'2025'!$N$2=AU385),'2025DATA'!$D$7,"")</f>
        <v/>
      </c>
      <c r="AV390" s="518" t="str">
        <f>IF(AND(_A3="A-330-300",'2025'!$N$4="CA",'2025'!$N$2=AV385),'2025DATA'!$E$7,"")</f>
        <v/>
      </c>
      <c r="AW390" s="518" t="str">
        <f>IF(AND(_A3="A-330-300",'2025'!$N$4="CA",'2025'!$N$2=AW385),'2025DATA'!$F$7,"")</f>
        <v/>
      </c>
      <c r="AX390" s="518" t="str">
        <f>IF(AND(_A3="A-330-300",'2025'!$N$4="CA",'2025'!$N$2=AX385),'2025DATA'!$G$7,"")</f>
        <v/>
      </c>
      <c r="AY390" s="518" t="str">
        <f>IF(AND(_A3="A-330-300",'2025'!$N$4="CA",'2025'!$N$2=AY385),'2025DATA'!$H$7,"")</f>
        <v/>
      </c>
      <c r="AZ390" s="518" t="str">
        <f>IF(AND(_A3="A-330-300",'2025'!$N$4="CA",'2025'!$N$2=AZ385),'2025DATA'!$I$7,"")</f>
        <v/>
      </c>
      <c r="BA390" s="518" t="str">
        <f>IF(AND(_A3="A-330-300",'2025'!$N$4="CA",'2025'!$N$2=BA385),'2025DATA'!$J$7,"")</f>
        <v/>
      </c>
      <c r="BB390" s="518" t="str">
        <f>IF(AND(_A3="A-330-300",'2025'!$N$4="CA",'2025'!$N$2=BB385),'2025DATA'!$K$7,"")</f>
        <v/>
      </c>
      <c r="BC390" s="518" t="str">
        <f>IF(AND(_A3="A-330-300",'2025'!$N$4="CA",'2025'!$N$2=BC385),'2025DATA'!$L$7,"")</f>
        <v/>
      </c>
      <c r="BD390" s="518" t="str">
        <f>IF(AND(_A3="A-330-300",'2025'!$N$4="CA",'2025'!$N$2=BD385),'2025DATA'!$M$7,"")</f>
        <v/>
      </c>
      <c r="BE390" s="520" t="str">
        <f>IF(AND(_A3="A-330-300",'2025'!$N$4="CA",'2025'!$N$2=BE385),'2025DATA'!$N$7,"")</f>
        <v/>
      </c>
      <c r="BF390" s="940" t="s">
        <v>64</v>
      </c>
      <c r="BG390" s="13" t="s">
        <v>61</v>
      </c>
      <c r="BH390" s="518" t="str">
        <f>IF(AND(_A4="A-330-300",'2025'!$N$4="CA",'2025'!$N$2=BH385),'2025DATA'!$C$7,"")</f>
        <v/>
      </c>
      <c r="BI390" s="518" t="str">
        <f>IF(AND(_A4="A-330-300",'2025'!$N$4="CA",'2025'!$N$2=BI385),'2025DATA'!$D$7,"")</f>
        <v/>
      </c>
      <c r="BJ390" s="518" t="str">
        <f>IF(AND(_A4="A-330-300",'2025'!$N$4="CA",'2025'!$N$2=BJ385),'2025DATA'!$E$7,"")</f>
        <v/>
      </c>
      <c r="BK390" s="518" t="str">
        <f>IF(AND(_A4="A-330-300",'2025'!$N$4="CA",'2025'!$N$2=BK385),'2025DATA'!$F$7,"")</f>
        <v/>
      </c>
      <c r="BL390" s="518" t="str">
        <f>IF(AND(_A4="A-330-300",'2025'!$N$4="CA",'2025'!$N$2=BL385),'2025DATA'!$G$7,"")</f>
        <v/>
      </c>
      <c r="BM390" s="518" t="str">
        <f>IF(AND(_A4="A-330-300",'2025'!$N$4="CA",'2025'!$N$2=BM385),'2025DATA'!$H$7,"")</f>
        <v/>
      </c>
      <c r="BN390" s="518" t="str">
        <f>IF(AND(_A4="A-330-300",'2025'!$N$4="CA",'2025'!$N$2=BN385),'2025DATA'!$I$7,"")</f>
        <v/>
      </c>
      <c r="BO390" s="518" t="str">
        <f>IF(AND(_A4="A-330-300",'2025'!$N$4="CA",'2025'!$N$2=BO385),'2025DATA'!$J$7,"")</f>
        <v/>
      </c>
      <c r="BP390" s="518" t="str">
        <f>IF(AND(_A4="A-330-300",'2025'!$N$4="CA",'2025'!$N$2=BP385),'2025DATA'!$K$7,"")</f>
        <v/>
      </c>
      <c r="BQ390" s="518" t="str">
        <f>IF(AND(_A4="A-330-300",'2025'!$N$4="CA",'2025'!$N$2=BQ385),'2025DATA'!$L$7,"")</f>
        <v/>
      </c>
      <c r="BR390" s="518" t="str">
        <f>IF(AND(_A4="A-330-300",'2025'!$N$4="CA",'2025'!$N$2=BR385),'2025DATA'!$M$7,"")</f>
        <v/>
      </c>
      <c r="BS390" s="520" t="str">
        <f>IF(AND(_A4="A-330-300",'2025'!$N$4="CA",'2025'!$N$2=BS385),'2025DATA'!$N$7,"")</f>
        <v/>
      </c>
      <c r="BT390" s="940" t="s">
        <v>64</v>
      </c>
      <c r="BU390" s="13" t="s">
        <v>61</v>
      </c>
      <c r="BV390" s="518" t="str">
        <f>IF(AND(_A5="A-330-300",'2025'!$N$4="CA",'2025'!$N$2=BV385),'2025DATA'!$C$7,"")</f>
        <v/>
      </c>
      <c r="BW390" s="518" t="str">
        <f>IF(AND(_A5="A-330-300",'2025'!$N$4="CA",'2025'!$N$2=BW385),'2025DATA'!$D$7,"")</f>
        <v/>
      </c>
      <c r="BX390" s="518" t="str">
        <f>IF(AND(_A5="A-330-300",'2025'!$N$4="CA",'2025'!$N$2=BX385),'2025DATA'!$E$7,"")</f>
        <v/>
      </c>
      <c r="BY390" s="518" t="str">
        <f>IF(AND(_A5="A-330-300",'2025'!$N$4="CA",'2025'!$N$2=BY385),'2025DATA'!$F$7,"")</f>
        <v/>
      </c>
      <c r="BZ390" s="518" t="str">
        <f>IF(AND(_A5="A-330-300",'2025'!$N$4="CA",'2025'!$N$2=BZ385),'2025DATA'!$G$7,"")</f>
        <v/>
      </c>
      <c r="CA390" s="518" t="str">
        <f>IF(AND(_A5="A-330-300",'2025'!$N$4="CA",'2025'!$N$2=CA385),'2025DATA'!$H$7,"")</f>
        <v/>
      </c>
      <c r="CB390" s="518" t="str">
        <f>IF(AND(_A5="A-330-300",'2025'!$N$4="CA",'2025'!$N$2=CB385),'2025DATA'!$I$7,"")</f>
        <v/>
      </c>
      <c r="CC390" s="518" t="str">
        <f>IF(AND(_A5="A-330-300",'2025'!$N$4="CA",'2025'!$N$2=CC385),'2025DATA'!$J$7,"")</f>
        <v/>
      </c>
      <c r="CD390" s="518" t="str">
        <f>IF(AND(_A5="A-330-300",'2025'!$N$4="CA",'2025'!$N$2=CD385),'2025DATA'!$K$7,"")</f>
        <v/>
      </c>
      <c r="CE390" s="518" t="str">
        <f>IF(AND(_A5="A-330-300",'2025'!$N$4="CA",'2025'!$N$2=CE385),'2025DATA'!$L$7,"")</f>
        <v/>
      </c>
      <c r="CF390" s="518" t="str">
        <f>IF(AND(_A5="A-330-300",'2025'!$N$4="CA",'2025'!$N$2=CF385),'2025DATA'!$M$7,"")</f>
        <v/>
      </c>
      <c r="CG390" s="520" t="str">
        <f>IF(AND(_A5="A-330-300",'2025'!$N$4="CA",'2025'!$N$2=CG385),'2025DATA'!$N$7,"")</f>
        <v/>
      </c>
      <c r="CH390" s="940" t="s">
        <v>64</v>
      </c>
      <c r="CI390" s="13" t="s">
        <v>61</v>
      </c>
      <c r="CJ390" s="518" t="str">
        <f>IF(AND(_A6="A-330-300",'2025'!$N$4="CA",'2025'!$N$2=CJ385),'2025DATA'!$C$7,"")</f>
        <v/>
      </c>
      <c r="CK390" s="518" t="str">
        <f>IF(AND(_A6="A-330-300",'2025'!$N$4="CA",'2025'!$N$2=CK385),'2025DATA'!$D$7,"")</f>
        <v/>
      </c>
      <c r="CL390" s="518" t="str">
        <f>IF(AND(_A6="A-330-300",'2025'!$N$4="CA",'2025'!$N$2=CL385),'2025DATA'!$E$7,"")</f>
        <v/>
      </c>
      <c r="CM390" s="518" t="str">
        <f>IF(AND(_A6="A-330-300",'2025'!$N$4="CA",'2025'!$N$2=CM385),'2025DATA'!$F$7,"")</f>
        <v/>
      </c>
      <c r="CN390" s="518" t="str">
        <f>IF(AND(_A6="A-330-300",'2025'!$N$4="CA",'2025'!$N$2=CN385),'2025DATA'!$G$7,"")</f>
        <v/>
      </c>
      <c r="CO390" s="518" t="str">
        <f>IF(AND(_A6="A-330-300",'2025'!$N$4="CA",'2025'!$N$2=CO385),'2025DATA'!$H$7,"")</f>
        <v/>
      </c>
      <c r="CP390" s="518" t="str">
        <f>IF(AND(_A6="A-330-300",'2025'!$N$4="CA",'2025'!$N$2=CP385),'2025DATA'!$I$7,"")</f>
        <v/>
      </c>
      <c r="CQ390" s="518" t="str">
        <f>IF(AND(_A6="A-330-300",'2025'!$N$4="CA",'2025'!$N$2=CQ385),'2025DATA'!$J$7,"")</f>
        <v/>
      </c>
      <c r="CR390" s="518" t="str">
        <f>IF(AND(_A6="A-330-300",'2025'!$N$4="CA",'2025'!$N$2=CR385),'2025DATA'!$K$7,"")</f>
        <v/>
      </c>
      <c r="CS390" s="518" t="str">
        <f>IF(AND(_A6="A-330-300",'2025'!$N$4="CA",'2025'!$N$2=CS385),'2025DATA'!$L$7,"")</f>
        <v/>
      </c>
      <c r="CT390" s="518" t="str">
        <f>IF(AND(_A6="A-330-300",'2025'!$N$4="CA",'2025'!$N$2=CT385),'2025DATA'!$M$7,"")</f>
        <v/>
      </c>
      <c r="CU390" s="520" t="str">
        <f>IF(AND(_A6="A-330-300",'2025'!$N$4="CA",'2025'!$N$2=CU385),'2025DATA'!$N$7,"")</f>
        <v/>
      </c>
    </row>
    <row r="391" spans="16:99" x14ac:dyDescent="0.25">
      <c r="P391" s="940"/>
      <c r="Q391" s="13" t="s">
        <v>62</v>
      </c>
      <c r="R391" s="518" t="str">
        <f>IF(AND(_A1="A-330-300",'2025'!$N$4="FO",'2025'!$N$2=R385),'2025DATA'!$C$8,"")</f>
        <v/>
      </c>
      <c r="S391" s="518" t="str">
        <f>IF(AND(_A1="A-330-300",'2025'!$N$4="FO",'2025'!$N$2=S385),'2025DATA'!$D$8,"")</f>
        <v/>
      </c>
      <c r="T391" s="518" t="str">
        <f>IF(AND(_A1="A-330-300",'2025'!$N$4="FO",'2025'!$N$2=T385),'2025DATA'!$E$8,"")</f>
        <v/>
      </c>
      <c r="U391" s="518" t="str">
        <f>IF(AND(_A1="A-330-300",'2025'!$N$4="FO",'2025'!$N$2=U385),'2025DATA'!$F$8,"")</f>
        <v/>
      </c>
      <c r="V391" s="518" t="str">
        <f>IF(AND(_A1="A-330-300",'2025'!$N$4="FO",'2025'!$N$2=V385),'2025DATA'!$G$8,"")</f>
        <v/>
      </c>
      <c r="W391" s="518" t="str">
        <f>IF(AND(_A1="A-330-300",'2025'!$N$4="FO",'2025'!$N$2=W385),'2025DATA'!$H$8,"")</f>
        <v/>
      </c>
      <c r="X391" s="518" t="str">
        <f>IF(AND(_A1="A-330-300",'2025'!$N$4="FO",'2025'!$N$2=X385),'2025DATA'!$I$8,"")</f>
        <v/>
      </c>
      <c r="Y391" s="518" t="str">
        <f>IF(AND(_A1="A-330-300",'2025'!$N$4="FO",'2025'!$N$2=Y385),'2025DATA'!$J$8,"")</f>
        <v/>
      </c>
      <c r="Z391" s="518" t="str">
        <f>IF(AND(_A1="A-330-300",'2025'!$N$4="FO",'2025'!$N$2=Z385),'2025DATA'!$K$8,"")</f>
        <v/>
      </c>
      <c r="AA391" s="518" t="str">
        <f>IF(AND(_A1="A-330-300",'2025'!$N$4="FO",'2025'!$N$2=AA385),'2025DATA'!$L$8,"")</f>
        <v/>
      </c>
      <c r="AB391" s="518" t="str">
        <f>IF(AND(_A1="A-330-300",'2025'!$N$4="FO",'2025'!$N$2=AB385),'2025DATA'!$M$8,"")</f>
        <v/>
      </c>
      <c r="AC391" s="520" t="str">
        <f>IF(AND(_A1="A-330-300",'2025'!$N$4="FO",'2025'!$N$2=AC385),'2025DATA'!$N$8,"")</f>
        <v/>
      </c>
      <c r="AD391" s="940"/>
      <c r="AE391" s="13" t="s">
        <v>62</v>
      </c>
      <c r="AF391" s="518" t="str">
        <f>IF(AND(_A2="A-330-300",'2025'!$N$4="FO",'2025'!$N$2=AF385),'2025DATA'!$C$8,"")</f>
        <v/>
      </c>
      <c r="AG391" s="518" t="str">
        <f>IF(AND(_A2="A-330-300",'2025'!$N$4="FO",'2025'!$N$2=AG385),'2025DATA'!$D$8,"")</f>
        <v/>
      </c>
      <c r="AH391" s="518" t="str">
        <f>IF(AND(_A2="A-330-300",'2025'!$N$4="FO",'2025'!$N$2=AH385),'2025DATA'!$E$8,"")</f>
        <v/>
      </c>
      <c r="AI391" s="518" t="str">
        <f>IF(AND(_A2="A-330-300",'2025'!$N$4="FO",'2025'!$N$2=AI385),'2025DATA'!$F$8,"")</f>
        <v/>
      </c>
      <c r="AJ391" s="518" t="str">
        <f>IF(AND(_A2="A-330-300",'2025'!$N$4="FO",'2025'!$N$2=AJ385),'2025DATA'!$G$8,"")</f>
        <v/>
      </c>
      <c r="AK391" s="518" t="str">
        <f>IF(AND(_A2="A-330-300",'2025'!$N$4="FO",'2025'!$N$2=AK385),'2025DATA'!$H$8,"")</f>
        <v/>
      </c>
      <c r="AL391" s="518" t="str">
        <f>IF(AND(_A2="A-330-300",'2025'!$N$4="FO",'2025'!$N$2=AL385),'2025DATA'!$I$8,"")</f>
        <v/>
      </c>
      <c r="AM391" s="518" t="str">
        <f>IF(AND(_A2="A-330-300",'2025'!$N$4="FO",'2025'!$N$2=AM385),'2025DATA'!$J$8,"")</f>
        <v/>
      </c>
      <c r="AN391" s="518" t="str">
        <f>IF(AND(_A2="A-330-300",'2025'!$N$4="FO",'2025'!$N$2=AN385),'2025DATA'!$K$8,"")</f>
        <v/>
      </c>
      <c r="AO391" s="518" t="str">
        <f>IF(AND(_A2="A-330-300",'2025'!$N$4="FO",'2025'!$N$2=AO385),'2025DATA'!$L$8,"")</f>
        <v/>
      </c>
      <c r="AP391" s="518" t="str">
        <f>IF(AND(_A2="A-330-300",'2025'!$N$4="FO",'2025'!$N$2=AP385),'2025DATA'!$M$8,"")</f>
        <v/>
      </c>
      <c r="AQ391" s="520" t="str">
        <f>IF(AND(_A2="A-330-300",'2025'!$N$4="FO",'2025'!$N$2=AQ385),'2025DATA'!$N$8,"")</f>
        <v/>
      </c>
      <c r="AR391" s="940"/>
      <c r="AS391" s="13" t="s">
        <v>62</v>
      </c>
      <c r="AT391" s="518" t="str">
        <f>IF(AND(_A3="A-330-300",'2025'!$N$4="FO",'2025'!$N$2=AT385),'2025DATA'!$C$8,"")</f>
        <v/>
      </c>
      <c r="AU391" s="518" t="str">
        <f>IF(AND(_A3="A-330-300",'2025'!$N$4="FO",'2025'!$N$2=AU385),'2025DATA'!$D$8,"")</f>
        <v/>
      </c>
      <c r="AV391" s="518" t="str">
        <f>IF(AND(_A3="A-330-300",'2025'!$N$4="FO",'2025'!$N$2=AV385),'2025DATA'!$E$8,"")</f>
        <v/>
      </c>
      <c r="AW391" s="518" t="str">
        <f>IF(AND(_A3="A-330-300",'2025'!$N$4="FO",'2025'!$N$2=AW385),'2025DATA'!$F$8,"")</f>
        <v/>
      </c>
      <c r="AX391" s="518" t="str">
        <f>IF(AND(_A3="A-330-300",'2025'!$N$4="FO",'2025'!$N$2=AX385),'2025DATA'!$G$8,"")</f>
        <v/>
      </c>
      <c r="AY391" s="518" t="str">
        <f>IF(AND(_A3="A-330-300",'2025'!$N$4="FO",'2025'!$N$2=AY385),'2025DATA'!$H$8,"")</f>
        <v/>
      </c>
      <c r="AZ391" s="518" t="str">
        <f>IF(AND(_A3="A-330-300",'2025'!$N$4="FO",'2025'!$N$2=AZ385),'2025DATA'!$I$8,"")</f>
        <v/>
      </c>
      <c r="BA391" s="518" t="str">
        <f>IF(AND(_A3="A-330-300",'2025'!$N$4="FO",'2025'!$N$2=BA385),'2025DATA'!$J$8,"")</f>
        <v/>
      </c>
      <c r="BB391" s="518" t="str">
        <f>IF(AND(_A3="A-330-300",'2025'!$N$4="FO",'2025'!$N$2=BB385),'2025DATA'!$K$8,"")</f>
        <v/>
      </c>
      <c r="BC391" s="518" t="str">
        <f>IF(AND(_A3="A-330-300",'2025'!$N$4="FO",'2025'!$N$2=BC385),'2025DATA'!$L$8,"")</f>
        <v/>
      </c>
      <c r="BD391" s="518" t="str">
        <f>IF(AND(_A3="A-330-300",'2025'!$N$4="FO",'2025'!$N$2=BD385),'2025DATA'!$M$8,"")</f>
        <v/>
      </c>
      <c r="BE391" s="520" t="str">
        <f>IF(AND(_A3="A-330-300",'2025'!$N$4="FO",'2025'!$N$2=BE385),'2025DATA'!$N$8,"")</f>
        <v/>
      </c>
      <c r="BF391" s="940"/>
      <c r="BG391" s="13" t="s">
        <v>62</v>
      </c>
      <c r="BH391" s="518" t="str">
        <f>IF(AND(_A4="A-330-300",'2025'!$N$4="FO",'2025'!$N$2=BH385),'2025DATA'!$C$8,"")</f>
        <v/>
      </c>
      <c r="BI391" s="518" t="str">
        <f>IF(AND(_A4="A-330-300",'2025'!$N$4="FO",'2025'!$N$2=BI385),'2025DATA'!$D$8,"")</f>
        <v/>
      </c>
      <c r="BJ391" s="518" t="str">
        <f>IF(AND(_A4="A-330-300",'2025'!$N$4="FO",'2025'!$N$2=BJ385),'2025DATA'!$E$8,"")</f>
        <v/>
      </c>
      <c r="BK391" s="518" t="str">
        <f>IF(AND(_A4="A-330-300",'2025'!$N$4="FO",'2025'!$N$2=BK385),'2025DATA'!$F$8,"")</f>
        <v/>
      </c>
      <c r="BL391" s="518" t="str">
        <f>IF(AND(_A4="A-330-300",'2025'!$N$4="FO",'2025'!$N$2=BL385),'2025DATA'!$G$8,"")</f>
        <v/>
      </c>
      <c r="BM391" s="518" t="str">
        <f>IF(AND(_A4="A-330-300",'2025'!$N$4="FO",'2025'!$N$2=BM385),'2025DATA'!$H$8,"")</f>
        <v/>
      </c>
      <c r="BN391" s="518" t="str">
        <f>IF(AND(_A4="A-330-300",'2025'!$N$4="FO",'2025'!$N$2=BN385),'2025DATA'!$I$8,"")</f>
        <v/>
      </c>
      <c r="BO391" s="518" t="str">
        <f>IF(AND(_A4="A-330-300",'2025'!$N$4="FO",'2025'!$N$2=BO385),'2025DATA'!$J$8,"")</f>
        <v/>
      </c>
      <c r="BP391" s="518" t="str">
        <f>IF(AND(_A4="A-330-300",'2025'!$N$4="FO",'2025'!$N$2=BP385),'2025DATA'!$K$8,"")</f>
        <v/>
      </c>
      <c r="BQ391" s="518" t="str">
        <f>IF(AND(_A4="A-330-300",'2025'!$N$4="FO",'2025'!$N$2=BQ385),'2025DATA'!$L$8,"")</f>
        <v/>
      </c>
      <c r="BR391" s="518" t="str">
        <f>IF(AND(_A4="A-330-300",'2025'!$N$4="FO",'2025'!$N$2=BR385),'2025DATA'!$M$8,"")</f>
        <v/>
      </c>
      <c r="BS391" s="520" t="str">
        <f>IF(AND(_A4="A-330-300",'2025'!$N$4="FO",'2025'!$N$2=BS385),'2025DATA'!$N$8,"")</f>
        <v/>
      </c>
      <c r="BT391" s="940"/>
      <c r="BU391" s="13" t="s">
        <v>62</v>
      </c>
      <c r="BV391" s="518" t="str">
        <f>IF(AND(_A5="A-330-300",'2025'!$N$4="FO",'2025'!$N$2=BV385),'2025DATA'!$C$8,"")</f>
        <v/>
      </c>
      <c r="BW391" s="518" t="str">
        <f>IF(AND(_A5="A-330-300",'2025'!$N$4="FO",'2025'!$N$2=BW385),'2025DATA'!$D$8,"")</f>
        <v/>
      </c>
      <c r="BX391" s="518" t="str">
        <f>IF(AND(_A5="A-330-300",'2025'!$N$4="FO",'2025'!$N$2=BX385),'2025DATA'!$E$8,"")</f>
        <v/>
      </c>
      <c r="BY391" s="518" t="str">
        <f>IF(AND(_A5="A-330-300",'2025'!$N$4="FO",'2025'!$N$2=BY385),'2025DATA'!$F$8,"")</f>
        <v/>
      </c>
      <c r="BZ391" s="518" t="str">
        <f>IF(AND(_A5="A-330-300",'2025'!$N$4="FO",'2025'!$N$2=BZ385),'2025DATA'!$G$8,"")</f>
        <v/>
      </c>
      <c r="CA391" s="518" t="str">
        <f>IF(AND(_A5="A-330-300",'2025'!$N$4="FO",'2025'!$N$2=CA385),'2025DATA'!$H$8,"")</f>
        <v/>
      </c>
      <c r="CB391" s="518" t="str">
        <f>IF(AND(_A5="A-330-300",'2025'!$N$4="FO",'2025'!$N$2=CB385),'2025DATA'!$I$8,"")</f>
        <v/>
      </c>
      <c r="CC391" s="518" t="str">
        <f>IF(AND(_A5="A-330-300",'2025'!$N$4="FO",'2025'!$N$2=CC385),'2025DATA'!$J$8,"")</f>
        <v/>
      </c>
      <c r="CD391" s="518" t="str">
        <f>IF(AND(_A5="A-330-300",'2025'!$N$4="FO",'2025'!$N$2=CD385),'2025DATA'!$K$8,"")</f>
        <v/>
      </c>
      <c r="CE391" s="518" t="str">
        <f>IF(AND(_A5="A-330-300",'2025'!$N$4="FO",'2025'!$N$2=CE385),'2025DATA'!$L$8,"")</f>
        <v/>
      </c>
      <c r="CF391" s="518" t="str">
        <f>IF(AND(_A5="A-330-300",'2025'!$N$4="FO",'2025'!$N$2=CF385),'2025DATA'!$M$8,"")</f>
        <v/>
      </c>
      <c r="CG391" s="520" t="str">
        <f>IF(AND(_A5="A-330-300",'2025'!$N$4="FO",'2025'!$N$2=CG385),'2025DATA'!$N$8,"")</f>
        <v/>
      </c>
      <c r="CH391" s="940"/>
      <c r="CI391" s="13" t="s">
        <v>62</v>
      </c>
      <c r="CJ391" s="518" t="str">
        <f>IF(AND(_A6="A-330-300",'2025'!$N$4="FO",'2025'!$N$2=CJ385),'2025DATA'!$C$8,"")</f>
        <v/>
      </c>
      <c r="CK391" s="518" t="str">
        <f>IF(AND(_A6="A-330-300",'2025'!$N$4="FO",'2025'!$N$2=CK385),'2025DATA'!$D$8,"")</f>
        <v/>
      </c>
      <c r="CL391" s="518" t="str">
        <f>IF(AND(_A6="A-330-300",'2025'!$N$4="FO",'2025'!$N$2=CL385),'2025DATA'!$E$8,"")</f>
        <v/>
      </c>
      <c r="CM391" s="518" t="str">
        <f>IF(AND(_A6="A-330-300",'2025'!$N$4="FO",'2025'!$N$2=CM385),'2025DATA'!$F$8,"")</f>
        <v/>
      </c>
      <c r="CN391" s="518" t="str">
        <f>IF(AND(_A6="A-330-300",'2025'!$N$4="FO",'2025'!$N$2=CN385),'2025DATA'!$G$8,"")</f>
        <v/>
      </c>
      <c r="CO391" s="518" t="str">
        <f>IF(AND(_A6="A-330-300",'2025'!$N$4="FO",'2025'!$N$2=CO385),'2025DATA'!$H$8,"")</f>
        <v/>
      </c>
      <c r="CP391" s="518" t="str">
        <f>IF(AND(_A6="A-330-300",'2025'!$N$4="FO",'2025'!$N$2=CP385),'2025DATA'!$I$8,"")</f>
        <v/>
      </c>
      <c r="CQ391" s="518" t="str">
        <f>IF(AND(_A6="A-330-300",'2025'!$N$4="FO",'2025'!$N$2=CQ385),'2025DATA'!$J$8,"")</f>
        <v/>
      </c>
      <c r="CR391" s="518" t="str">
        <f>IF(AND(_A6="A-330-300",'2025'!$N$4="FO",'2025'!$N$2=CR385),'2025DATA'!$K$8,"")</f>
        <v/>
      </c>
      <c r="CS391" s="518" t="str">
        <f>IF(AND(_A6="A-330-300",'2025'!$N$4="FO",'2025'!$N$2=CS385),'2025DATA'!$L$8,"")</f>
        <v/>
      </c>
      <c r="CT391" s="518" t="str">
        <f>IF(AND(_A6="A-330-300",'2025'!$N$4="FO",'2025'!$N$2=CT385),'2025DATA'!$M$8,"")</f>
        <v/>
      </c>
      <c r="CU391" s="520" t="str">
        <f>IF(AND(_A6="A-330-300",'2025'!$N$4="FO",'2025'!$N$2=CU385),'2025DATA'!$N$8,"")</f>
        <v/>
      </c>
    </row>
    <row r="392" spans="16:99" x14ac:dyDescent="0.25">
      <c r="P392" s="940" t="s">
        <v>66</v>
      </c>
      <c r="Q392" s="13" t="s">
        <v>61</v>
      </c>
      <c r="R392" s="518" t="str">
        <f>IF(AND(_A1="A-330-200",'2025'!$N$4="CA",'2025'!$N$2=R385),'2025DATA'!$C$9,"")</f>
        <v/>
      </c>
      <c r="S392" s="518" t="str">
        <f>IF(AND(_A1="A-330-200",'2025'!$N$4="CA",'2025'!$N$2=S385),'2025DATA'!$D$9,"")</f>
        <v/>
      </c>
      <c r="T392" s="518" t="str">
        <f>IF(AND(_A1="A-330-200",'2025'!$N$4="CA",'2025'!$N$2=T385),'2025DATA'!$E$9,"")</f>
        <v/>
      </c>
      <c r="U392" s="518" t="str">
        <f>IF(AND(_A1="A-330-200",'2025'!$N$4="CA",'2025'!$N$2=U385),'2025DATA'!$F$9,"")</f>
        <v/>
      </c>
      <c r="V392" s="518" t="str">
        <f>IF(AND(_A1="A-330-200",'2025'!$N$4="CA",'2025'!$N$2=V385),'2025DATA'!$G$9,"")</f>
        <v/>
      </c>
      <c r="W392" s="518" t="str">
        <f>IF(AND(_A1="A-330-200",'2025'!$N$4="CA",'2025'!$N$2=W385),'2025DATA'!$H$9,"")</f>
        <v/>
      </c>
      <c r="X392" s="518" t="str">
        <f>IF(AND(_A1="A-330-200",'2025'!$N$4="CA",'2025'!$N$2=X385),'2025DATA'!$I$9,"")</f>
        <v/>
      </c>
      <c r="Y392" s="518" t="str">
        <f>IF(AND(_A1="A-330-200",'2025'!$N$4="CA",'2025'!$N$2=Y385),'2025DATA'!$J$9,"")</f>
        <v/>
      </c>
      <c r="Z392" s="518" t="str">
        <f>IF(AND(_A1="A-330-200",'2025'!$N$4="CA",'2025'!$N$2=Z385),'2025DATA'!$K$9,"")</f>
        <v/>
      </c>
      <c r="AA392" s="518" t="str">
        <f>IF(AND(_A1="A-330-200",'2025'!$N$4="CA",'2025'!$N$2=AA385),'2025DATA'!$L$9,"")</f>
        <v/>
      </c>
      <c r="AB392" s="518" t="str">
        <f>IF(AND(_A1="A-330-200",'2025'!$N$4="CA",'2025'!$N$2=AB385),'2025DATA'!$M$9,"")</f>
        <v/>
      </c>
      <c r="AC392" s="520" t="str">
        <f>IF(AND(_A1="A-330-200",'2025'!$N$4="CA",'2025'!$N$2=AC385),'2025DATA'!$N$9,"")</f>
        <v/>
      </c>
      <c r="AD392" s="940" t="s">
        <v>66</v>
      </c>
      <c r="AE392" s="13" t="s">
        <v>61</v>
      </c>
      <c r="AF392" s="518" t="str">
        <f>IF(AND(_A2="A-330-200",'2025'!$N$4="CA",'2025'!$N$2=AF385),'2025DATA'!$C$9,"")</f>
        <v/>
      </c>
      <c r="AG392" s="518" t="str">
        <f>IF(AND(_A2="A-330-200",'2025'!$N$4="CA",'2025'!$N$2=AG385),'2025DATA'!$D$9,"")</f>
        <v/>
      </c>
      <c r="AH392" s="518" t="str">
        <f>IF(AND(_A2="A-330-200",'2025'!$N$4="CA",'2025'!$N$2=AH385),'2025DATA'!$E$9,"")</f>
        <v/>
      </c>
      <c r="AI392" s="518" t="str">
        <f>IF(AND(_A2="A-330-200",'2025'!$N$4="CA",'2025'!$N$2=AI385),'2025DATA'!$F$9,"")</f>
        <v/>
      </c>
      <c r="AJ392" s="518" t="str">
        <f>IF(AND(_A2="A-330-200",'2025'!$N$4="CA",'2025'!$N$2=AJ385),'2025DATA'!$G$9,"")</f>
        <v/>
      </c>
      <c r="AK392" s="518" t="str">
        <f>IF(AND(_A2="A-330-200",'2025'!$N$4="CA",'2025'!$N$2=AK385),'2025DATA'!$H$9,"")</f>
        <v/>
      </c>
      <c r="AL392" s="518" t="str">
        <f>IF(AND(_A2="A-330-200",'2025'!$N$4="CA",'2025'!$N$2=AL385),'2025DATA'!$I$9,"")</f>
        <v/>
      </c>
      <c r="AM392" s="518" t="str">
        <f>IF(AND(_A2="A-330-200",'2025'!$N$4="CA",'2025'!$N$2=AM385),'2025DATA'!$J$9,"")</f>
        <v/>
      </c>
      <c r="AN392" s="518" t="str">
        <f>IF(AND(_A2="A-330-200",'2025'!$N$4="CA",'2025'!$N$2=AN385),'2025DATA'!$K$9,"")</f>
        <v/>
      </c>
      <c r="AO392" s="518" t="str">
        <f>IF(AND(_A2="A-330-200",'2025'!$N$4="CA",'2025'!$N$2=AO385),'2025DATA'!$L$9,"")</f>
        <v/>
      </c>
      <c r="AP392" s="518" t="str">
        <f>IF(AND(_A2="A-330-200",'2025'!$N$4="CA",'2025'!$N$2=AP385),'2025DATA'!$M$9,"")</f>
        <v/>
      </c>
      <c r="AQ392" s="520" t="str">
        <f>IF(AND(_A2="A-330-200",'2025'!$N$4="CA",'2025'!$N$2=AQ385),'2025DATA'!$N$9,"")</f>
        <v/>
      </c>
      <c r="AR392" s="940" t="s">
        <v>66</v>
      </c>
      <c r="AS392" s="13" t="s">
        <v>61</v>
      </c>
      <c r="AT392" s="518" t="str">
        <f>IF(AND(_A3="A-330-200",'2025'!$N$4="CA",'2025'!$N$2=AT385),'2025DATA'!$C$9,"")</f>
        <v/>
      </c>
      <c r="AU392" s="518" t="str">
        <f>IF(AND(_A3="A-330-200",'2025'!$N$4="CA",'2025'!$N$2=AU385),'2025DATA'!$D$9,"")</f>
        <v/>
      </c>
      <c r="AV392" s="518" t="str">
        <f>IF(AND(_A3="A-330-200",'2025'!$N$4="CA",'2025'!$N$2=AV385),'2025DATA'!$E$9,"")</f>
        <v/>
      </c>
      <c r="AW392" s="518" t="str">
        <f>IF(AND(_A3="A-330-200",'2025'!$N$4="CA",'2025'!$N$2=AW385),'2025DATA'!$F$9,"")</f>
        <v/>
      </c>
      <c r="AX392" s="518" t="str">
        <f>IF(AND(_A3="A-330-200",'2025'!$N$4="CA",'2025'!$N$2=AX385),'2025DATA'!$G$9,"")</f>
        <v/>
      </c>
      <c r="AY392" s="518" t="str">
        <f>IF(AND(_A3="A-330-200",'2025'!$N$4="CA",'2025'!$N$2=AY385),'2025DATA'!$H$9,"")</f>
        <v/>
      </c>
      <c r="AZ392" s="518" t="str">
        <f>IF(AND(_A3="A-330-200",'2025'!$N$4="CA",'2025'!$N$2=AZ385),'2025DATA'!$I$9,"")</f>
        <v/>
      </c>
      <c r="BA392" s="518" t="str">
        <f>IF(AND(_A3="A-330-200",'2025'!$N$4="CA",'2025'!$N$2=BA385),'2025DATA'!$J$9,"")</f>
        <v/>
      </c>
      <c r="BB392" s="518" t="str">
        <f>IF(AND(_A3="A-330-200",'2025'!$N$4="CA",'2025'!$N$2=BB385),'2025DATA'!$K$9,"")</f>
        <v/>
      </c>
      <c r="BC392" s="518" t="str">
        <f>IF(AND(_A3="A-330-200",'2025'!$N$4="CA",'2025'!$N$2=BC385),'2025DATA'!$L$9,"")</f>
        <v/>
      </c>
      <c r="BD392" s="518" t="str">
        <f>IF(AND(_A3="A-330-200",'2025'!$N$4="CA",'2025'!$N$2=BD385),'2025DATA'!$M$9,"")</f>
        <v/>
      </c>
      <c r="BE392" s="520" t="str">
        <f>IF(AND(_A3="A-330-200",'2025'!$N$4="CA",'2025'!$N$2=BE385),'2025DATA'!$N$9,"")</f>
        <v/>
      </c>
      <c r="BF392" s="940" t="s">
        <v>66</v>
      </c>
      <c r="BG392" s="13" t="s">
        <v>61</v>
      </c>
      <c r="BH392" s="518" t="str">
        <f>IF(AND(_A4="A-330-200",'2025'!$N$4="CA",'2025'!$N$2=BH385),'2025DATA'!$C$9,"")</f>
        <v/>
      </c>
      <c r="BI392" s="518" t="str">
        <f>IF(AND(_A4="A-330-200",'2025'!$N$4="CA",'2025'!$N$2=BI385),'2025DATA'!$D$9,"")</f>
        <v/>
      </c>
      <c r="BJ392" s="518" t="str">
        <f>IF(AND(_A4="A-330-200",'2025'!$N$4="CA",'2025'!$N$2=BJ385),'2025DATA'!$E$9,"")</f>
        <v/>
      </c>
      <c r="BK392" s="518" t="str">
        <f>IF(AND(_A4="A-330-200",'2025'!$N$4="CA",'2025'!$N$2=BK385),'2025DATA'!$F$9,"")</f>
        <v/>
      </c>
      <c r="BL392" s="518" t="str">
        <f>IF(AND(_A4="A-330-200",'2025'!$N$4="CA",'2025'!$N$2=BL385),'2025DATA'!$G$9,"")</f>
        <v/>
      </c>
      <c r="BM392" s="518" t="str">
        <f>IF(AND(_A4="A-330-200",'2025'!$N$4="CA",'2025'!$N$2=BM385),'2025DATA'!$H$9,"")</f>
        <v/>
      </c>
      <c r="BN392" s="518" t="str">
        <f>IF(AND(_A4="A-330-200",'2025'!$N$4="CA",'2025'!$N$2=BN385),'2025DATA'!$I$9,"")</f>
        <v/>
      </c>
      <c r="BO392" s="518" t="str">
        <f>IF(AND(_A4="A-330-200",'2025'!$N$4="CA",'2025'!$N$2=BO385),'2025DATA'!$J$9,"")</f>
        <v/>
      </c>
      <c r="BP392" s="518" t="str">
        <f>IF(AND(_A4="A-330-200",'2025'!$N$4="CA",'2025'!$N$2=BP385),'2025DATA'!$K$9,"")</f>
        <v/>
      </c>
      <c r="BQ392" s="518" t="str">
        <f>IF(AND(_A4="A-330-200",'2025'!$N$4="CA",'2025'!$N$2=BQ385),'2025DATA'!$L$9,"")</f>
        <v/>
      </c>
      <c r="BR392" s="518" t="str">
        <f>IF(AND(_A4="A-330-200",'2025'!$N$4="CA",'2025'!$N$2=BR385),'2025DATA'!$M$9,"")</f>
        <v/>
      </c>
      <c r="BS392" s="520" t="str">
        <f>IF(AND(_A4="A-330-200",'2025'!$N$4="CA",'2025'!$N$2=BS385),'2025DATA'!$N$9,"")</f>
        <v/>
      </c>
      <c r="BT392" s="940" t="s">
        <v>66</v>
      </c>
      <c r="BU392" s="13" t="s">
        <v>61</v>
      </c>
      <c r="BV392" s="518" t="str">
        <f>IF(AND(_A5="A-330-200",'2025'!$N$4="CA",'2025'!$N$2=BV385),'2025DATA'!$C$9,"")</f>
        <v/>
      </c>
      <c r="BW392" s="518" t="str">
        <f>IF(AND(_A5="A-330-200",'2025'!$N$4="CA",'2025'!$N$2=BW385),'2025DATA'!$D$9,"")</f>
        <v/>
      </c>
      <c r="BX392" s="518" t="str">
        <f>IF(AND(_A5="A-330-200",'2025'!$N$4="CA",'2025'!$N$2=BX385),'2025DATA'!$E$9,"")</f>
        <v/>
      </c>
      <c r="BY392" s="518" t="str">
        <f>IF(AND(_A5="A-330-200",'2025'!$N$4="CA",'2025'!$N$2=BY385),'2025DATA'!$F$9,"")</f>
        <v/>
      </c>
      <c r="BZ392" s="518" t="str">
        <f>IF(AND(_A5="A-330-200",'2025'!$N$4="CA",'2025'!$N$2=BZ385),'2025DATA'!$G$9,"")</f>
        <v/>
      </c>
      <c r="CA392" s="518" t="str">
        <f>IF(AND(_A5="A-330-200",'2025'!$N$4="CA",'2025'!$N$2=CA385),'2025DATA'!$H$9,"")</f>
        <v/>
      </c>
      <c r="CB392" s="518" t="str">
        <f>IF(AND(_A5="A-330-200",'2025'!$N$4="CA",'2025'!$N$2=CB385),'2025DATA'!$I$9,"")</f>
        <v/>
      </c>
      <c r="CC392" s="518" t="str">
        <f>IF(AND(_A5="A-330-200",'2025'!$N$4="CA",'2025'!$N$2=CC385),'2025DATA'!$J$9,"")</f>
        <v/>
      </c>
      <c r="CD392" s="518" t="str">
        <f>IF(AND(_A5="A-330-200",'2025'!$N$4="CA",'2025'!$N$2=CD385),'2025DATA'!$K$9,"")</f>
        <v/>
      </c>
      <c r="CE392" s="518" t="str">
        <f>IF(AND(_A5="A-330-200",'2025'!$N$4="CA",'2025'!$N$2=CE385),'2025DATA'!$L$9,"")</f>
        <v/>
      </c>
      <c r="CF392" s="518" t="str">
        <f>IF(AND(_A5="A-330-200",'2025'!$N$4="CA",'2025'!$N$2=CF385),'2025DATA'!$M$9,"")</f>
        <v/>
      </c>
      <c r="CG392" s="520" t="str">
        <f>IF(AND(_A5="A-330-200",'2025'!$N$4="CA",'2025'!$N$2=CG385),'2025DATA'!$N$9,"")</f>
        <v/>
      </c>
      <c r="CH392" s="940" t="s">
        <v>66</v>
      </c>
      <c r="CI392" s="13" t="s">
        <v>61</v>
      </c>
      <c r="CJ392" s="518" t="str">
        <f>IF(AND(_A6="A-330-200",'2025'!$N$4="CA",'2025'!$N$2=CJ385),'2025DATA'!$C$9,"")</f>
        <v/>
      </c>
      <c r="CK392" s="518" t="str">
        <f>IF(AND(_A6="A-330-200",'2025'!$N$4="CA",'2025'!$N$2=CK385),'2025DATA'!$D$9,"")</f>
        <v/>
      </c>
      <c r="CL392" s="518" t="str">
        <f>IF(AND(_A6="A-330-200",'2025'!$N$4="CA",'2025'!$N$2=CL385),'2025DATA'!$E$9,"")</f>
        <v/>
      </c>
      <c r="CM392" s="518" t="str">
        <f>IF(AND(_A6="A-330-200",'2025'!$N$4="CA",'2025'!$N$2=CM385),'2025DATA'!$F$9,"")</f>
        <v/>
      </c>
      <c r="CN392" s="518" t="str">
        <f>IF(AND(_A6="A-330-200",'2025'!$N$4="CA",'2025'!$N$2=CN385),'2025DATA'!$G$9,"")</f>
        <v/>
      </c>
      <c r="CO392" s="518" t="str">
        <f>IF(AND(_A6="A-330-200",'2025'!$N$4="CA",'2025'!$N$2=CO385),'2025DATA'!$H$9,"")</f>
        <v/>
      </c>
      <c r="CP392" s="518" t="str">
        <f>IF(AND(_A6="A-330-200",'2025'!$N$4="CA",'2025'!$N$2=CP385),'2025DATA'!$I$9,"")</f>
        <v/>
      </c>
      <c r="CQ392" s="518" t="str">
        <f>IF(AND(_A6="A-330-200",'2025'!$N$4="CA",'2025'!$N$2=CQ385),'2025DATA'!$J$9,"")</f>
        <v/>
      </c>
      <c r="CR392" s="518" t="str">
        <f>IF(AND(_A6="A-330-200",'2025'!$N$4="CA",'2025'!$N$2=CR385),'2025DATA'!$K$9,"")</f>
        <v/>
      </c>
      <c r="CS392" s="518" t="str">
        <f>IF(AND(_A6="A-330-200",'2025'!$N$4="CA",'2025'!$N$2=CS385),'2025DATA'!$L$9,"")</f>
        <v/>
      </c>
      <c r="CT392" s="518" t="str">
        <f>IF(AND(_A6="A-330-200",'2025'!$N$4="CA",'2025'!$N$2=CT385),'2025DATA'!$M$9,"")</f>
        <v/>
      </c>
      <c r="CU392" s="520" t="str">
        <f>IF(AND(_A6="A-330-200",'2025'!$N$4="CA",'2025'!$N$2=CU385),'2025DATA'!$N$9,"")</f>
        <v/>
      </c>
    </row>
    <row r="393" spans="16:99" x14ac:dyDescent="0.25">
      <c r="P393" s="940"/>
      <c r="Q393" s="13" t="s">
        <v>62</v>
      </c>
      <c r="R393" s="518" t="str">
        <f>IF(AND(_A1="A-330-200",'2025'!$N$4="FO",'2025'!$N$2=R385),'2025DATA'!$C$10,"")</f>
        <v/>
      </c>
      <c r="S393" s="518" t="str">
        <f>IF(AND(_A1="A-330-200",'2025'!$N$4="FO",'2025'!$N$2=S385),'2025DATA'!$D$10,"")</f>
        <v/>
      </c>
      <c r="T393" s="518" t="str">
        <f>IF(AND(_A1="A-330-200",'2025'!$N$4="FO",'2025'!$N$2=T385),'2025DATA'!$E$10,"")</f>
        <v/>
      </c>
      <c r="U393" s="518" t="str">
        <f>IF(AND(_A1="A-330-200",'2025'!$N$4="FO",'2025'!$N$2=U385),'2025DATA'!$F$10,"")</f>
        <v/>
      </c>
      <c r="V393" s="518" t="str">
        <f>IF(AND(_A1="A-330-200",'2025'!$N$4="FO",'2025'!$N$2=V385),'2025DATA'!$G$10,"")</f>
        <v/>
      </c>
      <c r="W393" s="518" t="str">
        <f>IF(AND(_A1="A-330-200",'2025'!$N$4="FO",'2025'!$N$2=W385),'2025DATA'!$H$10,"")</f>
        <v/>
      </c>
      <c r="X393" s="518" t="str">
        <f>IF(AND(_A1="A-330-200",'2025'!$N$4="FO",'2025'!$N$2=X385),'2025DATA'!$I$10,"")</f>
        <v/>
      </c>
      <c r="Y393" s="518" t="str">
        <f>IF(AND(_A1="A-330-200",'2025'!$N$4="FO",'2025'!$N$2=Y385),'2025DATA'!$J$10,"")</f>
        <v/>
      </c>
      <c r="Z393" s="518" t="str">
        <f>IF(AND(_A1="A-330-200",'2025'!$N$4="FO",'2025'!$N$2=Z385),'2025DATA'!$K$10,"")</f>
        <v/>
      </c>
      <c r="AA393" s="518" t="str">
        <f>IF(AND(_A1="A-330-200",'2025'!$N$4="FO",'2025'!$N$2=AA385),'2025DATA'!$L$10,"")</f>
        <v/>
      </c>
      <c r="AB393" s="518" t="str">
        <f>IF(AND(_A1="A-330-200",'2025'!$N$4="FO",'2025'!$N$2=AB385),'2025DATA'!$M$10,"")</f>
        <v/>
      </c>
      <c r="AC393" s="520" t="str">
        <f>IF(AND(_A1="A-330-200",'2025'!$N$4="FO",'2025'!$N$2=AC385),'2025DATA'!$N$10,"")</f>
        <v/>
      </c>
      <c r="AD393" s="940"/>
      <c r="AE393" s="13" t="s">
        <v>62</v>
      </c>
      <c r="AF393" s="518" t="str">
        <f>IF(AND(_A2="A-330-200",'2025'!$N$4="FO",'2025'!$N$2=AF385),'2025DATA'!$C$10,"")</f>
        <v/>
      </c>
      <c r="AG393" s="518" t="str">
        <f>IF(AND(_A2="A-330-200",'2025'!$N$4="FO",'2025'!$N$2=AG385),'2025DATA'!$D$10,"")</f>
        <v/>
      </c>
      <c r="AH393" s="518" t="str">
        <f>IF(AND(_A2="A-330-200",'2025'!$N$4="FO",'2025'!$N$2=AH385),'2025DATA'!$E$10,"")</f>
        <v/>
      </c>
      <c r="AI393" s="518" t="str">
        <f>IF(AND(_A2="A-330-200",'2025'!$N$4="FO",'2025'!$N$2=AI385),'2025DATA'!$F$10,"")</f>
        <v/>
      </c>
      <c r="AJ393" s="518" t="str">
        <f>IF(AND(_A2="A-330-200",'2025'!$N$4="FO",'2025'!$N$2=AJ385),'2025DATA'!$G$10,"")</f>
        <v/>
      </c>
      <c r="AK393" s="518" t="str">
        <f>IF(AND(_A2="A-330-200",'2025'!$N$4="FO",'2025'!$N$2=AK385),'2025DATA'!$H$10,"")</f>
        <v/>
      </c>
      <c r="AL393" s="518" t="str">
        <f>IF(AND(_A2="A-330-200",'2025'!$N$4="FO",'2025'!$N$2=AL385),'2025DATA'!$I$10,"")</f>
        <v/>
      </c>
      <c r="AM393" s="518" t="str">
        <f>IF(AND(_A2="A-330-200",'2025'!$N$4="FO",'2025'!$N$2=AM385),'2025DATA'!$J$10,"")</f>
        <v/>
      </c>
      <c r="AN393" s="518" t="str">
        <f>IF(AND(_A2="A-330-200",'2025'!$N$4="FO",'2025'!$N$2=AN385),'2025DATA'!$K$10,"")</f>
        <v/>
      </c>
      <c r="AO393" s="518" t="str">
        <f>IF(AND(_A2="A-330-200",'2025'!$N$4="FO",'2025'!$N$2=AO385),'2025DATA'!$L$10,"")</f>
        <v/>
      </c>
      <c r="AP393" s="518" t="str">
        <f>IF(AND(_A2="A-330-200",'2025'!$N$4="FO",'2025'!$N$2=AP385),'2025DATA'!$M$10,"")</f>
        <v/>
      </c>
      <c r="AQ393" s="520" t="str">
        <f>IF(AND(_A2="A-330-200",'2025'!$N$4="FO",'2025'!$N$2=AQ385),'2025DATA'!$N$10,"")</f>
        <v/>
      </c>
      <c r="AR393" s="940"/>
      <c r="AS393" s="13" t="s">
        <v>62</v>
      </c>
      <c r="AT393" s="518" t="str">
        <f>IF(AND(_A3="A-330-200",'2025'!$N$4="FO",'2025'!$N$2=AT385),'2025DATA'!$C$10,"")</f>
        <v/>
      </c>
      <c r="AU393" s="518" t="str">
        <f>IF(AND(_A3="A-330-200",'2025'!$N$4="FO",'2025'!$N$2=AU385),'2025DATA'!$D$10,"")</f>
        <v/>
      </c>
      <c r="AV393" s="518" t="str">
        <f>IF(AND(_A3="A-330-200",'2025'!$N$4="FO",'2025'!$N$2=AV385),'2025DATA'!$E$10,"")</f>
        <v/>
      </c>
      <c r="AW393" s="518" t="str">
        <f>IF(AND(_A3="A-330-200",'2025'!$N$4="FO",'2025'!$N$2=AW385),'2025DATA'!$F$10,"")</f>
        <v/>
      </c>
      <c r="AX393" s="518" t="str">
        <f>IF(AND(_A3="A-330-200",'2025'!$N$4="FO",'2025'!$N$2=AX385),'2025DATA'!$G$10,"")</f>
        <v/>
      </c>
      <c r="AY393" s="518" t="str">
        <f>IF(AND(_A3="A-330-200",'2025'!$N$4="FO",'2025'!$N$2=AY385),'2025DATA'!$H$10,"")</f>
        <v/>
      </c>
      <c r="AZ393" s="518" t="str">
        <f>IF(AND(_A3="A-330-200",'2025'!$N$4="FO",'2025'!$N$2=AZ385),'2025DATA'!$I$10,"")</f>
        <v/>
      </c>
      <c r="BA393" s="518" t="str">
        <f>IF(AND(_A3="A-330-200",'2025'!$N$4="FO",'2025'!$N$2=BA385),'2025DATA'!$J$10,"")</f>
        <v/>
      </c>
      <c r="BB393" s="518" t="str">
        <f>IF(AND(_A3="A-330-200",'2025'!$N$4="FO",'2025'!$N$2=BB385),'2025DATA'!$K$10,"")</f>
        <v/>
      </c>
      <c r="BC393" s="518" t="str">
        <f>IF(AND(_A3="A-330-200",'2025'!$N$4="FO",'2025'!$N$2=BC385),'2025DATA'!$L$10,"")</f>
        <v/>
      </c>
      <c r="BD393" s="518" t="str">
        <f>IF(AND(_A3="A-330-200",'2025'!$N$4="FO",'2025'!$N$2=BD385),'2025DATA'!$M$10,"")</f>
        <v/>
      </c>
      <c r="BE393" s="520" t="str">
        <f>IF(AND(_A3="A-330-200",'2025'!$N$4="FO",'2025'!$N$2=BE385),'2025DATA'!$N$10,"")</f>
        <v/>
      </c>
      <c r="BF393" s="940"/>
      <c r="BG393" s="13" t="s">
        <v>62</v>
      </c>
      <c r="BH393" s="518" t="str">
        <f>IF(AND(_A4="A-330-200",'2025'!$N$4="FO",'2025'!$N$2=BH385),'2025DATA'!$C$10,"")</f>
        <v/>
      </c>
      <c r="BI393" s="518" t="str">
        <f>IF(AND(_A4="A-330-200",'2025'!$N$4="FO",'2025'!$N$2=BI385),'2025DATA'!$D$10,"")</f>
        <v/>
      </c>
      <c r="BJ393" s="518" t="str">
        <f>IF(AND(_A4="A-330-200",'2025'!$N$4="FO",'2025'!$N$2=BJ385),'2025DATA'!$E$10,"")</f>
        <v/>
      </c>
      <c r="BK393" s="518" t="str">
        <f>IF(AND(_A4="A-330-200",'2025'!$N$4="FO",'2025'!$N$2=BK385),'2025DATA'!$F$10,"")</f>
        <v/>
      </c>
      <c r="BL393" s="518" t="str">
        <f>IF(AND(_A4="A-330-200",'2025'!$N$4="FO",'2025'!$N$2=BL385),'2025DATA'!$G$10,"")</f>
        <v/>
      </c>
      <c r="BM393" s="518" t="str">
        <f>IF(AND(_A4="A-330-200",'2025'!$N$4="FO",'2025'!$N$2=BM385),'2025DATA'!$H$10,"")</f>
        <v/>
      </c>
      <c r="BN393" s="518" t="str">
        <f>IF(AND(_A4="A-330-200",'2025'!$N$4="FO",'2025'!$N$2=BN385),'2025DATA'!$I$10,"")</f>
        <v/>
      </c>
      <c r="BO393" s="518" t="str">
        <f>IF(AND(_A4="A-330-200",'2025'!$N$4="FO",'2025'!$N$2=BO385),'2025DATA'!$J$10,"")</f>
        <v/>
      </c>
      <c r="BP393" s="518" t="str">
        <f>IF(AND(_A4="A-330-200",'2025'!$N$4="FO",'2025'!$N$2=BP385),'2025DATA'!$K$10,"")</f>
        <v/>
      </c>
      <c r="BQ393" s="518" t="str">
        <f>IF(AND(_A4="A-330-200",'2025'!$N$4="FO",'2025'!$N$2=BQ385),'2025DATA'!$L$10,"")</f>
        <v/>
      </c>
      <c r="BR393" s="518" t="str">
        <f>IF(AND(_A4="A-330-200",'2025'!$N$4="FO",'2025'!$N$2=BR385),'2025DATA'!$M$10,"")</f>
        <v/>
      </c>
      <c r="BS393" s="520" t="str">
        <f>IF(AND(_A4="A-330-200",'2025'!$N$4="FO",'2025'!$N$2=BS385),'2025DATA'!$N$10,"")</f>
        <v/>
      </c>
      <c r="BT393" s="940"/>
      <c r="BU393" s="13" t="s">
        <v>62</v>
      </c>
      <c r="BV393" s="518" t="str">
        <f>IF(AND(_A5="A-330-200",'2025'!$N$4="FO",'2025'!$N$2=BV385),'2025DATA'!$C$10,"")</f>
        <v/>
      </c>
      <c r="BW393" s="518" t="str">
        <f>IF(AND(_A5="A-330-200",'2025'!$N$4="FO",'2025'!$N$2=BW385),'2025DATA'!$D$10,"")</f>
        <v/>
      </c>
      <c r="BX393" s="518" t="str">
        <f>IF(AND(_A5="A-330-200",'2025'!$N$4="FO",'2025'!$N$2=BX385),'2025DATA'!$E$10,"")</f>
        <v/>
      </c>
      <c r="BY393" s="518" t="str">
        <f>IF(AND(_A5="A-330-200",'2025'!$N$4="FO",'2025'!$N$2=BY385),'2025DATA'!$F$10,"")</f>
        <v/>
      </c>
      <c r="BZ393" s="518" t="str">
        <f>IF(AND(_A5="A-330-200",'2025'!$N$4="FO",'2025'!$N$2=BZ385),'2025DATA'!$G$10,"")</f>
        <v/>
      </c>
      <c r="CA393" s="518" t="str">
        <f>IF(AND(_A5="A-330-200",'2025'!$N$4="FO",'2025'!$N$2=CA385),'2025DATA'!$H$10,"")</f>
        <v/>
      </c>
      <c r="CB393" s="518" t="str">
        <f>IF(AND(_A5="A-330-200",'2025'!$N$4="FO",'2025'!$N$2=CB385),'2025DATA'!$I$10,"")</f>
        <v/>
      </c>
      <c r="CC393" s="518" t="str">
        <f>IF(AND(_A5="A-330-200",'2025'!$N$4="FO",'2025'!$N$2=CC385),'2025DATA'!$J$10,"")</f>
        <v/>
      </c>
      <c r="CD393" s="518" t="str">
        <f>IF(AND(_A5="A-330-200",'2025'!$N$4="FO",'2025'!$N$2=CD385),'2025DATA'!$K$10,"")</f>
        <v/>
      </c>
      <c r="CE393" s="518" t="str">
        <f>IF(AND(_A5="A-330-200",'2025'!$N$4="FO",'2025'!$N$2=CE385),'2025DATA'!$L$10,"")</f>
        <v/>
      </c>
      <c r="CF393" s="518" t="str">
        <f>IF(AND(_A5="A-330-200",'2025'!$N$4="FO",'2025'!$N$2=CF385),'2025DATA'!$M$10,"")</f>
        <v/>
      </c>
      <c r="CG393" s="520" t="str">
        <f>IF(AND(_A5="A-330-200",'2025'!$N$4="FO",'2025'!$N$2=CG385),'2025DATA'!$N$10,"")</f>
        <v/>
      </c>
      <c r="CH393" s="940"/>
      <c r="CI393" s="13" t="s">
        <v>62</v>
      </c>
      <c r="CJ393" s="518" t="str">
        <f>IF(AND(_A6="A-330-200",'2025'!$N$4="FO",'2025'!$N$2=CJ385),'2025DATA'!$C$10,"")</f>
        <v/>
      </c>
      <c r="CK393" s="518" t="str">
        <f>IF(AND(_A6="A-330-200",'2025'!$N$4="FO",'2025'!$N$2=CK385),'2025DATA'!$D$10,"")</f>
        <v/>
      </c>
      <c r="CL393" s="518" t="str">
        <f>IF(AND(_A6="A-330-200",'2025'!$N$4="FO",'2025'!$N$2=CL385),'2025DATA'!$E$10,"")</f>
        <v/>
      </c>
      <c r="CM393" s="518" t="str">
        <f>IF(AND(_A6="A-330-200",'2025'!$N$4="FO",'2025'!$N$2=CM385),'2025DATA'!$F$10,"")</f>
        <v/>
      </c>
      <c r="CN393" s="518" t="str">
        <f>IF(AND(_A6="A-330-200",'2025'!$N$4="FO",'2025'!$N$2=CN385),'2025DATA'!$G$10,"")</f>
        <v/>
      </c>
      <c r="CO393" s="518" t="str">
        <f>IF(AND(_A6="A-330-200",'2025'!$N$4="FO",'2025'!$N$2=CO385),'2025DATA'!$H$10,"")</f>
        <v/>
      </c>
      <c r="CP393" s="518" t="str">
        <f>IF(AND(_A6="A-330-200",'2025'!$N$4="FO",'2025'!$N$2=CP385),'2025DATA'!$I$10,"")</f>
        <v/>
      </c>
      <c r="CQ393" s="518" t="str">
        <f>IF(AND(_A6="A-330-200",'2025'!$N$4="FO",'2025'!$N$2=CQ385),'2025DATA'!$J$10,"")</f>
        <v/>
      </c>
      <c r="CR393" s="518" t="str">
        <f>IF(AND(_A6="A-330-200",'2025'!$N$4="FO",'2025'!$N$2=CR385),'2025DATA'!$K$10,"")</f>
        <v/>
      </c>
      <c r="CS393" s="518" t="str">
        <f>IF(AND(_A6="A-330-200",'2025'!$N$4="FO",'2025'!$N$2=CS385),'2025DATA'!$L$10,"")</f>
        <v/>
      </c>
      <c r="CT393" s="518" t="str">
        <f>IF(AND(_A6="A-330-200",'2025'!$N$4="FO",'2025'!$N$2=CT385),'2025DATA'!$M$10,"")</f>
        <v/>
      </c>
      <c r="CU393" s="520" t="str">
        <f>IF(AND(_A6="A-330-200",'2025'!$N$4="FO",'2025'!$N$2=CU385),'2025DATA'!$N$10,"")</f>
        <v/>
      </c>
    </row>
    <row r="394" spans="16:99" x14ac:dyDescent="0.25">
      <c r="P394" s="940" t="s">
        <v>42</v>
      </c>
      <c r="Q394" s="13" t="s">
        <v>61</v>
      </c>
      <c r="R394" s="518" t="str">
        <f>IF(AND(_A1="B-767-400ER",'2025'!$N$4="CA",'2025'!$N$2=R385),'2025DATA'!$C$11,"")</f>
        <v/>
      </c>
      <c r="S394" s="518" t="str">
        <f>IF(AND(_A1="B-767-400ER",'2025'!$N$4="CA",'2025'!$N$2=S385),'2025DATA'!$D$11,"")</f>
        <v/>
      </c>
      <c r="T394" s="518" t="str">
        <f>IF(AND(_A1="B-767-400ER",'2025'!$N$4="CA",'2025'!$N$2=T385),'2025DATA'!$E$11,"")</f>
        <v/>
      </c>
      <c r="U394" s="518" t="str">
        <f>IF(AND(_A1="B-767-400ER",'2025'!$N$4="CA",'2025'!$N$2=U385),'2025DATA'!$F$11,"")</f>
        <v/>
      </c>
      <c r="V394" s="518" t="str">
        <f>IF(AND(_A1="B-767-400ER",'2025'!$N$4="CA",'2025'!$N$2=V385),'2025DATA'!$G$11,"")</f>
        <v/>
      </c>
      <c r="W394" s="518" t="str">
        <f>IF(AND(_A1="B-767-400ER",'2025'!$N$4="CA",'2025'!$N$2=W385),'2025DATA'!$H$11,"")</f>
        <v/>
      </c>
      <c r="X394" s="518" t="str">
        <f>IF(AND(_A1="B-767-400ER",'2025'!$N$4="CA",'2025'!$N$2=X385),'2025DATA'!$I$11,"")</f>
        <v/>
      </c>
      <c r="Y394" s="518" t="str">
        <f>IF(AND(_A1="B-767-400ER",'2025'!$N$4="CA",'2025'!$N$2=Y385),'2025DATA'!$J$11,"")</f>
        <v/>
      </c>
      <c r="Z394" s="518" t="str">
        <f>IF(AND(_A1="B-767-400ER",'2025'!$N$4="CA",'2025'!$N$2=Z385),'2025DATA'!$K$11,"")</f>
        <v/>
      </c>
      <c r="AA394" s="518" t="str">
        <f>IF(AND(_A1="B-767-400ER",'2025'!$N$4="CA",'2025'!$N$2=AA385),'2025DATA'!$L$11,"")</f>
        <v/>
      </c>
      <c r="AB394" s="518" t="str">
        <f>IF(AND(_A1="B-767-400ER",'2025'!$N$4="CA",'2025'!$N$2=AB385),'2025DATA'!$M$11,"")</f>
        <v/>
      </c>
      <c r="AC394" s="520" t="str">
        <f>IF(AND(_A1="B-767-400ER",'2025'!$N$4="CA",'2025'!$N$2=AC385),'2025DATA'!$N$11,"")</f>
        <v/>
      </c>
      <c r="AD394" s="940" t="s">
        <v>42</v>
      </c>
      <c r="AE394" s="13" t="s">
        <v>61</v>
      </c>
      <c r="AF394" s="518" t="str">
        <f>IF(AND(_A2="B-767-400ER",'2025'!$N$4="CA",'2025'!$N$2=AF385),'2025DATA'!$C$11,"")</f>
        <v/>
      </c>
      <c r="AG394" s="518" t="str">
        <f>IF(AND(_A2="B-767-400ER",'2025'!$N$4="CA",'2025'!$N$2=AG385),'2025DATA'!$D$11,"")</f>
        <v/>
      </c>
      <c r="AH394" s="518" t="str">
        <f>IF(AND(_A2="B-767-400ER",'2025'!$N$4="CA",'2025'!$N$2=AH385),'2025DATA'!$E$11,"")</f>
        <v/>
      </c>
      <c r="AI394" s="518" t="str">
        <f>IF(AND(_A2="B-767-400ER",'2025'!$N$4="CA",'2025'!$N$2=AI385),'2025DATA'!$F$11,"")</f>
        <v/>
      </c>
      <c r="AJ394" s="518" t="str">
        <f>IF(AND(_A2="B-767-400ER",'2025'!$N$4="CA",'2025'!$N$2=AJ385),'2025DATA'!$G$11,"")</f>
        <v/>
      </c>
      <c r="AK394" s="518" t="str">
        <f>IF(AND(_A2="B-767-400ER",'2025'!$N$4="CA",'2025'!$N$2=AK385),'2025DATA'!$H$11,"")</f>
        <v/>
      </c>
      <c r="AL394" s="518" t="str">
        <f>IF(AND(_A2="B-767-400ER",'2025'!$N$4="CA",'2025'!$N$2=AL385),'2025DATA'!$I$11,"")</f>
        <v/>
      </c>
      <c r="AM394" s="518" t="str">
        <f>IF(AND(_A2="B-767-400ER",'2025'!$N$4="CA",'2025'!$N$2=AM385),'2025DATA'!$J$11,"")</f>
        <v/>
      </c>
      <c r="AN394" s="518" t="str">
        <f>IF(AND(_A2="B-767-400ER",'2025'!$N$4="CA",'2025'!$N$2=AN385),'2025DATA'!$K$11,"")</f>
        <v/>
      </c>
      <c r="AO394" s="518" t="str">
        <f>IF(AND(_A2="B-767-400ER",'2025'!$N$4="CA",'2025'!$N$2=AO385),'2025DATA'!$L$11,"")</f>
        <v/>
      </c>
      <c r="AP394" s="518" t="str">
        <f>IF(AND(_A2="B-767-400ER",'2025'!$N$4="CA",'2025'!$N$2=AP385),'2025DATA'!$M$11,"")</f>
        <v/>
      </c>
      <c r="AQ394" s="520" t="str">
        <f>IF(AND(_A2="B-767-400ER",'2025'!$N$4="CA",'2025'!$N$2=AQ385),'2025DATA'!$N$11,"")</f>
        <v/>
      </c>
      <c r="AR394" s="940" t="s">
        <v>42</v>
      </c>
      <c r="AS394" s="13" t="s">
        <v>61</v>
      </c>
      <c r="AT394" s="518" t="str">
        <f>IF(AND(_A3="B-767-400ER",'2025'!$N$4="CA",'2025'!$N$2=AT385),'2025DATA'!$C$11,"")</f>
        <v/>
      </c>
      <c r="AU394" s="518" t="str">
        <f>IF(AND(_A3="B-767-400ER",'2025'!$N$4="CA",'2025'!$N$2=AU385),'2025DATA'!$D$11,"")</f>
        <v/>
      </c>
      <c r="AV394" s="518" t="str">
        <f>IF(AND(_A3="B-767-400ER",'2025'!$N$4="CA",'2025'!$N$2=AV385),'2025DATA'!$E$11,"")</f>
        <v/>
      </c>
      <c r="AW394" s="518" t="str">
        <f>IF(AND(_A3="B-767-400ER",'2025'!$N$4="CA",'2025'!$N$2=AW385),'2025DATA'!$F$11,"")</f>
        <v/>
      </c>
      <c r="AX394" s="518" t="str">
        <f>IF(AND(_A3="B-767-400ER",'2025'!$N$4="CA",'2025'!$N$2=AX385),'2025DATA'!$G$11,"")</f>
        <v/>
      </c>
      <c r="AY394" s="518" t="str">
        <f>IF(AND(_A3="B-767-400ER",'2025'!$N$4="CA",'2025'!$N$2=AY385),'2025DATA'!$H$11,"")</f>
        <v/>
      </c>
      <c r="AZ394" s="518" t="str">
        <f>IF(AND(_A3="B-767-400ER",'2025'!$N$4="CA",'2025'!$N$2=AZ385),'2025DATA'!$I$11,"")</f>
        <v/>
      </c>
      <c r="BA394" s="518" t="str">
        <f>IF(AND(_A3="B-767-400ER",'2025'!$N$4="CA",'2025'!$N$2=BA385),'2025DATA'!$J$11,"")</f>
        <v/>
      </c>
      <c r="BB394" s="518" t="str">
        <f>IF(AND(_A3="B-767-400ER",'2025'!$N$4="CA",'2025'!$N$2=BB385),'2025DATA'!$K$11,"")</f>
        <v/>
      </c>
      <c r="BC394" s="518" t="str">
        <f>IF(AND(_A3="B-767-400ER",'2025'!$N$4="CA",'2025'!$N$2=BC385),'2025DATA'!$L$11,"")</f>
        <v/>
      </c>
      <c r="BD394" s="518" t="str">
        <f>IF(AND(_A3="B-767-400ER",'2025'!$N$4="CA",'2025'!$N$2=BD385),'2025DATA'!$M$11,"")</f>
        <v/>
      </c>
      <c r="BE394" s="520" t="str">
        <f>IF(AND(_A3="B-767-400ER",'2025'!$N$4="CA",'2025'!$N$2=BE385),'2025DATA'!$N$11,"")</f>
        <v/>
      </c>
      <c r="BF394" s="940" t="s">
        <v>42</v>
      </c>
      <c r="BG394" s="13" t="s">
        <v>61</v>
      </c>
      <c r="BH394" s="518" t="str">
        <f>IF(AND(_A4="B-767-400ER",'2025'!$N$4="CA",'2025'!$N$2=BH385),'2025DATA'!$C$11,"")</f>
        <v/>
      </c>
      <c r="BI394" s="518" t="str">
        <f>IF(AND(_A4="B-767-400ER",'2025'!$N$4="CA",'2025'!$N$2=BI385),'2025DATA'!$D$11,"")</f>
        <v/>
      </c>
      <c r="BJ394" s="518" t="str">
        <f>IF(AND(_A4="B-767-400ER",'2025'!$N$4="CA",'2025'!$N$2=BJ385),'2025DATA'!$E$11,"")</f>
        <v/>
      </c>
      <c r="BK394" s="518" t="str">
        <f>IF(AND(_A4="B-767-400ER",'2025'!$N$4="CA",'2025'!$N$2=BK385),'2025DATA'!$F$11,"")</f>
        <v/>
      </c>
      <c r="BL394" s="518" t="str">
        <f>IF(AND(_A4="B-767-400ER",'2025'!$N$4="CA",'2025'!$N$2=BL385),'2025DATA'!$G$11,"")</f>
        <v/>
      </c>
      <c r="BM394" s="518" t="str">
        <f>IF(AND(_A4="B-767-400ER",'2025'!$N$4="CA",'2025'!$N$2=BM385),'2025DATA'!$H$11,"")</f>
        <v/>
      </c>
      <c r="BN394" s="518" t="str">
        <f>IF(AND(_A4="B-767-400ER",'2025'!$N$4="CA",'2025'!$N$2=BN385),'2025DATA'!$I$11,"")</f>
        <v/>
      </c>
      <c r="BO394" s="518" t="str">
        <f>IF(AND(_A4="B-767-400ER",'2025'!$N$4="CA",'2025'!$N$2=BO385),'2025DATA'!$J$11,"")</f>
        <v/>
      </c>
      <c r="BP394" s="518" t="str">
        <f>IF(AND(_A4="B-767-400ER",'2025'!$N$4="CA",'2025'!$N$2=BP385),'2025DATA'!$K$11,"")</f>
        <v/>
      </c>
      <c r="BQ394" s="518" t="str">
        <f>IF(AND(_A4="B-767-400ER",'2025'!$N$4="CA",'2025'!$N$2=BQ385),'2025DATA'!$L$11,"")</f>
        <v/>
      </c>
      <c r="BR394" s="518" t="str">
        <f>IF(AND(_A4="B-767-400ER",'2025'!$N$4="CA",'2025'!$N$2=BR385),'2025DATA'!$M$11,"")</f>
        <v/>
      </c>
      <c r="BS394" s="520" t="str">
        <f>IF(AND(_A4="B-767-400ER",'2025'!$N$4="CA",'2025'!$N$2=BS385),'2025DATA'!$N$11,"")</f>
        <v/>
      </c>
      <c r="BT394" s="940" t="s">
        <v>42</v>
      </c>
      <c r="BU394" s="13" t="s">
        <v>61</v>
      </c>
      <c r="BV394" s="518" t="str">
        <f>IF(AND(_A5="B-767-400ER",'2025'!$N$4="CA",'2025'!$N$2=BV385),'2025DATA'!$C$11,"")</f>
        <v/>
      </c>
      <c r="BW394" s="518" t="str">
        <f>IF(AND(_A5="B-767-400ER",'2025'!$N$4="CA",'2025'!$N$2=BW385),'2025DATA'!$D$11,"")</f>
        <v/>
      </c>
      <c r="BX394" s="518" t="str">
        <f>IF(AND(_A5="B-767-400ER",'2025'!$N$4="CA",'2025'!$N$2=BX385),'2025DATA'!$E$11,"")</f>
        <v/>
      </c>
      <c r="BY394" s="518" t="str">
        <f>IF(AND(_A5="B-767-400ER",'2025'!$N$4="CA",'2025'!$N$2=BY385),'2025DATA'!$F$11,"")</f>
        <v/>
      </c>
      <c r="BZ394" s="518" t="str">
        <f>IF(AND(_A5="B-767-400ER",'2025'!$N$4="CA",'2025'!$N$2=BZ385),'2025DATA'!$G$11,"")</f>
        <v/>
      </c>
      <c r="CA394" s="518" t="str">
        <f>IF(AND(_A5="B-767-400ER",'2025'!$N$4="CA",'2025'!$N$2=CA385),'2025DATA'!$H$11,"")</f>
        <v/>
      </c>
      <c r="CB394" s="518" t="str">
        <f>IF(AND(_A5="B-767-400ER",'2025'!$N$4="CA",'2025'!$N$2=CB385),'2025DATA'!$I$11,"")</f>
        <v/>
      </c>
      <c r="CC394" s="518" t="str">
        <f>IF(AND(_A5="B-767-400ER",'2025'!$N$4="CA",'2025'!$N$2=CC385),'2025DATA'!$J$11,"")</f>
        <v/>
      </c>
      <c r="CD394" s="518" t="str">
        <f>IF(AND(_A5="B-767-400ER",'2025'!$N$4="CA",'2025'!$N$2=CD385),'2025DATA'!$K$11,"")</f>
        <v/>
      </c>
      <c r="CE394" s="518" t="str">
        <f>IF(AND(_A5="B-767-400ER",'2025'!$N$4="CA",'2025'!$N$2=CE385),'2025DATA'!$L$11,"")</f>
        <v/>
      </c>
      <c r="CF394" s="518" t="str">
        <f>IF(AND(_A5="B-767-400ER",'2025'!$N$4="CA",'2025'!$N$2=CF385),'2025DATA'!$M$11,"")</f>
        <v/>
      </c>
      <c r="CG394" s="520" t="str">
        <f>IF(AND(_A5="B-767-400ER",'2025'!$N$4="CA",'2025'!$N$2=CG385),'2025DATA'!$N$11,"")</f>
        <v/>
      </c>
      <c r="CH394" s="940" t="s">
        <v>42</v>
      </c>
      <c r="CI394" s="13" t="s">
        <v>61</v>
      </c>
      <c r="CJ394" s="518" t="str">
        <f>IF(AND(_A6="B-767-400ER",'2025'!$N$4="CA",'2025'!$N$2=CJ385),'2025DATA'!$C$11,"")</f>
        <v/>
      </c>
      <c r="CK394" s="518" t="str">
        <f>IF(AND(_A6="B-767-400ER",'2025'!$N$4="CA",'2025'!$N$2=CK385),'2025DATA'!$D$11,"")</f>
        <v/>
      </c>
      <c r="CL394" s="518" t="str">
        <f>IF(AND(_A6="B-767-400ER",'2025'!$N$4="CA",'2025'!$N$2=CL385),'2025DATA'!$E$11,"")</f>
        <v/>
      </c>
      <c r="CM394" s="518" t="str">
        <f>IF(AND(_A6="B-767-400ER",'2025'!$N$4="CA",'2025'!$N$2=CM385),'2025DATA'!$F$11,"")</f>
        <v/>
      </c>
      <c r="CN394" s="518" t="str">
        <f>IF(AND(_A6="B-767-400ER",'2025'!$N$4="CA",'2025'!$N$2=CN385),'2025DATA'!$G$11,"")</f>
        <v/>
      </c>
      <c r="CO394" s="518" t="str">
        <f>IF(AND(_A6="B-767-400ER",'2025'!$N$4="CA",'2025'!$N$2=CO385),'2025DATA'!$H$11,"")</f>
        <v/>
      </c>
      <c r="CP394" s="518" t="str">
        <f>IF(AND(_A6="B-767-400ER",'2025'!$N$4="CA",'2025'!$N$2=CP385),'2025DATA'!$I$11,"")</f>
        <v/>
      </c>
      <c r="CQ394" s="518" t="str">
        <f>IF(AND(_A6="B-767-400ER",'2025'!$N$4="CA",'2025'!$N$2=CQ385),'2025DATA'!$J$11,"")</f>
        <v/>
      </c>
      <c r="CR394" s="518" t="str">
        <f>IF(AND(_A6="B-767-400ER",'2025'!$N$4="CA",'2025'!$N$2=CR385),'2025DATA'!$K$11,"")</f>
        <v/>
      </c>
      <c r="CS394" s="518" t="str">
        <f>IF(AND(_A6="B-767-400ER",'2025'!$N$4="CA",'2025'!$N$2=CS385),'2025DATA'!$L$11,"")</f>
        <v/>
      </c>
      <c r="CT394" s="518" t="str">
        <f>IF(AND(_A6="B-767-400ER",'2025'!$N$4="CA",'2025'!$N$2=CT385),'2025DATA'!$M$11,"")</f>
        <v/>
      </c>
      <c r="CU394" s="520" t="str">
        <f>IF(AND(_A6="B-767-400ER",'2025'!$N$4="CA",'2025'!$N$2=CU385),'2025DATA'!$N$11,"")</f>
        <v/>
      </c>
    </row>
    <row r="395" spans="16:99" x14ac:dyDescent="0.25">
      <c r="P395" s="940"/>
      <c r="Q395" s="13" t="s">
        <v>62</v>
      </c>
      <c r="R395" s="518" t="str">
        <f>IF(AND(_A1="B-767-400ER",'2025'!$N$4="FO",'2025'!$N$2=R385),'2025DATA'!$C$12,"")</f>
        <v/>
      </c>
      <c r="S395" s="518" t="str">
        <f>IF(AND(_A1="B-767-400ER",'2025'!$N$4="FO",'2025'!$N$2=S385),'2025DATA'!$D$12,"")</f>
        <v/>
      </c>
      <c r="T395" s="518" t="str">
        <f>IF(AND(_A1="B-767-400ER",'2025'!$N$4="FO",'2025'!$N$2=T385),'2025DATA'!$E$12,"")</f>
        <v/>
      </c>
      <c r="U395" s="518" t="str">
        <f>IF(AND(_A1="B-767-400ER",'2025'!$N$4="FO",'2025'!$N$2=U385),'2025DATA'!$F$12,"")</f>
        <v/>
      </c>
      <c r="V395" s="518" t="str">
        <f>IF(AND(_A1="B-767-400ER",'2025'!$N$4="FO",'2025'!$N$2=V385),'2025DATA'!$G$12,"")</f>
        <v/>
      </c>
      <c r="W395" s="518" t="str">
        <f>IF(AND(_A1="B-767-400ER",'2025'!$N$4="FO",'2025'!$N$2=W385),'2025DATA'!$H$12,"")</f>
        <v/>
      </c>
      <c r="X395" s="518" t="str">
        <f>IF(AND(_A1="B-767-400ER",'2025'!$N$4="FO",'2025'!$N$2=X385),'2025DATA'!$I$12,"")</f>
        <v/>
      </c>
      <c r="Y395" s="518" t="str">
        <f>IF(AND(_A1="B-767-400ER",'2025'!$N$4="FO",'2025'!$N$2=Y385),'2025DATA'!$J$12,"")</f>
        <v/>
      </c>
      <c r="Z395" s="518" t="str">
        <f>IF(AND(_A1="B-767-400ER",'2025'!$N$4="FO",'2025'!$N$2=Z385),'2025DATA'!$K$12,"")</f>
        <v/>
      </c>
      <c r="AA395" s="518" t="str">
        <f>IF(AND(_A1="B-767-400ER",'2025'!$N$4="FO",'2025'!$N$2=AA385),'2025DATA'!$L$12,"")</f>
        <v/>
      </c>
      <c r="AB395" s="518" t="str">
        <f>IF(AND(_A1="B-767-400ER",'2025'!$N$4="FO",'2025'!$N$2=AB385),'2025DATA'!$M$12,"")</f>
        <v/>
      </c>
      <c r="AC395" s="520" t="str">
        <f>IF(AND(_A1="B-767-400ER",'2025'!$N$4="FO",'2025'!$N$2=AC385),'2025DATA'!$N$12,"")</f>
        <v/>
      </c>
      <c r="AD395" s="940"/>
      <c r="AE395" s="13" t="s">
        <v>62</v>
      </c>
      <c r="AF395" s="518" t="str">
        <f>IF(AND(_A2="B-767-400ER",'2025'!$N$4="FO",'2025'!$N$2=AF385),'2025DATA'!$C$12,"")</f>
        <v/>
      </c>
      <c r="AG395" s="518" t="str">
        <f>IF(AND(_A2="B-767-400ER",'2025'!$N$4="FO",'2025'!$N$2=AG385),'2025DATA'!$D$12,"")</f>
        <v/>
      </c>
      <c r="AH395" s="518" t="str">
        <f>IF(AND(_A2="B-767-400ER",'2025'!$N$4="FO",'2025'!$N$2=AH385),'2025DATA'!$E$12,"")</f>
        <v/>
      </c>
      <c r="AI395" s="518" t="str">
        <f>IF(AND(_A2="B-767-400ER",'2025'!$N$4="FO",'2025'!$N$2=AI385),'2025DATA'!$F$12,"")</f>
        <v/>
      </c>
      <c r="AJ395" s="518" t="str">
        <f>IF(AND(_A2="B-767-400ER",'2025'!$N$4="FO",'2025'!$N$2=AJ385),'2025DATA'!$G$12,"")</f>
        <v/>
      </c>
      <c r="AK395" s="518" t="str">
        <f>IF(AND(_A2="B-767-400ER",'2025'!$N$4="FO",'2025'!$N$2=AK385),'2025DATA'!$H$12,"")</f>
        <v/>
      </c>
      <c r="AL395" s="518" t="str">
        <f>IF(AND(_A2="B-767-400ER",'2025'!$N$4="FO",'2025'!$N$2=AL385),'2025DATA'!$I$12,"")</f>
        <v/>
      </c>
      <c r="AM395" s="518" t="str">
        <f>IF(AND(_A2="B-767-400ER",'2025'!$N$4="FO",'2025'!$N$2=AM385),'2025DATA'!$J$12,"")</f>
        <v/>
      </c>
      <c r="AN395" s="518" t="str">
        <f>IF(AND(_A2="B-767-400ER",'2025'!$N$4="FO",'2025'!$N$2=AN385),'2025DATA'!$K$12,"")</f>
        <v/>
      </c>
      <c r="AO395" s="518" t="str">
        <f>IF(AND(_A2="B-767-400ER",'2025'!$N$4="FO",'2025'!$N$2=AO385),'2025DATA'!$L$12,"")</f>
        <v/>
      </c>
      <c r="AP395" s="518" t="str">
        <f>IF(AND(_A2="B-767-400ER",'2025'!$N$4="FO",'2025'!$N$2=AP385),'2025DATA'!$M$12,"")</f>
        <v/>
      </c>
      <c r="AQ395" s="520" t="str">
        <f>IF(AND(_A2="B-767-400ER",'2025'!$N$4="FO",'2025'!$N$2=AQ385),'2025DATA'!$N$12,"")</f>
        <v/>
      </c>
      <c r="AR395" s="940"/>
      <c r="AS395" s="13" t="s">
        <v>62</v>
      </c>
      <c r="AT395" s="518" t="str">
        <f>IF(AND(_A3="B-767-400ER",'2025'!$N$4="FO",'2025'!$N$2=AT385),'2025DATA'!$C$12,"")</f>
        <v/>
      </c>
      <c r="AU395" s="518" t="str">
        <f>IF(AND(_A3="B-767-400ER",'2025'!$N$4="FO",'2025'!$N$2=AU385),'2025DATA'!$D$12,"")</f>
        <v/>
      </c>
      <c r="AV395" s="518" t="str">
        <f>IF(AND(_A3="B-767-400ER",'2025'!$N$4="FO",'2025'!$N$2=AV385),'2025DATA'!$E$12,"")</f>
        <v/>
      </c>
      <c r="AW395" s="518" t="str">
        <f>IF(AND(_A3="B-767-400ER",'2025'!$N$4="FO",'2025'!$N$2=AW385),'2025DATA'!$F$12,"")</f>
        <v/>
      </c>
      <c r="AX395" s="518" t="str">
        <f>IF(AND(_A3="B-767-400ER",'2025'!$N$4="FO",'2025'!$N$2=AX385),'2025DATA'!$G$12,"")</f>
        <v/>
      </c>
      <c r="AY395" s="518" t="str">
        <f>IF(AND(_A3="B-767-400ER",'2025'!$N$4="FO",'2025'!$N$2=AY385),'2025DATA'!$H$12,"")</f>
        <v/>
      </c>
      <c r="AZ395" s="518" t="str">
        <f>IF(AND(_A3="B-767-400ER",'2025'!$N$4="FO",'2025'!$N$2=AZ385),'2025DATA'!$I$12,"")</f>
        <v/>
      </c>
      <c r="BA395" s="518" t="str">
        <f>IF(AND(_A3="B-767-400ER",'2025'!$N$4="FO",'2025'!$N$2=BA385),'2025DATA'!$J$12,"")</f>
        <v/>
      </c>
      <c r="BB395" s="518" t="str">
        <f>IF(AND(_A3="B-767-400ER",'2025'!$N$4="FO",'2025'!$N$2=BB385),'2025DATA'!$K$12,"")</f>
        <v/>
      </c>
      <c r="BC395" s="518" t="str">
        <f>IF(AND(_A3="B-767-400ER",'2025'!$N$4="FO",'2025'!$N$2=BC385),'2025DATA'!$L$12,"")</f>
        <v/>
      </c>
      <c r="BD395" s="518" t="str">
        <f>IF(AND(_A3="B-767-400ER",'2025'!$N$4="FO",'2025'!$N$2=BD385),'2025DATA'!$M$12,"")</f>
        <v/>
      </c>
      <c r="BE395" s="520" t="str">
        <f>IF(AND(_A3="B-767-400ER",'2025'!$N$4="FO",'2025'!$N$2=BE385),'2025DATA'!$N$12,"")</f>
        <v/>
      </c>
      <c r="BF395" s="940"/>
      <c r="BG395" s="13" t="s">
        <v>62</v>
      </c>
      <c r="BH395" s="518" t="str">
        <f>IF(AND(_A4="B-767-400ER",'2025'!$N$4="FO",'2025'!$N$2=BH385),'2025DATA'!$C$12,"")</f>
        <v/>
      </c>
      <c r="BI395" s="518" t="str">
        <f>IF(AND(_A4="B-767-400ER",'2025'!$N$4="FO",'2025'!$N$2=BI385),'2025DATA'!$D$12,"")</f>
        <v/>
      </c>
      <c r="BJ395" s="518" t="str">
        <f>IF(AND(_A4="B-767-400ER",'2025'!$N$4="FO",'2025'!$N$2=BJ385),'2025DATA'!$E$12,"")</f>
        <v/>
      </c>
      <c r="BK395" s="518" t="str">
        <f>IF(AND(_A4="B-767-400ER",'2025'!$N$4="FO",'2025'!$N$2=BK385),'2025DATA'!$F$12,"")</f>
        <v/>
      </c>
      <c r="BL395" s="518" t="str">
        <f>IF(AND(_A4="B-767-400ER",'2025'!$N$4="FO",'2025'!$N$2=BL385),'2025DATA'!$G$12,"")</f>
        <v/>
      </c>
      <c r="BM395" s="518" t="str">
        <f>IF(AND(_A4="B-767-400ER",'2025'!$N$4="FO",'2025'!$N$2=BM385),'2025DATA'!$H$12,"")</f>
        <v/>
      </c>
      <c r="BN395" s="518" t="str">
        <f>IF(AND(_A4="B-767-400ER",'2025'!$N$4="FO",'2025'!$N$2=BN385),'2025DATA'!$I$12,"")</f>
        <v/>
      </c>
      <c r="BO395" s="518" t="str">
        <f>IF(AND(_A4="B-767-400ER",'2025'!$N$4="FO",'2025'!$N$2=BO385),'2025DATA'!$J$12,"")</f>
        <v/>
      </c>
      <c r="BP395" s="518" t="str">
        <f>IF(AND(_A4="B-767-400ER",'2025'!$N$4="FO",'2025'!$N$2=BP385),'2025DATA'!$K$12,"")</f>
        <v/>
      </c>
      <c r="BQ395" s="518" t="str">
        <f>IF(AND(_A4="B-767-400ER",'2025'!$N$4="FO",'2025'!$N$2=BQ385),'2025DATA'!$L$12,"")</f>
        <v/>
      </c>
      <c r="BR395" s="518" t="str">
        <f>IF(AND(_A4="B-767-400ER",'2025'!$N$4="FO",'2025'!$N$2=BR385),'2025DATA'!$M$12,"")</f>
        <v/>
      </c>
      <c r="BS395" s="520" t="str">
        <f>IF(AND(_A4="B-767-400ER",'2025'!$N$4="FO",'2025'!$N$2=BS385),'2025DATA'!$N$12,"")</f>
        <v/>
      </c>
      <c r="BT395" s="940"/>
      <c r="BU395" s="13" t="s">
        <v>62</v>
      </c>
      <c r="BV395" s="518" t="str">
        <f>IF(AND(_A5="B-767-400ER",'2025'!$N$4="FO",'2025'!$N$2=BV385),'2025DATA'!$C$12,"")</f>
        <v/>
      </c>
      <c r="BW395" s="518" t="str">
        <f>IF(AND(_A5="B-767-400ER",'2025'!$N$4="FO",'2025'!$N$2=BW385),'2025DATA'!$D$12,"")</f>
        <v/>
      </c>
      <c r="BX395" s="518" t="str">
        <f>IF(AND(_A5="B-767-400ER",'2025'!$N$4="FO",'2025'!$N$2=BX385),'2025DATA'!$E$12,"")</f>
        <v/>
      </c>
      <c r="BY395" s="518" t="str">
        <f>IF(AND(_A5="B-767-400ER",'2025'!$N$4="FO",'2025'!$N$2=BY385),'2025DATA'!$F$12,"")</f>
        <v/>
      </c>
      <c r="BZ395" s="518" t="str">
        <f>IF(AND(_A5="B-767-400ER",'2025'!$N$4="FO",'2025'!$N$2=BZ385),'2025DATA'!$G$12,"")</f>
        <v/>
      </c>
      <c r="CA395" s="518" t="str">
        <f>IF(AND(_A5="B-767-400ER",'2025'!$N$4="FO",'2025'!$N$2=CA385),'2025DATA'!$H$12,"")</f>
        <v/>
      </c>
      <c r="CB395" s="518" t="str">
        <f>IF(AND(_A5="B-767-400ER",'2025'!$N$4="FO",'2025'!$N$2=CB385),'2025DATA'!$I$12,"")</f>
        <v/>
      </c>
      <c r="CC395" s="518" t="str">
        <f>IF(AND(_A5="B-767-400ER",'2025'!$N$4="FO",'2025'!$N$2=CC385),'2025DATA'!$J$12,"")</f>
        <v/>
      </c>
      <c r="CD395" s="518" t="str">
        <f>IF(AND(_A5="B-767-400ER",'2025'!$N$4="FO",'2025'!$N$2=CD385),'2025DATA'!$K$12,"")</f>
        <v/>
      </c>
      <c r="CE395" s="518" t="str">
        <f>IF(AND(_A5="B-767-400ER",'2025'!$N$4="FO",'2025'!$N$2=CE385),'2025DATA'!$L$12,"")</f>
        <v/>
      </c>
      <c r="CF395" s="518" t="str">
        <f>IF(AND(_A5="B-767-400ER",'2025'!$N$4="FO",'2025'!$N$2=CF385),'2025DATA'!$M$12,"")</f>
        <v/>
      </c>
      <c r="CG395" s="520" t="str">
        <f>IF(AND(_A5="B-767-400ER",'2025'!$N$4="FO",'2025'!$N$2=CG385),'2025DATA'!$N$12,"")</f>
        <v/>
      </c>
      <c r="CH395" s="940"/>
      <c r="CI395" s="13" t="s">
        <v>62</v>
      </c>
      <c r="CJ395" s="518" t="str">
        <f>IF(AND(_A6="B-767-400ER",'2025'!$N$4="FO",'2025'!$N$2=CJ385),'2025DATA'!$C$12,"")</f>
        <v/>
      </c>
      <c r="CK395" s="518" t="str">
        <f>IF(AND(_A6="B-767-400ER",'2025'!$N$4="FO",'2025'!$N$2=CK385),'2025DATA'!$D$12,"")</f>
        <v/>
      </c>
      <c r="CL395" s="518" t="str">
        <f>IF(AND(_A6="B-767-400ER",'2025'!$N$4="FO",'2025'!$N$2=CL385),'2025DATA'!$E$12,"")</f>
        <v/>
      </c>
      <c r="CM395" s="518" t="str">
        <f>IF(AND(_A6="B-767-400ER",'2025'!$N$4="FO",'2025'!$N$2=CM385),'2025DATA'!$F$12,"")</f>
        <v/>
      </c>
      <c r="CN395" s="518" t="str">
        <f>IF(AND(_A6="B-767-400ER",'2025'!$N$4="FO",'2025'!$N$2=CN385),'2025DATA'!$G$12,"")</f>
        <v/>
      </c>
      <c r="CO395" s="518" t="str">
        <f>IF(AND(_A6="B-767-400ER",'2025'!$N$4="FO",'2025'!$N$2=CO385),'2025DATA'!$H$12,"")</f>
        <v/>
      </c>
      <c r="CP395" s="518" t="str">
        <f>IF(AND(_A6="B-767-400ER",'2025'!$N$4="FO",'2025'!$N$2=CP385),'2025DATA'!$I$12,"")</f>
        <v/>
      </c>
      <c r="CQ395" s="518" t="str">
        <f>IF(AND(_A6="B-767-400ER",'2025'!$N$4="FO",'2025'!$N$2=CQ385),'2025DATA'!$J$12,"")</f>
        <v/>
      </c>
      <c r="CR395" s="518" t="str">
        <f>IF(AND(_A6="B-767-400ER",'2025'!$N$4="FO",'2025'!$N$2=CR385),'2025DATA'!$K$12,"")</f>
        <v/>
      </c>
      <c r="CS395" s="518" t="str">
        <f>IF(AND(_A6="B-767-400ER",'2025'!$N$4="FO",'2025'!$N$2=CS385),'2025DATA'!$L$12,"")</f>
        <v/>
      </c>
      <c r="CT395" s="518" t="str">
        <f>IF(AND(_A6="B-767-400ER",'2025'!$N$4="FO",'2025'!$N$2=CT385),'2025DATA'!$M$12,"")</f>
        <v/>
      </c>
      <c r="CU395" s="520" t="str">
        <f>IF(AND(_A6="B-767-400ER",'2025'!$N$4="FO",'2025'!$N$2=CU385),'2025DATA'!$N$12,"")</f>
        <v/>
      </c>
    </row>
    <row r="396" spans="16:99" x14ac:dyDescent="0.25">
      <c r="P396" s="940" t="s">
        <v>43</v>
      </c>
      <c r="Q396" s="13" t="s">
        <v>61</v>
      </c>
      <c r="R396" s="518" t="str">
        <f>IF(AND(_A1="B-767-300ER",'2025'!$N$4="CA",'2025'!$N$2=R385),'2025DATA'!$C$13,"")</f>
        <v/>
      </c>
      <c r="S396" s="518" t="str">
        <f>IF(AND(_A1="B-767-300ER",'2025'!$N$4="CA",'2025'!$N$2=S385),'2025DATA'!$D$13,"")</f>
        <v/>
      </c>
      <c r="T396" s="518" t="str">
        <f>IF(AND(_A1="B-767-300ER",'2025'!$N$4="CA",'2025'!$N$2=T385),'2025DATA'!$E$13,"")</f>
        <v/>
      </c>
      <c r="U396" s="518" t="str">
        <f>IF(AND(_A1="B-767-300ER",'2025'!$N$4="CA",'2025'!$N$2=U385),'2025DATA'!$F$13,"")</f>
        <v/>
      </c>
      <c r="V396" s="518" t="str">
        <f>IF(AND(_A1="B-767-300ER",'2025'!$N$4="CA",'2025'!$N$2=V385),'2025DATA'!$G$13,"")</f>
        <v/>
      </c>
      <c r="W396" s="518" t="str">
        <f>IF(AND(_A1="B-767-300ER",'2025'!$N$4="CA",'2025'!$N$2=W385),'2025DATA'!$H$13,"")</f>
        <v/>
      </c>
      <c r="X396" s="518" t="str">
        <f>IF(AND(_A1="B-767-300ER",'2025'!$N$4="CA",'2025'!$N$2=X385),'2025DATA'!$I$13,"")</f>
        <v/>
      </c>
      <c r="Y396" s="518" t="str">
        <f>IF(AND(_A1="B-767-300ER",'2025'!$N$4="CA",'2025'!$N$2=Y385),'2025DATA'!$J$13,"")</f>
        <v/>
      </c>
      <c r="Z396" s="518" t="str">
        <f>IF(AND(_A1="B-767-300ER",'2025'!$N$4="CA",'2025'!$N$2=Z385),'2025DATA'!$K$13,"")</f>
        <v/>
      </c>
      <c r="AA396" s="518" t="str">
        <f>IF(AND(_A1="B-767-300ER",'2025'!$N$4="CA",'2025'!$N$2=AA385),'2025DATA'!$L$13,"")</f>
        <v/>
      </c>
      <c r="AB396" s="518" t="str">
        <f>IF(AND(_A1="B-767-300ER",'2025'!$N$4="CA",'2025'!$N$2=AB385),'2025DATA'!$M$13,"")</f>
        <v/>
      </c>
      <c r="AC396" s="520" t="str">
        <f>IF(AND(_A1="B-767-300ER",'2025'!$N$4="CA",'2025'!$N$2=AC385),'2025DATA'!$N$13,"")</f>
        <v/>
      </c>
      <c r="AD396" s="940" t="s">
        <v>43</v>
      </c>
      <c r="AE396" s="13" t="s">
        <v>61</v>
      </c>
      <c r="AF396" s="518" t="str">
        <f>IF(AND(_A2="B-767-300ER",'2025'!$N$4="CA",'2025'!$N$2=AF385),'2025DATA'!$C$13,"")</f>
        <v/>
      </c>
      <c r="AG396" s="518" t="str">
        <f>IF(AND(_A2="B-767-300ER",'2025'!$N$4="CA",'2025'!$N$2=AG385),'2025DATA'!$D$13,"")</f>
        <v/>
      </c>
      <c r="AH396" s="518" t="str">
        <f>IF(AND(_A2="B-767-300ER",'2025'!$N$4="CA",'2025'!$N$2=AH385),'2025DATA'!$E$13,"")</f>
        <v/>
      </c>
      <c r="AI396" s="518" t="str">
        <f>IF(AND(_A2="B-767-300ER",'2025'!$N$4="CA",'2025'!$N$2=AI385),'2025DATA'!$F$13,"")</f>
        <v/>
      </c>
      <c r="AJ396" s="518" t="str">
        <f>IF(AND(_A2="B-767-300ER",'2025'!$N$4="CA",'2025'!$N$2=AJ385),'2025DATA'!$G$13,"")</f>
        <v/>
      </c>
      <c r="AK396" s="518" t="str">
        <f>IF(AND(_A2="B-767-300ER",'2025'!$N$4="CA",'2025'!$N$2=AK385),'2025DATA'!$H$13,"")</f>
        <v/>
      </c>
      <c r="AL396" s="518" t="str">
        <f>IF(AND(_A2="B-767-300ER",'2025'!$N$4="CA",'2025'!$N$2=AL385),'2025DATA'!$I$13,"")</f>
        <v/>
      </c>
      <c r="AM396" s="518" t="str">
        <f>IF(AND(_A2="B-767-300ER",'2025'!$N$4="CA",'2025'!$N$2=AM385),'2025DATA'!$J$13,"")</f>
        <v/>
      </c>
      <c r="AN396" s="518" t="str">
        <f>IF(AND(_A2="B-767-300ER",'2025'!$N$4="CA",'2025'!$N$2=AN385),'2025DATA'!$K$13,"")</f>
        <v/>
      </c>
      <c r="AO396" s="518" t="str">
        <f>IF(AND(_A2="B-767-300ER",'2025'!$N$4="CA",'2025'!$N$2=AO385),'2025DATA'!$L$13,"")</f>
        <v/>
      </c>
      <c r="AP396" s="518" t="str">
        <f>IF(AND(_A2="B-767-300ER",'2025'!$N$4="CA",'2025'!$N$2=AP385),'2025DATA'!$M$13,"")</f>
        <v/>
      </c>
      <c r="AQ396" s="520" t="str">
        <f>IF(AND(_A2="B-767-300ER",'2025'!$N$4="CA",'2025'!$N$2=AQ385),'2025DATA'!$N$13,"")</f>
        <v/>
      </c>
      <c r="AR396" s="940" t="s">
        <v>43</v>
      </c>
      <c r="AS396" s="13" t="s">
        <v>61</v>
      </c>
      <c r="AT396" s="518" t="str">
        <f>IF(AND(_A3="B-767-300ER",'2025'!$N$4="CA",'2025'!$N$2=AT385),'2025DATA'!$C$13,"")</f>
        <v/>
      </c>
      <c r="AU396" s="518" t="str">
        <f>IF(AND(_A3="B-767-300ER",'2025'!$N$4="CA",'2025'!$N$2=AU385),'2025DATA'!$D$13,"")</f>
        <v/>
      </c>
      <c r="AV396" s="518" t="str">
        <f>IF(AND(_A3="B-767-300ER",'2025'!$N$4="CA",'2025'!$N$2=AV385),'2025DATA'!$E$13,"")</f>
        <v/>
      </c>
      <c r="AW396" s="518" t="str">
        <f>IF(AND(_A3="B-767-300ER",'2025'!$N$4="CA",'2025'!$N$2=AW385),'2025DATA'!$F$13,"")</f>
        <v/>
      </c>
      <c r="AX396" s="518" t="str">
        <f>IF(AND(_A3="B-767-300ER",'2025'!$N$4="CA",'2025'!$N$2=AX385),'2025DATA'!$G$13,"")</f>
        <v/>
      </c>
      <c r="AY396" s="518" t="str">
        <f>IF(AND(_A3="B-767-300ER",'2025'!$N$4="CA",'2025'!$N$2=AY385),'2025DATA'!$H$13,"")</f>
        <v/>
      </c>
      <c r="AZ396" s="518" t="str">
        <f>IF(AND(_A3="B-767-300ER",'2025'!$N$4="CA",'2025'!$N$2=AZ385),'2025DATA'!$I$13,"")</f>
        <v/>
      </c>
      <c r="BA396" s="518" t="str">
        <f>IF(AND(_A3="B-767-300ER",'2025'!$N$4="CA",'2025'!$N$2=BA385),'2025DATA'!$J$13,"")</f>
        <v/>
      </c>
      <c r="BB396" s="518" t="str">
        <f>IF(AND(_A3="B-767-300ER",'2025'!$N$4="CA",'2025'!$N$2=BB385),'2025DATA'!$K$13,"")</f>
        <v/>
      </c>
      <c r="BC396" s="518" t="str">
        <f>IF(AND(_A3="B-767-300ER",'2025'!$N$4="CA",'2025'!$N$2=BC385),'2025DATA'!$L$13,"")</f>
        <v/>
      </c>
      <c r="BD396" s="518" t="str">
        <f>IF(AND(_A3="B-767-300ER",'2025'!$N$4="CA",'2025'!$N$2=BD385),'2025DATA'!$M$13,"")</f>
        <v/>
      </c>
      <c r="BE396" s="520" t="str">
        <f>IF(AND(_A3="B-767-300ER",'2025'!$N$4="CA",'2025'!$N$2=BE385),'2025DATA'!$N$13,"")</f>
        <v/>
      </c>
      <c r="BF396" s="940" t="s">
        <v>43</v>
      </c>
      <c r="BG396" s="13" t="s">
        <v>61</v>
      </c>
      <c r="BH396" s="518" t="str">
        <f>IF(AND(_A4="B-767-300ER",'2025'!$N$4="CA",'2025'!$N$2=BH385),'2025DATA'!$C$13,"")</f>
        <v/>
      </c>
      <c r="BI396" s="518" t="str">
        <f>IF(AND(_A4="B-767-300ER",'2025'!$N$4="CA",'2025'!$N$2=BI385),'2025DATA'!$D$13,"")</f>
        <v/>
      </c>
      <c r="BJ396" s="518" t="str">
        <f>IF(AND(_A4="B-767-300ER",'2025'!$N$4="CA",'2025'!$N$2=BJ385),'2025DATA'!$E$13,"")</f>
        <v/>
      </c>
      <c r="BK396" s="518" t="str">
        <f>IF(AND(_A4="B-767-300ER",'2025'!$N$4="CA",'2025'!$N$2=BK385),'2025DATA'!$F$13,"")</f>
        <v/>
      </c>
      <c r="BL396" s="518" t="str">
        <f>IF(AND(_A4="B-767-300ER",'2025'!$N$4="CA",'2025'!$N$2=BL385),'2025DATA'!$G$13,"")</f>
        <v/>
      </c>
      <c r="BM396" s="518" t="str">
        <f>IF(AND(_A4="B-767-300ER",'2025'!$N$4="CA",'2025'!$N$2=BM385),'2025DATA'!$H$13,"")</f>
        <v/>
      </c>
      <c r="BN396" s="518" t="str">
        <f>IF(AND(_A4="B-767-300ER",'2025'!$N$4="CA",'2025'!$N$2=BN385),'2025DATA'!$I$13,"")</f>
        <v/>
      </c>
      <c r="BO396" s="518" t="str">
        <f>IF(AND(_A4="B-767-300ER",'2025'!$N$4="CA",'2025'!$N$2=BO385),'2025DATA'!$J$13,"")</f>
        <v/>
      </c>
      <c r="BP396" s="518" t="str">
        <f>IF(AND(_A4="B-767-300ER",'2025'!$N$4="CA",'2025'!$N$2=BP385),'2025DATA'!$K$13,"")</f>
        <v/>
      </c>
      <c r="BQ396" s="518" t="str">
        <f>IF(AND(_A4="B-767-300ER",'2025'!$N$4="CA",'2025'!$N$2=BQ385),'2025DATA'!$L$13,"")</f>
        <v/>
      </c>
      <c r="BR396" s="518" t="str">
        <f>IF(AND(_A4="B-767-300ER",'2025'!$N$4="CA",'2025'!$N$2=BR385),'2025DATA'!$M$13,"")</f>
        <v/>
      </c>
      <c r="BS396" s="520" t="str">
        <f>IF(AND(_A4="B-767-300ER",'2025'!$N$4="CA",'2025'!$N$2=BS385),'2025DATA'!$N$13,"")</f>
        <v/>
      </c>
      <c r="BT396" s="940" t="s">
        <v>43</v>
      </c>
      <c r="BU396" s="13" t="s">
        <v>61</v>
      </c>
      <c r="BV396" s="518" t="str">
        <f>IF(AND(_A5="B-767-300ER",'2025'!$N$4="CA",'2025'!$N$2=BV385),'2025DATA'!$C$13,"")</f>
        <v/>
      </c>
      <c r="BW396" s="518" t="str">
        <f>IF(AND(_A5="B-767-300ER",'2025'!$N$4="CA",'2025'!$N$2=BW385),'2025DATA'!$D$13,"")</f>
        <v/>
      </c>
      <c r="BX396" s="518" t="str">
        <f>IF(AND(_A5="B-767-300ER",'2025'!$N$4="CA",'2025'!$N$2=BX385),'2025DATA'!$E$13,"")</f>
        <v/>
      </c>
      <c r="BY396" s="518" t="str">
        <f>IF(AND(_A5="B-767-300ER",'2025'!$N$4="CA",'2025'!$N$2=BY385),'2025DATA'!$F$13,"")</f>
        <v/>
      </c>
      <c r="BZ396" s="518" t="str">
        <f>IF(AND(_A5="B-767-300ER",'2025'!$N$4="CA",'2025'!$N$2=BZ385),'2025DATA'!$G$13,"")</f>
        <v/>
      </c>
      <c r="CA396" s="518" t="str">
        <f>IF(AND(_A5="B-767-300ER",'2025'!$N$4="CA",'2025'!$N$2=CA385),'2025DATA'!$H$13,"")</f>
        <v/>
      </c>
      <c r="CB396" s="518" t="str">
        <f>IF(AND(_A5="B-767-300ER",'2025'!$N$4="CA",'2025'!$N$2=CB385),'2025DATA'!$I$13,"")</f>
        <v/>
      </c>
      <c r="CC396" s="518" t="str">
        <f>IF(AND(_A5="B-767-300ER",'2025'!$N$4="CA",'2025'!$N$2=CC385),'2025DATA'!$J$13,"")</f>
        <v/>
      </c>
      <c r="CD396" s="518" t="str">
        <f>IF(AND(_A5="B-767-300ER",'2025'!$N$4="CA",'2025'!$N$2=CD385),'2025DATA'!$K$13,"")</f>
        <v/>
      </c>
      <c r="CE396" s="518" t="str">
        <f>IF(AND(_A5="B-767-300ER",'2025'!$N$4="CA",'2025'!$N$2=CE385),'2025DATA'!$L$13,"")</f>
        <v/>
      </c>
      <c r="CF396" s="518" t="str">
        <f>IF(AND(_A5="B-767-300ER",'2025'!$N$4="CA",'2025'!$N$2=CF385),'2025DATA'!$M$13,"")</f>
        <v/>
      </c>
      <c r="CG396" s="520" t="str">
        <f>IF(AND(_A5="B-767-300ER",'2025'!$N$4="CA",'2025'!$N$2=CG385),'2025DATA'!$N$13,"")</f>
        <v/>
      </c>
      <c r="CH396" s="940" t="s">
        <v>43</v>
      </c>
      <c r="CI396" s="13" t="s">
        <v>61</v>
      </c>
      <c r="CJ396" s="518" t="str">
        <f>IF(AND(_A6="B-767-300ER",'2025'!$N$4="CA",'2025'!$N$2=CJ385),'2025DATA'!$C$13,"")</f>
        <v/>
      </c>
      <c r="CK396" s="518" t="str">
        <f>IF(AND(_A6="B-767-300ER",'2025'!$N$4="CA",'2025'!$N$2=CK385),'2025DATA'!$D$13,"")</f>
        <v/>
      </c>
      <c r="CL396" s="518" t="str">
        <f>IF(AND(_A6="B-767-300ER",'2025'!$N$4="CA",'2025'!$N$2=CL385),'2025DATA'!$E$13,"")</f>
        <v/>
      </c>
      <c r="CM396" s="518" t="str">
        <f>IF(AND(_A6="B-767-300ER",'2025'!$N$4="CA",'2025'!$N$2=CM385),'2025DATA'!$F$13,"")</f>
        <v/>
      </c>
      <c r="CN396" s="518" t="str">
        <f>IF(AND(_A6="B-767-300ER",'2025'!$N$4="CA",'2025'!$N$2=CN385),'2025DATA'!$G$13,"")</f>
        <v/>
      </c>
      <c r="CO396" s="518" t="str">
        <f>IF(AND(_A6="B-767-300ER",'2025'!$N$4="CA",'2025'!$N$2=CO385),'2025DATA'!$H$13,"")</f>
        <v/>
      </c>
      <c r="CP396" s="518" t="str">
        <f>IF(AND(_A6="B-767-300ER",'2025'!$N$4="CA",'2025'!$N$2=CP385),'2025DATA'!$I$13,"")</f>
        <v/>
      </c>
      <c r="CQ396" s="518" t="str">
        <f>IF(AND(_A6="B-767-300ER",'2025'!$N$4="CA",'2025'!$N$2=CQ385),'2025DATA'!$J$13,"")</f>
        <v/>
      </c>
      <c r="CR396" s="518" t="str">
        <f>IF(AND(_A6="B-767-300ER",'2025'!$N$4="CA",'2025'!$N$2=CR385),'2025DATA'!$K$13,"")</f>
        <v/>
      </c>
      <c r="CS396" s="518" t="str">
        <f>IF(AND(_A6="B-767-300ER",'2025'!$N$4="CA",'2025'!$N$2=CS385),'2025DATA'!$L$13,"")</f>
        <v/>
      </c>
      <c r="CT396" s="518" t="str">
        <f>IF(AND(_A6="B-767-300ER",'2025'!$N$4="CA",'2025'!$N$2=CT385),'2025DATA'!$M$13,"")</f>
        <v/>
      </c>
      <c r="CU396" s="520" t="str">
        <f>IF(AND(_A6="B-767-300ER",'2025'!$N$4="CA",'2025'!$N$2=CU385),'2025DATA'!$N$13,"")</f>
        <v/>
      </c>
    </row>
    <row r="397" spans="16:99" x14ac:dyDescent="0.25">
      <c r="P397" s="940"/>
      <c r="Q397" s="13" t="s">
        <v>62</v>
      </c>
      <c r="R397" s="518" t="str">
        <f>IF(AND(_A1="B-767-300ER",'2025'!$N$4="FO",'2025'!$N$2=R385),'2025DATA'!$C$14,"")</f>
        <v/>
      </c>
      <c r="S397" s="518" t="str">
        <f>IF(AND(_A1="B-767-300ER",'2025'!$N$4="FO",'2025'!$N$2=S385),'2025DATA'!$D$14,"")</f>
        <v/>
      </c>
      <c r="T397" s="518" t="str">
        <f>IF(AND(_A1="B-767-300ER",'2025'!$N$4="FO",'2025'!$N$2=T385),'2025DATA'!$E$14,"")</f>
        <v/>
      </c>
      <c r="U397" s="518" t="str">
        <f>IF(AND(_A1="B-767-300ER",'2025'!$N$4="FO",'2025'!$N$2=U385),'2025DATA'!$F$14,"")</f>
        <v/>
      </c>
      <c r="V397" s="518" t="str">
        <f>IF(AND(_A1="B-767-300ER",'2025'!$N$4="FO",'2025'!$N$2=V385),'2025DATA'!$G$14,"")</f>
        <v/>
      </c>
      <c r="W397" s="518" t="str">
        <f>IF(AND(_A1="B-767-300ER",'2025'!$N$4="FO",'2025'!$N$2=W385),'2025DATA'!$H$14,"")</f>
        <v/>
      </c>
      <c r="X397" s="518" t="str">
        <f>IF(AND(_A1="B-767-300ER",'2025'!$N$4="FO",'2025'!$N$2=X385),'2025DATA'!$I$14,"")</f>
        <v/>
      </c>
      <c r="Y397" s="518" t="str">
        <f>IF(AND(_A1="B-767-300ER",'2025'!$N$4="FO",'2025'!$N$2=Y385),'2025DATA'!$J$14,"")</f>
        <v/>
      </c>
      <c r="Z397" s="518" t="str">
        <f>IF(AND(_A1="B-767-300ER",'2025'!$N$4="FO",'2025'!$N$2=Z385),'2025DATA'!$K$14,"")</f>
        <v/>
      </c>
      <c r="AA397" s="518" t="str">
        <f>IF(AND(_A1="B-767-300ER",'2025'!$N$4="FO",'2025'!$N$2=AA385),'2025DATA'!$L$14,"")</f>
        <v/>
      </c>
      <c r="AB397" s="518" t="str">
        <f>IF(AND(_A1="B-767-300ER",'2025'!$N$4="FO",'2025'!$N$2=AB385),'2025DATA'!$M$14,"")</f>
        <v/>
      </c>
      <c r="AC397" s="520" t="str">
        <f>IF(AND(_A1="B-767-300ER",'2025'!$N$4="FO",'2025'!$N$2=AC385),'2025DATA'!$N$14,"")</f>
        <v/>
      </c>
      <c r="AD397" s="940"/>
      <c r="AE397" s="13" t="s">
        <v>62</v>
      </c>
      <c r="AF397" s="518" t="str">
        <f>IF(AND(_A2="B-767-300ER",'2025'!$N$4="FO",'2025'!$N$2=AF385),'2025DATA'!$C$14,"")</f>
        <v/>
      </c>
      <c r="AG397" s="518" t="str">
        <f>IF(AND(_A2="B-767-300ER",'2025'!$N$4="FO",'2025'!$N$2=AG385),'2025DATA'!$D$14,"")</f>
        <v/>
      </c>
      <c r="AH397" s="518" t="str">
        <f>IF(AND(_A2="B-767-300ER",'2025'!$N$4="FO",'2025'!$N$2=AH385),'2025DATA'!$E$14,"")</f>
        <v/>
      </c>
      <c r="AI397" s="518" t="str">
        <f>IF(AND(_A2="B-767-300ER",'2025'!$N$4="FO",'2025'!$N$2=AI385),'2025DATA'!$F$14,"")</f>
        <v/>
      </c>
      <c r="AJ397" s="518" t="str">
        <f>IF(AND(_A2="B-767-300ER",'2025'!$N$4="FO",'2025'!$N$2=AJ385),'2025DATA'!$G$14,"")</f>
        <v/>
      </c>
      <c r="AK397" s="518" t="str">
        <f>IF(AND(_A2="B-767-300ER",'2025'!$N$4="FO",'2025'!$N$2=AK385),'2025DATA'!$H$14,"")</f>
        <v/>
      </c>
      <c r="AL397" s="518" t="str">
        <f>IF(AND(_A2="B-767-300ER",'2025'!$N$4="FO",'2025'!$N$2=AL385),'2025DATA'!$I$14,"")</f>
        <v/>
      </c>
      <c r="AM397" s="518" t="str">
        <f>IF(AND(_A2="B-767-300ER",'2025'!$N$4="FO",'2025'!$N$2=AM385),'2025DATA'!$J$14,"")</f>
        <v/>
      </c>
      <c r="AN397" s="518" t="str">
        <f>IF(AND(_A2="B-767-300ER",'2025'!$N$4="FO",'2025'!$N$2=AN385),'2025DATA'!$K$14,"")</f>
        <v/>
      </c>
      <c r="AO397" s="518" t="str">
        <f>IF(AND(_A2="B-767-300ER",'2025'!$N$4="FO",'2025'!$N$2=AO385),'2025DATA'!$L$14,"")</f>
        <v/>
      </c>
      <c r="AP397" s="518" t="str">
        <f>IF(AND(_A2="B-767-300ER",'2025'!$N$4="FO",'2025'!$N$2=AP385),'2025DATA'!$M$14,"")</f>
        <v/>
      </c>
      <c r="AQ397" s="520" t="str">
        <f>IF(AND(_A2="B-767-300ER",'2025'!$N$4="FO",'2025'!$N$2=AQ385),'2025DATA'!$N$14,"")</f>
        <v/>
      </c>
      <c r="AR397" s="940"/>
      <c r="AS397" s="13" t="s">
        <v>62</v>
      </c>
      <c r="AT397" s="518" t="str">
        <f>IF(AND(_A3="B-767-300ER",'2025'!$N$4="FO",'2025'!$N$2=AT385),'2025DATA'!$C$14,"")</f>
        <v/>
      </c>
      <c r="AU397" s="518" t="str">
        <f>IF(AND(_A3="B-767-300ER",'2025'!$N$4="FO",'2025'!$N$2=AU385),'2025DATA'!$D$14,"")</f>
        <v/>
      </c>
      <c r="AV397" s="518" t="str">
        <f>IF(AND(_A3="B-767-300ER",'2025'!$N$4="FO",'2025'!$N$2=AV385),'2025DATA'!$E$14,"")</f>
        <v/>
      </c>
      <c r="AW397" s="518" t="str">
        <f>IF(AND(_A3="B-767-300ER",'2025'!$N$4="FO",'2025'!$N$2=AW385),'2025DATA'!$F$14,"")</f>
        <v/>
      </c>
      <c r="AX397" s="518" t="str">
        <f>IF(AND(_A3="B-767-300ER",'2025'!$N$4="FO",'2025'!$N$2=AX385),'2025DATA'!$G$14,"")</f>
        <v/>
      </c>
      <c r="AY397" s="518" t="str">
        <f>IF(AND(_A3="B-767-300ER",'2025'!$N$4="FO",'2025'!$N$2=AY385),'2025DATA'!$H$14,"")</f>
        <v/>
      </c>
      <c r="AZ397" s="518" t="str">
        <f>IF(AND(_A3="B-767-300ER",'2025'!$N$4="FO",'2025'!$N$2=AZ385),'2025DATA'!$I$14,"")</f>
        <v/>
      </c>
      <c r="BA397" s="518" t="str">
        <f>IF(AND(_A3="B-767-300ER",'2025'!$N$4="FO",'2025'!$N$2=BA385),'2025DATA'!$J$14,"")</f>
        <v/>
      </c>
      <c r="BB397" s="518" t="str">
        <f>IF(AND(_A3="B-767-300ER",'2025'!$N$4="FO",'2025'!$N$2=BB385),'2025DATA'!$K$14,"")</f>
        <v/>
      </c>
      <c r="BC397" s="518" t="str">
        <f>IF(AND(_A3="B-767-300ER",'2025'!$N$4="FO",'2025'!$N$2=BC385),'2025DATA'!$L$14,"")</f>
        <v/>
      </c>
      <c r="BD397" s="518" t="str">
        <f>IF(AND(_A3="B-767-300ER",'2025'!$N$4="FO",'2025'!$N$2=BD385),'2025DATA'!$M$14,"")</f>
        <v/>
      </c>
      <c r="BE397" s="520" t="str">
        <f>IF(AND(_A3="B-767-300ER",'2025'!$N$4="FO",'2025'!$N$2=BE385),'2025DATA'!$N$14,"")</f>
        <v/>
      </c>
      <c r="BF397" s="940"/>
      <c r="BG397" s="13" t="s">
        <v>62</v>
      </c>
      <c r="BH397" s="518" t="str">
        <f>IF(AND(_A4="B-767-300ER",'2025'!$N$4="FO",'2025'!$N$2=BH385),'2025DATA'!$C$14,"")</f>
        <v/>
      </c>
      <c r="BI397" s="518" t="str">
        <f>IF(AND(_A4="B-767-300ER",'2025'!$N$4="FO",'2025'!$N$2=BI385),'2025DATA'!$D$14,"")</f>
        <v/>
      </c>
      <c r="BJ397" s="518" t="str">
        <f>IF(AND(_A4="B-767-300ER",'2025'!$N$4="FO",'2025'!$N$2=BJ385),'2025DATA'!$E$14,"")</f>
        <v/>
      </c>
      <c r="BK397" s="518" t="str">
        <f>IF(AND(_A4="B-767-300ER",'2025'!$N$4="FO",'2025'!$N$2=BK385),'2025DATA'!$F$14,"")</f>
        <v/>
      </c>
      <c r="BL397" s="518" t="str">
        <f>IF(AND(_A4="B-767-300ER",'2025'!$N$4="FO",'2025'!$N$2=BL385),'2025DATA'!$G$14,"")</f>
        <v/>
      </c>
      <c r="BM397" s="518" t="str">
        <f>IF(AND(_A4="B-767-300ER",'2025'!$N$4="FO",'2025'!$N$2=BM385),'2025DATA'!$H$14,"")</f>
        <v/>
      </c>
      <c r="BN397" s="518" t="str">
        <f>IF(AND(_A4="B-767-300ER",'2025'!$N$4="FO",'2025'!$N$2=BN385),'2025DATA'!$I$14,"")</f>
        <v/>
      </c>
      <c r="BO397" s="518" t="str">
        <f>IF(AND(_A4="B-767-300ER",'2025'!$N$4="FO",'2025'!$N$2=BO385),'2025DATA'!$J$14,"")</f>
        <v/>
      </c>
      <c r="BP397" s="518" t="str">
        <f>IF(AND(_A4="B-767-300ER",'2025'!$N$4="FO",'2025'!$N$2=BP385),'2025DATA'!$K$14,"")</f>
        <v/>
      </c>
      <c r="BQ397" s="518" t="str">
        <f>IF(AND(_A4="B-767-300ER",'2025'!$N$4="FO",'2025'!$N$2=BQ385),'2025DATA'!$L$14,"")</f>
        <v/>
      </c>
      <c r="BR397" s="518" t="str">
        <f>IF(AND(_A4="B-767-300ER",'2025'!$N$4="FO",'2025'!$N$2=BR385),'2025DATA'!$M$14,"")</f>
        <v/>
      </c>
      <c r="BS397" s="520" t="str">
        <f>IF(AND(_A4="B-767-300ER",'2025'!$N$4="FO",'2025'!$N$2=BS385),'2025DATA'!$N$14,"")</f>
        <v/>
      </c>
      <c r="BT397" s="940"/>
      <c r="BU397" s="13" t="s">
        <v>62</v>
      </c>
      <c r="BV397" s="518" t="str">
        <f>IF(AND(_A5="B-767-300ER",'2025'!$N$4="FO",'2025'!$N$2=BV385),'2025DATA'!$C$14,"")</f>
        <v/>
      </c>
      <c r="BW397" s="518" t="str">
        <f>IF(AND(_A5="B-767-300ER",'2025'!$N$4="FO",'2025'!$N$2=BW385),'2025DATA'!$D$14,"")</f>
        <v/>
      </c>
      <c r="BX397" s="518" t="str">
        <f>IF(AND(_A5="B-767-300ER",'2025'!$N$4="FO",'2025'!$N$2=BX385),'2025DATA'!$E$14,"")</f>
        <v/>
      </c>
      <c r="BY397" s="518" t="str">
        <f>IF(AND(_A5="B-767-300ER",'2025'!$N$4="FO",'2025'!$N$2=BY385),'2025DATA'!$F$14,"")</f>
        <v/>
      </c>
      <c r="BZ397" s="518" t="str">
        <f>IF(AND(_A5="B-767-300ER",'2025'!$N$4="FO",'2025'!$N$2=BZ385),'2025DATA'!$G$14,"")</f>
        <v/>
      </c>
      <c r="CA397" s="518" t="str">
        <f>IF(AND(_A5="B-767-300ER",'2025'!$N$4="FO",'2025'!$N$2=CA385),'2025DATA'!$H$14,"")</f>
        <v/>
      </c>
      <c r="CB397" s="518" t="str">
        <f>IF(AND(_A5="B-767-300ER",'2025'!$N$4="FO",'2025'!$N$2=CB385),'2025DATA'!$I$14,"")</f>
        <v/>
      </c>
      <c r="CC397" s="518" t="str">
        <f>IF(AND(_A5="B-767-300ER",'2025'!$N$4="FO",'2025'!$N$2=CC385),'2025DATA'!$J$14,"")</f>
        <v/>
      </c>
      <c r="CD397" s="518" t="str">
        <f>IF(AND(_A5="B-767-300ER",'2025'!$N$4="FO",'2025'!$N$2=CD385),'2025DATA'!$K$14,"")</f>
        <v/>
      </c>
      <c r="CE397" s="518" t="str">
        <f>IF(AND(_A5="B-767-300ER",'2025'!$N$4="FO",'2025'!$N$2=CE385),'2025DATA'!$L$14,"")</f>
        <v/>
      </c>
      <c r="CF397" s="518" t="str">
        <f>IF(AND(_A5="B-767-300ER",'2025'!$N$4="FO",'2025'!$N$2=CF385),'2025DATA'!$M$14,"")</f>
        <v/>
      </c>
      <c r="CG397" s="520" t="str">
        <f>IF(AND(_A5="B-767-300ER",'2025'!$N$4="FO",'2025'!$N$2=CG385),'2025DATA'!$N$14,"")</f>
        <v/>
      </c>
      <c r="CH397" s="940"/>
      <c r="CI397" s="13" t="s">
        <v>62</v>
      </c>
      <c r="CJ397" s="518" t="str">
        <f>IF(AND(_A6="B-767-300ER",'2025'!$N$4="FO",'2025'!$N$2=CJ385),'2025DATA'!$C$14,"")</f>
        <v/>
      </c>
      <c r="CK397" s="518" t="str">
        <f>IF(AND(_A6="B-767-300ER",'2025'!$N$4="FO",'2025'!$N$2=CK385),'2025DATA'!$D$14,"")</f>
        <v/>
      </c>
      <c r="CL397" s="518" t="str">
        <f>IF(AND(_A6="B-767-300ER",'2025'!$N$4="FO",'2025'!$N$2=CL385),'2025DATA'!$E$14,"")</f>
        <v/>
      </c>
      <c r="CM397" s="518" t="str">
        <f>IF(AND(_A6="B-767-300ER",'2025'!$N$4="FO",'2025'!$N$2=CM385),'2025DATA'!$F$14,"")</f>
        <v/>
      </c>
      <c r="CN397" s="518" t="str">
        <f>IF(AND(_A6="B-767-300ER",'2025'!$N$4="FO",'2025'!$N$2=CN385),'2025DATA'!$G$14,"")</f>
        <v/>
      </c>
      <c r="CO397" s="518" t="str">
        <f>IF(AND(_A6="B-767-300ER",'2025'!$N$4="FO",'2025'!$N$2=CO385),'2025DATA'!$H$14,"")</f>
        <v/>
      </c>
      <c r="CP397" s="518" t="str">
        <f>IF(AND(_A6="B-767-300ER",'2025'!$N$4="FO",'2025'!$N$2=CP385),'2025DATA'!$I$14,"")</f>
        <v/>
      </c>
      <c r="CQ397" s="518" t="str">
        <f>IF(AND(_A6="B-767-300ER",'2025'!$N$4="FO",'2025'!$N$2=CQ385),'2025DATA'!$J$14,"")</f>
        <v/>
      </c>
      <c r="CR397" s="518" t="str">
        <f>IF(AND(_A6="B-767-300ER",'2025'!$N$4="FO",'2025'!$N$2=CR385),'2025DATA'!$K$14,"")</f>
        <v/>
      </c>
      <c r="CS397" s="518" t="str">
        <f>IF(AND(_A6="B-767-300ER",'2025'!$N$4="FO",'2025'!$N$2=CS385),'2025DATA'!$L$14,"")</f>
        <v/>
      </c>
      <c r="CT397" s="518" t="str">
        <f>IF(AND(_A6="B-767-300ER",'2025'!$N$4="FO",'2025'!$N$2=CT385),'2025DATA'!$M$14,"")</f>
        <v/>
      </c>
      <c r="CU397" s="520" t="str">
        <f>IF(AND(_A6="B-767-300ER",'2025'!$N$4="FO",'2025'!$N$2=CU385),'2025DATA'!$N$14,"")</f>
        <v/>
      </c>
    </row>
    <row r="398" spans="16:99" x14ac:dyDescent="0.25">
      <c r="P398" s="940" t="s">
        <v>67</v>
      </c>
      <c r="Q398" s="13" t="s">
        <v>61</v>
      </c>
      <c r="R398" s="518" t="str">
        <f>IF(AND(_A1="B-767-300",'2025'!$N$4="CA",'2025'!$N$2=R385),'2025DATA'!$C$15,"")</f>
        <v/>
      </c>
      <c r="S398" s="518" t="str">
        <f>IF(AND(_A1="B-767-300",'2025'!$N$4="CA",'2025'!$N$2=S385),'2025DATA'!$D$15,"")</f>
        <v/>
      </c>
      <c r="T398" s="518" t="str">
        <f>IF(AND(_A1="B-767-300",'2025'!$N$4="CA",'2025'!$N$2=T385),'2025DATA'!$E$15,"")</f>
        <v/>
      </c>
      <c r="U398" s="518" t="str">
        <f>IF(AND(_A1="B-767-300",'2025'!$N$4="CA",'2025'!$N$2=U385),'2025DATA'!$F$15,"")</f>
        <v/>
      </c>
      <c r="V398" s="518" t="str">
        <f>IF(AND(_A1="B-767-300",'2025'!$N$4="CA",'2025'!$N$2=V385),'2025DATA'!$G$15,"")</f>
        <v/>
      </c>
      <c r="W398" s="518" t="str">
        <f>IF(AND(_A1="B-767-300",'2025'!$N$4="CA",'2025'!$N$2=W385),'2025DATA'!$H$15,"")</f>
        <v/>
      </c>
      <c r="X398" s="518" t="str">
        <f>IF(AND(_A1="B-767-300",'2025'!$N$4="CA",'2025'!$N$2=X385),'2025DATA'!$I$15,"")</f>
        <v/>
      </c>
      <c r="Y398" s="518" t="str">
        <f>IF(AND(_A1="B-767-300",'2025'!$N$4="CA",'2025'!$N$2=Y385),'2025DATA'!$J$15,"")</f>
        <v/>
      </c>
      <c r="Z398" s="518" t="str">
        <f>IF(AND(_A1="B-767-300",'2025'!$N$4="CA",'2025'!$N$2=Z385),'2025DATA'!$K$15,"")</f>
        <v/>
      </c>
      <c r="AA398" s="518" t="str">
        <f>IF(AND(_A1="B-767-300",'2025'!$N$4="CA",'2025'!$N$2=AA385),'2025DATA'!$L$15,"")</f>
        <v/>
      </c>
      <c r="AB398" s="518" t="str">
        <f>IF(AND(_A1="B-767-300",'2025'!$N$4="CA",'2025'!$N$2=AB385),'2025DATA'!$M$15,"")</f>
        <v/>
      </c>
      <c r="AC398" s="520" t="str">
        <f>IF(AND(_A1="B-767-300",'2025'!$N$4="CA",'2025'!$N$2=AC385),'2025DATA'!$N$15,"")</f>
        <v/>
      </c>
      <c r="AD398" s="940" t="s">
        <v>67</v>
      </c>
      <c r="AE398" s="13" t="s">
        <v>61</v>
      </c>
      <c r="AF398" s="518" t="str">
        <f>IF(AND(_A2="B-767-300",'2025'!$N$4="CA",'2025'!$N$2=AF385),'2025DATA'!$C$15,"")</f>
        <v/>
      </c>
      <c r="AG398" s="518" t="str">
        <f>IF(AND(_A2="B-767-300",'2025'!$N$4="CA",'2025'!$N$2=AG385),'2025DATA'!$D$15,"")</f>
        <v/>
      </c>
      <c r="AH398" s="518" t="str">
        <f>IF(AND(_A2="B-767-300",'2025'!$N$4="CA",'2025'!$N$2=AH385),'2025DATA'!$E$15,"")</f>
        <v/>
      </c>
      <c r="AI398" s="518" t="str">
        <f>IF(AND(_A2="B-767-300",'2025'!$N$4="CA",'2025'!$N$2=AI385),'2025DATA'!$F$15,"")</f>
        <v/>
      </c>
      <c r="AJ398" s="518" t="str">
        <f>IF(AND(_A2="B-767-300",'2025'!$N$4="CA",'2025'!$N$2=AJ385),'2025DATA'!$G$15,"")</f>
        <v/>
      </c>
      <c r="AK398" s="518" t="str">
        <f>IF(AND(_A2="B-767-300",'2025'!$N$4="CA",'2025'!$N$2=AK385),'2025DATA'!$H$15,"")</f>
        <v/>
      </c>
      <c r="AL398" s="518" t="str">
        <f>IF(AND(_A2="B-767-300",'2025'!$N$4="CA",'2025'!$N$2=AL385),'2025DATA'!$I$15,"")</f>
        <v/>
      </c>
      <c r="AM398" s="518" t="str">
        <f>IF(AND(_A2="B-767-300",'2025'!$N$4="CA",'2025'!$N$2=AM385),'2025DATA'!$J$15,"")</f>
        <v/>
      </c>
      <c r="AN398" s="518" t="str">
        <f>IF(AND(_A2="B-767-300",'2025'!$N$4="CA",'2025'!$N$2=AN385),'2025DATA'!$K$15,"")</f>
        <v/>
      </c>
      <c r="AO398" s="518" t="str">
        <f>IF(AND(_A2="B-767-300",'2025'!$N$4="CA",'2025'!$N$2=AO385),'2025DATA'!$L$15,"")</f>
        <v/>
      </c>
      <c r="AP398" s="518" t="str">
        <f>IF(AND(_A2="B-767-300",'2025'!$N$4="CA",'2025'!$N$2=AP385),'2025DATA'!$M$15,"")</f>
        <v/>
      </c>
      <c r="AQ398" s="520" t="str">
        <f>IF(AND(_A2="B-767-300",'2025'!$N$4="CA",'2025'!$N$2=AQ385),'2025DATA'!$N$15,"")</f>
        <v/>
      </c>
      <c r="AR398" s="940" t="s">
        <v>67</v>
      </c>
      <c r="AS398" s="13" t="s">
        <v>61</v>
      </c>
      <c r="AT398" s="518" t="str">
        <f>IF(AND(_A3="B-767-300",'2025'!$N$4="CA",'2025'!$N$2=AT385),'2025DATA'!$C$15,"")</f>
        <v/>
      </c>
      <c r="AU398" s="518" t="str">
        <f>IF(AND(_A3="B-767-300",'2025'!$N$4="CA",'2025'!$N$2=AU385),'2025DATA'!$D$15,"")</f>
        <v/>
      </c>
      <c r="AV398" s="518" t="str">
        <f>IF(AND(_A3="B-767-300",'2025'!$N$4="CA",'2025'!$N$2=AV385),'2025DATA'!$E$15,"")</f>
        <v/>
      </c>
      <c r="AW398" s="518" t="str">
        <f>IF(AND(_A3="B-767-300",'2025'!$N$4="CA",'2025'!$N$2=AW385),'2025DATA'!$F$15,"")</f>
        <v/>
      </c>
      <c r="AX398" s="518" t="str">
        <f>IF(AND(_A3="B-767-300",'2025'!$N$4="CA",'2025'!$N$2=AX385),'2025DATA'!$G$15,"")</f>
        <v/>
      </c>
      <c r="AY398" s="518" t="str">
        <f>IF(AND(_A3="B-767-300",'2025'!$N$4="CA",'2025'!$N$2=AY385),'2025DATA'!$H$15,"")</f>
        <v/>
      </c>
      <c r="AZ398" s="518" t="str">
        <f>IF(AND(_A3="B-767-300",'2025'!$N$4="CA",'2025'!$N$2=AZ385),'2025DATA'!$I$15,"")</f>
        <v/>
      </c>
      <c r="BA398" s="518" t="str">
        <f>IF(AND(_A3="B-767-300",'2025'!$N$4="CA",'2025'!$N$2=BA385),'2025DATA'!$J$15,"")</f>
        <v/>
      </c>
      <c r="BB398" s="518" t="str">
        <f>IF(AND(_A3="B-767-300",'2025'!$N$4="CA",'2025'!$N$2=BB385),'2025DATA'!$K$15,"")</f>
        <v/>
      </c>
      <c r="BC398" s="518" t="str">
        <f>IF(AND(_A3="B-767-300",'2025'!$N$4="CA",'2025'!$N$2=BC385),'2025DATA'!$L$15,"")</f>
        <v/>
      </c>
      <c r="BD398" s="518" t="str">
        <f>IF(AND(_A3="B-767-300",'2025'!$N$4="CA",'2025'!$N$2=BD385),'2025DATA'!$M$15,"")</f>
        <v/>
      </c>
      <c r="BE398" s="520" t="str">
        <f>IF(AND(_A3="B-767-300",'2025'!$N$4="CA",'2025'!$N$2=BE385),'2025DATA'!$N$15,"")</f>
        <v/>
      </c>
      <c r="BF398" s="940" t="s">
        <v>67</v>
      </c>
      <c r="BG398" s="13" t="s">
        <v>61</v>
      </c>
      <c r="BH398" s="518" t="str">
        <f>IF(AND(_A4="B-767-300",'2025'!$N$4="CA",'2025'!$N$2=BH385),'2025DATA'!$C$15,"")</f>
        <v/>
      </c>
      <c r="BI398" s="518" t="str">
        <f>IF(AND(_A4="B-767-300",'2025'!$N$4="CA",'2025'!$N$2=BI385),'2025DATA'!$D$15,"")</f>
        <v/>
      </c>
      <c r="BJ398" s="518" t="str">
        <f>IF(AND(_A4="B-767-300",'2025'!$N$4="CA",'2025'!$N$2=BJ385),'2025DATA'!$E$15,"")</f>
        <v/>
      </c>
      <c r="BK398" s="518" t="str">
        <f>IF(AND(_A4="B-767-300",'2025'!$N$4="CA",'2025'!$N$2=BK385),'2025DATA'!$F$15,"")</f>
        <v/>
      </c>
      <c r="BL398" s="518" t="str">
        <f>IF(AND(_A4="B-767-300",'2025'!$N$4="CA",'2025'!$N$2=BL385),'2025DATA'!$G$15,"")</f>
        <v/>
      </c>
      <c r="BM398" s="518" t="str">
        <f>IF(AND(_A4="B-767-300",'2025'!$N$4="CA",'2025'!$N$2=BM385),'2025DATA'!$H$15,"")</f>
        <v/>
      </c>
      <c r="BN398" s="518" t="str">
        <f>IF(AND(_A4="B-767-300",'2025'!$N$4="CA",'2025'!$N$2=BN385),'2025DATA'!$I$15,"")</f>
        <v/>
      </c>
      <c r="BO398" s="518" t="str">
        <f>IF(AND(_A4="B-767-300",'2025'!$N$4="CA",'2025'!$N$2=BO385),'2025DATA'!$J$15,"")</f>
        <v/>
      </c>
      <c r="BP398" s="518" t="str">
        <f>IF(AND(_A4="B-767-300",'2025'!$N$4="CA",'2025'!$N$2=BP385),'2025DATA'!$K$15,"")</f>
        <v/>
      </c>
      <c r="BQ398" s="518" t="str">
        <f>IF(AND(_A4="B-767-300",'2025'!$N$4="CA",'2025'!$N$2=BQ385),'2025DATA'!$L$15,"")</f>
        <v/>
      </c>
      <c r="BR398" s="518" t="str">
        <f>IF(AND(_A4="B-767-300",'2025'!$N$4="CA",'2025'!$N$2=BR385),'2025DATA'!$M$15,"")</f>
        <v/>
      </c>
      <c r="BS398" s="520" t="str">
        <f>IF(AND(_A4="B-767-300",'2025'!$N$4="CA",'2025'!$N$2=BS385),'2025DATA'!$N$15,"")</f>
        <v/>
      </c>
      <c r="BT398" s="940" t="s">
        <v>67</v>
      </c>
      <c r="BU398" s="13" t="s">
        <v>61</v>
      </c>
      <c r="BV398" s="518" t="str">
        <f>IF(AND(_A5="B-767-300",'2025'!$N$4="CA",'2025'!$N$2=BV385),'2025DATA'!$C$15,"")</f>
        <v/>
      </c>
      <c r="BW398" s="518" t="str">
        <f>IF(AND(_A5="B-767-300",'2025'!$N$4="CA",'2025'!$N$2=BW385),'2025DATA'!$D$15,"")</f>
        <v/>
      </c>
      <c r="BX398" s="518" t="str">
        <f>IF(AND(_A5="B-767-300",'2025'!$N$4="CA",'2025'!$N$2=BX385),'2025DATA'!$E$15,"")</f>
        <v/>
      </c>
      <c r="BY398" s="518" t="str">
        <f>IF(AND(_A5="B-767-300",'2025'!$N$4="CA",'2025'!$N$2=BY385),'2025DATA'!$F$15,"")</f>
        <v/>
      </c>
      <c r="BZ398" s="518" t="str">
        <f>IF(AND(_A5="B-767-300",'2025'!$N$4="CA",'2025'!$N$2=BZ385),'2025DATA'!$G$15,"")</f>
        <v/>
      </c>
      <c r="CA398" s="518" t="str">
        <f>IF(AND(_A5="B-767-300",'2025'!$N$4="CA",'2025'!$N$2=CA385),'2025DATA'!$H$15,"")</f>
        <v/>
      </c>
      <c r="CB398" s="518" t="str">
        <f>IF(AND(_A5="B-767-300",'2025'!$N$4="CA",'2025'!$N$2=CB385),'2025DATA'!$I$15,"")</f>
        <v/>
      </c>
      <c r="CC398" s="518" t="str">
        <f>IF(AND(_A5="B-767-300",'2025'!$N$4="CA",'2025'!$N$2=CC385),'2025DATA'!$J$15,"")</f>
        <v/>
      </c>
      <c r="CD398" s="518" t="str">
        <f>IF(AND(_A5="B-767-300",'2025'!$N$4="CA",'2025'!$N$2=CD385),'2025DATA'!$K$15,"")</f>
        <v/>
      </c>
      <c r="CE398" s="518" t="str">
        <f>IF(AND(_A5="B-767-300",'2025'!$N$4="CA",'2025'!$N$2=CE385),'2025DATA'!$L$15,"")</f>
        <v/>
      </c>
      <c r="CF398" s="518" t="str">
        <f>IF(AND(_A5="B-767-300",'2025'!$N$4="CA",'2025'!$N$2=CF385),'2025DATA'!$M$15,"")</f>
        <v/>
      </c>
      <c r="CG398" s="520" t="str">
        <f>IF(AND(_A5="B-767-300",'2025'!$N$4="CA",'2025'!$N$2=CG385),'2025DATA'!$N$15,"")</f>
        <v/>
      </c>
      <c r="CH398" s="940" t="s">
        <v>67</v>
      </c>
      <c r="CI398" s="13" t="s">
        <v>61</v>
      </c>
      <c r="CJ398" s="518" t="str">
        <f>IF(AND(_A6="B-767-300",'2025'!$N$4="CA",'2025'!$N$2=CJ385),'2025DATA'!$C$15,"")</f>
        <v/>
      </c>
      <c r="CK398" s="518" t="str">
        <f>IF(AND(_A6="B-767-300",'2025'!$N$4="CA",'2025'!$N$2=CK385),'2025DATA'!$D$15,"")</f>
        <v/>
      </c>
      <c r="CL398" s="518" t="str">
        <f>IF(AND(_A6="B-767-300",'2025'!$N$4="CA",'2025'!$N$2=CL385),'2025DATA'!$E$15,"")</f>
        <v/>
      </c>
      <c r="CM398" s="518" t="str">
        <f>IF(AND(_A6="B-767-300",'2025'!$N$4="CA",'2025'!$N$2=CM385),'2025DATA'!$F$15,"")</f>
        <v/>
      </c>
      <c r="CN398" s="518" t="str">
        <f>IF(AND(_A6="B-767-300",'2025'!$N$4="CA",'2025'!$N$2=CN385),'2025DATA'!$G$15,"")</f>
        <v/>
      </c>
      <c r="CO398" s="518" t="str">
        <f>IF(AND(_A6="B-767-300",'2025'!$N$4="CA",'2025'!$N$2=CO385),'2025DATA'!$H$15,"")</f>
        <v/>
      </c>
      <c r="CP398" s="518" t="str">
        <f>IF(AND(_A6="B-767-300",'2025'!$N$4="CA",'2025'!$N$2=CP385),'2025DATA'!$I$15,"")</f>
        <v/>
      </c>
      <c r="CQ398" s="518" t="str">
        <f>IF(AND(_A6="B-767-300",'2025'!$N$4="CA",'2025'!$N$2=CQ385),'2025DATA'!$J$15,"")</f>
        <v/>
      </c>
      <c r="CR398" s="518" t="str">
        <f>IF(AND(_A6="B-767-300",'2025'!$N$4="CA",'2025'!$N$2=CR385),'2025DATA'!$K$15,"")</f>
        <v/>
      </c>
      <c r="CS398" s="518" t="str">
        <f>IF(AND(_A6="B-767-300",'2025'!$N$4="CA",'2025'!$N$2=CS385),'2025DATA'!$L$15,"")</f>
        <v/>
      </c>
      <c r="CT398" s="518" t="str">
        <f>IF(AND(_A6="B-767-300",'2025'!$N$4="CA",'2025'!$N$2=CT385),'2025DATA'!$M$15,"")</f>
        <v/>
      </c>
      <c r="CU398" s="520" t="str">
        <f>IF(AND(_A6="B-767-300",'2025'!$N$4="CA",'2025'!$N$2=CU385),'2025DATA'!$N$15,"")</f>
        <v/>
      </c>
    </row>
    <row r="399" spans="16:99" x14ac:dyDescent="0.25">
      <c r="P399" s="940"/>
      <c r="Q399" s="13" t="s">
        <v>62</v>
      </c>
      <c r="R399" s="518" t="str">
        <f>IF(AND(_A1="B-767-300",'2025'!$N$4="FO",'2025'!$N$2=R385),'2025DATA'!$C$16,"")</f>
        <v/>
      </c>
      <c r="S399" s="518" t="str">
        <f>IF(AND(_A1="B-767-300",'2025'!$N$4="FO",'2025'!$N$2=S385),'2025DATA'!$D$16,"")</f>
        <v/>
      </c>
      <c r="T399" s="518" t="str">
        <f>IF(AND(_A1="B-767-300",'2025'!$N$4="FO",'2025'!$N$2=T385),'2025DATA'!$E$16,"")</f>
        <v/>
      </c>
      <c r="U399" s="518" t="str">
        <f>IF(AND(_A1="B-767-300",'2025'!$N$4="FO",'2025'!$N$2=U385),'2025DATA'!$F$16,"")</f>
        <v/>
      </c>
      <c r="V399" s="518" t="str">
        <f>IF(AND(_A1="B-767-300",'2025'!$N$4="FO",'2025'!$N$2=V385),'2025DATA'!$G$16,"")</f>
        <v/>
      </c>
      <c r="W399" s="518" t="str">
        <f>IF(AND(_A1="B-767-300",'2025'!$N$4="FO",'2025'!$N$2=W385),'2025DATA'!$H$16,"")</f>
        <v/>
      </c>
      <c r="X399" s="518" t="str">
        <f>IF(AND(_A1="B-767-300",'2025'!$N$4="FO",'2025'!$N$2=X385),'2025DATA'!$I$16,"")</f>
        <v/>
      </c>
      <c r="Y399" s="518" t="str">
        <f>IF(AND(_A1="B-767-300",'2025'!$N$4="FO",'2025'!$N$2=Y385),'2025DATA'!$J$16,"")</f>
        <v/>
      </c>
      <c r="Z399" s="518" t="str">
        <f>IF(AND(_A1="B-767-300",'2025'!$N$4="FO",'2025'!$N$2=Z385),'2025DATA'!$K$16,"")</f>
        <v/>
      </c>
      <c r="AA399" s="518" t="str">
        <f>IF(AND(_A1="B-767-300",'2025'!$N$4="FO",'2025'!$N$2=AA385),'2025DATA'!$L$16,"")</f>
        <v/>
      </c>
      <c r="AB399" s="518" t="str">
        <f>IF(AND(_A1="B-767-300",'2025'!$N$4="FO",'2025'!$N$2=AB385),'2025DATA'!$M$16,"")</f>
        <v/>
      </c>
      <c r="AC399" s="520" t="str">
        <f>IF(AND(_A1="B-767-300",'2025'!$N$4="FO",'2025'!$N$2=AC385),'2025DATA'!$N$16,"")</f>
        <v/>
      </c>
      <c r="AD399" s="940"/>
      <c r="AE399" s="13" t="s">
        <v>62</v>
      </c>
      <c r="AF399" s="518" t="str">
        <f>IF(AND(_A2="B-767-300",'2025'!$N$4="FO",'2025'!$N$2=AF385),'2025DATA'!$C$16,"")</f>
        <v/>
      </c>
      <c r="AG399" s="518" t="str">
        <f>IF(AND(_A2="B-767-300",'2025'!$N$4="FO",'2025'!$N$2=AG385),'2025DATA'!$D$16,"")</f>
        <v/>
      </c>
      <c r="AH399" s="518" t="str">
        <f>IF(AND(_A2="B-767-300",'2025'!$N$4="FO",'2025'!$N$2=AH385),'2025DATA'!$E$16,"")</f>
        <v/>
      </c>
      <c r="AI399" s="518" t="str">
        <f>IF(AND(_A2="B-767-300",'2025'!$N$4="FO",'2025'!$N$2=AI385),'2025DATA'!$F$16,"")</f>
        <v/>
      </c>
      <c r="AJ399" s="518" t="str">
        <f>IF(AND(_A2="B-767-300",'2025'!$N$4="FO",'2025'!$N$2=AJ385),'2025DATA'!$G$16,"")</f>
        <v/>
      </c>
      <c r="AK399" s="518" t="str">
        <f>IF(AND(_A2="B-767-300",'2025'!$N$4="FO",'2025'!$N$2=AK385),'2025DATA'!$H$16,"")</f>
        <v/>
      </c>
      <c r="AL399" s="518" t="str">
        <f>IF(AND(_A2="B-767-300",'2025'!$N$4="FO",'2025'!$N$2=AL385),'2025DATA'!$I$16,"")</f>
        <v/>
      </c>
      <c r="AM399" s="518" t="str">
        <f>IF(AND(_A2="B-767-300",'2025'!$N$4="FO",'2025'!$N$2=AM385),'2025DATA'!$J$16,"")</f>
        <v/>
      </c>
      <c r="AN399" s="518" t="str">
        <f>IF(AND(_A2="B-767-300",'2025'!$N$4="FO",'2025'!$N$2=AN385),'2025DATA'!$K$16,"")</f>
        <v/>
      </c>
      <c r="AO399" s="518" t="str">
        <f>IF(AND(_A2="B-767-300",'2025'!$N$4="FO",'2025'!$N$2=AO385),'2025DATA'!$L$16,"")</f>
        <v/>
      </c>
      <c r="AP399" s="518" t="str">
        <f>IF(AND(_A2="B-767-300",'2025'!$N$4="FO",'2025'!$N$2=AP385),'2025DATA'!$M$16,"")</f>
        <v/>
      </c>
      <c r="AQ399" s="520" t="str">
        <f>IF(AND(_A2="B-767-300",'2025'!$N$4="FO",'2025'!$N$2=AQ385),'2025DATA'!$N$16,"")</f>
        <v/>
      </c>
      <c r="AR399" s="940"/>
      <c r="AS399" s="13" t="s">
        <v>62</v>
      </c>
      <c r="AT399" s="518" t="str">
        <f>IF(AND(_A3="B-767-300",'2025'!$N$4="FO",'2025'!$N$2=AT385),'2025DATA'!$C$16,"")</f>
        <v/>
      </c>
      <c r="AU399" s="518" t="str">
        <f>IF(AND(_A3="B-767-300",'2025'!$N$4="FO",'2025'!$N$2=AU385),'2025DATA'!$D$16,"")</f>
        <v/>
      </c>
      <c r="AV399" s="518" t="str">
        <f>IF(AND(_A3="B-767-300",'2025'!$N$4="FO",'2025'!$N$2=AV385),'2025DATA'!$E$16,"")</f>
        <v/>
      </c>
      <c r="AW399" s="518" t="str">
        <f>IF(AND(_A3="B-767-300",'2025'!$N$4="FO",'2025'!$N$2=AW385),'2025DATA'!$F$16,"")</f>
        <v/>
      </c>
      <c r="AX399" s="518" t="str">
        <f>IF(AND(_A3="B-767-300",'2025'!$N$4="FO",'2025'!$N$2=AX385),'2025DATA'!$G$16,"")</f>
        <v/>
      </c>
      <c r="AY399" s="518" t="str">
        <f>IF(AND(_A3="B-767-300",'2025'!$N$4="FO",'2025'!$N$2=AY385),'2025DATA'!$H$16,"")</f>
        <v/>
      </c>
      <c r="AZ399" s="518" t="str">
        <f>IF(AND(_A3="B-767-300",'2025'!$N$4="FO",'2025'!$N$2=AZ385),'2025DATA'!$I$16,"")</f>
        <v/>
      </c>
      <c r="BA399" s="518" t="str">
        <f>IF(AND(_A3="B-767-300",'2025'!$N$4="FO",'2025'!$N$2=BA385),'2025DATA'!$J$16,"")</f>
        <v/>
      </c>
      <c r="BB399" s="518" t="str">
        <f>IF(AND(_A3="B-767-300",'2025'!$N$4="FO",'2025'!$N$2=BB385),'2025DATA'!$K$16,"")</f>
        <v/>
      </c>
      <c r="BC399" s="518" t="str">
        <f>IF(AND(_A3="B-767-300",'2025'!$N$4="FO",'2025'!$N$2=BC385),'2025DATA'!$L$16,"")</f>
        <v/>
      </c>
      <c r="BD399" s="518" t="str">
        <f>IF(AND(_A3="B-767-300",'2025'!$N$4="FO",'2025'!$N$2=BD385),'2025DATA'!$M$16,"")</f>
        <v/>
      </c>
      <c r="BE399" s="520" t="str">
        <f>IF(AND(_A3="B-767-300",'2025'!$N$4="FO",'2025'!$N$2=BE385),'2025DATA'!$N$16,"")</f>
        <v/>
      </c>
      <c r="BF399" s="940"/>
      <c r="BG399" s="13" t="s">
        <v>62</v>
      </c>
      <c r="BH399" s="518" t="str">
        <f>IF(AND(_A4="B-767-300",'2025'!$N$4="FO",'2025'!$N$2=BH385),'2025DATA'!$C$16,"")</f>
        <v/>
      </c>
      <c r="BI399" s="518" t="str">
        <f>IF(AND(_A4="B-767-300",'2025'!$N$4="FO",'2025'!$N$2=BI385),'2025DATA'!$D$16,"")</f>
        <v/>
      </c>
      <c r="BJ399" s="518" t="str">
        <f>IF(AND(_A4="B-767-300",'2025'!$N$4="FO",'2025'!$N$2=BJ385),'2025DATA'!$E$16,"")</f>
        <v/>
      </c>
      <c r="BK399" s="518" t="str">
        <f>IF(AND(_A4="B-767-300",'2025'!$N$4="FO",'2025'!$N$2=BK385),'2025DATA'!$F$16,"")</f>
        <v/>
      </c>
      <c r="BL399" s="518" t="str">
        <f>IF(AND(_A4="B-767-300",'2025'!$N$4="FO",'2025'!$N$2=BL385),'2025DATA'!$G$16,"")</f>
        <v/>
      </c>
      <c r="BM399" s="518" t="str">
        <f>IF(AND(_A4="B-767-300",'2025'!$N$4="FO",'2025'!$N$2=BM385),'2025DATA'!$H$16,"")</f>
        <v/>
      </c>
      <c r="BN399" s="518" t="str">
        <f>IF(AND(_A4="B-767-300",'2025'!$N$4="FO",'2025'!$N$2=BN385),'2025DATA'!$I$16,"")</f>
        <v/>
      </c>
      <c r="BO399" s="518" t="str">
        <f>IF(AND(_A4="B-767-300",'2025'!$N$4="FO",'2025'!$N$2=BO385),'2025DATA'!$J$16,"")</f>
        <v/>
      </c>
      <c r="BP399" s="518" t="str">
        <f>IF(AND(_A4="B-767-300",'2025'!$N$4="FO",'2025'!$N$2=BP385),'2025DATA'!$K$16,"")</f>
        <v/>
      </c>
      <c r="BQ399" s="518" t="str">
        <f>IF(AND(_A4="B-767-300",'2025'!$N$4="FO",'2025'!$N$2=BQ385),'2025DATA'!$L$16,"")</f>
        <v/>
      </c>
      <c r="BR399" s="518" t="str">
        <f>IF(AND(_A4="B-767-300",'2025'!$N$4="FO",'2025'!$N$2=BR385),'2025DATA'!$M$16,"")</f>
        <v/>
      </c>
      <c r="BS399" s="520" t="str">
        <f>IF(AND(_A4="B-767-300",'2025'!$N$4="FO",'2025'!$N$2=BS385),'2025DATA'!$N$16,"")</f>
        <v/>
      </c>
      <c r="BT399" s="940"/>
      <c r="BU399" s="13" t="s">
        <v>62</v>
      </c>
      <c r="BV399" s="518" t="str">
        <f>IF(AND(_A5="B-767-300",'2025'!$N$4="FO",'2025'!$N$2=BV385),'2025DATA'!$C$16,"")</f>
        <v/>
      </c>
      <c r="BW399" s="518" t="str">
        <f>IF(AND(_A5="B-767-300",'2025'!$N$4="FO",'2025'!$N$2=BW385),'2025DATA'!$D$16,"")</f>
        <v/>
      </c>
      <c r="BX399" s="518" t="str">
        <f>IF(AND(_A5="B-767-300",'2025'!$N$4="FO",'2025'!$N$2=BX385),'2025DATA'!$E$16,"")</f>
        <v/>
      </c>
      <c r="BY399" s="518" t="str">
        <f>IF(AND(_A5="B-767-300",'2025'!$N$4="FO",'2025'!$N$2=BY385),'2025DATA'!$F$16,"")</f>
        <v/>
      </c>
      <c r="BZ399" s="518" t="str">
        <f>IF(AND(_A5="B-767-300",'2025'!$N$4="FO",'2025'!$N$2=BZ385),'2025DATA'!$G$16,"")</f>
        <v/>
      </c>
      <c r="CA399" s="518" t="str">
        <f>IF(AND(_A5="B-767-300",'2025'!$N$4="FO",'2025'!$N$2=CA385),'2025DATA'!$H$16,"")</f>
        <v/>
      </c>
      <c r="CB399" s="518" t="str">
        <f>IF(AND(_A5="B-767-300",'2025'!$N$4="FO",'2025'!$N$2=CB385),'2025DATA'!$I$16,"")</f>
        <v/>
      </c>
      <c r="CC399" s="518" t="str">
        <f>IF(AND(_A5="B-767-300",'2025'!$N$4="FO",'2025'!$N$2=CC385),'2025DATA'!$J$16,"")</f>
        <v/>
      </c>
      <c r="CD399" s="518" t="str">
        <f>IF(AND(_A5="B-767-300",'2025'!$N$4="FO",'2025'!$N$2=CD385),'2025DATA'!$K$16,"")</f>
        <v/>
      </c>
      <c r="CE399" s="518" t="str">
        <f>IF(AND(_A5="B-767-300",'2025'!$N$4="FO",'2025'!$N$2=CE385),'2025DATA'!$L$16,"")</f>
        <v/>
      </c>
      <c r="CF399" s="518" t="str">
        <f>IF(AND(_A5="B-767-300",'2025'!$N$4="FO",'2025'!$N$2=CF385),'2025DATA'!$M$16,"")</f>
        <v/>
      </c>
      <c r="CG399" s="520" t="str">
        <f>IF(AND(_A5="B-767-300",'2025'!$N$4="FO",'2025'!$N$2=CG385),'2025DATA'!$N$16,"")</f>
        <v/>
      </c>
      <c r="CH399" s="940"/>
      <c r="CI399" s="13" t="s">
        <v>62</v>
      </c>
      <c r="CJ399" s="518" t="str">
        <f>IF(AND(_A6="B-767-300",'2025'!$N$4="FO",'2025'!$N$2=CJ385),'2025DATA'!$C$16,"")</f>
        <v/>
      </c>
      <c r="CK399" s="518" t="str">
        <f>IF(AND(_A6="B-767-300",'2025'!$N$4="FO",'2025'!$N$2=CK385),'2025DATA'!$D$16,"")</f>
        <v/>
      </c>
      <c r="CL399" s="518" t="str">
        <f>IF(AND(_A6="B-767-300",'2025'!$N$4="FO",'2025'!$N$2=CL385),'2025DATA'!$E$16,"")</f>
        <v/>
      </c>
      <c r="CM399" s="518" t="str">
        <f>IF(AND(_A6="B-767-300",'2025'!$N$4="FO",'2025'!$N$2=CM385),'2025DATA'!$F$16,"")</f>
        <v/>
      </c>
      <c r="CN399" s="518" t="str">
        <f>IF(AND(_A6="B-767-300",'2025'!$N$4="FO",'2025'!$N$2=CN385),'2025DATA'!$G$16,"")</f>
        <v/>
      </c>
      <c r="CO399" s="518" t="str">
        <f>IF(AND(_A6="B-767-300",'2025'!$N$4="FO",'2025'!$N$2=CO385),'2025DATA'!$H$16,"")</f>
        <v/>
      </c>
      <c r="CP399" s="518" t="str">
        <f>IF(AND(_A6="B-767-300",'2025'!$N$4="FO",'2025'!$N$2=CP385),'2025DATA'!$I$16,"")</f>
        <v/>
      </c>
      <c r="CQ399" s="518" t="str">
        <f>IF(AND(_A6="B-767-300",'2025'!$N$4="FO",'2025'!$N$2=CQ385),'2025DATA'!$J$16,"")</f>
        <v/>
      </c>
      <c r="CR399" s="518" t="str">
        <f>IF(AND(_A6="B-767-300",'2025'!$N$4="FO",'2025'!$N$2=CR385),'2025DATA'!$K$16,"")</f>
        <v/>
      </c>
      <c r="CS399" s="518" t="str">
        <f>IF(AND(_A6="B-767-300",'2025'!$N$4="FO",'2025'!$N$2=CS385),'2025DATA'!$L$16,"")</f>
        <v/>
      </c>
      <c r="CT399" s="518" t="str">
        <f>IF(AND(_A6="B-767-300",'2025'!$N$4="FO",'2025'!$N$2=CT385),'2025DATA'!$M$16,"")</f>
        <v/>
      </c>
      <c r="CU399" s="520" t="str">
        <f>IF(AND(_A6="B-767-300",'2025'!$N$4="FO",'2025'!$N$2=CU385),'2025DATA'!$N$16,"")</f>
        <v/>
      </c>
    </row>
    <row r="400" spans="16:99" x14ac:dyDescent="0.25">
      <c r="P400" s="940" t="s">
        <v>68</v>
      </c>
      <c r="Q400" s="13" t="s">
        <v>61</v>
      </c>
      <c r="R400" s="518" t="str">
        <f>IF(AND(_A1="B-767-200",'2025'!$N$4="CA",'2025'!$N$2=R385),'2025DATA'!$C$17,"")</f>
        <v/>
      </c>
      <c r="S400" s="518" t="str">
        <f>IF(AND(_A1="B-767-200",'2025'!$N$4="CA",'2025'!$N$2=S385),'2025DATA'!$D$17,"")</f>
        <v/>
      </c>
      <c r="T400" s="518" t="str">
        <f>IF(AND(_A1="B-767-200",'2025'!$N$4="CA",'2025'!$N$2=T385),'2025DATA'!$E$17,"")</f>
        <v/>
      </c>
      <c r="U400" s="518" t="str">
        <f>IF(AND(_A1="B-767-200",'2025'!$N$4="CA",'2025'!$N$2=U385),'2025DATA'!$F$17,"")</f>
        <v/>
      </c>
      <c r="V400" s="518" t="str">
        <f>IF(AND(_A1="B-767-200",'2025'!$N$4="CA",'2025'!$N$2=V385),'2025DATA'!$G$17,"")</f>
        <v/>
      </c>
      <c r="W400" s="518" t="str">
        <f>IF(AND(_A1="B-767-200",'2025'!$N$4="CA",'2025'!$N$2=W385),'2025DATA'!$H$17,"")</f>
        <v/>
      </c>
      <c r="X400" s="518" t="str">
        <f>IF(AND(_A1="B-767-200",'2025'!$N$4="CA",'2025'!$N$2=X385),'2025DATA'!$I$17,"")</f>
        <v/>
      </c>
      <c r="Y400" s="518" t="str">
        <f>IF(AND(_A1="B-767-200",'2025'!$N$4="CA",'2025'!$N$2=Y385),'2025DATA'!$J$17,"")</f>
        <v/>
      </c>
      <c r="Z400" s="518" t="str">
        <f>IF(AND(_A1="B-767-200",'2025'!$N$4="CA",'2025'!$N$2=Z385),'2025DATA'!$K$17,"")</f>
        <v/>
      </c>
      <c r="AA400" s="518" t="str">
        <f>IF(AND(_A1="B-767-200",'2025'!$N$4="CA",'2025'!$N$2=AA385),'2025DATA'!$L$17,"")</f>
        <v/>
      </c>
      <c r="AB400" s="518" t="str">
        <f>IF(AND(_A1="B-767-200",'2025'!$N$4="CA",'2025'!$N$2=AB385),'2025DATA'!$M$17,"")</f>
        <v/>
      </c>
      <c r="AC400" s="520" t="str">
        <f>IF(AND(_A1="B-767-200",'2025'!$N$4="CA",'2025'!$N$2=AC385),'2025DATA'!$N$17,"")</f>
        <v/>
      </c>
      <c r="AD400" s="940" t="s">
        <v>68</v>
      </c>
      <c r="AE400" s="13" t="s">
        <v>61</v>
      </c>
      <c r="AF400" s="518" t="str">
        <f>IF(AND(_A2="B-767-200",'2025'!$N$4="CA",'2025'!$N$2=AF385),'2025DATA'!$C$17,"")</f>
        <v/>
      </c>
      <c r="AG400" s="518" t="str">
        <f>IF(AND(_A2="B-767-200",'2025'!$N$4="CA",'2025'!$N$2=AG385),'2025DATA'!$D$17,"")</f>
        <v/>
      </c>
      <c r="AH400" s="518" t="str">
        <f>IF(AND(_A2="B-767-200",'2025'!$N$4="CA",'2025'!$N$2=AH385),'2025DATA'!$E$17,"")</f>
        <v/>
      </c>
      <c r="AI400" s="518" t="str">
        <f>IF(AND(_A2="B-767-200",'2025'!$N$4="CA",'2025'!$N$2=AI385),'2025DATA'!$F$17,"")</f>
        <v/>
      </c>
      <c r="AJ400" s="518" t="str">
        <f>IF(AND(_A2="B-767-200",'2025'!$N$4="CA",'2025'!$N$2=AJ385),'2025DATA'!$G$17,"")</f>
        <v/>
      </c>
      <c r="AK400" s="518" t="str">
        <f>IF(AND(_A2="B-767-200",'2025'!$N$4="CA",'2025'!$N$2=AK385),'2025DATA'!$H$17,"")</f>
        <v/>
      </c>
      <c r="AL400" s="518" t="str">
        <f>IF(AND(_A2="B-767-200",'2025'!$N$4="CA",'2025'!$N$2=AL385),'2025DATA'!$I$17,"")</f>
        <v/>
      </c>
      <c r="AM400" s="518" t="str">
        <f>IF(AND(_A2="B-767-200",'2025'!$N$4="CA",'2025'!$N$2=AM385),'2025DATA'!$J$17,"")</f>
        <v/>
      </c>
      <c r="AN400" s="518" t="str">
        <f>IF(AND(_A2="B-767-200",'2025'!$N$4="CA",'2025'!$N$2=AN385),'2025DATA'!$K$17,"")</f>
        <v/>
      </c>
      <c r="AO400" s="518" t="str">
        <f>IF(AND(_A2="B-767-200",'2025'!$N$4="CA",'2025'!$N$2=AO385),'2025DATA'!$L$17,"")</f>
        <v/>
      </c>
      <c r="AP400" s="518" t="str">
        <f>IF(AND(_A2="B-767-200",'2025'!$N$4="CA",'2025'!$N$2=AP385),'2025DATA'!$M$17,"")</f>
        <v/>
      </c>
      <c r="AQ400" s="520" t="str">
        <f>IF(AND(_A2="B-767-200",'2025'!$N$4="CA",'2025'!$N$2=AQ385),'2025DATA'!$N$17,"")</f>
        <v/>
      </c>
      <c r="AR400" s="940" t="s">
        <v>68</v>
      </c>
      <c r="AS400" s="13" t="s">
        <v>61</v>
      </c>
      <c r="AT400" s="518" t="str">
        <f>IF(AND(_A3="B-767-200",'2025'!$N$4="CA",'2025'!$N$2=AT385),'2025DATA'!$C$17,"")</f>
        <v/>
      </c>
      <c r="AU400" s="518" t="str">
        <f>IF(AND(_A3="B-767-200",'2025'!$N$4="CA",'2025'!$N$2=AU385),'2025DATA'!$D$17,"")</f>
        <v/>
      </c>
      <c r="AV400" s="518" t="str">
        <f>IF(AND(_A3="B-767-200",'2025'!$N$4="CA",'2025'!$N$2=AV385),'2025DATA'!$E$17,"")</f>
        <v/>
      </c>
      <c r="AW400" s="518" t="str">
        <f>IF(AND(_A3="B-767-200",'2025'!$N$4="CA",'2025'!$N$2=AW385),'2025DATA'!$F$17,"")</f>
        <v/>
      </c>
      <c r="AX400" s="518" t="str">
        <f>IF(AND(_A3="B-767-200",'2025'!$N$4="CA",'2025'!$N$2=AX385),'2025DATA'!$G$17,"")</f>
        <v/>
      </c>
      <c r="AY400" s="518" t="str">
        <f>IF(AND(_A3="B-767-200",'2025'!$N$4="CA",'2025'!$N$2=AY385),'2025DATA'!$H$17,"")</f>
        <v/>
      </c>
      <c r="AZ400" s="518" t="str">
        <f>IF(AND(_A3="B-767-200",'2025'!$N$4="CA",'2025'!$N$2=AZ385),'2025DATA'!$I$17,"")</f>
        <v/>
      </c>
      <c r="BA400" s="518" t="str">
        <f>IF(AND(_A3="B-767-200",'2025'!$N$4="CA",'2025'!$N$2=BA385),'2025DATA'!$J$17,"")</f>
        <v/>
      </c>
      <c r="BB400" s="518" t="str">
        <f>IF(AND(_A3="B-767-200",'2025'!$N$4="CA",'2025'!$N$2=BB385),'2025DATA'!$K$17,"")</f>
        <v/>
      </c>
      <c r="BC400" s="518" t="str">
        <f>IF(AND(_A3="B-767-200",'2025'!$N$4="CA",'2025'!$N$2=BC385),'2025DATA'!$L$17,"")</f>
        <v/>
      </c>
      <c r="BD400" s="518" t="str">
        <f>IF(AND(_A3="B-767-200",'2025'!$N$4="CA",'2025'!$N$2=BD385),'2025DATA'!$M$17,"")</f>
        <v/>
      </c>
      <c r="BE400" s="520" t="str">
        <f>IF(AND(_A3="B-767-200",'2025'!$N$4="CA",'2025'!$N$2=BE385),'2025DATA'!$N$17,"")</f>
        <v/>
      </c>
      <c r="BF400" s="940" t="s">
        <v>68</v>
      </c>
      <c r="BG400" s="13" t="s">
        <v>61</v>
      </c>
      <c r="BH400" s="518" t="str">
        <f>IF(AND(_A4="B-767-200",'2025'!$N$4="CA",'2025'!$N$2=BH385),'2025DATA'!$C$17,"")</f>
        <v/>
      </c>
      <c r="BI400" s="518" t="str">
        <f>IF(AND(_A4="B-767-200",'2025'!$N$4="CA",'2025'!$N$2=BI385),'2025DATA'!$D$17,"")</f>
        <v/>
      </c>
      <c r="BJ400" s="518" t="str">
        <f>IF(AND(_A4="B-767-200",'2025'!$N$4="CA",'2025'!$N$2=BJ385),'2025DATA'!$E$17,"")</f>
        <v/>
      </c>
      <c r="BK400" s="518" t="str">
        <f>IF(AND(_A4="B-767-200",'2025'!$N$4="CA",'2025'!$N$2=BK385),'2025DATA'!$F$17,"")</f>
        <v/>
      </c>
      <c r="BL400" s="518" t="str">
        <f>IF(AND(_A4="B-767-200",'2025'!$N$4="CA",'2025'!$N$2=BL385),'2025DATA'!$G$17,"")</f>
        <v/>
      </c>
      <c r="BM400" s="518" t="str">
        <f>IF(AND(_A4="B-767-200",'2025'!$N$4="CA",'2025'!$N$2=BM385),'2025DATA'!$H$17,"")</f>
        <v/>
      </c>
      <c r="BN400" s="518" t="str">
        <f>IF(AND(_A4="B-767-200",'2025'!$N$4="CA",'2025'!$N$2=BN385),'2025DATA'!$I$17,"")</f>
        <v/>
      </c>
      <c r="BO400" s="518" t="str">
        <f>IF(AND(_A4="B-767-200",'2025'!$N$4="CA",'2025'!$N$2=BO385),'2025DATA'!$J$17,"")</f>
        <v/>
      </c>
      <c r="BP400" s="518" t="str">
        <f>IF(AND(_A4="B-767-200",'2025'!$N$4="CA",'2025'!$N$2=BP385),'2025DATA'!$K$17,"")</f>
        <v/>
      </c>
      <c r="BQ400" s="518" t="str">
        <f>IF(AND(_A4="B-767-200",'2025'!$N$4="CA",'2025'!$N$2=BQ385),'2025DATA'!$L$17,"")</f>
        <v/>
      </c>
      <c r="BR400" s="518" t="str">
        <f>IF(AND(_A4="B-767-200",'2025'!$N$4="CA",'2025'!$N$2=BR385),'2025DATA'!$M$17,"")</f>
        <v/>
      </c>
      <c r="BS400" s="520" t="str">
        <f>IF(AND(_A4="B-767-200",'2025'!$N$4="CA",'2025'!$N$2=BS385),'2025DATA'!$N$17,"")</f>
        <v/>
      </c>
      <c r="BT400" s="940" t="s">
        <v>68</v>
      </c>
      <c r="BU400" s="13" t="s">
        <v>61</v>
      </c>
      <c r="BV400" s="518" t="str">
        <f>IF(AND(_A5="B-767-200",'2025'!$N$4="CA",'2025'!$N$2=BV385),'2025DATA'!$C$17,"")</f>
        <v/>
      </c>
      <c r="BW400" s="518" t="str">
        <f>IF(AND(_A5="B-767-200",'2025'!$N$4="CA",'2025'!$N$2=BW385),'2025DATA'!$D$17,"")</f>
        <v/>
      </c>
      <c r="BX400" s="518" t="str">
        <f>IF(AND(_A5="B-767-200",'2025'!$N$4="CA",'2025'!$N$2=BX385),'2025DATA'!$E$17,"")</f>
        <v/>
      </c>
      <c r="BY400" s="518" t="str">
        <f>IF(AND(_A5="B-767-200",'2025'!$N$4="CA",'2025'!$N$2=BY385),'2025DATA'!$F$17,"")</f>
        <v/>
      </c>
      <c r="BZ400" s="518" t="str">
        <f>IF(AND(_A5="B-767-200",'2025'!$N$4="CA",'2025'!$N$2=BZ385),'2025DATA'!$G$17,"")</f>
        <v/>
      </c>
      <c r="CA400" s="518" t="str">
        <f>IF(AND(_A5="B-767-200",'2025'!$N$4="CA",'2025'!$N$2=CA385),'2025DATA'!$H$17,"")</f>
        <v/>
      </c>
      <c r="CB400" s="518" t="str">
        <f>IF(AND(_A5="B-767-200",'2025'!$N$4="CA",'2025'!$N$2=CB385),'2025DATA'!$I$17,"")</f>
        <v/>
      </c>
      <c r="CC400" s="518" t="str">
        <f>IF(AND(_A5="B-767-200",'2025'!$N$4="CA",'2025'!$N$2=CC385),'2025DATA'!$J$17,"")</f>
        <v/>
      </c>
      <c r="CD400" s="518" t="str">
        <f>IF(AND(_A5="B-767-200",'2025'!$N$4="CA",'2025'!$N$2=CD385),'2025DATA'!$K$17,"")</f>
        <v/>
      </c>
      <c r="CE400" s="518" t="str">
        <f>IF(AND(_A5="B-767-200",'2025'!$N$4="CA",'2025'!$N$2=CE385),'2025DATA'!$L$17,"")</f>
        <v/>
      </c>
      <c r="CF400" s="518" t="str">
        <f>IF(AND(_A5="B-767-200",'2025'!$N$4="CA",'2025'!$N$2=CF385),'2025DATA'!$M$17,"")</f>
        <v/>
      </c>
      <c r="CG400" s="520" t="str">
        <f>IF(AND(_A5="B-767-200",'2025'!$N$4="CA",'2025'!$N$2=CG385),'2025DATA'!$N$17,"")</f>
        <v/>
      </c>
      <c r="CH400" s="940" t="s">
        <v>68</v>
      </c>
      <c r="CI400" s="13" t="s">
        <v>61</v>
      </c>
      <c r="CJ400" s="518" t="str">
        <f>IF(AND(_A6="B-767-200",'2025'!$N$4="CA",'2025'!$N$2=CJ385),'2025DATA'!$C$17,"")</f>
        <v/>
      </c>
      <c r="CK400" s="518" t="str">
        <f>IF(AND(_A6="B-767-200",'2025'!$N$4="CA",'2025'!$N$2=CK385),'2025DATA'!$D$17,"")</f>
        <v/>
      </c>
      <c r="CL400" s="518" t="str">
        <f>IF(AND(_A6="B-767-200",'2025'!$N$4="CA",'2025'!$N$2=CL385),'2025DATA'!$E$17,"")</f>
        <v/>
      </c>
      <c r="CM400" s="518" t="str">
        <f>IF(AND(_A6="B-767-200",'2025'!$N$4="CA",'2025'!$N$2=CM385),'2025DATA'!$F$17,"")</f>
        <v/>
      </c>
      <c r="CN400" s="518" t="str">
        <f>IF(AND(_A6="B-767-200",'2025'!$N$4="CA",'2025'!$N$2=CN385),'2025DATA'!$G$17,"")</f>
        <v/>
      </c>
      <c r="CO400" s="518" t="str">
        <f>IF(AND(_A6="B-767-200",'2025'!$N$4="CA",'2025'!$N$2=CO385),'2025DATA'!$H$17,"")</f>
        <v/>
      </c>
      <c r="CP400" s="518" t="str">
        <f>IF(AND(_A6="B-767-200",'2025'!$N$4="CA",'2025'!$N$2=CP385),'2025DATA'!$I$17,"")</f>
        <v/>
      </c>
      <c r="CQ400" s="518" t="str">
        <f>IF(AND(_A6="B-767-200",'2025'!$N$4="CA",'2025'!$N$2=CQ385),'2025DATA'!$J$17,"")</f>
        <v/>
      </c>
      <c r="CR400" s="518" t="str">
        <f>IF(AND(_A6="B-767-200",'2025'!$N$4="CA",'2025'!$N$2=CR385),'2025DATA'!$K$17,"")</f>
        <v/>
      </c>
      <c r="CS400" s="518" t="str">
        <f>IF(AND(_A6="B-767-200",'2025'!$N$4="CA",'2025'!$N$2=CS385),'2025DATA'!$L$17,"")</f>
        <v/>
      </c>
      <c r="CT400" s="518" t="str">
        <f>IF(AND(_A6="B-767-200",'2025'!$N$4="CA",'2025'!$N$2=CT385),'2025DATA'!$M$17,"")</f>
        <v/>
      </c>
      <c r="CU400" s="520" t="str">
        <f>IF(AND(_A6="B-767-200",'2025'!$N$4="CA",'2025'!$N$2=CU385),'2025DATA'!$N$17,"")</f>
        <v/>
      </c>
    </row>
    <row r="401" spans="16:99" x14ac:dyDescent="0.25">
      <c r="P401" s="940"/>
      <c r="Q401" s="13" t="s">
        <v>62</v>
      </c>
      <c r="R401" s="518" t="str">
        <f>IF(AND(_A1="B-767-200",'2025'!$N$4="FO",'2025'!$N$2=R385),'2025DATA'!$C$18,"")</f>
        <v/>
      </c>
      <c r="S401" s="518" t="str">
        <f>IF(AND(_A1="B-767-200",'2025'!$N$4="FO",'2025'!$N$2=S385),'2025DATA'!$D$18,"")</f>
        <v/>
      </c>
      <c r="T401" s="518" t="str">
        <f>IF(AND(_A1="B-767-200",'2025'!$N$4="FO",'2025'!$N$2=T385),'2025DATA'!$E$18,"")</f>
        <v/>
      </c>
      <c r="U401" s="518" t="str">
        <f>IF(AND(_A1="B-767-200",'2025'!$N$4="FO",'2025'!$N$2=U385),'2025DATA'!$F$18,"")</f>
        <v/>
      </c>
      <c r="V401" s="518" t="str">
        <f>IF(AND(_A1="B-767-200",'2025'!$N$4="FO",'2025'!$N$2=V385),'2025DATA'!$G$18,"")</f>
        <v/>
      </c>
      <c r="W401" s="518" t="str">
        <f>IF(AND(_A1="B-767-200",'2025'!$N$4="FO",'2025'!$N$2=W385),'2025DATA'!$H$18,"")</f>
        <v/>
      </c>
      <c r="X401" s="518" t="str">
        <f>IF(AND(_A1="B-767-200",'2025'!$N$4="FO",'2025'!$N$2=X385),'2025DATA'!$I$18,"")</f>
        <v/>
      </c>
      <c r="Y401" s="518" t="str">
        <f>IF(AND(_A1="B-767-200",'2025'!$N$4="FO",'2025'!$N$2=Y385),'2025DATA'!$J$18,"")</f>
        <v/>
      </c>
      <c r="Z401" s="518" t="str">
        <f>IF(AND(_A1="B-767-200",'2025'!$N$4="FO",'2025'!$N$2=Z385),'2025DATA'!$K$18,"")</f>
        <v/>
      </c>
      <c r="AA401" s="518" t="str">
        <f>IF(AND(_A1="B-767-200",'2025'!$N$4="FO",'2025'!$N$2=AA385),'2025DATA'!$L$18,"")</f>
        <v/>
      </c>
      <c r="AB401" s="518" t="str">
        <f>IF(AND(_A1="B-767-200",'2025'!$N$4="FO",'2025'!$N$2=AB385),'2025DATA'!$M$18,"")</f>
        <v/>
      </c>
      <c r="AC401" s="520" t="str">
        <f>IF(AND(_A1="B-767-200",'2025'!$N$4="FO",'2025'!$N$2=AC385),'2025DATA'!$N$18,"")</f>
        <v/>
      </c>
      <c r="AD401" s="940"/>
      <c r="AE401" s="13" t="s">
        <v>62</v>
      </c>
      <c r="AF401" s="518" t="str">
        <f>IF(AND(_A2="B-767-200",'2025'!$N$4="FO",'2025'!$N$2=AF385),'2025DATA'!$C$18,"")</f>
        <v/>
      </c>
      <c r="AG401" s="518" t="str">
        <f>IF(AND(_A2="B-767-200",'2025'!$N$4="FO",'2025'!$N$2=AG385),'2025DATA'!$D$18,"")</f>
        <v/>
      </c>
      <c r="AH401" s="518" t="str">
        <f>IF(AND(_A2="B-767-200",'2025'!$N$4="FO",'2025'!$N$2=AH385),'2025DATA'!$E$18,"")</f>
        <v/>
      </c>
      <c r="AI401" s="518" t="str">
        <f>IF(AND(_A2="B-767-200",'2025'!$N$4="FO",'2025'!$N$2=AI385),'2025DATA'!$F$18,"")</f>
        <v/>
      </c>
      <c r="AJ401" s="518" t="str">
        <f>IF(AND(_A2="B-767-200",'2025'!$N$4="FO",'2025'!$N$2=AJ385),'2025DATA'!$G$18,"")</f>
        <v/>
      </c>
      <c r="AK401" s="518" t="str">
        <f>IF(AND(_A2="B-767-200",'2025'!$N$4="FO",'2025'!$N$2=AK385),'2025DATA'!$H$18,"")</f>
        <v/>
      </c>
      <c r="AL401" s="518" t="str">
        <f>IF(AND(_A2="B-767-200",'2025'!$N$4="FO",'2025'!$N$2=AL385),'2025DATA'!$I$18,"")</f>
        <v/>
      </c>
      <c r="AM401" s="518" t="str">
        <f>IF(AND(_A2="B-767-200",'2025'!$N$4="FO",'2025'!$N$2=AM385),'2025DATA'!$J$18,"")</f>
        <v/>
      </c>
      <c r="AN401" s="518" t="str">
        <f>IF(AND(_A2="B-767-200",'2025'!$N$4="FO",'2025'!$N$2=AN385),'2025DATA'!$K$18,"")</f>
        <v/>
      </c>
      <c r="AO401" s="518" t="str">
        <f>IF(AND(_A2="B-767-200",'2025'!$N$4="FO",'2025'!$N$2=AO385),'2025DATA'!$L$18,"")</f>
        <v/>
      </c>
      <c r="AP401" s="518" t="str">
        <f>IF(AND(_A2="B-767-200",'2025'!$N$4="FO",'2025'!$N$2=AP385),'2025DATA'!$M$18,"")</f>
        <v/>
      </c>
      <c r="AQ401" s="520" t="str">
        <f>IF(AND(_A2="B-767-200",'2025'!$N$4="FO",'2025'!$N$2=AQ385),'2025DATA'!$N$18,"")</f>
        <v/>
      </c>
      <c r="AR401" s="940"/>
      <c r="AS401" s="13" t="s">
        <v>62</v>
      </c>
      <c r="AT401" s="518" t="str">
        <f>IF(AND(_A3="B-767-200",'2025'!$N$4="FO",'2025'!$N$2=AT385),'2025DATA'!$C$18,"")</f>
        <v/>
      </c>
      <c r="AU401" s="518" t="str">
        <f>IF(AND(_A3="B-767-200",'2025'!$N$4="FO",'2025'!$N$2=AU385),'2025DATA'!$D$18,"")</f>
        <v/>
      </c>
      <c r="AV401" s="518" t="str">
        <f>IF(AND(_A3="B-767-200",'2025'!$N$4="FO",'2025'!$N$2=AV385),'2025DATA'!$E$18,"")</f>
        <v/>
      </c>
      <c r="AW401" s="518" t="str">
        <f>IF(AND(_A3="B-767-200",'2025'!$N$4="FO",'2025'!$N$2=AW385),'2025DATA'!$F$18,"")</f>
        <v/>
      </c>
      <c r="AX401" s="518" t="str">
        <f>IF(AND(_A3="B-767-200",'2025'!$N$4="FO",'2025'!$N$2=AX385),'2025DATA'!$G$18,"")</f>
        <v/>
      </c>
      <c r="AY401" s="518" t="str">
        <f>IF(AND(_A3="B-767-200",'2025'!$N$4="FO",'2025'!$N$2=AY385),'2025DATA'!$H$18,"")</f>
        <v/>
      </c>
      <c r="AZ401" s="518" t="str">
        <f>IF(AND(_A3="B-767-200",'2025'!$N$4="FO",'2025'!$N$2=AZ385),'2025DATA'!$I$18,"")</f>
        <v/>
      </c>
      <c r="BA401" s="518" t="str">
        <f>IF(AND(_A3="B-767-200",'2025'!$N$4="FO",'2025'!$N$2=BA385),'2025DATA'!$J$18,"")</f>
        <v/>
      </c>
      <c r="BB401" s="518" t="str">
        <f>IF(AND(_A3="B-767-200",'2025'!$N$4="FO",'2025'!$N$2=BB385),'2025DATA'!$K$18,"")</f>
        <v/>
      </c>
      <c r="BC401" s="518" t="str">
        <f>IF(AND(_A3="B-767-200",'2025'!$N$4="FO",'2025'!$N$2=BC385),'2025DATA'!$L$18,"")</f>
        <v/>
      </c>
      <c r="BD401" s="518" t="str">
        <f>IF(AND(_A3="B-767-200",'2025'!$N$4="FO",'2025'!$N$2=BD385),'2025DATA'!$M$18,"")</f>
        <v/>
      </c>
      <c r="BE401" s="520" t="str">
        <f>IF(AND(_A3="B-767-200",'2025'!$N$4="FO",'2025'!$N$2=BE385),'2025DATA'!$N$18,"")</f>
        <v/>
      </c>
      <c r="BF401" s="940"/>
      <c r="BG401" s="13" t="s">
        <v>62</v>
      </c>
      <c r="BH401" s="518" t="str">
        <f>IF(AND(_A4="B-767-200",'2025'!$N$4="FO",'2025'!$N$2=BH385),'2025DATA'!$C$18,"")</f>
        <v/>
      </c>
      <c r="BI401" s="518" t="str">
        <f>IF(AND(_A4="B-767-200",'2025'!$N$4="FO",'2025'!$N$2=BI385),'2025DATA'!$D$18,"")</f>
        <v/>
      </c>
      <c r="BJ401" s="518" t="str">
        <f>IF(AND(_A4="B-767-200",'2025'!$N$4="FO",'2025'!$N$2=BJ385),'2025DATA'!$E$18,"")</f>
        <v/>
      </c>
      <c r="BK401" s="518" t="str">
        <f>IF(AND(_A4="B-767-200",'2025'!$N$4="FO",'2025'!$N$2=BK385),'2025DATA'!$F$18,"")</f>
        <v/>
      </c>
      <c r="BL401" s="518" t="str">
        <f>IF(AND(_A4="B-767-200",'2025'!$N$4="FO",'2025'!$N$2=BL385),'2025DATA'!$G$18,"")</f>
        <v/>
      </c>
      <c r="BM401" s="518" t="str">
        <f>IF(AND(_A4="B-767-200",'2025'!$N$4="FO",'2025'!$N$2=BM385),'2025DATA'!$H$18,"")</f>
        <v/>
      </c>
      <c r="BN401" s="518" t="str">
        <f>IF(AND(_A4="B-767-200",'2025'!$N$4="FO",'2025'!$N$2=BN385),'2025DATA'!$I$18,"")</f>
        <v/>
      </c>
      <c r="BO401" s="518" t="str">
        <f>IF(AND(_A4="B-767-200",'2025'!$N$4="FO",'2025'!$N$2=BO385),'2025DATA'!$J$18,"")</f>
        <v/>
      </c>
      <c r="BP401" s="518" t="str">
        <f>IF(AND(_A4="B-767-200",'2025'!$N$4="FO",'2025'!$N$2=BP385),'2025DATA'!$K$18,"")</f>
        <v/>
      </c>
      <c r="BQ401" s="518" t="str">
        <f>IF(AND(_A4="B-767-200",'2025'!$N$4="FO",'2025'!$N$2=BQ385),'2025DATA'!$L$18,"")</f>
        <v/>
      </c>
      <c r="BR401" s="518" t="str">
        <f>IF(AND(_A4="B-767-200",'2025'!$N$4="FO",'2025'!$N$2=BR385),'2025DATA'!$M$18,"")</f>
        <v/>
      </c>
      <c r="BS401" s="520" t="str">
        <f>IF(AND(_A4="B-767-200",'2025'!$N$4="FO",'2025'!$N$2=BS385),'2025DATA'!$N$18,"")</f>
        <v/>
      </c>
      <c r="BT401" s="940"/>
      <c r="BU401" s="13" t="s">
        <v>62</v>
      </c>
      <c r="BV401" s="518" t="str">
        <f>IF(AND(_A5="B-767-200",'2025'!$N$4="FO",'2025'!$N$2=BV385),'2025DATA'!$C$18,"")</f>
        <v/>
      </c>
      <c r="BW401" s="518" t="str">
        <f>IF(AND(_A5="B-767-200",'2025'!$N$4="FO",'2025'!$N$2=BW385),'2025DATA'!$D$18,"")</f>
        <v/>
      </c>
      <c r="BX401" s="518" t="str">
        <f>IF(AND(_A5="B-767-200",'2025'!$N$4="FO",'2025'!$N$2=BX385),'2025DATA'!$E$18,"")</f>
        <v/>
      </c>
      <c r="BY401" s="518" t="str">
        <f>IF(AND(_A5="B-767-200",'2025'!$N$4="FO",'2025'!$N$2=BY385),'2025DATA'!$F$18,"")</f>
        <v/>
      </c>
      <c r="BZ401" s="518" t="str">
        <f>IF(AND(_A5="B-767-200",'2025'!$N$4="FO",'2025'!$N$2=BZ385),'2025DATA'!$G$18,"")</f>
        <v/>
      </c>
      <c r="CA401" s="518" t="str">
        <f>IF(AND(_A5="B-767-200",'2025'!$N$4="FO",'2025'!$N$2=CA385),'2025DATA'!$H$18,"")</f>
        <v/>
      </c>
      <c r="CB401" s="518" t="str">
        <f>IF(AND(_A5="B-767-200",'2025'!$N$4="FO",'2025'!$N$2=CB385),'2025DATA'!$I$18,"")</f>
        <v/>
      </c>
      <c r="CC401" s="518" t="str">
        <f>IF(AND(_A5="B-767-200",'2025'!$N$4="FO",'2025'!$N$2=CC385),'2025DATA'!$J$18,"")</f>
        <v/>
      </c>
      <c r="CD401" s="518" t="str">
        <f>IF(AND(_A5="B-767-200",'2025'!$N$4="FO",'2025'!$N$2=CD385),'2025DATA'!$K$18,"")</f>
        <v/>
      </c>
      <c r="CE401" s="518" t="str">
        <f>IF(AND(_A5="B-767-200",'2025'!$N$4="FO",'2025'!$N$2=CE385),'2025DATA'!$L$18,"")</f>
        <v/>
      </c>
      <c r="CF401" s="518" t="str">
        <f>IF(AND(_A5="B-767-200",'2025'!$N$4="FO",'2025'!$N$2=CF385),'2025DATA'!$M$18,"")</f>
        <v/>
      </c>
      <c r="CG401" s="520" t="str">
        <f>IF(AND(_A5="B-767-200",'2025'!$N$4="FO",'2025'!$N$2=CG385),'2025DATA'!$N$18,"")</f>
        <v/>
      </c>
      <c r="CH401" s="940"/>
      <c r="CI401" s="13" t="s">
        <v>62</v>
      </c>
      <c r="CJ401" s="518" t="str">
        <f>IF(AND(_A6="B-767-200",'2025'!$N$4="FO",'2025'!$N$2=CJ385),'2025DATA'!$C$18,"")</f>
        <v/>
      </c>
      <c r="CK401" s="518" t="str">
        <f>IF(AND(_A6="B-767-200",'2025'!$N$4="FO",'2025'!$N$2=CK385),'2025DATA'!$D$18,"")</f>
        <v/>
      </c>
      <c r="CL401" s="518" t="str">
        <f>IF(AND(_A6="B-767-200",'2025'!$N$4="FO",'2025'!$N$2=CL385),'2025DATA'!$E$18,"")</f>
        <v/>
      </c>
      <c r="CM401" s="518" t="str">
        <f>IF(AND(_A6="B-767-200",'2025'!$N$4="FO",'2025'!$N$2=CM385),'2025DATA'!$F$18,"")</f>
        <v/>
      </c>
      <c r="CN401" s="518" t="str">
        <f>IF(AND(_A6="B-767-200",'2025'!$N$4="FO",'2025'!$N$2=CN385),'2025DATA'!$G$18,"")</f>
        <v/>
      </c>
      <c r="CO401" s="518" t="str">
        <f>IF(AND(_A6="B-767-200",'2025'!$N$4="FO",'2025'!$N$2=CO385),'2025DATA'!$H$18,"")</f>
        <v/>
      </c>
      <c r="CP401" s="518" t="str">
        <f>IF(AND(_A6="B-767-200",'2025'!$N$4="FO",'2025'!$N$2=CP385),'2025DATA'!$I$18,"")</f>
        <v/>
      </c>
      <c r="CQ401" s="518" t="str">
        <f>IF(AND(_A6="B-767-200",'2025'!$N$4="FO",'2025'!$N$2=CQ385),'2025DATA'!$J$18,"")</f>
        <v/>
      </c>
      <c r="CR401" s="518" t="str">
        <f>IF(AND(_A6="B-767-200",'2025'!$N$4="FO",'2025'!$N$2=CR385),'2025DATA'!$K$18,"")</f>
        <v/>
      </c>
      <c r="CS401" s="518" t="str">
        <f>IF(AND(_A6="B-767-200",'2025'!$N$4="FO",'2025'!$N$2=CS385),'2025DATA'!$L$18,"")</f>
        <v/>
      </c>
      <c r="CT401" s="518" t="str">
        <f>IF(AND(_A6="B-767-200",'2025'!$N$4="FO",'2025'!$N$2=CT385),'2025DATA'!$M$18,"")</f>
        <v/>
      </c>
      <c r="CU401" s="520" t="str">
        <f>IF(AND(_A6="B-767-200",'2025'!$N$4="FO",'2025'!$N$2=CU385),'2025DATA'!$N$18,"")</f>
        <v/>
      </c>
    </row>
    <row r="402" spans="16:99" x14ac:dyDescent="0.25">
      <c r="P402" s="940" t="s">
        <v>45</v>
      </c>
      <c r="Q402" s="13" t="s">
        <v>61</v>
      </c>
      <c r="R402" s="518" t="str">
        <f>IF(AND(_A1="B-757",'2025'!$N$4="CA",'2025'!$N$2=R385),'2025DATA'!$C$19,"")</f>
        <v/>
      </c>
      <c r="S402" s="518" t="str">
        <f>IF(AND(_A1="B-757",'2025'!$N$4="CA",'2025'!$N$2=S385),'2025DATA'!$D$19,"")</f>
        <v/>
      </c>
      <c r="T402" s="518" t="str">
        <f>IF(AND(_A1="B-757",'2025'!$N$4="CA",'2025'!$N$2=T385),'2025DATA'!$E$19,"")</f>
        <v/>
      </c>
      <c r="U402" s="518" t="str">
        <f>IF(AND(_A1="B-757",'2025'!$N$4="CA",'2025'!$N$2=U385),'2025DATA'!$F$19,"")</f>
        <v/>
      </c>
      <c r="V402" s="518" t="str">
        <f>IF(AND(_A1="B-757",'2025'!$N$4="CA",'2025'!$N$2=V385),'2025DATA'!$G$19,"")</f>
        <v/>
      </c>
      <c r="W402" s="518" t="str">
        <f>IF(AND(_A1="B-757",'2025'!$N$4="CA",'2025'!$N$2=W385),'2025DATA'!$H$19,"")</f>
        <v/>
      </c>
      <c r="X402" s="518" t="str">
        <f>IF(AND(_A1="B-757",'2025'!$N$4="CA",'2025'!$N$2=X385),'2025DATA'!$I$19,"")</f>
        <v/>
      </c>
      <c r="Y402" s="518" t="str">
        <f>IF(AND(_A1="B-757",'2025'!$N$4="CA",'2025'!$N$2=Y385),'2025DATA'!$J$19,"")</f>
        <v/>
      </c>
      <c r="Z402" s="518" t="str">
        <f>IF(AND(_A1="B-757",'2025'!$N$4="CA",'2025'!$N$2=Z385),'2025DATA'!$K$19,"")</f>
        <v/>
      </c>
      <c r="AA402" s="518" t="str">
        <f>IF(AND(_A1="B-757",'2025'!$N$4="CA",'2025'!$N$2=AA385),'2025DATA'!$L$19,"")</f>
        <v/>
      </c>
      <c r="AB402" s="518" t="str">
        <f>IF(AND(_A1="B-757",'2025'!$N$4="CA",'2025'!$N$2=AB385),'2025DATA'!$M$19,"")</f>
        <v/>
      </c>
      <c r="AC402" s="520" t="str">
        <f>IF(AND(_A1="B-757",'2025'!$N$4="CA",'2025'!$N$2=AC385),'2025DATA'!$N$19,"")</f>
        <v/>
      </c>
      <c r="AD402" s="940" t="s">
        <v>45</v>
      </c>
      <c r="AE402" s="13" t="s">
        <v>61</v>
      </c>
      <c r="AF402" s="518" t="str">
        <f>IF(AND(_A2="B-757",'2025'!$N$4="CA",'2025'!$N$2=AF385),'2025DATA'!$C$19,"")</f>
        <v/>
      </c>
      <c r="AG402" s="518" t="str">
        <f>IF(AND(_A2="B-757",'2025'!$N$4="CA",'2025'!$N$2=AG385),'2025DATA'!$D$19,"")</f>
        <v/>
      </c>
      <c r="AH402" s="518" t="str">
        <f>IF(AND(_A2="B-757",'2025'!$N$4="CA",'2025'!$N$2=AH385),'2025DATA'!$E$19,"")</f>
        <v/>
      </c>
      <c r="AI402" s="518" t="str">
        <f>IF(AND(_A2="B-757",'2025'!$N$4="CA",'2025'!$N$2=AI385),'2025DATA'!$F$19,"")</f>
        <v/>
      </c>
      <c r="AJ402" s="518" t="str">
        <f>IF(AND(_A2="B-757",'2025'!$N$4="CA",'2025'!$N$2=AJ385),'2025DATA'!$G$19,"")</f>
        <v/>
      </c>
      <c r="AK402" s="518" t="str">
        <f>IF(AND(_A2="B-757",'2025'!$N$4="CA",'2025'!$N$2=AK385),'2025DATA'!$H$19,"")</f>
        <v/>
      </c>
      <c r="AL402" s="518" t="str">
        <f>IF(AND(_A2="B-757",'2025'!$N$4="CA",'2025'!$N$2=AL385),'2025DATA'!$I$19,"")</f>
        <v/>
      </c>
      <c r="AM402" s="518" t="str">
        <f>IF(AND(_A2="B-757",'2025'!$N$4="CA",'2025'!$N$2=AM385),'2025DATA'!$J$19,"")</f>
        <v/>
      </c>
      <c r="AN402" s="518" t="str">
        <f>IF(AND(_A2="B-757",'2025'!$N$4="CA",'2025'!$N$2=AN385),'2025DATA'!$K$19,"")</f>
        <v/>
      </c>
      <c r="AO402" s="518" t="str">
        <f>IF(AND(_A2="B-757",'2025'!$N$4="CA",'2025'!$N$2=AO385),'2025DATA'!$L$19,"")</f>
        <v/>
      </c>
      <c r="AP402" s="518" t="str">
        <f>IF(AND(_A2="B-757",'2025'!$N$4="CA",'2025'!$N$2=AP385),'2025DATA'!$M$19,"")</f>
        <v/>
      </c>
      <c r="AQ402" s="520" t="str">
        <f>IF(AND(_A2="B-757",'2025'!$N$4="CA",'2025'!$N$2=AQ385),'2025DATA'!$N$19,"")</f>
        <v/>
      </c>
      <c r="AR402" s="940" t="s">
        <v>45</v>
      </c>
      <c r="AS402" s="13" t="s">
        <v>61</v>
      </c>
      <c r="AT402" s="518" t="str">
        <f>IF(AND(_A3="B-757",'2025'!$N$4="CA",'2025'!$N$2=AT385),'2025DATA'!$C$19,"")</f>
        <v/>
      </c>
      <c r="AU402" s="518" t="str">
        <f>IF(AND(_A3="B-757",'2025'!$N$4="CA",'2025'!$N$2=AU385),'2025DATA'!$D$19,"")</f>
        <v/>
      </c>
      <c r="AV402" s="518" t="str">
        <f>IF(AND(_A3="B-757",'2025'!$N$4="CA",'2025'!$N$2=AV385),'2025DATA'!$E$19,"")</f>
        <v/>
      </c>
      <c r="AW402" s="518" t="str">
        <f>IF(AND(_A3="B-757",'2025'!$N$4="CA",'2025'!$N$2=AW385),'2025DATA'!$F$19,"")</f>
        <v/>
      </c>
      <c r="AX402" s="518" t="str">
        <f>IF(AND(_A3="B-757",'2025'!$N$4="CA",'2025'!$N$2=AX385),'2025DATA'!$G$19,"")</f>
        <v/>
      </c>
      <c r="AY402" s="518" t="str">
        <f>IF(AND(_A3="B-757",'2025'!$N$4="CA",'2025'!$N$2=AY385),'2025DATA'!$H$19,"")</f>
        <v/>
      </c>
      <c r="AZ402" s="518" t="str">
        <f>IF(AND(_A3="B-757",'2025'!$N$4="CA",'2025'!$N$2=AZ385),'2025DATA'!$I$19,"")</f>
        <v/>
      </c>
      <c r="BA402" s="518" t="str">
        <f>IF(AND(_A3="B-757",'2025'!$N$4="CA",'2025'!$N$2=BA385),'2025DATA'!$J$19,"")</f>
        <v/>
      </c>
      <c r="BB402" s="518" t="str">
        <f>IF(AND(_A3="B-757",'2025'!$N$4="CA",'2025'!$N$2=BB385),'2025DATA'!$K$19,"")</f>
        <v/>
      </c>
      <c r="BC402" s="518" t="str">
        <f>IF(AND(_A3="B-757",'2025'!$N$4="CA",'2025'!$N$2=BC385),'2025DATA'!$L$19,"")</f>
        <v/>
      </c>
      <c r="BD402" s="518" t="str">
        <f>IF(AND(_A3="B-757",'2025'!$N$4="CA",'2025'!$N$2=BD385),'2025DATA'!$M$19,"")</f>
        <v/>
      </c>
      <c r="BE402" s="520" t="str">
        <f>IF(AND(_A3="B-757",'2025'!$N$4="CA",'2025'!$N$2=BE385),'2025DATA'!$N$19,"")</f>
        <v/>
      </c>
      <c r="BF402" s="940" t="s">
        <v>45</v>
      </c>
      <c r="BG402" s="13" t="s">
        <v>61</v>
      </c>
      <c r="BH402" s="518" t="str">
        <f>IF(AND(_A4="B-757",'2025'!$N$4="CA",'2025'!$N$2=BH385),'2025DATA'!$C$19,"")</f>
        <v/>
      </c>
      <c r="BI402" s="518" t="str">
        <f>IF(AND(_A4="B-757",'2025'!$N$4="CA",'2025'!$N$2=BI385),'2025DATA'!$D$19,"")</f>
        <v/>
      </c>
      <c r="BJ402" s="518" t="str">
        <f>IF(AND(_A4="B-757",'2025'!$N$4="CA",'2025'!$N$2=BJ385),'2025DATA'!$E$19,"")</f>
        <v/>
      </c>
      <c r="BK402" s="518" t="str">
        <f>IF(AND(_A4="B-757",'2025'!$N$4="CA",'2025'!$N$2=BK385),'2025DATA'!$F$19,"")</f>
        <v/>
      </c>
      <c r="BL402" s="518" t="str">
        <f>IF(AND(_A4="B-757",'2025'!$N$4="CA",'2025'!$N$2=BL385),'2025DATA'!$G$19,"")</f>
        <v/>
      </c>
      <c r="BM402" s="518" t="str">
        <f>IF(AND(_A4="B-757",'2025'!$N$4="CA",'2025'!$N$2=BM385),'2025DATA'!$H$19,"")</f>
        <v/>
      </c>
      <c r="BN402" s="518" t="str">
        <f>IF(AND(_A4="B-757",'2025'!$N$4="CA",'2025'!$N$2=BN385),'2025DATA'!$I$19,"")</f>
        <v/>
      </c>
      <c r="BO402" s="518" t="str">
        <f>IF(AND(_A4="B-757",'2025'!$N$4="CA",'2025'!$N$2=BO385),'2025DATA'!$J$19,"")</f>
        <v/>
      </c>
      <c r="BP402" s="518" t="str">
        <f>IF(AND(_A4="B-757",'2025'!$N$4="CA",'2025'!$N$2=BP385),'2025DATA'!$K$19,"")</f>
        <v/>
      </c>
      <c r="BQ402" s="518" t="str">
        <f>IF(AND(_A4="B-757",'2025'!$N$4="CA",'2025'!$N$2=BQ385),'2025DATA'!$L$19,"")</f>
        <v/>
      </c>
      <c r="BR402" s="518" t="str">
        <f>IF(AND(_A4="B-757",'2025'!$N$4="CA",'2025'!$N$2=BR385),'2025DATA'!$M$19,"")</f>
        <v/>
      </c>
      <c r="BS402" s="520" t="str">
        <f>IF(AND(_A4="B-757",'2025'!$N$4="CA",'2025'!$N$2=BS385),'2025DATA'!$N$19,"")</f>
        <v/>
      </c>
      <c r="BT402" s="940" t="s">
        <v>45</v>
      </c>
      <c r="BU402" s="13" t="s">
        <v>61</v>
      </c>
      <c r="BV402" s="518" t="str">
        <f>IF(AND(_A5="B-757",'2025'!$N$4="CA",'2025'!$N$2=BV385),'2025DATA'!$C$19,"")</f>
        <v/>
      </c>
      <c r="BW402" s="518" t="str">
        <f>IF(AND(_A5="B-757",'2025'!$N$4="CA",'2025'!$N$2=BW385),'2025DATA'!$D$19,"")</f>
        <v/>
      </c>
      <c r="BX402" s="518" t="str">
        <f>IF(AND(_A5="B-757",'2025'!$N$4="CA",'2025'!$N$2=BX385),'2025DATA'!$E$19,"")</f>
        <v/>
      </c>
      <c r="BY402" s="518" t="str">
        <f>IF(AND(_A5="B-757",'2025'!$N$4="CA",'2025'!$N$2=BY385),'2025DATA'!$F$19,"")</f>
        <v/>
      </c>
      <c r="BZ402" s="518" t="str">
        <f>IF(AND(_A5="B-757",'2025'!$N$4="CA",'2025'!$N$2=BZ385),'2025DATA'!$G$19,"")</f>
        <v/>
      </c>
      <c r="CA402" s="518" t="str">
        <f>IF(AND(_A5="B-757",'2025'!$N$4="CA",'2025'!$N$2=CA385),'2025DATA'!$H$19,"")</f>
        <v/>
      </c>
      <c r="CB402" s="518" t="str">
        <f>IF(AND(_A5="B-757",'2025'!$N$4="CA",'2025'!$N$2=CB385),'2025DATA'!$I$19,"")</f>
        <v/>
      </c>
      <c r="CC402" s="518" t="str">
        <f>IF(AND(_A5="B-757",'2025'!$N$4="CA",'2025'!$N$2=CC385),'2025DATA'!$J$19,"")</f>
        <v/>
      </c>
      <c r="CD402" s="518" t="str">
        <f>IF(AND(_A5="B-757",'2025'!$N$4="CA",'2025'!$N$2=CD385),'2025DATA'!$K$19,"")</f>
        <v/>
      </c>
      <c r="CE402" s="518" t="str">
        <f>IF(AND(_A5="B-757",'2025'!$N$4="CA",'2025'!$N$2=CE385),'2025DATA'!$L$19,"")</f>
        <v/>
      </c>
      <c r="CF402" s="518" t="str">
        <f>IF(AND(_A5="B-757",'2025'!$N$4="CA",'2025'!$N$2=CF385),'2025DATA'!$M$19,"")</f>
        <v/>
      </c>
      <c r="CG402" s="520" t="str">
        <f>IF(AND(_A5="B-757",'2025'!$N$4="CA",'2025'!$N$2=CG385),'2025DATA'!$N$19,"")</f>
        <v/>
      </c>
      <c r="CH402" s="940" t="s">
        <v>45</v>
      </c>
      <c r="CI402" s="13" t="s">
        <v>61</v>
      </c>
      <c r="CJ402" s="518" t="str">
        <f>IF(AND(_A6="B-757",'2025'!$N$4="CA",'2025'!$N$2=CJ385),'2025DATA'!$C$19,"")</f>
        <v/>
      </c>
      <c r="CK402" s="518" t="str">
        <f>IF(AND(_A6="B-757",'2025'!$N$4="CA",'2025'!$N$2=CK385),'2025DATA'!$D$19,"")</f>
        <v/>
      </c>
      <c r="CL402" s="518" t="str">
        <f>IF(AND(_A6="B-757",'2025'!$N$4="CA",'2025'!$N$2=CL385),'2025DATA'!$E$19,"")</f>
        <v/>
      </c>
      <c r="CM402" s="518" t="str">
        <f>IF(AND(_A6="B-757",'2025'!$N$4="CA",'2025'!$N$2=CM385),'2025DATA'!$F$19,"")</f>
        <v/>
      </c>
      <c r="CN402" s="518" t="str">
        <f>IF(AND(_A6="B-757",'2025'!$N$4="CA",'2025'!$N$2=CN385),'2025DATA'!$G$19,"")</f>
        <v/>
      </c>
      <c r="CO402" s="518" t="str">
        <f>IF(AND(_A6="B-757",'2025'!$N$4="CA",'2025'!$N$2=CO385),'2025DATA'!$H$19,"")</f>
        <v/>
      </c>
      <c r="CP402" s="518" t="str">
        <f>IF(AND(_A6="B-757",'2025'!$N$4="CA",'2025'!$N$2=CP385),'2025DATA'!$I$19,"")</f>
        <v/>
      </c>
      <c r="CQ402" s="518" t="str">
        <f>IF(AND(_A6="B-757",'2025'!$N$4="CA",'2025'!$N$2=CQ385),'2025DATA'!$J$19,"")</f>
        <v/>
      </c>
      <c r="CR402" s="518" t="str">
        <f>IF(AND(_A6="B-757",'2025'!$N$4="CA",'2025'!$N$2=CR385),'2025DATA'!$K$19,"")</f>
        <v/>
      </c>
      <c r="CS402" s="518" t="str">
        <f>IF(AND(_A6="B-757",'2025'!$N$4="CA",'2025'!$N$2=CS385),'2025DATA'!$L$19,"")</f>
        <v/>
      </c>
      <c r="CT402" s="518" t="str">
        <f>IF(AND(_A6="B-757",'2025'!$N$4="CA",'2025'!$N$2=CT385),'2025DATA'!$M$19,"")</f>
        <v/>
      </c>
      <c r="CU402" s="520" t="str">
        <f>IF(AND(_A6="B-757",'2025'!$N$4="CA",'2025'!$N$2=CU385),'2025DATA'!$N$19,"")</f>
        <v/>
      </c>
    </row>
    <row r="403" spans="16:99" x14ac:dyDescent="0.25">
      <c r="P403" s="940"/>
      <c r="Q403" s="13" t="s">
        <v>62</v>
      </c>
      <c r="R403" s="518" t="str">
        <f>IF(AND(_A1="B-757",'2025'!$N$4="FO",'2025'!$N$2=R385),'2025DATA'!$C$20,"")</f>
        <v/>
      </c>
      <c r="S403" s="518" t="str">
        <f>IF(AND(_A1="B-757",'2025'!$N$4="FO",'2025'!$N$2=S385),'2025DATA'!$D$20,"")</f>
        <v/>
      </c>
      <c r="T403" s="518" t="str">
        <f>IF(AND(_A1="B-757",'2025'!$N$4="FO",'2025'!$N$2=T385),'2025DATA'!$E$20,"")</f>
        <v/>
      </c>
      <c r="U403" s="518" t="str">
        <f>IF(AND(_A1="B-757",'2025'!$N$4="FO",'2025'!$N$2=U385),'2025DATA'!$F$20,"")</f>
        <v/>
      </c>
      <c r="V403" s="518" t="str">
        <f>IF(AND(_A1="B-757",'2025'!$N$4="FO",'2025'!$N$2=V385),'2025DATA'!$G$20,"")</f>
        <v/>
      </c>
      <c r="W403" s="518" t="str">
        <f>IF(AND(_A1="B-757",'2025'!$N$4="FO",'2025'!$N$2=W385),'2025DATA'!$H$20,"")</f>
        <v/>
      </c>
      <c r="X403" s="518" t="str">
        <f>IF(AND(_A1="B-757",'2025'!$N$4="FO",'2025'!$N$2=X385),'2025DATA'!$I$20,"")</f>
        <v/>
      </c>
      <c r="Y403" s="518" t="str">
        <f>IF(AND(_A1="B-757",'2025'!$N$4="FO",'2025'!$N$2=Y385),'2025DATA'!$J$20,"")</f>
        <v/>
      </c>
      <c r="Z403" s="518" t="str">
        <f>IF(AND(_A1="B-757",'2025'!$N$4="FO",'2025'!$N$2=Z385),'2025DATA'!$K$20,"")</f>
        <v/>
      </c>
      <c r="AA403" s="518" t="str">
        <f>IF(AND(_A1="B-757",'2025'!$N$4="FO",'2025'!$N$2=AA385),'2025DATA'!$L$20,"")</f>
        <v/>
      </c>
      <c r="AB403" s="518" t="str">
        <f>IF(AND(_A1="B-757",'2025'!$N$4="FO",'2025'!$N$2=AB385),'2025DATA'!$M$20,"")</f>
        <v/>
      </c>
      <c r="AC403" s="520" t="str">
        <f>IF(AND(_A1="B-757",'2025'!$N$4="FO",'2025'!$N$2=AC385),'2025DATA'!$N$20,"")</f>
        <v/>
      </c>
      <c r="AD403" s="940"/>
      <c r="AE403" s="13" t="s">
        <v>62</v>
      </c>
      <c r="AF403" s="518" t="str">
        <f>IF(AND(_A2="B-757",'2025'!$N$4="FO",'2025'!$N$2=AF385),'2025DATA'!$C$20,"")</f>
        <v/>
      </c>
      <c r="AG403" s="518" t="str">
        <f>IF(AND(_A2="B-757",'2025'!$N$4="FO",'2025'!$N$2=AG385),'2025DATA'!$D$20,"")</f>
        <v/>
      </c>
      <c r="AH403" s="518" t="str">
        <f>IF(AND(_A2="B-757",'2025'!$N$4="FO",'2025'!$N$2=AH385),'2025DATA'!$E$20,"")</f>
        <v/>
      </c>
      <c r="AI403" s="518" t="str">
        <f>IF(AND(_A2="B-757",'2025'!$N$4="FO",'2025'!$N$2=AI385),'2025DATA'!$F$20,"")</f>
        <v/>
      </c>
      <c r="AJ403" s="518" t="str">
        <f>IF(AND(_A2="B-757",'2025'!$N$4="FO",'2025'!$N$2=AJ385),'2025DATA'!$G$20,"")</f>
        <v/>
      </c>
      <c r="AK403" s="518" t="str">
        <f>IF(AND(_A2="B-757",'2025'!$N$4="FO",'2025'!$N$2=AK385),'2025DATA'!$H$20,"")</f>
        <v/>
      </c>
      <c r="AL403" s="518" t="str">
        <f>IF(AND(_A2="B-757",'2025'!$N$4="FO",'2025'!$N$2=AL385),'2025DATA'!$I$20,"")</f>
        <v/>
      </c>
      <c r="AM403" s="518" t="str">
        <f>IF(AND(_A2="B-757",'2025'!$N$4="FO",'2025'!$N$2=AM385),'2025DATA'!$J$20,"")</f>
        <v/>
      </c>
      <c r="AN403" s="518" t="str">
        <f>IF(AND(_A2="B-757",'2025'!$N$4="FO",'2025'!$N$2=AN385),'2025DATA'!$K$20,"")</f>
        <v/>
      </c>
      <c r="AO403" s="518" t="str">
        <f>IF(AND(_A2="B-757",'2025'!$N$4="FO",'2025'!$N$2=AO385),'2025DATA'!$L$20,"")</f>
        <v/>
      </c>
      <c r="AP403" s="518" t="str">
        <f>IF(AND(_A2="B-757",'2025'!$N$4="FO",'2025'!$N$2=AP385),'2025DATA'!$M$20,"")</f>
        <v/>
      </c>
      <c r="AQ403" s="520" t="str">
        <f>IF(AND(_A2="B-757",'2025'!$N$4="FO",'2025'!$N$2=AQ385),'2025DATA'!$N$20,"")</f>
        <v/>
      </c>
      <c r="AR403" s="940"/>
      <c r="AS403" s="13" t="s">
        <v>62</v>
      </c>
      <c r="AT403" s="518" t="str">
        <f>IF(AND(_A3="B-757",'2025'!$N$4="FO",'2025'!$N$2=AT385),'2025DATA'!$C$20,"")</f>
        <v/>
      </c>
      <c r="AU403" s="518" t="str">
        <f>IF(AND(_A3="B-757",'2025'!$N$4="FO",'2025'!$N$2=AU385),'2025DATA'!$D$20,"")</f>
        <v/>
      </c>
      <c r="AV403" s="518" t="str">
        <f>IF(AND(_A3="B-757",'2025'!$N$4="FO",'2025'!$N$2=AV385),'2025DATA'!$E$20,"")</f>
        <v/>
      </c>
      <c r="AW403" s="518" t="str">
        <f>IF(AND(_A3="B-757",'2025'!$N$4="FO",'2025'!$N$2=AW385),'2025DATA'!$F$20,"")</f>
        <v/>
      </c>
      <c r="AX403" s="518" t="str">
        <f>IF(AND(_A3="B-757",'2025'!$N$4="FO",'2025'!$N$2=AX385),'2025DATA'!$G$20,"")</f>
        <v/>
      </c>
      <c r="AY403" s="518" t="str">
        <f>IF(AND(_A3="B-757",'2025'!$N$4="FO",'2025'!$N$2=AY385),'2025DATA'!$H$20,"")</f>
        <v/>
      </c>
      <c r="AZ403" s="518" t="str">
        <f>IF(AND(_A3="B-757",'2025'!$N$4="FO",'2025'!$N$2=AZ385),'2025DATA'!$I$20,"")</f>
        <v/>
      </c>
      <c r="BA403" s="518" t="str">
        <f>IF(AND(_A3="B-757",'2025'!$N$4="FO",'2025'!$N$2=BA385),'2025DATA'!$J$20,"")</f>
        <v/>
      </c>
      <c r="BB403" s="518" t="str">
        <f>IF(AND(_A3="B-757",'2025'!$N$4="FO",'2025'!$N$2=BB385),'2025DATA'!$K$20,"")</f>
        <v/>
      </c>
      <c r="BC403" s="518" t="str">
        <f>IF(AND(_A3="B-757",'2025'!$N$4="FO",'2025'!$N$2=BC385),'2025DATA'!$L$20,"")</f>
        <v/>
      </c>
      <c r="BD403" s="518" t="str">
        <f>IF(AND(_A3="B-757",'2025'!$N$4="FO",'2025'!$N$2=BD385),'2025DATA'!$M$20,"")</f>
        <v/>
      </c>
      <c r="BE403" s="520" t="str">
        <f>IF(AND(_A3="B-757",'2025'!$N$4="FO",'2025'!$N$2=BE385),'2025DATA'!$N$20,"")</f>
        <v/>
      </c>
      <c r="BF403" s="940"/>
      <c r="BG403" s="13" t="s">
        <v>62</v>
      </c>
      <c r="BH403" s="518" t="str">
        <f>IF(AND(_A4="B-757",'2025'!$N$4="FO",'2025'!$N$2=BH385),'2025DATA'!$C$20,"")</f>
        <v/>
      </c>
      <c r="BI403" s="518" t="str">
        <f>IF(AND(_A4="B-757",'2025'!$N$4="FO",'2025'!$N$2=BI385),'2025DATA'!$D$20,"")</f>
        <v/>
      </c>
      <c r="BJ403" s="518" t="str">
        <f>IF(AND(_A4="B-757",'2025'!$N$4="FO",'2025'!$N$2=BJ385),'2025DATA'!$E$20,"")</f>
        <v/>
      </c>
      <c r="BK403" s="518" t="str">
        <f>IF(AND(_A4="B-757",'2025'!$N$4="FO",'2025'!$N$2=BK385),'2025DATA'!$F$20,"")</f>
        <v/>
      </c>
      <c r="BL403" s="518" t="str">
        <f>IF(AND(_A4="B-757",'2025'!$N$4="FO",'2025'!$N$2=BL385),'2025DATA'!$G$20,"")</f>
        <v/>
      </c>
      <c r="BM403" s="518" t="str">
        <f>IF(AND(_A4="B-757",'2025'!$N$4="FO",'2025'!$N$2=BM385),'2025DATA'!$H$20,"")</f>
        <v/>
      </c>
      <c r="BN403" s="518" t="str">
        <f>IF(AND(_A4="B-757",'2025'!$N$4="FO",'2025'!$N$2=BN385),'2025DATA'!$I$20,"")</f>
        <v/>
      </c>
      <c r="BO403" s="518" t="str">
        <f>IF(AND(_A4="B-757",'2025'!$N$4="FO",'2025'!$N$2=BO385),'2025DATA'!$J$20,"")</f>
        <v/>
      </c>
      <c r="BP403" s="518" t="str">
        <f>IF(AND(_A4="B-757",'2025'!$N$4="FO",'2025'!$N$2=BP385),'2025DATA'!$K$20,"")</f>
        <v/>
      </c>
      <c r="BQ403" s="518" t="str">
        <f>IF(AND(_A4="B-757",'2025'!$N$4="FO",'2025'!$N$2=BQ385),'2025DATA'!$L$20,"")</f>
        <v/>
      </c>
      <c r="BR403" s="518" t="str">
        <f>IF(AND(_A4="B-757",'2025'!$N$4="FO",'2025'!$N$2=BR385),'2025DATA'!$M$20,"")</f>
        <v/>
      </c>
      <c r="BS403" s="520" t="str">
        <f>IF(AND(_A4="B-757",'2025'!$N$4="FO",'2025'!$N$2=BS385),'2025DATA'!$N$20,"")</f>
        <v/>
      </c>
      <c r="BT403" s="940"/>
      <c r="BU403" s="13" t="s">
        <v>62</v>
      </c>
      <c r="BV403" s="518" t="str">
        <f>IF(AND(_A5="B-757",'2025'!$N$4="FO",'2025'!$N$2=BV385),'2025DATA'!$C$20,"")</f>
        <v/>
      </c>
      <c r="BW403" s="518" t="str">
        <f>IF(AND(_A5="B-757",'2025'!$N$4="FO",'2025'!$N$2=BW385),'2025DATA'!$D$20,"")</f>
        <v/>
      </c>
      <c r="BX403" s="518" t="str">
        <f>IF(AND(_A5="B-757",'2025'!$N$4="FO",'2025'!$N$2=BX385),'2025DATA'!$E$20,"")</f>
        <v/>
      </c>
      <c r="BY403" s="518" t="str">
        <f>IF(AND(_A5="B-757",'2025'!$N$4="FO",'2025'!$N$2=BY385),'2025DATA'!$F$20,"")</f>
        <v/>
      </c>
      <c r="BZ403" s="518" t="str">
        <f>IF(AND(_A5="B-757",'2025'!$N$4="FO",'2025'!$N$2=BZ385),'2025DATA'!$G$20,"")</f>
        <v/>
      </c>
      <c r="CA403" s="518" t="str">
        <f>IF(AND(_A5="B-757",'2025'!$N$4="FO",'2025'!$N$2=CA385),'2025DATA'!$H$20,"")</f>
        <v/>
      </c>
      <c r="CB403" s="518" t="str">
        <f>IF(AND(_A5="B-757",'2025'!$N$4="FO",'2025'!$N$2=CB385),'2025DATA'!$I$20,"")</f>
        <v/>
      </c>
      <c r="CC403" s="518" t="str">
        <f>IF(AND(_A5="B-757",'2025'!$N$4="FO",'2025'!$N$2=CC385),'2025DATA'!$J$20,"")</f>
        <v/>
      </c>
      <c r="CD403" s="518" t="str">
        <f>IF(AND(_A5="B-757",'2025'!$N$4="FO",'2025'!$N$2=CD385),'2025DATA'!$K$20,"")</f>
        <v/>
      </c>
      <c r="CE403" s="518" t="str">
        <f>IF(AND(_A5="B-757",'2025'!$N$4="FO",'2025'!$N$2=CE385),'2025DATA'!$L$20,"")</f>
        <v/>
      </c>
      <c r="CF403" s="518" t="str">
        <f>IF(AND(_A5="B-757",'2025'!$N$4="FO",'2025'!$N$2=CF385),'2025DATA'!$M$20,"")</f>
        <v/>
      </c>
      <c r="CG403" s="520" t="str">
        <f>IF(AND(_A5="B-757",'2025'!$N$4="FO",'2025'!$N$2=CG385),'2025DATA'!$N$20,"")</f>
        <v/>
      </c>
      <c r="CH403" s="940"/>
      <c r="CI403" s="13" t="s">
        <v>62</v>
      </c>
      <c r="CJ403" s="518" t="str">
        <f>IF(AND(_A6="B-757",'2025'!$N$4="FO",'2025'!$N$2=CJ385),'2025DATA'!$C$20,"")</f>
        <v/>
      </c>
      <c r="CK403" s="518" t="str">
        <f>IF(AND(_A6="B-757",'2025'!$N$4="FO",'2025'!$N$2=CK385),'2025DATA'!$D$20,"")</f>
        <v/>
      </c>
      <c r="CL403" s="518" t="str">
        <f>IF(AND(_A6="B-757",'2025'!$N$4="FO",'2025'!$N$2=CL385),'2025DATA'!$E$20,"")</f>
        <v/>
      </c>
      <c r="CM403" s="518" t="str">
        <f>IF(AND(_A6="B-757",'2025'!$N$4="FO",'2025'!$N$2=CM385),'2025DATA'!$F$20,"")</f>
        <v/>
      </c>
      <c r="CN403" s="518" t="str">
        <f>IF(AND(_A6="B-757",'2025'!$N$4="FO",'2025'!$N$2=CN385),'2025DATA'!$G$20,"")</f>
        <v/>
      </c>
      <c r="CO403" s="518" t="str">
        <f>IF(AND(_A6="B-757",'2025'!$N$4="FO",'2025'!$N$2=CO385),'2025DATA'!$H$20,"")</f>
        <v/>
      </c>
      <c r="CP403" s="518" t="str">
        <f>IF(AND(_A6="B-757",'2025'!$N$4="FO",'2025'!$N$2=CP385),'2025DATA'!$I$20,"")</f>
        <v/>
      </c>
      <c r="CQ403" s="518" t="str">
        <f>IF(AND(_A6="B-757",'2025'!$N$4="FO",'2025'!$N$2=CQ385),'2025DATA'!$J$20,"")</f>
        <v/>
      </c>
      <c r="CR403" s="518" t="str">
        <f>IF(AND(_A6="B-757",'2025'!$N$4="FO",'2025'!$N$2=CR385),'2025DATA'!$K$20,"")</f>
        <v/>
      </c>
      <c r="CS403" s="518" t="str">
        <f>IF(AND(_A6="B-757",'2025'!$N$4="FO",'2025'!$N$2=CS385),'2025DATA'!$L$20,"")</f>
        <v/>
      </c>
      <c r="CT403" s="518" t="str">
        <f>IF(AND(_A6="B-757",'2025'!$N$4="FO",'2025'!$N$2=CT385),'2025DATA'!$M$20,"")</f>
        <v/>
      </c>
      <c r="CU403" s="520" t="str">
        <f>IF(AND(_A6="B-757",'2025'!$N$4="FO",'2025'!$N$2=CU385),'2025DATA'!$N$20,"")</f>
        <v/>
      </c>
    </row>
    <row r="404" spans="16:99" x14ac:dyDescent="0.25">
      <c r="P404" s="940" t="s">
        <v>47</v>
      </c>
      <c r="Q404" s="13" t="s">
        <v>61</v>
      </c>
      <c r="R404" s="518" t="str">
        <f>IF(AND(_A1="B-737-900",'2025'!$N$4="CA",'2025'!$N$2=R385),'2025DATA'!$C$21,"")</f>
        <v/>
      </c>
      <c r="S404" s="518" t="str">
        <f>IF(AND(_A1="B-737-900",'2025'!$N$4="CA",'2025'!$N$2=S385),'2025DATA'!$D$21,"")</f>
        <v/>
      </c>
      <c r="T404" s="518" t="str">
        <f>IF(AND(_A1="B-737-900",'2025'!$N$4="CA",'2025'!$N$2=T385),'2025DATA'!$E$21,"")</f>
        <v/>
      </c>
      <c r="U404" s="518" t="str">
        <f>IF(AND(_A1="B-737-900",'2025'!$N$4="CA",'2025'!$N$2=U385),'2025DATA'!$F$21,"")</f>
        <v/>
      </c>
      <c r="V404" s="518" t="str">
        <f>IF(AND(_A1="B-737-900",'2025'!$N$4="CA",'2025'!$N$2=V385),'2025DATA'!$G$21,"")</f>
        <v/>
      </c>
      <c r="W404" s="518" t="str">
        <f>IF(AND(_A1="B-737-900",'2025'!$N$4="CA",'2025'!$N$2=W385),'2025DATA'!$H$21,"")</f>
        <v/>
      </c>
      <c r="X404" s="518" t="str">
        <f>IF(AND(_A1="B-737-900",'2025'!$N$4="CA",'2025'!$N$2=X385),'2025DATA'!$I$21,"")</f>
        <v/>
      </c>
      <c r="Y404" s="518" t="str">
        <f>IF(AND(_A1="B-737-900",'2025'!$N$4="CA",'2025'!$N$2=Y385),'2025DATA'!$J$21,"")</f>
        <v/>
      </c>
      <c r="Z404" s="518" t="str">
        <f>IF(AND(_A1="B-737-900",'2025'!$N$4="CA",'2025'!$N$2=Z385),'2025DATA'!$K$21,"")</f>
        <v/>
      </c>
      <c r="AA404" s="518" t="str">
        <f>IF(AND(_A1="B-737-900",'2025'!$N$4="CA",'2025'!$N$2=AA385),'2025DATA'!$L$21,"")</f>
        <v/>
      </c>
      <c r="AB404" s="518" t="str">
        <f>IF(AND(_A1="B-737-900",'2025'!$N$4="CA",'2025'!$N$2=AB385),'2025DATA'!$M$21,"")</f>
        <v/>
      </c>
      <c r="AC404" s="520" t="str">
        <f>IF(AND(_A1="B-737-900",'2025'!$N$4="CA",'2025'!$N$2=AC385),'2025DATA'!$N$21,"")</f>
        <v/>
      </c>
      <c r="AD404" s="940" t="s">
        <v>47</v>
      </c>
      <c r="AE404" s="13" t="s">
        <v>61</v>
      </c>
      <c r="AF404" s="518" t="str">
        <f>IF(AND(_A2="B-737-900",'2025'!$N$4="CA",'2025'!$N$2=AF385),'2025DATA'!$C$21,"")</f>
        <v/>
      </c>
      <c r="AG404" s="518" t="str">
        <f>IF(AND(_A2="B-737-900",'2025'!$N$4="CA",'2025'!$N$2=AG385),'2025DATA'!$D$21,"")</f>
        <v/>
      </c>
      <c r="AH404" s="518" t="str">
        <f>IF(AND(_A2="B-737-900",'2025'!$N$4="CA",'2025'!$N$2=AH385),'2025DATA'!$E$21,"")</f>
        <v/>
      </c>
      <c r="AI404" s="518" t="str">
        <f>IF(AND(_A2="B-737-900",'2025'!$N$4="CA",'2025'!$N$2=AI385),'2025DATA'!$F$21,"")</f>
        <v/>
      </c>
      <c r="AJ404" s="518" t="str">
        <f>IF(AND(_A2="B-737-900",'2025'!$N$4="CA",'2025'!$N$2=AJ385),'2025DATA'!$G$21,"")</f>
        <v/>
      </c>
      <c r="AK404" s="518" t="str">
        <f>IF(AND(_A2="B-737-900",'2025'!$N$4="CA",'2025'!$N$2=AK385),'2025DATA'!$H$21,"")</f>
        <v/>
      </c>
      <c r="AL404" s="518" t="str">
        <f>IF(AND(_A2="B-737-900",'2025'!$N$4="CA",'2025'!$N$2=AL385),'2025DATA'!$I$21,"")</f>
        <v/>
      </c>
      <c r="AM404" s="518" t="str">
        <f>IF(AND(_A2="B-737-900",'2025'!$N$4="CA",'2025'!$N$2=AM385),'2025DATA'!$J$21,"")</f>
        <v/>
      </c>
      <c r="AN404" s="518" t="str">
        <f>IF(AND(_A2="B-737-900",'2025'!$N$4="CA",'2025'!$N$2=AN385),'2025DATA'!$K$21,"")</f>
        <v/>
      </c>
      <c r="AO404" s="518" t="str">
        <f>IF(AND(_A2="B-737-900",'2025'!$N$4="CA",'2025'!$N$2=AO385),'2025DATA'!$L$21,"")</f>
        <v/>
      </c>
      <c r="AP404" s="518" t="str">
        <f>IF(AND(_A2="B-737-900",'2025'!$N$4="CA",'2025'!$N$2=AP385),'2025DATA'!$M$21,"")</f>
        <v/>
      </c>
      <c r="AQ404" s="520" t="str">
        <f>IF(AND(_A2="B-737-900",'2025'!$N$4="CA",'2025'!$N$2=AQ385),'2025DATA'!$N$21,"")</f>
        <v/>
      </c>
      <c r="AR404" s="940" t="s">
        <v>47</v>
      </c>
      <c r="AS404" s="13" t="s">
        <v>61</v>
      </c>
      <c r="AT404" s="518" t="str">
        <f>IF(AND(_A3="B-737-900",'2025'!$N$4="CA",'2025'!$N$2=AT385),'2025DATA'!$C$21,"")</f>
        <v/>
      </c>
      <c r="AU404" s="518" t="str">
        <f>IF(AND(_A3="B-737-900",'2025'!$N$4="CA",'2025'!$N$2=AU385),'2025DATA'!$D$21,"")</f>
        <v/>
      </c>
      <c r="AV404" s="518" t="str">
        <f>IF(AND(_A3="B-737-900",'2025'!$N$4="CA",'2025'!$N$2=AV385),'2025DATA'!$E$21,"")</f>
        <v/>
      </c>
      <c r="AW404" s="518" t="str">
        <f>IF(AND(_A3="B-737-900",'2025'!$N$4="CA",'2025'!$N$2=AW385),'2025DATA'!$F$21,"")</f>
        <v/>
      </c>
      <c r="AX404" s="518" t="str">
        <f>IF(AND(_A3="B-737-900",'2025'!$N$4="CA",'2025'!$N$2=AX385),'2025DATA'!$G$21,"")</f>
        <v/>
      </c>
      <c r="AY404" s="518" t="str">
        <f>IF(AND(_A3="B-737-900",'2025'!$N$4="CA",'2025'!$N$2=AY385),'2025DATA'!$H$21,"")</f>
        <v/>
      </c>
      <c r="AZ404" s="518" t="str">
        <f>IF(AND(_A3="B-737-900",'2025'!$N$4="CA",'2025'!$N$2=AZ385),'2025DATA'!$I$21,"")</f>
        <v/>
      </c>
      <c r="BA404" s="518" t="str">
        <f>IF(AND(_A3="B-737-900",'2025'!$N$4="CA",'2025'!$N$2=BA385),'2025DATA'!$J$21,"")</f>
        <v/>
      </c>
      <c r="BB404" s="518" t="str">
        <f>IF(AND(_A3="B-737-900",'2025'!$N$4="CA",'2025'!$N$2=BB385),'2025DATA'!$K$21,"")</f>
        <v/>
      </c>
      <c r="BC404" s="518" t="str">
        <f>IF(AND(_A3="B-737-900",'2025'!$N$4="CA",'2025'!$N$2=BC385),'2025DATA'!$L$21,"")</f>
        <v/>
      </c>
      <c r="BD404" s="518" t="str">
        <f>IF(AND(_A3="B-737-900",'2025'!$N$4="CA",'2025'!$N$2=BD385),'2025DATA'!$M$21,"")</f>
        <v/>
      </c>
      <c r="BE404" s="520" t="str">
        <f>IF(AND(_A3="B-737-900",'2025'!$N$4="CA",'2025'!$N$2=BE385),'2025DATA'!$N$21,"")</f>
        <v/>
      </c>
      <c r="BF404" s="940" t="s">
        <v>47</v>
      </c>
      <c r="BG404" s="13" t="s">
        <v>61</v>
      </c>
      <c r="BH404" s="518" t="str">
        <f>IF(AND(_A4="B-737-900",'2025'!$N$4="CA",'2025'!$N$2=BH385),'2025DATA'!$C$21,"")</f>
        <v/>
      </c>
      <c r="BI404" s="518" t="str">
        <f>IF(AND(_A4="B-737-900",'2025'!$N$4="CA",'2025'!$N$2=BI385),'2025DATA'!$D$21,"")</f>
        <v/>
      </c>
      <c r="BJ404" s="518" t="str">
        <f>IF(AND(_A4="B-737-900",'2025'!$N$4="CA",'2025'!$N$2=BJ385),'2025DATA'!$E$21,"")</f>
        <v/>
      </c>
      <c r="BK404" s="518" t="str">
        <f>IF(AND(_A4="B-737-900",'2025'!$N$4="CA",'2025'!$N$2=BK385),'2025DATA'!$F$21,"")</f>
        <v/>
      </c>
      <c r="BL404" s="518" t="str">
        <f>IF(AND(_A4="B-737-900",'2025'!$N$4="CA",'2025'!$N$2=BL385),'2025DATA'!$G$21,"")</f>
        <v/>
      </c>
      <c r="BM404" s="518" t="str">
        <f>IF(AND(_A4="B-737-900",'2025'!$N$4="CA",'2025'!$N$2=BM385),'2025DATA'!$H$21,"")</f>
        <v/>
      </c>
      <c r="BN404" s="518" t="str">
        <f>IF(AND(_A4="B-737-900",'2025'!$N$4="CA",'2025'!$N$2=BN385),'2025DATA'!$I$21,"")</f>
        <v/>
      </c>
      <c r="BO404" s="518" t="str">
        <f>IF(AND(_A4="B-737-900",'2025'!$N$4="CA",'2025'!$N$2=BO385),'2025DATA'!$J$21,"")</f>
        <v/>
      </c>
      <c r="BP404" s="518" t="str">
        <f>IF(AND(_A4="B-737-900",'2025'!$N$4="CA",'2025'!$N$2=BP385),'2025DATA'!$K$21,"")</f>
        <v/>
      </c>
      <c r="BQ404" s="518" t="str">
        <f>IF(AND(_A4="B-737-900",'2025'!$N$4="CA",'2025'!$N$2=BQ385),'2025DATA'!$L$21,"")</f>
        <v/>
      </c>
      <c r="BR404" s="518" t="str">
        <f>IF(AND(_A4="B-737-900",'2025'!$N$4="CA",'2025'!$N$2=BR385),'2025DATA'!$M$21,"")</f>
        <v/>
      </c>
      <c r="BS404" s="520" t="str">
        <f>IF(AND(_A4="B-737-900",'2025'!$N$4="CA",'2025'!$N$2=BS385),'2025DATA'!$N$21,"")</f>
        <v/>
      </c>
      <c r="BT404" s="940" t="s">
        <v>47</v>
      </c>
      <c r="BU404" s="13" t="s">
        <v>61</v>
      </c>
      <c r="BV404" s="518" t="str">
        <f>IF(AND(_A5="B-737-900",'2025'!$N$4="CA",'2025'!$N$2=BV385),'2025DATA'!$C$21,"")</f>
        <v/>
      </c>
      <c r="BW404" s="518" t="str">
        <f>IF(AND(_A5="B-737-900",'2025'!$N$4="CA",'2025'!$N$2=BW385),'2025DATA'!$D$21,"")</f>
        <v/>
      </c>
      <c r="BX404" s="518" t="str">
        <f>IF(AND(_A5="B-737-900",'2025'!$N$4="CA",'2025'!$N$2=BX385),'2025DATA'!$E$21,"")</f>
        <v/>
      </c>
      <c r="BY404" s="518" t="str">
        <f>IF(AND(_A5="B-737-900",'2025'!$N$4="CA",'2025'!$N$2=BY385),'2025DATA'!$F$21,"")</f>
        <v/>
      </c>
      <c r="BZ404" s="518" t="str">
        <f>IF(AND(_A5="B-737-900",'2025'!$N$4="CA",'2025'!$N$2=BZ385),'2025DATA'!$G$21,"")</f>
        <v/>
      </c>
      <c r="CA404" s="518" t="str">
        <f>IF(AND(_A5="B-737-900",'2025'!$N$4="CA",'2025'!$N$2=CA385),'2025DATA'!$H$21,"")</f>
        <v/>
      </c>
      <c r="CB404" s="518" t="str">
        <f>IF(AND(_A5="B-737-900",'2025'!$N$4="CA",'2025'!$N$2=CB385),'2025DATA'!$I$21,"")</f>
        <v/>
      </c>
      <c r="CC404" s="518" t="str">
        <f>IF(AND(_A5="B-737-900",'2025'!$N$4="CA",'2025'!$N$2=CC385),'2025DATA'!$J$21,"")</f>
        <v/>
      </c>
      <c r="CD404" s="518" t="str">
        <f>IF(AND(_A5="B-737-900",'2025'!$N$4="CA",'2025'!$N$2=CD385),'2025DATA'!$K$21,"")</f>
        <v/>
      </c>
      <c r="CE404" s="518" t="str">
        <f>IF(AND(_A5="B-737-900",'2025'!$N$4="CA",'2025'!$N$2=CE385),'2025DATA'!$L$21,"")</f>
        <v/>
      </c>
      <c r="CF404" s="518" t="str">
        <f>IF(AND(_A5="B-737-900",'2025'!$N$4="CA",'2025'!$N$2=CF385),'2025DATA'!$M$21,"")</f>
        <v/>
      </c>
      <c r="CG404" s="520" t="str">
        <f>IF(AND(_A5="B-737-900",'2025'!$N$4="CA",'2025'!$N$2=CG385),'2025DATA'!$N$21,"")</f>
        <v/>
      </c>
      <c r="CH404" s="940" t="s">
        <v>47</v>
      </c>
      <c r="CI404" s="13" t="s">
        <v>61</v>
      </c>
      <c r="CJ404" s="518" t="str">
        <f>IF(AND(_A6="B-737-900",'2025'!$N$4="CA",'2025'!$N$2=CJ385),'2025DATA'!$C$21,"")</f>
        <v/>
      </c>
      <c r="CK404" s="518" t="str">
        <f>IF(AND(_A6="B-737-900",'2025'!$N$4="CA",'2025'!$N$2=CK385),'2025DATA'!$D$21,"")</f>
        <v/>
      </c>
      <c r="CL404" s="518" t="str">
        <f>IF(AND(_A6="B-737-900",'2025'!$N$4="CA",'2025'!$N$2=CL385),'2025DATA'!$E$21,"")</f>
        <v/>
      </c>
      <c r="CM404" s="518" t="str">
        <f>IF(AND(_A6="B-737-900",'2025'!$N$4="CA",'2025'!$N$2=CM385),'2025DATA'!$F$21,"")</f>
        <v/>
      </c>
      <c r="CN404" s="518" t="str">
        <f>IF(AND(_A6="B-737-900",'2025'!$N$4="CA",'2025'!$N$2=CN385),'2025DATA'!$G$21,"")</f>
        <v/>
      </c>
      <c r="CO404" s="518" t="str">
        <f>IF(AND(_A6="B-737-900",'2025'!$N$4="CA",'2025'!$N$2=CO385),'2025DATA'!$H$21,"")</f>
        <v/>
      </c>
      <c r="CP404" s="518" t="str">
        <f>IF(AND(_A6="B-737-900",'2025'!$N$4="CA",'2025'!$N$2=CP385),'2025DATA'!$I$21,"")</f>
        <v/>
      </c>
      <c r="CQ404" s="518" t="str">
        <f>IF(AND(_A6="B-737-900",'2025'!$N$4="CA",'2025'!$N$2=CQ385),'2025DATA'!$J$21,"")</f>
        <v/>
      </c>
      <c r="CR404" s="518" t="str">
        <f>IF(AND(_A6="B-737-900",'2025'!$N$4="CA",'2025'!$N$2=CR385),'2025DATA'!$K$21,"")</f>
        <v/>
      </c>
      <c r="CS404" s="518" t="str">
        <f>IF(AND(_A6="B-737-900",'2025'!$N$4="CA",'2025'!$N$2=CS385),'2025DATA'!$L$21,"")</f>
        <v/>
      </c>
      <c r="CT404" s="518" t="str">
        <f>IF(AND(_A6="B-737-900",'2025'!$N$4="CA",'2025'!$N$2=CT385),'2025DATA'!$M$21,"")</f>
        <v/>
      </c>
      <c r="CU404" s="520" t="str">
        <f>IF(AND(_A6="B-737-900",'2025'!$N$4="CA",'2025'!$N$2=CU385),'2025DATA'!$N$21,"")</f>
        <v/>
      </c>
    </row>
    <row r="405" spans="16:99" x14ac:dyDescent="0.25">
      <c r="P405" s="940"/>
      <c r="Q405" s="13" t="s">
        <v>62</v>
      </c>
      <c r="R405" s="518" t="str">
        <f>IF(AND(_A1="B-737-900",'2025'!$N$4="FO",'2025'!$N$2=R385),'2025DATA'!$C$22,"")</f>
        <v/>
      </c>
      <c r="S405" s="518" t="str">
        <f>IF(AND(_A1="B-737-900",'2025'!$N$4="FO",'2025'!$N$2=S385),'2025DATA'!$D$22,"")</f>
        <v/>
      </c>
      <c r="T405" s="518" t="str">
        <f>IF(AND(_A1="B-737-900",'2025'!$N$4="FO",'2025'!$N$2=T385),'2025DATA'!$E$22,"")</f>
        <v/>
      </c>
      <c r="U405" s="518" t="str">
        <f>IF(AND(_A1="B-737-900",'2025'!$N$4="FO",'2025'!$N$2=U385),'2025DATA'!$F$22,"")</f>
        <v/>
      </c>
      <c r="V405" s="518" t="str">
        <f>IF(AND(_A1="B-737-900",'2025'!$N$4="FO",'2025'!$N$2=V385),'2025DATA'!$G$22,"")</f>
        <v/>
      </c>
      <c r="W405" s="518" t="str">
        <f>IF(AND(_A1="B-737-900",'2025'!$N$4="FO",'2025'!$N$2=W385),'2025DATA'!$H$22,"")</f>
        <v/>
      </c>
      <c r="X405" s="518" t="str">
        <f>IF(AND(_A1="B-737-900",'2025'!$N$4="FO",'2025'!$N$2=X385),'2025DATA'!$I$22,"")</f>
        <v/>
      </c>
      <c r="Y405" s="518" t="str">
        <f>IF(AND(_A1="B-737-900",'2025'!$N$4="FO",'2025'!$N$2=Y385),'2025DATA'!$J$22,"")</f>
        <v/>
      </c>
      <c r="Z405" s="518" t="str">
        <f>IF(AND(_A1="B-737-900",'2025'!$N$4="FO",'2025'!$N$2=Z385),'2025DATA'!$K$22,"")</f>
        <v/>
      </c>
      <c r="AA405" s="518" t="str">
        <f>IF(AND(_A1="B-737-900",'2025'!$N$4="FO",'2025'!$N$2=AA385),'2025DATA'!$L$22,"")</f>
        <v/>
      </c>
      <c r="AB405" s="518" t="str">
        <f>IF(AND(_A1="B-737-900",'2025'!$N$4="FO",'2025'!$N$2=AB385),'2025DATA'!$M$22,"")</f>
        <v/>
      </c>
      <c r="AC405" s="520" t="str">
        <f>IF(AND(_A1="B-737-900",'2025'!$N$4="FO",'2025'!$N$2=AC385),'2025DATA'!$N$22,"")</f>
        <v/>
      </c>
      <c r="AD405" s="940"/>
      <c r="AE405" s="13" t="s">
        <v>62</v>
      </c>
      <c r="AF405" s="518" t="str">
        <f>IF(AND(_A2="B-737-900",'2025'!$N$4="FO",'2025'!$N$2=AF385),'2025DATA'!$C$22,"")</f>
        <v/>
      </c>
      <c r="AG405" s="518" t="str">
        <f>IF(AND(_A2="B-737-900",'2025'!$N$4="FO",'2025'!$N$2=AG385),'2025DATA'!$D$22,"")</f>
        <v/>
      </c>
      <c r="AH405" s="518" t="str">
        <f>IF(AND(_A2="B-737-900",'2025'!$N$4="FO",'2025'!$N$2=AH385),'2025DATA'!$E$22,"")</f>
        <v/>
      </c>
      <c r="AI405" s="518" t="str">
        <f>IF(AND(_A2="B-737-900",'2025'!$N$4="FO",'2025'!$N$2=AI385),'2025DATA'!$F$22,"")</f>
        <v/>
      </c>
      <c r="AJ405" s="518" t="str">
        <f>IF(AND(_A2="B-737-900",'2025'!$N$4="FO",'2025'!$N$2=AJ385),'2025DATA'!$G$22,"")</f>
        <v/>
      </c>
      <c r="AK405" s="518" t="str">
        <f>IF(AND(_A2="B-737-900",'2025'!$N$4="FO",'2025'!$N$2=AK385),'2025DATA'!$H$22,"")</f>
        <v/>
      </c>
      <c r="AL405" s="518" t="str">
        <f>IF(AND(_A2="B-737-900",'2025'!$N$4="FO",'2025'!$N$2=AL385),'2025DATA'!$I$22,"")</f>
        <v/>
      </c>
      <c r="AM405" s="518" t="str">
        <f>IF(AND(_A2="B-737-900",'2025'!$N$4="FO",'2025'!$N$2=AM385),'2025DATA'!$J$22,"")</f>
        <v/>
      </c>
      <c r="AN405" s="518" t="str">
        <f>IF(AND(_A2="B-737-900",'2025'!$N$4="FO",'2025'!$N$2=AN385),'2025DATA'!$K$22,"")</f>
        <v/>
      </c>
      <c r="AO405" s="518" t="str">
        <f>IF(AND(_A2="B-737-900",'2025'!$N$4="FO",'2025'!$N$2=AO385),'2025DATA'!$L$22,"")</f>
        <v/>
      </c>
      <c r="AP405" s="518" t="str">
        <f>IF(AND(_A2="B-737-900",'2025'!$N$4="FO",'2025'!$N$2=AP385),'2025DATA'!$M$22,"")</f>
        <v/>
      </c>
      <c r="AQ405" s="520" t="str">
        <f>IF(AND(_A2="B-737-900",'2025'!$N$4="FO",'2025'!$N$2=AQ385),'2025DATA'!$N$22,"")</f>
        <v/>
      </c>
      <c r="AR405" s="940"/>
      <c r="AS405" s="13" t="s">
        <v>62</v>
      </c>
      <c r="AT405" s="518" t="str">
        <f>IF(AND(_A3="B-737-900",'2025'!$N$4="FO",'2025'!$N$2=AT385),'2025DATA'!$C$22,"")</f>
        <v/>
      </c>
      <c r="AU405" s="518" t="str">
        <f>IF(AND(_A3="B-737-900",'2025'!$N$4="FO",'2025'!$N$2=AU385),'2025DATA'!$D$22,"")</f>
        <v/>
      </c>
      <c r="AV405" s="518" t="str">
        <f>IF(AND(_A3="B-737-900",'2025'!$N$4="FO",'2025'!$N$2=AV385),'2025DATA'!$E$22,"")</f>
        <v/>
      </c>
      <c r="AW405" s="518" t="str">
        <f>IF(AND(_A3="B-737-900",'2025'!$N$4="FO",'2025'!$N$2=AW385),'2025DATA'!$F$22,"")</f>
        <v/>
      </c>
      <c r="AX405" s="518" t="str">
        <f>IF(AND(_A3="B-737-900",'2025'!$N$4="FO",'2025'!$N$2=AX385),'2025DATA'!$G$22,"")</f>
        <v/>
      </c>
      <c r="AY405" s="518" t="str">
        <f>IF(AND(_A3="B-737-900",'2025'!$N$4="FO",'2025'!$N$2=AY385),'2025DATA'!$H$22,"")</f>
        <v/>
      </c>
      <c r="AZ405" s="518" t="str">
        <f>IF(AND(_A3="B-737-900",'2025'!$N$4="FO",'2025'!$N$2=AZ385),'2025DATA'!$I$22,"")</f>
        <v/>
      </c>
      <c r="BA405" s="518" t="str">
        <f>IF(AND(_A3="B-737-900",'2025'!$N$4="FO",'2025'!$N$2=BA385),'2025DATA'!$J$22,"")</f>
        <v/>
      </c>
      <c r="BB405" s="518" t="str">
        <f>IF(AND(_A3="B-737-900",'2025'!$N$4="FO",'2025'!$N$2=BB385),'2025DATA'!$K$22,"")</f>
        <v/>
      </c>
      <c r="BC405" s="518" t="str">
        <f>IF(AND(_A3="B-737-900",'2025'!$N$4="FO",'2025'!$N$2=BC385),'2025DATA'!$L$22,"")</f>
        <v/>
      </c>
      <c r="BD405" s="518" t="str">
        <f>IF(AND(_A3="B-737-900",'2025'!$N$4="FO",'2025'!$N$2=BD385),'2025DATA'!$M$22,"")</f>
        <v/>
      </c>
      <c r="BE405" s="520" t="str">
        <f>IF(AND(_A3="B-737-900",'2025'!$N$4="FO",'2025'!$N$2=BE385),'2025DATA'!$N$22,"")</f>
        <v/>
      </c>
      <c r="BF405" s="940"/>
      <c r="BG405" s="13" t="s">
        <v>62</v>
      </c>
      <c r="BH405" s="518" t="str">
        <f>IF(AND(_A4="B-737-900",'2025'!$N$4="FO",'2025'!$N$2=BH385),'2025DATA'!$C$22,"")</f>
        <v/>
      </c>
      <c r="BI405" s="518" t="str">
        <f>IF(AND(_A4="B-737-900",'2025'!$N$4="FO",'2025'!$N$2=BI385),'2025DATA'!$D$22,"")</f>
        <v/>
      </c>
      <c r="BJ405" s="518" t="str">
        <f>IF(AND(_A4="B-737-900",'2025'!$N$4="FO",'2025'!$N$2=BJ385),'2025DATA'!$E$22,"")</f>
        <v/>
      </c>
      <c r="BK405" s="518" t="str">
        <f>IF(AND(_A4="B-737-900",'2025'!$N$4="FO",'2025'!$N$2=BK385),'2025DATA'!$F$22,"")</f>
        <v/>
      </c>
      <c r="BL405" s="518" t="str">
        <f>IF(AND(_A4="B-737-900",'2025'!$N$4="FO",'2025'!$N$2=BL385),'2025DATA'!$G$22,"")</f>
        <v/>
      </c>
      <c r="BM405" s="518" t="str">
        <f>IF(AND(_A4="B-737-900",'2025'!$N$4="FO",'2025'!$N$2=BM385),'2025DATA'!$H$22,"")</f>
        <v/>
      </c>
      <c r="BN405" s="518" t="str">
        <f>IF(AND(_A4="B-737-900",'2025'!$N$4="FO",'2025'!$N$2=BN385),'2025DATA'!$I$22,"")</f>
        <v/>
      </c>
      <c r="BO405" s="518" t="str">
        <f>IF(AND(_A4="B-737-900",'2025'!$N$4="FO",'2025'!$N$2=BO385),'2025DATA'!$J$22,"")</f>
        <v/>
      </c>
      <c r="BP405" s="518" t="str">
        <f>IF(AND(_A4="B-737-900",'2025'!$N$4="FO",'2025'!$N$2=BP385),'2025DATA'!$K$22,"")</f>
        <v/>
      </c>
      <c r="BQ405" s="518" t="str">
        <f>IF(AND(_A4="B-737-900",'2025'!$N$4="FO",'2025'!$N$2=BQ385),'2025DATA'!$L$22,"")</f>
        <v/>
      </c>
      <c r="BR405" s="518" t="str">
        <f>IF(AND(_A4="B-737-900",'2025'!$N$4="FO",'2025'!$N$2=BR385),'2025DATA'!$M$22,"")</f>
        <v/>
      </c>
      <c r="BS405" s="520" t="str">
        <f>IF(AND(_A4="B-737-900",'2025'!$N$4="FO",'2025'!$N$2=BS385),'2025DATA'!$N$22,"")</f>
        <v/>
      </c>
      <c r="BT405" s="940"/>
      <c r="BU405" s="13" t="s">
        <v>62</v>
      </c>
      <c r="BV405" s="518" t="str">
        <f>IF(AND(_A5="B-737-900",'2025'!$N$4="FO",'2025'!$N$2=BV385),'2025DATA'!$C$22,"")</f>
        <v/>
      </c>
      <c r="BW405" s="518" t="str">
        <f>IF(AND(_A5="B-737-900",'2025'!$N$4="FO",'2025'!$N$2=BW385),'2025DATA'!$D$22,"")</f>
        <v/>
      </c>
      <c r="BX405" s="518" t="str">
        <f>IF(AND(_A5="B-737-900",'2025'!$N$4="FO",'2025'!$N$2=BX385),'2025DATA'!$E$22,"")</f>
        <v/>
      </c>
      <c r="BY405" s="518" t="str">
        <f>IF(AND(_A5="B-737-900",'2025'!$N$4="FO",'2025'!$N$2=BY385),'2025DATA'!$F$22,"")</f>
        <v/>
      </c>
      <c r="BZ405" s="518" t="str">
        <f>IF(AND(_A5="B-737-900",'2025'!$N$4="FO",'2025'!$N$2=BZ385),'2025DATA'!$G$22,"")</f>
        <v/>
      </c>
      <c r="CA405" s="518" t="str">
        <f>IF(AND(_A5="B-737-900",'2025'!$N$4="FO",'2025'!$N$2=CA385),'2025DATA'!$H$22,"")</f>
        <v/>
      </c>
      <c r="CB405" s="518" t="str">
        <f>IF(AND(_A5="B-737-900",'2025'!$N$4="FO",'2025'!$N$2=CB385),'2025DATA'!$I$22,"")</f>
        <v/>
      </c>
      <c r="CC405" s="518" t="str">
        <f>IF(AND(_A5="B-737-900",'2025'!$N$4="FO",'2025'!$N$2=CC385),'2025DATA'!$J$22,"")</f>
        <v/>
      </c>
      <c r="CD405" s="518" t="str">
        <f>IF(AND(_A5="B-737-900",'2025'!$N$4="FO",'2025'!$N$2=CD385),'2025DATA'!$K$22,"")</f>
        <v/>
      </c>
      <c r="CE405" s="518" t="str">
        <f>IF(AND(_A5="B-737-900",'2025'!$N$4="FO",'2025'!$N$2=CE385),'2025DATA'!$L$22,"")</f>
        <v/>
      </c>
      <c r="CF405" s="518" t="str">
        <f>IF(AND(_A5="B-737-900",'2025'!$N$4="FO",'2025'!$N$2=CF385),'2025DATA'!$M$22,"")</f>
        <v/>
      </c>
      <c r="CG405" s="520" t="str">
        <f>IF(AND(_A5="B-737-900",'2025'!$N$4="FO",'2025'!$N$2=CG385),'2025DATA'!$N$22,"")</f>
        <v/>
      </c>
      <c r="CH405" s="940"/>
      <c r="CI405" s="13" t="s">
        <v>62</v>
      </c>
      <c r="CJ405" s="518" t="str">
        <f>IF(AND(_A6="B-737-900",'2025'!$N$4="FO",'2025'!$N$2=CJ385),'2025DATA'!$C$22,"")</f>
        <v/>
      </c>
      <c r="CK405" s="518" t="str">
        <f>IF(AND(_A6="B-737-900",'2025'!$N$4="FO",'2025'!$N$2=CK385),'2025DATA'!$D$22,"")</f>
        <v/>
      </c>
      <c r="CL405" s="518" t="str">
        <f>IF(AND(_A6="B-737-900",'2025'!$N$4="FO",'2025'!$N$2=CL385),'2025DATA'!$E$22,"")</f>
        <v/>
      </c>
      <c r="CM405" s="518" t="str">
        <f>IF(AND(_A6="B-737-900",'2025'!$N$4="FO",'2025'!$N$2=CM385),'2025DATA'!$F$22,"")</f>
        <v/>
      </c>
      <c r="CN405" s="518" t="str">
        <f>IF(AND(_A6="B-737-900",'2025'!$N$4="FO",'2025'!$N$2=CN385),'2025DATA'!$G$22,"")</f>
        <v/>
      </c>
      <c r="CO405" s="518" t="str">
        <f>IF(AND(_A6="B-737-900",'2025'!$N$4="FO",'2025'!$N$2=CO385),'2025DATA'!$H$22,"")</f>
        <v/>
      </c>
      <c r="CP405" s="518" t="str">
        <f>IF(AND(_A6="B-737-900",'2025'!$N$4="FO",'2025'!$N$2=CP385),'2025DATA'!$I$22,"")</f>
        <v/>
      </c>
      <c r="CQ405" s="518" t="str">
        <f>IF(AND(_A6="B-737-900",'2025'!$N$4="FO",'2025'!$N$2=CQ385),'2025DATA'!$J$22,"")</f>
        <v/>
      </c>
      <c r="CR405" s="518" t="str">
        <f>IF(AND(_A6="B-737-900",'2025'!$N$4="FO",'2025'!$N$2=CR385),'2025DATA'!$K$22,"")</f>
        <v/>
      </c>
      <c r="CS405" s="518" t="str">
        <f>IF(AND(_A6="B-737-900",'2025'!$N$4="FO",'2025'!$N$2=CS385),'2025DATA'!$L$22,"")</f>
        <v/>
      </c>
      <c r="CT405" s="518" t="str">
        <f>IF(AND(_A6="B-737-900",'2025'!$N$4="FO",'2025'!$N$2=CT385),'2025DATA'!$M$22,"")</f>
        <v/>
      </c>
      <c r="CU405" s="520" t="str">
        <f>IF(AND(_A6="B-737-900",'2025'!$N$4="FO",'2025'!$N$2=CU385),'2025DATA'!$N$22,"")</f>
        <v/>
      </c>
    </row>
    <row r="406" spans="16:99" x14ac:dyDescent="0.25">
      <c r="P406" s="940" t="s">
        <v>69</v>
      </c>
      <c r="Q406" s="13" t="s">
        <v>61</v>
      </c>
      <c r="R406" s="518" t="str">
        <f>IF(AND(_A1="B-737-800",'2025'!$N$4="CA",'2025'!$N$2=R385),'2025DATA'!$C$23,"")</f>
        <v/>
      </c>
      <c r="S406" s="518" t="str">
        <f>IF(AND(_A1="B-737-800",'2025'!$N$4="CA",'2025'!$N$2=S385),'2025DATA'!$D$23,"")</f>
        <v/>
      </c>
      <c r="T406" s="518" t="str">
        <f>IF(AND(_A1="B-737-800",'2025'!$N$4="CA",'2025'!$N$2=T385),'2025DATA'!$E$23,"")</f>
        <v/>
      </c>
      <c r="U406" s="518" t="str">
        <f>IF(AND(_A1="B-737-800",'2025'!$N$4="CA",'2025'!$N$2=U385),'2025DATA'!$F$23,"")</f>
        <v/>
      </c>
      <c r="V406" s="518" t="str">
        <f>IF(AND(_A1="B-737-800",'2025'!$N$4="CA",'2025'!$N$2=V385),'2025DATA'!$G$23,"")</f>
        <v/>
      </c>
      <c r="W406" s="518" t="str">
        <f>IF(AND(_A1="B-737-800",'2025'!$N$4="CA",'2025'!$N$2=W385),'2025DATA'!$H$23,"")</f>
        <v/>
      </c>
      <c r="X406" s="518" t="str">
        <f>IF(AND(_A1="B-737-800",'2025'!$N$4="CA",'2025'!$N$2=X385),'2025DATA'!$I$23,"")</f>
        <v/>
      </c>
      <c r="Y406" s="518" t="str">
        <f>IF(AND(_A1="B-737-800",'2025'!$N$4="CA",'2025'!$N$2=Y385),'2025DATA'!$J$23,"")</f>
        <v/>
      </c>
      <c r="Z406" s="518" t="str">
        <f>IF(AND(_A1="B-737-800",'2025'!$N$4="CA",'2025'!$N$2=Z385),'2025DATA'!$K$23,"")</f>
        <v/>
      </c>
      <c r="AA406" s="518" t="str">
        <f>IF(AND(_A1="B-737-800",'2025'!$N$4="CA",'2025'!$N$2=AA385),'2025DATA'!$L$23,"")</f>
        <v/>
      </c>
      <c r="AB406" s="518" t="str">
        <f>IF(AND(_A1="B-737-800",'2025'!$N$4="CA",'2025'!$N$2=AB385),'2025DATA'!$M$23,"")</f>
        <v/>
      </c>
      <c r="AC406" s="520" t="str">
        <f>IF(AND(_A1="B-737-800",'2025'!$N$4="CA",'2025'!$N$2=AC385),'2025DATA'!$N$23,"")</f>
        <v/>
      </c>
      <c r="AD406" s="940" t="s">
        <v>69</v>
      </c>
      <c r="AE406" s="13" t="s">
        <v>61</v>
      </c>
      <c r="AF406" s="518" t="str">
        <f>IF(AND(_A2="B-737-800",'2025'!$N$4="CA",'2025'!$N$2=AF385),'2025DATA'!$C$23,"")</f>
        <v/>
      </c>
      <c r="AG406" s="518" t="str">
        <f>IF(AND(_A2="B-737-800",'2025'!$N$4="CA",'2025'!$N$2=AG385),'2025DATA'!$D$23,"")</f>
        <v/>
      </c>
      <c r="AH406" s="518" t="str">
        <f>IF(AND(_A2="B-737-800",'2025'!$N$4="CA",'2025'!$N$2=AH385),'2025DATA'!$E$23,"")</f>
        <v/>
      </c>
      <c r="AI406" s="518" t="str">
        <f>IF(AND(_A2="B-737-800",'2025'!$N$4="CA",'2025'!$N$2=AI385),'2025DATA'!$F$23,"")</f>
        <v/>
      </c>
      <c r="AJ406" s="518" t="str">
        <f>IF(AND(_A2="B-737-800",'2025'!$N$4="CA",'2025'!$N$2=AJ385),'2025DATA'!$G$23,"")</f>
        <v/>
      </c>
      <c r="AK406" s="518" t="str">
        <f>IF(AND(_A2="B-737-800",'2025'!$N$4="CA",'2025'!$N$2=AK385),'2025DATA'!$H$23,"")</f>
        <v/>
      </c>
      <c r="AL406" s="518" t="str">
        <f>IF(AND(_A2="B-737-800",'2025'!$N$4="CA",'2025'!$N$2=AL385),'2025DATA'!$I$23,"")</f>
        <v/>
      </c>
      <c r="AM406" s="518" t="str">
        <f>IF(AND(_A2="B-737-800",'2025'!$N$4="CA",'2025'!$N$2=AM385),'2025DATA'!$J$23,"")</f>
        <v/>
      </c>
      <c r="AN406" s="518" t="str">
        <f>IF(AND(_A2="B-737-800",'2025'!$N$4="CA",'2025'!$N$2=AN385),'2025DATA'!$K$23,"")</f>
        <v/>
      </c>
      <c r="AO406" s="518" t="str">
        <f>IF(AND(_A2="B-737-800",'2025'!$N$4="CA",'2025'!$N$2=AO385),'2025DATA'!$L$23,"")</f>
        <v/>
      </c>
      <c r="AP406" s="518" t="str">
        <f>IF(AND(_A2="B-737-800",'2025'!$N$4="CA",'2025'!$N$2=AP385),'2025DATA'!$M$23,"")</f>
        <v/>
      </c>
      <c r="AQ406" s="520" t="str">
        <f>IF(AND(_A2="B-737-800",'2025'!$N$4="CA",'2025'!$N$2=AQ385),'2025DATA'!$N$23,"")</f>
        <v/>
      </c>
      <c r="AR406" s="940" t="s">
        <v>69</v>
      </c>
      <c r="AS406" s="13" t="s">
        <v>61</v>
      </c>
      <c r="AT406" s="518" t="str">
        <f>IF(AND(_A3="B-737-800",'2025'!$N$4="CA",'2025'!$N$2=AT385),'2025DATA'!$C$23,"")</f>
        <v/>
      </c>
      <c r="AU406" s="518" t="str">
        <f>IF(AND(_A3="B-737-800",'2025'!$N$4="CA",'2025'!$N$2=AU385),'2025DATA'!$D$23,"")</f>
        <v/>
      </c>
      <c r="AV406" s="518" t="str">
        <f>IF(AND(_A3="B-737-800",'2025'!$N$4="CA",'2025'!$N$2=AV385),'2025DATA'!$E$23,"")</f>
        <v/>
      </c>
      <c r="AW406" s="518" t="str">
        <f>IF(AND(_A3="B-737-800",'2025'!$N$4="CA",'2025'!$N$2=AW385),'2025DATA'!$F$23,"")</f>
        <v/>
      </c>
      <c r="AX406" s="518" t="str">
        <f>IF(AND(_A3="B-737-800",'2025'!$N$4="CA",'2025'!$N$2=AX385),'2025DATA'!$G$23,"")</f>
        <v/>
      </c>
      <c r="AY406" s="518" t="str">
        <f>IF(AND(_A3="B-737-800",'2025'!$N$4="CA",'2025'!$N$2=AY385),'2025DATA'!$H$23,"")</f>
        <v/>
      </c>
      <c r="AZ406" s="518" t="str">
        <f>IF(AND(_A3="B-737-800",'2025'!$N$4="CA",'2025'!$N$2=AZ385),'2025DATA'!$I$23,"")</f>
        <v/>
      </c>
      <c r="BA406" s="518" t="str">
        <f>IF(AND(_A3="B-737-800",'2025'!$N$4="CA",'2025'!$N$2=BA385),'2025DATA'!$J$23,"")</f>
        <v/>
      </c>
      <c r="BB406" s="518" t="str">
        <f>IF(AND(_A3="B-737-800",'2025'!$N$4="CA",'2025'!$N$2=BB385),'2025DATA'!$K$23,"")</f>
        <v/>
      </c>
      <c r="BC406" s="518" t="str">
        <f>IF(AND(_A3="B-737-800",'2025'!$N$4="CA",'2025'!$N$2=BC385),'2025DATA'!$L$23,"")</f>
        <v/>
      </c>
      <c r="BD406" s="518" t="str">
        <f>IF(AND(_A3="B-737-800",'2025'!$N$4="CA",'2025'!$N$2=BD385),'2025DATA'!$M$23,"")</f>
        <v/>
      </c>
      <c r="BE406" s="520" t="str">
        <f>IF(AND(_A3="B-737-800",'2025'!$N$4="CA",'2025'!$N$2=BE385),'2025DATA'!$N$23,"")</f>
        <v/>
      </c>
      <c r="BF406" s="940" t="s">
        <v>69</v>
      </c>
      <c r="BG406" s="13" t="s">
        <v>61</v>
      </c>
      <c r="BH406" s="518" t="str">
        <f>IF(AND(_A4="B-737-800",'2025'!$N$4="CA",'2025'!$N$2=BH385),'2025DATA'!$C$23,"")</f>
        <v/>
      </c>
      <c r="BI406" s="518" t="str">
        <f>IF(AND(_A4="B-737-800",'2025'!$N$4="CA",'2025'!$N$2=BI385),'2025DATA'!$D$23,"")</f>
        <v/>
      </c>
      <c r="BJ406" s="518" t="str">
        <f>IF(AND(_A4="B-737-800",'2025'!$N$4="CA",'2025'!$N$2=BJ385),'2025DATA'!$E$23,"")</f>
        <v/>
      </c>
      <c r="BK406" s="518" t="str">
        <f>IF(AND(_A4="B-737-800",'2025'!$N$4="CA",'2025'!$N$2=BK385),'2025DATA'!$F$23,"")</f>
        <v/>
      </c>
      <c r="BL406" s="518" t="str">
        <f>IF(AND(_A4="B-737-800",'2025'!$N$4="CA",'2025'!$N$2=BL385),'2025DATA'!$G$23,"")</f>
        <v/>
      </c>
      <c r="BM406" s="518" t="str">
        <f>IF(AND(_A4="B-737-800",'2025'!$N$4="CA",'2025'!$N$2=BM385),'2025DATA'!$H$23,"")</f>
        <v/>
      </c>
      <c r="BN406" s="518" t="str">
        <f>IF(AND(_A4="B-737-800",'2025'!$N$4="CA",'2025'!$N$2=BN385),'2025DATA'!$I$23,"")</f>
        <v/>
      </c>
      <c r="BO406" s="518" t="str">
        <f>IF(AND(_A4="B-737-800",'2025'!$N$4="CA",'2025'!$N$2=BO385),'2025DATA'!$J$23,"")</f>
        <v/>
      </c>
      <c r="BP406" s="518" t="str">
        <f>IF(AND(_A4="B-737-800",'2025'!$N$4="CA",'2025'!$N$2=BP385),'2025DATA'!$K$23,"")</f>
        <v/>
      </c>
      <c r="BQ406" s="518" t="str">
        <f>IF(AND(_A4="B-737-800",'2025'!$N$4="CA",'2025'!$N$2=BQ385),'2025DATA'!$L$23,"")</f>
        <v/>
      </c>
      <c r="BR406" s="518" t="str">
        <f>IF(AND(_A4="B-737-800",'2025'!$N$4="CA",'2025'!$N$2=BR385),'2025DATA'!$M$23,"")</f>
        <v/>
      </c>
      <c r="BS406" s="520" t="str">
        <f>IF(AND(_A4="B-737-800",'2025'!$N$4="CA",'2025'!$N$2=BS385),'2025DATA'!$N$23,"")</f>
        <v/>
      </c>
      <c r="BT406" s="940" t="s">
        <v>69</v>
      </c>
      <c r="BU406" s="13" t="s">
        <v>61</v>
      </c>
      <c r="BV406" s="518" t="str">
        <f>IF(AND(_A5="B-737-800",'2025'!$N$4="CA",'2025'!$N$2=BV385),'2025DATA'!$C$23,"")</f>
        <v/>
      </c>
      <c r="BW406" s="518" t="str">
        <f>IF(AND(_A5="B-737-800",'2025'!$N$4="CA",'2025'!$N$2=BW385),'2025DATA'!$D$23,"")</f>
        <v/>
      </c>
      <c r="BX406" s="518" t="str">
        <f>IF(AND(_A5="B-737-800",'2025'!$N$4="CA",'2025'!$N$2=BX385),'2025DATA'!$E$23,"")</f>
        <v/>
      </c>
      <c r="BY406" s="518" t="str">
        <f>IF(AND(_A5="B-737-800",'2025'!$N$4="CA",'2025'!$N$2=BY385),'2025DATA'!$F$23,"")</f>
        <v/>
      </c>
      <c r="BZ406" s="518" t="str">
        <f>IF(AND(_A5="B-737-800",'2025'!$N$4="CA",'2025'!$N$2=BZ385),'2025DATA'!$G$23,"")</f>
        <v/>
      </c>
      <c r="CA406" s="518" t="str">
        <f>IF(AND(_A5="B-737-800",'2025'!$N$4="CA",'2025'!$N$2=CA385),'2025DATA'!$H$23,"")</f>
        <v/>
      </c>
      <c r="CB406" s="518" t="str">
        <f>IF(AND(_A5="B-737-800",'2025'!$N$4="CA",'2025'!$N$2=CB385),'2025DATA'!$I$23,"")</f>
        <v/>
      </c>
      <c r="CC406" s="518" t="str">
        <f>IF(AND(_A5="B-737-800",'2025'!$N$4="CA",'2025'!$N$2=CC385),'2025DATA'!$J$23,"")</f>
        <v/>
      </c>
      <c r="CD406" s="518" t="str">
        <f>IF(AND(_A5="B-737-800",'2025'!$N$4="CA",'2025'!$N$2=CD385),'2025DATA'!$K$23,"")</f>
        <v/>
      </c>
      <c r="CE406" s="518" t="str">
        <f>IF(AND(_A5="B-737-800",'2025'!$N$4="CA",'2025'!$N$2=CE385),'2025DATA'!$L$23,"")</f>
        <v/>
      </c>
      <c r="CF406" s="518" t="str">
        <f>IF(AND(_A5="B-737-800",'2025'!$N$4="CA",'2025'!$N$2=CF385),'2025DATA'!$M$23,"")</f>
        <v/>
      </c>
      <c r="CG406" s="520" t="str">
        <f>IF(AND(_A5="B-737-800",'2025'!$N$4="CA",'2025'!$N$2=CG385),'2025DATA'!$N$23,"")</f>
        <v/>
      </c>
      <c r="CH406" s="940" t="s">
        <v>69</v>
      </c>
      <c r="CI406" s="13" t="s">
        <v>61</v>
      </c>
      <c r="CJ406" s="518" t="str">
        <f>IF(AND(_A6="B-737-800",'2025'!$N$4="CA",'2025'!$N$2=CJ385),'2025DATA'!$C$23,"")</f>
        <v/>
      </c>
      <c r="CK406" s="518" t="str">
        <f>IF(AND(_A6="B-737-800",'2025'!$N$4="CA",'2025'!$N$2=CK385),'2025DATA'!$D$23,"")</f>
        <v/>
      </c>
      <c r="CL406" s="518" t="str">
        <f>IF(AND(_A6="B-737-800",'2025'!$N$4="CA",'2025'!$N$2=CL385),'2025DATA'!$E$23,"")</f>
        <v/>
      </c>
      <c r="CM406" s="518" t="str">
        <f>IF(AND(_A6="B-737-800",'2025'!$N$4="CA",'2025'!$N$2=CM385),'2025DATA'!$F$23,"")</f>
        <v/>
      </c>
      <c r="CN406" s="518" t="str">
        <f>IF(AND(_A6="B-737-800",'2025'!$N$4="CA",'2025'!$N$2=CN385),'2025DATA'!$G$23,"")</f>
        <v/>
      </c>
      <c r="CO406" s="518" t="str">
        <f>IF(AND(_A6="B-737-800",'2025'!$N$4="CA",'2025'!$N$2=CO385),'2025DATA'!$H$23,"")</f>
        <v/>
      </c>
      <c r="CP406" s="518" t="str">
        <f>IF(AND(_A6="B-737-800",'2025'!$N$4="CA",'2025'!$N$2=CP385),'2025DATA'!$I$23,"")</f>
        <v/>
      </c>
      <c r="CQ406" s="518" t="str">
        <f>IF(AND(_A6="B-737-800",'2025'!$N$4="CA",'2025'!$N$2=CQ385),'2025DATA'!$J$23,"")</f>
        <v/>
      </c>
      <c r="CR406" s="518" t="str">
        <f>IF(AND(_A6="B-737-800",'2025'!$N$4="CA",'2025'!$N$2=CR385),'2025DATA'!$K$23,"")</f>
        <v/>
      </c>
      <c r="CS406" s="518" t="str">
        <f>IF(AND(_A6="B-737-800",'2025'!$N$4="CA",'2025'!$N$2=CS385),'2025DATA'!$L$23,"")</f>
        <v/>
      </c>
      <c r="CT406" s="518" t="str">
        <f>IF(AND(_A6="B-737-800",'2025'!$N$4="CA",'2025'!$N$2=CT385),'2025DATA'!$M$23,"")</f>
        <v/>
      </c>
      <c r="CU406" s="520" t="str">
        <f>IF(AND(_A6="B-737-800",'2025'!$N$4="CA",'2025'!$N$2=CU385),'2025DATA'!$N$23,"")</f>
        <v/>
      </c>
    </row>
    <row r="407" spans="16:99" x14ac:dyDescent="0.25">
      <c r="P407" s="940"/>
      <c r="Q407" s="13" t="s">
        <v>62</v>
      </c>
      <c r="R407" s="518" t="str">
        <f>IF(AND(_A1="B-737-800",'2025'!$N$4="FO",'2025'!$N$2=R385),'2025DATA'!$C$24,"")</f>
        <v/>
      </c>
      <c r="S407" s="518" t="str">
        <f>IF(AND(_A1="B-737-800",'2025'!$N$4="FO",'2025'!$N$2=S385),'2025DATA'!$D$24,"")</f>
        <v/>
      </c>
      <c r="T407" s="518" t="str">
        <f>IF(AND(_A1="B-737-800",'2025'!$N$4="FO",'2025'!$N$2=T385),'2025DATA'!$E$24,"")</f>
        <v/>
      </c>
      <c r="U407" s="518" t="str">
        <f>IF(AND(_A1="B-737-800",'2025'!$N$4="FO",'2025'!$N$2=U385),'2025DATA'!$F$24,"")</f>
        <v/>
      </c>
      <c r="V407" s="518" t="str">
        <f>IF(AND(_A1="B-737-800",'2025'!$N$4="FO",'2025'!$N$2=V385),'2025DATA'!$G$24,"")</f>
        <v/>
      </c>
      <c r="W407" s="518" t="str">
        <f>IF(AND(_A1="B-737-800",'2025'!$N$4="FO",'2025'!$N$2=W385),'2025DATA'!$H$24,"")</f>
        <v/>
      </c>
      <c r="X407" s="518" t="str">
        <f>IF(AND(_A1="B-737-800",'2025'!$N$4="FO",'2025'!$N$2=X385),'2025DATA'!$I$24,"")</f>
        <v/>
      </c>
      <c r="Y407" s="518" t="str">
        <f>IF(AND(_A1="B-737-800",'2025'!$N$4="FO",'2025'!$N$2=Y385),'2025DATA'!$J$24,"")</f>
        <v/>
      </c>
      <c r="Z407" s="518" t="str">
        <f>IF(AND(_A1="B-737-800",'2025'!$N$4="FO",'2025'!$N$2=Z385),'2025DATA'!$K$24,"")</f>
        <v/>
      </c>
      <c r="AA407" s="518" t="str">
        <f>IF(AND(_A1="B-737-800",'2025'!$N$4="FO",'2025'!$N$2=AA385),'2025DATA'!$L$24,"")</f>
        <v/>
      </c>
      <c r="AB407" s="518" t="str">
        <f>IF(AND(_A1="B-737-800",'2025'!$N$4="FO",'2025'!$N$2=AB385),'2025DATA'!$M$24,"")</f>
        <v/>
      </c>
      <c r="AC407" s="520" t="str">
        <f>IF(AND(_A1="B-737-800",'2025'!$N$4="FO",'2025'!$N$2=AC385),'2025DATA'!$N$24,"")</f>
        <v/>
      </c>
      <c r="AD407" s="940"/>
      <c r="AE407" s="13" t="s">
        <v>62</v>
      </c>
      <c r="AF407" s="518" t="str">
        <f>IF(AND(_A2="B-737-800",'2025'!$N$4="FO",'2025'!$N$2=AF385),'2025DATA'!$C$24,"")</f>
        <v/>
      </c>
      <c r="AG407" s="518" t="str">
        <f>IF(AND(_A2="B-737-800",'2025'!$N$4="FO",'2025'!$N$2=AG385),'2025DATA'!$D$24,"")</f>
        <v/>
      </c>
      <c r="AH407" s="518" t="str">
        <f>IF(AND(_A2="B-737-800",'2025'!$N$4="FO",'2025'!$N$2=AH385),'2025DATA'!$E$24,"")</f>
        <v/>
      </c>
      <c r="AI407" s="518" t="str">
        <f>IF(AND(_A2="B-737-800",'2025'!$N$4="FO",'2025'!$N$2=AI385),'2025DATA'!$F$24,"")</f>
        <v/>
      </c>
      <c r="AJ407" s="518" t="str">
        <f>IF(AND(_A2="B-737-800",'2025'!$N$4="FO",'2025'!$N$2=AJ385),'2025DATA'!$G$24,"")</f>
        <v/>
      </c>
      <c r="AK407" s="518" t="str">
        <f>IF(AND(_A2="B-737-800",'2025'!$N$4="FO",'2025'!$N$2=AK385),'2025DATA'!$H$24,"")</f>
        <v/>
      </c>
      <c r="AL407" s="518" t="str">
        <f>IF(AND(_A2="B-737-800",'2025'!$N$4="FO",'2025'!$N$2=AL385),'2025DATA'!$I$24,"")</f>
        <v/>
      </c>
      <c r="AM407" s="518" t="str">
        <f>IF(AND(_A2="B-737-800",'2025'!$N$4="FO",'2025'!$N$2=AM385),'2025DATA'!$J$24,"")</f>
        <v/>
      </c>
      <c r="AN407" s="518" t="str">
        <f>IF(AND(_A2="B-737-800",'2025'!$N$4="FO",'2025'!$N$2=AN385),'2025DATA'!$K$24,"")</f>
        <v/>
      </c>
      <c r="AO407" s="518" t="str">
        <f>IF(AND(_A2="B-737-800",'2025'!$N$4="FO",'2025'!$N$2=AO385),'2025DATA'!$L$24,"")</f>
        <v/>
      </c>
      <c r="AP407" s="518" t="str">
        <f>IF(AND(_A2="B-737-800",'2025'!$N$4="FO",'2025'!$N$2=AP385),'2025DATA'!$M$24,"")</f>
        <v/>
      </c>
      <c r="AQ407" s="520" t="str">
        <f>IF(AND(_A2="B-737-800",'2025'!$N$4="FO",'2025'!$N$2=AQ385),'2025DATA'!$N$24,"")</f>
        <v/>
      </c>
      <c r="AR407" s="940"/>
      <c r="AS407" s="13" t="s">
        <v>62</v>
      </c>
      <c r="AT407" s="518" t="str">
        <f>IF(AND(_A3="B-737-800",'2025'!$N$4="FO",'2025'!$N$2=AT385),'2025DATA'!$C$24,"")</f>
        <v/>
      </c>
      <c r="AU407" s="518" t="str">
        <f>IF(AND(_A3="B-737-800",'2025'!$N$4="FO",'2025'!$N$2=AU385),'2025DATA'!$D$24,"")</f>
        <v/>
      </c>
      <c r="AV407" s="518" t="str">
        <f>IF(AND(_A3="B-737-800",'2025'!$N$4="FO",'2025'!$N$2=AV385),'2025DATA'!$E$24,"")</f>
        <v/>
      </c>
      <c r="AW407" s="518" t="str">
        <f>IF(AND(_A3="B-737-800",'2025'!$N$4="FO",'2025'!$N$2=AW385),'2025DATA'!$F$24,"")</f>
        <v/>
      </c>
      <c r="AX407" s="518" t="str">
        <f>IF(AND(_A3="B-737-800",'2025'!$N$4="FO",'2025'!$N$2=AX385),'2025DATA'!$G$24,"")</f>
        <v/>
      </c>
      <c r="AY407" s="518" t="str">
        <f>IF(AND(_A3="B-737-800",'2025'!$N$4="FO",'2025'!$N$2=AY385),'2025DATA'!$H$24,"")</f>
        <v/>
      </c>
      <c r="AZ407" s="518" t="str">
        <f>IF(AND(_A3="B-737-800",'2025'!$N$4="FO",'2025'!$N$2=AZ385),'2025DATA'!$I$24,"")</f>
        <v/>
      </c>
      <c r="BA407" s="518" t="str">
        <f>IF(AND(_A3="B-737-800",'2025'!$N$4="FO",'2025'!$N$2=BA385),'2025DATA'!$J$24,"")</f>
        <v/>
      </c>
      <c r="BB407" s="518" t="str">
        <f>IF(AND(_A3="B-737-800",'2025'!$N$4="FO",'2025'!$N$2=BB385),'2025DATA'!$K$24,"")</f>
        <v/>
      </c>
      <c r="BC407" s="518" t="str">
        <f>IF(AND(_A3="B-737-800",'2025'!$N$4="FO",'2025'!$N$2=BC385),'2025DATA'!$L$24,"")</f>
        <v/>
      </c>
      <c r="BD407" s="518" t="str">
        <f>IF(AND(_A3="B-737-800",'2025'!$N$4="FO",'2025'!$N$2=BD385),'2025DATA'!$M$24,"")</f>
        <v/>
      </c>
      <c r="BE407" s="520" t="str">
        <f>IF(AND(_A3="B-737-800",'2025'!$N$4="FO",'2025'!$N$2=BE385),'2025DATA'!$N$24,"")</f>
        <v/>
      </c>
      <c r="BF407" s="940"/>
      <c r="BG407" s="13" t="s">
        <v>62</v>
      </c>
      <c r="BH407" s="518" t="str">
        <f>IF(AND(_A4="B-737-800",'2025'!$N$4="FO",'2025'!$N$2=BH385),'2025DATA'!$C$24,"")</f>
        <v/>
      </c>
      <c r="BI407" s="518" t="str">
        <f>IF(AND(_A4="B-737-800",'2025'!$N$4="FO",'2025'!$N$2=BI385),'2025DATA'!$D$24,"")</f>
        <v/>
      </c>
      <c r="BJ407" s="518" t="str">
        <f>IF(AND(_A4="B-737-800",'2025'!$N$4="FO",'2025'!$N$2=BJ385),'2025DATA'!$E$24,"")</f>
        <v/>
      </c>
      <c r="BK407" s="518" t="str">
        <f>IF(AND(_A4="B-737-800",'2025'!$N$4="FO",'2025'!$N$2=BK385),'2025DATA'!$F$24,"")</f>
        <v/>
      </c>
      <c r="BL407" s="518" t="str">
        <f>IF(AND(_A4="B-737-800",'2025'!$N$4="FO",'2025'!$N$2=BL385),'2025DATA'!$G$24,"")</f>
        <v/>
      </c>
      <c r="BM407" s="518" t="str">
        <f>IF(AND(_A4="B-737-800",'2025'!$N$4="FO",'2025'!$N$2=BM385),'2025DATA'!$H$24,"")</f>
        <v/>
      </c>
      <c r="BN407" s="518" t="str">
        <f>IF(AND(_A4="B-737-800",'2025'!$N$4="FO",'2025'!$N$2=BN385),'2025DATA'!$I$24,"")</f>
        <v/>
      </c>
      <c r="BO407" s="518" t="str">
        <f>IF(AND(_A4="B-737-800",'2025'!$N$4="FO",'2025'!$N$2=BO385),'2025DATA'!$J$24,"")</f>
        <v/>
      </c>
      <c r="BP407" s="518" t="str">
        <f>IF(AND(_A4="B-737-800",'2025'!$N$4="FO",'2025'!$N$2=BP385),'2025DATA'!$K$24,"")</f>
        <v/>
      </c>
      <c r="BQ407" s="518" t="str">
        <f>IF(AND(_A4="B-737-800",'2025'!$N$4="FO",'2025'!$N$2=BQ385),'2025DATA'!$L$24,"")</f>
        <v/>
      </c>
      <c r="BR407" s="518" t="str">
        <f>IF(AND(_A4="B-737-800",'2025'!$N$4="FO",'2025'!$N$2=BR385),'2025DATA'!$M$24,"")</f>
        <v/>
      </c>
      <c r="BS407" s="520" t="str">
        <f>IF(AND(_A4="B-737-800",'2025'!$N$4="FO",'2025'!$N$2=BS385),'2025DATA'!$N$24,"")</f>
        <v/>
      </c>
      <c r="BT407" s="940"/>
      <c r="BU407" s="13" t="s">
        <v>62</v>
      </c>
      <c r="BV407" s="518" t="str">
        <f>IF(AND(_A5="B-737-800",'2025'!$N$4="FO",'2025'!$N$2=BV385),'2025DATA'!$C$24,"")</f>
        <v/>
      </c>
      <c r="BW407" s="518" t="str">
        <f>IF(AND(_A5="B-737-800",'2025'!$N$4="FO",'2025'!$N$2=BW385),'2025DATA'!$D$24,"")</f>
        <v/>
      </c>
      <c r="BX407" s="518" t="str">
        <f>IF(AND(_A5="B-737-800",'2025'!$N$4="FO",'2025'!$N$2=BX385),'2025DATA'!$E$24,"")</f>
        <v/>
      </c>
      <c r="BY407" s="518" t="str">
        <f>IF(AND(_A5="B-737-800",'2025'!$N$4="FO",'2025'!$N$2=BY385),'2025DATA'!$F$24,"")</f>
        <v/>
      </c>
      <c r="BZ407" s="518" t="str">
        <f>IF(AND(_A5="B-737-800",'2025'!$N$4="FO",'2025'!$N$2=BZ385),'2025DATA'!$G$24,"")</f>
        <v/>
      </c>
      <c r="CA407" s="518" t="str">
        <f>IF(AND(_A5="B-737-800",'2025'!$N$4="FO",'2025'!$N$2=CA385),'2025DATA'!$H$24,"")</f>
        <v/>
      </c>
      <c r="CB407" s="518" t="str">
        <f>IF(AND(_A5="B-737-800",'2025'!$N$4="FO",'2025'!$N$2=CB385),'2025DATA'!$I$24,"")</f>
        <v/>
      </c>
      <c r="CC407" s="518" t="str">
        <f>IF(AND(_A5="B-737-800",'2025'!$N$4="FO",'2025'!$N$2=CC385),'2025DATA'!$J$24,"")</f>
        <v/>
      </c>
      <c r="CD407" s="518" t="str">
        <f>IF(AND(_A5="B-737-800",'2025'!$N$4="FO",'2025'!$N$2=CD385),'2025DATA'!$K$24,"")</f>
        <v/>
      </c>
      <c r="CE407" s="518" t="str">
        <f>IF(AND(_A5="B-737-800",'2025'!$N$4="FO",'2025'!$N$2=CE385),'2025DATA'!$L$24,"")</f>
        <v/>
      </c>
      <c r="CF407" s="518" t="str">
        <f>IF(AND(_A5="B-737-800",'2025'!$N$4="FO",'2025'!$N$2=CF385),'2025DATA'!$M$24,"")</f>
        <v/>
      </c>
      <c r="CG407" s="520" t="str">
        <f>IF(AND(_A5="B-737-800",'2025'!$N$4="FO",'2025'!$N$2=CG385),'2025DATA'!$N$24,"")</f>
        <v/>
      </c>
      <c r="CH407" s="940"/>
      <c r="CI407" s="13" t="s">
        <v>62</v>
      </c>
      <c r="CJ407" s="518" t="str">
        <f>IF(AND(_A6="B-737-800",'2025'!$N$4="FO",'2025'!$N$2=CJ385),'2025DATA'!$C$24,"")</f>
        <v/>
      </c>
      <c r="CK407" s="518" t="str">
        <f>IF(AND(_A6="B-737-800",'2025'!$N$4="FO",'2025'!$N$2=CK385),'2025DATA'!$D$24,"")</f>
        <v/>
      </c>
      <c r="CL407" s="518" t="str">
        <f>IF(AND(_A6="B-737-800",'2025'!$N$4="FO",'2025'!$N$2=CL385),'2025DATA'!$E$24,"")</f>
        <v/>
      </c>
      <c r="CM407" s="518" t="str">
        <f>IF(AND(_A6="B-737-800",'2025'!$N$4="FO",'2025'!$N$2=CM385),'2025DATA'!$F$24,"")</f>
        <v/>
      </c>
      <c r="CN407" s="518" t="str">
        <f>IF(AND(_A6="B-737-800",'2025'!$N$4="FO",'2025'!$N$2=CN385),'2025DATA'!$G$24,"")</f>
        <v/>
      </c>
      <c r="CO407" s="518" t="str">
        <f>IF(AND(_A6="B-737-800",'2025'!$N$4="FO",'2025'!$N$2=CO385),'2025DATA'!$H$24,"")</f>
        <v/>
      </c>
      <c r="CP407" s="518" t="str">
        <f>IF(AND(_A6="B-737-800",'2025'!$N$4="FO",'2025'!$N$2=CP385),'2025DATA'!$I$24,"")</f>
        <v/>
      </c>
      <c r="CQ407" s="518" t="str">
        <f>IF(AND(_A6="B-737-800",'2025'!$N$4="FO",'2025'!$N$2=CQ385),'2025DATA'!$J$24,"")</f>
        <v/>
      </c>
      <c r="CR407" s="518" t="str">
        <f>IF(AND(_A6="B-737-800",'2025'!$N$4="FO",'2025'!$N$2=CR385),'2025DATA'!$K$24,"")</f>
        <v/>
      </c>
      <c r="CS407" s="518" t="str">
        <f>IF(AND(_A6="B-737-800",'2025'!$N$4="FO",'2025'!$N$2=CS385),'2025DATA'!$L$24,"")</f>
        <v/>
      </c>
      <c r="CT407" s="518" t="str">
        <f>IF(AND(_A6="B-737-800",'2025'!$N$4="FO",'2025'!$N$2=CT385),'2025DATA'!$M$24,"")</f>
        <v/>
      </c>
      <c r="CU407" s="520" t="str">
        <f>IF(AND(_A6="B-737-800",'2025'!$N$4="FO",'2025'!$N$2=CU385),'2025DATA'!$N$24,"")</f>
        <v/>
      </c>
    </row>
    <row r="408" spans="16:99" x14ac:dyDescent="0.25">
      <c r="P408" s="940" t="s">
        <v>46</v>
      </c>
      <c r="Q408" s="13" t="s">
        <v>61</v>
      </c>
      <c r="R408" s="518" t="str">
        <f>IF(AND(_A1="A-321N",'2025'!$N$4="CA",'2025'!$N$2=R385),'2025DATA'!$C$25,"")</f>
        <v/>
      </c>
      <c r="S408" s="518" t="str">
        <f>IF(AND(_A1="A-321N",'2025'!$N$4="CA",'2025'!$N$2=S385),'2025DATA'!$D$25,"")</f>
        <v/>
      </c>
      <c r="T408" s="518" t="str">
        <f>IF(AND(_A1="A-321N",'2025'!$N$4="CA",'2025'!$N$2=T385),'2025DATA'!$E$25,"")</f>
        <v/>
      </c>
      <c r="U408" s="518" t="str">
        <f>IF(AND(_A1="A-321N",'2025'!$N$4="CA",'2025'!$N$2=U385),'2025DATA'!$F$25,"")</f>
        <v/>
      </c>
      <c r="V408" s="518" t="str">
        <f>IF(AND(_A1="A-321N",'2025'!$N$4="CA",'2025'!$N$2=V385),'2025DATA'!$G$25,"")</f>
        <v/>
      </c>
      <c r="W408" s="518" t="str">
        <f>IF(AND(_A1="A-321N",'2025'!$N$4="CA",'2025'!$N$2=W385),'2025DATA'!$H$25,"")</f>
        <v/>
      </c>
      <c r="X408" s="518" t="str">
        <f>IF(AND(_A1="A-321N",'2025'!$N$4="CA",'2025'!$N$2=X385),'2025DATA'!$I$25,"")</f>
        <v/>
      </c>
      <c r="Y408" s="518" t="str">
        <f>IF(AND(_A1="A-321N",'2025'!$N$4="CA",'2025'!$N$2=Y385),'2025DATA'!$J$25,"")</f>
        <v/>
      </c>
      <c r="Z408" s="518" t="str">
        <f>IF(AND(_A1="A-321N",'2025'!$N$4="CA",'2025'!$N$2=Z385),'2025DATA'!$K$25,"")</f>
        <v/>
      </c>
      <c r="AA408" s="518" t="str">
        <f>IF(AND(_A1="A-321N",'2025'!$N$4="CA",'2025'!$N$2=AA385),'2025DATA'!$L$25,"")</f>
        <v/>
      </c>
      <c r="AB408" s="518" t="str">
        <f>IF(AND(_A1="A-321N",'2025'!$N$4="CA",'2025'!$N$2=AB385),'2025DATA'!$M$25,"")</f>
        <v/>
      </c>
      <c r="AC408" s="520" t="str">
        <f>IF(AND(_A1="A-321N",'2025'!$N$4="CA",'2025'!$N$2=AC385),'2025DATA'!$N$25,"")</f>
        <v/>
      </c>
      <c r="AD408" s="940" t="s">
        <v>46</v>
      </c>
      <c r="AE408" s="13" t="s">
        <v>61</v>
      </c>
      <c r="AF408" s="518" t="str">
        <f>IF(AND(_A2="A-321N",'2025'!$N$4="CA",'2025'!$N$2=AF385),'2025DATA'!$C$25,"")</f>
        <v/>
      </c>
      <c r="AG408" s="518" t="str">
        <f>IF(AND(_A2="A-321N",'2025'!$N$4="CA",'2025'!$N$2=AG385),'2025DATA'!$D$25,"")</f>
        <v/>
      </c>
      <c r="AH408" s="518" t="str">
        <f>IF(AND(_A2="A-321N",'2025'!$N$4="CA",'2025'!$N$2=AH385),'2025DATA'!$E$25,"")</f>
        <v/>
      </c>
      <c r="AI408" s="518" t="str">
        <f>IF(AND(_A2="A-321N",'2025'!$N$4="CA",'2025'!$N$2=AI385),'2025DATA'!$F$25,"")</f>
        <v/>
      </c>
      <c r="AJ408" s="518" t="str">
        <f>IF(AND(_A2="A-321N",'2025'!$N$4="CA",'2025'!$N$2=AJ385),'2025DATA'!$G$25,"")</f>
        <v/>
      </c>
      <c r="AK408" s="518" t="str">
        <f>IF(AND(_A2="A-321N",'2025'!$N$4="CA",'2025'!$N$2=AK385),'2025DATA'!$H$25,"")</f>
        <v/>
      </c>
      <c r="AL408" s="518" t="str">
        <f>IF(AND(_A2="A-321N",'2025'!$N$4="CA",'2025'!$N$2=AL385),'2025DATA'!$I$25,"")</f>
        <v/>
      </c>
      <c r="AM408" s="518" t="str">
        <f>IF(AND(_A2="A-321N",'2025'!$N$4="CA",'2025'!$N$2=AM385),'2025DATA'!$J$25,"")</f>
        <v/>
      </c>
      <c r="AN408" s="518" t="str">
        <f>IF(AND(_A2="A-321N",'2025'!$N$4="CA",'2025'!$N$2=AN385),'2025DATA'!$K$25,"")</f>
        <v/>
      </c>
      <c r="AO408" s="518" t="str">
        <f>IF(AND(_A2="A-321N",'2025'!$N$4="CA",'2025'!$N$2=AO385),'2025DATA'!$L$25,"")</f>
        <v/>
      </c>
      <c r="AP408" s="518" t="str">
        <f>IF(AND(_A2="A-321N",'2025'!$N$4="CA",'2025'!$N$2=AP385),'2025DATA'!$M$25,"")</f>
        <v/>
      </c>
      <c r="AQ408" s="520" t="str">
        <f>IF(AND(_A2="A-321N",'2025'!$N$4="CA",'2025'!$N$2=AQ385),'2025DATA'!$N$25,"")</f>
        <v/>
      </c>
      <c r="AR408" s="940" t="s">
        <v>46</v>
      </c>
      <c r="AS408" s="13" t="s">
        <v>61</v>
      </c>
      <c r="AT408" s="518" t="str">
        <f>IF(AND(_A3="A-321N",'2025'!$N$4="CA",'2025'!$N$2=AT385),'2025DATA'!$C$25,"")</f>
        <v/>
      </c>
      <c r="AU408" s="518" t="str">
        <f>IF(AND(_A3="A-321N",'2025'!$N$4="CA",'2025'!$N$2=AU385),'2025DATA'!$D$25,"")</f>
        <v/>
      </c>
      <c r="AV408" s="518" t="str">
        <f>IF(AND(_A3="A-321N",'2025'!$N$4="CA",'2025'!$N$2=AV385),'2025DATA'!$E$25,"")</f>
        <v/>
      </c>
      <c r="AW408" s="518" t="str">
        <f>IF(AND(_A3="A-321N",'2025'!$N$4="CA",'2025'!$N$2=AW385),'2025DATA'!$F$25,"")</f>
        <v/>
      </c>
      <c r="AX408" s="518" t="str">
        <f>IF(AND(_A3="A-321N",'2025'!$N$4="CA",'2025'!$N$2=AX385),'2025DATA'!$G$25,"")</f>
        <v/>
      </c>
      <c r="AY408" s="518" t="str">
        <f>IF(AND(_A3="A-321N",'2025'!$N$4="CA",'2025'!$N$2=AY385),'2025DATA'!$H$25,"")</f>
        <v/>
      </c>
      <c r="AZ408" s="518" t="str">
        <f>IF(AND(_A3="A-321N",'2025'!$N$4="CA",'2025'!$N$2=AZ385),'2025DATA'!$I$25,"")</f>
        <v/>
      </c>
      <c r="BA408" s="518" t="str">
        <f>IF(AND(_A3="A-321N",'2025'!$N$4="CA",'2025'!$N$2=BA385),'2025DATA'!$J$25,"")</f>
        <v/>
      </c>
      <c r="BB408" s="518" t="str">
        <f>IF(AND(_A3="A-321N",'2025'!$N$4="CA",'2025'!$N$2=BB385),'2025DATA'!$K$25,"")</f>
        <v/>
      </c>
      <c r="BC408" s="518" t="str">
        <f>IF(AND(_A3="A-321N",'2025'!$N$4="CA",'2025'!$N$2=BC385),'2025DATA'!$L$25,"")</f>
        <v/>
      </c>
      <c r="BD408" s="518" t="str">
        <f>IF(AND(_A3="A-321N",'2025'!$N$4="CA",'2025'!$N$2=BD385),'2025DATA'!$M$25,"")</f>
        <v/>
      </c>
      <c r="BE408" s="520" t="str">
        <f>IF(AND(_A3="A-321N",'2025'!$N$4="CA",'2025'!$N$2=BE385),'2025DATA'!$N$25,"")</f>
        <v/>
      </c>
      <c r="BF408" s="940" t="s">
        <v>46</v>
      </c>
      <c r="BG408" s="13" t="s">
        <v>61</v>
      </c>
      <c r="BH408" s="518" t="str">
        <f>IF(AND(_A4="A-321N",'2025'!$N$4="CA",'2025'!$N$2=BH385),'2025DATA'!$C$25,"")</f>
        <v/>
      </c>
      <c r="BI408" s="518" t="str">
        <f>IF(AND(_A4="A-321N",'2025'!$N$4="CA",'2025'!$N$2=BI385),'2025DATA'!$D$25,"")</f>
        <v/>
      </c>
      <c r="BJ408" s="518" t="str">
        <f>IF(AND(_A4="A-321N",'2025'!$N$4="CA",'2025'!$N$2=BJ385),'2025DATA'!$E$25,"")</f>
        <v/>
      </c>
      <c r="BK408" s="518" t="str">
        <f>IF(AND(_A4="A-321N",'2025'!$N$4="CA",'2025'!$N$2=BK385),'2025DATA'!$F$25,"")</f>
        <v/>
      </c>
      <c r="BL408" s="518" t="str">
        <f>IF(AND(_A4="A-321N",'2025'!$N$4="CA",'2025'!$N$2=BL385),'2025DATA'!$G$25,"")</f>
        <v/>
      </c>
      <c r="BM408" s="518" t="str">
        <f>IF(AND(_A4="A-321N",'2025'!$N$4="CA",'2025'!$N$2=BM385),'2025DATA'!$H$25,"")</f>
        <v/>
      </c>
      <c r="BN408" s="518" t="str">
        <f>IF(AND(_A4="A-321N",'2025'!$N$4="CA",'2025'!$N$2=BN385),'2025DATA'!$I$25,"")</f>
        <v/>
      </c>
      <c r="BO408" s="518" t="str">
        <f>IF(AND(_A4="A-321N",'2025'!$N$4="CA",'2025'!$N$2=BO385),'2025DATA'!$J$25,"")</f>
        <v/>
      </c>
      <c r="BP408" s="518" t="str">
        <f>IF(AND(_A4="A-321N",'2025'!$N$4="CA",'2025'!$N$2=BP385),'2025DATA'!$K$25,"")</f>
        <v/>
      </c>
      <c r="BQ408" s="518" t="str">
        <f>IF(AND(_A4="A-321N",'2025'!$N$4="CA",'2025'!$N$2=BQ385),'2025DATA'!$L$25,"")</f>
        <v/>
      </c>
      <c r="BR408" s="518" t="str">
        <f>IF(AND(_A4="A-321N",'2025'!$N$4="CA",'2025'!$N$2=BR385),'2025DATA'!$M$25,"")</f>
        <v/>
      </c>
      <c r="BS408" s="520" t="str">
        <f>IF(AND(_A4="A-321N",'2025'!$N$4="CA",'2025'!$N$2=BS385),'2025DATA'!$N$25,"")</f>
        <v/>
      </c>
      <c r="BT408" s="940" t="s">
        <v>46</v>
      </c>
      <c r="BU408" s="13" t="s">
        <v>61</v>
      </c>
      <c r="BV408" s="518" t="str">
        <f>IF(AND(_A5="A-321N",'2025'!$N$4="CA",'2025'!$N$2=BV385),'2025DATA'!$C$25,"")</f>
        <v/>
      </c>
      <c r="BW408" s="518" t="str">
        <f>IF(AND(_A5="A-321N",'2025'!$N$4="CA",'2025'!$N$2=BW385),'2025DATA'!$D$25,"")</f>
        <v/>
      </c>
      <c r="BX408" s="518" t="str">
        <f>IF(AND(_A5="A-321N",'2025'!$N$4="CA",'2025'!$N$2=BX385),'2025DATA'!$E$25,"")</f>
        <v/>
      </c>
      <c r="BY408" s="518" t="str">
        <f>IF(AND(_A5="A-321N",'2025'!$N$4="CA",'2025'!$N$2=BY385),'2025DATA'!$F$25,"")</f>
        <v/>
      </c>
      <c r="BZ408" s="518" t="str">
        <f>IF(AND(_A5="A-321N",'2025'!$N$4="CA",'2025'!$N$2=BZ385),'2025DATA'!$G$25,"")</f>
        <v/>
      </c>
      <c r="CA408" s="518" t="str">
        <f>IF(AND(_A5="A-321N",'2025'!$N$4="CA",'2025'!$N$2=CA385),'2025DATA'!$H$25,"")</f>
        <v/>
      </c>
      <c r="CB408" s="518" t="str">
        <f>IF(AND(_A5="A-321N",'2025'!$N$4="CA",'2025'!$N$2=CB385),'2025DATA'!$I$25,"")</f>
        <v/>
      </c>
      <c r="CC408" s="518" t="str">
        <f>IF(AND(_A5="A-321N",'2025'!$N$4="CA",'2025'!$N$2=CC385),'2025DATA'!$J$25,"")</f>
        <v/>
      </c>
      <c r="CD408" s="518" t="str">
        <f>IF(AND(_A5="A-321N",'2025'!$N$4="CA",'2025'!$N$2=CD385),'2025DATA'!$K$25,"")</f>
        <v/>
      </c>
      <c r="CE408" s="518" t="str">
        <f>IF(AND(_A5="A-321N",'2025'!$N$4="CA",'2025'!$N$2=CE385),'2025DATA'!$L$25,"")</f>
        <v/>
      </c>
      <c r="CF408" s="518" t="str">
        <f>IF(AND(_A5="A-321N",'2025'!$N$4="CA",'2025'!$N$2=CF385),'2025DATA'!$M$25,"")</f>
        <v/>
      </c>
      <c r="CG408" s="520" t="str">
        <f>IF(AND(_A5="A-321N",'2025'!$N$4="CA",'2025'!$N$2=CG385),'2025DATA'!$N$25,"")</f>
        <v/>
      </c>
      <c r="CH408" s="940" t="s">
        <v>46</v>
      </c>
      <c r="CI408" s="13" t="s">
        <v>61</v>
      </c>
      <c r="CJ408" s="518" t="str">
        <f>IF(AND(_A6="A-321N",'2025'!$N$4="CA",'2025'!$N$2=CJ385),'2025DATA'!$C$25,"")</f>
        <v/>
      </c>
      <c r="CK408" s="518" t="str">
        <f>IF(AND(_A6="A-321N",'2025'!$N$4="CA",'2025'!$N$2=CK385),'2025DATA'!$D$25,"")</f>
        <v/>
      </c>
      <c r="CL408" s="518" t="str">
        <f>IF(AND(_A6="A-321N",'2025'!$N$4="CA",'2025'!$N$2=CL385),'2025DATA'!$E$25,"")</f>
        <v/>
      </c>
      <c r="CM408" s="518" t="str">
        <f>IF(AND(_A6="A-321N",'2025'!$N$4="CA",'2025'!$N$2=CM385),'2025DATA'!$F$25,"")</f>
        <v/>
      </c>
      <c r="CN408" s="518" t="str">
        <f>IF(AND(_A6="A-321N",'2025'!$N$4="CA",'2025'!$N$2=CN385),'2025DATA'!$G$25,"")</f>
        <v/>
      </c>
      <c r="CO408" s="518" t="str">
        <f>IF(AND(_A6="A-321N",'2025'!$N$4="CA",'2025'!$N$2=CO385),'2025DATA'!$H$25,"")</f>
        <v/>
      </c>
      <c r="CP408" s="518" t="str">
        <f>IF(AND(_A6="A-321N",'2025'!$N$4="CA",'2025'!$N$2=CP385),'2025DATA'!$I$25,"")</f>
        <v/>
      </c>
      <c r="CQ408" s="518" t="str">
        <f>IF(AND(_A6="A-321N",'2025'!$N$4="CA",'2025'!$N$2=CQ385),'2025DATA'!$J$25,"")</f>
        <v/>
      </c>
      <c r="CR408" s="518" t="str">
        <f>IF(AND(_A6="A-321N",'2025'!$N$4="CA",'2025'!$N$2=CR385),'2025DATA'!$K$25,"")</f>
        <v/>
      </c>
      <c r="CS408" s="518" t="str">
        <f>IF(AND(_A6="A-321N",'2025'!$N$4="CA",'2025'!$N$2=CS385),'2025DATA'!$L$25,"")</f>
        <v/>
      </c>
      <c r="CT408" s="518" t="str">
        <f>IF(AND(_A6="A-321N",'2025'!$N$4="CA",'2025'!$N$2=CT385),'2025DATA'!$M$25,"")</f>
        <v/>
      </c>
      <c r="CU408" s="520" t="str">
        <f>IF(AND(_A6="A-321N",'2025'!$N$4="CA",'2025'!$N$2=CU385),'2025DATA'!$N$25,"")</f>
        <v/>
      </c>
    </row>
    <row r="409" spans="16:99" x14ac:dyDescent="0.25">
      <c r="P409" s="940"/>
      <c r="Q409" s="13" t="s">
        <v>62</v>
      </c>
      <c r="R409" s="518" t="str">
        <f>IF(AND(_A1="A-321N",'2025'!$N$4="FO",'2025'!$N$2=R385),'2025DATA'!$C$26,"")</f>
        <v/>
      </c>
      <c r="S409" s="518" t="str">
        <f>IF(AND(_A1="A-321N",'2025'!$N$4="FO",'2025'!$N$2=S385),'2025DATA'!$D$26,"")</f>
        <v/>
      </c>
      <c r="T409" s="518" t="str">
        <f>IF(AND(_A1="A-321N",'2025'!$N$4="FO",'2025'!$N$2=T385),'2025DATA'!$E$26,"")</f>
        <v/>
      </c>
      <c r="U409" s="518" t="str">
        <f>IF(AND(_A1="A-321N",'2025'!$N$4="FO",'2025'!$N$2=U385),'2025DATA'!$F$26,"")</f>
        <v/>
      </c>
      <c r="V409" s="518" t="str">
        <f>IF(AND(_A1="A-321N",'2025'!$N$4="FO",'2025'!$N$2=V385),'2025DATA'!$G$26,"")</f>
        <v/>
      </c>
      <c r="W409" s="518" t="str">
        <f>IF(AND(_A1="A-321N",'2025'!$N$4="FO",'2025'!$N$2=W385),'2025DATA'!$H$26,"")</f>
        <v/>
      </c>
      <c r="X409" s="518" t="str">
        <f>IF(AND(_A1="A-321N",'2025'!$N$4="FO",'2025'!$N$2=X385),'2025DATA'!$I$26,"")</f>
        <v/>
      </c>
      <c r="Y409" s="518" t="str">
        <f>IF(AND(_A1="A-321N",'2025'!$N$4="FO",'2025'!$N$2=Y385),'2025DATA'!$J$26,"")</f>
        <v/>
      </c>
      <c r="Z409" s="518" t="str">
        <f>IF(AND(_A1="A-321N",'2025'!$N$4="FO",'2025'!$N$2=Z385),'2025DATA'!$K$26,"")</f>
        <v/>
      </c>
      <c r="AA409" s="518" t="str">
        <f>IF(AND(_A1="A-321N",'2025'!$N$4="FO",'2025'!$N$2=AA385),'2025DATA'!$L$26,"")</f>
        <v/>
      </c>
      <c r="AB409" s="518" t="str">
        <f>IF(AND(_A1="A-321N",'2025'!$N$4="FO",'2025'!$N$2=AB385),'2025DATA'!$M$26,"")</f>
        <v/>
      </c>
      <c r="AC409" s="520" t="str">
        <f>IF(AND(_A1="A-321N",'2025'!$N$4="FO",'2025'!$N$2=AC385),'2025DATA'!$N$26,"")</f>
        <v/>
      </c>
      <c r="AD409" s="940"/>
      <c r="AE409" s="13" t="s">
        <v>62</v>
      </c>
      <c r="AF409" s="518" t="str">
        <f>IF(AND(_A2="A-321N",'2025'!$N$4="FO",'2025'!$N$2=AF385),'2025DATA'!$C$26,"")</f>
        <v/>
      </c>
      <c r="AG409" s="518" t="str">
        <f>IF(AND(_A2="A-321N",'2025'!$N$4="FO",'2025'!$N$2=AG385),'2025DATA'!$D$26,"")</f>
        <v/>
      </c>
      <c r="AH409" s="518" t="str">
        <f>IF(AND(_A2="A-321N",'2025'!$N$4="FO",'2025'!$N$2=AH385),'2025DATA'!$E$26,"")</f>
        <v/>
      </c>
      <c r="AI409" s="518" t="str">
        <f>IF(AND(_A2="A-321N",'2025'!$N$4="FO",'2025'!$N$2=AI385),'2025DATA'!$F$26,"")</f>
        <v/>
      </c>
      <c r="AJ409" s="518" t="str">
        <f>IF(AND(_A2="A-321N",'2025'!$N$4="FO",'2025'!$N$2=AJ385),'2025DATA'!$G$26,"")</f>
        <v/>
      </c>
      <c r="AK409" s="518" t="str">
        <f>IF(AND(_A2="A-321N",'2025'!$N$4="FO",'2025'!$N$2=AK385),'2025DATA'!$H$26,"")</f>
        <v/>
      </c>
      <c r="AL409" s="518" t="str">
        <f>IF(AND(_A2="A-321N",'2025'!$N$4="FO",'2025'!$N$2=AL385),'2025DATA'!$I$26,"")</f>
        <v/>
      </c>
      <c r="AM409" s="518" t="str">
        <f>IF(AND(_A2="A-321N",'2025'!$N$4="FO",'2025'!$N$2=AM385),'2025DATA'!$J$26,"")</f>
        <v/>
      </c>
      <c r="AN409" s="518" t="str">
        <f>IF(AND(_A2="A-321N",'2025'!$N$4="FO",'2025'!$N$2=AN385),'2025DATA'!$K$26,"")</f>
        <v/>
      </c>
      <c r="AO409" s="518" t="str">
        <f>IF(AND(_A2="A-321N",'2025'!$N$4="FO",'2025'!$N$2=AO385),'2025DATA'!$L$26,"")</f>
        <v/>
      </c>
      <c r="AP409" s="518" t="str">
        <f>IF(AND(_A2="A-321N",'2025'!$N$4="FO",'2025'!$N$2=AP385),'2025DATA'!$M$26,"")</f>
        <v/>
      </c>
      <c r="AQ409" s="520" t="str">
        <f>IF(AND(_A2="A-321N",'2025'!$N$4="FO",'2025'!$N$2=AQ385),'2025DATA'!$N$26,"")</f>
        <v/>
      </c>
      <c r="AR409" s="940"/>
      <c r="AS409" s="13" t="s">
        <v>62</v>
      </c>
      <c r="AT409" s="518" t="str">
        <f>IF(AND(_A3="A-321N",'2025'!$N$4="FO",'2025'!$N$2=AT385),'2025DATA'!$C$26,"")</f>
        <v/>
      </c>
      <c r="AU409" s="518" t="str">
        <f>IF(AND(_A3="A-321N",'2025'!$N$4="FO",'2025'!$N$2=AU385),'2025DATA'!$D$26,"")</f>
        <v/>
      </c>
      <c r="AV409" s="518" t="str">
        <f>IF(AND(_A3="A-321N",'2025'!$N$4="FO",'2025'!$N$2=AV385),'2025DATA'!$E$26,"")</f>
        <v/>
      </c>
      <c r="AW409" s="518" t="str">
        <f>IF(AND(_A3="A-321N",'2025'!$N$4="FO",'2025'!$N$2=AW385),'2025DATA'!$F$26,"")</f>
        <v/>
      </c>
      <c r="AX409" s="518" t="str">
        <f>IF(AND(_A3="A-321N",'2025'!$N$4="FO",'2025'!$N$2=AX385),'2025DATA'!$G$26,"")</f>
        <v/>
      </c>
      <c r="AY409" s="518" t="str">
        <f>IF(AND(_A3="A-321N",'2025'!$N$4="FO",'2025'!$N$2=AY385),'2025DATA'!$H$26,"")</f>
        <v/>
      </c>
      <c r="AZ409" s="518" t="str">
        <f>IF(AND(_A3="A-321N",'2025'!$N$4="FO",'2025'!$N$2=AZ385),'2025DATA'!$I$26,"")</f>
        <v/>
      </c>
      <c r="BA409" s="518" t="str">
        <f>IF(AND(_A3="A-321N",'2025'!$N$4="FO",'2025'!$N$2=BA385),'2025DATA'!$J$26,"")</f>
        <v/>
      </c>
      <c r="BB409" s="518" t="str">
        <f>IF(AND(_A3="A-321N",'2025'!$N$4="FO",'2025'!$N$2=BB385),'2025DATA'!$K$26,"")</f>
        <v/>
      </c>
      <c r="BC409" s="518" t="str">
        <f>IF(AND(_A3="A-321N",'2025'!$N$4="FO",'2025'!$N$2=BC385),'2025DATA'!$L$26,"")</f>
        <v/>
      </c>
      <c r="BD409" s="518" t="str">
        <f>IF(AND(_A3="A-321N",'2025'!$N$4="FO",'2025'!$N$2=BD385),'2025DATA'!$M$26,"")</f>
        <v/>
      </c>
      <c r="BE409" s="520" t="str">
        <f>IF(AND(_A3="A-321N",'2025'!$N$4="FO",'2025'!$N$2=BE385),'2025DATA'!$N$26,"")</f>
        <v/>
      </c>
      <c r="BF409" s="940"/>
      <c r="BG409" s="13" t="s">
        <v>62</v>
      </c>
      <c r="BH409" s="518" t="str">
        <f>IF(AND(_A4="A-321N",'2025'!$N$4="FO",'2025'!$N$2=BH385),'2025DATA'!$C$26,"")</f>
        <v/>
      </c>
      <c r="BI409" s="518" t="str">
        <f>IF(AND(_A4="A-321N",'2025'!$N$4="FO",'2025'!$N$2=BI385),'2025DATA'!$D$26,"")</f>
        <v/>
      </c>
      <c r="BJ409" s="518" t="str">
        <f>IF(AND(_A4="A-321N",'2025'!$N$4="FO",'2025'!$N$2=BJ385),'2025DATA'!$E$26,"")</f>
        <v/>
      </c>
      <c r="BK409" s="518" t="str">
        <f>IF(AND(_A4="A-321N",'2025'!$N$4="FO",'2025'!$N$2=BK385),'2025DATA'!$F$26,"")</f>
        <v/>
      </c>
      <c r="BL409" s="518" t="str">
        <f>IF(AND(_A4="A-321N",'2025'!$N$4="FO",'2025'!$N$2=BL385),'2025DATA'!$G$26,"")</f>
        <v/>
      </c>
      <c r="BM409" s="518" t="str">
        <f>IF(AND(_A4="A-321N",'2025'!$N$4="FO",'2025'!$N$2=BM385),'2025DATA'!$H$26,"")</f>
        <v/>
      </c>
      <c r="BN409" s="518" t="str">
        <f>IF(AND(_A4="A-321N",'2025'!$N$4="FO",'2025'!$N$2=BN385),'2025DATA'!$I$26,"")</f>
        <v/>
      </c>
      <c r="BO409" s="518" t="str">
        <f>IF(AND(_A4="A-321N",'2025'!$N$4="FO",'2025'!$N$2=BO385),'2025DATA'!$J$26,"")</f>
        <v/>
      </c>
      <c r="BP409" s="518" t="str">
        <f>IF(AND(_A4="A-321N",'2025'!$N$4="FO",'2025'!$N$2=BP385),'2025DATA'!$K$26,"")</f>
        <v/>
      </c>
      <c r="BQ409" s="518" t="str">
        <f>IF(AND(_A4="A-321N",'2025'!$N$4="FO",'2025'!$N$2=BQ385),'2025DATA'!$L$26,"")</f>
        <v/>
      </c>
      <c r="BR409" s="518" t="str">
        <f>IF(AND(_A4="A-321N",'2025'!$N$4="FO",'2025'!$N$2=BR385),'2025DATA'!$M$26,"")</f>
        <v/>
      </c>
      <c r="BS409" s="520" t="str">
        <f>IF(AND(_A4="A-321N",'2025'!$N$4="FO",'2025'!$N$2=BS385),'2025DATA'!$N$26,"")</f>
        <v/>
      </c>
      <c r="BT409" s="940"/>
      <c r="BU409" s="13" t="s">
        <v>62</v>
      </c>
      <c r="BV409" s="518" t="str">
        <f>IF(AND(_A5="A-321N",'2025'!$N$4="FO",'2025'!$N$2=BV385),'2025DATA'!$C$26,"")</f>
        <v/>
      </c>
      <c r="BW409" s="518" t="str">
        <f>IF(AND(_A5="A-321N",'2025'!$N$4="FO",'2025'!$N$2=BW385),'2025DATA'!$D$26,"")</f>
        <v/>
      </c>
      <c r="BX409" s="518" t="str">
        <f>IF(AND(_A5="A-321N",'2025'!$N$4="FO",'2025'!$N$2=BX385),'2025DATA'!$E$26,"")</f>
        <v/>
      </c>
      <c r="BY409" s="518" t="str">
        <f>IF(AND(_A5="A-321N",'2025'!$N$4="FO",'2025'!$N$2=BY385),'2025DATA'!$F$26,"")</f>
        <v/>
      </c>
      <c r="BZ409" s="518" t="str">
        <f>IF(AND(_A5="A-321N",'2025'!$N$4="FO",'2025'!$N$2=BZ385),'2025DATA'!$G$26,"")</f>
        <v/>
      </c>
      <c r="CA409" s="518" t="str">
        <f>IF(AND(_A5="A-321N",'2025'!$N$4="FO",'2025'!$N$2=CA385),'2025DATA'!$H$26,"")</f>
        <v/>
      </c>
      <c r="CB409" s="518" t="str">
        <f>IF(AND(_A5="A-321N",'2025'!$N$4="FO",'2025'!$N$2=CB385),'2025DATA'!$I$26,"")</f>
        <v/>
      </c>
      <c r="CC409" s="518" t="str">
        <f>IF(AND(_A5="A-321N",'2025'!$N$4="FO",'2025'!$N$2=CC385),'2025DATA'!$J$26,"")</f>
        <v/>
      </c>
      <c r="CD409" s="518" t="str">
        <f>IF(AND(_A5="A-321N",'2025'!$N$4="FO",'2025'!$N$2=CD385),'2025DATA'!$K$26,"")</f>
        <v/>
      </c>
      <c r="CE409" s="518" t="str">
        <f>IF(AND(_A5="A-321N",'2025'!$N$4="FO",'2025'!$N$2=CE385),'2025DATA'!$L$26,"")</f>
        <v/>
      </c>
      <c r="CF409" s="518" t="str">
        <f>IF(AND(_A5="A-321N",'2025'!$N$4="FO",'2025'!$N$2=CF385),'2025DATA'!$M$26,"")</f>
        <v/>
      </c>
      <c r="CG409" s="520" t="str">
        <f>IF(AND(_A5="A-321N",'2025'!$N$4="FO",'2025'!$N$2=CG385),'2025DATA'!$N$26,"")</f>
        <v/>
      </c>
      <c r="CH409" s="940"/>
      <c r="CI409" s="13" t="s">
        <v>62</v>
      </c>
      <c r="CJ409" s="518" t="str">
        <f>IF(AND(_A6="A-321N",'2025'!$N$4="FO",'2025'!$N$2=CJ385),'2025DATA'!$C$26,"")</f>
        <v/>
      </c>
      <c r="CK409" s="518" t="str">
        <f>IF(AND(_A6="A-321N",'2025'!$N$4="FO",'2025'!$N$2=CK385),'2025DATA'!$D$26,"")</f>
        <v/>
      </c>
      <c r="CL409" s="518" t="str">
        <f>IF(AND(_A6="A-321N",'2025'!$N$4="FO",'2025'!$N$2=CL385),'2025DATA'!$E$26,"")</f>
        <v/>
      </c>
      <c r="CM409" s="518" t="str">
        <f>IF(AND(_A6="A-321N",'2025'!$N$4="FO",'2025'!$N$2=CM385),'2025DATA'!$F$26,"")</f>
        <v/>
      </c>
      <c r="CN409" s="518" t="str">
        <f>IF(AND(_A6="A-321N",'2025'!$N$4="FO",'2025'!$N$2=CN385),'2025DATA'!$G$26,"")</f>
        <v/>
      </c>
      <c r="CO409" s="518" t="str">
        <f>IF(AND(_A6="A-321N",'2025'!$N$4="FO",'2025'!$N$2=CO385),'2025DATA'!$H$26,"")</f>
        <v/>
      </c>
      <c r="CP409" s="518" t="str">
        <f>IF(AND(_A6="A-321N",'2025'!$N$4="FO",'2025'!$N$2=CP385),'2025DATA'!$I$26,"")</f>
        <v/>
      </c>
      <c r="CQ409" s="518" t="str">
        <f>IF(AND(_A6="A-321N",'2025'!$N$4="FO",'2025'!$N$2=CQ385),'2025DATA'!$J$26,"")</f>
        <v/>
      </c>
      <c r="CR409" s="518" t="str">
        <f>IF(AND(_A6="A-321N",'2025'!$N$4="FO",'2025'!$N$2=CR385),'2025DATA'!$K$26,"")</f>
        <v/>
      </c>
      <c r="CS409" s="518" t="str">
        <f>IF(AND(_A6="A-321N",'2025'!$N$4="FO",'2025'!$N$2=CS385),'2025DATA'!$L$26,"")</f>
        <v/>
      </c>
      <c r="CT409" s="518" t="str">
        <f>IF(AND(_A6="A-321N",'2025'!$N$4="FO",'2025'!$N$2=CT385),'2025DATA'!$M$26,"")</f>
        <v/>
      </c>
      <c r="CU409" s="520" t="str">
        <f>IF(AND(_A6="A-321N",'2025'!$N$4="FO",'2025'!$N$2=CU385),'2025DATA'!$N$26,"")</f>
        <v/>
      </c>
    </row>
    <row r="410" spans="16:99" x14ac:dyDescent="0.25">
      <c r="P410" s="940" t="s">
        <v>48</v>
      </c>
      <c r="Q410" s="13" t="s">
        <v>61</v>
      </c>
      <c r="R410" s="518" t="str">
        <f>IF(AND(_A1="A-321",'2025'!$N$4="CA",'2025'!$N$2=R385),'2025DATA'!$C$27,"")</f>
        <v/>
      </c>
      <c r="S410" s="518" t="str">
        <f>IF(AND(_A1="A-321",'2025'!$N$4="CA",'2025'!$N$2=S385),'2025DATA'!$D$27,"")</f>
        <v/>
      </c>
      <c r="T410" s="518" t="str">
        <f>IF(AND(_A1="A-321",'2025'!$N$4="CA",'2025'!$N$2=T385),'2025DATA'!$E$27,"")</f>
        <v/>
      </c>
      <c r="U410" s="518" t="str">
        <f>IF(AND(_A1="A-321",'2025'!$N$4="CA",'2025'!$N$2=U385),'2025DATA'!$F$27,"")</f>
        <v/>
      </c>
      <c r="V410" s="518" t="str">
        <f>IF(AND(_A1="A-321",'2025'!$N$4="CA",'2025'!$N$2=V385),'2025DATA'!$G$27,"")</f>
        <v/>
      </c>
      <c r="W410" s="518" t="str">
        <f>IF(AND(_A1="A-321",'2025'!$N$4="CA",'2025'!$N$2=W385),'2025DATA'!$H$27,"")</f>
        <v/>
      </c>
      <c r="X410" s="518" t="str">
        <f>IF(AND(_A1="A-321",'2025'!$N$4="CA",'2025'!$N$2=X385),'2025DATA'!$I$27,"")</f>
        <v/>
      </c>
      <c r="Y410" s="518" t="str">
        <f>IF(AND(_A1="A-321",'2025'!$N$4="CA",'2025'!$N$2=Y385),'2025DATA'!$J$27,"")</f>
        <v/>
      </c>
      <c r="Z410" s="518" t="str">
        <f>IF(AND(_A1="A-321",'2025'!$N$4="CA",'2025'!$N$2=Z385),'2025DATA'!$K$27,"")</f>
        <v/>
      </c>
      <c r="AA410" s="518" t="str">
        <f>IF(AND(_A1="A-321",'2025'!$N$4="CA",'2025'!$N$2=AA385),'2025DATA'!$L$27,"")</f>
        <v/>
      </c>
      <c r="AB410" s="518" t="str">
        <f>IF(AND(_A1="A-321",'2025'!$N$4="CA",'2025'!$N$2=AB385),'2025DATA'!$M$27,"")</f>
        <v/>
      </c>
      <c r="AC410" s="520" t="str">
        <f>IF(AND(_A1="A-321",'2025'!$N$4="CA",'2025'!$N$2=AC385),'2025DATA'!$N$27,"")</f>
        <v/>
      </c>
      <c r="AD410" s="940" t="s">
        <v>48</v>
      </c>
      <c r="AE410" s="13" t="s">
        <v>61</v>
      </c>
      <c r="AF410" s="518" t="str">
        <f>IF(AND(_A2="A-321",'2025'!$N$4="CA",'2025'!$N$2=AF385),'2025DATA'!$C$27,"")</f>
        <v/>
      </c>
      <c r="AG410" s="518" t="str">
        <f>IF(AND(_A2="A-321",'2025'!$N$4="CA",'2025'!$N$2=AG385),'2025DATA'!$D$27,"")</f>
        <v/>
      </c>
      <c r="AH410" s="518" t="str">
        <f>IF(AND(_A2="A-321",'2025'!$N$4="CA",'2025'!$N$2=AH385),'2025DATA'!$E$27,"")</f>
        <v/>
      </c>
      <c r="AI410" s="518" t="str">
        <f>IF(AND(_A2="A-321",'2025'!$N$4="CA",'2025'!$N$2=AI385),'2025DATA'!$F$27,"")</f>
        <v/>
      </c>
      <c r="AJ410" s="518" t="str">
        <f>IF(AND(_A2="A-321",'2025'!$N$4="CA",'2025'!$N$2=AJ385),'2025DATA'!$G$27,"")</f>
        <v/>
      </c>
      <c r="AK410" s="518" t="str">
        <f>IF(AND(_A2="A-321",'2025'!$N$4="CA",'2025'!$N$2=AK385),'2025DATA'!$H$27,"")</f>
        <v/>
      </c>
      <c r="AL410" s="518" t="str">
        <f>IF(AND(_A2="A-321",'2025'!$N$4="CA",'2025'!$N$2=AL385),'2025DATA'!$I$27,"")</f>
        <v/>
      </c>
      <c r="AM410" s="518" t="str">
        <f>IF(AND(_A2="A-321",'2025'!$N$4="CA",'2025'!$N$2=AM385),'2025DATA'!$J$27,"")</f>
        <v/>
      </c>
      <c r="AN410" s="518" t="str">
        <f>IF(AND(_A2="A-321",'2025'!$N$4="CA",'2025'!$N$2=AN385),'2025DATA'!$K$27,"")</f>
        <v/>
      </c>
      <c r="AO410" s="518" t="str">
        <f>IF(AND(_A2="A-321",'2025'!$N$4="CA",'2025'!$N$2=AO385),'2025DATA'!$L$27,"")</f>
        <v/>
      </c>
      <c r="AP410" s="518" t="str">
        <f>IF(AND(_A2="A-321",'2025'!$N$4="CA",'2025'!$N$2=AP385),'2025DATA'!$M$27,"")</f>
        <v/>
      </c>
      <c r="AQ410" s="520" t="str">
        <f>IF(AND(_A2="A-321",'2025'!$N$4="CA",'2025'!$N$2=AQ385),'2025DATA'!$N$27,"")</f>
        <v/>
      </c>
      <c r="AR410" s="940" t="s">
        <v>48</v>
      </c>
      <c r="AS410" s="13" t="s">
        <v>61</v>
      </c>
      <c r="AT410" s="518" t="str">
        <f>IF(AND(_A3="A-321",'2025'!$N$4="CA",'2025'!$N$2=AT385),'2025DATA'!$C$27,"")</f>
        <v/>
      </c>
      <c r="AU410" s="518" t="str">
        <f>IF(AND(_A3="A-321",'2025'!$N$4="CA",'2025'!$N$2=AU385),'2025DATA'!$D$27,"")</f>
        <v/>
      </c>
      <c r="AV410" s="518" t="str">
        <f>IF(AND(_A3="A-321",'2025'!$N$4="CA",'2025'!$N$2=AV385),'2025DATA'!$E$27,"")</f>
        <v/>
      </c>
      <c r="AW410" s="518" t="str">
        <f>IF(AND(_A3="A-321",'2025'!$N$4="CA",'2025'!$N$2=AW385),'2025DATA'!$F$27,"")</f>
        <v/>
      </c>
      <c r="AX410" s="518" t="str">
        <f>IF(AND(_A3="A-321",'2025'!$N$4="CA",'2025'!$N$2=AX385),'2025DATA'!$G$27,"")</f>
        <v/>
      </c>
      <c r="AY410" s="518" t="str">
        <f>IF(AND(_A3="A-321",'2025'!$N$4="CA",'2025'!$N$2=AY385),'2025DATA'!$H$27,"")</f>
        <v/>
      </c>
      <c r="AZ410" s="518" t="str">
        <f>IF(AND(_A3="A-321",'2025'!$N$4="CA",'2025'!$N$2=AZ385),'2025DATA'!$I$27,"")</f>
        <v/>
      </c>
      <c r="BA410" s="518" t="str">
        <f>IF(AND(_A3="A-321",'2025'!$N$4="CA",'2025'!$N$2=BA385),'2025DATA'!$J$27,"")</f>
        <v/>
      </c>
      <c r="BB410" s="518" t="str">
        <f>IF(AND(_A3="A-321",'2025'!$N$4="CA",'2025'!$N$2=BB385),'2025DATA'!$K$27,"")</f>
        <v/>
      </c>
      <c r="BC410" s="518" t="str">
        <f>IF(AND(_A3="A-321",'2025'!$N$4="CA",'2025'!$N$2=BC385),'2025DATA'!$L$27,"")</f>
        <v/>
      </c>
      <c r="BD410" s="518" t="str">
        <f>IF(AND(_A3="A-321",'2025'!$N$4="CA",'2025'!$N$2=BD385),'2025DATA'!$M$27,"")</f>
        <v/>
      </c>
      <c r="BE410" s="520" t="str">
        <f>IF(AND(_A3="A-321",'2025'!$N$4="CA",'2025'!$N$2=BE385),'2025DATA'!$N$27,"")</f>
        <v/>
      </c>
      <c r="BF410" s="940" t="s">
        <v>48</v>
      </c>
      <c r="BG410" s="13" t="s">
        <v>61</v>
      </c>
      <c r="BH410" s="518" t="str">
        <f>IF(AND(_A4="A-321",'2025'!$N$4="CA",'2025'!$N$2=BH385),'2025DATA'!$C$27,"")</f>
        <v/>
      </c>
      <c r="BI410" s="518" t="str">
        <f>IF(AND(_A4="A-321",'2025'!$N$4="CA",'2025'!$N$2=BI385),'2025DATA'!$D$27,"")</f>
        <v/>
      </c>
      <c r="BJ410" s="518" t="str">
        <f>IF(AND(_A4="A-321",'2025'!$N$4="CA",'2025'!$N$2=BJ385),'2025DATA'!$E$27,"")</f>
        <v/>
      </c>
      <c r="BK410" s="518" t="str">
        <f>IF(AND(_A4="A-321",'2025'!$N$4="CA",'2025'!$N$2=BK385),'2025DATA'!$F$27,"")</f>
        <v/>
      </c>
      <c r="BL410" s="518" t="str">
        <f>IF(AND(_A4="A-321",'2025'!$N$4="CA",'2025'!$N$2=BL385),'2025DATA'!$G$27,"")</f>
        <v/>
      </c>
      <c r="BM410" s="518" t="str">
        <f>IF(AND(_A4="A-321",'2025'!$N$4="CA",'2025'!$N$2=BM385),'2025DATA'!$H$27,"")</f>
        <v/>
      </c>
      <c r="BN410" s="518" t="str">
        <f>IF(AND(_A4="A-321",'2025'!$N$4="CA",'2025'!$N$2=BN385),'2025DATA'!$I$27,"")</f>
        <v/>
      </c>
      <c r="BO410" s="518" t="str">
        <f>IF(AND(_A4="A-321",'2025'!$N$4="CA",'2025'!$N$2=BO385),'2025DATA'!$J$27,"")</f>
        <v/>
      </c>
      <c r="BP410" s="518" t="str">
        <f>IF(AND(_A4="A-321",'2025'!$N$4="CA",'2025'!$N$2=BP385),'2025DATA'!$K$27,"")</f>
        <v/>
      </c>
      <c r="BQ410" s="518" t="str">
        <f>IF(AND(_A4="A-321",'2025'!$N$4="CA",'2025'!$N$2=BQ385),'2025DATA'!$L$27,"")</f>
        <v/>
      </c>
      <c r="BR410" s="518" t="str">
        <f>IF(AND(_A4="A-321",'2025'!$N$4="CA",'2025'!$N$2=BR385),'2025DATA'!$M$27,"")</f>
        <v/>
      </c>
      <c r="BS410" s="520" t="str">
        <f>IF(AND(_A4="A-321",'2025'!$N$4="CA",'2025'!$N$2=BS385),'2025DATA'!$N$27,"")</f>
        <v/>
      </c>
      <c r="BT410" s="940" t="s">
        <v>48</v>
      </c>
      <c r="BU410" s="13" t="s">
        <v>61</v>
      </c>
      <c r="BV410" s="518" t="str">
        <f>IF(AND(_A5="A-321",'2025'!$N$4="CA",'2025'!$N$2=BV385),'2025DATA'!$C$27,"")</f>
        <v/>
      </c>
      <c r="BW410" s="518" t="str">
        <f>IF(AND(_A5="A-321",'2025'!$N$4="CA",'2025'!$N$2=BW385),'2025DATA'!$D$27,"")</f>
        <v/>
      </c>
      <c r="BX410" s="518" t="str">
        <f>IF(AND(_A5="A-321",'2025'!$N$4="CA",'2025'!$N$2=BX385),'2025DATA'!$E$27,"")</f>
        <v/>
      </c>
      <c r="BY410" s="518" t="str">
        <f>IF(AND(_A5="A-321",'2025'!$N$4="CA",'2025'!$N$2=BY385),'2025DATA'!$F$27,"")</f>
        <v/>
      </c>
      <c r="BZ410" s="518" t="str">
        <f>IF(AND(_A5="A-321",'2025'!$N$4="CA",'2025'!$N$2=BZ385),'2025DATA'!$G$27,"")</f>
        <v/>
      </c>
      <c r="CA410" s="518" t="str">
        <f>IF(AND(_A5="A-321",'2025'!$N$4="CA",'2025'!$N$2=CA385),'2025DATA'!$H$27,"")</f>
        <v/>
      </c>
      <c r="CB410" s="518" t="str">
        <f>IF(AND(_A5="A-321",'2025'!$N$4="CA",'2025'!$N$2=CB385),'2025DATA'!$I$27,"")</f>
        <v/>
      </c>
      <c r="CC410" s="518" t="str">
        <f>IF(AND(_A5="A-321",'2025'!$N$4="CA",'2025'!$N$2=CC385),'2025DATA'!$J$27,"")</f>
        <v/>
      </c>
      <c r="CD410" s="518" t="str">
        <f>IF(AND(_A5="A-321",'2025'!$N$4="CA",'2025'!$N$2=CD385),'2025DATA'!$K$27,"")</f>
        <v/>
      </c>
      <c r="CE410" s="518" t="str">
        <f>IF(AND(_A5="A-321",'2025'!$N$4="CA",'2025'!$N$2=CE385),'2025DATA'!$L$27,"")</f>
        <v/>
      </c>
      <c r="CF410" s="518" t="str">
        <f>IF(AND(_A5="A-321",'2025'!$N$4="CA",'2025'!$N$2=CF385),'2025DATA'!$M$27,"")</f>
        <v/>
      </c>
      <c r="CG410" s="520" t="str">
        <f>IF(AND(_A5="A-321",'2025'!$N$4="CA",'2025'!$N$2=CG385),'2025DATA'!$N$27,"")</f>
        <v/>
      </c>
      <c r="CH410" s="940" t="s">
        <v>48</v>
      </c>
      <c r="CI410" s="13" t="s">
        <v>61</v>
      </c>
      <c r="CJ410" s="518" t="str">
        <f>IF(AND(_A6="A-321",'2025'!$N$4="CA",'2025'!$N$2=CJ385),'2025DATA'!$C$27,"")</f>
        <v/>
      </c>
      <c r="CK410" s="518" t="str">
        <f>IF(AND(_A6="A-321",'2025'!$N$4="CA",'2025'!$N$2=CK385),'2025DATA'!$D$27,"")</f>
        <v/>
      </c>
      <c r="CL410" s="518" t="str">
        <f>IF(AND(_A6="A-321",'2025'!$N$4="CA",'2025'!$N$2=CL385),'2025DATA'!$E$27,"")</f>
        <v/>
      </c>
      <c r="CM410" s="518" t="str">
        <f>IF(AND(_A6="A-321",'2025'!$N$4="CA",'2025'!$N$2=CM385),'2025DATA'!$F$27,"")</f>
        <v/>
      </c>
      <c r="CN410" s="518" t="str">
        <f>IF(AND(_A6="A-321",'2025'!$N$4="CA",'2025'!$N$2=CN385),'2025DATA'!$G$27,"")</f>
        <v/>
      </c>
      <c r="CO410" s="518" t="str">
        <f>IF(AND(_A6="A-321",'2025'!$N$4="CA",'2025'!$N$2=CO385),'2025DATA'!$H$27,"")</f>
        <v/>
      </c>
      <c r="CP410" s="518" t="str">
        <f>IF(AND(_A6="A-321",'2025'!$N$4="CA",'2025'!$N$2=CP385),'2025DATA'!$I$27,"")</f>
        <v/>
      </c>
      <c r="CQ410" s="518" t="str">
        <f>IF(AND(_A6="A-321",'2025'!$N$4="CA",'2025'!$N$2=CQ385),'2025DATA'!$J$27,"")</f>
        <v/>
      </c>
      <c r="CR410" s="518" t="str">
        <f>IF(AND(_A6="A-321",'2025'!$N$4="CA",'2025'!$N$2=CR385),'2025DATA'!$K$27,"")</f>
        <v/>
      </c>
      <c r="CS410" s="518" t="str">
        <f>IF(AND(_A6="A-321",'2025'!$N$4="CA",'2025'!$N$2=CS385),'2025DATA'!$L$27,"")</f>
        <v/>
      </c>
      <c r="CT410" s="518" t="str">
        <f>IF(AND(_A6="A-321",'2025'!$N$4="CA",'2025'!$N$2=CT385),'2025DATA'!$M$27,"")</f>
        <v/>
      </c>
      <c r="CU410" s="520" t="str">
        <f>IF(AND(_A6="A-321",'2025'!$N$4="CA",'2025'!$N$2=CU385),'2025DATA'!$N$27,"")</f>
        <v/>
      </c>
    </row>
    <row r="411" spans="16:99" x14ac:dyDescent="0.25">
      <c r="P411" s="940"/>
      <c r="Q411" s="13" t="s">
        <v>62</v>
      </c>
      <c r="R411" s="518" t="str">
        <f>IF(AND(_A1="A-321",'2025'!$N$4="FO",'2025'!$N$2=R385),'2025DATA'!$C$28,"")</f>
        <v/>
      </c>
      <c r="S411" s="518" t="str">
        <f>IF(AND(_A1="A-321",'2025'!$N$4="FO",'2025'!$N$2=S385),'2025DATA'!$D$28,"")</f>
        <v/>
      </c>
      <c r="T411" s="518" t="str">
        <f>IF(AND(_A1="A-321",'2025'!$N$4="FO",'2025'!$N$2=T385),'2025DATA'!$E$28,"")</f>
        <v/>
      </c>
      <c r="U411" s="518" t="str">
        <f>IF(AND(_A1="A-321",'2025'!$N$4="FO",'2025'!$N$2=U385),'2025DATA'!$F$28,"")</f>
        <v/>
      </c>
      <c r="V411" s="518" t="str">
        <f>IF(AND(_A1="A-321",'2025'!$N$4="FO",'2025'!$N$2=V385),'2025DATA'!$G$28,"")</f>
        <v/>
      </c>
      <c r="W411" s="518" t="str">
        <f>IF(AND(_A1="A-321",'2025'!$N$4="FO",'2025'!$N$2=W385),'2025DATA'!$H$28,"")</f>
        <v/>
      </c>
      <c r="X411" s="518" t="str">
        <f>IF(AND(_A1="A-321",'2025'!$N$4="FO",'2025'!$N$2=X385),'2025DATA'!$I$28,"")</f>
        <v/>
      </c>
      <c r="Y411" s="518" t="str">
        <f>IF(AND(_A1="A-321",'2025'!$N$4="FO",'2025'!$N$2=Y385),'2025DATA'!$J$28,"")</f>
        <v/>
      </c>
      <c r="Z411" s="518" t="str">
        <f>IF(AND(_A1="A-321",'2025'!$N$4="FO",'2025'!$N$2=Z385),'2025DATA'!$K$28,"")</f>
        <v/>
      </c>
      <c r="AA411" s="518" t="str">
        <f>IF(AND(_A1="A-321",'2025'!$N$4="FO",'2025'!$N$2=AA385),'2025DATA'!$L$28,"")</f>
        <v/>
      </c>
      <c r="AB411" s="518" t="str">
        <f>IF(AND(_A1="A-321",'2025'!$N$4="FO",'2025'!$N$2=AB385),'2025DATA'!$M$28,"")</f>
        <v/>
      </c>
      <c r="AC411" s="520" t="str">
        <f>IF(AND(_A1="A-321",'2025'!$N$4="FO",'2025'!$N$2=AC385),'2025DATA'!$N$28,"")</f>
        <v/>
      </c>
      <c r="AD411" s="940"/>
      <c r="AE411" s="13" t="s">
        <v>62</v>
      </c>
      <c r="AF411" s="518" t="str">
        <f>IF(AND(_A2="A-321",'2025'!$N$4="FO",'2025'!$N$2=AF385),'2025DATA'!$C$28,"")</f>
        <v/>
      </c>
      <c r="AG411" s="518" t="str">
        <f>IF(AND(_A2="A-321",'2025'!$N$4="FO",'2025'!$N$2=AG385),'2025DATA'!$D$28,"")</f>
        <v/>
      </c>
      <c r="AH411" s="518" t="str">
        <f>IF(AND(_A2="A-321",'2025'!$N$4="FO",'2025'!$N$2=AH385),'2025DATA'!$E$28,"")</f>
        <v/>
      </c>
      <c r="AI411" s="518" t="str">
        <f>IF(AND(_A2="A-321",'2025'!$N$4="FO",'2025'!$N$2=AI385),'2025DATA'!$F$28,"")</f>
        <v/>
      </c>
      <c r="AJ411" s="518" t="str">
        <f>IF(AND(_A2="A-321",'2025'!$N$4="FO",'2025'!$N$2=AJ385),'2025DATA'!$G$28,"")</f>
        <v/>
      </c>
      <c r="AK411" s="518" t="str">
        <f>IF(AND(_A2="A-321",'2025'!$N$4="FO",'2025'!$N$2=AK385),'2025DATA'!$H$28,"")</f>
        <v/>
      </c>
      <c r="AL411" s="518" t="str">
        <f>IF(AND(_A2="A-321",'2025'!$N$4="FO",'2025'!$N$2=AL385),'2025DATA'!$I$28,"")</f>
        <v/>
      </c>
      <c r="AM411" s="518" t="str">
        <f>IF(AND(_A2="A-321",'2025'!$N$4="FO",'2025'!$N$2=AM385),'2025DATA'!$J$28,"")</f>
        <v/>
      </c>
      <c r="AN411" s="518" t="str">
        <f>IF(AND(_A2="A-321",'2025'!$N$4="FO",'2025'!$N$2=AN385),'2025DATA'!$K$28,"")</f>
        <v/>
      </c>
      <c r="AO411" s="518" t="str">
        <f>IF(AND(_A2="A-321",'2025'!$N$4="FO",'2025'!$N$2=AO385),'2025DATA'!$L$28,"")</f>
        <v/>
      </c>
      <c r="AP411" s="518" t="str">
        <f>IF(AND(_A2="A-321",'2025'!$N$4="FO",'2025'!$N$2=AP385),'2025DATA'!$M$28,"")</f>
        <v/>
      </c>
      <c r="AQ411" s="520" t="str">
        <f>IF(AND(_A2="A-321",'2025'!$N$4="FO",'2025'!$N$2=AQ385),'2025DATA'!$N$28,"")</f>
        <v/>
      </c>
      <c r="AR411" s="940"/>
      <c r="AS411" s="13" t="s">
        <v>62</v>
      </c>
      <c r="AT411" s="518" t="str">
        <f>IF(AND(_A3="A-321",'2025'!$N$4="FO",'2025'!$N$2=AT385),'2025DATA'!$C$28,"")</f>
        <v/>
      </c>
      <c r="AU411" s="518" t="str">
        <f>IF(AND(_A3="A-321",'2025'!$N$4="FO",'2025'!$N$2=AU385),'2025DATA'!$D$28,"")</f>
        <v/>
      </c>
      <c r="AV411" s="518" t="str">
        <f>IF(AND(_A3="A-321",'2025'!$N$4="FO",'2025'!$N$2=AV385),'2025DATA'!$E$28,"")</f>
        <v/>
      </c>
      <c r="AW411" s="518" t="str">
        <f>IF(AND(_A3="A-321",'2025'!$N$4="FO",'2025'!$N$2=AW385),'2025DATA'!$F$28,"")</f>
        <v/>
      </c>
      <c r="AX411" s="518" t="str">
        <f>IF(AND(_A3="A-321",'2025'!$N$4="FO",'2025'!$N$2=AX385),'2025DATA'!$G$28,"")</f>
        <v/>
      </c>
      <c r="AY411" s="518" t="str">
        <f>IF(AND(_A3="A-321",'2025'!$N$4="FO",'2025'!$N$2=AY385),'2025DATA'!$H$28,"")</f>
        <v/>
      </c>
      <c r="AZ411" s="518" t="str">
        <f>IF(AND(_A3="A-321",'2025'!$N$4="FO",'2025'!$N$2=AZ385),'2025DATA'!$I$28,"")</f>
        <v/>
      </c>
      <c r="BA411" s="518" t="str">
        <f>IF(AND(_A3="A-321",'2025'!$N$4="FO",'2025'!$N$2=BA385),'2025DATA'!$J$28,"")</f>
        <v/>
      </c>
      <c r="BB411" s="518" t="str">
        <f>IF(AND(_A3="A-321",'2025'!$N$4="FO",'2025'!$N$2=BB385),'2025DATA'!$K$28,"")</f>
        <v/>
      </c>
      <c r="BC411" s="518" t="str">
        <f>IF(AND(_A3="A-321",'2025'!$N$4="FO",'2025'!$N$2=BC385),'2025DATA'!$L$28,"")</f>
        <v/>
      </c>
      <c r="BD411" s="518" t="str">
        <f>IF(AND(_A3="A-321",'2025'!$N$4="FO",'2025'!$N$2=BD385),'2025DATA'!$M$28,"")</f>
        <v/>
      </c>
      <c r="BE411" s="520" t="str">
        <f>IF(AND(_A3="A-321",'2025'!$N$4="FO",'2025'!$N$2=BE385),'2025DATA'!$N$28,"")</f>
        <v/>
      </c>
      <c r="BF411" s="940"/>
      <c r="BG411" s="13" t="s">
        <v>62</v>
      </c>
      <c r="BH411" s="518" t="str">
        <f>IF(AND(_A4="A-321",'2025'!$N$4="FO",'2025'!$N$2=BH385),'2025DATA'!$C$28,"")</f>
        <v/>
      </c>
      <c r="BI411" s="518" t="str">
        <f>IF(AND(_A4="A-321",'2025'!$N$4="FO",'2025'!$N$2=BI385),'2025DATA'!$D$28,"")</f>
        <v/>
      </c>
      <c r="BJ411" s="518" t="str">
        <f>IF(AND(_A4="A-321",'2025'!$N$4="FO",'2025'!$N$2=BJ385),'2025DATA'!$E$28,"")</f>
        <v/>
      </c>
      <c r="BK411" s="518" t="str">
        <f>IF(AND(_A4="A-321",'2025'!$N$4="FO",'2025'!$N$2=BK385),'2025DATA'!$F$28,"")</f>
        <v/>
      </c>
      <c r="BL411" s="518" t="str">
        <f>IF(AND(_A4="A-321",'2025'!$N$4="FO",'2025'!$N$2=BL385),'2025DATA'!$G$28,"")</f>
        <v/>
      </c>
      <c r="BM411" s="518" t="str">
        <f>IF(AND(_A4="A-321",'2025'!$N$4="FO",'2025'!$N$2=BM385),'2025DATA'!$H$28,"")</f>
        <v/>
      </c>
      <c r="BN411" s="518" t="str">
        <f>IF(AND(_A4="A-321",'2025'!$N$4="FO",'2025'!$N$2=BN385),'2025DATA'!$I$28,"")</f>
        <v/>
      </c>
      <c r="BO411" s="518" t="str">
        <f>IF(AND(_A4="A-321",'2025'!$N$4="FO",'2025'!$N$2=BO385),'2025DATA'!$J$28,"")</f>
        <v/>
      </c>
      <c r="BP411" s="518" t="str">
        <f>IF(AND(_A4="A-321",'2025'!$N$4="FO",'2025'!$N$2=BP385),'2025DATA'!$K$28,"")</f>
        <v/>
      </c>
      <c r="BQ411" s="518" t="str">
        <f>IF(AND(_A4="A-321",'2025'!$N$4="FO",'2025'!$N$2=BQ385),'2025DATA'!$L$28,"")</f>
        <v/>
      </c>
      <c r="BR411" s="518" t="str">
        <f>IF(AND(_A4="A-321",'2025'!$N$4="FO",'2025'!$N$2=BR385),'2025DATA'!$M$28,"")</f>
        <v/>
      </c>
      <c r="BS411" s="520" t="str">
        <f>IF(AND(_A4="A-321",'2025'!$N$4="FO",'2025'!$N$2=BS385),'2025DATA'!$N$28,"")</f>
        <v/>
      </c>
      <c r="BT411" s="940"/>
      <c r="BU411" s="13" t="s">
        <v>62</v>
      </c>
      <c r="BV411" s="518" t="str">
        <f>IF(AND(_A5="A-321",'2025'!$N$4="FO",'2025'!$N$2=BV385),'2025DATA'!$C$28,"")</f>
        <v/>
      </c>
      <c r="BW411" s="518" t="str">
        <f>IF(AND(_A5="A-321",'2025'!$N$4="FO",'2025'!$N$2=BW385),'2025DATA'!$D$28,"")</f>
        <v/>
      </c>
      <c r="BX411" s="518" t="str">
        <f>IF(AND(_A5="A-321",'2025'!$N$4="FO",'2025'!$N$2=BX385),'2025DATA'!$E$28,"")</f>
        <v/>
      </c>
      <c r="BY411" s="518" t="str">
        <f>IF(AND(_A5="A-321",'2025'!$N$4="FO",'2025'!$N$2=BY385),'2025DATA'!$F$28,"")</f>
        <v/>
      </c>
      <c r="BZ411" s="518" t="str">
        <f>IF(AND(_A5="A-321",'2025'!$N$4="FO",'2025'!$N$2=BZ385),'2025DATA'!$G$28,"")</f>
        <v/>
      </c>
      <c r="CA411" s="518" t="str">
        <f>IF(AND(_A5="A-321",'2025'!$N$4="FO",'2025'!$N$2=CA385),'2025DATA'!$H$28,"")</f>
        <v/>
      </c>
      <c r="CB411" s="518" t="str">
        <f>IF(AND(_A5="A-321",'2025'!$N$4="FO",'2025'!$N$2=CB385),'2025DATA'!$I$28,"")</f>
        <v/>
      </c>
      <c r="CC411" s="518" t="str">
        <f>IF(AND(_A5="A-321",'2025'!$N$4="FO",'2025'!$N$2=CC385),'2025DATA'!$J$28,"")</f>
        <v/>
      </c>
      <c r="CD411" s="518" t="str">
        <f>IF(AND(_A5="A-321",'2025'!$N$4="FO",'2025'!$N$2=CD385),'2025DATA'!$K$28,"")</f>
        <v/>
      </c>
      <c r="CE411" s="518" t="str">
        <f>IF(AND(_A5="A-321",'2025'!$N$4="FO",'2025'!$N$2=CE385),'2025DATA'!$L$28,"")</f>
        <v/>
      </c>
      <c r="CF411" s="518" t="str">
        <f>IF(AND(_A5="A-321",'2025'!$N$4="FO",'2025'!$N$2=CF385),'2025DATA'!$M$28,"")</f>
        <v/>
      </c>
      <c r="CG411" s="520" t="str">
        <f>IF(AND(_A5="A-321",'2025'!$N$4="FO",'2025'!$N$2=CG385),'2025DATA'!$N$28,"")</f>
        <v/>
      </c>
      <c r="CH411" s="940"/>
      <c r="CI411" s="13" t="s">
        <v>62</v>
      </c>
      <c r="CJ411" s="518" t="str">
        <f>IF(AND(_A6="A-321",'2025'!$N$4="FO",'2025'!$N$2=CJ385),'2025DATA'!$C$28,"")</f>
        <v/>
      </c>
      <c r="CK411" s="518" t="str">
        <f>IF(AND(_A6="A-321",'2025'!$N$4="FO",'2025'!$N$2=CK385),'2025DATA'!$D$28,"")</f>
        <v/>
      </c>
      <c r="CL411" s="518" t="str">
        <f>IF(AND(_A6="A-321",'2025'!$N$4="FO",'2025'!$N$2=CL385),'2025DATA'!$E$28,"")</f>
        <v/>
      </c>
      <c r="CM411" s="518" t="str">
        <f>IF(AND(_A6="A-321",'2025'!$N$4="FO",'2025'!$N$2=CM385),'2025DATA'!$F$28,"")</f>
        <v/>
      </c>
      <c r="CN411" s="518" t="str">
        <f>IF(AND(_A6="A-321",'2025'!$N$4="FO",'2025'!$N$2=CN385),'2025DATA'!$G$28,"")</f>
        <v/>
      </c>
      <c r="CO411" s="518" t="str">
        <f>IF(AND(_A6="A-321",'2025'!$N$4="FO",'2025'!$N$2=CO385),'2025DATA'!$H$28,"")</f>
        <v/>
      </c>
      <c r="CP411" s="518" t="str">
        <f>IF(AND(_A6="A-321",'2025'!$N$4="FO",'2025'!$N$2=CP385),'2025DATA'!$I$28,"")</f>
        <v/>
      </c>
      <c r="CQ411" s="518" t="str">
        <f>IF(AND(_A6="A-321",'2025'!$N$4="FO",'2025'!$N$2=CQ385),'2025DATA'!$J$28,"")</f>
        <v/>
      </c>
      <c r="CR411" s="518" t="str">
        <f>IF(AND(_A6="A-321",'2025'!$N$4="FO",'2025'!$N$2=CR385),'2025DATA'!$K$28,"")</f>
        <v/>
      </c>
      <c r="CS411" s="518" t="str">
        <f>IF(AND(_A6="A-321",'2025'!$N$4="FO",'2025'!$N$2=CS385),'2025DATA'!$L$28,"")</f>
        <v/>
      </c>
      <c r="CT411" s="518" t="str">
        <f>IF(AND(_A6="A-321",'2025'!$N$4="FO",'2025'!$N$2=CT385),'2025DATA'!$M$28,"")</f>
        <v/>
      </c>
      <c r="CU411" s="520" t="str">
        <f>IF(AND(_A6="A-321",'2025'!$N$4="FO",'2025'!$N$2=CU385),'2025DATA'!$N$28,"")</f>
        <v/>
      </c>
    </row>
    <row r="412" spans="16:99" x14ac:dyDescent="0.25">
      <c r="P412" s="940" t="s">
        <v>70</v>
      </c>
      <c r="Q412" s="13" t="s">
        <v>61</v>
      </c>
      <c r="R412" s="518" t="str">
        <f>IF(AND(_A1="A-320",'2025'!$N$4="CA",'2025'!$N$2=R385),'2025DATA'!$C$29,"")</f>
        <v/>
      </c>
      <c r="S412" s="518" t="str">
        <f>IF(AND(_A1="A-320",'2025'!$N$4="CA",'2025'!$N$2=S385),'2025DATA'!$D$29,"")</f>
        <v/>
      </c>
      <c r="T412" s="518" t="str">
        <f>IF(AND(_A1="A-320",'2025'!$N$4="CA",'2025'!$N$2=T385),'2025DATA'!$E$29,"")</f>
        <v/>
      </c>
      <c r="U412" s="518" t="str">
        <f>IF(AND(_A1="A-320",'2025'!$N$4="CA",'2025'!$N$2=U385),'2025DATA'!$F$29,"")</f>
        <v/>
      </c>
      <c r="V412" s="518" t="str">
        <f>IF(AND(_A1="A-320",'2025'!$N$4="CA",'2025'!$N$2=V385),'2025DATA'!$G$29,"")</f>
        <v/>
      </c>
      <c r="W412" s="518" t="str">
        <f>IF(AND(_A1="A-320",'2025'!$N$4="CA",'2025'!$N$2=W385),'2025DATA'!$H$29,"")</f>
        <v/>
      </c>
      <c r="X412" s="518" t="str">
        <f>IF(AND(_A1="A-320",'2025'!$N$4="CA",'2025'!$N$2=X385),'2025DATA'!$I$29,"")</f>
        <v/>
      </c>
      <c r="Y412" s="518" t="str">
        <f>IF(AND(_A1="A-320",'2025'!$N$4="CA",'2025'!$N$2=Y385),'2025DATA'!$J$29,"")</f>
        <v/>
      </c>
      <c r="Z412" s="518" t="str">
        <f>IF(AND(_A1="A-320",'2025'!$N$4="CA",'2025'!$N$2=Z385),'2025DATA'!$K$29,"")</f>
        <v/>
      </c>
      <c r="AA412" s="518" t="str">
        <f>IF(AND(_A1="A-320",'2025'!$N$4="CA",'2025'!$N$2=AA385),'2025DATA'!$L$29,"")</f>
        <v/>
      </c>
      <c r="AB412" s="518" t="str">
        <f>IF(AND(_A1="A-320",'2025'!$N$4="CA",'2025'!$N$2=AB385),'2025DATA'!$M$29,"")</f>
        <v/>
      </c>
      <c r="AC412" s="520" t="str">
        <f>IF(AND(_A1="A-320",'2025'!$N$4="CA",'2025'!$N$2=AC385),'2025DATA'!$N$29,"")</f>
        <v/>
      </c>
      <c r="AD412" s="940" t="s">
        <v>70</v>
      </c>
      <c r="AE412" s="13" t="s">
        <v>61</v>
      </c>
      <c r="AF412" s="518" t="str">
        <f>IF(AND(_A2="A-320",'2025'!$N$4="CA",'2025'!$N$2=AF385),'2025DATA'!$C$29,"")</f>
        <v/>
      </c>
      <c r="AG412" s="518" t="str">
        <f>IF(AND(_A2="A-320",'2025'!$N$4="CA",'2025'!$N$2=AG385),'2025DATA'!$D$29,"")</f>
        <v/>
      </c>
      <c r="AH412" s="518" t="str">
        <f>IF(AND(_A2="A-320",'2025'!$N$4="CA",'2025'!$N$2=AH385),'2025DATA'!$E$29,"")</f>
        <v/>
      </c>
      <c r="AI412" s="518" t="str">
        <f>IF(AND(_A2="A-320",'2025'!$N$4="CA",'2025'!$N$2=AI385),'2025DATA'!$F$29,"")</f>
        <v/>
      </c>
      <c r="AJ412" s="518" t="str">
        <f>IF(AND(_A2="A-320",'2025'!$N$4="CA",'2025'!$N$2=AJ385),'2025DATA'!$G$29,"")</f>
        <v/>
      </c>
      <c r="AK412" s="518" t="str">
        <f>IF(AND(_A2="A-320",'2025'!$N$4="CA",'2025'!$N$2=AK385),'2025DATA'!$H$29,"")</f>
        <v/>
      </c>
      <c r="AL412" s="518" t="str">
        <f>IF(AND(_A2="A-320",'2025'!$N$4="CA",'2025'!$N$2=AL385),'2025DATA'!$I$29,"")</f>
        <v/>
      </c>
      <c r="AM412" s="518" t="str">
        <f>IF(AND(_A2="A-320",'2025'!$N$4="CA",'2025'!$N$2=AM385),'2025DATA'!$J$29,"")</f>
        <v/>
      </c>
      <c r="AN412" s="518" t="str">
        <f>IF(AND(_A2="A-320",'2025'!$N$4="CA",'2025'!$N$2=AN385),'2025DATA'!$K$29,"")</f>
        <v/>
      </c>
      <c r="AO412" s="518" t="str">
        <f>IF(AND(_A2="A-320",'2025'!$N$4="CA",'2025'!$N$2=AO385),'2025DATA'!$L$29,"")</f>
        <v/>
      </c>
      <c r="AP412" s="518" t="str">
        <f>IF(AND(_A2="A-320",'2025'!$N$4="CA",'2025'!$N$2=AP385),'2025DATA'!$M$29,"")</f>
        <v/>
      </c>
      <c r="AQ412" s="520" t="str">
        <f>IF(AND(_A2="A-320",'2025'!$N$4="CA",'2025'!$N$2=AQ385),'2025DATA'!$N$29,"")</f>
        <v/>
      </c>
      <c r="AR412" s="940" t="s">
        <v>70</v>
      </c>
      <c r="AS412" s="13" t="s">
        <v>61</v>
      </c>
      <c r="AT412" s="518" t="str">
        <f>IF(AND(_A3="A-320",'2025'!$N$4="CA",'2025'!$N$2=AT385),'2025DATA'!$C$29,"")</f>
        <v/>
      </c>
      <c r="AU412" s="518" t="str">
        <f>IF(AND(_A3="A-320",'2025'!$N$4="CA",'2025'!$N$2=AU385),'2025DATA'!$D$29,"")</f>
        <v/>
      </c>
      <c r="AV412" s="518" t="str">
        <f>IF(AND(_A3="A-320",'2025'!$N$4="CA",'2025'!$N$2=AV385),'2025DATA'!$E$29,"")</f>
        <v/>
      </c>
      <c r="AW412" s="518" t="str">
        <f>IF(AND(_A3="A-320",'2025'!$N$4="CA",'2025'!$N$2=AW385),'2025DATA'!$F$29,"")</f>
        <v/>
      </c>
      <c r="AX412" s="518" t="str">
        <f>IF(AND(_A3="A-320",'2025'!$N$4="CA",'2025'!$N$2=AX385),'2025DATA'!$G$29,"")</f>
        <v/>
      </c>
      <c r="AY412" s="518" t="str">
        <f>IF(AND(_A3="A-320",'2025'!$N$4="CA",'2025'!$N$2=AY385),'2025DATA'!$H$29,"")</f>
        <v/>
      </c>
      <c r="AZ412" s="518" t="str">
        <f>IF(AND(_A3="A-320",'2025'!$N$4="CA",'2025'!$N$2=AZ385),'2025DATA'!$I$29,"")</f>
        <v/>
      </c>
      <c r="BA412" s="518" t="str">
        <f>IF(AND(_A3="A-320",'2025'!$N$4="CA",'2025'!$N$2=BA385),'2025DATA'!$J$29,"")</f>
        <v/>
      </c>
      <c r="BB412" s="518" t="str">
        <f>IF(AND(_A3="A-320",'2025'!$N$4="CA",'2025'!$N$2=BB385),'2025DATA'!$K$29,"")</f>
        <v/>
      </c>
      <c r="BC412" s="518" t="str">
        <f>IF(AND(_A3="A-320",'2025'!$N$4="CA",'2025'!$N$2=BC385),'2025DATA'!$L$29,"")</f>
        <v/>
      </c>
      <c r="BD412" s="518" t="str">
        <f>IF(AND(_A3="A-320",'2025'!$N$4="CA",'2025'!$N$2=BD385),'2025DATA'!$M$29,"")</f>
        <v/>
      </c>
      <c r="BE412" s="520" t="str">
        <f>IF(AND(_A3="A-320",'2025'!$N$4="CA",'2025'!$N$2=BE385),'2025DATA'!$N$29,"")</f>
        <v/>
      </c>
      <c r="BF412" s="940" t="s">
        <v>70</v>
      </c>
      <c r="BG412" s="13" t="s">
        <v>61</v>
      </c>
      <c r="BH412" s="518" t="str">
        <f>IF(AND(_A4="A-320",'2025'!$N$4="CA",'2025'!$N$2=BH385),'2025DATA'!$C$29,"")</f>
        <v/>
      </c>
      <c r="BI412" s="518" t="str">
        <f>IF(AND(_A4="A-320",'2025'!$N$4="CA",'2025'!$N$2=BI385),'2025DATA'!$D$29,"")</f>
        <v/>
      </c>
      <c r="BJ412" s="518" t="str">
        <f>IF(AND(_A4="A-320",'2025'!$N$4="CA",'2025'!$N$2=BJ385),'2025DATA'!$E$29,"")</f>
        <v/>
      </c>
      <c r="BK412" s="518" t="str">
        <f>IF(AND(_A4="A-320",'2025'!$N$4="CA",'2025'!$N$2=BK385),'2025DATA'!$F$29,"")</f>
        <v/>
      </c>
      <c r="BL412" s="518" t="str">
        <f>IF(AND(_A4="A-320",'2025'!$N$4="CA",'2025'!$N$2=BL385),'2025DATA'!$G$29,"")</f>
        <v/>
      </c>
      <c r="BM412" s="518" t="str">
        <f>IF(AND(_A4="A-320",'2025'!$N$4="CA",'2025'!$N$2=BM385),'2025DATA'!$H$29,"")</f>
        <v/>
      </c>
      <c r="BN412" s="518" t="str">
        <f>IF(AND(_A4="A-320",'2025'!$N$4="CA",'2025'!$N$2=BN385),'2025DATA'!$I$29,"")</f>
        <v/>
      </c>
      <c r="BO412" s="518" t="str">
        <f>IF(AND(_A4="A-320",'2025'!$N$4="CA",'2025'!$N$2=BO385),'2025DATA'!$J$29,"")</f>
        <v/>
      </c>
      <c r="BP412" s="518" t="str">
        <f>IF(AND(_A4="A-320",'2025'!$N$4="CA",'2025'!$N$2=BP385),'2025DATA'!$K$29,"")</f>
        <v/>
      </c>
      <c r="BQ412" s="518" t="str">
        <f>IF(AND(_A4="A-320",'2025'!$N$4="CA",'2025'!$N$2=BQ385),'2025DATA'!$L$29,"")</f>
        <v/>
      </c>
      <c r="BR412" s="518" t="str">
        <f>IF(AND(_A4="A-320",'2025'!$N$4="CA",'2025'!$N$2=BR385),'2025DATA'!$M$29,"")</f>
        <v/>
      </c>
      <c r="BS412" s="520" t="str">
        <f>IF(AND(_A4="A-320",'2025'!$N$4="CA",'2025'!$N$2=BS385),'2025DATA'!$N$29,"")</f>
        <v/>
      </c>
      <c r="BT412" s="940" t="s">
        <v>70</v>
      </c>
      <c r="BU412" s="13" t="s">
        <v>61</v>
      </c>
      <c r="BV412" s="518" t="str">
        <f>IF(AND(_A5="A-320",'2025'!$N$4="CA",'2025'!$N$2=BV385),'2025DATA'!$C$29,"")</f>
        <v/>
      </c>
      <c r="BW412" s="518" t="str">
        <f>IF(AND(_A5="A-320",'2025'!$N$4="CA",'2025'!$N$2=BW385),'2025DATA'!$D$29,"")</f>
        <v/>
      </c>
      <c r="BX412" s="518" t="str">
        <f>IF(AND(_A5="A-320",'2025'!$N$4="CA",'2025'!$N$2=BX385),'2025DATA'!$E$29,"")</f>
        <v/>
      </c>
      <c r="BY412" s="518" t="str">
        <f>IF(AND(_A5="A-320",'2025'!$N$4="CA",'2025'!$N$2=BY385),'2025DATA'!$F$29,"")</f>
        <v/>
      </c>
      <c r="BZ412" s="518" t="str">
        <f>IF(AND(_A5="A-320",'2025'!$N$4="CA",'2025'!$N$2=BZ385),'2025DATA'!$G$29,"")</f>
        <v/>
      </c>
      <c r="CA412" s="518" t="str">
        <f>IF(AND(_A5="A-320",'2025'!$N$4="CA",'2025'!$N$2=CA385),'2025DATA'!$H$29,"")</f>
        <v/>
      </c>
      <c r="CB412" s="518" t="str">
        <f>IF(AND(_A5="A-320",'2025'!$N$4="CA",'2025'!$N$2=CB385),'2025DATA'!$I$29,"")</f>
        <v/>
      </c>
      <c r="CC412" s="518" t="str">
        <f>IF(AND(_A5="A-320",'2025'!$N$4="CA",'2025'!$N$2=CC385),'2025DATA'!$J$29,"")</f>
        <v/>
      </c>
      <c r="CD412" s="518" t="str">
        <f>IF(AND(_A5="A-320",'2025'!$N$4="CA",'2025'!$N$2=CD385),'2025DATA'!$K$29,"")</f>
        <v/>
      </c>
      <c r="CE412" s="518" t="str">
        <f>IF(AND(_A5="A-320",'2025'!$N$4="CA",'2025'!$N$2=CE385),'2025DATA'!$L$29,"")</f>
        <v/>
      </c>
      <c r="CF412" s="518" t="str">
        <f>IF(AND(_A5="A-320",'2025'!$N$4="CA",'2025'!$N$2=CF385),'2025DATA'!$M$29,"")</f>
        <v/>
      </c>
      <c r="CG412" s="520" t="str">
        <f>IF(AND(_A5="A-320",'2025'!$N$4="CA",'2025'!$N$2=CG385),'2025DATA'!$N$29,"")</f>
        <v/>
      </c>
      <c r="CH412" s="940" t="s">
        <v>70</v>
      </c>
      <c r="CI412" s="13" t="s">
        <v>61</v>
      </c>
      <c r="CJ412" s="518" t="str">
        <f>IF(AND(_A6="A-320",'2025'!$N$4="CA",'2025'!$N$2=CJ385),'2025DATA'!$C$29,"")</f>
        <v/>
      </c>
      <c r="CK412" s="518" t="str">
        <f>IF(AND(_A6="A-320",'2025'!$N$4="CA",'2025'!$N$2=CK385),'2025DATA'!$D$29,"")</f>
        <v/>
      </c>
      <c r="CL412" s="518" t="str">
        <f>IF(AND(_A6="A-320",'2025'!$N$4="CA",'2025'!$N$2=CL385),'2025DATA'!$E$29,"")</f>
        <v/>
      </c>
      <c r="CM412" s="518" t="str">
        <f>IF(AND(_A6="A-320",'2025'!$N$4="CA",'2025'!$N$2=CM385),'2025DATA'!$F$29,"")</f>
        <v/>
      </c>
      <c r="CN412" s="518" t="str">
        <f>IF(AND(_A6="A-320",'2025'!$N$4="CA",'2025'!$N$2=CN385),'2025DATA'!$G$29,"")</f>
        <v/>
      </c>
      <c r="CO412" s="518" t="str">
        <f>IF(AND(_A6="A-320",'2025'!$N$4="CA",'2025'!$N$2=CO385),'2025DATA'!$H$29,"")</f>
        <v/>
      </c>
      <c r="CP412" s="518" t="str">
        <f>IF(AND(_A6="A-320",'2025'!$N$4="CA",'2025'!$N$2=CP385),'2025DATA'!$I$29,"")</f>
        <v/>
      </c>
      <c r="CQ412" s="518" t="str">
        <f>IF(AND(_A6="A-320",'2025'!$N$4="CA",'2025'!$N$2=CQ385),'2025DATA'!$J$29,"")</f>
        <v/>
      </c>
      <c r="CR412" s="518" t="str">
        <f>IF(AND(_A6="A-320",'2025'!$N$4="CA",'2025'!$N$2=CR385),'2025DATA'!$K$29,"")</f>
        <v/>
      </c>
      <c r="CS412" s="518" t="str">
        <f>IF(AND(_A6="A-320",'2025'!$N$4="CA",'2025'!$N$2=CS385),'2025DATA'!$L$29,"")</f>
        <v/>
      </c>
      <c r="CT412" s="518" t="str">
        <f>IF(AND(_A6="A-320",'2025'!$N$4="CA",'2025'!$N$2=CT385),'2025DATA'!$M$29,"")</f>
        <v/>
      </c>
      <c r="CU412" s="520" t="str">
        <f>IF(AND(_A6="A-320",'2025'!$N$4="CA",'2025'!$N$2=CU385),'2025DATA'!$N$29,"")</f>
        <v/>
      </c>
    </row>
    <row r="413" spans="16:99" x14ac:dyDescent="0.25">
      <c r="P413" s="940"/>
      <c r="Q413" s="13" t="s">
        <v>62</v>
      </c>
      <c r="R413" s="518" t="str">
        <f>IF(AND(_A1="A-320",'2025'!$N$4="FO",'2025'!$N$2=R385),'2025DATA'!$C$30,"")</f>
        <v/>
      </c>
      <c r="S413" s="518" t="str">
        <f>IF(AND(_A1="A-320",'2025'!$N$4="FO",'2025'!$N$2=S385),'2025DATA'!$D$30,"")</f>
        <v/>
      </c>
      <c r="T413" s="518" t="str">
        <f>IF(AND(_A1="A-320",'2025'!$N$4="FO",'2025'!$N$2=T385),'2025DATA'!$E$30,"")</f>
        <v/>
      </c>
      <c r="U413" s="518" t="str">
        <f>IF(AND(_A1="A-320",'2025'!$N$4="FO",'2025'!$N$2=U385),'2025DATA'!$F$30,"")</f>
        <v/>
      </c>
      <c r="V413" s="518" t="str">
        <f>IF(AND(_A1="A-320",'2025'!$N$4="FO",'2025'!$N$2=V385),'2025DATA'!$G$30,"")</f>
        <v/>
      </c>
      <c r="W413" s="518" t="str">
        <f>IF(AND(_A1="A-320",'2025'!$N$4="FO",'2025'!$N$2=W385),'2025DATA'!$H$30,"")</f>
        <v/>
      </c>
      <c r="X413" s="518" t="str">
        <f>IF(AND(_A1="A-320",'2025'!$N$4="FO",'2025'!$N$2=X385),'2025DATA'!$I$30,"")</f>
        <v/>
      </c>
      <c r="Y413" s="518" t="str">
        <f>IF(AND(_A1="A-320",'2025'!$N$4="FO",'2025'!$N$2=Y385),'2025DATA'!$J$30,"")</f>
        <v/>
      </c>
      <c r="Z413" s="518" t="str">
        <f>IF(AND(_A1="A-320",'2025'!$N$4="FO",'2025'!$N$2=Z385),'2025DATA'!$K$30,"")</f>
        <v/>
      </c>
      <c r="AA413" s="518" t="str">
        <f>IF(AND(_A1="A-320",'2025'!$N$4="FO",'2025'!$N$2=AA385),'2025DATA'!$L$30,"")</f>
        <v/>
      </c>
      <c r="AB413" s="518" t="str">
        <f>IF(AND(_A1="A-320",'2025'!$N$4="FO",'2025'!$N$2=AB385),'2025DATA'!$M$30,"")</f>
        <v/>
      </c>
      <c r="AC413" s="520" t="str">
        <f>IF(AND(_A1="A-320",'2025'!$N$4="FO",'2025'!$N$2=AC385),'2025DATA'!$N$30,"")</f>
        <v/>
      </c>
      <c r="AD413" s="940"/>
      <c r="AE413" s="13" t="s">
        <v>62</v>
      </c>
      <c r="AF413" s="518" t="str">
        <f>IF(AND(_A2="A-320",'2025'!$N$4="FO",'2025'!$N$2=AF385),'2025DATA'!$C$30,"")</f>
        <v/>
      </c>
      <c r="AG413" s="518" t="str">
        <f>IF(AND(_A2="A-320",'2025'!$N$4="FO",'2025'!$N$2=AG385),'2025DATA'!$D$30,"")</f>
        <v/>
      </c>
      <c r="AH413" s="518" t="str">
        <f>IF(AND(_A2="A-320",'2025'!$N$4="FO",'2025'!$N$2=AH385),'2025DATA'!$E$30,"")</f>
        <v/>
      </c>
      <c r="AI413" s="518" t="str">
        <f>IF(AND(_A2="A-320",'2025'!$N$4="FO",'2025'!$N$2=AI385),'2025DATA'!$F$30,"")</f>
        <v/>
      </c>
      <c r="AJ413" s="518" t="str">
        <f>IF(AND(_A2="A-320",'2025'!$N$4="FO",'2025'!$N$2=AJ385),'2025DATA'!$G$30,"")</f>
        <v/>
      </c>
      <c r="AK413" s="518" t="str">
        <f>IF(AND(_A2="A-320",'2025'!$N$4="FO",'2025'!$N$2=AK385),'2025DATA'!$H$30,"")</f>
        <v/>
      </c>
      <c r="AL413" s="518" t="str">
        <f>IF(AND(_A2="A-320",'2025'!$N$4="FO",'2025'!$N$2=AL385),'2025DATA'!$I$30,"")</f>
        <v/>
      </c>
      <c r="AM413" s="518" t="str">
        <f>IF(AND(_A2="A-320",'2025'!$N$4="FO",'2025'!$N$2=AM385),'2025DATA'!$J$30,"")</f>
        <v/>
      </c>
      <c r="AN413" s="518" t="str">
        <f>IF(AND(_A2="A-320",'2025'!$N$4="FO",'2025'!$N$2=AN385),'2025DATA'!$K$30,"")</f>
        <v/>
      </c>
      <c r="AO413" s="518" t="str">
        <f>IF(AND(_A2="A-320",'2025'!$N$4="FO",'2025'!$N$2=AO385),'2025DATA'!$L$30,"")</f>
        <v/>
      </c>
      <c r="AP413" s="518" t="str">
        <f>IF(AND(_A2="A-320",'2025'!$N$4="FO",'2025'!$N$2=AP385),'2025DATA'!$M$30,"")</f>
        <v/>
      </c>
      <c r="AQ413" s="520" t="str">
        <f>IF(AND(_A2="A-320",'2025'!$N$4="FO",'2025'!$N$2=AQ385),'2025DATA'!$N$30,"")</f>
        <v/>
      </c>
      <c r="AR413" s="940"/>
      <c r="AS413" s="13" t="s">
        <v>62</v>
      </c>
      <c r="AT413" s="518" t="str">
        <f>IF(AND(_A3="A-320",'2025'!$N$4="FO",'2025'!$N$2=AT385),'2025DATA'!$C$30,"")</f>
        <v/>
      </c>
      <c r="AU413" s="518" t="str">
        <f>IF(AND(_A3="A-320",'2025'!$N$4="FO",'2025'!$N$2=AU385),'2025DATA'!$D$30,"")</f>
        <v/>
      </c>
      <c r="AV413" s="518" t="str">
        <f>IF(AND(_A3="A-320",'2025'!$N$4="FO",'2025'!$N$2=AV385),'2025DATA'!$E$30,"")</f>
        <v/>
      </c>
      <c r="AW413" s="518" t="str">
        <f>IF(AND(_A3="A-320",'2025'!$N$4="FO",'2025'!$N$2=AW385),'2025DATA'!$F$30,"")</f>
        <v/>
      </c>
      <c r="AX413" s="518" t="str">
        <f>IF(AND(_A3="A-320",'2025'!$N$4="FO",'2025'!$N$2=AX385),'2025DATA'!$G$30,"")</f>
        <v/>
      </c>
      <c r="AY413" s="518" t="str">
        <f>IF(AND(_A3="A-320",'2025'!$N$4="FO",'2025'!$N$2=AY385),'2025DATA'!$H$30,"")</f>
        <v/>
      </c>
      <c r="AZ413" s="518" t="str">
        <f>IF(AND(_A3="A-320",'2025'!$N$4="FO",'2025'!$N$2=AZ385),'2025DATA'!$I$30,"")</f>
        <v/>
      </c>
      <c r="BA413" s="518" t="str">
        <f>IF(AND(_A3="A-320",'2025'!$N$4="FO",'2025'!$N$2=BA385),'2025DATA'!$J$30,"")</f>
        <v/>
      </c>
      <c r="BB413" s="518" t="str">
        <f>IF(AND(_A3="A-320",'2025'!$N$4="FO",'2025'!$N$2=BB385),'2025DATA'!$K$30,"")</f>
        <v/>
      </c>
      <c r="BC413" s="518" t="str">
        <f>IF(AND(_A3="A-320",'2025'!$N$4="FO",'2025'!$N$2=BC385),'2025DATA'!$L$30,"")</f>
        <v/>
      </c>
      <c r="BD413" s="518" t="str">
        <f>IF(AND(_A3="A-320",'2025'!$N$4="FO",'2025'!$N$2=BD385),'2025DATA'!$M$30,"")</f>
        <v/>
      </c>
      <c r="BE413" s="520" t="str">
        <f>IF(AND(_A3="A-320",'2025'!$N$4="FO",'2025'!$N$2=BE385),'2025DATA'!$N$30,"")</f>
        <v/>
      </c>
      <c r="BF413" s="940"/>
      <c r="BG413" s="13" t="s">
        <v>62</v>
      </c>
      <c r="BH413" s="518" t="str">
        <f>IF(AND(_A4="A-320",'2025'!$N$4="FO",'2025'!$N$2=BH385),'2025DATA'!$C$30,"")</f>
        <v/>
      </c>
      <c r="BI413" s="518" t="str">
        <f>IF(AND(_A4="A-320",'2025'!$N$4="FO",'2025'!$N$2=BI385),'2025DATA'!$D$30,"")</f>
        <v/>
      </c>
      <c r="BJ413" s="518" t="str">
        <f>IF(AND(_A4="A-320",'2025'!$N$4="FO",'2025'!$N$2=BJ385),'2025DATA'!$E$30,"")</f>
        <v/>
      </c>
      <c r="BK413" s="518" t="str">
        <f>IF(AND(_A4="A-320",'2025'!$N$4="FO",'2025'!$N$2=BK385),'2025DATA'!$F$30,"")</f>
        <v/>
      </c>
      <c r="BL413" s="518" t="str">
        <f>IF(AND(_A4="A-320",'2025'!$N$4="FO",'2025'!$N$2=BL385),'2025DATA'!$G$30,"")</f>
        <v/>
      </c>
      <c r="BM413" s="518" t="str">
        <f>IF(AND(_A4="A-320",'2025'!$N$4="FO",'2025'!$N$2=BM385),'2025DATA'!$H$30,"")</f>
        <v/>
      </c>
      <c r="BN413" s="518" t="str">
        <f>IF(AND(_A4="A-320",'2025'!$N$4="FO",'2025'!$N$2=BN385),'2025DATA'!$I$30,"")</f>
        <v/>
      </c>
      <c r="BO413" s="518" t="str">
        <f>IF(AND(_A4="A-320",'2025'!$N$4="FO",'2025'!$N$2=BO385),'2025DATA'!$J$30,"")</f>
        <v/>
      </c>
      <c r="BP413" s="518" t="str">
        <f>IF(AND(_A4="A-320",'2025'!$N$4="FO",'2025'!$N$2=BP385),'2025DATA'!$K$30,"")</f>
        <v/>
      </c>
      <c r="BQ413" s="518" t="str">
        <f>IF(AND(_A4="A-320",'2025'!$N$4="FO",'2025'!$N$2=BQ385),'2025DATA'!$L$30,"")</f>
        <v/>
      </c>
      <c r="BR413" s="518" t="str">
        <f>IF(AND(_A4="A-320",'2025'!$N$4="FO",'2025'!$N$2=BR385),'2025DATA'!$M$30,"")</f>
        <v/>
      </c>
      <c r="BS413" s="520" t="str">
        <f>IF(AND(_A4="A-320",'2025'!$N$4="FO",'2025'!$N$2=BS385),'2025DATA'!$N$30,"")</f>
        <v/>
      </c>
      <c r="BT413" s="940"/>
      <c r="BU413" s="13" t="s">
        <v>62</v>
      </c>
      <c r="BV413" s="518" t="str">
        <f>IF(AND(_A5="A-320",'2025'!$N$4="FO",'2025'!$N$2=BV385),'2025DATA'!$C$30,"")</f>
        <v/>
      </c>
      <c r="BW413" s="518" t="str">
        <f>IF(AND(_A5="A-320",'2025'!$N$4="FO",'2025'!$N$2=BW385),'2025DATA'!$D$30,"")</f>
        <v/>
      </c>
      <c r="BX413" s="518" t="str">
        <f>IF(AND(_A5="A-320",'2025'!$N$4="FO",'2025'!$N$2=BX385),'2025DATA'!$E$30,"")</f>
        <v/>
      </c>
      <c r="BY413" s="518" t="str">
        <f>IF(AND(_A5="A-320",'2025'!$N$4="FO",'2025'!$N$2=BY385),'2025DATA'!$F$30,"")</f>
        <v/>
      </c>
      <c r="BZ413" s="518" t="str">
        <f>IF(AND(_A5="A-320",'2025'!$N$4="FO",'2025'!$N$2=BZ385),'2025DATA'!$G$30,"")</f>
        <v/>
      </c>
      <c r="CA413" s="518" t="str">
        <f>IF(AND(_A5="A-320",'2025'!$N$4="FO",'2025'!$N$2=CA385),'2025DATA'!$H$30,"")</f>
        <v/>
      </c>
      <c r="CB413" s="518" t="str">
        <f>IF(AND(_A5="A-320",'2025'!$N$4="FO",'2025'!$N$2=CB385),'2025DATA'!$I$30,"")</f>
        <v/>
      </c>
      <c r="CC413" s="518" t="str">
        <f>IF(AND(_A5="A-320",'2025'!$N$4="FO",'2025'!$N$2=CC385),'2025DATA'!$J$30,"")</f>
        <v/>
      </c>
      <c r="CD413" s="518" t="str">
        <f>IF(AND(_A5="A-320",'2025'!$N$4="FO",'2025'!$N$2=CD385),'2025DATA'!$K$30,"")</f>
        <v/>
      </c>
      <c r="CE413" s="518" t="str">
        <f>IF(AND(_A5="A-320",'2025'!$N$4="FO",'2025'!$N$2=CE385),'2025DATA'!$L$30,"")</f>
        <v/>
      </c>
      <c r="CF413" s="518" t="str">
        <f>IF(AND(_A5="A-320",'2025'!$N$4="FO",'2025'!$N$2=CF385),'2025DATA'!$M$30,"")</f>
        <v/>
      </c>
      <c r="CG413" s="520" t="str">
        <f>IF(AND(_A5="A-320",'2025'!$N$4="FO",'2025'!$N$2=CG385),'2025DATA'!$N$30,"")</f>
        <v/>
      </c>
      <c r="CH413" s="940"/>
      <c r="CI413" s="13" t="s">
        <v>62</v>
      </c>
      <c r="CJ413" s="518" t="str">
        <f>IF(AND(_A6="A-320",'2025'!$N$4="FO",'2025'!$N$2=CJ385),'2025DATA'!$C$30,"")</f>
        <v/>
      </c>
      <c r="CK413" s="518" t="str">
        <f>IF(AND(_A6="A-320",'2025'!$N$4="FO",'2025'!$N$2=CK385),'2025DATA'!$D$30,"")</f>
        <v/>
      </c>
      <c r="CL413" s="518" t="str">
        <f>IF(AND(_A6="A-320",'2025'!$N$4="FO",'2025'!$N$2=CL385),'2025DATA'!$E$30,"")</f>
        <v/>
      </c>
      <c r="CM413" s="518" t="str">
        <f>IF(AND(_A6="A-320",'2025'!$N$4="FO",'2025'!$N$2=CM385),'2025DATA'!$F$30,"")</f>
        <v/>
      </c>
      <c r="CN413" s="518" t="str">
        <f>IF(AND(_A6="A-320",'2025'!$N$4="FO",'2025'!$N$2=CN385),'2025DATA'!$G$30,"")</f>
        <v/>
      </c>
      <c r="CO413" s="518" t="str">
        <f>IF(AND(_A6="A-320",'2025'!$N$4="FO",'2025'!$N$2=CO385),'2025DATA'!$H$30,"")</f>
        <v/>
      </c>
      <c r="CP413" s="518" t="str">
        <f>IF(AND(_A6="A-320",'2025'!$N$4="FO",'2025'!$N$2=CP385),'2025DATA'!$I$30,"")</f>
        <v/>
      </c>
      <c r="CQ413" s="518" t="str">
        <f>IF(AND(_A6="A-320",'2025'!$N$4="FO",'2025'!$N$2=CQ385),'2025DATA'!$J$30,"")</f>
        <v/>
      </c>
      <c r="CR413" s="518" t="str">
        <f>IF(AND(_A6="A-320",'2025'!$N$4="FO",'2025'!$N$2=CR385),'2025DATA'!$K$30,"")</f>
        <v/>
      </c>
      <c r="CS413" s="518" t="str">
        <f>IF(AND(_A6="A-320",'2025'!$N$4="FO",'2025'!$N$2=CS385),'2025DATA'!$L$30,"")</f>
        <v/>
      </c>
      <c r="CT413" s="518" t="str">
        <f>IF(AND(_A6="A-320",'2025'!$N$4="FO",'2025'!$N$2=CT385),'2025DATA'!$M$30,"")</f>
        <v/>
      </c>
      <c r="CU413" s="520" t="str">
        <f>IF(AND(_A6="A-320",'2025'!$N$4="FO",'2025'!$N$2=CU385),'2025DATA'!$N$30,"")</f>
        <v/>
      </c>
    </row>
    <row r="414" spans="16:99" x14ac:dyDescent="0.25">
      <c r="P414" s="940" t="s">
        <v>71</v>
      </c>
      <c r="Q414" s="13" t="s">
        <v>61</v>
      </c>
      <c r="R414" s="518" t="str">
        <f>IF(AND(_A1="A-319",'2025'!$N$4="CA",'2025'!$N$2=R385),'2025DATA'!$C$31,"")</f>
        <v/>
      </c>
      <c r="S414" s="518" t="str">
        <f>IF(AND(_A1="A-319",'2025'!$N$4="CA",'2025'!$N$2=S385),'2025DATA'!$D$31,"")</f>
        <v/>
      </c>
      <c r="T414" s="518" t="str">
        <f>IF(AND(_A1="A-319",'2025'!$N$4="CA",'2025'!$N$2=T385),'2025DATA'!$E$31,"")</f>
        <v/>
      </c>
      <c r="U414" s="518" t="str">
        <f>IF(AND(_A1="A-319",'2025'!$N$4="CA",'2025'!$N$2=U385),'2025DATA'!$F$31,"")</f>
        <v/>
      </c>
      <c r="V414" s="518" t="str">
        <f>IF(AND(_A1="A-319",'2025'!$N$4="CA",'2025'!$N$2=V385),'2025DATA'!$G$31,"")</f>
        <v/>
      </c>
      <c r="W414" s="518" t="str">
        <f>IF(AND(_A1="A-319",'2025'!$N$4="CA",'2025'!$N$2=W385),'2025DATA'!$H$31,"")</f>
        <v/>
      </c>
      <c r="X414" s="518" t="str">
        <f>IF(AND(_A1="A-319",'2025'!$N$4="CA",'2025'!$N$2=X385),'2025DATA'!$I$31,"")</f>
        <v/>
      </c>
      <c r="Y414" s="518" t="str">
        <f>IF(AND(_A1="A-319",'2025'!$N$4="CA",'2025'!$N$2=Y385),'2025DATA'!$J$31,"")</f>
        <v/>
      </c>
      <c r="Z414" s="518" t="str">
        <f>IF(AND(_A1="A-319",'2025'!$N$4="CA",'2025'!$N$2=Z385),'2025DATA'!$K$31,"")</f>
        <v/>
      </c>
      <c r="AA414" s="518" t="str">
        <f>IF(AND(_A1="A-319",'2025'!$N$4="CA",'2025'!$N$2=AA385),'2025DATA'!$L$31,"")</f>
        <v/>
      </c>
      <c r="AB414" s="518" t="str">
        <f>IF(AND(_A1="A-319",'2025'!$N$4="CA",'2025'!$N$2=AB385),'2025DATA'!$M$31,"")</f>
        <v/>
      </c>
      <c r="AC414" s="520" t="str">
        <f>IF(AND(_A1="A-319",'2025'!$N$4="CA",'2025'!$N$2=AC385),'2025DATA'!$N$31,"")</f>
        <v/>
      </c>
      <c r="AD414" s="940" t="s">
        <v>71</v>
      </c>
      <c r="AE414" s="13" t="s">
        <v>61</v>
      </c>
      <c r="AF414" s="518" t="str">
        <f>IF(AND(_A2="A-319",'2025'!$N$4="CA",'2025'!$N$2=AF385),'2025DATA'!$C$31,"")</f>
        <v/>
      </c>
      <c r="AG414" s="518" t="str">
        <f>IF(AND(_A2="A-319",'2025'!$N$4="CA",'2025'!$N$2=AG385),'2025DATA'!$D$31,"")</f>
        <v/>
      </c>
      <c r="AH414" s="518" t="str">
        <f>IF(AND(_A2="A-319",'2025'!$N$4="CA",'2025'!$N$2=AH385),'2025DATA'!$E$31,"")</f>
        <v/>
      </c>
      <c r="AI414" s="518" t="str">
        <f>IF(AND(_A2="A-319",'2025'!$N$4="CA",'2025'!$N$2=AI385),'2025DATA'!$F$31,"")</f>
        <v/>
      </c>
      <c r="AJ414" s="518" t="str">
        <f>IF(AND(_A2="A-319",'2025'!$N$4="CA",'2025'!$N$2=AJ385),'2025DATA'!$G$31,"")</f>
        <v/>
      </c>
      <c r="AK414" s="518" t="str">
        <f>IF(AND(_A2="A-319",'2025'!$N$4="CA",'2025'!$N$2=AK385),'2025DATA'!$H$31,"")</f>
        <v/>
      </c>
      <c r="AL414" s="518" t="str">
        <f>IF(AND(_A2="A-319",'2025'!$N$4="CA",'2025'!$N$2=AL385),'2025DATA'!$I$31,"")</f>
        <v/>
      </c>
      <c r="AM414" s="518" t="str">
        <f>IF(AND(_A2="A-319",'2025'!$N$4="CA",'2025'!$N$2=AM385),'2025DATA'!$J$31,"")</f>
        <v/>
      </c>
      <c r="AN414" s="518" t="str">
        <f>IF(AND(_A2="A-319",'2025'!$N$4="CA",'2025'!$N$2=AN385),'2025DATA'!$K$31,"")</f>
        <v/>
      </c>
      <c r="AO414" s="518" t="str">
        <f>IF(AND(_A2="A-319",'2025'!$N$4="CA",'2025'!$N$2=AO385),'2025DATA'!$L$31,"")</f>
        <v/>
      </c>
      <c r="AP414" s="518" t="str">
        <f>IF(AND(_A2="A-319",'2025'!$N$4="CA",'2025'!$N$2=AP385),'2025DATA'!$M$31,"")</f>
        <v/>
      </c>
      <c r="AQ414" s="520" t="str">
        <f>IF(AND(_A2="A-319",'2025'!$N$4="CA",'2025'!$N$2=AQ385),'2025DATA'!$N$31,"")</f>
        <v/>
      </c>
      <c r="AR414" s="940" t="s">
        <v>71</v>
      </c>
      <c r="AS414" s="13" t="s">
        <v>61</v>
      </c>
      <c r="AT414" s="518" t="str">
        <f>IF(AND(_A3="A-319",'2025'!$N$4="CA",'2025'!$N$2=AT385),'2025DATA'!$C$31,"")</f>
        <v/>
      </c>
      <c r="AU414" s="518" t="str">
        <f>IF(AND(_A3="A-319",'2025'!$N$4="CA",'2025'!$N$2=AU385),'2025DATA'!$D$31,"")</f>
        <v/>
      </c>
      <c r="AV414" s="518" t="str">
        <f>IF(AND(_A3="A-319",'2025'!$N$4="CA",'2025'!$N$2=AV385),'2025DATA'!$E$31,"")</f>
        <v/>
      </c>
      <c r="AW414" s="518" t="str">
        <f>IF(AND(_A3="A-319",'2025'!$N$4="CA",'2025'!$N$2=AW385),'2025DATA'!$F$31,"")</f>
        <v/>
      </c>
      <c r="AX414" s="518" t="str">
        <f>IF(AND(_A3="A-319",'2025'!$N$4="CA",'2025'!$N$2=AX385),'2025DATA'!$G$31,"")</f>
        <v/>
      </c>
      <c r="AY414" s="518" t="str">
        <f>IF(AND(_A3="A-319",'2025'!$N$4="CA",'2025'!$N$2=AY385),'2025DATA'!$H$31,"")</f>
        <v/>
      </c>
      <c r="AZ414" s="518" t="str">
        <f>IF(AND(_A3="A-319",'2025'!$N$4="CA",'2025'!$N$2=AZ385),'2025DATA'!$I$31,"")</f>
        <v/>
      </c>
      <c r="BA414" s="518" t="str">
        <f>IF(AND(_A3="A-319",'2025'!$N$4="CA",'2025'!$N$2=BA385),'2025DATA'!$J$31,"")</f>
        <v/>
      </c>
      <c r="BB414" s="518" t="str">
        <f>IF(AND(_A3="A-319",'2025'!$N$4="CA",'2025'!$N$2=BB385),'2025DATA'!$K$31,"")</f>
        <v/>
      </c>
      <c r="BC414" s="518" t="str">
        <f>IF(AND(_A3="A-319",'2025'!$N$4="CA",'2025'!$N$2=BC385),'2025DATA'!$L$31,"")</f>
        <v/>
      </c>
      <c r="BD414" s="518" t="str">
        <f>IF(AND(_A3="A-319",'2025'!$N$4="CA",'2025'!$N$2=BD385),'2025DATA'!$M$31,"")</f>
        <v/>
      </c>
      <c r="BE414" s="520" t="str">
        <f>IF(AND(_A3="A-319",'2025'!$N$4="CA",'2025'!$N$2=BE385),'2025DATA'!$N$31,"")</f>
        <v/>
      </c>
      <c r="BF414" s="940" t="s">
        <v>71</v>
      </c>
      <c r="BG414" s="13" t="s">
        <v>61</v>
      </c>
      <c r="BH414" s="518" t="str">
        <f>IF(AND(_A4="A-319",'2025'!$N$4="CA",'2025'!$N$2=BH385),'2025DATA'!$C$31,"")</f>
        <v/>
      </c>
      <c r="BI414" s="518" t="str">
        <f>IF(AND(_A4="A-319",'2025'!$N$4="CA",'2025'!$N$2=BI385),'2025DATA'!$D$31,"")</f>
        <v/>
      </c>
      <c r="BJ414" s="518" t="str">
        <f>IF(AND(_A4="A-319",'2025'!$N$4="CA",'2025'!$N$2=BJ385),'2025DATA'!$E$31,"")</f>
        <v/>
      </c>
      <c r="BK414" s="518" t="str">
        <f>IF(AND(_A4="A-319",'2025'!$N$4="CA",'2025'!$N$2=BK385),'2025DATA'!$F$31,"")</f>
        <v/>
      </c>
      <c r="BL414" s="518" t="str">
        <f>IF(AND(_A4="A-319",'2025'!$N$4="CA",'2025'!$N$2=BL385),'2025DATA'!$G$31,"")</f>
        <v/>
      </c>
      <c r="BM414" s="518" t="str">
        <f>IF(AND(_A4="A-319",'2025'!$N$4="CA",'2025'!$N$2=BM385),'2025DATA'!$H$31,"")</f>
        <v/>
      </c>
      <c r="BN414" s="518" t="str">
        <f>IF(AND(_A4="A-319",'2025'!$N$4="CA",'2025'!$N$2=BN385),'2025DATA'!$I$31,"")</f>
        <v/>
      </c>
      <c r="BO414" s="518" t="str">
        <f>IF(AND(_A4="A-319",'2025'!$N$4="CA",'2025'!$N$2=BO385),'2025DATA'!$J$31,"")</f>
        <v/>
      </c>
      <c r="BP414" s="518" t="str">
        <f>IF(AND(_A4="A-319",'2025'!$N$4="CA",'2025'!$N$2=BP385),'2025DATA'!$K$31,"")</f>
        <v/>
      </c>
      <c r="BQ414" s="518" t="str">
        <f>IF(AND(_A4="A-319",'2025'!$N$4="CA",'2025'!$N$2=BQ385),'2025DATA'!$L$31,"")</f>
        <v/>
      </c>
      <c r="BR414" s="518" t="str">
        <f>IF(AND(_A4="A-319",'2025'!$N$4="CA",'2025'!$N$2=BR385),'2025DATA'!$M$31,"")</f>
        <v/>
      </c>
      <c r="BS414" s="520" t="str">
        <f>IF(AND(_A4="A-319",'2025'!$N$4="CA",'2025'!$N$2=BS385),'2025DATA'!$N$31,"")</f>
        <v/>
      </c>
      <c r="BT414" s="940" t="s">
        <v>71</v>
      </c>
      <c r="BU414" s="13" t="s">
        <v>61</v>
      </c>
      <c r="BV414" s="518" t="str">
        <f>IF(AND(_A5="A-319",'2025'!$N$4="CA",'2025'!$N$2=BV385),'2025DATA'!$C$31,"")</f>
        <v/>
      </c>
      <c r="BW414" s="518" t="str">
        <f>IF(AND(_A5="A-319",'2025'!$N$4="CA",'2025'!$N$2=BW385),'2025DATA'!$D$31,"")</f>
        <v/>
      </c>
      <c r="BX414" s="518" t="str">
        <f>IF(AND(_A5="A-319",'2025'!$N$4="CA",'2025'!$N$2=BX385),'2025DATA'!$E$31,"")</f>
        <v/>
      </c>
      <c r="BY414" s="518" t="str">
        <f>IF(AND(_A5="A-319",'2025'!$N$4="CA",'2025'!$N$2=BY385),'2025DATA'!$F$31,"")</f>
        <v/>
      </c>
      <c r="BZ414" s="518" t="str">
        <f>IF(AND(_A5="A-319",'2025'!$N$4="CA",'2025'!$N$2=BZ385),'2025DATA'!$G$31,"")</f>
        <v/>
      </c>
      <c r="CA414" s="518" t="str">
        <f>IF(AND(_A5="A-319",'2025'!$N$4="CA",'2025'!$N$2=CA385),'2025DATA'!$H$31,"")</f>
        <v/>
      </c>
      <c r="CB414" s="518" t="str">
        <f>IF(AND(_A5="A-319",'2025'!$N$4="CA",'2025'!$N$2=CB385),'2025DATA'!$I$31,"")</f>
        <v/>
      </c>
      <c r="CC414" s="518" t="str">
        <f>IF(AND(_A5="A-319",'2025'!$N$4="CA",'2025'!$N$2=CC385),'2025DATA'!$J$31,"")</f>
        <v/>
      </c>
      <c r="CD414" s="518" t="str">
        <f>IF(AND(_A5="A-319",'2025'!$N$4="CA",'2025'!$N$2=CD385),'2025DATA'!$K$31,"")</f>
        <v/>
      </c>
      <c r="CE414" s="518" t="str">
        <f>IF(AND(_A5="A-319",'2025'!$N$4="CA",'2025'!$N$2=CE385),'2025DATA'!$L$31,"")</f>
        <v/>
      </c>
      <c r="CF414" s="518" t="str">
        <f>IF(AND(_A5="A-319",'2025'!$N$4="CA",'2025'!$N$2=CF385),'2025DATA'!$M$31,"")</f>
        <v/>
      </c>
      <c r="CG414" s="520" t="str">
        <f>IF(AND(_A5="A-319",'2025'!$N$4="CA",'2025'!$N$2=CG385),'2025DATA'!$N$31,"")</f>
        <v/>
      </c>
      <c r="CH414" s="940" t="s">
        <v>71</v>
      </c>
      <c r="CI414" s="13" t="s">
        <v>61</v>
      </c>
      <c r="CJ414" s="518" t="str">
        <f>IF(AND(_A6="A-319",'2025'!$N$4="CA",'2025'!$N$2=CJ385),'2025DATA'!$C$31,"")</f>
        <v/>
      </c>
      <c r="CK414" s="518" t="str">
        <f>IF(AND(_A6="A-319",'2025'!$N$4="CA",'2025'!$N$2=CK385),'2025DATA'!$D$31,"")</f>
        <v/>
      </c>
      <c r="CL414" s="518" t="str">
        <f>IF(AND(_A6="A-319",'2025'!$N$4="CA",'2025'!$N$2=CL385),'2025DATA'!$E$31,"")</f>
        <v/>
      </c>
      <c r="CM414" s="518" t="str">
        <f>IF(AND(_A6="A-319",'2025'!$N$4="CA",'2025'!$N$2=CM385),'2025DATA'!$F$31,"")</f>
        <v/>
      </c>
      <c r="CN414" s="518" t="str">
        <f>IF(AND(_A6="A-319",'2025'!$N$4="CA",'2025'!$N$2=CN385),'2025DATA'!$G$31,"")</f>
        <v/>
      </c>
      <c r="CO414" s="518" t="str">
        <f>IF(AND(_A6="A-319",'2025'!$N$4="CA",'2025'!$N$2=CO385),'2025DATA'!$H$31,"")</f>
        <v/>
      </c>
      <c r="CP414" s="518" t="str">
        <f>IF(AND(_A6="A-319",'2025'!$N$4="CA",'2025'!$N$2=CP385),'2025DATA'!$I$31,"")</f>
        <v/>
      </c>
      <c r="CQ414" s="518" t="str">
        <f>IF(AND(_A6="A-319",'2025'!$N$4="CA",'2025'!$N$2=CQ385),'2025DATA'!$J$31,"")</f>
        <v/>
      </c>
      <c r="CR414" s="518" t="str">
        <f>IF(AND(_A6="A-319",'2025'!$N$4="CA",'2025'!$N$2=CR385),'2025DATA'!$K$31,"")</f>
        <v/>
      </c>
      <c r="CS414" s="518" t="str">
        <f>IF(AND(_A6="A-319",'2025'!$N$4="CA",'2025'!$N$2=CS385),'2025DATA'!$L$31,"")</f>
        <v/>
      </c>
      <c r="CT414" s="518" t="str">
        <f>IF(AND(_A6="A-319",'2025'!$N$4="CA",'2025'!$N$2=CT385),'2025DATA'!$M$31,"")</f>
        <v/>
      </c>
      <c r="CU414" s="520" t="str">
        <f>IF(AND(_A6="A-319",'2025'!$N$4="CA",'2025'!$N$2=CU385),'2025DATA'!$N$31,"")</f>
        <v/>
      </c>
    </row>
    <row r="415" spans="16:99" x14ac:dyDescent="0.25">
      <c r="P415" s="940"/>
      <c r="Q415" s="13" t="s">
        <v>62</v>
      </c>
      <c r="R415" s="518" t="str">
        <f>IF(AND(_A1="A-319",'2025'!$N$4="FO",'2025'!$N$2=R385),'2025DATA'!$C$32,"")</f>
        <v/>
      </c>
      <c r="S415" s="518" t="str">
        <f>IF(AND(_A1="A-319",'2025'!$N$4="FO",'2025'!$N$2=S385),'2025DATA'!$D$32,"")</f>
        <v/>
      </c>
      <c r="T415" s="518" t="str">
        <f>IF(AND(_A1="A-319",'2025'!$N$4="FO",'2025'!$N$2=T385),'2025DATA'!$E$32,"")</f>
        <v/>
      </c>
      <c r="U415" s="518" t="str">
        <f>IF(AND(_A1="A-319",'2025'!$N$4="FO",'2025'!$N$2=U385),'2025DATA'!$F$32,"")</f>
        <v/>
      </c>
      <c r="V415" s="518" t="str">
        <f>IF(AND(_A1="A-319",'2025'!$N$4="FO",'2025'!$N$2=V385),'2025DATA'!$G$32,"")</f>
        <v/>
      </c>
      <c r="W415" s="518" t="str">
        <f>IF(AND(_A1="A-319",'2025'!$N$4="FO",'2025'!$N$2=W385),'2025DATA'!$H$32,"")</f>
        <v/>
      </c>
      <c r="X415" s="518" t="str">
        <f>IF(AND(_A1="A-319",'2025'!$N$4="FO",'2025'!$N$2=X385),'2025DATA'!$I$32,"")</f>
        <v/>
      </c>
      <c r="Y415" s="518" t="str">
        <f>IF(AND(_A1="A-319",'2025'!$N$4="FO",'2025'!$N$2=Y385),'2025DATA'!$J$32,"")</f>
        <v/>
      </c>
      <c r="Z415" s="518" t="str">
        <f>IF(AND(_A1="A-319",'2025'!$N$4="FO",'2025'!$N$2=Z385),'2025DATA'!$K$32,"")</f>
        <v/>
      </c>
      <c r="AA415" s="518" t="str">
        <f>IF(AND(_A1="A-319",'2025'!$N$4="FO",'2025'!$N$2=AA385),'2025DATA'!$L$32,"")</f>
        <v/>
      </c>
      <c r="AB415" s="518" t="str">
        <f>IF(AND(_A1="A-319",'2025'!$N$4="FO",'2025'!$N$2=AB385),'2025DATA'!$M$32,"")</f>
        <v/>
      </c>
      <c r="AC415" s="520" t="str">
        <f>IF(AND(_A1="A-319",'2025'!$N$4="FO",'2025'!$N$2=AC385),'2025DATA'!$N$32,"")</f>
        <v/>
      </c>
      <c r="AD415" s="940"/>
      <c r="AE415" s="13" t="s">
        <v>62</v>
      </c>
      <c r="AF415" s="518" t="str">
        <f>IF(AND(_A2="A-319",'2025'!$N$4="FO",'2025'!$N$2=AF385),'2025DATA'!$C$32,"")</f>
        <v/>
      </c>
      <c r="AG415" s="518" t="str">
        <f>IF(AND(_A2="A-319",'2025'!$N$4="FO",'2025'!$N$2=AG385),'2025DATA'!$D$32,"")</f>
        <v/>
      </c>
      <c r="AH415" s="518" t="str">
        <f>IF(AND(_A2="A-319",'2025'!$N$4="FO",'2025'!$N$2=AH385),'2025DATA'!$E$32,"")</f>
        <v/>
      </c>
      <c r="AI415" s="518" t="str">
        <f>IF(AND(_A2="A-319",'2025'!$N$4="FO",'2025'!$N$2=AI385),'2025DATA'!$F$32,"")</f>
        <v/>
      </c>
      <c r="AJ415" s="518" t="str">
        <f>IF(AND(_A2="A-319",'2025'!$N$4="FO",'2025'!$N$2=AJ385),'2025DATA'!$G$32,"")</f>
        <v/>
      </c>
      <c r="AK415" s="518" t="str">
        <f>IF(AND(_A2="A-319",'2025'!$N$4="FO",'2025'!$N$2=AK385),'2025DATA'!$H$32,"")</f>
        <v/>
      </c>
      <c r="AL415" s="518" t="str">
        <f>IF(AND(_A2="A-319",'2025'!$N$4="FO",'2025'!$N$2=AL385),'2025DATA'!$I$32,"")</f>
        <v/>
      </c>
      <c r="AM415" s="518" t="str">
        <f>IF(AND(_A2="A-319",'2025'!$N$4="FO",'2025'!$N$2=AM385),'2025DATA'!$J$32,"")</f>
        <v/>
      </c>
      <c r="AN415" s="518" t="str">
        <f>IF(AND(_A2="A-319",'2025'!$N$4="FO",'2025'!$N$2=AN385),'2025DATA'!$K$32,"")</f>
        <v/>
      </c>
      <c r="AO415" s="518" t="str">
        <f>IF(AND(_A2="A-319",'2025'!$N$4="FO",'2025'!$N$2=AO385),'2025DATA'!$L$32,"")</f>
        <v/>
      </c>
      <c r="AP415" s="518" t="str">
        <f>IF(AND(_A2="A-319",'2025'!$N$4="FO",'2025'!$N$2=AP385),'2025DATA'!$M$32,"")</f>
        <v/>
      </c>
      <c r="AQ415" s="520" t="str">
        <f>IF(AND(_A2="A-319",'2025'!$N$4="FO",'2025'!$N$2=AQ385),'2025DATA'!$N$32,"")</f>
        <v/>
      </c>
      <c r="AR415" s="940"/>
      <c r="AS415" s="13" t="s">
        <v>62</v>
      </c>
      <c r="AT415" s="518" t="str">
        <f>IF(AND(_A3="A-319",'2025'!$N$4="FO",'2025'!$N$2=AT385),'2025DATA'!$C$32,"")</f>
        <v/>
      </c>
      <c r="AU415" s="518" t="str">
        <f>IF(AND(_A3="A-319",'2025'!$N$4="FO",'2025'!$N$2=AU385),'2025DATA'!$D$32,"")</f>
        <v/>
      </c>
      <c r="AV415" s="518" t="str">
        <f>IF(AND(_A3="A-319",'2025'!$N$4="FO",'2025'!$N$2=AV385),'2025DATA'!$E$32,"")</f>
        <v/>
      </c>
      <c r="AW415" s="518" t="str">
        <f>IF(AND(_A3="A-319",'2025'!$N$4="FO",'2025'!$N$2=AW385),'2025DATA'!$F$32,"")</f>
        <v/>
      </c>
      <c r="AX415" s="518" t="str">
        <f>IF(AND(_A3="A-319",'2025'!$N$4="FO",'2025'!$N$2=AX385),'2025DATA'!$G$32,"")</f>
        <v/>
      </c>
      <c r="AY415" s="518" t="str">
        <f>IF(AND(_A3="A-319",'2025'!$N$4="FO",'2025'!$N$2=AY385),'2025DATA'!$H$32,"")</f>
        <v/>
      </c>
      <c r="AZ415" s="518" t="str">
        <f>IF(AND(_A3="A-319",'2025'!$N$4="FO",'2025'!$N$2=AZ385),'2025DATA'!$I$32,"")</f>
        <v/>
      </c>
      <c r="BA415" s="518" t="str">
        <f>IF(AND(_A3="A-319",'2025'!$N$4="FO",'2025'!$N$2=BA385),'2025DATA'!$J$32,"")</f>
        <v/>
      </c>
      <c r="BB415" s="518" t="str">
        <f>IF(AND(_A3="A-319",'2025'!$N$4="FO",'2025'!$N$2=BB385),'2025DATA'!$K$32,"")</f>
        <v/>
      </c>
      <c r="BC415" s="518" t="str">
        <f>IF(AND(_A3="A-319",'2025'!$N$4="FO",'2025'!$N$2=BC385),'2025DATA'!$L$32,"")</f>
        <v/>
      </c>
      <c r="BD415" s="518" t="str">
        <f>IF(AND(_A3="A-319",'2025'!$N$4="FO",'2025'!$N$2=BD385),'2025DATA'!$M$32,"")</f>
        <v/>
      </c>
      <c r="BE415" s="520" t="str">
        <f>IF(AND(_A3="A-319",'2025'!$N$4="FO",'2025'!$N$2=BE385),'2025DATA'!$N$32,"")</f>
        <v/>
      </c>
      <c r="BF415" s="940"/>
      <c r="BG415" s="13" t="s">
        <v>62</v>
      </c>
      <c r="BH415" s="518" t="str">
        <f>IF(AND(_A4="A-319",'2025'!$N$4="FO",'2025'!$N$2=BH385),'2025DATA'!$C$32,"")</f>
        <v/>
      </c>
      <c r="BI415" s="518" t="str">
        <f>IF(AND(_A4="A-319",'2025'!$N$4="FO",'2025'!$N$2=BI385),'2025DATA'!$D$32,"")</f>
        <v/>
      </c>
      <c r="BJ415" s="518" t="str">
        <f>IF(AND(_A4="A-319",'2025'!$N$4="FO",'2025'!$N$2=BJ385),'2025DATA'!$E$32,"")</f>
        <v/>
      </c>
      <c r="BK415" s="518" t="str">
        <f>IF(AND(_A4="A-319",'2025'!$N$4="FO",'2025'!$N$2=BK385),'2025DATA'!$F$32,"")</f>
        <v/>
      </c>
      <c r="BL415" s="518" t="str">
        <f>IF(AND(_A4="A-319",'2025'!$N$4="FO",'2025'!$N$2=BL385),'2025DATA'!$G$32,"")</f>
        <v/>
      </c>
      <c r="BM415" s="518" t="str">
        <f>IF(AND(_A4="A-319",'2025'!$N$4="FO",'2025'!$N$2=BM385),'2025DATA'!$H$32,"")</f>
        <v/>
      </c>
      <c r="BN415" s="518" t="str">
        <f>IF(AND(_A4="A-319",'2025'!$N$4="FO",'2025'!$N$2=BN385),'2025DATA'!$I$32,"")</f>
        <v/>
      </c>
      <c r="BO415" s="518" t="str">
        <f>IF(AND(_A4="A-319",'2025'!$N$4="FO",'2025'!$N$2=BO385),'2025DATA'!$J$32,"")</f>
        <v/>
      </c>
      <c r="BP415" s="518" t="str">
        <f>IF(AND(_A4="A-319",'2025'!$N$4="FO",'2025'!$N$2=BP385),'2025DATA'!$K$32,"")</f>
        <v/>
      </c>
      <c r="BQ415" s="518" t="str">
        <f>IF(AND(_A4="A-319",'2025'!$N$4="FO",'2025'!$N$2=BQ385),'2025DATA'!$L$32,"")</f>
        <v/>
      </c>
      <c r="BR415" s="518" t="str">
        <f>IF(AND(_A4="A-319",'2025'!$N$4="FO",'2025'!$N$2=BR385),'2025DATA'!$M$32,"")</f>
        <v/>
      </c>
      <c r="BS415" s="520" t="str">
        <f>IF(AND(_A4="A-319",'2025'!$N$4="FO",'2025'!$N$2=BS385),'2025DATA'!$N$32,"")</f>
        <v/>
      </c>
      <c r="BT415" s="940"/>
      <c r="BU415" s="13" t="s">
        <v>62</v>
      </c>
      <c r="BV415" s="518" t="str">
        <f>IF(AND(_A5="A-319",'2025'!$N$4="FO",'2025'!$N$2=BV385),'2025DATA'!$C$32,"")</f>
        <v/>
      </c>
      <c r="BW415" s="518" t="str">
        <f>IF(AND(_A5="A-319",'2025'!$N$4="FO",'2025'!$N$2=BW385),'2025DATA'!$D$32,"")</f>
        <v/>
      </c>
      <c r="BX415" s="518" t="str">
        <f>IF(AND(_A5="A-319",'2025'!$N$4="FO",'2025'!$N$2=BX385),'2025DATA'!$E$32,"")</f>
        <v/>
      </c>
      <c r="BY415" s="518" t="str">
        <f>IF(AND(_A5="A-319",'2025'!$N$4="FO",'2025'!$N$2=BY385),'2025DATA'!$F$32,"")</f>
        <v/>
      </c>
      <c r="BZ415" s="518" t="str">
        <f>IF(AND(_A5="A-319",'2025'!$N$4="FO",'2025'!$N$2=BZ385),'2025DATA'!$G$32,"")</f>
        <v/>
      </c>
      <c r="CA415" s="518" t="str">
        <f>IF(AND(_A5="A-319",'2025'!$N$4="FO",'2025'!$N$2=CA385),'2025DATA'!$H$32,"")</f>
        <v/>
      </c>
      <c r="CB415" s="518" t="str">
        <f>IF(AND(_A5="A-319",'2025'!$N$4="FO",'2025'!$N$2=CB385),'2025DATA'!$I$32,"")</f>
        <v/>
      </c>
      <c r="CC415" s="518" t="str">
        <f>IF(AND(_A5="A-319",'2025'!$N$4="FO",'2025'!$N$2=CC385),'2025DATA'!$J$32,"")</f>
        <v/>
      </c>
      <c r="CD415" s="518" t="str">
        <f>IF(AND(_A5="A-319",'2025'!$N$4="FO",'2025'!$N$2=CD385),'2025DATA'!$K$32,"")</f>
        <v/>
      </c>
      <c r="CE415" s="518" t="str">
        <f>IF(AND(_A5="A-319",'2025'!$N$4="FO",'2025'!$N$2=CE385),'2025DATA'!$L$32,"")</f>
        <v/>
      </c>
      <c r="CF415" s="518" t="str">
        <f>IF(AND(_A5="A-319",'2025'!$N$4="FO",'2025'!$N$2=CF385),'2025DATA'!$M$32,"")</f>
        <v/>
      </c>
      <c r="CG415" s="520" t="str">
        <f>IF(AND(_A5="A-319",'2025'!$N$4="FO",'2025'!$N$2=CG385),'2025DATA'!$N$32,"")</f>
        <v/>
      </c>
      <c r="CH415" s="940"/>
      <c r="CI415" s="13" t="s">
        <v>62</v>
      </c>
      <c r="CJ415" s="518" t="str">
        <f>IF(AND(_A6="A-319",'2025'!$N$4="FO",'2025'!$N$2=CJ385),'2025DATA'!$C$32,"")</f>
        <v/>
      </c>
      <c r="CK415" s="518" t="str">
        <f>IF(AND(_A6="A-319",'2025'!$N$4="FO",'2025'!$N$2=CK385),'2025DATA'!$D$32,"")</f>
        <v/>
      </c>
      <c r="CL415" s="518" t="str">
        <f>IF(AND(_A6="A-319",'2025'!$N$4="FO",'2025'!$N$2=CL385),'2025DATA'!$E$32,"")</f>
        <v/>
      </c>
      <c r="CM415" s="518" t="str">
        <f>IF(AND(_A6="A-319",'2025'!$N$4="FO",'2025'!$N$2=CM385),'2025DATA'!$F$32,"")</f>
        <v/>
      </c>
      <c r="CN415" s="518" t="str">
        <f>IF(AND(_A6="A-319",'2025'!$N$4="FO",'2025'!$N$2=CN385),'2025DATA'!$G$32,"")</f>
        <v/>
      </c>
      <c r="CO415" s="518" t="str">
        <f>IF(AND(_A6="A-319",'2025'!$N$4="FO",'2025'!$N$2=CO385),'2025DATA'!$H$32,"")</f>
        <v/>
      </c>
      <c r="CP415" s="518" t="str">
        <f>IF(AND(_A6="A-319",'2025'!$N$4="FO",'2025'!$N$2=CP385),'2025DATA'!$I$32,"")</f>
        <v/>
      </c>
      <c r="CQ415" s="518" t="str">
        <f>IF(AND(_A6="A-319",'2025'!$N$4="FO",'2025'!$N$2=CQ385),'2025DATA'!$J$32,"")</f>
        <v/>
      </c>
      <c r="CR415" s="518" t="str">
        <f>IF(AND(_A6="A-319",'2025'!$N$4="FO",'2025'!$N$2=CR385),'2025DATA'!$K$32,"")</f>
        <v/>
      </c>
      <c r="CS415" s="518" t="str">
        <f>IF(AND(_A6="A-319",'2025'!$N$4="FO",'2025'!$N$2=CS385),'2025DATA'!$L$32,"")</f>
        <v/>
      </c>
      <c r="CT415" s="518" t="str">
        <f>IF(AND(_A6="A-319",'2025'!$N$4="FO",'2025'!$N$2=CT385),'2025DATA'!$M$32,"")</f>
        <v/>
      </c>
      <c r="CU415" s="520" t="str">
        <f>IF(AND(_A6="A-319",'2025'!$N$4="FO",'2025'!$N$2=CU385),'2025DATA'!$N$32,"")</f>
        <v/>
      </c>
    </row>
    <row r="416" spans="16:99" x14ac:dyDescent="0.25">
      <c r="P416" s="940" t="s">
        <v>51</v>
      </c>
      <c r="Q416" s="13" t="s">
        <v>61</v>
      </c>
      <c r="R416" s="518" t="str">
        <f>IF(AND(_A1="A-220-300",'2025'!$N$4="CA",'2025'!$N$2=R385),'2025DATA'!$C$33,"")</f>
        <v/>
      </c>
      <c r="S416" s="518" t="str">
        <f>IF(AND(_A1="A-220-300",'2025'!$N$4="CA",'2025'!$N$2=S385),'2025DATA'!$D$33,"")</f>
        <v/>
      </c>
      <c r="T416" s="518" t="str">
        <f>IF(AND(_A1="A-220-300",'2025'!$N$4="CA",'2025'!$N$2=T385),'2025DATA'!$E$33,"")</f>
        <v/>
      </c>
      <c r="U416" s="518" t="str">
        <f>IF(AND(_A1="A-220-300",'2025'!$N$4="CA",'2025'!$N$2=U385),'2025DATA'!$F$33,"")</f>
        <v/>
      </c>
      <c r="V416" s="518" t="str">
        <f>IF(AND(_A1="A-220-300",'2025'!$N$4="CA",'2025'!$N$2=V385),'2025DATA'!$G$33,"")</f>
        <v/>
      </c>
      <c r="W416" s="518" t="str">
        <f>IF(AND(_A1="A-220-300",'2025'!$N$4="CA",'2025'!$N$2=W385),'2025DATA'!$H$33,"")</f>
        <v/>
      </c>
      <c r="X416" s="518" t="str">
        <f>IF(AND(_A1="A-220-300",'2025'!$N$4="CA",'2025'!$N$2=X385),'2025DATA'!$I$33,"")</f>
        <v/>
      </c>
      <c r="Y416" s="518" t="str">
        <f>IF(AND(_A1="A-220-300",'2025'!$N$4="CA",'2025'!$N$2=Y385),'2025DATA'!$J$33,"")</f>
        <v/>
      </c>
      <c r="Z416" s="518" t="str">
        <f>IF(AND(_A1="A-220-300",'2025'!$N$4="CA",'2025'!$N$2=Z385),'2025DATA'!$K$33,"")</f>
        <v/>
      </c>
      <c r="AA416" s="518" t="str">
        <f>IF(AND(_A1="A-220-300",'2025'!$N$4="CA",'2025'!$N$2=AA385),'2025DATA'!$L$33,"")</f>
        <v/>
      </c>
      <c r="AB416" s="518" t="str">
        <f>IF(AND(_A1="A-220-300",'2025'!$N$4="CA",'2025'!$N$2=AB385),'2025DATA'!$M$33,"")</f>
        <v/>
      </c>
      <c r="AC416" s="520" t="str">
        <f>IF(AND(_A1="A-220-300",'2025'!$N$4="CA",'2025'!$N$2=AC385),'2025DATA'!$N$33,"")</f>
        <v/>
      </c>
      <c r="AD416" s="940" t="s">
        <v>51</v>
      </c>
      <c r="AE416" s="13" t="s">
        <v>61</v>
      </c>
      <c r="AF416" s="518" t="str">
        <f>IF(AND(_A2="A-220-300",'2025'!$N$4="CA",'2025'!$N$2=AF385),'2025DATA'!$C$33,"")</f>
        <v/>
      </c>
      <c r="AG416" s="518" t="str">
        <f>IF(AND(_A2="A-220-300",'2025'!$N$4="CA",'2025'!$N$2=AG385),'2025DATA'!$D$33,"")</f>
        <v/>
      </c>
      <c r="AH416" s="518" t="str">
        <f>IF(AND(_A2="A-220-300",'2025'!$N$4="CA",'2025'!$N$2=AH385),'2025DATA'!$E$33,"")</f>
        <v/>
      </c>
      <c r="AI416" s="518" t="str">
        <f>IF(AND(_A2="A-220-300",'2025'!$N$4="CA",'2025'!$N$2=AI385),'2025DATA'!$F$33,"")</f>
        <v/>
      </c>
      <c r="AJ416" s="518" t="str">
        <f>IF(AND(_A2="A-220-300",'2025'!$N$4="CA",'2025'!$N$2=AJ385),'2025DATA'!$G$33,"")</f>
        <v/>
      </c>
      <c r="AK416" s="518" t="str">
        <f>IF(AND(_A2="A-220-300",'2025'!$N$4="CA",'2025'!$N$2=AK385),'2025DATA'!$H$33,"")</f>
        <v/>
      </c>
      <c r="AL416" s="518" t="str">
        <f>IF(AND(_A2="A-220-300",'2025'!$N$4="CA",'2025'!$N$2=AL385),'2025DATA'!$I$33,"")</f>
        <v/>
      </c>
      <c r="AM416" s="518" t="str">
        <f>IF(AND(_A2="A-220-300",'2025'!$N$4="CA",'2025'!$N$2=AM385),'2025DATA'!$J$33,"")</f>
        <v/>
      </c>
      <c r="AN416" s="518" t="str">
        <f>IF(AND(_A2="A-220-300",'2025'!$N$4="CA",'2025'!$N$2=AN385),'2025DATA'!$K$33,"")</f>
        <v/>
      </c>
      <c r="AO416" s="518" t="str">
        <f>IF(AND(_A2="A-220-300",'2025'!$N$4="CA",'2025'!$N$2=AO385),'2025DATA'!$L$33,"")</f>
        <v/>
      </c>
      <c r="AP416" s="518" t="str">
        <f>IF(AND(_A2="A-220-300",'2025'!$N$4="CA",'2025'!$N$2=AP385),'2025DATA'!$M$33,"")</f>
        <v/>
      </c>
      <c r="AQ416" s="520" t="str">
        <f>IF(AND(_A2="A-220-300",'2025'!$N$4="CA",'2025'!$N$2=AQ385),'2025DATA'!$N$33,"")</f>
        <v/>
      </c>
      <c r="AR416" s="940" t="s">
        <v>51</v>
      </c>
      <c r="AS416" s="13" t="s">
        <v>61</v>
      </c>
      <c r="AT416" s="518" t="str">
        <f>IF(AND(_A3="A-220-300",'2025'!$N$4="CA",'2025'!$N$2=AT385),'2025DATA'!$C$33,"")</f>
        <v/>
      </c>
      <c r="AU416" s="518" t="str">
        <f>IF(AND(_A3="A-220-300",'2025'!$N$4="CA",'2025'!$N$2=AU385),'2025DATA'!$D$33,"")</f>
        <v/>
      </c>
      <c r="AV416" s="518" t="str">
        <f>IF(AND(_A3="A-220-300",'2025'!$N$4="CA",'2025'!$N$2=AV385),'2025DATA'!$E$33,"")</f>
        <v/>
      </c>
      <c r="AW416" s="518" t="str">
        <f>IF(AND(_A3="A-220-300",'2025'!$N$4="CA",'2025'!$N$2=AW385),'2025DATA'!$F$33,"")</f>
        <v/>
      </c>
      <c r="AX416" s="518" t="str">
        <f>IF(AND(_A3="A-220-300",'2025'!$N$4="CA",'2025'!$N$2=AX385),'2025DATA'!$G$33,"")</f>
        <v/>
      </c>
      <c r="AY416" s="518" t="str">
        <f>IF(AND(_A3="A-220-300",'2025'!$N$4="CA",'2025'!$N$2=AY385),'2025DATA'!$H$33,"")</f>
        <v/>
      </c>
      <c r="AZ416" s="518" t="str">
        <f>IF(AND(_A3="A-220-300",'2025'!$N$4="CA",'2025'!$N$2=AZ385),'2025DATA'!$I$33,"")</f>
        <v/>
      </c>
      <c r="BA416" s="518" t="str">
        <f>IF(AND(_A3="A-220-300",'2025'!$N$4="CA",'2025'!$N$2=BA385),'2025DATA'!$J$33,"")</f>
        <v/>
      </c>
      <c r="BB416" s="518" t="str">
        <f>IF(AND(_A3="A-220-300",'2025'!$N$4="CA",'2025'!$N$2=BB385),'2025DATA'!$K$33,"")</f>
        <v/>
      </c>
      <c r="BC416" s="518" t="str">
        <f>IF(AND(_A3="A-220-300",'2025'!$N$4="CA",'2025'!$N$2=BC385),'2025DATA'!$L$33,"")</f>
        <v/>
      </c>
      <c r="BD416" s="518" t="str">
        <f>IF(AND(_A3="A-220-300",'2025'!$N$4="CA",'2025'!$N$2=BD385),'2025DATA'!$M$33,"")</f>
        <v/>
      </c>
      <c r="BE416" s="520" t="str">
        <f>IF(AND(_A3="A-220-300",'2025'!$N$4="CA",'2025'!$N$2=BE385),'2025DATA'!$N$33,"")</f>
        <v/>
      </c>
      <c r="BF416" s="940" t="s">
        <v>51</v>
      </c>
      <c r="BG416" s="13" t="s">
        <v>61</v>
      </c>
      <c r="BH416" s="518" t="str">
        <f>IF(AND(_A4="A-220-300",'2025'!$N$4="CA",'2025'!$N$2=BH385),'2025DATA'!$C$33,"")</f>
        <v/>
      </c>
      <c r="BI416" s="518" t="str">
        <f>IF(AND(_A4="A-220-300",'2025'!$N$4="CA",'2025'!$N$2=BI385),'2025DATA'!$D$33,"")</f>
        <v/>
      </c>
      <c r="BJ416" s="518" t="str">
        <f>IF(AND(_A4="A-220-300",'2025'!$N$4="CA",'2025'!$N$2=BJ385),'2025DATA'!$E$33,"")</f>
        <v/>
      </c>
      <c r="BK416" s="518" t="str">
        <f>IF(AND(_A4="A-220-300",'2025'!$N$4="CA",'2025'!$N$2=BK385),'2025DATA'!$F$33,"")</f>
        <v/>
      </c>
      <c r="BL416" s="518" t="str">
        <f>IF(AND(_A4="A-220-300",'2025'!$N$4="CA",'2025'!$N$2=BL385),'2025DATA'!$G$33,"")</f>
        <v/>
      </c>
      <c r="BM416" s="518" t="str">
        <f>IF(AND(_A4="A-220-300",'2025'!$N$4="CA",'2025'!$N$2=BM385),'2025DATA'!$H$33,"")</f>
        <v/>
      </c>
      <c r="BN416" s="518" t="str">
        <f>IF(AND(_A4="A-220-300",'2025'!$N$4="CA",'2025'!$N$2=BN385),'2025DATA'!$I$33,"")</f>
        <v/>
      </c>
      <c r="BO416" s="518" t="str">
        <f>IF(AND(_A4="A-220-300",'2025'!$N$4="CA",'2025'!$N$2=BO385),'2025DATA'!$J$33,"")</f>
        <v/>
      </c>
      <c r="BP416" s="518" t="str">
        <f>IF(AND(_A4="A-220-300",'2025'!$N$4="CA",'2025'!$N$2=BP385),'2025DATA'!$K$33,"")</f>
        <v/>
      </c>
      <c r="BQ416" s="518" t="str">
        <f>IF(AND(_A4="A-220-300",'2025'!$N$4="CA",'2025'!$N$2=BQ385),'2025DATA'!$L$33,"")</f>
        <v/>
      </c>
      <c r="BR416" s="518" t="str">
        <f>IF(AND(_A4="A-220-300",'2025'!$N$4="CA",'2025'!$N$2=BR385),'2025DATA'!$M$33,"")</f>
        <v/>
      </c>
      <c r="BS416" s="520" t="str">
        <f>IF(AND(_A4="A-220-300",'2025'!$N$4="CA",'2025'!$N$2=BS385),'2025DATA'!$N$33,"")</f>
        <v/>
      </c>
      <c r="BT416" s="940" t="s">
        <v>51</v>
      </c>
      <c r="BU416" s="13" t="s">
        <v>61</v>
      </c>
      <c r="BV416" s="518" t="str">
        <f>IF(AND(_A5="A-220-300",'2025'!$N$4="CA",'2025'!$N$2=BV385),'2025DATA'!$C$33,"")</f>
        <v/>
      </c>
      <c r="BW416" s="518" t="str">
        <f>IF(AND(_A5="A-220-300",'2025'!$N$4="CA",'2025'!$N$2=BW385),'2025DATA'!$D$33,"")</f>
        <v/>
      </c>
      <c r="BX416" s="518" t="str">
        <f>IF(AND(_A5="A-220-300",'2025'!$N$4="CA",'2025'!$N$2=BX385),'2025DATA'!$E$33,"")</f>
        <v/>
      </c>
      <c r="BY416" s="518" t="str">
        <f>IF(AND(_A5="A-220-300",'2025'!$N$4="CA",'2025'!$N$2=BY385),'2025DATA'!$F$33,"")</f>
        <v/>
      </c>
      <c r="BZ416" s="518" t="str">
        <f>IF(AND(_A5="A-220-300",'2025'!$N$4="CA",'2025'!$N$2=BZ385),'2025DATA'!$G$33,"")</f>
        <v/>
      </c>
      <c r="CA416" s="518" t="str">
        <f>IF(AND(_A5="A-220-300",'2025'!$N$4="CA",'2025'!$N$2=CA385),'2025DATA'!$H$33,"")</f>
        <v/>
      </c>
      <c r="CB416" s="518" t="str">
        <f>IF(AND(_A5="A-220-300",'2025'!$N$4="CA",'2025'!$N$2=CB385),'2025DATA'!$I$33,"")</f>
        <v/>
      </c>
      <c r="CC416" s="518" t="str">
        <f>IF(AND(_A5="A-220-300",'2025'!$N$4="CA",'2025'!$N$2=CC385),'2025DATA'!$J$33,"")</f>
        <v/>
      </c>
      <c r="CD416" s="518" t="str">
        <f>IF(AND(_A5="A-220-300",'2025'!$N$4="CA",'2025'!$N$2=CD385),'2025DATA'!$K$33,"")</f>
        <v/>
      </c>
      <c r="CE416" s="518" t="str">
        <f>IF(AND(_A5="A-220-300",'2025'!$N$4="CA",'2025'!$N$2=CE385),'2025DATA'!$L$33,"")</f>
        <v/>
      </c>
      <c r="CF416" s="518" t="str">
        <f>IF(AND(_A5="A-220-300",'2025'!$N$4="CA",'2025'!$N$2=CF385),'2025DATA'!$M$33,"")</f>
        <v/>
      </c>
      <c r="CG416" s="520" t="str">
        <f>IF(AND(_A5="A-220-300",'2025'!$N$4="CA",'2025'!$N$2=CG385),'2025DATA'!$N$33,"")</f>
        <v/>
      </c>
      <c r="CH416" s="940" t="s">
        <v>51</v>
      </c>
      <c r="CI416" s="13" t="s">
        <v>61</v>
      </c>
      <c r="CJ416" s="518" t="str">
        <f>IF(AND(_A6="A-220-300",'2025'!$N$4="CA",'2025'!$N$2=CJ385),'2025DATA'!$C$33,"")</f>
        <v/>
      </c>
      <c r="CK416" s="518" t="str">
        <f>IF(AND(_A6="A-220-300",'2025'!$N$4="CA",'2025'!$N$2=CK385),'2025DATA'!$D$33,"")</f>
        <v/>
      </c>
      <c r="CL416" s="518" t="str">
        <f>IF(AND(_A6="A-220-300",'2025'!$N$4="CA",'2025'!$N$2=CL385),'2025DATA'!$E$33,"")</f>
        <v/>
      </c>
      <c r="CM416" s="518" t="str">
        <f>IF(AND(_A6="A-220-300",'2025'!$N$4="CA",'2025'!$N$2=CM385),'2025DATA'!$F$33,"")</f>
        <v/>
      </c>
      <c r="CN416" s="518" t="str">
        <f>IF(AND(_A6="A-220-300",'2025'!$N$4="CA",'2025'!$N$2=CN385),'2025DATA'!$G$33,"")</f>
        <v/>
      </c>
      <c r="CO416" s="518" t="str">
        <f>IF(AND(_A6="A-220-300",'2025'!$N$4="CA",'2025'!$N$2=CO385),'2025DATA'!$H$33,"")</f>
        <v/>
      </c>
      <c r="CP416" s="518" t="str">
        <f>IF(AND(_A6="A-220-300",'2025'!$N$4="CA",'2025'!$N$2=CP385),'2025DATA'!$I$33,"")</f>
        <v/>
      </c>
      <c r="CQ416" s="518" t="str">
        <f>IF(AND(_A6="A-220-300",'2025'!$N$4="CA",'2025'!$N$2=CQ385),'2025DATA'!$J$33,"")</f>
        <v/>
      </c>
      <c r="CR416" s="518" t="str">
        <f>IF(AND(_A6="A-220-300",'2025'!$N$4="CA",'2025'!$N$2=CR385),'2025DATA'!$K$33,"")</f>
        <v/>
      </c>
      <c r="CS416" s="518" t="str">
        <f>IF(AND(_A6="A-220-300",'2025'!$N$4="CA",'2025'!$N$2=CS385),'2025DATA'!$L$33,"")</f>
        <v/>
      </c>
      <c r="CT416" s="518" t="str">
        <f>IF(AND(_A6="A-220-300",'2025'!$N$4="CA",'2025'!$N$2=CT385),'2025DATA'!$M$33,"")</f>
        <v/>
      </c>
      <c r="CU416" s="520" t="str">
        <f>IF(AND(_A6="A-220-300",'2025'!$N$4="CA",'2025'!$N$2=CU385),'2025DATA'!$N$33,"")</f>
        <v/>
      </c>
    </row>
    <row r="417" spans="16:99" x14ac:dyDescent="0.25">
      <c r="P417" s="940"/>
      <c r="Q417" s="13" t="s">
        <v>62</v>
      </c>
      <c r="R417" s="518" t="str">
        <f>IF(AND(_A1="A-220-300",'2025'!$N$4="FO",'2025'!$N$2=R385),'2025DATA'!$C$34,"")</f>
        <v/>
      </c>
      <c r="S417" s="518" t="str">
        <f>IF(AND(_A1="A-220-300",'2025'!$N$4="FO",'2025'!$N$2=S385),'2025DATA'!$D$34,"")</f>
        <v/>
      </c>
      <c r="T417" s="518" t="str">
        <f>IF(AND(_A1="A-220-300",'2025'!$N$4="FO",'2025'!$N$2=T385),'2025DATA'!$E$34,"")</f>
        <v/>
      </c>
      <c r="U417" s="518" t="str">
        <f>IF(AND(_A1="A-220-300",'2025'!$N$4="FO",'2025'!$N$2=U385),'2025DATA'!$F$34,"")</f>
        <v/>
      </c>
      <c r="V417" s="518" t="str">
        <f>IF(AND(_A1="A-220-300",'2025'!$N$4="FO",'2025'!$N$2=V385),'2025DATA'!$G$34,"")</f>
        <v/>
      </c>
      <c r="W417" s="518" t="str">
        <f>IF(AND(_A1="A-220-300",'2025'!$N$4="FO",'2025'!$N$2=W385),'2025DATA'!$H$34,"")</f>
        <v/>
      </c>
      <c r="X417" s="518" t="str">
        <f>IF(AND(_A1="A-220-300",'2025'!$N$4="FO",'2025'!$N$2=X385),'2025DATA'!$I$34,"")</f>
        <v/>
      </c>
      <c r="Y417" s="518" t="str">
        <f>IF(AND(_A1="A-220-300",'2025'!$N$4="FO",'2025'!$N$2=Y385),'2025DATA'!$J$34,"")</f>
        <v/>
      </c>
      <c r="Z417" s="518" t="str">
        <f>IF(AND(_A1="A-220-300",'2025'!$N$4="FO",'2025'!$N$2=Z385),'2025DATA'!$K$34,"")</f>
        <v/>
      </c>
      <c r="AA417" s="518" t="str">
        <f>IF(AND(_A1="A-220-300",'2025'!$N$4="FO",'2025'!$N$2=AA385),'2025DATA'!$L$34,"")</f>
        <v/>
      </c>
      <c r="AB417" s="518" t="str">
        <f>IF(AND(_A1="A-220-300",'2025'!$N$4="FO",'2025'!$N$2=AB385),'2025DATA'!$M$34,"")</f>
        <v/>
      </c>
      <c r="AC417" s="520" t="str">
        <f>IF(AND(_A1="A-220-300",'2025'!$N$4="FO",'2025'!$N$2=AC385),'2025DATA'!$N$34,"")</f>
        <v/>
      </c>
      <c r="AD417" s="940"/>
      <c r="AE417" s="13" t="s">
        <v>62</v>
      </c>
      <c r="AF417" s="518" t="str">
        <f>IF(AND(_A2="A-220-300",'2025'!$N$4="FO",'2025'!$N$2=AF385),'2025DATA'!$C$34,"")</f>
        <v/>
      </c>
      <c r="AG417" s="518" t="str">
        <f>IF(AND(_A2="A-220-300",'2025'!$N$4="FO",'2025'!$N$2=AG385),'2025DATA'!$D$34,"")</f>
        <v/>
      </c>
      <c r="AH417" s="518" t="str">
        <f>IF(AND(_A2="A-220-300",'2025'!$N$4="FO",'2025'!$N$2=AH385),'2025DATA'!$E$34,"")</f>
        <v/>
      </c>
      <c r="AI417" s="518" t="str">
        <f>IF(AND(_A2="A-220-300",'2025'!$N$4="FO",'2025'!$N$2=AI385),'2025DATA'!$F$34,"")</f>
        <v/>
      </c>
      <c r="AJ417" s="518" t="str">
        <f>IF(AND(_A2="A-220-300",'2025'!$N$4="FO",'2025'!$N$2=AJ385),'2025DATA'!$G$34,"")</f>
        <v/>
      </c>
      <c r="AK417" s="518" t="str">
        <f>IF(AND(_A2="A-220-300",'2025'!$N$4="FO",'2025'!$N$2=AK385),'2025DATA'!$H$34,"")</f>
        <v/>
      </c>
      <c r="AL417" s="518" t="str">
        <f>IF(AND(_A2="A-220-300",'2025'!$N$4="FO",'2025'!$N$2=AL385),'2025DATA'!$I$34,"")</f>
        <v/>
      </c>
      <c r="AM417" s="518" t="str">
        <f>IF(AND(_A2="A-220-300",'2025'!$N$4="FO",'2025'!$N$2=AM385),'2025DATA'!$J$34,"")</f>
        <v/>
      </c>
      <c r="AN417" s="518" t="str">
        <f>IF(AND(_A2="A-220-300",'2025'!$N$4="FO",'2025'!$N$2=AN385),'2025DATA'!$K$34,"")</f>
        <v/>
      </c>
      <c r="AO417" s="518" t="str">
        <f>IF(AND(_A2="A-220-300",'2025'!$N$4="FO",'2025'!$N$2=AO385),'2025DATA'!$L$34,"")</f>
        <v/>
      </c>
      <c r="AP417" s="518" t="str">
        <f>IF(AND(_A2="A-220-300",'2025'!$N$4="FO",'2025'!$N$2=AP385),'2025DATA'!$M$34,"")</f>
        <v/>
      </c>
      <c r="AQ417" s="520" t="str">
        <f>IF(AND(_A2="A-220-300",'2025'!$N$4="FO",'2025'!$N$2=AQ385),'2025DATA'!$N$34,"")</f>
        <v/>
      </c>
      <c r="AR417" s="940"/>
      <c r="AS417" s="13" t="s">
        <v>62</v>
      </c>
      <c r="AT417" s="518" t="str">
        <f>IF(AND(_A3="A-220-300",'2025'!$N$4="FO",'2025'!$N$2=AT385),'2025DATA'!$C$34,"")</f>
        <v/>
      </c>
      <c r="AU417" s="518" t="str">
        <f>IF(AND(_A3="A-220-300",'2025'!$N$4="FO",'2025'!$N$2=AU385),'2025DATA'!$D$34,"")</f>
        <v/>
      </c>
      <c r="AV417" s="518" t="str">
        <f>IF(AND(_A3="A-220-300",'2025'!$N$4="FO",'2025'!$N$2=AV385),'2025DATA'!$E$34,"")</f>
        <v/>
      </c>
      <c r="AW417" s="518" t="str">
        <f>IF(AND(_A3="A-220-300",'2025'!$N$4="FO",'2025'!$N$2=AW385),'2025DATA'!$F$34,"")</f>
        <v/>
      </c>
      <c r="AX417" s="518" t="str">
        <f>IF(AND(_A3="A-220-300",'2025'!$N$4="FO",'2025'!$N$2=AX385),'2025DATA'!$G$34,"")</f>
        <v/>
      </c>
      <c r="AY417" s="518" t="str">
        <f>IF(AND(_A3="A-220-300",'2025'!$N$4="FO",'2025'!$N$2=AY385),'2025DATA'!$H$34,"")</f>
        <v/>
      </c>
      <c r="AZ417" s="518" t="str">
        <f>IF(AND(_A3="A-220-300",'2025'!$N$4="FO",'2025'!$N$2=AZ385),'2025DATA'!$I$34,"")</f>
        <v/>
      </c>
      <c r="BA417" s="518" t="str">
        <f>IF(AND(_A3="A-220-300",'2025'!$N$4="FO",'2025'!$N$2=BA385),'2025DATA'!$J$34,"")</f>
        <v/>
      </c>
      <c r="BB417" s="518" t="str">
        <f>IF(AND(_A3="A-220-300",'2025'!$N$4="FO",'2025'!$N$2=BB385),'2025DATA'!$K$34,"")</f>
        <v/>
      </c>
      <c r="BC417" s="518" t="str">
        <f>IF(AND(_A3="A-220-300",'2025'!$N$4="FO",'2025'!$N$2=BC385),'2025DATA'!$L$34,"")</f>
        <v/>
      </c>
      <c r="BD417" s="518" t="str">
        <f>IF(AND(_A3="A-220-300",'2025'!$N$4="FO",'2025'!$N$2=BD385),'2025DATA'!$M$34,"")</f>
        <v/>
      </c>
      <c r="BE417" s="520" t="str">
        <f>IF(AND(_A3="A-220-300",'2025'!$N$4="FO",'2025'!$N$2=BE385),'2025DATA'!$N$34,"")</f>
        <v/>
      </c>
      <c r="BF417" s="940"/>
      <c r="BG417" s="13" t="s">
        <v>62</v>
      </c>
      <c r="BH417" s="518" t="str">
        <f>IF(AND(_A4="A-220-300",'2025'!$N$4="FO",'2025'!$N$2=BH385),'2025DATA'!$C$34,"")</f>
        <v/>
      </c>
      <c r="BI417" s="518" t="str">
        <f>IF(AND(_A4="A-220-300",'2025'!$N$4="FO",'2025'!$N$2=BI385),'2025DATA'!$D$34,"")</f>
        <v/>
      </c>
      <c r="BJ417" s="518" t="str">
        <f>IF(AND(_A4="A-220-300",'2025'!$N$4="FO",'2025'!$N$2=BJ385),'2025DATA'!$E$34,"")</f>
        <v/>
      </c>
      <c r="BK417" s="518" t="str">
        <f>IF(AND(_A4="A-220-300",'2025'!$N$4="FO",'2025'!$N$2=BK385),'2025DATA'!$F$34,"")</f>
        <v/>
      </c>
      <c r="BL417" s="518" t="str">
        <f>IF(AND(_A4="A-220-300",'2025'!$N$4="FO",'2025'!$N$2=BL385),'2025DATA'!$G$34,"")</f>
        <v/>
      </c>
      <c r="BM417" s="518" t="str">
        <f>IF(AND(_A4="A-220-300",'2025'!$N$4="FO",'2025'!$N$2=BM385),'2025DATA'!$H$34,"")</f>
        <v/>
      </c>
      <c r="BN417" s="518" t="str">
        <f>IF(AND(_A4="A-220-300",'2025'!$N$4="FO",'2025'!$N$2=BN385),'2025DATA'!$I$34,"")</f>
        <v/>
      </c>
      <c r="BO417" s="518" t="str">
        <f>IF(AND(_A4="A-220-300",'2025'!$N$4="FO",'2025'!$N$2=BO385),'2025DATA'!$J$34,"")</f>
        <v/>
      </c>
      <c r="BP417" s="518" t="str">
        <f>IF(AND(_A4="A-220-300",'2025'!$N$4="FO",'2025'!$N$2=BP385),'2025DATA'!$K$34,"")</f>
        <v/>
      </c>
      <c r="BQ417" s="518" t="str">
        <f>IF(AND(_A4="A-220-300",'2025'!$N$4="FO",'2025'!$N$2=BQ385),'2025DATA'!$L$34,"")</f>
        <v/>
      </c>
      <c r="BR417" s="518" t="str">
        <f>IF(AND(_A4="A-220-300",'2025'!$N$4="FO",'2025'!$N$2=BR385),'2025DATA'!$M$34,"")</f>
        <v/>
      </c>
      <c r="BS417" s="520" t="str">
        <f>IF(AND(_A4="A-220-300",'2025'!$N$4="FO",'2025'!$N$2=BS385),'2025DATA'!$N$34,"")</f>
        <v/>
      </c>
      <c r="BT417" s="940"/>
      <c r="BU417" s="13" t="s">
        <v>62</v>
      </c>
      <c r="BV417" s="518" t="str">
        <f>IF(AND(_A5="A-220-300",'2025'!$N$4="FO",'2025'!$N$2=BV385),'2025DATA'!$C$34,"")</f>
        <v/>
      </c>
      <c r="BW417" s="518" t="str">
        <f>IF(AND(_A5="A-220-300",'2025'!$N$4="FO",'2025'!$N$2=BW385),'2025DATA'!$D$34,"")</f>
        <v/>
      </c>
      <c r="BX417" s="518" t="str">
        <f>IF(AND(_A5="A-220-300",'2025'!$N$4="FO",'2025'!$N$2=BX385),'2025DATA'!$E$34,"")</f>
        <v/>
      </c>
      <c r="BY417" s="518" t="str">
        <f>IF(AND(_A5="A-220-300",'2025'!$N$4="FO",'2025'!$N$2=BY385),'2025DATA'!$F$34,"")</f>
        <v/>
      </c>
      <c r="BZ417" s="518" t="str">
        <f>IF(AND(_A5="A-220-300",'2025'!$N$4="FO",'2025'!$N$2=BZ385),'2025DATA'!$G$34,"")</f>
        <v/>
      </c>
      <c r="CA417" s="518" t="str">
        <f>IF(AND(_A5="A-220-300",'2025'!$N$4="FO",'2025'!$N$2=CA385),'2025DATA'!$H$34,"")</f>
        <v/>
      </c>
      <c r="CB417" s="518" t="str">
        <f>IF(AND(_A5="A-220-300",'2025'!$N$4="FO",'2025'!$N$2=CB385),'2025DATA'!$I$34,"")</f>
        <v/>
      </c>
      <c r="CC417" s="518" t="str">
        <f>IF(AND(_A5="A-220-300",'2025'!$N$4="FO",'2025'!$N$2=CC385),'2025DATA'!$J$34,"")</f>
        <v/>
      </c>
      <c r="CD417" s="518" t="str">
        <f>IF(AND(_A5="A-220-300",'2025'!$N$4="FO",'2025'!$N$2=CD385),'2025DATA'!$K$34,"")</f>
        <v/>
      </c>
      <c r="CE417" s="518" t="str">
        <f>IF(AND(_A5="A-220-300",'2025'!$N$4="FO",'2025'!$N$2=CE385),'2025DATA'!$L$34,"")</f>
        <v/>
      </c>
      <c r="CF417" s="518" t="str">
        <f>IF(AND(_A5="A-220-300",'2025'!$N$4="FO",'2025'!$N$2=CF385),'2025DATA'!$M$34,"")</f>
        <v/>
      </c>
      <c r="CG417" s="520" t="str">
        <f>IF(AND(_A5="A-220-300",'2025'!$N$4="FO",'2025'!$N$2=CG385),'2025DATA'!$N$34,"")</f>
        <v/>
      </c>
      <c r="CH417" s="940"/>
      <c r="CI417" s="13" t="s">
        <v>62</v>
      </c>
      <c r="CJ417" s="518" t="str">
        <f>IF(AND(_A6="A-220-300",'2025'!$N$4="FO",'2025'!$N$2=CJ385),'2025DATA'!$C$34,"")</f>
        <v/>
      </c>
      <c r="CK417" s="518" t="str">
        <f>IF(AND(_A6="A-220-300",'2025'!$N$4="FO",'2025'!$N$2=CK385),'2025DATA'!$D$34,"")</f>
        <v/>
      </c>
      <c r="CL417" s="518" t="str">
        <f>IF(AND(_A6="A-220-300",'2025'!$N$4="FO",'2025'!$N$2=CL385),'2025DATA'!$E$34,"")</f>
        <v/>
      </c>
      <c r="CM417" s="518" t="str">
        <f>IF(AND(_A6="A-220-300",'2025'!$N$4="FO",'2025'!$N$2=CM385),'2025DATA'!$F$34,"")</f>
        <v/>
      </c>
      <c r="CN417" s="518" t="str">
        <f>IF(AND(_A6="A-220-300",'2025'!$N$4="FO",'2025'!$N$2=CN385),'2025DATA'!$G$34,"")</f>
        <v/>
      </c>
      <c r="CO417" s="518" t="str">
        <f>IF(AND(_A6="A-220-300",'2025'!$N$4="FO",'2025'!$N$2=CO385),'2025DATA'!$H$34,"")</f>
        <v/>
      </c>
      <c r="CP417" s="518" t="str">
        <f>IF(AND(_A6="A-220-300",'2025'!$N$4="FO",'2025'!$N$2=CP385),'2025DATA'!$I$34,"")</f>
        <v/>
      </c>
      <c r="CQ417" s="518" t="str">
        <f>IF(AND(_A6="A-220-300",'2025'!$N$4="FO",'2025'!$N$2=CQ385),'2025DATA'!$J$34,"")</f>
        <v/>
      </c>
      <c r="CR417" s="518" t="str">
        <f>IF(AND(_A6="A-220-300",'2025'!$N$4="FO",'2025'!$N$2=CR385),'2025DATA'!$K$34,"")</f>
        <v/>
      </c>
      <c r="CS417" s="518" t="str">
        <f>IF(AND(_A6="A-220-300",'2025'!$N$4="FO",'2025'!$N$2=CS385),'2025DATA'!$L$34,"")</f>
        <v/>
      </c>
      <c r="CT417" s="518" t="str">
        <f>IF(AND(_A6="A-220-300",'2025'!$N$4="FO",'2025'!$N$2=CT385),'2025DATA'!$M$34,"")</f>
        <v/>
      </c>
      <c r="CU417" s="520" t="str">
        <f>IF(AND(_A6="A-220-300",'2025'!$N$4="FO",'2025'!$N$2=CU385),'2025DATA'!$N$34,"")</f>
        <v/>
      </c>
    </row>
    <row r="418" spans="16:99" x14ac:dyDescent="0.25">
      <c r="P418" s="940" t="s">
        <v>52</v>
      </c>
      <c r="Q418" s="13" t="s">
        <v>61</v>
      </c>
      <c r="R418" s="518" t="str">
        <f>IF(AND(_A1="A-220-100",'2025'!$N$4="CA",'2025'!$N$2=R385),'2025DATA'!$C$35,"")</f>
        <v/>
      </c>
      <c r="S418" s="518" t="str">
        <f>IF(AND(_A1="A-220-100",'2025'!$N$4="CA",'2025'!$N$2=S385),'2025DATA'!$D$35,"")</f>
        <v/>
      </c>
      <c r="T418" s="518" t="str">
        <f>IF(AND(_A1="A-220-100",'2025'!$N$4="CA",'2025'!$N$2=T385),'2025DATA'!$E$35,"")</f>
        <v/>
      </c>
      <c r="U418" s="518" t="str">
        <f>IF(AND(_A1="A-220-100",'2025'!$N$4="CA",'2025'!$N$2=U385),'2025DATA'!$F$35,"")</f>
        <v/>
      </c>
      <c r="V418" s="518" t="str">
        <f>IF(AND(_A1="A-220-100",'2025'!$N$4="CA",'2025'!$N$2=V385),'2025DATA'!$G$35,"")</f>
        <v/>
      </c>
      <c r="W418" s="518" t="str">
        <f>IF(AND(_A1="A-220-100",'2025'!$N$4="CA",'2025'!$N$2=W385),'2025DATA'!$H$35,"")</f>
        <v/>
      </c>
      <c r="X418" s="518" t="str">
        <f>IF(AND(_A1="A-220-100",'2025'!$N$4="CA",'2025'!$N$2=X385),'2025DATA'!$I$35,"")</f>
        <v/>
      </c>
      <c r="Y418" s="518" t="str">
        <f>IF(AND(_A1="A-220-100",'2025'!$N$4="CA",'2025'!$N$2=Y385),'2025DATA'!$J$35,"")</f>
        <v/>
      </c>
      <c r="Z418" s="518" t="str">
        <f>IF(AND(_A1="A-220-100",'2025'!$N$4="CA",'2025'!$N$2=Z385),'2025DATA'!$K$35,"")</f>
        <v/>
      </c>
      <c r="AA418" s="518" t="str">
        <f>IF(AND(_A1="A-220-100",'2025'!$N$4="CA",'2025'!$N$2=AA385),'2025DATA'!$L$35,"")</f>
        <v/>
      </c>
      <c r="AB418" s="518" t="str">
        <f>IF(AND(_A1="A-220-100",'2025'!$N$4="CA",'2025'!$N$2=AB385),'2025DATA'!$M$35,"")</f>
        <v/>
      </c>
      <c r="AC418" s="520" t="str">
        <f>IF(AND(_A1="A-220-100",'2025'!$N$4="CA",'2025'!$N$2=AC385),'2025DATA'!$N$35,"")</f>
        <v/>
      </c>
      <c r="AD418" s="940" t="s">
        <v>52</v>
      </c>
      <c r="AE418" s="13" t="s">
        <v>61</v>
      </c>
      <c r="AF418" s="518" t="str">
        <f>IF(AND(_A2="A-220-100",'2025'!$N$4="CA",'2025'!$N$2=AF385),'2025DATA'!$C$35,"")</f>
        <v/>
      </c>
      <c r="AG418" s="518" t="str">
        <f>IF(AND(_A2="A-220-100",'2025'!$N$4="CA",'2025'!$N$2=AG385),'2025DATA'!$D$35,"")</f>
        <v/>
      </c>
      <c r="AH418" s="518" t="str">
        <f>IF(AND(_A2="A-220-100",'2025'!$N$4="CA",'2025'!$N$2=AH385),'2025DATA'!$E$35,"")</f>
        <v/>
      </c>
      <c r="AI418" s="518" t="str">
        <f>IF(AND(_A2="A-220-100",'2025'!$N$4="CA",'2025'!$N$2=AI385),'2025DATA'!$F$35,"")</f>
        <v/>
      </c>
      <c r="AJ418" s="518" t="str">
        <f>IF(AND(_A2="A-220-100",'2025'!$N$4="CA",'2025'!$N$2=AJ385),'2025DATA'!$G$35,"")</f>
        <v/>
      </c>
      <c r="AK418" s="518" t="str">
        <f>IF(AND(_A2="A-220-100",'2025'!$N$4="CA",'2025'!$N$2=AK385),'2025DATA'!$H$35,"")</f>
        <v/>
      </c>
      <c r="AL418" s="518" t="str">
        <f>IF(AND(_A2="A-220-100",'2025'!$N$4="CA",'2025'!$N$2=AL385),'2025DATA'!$I$35,"")</f>
        <v/>
      </c>
      <c r="AM418" s="518" t="str">
        <f>IF(AND(_A2="A-220-100",'2025'!$N$4="CA",'2025'!$N$2=AM385),'2025DATA'!$J$35,"")</f>
        <v/>
      </c>
      <c r="AN418" s="518" t="str">
        <f>IF(AND(_A2="A-220-100",'2025'!$N$4="CA",'2025'!$N$2=AN385),'2025DATA'!$K$35,"")</f>
        <v/>
      </c>
      <c r="AO418" s="518" t="str">
        <f>IF(AND(_A2="A-220-100",'2025'!$N$4="CA",'2025'!$N$2=AO385),'2025DATA'!$L$35,"")</f>
        <v/>
      </c>
      <c r="AP418" s="518" t="str">
        <f>IF(AND(_A2="A-220-100",'2025'!$N$4="CA",'2025'!$N$2=AP385),'2025DATA'!$M$35,"")</f>
        <v/>
      </c>
      <c r="AQ418" s="520" t="str">
        <f>IF(AND(_A2="A-220-100",'2025'!$N$4="CA",'2025'!$N$2=AQ385),'2025DATA'!$N$35,"")</f>
        <v/>
      </c>
      <c r="AR418" s="940" t="s">
        <v>52</v>
      </c>
      <c r="AS418" s="13" t="s">
        <v>61</v>
      </c>
      <c r="AT418" s="518" t="str">
        <f>IF(AND(_A3="A-220-100",'2025'!$N$4="CA",'2025'!$N$2=AT385),'2025DATA'!$C$35,"")</f>
        <v/>
      </c>
      <c r="AU418" s="518" t="str">
        <f>IF(AND(_A3="A-220-100",'2025'!$N$4="CA",'2025'!$N$2=AU385),'2025DATA'!$D$35,"")</f>
        <v/>
      </c>
      <c r="AV418" s="518" t="str">
        <f>IF(AND(_A3="A-220-100",'2025'!$N$4="CA",'2025'!$N$2=AV385),'2025DATA'!$E$35,"")</f>
        <v/>
      </c>
      <c r="AW418" s="518" t="str">
        <f>IF(AND(_A3="A-220-100",'2025'!$N$4="CA",'2025'!$N$2=AW385),'2025DATA'!$F$35,"")</f>
        <v/>
      </c>
      <c r="AX418" s="518" t="str">
        <f>IF(AND(_A3="A-220-100",'2025'!$N$4="CA",'2025'!$N$2=AX385),'2025DATA'!$G$35,"")</f>
        <v/>
      </c>
      <c r="AY418" s="518" t="str">
        <f>IF(AND(_A3="A-220-100",'2025'!$N$4="CA",'2025'!$N$2=AY385),'2025DATA'!$H$35,"")</f>
        <v/>
      </c>
      <c r="AZ418" s="518" t="str">
        <f>IF(AND(_A3="A-220-100",'2025'!$N$4="CA",'2025'!$N$2=AZ385),'2025DATA'!$I$35,"")</f>
        <v/>
      </c>
      <c r="BA418" s="518" t="str">
        <f>IF(AND(_A3="A-220-100",'2025'!$N$4="CA",'2025'!$N$2=BA385),'2025DATA'!$J$35,"")</f>
        <v/>
      </c>
      <c r="BB418" s="518" t="str">
        <f>IF(AND(_A3="A-220-100",'2025'!$N$4="CA",'2025'!$N$2=BB385),'2025DATA'!$K$35,"")</f>
        <v/>
      </c>
      <c r="BC418" s="518" t="str">
        <f>IF(AND(_A3="A-220-100",'2025'!$N$4="CA",'2025'!$N$2=BC385),'2025DATA'!$L$35,"")</f>
        <v/>
      </c>
      <c r="BD418" s="518" t="str">
        <f>IF(AND(_A3="A-220-100",'2025'!$N$4="CA",'2025'!$N$2=BD385),'2025DATA'!$M$35,"")</f>
        <v/>
      </c>
      <c r="BE418" s="520" t="str">
        <f>IF(AND(_A3="A-220-100",'2025'!$N$4="CA",'2025'!$N$2=BE385),'2025DATA'!$N$35,"")</f>
        <v/>
      </c>
      <c r="BF418" s="940" t="s">
        <v>52</v>
      </c>
      <c r="BG418" s="13" t="s">
        <v>61</v>
      </c>
      <c r="BH418" s="518" t="str">
        <f>IF(AND(_A4="A-220-100",'2025'!$N$4="CA",'2025'!$N$2=BH385),'2025DATA'!$C$35,"")</f>
        <v/>
      </c>
      <c r="BI418" s="518" t="str">
        <f>IF(AND(_A4="A-220-100",'2025'!$N$4="CA",'2025'!$N$2=BI385),'2025DATA'!$D$35,"")</f>
        <v/>
      </c>
      <c r="BJ418" s="518" t="str">
        <f>IF(AND(_A4="A-220-100",'2025'!$N$4="CA",'2025'!$N$2=BJ385),'2025DATA'!$E$35,"")</f>
        <v/>
      </c>
      <c r="BK418" s="518" t="str">
        <f>IF(AND(_A4="A-220-100",'2025'!$N$4="CA",'2025'!$N$2=BK385),'2025DATA'!$F$35,"")</f>
        <v/>
      </c>
      <c r="BL418" s="518" t="str">
        <f>IF(AND(_A4="A-220-100",'2025'!$N$4="CA",'2025'!$N$2=BL385),'2025DATA'!$G$35,"")</f>
        <v/>
      </c>
      <c r="BM418" s="518" t="str">
        <f>IF(AND(_A4="A-220-100",'2025'!$N$4="CA",'2025'!$N$2=BM385),'2025DATA'!$H$35,"")</f>
        <v/>
      </c>
      <c r="BN418" s="518" t="str">
        <f>IF(AND(_A4="A-220-100",'2025'!$N$4="CA",'2025'!$N$2=BN385),'2025DATA'!$I$35,"")</f>
        <v/>
      </c>
      <c r="BO418" s="518" t="str">
        <f>IF(AND(_A4="A-220-100",'2025'!$N$4="CA",'2025'!$N$2=BO385),'2025DATA'!$J$35,"")</f>
        <v/>
      </c>
      <c r="BP418" s="518" t="str">
        <f>IF(AND(_A4="A-220-100",'2025'!$N$4="CA",'2025'!$N$2=BP385),'2025DATA'!$K$35,"")</f>
        <v/>
      </c>
      <c r="BQ418" s="518" t="str">
        <f>IF(AND(_A4="A-220-100",'2025'!$N$4="CA",'2025'!$N$2=BQ385),'2025DATA'!$L$35,"")</f>
        <v/>
      </c>
      <c r="BR418" s="518" t="str">
        <f>IF(AND(_A4="A-220-100",'2025'!$N$4="CA",'2025'!$N$2=BR385),'2025DATA'!$M$35,"")</f>
        <v/>
      </c>
      <c r="BS418" s="520" t="str">
        <f>IF(AND(_A4="A-220-100",'2025'!$N$4="CA",'2025'!$N$2=BS385),'2025DATA'!$N$35,"")</f>
        <v/>
      </c>
      <c r="BT418" s="940" t="s">
        <v>52</v>
      </c>
      <c r="BU418" s="13" t="s">
        <v>61</v>
      </c>
      <c r="BV418" s="518" t="str">
        <f>IF(AND(_A5="A-220-100",'2025'!$N$4="CA",'2025'!$N$2=BV385),'2025DATA'!$C$35,"")</f>
        <v/>
      </c>
      <c r="BW418" s="518" t="str">
        <f>IF(AND(_A5="A-220-100",'2025'!$N$4="CA",'2025'!$N$2=BW385),'2025DATA'!$D$35,"")</f>
        <v/>
      </c>
      <c r="BX418" s="518" t="str">
        <f>IF(AND(_A5="A-220-100",'2025'!$N$4="CA",'2025'!$N$2=BX385),'2025DATA'!$E$35,"")</f>
        <v/>
      </c>
      <c r="BY418" s="518" t="str">
        <f>IF(AND(_A5="A-220-100",'2025'!$N$4="CA",'2025'!$N$2=BY385),'2025DATA'!$F$35,"")</f>
        <v/>
      </c>
      <c r="BZ418" s="518" t="str">
        <f>IF(AND(_A5="A-220-100",'2025'!$N$4="CA",'2025'!$N$2=BZ385),'2025DATA'!$G$35,"")</f>
        <v/>
      </c>
      <c r="CA418" s="518" t="str">
        <f>IF(AND(_A5="A-220-100",'2025'!$N$4="CA",'2025'!$N$2=CA385),'2025DATA'!$H$35,"")</f>
        <v/>
      </c>
      <c r="CB418" s="518" t="str">
        <f>IF(AND(_A5="A-220-100",'2025'!$N$4="CA",'2025'!$N$2=CB385),'2025DATA'!$I$35,"")</f>
        <v/>
      </c>
      <c r="CC418" s="518" t="str">
        <f>IF(AND(_A5="A-220-100",'2025'!$N$4="CA",'2025'!$N$2=CC385),'2025DATA'!$J$35,"")</f>
        <v/>
      </c>
      <c r="CD418" s="518" t="str">
        <f>IF(AND(_A5="A-220-100",'2025'!$N$4="CA",'2025'!$N$2=CD385),'2025DATA'!$K$35,"")</f>
        <v/>
      </c>
      <c r="CE418" s="518" t="str">
        <f>IF(AND(_A5="A-220-100",'2025'!$N$4="CA",'2025'!$N$2=CE385),'2025DATA'!$L$35,"")</f>
        <v/>
      </c>
      <c r="CF418" s="518" t="str">
        <f>IF(AND(_A5="A-220-100",'2025'!$N$4="CA",'2025'!$N$2=CF385),'2025DATA'!$M$35,"")</f>
        <v/>
      </c>
      <c r="CG418" s="520" t="str">
        <f>IF(AND(_A5="A-220-100",'2025'!$N$4="CA",'2025'!$N$2=CG385),'2025DATA'!$N$35,"")</f>
        <v/>
      </c>
      <c r="CH418" s="940" t="s">
        <v>52</v>
      </c>
      <c r="CI418" s="13" t="s">
        <v>61</v>
      </c>
      <c r="CJ418" s="518" t="str">
        <f>IF(AND(_A6="A-220-100",'2025'!$N$4="CA",'2025'!$N$2=CJ385),'2025DATA'!$C$35,"")</f>
        <v/>
      </c>
      <c r="CK418" s="518" t="str">
        <f>IF(AND(_A6="A-220-100",'2025'!$N$4="CA",'2025'!$N$2=CK385),'2025DATA'!$D$35,"")</f>
        <v/>
      </c>
      <c r="CL418" s="518" t="str">
        <f>IF(AND(_A6="A-220-100",'2025'!$N$4="CA",'2025'!$N$2=CL385),'2025DATA'!$E$35,"")</f>
        <v/>
      </c>
      <c r="CM418" s="518" t="str">
        <f>IF(AND(_A6="A-220-100",'2025'!$N$4="CA",'2025'!$N$2=CM385),'2025DATA'!$F$35,"")</f>
        <v/>
      </c>
      <c r="CN418" s="518" t="str">
        <f>IF(AND(_A6="A-220-100",'2025'!$N$4="CA",'2025'!$N$2=CN385),'2025DATA'!$G$35,"")</f>
        <v/>
      </c>
      <c r="CO418" s="518" t="str">
        <f>IF(AND(_A6="A-220-100",'2025'!$N$4="CA",'2025'!$N$2=CO385),'2025DATA'!$H$35,"")</f>
        <v/>
      </c>
      <c r="CP418" s="518" t="str">
        <f>IF(AND(_A6="A-220-100",'2025'!$N$4="CA",'2025'!$N$2=CP385),'2025DATA'!$I$35,"")</f>
        <v/>
      </c>
      <c r="CQ418" s="518" t="str">
        <f>IF(AND(_A6="A-220-100",'2025'!$N$4="CA",'2025'!$N$2=CQ385),'2025DATA'!$J$35,"")</f>
        <v/>
      </c>
      <c r="CR418" s="518" t="str">
        <f>IF(AND(_A6="A-220-100",'2025'!$N$4="CA",'2025'!$N$2=CR385),'2025DATA'!$K$35,"")</f>
        <v/>
      </c>
      <c r="CS418" s="518" t="str">
        <f>IF(AND(_A6="A-220-100",'2025'!$N$4="CA",'2025'!$N$2=CS385),'2025DATA'!$L$35,"")</f>
        <v/>
      </c>
      <c r="CT418" s="518" t="str">
        <f>IF(AND(_A6="A-220-100",'2025'!$N$4="CA",'2025'!$N$2=CT385),'2025DATA'!$M$35,"")</f>
        <v/>
      </c>
      <c r="CU418" s="520" t="str">
        <f>IF(AND(_A6="A-220-100",'2025'!$N$4="CA",'2025'!$N$2=CU385),'2025DATA'!$N$35,"")</f>
        <v/>
      </c>
    </row>
    <row r="419" spans="16:99" x14ac:dyDescent="0.25">
      <c r="P419" s="940"/>
      <c r="Q419" s="13" t="s">
        <v>62</v>
      </c>
      <c r="R419" s="518" t="str">
        <f>IF(AND(_A1="A-220-100",'2025'!$N$4="FO",'2025'!$N$2=R385),'2025DATA'!$C$36,"")</f>
        <v/>
      </c>
      <c r="S419" s="518" t="str">
        <f>IF(AND(_A1="A-220-100",'2025'!$N$4="FO",'2025'!$N$2=S385),'2025DATA'!$D$36,"")</f>
        <v/>
      </c>
      <c r="T419" s="518" t="str">
        <f>IF(AND(_A1="A-220-100",'2025'!$N$4="FO",'2025'!$N$2=T385),'2025DATA'!$E$36,"")</f>
        <v/>
      </c>
      <c r="U419" s="518" t="str">
        <f>IF(AND(_A1="A-220-100",'2025'!$N$4="FO",'2025'!$N$2=U385),'2025DATA'!$F$36,"")</f>
        <v/>
      </c>
      <c r="V419" s="518" t="str">
        <f>IF(AND(_A1="A-220-100",'2025'!$N$4="FO",'2025'!$N$2=V385),'2025DATA'!$G$36,"")</f>
        <v/>
      </c>
      <c r="W419" s="518" t="str">
        <f>IF(AND(_A1="A-220-100",'2025'!$N$4="FO",'2025'!$N$2=W385),'2025DATA'!$H$36,"")</f>
        <v/>
      </c>
      <c r="X419" s="518" t="str">
        <f>IF(AND(_A1="A-220-100",'2025'!$N$4="FO",'2025'!$N$2=X385),'2025DATA'!$I$36,"")</f>
        <v/>
      </c>
      <c r="Y419" s="518" t="str">
        <f>IF(AND(_A1="A-220-100",'2025'!$N$4="FO",'2025'!$N$2=Y385),'2025DATA'!$J$36,"")</f>
        <v/>
      </c>
      <c r="Z419" s="518" t="str">
        <f>IF(AND(_A1="A-220-100",'2025'!$N$4="FO",'2025'!$N$2=Z385),'2025DATA'!$K$36,"")</f>
        <v/>
      </c>
      <c r="AA419" s="518" t="str">
        <f>IF(AND(_A1="A-220-100",'2025'!$N$4="FO",'2025'!$N$2=AA385),'2025DATA'!$L$36,"")</f>
        <v/>
      </c>
      <c r="AB419" s="518" t="str">
        <f>IF(AND(_A1="A-220-100",'2025'!$N$4="FO",'2025'!$N$2=AB385),'2025DATA'!$M$36,"")</f>
        <v/>
      </c>
      <c r="AC419" s="520" t="str">
        <f>IF(AND(_A1="A-220-100",'2025'!$N$4="FO",'2025'!$N$2=AC385),'2025DATA'!$N$36,"")</f>
        <v/>
      </c>
      <c r="AD419" s="940"/>
      <c r="AE419" s="13" t="s">
        <v>62</v>
      </c>
      <c r="AF419" s="518" t="str">
        <f>IF(AND(_A2="A-220-100",'2025'!$N$4="FO",'2025'!$N$2=AF385),'2025DATA'!$C$36,"")</f>
        <v/>
      </c>
      <c r="AG419" s="518" t="str">
        <f>IF(AND(_A2="A-220-100",'2025'!$N$4="FO",'2025'!$N$2=AG385),'2025DATA'!$D$36,"")</f>
        <v/>
      </c>
      <c r="AH419" s="518" t="str">
        <f>IF(AND(_A2="A-220-100",'2025'!$N$4="FO",'2025'!$N$2=AH385),'2025DATA'!$E$36,"")</f>
        <v/>
      </c>
      <c r="AI419" s="518" t="str">
        <f>IF(AND(_A2="A-220-100",'2025'!$N$4="FO",'2025'!$N$2=AI385),'2025DATA'!$F$36,"")</f>
        <v/>
      </c>
      <c r="AJ419" s="518" t="str">
        <f>IF(AND(_A2="A-220-100",'2025'!$N$4="FO",'2025'!$N$2=AJ385),'2025DATA'!$G$36,"")</f>
        <v/>
      </c>
      <c r="AK419" s="518" t="str">
        <f>IF(AND(_A2="A-220-100",'2025'!$N$4="FO",'2025'!$N$2=AK385),'2025DATA'!$H$36,"")</f>
        <v/>
      </c>
      <c r="AL419" s="518" t="str">
        <f>IF(AND(_A2="A-220-100",'2025'!$N$4="FO",'2025'!$N$2=AL385),'2025DATA'!$I$36,"")</f>
        <v/>
      </c>
      <c r="AM419" s="518" t="str">
        <f>IF(AND(_A2="A-220-100",'2025'!$N$4="FO",'2025'!$N$2=AM385),'2025DATA'!$J$36,"")</f>
        <v/>
      </c>
      <c r="AN419" s="518" t="str">
        <f>IF(AND(_A2="A-220-100",'2025'!$N$4="FO",'2025'!$N$2=AN385),'2025DATA'!$K$36,"")</f>
        <v/>
      </c>
      <c r="AO419" s="518" t="str">
        <f>IF(AND(_A2="A-220-100",'2025'!$N$4="FO",'2025'!$N$2=AO385),'2025DATA'!$L$36,"")</f>
        <v/>
      </c>
      <c r="AP419" s="518" t="str">
        <f>IF(AND(_A2="A-220-100",'2025'!$N$4="FO",'2025'!$N$2=AP385),'2025DATA'!$M$36,"")</f>
        <v/>
      </c>
      <c r="AQ419" s="520" t="str">
        <f>IF(AND(_A2="A-220-100",'2025'!$N$4="FO",'2025'!$N$2=AQ385),'2025DATA'!$N$36,"")</f>
        <v/>
      </c>
      <c r="AR419" s="940"/>
      <c r="AS419" s="13" t="s">
        <v>62</v>
      </c>
      <c r="AT419" s="518" t="str">
        <f>IF(AND(_A3="A-220-100",'2025'!$N$4="FO",'2025'!$N$2=AT385),'2025DATA'!$C$36,"")</f>
        <v/>
      </c>
      <c r="AU419" s="518" t="str">
        <f>IF(AND(_A3="A-220-100",'2025'!$N$4="FO",'2025'!$N$2=AU385),'2025DATA'!$D$36,"")</f>
        <v/>
      </c>
      <c r="AV419" s="518" t="str">
        <f>IF(AND(_A3="A-220-100",'2025'!$N$4="FO",'2025'!$N$2=AV385),'2025DATA'!$E$36,"")</f>
        <v/>
      </c>
      <c r="AW419" s="518" t="str">
        <f>IF(AND(_A3="A-220-100",'2025'!$N$4="FO",'2025'!$N$2=AW385),'2025DATA'!$F$36,"")</f>
        <v/>
      </c>
      <c r="AX419" s="518" t="str">
        <f>IF(AND(_A3="A-220-100",'2025'!$N$4="FO",'2025'!$N$2=AX385),'2025DATA'!$G$36,"")</f>
        <v/>
      </c>
      <c r="AY419" s="518" t="str">
        <f>IF(AND(_A3="A-220-100",'2025'!$N$4="FO",'2025'!$N$2=AY385),'2025DATA'!$H$36,"")</f>
        <v/>
      </c>
      <c r="AZ419" s="518" t="str">
        <f>IF(AND(_A3="A-220-100",'2025'!$N$4="FO",'2025'!$N$2=AZ385),'2025DATA'!$I$36,"")</f>
        <v/>
      </c>
      <c r="BA419" s="518" t="str">
        <f>IF(AND(_A3="A-220-100",'2025'!$N$4="FO",'2025'!$N$2=BA385),'2025DATA'!$J$36,"")</f>
        <v/>
      </c>
      <c r="BB419" s="518" t="str">
        <f>IF(AND(_A3="A-220-100",'2025'!$N$4="FO",'2025'!$N$2=BB385),'2025DATA'!$K$36,"")</f>
        <v/>
      </c>
      <c r="BC419" s="518" t="str">
        <f>IF(AND(_A3="A-220-100",'2025'!$N$4="FO",'2025'!$N$2=BC385),'2025DATA'!$L$36,"")</f>
        <v/>
      </c>
      <c r="BD419" s="518" t="str">
        <f>IF(AND(_A3="A-220-100",'2025'!$N$4="FO",'2025'!$N$2=BD385),'2025DATA'!$M$36,"")</f>
        <v/>
      </c>
      <c r="BE419" s="520" t="str">
        <f>IF(AND(_A3="A-220-100",'2025'!$N$4="FO",'2025'!$N$2=BE385),'2025DATA'!$N$36,"")</f>
        <v/>
      </c>
      <c r="BF419" s="940"/>
      <c r="BG419" s="13" t="s">
        <v>62</v>
      </c>
      <c r="BH419" s="518" t="str">
        <f>IF(AND(_A4="A-220-100",'2025'!$N$4="FO",'2025'!$N$2=BH385),'2025DATA'!$C$36,"")</f>
        <v/>
      </c>
      <c r="BI419" s="518" t="str">
        <f>IF(AND(_A4="A-220-100",'2025'!$N$4="FO",'2025'!$N$2=BI385),'2025DATA'!$D$36,"")</f>
        <v/>
      </c>
      <c r="BJ419" s="518" t="str">
        <f>IF(AND(_A4="A-220-100",'2025'!$N$4="FO",'2025'!$N$2=BJ385),'2025DATA'!$E$36,"")</f>
        <v/>
      </c>
      <c r="BK419" s="518" t="str">
        <f>IF(AND(_A4="A-220-100",'2025'!$N$4="FO",'2025'!$N$2=BK385),'2025DATA'!$F$36,"")</f>
        <v/>
      </c>
      <c r="BL419" s="518" t="str">
        <f>IF(AND(_A4="A-220-100",'2025'!$N$4="FO",'2025'!$N$2=BL385),'2025DATA'!$G$36,"")</f>
        <v/>
      </c>
      <c r="BM419" s="518" t="str">
        <f>IF(AND(_A4="A-220-100",'2025'!$N$4="FO",'2025'!$N$2=BM385),'2025DATA'!$H$36,"")</f>
        <v/>
      </c>
      <c r="BN419" s="518" t="str">
        <f>IF(AND(_A4="A-220-100",'2025'!$N$4="FO",'2025'!$N$2=BN385),'2025DATA'!$I$36,"")</f>
        <v/>
      </c>
      <c r="BO419" s="518" t="str">
        <f>IF(AND(_A4="A-220-100",'2025'!$N$4="FO",'2025'!$N$2=BO385),'2025DATA'!$J$36,"")</f>
        <v/>
      </c>
      <c r="BP419" s="518" t="str">
        <f>IF(AND(_A4="A-220-100",'2025'!$N$4="FO",'2025'!$N$2=BP385),'2025DATA'!$K$36,"")</f>
        <v/>
      </c>
      <c r="BQ419" s="518" t="str">
        <f>IF(AND(_A4="A-220-100",'2025'!$N$4="FO",'2025'!$N$2=BQ385),'2025DATA'!$L$36,"")</f>
        <v/>
      </c>
      <c r="BR419" s="518" t="str">
        <f>IF(AND(_A4="A-220-100",'2025'!$N$4="FO",'2025'!$N$2=BR385),'2025DATA'!$M$36,"")</f>
        <v/>
      </c>
      <c r="BS419" s="520" t="str">
        <f>IF(AND(_A4="A-220-100",'2025'!$N$4="FO",'2025'!$N$2=BS385),'2025DATA'!$N$36,"")</f>
        <v/>
      </c>
      <c r="BT419" s="940"/>
      <c r="BU419" s="13" t="s">
        <v>62</v>
      </c>
      <c r="BV419" s="518" t="str">
        <f>IF(AND(_A5="A-220-100",'2025'!$N$4="FO",'2025'!$N$2=BV385),'2025DATA'!$C$36,"")</f>
        <v/>
      </c>
      <c r="BW419" s="518" t="str">
        <f>IF(AND(_A5="A-220-100",'2025'!$N$4="FO",'2025'!$N$2=BW385),'2025DATA'!$D$36,"")</f>
        <v/>
      </c>
      <c r="BX419" s="518" t="str">
        <f>IF(AND(_A5="A-220-100",'2025'!$N$4="FO",'2025'!$N$2=BX385),'2025DATA'!$E$36,"")</f>
        <v/>
      </c>
      <c r="BY419" s="518" t="str">
        <f>IF(AND(_A5="A-220-100",'2025'!$N$4="FO",'2025'!$N$2=BY385),'2025DATA'!$F$36,"")</f>
        <v/>
      </c>
      <c r="BZ419" s="518" t="str">
        <f>IF(AND(_A5="A-220-100",'2025'!$N$4="FO",'2025'!$N$2=BZ385),'2025DATA'!$G$36,"")</f>
        <v/>
      </c>
      <c r="CA419" s="518" t="str">
        <f>IF(AND(_A5="A-220-100",'2025'!$N$4="FO",'2025'!$N$2=CA385),'2025DATA'!$H$36,"")</f>
        <v/>
      </c>
      <c r="CB419" s="518" t="str">
        <f>IF(AND(_A5="A-220-100",'2025'!$N$4="FO",'2025'!$N$2=CB385),'2025DATA'!$I$36,"")</f>
        <v/>
      </c>
      <c r="CC419" s="518" t="str">
        <f>IF(AND(_A5="A-220-100",'2025'!$N$4="FO",'2025'!$N$2=CC385),'2025DATA'!$J$36,"")</f>
        <v/>
      </c>
      <c r="CD419" s="518" t="str">
        <f>IF(AND(_A5="A-220-100",'2025'!$N$4="FO",'2025'!$N$2=CD385),'2025DATA'!$K$36,"")</f>
        <v/>
      </c>
      <c r="CE419" s="518" t="str">
        <f>IF(AND(_A5="A-220-100",'2025'!$N$4="FO",'2025'!$N$2=CE385),'2025DATA'!$L$36,"")</f>
        <v/>
      </c>
      <c r="CF419" s="518" t="str">
        <f>IF(AND(_A5="A-220-100",'2025'!$N$4="FO",'2025'!$N$2=CF385),'2025DATA'!$M$36,"")</f>
        <v/>
      </c>
      <c r="CG419" s="520" t="str">
        <f>IF(AND(_A5="A-220-100",'2025'!$N$4="FO",'2025'!$N$2=CG385),'2025DATA'!$N$36,"")</f>
        <v/>
      </c>
      <c r="CH419" s="940"/>
      <c r="CI419" s="13" t="s">
        <v>62</v>
      </c>
      <c r="CJ419" s="518" t="str">
        <f>IF(AND(_A6="A-220-100",'2025'!$N$4="FO",'2025'!$N$2=CJ385),'2025DATA'!$C$36,"")</f>
        <v/>
      </c>
      <c r="CK419" s="518" t="str">
        <f>IF(AND(_A6="A-220-100",'2025'!$N$4="FO",'2025'!$N$2=CK385),'2025DATA'!$D$36,"")</f>
        <v/>
      </c>
      <c r="CL419" s="518" t="str">
        <f>IF(AND(_A6="A-220-100",'2025'!$N$4="FO",'2025'!$N$2=CL385),'2025DATA'!$E$36,"")</f>
        <v/>
      </c>
      <c r="CM419" s="518" t="str">
        <f>IF(AND(_A6="A-220-100",'2025'!$N$4="FO",'2025'!$N$2=CM385),'2025DATA'!$F$36,"")</f>
        <v/>
      </c>
      <c r="CN419" s="518" t="str">
        <f>IF(AND(_A6="A-220-100",'2025'!$N$4="FO",'2025'!$N$2=CN385),'2025DATA'!$G$36,"")</f>
        <v/>
      </c>
      <c r="CO419" s="518" t="str">
        <f>IF(AND(_A6="A-220-100",'2025'!$N$4="FO",'2025'!$N$2=CO385),'2025DATA'!$H$36,"")</f>
        <v/>
      </c>
      <c r="CP419" s="518" t="str">
        <f>IF(AND(_A6="A-220-100",'2025'!$N$4="FO",'2025'!$N$2=CP385),'2025DATA'!$I$36,"")</f>
        <v/>
      </c>
      <c r="CQ419" s="518" t="str">
        <f>IF(AND(_A6="A-220-100",'2025'!$N$4="FO",'2025'!$N$2=CQ385),'2025DATA'!$J$36,"")</f>
        <v/>
      </c>
      <c r="CR419" s="518" t="str">
        <f>IF(AND(_A6="A-220-100",'2025'!$N$4="FO",'2025'!$N$2=CR385),'2025DATA'!$K$36,"")</f>
        <v/>
      </c>
      <c r="CS419" s="518" t="str">
        <f>IF(AND(_A6="A-220-100",'2025'!$N$4="FO",'2025'!$N$2=CS385),'2025DATA'!$L$36,"")</f>
        <v/>
      </c>
      <c r="CT419" s="518" t="str">
        <f>IF(AND(_A6="A-220-100",'2025'!$N$4="FO",'2025'!$N$2=CT385),'2025DATA'!$M$36,"")</f>
        <v/>
      </c>
      <c r="CU419" s="520" t="str">
        <f>IF(AND(_A6="A-220-100",'2025'!$N$4="FO",'2025'!$N$2=CU385),'2025DATA'!$N$36,"")</f>
        <v/>
      </c>
    </row>
    <row r="420" spans="16:99" x14ac:dyDescent="0.25">
      <c r="P420" s="940" t="s">
        <v>53</v>
      </c>
      <c r="Q420" s="13" t="s">
        <v>61</v>
      </c>
      <c r="R420" s="518" t="str">
        <f>IF(AND(_A1="B-717",'2025'!$N$4="CA",'2025'!$N$2=R385),'2025DATA'!$C$37,"")</f>
        <v/>
      </c>
      <c r="S420" s="518" t="str">
        <f>IF(AND(_A1="B-717",'2025'!$N$4="CA",'2025'!$N$2=S385),'2025DATA'!$D$37,"")</f>
        <v/>
      </c>
      <c r="T420" s="518" t="str">
        <f>IF(AND(_A1="B-717",'2025'!$N$4="CA",'2025'!$N$2=T385),'2025DATA'!$E$37,"")</f>
        <v/>
      </c>
      <c r="U420" s="518" t="str">
        <f>IF(AND(_A1="B-717",'2025'!$N$4="CA",'2025'!$N$2=U385),'2025DATA'!$F$37,"")</f>
        <v/>
      </c>
      <c r="V420" s="518" t="str">
        <f>IF(AND(_A1="B-717",'2025'!$N$4="CA",'2025'!$N$2=V385),'2025DATA'!$G$37,"")</f>
        <v/>
      </c>
      <c r="W420" s="518" t="str">
        <f>IF(AND(_A1="B-717",'2025'!$N$4="CA",'2025'!$N$2=W385),'2025DATA'!$H$37,"")</f>
        <v/>
      </c>
      <c r="X420" s="518" t="str">
        <f>IF(AND(_A1="B-717",'2025'!$N$4="CA",'2025'!$N$2=X385),'2025DATA'!$I$37,"")</f>
        <v/>
      </c>
      <c r="Y420" s="518" t="str">
        <f>IF(AND(_A1="B-717",'2025'!$N$4="CA",'2025'!$N$2=Y385),'2025DATA'!$J$37,"")</f>
        <v/>
      </c>
      <c r="Z420" s="518" t="str">
        <f>IF(AND(_A1="B-717",'2025'!$N$4="CA",'2025'!$N$2=Z385),'2025DATA'!$K$37,"")</f>
        <v/>
      </c>
      <c r="AA420" s="518" t="str">
        <f>IF(AND(_A1="B-717",'2025'!$N$4="CA",'2025'!$N$2=AA385),'2025DATA'!$L$37,"")</f>
        <v/>
      </c>
      <c r="AB420" s="518" t="str">
        <f>IF(AND(_A1="B-717",'2025'!$N$4="CA",'2025'!$N$2=AB385),'2025DATA'!$M$37,"")</f>
        <v/>
      </c>
      <c r="AC420" s="520" t="str">
        <f>IF(AND(_A1="B-717",'2025'!$N$4="CA",'2025'!$N$2=AC385),'2025DATA'!$N$37,"")</f>
        <v/>
      </c>
      <c r="AD420" s="940" t="s">
        <v>53</v>
      </c>
      <c r="AE420" s="13" t="s">
        <v>61</v>
      </c>
      <c r="AF420" s="518" t="str">
        <f>IF(AND(_A2="B-717",'2025'!$N$4="CA",'2025'!$N$2=AF385),'2025DATA'!$C$37,"")</f>
        <v/>
      </c>
      <c r="AG420" s="518" t="str">
        <f>IF(AND(_A2="B-717",'2025'!$N$4="CA",'2025'!$N$2=AG385),'2025DATA'!$D$37,"")</f>
        <v/>
      </c>
      <c r="AH420" s="518" t="str">
        <f>IF(AND(_A2="B-717",'2025'!$N$4="CA",'2025'!$N$2=AH385),'2025DATA'!$E$37,"")</f>
        <v/>
      </c>
      <c r="AI420" s="518" t="str">
        <f>IF(AND(_A2="B-717",'2025'!$N$4="CA",'2025'!$N$2=AI385),'2025DATA'!$F$37,"")</f>
        <v/>
      </c>
      <c r="AJ420" s="518" t="str">
        <f>IF(AND(_A2="B-717",'2025'!$N$4="CA",'2025'!$N$2=AJ385),'2025DATA'!$G$37,"")</f>
        <v/>
      </c>
      <c r="AK420" s="518" t="str">
        <f>IF(AND(_A2="B-717",'2025'!$N$4="CA",'2025'!$N$2=AK385),'2025DATA'!$H$37,"")</f>
        <v/>
      </c>
      <c r="AL420" s="518" t="str">
        <f>IF(AND(_A2="B-717",'2025'!$N$4="CA",'2025'!$N$2=AL385),'2025DATA'!$I$37,"")</f>
        <v/>
      </c>
      <c r="AM420" s="518" t="str">
        <f>IF(AND(_A2="B-717",'2025'!$N$4="CA",'2025'!$N$2=AM385),'2025DATA'!$J$37,"")</f>
        <v/>
      </c>
      <c r="AN420" s="518" t="str">
        <f>IF(AND(_A2="B-717",'2025'!$N$4="CA",'2025'!$N$2=AN385),'2025DATA'!$K$37,"")</f>
        <v/>
      </c>
      <c r="AO420" s="518" t="str">
        <f>IF(AND(_A2="B-717",'2025'!$N$4="CA",'2025'!$N$2=AO385),'2025DATA'!$L$37,"")</f>
        <v/>
      </c>
      <c r="AP420" s="518" t="str">
        <f>IF(AND(_A2="B-717",'2025'!$N$4="CA",'2025'!$N$2=AP385),'2025DATA'!$M$37,"")</f>
        <v/>
      </c>
      <c r="AQ420" s="520" t="str">
        <f>IF(AND(_A2="B-717",'2025'!$N$4="CA",'2025'!$N$2=AQ385),'2025DATA'!$N$37,"")</f>
        <v/>
      </c>
      <c r="AR420" s="940" t="s">
        <v>53</v>
      </c>
      <c r="AS420" s="13" t="s">
        <v>61</v>
      </c>
      <c r="AT420" s="518" t="str">
        <f>IF(AND(_A3="B-717",'2025'!$N$4="CA",'2025'!$N$2=AT385),'2025DATA'!$C$37,"")</f>
        <v/>
      </c>
      <c r="AU420" s="518" t="str">
        <f>IF(AND(_A3="B-717",'2025'!$N$4="CA",'2025'!$N$2=AU385),'2025DATA'!$D$37,"")</f>
        <v/>
      </c>
      <c r="AV420" s="518" t="str">
        <f>IF(AND(_A3="B-717",'2025'!$N$4="CA",'2025'!$N$2=AV385),'2025DATA'!$E$37,"")</f>
        <v/>
      </c>
      <c r="AW420" s="518" t="str">
        <f>IF(AND(_A3="B-717",'2025'!$N$4="CA",'2025'!$N$2=AW385),'2025DATA'!$F$37,"")</f>
        <v/>
      </c>
      <c r="AX420" s="518" t="str">
        <f>IF(AND(_A3="B-717",'2025'!$N$4="CA",'2025'!$N$2=AX385),'2025DATA'!$G$37,"")</f>
        <v/>
      </c>
      <c r="AY420" s="518" t="str">
        <f>IF(AND(_A3="B-717",'2025'!$N$4="CA",'2025'!$N$2=AY385),'2025DATA'!$H$37,"")</f>
        <v/>
      </c>
      <c r="AZ420" s="518" t="str">
        <f>IF(AND(_A3="B-717",'2025'!$N$4="CA",'2025'!$N$2=AZ385),'2025DATA'!$I$37,"")</f>
        <v/>
      </c>
      <c r="BA420" s="518" t="str">
        <f>IF(AND(_A3="B-717",'2025'!$N$4="CA",'2025'!$N$2=BA385),'2025DATA'!$J$37,"")</f>
        <v/>
      </c>
      <c r="BB420" s="518" t="str">
        <f>IF(AND(_A3="B-717",'2025'!$N$4="CA",'2025'!$N$2=BB385),'2025DATA'!$K$37,"")</f>
        <v/>
      </c>
      <c r="BC420" s="518" t="str">
        <f>IF(AND(_A3="B-717",'2025'!$N$4="CA",'2025'!$N$2=BC385),'2025DATA'!$L$37,"")</f>
        <v/>
      </c>
      <c r="BD420" s="518" t="str">
        <f>IF(AND(_A3="B-717",'2025'!$N$4="CA",'2025'!$N$2=BD385),'2025DATA'!$M$37,"")</f>
        <v/>
      </c>
      <c r="BE420" s="520" t="str">
        <f>IF(AND(_A3="B-717",'2025'!$N$4="CA",'2025'!$N$2=BE385),'2025DATA'!$N$37,"")</f>
        <v/>
      </c>
      <c r="BF420" s="940" t="s">
        <v>53</v>
      </c>
      <c r="BG420" s="13" t="s">
        <v>61</v>
      </c>
      <c r="BH420" s="518" t="str">
        <f>IF(AND(_A4="B-717",'2025'!$N$4="CA",'2025'!$N$2=BH385),'2025DATA'!$C$37,"")</f>
        <v/>
      </c>
      <c r="BI420" s="518" t="str">
        <f>IF(AND(_A4="B-717",'2025'!$N$4="CA",'2025'!$N$2=BI385),'2025DATA'!$D$37,"")</f>
        <v/>
      </c>
      <c r="BJ420" s="518" t="str">
        <f>IF(AND(_A4="B-717",'2025'!$N$4="CA",'2025'!$N$2=BJ385),'2025DATA'!$E$37,"")</f>
        <v/>
      </c>
      <c r="BK420" s="518" t="str">
        <f>IF(AND(_A4="B-717",'2025'!$N$4="CA",'2025'!$N$2=BK385),'2025DATA'!$F$37,"")</f>
        <v/>
      </c>
      <c r="BL420" s="518" t="str">
        <f>IF(AND(_A4="B-717",'2025'!$N$4="CA",'2025'!$N$2=BL385),'2025DATA'!$G$37,"")</f>
        <v/>
      </c>
      <c r="BM420" s="518" t="str">
        <f>IF(AND(_A4="B-717",'2025'!$N$4="CA",'2025'!$N$2=BM385),'2025DATA'!$H$37,"")</f>
        <v/>
      </c>
      <c r="BN420" s="518" t="str">
        <f>IF(AND(_A4="B-717",'2025'!$N$4="CA",'2025'!$N$2=BN385),'2025DATA'!$I$37,"")</f>
        <v/>
      </c>
      <c r="BO420" s="518" t="str">
        <f>IF(AND(_A4="B-717",'2025'!$N$4="CA",'2025'!$N$2=BO385),'2025DATA'!$J$37,"")</f>
        <v/>
      </c>
      <c r="BP420" s="518" t="str">
        <f>IF(AND(_A4="B-717",'2025'!$N$4="CA",'2025'!$N$2=BP385),'2025DATA'!$K$37,"")</f>
        <v/>
      </c>
      <c r="BQ420" s="518" t="str">
        <f>IF(AND(_A4="B-717",'2025'!$N$4="CA",'2025'!$N$2=BQ385),'2025DATA'!$L$37,"")</f>
        <v/>
      </c>
      <c r="BR420" s="518" t="str">
        <f>IF(AND(_A4="B-717",'2025'!$N$4="CA",'2025'!$N$2=BR385),'2025DATA'!$M$37,"")</f>
        <v/>
      </c>
      <c r="BS420" s="520" t="str">
        <f>IF(AND(_A4="B-717",'2025'!$N$4="CA",'2025'!$N$2=BS385),'2025DATA'!$N$37,"")</f>
        <v/>
      </c>
      <c r="BT420" s="940" t="s">
        <v>53</v>
      </c>
      <c r="BU420" s="13" t="s">
        <v>61</v>
      </c>
      <c r="BV420" s="518" t="str">
        <f>IF(AND(_A5="B-717",'2025'!$N$4="CA",'2025'!$N$2=BV385),'2025DATA'!$C$37,"")</f>
        <v/>
      </c>
      <c r="BW420" s="518" t="str">
        <f>IF(AND(_A5="B-717",'2025'!$N$4="CA",'2025'!$N$2=BW385),'2025DATA'!$D$37,"")</f>
        <v/>
      </c>
      <c r="BX420" s="518" t="str">
        <f>IF(AND(_A5="B-717",'2025'!$N$4="CA",'2025'!$N$2=BX385),'2025DATA'!$E$37,"")</f>
        <v/>
      </c>
      <c r="BY420" s="518" t="str">
        <f>IF(AND(_A5="B-717",'2025'!$N$4="CA",'2025'!$N$2=BY385),'2025DATA'!$F$37,"")</f>
        <v/>
      </c>
      <c r="BZ420" s="518" t="str">
        <f>IF(AND(_A5="B-717",'2025'!$N$4="CA",'2025'!$N$2=BZ385),'2025DATA'!$G$37,"")</f>
        <v/>
      </c>
      <c r="CA420" s="518" t="str">
        <f>IF(AND(_A5="B-717",'2025'!$N$4="CA",'2025'!$N$2=CA385),'2025DATA'!$H$37,"")</f>
        <v/>
      </c>
      <c r="CB420" s="518" t="str">
        <f>IF(AND(_A5="B-717",'2025'!$N$4="CA",'2025'!$N$2=CB385),'2025DATA'!$I$37,"")</f>
        <v/>
      </c>
      <c r="CC420" s="518" t="str">
        <f>IF(AND(_A5="B-717",'2025'!$N$4="CA",'2025'!$N$2=CC385),'2025DATA'!$J$37,"")</f>
        <v/>
      </c>
      <c r="CD420" s="518" t="str">
        <f>IF(AND(_A5="B-717",'2025'!$N$4="CA",'2025'!$N$2=CD385),'2025DATA'!$K$37,"")</f>
        <v/>
      </c>
      <c r="CE420" s="518" t="str">
        <f>IF(AND(_A5="B-717",'2025'!$N$4="CA",'2025'!$N$2=CE385),'2025DATA'!$L$37,"")</f>
        <v/>
      </c>
      <c r="CF420" s="518" t="str">
        <f>IF(AND(_A5="B-717",'2025'!$N$4="CA",'2025'!$N$2=CF385),'2025DATA'!$M$37,"")</f>
        <v/>
      </c>
      <c r="CG420" s="520" t="str">
        <f>IF(AND(_A5="B-717",'2025'!$N$4="CA",'2025'!$N$2=CG385),'2025DATA'!$N$37,"")</f>
        <v/>
      </c>
      <c r="CH420" s="940" t="s">
        <v>53</v>
      </c>
      <c r="CI420" s="13" t="s">
        <v>61</v>
      </c>
      <c r="CJ420" s="518" t="str">
        <f>IF(AND(_A6="B-717",'2025'!$N$4="CA",'2025'!$N$2=CJ385),'2025DATA'!$C$37,"")</f>
        <v/>
      </c>
      <c r="CK420" s="518" t="str">
        <f>IF(AND(_A6="B-717",'2025'!$N$4="CA",'2025'!$N$2=CK385),'2025DATA'!$D$37,"")</f>
        <v/>
      </c>
      <c r="CL420" s="518" t="str">
        <f>IF(AND(_A6="B-717",'2025'!$N$4="CA",'2025'!$N$2=CL385),'2025DATA'!$E$37,"")</f>
        <v/>
      </c>
      <c r="CM420" s="518" t="str">
        <f>IF(AND(_A6="B-717",'2025'!$N$4="CA",'2025'!$N$2=CM385),'2025DATA'!$F$37,"")</f>
        <v/>
      </c>
      <c r="CN420" s="518" t="str">
        <f>IF(AND(_A6="B-717",'2025'!$N$4="CA",'2025'!$N$2=CN385),'2025DATA'!$G$37,"")</f>
        <v/>
      </c>
      <c r="CO420" s="518" t="str">
        <f>IF(AND(_A6="B-717",'2025'!$N$4="CA",'2025'!$N$2=CO385),'2025DATA'!$H$37,"")</f>
        <v/>
      </c>
      <c r="CP420" s="518" t="str">
        <f>IF(AND(_A6="B-717",'2025'!$N$4="CA",'2025'!$N$2=CP385),'2025DATA'!$I$37,"")</f>
        <v/>
      </c>
      <c r="CQ420" s="518" t="str">
        <f>IF(AND(_A6="B-717",'2025'!$N$4="CA",'2025'!$N$2=CQ385),'2025DATA'!$J$37,"")</f>
        <v/>
      </c>
      <c r="CR420" s="518" t="str">
        <f>IF(AND(_A6="B-717",'2025'!$N$4="CA",'2025'!$N$2=CR385),'2025DATA'!$K$37,"")</f>
        <v/>
      </c>
      <c r="CS420" s="518" t="str">
        <f>IF(AND(_A6="B-717",'2025'!$N$4="CA",'2025'!$N$2=CS385),'2025DATA'!$L$37,"")</f>
        <v/>
      </c>
      <c r="CT420" s="518" t="str">
        <f>IF(AND(_A6="B-717",'2025'!$N$4="CA",'2025'!$N$2=CT385),'2025DATA'!$M$37,"")</f>
        <v/>
      </c>
      <c r="CU420" s="520" t="str">
        <f>IF(AND(_A6="B-717",'2025'!$N$4="CA",'2025'!$N$2=CU385),'2025DATA'!$N$37,"")</f>
        <v/>
      </c>
    </row>
    <row r="421" spans="16:99" ht="15.75" thickBot="1" x14ac:dyDescent="0.3">
      <c r="P421" s="941"/>
      <c r="Q421" s="521" t="s">
        <v>62</v>
      </c>
      <c r="R421" s="518" t="str">
        <f>IF(AND(_A1="B-717",'2025'!$N$4="FO",'2025'!$N$2=R385),'2025DATA'!$C$38,"")</f>
        <v/>
      </c>
      <c r="S421" s="518" t="str">
        <f>IF(AND(_A1="B-717",'2025'!$N$4="FO",'2025'!$N$2=S385),'2025DATA'!$D$38,"")</f>
        <v/>
      </c>
      <c r="T421" s="518" t="str">
        <f>IF(AND(_A1="B-717",'2025'!$N$4="FO",'2025'!$N$2=T385),'2025DATA'!$E$38,"")</f>
        <v/>
      </c>
      <c r="U421" s="518" t="str">
        <f>IF(AND(_A1="B-717",'2025'!$N$4="FO",'2025'!$N$2=U385),'2025DATA'!$F$38,"")</f>
        <v/>
      </c>
      <c r="V421" s="518" t="str">
        <f>IF(AND(_A1="B-717",'2025'!$N$4="FO",'2025'!$N$2=V385),'2025DATA'!$G$38,"")</f>
        <v/>
      </c>
      <c r="W421" s="518" t="str">
        <f>IF(AND(_A1="B-717",'2025'!$N$4="FO",'2025'!$N$2=W385),'2025DATA'!$H$38,"")</f>
        <v/>
      </c>
      <c r="X421" s="518" t="str">
        <f>IF(AND(_A1="B-717",'2025'!$N$4="FO",'2025'!$N$2=X385),'2025DATA'!$I$38,"")</f>
        <v/>
      </c>
      <c r="Y421" s="518" t="str">
        <f>IF(AND(_A1="B-717",'2025'!$N$4="FO",'2025'!$N$2=Y385),'2025DATA'!$J$38,"")</f>
        <v/>
      </c>
      <c r="Z421" s="518" t="str">
        <f>IF(AND(_A1="B-717",'2025'!$N$4="FO",'2025'!$N$2=Z385),'2025DATA'!$K$38,"")</f>
        <v/>
      </c>
      <c r="AA421" s="518" t="str">
        <f>IF(AND(_A1="B-717",'2025'!$N$4="FO",'2025'!$N$2=AA385),'2025DATA'!$L$38,"")</f>
        <v/>
      </c>
      <c r="AB421" s="518" t="str">
        <f>IF(AND(_A1="B-717",'2025'!$N$4="FO",'2025'!$N$2=AB385),'2025DATA'!$M$38,"")</f>
        <v/>
      </c>
      <c r="AC421" s="520" t="str">
        <f>IF(AND(_A1="B-717",'2025'!$N$4="FO",'2025'!$N$2=AC385),'2025DATA'!$N$38,"")</f>
        <v/>
      </c>
      <c r="AD421" s="941"/>
      <c r="AE421" s="521" t="s">
        <v>62</v>
      </c>
      <c r="AF421" s="518" t="str">
        <f>IF(AND(_A2="B-717",'2025'!$N$4="FO",'2025'!$N$2=AF385),'2025DATA'!$C$38,"")</f>
        <v/>
      </c>
      <c r="AG421" s="518" t="str">
        <f>IF(AND(_A2="B-717",'2025'!$N$4="FO",'2025'!$N$2=AG385),'2025DATA'!$D$38,"")</f>
        <v/>
      </c>
      <c r="AH421" s="518" t="str">
        <f>IF(AND(_A2="B-717",'2025'!$N$4="FO",'2025'!$N$2=AH385),'2025DATA'!$E$38,"")</f>
        <v/>
      </c>
      <c r="AI421" s="518" t="str">
        <f>IF(AND(_A2="B-717",'2025'!$N$4="FO",'2025'!$N$2=AI385),'2025DATA'!$F$38,"")</f>
        <v/>
      </c>
      <c r="AJ421" s="518" t="str">
        <f>IF(AND(_A2="B-717",'2025'!$N$4="FO",'2025'!$N$2=AJ385),'2025DATA'!$G$38,"")</f>
        <v/>
      </c>
      <c r="AK421" s="518" t="str">
        <f>IF(AND(_A2="B-717",'2025'!$N$4="FO",'2025'!$N$2=AK385),'2025DATA'!$H$38,"")</f>
        <v/>
      </c>
      <c r="AL421" s="518" t="str">
        <f>IF(AND(_A2="B-717",'2025'!$N$4="FO",'2025'!$N$2=AL385),'2025DATA'!$I$38,"")</f>
        <v/>
      </c>
      <c r="AM421" s="518" t="str">
        <f>IF(AND(_A2="B-717",'2025'!$N$4="FO",'2025'!$N$2=AM385),'2025DATA'!$J$38,"")</f>
        <v/>
      </c>
      <c r="AN421" s="518" t="str">
        <f>IF(AND(_A2="B-717",'2025'!$N$4="FO",'2025'!$N$2=AN385),'2025DATA'!$K$38,"")</f>
        <v/>
      </c>
      <c r="AO421" s="518" t="str">
        <f>IF(AND(_A2="B-717",'2025'!$N$4="FO",'2025'!$N$2=AO385),'2025DATA'!$L$38,"")</f>
        <v/>
      </c>
      <c r="AP421" s="518" t="str">
        <f>IF(AND(_A2="B-717",'2025'!$N$4="FO",'2025'!$N$2=AP385),'2025DATA'!$M$38,"")</f>
        <v/>
      </c>
      <c r="AQ421" s="520" t="str">
        <f>IF(AND(_A2="B-717",'2025'!$N$4="FO",'2025'!$N$2=AQ385),'2025DATA'!$N$38,"")</f>
        <v/>
      </c>
      <c r="AR421" s="941"/>
      <c r="AS421" s="521" t="s">
        <v>62</v>
      </c>
      <c r="AT421" s="518" t="str">
        <f>IF(AND(_A3="B-717",'2025'!$N$4="FO",'2025'!$N$2=AT385),'2025DATA'!$C$38,"")</f>
        <v/>
      </c>
      <c r="AU421" s="518" t="str">
        <f>IF(AND(_A3="B-717",'2025'!$N$4="FO",'2025'!$N$2=AU385),'2025DATA'!$D$38,"")</f>
        <v/>
      </c>
      <c r="AV421" s="518" t="str">
        <f>IF(AND(_A3="B-717",'2025'!$N$4="FO",'2025'!$N$2=AV385),'2025DATA'!$E$38,"")</f>
        <v/>
      </c>
      <c r="AW421" s="518" t="str">
        <f>IF(AND(_A3="B-717",'2025'!$N$4="FO",'2025'!$N$2=AW385),'2025DATA'!$F$38,"")</f>
        <v/>
      </c>
      <c r="AX421" s="518" t="str">
        <f>IF(AND(_A3="B-717",'2025'!$N$4="FO",'2025'!$N$2=AX385),'2025DATA'!$G$38,"")</f>
        <v/>
      </c>
      <c r="AY421" s="518" t="str">
        <f>IF(AND(_A3="B-717",'2025'!$N$4="FO",'2025'!$N$2=AY385),'2025DATA'!$H$38,"")</f>
        <v/>
      </c>
      <c r="AZ421" s="518" t="str">
        <f>IF(AND(_A3="B-717",'2025'!$N$4="FO",'2025'!$N$2=AZ385),'2025DATA'!$I$38,"")</f>
        <v/>
      </c>
      <c r="BA421" s="518" t="str">
        <f>IF(AND(_A3="B-717",'2025'!$N$4="FO",'2025'!$N$2=BA385),'2025DATA'!$J$38,"")</f>
        <v/>
      </c>
      <c r="BB421" s="518" t="str">
        <f>IF(AND(_A3="B-717",'2025'!$N$4="FO",'2025'!$N$2=BB385),'2025DATA'!$K$38,"")</f>
        <v/>
      </c>
      <c r="BC421" s="518" t="str">
        <f>IF(AND(_A3="B-717",'2025'!$N$4="FO",'2025'!$N$2=BC385),'2025DATA'!$L$38,"")</f>
        <v/>
      </c>
      <c r="BD421" s="518" t="str">
        <f>IF(AND(_A3="B-717",'2025'!$N$4="FO",'2025'!$N$2=BD385),'2025DATA'!$M$38,"")</f>
        <v/>
      </c>
      <c r="BE421" s="520" t="str">
        <f>IF(AND(_A3="B-717",'2025'!$N$4="FO",'2025'!$N$2=BE385),'2025DATA'!$N$38,"")</f>
        <v/>
      </c>
      <c r="BF421" s="941"/>
      <c r="BG421" s="521" t="s">
        <v>62</v>
      </c>
      <c r="BH421" s="518" t="str">
        <f>IF(AND(_A4="B-717",'2025'!$N$4="FO",'2025'!$N$2=BH385),'2025DATA'!$C$38,"")</f>
        <v/>
      </c>
      <c r="BI421" s="518" t="str">
        <f>IF(AND(_A4="B-717",'2025'!$N$4="FO",'2025'!$N$2=BI385),'2025DATA'!$D$38,"")</f>
        <v/>
      </c>
      <c r="BJ421" s="518" t="str">
        <f>IF(AND(_A4="B-717",'2025'!$N$4="FO",'2025'!$N$2=BJ385),'2025DATA'!$E$38,"")</f>
        <v/>
      </c>
      <c r="BK421" s="518" t="str">
        <f>IF(AND(_A4="B-717",'2025'!$N$4="FO",'2025'!$N$2=BK385),'2025DATA'!$F$38,"")</f>
        <v/>
      </c>
      <c r="BL421" s="518" t="str">
        <f>IF(AND(_A4="B-717",'2025'!$N$4="FO",'2025'!$N$2=BL385),'2025DATA'!$G$38,"")</f>
        <v/>
      </c>
      <c r="BM421" s="518" t="str">
        <f>IF(AND(_A4="B-717",'2025'!$N$4="FO",'2025'!$N$2=BM385),'2025DATA'!$H$38,"")</f>
        <v/>
      </c>
      <c r="BN421" s="518" t="str">
        <f>IF(AND(_A4="B-717",'2025'!$N$4="FO",'2025'!$N$2=BN385),'2025DATA'!$I$38,"")</f>
        <v/>
      </c>
      <c r="BO421" s="518" t="str">
        <f>IF(AND(_A4="B-717",'2025'!$N$4="FO",'2025'!$N$2=BO385),'2025DATA'!$J$38,"")</f>
        <v/>
      </c>
      <c r="BP421" s="518" t="str">
        <f>IF(AND(_A4="B-717",'2025'!$N$4="FO",'2025'!$N$2=BP385),'2025DATA'!$K$38,"")</f>
        <v/>
      </c>
      <c r="BQ421" s="518" t="str">
        <f>IF(AND(_A4="B-717",'2025'!$N$4="FO",'2025'!$N$2=BQ385),'2025DATA'!$L$38,"")</f>
        <v/>
      </c>
      <c r="BR421" s="518" t="str">
        <f>IF(AND(_A4="B-717",'2025'!$N$4="FO",'2025'!$N$2=BR385),'2025DATA'!$M$38,"")</f>
        <v/>
      </c>
      <c r="BS421" s="520" t="str">
        <f>IF(AND(_A4="B-717",'2025'!$N$4="FO",'2025'!$N$2=BS385),'2025DATA'!$N$38,"")</f>
        <v/>
      </c>
      <c r="BT421" s="941"/>
      <c r="BU421" s="521" t="s">
        <v>62</v>
      </c>
      <c r="BV421" s="518" t="str">
        <f>IF(AND(_A5="B-717",'2025'!$N$4="FO",'2025'!$N$2=BV385),'2025DATA'!$C$38,"")</f>
        <v/>
      </c>
      <c r="BW421" s="518" t="str">
        <f>IF(AND(_A5="B-717",'2025'!$N$4="FO",'2025'!$N$2=BW385),'2025DATA'!$D$38,"")</f>
        <v/>
      </c>
      <c r="BX421" s="518" t="str">
        <f>IF(AND(_A5="B-717",'2025'!$N$4="FO",'2025'!$N$2=BX385),'2025DATA'!$E$38,"")</f>
        <v/>
      </c>
      <c r="BY421" s="518" t="str">
        <f>IF(AND(_A5="B-717",'2025'!$N$4="FO",'2025'!$N$2=BY385),'2025DATA'!$F$38,"")</f>
        <v/>
      </c>
      <c r="BZ421" s="518" t="str">
        <f>IF(AND(_A5="B-717",'2025'!$N$4="FO",'2025'!$N$2=BZ385),'2025DATA'!$G$38,"")</f>
        <v/>
      </c>
      <c r="CA421" s="518" t="str">
        <f>IF(AND(_A5="B-717",'2025'!$N$4="FO",'2025'!$N$2=CA385),'2025DATA'!$H$38,"")</f>
        <v/>
      </c>
      <c r="CB421" s="518" t="str">
        <f>IF(AND(_A5="B-717",'2025'!$N$4="FO",'2025'!$N$2=CB385),'2025DATA'!$I$38,"")</f>
        <v/>
      </c>
      <c r="CC421" s="518" t="str">
        <f>IF(AND(_A5="B-717",'2025'!$N$4="FO",'2025'!$N$2=CC385),'2025DATA'!$J$38,"")</f>
        <v/>
      </c>
      <c r="CD421" s="518" t="str">
        <f>IF(AND(_A5="B-717",'2025'!$N$4="FO",'2025'!$N$2=CD385),'2025DATA'!$K$38,"")</f>
        <v/>
      </c>
      <c r="CE421" s="518" t="str">
        <f>IF(AND(_A5="B-717",'2025'!$N$4="FO",'2025'!$N$2=CE385),'2025DATA'!$L$38,"")</f>
        <v/>
      </c>
      <c r="CF421" s="518" t="str">
        <f>IF(AND(_A5="B-717",'2025'!$N$4="FO",'2025'!$N$2=CF385),'2025DATA'!$M$38,"")</f>
        <v/>
      </c>
      <c r="CG421" s="520" t="str">
        <f>IF(AND(_A5="B-717",'2025'!$N$4="FO",'2025'!$N$2=CG385),'2025DATA'!$N$38,"")</f>
        <v/>
      </c>
      <c r="CH421" s="941"/>
      <c r="CI421" s="521" t="s">
        <v>62</v>
      </c>
      <c r="CJ421" s="518" t="str">
        <f>IF(AND(_A6="B-717",'2025'!$N$4="FO",'2025'!$N$2=CJ385),'2025DATA'!$C$38,"")</f>
        <v/>
      </c>
      <c r="CK421" s="518" t="str">
        <f>IF(AND(_A6="B-717",'2025'!$N$4="FO",'2025'!$N$2=CK385),'2025DATA'!$D$38,"")</f>
        <v/>
      </c>
      <c r="CL421" s="518" t="str">
        <f>IF(AND(_A6="B-717",'2025'!$N$4="FO",'2025'!$N$2=CL385),'2025DATA'!$E$38,"")</f>
        <v/>
      </c>
      <c r="CM421" s="518" t="str">
        <f>IF(AND(_A6="B-717",'2025'!$N$4="FO",'2025'!$N$2=CM385),'2025DATA'!$F$38,"")</f>
        <v/>
      </c>
      <c r="CN421" s="518" t="str">
        <f>IF(AND(_A6="B-717",'2025'!$N$4="FO",'2025'!$N$2=CN385),'2025DATA'!$G$38,"")</f>
        <v/>
      </c>
      <c r="CO421" s="518" t="str">
        <f>IF(AND(_A6="B-717",'2025'!$N$4="FO",'2025'!$N$2=CO385),'2025DATA'!$H$38,"")</f>
        <v/>
      </c>
      <c r="CP421" s="518" t="str">
        <f>IF(AND(_A6="B-717",'2025'!$N$4="FO",'2025'!$N$2=CP385),'2025DATA'!$I$38,"")</f>
        <v/>
      </c>
      <c r="CQ421" s="518" t="str">
        <f>IF(AND(_A6="B-717",'2025'!$N$4="FO",'2025'!$N$2=CQ385),'2025DATA'!$J$38,"")</f>
        <v/>
      </c>
      <c r="CR421" s="518" t="str">
        <f>IF(AND(_A6="B-717",'2025'!$N$4="FO",'2025'!$N$2=CR385),'2025DATA'!$K$38,"")</f>
        <v/>
      </c>
      <c r="CS421" s="518" t="str">
        <f>IF(AND(_A6="B-717",'2025'!$N$4="FO",'2025'!$N$2=CS385),'2025DATA'!$L$38,"")</f>
        <v/>
      </c>
      <c r="CT421" s="518" t="str">
        <f>IF(AND(_A6="B-717",'2025'!$N$4="FO",'2025'!$N$2=CT385),'2025DATA'!$M$38,"")</f>
        <v/>
      </c>
      <c r="CU421" s="520" t="str">
        <f>IF(AND(_A6="B-717",'2025'!$N$4="FO",'2025'!$N$2=CU385),'2025DATA'!$N$38,"")</f>
        <v/>
      </c>
    </row>
    <row r="422" spans="16:99" x14ac:dyDescent="0.25">
      <c r="P422" s="943" t="s">
        <v>116</v>
      </c>
      <c r="Q422" s="944"/>
      <c r="R422" s="944"/>
      <c r="S422" s="944"/>
      <c r="T422" s="944"/>
      <c r="U422" s="944"/>
      <c r="V422" s="944"/>
      <c r="W422" s="944"/>
      <c r="X422" s="944"/>
      <c r="Y422" s="944"/>
      <c r="Z422" s="944"/>
      <c r="AA422" s="944"/>
      <c r="AB422" s="944"/>
      <c r="AC422" s="945"/>
      <c r="AD422" s="943" t="s">
        <v>117</v>
      </c>
      <c r="AE422" s="944"/>
      <c r="AF422" s="944"/>
      <c r="AG422" s="944"/>
      <c r="AH422" s="944"/>
      <c r="AI422" s="944"/>
      <c r="AJ422" s="944"/>
      <c r="AK422" s="944"/>
      <c r="AL422" s="944"/>
      <c r="AM422" s="944"/>
      <c r="AN422" s="944"/>
      <c r="AO422" s="944"/>
      <c r="AP422" s="944"/>
      <c r="AQ422" s="945"/>
      <c r="AR422" s="943" t="s">
        <v>118</v>
      </c>
      <c r="AS422" s="944"/>
      <c r="AT422" s="944"/>
      <c r="AU422" s="944"/>
      <c r="AV422" s="944"/>
      <c r="AW422" s="944"/>
      <c r="AX422" s="944"/>
      <c r="AY422" s="944"/>
      <c r="AZ422" s="944"/>
      <c r="BA422" s="944"/>
      <c r="BB422" s="944"/>
      <c r="BC422" s="944"/>
      <c r="BD422" s="944"/>
      <c r="BE422" s="945"/>
      <c r="BF422" s="943" t="s">
        <v>119</v>
      </c>
      <c r="BG422" s="944"/>
      <c r="BH422" s="944"/>
      <c r="BI422" s="944"/>
      <c r="BJ422" s="944"/>
      <c r="BK422" s="944"/>
      <c r="BL422" s="944"/>
      <c r="BM422" s="944"/>
      <c r="BN422" s="944"/>
      <c r="BO422" s="944"/>
      <c r="BP422" s="944"/>
      <c r="BQ422" s="944"/>
      <c r="BR422" s="944"/>
      <c r="BS422" s="945"/>
      <c r="BT422" s="943" t="s">
        <v>120</v>
      </c>
      <c r="BU422" s="944"/>
      <c r="BV422" s="944"/>
      <c r="BW422" s="944"/>
      <c r="BX422" s="944"/>
      <c r="BY422" s="944"/>
      <c r="BZ422" s="944"/>
      <c r="CA422" s="944"/>
      <c r="CB422" s="944"/>
      <c r="CC422" s="944"/>
      <c r="CD422" s="944"/>
      <c r="CE422" s="944"/>
      <c r="CF422" s="944"/>
      <c r="CG422" s="945"/>
      <c r="CH422" s="943" t="s">
        <v>121</v>
      </c>
      <c r="CI422" s="944"/>
      <c r="CJ422" s="944"/>
      <c r="CK422" s="944"/>
      <c r="CL422" s="944"/>
      <c r="CM422" s="944"/>
      <c r="CN422" s="944"/>
      <c r="CO422" s="944"/>
      <c r="CP422" s="944"/>
      <c r="CQ422" s="944"/>
      <c r="CR422" s="944"/>
      <c r="CS422" s="944"/>
      <c r="CT422" s="944"/>
      <c r="CU422" s="945"/>
    </row>
    <row r="423" spans="16:99" x14ac:dyDescent="0.25">
      <c r="P423" s="573">
        <v>12</v>
      </c>
      <c r="Q423" s="573">
        <f>SUM(R424:AC459)</f>
        <v>0</v>
      </c>
      <c r="R423" s="3">
        <v>12</v>
      </c>
      <c r="S423" s="3">
        <v>11</v>
      </c>
      <c r="T423" s="3">
        <v>10</v>
      </c>
      <c r="U423" s="3">
        <v>9</v>
      </c>
      <c r="V423" s="3">
        <v>8</v>
      </c>
      <c r="W423" s="3">
        <v>7</v>
      </c>
      <c r="X423" s="3">
        <v>6</v>
      </c>
      <c r="Y423" s="3">
        <v>5</v>
      </c>
      <c r="Z423" s="3">
        <v>4</v>
      </c>
      <c r="AA423" s="3">
        <v>3</v>
      </c>
      <c r="AB423" s="3">
        <v>2</v>
      </c>
      <c r="AC423" s="519">
        <v>1</v>
      </c>
      <c r="AD423" s="573">
        <v>12</v>
      </c>
      <c r="AE423" s="573">
        <f>SUM(AF424:AQ459)</f>
        <v>0</v>
      </c>
      <c r="AF423" s="3">
        <v>12</v>
      </c>
      <c r="AG423" s="3">
        <v>11</v>
      </c>
      <c r="AH423" s="3">
        <v>10</v>
      </c>
      <c r="AI423" s="3">
        <v>9</v>
      </c>
      <c r="AJ423" s="3">
        <v>8</v>
      </c>
      <c r="AK423" s="3">
        <v>7</v>
      </c>
      <c r="AL423" s="3">
        <v>6</v>
      </c>
      <c r="AM423" s="3">
        <v>5</v>
      </c>
      <c r="AN423" s="3">
        <v>4</v>
      </c>
      <c r="AO423" s="3">
        <v>3</v>
      </c>
      <c r="AP423" s="3">
        <v>2</v>
      </c>
      <c r="AQ423" s="519">
        <v>1</v>
      </c>
      <c r="AR423" s="573">
        <v>12</v>
      </c>
      <c r="AS423" s="573">
        <f>SUM(AT424:BE459)</f>
        <v>0</v>
      </c>
      <c r="AT423" s="3">
        <v>12</v>
      </c>
      <c r="AU423" s="3">
        <v>11</v>
      </c>
      <c r="AV423" s="3">
        <v>10</v>
      </c>
      <c r="AW423" s="3">
        <v>9</v>
      </c>
      <c r="AX423" s="3">
        <v>8</v>
      </c>
      <c r="AY423" s="3">
        <v>7</v>
      </c>
      <c r="AZ423" s="3">
        <v>6</v>
      </c>
      <c r="BA423" s="3">
        <v>5</v>
      </c>
      <c r="BB423" s="3">
        <v>4</v>
      </c>
      <c r="BC423" s="3">
        <v>3</v>
      </c>
      <c r="BD423" s="3">
        <v>2</v>
      </c>
      <c r="BE423" s="519">
        <v>1</v>
      </c>
      <c r="BF423" s="573">
        <v>12</v>
      </c>
      <c r="BG423" s="573">
        <f>SUM(BH424:BS459)</f>
        <v>0</v>
      </c>
      <c r="BH423" s="3">
        <v>12</v>
      </c>
      <c r="BI423" s="3">
        <v>11</v>
      </c>
      <c r="BJ423" s="3">
        <v>10</v>
      </c>
      <c r="BK423" s="3">
        <v>9</v>
      </c>
      <c r="BL423" s="3">
        <v>8</v>
      </c>
      <c r="BM423" s="3">
        <v>7</v>
      </c>
      <c r="BN423" s="3">
        <v>6</v>
      </c>
      <c r="BO423" s="3">
        <v>5</v>
      </c>
      <c r="BP423" s="3">
        <v>4</v>
      </c>
      <c r="BQ423" s="3">
        <v>3</v>
      </c>
      <c r="BR423" s="3">
        <v>2</v>
      </c>
      <c r="BS423" s="519">
        <v>1</v>
      </c>
      <c r="BT423" s="573">
        <v>12</v>
      </c>
      <c r="BU423" s="573">
        <f>SUM(BV424:CG459)</f>
        <v>0</v>
      </c>
      <c r="BV423" s="3">
        <v>12</v>
      </c>
      <c r="BW423" s="3">
        <v>11</v>
      </c>
      <c r="BX423" s="3">
        <v>10</v>
      </c>
      <c r="BY423" s="3">
        <v>9</v>
      </c>
      <c r="BZ423" s="3">
        <v>8</v>
      </c>
      <c r="CA423" s="3">
        <v>7</v>
      </c>
      <c r="CB423" s="3">
        <v>6</v>
      </c>
      <c r="CC423" s="3">
        <v>5</v>
      </c>
      <c r="CD423" s="3">
        <v>4</v>
      </c>
      <c r="CE423" s="3">
        <v>3</v>
      </c>
      <c r="CF423" s="3">
        <v>2</v>
      </c>
      <c r="CG423" s="519">
        <v>1</v>
      </c>
      <c r="CH423" s="573">
        <v>12</v>
      </c>
      <c r="CI423" s="573">
        <f>SUM(CJ424:CU459)</f>
        <v>0</v>
      </c>
      <c r="CJ423" s="3">
        <v>12</v>
      </c>
      <c r="CK423" s="3">
        <v>11</v>
      </c>
      <c r="CL423" s="3">
        <v>10</v>
      </c>
      <c r="CM423" s="3">
        <v>9</v>
      </c>
      <c r="CN423" s="3">
        <v>8</v>
      </c>
      <c r="CO423" s="3">
        <v>7</v>
      </c>
      <c r="CP423" s="3">
        <v>6</v>
      </c>
      <c r="CQ423" s="3">
        <v>5</v>
      </c>
      <c r="CR423" s="3">
        <v>4</v>
      </c>
      <c r="CS423" s="3">
        <v>3</v>
      </c>
      <c r="CT423" s="3">
        <v>2</v>
      </c>
      <c r="CU423" s="519">
        <v>1</v>
      </c>
    </row>
    <row r="424" spans="16:99" x14ac:dyDescent="0.25">
      <c r="P424" s="940" t="s">
        <v>39</v>
      </c>
      <c r="Q424" s="13" t="s">
        <v>61</v>
      </c>
      <c r="R424" s="518" t="str">
        <f>IF(AND(_A1="A-350",'2025'!$O$4="CA",'2025'!$O$2=R423),'2025DATA'!$C$3,"")</f>
        <v/>
      </c>
      <c r="S424" s="518" t="str">
        <f>IF(AND(_A1="A-350",'2025'!$O$4="CA",'2025'!$O$2=S423),'2025DATA'!$D$3,"")</f>
        <v/>
      </c>
      <c r="T424" s="518" t="str">
        <f>IF(AND(_A1="A-350",'2025'!$O$4="CA",'2025'!$O$2=T423),'2025DATA'!$E$3,"")</f>
        <v/>
      </c>
      <c r="U424" s="518" t="str">
        <f>IF(AND(_A1="A-350",'2025'!$O$4="CA",'2025'!$O$2=U423),'2025DATA'!$F$3,"")</f>
        <v/>
      </c>
      <c r="V424" s="518" t="str">
        <f>IF(AND(_A1="A-350",'2025'!$O$4="CA",'2025'!$O$2=V423),'2025DATA'!$G$3,"")</f>
        <v/>
      </c>
      <c r="W424" s="518" t="str">
        <f>IF(AND(_A1="A-350",'2025'!$O$4="CA",'2025'!$O$2=W423),'2025DATA'!$H$3,"")</f>
        <v/>
      </c>
      <c r="X424" s="518" t="str">
        <f>IF(AND(_A1="A-350",'2025'!$O$4="CA",'2025'!$O$2=X423),'2025DATA'!$I$3,"")</f>
        <v/>
      </c>
      <c r="Y424" s="518" t="str">
        <f>IF(AND(_A1="A-350",'2025'!$O$4="CA",'2025'!$O$2=Y423),'2025DATA'!$J$3,"")</f>
        <v/>
      </c>
      <c r="Z424" s="518" t="str">
        <f>IF(AND(_A1="A-350",'2025'!$O$4="CA",'2025'!$O$2=Z423),'2025DATA'!$K$3,"")</f>
        <v/>
      </c>
      <c r="AA424" s="518" t="str">
        <f>IF(AND(_A1="A-350",'2025'!$O$4="CA",'2025'!$O$2=AA423),'2025DATA'!$L$3,"")</f>
        <v/>
      </c>
      <c r="AB424" s="518" t="str">
        <f>IF(AND(_A1="A-350",'2025'!$O$4="CA",'2025'!$O$2=AB423),'2025DATA'!$M$3,"")</f>
        <v/>
      </c>
      <c r="AC424" s="520" t="str">
        <f>IF(AND(_A1="A-350",'2025'!$O$4="CA",'2025'!$O$2=AC423),'2025DATA'!$N$3,"")</f>
        <v/>
      </c>
      <c r="AD424" s="940" t="s">
        <v>39</v>
      </c>
      <c r="AE424" s="13" t="s">
        <v>61</v>
      </c>
      <c r="AF424" s="518" t="str">
        <f>IF(AND(_A2="A-350",'2025'!$O$4="CA",'2025'!$O$2=AF423),'2025DATA'!$C$3,"")</f>
        <v/>
      </c>
      <c r="AG424" s="518" t="str">
        <f>IF(AND(_A2="A-350",'2025'!$O$4="CA",'2025'!$O$2=AG423),'2025DATA'!$D$3,"")</f>
        <v/>
      </c>
      <c r="AH424" s="518" t="str">
        <f>IF(AND(_A2="A-350",'2025'!$O$4="CA",'2025'!$O$2=AH423),'2025DATA'!$E$3,"")</f>
        <v/>
      </c>
      <c r="AI424" s="518" t="str">
        <f>IF(AND(_A2="A-350",'2025'!$O$4="CA",'2025'!$O$2=AI423),'2025DATA'!$F$3,"")</f>
        <v/>
      </c>
      <c r="AJ424" s="518" t="str">
        <f>IF(AND(_A2="A-350",'2025'!$O$4="CA",'2025'!$O$2=AJ423),'2025DATA'!$G$3,"")</f>
        <v/>
      </c>
      <c r="AK424" s="518" t="str">
        <f>IF(AND(_A2="A-350",'2025'!$O$4="CA",'2025'!$O$2=AK423),'2025DATA'!$H$3,"")</f>
        <v/>
      </c>
      <c r="AL424" s="518" t="str">
        <f>IF(AND(_A2="A-350",'2025'!$O$4="CA",'2025'!$O$2=AL423),'2025DATA'!$I$3,"")</f>
        <v/>
      </c>
      <c r="AM424" s="518" t="str">
        <f>IF(AND(_A2="A-350",'2025'!$O$4="CA",'2025'!$O$2=AM423),'2025DATA'!$J$3,"")</f>
        <v/>
      </c>
      <c r="AN424" s="518" t="str">
        <f>IF(AND(_A2="A-350",'2025'!$O$4="CA",'2025'!$O$2=AN423),'2025DATA'!$K$3,"")</f>
        <v/>
      </c>
      <c r="AO424" s="518" t="str">
        <f>IF(AND(_A2="A-350",'2025'!$O$4="CA",'2025'!$O$2=AO423),'2025DATA'!$L$3,"")</f>
        <v/>
      </c>
      <c r="AP424" s="518" t="str">
        <f>IF(AND(_A2="A-350",'2025'!$O$4="CA",'2025'!$O$2=AP423),'2025DATA'!$M$3,"")</f>
        <v/>
      </c>
      <c r="AQ424" s="520" t="str">
        <f>IF(AND(_A2="A-350",'2025'!$O$4="CA",'2025'!$O$2=AQ423),'2025DATA'!$N$3,"")</f>
        <v/>
      </c>
      <c r="AR424" s="940" t="s">
        <v>39</v>
      </c>
      <c r="AS424" s="13" t="s">
        <v>61</v>
      </c>
      <c r="AT424" s="518" t="str">
        <f>IF(AND(_A3="A-350",'2025'!$O$4="CA",'2025'!$O$2=AT423),'2025DATA'!$C$3,"")</f>
        <v/>
      </c>
      <c r="AU424" s="518" t="str">
        <f>IF(AND(_A3="A-350",'2025'!$O$4="CA",'2025'!$O$2=AU423),'2025DATA'!$D$3,"")</f>
        <v/>
      </c>
      <c r="AV424" s="518" t="str">
        <f>IF(AND(_A3="A-350",'2025'!$O$4="CA",'2025'!$O$2=AV423),'2025DATA'!$E$3,"")</f>
        <v/>
      </c>
      <c r="AW424" s="518" t="str">
        <f>IF(AND(_A3="A-350",'2025'!$O$4="CA",'2025'!$O$2=AW423),'2025DATA'!$F$3,"")</f>
        <v/>
      </c>
      <c r="AX424" s="518" t="str">
        <f>IF(AND(_A3="A-350",'2025'!$O$4="CA",'2025'!$O$2=AX423),'2025DATA'!$G$3,"")</f>
        <v/>
      </c>
      <c r="AY424" s="518" t="str">
        <f>IF(AND(_A3="A-350",'2025'!$O$4="CA",'2025'!$O$2=AY423),'2025DATA'!$H$3,"")</f>
        <v/>
      </c>
      <c r="AZ424" s="518" t="str">
        <f>IF(AND(_A3="A-350",'2025'!$O$4="CA",'2025'!$O$2=AZ423),'2025DATA'!$I$3,"")</f>
        <v/>
      </c>
      <c r="BA424" s="518" t="str">
        <f>IF(AND(_A3="A-350",'2025'!$O$4="CA",'2025'!$O$2=BA423),'2025DATA'!$J$3,"")</f>
        <v/>
      </c>
      <c r="BB424" s="518" t="str">
        <f>IF(AND(_A3="A-350",'2025'!$O$4="CA",'2025'!$O$2=BB423),'2025DATA'!$K$3,"")</f>
        <v/>
      </c>
      <c r="BC424" s="518" t="str">
        <f>IF(AND(_A3="A-350",'2025'!$O$4="CA",'2025'!$O$2=BC423),'2025DATA'!$L$3,"")</f>
        <v/>
      </c>
      <c r="BD424" s="518" t="str">
        <f>IF(AND(_A3="A-350",'2025'!$O$4="CA",'2025'!$O$2=BD423),'2025DATA'!$M$3,"")</f>
        <v/>
      </c>
      <c r="BE424" s="520" t="str">
        <f>IF(AND(_A3="A-350",'2025'!$O$4="CA",'2025'!$O$2=BE423),'2025DATA'!$N$3,"")</f>
        <v/>
      </c>
      <c r="BF424" s="940" t="s">
        <v>39</v>
      </c>
      <c r="BG424" s="13" t="s">
        <v>61</v>
      </c>
      <c r="BH424" s="518" t="str">
        <f>IF(AND(_A4="A-350",'2025'!$O$4="CA",'2025'!$O$2=BH423),'2025DATA'!$C$3,"")</f>
        <v/>
      </c>
      <c r="BI424" s="518" t="str">
        <f>IF(AND(_A4="A-350",'2025'!$O$4="CA",'2025'!$O$2=BI423),'2025DATA'!$D$3,"")</f>
        <v/>
      </c>
      <c r="BJ424" s="518" t="str">
        <f>IF(AND(_A4="A-350",'2025'!$O$4="CA",'2025'!$O$2=BJ423),'2025DATA'!$E$3,"")</f>
        <v/>
      </c>
      <c r="BK424" s="518" t="str">
        <f>IF(AND(_A4="A-350",'2025'!$O$4="CA",'2025'!$O$2=BK423),'2025DATA'!$F$3,"")</f>
        <v/>
      </c>
      <c r="BL424" s="518" t="str">
        <f>IF(AND(_A4="A-350",'2025'!$O$4="CA",'2025'!$O$2=BL423),'2025DATA'!$G$3,"")</f>
        <v/>
      </c>
      <c r="BM424" s="518" t="str">
        <f>IF(AND(_A4="A-350",'2025'!$O$4="CA",'2025'!$O$2=BM423),'2025DATA'!$H$3,"")</f>
        <v/>
      </c>
      <c r="BN424" s="518" t="str">
        <f>IF(AND(_A4="A-350",'2025'!$O$4="CA",'2025'!$O$2=BN423),'2025DATA'!$I$3,"")</f>
        <v/>
      </c>
      <c r="BO424" s="518" t="str">
        <f>IF(AND(_A4="A-350",'2025'!$O$4="CA",'2025'!$O$2=BO423),'2025DATA'!$J$3,"")</f>
        <v/>
      </c>
      <c r="BP424" s="518" t="str">
        <f>IF(AND(_A4="A-350",'2025'!$O$4="CA",'2025'!$O$2=BP423),'2025DATA'!$K$3,"")</f>
        <v/>
      </c>
      <c r="BQ424" s="518" t="str">
        <f>IF(AND(_A4="A-350",'2025'!$O$4="CA",'2025'!$O$2=BQ423),'2025DATA'!$L$3,"")</f>
        <v/>
      </c>
      <c r="BR424" s="518" t="str">
        <f>IF(AND(_A4="A-350",'2025'!$O$4="CA",'2025'!$O$2=BR423),'2025DATA'!$M$3,"")</f>
        <v/>
      </c>
      <c r="BS424" s="520" t="str">
        <f>IF(AND(_A4="A-350",'2025'!$O$4="CA",'2025'!$O$2=BS423),'2025DATA'!$N$3,"")</f>
        <v/>
      </c>
      <c r="BT424" s="940" t="s">
        <v>39</v>
      </c>
      <c r="BU424" s="13" t="s">
        <v>61</v>
      </c>
      <c r="BV424" s="518" t="str">
        <f>IF(AND(_A5="A-350",'2025'!$O$4="CA",'2025'!$O$2=BV423),'2025DATA'!$C$3,"")</f>
        <v/>
      </c>
      <c r="BW424" s="518" t="str">
        <f>IF(AND(_A5="A-350",'2025'!$O$4="CA",'2025'!$O$2=BW423),'2025DATA'!$D$3,"")</f>
        <v/>
      </c>
      <c r="BX424" s="518" t="str">
        <f>IF(AND(_A5="A-350",'2025'!$O$4="CA",'2025'!$O$2=BX423),'2025DATA'!$E$3,"")</f>
        <v/>
      </c>
      <c r="BY424" s="518" t="str">
        <f>IF(AND(_A5="A-350",'2025'!$O$4="CA",'2025'!$O$2=BY423),'2025DATA'!$F$3,"")</f>
        <v/>
      </c>
      <c r="BZ424" s="518" t="str">
        <f>IF(AND(_A5="A-350",'2025'!$O$4="CA",'2025'!$O$2=BZ423),'2025DATA'!$G$3,"")</f>
        <v/>
      </c>
      <c r="CA424" s="518" t="str">
        <f>IF(AND(_A5="A-350",'2025'!$O$4="CA",'2025'!$O$2=CA423),'2025DATA'!$H$3,"")</f>
        <v/>
      </c>
      <c r="CB424" s="518" t="str">
        <f>IF(AND(_A5="A-350",'2025'!$O$4="CA",'2025'!$O$2=CB423),'2025DATA'!$I$3,"")</f>
        <v/>
      </c>
      <c r="CC424" s="518" t="str">
        <f>IF(AND(_A5="A-350",'2025'!$O$4="CA",'2025'!$O$2=CC423),'2025DATA'!$J$3,"")</f>
        <v/>
      </c>
      <c r="CD424" s="518" t="str">
        <f>IF(AND(_A5="A-350",'2025'!$O$4="CA",'2025'!$O$2=CD423),'2025DATA'!$K$3,"")</f>
        <v/>
      </c>
      <c r="CE424" s="518" t="str">
        <f>IF(AND(_A5="A-350",'2025'!$O$4="CA",'2025'!$O$2=CE423),'2025DATA'!$L$3,"")</f>
        <v/>
      </c>
      <c r="CF424" s="518" t="str">
        <f>IF(AND(_A5="A-350",'2025'!$O$4="CA",'2025'!$O$2=CF423),'2025DATA'!$M$3,"")</f>
        <v/>
      </c>
      <c r="CG424" s="520" t="str">
        <f>IF(AND(_A5="A-350",'2025'!$O$4="CA",'2025'!$O$2=CG423),'2025DATA'!$N$3,"")</f>
        <v/>
      </c>
      <c r="CH424" s="940" t="s">
        <v>39</v>
      </c>
      <c r="CI424" s="13" t="s">
        <v>61</v>
      </c>
      <c r="CJ424" s="518" t="str">
        <f>IF(AND(_A6="A-350",'2025'!$O$4="CA",'2025'!$O$2=CJ423),'2025DATA'!$C$3,"")</f>
        <v/>
      </c>
      <c r="CK424" s="518" t="str">
        <f>IF(AND(_A6="A-350",'2025'!$O$4="CA",'2025'!$O$2=CK423),'2025DATA'!$D$3,"")</f>
        <v/>
      </c>
      <c r="CL424" s="518" t="str">
        <f>IF(AND(_A6="A-350",'2025'!$O$4="CA",'2025'!$O$2=CL423),'2025DATA'!$E$3,"")</f>
        <v/>
      </c>
      <c r="CM424" s="518" t="str">
        <f>IF(AND(_A6="A-350",'2025'!$O$4="CA",'2025'!$O$2=CM423),'2025DATA'!$F$3,"")</f>
        <v/>
      </c>
      <c r="CN424" s="518" t="str">
        <f>IF(AND(_A6="A-350",'2025'!$O$4="CA",'2025'!$O$2=CN423),'2025DATA'!$G$3,"")</f>
        <v/>
      </c>
      <c r="CO424" s="518" t="str">
        <f>IF(AND(_A6="A-350",'2025'!$O$4="CA",'2025'!$O$2=CO423),'2025DATA'!$H$3,"")</f>
        <v/>
      </c>
      <c r="CP424" s="518" t="str">
        <f>IF(AND(_A6="A-350",'2025'!$O$4="CA",'2025'!$O$2=CP423),'2025DATA'!$I$3,"")</f>
        <v/>
      </c>
      <c r="CQ424" s="518" t="str">
        <f>IF(AND(_A6="A-350",'2025'!$O$4="CA",'2025'!$O$2=CQ423),'2025DATA'!$J$3,"")</f>
        <v/>
      </c>
      <c r="CR424" s="518" t="str">
        <f>IF(AND(_A6="A-350",'2025'!$O$4="CA",'2025'!$O$2=CR423),'2025DATA'!$K$3,"")</f>
        <v/>
      </c>
      <c r="CS424" s="518" t="str">
        <f>IF(AND(_A6="A-350",'2025'!$O$4="CA",'2025'!$O$2=CS423),'2025DATA'!$L$3,"")</f>
        <v/>
      </c>
      <c r="CT424" s="518" t="str">
        <f>IF(AND(_A6="A-350",'2025'!$O$4="CA",'2025'!$O$2=CT423),'2025DATA'!$M$3,"")</f>
        <v/>
      </c>
      <c r="CU424" s="520" t="str">
        <f>IF(AND(_A6="A-350",'2025'!$O$4="CA",'2025'!$O$2=CU423),'2025DATA'!$N$3,"")</f>
        <v/>
      </c>
    </row>
    <row r="425" spans="16:99" x14ac:dyDescent="0.25">
      <c r="P425" s="940"/>
      <c r="Q425" s="13" t="s">
        <v>62</v>
      </c>
      <c r="R425" s="518" t="str">
        <f>IF(AND(_A1="A-350",'2025'!$O$4="FO",'2025'!$O$2=R423),'2025DATA'!$C$4,"")</f>
        <v/>
      </c>
      <c r="S425" s="518" t="str">
        <f>IF(AND(_A1="A-350",'2025'!$O$4="FO",'2025'!$O$2=S423),'2025DATA'!$D$4,"")</f>
        <v/>
      </c>
      <c r="T425" s="518" t="str">
        <f>IF(AND(_A1="A-350",'2025'!$O$4="FO",'2025'!$O$2=T423),'2025DATA'!$E$4,"")</f>
        <v/>
      </c>
      <c r="U425" s="518" t="str">
        <f>IF(AND(_A1="A-350",'2025'!$O$4="FO",'2025'!$O$2=U423),'2025DATA'!$F$4,"")</f>
        <v/>
      </c>
      <c r="V425" s="518" t="str">
        <f>IF(AND(_A1="A-350",'2025'!$O$4="FO",'2025'!$O$2=V423),'2025DATA'!$G$4,"")</f>
        <v/>
      </c>
      <c r="W425" s="518" t="str">
        <f>IF(AND(_A1="A-350",'2025'!$O$4="FO",'2025'!$O$2=W423),'2025DATA'!$H$4,"")</f>
        <v/>
      </c>
      <c r="X425" s="518" t="str">
        <f>IF(AND(_A1="A-350",'2025'!$O$4="FO",'2025'!$O$2=X423),'2025DATA'!$I$4,"")</f>
        <v/>
      </c>
      <c r="Y425" s="518" t="str">
        <f>IF(AND(_A1="A-350",'2025'!$O$4="FO",'2025'!$O$2=Y423),'2025DATA'!$J$4,"")</f>
        <v/>
      </c>
      <c r="Z425" s="518" t="str">
        <f>IF(AND(_A1="A-350",'2025'!$O$4="FO",'2025'!$O$2=Z423),'2025DATA'!$K$4,"")</f>
        <v/>
      </c>
      <c r="AA425" s="518" t="str">
        <f>IF(AND(_A1="A-350",'2025'!$O$4="FO",'2025'!$O$2=AA423),'2025DATA'!$L$4,"")</f>
        <v/>
      </c>
      <c r="AB425" s="518" t="str">
        <f>IF(AND(_A1="A-350",'2025'!$O$4="FO",'2025'!$O$2=AB423),'2025DATA'!$M$4,"")</f>
        <v/>
      </c>
      <c r="AC425" s="520" t="str">
        <f>IF(AND(_A1="A-350",'2025'!$O$4="FO",'2025'!$O$2=AC423),'2025DATA'!$N$4,"")</f>
        <v/>
      </c>
      <c r="AD425" s="940"/>
      <c r="AE425" s="13" t="s">
        <v>62</v>
      </c>
      <c r="AF425" s="518" t="str">
        <f>IF(AND(_A2="A-350",'2025'!$O$4="FO",'2025'!$O$2=AF423),'2025DATA'!$C$4,"")</f>
        <v/>
      </c>
      <c r="AG425" s="518" t="str">
        <f>IF(AND(_A2="A-350",'2025'!$O$4="FO",'2025'!$O$2=AG423),'2025DATA'!$D$4,"")</f>
        <v/>
      </c>
      <c r="AH425" s="518" t="str">
        <f>IF(AND(_A2="A-350",'2025'!$O$4="FO",'2025'!$O$2=AH423),'2025DATA'!$E$4,"")</f>
        <v/>
      </c>
      <c r="AI425" s="518" t="str">
        <f>IF(AND(_A2="A-350",'2025'!$O$4="FO",'2025'!$O$2=AI423),'2025DATA'!$F$4,"")</f>
        <v/>
      </c>
      <c r="AJ425" s="518" t="str">
        <f>IF(AND(_A2="A-350",'2025'!$O$4="FO",'2025'!$O$2=AJ423),'2025DATA'!$G$4,"")</f>
        <v/>
      </c>
      <c r="AK425" s="518" t="str">
        <f>IF(AND(_A2="A-350",'2025'!$O$4="FO",'2025'!$O$2=AK423),'2025DATA'!$H$4,"")</f>
        <v/>
      </c>
      <c r="AL425" s="518" t="str">
        <f>IF(AND(_A2="A-350",'2025'!$O$4="FO",'2025'!$O$2=AL423),'2025DATA'!$I$4,"")</f>
        <v/>
      </c>
      <c r="AM425" s="518" t="str">
        <f>IF(AND(_A2="A-350",'2025'!$O$4="FO",'2025'!$O$2=AM423),'2025DATA'!$J$4,"")</f>
        <v/>
      </c>
      <c r="AN425" s="518" t="str">
        <f>IF(AND(_A2="A-350",'2025'!$O$4="FO",'2025'!$O$2=AN423),'2025DATA'!$K$4,"")</f>
        <v/>
      </c>
      <c r="AO425" s="518" t="str">
        <f>IF(AND(_A2="A-350",'2025'!$O$4="FO",'2025'!$O$2=AO423),'2025DATA'!$L$4,"")</f>
        <v/>
      </c>
      <c r="AP425" s="518" t="str">
        <f>IF(AND(_A2="A-350",'2025'!$O$4="FO",'2025'!$O$2=AP423),'2025DATA'!$M$4,"")</f>
        <v/>
      </c>
      <c r="AQ425" s="520" t="str">
        <f>IF(AND(_A2="A-350",'2025'!$O$4="FO",'2025'!$O$2=AQ423),'2025DATA'!$N$4,"")</f>
        <v/>
      </c>
      <c r="AR425" s="940"/>
      <c r="AS425" s="13" t="s">
        <v>62</v>
      </c>
      <c r="AT425" s="518" t="str">
        <f>IF(AND(_A3="A-350",'2025'!$O$4="FO",'2025'!$O$2=AT423),'2025DATA'!$C$4,"")</f>
        <v/>
      </c>
      <c r="AU425" s="518" t="str">
        <f>IF(AND(_A3="A-350",'2025'!$O$4="FO",'2025'!$O$2=AU423),'2025DATA'!$D$4,"")</f>
        <v/>
      </c>
      <c r="AV425" s="518" t="str">
        <f>IF(AND(_A3="A-350",'2025'!$O$4="FO",'2025'!$O$2=AV423),'2025DATA'!$E$4,"")</f>
        <v/>
      </c>
      <c r="AW425" s="518" t="str">
        <f>IF(AND(_A3="A-350",'2025'!$O$4="FO",'2025'!$O$2=AW423),'2025DATA'!$F$4,"")</f>
        <v/>
      </c>
      <c r="AX425" s="518" t="str">
        <f>IF(AND(_A3="A-350",'2025'!$O$4="FO",'2025'!$O$2=AX423),'2025DATA'!$G$4,"")</f>
        <v/>
      </c>
      <c r="AY425" s="518" t="str">
        <f>IF(AND(_A3="A-350",'2025'!$O$4="FO",'2025'!$O$2=AY423),'2025DATA'!$H$4,"")</f>
        <v/>
      </c>
      <c r="AZ425" s="518" t="str">
        <f>IF(AND(_A3="A-350",'2025'!$O$4="FO",'2025'!$O$2=AZ423),'2025DATA'!$I$4,"")</f>
        <v/>
      </c>
      <c r="BA425" s="518" t="str">
        <f>IF(AND(_A3="A-350",'2025'!$O$4="FO",'2025'!$O$2=BA423),'2025DATA'!$J$4,"")</f>
        <v/>
      </c>
      <c r="BB425" s="518" t="str">
        <f>IF(AND(_A3="A-350",'2025'!$O$4="FO",'2025'!$O$2=BB423),'2025DATA'!$K$4,"")</f>
        <v/>
      </c>
      <c r="BC425" s="518" t="str">
        <f>IF(AND(_A3="A-350",'2025'!$O$4="FO",'2025'!$O$2=BC423),'2025DATA'!$L$4,"")</f>
        <v/>
      </c>
      <c r="BD425" s="518" t="str">
        <f>IF(AND(_A3="A-350",'2025'!$O$4="FO",'2025'!$O$2=BD423),'2025DATA'!$M$4,"")</f>
        <v/>
      </c>
      <c r="BE425" s="520" t="str">
        <f>IF(AND(_A3="A-350",'2025'!$O$4="FO",'2025'!$O$2=BE423),'2025DATA'!$N$4,"")</f>
        <v/>
      </c>
      <c r="BF425" s="940"/>
      <c r="BG425" s="13" t="s">
        <v>62</v>
      </c>
      <c r="BH425" s="518" t="str">
        <f>IF(AND(_A4="A-350",'2025'!$O$4="FO",'2025'!$O$2=BH423),'2025DATA'!$C$4,"")</f>
        <v/>
      </c>
      <c r="BI425" s="518" t="str">
        <f>IF(AND(_A4="A-350",'2025'!$O$4="FO",'2025'!$O$2=BI423),'2025DATA'!$D$4,"")</f>
        <v/>
      </c>
      <c r="BJ425" s="518" t="str">
        <f>IF(AND(_A4="A-350",'2025'!$O$4="FO",'2025'!$O$2=BJ423),'2025DATA'!$E$4,"")</f>
        <v/>
      </c>
      <c r="BK425" s="518" t="str">
        <f>IF(AND(_A4="A-350",'2025'!$O$4="FO",'2025'!$O$2=BK423),'2025DATA'!$F$4,"")</f>
        <v/>
      </c>
      <c r="BL425" s="518" t="str">
        <f>IF(AND(_A4="A-350",'2025'!$O$4="FO",'2025'!$O$2=BL423),'2025DATA'!$G$4,"")</f>
        <v/>
      </c>
      <c r="BM425" s="518" t="str">
        <f>IF(AND(_A4="A-350",'2025'!$O$4="FO",'2025'!$O$2=BM423),'2025DATA'!$H$4,"")</f>
        <v/>
      </c>
      <c r="BN425" s="518" t="str">
        <f>IF(AND(_A4="A-350",'2025'!$O$4="FO",'2025'!$O$2=BN423),'2025DATA'!$I$4,"")</f>
        <v/>
      </c>
      <c r="BO425" s="518" t="str">
        <f>IF(AND(_A4="A-350",'2025'!$O$4="FO",'2025'!$O$2=BO423),'2025DATA'!$J$4,"")</f>
        <v/>
      </c>
      <c r="BP425" s="518" t="str">
        <f>IF(AND(_A4="A-350",'2025'!$O$4="FO",'2025'!$O$2=BP423),'2025DATA'!$K$4,"")</f>
        <v/>
      </c>
      <c r="BQ425" s="518" t="str">
        <f>IF(AND(_A4="A-350",'2025'!$O$4="FO",'2025'!$O$2=BQ423),'2025DATA'!$L$4,"")</f>
        <v/>
      </c>
      <c r="BR425" s="518" t="str">
        <f>IF(AND(_A4="A-350",'2025'!$O$4="FO",'2025'!$O$2=BR423),'2025DATA'!$M$4,"")</f>
        <v/>
      </c>
      <c r="BS425" s="520" t="str">
        <f>IF(AND(_A4="A-350",'2025'!$O$4="FO",'2025'!$O$2=BS423),'2025DATA'!$N$4,"")</f>
        <v/>
      </c>
      <c r="BT425" s="940"/>
      <c r="BU425" s="13" t="s">
        <v>62</v>
      </c>
      <c r="BV425" s="518" t="str">
        <f>IF(AND(_A5="A-350",'2025'!$O$4="FO",'2025'!$O$2=BV423),'2025DATA'!$C$4,"")</f>
        <v/>
      </c>
      <c r="BW425" s="518" t="str">
        <f>IF(AND(_A5="A-350",'2025'!$O$4="FO",'2025'!$O$2=BW423),'2025DATA'!$D$4,"")</f>
        <v/>
      </c>
      <c r="BX425" s="518" t="str">
        <f>IF(AND(_A5="A-350",'2025'!$O$4="FO",'2025'!$O$2=BX423),'2025DATA'!$E$4,"")</f>
        <v/>
      </c>
      <c r="BY425" s="518" t="str">
        <f>IF(AND(_A5="A-350",'2025'!$O$4="FO",'2025'!$O$2=BY423),'2025DATA'!$F$4,"")</f>
        <v/>
      </c>
      <c r="BZ425" s="518" t="str">
        <f>IF(AND(_A5="A-350",'2025'!$O$4="FO",'2025'!$O$2=BZ423),'2025DATA'!$G$4,"")</f>
        <v/>
      </c>
      <c r="CA425" s="518" t="str">
        <f>IF(AND(_A5="A-350",'2025'!$O$4="FO",'2025'!$O$2=CA423),'2025DATA'!$H$4,"")</f>
        <v/>
      </c>
      <c r="CB425" s="518" t="str">
        <f>IF(AND(_A5="A-350",'2025'!$O$4="FO",'2025'!$O$2=CB423),'2025DATA'!$I$4,"")</f>
        <v/>
      </c>
      <c r="CC425" s="518" t="str">
        <f>IF(AND(_A5="A-350",'2025'!$O$4="FO",'2025'!$O$2=CC423),'2025DATA'!$J$4,"")</f>
        <v/>
      </c>
      <c r="CD425" s="518" t="str">
        <f>IF(AND(_A5="A-350",'2025'!$O$4="FO",'2025'!$O$2=CD423),'2025DATA'!$K$4,"")</f>
        <v/>
      </c>
      <c r="CE425" s="518" t="str">
        <f>IF(AND(_A5="A-350",'2025'!$O$4="FO",'2025'!$O$2=CE423),'2025DATA'!$L$4,"")</f>
        <v/>
      </c>
      <c r="CF425" s="518" t="str">
        <f>IF(AND(_A5="A-350",'2025'!$O$4="FO",'2025'!$O$2=CF423),'2025DATA'!$M$4,"")</f>
        <v/>
      </c>
      <c r="CG425" s="520" t="str">
        <f>IF(AND(_A5="A-350",'2025'!$O$4="FO",'2025'!$O$2=CG423),'2025DATA'!$N$4,"")</f>
        <v/>
      </c>
      <c r="CH425" s="940"/>
      <c r="CI425" s="13" t="s">
        <v>62</v>
      </c>
      <c r="CJ425" s="518" t="str">
        <f>IF(AND(_A6="A-350",'2025'!$O$4="FO",'2025'!$O$2=CJ423),'2025DATA'!$C$4,"")</f>
        <v/>
      </c>
      <c r="CK425" s="518" t="str">
        <f>IF(AND(_A6="A-350",'2025'!$O$4="FO",'2025'!$O$2=CK423),'2025DATA'!$D$4,"")</f>
        <v/>
      </c>
      <c r="CL425" s="518" t="str">
        <f>IF(AND(_A6="A-350",'2025'!$O$4="FO",'2025'!$O$2=CL423),'2025DATA'!$E$4,"")</f>
        <v/>
      </c>
      <c r="CM425" s="518" t="str">
        <f>IF(AND(_A6="A-350",'2025'!$O$4="FO",'2025'!$O$2=CM423),'2025DATA'!$F$4,"")</f>
        <v/>
      </c>
      <c r="CN425" s="518" t="str">
        <f>IF(AND(_A6="A-350",'2025'!$O$4="FO",'2025'!$O$2=CN423),'2025DATA'!$G$4,"")</f>
        <v/>
      </c>
      <c r="CO425" s="518" t="str">
        <f>IF(AND(_A6="A-350",'2025'!$O$4="FO",'2025'!$O$2=CO423),'2025DATA'!$H$4,"")</f>
        <v/>
      </c>
      <c r="CP425" s="518" t="str">
        <f>IF(AND(_A6="A-350",'2025'!$O$4="FO",'2025'!$O$2=CP423),'2025DATA'!$I$4,"")</f>
        <v/>
      </c>
      <c r="CQ425" s="518" t="str">
        <f>IF(AND(_A6="A-350",'2025'!$O$4="FO",'2025'!$O$2=CQ423),'2025DATA'!$J$4,"")</f>
        <v/>
      </c>
      <c r="CR425" s="518" t="str">
        <f>IF(AND(_A6="A-350",'2025'!$O$4="FO",'2025'!$O$2=CR423),'2025DATA'!$K$4,"")</f>
        <v/>
      </c>
      <c r="CS425" s="518" t="str">
        <f>IF(AND(_A6="A-350",'2025'!$O$4="FO",'2025'!$O$2=CS423),'2025DATA'!$L$4,"")</f>
        <v/>
      </c>
      <c r="CT425" s="518" t="str">
        <f>IF(AND(_A6="A-350",'2025'!$O$4="FO",'2025'!$O$2=CT423),'2025DATA'!$M$4,"")</f>
        <v/>
      </c>
      <c r="CU425" s="520" t="str">
        <f>IF(AND(_A6="A-350",'2025'!$O$4="FO",'2025'!$O$2=CU423),'2025DATA'!$N$4,"")</f>
        <v/>
      </c>
    </row>
    <row r="426" spans="16:99" x14ac:dyDescent="0.25">
      <c r="P426" s="940" t="s">
        <v>65</v>
      </c>
      <c r="Q426" s="13" t="s">
        <v>61</v>
      </c>
      <c r="R426" s="518" t="str">
        <f>IF(AND(_A1="A-330-900",'2025'!$O$4="CA",'2025'!$O$2=R423),'2025DATA'!$C$5,"")</f>
        <v/>
      </c>
      <c r="S426" s="518" t="str">
        <f>IF(AND(_A1="A-330-900",'2025'!$O$4="CA",'2025'!$O$2=S423),'2025DATA'!$D$5,"")</f>
        <v/>
      </c>
      <c r="T426" s="518" t="str">
        <f>IF(AND(_A1="A-330-900",'2025'!$O$4="CA",'2025'!$O$2=T423),'2025DATA'!$E$5,"")</f>
        <v/>
      </c>
      <c r="U426" s="518" t="str">
        <f>IF(AND(_A1="A-330-900",'2025'!$O$4="CA",'2025'!$O$2=U423),'2025DATA'!$F$5,"")</f>
        <v/>
      </c>
      <c r="V426" s="518" t="str">
        <f>IF(AND(_A1="A-330-900",'2025'!$O$4="CA",'2025'!$O$2=V423),'2025DATA'!$G$5,"")</f>
        <v/>
      </c>
      <c r="W426" s="518" t="str">
        <f>IF(AND(_A1="A-330-900",'2025'!$O$4="CA",'2025'!$O$2=W423),'2025DATA'!$H$5,"")</f>
        <v/>
      </c>
      <c r="X426" s="518" t="str">
        <f>IF(AND(_A1="A-330-900",'2025'!$O$4="CA",'2025'!$O$2=X423),'2025DATA'!$I$5,"")</f>
        <v/>
      </c>
      <c r="Y426" s="518" t="str">
        <f>IF(AND(_A1="A-330-900",'2025'!$O$4="CA",'2025'!$O$2=Y423),'2025DATA'!$J$5,"")</f>
        <v/>
      </c>
      <c r="Z426" s="518" t="str">
        <f>IF(AND(_A1="A-330-900",'2025'!$O$4="CA",'2025'!$O$2=Z423),'2025DATA'!$K$5,"")</f>
        <v/>
      </c>
      <c r="AA426" s="518" t="str">
        <f>IF(AND(_A1="A-330-900",'2025'!$O$4="CA",'2025'!$O$2=AA423),'2025DATA'!$L$5,"")</f>
        <v/>
      </c>
      <c r="AB426" s="518" t="str">
        <f>IF(AND(_A1="A-330-900",'2025'!$O$4="CA",'2025'!$O$2=AB423),'2025DATA'!$M$5,"")</f>
        <v/>
      </c>
      <c r="AC426" s="520" t="str">
        <f>IF(AND(_A1="A-330-900",'2025'!$O$4="CA",'2025'!$O$2=AC423),'2025DATA'!$N$5,"")</f>
        <v/>
      </c>
      <c r="AD426" s="940" t="s">
        <v>65</v>
      </c>
      <c r="AE426" s="13" t="s">
        <v>61</v>
      </c>
      <c r="AF426" s="518" t="str">
        <f>IF(AND(_A2="A-330-900",'2025'!$O$4="CA",'2025'!$O$2=AF423),'2025DATA'!$C$5,"")</f>
        <v/>
      </c>
      <c r="AG426" s="518" t="str">
        <f>IF(AND(_A2="A-330-900",'2025'!$O$4="CA",'2025'!$O$2=AG423),'2025DATA'!$D$5,"")</f>
        <v/>
      </c>
      <c r="AH426" s="518" t="str">
        <f>IF(AND(_A2="A-330-900",'2025'!$O$4="CA",'2025'!$O$2=AH423),'2025DATA'!$E$5,"")</f>
        <v/>
      </c>
      <c r="AI426" s="518" t="str">
        <f>IF(AND(_A2="A-330-900",'2025'!$O$4="CA",'2025'!$O$2=AI423),'2025DATA'!$F$5,"")</f>
        <v/>
      </c>
      <c r="AJ426" s="518" t="str">
        <f>IF(AND(_A2="A-330-900",'2025'!$O$4="CA",'2025'!$O$2=AJ423),'2025DATA'!$G$5,"")</f>
        <v/>
      </c>
      <c r="AK426" s="518" t="str">
        <f>IF(AND(_A2="A-330-900",'2025'!$O$4="CA",'2025'!$O$2=AK423),'2025DATA'!$H$5,"")</f>
        <v/>
      </c>
      <c r="AL426" s="518" t="str">
        <f>IF(AND(_A2="A-330-900",'2025'!$O$4="CA",'2025'!$O$2=AL423),'2025DATA'!$I$5,"")</f>
        <v/>
      </c>
      <c r="AM426" s="518" t="str">
        <f>IF(AND(_A2="A-330-900",'2025'!$O$4="CA",'2025'!$O$2=AM423),'2025DATA'!$J$5,"")</f>
        <v/>
      </c>
      <c r="AN426" s="518" t="str">
        <f>IF(AND(_A2="A-330-900",'2025'!$O$4="CA",'2025'!$O$2=AN423),'2025DATA'!$K$5,"")</f>
        <v/>
      </c>
      <c r="AO426" s="518" t="str">
        <f>IF(AND(_A2="A-330-900",'2025'!$O$4="CA",'2025'!$O$2=AO423),'2025DATA'!$L$5,"")</f>
        <v/>
      </c>
      <c r="AP426" s="518" t="str">
        <f>IF(AND(_A2="A-330-900",'2025'!$O$4="CA",'2025'!$O$2=AP423),'2025DATA'!$M$5,"")</f>
        <v/>
      </c>
      <c r="AQ426" s="520" t="str">
        <f>IF(AND(_A2="A-330-900",'2025'!$O$4="CA",'2025'!$O$2=AQ423),'2025DATA'!$N$5,"")</f>
        <v/>
      </c>
      <c r="AR426" s="940" t="s">
        <v>65</v>
      </c>
      <c r="AS426" s="13" t="s">
        <v>61</v>
      </c>
      <c r="AT426" s="518" t="str">
        <f>IF(AND(_A3="A-330-900",'2025'!$O$4="CA",'2025'!$O$2=AT423),'2025DATA'!$C$5,"")</f>
        <v/>
      </c>
      <c r="AU426" s="518" t="str">
        <f>IF(AND(_A3="A-330-900",'2025'!$O$4="CA",'2025'!$O$2=AU423),'2025DATA'!$D$5,"")</f>
        <v/>
      </c>
      <c r="AV426" s="518" t="str">
        <f>IF(AND(_A3="A-330-900",'2025'!$O$4="CA",'2025'!$O$2=AV423),'2025DATA'!$E$5,"")</f>
        <v/>
      </c>
      <c r="AW426" s="518" t="str">
        <f>IF(AND(_A3="A-330-900",'2025'!$O$4="CA",'2025'!$O$2=AW423),'2025DATA'!$F$5,"")</f>
        <v/>
      </c>
      <c r="AX426" s="518" t="str">
        <f>IF(AND(_A3="A-330-900",'2025'!$O$4="CA",'2025'!$O$2=AX423),'2025DATA'!$G$5,"")</f>
        <v/>
      </c>
      <c r="AY426" s="518" t="str">
        <f>IF(AND(_A3="A-330-900",'2025'!$O$4="CA",'2025'!$O$2=AY423),'2025DATA'!$H$5,"")</f>
        <v/>
      </c>
      <c r="AZ426" s="518" t="str">
        <f>IF(AND(_A3="A-330-900",'2025'!$O$4="CA",'2025'!$O$2=AZ423),'2025DATA'!$I$5,"")</f>
        <v/>
      </c>
      <c r="BA426" s="518" t="str">
        <f>IF(AND(_A3="A-330-900",'2025'!$O$4="CA",'2025'!$O$2=BA423),'2025DATA'!$J$5,"")</f>
        <v/>
      </c>
      <c r="BB426" s="518" t="str">
        <f>IF(AND(_A3="A-330-900",'2025'!$O$4="CA",'2025'!$O$2=BB423),'2025DATA'!$K$5,"")</f>
        <v/>
      </c>
      <c r="BC426" s="518" t="str">
        <f>IF(AND(_A3="A-330-900",'2025'!$O$4="CA",'2025'!$O$2=BC423),'2025DATA'!$L$5,"")</f>
        <v/>
      </c>
      <c r="BD426" s="518" t="str">
        <f>IF(AND(_A3="A-330-900",'2025'!$O$4="CA",'2025'!$O$2=BD423),'2025DATA'!$M$5,"")</f>
        <v/>
      </c>
      <c r="BE426" s="520" t="str">
        <f>IF(AND(_A3="A-330-900",'2025'!$O$4="CA",'2025'!$O$2=BE423),'2025DATA'!$N$5,"")</f>
        <v/>
      </c>
      <c r="BF426" s="940" t="s">
        <v>65</v>
      </c>
      <c r="BG426" s="13" t="s">
        <v>61</v>
      </c>
      <c r="BH426" s="518" t="str">
        <f>IF(AND(_A4="A-330-900",'2025'!$O$4="CA",'2025'!$O$2=BH423),'2025DATA'!$C$5,"")</f>
        <v/>
      </c>
      <c r="BI426" s="518" t="str">
        <f>IF(AND(_A4="A-330-900",'2025'!$O$4="CA",'2025'!$O$2=BI423),'2025DATA'!$D$5,"")</f>
        <v/>
      </c>
      <c r="BJ426" s="518" t="str">
        <f>IF(AND(_A4="A-330-900",'2025'!$O$4="CA",'2025'!$O$2=BJ423),'2025DATA'!$E$5,"")</f>
        <v/>
      </c>
      <c r="BK426" s="518" t="str">
        <f>IF(AND(_A4="A-330-900",'2025'!$O$4="CA",'2025'!$O$2=BK423),'2025DATA'!$F$5,"")</f>
        <v/>
      </c>
      <c r="BL426" s="518" t="str">
        <f>IF(AND(_A4="A-330-900",'2025'!$O$4="CA",'2025'!$O$2=BL423),'2025DATA'!$G$5,"")</f>
        <v/>
      </c>
      <c r="BM426" s="518" t="str">
        <f>IF(AND(_A4="A-330-900",'2025'!$O$4="CA",'2025'!$O$2=BM423),'2025DATA'!$H$5,"")</f>
        <v/>
      </c>
      <c r="BN426" s="518" t="str">
        <f>IF(AND(_A4="A-330-900",'2025'!$O$4="CA",'2025'!$O$2=BN423),'2025DATA'!$I$5,"")</f>
        <v/>
      </c>
      <c r="BO426" s="518" t="str">
        <f>IF(AND(_A4="A-330-900",'2025'!$O$4="CA",'2025'!$O$2=BO423),'2025DATA'!$J$5,"")</f>
        <v/>
      </c>
      <c r="BP426" s="518" t="str">
        <f>IF(AND(_A4="A-330-900",'2025'!$O$4="CA",'2025'!$O$2=BP423),'2025DATA'!$K$5,"")</f>
        <v/>
      </c>
      <c r="BQ426" s="518" t="str">
        <f>IF(AND(_A4="A-330-900",'2025'!$O$4="CA",'2025'!$O$2=BQ423),'2025DATA'!$L$5,"")</f>
        <v/>
      </c>
      <c r="BR426" s="518" t="str">
        <f>IF(AND(_A4="A-330-900",'2025'!$O$4="CA",'2025'!$O$2=BR423),'2025DATA'!$M$5,"")</f>
        <v/>
      </c>
      <c r="BS426" s="520" t="str">
        <f>IF(AND(_A4="A-330-900",'2025'!$O$4="CA",'2025'!$O$2=BS423),'2025DATA'!$N$5,"")</f>
        <v/>
      </c>
      <c r="BT426" s="940" t="s">
        <v>65</v>
      </c>
      <c r="BU426" s="13" t="s">
        <v>61</v>
      </c>
      <c r="BV426" s="518" t="str">
        <f>IF(AND(_A5="A-330-900",'2025'!$O$4="CA",'2025'!$O$2=BV423),'2025DATA'!$C$5,"")</f>
        <v/>
      </c>
      <c r="BW426" s="518" t="str">
        <f>IF(AND(_A5="A-330-900",'2025'!$O$4="CA",'2025'!$O$2=BW423),'2025DATA'!$D$5,"")</f>
        <v/>
      </c>
      <c r="BX426" s="518" t="str">
        <f>IF(AND(_A5="A-330-900",'2025'!$O$4="CA",'2025'!$O$2=BX423),'2025DATA'!$E$5,"")</f>
        <v/>
      </c>
      <c r="BY426" s="518" t="str">
        <f>IF(AND(_A5="A-330-900",'2025'!$O$4="CA",'2025'!$O$2=BY423),'2025DATA'!$F$5,"")</f>
        <v/>
      </c>
      <c r="BZ426" s="518" t="str">
        <f>IF(AND(_A5="A-330-900",'2025'!$O$4="CA",'2025'!$O$2=BZ423),'2025DATA'!$G$5,"")</f>
        <v/>
      </c>
      <c r="CA426" s="518" t="str">
        <f>IF(AND(_A5="A-330-900",'2025'!$O$4="CA",'2025'!$O$2=CA423),'2025DATA'!$H$5,"")</f>
        <v/>
      </c>
      <c r="CB426" s="518" t="str">
        <f>IF(AND(_A5="A-330-900",'2025'!$O$4="CA",'2025'!$O$2=CB423),'2025DATA'!$I$5,"")</f>
        <v/>
      </c>
      <c r="CC426" s="518" t="str">
        <f>IF(AND(_A5="A-330-900",'2025'!$O$4="CA",'2025'!$O$2=CC423),'2025DATA'!$J$5,"")</f>
        <v/>
      </c>
      <c r="CD426" s="518" t="str">
        <f>IF(AND(_A5="A-330-900",'2025'!$O$4="CA",'2025'!$O$2=CD423),'2025DATA'!$K$5,"")</f>
        <v/>
      </c>
      <c r="CE426" s="518" t="str">
        <f>IF(AND(_A5="A-330-900",'2025'!$O$4="CA",'2025'!$O$2=CE423),'2025DATA'!$L$5,"")</f>
        <v/>
      </c>
      <c r="CF426" s="518" t="str">
        <f>IF(AND(_A5="A-330-900",'2025'!$O$4="CA",'2025'!$O$2=CF423),'2025DATA'!$M$5,"")</f>
        <v/>
      </c>
      <c r="CG426" s="520" t="str">
        <f>IF(AND(_A5="A-330-900",'2025'!$O$4="CA",'2025'!$O$2=CG423),'2025DATA'!$N$5,"")</f>
        <v/>
      </c>
      <c r="CH426" s="940" t="s">
        <v>65</v>
      </c>
      <c r="CI426" s="13" t="s">
        <v>61</v>
      </c>
      <c r="CJ426" s="518" t="str">
        <f>IF(AND(_A6="A-330-900",'2025'!$O$4="CA",'2025'!$O$2=CJ423),'2025DATA'!$C$5,"")</f>
        <v/>
      </c>
      <c r="CK426" s="518" t="str">
        <f>IF(AND(_A6="A-330-900",'2025'!$O$4="CA",'2025'!$O$2=CK423),'2025DATA'!$D$5,"")</f>
        <v/>
      </c>
      <c r="CL426" s="518" t="str">
        <f>IF(AND(_A6="A-330-900",'2025'!$O$4="CA",'2025'!$O$2=CL423),'2025DATA'!$E$5,"")</f>
        <v/>
      </c>
      <c r="CM426" s="518" t="str">
        <f>IF(AND(_A6="A-330-900",'2025'!$O$4="CA",'2025'!$O$2=CM423),'2025DATA'!$F$5,"")</f>
        <v/>
      </c>
      <c r="CN426" s="518" t="str">
        <f>IF(AND(_A6="A-330-900",'2025'!$O$4="CA",'2025'!$O$2=CN423),'2025DATA'!$G$5,"")</f>
        <v/>
      </c>
      <c r="CO426" s="518" t="str">
        <f>IF(AND(_A6="A-330-900",'2025'!$O$4="CA",'2025'!$O$2=CO423),'2025DATA'!$H$5,"")</f>
        <v/>
      </c>
      <c r="CP426" s="518" t="str">
        <f>IF(AND(_A6="A-330-900",'2025'!$O$4="CA",'2025'!$O$2=CP423),'2025DATA'!$I$5,"")</f>
        <v/>
      </c>
      <c r="CQ426" s="518" t="str">
        <f>IF(AND(_A6="A-330-900",'2025'!$O$4="CA",'2025'!$O$2=CQ423),'2025DATA'!$J$5,"")</f>
        <v/>
      </c>
      <c r="CR426" s="518" t="str">
        <f>IF(AND(_A6="A-330-900",'2025'!$O$4="CA",'2025'!$O$2=CR423),'2025DATA'!$K$5,"")</f>
        <v/>
      </c>
      <c r="CS426" s="518" t="str">
        <f>IF(AND(_A6="A-330-900",'2025'!$O$4="CA",'2025'!$O$2=CS423),'2025DATA'!$L$5,"")</f>
        <v/>
      </c>
      <c r="CT426" s="518" t="str">
        <f>IF(AND(_A6="A-330-900",'2025'!$O$4="CA",'2025'!$O$2=CT423),'2025DATA'!$M$5,"")</f>
        <v/>
      </c>
      <c r="CU426" s="520" t="str">
        <f>IF(AND(_A6="A-330-900",'2025'!$O$4="CA",'2025'!$O$2=CU423),'2025DATA'!$N$5,"")</f>
        <v/>
      </c>
    </row>
    <row r="427" spans="16:99" x14ac:dyDescent="0.25">
      <c r="P427" s="940"/>
      <c r="Q427" s="13" t="s">
        <v>62</v>
      </c>
      <c r="R427" s="518" t="str">
        <f>IF(AND(_A1="A-330-900",'2025'!$O$4="FO",'2025'!$O$2=R423),'2025DATA'!$C$6,"")</f>
        <v/>
      </c>
      <c r="S427" s="518" t="str">
        <f>IF(AND(_A1="A-330-900",'2025'!$O$4="FO",'2025'!$O$2=S423),'2025DATA'!$D$6,"")</f>
        <v/>
      </c>
      <c r="T427" s="518" t="str">
        <f>IF(AND(_A1="A-330-900",'2025'!$O$4="FO",'2025'!$O$2=T423),'2025DATA'!$E$6,"")</f>
        <v/>
      </c>
      <c r="U427" s="518" t="str">
        <f>IF(AND(_A1="A-330-900",'2025'!$O$4="FO",'2025'!$O$2=U423),'2025DATA'!$F$6,"")</f>
        <v/>
      </c>
      <c r="V427" s="518" t="str">
        <f>IF(AND(_A1="A-330-900",'2025'!$O$4="FO",'2025'!$O$2=V423),'2025DATA'!$G$6,"")</f>
        <v/>
      </c>
      <c r="W427" s="518" t="str">
        <f>IF(AND(_A1="A-330-900",'2025'!$O$4="FO",'2025'!$O$2=W423),'2025DATA'!$H$6,"")</f>
        <v/>
      </c>
      <c r="X427" s="518" t="str">
        <f>IF(AND(_A1="A-330-900",'2025'!$O$4="FO",'2025'!$O$2=X423),'2025DATA'!$I$6,"")</f>
        <v/>
      </c>
      <c r="Y427" s="518" t="str">
        <f>IF(AND(_A1="A-330-900",'2025'!$O$4="FO",'2025'!$O$2=Y423),'2025DATA'!$J$6,"")</f>
        <v/>
      </c>
      <c r="Z427" s="518" t="str">
        <f>IF(AND(_A1="A-330-900",'2025'!$O$4="FO",'2025'!$O$2=Z423),'2025DATA'!$K$6,"")</f>
        <v/>
      </c>
      <c r="AA427" s="518" t="str">
        <f>IF(AND(_A1="A-330-900",'2025'!$O$4="FO",'2025'!$O$2=AA423),'2025DATA'!$L$6,"")</f>
        <v/>
      </c>
      <c r="AB427" s="518" t="str">
        <f>IF(AND(_A1="A-330-900",'2025'!$O$4="FO",'2025'!$O$2=AB423),'2025DATA'!$M$6,"")</f>
        <v/>
      </c>
      <c r="AC427" s="520" t="str">
        <f>IF(AND(_A1="A-330-900",'2025'!$O$4="FO",'2025'!$O$2=AC423),'2025DATA'!$N$6,"")</f>
        <v/>
      </c>
      <c r="AD427" s="940"/>
      <c r="AE427" s="13" t="s">
        <v>62</v>
      </c>
      <c r="AF427" s="518" t="str">
        <f>IF(AND(_A2="A-330-900",'2025'!$O$4="FO",'2025'!$O$2=AF423),'2025DATA'!$C$6,"")</f>
        <v/>
      </c>
      <c r="AG427" s="518" t="str">
        <f>IF(AND(_A2="A-330-900",'2025'!$O$4="FO",'2025'!$O$2=AG423),'2025DATA'!$D$6,"")</f>
        <v/>
      </c>
      <c r="AH427" s="518" t="str">
        <f>IF(AND(_A2="A-330-900",'2025'!$O$4="FO",'2025'!$O$2=AH423),'2025DATA'!$E$6,"")</f>
        <v/>
      </c>
      <c r="AI427" s="518" t="str">
        <f>IF(AND(_A2="A-330-900",'2025'!$O$4="FO",'2025'!$O$2=AI423),'2025DATA'!$F$6,"")</f>
        <v/>
      </c>
      <c r="AJ427" s="518" t="str">
        <f>IF(AND(_A2="A-330-900",'2025'!$O$4="FO",'2025'!$O$2=AJ423),'2025DATA'!$G$6,"")</f>
        <v/>
      </c>
      <c r="AK427" s="518" t="str">
        <f>IF(AND(_A2="A-330-900",'2025'!$O$4="FO",'2025'!$O$2=AK423),'2025DATA'!$H$6,"")</f>
        <v/>
      </c>
      <c r="AL427" s="518" t="str">
        <f>IF(AND(_A2="A-330-900",'2025'!$O$4="FO",'2025'!$O$2=AL423),'2025DATA'!$I$6,"")</f>
        <v/>
      </c>
      <c r="AM427" s="518" t="str">
        <f>IF(AND(_A2="A-330-900",'2025'!$O$4="FO",'2025'!$O$2=AM423),'2025DATA'!$J$6,"")</f>
        <v/>
      </c>
      <c r="AN427" s="518" t="str">
        <f>IF(AND(_A2="A-330-900",'2025'!$O$4="FO",'2025'!$O$2=AN423),'2025DATA'!$K$6,"")</f>
        <v/>
      </c>
      <c r="AO427" s="518" t="str">
        <f>IF(AND(_A2="A-330-900",'2025'!$O$4="FO",'2025'!$O$2=AO423),'2025DATA'!$L$6,"")</f>
        <v/>
      </c>
      <c r="AP427" s="518" t="str">
        <f>IF(AND(_A2="A-330-900",'2025'!$O$4="FO",'2025'!$O$2=AP423),'2025DATA'!$M$6,"")</f>
        <v/>
      </c>
      <c r="AQ427" s="520" t="str">
        <f>IF(AND(_A2="A-330-900",'2025'!$O$4="FO",'2025'!$O$2=AQ423),'2025DATA'!$N$6,"")</f>
        <v/>
      </c>
      <c r="AR427" s="940"/>
      <c r="AS427" s="13" t="s">
        <v>62</v>
      </c>
      <c r="AT427" s="518" t="str">
        <f>IF(AND(_A3="A-330-900",'2025'!$O$4="FO",'2025'!$O$2=AT423),'2025DATA'!$C$6,"")</f>
        <v/>
      </c>
      <c r="AU427" s="518" t="str">
        <f>IF(AND(_A3="A-330-900",'2025'!$O$4="FO",'2025'!$O$2=AU423),'2025DATA'!$D$6,"")</f>
        <v/>
      </c>
      <c r="AV427" s="518" t="str">
        <f>IF(AND(_A3="A-330-900",'2025'!$O$4="FO",'2025'!$O$2=AV423),'2025DATA'!$E$6,"")</f>
        <v/>
      </c>
      <c r="AW427" s="518" t="str">
        <f>IF(AND(_A3="A-330-900",'2025'!$O$4="FO",'2025'!$O$2=AW423),'2025DATA'!$F$6,"")</f>
        <v/>
      </c>
      <c r="AX427" s="518" t="str">
        <f>IF(AND(_A3="A-330-900",'2025'!$O$4="FO",'2025'!$O$2=AX423),'2025DATA'!$G$6,"")</f>
        <v/>
      </c>
      <c r="AY427" s="518" t="str">
        <f>IF(AND(_A3="A-330-900",'2025'!$O$4="FO",'2025'!$O$2=AY423),'2025DATA'!$H$6,"")</f>
        <v/>
      </c>
      <c r="AZ427" s="518" t="str">
        <f>IF(AND(_A3="A-330-900",'2025'!$O$4="FO",'2025'!$O$2=AZ423),'2025DATA'!$I$6,"")</f>
        <v/>
      </c>
      <c r="BA427" s="518" t="str">
        <f>IF(AND(_A3="A-330-900",'2025'!$O$4="FO",'2025'!$O$2=BA423),'2025DATA'!$J$6,"")</f>
        <v/>
      </c>
      <c r="BB427" s="518" t="str">
        <f>IF(AND(_A3="A-330-900",'2025'!$O$4="FO",'2025'!$O$2=BB423),'2025DATA'!$K$6,"")</f>
        <v/>
      </c>
      <c r="BC427" s="518" t="str">
        <f>IF(AND(_A3="A-330-900",'2025'!$O$4="FO",'2025'!$O$2=BC423),'2025DATA'!$L$6,"")</f>
        <v/>
      </c>
      <c r="BD427" s="518" t="str">
        <f>IF(AND(_A3="A-330-900",'2025'!$O$4="FO",'2025'!$O$2=BD423),'2025DATA'!$M$6,"")</f>
        <v/>
      </c>
      <c r="BE427" s="520" t="str">
        <f>IF(AND(_A3="A-330-900",'2025'!$O$4="FO",'2025'!$O$2=BE423),'2025DATA'!$N$6,"")</f>
        <v/>
      </c>
      <c r="BF427" s="940"/>
      <c r="BG427" s="13" t="s">
        <v>62</v>
      </c>
      <c r="BH427" s="518" t="str">
        <f>IF(AND(_A4="A-330-900",'2025'!$O$4="FO",'2025'!$O$2=BH423),'2025DATA'!$C$6,"")</f>
        <v/>
      </c>
      <c r="BI427" s="518" t="str">
        <f>IF(AND(_A4="A-330-900",'2025'!$O$4="FO",'2025'!$O$2=BI423),'2025DATA'!$D$6,"")</f>
        <v/>
      </c>
      <c r="BJ427" s="518" t="str">
        <f>IF(AND(_A4="A-330-900",'2025'!$O$4="FO",'2025'!$O$2=BJ423),'2025DATA'!$E$6,"")</f>
        <v/>
      </c>
      <c r="BK427" s="518" t="str">
        <f>IF(AND(_A4="A-330-900",'2025'!$O$4="FO",'2025'!$O$2=BK423),'2025DATA'!$F$6,"")</f>
        <v/>
      </c>
      <c r="BL427" s="518" t="str">
        <f>IF(AND(_A4="A-330-900",'2025'!$O$4="FO",'2025'!$O$2=BL423),'2025DATA'!$G$6,"")</f>
        <v/>
      </c>
      <c r="BM427" s="518" t="str">
        <f>IF(AND(_A4="A-330-900",'2025'!$O$4="FO",'2025'!$O$2=BM423),'2025DATA'!$H$6,"")</f>
        <v/>
      </c>
      <c r="BN427" s="518" t="str">
        <f>IF(AND(_A4="A-330-900",'2025'!$O$4="FO",'2025'!$O$2=BN423),'2025DATA'!$I$6,"")</f>
        <v/>
      </c>
      <c r="BO427" s="518" t="str">
        <f>IF(AND(_A4="A-330-900",'2025'!$O$4="FO",'2025'!$O$2=BO423),'2025DATA'!$J$6,"")</f>
        <v/>
      </c>
      <c r="BP427" s="518" t="str">
        <f>IF(AND(_A4="A-330-900",'2025'!$O$4="FO",'2025'!$O$2=BP423),'2025DATA'!$K$6,"")</f>
        <v/>
      </c>
      <c r="BQ427" s="518" t="str">
        <f>IF(AND(_A4="A-330-900",'2025'!$O$4="FO",'2025'!$O$2=BQ423),'2025DATA'!$L$6,"")</f>
        <v/>
      </c>
      <c r="BR427" s="518" t="str">
        <f>IF(AND(_A4="A-330-900",'2025'!$O$4="FO",'2025'!$O$2=BR423),'2025DATA'!$M$6,"")</f>
        <v/>
      </c>
      <c r="BS427" s="520" t="str">
        <f>IF(AND(_A4="A-330-900",'2025'!$O$4="FO",'2025'!$O$2=BS423),'2025DATA'!$N$6,"")</f>
        <v/>
      </c>
      <c r="BT427" s="940"/>
      <c r="BU427" s="13" t="s">
        <v>62</v>
      </c>
      <c r="BV427" s="518" t="str">
        <f>IF(AND(_A5="A-330-900",'2025'!$O$4="FO",'2025'!$O$2=BV423),'2025DATA'!$C$6,"")</f>
        <v/>
      </c>
      <c r="BW427" s="518" t="str">
        <f>IF(AND(_A5="A-330-900",'2025'!$O$4="FO",'2025'!$O$2=BW423),'2025DATA'!$D$6,"")</f>
        <v/>
      </c>
      <c r="BX427" s="518" t="str">
        <f>IF(AND(_A5="A-330-900",'2025'!$O$4="FO",'2025'!$O$2=BX423),'2025DATA'!$E$6,"")</f>
        <v/>
      </c>
      <c r="BY427" s="518" t="str">
        <f>IF(AND(_A5="A-330-900",'2025'!$O$4="FO",'2025'!$O$2=BY423),'2025DATA'!$F$6,"")</f>
        <v/>
      </c>
      <c r="BZ427" s="518" t="str">
        <f>IF(AND(_A5="A-330-900",'2025'!$O$4="FO",'2025'!$O$2=BZ423),'2025DATA'!$G$6,"")</f>
        <v/>
      </c>
      <c r="CA427" s="518" t="str">
        <f>IF(AND(_A5="A-330-900",'2025'!$O$4="FO",'2025'!$O$2=CA423),'2025DATA'!$H$6,"")</f>
        <v/>
      </c>
      <c r="CB427" s="518" t="str">
        <f>IF(AND(_A5="A-330-900",'2025'!$O$4="FO",'2025'!$O$2=CB423),'2025DATA'!$I$6,"")</f>
        <v/>
      </c>
      <c r="CC427" s="518" t="str">
        <f>IF(AND(_A5="A-330-900",'2025'!$O$4="FO",'2025'!$O$2=CC423),'2025DATA'!$J$6,"")</f>
        <v/>
      </c>
      <c r="CD427" s="518" t="str">
        <f>IF(AND(_A5="A-330-900",'2025'!$O$4="FO",'2025'!$O$2=CD423),'2025DATA'!$K$6,"")</f>
        <v/>
      </c>
      <c r="CE427" s="518" t="str">
        <f>IF(AND(_A5="A-330-900",'2025'!$O$4="FO",'2025'!$O$2=CE423),'2025DATA'!$L$6,"")</f>
        <v/>
      </c>
      <c r="CF427" s="518" t="str">
        <f>IF(AND(_A5="A-330-900",'2025'!$O$4="FO",'2025'!$O$2=CF423),'2025DATA'!$M$6,"")</f>
        <v/>
      </c>
      <c r="CG427" s="520" t="str">
        <f>IF(AND(_A5="A-330-900",'2025'!$O$4="FO",'2025'!$O$2=CG423),'2025DATA'!$N$6,"")</f>
        <v/>
      </c>
      <c r="CH427" s="940"/>
      <c r="CI427" s="13" t="s">
        <v>62</v>
      </c>
      <c r="CJ427" s="518" t="str">
        <f>IF(AND(_A6="A-330-900",'2025'!$O$4="FO",'2025'!$O$2=CJ423),'2025DATA'!$C$6,"")</f>
        <v/>
      </c>
      <c r="CK427" s="518" t="str">
        <f>IF(AND(_A6="A-330-900",'2025'!$O$4="FO",'2025'!$O$2=CK423),'2025DATA'!$D$6,"")</f>
        <v/>
      </c>
      <c r="CL427" s="518" t="str">
        <f>IF(AND(_A6="A-330-900",'2025'!$O$4="FO",'2025'!$O$2=CL423),'2025DATA'!$E$6,"")</f>
        <v/>
      </c>
      <c r="CM427" s="518" t="str">
        <f>IF(AND(_A6="A-330-900",'2025'!$O$4="FO",'2025'!$O$2=CM423),'2025DATA'!$F$6,"")</f>
        <v/>
      </c>
      <c r="CN427" s="518" t="str">
        <f>IF(AND(_A6="A-330-900",'2025'!$O$4="FO",'2025'!$O$2=CN423),'2025DATA'!$G$6,"")</f>
        <v/>
      </c>
      <c r="CO427" s="518" t="str">
        <f>IF(AND(_A6="A-330-900",'2025'!$O$4="FO",'2025'!$O$2=CO423),'2025DATA'!$H$6,"")</f>
        <v/>
      </c>
      <c r="CP427" s="518" t="str">
        <f>IF(AND(_A6="A-330-900",'2025'!$O$4="FO",'2025'!$O$2=CP423),'2025DATA'!$I$6,"")</f>
        <v/>
      </c>
      <c r="CQ427" s="518" t="str">
        <f>IF(AND(_A6="A-330-900",'2025'!$O$4="FO",'2025'!$O$2=CQ423),'2025DATA'!$J$6,"")</f>
        <v/>
      </c>
      <c r="CR427" s="518" t="str">
        <f>IF(AND(_A6="A-330-900",'2025'!$O$4="FO",'2025'!$O$2=CR423),'2025DATA'!$K$6,"")</f>
        <v/>
      </c>
      <c r="CS427" s="518" t="str">
        <f>IF(AND(_A6="A-330-900",'2025'!$O$4="FO",'2025'!$O$2=CS423),'2025DATA'!$L$6,"")</f>
        <v/>
      </c>
      <c r="CT427" s="518" t="str">
        <f>IF(AND(_A6="A-330-900",'2025'!$O$4="FO",'2025'!$O$2=CT423),'2025DATA'!$M$6,"")</f>
        <v/>
      </c>
      <c r="CU427" s="520" t="str">
        <f>IF(AND(_A6="A-330-900",'2025'!$O$4="FO",'2025'!$O$2=CU423),'2025DATA'!$N$6,"")</f>
        <v/>
      </c>
    </row>
    <row r="428" spans="16:99" x14ac:dyDescent="0.25">
      <c r="P428" s="940" t="s">
        <v>64</v>
      </c>
      <c r="Q428" s="13" t="s">
        <v>61</v>
      </c>
      <c r="R428" s="518" t="str">
        <f>IF(AND(_A1="A-330-300",'2025'!$O$4="CA",'2025'!$O$2=R423),'2025DATA'!$C$7,"")</f>
        <v/>
      </c>
      <c r="S428" s="518" t="str">
        <f>IF(AND(_A1="A-330-300",'2025'!$O$4="CA",'2025'!$O$2=S423),'2025DATA'!$D$7,"")</f>
        <v/>
      </c>
      <c r="T428" s="518" t="str">
        <f>IF(AND(_A1="A-330-300",'2025'!$O$4="CA",'2025'!$O$2=T423),'2025DATA'!$E$7,"")</f>
        <v/>
      </c>
      <c r="U428" s="518" t="str">
        <f>IF(AND(_A1="A-330-300",'2025'!$O$4="CA",'2025'!$O$2=U423),'2025DATA'!$F$7,"")</f>
        <v/>
      </c>
      <c r="V428" s="518" t="str">
        <f>IF(AND(_A1="A-330-300",'2025'!$O$4="CA",'2025'!$O$2=V423),'2025DATA'!$G$7,"")</f>
        <v/>
      </c>
      <c r="W428" s="518" t="str">
        <f>IF(AND(_A1="A-330-300",'2025'!$O$4="CA",'2025'!$O$2=W423),'2025DATA'!$H$7,"")</f>
        <v/>
      </c>
      <c r="X428" s="518" t="str">
        <f>IF(AND(_A1="A-330-300",'2025'!$O$4="CA",'2025'!$O$2=X423),'2025DATA'!$I$7,"")</f>
        <v/>
      </c>
      <c r="Y428" s="518" t="str">
        <f>IF(AND(_A1="A-330-300",'2025'!$O$4="CA",'2025'!$O$2=Y423),'2025DATA'!$J$7,"")</f>
        <v/>
      </c>
      <c r="Z428" s="518" t="str">
        <f>IF(AND(_A1="A-330-300",'2025'!$O$4="CA",'2025'!$O$2=Z423),'2025DATA'!$K$7,"")</f>
        <v/>
      </c>
      <c r="AA428" s="518" t="str">
        <f>IF(AND(_A1="A-330-300",'2025'!$O$4="CA",'2025'!$O$2=AA423),'2025DATA'!$L$7,"")</f>
        <v/>
      </c>
      <c r="AB428" s="518" t="str">
        <f>IF(AND(_A1="A-330-300",'2025'!$O$4="CA",'2025'!$O$2=AB423),'2025DATA'!$M$7,"")</f>
        <v/>
      </c>
      <c r="AC428" s="520" t="str">
        <f>IF(AND(_A1="A-330-300",'2025'!$O$4="CA",'2025'!$O$2=AC423),'2025DATA'!$N$7,"")</f>
        <v/>
      </c>
      <c r="AD428" s="940" t="s">
        <v>64</v>
      </c>
      <c r="AE428" s="13" t="s">
        <v>61</v>
      </c>
      <c r="AF428" s="518" t="str">
        <f>IF(AND(_A2="A-330-300",'2025'!$O$4="CA",'2025'!$O$2=AF423),'2025DATA'!$C$7,"")</f>
        <v/>
      </c>
      <c r="AG428" s="518" t="str">
        <f>IF(AND(_A2="A-330-300",'2025'!$O$4="CA",'2025'!$O$2=AG423),'2025DATA'!$D$7,"")</f>
        <v/>
      </c>
      <c r="AH428" s="518" t="str">
        <f>IF(AND(_A2="A-330-300",'2025'!$O$4="CA",'2025'!$O$2=AH423),'2025DATA'!$E$7,"")</f>
        <v/>
      </c>
      <c r="AI428" s="518" t="str">
        <f>IF(AND(_A2="A-330-300",'2025'!$O$4="CA",'2025'!$O$2=AI423),'2025DATA'!$F$7,"")</f>
        <v/>
      </c>
      <c r="AJ428" s="518" t="str">
        <f>IF(AND(_A2="A-330-300",'2025'!$O$4="CA",'2025'!$O$2=AJ423),'2025DATA'!$G$7,"")</f>
        <v/>
      </c>
      <c r="AK428" s="518" t="str">
        <f>IF(AND(_A2="A-330-300",'2025'!$O$4="CA",'2025'!$O$2=AK423),'2025DATA'!$H$7,"")</f>
        <v/>
      </c>
      <c r="AL428" s="518" t="str">
        <f>IF(AND(_A2="A-330-300",'2025'!$O$4="CA",'2025'!$O$2=AL423),'2025DATA'!$I$7,"")</f>
        <v/>
      </c>
      <c r="AM428" s="518" t="str">
        <f>IF(AND(_A2="A-330-300",'2025'!$O$4="CA",'2025'!$O$2=AM423),'2025DATA'!$J$7,"")</f>
        <v/>
      </c>
      <c r="AN428" s="518" t="str">
        <f>IF(AND(_A2="A-330-300",'2025'!$O$4="CA",'2025'!$O$2=AN423),'2025DATA'!$K$7,"")</f>
        <v/>
      </c>
      <c r="AO428" s="518" t="str">
        <f>IF(AND(_A2="A-330-300",'2025'!$O$4="CA",'2025'!$O$2=AO423),'2025DATA'!$L$7,"")</f>
        <v/>
      </c>
      <c r="AP428" s="518" t="str">
        <f>IF(AND(_A2="A-330-300",'2025'!$O$4="CA",'2025'!$O$2=AP423),'2025DATA'!$M$7,"")</f>
        <v/>
      </c>
      <c r="AQ428" s="520" t="str">
        <f>IF(AND(_A2="A-330-300",'2025'!$O$4="CA",'2025'!$O$2=AQ423),'2025DATA'!$N$7,"")</f>
        <v/>
      </c>
      <c r="AR428" s="940" t="s">
        <v>64</v>
      </c>
      <c r="AS428" s="13" t="s">
        <v>61</v>
      </c>
      <c r="AT428" s="518" t="str">
        <f>IF(AND(_A3="A-330-300",'2025'!$O$4="CA",'2025'!$O$2=AT423),'2025DATA'!$C$7,"")</f>
        <v/>
      </c>
      <c r="AU428" s="518" t="str">
        <f>IF(AND(_A3="A-330-300",'2025'!$O$4="CA",'2025'!$O$2=AU423),'2025DATA'!$D$7,"")</f>
        <v/>
      </c>
      <c r="AV428" s="518" t="str">
        <f>IF(AND(_A3="A-330-300",'2025'!$O$4="CA",'2025'!$O$2=AV423),'2025DATA'!$E$7,"")</f>
        <v/>
      </c>
      <c r="AW428" s="518" t="str">
        <f>IF(AND(_A3="A-330-300",'2025'!$O$4="CA",'2025'!$O$2=AW423),'2025DATA'!$F$7,"")</f>
        <v/>
      </c>
      <c r="AX428" s="518" t="str">
        <f>IF(AND(_A3="A-330-300",'2025'!$O$4="CA",'2025'!$O$2=AX423),'2025DATA'!$G$7,"")</f>
        <v/>
      </c>
      <c r="AY428" s="518" t="str">
        <f>IF(AND(_A3="A-330-300",'2025'!$O$4="CA",'2025'!$O$2=AY423),'2025DATA'!$H$7,"")</f>
        <v/>
      </c>
      <c r="AZ428" s="518" t="str">
        <f>IF(AND(_A3="A-330-300",'2025'!$O$4="CA",'2025'!$O$2=AZ423),'2025DATA'!$I$7,"")</f>
        <v/>
      </c>
      <c r="BA428" s="518" t="str">
        <f>IF(AND(_A3="A-330-300",'2025'!$O$4="CA",'2025'!$O$2=BA423),'2025DATA'!$J$7,"")</f>
        <v/>
      </c>
      <c r="BB428" s="518" t="str">
        <f>IF(AND(_A3="A-330-300",'2025'!$O$4="CA",'2025'!$O$2=BB423),'2025DATA'!$K$7,"")</f>
        <v/>
      </c>
      <c r="BC428" s="518" t="str">
        <f>IF(AND(_A3="A-330-300",'2025'!$O$4="CA",'2025'!$O$2=BC423),'2025DATA'!$L$7,"")</f>
        <v/>
      </c>
      <c r="BD428" s="518" t="str">
        <f>IF(AND(_A3="A-330-300",'2025'!$O$4="CA",'2025'!$O$2=BD423),'2025DATA'!$M$7,"")</f>
        <v/>
      </c>
      <c r="BE428" s="520" t="str">
        <f>IF(AND(_A3="A-330-300",'2025'!$O$4="CA",'2025'!$O$2=BE423),'2025DATA'!$N$7,"")</f>
        <v/>
      </c>
      <c r="BF428" s="940" t="s">
        <v>64</v>
      </c>
      <c r="BG428" s="13" t="s">
        <v>61</v>
      </c>
      <c r="BH428" s="518" t="str">
        <f>IF(AND(_A4="A-330-300",'2025'!$O$4="CA",'2025'!$O$2=BH423),'2025DATA'!$C$7,"")</f>
        <v/>
      </c>
      <c r="BI428" s="518" t="str">
        <f>IF(AND(_A4="A-330-300",'2025'!$O$4="CA",'2025'!$O$2=BI423),'2025DATA'!$D$7,"")</f>
        <v/>
      </c>
      <c r="BJ428" s="518" t="str">
        <f>IF(AND(_A4="A-330-300",'2025'!$O$4="CA",'2025'!$O$2=BJ423),'2025DATA'!$E$7,"")</f>
        <v/>
      </c>
      <c r="BK428" s="518" t="str">
        <f>IF(AND(_A4="A-330-300",'2025'!$O$4="CA",'2025'!$O$2=BK423),'2025DATA'!$F$7,"")</f>
        <v/>
      </c>
      <c r="BL428" s="518" t="str">
        <f>IF(AND(_A4="A-330-300",'2025'!$O$4="CA",'2025'!$O$2=BL423),'2025DATA'!$G$7,"")</f>
        <v/>
      </c>
      <c r="BM428" s="518" t="str">
        <f>IF(AND(_A4="A-330-300",'2025'!$O$4="CA",'2025'!$O$2=BM423),'2025DATA'!$H$7,"")</f>
        <v/>
      </c>
      <c r="BN428" s="518" t="str">
        <f>IF(AND(_A4="A-330-300",'2025'!$O$4="CA",'2025'!$O$2=BN423),'2025DATA'!$I$7,"")</f>
        <v/>
      </c>
      <c r="BO428" s="518" t="str">
        <f>IF(AND(_A4="A-330-300",'2025'!$O$4="CA",'2025'!$O$2=BO423),'2025DATA'!$J$7,"")</f>
        <v/>
      </c>
      <c r="BP428" s="518" t="str">
        <f>IF(AND(_A4="A-330-300",'2025'!$O$4="CA",'2025'!$O$2=BP423),'2025DATA'!$K$7,"")</f>
        <v/>
      </c>
      <c r="BQ428" s="518" t="str">
        <f>IF(AND(_A4="A-330-300",'2025'!$O$4="CA",'2025'!$O$2=BQ423),'2025DATA'!$L$7,"")</f>
        <v/>
      </c>
      <c r="BR428" s="518" t="str">
        <f>IF(AND(_A4="A-330-300",'2025'!$O$4="CA",'2025'!$O$2=BR423),'2025DATA'!$M$7,"")</f>
        <v/>
      </c>
      <c r="BS428" s="520" t="str">
        <f>IF(AND(_A4="A-330-300",'2025'!$O$4="CA",'2025'!$O$2=BS423),'2025DATA'!$N$7,"")</f>
        <v/>
      </c>
      <c r="BT428" s="940" t="s">
        <v>64</v>
      </c>
      <c r="BU428" s="13" t="s">
        <v>61</v>
      </c>
      <c r="BV428" s="518" t="str">
        <f>IF(AND(_A5="A-330-300",'2025'!$O$4="CA",'2025'!$O$2=BV423),'2025DATA'!$C$7,"")</f>
        <v/>
      </c>
      <c r="BW428" s="518" t="str">
        <f>IF(AND(_A5="A-330-300",'2025'!$O$4="CA",'2025'!$O$2=BW423),'2025DATA'!$D$7,"")</f>
        <v/>
      </c>
      <c r="BX428" s="518" t="str">
        <f>IF(AND(_A5="A-330-300",'2025'!$O$4="CA",'2025'!$O$2=BX423),'2025DATA'!$E$7,"")</f>
        <v/>
      </c>
      <c r="BY428" s="518" t="str">
        <f>IF(AND(_A5="A-330-300",'2025'!$O$4="CA",'2025'!$O$2=BY423),'2025DATA'!$F$7,"")</f>
        <v/>
      </c>
      <c r="BZ428" s="518" t="str">
        <f>IF(AND(_A5="A-330-300",'2025'!$O$4="CA",'2025'!$O$2=BZ423),'2025DATA'!$G$7,"")</f>
        <v/>
      </c>
      <c r="CA428" s="518" t="str">
        <f>IF(AND(_A5="A-330-300",'2025'!$O$4="CA",'2025'!$O$2=CA423),'2025DATA'!$H$7,"")</f>
        <v/>
      </c>
      <c r="CB428" s="518" t="str">
        <f>IF(AND(_A5="A-330-300",'2025'!$O$4="CA",'2025'!$O$2=CB423),'2025DATA'!$I$7,"")</f>
        <v/>
      </c>
      <c r="CC428" s="518" t="str">
        <f>IF(AND(_A5="A-330-300",'2025'!$O$4="CA",'2025'!$O$2=CC423),'2025DATA'!$J$7,"")</f>
        <v/>
      </c>
      <c r="CD428" s="518" t="str">
        <f>IF(AND(_A5="A-330-300",'2025'!$O$4="CA",'2025'!$O$2=CD423),'2025DATA'!$K$7,"")</f>
        <v/>
      </c>
      <c r="CE428" s="518" t="str">
        <f>IF(AND(_A5="A-330-300",'2025'!$O$4="CA",'2025'!$O$2=CE423),'2025DATA'!$L$7,"")</f>
        <v/>
      </c>
      <c r="CF428" s="518" t="str">
        <f>IF(AND(_A5="A-330-300",'2025'!$O$4="CA",'2025'!$O$2=CF423),'2025DATA'!$M$7,"")</f>
        <v/>
      </c>
      <c r="CG428" s="520" t="str">
        <f>IF(AND(_A5="A-330-300",'2025'!$O$4="CA",'2025'!$O$2=CG423),'2025DATA'!$N$7,"")</f>
        <v/>
      </c>
      <c r="CH428" s="940" t="s">
        <v>64</v>
      </c>
      <c r="CI428" s="13" t="s">
        <v>61</v>
      </c>
      <c r="CJ428" s="518" t="str">
        <f>IF(AND(_A6="A-330-300",'2025'!$O$4="CA",'2025'!$O$2=CJ423),'2025DATA'!$C$7,"")</f>
        <v/>
      </c>
      <c r="CK428" s="518" t="str">
        <f>IF(AND(_A6="A-330-300",'2025'!$O$4="CA",'2025'!$O$2=CK423),'2025DATA'!$D$7,"")</f>
        <v/>
      </c>
      <c r="CL428" s="518" t="str">
        <f>IF(AND(_A6="A-330-300",'2025'!$O$4="CA",'2025'!$O$2=CL423),'2025DATA'!$E$7,"")</f>
        <v/>
      </c>
      <c r="CM428" s="518" t="str">
        <f>IF(AND(_A6="A-330-300",'2025'!$O$4="CA",'2025'!$O$2=CM423),'2025DATA'!$F$7,"")</f>
        <v/>
      </c>
      <c r="CN428" s="518" t="str">
        <f>IF(AND(_A6="A-330-300",'2025'!$O$4="CA",'2025'!$O$2=CN423),'2025DATA'!$G$7,"")</f>
        <v/>
      </c>
      <c r="CO428" s="518" t="str">
        <f>IF(AND(_A6="A-330-300",'2025'!$O$4="CA",'2025'!$O$2=CO423),'2025DATA'!$H$7,"")</f>
        <v/>
      </c>
      <c r="CP428" s="518" t="str">
        <f>IF(AND(_A6="A-330-300",'2025'!$O$4="CA",'2025'!$O$2=CP423),'2025DATA'!$I$7,"")</f>
        <v/>
      </c>
      <c r="CQ428" s="518" t="str">
        <f>IF(AND(_A6="A-330-300",'2025'!$O$4="CA",'2025'!$O$2=CQ423),'2025DATA'!$J$7,"")</f>
        <v/>
      </c>
      <c r="CR428" s="518" t="str">
        <f>IF(AND(_A6="A-330-300",'2025'!$O$4="CA",'2025'!$O$2=CR423),'2025DATA'!$K$7,"")</f>
        <v/>
      </c>
      <c r="CS428" s="518" t="str">
        <f>IF(AND(_A6="A-330-300",'2025'!$O$4="CA",'2025'!$O$2=CS423),'2025DATA'!$L$7,"")</f>
        <v/>
      </c>
      <c r="CT428" s="518" t="str">
        <f>IF(AND(_A6="A-330-300",'2025'!$O$4="CA",'2025'!$O$2=CT423),'2025DATA'!$M$7,"")</f>
        <v/>
      </c>
      <c r="CU428" s="520" t="str">
        <f>IF(AND(_A6="A-330-300",'2025'!$O$4="CA",'2025'!$O$2=CU423),'2025DATA'!$N$7,"")</f>
        <v/>
      </c>
    </row>
    <row r="429" spans="16:99" x14ac:dyDescent="0.25">
      <c r="P429" s="940"/>
      <c r="Q429" s="13" t="s">
        <v>62</v>
      </c>
      <c r="R429" s="518" t="str">
        <f>IF(AND(_A1="A-330-300",'2025'!$O$4="FO",'2025'!$O$2=R423),'2025DATA'!$C$8,"")</f>
        <v/>
      </c>
      <c r="S429" s="518" t="str">
        <f>IF(AND(_A1="A-330-300",'2025'!$O$4="FO",'2025'!$O$2=S423),'2025DATA'!$D$8,"")</f>
        <v/>
      </c>
      <c r="T429" s="518" t="str">
        <f>IF(AND(_A1="A-330-300",'2025'!$O$4="FO",'2025'!$O$2=T423),'2025DATA'!$E$8,"")</f>
        <v/>
      </c>
      <c r="U429" s="518" t="str">
        <f>IF(AND(_A1="A-330-300",'2025'!$O$4="FO",'2025'!$O$2=U423),'2025DATA'!$F$8,"")</f>
        <v/>
      </c>
      <c r="V429" s="518" t="str">
        <f>IF(AND(_A1="A-330-300",'2025'!$O$4="FO",'2025'!$O$2=V423),'2025DATA'!$G$8,"")</f>
        <v/>
      </c>
      <c r="W429" s="518" t="str">
        <f>IF(AND(_A1="A-330-300",'2025'!$O$4="FO",'2025'!$O$2=W423),'2025DATA'!$H$8,"")</f>
        <v/>
      </c>
      <c r="X429" s="518" t="str">
        <f>IF(AND(_A1="A-330-300",'2025'!$O$4="FO",'2025'!$O$2=X423),'2025DATA'!$I$8,"")</f>
        <v/>
      </c>
      <c r="Y429" s="518" t="str">
        <f>IF(AND(_A1="A-330-300",'2025'!$O$4="FO",'2025'!$O$2=Y423),'2025DATA'!$J$8,"")</f>
        <v/>
      </c>
      <c r="Z429" s="518" t="str">
        <f>IF(AND(_A1="A-330-300",'2025'!$O$4="FO",'2025'!$O$2=Z423),'2025DATA'!$K$8,"")</f>
        <v/>
      </c>
      <c r="AA429" s="518" t="str">
        <f>IF(AND(_A1="A-330-300",'2025'!$O$4="FO",'2025'!$O$2=AA423),'2025DATA'!$L$8,"")</f>
        <v/>
      </c>
      <c r="AB429" s="518" t="str">
        <f>IF(AND(_A1="A-330-300",'2025'!$O$4="FO",'2025'!$O$2=AB423),'2025DATA'!$M$8,"")</f>
        <v/>
      </c>
      <c r="AC429" s="520" t="str">
        <f>IF(AND(_A1="A-330-300",'2025'!$O$4="FO",'2025'!$O$2=AC423),'2025DATA'!$N$8,"")</f>
        <v/>
      </c>
      <c r="AD429" s="940"/>
      <c r="AE429" s="13" t="s">
        <v>62</v>
      </c>
      <c r="AF429" s="518" t="str">
        <f>IF(AND(_A2="A-330-300",'2025'!$O$4="FO",'2025'!$O$2=AF423),'2025DATA'!$C$8,"")</f>
        <v/>
      </c>
      <c r="AG429" s="518" t="str">
        <f>IF(AND(_A2="A-330-300",'2025'!$O$4="FO",'2025'!$O$2=AG423),'2025DATA'!$D$8,"")</f>
        <v/>
      </c>
      <c r="AH429" s="518" t="str">
        <f>IF(AND(_A2="A-330-300",'2025'!$O$4="FO",'2025'!$O$2=AH423),'2025DATA'!$E$8,"")</f>
        <v/>
      </c>
      <c r="AI429" s="518" t="str">
        <f>IF(AND(_A2="A-330-300",'2025'!$O$4="FO",'2025'!$O$2=AI423),'2025DATA'!$F$8,"")</f>
        <v/>
      </c>
      <c r="AJ429" s="518" t="str">
        <f>IF(AND(_A2="A-330-300",'2025'!$O$4="FO",'2025'!$O$2=AJ423),'2025DATA'!$G$8,"")</f>
        <v/>
      </c>
      <c r="AK429" s="518" t="str">
        <f>IF(AND(_A2="A-330-300",'2025'!$O$4="FO",'2025'!$O$2=AK423),'2025DATA'!$H$8,"")</f>
        <v/>
      </c>
      <c r="AL429" s="518" t="str">
        <f>IF(AND(_A2="A-330-300",'2025'!$O$4="FO",'2025'!$O$2=AL423),'2025DATA'!$I$8,"")</f>
        <v/>
      </c>
      <c r="AM429" s="518" t="str">
        <f>IF(AND(_A2="A-330-300",'2025'!$O$4="FO",'2025'!$O$2=AM423),'2025DATA'!$J$8,"")</f>
        <v/>
      </c>
      <c r="AN429" s="518" t="str">
        <f>IF(AND(_A2="A-330-300",'2025'!$O$4="FO",'2025'!$O$2=AN423),'2025DATA'!$K$8,"")</f>
        <v/>
      </c>
      <c r="AO429" s="518" t="str">
        <f>IF(AND(_A2="A-330-300",'2025'!$O$4="FO",'2025'!$O$2=AO423),'2025DATA'!$L$8,"")</f>
        <v/>
      </c>
      <c r="AP429" s="518" t="str">
        <f>IF(AND(_A2="A-330-300",'2025'!$O$4="FO",'2025'!$O$2=AP423),'2025DATA'!$M$8,"")</f>
        <v/>
      </c>
      <c r="AQ429" s="520" t="str">
        <f>IF(AND(_A2="A-330-300",'2025'!$O$4="FO",'2025'!$O$2=AQ423),'2025DATA'!$N$8,"")</f>
        <v/>
      </c>
      <c r="AR429" s="940"/>
      <c r="AS429" s="13" t="s">
        <v>62</v>
      </c>
      <c r="AT429" s="518" t="str">
        <f>IF(AND(_A3="A-330-300",'2025'!$O$4="FO",'2025'!$O$2=AT423),'2025DATA'!$C$8,"")</f>
        <v/>
      </c>
      <c r="AU429" s="518" t="str">
        <f>IF(AND(_A3="A-330-300",'2025'!$O$4="FO",'2025'!$O$2=AU423),'2025DATA'!$D$8,"")</f>
        <v/>
      </c>
      <c r="AV429" s="518" t="str">
        <f>IF(AND(_A3="A-330-300",'2025'!$O$4="FO",'2025'!$O$2=AV423),'2025DATA'!$E$8,"")</f>
        <v/>
      </c>
      <c r="AW429" s="518" t="str">
        <f>IF(AND(_A3="A-330-300",'2025'!$O$4="FO",'2025'!$O$2=AW423),'2025DATA'!$F$8,"")</f>
        <v/>
      </c>
      <c r="AX429" s="518" t="str">
        <f>IF(AND(_A3="A-330-300",'2025'!$O$4="FO",'2025'!$O$2=AX423),'2025DATA'!$G$8,"")</f>
        <v/>
      </c>
      <c r="AY429" s="518" t="str">
        <f>IF(AND(_A3="A-330-300",'2025'!$O$4="FO",'2025'!$O$2=AY423),'2025DATA'!$H$8,"")</f>
        <v/>
      </c>
      <c r="AZ429" s="518" t="str">
        <f>IF(AND(_A3="A-330-300",'2025'!$O$4="FO",'2025'!$O$2=AZ423),'2025DATA'!$I$8,"")</f>
        <v/>
      </c>
      <c r="BA429" s="518" t="str">
        <f>IF(AND(_A3="A-330-300",'2025'!$O$4="FO",'2025'!$O$2=BA423),'2025DATA'!$J$8,"")</f>
        <v/>
      </c>
      <c r="BB429" s="518" t="str">
        <f>IF(AND(_A3="A-330-300",'2025'!$O$4="FO",'2025'!$O$2=BB423),'2025DATA'!$K$8,"")</f>
        <v/>
      </c>
      <c r="BC429" s="518" t="str">
        <f>IF(AND(_A3="A-330-300",'2025'!$O$4="FO",'2025'!$O$2=BC423),'2025DATA'!$L$8,"")</f>
        <v/>
      </c>
      <c r="BD429" s="518" t="str">
        <f>IF(AND(_A3="A-330-300",'2025'!$O$4="FO",'2025'!$O$2=BD423),'2025DATA'!$M$8,"")</f>
        <v/>
      </c>
      <c r="BE429" s="520" t="str">
        <f>IF(AND(_A3="A-330-300",'2025'!$O$4="FO",'2025'!$O$2=BE423),'2025DATA'!$N$8,"")</f>
        <v/>
      </c>
      <c r="BF429" s="940"/>
      <c r="BG429" s="13" t="s">
        <v>62</v>
      </c>
      <c r="BH429" s="518" t="str">
        <f>IF(AND(_A4="A-330-300",'2025'!$O$4="FO",'2025'!$O$2=BH423),'2025DATA'!$C$8,"")</f>
        <v/>
      </c>
      <c r="BI429" s="518" t="str">
        <f>IF(AND(_A4="A-330-300",'2025'!$O$4="FO",'2025'!$O$2=BI423),'2025DATA'!$D$8,"")</f>
        <v/>
      </c>
      <c r="BJ429" s="518" t="str">
        <f>IF(AND(_A4="A-330-300",'2025'!$O$4="FO",'2025'!$O$2=BJ423),'2025DATA'!$E$8,"")</f>
        <v/>
      </c>
      <c r="BK429" s="518" t="str">
        <f>IF(AND(_A4="A-330-300",'2025'!$O$4="FO",'2025'!$O$2=BK423),'2025DATA'!$F$8,"")</f>
        <v/>
      </c>
      <c r="BL429" s="518" t="str">
        <f>IF(AND(_A4="A-330-300",'2025'!$O$4="FO",'2025'!$O$2=BL423),'2025DATA'!$G$8,"")</f>
        <v/>
      </c>
      <c r="BM429" s="518" t="str">
        <f>IF(AND(_A4="A-330-300",'2025'!$O$4="FO",'2025'!$O$2=BM423),'2025DATA'!$H$8,"")</f>
        <v/>
      </c>
      <c r="BN429" s="518" t="str">
        <f>IF(AND(_A4="A-330-300",'2025'!$O$4="FO",'2025'!$O$2=BN423),'2025DATA'!$I$8,"")</f>
        <v/>
      </c>
      <c r="BO429" s="518" t="str">
        <f>IF(AND(_A4="A-330-300",'2025'!$O$4="FO",'2025'!$O$2=BO423),'2025DATA'!$J$8,"")</f>
        <v/>
      </c>
      <c r="BP429" s="518" t="str">
        <f>IF(AND(_A4="A-330-300",'2025'!$O$4="FO",'2025'!$O$2=BP423),'2025DATA'!$K$8,"")</f>
        <v/>
      </c>
      <c r="BQ429" s="518" t="str">
        <f>IF(AND(_A4="A-330-300",'2025'!$O$4="FO",'2025'!$O$2=BQ423),'2025DATA'!$L$8,"")</f>
        <v/>
      </c>
      <c r="BR429" s="518" t="str">
        <f>IF(AND(_A4="A-330-300",'2025'!$O$4="FO",'2025'!$O$2=BR423),'2025DATA'!$M$8,"")</f>
        <v/>
      </c>
      <c r="BS429" s="520" t="str">
        <f>IF(AND(_A4="A-330-300",'2025'!$O$4="FO",'2025'!$O$2=BS423),'2025DATA'!$N$8,"")</f>
        <v/>
      </c>
      <c r="BT429" s="940"/>
      <c r="BU429" s="13" t="s">
        <v>62</v>
      </c>
      <c r="BV429" s="518" t="str">
        <f>IF(AND(_A5="A-330-300",'2025'!$O$4="FO",'2025'!$O$2=BV423),'2025DATA'!$C$8,"")</f>
        <v/>
      </c>
      <c r="BW429" s="518" t="str">
        <f>IF(AND(_A5="A-330-300",'2025'!$O$4="FO",'2025'!$O$2=BW423),'2025DATA'!$D$8,"")</f>
        <v/>
      </c>
      <c r="BX429" s="518" t="str">
        <f>IF(AND(_A5="A-330-300",'2025'!$O$4="FO",'2025'!$O$2=BX423),'2025DATA'!$E$8,"")</f>
        <v/>
      </c>
      <c r="BY429" s="518" t="str">
        <f>IF(AND(_A5="A-330-300",'2025'!$O$4="FO",'2025'!$O$2=BY423),'2025DATA'!$F$8,"")</f>
        <v/>
      </c>
      <c r="BZ429" s="518" t="str">
        <f>IF(AND(_A5="A-330-300",'2025'!$O$4="FO",'2025'!$O$2=BZ423),'2025DATA'!$G$8,"")</f>
        <v/>
      </c>
      <c r="CA429" s="518" t="str">
        <f>IF(AND(_A5="A-330-300",'2025'!$O$4="FO",'2025'!$O$2=CA423),'2025DATA'!$H$8,"")</f>
        <v/>
      </c>
      <c r="CB429" s="518" t="str">
        <f>IF(AND(_A5="A-330-300",'2025'!$O$4="FO",'2025'!$O$2=CB423),'2025DATA'!$I$8,"")</f>
        <v/>
      </c>
      <c r="CC429" s="518" t="str">
        <f>IF(AND(_A5="A-330-300",'2025'!$O$4="FO",'2025'!$O$2=CC423),'2025DATA'!$J$8,"")</f>
        <v/>
      </c>
      <c r="CD429" s="518" t="str">
        <f>IF(AND(_A5="A-330-300",'2025'!$O$4="FO",'2025'!$O$2=CD423),'2025DATA'!$K$8,"")</f>
        <v/>
      </c>
      <c r="CE429" s="518" t="str">
        <f>IF(AND(_A5="A-330-300",'2025'!$O$4="FO",'2025'!$O$2=CE423),'2025DATA'!$L$8,"")</f>
        <v/>
      </c>
      <c r="CF429" s="518" t="str">
        <f>IF(AND(_A5="A-330-300",'2025'!$O$4="FO",'2025'!$O$2=CF423),'2025DATA'!$M$8,"")</f>
        <v/>
      </c>
      <c r="CG429" s="520" t="str">
        <f>IF(AND(_A5="A-330-300",'2025'!$O$4="FO",'2025'!$O$2=CG423),'2025DATA'!$N$8,"")</f>
        <v/>
      </c>
      <c r="CH429" s="940"/>
      <c r="CI429" s="13" t="s">
        <v>62</v>
      </c>
      <c r="CJ429" s="518" t="str">
        <f>IF(AND(_A6="A-330-300",'2025'!$O$4="FO",'2025'!$O$2=CJ423),'2025DATA'!$C$8,"")</f>
        <v/>
      </c>
      <c r="CK429" s="518" t="str">
        <f>IF(AND(_A6="A-330-300",'2025'!$O$4="FO",'2025'!$O$2=CK423),'2025DATA'!$D$8,"")</f>
        <v/>
      </c>
      <c r="CL429" s="518" t="str">
        <f>IF(AND(_A6="A-330-300",'2025'!$O$4="FO",'2025'!$O$2=CL423),'2025DATA'!$E$8,"")</f>
        <v/>
      </c>
      <c r="CM429" s="518" t="str">
        <f>IF(AND(_A6="A-330-300",'2025'!$O$4="FO",'2025'!$O$2=CM423),'2025DATA'!$F$8,"")</f>
        <v/>
      </c>
      <c r="CN429" s="518" t="str">
        <f>IF(AND(_A6="A-330-300",'2025'!$O$4="FO",'2025'!$O$2=CN423),'2025DATA'!$G$8,"")</f>
        <v/>
      </c>
      <c r="CO429" s="518" t="str">
        <f>IF(AND(_A6="A-330-300",'2025'!$O$4="FO",'2025'!$O$2=CO423),'2025DATA'!$H$8,"")</f>
        <v/>
      </c>
      <c r="CP429" s="518" t="str">
        <f>IF(AND(_A6="A-330-300",'2025'!$O$4="FO",'2025'!$O$2=CP423),'2025DATA'!$I$8,"")</f>
        <v/>
      </c>
      <c r="CQ429" s="518" t="str">
        <f>IF(AND(_A6="A-330-300",'2025'!$O$4="FO",'2025'!$O$2=CQ423),'2025DATA'!$J$8,"")</f>
        <v/>
      </c>
      <c r="CR429" s="518" t="str">
        <f>IF(AND(_A6="A-330-300",'2025'!$O$4="FO",'2025'!$O$2=CR423),'2025DATA'!$K$8,"")</f>
        <v/>
      </c>
      <c r="CS429" s="518" t="str">
        <f>IF(AND(_A6="A-330-300",'2025'!$O$4="FO",'2025'!$O$2=CS423),'2025DATA'!$L$8,"")</f>
        <v/>
      </c>
      <c r="CT429" s="518" t="str">
        <f>IF(AND(_A6="A-330-300",'2025'!$O$4="FO",'2025'!$O$2=CT423),'2025DATA'!$M$8,"")</f>
        <v/>
      </c>
      <c r="CU429" s="520" t="str">
        <f>IF(AND(_A6="A-330-300",'2025'!$O$4="FO",'2025'!$O$2=CU423),'2025DATA'!$N$8,"")</f>
        <v/>
      </c>
    </row>
    <row r="430" spans="16:99" x14ac:dyDescent="0.25">
      <c r="P430" s="940" t="s">
        <v>66</v>
      </c>
      <c r="Q430" s="13" t="s">
        <v>61</v>
      </c>
      <c r="R430" s="518" t="str">
        <f>IF(AND(_A1="A-330-200",'2025'!$O$4="CA",'2025'!$O$2=R423),'2025DATA'!$C$9,"")</f>
        <v/>
      </c>
      <c r="S430" s="518" t="str">
        <f>IF(AND(_A1="A-330-200",'2025'!$O$4="CA",'2025'!$O$2=S423),'2025DATA'!$D$9,"")</f>
        <v/>
      </c>
      <c r="T430" s="518" t="str">
        <f>IF(AND(_A1="A-330-200",'2025'!$O$4="CA",'2025'!$O$2=T423),'2025DATA'!$E$9,"")</f>
        <v/>
      </c>
      <c r="U430" s="518" t="str">
        <f>IF(AND(_A1="A-330-200",'2025'!$O$4="CA",'2025'!$O$2=U423),'2025DATA'!$F$9,"")</f>
        <v/>
      </c>
      <c r="V430" s="518" t="str">
        <f>IF(AND(_A1="A-330-200",'2025'!$O$4="CA",'2025'!$O$2=V423),'2025DATA'!$G$9,"")</f>
        <v/>
      </c>
      <c r="W430" s="518" t="str">
        <f>IF(AND(_A1="A-330-200",'2025'!$O$4="CA",'2025'!$O$2=W423),'2025DATA'!$H$9,"")</f>
        <v/>
      </c>
      <c r="X430" s="518" t="str">
        <f>IF(AND(_A1="A-330-200",'2025'!$O$4="CA",'2025'!$O$2=X423),'2025DATA'!$I$9,"")</f>
        <v/>
      </c>
      <c r="Y430" s="518" t="str">
        <f>IF(AND(_A1="A-330-200",'2025'!$O$4="CA",'2025'!$O$2=Y423),'2025DATA'!$J$9,"")</f>
        <v/>
      </c>
      <c r="Z430" s="518" t="str">
        <f>IF(AND(_A1="A-330-200",'2025'!$O$4="CA",'2025'!$O$2=Z423),'2025DATA'!$K$9,"")</f>
        <v/>
      </c>
      <c r="AA430" s="518" t="str">
        <f>IF(AND(_A1="A-330-200",'2025'!$O$4="CA",'2025'!$O$2=AA423),'2025DATA'!$L$9,"")</f>
        <v/>
      </c>
      <c r="AB430" s="518" t="str">
        <f>IF(AND(_A1="A-330-200",'2025'!$O$4="CA",'2025'!$O$2=AB423),'2025DATA'!$M$9,"")</f>
        <v/>
      </c>
      <c r="AC430" s="520" t="str">
        <f>IF(AND(_A1="A-330-200",'2025'!$O$4="CA",'2025'!$O$2=AC423),'2025DATA'!$N$9,"")</f>
        <v/>
      </c>
      <c r="AD430" s="940" t="s">
        <v>66</v>
      </c>
      <c r="AE430" s="13" t="s">
        <v>61</v>
      </c>
      <c r="AF430" s="518" t="str">
        <f>IF(AND(_A2="A-330-200",'2025'!$O$4="CA",'2025'!$O$2=AF423),'2025DATA'!$C$9,"")</f>
        <v/>
      </c>
      <c r="AG430" s="518" t="str">
        <f>IF(AND(_A2="A-330-200",'2025'!$O$4="CA",'2025'!$O$2=AG423),'2025DATA'!$D$9,"")</f>
        <v/>
      </c>
      <c r="AH430" s="518" t="str">
        <f>IF(AND(_A2="A-330-200",'2025'!$O$4="CA",'2025'!$O$2=AH423),'2025DATA'!$E$9,"")</f>
        <v/>
      </c>
      <c r="AI430" s="518" t="str">
        <f>IF(AND(_A2="A-330-200",'2025'!$O$4="CA",'2025'!$O$2=AI423),'2025DATA'!$F$9,"")</f>
        <v/>
      </c>
      <c r="AJ430" s="518" t="str">
        <f>IF(AND(_A2="A-330-200",'2025'!$O$4="CA",'2025'!$O$2=AJ423),'2025DATA'!$G$9,"")</f>
        <v/>
      </c>
      <c r="AK430" s="518" t="str">
        <f>IF(AND(_A2="A-330-200",'2025'!$O$4="CA",'2025'!$O$2=AK423),'2025DATA'!$H$9,"")</f>
        <v/>
      </c>
      <c r="AL430" s="518" t="str">
        <f>IF(AND(_A2="A-330-200",'2025'!$O$4="CA",'2025'!$O$2=AL423),'2025DATA'!$I$9,"")</f>
        <v/>
      </c>
      <c r="AM430" s="518" t="str">
        <f>IF(AND(_A2="A-330-200",'2025'!$O$4="CA",'2025'!$O$2=AM423),'2025DATA'!$J$9,"")</f>
        <v/>
      </c>
      <c r="AN430" s="518" t="str">
        <f>IF(AND(_A2="A-330-200",'2025'!$O$4="CA",'2025'!$O$2=AN423),'2025DATA'!$K$9,"")</f>
        <v/>
      </c>
      <c r="AO430" s="518" t="str">
        <f>IF(AND(_A2="A-330-200",'2025'!$O$4="CA",'2025'!$O$2=AO423),'2025DATA'!$L$9,"")</f>
        <v/>
      </c>
      <c r="AP430" s="518" t="str">
        <f>IF(AND(_A2="A-330-200",'2025'!$O$4="CA",'2025'!$O$2=AP423),'2025DATA'!$M$9,"")</f>
        <v/>
      </c>
      <c r="AQ430" s="520" t="str">
        <f>IF(AND(_A2="A-330-200",'2025'!$O$4="CA",'2025'!$O$2=AQ423),'2025DATA'!$N$9,"")</f>
        <v/>
      </c>
      <c r="AR430" s="940" t="s">
        <v>66</v>
      </c>
      <c r="AS430" s="13" t="s">
        <v>61</v>
      </c>
      <c r="AT430" s="518" t="str">
        <f>IF(AND(_A3="A-330-200",'2025'!$O$4="CA",'2025'!$O$2=AT423),'2025DATA'!$C$9,"")</f>
        <v/>
      </c>
      <c r="AU430" s="518" t="str">
        <f>IF(AND(_A3="A-330-200",'2025'!$O$4="CA",'2025'!$O$2=AU423),'2025DATA'!$D$9,"")</f>
        <v/>
      </c>
      <c r="AV430" s="518" t="str">
        <f>IF(AND(_A3="A-330-200",'2025'!$O$4="CA",'2025'!$O$2=AV423),'2025DATA'!$E$9,"")</f>
        <v/>
      </c>
      <c r="AW430" s="518" t="str">
        <f>IF(AND(_A3="A-330-200",'2025'!$O$4="CA",'2025'!$O$2=AW423),'2025DATA'!$F$9,"")</f>
        <v/>
      </c>
      <c r="AX430" s="518" t="str">
        <f>IF(AND(_A3="A-330-200",'2025'!$O$4="CA",'2025'!$O$2=AX423),'2025DATA'!$G$9,"")</f>
        <v/>
      </c>
      <c r="AY430" s="518" t="str">
        <f>IF(AND(_A3="A-330-200",'2025'!$O$4="CA",'2025'!$O$2=AY423),'2025DATA'!$H$9,"")</f>
        <v/>
      </c>
      <c r="AZ430" s="518" t="str">
        <f>IF(AND(_A3="A-330-200",'2025'!$O$4="CA",'2025'!$O$2=AZ423),'2025DATA'!$I$9,"")</f>
        <v/>
      </c>
      <c r="BA430" s="518" t="str">
        <f>IF(AND(_A3="A-330-200",'2025'!$O$4="CA",'2025'!$O$2=BA423),'2025DATA'!$J$9,"")</f>
        <v/>
      </c>
      <c r="BB430" s="518" t="str">
        <f>IF(AND(_A3="A-330-200",'2025'!$O$4="CA",'2025'!$O$2=BB423),'2025DATA'!$K$9,"")</f>
        <v/>
      </c>
      <c r="BC430" s="518" t="str">
        <f>IF(AND(_A3="A-330-200",'2025'!$O$4="CA",'2025'!$O$2=BC423),'2025DATA'!$L$9,"")</f>
        <v/>
      </c>
      <c r="BD430" s="518" t="str">
        <f>IF(AND(_A3="A-330-200",'2025'!$O$4="CA",'2025'!$O$2=BD423),'2025DATA'!$M$9,"")</f>
        <v/>
      </c>
      <c r="BE430" s="520" t="str">
        <f>IF(AND(_A3="A-330-200",'2025'!$O$4="CA",'2025'!$O$2=BE423),'2025DATA'!$N$9,"")</f>
        <v/>
      </c>
      <c r="BF430" s="940" t="s">
        <v>66</v>
      </c>
      <c r="BG430" s="13" t="s">
        <v>61</v>
      </c>
      <c r="BH430" s="518" t="str">
        <f>IF(AND(_A4="A-330-200",'2025'!$O$4="CA",'2025'!$O$2=BH423),'2025DATA'!$C$9,"")</f>
        <v/>
      </c>
      <c r="BI430" s="518" t="str">
        <f>IF(AND(_A4="A-330-200",'2025'!$O$4="CA",'2025'!$O$2=BI423),'2025DATA'!$D$9,"")</f>
        <v/>
      </c>
      <c r="BJ430" s="518" t="str">
        <f>IF(AND(_A4="A-330-200",'2025'!$O$4="CA",'2025'!$O$2=BJ423),'2025DATA'!$E$9,"")</f>
        <v/>
      </c>
      <c r="BK430" s="518" t="str">
        <f>IF(AND(_A4="A-330-200",'2025'!$O$4="CA",'2025'!$O$2=BK423),'2025DATA'!$F$9,"")</f>
        <v/>
      </c>
      <c r="BL430" s="518" t="str">
        <f>IF(AND(_A4="A-330-200",'2025'!$O$4="CA",'2025'!$O$2=BL423),'2025DATA'!$G$9,"")</f>
        <v/>
      </c>
      <c r="BM430" s="518" t="str">
        <f>IF(AND(_A4="A-330-200",'2025'!$O$4="CA",'2025'!$O$2=BM423),'2025DATA'!$H$9,"")</f>
        <v/>
      </c>
      <c r="BN430" s="518" t="str">
        <f>IF(AND(_A4="A-330-200",'2025'!$O$4="CA",'2025'!$O$2=BN423),'2025DATA'!$I$9,"")</f>
        <v/>
      </c>
      <c r="BO430" s="518" t="str">
        <f>IF(AND(_A4="A-330-200",'2025'!$O$4="CA",'2025'!$O$2=BO423),'2025DATA'!$J$9,"")</f>
        <v/>
      </c>
      <c r="BP430" s="518" t="str">
        <f>IF(AND(_A4="A-330-200",'2025'!$O$4="CA",'2025'!$O$2=BP423),'2025DATA'!$K$9,"")</f>
        <v/>
      </c>
      <c r="BQ430" s="518" t="str">
        <f>IF(AND(_A4="A-330-200",'2025'!$O$4="CA",'2025'!$O$2=BQ423),'2025DATA'!$L$9,"")</f>
        <v/>
      </c>
      <c r="BR430" s="518" t="str">
        <f>IF(AND(_A4="A-330-200",'2025'!$O$4="CA",'2025'!$O$2=BR423),'2025DATA'!$M$9,"")</f>
        <v/>
      </c>
      <c r="BS430" s="520" t="str">
        <f>IF(AND(_A4="A-330-200",'2025'!$O$4="CA",'2025'!$O$2=BS423),'2025DATA'!$N$9,"")</f>
        <v/>
      </c>
      <c r="BT430" s="940" t="s">
        <v>66</v>
      </c>
      <c r="BU430" s="13" t="s">
        <v>61</v>
      </c>
      <c r="BV430" s="518" t="str">
        <f>IF(AND(_A5="A-330-200",'2025'!$O$4="CA",'2025'!$O$2=BV423),'2025DATA'!$C$9,"")</f>
        <v/>
      </c>
      <c r="BW430" s="518" t="str">
        <f>IF(AND(_A5="A-330-200",'2025'!$O$4="CA",'2025'!$O$2=BW423),'2025DATA'!$D$9,"")</f>
        <v/>
      </c>
      <c r="BX430" s="518" t="str">
        <f>IF(AND(_A5="A-330-200",'2025'!$O$4="CA",'2025'!$O$2=BX423),'2025DATA'!$E$9,"")</f>
        <v/>
      </c>
      <c r="BY430" s="518" t="str">
        <f>IF(AND(_A5="A-330-200",'2025'!$O$4="CA",'2025'!$O$2=BY423),'2025DATA'!$F$9,"")</f>
        <v/>
      </c>
      <c r="BZ430" s="518" t="str">
        <f>IF(AND(_A5="A-330-200",'2025'!$O$4="CA",'2025'!$O$2=BZ423),'2025DATA'!$G$9,"")</f>
        <v/>
      </c>
      <c r="CA430" s="518" t="str">
        <f>IF(AND(_A5="A-330-200",'2025'!$O$4="CA",'2025'!$O$2=CA423),'2025DATA'!$H$9,"")</f>
        <v/>
      </c>
      <c r="CB430" s="518" t="str">
        <f>IF(AND(_A5="A-330-200",'2025'!$O$4="CA",'2025'!$O$2=CB423),'2025DATA'!$I$9,"")</f>
        <v/>
      </c>
      <c r="CC430" s="518" t="str">
        <f>IF(AND(_A5="A-330-200",'2025'!$O$4="CA",'2025'!$O$2=CC423),'2025DATA'!$J$9,"")</f>
        <v/>
      </c>
      <c r="CD430" s="518" t="str">
        <f>IF(AND(_A5="A-330-200",'2025'!$O$4="CA",'2025'!$O$2=CD423),'2025DATA'!$K$9,"")</f>
        <v/>
      </c>
      <c r="CE430" s="518" t="str">
        <f>IF(AND(_A5="A-330-200",'2025'!$O$4="CA",'2025'!$O$2=CE423),'2025DATA'!$L$9,"")</f>
        <v/>
      </c>
      <c r="CF430" s="518" t="str">
        <f>IF(AND(_A5="A-330-200",'2025'!$O$4="CA",'2025'!$O$2=CF423),'2025DATA'!$M$9,"")</f>
        <v/>
      </c>
      <c r="CG430" s="520" t="str">
        <f>IF(AND(_A5="A-330-200",'2025'!$O$4="CA",'2025'!$O$2=CG423),'2025DATA'!$N$9,"")</f>
        <v/>
      </c>
      <c r="CH430" s="940" t="s">
        <v>66</v>
      </c>
      <c r="CI430" s="13" t="s">
        <v>61</v>
      </c>
      <c r="CJ430" s="518" t="str">
        <f>IF(AND(_A6="A-330-200",'2025'!$O$4="CA",'2025'!$O$2=CJ423),'2025DATA'!$C$9,"")</f>
        <v/>
      </c>
      <c r="CK430" s="518" t="str">
        <f>IF(AND(_A6="A-330-200",'2025'!$O$4="CA",'2025'!$O$2=CK423),'2025DATA'!$D$9,"")</f>
        <v/>
      </c>
      <c r="CL430" s="518" t="str">
        <f>IF(AND(_A6="A-330-200",'2025'!$O$4="CA",'2025'!$O$2=CL423),'2025DATA'!$E$9,"")</f>
        <v/>
      </c>
      <c r="CM430" s="518" t="str">
        <f>IF(AND(_A6="A-330-200",'2025'!$O$4="CA",'2025'!$O$2=CM423),'2025DATA'!$F$9,"")</f>
        <v/>
      </c>
      <c r="CN430" s="518" t="str">
        <f>IF(AND(_A6="A-330-200",'2025'!$O$4="CA",'2025'!$O$2=CN423),'2025DATA'!$G$9,"")</f>
        <v/>
      </c>
      <c r="CO430" s="518" t="str">
        <f>IF(AND(_A6="A-330-200",'2025'!$O$4="CA",'2025'!$O$2=CO423),'2025DATA'!$H$9,"")</f>
        <v/>
      </c>
      <c r="CP430" s="518" t="str">
        <f>IF(AND(_A6="A-330-200",'2025'!$O$4="CA",'2025'!$O$2=CP423),'2025DATA'!$I$9,"")</f>
        <v/>
      </c>
      <c r="CQ430" s="518" t="str">
        <f>IF(AND(_A6="A-330-200",'2025'!$O$4="CA",'2025'!$O$2=CQ423),'2025DATA'!$J$9,"")</f>
        <v/>
      </c>
      <c r="CR430" s="518" t="str">
        <f>IF(AND(_A6="A-330-200",'2025'!$O$4="CA",'2025'!$O$2=CR423),'2025DATA'!$K$9,"")</f>
        <v/>
      </c>
      <c r="CS430" s="518" t="str">
        <f>IF(AND(_A6="A-330-200",'2025'!$O$4="CA",'2025'!$O$2=CS423),'2025DATA'!$L$9,"")</f>
        <v/>
      </c>
      <c r="CT430" s="518" t="str">
        <f>IF(AND(_A6="A-330-200",'2025'!$O$4="CA",'2025'!$O$2=CT423),'2025DATA'!$M$9,"")</f>
        <v/>
      </c>
      <c r="CU430" s="520" t="str">
        <f>IF(AND(_A6="A-330-200",'2025'!$O$4="CA",'2025'!$O$2=CU423),'2025DATA'!$N$9,"")</f>
        <v/>
      </c>
    </row>
    <row r="431" spans="16:99" x14ac:dyDescent="0.25">
      <c r="P431" s="940"/>
      <c r="Q431" s="13" t="s">
        <v>62</v>
      </c>
      <c r="R431" s="518" t="str">
        <f>IF(AND(_A1="A-330-200",'2025'!$O$4="FO",'2025'!$O$2=R423),'2025DATA'!$C$10,"")</f>
        <v/>
      </c>
      <c r="S431" s="518" t="str">
        <f>IF(AND(_A1="A-330-200",'2025'!$O$4="FO",'2025'!$O$2=S423),'2025DATA'!$D$10,"")</f>
        <v/>
      </c>
      <c r="T431" s="518" t="str">
        <f>IF(AND(_A1="A-330-200",'2025'!$O$4="FO",'2025'!$O$2=T423),'2025DATA'!$E$10,"")</f>
        <v/>
      </c>
      <c r="U431" s="518" t="str">
        <f>IF(AND(_A1="A-330-200",'2025'!$O$4="FO",'2025'!$O$2=U423),'2025DATA'!$F$10,"")</f>
        <v/>
      </c>
      <c r="V431" s="518" t="str">
        <f>IF(AND(_A1="A-330-200",'2025'!$O$4="FO",'2025'!$O$2=V423),'2025DATA'!$G$10,"")</f>
        <v/>
      </c>
      <c r="W431" s="518" t="str">
        <f>IF(AND(_A1="A-330-200",'2025'!$O$4="FO",'2025'!$O$2=W423),'2025DATA'!$H$10,"")</f>
        <v/>
      </c>
      <c r="X431" s="518" t="str">
        <f>IF(AND(_A1="A-330-200",'2025'!$O$4="FO",'2025'!$O$2=X423),'2025DATA'!$I$10,"")</f>
        <v/>
      </c>
      <c r="Y431" s="518" t="str">
        <f>IF(AND(_A1="A-330-200",'2025'!$O$4="FO",'2025'!$O$2=Y423),'2025DATA'!$J$10,"")</f>
        <v/>
      </c>
      <c r="Z431" s="518" t="str">
        <f>IF(AND(_A1="A-330-200",'2025'!$O$4="FO",'2025'!$O$2=Z423),'2025DATA'!$K$10,"")</f>
        <v/>
      </c>
      <c r="AA431" s="518" t="str">
        <f>IF(AND(_A1="A-330-200",'2025'!$O$4="FO",'2025'!$O$2=AA423),'2025DATA'!$L$10,"")</f>
        <v/>
      </c>
      <c r="AB431" s="518" t="str">
        <f>IF(AND(_A1="A-330-200",'2025'!$O$4="FO",'2025'!$O$2=AB423),'2025DATA'!$M$10,"")</f>
        <v/>
      </c>
      <c r="AC431" s="520" t="str">
        <f>IF(AND(_A1="A-330-200",'2025'!$O$4="FO",'2025'!$O$2=AC423),'2025DATA'!$N$10,"")</f>
        <v/>
      </c>
      <c r="AD431" s="940"/>
      <c r="AE431" s="13" t="s">
        <v>62</v>
      </c>
      <c r="AF431" s="518" t="str">
        <f>IF(AND(_A2="A-330-200",'2025'!$O$4="FO",'2025'!$O$2=AF423),'2025DATA'!$C$10,"")</f>
        <v/>
      </c>
      <c r="AG431" s="518" t="str">
        <f>IF(AND(_A2="A-330-200",'2025'!$O$4="FO",'2025'!$O$2=AG423),'2025DATA'!$D$10,"")</f>
        <v/>
      </c>
      <c r="AH431" s="518" t="str">
        <f>IF(AND(_A2="A-330-200",'2025'!$O$4="FO",'2025'!$O$2=AH423),'2025DATA'!$E$10,"")</f>
        <v/>
      </c>
      <c r="AI431" s="518" t="str">
        <f>IF(AND(_A2="A-330-200",'2025'!$O$4="FO",'2025'!$O$2=AI423),'2025DATA'!$F$10,"")</f>
        <v/>
      </c>
      <c r="AJ431" s="518" t="str">
        <f>IF(AND(_A2="A-330-200",'2025'!$O$4="FO",'2025'!$O$2=AJ423),'2025DATA'!$G$10,"")</f>
        <v/>
      </c>
      <c r="AK431" s="518" t="str">
        <f>IF(AND(_A2="A-330-200",'2025'!$O$4="FO",'2025'!$O$2=AK423),'2025DATA'!$H$10,"")</f>
        <v/>
      </c>
      <c r="AL431" s="518" t="str">
        <f>IF(AND(_A2="A-330-200",'2025'!$O$4="FO",'2025'!$O$2=AL423),'2025DATA'!$I$10,"")</f>
        <v/>
      </c>
      <c r="AM431" s="518" t="str">
        <f>IF(AND(_A2="A-330-200",'2025'!$O$4="FO",'2025'!$O$2=AM423),'2025DATA'!$J$10,"")</f>
        <v/>
      </c>
      <c r="AN431" s="518" t="str">
        <f>IF(AND(_A2="A-330-200",'2025'!$O$4="FO",'2025'!$O$2=AN423),'2025DATA'!$K$10,"")</f>
        <v/>
      </c>
      <c r="AO431" s="518" t="str">
        <f>IF(AND(_A2="A-330-200",'2025'!$O$4="FO",'2025'!$O$2=AO423),'2025DATA'!$L$10,"")</f>
        <v/>
      </c>
      <c r="AP431" s="518" t="str">
        <f>IF(AND(_A2="A-330-200",'2025'!$O$4="FO",'2025'!$O$2=AP423),'2025DATA'!$M$10,"")</f>
        <v/>
      </c>
      <c r="AQ431" s="520" t="str">
        <f>IF(AND(_A2="A-330-200",'2025'!$O$4="FO",'2025'!$O$2=AQ423),'2025DATA'!$N$10,"")</f>
        <v/>
      </c>
      <c r="AR431" s="940"/>
      <c r="AS431" s="13" t="s">
        <v>62</v>
      </c>
      <c r="AT431" s="518" t="str">
        <f>IF(AND(_A3="A-330-200",'2025'!$O$4="FO",'2025'!$O$2=AT423),'2025DATA'!$C$10,"")</f>
        <v/>
      </c>
      <c r="AU431" s="518" t="str">
        <f>IF(AND(_A3="A-330-200",'2025'!$O$4="FO",'2025'!$O$2=AU423),'2025DATA'!$D$10,"")</f>
        <v/>
      </c>
      <c r="AV431" s="518" t="str">
        <f>IF(AND(_A3="A-330-200",'2025'!$O$4="FO",'2025'!$O$2=AV423),'2025DATA'!$E$10,"")</f>
        <v/>
      </c>
      <c r="AW431" s="518" t="str">
        <f>IF(AND(_A3="A-330-200",'2025'!$O$4="FO",'2025'!$O$2=AW423),'2025DATA'!$F$10,"")</f>
        <v/>
      </c>
      <c r="AX431" s="518" t="str">
        <f>IF(AND(_A3="A-330-200",'2025'!$O$4="FO",'2025'!$O$2=AX423),'2025DATA'!$G$10,"")</f>
        <v/>
      </c>
      <c r="AY431" s="518" t="str">
        <f>IF(AND(_A3="A-330-200",'2025'!$O$4="FO",'2025'!$O$2=AY423),'2025DATA'!$H$10,"")</f>
        <v/>
      </c>
      <c r="AZ431" s="518" t="str">
        <f>IF(AND(_A3="A-330-200",'2025'!$O$4="FO",'2025'!$O$2=AZ423),'2025DATA'!$I$10,"")</f>
        <v/>
      </c>
      <c r="BA431" s="518" t="str">
        <f>IF(AND(_A3="A-330-200",'2025'!$O$4="FO",'2025'!$O$2=BA423),'2025DATA'!$J$10,"")</f>
        <v/>
      </c>
      <c r="BB431" s="518" t="str">
        <f>IF(AND(_A3="A-330-200",'2025'!$O$4="FO",'2025'!$O$2=BB423),'2025DATA'!$K$10,"")</f>
        <v/>
      </c>
      <c r="BC431" s="518" t="str">
        <f>IF(AND(_A3="A-330-200",'2025'!$O$4="FO",'2025'!$O$2=BC423),'2025DATA'!$L$10,"")</f>
        <v/>
      </c>
      <c r="BD431" s="518" t="str">
        <f>IF(AND(_A3="A-330-200",'2025'!$O$4="FO",'2025'!$O$2=BD423),'2025DATA'!$M$10,"")</f>
        <v/>
      </c>
      <c r="BE431" s="520" t="str">
        <f>IF(AND(_A3="A-330-200",'2025'!$O$4="FO",'2025'!$O$2=BE423),'2025DATA'!$N$10,"")</f>
        <v/>
      </c>
      <c r="BF431" s="940"/>
      <c r="BG431" s="13" t="s">
        <v>62</v>
      </c>
      <c r="BH431" s="518" t="str">
        <f>IF(AND(_A4="A-330-200",'2025'!$O$4="FO",'2025'!$O$2=BH423),'2025DATA'!$C$10,"")</f>
        <v/>
      </c>
      <c r="BI431" s="518" t="str">
        <f>IF(AND(_A4="A-330-200",'2025'!$O$4="FO",'2025'!$O$2=BI423),'2025DATA'!$D$10,"")</f>
        <v/>
      </c>
      <c r="BJ431" s="518" t="str">
        <f>IF(AND(_A4="A-330-200",'2025'!$O$4="FO",'2025'!$O$2=BJ423),'2025DATA'!$E$10,"")</f>
        <v/>
      </c>
      <c r="BK431" s="518" t="str">
        <f>IF(AND(_A4="A-330-200",'2025'!$O$4="FO",'2025'!$O$2=BK423),'2025DATA'!$F$10,"")</f>
        <v/>
      </c>
      <c r="BL431" s="518" t="str">
        <f>IF(AND(_A4="A-330-200",'2025'!$O$4="FO",'2025'!$O$2=BL423),'2025DATA'!$G$10,"")</f>
        <v/>
      </c>
      <c r="BM431" s="518" t="str">
        <f>IF(AND(_A4="A-330-200",'2025'!$O$4="FO",'2025'!$O$2=BM423),'2025DATA'!$H$10,"")</f>
        <v/>
      </c>
      <c r="BN431" s="518" t="str">
        <f>IF(AND(_A4="A-330-200",'2025'!$O$4="FO",'2025'!$O$2=BN423),'2025DATA'!$I$10,"")</f>
        <v/>
      </c>
      <c r="BO431" s="518" t="str">
        <f>IF(AND(_A4="A-330-200",'2025'!$O$4="FO",'2025'!$O$2=BO423),'2025DATA'!$J$10,"")</f>
        <v/>
      </c>
      <c r="BP431" s="518" t="str">
        <f>IF(AND(_A4="A-330-200",'2025'!$O$4="FO",'2025'!$O$2=BP423),'2025DATA'!$K$10,"")</f>
        <v/>
      </c>
      <c r="BQ431" s="518" t="str">
        <f>IF(AND(_A4="A-330-200",'2025'!$O$4="FO",'2025'!$O$2=BQ423),'2025DATA'!$L$10,"")</f>
        <v/>
      </c>
      <c r="BR431" s="518" t="str">
        <f>IF(AND(_A4="A-330-200",'2025'!$O$4="FO",'2025'!$O$2=BR423),'2025DATA'!$M$10,"")</f>
        <v/>
      </c>
      <c r="BS431" s="520" t="str">
        <f>IF(AND(_A4="A-330-200",'2025'!$O$4="FO",'2025'!$O$2=BS423),'2025DATA'!$N$10,"")</f>
        <v/>
      </c>
      <c r="BT431" s="940"/>
      <c r="BU431" s="13" t="s">
        <v>62</v>
      </c>
      <c r="BV431" s="518" t="str">
        <f>IF(AND(_A5="A-330-200",'2025'!$O$4="FO",'2025'!$O$2=BV423),'2025DATA'!$C$10,"")</f>
        <v/>
      </c>
      <c r="BW431" s="518" t="str">
        <f>IF(AND(_A5="A-330-200",'2025'!$O$4="FO",'2025'!$O$2=BW423),'2025DATA'!$D$10,"")</f>
        <v/>
      </c>
      <c r="BX431" s="518" t="str">
        <f>IF(AND(_A5="A-330-200",'2025'!$O$4="FO",'2025'!$O$2=BX423),'2025DATA'!$E$10,"")</f>
        <v/>
      </c>
      <c r="BY431" s="518" t="str">
        <f>IF(AND(_A5="A-330-200",'2025'!$O$4="FO",'2025'!$O$2=BY423),'2025DATA'!$F$10,"")</f>
        <v/>
      </c>
      <c r="BZ431" s="518" t="str">
        <f>IF(AND(_A5="A-330-200",'2025'!$O$4="FO",'2025'!$O$2=BZ423),'2025DATA'!$G$10,"")</f>
        <v/>
      </c>
      <c r="CA431" s="518" t="str">
        <f>IF(AND(_A5="A-330-200",'2025'!$O$4="FO",'2025'!$O$2=CA423),'2025DATA'!$H$10,"")</f>
        <v/>
      </c>
      <c r="CB431" s="518" t="str">
        <f>IF(AND(_A5="A-330-200",'2025'!$O$4="FO",'2025'!$O$2=CB423),'2025DATA'!$I$10,"")</f>
        <v/>
      </c>
      <c r="CC431" s="518" t="str">
        <f>IF(AND(_A5="A-330-200",'2025'!$O$4="FO",'2025'!$O$2=CC423),'2025DATA'!$J$10,"")</f>
        <v/>
      </c>
      <c r="CD431" s="518" t="str">
        <f>IF(AND(_A5="A-330-200",'2025'!$O$4="FO",'2025'!$O$2=CD423),'2025DATA'!$K$10,"")</f>
        <v/>
      </c>
      <c r="CE431" s="518" t="str">
        <f>IF(AND(_A5="A-330-200",'2025'!$O$4="FO",'2025'!$O$2=CE423),'2025DATA'!$L$10,"")</f>
        <v/>
      </c>
      <c r="CF431" s="518" t="str">
        <f>IF(AND(_A5="A-330-200",'2025'!$O$4="FO",'2025'!$O$2=CF423),'2025DATA'!$M$10,"")</f>
        <v/>
      </c>
      <c r="CG431" s="520" t="str">
        <f>IF(AND(_A5="A-330-200",'2025'!$O$4="FO",'2025'!$O$2=CG423),'2025DATA'!$N$10,"")</f>
        <v/>
      </c>
      <c r="CH431" s="940"/>
      <c r="CI431" s="13" t="s">
        <v>62</v>
      </c>
      <c r="CJ431" s="518" t="str">
        <f>IF(AND(_A6="A-330-200",'2025'!$O$4="FO",'2025'!$O$2=CJ423),'2025DATA'!$C$10,"")</f>
        <v/>
      </c>
      <c r="CK431" s="518" t="str">
        <f>IF(AND(_A6="A-330-200",'2025'!$O$4="FO",'2025'!$O$2=CK423),'2025DATA'!$D$10,"")</f>
        <v/>
      </c>
      <c r="CL431" s="518" t="str">
        <f>IF(AND(_A6="A-330-200",'2025'!$O$4="FO",'2025'!$O$2=CL423),'2025DATA'!$E$10,"")</f>
        <v/>
      </c>
      <c r="CM431" s="518" t="str">
        <f>IF(AND(_A6="A-330-200",'2025'!$O$4="FO",'2025'!$O$2=CM423),'2025DATA'!$F$10,"")</f>
        <v/>
      </c>
      <c r="CN431" s="518" t="str">
        <f>IF(AND(_A6="A-330-200",'2025'!$O$4="FO",'2025'!$O$2=CN423),'2025DATA'!$G$10,"")</f>
        <v/>
      </c>
      <c r="CO431" s="518" t="str">
        <f>IF(AND(_A6="A-330-200",'2025'!$O$4="FO",'2025'!$O$2=CO423),'2025DATA'!$H$10,"")</f>
        <v/>
      </c>
      <c r="CP431" s="518" t="str">
        <f>IF(AND(_A6="A-330-200",'2025'!$O$4="FO",'2025'!$O$2=CP423),'2025DATA'!$I$10,"")</f>
        <v/>
      </c>
      <c r="CQ431" s="518" t="str">
        <f>IF(AND(_A6="A-330-200",'2025'!$O$4="FO",'2025'!$O$2=CQ423),'2025DATA'!$J$10,"")</f>
        <v/>
      </c>
      <c r="CR431" s="518" t="str">
        <f>IF(AND(_A6="A-330-200",'2025'!$O$4="FO",'2025'!$O$2=CR423),'2025DATA'!$K$10,"")</f>
        <v/>
      </c>
      <c r="CS431" s="518" t="str">
        <f>IF(AND(_A6="A-330-200",'2025'!$O$4="FO",'2025'!$O$2=CS423),'2025DATA'!$L$10,"")</f>
        <v/>
      </c>
      <c r="CT431" s="518" t="str">
        <f>IF(AND(_A6="A-330-200",'2025'!$O$4="FO",'2025'!$O$2=CT423),'2025DATA'!$M$10,"")</f>
        <v/>
      </c>
      <c r="CU431" s="520" t="str">
        <f>IF(AND(_A6="A-330-200",'2025'!$O$4="FO",'2025'!$O$2=CU423),'2025DATA'!$N$10,"")</f>
        <v/>
      </c>
    </row>
    <row r="432" spans="16:99" x14ac:dyDescent="0.25">
      <c r="P432" s="940" t="s">
        <v>42</v>
      </c>
      <c r="Q432" s="13" t="s">
        <v>61</v>
      </c>
      <c r="R432" s="518" t="str">
        <f>IF(AND(_A1="B-767-400ER",'2025'!$O$4="CA",'2025'!$O$2=R423),'2025DATA'!$C$11,"")</f>
        <v/>
      </c>
      <c r="S432" s="518" t="str">
        <f>IF(AND(_A1="B-767-400ER",'2025'!$O$4="CA",'2025'!$O$2=S423),'2025DATA'!$D$11,"")</f>
        <v/>
      </c>
      <c r="T432" s="518" t="str">
        <f>IF(AND(_A1="B-767-400ER",'2025'!$O$4="CA",'2025'!$O$2=T423),'2025DATA'!$E$11,"")</f>
        <v/>
      </c>
      <c r="U432" s="518" t="str">
        <f>IF(AND(_A1="B-767-400ER",'2025'!$O$4="CA",'2025'!$O$2=U423),'2025DATA'!$F$11,"")</f>
        <v/>
      </c>
      <c r="V432" s="518" t="str">
        <f>IF(AND(_A1="B-767-400ER",'2025'!$O$4="CA",'2025'!$O$2=V423),'2025DATA'!$G$11,"")</f>
        <v/>
      </c>
      <c r="W432" s="518" t="str">
        <f>IF(AND(_A1="B-767-400ER",'2025'!$O$4="CA",'2025'!$O$2=W423),'2025DATA'!$H$11,"")</f>
        <v/>
      </c>
      <c r="X432" s="518" t="str">
        <f>IF(AND(_A1="B-767-400ER",'2025'!$O$4="CA",'2025'!$O$2=X423),'2025DATA'!$I$11,"")</f>
        <v/>
      </c>
      <c r="Y432" s="518" t="str">
        <f>IF(AND(_A1="B-767-400ER",'2025'!$O$4="CA",'2025'!$O$2=Y423),'2025DATA'!$J$11,"")</f>
        <v/>
      </c>
      <c r="Z432" s="518" t="str">
        <f>IF(AND(_A1="B-767-400ER",'2025'!$O$4="CA",'2025'!$O$2=Z423),'2025DATA'!$K$11,"")</f>
        <v/>
      </c>
      <c r="AA432" s="518" t="str">
        <f>IF(AND(_A1="B-767-400ER",'2025'!$O$4="CA",'2025'!$O$2=AA423),'2025DATA'!$L$11,"")</f>
        <v/>
      </c>
      <c r="AB432" s="518" t="str">
        <f>IF(AND(_A1="B-767-400ER",'2025'!$O$4="CA",'2025'!$O$2=AB423),'2025DATA'!$M$11,"")</f>
        <v/>
      </c>
      <c r="AC432" s="520" t="str">
        <f>IF(AND(_A1="B-767-400ER",'2025'!$O$4="CA",'2025'!$O$2=AC423),'2025DATA'!$N$11,"")</f>
        <v/>
      </c>
      <c r="AD432" s="940" t="s">
        <v>42</v>
      </c>
      <c r="AE432" s="13" t="s">
        <v>61</v>
      </c>
      <c r="AF432" s="518" t="str">
        <f>IF(AND(_A2="B-767-400ER",'2025'!$O$4="CA",'2025'!$O$2=AF423),'2025DATA'!$C$11,"")</f>
        <v/>
      </c>
      <c r="AG432" s="518" t="str">
        <f>IF(AND(_A2="B-767-400ER",'2025'!$O$4="CA",'2025'!$O$2=AG423),'2025DATA'!$D$11,"")</f>
        <v/>
      </c>
      <c r="AH432" s="518" t="str">
        <f>IF(AND(_A2="B-767-400ER",'2025'!$O$4="CA",'2025'!$O$2=AH423),'2025DATA'!$E$11,"")</f>
        <v/>
      </c>
      <c r="AI432" s="518" t="str">
        <f>IF(AND(_A2="B-767-400ER",'2025'!$O$4="CA",'2025'!$O$2=AI423),'2025DATA'!$F$11,"")</f>
        <v/>
      </c>
      <c r="AJ432" s="518" t="str">
        <f>IF(AND(_A2="B-767-400ER",'2025'!$O$4="CA",'2025'!$O$2=AJ423),'2025DATA'!$G$11,"")</f>
        <v/>
      </c>
      <c r="AK432" s="518" t="str">
        <f>IF(AND(_A2="B-767-400ER",'2025'!$O$4="CA",'2025'!$O$2=AK423),'2025DATA'!$H$11,"")</f>
        <v/>
      </c>
      <c r="AL432" s="518" t="str">
        <f>IF(AND(_A2="B-767-400ER",'2025'!$O$4="CA",'2025'!$O$2=AL423),'2025DATA'!$I$11,"")</f>
        <v/>
      </c>
      <c r="AM432" s="518" t="str">
        <f>IF(AND(_A2="B-767-400ER",'2025'!$O$4="CA",'2025'!$O$2=AM423),'2025DATA'!$J$11,"")</f>
        <v/>
      </c>
      <c r="AN432" s="518" t="str">
        <f>IF(AND(_A2="B-767-400ER",'2025'!$O$4="CA",'2025'!$O$2=AN423),'2025DATA'!$K$11,"")</f>
        <v/>
      </c>
      <c r="AO432" s="518" t="str">
        <f>IF(AND(_A2="B-767-400ER",'2025'!$O$4="CA",'2025'!$O$2=AO423),'2025DATA'!$L$11,"")</f>
        <v/>
      </c>
      <c r="AP432" s="518" t="str">
        <f>IF(AND(_A2="B-767-400ER",'2025'!$O$4="CA",'2025'!$O$2=AP423),'2025DATA'!$M$11,"")</f>
        <v/>
      </c>
      <c r="AQ432" s="520" t="str">
        <f>IF(AND(_A2="B-767-400ER",'2025'!$O$4="CA",'2025'!$O$2=AQ423),'2025DATA'!$N$11,"")</f>
        <v/>
      </c>
      <c r="AR432" s="940" t="s">
        <v>42</v>
      </c>
      <c r="AS432" s="13" t="s">
        <v>61</v>
      </c>
      <c r="AT432" s="518" t="str">
        <f>IF(AND(_A3="B-767-400ER",'2025'!$O$4="CA",'2025'!$O$2=AT423),'2025DATA'!$C$11,"")</f>
        <v/>
      </c>
      <c r="AU432" s="518" t="str">
        <f>IF(AND(_A3="B-767-400ER",'2025'!$O$4="CA",'2025'!$O$2=AU423),'2025DATA'!$D$11,"")</f>
        <v/>
      </c>
      <c r="AV432" s="518" t="str">
        <f>IF(AND(_A3="B-767-400ER",'2025'!$O$4="CA",'2025'!$O$2=AV423),'2025DATA'!$E$11,"")</f>
        <v/>
      </c>
      <c r="AW432" s="518" t="str">
        <f>IF(AND(_A3="B-767-400ER",'2025'!$O$4="CA",'2025'!$O$2=AW423),'2025DATA'!$F$11,"")</f>
        <v/>
      </c>
      <c r="AX432" s="518" t="str">
        <f>IF(AND(_A3="B-767-400ER",'2025'!$O$4="CA",'2025'!$O$2=AX423),'2025DATA'!$G$11,"")</f>
        <v/>
      </c>
      <c r="AY432" s="518" t="str">
        <f>IF(AND(_A3="B-767-400ER",'2025'!$O$4="CA",'2025'!$O$2=AY423),'2025DATA'!$H$11,"")</f>
        <v/>
      </c>
      <c r="AZ432" s="518" t="str">
        <f>IF(AND(_A3="B-767-400ER",'2025'!$O$4="CA",'2025'!$O$2=AZ423),'2025DATA'!$I$11,"")</f>
        <v/>
      </c>
      <c r="BA432" s="518" t="str">
        <f>IF(AND(_A3="B-767-400ER",'2025'!$O$4="CA",'2025'!$O$2=BA423),'2025DATA'!$J$11,"")</f>
        <v/>
      </c>
      <c r="BB432" s="518" t="str">
        <f>IF(AND(_A3="B-767-400ER",'2025'!$O$4="CA",'2025'!$O$2=BB423),'2025DATA'!$K$11,"")</f>
        <v/>
      </c>
      <c r="BC432" s="518" t="str">
        <f>IF(AND(_A3="B-767-400ER",'2025'!$O$4="CA",'2025'!$O$2=BC423),'2025DATA'!$L$11,"")</f>
        <v/>
      </c>
      <c r="BD432" s="518" t="str">
        <f>IF(AND(_A3="B-767-400ER",'2025'!$O$4="CA",'2025'!$O$2=BD423),'2025DATA'!$M$11,"")</f>
        <v/>
      </c>
      <c r="BE432" s="520" t="str">
        <f>IF(AND(_A3="B-767-400ER",'2025'!$O$4="CA",'2025'!$O$2=BE423),'2025DATA'!$N$11,"")</f>
        <v/>
      </c>
      <c r="BF432" s="940" t="s">
        <v>42</v>
      </c>
      <c r="BG432" s="13" t="s">
        <v>61</v>
      </c>
      <c r="BH432" s="518" t="str">
        <f>IF(AND(_A4="B-767-400ER",'2025'!$O$4="CA",'2025'!$O$2=BH423),'2025DATA'!$C$11,"")</f>
        <v/>
      </c>
      <c r="BI432" s="518" t="str">
        <f>IF(AND(_A4="B-767-400ER",'2025'!$O$4="CA",'2025'!$O$2=BI423),'2025DATA'!$D$11,"")</f>
        <v/>
      </c>
      <c r="BJ432" s="518" t="str">
        <f>IF(AND(_A4="B-767-400ER",'2025'!$O$4="CA",'2025'!$O$2=BJ423),'2025DATA'!$E$11,"")</f>
        <v/>
      </c>
      <c r="BK432" s="518" t="str">
        <f>IF(AND(_A4="B-767-400ER",'2025'!$O$4="CA",'2025'!$O$2=BK423),'2025DATA'!$F$11,"")</f>
        <v/>
      </c>
      <c r="BL432" s="518" t="str">
        <f>IF(AND(_A4="B-767-400ER",'2025'!$O$4="CA",'2025'!$O$2=BL423),'2025DATA'!$G$11,"")</f>
        <v/>
      </c>
      <c r="BM432" s="518" t="str">
        <f>IF(AND(_A4="B-767-400ER",'2025'!$O$4="CA",'2025'!$O$2=BM423),'2025DATA'!$H$11,"")</f>
        <v/>
      </c>
      <c r="BN432" s="518" t="str">
        <f>IF(AND(_A4="B-767-400ER",'2025'!$O$4="CA",'2025'!$O$2=BN423),'2025DATA'!$I$11,"")</f>
        <v/>
      </c>
      <c r="BO432" s="518" t="str">
        <f>IF(AND(_A4="B-767-400ER",'2025'!$O$4="CA",'2025'!$O$2=BO423),'2025DATA'!$J$11,"")</f>
        <v/>
      </c>
      <c r="BP432" s="518" t="str">
        <f>IF(AND(_A4="B-767-400ER",'2025'!$O$4="CA",'2025'!$O$2=BP423),'2025DATA'!$K$11,"")</f>
        <v/>
      </c>
      <c r="BQ432" s="518" t="str">
        <f>IF(AND(_A4="B-767-400ER",'2025'!$O$4="CA",'2025'!$O$2=BQ423),'2025DATA'!$L$11,"")</f>
        <v/>
      </c>
      <c r="BR432" s="518" t="str">
        <f>IF(AND(_A4="B-767-400ER",'2025'!$O$4="CA",'2025'!$O$2=BR423),'2025DATA'!$M$11,"")</f>
        <v/>
      </c>
      <c r="BS432" s="520" t="str">
        <f>IF(AND(_A4="B-767-400ER",'2025'!$O$4="CA",'2025'!$O$2=BS423),'2025DATA'!$N$11,"")</f>
        <v/>
      </c>
      <c r="BT432" s="940" t="s">
        <v>42</v>
      </c>
      <c r="BU432" s="13" t="s">
        <v>61</v>
      </c>
      <c r="BV432" s="518" t="str">
        <f>IF(AND(_A5="B-767-400ER",'2025'!$O$4="CA",'2025'!$O$2=BV423),'2025DATA'!$C$11,"")</f>
        <v/>
      </c>
      <c r="BW432" s="518" t="str">
        <f>IF(AND(_A5="B-767-400ER",'2025'!$O$4="CA",'2025'!$O$2=BW423),'2025DATA'!$D$11,"")</f>
        <v/>
      </c>
      <c r="BX432" s="518" t="str">
        <f>IF(AND(_A5="B-767-400ER",'2025'!$O$4="CA",'2025'!$O$2=BX423),'2025DATA'!$E$11,"")</f>
        <v/>
      </c>
      <c r="BY432" s="518" t="str">
        <f>IF(AND(_A5="B-767-400ER",'2025'!$O$4="CA",'2025'!$O$2=BY423),'2025DATA'!$F$11,"")</f>
        <v/>
      </c>
      <c r="BZ432" s="518" t="str">
        <f>IF(AND(_A5="B-767-400ER",'2025'!$O$4="CA",'2025'!$O$2=BZ423),'2025DATA'!$G$11,"")</f>
        <v/>
      </c>
      <c r="CA432" s="518" t="str">
        <f>IF(AND(_A5="B-767-400ER",'2025'!$O$4="CA",'2025'!$O$2=CA423),'2025DATA'!$H$11,"")</f>
        <v/>
      </c>
      <c r="CB432" s="518" t="str">
        <f>IF(AND(_A5="B-767-400ER",'2025'!$O$4="CA",'2025'!$O$2=CB423),'2025DATA'!$I$11,"")</f>
        <v/>
      </c>
      <c r="CC432" s="518" t="str">
        <f>IF(AND(_A5="B-767-400ER",'2025'!$O$4="CA",'2025'!$O$2=CC423),'2025DATA'!$J$11,"")</f>
        <v/>
      </c>
      <c r="CD432" s="518" t="str">
        <f>IF(AND(_A5="B-767-400ER",'2025'!$O$4="CA",'2025'!$O$2=CD423),'2025DATA'!$K$11,"")</f>
        <v/>
      </c>
      <c r="CE432" s="518" t="str">
        <f>IF(AND(_A5="B-767-400ER",'2025'!$O$4="CA",'2025'!$O$2=CE423),'2025DATA'!$L$11,"")</f>
        <v/>
      </c>
      <c r="CF432" s="518" t="str">
        <f>IF(AND(_A5="B-767-400ER",'2025'!$O$4="CA",'2025'!$O$2=CF423),'2025DATA'!$M$11,"")</f>
        <v/>
      </c>
      <c r="CG432" s="520" t="str">
        <f>IF(AND(_A5="B-767-400ER",'2025'!$O$4="CA",'2025'!$O$2=CG423),'2025DATA'!$N$11,"")</f>
        <v/>
      </c>
      <c r="CH432" s="940" t="s">
        <v>42</v>
      </c>
      <c r="CI432" s="13" t="s">
        <v>61</v>
      </c>
      <c r="CJ432" s="518" t="str">
        <f>IF(AND(_A6="B-767-400ER",'2025'!$O$4="CA",'2025'!$O$2=CJ423),'2025DATA'!$C$11,"")</f>
        <v/>
      </c>
      <c r="CK432" s="518" t="str">
        <f>IF(AND(_A6="B-767-400ER",'2025'!$O$4="CA",'2025'!$O$2=CK423),'2025DATA'!$D$11,"")</f>
        <v/>
      </c>
      <c r="CL432" s="518" t="str">
        <f>IF(AND(_A6="B-767-400ER",'2025'!$O$4="CA",'2025'!$O$2=CL423),'2025DATA'!$E$11,"")</f>
        <v/>
      </c>
      <c r="CM432" s="518" t="str">
        <f>IF(AND(_A6="B-767-400ER",'2025'!$O$4="CA",'2025'!$O$2=CM423),'2025DATA'!$F$11,"")</f>
        <v/>
      </c>
      <c r="CN432" s="518" t="str">
        <f>IF(AND(_A6="B-767-400ER",'2025'!$O$4="CA",'2025'!$O$2=CN423),'2025DATA'!$G$11,"")</f>
        <v/>
      </c>
      <c r="CO432" s="518" t="str">
        <f>IF(AND(_A6="B-767-400ER",'2025'!$O$4="CA",'2025'!$O$2=CO423),'2025DATA'!$H$11,"")</f>
        <v/>
      </c>
      <c r="CP432" s="518" t="str">
        <f>IF(AND(_A6="B-767-400ER",'2025'!$O$4="CA",'2025'!$O$2=CP423),'2025DATA'!$I$11,"")</f>
        <v/>
      </c>
      <c r="CQ432" s="518" t="str">
        <f>IF(AND(_A6="B-767-400ER",'2025'!$O$4="CA",'2025'!$O$2=CQ423),'2025DATA'!$J$11,"")</f>
        <v/>
      </c>
      <c r="CR432" s="518" t="str">
        <f>IF(AND(_A6="B-767-400ER",'2025'!$O$4="CA",'2025'!$O$2=CR423),'2025DATA'!$K$11,"")</f>
        <v/>
      </c>
      <c r="CS432" s="518" t="str">
        <f>IF(AND(_A6="B-767-400ER",'2025'!$O$4="CA",'2025'!$O$2=CS423),'2025DATA'!$L$11,"")</f>
        <v/>
      </c>
      <c r="CT432" s="518" t="str">
        <f>IF(AND(_A6="B-767-400ER",'2025'!$O$4="CA",'2025'!$O$2=CT423),'2025DATA'!$M$11,"")</f>
        <v/>
      </c>
      <c r="CU432" s="520" t="str">
        <f>IF(AND(_A6="B-767-400ER",'2025'!$O$4="CA",'2025'!$O$2=CU423),'2025DATA'!$N$11,"")</f>
        <v/>
      </c>
    </row>
    <row r="433" spans="16:99" x14ac:dyDescent="0.25">
      <c r="P433" s="940"/>
      <c r="Q433" s="13" t="s">
        <v>62</v>
      </c>
      <c r="R433" s="518" t="str">
        <f>IF(AND(_A1="B-767-400ER",'2025'!$O$4="FO",'2025'!$O$2=R423),'2025DATA'!$C$12,"")</f>
        <v/>
      </c>
      <c r="S433" s="518" t="str">
        <f>IF(AND(_A1="B-767-400ER",'2025'!$O$4="FO",'2025'!$O$2=S423),'2025DATA'!$D$12,"")</f>
        <v/>
      </c>
      <c r="T433" s="518" t="str">
        <f>IF(AND(_A1="B-767-400ER",'2025'!$O$4="FO",'2025'!$O$2=T423),'2025DATA'!$E$12,"")</f>
        <v/>
      </c>
      <c r="U433" s="518" t="str">
        <f>IF(AND(_A1="B-767-400ER",'2025'!$O$4="FO",'2025'!$O$2=U423),'2025DATA'!$F$12,"")</f>
        <v/>
      </c>
      <c r="V433" s="518" t="str">
        <f>IF(AND(_A1="B-767-400ER",'2025'!$O$4="FO",'2025'!$O$2=V423),'2025DATA'!$G$12,"")</f>
        <v/>
      </c>
      <c r="W433" s="518" t="str">
        <f>IF(AND(_A1="B-767-400ER",'2025'!$O$4="FO",'2025'!$O$2=W423),'2025DATA'!$H$12,"")</f>
        <v/>
      </c>
      <c r="X433" s="518" t="str">
        <f>IF(AND(_A1="B-767-400ER",'2025'!$O$4="FO",'2025'!$O$2=X423),'2025DATA'!$I$12,"")</f>
        <v/>
      </c>
      <c r="Y433" s="518" t="str">
        <f>IF(AND(_A1="B-767-400ER",'2025'!$O$4="FO",'2025'!$O$2=Y423),'2025DATA'!$J$12,"")</f>
        <v/>
      </c>
      <c r="Z433" s="518" t="str">
        <f>IF(AND(_A1="B-767-400ER",'2025'!$O$4="FO",'2025'!$O$2=Z423),'2025DATA'!$K$12,"")</f>
        <v/>
      </c>
      <c r="AA433" s="518" t="str">
        <f>IF(AND(_A1="B-767-400ER",'2025'!$O$4="FO",'2025'!$O$2=AA423),'2025DATA'!$L$12,"")</f>
        <v/>
      </c>
      <c r="AB433" s="518" t="str">
        <f>IF(AND(_A1="B-767-400ER",'2025'!$O$4="FO",'2025'!$O$2=AB423),'2025DATA'!$M$12,"")</f>
        <v/>
      </c>
      <c r="AC433" s="520" t="str">
        <f>IF(AND(_A1="B-767-400ER",'2025'!$O$4="FO",'2025'!$O$2=AC423),'2025DATA'!$N$12,"")</f>
        <v/>
      </c>
      <c r="AD433" s="940"/>
      <c r="AE433" s="13" t="s">
        <v>62</v>
      </c>
      <c r="AF433" s="518" t="str">
        <f>IF(AND(_A2="B-767-400ER",'2025'!$O$4="FO",'2025'!$O$2=AF423),'2025DATA'!$C$12,"")</f>
        <v/>
      </c>
      <c r="AG433" s="518" t="str">
        <f>IF(AND(_A2="B-767-400ER",'2025'!$O$4="FO",'2025'!$O$2=AG423),'2025DATA'!$D$12,"")</f>
        <v/>
      </c>
      <c r="AH433" s="518" t="str">
        <f>IF(AND(_A2="B-767-400ER",'2025'!$O$4="FO",'2025'!$O$2=AH423),'2025DATA'!$E$12,"")</f>
        <v/>
      </c>
      <c r="AI433" s="518" t="str">
        <f>IF(AND(_A2="B-767-400ER",'2025'!$O$4="FO",'2025'!$O$2=AI423),'2025DATA'!$F$12,"")</f>
        <v/>
      </c>
      <c r="AJ433" s="518" t="str">
        <f>IF(AND(_A2="B-767-400ER",'2025'!$O$4="FO",'2025'!$O$2=AJ423),'2025DATA'!$G$12,"")</f>
        <v/>
      </c>
      <c r="AK433" s="518" t="str">
        <f>IF(AND(_A2="B-767-400ER",'2025'!$O$4="FO",'2025'!$O$2=AK423),'2025DATA'!$H$12,"")</f>
        <v/>
      </c>
      <c r="AL433" s="518" t="str">
        <f>IF(AND(_A2="B-767-400ER",'2025'!$O$4="FO",'2025'!$O$2=AL423),'2025DATA'!$I$12,"")</f>
        <v/>
      </c>
      <c r="AM433" s="518" t="str">
        <f>IF(AND(_A2="B-767-400ER",'2025'!$O$4="FO",'2025'!$O$2=AM423),'2025DATA'!$J$12,"")</f>
        <v/>
      </c>
      <c r="AN433" s="518" t="str">
        <f>IF(AND(_A2="B-767-400ER",'2025'!$O$4="FO",'2025'!$O$2=AN423),'2025DATA'!$K$12,"")</f>
        <v/>
      </c>
      <c r="AO433" s="518" t="str">
        <f>IF(AND(_A2="B-767-400ER",'2025'!$O$4="FO",'2025'!$O$2=AO423),'2025DATA'!$L$12,"")</f>
        <v/>
      </c>
      <c r="AP433" s="518" t="str">
        <f>IF(AND(_A2="B-767-400ER",'2025'!$O$4="FO",'2025'!$O$2=AP423),'2025DATA'!$M$12,"")</f>
        <v/>
      </c>
      <c r="AQ433" s="520" t="str">
        <f>IF(AND(_A2="B-767-400ER",'2025'!$O$4="FO",'2025'!$O$2=AQ423),'2025DATA'!$N$12,"")</f>
        <v/>
      </c>
      <c r="AR433" s="940"/>
      <c r="AS433" s="13" t="s">
        <v>62</v>
      </c>
      <c r="AT433" s="518" t="str">
        <f>IF(AND(_A3="B-767-400ER",'2025'!$O$4="FO",'2025'!$O$2=AT423),'2025DATA'!$C$12,"")</f>
        <v/>
      </c>
      <c r="AU433" s="518" t="str">
        <f>IF(AND(_A3="B-767-400ER",'2025'!$O$4="FO",'2025'!$O$2=AU423),'2025DATA'!$D$12,"")</f>
        <v/>
      </c>
      <c r="AV433" s="518" t="str">
        <f>IF(AND(_A3="B-767-400ER",'2025'!$O$4="FO",'2025'!$O$2=AV423),'2025DATA'!$E$12,"")</f>
        <v/>
      </c>
      <c r="AW433" s="518" t="str">
        <f>IF(AND(_A3="B-767-400ER",'2025'!$O$4="FO",'2025'!$O$2=AW423),'2025DATA'!$F$12,"")</f>
        <v/>
      </c>
      <c r="AX433" s="518" t="str">
        <f>IF(AND(_A3="B-767-400ER",'2025'!$O$4="FO",'2025'!$O$2=AX423),'2025DATA'!$G$12,"")</f>
        <v/>
      </c>
      <c r="AY433" s="518" t="str">
        <f>IF(AND(_A3="B-767-400ER",'2025'!$O$4="FO",'2025'!$O$2=AY423),'2025DATA'!$H$12,"")</f>
        <v/>
      </c>
      <c r="AZ433" s="518" t="str">
        <f>IF(AND(_A3="B-767-400ER",'2025'!$O$4="FO",'2025'!$O$2=AZ423),'2025DATA'!$I$12,"")</f>
        <v/>
      </c>
      <c r="BA433" s="518" t="str">
        <f>IF(AND(_A3="B-767-400ER",'2025'!$O$4="FO",'2025'!$O$2=BA423),'2025DATA'!$J$12,"")</f>
        <v/>
      </c>
      <c r="BB433" s="518" t="str">
        <f>IF(AND(_A3="B-767-400ER",'2025'!$O$4="FO",'2025'!$O$2=BB423),'2025DATA'!$K$12,"")</f>
        <v/>
      </c>
      <c r="BC433" s="518" t="str">
        <f>IF(AND(_A3="B-767-400ER",'2025'!$O$4="FO",'2025'!$O$2=BC423),'2025DATA'!$L$12,"")</f>
        <v/>
      </c>
      <c r="BD433" s="518" t="str">
        <f>IF(AND(_A3="B-767-400ER",'2025'!$O$4="FO",'2025'!$O$2=BD423),'2025DATA'!$M$12,"")</f>
        <v/>
      </c>
      <c r="BE433" s="520" t="str">
        <f>IF(AND(_A3="B-767-400ER",'2025'!$O$4="FO",'2025'!$O$2=BE423),'2025DATA'!$N$12,"")</f>
        <v/>
      </c>
      <c r="BF433" s="940"/>
      <c r="BG433" s="13" t="s">
        <v>62</v>
      </c>
      <c r="BH433" s="518" t="str">
        <f>IF(AND(_A4="B-767-400ER",'2025'!$O$4="FO",'2025'!$O$2=BH423),'2025DATA'!$C$12,"")</f>
        <v/>
      </c>
      <c r="BI433" s="518" t="str">
        <f>IF(AND(_A4="B-767-400ER",'2025'!$O$4="FO",'2025'!$O$2=BI423),'2025DATA'!$D$12,"")</f>
        <v/>
      </c>
      <c r="BJ433" s="518" t="str">
        <f>IF(AND(_A4="B-767-400ER",'2025'!$O$4="FO",'2025'!$O$2=BJ423),'2025DATA'!$E$12,"")</f>
        <v/>
      </c>
      <c r="BK433" s="518" t="str">
        <f>IF(AND(_A4="B-767-400ER",'2025'!$O$4="FO",'2025'!$O$2=BK423),'2025DATA'!$F$12,"")</f>
        <v/>
      </c>
      <c r="BL433" s="518" t="str">
        <f>IF(AND(_A4="B-767-400ER",'2025'!$O$4="FO",'2025'!$O$2=BL423),'2025DATA'!$G$12,"")</f>
        <v/>
      </c>
      <c r="BM433" s="518" t="str">
        <f>IF(AND(_A4="B-767-400ER",'2025'!$O$4="FO",'2025'!$O$2=BM423),'2025DATA'!$H$12,"")</f>
        <v/>
      </c>
      <c r="BN433" s="518" t="str">
        <f>IF(AND(_A4="B-767-400ER",'2025'!$O$4="FO",'2025'!$O$2=BN423),'2025DATA'!$I$12,"")</f>
        <v/>
      </c>
      <c r="BO433" s="518" t="str">
        <f>IF(AND(_A4="B-767-400ER",'2025'!$O$4="FO",'2025'!$O$2=BO423),'2025DATA'!$J$12,"")</f>
        <v/>
      </c>
      <c r="BP433" s="518" t="str">
        <f>IF(AND(_A4="B-767-400ER",'2025'!$O$4="FO",'2025'!$O$2=BP423),'2025DATA'!$K$12,"")</f>
        <v/>
      </c>
      <c r="BQ433" s="518" t="str">
        <f>IF(AND(_A4="B-767-400ER",'2025'!$O$4="FO",'2025'!$O$2=BQ423),'2025DATA'!$L$12,"")</f>
        <v/>
      </c>
      <c r="BR433" s="518" t="str">
        <f>IF(AND(_A4="B-767-400ER",'2025'!$O$4="FO",'2025'!$O$2=BR423),'2025DATA'!$M$12,"")</f>
        <v/>
      </c>
      <c r="BS433" s="520" t="str">
        <f>IF(AND(_A4="B-767-400ER",'2025'!$O$4="FO",'2025'!$O$2=BS423),'2025DATA'!$N$12,"")</f>
        <v/>
      </c>
      <c r="BT433" s="940"/>
      <c r="BU433" s="13" t="s">
        <v>62</v>
      </c>
      <c r="BV433" s="518" t="str">
        <f>IF(AND(_A5="B-767-400ER",'2025'!$O$4="FO",'2025'!$O$2=BV423),'2025DATA'!$C$12,"")</f>
        <v/>
      </c>
      <c r="BW433" s="518" t="str">
        <f>IF(AND(_A5="B-767-400ER",'2025'!$O$4="FO",'2025'!$O$2=BW423),'2025DATA'!$D$12,"")</f>
        <v/>
      </c>
      <c r="BX433" s="518" t="str">
        <f>IF(AND(_A5="B-767-400ER",'2025'!$O$4="FO",'2025'!$O$2=BX423),'2025DATA'!$E$12,"")</f>
        <v/>
      </c>
      <c r="BY433" s="518" t="str">
        <f>IF(AND(_A5="B-767-400ER",'2025'!$O$4="FO",'2025'!$O$2=BY423),'2025DATA'!$F$12,"")</f>
        <v/>
      </c>
      <c r="BZ433" s="518" t="str">
        <f>IF(AND(_A5="B-767-400ER",'2025'!$O$4="FO",'2025'!$O$2=BZ423),'2025DATA'!$G$12,"")</f>
        <v/>
      </c>
      <c r="CA433" s="518" t="str">
        <f>IF(AND(_A5="B-767-400ER",'2025'!$O$4="FO",'2025'!$O$2=CA423),'2025DATA'!$H$12,"")</f>
        <v/>
      </c>
      <c r="CB433" s="518" t="str">
        <f>IF(AND(_A5="B-767-400ER",'2025'!$O$4="FO",'2025'!$O$2=CB423),'2025DATA'!$I$12,"")</f>
        <v/>
      </c>
      <c r="CC433" s="518" t="str">
        <f>IF(AND(_A5="B-767-400ER",'2025'!$O$4="FO",'2025'!$O$2=CC423),'2025DATA'!$J$12,"")</f>
        <v/>
      </c>
      <c r="CD433" s="518" t="str">
        <f>IF(AND(_A5="B-767-400ER",'2025'!$O$4="FO",'2025'!$O$2=CD423),'2025DATA'!$K$12,"")</f>
        <v/>
      </c>
      <c r="CE433" s="518" t="str">
        <f>IF(AND(_A5="B-767-400ER",'2025'!$O$4="FO",'2025'!$O$2=CE423),'2025DATA'!$L$12,"")</f>
        <v/>
      </c>
      <c r="CF433" s="518" t="str">
        <f>IF(AND(_A5="B-767-400ER",'2025'!$O$4="FO",'2025'!$O$2=CF423),'2025DATA'!$M$12,"")</f>
        <v/>
      </c>
      <c r="CG433" s="520" t="str">
        <f>IF(AND(_A5="B-767-400ER",'2025'!$O$4="FO",'2025'!$O$2=CG423),'2025DATA'!$N$12,"")</f>
        <v/>
      </c>
      <c r="CH433" s="940"/>
      <c r="CI433" s="13" t="s">
        <v>62</v>
      </c>
      <c r="CJ433" s="518" t="str">
        <f>IF(AND(_A6="B-767-400ER",'2025'!$O$4="FO",'2025'!$O$2=CJ423),'2025DATA'!$C$12,"")</f>
        <v/>
      </c>
      <c r="CK433" s="518" t="str">
        <f>IF(AND(_A6="B-767-400ER",'2025'!$O$4="FO",'2025'!$O$2=CK423),'2025DATA'!$D$12,"")</f>
        <v/>
      </c>
      <c r="CL433" s="518" t="str">
        <f>IF(AND(_A6="B-767-400ER",'2025'!$O$4="FO",'2025'!$O$2=CL423),'2025DATA'!$E$12,"")</f>
        <v/>
      </c>
      <c r="CM433" s="518" t="str">
        <f>IF(AND(_A6="B-767-400ER",'2025'!$O$4="FO",'2025'!$O$2=CM423),'2025DATA'!$F$12,"")</f>
        <v/>
      </c>
      <c r="CN433" s="518" t="str">
        <f>IF(AND(_A6="B-767-400ER",'2025'!$O$4="FO",'2025'!$O$2=CN423),'2025DATA'!$G$12,"")</f>
        <v/>
      </c>
      <c r="CO433" s="518" t="str">
        <f>IF(AND(_A6="B-767-400ER",'2025'!$O$4="FO",'2025'!$O$2=CO423),'2025DATA'!$H$12,"")</f>
        <v/>
      </c>
      <c r="CP433" s="518" t="str">
        <f>IF(AND(_A6="B-767-400ER",'2025'!$O$4="FO",'2025'!$O$2=CP423),'2025DATA'!$I$12,"")</f>
        <v/>
      </c>
      <c r="CQ433" s="518" t="str">
        <f>IF(AND(_A6="B-767-400ER",'2025'!$O$4="FO",'2025'!$O$2=CQ423),'2025DATA'!$J$12,"")</f>
        <v/>
      </c>
      <c r="CR433" s="518" t="str">
        <f>IF(AND(_A6="B-767-400ER",'2025'!$O$4="FO",'2025'!$O$2=CR423),'2025DATA'!$K$12,"")</f>
        <v/>
      </c>
      <c r="CS433" s="518" t="str">
        <f>IF(AND(_A6="B-767-400ER",'2025'!$O$4="FO",'2025'!$O$2=CS423),'2025DATA'!$L$12,"")</f>
        <v/>
      </c>
      <c r="CT433" s="518" t="str">
        <f>IF(AND(_A6="B-767-400ER",'2025'!$O$4="FO",'2025'!$O$2=CT423),'2025DATA'!$M$12,"")</f>
        <v/>
      </c>
      <c r="CU433" s="520" t="str">
        <f>IF(AND(_A6="B-767-400ER",'2025'!$O$4="FO",'2025'!$O$2=CU423),'2025DATA'!$N$12,"")</f>
        <v/>
      </c>
    </row>
    <row r="434" spans="16:99" x14ac:dyDescent="0.25">
      <c r="P434" s="940" t="s">
        <v>43</v>
      </c>
      <c r="Q434" s="13" t="s">
        <v>61</v>
      </c>
      <c r="R434" s="518" t="str">
        <f>IF(AND(_A1="B-767-300ER",'2025'!$O$4="CA",'2025'!$O$2=R423),'2025DATA'!$C$13,"")</f>
        <v/>
      </c>
      <c r="S434" s="518" t="str">
        <f>IF(AND(_A1="B-767-300ER",'2025'!$O$4="CA",'2025'!$O$2=S423),'2025DATA'!$D$13,"")</f>
        <v/>
      </c>
      <c r="T434" s="518" t="str">
        <f>IF(AND(_A1="B-767-300ER",'2025'!$O$4="CA",'2025'!$O$2=T423),'2025DATA'!$E$13,"")</f>
        <v/>
      </c>
      <c r="U434" s="518" t="str">
        <f>IF(AND(_A1="B-767-300ER",'2025'!$O$4="CA",'2025'!$O$2=U423),'2025DATA'!$F$13,"")</f>
        <v/>
      </c>
      <c r="V434" s="518" t="str">
        <f>IF(AND(_A1="B-767-300ER",'2025'!$O$4="CA",'2025'!$O$2=V423),'2025DATA'!$G$13,"")</f>
        <v/>
      </c>
      <c r="W434" s="518" t="str">
        <f>IF(AND(_A1="B-767-300ER",'2025'!$O$4="CA",'2025'!$O$2=W423),'2025DATA'!$H$13,"")</f>
        <v/>
      </c>
      <c r="X434" s="518" t="str">
        <f>IF(AND(_A1="B-767-300ER",'2025'!$O$4="CA",'2025'!$O$2=X423),'2025DATA'!$I$13,"")</f>
        <v/>
      </c>
      <c r="Y434" s="518" t="str">
        <f>IF(AND(_A1="B-767-300ER",'2025'!$O$4="CA",'2025'!$O$2=Y423),'2025DATA'!$J$13,"")</f>
        <v/>
      </c>
      <c r="Z434" s="518" t="str">
        <f>IF(AND(_A1="B-767-300ER",'2025'!$O$4="CA",'2025'!$O$2=Z423),'2025DATA'!$K$13,"")</f>
        <v/>
      </c>
      <c r="AA434" s="518" t="str">
        <f>IF(AND(_A1="B-767-300ER",'2025'!$O$4="CA",'2025'!$O$2=AA423),'2025DATA'!$L$13,"")</f>
        <v/>
      </c>
      <c r="AB434" s="518" t="str">
        <f>IF(AND(_A1="B-767-300ER",'2025'!$O$4="CA",'2025'!$O$2=AB423),'2025DATA'!$M$13,"")</f>
        <v/>
      </c>
      <c r="AC434" s="520" t="str">
        <f>IF(AND(_A1="B-767-300ER",'2025'!$O$4="CA",'2025'!$O$2=AC423),'2025DATA'!$N$13,"")</f>
        <v/>
      </c>
      <c r="AD434" s="940" t="s">
        <v>43</v>
      </c>
      <c r="AE434" s="13" t="s">
        <v>61</v>
      </c>
      <c r="AF434" s="518" t="str">
        <f>IF(AND(_A2="B-767-300ER",'2025'!$O$4="CA",'2025'!$O$2=AF423),'2025DATA'!$C$13,"")</f>
        <v/>
      </c>
      <c r="AG434" s="518" t="str">
        <f>IF(AND(_A2="B-767-300ER",'2025'!$O$4="CA",'2025'!$O$2=AG423),'2025DATA'!$D$13,"")</f>
        <v/>
      </c>
      <c r="AH434" s="518" t="str">
        <f>IF(AND(_A2="B-767-300ER",'2025'!$O$4="CA",'2025'!$O$2=AH423),'2025DATA'!$E$13,"")</f>
        <v/>
      </c>
      <c r="AI434" s="518" t="str">
        <f>IF(AND(_A2="B-767-300ER",'2025'!$O$4="CA",'2025'!$O$2=AI423),'2025DATA'!$F$13,"")</f>
        <v/>
      </c>
      <c r="AJ434" s="518" t="str">
        <f>IF(AND(_A2="B-767-300ER",'2025'!$O$4="CA",'2025'!$O$2=AJ423),'2025DATA'!$G$13,"")</f>
        <v/>
      </c>
      <c r="AK434" s="518" t="str">
        <f>IF(AND(_A2="B-767-300ER",'2025'!$O$4="CA",'2025'!$O$2=AK423),'2025DATA'!$H$13,"")</f>
        <v/>
      </c>
      <c r="AL434" s="518" t="str">
        <f>IF(AND(_A2="B-767-300ER",'2025'!$O$4="CA",'2025'!$O$2=AL423),'2025DATA'!$I$13,"")</f>
        <v/>
      </c>
      <c r="AM434" s="518" t="str">
        <f>IF(AND(_A2="B-767-300ER",'2025'!$O$4="CA",'2025'!$O$2=AM423),'2025DATA'!$J$13,"")</f>
        <v/>
      </c>
      <c r="AN434" s="518" t="str">
        <f>IF(AND(_A2="B-767-300ER",'2025'!$O$4="CA",'2025'!$O$2=AN423),'2025DATA'!$K$13,"")</f>
        <v/>
      </c>
      <c r="AO434" s="518" t="str">
        <f>IF(AND(_A2="B-767-300ER",'2025'!$O$4="CA",'2025'!$O$2=AO423),'2025DATA'!$L$13,"")</f>
        <v/>
      </c>
      <c r="AP434" s="518" t="str">
        <f>IF(AND(_A2="B-767-300ER",'2025'!$O$4="CA",'2025'!$O$2=AP423),'2025DATA'!$M$13,"")</f>
        <v/>
      </c>
      <c r="AQ434" s="520" t="str">
        <f>IF(AND(_A2="B-767-300ER",'2025'!$O$4="CA",'2025'!$O$2=AQ423),'2025DATA'!$N$13,"")</f>
        <v/>
      </c>
      <c r="AR434" s="940" t="s">
        <v>43</v>
      </c>
      <c r="AS434" s="13" t="s">
        <v>61</v>
      </c>
      <c r="AT434" s="518" t="str">
        <f>IF(AND(_A3="B-767-300ER",'2025'!$O$4="CA",'2025'!$O$2=AT423),'2025DATA'!$C$13,"")</f>
        <v/>
      </c>
      <c r="AU434" s="518" t="str">
        <f>IF(AND(_A3="B-767-300ER",'2025'!$O$4="CA",'2025'!$O$2=AU423),'2025DATA'!$D$13,"")</f>
        <v/>
      </c>
      <c r="AV434" s="518" t="str">
        <f>IF(AND(_A3="B-767-300ER",'2025'!$O$4="CA",'2025'!$O$2=AV423),'2025DATA'!$E$13,"")</f>
        <v/>
      </c>
      <c r="AW434" s="518" t="str">
        <f>IF(AND(_A3="B-767-300ER",'2025'!$O$4="CA",'2025'!$O$2=AW423),'2025DATA'!$F$13,"")</f>
        <v/>
      </c>
      <c r="AX434" s="518" t="str">
        <f>IF(AND(_A3="B-767-300ER",'2025'!$O$4="CA",'2025'!$O$2=AX423),'2025DATA'!$G$13,"")</f>
        <v/>
      </c>
      <c r="AY434" s="518" t="str">
        <f>IF(AND(_A3="B-767-300ER",'2025'!$O$4="CA",'2025'!$O$2=AY423),'2025DATA'!$H$13,"")</f>
        <v/>
      </c>
      <c r="AZ434" s="518" t="str">
        <f>IF(AND(_A3="B-767-300ER",'2025'!$O$4="CA",'2025'!$O$2=AZ423),'2025DATA'!$I$13,"")</f>
        <v/>
      </c>
      <c r="BA434" s="518" t="str">
        <f>IF(AND(_A3="B-767-300ER",'2025'!$O$4="CA",'2025'!$O$2=BA423),'2025DATA'!$J$13,"")</f>
        <v/>
      </c>
      <c r="BB434" s="518" t="str">
        <f>IF(AND(_A3="B-767-300ER",'2025'!$O$4="CA",'2025'!$O$2=BB423),'2025DATA'!$K$13,"")</f>
        <v/>
      </c>
      <c r="BC434" s="518" t="str">
        <f>IF(AND(_A3="B-767-300ER",'2025'!$O$4="CA",'2025'!$O$2=BC423),'2025DATA'!$L$13,"")</f>
        <v/>
      </c>
      <c r="BD434" s="518" t="str">
        <f>IF(AND(_A3="B-767-300ER",'2025'!$O$4="CA",'2025'!$O$2=BD423),'2025DATA'!$M$13,"")</f>
        <v/>
      </c>
      <c r="BE434" s="520" t="str">
        <f>IF(AND(_A3="B-767-300ER",'2025'!$O$4="CA",'2025'!$O$2=BE423),'2025DATA'!$N$13,"")</f>
        <v/>
      </c>
      <c r="BF434" s="940" t="s">
        <v>43</v>
      </c>
      <c r="BG434" s="13" t="s">
        <v>61</v>
      </c>
      <c r="BH434" s="518" t="str">
        <f>IF(AND(_A4="B-767-300ER",'2025'!$O$4="CA",'2025'!$O$2=BH423),'2025DATA'!$C$13,"")</f>
        <v/>
      </c>
      <c r="BI434" s="518" t="str">
        <f>IF(AND(_A4="B-767-300ER",'2025'!$O$4="CA",'2025'!$O$2=BI423),'2025DATA'!$D$13,"")</f>
        <v/>
      </c>
      <c r="BJ434" s="518" t="str">
        <f>IF(AND(_A4="B-767-300ER",'2025'!$O$4="CA",'2025'!$O$2=BJ423),'2025DATA'!$E$13,"")</f>
        <v/>
      </c>
      <c r="BK434" s="518" t="str">
        <f>IF(AND(_A4="B-767-300ER",'2025'!$O$4="CA",'2025'!$O$2=BK423),'2025DATA'!$F$13,"")</f>
        <v/>
      </c>
      <c r="BL434" s="518" t="str">
        <f>IF(AND(_A4="B-767-300ER",'2025'!$O$4="CA",'2025'!$O$2=BL423),'2025DATA'!$G$13,"")</f>
        <v/>
      </c>
      <c r="BM434" s="518" t="str">
        <f>IF(AND(_A4="B-767-300ER",'2025'!$O$4="CA",'2025'!$O$2=BM423),'2025DATA'!$H$13,"")</f>
        <v/>
      </c>
      <c r="BN434" s="518" t="str">
        <f>IF(AND(_A4="B-767-300ER",'2025'!$O$4="CA",'2025'!$O$2=BN423),'2025DATA'!$I$13,"")</f>
        <v/>
      </c>
      <c r="BO434" s="518" t="str">
        <f>IF(AND(_A4="B-767-300ER",'2025'!$O$4="CA",'2025'!$O$2=BO423),'2025DATA'!$J$13,"")</f>
        <v/>
      </c>
      <c r="BP434" s="518" t="str">
        <f>IF(AND(_A4="B-767-300ER",'2025'!$O$4="CA",'2025'!$O$2=BP423),'2025DATA'!$K$13,"")</f>
        <v/>
      </c>
      <c r="BQ434" s="518" t="str">
        <f>IF(AND(_A4="B-767-300ER",'2025'!$O$4="CA",'2025'!$O$2=BQ423),'2025DATA'!$L$13,"")</f>
        <v/>
      </c>
      <c r="BR434" s="518" t="str">
        <f>IF(AND(_A4="B-767-300ER",'2025'!$O$4="CA",'2025'!$O$2=BR423),'2025DATA'!$M$13,"")</f>
        <v/>
      </c>
      <c r="BS434" s="520" t="str">
        <f>IF(AND(_A4="B-767-300ER",'2025'!$O$4="CA",'2025'!$O$2=BS423),'2025DATA'!$N$13,"")</f>
        <v/>
      </c>
      <c r="BT434" s="940" t="s">
        <v>43</v>
      </c>
      <c r="BU434" s="13" t="s">
        <v>61</v>
      </c>
      <c r="BV434" s="518" t="str">
        <f>IF(AND(_A5="B-767-300ER",'2025'!$O$4="CA",'2025'!$O$2=BV423),'2025DATA'!$C$13,"")</f>
        <v/>
      </c>
      <c r="BW434" s="518" t="str">
        <f>IF(AND(_A5="B-767-300ER",'2025'!$O$4="CA",'2025'!$O$2=BW423),'2025DATA'!$D$13,"")</f>
        <v/>
      </c>
      <c r="BX434" s="518" t="str">
        <f>IF(AND(_A5="B-767-300ER",'2025'!$O$4="CA",'2025'!$O$2=BX423),'2025DATA'!$E$13,"")</f>
        <v/>
      </c>
      <c r="BY434" s="518" t="str">
        <f>IF(AND(_A5="B-767-300ER",'2025'!$O$4="CA",'2025'!$O$2=BY423),'2025DATA'!$F$13,"")</f>
        <v/>
      </c>
      <c r="BZ434" s="518" t="str">
        <f>IF(AND(_A5="B-767-300ER",'2025'!$O$4="CA",'2025'!$O$2=BZ423),'2025DATA'!$G$13,"")</f>
        <v/>
      </c>
      <c r="CA434" s="518" t="str">
        <f>IF(AND(_A5="B-767-300ER",'2025'!$O$4="CA",'2025'!$O$2=CA423),'2025DATA'!$H$13,"")</f>
        <v/>
      </c>
      <c r="CB434" s="518" t="str">
        <f>IF(AND(_A5="B-767-300ER",'2025'!$O$4="CA",'2025'!$O$2=CB423),'2025DATA'!$I$13,"")</f>
        <v/>
      </c>
      <c r="CC434" s="518" t="str">
        <f>IF(AND(_A5="B-767-300ER",'2025'!$O$4="CA",'2025'!$O$2=CC423),'2025DATA'!$J$13,"")</f>
        <v/>
      </c>
      <c r="CD434" s="518" t="str">
        <f>IF(AND(_A5="B-767-300ER",'2025'!$O$4="CA",'2025'!$O$2=CD423),'2025DATA'!$K$13,"")</f>
        <v/>
      </c>
      <c r="CE434" s="518" t="str">
        <f>IF(AND(_A5="B-767-300ER",'2025'!$O$4="CA",'2025'!$O$2=CE423),'2025DATA'!$L$13,"")</f>
        <v/>
      </c>
      <c r="CF434" s="518" t="str">
        <f>IF(AND(_A5="B-767-300ER",'2025'!$O$4="CA",'2025'!$O$2=CF423),'2025DATA'!$M$13,"")</f>
        <v/>
      </c>
      <c r="CG434" s="520" t="str">
        <f>IF(AND(_A5="B-767-300ER",'2025'!$O$4="CA",'2025'!$O$2=CG423),'2025DATA'!$N$13,"")</f>
        <v/>
      </c>
      <c r="CH434" s="940" t="s">
        <v>43</v>
      </c>
      <c r="CI434" s="13" t="s">
        <v>61</v>
      </c>
      <c r="CJ434" s="518" t="str">
        <f>IF(AND(_A6="B-767-300ER",'2025'!$O$4="CA",'2025'!$O$2=CJ423),'2025DATA'!$C$13,"")</f>
        <v/>
      </c>
      <c r="CK434" s="518" t="str">
        <f>IF(AND(_A6="B-767-300ER",'2025'!$O$4="CA",'2025'!$O$2=CK423),'2025DATA'!$D$13,"")</f>
        <v/>
      </c>
      <c r="CL434" s="518" t="str">
        <f>IF(AND(_A6="B-767-300ER",'2025'!$O$4="CA",'2025'!$O$2=CL423),'2025DATA'!$E$13,"")</f>
        <v/>
      </c>
      <c r="CM434" s="518" t="str">
        <f>IF(AND(_A6="B-767-300ER",'2025'!$O$4="CA",'2025'!$O$2=CM423),'2025DATA'!$F$13,"")</f>
        <v/>
      </c>
      <c r="CN434" s="518" t="str">
        <f>IF(AND(_A6="B-767-300ER",'2025'!$O$4="CA",'2025'!$O$2=CN423),'2025DATA'!$G$13,"")</f>
        <v/>
      </c>
      <c r="CO434" s="518" t="str">
        <f>IF(AND(_A6="B-767-300ER",'2025'!$O$4="CA",'2025'!$O$2=CO423),'2025DATA'!$H$13,"")</f>
        <v/>
      </c>
      <c r="CP434" s="518" t="str">
        <f>IF(AND(_A6="B-767-300ER",'2025'!$O$4="CA",'2025'!$O$2=CP423),'2025DATA'!$I$13,"")</f>
        <v/>
      </c>
      <c r="CQ434" s="518" t="str">
        <f>IF(AND(_A6="B-767-300ER",'2025'!$O$4="CA",'2025'!$O$2=CQ423),'2025DATA'!$J$13,"")</f>
        <v/>
      </c>
      <c r="CR434" s="518" t="str">
        <f>IF(AND(_A6="B-767-300ER",'2025'!$O$4="CA",'2025'!$O$2=CR423),'2025DATA'!$K$13,"")</f>
        <v/>
      </c>
      <c r="CS434" s="518" t="str">
        <f>IF(AND(_A6="B-767-300ER",'2025'!$O$4="CA",'2025'!$O$2=CS423),'2025DATA'!$L$13,"")</f>
        <v/>
      </c>
      <c r="CT434" s="518" t="str">
        <f>IF(AND(_A6="B-767-300ER",'2025'!$O$4="CA",'2025'!$O$2=CT423),'2025DATA'!$M$13,"")</f>
        <v/>
      </c>
      <c r="CU434" s="520" t="str">
        <f>IF(AND(_A6="B-767-300ER",'2025'!$O$4="CA",'2025'!$O$2=CU423),'2025DATA'!$N$13,"")</f>
        <v/>
      </c>
    </row>
    <row r="435" spans="16:99" x14ac:dyDescent="0.25">
      <c r="P435" s="940"/>
      <c r="Q435" s="13" t="s">
        <v>62</v>
      </c>
      <c r="R435" s="518" t="str">
        <f>IF(AND(_A1="B-767-300ER",'2025'!$O$4="FO",'2025'!$O$2=R423),'2025DATA'!$C$14,"")</f>
        <v/>
      </c>
      <c r="S435" s="518" t="str">
        <f>IF(AND(_A1="B-767-300ER",'2025'!$O$4="FO",'2025'!$O$2=S423),'2025DATA'!$D$14,"")</f>
        <v/>
      </c>
      <c r="T435" s="518" t="str">
        <f>IF(AND(_A1="B-767-300ER",'2025'!$O$4="FO",'2025'!$O$2=T423),'2025DATA'!$E$14,"")</f>
        <v/>
      </c>
      <c r="U435" s="518" t="str">
        <f>IF(AND(_A1="B-767-300ER",'2025'!$O$4="FO",'2025'!$O$2=U423),'2025DATA'!$F$14,"")</f>
        <v/>
      </c>
      <c r="V435" s="518" t="str">
        <f>IF(AND(_A1="B-767-300ER",'2025'!$O$4="FO",'2025'!$O$2=V423),'2025DATA'!$G$14,"")</f>
        <v/>
      </c>
      <c r="W435" s="518" t="str">
        <f>IF(AND(_A1="B-767-300ER",'2025'!$O$4="FO",'2025'!$O$2=W423),'2025DATA'!$H$14,"")</f>
        <v/>
      </c>
      <c r="X435" s="518" t="str">
        <f>IF(AND(_A1="B-767-300ER",'2025'!$O$4="FO",'2025'!$O$2=X423),'2025DATA'!$I$14,"")</f>
        <v/>
      </c>
      <c r="Y435" s="518" t="str">
        <f>IF(AND(_A1="B-767-300ER",'2025'!$O$4="FO",'2025'!$O$2=Y423),'2025DATA'!$J$14,"")</f>
        <v/>
      </c>
      <c r="Z435" s="518" t="str">
        <f>IF(AND(_A1="B-767-300ER",'2025'!$O$4="FO",'2025'!$O$2=Z423),'2025DATA'!$K$14,"")</f>
        <v/>
      </c>
      <c r="AA435" s="518" t="str">
        <f>IF(AND(_A1="B-767-300ER",'2025'!$O$4="FO",'2025'!$O$2=AA423),'2025DATA'!$L$14,"")</f>
        <v/>
      </c>
      <c r="AB435" s="518" t="str">
        <f>IF(AND(_A1="B-767-300ER",'2025'!$O$4="FO",'2025'!$O$2=AB423),'2025DATA'!$M$14,"")</f>
        <v/>
      </c>
      <c r="AC435" s="520" t="str">
        <f>IF(AND(_A1="B-767-300ER",'2025'!$O$4="FO",'2025'!$O$2=AC423),'2025DATA'!$N$14,"")</f>
        <v/>
      </c>
      <c r="AD435" s="940"/>
      <c r="AE435" s="13" t="s">
        <v>62</v>
      </c>
      <c r="AF435" s="518" t="str">
        <f>IF(AND(_A2="B-767-300ER",'2025'!$O$4="FO",'2025'!$O$2=AF423),'2025DATA'!$C$14,"")</f>
        <v/>
      </c>
      <c r="AG435" s="518" t="str">
        <f>IF(AND(_A2="B-767-300ER",'2025'!$O$4="FO",'2025'!$O$2=AG423),'2025DATA'!$D$14,"")</f>
        <v/>
      </c>
      <c r="AH435" s="518" t="str">
        <f>IF(AND(_A2="B-767-300ER",'2025'!$O$4="FO",'2025'!$O$2=AH423),'2025DATA'!$E$14,"")</f>
        <v/>
      </c>
      <c r="AI435" s="518" t="str">
        <f>IF(AND(_A2="B-767-300ER",'2025'!$O$4="FO",'2025'!$O$2=AI423),'2025DATA'!$F$14,"")</f>
        <v/>
      </c>
      <c r="AJ435" s="518" t="str">
        <f>IF(AND(_A2="B-767-300ER",'2025'!$O$4="FO",'2025'!$O$2=AJ423),'2025DATA'!$G$14,"")</f>
        <v/>
      </c>
      <c r="AK435" s="518" t="str">
        <f>IF(AND(_A2="B-767-300ER",'2025'!$O$4="FO",'2025'!$O$2=AK423),'2025DATA'!$H$14,"")</f>
        <v/>
      </c>
      <c r="AL435" s="518" t="str">
        <f>IF(AND(_A2="B-767-300ER",'2025'!$O$4="FO",'2025'!$O$2=AL423),'2025DATA'!$I$14,"")</f>
        <v/>
      </c>
      <c r="AM435" s="518" t="str">
        <f>IF(AND(_A2="B-767-300ER",'2025'!$O$4="FO",'2025'!$O$2=AM423),'2025DATA'!$J$14,"")</f>
        <v/>
      </c>
      <c r="AN435" s="518" t="str">
        <f>IF(AND(_A2="B-767-300ER",'2025'!$O$4="FO",'2025'!$O$2=AN423),'2025DATA'!$K$14,"")</f>
        <v/>
      </c>
      <c r="AO435" s="518" t="str">
        <f>IF(AND(_A2="B-767-300ER",'2025'!$O$4="FO",'2025'!$O$2=AO423),'2025DATA'!$L$14,"")</f>
        <v/>
      </c>
      <c r="AP435" s="518" t="str">
        <f>IF(AND(_A2="B-767-300ER",'2025'!$O$4="FO",'2025'!$O$2=AP423),'2025DATA'!$M$14,"")</f>
        <v/>
      </c>
      <c r="AQ435" s="520" t="str">
        <f>IF(AND(_A2="B-767-300ER",'2025'!$O$4="FO",'2025'!$O$2=AQ423),'2025DATA'!$N$14,"")</f>
        <v/>
      </c>
      <c r="AR435" s="940"/>
      <c r="AS435" s="13" t="s">
        <v>62</v>
      </c>
      <c r="AT435" s="518" t="str">
        <f>IF(AND(_A3="B-767-300ER",'2025'!$O$4="FO",'2025'!$O$2=AT423),'2025DATA'!$C$14,"")</f>
        <v/>
      </c>
      <c r="AU435" s="518" t="str">
        <f>IF(AND(_A3="B-767-300ER",'2025'!$O$4="FO",'2025'!$O$2=AU423),'2025DATA'!$D$14,"")</f>
        <v/>
      </c>
      <c r="AV435" s="518" t="str">
        <f>IF(AND(_A3="B-767-300ER",'2025'!$O$4="FO",'2025'!$O$2=AV423),'2025DATA'!$E$14,"")</f>
        <v/>
      </c>
      <c r="AW435" s="518" t="str">
        <f>IF(AND(_A3="B-767-300ER",'2025'!$O$4="FO",'2025'!$O$2=AW423),'2025DATA'!$F$14,"")</f>
        <v/>
      </c>
      <c r="AX435" s="518" t="str">
        <f>IF(AND(_A3="B-767-300ER",'2025'!$O$4="FO",'2025'!$O$2=AX423),'2025DATA'!$G$14,"")</f>
        <v/>
      </c>
      <c r="AY435" s="518" t="str">
        <f>IF(AND(_A3="B-767-300ER",'2025'!$O$4="FO",'2025'!$O$2=AY423),'2025DATA'!$H$14,"")</f>
        <v/>
      </c>
      <c r="AZ435" s="518" t="str">
        <f>IF(AND(_A3="B-767-300ER",'2025'!$O$4="FO",'2025'!$O$2=AZ423),'2025DATA'!$I$14,"")</f>
        <v/>
      </c>
      <c r="BA435" s="518" t="str">
        <f>IF(AND(_A3="B-767-300ER",'2025'!$O$4="FO",'2025'!$O$2=BA423),'2025DATA'!$J$14,"")</f>
        <v/>
      </c>
      <c r="BB435" s="518" t="str">
        <f>IF(AND(_A3="B-767-300ER",'2025'!$O$4="FO",'2025'!$O$2=BB423),'2025DATA'!$K$14,"")</f>
        <v/>
      </c>
      <c r="BC435" s="518" t="str">
        <f>IF(AND(_A3="B-767-300ER",'2025'!$O$4="FO",'2025'!$O$2=BC423),'2025DATA'!$L$14,"")</f>
        <v/>
      </c>
      <c r="BD435" s="518" t="str">
        <f>IF(AND(_A3="B-767-300ER",'2025'!$O$4="FO",'2025'!$O$2=BD423),'2025DATA'!$M$14,"")</f>
        <v/>
      </c>
      <c r="BE435" s="520" t="str">
        <f>IF(AND(_A3="B-767-300ER",'2025'!$O$4="FO",'2025'!$O$2=BE423),'2025DATA'!$N$14,"")</f>
        <v/>
      </c>
      <c r="BF435" s="940"/>
      <c r="BG435" s="13" t="s">
        <v>62</v>
      </c>
      <c r="BH435" s="518" t="str">
        <f>IF(AND(_A4="B-767-300ER",'2025'!$O$4="FO",'2025'!$O$2=BH423),'2025DATA'!$C$14,"")</f>
        <v/>
      </c>
      <c r="BI435" s="518" t="str">
        <f>IF(AND(_A4="B-767-300ER",'2025'!$O$4="FO",'2025'!$O$2=BI423),'2025DATA'!$D$14,"")</f>
        <v/>
      </c>
      <c r="BJ435" s="518" t="str">
        <f>IF(AND(_A4="B-767-300ER",'2025'!$O$4="FO",'2025'!$O$2=BJ423),'2025DATA'!$E$14,"")</f>
        <v/>
      </c>
      <c r="BK435" s="518" t="str">
        <f>IF(AND(_A4="B-767-300ER",'2025'!$O$4="FO",'2025'!$O$2=BK423),'2025DATA'!$F$14,"")</f>
        <v/>
      </c>
      <c r="BL435" s="518" t="str">
        <f>IF(AND(_A4="B-767-300ER",'2025'!$O$4="FO",'2025'!$O$2=BL423),'2025DATA'!$G$14,"")</f>
        <v/>
      </c>
      <c r="BM435" s="518" t="str">
        <f>IF(AND(_A4="B-767-300ER",'2025'!$O$4="FO",'2025'!$O$2=BM423),'2025DATA'!$H$14,"")</f>
        <v/>
      </c>
      <c r="BN435" s="518" t="str">
        <f>IF(AND(_A4="B-767-300ER",'2025'!$O$4="FO",'2025'!$O$2=BN423),'2025DATA'!$I$14,"")</f>
        <v/>
      </c>
      <c r="BO435" s="518" t="str">
        <f>IF(AND(_A4="B-767-300ER",'2025'!$O$4="FO",'2025'!$O$2=BO423),'2025DATA'!$J$14,"")</f>
        <v/>
      </c>
      <c r="BP435" s="518" t="str">
        <f>IF(AND(_A4="B-767-300ER",'2025'!$O$4="FO",'2025'!$O$2=BP423),'2025DATA'!$K$14,"")</f>
        <v/>
      </c>
      <c r="BQ435" s="518" t="str">
        <f>IF(AND(_A4="B-767-300ER",'2025'!$O$4="FO",'2025'!$O$2=BQ423),'2025DATA'!$L$14,"")</f>
        <v/>
      </c>
      <c r="BR435" s="518" t="str">
        <f>IF(AND(_A4="B-767-300ER",'2025'!$O$4="FO",'2025'!$O$2=BR423),'2025DATA'!$M$14,"")</f>
        <v/>
      </c>
      <c r="BS435" s="520" t="str">
        <f>IF(AND(_A4="B-767-300ER",'2025'!$O$4="FO",'2025'!$O$2=BS423),'2025DATA'!$N$14,"")</f>
        <v/>
      </c>
      <c r="BT435" s="940"/>
      <c r="BU435" s="13" t="s">
        <v>62</v>
      </c>
      <c r="BV435" s="518" t="str">
        <f>IF(AND(_A5="B-767-300ER",'2025'!$O$4="FO",'2025'!$O$2=BV423),'2025DATA'!$C$14,"")</f>
        <v/>
      </c>
      <c r="BW435" s="518" t="str">
        <f>IF(AND(_A5="B-767-300ER",'2025'!$O$4="FO",'2025'!$O$2=BW423),'2025DATA'!$D$14,"")</f>
        <v/>
      </c>
      <c r="BX435" s="518" t="str">
        <f>IF(AND(_A5="B-767-300ER",'2025'!$O$4="FO",'2025'!$O$2=BX423),'2025DATA'!$E$14,"")</f>
        <v/>
      </c>
      <c r="BY435" s="518" t="str">
        <f>IF(AND(_A5="B-767-300ER",'2025'!$O$4="FO",'2025'!$O$2=BY423),'2025DATA'!$F$14,"")</f>
        <v/>
      </c>
      <c r="BZ435" s="518" t="str">
        <f>IF(AND(_A5="B-767-300ER",'2025'!$O$4="FO",'2025'!$O$2=BZ423),'2025DATA'!$G$14,"")</f>
        <v/>
      </c>
      <c r="CA435" s="518" t="str">
        <f>IF(AND(_A5="B-767-300ER",'2025'!$O$4="FO",'2025'!$O$2=CA423),'2025DATA'!$H$14,"")</f>
        <v/>
      </c>
      <c r="CB435" s="518" t="str">
        <f>IF(AND(_A5="B-767-300ER",'2025'!$O$4="FO",'2025'!$O$2=CB423),'2025DATA'!$I$14,"")</f>
        <v/>
      </c>
      <c r="CC435" s="518" t="str">
        <f>IF(AND(_A5="B-767-300ER",'2025'!$O$4="FO",'2025'!$O$2=CC423),'2025DATA'!$J$14,"")</f>
        <v/>
      </c>
      <c r="CD435" s="518" t="str">
        <f>IF(AND(_A5="B-767-300ER",'2025'!$O$4="FO",'2025'!$O$2=CD423),'2025DATA'!$K$14,"")</f>
        <v/>
      </c>
      <c r="CE435" s="518" t="str">
        <f>IF(AND(_A5="B-767-300ER",'2025'!$O$4="FO",'2025'!$O$2=CE423),'2025DATA'!$L$14,"")</f>
        <v/>
      </c>
      <c r="CF435" s="518" t="str">
        <f>IF(AND(_A5="B-767-300ER",'2025'!$O$4="FO",'2025'!$O$2=CF423),'2025DATA'!$M$14,"")</f>
        <v/>
      </c>
      <c r="CG435" s="520" t="str">
        <f>IF(AND(_A5="B-767-300ER",'2025'!$O$4="FO",'2025'!$O$2=CG423),'2025DATA'!$N$14,"")</f>
        <v/>
      </c>
      <c r="CH435" s="940"/>
      <c r="CI435" s="13" t="s">
        <v>62</v>
      </c>
      <c r="CJ435" s="518" t="str">
        <f>IF(AND(_A6="B-767-300ER",'2025'!$O$4="FO",'2025'!$O$2=CJ423),'2025DATA'!$C$14,"")</f>
        <v/>
      </c>
      <c r="CK435" s="518" t="str">
        <f>IF(AND(_A6="B-767-300ER",'2025'!$O$4="FO",'2025'!$O$2=CK423),'2025DATA'!$D$14,"")</f>
        <v/>
      </c>
      <c r="CL435" s="518" t="str">
        <f>IF(AND(_A6="B-767-300ER",'2025'!$O$4="FO",'2025'!$O$2=CL423),'2025DATA'!$E$14,"")</f>
        <v/>
      </c>
      <c r="CM435" s="518" t="str">
        <f>IF(AND(_A6="B-767-300ER",'2025'!$O$4="FO",'2025'!$O$2=CM423),'2025DATA'!$F$14,"")</f>
        <v/>
      </c>
      <c r="CN435" s="518" t="str">
        <f>IF(AND(_A6="B-767-300ER",'2025'!$O$4="FO",'2025'!$O$2=CN423),'2025DATA'!$G$14,"")</f>
        <v/>
      </c>
      <c r="CO435" s="518" t="str">
        <f>IF(AND(_A6="B-767-300ER",'2025'!$O$4="FO",'2025'!$O$2=CO423),'2025DATA'!$H$14,"")</f>
        <v/>
      </c>
      <c r="CP435" s="518" t="str">
        <f>IF(AND(_A6="B-767-300ER",'2025'!$O$4="FO",'2025'!$O$2=CP423),'2025DATA'!$I$14,"")</f>
        <v/>
      </c>
      <c r="CQ435" s="518" t="str">
        <f>IF(AND(_A6="B-767-300ER",'2025'!$O$4="FO",'2025'!$O$2=CQ423),'2025DATA'!$J$14,"")</f>
        <v/>
      </c>
      <c r="CR435" s="518" t="str">
        <f>IF(AND(_A6="B-767-300ER",'2025'!$O$4="FO",'2025'!$O$2=CR423),'2025DATA'!$K$14,"")</f>
        <v/>
      </c>
      <c r="CS435" s="518" t="str">
        <f>IF(AND(_A6="B-767-300ER",'2025'!$O$4="FO",'2025'!$O$2=CS423),'2025DATA'!$L$14,"")</f>
        <v/>
      </c>
      <c r="CT435" s="518" t="str">
        <f>IF(AND(_A6="B-767-300ER",'2025'!$O$4="FO",'2025'!$O$2=CT423),'2025DATA'!$M$14,"")</f>
        <v/>
      </c>
      <c r="CU435" s="520" t="str">
        <f>IF(AND(_A6="B-767-300ER",'2025'!$O$4="FO",'2025'!$O$2=CU423),'2025DATA'!$N$14,"")</f>
        <v/>
      </c>
    </row>
    <row r="436" spans="16:99" x14ac:dyDescent="0.25">
      <c r="P436" s="940" t="s">
        <v>67</v>
      </c>
      <c r="Q436" s="13" t="s">
        <v>61</v>
      </c>
      <c r="R436" s="518" t="str">
        <f>IF(AND(_A1="B-767-300",'2025'!$O$4="CA",'2025'!$O$2=R423),'2025DATA'!$C$15,"")</f>
        <v/>
      </c>
      <c r="S436" s="518" t="str">
        <f>IF(AND(_A1="B-767-300",'2025'!$O$4="CA",'2025'!$O$2=S423),'2025DATA'!$D$15,"")</f>
        <v/>
      </c>
      <c r="T436" s="518" t="str">
        <f>IF(AND(_A1="B-767-300",'2025'!$O$4="CA",'2025'!$O$2=T423),'2025DATA'!$E$15,"")</f>
        <v/>
      </c>
      <c r="U436" s="518" t="str">
        <f>IF(AND(_A1="B-767-300",'2025'!$O$4="CA",'2025'!$O$2=U423),'2025DATA'!$F$15,"")</f>
        <v/>
      </c>
      <c r="V436" s="518" t="str">
        <f>IF(AND(_A1="B-767-300",'2025'!$O$4="CA",'2025'!$O$2=V423),'2025DATA'!$G$15,"")</f>
        <v/>
      </c>
      <c r="W436" s="518" t="str">
        <f>IF(AND(_A1="B-767-300",'2025'!$O$4="CA",'2025'!$O$2=W423),'2025DATA'!$H$15,"")</f>
        <v/>
      </c>
      <c r="X436" s="518" t="str">
        <f>IF(AND(_A1="B-767-300",'2025'!$O$4="CA",'2025'!$O$2=X423),'2025DATA'!$I$15,"")</f>
        <v/>
      </c>
      <c r="Y436" s="518" t="str">
        <f>IF(AND(_A1="B-767-300",'2025'!$O$4="CA",'2025'!$O$2=Y423),'2025DATA'!$J$15,"")</f>
        <v/>
      </c>
      <c r="Z436" s="518" t="str">
        <f>IF(AND(_A1="B-767-300",'2025'!$O$4="CA",'2025'!$O$2=Z423),'2025DATA'!$K$15,"")</f>
        <v/>
      </c>
      <c r="AA436" s="518" t="str">
        <f>IF(AND(_A1="B-767-300",'2025'!$O$4="CA",'2025'!$O$2=AA423),'2025DATA'!$L$15,"")</f>
        <v/>
      </c>
      <c r="AB436" s="518" t="str">
        <f>IF(AND(_A1="B-767-300",'2025'!$O$4="CA",'2025'!$O$2=AB423),'2025DATA'!$M$15,"")</f>
        <v/>
      </c>
      <c r="AC436" s="520" t="str">
        <f>IF(AND(_A1="B-767-300",'2025'!$O$4="CA",'2025'!$O$2=AC423),'2025DATA'!$N$15,"")</f>
        <v/>
      </c>
      <c r="AD436" s="940" t="s">
        <v>67</v>
      </c>
      <c r="AE436" s="13" t="s">
        <v>61</v>
      </c>
      <c r="AF436" s="518" t="str">
        <f>IF(AND(_A2="B-767-300",'2025'!$O$4="CA",'2025'!$O$2=AF423),'2025DATA'!$C$15,"")</f>
        <v/>
      </c>
      <c r="AG436" s="518" t="str">
        <f>IF(AND(_A2="B-767-300",'2025'!$O$4="CA",'2025'!$O$2=AG423),'2025DATA'!$D$15,"")</f>
        <v/>
      </c>
      <c r="AH436" s="518" t="str">
        <f>IF(AND(_A2="B-767-300",'2025'!$O$4="CA",'2025'!$O$2=AH423),'2025DATA'!$E$15,"")</f>
        <v/>
      </c>
      <c r="AI436" s="518" t="str">
        <f>IF(AND(_A2="B-767-300",'2025'!$O$4="CA",'2025'!$O$2=AI423),'2025DATA'!$F$15,"")</f>
        <v/>
      </c>
      <c r="AJ436" s="518" t="str">
        <f>IF(AND(_A2="B-767-300",'2025'!$O$4="CA",'2025'!$O$2=AJ423),'2025DATA'!$G$15,"")</f>
        <v/>
      </c>
      <c r="AK436" s="518" t="str">
        <f>IF(AND(_A2="B-767-300",'2025'!$O$4="CA",'2025'!$O$2=AK423),'2025DATA'!$H$15,"")</f>
        <v/>
      </c>
      <c r="AL436" s="518" t="str">
        <f>IF(AND(_A2="B-767-300",'2025'!$O$4="CA",'2025'!$O$2=AL423),'2025DATA'!$I$15,"")</f>
        <v/>
      </c>
      <c r="AM436" s="518" t="str">
        <f>IF(AND(_A2="B-767-300",'2025'!$O$4="CA",'2025'!$O$2=AM423),'2025DATA'!$J$15,"")</f>
        <v/>
      </c>
      <c r="AN436" s="518" t="str">
        <f>IF(AND(_A2="B-767-300",'2025'!$O$4="CA",'2025'!$O$2=AN423),'2025DATA'!$K$15,"")</f>
        <v/>
      </c>
      <c r="AO436" s="518" t="str">
        <f>IF(AND(_A2="B-767-300",'2025'!$O$4="CA",'2025'!$O$2=AO423),'2025DATA'!$L$15,"")</f>
        <v/>
      </c>
      <c r="AP436" s="518" t="str">
        <f>IF(AND(_A2="B-767-300",'2025'!$O$4="CA",'2025'!$O$2=AP423),'2025DATA'!$M$15,"")</f>
        <v/>
      </c>
      <c r="AQ436" s="520" t="str">
        <f>IF(AND(_A2="B-767-300",'2025'!$O$4="CA",'2025'!$O$2=AQ423),'2025DATA'!$N$15,"")</f>
        <v/>
      </c>
      <c r="AR436" s="940" t="s">
        <v>67</v>
      </c>
      <c r="AS436" s="13" t="s">
        <v>61</v>
      </c>
      <c r="AT436" s="518" t="str">
        <f>IF(AND(_A3="B-767-300",'2025'!$O$4="CA",'2025'!$O$2=AT423),'2025DATA'!$C$15,"")</f>
        <v/>
      </c>
      <c r="AU436" s="518" t="str">
        <f>IF(AND(_A3="B-767-300",'2025'!$O$4="CA",'2025'!$O$2=AU423),'2025DATA'!$D$15,"")</f>
        <v/>
      </c>
      <c r="AV436" s="518" t="str">
        <f>IF(AND(_A3="B-767-300",'2025'!$O$4="CA",'2025'!$O$2=AV423),'2025DATA'!$E$15,"")</f>
        <v/>
      </c>
      <c r="AW436" s="518" t="str">
        <f>IF(AND(_A3="B-767-300",'2025'!$O$4="CA",'2025'!$O$2=AW423),'2025DATA'!$F$15,"")</f>
        <v/>
      </c>
      <c r="AX436" s="518" t="str">
        <f>IF(AND(_A3="B-767-300",'2025'!$O$4="CA",'2025'!$O$2=AX423),'2025DATA'!$G$15,"")</f>
        <v/>
      </c>
      <c r="AY436" s="518" t="str">
        <f>IF(AND(_A3="B-767-300",'2025'!$O$4="CA",'2025'!$O$2=AY423),'2025DATA'!$H$15,"")</f>
        <v/>
      </c>
      <c r="AZ436" s="518" t="str">
        <f>IF(AND(_A3="B-767-300",'2025'!$O$4="CA",'2025'!$O$2=AZ423),'2025DATA'!$I$15,"")</f>
        <v/>
      </c>
      <c r="BA436" s="518" t="str">
        <f>IF(AND(_A3="B-767-300",'2025'!$O$4="CA",'2025'!$O$2=BA423),'2025DATA'!$J$15,"")</f>
        <v/>
      </c>
      <c r="BB436" s="518" t="str">
        <f>IF(AND(_A3="B-767-300",'2025'!$O$4="CA",'2025'!$O$2=BB423),'2025DATA'!$K$15,"")</f>
        <v/>
      </c>
      <c r="BC436" s="518" t="str">
        <f>IF(AND(_A3="B-767-300",'2025'!$O$4="CA",'2025'!$O$2=BC423),'2025DATA'!$L$15,"")</f>
        <v/>
      </c>
      <c r="BD436" s="518" t="str">
        <f>IF(AND(_A3="B-767-300",'2025'!$O$4="CA",'2025'!$O$2=BD423),'2025DATA'!$M$15,"")</f>
        <v/>
      </c>
      <c r="BE436" s="520" t="str">
        <f>IF(AND(_A3="B-767-300",'2025'!$O$4="CA",'2025'!$O$2=BE423),'2025DATA'!$N$15,"")</f>
        <v/>
      </c>
      <c r="BF436" s="940" t="s">
        <v>67</v>
      </c>
      <c r="BG436" s="13" t="s">
        <v>61</v>
      </c>
      <c r="BH436" s="518" t="str">
        <f>IF(AND(_A4="B-767-300",'2025'!$O$4="CA",'2025'!$O$2=BH423),'2025DATA'!$C$15,"")</f>
        <v/>
      </c>
      <c r="BI436" s="518" t="str">
        <f>IF(AND(_A4="B-767-300",'2025'!$O$4="CA",'2025'!$O$2=BI423),'2025DATA'!$D$15,"")</f>
        <v/>
      </c>
      <c r="BJ436" s="518" t="str">
        <f>IF(AND(_A4="B-767-300",'2025'!$O$4="CA",'2025'!$O$2=BJ423),'2025DATA'!$E$15,"")</f>
        <v/>
      </c>
      <c r="BK436" s="518" t="str">
        <f>IF(AND(_A4="B-767-300",'2025'!$O$4="CA",'2025'!$O$2=BK423),'2025DATA'!$F$15,"")</f>
        <v/>
      </c>
      <c r="BL436" s="518" t="str">
        <f>IF(AND(_A4="B-767-300",'2025'!$O$4="CA",'2025'!$O$2=BL423),'2025DATA'!$G$15,"")</f>
        <v/>
      </c>
      <c r="BM436" s="518" t="str">
        <f>IF(AND(_A4="B-767-300",'2025'!$O$4="CA",'2025'!$O$2=BM423),'2025DATA'!$H$15,"")</f>
        <v/>
      </c>
      <c r="BN436" s="518" t="str">
        <f>IF(AND(_A4="B-767-300",'2025'!$O$4="CA",'2025'!$O$2=BN423),'2025DATA'!$I$15,"")</f>
        <v/>
      </c>
      <c r="BO436" s="518" t="str">
        <f>IF(AND(_A4="B-767-300",'2025'!$O$4="CA",'2025'!$O$2=BO423),'2025DATA'!$J$15,"")</f>
        <v/>
      </c>
      <c r="BP436" s="518" t="str">
        <f>IF(AND(_A4="B-767-300",'2025'!$O$4="CA",'2025'!$O$2=BP423),'2025DATA'!$K$15,"")</f>
        <v/>
      </c>
      <c r="BQ436" s="518" t="str">
        <f>IF(AND(_A4="B-767-300",'2025'!$O$4="CA",'2025'!$O$2=BQ423),'2025DATA'!$L$15,"")</f>
        <v/>
      </c>
      <c r="BR436" s="518" t="str">
        <f>IF(AND(_A4="B-767-300",'2025'!$O$4="CA",'2025'!$O$2=BR423),'2025DATA'!$M$15,"")</f>
        <v/>
      </c>
      <c r="BS436" s="520" t="str">
        <f>IF(AND(_A4="B-767-300",'2025'!$O$4="CA",'2025'!$O$2=BS423),'2025DATA'!$N$15,"")</f>
        <v/>
      </c>
      <c r="BT436" s="940" t="s">
        <v>67</v>
      </c>
      <c r="BU436" s="13" t="s">
        <v>61</v>
      </c>
      <c r="BV436" s="518" t="str">
        <f>IF(AND(_A5="B-767-300",'2025'!$O$4="CA",'2025'!$O$2=BV423),'2025DATA'!$C$15,"")</f>
        <v/>
      </c>
      <c r="BW436" s="518" t="str">
        <f>IF(AND(_A5="B-767-300",'2025'!$O$4="CA",'2025'!$O$2=BW423),'2025DATA'!$D$15,"")</f>
        <v/>
      </c>
      <c r="BX436" s="518" t="str">
        <f>IF(AND(_A5="B-767-300",'2025'!$O$4="CA",'2025'!$O$2=BX423),'2025DATA'!$E$15,"")</f>
        <v/>
      </c>
      <c r="BY436" s="518" t="str">
        <f>IF(AND(_A5="B-767-300",'2025'!$O$4="CA",'2025'!$O$2=BY423),'2025DATA'!$F$15,"")</f>
        <v/>
      </c>
      <c r="BZ436" s="518" t="str">
        <f>IF(AND(_A5="B-767-300",'2025'!$O$4="CA",'2025'!$O$2=BZ423),'2025DATA'!$G$15,"")</f>
        <v/>
      </c>
      <c r="CA436" s="518" t="str">
        <f>IF(AND(_A5="B-767-300",'2025'!$O$4="CA",'2025'!$O$2=CA423),'2025DATA'!$H$15,"")</f>
        <v/>
      </c>
      <c r="CB436" s="518" t="str">
        <f>IF(AND(_A5="B-767-300",'2025'!$O$4="CA",'2025'!$O$2=CB423),'2025DATA'!$I$15,"")</f>
        <v/>
      </c>
      <c r="CC436" s="518" t="str">
        <f>IF(AND(_A5="B-767-300",'2025'!$O$4="CA",'2025'!$O$2=CC423),'2025DATA'!$J$15,"")</f>
        <v/>
      </c>
      <c r="CD436" s="518" t="str">
        <f>IF(AND(_A5="B-767-300",'2025'!$O$4="CA",'2025'!$O$2=CD423),'2025DATA'!$K$15,"")</f>
        <v/>
      </c>
      <c r="CE436" s="518" t="str">
        <f>IF(AND(_A5="B-767-300",'2025'!$O$4="CA",'2025'!$O$2=CE423),'2025DATA'!$L$15,"")</f>
        <v/>
      </c>
      <c r="CF436" s="518" t="str">
        <f>IF(AND(_A5="B-767-300",'2025'!$O$4="CA",'2025'!$O$2=CF423),'2025DATA'!$M$15,"")</f>
        <v/>
      </c>
      <c r="CG436" s="520" t="str">
        <f>IF(AND(_A5="B-767-300",'2025'!$O$4="CA",'2025'!$O$2=CG423),'2025DATA'!$N$15,"")</f>
        <v/>
      </c>
      <c r="CH436" s="940" t="s">
        <v>67</v>
      </c>
      <c r="CI436" s="13" t="s">
        <v>61</v>
      </c>
      <c r="CJ436" s="518" t="str">
        <f>IF(AND(_A6="B-767-300",'2025'!$O$4="CA",'2025'!$O$2=CJ423),'2025DATA'!$C$15,"")</f>
        <v/>
      </c>
      <c r="CK436" s="518" t="str">
        <f>IF(AND(_A6="B-767-300",'2025'!$O$4="CA",'2025'!$O$2=CK423),'2025DATA'!$D$15,"")</f>
        <v/>
      </c>
      <c r="CL436" s="518" t="str">
        <f>IF(AND(_A6="B-767-300",'2025'!$O$4="CA",'2025'!$O$2=CL423),'2025DATA'!$E$15,"")</f>
        <v/>
      </c>
      <c r="CM436" s="518" t="str">
        <f>IF(AND(_A6="B-767-300",'2025'!$O$4="CA",'2025'!$O$2=CM423),'2025DATA'!$F$15,"")</f>
        <v/>
      </c>
      <c r="CN436" s="518" t="str">
        <f>IF(AND(_A6="B-767-300",'2025'!$O$4="CA",'2025'!$O$2=CN423),'2025DATA'!$G$15,"")</f>
        <v/>
      </c>
      <c r="CO436" s="518" t="str">
        <f>IF(AND(_A6="B-767-300",'2025'!$O$4="CA",'2025'!$O$2=CO423),'2025DATA'!$H$15,"")</f>
        <v/>
      </c>
      <c r="CP436" s="518" t="str">
        <f>IF(AND(_A6="B-767-300",'2025'!$O$4="CA",'2025'!$O$2=CP423),'2025DATA'!$I$15,"")</f>
        <v/>
      </c>
      <c r="CQ436" s="518" t="str">
        <f>IF(AND(_A6="B-767-300",'2025'!$O$4="CA",'2025'!$O$2=CQ423),'2025DATA'!$J$15,"")</f>
        <v/>
      </c>
      <c r="CR436" s="518" t="str">
        <f>IF(AND(_A6="B-767-300",'2025'!$O$4="CA",'2025'!$O$2=CR423),'2025DATA'!$K$15,"")</f>
        <v/>
      </c>
      <c r="CS436" s="518" t="str">
        <f>IF(AND(_A6="B-767-300",'2025'!$O$4="CA",'2025'!$O$2=CS423),'2025DATA'!$L$15,"")</f>
        <v/>
      </c>
      <c r="CT436" s="518" t="str">
        <f>IF(AND(_A6="B-767-300",'2025'!$O$4="CA",'2025'!$O$2=CT423),'2025DATA'!$M$15,"")</f>
        <v/>
      </c>
      <c r="CU436" s="520" t="str">
        <f>IF(AND(_A6="B-767-300",'2025'!$O$4="CA",'2025'!$O$2=CU423),'2025DATA'!$N$15,"")</f>
        <v/>
      </c>
    </row>
    <row r="437" spans="16:99" x14ac:dyDescent="0.25">
      <c r="P437" s="940"/>
      <c r="Q437" s="13" t="s">
        <v>62</v>
      </c>
      <c r="R437" s="518" t="str">
        <f>IF(AND(_A1="B-767-300",'2025'!$O$4="FO",'2025'!$O$2=R423),'2025DATA'!$C$16,"")</f>
        <v/>
      </c>
      <c r="S437" s="518" t="str">
        <f>IF(AND(_A1="B-767-300",'2025'!$O$4="FO",'2025'!$O$2=S423),'2025DATA'!$D$16,"")</f>
        <v/>
      </c>
      <c r="T437" s="518" t="str">
        <f>IF(AND(_A1="B-767-300",'2025'!$O$4="FO",'2025'!$O$2=T423),'2025DATA'!$E$16,"")</f>
        <v/>
      </c>
      <c r="U437" s="518" t="str">
        <f>IF(AND(_A1="B-767-300",'2025'!$O$4="FO",'2025'!$O$2=U423),'2025DATA'!$F$16,"")</f>
        <v/>
      </c>
      <c r="V437" s="518" t="str">
        <f>IF(AND(_A1="B-767-300",'2025'!$O$4="FO",'2025'!$O$2=V423),'2025DATA'!$G$16,"")</f>
        <v/>
      </c>
      <c r="W437" s="518" t="str">
        <f>IF(AND(_A1="B-767-300",'2025'!$O$4="FO",'2025'!$O$2=W423),'2025DATA'!$H$16,"")</f>
        <v/>
      </c>
      <c r="X437" s="518" t="str">
        <f>IF(AND(_A1="B-767-300",'2025'!$O$4="FO",'2025'!$O$2=X423),'2025DATA'!$I$16,"")</f>
        <v/>
      </c>
      <c r="Y437" s="518" t="str">
        <f>IF(AND(_A1="B-767-300",'2025'!$O$4="FO",'2025'!$O$2=Y423),'2025DATA'!$J$16,"")</f>
        <v/>
      </c>
      <c r="Z437" s="518" t="str">
        <f>IF(AND(_A1="B-767-300",'2025'!$O$4="FO",'2025'!$O$2=Z423),'2025DATA'!$K$16,"")</f>
        <v/>
      </c>
      <c r="AA437" s="518" t="str">
        <f>IF(AND(_A1="B-767-300",'2025'!$O$4="FO",'2025'!$O$2=AA423),'2025DATA'!$L$16,"")</f>
        <v/>
      </c>
      <c r="AB437" s="518" t="str">
        <f>IF(AND(_A1="B-767-300",'2025'!$O$4="FO",'2025'!$O$2=AB423),'2025DATA'!$M$16,"")</f>
        <v/>
      </c>
      <c r="AC437" s="520" t="str">
        <f>IF(AND(_A1="B-767-300",'2025'!$O$4="FO",'2025'!$O$2=AC423),'2025DATA'!$N$16,"")</f>
        <v/>
      </c>
      <c r="AD437" s="940"/>
      <c r="AE437" s="13" t="s">
        <v>62</v>
      </c>
      <c r="AF437" s="518" t="str">
        <f>IF(AND(_A2="B-767-300",'2025'!$O$4="FO",'2025'!$O$2=AF423),'2025DATA'!$C$16,"")</f>
        <v/>
      </c>
      <c r="AG437" s="518" t="str">
        <f>IF(AND(_A2="B-767-300",'2025'!$O$4="FO",'2025'!$O$2=AG423),'2025DATA'!$D$16,"")</f>
        <v/>
      </c>
      <c r="AH437" s="518" t="str">
        <f>IF(AND(_A2="B-767-300",'2025'!$O$4="FO",'2025'!$O$2=AH423),'2025DATA'!$E$16,"")</f>
        <v/>
      </c>
      <c r="AI437" s="518" t="str">
        <f>IF(AND(_A2="B-767-300",'2025'!$O$4="FO",'2025'!$O$2=AI423),'2025DATA'!$F$16,"")</f>
        <v/>
      </c>
      <c r="AJ437" s="518" t="str">
        <f>IF(AND(_A2="B-767-300",'2025'!$O$4="FO",'2025'!$O$2=AJ423),'2025DATA'!$G$16,"")</f>
        <v/>
      </c>
      <c r="AK437" s="518" t="str">
        <f>IF(AND(_A2="B-767-300",'2025'!$O$4="FO",'2025'!$O$2=AK423),'2025DATA'!$H$16,"")</f>
        <v/>
      </c>
      <c r="AL437" s="518" t="str">
        <f>IF(AND(_A2="B-767-300",'2025'!$O$4="FO",'2025'!$O$2=AL423),'2025DATA'!$I$16,"")</f>
        <v/>
      </c>
      <c r="AM437" s="518" t="str">
        <f>IF(AND(_A2="B-767-300",'2025'!$O$4="FO",'2025'!$O$2=AM423),'2025DATA'!$J$16,"")</f>
        <v/>
      </c>
      <c r="AN437" s="518" t="str">
        <f>IF(AND(_A2="B-767-300",'2025'!$O$4="FO",'2025'!$O$2=AN423),'2025DATA'!$K$16,"")</f>
        <v/>
      </c>
      <c r="AO437" s="518" t="str">
        <f>IF(AND(_A2="B-767-300",'2025'!$O$4="FO",'2025'!$O$2=AO423),'2025DATA'!$L$16,"")</f>
        <v/>
      </c>
      <c r="AP437" s="518" t="str">
        <f>IF(AND(_A2="B-767-300",'2025'!$O$4="FO",'2025'!$O$2=AP423),'2025DATA'!$M$16,"")</f>
        <v/>
      </c>
      <c r="AQ437" s="520" t="str">
        <f>IF(AND(_A2="B-767-300",'2025'!$O$4="FO",'2025'!$O$2=AQ423),'2025DATA'!$N$16,"")</f>
        <v/>
      </c>
      <c r="AR437" s="940"/>
      <c r="AS437" s="13" t="s">
        <v>62</v>
      </c>
      <c r="AT437" s="518" t="str">
        <f>IF(AND(_A3="B-767-300",'2025'!$O$4="FO",'2025'!$O$2=AT423),'2025DATA'!$C$16,"")</f>
        <v/>
      </c>
      <c r="AU437" s="518" t="str">
        <f>IF(AND(_A3="B-767-300",'2025'!$O$4="FO",'2025'!$O$2=AU423),'2025DATA'!$D$16,"")</f>
        <v/>
      </c>
      <c r="AV437" s="518" t="str">
        <f>IF(AND(_A3="B-767-300",'2025'!$O$4="FO",'2025'!$O$2=AV423),'2025DATA'!$E$16,"")</f>
        <v/>
      </c>
      <c r="AW437" s="518" t="str">
        <f>IF(AND(_A3="B-767-300",'2025'!$O$4="FO",'2025'!$O$2=AW423),'2025DATA'!$F$16,"")</f>
        <v/>
      </c>
      <c r="AX437" s="518" t="str">
        <f>IF(AND(_A3="B-767-300",'2025'!$O$4="FO",'2025'!$O$2=AX423),'2025DATA'!$G$16,"")</f>
        <v/>
      </c>
      <c r="AY437" s="518" t="str">
        <f>IF(AND(_A3="B-767-300",'2025'!$O$4="FO",'2025'!$O$2=AY423),'2025DATA'!$H$16,"")</f>
        <v/>
      </c>
      <c r="AZ437" s="518" t="str">
        <f>IF(AND(_A3="B-767-300",'2025'!$O$4="FO",'2025'!$O$2=AZ423),'2025DATA'!$I$16,"")</f>
        <v/>
      </c>
      <c r="BA437" s="518" t="str">
        <f>IF(AND(_A3="B-767-300",'2025'!$O$4="FO",'2025'!$O$2=BA423),'2025DATA'!$J$16,"")</f>
        <v/>
      </c>
      <c r="BB437" s="518" t="str">
        <f>IF(AND(_A3="B-767-300",'2025'!$O$4="FO",'2025'!$O$2=BB423),'2025DATA'!$K$16,"")</f>
        <v/>
      </c>
      <c r="BC437" s="518" t="str">
        <f>IF(AND(_A3="B-767-300",'2025'!$O$4="FO",'2025'!$O$2=BC423),'2025DATA'!$L$16,"")</f>
        <v/>
      </c>
      <c r="BD437" s="518" t="str">
        <f>IF(AND(_A3="B-767-300",'2025'!$O$4="FO",'2025'!$O$2=BD423),'2025DATA'!$M$16,"")</f>
        <v/>
      </c>
      <c r="BE437" s="520" t="str">
        <f>IF(AND(_A3="B-767-300",'2025'!$O$4="FO",'2025'!$O$2=BE423),'2025DATA'!$N$16,"")</f>
        <v/>
      </c>
      <c r="BF437" s="940"/>
      <c r="BG437" s="13" t="s">
        <v>62</v>
      </c>
      <c r="BH437" s="518" t="str">
        <f>IF(AND(_A4="B-767-300",'2025'!$O$4="FO",'2025'!$O$2=BH423),'2025DATA'!$C$16,"")</f>
        <v/>
      </c>
      <c r="BI437" s="518" t="str">
        <f>IF(AND(_A4="B-767-300",'2025'!$O$4="FO",'2025'!$O$2=BI423),'2025DATA'!$D$16,"")</f>
        <v/>
      </c>
      <c r="BJ437" s="518" t="str">
        <f>IF(AND(_A4="B-767-300",'2025'!$O$4="FO",'2025'!$O$2=BJ423),'2025DATA'!$E$16,"")</f>
        <v/>
      </c>
      <c r="BK437" s="518" t="str">
        <f>IF(AND(_A4="B-767-300",'2025'!$O$4="FO",'2025'!$O$2=BK423),'2025DATA'!$F$16,"")</f>
        <v/>
      </c>
      <c r="BL437" s="518" t="str">
        <f>IF(AND(_A4="B-767-300",'2025'!$O$4="FO",'2025'!$O$2=BL423),'2025DATA'!$G$16,"")</f>
        <v/>
      </c>
      <c r="BM437" s="518" t="str">
        <f>IF(AND(_A4="B-767-300",'2025'!$O$4="FO",'2025'!$O$2=BM423),'2025DATA'!$H$16,"")</f>
        <v/>
      </c>
      <c r="BN437" s="518" t="str">
        <f>IF(AND(_A4="B-767-300",'2025'!$O$4="FO",'2025'!$O$2=BN423),'2025DATA'!$I$16,"")</f>
        <v/>
      </c>
      <c r="BO437" s="518" t="str">
        <f>IF(AND(_A4="B-767-300",'2025'!$O$4="FO",'2025'!$O$2=BO423),'2025DATA'!$J$16,"")</f>
        <v/>
      </c>
      <c r="BP437" s="518" t="str">
        <f>IF(AND(_A4="B-767-300",'2025'!$O$4="FO",'2025'!$O$2=BP423),'2025DATA'!$K$16,"")</f>
        <v/>
      </c>
      <c r="BQ437" s="518" t="str">
        <f>IF(AND(_A4="B-767-300",'2025'!$O$4="FO",'2025'!$O$2=BQ423),'2025DATA'!$L$16,"")</f>
        <v/>
      </c>
      <c r="BR437" s="518" t="str">
        <f>IF(AND(_A4="B-767-300",'2025'!$O$4="FO",'2025'!$O$2=BR423),'2025DATA'!$M$16,"")</f>
        <v/>
      </c>
      <c r="BS437" s="520" t="str">
        <f>IF(AND(_A4="B-767-300",'2025'!$O$4="FO",'2025'!$O$2=BS423),'2025DATA'!$N$16,"")</f>
        <v/>
      </c>
      <c r="BT437" s="940"/>
      <c r="BU437" s="13" t="s">
        <v>62</v>
      </c>
      <c r="BV437" s="518" t="str">
        <f>IF(AND(_A5="B-767-300",'2025'!$O$4="FO",'2025'!$O$2=BV423),'2025DATA'!$C$16,"")</f>
        <v/>
      </c>
      <c r="BW437" s="518" t="str">
        <f>IF(AND(_A5="B-767-300",'2025'!$O$4="FO",'2025'!$O$2=BW423),'2025DATA'!$D$16,"")</f>
        <v/>
      </c>
      <c r="BX437" s="518" t="str">
        <f>IF(AND(_A5="B-767-300",'2025'!$O$4="FO",'2025'!$O$2=BX423),'2025DATA'!$E$16,"")</f>
        <v/>
      </c>
      <c r="BY437" s="518" t="str">
        <f>IF(AND(_A5="B-767-300",'2025'!$O$4="FO",'2025'!$O$2=BY423),'2025DATA'!$F$16,"")</f>
        <v/>
      </c>
      <c r="BZ437" s="518" t="str">
        <f>IF(AND(_A5="B-767-300",'2025'!$O$4="FO",'2025'!$O$2=BZ423),'2025DATA'!$G$16,"")</f>
        <v/>
      </c>
      <c r="CA437" s="518" t="str">
        <f>IF(AND(_A5="B-767-300",'2025'!$O$4="FO",'2025'!$O$2=CA423),'2025DATA'!$H$16,"")</f>
        <v/>
      </c>
      <c r="CB437" s="518" t="str">
        <f>IF(AND(_A5="B-767-300",'2025'!$O$4="FO",'2025'!$O$2=CB423),'2025DATA'!$I$16,"")</f>
        <v/>
      </c>
      <c r="CC437" s="518" t="str">
        <f>IF(AND(_A5="B-767-300",'2025'!$O$4="FO",'2025'!$O$2=CC423),'2025DATA'!$J$16,"")</f>
        <v/>
      </c>
      <c r="CD437" s="518" t="str">
        <f>IF(AND(_A5="B-767-300",'2025'!$O$4="FO",'2025'!$O$2=CD423),'2025DATA'!$K$16,"")</f>
        <v/>
      </c>
      <c r="CE437" s="518" t="str">
        <f>IF(AND(_A5="B-767-300",'2025'!$O$4="FO",'2025'!$O$2=CE423),'2025DATA'!$L$16,"")</f>
        <v/>
      </c>
      <c r="CF437" s="518" t="str">
        <f>IF(AND(_A5="B-767-300",'2025'!$O$4="FO",'2025'!$O$2=CF423),'2025DATA'!$M$16,"")</f>
        <v/>
      </c>
      <c r="CG437" s="520" t="str">
        <f>IF(AND(_A5="B-767-300",'2025'!$O$4="FO",'2025'!$O$2=CG423),'2025DATA'!$N$16,"")</f>
        <v/>
      </c>
      <c r="CH437" s="940"/>
      <c r="CI437" s="13" t="s">
        <v>62</v>
      </c>
      <c r="CJ437" s="518" t="str">
        <f>IF(AND(_A6="B-767-300",'2025'!$O$4="FO",'2025'!$O$2=CJ423),'2025DATA'!$C$16,"")</f>
        <v/>
      </c>
      <c r="CK437" s="518" t="str">
        <f>IF(AND(_A6="B-767-300",'2025'!$O$4="FO",'2025'!$O$2=CK423),'2025DATA'!$D$16,"")</f>
        <v/>
      </c>
      <c r="CL437" s="518" t="str">
        <f>IF(AND(_A6="B-767-300",'2025'!$O$4="FO",'2025'!$O$2=CL423),'2025DATA'!$E$16,"")</f>
        <v/>
      </c>
      <c r="CM437" s="518" t="str">
        <f>IF(AND(_A6="B-767-300",'2025'!$O$4="FO",'2025'!$O$2=CM423),'2025DATA'!$F$16,"")</f>
        <v/>
      </c>
      <c r="CN437" s="518" t="str">
        <f>IF(AND(_A6="B-767-300",'2025'!$O$4="FO",'2025'!$O$2=CN423),'2025DATA'!$G$16,"")</f>
        <v/>
      </c>
      <c r="CO437" s="518" t="str">
        <f>IF(AND(_A6="B-767-300",'2025'!$O$4="FO",'2025'!$O$2=CO423),'2025DATA'!$H$16,"")</f>
        <v/>
      </c>
      <c r="CP437" s="518" t="str">
        <f>IF(AND(_A6="B-767-300",'2025'!$O$4="FO",'2025'!$O$2=CP423),'2025DATA'!$I$16,"")</f>
        <v/>
      </c>
      <c r="CQ437" s="518" t="str">
        <f>IF(AND(_A6="B-767-300",'2025'!$O$4="FO",'2025'!$O$2=CQ423),'2025DATA'!$J$16,"")</f>
        <v/>
      </c>
      <c r="CR437" s="518" t="str">
        <f>IF(AND(_A6="B-767-300",'2025'!$O$4="FO",'2025'!$O$2=CR423),'2025DATA'!$K$16,"")</f>
        <v/>
      </c>
      <c r="CS437" s="518" t="str">
        <f>IF(AND(_A6="B-767-300",'2025'!$O$4="FO",'2025'!$O$2=CS423),'2025DATA'!$L$16,"")</f>
        <v/>
      </c>
      <c r="CT437" s="518" t="str">
        <f>IF(AND(_A6="B-767-300",'2025'!$O$4="FO",'2025'!$O$2=CT423),'2025DATA'!$M$16,"")</f>
        <v/>
      </c>
      <c r="CU437" s="520" t="str">
        <f>IF(AND(_A6="B-767-300",'2025'!$O$4="FO",'2025'!$O$2=CU423),'2025DATA'!$N$16,"")</f>
        <v/>
      </c>
    </row>
    <row r="438" spans="16:99" x14ac:dyDescent="0.25">
      <c r="P438" s="940" t="s">
        <v>68</v>
      </c>
      <c r="Q438" s="13" t="s">
        <v>61</v>
      </c>
      <c r="R438" s="518" t="str">
        <f>IF(AND(_A1="B-767-200",'2025'!$O$4="CA",'2025'!$O$2=R423),'2025DATA'!$C$17,"")</f>
        <v/>
      </c>
      <c r="S438" s="518" t="str">
        <f>IF(AND(_A1="B-767-200",'2025'!$O$4="CA",'2025'!$O$2=S423),'2025DATA'!$D$17,"")</f>
        <v/>
      </c>
      <c r="T438" s="518" t="str">
        <f>IF(AND(_A1="B-767-200",'2025'!$O$4="CA",'2025'!$O$2=T423),'2025DATA'!$E$17,"")</f>
        <v/>
      </c>
      <c r="U438" s="518" t="str">
        <f>IF(AND(_A1="B-767-200",'2025'!$O$4="CA",'2025'!$O$2=U423),'2025DATA'!$F$17,"")</f>
        <v/>
      </c>
      <c r="V438" s="518" t="str">
        <f>IF(AND(_A1="B-767-200",'2025'!$O$4="CA",'2025'!$O$2=V423),'2025DATA'!$G$17,"")</f>
        <v/>
      </c>
      <c r="W438" s="518" t="str">
        <f>IF(AND(_A1="B-767-200",'2025'!$O$4="CA",'2025'!$O$2=W423),'2025DATA'!$H$17,"")</f>
        <v/>
      </c>
      <c r="X438" s="518" t="str">
        <f>IF(AND(_A1="B-767-200",'2025'!$O$4="CA",'2025'!$O$2=X423),'2025DATA'!$I$17,"")</f>
        <v/>
      </c>
      <c r="Y438" s="518" t="str">
        <f>IF(AND(_A1="B-767-200",'2025'!$O$4="CA",'2025'!$O$2=Y423),'2025DATA'!$J$17,"")</f>
        <v/>
      </c>
      <c r="Z438" s="518" t="str">
        <f>IF(AND(_A1="B-767-200",'2025'!$O$4="CA",'2025'!$O$2=Z423),'2025DATA'!$K$17,"")</f>
        <v/>
      </c>
      <c r="AA438" s="518" t="str">
        <f>IF(AND(_A1="B-767-200",'2025'!$O$4="CA",'2025'!$O$2=AA423),'2025DATA'!$L$17,"")</f>
        <v/>
      </c>
      <c r="AB438" s="518" t="str">
        <f>IF(AND(_A1="B-767-200",'2025'!$O$4="CA",'2025'!$O$2=AB423),'2025DATA'!$M$17,"")</f>
        <v/>
      </c>
      <c r="AC438" s="520" t="str">
        <f>IF(AND(_A1="B-767-200",'2025'!$O$4="CA",'2025'!$O$2=AC423),'2025DATA'!$N$17,"")</f>
        <v/>
      </c>
      <c r="AD438" s="940" t="s">
        <v>68</v>
      </c>
      <c r="AE438" s="13" t="s">
        <v>61</v>
      </c>
      <c r="AF438" s="518" t="str">
        <f>IF(AND(_A2="B-767-200",'2025'!$O$4="CA",'2025'!$O$2=AF423),'2025DATA'!$C$17,"")</f>
        <v/>
      </c>
      <c r="AG438" s="518" t="str">
        <f>IF(AND(_A2="B-767-200",'2025'!$O$4="CA",'2025'!$O$2=AG423),'2025DATA'!$D$17,"")</f>
        <v/>
      </c>
      <c r="AH438" s="518" t="str">
        <f>IF(AND(_A2="B-767-200",'2025'!$O$4="CA",'2025'!$O$2=AH423),'2025DATA'!$E$17,"")</f>
        <v/>
      </c>
      <c r="AI438" s="518" t="str">
        <f>IF(AND(_A2="B-767-200",'2025'!$O$4="CA",'2025'!$O$2=AI423),'2025DATA'!$F$17,"")</f>
        <v/>
      </c>
      <c r="AJ438" s="518" t="str">
        <f>IF(AND(_A2="B-767-200",'2025'!$O$4="CA",'2025'!$O$2=AJ423),'2025DATA'!$G$17,"")</f>
        <v/>
      </c>
      <c r="AK438" s="518" t="str">
        <f>IF(AND(_A2="B-767-200",'2025'!$O$4="CA",'2025'!$O$2=AK423),'2025DATA'!$H$17,"")</f>
        <v/>
      </c>
      <c r="AL438" s="518" t="str">
        <f>IF(AND(_A2="B-767-200",'2025'!$O$4="CA",'2025'!$O$2=AL423),'2025DATA'!$I$17,"")</f>
        <v/>
      </c>
      <c r="AM438" s="518" t="str">
        <f>IF(AND(_A2="B-767-200",'2025'!$O$4="CA",'2025'!$O$2=AM423),'2025DATA'!$J$17,"")</f>
        <v/>
      </c>
      <c r="AN438" s="518" t="str">
        <f>IF(AND(_A2="B-767-200",'2025'!$O$4="CA",'2025'!$O$2=AN423),'2025DATA'!$K$17,"")</f>
        <v/>
      </c>
      <c r="AO438" s="518" t="str">
        <f>IF(AND(_A2="B-767-200",'2025'!$O$4="CA",'2025'!$O$2=AO423),'2025DATA'!$L$17,"")</f>
        <v/>
      </c>
      <c r="AP438" s="518" t="str">
        <f>IF(AND(_A2="B-767-200",'2025'!$O$4="CA",'2025'!$O$2=AP423),'2025DATA'!$M$17,"")</f>
        <v/>
      </c>
      <c r="AQ438" s="520" t="str">
        <f>IF(AND(_A2="B-767-200",'2025'!$O$4="CA",'2025'!$O$2=AQ423),'2025DATA'!$N$17,"")</f>
        <v/>
      </c>
      <c r="AR438" s="940" t="s">
        <v>68</v>
      </c>
      <c r="AS438" s="13" t="s">
        <v>61</v>
      </c>
      <c r="AT438" s="518" t="str">
        <f>IF(AND(_A3="B-767-200",'2025'!$O$4="CA",'2025'!$O$2=AT423),'2025DATA'!$C$17,"")</f>
        <v/>
      </c>
      <c r="AU438" s="518" t="str">
        <f>IF(AND(_A3="B-767-200",'2025'!$O$4="CA",'2025'!$O$2=AU423),'2025DATA'!$D$17,"")</f>
        <v/>
      </c>
      <c r="AV438" s="518" t="str">
        <f>IF(AND(_A3="B-767-200",'2025'!$O$4="CA",'2025'!$O$2=AV423),'2025DATA'!$E$17,"")</f>
        <v/>
      </c>
      <c r="AW438" s="518" t="str">
        <f>IF(AND(_A3="B-767-200",'2025'!$O$4="CA",'2025'!$O$2=AW423),'2025DATA'!$F$17,"")</f>
        <v/>
      </c>
      <c r="AX438" s="518" t="str">
        <f>IF(AND(_A3="B-767-200",'2025'!$O$4="CA",'2025'!$O$2=AX423),'2025DATA'!$G$17,"")</f>
        <v/>
      </c>
      <c r="AY438" s="518" t="str">
        <f>IF(AND(_A3="B-767-200",'2025'!$O$4="CA",'2025'!$O$2=AY423),'2025DATA'!$H$17,"")</f>
        <v/>
      </c>
      <c r="AZ438" s="518" t="str">
        <f>IF(AND(_A3="B-767-200",'2025'!$O$4="CA",'2025'!$O$2=AZ423),'2025DATA'!$I$17,"")</f>
        <v/>
      </c>
      <c r="BA438" s="518" t="str">
        <f>IF(AND(_A3="B-767-200",'2025'!$O$4="CA",'2025'!$O$2=BA423),'2025DATA'!$J$17,"")</f>
        <v/>
      </c>
      <c r="BB438" s="518" t="str">
        <f>IF(AND(_A3="B-767-200",'2025'!$O$4="CA",'2025'!$O$2=BB423),'2025DATA'!$K$17,"")</f>
        <v/>
      </c>
      <c r="BC438" s="518" t="str">
        <f>IF(AND(_A3="B-767-200",'2025'!$O$4="CA",'2025'!$O$2=BC423),'2025DATA'!$L$17,"")</f>
        <v/>
      </c>
      <c r="BD438" s="518" t="str">
        <f>IF(AND(_A3="B-767-200",'2025'!$O$4="CA",'2025'!$O$2=BD423),'2025DATA'!$M$17,"")</f>
        <v/>
      </c>
      <c r="BE438" s="520" t="str">
        <f>IF(AND(_A3="B-767-200",'2025'!$O$4="CA",'2025'!$O$2=BE423),'2025DATA'!$N$17,"")</f>
        <v/>
      </c>
      <c r="BF438" s="940" t="s">
        <v>68</v>
      </c>
      <c r="BG438" s="13" t="s">
        <v>61</v>
      </c>
      <c r="BH438" s="518" t="str">
        <f>IF(AND(_A4="B-767-200",'2025'!$O$4="CA",'2025'!$O$2=BH423),'2025DATA'!$C$17,"")</f>
        <v/>
      </c>
      <c r="BI438" s="518" t="str">
        <f>IF(AND(_A4="B-767-200",'2025'!$O$4="CA",'2025'!$O$2=BI423),'2025DATA'!$D$17,"")</f>
        <v/>
      </c>
      <c r="BJ438" s="518" t="str">
        <f>IF(AND(_A4="B-767-200",'2025'!$O$4="CA",'2025'!$O$2=BJ423),'2025DATA'!$E$17,"")</f>
        <v/>
      </c>
      <c r="BK438" s="518" t="str">
        <f>IF(AND(_A4="B-767-200",'2025'!$O$4="CA",'2025'!$O$2=BK423),'2025DATA'!$F$17,"")</f>
        <v/>
      </c>
      <c r="BL438" s="518" t="str">
        <f>IF(AND(_A4="B-767-200",'2025'!$O$4="CA",'2025'!$O$2=BL423),'2025DATA'!$G$17,"")</f>
        <v/>
      </c>
      <c r="BM438" s="518" t="str">
        <f>IF(AND(_A4="B-767-200",'2025'!$O$4="CA",'2025'!$O$2=BM423),'2025DATA'!$H$17,"")</f>
        <v/>
      </c>
      <c r="BN438" s="518" t="str">
        <f>IF(AND(_A4="B-767-200",'2025'!$O$4="CA",'2025'!$O$2=BN423),'2025DATA'!$I$17,"")</f>
        <v/>
      </c>
      <c r="BO438" s="518" t="str">
        <f>IF(AND(_A4="B-767-200",'2025'!$O$4="CA",'2025'!$O$2=BO423),'2025DATA'!$J$17,"")</f>
        <v/>
      </c>
      <c r="BP438" s="518" t="str">
        <f>IF(AND(_A4="B-767-200",'2025'!$O$4="CA",'2025'!$O$2=BP423),'2025DATA'!$K$17,"")</f>
        <v/>
      </c>
      <c r="BQ438" s="518" t="str">
        <f>IF(AND(_A4="B-767-200",'2025'!$O$4="CA",'2025'!$O$2=BQ423),'2025DATA'!$L$17,"")</f>
        <v/>
      </c>
      <c r="BR438" s="518" t="str">
        <f>IF(AND(_A4="B-767-200",'2025'!$O$4="CA",'2025'!$O$2=BR423),'2025DATA'!$M$17,"")</f>
        <v/>
      </c>
      <c r="BS438" s="520" t="str">
        <f>IF(AND(_A4="B-767-200",'2025'!$O$4="CA",'2025'!$O$2=BS423),'2025DATA'!$N$17,"")</f>
        <v/>
      </c>
      <c r="BT438" s="940" t="s">
        <v>68</v>
      </c>
      <c r="BU438" s="13" t="s">
        <v>61</v>
      </c>
      <c r="BV438" s="518" t="str">
        <f>IF(AND(_A5="B-767-200",'2025'!$O$4="CA",'2025'!$O$2=BV423),'2025DATA'!$C$17,"")</f>
        <v/>
      </c>
      <c r="BW438" s="518" t="str">
        <f>IF(AND(_A5="B-767-200",'2025'!$O$4="CA",'2025'!$O$2=BW423),'2025DATA'!$D$17,"")</f>
        <v/>
      </c>
      <c r="BX438" s="518" t="str">
        <f>IF(AND(_A5="B-767-200",'2025'!$O$4="CA",'2025'!$O$2=BX423),'2025DATA'!$E$17,"")</f>
        <v/>
      </c>
      <c r="BY438" s="518" t="str">
        <f>IF(AND(_A5="B-767-200",'2025'!$O$4="CA",'2025'!$O$2=BY423),'2025DATA'!$F$17,"")</f>
        <v/>
      </c>
      <c r="BZ438" s="518" t="str">
        <f>IF(AND(_A5="B-767-200",'2025'!$O$4="CA",'2025'!$O$2=BZ423),'2025DATA'!$G$17,"")</f>
        <v/>
      </c>
      <c r="CA438" s="518" t="str">
        <f>IF(AND(_A5="B-767-200",'2025'!$O$4="CA",'2025'!$O$2=CA423),'2025DATA'!$H$17,"")</f>
        <v/>
      </c>
      <c r="CB438" s="518" t="str">
        <f>IF(AND(_A5="B-767-200",'2025'!$O$4="CA",'2025'!$O$2=CB423),'2025DATA'!$I$17,"")</f>
        <v/>
      </c>
      <c r="CC438" s="518" t="str">
        <f>IF(AND(_A5="B-767-200",'2025'!$O$4="CA",'2025'!$O$2=CC423),'2025DATA'!$J$17,"")</f>
        <v/>
      </c>
      <c r="CD438" s="518" t="str">
        <f>IF(AND(_A5="B-767-200",'2025'!$O$4="CA",'2025'!$O$2=CD423),'2025DATA'!$K$17,"")</f>
        <v/>
      </c>
      <c r="CE438" s="518" t="str">
        <f>IF(AND(_A5="B-767-200",'2025'!$O$4="CA",'2025'!$O$2=CE423),'2025DATA'!$L$17,"")</f>
        <v/>
      </c>
      <c r="CF438" s="518" t="str">
        <f>IF(AND(_A5="B-767-200",'2025'!$O$4="CA",'2025'!$O$2=CF423),'2025DATA'!$M$17,"")</f>
        <v/>
      </c>
      <c r="CG438" s="520" t="str">
        <f>IF(AND(_A5="B-767-200",'2025'!$O$4="CA",'2025'!$O$2=CG423),'2025DATA'!$N$17,"")</f>
        <v/>
      </c>
      <c r="CH438" s="940" t="s">
        <v>68</v>
      </c>
      <c r="CI438" s="13" t="s">
        <v>61</v>
      </c>
      <c r="CJ438" s="518" t="str">
        <f>IF(AND(_A6="B-767-200",'2025'!$O$4="CA",'2025'!$O$2=CJ423),'2025DATA'!$C$17,"")</f>
        <v/>
      </c>
      <c r="CK438" s="518" t="str">
        <f>IF(AND(_A6="B-767-200",'2025'!$O$4="CA",'2025'!$O$2=CK423),'2025DATA'!$D$17,"")</f>
        <v/>
      </c>
      <c r="CL438" s="518" t="str">
        <f>IF(AND(_A6="B-767-200",'2025'!$O$4="CA",'2025'!$O$2=CL423),'2025DATA'!$E$17,"")</f>
        <v/>
      </c>
      <c r="CM438" s="518" t="str">
        <f>IF(AND(_A6="B-767-200",'2025'!$O$4="CA",'2025'!$O$2=CM423),'2025DATA'!$F$17,"")</f>
        <v/>
      </c>
      <c r="CN438" s="518" t="str">
        <f>IF(AND(_A6="B-767-200",'2025'!$O$4="CA",'2025'!$O$2=CN423),'2025DATA'!$G$17,"")</f>
        <v/>
      </c>
      <c r="CO438" s="518" t="str">
        <f>IF(AND(_A6="B-767-200",'2025'!$O$4="CA",'2025'!$O$2=CO423),'2025DATA'!$H$17,"")</f>
        <v/>
      </c>
      <c r="CP438" s="518" t="str">
        <f>IF(AND(_A6="B-767-200",'2025'!$O$4="CA",'2025'!$O$2=CP423),'2025DATA'!$I$17,"")</f>
        <v/>
      </c>
      <c r="CQ438" s="518" t="str">
        <f>IF(AND(_A6="B-767-200",'2025'!$O$4="CA",'2025'!$O$2=CQ423),'2025DATA'!$J$17,"")</f>
        <v/>
      </c>
      <c r="CR438" s="518" t="str">
        <f>IF(AND(_A6="B-767-200",'2025'!$O$4="CA",'2025'!$O$2=CR423),'2025DATA'!$K$17,"")</f>
        <v/>
      </c>
      <c r="CS438" s="518" t="str">
        <f>IF(AND(_A6="B-767-200",'2025'!$O$4="CA",'2025'!$O$2=CS423),'2025DATA'!$L$17,"")</f>
        <v/>
      </c>
      <c r="CT438" s="518" t="str">
        <f>IF(AND(_A6="B-767-200",'2025'!$O$4="CA",'2025'!$O$2=CT423),'2025DATA'!$M$17,"")</f>
        <v/>
      </c>
      <c r="CU438" s="520" t="str">
        <f>IF(AND(_A6="B-767-200",'2025'!$O$4="CA",'2025'!$O$2=CU423),'2025DATA'!$N$17,"")</f>
        <v/>
      </c>
    </row>
    <row r="439" spans="16:99" x14ac:dyDescent="0.25">
      <c r="P439" s="940"/>
      <c r="Q439" s="13" t="s">
        <v>62</v>
      </c>
      <c r="R439" s="518" t="str">
        <f>IF(AND(_A1="B-767-200",'2025'!$O$4="FO",'2025'!$O$2=R423),'2025DATA'!$C$18,"")</f>
        <v/>
      </c>
      <c r="S439" s="518" t="str">
        <f>IF(AND(_A1="B-767-200",'2025'!$O$4="FO",'2025'!$O$2=S423),'2025DATA'!$D$18,"")</f>
        <v/>
      </c>
      <c r="T439" s="518" t="str">
        <f>IF(AND(_A1="B-767-200",'2025'!$O$4="FO",'2025'!$O$2=T423),'2025DATA'!$E$18,"")</f>
        <v/>
      </c>
      <c r="U439" s="518" t="str">
        <f>IF(AND(_A1="B-767-200",'2025'!$O$4="FO",'2025'!$O$2=U423),'2025DATA'!$F$18,"")</f>
        <v/>
      </c>
      <c r="V439" s="518" t="str">
        <f>IF(AND(_A1="B-767-200",'2025'!$O$4="FO",'2025'!$O$2=V423),'2025DATA'!$G$18,"")</f>
        <v/>
      </c>
      <c r="W439" s="518" t="str">
        <f>IF(AND(_A1="B-767-200",'2025'!$O$4="FO",'2025'!$O$2=W423),'2025DATA'!$H$18,"")</f>
        <v/>
      </c>
      <c r="X439" s="518" t="str">
        <f>IF(AND(_A1="B-767-200",'2025'!$O$4="FO",'2025'!$O$2=X423),'2025DATA'!$I$18,"")</f>
        <v/>
      </c>
      <c r="Y439" s="518" t="str">
        <f>IF(AND(_A1="B-767-200",'2025'!$O$4="FO",'2025'!$O$2=Y423),'2025DATA'!$J$18,"")</f>
        <v/>
      </c>
      <c r="Z439" s="518" t="str">
        <f>IF(AND(_A1="B-767-200",'2025'!$O$4="FO",'2025'!$O$2=Z423),'2025DATA'!$K$18,"")</f>
        <v/>
      </c>
      <c r="AA439" s="518" t="str">
        <f>IF(AND(_A1="B-767-200",'2025'!$O$4="FO",'2025'!$O$2=AA423),'2025DATA'!$L$18,"")</f>
        <v/>
      </c>
      <c r="AB439" s="518" t="str">
        <f>IF(AND(_A1="B-767-200",'2025'!$O$4="FO",'2025'!$O$2=AB423),'2025DATA'!$M$18,"")</f>
        <v/>
      </c>
      <c r="AC439" s="520" t="str">
        <f>IF(AND(_A1="B-767-200",'2025'!$O$4="FO",'2025'!$O$2=AC423),'2025DATA'!$N$18,"")</f>
        <v/>
      </c>
      <c r="AD439" s="940"/>
      <c r="AE439" s="13" t="s">
        <v>62</v>
      </c>
      <c r="AF439" s="518" t="str">
        <f>IF(AND(_A2="B-767-200",'2025'!$O$4="FO",'2025'!$O$2=AF423),'2025DATA'!$C$18,"")</f>
        <v/>
      </c>
      <c r="AG439" s="518" t="str">
        <f>IF(AND(_A2="B-767-200",'2025'!$O$4="FO",'2025'!$O$2=AG423),'2025DATA'!$D$18,"")</f>
        <v/>
      </c>
      <c r="AH439" s="518" t="str">
        <f>IF(AND(_A2="B-767-200",'2025'!$O$4="FO",'2025'!$O$2=AH423),'2025DATA'!$E$18,"")</f>
        <v/>
      </c>
      <c r="AI439" s="518" t="str">
        <f>IF(AND(_A2="B-767-200",'2025'!$O$4="FO",'2025'!$O$2=AI423),'2025DATA'!$F$18,"")</f>
        <v/>
      </c>
      <c r="AJ439" s="518" t="str">
        <f>IF(AND(_A2="B-767-200",'2025'!$O$4="FO",'2025'!$O$2=AJ423),'2025DATA'!$G$18,"")</f>
        <v/>
      </c>
      <c r="AK439" s="518" t="str">
        <f>IF(AND(_A2="B-767-200",'2025'!$O$4="FO",'2025'!$O$2=AK423),'2025DATA'!$H$18,"")</f>
        <v/>
      </c>
      <c r="AL439" s="518" t="str">
        <f>IF(AND(_A2="B-767-200",'2025'!$O$4="FO",'2025'!$O$2=AL423),'2025DATA'!$I$18,"")</f>
        <v/>
      </c>
      <c r="AM439" s="518" t="str">
        <f>IF(AND(_A2="B-767-200",'2025'!$O$4="FO",'2025'!$O$2=AM423),'2025DATA'!$J$18,"")</f>
        <v/>
      </c>
      <c r="AN439" s="518" t="str">
        <f>IF(AND(_A2="B-767-200",'2025'!$O$4="FO",'2025'!$O$2=AN423),'2025DATA'!$K$18,"")</f>
        <v/>
      </c>
      <c r="AO439" s="518" t="str">
        <f>IF(AND(_A2="B-767-200",'2025'!$O$4="FO",'2025'!$O$2=AO423),'2025DATA'!$L$18,"")</f>
        <v/>
      </c>
      <c r="AP439" s="518" t="str">
        <f>IF(AND(_A2="B-767-200",'2025'!$O$4="FO",'2025'!$O$2=AP423),'2025DATA'!$M$18,"")</f>
        <v/>
      </c>
      <c r="AQ439" s="520" t="str">
        <f>IF(AND(_A2="B-767-200",'2025'!$O$4="FO",'2025'!$O$2=AQ423),'2025DATA'!$N$18,"")</f>
        <v/>
      </c>
      <c r="AR439" s="940"/>
      <c r="AS439" s="13" t="s">
        <v>62</v>
      </c>
      <c r="AT439" s="518" t="str">
        <f>IF(AND(_A3="B-767-200",'2025'!$O$4="FO",'2025'!$O$2=AT423),'2025DATA'!$C$18,"")</f>
        <v/>
      </c>
      <c r="AU439" s="518" t="str">
        <f>IF(AND(_A3="B-767-200",'2025'!$O$4="FO",'2025'!$O$2=AU423),'2025DATA'!$D$18,"")</f>
        <v/>
      </c>
      <c r="AV439" s="518" t="str">
        <f>IF(AND(_A3="B-767-200",'2025'!$O$4="FO",'2025'!$O$2=AV423),'2025DATA'!$E$18,"")</f>
        <v/>
      </c>
      <c r="AW439" s="518" t="str">
        <f>IF(AND(_A3="B-767-200",'2025'!$O$4="FO",'2025'!$O$2=AW423),'2025DATA'!$F$18,"")</f>
        <v/>
      </c>
      <c r="AX439" s="518" t="str">
        <f>IF(AND(_A3="B-767-200",'2025'!$O$4="FO",'2025'!$O$2=AX423),'2025DATA'!$G$18,"")</f>
        <v/>
      </c>
      <c r="AY439" s="518" t="str">
        <f>IF(AND(_A3="B-767-200",'2025'!$O$4="FO",'2025'!$O$2=AY423),'2025DATA'!$H$18,"")</f>
        <v/>
      </c>
      <c r="AZ439" s="518" t="str">
        <f>IF(AND(_A3="B-767-200",'2025'!$O$4="FO",'2025'!$O$2=AZ423),'2025DATA'!$I$18,"")</f>
        <v/>
      </c>
      <c r="BA439" s="518" t="str">
        <f>IF(AND(_A3="B-767-200",'2025'!$O$4="FO",'2025'!$O$2=BA423),'2025DATA'!$J$18,"")</f>
        <v/>
      </c>
      <c r="BB439" s="518" t="str">
        <f>IF(AND(_A3="B-767-200",'2025'!$O$4="FO",'2025'!$O$2=BB423),'2025DATA'!$K$18,"")</f>
        <v/>
      </c>
      <c r="BC439" s="518" t="str">
        <f>IF(AND(_A3="B-767-200",'2025'!$O$4="FO",'2025'!$O$2=BC423),'2025DATA'!$L$18,"")</f>
        <v/>
      </c>
      <c r="BD439" s="518" t="str">
        <f>IF(AND(_A3="B-767-200",'2025'!$O$4="FO",'2025'!$O$2=BD423),'2025DATA'!$M$18,"")</f>
        <v/>
      </c>
      <c r="BE439" s="520" t="str">
        <f>IF(AND(_A3="B-767-200",'2025'!$O$4="FO",'2025'!$O$2=BE423),'2025DATA'!$N$18,"")</f>
        <v/>
      </c>
      <c r="BF439" s="940"/>
      <c r="BG439" s="13" t="s">
        <v>62</v>
      </c>
      <c r="BH439" s="518" t="str">
        <f>IF(AND(_A4="B-767-200",'2025'!$O$4="FO",'2025'!$O$2=BH423),'2025DATA'!$C$18,"")</f>
        <v/>
      </c>
      <c r="BI439" s="518" t="str">
        <f>IF(AND(_A4="B-767-200",'2025'!$O$4="FO",'2025'!$O$2=BI423),'2025DATA'!$D$18,"")</f>
        <v/>
      </c>
      <c r="BJ439" s="518" t="str">
        <f>IF(AND(_A4="B-767-200",'2025'!$O$4="FO",'2025'!$O$2=BJ423),'2025DATA'!$E$18,"")</f>
        <v/>
      </c>
      <c r="BK439" s="518" t="str">
        <f>IF(AND(_A4="B-767-200",'2025'!$O$4="FO",'2025'!$O$2=BK423),'2025DATA'!$F$18,"")</f>
        <v/>
      </c>
      <c r="BL439" s="518" t="str">
        <f>IF(AND(_A4="B-767-200",'2025'!$O$4="FO",'2025'!$O$2=BL423),'2025DATA'!$G$18,"")</f>
        <v/>
      </c>
      <c r="BM439" s="518" t="str">
        <f>IF(AND(_A4="B-767-200",'2025'!$O$4="FO",'2025'!$O$2=BM423),'2025DATA'!$H$18,"")</f>
        <v/>
      </c>
      <c r="BN439" s="518" t="str">
        <f>IF(AND(_A4="B-767-200",'2025'!$O$4="FO",'2025'!$O$2=BN423),'2025DATA'!$I$18,"")</f>
        <v/>
      </c>
      <c r="BO439" s="518" t="str">
        <f>IF(AND(_A4="B-767-200",'2025'!$O$4="FO",'2025'!$O$2=BO423),'2025DATA'!$J$18,"")</f>
        <v/>
      </c>
      <c r="BP439" s="518" t="str">
        <f>IF(AND(_A4="B-767-200",'2025'!$O$4="FO",'2025'!$O$2=BP423),'2025DATA'!$K$18,"")</f>
        <v/>
      </c>
      <c r="BQ439" s="518" t="str">
        <f>IF(AND(_A4="B-767-200",'2025'!$O$4="FO",'2025'!$O$2=BQ423),'2025DATA'!$L$18,"")</f>
        <v/>
      </c>
      <c r="BR439" s="518" t="str">
        <f>IF(AND(_A4="B-767-200",'2025'!$O$4="FO",'2025'!$O$2=BR423),'2025DATA'!$M$18,"")</f>
        <v/>
      </c>
      <c r="BS439" s="520" t="str">
        <f>IF(AND(_A4="B-767-200",'2025'!$O$4="FO",'2025'!$O$2=BS423),'2025DATA'!$N$18,"")</f>
        <v/>
      </c>
      <c r="BT439" s="940"/>
      <c r="BU439" s="13" t="s">
        <v>62</v>
      </c>
      <c r="BV439" s="518" t="str">
        <f>IF(AND(_A5="B-767-200",'2025'!$O$4="FO",'2025'!$O$2=BV423),'2025DATA'!$C$18,"")</f>
        <v/>
      </c>
      <c r="BW439" s="518" t="str">
        <f>IF(AND(_A5="B-767-200",'2025'!$O$4="FO",'2025'!$O$2=BW423),'2025DATA'!$D$18,"")</f>
        <v/>
      </c>
      <c r="BX439" s="518" t="str">
        <f>IF(AND(_A5="B-767-200",'2025'!$O$4="FO",'2025'!$O$2=BX423),'2025DATA'!$E$18,"")</f>
        <v/>
      </c>
      <c r="BY439" s="518" t="str">
        <f>IF(AND(_A5="B-767-200",'2025'!$O$4="FO",'2025'!$O$2=BY423),'2025DATA'!$F$18,"")</f>
        <v/>
      </c>
      <c r="BZ439" s="518" t="str">
        <f>IF(AND(_A5="B-767-200",'2025'!$O$4="FO",'2025'!$O$2=BZ423),'2025DATA'!$G$18,"")</f>
        <v/>
      </c>
      <c r="CA439" s="518" t="str">
        <f>IF(AND(_A5="B-767-200",'2025'!$O$4="FO",'2025'!$O$2=CA423),'2025DATA'!$H$18,"")</f>
        <v/>
      </c>
      <c r="CB439" s="518" t="str">
        <f>IF(AND(_A5="B-767-200",'2025'!$O$4="FO",'2025'!$O$2=CB423),'2025DATA'!$I$18,"")</f>
        <v/>
      </c>
      <c r="CC439" s="518" t="str">
        <f>IF(AND(_A5="B-767-200",'2025'!$O$4="FO",'2025'!$O$2=CC423),'2025DATA'!$J$18,"")</f>
        <v/>
      </c>
      <c r="CD439" s="518" t="str">
        <f>IF(AND(_A5="B-767-200",'2025'!$O$4="FO",'2025'!$O$2=CD423),'2025DATA'!$K$18,"")</f>
        <v/>
      </c>
      <c r="CE439" s="518" t="str">
        <f>IF(AND(_A5="B-767-200",'2025'!$O$4="FO",'2025'!$O$2=CE423),'2025DATA'!$L$18,"")</f>
        <v/>
      </c>
      <c r="CF439" s="518" t="str">
        <f>IF(AND(_A5="B-767-200",'2025'!$O$4="FO",'2025'!$O$2=CF423),'2025DATA'!$M$18,"")</f>
        <v/>
      </c>
      <c r="CG439" s="520" t="str">
        <f>IF(AND(_A5="B-767-200",'2025'!$O$4="FO",'2025'!$O$2=CG423),'2025DATA'!$N$18,"")</f>
        <v/>
      </c>
      <c r="CH439" s="940"/>
      <c r="CI439" s="13" t="s">
        <v>62</v>
      </c>
      <c r="CJ439" s="518" t="str">
        <f>IF(AND(_A6="B-767-200",'2025'!$O$4="FO",'2025'!$O$2=CJ423),'2025DATA'!$C$18,"")</f>
        <v/>
      </c>
      <c r="CK439" s="518" t="str">
        <f>IF(AND(_A6="B-767-200",'2025'!$O$4="FO",'2025'!$O$2=CK423),'2025DATA'!$D$18,"")</f>
        <v/>
      </c>
      <c r="CL439" s="518" t="str">
        <f>IF(AND(_A6="B-767-200",'2025'!$O$4="FO",'2025'!$O$2=CL423),'2025DATA'!$E$18,"")</f>
        <v/>
      </c>
      <c r="CM439" s="518" t="str">
        <f>IF(AND(_A6="B-767-200",'2025'!$O$4="FO",'2025'!$O$2=CM423),'2025DATA'!$F$18,"")</f>
        <v/>
      </c>
      <c r="CN439" s="518" t="str">
        <f>IF(AND(_A6="B-767-200",'2025'!$O$4="FO",'2025'!$O$2=CN423),'2025DATA'!$G$18,"")</f>
        <v/>
      </c>
      <c r="CO439" s="518" t="str">
        <f>IF(AND(_A6="B-767-200",'2025'!$O$4="FO",'2025'!$O$2=CO423),'2025DATA'!$H$18,"")</f>
        <v/>
      </c>
      <c r="CP439" s="518" t="str">
        <f>IF(AND(_A6="B-767-200",'2025'!$O$4="FO",'2025'!$O$2=CP423),'2025DATA'!$I$18,"")</f>
        <v/>
      </c>
      <c r="CQ439" s="518" t="str">
        <f>IF(AND(_A6="B-767-200",'2025'!$O$4="FO",'2025'!$O$2=CQ423),'2025DATA'!$J$18,"")</f>
        <v/>
      </c>
      <c r="CR439" s="518" t="str">
        <f>IF(AND(_A6="B-767-200",'2025'!$O$4="FO",'2025'!$O$2=CR423),'2025DATA'!$K$18,"")</f>
        <v/>
      </c>
      <c r="CS439" s="518" t="str">
        <f>IF(AND(_A6="B-767-200",'2025'!$O$4="FO",'2025'!$O$2=CS423),'2025DATA'!$L$18,"")</f>
        <v/>
      </c>
      <c r="CT439" s="518" t="str">
        <f>IF(AND(_A6="B-767-200",'2025'!$O$4="FO",'2025'!$O$2=CT423),'2025DATA'!$M$18,"")</f>
        <v/>
      </c>
      <c r="CU439" s="520" t="str">
        <f>IF(AND(_A6="B-767-200",'2025'!$O$4="FO",'2025'!$O$2=CU423),'2025DATA'!$N$18,"")</f>
        <v/>
      </c>
    </row>
    <row r="440" spans="16:99" x14ac:dyDescent="0.25">
      <c r="P440" s="940" t="s">
        <v>45</v>
      </c>
      <c r="Q440" s="13" t="s">
        <v>61</v>
      </c>
      <c r="R440" s="518" t="str">
        <f>IF(AND(_A1="B-757",'2025'!$O$4="CA",'2025'!$O$2=R423),'2025DATA'!$C$19,"")</f>
        <v/>
      </c>
      <c r="S440" s="518" t="str">
        <f>IF(AND(_A1="B-757",'2025'!$O$4="CA",'2025'!$O$2=S423),'2025DATA'!$D$19,"")</f>
        <v/>
      </c>
      <c r="T440" s="518" t="str">
        <f>IF(AND(_A1="B-757",'2025'!$O$4="CA",'2025'!$O$2=T423),'2025DATA'!$E$19,"")</f>
        <v/>
      </c>
      <c r="U440" s="518" t="str">
        <f>IF(AND(_A1="B-757",'2025'!$O$4="CA",'2025'!$O$2=U423),'2025DATA'!$F$19,"")</f>
        <v/>
      </c>
      <c r="V440" s="518" t="str">
        <f>IF(AND(_A1="B-757",'2025'!$O$4="CA",'2025'!$O$2=V423),'2025DATA'!$G$19,"")</f>
        <v/>
      </c>
      <c r="W440" s="518" t="str">
        <f>IF(AND(_A1="B-757",'2025'!$O$4="CA",'2025'!$O$2=W423),'2025DATA'!$H$19,"")</f>
        <v/>
      </c>
      <c r="X440" s="518" t="str">
        <f>IF(AND(_A1="B-757",'2025'!$O$4="CA",'2025'!$O$2=X423),'2025DATA'!$I$19,"")</f>
        <v/>
      </c>
      <c r="Y440" s="518" t="str">
        <f>IF(AND(_A1="B-757",'2025'!$O$4="CA",'2025'!$O$2=Y423),'2025DATA'!$J$19,"")</f>
        <v/>
      </c>
      <c r="Z440" s="518" t="str">
        <f>IF(AND(_A1="B-757",'2025'!$O$4="CA",'2025'!$O$2=Z423),'2025DATA'!$K$19,"")</f>
        <v/>
      </c>
      <c r="AA440" s="518" t="str">
        <f>IF(AND(_A1="B-757",'2025'!$O$4="CA",'2025'!$O$2=AA423),'2025DATA'!$L$19,"")</f>
        <v/>
      </c>
      <c r="AB440" s="518" t="str">
        <f>IF(AND(_A1="B-757",'2025'!$O$4="CA",'2025'!$O$2=AB423),'2025DATA'!$M$19,"")</f>
        <v/>
      </c>
      <c r="AC440" s="520" t="str">
        <f>IF(AND(_A1="B-757",'2025'!$O$4="CA",'2025'!$O$2=AC423),'2025DATA'!$N$19,"")</f>
        <v/>
      </c>
      <c r="AD440" s="940" t="s">
        <v>45</v>
      </c>
      <c r="AE440" s="13" t="s">
        <v>61</v>
      </c>
      <c r="AF440" s="518" t="str">
        <f>IF(AND(_A2="B-757",'2025'!$O$4="CA",'2025'!$O$2=AF423),'2025DATA'!$C$19,"")</f>
        <v/>
      </c>
      <c r="AG440" s="518" t="str">
        <f>IF(AND(_A2="B-757",'2025'!$O$4="CA",'2025'!$O$2=AG423),'2025DATA'!$D$19,"")</f>
        <v/>
      </c>
      <c r="AH440" s="518" t="str">
        <f>IF(AND(_A2="B-757",'2025'!$O$4="CA",'2025'!$O$2=AH423),'2025DATA'!$E$19,"")</f>
        <v/>
      </c>
      <c r="AI440" s="518" t="str">
        <f>IF(AND(_A2="B-757",'2025'!$O$4="CA",'2025'!$O$2=AI423),'2025DATA'!$F$19,"")</f>
        <v/>
      </c>
      <c r="AJ440" s="518" t="str">
        <f>IF(AND(_A2="B-757",'2025'!$O$4="CA",'2025'!$O$2=AJ423),'2025DATA'!$G$19,"")</f>
        <v/>
      </c>
      <c r="AK440" s="518" t="str">
        <f>IF(AND(_A2="B-757",'2025'!$O$4="CA",'2025'!$O$2=AK423),'2025DATA'!$H$19,"")</f>
        <v/>
      </c>
      <c r="AL440" s="518" t="str">
        <f>IF(AND(_A2="B-757",'2025'!$O$4="CA",'2025'!$O$2=AL423),'2025DATA'!$I$19,"")</f>
        <v/>
      </c>
      <c r="AM440" s="518" t="str">
        <f>IF(AND(_A2="B-757",'2025'!$O$4="CA",'2025'!$O$2=AM423),'2025DATA'!$J$19,"")</f>
        <v/>
      </c>
      <c r="AN440" s="518" t="str">
        <f>IF(AND(_A2="B-757",'2025'!$O$4="CA",'2025'!$O$2=AN423),'2025DATA'!$K$19,"")</f>
        <v/>
      </c>
      <c r="AO440" s="518" t="str">
        <f>IF(AND(_A2="B-757",'2025'!$O$4="CA",'2025'!$O$2=AO423),'2025DATA'!$L$19,"")</f>
        <v/>
      </c>
      <c r="AP440" s="518" t="str">
        <f>IF(AND(_A2="B-757",'2025'!$O$4="CA",'2025'!$O$2=AP423),'2025DATA'!$M$19,"")</f>
        <v/>
      </c>
      <c r="AQ440" s="520" t="str">
        <f>IF(AND(_A2="B-757",'2025'!$O$4="CA",'2025'!$O$2=AQ423),'2025DATA'!$N$19,"")</f>
        <v/>
      </c>
      <c r="AR440" s="940" t="s">
        <v>45</v>
      </c>
      <c r="AS440" s="13" t="s">
        <v>61</v>
      </c>
      <c r="AT440" s="518" t="str">
        <f>IF(AND(_A3="B-757",'2025'!$O$4="CA",'2025'!$O$2=AT423),'2025DATA'!$C$19,"")</f>
        <v/>
      </c>
      <c r="AU440" s="518" t="str">
        <f>IF(AND(_A3="B-757",'2025'!$O$4="CA",'2025'!$O$2=AU423),'2025DATA'!$D$19,"")</f>
        <v/>
      </c>
      <c r="AV440" s="518" t="str">
        <f>IF(AND(_A3="B-757",'2025'!$O$4="CA",'2025'!$O$2=AV423),'2025DATA'!$E$19,"")</f>
        <v/>
      </c>
      <c r="AW440" s="518" t="str">
        <f>IF(AND(_A3="B-757",'2025'!$O$4="CA",'2025'!$O$2=AW423),'2025DATA'!$F$19,"")</f>
        <v/>
      </c>
      <c r="AX440" s="518" t="str">
        <f>IF(AND(_A3="B-757",'2025'!$O$4="CA",'2025'!$O$2=AX423),'2025DATA'!$G$19,"")</f>
        <v/>
      </c>
      <c r="AY440" s="518" t="str">
        <f>IF(AND(_A3="B-757",'2025'!$O$4="CA",'2025'!$O$2=AY423),'2025DATA'!$H$19,"")</f>
        <v/>
      </c>
      <c r="AZ440" s="518" t="str">
        <f>IF(AND(_A3="B-757",'2025'!$O$4="CA",'2025'!$O$2=AZ423),'2025DATA'!$I$19,"")</f>
        <v/>
      </c>
      <c r="BA440" s="518" t="str">
        <f>IF(AND(_A3="B-757",'2025'!$O$4="CA",'2025'!$O$2=BA423),'2025DATA'!$J$19,"")</f>
        <v/>
      </c>
      <c r="BB440" s="518" t="str">
        <f>IF(AND(_A3="B-757",'2025'!$O$4="CA",'2025'!$O$2=BB423),'2025DATA'!$K$19,"")</f>
        <v/>
      </c>
      <c r="BC440" s="518" t="str">
        <f>IF(AND(_A3="B-757",'2025'!$O$4="CA",'2025'!$O$2=BC423),'2025DATA'!$L$19,"")</f>
        <v/>
      </c>
      <c r="BD440" s="518" t="str">
        <f>IF(AND(_A3="B-757",'2025'!$O$4="CA",'2025'!$O$2=BD423),'2025DATA'!$M$19,"")</f>
        <v/>
      </c>
      <c r="BE440" s="520" t="str">
        <f>IF(AND(_A3="B-757",'2025'!$O$4="CA",'2025'!$O$2=BE423),'2025DATA'!$N$19,"")</f>
        <v/>
      </c>
      <c r="BF440" s="940" t="s">
        <v>45</v>
      </c>
      <c r="BG440" s="13" t="s">
        <v>61</v>
      </c>
      <c r="BH440" s="518" t="str">
        <f>IF(AND(_A4="B-757",'2025'!$O$4="CA",'2025'!$O$2=BH423),'2025DATA'!$C$19,"")</f>
        <v/>
      </c>
      <c r="BI440" s="518" t="str">
        <f>IF(AND(_A4="B-757",'2025'!$O$4="CA",'2025'!$O$2=BI423),'2025DATA'!$D$19,"")</f>
        <v/>
      </c>
      <c r="BJ440" s="518" t="str">
        <f>IF(AND(_A4="B-757",'2025'!$O$4="CA",'2025'!$O$2=BJ423),'2025DATA'!$E$19,"")</f>
        <v/>
      </c>
      <c r="BK440" s="518" t="str">
        <f>IF(AND(_A4="B-757",'2025'!$O$4="CA",'2025'!$O$2=BK423),'2025DATA'!$F$19,"")</f>
        <v/>
      </c>
      <c r="BL440" s="518" t="str">
        <f>IF(AND(_A4="B-757",'2025'!$O$4="CA",'2025'!$O$2=BL423),'2025DATA'!$G$19,"")</f>
        <v/>
      </c>
      <c r="BM440" s="518" t="str">
        <f>IF(AND(_A4="B-757",'2025'!$O$4="CA",'2025'!$O$2=BM423),'2025DATA'!$H$19,"")</f>
        <v/>
      </c>
      <c r="BN440" s="518" t="str">
        <f>IF(AND(_A4="B-757",'2025'!$O$4="CA",'2025'!$O$2=BN423),'2025DATA'!$I$19,"")</f>
        <v/>
      </c>
      <c r="BO440" s="518" t="str">
        <f>IF(AND(_A4="B-757",'2025'!$O$4="CA",'2025'!$O$2=BO423),'2025DATA'!$J$19,"")</f>
        <v/>
      </c>
      <c r="BP440" s="518" t="str">
        <f>IF(AND(_A4="B-757",'2025'!$O$4="CA",'2025'!$O$2=BP423),'2025DATA'!$K$19,"")</f>
        <v/>
      </c>
      <c r="BQ440" s="518" t="str">
        <f>IF(AND(_A4="B-757",'2025'!$O$4="CA",'2025'!$O$2=BQ423),'2025DATA'!$L$19,"")</f>
        <v/>
      </c>
      <c r="BR440" s="518" t="str">
        <f>IF(AND(_A4="B-757",'2025'!$O$4="CA",'2025'!$O$2=BR423),'2025DATA'!$M$19,"")</f>
        <v/>
      </c>
      <c r="BS440" s="520" t="str">
        <f>IF(AND(_A4="B-757",'2025'!$O$4="CA",'2025'!$O$2=BS423),'2025DATA'!$N$19,"")</f>
        <v/>
      </c>
      <c r="BT440" s="940" t="s">
        <v>45</v>
      </c>
      <c r="BU440" s="13" t="s">
        <v>61</v>
      </c>
      <c r="BV440" s="518" t="str">
        <f>IF(AND(_A5="B-757",'2025'!$O$4="CA",'2025'!$O$2=BV423),'2025DATA'!$C$19,"")</f>
        <v/>
      </c>
      <c r="BW440" s="518" t="str">
        <f>IF(AND(_A5="B-757",'2025'!$O$4="CA",'2025'!$O$2=BW423),'2025DATA'!$D$19,"")</f>
        <v/>
      </c>
      <c r="BX440" s="518" t="str">
        <f>IF(AND(_A5="B-757",'2025'!$O$4="CA",'2025'!$O$2=BX423),'2025DATA'!$E$19,"")</f>
        <v/>
      </c>
      <c r="BY440" s="518" t="str">
        <f>IF(AND(_A5="B-757",'2025'!$O$4="CA",'2025'!$O$2=BY423),'2025DATA'!$F$19,"")</f>
        <v/>
      </c>
      <c r="BZ440" s="518" t="str">
        <f>IF(AND(_A5="B-757",'2025'!$O$4="CA",'2025'!$O$2=BZ423),'2025DATA'!$G$19,"")</f>
        <v/>
      </c>
      <c r="CA440" s="518" t="str">
        <f>IF(AND(_A5="B-757",'2025'!$O$4="CA",'2025'!$O$2=CA423),'2025DATA'!$H$19,"")</f>
        <v/>
      </c>
      <c r="CB440" s="518" t="str">
        <f>IF(AND(_A5="B-757",'2025'!$O$4="CA",'2025'!$O$2=CB423),'2025DATA'!$I$19,"")</f>
        <v/>
      </c>
      <c r="CC440" s="518" t="str">
        <f>IF(AND(_A5="B-757",'2025'!$O$4="CA",'2025'!$O$2=CC423),'2025DATA'!$J$19,"")</f>
        <v/>
      </c>
      <c r="CD440" s="518" t="str">
        <f>IF(AND(_A5="B-757",'2025'!$O$4="CA",'2025'!$O$2=CD423),'2025DATA'!$K$19,"")</f>
        <v/>
      </c>
      <c r="CE440" s="518" t="str">
        <f>IF(AND(_A5="B-757",'2025'!$O$4="CA",'2025'!$O$2=CE423),'2025DATA'!$L$19,"")</f>
        <v/>
      </c>
      <c r="CF440" s="518" t="str">
        <f>IF(AND(_A5="B-757",'2025'!$O$4="CA",'2025'!$O$2=CF423),'2025DATA'!$M$19,"")</f>
        <v/>
      </c>
      <c r="CG440" s="520" t="str">
        <f>IF(AND(_A5="B-757",'2025'!$O$4="CA",'2025'!$O$2=CG423),'2025DATA'!$N$19,"")</f>
        <v/>
      </c>
      <c r="CH440" s="940" t="s">
        <v>45</v>
      </c>
      <c r="CI440" s="13" t="s">
        <v>61</v>
      </c>
      <c r="CJ440" s="518" t="str">
        <f>IF(AND(_A6="B-757",'2025'!$O$4="CA",'2025'!$O$2=CJ423),'2025DATA'!$C$19,"")</f>
        <v/>
      </c>
      <c r="CK440" s="518" t="str">
        <f>IF(AND(_A6="B-757",'2025'!$O$4="CA",'2025'!$O$2=CK423),'2025DATA'!$D$19,"")</f>
        <v/>
      </c>
      <c r="CL440" s="518" t="str">
        <f>IF(AND(_A6="B-757",'2025'!$O$4="CA",'2025'!$O$2=CL423),'2025DATA'!$E$19,"")</f>
        <v/>
      </c>
      <c r="CM440" s="518" t="str">
        <f>IF(AND(_A6="B-757",'2025'!$O$4="CA",'2025'!$O$2=CM423),'2025DATA'!$F$19,"")</f>
        <v/>
      </c>
      <c r="CN440" s="518" t="str">
        <f>IF(AND(_A6="B-757",'2025'!$O$4="CA",'2025'!$O$2=CN423),'2025DATA'!$G$19,"")</f>
        <v/>
      </c>
      <c r="CO440" s="518" t="str">
        <f>IF(AND(_A6="B-757",'2025'!$O$4="CA",'2025'!$O$2=CO423),'2025DATA'!$H$19,"")</f>
        <v/>
      </c>
      <c r="CP440" s="518" t="str">
        <f>IF(AND(_A6="B-757",'2025'!$O$4="CA",'2025'!$O$2=CP423),'2025DATA'!$I$19,"")</f>
        <v/>
      </c>
      <c r="CQ440" s="518" t="str">
        <f>IF(AND(_A6="B-757",'2025'!$O$4="CA",'2025'!$O$2=CQ423),'2025DATA'!$J$19,"")</f>
        <v/>
      </c>
      <c r="CR440" s="518" t="str">
        <f>IF(AND(_A6="B-757",'2025'!$O$4="CA",'2025'!$O$2=CR423),'2025DATA'!$K$19,"")</f>
        <v/>
      </c>
      <c r="CS440" s="518" t="str">
        <f>IF(AND(_A6="B-757",'2025'!$O$4="CA",'2025'!$O$2=CS423),'2025DATA'!$L$19,"")</f>
        <v/>
      </c>
      <c r="CT440" s="518" t="str">
        <f>IF(AND(_A6="B-757",'2025'!$O$4="CA",'2025'!$O$2=CT423),'2025DATA'!$M$19,"")</f>
        <v/>
      </c>
      <c r="CU440" s="520" t="str">
        <f>IF(AND(_A6="B-757",'2025'!$O$4="CA",'2025'!$O$2=CU423),'2025DATA'!$N$19,"")</f>
        <v/>
      </c>
    </row>
    <row r="441" spans="16:99" x14ac:dyDescent="0.25">
      <c r="P441" s="940"/>
      <c r="Q441" s="13" t="s">
        <v>62</v>
      </c>
      <c r="R441" s="518" t="str">
        <f>IF(AND(_A1="B-757",'2025'!$O$4="FO",'2025'!$O$2=R423),'2025DATA'!$C$20,"")</f>
        <v/>
      </c>
      <c r="S441" s="518" t="str">
        <f>IF(AND(_A1="B-757",'2025'!$O$4="FO",'2025'!$O$2=S423),'2025DATA'!$D$20,"")</f>
        <v/>
      </c>
      <c r="T441" s="518" t="str">
        <f>IF(AND(_A1="B-757",'2025'!$O$4="FO",'2025'!$O$2=T423),'2025DATA'!$E$20,"")</f>
        <v/>
      </c>
      <c r="U441" s="518" t="str">
        <f>IF(AND(_A1="B-757",'2025'!$O$4="FO",'2025'!$O$2=U423),'2025DATA'!$F$20,"")</f>
        <v/>
      </c>
      <c r="V441" s="518" t="str">
        <f>IF(AND(_A1="B-757",'2025'!$O$4="FO",'2025'!$O$2=V423),'2025DATA'!$G$20,"")</f>
        <v/>
      </c>
      <c r="W441" s="518" t="str">
        <f>IF(AND(_A1="B-757",'2025'!$O$4="FO",'2025'!$O$2=W423),'2025DATA'!$H$20,"")</f>
        <v/>
      </c>
      <c r="X441" s="518" t="str">
        <f>IF(AND(_A1="B-757",'2025'!$O$4="FO",'2025'!$O$2=X423),'2025DATA'!$I$20,"")</f>
        <v/>
      </c>
      <c r="Y441" s="518" t="str">
        <f>IF(AND(_A1="B-757",'2025'!$O$4="FO",'2025'!$O$2=Y423),'2025DATA'!$J$20,"")</f>
        <v/>
      </c>
      <c r="Z441" s="518" t="str">
        <f>IF(AND(_A1="B-757",'2025'!$O$4="FO",'2025'!$O$2=Z423),'2025DATA'!$K$20,"")</f>
        <v/>
      </c>
      <c r="AA441" s="518" t="str">
        <f>IF(AND(_A1="B-757",'2025'!$O$4="FO",'2025'!$O$2=AA423),'2025DATA'!$L$20,"")</f>
        <v/>
      </c>
      <c r="AB441" s="518" t="str">
        <f>IF(AND(_A1="B-757",'2025'!$O$4="FO",'2025'!$O$2=AB423),'2025DATA'!$M$20,"")</f>
        <v/>
      </c>
      <c r="AC441" s="520" t="str">
        <f>IF(AND(_A1="B-757",'2025'!$O$4="FO",'2025'!$O$2=AC423),'2025DATA'!$N$20,"")</f>
        <v/>
      </c>
      <c r="AD441" s="940"/>
      <c r="AE441" s="13" t="s">
        <v>62</v>
      </c>
      <c r="AF441" s="518" t="str">
        <f>IF(AND(_A2="B-757",'2025'!$O$4="FO",'2025'!$O$2=AF423),'2025DATA'!$C$20,"")</f>
        <v/>
      </c>
      <c r="AG441" s="518" t="str">
        <f>IF(AND(_A2="B-757",'2025'!$O$4="FO",'2025'!$O$2=AG423),'2025DATA'!$D$20,"")</f>
        <v/>
      </c>
      <c r="AH441" s="518" t="str">
        <f>IF(AND(_A2="B-757",'2025'!$O$4="FO",'2025'!$O$2=AH423),'2025DATA'!$E$20,"")</f>
        <v/>
      </c>
      <c r="AI441" s="518" t="str">
        <f>IF(AND(_A2="B-757",'2025'!$O$4="FO",'2025'!$O$2=AI423),'2025DATA'!$F$20,"")</f>
        <v/>
      </c>
      <c r="AJ441" s="518" t="str">
        <f>IF(AND(_A2="B-757",'2025'!$O$4="FO",'2025'!$O$2=AJ423),'2025DATA'!$G$20,"")</f>
        <v/>
      </c>
      <c r="AK441" s="518" t="str">
        <f>IF(AND(_A2="B-757",'2025'!$O$4="FO",'2025'!$O$2=AK423),'2025DATA'!$H$20,"")</f>
        <v/>
      </c>
      <c r="AL441" s="518" t="str">
        <f>IF(AND(_A2="B-757",'2025'!$O$4="FO",'2025'!$O$2=AL423),'2025DATA'!$I$20,"")</f>
        <v/>
      </c>
      <c r="AM441" s="518" t="str">
        <f>IF(AND(_A2="B-757",'2025'!$O$4="FO",'2025'!$O$2=AM423),'2025DATA'!$J$20,"")</f>
        <v/>
      </c>
      <c r="AN441" s="518" t="str">
        <f>IF(AND(_A2="B-757",'2025'!$O$4="FO",'2025'!$O$2=AN423),'2025DATA'!$K$20,"")</f>
        <v/>
      </c>
      <c r="AO441" s="518" t="str">
        <f>IF(AND(_A2="B-757",'2025'!$O$4="FO",'2025'!$O$2=AO423),'2025DATA'!$L$20,"")</f>
        <v/>
      </c>
      <c r="AP441" s="518" t="str">
        <f>IF(AND(_A2="B-757",'2025'!$O$4="FO",'2025'!$O$2=AP423),'2025DATA'!$M$20,"")</f>
        <v/>
      </c>
      <c r="AQ441" s="520" t="str">
        <f>IF(AND(_A2="B-757",'2025'!$O$4="FO",'2025'!$O$2=AQ423),'2025DATA'!$N$20,"")</f>
        <v/>
      </c>
      <c r="AR441" s="940"/>
      <c r="AS441" s="13" t="s">
        <v>62</v>
      </c>
      <c r="AT441" s="518" t="str">
        <f>IF(AND(_A3="B-757",'2025'!$O$4="FO",'2025'!$O$2=AT423),'2025DATA'!$C$20,"")</f>
        <v/>
      </c>
      <c r="AU441" s="518" t="str">
        <f>IF(AND(_A3="B-757",'2025'!$O$4="FO",'2025'!$O$2=AU423),'2025DATA'!$D$20,"")</f>
        <v/>
      </c>
      <c r="AV441" s="518" t="str">
        <f>IF(AND(_A3="B-757",'2025'!$O$4="FO",'2025'!$O$2=AV423),'2025DATA'!$E$20,"")</f>
        <v/>
      </c>
      <c r="AW441" s="518" t="str">
        <f>IF(AND(_A3="B-757",'2025'!$O$4="FO",'2025'!$O$2=AW423),'2025DATA'!$F$20,"")</f>
        <v/>
      </c>
      <c r="AX441" s="518" t="str">
        <f>IF(AND(_A3="B-757",'2025'!$O$4="FO",'2025'!$O$2=AX423),'2025DATA'!$G$20,"")</f>
        <v/>
      </c>
      <c r="AY441" s="518" t="str">
        <f>IF(AND(_A3="B-757",'2025'!$O$4="FO",'2025'!$O$2=AY423),'2025DATA'!$H$20,"")</f>
        <v/>
      </c>
      <c r="AZ441" s="518" t="str">
        <f>IF(AND(_A3="B-757",'2025'!$O$4="FO",'2025'!$O$2=AZ423),'2025DATA'!$I$20,"")</f>
        <v/>
      </c>
      <c r="BA441" s="518" t="str">
        <f>IF(AND(_A3="B-757",'2025'!$O$4="FO",'2025'!$O$2=BA423),'2025DATA'!$J$20,"")</f>
        <v/>
      </c>
      <c r="BB441" s="518" t="str">
        <f>IF(AND(_A3="B-757",'2025'!$O$4="FO",'2025'!$O$2=BB423),'2025DATA'!$K$20,"")</f>
        <v/>
      </c>
      <c r="BC441" s="518" t="str">
        <f>IF(AND(_A3="B-757",'2025'!$O$4="FO",'2025'!$O$2=BC423),'2025DATA'!$L$20,"")</f>
        <v/>
      </c>
      <c r="BD441" s="518" t="str">
        <f>IF(AND(_A3="B-757",'2025'!$O$4="FO",'2025'!$O$2=BD423),'2025DATA'!$M$20,"")</f>
        <v/>
      </c>
      <c r="BE441" s="520" t="str">
        <f>IF(AND(_A3="B-757",'2025'!$O$4="FO",'2025'!$O$2=BE423),'2025DATA'!$N$20,"")</f>
        <v/>
      </c>
      <c r="BF441" s="940"/>
      <c r="BG441" s="13" t="s">
        <v>62</v>
      </c>
      <c r="BH441" s="518" t="str">
        <f>IF(AND(_A4="B-757",'2025'!$O$4="FO",'2025'!$O$2=BH423),'2025DATA'!$C$20,"")</f>
        <v/>
      </c>
      <c r="BI441" s="518" t="str">
        <f>IF(AND(_A4="B-757",'2025'!$O$4="FO",'2025'!$O$2=BI423),'2025DATA'!$D$20,"")</f>
        <v/>
      </c>
      <c r="BJ441" s="518" t="str">
        <f>IF(AND(_A4="B-757",'2025'!$O$4="FO",'2025'!$O$2=BJ423),'2025DATA'!$E$20,"")</f>
        <v/>
      </c>
      <c r="BK441" s="518" t="str">
        <f>IF(AND(_A4="B-757",'2025'!$O$4="FO",'2025'!$O$2=BK423),'2025DATA'!$F$20,"")</f>
        <v/>
      </c>
      <c r="BL441" s="518" t="str">
        <f>IF(AND(_A4="B-757",'2025'!$O$4="FO",'2025'!$O$2=BL423),'2025DATA'!$G$20,"")</f>
        <v/>
      </c>
      <c r="BM441" s="518" t="str">
        <f>IF(AND(_A4="B-757",'2025'!$O$4="FO",'2025'!$O$2=BM423),'2025DATA'!$H$20,"")</f>
        <v/>
      </c>
      <c r="BN441" s="518" t="str">
        <f>IF(AND(_A4="B-757",'2025'!$O$4="FO",'2025'!$O$2=BN423),'2025DATA'!$I$20,"")</f>
        <v/>
      </c>
      <c r="BO441" s="518" t="str">
        <f>IF(AND(_A4="B-757",'2025'!$O$4="FO",'2025'!$O$2=BO423),'2025DATA'!$J$20,"")</f>
        <v/>
      </c>
      <c r="BP441" s="518" t="str">
        <f>IF(AND(_A4="B-757",'2025'!$O$4="FO",'2025'!$O$2=BP423),'2025DATA'!$K$20,"")</f>
        <v/>
      </c>
      <c r="BQ441" s="518" t="str">
        <f>IF(AND(_A4="B-757",'2025'!$O$4="FO",'2025'!$O$2=BQ423),'2025DATA'!$L$20,"")</f>
        <v/>
      </c>
      <c r="BR441" s="518" t="str">
        <f>IF(AND(_A4="B-757",'2025'!$O$4="FO",'2025'!$O$2=BR423),'2025DATA'!$M$20,"")</f>
        <v/>
      </c>
      <c r="BS441" s="520" t="str">
        <f>IF(AND(_A4="B-757",'2025'!$O$4="FO",'2025'!$O$2=BS423),'2025DATA'!$N$20,"")</f>
        <v/>
      </c>
      <c r="BT441" s="940"/>
      <c r="BU441" s="13" t="s">
        <v>62</v>
      </c>
      <c r="BV441" s="518" t="str">
        <f>IF(AND(_A5="B-757",'2025'!$O$4="FO",'2025'!$O$2=BV423),'2025DATA'!$C$20,"")</f>
        <v/>
      </c>
      <c r="BW441" s="518" t="str">
        <f>IF(AND(_A5="B-757",'2025'!$O$4="FO",'2025'!$O$2=BW423),'2025DATA'!$D$20,"")</f>
        <v/>
      </c>
      <c r="BX441" s="518" t="str">
        <f>IF(AND(_A5="B-757",'2025'!$O$4="FO",'2025'!$O$2=BX423),'2025DATA'!$E$20,"")</f>
        <v/>
      </c>
      <c r="BY441" s="518" t="str">
        <f>IF(AND(_A5="B-757",'2025'!$O$4="FO",'2025'!$O$2=BY423),'2025DATA'!$F$20,"")</f>
        <v/>
      </c>
      <c r="BZ441" s="518" t="str">
        <f>IF(AND(_A5="B-757",'2025'!$O$4="FO",'2025'!$O$2=BZ423),'2025DATA'!$G$20,"")</f>
        <v/>
      </c>
      <c r="CA441" s="518" t="str">
        <f>IF(AND(_A5="B-757",'2025'!$O$4="FO",'2025'!$O$2=CA423),'2025DATA'!$H$20,"")</f>
        <v/>
      </c>
      <c r="CB441" s="518" t="str">
        <f>IF(AND(_A5="B-757",'2025'!$O$4="FO",'2025'!$O$2=CB423),'2025DATA'!$I$20,"")</f>
        <v/>
      </c>
      <c r="CC441" s="518" t="str">
        <f>IF(AND(_A5="B-757",'2025'!$O$4="FO",'2025'!$O$2=CC423),'2025DATA'!$J$20,"")</f>
        <v/>
      </c>
      <c r="CD441" s="518" t="str">
        <f>IF(AND(_A5="B-757",'2025'!$O$4="FO",'2025'!$O$2=CD423),'2025DATA'!$K$20,"")</f>
        <v/>
      </c>
      <c r="CE441" s="518" t="str">
        <f>IF(AND(_A5="B-757",'2025'!$O$4="FO",'2025'!$O$2=CE423),'2025DATA'!$L$20,"")</f>
        <v/>
      </c>
      <c r="CF441" s="518" t="str">
        <f>IF(AND(_A5="B-757",'2025'!$O$4="FO",'2025'!$O$2=CF423),'2025DATA'!$M$20,"")</f>
        <v/>
      </c>
      <c r="CG441" s="520" t="str">
        <f>IF(AND(_A5="B-757",'2025'!$O$4="FO",'2025'!$O$2=CG423),'2025DATA'!$N$20,"")</f>
        <v/>
      </c>
      <c r="CH441" s="940"/>
      <c r="CI441" s="13" t="s">
        <v>62</v>
      </c>
      <c r="CJ441" s="518" t="str">
        <f>IF(AND(_A6="B-757",'2025'!$O$4="FO",'2025'!$O$2=CJ423),'2025DATA'!$C$20,"")</f>
        <v/>
      </c>
      <c r="CK441" s="518" t="str">
        <f>IF(AND(_A6="B-757",'2025'!$O$4="FO",'2025'!$O$2=CK423),'2025DATA'!$D$20,"")</f>
        <v/>
      </c>
      <c r="CL441" s="518" t="str">
        <f>IF(AND(_A6="B-757",'2025'!$O$4="FO",'2025'!$O$2=CL423),'2025DATA'!$E$20,"")</f>
        <v/>
      </c>
      <c r="CM441" s="518" t="str">
        <f>IF(AND(_A6="B-757",'2025'!$O$4="FO",'2025'!$O$2=CM423),'2025DATA'!$F$20,"")</f>
        <v/>
      </c>
      <c r="CN441" s="518" t="str">
        <f>IF(AND(_A6="B-757",'2025'!$O$4="FO",'2025'!$O$2=CN423),'2025DATA'!$G$20,"")</f>
        <v/>
      </c>
      <c r="CO441" s="518" t="str">
        <f>IF(AND(_A6="B-757",'2025'!$O$4="FO",'2025'!$O$2=CO423),'2025DATA'!$H$20,"")</f>
        <v/>
      </c>
      <c r="CP441" s="518" t="str">
        <f>IF(AND(_A6="B-757",'2025'!$O$4="FO",'2025'!$O$2=CP423),'2025DATA'!$I$20,"")</f>
        <v/>
      </c>
      <c r="CQ441" s="518" t="str">
        <f>IF(AND(_A6="B-757",'2025'!$O$4="FO",'2025'!$O$2=CQ423),'2025DATA'!$J$20,"")</f>
        <v/>
      </c>
      <c r="CR441" s="518" t="str">
        <f>IF(AND(_A6="B-757",'2025'!$O$4="FO",'2025'!$O$2=CR423),'2025DATA'!$K$20,"")</f>
        <v/>
      </c>
      <c r="CS441" s="518" t="str">
        <f>IF(AND(_A6="B-757",'2025'!$O$4="FO",'2025'!$O$2=CS423),'2025DATA'!$L$20,"")</f>
        <v/>
      </c>
      <c r="CT441" s="518" t="str">
        <f>IF(AND(_A6="B-757",'2025'!$O$4="FO",'2025'!$O$2=CT423),'2025DATA'!$M$20,"")</f>
        <v/>
      </c>
      <c r="CU441" s="520" t="str">
        <f>IF(AND(_A6="B-757",'2025'!$O$4="FO",'2025'!$O$2=CU423),'2025DATA'!$N$20,"")</f>
        <v/>
      </c>
    </row>
    <row r="442" spans="16:99" x14ac:dyDescent="0.25">
      <c r="P442" s="940" t="s">
        <v>47</v>
      </c>
      <c r="Q442" s="13" t="s">
        <v>61</v>
      </c>
      <c r="R442" s="518" t="str">
        <f>IF(AND(_A1="B-737-900",'2025'!$O$4="CA",'2025'!$O$2=R423),'2025DATA'!$C$21,"")</f>
        <v/>
      </c>
      <c r="S442" s="518" t="str">
        <f>IF(AND(_A1="B-737-900",'2025'!$O$4="CA",'2025'!$O$2=S423),'2025DATA'!$D$21,"")</f>
        <v/>
      </c>
      <c r="T442" s="518" t="str">
        <f>IF(AND(_A1="B-737-900",'2025'!$O$4="CA",'2025'!$O$2=T423),'2025DATA'!$E$21,"")</f>
        <v/>
      </c>
      <c r="U442" s="518" t="str">
        <f>IF(AND(_A1="B-737-900",'2025'!$O$4="CA",'2025'!$O$2=U423),'2025DATA'!$F$21,"")</f>
        <v/>
      </c>
      <c r="V442" s="518" t="str">
        <f>IF(AND(_A1="B-737-900",'2025'!$O$4="CA",'2025'!$O$2=V423),'2025DATA'!$G$21,"")</f>
        <v/>
      </c>
      <c r="W442" s="518" t="str">
        <f>IF(AND(_A1="B-737-900",'2025'!$O$4="CA",'2025'!$O$2=W423),'2025DATA'!$H$21,"")</f>
        <v/>
      </c>
      <c r="X442" s="518" t="str">
        <f>IF(AND(_A1="B-737-900",'2025'!$O$4="CA",'2025'!$O$2=X423),'2025DATA'!$I$21,"")</f>
        <v/>
      </c>
      <c r="Y442" s="518" t="str">
        <f>IF(AND(_A1="B-737-900",'2025'!$O$4="CA",'2025'!$O$2=Y423),'2025DATA'!$J$21,"")</f>
        <v/>
      </c>
      <c r="Z442" s="518" t="str">
        <f>IF(AND(_A1="B-737-900",'2025'!$O$4="CA",'2025'!$O$2=Z423),'2025DATA'!$K$21,"")</f>
        <v/>
      </c>
      <c r="AA442" s="518" t="str">
        <f>IF(AND(_A1="B-737-900",'2025'!$O$4="CA",'2025'!$O$2=AA423),'2025DATA'!$L$21,"")</f>
        <v/>
      </c>
      <c r="AB442" s="518" t="str">
        <f>IF(AND(_A1="B-737-900",'2025'!$O$4="CA",'2025'!$O$2=AB423),'2025DATA'!$M$21,"")</f>
        <v/>
      </c>
      <c r="AC442" s="520" t="str">
        <f>IF(AND(_A1="B-737-900",'2025'!$O$4="CA",'2025'!$O$2=AC423),'2025DATA'!$N$21,"")</f>
        <v/>
      </c>
      <c r="AD442" s="940" t="s">
        <v>47</v>
      </c>
      <c r="AE442" s="13" t="s">
        <v>61</v>
      </c>
      <c r="AF442" s="518" t="str">
        <f>IF(AND(_A2="B-737-900",'2025'!$O$4="CA",'2025'!$O$2=AF423),'2025DATA'!$C$21,"")</f>
        <v/>
      </c>
      <c r="AG442" s="518" t="str">
        <f>IF(AND(_A2="B-737-900",'2025'!$O$4="CA",'2025'!$O$2=AG423),'2025DATA'!$D$21,"")</f>
        <v/>
      </c>
      <c r="AH442" s="518" t="str">
        <f>IF(AND(_A2="B-737-900",'2025'!$O$4="CA",'2025'!$O$2=AH423),'2025DATA'!$E$21,"")</f>
        <v/>
      </c>
      <c r="AI442" s="518" t="str">
        <f>IF(AND(_A2="B-737-900",'2025'!$O$4="CA",'2025'!$O$2=AI423),'2025DATA'!$F$21,"")</f>
        <v/>
      </c>
      <c r="AJ442" s="518" t="str">
        <f>IF(AND(_A2="B-737-900",'2025'!$O$4="CA",'2025'!$O$2=AJ423),'2025DATA'!$G$21,"")</f>
        <v/>
      </c>
      <c r="AK442" s="518" t="str">
        <f>IF(AND(_A2="B-737-900",'2025'!$O$4="CA",'2025'!$O$2=AK423),'2025DATA'!$H$21,"")</f>
        <v/>
      </c>
      <c r="AL442" s="518" t="str">
        <f>IF(AND(_A2="B-737-900",'2025'!$O$4="CA",'2025'!$O$2=AL423),'2025DATA'!$I$21,"")</f>
        <v/>
      </c>
      <c r="AM442" s="518" t="str">
        <f>IF(AND(_A2="B-737-900",'2025'!$O$4="CA",'2025'!$O$2=AM423),'2025DATA'!$J$21,"")</f>
        <v/>
      </c>
      <c r="AN442" s="518" t="str">
        <f>IF(AND(_A2="B-737-900",'2025'!$O$4="CA",'2025'!$O$2=AN423),'2025DATA'!$K$21,"")</f>
        <v/>
      </c>
      <c r="AO442" s="518" t="str">
        <f>IF(AND(_A2="B-737-900",'2025'!$O$4="CA",'2025'!$O$2=AO423),'2025DATA'!$L$21,"")</f>
        <v/>
      </c>
      <c r="AP442" s="518" t="str">
        <f>IF(AND(_A2="B-737-900",'2025'!$O$4="CA",'2025'!$O$2=AP423),'2025DATA'!$M$21,"")</f>
        <v/>
      </c>
      <c r="AQ442" s="520" t="str">
        <f>IF(AND(_A2="B-737-900",'2025'!$O$4="CA",'2025'!$O$2=AQ423),'2025DATA'!$N$21,"")</f>
        <v/>
      </c>
      <c r="AR442" s="940" t="s">
        <v>47</v>
      </c>
      <c r="AS442" s="13" t="s">
        <v>61</v>
      </c>
      <c r="AT442" s="518" t="str">
        <f>IF(AND(_A3="B-737-900",'2025'!$O$4="CA",'2025'!$O$2=AT423),'2025DATA'!$C$21,"")</f>
        <v/>
      </c>
      <c r="AU442" s="518" t="str">
        <f>IF(AND(_A3="B-737-900",'2025'!$O$4="CA",'2025'!$O$2=AU423),'2025DATA'!$D$21,"")</f>
        <v/>
      </c>
      <c r="AV442" s="518" t="str">
        <f>IF(AND(_A3="B-737-900",'2025'!$O$4="CA",'2025'!$O$2=AV423),'2025DATA'!$E$21,"")</f>
        <v/>
      </c>
      <c r="AW442" s="518" t="str">
        <f>IF(AND(_A3="B-737-900",'2025'!$O$4="CA",'2025'!$O$2=AW423),'2025DATA'!$F$21,"")</f>
        <v/>
      </c>
      <c r="AX442" s="518" t="str">
        <f>IF(AND(_A3="B-737-900",'2025'!$O$4="CA",'2025'!$O$2=AX423),'2025DATA'!$G$21,"")</f>
        <v/>
      </c>
      <c r="AY442" s="518" t="str">
        <f>IF(AND(_A3="B-737-900",'2025'!$O$4="CA",'2025'!$O$2=AY423),'2025DATA'!$H$21,"")</f>
        <v/>
      </c>
      <c r="AZ442" s="518" t="str">
        <f>IF(AND(_A3="B-737-900",'2025'!$O$4="CA",'2025'!$O$2=AZ423),'2025DATA'!$I$21,"")</f>
        <v/>
      </c>
      <c r="BA442" s="518" t="str">
        <f>IF(AND(_A3="B-737-900",'2025'!$O$4="CA",'2025'!$O$2=BA423),'2025DATA'!$J$21,"")</f>
        <v/>
      </c>
      <c r="BB442" s="518" t="str">
        <f>IF(AND(_A3="B-737-900",'2025'!$O$4="CA",'2025'!$O$2=BB423),'2025DATA'!$K$21,"")</f>
        <v/>
      </c>
      <c r="BC442" s="518" t="str">
        <f>IF(AND(_A3="B-737-900",'2025'!$O$4="CA",'2025'!$O$2=BC423),'2025DATA'!$L$21,"")</f>
        <v/>
      </c>
      <c r="BD442" s="518" t="str">
        <f>IF(AND(_A3="B-737-900",'2025'!$O$4="CA",'2025'!$O$2=BD423),'2025DATA'!$M$21,"")</f>
        <v/>
      </c>
      <c r="BE442" s="520" t="str">
        <f>IF(AND(_A3="B-737-900",'2025'!$O$4="CA",'2025'!$O$2=BE423),'2025DATA'!$N$21,"")</f>
        <v/>
      </c>
      <c r="BF442" s="940" t="s">
        <v>47</v>
      </c>
      <c r="BG442" s="13" t="s">
        <v>61</v>
      </c>
      <c r="BH442" s="518" t="str">
        <f>IF(AND(_A4="B-737-900",'2025'!$O$4="CA",'2025'!$O$2=BH423),'2025DATA'!$C$21,"")</f>
        <v/>
      </c>
      <c r="BI442" s="518" t="str">
        <f>IF(AND(_A4="B-737-900",'2025'!$O$4="CA",'2025'!$O$2=BI423),'2025DATA'!$D$21,"")</f>
        <v/>
      </c>
      <c r="BJ442" s="518" t="str">
        <f>IF(AND(_A4="B-737-900",'2025'!$O$4="CA",'2025'!$O$2=BJ423),'2025DATA'!$E$21,"")</f>
        <v/>
      </c>
      <c r="BK442" s="518" t="str">
        <f>IF(AND(_A4="B-737-900",'2025'!$O$4="CA",'2025'!$O$2=BK423),'2025DATA'!$F$21,"")</f>
        <v/>
      </c>
      <c r="BL442" s="518" t="str">
        <f>IF(AND(_A4="B-737-900",'2025'!$O$4="CA",'2025'!$O$2=BL423),'2025DATA'!$G$21,"")</f>
        <v/>
      </c>
      <c r="BM442" s="518" t="str">
        <f>IF(AND(_A4="B-737-900",'2025'!$O$4="CA",'2025'!$O$2=BM423),'2025DATA'!$H$21,"")</f>
        <v/>
      </c>
      <c r="BN442" s="518" t="str">
        <f>IF(AND(_A4="B-737-900",'2025'!$O$4="CA",'2025'!$O$2=BN423),'2025DATA'!$I$21,"")</f>
        <v/>
      </c>
      <c r="BO442" s="518" t="str">
        <f>IF(AND(_A4="B-737-900",'2025'!$O$4="CA",'2025'!$O$2=BO423),'2025DATA'!$J$21,"")</f>
        <v/>
      </c>
      <c r="BP442" s="518" t="str">
        <f>IF(AND(_A4="B-737-900",'2025'!$O$4="CA",'2025'!$O$2=BP423),'2025DATA'!$K$21,"")</f>
        <v/>
      </c>
      <c r="BQ442" s="518" t="str">
        <f>IF(AND(_A4="B-737-900",'2025'!$O$4="CA",'2025'!$O$2=BQ423),'2025DATA'!$L$21,"")</f>
        <v/>
      </c>
      <c r="BR442" s="518" t="str">
        <f>IF(AND(_A4="B-737-900",'2025'!$O$4="CA",'2025'!$O$2=BR423),'2025DATA'!$M$21,"")</f>
        <v/>
      </c>
      <c r="BS442" s="520" t="str">
        <f>IF(AND(_A4="B-737-900",'2025'!$O$4="CA",'2025'!$O$2=BS423),'2025DATA'!$N$21,"")</f>
        <v/>
      </c>
      <c r="BT442" s="940" t="s">
        <v>47</v>
      </c>
      <c r="BU442" s="13" t="s">
        <v>61</v>
      </c>
      <c r="BV442" s="518" t="str">
        <f>IF(AND(_A5="B-737-900",'2025'!$O$4="CA",'2025'!$O$2=BV423),'2025DATA'!$C$21,"")</f>
        <v/>
      </c>
      <c r="BW442" s="518" t="str">
        <f>IF(AND(_A5="B-737-900",'2025'!$O$4="CA",'2025'!$O$2=BW423),'2025DATA'!$D$21,"")</f>
        <v/>
      </c>
      <c r="BX442" s="518" t="str">
        <f>IF(AND(_A5="B-737-900",'2025'!$O$4="CA",'2025'!$O$2=BX423),'2025DATA'!$E$21,"")</f>
        <v/>
      </c>
      <c r="BY442" s="518" t="str">
        <f>IF(AND(_A5="B-737-900",'2025'!$O$4="CA",'2025'!$O$2=BY423),'2025DATA'!$F$21,"")</f>
        <v/>
      </c>
      <c r="BZ442" s="518" t="str">
        <f>IF(AND(_A5="B-737-900",'2025'!$O$4="CA",'2025'!$O$2=BZ423),'2025DATA'!$G$21,"")</f>
        <v/>
      </c>
      <c r="CA442" s="518" t="str">
        <f>IF(AND(_A5="B-737-900",'2025'!$O$4="CA",'2025'!$O$2=CA423),'2025DATA'!$H$21,"")</f>
        <v/>
      </c>
      <c r="CB442" s="518" t="str">
        <f>IF(AND(_A5="B-737-900",'2025'!$O$4="CA",'2025'!$O$2=CB423),'2025DATA'!$I$21,"")</f>
        <v/>
      </c>
      <c r="CC442" s="518" t="str">
        <f>IF(AND(_A5="B-737-900",'2025'!$O$4="CA",'2025'!$O$2=CC423),'2025DATA'!$J$21,"")</f>
        <v/>
      </c>
      <c r="CD442" s="518" t="str">
        <f>IF(AND(_A5="B-737-900",'2025'!$O$4="CA",'2025'!$O$2=CD423),'2025DATA'!$K$21,"")</f>
        <v/>
      </c>
      <c r="CE442" s="518" t="str">
        <f>IF(AND(_A5="B-737-900",'2025'!$O$4="CA",'2025'!$O$2=CE423),'2025DATA'!$L$21,"")</f>
        <v/>
      </c>
      <c r="CF442" s="518" t="str">
        <f>IF(AND(_A5="B-737-900",'2025'!$O$4="CA",'2025'!$O$2=CF423),'2025DATA'!$M$21,"")</f>
        <v/>
      </c>
      <c r="CG442" s="520" t="str">
        <f>IF(AND(_A5="B-737-900",'2025'!$O$4="CA",'2025'!$O$2=CG423),'2025DATA'!$N$21,"")</f>
        <v/>
      </c>
      <c r="CH442" s="940" t="s">
        <v>47</v>
      </c>
      <c r="CI442" s="13" t="s">
        <v>61</v>
      </c>
      <c r="CJ442" s="518" t="str">
        <f>IF(AND(_A6="B-737-900",'2025'!$O$4="CA",'2025'!$O$2=CJ423),'2025DATA'!$C$21,"")</f>
        <v/>
      </c>
      <c r="CK442" s="518" t="str">
        <f>IF(AND(_A6="B-737-900",'2025'!$O$4="CA",'2025'!$O$2=CK423),'2025DATA'!$D$21,"")</f>
        <v/>
      </c>
      <c r="CL442" s="518" t="str">
        <f>IF(AND(_A6="B-737-900",'2025'!$O$4="CA",'2025'!$O$2=CL423),'2025DATA'!$E$21,"")</f>
        <v/>
      </c>
      <c r="CM442" s="518" t="str">
        <f>IF(AND(_A6="B-737-900",'2025'!$O$4="CA",'2025'!$O$2=CM423),'2025DATA'!$F$21,"")</f>
        <v/>
      </c>
      <c r="CN442" s="518" t="str">
        <f>IF(AND(_A6="B-737-900",'2025'!$O$4="CA",'2025'!$O$2=CN423),'2025DATA'!$G$21,"")</f>
        <v/>
      </c>
      <c r="CO442" s="518" t="str">
        <f>IF(AND(_A6="B-737-900",'2025'!$O$4="CA",'2025'!$O$2=CO423),'2025DATA'!$H$21,"")</f>
        <v/>
      </c>
      <c r="CP442" s="518" t="str">
        <f>IF(AND(_A6="B-737-900",'2025'!$O$4="CA",'2025'!$O$2=CP423),'2025DATA'!$I$21,"")</f>
        <v/>
      </c>
      <c r="CQ442" s="518" t="str">
        <f>IF(AND(_A6="B-737-900",'2025'!$O$4="CA",'2025'!$O$2=CQ423),'2025DATA'!$J$21,"")</f>
        <v/>
      </c>
      <c r="CR442" s="518" t="str">
        <f>IF(AND(_A6="B-737-900",'2025'!$O$4="CA",'2025'!$O$2=CR423),'2025DATA'!$K$21,"")</f>
        <v/>
      </c>
      <c r="CS442" s="518" t="str">
        <f>IF(AND(_A6="B-737-900",'2025'!$O$4="CA",'2025'!$O$2=CS423),'2025DATA'!$L$21,"")</f>
        <v/>
      </c>
      <c r="CT442" s="518" t="str">
        <f>IF(AND(_A6="B-737-900",'2025'!$O$4="CA",'2025'!$O$2=CT423),'2025DATA'!$M$21,"")</f>
        <v/>
      </c>
      <c r="CU442" s="520" t="str">
        <f>IF(AND(_A6="B-737-900",'2025'!$O$4="CA",'2025'!$O$2=CU423),'2025DATA'!$N$21,"")</f>
        <v/>
      </c>
    </row>
    <row r="443" spans="16:99" x14ac:dyDescent="0.25">
      <c r="P443" s="940"/>
      <c r="Q443" s="13" t="s">
        <v>62</v>
      </c>
      <c r="R443" s="518" t="str">
        <f>IF(AND(_A1="B-737-900",'2025'!$O$4="FO",'2025'!$O$2=R423),'2025DATA'!$C$22,"")</f>
        <v/>
      </c>
      <c r="S443" s="518" t="str">
        <f>IF(AND(_A1="B-737-900",'2025'!$O$4="FO",'2025'!$O$2=S423),'2025DATA'!$D$22,"")</f>
        <v/>
      </c>
      <c r="T443" s="518" t="str">
        <f>IF(AND(_A1="B-737-900",'2025'!$O$4="FO",'2025'!$O$2=T423),'2025DATA'!$E$22,"")</f>
        <v/>
      </c>
      <c r="U443" s="518" t="str">
        <f>IF(AND(_A1="B-737-900",'2025'!$O$4="FO",'2025'!$O$2=U423),'2025DATA'!$F$22,"")</f>
        <v/>
      </c>
      <c r="V443" s="518" t="str">
        <f>IF(AND(_A1="B-737-900",'2025'!$O$4="FO",'2025'!$O$2=V423),'2025DATA'!$G$22,"")</f>
        <v/>
      </c>
      <c r="W443" s="518" t="str">
        <f>IF(AND(_A1="B-737-900",'2025'!$O$4="FO",'2025'!$O$2=W423),'2025DATA'!$H$22,"")</f>
        <v/>
      </c>
      <c r="X443" s="518" t="str">
        <f>IF(AND(_A1="B-737-900",'2025'!$O$4="FO",'2025'!$O$2=X423),'2025DATA'!$I$22,"")</f>
        <v/>
      </c>
      <c r="Y443" s="518" t="str">
        <f>IF(AND(_A1="B-737-900",'2025'!$O$4="FO",'2025'!$O$2=Y423),'2025DATA'!$J$22,"")</f>
        <v/>
      </c>
      <c r="Z443" s="518" t="str">
        <f>IF(AND(_A1="B-737-900",'2025'!$O$4="FO",'2025'!$O$2=Z423),'2025DATA'!$K$22,"")</f>
        <v/>
      </c>
      <c r="AA443" s="518" t="str">
        <f>IF(AND(_A1="B-737-900",'2025'!$O$4="FO",'2025'!$O$2=AA423),'2025DATA'!$L$22,"")</f>
        <v/>
      </c>
      <c r="AB443" s="518" t="str">
        <f>IF(AND(_A1="B-737-900",'2025'!$O$4="FO",'2025'!$O$2=AB423),'2025DATA'!$M$22,"")</f>
        <v/>
      </c>
      <c r="AC443" s="520" t="str">
        <f>IF(AND(_A1="B-737-900",'2025'!$O$4="FO",'2025'!$O$2=AC423),'2025DATA'!$N$22,"")</f>
        <v/>
      </c>
      <c r="AD443" s="940"/>
      <c r="AE443" s="13" t="s">
        <v>62</v>
      </c>
      <c r="AF443" s="518" t="str">
        <f>IF(AND(_A2="B-737-900",'2025'!$O$4="FO",'2025'!$O$2=AF423),'2025DATA'!$C$22,"")</f>
        <v/>
      </c>
      <c r="AG443" s="518" t="str">
        <f>IF(AND(_A2="B-737-900",'2025'!$O$4="FO",'2025'!$O$2=AG423),'2025DATA'!$D$22,"")</f>
        <v/>
      </c>
      <c r="AH443" s="518" t="str">
        <f>IF(AND(_A2="B-737-900",'2025'!$O$4="FO",'2025'!$O$2=AH423),'2025DATA'!$E$22,"")</f>
        <v/>
      </c>
      <c r="AI443" s="518" t="str">
        <f>IF(AND(_A2="B-737-900",'2025'!$O$4="FO",'2025'!$O$2=AI423),'2025DATA'!$F$22,"")</f>
        <v/>
      </c>
      <c r="AJ443" s="518" t="str">
        <f>IF(AND(_A2="B-737-900",'2025'!$O$4="FO",'2025'!$O$2=AJ423),'2025DATA'!$G$22,"")</f>
        <v/>
      </c>
      <c r="AK443" s="518" t="str">
        <f>IF(AND(_A2="B-737-900",'2025'!$O$4="FO",'2025'!$O$2=AK423),'2025DATA'!$H$22,"")</f>
        <v/>
      </c>
      <c r="AL443" s="518" t="str">
        <f>IF(AND(_A2="B-737-900",'2025'!$O$4="FO",'2025'!$O$2=AL423),'2025DATA'!$I$22,"")</f>
        <v/>
      </c>
      <c r="AM443" s="518" t="str">
        <f>IF(AND(_A2="B-737-900",'2025'!$O$4="FO",'2025'!$O$2=AM423),'2025DATA'!$J$22,"")</f>
        <v/>
      </c>
      <c r="AN443" s="518" t="str">
        <f>IF(AND(_A2="B-737-900",'2025'!$O$4="FO",'2025'!$O$2=AN423),'2025DATA'!$K$22,"")</f>
        <v/>
      </c>
      <c r="AO443" s="518" t="str">
        <f>IF(AND(_A2="B-737-900",'2025'!$O$4="FO",'2025'!$O$2=AO423),'2025DATA'!$L$22,"")</f>
        <v/>
      </c>
      <c r="AP443" s="518" t="str">
        <f>IF(AND(_A2="B-737-900",'2025'!$O$4="FO",'2025'!$O$2=AP423),'2025DATA'!$M$22,"")</f>
        <v/>
      </c>
      <c r="AQ443" s="520" t="str">
        <f>IF(AND(_A2="B-737-900",'2025'!$O$4="FO",'2025'!$O$2=AQ423),'2025DATA'!$N$22,"")</f>
        <v/>
      </c>
      <c r="AR443" s="940"/>
      <c r="AS443" s="13" t="s">
        <v>62</v>
      </c>
      <c r="AT443" s="518" t="str">
        <f>IF(AND(_A3="B-737-900",'2025'!$O$4="FO",'2025'!$O$2=AT423),'2025DATA'!$C$22,"")</f>
        <v/>
      </c>
      <c r="AU443" s="518" t="str">
        <f>IF(AND(_A3="B-737-900",'2025'!$O$4="FO",'2025'!$O$2=AU423),'2025DATA'!$D$22,"")</f>
        <v/>
      </c>
      <c r="AV443" s="518" t="str">
        <f>IF(AND(_A3="B-737-900",'2025'!$O$4="FO",'2025'!$O$2=AV423),'2025DATA'!$E$22,"")</f>
        <v/>
      </c>
      <c r="AW443" s="518" t="str">
        <f>IF(AND(_A3="B-737-900",'2025'!$O$4="FO",'2025'!$O$2=AW423),'2025DATA'!$F$22,"")</f>
        <v/>
      </c>
      <c r="AX443" s="518" t="str">
        <f>IF(AND(_A3="B-737-900",'2025'!$O$4="FO",'2025'!$O$2=AX423),'2025DATA'!$G$22,"")</f>
        <v/>
      </c>
      <c r="AY443" s="518" t="str">
        <f>IF(AND(_A3="B-737-900",'2025'!$O$4="FO",'2025'!$O$2=AY423),'2025DATA'!$H$22,"")</f>
        <v/>
      </c>
      <c r="AZ443" s="518" t="str">
        <f>IF(AND(_A3="B-737-900",'2025'!$O$4="FO",'2025'!$O$2=AZ423),'2025DATA'!$I$22,"")</f>
        <v/>
      </c>
      <c r="BA443" s="518" t="str">
        <f>IF(AND(_A3="B-737-900",'2025'!$O$4="FO",'2025'!$O$2=BA423),'2025DATA'!$J$22,"")</f>
        <v/>
      </c>
      <c r="BB443" s="518" t="str">
        <f>IF(AND(_A3="B-737-900",'2025'!$O$4="FO",'2025'!$O$2=BB423),'2025DATA'!$K$22,"")</f>
        <v/>
      </c>
      <c r="BC443" s="518" t="str">
        <f>IF(AND(_A3="B-737-900",'2025'!$O$4="FO",'2025'!$O$2=BC423),'2025DATA'!$L$22,"")</f>
        <v/>
      </c>
      <c r="BD443" s="518" t="str">
        <f>IF(AND(_A3="B-737-900",'2025'!$O$4="FO",'2025'!$O$2=BD423),'2025DATA'!$M$22,"")</f>
        <v/>
      </c>
      <c r="BE443" s="520" t="str">
        <f>IF(AND(_A3="B-737-900",'2025'!$O$4="FO",'2025'!$O$2=BE423),'2025DATA'!$N$22,"")</f>
        <v/>
      </c>
      <c r="BF443" s="940"/>
      <c r="BG443" s="13" t="s">
        <v>62</v>
      </c>
      <c r="BH443" s="518" t="str">
        <f>IF(AND(_A4="B-737-900",'2025'!$O$4="FO",'2025'!$O$2=BH423),'2025DATA'!$C$22,"")</f>
        <v/>
      </c>
      <c r="BI443" s="518" t="str">
        <f>IF(AND(_A4="B-737-900",'2025'!$O$4="FO",'2025'!$O$2=BI423),'2025DATA'!$D$22,"")</f>
        <v/>
      </c>
      <c r="BJ443" s="518" t="str">
        <f>IF(AND(_A4="B-737-900",'2025'!$O$4="FO",'2025'!$O$2=BJ423),'2025DATA'!$E$22,"")</f>
        <v/>
      </c>
      <c r="BK443" s="518" t="str">
        <f>IF(AND(_A4="B-737-900",'2025'!$O$4="FO",'2025'!$O$2=BK423),'2025DATA'!$F$22,"")</f>
        <v/>
      </c>
      <c r="BL443" s="518" t="str">
        <f>IF(AND(_A4="B-737-900",'2025'!$O$4="FO",'2025'!$O$2=BL423),'2025DATA'!$G$22,"")</f>
        <v/>
      </c>
      <c r="BM443" s="518" t="str">
        <f>IF(AND(_A4="B-737-900",'2025'!$O$4="FO",'2025'!$O$2=BM423),'2025DATA'!$H$22,"")</f>
        <v/>
      </c>
      <c r="BN443" s="518" t="str">
        <f>IF(AND(_A4="B-737-900",'2025'!$O$4="FO",'2025'!$O$2=BN423),'2025DATA'!$I$22,"")</f>
        <v/>
      </c>
      <c r="BO443" s="518" t="str">
        <f>IF(AND(_A4="B-737-900",'2025'!$O$4="FO",'2025'!$O$2=BO423),'2025DATA'!$J$22,"")</f>
        <v/>
      </c>
      <c r="BP443" s="518" t="str">
        <f>IF(AND(_A4="B-737-900",'2025'!$O$4="FO",'2025'!$O$2=BP423),'2025DATA'!$K$22,"")</f>
        <v/>
      </c>
      <c r="BQ443" s="518" t="str">
        <f>IF(AND(_A4="B-737-900",'2025'!$O$4="FO",'2025'!$O$2=BQ423),'2025DATA'!$L$22,"")</f>
        <v/>
      </c>
      <c r="BR443" s="518" t="str">
        <f>IF(AND(_A4="B-737-900",'2025'!$O$4="FO",'2025'!$O$2=BR423),'2025DATA'!$M$22,"")</f>
        <v/>
      </c>
      <c r="BS443" s="520" t="str">
        <f>IF(AND(_A4="B-737-900",'2025'!$O$4="FO",'2025'!$O$2=BS423),'2025DATA'!$N$22,"")</f>
        <v/>
      </c>
      <c r="BT443" s="940"/>
      <c r="BU443" s="13" t="s">
        <v>62</v>
      </c>
      <c r="BV443" s="518" t="str">
        <f>IF(AND(_A5="B-737-900",'2025'!$O$4="FO",'2025'!$O$2=BV423),'2025DATA'!$C$22,"")</f>
        <v/>
      </c>
      <c r="BW443" s="518" t="str">
        <f>IF(AND(_A5="B-737-900",'2025'!$O$4="FO",'2025'!$O$2=BW423),'2025DATA'!$D$22,"")</f>
        <v/>
      </c>
      <c r="BX443" s="518" t="str">
        <f>IF(AND(_A5="B-737-900",'2025'!$O$4="FO",'2025'!$O$2=BX423),'2025DATA'!$E$22,"")</f>
        <v/>
      </c>
      <c r="BY443" s="518" t="str">
        <f>IF(AND(_A5="B-737-900",'2025'!$O$4="FO",'2025'!$O$2=BY423),'2025DATA'!$F$22,"")</f>
        <v/>
      </c>
      <c r="BZ443" s="518" t="str">
        <f>IF(AND(_A5="B-737-900",'2025'!$O$4="FO",'2025'!$O$2=BZ423),'2025DATA'!$G$22,"")</f>
        <v/>
      </c>
      <c r="CA443" s="518" t="str">
        <f>IF(AND(_A5="B-737-900",'2025'!$O$4="FO",'2025'!$O$2=CA423),'2025DATA'!$H$22,"")</f>
        <v/>
      </c>
      <c r="CB443" s="518" t="str">
        <f>IF(AND(_A5="B-737-900",'2025'!$O$4="FO",'2025'!$O$2=CB423),'2025DATA'!$I$22,"")</f>
        <v/>
      </c>
      <c r="CC443" s="518" t="str">
        <f>IF(AND(_A5="B-737-900",'2025'!$O$4="FO",'2025'!$O$2=CC423),'2025DATA'!$J$22,"")</f>
        <v/>
      </c>
      <c r="CD443" s="518" t="str">
        <f>IF(AND(_A5="B-737-900",'2025'!$O$4="FO",'2025'!$O$2=CD423),'2025DATA'!$K$22,"")</f>
        <v/>
      </c>
      <c r="CE443" s="518" t="str">
        <f>IF(AND(_A5="B-737-900",'2025'!$O$4="FO",'2025'!$O$2=CE423),'2025DATA'!$L$22,"")</f>
        <v/>
      </c>
      <c r="CF443" s="518" t="str">
        <f>IF(AND(_A5="B-737-900",'2025'!$O$4="FO",'2025'!$O$2=CF423),'2025DATA'!$M$22,"")</f>
        <v/>
      </c>
      <c r="CG443" s="520" t="str">
        <f>IF(AND(_A5="B-737-900",'2025'!$O$4="FO",'2025'!$O$2=CG423),'2025DATA'!$N$22,"")</f>
        <v/>
      </c>
      <c r="CH443" s="940"/>
      <c r="CI443" s="13" t="s">
        <v>62</v>
      </c>
      <c r="CJ443" s="518" t="str">
        <f>IF(AND(_A6="B-737-900",'2025'!$O$4="FO",'2025'!$O$2=CJ423),'2025DATA'!$C$22,"")</f>
        <v/>
      </c>
      <c r="CK443" s="518" t="str">
        <f>IF(AND(_A6="B-737-900",'2025'!$O$4="FO",'2025'!$O$2=CK423),'2025DATA'!$D$22,"")</f>
        <v/>
      </c>
      <c r="CL443" s="518" t="str">
        <f>IF(AND(_A6="B-737-900",'2025'!$O$4="FO",'2025'!$O$2=CL423),'2025DATA'!$E$22,"")</f>
        <v/>
      </c>
      <c r="CM443" s="518" t="str">
        <f>IF(AND(_A6="B-737-900",'2025'!$O$4="FO",'2025'!$O$2=CM423),'2025DATA'!$F$22,"")</f>
        <v/>
      </c>
      <c r="CN443" s="518" t="str">
        <f>IF(AND(_A6="B-737-900",'2025'!$O$4="FO",'2025'!$O$2=CN423),'2025DATA'!$G$22,"")</f>
        <v/>
      </c>
      <c r="CO443" s="518" t="str">
        <f>IF(AND(_A6="B-737-900",'2025'!$O$4="FO",'2025'!$O$2=CO423),'2025DATA'!$H$22,"")</f>
        <v/>
      </c>
      <c r="CP443" s="518" t="str">
        <f>IF(AND(_A6="B-737-900",'2025'!$O$4="FO",'2025'!$O$2=CP423),'2025DATA'!$I$22,"")</f>
        <v/>
      </c>
      <c r="CQ443" s="518" t="str">
        <f>IF(AND(_A6="B-737-900",'2025'!$O$4="FO",'2025'!$O$2=CQ423),'2025DATA'!$J$22,"")</f>
        <v/>
      </c>
      <c r="CR443" s="518" t="str">
        <f>IF(AND(_A6="B-737-900",'2025'!$O$4="FO",'2025'!$O$2=CR423),'2025DATA'!$K$22,"")</f>
        <v/>
      </c>
      <c r="CS443" s="518" t="str">
        <f>IF(AND(_A6="B-737-900",'2025'!$O$4="FO",'2025'!$O$2=CS423),'2025DATA'!$L$22,"")</f>
        <v/>
      </c>
      <c r="CT443" s="518" t="str">
        <f>IF(AND(_A6="B-737-900",'2025'!$O$4="FO",'2025'!$O$2=CT423),'2025DATA'!$M$22,"")</f>
        <v/>
      </c>
      <c r="CU443" s="520" t="str">
        <f>IF(AND(_A6="B-737-900",'2025'!$O$4="FO",'2025'!$O$2=CU423),'2025DATA'!$N$22,"")</f>
        <v/>
      </c>
    </row>
    <row r="444" spans="16:99" x14ac:dyDescent="0.25">
      <c r="P444" s="940" t="s">
        <v>69</v>
      </c>
      <c r="Q444" s="13" t="s">
        <v>61</v>
      </c>
      <c r="R444" s="518" t="str">
        <f>IF(AND(_A1="B-737-800",'2025'!$O$4="CA",'2025'!$O$2=R423),'2025DATA'!$C$23,"")</f>
        <v/>
      </c>
      <c r="S444" s="518" t="str">
        <f>IF(AND(_A1="B-737-800",'2025'!$O$4="CA",'2025'!$O$2=S423),'2025DATA'!$D$23,"")</f>
        <v/>
      </c>
      <c r="T444" s="518" t="str">
        <f>IF(AND(_A1="B-737-800",'2025'!$O$4="CA",'2025'!$O$2=T423),'2025DATA'!$E$23,"")</f>
        <v/>
      </c>
      <c r="U444" s="518" t="str">
        <f>IF(AND(_A1="B-737-800",'2025'!$O$4="CA",'2025'!$O$2=U423),'2025DATA'!$F$23,"")</f>
        <v/>
      </c>
      <c r="V444" s="518" t="str">
        <f>IF(AND(_A1="B-737-800",'2025'!$O$4="CA",'2025'!$O$2=V423),'2025DATA'!$G$23,"")</f>
        <v/>
      </c>
      <c r="W444" s="518" t="str">
        <f>IF(AND(_A1="B-737-800",'2025'!$O$4="CA",'2025'!$O$2=W423),'2025DATA'!$H$23,"")</f>
        <v/>
      </c>
      <c r="X444" s="518" t="str">
        <f>IF(AND(_A1="B-737-800",'2025'!$O$4="CA",'2025'!$O$2=X423),'2025DATA'!$I$23,"")</f>
        <v/>
      </c>
      <c r="Y444" s="518" t="str">
        <f>IF(AND(_A1="B-737-800",'2025'!$O$4="CA",'2025'!$O$2=Y423),'2025DATA'!$J$23,"")</f>
        <v/>
      </c>
      <c r="Z444" s="518" t="str">
        <f>IF(AND(_A1="B-737-800",'2025'!$O$4="CA",'2025'!$O$2=Z423),'2025DATA'!$K$23,"")</f>
        <v/>
      </c>
      <c r="AA444" s="518" t="str">
        <f>IF(AND(_A1="B-737-800",'2025'!$O$4="CA",'2025'!$O$2=AA423),'2025DATA'!$L$23,"")</f>
        <v/>
      </c>
      <c r="AB444" s="518" t="str">
        <f>IF(AND(_A1="B-737-800",'2025'!$O$4="CA",'2025'!$O$2=AB423),'2025DATA'!$M$23,"")</f>
        <v/>
      </c>
      <c r="AC444" s="520" t="str">
        <f>IF(AND(_A1="B-737-800",'2025'!$O$4="CA",'2025'!$O$2=AC423),'2025DATA'!$N$23,"")</f>
        <v/>
      </c>
      <c r="AD444" s="940" t="s">
        <v>69</v>
      </c>
      <c r="AE444" s="13" t="s">
        <v>61</v>
      </c>
      <c r="AF444" s="518" t="str">
        <f>IF(AND(_A2="B-737-800",'2025'!$O$4="CA",'2025'!$O$2=AF423),'2025DATA'!$C$23,"")</f>
        <v/>
      </c>
      <c r="AG444" s="518" t="str">
        <f>IF(AND(_A2="B-737-800",'2025'!$O$4="CA",'2025'!$O$2=AG423),'2025DATA'!$D$23,"")</f>
        <v/>
      </c>
      <c r="AH444" s="518" t="str">
        <f>IF(AND(_A2="B-737-800",'2025'!$O$4="CA",'2025'!$O$2=AH423),'2025DATA'!$E$23,"")</f>
        <v/>
      </c>
      <c r="AI444" s="518" t="str">
        <f>IF(AND(_A2="B-737-800",'2025'!$O$4="CA",'2025'!$O$2=AI423),'2025DATA'!$F$23,"")</f>
        <v/>
      </c>
      <c r="AJ444" s="518" t="str">
        <f>IF(AND(_A2="B-737-800",'2025'!$O$4="CA",'2025'!$O$2=AJ423),'2025DATA'!$G$23,"")</f>
        <v/>
      </c>
      <c r="AK444" s="518" t="str">
        <f>IF(AND(_A2="B-737-800",'2025'!$O$4="CA",'2025'!$O$2=AK423),'2025DATA'!$H$23,"")</f>
        <v/>
      </c>
      <c r="AL444" s="518" t="str">
        <f>IF(AND(_A2="B-737-800",'2025'!$O$4="CA",'2025'!$O$2=AL423),'2025DATA'!$I$23,"")</f>
        <v/>
      </c>
      <c r="AM444" s="518" t="str">
        <f>IF(AND(_A2="B-737-800",'2025'!$O$4="CA",'2025'!$O$2=AM423),'2025DATA'!$J$23,"")</f>
        <v/>
      </c>
      <c r="AN444" s="518" t="str">
        <f>IF(AND(_A2="B-737-800",'2025'!$O$4="CA",'2025'!$O$2=AN423),'2025DATA'!$K$23,"")</f>
        <v/>
      </c>
      <c r="AO444" s="518" t="str">
        <f>IF(AND(_A2="B-737-800",'2025'!$O$4="CA",'2025'!$O$2=AO423),'2025DATA'!$L$23,"")</f>
        <v/>
      </c>
      <c r="AP444" s="518" t="str">
        <f>IF(AND(_A2="B-737-800",'2025'!$O$4="CA",'2025'!$O$2=AP423),'2025DATA'!$M$23,"")</f>
        <v/>
      </c>
      <c r="AQ444" s="520" t="str">
        <f>IF(AND(_A2="B-737-800",'2025'!$O$4="CA",'2025'!$O$2=AQ423),'2025DATA'!$N$23,"")</f>
        <v/>
      </c>
      <c r="AR444" s="940" t="s">
        <v>69</v>
      </c>
      <c r="AS444" s="13" t="s">
        <v>61</v>
      </c>
      <c r="AT444" s="518" t="str">
        <f>IF(AND(_A3="B-737-800",'2025'!$O$4="CA",'2025'!$O$2=AT423),'2025DATA'!$C$23,"")</f>
        <v/>
      </c>
      <c r="AU444" s="518" t="str">
        <f>IF(AND(_A3="B-737-800",'2025'!$O$4="CA",'2025'!$O$2=AU423),'2025DATA'!$D$23,"")</f>
        <v/>
      </c>
      <c r="AV444" s="518" t="str">
        <f>IF(AND(_A3="B-737-800",'2025'!$O$4="CA",'2025'!$O$2=AV423),'2025DATA'!$E$23,"")</f>
        <v/>
      </c>
      <c r="AW444" s="518" t="str">
        <f>IF(AND(_A3="B-737-800",'2025'!$O$4="CA",'2025'!$O$2=AW423),'2025DATA'!$F$23,"")</f>
        <v/>
      </c>
      <c r="AX444" s="518" t="str">
        <f>IF(AND(_A3="B-737-800",'2025'!$O$4="CA",'2025'!$O$2=AX423),'2025DATA'!$G$23,"")</f>
        <v/>
      </c>
      <c r="AY444" s="518" t="str">
        <f>IF(AND(_A3="B-737-800",'2025'!$O$4="CA",'2025'!$O$2=AY423),'2025DATA'!$H$23,"")</f>
        <v/>
      </c>
      <c r="AZ444" s="518" t="str">
        <f>IF(AND(_A3="B-737-800",'2025'!$O$4="CA",'2025'!$O$2=AZ423),'2025DATA'!$I$23,"")</f>
        <v/>
      </c>
      <c r="BA444" s="518" t="str">
        <f>IF(AND(_A3="B-737-800",'2025'!$O$4="CA",'2025'!$O$2=BA423),'2025DATA'!$J$23,"")</f>
        <v/>
      </c>
      <c r="BB444" s="518" t="str">
        <f>IF(AND(_A3="B-737-800",'2025'!$O$4="CA",'2025'!$O$2=BB423),'2025DATA'!$K$23,"")</f>
        <v/>
      </c>
      <c r="BC444" s="518" t="str">
        <f>IF(AND(_A3="B-737-800",'2025'!$O$4="CA",'2025'!$O$2=BC423),'2025DATA'!$L$23,"")</f>
        <v/>
      </c>
      <c r="BD444" s="518" t="str">
        <f>IF(AND(_A3="B-737-800",'2025'!$O$4="CA",'2025'!$O$2=BD423),'2025DATA'!$M$23,"")</f>
        <v/>
      </c>
      <c r="BE444" s="520" t="str">
        <f>IF(AND(_A3="B-737-800",'2025'!$O$4="CA",'2025'!$O$2=BE423),'2025DATA'!$N$23,"")</f>
        <v/>
      </c>
      <c r="BF444" s="940" t="s">
        <v>69</v>
      </c>
      <c r="BG444" s="13" t="s">
        <v>61</v>
      </c>
      <c r="BH444" s="518" t="str">
        <f>IF(AND(_A4="B-737-800",'2025'!$O$4="CA",'2025'!$O$2=BH423),'2025DATA'!$C$23,"")</f>
        <v/>
      </c>
      <c r="BI444" s="518" t="str">
        <f>IF(AND(_A4="B-737-800",'2025'!$O$4="CA",'2025'!$O$2=BI423),'2025DATA'!$D$23,"")</f>
        <v/>
      </c>
      <c r="BJ444" s="518" t="str">
        <f>IF(AND(_A4="B-737-800",'2025'!$O$4="CA",'2025'!$O$2=BJ423),'2025DATA'!$E$23,"")</f>
        <v/>
      </c>
      <c r="BK444" s="518" t="str">
        <f>IF(AND(_A4="B-737-800",'2025'!$O$4="CA",'2025'!$O$2=BK423),'2025DATA'!$F$23,"")</f>
        <v/>
      </c>
      <c r="BL444" s="518" t="str">
        <f>IF(AND(_A4="B-737-800",'2025'!$O$4="CA",'2025'!$O$2=BL423),'2025DATA'!$G$23,"")</f>
        <v/>
      </c>
      <c r="BM444" s="518" t="str">
        <f>IF(AND(_A4="B-737-800",'2025'!$O$4="CA",'2025'!$O$2=BM423),'2025DATA'!$H$23,"")</f>
        <v/>
      </c>
      <c r="BN444" s="518" t="str">
        <f>IF(AND(_A4="B-737-800",'2025'!$O$4="CA",'2025'!$O$2=BN423),'2025DATA'!$I$23,"")</f>
        <v/>
      </c>
      <c r="BO444" s="518" t="str">
        <f>IF(AND(_A4="B-737-800",'2025'!$O$4="CA",'2025'!$O$2=BO423),'2025DATA'!$J$23,"")</f>
        <v/>
      </c>
      <c r="BP444" s="518" t="str">
        <f>IF(AND(_A4="B-737-800",'2025'!$O$4="CA",'2025'!$O$2=BP423),'2025DATA'!$K$23,"")</f>
        <v/>
      </c>
      <c r="BQ444" s="518" t="str">
        <f>IF(AND(_A4="B-737-800",'2025'!$O$4="CA",'2025'!$O$2=BQ423),'2025DATA'!$L$23,"")</f>
        <v/>
      </c>
      <c r="BR444" s="518" t="str">
        <f>IF(AND(_A4="B-737-800",'2025'!$O$4="CA",'2025'!$O$2=BR423),'2025DATA'!$M$23,"")</f>
        <v/>
      </c>
      <c r="BS444" s="520" t="str">
        <f>IF(AND(_A4="B-737-800",'2025'!$O$4="CA",'2025'!$O$2=BS423),'2025DATA'!$N$23,"")</f>
        <v/>
      </c>
      <c r="BT444" s="940" t="s">
        <v>69</v>
      </c>
      <c r="BU444" s="13" t="s">
        <v>61</v>
      </c>
      <c r="BV444" s="518" t="str">
        <f>IF(AND(_A5="B-737-800",'2025'!$O$4="CA",'2025'!$O$2=BV423),'2025DATA'!$C$23,"")</f>
        <v/>
      </c>
      <c r="BW444" s="518" t="str">
        <f>IF(AND(_A5="B-737-800",'2025'!$O$4="CA",'2025'!$O$2=BW423),'2025DATA'!$D$23,"")</f>
        <v/>
      </c>
      <c r="BX444" s="518" t="str">
        <f>IF(AND(_A5="B-737-800",'2025'!$O$4="CA",'2025'!$O$2=BX423),'2025DATA'!$E$23,"")</f>
        <v/>
      </c>
      <c r="BY444" s="518" t="str">
        <f>IF(AND(_A5="B-737-800",'2025'!$O$4="CA",'2025'!$O$2=BY423),'2025DATA'!$F$23,"")</f>
        <v/>
      </c>
      <c r="BZ444" s="518" t="str">
        <f>IF(AND(_A5="B-737-800",'2025'!$O$4="CA",'2025'!$O$2=BZ423),'2025DATA'!$G$23,"")</f>
        <v/>
      </c>
      <c r="CA444" s="518" t="str">
        <f>IF(AND(_A5="B-737-800",'2025'!$O$4="CA",'2025'!$O$2=CA423),'2025DATA'!$H$23,"")</f>
        <v/>
      </c>
      <c r="CB444" s="518" t="str">
        <f>IF(AND(_A5="B-737-800",'2025'!$O$4="CA",'2025'!$O$2=CB423),'2025DATA'!$I$23,"")</f>
        <v/>
      </c>
      <c r="CC444" s="518" t="str">
        <f>IF(AND(_A5="B-737-800",'2025'!$O$4="CA",'2025'!$O$2=CC423),'2025DATA'!$J$23,"")</f>
        <v/>
      </c>
      <c r="CD444" s="518" t="str">
        <f>IF(AND(_A5="B-737-800",'2025'!$O$4="CA",'2025'!$O$2=CD423),'2025DATA'!$K$23,"")</f>
        <v/>
      </c>
      <c r="CE444" s="518" t="str">
        <f>IF(AND(_A5="B-737-800",'2025'!$O$4="CA",'2025'!$O$2=CE423),'2025DATA'!$L$23,"")</f>
        <v/>
      </c>
      <c r="CF444" s="518" t="str">
        <f>IF(AND(_A5="B-737-800",'2025'!$O$4="CA",'2025'!$O$2=CF423),'2025DATA'!$M$23,"")</f>
        <v/>
      </c>
      <c r="CG444" s="520" t="str">
        <f>IF(AND(_A5="B-737-800",'2025'!$O$4="CA",'2025'!$O$2=CG423),'2025DATA'!$N$23,"")</f>
        <v/>
      </c>
      <c r="CH444" s="940" t="s">
        <v>69</v>
      </c>
      <c r="CI444" s="13" t="s">
        <v>61</v>
      </c>
      <c r="CJ444" s="518" t="str">
        <f>IF(AND(_A6="B-737-800",'2025'!$O$4="CA",'2025'!$O$2=CJ423),'2025DATA'!$C$23,"")</f>
        <v/>
      </c>
      <c r="CK444" s="518" t="str">
        <f>IF(AND(_A6="B-737-800",'2025'!$O$4="CA",'2025'!$O$2=CK423),'2025DATA'!$D$23,"")</f>
        <v/>
      </c>
      <c r="CL444" s="518" t="str">
        <f>IF(AND(_A6="B-737-800",'2025'!$O$4="CA",'2025'!$O$2=CL423),'2025DATA'!$E$23,"")</f>
        <v/>
      </c>
      <c r="CM444" s="518" t="str">
        <f>IF(AND(_A6="B-737-800",'2025'!$O$4="CA",'2025'!$O$2=CM423),'2025DATA'!$F$23,"")</f>
        <v/>
      </c>
      <c r="CN444" s="518" t="str">
        <f>IF(AND(_A6="B-737-800",'2025'!$O$4="CA",'2025'!$O$2=CN423),'2025DATA'!$G$23,"")</f>
        <v/>
      </c>
      <c r="CO444" s="518" t="str">
        <f>IF(AND(_A6="B-737-800",'2025'!$O$4="CA",'2025'!$O$2=CO423),'2025DATA'!$H$23,"")</f>
        <v/>
      </c>
      <c r="CP444" s="518" t="str">
        <f>IF(AND(_A6="B-737-800",'2025'!$O$4="CA",'2025'!$O$2=CP423),'2025DATA'!$I$23,"")</f>
        <v/>
      </c>
      <c r="CQ444" s="518" t="str">
        <f>IF(AND(_A6="B-737-800",'2025'!$O$4="CA",'2025'!$O$2=CQ423),'2025DATA'!$J$23,"")</f>
        <v/>
      </c>
      <c r="CR444" s="518" t="str">
        <f>IF(AND(_A6="B-737-800",'2025'!$O$4="CA",'2025'!$O$2=CR423),'2025DATA'!$K$23,"")</f>
        <v/>
      </c>
      <c r="CS444" s="518" t="str">
        <f>IF(AND(_A6="B-737-800",'2025'!$O$4="CA",'2025'!$O$2=CS423),'2025DATA'!$L$23,"")</f>
        <v/>
      </c>
      <c r="CT444" s="518" t="str">
        <f>IF(AND(_A6="B-737-800",'2025'!$O$4="CA",'2025'!$O$2=CT423),'2025DATA'!$M$23,"")</f>
        <v/>
      </c>
      <c r="CU444" s="520" t="str">
        <f>IF(AND(_A6="B-737-800",'2025'!$O$4="CA",'2025'!$O$2=CU423),'2025DATA'!$N$23,"")</f>
        <v/>
      </c>
    </row>
    <row r="445" spans="16:99" x14ac:dyDescent="0.25">
      <c r="P445" s="940"/>
      <c r="Q445" s="13" t="s">
        <v>62</v>
      </c>
      <c r="R445" s="518" t="str">
        <f>IF(AND(_A1="B-737-800",'2025'!$O$4="FO",'2025'!$O$2=R423),'2025DATA'!$C$24,"")</f>
        <v/>
      </c>
      <c r="S445" s="518" t="str">
        <f>IF(AND(_A1="B-737-800",'2025'!$O$4="FO",'2025'!$O$2=S423),'2025DATA'!$D$24,"")</f>
        <v/>
      </c>
      <c r="T445" s="518" t="str">
        <f>IF(AND(_A1="B-737-800",'2025'!$O$4="FO",'2025'!$O$2=T423),'2025DATA'!$E$24,"")</f>
        <v/>
      </c>
      <c r="U445" s="518" t="str">
        <f>IF(AND(_A1="B-737-800",'2025'!$O$4="FO",'2025'!$O$2=U423),'2025DATA'!$F$24,"")</f>
        <v/>
      </c>
      <c r="V445" s="518" t="str">
        <f>IF(AND(_A1="B-737-800",'2025'!$O$4="FO",'2025'!$O$2=V423),'2025DATA'!$G$24,"")</f>
        <v/>
      </c>
      <c r="W445" s="518" t="str">
        <f>IF(AND(_A1="B-737-800",'2025'!$O$4="FO",'2025'!$O$2=W423),'2025DATA'!$H$24,"")</f>
        <v/>
      </c>
      <c r="X445" s="518" t="str">
        <f>IF(AND(_A1="B-737-800",'2025'!$O$4="FO",'2025'!$O$2=X423),'2025DATA'!$I$24,"")</f>
        <v/>
      </c>
      <c r="Y445" s="518" t="str">
        <f>IF(AND(_A1="B-737-800",'2025'!$O$4="FO",'2025'!$O$2=Y423),'2025DATA'!$J$24,"")</f>
        <v/>
      </c>
      <c r="Z445" s="518" t="str">
        <f>IF(AND(_A1="B-737-800",'2025'!$O$4="FO",'2025'!$O$2=Z423),'2025DATA'!$K$24,"")</f>
        <v/>
      </c>
      <c r="AA445" s="518" t="str">
        <f>IF(AND(_A1="B-737-800",'2025'!$O$4="FO",'2025'!$O$2=AA423),'2025DATA'!$L$24,"")</f>
        <v/>
      </c>
      <c r="AB445" s="518" t="str">
        <f>IF(AND(_A1="B-737-800",'2025'!$O$4="FO",'2025'!$O$2=AB423),'2025DATA'!$M$24,"")</f>
        <v/>
      </c>
      <c r="AC445" s="520" t="str">
        <f>IF(AND(_A1="B-737-800",'2025'!$O$4="FO",'2025'!$O$2=AC423),'2025DATA'!$N$24,"")</f>
        <v/>
      </c>
      <c r="AD445" s="940"/>
      <c r="AE445" s="13" t="s">
        <v>62</v>
      </c>
      <c r="AF445" s="518" t="str">
        <f>IF(AND(_A2="B-737-800",'2025'!$O$4="FO",'2025'!$O$2=AF423),'2025DATA'!$C$24,"")</f>
        <v/>
      </c>
      <c r="AG445" s="518" t="str">
        <f>IF(AND(_A2="B-737-800",'2025'!$O$4="FO",'2025'!$O$2=AG423),'2025DATA'!$D$24,"")</f>
        <v/>
      </c>
      <c r="AH445" s="518" t="str">
        <f>IF(AND(_A2="B-737-800",'2025'!$O$4="FO",'2025'!$O$2=AH423),'2025DATA'!$E$24,"")</f>
        <v/>
      </c>
      <c r="AI445" s="518" t="str">
        <f>IF(AND(_A2="B-737-800",'2025'!$O$4="FO",'2025'!$O$2=AI423),'2025DATA'!$F$24,"")</f>
        <v/>
      </c>
      <c r="AJ445" s="518" t="str">
        <f>IF(AND(_A2="B-737-800",'2025'!$O$4="FO",'2025'!$O$2=AJ423),'2025DATA'!$G$24,"")</f>
        <v/>
      </c>
      <c r="AK445" s="518" t="str">
        <f>IF(AND(_A2="B-737-800",'2025'!$O$4="FO",'2025'!$O$2=AK423),'2025DATA'!$H$24,"")</f>
        <v/>
      </c>
      <c r="AL445" s="518" t="str">
        <f>IF(AND(_A2="B-737-800",'2025'!$O$4="FO",'2025'!$O$2=AL423),'2025DATA'!$I$24,"")</f>
        <v/>
      </c>
      <c r="AM445" s="518" t="str">
        <f>IF(AND(_A2="B-737-800",'2025'!$O$4="FO",'2025'!$O$2=AM423),'2025DATA'!$J$24,"")</f>
        <v/>
      </c>
      <c r="AN445" s="518" t="str">
        <f>IF(AND(_A2="B-737-800",'2025'!$O$4="FO",'2025'!$O$2=AN423),'2025DATA'!$K$24,"")</f>
        <v/>
      </c>
      <c r="AO445" s="518" t="str">
        <f>IF(AND(_A2="B-737-800",'2025'!$O$4="FO",'2025'!$O$2=AO423),'2025DATA'!$L$24,"")</f>
        <v/>
      </c>
      <c r="AP445" s="518" t="str">
        <f>IF(AND(_A2="B-737-800",'2025'!$O$4="FO",'2025'!$O$2=AP423),'2025DATA'!$M$24,"")</f>
        <v/>
      </c>
      <c r="AQ445" s="520" t="str">
        <f>IF(AND(_A2="B-737-800",'2025'!$O$4="FO",'2025'!$O$2=AQ423),'2025DATA'!$N$24,"")</f>
        <v/>
      </c>
      <c r="AR445" s="940"/>
      <c r="AS445" s="13" t="s">
        <v>62</v>
      </c>
      <c r="AT445" s="518" t="str">
        <f>IF(AND(_A3="B-737-800",'2025'!$O$4="FO",'2025'!$O$2=AT423),'2025DATA'!$C$24,"")</f>
        <v/>
      </c>
      <c r="AU445" s="518" t="str">
        <f>IF(AND(_A3="B-737-800",'2025'!$O$4="FO",'2025'!$O$2=AU423),'2025DATA'!$D$24,"")</f>
        <v/>
      </c>
      <c r="AV445" s="518" t="str">
        <f>IF(AND(_A3="B-737-800",'2025'!$O$4="FO",'2025'!$O$2=AV423),'2025DATA'!$E$24,"")</f>
        <v/>
      </c>
      <c r="AW445" s="518" t="str">
        <f>IF(AND(_A3="B-737-800",'2025'!$O$4="FO",'2025'!$O$2=AW423),'2025DATA'!$F$24,"")</f>
        <v/>
      </c>
      <c r="AX445" s="518" t="str">
        <f>IF(AND(_A3="B-737-800",'2025'!$O$4="FO",'2025'!$O$2=AX423),'2025DATA'!$G$24,"")</f>
        <v/>
      </c>
      <c r="AY445" s="518" t="str">
        <f>IF(AND(_A3="B-737-800",'2025'!$O$4="FO",'2025'!$O$2=AY423),'2025DATA'!$H$24,"")</f>
        <v/>
      </c>
      <c r="AZ445" s="518" t="str">
        <f>IF(AND(_A3="B-737-800",'2025'!$O$4="FO",'2025'!$O$2=AZ423),'2025DATA'!$I$24,"")</f>
        <v/>
      </c>
      <c r="BA445" s="518" t="str">
        <f>IF(AND(_A3="B-737-800",'2025'!$O$4="FO",'2025'!$O$2=BA423),'2025DATA'!$J$24,"")</f>
        <v/>
      </c>
      <c r="BB445" s="518" t="str">
        <f>IF(AND(_A3="B-737-800",'2025'!$O$4="FO",'2025'!$O$2=BB423),'2025DATA'!$K$24,"")</f>
        <v/>
      </c>
      <c r="BC445" s="518" t="str">
        <f>IF(AND(_A3="B-737-800",'2025'!$O$4="FO",'2025'!$O$2=BC423),'2025DATA'!$L$24,"")</f>
        <v/>
      </c>
      <c r="BD445" s="518" t="str">
        <f>IF(AND(_A3="B-737-800",'2025'!$O$4="FO",'2025'!$O$2=BD423),'2025DATA'!$M$24,"")</f>
        <v/>
      </c>
      <c r="BE445" s="520" t="str">
        <f>IF(AND(_A3="B-737-800",'2025'!$O$4="FO",'2025'!$O$2=BE423),'2025DATA'!$N$24,"")</f>
        <v/>
      </c>
      <c r="BF445" s="940"/>
      <c r="BG445" s="13" t="s">
        <v>62</v>
      </c>
      <c r="BH445" s="518" t="str">
        <f>IF(AND(_A4="B-737-800",'2025'!$O$4="FO",'2025'!$O$2=BH423),'2025DATA'!$C$24,"")</f>
        <v/>
      </c>
      <c r="BI445" s="518" t="str">
        <f>IF(AND(_A4="B-737-800",'2025'!$O$4="FO",'2025'!$O$2=BI423),'2025DATA'!$D$24,"")</f>
        <v/>
      </c>
      <c r="BJ445" s="518" t="str">
        <f>IF(AND(_A4="B-737-800",'2025'!$O$4="FO",'2025'!$O$2=BJ423),'2025DATA'!$E$24,"")</f>
        <v/>
      </c>
      <c r="BK445" s="518" t="str">
        <f>IF(AND(_A4="B-737-800",'2025'!$O$4="FO",'2025'!$O$2=BK423),'2025DATA'!$F$24,"")</f>
        <v/>
      </c>
      <c r="BL445" s="518" t="str">
        <f>IF(AND(_A4="B-737-800",'2025'!$O$4="FO",'2025'!$O$2=BL423),'2025DATA'!$G$24,"")</f>
        <v/>
      </c>
      <c r="BM445" s="518" t="str">
        <f>IF(AND(_A4="B-737-800",'2025'!$O$4="FO",'2025'!$O$2=BM423),'2025DATA'!$H$24,"")</f>
        <v/>
      </c>
      <c r="BN445" s="518" t="str">
        <f>IF(AND(_A4="B-737-800",'2025'!$O$4="FO",'2025'!$O$2=BN423),'2025DATA'!$I$24,"")</f>
        <v/>
      </c>
      <c r="BO445" s="518" t="str">
        <f>IF(AND(_A4="B-737-800",'2025'!$O$4="FO",'2025'!$O$2=BO423),'2025DATA'!$J$24,"")</f>
        <v/>
      </c>
      <c r="BP445" s="518" t="str">
        <f>IF(AND(_A4="B-737-800",'2025'!$O$4="FO",'2025'!$O$2=BP423),'2025DATA'!$K$24,"")</f>
        <v/>
      </c>
      <c r="BQ445" s="518" t="str">
        <f>IF(AND(_A4="B-737-800",'2025'!$O$4="FO",'2025'!$O$2=BQ423),'2025DATA'!$L$24,"")</f>
        <v/>
      </c>
      <c r="BR445" s="518" t="str">
        <f>IF(AND(_A4="B-737-800",'2025'!$O$4="FO",'2025'!$O$2=BR423),'2025DATA'!$M$24,"")</f>
        <v/>
      </c>
      <c r="BS445" s="520" t="str">
        <f>IF(AND(_A4="B-737-800",'2025'!$O$4="FO",'2025'!$O$2=BS423),'2025DATA'!$N$24,"")</f>
        <v/>
      </c>
      <c r="BT445" s="940"/>
      <c r="BU445" s="13" t="s">
        <v>62</v>
      </c>
      <c r="BV445" s="518" t="str">
        <f>IF(AND(_A5="B-737-800",'2025'!$O$4="FO",'2025'!$O$2=BV423),'2025DATA'!$C$24,"")</f>
        <v/>
      </c>
      <c r="BW445" s="518" t="str">
        <f>IF(AND(_A5="B-737-800",'2025'!$O$4="FO",'2025'!$O$2=BW423),'2025DATA'!$D$24,"")</f>
        <v/>
      </c>
      <c r="BX445" s="518" t="str">
        <f>IF(AND(_A5="B-737-800",'2025'!$O$4="FO",'2025'!$O$2=BX423),'2025DATA'!$E$24,"")</f>
        <v/>
      </c>
      <c r="BY445" s="518" t="str">
        <f>IF(AND(_A5="B-737-800",'2025'!$O$4="FO",'2025'!$O$2=BY423),'2025DATA'!$F$24,"")</f>
        <v/>
      </c>
      <c r="BZ445" s="518" t="str">
        <f>IF(AND(_A5="B-737-800",'2025'!$O$4="FO",'2025'!$O$2=BZ423),'2025DATA'!$G$24,"")</f>
        <v/>
      </c>
      <c r="CA445" s="518" t="str">
        <f>IF(AND(_A5="B-737-800",'2025'!$O$4="FO",'2025'!$O$2=CA423),'2025DATA'!$H$24,"")</f>
        <v/>
      </c>
      <c r="CB445" s="518" t="str">
        <f>IF(AND(_A5="B-737-800",'2025'!$O$4="FO",'2025'!$O$2=CB423),'2025DATA'!$I$24,"")</f>
        <v/>
      </c>
      <c r="CC445" s="518" t="str">
        <f>IF(AND(_A5="B-737-800",'2025'!$O$4="FO",'2025'!$O$2=CC423),'2025DATA'!$J$24,"")</f>
        <v/>
      </c>
      <c r="CD445" s="518" t="str">
        <f>IF(AND(_A5="B-737-800",'2025'!$O$4="FO",'2025'!$O$2=CD423),'2025DATA'!$K$24,"")</f>
        <v/>
      </c>
      <c r="CE445" s="518" t="str">
        <f>IF(AND(_A5="B-737-800",'2025'!$O$4="FO",'2025'!$O$2=CE423),'2025DATA'!$L$24,"")</f>
        <v/>
      </c>
      <c r="CF445" s="518" t="str">
        <f>IF(AND(_A5="B-737-800",'2025'!$O$4="FO",'2025'!$O$2=CF423),'2025DATA'!$M$24,"")</f>
        <v/>
      </c>
      <c r="CG445" s="520" t="str">
        <f>IF(AND(_A5="B-737-800",'2025'!$O$4="FO",'2025'!$O$2=CG423),'2025DATA'!$N$24,"")</f>
        <v/>
      </c>
      <c r="CH445" s="940"/>
      <c r="CI445" s="13" t="s">
        <v>62</v>
      </c>
      <c r="CJ445" s="518" t="str">
        <f>IF(AND(_A6="B-737-800",'2025'!$O$4="FO",'2025'!$O$2=CJ423),'2025DATA'!$C$24,"")</f>
        <v/>
      </c>
      <c r="CK445" s="518" t="str">
        <f>IF(AND(_A6="B-737-800",'2025'!$O$4="FO",'2025'!$O$2=CK423),'2025DATA'!$D$24,"")</f>
        <v/>
      </c>
      <c r="CL445" s="518" t="str">
        <f>IF(AND(_A6="B-737-800",'2025'!$O$4="FO",'2025'!$O$2=CL423),'2025DATA'!$E$24,"")</f>
        <v/>
      </c>
      <c r="CM445" s="518" t="str">
        <f>IF(AND(_A6="B-737-800",'2025'!$O$4="FO",'2025'!$O$2=CM423),'2025DATA'!$F$24,"")</f>
        <v/>
      </c>
      <c r="CN445" s="518" t="str">
        <f>IF(AND(_A6="B-737-800",'2025'!$O$4="FO",'2025'!$O$2=CN423),'2025DATA'!$G$24,"")</f>
        <v/>
      </c>
      <c r="CO445" s="518" t="str">
        <f>IF(AND(_A6="B-737-800",'2025'!$O$4="FO",'2025'!$O$2=CO423),'2025DATA'!$H$24,"")</f>
        <v/>
      </c>
      <c r="CP445" s="518" t="str">
        <f>IF(AND(_A6="B-737-800",'2025'!$O$4="FO",'2025'!$O$2=CP423),'2025DATA'!$I$24,"")</f>
        <v/>
      </c>
      <c r="CQ445" s="518" t="str">
        <f>IF(AND(_A6="B-737-800",'2025'!$O$4="FO",'2025'!$O$2=CQ423),'2025DATA'!$J$24,"")</f>
        <v/>
      </c>
      <c r="CR445" s="518" t="str">
        <f>IF(AND(_A6="B-737-800",'2025'!$O$4="FO",'2025'!$O$2=CR423),'2025DATA'!$K$24,"")</f>
        <v/>
      </c>
      <c r="CS445" s="518" t="str">
        <f>IF(AND(_A6="B-737-800",'2025'!$O$4="FO",'2025'!$O$2=CS423),'2025DATA'!$L$24,"")</f>
        <v/>
      </c>
      <c r="CT445" s="518" t="str">
        <f>IF(AND(_A6="B-737-800",'2025'!$O$4="FO",'2025'!$O$2=CT423),'2025DATA'!$M$24,"")</f>
        <v/>
      </c>
      <c r="CU445" s="520" t="str">
        <f>IF(AND(_A6="B-737-800",'2025'!$O$4="FO",'2025'!$O$2=CU423),'2025DATA'!$N$24,"")</f>
        <v/>
      </c>
    </row>
    <row r="446" spans="16:99" x14ac:dyDescent="0.25">
      <c r="P446" s="940" t="s">
        <v>46</v>
      </c>
      <c r="Q446" s="13" t="s">
        <v>61</v>
      </c>
      <c r="R446" s="518" t="str">
        <f>IF(AND(_A1="A-321N",'2025'!$O$4="CA",'2025'!$O$2=R423),'2025DATA'!$C$25,"")</f>
        <v/>
      </c>
      <c r="S446" s="518" t="str">
        <f>IF(AND(_A1="A-321N",'2025'!$O$4="CA",'2025'!$O$2=S423),'2025DATA'!$D$25,"")</f>
        <v/>
      </c>
      <c r="T446" s="518" t="str">
        <f>IF(AND(_A1="A-321N",'2025'!$O$4="CA",'2025'!$O$2=T423),'2025DATA'!$E$25,"")</f>
        <v/>
      </c>
      <c r="U446" s="518" t="str">
        <f>IF(AND(_A1="A-321N",'2025'!$O$4="CA",'2025'!$O$2=U423),'2025DATA'!$F$25,"")</f>
        <v/>
      </c>
      <c r="V446" s="518" t="str">
        <f>IF(AND(_A1="A-321N",'2025'!$O$4="CA",'2025'!$O$2=V423),'2025DATA'!$G$25,"")</f>
        <v/>
      </c>
      <c r="W446" s="518" t="str">
        <f>IF(AND(_A1="A-321N",'2025'!$O$4="CA",'2025'!$O$2=W423),'2025DATA'!$H$25,"")</f>
        <v/>
      </c>
      <c r="X446" s="518" t="str">
        <f>IF(AND(_A1="A-321N",'2025'!$O$4="CA",'2025'!$O$2=X423),'2025DATA'!$I$25,"")</f>
        <v/>
      </c>
      <c r="Y446" s="518" t="str">
        <f>IF(AND(_A1="A-321N",'2025'!$O$4="CA",'2025'!$O$2=Y423),'2025DATA'!$J$25,"")</f>
        <v/>
      </c>
      <c r="Z446" s="518" t="str">
        <f>IF(AND(_A1="A-321N",'2025'!$O$4="CA",'2025'!$O$2=Z423),'2025DATA'!$K$25,"")</f>
        <v/>
      </c>
      <c r="AA446" s="518" t="str">
        <f>IF(AND(_A1="A-321N",'2025'!$O$4="CA",'2025'!$O$2=AA423),'2025DATA'!$L$25,"")</f>
        <v/>
      </c>
      <c r="AB446" s="518" t="str">
        <f>IF(AND(_A1="A-321N",'2025'!$O$4="CA",'2025'!$O$2=AB423),'2025DATA'!$M$25,"")</f>
        <v/>
      </c>
      <c r="AC446" s="520" t="str">
        <f>IF(AND(_A1="A-321N",'2025'!$O$4="CA",'2025'!$O$2=AC423),'2025DATA'!$N$25,"")</f>
        <v/>
      </c>
      <c r="AD446" s="940" t="s">
        <v>46</v>
      </c>
      <c r="AE446" s="13" t="s">
        <v>61</v>
      </c>
      <c r="AF446" s="518" t="str">
        <f>IF(AND(_A2="A-321N",'2025'!$O$4="CA",'2025'!$O$2=AF423),'2025DATA'!$C$25,"")</f>
        <v/>
      </c>
      <c r="AG446" s="518" t="str">
        <f>IF(AND(_A2="A-321N",'2025'!$O$4="CA",'2025'!$O$2=AG423),'2025DATA'!$D$25,"")</f>
        <v/>
      </c>
      <c r="AH446" s="518" t="str">
        <f>IF(AND(_A2="A-321N",'2025'!$O$4="CA",'2025'!$O$2=AH423),'2025DATA'!$E$25,"")</f>
        <v/>
      </c>
      <c r="AI446" s="518" t="str">
        <f>IF(AND(_A2="A-321N",'2025'!$O$4="CA",'2025'!$O$2=AI423),'2025DATA'!$F$25,"")</f>
        <v/>
      </c>
      <c r="AJ446" s="518" t="str">
        <f>IF(AND(_A2="A-321N",'2025'!$O$4="CA",'2025'!$O$2=AJ423),'2025DATA'!$G$25,"")</f>
        <v/>
      </c>
      <c r="AK446" s="518" t="str">
        <f>IF(AND(_A2="A-321N",'2025'!$O$4="CA",'2025'!$O$2=AK423),'2025DATA'!$H$25,"")</f>
        <v/>
      </c>
      <c r="AL446" s="518" t="str">
        <f>IF(AND(_A2="A-321N",'2025'!$O$4="CA",'2025'!$O$2=AL423),'2025DATA'!$I$25,"")</f>
        <v/>
      </c>
      <c r="AM446" s="518" t="str">
        <f>IF(AND(_A2="A-321N",'2025'!$O$4="CA",'2025'!$O$2=AM423),'2025DATA'!$J$25,"")</f>
        <v/>
      </c>
      <c r="AN446" s="518" t="str">
        <f>IF(AND(_A2="A-321N",'2025'!$O$4="CA",'2025'!$O$2=AN423),'2025DATA'!$K$25,"")</f>
        <v/>
      </c>
      <c r="AO446" s="518" t="str">
        <f>IF(AND(_A2="A-321N",'2025'!$O$4="CA",'2025'!$O$2=AO423),'2025DATA'!$L$25,"")</f>
        <v/>
      </c>
      <c r="AP446" s="518" t="str">
        <f>IF(AND(_A2="A-321N",'2025'!$O$4="CA",'2025'!$O$2=AP423),'2025DATA'!$M$25,"")</f>
        <v/>
      </c>
      <c r="AQ446" s="520" t="str">
        <f>IF(AND(_A2="A-321N",'2025'!$O$4="CA",'2025'!$O$2=AQ423),'2025DATA'!$N$25,"")</f>
        <v/>
      </c>
      <c r="AR446" s="940" t="s">
        <v>46</v>
      </c>
      <c r="AS446" s="13" t="s">
        <v>61</v>
      </c>
      <c r="AT446" s="518" t="str">
        <f>IF(AND(_A3="A-321N",'2025'!$O$4="CA",'2025'!$O$2=AT423),'2025DATA'!$C$25,"")</f>
        <v/>
      </c>
      <c r="AU446" s="518" t="str">
        <f>IF(AND(_A3="A-321N",'2025'!$O$4="CA",'2025'!$O$2=AU423),'2025DATA'!$D$25,"")</f>
        <v/>
      </c>
      <c r="AV446" s="518" t="str">
        <f>IF(AND(_A3="A-321N",'2025'!$O$4="CA",'2025'!$O$2=AV423),'2025DATA'!$E$25,"")</f>
        <v/>
      </c>
      <c r="AW446" s="518" t="str">
        <f>IF(AND(_A3="A-321N",'2025'!$O$4="CA",'2025'!$O$2=AW423),'2025DATA'!$F$25,"")</f>
        <v/>
      </c>
      <c r="AX446" s="518" t="str">
        <f>IF(AND(_A3="A-321N",'2025'!$O$4="CA",'2025'!$O$2=AX423),'2025DATA'!$G$25,"")</f>
        <v/>
      </c>
      <c r="AY446" s="518" t="str">
        <f>IF(AND(_A3="A-321N",'2025'!$O$4="CA",'2025'!$O$2=AY423),'2025DATA'!$H$25,"")</f>
        <v/>
      </c>
      <c r="AZ446" s="518" t="str">
        <f>IF(AND(_A3="A-321N",'2025'!$O$4="CA",'2025'!$O$2=AZ423),'2025DATA'!$I$25,"")</f>
        <v/>
      </c>
      <c r="BA446" s="518" t="str">
        <f>IF(AND(_A3="A-321N",'2025'!$O$4="CA",'2025'!$O$2=BA423),'2025DATA'!$J$25,"")</f>
        <v/>
      </c>
      <c r="BB446" s="518" t="str">
        <f>IF(AND(_A3="A-321N",'2025'!$O$4="CA",'2025'!$O$2=BB423),'2025DATA'!$K$25,"")</f>
        <v/>
      </c>
      <c r="BC446" s="518" t="str">
        <f>IF(AND(_A3="A-321N",'2025'!$O$4="CA",'2025'!$O$2=BC423),'2025DATA'!$L$25,"")</f>
        <v/>
      </c>
      <c r="BD446" s="518" t="str">
        <f>IF(AND(_A3="A-321N",'2025'!$O$4="CA",'2025'!$O$2=BD423),'2025DATA'!$M$25,"")</f>
        <v/>
      </c>
      <c r="BE446" s="520" t="str">
        <f>IF(AND(_A3="A-321N",'2025'!$O$4="CA",'2025'!$O$2=BE423),'2025DATA'!$N$25,"")</f>
        <v/>
      </c>
      <c r="BF446" s="940" t="s">
        <v>46</v>
      </c>
      <c r="BG446" s="13" t="s">
        <v>61</v>
      </c>
      <c r="BH446" s="518" t="str">
        <f>IF(AND(_A4="A-321N",'2025'!$O$4="CA",'2025'!$O$2=BH423),'2025DATA'!$C$25,"")</f>
        <v/>
      </c>
      <c r="BI446" s="518" t="str">
        <f>IF(AND(_A4="A-321N",'2025'!$O$4="CA",'2025'!$O$2=BI423),'2025DATA'!$D$25,"")</f>
        <v/>
      </c>
      <c r="BJ446" s="518" t="str">
        <f>IF(AND(_A4="A-321N",'2025'!$O$4="CA",'2025'!$O$2=BJ423),'2025DATA'!$E$25,"")</f>
        <v/>
      </c>
      <c r="BK446" s="518" t="str">
        <f>IF(AND(_A4="A-321N",'2025'!$O$4="CA",'2025'!$O$2=BK423),'2025DATA'!$F$25,"")</f>
        <v/>
      </c>
      <c r="BL446" s="518" t="str">
        <f>IF(AND(_A4="A-321N",'2025'!$O$4="CA",'2025'!$O$2=BL423),'2025DATA'!$G$25,"")</f>
        <v/>
      </c>
      <c r="BM446" s="518" t="str">
        <f>IF(AND(_A4="A-321N",'2025'!$O$4="CA",'2025'!$O$2=BM423),'2025DATA'!$H$25,"")</f>
        <v/>
      </c>
      <c r="BN446" s="518" t="str">
        <f>IF(AND(_A4="A-321N",'2025'!$O$4="CA",'2025'!$O$2=BN423),'2025DATA'!$I$25,"")</f>
        <v/>
      </c>
      <c r="BO446" s="518" t="str">
        <f>IF(AND(_A4="A-321N",'2025'!$O$4="CA",'2025'!$O$2=BO423),'2025DATA'!$J$25,"")</f>
        <v/>
      </c>
      <c r="BP446" s="518" t="str">
        <f>IF(AND(_A4="A-321N",'2025'!$O$4="CA",'2025'!$O$2=BP423),'2025DATA'!$K$25,"")</f>
        <v/>
      </c>
      <c r="BQ446" s="518" t="str">
        <f>IF(AND(_A4="A-321N",'2025'!$O$4="CA",'2025'!$O$2=BQ423),'2025DATA'!$L$25,"")</f>
        <v/>
      </c>
      <c r="BR446" s="518" t="str">
        <f>IF(AND(_A4="A-321N",'2025'!$O$4="CA",'2025'!$O$2=BR423),'2025DATA'!$M$25,"")</f>
        <v/>
      </c>
      <c r="BS446" s="520" t="str">
        <f>IF(AND(_A4="A-321N",'2025'!$O$4="CA",'2025'!$O$2=BS423),'2025DATA'!$N$25,"")</f>
        <v/>
      </c>
      <c r="BT446" s="940" t="s">
        <v>46</v>
      </c>
      <c r="BU446" s="13" t="s">
        <v>61</v>
      </c>
      <c r="BV446" s="518" t="str">
        <f>IF(AND(_A5="A-321N",'2025'!$O$4="CA",'2025'!$O$2=BV423),'2025DATA'!$C$25,"")</f>
        <v/>
      </c>
      <c r="BW446" s="518" t="str">
        <f>IF(AND(_A5="A-321N",'2025'!$O$4="CA",'2025'!$O$2=BW423),'2025DATA'!$D$25,"")</f>
        <v/>
      </c>
      <c r="BX446" s="518" t="str">
        <f>IF(AND(_A5="A-321N",'2025'!$O$4="CA",'2025'!$O$2=BX423),'2025DATA'!$E$25,"")</f>
        <v/>
      </c>
      <c r="BY446" s="518" t="str">
        <f>IF(AND(_A5="A-321N",'2025'!$O$4="CA",'2025'!$O$2=BY423),'2025DATA'!$F$25,"")</f>
        <v/>
      </c>
      <c r="BZ446" s="518" t="str">
        <f>IF(AND(_A5="A-321N",'2025'!$O$4="CA",'2025'!$O$2=BZ423),'2025DATA'!$G$25,"")</f>
        <v/>
      </c>
      <c r="CA446" s="518" t="str">
        <f>IF(AND(_A5="A-321N",'2025'!$O$4="CA",'2025'!$O$2=CA423),'2025DATA'!$H$25,"")</f>
        <v/>
      </c>
      <c r="CB446" s="518" t="str">
        <f>IF(AND(_A5="A-321N",'2025'!$O$4="CA",'2025'!$O$2=CB423),'2025DATA'!$I$25,"")</f>
        <v/>
      </c>
      <c r="CC446" s="518" t="str">
        <f>IF(AND(_A5="A-321N",'2025'!$O$4="CA",'2025'!$O$2=CC423),'2025DATA'!$J$25,"")</f>
        <v/>
      </c>
      <c r="CD446" s="518" t="str">
        <f>IF(AND(_A5="A-321N",'2025'!$O$4="CA",'2025'!$O$2=CD423),'2025DATA'!$K$25,"")</f>
        <v/>
      </c>
      <c r="CE446" s="518" t="str">
        <f>IF(AND(_A5="A-321N",'2025'!$O$4="CA",'2025'!$O$2=CE423),'2025DATA'!$L$25,"")</f>
        <v/>
      </c>
      <c r="CF446" s="518" t="str">
        <f>IF(AND(_A5="A-321N",'2025'!$O$4="CA",'2025'!$O$2=CF423),'2025DATA'!$M$25,"")</f>
        <v/>
      </c>
      <c r="CG446" s="520" t="str">
        <f>IF(AND(_A5="A-321N",'2025'!$O$4="CA",'2025'!$O$2=CG423),'2025DATA'!$N$25,"")</f>
        <v/>
      </c>
      <c r="CH446" s="940" t="s">
        <v>46</v>
      </c>
      <c r="CI446" s="13" t="s">
        <v>61</v>
      </c>
      <c r="CJ446" s="518" t="str">
        <f>IF(AND(_A6="A-321N",'2025'!$O$4="CA",'2025'!$O$2=CJ423),'2025DATA'!$C$25,"")</f>
        <v/>
      </c>
      <c r="CK446" s="518" t="str">
        <f>IF(AND(_A6="A-321N",'2025'!$O$4="CA",'2025'!$O$2=CK423),'2025DATA'!$D$25,"")</f>
        <v/>
      </c>
      <c r="CL446" s="518" t="str">
        <f>IF(AND(_A6="A-321N",'2025'!$O$4="CA",'2025'!$O$2=CL423),'2025DATA'!$E$25,"")</f>
        <v/>
      </c>
      <c r="CM446" s="518" t="str">
        <f>IF(AND(_A6="A-321N",'2025'!$O$4="CA",'2025'!$O$2=CM423),'2025DATA'!$F$25,"")</f>
        <v/>
      </c>
      <c r="CN446" s="518" t="str">
        <f>IF(AND(_A6="A-321N",'2025'!$O$4="CA",'2025'!$O$2=CN423),'2025DATA'!$G$25,"")</f>
        <v/>
      </c>
      <c r="CO446" s="518" t="str">
        <f>IF(AND(_A6="A-321N",'2025'!$O$4="CA",'2025'!$O$2=CO423),'2025DATA'!$H$25,"")</f>
        <v/>
      </c>
      <c r="CP446" s="518" t="str">
        <f>IF(AND(_A6="A-321N",'2025'!$O$4="CA",'2025'!$O$2=CP423),'2025DATA'!$I$25,"")</f>
        <v/>
      </c>
      <c r="CQ446" s="518" t="str">
        <f>IF(AND(_A6="A-321N",'2025'!$O$4="CA",'2025'!$O$2=CQ423),'2025DATA'!$J$25,"")</f>
        <v/>
      </c>
      <c r="CR446" s="518" t="str">
        <f>IF(AND(_A6="A-321N",'2025'!$O$4="CA",'2025'!$O$2=CR423),'2025DATA'!$K$25,"")</f>
        <v/>
      </c>
      <c r="CS446" s="518" t="str">
        <f>IF(AND(_A6="A-321N",'2025'!$O$4="CA",'2025'!$O$2=CS423),'2025DATA'!$L$25,"")</f>
        <v/>
      </c>
      <c r="CT446" s="518" t="str">
        <f>IF(AND(_A6="A-321N",'2025'!$O$4="CA",'2025'!$O$2=CT423),'2025DATA'!$M$25,"")</f>
        <v/>
      </c>
      <c r="CU446" s="520" t="str">
        <f>IF(AND(_A6="A-321N",'2025'!$O$4="CA",'2025'!$O$2=CU423),'2025DATA'!$N$25,"")</f>
        <v/>
      </c>
    </row>
    <row r="447" spans="16:99" x14ac:dyDescent="0.25">
      <c r="P447" s="940"/>
      <c r="Q447" s="13" t="s">
        <v>62</v>
      </c>
      <c r="R447" s="518" t="str">
        <f>IF(AND(_A1="A-321N",'2025'!$O$4="FO",'2025'!$O$2=R423),'2025DATA'!$C$26,"")</f>
        <v/>
      </c>
      <c r="S447" s="518" t="str">
        <f>IF(AND(_A1="A-321N",'2025'!$O$4="FO",'2025'!$O$2=S423),'2025DATA'!$D$26,"")</f>
        <v/>
      </c>
      <c r="T447" s="518" t="str">
        <f>IF(AND(_A1="A-321N",'2025'!$O$4="FO",'2025'!$O$2=T423),'2025DATA'!$E$26,"")</f>
        <v/>
      </c>
      <c r="U447" s="518" t="str">
        <f>IF(AND(_A1="A-321N",'2025'!$O$4="FO",'2025'!$O$2=U423),'2025DATA'!$F$26,"")</f>
        <v/>
      </c>
      <c r="V447" s="518" t="str">
        <f>IF(AND(_A1="A-321N",'2025'!$O$4="FO",'2025'!$O$2=V423),'2025DATA'!$G$26,"")</f>
        <v/>
      </c>
      <c r="W447" s="518" t="str">
        <f>IF(AND(_A1="A-321N",'2025'!$O$4="FO",'2025'!$O$2=W423),'2025DATA'!$H$26,"")</f>
        <v/>
      </c>
      <c r="X447" s="518" t="str">
        <f>IF(AND(_A1="A-321N",'2025'!$O$4="FO",'2025'!$O$2=X423),'2025DATA'!$I$26,"")</f>
        <v/>
      </c>
      <c r="Y447" s="518" t="str">
        <f>IF(AND(_A1="A-321N",'2025'!$O$4="FO",'2025'!$O$2=Y423),'2025DATA'!$J$26,"")</f>
        <v/>
      </c>
      <c r="Z447" s="518" t="str">
        <f>IF(AND(_A1="A-321N",'2025'!$O$4="FO",'2025'!$O$2=Z423),'2025DATA'!$K$26,"")</f>
        <v/>
      </c>
      <c r="AA447" s="518" t="str">
        <f>IF(AND(_A1="A-321N",'2025'!$O$4="FO",'2025'!$O$2=AA423),'2025DATA'!$L$26,"")</f>
        <v/>
      </c>
      <c r="AB447" s="518" t="str">
        <f>IF(AND(_A1="A-321N",'2025'!$O$4="FO",'2025'!$O$2=AB423),'2025DATA'!$M$26,"")</f>
        <v/>
      </c>
      <c r="AC447" s="520" t="str">
        <f>IF(AND(_A1="A-321N",'2025'!$O$4="FO",'2025'!$O$2=AC423),'2025DATA'!$N$26,"")</f>
        <v/>
      </c>
      <c r="AD447" s="940"/>
      <c r="AE447" s="13" t="s">
        <v>62</v>
      </c>
      <c r="AF447" s="518" t="str">
        <f>IF(AND(_A2="A-321N",'2025'!$O$4="FO",'2025'!$O$2=AF423),'2025DATA'!$C$26,"")</f>
        <v/>
      </c>
      <c r="AG447" s="518" t="str">
        <f>IF(AND(_A2="A-321N",'2025'!$O$4="FO",'2025'!$O$2=AG423),'2025DATA'!$D$26,"")</f>
        <v/>
      </c>
      <c r="AH447" s="518" t="str">
        <f>IF(AND(_A2="A-321N",'2025'!$O$4="FO",'2025'!$O$2=AH423),'2025DATA'!$E$26,"")</f>
        <v/>
      </c>
      <c r="AI447" s="518" t="str">
        <f>IF(AND(_A2="A-321N",'2025'!$O$4="FO",'2025'!$O$2=AI423),'2025DATA'!$F$26,"")</f>
        <v/>
      </c>
      <c r="AJ447" s="518" t="str">
        <f>IF(AND(_A2="A-321N",'2025'!$O$4="FO",'2025'!$O$2=AJ423),'2025DATA'!$G$26,"")</f>
        <v/>
      </c>
      <c r="AK447" s="518" t="str">
        <f>IF(AND(_A2="A-321N",'2025'!$O$4="FO",'2025'!$O$2=AK423),'2025DATA'!$H$26,"")</f>
        <v/>
      </c>
      <c r="AL447" s="518" t="str">
        <f>IF(AND(_A2="A-321N",'2025'!$O$4="FO",'2025'!$O$2=AL423),'2025DATA'!$I$26,"")</f>
        <v/>
      </c>
      <c r="AM447" s="518" t="str">
        <f>IF(AND(_A2="A-321N",'2025'!$O$4="FO",'2025'!$O$2=AM423),'2025DATA'!$J$26,"")</f>
        <v/>
      </c>
      <c r="AN447" s="518" t="str">
        <f>IF(AND(_A2="A-321N",'2025'!$O$4="FO",'2025'!$O$2=AN423),'2025DATA'!$K$26,"")</f>
        <v/>
      </c>
      <c r="AO447" s="518" t="str">
        <f>IF(AND(_A2="A-321N",'2025'!$O$4="FO",'2025'!$O$2=AO423),'2025DATA'!$L$26,"")</f>
        <v/>
      </c>
      <c r="AP447" s="518" t="str">
        <f>IF(AND(_A2="A-321N",'2025'!$O$4="FO",'2025'!$O$2=AP423),'2025DATA'!$M$26,"")</f>
        <v/>
      </c>
      <c r="AQ447" s="520" t="str">
        <f>IF(AND(_A2="A-321N",'2025'!$O$4="FO",'2025'!$O$2=AQ423),'2025DATA'!$N$26,"")</f>
        <v/>
      </c>
      <c r="AR447" s="940"/>
      <c r="AS447" s="13" t="s">
        <v>62</v>
      </c>
      <c r="AT447" s="518" t="str">
        <f>IF(AND(_A3="A-321N",'2025'!$O$4="FO",'2025'!$O$2=AT423),'2025DATA'!$C$26,"")</f>
        <v/>
      </c>
      <c r="AU447" s="518" t="str">
        <f>IF(AND(_A3="A-321N",'2025'!$O$4="FO",'2025'!$O$2=AU423),'2025DATA'!$D$26,"")</f>
        <v/>
      </c>
      <c r="AV447" s="518" t="str">
        <f>IF(AND(_A3="A-321N",'2025'!$O$4="FO",'2025'!$O$2=AV423),'2025DATA'!$E$26,"")</f>
        <v/>
      </c>
      <c r="AW447" s="518" t="str">
        <f>IF(AND(_A3="A-321N",'2025'!$O$4="FO",'2025'!$O$2=AW423),'2025DATA'!$F$26,"")</f>
        <v/>
      </c>
      <c r="AX447" s="518" t="str">
        <f>IF(AND(_A3="A-321N",'2025'!$O$4="FO",'2025'!$O$2=AX423),'2025DATA'!$G$26,"")</f>
        <v/>
      </c>
      <c r="AY447" s="518" t="str">
        <f>IF(AND(_A3="A-321N",'2025'!$O$4="FO",'2025'!$O$2=AY423),'2025DATA'!$H$26,"")</f>
        <v/>
      </c>
      <c r="AZ447" s="518" t="str">
        <f>IF(AND(_A3="A-321N",'2025'!$O$4="FO",'2025'!$O$2=AZ423),'2025DATA'!$I$26,"")</f>
        <v/>
      </c>
      <c r="BA447" s="518" t="str">
        <f>IF(AND(_A3="A-321N",'2025'!$O$4="FO",'2025'!$O$2=BA423),'2025DATA'!$J$26,"")</f>
        <v/>
      </c>
      <c r="BB447" s="518" t="str">
        <f>IF(AND(_A3="A-321N",'2025'!$O$4="FO",'2025'!$O$2=BB423),'2025DATA'!$K$26,"")</f>
        <v/>
      </c>
      <c r="BC447" s="518" t="str">
        <f>IF(AND(_A3="A-321N",'2025'!$O$4="FO",'2025'!$O$2=BC423),'2025DATA'!$L$26,"")</f>
        <v/>
      </c>
      <c r="BD447" s="518" t="str">
        <f>IF(AND(_A3="A-321N",'2025'!$O$4="FO",'2025'!$O$2=BD423),'2025DATA'!$M$26,"")</f>
        <v/>
      </c>
      <c r="BE447" s="520" t="str">
        <f>IF(AND(_A3="A-321N",'2025'!$O$4="FO",'2025'!$O$2=BE423),'2025DATA'!$N$26,"")</f>
        <v/>
      </c>
      <c r="BF447" s="940"/>
      <c r="BG447" s="13" t="s">
        <v>62</v>
      </c>
      <c r="BH447" s="518" t="str">
        <f>IF(AND(_A4="A-321N",'2025'!$O$4="FO",'2025'!$O$2=BH423),'2025DATA'!$C$26,"")</f>
        <v/>
      </c>
      <c r="BI447" s="518" t="str">
        <f>IF(AND(_A4="A-321N",'2025'!$O$4="FO",'2025'!$O$2=BI423),'2025DATA'!$D$26,"")</f>
        <v/>
      </c>
      <c r="BJ447" s="518" t="str">
        <f>IF(AND(_A4="A-321N",'2025'!$O$4="FO",'2025'!$O$2=BJ423),'2025DATA'!$E$26,"")</f>
        <v/>
      </c>
      <c r="BK447" s="518" t="str">
        <f>IF(AND(_A4="A-321N",'2025'!$O$4="FO",'2025'!$O$2=BK423),'2025DATA'!$F$26,"")</f>
        <v/>
      </c>
      <c r="BL447" s="518" t="str">
        <f>IF(AND(_A4="A-321N",'2025'!$O$4="FO",'2025'!$O$2=BL423),'2025DATA'!$G$26,"")</f>
        <v/>
      </c>
      <c r="BM447" s="518" t="str">
        <f>IF(AND(_A4="A-321N",'2025'!$O$4="FO",'2025'!$O$2=BM423),'2025DATA'!$H$26,"")</f>
        <v/>
      </c>
      <c r="BN447" s="518" t="str">
        <f>IF(AND(_A4="A-321N",'2025'!$O$4="FO",'2025'!$O$2=BN423),'2025DATA'!$I$26,"")</f>
        <v/>
      </c>
      <c r="BO447" s="518" t="str">
        <f>IF(AND(_A4="A-321N",'2025'!$O$4="FO",'2025'!$O$2=BO423),'2025DATA'!$J$26,"")</f>
        <v/>
      </c>
      <c r="BP447" s="518" t="str">
        <f>IF(AND(_A4="A-321N",'2025'!$O$4="FO",'2025'!$O$2=BP423),'2025DATA'!$K$26,"")</f>
        <v/>
      </c>
      <c r="BQ447" s="518" t="str">
        <f>IF(AND(_A4="A-321N",'2025'!$O$4="FO",'2025'!$O$2=BQ423),'2025DATA'!$L$26,"")</f>
        <v/>
      </c>
      <c r="BR447" s="518" t="str">
        <f>IF(AND(_A4="A-321N",'2025'!$O$4="FO",'2025'!$O$2=BR423),'2025DATA'!$M$26,"")</f>
        <v/>
      </c>
      <c r="BS447" s="520" t="str">
        <f>IF(AND(_A4="A-321N",'2025'!$O$4="FO",'2025'!$O$2=BS423),'2025DATA'!$N$26,"")</f>
        <v/>
      </c>
      <c r="BT447" s="940"/>
      <c r="BU447" s="13" t="s">
        <v>62</v>
      </c>
      <c r="BV447" s="518" t="str">
        <f>IF(AND(_A5="A-321N",'2025'!$O$4="FO",'2025'!$O$2=BV423),'2025DATA'!$C$26,"")</f>
        <v/>
      </c>
      <c r="BW447" s="518" t="str">
        <f>IF(AND(_A5="A-321N",'2025'!$O$4="FO",'2025'!$O$2=BW423),'2025DATA'!$D$26,"")</f>
        <v/>
      </c>
      <c r="BX447" s="518" t="str">
        <f>IF(AND(_A5="A-321N",'2025'!$O$4="FO",'2025'!$O$2=BX423),'2025DATA'!$E$26,"")</f>
        <v/>
      </c>
      <c r="BY447" s="518" t="str">
        <f>IF(AND(_A5="A-321N",'2025'!$O$4="FO",'2025'!$O$2=BY423),'2025DATA'!$F$26,"")</f>
        <v/>
      </c>
      <c r="BZ447" s="518" t="str">
        <f>IF(AND(_A5="A-321N",'2025'!$O$4="FO",'2025'!$O$2=BZ423),'2025DATA'!$G$26,"")</f>
        <v/>
      </c>
      <c r="CA447" s="518" t="str">
        <f>IF(AND(_A5="A-321N",'2025'!$O$4="FO",'2025'!$O$2=CA423),'2025DATA'!$H$26,"")</f>
        <v/>
      </c>
      <c r="CB447" s="518" t="str">
        <f>IF(AND(_A5="A-321N",'2025'!$O$4="FO",'2025'!$O$2=CB423),'2025DATA'!$I$26,"")</f>
        <v/>
      </c>
      <c r="CC447" s="518" t="str">
        <f>IF(AND(_A5="A-321N",'2025'!$O$4="FO",'2025'!$O$2=CC423),'2025DATA'!$J$26,"")</f>
        <v/>
      </c>
      <c r="CD447" s="518" t="str">
        <f>IF(AND(_A5="A-321N",'2025'!$O$4="FO",'2025'!$O$2=CD423),'2025DATA'!$K$26,"")</f>
        <v/>
      </c>
      <c r="CE447" s="518" t="str">
        <f>IF(AND(_A5="A-321N",'2025'!$O$4="FO",'2025'!$O$2=CE423),'2025DATA'!$L$26,"")</f>
        <v/>
      </c>
      <c r="CF447" s="518" t="str">
        <f>IF(AND(_A5="A-321N",'2025'!$O$4="FO",'2025'!$O$2=CF423),'2025DATA'!$M$26,"")</f>
        <v/>
      </c>
      <c r="CG447" s="520" t="str">
        <f>IF(AND(_A5="A-321N",'2025'!$O$4="FO",'2025'!$O$2=CG423),'2025DATA'!$N$26,"")</f>
        <v/>
      </c>
      <c r="CH447" s="940"/>
      <c r="CI447" s="13" t="s">
        <v>62</v>
      </c>
      <c r="CJ447" s="518" t="str">
        <f>IF(AND(_A6="A-321N",'2025'!$O$4="FO",'2025'!$O$2=CJ423),'2025DATA'!$C$26,"")</f>
        <v/>
      </c>
      <c r="CK447" s="518" t="str">
        <f>IF(AND(_A6="A-321N",'2025'!$O$4="FO",'2025'!$O$2=CK423),'2025DATA'!$D$26,"")</f>
        <v/>
      </c>
      <c r="CL447" s="518" t="str">
        <f>IF(AND(_A6="A-321N",'2025'!$O$4="FO",'2025'!$O$2=CL423),'2025DATA'!$E$26,"")</f>
        <v/>
      </c>
      <c r="CM447" s="518" t="str">
        <f>IF(AND(_A6="A-321N",'2025'!$O$4="FO",'2025'!$O$2=CM423),'2025DATA'!$F$26,"")</f>
        <v/>
      </c>
      <c r="CN447" s="518" t="str">
        <f>IF(AND(_A6="A-321N",'2025'!$O$4="FO",'2025'!$O$2=CN423),'2025DATA'!$G$26,"")</f>
        <v/>
      </c>
      <c r="CO447" s="518" t="str">
        <f>IF(AND(_A6="A-321N",'2025'!$O$4="FO",'2025'!$O$2=CO423),'2025DATA'!$H$26,"")</f>
        <v/>
      </c>
      <c r="CP447" s="518" t="str">
        <f>IF(AND(_A6="A-321N",'2025'!$O$4="FO",'2025'!$O$2=CP423),'2025DATA'!$I$26,"")</f>
        <v/>
      </c>
      <c r="CQ447" s="518" t="str">
        <f>IF(AND(_A6="A-321N",'2025'!$O$4="FO",'2025'!$O$2=CQ423),'2025DATA'!$J$26,"")</f>
        <v/>
      </c>
      <c r="CR447" s="518" t="str">
        <f>IF(AND(_A6="A-321N",'2025'!$O$4="FO",'2025'!$O$2=CR423),'2025DATA'!$K$26,"")</f>
        <v/>
      </c>
      <c r="CS447" s="518" t="str">
        <f>IF(AND(_A6="A-321N",'2025'!$O$4="FO",'2025'!$O$2=CS423),'2025DATA'!$L$26,"")</f>
        <v/>
      </c>
      <c r="CT447" s="518" t="str">
        <f>IF(AND(_A6="A-321N",'2025'!$O$4="FO",'2025'!$O$2=CT423),'2025DATA'!$M$26,"")</f>
        <v/>
      </c>
      <c r="CU447" s="520" t="str">
        <f>IF(AND(_A6="A-321N",'2025'!$O$4="FO",'2025'!$O$2=CU423),'2025DATA'!$N$26,"")</f>
        <v/>
      </c>
    </row>
    <row r="448" spans="16:99" x14ac:dyDescent="0.25">
      <c r="P448" s="940" t="s">
        <v>48</v>
      </c>
      <c r="Q448" s="13" t="s">
        <v>61</v>
      </c>
      <c r="R448" s="518" t="str">
        <f>IF(AND(_A1="A-321",'2025'!$O$4="CA",'2025'!$O$2=R423),'2025DATA'!$C$27,"")</f>
        <v/>
      </c>
      <c r="S448" s="518" t="str">
        <f>IF(AND(_A1="A-321",'2025'!$O$4="CA",'2025'!$O$2=S423),'2025DATA'!$D$27,"")</f>
        <v/>
      </c>
      <c r="T448" s="518" t="str">
        <f>IF(AND(_A1="A-321",'2025'!$O$4="CA",'2025'!$O$2=T423),'2025DATA'!$E$27,"")</f>
        <v/>
      </c>
      <c r="U448" s="518" t="str">
        <f>IF(AND(_A1="A-321",'2025'!$O$4="CA",'2025'!$O$2=U423),'2025DATA'!$F$27,"")</f>
        <v/>
      </c>
      <c r="V448" s="518" t="str">
        <f>IF(AND(_A1="A-321",'2025'!$O$4="CA",'2025'!$O$2=V423),'2025DATA'!$G$27,"")</f>
        <v/>
      </c>
      <c r="W448" s="518" t="str">
        <f>IF(AND(_A1="A-321",'2025'!$O$4="CA",'2025'!$O$2=W423),'2025DATA'!$H$27,"")</f>
        <v/>
      </c>
      <c r="X448" s="518" t="str">
        <f>IF(AND(_A1="A-321",'2025'!$O$4="CA",'2025'!$O$2=X423),'2025DATA'!$I$27,"")</f>
        <v/>
      </c>
      <c r="Y448" s="518" t="str">
        <f>IF(AND(_A1="A-321",'2025'!$O$4="CA",'2025'!$O$2=Y423),'2025DATA'!$J$27,"")</f>
        <v/>
      </c>
      <c r="Z448" s="518" t="str">
        <f>IF(AND(_A1="A-321",'2025'!$O$4="CA",'2025'!$O$2=Z423),'2025DATA'!$K$27,"")</f>
        <v/>
      </c>
      <c r="AA448" s="518" t="str">
        <f>IF(AND(_A1="A-321",'2025'!$O$4="CA",'2025'!$O$2=AA423),'2025DATA'!$L$27,"")</f>
        <v/>
      </c>
      <c r="AB448" s="518" t="str">
        <f>IF(AND(_A1="A-321",'2025'!$O$4="CA",'2025'!$O$2=AB423),'2025DATA'!$M$27,"")</f>
        <v/>
      </c>
      <c r="AC448" s="520" t="str">
        <f>IF(AND(_A1="A-321",'2025'!$O$4="CA",'2025'!$O$2=AC423),'2025DATA'!$N$27,"")</f>
        <v/>
      </c>
      <c r="AD448" s="940" t="s">
        <v>48</v>
      </c>
      <c r="AE448" s="13" t="s">
        <v>61</v>
      </c>
      <c r="AF448" s="518" t="str">
        <f>IF(AND(_A2="A-321",'2025'!$O$4="CA",'2025'!$O$2=AF423),'2025DATA'!$C$27,"")</f>
        <v/>
      </c>
      <c r="AG448" s="518" t="str">
        <f>IF(AND(_A2="A-321",'2025'!$O$4="CA",'2025'!$O$2=AG423),'2025DATA'!$D$27,"")</f>
        <v/>
      </c>
      <c r="AH448" s="518" t="str">
        <f>IF(AND(_A2="A-321",'2025'!$O$4="CA",'2025'!$O$2=AH423),'2025DATA'!$E$27,"")</f>
        <v/>
      </c>
      <c r="AI448" s="518" t="str">
        <f>IF(AND(_A2="A-321",'2025'!$O$4="CA",'2025'!$O$2=AI423),'2025DATA'!$F$27,"")</f>
        <v/>
      </c>
      <c r="AJ448" s="518" t="str">
        <f>IF(AND(_A2="A-321",'2025'!$O$4="CA",'2025'!$O$2=AJ423),'2025DATA'!$G$27,"")</f>
        <v/>
      </c>
      <c r="AK448" s="518" t="str">
        <f>IF(AND(_A2="A-321",'2025'!$O$4="CA",'2025'!$O$2=AK423),'2025DATA'!$H$27,"")</f>
        <v/>
      </c>
      <c r="AL448" s="518" t="str">
        <f>IF(AND(_A2="A-321",'2025'!$O$4="CA",'2025'!$O$2=AL423),'2025DATA'!$I$27,"")</f>
        <v/>
      </c>
      <c r="AM448" s="518" t="str">
        <f>IF(AND(_A2="A-321",'2025'!$O$4="CA",'2025'!$O$2=AM423),'2025DATA'!$J$27,"")</f>
        <v/>
      </c>
      <c r="AN448" s="518" t="str">
        <f>IF(AND(_A2="A-321",'2025'!$O$4="CA",'2025'!$O$2=AN423),'2025DATA'!$K$27,"")</f>
        <v/>
      </c>
      <c r="AO448" s="518" t="str">
        <f>IF(AND(_A2="A-321",'2025'!$O$4="CA",'2025'!$O$2=AO423),'2025DATA'!$L$27,"")</f>
        <v/>
      </c>
      <c r="AP448" s="518" t="str">
        <f>IF(AND(_A2="A-321",'2025'!$O$4="CA",'2025'!$O$2=AP423),'2025DATA'!$M$27,"")</f>
        <v/>
      </c>
      <c r="AQ448" s="520" t="str">
        <f>IF(AND(_A2="A-321",'2025'!$O$4="CA",'2025'!$O$2=AQ423),'2025DATA'!$N$27,"")</f>
        <v/>
      </c>
      <c r="AR448" s="940" t="s">
        <v>48</v>
      </c>
      <c r="AS448" s="13" t="s">
        <v>61</v>
      </c>
      <c r="AT448" s="518" t="str">
        <f>IF(AND(_A3="A-321",'2025'!$O$4="CA",'2025'!$O$2=AT423),'2025DATA'!$C$27,"")</f>
        <v/>
      </c>
      <c r="AU448" s="518" t="str">
        <f>IF(AND(_A3="A-321",'2025'!$O$4="CA",'2025'!$O$2=AU423),'2025DATA'!$D$27,"")</f>
        <v/>
      </c>
      <c r="AV448" s="518" t="str">
        <f>IF(AND(_A3="A-321",'2025'!$O$4="CA",'2025'!$O$2=AV423),'2025DATA'!$E$27,"")</f>
        <v/>
      </c>
      <c r="AW448" s="518" t="str">
        <f>IF(AND(_A3="A-321",'2025'!$O$4="CA",'2025'!$O$2=AW423),'2025DATA'!$F$27,"")</f>
        <v/>
      </c>
      <c r="AX448" s="518" t="str">
        <f>IF(AND(_A3="A-321",'2025'!$O$4="CA",'2025'!$O$2=AX423),'2025DATA'!$G$27,"")</f>
        <v/>
      </c>
      <c r="AY448" s="518" t="str">
        <f>IF(AND(_A3="A-321",'2025'!$O$4="CA",'2025'!$O$2=AY423),'2025DATA'!$H$27,"")</f>
        <v/>
      </c>
      <c r="AZ448" s="518" t="str">
        <f>IF(AND(_A3="A-321",'2025'!$O$4="CA",'2025'!$O$2=AZ423),'2025DATA'!$I$27,"")</f>
        <v/>
      </c>
      <c r="BA448" s="518" t="str">
        <f>IF(AND(_A3="A-321",'2025'!$O$4="CA",'2025'!$O$2=BA423),'2025DATA'!$J$27,"")</f>
        <v/>
      </c>
      <c r="BB448" s="518" t="str">
        <f>IF(AND(_A3="A-321",'2025'!$O$4="CA",'2025'!$O$2=BB423),'2025DATA'!$K$27,"")</f>
        <v/>
      </c>
      <c r="BC448" s="518" t="str">
        <f>IF(AND(_A3="A-321",'2025'!$O$4="CA",'2025'!$O$2=BC423),'2025DATA'!$L$27,"")</f>
        <v/>
      </c>
      <c r="BD448" s="518" t="str">
        <f>IF(AND(_A3="A-321",'2025'!$O$4="CA",'2025'!$O$2=BD423),'2025DATA'!$M$27,"")</f>
        <v/>
      </c>
      <c r="BE448" s="520" t="str">
        <f>IF(AND(_A3="A-321",'2025'!$O$4="CA",'2025'!$O$2=BE423),'2025DATA'!$N$27,"")</f>
        <v/>
      </c>
      <c r="BF448" s="940" t="s">
        <v>48</v>
      </c>
      <c r="BG448" s="13" t="s">
        <v>61</v>
      </c>
      <c r="BH448" s="518" t="str">
        <f>IF(AND(_A4="A-321",'2025'!$O$4="CA",'2025'!$O$2=BH423),'2025DATA'!$C$27,"")</f>
        <v/>
      </c>
      <c r="BI448" s="518" t="str">
        <f>IF(AND(_A4="A-321",'2025'!$O$4="CA",'2025'!$O$2=BI423),'2025DATA'!$D$27,"")</f>
        <v/>
      </c>
      <c r="BJ448" s="518" t="str">
        <f>IF(AND(_A4="A-321",'2025'!$O$4="CA",'2025'!$O$2=BJ423),'2025DATA'!$E$27,"")</f>
        <v/>
      </c>
      <c r="BK448" s="518" t="str">
        <f>IF(AND(_A4="A-321",'2025'!$O$4="CA",'2025'!$O$2=BK423),'2025DATA'!$F$27,"")</f>
        <v/>
      </c>
      <c r="BL448" s="518" t="str">
        <f>IF(AND(_A4="A-321",'2025'!$O$4="CA",'2025'!$O$2=BL423),'2025DATA'!$G$27,"")</f>
        <v/>
      </c>
      <c r="BM448" s="518" t="str">
        <f>IF(AND(_A4="A-321",'2025'!$O$4="CA",'2025'!$O$2=BM423),'2025DATA'!$H$27,"")</f>
        <v/>
      </c>
      <c r="BN448" s="518" t="str">
        <f>IF(AND(_A4="A-321",'2025'!$O$4="CA",'2025'!$O$2=BN423),'2025DATA'!$I$27,"")</f>
        <v/>
      </c>
      <c r="BO448" s="518" t="str">
        <f>IF(AND(_A4="A-321",'2025'!$O$4="CA",'2025'!$O$2=BO423),'2025DATA'!$J$27,"")</f>
        <v/>
      </c>
      <c r="BP448" s="518" t="str">
        <f>IF(AND(_A4="A-321",'2025'!$O$4="CA",'2025'!$O$2=BP423),'2025DATA'!$K$27,"")</f>
        <v/>
      </c>
      <c r="BQ448" s="518" t="str">
        <f>IF(AND(_A4="A-321",'2025'!$O$4="CA",'2025'!$O$2=BQ423),'2025DATA'!$L$27,"")</f>
        <v/>
      </c>
      <c r="BR448" s="518" t="str">
        <f>IF(AND(_A4="A-321",'2025'!$O$4="CA",'2025'!$O$2=BR423),'2025DATA'!$M$27,"")</f>
        <v/>
      </c>
      <c r="BS448" s="520" t="str">
        <f>IF(AND(_A4="A-321",'2025'!$O$4="CA",'2025'!$O$2=BS423),'2025DATA'!$N$27,"")</f>
        <v/>
      </c>
      <c r="BT448" s="940" t="s">
        <v>48</v>
      </c>
      <c r="BU448" s="13" t="s">
        <v>61</v>
      </c>
      <c r="BV448" s="518" t="str">
        <f>IF(AND(_A5="A-321",'2025'!$O$4="CA",'2025'!$O$2=BV423),'2025DATA'!$C$27,"")</f>
        <v/>
      </c>
      <c r="BW448" s="518" t="str">
        <f>IF(AND(_A5="A-321",'2025'!$O$4="CA",'2025'!$O$2=BW423),'2025DATA'!$D$27,"")</f>
        <v/>
      </c>
      <c r="BX448" s="518" t="str">
        <f>IF(AND(_A5="A-321",'2025'!$O$4="CA",'2025'!$O$2=BX423),'2025DATA'!$E$27,"")</f>
        <v/>
      </c>
      <c r="BY448" s="518" t="str">
        <f>IF(AND(_A5="A-321",'2025'!$O$4="CA",'2025'!$O$2=BY423),'2025DATA'!$F$27,"")</f>
        <v/>
      </c>
      <c r="BZ448" s="518" t="str">
        <f>IF(AND(_A5="A-321",'2025'!$O$4="CA",'2025'!$O$2=BZ423),'2025DATA'!$G$27,"")</f>
        <v/>
      </c>
      <c r="CA448" s="518" t="str">
        <f>IF(AND(_A5="A-321",'2025'!$O$4="CA",'2025'!$O$2=CA423),'2025DATA'!$H$27,"")</f>
        <v/>
      </c>
      <c r="CB448" s="518" t="str">
        <f>IF(AND(_A5="A-321",'2025'!$O$4="CA",'2025'!$O$2=CB423),'2025DATA'!$I$27,"")</f>
        <v/>
      </c>
      <c r="CC448" s="518" t="str">
        <f>IF(AND(_A5="A-321",'2025'!$O$4="CA",'2025'!$O$2=CC423),'2025DATA'!$J$27,"")</f>
        <v/>
      </c>
      <c r="CD448" s="518" t="str">
        <f>IF(AND(_A5="A-321",'2025'!$O$4="CA",'2025'!$O$2=CD423),'2025DATA'!$K$27,"")</f>
        <v/>
      </c>
      <c r="CE448" s="518" t="str">
        <f>IF(AND(_A5="A-321",'2025'!$O$4="CA",'2025'!$O$2=CE423),'2025DATA'!$L$27,"")</f>
        <v/>
      </c>
      <c r="CF448" s="518" t="str">
        <f>IF(AND(_A5="A-321",'2025'!$O$4="CA",'2025'!$O$2=CF423),'2025DATA'!$M$27,"")</f>
        <v/>
      </c>
      <c r="CG448" s="520" t="str">
        <f>IF(AND(_A5="A-321",'2025'!$O$4="CA",'2025'!$O$2=CG423),'2025DATA'!$N$27,"")</f>
        <v/>
      </c>
      <c r="CH448" s="940" t="s">
        <v>48</v>
      </c>
      <c r="CI448" s="13" t="s">
        <v>61</v>
      </c>
      <c r="CJ448" s="518" t="str">
        <f>IF(AND(_A6="A-321",'2025'!$O$4="CA",'2025'!$O$2=CJ423),'2025DATA'!$C$27,"")</f>
        <v/>
      </c>
      <c r="CK448" s="518" t="str">
        <f>IF(AND(_A6="A-321",'2025'!$O$4="CA",'2025'!$O$2=CK423),'2025DATA'!$D$27,"")</f>
        <v/>
      </c>
      <c r="CL448" s="518" t="str">
        <f>IF(AND(_A6="A-321",'2025'!$O$4="CA",'2025'!$O$2=CL423),'2025DATA'!$E$27,"")</f>
        <v/>
      </c>
      <c r="CM448" s="518" t="str">
        <f>IF(AND(_A6="A-321",'2025'!$O$4="CA",'2025'!$O$2=CM423),'2025DATA'!$F$27,"")</f>
        <v/>
      </c>
      <c r="CN448" s="518" t="str">
        <f>IF(AND(_A6="A-321",'2025'!$O$4="CA",'2025'!$O$2=CN423),'2025DATA'!$G$27,"")</f>
        <v/>
      </c>
      <c r="CO448" s="518" t="str">
        <f>IF(AND(_A6="A-321",'2025'!$O$4="CA",'2025'!$O$2=CO423),'2025DATA'!$H$27,"")</f>
        <v/>
      </c>
      <c r="CP448" s="518" t="str">
        <f>IF(AND(_A6="A-321",'2025'!$O$4="CA",'2025'!$O$2=CP423),'2025DATA'!$I$27,"")</f>
        <v/>
      </c>
      <c r="CQ448" s="518" t="str">
        <f>IF(AND(_A6="A-321",'2025'!$O$4="CA",'2025'!$O$2=CQ423),'2025DATA'!$J$27,"")</f>
        <v/>
      </c>
      <c r="CR448" s="518" t="str">
        <f>IF(AND(_A6="A-321",'2025'!$O$4="CA",'2025'!$O$2=CR423),'2025DATA'!$K$27,"")</f>
        <v/>
      </c>
      <c r="CS448" s="518" t="str">
        <f>IF(AND(_A6="A-321",'2025'!$O$4="CA",'2025'!$O$2=CS423),'2025DATA'!$L$27,"")</f>
        <v/>
      </c>
      <c r="CT448" s="518" t="str">
        <f>IF(AND(_A6="A-321",'2025'!$O$4="CA",'2025'!$O$2=CT423),'2025DATA'!$M$27,"")</f>
        <v/>
      </c>
      <c r="CU448" s="520" t="str">
        <f>IF(AND(_A6="A-321",'2025'!$O$4="CA",'2025'!$O$2=CU423),'2025DATA'!$N$27,"")</f>
        <v/>
      </c>
    </row>
    <row r="449" spans="16:99" x14ac:dyDescent="0.25">
      <c r="P449" s="940"/>
      <c r="Q449" s="13" t="s">
        <v>62</v>
      </c>
      <c r="R449" s="518" t="str">
        <f>IF(AND(_A1="A-321",'2025'!$O$4="FO",'2025'!$O$2=R423),'2025DATA'!$C$28,"")</f>
        <v/>
      </c>
      <c r="S449" s="518" t="str">
        <f>IF(AND(_A1="A-321",'2025'!$O$4="FO",'2025'!$O$2=S423),'2025DATA'!$D$28,"")</f>
        <v/>
      </c>
      <c r="T449" s="518" t="str">
        <f>IF(AND(_A1="A-321",'2025'!$O$4="FO",'2025'!$O$2=T423),'2025DATA'!$E$28,"")</f>
        <v/>
      </c>
      <c r="U449" s="518" t="str">
        <f>IF(AND(_A1="A-321",'2025'!$O$4="FO",'2025'!$O$2=U423),'2025DATA'!$F$28,"")</f>
        <v/>
      </c>
      <c r="V449" s="518" t="str">
        <f>IF(AND(_A1="A-321",'2025'!$O$4="FO",'2025'!$O$2=V423),'2025DATA'!$G$28,"")</f>
        <v/>
      </c>
      <c r="W449" s="518" t="str">
        <f>IF(AND(_A1="A-321",'2025'!$O$4="FO",'2025'!$O$2=W423),'2025DATA'!$H$28,"")</f>
        <v/>
      </c>
      <c r="X449" s="518" t="str">
        <f>IF(AND(_A1="A-321",'2025'!$O$4="FO",'2025'!$O$2=X423),'2025DATA'!$I$28,"")</f>
        <v/>
      </c>
      <c r="Y449" s="518" t="str">
        <f>IF(AND(_A1="A-321",'2025'!$O$4="FO",'2025'!$O$2=Y423),'2025DATA'!$J$28,"")</f>
        <v/>
      </c>
      <c r="Z449" s="518" t="str">
        <f>IF(AND(_A1="A-321",'2025'!$O$4="FO",'2025'!$O$2=Z423),'2025DATA'!$K$28,"")</f>
        <v/>
      </c>
      <c r="AA449" s="518" t="str">
        <f>IF(AND(_A1="A-321",'2025'!$O$4="FO",'2025'!$O$2=AA423),'2025DATA'!$L$28,"")</f>
        <v/>
      </c>
      <c r="AB449" s="518" t="str">
        <f>IF(AND(_A1="A-321",'2025'!$O$4="FO",'2025'!$O$2=AB423),'2025DATA'!$M$28,"")</f>
        <v/>
      </c>
      <c r="AC449" s="520" t="str">
        <f>IF(AND(_A1="A-321",'2025'!$O$4="FO",'2025'!$O$2=AC423),'2025DATA'!$N$28,"")</f>
        <v/>
      </c>
      <c r="AD449" s="940"/>
      <c r="AE449" s="13" t="s">
        <v>62</v>
      </c>
      <c r="AF449" s="518" t="str">
        <f>IF(AND(_A2="A-321",'2025'!$O$4="FO",'2025'!$O$2=AF423),'2025DATA'!$C$28,"")</f>
        <v/>
      </c>
      <c r="AG449" s="518" t="str">
        <f>IF(AND(_A2="A-321",'2025'!$O$4="FO",'2025'!$O$2=AG423),'2025DATA'!$D$28,"")</f>
        <v/>
      </c>
      <c r="AH449" s="518" t="str">
        <f>IF(AND(_A2="A-321",'2025'!$O$4="FO",'2025'!$O$2=AH423),'2025DATA'!$E$28,"")</f>
        <v/>
      </c>
      <c r="AI449" s="518" t="str">
        <f>IF(AND(_A2="A-321",'2025'!$O$4="FO",'2025'!$O$2=AI423),'2025DATA'!$F$28,"")</f>
        <v/>
      </c>
      <c r="AJ449" s="518" t="str">
        <f>IF(AND(_A2="A-321",'2025'!$O$4="FO",'2025'!$O$2=AJ423),'2025DATA'!$G$28,"")</f>
        <v/>
      </c>
      <c r="AK449" s="518" t="str">
        <f>IF(AND(_A2="A-321",'2025'!$O$4="FO",'2025'!$O$2=AK423),'2025DATA'!$H$28,"")</f>
        <v/>
      </c>
      <c r="AL449" s="518" t="str">
        <f>IF(AND(_A2="A-321",'2025'!$O$4="FO",'2025'!$O$2=AL423),'2025DATA'!$I$28,"")</f>
        <v/>
      </c>
      <c r="AM449" s="518" t="str">
        <f>IF(AND(_A2="A-321",'2025'!$O$4="FO",'2025'!$O$2=AM423),'2025DATA'!$J$28,"")</f>
        <v/>
      </c>
      <c r="AN449" s="518" t="str">
        <f>IF(AND(_A2="A-321",'2025'!$O$4="FO",'2025'!$O$2=AN423),'2025DATA'!$K$28,"")</f>
        <v/>
      </c>
      <c r="AO449" s="518" t="str">
        <f>IF(AND(_A2="A-321",'2025'!$O$4="FO",'2025'!$O$2=AO423),'2025DATA'!$L$28,"")</f>
        <v/>
      </c>
      <c r="AP449" s="518" t="str">
        <f>IF(AND(_A2="A-321",'2025'!$O$4="FO",'2025'!$O$2=AP423),'2025DATA'!$M$28,"")</f>
        <v/>
      </c>
      <c r="AQ449" s="520" t="str">
        <f>IF(AND(_A2="A-321",'2025'!$O$4="FO",'2025'!$O$2=AQ423),'2025DATA'!$N$28,"")</f>
        <v/>
      </c>
      <c r="AR449" s="940"/>
      <c r="AS449" s="13" t="s">
        <v>62</v>
      </c>
      <c r="AT449" s="518" t="str">
        <f>IF(AND(_A3="A-321",'2025'!$O$4="FO",'2025'!$O$2=AT423),'2025DATA'!$C$28,"")</f>
        <v/>
      </c>
      <c r="AU449" s="518" t="str">
        <f>IF(AND(_A3="A-321",'2025'!$O$4="FO",'2025'!$O$2=AU423),'2025DATA'!$D$28,"")</f>
        <v/>
      </c>
      <c r="AV449" s="518" t="str">
        <f>IF(AND(_A3="A-321",'2025'!$O$4="FO",'2025'!$O$2=AV423),'2025DATA'!$E$28,"")</f>
        <v/>
      </c>
      <c r="AW449" s="518" t="str">
        <f>IF(AND(_A3="A-321",'2025'!$O$4="FO",'2025'!$O$2=AW423),'2025DATA'!$F$28,"")</f>
        <v/>
      </c>
      <c r="AX449" s="518" t="str">
        <f>IF(AND(_A3="A-321",'2025'!$O$4="FO",'2025'!$O$2=AX423),'2025DATA'!$G$28,"")</f>
        <v/>
      </c>
      <c r="AY449" s="518" t="str">
        <f>IF(AND(_A3="A-321",'2025'!$O$4="FO",'2025'!$O$2=AY423),'2025DATA'!$H$28,"")</f>
        <v/>
      </c>
      <c r="AZ449" s="518" t="str">
        <f>IF(AND(_A3="A-321",'2025'!$O$4="FO",'2025'!$O$2=AZ423),'2025DATA'!$I$28,"")</f>
        <v/>
      </c>
      <c r="BA449" s="518" t="str">
        <f>IF(AND(_A3="A-321",'2025'!$O$4="FO",'2025'!$O$2=BA423),'2025DATA'!$J$28,"")</f>
        <v/>
      </c>
      <c r="BB449" s="518" t="str">
        <f>IF(AND(_A3="A-321",'2025'!$O$4="FO",'2025'!$O$2=BB423),'2025DATA'!$K$28,"")</f>
        <v/>
      </c>
      <c r="BC449" s="518" t="str">
        <f>IF(AND(_A3="A-321",'2025'!$O$4="FO",'2025'!$O$2=BC423),'2025DATA'!$L$28,"")</f>
        <v/>
      </c>
      <c r="BD449" s="518" t="str">
        <f>IF(AND(_A3="A-321",'2025'!$O$4="FO",'2025'!$O$2=BD423),'2025DATA'!$M$28,"")</f>
        <v/>
      </c>
      <c r="BE449" s="520" t="str">
        <f>IF(AND(_A3="A-321",'2025'!$O$4="FO",'2025'!$O$2=BE423),'2025DATA'!$N$28,"")</f>
        <v/>
      </c>
      <c r="BF449" s="940"/>
      <c r="BG449" s="13" t="s">
        <v>62</v>
      </c>
      <c r="BH449" s="518" t="str">
        <f>IF(AND(_A4="A-321",'2025'!$O$4="FO",'2025'!$O$2=BH423),'2025DATA'!$C$28,"")</f>
        <v/>
      </c>
      <c r="BI449" s="518" t="str">
        <f>IF(AND(_A4="A-321",'2025'!$O$4="FO",'2025'!$O$2=BI423),'2025DATA'!$D$28,"")</f>
        <v/>
      </c>
      <c r="BJ449" s="518" t="str">
        <f>IF(AND(_A4="A-321",'2025'!$O$4="FO",'2025'!$O$2=BJ423),'2025DATA'!$E$28,"")</f>
        <v/>
      </c>
      <c r="BK449" s="518" t="str">
        <f>IF(AND(_A4="A-321",'2025'!$O$4="FO",'2025'!$O$2=BK423),'2025DATA'!$F$28,"")</f>
        <v/>
      </c>
      <c r="BL449" s="518" t="str">
        <f>IF(AND(_A4="A-321",'2025'!$O$4="FO",'2025'!$O$2=BL423),'2025DATA'!$G$28,"")</f>
        <v/>
      </c>
      <c r="BM449" s="518" t="str">
        <f>IF(AND(_A4="A-321",'2025'!$O$4="FO",'2025'!$O$2=BM423),'2025DATA'!$H$28,"")</f>
        <v/>
      </c>
      <c r="BN449" s="518" t="str">
        <f>IF(AND(_A4="A-321",'2025'!$O$4="FO",'2025'!$O$2=BN423),'2025DATA'!$I$28,"")</f>
        <v/>
      </c>
      <c r="BO449" s="518" t="str">
        <f>IF(AND(_A4="A-321",'2025'!$O$4="FO",'2025'!$O$2=BO423),'2025DATA'!$J$28,"")</f>
        <v/>
      </c>
      <c r="BP449" s="518" t="str">
        <f>IF(AND(_A4="A-321",'2025'!$O$4="FO",'2025'!$O$2=BP423),'2025DATA'!$K$28,"")</f>
        <v/>
      </c>
      <c r="BQ449" s="518" t="str">
        <f>IF(AND(_A4="A-321",'2025'!$O$4="FO",'2025'!$O$2=BQ423),'2025DATA'!$L$28,"")</f>
        <v/>
      </c>
      <c r="BR449" s="518" t="str">
        <f>IF(AND(_A4="A-321",'2025'!$O$4="FO",'2025'!$O$2=BR423),'2025DATA'!$M$28,"")</f>
        <v/>
      </c>
      <c r="BS449" s="520" t="str">
        <f>IF(AND(_A4="A-321",'2025'!$O$4="FO",'2025'!$O$2=BS423),'2025DATA'!$N$28,"")</f>
        <v/>
      </c>
      <c r="BT449" s="940"/>
      <c r="BU449" s="13" t="s">
        <v>62</v>
      </c>
      <c r="BV449" s="518" t="str">
        <f>IF(AND(_A5="A-321",'2025'!$O$4="FO",'2025'!$O$2=BV423),'2025DATA'!$C$28,"")</f>
        <v/>
      </c>
      <c r="BW449" s="518" t="str">
        <f>IF(AND(_A5="A-321",'2025'!$O$4="FO",'2025'!$O$2=BW423),'2025DATA'!$D$28,"")</f>
        <v/>
      </c>
      <c r="BX449" s="518" t="str">
        <f>IF(AND(_A5="A-321",'2025'!$O$4="FO",'2025'!$O$2=BX423),'2025DATA'!$E$28,"")</f>
        <v/>
      </c>
      <c r="BY449" s="518" t="str">
        <f>IF(AND(_A5="A-321",'2025'!$O$4="FO",'2025'!$O$2=BY423),'2025DATA'!$F$28,"")</f>
        <v/>
      </c>
      <c r="BZ449" s="518" t="str">
        <f>IF(AND(_A5="A-321",'2025'!$O$4="FO",'2025'!$O$2=BZ423),'2025DATA'!$G$28,"")</f>
        <v/>
      </c>
      <c r="CA449" s="518" t="str">
        <f>IF(AND(_A5="A-321",'2025'!$O$4="FO",'2025'!$O$2=CA423),'2025DATA'!$H$28,"")</f>
        <v/>
      </c>
      <c r="CB449" s="518" t="str">
        <f>IF(AND(_A5="A-321",'2025'!$O$4="FO",'2025'!$O$2=CB423),'2025DATA'!$I$28,"")</f>
        <v/>
      </c>
      <c r="CC449" s="518" t="str">
        <f>IF(AND(_A5="A-321",'2025'!$O$4="FO",'2025'!$O$2=CC423),'2025DATA'!$J$28,"")</f>
        <v/>
      </c>
      <c r="CD449" s="518" t="str">
        <f>IF(AND(_A5="A-321",'2025'!$O$4="FO",'2025'!$O$2=CD423),'2025DATA'!$K$28,"")</f>
        <v/>
      </c>
      <c r="CE449" s="518" t="str">
        <f>IF(AND(_A5="A-321",'2025'!$O$4="FO",'2025'!$O$2=CE423),'2025DATA'!$L$28,"")</f>
        <v/>
      </c>
      <c r="CF449" s="518" t="str">
        <f>IF(AND(_A5="A-321",'2025'!$O$4="FO",'2025'!$O$2=CF423),'2025DATA'!$M$28,"")</f>
        <v/>
      </c>
      <c r="CG449" s="520" t="str">
        <f>IF(AND(_A5="A-321",'2025'!$O$4="FO",'2025'!$O$2=CG423),'2025DATA'!$N$28,"")</f>
        <v/>
      </c>
      <c r="CH449" s="940"/>
      <c r="CI449" s="13" t="s">
        <v>62</v>
      </c>
      <c r="CJ449" s="518" t="str">
        <f>IF(AND(_A6="A-321",'2025'!$O$4="FO",'2025'!$O$2=CJ423),'2025DATA'!$C$28,"")</f>
        <v/>
      </c>
      <c r="CK449" s="518" t="str">
        <f>IF(AND(_A6="A-321",'2025'!$O$4="FO",'2025'!$O$2=CK423),'2025DATA'!$D$28,"")</f>
        <v/>
      </c>
      <c r="CL449" s="518" t="str">
        <f>IF(AND(_A6="A-321",'2025'!$O$4="FO",'2025'!$O$2=CL423),'2025DATA'!$E$28,"")</f>
        <v/>
      </c>
      <c r="CM449" s="518" t="str">
        <f>IF(AND(_A6="A-321",'2025'!$O$4="FO",'2025'!$O$2=CM423),'2025DATA'!$F$28,"")</f>
        <v/>
      </c>
      <c r="CN449" s="518" t="str">
        <f>IF(AND(_A6="A-321",'2025'!$O$4="FO",'2025'!$O$2=CN423),'2025DATA'!$G$28,"")</f>
        <v/>
      </c>
      <c r="CO449" s="518" t="str">
        <f>IF(AND(_A6="A-321",'2025'!$O$4="FO",'2025'!$O$2=CO423),'2025DATA'!$H$28,"")</f>
        <v/>
      </c>
      <c r="CP449" s="518" t="str">
        <f>IF(AND(_A6="A-321",'2025'!$O$4="FO",'2025'!$O$2=CP423),'2025DATA'!$I$28,"")</f>
        <v/>
      </c>
      <c r="CQ449" s="518" t="str">
        <f>IF(AND(_A6="A-321",'2025'!$O$4="FO",'2025'!$O$2=CQ423),'2025DATA'!$J$28,"")</f>
        <v/>
      </c>
      <c r="CR449" s="518" t="str">
        <f>IF(AND(_A6="A-321",'2025'!$O$4="FO",'2025'!$O$2=CR423),'2025DATA'!$K$28,"")</f>
        <v/>
      </c>
      <c r="CS449" s="518" t="str">
        <f>IF(AND(_A6="A-321",'2025'!$O$4="FO",'2025'!$O$2=CS423),'2025DATA'!$L$28,"")</f>
        <v/>
      </c>
      <c r="CT449" s="518" t="str">
        <f>IF(AND(_A6="A-321",'2025'!$O$4="FO",'2025'!$O$2=CT423),'2025DATA'!$M$28,"")</f>
        <v/>
      </c>
      <c r="CU449" s="520" t="str">
        <f>IF(AND(_A6="A-321",'2025'!$O$4="FO",'2025'!$O$2=CU423),'2025DATA'!$N$28,"")</f>
        <v/>
      </c>
    </row>
    <row r="450" spans="16:99" x14ac:dyDescent="0.25">
      <c r="P450" s="940" t="s">
        <v>70</v>
      </c>
      <c r="Q450" s="13" t="s">
        <v>61</v>
      </c>
      <c r="R450" s="518" t="str">
        <f>IF(AND(_A1="A-320",'2025'!$O$4="CA",'2025'!$O$2=R423),'2025DATA'!$C$29,"")</f>
        <v/>
      </c>
      <c r="S450" s="518" t="str">
        <f>IF(AND(_A1="A-320",'2025'!$O$4="CA",'2025'!$O$2=S423),'2025DATA'!$D$29,"")</f>
        <v/>
      </c>
      <c r="T450" s="518" t="str">
        <f>IF(AND(_A1="A-320",'2025'!$O$4="CA",'2025'!$O$2=T423),'2025DATA'!$E$29,"")</f>
        <v/>
      </c>
      <c r="U450" s="518" t="str">
        <f>IF(AND(_A1="A-320",'2025'!$O$4="CA",'2025'!$O$2=U423),'2025DATA'!$F$29,"")</f>
        <v/>
      </c>
      <c r="V450" s="518" t="str">
        <f>IF(AND(_A1="A-320",'2025'!$O$4="CA",'2025'!$O$2=V423),'2025DATA'!$G$29,"")</f>
        <v/>
      </c>
      <c r="W450" s="518" t="str">
        <f>IF(AND(_A1="A-320",'2025'!$O$4="CA",'2025'!$O$2=W423),'2025DATA'!$H$29,"")</f>
        <v/>
      </c>
      <c r="X450" s="518" t="str">
        <f>IF(AND(_A1="A-320",'2025'!$O$4="CA",'2025'!$O$2=X423),'2025DATA'!$I$29,"")</f>
        <v/>
      </c>
      <c r="Y450" s="518" t="str">
        <f>IF(AND(_A1="A-320",'2025'!$O$4="CA",'2025'!$O$2=Y423),'2025DATA'!$J$29,"")</f>
        <v/>
      </c>
      <c r="Z450" s="518" t="str">
        <f>IF(AND(_A1="A-320",'2025'!$O$4="CA",'2025'!$O$2=Z423),'2025DATA'!$K$29,"")</f>
        <v/>
      </c>
      <c r="AA450" s="518" t="str">
        <f>IF(AND(_A1="A-320",'2025'!$O$4="CA",'2025'!$O$2=AA423),'2025DATA'!$L$29,"")</f>
        <v/>
      </c>
      <c r="AB450" s="518" t="str">
        <f>IF(AND(_A1="A-320",'2025'!$O$4="CA",'2025'!$O$2=AB423),'2025DATA'!$M$29,"")</f>
        <v/>
      </c>
      <c r="AC450" s="520" t="str">
        <f>IF(AND(_A1="A-320",'2025'!$O$4="CA",'2025'!$O$2=AC423),'2025DATA'!$N$29,"")</f>
        <v/>
      </c>
      <c r="AD450" s="940" t="s">
        <v>70</v>
      </c>
      <c r="AE450" s="13" t="s">
        <v>61</v>
      </c>
      <c r="AF450" s="518" t="str">
        <f>IF(AND(_A2="A-320",'2025'!$O$4="CA",'2025'!$O$2=AF423),'2025DATA'!$C$29,"")</f>
        <v/>
      </c>
      <c r="AG450" s="518" t="str">
        <f>IF(AND(_A2="A-320",'2025'!$O$4="CA",'2025'!$O$2=AG423),'2025DATA'!$D$29,"")</f>
        <v/>
      </c>
      <c r="AH450" s="518" t="str">
        <f>IF(AND(_A2="A-320",'2025'!$O$4="CA",'2025'!$O$2=AH423),'2025DATA'!$E$29,"")</f>
        <v/>
      </c>
      <c r="AI450" s="518" t="str">
        <f>IF(AND(_A2="A-320",'2025'!$O$4="CA",'2025'!$O$2=AI423),'2025DATA'!$F$29,"")</f>
        <v/>
      </c>
      <c r="AJ450" s="518" t="str">
        <f>IF(AND(_A2="A-320",'2025'!$O$4="CA",'2025'!$O$2=AJ423),'2025DATA'!$G$29,"")</f>
        <v/>
      </c>
      <c r="AK450" s="518" t="str">
        <f>IF(AND(_A2="A-320",'2025'!$O$4="CA",'2025'!$O$2=AK423),'2025DATA'!$H$29,"")</f>
        <v/>
      </c>
      <c r="AL450" s="518" t="str">
        <f>IF(AND(_A2="A-320",'2025'!$O$4="CA",'2025'!$O$2=AL423),'2025DATA'!$I$29,"")</f>
        <v/>
      </c>
      <c r="AM450" s="518" t="str">
        <f>IF(AND(_A2="A-320",'2025'!$O$4="CA",'2025'!$O$2=AM423),'2025DATA'!$J$29,"")</f>
        <v/>
      </c>
      <c r="AN450" s="518" t="str">
        <f>IF(AND(_A2="A-320",'2025'!$O$4="CA",'2025'!$O$2=AN423),'2025DATA'!$K$29,"")</f>
        <v/>
      </c>
      <c r="AO450" s="518" t="str">
        <f>IF(AND(_A2="A-320",'2025'!$O$4="CA",'2025'!$O$2=AO423),'2025DATA'!$L$29,"")</f>
        <v/>
      </c>
      <c r="AP450" s="518" t="str">
        <f>IF(AND(_A2="A-320",'2025'!$O$4="CA",'2025'!$O$2=AP423),'2025DATA'!$M$29,"")</f>
        <v/>
      </c>
      <c r="AQ450" s="520" t="str">
        <f>IF(AND(_A2="A-320",'2025'!$O$4="CA",'2025'!$O$2=AQ423),'2025DATA'!$N$29,"")</f>
        <v/>
      </c>
      <c r="AR450" s="940" t="s">
        <v>70</v>
      </c>
      <c r="AS450" s="13" t="s">
        <v>61</v>
      </c>
      <c r="AT450" s="518" t="str">
        <f>IF(AND(_A3="A-320",'2025'!$O$4="CA",'2025'!$O$2=AT423),'2025DATA'!$C$29,"")</f>
        <v/>
      </c>
      <c r="AU450" s="518" t="str">
        <f>IF(AND(_A3="A-320",'2025'!$O$4="CA",'2025'!$O$2=AU423),'2025DATA'!$D$29,"")</f>
        <v/>
      </c>
      <c r="AV450" s="518" t="str">
        <f>IF(AND(_A3="A-320",'2025'!$O$4="CA",'2025'!$O$2=AV423),'2025DATA'!$E$29,"")</f>
        <v/>
      </c>
      <c r="AW450" s="518" t="str">
        <f>IF(AND(_A3="A-320",'2025'!$O$4="CA",'2025'!$O$2=AW423),'2025DATA'!$F$29,"")</f>
        <v/>
      </c>
      <c r="AX450" s="518" t="str">
        <f>IF(AND(_A3="A-320",'2025'!$O$4="CA",'2025'!$O$2=AX423),'2025DATA'!$G$29,"")</f>
        <v/>
      </c>
      <c r="AY450" s="518" t="str">
        <f>IF(AND(_A3="A-320",'2025'!$O$4="CA",'2025'!$O$2=AY423),'2025DATA'!$H$29,"")</f>
        <v/>
      </c>
      <c r="AZ450" s="518" t="str">
        <f>IF(AND(_A3="A-320",'2025'!$O$4="CA",'2025'!$O$2=AZ423),'2025DATA'!$I$29,"")</f>
        <v/>
      </c>
      <c r="BA450" s="518" t="str">
        <f>IF(AND(_A3="A-320",'2025'!$O$4="CA",'2025'!$O$2=BA423),'2025DATA'!$J$29,"")</f>
        <v/>
      </c>
      <c r="BB450" s="518" t="str">
        <f>IF(AND(_A3="A-320",'2025'!$O$4="CA",'2025'!$O$2=BB423),'2025DATA'!$K$29,"")</f>
        <v/>
      </c>
      <c r="BC450" s="518" t="str">
        <f>IF(AND(_A3="A-320",'2025'!$O$4="CA",'2025'!$O$2=BC423),'2025DATA'!$L$29,"")</f>
        <v/>
      </c>
      <c r="BD450" s="518" t="str">
        <f>IF(AND(_A3="A-320",'2025'!$O$4="CA",'2025'!$O$2=BD423),'2025DATA'!$M$29,"")</f>
        <v/>
      </c>
      <c r="BE450" s="520" t="str">
        <f>IF(AND(_A3="A-320",'2025'!$O$4="CA",'2025'!$O$2=BE423),'2025DATA'!$N$29,"")</f>
        <v/>
      </c>
      <c r="BF450" s="940" t="s">
        <v>70</v>
      </c>
      <c r="BG450" s="13" t="s">
        <v>61</v>
      </c>
      <c r="BH450" s="518" t="str">
        <f>IF(AND(_A4="A-320",'2025'!$O$4="CA",'2025'!$O$2=BH423),'2025DATA'!$C$29,"")</f>
        <v/>
      </c>
      <c r="BI450" s="518" t="str">
        <f>IF(AND(_A4="A-320",'2025'!$O$4="CA",'2025'!$O$2=BI423),'2025DATA'!$D$29,"")</f>
        <v/>
      </c>
      <c r="BJ450" s="518" t="str">
        <f>IF(AND(_A4="A-320",'2025'!$O$4="CA",'2025'!$O$2=BJ423),'2025DATA'!$E$29,"")</f>
        <v/>
      </c>
      <c r="BK450" s="518" t="str">
        <f>IF(AND(_A4="A-320",'2025'!$O$4="CA",'2025'!$O$2=BK423),'2025DATA'!$F$29,"")</f>
        <v/>
      </c>
      <c r="BL450" s="518" t="str">
        <f>IF(AND(_A4="A-320",'2025'!$O$4="CA",'2025'!$O$2=BL423),'2025DATA'!$G$29,"")</f>
        <v/>
      </c>
      <c r="BM450" s="518" t="str">
        <f>IF(AND(_A4="A-320",'2025'!$O$4="CA",'2025'!$O$2=BM423),'2025DATA'!$H$29,"")</f>
        <v/>
      </c>
      <c r="BN450" s="518" t="str">
        <f>IF(AND(_A4="A-320",'2025'!$O$4="CA",'2025'!$O$2=BN423),'2025DATA'!$I$29,"")</f>
        <v/>
      </c>
      <c r="BO450" s="518" t="str">
        <f>IF(AND(_A4="A-320",'2025'!$O$4="CA",'2025'!$O$2=BO423),'2025DATA'!$J$29,"")</f>
        <v/>
      </c>
      <c r="BP450" s="518" t="str">
        <f>IF(AND(_A4="A-320",'2025'!$O$4="CA",'2025'!$O$2=BP423),'2025DATA'!$K$29,"")</f>
        <v/>
      </c>
      <c r="BQ450" s="518" t="str">
        <f>IF(AND(_A4="A-320",'2025'!$O$4="CA",'2025'!$O$2=BQ423),'2025DATA'!$L$29,"")</f>
        <v/>
      </c>
      <c r="BR450" s="518" t="str">
        <f>IF(AND(_A4="A-320",'2025'!$O$4="CA",'2025'!$O$2=BR423),'2025DATA'!$M$29,"")</f>
        <v/>
      </c>
      <c r="BS450" s="520" t="str">
        <f>IF(AND(_A4="A-320",'2025'!$O$4="CA",'2025'!$O$2=BS423),'2025DATA'!$N$29,"")</f>
        <v/>
      </c>
      <c r="BT450" s="940" t="s">
        <v>70</v>
      </c>
      <c r="BU450" s="13" t="s">
        <v>61</v>
      </c>
      <c r="BV450" s="518" t="str">
        <f>IF(AND(_A5="A-320",'2025'!$O$4="CA",'2025'!$O$2=BV423),'2025DATA'!$C$29,"")</f>
        <v/>
      </c>
      <c r="BW450" s="518" t="str">
        <f>IF(AND(_A5="A-320",'2025'!$O$4="CA",'2025'!$O$2=BW423),'2025DATA'!$D$29,"")</f>
        <v/>
      </c>
      <c r="BX450" s="518" t="str">
        <f>IF(AND(_A5="A-320",'2025'!$O$4="CA",'2025'!$O$2=BX423),'2025DATA'!$E$29,"")</f>
        <v/>
      </c>
      <c r="BY450" s="518" t="str">
        <f>IF(AND(_A5="A-320",'2025'!$O$4="CA",'2025'!$O$2=BY423),'2025DATA'!$F$29,"")</f>
        <v/>
      </c>
      <c r="BZ450" s="518" t="str">
        <f>IF(AND(_A5="A-320",'2025'!$O$4="CA",'2025'!$O$2=BZ423),'2025DATA'!$G$29,"")</f>
        <v/>
      </c>
      <c r="CA450" s="518" t="str">
        <f>IF(AND(_A5="A-320",'2025'!$O$4="CA",'2025'!$O$2=CA423),'2025DATA'!$H$29,"")</f>
        <v/>
      </c>
      <c r="CB450" s="518" t="str">
        <f>IF(AND(_A5="A-320",'2025'!$O$4="CA",'2025'!$O$2=CB423),'2025DATA'!$I$29,"")</f>
        <v/>
      </c>
      <c r="CC450" s="518" t="str">
        <f>IF(AND(_A5="A-320",'2025'!$O$4="CA",'2025'!$O$2=CC423),'2025DATA'!$J$29,"")</f>
        <v/>
      </c>
      <c r="CD450" s="518" t="str">
        <f>IF(AND(_A5="A-320",'2025'!$O$4="CA",'2025'!$O$2=CD423),'2025DATA'!$K$29,"")</f>
        <v/>
      </c>
      <c r="CE450" s="518" t="str">
        <f>IF(AND(_A5="A-320",'2025'!$O$4="CA",'2025'!$O$2=CE423),'2025DATA'!$L$29,"")</f>
        <v/>
      </c>
      <c r="CF450" s="518" t="str">
        <f>IF(AND(_A5="A-320",'2025'!$O$4="CA",'2025'!$O$2=CF423),'2025DATA'!$M$29,"")</f>
        <v/>
      </c>
      <c r="CG450" s="520" t="str">
        <f>IF(AND(_A5="A-320",'2025'!$O$4="CA",'2025'!$O$2=CG423),'2025DATA'!$N$29,"")</f>
        <v/>
      </c>
      <c r="CH450" s="940" t="s">
        <v>70</v>
      </c>
      <c r="CI450" s="13" t="s">
        <v>61</v>
      </c>
      <c r="CJ450" s="518" t="str">
        <f>IF(AND(_A6="A-320",'2025'!$O$4="CA",'2025'!$O$2=CJ423),'2025DATA'!$C$29,"")</f>
        <v/>
      </c>
      <c r="CK450" s="518" t="str">
        <f>IF(AND(_A6="A-320",'2025'!$O$4="CA",'2025'!$O$2=CK423),'2025DATA'!$D$29,"")</f>
        <v/>
      </c>
      <c r="CL450" s="518" t="str">
        <f>IF(AND(_A6="A-320",'2025'!$O$4="CA",'2025'!$O$2=CL423),'2025DATA'!$E$29,"")</f>
        <v/>
      </c>
      <c r="CM450" s="518" t="str">
        <f>IF(AND(_A6="A-320",'2025'!$O$4="CA",'2025'!$O$2=CM423),'2025DATA'!$F$29,"")</f>
        <v/>
      </c>
      <c r="CN450" s="518" t="str">
        <f>IF(AND(_A6="A-320",'2025'!$O$4="CA",'2025'!$O$2=CN423),'2025DATA'!$G$29,"")</f>
        <v/>
      </c>
      <c r="CO450" s="518" t="str">
        <f>IF(AND(_A6="A-320",'2025'!$O$4="CA",'2025'!$O$2=CO423),'2025DATA'!$H$29,"")</f>
        <v/>
      </c>
      <c r="CP450" s="518" t="str">
        <f>IF(AND(_A6="A-320",'2025'!$O$4="CA",'2025'!$O$2=CP423),'2025DATA'!$I$29,"")</f>
        <v/>
      </c>
      <c r="CQ450" s="518" t="str">
        <f>IF(AND(_A6="A-320",'2025'!$O$4="CA",'2025'!$O$2=CQ423),'2025DATA'!$J$29,"")</f>
        <v/>
      </c>
      <c r="CR450" s="518" t="str">
        <f>IF(AND(_A6="A-320",'2025'!$O$4="CA",'2025'!$O$2=CR423),'2025DATA'!$K$29,"")</f>
        <v/>
      </c>
      <c r="CS450" s="518" t="str">
        <f>IF(AND(_A6="A-320",'2025'!$O$4="CA",'2025'!$O$2=CS423),'2025DATA'!$L$29,"")</f>
        <v/>
      </c>
      <c r="CT450" s="518" t="str">
        <f>IF(AND(_A6="A-320",'2025'!$O$4="CA",'2025'!$O$2=CT423),'2025DATA'!$M$29,"")</f>
        <v/>
      </c>
      <c r="CU450" s="520" t="str">
        <f>IF(AND(_A6="A-320",'2025'!$O$4="CA",'2025'!$O$2=CU423),'2025DATA'!$N$29,"")</f>
        <v/>
      </c>
    </row>
    <row r="451" spans="16:99" x14ac:dyDescent="0.25">
      <c r="P451" s="940"/>
      <c r="Q451" s="13" t="s">
        <v>62</v>
      </c>
      <c r="R451" s="518" t="str">
        <f>IF(AND(_A1="A-320",'2025'!$O$4="FO",'2025'!$O$2=R423),'2025DATA'!$C$30,"")</f>
        <v/>
      </c>
      <c r="S451" s="518" t="str">
        <f>IF(AND(_A1="A-320",'2025'!$O$4="FO",'2025'!$O$2=S423),'2025DATA'!$D$30,"")</f>
        <v/>
      </c>
      <c r="T451" s="518" t="str">
        <f>IF(AND(_A1="A-320",'2025'!$O$4="FO",'2025'!$O$2=T423),'2025DATA'!$E$30,"")</f>
        <v/>
      </c>
      <c r="U451" s="518" t="str">
        <f>IF(AND(_A1="A-320",'2025'!$O$4="FO",'2025'!$O$2=U423),'2025DATA'!$F$30,"")</f>
        <v/>
      </c>
      <c r="V451" s="518" t="str">
        <f>IF(AND(_A1="A-320",'2025'!$O$4="FO",'2025'!$O$2=V423),'2025DATA'!$G$30,"")</f>
        <v/>
      </c>
      <c r="W451" s="518" t="str">
        <f>IF(AND(_A1="A-320",'2025'!$O$4="FO",'2025'!$O$2=W423),'2025DATA'!$H$30,"")</f>
        <v/>
      </c>
      <c r="X451" s="518" t="str">
        <f>IF(AND(_A1="A-320",'2025'!$O$4="FO",'2025'!$O$2=X423),'2025DATA'!$I$30,"")</f>
        <v/>
      </c>
      <c r="Y451" s="518" t="str">
        <f>IF(AND(_A1="A-320",'2025'!$O$4="FO",'2025'!$O$2=Y423),'2025DATA'!$J$30,"")</f>
        <v/>
      </c>
      <c r="Z451" s="518" t="str">
        <f>IF(AND(_A1="A-320",'2025'!$O$4="FO",'2025'!$O$2=Z423),'2025DATA'!$K$30,"")</f>
        <v/>
      </c>
      <c r="AA451" s="518" t="str">
        <f>IF(AND(_A1="A-320",'2025'!$O$4="FO",'2025'!$O$2=AA423),'2025DATA'!$L$30,"")</f>
        <v/>
      </c>
      <c r="AB451" s="518" t="str">
        <f>IF(AND(_A1="A-320",'2025'!$O$4="FO",'2025'!$O$2=AB423),'2025DATA'!$M$30,"")</f>
        <v/>
      </c>
      <c r="AC451" s="520" t="str">
        <f>IF(AND(_A1="A-320",'2025'!$O$4="FO",'2025'!$O$2=AC423),'2025DATA'!$N$30,"")</f>
        <v/>
      </c>
      <c r="AD451" s="940"/>
      <c r="AE451" s="13" t="s">
        <v>62</v>
      </c>
      <c r="AF451" s="518" t="str">
        <f>IF(AND(_A2="A-320",'2025'!$O$4="FO",'2025'!$O$2=AF423),'2025DATA'!$C$30,"")</f>
        <v/>
      </c>
      <c r="AG451" s="518" t="str">
        <f>IF(AND(_A2="A-320",'2025'!$O$4="FO",'2025'!$O$2=AG423),'2025DATA'!$D$30,"")</f>
        <v/>
      </c>
      <c r="AH451" s="518" t="str">
        <f>IF(AND(_A2="A-320",'2025'!$O$4="FO",'2025'!$O$2=AH423),'2025DATA'!$E$30,"")</f>
        <v/>
      </c>
      <c r="AI451" s="518" t="str">
        <f>IF(AND(_A2="A-320",'2025'!$O$4="FO",'2025'!$O$2=AI423),'2025DATA'!$F$30,"")</f>
        <v/>
      </c>
      <c r="AJ451" s="518" t="str">
        <f>IF(AND(_A2="A-320",'2025'!$O$4="FO",'2025'!$O$2=AJ423),'2025DATA'!$G$30,"")</f>
        <v/>
      </c>
      <c r="AK451" s="518" t="str">
        <f>IF(AND(_A2="A-320",'2025'!$O$4="FO",'2025'!$O$2=AK423),'2025DATA'!$H$30,"")</f>
        <v/>
      </c>
      <c r="AL451" s="518" t="str">
        <f>IF(AND(_A2="A-320",'2025'!$O$4="FO",'2025'!$O$2=AL423),'2025DATA'!$I$30,"")</f>
        <v/>
      </c>
      <c r="AM451" s="518" t="str">
        <f>IF(AND(_A2="A-320",'2025'!$O$4="FO",'2025'!$O$2=AM423),'2025DATA'!$J$30,"")</f>
        <v/>
      </c>
      <c r="AN451" s="518" t="str">
        <f>IF(AND(_A2="A-320",'2025'!$O$4="FO",'2025'!$O$2=AN423),'2025DATA'!$K$30,"")</f>
        <v/>
      </c>
      <c r="AO451" s="518" t="str">
        <f>IF(AND(_A2="A-320",'2025'!$O$4="FO",'2025'!$O$2=AO423),'2025DATA'!$L$30,"")</f>
        <v/>
      </c>
      <c r="AP451" s="518" t="str">
        <f>IF(AND(_A2="A-320",'2025'!$O$4="FO",'2025'!$O$2=AP423),'2025DATA'!$M$30,"")</f>
        <v/>
      </c>
      <c r="AQ451" s="520" t="str">
        <f>IF(AND(_A2="A-320",'2025'!$O$4="FO",'2025'!$O$2=AQ423),'2025DATA'!$N$30,"")</f>
        <v/>
      </c>
      <c r="AR451" s="940"/>
      <c r="AS451" s="13" t="s">
        <v>62</v>
      </c>
      <c r="AT451" s="518" t="str">
        <f>IF(AND(_A3="A-320",'2025'!$O$4="FO",'2025'!$O$2=AT423),'2025DATA'!$C$30,"")</f>
        <v/>
      </c>
      <c r="AU451" s="518" t="str">
        <f>IF(AND(_A3="A-320",'2025'!$O$4="FO",'2025'!$O$2=AU423),'2025DATA'!$D$30,"")</f>
        <v/>
      </c>
      <c r="AV451" s="518" t="str">
        <f>IF(AND(_A3="A-320",'2025'!$O$4="FO",'2025'!$O$2=AV423),'2025DATA'!$E$30,"")</f>
        <v/>
      </c>
      <c r="AW451" s="518" t="str">
        <f>IF(AND(_A3="A-320",'2025'!$O$4="FO",'2025'!$O$2=AW423),'2025DATA'!$F$30,"")</f>
        <v/>
      </c>
      <c r="AX451" s="518" t="str">
        <f>IF(AND(_A3="A-320",'2025'!$O$4="FO",'2025'!$O$2=AX423),'2025DATA'!$G$30,"")</f>
        <v/>
      </c>
      <c r="AY451" s="518" t="str">
        <f>IF(AND(_A3="A-320",'2025'!$O$4="FO",'2025'!$O$2=AY423),'2025DATA'!$H$30,"")</f>
        <v/>
      </c>
      <c r="AZ451" s="518" t="str">
        <f>IF(AND(_A3="A-320",'2025'!$O$4="FO",'2025'!$O$2=AZ423),'2025DATA'!$I$30,"")</f>
        <v/>
      </c>
      <c r="BA451" s="518" t="str">
        <f>IF(AND(_A3="A-320",'2025'!$O$4="FO",'2025'!$O$2=BA423),'2025DATA'!$J$30,"")</f>
        <v/>
      </c>
      <c r="BB451" s="518" t="str">
        <f>IF(AND(_A3="A-320",'2025'!$O$4="FO",'2025'!$O$2=BB423),'2025DATA'!$K$30,"")</f>
        <v/>
      </c>
      <c r="BC451" s="518" t="str">
        <f>IF(AND(_A3="A-320",'2025'!$O$4="FO",'2025'!$O$2=BC423),'2025DATA'!$L$30,"")</f>
        <v/>
      </c>
      <c r="BD451" s="518" t="str">
        <f>IF(AND(_A3="A-320",'2025'!$O$4="FO",'2025'!$O$2=BD423),'2025DATA'!$M$30,"")</f>
        <v/>
      </c>
      <c r="BE451" s="520" t="str">
        <f>IF(AND(_A3="A-320",'2025'!$O$4="FO",'2025'!$O$2=BE423),'2025DATA'!$N$30,"")</f>
        <v/>
      </c>
      <c r="BF451" s="940"/>
      <c r="BG451" s="13" t="s">
        <v>62</v>
      </c>
      <c r="BH451" s="518" t="str">
        <f>IF(AND(_A4="A-320",'2025'!$O$4="FO",'2025'!$O$2=BH423),'2025DATA'!$C$30,"")</f>
        <v/>
      </c>
      <c r="BI451" s="518" t="str">
        <f>IF(AND(_A4="A-320",'2025'!$O$4="FO",'2025'!$O$2=BI423),'2025DATA'!$D$30,"")</f>
        <v/>
      </c>
      <c r="BJ451" s="518" t="str">
        <f>IF(AND(_A4="A-320",'2025'!$O$4="FO",'2025'!$O$2=BJ423),'2025DATA'!$E$30,"")</f>
        <v/>
      </c>
      <c r="BK451" s="518" t="str">
        <f>IF(AND(_A4="A-320",'2025'!$O$4="FO",'2025'!$O$2=BK423),'2025DATA'!$F$30,"")</f>
        <v/>
      </c>
      <c r="BL451" s="518" t="str">
        <f>IF(AND(_A4="A-320",'2025'!$O$4="FO",'2025'!$O$2=BL423),'2025DATA'!$G$30,"")</f>
        <v/>
      </c>
      <c r="BM451" s="518" t="str">
        <f>IF(AND(_A4="A-320",'2025'!$O$4="FO",'2025'!$O$2=BM423),'2025DATA'!$H$30,"")</f>
        <v/>
      </c>
      <c r="BN451" s="518" t="str">
        <f>IF(AND(_A4="A-320",'2025'!$O$4="FO",'2025'!$O$2=BN423),'2025DATA'!$I$30,"")</f>
        <v/>
      </c>
      <c r="BO451" s="518" t="str">
        <f>IF(AND(_A4="A-320",'2025'!$O$4="FO",'2025'!$O$2=BO423),'2025DATA'!$J$30,"")</f>
        <v/>
      </c>
      <c r="BP451" s="518" t="str">
        <f>IF(AND(_A4="A-320",'2025'!$O$4="FO",'2025'!$O$2=BP423),'2025DATA'!$K$30,"")</f>
        <v/>
      </c>
      <c r="BQ451" s="518" t="str">
        <f>IF(AND(_A4="A-320",'2025'!$O$4="FO",'2025'!$O$2=BQ423),'2025DATA'!$L$30,"")</f>
        <v/>
      </c>
      <c r="BR451" s="518" t="str">
        <f>IF(AND(_A4="A-320",'2025'!$O$4="FO",'2025'!$O$2=BR423),'2025DATA'!$M$30,"")</f>
        <v/>
      </c>
      <c r="BS451" s="520" t="str">
        <f>IF(AND(_A4="A-320",'2025'!$O$4="FO",'2025'!$O$2=BS423),'2025DATA'!$N$30,"")</f>
        <v/>
      </c>
      <c r="BT451" s="940"/>
      <c r="BU451" s="13" t="s">
        <v>62</v>
      </c>
      <c r="BV451" s="518" t="str">
        <f>IF(AND(_A5="A-320",'2025'!$O$4="FO",'2025'!$O$2=BV423),'2025DATA'!$C$30,"")</f>
        <v/>
      </c>
      <c r="BW451" s="518" t="str">
        <f>IF(AND(_A5="A-320",'2025'!$O$4="FO",'2025'!$O$2=BW423),'2025DATA'!$D$30,"")</f>
        <v/>
      </c>
      <c r="BX451" s="518" t="str">
        <f>IF(AND(_A5="A-320",'2025'!$O$4="FO",'2025'!$O$2=BX423),'2025DATA'!$E$30,"")</f>
        <v/>
      </c>
      <c r="BY451" s="518" t="str">
        <f>IF(AND(_A5="A-320",'2025'!$O$4="FO",'2025'!$O$2=BY423),'2025DATA'!$F$30,"")</f>
        <v/>
      </c>
      <c r="BZ451" s="518" t="str">
        <f>IF(AND(_A5="A-320",'2025'!$O$4="FO",'2025'!$O$2=BZ423),'2025DATA'!$G$30,"")</f>
        <v/>
      </c>
      <c r="CA451" s="518" t="str">
        <f>IF(AND(_A5="A-320",'2025'!$O$4="FO",'2025'!$O$2=CA423),'2025DATA'!$H$30,"")</f>
        <v/>
      </c>
      <c r="CB451" s="518" t="str">
        <f>IF(AND(_A5="A-320",'2025'!$O$4="FO",'2025'!$O$2=CB423),'2025DATA'!$I$30,"")</f>
        <v/>
      </c>
      <c r="CC451" s="518" t="str">
        <f>IF(AND(_A5="A-320",'2025'!$O$4="FO",'2025'!$O$2=CC423),'2025DATA'!$J$30,"")</f>
        <v/>
      </c>
      <c r="CD451" s="518" t="str">
        <f>IF(AND(_A5="A-320",'2025'!$O$4="FO",'2025'!$O$2=CD423),'2025DATA'!$K$30,"")</f>
        <v/>
      </c>
      <c r="CE451" s="518" t="str">
        <f>IF(AND(_A5="A-320",'2025'!$O$4="FO",'2025'!$O$2=CE423),'2025DATA'!$L$30,"")</f>
        <v/>
      </c>
      <c r="CF451" s="518" t="str">
        <f>IF(AND(_A5="A-320",'2025'!$O$4="FO",'2025'!$O$2=CF423),'2025DATA'!$M$30,"")</f>
        <v/>
      </c>
      <c r="CG451" s="520" t="str">
        <f>IF(AND(_A5="A-320",'2025'!$O$4="FO",'2025'!$O$2=CG423),'2025DATA'!$N$30,"")</f>
        <v/>
      </c>
      <c r="CH451" s="940"/>
      <c r="CI451" s="13" t="s">
        <v>62</v>
      </c>
      <c r="CJ451" s="518" t="str">
        <f>IF(AND(_A6="A-320",'2025'!$O$4="FO",'2025'!$O$2=CJ423),'2025DATA'!$C$30,"")</f>
        <v/>
      </c>
      <c r="CK451" s="518" t="str">
        <f>IF(AND(_A6="A-320",'2025'!$O$4="FO",'2025'!$O$2=CK423),'2025DATA'!$D$30,"")</f>
        <v/>
      </c>
      <c r="CL451" s="518" t="str">
        <f>IF(AND(_A6="A-320",'2025'!$O$4="FO",'2025'!$O$2=CL423),'2025DATA'!$E$30,"")</f>
        <v/>
      </c>
      <c r="CM451" s="518" t="str">
        <f>IF(AND(_A6="A-320",'2025'!$O$4="FO",'2025'!$O$2=CM423),'2025DATA'!$F$30,"")</f>
        <v/>
      </c>
      <c r="CN451" s="518" t="str">
        <f>IF(AND(_A6="A-320",'2025'!$O$4="FO",'2025'!$O$2=CN423),'2025DATA'!$G$30,"")</f>
        <v/>
      </c>
      <c r="CO451" s="518" t="str">
        <f>IF(AND(_A6="A-320",'2025'!$O$4="FO",'2025'!$O$2=CO423),'2025DATA'!$H$30,"")</f>
        <v/>
      </c>
      <c r="CP451" s="518" t="str">
        <f>IF(AND(_A6="A-320",'2025'!$O$4="FO",'2025'!$O$2=CP423),'2025DATA'!$I$30,"")</f>
        <v/>
      </c>
      <c r="CQ451" s="518" t="str">
        <f>IF(AND(_A6="A-320",'2025'!$O$4="FO",'2025'!$O$2=CQ423),'2025DATA'!$J$30,"")</f>
        <v/>
      </c>
      <c r="CR451" s="518" t="str">
        <f>IF(AND(_A6="A-320",'2025'!$O$4="FO",'2025'!$O$2=CR423),'2025DATA'!$K$30,"")</f>
        <v/>
      </c>
      <c r="CS451" s="518" t="str">
        <f>IF(AND(_A6="A-320",'2025'!$O$4="FO",'2025'!$O$2=CS423),'2025DATA'!$L$30,"")</f>
        <v/>
      </c>
      <c r="CT451" s="518" t="str">
        <f>IF(AND(_A6="A-320",'2025'!$O$4="FO",'2025'!$O$2=CT423),'2025DATA'!$M$30,"")</f>
        <v/>
      </c>
      <c r="CU451" s="520" t="str">
        <f>IF(AND(_A6="A-320",'2025'!$O$4="FO",'2025'!$O$2=CU423),'2025DATA'!$N$30,"")</f>
        <v/>
      </c>
    </row>
    <row r="452" spans="16:99" x14ac:dyDescent="0.25">
      <c r="P452" s="940" t="s">
        <v>71</v>
      </c>
      <c r="Q452" s="13" t="s">
        <v>61</v>
      </c>
      <c r="R452" s="518" t="str">
        <f>IF(AND(_A1="A-319",'2025'!$O$4="CA",'2025'!$O$2=R423),'2025DATA'!$C$31,"")</f>
        <v/>
      </c>
      <c r="S452" s="518" t="str">
        <f>IF(AND(_A1="A-319",'2025'!$O$4="CA",'2025'!$O$2=S423),'2025DATA'!$D$31,"")</f>
        <v/>
      </c>
      <c r="T452" s="518" t="str">
        <f>IF(AND(_A1="A-319",'2025'!$O$4="CA",'2025'!$O$2=T423),'2025DATA'!$E$31,"")</f>
        <v/>
      </c>
      <c r="U452" s="518" t="str">
        <f>IF(AND(_A1="A-319",'2025'!$O$4="CA",'2025'!$O$2=U423),'2025DATA'!$F$31,"")</f>
        <v/>
      </c>
      <c r="V452" s="518" t="str">
        <f>IF(AND(_A1="A-319",'2025'!$O$4="CA",'2025'!$O$2=V423),'2025DATA'!$G$31,"")</f>
        <v/>
      </c>
      <c r="W452" s="518" t="str">
        <f>IF(AND(_A1="A-319",'2025'!$O$4="CA",'2025'!$O$2=W423),'2025DATA'!$H$31,"")</f>
        <v/>
      </c>
      <c r="X452" s="518" t="str">
        <f>IF(AND(_A1="A-319",'2025'!$O$4="CA",'2025'!$O$2=X423),'2025DATA'!$I$31,"")</f>
        <v/>
      </c>
      <c r="Y452" s="518" t="str">
        <f>IF(AND(_A1="A-319",'2025'!$O$4="CA",'2025'!$O$2=Y423),'2025DATA'!$J$31,"")</f>
        <v/>
      </c>
      <c r="Z452" s="518" t="str">
        <f>IF(AND(_A1="A-319",'2025'!$O$4="CA",'2025'!$O$2=Z423),'2025DATA'!$K$31,"")</f>
        <v/>
      </c>
      <c r="AA452" s="518" t="str">
        <f>IF(AND(_A1="A-319",'2025'!$O$4="CA",'2025'!$O$2=AA423),'2025DATA'!$L$31,"")</f>
        <v/>
      </c>
      <c r="AB452" s="518" t="str">
        <f>IF(AND(_A1="A-319",'2025'!$O$4="CA",'2025'!$O$2=AB423),'2025DATA'!$M$31,"")</f>
        <v/>
      </c>
      <c r="AC452" s="520" t="str">
        <f>IF(AND(_A1="A-319",'2025'!$O$4="CA",'2025'!$O$2=AC423),'2025DATA'!$N$31,"")</f>
        <v/>
      </c>
      <c r="AD452" s="940" t="s">
        <v>71</v>
      </c>
      <c r="AE452" s="13" t="s">
        <v>61</v>
      </c>
      <c r="AF452" s="518" t="str">
        <f>IF(AND(_A2="A-319",'2025'!$O$4="CA",'2025'!$O$2=AF423),'2025DATA'!$C$31,"")</f>
        <v/>
      </c>
      <c r="AG452" s="518" t="str">
        <f>IF(AND(_A2="A-319",'2025'!$O$4="CA",'2025'!$O$2=AG423),'2025DATA'!$D$31,"")</f>
        <v/>
      </c>
      <c r="AH452" s="518" t="str">
        <f>IF(AND(_A2="A-319",'2025'!$O$4="CA",'2025'!$O$2=AH423),'2025DATA'!$E$31,"")</f>
        <v/>
      </c>
      <c r="AI452" s="518" t="str">
        <f>IF(AND(_A2="A-319",'2025'!$O$4="CA",'2025'!$O$2=AI423),'2025DATA'!$F$31,"")</f>
        <v/>
      </c>
      <c r="AJ452" s="518" t="str">
        <f>IF(AND(_A2="A-319",'2025'!$O$4="CA",'2025'!$O$2=AJ423),'2025DATA'!$G$31,"")</f>
        <v/>
      </c>
      <c r="AK452" s="518" t="str">
        <f>IF(AND(_A2="A-319",'2025'!$O$4="CA",'2025'!$O$2=AK423),'2025DATA'!$H$31,"")</f>
        <v/>
      </c>
      <c r="AL452" s="518" t="str">
        <f>IF(AND(_A2="A-319",'2025'!$O$4="CA",'2025'!$O$2=AL423),'2025DATA'!$I$31,"")</f>
        <v/>
      </c>
      <c r="AM452" s="518" t="str">
        <f>IF(AND(_A2="A-319",'2025'!$O$4="CA",'2025'!$O$2=AM423),'2025DATA'!$J$31,"")</f>
        <v/>
      </c>
      <c r="AN452" s="518" t="str">
        <f>IF(AND(_A2="A-319",'2025'!$O$4="CA",'2025'!$O$2=AN423),'2025DATA'!$K$31,"")</f>
        <v/>
      </c>
      <c r="AO452" s="518" t="str">
        <f>IF(AND(_A2="A-319",'2025'!$O$4="CA",'2025'!$O$2=AO423),'2025DATA'!$L$31,"")</f>
        <v/>
      </c>
      <c r="AP452" s="518" t="str">
        <f>IF(AND(_A2="A-319",'2025'!$O$4="CA",'2025'!$O$2=AP423),'2025DATA'!$M$31,"")</f>
        <v/>
      </c>
      <c r="AQ452" s="520" t="str">
        <f>IF(AND(_A2="A-319",'2025'!$O$4="CA",'2025'!$O$2=AQ423),'2025DATA'!$N$31,"")</f>
        <v/>
      </c>
      <c r="AR452" s="940" t="s">
        <v>71</v>
      </c>
      <c r="AS452" s="13" t="s">
        <v>61</v>
      </c>
      <c r="AT452" s="518" t="str">
        <f>IF(AND(_A3="A-319",'2025'!$O$4="CA",'2025'!$O$2=AT423),'2025DATA'!$C$31,"")</f>
        <v/>
      </c>
      <c r="AU452" s="518" t="str">
        <f>IF(AND(_A3="A-319",'2025'!$O$4="CA",'2025'!$O$2=AU423),'2025DATA'!$D$31,"")</f>
        <v/>
      </c>
      <c r="AV452" s="518" t="str">
        <f>IF(AND(_A3="A-319",'2025'!$O$4="CA",'2025'!$O$2=AV423),'2025DATA'!$E$31,"")</f>
        <v/>
      </c>
      <c r="AW452" s="518" t="str">
        <f>IF(AND(_A3="A-319",'2025'!$O$4="CA",'2025'!$O$2=AW423),'2025DATA'!$F$31,"")</f>
        <v/>
      </c>
      <c r="AX452" s="518" t="str">
        <f>IF(AND(_A3="A-319",'2025'!$O$4="CA",'2025'!$O$2=AX423),'2025DATA'!$G$31,"")</f>
        <v/>
      </c>
      <c r="AY452" s="518" t="str">
        <f>IF(AND(_A3="A-319",'2025'!$O$4="CA",'2025'!$O$2=AY423),'2025DATA'!$H$31,"")</f>
        <v/>
      </c>
      <c r="AZ452" s="518" t="str">
        <f>IF(AND(_A3="A-319",'2025'!$O$4="CA",'2025'!$O$2=AZ423),'2025DATA'!$I$31,"")</f>
        <v/>
      </c>
      <c r="BA452" s="518" t="str">
        <f>IF(AND(_A3="A-319",'2025'!$O$4="CA",'2025'!$O$2=BA423),'2025DATA'!$J$31,"")</f>
        <v/>
      </c>
      <c r="BB452" s="518" t="str">
        <f>IF(AND(_A3="A-319",'2025'!$O$4="CA",'2025'!$O$2=BB423),'2025DATA'!$K$31,"")</f>
        <v/>
      </c>
      <c r="BC452" s="518" t="str">
        <f>IF(AND(_A3="A-319",'2025'!$O$4="CA",'2025'!$O$2=BC423),'2025DATA'!$L$31,"")</f>
        <v/>
      </c>
      <c r="BD452" s="518" t="str">
        <f>IF(AND(_A3="A-319",'2025'!$O$4="CA",'2025'!$O$2=BD423),'2025DATA'!$M$31,"")</f>
        <v/>
      </c>
      <c r="BE452" s="520" t="str">
        <f>IF(AND(_A3="A-319",'2025'!$O$4="CA",'2025'!$O$2=BE423),'2025DATA'!$N$31,"")</f>
        <v/>
      </c>
      <c r="BF452" s="940" t="s">
        <v>71</v>
      </c>
      <c r="BG452" s="13" t="s">
        <v>61</v>
      </c>
      <c r="BH452" s="518" t="str">
        <f>IF(AND(_A4="A-319",'2025'!$O$4="CA",'2025'!$O$2=BH423),'2025DATA'!$C$31,"")</f>
        <v/>
      </c>
      <c r="BI452" s="518" t="str">
        <f>IF(AND(_A4="A-319",'2025'!$O$4="CA",'2025'!$O$2=BI423),'2025DATA'!$D$31,"")</f>
        <v/>
      </c>
      <c r="BJ452" s="518" t="str">
        <f>IF(AND(_A4="A-319",'2025'!$O$4="CA",'2025'!$O$2=BJ423),'2025DATA'!$E$31,"")</f>
        <v/>
      </c>
      <c r="BK452" s="518" t="str">
        <f>IF(AND(_A4="A-319",'2025'!$O$4="CA",'2025'!$O$2=BK423),'2025DATA'!$F$31,"")</f>
        <v/>
      </c>
      <c r="BL452" s="518" t="str">
        <f>IF(AND(_A4="A-319",'2025'!$O$4="CA",'2025'!$O$2=BL423),'2025DATA'!$G$31,"")</f>
        <v/>
      </c>
      <c r="BM452" s="518" t="str">
        <f>IF(AND(_A4="A-319",'2025'!$O$4="CA",'2025'!$O$2=BM423),'2025DATA'!$H$31,"")</f>
        <v/>
      </c>
      <c r="BN452" s="518" t="str">
        <f>IF(AND(_A4="A-319",'2025'!$O$4="CA",'2025'!$O$2=BN423),'2025DATA'!$I$31,"")</f>
        <v/>
      </c>
      <c r="BO452" s="518" t="str">
        <f>IF(AND(_A4="A-319",'2025'!$O$4="CA",'2025'!$O$2=BO423),'2025DATA'!$J$31,"")</f>
        <v/>
      </c>
      <c r="BP452" s="518" t="str">
        <f>IF(AND(_A4="A-319",'2025'!$O$4="CA",'2025'!$O$2=BP423),'2025DATA'!$K$31,"")</f>
        <v/>
      </c>
      <c r="BQ452" s="518" t="str">
        <f>IF(AND(_A4="A-319",'2025'!$O$4="CA",'2025'!$O$2=BQ423),'2025DATA'!$L$31,"")</f>
        <v/>
      </c>
      <c r="BR452" s="518" t="str">
        <f>IF(AND(_A4="A-319",'2025'!$O$4="CA",'2025'!$O$2=BR423),'2025DATA'!$M$31,"")</f>
        <v/>
      </c>
      <c r="BS452" s="520" t="str">
        <f>IF(AND(_A4="A-319",'2025'!$O$4="CA",'2025'!$O$2=BS423),'2025DATA'!$N$31,"")</f>
        <v/>
      </c>
      <c r="BT452" s="940" t="s">
        <v>71</v>
      </c>
      <c r="BU452" s="13" t="s">
        <v>61</v>
      </c>
      <c r="BV452" s="518" t="str">
        <f>IF(AND(_A5="A-319",'2025'!$O$4="CA",'2025'!$O$2=BV423),'2025DATA'!$C$31,"")</f>
        <v/>
      </c>
      <c r="BW452" s="518" t="str">
        <f>IF(AND(_A5="A-319",'2025'!$O$4="CA",'2025'!$O$2=BW423),'2025DATA'!$D$31,"")</f>
        <v/>
      </c>
      <c r="BX452" s="518" t="str">
        <f>IF(AND(_A5="A-319",'2025'!$O$4="CA",'2025'!$O$2=BX423),'2025DATA'!$E$31,"")</f>
        <v/>
      </c>
      <c r="BY452" s="518" t="str">
        <f>IF(AND(_A5="A-319",'2025'!$O$4="CA",'2025'!$O$2=BY423),'2025DATA'!$F$31,"")</f>
        <v/>
      </c>
      <c r="BZ452" s="518" t="str">
        <f>IF(AND(_A5="A-319",'2025'!$O$4="CA",'2025'!$O$2=BZ423),'2025DATA'!$G$31,"")</f>
        <v/>
      </c>
      <c r="CA452" s="518" t="str">
        <f>IF(AND(_A5="A-319",'2025'!$O$4="CA",'2025'!$O$2=CA423),'2025DATA'!$H$31,"")</f>
        <v/>
      </c>
      <c r="CB452" s="518" t="str">
        <f>IF(AND(_A5="A-319",'2025'!$O$4="CA",'2025'!$O$2=CB423),'2025DATA'!$I$31,"")</f>
        <v/>
      </c>
      <c r="CC452" s="518" t="str">
        <f>IF(AND(_A5="A-319",'2025'!$O$4="CA",'2025'!$O$2=CC423),'2025DATA'!$J$31,"")</f>
        <v/>
      </c>
      <c r="CD452" s="518" t="str">
        <f>IF(AND(_A5="A-319",'2025'!$O$4="CA",'2025'!$O$2=CD423),'2025DATA'!$K$31,"")</f>
        <v/>
      </c>
      <c r="CE452" s="518" t="str">
        <f>IF(AND(_A5="A-319",'2025'!$O$4="CA",'2025'!$O$2=CE423),'2025DATA'!$L$31,"")</f>
        <v/>
      </c>
      <c r="CF452" s="518" t="str">
        <f>IF(AND(_A5="A-319",'2025'!$O$4="CA",'2025'!$O$2=CF423),'2025DATA'!$M$31,"")</f>
        <v/>
      </c>
      <c r="CG452" s="520" t="str">
        <f>IF(AND(_A5="A-319",'2025'!$O$4="CA",'2025'!$O$2=CG423),'2025DATA'!$N$31,"")</f>
        <v/>
      </c>
      <c r="CH452" s="940" t="s">
        <v>71</v>
      </c>
      <c r="CI452" s="13" t="s">
        <v>61</v>
      </c>
      <c r="CJ452" s="518" t="str">
        <f>IF(AND(_A6="A-319",'2025'!$O$4="CA",'2025'!$O$2=CJ423),'2025DATA'!$C$31,"")</f>
        <v/>
      </c>
      <c r="CK452" s="518" t="str">
        <f>IF(AND(_A6="A-319",'2025'!$O$4="CA",'2025'!$O$2=CK423),'2025DATA'!$D$31,"")</f>
        <v/>
      </c>
      <c r="CL452" s="518" t="str">
        <f>IF(AND(_A6="A-319",'2025'!$O$4="CA",'2025'!$O$2=CL423),'2025DATA'!$E$31,"")</f>
        <v/>
      </c>
      <c r="CM452" s="518" t="str">
        <f>IF(AND(_A6="A-319",'2025'!$O$4="CA",'2025'!$O$2=CM423),'2025DATA'!$F$31,"")</f>
        <v/>
      </c>
      <c r="CN452" s="518" t="str">
        <f>IF(AND(_A6="A-319",'2025'!$O$4="CA",'2025'!$O$2=CN423),'2025DATA'!$G$31,"")</f>
        <v/>
      </c>
      <c r="CO452" s="518" t="str">
        <f>IF(AND(_A6="A-319",'2025'!$O$4="CA",'2025'!$O$2=CO423),'2025DATA'!$H$31,"")</f>
        <v/>
      </c>
      <c r="CP452" s="518" t="str">
        <f>IF(AND(_A6="A-319",'2025'!$O$4="CA",'2025'!$O$2=CP423),'2025DATA'!$I$31,"")</f>
        <v/>
      </c>
      <c r="CQ452" s="518" t="str">
        <f>IF(AND(_A6="A-319",'2025'!$O$4="CA",'2025'!$O$2=CQ423),'2025DATA'!$J$31,"")</f>
        <v/>
      </c>
      <c r="CR452" s="518" t="str">
        <f>IF(AND(_A6="A-319",'2025'!$O$4="CA",'2025'!$O$2=CR423),'2025DATA'!$K$31,"")</f>
        <v/>
      </c>
      <c r="CS452" s="518" t="str">
        <f>IF(AND(_A6="A-319",'2025'!$O$4="CA",'2025'!$O$2=CS423),'2025DATA'!$L$31,"")</f>
        <v/>
      </c>
      <c r="CT452" s="518" t="str">
        <f>IF(AND(_A6="A-319",'2025'!$O$4="CA",'2025'!$O$2=CT423),'2025DATA'!$M$31,"")</f>
        <v/>
      </c>
      <c r="CU452" s="520" t="str">
        <f>IF(AND(_A6="A-319",'2025'!$O$4="CA",'2025'!$O$2=CU423),'2025DATA'!$N$31,"")</f>
        <v/>
      </c>
    </row>
    <row r="453" spans="16:99" x14ac:dyDescent="0.25">
      <c r="P453" s="940"/>
      <c r="Q453" s="13" t="s">
        <v>62</v>
      </c>
      <c r="R453" s="518" t="str">
        <f>IF(AND(_A1="A-319",'2025'!$O$4="FO",'2025'!$O$2=R423),'2025DATA'!$C$32,"")</f>
        <v/>
      </c>
      <c r="S453" s="518" t="str">
        <f>IF(AND(_A1="A-319",'2025'!$O$4="FO",'2025'!$O$2=S423),'2025DATA'!$D$32,"")</f>
        <v/>
      </c>
      <c r="T453" s="518" t="str">
        <f>IF(AND(_A1="A-319",'2025'!$O$4="FO",'2025'!$O$2=T423),'2025DATA'!$E$32,"")</f>
        <v/>
      </c>
      <c r="U453" s="518" t="str">
        <f>IF(AND(_A1="A-319",'2025'!$O$4="FO",'2025'!$O$2=U423),'2025DATA'!$F$32,"")</f>
        <v/>
      </c>
      <c r="V453" s="518" t="str">
        <f>IF(AND(_A1="A-319",'2025'!$O$4="FO",'2025'!$O$2=V423),'2025DATA'!$G$32,"")</f>
        <v/>
      </c>
      <c r="W453" s="518" t="str">
        <f>IF(AND(_A1="A-319",'2025'!$O$4="FO",'2025'!$O$2=W423),'2025DATA'!$H$32,"")</f>
        <v/>
      </c>
      <c r="X453" s="518" t="str">
        <f>IF(AND(_A1="A-319",'2025'!$O$4="FO",'2025'!$O$2=X423),'2025DATA'!$I$32,"")</f>
        <v/>
      </c>
      <c r="Y453" s="518" t="str">
        <f>IF(AND(_A1="A-319",'2025'!$O$4="FO",'2025'!$O$2=Y423),'2025DATA'!$J$32,"")</f>
        <v/>
      </c>
      <c r="Z453" s="518" t="str">
        <f>IF(AND(_A1="A-319",'2025'!$O$4="FO",'2025'!$O$2=Z423),'2025DATA'!$K$32,"")</f>
        <v/>
      </c>
      <c r="AA453" s="518" t="str">
        <f>IF(AND(_A1="A-319",'2025'!$O$4="FO",'2025'!$O$2=AA423),'2025DATA'!$L$32,"")</f>
        <v/>
      </c>
      <c r="AB453" s="518" t="str">
        <f>IF(AND(_A1="A-319",'2025'!$O$4="FO",'2025'!$O$2=AB423),'2025DATA'!$M$32,"")</f>
        <v/>
      </c>
      <c r="AC453" s="520" t="str">
        <f>IF(AND(_A1="A-319",'2025'!$O$4="FO",'2025'!$O$2=AC423),'2025DATA'!$N$32,"")</f>
        <v/>
      </c>
      <c r="AD453" s="940"/>
      <c r="AE453" s="13" t="s">
        <v>62</v>
      </c>
      <c r="AF453" s="518" t="str">
        <f>IF(AND(_A2="A-319",'2025'!$O$4="FO",'2025'!$O$2=AF423),'2025DATA'!$C$32,"")</f>
        <v/>
      </c>
      <c r="AG453" s="518" t="str">
        <f>IF(AND(_A2="A-319",'2025'!$O$4="FO",'2025'!$O$2=AG423),'2025DATA'!$D$32,"")</f>
        <v/>
      </c>
      <c r="AH453" s="518" t="str">
        <f>IF(AND(_A2="A-319",'2025'!$O$4="FO",'2025'!$O$2=AH423),'2025DATA'!$E$32,"")</f>
        <v/>
      </c>
      <c r="AI453" s="518" t="str">
        <f>IF(AND(_A2="A-319",'2025'!$O$4="FO",'2025'!$O$2=AI423),'2025DATA'!$F$32,"")</f>
        <v/>
      </c>
      <c r="AJ453" s="518" t="str">
        <f>IF(AND(_A2="A-319",'2025'!$O$4="FO",'2025'!$O$2=AJ423),'2025DATA'!$G$32,"")</f>
        <v/>
      </c>
      <c r="AK453" s="518" t="str">
        <f>IF(AND(_A2="A-319",'2025'!$O$4="FO",'2025'!$O$2=AK423),'2025DATA'!$H$32,"")</f>
        <v/>
      </c>
      <c r="AL453" s="518" t="str">
        <f>IF(AND(_A2="A-319",'2025'!$O$4="FO",'2025'!$O$2=AL423),'2025DATA'!$I$32,"")</f>
        <v/>
      </c>
      <c r="AM453" s="518" t="str">
        <f>IF(AND(_A2="A-319",'2025'!$O$4="FO",'2025'!$O$2=AM423),'2025DATA'!$J$32,"")</f>
        <v/>
      </c>
      <c r="AN453" s="518" t="str">
        <f>IF(AND(_A2="A-319",'2025'!$O$4="FO",'2025'!$O$2=AN423),'2025DATA'!$K$32,"")</f>
        <v/>
      </c>
      <c r="AO453" s="518" t="str">
        <f>IF(AND(_A2="A-319",'2025'!$O$4="FO",'2025'!$O$2=AO423),'2025DATA'!$L$32,"")</f>
        <v/>
      </c>
      <c r="AP453" s="518" t="str">
        <f>IF(AND(_A2="A-319",'2025'!$O$4="FO",'2025'!$O$2=AP423),'2025DATA'!$M$32,"")</f>
        <v/>
      </c>
      <c r="AQ453" s="520" t="str">
        <f>IF(AND(_A2="A-319",'2025'!$O$4="FO",'2025'!$O$2=AQ423),'2025DATA'!$N$32,"")</f>
        <v/>
      </c>
      <c r="AR453" s="940"/>
      <c r="AS453" s="13" t="s">
        <v>62</v>
      </c>
      <c r="AT453" s="518" t="str">
        <f>IF(AND(_A3="A-319",'2025'!$O$4="FO",'2025'!$O$2=AT423),'2025DATA'!$C$32,"")</f>
        <v/>
      </c>
      <c r="AU453" s="518" t="str">
        <f>IF(AND(_A3="A-319",'2025'!$O$4="FO",'2025'!$O$2=AU423),'2025DATA'!$D$32,"")</f>
        <v/>
      </c>
      <c r="AV453" s="518" t="str">
        <f>IF(AND(_A3="A-319",'2025'!$O$4="FO",'2025'!$O$2=AV423),'2025DATA'!$E$32,"")</f>
        <v/>
      </c>
      <c r="AW453" s="518" t="str">
        <f>IF(AND(_A3="A-319",'2025'!$O$4="FO",'2025'!$O$2=AW423),'2025DATA'!$F$32,"")</f>
        <v/>
      </c>
      <c r="AX453" s="518" t="str">
        <f>IF(AND(_A3="A-319",'2025'!$O$4="FO",'2025'!$O$2=AX423),'2025DATA'!$G$32,"")</f>
        <v/>
      </c>
      <c r="AY453" s="518" t="str">
        <f>IF(AND(_A3="A-319",'2025'!$O$4="FO",'2025'!$O$2=AY423),'2025DATA'!$H$32,"")</f>
        <v/>
      </c>
      <c r="AZ453" s="518" t="str">
        <f>IF(AND(_A3="A-319",'2025'!$O$4="FO",'2025'!$O$2=AZ423),'2025DATA'!$I$32,"")</f>
        <v/>
      </c>
      <c r="BA453" s="518" t="str">
        <f>IF(AND(_A3="A-319",'2025'!$O$4="FO",'2025'!$O$2=BA423),'2025DATA'!$J$32,"")</f>
        <v/>
      </c>
      <c r="BB453" s="518" t="str">
        <f>IF(AND(_A3="A-319",'2025'!$O$4="FO",'2025'!$O$2=BB423),'2025DATA'!$K$32,"")</f>
        <v/>
      </c>
      <c r="BC453" s="518" t="str">
        <f>IF(AND(_A3="A-319",'2025'!$O$4="FO",'2025'!$O$2=BC423),'2025DATA'!$L$32,"")</f>
        <v/>
      </c>
      <c r="BD453" s="518" t="str">
        <f>IF(AND(_A3="A-319",'2025'!$O$4="FO",'2025'!$O$2=BD423),'2025DATA'!$M$32,"")</f>
        <v/>
      </c>
      <c r="BE453" s="520" t="str">
        <f>IF(AND(_A3="A-319",'2025'!$O$4="FO",'2025'!$O$2=BE423),'2025DATA'!$N$32,"")</f>
        <v/>
      </c>
      <c r="BF453" s="940"/>
      <c r="BG453" s="13" t="s">
        <v>62</v>
      </c>
      <c r="BH453" s="518" t="str">
        <f>IF(AND(_A4="A-319",'2025'!$O$4="FO",'2025'!$O$2=BH423),'2025DATA'!$C$32,"")</f>
        <v/>
      </c>
      <c r="BI453" s="518" t="str">
        <f>IF(AND(_A4="A-319",'2025'!$O$4="FO",'2025'!$O$2=BI423),'2025DATA'!$D$32,"")</f>
        <v/>
      </c>
      <c r="BJ453" s="518" t="str">
        <f>IF(AND(_A4="A-319",'2025'!$O$4="FO",'2025'!$O$2=BJ423),'2025DATA'!$E$32,"")</f>
        <v/>
      </c>
      <c r="BK453" s="518" t="str">
        <f>IF(AND(_A4="A-319",'2025'!$O$4="FO",'2025'!$O$2=BK423),'2025DATA'!$F$32,"")</f>
        <v/>
      </c>
      <c r="BL453" s="518" t="str">
        <f>IF(AND(_A4="A-319",'2025'!$O$4="FO",'2025'!$O$2=BL423),'2025DATA'!$G$32,"")</f>
        <v/>
      </c>
      <c r="BM453" s="518" t="str">
        <f>IF(AND(_A4="A-319",'2025'!$O$4="FO",'2025'!$O$2=BM423),'2025DATA'!$H$32,"")</f>
        <v/>
      </c>
      <c r="BN453" s="518" t="str">
        <f>IF(AND(_A4="A-319",'2025'!$O$4="FO",'2025'!$O$2=BN423),'2025DATA'!$I$32,"")</f>
        <v/>
      </c>
      <c r="BO453" s="518" t="str">
        <f>IF(AND(_A4="A-319",'2025'!$O$4="FO",'2025'!$O$2=BO423),'2025DATA'!$J$32,"")</f>
        <v/>
      </c>
      <c r="BP453" s="518" t="str">
        <f>IF(AND(_A4="A-319",'2025'!$O$4="FO",'2025'!$O$2=BP423),'2025DATA'!$K$32,"")</f>
        <v/>
      </c>
      <c r="BQ453" s="518" t="str">
        <f>IF(AND(_A4="A-319",'2025'!$O$4="FO",'2025'!$O$2=BQ423),'2025DATA'!$L$32,"")</f>
        <v/>
      </c>
      <c r="BR453" s="518" t="str">
        <f>IF(AND(_A4="A-319",'2025'!$O$4="FO",'2025'!$O$2=BR423),'2025DATA'!$M$32,"")</f>
        <v/>
      </c>
      <c r="BS453" s="520" t="str">
        <f>IF(AND(_A4="A-319",'2025'!$O$4="FO",'2025'!$O$2=BS423),'2025DATA'!$N$32,"")</f>
        <v/>
      </c>
      <c r="BT453" s="940"/>
      <c r="BU453" s="13" t="s">
        <v>62</v>
      </c>
      <c r="BV453" s="518" t="str">
        <f>IF(AND(_A5="A-319",'2025'!$O$4="FO",'2025'!$O$2=BV423),'2025DATA'!$C$32,"")</f>
        <v/>
      </c>
      <c r="BW453" s="518" t="str">
        <f>IF(AND(_A5="A-319",'2025'!$O$4="FO",'2025'!$O$2=BW423),'2025DATA'!$D$32,"")</f>
        <v/>
      </c>
      <c r="BX453" s="518" t="str">
        <f>IF(AND(_A5="A-319",'2025'!$O$4="FO",'2025'!$O$2=BX423),'2025DATA'!$E$32,"")</f>
        <v/>
      </c>
      <c r="BY453" s="518" t="str">
        <f>IF(AND(_A5="A-319",'2025'!$O$4="FO",'2025'!$O$2=BY423),'2025DATA'!$F$32,"")</f>
        <v/>
      </c>
      <c r="BZ453" s="518" t="str">
        <f>IF(AND(_A5="A-319",'2025'!$O$4="FO",'2025'!$O$2=BZ423),'2025DATA'!$G$32,"")</f>
        <v/>
      </c>
      <c r="CA453" s="518" t="str">
        <f>IF(AND(_A5="A-319",'2025'!$O$4="FO",'2025'!$O$2=CA423),'2025DATA'!$H$32,"")</f>
        <v/>
      </c>
      <c r="CB453" s="518" t="str">
        <f>IF(AND(_A5="A-319",'2025'!$O$4="FO",'2025'!$O$2=CB423),'2025DATA'!$I$32,"")</f>
        <v/>
      </c>
      <c r="CC453" s="518" t="str">
        <f>IF(AND(_A5="A-319",'2025'!$O$4="FO",'2025'!$O$2=CC423),'2025DATA'!$J$32,"")</f>
        <v/>
      </c>
      <c r="CD453" s="518" t="str">
        <f>IF(AND(_A5="A-319",'2025'!$O$4="FO",'2025'!$O$2=CD423),'2025DATA'!$K$32,"")</f>
        <v/>
      </c>
      <c r="CE453" s="518" t="str">
        <f>IF(AND(_A5="A-319",'2025'!$O$4="FO",'2025'!$O$2=CE423),'2025DATA'!$L$32,"")</f>
        <v/>
      </c>
      <c r="CF453" s="518" t="str">
        <f>IF(AND(_A5="A-319",'2025'!$O$4="FO",'2025'!$O$2=CF423),'2025DATA'!$M$32,"")</f>
        <v/>
      </c>
      <c r="CG453" s="520" t="str">
        <f>IF(AND(_A5="A-319",'2025'!$O$4="FO",'2025'!$O$2=CG423),'2025DATA'!$N$32,"")</f>
        <v/>
      </c>
      <c r="CH453" s="940"/>
      <c r="CI453" s="13" t="s">
        <v>62</v>
      </c>
      <c r="CJ453" s="518" t="str">
        <f>IF(AND(_A6="A-319",'2025'!$O$4="FO",'2025'!$O$2=CJ423),'2025DATA'!$C$32,"")</f>
        <v/>
      </c>
      <c r="CK453" s="518" t="str">
        <f>IF(AND(_A6="A-319",'2025'!$O$4="FO",'2025'!$O$2=CK423),'2025DATA'!$D$32,"")</f>
        <v/>
      </c>
      <c r="CL453" s="518" t="str">
        <f>IF(AND(_A6="A-319",'2025'!$O$4="FO",'2025'!$O$2=CL423),'2025DATA'!$E$32,"")</f>
        <v/>
      </c>
      <c r="CM453" s="518" t="str">
        <f>IF(AND(_A6="A-319",'2025'!$O$4="FO",'2025'!$O$2=CM423),'2025DATA'!$F$32,"")</f>
        <v/>
      </c>
      <c r="CN453" s="518" t="str">
        <f>IF(AND(_A6="A-319",'2025'!$O$4="FO",'2025'!$O$2=CN423),'2025DATA'!$G$32,"")</f>
        <v/>
      </c>
      <c r="CO453" s="518" t="str">
        <f>IF(AND(_A6="A-319",'2025'!$O$4="FO",'2025'!$O$2=CO423),'2025DATA'!$H$32,"")</f>
        <v/>
      </c>
      <c r="CP453" s="518" t="str">
        <f>IF(AND(_A6="A-319",'2025'!$O$4="FO",'2025'!$O$2=CP423),'2025DATA'!$I$32,"")</f>
        <v/>
      </c>
      <c r="CQ453" s="518" t="str">
        <f>IF(AND(_A6="A-319",'2025'!$O$4="FO",'2025'!$O$2=CQ423),'2025DATA'!$J$32,"")</f>
        <v/>
      </c>
      <c r="CR453" s="518" t="str">
        <f>IF(AND(_A6="A-319",'2025'!$O$4="FO",'2025'!$O$2=CR423),'2025DATA'!$K$32,"")</f>
        <v/>
      </c>
      <c r="CS453" s="518" t="str">
        <f>IF(AND(_A6="A-319",'2025'!$O$4="FO",'2025'!$O$2=CS423),'2025DATA'!$L$32,"")</f>
        <v/>
      </c>
      <c r="CT453" s="518" t="str">
        <f>IF(AND(_A6="A-319",'2025'!$O$4="FO",'2025'!$O$2=CT423),'2025DATA'!$M$32,"")</f>
        <v/>
      </c>
      <c r="CU453" s="520" t="str">
        <f>IF(AND(_A6="A-319",'2025'!$O$4="FO",'2025'!$O$2=CU423),'2025DATA'!$N$32,"")</f>
        <v/>
      </c>
    </row>
    <row r="454" spans="16:99" x14ac:dyDescent="0.25">
      <c r="P454" s="940" t="s">
        <v>51</v>
      </c>
      <c r="Q454" s="13" t="s">
        <v>61</v>
      </c>
      <c r="R454" s="518" t="str">
        <f>IF(AND(_A1="A-220-300",'2025'!$O$4="CA",'2025'!$O$2=R423),'2025DATA'!$C$33,"")</f>
        <v/>
      </c>
      <c r="S454" s="518" t="str">
        <f>IF(AND(_A1="A-220-300",'2025'!$O$4="CA",'2025'!$O$2=S423),'2025DATA'!$D$33,"")</f>
        <v/>
      </c>
      <c r="T454" s="518" t="str">
        <f>IF(AND(_A1="A-220-300",'2025'!$O$4="CA",'2025'!$O$2=T423),'2025DATA'!$E$33,"")</f>
        <v/>
      </c>
      <c r="U454" s="518" t="str">
        <f>IF(AND(_A1="A-220-300",'2025'!$O$4="CA",'2025'!$O$2=U423),'2025DATA'!$F$33,"")</f>
        <v/>
      </c>
      <c r="V454" s="518" t="str">
        <f>IF(AND(_A1="A-220-300",'2025'!$O$4="CA",'2025'!$O$2=V423),'2025DATA'!$G$33,"")</f>
        <v/>
      </c>
      <c r="W454" s="518" t="str">
        <f>IF(AND(_A1="A-220-300",'2025'!$O$4="CA",'2025'!$O$2=W423),'2025DATA'!$H$33,"")</f>
        <v/>
      </c>
      <c r="X454" s="518" t="str">
        <f>IF(AND(_A1="A-220-300",'2025'!$O$4="CA",'2025'!$O$2=X423),'2025DATA'!$I$33,"")</f>
        <v/>
      </c>
      <c r="Y454" s="518" t="str">
        <f>IF(AND(_A1="A-220-300",'2025'!$O$4="CA",'2025'!$O$2=Y423),'2025DATA'!$J$33,"")</f>
        <v/>
      </c>
      <c r="Z454" s="518" t="str">
        <f>IF(AND(_A1="A-220-300",'2025'!$O$4="CA",'2025'!$O$2=Z423),'2025DATA'!$K$33,"")</f>
        <v/>
      </c>
      <c r="AA454" s="518" t="str">
        <f>IF(AND(_A1="A-220-300",'2025'!$O$4="CA",'2025'!$O$2=AA423),'2025DATA'!$L$33,"")</f>
        <v/>
      </c>
      <c r="AB454" s="518" t="str">
        <f>IF(AND(_A1="A-220-300",'2025'!$O$4="CA",'2025'!$O$2=AB423),'2025DATA'!$M$33,"")</f>
        <v/>
      </c>
      <c r="AC454" s="520" t="str">
        <f>IF(AND(_A1="A-220-300",'2025'!$O$4="CA",'2025'!$O$2=AC423),'2025DATA'!$N$33,"")</f>
        <v/>
      </c>
      <c r="AD454" s="940" t="s">
        <v>51</v>
      </c>
      <c r="AE454" s="13" t="s">
        <v>61</v>
      </c>
      <c r="AF454" s="518" t="str">
        <f>IF(AND(_A2="A-220-300",'2025'!$O$4="CA",'2025'!$O$2=AF423),'2025DATA'!$C$33,"")</f>
        <v/>
      </c>
      <c r="AG454" s="518" t="str">
        <f>IF(AND(_A2="A-220-300",'2025'!$O$4="CA",'2025'!$O$2=AG423),'2025DATA'!$D$33,"")</f>
        <v/>
      </c>
      <c r="AH454" s="518" t="str">
        <f>IF(AND(_A2="A-220-300",'2025'!$O$4="CA",'2025'!$O$2=AH423),'2025DATA'!$E$33,"")</f>
        <v/>
      </c>
      <c r="AI454" s="518" t="str">
        <f>IF(AND(_A2="A-220-300",'2025'!$O$4="CA",'2025'!$O$2=AI423),'2025DATA'!$F$33,"")</f>
        <v/>
      </c>
      <c r="AJ454" s="518" t="str">
        <f>IF(AND(_A2="A-220-300",'2025'!$O$4="CA",'2025'!$O$2=AJ423),'2025DATA'!$G$33,"")</f>
        <v/>
      </c>
      <c r="AK454" s="518" t="str">
        <f>IF(AND(_A2="A-220-300",'2025'!$O$4="CA",'2025'!$O$2=AK423),'2025DATA'!$H$33,"")</f>
        <v/>
      </c>
      <c r="AL454" s="518" t="str">
        <f>IF(AND(_A2="A-220-300",'2025'!$O$4="CA",'2025'!$O$2=AL423),'2025DATA'!$I$33,"")</f>
        <v/>
      </c>
      <c r="AM454" s="518" t="str">
        <f>IF(AND(_A2="A-220-300",'2025'!$O$4="CA",'2025'!$O$2=AM423),'2025DATA'!$J$33,"")</f>
        <v/>
      </c>
      <c r="AN454" s="518" t="str">
        <f>IF(AND(_A2="A-220-300",'2025'!$O$4="CA",'2025'!$O$2=AN423),'2025DATA'!$K$33,"")</f>
        <v/>
      </c>
      <c r="AO454" s="518" t="str">
        <f>IF(AND(_A2="A-220-300",'2025'!$O$4="CA",'2025'!$O$2=AO423),'2025DATA'!$L$33,"")</f>
        <v/>
      </c>
      <c r="AP454" s="518" t="str">
        <f>IF(AND(_A2="A-220-300",'2025'!$O$4="CA",'2025'!$O$2=AP423),'2025DATA'!$M$33,"")</f>
        <v/>
      </c>
      <c r="AQ454" s="520" t="str">
        <f>IF(AND(_A2="A-220-300",'2025'!$O$4="CA",'2025'!$O$2=AQ423),'2025DATA'!$N$33,"")</f>
        <v/>
      </c>
      <c r="AR454" s="940" t="s">
        <v>51</v>
      </c>
      <c r="AS454" s="13" t="s">
        <v>61</v>
      </c>
      <c r="AT454" s="518" t="str">
        <f>IF(AND(_A3="A-220-300",'2025'!$O$4="CA",'2025'!$O$2=AT423),'2025DATA'!$C$33,"")</f>
        <v/>
      </c>
      <c r="AU454" s="518" t="str">
        <f>IF(AND(_A3="A-220-300",'2025'!$O$4="CA",'2025'!$O$2=AU423),'2025DATA'!$D$33,"")</f>
        <v/>
      </c>
      <c r="AV454" s="518" t="str">
        <f>IF(AND(_A3="A-220-300",'2025'!$O$4="CA",'2025'!$O$2=AV423),'2025DATA'!$E$33,"")</f>
        <v/>
      </c>
      <c r="AW454" s="518" t="str">
        <f>IF(AND(_A3="A-220-300",'2025'!$O$4="CA",'2025'!$O$2=AW423),'2025DATA'!$F$33,"")</f>
        <v/>
      </c>
      <c r="AX454" s="518" t="str">
        <f>IF(AND(_A3="A-220-300",'2025'!$O$4="CA",'2025'!$O$2=AX423),'2025DATA'!$G$33,"")</f>
        <v/>
      </c>
      <c r="AY454" s="518" t="str">
        <f>IF(AND(_A3="A-220-300",'2025'!$O$4="CA",'2025'!$O$2=AY423),'2025DATA'!$H$33,"")</f>
        <v/>
      </c>
      <c r="AZ454" s="518" t="str">
        <f>IF(AND(_A3="A-220-300",'2025'!$O$4="CA",'2025'!$O$2=AZ423),'2025DATA'!$I$33,"")</f>
        <v/>
      </c>
      <c r="BA454" s="518" t="str">
        <f>IF(AND(_A3="A-220-300",'2025'!$O$4="CA",'2025'!$O$2=BA423),'2025DATA'!$J$33,"")</f>
        <v/>
      </c>
      <c r="BB454" s="518" t="str">
        <f>IF(AND(_A3="A-220-300",'2025'!$O$4="CA",'2025'!$O$2=BB423),'2025DATA'!$K$33,"")</f>
        <v/>
      </c>
      <c r="BC454" s="518" t="str">
        <f>IF(AND(_A3="A-220-300",'2025'!$O$4="CA",'2025'!$O$2=BC423),'2025DATA'!$L$33,"")</f>
        <v/>
      </c>
      <c r="BD454" s="518" t="str">
        <f>IF(AND(_A3="A-220-300",'2025'!$O$4="CA",'2025'!$O$2=BD423),'2025DATA'!$M$33,"")</f>
        <v/>
      </c>
      <c r="BE454" s="520" t="str">
        <f>IF(AND(_A3="A-220-300",'2025'!$O$4="CA",'2025'!$O$2=BE423),'2025DATA'!$N$33,"")</f>
        <v/>
      </c>
      <c r="BF454" s="940" t="s">
        <v>51</v>
      </c>
      <c r="BG454" s="13" t="s">
        <v>61</v>
      </c>
      <c r="BH454" s="518" t="str">
        <f>IF(AND(_A4="A-220-300",'2025'!$O$4="CA",'2025'!$O$2=BH423),'2025DATA'!$C$33,"")</f>
        <v/>
      </c>
      <c r="BI454" s="518" t="str">
        <f>IF(AND(_A4="A-220-300",'2025'!$O$4="CA",'2025'!$O$2=BI423),'2025DATA'!$D$33,"")</f>
        <v/>
      </c>
      <c r="BJ454" s="518" t="str">
        <f>IF(AND(_A4="A-220-300",'2025'!$O$4="CA",'2025'!$O$2=BJ423),'2025DATA'!$E$33,"")</f>
        <v/>
      </c>
      <c r="BK454" s="518" t="str">
        <f>IF(AND(_A4="A-220-300",'2025'!$O$4="CA",'2025'!$O$2=BK423),'2025DATA'!$F$33,"")</f>
        <v/>
      </c>
      <c r="BL454" s="518" t="str">
        <f>IF(AND(_A4="A-220-300",'2025'!$O$4="CA",'2025'!$O$2=BL423),'2025DATA'!$G$33,"")</f>
        <v/>
      </c>
      <c r="BM454" s="518" t="str">
        <f>IF(AND(_A4="A-220-300",'2025'!$O$4="CA",'2025'!$O$2=BM423),'2025DATA'!$H$33,"")</f>
        <v/>
      </c>
      <c r="BN454" s="518" t="str">
        <f>IF(AND(_A4="A-220-300",'2025'!$O$4="CA",'2025'!$O$2=BN423),'2025DATA'!$I$33,"")</f>
        <v/>
      </c>
      <c r="BO454" s="518" t="str">
        <f>IF(AND(_A4="A-220-300",'2025'!$O$4="CA",'2025'!$O$2=BO423),'2025DATA'!$J$33,"")</f>
        <v/>
      </c>
      <c r="BP454" s="518" t="str">
        <f>IF(AND(_A4="A-220-300",'2025'!$O$4="CA",'2025'!$O$2=BP423),'2025DATA'!$K$33,"")</f>
        <v/>
      </c>
      <c r="BQ454" s="518" t="str">
        <f>IF(AND(_A4="A-220-300",'2025'!$O$4="CA",'2025'!$O$2=BQ423),'2025DATA'!$L$33,"")</f>
        <v/>
      </c>
      <c r="BR454" s="518" t="str">
        <f>IF(AND(_A4="A-220-300",'2025'!$O$4="CA",'2025'!$O$2=BR423),'2025DATA'!$M$33,"")</f>
        <v/>
      </c>
      <c r="BS454" s="520" t="str">
        <f>IF(AND(_A4="A-220-300",'2025'!$O$4="CA",'2025'!$O$2=BS423),'2025DATA'!$N$33,"")</f>
        <v/>
      </c>
      <c r="BT454" s="940" t="s">
        <v>51</v>
      </c>
      <c r="BU454" s="13" t="s">
        <v>61</v>
      </c>
      <c r="BV454" s="518" t="str">
        <f>IF(AND(_A5="A-220-300",'2025'!$O$4="CA",'2025'!$O$2=BV423),'2025DATA'!$C$33,"")</f>
        <v/>
      </c>
      <c r="BW454" s="518" t="str">
        <f>IF(AND(_A5="A-220-300",'2025'!$O$4="CA",'2025'!$O$2=BW423),'2025DATA'!$D$33,"")</f>
        <v/>
      </c>
      <c r="BX454" s="518" t="str">
        <f>IF(AND(_A5="A-220-300",'2025'!$O$4="CA",'2025'!$O$2=BX423),'2025DATA'!$E$33,"")</f>
        <v/>
      </c>
      <c r="BY454" s="518" t="str">
        <f>IF(AND(_A5="A-220-300",'2025'!$O$4="CA",'2025'!$O$2=BY423),'2025DATA'!$F$33,"")</f>
        <v/>
      </c>
      <c r="BZ454" s="518" t="str">
        <f>IF(AND(_A5="A-220-300",'2025'!$O$4="CA",'2025'!$O$2=BZ423),'2025DATA'!$G$33,"")</f>
        <v/>
      </c>
      <c r="CA454" s="518" t="str">
        <f>IF(AND(_A5="A-220-300",'2025'!$O$4="CA",'2025'!$O$2=CA423),'2025DATA'!$H$33,"")</f>
        <v/>
      </c>
      <c r="CB454" s="518" t="str">
        <f>IF(AND(_A5="A-220-300",'2025'!$O$4="CA",'2025'!$O$2=CB423),'2025DATA'!$I$33,"")</f>
        <v/>
      </c>
      <c r="CC454" s="518" t="str">
        <f>IF(AND(_A5="A-220-300",'2025'!$O$4="CA",'2025'!$O$2=CC423),'2025DATA'!$J$33,"")</f>
        <v/>
      </c>
      <c r="CD454" s="518" t="str">
        <f>IF(AND(_A5="A-220-300",'2025'!$O$4="CA",'2025'!$O$2=CD423),'2025DATA'!$K$33,"")</f>
        <v/>
      </c>
      <c r="CE454" s="518" t="str">
        <f>IF(AND(_A5="A-220-300",'2025'!$O$4="CA",'2025'!$O$2=CE423),'2025DATA'!$L$33,"")</f>
        <v/>
      </c>
      <c r="CF454" s="518" t="str">
        <f>IF(AND(_A5="A-220-300",'2025'!$O$4="CA",'2025'!$O$2=CF423),'2025DATA'!$M$33,"")</f>
        <v/>
      </c>
      <c r="CG454" s="520" t="str">
        <f>IF(AND(_A5="A-220-300",'2025'!$O$4="CA",'2025'!$O$2=CG423),'2025DATA'!$N$33,"")</f>
        <v/>
      </c>
      <c r="CH454" s="940" t="s">
        <v>51</v>
      </c>
      <c r="CI454" s="13" t="s">
        <v>61</v>
      </c>
      <c r="CJ454" s="518" t="str">
        <f>IF(AND(_A6="A-220-300",'2025'!$O$4="CA",'2025'!$O$2=CJ423),'2025DATA'!$C$33,"")</f>
        <v/>
      </c>
      <c r="CK454" s="518" t="str">
        <f>IF(AND(_A6="A-220-300",'2025'!$O$4="CA",'2025'!$O$2=CK423),'2025DATA'!$D$33,"")</f>
        <v/>
      </c>
      <c r="CL454" s="518" t="str">
        <f>IF(AND(_A6="A-220-300",'2025'!$O$4="CA",'2025'!$O$2=CL423),'2025DATA'!$E$33,"")</f>
        <v/>
      </c>
      <c r="CM454" s="518" t="str">
        <f>IF(AND(_A6="A-220-300",'2025'!$O$4="CA",'2025'!$O$2=CM423),'2025DATA'!$F$33,"")</f>
        <v/>
      </c>
      <c r="CN454" s="518" t="str">
        <f>IF(AND(_A6="A-220-300",'2025'!$O$4="CA",'2025'!$O$2=CN423),'2025DATA'!$G$33,"")</f>
        <v/>
      </c>
      <c r="CO454" s="518" t="str">
        <f>IF(AND(_A6="A-220-300",'2025'!$O$4="CA",'2025'!$O$2=CO423),'2025DATA'!$H$33,"")</f>
        <v/>
      </c>
      <c r="CP454" s="518" t="str">
        <f>IF(AND(_A6="A-220-300",'2025'!$O$4="CA",'2025'!$O$2=CP423),'2025DATA'!$I$33,"")</f>
        <v/>
      </c>
      <c r="CQ454" s="518" t="str">
        <f>IF(AND(_A6="A-220-300",'2025'!$O$4="CA",'2025'!$O$2=CQ423),'2025DATA'!$J$33,"")</f>
        <v/>
      </c>
      <c r="CR454" s="518" t="str">
        <f>IF(AND(_A6="A-220-300",'2025'!$O$4="CA",'2025'!$O$2=CR423),'2025DATA'!$K$33,"")</f>
        <v/>
      </c>
      <c r="CS454" s="518" t="str">
        <f>IF(AND(_A6="A-220-300",'2025'!$O$4="CA",'2025'!$O$2=CS423),'2025DATA'!$L$33,"")</f>
        <v/>
      </c>
      <c r="CT454" s="518" t="str">
        <f>IF(AND(_A6="A-220-300",'2025'!$O$4="CA",'2025'!$O$2=CT423),'2025DATA'!$M$33,"")</f>
        <v/>
      </c>
      <c r="CU454" s="520" t="str">
        <f>IF(AND(_A6="A-220-300",'2025'!$O$4="CA",'2025'!$O$2=CU423),'2025DATA'!$N$33,"")</f>
        <v/>
      </c>
    </row>
    <row r="455" spans="16:99" x14ac:dyDescent="0.25">
      <c r="P455" s="940"/>
      <c r="Q455" s="13" t="s">
        <v>62</v>
      </c>
      <c r="R455" s="518" t="str">
        <f>IF(AND(_A1="A-220-300",'2025'!$O$4="FO",'2025'!$O$2=R423),'2025DATA'!$C$34,"")</f>
        <v/>
      </c>
      <c r="S455" s="518" t="str">
        <f>IF(AND(_A1="A-220-300",'2025'!$O$4="FO",'2025'!$O$2=S423),'2025DATA'!$D$34,"")</f>
        <v/>
      </c>
      <c r="T455" s="518" t="str">
        <f>IF(AND(_A1="A-220-300",'2025'!$O$4="FO",'2025'!$O$2=T423),'2025DATA'!$E$34,"")</f>
        <v/>
      </c>
      <c r="U455" s="518" t="str">
        <f>IF(AND(_A1="A-220-300",'2025'!$O$4="FO",'2025'!$O$2=U423),'2025DATA'!$F$34,"")</f>
        <v/>
      </c>
      <c r="V455" s="518" t="str">
        <f>IF(AND(_A1="A-220-300",'2025'!$O$4="FO",'2025'!$O$2=V423),'2025DATA'!$G$34,"")</f>
        <v/>
      </c>
      <c r="W455" s="518" t="str">
        <f>IF(AND(_A1="A-220-300",'2025'!$O$4="FO",'2025'!$O$2=W423),'2025DATA'!$H$34,"")</f>
        <v/>
      </c>
      <c r="X455" s="518" t="str">
        <f>IF(AND(_A1="A-220-300",'2025'!$O$4="FO",'2025'!$O$2=X423),'2025DATA'!$I$34,"")</f>
        <v/>
      </c>
      <c r="Y455" s="518" t="str">
        <f>IF(AND(_A1="A-220-300",'2025'!$O$4="FO",'2025'!$O$2=Y423),'2025DATA'!$J$34,"")</f>
        <v/>
      </c>
      <c r="Z455" s="518" t="str">
        <f>IF(AND(_A1="A-220-300",'2025'!$O$4="FO",'2025'!$O$2=Z423),'2025DATA'!$K$34,"")</f>
        <v/>
      </c>
      <c r="AA455" s="518" t="str">
        <f>IF(AND(_A1="A-220-300",'2025'!$O$4="FO",'2025'!$O$2=AA423),'2025DATA'!$L$34,"")</f>
        <v/>
      </c>
      <c r="AB455" s="518" t="str">
        <f>IF(AND(_A1="A-220-300",'2025'!$O$4="FO",'2025'!$O$2=AB423),'2025DATA'!$M$34,"")</f>
        <v/>
      </c>
      <c r="AC455" s="520" t="str">
        <f>IF(AND(_A1="A-220-300",'2025'!$O$4="FO",'2025'!$O$2=AC423),'2025DATA'!$N$34,"")</f>
        <v/>
      </c>
      <c r="AD455" s="940"/>
      <c r="AE455" s="13" t="s">
        <v>62</v>
      </c>
      <c r="AF455" s="518" t="str">
        <f>IF(AND(_A2="A-220-300",'2025'!$O$4="FO",'2025'!$O$2=AF423),'2025DATA'!$C$34,"")</f>
        <v/>
      </c>
      <c r="AG455" s="518" t="str">
        <f>IF(AND(_A2="A-220-300",'2025'!$O$4="FO",'2025'!$O$2=AG423),'2025DATA'!$D$34,"")</f>
        <v/>
      </c>
      <c r="AH455" s="518" t="str">
        <f>IF(AND(_A2="A-220-300",'2025'!$O$4="FO",'2025'!$O$2=AH423),'2025DATA'!$E$34,"")</f>
        <v/>
      </c>
      <c r="AI455" s="518" t="str">
        <f>IF(AND(_A2="A-220-300",'2025'!$O$4="FO",'2025'!$O$2=AI423),'2025DATA'!$F$34,"")</f>
        <v/>
      </c>
      <c r="AJ455" s="518" t="str">
        <f>IF(AND(_A2="A-220-300",'2025'!$O$4="FO",'2025'!$O$2=AJ423),'2025DATA'!$G$34,"")</f>
        <v/>
      </c>
      <c r="AK455" s="518" t="str">
        <f>IF(AND(_A2="A-220-300",'2025'!$O$4="FO",'2025'!$O$2=AK423),'2025DATA'!$H$34,"")</f>
        <v/>
      </c>
      <c r="AL455" s="518" t="str">
        <f>IF(AND(_A2="A-220-300",'2025'!$O$4="FO",'2025'!$O$2=AL423),'2025DATA'!$I$34,"")</f>
        <v/>
      </c>
      <c r="AM455" s="518" t="str">
        <f>IF(AND(_A2="A-220-300",'2025'!$O$4="FO",'2025'!$O$2=AM423),'2025DATA'!$J$34,"")</f>
        <v/>
      </c>
      <c r="AN455" s="518" t="str">
        <f>IF(AND(_A2="A-220-300",'2025'!$O$4="FO",'2025'!$O$2=AN423),'2025DATA'!$K$34,"")</f>
        <v/>
      </c>
      <c r="AO455" s="518" t="str">
        <f>IF(AND(_A2="A-220-300",'2025'!$O$4="FO",'2025'!$O$2=AO423),'2025DATA'!$L$34,"")</f>
        <v/>
      </c>
      <c r="AP455" s="518" t="str">
        <f>IF(AND(_A2="A-220-300",'2025'!$O$4="FO",'2025'!$O$2=AP423),'2025DATA'!$M$34,"")</f>
        <v/>
      </c>
      <c r="AQ455" s="520" t="str">
        <f>IF(AND(_A2="A-220-300",'2025'!$O$4="FO",'2025'!$O$2=AQ423),'2025DATA'!$N$34,"")</f>
        <v/>
      </c>
      <c r="AR455" s="940"/>
      <c r="AS455" s="13" t="s">
        <v>62</v>
      </c>
      <c r="AT455" s="518" t="str">
        <f>IF(AND(_A3="A-220-300",'2025'!$O$4="FO",'2025'!$O$2=AT423),'2025DATA'!$C$34,"")</f>
        <v/>
      </c>
      <c r="AU455" s="518" t="str">
        <f>IF(AND(_A3="A-220-300",'2025'!$O$4="FO",'2025'!$O$2=AU423),'2025DATA'!$D$34,"")</f>
        <v/>
      </c>
      <c r="AV455" s="518" t="str">
        <f>IF(AND(_A3="A-220-300",'2025'!$O$4="FO",'2025'!$O$2=AV423),'2025DATA'!$E$34,"")</f>
        <v/>
      </c>
      <c r="AW455" s="518" t="str">
        <f>IF(AND(_A3="A-220-300",'2025'!$O$4="FO",'2025'!$O$2=AW423),'2025DATA'!$F$34,"")</f>
        <v/>
      </c>
      <c r="AX455" s="518" t="str">
        <f>IF(AND(_A3="A-220-300",'2025'!$O$4="FO",'2025'!$O$2=AX423),'2025DATA'!$G$34,"")</f>
        <v/>
      </c>
      <c r="AY455" s="518" t="str">
        <f>IF(AND(_A3="A-220-300",'2025'!$O$4="FO",'2025'!$O$2=AY423),'2025DATA'!$H$34,"")</f>
        <v/>
      </c>
      <c r="AZ455" s="518" t="str">
        <f>IF(AND(_A3="A-220-300",'2025'!$O$4="FO",'2025'!$O$2=AZ423),'2025DATA'!$I$34,"")</f>
        <v/>
      </c>
      <c r="BA455" s="518" t="str">
        <f>IF(AND(_A3="A-220-300",'2025'!$O$4="FO",'2025'!$O$2=BA423),'2025DATA'!$J$34,"")</f>
        <v/>
      </c>
      <c r="BB455" s="518" t="str">
        <f>IF(AND(_A3="A-220-300",'2025'!$O$4="FO",'2025'!$O$2=BB423),'2025DATA'!$K$34,"")</f>
        <v/>
      </c>
      <c r="BC455" s="518" t="str">
        <f>IF(AND(_A3="A-220-300",'2025'!$O$4="FO",'2025'!$O$2=BC423),'2025DATA'!$L$34,"")</f>
        <v/>
      </c>
      <c r="BD455" s="518" t="str">
        <f>IF(AND(_A3="A-220-300",'2025'!$O$4="FO",'2025'!$O$2=BD423),'2025DATA'!$M$34,"")</f>
        <v/>
      </c>
      <c r="BE455" s="520" t="str">
        <f>IF(AND(_A3="A-220-300",'2025'!$O$4="FO",'2025'!$O$2=BE423),'2025DATA'!$N$34,"")</f>
        <v/>
      </c>
      <c r="BF455" s="940"/>
      <c r="BG455" s="13" t="s">
        <v>62</v>
      </c>
      <c r="BH455" s="518" t="str">
        <f>IF(AND(_A4="A-220-300",'2025'!$O$4="FO",'2025'!$O$2=BH423),'2025DATA'!$C$34,"")</f>
        <v/>
      </c>
      <c r="BI455" s="518" t="str">
        <f>IF(AND(_A4="A-220-300",'2025'!$O$4="FO",'2025'!$O$2=BI423),'2025DATA'!$D$34,"")</f>
        <v/>
      </c>
      <c r="BJ455" s="518" t="str">
        <f>IF(AND(_A4="A-220-300",'2025'!$O$4="FO",'2025'!$O$2=BJ423),'2025DATA'!$E$34,"")</f>
        <v/>
      </c>
      <c r="BK455" s="518" t="str">
        <f>IF(AND(_A4="A-220-300",'2025'!$O$4="FO",'2025'!$O$2=BK423),'2025DATA'!$F$34,"")</f>
        <v/>
      </c>
      <c r="BL455" s="518" t="str">
        <f>IF(AND(_A4="A-220-300",'2025'!$O$4="FO",'2025'!$O$2=BL423),'2025DATA'!$G$34,"")</f>
        <v/>
      </c>
      <c r="BM455" s="518" t="str">
        <f>IF(AND(_A4="A-220-300",'2025'!$O$4="FO",'2025'!$O$2=BM423),'2025DATA'!$H$34,"")</f>
        <v/>
      </c>
      <c r="BN455" s="518" t="str">
        <f>IF(AND(_A4="A-220-300",'2025'!$O$4="FO",'2025'!$O$2=BN423),'2025DATA'!$I$34,"")</f>
        <v/>
      </c>
      <c r="BO455" s="518" t="str">
        <f>IF(AND(_A4="A-220-300",'2025'!$O$4="FO",'2025'!$O$2=BO423),'2025DATA'!$J$34,"")</f>
        <v/>
      </c>
      <c r="BP455" s="518" t="str">
        <f>IF(AND(_A4="A-220-300",'2025'!$O$4="FO",'2025'!$O$2=BP423),'2025DATA'!$K$34,"")</f>
        <v/>
      </c>
      <c r="BQ455" s="518" t="str">
        <f>IF(AND(_A4="A-220-300",'2025'!$O$4="FO",'2025'!$O$2=BQ423),'2025DATA'!$L$34,"")</f>
        <v/>
      </c>
      <c r="BR455" s="518" t="str">
        <f>IF(AND(_A4="A-220-300",'2025'!$O$4="FO",'2025'!$O$2=BR423),'2025DATA'!$M$34,"")</f>
        <v/>
      </c>
      <c r="BS455" s="520" t="str">
        <f>IF(AND(_A4="A-220-300",'2025'!$O$4="FO",'2025'!$O$2=BS423),'2025DATA'!$N$34,"")</f>
        <v/>
      </c>
      <c r="BT455" s="940"/>
      <c r="BU455" s="13" t="s">
        <v>62</v>
      </c>
      <c r="BV455" s="518" t="str">
        <f>IF(AND(_A5="A-220-300",'2025'!$O$4="FO",'2025'!$O$2=BV423),'2025DATA'!$C$34,"")</f>
        <v/>
      </c>
      <c r="BW455" s="518" t="str">
        <f>IF(AND(_A5="A-220-300",'2025'!$O$4="FO",'2025'!$O$2=BW423),'2025DATA'!$D$34,"")</f>
        <v/>
      </c>
      <c r="BX455" s="518" t="str">
        <f>IF(AND(_A5="A-220-300",'2025'!$O$4="FO",'2025'!$O$2=BX423),'2025DATA'!$E$34,"")</f>
        <v/>
      </c>
      <c r="BY455" s="518" t="str">
        <f>IF(AND(_A5="A-220-300",'2025'!$O$4="FO",'2025'!$O$2=BY423),'2025DATA'!$F$34,"")</f>
        <v/>
      </c>
      <c r="BZ455" s="518" t="str">
        <f>IF(AND(_A5="A-220-300",'2025'!$O$4="FO",'2025'!$O$2=BZ423),'2025DATA'!$G$34,"")</f>
        <v/>
      </c>
      <c r="CA455" s="518" t="str">
        <f>IF(AND(_A5="A-220-300",'2025'!$O$4="FO",'2025'!$O$2=CA423),'2025DATA'!$H$34,"")</f>
        <v/>
      </c>
      <c r="CB455" s="518" t="str">
        <f>IF(AND(_A5="A-220-300",'2025'!$O$4="FO",'2025'!$O$2=CB423),'2025DATA'!$I$34,"")</f>
        <v/>
      </c>
      <c r="CC455" s="518" t="str">
        <f>IF(AND(_A5="A-220-300",'2025'!$O$4="FO",'2025'!$O$2=CC423),'2025DATA'!$J$34,"")</f>
        <v/>
      </c>
      <c r="CD455" s="518" t="str">
        <f>IF(AND(_A5="A-220-300",'2025'!$O$4="FO",'2025'!$O$2=CD423),'2025DATA'!$K$34,"")</f>
        <v/>
      </c>
      <c r="CE455" s="518" t="str">
        <f>IF(AND(_A5="A-220-300",'2025'!$O$4="FO",'2025'!$O$2=CE423),'2025DATA'!$L$34,"")</f>
        <v/>
      </c>
      <c r="CF455" s="518" t="str">
        <f>IF(AND(_A5="A-220-300",'2025'!$O$4="FO",'2025'!$O$2=CF423),'2025DATA'!$M$34,"")</f>
        <v/>
      </c>
      <c r="CG455" s="520" t="str">
        <f>IF(AND(_A5="A-220-300",'2025'!$O$4="FO",'2025'!$O$2=CG423),'2025DATA'!$N$34,"")</f>
        <v/>
      </c>
      <c r="CH455" s="940"/>
      <c r="CI455" s="13" t="s">
        <v>62</v>
      </c>
      <c r="CJ455" s="518" t="str">
        <f>IF(AND(_A6="A-220-300",'2025'!$O$4="FO",'2025'!$O$2=CJ423),'2025DATA'!$C$34,"")</f>
        <v/>
      </c>
      <c r="CK455" s="518" t="str">
        <f>IF(AND(_A6="A-220-300",'2025'!$O$4="FO",'2025'!$O$2=CK423),'2025DATA'!$D$34,"")</f>
        <v/>
      </c>
      <c r="CL455" s="518" t="str">
        <f>IF(AND(_A6="A-220-300",'2025'!$O$4="FO",'2025'!$O$2=CL423),'2025DATA'!$E$34,"")</f>
        <v/>
      </c>
      <c r="CM455" s="518" t="str">
        <f>IF(AND(_A6="A-220-300",'2025'!$O$4="FO",'2025'!$O$2=CM423),'2025DATA'!$F$34,"")</f>
        <v/>
      </c>
      <c r="CN455" s="518" t="str">
        <f>IF(AND(_A6="A-220-300",'2025'!$O$4="FO",'2025'!$O$2=CN423),'2025DATA'!$G$34,"")</f>
        <v/>
      </c>
      <c r="CO455" s="518" t="str">
        <f>IF(AND(_A6="A-220-300",'2025'!$O$4="FO",'2025'!$O$2=CO423),'2025DATA'!$H$34,"")</f>
        <v/>
      </c>
      <c r="CP455" s="518" t="str">
        <f>IF(AND(_A6="A-220-300",'2025'!$O$4="FO",'2025'!$O$2=CP423),'2025DATA'!$I$34,"")</f>
        <v/>
      </c>
      <c r="CQ455" s="518" t="str">
        <f>IF(AND(_A6="A-220-300",'2025'!$O$4="FO",'2025'!$O$2=CQ423),'2025DATA'!$J$34,"")</f>
        <v/>
      </c>
      <c r="CR455" s="518" t="str">
        <f>IF(AND(_A6="A-220-300",'2025'!$O$4="FO",'2025'!$O$2=CR423),'2025DATA'!$K$34,"")</f>
        <v/>
      </c>
      <c r="CS455" s="518" t="str">
        <f>IF(AND(_A6="A-220-300",'2025'!$O$4="FO",'2025'!$O$2=CS423),'2025DATA'!$L$34,"")</f>
        <v/>
      </c>
      <c r="CT455" s="518" t="str">
        <f>IF(AND(_A6="A-220-300",'2025'!$O$4="FO",'2025'!$O$2=CT423),'2025DATA'!$M$34,"")</f>
        <v/>
      </c>
      <c r="CU455" s="520" t="str">
        <f>IF(AND(_A6="A-220-300",'2025'!$O$4="FO",'2025'!$O$2=CU423),'2025DATA'!$N$34,"")</f>
        <v/>
      </c>
    </row>
    <row r="456" spans="16:99" x14ac:dyDescent="0.25">
      <c r="P456" s="940" t="s">
        <v>52</v>
      </c>
      <c r="Q456" s="13" t="s">
        <v>61</v>
      </c>
      <c r="R456" s="518" t="str">
        <f>IF(AND(_A1="A-220-100",'2025'!$O$4="CA",'2025'!$O$2=R423),'2025DATA'!$C$35,"")</f>
        <v/>
      </c>
      <c r="S456" s="518" t="str">
        <f>IF(AND(_A1="A-220-100",'2025'!$O$4="CA",'2025'!$O$2=S423),'2025DATA'!$D$35,"")</f>
        <v/>
      </c>
      <c r="T456" s="518" t="str">
        <f>IF(AND(_A1="A-220-100",'2025'!$O$4="CA",'2025'!$O$2=T423),'2025DATA'!$E$35,"")</f>
        <v/>
      </c>
      <c r="U456" s="518" t="str">
        <f>IF(AND(_A1="A-220-100",'2025'!$O$4="CA",'2025'!$O$2=U423),'2025DATA'!$F$35,"")</f>
        <v/>
      </c>
      <c r="V456" s="518" t="str">
        <f>IF(AND(_A1="A-220-100",'2025'!$O$4="CA",'2025'!$O$2=V423),'2025DATA'!$G$35,"")</f>
        <v/>
      </c>
      <c r="W456" s="518" t="str">
        <f>IF(AND(_A1="A-220-100",'2025'!$O$4="CA",'2025'!$O$2=W423),'2025DATA'!$H$35,"")</f>
        <v/>
      </c>
      <c r="X456" s="518" t="str">
        <f>IF(AND(_A1="A-220-100",'2025'!$O$4="CA",'2025'!$O$2=X423),'2025DATA'!$I$35,"")</f>
        <v/>
      </c>
      <c r="Y456" s="518" t="str">
        <f>IF(AND(_A1="A-220-100",'2025'!$O$4="CA",'2025'!$O$2=Y423),'2025DATA'!$J$35,"")</f>
        <v/>
      </c>
      <c r="Z456" s="518" t="str">
        <f>IF(AND(_A1="A-220-100",'2025'!$O$4="CA",'2025'!$O$2=Z423),'2025DATA'!$K$35,"")</f>
        <v/>
      </c>
      <c r="AA456" s="518" t="str">
        <f>IF(AND(_A1="A-220-100",'2025'!$O$4="CA",'2025'!$O$2=AA423),'2025DATA'!$L$35,"")</f>
        <v/>
      </c>
      <c r="AB456" s="518" t="str">
        <f>IF(AND(_A1="A-220-100",'2025'!$O$4="CA",'2025'!$O$2=AB423),'2025DATA'!$M$35,"")</f>
        <v/>
      </c>
      <c r="AC456" s="520" t="str">
        <f>IF(AND(_A1="A-220-100",'2025'!$O$4="CA",'2025'!$O$2=AC423),'2025DATA'!$N$35,"")</f>
        <v/>
      </c>
      <c r="AD456" s="940" t="s">
        <v>52</v>
      </c>
      <c r="AE456" s="13" t="s">
        <v>61</v>
      </c>
      <c r="AF456" s="518" t="str">
        <f>IF(AND(_A2="A-220-100",'2025'!$O$4="CA",'2025'!$O$2=AF423),'2025DATA'!$C$35,"")</f>
        <v/>
      </c>
      <c r="AG456" s="518" t="str">
        <f>IF(AND(_A2="A-220-100",'2025'!$O$4="CA",'2025'!$O$2=AG423),'2025DATA'!$D$35,"")</f>
        <v/>
      </c>
      <c r="AH456" s="518" t="str">
        <f>IF(AND(_A2="A-220-100",'2025'!$O$4="CA",'2025'!$O$2=AH423),'2025DATA'!$E$35,"")</f>
        <v/>
      </c>
      <c r="AI456" s="518" t="str">
        <f>IF(AND(_A2="A-220-100",'2025'!$O$4="CA",'2025'!$O$2=AI423),'2025DATA'!$F$35,"")</f>
        <v/>
      </c>
      <c r="AJ456" s="518" t="str">
        <f>IF(AND(_A2="A-220-100",'2025'!$O$4="CA",'2025'!$O$2=AJ423),'2025DATA'!$G$35,"")</f>
        <v/>
      </c>
      <c r="AK456" s="518" t="str">
        <f>IF(AND(_A2="A-220-100",'2025'!$O$4="CA",'2025'!$O$2=AK423),'2025DATA'!$H$35,"")</f>
        <v/>
      </c>
      <c r="AL456" s="518" t="str">
        <f>IF(AND(_A2="A-220-100",'2025'!$O$4="CA",'2025'!$O$2=AL423),'2025DATA'!$I$35,"")</f>
        <v/>
      </c>
      <c r="AM456" s="518" t="str">
        <f>IF(AND(_A2="A-220-100",'2025'!$O$4="CA",'2025'!$O$2=AM423),'2025DATA'!$J$35,"")</f>
        <v/>
      </c>
      <c r="AN456" s="518" t="str">
        <f>IF(AND(_A2="A-220-100",'2025'!$O$4="CA",'2025'!$O$2=AN423),'2025DATA'!$K$35,"")</f>
        <v/>
      </c>
      <c r="AO456" s="518" t="str">
        <f>IF(AND(_A2="A-220-100",'2025'!$O$4="CA",'2025'!$O$2=AO423),'2025DATA'!$L$35,"")</f>
        <v/>
      </c>
      <c r="AP456" s="518" t="str">
        <f>IF(AND(_A2="A-220-100",'2025'!$O$4="CA",'2025'!$O$2=AP423),'2025DATA'!$M$35,"")</f>
        <v/>
      </c>
      <c r="AQ456" s="520" t="str">
        <f>IF(AND(_A2="A-220-100",'2025'!$O$4="CA",'2025'!$O$2=AQ423),'2025DATA'!$N$35,"")</f>
        <v/>
      </c>
      <c r="AR456" s="940" t="s">
        <v>52</v>
      </c>
      <c r="AS456" s="13" t="s">
        <v>61</v>
      </c>
      <c r="AT456" s="518" t="str">
        <f>IF(AND(_A3="A-220-100",'2025'!$O$4="CA",'2025'!$O$2=AT423),'2025DATA'!$C$35,"")</f>
        <v/>
      </c>
      <c r="AU456" s="518" t="str">
        <f>IF(AND(_A3="A-220-100",'2025'!$O$4="CA",'2025'!$O$2=AU423),'2025DATA'!$D$35,"")</f>
        <v/>
      </c>
      <c r="AV456" s="518" t="str">
        <f>IF(AND(_A3="A-220-100",'2025'!$O$4="CA",'2025'!$O$2=AV423),'2025DATA'!$E$35,"")</f>
        <v/>
      </c>
      <c r="AW456" s="518" t="str">
        <f>IF(AND(_A3="A-220-100",'2025'!$O$4="CA",'2025'!$O$2=AW423),'2025DATA'!$F$35,"")</f>
        <v/>
      </c>
      <c r="AX456" s="518" t="str">
        <f>IF(AND(_A3="A-220-100",'2025'!$O$4="CA",'2025'!$O$2=AX423),'2025DATA'!$G$35,"")</f>
        <v/>
      </c>
      <c r="AY456" s="518" t="str">
        <f>IF(AND(_A3="A-220-100",'2025'!$O$4="CA",'2025'!$O$2=AY423),'2025DATA'!$H$35,"")</f>
        <v/>
      </c>
      <c r="AZ456" s="518" t="str">
        <f>IF(AND(_A3="A-220-100",'2025'!$O$4="CA",'2025'!$O$2=AZ423),'2025DATA'!$I$35,"")</f>
        <v/>
      </c>
      <c r="BA456" s="518" t="str">
        <f>IF(AND(_A3="A-220-100",'2025'!$O$4="CA",'2025'!$O$2=BA423),'2025DATA'!$J$35,"")</f>
        <v/>
      </c>
      <c r="BB456" s="518" t="str">
        <f>IF(AND(_A3="A-220-100",'2025'!$O$4="CA",'2025'!$O$2=BB423),'2025DATA'!$K$35,"")</f>
        <v/>
      </c>
      <c r="BC456" s="518" t="str">
        <f>IF(AND(_A3="A-220-100",'2025'!$O$4="CA",'2025'!$O$2=BC423),'2025DATA'!$L$35,"")</f>
        <v/>
      </c>
      <c r="BD456" s="518" t="str">
        <f>IF(AND(_A3="A-220-100",'2025'!$O$4="CA",'2025'!$O$2=BD423),'2025DATA'!$M$35,"")</f>
        <v/>
      </c>
      <c r="BE456" s="520" t="str">
        <f>IF(AND(_A3="A-220-100",'2025'!$O$4="CA",'2025'!$O$2=BE423),'2025DATA'!$N$35,"")</f>
        <v/>
      </c>
      <c r="BF456" s="940" t="s">
        <v>52</v>
      </c>
      <c r="BG456" s="13" t="s">
        <v>61</v>
      </c>
      <c r="BH456" s="518" t="str">
        <f>IF(AND(_A4="A-220-100",'2025'!$O$4="CA",'2025'!$O$2=BH423),'2025DATA'!$C$35,"")</f>
        <v/>
      </c>
      <c r="BI456" s="518" t="str">
        <f>IF(AND(_A4="A-220-100",'2025'!$O$4="CA",'2025'!$O$2=BI423),'2025DATA'!$D$35,"")</f>
        <v/>
      </c>
      <c r="BJ456" s="518" t="str">
        <f>IF(AND(_A4="A-220-100",'2025'!$O$4="CA",'2025'!$O$2=BJ423),'2025DATA'!$E$35,"")</f>
        <v/>
      </c>
      <c r="BK456" s="518" t="str">
        <f>IF(AND(_A4="A-220-100",'2025'!$O$4="CA",'2025'!$O$2=BK423),'2025DATA'!$F$35,"")</f>
        <v/>
      </c>
      <c r="BL456" s="518" t="str">
        <f>IF(AND(_A4="A-220-100",'2025'!$O$4="CA",'2025'!$O$2=BL423),'2025DATA'!$G$35,"")</f>
        <v/>
      </c>
      <c r="BM456" s="518" t="str">
        <f>IF(AND(_A4="A-220-100",'2025'!$O$4="CA",'2025'!$O$2=BM423),'2025DATA'!$H$35,"")</f>
        <v/>
      </c>
      <c r="BN456" s="518" t="str">
        <f>IF(AND(_A4="A-220-100",'2025'!$O$4="CA",'2025'!$O$2=BN423),'2025DATA'!$I$35,"")</f>
        <v/>
      </c>
      <c r="BO456" s="518" t="str">
        <f>IF(AND(_A4="A-220-100",'2025'!$O$4="CA",'2025'!$O$2=BO423),'2025DATA'!$J$35,"")</f>
        <v/>
      </c>
      <c r="BP456" s="518" t="str">
        <f>IF(AND(_A4="A-220-100",'2025'!$O$4="CA",'2025'!$O$2=BP423),'2025DATA'!$K$35,"")</f>
        <v/>
      </c>
      <c r="BQ456" s="518" t="str">
        <f>IF(AND(_A4="A-220-100",'2025'!$O$4="CA",'2025'!$O$2=BQ423),'2025DATA'!$L$35,"")</f>
        <v/>
      </c>
      <c r="BR456" s="518" t="str">
        <f>IF(AND(_A4="A-220-100",'2025'!$O$4="CA",'2025'!$O$2=BR423),'2025DATA'!$M$35,"")</f>
        <v/>
      </c>
      <c r="BS456" s="520" t="str">
        <f>IF(AND(_A4="A-220-100",'2025'!$O$4="CA",'2025'!$O$2=BS423),'2025DATA'!$N$35,"")</f>
        <v/>
      </c>
      <c r="BT456" s="940" t="s">
        <v>52</v>
      </c>
      <c r="BU456" s="13" t="s">
        <v>61</v>
      </c>
      <c r="BV456" s="518" t="str">
        <f>IF(AND(_A5="A-220-100",'2025'!$O$4="CA",'2025'!$O$2=BV423),'2025DATA'!$C$35,"")</f>
        <v/>
      </c>
      <c r="BW456" s="518" t="str">
        <f>IF(AND(_A5="A-220-100",'2025'!$O$4="CA",'2025'!$O$2=BW423),'2025DATA'!$D$35,"")</f>
        <v/>
      </c>
      <c r="BX456" s="518" t="str">
        <f>IF(AND(_A5="A-220-100",'2025'!$O$4="CA",'2025'!$O$2=BX423),'2025DATA'!$E$35,"")</f>
        <v/>
      </c>
      <c r="BY456" s="518" t="str">
        <f>IF(AND(_A5="A-220-100",'2025'!$O$4="CA",'2025'!$O$2=BY423),'2025DATA'!$F$35,"")</f>
        <v/>
      </c>
      <c r="BZ456" s="518" t="str">
        <f>IF(AND(_A5="A-220-100",'2025'!$O$4="CA",'2025'!$O$2=BZ423),'2025DATA'!$G$35,"")</f>
        <v/>
      </c>
      <c r="CA456" s="518" t="str">
        <f>IF(AND(_A5="A-220-100",'2025'!$O$4="CA",'2025'!$O$2=CA423),'2025DATA'!$H$35,"")</f>
        <v/>
      </c>
      <c r="CB456" s="518" t="str">
        <f>IF(AND(_A5="A-220-100",'2025'!$O$4="CA",'2025'!$O$2=CB423),'2025DATA'!$I$35,"")</f>
        <v/>
      </c>
      <c r="CC456" s="518" t="str">
        <f>IF(AND(_A5="A-220-100",'2025'!$O$4="CA",'2025'!$O$2=CC423),'2025DATA'!$J$35,"")</f>
        <v/>
      </c>
      <c r="CD456" s="518" t="str">
        <f>IF(AND(_A5="A-220-100",'2025'!$O$4="CA",'2025'!$O$2=CD423),'2025DATA'!$K$35,"")</f>
        <v/>
      </c>
      <c r="CE456" s="518" t="str">
        <f>IF(AND(_A5="A-220-100",'2025'!$O$4="CA",'2025'!$O$2=CE423),'2025DATA'!$L$35,"")</f>
        <v/>
      </c>
      <c r="CF456" s="518" t="str">
        <f>IF(AND(_A5="A-220-100",'2025'!$O$4="CA",'2025'!$O$2=CF423),'2025DATA'!$M$35,"")</f>
        <v/>
      </c>
      <c r="CG456" s="520" t="str">
        <f>IF(AND(_A5="A-220-100",'2025'!$O$4="CA",'2025'!$O$2=CG423),'2025DATA'!$N$35,"")</f>
        <v/>
      </c>
      <c r="CH456" s="940" t="s">
        <v>52</v>
      </c>
      <c r="CI456" s="13" t="s">
        <v>61</v>
      </c>
      <c r="CJ456" s="518" t="str">
        <f>IF(AND(_A6="A-220-100",'2025'!$O$4="CA",'2025'!$O$2=CJ423),'2025DATA'!$C$35,"")</f>
        <v/>
      </c>
      <c r="CK456" s="518" t="str">
        <f>IF(AND(_A6="A-220-100",'2025'!$O$4="CA",'2025'!$O$2=CK423),'2025DATA'!$D$35,"")</f>
        <v/>
      </c>
      <c r="CL456" s="518" t="str">
        <f>IF(AND(_A6="A-220-100",'2025'!$O$4="CA",'2025'!$O$2=CL423),'2025DATA'!$E$35,"")</f>
        <v/>
      </c>
      <c r="CM456" s="518" t="str">
        <f>IF(AND(_A6="A-220-100",'2025'!$O$4="CA",'2025'!$O$2=CM423),'2025DATA'!$F$35,"")</f>
        <v/>
      </c>
      <c r="CN456" s="518" t="str">
        <f>IF(AND(_A6="A-220-100",'2025'!$O$4="CA",'2025'!$O$2=CN423),'2025DATA'!$G$35,"")</f>
        <v/>
      </c>
      <c r="CO456" s="518" t="str">
        <f>IF(AND(_A6="A-220-100",'2025'!$O$4="CA",'2025'!$O$2=CO423),'2025DATA'!$H$35,"")</f>
        <v/>
      </c>
      <c r="CP456" s="518" t="str">
        <f>IF(AND(_A6="A-220-100",'2025'!$O$4="CA",'2025'!$O$2=CP423),'2025DATA'!$I$35,"")</f>
        <v/>
      </c>
      <c r="CQ456" s="518" t="str">
        <f>IF(AND(_A6="A-220-100",'2025'!$O$4="CA",'2025'!$O$2=CQ423),'2025DATA'!$J$35,"")</f>
        <v/>
      </c>
      <c r="CR456" s="518" t="str">
        <f>IF(AND(_A6="A-220-100",'2025'!$O$4="CA",'2025'!$O$2=CR423),'2025DATA'!$K$35,"")</f>
        <v/>
      </c>
      <c r="CS456" s="518" t="str">
        <f>IF(AND(_A6="A-220-100",'2025'!$O$4="CA",'2025'!$O$2=CS423),'2025DATA'!$L$35,"")</f>
        <v/>
      </c>
      <c r="CT456" s="518" t="str">
        <f>IF(AND(_A6="A-220-100",'2025'!$O$4="CA",'2025'!$O$2=CT423),'2025DATA'!$M$35,"")</f>
        <v/>
      </c>
      <c r="CU456" s="520" t="str">
        <f>IF(AND(_A6="A-220-100",'2025'!$O$4="CA",'2025'!$O$2=CU423),'2025DATA'!$N$35,"")</f>
        <v/>
      </c>
    </row>
    <row r="457" spans="16:99" x14ac:dyDescent="0.25">
      <c r="P457" s="940"/>
      <c r="Q457" s="13" t="s">
        <v>62</v>
      </c>
      <c r="R457" s="518" t="str">
        <f>IF(AND(_A1="A-220-100",'2025'!$O$4="FO",'2025'!$O$2=R423),'2025DATA'!$C$36,"")</f>
        <v/>
      </c>
      <c r="S457" s="518" t="str">
        <f>IF(AND(_A1="A-220-100",'2025'!$O$4="FO",'2025'!$O$2=S423),'2025DATA'!$D$36,"")</f>
        <v/>
      </c>
      <c r="T457" s="518" t="str">
        <f>IF(AND(_A1="A-220-100",'2025'!$O$4="FO",'2025'!$O$2=T423),'2025DATA'!$E$36,"")</f>
        <v/>
      </c>
      <c r="U457" s="518" t="str">
        <f>IF(AND(_A1="A-220-100",'2025'!$O$4="FO",'2025'!$O$2=U423),'2025DATA'!$F$36,"")</f>
        <v/>
      </c>
      <c r="V457" s="518" t="str">
        <f>IF(AND(_A1="A-220-100",'2025'!$O$4="FO",'2025'!$O$2=V423),'2025DATA'!$G$36,"")</f>
        <v/>
      </c>
      <c r="W457" s="518" t="str">
        <f>IF(AND(_A1="A-220-100",'2025'!$O$4="FO",'2025'!$O$2=W423),'2025DATA'!$H$36,"")</f>
        <v/>
      </c>
      <c r="X457" s="518" t="str">
        <f>IF(AND(_A1="A-220-100",'2025'!$O$4="FO",'2025'!$O$2=X423),'2025DATA'!$I$36,"")</f>
        <v/>
      </c>
      <c r="Y457" s="518" t="str">
        <f>IF(AND(_A1="A-220-100",'2025'!$O$4="FO",'2025'!$O$2=Y423),'2025DATA'!$J$36,"")</f>
        <v/>
      </c>
      <c r="Z457" s="518" t="str">
        <f>IF(AND(_A1="A-220-100",'2025'!$O$4="FO",'2025'!$O$2=Z423),'2025DATA'!$K$36,"")</f>
        <v/>
      </c>
      <c r="AA457" s="518" t="str">
        <f>IF(AND(_A1="A-220-100",'2025'!$O$4="FO",'2025'!$O$2=AA423),'2025DATA'!$L$36,"")</f>
        <v/>
      </c>
      <c r="AB457" s="518" t="str">
        <f>IF(AND(_A1="A-220-100",'2025'!$O$4="FO",'2025'!$O$2=AB423),'2025DATA'!$M$36,"")</f>
        <v/>
      </c>
      <c r="AC457" s="520" t="str">
        <f>IF(AND(_A1="A-220-100",'2025'!$O$4="FO",'2025'!$O$2=AC423),'2025DATA'!$N$36,"")</f>
        <v/>
      </c>
      <c r="AD457" s="940"/>
      <c r="AE457" s="13" t="s">
        <v>62</v>
      </c>
      <c r="AF457" s="518" t="str">
        <f>IF(AND(_A2="A-220-100",'2025'!$O$4="FO",'2025'!$O$2=AF423),'2025DATA'!$C$36,"")</f>
        <v/>
      </c>
      <c r="AG457" s="518" t="str">
        <f>IF(AND(_A2="A-220-100",'2025'!$O$4="FO",'2025'!$O$2=AG423),'2025DATA'!$D$36,"")</f>
        <v/>
      </c>
      <c r="AH457" s="518" t="str">
        <f>IF(AND(_A2="A-220-100",'2025'!$O$4="FO",'2025'!$O$2=AH423),'2025DATA'!$E$36,"")</f>
        <v/>
      </c>
      <c r="AI457" s="518" t="str">
        <f>IF(AND(_A2="A-220-100",'2025'!$O$4="FO",'2025'!$O$2=AI423),'2025DATA'!$F$36,"")</f>
        <v/>
      </c>
      <c r="AJ457" s="518" t="str">
        <f>IF(AND(_A2="A-220-100",'2025'!$O$4="FO",'2025'!$O$2=AJ423),'2025DATA'!$G$36,"")</f>
        <v/>
      </c>
      <c r="AK457" s="518" t="str">
        <f>IF(AND(_A2="A-220-100",'2025'!$O$4="FO",'2025'!$O$2=AK423),'2025DATA'!$H$36,"")</f>
        <v/>
      </c>
      <c r="AL457" s="518" t="str">
        <f>IF(AND(_A2="A-220-100",'2025'!$O$4="FO",'2025'!$O$2=AL423),'2025DATA'!$I$36,"")</f>
        <v/>
      </c>
      <c r="AM457" s="518" t="str">
        <f>IF(AND(_A2="A-220-100",'2025'!$O$4="FO",'2025'!$O$2=AM423),'2025DATA'!$J$36,"")</f>
        <v/>
      </c>
      <c r="AN457" s="518" t="str">
        <f>IF(AND(_A2="A-220-100",'2025'!$O$4="FO",'2025'!$O$2=AN423),'2025DATA'!$K$36,"")</f>
        <v/>
      </c>
      <c r="AO457" s="518" t="str">
        <f>IF(AND(_A2="A-220-100",'2025'!$O$4="FO",'2025'!$O$2=AO423),'2025DATA'!$L$36,"")</f>
        <v/>
      </c>
      <c r="AP457" s="518" t="str">
        <f>IF(AND(_A2="A-220-100",'2025'!$O$4="FO",'2025'!$O$2=AP423),'2025DATA'!$M$36,"")</f>
        <v/>
      </c>
      <c r="AQ457" s="520" t="str">
        <f>IF(AND(_A2="A-220-100",'2025'!$O$4="FO",'2025'!$O$2=AQ423),'2025DATA'!$N$36,"")</f>
        <v/>
      </c>
      <c r="AR457" s="940"/>
      <c r="AS457" s="13" t="s">
        <v>62</v>
      </c>
      <c r="AT457" s="518" t="str">
        <f>IF(AND(_A3="A-220-100",'2025'!$O$4="FO",'2025'!$O$2=AT423),'2025DATA'!$C$36,"")</f>
        <v/>
      </c>
      <c r="AU457" s="518" t="str">
        <f>IF(AND(_A3="A-220-100",'2025'!$O$4="FO",'2025'!$O$2=AU423),'2025DATA'!$D$36,"")</f>
        <v/>
      </c>
      <c r="AV457" s="518" t="str">
        <f>IF(AND(_A3="A-220-100",'2025'!$O$4="FO",'2025'!$O$2=AV423),'2025DATA'!$E$36,"")</f>
        <v/>
      </c>
      <c r="AW457" s="518" t="str">
        <f>IF(AND(_A3="A-220-100",'2025'!$O$4="FO",'2025'!$O$2=AW423),'2025DATA'!$F$36,"")</f>
        <v/>
      </c>
      <c r="AX457" s="518" t="str">
        <f>IF(AND(_A3="A-220-100",'2025'!$O$4="FO",'2025'!$O$2=AX423),'2025DATA'!$G$36,"")</f>
        <v/>
      </c>
      <c r="AY457" s="518" t="str">
        <f>IF(AND(_A3="A-220-100",'2025'!$O$4="FO",'2025'!$O$2=AY423),'2025DATA'!$H$36,"")</f>
        <v/>
      </c>
      <c r="AZ457" s="518" t="str">
        <f>IF(AND(_A3="A-220-100",'2025'!$O$4="FO",'2025'!$O$2=AZ423),'2025DATA'!$I$36,"")</f>
        <v/>
      </c>
      <c r="BA457" s="518" t="str">
        <f>IF(AND(_A3="A-220-100",'2025'!$O$4="FO",'2025'!$O$2=BA423),'2025DATA'!$J$36,"")</f>
        <v/>
      </c>
      <c r="BB457" s="518" t="str">
        <f>IF(AND(_A3="A-220-100",'2025'!$O$4="FO",'2025'!$O$2=BB423),'2025DATA'!$K$36,"")</f>
        <v/>
      </c>
      <c r="BC457" s="518" t="str">
        <f>IF(AND(_A3="A-220-100",'2025'!$O$4="FO",'2025'!$O$2=BC423),'2025DATA'!$L$36,"")</f>
        <v/>
      </c>
      <c r="BD457" s="518" t="str">
        <f>IF(AND(_A3="A-220-100",'2025'!$O$4="FO",'2025'!$O$2=BD423),'2025DATA'!$M$36,"")</f>
        <v/>
      </c>
      <c r="BE457" s="520" t="str">
        <f>IF(AND(_A3="A-220-100",'2025'!$O$4="FO",'2025'!$O$2=BE423),'2025DATA'!$N$36,"")</f>
        <v/>
      </c>
      <c r="BF457" s="940"/>
      <c r="BG457" s="13" t="s">
        <v>62</v>
      </c>
      <c r="BH457" s="518" t="str">
        <f>IF(AND(_A4="A-220-100",'2025'!$O$4="FO",'2025'!$O$2=BH423),'2025DATA'!$C$36,"")</f>
        <v/>
      </c>
      <c r="BI457" s="518" t="str">
        <f>IF(AND(_A4="A-220-100",'2025'!$O$4="FO",'2025'!$O$2=BI423),'2025DATA'!$D$36,"")</f>
        <v/>
      </c>
      <c r="BJ457" s="518" t="str">
        <f>IF(AND(_A4="A-220-100",'2025'!$O$4="FO",'2025'!$O$2=BJ423),'2025DATA'!$E$36,"")</f>
        <v/>
      </c>
      <c r="BK457" s="518" t="str">
        <f>IF(AND(_A4="A-220-100",'2025'!$O$4="FO",'2025'!$O$2=BK423),'2025DATA'!$F$36,"")</f>
        <v/>
      </c>
      <c r="BL457" s="518" t="str">
        <f>IF(AND(_A4="A-220-100",'2025'!$O$4="FO",'2025'!$O$2=BL423),'2025DATA'!$G$36,"")</f>
        <v/>
      </c>
      <c r="BM457" s="518" t="str">
        <f>IF(AND(_A4="A-220-100",'2025'!$O$4="FO",'2025'!$O$2=BM423),'2025DATA'!$H$36,"")</f>
        <v/>
      </c>
      <c r="BN457" s="518" t="str">
        <f>IF(AND(_A4="A-220-100",'2025'!$O$4="FO",'2025'!$O$2=BN423),'2025DATA'!$I$36,"")</f>
        <v/>
      </c>
      <c r="BO457" s="518" t="str">
        <f>IF(AND(_A4="A-220-100",'2025'!$O$4="FO",'2025'!$O$2=BO423),'2025DATA'!$J$36,"")</f>
        <v/>
      </c>
      <c r="BP457" s="518" t="str">
        <f>IF(AND(_A4="A-220-100",'2025'!$O$4="FO",'2025'!$O$2=BP423),'2025DATA'!$K$36,"")</f>
        <v/>
      </c>
      <c r="BQ457" s="518" t="str">
        <f>IF(AND(_A4="A-220-100",'2025'!$O$4="FO",'2025'!$O$2=BQ423),'2025DATA'!$L$36,"")</f>
        <v/>
      </c>
      <c r="BR457" s="518" t="str">
        <f>IF(AND(_A4="A-220-100",'2025'!$O$4="FO",'2025'!$O$2=BR423),'2025DATA'!$M$36,"")</f>
        <v/>
      </c>
      <c r="BS457" s="520" t="str">
        <f>IF(AND(_A4="A-220-100",'2025'!$O$4="FO",'2025'!$O$2=BS423),'2025DATA'!$N$36,"")</f>
        <v/>
      </c>
      <c r="BT457" s="940"/>
      <c r="BU457" s="13" t="s">
        <v>62</v>
      </c>
      <c r="BV457" s="518" t="str">
        <f>IF(AND(_A5="A-220-100",'2025'!$O$4="FO",'2025'!$O$2=BV423),'2025DATA'!$C$36,"")</f>
        <v/>
      </c>
      <c r="BW457" s="518" t="str">
        <f>IF(AND(_A5="A-220-100",'2025'!$O$4="FO",'2025'!$O$2=BW423),'2025DATA'!$D$36,"")</f>
        <v/>
      </c>
      <c r="BX457" s="518" t="str">
        <f>IF(AND(_A5="A-220-100",'2025'!$O$4="FO",'2025'!$O$2=BX423),'2025DATA'!$E$36,"")</f>
        <v/>
      </c>
      <c r="BY457" s="518" t="str">
        <f>IF(AND(_A5="A-220-100",'2025'!$O$4="FO",'2025'!$O$2=BY423),'2025DATA'!$F$36,"")</f>
        <v/>
      </c>
      <c r="BZ457" s="518" t="str">
        <f>IF(AND(_A5="A-220-100",'2025'!$O$4="FO",'2025'!$O$2=BZ423),'2025DATA'!$G$36,"")</f>
        <v/>
      </c>
      <c r="CA457" s="518" t="str">
        <f>IF(AND(_A5="A-220-100",'2025'!$O$4="FO",'2025'!$O$2=CA423),'2025DATA'!$H$36,"")</f>
        <v/>
      </c>
      <c r="CB457" s="518" t="str">
        <f>IF(AND(_A5="A-220-100",'2025'!$O$4="FO",'2025'!$O$2=CB423),'2025DATA'!$I$36,"")</f>
        <v/>
      </c>
      <c r="CC457" s="518" t="str">
        <f>IF(AND(_A5="A-220-100",'2025'!$O$4="FO",'2025'!$O$2=CC423),'2025DATA'!$J$36,"")</f>
        <v/>
      </c>
      <c r="CD457" s="518" t="str">
        <f>IF(AND(_A5="A-220-100",'2025'!$O$4="FO",'2025'!$O$2=CD423),'2025DATA'!$K$36,"")</f>
        <v/>
      </c>
      <c r="CE457" s="518" t="str">
        <f>IF(AND(_A5="A-220-100",'2025'!$O$4="FO",'2025'!$O$2=CE423),'2025DATA'!$L$36,"")</f>
        <v/>
      </c>
      <c r="CF457" s="518" t="str">
        <f>IF(AND(_A5="A-220-100",'2025'!$O$4="FO",'2025'!$O$2=CF423),'2025DATA'!$M$36,"")</f>
        <v/>
      </c>
      <c r="CG457" s="520" t="str">
        <f>IF(AND(_A5="A-220-100",'2025'!$O$4="FO",'2025'!$O$2=CG423),'2025DATA'!$N$36,"")</f>
        <v/>
      </c>
      <c r="CH457" s="940"/>
      <c r="CI457" s="13" t="s">
        <v>62</v>
      </c>
      <c r="CJ457" s="518" t="str">
        <f>IF(AND(_A6="A-220-100",'2025'!$O$4="FO",'2025'!$O$2=CJ423),'2025DATA'!$C$36,"")</f>
        <v/>
      </c>
      <c r="CK457" s="518" t="str">
        <f>IF(AND(_A6="A-220-100",'2025'!$O$4="FO",'2025'!$O$2=CK423),'2025DATA'!$D$36,"")</f>
        <v/>
      </c>
      <c r="CL457" s="518" t="str">
        <f>IF(AND(_A6="A-220-100",'2025'!$O$4="FO",'2025'!$O$2=CL423),'2025DATA'!$E$36,"")</f>
        <v/>
      </c>
      <c r="CM457" s="518" t="str">
        <f>IF(AND(_A6="A-220-100",'2025'!$O$4="FO",'2025'!$O$2=CM423),'2025DATA'!$F$36,"")</f>
        <v/>
      </c>
      <c r="CN457" s="518" t="str">
        <f>IF(AND(_A6="A-220-100",'2025'!$O$4="FO",'2025'!$O$2=CN423),'2025DATA'!$G$36,"")</f>
        <v/>
      </c>
      <c r="CO457" s="518" t="str">
        <f>IF(AND(_A6="A-220-100",'2025'!$O$4="FO",'2025'!$O$2=CO423),'2025DATA'!$H$36,"")</f>
        <v/>
      </c>
      <c r="CP457" s="518" t="str">
        <f>IF(AND(_A6="A-220-100",'2025'!$O$4="FO",'2025'!$O$2=CP423),'2025DATA'!$I$36,"")</f>
        <v/>
      </c>
      <c r="CQ457" s="518" t="str">
        <f>IF(AND(_A6="A-220-100",'2025'!$O$4="FO",'2025'!$O$2=CQ423),'2025DATA'!$J$36,"")</f>
        <v/>
      </c>
      <c r="CR457" s="518" t="str">
        <f>IF(AND(_A6="A-220-100",'2025'!$O$4="FO",'2025'!$O$2=CR423),'2025DATA'!$K$36,"")</f>
        <v/>
      </c>
      <c r="CS457" s="518" t="str">
        <f>IF(AND(_A6="A-220-100",'2025'!$O$4="FO",'2025'!$O$2=CS423),'2025DATA'!$L$36,"")</f>
        <v/>
      </c>
      <c r="CT457" s="518" t="str">
        <f>IF(AND(_A6="A-220-100",'2025'!$O$4="FO",'2025'!$O$2=CT423),'2025DATA'!$M$36,"")</f>
        <v/>
      </c>
      <c r="CU457" s="520" t="str">
        <f>IF(AND(_A6="A-220-100",'2025'!$O$4="FO",'2025'!$O$2=CU423),'2025DATA'!$N$36,"")</f>
        <v/>
      </c>
    </row>
    <row r="458" spans="16:99" x14ac:dyDescent="0.25">
      <c r="P458" s="940" t="s">
        <v>53</v>
      </c>
      <c r="Q458" s="13" t="s">
        <v>61</v>
      </c>
      <c r="R458" s="518" t="str">
        <f>IF(AND(_A1="B-717",'2025'!$O$4="CA",'2025'!$O$2=R423),'2025DATA'!$C$37,"")</f>
        <v/>
      </c>
      <c r="S458" s="518" t="str">
        <f>IF(AND(_A1="B-717",'2025'!$O$4="CA",'2025'!$O$2=S423),'2025DATA'!$D$37,"")</f>
        <v/>
      </c>
      <c r="T458" s="518" t="str">
        <f>IF(AND(_A1="B-717",'2025'!$O$4="CA",'2025'!$O$2=T423),'2025DATA'!$E$37,"")</f>
        <v/>
      </c>
      <c r="U458" s="518" t="str">
        <f>IF(AND(_A1="B-717",'2025'!$O$4="CA",'2025'!$O$2=U423),'2025DATA'!$F$37,"")</f>
        <v/>
      </c>
      <c r="V458" s="518" t="str">
        <f>IF(AND(_A1="B-717",'2025'!$O$4="CA",'2025'!$O$2=V423),'2025DATA'!$G$37,"")</f>
        <v/>
      </c>
      <c r="W458" s="518" t="str">
        <f>IF(AND(_A1="B-717",'2025'!$O$4="CA",'2025'!$O$2=W423),'2025DATA'!$H$37,"")</f>
        <v/>
      </c>
      <c r="X458" s="518" t="str">
        <f>IF(AND(_A1="B-717",'2025'!$O$4="CA",'2025'!$O$2=X423),'2025DATA'!$I$37,"")</f>
        <v/>
      </c>
      <c r="Y458" s="518" t="str">
        <f>IF(AND(_A1="B-717",'2025'!$O$4="CA",'2025'!$O$2=Y423),'2025DATA'!$J$37,"")</f>
        <v/>
      </c>
      <c r="Z458" s="518" t="str">
        <f>IF(AND(_A1="B-717",'2025'!$O$4="CA",'2025'!$O$2=Z423),'2025DATA'!$K$37,"")</f>
        <v/>
      </c>
      <c r="AA458" s="518" t="str">
        <f>IF(AND(_A1="B-717",'2025'!$O$4="CA",'2025'!$O$2=AA423),'2025DATA'!$L$37,"")</f>
        <v/>
      </c>
      <c r="AB458" s="518" t="str">
        <f>IF(AND(_A1="B-717",'2025'!$O$4="CA",'2025'!$O$2=AB423),'2025DATA'!$M$37,"")</f>
        <v/>
      </c>
      <c r="AC458" s="520" t="str">
        <f>IF(AND(_A1="B-717",'2025'!$O$4="CA",'2025'!$O$2=AC423),'2025DATA'!$N$37,"")</f>
        <v/>
      </c>
      <c r="AD458" s="940" t="s">
        <v>53</v>
      </c>
      <c r="AE458" s="13" t="s">
        <v>61</v>
      </c>
      <c r="AF458" s="518" t="str">
        <f>IF(AND(_A2="B-717",'2025'!$O$4="CA",'2025'!$O$2=AF423),'2025DATA'!$C$37,"")</f>
        <v/>
      </c>
      <c r="AG458" s="518" t="str">
        <f>IF(AND(_A2="B-717",'2025'!$O$4="CA",'2025'!$O$2=AG423),'2025DATA'!$D$37,"")</f>
        <v/>
      </c>
      <c r="AH458" s="518" t="str">
        <f>IF(AND(_A2="B-717",'2025'!$O$4="CA",'2025'!$O$2=AH423),'2025DATA'!$E$37,"")</f>
        <v/>
      </c>
      <c r="AI458" s="518" t="str">
        <f>IF(AND(_A2="B-717",'2025'!$O$4="CA",'2025'!$O$2=AI423),'2025DATA'!$F$37,"")</f>
        <v/>
      </c>
      <c r="AJ458" s="518" t="str">
        <f>IF(AND(_A2="B-717",'2025'!$O$4="CA",'2025'!$O$2=AJ423),'2025DATA'!$G$37,"")</f>
        <v/>
      </c>
      <c r="AK458" s="518" t="str">
        <f>IF(AND(_A2="B-717",'2025'!$O$4="CA",'2025'!$O$2=AK423),'2025DATA'!$H$37,"")</f>
        <v/>
      </c>
      <c r="AL458" s="518" t="str">
        <f>IF(AND(_A2="B-717",'2025'!$O$4="CA",'2025'!$O$2=AL423),'2025DATA'!$I$37,"")</f>
        <v/>
      </c>
      <c r="AM458" s="518" t="str">
        <f>IF(AND(_A2="B-717",'2025'!$O$4="CA",'2025'!$O$2=AM423),'2025DATA'!$J$37,"")</f>
        <v/>
      </c>
      <c r="AN458" s="518" t="str">
        <f>IF(AND(_A2="B-717",'2025'!$O$4="CA",'2025'!$O$2=AN423),'2025DATA'!$K$37,"")</f>
        <v/>
      </c>
      <c r="AO458" s="518" t="str">
        <f>IF(AND(_A2="B-717",'2025'!$O$4="CA",'2025'!$O$2=AO423),'2025DATA'!$L$37,"")</f>
        <v/>
      </c>
      <c r="AP458" s="518" t="str">
        <f>IF(AND(_A2="B-717",'2025'!$O$4="CA",'2025'!$O$2=AP423),'2025DATA'!$M$37,"")</f>
        <v/>
      </c>
      <c r="AQ458" s="520" t="str">
        <f>IF(AND(_A2="B-717",'2025'!$O$4="CA",'2025'!$O$2=AQ423),'2025DATA'!$N$37,"")</f>
        <v/>
      </c>
      <c r="AR458" s="940" t="s">
        <v>53</v>
      </c>
      <c r="AS458" s="13" t="s">
        <v>61</v>
      </c>
      <c r="AT458" s="518" t="str">
        <f>IF(AND(_A3="B-717",'2025'!$O$4="CA",'2025'!$O$2=AT423),'2025DATA'!$C$37,"")</f>
        <v/>
      </c>
      <c r="AU458" s="518" t="str">
        <f>IF(AND(_A3="B-717",'2025'!$O$4="CA",'2025'!$O$2=AU423),'2025DATA'!$D$37,"")</f>
        <v/>
      </c>
      <c r="AV458" s="518" t="str">
        <f>IF(AND(_A3="B-717",'2025'!$O$4="CA",'2025'!$O$2=AV423),'2025DATA'!$E$37,"")</f>
        <v/>
      </c>
      <c r="AW458" s="518" t="str">
        <f>IF(AND(_A3="B-717",'2025'!$O$4="CA",'2025'!$O$2=AW423),'2025DATA'!$F$37,"")</f>
        <v/>
      </c>
      <c r="AX458" s="518" t="str">
        <f>IF(AND(_A3="B-717",'2025'!$O$4="CA",'2025'!$O$2=AX423),'2025DATA'!$G$37,"")</f>
        <v/>
      </c>
      <c r="AY458" s="518" t="str">
        <f>IF(AND(_A3="B-717",'2025'!$O$4="CA",'2025'!$O$2=AY423),'2025DATA'!$H$37,"")</f>
        <v/>
      </c>
      <c r="AZ458" s="518" t="str">
        <f>IF(AND(_A3="B-717",'2025'!$O$4="CA",'2025'!$O$2=AZ423),'2025DATA'!$I$37,"")</f>
        <v/>
      </c>
      <c r="BA458" s="518" t="str">
        <f>IF(AND(_A3="B-717",'2025'!$O$4="CA",'2025'!$O$2=BA423),'2025DATA'!$J$37,"")</f>
        <v/>
      </c>
      <c r="BB458" s="518" t="str">
        <f>IF(AND(_A3="B-717",'2025'!$O$4="CA",'2025'!$O$2=BB423),'2025DATA'!$K$37,"")</f>
        <v/>
      </c>
      <c r="BC458" s="518" t="str">
        <f>IF(AND(_A3="B-717",'2025'!$O$4="CA",'2025'!$O$2=BC423),'2025DATA'!$L$37,"")</f>
        <v/>
      </c>
      <c r="BD458" s="518" t="str">
        <f>IF(AND(_A3="B-717",'2025'!$O$4="CA",'2025'!$O$2=BD423),'2025DATA'!$M$37,"")</f>
        <v/>
      </c>
      <c r="BE458" s="520" t="str">
        <f>IF(AND(_A3="B-717",'2025'!$O$4="CA",'2025'!$O$2=BE423),'2025DATA'!$N$37,"")</f>
        <v/>
      </c>
      <c r="BF458" s="940" t="s">
        <v>53</v>
      </c>
      <c r="BG458" s="13" t="s">
        <v>61</v>
      </c>
      <c r="BH458" s="518" t="str">
        <f>IF(AND(_A4="B-717",'2025'!$O$4="CA",'2025'!$O$2=BH423),'2025DATA'!$C$37,"")</f>
        <v/>
      </c>
      <c r="BI458" s="518" t="str">
        <f>IF(AND(_A4="B-717",'2025'!$O$4="CA",'2025'!$O$2=BI423),'2025DATA'!$D$37,"")</f>
        <v/>
      </c>
      <c r="BJ458" s="518" t="str">
        <f>IF(AND(_A4="B-717",'2025'!$O$4="CA",'2025'!$O$2=BJ423),'2025DATA'!$E$37,"")</f>
        <v/>
      </c>
      <c r="BK458" s="518" t="str">
        <f>IF(AND(_A4="B-717",'2025'!$O$4="CA",'2025'!$O$2=BK423),'2025DATA'!$F$37,"")</f>
        <v/>
      </c>
      <c r="BL458" s="518" t="str">
        <f>IF(AND(_A4="B-717",'2025'!$O$4="CA",'2025'!$O$2=BL423),'2025DATA'!$G$37,"")</f>
        <v/>
      </c>
      <c r="BM458" s="518" t="str">
        <f>IF(AND(_A4="B-717",'2025'!$O$4="CA",'2025'!$O$2=BM423),'2025DATA'!$H$37,"")</f>
        <v/>
      </c>
      <c r="BN458" s="518" t="str">
        <f>IF(AND(_A4="B-717",'2025'!$O$4="CA",'2025'!$O$2=BN423),'2025DATA'!$I$37,"")</f>
        <v/>
      </c>
      <c r="BO458" s="518" t="str">
        <f>IF(AND(_A4="B-717",'2025'!$O$4="CA",'2025'!$O$2=BO423),'2025DATA'!$J$37,"")</f>
        <v/>
      </c>
      <c r="BP458" s="518" t="str">
        <f>IF(AND(_A4="B-717",'2025'!$O$4="CA",'2025'!$O$2=BP423),'2025DATA'!$K$37,"")</f>
        <v/>
      </c>
      <c r="BQ458" s="518" t="str">
        <f>IF(AND(_A4="B-717",'2025'!$O$4="CA",'2025'!$O$2=BQ423),'2025DATA'!$L$37,"")</f>
        <v/>
      </c>
      <c r="BR458" s="518" t="str">
        <f>IF(AND(_A4="B-717",'2025'!$O$4="CA",'2025'!$O$2=BR423),'2025DATA'!$M$37,"")</f>
        <v/>
      </c>
      <c r="BS458" s="520" t="str">
        <f>IF(AND(_A4="B-717",'2025'!$O$4="CA",'2025'!$O$2=BS423),'2025DATA'!$N$37,"")</f>
        <v/>
      </c>
      <c r="BT458" s="940" t="s">
        <v>53</v>
      </c>
      <c r="BU458" s="13" t="s">
        <v>61</v>
      </c>
      <c r="BV458" s="518" t="str">
        <f>IF(AND(_A5="B-717",'2025'!$O$4="CA",'2025'!$O$2=BV423),'2025DATA'!$C$37,"")</f>
        <v/>
      </c>
      <c r="BW458" s="518" t="str">
        <f>IF(AND(_A5="B-717",'2025'!$O$4="CA",'2025'!$O$2=BW423),'2025DATA'!$D$37,"")</f>
        <v/>
      </c>
      <c r="BX458" s="518" t="str">
        <f>IF(AND(_A5="B-717",'2025'!$O$4="CA",'2025'!$O$2=BX423),'2025DATA'!$E$37,"")</f>
        <v/>
      </c>
      <c r="BY458" s="518" t="str">
        <f>IF(AND(_A5="B-717",'2025'!$O$4="CA",'2025'!$O$2=BY423),'2025DATA'!$F$37,"")</f>
        <v/>
      </c>
      <c r="BZ458" s="518" t="str">
        <f>IF(AND(_A5="B-717",'2025'!$O$4="CA",'2025'!$O$2=BZ423),'2025DATA'!$G$37,"")</f>
        <v/>
      </c>
      <c r="CA458" s="518" t="str">
        <f>IF(AND(_A5="B-717",'2025'!$O$4="CA",'2025'!$O$2=CA423),'2025DATA'!$H$37,"")</f>
        <v/>
      </c>
      <c r="CB458" s="518" t="str">
        <f>IF(AND(_A5="B-717",'2025'!$O$4="CA",'2025'!$O$2=CB423),'2025DATA'!$I$37,"")</f>
        <v/>
      </c>
      <c r="CC458" s="518" t="str">
        <f>IF(AND(_A5="B-717",'2025'!$O$4="CA",'2025'!$O$2=CC423),'2025DATA'!$J$37,"")</f>
        <v/>
      </c>
      <c r="CD458" s="518" t="str">
        <f>IF(AND(_A5="B-717",'2025'!$O$4="CA",'2025'!$O$2=CD423),'2025DATA'!$K$37,"")</f>
        <v/>
      </c>
      <c r="CE458" s="518" t="str">
        <f>IF(AND(_A5="B-717",'2025'!$O$4="CA",'2025'!$O$2=CE423),'2025DATA'!$L$37,"")</f>
        <v/>
      </c>
      <c r="CF458" s="518" t="str">
        <f>IF(AND(_A5="B-717",'2025'!$O$4="CA",'2025'!$O$2=CF423),'2025DATA'!$M$37,"")</f>
        <v/>
      </c>
      <c r="CG458" s="520" t="str">
        <f>IF(AND(_A5="B-717",'2025'!$O$4="CA",'2025'!$O$2=CG423),'2025DATA'!$N$37,"")</f>
        <v/>
      </c>
      <c r="CH458" s="940" t="s">
        <v>53</v>
      </c>
      <c r="CI458" s="13" t="s">
        <v>61</v>
      </c>
      <c r="CJ458" s="518" t="str">
        <f>IF(AND(_A6="B-717",'2025'!$O$4="CA",'2025'!$O$2=CJ423),'2025DATA'!$C$37,"")</f>
        <v/>
      </c>
      <c r="CK458" s="518" t="str">
        <f>IF(AND(_A6="B-717",'2025'!$O$4="CA",'2025'!$O$2=CK423),'2025DATA'!$D$37,"")</f>
        <v/>
      </c>
      <c r="CL458" s="518" t="str">
        <f>IF(AND(_A6="B-717",'2025'!$O$4="CA",'2025'!$O$2=CL423),'2025DATA'!$E$37,"")</f>
        <v/>
      </c>
      <c r="CM458" s="518" t="str">
        <f>IF(AND(_A6="B-717",'2025'!$O$4="CA",'2025'!$O$2=CM423),'2025DATA'!$F$37,"")</f>
        <v/>
      </c>
      <c r="CN458" s="518" t="str">
        <f>IF(AND(_A6="B-717",'2025'!$O$4="CA",'2025'!$O$2=CN423),'2025DATA'!$G$37,"")</f>
        <v/>
      </c>
      <c r="CO458" s="518" t="str">
        <f>IF(AND(_A6="B-717",'2025'!$O$4="CA",'2025'!$O$2=CO423),'2025DATA'!$H$37,"")</f>
        <v/>
      </c>
      <c r="CP458" s="518" t="str">
        <f>IF(AND(_A6="B-717",'2025'!$O$4="CA",'2025'!$O$2=CP423),'2025DATA'!$I$37,"")</f>
        <v/>
      </c>
      <c r="CQ458" s="518" t="str">
        <f>IF(AND(_A6="B-717",'2025'!$O$4="CA",'2025'!$O$2=CQ423),'2025DATA'!$J$37,"")</f>
        <v/>
      </c>
      <c r="CR458" s="518" t="str">
        <f>IF(AND(_A6="B-717",'2025'!$O$4="CA",'2025'!$O$2=CR423),'2025DATA'!$K$37,"")</f>
        <v/>
      </c>
      <c r="CS458" s="518" t="str">
        <f>IF(AND(_A6="B-717",'2025'!$O$4="CA",'2025'!$O$2=CS423),'2025DATA'!$L$37,"")</f>
        <v/>
      </c>
      <c r="CT458" s="518" t="str">
        <f>IF(AND(_A6="B-717",'2025'!$O$4="CA",'2025'!$O$2=CT423),'2025DATA'!$M$37,"")</f>
        <v/>
      </c>
      <c r="CU458" s="520" t="str">
        <f>IF(AND(_A6="B-717",'2025'!$O$4="CA",'2025'!$O$2=CU423),'2025DATA'!$N$37,"")</f>
        <v/>
      </c>
    </row>
    <row r="459" spans="16:99" ht="15.75" thickBot="1" x14ac:dyDescent="0.3">
      <c r="P459" s="941"/>
      <c r="Q459" s="521" t="s">
        <v>62</v>
      </c>
      <c r="R459" s="522" t="str">
        <f>IF(AND(_A1="B-717",'2025'!$O$4="FO",'2025'!$O$2=R423),'2025DATA'!$C$38,"")</f>
        <v/>
      </c>
      <c r="S459" s="522" t="str">
        <f>IF(AND(_A1="B-717",'2025'!$O$4="FO",'2025'!$O$2=S423),'2025DATA'!$D$38,"")</f>
        <v/>
      </c>
      <c r="T459" s="522" t="str">
        <f>IF(AND(_A1="B-717",'2025'!$O$4="FO",'2025'!$O$2=T423),'2025DATA'!$E$38,"")</f>
        <v/>
      </c>
      <c r="U459" s="522" t="str">
        <f>IF(AND(_A1="B-717",'2025'!$O$4="FO",'2025'!$O$2=U423),'2025DATA'!$F$38,"")</f>
        <v/>
      </c>
      <c r="V459" s="522" t="str">
        <f>IF(AND(_A1="B-717",'2025'!$O$4="FO",'2025'!$O$2=V423),'2025DATA'!$G$38,"")</f>
        <v/>
      </c>
      <c r="W459" s="522" t="str">
        <f>IF(AND(_A1="B-717",'2025'!$O$4="FO",'2025'!$O$2=W423),'2025DATA'!$H$38,"")</f>
        <v/>
      </c>
      <c r="X459" s="522" t="str">
        <f>IF(AND(_A1="B-717",'2025'!$O$4="FO",'2025'!$O$2=X423),'2025DATA'!$I$38,"")</f>
        <v/>
      </c>
      <c r="Y459" s="522" t="str">
        <f>IF(AND(_A1="B-717",'2025'!$O$4="FO",'2025'!$O$2=Y423),'2025DATA'!$J$38,"")</f>
        <v/>
      </c>
      <c r="Z459" s="522" t="str">
        <f>IF(AND(_A1="B-717",'2025'!$O$4="FO",'2025'!$O$2=Z423),'2025DATA'!$K$38,"")</f>
        <v/>
      </c>
      <c r="AA459" s="522" t="str">
        <f>IF(AND(_A1="B-717",'2025'!$O$4="FO",'2025'!$O$2=AA423),'2025DATA'!$L$38,"")</f>
        <v/>
      </c>
      <c r="AB459" s="522" t="str">
        <f>IF(AND(_A1="B-717",'2025'!$O$4="FO",'2025'!$O$2=AB423),'2025DATA'!$M$38,"")</f>
        <v/>
      </c>
      <c r="AC459" s="523" t="str">
        <f>IF(AND(_A1="B-717",'2025'!$O$4="FO",'2025'!$O$2=AC423),'2025DATA'!$N$38,"")</f>
        <v/>
      </c>
      <c r="AD459" s="941"/>
      <c r="AE459" s="521" t="s">
        <v>62</v>
      </c>
      <c r="AF459" s="522" t="str">
        <f>IF(AND(_A2="B-717",'2025'!$O$4="FO",'2025'!$O$2=AF423),'2025DATA'!$C$38,"")</f>
        <v/>
      </c>
      <c r="AG459" s="522" t="str">
        <f>IF(AND(_A2="B-717",'2025'!$O$4="FO",'2025'!$O$2=AG423),'2025DATA'!$D$38,"")</f>
        <v/>
      </c>
      <c r="AH459" s="522" t="str">
        <f>IF(AND(_A2="B-717",'2025'!$O$4="FO",'2025'!$O$2=AH423),'2025DATA'!$E$38,"")</f>
        <v/>
      </c>
      <c r="AI459" s="522" t="str">
        <f>IF(AND(_A2="B-717",'2025'!$O$4="FO",'2025'!$O$2=AI423),'2025DATA'!$F$38,"")</f>
        <v/>
      </c>
      <c r="AJ459" s="522" t="str">
        <f>IF(AND(_A2="B-717",'2025'!$O$4="FO",'2025'!$O$2=AJ423),'2025DATA'!$G$38,"")</f>
        <v/>
      </c>
      <c r="AK459" s="522" t="str">
        <f>IF(AND(_A2="B-717",'2025'!$O$4="FO",'2025'!$O$2=AK423),'2025DATA'!$H$38,"")</f>
        <v/>
      </c>
      <c r="AL459" s="522" t="str">
        <f>IF(AND(_A2="B-717",'2025'!$O$4="FO",'2025'!$O$2=AL423),'2025DATA'!$I$38,"")</f>
        <v/>
      </c>
      <c r="AM459" s="522" t="str">
        <f>IF(AND(_A2="B-717",'2025'!$O$4="FO",'2025'!$O$2=AM423),'2025DATA'!$J$38,"")</f>
        <v/>
      </c>
      <c r="AN459" s="522" t="str">
        <f>IF(AND(_A2="B-717",'2025'!$O$4="FO",'2025'!$O$2=AN423),'2025DATA'!$K$38,"")</f>
        <v/>
      </c>
      <c r="AO459" s="522" t="str">
        <f>IF(AND(_A2="B-717",'2025'!$O$4="FO",'2025'!$O$2=AO423),'2025DATA'!$L$38,"")</f>
        <v/>
      </c>
      <c r="AP459" s="522" t="str">
        <f>IF(AND(_A2="B-717",'2025'!$O$4="FO",'2025'!$O$2=AP423),'2025DATA'!$M$38,"")</f>
        <v/>
      </c>
      <c r="AQ459" s="523" t="str">
        <f>IF(AND(_A2="B-717",'2025'!$O$4="FO",'2025'!$O$2=AQ423),'2025DATA'!$N$38,"")</f>
        <v/>
      </c>
      <c r="AR459" s="941"/>
      <c r="AS459" s="521" t="s">
        <v>62</v>
      </c>
      <c r="AT459" s="522" t="str">
        <f>IF(AND(_A3="B-717",'2025'!$O$4="FO",'2025'!$O$2=AT423),'2025DATA'!$C$38,"")</f>
        <v/>
      </c>
      <c r="AU459" s="522" t="str">
        <f>IF(AND(_A3="B-717",'2025'!$O$4="FO",'2025'!$O$2=AU423),'2025DATA'!$D$38,"")</f>
        <v/>
      </c>
      <c r="AV459" s="522" t="str">
        <f>IF(AND(_A3="B-717",'2025'!$O$4="FO",'2025'!$O$2=AV423),'2025DATA'!$E$38,"")</f>
        <v/>
      </c>
      <c r="AW459" s="522" t="str">
        <f>IF(AND(_A3="B-717",'2025'!$O$4="FO",'2025'!$O$2=AW423),'2025DATA'!$F$38,"")</f>
        <v/>
      </c>
      <c r="AX459" s="522" t="str">
        <f>IF(AND(_A3="B-717",'2025'!$O$4="FO",'2025'!$O$2=AX423),'2025DATA'!$G$38,"")</f>
        <v/>
      </c>
      <c r="AY459" s="522" t="str">
        <f>IF(AND(_A3="B-717",'2025'!$O$4="FO",'2025'!$O$2=AY423),'2025DATA'!$H$38,"")</f>
        <v/>
      </c>
      <c r="AZ459" s="522" t="str">
        <f>IF(AND(_A3="B-717",'2025'!$O$4="FO",'2025'!$O$2=AZ423),'2025DATA'!$I$38,"")</f>
        <v/>
      </c>
      <c r="BA459" s="522" t="str">
        <f>IF(AND(_A3="B-717",'2025'!$O$4="FO",'2025'!$O$2=BA423),'2025DATA'!$J$38,"")</f>
        <v/>
      </c>
      <c r="BB459" s="522" t="str">
        <f>IF(AND(_A3="B-717",'2025'!$O$4="FO",'2025'!$O$2=BB423),'2025DATA'!$K$38,"")</f>
        <v/>
      </c>
      <c r="BC459" s="522" t="str">
        <f>IF(AND(_A3="B-717",'2025'!$O$4="FO",'2025'!$O$2=BC423),'2025DATA'!$L$38,"")</f>
        <v/>
      </c>
      <c r="BD459" s="522" t="str">
        <f>IF(AND(_A3="B-717",'2025'!$O$4="FO",'2025'!$O$2=BD423),'2025DATA'!$M$38,"")</f>
        <v/>
      </c>
      <c r="BE459" s="523" t="str">
        <f>IF(AND(_A3="B-717",'2025'!$O$4="FO",'2025'!$O$2=BE423),'2025DATA'!$N$38,"")</f>
        <v/>
      </c>
      <c r="BF459" s="941"/>
      <c r="BG459" s="521" t="s">
        <v>62</v>
      </c>
      <c r="BH459" s="522" t="str">
        <f>IF(AND(_A4="B-717",'2025'!$O$4="FO",'2025'!$O$2=BH423),'2025DATA'!$C$38,"")</f>
        <v/>
      </c>
      <c r="BI459" s="522" t="str">
        <f>IF(AND(_A4="B-717",'2025'!$O$4="FO",'2025'!$O$2=BI423),'2025DATA'!$D$38,"")</f>
        <v/>
      </c>
      <c r="BJ459" s="522" t="str">
        <f>IF(AND(_A4="B-717",'2025'!$O$4="FO",'2025'!$O$2=BJ423),'2025DATA'!$E$38,"")</f>
        <v/>
      </c>
      <c r="BK459" s="522" t="str">
        <f>IF(AND(_A4="B-717",'2025'!$O$4="FO",'2025'!$O$2=BK423),'2025DATA'!$F$38,"")</f>
        <v/>
      </c>
      <c r="BL459" s="522" t="str">
        <f>IF(AND(_A4="B-717",'2025'!$O$4="FO",'2025'!$O$2=BL423),'2025DATA'!$G$38,"")</f>
        <v/>
      </c>
      <c r="BM459" s="522" t="str">
        <f>IF(AND(_A4="B-717",'2025'!$O$4="FO",'2025'!$O$2=BM423),'2025DATA'!$H$38,"")</f>
        <v/>
      </c>
      <c r="BN459" s="522" t="str">
        <f>IF(AND(_A4="B-717",'2025'!$O$4="FO",'2025'!$O$2=BN423),'2025DATA'!$I$38,"")</f>
        <v/>
      </c>
      <c r="BO459" s="522" t="str">
        <f>IF(AND(_A4="B-717",'2025'!$O$4="FO",'2025'!$O$2=BO423),'2025DATA'!$J$38,"")</f>
        <v/>
      </c>
      <c r="BP459" s="522" t="str">
        <f>IF(AND(_A4="B-717",'2025'!$O$4="FO",'2025'!$O$2=BP423),'2025DATA'!$K$38,"")</f>
        <v/>
      </c>
      <c r="BQ459" s="522" t="str">
        <f>IF(AND(_A4="B-717",'2025'!$O$4="FO",'2025'!$O$2=BQ423),'2025DATA'!$L$38,"")</f>
        <v/>
      </c>
      <c r="BR459" s="522" t="str">
        <f>IF(AND(_A4="B-717",'2025'!$O$4="FO",'2025'!$O$2=BR423),'2025DATA'!$M$38,"")</f>
        <v/>
      </c>
      <c r="BS459" s="523" t="str">
        <f>IF(AND(_A4="B-717",'2025'!$O$4="FO",'2025'!$O$2=BS423),'2025DATA'!$N$38,"")</f>
        <v/>
      </c>
      <c r="BT459" s="941"/>
      <c r="BU459" s="521" t="s">
        <v>62</v>
      </c>
      <c r="BV459" s="522" t="str">
        <f>IF(AND(_A5="B-717",'2025'!$O$4="FO",'2025'!$O$2=BV423),'2025DATA'!$C$38,"")</f>
        <v/>
      </c>
      <c r="BW459" s="522" t="str">
        <f>IF(AND(_A5="B-717",'2025'!$O$4="FO",'2025'!$O$2=BW423),'2025DATA'!$D$38,"")</f>
        <v/>
      </c>
      <c r="BX459" s="522" t="str">
        <f>IF(AND(_A5="B-717",'2025'!$O$4="FO",'2025'!$O$2=BX423),'2025DATA'!$E$38,"")</f>
        <v/>
      </c>
      <c r="BY459" s="522" t="str">
        <f>IF(AND(_A5="B-717",'2025'!$O$4="FO",'2025'!$O$2=BY423),'2025DATA'!$F$38,"")</f>
        <v/>
      </c>
      <c r="BZ459" s="522" t="str">
        <f>IF(AND(_A5="B-717",'2025'!$O$4="FO",'2025'!$O$2=BZ423),'2025DATA'!$G$38,"")</f>
        <v/>
      </c>
      <c r="CA459" s="522" t="str">
        <f>IF(AND(_A5="B-717",'2025'!$O$4="FO",'2025'!$O$2=CA423),'2025DATA'!$H$38,"")</f>
        <v/>
      </c>
      <c r="CB459" s="522" t="str">
        <f>IF(AND(_A5="B-717",'2025'!$O$4="FO",'2025'!$O$2=CB423),'2025DATA'!$I$38,"")</f>
        <v/>
      </c>
      <c r="CC459" s="522" t="str">
        <f>IF(AND(_A5="B-717",'2025'!$O$4="FO",'2025'!$O$2=CC423),'2025DATA'!$J$38,"")</f>
        <v/>
      </c>
      <c r="CD459" s="522" t="str">
        <f>IF(AND(_A5="B-717",'2025'!$O$4="FO",'2025'!$O$2=CD423),'2025DATA'!$K$38,"")</f>
        <v/>
      </c>
      <c r="CE459" s="522" t="str">
        <f>IF(AND(_A5="B-717",'2025'!$O$4="FO",'2025'!$O$2=CE423),'2025DATA'!$L$38,"")</f>
        <v/>
      </c>
      <c r="CF459" s="522" t="str">
        <f>IF(AND(_A5="B-717",'2025'!$O$4="FO",'2025'!$O$2=CF423),'2025DATA'!$M$38,"")</f>
        <v/>
      </c>
      <c r="CG459" s="523" t="str">
        <f>IF(AND(_A5="B-717",'2025'!$O$4="FO",'2025'!$O$2=CG423),'2025DATA'!$N$38,"")</f>
        <v/>
      </c>
      <c r="CH459" s="941"/>
      <c r="CI459" s="521" t="s">
        <v>62</v>
      </c>
      <c r="CJ459" s="522" t="str">
        <f>IF(AND(_A6="B-717",'2025'!$O$4="FO",'2025'!$O$2=CJ423),'2025DATA'!$C$38,"")</f>
        <v/>
      </c>
      <c r="CK459" s="522" t="str">
        <f>IF(AND(_A6="B-717",'2025'!$O$4="FO",'2025'!$O$2=CK423),'2025DATA'!$D$38,"")</f>
        <v/>
      </c>
      <c r="CL459" s="522" t="str">
        <f>IF(AND(_A6="B-717",'2025'!$O$4="FO",'2025'!$O$2=CL423),'2025DATA'!$E$38,"")</f>
        <v/>
      </c>
      <c r="CM459" s="522" t="str">
        <f>IF(AND(_A6="B-717",'2025'!$O$4="FO",'2025'!$O$2=CM423),'2025DATA'!$F$38,"")</f>
        <v/>
      </c>
      <c r="CN459" s="522" t="str">
        <f>IF(AND(_A6="B-717",'2025'!$O$4="FO",'2025'!$O$2=CN423),'2025DATA'!$G$38,"")</f>
        <v/>
      </c>
      <c r="CO459" s="522" t="str">
        <f>IF(AND(_A6="B-717",'2025'!$O$4="FO",'2025'!$O$2=CO423),'2025DATA'!$H$38,"")</f>
        <v/>
      </c>
      <c r="CP459" s="522" t="str">
        <f>IF(AND(_A6="B-717",'2025'!$O$4="FO",'2025'!$O$2=CP423),'2025DATA'!$I$38,"")</f>
        <v/>
      </c>
      <c r="CQ459" s="522" t="str">
        <f>IF(AND(_A6="B-717",'2025'!$O$4="FO",'2025'!$O$2=CQ423),'2025DATA'!$J$38,"")</f>
        <v/>
      </c>
      <c r="CR459" s="522" t="str">
        <f>IF(AND(_A6="B-717",'2025'!$O$4="FO",'2025'!$O$2=CR423),'2025DATA'!$K$38,"")</f>
        <v/>
      </c>
      <c r="CS459" s="522" t="str">
        <f>IF(AND(_A6="B-717",'2025'!$O$4="FO",'2025'!$O$2=CS423),'2025DATA'!$L$38,"")</f>
        <v/>
      </c>
      <c r="CT459" s="522" t="str">
        <f>IF(AND(_A6="B-717",'2025'!$O$4="FO",'2025'!$O$2=CT423),'2025DATA'!$M$38,"")</f>
        <v/>
      </c>
      <c r="CU459" s="523" t="str">
        <f>IF(AND(_A6="B-717",'2025'!$O$4="FO",'2025'!$O$2=CU423),'2025DATA'!$N$38,"")</f>
        <v/>
      </c>
    </row>
  </sheetData>
  <sheetProtection algorithmName="SHA-512" hashValue="7Qf9M7bRFGjVz1Qz1t8R4oFyG26kc+G0y+tidQN1jO27lJWObW0j2g7DS4kenwWWaMxbWoZS76AN1t0Gs8timg==" saltValue="RSbocqF0Kf7Q7axZZwjC0Q==" spinCount="100000" sheet="1" objects="1" scenarios="1" selectLockedCells="1" selectUnlockedCells="1"/>
  <mergeCells count="1399">
    <mergeCell ref="P434:P435"/>
    <mergeCell ref="P442:P443"/>
    <mergeCell ref="P444:P445"/>
    <mergeCell ref="P446:P447"/>
    <mergeCell ref="P436:P437"/>
    <mergeCell ref="P438:P439"/>
    <mergeCell ref="P440:P441"/>
    <mergeCell ref="P454:P455"/>
    <mergeCell ref="P456:P457"/>
    <mergeCell ref="P458:P459"/>
    <mergeCell ref="P448:P449"/>
    <mergeCell ref="P450:P451"/>
    <mergeCell ref="P452:P453"/>
    <mergeCell ref="P368:P369"/>
    <mergeCell ref="P370:P371"/>
    <mergeCell ref="P372:P373"/>
    <mergeCell ref="P362:P363"/>
    <mergeCell ref="P364:P365"/>
    <mergeCell ref="P366:P367"/>
    <mergeCell ref="P380:P381"/>
    <mergeCell ref="P382:P383"/>
    <mergeCell ref="P374:P375"/>
    <mergeCell ref="P376:P377"/>
    <mergeCell ref="P378:P379"/>
    <mergeCell ref="P392:P393"/>
    <mergeCell ref="P386:P387"/>
    <mergeCell ref="P388:P389"/>
    <mergeCell ref="P390:P391"/>
    <mergeCell ref="P394:P395"/>
    <mergeCell ref="P398:P399"/>
    <mergeCell ref="P282:P283"/>
    <mergeCell ref="P284:P285"/>
    <mergeCell ref="P286:P287"/>
    <mergeCell ref="P280:P281"/>
    <mergeCell ref="P278:P279"/>
    <mergeCell ref="P294:P295"/>
    <mergeCell ref="P296:P297"/>
    <mergeCell ref="P298:P299"/>
    <mergeCell ref="P288:P289"/>
    <mergeCell ref="P290:P291"/>
    <mergeCell ref="P292:P293"/>
    <mergeCell ref="P306:P307"/>
    <mergeCell ref="P310:P311"/>
    <mergeCell ref="P300:P301"/>
    <mergeCell ref="P302:P303"/>
    <mergeCell ref="P304:P305"/>
    <mergeCell ref="P312:P313"/>
    <mergeCell ref="P208:P209"/>
    <mergeCell ref="P210:P211"/>
    <mergeCell ref="P212:P213"/>
    <mergeCell ref="P202:P203"/>
    <mergeCell ref="P204:P205"/>
    <mergeCell ref="P206:P207"/>
    <mergeCell ref="P220:P221"/>
    <mergeCell ref="P222:P223"/>
    <mergeCell ref="P224:P225"/>
    <mergeCell ref="P214:P215"/>
    <mergeCell ref="P216:P217"/>
    <mergeCell ref="P218:P219"/>
    <mergeCell ref="P234:P235"/>
    <mergeCell ref="P236:P237"/>
    <mergeCell ref="P226:P227"/>
    <mergeCell ref="P228:P229"/>
    <mergeCell ref="P230:P231"/>
    <mergeCell ref="P126:P127"/>
    <mergeCell ref="P118:AC118"/>
    <mergeCell ref="P122:P123"/>
    <mergeCell ref="P134:P135"/>
    <mergeCell ref="P136:P137"/>
    <mergeCell ref="P138:P139"/>
    <mergeCell ref="P128:P129"/>
    <mergeCell ref="P130:P131"/>
    <mergeCell ref="P132:P133"/>
    <mergeCell ref="P146:P147"/>
    <mergeCell ref="P148:P149"/>
    <mergeCell ref="P150:P151"/>
    <mergeCell ref="P140:P141"/>
    <mergeCell ref="P142:P143"/>
    <mergeCell ref="P144:P145"/>
    <mergeCell ref="P158:P159"/>
    <mergeCell ref="P152:P153"/>
    <mergeCell ref="P154:P155"/>
    <mergeCell ref="P72:P73"/>
    <mergeCell ref="P74:P75"/>
    <mergeCell ref="P76:P77"/>
    <mergeCell ref="P66:P67"/>
    <mergeCell ref="P68:P69"/>
    <mergeCell ref="P70:P71"/>
    <mergeCell ref="P78:P79"/>
    <mergeCell ref="P82:P83"/>
    <mergeCell ref="P86:P87"/>
    <mergeCell ref="P90:P91"/>
    <mergeCell ref="P94:P95"/>
    <mergeCell ref="P98:P99"/>
    <mergeCell ref="P102:P103"/>
    <mergeCell ref="P106:P107"/>
    <mergeCell ref="P110:P111"/>
    <mergeCell ref="P114:P115"/>
    <mergeCell ref="P124:P125"/>
    <mergeCell ref="A35:A36"/>
    <mergeCell ref="A37:A38"/>
    <mergeCell ref="A29:A30"/>
    <mergeCell ref="A31:A32"/>
    <mergeCell ref="A33:A34"/>
    <mergeCell ref="P30:P31"/>
    <mergeCell ref="P34:P35"/>
    <mergeCell ref="P38:P39"/>
    <mergeCell ref="P48:P49"/>
    <mergeCell ref="P50:P51"/>
    <mergeCell ref="P52:P53"/>
    <mergeCell ref="P46:P47"/>
    <mergeCell ref="P42:AC42"/>
    <mergeCell ref="P60:P61"/>
    <mergeCell ref="P62:P63"/>
    <mergeCell ref="P64:P65"/>
    <mergeCell ref="P54:P55"/>
    <mergeCell ref="P56:P57"/>
    <mergeCell ref="P58:P59"/>
    <mergeCell ref="A11:A12"/>
    <mergeCell ref="A13:A14"/>
    <mergeCell ref="A15:A16"/>
    <mergeCell ref="A7:A8"/>
    <mergeCell ref="A9:A10"/>
    <mergeCell ref="A5:A6"/>
    <mergeCell ref="P6:P7"/>
    <mergeCell ref="P10:P11"/>
    <mergeCell ref="P14:P15"/>
    <mergeCell ref="A23:A24"/>
    <mergeCell ref="A25:A26"/>
    <mergeCell ref="A27:A28"/>
    <mergeCell ref="A17:A18"/>
    <mergeCell ref="A19:A20"/>
    <mergeCell ref="A21:A22"/>
    <mergeCell ref="P18:P19"/>
    <mergeCell ref="P22:P23"/>
    <mergeCell ref="P26:P27"/>
    <mergeCell ref="AD6:AD7"/>
    <mergeCell ref="AR6:AR7"/>
    <mergeCell ref="BF6:BF7"/>
    <mergeCell ref="BT6:BT7"/>
    <mergeCell ref="CH6:CH7"/>
    <mergeCell ref="P8:P9"/>
    <mergeCell ref="AD8:AD9"/>
    <mergeCell ref="AR8:AR9"/>
    <mergeCell ref="BF8:BF9"/>
    <mergeCell ref="BT8:BT9"/>
    <mergeCell ref="CH8:CH9"/>
    <mergeCell ref="A1:N1"/>
    <mergeCell ref="P1:AC1"/>
    <mergeCell ref="AD1:AQ1"/>
    <mergeCell ref="AR1:BE1"/>
    <mergeCell ref="BF1:BS1"/>
    <mergeCell ref="BT1:CG1"/>
    <mergeCell ref="CH1:CU1"/>
    <mergeCell ref="P2:Q3"/>
    <mergeCell ref="AD2:AE3"/>
    <mergeCell ref="AR2:AS3"/>
    <mergeCell ref="BF2:BG3"/>
    <mergeCell ref="BT2:BU3"/>
    <mergeCell ref="CH2:CI3"/>
    <mergeCell ref="A3:A4"/>
    <mergeCell ref="P4:AC4"/>
    <mergeCell ref="AD4:AQ4"/>
    <mergeCell ref="AR4:BE4"/>
    <mergeCell ref="BF4:BS4"/>
    <mergeCell ref="BT4:CG4"/>
    <mergeCell ref="CH4:CU4"/>
    <mergeCell ref="AD14:AD15"/>
    <mergeCell ref="AR14:AR15"/>
    <mergeCell ref="BF14:BF15"/>
    <mergeCell ref="BT14:BT15"/>
    <mergeCell ref="CH14:CH15"/>
    <mergeCell ref="P16:P17"/>
    <mergeCell ref="AD16:AD17"/>
    <mergeCell ref="AR16:AR17"/>
    <mergeCell ref="BF16:BF17"/>
    <mergeCell ref="BT16:BT17"/>
    <mergeCell ref="CH16:CH17"/>
    <mergeCell ref="AD10:AD11"/>
    <mergeCell ref="AR10:AR11"/>
    <mergeCell ref="BF10:BF11"/>
    <mergeCell ref="BT10:BT11"/>
    <mergeCell ref="CH10:CH11"/>
    <mergeCell ref="P12:P13"/>
    <mergeCell ref="AD12:AD13"/>
    <mergeCell ref="AR12:AR13"/>
    <mergeCell ref="BF12:BF13"/>
    <mergeCell ref="BT12:BT13"/>
    <mergeCell ref="CH12:CH13"/>
    <mergeCell ref="AD22:AD23"/>
    <mergeCell ref="AR22:AR23"/>
    <mergeCell ref="BF22:BF23"/>
    <mergeCell ref="BT22:BT23"/>
    <mergeCell ref="CH22:CH23"/>
    <mergeCell ref="P24:P25"/>
    <mergeCell ref="AD24:AD25"/>
    <mergeCell ref="AR24:AR25"/>
    <mergeCell ref="BF24:BF25"/>
    <mergeCell ref="BT24:BT25"/>
    <mergeCell ref="CH24:CH25"/>
    <mergeCell ref="AD18:AD19"/>
    <mergeCell ref="AR18:AR19"/>
    <mergeCell ref="BF18:BF19"/>
    <mergeCell ref="BT18:BT19"/>
    <mergeCell ref="CH18:CH19"/>
    <mergeCell ref="P20:P21"/>
    <mergeCell ref="AD20:AD21"/>
    <mergeCell ref="AR20:AR21"/>
    <mergeCell ref="BF20:BF21"/>
    <mergeCell ref="BT20:BT21"/>
    <mergeCell ref="CH20:CH21"/>
    <mergeCell ref="AD30:AD31"/>
    <mergeCell ref="AR30:AR31"/>
    <mergeCell ref="BF30:BF31"/>
    <mergeCell ref="BT30:BT31"/>
    <mergeCell ref="CH30:CH31"/>
    <mergeCell ref="P32:P33"/>
    <mergeCell ref="AD32:AD33"/>
    <mergeCell ref="AR32:AR33"/>
    <mergeCell ref="BF32:BF33"/>
    <mergeCell ref="BT32:BT33"/>
    <mergeCell ref="CH32:CH33"/>
    <mergeCell ref="AD26:AD27"/>
    <mergeCell ref="AR26:AR27"/>
    <mergeCell ref="BF26:BF27"/>
    <mergeCell ref="BT26:BT27"/>
    <mergeCell ref="CH26:CH27"/>
    <mergeCell ref="P28:P29"/>
    <mergeCell ref="AD28:AD29"/>
    <mergeCell ref="AR28:AR29"/>
    <mergeCell ref="BF28:BF29"/>
    <mergeCell ref="BT28:BT29"/>
    <mergeCell ref="CH28:CH29"/>
    <mergeCell ref="AD38:AD39"/>
    <mergeCell ref="AR38:AR39"/>
    <mergeCell ref="BF38:BF39"/>
    <mergeCell ref="BT38:BT39"/>
    <mergeCell ref="CH38:CH39"/>
    <mergeCell ref="P40:P41"/>
    <mergeCell ref="AD40:AD41"/>
    <mergeCell ref="AR40:AR41"/>
    <mergeCell ref="BF40:BF41"/>
    <mergeCell ref="BT40:BT41"/>
    <mergeCell ref="CH40:CH41"/>
    <mergeCell ref="AD34:AD35"/>
    <mergeCell ref="AR34:AR35"/>
    <mergeCell ref="BF34:BF35"/>
    <mergeCell ref="BT34:BT35"/>
    <mergeCell ref="CH34:CH35"/>
    <mergeCell ref="P36:P37"/>
    <mergeCell ref="AD36:AD37"/>
    <mergeCell ref="AR36:AR37"/>
    <mergeCell ref="BF36:BF37"/>
    <mergeCell ref="BT36:BT37"/>
    <mergeCell ref="CH36:CH37"/>
    <mergeCell ref="AD46:AD47"/>
    <mergeCell ref="AR46:AR47"/>
    <mergeCell ref="BF46:BF47"/>
    <mergeCell ref="BT46:BT47"/>
    <mergeCell ref="CH46:CH47"/>
    <mergeCell ref="AD48:AD49"/>
    <mergeCell ref="AR48:AR49"/>
    <mergeCell ref="BF48:BF49"/>
    <mergeCell ref="BT48:BT49"/>
    <mergeCell ref="CH48:CH49"/>
    <mergeCell ref="AD42:AQ42"/>
    <mergeCell ref="AR42:BE42"/>
    <mergeCell ref="BF42:BS42"/>
    <mergeCell ref="BT42:CG42"/>
    <mergeCell ref="CH42:CU42"/>
    <mergeCell ref="P44:P45"/>
    <mergeCell ref="AD44:AD45"/>
    <mergeCell ref="AR44:AR45"/>
    <mergeCell ref="BF44:BF45"/>
    <mergeCell ref="BT44:BT45"/>
    <mergeCell ref="CH44:CH45"/>
    <mergeCell ref="AD54:AD55"/>
    <mergeCell ref="AR54:AR55"/>
    <mergeCell ref="BF54:BF55"/>
    <mergeCell ref="BT54:BT55"/>
    <mergeCell ref="CH54:CH55"/>
    <mergeCell ref="AD56:AD57"/>
    <mergeCell ref="AR56:AR57"/>
    <mergeCell ref="BF56:BF57"/>
    <mergeCell ref="BT56:BT57"/>
    <mergeCell ref="CH56:CH57"/>
    <mergeCell ref="AD50:AD51"/>
    <mergeCell ref="AR50:AR51"/>
    <mergeCell ref="BF50:BF51"/>
    <mergeCell ref="BT50:BT51"/>
    <mergeCell ref="CH50:CH51"/>
    <mergeCell ref="AD52:AD53"/>
    <mergeCell ref="AR52:AR53"/>
    <mergeCell ref="BF52:BF53"/>
    <mergeCell ref="BT52:BT53"/>
    <mergeCell ref="CH52:CH53"/>
    <mergeCell ref="AD62:AD63"/>
    <mergeCell ref="AR62:AR63"/>
    <mergeCell ref="BF62:BF63"/>
    <mergeCell ref="BT62:BT63"/>
    <mergeCell ref="CH62:CH63"/>
    <mergeCell ref="AD64:AD65"/>
    <mergeCell ref="AR64:AR65"/>
    <mergeCell ref="BF64:BF65"/>
    <mergeCell ref="BT64:BT65"/>
    <mergeCell ref="CH64:CH65"/>
    <mergeCell ref="AD58:AD59"/>
    <mergeCell ref="AR58:AR59"/>
    <mergeCell ref="BF58:BF59"/>
    <mergeCell ref="BT58:BT59"/>
    <mergeCell ref="CH58:CH59"/>
    <mergeCell ref="AD60:AD61"/>
    <mergeCell ref="AR60:AR61"/>
    <mergeCell ref="BF60:BF61"/>
    <mergeCell ref="BT60:BT61"/>
    <mergeCell ref="CH60:CH61"/>
    <mergeCell ref="AD70:AD71"/>
    <mergeCell ref="AR70:AR71"/>
    <mergeCell ref="BF70:BF71"/>
    <mergeCell ref="BT70:BT71"/>
    <mergeCell ref="CH70:CH71"/>
    <mergeCell ref="AD72:AD73"/>
    <mergeCell ref="AR72:AR73"/>
    <mergeCell ref="BF72:BF73"/>
    <mergeCell ref="BT72:BT73"/>
    <mergeCell ref="CH72:CH73"/>
    <mergeCell ref="AD66:AD67"/>
    <mergeCell ref="AR66:AR67"/>
    <mergeCell ref="BF66:BF67"/>
    <mergeCell ref="BT66:BT67"/>
    <mergeCell ref="CH66:CH67"/>
    <mergeCell ref="AD68:AD69"/>
    <mergeCell ref="AR68:AR69"/>
    <mergeCell ref="BF68:BF69"/>
    <mergeCell ref="BT68:BT69"/>
    <mergeCell ref="CH68:CH69"/>
    <mergeCell ref="AD78:AD79"/>
    <mergeCell ref="AR78:AR79"/>
    <mergeCell ref="BF78:BF79"/>
    <mergeCell ref="BT78:BT79"/>
    <mergeCell ref="CH78:CH79"/>
    <mergeCell ref="P80:AC80"/>
    <mergeCell ref="AD80:AQ80"/>
    <mergeCell ref="AR80:BE80"/>
    <mergeCell ref="BF80:BS80"/>
    <mergeCell ref="BT80:CG80"/>
    <mergeCell ref="CH80:CU80"/>
    <mergeCell ref="AD74:AD75"/>
    <mergeCell ref="AR74:AR75"/>
    <mergeCell ref="BF74:BF75"/>
    <mergeCell ref="BT74:BT75"/>
    <mergeCell ref="CH74:CH75"/>
    <mergeCell ref="AD76:AD77"/>
    <mergeCell ref="AR76:AR77"/>
    <mergeCell ref="BF76:BF77"/>
    <mergeCell ref="BT76:BT77"/>
    <mergeCell ref="CH76:CH77"/>
    <mergeCell ref="AD86:AD87"/>
    <mergeCell ref="AR86:AR87"/>
    <mergeCell ref="BF86:BF87"/>
    <mergeCell ref="BT86:BT87"/>
    <mergeCell ref="CH86:CH87"/>
    <mergeCell ref="P88:P89"/>
    <mergeCell ref="AD88:AD89"/>
    <mergeCell ref="AR88:AR89"/>
    <mergeCell ref="BF88:BF89"/>
    <mergeCell ref="BT88:BT89"/>
    <mergeCell ref="CH88:CH89"/>
    <mergeCell ref="AD82:AD83"/>
    <mergeCell ref="AR82:AR83"/>
    <mergeCell ref="BF82:BF83"/>
    <mergeCell ref="BT82:BT83"/>
    <mergeCell ref="CH82:CH83"/>
    <mergeCell ref="P84:P85"/>
    <mergeCell ref="AD84:AD85"/>
    <mergeCell ref="AR84:AR85"/>
    <mergeCell ref="BF84:BF85"/>
    <mergeCell ref="BT84:BT85"/>
    <mergeCell ref="CH84:CH85"/>
    <mergeCell ref="AD94:AD95"/>
    <mergeCell ref="AR94:AR95"/>
    <mergeCell ref="BF94:BF95"/>
    <mergeCell ref="BT94:BT95"/>
    <mergeCell ref="CH94:CH95"/>
    <mergeCell ref="P96:P97"/>
    <mergeCell ref="AD96:AD97"/>
    <mergeCell ref="AR96:AR97"/>
    <mergeCell ref="BF96:BF97"/>
    <mergeCell ref="BT96:BT97"/>
    <mergeCell ref="CH96:CH97"/>
    <mergeCell ref="AD90:AD91"/>
    <mergeCell ref="AR90:AR91"/>
    <mergeCell ref="BF90:BF91"/>
    <mergeCell ref="BT90:BT91"/>
    <mergeCell ref="CH90:CH91"/>
    <mergeCell ref="P92:P93"/>
    <mergeCell ref="AD92:AD93"/>
    <mergeCell ref="AR92:AR93"/>
    <mergeCell ref="BF92:BF93"/>
    <mergeCell ref="BT92:BT93"/>
    <mergeCell ref="CH92:CH93"/>
    <mergeCell ref="AD102:AD103"/>
    <mergeCell ref="AR102:AR103"/>
    <mergeCell ref="BF102:BF103"/>
    <mergeCell ref="BT102:BT103"/>
    <mergeCell ref="CH102:CH103"/>
    <mergeCell ref="P104:P105"/>
    <mergeCell ref="AD104:AD105"/>
    <mergeCell ref="AR104:AR105"/>
    <mergeCell ref="BF104:BF105"/>
    <mergeCell ref="BT104:BT105"/>
    <mergeCell ref="CH104:CH105"/>
    <mergeCell ref="AD98:AD99"/>
    <mergeCell ref="AR98:AR99"/>
    <mergeCell ref="BF98:BF99"/>
    <mergeCell ref="BT98:BT99"/>
    <mergeCell ref="CH98:CH99"/>
    <mergeCell ref="P100:P101"/>
    <mergeCell ref="AD100:AD101"/>
    <mergeCell ref="AR100:AR101"/>
    <mergeCell ref="BF100:BF101"/>
    <mergeCell ref="BT100:BT101"/>
    <mergeCell ref="CH100:CH101"/>
    <mergeCell ref="AD110:AD111"/>
    <mergeCell ref="AR110:AR111"/>
    <mergeCell ref="BF110:BF111"/>
    <mergeCell ref="BT110:BT111"/>
    <mergeCell ref="CH110:CH111"/>
    <mergeCell ref="P112:P113"/>
    <mergeCell ref="AD112:AD113"/>
    <mergeCell ref="AR112:AR113"/>
    <mergeCell ref="BF112:BF113"/>
    <mergeCell ref="BT112:BT113"/>
    <mergeCell ref="CH112:CH113"/>
    <mergeCell ref="AD106:AD107"/>
    <mergeCell ref="AR106:AR107"/>
    <mergeCell ref="BF106:BF107"/>
    <mergeCell ref="BT106:BT107"/>
    <mergeCell ref="CH106:CH107"/>
    <mergeCell ref="P108:P109"/>
    <mergeCell ref="AD108:AD109"/>
    <mergeCell ref="AR108:AR109"/>
    <mergeCell ref="BF108:BF109"/>
    <mergeCell ref="BT108:BT109"/>
    <mergeCell ref="CH108:CH109"/>
    <mergeCell ref="AD118:AQ118"/>
    <mergeCell ref="AR118:BE118"/>
    <mergeCell ref="BF118:BS118"/>
    <mergeCell ref="BT118:CG118"/>
    <mergeCell ref="CH118:CU118"/>
    <mergeCell ref="P120:P121"/>
    <mergeCell ref="AD120:AD121"/>
    <mergeCell ref="AR120:AR121"/>
    <mergeCell ref="BF120:BF121"/>
    <mergeCell ref="BT120:BT121"/>
    <mergeCell ref="CH120:CH121"/>
    <mergeCell ref="AD114:AD115"/>
    <mergeCell ref="AR114:AR115"/>
    <mergeCell ref="BF114:BF115"/>
    <mergeCell ref="BT114:BT115"/>
    <mergeCell ref="CH114:CH115"/>
    <mergeCell ref="P116:P117"/>
    <mergeCell ref="AD116:AD117"/>
    <mergeCell ref="AR116:AR117"/>
    <mergeCell ref="BF116:BF117"/>
    <mergeCell ref="BT116:BT117"/>
    <mergeCell ref="CH116:CH117"/>
    <mergeCell ref="AD126:AD127"/>
    <mergeCell ref="AR126:AR127"/>
    <mergeCell ref="BF126:BF127"/>
    <mergeCell ref="BT126:BT127"/>
    <mergeCell ref="CH126:CH127"/>
    <mergeCell ref="AD128:AD129"/>
    <mergeCell ref="AR128:AR129"/>
    <mergeCell ref="BF128:BF129"/>
    <mergeCell ref="BT128:BT129"/>
    <mergeCell ref="CH128:CH129"/>
    <mergeCell ref="AD122:AD123"/>
    <mergeCell ref="AR122:AR123"/>
    <mergeCell ref="BF122:BF123"/>
    <mergeCell ref="BT122:BT123"/>
    <mergeCell ref="CH122:CH123"/>
    <mergeCell ref="AD124:AD125"/>
    <mergeCell ref="AR124:AR125"/>
    <mergeCell ref="BF124:BF125"/>
    <mergeCell ref="BT124:BT125"/>
    <mergeCell ref="CH124:CH125"/>
    <mergeCell ref="AD134:AD135"/>
    <mergeCell ref="AR134:AR135"/>
    <mergeCell ref="BF134:BF135"/>
    <mergeCell ref="BT134:BT135"/>
    <mergeCell ref="CH134:CH135"/>
    <mergeCell ref="AD136:AD137"/>
    <mergeCell ref="AR136:AR137"/>
    <mergeCell ref="BF136:BF137"/>
    <mergeCell ref="BT136:BT137"/>
    <mergeCell ref="CH136:CH137"/>
    <mergeCell ref="AD130:AD131"/>
    <mergeCell ref="AR130:AR131"/>
    <mergeCell ref="BF130:BF131"/>
    <mergeCell ref="BT130:BT131"/>
    <mergeCell ref="CH130:CH131"/>
    <mergeCell ref="AD132:AD133"/>
    <mergeCell ref="AR132:AR133"/>
    <mergeCell ref="BF132:BF133"/>
    <mergeCell ref="BT132:BT133"/>
    <mergeCell ref="CH132:CH133"/>
    <mergeCell ref="AD142:AD143"/>
    <mergeCell ref="AR142:AR143"/>
    <mergeCell ref="BF142:BF143"/>
    <mergeCell ref="BT142:BT143"/>
    <mergeCell ref="CH142:CH143"/>
    <mergeCell ref="AD144:AD145"/>
    <mergeCell ref="AR144:AR145"/>
    <mergeCell ref="BF144:BF145"/>
    <mergeCell ref="BT144:BT145"/>
    <mergeCell ref="CH144:CH145"/>
    <mergeCell ref="AD138:AD139"/>
    <mergeCell ref="AR138:AR139"/>
    <mergeCell ref="BF138:BF139"/>
    <mergeCell ref="BT138:BT139"/>
    <mergeCell ref="CH138:CH139"/>
    <mergeCell ref="AD140:AD141"/>
    <mergeCell ref="AR140:AR141"/>
    <mergeCell ref="BF140:BF141"/>
    <mergeCell ref="BT140:BT141"/>
    <mergeCell ref="CH140:CH141"/>
    <mergeCell ref="AD150:AD151"/>
    <mergeCell ref="AR150:AR151"/>
    <mergeCell ref="BF150:BF151"/>
    <mergeCell ref="BT150:BT151"/>
    <mergeCell ref="CH150:CH151"/>
    <mergeCell ref="AD152:AD153"/>
    <mergeCell ref="AR152:AR153"/>
    <mergeCell ref="BF152:BF153"/>
    <mergeCell ref="BT152:BT153"/>
    <mergeCell ref="CH152:CH153"/>
    <mergeCell ref="AD146:AD147"/>
    <mergeCell ref="AR146:AR147"/>
    <mergeCell ref="BF146:BF147"/>
    <mergeCell ref="BT146:BT147"/>
    <mergeCell ref="CH146:CH147"/>
    <mergeCell ref="AD148:AD149"/>
    <mergeCell ref="AR148:AR149"/>
    <mergeCell ref="BF148:BF149"/>
    <mergeCell ref="BT148:BT149"/>
    <mergeCell ref="CH148:CH149"/>
    <mergeCell ref="AD158:AD159"/>
    <mergeCell ref="AR158:AR159"/>
    <mergeCell ref="BF158:BF159"/>
    <mergeCell ref="BT158:BT159"/>
    <mergeCell ref="CH158:CH159"/>
    <mergeCell ref="P160:P161"/>
    <mergeCell ref="AD160:AD161"/>
    <mergeCell ref="AR160:AR161"/>
    <mergeCell ref="BF160:BF161"/>
    <mergeCell ref="BT160:BT161"/>
    <mergeCell ref="CH160:CH161"/>
    <mergeCell ref="AD154:AD155"/>
    <mergeCell ref="AR154:AR155"/>
    <mergeCell ref="BF154:BF155"/>
    <mergeCell ref="BT154:BT155"/>
    <mergeCell ref="CH154:CH155"/>
    <mergeCell ref="P156:AC156"/>
    <mergeCell ref="AD156:AQ156"/>
    <mergeCell ref="AR156:BE156"/>
    <mergeCell ref="BF156:BS156"/>
    <mergeCell ref="BT156:CG156"/>
    <mergeCell ref="CH156:CU156"/>
    <mergeCell ref="AD166:AD167"/>
    <mergeCell ref="AR166:AR167"/>
    <mergeCell ref="BF166:BF167"/>
    <mergeCell ref="BT166:BT167"/>
    <mergeCell ref="CH166:CH167"/>
    <mergeCell ref="P168:P169"/>
    <mergeCell ref="AD168:AD169"/>
    <mergeCell ref="AR168:AR169"/>
    <mergeCell ref="BF168:BF169"/>
    <mergeCell ref="BT168:BT169"/>
    <mergeCell ref="CH168:CH169"/>
    <mergeCell ref="AD162:AD163"/>
    <mergeCell ref="AR162:AR163"/>
    <mergeCell ref="BF162:BF163"/>
    <mergeCell ref="BT162:BT163"/>
    <mergeCell ref="CH162:CH163"/>
    <mergeCell ref="P164:P165"/>
    <mergeCell ref="AD164:AD165"/>
    <mergeCell ref="AR164:AR165"/>
    <mergeCell ref="BF164:BF165"/>
    <mergeCell ref="BT164:BT165"/>
    <mergeCell ref="CH164:CH165"/>
    <mergeCell ref="P162:P163"/>
    <mergeCell ref="P166:P167"/>
    <mergeCell ref="AD174:AD175"/>
    <mergeCell ref="AR174:AR175"/>
    <mergeCell ref="BF174:BF175"/>
    <mergeCell ref="BT174:BT175"/>
    <mergeCell ref="CH174:CH175"/>
    <mergeCell ref="P176:P177"/>
    <mergeCell ref="AD176:AD177"/>
    <mergeCell ref="AR176:AR177"/>
    <mergeCell ref="BF176:BF177"/>
    <mergeCell ref="BT176:BT177"/>
    <mergeCell ref="CH176:CH177"/>
    <mergeCell ref="AD170:AD171"/>
    <mergeCell ref="AR170:AR171"/>
    <mergeCell ref="BF170:BF171"/>
    <mergeCell ref="BT170:BT171"/>
    <mergeCell ref="CH170:CH171"/>
    <mergeCell ref="P172:P173"/>
    <mergeCell ref="AD172:AD173"/>
    <mergeCell ref="AR172:AR173"/>
    <mergeCell ref="BF172:BF173"/>
    <mergeCell ref="BT172:BT173"/>
    <mergeCell ref="CH172:CH173"/>
    <mergeCell ref="P170:P171"/>
    <mergeCell ref="P174:P175"/>
    <mergeCell ref="AD182:AD183"/>
    <mergeCell ref="AR182:AR183"/>
    <mergeCell ref="BF182:BF183"/>
    <mergeCell ref="BT182:BT183"/>
    <mergeCell ref="CH182:CH183"/>
    <mergeCell ref="P184:P185"/>
    <mergeCell ref="AD184:AD185"/>
    <mergeCell ref="AR184:AR185"/>
    <mergeCell ref="BF184:BF185"/>
    <mergeCell ref="BT184:BT185"/>
    <mergeCell ref="CH184:CH185"/>
    <mergeCell ref="AD178:AD179"/>
    <mergeCell ref="AR178:AR179"/>
    <mergeCell ref="BF178:BF179"/>
    <mergeCell ref="BT178:BT179"/>
    <mergeCell ref="CH178:CH179"/>
    <mergeCell ref="P180:P181"/>
    <mergeCell ref="AD180:AD181"/>
    <mergeCell ref="AR180:AR181"/>
    <mergeCell ref="BF180:BF181"/>
    <mergeCell ref="BT180:BT181"/>
    <mergeCell ref="CH180:CH181"/>
    <mergeCell ref="P178:P179"/>
    <mergeCell ref="P182:P183"/>
    <mergeCell ref="AD190:AD191"/>
    <mergeCell ref="AR190:AR191"/>
    <mergeCell ref="BF190:BF191"/>
    <mergeCell ref="BT190:BT191"/>
    <mergeCell ref="CH190:CH191"/>
    <mergeCell ref="P192:P193"/>
    <mergeCell ref="AD192:AD193"/>
    <mergeCell ref="AR192:AR193"/>
    <mergeCell ref="BF192:BF193"/>
    <mergeCell ref="BT192:BT193"/>
    <mergeCell ref="CH192:CH193"/>
    <mergeCell ref="AD186:AD187"/>
    <mergeCell ref="AR186:AR187"/>
    <mergeCell ref="BF186:BF187"/>
    <mergeCell ref="BT186:BT187"/>
    <mergeCell ref="CH186:CH187"/>
    <mergeCell ref="P188:P189"/>
    <mergeCell ref="AD188:AD189"/>
    <mergeCell ref="AR188:AR189"/>
    <mergeCell ref="BF188:BF189"/>
    <mergeCell ref="BT188:BT189"/>
    <mergeCell ref="CH188:CH189"/>
    <mergeCell ref="P186:P187"/>
    <mergeCell ref="P190:P191"/>
    <mergeCell ref="AD198:AD199"/>
    <mergeCell ref="AR198:AR199"/>
    <mergeCell ref="BF198:BF199"/>
    <mergeCell ref="BT198:BT199"/>
    <mergeCell ref="CH198:CH199"/>
    <mergeCell ref="P200:P201"/>
    <mergeCell ref="AD200:AD201"/>
    <mergeCell ref="AR200:AR201"/>
    <mergeCell ref="BF200:BF201"/>
    <mergeCell ref="BT200:BT201"/>
    <mergeCell ref="CH200:CH201"/>
    <mergeCell ref="AD194:AQ194"/>
    <mergeCell ref="AR194:BE194"/>
    <mergeCell ref="BF194:BS194"/>
    <mergeCell ref="BT194:CG194"/>
    <mergeCell ref="CH194:CU194"/>
    <mergeCell ref="P196:P197"/>
    <mergeCell ref="AD196:AD197"/>
    <mergeCell ref="AR196:AR197"/>
    <mergeCell ref="BF196:BF197"/>
    <mergeCell ref="BT196:BT197"/>
    <mergeCell ref="CH196:CH197"/>
    <mergeCell ref="P194:AC194"/>
    <mergeCell ref="P198:P199"/>
    <mergeCell ref="AD206:AD207"/>
    <mergeCell ref="AR206:AR207"/>
    <mergeCell ref="BF206:BF207"/>
    <mergeCell ref="BT206:BT207"/>
    <mergeCell ref="CH206:CH207"/>
    <mergeCell ref="AD208:AD209"/>
    <mergeCell ref="AR208:AR209"/>
    <mergeCell ref="BF208:BF209"/>
    <mergeCell ref="BT208:BT209"/>
    <mergeCell ref="CH208:CH209"/>
    <mergeCell ref="AD202:AD203"/>
    <mergeCell ref="AR202:AR203"/>
    <mergeCell ref="BF202:BF203"/>
    <mergeCell ref="BT202:BT203"/>
    <mergeCell ref="CH202:CH203"/>
    <mergeCell ref="AD204:AD205"/>
    <mergeCell ref="AR204:AR205"/>
    <mergeCell ref="BF204:BF205"/>
    <mergeCell ref="BT204:BT205"/>
    <mergeCell ref="CH204:CH205"/>
    <mergeCell ref="AD214:AD215"/>
    <mergeCell ref="AR214:AR215"/>
    <mergeCell ref="BF214:BF215"/>
    <mergeCell ref="BT214:BT215"/>
    <mergeCell ref="CH214:CH215"/>
    <mergeCell ref="AD216:AD217"/>
    <mergeCell ref="AR216:AR217"/>
    <mergeCell ref="BF216:BF217"/>
    <mergeCell ref="BT216:BT217"/>
    <mergeCell ref="CH216:CH217"/>
    <mergeCell ref="AD210:AD211"/>
    <mergeCell ref="AR210:AR211"/>
    <mergeCell ref="BF210:BF211"/>
    <mergeCell ref="BT210:BT211"/>
    <mergeCell ref="CH210:CH211"/>
    <mergeCell ref="AD212:AD213"/>
    <mergeCell ref="AR212:AR213"/>
    <mergeCell ref="BF212:BF213"/>
    <mergeCell ref="BT212:BT213"/>
    <mergeCell ref="CH212:CH213"/>
    <mergeCell ref="AD222:AD223"/>
    <mergeCell ref="AR222:AR223"/>
    <mergeCell ref="BF222:BF223"/>
    <mergeCell ref="BT222:BT223"/>
    <mergeCell ref="CH222:CH223"/>
    <mergeCell ref="AD224:AD225"/>
    <mergeCell ref="AR224:AR225"/>
    <mergeCell ref="BF224:BF225"/>
    <mergeCell ref="BT224:BT225"/>
    <mergeCell ref="CH224:CH225"/>
    <mergeCell ref="AD218:AD219"/>
    <mergeCell ref="AR218:AR219"/>
    <mergeCell ref="BF218:BF219"/>
    <mergeCell ref="BT218:BT219"/>
    <mergeCell ref="CH218:CH219"/>
    <mergeCell ref="AD220:AD221"/>
    <mergeCell ref="AR220:AR221"/>
    <mergeCell ref="BF220:BF221"/>
    <mergeCell ref="BT220:BT221"/>
    <mergeCell ref="CH220:CH221"/>
    <mergeCell ref="AD230:AD231"/>
    <mergeCell ref="AR230:AR231"/>
    <mergeCell ref="BF230:BF231"/>
    <mergeCell ref="BT230:BT231"/>
    <mergeCell ref="CH230:CH231"/>
    <mergeCell ref="P232:AC232"/>
    <mergeCell ref="AD232:AQ232"/>
    <mergeCell ref="AR232:BE232"/>
    <mergeCell ref="BF232:BS232"/>
    <mergeCell ref="BT232:CG232"/>
    <mergeCell ref="CH232:CU232"/>
    <mergeCell ref="AD226:AD227"/>
    <mergeCell ref="AR226:AR227"/>
    <mergeCell ref="BF226:BF227"/>
    <mergeCell ref="BT226:BT227"/>
    <mergeCell ref="CH226:CH227"/>
    <mergeCell ref="AD228:AD229"/>
    <mergeCell ref="AR228:AR229"/>
    <mergeCell ref="BF228:BF229"/>
    <mergeCell ref="BT228:BT229"/>
    <mergeCell ref="CH228:CH229"/>
    <mergeCell ref="AD238:AD239"/>
    <mergeCell ref="AR238:AR239"/>
    <mergeCell ref="BF238:BF239"/>
    <mergeCell ref="BT238:BT239"/>
    <mergeCell ref="CH238:CH239"/>
    <mergeCell ref="P240:P241"/>
    <mergeCell ref="AD240:AD241"/>
    <mergeCell ref="AR240:AR241"/>
    <mergeCell ref="BF240:BF241"/>
    <mergeCell ref="BT240:BT241"/>
    <mergeCell ref="CH240:CH241"/>
    <mergeCell ref="AD234:AD235"/>
    <mergeCell ref="AR234:AR235"/>
    <mergeCell ref="BF234:BF235"/>
    <mergeCell ref="BT234:BT235"/>
    <mergeCell ref="CH234:CH235"/>
    <mergeCell ref="AD236:AD237"/>
    <mergeCell ref="AR236:AR237"/>
    <mergeCell ref="BF236:BF237"/>
    <mergeCell ref="BT236:BT237"/>
    <mergeCell ref="CH236:CH237"/>
    <mergeCell ref="P238:P239"/>
    <mergeCell ref="AD246:AD247"/>
    <mergeCell ref="AR246:AR247"/>
    <mergeCell ref="BF246:BF247"/>
    <mergeCell ref="BT246:BT247"/>
    <mergeCell ref="CH246:CH247"/>
    <mergeCell ref="P248:P249"/>
    <mergeCell ref="AD248:AD249"/>
    <mergeCell ref="AR248:AR249"/>
    <mergeCell ref="BF248:BF249"/>
    <mergeCell ref="BT248:BT249"/>
    <mergeCell ref="CH248:CH249"/>
    <mergeCell ref="AD242:AD243"/>
    <mergeCell ref="AR242:AR243"/>
    <mergeCell ref="BF242:BF243"/>
    <mergeCell ref="BT242:BT243"/>
    <mergeCell ref="CH242:CH243"/>
    <mergeCell ref="P244:P245"/>
    <mergeCell ref="AD244:AD245"/>
    <mergeCell ref="AR244:AR245"/>
    <mergeCell ref="BF244:BF245"/>
    <mergeCell ref="BT244:BT245"/>
    <mergeCell ref="CH244:CH245"/>
    <mergeCell ref="P242:P243"/>
    <mergeCell ref="P246:P247"/>
    <mergeCell ref="AD254:AD255"/>
    <mergeCell ref="AR254:AR255"/>
    <mergeCell ref="BF254:BF255"/>
    <mergeCell ref="BT254:BT255"/>
    <mergeCell ref="CH254:CH255"/>
    <mergeCell ref="P256:P257"/>
    <mergeCell ref="AD256:AD257"/>
    <mergeCell ref="AR256:AR257"/>
    <mergeCell ref="BF256:BF257"/>
    <mergeCell ref="BT256:BT257"/>
    <mergeCell ref="CH256:CH257"/>
    <mergeCell ref="AD250:AD251"/>
    <mergeCell ref="AR250:AR251"/>
    <mergeCell ref="BF250:BF251"/>
    <mergeCell ref="BT250:BT251"/>
    <mergeCell ref="CH250:CH251"/>
    <mergeCell ref="P252:P253"/>
    <mergeCell ref="AD252:AD253"/>
    <mergeCell ref="AR252:AR253"/>
    <mergeCell ref="BF252:BF253"/>
    <mergeCell ref="BT252:BT253"/>
    <mergeCell ref="CH252:CH253"/>
    <mergeCell ref="P250:P251"/>
    <mergeCell ref="P254:P255"/>
    <mergeCell ref="AD262:AD263"/>
    <mergeCell ref="AR262:AR263"/>
    <mergeCell ref="BF262:BF263"/>
    <mergeCell ref="BT262:BT263"/>
    <mergeCell ref="CH262:CH263"/>
    <mergeCell ref="P264:P265"/>
    <mergeCell ref="AD264:AD265"/>
    <mergeCell ref="AR264:AR265"/>
    <mergeCell ref="BF264:BF265"/>
    <mergeCell ref="BT264:BT265"/>
    <mergeCell ref="CH264:CH265"/>
    <mergeCell ref="AD258:AD259"/>
    <mergeCell ref="AR258:AR259"/>
    <mergeCell ref="BF258:BF259"/>
    <mergeCell ref="BT258:BT259"/>
    <mergeCell ref="CH258:CH259"/>
    <mergeCell ref="P260:P261"/>
    <mergeCell ref="AD260:AD261"/>
    <mergeCell ref="AR260:AR261"/>
    <mergeCell ref="BF260:BF261"/>
    <mergeCell ref="BT260:BT261"/>
    <mergeCell ref="CH260:CH261"/>
    <mergeCell ref="P258:P259"/>
    <mergeCell ref="P262:P263"/>
    <mergeCell ref="AD270:AQ270"/>
    <mergeCell ref="AR270:BE270"/>
    <mergeCell ref="BF270:BS270"/>
    <mergeCell ref="BT270:CG270"/>
    <mergeCell ref="CH270:CU270"/>
    <mergeCell ref="P272:P273"/>
    <mergeCell ref="AD272:AD273"/>
    <mergeCell ref="AR272:AR273"/>
    <mergeCell ref="BF272:BF273"/>
    <mergeCell ref="BT272:BT273"/>
    <mergeCell ref="CH272:CH273"/>
    <mergeCell ref="AD266:AD267"/>
    <mergeCell ref="AR266:AR267"/>
    <mergeCell ref="BF266:BF267"/>
    <mergeCell ref="BT266:BT267"/>
    <mergeCell ref="CH266:CH267"/>
    <mergeCell ref="P268:P269"/>
    <mergeCell ref="AD268:AD269"/>
    <mergeCell ref="AR268:AR269"/>
    <mergeCell ref="BF268:BF269"/>
    <mergeCell ref="BT268:BT269"/>
    <mergeCell ref="CH268:CH269"/>
    <mergeCell ref="P266:P267"/>
    <mergeCell ref="P270:AC270"/>
    <mergeCell ref="AD278:AD279"/>
    <mergeCell ref="AR278:AR279"/>
    <mergeCell ref="BF278:BF279"/>
    <mergeCell ref="BT278:BT279"/>
    <mergeCell ref="CH278:CH279"/>
    <mergeCell ref="AD280:AD281"/>
    <mergeCell ref="AR280:AR281"/>
    <mergeCell ref="BF280:BF281"/>
    <mergeCell ref="BT280:BT281"/>
    <mergeCell ref="CH280:CH281"/>
    <mergeCell ref="AD274:AD275"/>
    <mergeCell ref="AR274:AR275"/>
    <mergeCell ref="BF274:BF275"/>
    <mergeCell ref="BT274:BT275"/>
    <mergeCell ref="CH274:CH275"/>
    <mergeCell ref="P276:P277"/>
    <mergeCell ref="AD276:AD277"/>
    <mergeCell ref="AR276:AR277"/>
    <mergeCell ref="BF276:BF277"/>
    <mergeCell ref="BT276:BT277"/>
    <mergeCell ref="CH276:CH277"/>
    <mergeCell ref="P274:P275"/>
    <mergeCell ref="AD286:AD287"/>
    <mergeCell ref="AR286:AR287"/>
    <mergeCell ref="BF286:BF287"/>
    <mergeCell ref="BT286:BT287"/>
    <mergeCell ref="CH286:CH287"/>
    <mergeCell ref="AD288:AD289"/>
    <mergeCell ref="AR288:AR289"/>
    <mergeCell ref="BF288:BF289"/>
    <mergeCell ref="BT288:BT289"/>
    <mergeCell ref="CH288:CH289"/>
    <mergeCell ref="AD282:AD283"/>
    <mergeCell ref="AR282:AR283"/>
    <mergeCell ref="BF282:BF283"/>
    <mergeCell ref="BT282:BT283"/>
    <mergeCell ref="CH282:CH283"/>
    <mergeCell ref="AD284:AD285"/>
    <mergeCell ref="AR284:AR285"/>
    <mergeCell ref="BF284:BF285"/>
    <mergeCell ref="BT284:BT285"/>
    <mergeCell ref="CH284:CH285"/>
    <mergeCell ref="AD294:AD295"/>
    <mergeCell ref="AR294:AR295"/>
    <mergeCell ref="BF294:BF295"/>
    <mergeCell ref="BT294:BT295"/>
    <mergeCell ref="CH294:CH295"/>
    <mergeCell ref="AD296:AD297"/>
    <mergeCell ref="AR296:AR297"/>
    <mergeCell ref="BF296:BF297"/>
    <mergeCell ref="BT296:BT297"/>
    <mergeCell ref="CH296:CH297"/>
    <mergeCell ref="AD290:AD291"/>
    <mergeCell ref="AR290:AR291"/>
    <mergeCell ref="BF290:BF291"/>
    <mergeCell ref="BT290:BT291"/>
    <mergeCell ref="CH290:CH291"/>
    <mergeCell ref="AD292:AD293"/>
    <mergeCell ref="AR292:AR293"/>
    <mergeCell ref="BF292:BF293"/>
    <mergeCell ref="BT292:BT293"/>
    <mergeCell ref="CH292:CH293"/>
    <mergeCell ref="AD302:AD303"/>
    <mergeCell ref="AR302:AR303"/>
    <mergeCell ref="BF302:BF303"/>
    <mergeCell ref="BT302:BT303"/>
    <mergeCell ref="CH302:CH303"/>
    <mergeCell ref="AD304:AD305"/>
    <mergeCell ref="AR304:AR305"/>
    <mergeCell ref="BF304:BF305"/>
    <mergeCell ref="BT304:BT305"/>
    <mergeCell ref="CH304:CH305"/>
    <mergeCell ref="AD298:AD299"/>
    <mergeCell ref="AR298:AR299"/>
    <mergeCell ref="BF298:BF299"/>
    <mergeCell ref="BT298:BT299"/>
    <mergeCell ref="CH298:CH299"/>
    <mergeCell ref="AD300:AD301"/>
    <mergeCell ref="AR300:AR301"/>
    <mergeCell ref="BF300:BF301"/>
    <mergeCell ref="BT300:BT301"/>
    <mergeCell ref="CH300:CH301"/>
    <mergeCell ref="AD310:AD311"/>
    <mergeCell ref="AR310:AR311"/>
    <mergeCell ref="BF310:BF311"/>
    <mergeCell ref="BT310:BT311"/>
    <mergeCell ref="CH310:CH311"/>
    <mergeCell ref="AD312:AD313"/>
    <mergeCell ref="AR312:AR313"/>
    <mergeCell ref="BF312:BF313"/>
    <mergeCell ref="BT312:BT313"/>
    <mergeCell ref="CH312:CH313"/>
    <mergeCell ref="AD306:AD307"/>
    <mergeCell ref="AR306:AR307"/>
    <mergeCell ref="BF306:BF307"/>
    <mergeCell ref="BT306:BT307"/>
    <mergeCell ref="CH306:CH307"/>
    <mergeCell ref="P308:AC308"/>
    <mergeCell ref="AD308:AQ308"/>
    <mergeCell ref="AR308:BE308"/>
    <mergeCell ref="BF308:BS308"/>
    <mergeCell ref="BT308:CG308"/>
    <mergeCell ref="CH308:CU308"/>
    <mergeCell ref="AD318:AD319"/>
    <mergeCell ref="AR318:AR319"/>
    <mergeCell ref="BF318:BF319"/>
    <mergeCell ref="BT318:BT319"/>
    <mergeCell ref="CH318:CH319"/>
    <mergeCell ref="P320:P321"/>
    <mergeCell ref="AD320:AD321"/>
    <mergeCell ref="AR320:AR321"/>
    <mergeCell ref="BF320:BF321"/>
    <mergeCell ref="BT320:BT321"/>
    <mergeCell ref="CH320:CH321"/>
    <mergeCell ref="AD314:AD315"/>
    <mergeCell ref="AR314:AR315"/>
    <mergeCell ref="BF314:BF315"/>
    <mergeCell ref="BT314:BT315"/>
    <mergeCell ref="CH314:CH315"/>
    <mergeCell ref="P316:P317"/>
    <mergeCell ref="AD316:AD317"/>
    <mergeCell ref="AR316:AR317"/>
    <mergeCell ref="BF316:BF317"/>
    <mergeCell ref="BT316:BT317"/>
    <mergeCell ref="CH316:CH317"/>
    <mergeCell ref="P314:P315"/>
    <mergeCell ref="P318:P319"/>
    <mergeCell ref="AD326:AD327"/>
    <mergeCell ref="AR326:AR327"/>
    <mergeCell ref="BF326:BF327"/>
    <mergeCell ref="BT326:BT327"/>
    <mergeCell ref="CH326:CH327"/>
    <mergeCell ref="P328:P329"/>
    <mergeCell ref="AD328:AD329"/>
    <mergeCell ref="AR328:AR329"/>
    <mergeCell ref="BF328:BF329"/>
    <mergeCell ref="BT328:BT329"/>
    <mergeCell ref="CH328:CH329"/>
    <mergeCell ref="AD322:AD323"/>
    <mergeCell ref="AR322:AR323"/>
    <mergeCell ref="BF322:BF323"/>
    <mergeCell ref="BT322:BT323"/>
    <mergeCell ref="CH322:CH323"/>
    <mergeCell ref="P324:P325"/>
    <mergeCell ref="AD324:AD325"/>
    <mergeCell ref="AR324:AR325"/>
    <mergeCell ref="BF324:BF325"/>
    <mergeCell ref="BT324:BT325"/>
    <mergeCell ref="CH324:CH325"/>
    <mergeCell ref="P322:P323"/>
    <mergeCell ref="P326:P327"/>
    <mergeCell ref="AD334:AD335"/>
    <mergeCell ref="AR334:AR335"/>
    <mergeCell ref="BF334:BF335"/>
    <mergeCell ref="BT334:BT335"/>
    <mergeCell ref="CH334:CH335"/>
    <mergeCell ref="P336:P337"/>
    <mergeCell ref="AD336:AD337"/>
    <mergeCell ref="AR336:AR337"/>
    <mergeCell ref="BF336:BF337"/>
    <mergeCell ref="BT336:BT337"/>
    <mergeCell ref="CH336:CH337"/>
    <mergeCell ref="AD330:AD331"/>
    <mergeCell ref="AR330:AR331"/>
    <mergeCell ref="BF330:BF331"/>
    <mergeCell ref="BT330:BT331"/>
    <mergeCell ref="CH330:CH331"/>
    <mergeCell ref="P332:P333"/>
    <mergeCell ref="AD332:AD333"/>
    <mergeCell ref="AR332:AR333"/>
    <mergeCell ref="BF332:BF333"/>
    <mergeCell ref="BT332:BT333"/>
    <mergeCell ref="CH332:CH333"/>
    <mergeCell ref="P330:P331"/>
    <mergeCell ref="P334:P335"/>
    <mergeCell ref="AD342:AD343"/>
    <mergeCell ref="AR342:AR343"/>
    <mergeCell ref="BF342:BF343"/>
    <mergeCell ref="BT342:BT343"/>
    <mergeCell ref="CH342:CH343"/>
    <mergeCell ref="P344:P345"/>
    <mergeCell ref="AD344:AD345"/>
    <mergeCell ref="AR344:AR345"/>
    <mergeCell ref="BF344:BF345"/>
    <mergeCell ref="BT344:BT345"/>
    <mergeCell ref="CH344:CH345"/>
    <mergeCell ref="AD338:AD339"/>
    <mergeCell ref="AR338:AR339"/>
    <mergeCell ref="BF338:BF339"/>
    <mergeCell ref="BT338:BT339"/>
    <mergeCell ref="CH338:CH339"/>
    <mergeCell ref="P340:P341"/>
    <mergeCell ref="AD340:AD341"/>
    <mergeCell ref="AR340:AR341"/>
    <mergeCell ref="BF340:BF341"/>
    <mergeCell ref="BT340:BT341"/>
    <mergeCell ref="CH340:CH341"/>
    <mergeCell ref="P338:P339"/>
    <mergeCell ref="P342:P343"/>
    <mergeCell ref="AD350:AD351"/>
    <mergeCell ref="AR350:AR351"/>
    <mergeCell ref="BF350:BF351"/>
    <mergeCell ref="BT350:BT351"/>
    <mergeCell ref="CH350:CH351"/>
    <mergeCell ref="P352:P353"/>
    <mergeCell ref="AD352:AD353"/>
    <mergeCell ref="AR352:AR353"/>
    <mergeCell ref="BF352:BF353"/>
    <mergeCell ref="BT352:BT353"/>
    <mergeCell ref="CH352:CH353"/>
    <mergeCell ref="AD346:AQ346"/>
    <mergeCell ref="AR346:BE346"/>
    <mergeCell ref="BF346:BS346"/>
    <mergeCell ref="BT346:CG346"/>
    <mergeCell ref="CH346:CU346"/>
    <mergeCell ref="P348:P349"/>
    <mergeCell ref="AD348:AD349"/>
    <mergeCell ref="AR348:AR349"/>
    <mergeCell ref="BF348:BF349"/>
    <mergeCell ref="BT348:BT349"/>
    <mergeCell ref="CH348:CH349"/>
    <mergeCell ref="P346:AC346"/>
    <mergeCell ref="P350:P351"/>
    <mergeCell ref="AD358:AD359"/>
    <mergeCell ref="AR358:AR359"/>
    <mergeCell ref="BF358:BF359"/>
    <mergeCell ref="BT358:BT359"/>
    <mergeCell ref="CH358:CH359"/>
    <mergeCell ref="AD360:AD361"/>
    <mergeCell ref="AR360:AR361"/>
    <mergeCell ref="BF360:BF361"/>
    <mergeCell ref="BT360:BT361"/>
    <mergeCell ref="CH360:CH361"/>
    <mergeCell ref="AD354:AD355"/>
    <mergeCell ref="AR354:AR355"/>
    <mergeCell ref="BF354:BF355"/>
    <mergeCell ref="BT354:BT355"/>
    <mergeCell ref="CH354:CH355"/>
    <mergeCell ref="P356:P357"/>
    <mergeCell ref="AD356:AD357"/>
    <mergeCell ref="AR356:AR357"/>
    <mergeCell ref="BF356:BF357"/>
    <mergeCell ref="BT356:BT357"/>
    <mergeCell ref="CH356:CH357"/>
    <mergeCell ref="P358:P359"/>
    <mergeCell ref="P360:P361"/>
    <mergeCell ref="P354:P355"/>
    <mergeCell ref="AD366:AD367"/>
    <mergeCell ref="AR366:AR367"/>
    <mergeCell ref="BF366:BF367"/>
    <mergeCell ref="BT366:BT367"/>
    <mergeCell ref="CH366:CH367"/>
    <mergeCell ref="AD368:AD369"/>
    <mergeCell ref="AR368:AR369"/>
    <mergeCell ref="BF368:BF369"/>
    <mergeCell ref="BT368:BT369"/>
    <mergeCell ref="CH368:CH369"/>
    <mergeCell ref="AD362:AD363"/>
    <mergeCell ref="AR362:AR363"/>
    <mergeCell ref="BF362:BF363"/>
    <mergeCell ref="BT362:BT363"/>
    <mergeCell ref="CH362:CH363"/>
    <mergeCell ref="AD364:AD365"/>
    <mergeCell ref="AR364:AR365"/>
    <mergeCell ref="BF364:BF365"/>
    <mergeCell ref="BT364:BT365"/>
    <mergeCell ref="CH364:CH365"/>
    <mergeCell ref="AD374:AD375"/>
    <mergeCell ref="AR374:AR375"/>
    <mergeCell ref="BF374:BF375"/>
    <mergeCell ref="BT374:BT375"/>
    <mergeCell ref="CH374:CH375"/>
    <mergeCell ref="AD376:AD377"/>
    <mergeCell ref="AR376:AR377"/>
    <mergeCell ref="BF376:BF377"/>
    <mergeCell ref="BT376:BT377"/>
    <mergeCell ref="CH376:CH377"/>
    <mergeCell ref="AD370:AD371"/>
    <mergeCell ref="AR370:AR371"/>
    <mergeCell ref="BF370:BF371"/>
    <mergeCell ref="BT370:BT371"/>
    <mergeCell ref="CH370:CH371"/>
    <mergeCell ref="AD372:AD373"/>
    <mergeCell ref="AR372:AR373"/>
    <mergeCell ref="BF372:BF373"/>
    <mergeCell ref="BT372:BT373"/>
    <mergeCell ref="CH372:CH373"/>
    <mergeCell ref="AD382:AD383"/>
    <mergeCell ref="AR382:AR383"/>
    <mergeCell ref="BF382:BF383"/>
    <mergeCell ref="BT382:BT383"/>
    <mergeCell ref="CH382:CH383"/>
    <mergeCell ref="P384:AC384"/>
    <mergeCell ref="AD384:AQ384"/>
    <mergeCell ref="AR384:BE384"/>
    <mergeCell ref="BF384:BS384"/>
    <mergeCell ref="BT384:CG384"/>
    <mergeCell ref="CH384:CU384"/>
    <mergeCell ref="AD378:AD379"/>
    <mergeCell ref="AR378:AR379"/>
    <mergeCell ref="BF378:BF379"/>
    <mergeCell ref="BT378:BT379"/>
    <mergeCell ref="CH378:CH379"/>
    <mergeCell ref="AD380:AD381"/>
    <mergeCell ref="AR380:AR381"/>
    <mergeCell ref="BF380:BF381"/>
    <mergeCell ref="BT380:BT381"/>
    <mergeCell ref="CH380:CH381"/>
    <mergeCell ref="AD390:AD391"/>
    <mergeCell ref="AR390:AR391"/>
    <mergeCell ref="BF390:BF391"/>
    <mergeCell ref="BT390:BT391"/>
    <mergeCell ref="CH390:CH391"/>
    <mergeCell ref="AD392:AD393"/>
    <mergeCell ref="AR392:AR393"/>
    <mergeCell ref="BF392:BF393"/>
    <mergeCell ref="BT392:BT393"/>
    <mergeCell ref="CH392:CH393"/>
    <mergeCell ref="AD386:AD387"/>
    <mergeCell ref="AR386:AR387"/>
    <mergeCell ref="BF386:BF387"/>
    <mergeCell ref="BT386:BT387"/>
    <mergeCell ref="CH386:CH387"/>
    <mergeCell ref="AD388:AD389"/>
    <mergeCell ref="AR388:AR389"/>
    <mergeCell ref="BF388:BF389"/>
    <mergeCell ref="BT388:BT389"/>
    <mergeCell ref="CH388:CH389"/>
    <mergeCell ref="AD398:AD399"/>
    <mergeCell ref="AR398:AR399"/>
    <mergeCell ref="BF398:BF399"/>
    <mergeCell ref="BT398:BT399"/>
    <mergeCell ref="CH398:CH399"/>
    <mergeCell ref="P400:P401"/>
    <mergeCell ref="AD400:AD401"/>
    <mergeCell ref="AR400:AR401"/>
    <mergeCell ref="BF400:BF401"/>
    <mergeCell ref="BT400:BT401"/>
    <mergeCell ref="CH400:CH401"/>
    <mergeCell ref="AD394:AD395"/>
    <mergeCell ref="AR394:AR395"/>
    <mergeCell ref="BF394:BF395"/>
    <mergeCell ref="BT394:BT395"/>
    <mergeCell ref="CH394:CH395"/>
    <mergeCell ref="P396:P397"/>
    <mergeCell ref="AD396:AD397"/>
    <mergeCell ref="AR396:AR397"/>
    <mergeCell ref="BF396:BF397"/>
    <mergeCell ref="BT396:BT397"/>
    <mergeCell ref="CH396:CH397"/>
    <mergeCell ref="AD406:AD407"/>
    <mergeCell ref="AR406:AR407"/>
    <mergeCell ref="BF406:BF407"/>
    <mergeCell ref="BT406:BT407"/>
    <mergeCell ref="CH406:CH407"/>
    <mergeCell ref="P408:P409"/>
    <mergeCell ref="AD408:AD409"/>
    <mergeCell ref="AR408:AR409"/>
    <mergeCell ref="BF408:BF409"/>
    <mergeCell ref="BT408:BT409"/>
    <mergeCell ref="CH408:CH409"/>
    <mergeCell ref="AD402:AD403"/>
    <mergeCell ref="AR402:AR403"/>
    <mergeCell ref="BF402:BF403"/>
    <mergeCell ref="BT402:BT403"/>
    <mergeCell ref="CH402:CH403"/>
    <mergeCell ref="P404:P405"/>
    <mergeCell ref="AD404:AD405"/>
    <mergeCell ref="AR404:AR405"/>
    <mergeCell ref="BF404:BF405"/>
    <mergeCell ref="BT404:BT405"/>
    <mergeCell ref="CH404:CH405"/>
    <mergeCell ref="P402:P403"/>
    <mergeCell ref="P406:P407"/>
    <mergeCell ref="AD414:AD415"/>
    <mergeCell ref="AR414:AR415"/>
    <mergeCell ref="BF414:BF415"/>
    <mergeCell ref="BT414:BT415"/>
    <mergeCell ref="CH414:CH415"/>
    <mergeCell ref="P416:P417"/>
    <mergeCell ref="AD416:AD417"/>
    <mergeCell ref="AR416:AR417"/>
    <mergeCell ref="BF416:BF417"/>
    <mergeCell ref="BT416:BT417"/>
    <mergeCell ref="CH416:CH417"/>
    <mergeCell ref="AD410:AD411"/>
    <mergeCell ref="AR410:AR411"/>
    <mergeCell ref="BF410:BF411"/>
    <mergeCell ref="BT410:BT411"/>
    <mergeCell ref="CH410:CH411"/>
    <mergeCell ref="P412:P413"/>
    <mergeCell ref="AD412:AD413"/>
    <mergeCell ref="AR412:AR413"/>
    <mergeCell ref="BF412:BF413"/>
    <mergeCell ref="BT412:BT413"/>
    <mergeCell ref="CH412:CH413"/>
    <mergeCell ref="P410:P411"/>
    <mergeCell ref="P414:P415"/>
    <mergeCell ref="AD422:AQ422"/>
    <mergeCell ref="AR422:BE422"/>
    <mergeCell ref="BF422:BS422"/>
    <mergeCell ref="BT422:CG422"/>
    <mergeCell ref="CH422:CU422"/>
    <mergeCell ref="P424:P425"/>
    <mergeCell ref="AD424:AD425"/>
    <mergeCell ref="AR424:AR425"/>
    <mergeCell ref="BF424:BF425"/>
    <mergeCell ref="BT424:BT425"/>
    <mergeCell ref="CH424:CH425"/>
    <mergeCell ref="AD418:AD419"/>
    <mergeCell ref="AR418:AR419"/>
    <mergeCell ref="BF418:BF419"/>
    <mergeCell ref="BT418:BT419"/>
    <mergeCell ref="CH418:CH419"/>
    <mergeCell ref="P420:P421"/>
    <mergeCell ref="AD420:AD421"/>
    <mergeCell ref="AR420:AR421"/>
    <mergeCell ref="BF420:BF421"/>
    <mergeCell ref="BT420:BT421"/>
    <mergeCell ref="CH420:CH421"/>
    <mergeCell ref="P418:P419"/>
    <mergeCell ref="P422:AC422"/>
    <mergeCell ref="AD430:AD431"/>
    <mergeCell ref="AR430:AR431"/>
    <mergeCell ref="BF430:BF431"/>
    <mergeCell ref="BT430:BT431"/>
    <mergeCell ref="CH430:CH431"/>
    <mergeCell ref="P432:P433"/>
    <mergeCell ref="AD432:AD433"/>
    <mergeCell ref="AR432:AR433"/>
    <mergeCell ref="BF432:BF433"/>
    <mergeCell ref="BT432:BT433"/>
    <mergeCell ref="CH432:CH433"/>
    <mergeCell ref="AD426:AD427"/>
    <mergeCell ref="AR426:AR427"/>
    <mergeCell ref="BF426:BF427"/>
    <mergeCell ref="BT426:BT427"/>
    <mergeCell ref="CH426:CH427"/>
    <mergeCell ref="P428:P429"/>
    <mergeCell ref="AD428:AD429"/>
    <mergeCell ref="AR428:AR429"/>
    <mergeCell ref="BF428:BF429"/>
    <mergeCell ref="BT428:BT429"/>
    <mergeCell ref="CH428:CH429"/>
    <mergeCell ref="P426:P427"/>
    <mergeCell ref="P430:P431"/>
    <mergeCell ref="AD438:AD439"/>
    <mergeCell ref="AR438:AR439"/>
    <mergeCell ref="BF438:BF439"/>
    <mergeCell ref="BT438:BT439"/>
    <mergeCell ref="CH438:CH439"/>
    <mergeCell ref="AD440:AD441"/>
    <mergeCell ref="AR440:AR441"/>
    <mergeCell ref="BF440:BF441"/>
    <mergeCell ref="BT440:BT441"/>
    <mergeCell ref="CH440:CH441"/>
    <mergeCell ref="AD434:AD435"/>
    <mergeCell ref="AR434:AR435"/>
    <mergeCell ref="BF434:BF435"/>
    <mergeCell ref="BT434:BT435"/>
    <mergeCell ref="CH434:CH435"/>
    <mergeCell ref="AD436:AD437"/>
    <mergeCell ref="AR436:AR437"/>
    <mergeCell ref="BF436:BF437"/>
    <mergeCell ref="BT436:BT437"/>
    <mergeCell ref="CH436:CH437"/>
    <mergeCell ref="AD446:AD447"/>
    <mergeCell ref="AR446:AR447"/>
    <mergeCell ref="BF446:BF447"/>
    <mergeCell ref="BT446:BT447"/>
    <mergeCell ref="CH446:CH447"/>
    <mergeCell ref="AD448:AD449"/>
    <mergeCell ref="AR448:AR449"/>
    <mergeCell ref="BF448:BF449"/>
    <mergeCell ref="BT448:BT449"/>
    <mergeCell ref="CH448:CH449"/>
    <mergeCell ref="AD442:AD443"/>
    <mergeCell ref="AR442:AR443"/>
    <mergeCell ref="BF442:BF443"/>
    <mergeCell ref="BT442:BT443"/>
    <mergeCell ref="CH442:CH443"/>
    <mergeCell ref="AD444:AD445"/>
    <mergeCell ref="AR444:AR445"/>
    <mergeCell ref="BF444:BF445"/>
    <mergeCell ref="BT444:BT445"/>
    <mergeCell ref="CH444:CH445"/>
    <mergeCell ref="AD458:AD459"/>
    <mergeCell ref="AR458:AR459"/>
    <mergeCell ref="BF458:BF459"/>
    <mergeCell ref="BT458:BT459"/>
    <mergeCell ref="CH458:CH459"/>
    <mergeCell ref="AD454:AD455"/>
    <mergeCell ref="AR454:AR455"/>
    <mergeCell ref="BF454:BF455"/>
    <mergeCell ref="BT454:BT455"/>
    <mergeCell ref="CH454:CH455"/>
    <mergeCell ref="AD456:AD457"/>
    <mergeCell ref="AR456:AR457"/>
    <mergeCell ref="BF456:BF457"/>
    <mergeCell ref="BT456:BT457"/>
    <mergeCell ref="CH456:CH457"/>
    <mergeCell ref="AD450:AD451"/>
    <mergeCell ref="AR450:AR451"/>
    <mergeCell ref="BF450:BF451"/>
    <mergeCell ref="BT450:BT451"/>
    <mergeCell ref="CH450:CH451"/>
    <mergeCell ref="AD452:AD453"/>
    <mergeCell ref="AR452:AR453"/>
    <mergeCell ref="BF452:BF453"/>
    <mergeCell ref="BT452:BT453"/>
    <mergeCell ref="CH452:CH45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10EFE-8A3C-43EF-B1E9-E0E5F2FA1842}">
  <dimension ref="A1:CU459"/>
  <sheetViews>
    <sheetView workbookViewId="0">
      <selection activeCell="AF6" sqref="AF6"/>
    </sheetView>
  </sheetViews>
  <sheetFormatPr defaultRowHeight="15" x14ac:dyDescent="0.25"/>
  <cols>
    <col min="1" max="1" width="11.7109375" bestFit="1" customWidth="1"/>
    <col min="2" max="2" width="3.42578125" bestFit="1" customWidth="1"/>
    <col min="3" max="14" width="6.5703125" bestFit="1" customWidth="1"/>
    <col min="15" max="15" width="3.7109375" customWidth="1"/>
    <col min="16" max="16" width="11.7109375" bestFit="1" customWidth="1"/>
    <col min="17" max="17" width="7" bestFit="1" customWidth="1"/>
    <col min="18" max="29" width="6.5703125" bestFit="1" customWidth="1"/>
    <col min="30" max="30" width="11.7109375" bestFit="1" customWidth="1"/>
    <col min="31" max="31" width="7" bestFit="1" customWidth="1"/>
    <col min="32" max="43" width="6.5703125" bestFit="1" customWidth="1"/>
    <col min="44" max="44" width="11.7109375" bestFit="1" customWidth="1"/>
    <col min="45" max="45" width="7" bestFit="1" customWidth="1"/>
    <col min="46" max="57" width="6.5703125" bestFit="1" customWidth="1"/>
    <col min="58" max="58" width="11.7109375" bestFit="1" customWidth="1"/>
    <col min="59" max="59" width="7" bestFit="1" customWidth="1"/>
    <col min="60" max="71" width="6.5703125" bestFit="1" customWidth="1"/>
    <col min="72" max="72" width="11.7109375" bestFit="1" customWidth="1"/>
    <col min="73" max="73" width="7" bestFit="1" customWidth="1"/>
    <col min="74" max="85" width="6.5703125" bestFit="1" customWidth="1"/>
    <col min="86" max="86" width="11.7109375" bestFit="1" customWidth="1"/>
    <col min="87" max="87" width="7" bestFit="1" customWidth="1"/>
    <col min="88" max="99" width="6.5703125" bestFit="1" customWidth="1"/>
  </cols>
  <sheetData>
    <row r="1" spans="1:99" ht="33.75" customHeight="1" x14ac:dyDescent="0.25">
      <c r="A1" s="986" t="s">
        <v>81</v>
      </c>
      <c r="B1" s="986"/>
      <c r="C1" s="986"/>
      <c r="D1" s="986"/>
      <c r="E1" s="986"/>
      <c r="F1" s="986"/>
      <c r="G1" s="986"/>
      <c r="H1" s="986"/>
      <c r="I1" s="986"/>
      <c r="J1" s="986"/>
      <c r="K1" s="986"/>
      <c r="L1" s="986"/>
      <c r="M1" s="986"/>
      <c r="N1" s="986"/>
      <c r="P1" s="949" t="s">
        <v>122</v>
      </c>
      <c r="Q1" s="950"/>
      <c r="R1" s="950"/>
      <c r="S1" s="950"/>
      <c r="T1" s="950"/>
      <c r="U1" s="950"/>
      <c r="V1" s="950"/>
      <c r="W1" s="950"/>
      <c r="X1" s="950"/>
      <c r="Y1" s="950"/>
      <c r="Z1" s="950"/>
      <c r="AA1" s="950"/>
      <c r="AB1" s="950"/>
      <c r="AC1" s="951"/>
      <c r="AD1" s="949" t="s">
        <v>123</v>
      </c>
      <c r="AE1" s="950"/>
      <c r="AF1" s="950"/>
      <c r="AG1" s="950"/>
      <c r="AH1" s="950"/>
      <c r="AI1" s="950"/>
      <c r="AJ1" s="950"/>
      <c r="AK1" s="950"/>
      <c r="AL1" s="950"/>
      <c r="AM1" s="950"/>
      <c r="AN1" s="950"/>
      <c r="AO1" s="950"/>
      <c r="AP1" s="950"/>
      <c r="AQ1" s="951"/>
      <c r="AR1" s="949" t="s">
        <v>124</v>
      </c>
      <c r="AS1" s="950"/>
      <c r="AT1" s="950"/>
      <c r="AU1" s="950"/>
      <c r="AV1" s="950"/>
      <c r="AW1" s="950"/>
      <c r="AX1" s="950"/>
      <c r="AY1" s="950"/>
      <c r="AZ1" s="950"/>
      <c r="BA1" s="950"/>
      <c r="BB1" s="950"/>
      <c r="BC1" s="950"/>
      <c r="BD1" s="950"/>
      <c r="BE1" s="951"/>
      <c r="BF1" s="949" t="s">
        <v>125</v>
      </c>
      <c r="BG1" s="950"/>
      <c r="BH1" s="950"/>
      <c r="BI1" s="950"/>
      <c r="BJ1" s="950"/>
      <c r="BK1" s="950"/>
      <c r="BL1" s="950"/>
      <c r="BM1" s="950"/>
      <c r="BN1" s="950"/>
      <c r="BO1" s="950"/>
      <c r="BP1" s="950"/>
      <c r="BQ1" s="950"/>
      <c r="BR1" s="950"/>
      <c r="BS1" s="951"/>
      <c r="BT1" s="949" t="s">
        <v>126</v>
      </c>
      <c r="BU1" s="950"/>
      <c r="BV1" s="950"/>
      <c r="BW1" s="950"/>
      <c r="BX1" s="950"/>
      <c r="BY1" s="950"/>
      <c r="BZ1" s="950"/>
      <c r="CA1" s="950"/>
      <c r="CB1" s="950"/>
      <c r="CC1" s="950"/>
      <c r="CD1" s="950"/>
      <c r="CE1" s="950"/>
      <c r="CF1" s="950"/>
      <c r="CG1" s="951"/>
      <c r="CH1" s="949" t="s">
        <v>127</v>
      </c>
      <c r="CI1" s="950"/>
      <c r="CJ1" s="950"/>
      <c r="CK1" s="950"/>
      <c r="CL1" s="950"/>
      <c r="CM1" s="950"/>
      <c r="CN1" s="950"/>
      <c r="CO1" s="950"/>
      <c r="CP1" s="950"/>
      <c r="CQ1" s="950"/>
      <c r="CR1" s="950"/>
      <c r="CS1" s="950"/>
      <c r="CT1" s="950"/>
      <c r="CU1" s="951"/>
    </row>
    <row r="2" spans="1:99" ht="15.75" thickBot="1" x14ac:dyDescent="0.3">
      <c r="C2" s="65">
        <v>12</v>
      </c>
      <c r="D2" s="65">
        <v>11</v>
      </c>
      <c r="E2" s="65">
        <v>10</v>
      </c>
      <c r="F2" s="65">
        <v>9</v>
      </c>
      <c r="G2" s="65">
        <v>8</v>
      </c>
      <c r="H2" s="65">
        <v>7</v>
      </c>
      <c r="I2" s="65">
        <v>6</v>
      </c>
      <c r="J2" s="65">
        <v>5</v>
      </c>
      <c r="K2" s="65">
        <v>4</v>
      </c>
      <c r="L2" s="65">
        <v>3</v>
      </c>
      <c r="M2" s="65">
        <v>2</v>
      </c>
      <c r="N2" s="65">
        <v>1</v>
      </c>
      <c r="P2" s="952"/>
      <c r="Q2" s="828"/>
      <c r="R2" s="557">
        <v>1</v>
      </c>
      <c r="S2" s="571">
        <v>2</v>
      </c>
      <c r="T2" s="559">
        <v>3</v>
      </c>
      <c r="U2" s="561">
        <v>4</v>
      </c>
      <c r="V2" s="563">
        <v>5</v>
      </c>
      <c r="W2" s="579">
        <v>6</v>
      </c>
      <c r="X2" s="565">
        <v>7</v>
      </c>
      <c r="Y2" s="577">
        <v>8</v>
      </c>
      <c r="Z2" s="567">
        <v>9</v>
      </c>
      <c r="AA2" s="569">
        <v>10</v>
      </c>
      <c r="AB2" s="575">
        <v>11</v>
      </c>
      <c r="AC2" s="573">
        <v>12</v>
      </c>
      <c r="AD2" s="952"/>
      <c r="AE2" s="828"/>
      <c r="AF2" s="557">
        <v>1</v>
      </c>
      <c r="AG2" s="571">
        <v>2</v>
      </c>
      <c r="AH2" s="559">
        <v>3</v>
      </c>
      <c r="AI2" s="561">
        <v>4</v>
      </c>
      <c r="AJ2" s="563">
        <v>5</v>
      </c>
      <c r="AK2" s="579">
        <v>6</v>
      </c>
      <c r="AL2" s="565">
        <v>7</v>
      </c>
      <c r="AM2" s="577">
        <v>8</v>
      </c>
      <c r="AN2" s="567">
        <v>9</v>
      </c>
      <c r="AO2" s="569">
        <v>10</v>
      </c>
      <c r="AP2" s="575">
        <v>11</v>
      </c>
      <c r="AQ2" s="573">
        <v>12</v>
      </c>
      <c r="AR2" s="952"/>
      <c r="AS2" s="828"/>
      <c r="AT2" s="557">
        <v>1</v>
      </c>
      <c r="AU2" s="571">
        <v>2</v>
      </c>
      <c r="AV2" s="559">
        <v>3</v>
      </c>
      <c r="AW2" s="561">
        <v>4</v>
      </c>
      <c r="AX2" s="563">
        <v>5</v>
      </c>
      <c r="AY2" s="579">
        <v>6</v>
      </c>
      <c r="AZ2" s="565">
        <v>7</v>
      </c>
      <c r="BA2" s="577">
        <v>8</v>
      </c>
      <c r="BB2" s="567">
        <v>9</v>
      </c>
      <c r="BC2" s="569">
        <v>10</v>
      </c>
      <c r="BD2" s="575">
        <v>11</v>
      </c>
      <c r="BE2" s="573">
        <v>12</v>
      </c>
      <c r="BF2" s="952"/>
      <c r="BG2" s="828"/>
      <c r="BH2" s="557">
        <v>1</v>
      </c>
      <c r="BI2" s="571">
        <v>2</v>
      </c>
      <c r="BJ2" s="559">
        <v>3</v>
      </c>
      <c r="BK2" s="561">
        <v>4</v>
      </c>
      <c r="BL2" s="563">
        <v>5</v>
      </c>
      <c r="BM2" s="579">
        <v>6</v>
      </c>
      <c r="BN2" s="565">
        <v>7</v>
      </c>
      <c r="BO2" s="577">
        <v>8</v>
      </c>
      <c r="BP2" s="567">
        <v>9</v>
      </c>
      <c r="BQ2" s="569">
        <v>10</v>
      </c>
      <c r="BR2" s="575">
        <v>11</v>
      </c>
      <c r="BS2" s="573">
        <v>12</v>
      </c>
      <c r="BT2" s="952"/>
      <c r="BU2" s="828"/>
      <c r="BV2" s="557">
        <v>1</v>
      </c>
      <c r="BW2" s="571">
        <v>2</v>
      </c>
      <c r="BX2" s="559">
        <v>3</v>
      </c>
      <c r="BY2" s="561">
        <v>4</v>
      </c>
      <c r="BZ2" s="563">
        <v>5</v>
      </c>
      <c r="CA2" s="579">
        <v>6</v>
      </c>
      <c r="CB2" s="565">
        <v>7</v>
      </c>
      <c r="CC2" s="577">
        <v>8</v>
      </c>
      <c r="CD2" s="567">
        <v>9</v>
      </c>
      <c r="CE2" s="569">
        <v>10</v>
      </c>
      <c r="CF2" s="575">
        <v>11</v>
      </c>
      <c r="CG2" s="573">
        <v>12</v>
      </c>
      <c r="CH2" s="952"/>
      <c r="CI2" s="828"/>
      <c r="CJ2" s="557">
        <v>1</v>
      </c>
      <c r="CK2" s="571">
        <v>2</v>
      </c>
      <c r="CL2" s="559">
        <v>3</v>
      </c>
      <c r="CM2" s="561">
        <v>4</v>
      </c>
      <c r="CN2" s="563">
        <v>5</v>
      </c>
      <c r="CO2" s="579">
        <v>6</v>
      </c>
      <c r="CP2" s="565">
        <v>7</v>
      </c>
      <c r="CQ2" s="577">
        <v>8</v>
      </c>
      <c r="CR2" s="567">
        <v>9</v>
      </c>
      <c r="CS2" s="569">
        <v>10</v>
      </c>
      <c r="CT2" s="575">
        <v>11</v>
      </c>
      <c r="CU2" s="573">
        <v>12</v>
      </c>
    </row>
    <row r="3" spans="1:99" ht="15.75" thickBot="1" x14ac:dyDescent="0.3">
      <c r="A3" s="987" t="s">
        <v>39</v>
      </c>
      <c r="B3" s="64" t="s">
        <v>61</v>
      </c>
      <c r="C3" s="587">
        <v>483.74</v>
      </c>
      <c r="D3" s="588">
        <v>480.09</v>
      </c>
      <c r="E3" s="588">
        <v>476.47</v>
      </c>
      <c r="F3" s="588">
        <v>472.87</v>
      </c>
      <c r="G3" s="588">
        <v>469.22</v>
      </c>
      <c r="H3" s="588">
        <v>465.64</v>
      </c>
      <c r="I3" s="588">
        <v>462</v>
      </c>
      <c r="J3" s="588">
        <v>458.4</v>
      </c>
      <c r="K3" s="588">
        <v>454.76</v>
      </c>
      <c r="L3" s="588">
        <v>451.12</v>
      </c>
      <c r="M3" s="588">
        <v>447.45</v>
      </c>
      <c r="N3" s="589">
        <v>443.85</v>
      </c>
      <c r="P3" s="953"/>
      <c r="Q3" s="954"/>
      <c r="R3" s="558">
        <f>Q5</f>
        <v>0</v>
      </c>
      <c r="S3" s="572">
        <f>Q43</f>
        <v>0</v>
      </c>
      <c r="T3" s="560">
        <f>Q81</f>
        <v>0</v>
      </c>
      <c r="U3" s="562">
        <f>Q119</f>
        <v>0</v>
      </c>
      <c r="V3" s="564">
        <f>Q157</f>
        <v>0</v>
      </c>
      <c r="W3" s="580">
        <f>Q195</f>
        <v>0</v>
      </c>
      <c r="X3" s="566">
        <f>Q233</f>
        <v>0</v>
      </c>
      <c r="Y3" s="578">
        <f>Q271</f>
        <v>0</v>
      </c>
      <c r="Z3" s="568">
        <f>Q309</f>
        <v>0</v>
      </c>
      <c r="AA3" s="570">
        <f>Q347</f>
        <v>0</v>
      </c>
      <c r="AB3" s="576">
        <f>Q385</f>
        <v>0</v>
      </c>
      <c r="AC3" s="574">
        <f>Q423</f>
        <v>0</v>
      </c>
      <c r="AD3" s="953"/>
      <c r="AE3" s="954"/>
      <c r="AF3" s="558">
        <f>AE5</f>
        <v>0</v>
      </c>
      <c r="AG3" s="572">
        <f>AE43</f>
        <v>0</v>
      </c>
      <c r="AH3" s="560">
        <f>AE81</f>
        <v>0</v>
      </c>
      <c r="AI3" s="562">
        <f>AE119</f>
        <v>0</v>
      </c>
      <c r="AJ3" s="564">
        <f>AE157</f>
        <v>0</v>
      </c>
      <c r="AK3" s="580">
        <f>AE195</f>
        <v>0</v>
      </c>
      <c r="AL3" s="566">
        <f>AE233</f>
        <v>0</v>
      </c>
      <c r="AM3" s="578">
        <f>AE271</f>
        <v>0</v>
      </c>
      <c r="AN3" s="568">
        <f>AE309</f>
        <v>0</v>
      </c>
      <c r="AO3" s="570">
        <f>AE347</f>
        <v>0</v>
      </c>
      <c r="AP3" s="576">
        <f>AE385</f>
        <v>0</v>
      </c>
      <c r="AQ3" s="574">
        <f>AE423</f>
        <v>0</v>
      </c>
      <c r="AR3" s="953"/>
      <c r="AS3" s="954"/>
      <c r="AT3" s="558">
        <f>AS5</f>
        <v>0</v>
      </c>
      <c r="AU3" s="572">
        <f>AS43</f>
        <v>0</v>
      </c>
      <c r="AV3" s="560">
        <f>AS81</f>
        <v>0</v>
      </c>
      <c r="AW3" s="562">
        <f>AS119</f>
        <v>0</v>
      </c>
      <c r="AX3" s="564">
        <f>AS157</f>
        <v>0</v>
      </c>
      <c r="AY3" s="580">
        <f>AS195</f>
        <v>0</v>
      </c>
      <c r="AZ3" s="566">
        <f>AS233</f>
        <v>0</v>
      </c>
      <c r="BA3" s="578">
        <f>AS271</f>
        <v>0</v>
      </c>
      <c r="BB3" s="568">
        <f>AS309</f>
        <v>0</v>
      </c>
      <c r="BC3" s="570">
        <f>AS347</f>
        <v>0</v>
      </c>
      <c r="BD3" s="576">
        <f>AS385</f>
        <v>0</v>
      </c>
      <c r="BE3" s="574">
        <f>AS423</f>
        <v>0</v>
      </c>
      <c r="BF3" s="953"/>
      <c r="BG3" s="954"/>
      <c r="BH3" s="558">
        <f>BG5</f>
        <v>0</v>
      </c>
      <c r="BI3" s="572">
        <f>BG43</f>
        <v>0</v>
      </c>
      <c r="BJ3" s="560">
        <f>BG81</f>
        <v>0</v>
      </c>
      <c r="BK3" s="562">
        <f>BG119</f>
        <v>0</v>
      </c>
      <c r="BL3" s="564">
        <f>BG157</f>
        <v>0</v>
      </c>
      <c r="BM3" s="580">
        <f>BG195</f>
        <v>0</v>
      </c>
      <c r="BN3" s="566">
        <f>BG233</f>
        <v>0</v>
      </c>
      <c r="BO3" s="578">
        <f>BG271</f>
        <v>0</v>
      </c>
      <c r="BP3" s="568">
        <f>BG309</f>
        <v>0</v>
      </c>
      <c r="BQ3" s="570">
        <f>BG347</f>
        <v>0</v>
      </c>
      <c r="BR3" s="576">
        <f>BG385</f>
        <v>0</v>
      </c>
      <c r="BS3" s="574">
        <f>BG423</f>
        <v>0</v>
      </c>
      <c r="BT3" s="953"/>
      <c r="BU3" s="954"/>
      <c r="BV3" s="558">
        <f>BU5</f>
        <v>0</v>
      </c>
      <c r="BW3" s="572">
        <f>BU43</f>
        <v>0</v>
      </c>
      <c r="BX3" s="560">
        <f>BU81</f>
        <v>0</v>
      </c>
      <c r="BY3" s="562">
        <f>BU119</f>
        <v>0</v>
      </c>
      <c r="BZ3" s="564">
        <f>BU157</f>
        <v>0</v>
      </c>
      <c r="CA3" s="580">
        <f>BU195</f>
        <v>0</v>
      </c>
      <c r="CB3" s="566">
        <f>BU233</f>
        <v>0</v>
      </c>
      <c r="CC3" s="578">
        <f>BU271</f>
        <v>0</v>
      </c>
      <c r="CD3" s="568">
        <f>BU309</f>
        <v>0</v>
      </c>
      <c r="CE3" s="570">
        <f>BU347</f>
        <v>0</v>
      </c>
      <c r="CF3" s="576">
        <f>BU385</f>
        <v>0</v>
      </c>
      <c r="CG3" s="574">
        <f>BU423</f>
        <v>0</v>
      </c>
      <c r="CH3" s="953"/>
      <c r="CI3" s="954"/>
      <c r="CJ3" s="558">
        <f>CI5</f>
        <v>0</v>
      </c>
      <c r="CK3" s="572">
        <f>CI43</f>
        <v>0</v>
      </c>
      <c r="CL3" s="560">
        <f>CI81</f>
        <v>0</v>
      </c>
      <c r="CM3" s="562">
        <f>CI119</f>
        <v>0</v>
      </c>
      <c r="CN3" s="564">
        <f>CI157</f>
        <v>0</v>
      </c>
      <c r="CO3" s="580">
        <f>CI195</f>
        <v>0</v>
      </c>
      <c r="CP3" s="566">
        <f>CI233</f>
        <v>0</v>
      </c>
      <c r="CQ3" s="578">
        <f>CI271</f>
        <v>0</v>
      </c>
      <c r="CR3" s="568">
        <f>CI309</f>
        <v>0</v>
      </c>
      <c r="CS3" s="570">
        <f>CI347</f>
        <v>0</v>
      </c>
      <c r="CT3" s="576">
        <f>CI385</f>
        <v>0</v>
      </c>
      <c r="CU3" s="574">
        <f>CI423</f>
        <v>0</v>
      </c>
    </row>
    <row r="4" spans="1:99" x14ac:dyDescent="0.25">
      <c r="A4" s="987"/>
      <c r="B4" s="64" t="s">
        <v>62</v>
      </c>
      <c r="C4" s="83">
        <v>330.44</v>
      </c>
      <c r="D4" s="61">
        <v>327.42</v>
      </c>
      <c r="E4" s="61">
        <v>324.52</v>
      </c>
      <c r="F4" s="61">
        <v>320.17</v>
      </c>
      <c r="G4" s="61">
        <v>316.72000000000003</v>
      </c>
      <c r="H4" s="61">
        <v>309.61</v>
      </c>
      <c r="I4" s="61">
        <v>301.24</v>
      </c>
      <c r="J4" s="61">
        <v>293.79000000000002</v>
      </c>
      <c r="K4" s="61">
        <v>286.94</v>
      </c>
      <c r="L4" s="61">
        <v>280.14999999999998</v>
      </c>
      <c r="M4" s="61">
        <v>239.41</v>
      </c>
      <c r="N4" s="62">
        <v>125.52</v>
      </c>
      <c r="P4" s="943" t="s">
        <v>128</v>
      </c>
      <c r="Q4" s="944"/>
      <c r="R4" s="944"/>
      <c r="S4" s="944"/>
      <c r="T4" s="944"/>
      <c r="U4" s="944"/>
      <c r="V4" s="944"/>
      <c r="W4" s="944"/>
      <c r="X4" s="944"/>
      <c r="Y4" s="944"/>
      <c r="Z4" s="944"/>
      <c r="AA4" s="944"/>
      <c r="AB4" s="944"/>
      <c r="AC4" s="945"/>
      <c r="AD4" s="943" t="s">
        <v>129</v>
      </c>
      <c r="AE4" s="944"/>
      <c r="AF4" s="944"/>
      <c r="AG4" s="944"/>
      <c r="AH4" s="944"/>
      <c r="AI4" s="944"/>
      <c r="AJ4" s="944"/>
      <c r="AK4" s="944"/>
      <c r="AL4" s="944"/>
      <c r="AM4" s="944"/>
      <c r="AN4" s="944"/>
      <c r="AO4" s="944"/>
      <c r="AP4" s="944"/>
      <c r="AQ4" s="945"/>
      <c r="AR4" s="943" t="s">
        <v>130</v>
      </c>
      <c r="AS4" s="944"/>
      <c r="AT4" s="944"/>
      <c r="AU4" s="944"/>
      <c r="AV4" s="944"/>
      <c r="AW4" s="944"/>
      <c r="AX4" s="944"/>
      <c r="AY4" s="944"/>
      <c r="AZ4" s="944"/>
      <c r="BA4" s="944"/>
      <c r="BB4" s="944"/>
      <c r="BC4" s="944"/>
      <c r="BD4" s="944"/>
      <c r="BE4" s="945"/>
      <c r="BF4" s="943" t="s">
        <v>131</v>
      </c>
      <c r="BG4" s="944"/>
      <c r="BH4" s="944"/>
      <c r="BI4" s="944"/>
      <c r="BJ4" s="944"/>
      <c r="BK4" s="944"/>
      <c r="BL4" s="944"/>
      <c r="BM4" s="944"/>
      <c r="BN4" s="944"/>
      <c r="BO4" s="944"/>
      <c r="BP4" s="944"/>
      <c r="BQ4" s="944"/>
      <c r="BR4" s="944"/>
      <c r="BS4" s="945"/>
      <c r="BT4" s="943" t="s">
        <v>132</v>
      </c>
      <c r="BU4" s="944"/>
      <c r="BV4" s="944"/>
      <c r="BW4" s="944"/>
      <c r="BX4" s="944"/>
      <c r="BY4" s="944"/>
      <c r="BZ4" s="944"/>
      <c r="CA4" s="944"/>
      <c r="CB4" s="944"/>
      <c r="CC4" s="944"/>
      <c r="CD4" s="944"/>
      <c r="CE4" s="944"/>
      <c r="CF4" s="944"/>
      <c r="CG4" s="945"/>
      <c r="CH4" s="943" t="s">
        <v>133</v>
      </c>
      <c r="CI4" s="944"/>
      <c r="CJ4" s="944"/>
      <c r="CK4" s="944"/>
      <c r="CL4" s="944"/>
      <c r="CM4" s="944"/>
      <c r="CN4" s="944"/>
      <c r="CO4" s="944"/>
      <c r="CP4" s="944"/>
      <c r="CQ4" s="944"/>
      <c r="CR4" s="944"/>
      <c r="CS4" s="944"/>
      <c r="CT4" s="944"/>
      <c r="CU4" s="945"/>
    </row>
    <row r="5" spans="1:99" x14ac:dyDescent="0.25">
      <c r="A5" s="987" t="s">
        <v>65</v>
      </c>
      <c r="B5" s="64" t="s">
        <v>61</v>
      </c>
      <c r="C5" s="84">
        <v>483.74</v>
      </c>
      <c r="D5" s="31">
        <v>480.09</v>
      </c>
      <c r="E5" s="31">
        <v>476.47</v>
      </c>
      <c r="F5" s="31">
        <v>472.87</v>
      </c>
      <c r="G5" s="31">
        <v>469.22</v>
      </c>
      <c r="H5" s="31">
        <v>465.64</v>
      </c>
      <c r="I5" s="31">
        <v>462</v>
      </c>
      <c r="J5" s="31">
        <v>458.4</v>
      </c>
      <c r="K5" s="31">
        <v>454.76</v>
      </c>
      <c r="L5" s="31">
        <v>451.12</v>
      </c>
      <c r="M5" s="31">
        <v>447.45</v>
      </c>
      <c r="N5" s="32">
        <v>443.85</v>
      </c>
      <c r="P5" s="586">
        <v>1</v>
      </c>
      <c r="Q5" s="557">
        <f>SUM(R6:AC41)</f>
        <v>0</v>
      </c>
      <c r="R5" s="3">
        <v>12</v>
      </c>
      <c r="S5" s="3">
        <v>11</v>
      </c>
      <c r="T5" s="3">
        <v>10</v>
      </c>
      <c r="U5" s="3">
        <v>9</v>
      </c>
      <c r="V5" s="3">
        <v>8</v>
      </c>
      <c r="W5" s="3">
        <v>7</v>
      </c>
      <c r="X5" s="3">
        <v>6</v>
      </c>
      <c r="Y5" s="3">
        <v>5</v>
      </c>
      <c r="Z5" s="3">
        <v>4</v>
      </c>
      <c r="AA5" s="3">
        <v>3</v>
      </c>
      <c r="AB5" s="3">
        <v>2</v>
      </c>
      <c r="AC5" s="519">
        <v>1</v>
      </c>
      <c r="AD5" s="557">
        <v>1</v>
      </c>
      <c r="AE5" s="557">
        <f>SUM(AF6:AQ41)</f>
        <v>0</v>
      </c>
      <c r="AF5" s="3">
        <v>12</v>
      </c>
      <c r="AG5" s="3">
        <v>11</v>
      </c>
      <c r="AH5" s="3">
        <v>10</v>
      </c>
      <c r="AI5" s="3">
        <v>9</v>
      </c>
      <c r="AJ5" s="3">
        <v>8</v>
      </c>
      <c r="AK5" s="3">
        <v>7</v>
      </c>
      <c r="AL5" s="3">
        <v>6</v>
      </c>
      <c r="AM5" s="3">
        <v>5</v>
      </c>
      <c r="AN5" s="3">
        <v>4</v>
      </c>
      <c r="AO5" s="3">
        <v>3</v>
      </c>
      <c r="AP5" s="3">
        <v>2</v>
      </c>
      <c r="AQ5" s="519">
        <v>1</v>
      </c>
      <c r="AR5" s="557">
        <v>1</v>
      </c>
      <c r="AS5" s="557">
        <f>SUM(AT6:BE41)</f>
        <v>0</v>
      </c>
      <c r="AT5" s="3">
        <v>12</v>
      </c>
      <c r="AU5" s="3">
        <v>11</v>
      </c>
      <c r="AV5" s="3">
        <v>10</v>
      </c>
      <c r="AW5" s="3">
        <v>9</v>
      </c>
      <c r="AX5" s="3">
        <v>8</v>
      </c>
      <c r="AY5" s="3">
        <v>7</v>
      </c>
      <c r="AZ5" s="3">
        <v>6</v>
      </c>
      <c r="BA5" s="3">
        <v>5</v>
      </c>
      <c r="BB5" s="3">
        <v>4</v>
      </c>
      <c r="BC5" s="3">
        <v>3</v>
      </c>
      <c r="BD5" s="3">
        <v>2</v>
      </c>
      <c r="BE5" s="519">
        <v>1</v>
      </c>
      <c r="BF5" s="557">
        <v>1</v>
      </c>
      <c r="BG5" s="557">
        <f>SUM(BH6:BS41)</f>
        <v>0</v>
      </c>
      <c r="BH5" s="3">
        <v>12</v>
      </c>
      <c r="BI5" s="3">
        <v>11</v>
      </c>
      <c r="BJ5" s="3">
        <v>10</v>
      </c>
      <c r="BK5" s="3">
        <v>9</v>
      </c>
      <c r="BL5" s="3">
        <v>8</v>
      </c>
      <c r="BM5" s="3">
        <v>7</v>
      </c>
      <c r="BN5" s="3">
        <v>6</v>
      </c>
      <c r="BO5" s="3">
        <v>5</v>
      </c>
      <c r="BP5" s="3">
        <v>4</v>
      </c>
      <c r="BQ5" s="3">
        <v>3</v>
      </c>
      <c r="BR5" s="3">
        <v>2</v>
      </c>
      <c r="BS5" s="519">
        <v>1</v>
      </c>
      <c r="BT5" s="557">
        <v>1</v>
      </c>
      <c r="BU5" s="557">
        <f>SUM(BV6:CG41)</f>
        <v>0</v>
      </c>
      <c r="BV5" s="3">
        <v>12</v>
      </c>
      <c r="BW5" s="3">
        <v>11</v>
      </c>
      <c r="BX5" s="3">
        <v>10</v>
      </c>
      <c r="BY5" s="3">
        <v>9</v>
      </c>
      <c r="BZ5" s="3">
        <v>8</v>
      </c>
      <c r="CA5" s="3">
        <v>7</v>
      </c>
      <c r="CB5" s="3">
        <v>6</v>
      </c>
      <c r="CC5" s="3">
        <v>5</v>
      </c>
      <c r="CD5" s="3">
        <v>4</v>
      </c>
      <c r="CE5" s="3">
        <v>3</v>
      </c>
      <c r="CF5" s="3">
        <v>2</v>
      </c>
      <c r="CG5" s="519">
        <v>1</v>
      </c>
      <c r="CH5" s="557">
        <v>1</v>
      </c>
      <c r="CI5" s="557">
        <f>SUM(CJ6:CU41)</f>
        <v>0</v>
      </c>
      <c r="CJ5" s="3">
        <v>12</v>
      </c>
      <c r="CK5" s="3">
        <v>11</v>
      </c>
      <c r="CL5" s="3">
        <v>10</v>
      </c>
      <c r="CM5" s="3">
        <v>9</v>
      </c>
      <c r="CN5" s="3">
        <v>8</v>
      </c>
      <c r="CO5" s="3">
        <v>7</v>
      </c>
      <c r="CP5" s="3">
        <v>6</v>
      </c>
      <c r="CQ5" s="3">
        <v>5</v>
      </c>
      <c r="CR5" s="3">
        <v>4</v>
      </c>
      <c r="CS5" s="3">
        <v>3</v>
      </c>
      <c r="CT5" s="3">
        <v>2</v>
      </c>
      <c r="CU5" s="519">
        <v>1</v>
      </c>
    </row>
    <row r="6" spans="1:99" x14ac:dyDescent="0.25">
      <c r="A6" s="987"/>
      <c r="B6" s="64" t="s">
        <v>62</v>
      </c>
      <c r="C6" s="84">
        <v>330.44</v>
      </c>
      <c r="D6" s="31">
        <v>327.42</v>
      </c>
      <c r="E6" s="31">
        <v>324.52</v>
      </c>
      <c r="F6" s="31">
        <v>320.17</v>
      </c>
      <c r="G6" s="31">
        <v>316.72000000000003</v>
      </c>
      <c r="H6" s="31">
        <v>309.61</v>
      </c>
      <c r="I6" s="31">
        <v>301.24</v>
      </c>
      <c r="J6" s="31">
        <v>293.79000000000002</v>
      </c>
      <c r="K6" s="31">
        <v>286.94</v>
      </c>
      <c r="L6" s="31">
        <v>280.14999999999998</v>
      </c>
      <c r="M6" s="31">
        <v>239.41</v>
      </c>
      <c r="N6" s="32">
        <v>125.52</v>
      </c>
      <c r="P6" s="940" t="s">
        <v>39</v>
      </c>
      <c r="Q6" s="13" t="s">
        <v>61</v>
      </c>
      <c r="R6" s="518" t="str">
        <f>IF(AND(_1="A-350",'2026'!$D$4="CA",'2026'!$D$2=R5),'2026DATA'!$C$3,"")</f>
        <v/>
      </c>
      <c r="S6" s="518" t="str">
        <f>IF(AND(_1="A-350",'2026'!$D$4="CA",'2026'!$D$2=S5),'2026DATA'!$D$3,"")</f>
        <v/>
      </c>
      <c r="T6" s="518" t="str">
        <f>IF(AND(_1="A-350",'2026'!$D$4="CA",'2026'!$D$2=T5),'2026DATA'!$E$3,"")</f>
        <v/>
      </c>
      <c r="U6" s="518" t="str">
        <f>IF(AND(_1="A-350",'2026'!$D$4="CA",'2026'!$D$2=U5),'2026DATA'!$F$3,"")</f>
        <v/>
      </c>
      <c r="V6" s="518" t="str">
        <f>IF(AND(_1="A-350",'2026'!$D$4="CA",'2026'!$D$2=V5),'2026DATA'!$G$3,"")</f>
        <v/>
      </c>
      <c r="W6" s="518" t="str">
        <f>IF(AND(_1="A-350",'2026'!$D$4="CA",'2026'!$D$2=W5),'2026DATA'!$H$3,"")</f>
        <v/>
      </c>
      <c r="X6" s="518" t="str">
        <f>IF(AND(_1="A-350",'2026'!$D$4="CA",'2026'!$D$2=X5),'2026DATA'!$I$3,"")</f>
        <v/>
      </c>
      <c r="Y6" s="518" t="str">
        <f>IF(AND(_1="A-350",'2026'!$D$4="CA",'2026'!$D$2=Y5),'2026DATA'!$J$3,"")</f>
        <v/>
      </c>
      <c r="Z6" s="518" t="str">
        <f>IF(AND(_1="A-350",'2026'!$D$4="CA",'2026'!$D$2=Z5),'2026DATA'!$K$3,"")</f>
        <v/>
      </c>
      <c r="AA6" s="518" t="str">
        <f>IF(AND(_1="A-350",'2026'!$D$4="CA",'2026'!$D$2=AA5),'2026DATA'!$L$3,"")</f>
        <v/>
      </c>
      <c r="AB6" s="518" t="str">
        <f>IF(AND(_1="A-350",'2026'!$D$4="CA",'2026'!$D$2=AB5),'2026DATA'!$M$3,"")</f>
        <v/>
      </c>
      <c r="AC6" s="520" t="str">
        <f>IF(AND(_1="A-350",'2026'!$D$4="CA",'2026'!$D$2=AC5),'2026DATA'!$N$3,"")</f>
        <v/>
      </c>
      <c r="AD6" s="940" t="s">
        <v>39</v>
      </c>
      <c r="AE6" s="13" t="s">
        <v>61</v>
      </c>
      <c r="AF6" s="518" t="str">
        <f>IF(AND(2="A-350",'2026'!$D$4="CA",'2026'!$D$2=AF5),'2026DATA'!$C$3,"")</f>
        <v/>
      </c>
      <c r="AG6" s="518" t="str">
        <f>IF(AND(_2="A-350",'2026'!$D$4="CA",'2026'!$D$2=AG5),'2026DATA'!$D$3,"")</f>
        <v/>
      </c>
      <c r="AH6" s="518" t="str">
        <f>IF(AND(_2="A-350",'2026'!$D$4="CA",'2026'!$D$2=AH5),'2026DATA'!$E$3,"")</f>
        <v/>
      </c>
      <c r="AI6" s="518" t="str">
        <f>IF(AND(_2="A-350",'2026'!$D$4="CA",'2026'!$D$2=AI5),'2026DATA'!$F$3,"")</f>
        <v/>
      </c>
      <c r="AJ6" s="518" t="str">
        <f>IF(AND(_2="A-350",'2026'!$D$4="CA",'2026'!$D$2=AJ5),'2026DATA'!$G$3,"")</f>
        <v/>
      </c>
      <c r="AK6" s="518" t="str">
        <f>IF(AND(_2="A-350",'2026'!$D$4="CA",'2026'!$D$2=AK5),'2026DATA'!$H$3,"")</f>
        <v/>
      </c>
      <c r="AL6" s="518" t="str">
        <f>IF(AND(_2="A-350",'2026'!$D$4="CA",'2026'!$D$2=AL5),'2026DATA'!$I$3,"")</f>
        <v/>
      </c>
      <c r="AM6" s="518" t="str">
        <f>IF(AND(_2="A-350",'2026'!$D$4="CA",'2026'!$D$2=AM5),'2026DATA'!$J$3,"")</f>
        <v/>
      </c>
      <c r="AN6" s="518" t="str">
        <f>IF(AND(_2="A-350",'2026'!$D$4="CA",'2026'!$D$2=AN5),'2026DATA'!$K$3,"")</f>
        <v/>
      </c>
      <c r="AO6" s="518" t="str">
        <f>IF(AND(_2="A-350",'2026'!$D$4="CA",'2026'!$D$2=AO5),'2026DATA'!$L$3,"")</f>
        <v/>
      </c>
      <c r="AP6" s="518" t="str">
        <f>IF(AND(_2="A-350",'2026'!$D$4="CA",'2026'!$D$2=AP5),'2026DATA'!$M$3,"")</f>
        <v/>
      </c>
      <c r="AQ6" s="520" t="str">
        <f>IF(AND(_2="A-350",'2026'!$D$4="CA",'2026'!$D$2=AQ5),'2026DATA'!$N$3,"")</f>
        <v/>
      </c>
      <c r="AR6" s="940" t="s">
        <v>39</v>
      </c>
      <c r="AS6" s="13" t="s">
        <v>61</v>
      </c>
      <c r="AT6" s="518" t="str">
        <f>IF(AND(_3="A-350",'2026'!$D$4="CA",'2026'!$D$2=AT5),'2026DATA'!$C$3,"")</f>
        <v/>
      </c>
      <c r="AU6" s="518" t="str">
        <f>IF(AND(_3="A-350",'2026'!$D$4="CA",'2026'!$D$2=AU5),'2026DATA'!$D$3,"")</f>
        <v/>
      </c>
      <c r="AV6" s="518" t="str">
        <f>IF(AND(_3="A-350",'2026'!$D$4="CA",'2026'!$D$2=AV5),'2026DATA'!$E$3,"")</f>
        <v/>
      </c>
      <c r="AW6" s="518" t="str">
        <f>IF(AND(_3="A-350",'2026'!$D$4="CA",'2026'!$D$2=AW5),'2026DATA'!$F$3,"")</f>
        <v/>
      </c>
      <c r="AX6" s="518" t="str">
        <f>IF(AND(_3="A-350",'2026'!$D$4="CA",'2026'!$D$2=AX5),'2026DATA'!$G$3,"")</f>
        <v/>
      </c>
      <c r="AY6" s="518" t="str">
        <f>IF(AND(_3="A-350",'2026'!$D$4="CA",'2026'!$D$2=AY5),'2026DATA'!$H$3,"")</f>
        <v/>
      </c>
      <c r="AZ6" s="518" t="str">
        <f>IF(AND(_3="A-350",'2026'!$D$4="CA",'2026'!$D$2=AZ5),'2026DATA'!$I$3,"")</f>
        <v/>
      </c>
      <c r="BA6" s="518" t="str">
        <f>IF(AND(_3="A-350",'2026'!$D$4="CA",'2026'!$D$2=BA5),'2026DATA'!$J$3,"")</f>
        <v/>
      </c>
      <c r="BB6" s="518" t="str">
        <f>IF(AND(_3="A-350",'2026'!$D$4="CA",'2026'!$D$2=BB5),'2026DATA'!$K$3,"")</f>
        <v/>
      </c>
      <c r="BC6" s="518" t="str">
        <f>IF(AND(_3="A-350",'2026'!$D$4="CA",'2026'!$D$2=BC5),'2026DATA'!$L$3,"")</f>
        <v/>
      </c>
      <c r="BD6" s="518" t="str">
        <f>IF(AND(_3="A-350",'2026'!$D$4="CA",'2026'!$D$2=BD5),'2026DATA'!$M$3,"")</f>
        <v/>
      </c>
      <c r="BE6" s="520" t="str">
        <f>IF(AND(_3="A-350",'2026'!$D$4="CA",'2026'!$D$2=BE5),'2026DATA'!$N$3,"")</f>
        <v/>
      </c>
      <c r="BF6" s="940" t="s">
        <v>39</v>
      </c>
      <c r="BG6" s="13" t="s">
        <v>61</v>
      </c>
      <c r="BH6" s="518" t="str">
        <f>IF(AND(_4="A-350",'2026'!$D$4="CA",'2026'!$D$2=BH5),'2026DATA'!$C$3,"")</f>
        <v/>
      </c>
      <c r="BI6" s="518" t="str">
        <f>IF(AND(_4="A-350",'2026'!$D$4="CA",'2026'!$D$2=BI5),'2026DATA'!$D$3,"")</f>
        <v/>
      </c>
      <c r="BJ6" s="518" t="str">
        <f>IF(AND(_4="A-350",'2026'!$D$4="CA",'2026'!$D$2=BJ5),'2026DATA'!$E$3,"")</f>
        <v/>
      </c>
      <c r="BK6" s="518" t="str">
        <f>IF(AND(_4="A-350",'2026'!$D$4="CA",'2026'!$D$2=BK5),'2026DATA'!$F$3,"")</f>
        <v/>
      </c>
      <c r="BL6" s="518" t="str">
        <f>IF(AND(_4="A-350",'2026'!$D$4="CA",'2026'!$D$2=BL5),'2026DATA'!$G$3,"")</f>
        <v/>
      </c>
      <c r="BM6" s="518" t="str">
        <f>IF(AND(_4="A-350",'2026'!$D$4="CA",'2026'!$D$2=BM5),'2026DATA'!$H$3,"")</f>
        <v/>
      </c>
      <c r="BN6" s="518" t="str">
        <f>IF(AND(_4="A-350",'2026'!$D$4="CA",'2026'!$D$2=BN5),'2026DATA'!$I$3,"")</f>
        <v/>
      </c>
      <c r="BO6" s="518" t="str">
        <f>IF(AND(_4="A-350",'2026'!$D$4="CA",'2026'!$D$2=BO5),'2026DATA'!$J$3,"")</f>
        <v/>
      </c>
      <c r="BP6" s="518" t="str">
        <f>IF(AND(_4="A-350",'2026'!$D$4="CA",'2026'!$D$2=BP5),'2026DATA'!$K$3,"")</f>
        <v/>
      </c>
      <c r="BQ6" s="518" t="str">
        <f>IF(AND(_4="A-350",'2026'!$D$4="CA",'2026'!$D$2=BQ5),'2026DATA'!$L$3,"")</f>
        <v/>
      </c>
      <c r="BR6" s="518" t="str">
        <f>IF(AND(_4="A-350",'2026'!$D$4="CA",'2026'!$D$2=BR5),'2026DATA'!$M$3,"")</f>
        <v/>
      </c>
      <c r="BS6" s="520" t="str">
        <f>IF(AND(_4="A-350",'2026'!$D$4="CA",'2026'!$D$2=BS5),'2026DATA'!$N$3,"")</f>
        <v/>
      </c>
      <c r="BT6" s="940" t="s">
        <v>39</v>
      </c>
      <c r="BU6" s="13" t="s">
        <v>61</v>
      </c>
      <c r="BV6" s="518" t="str">
        <f>IF(AND(_5="A-350",'2026'!$D$4="CA",'2026'!$D$2=BV5),'2026DATA'!$C$3,"")</f>
        <v/>
      </c>
      <c r="BW6" s="518" t="str">
        <f>IF(AND(_5="A-350",'2026'!$D$4="CA",'2026'!$D$2=BW5),'2026DATA'!$D$3,"")</f>
        <v/>
      </c>
      <c r="BX6" s="518" t="str">
        <f>IF(AND(_5="A-350",'2026'!$D$4="CA",'2026'!$D$2=BX5),'2026DATA'!$E$3,"")</f>
        <v/>
      </c>
      <c r="BY6" s="518" t="str">
        <f>IF(AND(_5="A-350",'2026'!$D$4="CA",'2026'!$D$2=BY5),'2026DATA'!$F$3,"")</f>
        <v/>
      </c>
      <c r="BZ6" s="518" t="str">
        <f>IF(AND(_5="A-350",'2026'!$D$4="CA",'2026'!$D$2=BZ5),'2026DATA'!$G$3,"")</f>
        <v/>
      </c>
      <c r="CA6" s="518" t="str">
        <f>IF(AND(_5="A-350",'2026'!$D$4="CA",'2026'!$D$2=CA5),'2026DATA'!$H$3,"")</f>
        <v/>
      </c>
      <c r="CB6" s="518" t="str">
        <f>IF(AND(_5="A-350",'2026'!$D$4="CA",'2026'!$D$2=CB5),'2026DATA'!$I$3,"")</f>
        <v/>
      </c>
      <c r="CC6" s="518" t="str">
        <f>IF(AND(_5="A-350",'2026'!$D$4="CA",'2026'!$D$2=CC5),'2026DATA'!$J$3,"")</f>
        <v/>
      </c>
      <c r="CD6" s="518" t="str">
        <f>IF(AND(_5="A-350",'2026'!$D$4="CA",'2026'!$D$2=CD5),'2026DATA'!$K$3,"")</f>
        <v/>
      </c>
      <c r="CE6" s="518" t="str">
        <f>IF(AND(_5="A-350",'2026'!$D$4="CA",'2026'!$D$2=CE5),'2026DATA'!$L$3,"")</f>
        <v/>
      </c>
      <c r="CF6" s="518" t="str">
        <f>IF(AND(_5="A-350",'2026'!$D$4="CA",'2026'!$D$2=CF5),'2026DATA'!$M$3,"")</f>
        <v/>
      </c>
      <c r="CG6" s="520" t="str">
        <f>IF(AND(_5="A-350",'2026'!$D$4="CA",'2026'!$D$2=CG5),'2026DATA'!$N$3,"")</f>
        <v/>
      </c>
      <c r="CH6" s="940" t="s">
        <v>39</v>
      </c>
      <c r="CI6" s="13" t="s">
        <v>61</v>
      </c>
      <c r="CJ6" s="518" t="str">
        <f>IF(AND(_6="A-350",'2026'!$D$4="CA",'2026'!$D$2=CJ5),'2026DATA'!$C$3,"")</f>
        <v/>
      </c>
      <c r="CK6" s="518" t="str">
        <f>IF(AND(_6="A-350",'2026'!$D$4="CA",'2026'!$D$2=CK5),'2026DATA'!$D$3,"")</f>
        <v/>
      </c>
      <c r="CL6" s="518" t="str">
        <f>IF(AND(_6="A-350",'2026'!$D$4="CA",'2026'!$D$2=CL5),'2026DATA'!$E$3,"")</f>
        <v/>
      </c>
      <c r="CM6" s="518" t="str">
        <f>IF(AND(_6="A-350",'2026'!$D$4="CA",'2026'!$D$2=CM5),'2026DATA'!$F$3,"")</f>
        <v/>
      </c>
      <c r="CN6" s="518" t="str">
        <f>IF(AND(_6="A-350",'2026'!$D$4="CA",'2026'!$D$2=CN5),'2026DATA'!$G$3,"")</f>
        <v/>
      </c>
      <c r="CO6" s="518" t="str">
        <f>IF(AND(_6="A-350",'2026'!$D$4="CA",'2026'!$D$2=CO5),'2026DATA'!$H$3,"")</f>
        <v/>
      </c>
      <c r="CP6" s="518" t="str">
        <f>IF(AND(_6="A-350",'2026'!$D$4="CA",'2026'!$D$2=CP5),'2026DATA'!$I$3,"")</f>
        <v/>
      </c>
      <c r="CQ6" s="518" t="str">
        <f>IF(AND(_6="A-350",'2026'!$D$4="CA",'2026'!$D$2=CQ5),'2026DATA'!$J$3,"")</f>
        <v/>
      </c>
      <c r="CR6" s="518" t="str">
        <f>IF(AND(_6="A-350",'2026'!$D$4="CA",'2026'!$D$2=CR5),'2026DATA'!$K$3,"")</f>
        <v/>
      </c>
      <c r="CS6" s="518" t="str">
        <f>IF(AND(_6="A-350",'2026'!$D$4="CA",'2026'!$D$2=CS5),'2026DATA'!$L$3,"")</f>
        <v/>
      </c>
      <c r="CT6" s="518" t="str">
        <f>IF(AND(_6="A-350",'2026'!$D$4="CA",'2026'!$D$2=CT5),'2026DATA'!$M$3,"")</f>
        <v/>
      </c>
      <c r="CU6" s="520" t="str">
        <f>IF(AND(_6="A-350",'2026'!$D$4="CA",'2026'!$D$2=CU5),'2026DATA'!$N$3,"")</f>
        <v/>
      </c>
    </row>
    <row r="7" spans="1:99" x14ac:dyDescent="0.25">
      <c r="A7" s="987" t="s">
        <v>64</v>
      </c>
      <c r="B7" s="64" t="s">
        <v>61</v>
      </c>
      <c r="C7" s="84">
        <v>483.74</v>
      </c>
      <c r="D7" s="31">
        <v>480.09</v>
      </c>
      <c r="E7" s="31">
        <v>476.47</v>
      </c>
      <c r="F7" s="31">
        <v>472.87</v>
      </c>
      <c r="G7" s="31">
        <v>469.22</v>
      </c>
      <c r="H7" s="31">
        <v>465.64</v>
      </c>
      <c r="I7" s="31">
        <v>462</v>
      </c>
      <c r="J7" s="31">
        <v>458.4</v>
      </c>
      <c r="K7" s="31">
        <v>454.76</v>
      </c>
      <c r="L7" s="31">
        <v>451.12</v>
      </c>
      <c r="M7" s="31">
        <v>447.45</v>
      </c>
      <c r="N7" s="32">
        <v>443.85</v>
      </c>
      <c r="P7" s="940"/>
      <c r="Q7" s="13" t="s">
        <v>62</v>
      </c>
      <c r="R7" s="518" t="str">
        <f>IF(AND(_1="A-350",'2026'!$D$4="FO",'2026'!$D$2=R5),'2026DATA'!$C$4,"")</f>
        <v/>
      </c>
      <c r="S7" s="518" t="str">
        <f>IF(AND(_1="A-350",'2026'!$D$4="FO",'2026'!$D$2=S5),'2026DATA'!$D$4,"")</f>
        <v/>
      </c>
      <c r="T7" s="518" t="str">
        <f>IF(AND(_1="A-350",'2026'!$D$4="FO",'2026'!$D$2=T5),'2026DATA'!$E$4,"")</f>
        <v/>
      </c>
      <c r="U7" s="518" t="str">
        <f>IF(AND(_1="A-350",'2026'!$D$4="FO",'2026'!$D$2=U5),'2026DATA'!$F$4,"")</f>
        <v/>
      </c>
      <c r="V7" s="518" t="str">
        <f>IF(AND(_1="A-350",'2026'!$D$4="FO",'2026'!$D$2=V5),'2026DATA'!$G$4,"")</f>
        <v/>
      </c>
      <c r="W7" s="518" t="str">
        <f>IF(AND(_1="A-350",'2026'!$D$4="FO",'2026'!$D$2=W5),'2026DATA'!$H$4,"")</f>
        <v/>
      </c>
      <c r="X7" s="518" t="str">
        <f>IF(AND(_1="A-350",'2026'!$D$4="FO",'2026'!$D$2=X5),'2026DATA'!$I$4,"")</f>
        <v/>
      </c>
      <c r="Y7" s="518" t="str">
        <f>IF(AND(_1="A-350",'2026'!$D$4="FO",'2026'!$D$2=Y5),'2026DATA'!$J$4,"")</f>
        <v/>
      </c>
      <c r="Z7" s="518" t="str">
        <f>IF(AND(_1="A-350",'2026'!$D$4="FO",'2026'!$D$2=Z5),'2026DATA'!$K$4,"")</f>
        <v/>
      </c>
      <c r="AA7" s="518" t="str">
        <f>IF(AND(_1="A-350",'2026'!$D$4="FO",'2026'!$D$2=AA5),'2026DATA'!$L$4,"")</f>
        <v/>
      </c>
      <c r="AB7" s="518" t="str">
        <f>IF(AND(_1="A-350",'2026'!$D$4="FO",'2026'!$D$2=AB5),'2026DATA'!$M$4,"")</f>
        <v/>
      </c>
      <c r="AC7" s="520" t="str">
        <f>IF(AND(_1="A-350",'2026'!$D$4="FO",'2026'!$D$2=AC5),'2026DATA'!$N$4,"")</f>
        <v/>
      </c>
      <c r="AD7" s="940"/>
      <c r="AE7" s="13" t="s">
        <v>62</v>
      </c>
      <c r="AF7" s="518" t="str">
        <f>IF(AND(_2="A-350",'2026'!$D$4="FO",'2026'!$D$2=AF5),'2026DATA'!$C$4,"")</f>
        <v/>
      </c>
      <c r="AG7" s="518" t="str">
        <f>IF(AND(_2="A-350",'2026'!$D$4="FO",'2026'!$D$2=AG5),'2026DATA'!$D$4,"")</f>
        <v/>
      </c>
      <c r="AH7" s="518" t="str">
        <f>IF(AND(_2="A-350",'2026'!$D$4="FO",'2026'!$D$2=AH5),'2026DATA'!$E$4,"")</f>
        <v/>
      </c>
      <c r="AI7" s="518" t="str">
        <f>IF(AND(_2="A-350",'2026'!$D$4="FO",'2026'!$D$2=AI5),'2026DATA'!$F$4,"")</f>
        <v/>
      </c>
      <c r="AJ7" s="518" t="str">
        <f>IF(AND(_2="A-350",'2026'!$D$4="FO",'2026'!$D$2=AJ5),'2026DATA'!$G$4,"")</f>
        <v/>
      </c>
      <c r="AK7" s="518" t="str">
        <f>IF(AND(_2="A-350",'2026'!$D$4="FO",'2026'!$D$2=AK5),'2026DATA'!$H$4,"")</f>
        <v/>
      </c>
      <c r="AL7" s="518" t="str">
        <f>IF(AND(_2="A-350",'2026'!$D$4="FO",'2026'!$D$2=AL5),'2026DATA'!$I$4,"")</f>
        <v/>
      </c>
      <c r="AM7" s="518" t="str">
        <f>IF(AND(_2="A-350",'2026'!$D$4="FO",'2026'!$D$2=AM5),'2026DATA'!$J$4,"")</f>
        <v/>
      </c>
      <c r="AN7" s="518" t="str">
        <f>IF(AND(_2="A-350",'2026'!$D$4="FO",'2026'!$D$2=AN5),'2026DATA'!$K$4,"")</f>
        <v/>
      </c>
      <c r="AO7" s="518" t="str">
        <f>IF(AND(_2="A-350",'2026'!$D$4="FO",'2026'!$D$2=AO5),'2026DATA'!$L$4,"")</f>
        <v/>
      </c>
      <c r="AP7" s="518" t="str">
        <f>IF(AND(_2="A-350",'2026'!$D$4="FO",'2026'!$D$2=AP5),'2026DATA'!$M$4,"")</f>
        <v/>
      </c>
      <c r="AQ7" s="520" t="str">
        <f>IF(AND(_2="A-350",'2026'!$D$4="FO",'2026'!$D$2=AQ5),'2026DATA'!$N$4,"")</f>
        <v/>
      </c>
      <c r="AR7" s="940"/>
      <c r="AS7" s="13" t="s">
        <v>62</v>
      </c>
      <c r="AT7" s="518" t="str">
        <f>IF(AND(_3="A-350",'2026'!$D$4="FO",'2026'!$D$2=AT5),'2026DATA'!$C$4,"")</f>
        <v/>
      </c>
      <c r="AU7" s="518" t="str">
        <f>IF(AND(_3="A-350",'2026'!$D$4="FO",'2026'!$D$2=AU5),'2026DATA'!$D$4,"")</f>
        <v/>
      </c>
      <c r="AV7" s="518" t="str">
        <f>IF(AND(_3="A-350",'2026'!$D$4="FO",'2026'!$D$2=AV5),'2026DATA'!$E$4,"")</f>
        <v/>
      </c>
      <c r="AW7" s="518" t="str">
        <f>IF(AND(_3="A-350",'2026'!$D$4="FO",'2026'!$D$2=AW5),'2026DATA'!$F$4,"")</f>
        <v/>
      </c>
      <c r="AX7" s="518" t="str">
        <f>IF(AND(_3="A-350",'2026'!$D$4="FO",'2026'!$D$2=AX5),'2026DATA'!$G$4,"")</f>
        <v/>
      </c>
      <c r="AY7" s="518" t="str">
        <f>IF(AND(_3="A-350",'2026'!$D$4="FO",'2026'!$D$2=AY5),'2026DATA'!$H$4,"")</f>
        <v/>
      </c>
      <c r="AZ7" s="518" t="str">
        <f>IF(AND(_3="A-350",'2026'!$D$4="FO",'2026'!$D$2=AZ5),'2026DATA'!$I$4,"")</f>
        <v/>
      </c>
      <c r="BA7" s="518" t="str">
        <f>IF(AND(_3="A-350",'2026'!$D$4="FO",'2026'!$D$2=BA5),'2026DATA'!$J$4,"")</f>
        <v/>
      </c>
      <c r="BB7" s="518" t="str">
        <f>IF(AND(_3="A-350",'2026'!$D$4="FO",'2026'!$D$2=BB5),'2026DATA'!$K$4,"")</f>
        <v/>
      </c>
      <c r="BC7" s="518" t="str">
        <f>IF(AND(_3="A-350",'2026'!$D$4="FO",'2026'!$D$2=BC5),'2026DATA'!$L$4,"")</f>
        <v/>
      </c>
      <c r="BD7" s="518" t="str">
        <f>IF(AND(_3="A-350",'2026'!$D$4="FO",'2026'!$D$2=BD5),'2026DATA'!$M$4,"")</f>
        <v/>
      </c>
      <c r="BE7" s="520" t="str">
        <f>IF(AND(_3="A-350",'2026'!$D$4="FO",'2026'!$D$2=BE5),'2026DATA'!$N$4,"")</f>
        <v/>
      </c>
      <c r="BF7" s="940"/>
      <c r="BG7" s="13" t="s">
        <v>62</v>
      </c>
      <c r="BH7" s="518" t="str">
        <f>IF(AND(_4="A-350",'2026'!$D$4="FO",'2026'!$D$2=BH5),'2026DATA'!$C$4,"")</f>
        <v/>
      </c>
      <c r="BI7" s="518" t="str">
        <f>IF(AND(_4="A-350",'2026'!$D$4="FO",'2026'!$D$2=BI5),'2026DATA'!$D$4,"")</f>
        <v/>
      </c>
      <c r="BJ7" s="518" t="str">
        <f>IF(AND(_4="A-350",'2026'!$D$4="FO",'2026'!$D$2=BJ5),'2026DATA'!$E$4,"")</f>
        <v/>
      </c>
      <c r="BK7" s="518" t="str">
        <f>IF(AND(_4="A-350",'2026'!$D$4="FO",'2026'!$D$2=BK5),'2026DATA'!$F$4,"")</f>
        <v/>
      </c>
      <c r="BL7" s="518" t="str">
        <f>IF(AND(_4="A-350",'2026'!$D$4="FO",'2026'!$D$2=BL5),'2026DATA'!$G$4,"")</f>
        <v/>
      </c>
      <c r="BM7" s="518" t="str">
        <f>IF(AND(_4="A-350",'2026'!$D$4="FO",'2026'!$D$2=BM5),'2026DATA'!$H$4,"")</f>
        <v/>
      </c>
      <c r="BN7" s="518" t="str">
        <f>IF(AND(_4="A-350",'2026'!$D$4="FO",'2026'!$D$2=BN5),'2026DATA'!$I$4,"")</f>
        <v/>
      </c>
      <c r="BO7" s="518" t="str">
        <f>IF(AND(_4="A-350",'2026'!$D$4="FO",'2026'!$D$2=BO5),'2026DATA'!$J$4,"")</f>
        <v/>
      </c>
      <c r="BP7" s="518" t="str">
        <f>IF(AND(_4="A-350",'2026'!$D$4="FO",'2026'!$D$2=BP5),'2026DATA'!$K$4,"")</f>
        <v/>
      </c>
      <c r="BQ7" s="518" t="str">
        <f>IF(AND(_4="A-350",'2026'!$D$4="FO",'2026'!$D$2=BQ5),'2026DATA'!$L$4,"")</f>
        <v/>
      </c>
      <c r="BR7" s="518" t="str">
        <f>IF(AND(_4="A-350",'2026'!$D$4="FO",'2026'!$D$2=BR5),'2026DATA'!$M$4,"")</f>
        <v/>
      </c>
      <c r="BS7" s="520" t="str">
        <f>IF(AND(_4="A-350",'2026'!$D$4="FO",'2026'!$D$2=BS5),'2026DATA'!$N$4,"")</f>
        <v/>
      </c>
      <c r="BT7" s="940"/>
      <c r="BU7" s="13" t="s">
        <v>62</v>
      </c>
      <c r="BV7" s="518" t="str">
        <f>IF(AND(_5="A-350",'2026'!$D$4="FO",'2026'!$D$2=BV5),'2026DATA'!$C$4,"")</f>
        <v/>
      </c>
      <c r="BW7" s="518" t="str">
        <f>IF(AND(_5="A-350",'2026'!$D$4="FO",'2026'!$D$2=BW5),'2026DATA'!$D$4,"")</f>
        <v/>
      </c>
      <c r="BX7" s="518" t="str">
        <f>IF(AND(_5="A-350",'2026'!$D$4="FO",'2026'!$D$2=BX5),'2026DATA'!$E$4,"")</f>
        <v/>
      </c>
      <c r="BY7" s="518" t="str">
        <f>IF(AND(_5="A-350",'2026'!$D$4="FO",'2026'!$D$2=BY5),'2026DATA'!$F$4,"")</f>
        <v/>
      </c>
      <c r="BZ7" s="518" t="str">
        <f>IF(AND(_5="A-350",'2026'!$D$4="FO",'2026'!$D$2=BZ5),'2026DATA'!$G$4,"")</f>
        <v/>
      </c>
      <c r="CA7" s="518" t="str">
        <f>IF(AND(_5="A-350",'2026'!$D$4="FO",'2026'!$D$2=CA5),'2026DATA'!$H$4,"")</f>
        <v/>
      </c>
      <c r="CB7" s="518" t="str">
        <f>IF(AND(_5="A-350",'2026'!$D$4="FO",'2026'!$D$2=CB5),'2026DATA'!$I$4,"")</f>
        <v/>
      </c>
      <c r="CC7" s="518" t="str">
        <f>IF(AND(_5="A-350",'2026'!$D$4="FO",'2026'!$D$2=CC5),'2026DATA'!$J$4,"")</f>
        <v/>
      </c>
      <c r="CD7" s="518" t="str">
        <f>IF(AND(_5="A-350",'2026'!$D$4="FO",'2026'!$D$2=CD5),'2026DATA'!$K$4,"")</f>
        <v/>
      </c>
      <c r="CE7" s="518" t="str">
        <f>IF(AND(_5="A-350",'2026'!$D$4="FO",'2026'!$D$2=CE5),'2026DATA'!$L$4,"")</f>
        <v/>
      </c>
      <c r="CF7" s="518" t="str">
        <f>IF(AND(_5="A-350",'2026'!$D$4="FO",'2026'!$D$2=CF5),'2026DATA'!$M$4,"")</f>
        <v/>
      </c>
      <c r="CG7" s="520" t="str">
        <f>IF(AND(_5="A-350",'2026'!$D$4="FO",'2026'!$D$2=CG5),'2026DATA'!$N$4,"")</f>
        <v/>
      </c>
      <c r="CH7" s="940"/>
      <c r="CI7" s="13" t="s">
        <v>62</v>
      </c>
      <c r="CJ7" s="518" t="str">
        <f>IF(AND(_6="A-350",'2026'!$D$4="FO",'2026'!$D$2=CJ5),'2026DATA'!$C$4,"")</f>
        <v/>
      </c>
      <c r="CK7" s="518" t="str">
        <f>IF(AND(_6="A-350",'2026'!$D$4="FO",'2026'!$D$2=CK5),'2026DATA'!$D$4,"")</f>
        <v/>
      </c>
      <c r="CL7" s="518" t="str">
        <f>IF(AND(_6="A-350",'2026'!$D$4="FO",'2026'!$D$2=CL5),'2026DATA'!$E$4,"")</f>
        <v/>
      </c>
      <c r="CM7" s="518" t="str">
        <f>IF(AND(_6="A-350",'2026'!$D$4="FO",'2026'!$D$2=CM5),'2026DATA'!$F$4,"")</f>
        <v/>
      </c>
      <c r="CN7" s="518" t="str">
        <f>IF(AND(_6="A-350",'2026'!$D$4="FO",'2026'!$D$2=CN5),'2026DATA'!$G$4,"")</f>
        <v/>
      </c>
      <c r="CO7" s="518" t="str">
        <f>IF(AND(_6="A-350",'2026'!$D$4="FO",'2026'!$D$2=CO5),'2026DATA'!$H$4,"")</f>
        <v/>
      </c>
      <c r="CP7" s="518" t="str">
        <f>IF(AND(_6="A-350",'2026'!$D$4="FO",'2026'!$D$2=CP5),'2026DATA'!$I$4,"")</f>
        <v/>
      </c>
      <c r="CQ7" s="518" t="str">
        <f>IF(AND(_6="A-350",'2026'!$D$4="FO",'2026'!$D$2=CQ5),'2026DATA'!$J$4,"")</f>
        <v/>
      </c>
      <c r="CR7" s="518" t="str">
        <f>IF(AND(_6="A-350",'2026'!$D$4="FO",'2026'!$D$2=CR5),'2026DATA'!$K$4,"")</f>
        <v/>
      </c>
      <c r="CS7" s="518" t="str">
        <f>IF(AND(_6="A-350",'2026'!$D$4="FO",'2026'!$D$2=CS5),'2026DATA'!$L$4,"")</f>
        <v/>
      </c>
      <c r="CT7" s="518" t="str">
        <f>IF(AND(_6="A-350",'2026'!$D$4="FO",'2026'!$D$2=CT5),'2026DATA'!$M$4,"")</f>
        <v/>
      </c>
      <c r="CU7" s="520" t="str">
        <f>IF(AND(_6="A-350",'2026'!$D$4="FO",'2026'!$D$2=CU5),'2026DATA'!$N$4,"")</f>
        <v/>
      </c>
    </row>
    <row r="8" spans="1:99" x14ac:dyDescent="0.25">
      <c r="A8" s="987"/>
      <c r="B8" s="64" t="s">
        <v>62</v>
      </c>
      <c r="C8" s="84">
        <v>330.44</v>
      </c>
      <c r="D8" s="31">
        <v>327.42</v>
      </c>
      <c r="E8" s="31">
        <v>324.52</v>
      </c>
      <c r="F8" s="31">
        <v>320.17</v>
      </c>
      <c r="G8" s="31">
        <v>316.72000000000003</v>
      </c>
      <c r="H8" s="31">
        <v>309.61</v>
      </c>
      <c r="I8" s="31">
        <v>301.24</v>
      </c>
      <c r="J8" s="31">
        <v>293.79000000000002</v>
      </c>
      <c r="K8" s="31">
        <v>286.94</v>
      </c>
      <c r="L8" s="31">
        <v>280.14999999999998</v>
      </c>
      <c r="M8" s="31">
        <v>239.41</v>
      </c>
      <c r="N8" s="32">
        <v>125.52</v>
      </c>
      <c r="P8" s="940" t="s">
        <v>65</v>
      </c>
      <c r="Q8" s="13" t="s">
        <v>61</v>
      </c>
      <c r="R8" s="518" t="str">
        <f>IF(AND(_1="A-330-900",'2026'!$D$4="CA",'2026'!$D$2=R5),'2026DATA'!$C$5,"")</f>
        <v/>
      </c>
      <c r="S8" s="518" t="str">
        <f>IF(AND(_1="A-330-900",'2026'!$D$4="CA",'2026'!$D$2=S5),'2026DATA'!$D$5,"")</f>
        <v/>
      </c>
      <c r="T8" s="518" t="str">
        <f>IF(AND(_1="A-330-900",'2026'!$D$4="CA",'2026'!$D$2=T5),'2026DATA'!$E$5,"")</f>
        <v/>
      </c>
      <c r="U8" s="518" t="str">
        <f>IF(AND(_1="A-330-900",'2026'!$D$4="CA",'2026'!$D$2=U5),'2026DATA'!$F$5,"")</f>
        <v/>
      </c>
      <c r="V8" s="518" t="str">
        <f>IF(AND(_1="A-330-900",'2026'!$D$4="CA",'2026'!$D$2=V5),'2026DATA'!$G$5,"")</f>
        <v/>
      </c>
      <c r="W8" s="518" t="str">
        <f>IF(AND(_1="A-330-900",'2026'!$D$4="CA",'2026'!$D$2=W5),'2026DATA'!$H$5,"")</f>
        <v/>
      </c>
      <c r="X8" s="518" t="str">
        <f>IF(AND(_1="A-330-900",'2026'!$D$4="CA",'2026'!$D$2=X5),'2026DATA'!$I$5,"")</f>
        <v/>
      </c>
      <c r="Y8" s="518" t="str">
        <f>IF(AND(_1="A-330-900",'2026'!$D$4="CA",'2026'!$D$2=Y5),'2026DATA'!$J$5,"")</f>
        <v/>
      </c>
      <c r="Z8" s="518" t="str">
        <f>IF(AND(_1="A-330-900",'2026'!$D$4="CA",'2026'!$D$2=Z5),'2026DATA'!$K$5,"")</f>
        <v/>
      </c>
      <c r="AA8" s="518" t="str">
        <f>IF(AND(_1="A-330-900",'2026'!$D$4="CA",'2026'!$D$2=AA5),'2026DATA'!$L$5,"")</f>
        <v/>
      </c>
      <c r="AB8" s="518" t="str">
        <f>IF(AND(_1="A-330-900",'2026'!$D$4="CA",'2026'!$D$2=AB5),'2026DATA'!$M$5,"")</f>
        <v/>
      </c>
      <c r="AC8" s="520" t="str">
        <f>IF(AND(_1="A-330-900",'2026'!$D$4="CA",'2026'!$D$2=AC5),'2026DATA'!$N$5,"")</f>
        <v/>
      </c>
      <c r="AD8" s="940" t="s">
        <v>65</v>
      </c>
      <c r="AE8" s="13" t="s">
        <v>61</v>
      </c>
      <c r="AF8" s="518" t="str">
        <f>IF(AND(_2="A-330-900",'2026'!$D$4="CA",'2026'!$D$2=AF5),'2026DATA'!$C$5,"")</f>
        <v/>
      </c>
      <c r="AG8" s="518" t="str">
        <f>IF(AND(_2="A-330-900",'2026'!$D$4="CA",'2026'!$D$2=AG5),'2026DATA'!$D$5,"")</f>
        <v/>
      </c>
      <c r="AH8" s="518" t="str">
        <f>IF(AND(_2="A-330-900",'2026'!$D$4="CA",'2026'!$D$2=AH5),'2026DATA'!$E$5,"")</f>
        <v/>
      </c>
      <c r="AI8" s="518" t="str">
        <f>IF(AND(_2="A-330-900",'2026'!$D$4="CA",'2026'!$D$2=AI5),'2026DATA'!$F$5,"")</f>
        <v/>
      </c>
      <c r="AJ8" s="518" t="str">
        <f>IF(AND(_2="A-330-900",'2026'!$D$4="CA",'2026'!$D$2=AJ5),'2026DATA'!$G$5,"")</f>
        <v/>
      </c>
      <c r="AK8" s="518" t="str">
        <f>IF(AND(_2="A-330-900",'2026'!$D$4="CA",'2026'!$D$2=AK5),'2026DATA'!$H$5,"")</f>
        <v/>
      </c>
      <c r="AL8" s="518" t="str">
        <f>IF(AND(_2="A-330-900",'2026'!$D$4="CA",'2026'!$D$2=AL5),'2026DATA'!$I$5,"")</f>
        <v/>
      </c>
      <c r="AM8" s="518" t="str">
        <f>IF(AND(_2="A-330-900",'2026'!$D$4="CA",'2026'!$D$2=AM5),'2026DATA'!$J$5,"")</f>
        <v/>
      </c>
      <c r="AN8" s="518" t="str">
        <f>IF(AND(_2="A-330-900",'2026'!$D$4="CA",'2026'!$D$2=AN5),'2026DATA'!$K$5,"")</f>
        <v/>
      </c>
      <c r="AO8" s="518" t="str">
        <f>IF(AND(_2="A-330-900",'2026'!$D$4="CA",'2026'!$D$2=AO5),'2026DATA'!$L$5,"")</f>
        <v/>
      </c>
      <c r="AP8" s="518" t="str">
        <f>IF(AND(_2="A-330-900",'2026'!$D$4="CA",'2026'!$D$2=AP5),'2026DATA'!$M$5,"")</f>
        <v/>
      </c>
      <c r="AQ8" s="520" t="str">
        <f>IF(AND(_2="A-330-900",'2026'!$D$4="CA",'2026'!$D$2=AQ5),'2026DATA'!$N$5,"")</f>
        <v/>
      </c>
      <c r="AR8" s="940" t="s">
        <v>65</v>
      </c>
      <c r="AS8" s="13" t="s">
        <v>61</v>
      </c>
      <c r="AT8" s="518" t="str">
        <f>IF(AND(_3="A-330-900",'2026'!$D$4="CA",'2026'!$D$2=AT5),'2026DATA'!$C$5,"")</f>
        <v/>
      </c>
      <c r="AU8" s="518" t="str">
        <f>IF(AND(_3="A-330-900",'2026'!$D$4="CA",'2026'!$D$2=AU5),'2026DATA'!$D$5,"")</f>
        <v/>
      </c>
      <c r="AV8" s="518" t="str">
        <f>IF(AND(_3="A-330-900",'2026'!$D$4="CA",'2026'!$D$2=AV5),'2026DATA'!$E$5,"")</f>
        <v/>
      </c>
      <c r="AW8" s="518" t="str">
        <f>IF(AND(_3="A-330-900",'2026'!$D$4="CA",'2026'!$D$2=AW5),'2026DATA'!$F$5,"")</f>
        <v/>
      </c>
      <c r="AX8" s="518" t="str">
        <f>IF(AND(_3="A-330-900",'2026'!$D$4="CA",'2026'!$D$2=AX5),'2026DATA'!$G$5,"")</f>
        <v/>
      </c>
      <c r="AY8" s="518" t="str">
        <f>IF(AND(_3="A-330-900",'2026'!$D$4="CA",'2026'!$D$2=AY5),'2026DATA'!$H$5,"")</f>
        <v/>
      </c>
      <c r="AZ8" s="518" t="str">
        <f>IF(AND(_3="A-330-900",'2026'!$D$4="CA",'2026'!$D$2=AZ5),'2026DATA'!$I$5,"")</f>
        <v/>
      </c>
      <c r="BA8" s="518" t="str">
        <f>IF(AND(_3="A-330-900",'2026'!$D$4="CA",'2026'!$D$2=BA5),'2026DATA'!$J$5,"")</f>
        <v/>
      </c>
      <c r="BB8" s="518" t="str">
        <f>IF(AND(_3="A-330-900",'2026'!$D$4="CA",'2026'!$D$2=BB5),'2026DATA'!$K$5,"")</f>
        <v/>
      </c>
      <c r="BC8" s="518" t="str">
        <f>IF(AND(_3="A-330-900",'2026'!$D$4="CA",'2026'!$D$2=BC5),'2026DATA'!$L$5,"")</f>
        <v/>
      </c>
      <c r="BD8" s="518" t="str">
        <f>IF(AND(_3="A-330-900",'2026'!$D$4="CA",'2026'!$D$2=BD5),'2026DATA'!$M$5,"")</f>
        <v/>
      </c>
      <c r="BE8" s="520" t="str">
        <f>IF(AND(_3="A-330-900",'2026'!$D$4="CA",'2026'!$D$2=BE5),'2026DATA'!$N$5,"")</f>
        <v/>
      </c>
      <c r="BF8" s="940" t="s">
        <v>65</v>
      </c>
      <c r="BG8" s="13" t="s">
        <v>61</v>
      </c>
      <c r="BH8" s="518" t="str">
        <f>IF(AND(_4="A-330-900",'2026'!$D$4="CA",'2026'!$D$2=BH5),'2026DATA'!$C$5,"")</f>
        <v/>
      </c>
      <c r="BI8" s="518" t="str">
        <f>IF(AND(_4="A-330-900",'2026'!$D$4="CA",'2026'!$D$2=BI5),'2026DATA'!$D$5,"")</f>
        <v/>
      </c>
      <c r="BJ8" s="518" t="str">
        <f>IF(AND(_4="A-330-900",'2026'!$D$4="CA",'2026'!$D$2=BJ5),'2026DATA'!$E$5,"")</f>
        <v/>
      </c>
      <c r="BK8" s="518" t="str">
        <f>IF(AND(_4="A-330-900",'2026'!$D$4="CA",'2026'!$D$2=BK5),'2026DATA'!$F$5,"")</f>
        <v/>
      </c>
      <c r="BL8" s="518" t="str">
        <f>IF(AND(_4="A-330-900",'2026'!$D$4="CA",'2026'!$D$2=BL5),'2026DATA'!$G$5,"")</f>
        <v/>
      </c>
      <c r="BM8" s="518" t="str">
        <f>IF(AND(_4="A-330-900",'2026'!$D$4="CA",'2026'!$D$2=BM5),'2026DATA'!$H$5,"")</f>
        <v/>
      </c>
      <c r="BN8" s="518" t="str">
        <f>IF(AND(_4="A-330-900",'2026'!$D$4="CA",'2026'!$D$2=BN5),'2026DATA'!$I$5,"")</f>
        <v/>
      </c>
      <c r="BO8" s="518" t="str">
        <f>IF(AND(_4="A-330-900",'2026'!$D$4="CA",'2026'!$D$2=BO5),'2026DATA'!$J$5,"")</f>
        <v/>
      </c>
      <c r="BP8" s="518" t="str">
        <f>IF(AND(_4="A-330-900",'2026'!$D$4="CA",'2026'!$D$2=BP5),'2026DATA'!$K$5,"")</f>
        <v/>
      </c>
      <c r="BQ8" s="518" t="str">
        <f>IF(AND(_4="A-330-900",'2026'!$D$4="CA",'2026'!$D$2=BQ5),'2026DATA'!$L$5,"")</f>
        <v/>
      </c>
      <c r="BR8" s="518" t="str">
        <f>IF(AND(_4="A-330-900",'2026'!$D$4="CA",'2026'!$D$2=BR5),'2026DATA'!$M$5,"")</f>
        <v/>
      </c>
      <c r="BS8" s="520" t="str">
        <f>IF(AND(_4="A-330-900",'2026'!$D$4="CA",'2026'!$D$2=BS5),'2026DATA'!$N$5,"")</f>
        <v/>
      </c>
      <c r="BT8" s="940" t="s">
        <v>65</v>
      </c>
      <c r="BU8" s="13" t="s">
        <v>61</v>
      </c>
      <c r="BV8" s="518" t="str">
        <f>IF(AND(_5="A-330-900",'2026'!$D$4="CA",'2026'!$D$2=BV5),'2026DATA'!$C$5,"")</f>
        <v/>
      </c>
      <c r="BW8" s="518" t="str">
        <f>IF(AND(_5="A-330-900",'2026'!$D$4="CA",'2026'!$D$2=BW5),'2026DATA'!$D$5,"")</f>
        <v/>
      </c>
      <c r="BX8" s="518" t="str">
        <f>IF(AND(_5="A-330-900",'2026'!$D$4="CA",'2026'!$D$2=BX5),'2026DATA'!$E$5,"")</f>
        <v/>
      </c>
      <c r="BY8" s="518" t="str">
        <f>IF(AND(_5="A-330-900",'2026'!$D$4="CA",'2026'!$D$2=BY5),'2026DATA'!$F$5,"")</f>
        <v/>
      </c>
      <c r="BZ8" s="518" t="str">
        <f>IF(AND(_5="A-330-900",'2026'!$D$4="CA",'2026'!$D$2=BZ5),'2026DATA'!$G$5,"")</f>
        <v/>
      </c>
      <c r="CA8" s="518" t="str">
        <f>IF(AND(_5="A-330-900",'2026'!$D$4="CA",'2026'!$D$2=CA5),'2026DATA'!$H$5,"")</f>
        <v/>
      </c>
      <c r="CB8" s="518" t="str">
        <f>IF(AND(_5="A-330-900",'2026'!$D$4="CA",'2026'!$D$2=CB5),'2026DATA'!$I$5,"")</f>
        <v/>
      </c>
      <c r="CC8" s="518" t="str">
        <f>IF(AND(_5="A-330-900",'2026'!$D$4="CA",'2026'!$D$2=CC5),'2026DATA'!$J$5,"")</f>
        <v/>
      </c>
      <c r="CD8" s="518" t="str">
        <f>IF(AND(_5="A-330-900",'2026'!$D$4="CA",'2026'!$D$2=CD5),'2026DATA'!$K$5,"")</f>
        <v/>
      </c>
      <c r="CE8" s="518" t="str">
        <f>IF(AND(_5="A-330-900",'2026'!$D$4="CA",'2026'!$D$2=CE5),'2026DATA'!$L$5,"")</f>
        <v/>
      </c>
      <c r="CF8" s="518" t="str">
        <f>IF(AND(_5="A-330-900",'2026'!$D$4="CA",'2026'!$D$2=CF5),'2026DATA'!$M$5,"")</f>
        <v/>
      </c>
      <c r="CG8" s="520" t="str">
        <f>IF(AND(_5="A-330-900",'2026'!$D$4="CA",'2026'!$D$2=CG5),'2026DATA'!$N$5,"")</f>
        <v/>
      </c>
      <c r="CH8" s="940" t="s">
        <v>65</v>
      </c>
      <c r="CI8" s="13" t="s">
        <v>61</v>
      </c>
      <c r="CJ8" s="518" t="str">
        <f>IF(AND(_6="A-330-900",'2026'!$D$4="CA",'2026'!$D$2=CJ5),'2026DATA'!$C$5,"")</f>
        <v/>
      </c>
      <c r="CK8" s="518" t="str">
        <f>IF(AND(_6="A-330-900",'2026'!$D$4="CA",'2026'!$D$2=CK5),'2026DATA'!$D$5,"")</f>
        <v/>
      </c>
      <c r="CL8" s="518" t="str">
        <f>IF(AND(_6="A-330-900",'2026'!$D$4="CA",'2026'!$D$2=CL5),'2026DATA'!$E$5,"")</f>
        <v/>
      </c>
      <c r="CM8" s="518" t="str">
        <f>IF(AND(_6="A-330-900",'2026'!$D$4="CA",'2026'!$D$2=CM5),'2026DATA'!$F$5,"")</f>
        <v/>
      </c>
      <c r="CN8" s="518" t="str">
        <f>IF(AND(_6="A-330-900",'2026'!$D$4="CA",'2026'!$D$2=CN5),'2026DATA'!$G$5,"")</f>
        <v/>
      </c>
      <c r="CO8" s="518" t="str">
        <f>IF(AND(_6="A-330-900",'2026'!$D$4="CA",'2026'!$D$2=CO5),'2026DATA'!$H$5,"")</f>
        <v/>
      </c>
      <c r="CP8" s="518" t="str">
        <f>IF(AND(_6="A-330-900",'2026'!$D$4="CA",'2026'!$D$2=CP5),'2026DATA'!$I$5,"")</f>
        <v/>
      </c>
      <c r="CQ8" s="518" t="str">
        <f>IF(AND(_6="A-330-900",'2026'!$D$4="CA",'2026'!$D$2=CQ5),'2026DATA'!$J$5,"")</f>
        <v/>
      </c>
      <c r="CR8" s="518" t="str">
        <f>IF(AND(_6="A-330-900",'2026'!$D$4="CA",'2026'!$D$2=CR5),'2026DATA'!$K$5,"")</f>
        <v/>
      </c>
      <c r="CS8" s="518" t="str">
        <f>IF(AND(_6="A-330-900",'2026'!$D$4="CA",'2026'!$D$2=CS5),'2026DATA'!$L$5,"")</f>
        <v/>
      </c>
      <c r="CT8" s="518" t="str">
        <f>IF(AND(_6="A-330-900",'2026'!$D$4="CA",'2026'!$D$2=CT5),'2026DATA'!$M$5,"")</f>
        <v/>
      </c>
      <c r="CU8" s="520" t="str">
        <f>IF(AND(_6="A-330-900",'2026'!$D$4="CA",'2026'!$D$2=CU5),'2026DATA'!$N$5,"")</f>
        <v/>
      </c>
    </row>
    <row r="9" spans="1:99" x14ac:dyDescent="0.25">
      <c r="A9" s="987" t="s">
        <v>66</v>
      </c>
      <c r="B9" s="64" t="s">
        <v>61</v>
      </c>
      <c r="C9" s="84">
        <v>483.74</v>
      </c>
      <c r="D9" s="31">
        <v>480.09</v>
      </c>
      <c r="E9" s="31">
        <v>476.47</v>
      </c>
      <c r="F9" s="31">
        <v>472.87</v>
      </c>
      <c r="G9" s="31">
        <v>469.22</v>
      </c>
      <c r="H9" s="31">
        <v>465.64</v>
      </c>
      <c r="I9" s="31">
        <v>462</v>
      </c>
      <c r="J9" s="31">
        <v>458.4</v>
      </c>
      <c r="K9" s="31">
        <v>454.76</v>
      </c>
      <c r="L9" s="31">
        <v>451.12</v>
      </c>
      <c r="M9" s="31">
        <v>447.45</v>
      </c>
      <c r="N9" s="32">
        <v>443.85</v>
      </c>
      <c r="P9" s="940"/>
      <c r="Q9" s="13" t="s">
        <v>62</v>
      </c>
      <c r="R9" s="518" t="str">
        <f>IF(AND(_1="A-330-900",'2026'!$D$4="FO",'2026'!$D$2=R5),'2026DATA'!$C$6,"")</f>
        <v/>
      </c>
      <c r="S9" s="518" t="str">
        <f>IF(AND(_1="A-330-900",'2026'!$D$4="FO",'2026'!$D$2=S5),'2026DATA'!$D$6,"")</f>
        <v/>
      </c>
      <c r="T9" s="518" t="str">
        <f>IF(AND(_1="A-330-900",'2026'!$D$4="FO",'2026'!$D$2=T5),'2026DATA'!$E$6,"")</f>
        <v/>
      </c>
      <c r="U9" s="518" t="str">
        <f>IF(AND(_1="A-330-900",'2026'!$D$4="FO",'2026'!$D$2=U5),'2026DATA'!$F$6,"")</f>
        <v/>
      </c>
      <c r="V9" s="518" t="str">
        <f>IF(AND(_1="A-330-900",'2026'!$D$4="FO",'2026'!$D$2=V5),'2026DATA'!$G$6,"")</f>
        <v/>
      </c>
      <c r="W9" s="518" t="str">
        <f>IF(AND(_1="A-330-900",'2026'!$D$4="FO",'2026'!$D$2=W5),'2026DATA'!$H$6,"")</f>
        <v/>
      </c>
      <c r="X9" s="518" t="str">
        <f>IF(AND(_1="A-330-900",'2026'!$D$4="FO",'2026'!$D$2=X5),'2026DATA'!$I$6,"")</f>
        <v/>
      </c>
      <c r="Y9" s="518" t="str">
        <f>IF(AND(_1="A-330-900",'2026'!$D$4="FO",'2026'!$D$2=Y5),'2026DATA'!$J$6,"")</f>
        <v/>
      </c>
      <c r="Z9" s="518" t="str">
        <f>IF(AND(_1="A-330-900",'2026'!$D$4="FO",'2026'!$D$2=Z5),'2026DATA'!$K$6,"")</f>
        <v/>
      </c>
      <c r="AA9" s="518" t="str">
        <f>IF(AND(_1="A-330-900",'2026'!$D$4="FO",'2026'!$D$2=AA5),'2026DATA'!$L$6,"")</f>
        <v/>
      </c>
      <c r="AB9" s="518" t="str">
        <f>IF(AND(_1="A-330-900",'2026'!$D$4="FO",'2026'!$D$2=AB5),'2026DATA'!$M$6,"")</f>
        <v/>
      </c>
      <c r="AC9" s="520" t="str">
        <f>IF(AND(_1="A-330-900",'2026'!$D$4="FO",'2026'!$D$2=AC5),'2026DATA'!$N$6,"")</f>
        <v/>
      </c>
      <c r="AD9" s="940"/>
      <c r="AE9" s="13" t="s">
        <v>62</v>
      </c>
      <c r="AF9" s="518" t="str">
        <f>IF(AND(_2="A-330-900",'2026'!$D$4="FO",'2026'!$D$2=AF5),'2026DATA'!$C$6,"")</f>
        <v/>
      </c>
      <c r="AG9" s="518" t="str">
        <f>IF(AND(_2="A-330-900",'2026'!$D$4="FO",'2026'!$D$2=AG5),'2026DATA'!$D$6,"")</f>
        <v/>
      </c>
      <c r="AH9" s="518" t="str">
        <f>IF(AND(_2="A-330-900",'2026'!$D$4="FO",'2026'!$D$2=AH5),'2026DATA'!$E$6,"")</f>
        <v/>
      </c>
      <c r="AI9" s="518" t="str">
        <f>IF(AND(_2="A-330-900",'2026'!$D$4="FO",'2026'!$D$2=AI5),'2026DATA'!$F$6,"")</f>
        <v/>
      </c>
      <c r="AJ9" s="518" t="str">
        <f>IF(AND(_2="A-330-900",'2026'!$D$4="FO",'2026'!$D$2=AJ5),'2026DATA'!$G$6,"")</f>
        <v/>
      </c>
      <c r="AK9" s="518" t="str">
        <f>IF(AND(_2="A-330-900",'2026'!$D$4="FO",'2026'!$D$2=AK5),'2026DATA'!$H$6,"")</f>
        <v/>
      </c>
      <c r="AL9" s="518" t="str">
        <f>IF(AND(_2="A-330-900",'2026'!$D$4="FO",'2026'!$D$2=AL5),'2026DATA'!$I$6,"")</f>
        <v/>
      </c>
      <c r="AM9" s="518" t="str">
        <f>IF(AND(_2="A-330-900",'2026'!$D$4="FO",'2026'!$D$2=AM5),'2026DATA'!$J$6,"")</f>
        <v/>
      </c>
      <c r="AN9" s="518" t="str">
        <f>IF(AND(_2="A-330-900",'2026'!$D$4="FO",'2026'!$D$2=AN5),'2026DATA'!$K$6,"")</f>
        <v/>
      </c>
      <c r="AO9" s="518" t="str">
        <f>IF(AND(_2="A-330-900",'2026'!$D$4="FO",'2026'!$D$2=AO5),'2026DATA'!$L$6,"")</f>
        <v/>
      </c>
      <c r="AP9" s="518" t="str">
        <f>IF(AND(_2="A-330-900",'2026'!$D$4="FO",'2026'!$D$2=AP5),'2026DATA'!$M$6,"")</f>
        <v/>
      </c>
      <c r="AQ9" s="520" t="str">
        <f>IF(AND(_2="A-330-900",'2026'!$D$4="FO",'2026'!$D$2=AQ5),'2026DATA'!$N$6,"")</f>
        <v/>
      </c>
      <c r="AR9" s="940"/>
      <c r="AS9" s="13" t="s">
        <v>62</v>
      </c>
      <c r="AT9" s="518" t="str">
        <f>IF(AND(_3="A-330-900",'2026'!$D$4="FO",'2026'!$D$2=AT5),'2026DATA'!$C$6,"")</f>
        <v/>
      </c>
      <c r="AU9" s="518" t="str">
        <f>IF(AND(_3="A-330-900",'2026'!$D$4="FO",'2026'!$D$2=AU5),'2026DATA'!$D$6,"")</f>
        <v/>
      </c>
      <c r="AV9" s="518" t="str">
        <f>IF(AND(_3="A-330-900",'2026'!$D$4="FO",'2026'!$D$2=AV5),'2026DATA'!$E$6,"")</f>
        <v/>
      </c>
      <c r="AW9" s="518" t="str">
        <f>IF(AND(_3="A-330-900",'2026'!$D$4="FO",'2026'!$D$2=AW5),'2026DATA'!$F$6,"")</f>
        <v/>
      </c>
      <c r="AX9" s="518" t="str">
        <f>IF(AND(_3="A-330-900",'2026'!$D$4="FO",'2026'!$D$2=AX5),'2026DATA'!$G$6,"")</f>
        <v/>
      </c>
      <c r="AY9" s="518" t="str">
        <f>IF(AND(_3="A-330-900",'2026'!$D$4="FO",'2026'!$D$2=AY5),'2026DATA'!$H$6,"")</f>
        <v/>
      </c>
      <c r="AZ9" s="518" t="str">
        <f>IF(AND(_3="A-330-900",'2026'!$D$4="FO",'2026'!$D$2=AZ5),'2026DATA'!$I$6,"")</f>
        <v/>
      </c>
      <c r="BA9" s="518" t="str">
        <f>IF(AND(_3="A-330-900",'2026'!$D$4="FO",'2026'!$D$2=BA5),'2026DATA'!$J$6,"")</f>
        <v/>
      </c>
      <c r="BB9" s="518" t="str">
        <f>IF(AND(_3="A-330-900",'2026'!$D$4="FO",'2026'!$D$2=BB5),'2026DATA'!$K$6,"")</f>
        <v/>
      </c>
      <c r="BC9" s="518" t="str">
        <f>IF(AND(_3="A-330-900",'2026'!$D$4="FO",'2026'!$D$2=BC5),'2026DATA'!$L$6,"")</f>
        <v/>
      </c>
      <c r="BD9" s="518" t="str">
        <f>IF(AND(_3="A-330-900",'2026'!$D$4="FO",'2026'!$D$2=BD5),'2026DATA'!$M$6,"")</f>
        <v/>
      </c>
      <c r="BE9" s="520" t="str">
        <f>IF(AND(_3="A-330-900",'2026'!$D$4="FO",'2026'!$D$2=BE5),'2026DATA'!$N$6,"")</f>
        <v/>
      </c>
      <c r="BF9" s="940"/>
      <c r="BG9" s="13" t="s">
        <v>62</v>
      </c>
      <c r="BH9" s="518" t="str">
        <f>IF(AND(_4="A-330-900",'2026'!$D$4="FO",'2026'!$D$2=BH5),'2026DATA'!$C$6,"")</f>
        <v/>
      </c>
      <c r="BI9" s="518" t="str">
        <f>IF(AND(_4="A-330-900",'2026'!$D$4="FO",'2026'!$D$2=BI5),'2026DATA'!$D$6,"")</f>
        <v/>
      </c>
      <c r="BJ9" s="518" t="str">
        <f>IF(AND(_4="A-330-900",'2026'!$D$4="FO",'2026'!$D$2=BJ5),'2026DATA'!$E$6,"")</f>
        <v/>
      </c>
      <c r="BK9" s="518" t="str">
        <f>IF(AND(_4="A-330-900",'2026'!$D$4="FO",'2026'!$D$2=BK5),'2026DATA'!$F$6,"")</f>
        <v/>
      </c>
      <c r="BL9" s="518" t="str">
        <f>IF(AND(_4="A-330-900",'2026'!$D$4="FO",'2026'!$D$2=BL5),'2026DATA'!$G$6,"")</f>
        <v/>
      </c>
      <c r="BM9" s="518" t="str">
        <f>IF(AND(_4="A-330-900",'2026'!$D$4="FO",'2026'!$D$2=BM5),'2026DATA'!$H$6,"")</f>
        <v/>
      </c>
      <c r="BN9" s="518" t="str">
        <f>IF(AND(_4="A-330-900",'2026'!$D$4="FO",'2026'!$D$2=BN5),'2026DATA'!$I$6,"")</f>
        <v/>
      </c>
      <c r="BO9" s="518" t="str">
        <f>IF(AND(_4="A-330-900",'2026'!$D$4="FO",'2026'!$D$2=BO5),'2026DATA'!$J$6,"")</f>
        <v/>
      </c>
      <c r="BP9" s="518" t="str">
        <f>IF(AND(_4="A-330-900",'2026'!$D$4="FO",'2026'!$D$2=BP5),'2026DATA'!$K$6,"")</f>
        <v/>
      </c>
      <c r="BQ9" s="518" t="str">
        <f>IF(AND(_4="A-330-900",'2026'!$D$4="FO",'2026'!$D$2=BQ5),'2026DATA'!$L$6,"")</f>
        <v/>
      </c>
      <c r="BR9" s="518" t="str">
        <f>IF(AND(_4="A-330-900",'2026'!$D$4="FO",'2026'!$D$2=BR5),'2026DATA'!$M$6,"")</f>
        <v/>
      </c>
      <c r="BS9" s="520" t="str">
        <f>IF(AND(_4="A-330-900",'2026'!$D$4="FO",'2026'!$D$2=BS5),'2026DATA'!$N$6,"")</f>
        <v/>
      </c>
      <c r="BT9" s="940"/>
      <c r="BU9" s="13" t="s">
        <v>62</v>
      </c>
      <c r="BV9" s="518" t="str">
        <f>IF(AND(_5="A-330-900",'2026'!$D$4="FO",'2026'!$D$2=BV5),'2026DATA'!$C$6,"")</f>
        <v/>
      </c>
      <c r="BW9" s="518" t="str">
        <f>IF(AND(_5="A-330-900",'2026'!$D$4="FO",'2026'!$D$2=BW5),'2026DATA'!$D$6,"")</f>
        <v/>
      </c>
      <c r="BX9" s="518" t="str">
        <f>IF(AND(_5="A-330-900",'2026'!$D$4="FO",'2026'!$D$2=BX5),'2026DATA'!$E$6,"")</f>
        <v/>
      </c>
      <c r="BY9" s="518" t="str">
        <f>IF(AND(_5="A-330-900",'2026'!$D$4="FO",'2026'!$D$2=BY5),'2026DATA'!$F$6,"")</f>
        <v/>
      </c>
      <c r="BZ9" s="518" t="str">
        <f>IF(AND(_5="A-330-900",'2026'!$D$4="FO",'2026'!$D$2=BZ5),'2026DATA'!$G$6,"")</f>
        <v/>
      </c>
      <c r="CA9" s="518" t="str">
        <f>IF(AND(_5="A-330-900",'2026'!$D$4="FO",'2026'!$D$2=CA5),'2026DATA'!$H$6,"")</f>
        <v/>
      </c>
      <c r="CB9" s="518" t="str">
        <f>IF(AND(_5="A-330-900",'2026'!$D$4="FO",'2026'!$D$2=CB5),'2026DATA'!$I$6,"")</f>
        <v/>
      </c>
      <c r="CC9" s="518" t="str">
        <f>IF(AND(_5="A-330-900",'2026'!$D$4="FO",'2026'!$D$2=CC5),'2026DATA'!$J$6,"")</f>
        <v/>
      </c>
      <c r="CD9" s="518" t="str">
        <f>IF(AND(_5="A-330-900",'2026'!$D$4="FO",'2026'!$D$2=CD5),'2026DATA'!$K$6,"")</f>
        <v/>
      </c>
      <c r="CE9" s="518" t="str">
        <f>IF(AND(_5="A-330-900",'2026'!$D$4="FO",'2026'!$D$2=CE5),'2026DATA'!$L$6,"")</f>
        <v/>
      </c>
      <c r="CF9" s="518" t="str">
        <f>IF(AND(_5="A-330-900",'2026'!$D$4="FO",'2026'!$D$2=CF5),'2026DATA'!$M$6,"")</f>
        <v/>
      </c>
      <c r="CG9" s="520" t="str">
        <f>IF(AND(_5="A-330-900",'2026'!$D$4="FO",'2026'!$D$2=CG5),'2026DATA'!$N$6,"")</f>
        <v/>
      </c>
      <c r="CH9" s="940"/>
      <c r="CI9" s="13" t="s">
        <v>62</v>
      </c>
      <c r="CJ9" s="518" t="str">
        <f>IF(AND(_6="A-330-900",'2026'!$D$4="FO",'2026'!$D$2=CJ5),'2026DATA'!$C$6,"")</f>
        <v/>
      </c>
      <c r="CK9" s="518" t="str">
        <f>IF(AND(_6="A-330-900",'2026'!$D$4="FO",'2026'!$D$2=CK5),'2026DATA'!$D$6,"")</f>
        <v/>
      </c>
      <c r="CL9" s="518" t="str">
        <f>IF(AND(_6="A-330-900",'2026'!$D$4="FO",'2026'!$D$2=CL5),'2026DATA'!$E$6,"")</f>
        <v/>
      </c>
      <c r="CM9" s="518" t="str">
        <f>IF(AND(_6="A-330-900",'2026'!$D$4="FO",'2026'!$D$2=CM5),'2026DATA'!$F$6,"")</f>
        <v/>
      </c>
      <c r="CN9" s="518" t="str">
        <f>IF(AND(_6="A-330-900",'2026'!$D$4="FO",'2026'!$D$2=CN5),'2026DATA'!$G$6,"")</f>
        <v/>
      </c>
      <c r="CO9" s="518" t="str">
        <f>IF(AND(_6="A-330-900",'2026'!$D$4="FO",'2026'!$D$2=CO5),'2026DATA'!$H$6,"")</f>
        <v/>
      </c>
      <c r="CP9" s="518" t="str">
        <f>IF(AND(_6="A-330-900",'2026'!$D$4="FO",'2026'!$D$2=CP5),'2026DATA'!$I$6,"")</f>
        <v/>
      </c>
      <c r="CQ9" s="518" t="str">
        <f>IF(AND(_6="A-330-900",'2026'!$D$4="FO",'2026'!$D$2=CQ5),'2026DATA'!$J$6,"")</f>
        <v/>
      </c>
      <c r="CR9" s="518" t="str">
        <f>IF(AND(_6="A-330-900",'2026'!$D$4="FO",'2026'!$D$2=CR5),'2026DATA'!$K$6,"")</f>
        <v/>
      </c>
      <c r="CS9" s="518" t="str">
        <f>IF(AND(_6="A-330-900",'2026'!$D$4="FO",'2026'!$D$2=CS5),'2026DATA'!$L$6,"")</f>
        <v/>
      </c>
      <c r="CT9" s="518" t="str">
        <f>IF(AND(_6="A-330-900",'2026'!$D$4="FO",'2026'!$D$2=CT5),'2026DATA'!$M$6,"")</f>
        <v/>
      </c>
      <c r="CU9" s="520" t="str">
        <f>IF(AND(_6="A-330-900",'2026'!$D$4="FO",'2026'!$D$2=CU5),'2026DATA'!$N$6,"")</f>
        <v/>
      </c>
    </row>
    <row r="10" spans="1:99" x14ac:dyDescent="0.25">
      <c r="A10" s="987"/>
      <c r="B10" s="64" t="s">
        <v>62</v>
      </c>
      <c r="C10" s="84">
        <v>330.44</v>
      </c>
      <c r="D10" s="31">
        <v>327.42</v>
      </c>
      <c r="E10" s="31">
        <v>324.52</v>
      </c>
      <c r="F10" s="31">
        <v>320.17</v>
      </c>
      <c r="G10" s="31">
        <v>316.72000000000003</v>
      </c>
      <c r="H10" s="31">
        <v>309.61</v>
      </c>
      <c r="I10" s="31">
        <v>301.24</v>
      </c>
      <c r="J10" s="31">
        <v>293.79000000000002</v>
      </c>
      <c r="K10" s="31">
        <v>286.94</v>
      </c>
      <c r="L10" s="31">
        <v>280.14999999999998</v>
      </c>
      <c r="M10" s="31">
        <v>239.41</v>
      </c>
      <c r="N10" s="32">
        <v>125.52</v>
      </c>
      <c r="P10" s="940" t="s">
        <v>64</v>
      </c>
      <c r="Q10" s="13" t="s">
        <v>61</v>
      </c>
      <c r="R10" s="518" t="str">
        <f>IF(AND(_1="A-330-300",'2026'!$D$4="CA",'2026'!$D$2=R5),'2026DATA'!$C$7,"")</f>
        <v/>
      </c>
      <c r="S10" s="518" t="str">
        <f>IF(AND(_1="A-330-300",'2026'!$D$4="CA",'2026'!$D$2=S5),'2026DATA'!$D$7,"")</f>
        <v/>
      </c>
      <c r="T10" s="518" t="str">
        <f>IF(AND(_1="A-330-300",'2026'!$D$4="CA",'2026'!$D$2=T5),'2026DATA'!$E$7,"")</f>
        <v/>
      </c>
      <c r="U10" s="518" t="str">
        <f>IF(AND(_1="A-330-300",'2026'!$D$4="CA",'2026'!$D$2=U5),'2026DATA'!$F$7,"")</f>
        <v/>
      </c>
      <c r="V10" s="518" t="str">
        <f>IF(AND(_1="A-330-300",'2026'!$D$4="CA",'2026'!$D$2=V5),'2026DATA'!$G$7,"")</f>
        <v/>
      </c>
      <c r="W10" s="518" t="str">
        <f>IF(AND(_1="A-330-300",'2026'!$D$4="CA",'2026'!$D$2=W5),'2026DATA'!$H$7,"")</f>
        <v/>
      </c>
      <c r="X10" s="518" t="str">
        <f>IF(AND(_1="A-330-300",'2026'!$D$4="CA",'2026'!$D$2=X5),'2026DATA'!$I$7,"")</f>
        <v/>
      </c>
      <c r="Y10" s="518" t="str">
        <f>IF(AND(_1="A-330-300",'2026'!$D$4="CA",'2026'!$D$2=Y5),'2026DATA'!$J$7,"")</f>
        <v/>
      </c>
      <c r="Z10" s="518" t="str">
        <f>IF(AND(_1="A-330-300",'2026'!$D$4="CA",'2026'!$D$2=Z5),'2026DATA'!$K$7,"")</f>
        <v/>
      </c>
      <c r="AA10" s="518" t="str">
        <f>IF(AND(_1="A-330-300",'2026'!$D$4="CA",'2026'!$D$2=AA5),'2026DATA'!$L$7,"")</f>
        <v/>
      </c>
      <c r="AB10" s="518" t="str">
        <f>IF(AND(_1="A-330-300",'2026'!$D$4="CA",'2026'!$D$2=AB5),'2026DATA'!$M$7,"")</f>
        <v/>
      </c>
      <c r="AC10" s="520" t="str">
        <f>IF(AND(_1="A-330-300",'2026'!$D$4="CA",'2026'!$D$2=AC5),'2026DATA'!$N$7,"")</f>
        <v/>
      </c>
      <c r="AD10" s="940" t="s">
        <v>64</v>
      </c>
      <c r="AE10" s="13" t="s">
        <v>61</v>
      </c>
      <c r="AF10" s="518" t="str">
        <f>IF(AND(_2="A-330-300",'2026'!$D$4="CA",'2026'!$D$2=AF5),'2026DATA'!$C$7,"")</f>
        <v/>
      </c>
      <c r="AG10" s="518" t="str">
        <f>IF(AND(_2="A-330-300",'2026'!$D$4="CA",'2026'!$D$2=AG5),'2026DATA'!$D$7,"")</f>
        <v/>
      </c>
      <c r="AH10" s="518" t="str">
        <f>IF(AND(_2="A-330-300",'2026'!$D$4="CA",'2026'!$D$2=AH5),'2026DATA'!$E$7,"")</f>
        <v/>
      </c>
      <c r="AI10" s="518" t="str">
        <f>IF(AND(_2="A-330-300",'2026'!$D$4="CA",'2026'!$D$2=AI5),'2026DATA'!$F$7,"")</f>
        <v/>
      </c>
      <c r="AJ10" s="518" t="str">
        <f>IF(AND(_2="A-330-300",'2026'!$D$4="CA",'2026'!$D$2=AJ5),'2026DATA'!$G$7,"")</f>
        <v/>
      </c>
      <c r="AK10" s="518" t="str">
        <f>IF(AND(_2="A-330-300",'2026'!$D$4="CA",'2026'!$D$2=AK5),'2026DATA'!$H$7,"")</f>
        <v/>
      </c>
      <c r="AL10" s="518" t="str">
        <f>IF(AND(_2="A-330-300",'2026'!$D$4="CA",'2026'!$D$2=AL5),'2026DATA'!$I$7,"")</f>
        <v/>
      </c>
      <c r="AM10" s="518" t="str">
        <f>IF(AND(_2="A-330-300",'2026'!$D$4="CA",'2026'!$D$2=AM5),'2026DATA'!$J$7,"")</f>
        <v/>
      </c>
      <c r="AN10" s="518" t="str">
        <f>IF(AND(_2="A-330-300",'2026'!$D$4="CA",'2026'!$D$2=AN5),'2026DATA'!$K$7,"")</f>
        <v/>
      </c>
      <c r="AO10" s="518" t="str">
        <f>IF(AND(_2="A-330-300",'2026'!$D$4="CA",'2026'!$D$2=AO5),'2026DATA'!$L$7,"")</f>
        <v/>
      </c>
      <c r="AP10" s="518" t="str">
        <f>IF(AND(_2="A-330-300",'2026'!$D$4="CA",'2026'!$D$2=AP5),'2026DATA'!$M$7,"")</f>
        <v/>
      </c>
      <c r="AQ10" s="520" t="str">
        <f>IF(AND(_2="A-330-300",'2026'!$D$4="CA",'2026'!$D$2=AQ5),'2026DATA'!$N$7,"")</f>
        <v/>
      </c>
      <c r="AR10" s="940" t="s">
        <v>64</v>
      </c>
      <c r="AS10" s="13" t="s">
        <v>61</v>
      </c>
      <c r="AT10" s="518" t="str">
        <f>IF(AND(_3="A-330-300",'2026'!$D$4="CA",'2026'!$D$2=AT5),'2026DATA'!$C$7,"")</f>
        <v/>
      </c>
      <c r="AU10" s="518" t="str">
        <f>IF(AND(_3="A-330-300",'2026'!$D$4="CA",'2026'!$D$2=AU5),'2026DATA'!$D$7,"")</f>
        <v/>
      </c>
      <c r="AV10" s="518" t="str">
        <f>IF(AND(_3="A-330-300",'2026'!$D$4="CA",'2026'!$D$2=AV5),'2026DATA'!$E$7,"")</f>
        <v/>
      </c>
      <c r="AW10" s="518" t="str">
        <f>IF(AND(_3="A-330-300",'2026'!$D$4="CA",'2026'!$D$2=AW5),'2026DATA'!$F$7,"")</f>
        <v/>
      </c>
      <c r="AX10" s="518" t="str">
        <f>IF(AND(_3="A-330-300",'2026'!$D$4="CA",'2026'!$D$2=AX5),'2026DATA'!$G$7,"")</f>
        <v/>
      </c>
      <c r="AY10" s="518" t="str">
        <f>IF(AND(_3="A-330-300",'2026'!$D$4="CA",'2026'!$D$2=AY5),'2026DATA'!$H$7,"")</f>
        <v/>
      </c>
      <c r="AZ10" s="518" t="str">
        <f>IF(AND(_3="A-330-300",'2026'!$D$4="CA",'2026'!$D$2=AZ5),'2026DATA'!$I$7,"")</f>
        <v/>
      </c>
      <c r="BA10" s="518" t="str">
        <f>IF(AND(_3="A-330-300",'2026'!$D$4="CA",'2026'!$D$2=BA5),'2026DATA'!$J$7,"")</f>
        <v/>
      </c>
      <c r="BB10" s="518" t="str">
        <f>IF(AND(_3="A-330-300",'2026'!$D$4="CA",'2026'!$D$2=BB5),'2026DATA'!$K$7,"")</f>
        <v/>
      </c>
      <c r="BC10" s="518" t="str">
        <f>IF(AND(_3="A-330-300",'2026'!$D$4="CA",'2026'!$D$2=BC5),'2026DATA'!$L$7,"")</f>
        <v/>
      </c>
      <c r="BD10" s="518" t="str">
        <f>IF(AND(_3="A-330-300",'2026'!$D$4="CA",'2026'!$D$2=BD5),'2026DATA'!$M$7,"")</f>
        <v/>
      </c>
      <c r="BE10" s="520" t="str">
        <f>IF(AND(_3="A-330-300",'2026'!$D$4="CA",'2026'!$D$2=BE5),'2026DATA'!$N$7,"")</f>
        <v/>
      </c>
      <c r="BF10" s="940" t="s">
        <v>64</v>
      </c>
      <c r="BG10" s="13" t="s">
        <v>61</v>
      </c>
      <c r="BH10" s="518" t="str">
        <f>IF(AND(_4="A-330-300",'2026'!$D$4="CA",'2026'!$D$2=BH5),'2026DATA'!$C$7,"")</f>
        <v/>
      </c>
      <c r="BI10" s="518" t="str">
        <f>IF(AND(_4="A-330-300",'2026'!$D$4="CA",'2026'!$D$2=BI5),'2026DATA'!$D$7,"")</f>
        <v/>
      </c>
      <c r="BJ10" s="518" t="str">
        <f>IF(AND(_4="A-330-300",'2026'!$D$4="CA",'2026'!$D$2=BJ5),'2026DATA'!$E$7,"")</f>
        <v/>
      </c>
      <c r="BK10" s="518" t="str">
        <f>IF(AND(_4="A-330-300",'2026'!$D$4="CA",'2026'!$D$2=BK5),'2026DATA'!$F$7,"")</f>
        <v/>
      </c>
      <c r="BL10" s="518" t="str">
        <f>IF(AND(_4="A-330-300",'2026'!$D$4="CA",'2026'!$D$2=BL5),'2026DATA'!$G$7,"")</f>
        <v/>
      </c>
      <c r="BM10" s="518" t="str">
        <f>IF(AND(_4="A-330-300",'2026'!$D$4="CA",'2026'!$D$2=BM5),'2026DATA'!$H$7,"")</f>
        <v/>
      </c>
      <c r="BN10" s="518" t="str">
        <f>IF(AND(_4="A-330-300",'2026'!$D$4="CA",'2026'!$D$2=BN5),'2026DATA'!$I$7,"")</f>
        <v/>
      </c>
      <c r="BO10" s="518" t="str">
        <f>IF(AND(_4="A-330-300",'2026'!$D$4="CA",'2026'!$D$2=BO5),'2026DATA'!$J$7,"")</f>
        <v/>
      </c>
      <c r="BP10" s="518" t="str">
        <f>IF(AND(_4="A-330-300",'2026'!$D$4="CA",'2026'!$D$2=BP5),'2026DATA'!$K$7,"")</f>
        <v/>
      </c>
      <c r="BQ10" s="518" t="str">
        <f>IF(AND(_4="A-330-300",'2026'!$D$4="CA",'2026'!$D$2=BQ5),'2026DATA'!$L$7,"")</f>
        <v/>
      </c>
      <c r="BR10" s="518" t="str">
        <f>IF(AND(_4="A-330-300",'2026'!$D$4="CA",'2026'!$D$2=BR5),'2026DATA'!$M$7,"")</f>
        <v/>
      </c>
      <c r="BS10" s="520" t="str">
        <f>IF(AND(_4="A-330-300",'2026'!$D$4="CA",'2026'!$D$2=BS5),'2026DATA'!$N$7,"")</f>
        <v/>
      </c>
      <c r="BT10" s="940" t="s">
        <v>64</v>
      </c>
      <c r="BU10" s="13" t="s">
        <v>61</v>
      </c>
      <c r="BV10" s="518" t="str">
        <f>IF(AND(_5="A-330-300",'2026'!$D$4="CA",'2026'!$D$2=BV5),'2026DATA'!$C$7,"")</f>
        <v/>
      </c>
      <c r="BW10" s="518" t="str">
        <f>IF(AND(_5="A-330-300",'2026'!$D$4="CA",'2026'!$D$2=BW5),'2026DATA'!$D$7,"")</f>
        <v/>
      </c>
      <c r="BX10" s="518" t="str">
        <f>IF(AND(_5="A-330-300",'2026'!$D$4="CA",'2026'!$D$2=BX5),'2026DATA'!$E$7,"")</f>
        <v/>
      </c>
      <c r="BY10" s="518" t="str">
        <f>IF(AND(_5="A-330-300",'2026'!$D$4="CA",'2026'!$D$2=BY5),'2026DATA'!$F$7,"")</f>
        <v/>
      </c>
      <c r="BZ10" s="518" t="str">
        <f>IF(AND(_5="A-330-300",'2026'!$D$4="CA",'2026'!$D$2=BZ5),'2026DATA'!$G$7,"")</f>
        <v/>
      </c>
      <c r="CA10" s="518" t="str">
        <f>IF(AND(_5="A-330-300",'2026'!$D$4="CA",'2026'!$D$2=CA5),'2026DATA'!$H$7,"")</f>
        <v/>
      </c>
      <c r="CB10" s="518" t="str">
        <f>IF(AND(_5="A-330-300",'2026'!$D$4="CA",'2026'!$D$2=CB5),'2026DATA'!$I$7,"")</f>
        <v/>
      </c>
      <c r="CC10" s="518" t="str">
        <f>IF(AND(_5="A-330-300",'2026'!$D$4="CA",'2026'!$D$2=CC5),'2026DATA'!$J$7,"")</f>
        <v/>
      </c>
      <c r="CD10" s="518" t="str">
        <f>IF(AND(_5="A-330-300",'2026'!$D$4="CA",'2026'!$D$2=CD5),'2026DATA'!$K$7,"")</f>
        <v/>
      </c>
      <c r="CE10" s="518" t="str">
        <f>IF(AND(_5="A-330-300",'2026'!$D$4="CA",'2026'!$D$2=CE5),'2026DATA'!$L$7,"")</f>
        <v/>
      </c>
      <c r="CF10" s="518" t="str">
        <f>IF(AND(_5="A-330-300",'2026'!$D$4="CA",'2026'!$D$2=CF5),'2026DATA'!$M$7,"")</f>
        <v/>
      </c>
      <c r="CG10" s="520" t="str">
        <f>IF(AND(_5="A-330-300",'2026'!$D$4="CA",'2026'!$D$2=CG5),'2026DATA'!$N$7,"")</f>
        <v/>
      </c>
      <c r="CH10" s="940" t="s">
        <v>64</v>
      </c>
      <c r="CI10" s="13" t="s">
        <v>61</v>
      </c>
      <c r="CJ10" s="518" t="str">
        <f>IF(AND(_6="A-330-300",'2026'!$D$4="CA",'2026'!$D$2=CJ5),'2026DATA'!$C$7,"")</f>
        <v/>
      </c>
      <c r="CK10" s="518" t="str">
        <f>IF(AND(_6="A-330-300",'2026'!$D$4="CA",'2026'!$D$2=CK5),'2026DATA'!$D$7,"")</f>
        <v/>
      </c>
      <c r="CL10" s="518" t="str">
        <f>IF(AND(_6="A-330-300",'2026'!$D$4="CA",'2026'!$D$2=CL5),'2026DATA'!$E$7,"")</f>
        <v/>
      </c>
      <c r="CM10" s="518" t="str">
        <f>IF(AND(_6="A-330-300",'2026'!$D$4="CA",'2026'!$D$2=CM5),'2026DATA'!$F$7,"")</f>
        <v/>
      </c>
      <c r="CN10" s="518" t="str">
        <f>IF(AND(_6="A-330-300",'2026'!$D$4="CA",'2026'!$D$2=CN5),'2026DATA'!$G$7,"")</f>
        <v/>
      </c>
      <c r="CO10" s="518" t="str">
        <f>IF(AND(_6="A-330-300",'2026'!$D$4="CA",'2026'!$D$2=CO5),'2026DATA'!$H$7,"")</f>
        <v/>
      </c>
      <c r="CP10" s="518" t="str">
        <f>IF(AND(_6="A-330-300",'2026'!$D$4="CA",'2026'!$D$2=CP5),'2026DATA'!$I$7,"")</f>
        <v/>
      </c>
      <c r="CQ10" s="518" t="str">
        <f>IF(AND(_6="A-330-300",'2026'!$D$4="CA",'2026'!$D$2=CQ5),'2026DATA'!$J$7,"")</f>
        <v/>
      </c>
      <c r="CR10" s="518" t="str">
        <f>IF(AND(_6="A-330-300",'2026'!$D$4="CA",'2026'!$D$2=CR5),'2026DATA'!$K$7,"")</f>
        <v/>
      </c>
      <c r="CS10" s="518" t="str">
        <f>IF(AND(_6="A-330-300",'2026'!$D$4="CA",'2026'!$D$2=CS5),'2026DATA'!$L$7,"")</f>
        <v/>
      </c>
      <c r="CT10" s="518" t="str">
        <f>IF(AND(_6="A-330-300",'2026'!$D$4="CA",'2026'!$D$2=CT5),'2026DATA'!$M$7,"")</f>
        <v/>
      </c>
      <c r="CU10" s="520" t="str">
        <f>IF(AND(_6="A-330-300",'2026'!$D$4="CA",'2026'!$D$2=CU5),'2026DATA'!$N$7,"")</f>
        <v/>
      </c>
    </row>
    <row r="11" spans="1:99" x14ac:dyDescent="0.25">
      <c r="A11" s="987" t="s">
        <v>42</v>
      </c>
      <c r="B11" s="64" t="s">
        <v>61</v>
      </c>
      <c r="C11" s="84">
        <v>483.74</v>
      </c>
      <c r="D11" s="31">
        <v>480.09</v>
      </c>
      <c r="E11" s="31">
        <v>476.47</v>
      </c>
      <c r="F11" s="31">
        <v>472.87</v>
      </c>
      <c r="G11" s="31">
        <v>469.22</v>
      </c>
      <c r="H11" s="31">
        <v>465.64</v>
      </c>
      <c r="I11" s="31">
        <v>462</v>
      </c>
      <c r="J11" s="31">
        <v>458.4</v>
      </c>
      <c r="K11" s="31">
        <v>454.76</v>
      </c>
      <c r="L11" s="31">
        <v>451.12</v>
      </c>
      <c r="M11" s="31">
        <v>447.45</v>
      </c>
      <c r="N11" s="32">
        <v>443.85</v>
      </c>
      <c r="P11" s="940"/>
      <c r="Q11" s="13" t="s">
        <v>62</v>
      </c>
      <c r="R11" s="518" t="str">
        <f>IF(AND(_1="A-330-300",'2026'!$D$4="FO",'2026'!$D$2=R5),'2026DATA'!$C$8,"")</f>
        <v/>
      </c>
      <c r="S11" s="518" t="str">
        <f>IF(AND(_1="A-330-300",'2026'!$D$4="FO",'2026'!$D$2=S5),'2026DATA'!$D$8,"")</f>
        <v/>
      </c>
      <c r="T11" s="518" t="str">
        <f>IF(AND(_1="A-330-300",'2026'!$D$4="FO",'2026'!$D$2=T5),'2026DATA'!$E$8,"")</f>
        <v/>
      </c>
      <c r="U11" s="518" t="str">
        <f>IF(AND(_1="A-330-300",'2026'!$D$4="FO",'2026'!$D$2=U5),'2026DATA'!$F$8,"")</f>
        <v/>
      </c>
      <c r="V11" s="518" t="str">
        <f>IF(AND(_1="A-330-300",'2026'!$D$4="FO",'2026'!$D$2=V5),'2026DATA'!$G$8,"")</f>
        <v/>
      </c>
      <c r="W11" s="518" t="str">
        <f>IF(AND(_1="A-330-300",'2026'!$D$4="FO",'2026'!$D$2=W5),'2026DATA'!$H$8,"")</f>
        <v/>
      </c>
      <c r="X11" s="518" t="str">
        <f>IF(AND(_1="A-330-300",'2026'!$D$4="FO",'2026'!$D$2=X5),'2026DATA'!$I$8,"")</f>
        <v/>
      </c>
      <c r="Y11" s="518" t="str">
        <f>IF(AND(_1="A-330-300",'2026'!$D$4="FO",'2026'!$D$2=Y5),'2026DATA'!$J$8,"")</f>
        <v/>
      </c>
      <c r="Z11" s="518" t="str">
        <f>IF(AND(_1="A-330-300",'2026'!$D$4="FO",'2026'!$D$2=Z5),'2026DATA'!$K$8,"")</f>
        <v/>
      </c>
      <c r="AA11" s="518" t="str">
        <f>IF(AND(_1="A-330-300",'2026'!$D$4="FO",'2026'!$D$2=AA5),'2026DATA'!$L$8,"")</f>
        <v/>
      </c>
      <c r="AB11" s="518" t="str">
        <f>IF(AND(_1="A-330-300",'2026'!$D$4="FO",'2026'!$D$2=AB5),'2026DATA'!$M$8,"")</f>
        <v/>
      </c>
      <c r="AC11" s="520" t="str">
        <f>IF(AND(_1="A-330-300",'2026'!$D$4="FO",'2026'!$D$2=AC5),'2026DATA'!$N$8,"")</f>
        <v/>
      </c>
      <c r="AD11" s="940"/>
      <c r="AE11" s="13" t="s">
        <v>62</v>
      </c>
      <c r="AF11" s="518" t="str">
        <f>IF(AND(_2="A-330-300",'2026'!$D$4="FO",'2026'!$D$2=AF5),'2026DATA'!$C$8,"")</f>
        <v/>
      </c>
      <c r="AG11" s="518" t="str">
        <f>IF(AND(_2="A-330-300",'2026'!$D$4="FO",'2026'!$D$2=AG5),'2026DATA'!$D$8,"")</f>
        <v/>
      </c>
      <c r="AH11" s="518" t="str">
        <f>IF(AND(_2="A-330-300",'2026'!$D$4="FO",'2026'!$D$2=AH5),'2026DATA'!$E$8,"")</f>
        <v/>
      </c>
      <c r="AI11" s="518" t="str">
        <f>IF(AND(_2="A-330-300",'2026'!$D$4="FO",'2026'!$D$2=AI5),'2026DATA'!$F$8,"")</f>
        <v/>
      </c>
      <c r="AJ11" s="518" t="str">
        <f>IF(AND(_2="A-330-300",'2026'!$D$4="FO",'2026'!$D$2=AJ5),'2026DATA'!$G$8,"")</f>
        <v/>
      </c>
      <c r="AK11" s="518" t="str">
        <f>IF(AND(_2="A-330-300",'2026'!$D$4="FO",'2026'!$D$2=AK5),'2026DATA'!$H$8,"")</f>
        <v/>
      </c>
      <c r="AL11" s="518" t="str">
        <f>IF(AND(_2="A-330-300",'2026'!$D$4="FO",'2026'!$D$2=AL5),'2026DATA'!$I$8,"")</f>
        <v/>
      </c>
      <c r="AM11" s="518" t="str">
        <f>IF(AND(_2="A-330-300",'2026'!$D$4="FO",'2026'!$D$2=AM5),'2026DATA'!$J$8,"")</f>
        <v/>
      </c>
      <c r="AN11" s="518" t="str">
        <f>IF(AND(_2="A-330-300",'2026'!$D$4="FO",'2026'!$D$2=AN5),'2026DATA'!$K$8,"")</f>
        <v/>
      </c>
      <c r="AO11" s="518" t="str">
        <f>IF(AND(_2="A-330-300",'2026'!$D$4="FO",'2026'!$D$2=AO5),'2026DATA'!$L$8,"")</f>
        <v/>
      </c>
      <c r="AP11" s="518" t="str">
        <f>IF(AND(_2="A-330-300",'2026'!$D$4="FO",'2026'!$D$2=AP5),'2026DATA'!$M$8,"")</f>
        <v/>
      </c>
      <c r="AQ11" s="520" t="str">
        <f>IF(AND(_2="A-330-300",'2026'!$D$4="FO",'2026'!$D$2=AQ5),'2026DATA'!$N$8,"")</f>
        <v/>
      </c>
      <c r="AR11" s="940"/>
      <c r="AS11" s="13" t="s">
        <v>62</v>
      </c>
      <c r="AT11" s="518" t="str">
        <f>IF(AND(_3="A-330-300",'2026'!$D$4="FO",'2026'!$D$2=AT5),'2026DATA'!$C$8,"")</f>
        <v/>
      </c>
      <c r="AU11" s="518" t="str">
        <f>IF(AND(_3="A-330-300",'2026'!$D$4="FO",'2026'!$D$2=AU5),'2026DATA'!$D$8,"")</f>
        <v/>
      </c>
      <c r="AV11" s="518" t="str">
        <f>IF(AND(_3="A-330-300",'2026'!$D$4="FO",'2026'!$D$2=AV5),'2026DATA'!$E$8,"")</f>
        <v/>
      </c>
      <c r="AW11" s="518" t="str">
        <f>IF(AND(_3="A-330-300",'2026'!$D$4="FO",'2026'!$D$2=AW5),'2026DATA'!$F$8,"")</f>
        <v/>
      </c>
      <c r="AX11" s="518" t="str">
        <f>IF(AND(_3="A-330-300",'2026'!$D$4="FO",'2026'!$D$2=AX5),'2026DATA'!$G$8,"")</f>
        <v/>
      </c>
      <c r="AY11" s="518" t="str">
        <f>IF(AND(_3="A-330-300",'2026'!$D$4="FO",'2026'!$D$2=AY5),'2026DATA'!$H$8,"")</f>
        <v/>
      </c>
      <c r="AZ11" s="518" t="str">
        <f>IF(AND(_3="A-330-300",'2026'!$D$4="FO",'2026'!$D$2=AZ5),'2026DATA'!$I$8,"")</f>
        <v/>
      </c>
      <c r="BA11" s="518" t="str">
        <f>IF(AND(_3="A-330-300",'2026'!$D$4="FO",'2026'!$D$2=BA5),'2026DATA'!$J$8,"")</f>
        <v/>
      </c>
      <c r="BB11" s="518" t="str">
        <f>IF(AND(_3="A-330-300",'2026'!$D$4="FO",'2026'!$D$2=BB5),'2026DATA'!$K$8,"")</f>
        <v/>
      </c>
      <c r="BC11" s="518" t="str">
        <f>IF(AND(_3="A-330-300",'2026'!$D$4="FO",'2026'!$D$2=BC5),'2026DATA'!$L$8,"")</f>
        <v/>
      </c>
      <c r="BD11" s="518" t="str">
        <f>IF(AND(_3="A-330-300",'2026'!$D$4="FO",'2026'!$D$2=BD5),'2026DATA'!$M$8,"")</f>
        <v/>
      </c>
      <c r="BE11" s="520" t="str">
        <f>IF(AND(_3="A-330-300",'2026'!$D$4="FO",'2026'!$D$2=BE5),'2026DATA'!$N$8,"")</f>
        <v/>
      </c>
      <c r="BF11" s="940"/>
      <c r="BG11" s="13" t="s">
        <v>62</v>
      </c>
      <c r="BH11" s="518" t="str">
        <f>IF(AND(_4="A-330-300",'2026'!$D$4="FO",'2026'!$D$2=BH5),'2026DATA'!$C$8,"")</f>
        <v/>
      </c>
      <c r="BI11" s="518" t="str">
        <f>IF(AND(_4="A-330-300",'2026'!$D$4="FO",'2026'!$D$2=BI5),'2026DATA'!$D$8,"")</f>
        <v/>
      </c>
      <c r="BJ11" s="518" t="str">
        <f>IF(AND(_4="A-330-300",'2026'!$D$4="FO",'2026'!$D$2=BJ5),'2026DATA'!$E$8,"")</f>
        <v/>
      </c>
      <c r="BK11" s="518" t="str">
        <f>IF(AND(_4="A-330-300",'2026'!$D$4="FO",'2026'!$D$2=BK5),'2026DATA'!$F$8,"")</f>
        <v/>
      </c>
      <c r="BL11" s="518" t="str">
        <f>IF(AND(_4="A-330-300",'2026'!$D$4="FO",'2026'!$D$2=BL5),'2026DATA'!$G$8,"")</f>
        <v/>
      </c>
      <c r="BM11" s="518" t="str">
        <f>IF(AND(_4="A-330-300",'2026'!$D$4="FO",'2026'!$D$2=BM5),'2026DATA'!$H$8,"")</f>
        <v/>
      </c>
      <c r="BN11" s="518" t="str">
        <f>IF(AND(_4="A-330-300",'2026'!$D$4="FO",'2026'!$D$2=BN5),'2026DATA'!$I$8,"")</f>
        <v/>
      </c>
      <c r="BO11" s="518" t="str">
        <f>IF(AND(_4="A-330-300",'2026'!$D$4="FO",'2026'!$D$2=BO5),'2026DATA'!$J$8,"")</f>
        <v/>
      </c>
      <c r="BP11" s="518" t="str">
        <f>IF(AND(_4="A-330-300",'2026'!$D$4="FO",'2026'!$D$2=BP5),'2026DATA'!$K$8,"")</f>
        <v/>
      </c>
      <c r="BQ11" s="518" t="str">
        <f>IF(AND(_4="A-330-300",'2026'!$D$4="FO",'2026'!$D$2=BQ5),'2026DATA'!$L$8,"")</f>
        <v/>
      </c>
      <c r="BR11" s="518" t="str">
        <f>IF(AND(_4="A-330-300",'2026'!$D$4="FO",'2026'!$D$2=BR5),'2026DATA'!$M$8,"")</f>
        <v/>
      </c>
      <c r="BS11" s="520" t="str">
        <f>IF(AND(_4="A-330-300",'2026'!$D$4="FO",'2026'!$D$2=BS5),'2026DATA'!$N$8,"")</f>
        <v/>
      </c>
      <c r="BT11" s="940"/>
      <c r="BU11" s="13" t="s">
        <v>62</v>
      </c>
      <c r="BV11" s="518" t="str">
        <f>IF(AND(_5="A-330-300",'2026'!$D$4="FO",'2026'!$D$2=BV5),'2026DATA'!$C$8,"")</f>
        <v/>
      </c>
      <c r="BW11" s="518" t="str">
        <f>IF(AND(_5="A-330-300",'2026'!$D$4="FO",'2026'!$D$2=BW5),'2026DATA'!$D$8,"")</f>
        <v/>
      </c>
      <c r="BX11" s="518" t="str">
        <f>IF(AND(_5="A-330-300",'2026'!$D$4="FO",'2026'!$D$2=BX5),'2026DATA'!$E$8,"")</f>
        <v/>
      </c>
      <c r="BY11" s="518" t="str">
        <f>IF(AND(_5="A-330-300",'2026'!$D$4="FO",'2026'!$D$2=BY5),'2026DATA'!$F$8,"")</f>
        <v/>
      </c>
      <c r="BZ11" s="518" t="str">
        <f>IF(AND(_5="A-330-300",'2026'!$D$4="FO",'2026'!$D$2=BZ5),'2026DATA'!$G$8,"")</f>
        <v/>
      </c>
      <c r="CA11" s="518" t="str">
        <f>IF(AND(_5="A-330-300",'2026'!$D$4="FO",'2026'!$D$2=CA5),'2026DATA'!$H$8,"")</f>
        <v/>
      </c>
      <c r="CB11" s="518" t="str">
        <f>IF(AND(_5="A-330-300",'2026'!$D$4="FO",'2026'!$D$2=CB5),'2026DATA'!$I$8,"")</f>
        <v/>
      </c>
      <c r="CC11" s="518" t="str">
        <f>IF(AND(_5="A-330-300",'2026'!$D$4="FO",'2026'!$D$2=CC5),'2026DATA'!$J$8,"")</f>
        <v/>
      </c>
      <c r="CD11" s="518" t="str">
        <f>IF(AND(_5="A-330-300",'2026'!$D$4="FO",'2026'!$D$2=CD5),'2026DATA'!$K$8,"")</f>
        <v/>
      </c>
      <c r="CE11" s="518" t="str">
        <f>IF(AND(_5="A-330-300",'2026'!$D$4="FO",'2026'!$D$2=CE5),'2026DATA'!$L$8,"")</f>
        <v/>
      </c>
      <c r="CF11" s="518" t="str">
        <f>IF(AND(_5="A-330-300",'2026'!$D$4="FO",'2026'!$D$2=CF5),'2026DATA'!$M$8,"")</f>
        <v/>
      </c>
      <c r="CG11" s="520" t="str">
        <f>IF(AND(_5="A-330-300",'2026'!$D$4="FO",'2026'!$D$2=CG5),'2026DATA'!$N$8,"")</f>
        <v/>
      </c>
      <c r="CH11" s="940"/>
      <c r="CI11" s="13" t="s">
        <v>62</v>
      </c>
      <c r="CJ11" s="518" t="str">
        <f>IF(AND(_6="A-330-300",'2026'!$D$4="FO",'2026'!$D$2=CJ5),'2026DATA'!$C$8,"")</f>
        <v/>
      </c>
      <c r="CK11" s="518" t="str">
        <f>IF(AND(_6="A-330-300",'2026'!$D$4="FO",'2026'!$D$2=CK5),'2026DATA'!$D$8,"")</f>
        <v/>
      </c>
      <c r="CL11" s="518" t="str">
        <f>IF(AND(_6="A-330-300",'2026'!$D$4="FO",'2026'!$D$2=CL5),'2026DATA'!$E$8,"")</f>
        <v/>
      </c>
      <c r="CM11" s="518" t="str">
        <f>IF(AND(_6="A-330-300",'2026'!$D$4="FO",'2026'!$D$2=CM5),'2026DATA'!$F$8,"")</f>
        <v/>
      </c>
      <c r="CN11" s="518" t="str">
        <f>IF(AND(_6="A-330-300",'2026'!$D$4="FO",'2026'!$D$2=CN5),'2026DATA'!$G$8,"")</f>
        <v/>
      </c>
      <c r="CO11" s="518" t="str">
        <f>IF(AND(_6="A-330-300",'2026'!$D$4="FO",'2026'!$D$2=CO5),'2026DATA'!$H$8,"")</f>
        <v/>
      </c>
      <c r="CP11" s="518" t="str">
        <f>IF(AND(_6="A-330-300",'2026'!$D$4="FO",'2026'!$D$2=CP5),'2026DATA'!$I$8,"")</f>
        <v/>
      </c>
      <c r="CQ11" s="518" t="str">
        <f>IF(AND(_6="A-330-300",'2026'!$D$4="FO",'2026'!$D$2=CQ5),'2026DATA'!$J$8,"")</f>
        <v/>
      </c>
      <c r="CR11" s="518" t="str">
        <f>IF(AND(_6="A-330-300",'2026'!$D$4="FO",'2026'!$D$2=CR5),'2026DATA'!$K$8,"")</f>
        <v/>
      </c>
      <c r="CS11" s="518" t="str">
        <f>IF(AND(_6="A-330-300",'2026'!$D$4="FO",'2026'!$D$2=CS5),'2026DATA'!$L$8,"")</f>
        <v/>
      </c>
      <c r="CT11" s="518" t="str">
        <f>IF(AND(_6="A-330-300",'2026'!$D$4="FO",'2026'!$D$2=CT5),'2026DATA'!$M$8,"")</f>
        <v/>
      </c>
      <c r="CU11" s="520" t="str">
        <f>IF(AND(_6="A-330-300",'2026'!$D$4="FO",'2026'!$D$2=CU5),'2026DATA'!$N$8,"")</f>
        <v/>
      </c>
    </row>
    <row r="12" spans="1:99" x14ac:dyDescent="0.25">
      <c r="A12" s="987"/>
      <c r="B12" s="64" t="s">
        <v>62</v>
      </c>
      <c r="C12" s="84">
        <v>330.44</v>
      </c>
      <c r="D12" s="31">
        <v>327.42</v>
      </c>
      <c r="E12" s="31">
        <v>324.52</v>
      </c>
      <c r="F12" s="31">
        <v>320.17</v>
      </c>
      <c r="G12" s="31">
        <v>316.72000000000003</v>
      </c>
      <c r="H12" s="31">
        <v>309.61</v>
      </c>
      <c r="I12" s="31">
        <v>301.24</v>
      </c>
      <c r="J12" s="31">
        <v>293.79000000000002</v>
      </c>
      <c r="K12" s="31">
        <v>286.94</v>
      </c>
      <c r="L12" s="31">
        <v>280.14999999999998</v>
      </c>
      <c r="M12" s="31">
        <v>239.41</v>
      </c>
      <c r="N12" s="32">
        <v>125.52</v>
      </c>
      <c r="P12" s="940" t="s">
        <v>66</v>
      </c>
      <c r="Q12" s="13" t="s">
        <v>61</v>
      </c>
      <c r="R12" s="518" t="str">
        <f>IF(AND(_1="A-330-200",'2026'!$D$4="CA",'2026'!$D$2=R5),'2026DATA'!$C$9,"")</f>
        <v/>
      </c>
      <c r="S12" s="518" t="str">
        <f>IF(AND(_1="A-330-200",'2026'!$D$4="CA",'2026'!$D$2=S5),'2026DATA'!$D$9,"")</f>
        <v/>
      </c>
      <c r="T12" s="518" t="str">
        <f>IF(AND(_1="A-330-200",'2026'!$D$4="CA",'2026'!$D$2=T5),'2026DATA'!$E$9,"")</f>
        <v/>
      </c>
      <c r="U12" s="518" t="str">
        <f>IF(AND(_1="A-330-200",'2026'!$D$4="CA",'2026'!$D$2=U5),'2026DATA'!$F$9,"")</f>
        <v/>
      </c>
      <c r="V12" s="518" t="str">
        <f>IF(AND(_1="A-330-200",'2026'!$D$4="CA",'2026'!$D$2=V5),'2026DATA'!$G$9,"")</f>
        <v/>
      </c>
      <c r="W12" s="518" t="str">
        <f>IF(AND(_1="A-330-200",'2026'!$D$4="CA",'2026'!$D$2=W5),'2026DATA'!$H$9,"")</f>
        <v/>
      </c>
      <c r="X12" s="518" t="str">
        <f>IF(AND(_1="A-330-200",'2026'!$D$4="CA",'2026'!$D$2=X5),'2026DATA'!$I$9,"")</f>
        <v/>
      </c>
      <c r="Y12" s="518" t="str">
        <f>IF(AND(_1="A-330-200",'2026'!$D$4="CA",'2026'!$D$2=Y5),'2026DATA'!$J$9,"")</f>
        <v/>
      </c>
      <c r="Z12" s="518" t="str">
        <f>IF(AND(_1="A-330-200",'2026'!$D$4="CA",'2026'!$D$2=Z5),'2026DATA'!$K$9,"")</f>
        <v/>
      </c>
      <c r="AA12" s="518" t="str">
        <f>IF(AND(_1="A-330-200",'2026'!$D$4="CA",'2026'!$D$2=AA5),'2026DATA'!$L$9,"")</f>
        <v/>
      </c>
      <c r="AB12" s="518" t="str">
        <f>IF(AND(_1="A-330-200",'2026'!$D$4="CA",'2026'!$D$2=AB5),'2026DATA'!$M$9,"")</f>
        <v/>
      </c>
      <c r="AC12" s="520" t="str">
        <f>IF(AND(_1="A-330-200",'2026'!$D$4="CA",'2026'!$D$2=AC5),'2026DATA'!$N$9,"")</f>
        <v/>
      </c>
      <c r="AD12" s="940" t="s">
        <v>66</v>
      </c>
      <c r="AE12" s="13" t="s">
        <v>61</v>
      </c>
      <c r="AF12" s="518" t="str">
        <f>IF(AND(_2="A-330-200",'2026'!$D$4="CA",'2026'!$D$2=AF5),'2026DATA'!$C$9,"")</f>
        <v/>
      </c>
      <c r="AG12" s="518" t="str">
        <f>IF(AND(_2="A-330-200",'2026'!$D$4="CA",'2026'!$D$2=AG5),'2026DATA'!$D$9,"")</f>
        <v/>
      </c>
      <c r="AH12" s="518" t="str">
        <f>IF(AND(_2="A-330-200",'2026'!$D$4="CA",'2026'!$D$2=AH5),'2026DATA'!$E$9,"")</f>
        <v/>
      </c>
      <c r="AI12" s="518" t="str">
        <f>IF(AND(_2="A-330-200",'2026'!$D$4="CA",'2026'!$D$2=AI5),'2026DATA'!$F$9,"")</f>
        <v/>
      </c>
      <c r="AJ12" s="518" t="str">
        <f>IF(AND(_2="A-330-200",'2026'!$D$4="CA",'2026'!$D$2=AJ5),'2026DATA'!$G$9,"")</f>
        <v/>
      </c>
      <c r="AK12" s="518" t="str">
        <f>IF(AND(_2="A-330-200",'2026'!$D$4="CA",'2026'!$D$2=AK5),'2026DATA'!$H$9,"")</f>
        <v/>
      </c>
      <c r="AL12" s="518" t="str">
        <f>IF(AND(_2="A-330-200",'2026'!$D$4="CA",'2026'!$D$2=AL5),'2026DATA'!$I$9,"")</f>
        <v/>
      </c>
      <c r="AM12" s="518" t="str">
        <f>IF(AND(_2="A-330-200",'2026'!$D$4="CA",'2026'!$D$2=AM5),'2026DATA'!$J$9,"")</f>
        <v/>
      </c>
      <c r="AN12" s="518" t="str">
        <f>IF(AND(_2="A-330-200",'2026'!$D$4="CA",'2026'!$D$2=AN5),'2026DATA'!$K$9,"")</f>
        <v/>
      </c>
      <c r="AO12" s="518" t="str">
        <f>IF(AND(_2="A-330-200",'2026'!$D$4="CA",'2026'!$D$2=AO5),'2026DATA'!$L$9,"")</f>
        <v/>
      </c>
      <c r="AP12" s="518" t="str">
        <f>IF(AND(_2="A-330-200",'2026'!$D$4="CA",'2026'!$D$2=AP5),'2026DATA'!$M$9,"")</f>
        <v/>
      </c>
      <c r="AQ12" s="520" t="str">
        <f>IF(AND(_2="A-330-200",'2026'!$D$4="CA",'2026'!$D$2=AQ5),'2026DATA'!$N$9,"")</f>
        <v/>
      </c>
      <c r="AR12" s="940" t="s">
        <v>66</v>
      </c>
      <c r="AS12" s="13" t="s">
        <v>61</v>
      </c>
      <c r="AT12" s="518" t="str">
        <f>IF(AND(_3="A-330-200",'2026'!$D$4="CA",'2026'!$D$2=AT5),'2026DATA'!$C$9,"")</f>
        <v/>
      </c>
      <c r="AU12" s="518" t="str">
        <f>IF(AND(_3="A-330-200",'2026'!$D$4="CA",'2026'!$D$2=AU5),'2026DATA'!$D$9,"")</f>
        <v/>
      </c>
      <c r="AV12" s="518" t="str">
        <f>IF(AND(_3="A-330-200",'2026'!$D$4="CA",'2026'!$D$2=AV5),'2026DATA'!$E$9,"")</f>
        <v/>
      </c>
      <c r="AW12" s="518" t="str">
        <f>IF(AND(_3="A-330-200",'2026'!$D$4="CA",'2026'!$D$2=AW5),'2026DATA'!$F$9,"")</f>
        <v/>
      </c>
      <c r="AX12" s="518" t="str">
        <f>IF(AND(_3="A-330-200",'2026'!$D$4="CA",'2026'!$D$2=AX5),'2026DATA'!$G$9,"")</f>
        <v/>
      </c>
      <c r="AY12" s="518" t="str">
        <f>IF(AND(_3="A-330-200",'2026'!$D$4="CA",'2026'!$D$2=AY5),'2026DATA'!$H$9,"")</f>
        <v/>
      </c>
      <c r="AZ12" s="518" t="str">
        <f>IF(AND(_3="A-330-200",'2026'!$D$4="CA",'2026'!$D$2=AZ5),'2026DATA'!$I$9,"")</f>
        <v/>
      </c>
      <c r="BA12" s="518" t="str">
        <f>IF(AND(_3="A-330-200",'2026'!$D$4="CA",'2026'!$D$2=BA5),'2026DATA'!$J$9,"")</f>
        <v/>
      </c>
      <c r="BB12" s="518" t="str">
        <f>IF(AND(_3="A-330-200",'2026'!$D$4="CA",'2026'!$D$2=BB5),'2026DATA'!$K$9,"")</f>
        <v/>
      </c>
      <c r="BC12" s="518" t="str">
        <f>IF(AND(_3="A-330-200",'2026'!$D$4="CA",'2026'!$D$2=BC5),'2026DATA'!$L$9,"")</f>
        <v/>
      </c>
      <c r="BD12" s="518" t="str">
        <f>IF(AND(_3="A-330-200",'2026'!$D$4="CA",'2026'!$D$2=BD5),'2026DATA'!$M$9,"")</f>
        <v/>
      </c>
      <c r="BE12" s="520" t="str">
        <f>IF(AND(_3="A-330-200",'2026'!$D$4="CA",'2026'!$D$2=BE5),'2026DATA'!$N$9,"")</f>
        <v/>
      </c>
      <c r="BF12" s="940" t="s">
        <v>66</v>
      </c>
      <c r="BG12" s="13" t="s">
        <v>61</v>
      </c>
      <c r="BH12" s="518" t="str">
        <f>IF(AND(_4="A-330-200",'2026'!$D$4="CA",'2026'!$D$2=BH5),'2026DATA'!$C$9,"")</f>
        <v/>
      </c>
      <c r="BI12" s="518" t="str">
        <f>IF(AND(_4="A-330-200",'2026'!$D$4="CA",'2026'!$D$2=BI5),'2026DATA'!$D$9,"")</f>
        <v/>
      </c>
      <c r="BJ12" s="518" t="str">
        <f>IF(AND(_4="A-330-200",'2026'!$D$4="CA",'2026'!$D$2=BJ5),'2026DATA'!$E$9,"")</f>
        <v/>
      </c>
      <c r="BK12" s="518" t="str">
        <f>IF(AND(_4="A-330-200",'2026'!$D$4="CA",'2026'!$D$2=BK5),'2026DATA'!$F$9,"")</f>
        <v/>
      </c>
      <c r="BL12" s="518" t="str">
        <f>IF(AND(_4="A-330-200",'2026'!$D$4="CA",'2026'!$D$2=BL5),'2026DATA'!$G$9,"")</f>
        <v/>
      </c>
      <c r="BM12" s="518" t="str">
        <f>IF(AND(_4="A-330-200",'2026'!$D$4="CA",'2026'!$D$2=BM5),'2026DATA'!$H$9,"")</f>
        <v/>
      </c>
      <c r="BN12" s="518" t="str">
        <f>IF(AND(_4="A-330-200",'2026'!$D$4="CA",'2026'!$D$2=BN5),'2026DATA'!$I$9,"")</f>
        <v/>
      </c>
      <c r="BO12" s="518" t="str">
        <f>IF(AND(_4="A-330-200",'2026'!$D$4="CA",'2026'!$D$2=BO5),'2026DATA'!$J$9,"")</f>
        <v/>
      </c>
      <c r="BP12" s="518" t="str">
        <f>IF(AND(_4="A-330-200",'2026'!$D$4="CA",'2026'!$D$2=BP5),'2026DATA'!$K$9,"")</f>
        <v/>
      </c>
      <c r="BQ12" s="518" t="str">
        <f>IF(AND(_4="A-330-200",'2026'!$D$4="CA",'2026'!$D$2=BQ5),'2026DATA'!$L$9,"")</f>
        <v/>
      </c>
      <c r="BR12" s="518" t="str">
        <f>IF(AND(_4="A-330-200",'2026'!$D$4="CA",'2026'!$D$2=BR5),'2026DATA'!$M$9,"")</f>
        <v/>
      </c>
      <c r="BS12" s="520" t="str">
        <f>IF(AND(_4="A-330-200",'2026'!$D$4="CA",'2026'!$D$2=BS5),'2026DATA'!$N$9,"")</f>
        <v/>
      </c>
      <c r="BT12" s="940" t="s">
        <v>66</v>
      </c>
      <c r="BU12" s="13" t="s">
        <v>61</v>
      </c>
      <c r="BV12" s="518" t="str">
        <f>IF(AND(_5="A-330-200",'2026'!$D$4="CA",'2026'!$D$2=BV5),'2026DATA'!$C$9,"")</f>
        <v/>
      </c>
      <c r="BW12" s="518" t="str">
        <f>IF(AND(_5="A-330-200",'2026'!$D$4="CA",'2026'!$D$2=BW5),'2026DATA'!$D$9,"")</f>
        <v/>
      </c>
      <c r="BX12" s="518" t="str">
        <f>IF(AND(_5="A-330-200",'2026'!$D$4="CA",'2026'!$D$2=BX5),'2026DATA'!$E$9,"")</f>
        <v/>
      </c>
      <c r="BY12" s="518" t="str">
        <f>IF(AND(_5="A-330-200",'2026'!$D$4="CA",'2026'!$D$2=BY5),'2026DATA'!$F$9,"")</f>
        <v/>
      </c>
      <c r="BZ12" s="518" t="str">
        <f>IF(AND(_5="A-330-200",'2026'!$D$4="CA",'2026'!$D$2=BZ5),'2026DATA'!$G$9,"")</f>
        <v/>
      </c>
      <c r="CA12" s="518" t="str">
        <f>IF(AND(_5="A-330-200",'2026'!$D$4="CA",'2026'!$D$2=CA5),'2026DATA'!$H$9,"")</f>
        <v/>
      </c>
      <c r="CB12" s="518" t="str">
        <f>IF(AND(_5="A-330-200",'2026'!$D$4="CA",'2026'!$D$2=CB5),'2026DATA'!$I$9,"")</f>
        <v/>
      </c>
      <c r="CC12" s="518" t="str">
        <f>IF(AND(_5="A-330-200",'2026'!$D$4="CA",'2026'!$D$2=CC5),'2026DATA'!$J$9,"")</f>
        <v/>
      </c>
      <c r="CD12" s="518" t="str">
        <f>IF(AND(_5="A-330-200",'2026'!$D$4="CA",'2026'!$D$2=CD5),'2026DATA'!$K$9,"")</f>
        <v/>
      </c>
      <c r="CE12" s="518" t="str">
        <f>IF(AND(_5="A-330-200",'2026'!$D$4="CA",'2026'!$D$2=CE5),'2026DATA'!$L$9,"")</f>
        <v/>
      </c>
      <c r="CF12" s="518" t="str">
        <f>IF(AND(_5="A-330-200",'2026'!$D$4="CA",'2026'!$D$2=CF5),'2026DATA'!$M$9,"")</f>
        <v/>
      </c>
      <c r="CG12" s="520" t="str">
        <f>IF(AND(_5="A-330-200",'2026'!$D$4="CA",'2026'!$D$2=CG5),'2026DATA'!$N$9,"")</f>
        <v/>
      </c>
      <c r="CH12" s="940" t="s">
        <v>66</v>
      </c>
      <c r="CI12" s="13" t="s">
        <v>61</v>
      </c>
      <c r="CJ12" s="518" t="str">
        <f>IF(AND(_6="A-330-200",'2026'!$D$4="CA",'2026'!$D$2=CJ5),'2026DATA'!$C$9,"")</f>
        <v/>
      </c>
      <c r="CK12" s="518" t="str">
        <f>IF(AND(_6="A-330-200",'2026'!$D$4="CA",'2026'!$D$2=CK5),'2026DATA'!$D$9,"")</f>
        <v/>
      </c>
      <c r="CL12" s="518" t="str">
        <f>IF(AND(_6="A-330-200",'2026'!$D$4="CA",'2026'!$D$2=CL5),'2026DATA'!$E$9,"")</f>
        <v/>
      </c>
      <c r="CM12" s="518" t="str">
        <f>IF(AND(_6="A-330-200",'2026'!$D$4="CA",'2026'!$D$2=CM5),'2026DATA'!$F$9,"")</f>
        <v/>
      </c>
      <c r="CN12" s="518" t="str">
        <f>IF(AND(_6="A-330-200",'2026'!$D$4="CA",'2026'!$D$2=CN5),'2026DATA'!$G$9,"")</f>
        <v/>
      </c>
      <c r="CO12" s="518" t="str">
        <f>IF(AND(_6="A-330-200",'2026'!$D$4="CA",'2026'!$D$2=CO5),'2026DATA'!$H$9,"")</f>
        <v/>
      </c>
      <c r="CP12" s="518" t="str">
        <f>IF(AND(_6="A-330-200",'2026'!$D$4="CA",'2026'!$D$2=CP5),'2026DATA'!$I$9,"")</f>
        <v/>
      </c>
      <c r="CQ12" s="518" t="str">
        <f>IF(AND(_6="A-330-200",'2026'!$D$4="CA",'2026'!$D$2=CQ5),'2026DATA'!$J$9,"")</f>
        <v/>
      </c>
      <c r="CR12" s="518" t="str">
        <f>IF(AND(_6="A-330-200",'2026'!$D$4="CA",'2026'!$D$2=CR5),'2026DATA'!$K$9,"")</f>
        <v/>
      </c>
      <c r="CS12" s="518" t="str">
        <f>IF(AND(_6="A-330-200",'2026'!$D$4="CA",'2026'!$D$2=CS5),'2026DATA'!$L$9,"")</f>
        <v/>
      </c>
      <c r="CT12" s="518" t="str">
        <f>IF(AND(_6="A-330-200",'2026'!$D$4="CA",'2026'!$D$2=CT5),'2026DATA'!$M$9,"")</f>
        <v/>
      </c>
      <c r="CU12" s="520" t="str">
        <f>IF(AND(_6="A-330-200",'2026'!$D$4="CA",'2026'!$D$2=CU5),'2026DATA'!$N$9,"")</f>
        <v/>
      </c>
    </row>
    <row r="13" spans="1:99" x14ac:dyDescent="0.25">
      <c r="A13" s="987" t="s">
        <v>43</v>
      </c>
      <c r="B13" s="64" t="s">
        <v>61</v>
      </c>
      <c r="C13" s="84">
        <v>404.92</v>
      </c>
      <c r="D13" s="31">
        <v>400.77</v>
      </c>
      <c r="E13" s="31">
        <v>396.5</v>
      </c>
      <c r="F13" s="31">
        <v>392.29</v>
      </c>
      <c r="G13" s="31">
        <v>389.52</v>
      </c>
      <c r="H13" s="31">
        <v>386.33</v>
      </c>
      <c r="I13" s="31">
        <v>383.48</v>
      </c>
      <c r="J13" s="31">
        <v>380.51</v>
      </c>
      <c r="K13" s="31">
        <v>377.31</v>
      </c>
      <c r="L13" s="31">
        <v>374.27</v>
      </c>
      <c r="M13" s="31">
        <v>371.26</v>
      </c>
      <c r="N13" s="32">
        <v>368.14</v>
      </c>
      <c r="P13" s="940"/>
      <c r="Q13" s="13" t="s">
        <v>62</v>
      </c>
      <c r="R13" s="518" t="str">
        <f>IF(AND(_1="A-330-200",'2026'!$D$4="FO",'2026'!$D$2=R5),'2026DATA'!$C$10,"")</f>
        <v/>
      </c>
      <c r="S13" s="518" t="str">
        <f>IF(AND(_1="A-330-200",'2026'!$D$4="FO",'2026'!$D$2=S5),'2026DATA'!$D$10,"")</f>
        <v/>
      </c>
      <c r="T13" s="518" t="str">
        <f>IF(AND(_1="A-330-200",'2026'!$D$4="FO",'2026'!$D$2=T5),'2026DATA'!$E$10,"")</f>
        <v/>
      </c>
      <c r="U13" s="518" t="str">
        <f>IF(AND(_1="A-330-200",'2026'!$D$4="FO",'2026'!$D$2=U5),'2026DATA'!$F$10,"")</f>
        <v/>
      </c>
      <c r="V13" s="518" t="str">
        <f>IF(AND(_1="A-330-200",'2026'!$D$4="FO",'2026'!$D$2=V5),'2026DATA'!$G$10,"")</f>
        <v/>
      </c>
      <c r="W13" s="518" t="str">
        <f>IF(AND(_1="A-330-200",'2026'!$D$4="FO",'2026'!$D$2=W5),'2026DATA'!$H$10,"")</f>
        <v/>
      </c>
      <c r="X13" s="518" t="str">
        <f>IF(AND(_1="A-330-200",'2026'!$D$4="FO",'2026'!$D$2=X5),'2026DATA'!$I$10,"")</f>
        <v/>
      </c>
      <c r="Y13" s="518" t="str">
        <f>IF(AND(_1="A-330-200",'2026'!$D$4="FO",'2026'!$D$2=Y5),'2026DATA'!$J$10,"")</f>
        <v/>
      </c>
      <c r="Z13" s="518" t="str">
        <f>IF(AND(_1="A-330-200",'2026'!$D$4="FO",'2026'!$D$2=Z5),'2026DATA'!$K$10,"")</f>
        <v/>
      </c>
      <c r="AA13" s="518" t="str">
        <f>IF(AND(_1="A-330-200",'2026'!$D$4="FO",'2026'!$D$2=AA5),'2026DATA'!$L$10,"")</f>
        <v/>
      </c>
      <c r="AB13" s="518" t="str">
        <f>IF(AND(_1="A-330-200",'2026'!$D$4="FO",'2026'!$D$2=AB5),'2026DATA'!$M$10,"")</f>
        <v/>
      </c>
      <c r="AC13" s="520" t="str">
        <f>IF(AND(_1="A-330-200",'2026'!$D$4="FO",'2026'!$D$2=AC5),'2026DATA'!$N$10,"")</f>
        <v/>
      </c>
      <c r="AD13" s="940"/>
      <c r="AE13" s="13" t="s">
        <v>62</v>
      </c>
      <c r="AF13" s="518" t="str">
        <f>IF(AND(_2="A-330-200",'2026'!$D$4="FO",'2026'!$D$2=AF5),'2026DATA'!$C$10,"")</f>
        <v/>
      </c>
      <c r="AG13" s="518" t="str">
        <f>IF(AND(_2="A-330-200",'2026'!$D$4="FO",'2026'!$D$2=AG5),'2026DATA'!$D$10,"")</f>
        <v/>
      </c>
      <c r="AH13" s="518" t="str">
        <f>IF(AND(_2="A-330-200",'2026'!$D$4="FO",'2026'!$D$2=AH5),'2026DATA'!$E$10,"")</f>
        <v/>
      </c>
      <c r="AI13" s="518" t="str">
        <f>IF(AND(_2="A-330-200",'2026'!$D$4="FO",'2026'!$D$2=AI5),'2026DATA'!$F$10,"")</f>
        <v/>
      </c>
      <c r="AJ13" s="518" t="str">
        <f>IF(AND(_2="A-330-200",'2026'!$D$4="FO",'2026'!$D$2=AJ5),'2026DATA'!$G$10,"")</f>
        <v/>
      </c>
      <c r="AK13" s="518" t="str">
        <f>IF(AND(_2="A-330-200",'2026'!$D$4="FO",'2026'!$D$2=AK5),'2026DATA'!$H$10,"")</f>
        <v/>
      </c>
      <c r="AL13" s="518" t="str">
        <f>IF(AND(_2="A-330-200",'2026'!$D$4="FO",'2026'!$D$2=AL5),'2026DATA'!$I$10,"")</f>
        <v/>
      </c>
      <c r="AM13" s="518" t="str">
        <f>IF(AND(_2="A-330-200",'2026'!$D$4="FO",'2026'!$D$2=AM5),'2026DATA'!$J$10,"")</f>
        <v/>
      </c>
      <c r="AN13" s="518" t="str">
        <f>IF(AND(_2="A-330-200",'2026'!$D$4="FO",'2026'!$D$2=AN5),'2026DATA'!$K$10,"")</f>
        <v/>
      </c>
      <c r="AO13" s="518" t="str">
        <f>IF(AND(_2="A-330-200",'2026'!$D$4="FO",'2026'!$D$2=AO5),'2026DATA'!$L$10,"")</f>
        <v/>
      </c>
      <c r="AP13" s="518" t="str">
        <f>IF(AND(_2="A-330-200",'2026'!$D$4="FO",'2026'!$D$2=AP5),'2026DATA'!$M$10,"")</f>
        <v/>
      </c>
      <c r="AQ13" s="520" t="str">
        <f>IF(AND(_2="A-330-200",'2026'!$D$4="FO",'2026'!$D$2=AQ5),'2026DATA'!$N$10,"")</f>
        <v/>
      </c>
      <c r="AR13" s="940"/>
      <c r="AS13" s="13" t="s">
        <v>62</v>
      </c>
      <c r="AT13" s="518" t="str">
        <f>IF(AND(_3="A-330-200",'2026'!$D$4="FO",'2026'!$D$2=AT5),'2026DATA'!$C$10,"")</f>
        <v/>
      </c>
      <c r="AU13" s="518" t="str">
        <f>IF(AND(_3="A-330-200",'2026'!$D$4="FO",'2026'!$D$2=AU5),'2026DATA'!$D$10,"")</f>
        <v/>
      </c>
      <c r="AV13" s="518" t="str">
        <f>IF(AND(_3="A-330-200",'2026'!$D$4="FO",'2026'!$D$2=AV5),'2026DATA'!$E$10,"")</f>
        <v/>
      </c>
      <c r="AW13" s="518" t="str">
        <f>IF(AND(_3="A-330-200",'2026'!$D$4="FO",'2026'!$D$2=AW5),'2026DATA'!$F$10,"")</f>
        <v/>
      </c>
      <c r="AX13" s="518" t="str">
        <f>IF(AND(_3="A-330-200",'2026'!$D$4="FO",'2026'!$D$2=AX5),'2026DATA'!$G$10,"")</f>
        <v/>
      </c>
      <c r="AY13" s="518" t="str">
        <f>IF(AND(_3="A-330-200",'2026'!$D$4="FO",'2026'!$D$2=AY5),'2026DATA'!$H$10,"")</f>
        <v/>
      </c>
      <c r="AZ13" s="518" t="str">
        <f>IF(AND(_3="A-330-200",'2026'!$D$4="FO",'2026'!$D$2=AZ5),'2026DATA'!$I$10,"")</f>
        <v/>
      </c>
      <c r="BA13" s="518" t="str">
        <f>IF(AND(_3="A-330-200",'2026'!$D$4="FO",'2026'!$D$2=BA5),'2026DATA'!$J$10,"")</f>
        <v/>
      </c>
      <c r="BB13" s="518" t="str">
        <f>IF(AND(_3="A-330-200",'2026'!$D$4="FO",'2026'!$D$2=BB5),'2026DATA'!$K$10,"")</f>
        <v/>
      </c>
      <c r="BC13" s="518" t="str">
        <f>IF(AND(_3="A-330-200",'2026'!$D$4="FO",'2026'!$D$2=BC5),'2026DATA'!$L$10,"")</f>
        <v/>
      </c>
      <c r="BD13" s="518" t="str">
        <f>IF(AND(_3="A-330-200",'2026'!$D$4="FO",'2026'!$D$2=BD5),'2026DATA'!$M$10,"")</f>
        <v/>
      </c>
      <c r="BE13" s="520" t="str">
        <f>IF(AND(_3="A-330-200",'2026'!$D$4="FO",'2026'!$D$2=BE5),'2026DATA'!$N$10,"")</f>
        <v/>
      </c>
      <c r="BF13" s="940"/>
      <c r="BG13" s="13" t="s">
        <v>62</v>
      </c>
      <c r="BH13" s="518" t="str">
        <f>IF(AND(_4="A-330-200",'2026'!$D$4="FO",'2026'!$D$2=BH5),'2026DATA'!$C$10,"")</f>
        <v/>
      </c>
      <c r="BI13" s="518" t="str">
        <f>IF(AND(_4="A-330-200",'2026'!$D$4="FO",'2026'!$D$2=BI5),'2026DATA'!$D$10,"")</f>
        <v/>
      </c>
      <c r="BJ13" s="518" t="str">
        <f>IF(AND(_4="A-330-200",'2026'!$D$4="FO",'2026'!$D$2=BJ5),'2026DATA'!$E$10,"")</f>
        <v/>
      </c>
      <c r="BK13" s="518" t="str">
        <f>IF(AND(_4="A-330-200",'2026'!$D$4="FO",'2026'!$D$2=BK5),'2026DATA'!$F$10,"")</f>
        <v/>
      </c>
      <c r="BL13" s="518" t="str">
        <f>IF(AND(_4="A-330-200",'2026'!$D$4="FO",'2026'!$D$2=BL5),'2026DATA'!$G$10,"")</f>
        <v/>
      </c>
      <c r="BM13" s="518" t="str">
        <f>IF(AND(_4="A-330-200",'2026'!$D$4="FO",'2026'!$D$2=BM5),'2026DATA'!$H$10,"")</f>
        <v/>
      </c>
      <c r="BN13" s="518" t="str">
        <f>IF(AND(_4="A-330-200",'2026'!$D$4="FO",'2026'!$D$2=BN5),'2026DATA'!$I$10,"")</f>
        <v/>
      </c>
      <c r="BO13" s="518" t="str">
        <f>IF(AND(_4="A-330-200",'2026'!$D$4="FO",'2026'!$D$2=BO5),'2026DATA'!$J$10,"")</f>
        <v/>
      </c>
      <c r="BP13" s="518" t="str">
        <f>IF(AND(_4="A-330-200",'2026'!$D$4="FO",'2026'!$D$2=BP5),'2026DATA'!$K$10,"")</f>
        <v/>
      </c>
      <c r="BQ13" s="518" t="str">
        <f>IF(AND(_4="A-330-200",'2026'!$D$4="FO",'2026'!$D$2=BQ5),'2026DATA'!$L$10,"")</f>
        <v/>
      </c>
      <c r="BR13" s="518" t="str">
        <f>IF(AND(_4="A-330-200",'2026'!$D$4="FO",'2026'!$D$2=BR5),'2026DATA'!$M$10,"")</f>
        <v/>
      </c>
      <c r="BS13" s="520" t="str">
        <f>IF(AND(_4="A-330-200",'2026'!$D$4="FO",'2026'!$D$2=BS5),'2026DATA'!$N$10,"")</f>
        <v/>
      </c>
      <c r="BT13" s="940"/>
      <c r="BU13" s="13" t="s">
        <v>62</v>
      </c>
      <c r="BV13" s="518" t="str">
        <f>IF(AND(_5="A-330-200",'2026'!$D$4="FO",'2026'!$D$2=BV5),'2026DATA'!$C$10,"")</f>
        <v/>
      </c>
      <c r="BW13" s="518" t="str">
        <f>IF(AND(_5="A-330-200",'2026'!$D$4="FO",'2026'!$D$2=BW5),'2026DATA'!$D$10,"")</f>
        <v/>
      </c>
      <c r="BX13" s="518" t="str">
        <f>IF(AND(_5="A-330-200",'2026'!$D$4="FO",'2026'!$D$2=BX5),'2026DATA'!$E$10,"")</f>
        <v/>
      </c>
      <c r="BY13" s="518" t="str">
        <f>IF(AND(_5="A-330-200",'2026'!$D$4="FO",'2026'!$D$2=BY5),'2026DATA'!$F$10,"")</f>
        <v/>
      </c>
      <c r="BZ13" s="518" t="str">
        <f>IF(AND(_5="A-330-200",'2026'!$D$4="FO",'2026'!$D$2=BZ5),'2026DATA'!$G$10,"")</f>
        <v/>
      </c>
      <c r="CA13" s="518" t="str">
        <f>IF(AND(_5="A-330-200",'2026'!$D$4="FO",'2026'!$D$2=CA5),'2026DATA'!$H$10,"")</f>
        <v/>
      </c>
      <c r="CB13" s="518" t="str">
        <f>IF(AND(_5="A-330-200",'2026'!$D$4="FO",'2026'!$D$2=CB5),'2026DATA'!$I$10,"")</f>
        <v/>
      </c>
      <c r="CC13" s="518" t="str">
        <f>IF(AND(_5="A-330-200",'2026'!$D$4="FO",'2026'!$D$2=CC5),'2026DATA'!$J$10,"")</f>
        <v/>
      </c>
      <c r="CD13" s="518" t="str">
        <f>IF(AND(_5="A-330-200",'2026'!$D$4="FO",'2026'!$D$2=CD5),'2026DATA'!$K$10,"")</f>
        <v/>
      </c>
      <c r="CE13" s="518" t="str">
        <f>IF(AND(_5="A-330-200",'2026'!$D$4="FO",'2026'!$D$2=CE5),'2026DATA'!$L$10,"")</f>
        <v/>
      </c>
      <c r="CF13" s="518" t="str">
        <f>IF(AND(_5="A-330-200",'2026'!$D$4="FO",'2026'!$D$2=CF5),'2026DATA'!$M$10,"")</f>
        <v/>
      </c>
      <c r="CG13" s="520" t="str">
        <f>IF(AND(_5="A-330-200",'2026'!$D$4="FO",'2026'!$D$2=CG5),'2026DATA'!$N$10,"")</f>
        <v/>
      </c>
      <c r="CH13" s="940"/>
      <c r="CI13" s="13" t="s">
        <v>62</v>
      </c>
      <c r="CJ13" s="518" t="str">
        <f>IF(AND(_6="A-330-200",'2026'!$D$4="FO",'2026'!$D$2=CJ5),'2026DATA'!$C$10,"")</f>
        <v/>
      </c>
      <c r="CK13" s="518" t="str">
        <f>IF(AND(_6="A-330-200",'2026'!$D$4="FO",'2026'!$D$2=CK5),'2026DATA'!$D$10,"")</f>
        <v/>
      </c>
      <c r="CL13" s="518" t="str">
        <f>IF(AND(_6="A-330-200",'2026'!$D$4="FO",'2026'!$D$2=CL5),'2026DATA'!$E$10,"")</f>
        <v/>
      </c>
      <c r="CM13" s="518" t="str">
        <f>IF(AND(_6="A-330-200",'2026'!$D$4="FO",'2026'!$D$2=CM5),'2026DATA'!$F$10,"")</f>
        <v/>
      </c>
      <c r="CN13" s="518" t="str">
        <f>IF(AND(_6="A-330-200",'2026'!$D$4="FO",'2026'!$D$2=CN5),'2026DATA'!$G$10,"")</f>
        <v/>
      </c>
      <c r="CO13" s="518" t="str">
        <f>IF(AND(_6="A-330-200",'2026'!$D$4="FO",'2026'!$D$2=CO5),'2026DATA'!$H$10,"")</f>
        <v/>
      </c>
      <c r="CP13" s="518" t="str">
        <f>IF(AND(_6="A-330-200",'2026'!$D$4="FO",'2026'!$D$2=CP5),'2026DATA'!$I$10,"")</f>
        <v/>
      </c>
      <c r="CQ13" s="518" t="str">
        <f>IF(AND(_6="A-330-200",'2026'!$D$4="FO",'2026'!$D$2=CQ5),'2026DATA'!$J$10,"")</f>
        <v/>
      </c>
      <c r="CR13" s="518" t="str">
        <f>IF(AND(_6="A-330-200",'2026'!$D$4="FO",'2026'!$D$2=CR5),'2026DATA'!$K$10,"")</f>
        <v/>
      </c>
      <c r="CS13" s="518" t="str">
        <f>IF(AND(_6="A-330-200",'2026'!$D$4="FO",'2026'!$D$2=CS5),'2026DATA'!$L$10,"")</f>
        <v/>
      </c>
      <c r="CT13" s="518" t="str">
        <f>IF(AND(_6="A-330-200",'2026'!$D$4="FO",'2026'!$D$2=CT5),'2026DATA'!$M$10,"")</f>
        <v/>
      </c>
      <c r="CU13" s="520" t="str">
        <f>IF(AND(_6="A-330-200",'2026'!$D$4="FO",'2026'!$D$2=CU5),'2026DATA'!$N$10,"")</f>
        <v/>
      </c>
    </row>
    <row r="14" spans="1:99" x14ac:dyDescent="0.25">
      <c r="A14" s="987"/>
      <c r="B14" s="64" t="s">
        <v>62</v>
      </c>
      <c r="C14" s="84">
        <v>276.56</v>
      </c>
      <c r="D14" s="31">
        <v>273.33999999999997</v>
      </c>
      <c r="E14" s="31" t="s">
        <v>94</v>
      </c>
      <c r="F14" s="31">
        <v>265.60000000000002</v>
      </c>
      <c r="G14" s="31">
        <v>262.94</v>
      </c>
      <c r="H14" s="31">
        <v>256.92</v>
      </c>
      <c r="I14" s="31">
        <v>250.02</v>
      </c>
      <c r="J14" s="31">
        <v>243.92</v>
      </c>
      <c r="K14" s="31">
        <v>238.1</v>
      </c>
      <c r="L14" s="31">
        <v>232.42</v>
      </c>
      <c r="M14" s="31">
        <v>198.62</v>
      </c>
      <c r="N14" s="32">
        <v>125.52</v>
      </c>
      <c r="P14" s="940" t="s">
        <v>42</v>
      </c>
      <c r="Q14" s="13" t="s">
        <v>61</v>
      </c>
      <c r="R14" s="518" t="str">
        <f>IF(AND(_1="B-767-400ER",'2026'!$D$4="CA",'2026'!$D$2=R5),'2026DATA'!$C$11,"")</f>
        <v/>
      </c>
      <c r="S14" s="518" t="str">
        <f>IF(AND(_1="B-767-400ER",'2026'!$D$4="CA",'2026'!$D$2=S5),'2026DATA'!$D$11,"")</f>
        <v/>
      </c>
      <c r="T14" s="518" t="str">
        <f>IF(AND(_1="B-767-400ER",'2026'!$D$4="CA",'2026'!$D$2=T5),'2026DATA'!$E$11,"")</f>
        <v/>
      </c>
      <c r="U14" s="518" t="str">
        <f>IF(AND(_1="B-767-400ER",'2026'!$D$4="CA",'2026'!$D$2=U5),'2026DATA'!$F$11,"")</f>
        <v/>
      </c>
      <c r="V14" s="518" t="str">
        <f>IF(AND(_1="B-767-400ER",'2026'!$D$4="CA",'2026'!$D$2=V5),'2026DATA'!$G$11,"")</f>
        <v/>
      </c>
      <c r="W14" s="518" t="str">
        <f>IF(AND(_1="B-767-400ER",'2026'!$D$4="CA",'2026'!$D$2=W5),'2026DATA'!$H$11,"")</f>
        <v/>
      </c>
      <c r="X14" s="518" t="str">
        <f>IF(AND(_1="B-767-400ER",'2026'!$D$4="CA",'2026'!$D$2=X5),'2026DATA'!$I$11,"")</f>
        <v/>
      </c>
      <c r="Y14" s="518" t="str">
        <f>IF(AND(_1="B-767-400ER",'2026'!$D$4="CA",'2026'!$D$2=Y5),'2026DATA'!$J$11,"")</f>
        <v/>
      </c>
      <c r="Z14" s="518" t="str">
        <f>IF(AND(_1="B-767-400ER",'2026'!$D$4="CA",'2026'!$D$2=Z5),'2026DATA'!$K$11,"")</f>
        <v/>
      </c>
      <c r="AA14" s="518" t="str">
        <f>IF(AND(_1="B-767-400ER",'2026'!$D$4="CA",'2026'!$D$2=AA5),'2026DATA'!$L$11,"")</f>
        <v/>
      </c>
      <c r="AB14" s="518" t="str">
        <f>IF(AND(_1="B-767-400ER",'2026'!$D$4="CA",'2026'!$D$2=AB5),'2026DATA'!$M$11,"")</f>
        <v/>
      </c>
      <c r="AC14" s="520" t="str">
        <f>IF(AND(_1="B-767-400ER",'2026'!$D$4="CA",'2026'!$D$2=AC5),'2026DATA'!$N$11,"")</f>
        <v/>
      </c>
      <c r="AD14" s="940" t="s">
        <v>42</v>
      </c>
      <c r="AE14" s="13" t="s">
        <v>61</v>
      </c>
      <c r="AF14" s="518" t="str">
        <f>IF(AND(_2="B-767-400ER",'2026'!$D$4="CA",'2026'!$D$2=AF5),'2026DATA'!$C$11,"")</f>
        <v/>
      </c>
      <c r="AG14" s="518" t="str">
        <f>IF(AND(_2="B-767-400ER",'2026'!$D$4="CA",'2026'!$D$2=AG5),'2026DATA'!$D$11,"")</f>
        <v/>
      </c>
      <c r="AH14" s="518" t="str">
        <f>IF(AND(_2="B-767-400ER",'2026'!$D$4="CA",'2026'!$D$2=AH5),'2026DATA'!$E$11,"")</f>
        <v/>
      </c>
      <c r="AI14" s="518" t="str">
        <f>IF(AND(_2="B-767-400ER",'2026'!$D$4="CA",'2026'!$D$2=AI5),'2026DATA'!$F$11,"")</f>
        <v/>
      </c>
      <c r="AJ14" s="518" t="str">
        <f>IF(AND(_2="B-767-400ER",'2026'!$D$4="CA",'2026'!$D$2=AJ5),'2026DATA'!$G$11,"")</f>
        <v/>
      </c>
      <c r="AK14" s="518" t="str">
        <f>IF(AND(_2="B-767-400ER",'2026'!$D$4="CA",'2026'!$D$2=AK5),'2026DATA'!$H$11,"")</f>
        <v/>
      </c>
      <c r="AL14" s="518" t="str">
        <f>IF(AND(_2="B-767-400ER",'2026'!$D$4="CA",'2026'!$D$2=AL5),'2026DATA'!$I$11,"")</f>
        <v/>
      </c>
      <c r="AM14" s="518" t="str">
        <f>IF(AND(_2="B-767-400ER",'2026'!$D$4="CA",'2026'!$D$2=AM5),'2026DATA'!$J$11,"")</f>
        <v/>
      </c>
      <c r="AN14" s="518" t="str">
        <f>IF(AND(_2="B-767-400ER",'2026'!$D$4="CA",'2026'!$D$2=AN5),'2026DATA'!$K$11,"")</f>
        <v/>
      </c>
      <c r="AO14" s="518" t="str">
        <f>IF(AND(_2="B-767-400ER",'2026'!$D$4="CA",'2026'!$D$2=AO5),'2026DATA'!$L$11,"")</f>
        <v/>
      </c>
      <c r="AP14" s="518" t="str">
        <f>IF(AND(_2="B-767-400ER",'2026'!$D$4="CA",'2026'!$D$2=AP5),'2026DATA'!$M$11,"")</f>
        <v/>
      </c>
      <c r="AQ14" s="520" t="str">
        <f>IF(AND(_2="B-767-400ER",'2026'!$D$4="CA",'2026'!$D$2=AQ5),'2026DATA'!$N$11,"")</f>
        <v/>
      </c>
      <c r="AR14" s="940" t="s">
        <v>42</v>
      </c>
      <c r="AS14" s="13" t="s">
        <v>61</v>
      </c>
      <c r="AT14" s="518" t="str">
        <f>IF(AND(_3="B-767-400ER",'2026'!$D$4="CA",'2026'!$D$2=AT5),'2026DATA'!$C$11,"")</f>
        <v/>
      </c>
      <c r="AU14" s="518" t="str">
        <f>IF(AND(_3="B-767-400ER",'2026'!$D$4="CA",'2026'!$D$2=AU5),'2026DATA'!$D$11,"")</f>
        <v/>
      </c>
      <c r="AV14" s="518" t="str">
        <f>IF(AND(_3="B-767-400ER",'2026'!$D$4="CA",'2026'!$D$2=AV5),'2026DATA'!$E$11,"")</f>
        <v/>
      </c>
      <c r="AW14" s="518" t="str">
        <f>IF(AND(_3="B-767-400ER",'2026'!$D$4="CA",'2026'!$D$2=AW5),'2026DATA'!$F$11,"")</f>
        <v/>
      </c>
      <c r="AX14" s="518" t="str">
        <f>IF(AND(_3="B-767-400ER",'2026'!$D$4="CA",'2026'!$D$2=AX5),'2026DATA'!$G$11,"")</f>
        <v/>
      </c>
      <c r="AY14" s="518" t="str">
        <f>IF(AND(_3="B-767-400ER",'2026'!$D$4="CA",'2026'!$D$2=AY5),'2026DATA'!$H$11,"")</f>
        <v/>
      </c>
      <c r="AZ14" s="518" t="str">
        <f>IF(AND(_3="B-767-400ER",'2026'!$D$4="CA",'2026'!$D$2=AZ5),'2026DATA'!$I$11,"")</f>
        <v/>
      </c>
      <c r="BA14" s="518" t="str">
        <f>IF(AND(_3="B-767-400ER",'2026'!$D$4="CA",'2026'!$D$2=BA5),'2026DATA'!$J$11,"")</f>
        <v/>
      </c>
      <c r="BB14" s="518" t="str">
        <f>IF(AND(_3="B-767-400ER",'2026'!$D$4="CA",'2026'!$D$2=BB5),'2026DATA'!$K$11,"")</f>
        <v/>
      </c>
      <c r="BC14" s="518" t="str">
        <f>IF(AND(_3="B-767-400ER",'2026'!$D$4="CA",'2026'!$D$2=BC5),'2026DATA'!$L$11,"")</f>
        <v/>
      </c>
      <c r="BD14" s="518" t="str">
        <f>IF(AND(_3="B-767-400ER",'2026'!$D$4="CA",'2026'!$D$2=BD5),'2026DATA'!$M$11,"")</f>
        <v/>
      </c>
      <c r="BE14" s="520" t="str">
        <f>IF(AND(_3="B-767-400ER",'2026'!$D$4="CA",'2026'!$D$2=BE5),'2026DATA'!$N$11,"")</f>
        <v/>
      </c>
      <c r="BF14" s="940" t="s">
        <v>42</v>
      </c>
      <c r="BG14" s="13" t="s">
        <v>61</v>
      </c>
      <c r="BH14" s="518" t="str">
        <f>IF(AND(_4="B-767-400ER",'2026'!$D$4="CA",'2026'!$D$2=BH5),'2026DATA'!$C$11,"")</f>
        <v/>
      </c>
      <c r="BI14" s="518" t="str">
        <f>IF(AND(_4="B-767-400ER",'2026'!$D$4="CA",'2026'!$D$2=BI5),'2026DATA'!$D$11,"")</f>
        <v/>
      </c>
      <c r="BJ14" s="518" t="str">
        <f>IF(AND(_4="B-767-400ER",'2026'!$D$4="CA",'2026'!$D$2=BJ5),'2026DATA'!$E$11,"")</f>
        <v/>
      </c>
      <c r="BK14" s="518" t="str">
        <f>IF(AND(_4="B-767-400ER",'2026'!$D$4="CA",'2026'!$D$2=BK5),'2026DATA'!$F$11,"")</f>
        <v/>
      </c>
      <c r="BL14" s="518" t="str">
        <f>IF(AND(_4="B-767-400ER",'2026'!$D$4="CA",'2026'!$D$2=BL5),'2026DATA'!$G$11,"")</f>
        <v/>
      </c>
      <c r="BM14" s="518" t="str">
        <f>IF(AND(_4="B-767-400ER",'2026'!$D$4="CA",'2026'!$D$2=BM5),'2026DATA'!$H$11,"")</f>
        <v/>
      </c>
      <c r="BN14" s="518" t="str">
        <f>IF(AND(_4="B-767-400ER",'2026'!$D$4="CA",'2026'!$D$2=BN5),'2026DATA'!$I$11,"")</f>
        <v/>
      </c>
      <c r="BO14" s="518" t="str">
        <f>IF(AND(_4="B-767-400ER",'2026'!$D$4="CA",'2026'!$D$2=BO5),'2026DATA'!$J$11,"")</f>
        <v/>
      </c>
      <c r="BP14" s="518" t="str">
        <f>IF(AND(_4="B-767-400ER",'2026'!$D$4="CA",'2026'!$D$2=BP5),'2026DATA'!$K$11,"")</f>
        <v/>
      </c>
      <c r="BQ14" s="518" t="str">
        <f>IF(AND(_4="B-767-400ER",'2026'!$D$4="CA",'2026'!$D$2=BQ5),'2026DATA'!$L$11,"")</f>
        <v/>
      </c>
      <c r="BR14" s="518" t="str">
        <f>IF(AND(_4="B-767-400ER",'2026'!$D$4="CA",'2026'!$D$2=BR5),'2026DATA'!$M$11,"")</f>
        <v/>
      </c>
      <c r="BS14" s="520" t="str">
        <f>IF(AND(_4="B-767-400ER",'2026'!$D$4="CA",'2026'!$D$2=BS5),'2026DATA'!$N$11,"")</f>
        <v/>
      </c>
      <c r="BT14" s="940" t="s">
        <v>42</v>
      </c>
      <c r="BU14" s="13" t="s">
        <v>61</v>
      </c>
      <c r="BV14" s="518" t="str">
        <f>IF(AND(_5="B-767-400ER",'2026'!$D$4="CA",'2026'!$D$2=BV5),'2026DATA'!$C$11,"")</f>
        <v/>
      </c>
      <c r="BW14" s="518" t="str">
        <f>IF(AND(_5="B-767-400ER",'2026'!$D$4="CA",'2026'!$D$2=BW5),'2026DATA'!$D$11,"")</f>
        <v/>
      </c>
      <c r="BX14" s="518" t="str">
        <f>IF(AND(_5="B-767-400ER",'2026'!$D$4="CA",'2026'!$D$2=BX5),'2026DATA'!$E$11,"")</f>
        <v/>
      </c>
      <c r="BY14" s="518" t="str">
        <f>IF(AND(_5="B-767-400ER",'2026'!$D$4="CA",'2026'!$D$2=BY5),'2026DATA'!$F$11,"")</f>
        <v/>
      </c>
      <c r="BZ14" s="518" t="str">
        <f>IF(AND(_5="B-767-400ER",'2026'!$D$4="CA",'2026'!$D$2=BZ5),'2026DATA'!$G$11,"")</f>
        <v/>
      </c>
      <c r="CA14" s="518" t="str">
        <f>IF(AND(_5="B-767-400ER",'2026'!$D$4="CA",'2026'!$D$2=CA5),'2026DATA'!$H$11,"")</f>
        <v/>
      </c>
      <c r="CB14" s="518" t="str">
        <f>IF(AND(_5="B-767-400ER",'2026'!$D$4="CA",'2026'!$D$2=CB5),'2026DATA'!$I$11,"")</f>
        <v/>
      </c>
      <c r="CC14" s="518" t="str">
        <f>IF(AND(_5="B-767-400ER",'2026'!$D$4="CA",'2026'!$D$2=CC5),'2026DATA'!$J$11,"")</f>
        <v/>
      </c>
      <c r="CD14" s="518" t="str">
        <f>IF(AND(_5="B-767-400ER",'2026'!$D$4="CA",'2026'!$D$2=CD5),'2026DATA'!$K$11,"")</f>
        <v/>
      </c>
      <c r="CE14" s="518" t="str">
        <f>IF(AND(_5="B-767-400ER",'2026'!$D$4="CA",'2026'!$D$2=CE5),'2026DATA'!$L$11,"")</f>
        <v/>
      </c>
      <c r="CF14" s="518" t="str">
        <f>IF(AND(_5="B-767-400ER",'2026'!$D$4="CA",'2026'!$D$2=CF5),'2026DATA'!$M$11,"")</f>
        <v/>
      </c>
      <c r="CG14" s="520" t="str">
        <f>IF(AND(_5="B-767-400ER",'2026'!$D$4="CA",'2026'!$D$2=CG5),'2026DATA'!$N$11,"")</f>
        <v/>
      </c>
      <c r="CH14" s="940" t="s">
        <v>42</v>
      </c>
      <c r="CI14" s="13" t="s">
        <v>61</v>
      </c>
      <c r="CJ14" s="518" t="str">
        <f>IF(AND(_6="B-767-400ER",'2026'!$D$4="CA",'2026'!$D$2=CJ5),'2026DATA'!$C$11,"")</f>
        <v/>
      </c>
      <c r="CK14" s="518" t="str">
        <f>IF(AND(_6="B-767-400ER",'2026'!$D$4="CA",'2026'!$D$2=CK5),'2026DATA'!$D$11,"")</f>
        <v/>
      </c>
      <c r="CL14" s="518" t="str">
        <f>IF(AND(_6="B-767-400ER",'2026'!$D$4="CA",'2026'!$D$2=CL5),'2026DATA'!$E$11,"")</f>
        <v/>
      </c>
      <c r="CM14" s="518" t="str">
        <f>IF(AND(_6="B-767-400ER",'2026'!$D$4="CA",'2026'!$D$2=CM5),'2026DATA'!$F$11,"")</f>
        <v/>
      </c>
      <c r="CN14" s="518" t="str">
        <f>IF(AND(_6="B-767-400ER",'2026'!$D$4="CA",'2026'!$D$2=CN5),'2026DATA'!$G$11,"")</f>
        <v/>
      </c>
      <c r="CO14" s="518" t="str">
        <f>IF(AND(_6="B-767-400ER",'2026'!$D$4="CA",'2026'!$D$2=CO5),'2026DATA'!$H$11,"")</f>
        <v/>
      </c>
      <c r="CP14" s="518" t="str">
        <f>IF(AND(_6="B-767-400ER",'2026'!$D$4="CA",'2026'!$D$2=CP5),'2026DATA'!$I$11,"")</f>
        <v/>
      </c>
      <c r="CQ14" s="518" t="str">
        <f>IF(AND(_6="B-767-400ER",'2026'!$D$4="CA",'2026'!$D$2=CQ5),'2026DATA'!$J$11,"")</f>
        <v/>
      </c>
      <c r="CR14" s="518" t="str">
        <f>IF(AND(_6="B-767-400ER",'2026'!$D$4="CA",'2026'!$D$2=CR5),'2026DATA'!$K$11,"")</f>
        <v/>
      </c>
      <c r="CS14" s="518" t="str">
        <f>IF(AND(_6="B-767-400ER",'2026'!$D$4="CA",'2026'!$D$2=CS5),'2026DATA'!$L$11,"")</f>
        <v/>
      </c>
      <c r="CT14" s="518" t="str">
        <f>IF(AND(_6="B-767-400ER",'2026'!$D$4="CA",'2026'!$D$2=CT5),'2026DATA'!$M$11,"")</f>
        <v/>
      </c>
      <c r="CU14" s="520" t="str">
        <f>IF(AND(_6="B-767-400ER",'2026'!$D$4="CA",'2026'!$D$2=CU5),'2026DATA'!$N$11,"")</f>
        <v/>
      </c>
    </row>
    <row r="15" spans="1:99" x14ac:dyDescent="0.25">
      <c r="A15" s="987" t="s">
        <v>67</v>
      </c>
      <c r="B15" s="64" t="s">
        <v>61</v>
      </c>
      <c r="C15" s="84">
        <v>404.92</v>
      </c>
      <c r="D15" s="31">
        <v>400.77</v>
      </c>
      <c r="E15" s="31">
        <v>396.5</v>
      </c>
      <c r="F15" s="31">
        <v>392.29</v>
      </c>
      <c r="G15" s="31">
        <v>389.52</v>
      </c>
      <c r="H15" s="31">
        <v>386.33</v>
      </c>
      <c r="I15" s="31">
        <v>383.48</v>
      </c>
      <c r="J15" s="31">
        <v>380.51</v>
      </c>
      <c r="K15" s="31">
        <v>377.31</v>
      </c>
      <c r="L15" s="31">
        <v>374.27</v>
      </c>
      <c r="M15" s="31">
        <v>371.26</v>
      </c>
      <c r="N15" s="32">
        <v>368.14</v>
      </c>
      <c r="P15" s="940"/>
      <c r="Q15" s="13" t="s">
        <v>62</v>
      </c>
      <c r="R15" s="518" t="str">
        <f>IF(AND(_1="B-767-400ER",'2026'!$D$4="FO",'2026'!$D$2=R5),'2026DATA'!$C$12,"")</f>
        <v/>
      </c>
      <c r="S15" s="518" t="str">
        <f>IF(AND(_1="B-767-400ER",'2026'!$D$4="FO",'2026'!$D$2=S5),'2026DATA'!$D$12,"")</f>
        <v/>
      </c>
      <c r="T15" s="518" t="str">
        <f>IF(AND(_1="B-767-400ER",'2026'!$D$4="FO",'2026'!$D$2=T5),'2026DATA'!$E$12,"")</f>
        <v/>
      </c>
      <c r="U15" s="518" t="str">
        <f>IF(AND(_1="B-767-400ER",'2026'!$D$4="FO",'2026'!$D$2=U5),'2026DATA'!$F$12,"")</f>
        <v/>
      </c>
      <c r="V15" s="518" t="str">
        <f>IF(AND(_1="B-767-400ER",'2026'!$D$4="FO",'2026'!$D$2=V5),'2026DATA'!$G$12,"")</f>
        <v/>
      </c>
      <c r="W15" s="518" t="str">
        <f>IF(AND(_1="B-767-400ER",'2026'!$D$4="FO",'2026'!$D$2=W5),'2026DATA'!$H$12,"")</f>
        <v/>
      </c>
      <c r="X15" s="518" t="str">
        <f>IF(AND(_1="B-767-400ER",'2026'!$D$4="FO",'2026'!$D$2=X5),'2026DATA'!$I$12,"")</f>
        <v/>
      </c>
      <c r="Y15" s="518" t="str">
        <f>IF(AND(_1="B-767-400ER",'2026'!$D$4="FO",'2026'!$D$2=Y5),'2026DATA'!$J$12,"")</f>
        <v/>
      </c>
      <c r="Z15" s="518" t="str">
        <f>IF(AND(_1="B-767-400ER",'2026'!$D$4="FO",'2026'!$D$2=Z5),'2026DATA'!$K$12,"")</f>
        <v/>
      </c>
      <c r="AA15" s="518" t="str">
        <f>IF(AND(_1="B-767-400ER",'2026'!$D$4="FO",'2026'!$D$2=AA5),'2026DATA'!$L$12,"")</f>
        <v/>
      </c>
      <c r="AB15" s="518" t="str">
        <f>IF(AND(_1="B-767-400ER",'2026'!$D$4="FO",'2026'!$D$2=AB5),'2026DATA'!$M$12,"")</f>
        <v/>
      </c>
      <c r="AC15" s="520" t="str">
        <f>IF(AND(_1="B-767-400ER",'2026'!$D$4="FO",'2026'!$D$2=AC5),'2026DATA'!$N$12,"")</f>
        <v/>
      </c>
      <c r="AD15" s="940"/>
      <c r="AE15" s="13" t="s">
        <v>62</v>
      </c>
      <c r="AF15" s="518" t="str">
        <f>IF(AND(_2="B-767-400ER",'2026'!$D$4="FO",'2026'!$D$2=AF5),'2026DATA'!$C$12,"")</f>
        <v/>
      </c>
      <c r="AG15" s="518" t="str">
        <f>IF(AND(_2="B-767-400ER",'2026'!$D$4="FO",'2026'!$D$2=AG5),'2026DATA'!$D$12,"")</f>
        <v/>
      </c>
      <c r="AH15" s="518" t="str">
        <f>IF(AND(_2="B-767-400ER",'2026'!$D$4="FO",'2026'!$D$2=AH5),'2026DATA'!$E$12,"")</f>
        <v/>
      </c>
      <c r="AI15" s="518" t="str">
        <f>IF(AND(_2="B-767-400ER",'2026'!$D$4="FO",'2026'!$D$2=AI5),'2026DATA'!$F$12,"")</f>
        <v/>
      </c>
      <c r="AJ15" s="518" t="str">
        <f>IF(AND(_2="B-767-400ER",'2026'!$D$4="FO",'2026'!$D$2=AJ5),'2026DATA'!$G$12,"")</f>
        <v/>
      </c>
      <c r="AK15" s="518" t="str">
        <f>IF(AND(_2="B-767-400ER",'2026'!$D$4="FO",'2026'!$D$2=AK5),'2026DATA'!$H$12,"")</f>
        <v/>
      </c>
      <c r="AL15" s="518" t="str">
        <f>IF(AND(_2="B-767-400ER",'2026'!$D$4="FO",'2026'!$D$2=AL5),'2026DATA'!$I$12,"")</f>
        <v/>
      </c>
      <c r="AM15" s="518" t="str">
        <f>IF(AND(_2="B-767-400ER",'2026'!$D$4="FO",'2026'!$D$2=AM5),'2026DATA'!$J$12,"")</f>
        <v/>
      </c>
      <c r="AN15" s="518" t="str">
        <f>IF(AND(_2="B-767-400ER",'2026'!$D$4="FO",'2026'!$D$2=AN5),'2026DATA'!$K$12,"")</f>
        <v/>
      </c>
      <c r="AO15" s="518" t="str">
        <f>IF(AND(_2="B-767-400ER",'2026'!$D$4="FO",'2026'!$D$2=AO5),'2026DATA'!$L$12,"")</f>
        <v/>
      </c>
      <c r="AP15" s="518" t="str">
        <f>IF(AND(_2="B-767-400ER",'2026'!$D$4="FO",'2026'!$D$2=AP5),'2026DATA'!$M$12,"")</f>
        <v/>
      </c>
      <c r="AQ15" s="520" t="str">
        <f>IF(AND(_2="B-767-400ER",'2026'!$D$4="FO",'2026'!$D$2=AQ5),'2026DATA'!$N$12,"")</f>
        <v/>
      </c>
      <c r="AR15" s="940"/>
      <c r="AS15" s="13" t="s">
        <v>62</v>
      </c>
      <c r="AT15" s="518" t="str">
        <f>IF(AND(_3="B-767-400ER",'2026'!$D$4="FO",'2026'!$D$2=AT5),'2026DATA'!$C$12,"")</f>
        <v/>
      </c>
      <c r="AU15" s="518" t="str">
        <f>IF(AND(_3="B-767-400ER",'2026'!$D$4="FO",'2026'!$D$2=AU5),'2026DATA'!$D$12,"")</f>
        <v/>
      </c>
      <c r="AV15" s="518" t="str">
        <f>IF(AND(_3="B-767-400ER",'2026'!$D$4="FO",'2026'!$D$2=AV5),'2026DATA'!$E$12,"")</f>
        <v/>
      </c>
      <c r="AW15" s="518" t="str">
        <f>IF(AND(_3="B-767-400ER",'2026'!$D$4="FO",'2026'!$D$2=AW5),'2026DATA'!$F$12,"")</f>
        <v/>
      </c>
      <c r="AX15" s="518" t="str">
        <f>IF(AND(_3="B-767-400ER",'2026'!$D$4="FO",'2026'!$D$2=AX5),'2026DATA'!$G$12,"")</f>
        <v/>
      </c>
      <c r="AY15" s="518" t="str">
        <f>IF(AND(_3="B-767-400ER",'2026'!$D$4="FO",'2026'!$D$2=AY5),'2026DATA'!$H$12,"")</f>
        <v/>
      </c>
      <c r="AZ15" s="518" t="str">
        <f>IF(AND(_3="B-767-400ER",'2026'!$D$4="FO",'2026'!$D$2=AZ5),'2026DATA'!$I$12,"")</f>
        <v/>
      </c>
      <c r="BA15" s="518" t="str">
        <f>IF(AND(_3="B-767-400ER",'2026'!$D$4="FO",'2026'!$D$2=BA5),'2026DATA'!$J$12,"")</f>
        <v/>
      </c>
      <c r="BB15" s="518" t="str">
        <f>IF(AND(_3="B-767-400ER",'2026'!$D$4="FO",'2026'!$D$2=BB5),'2026DATA'!$K$12,"")</f>
        <v/>
      </c>
      <c r="BC15" s="518" t="str">
        <f>IF(AND(_3="B-767-400ER",'2026'!$D$4="FO",'2026'!$D$2=BC5),'2026DATA'!$L$12,"")</f>
        <v/>
      </c>
      <c r="BD15" s="518" t="str">
        <f>IF(AND(_3="B-767-400ER",'2026'!$D$4="FO",'2026'!$D$2=BD5),'2026DATA'!$M$12,"")</f>
        <v/>
      </c>
      <c r="BE15" s="520" t="str">
        <f>IF(AND(_3="B-767-400ER",'2026'!$D$4="FO",'2026'!$D$2=BE5),'2026DATA'!$N$12,"")</f>
        <v/>
      </c>
      <c r="BF15" s="940"/>
      <c r="BG15" s="13" t="s">
        <v>62</v>
      </c>
      <c r="BH15" s="518" t="str">
        <f>IF(AND(_4="B-767-400ER",'2026'!$D$4="FO",'2026'!$D$2=BH5),'2026DATA'!$C$12,"")</f>
        <v/>
      </c>
      <c r="BI15" s="518" t="str">
        <f>IF(AND(_4="B-767-400ER",'2026'!$D$4="FO",'2026'!$D$2=BI5),'2026DATA'!$D$12,"")</f>
        <v/>
      </c>
      <c r="BJ15" s="518" t="str">
        <f>IF(AND(_4="B-767-400ER",'2026'!$D$4="FO",'2026'!$D$2=BJ5),'2026DATA'!$E$12,"")</f>
        <v/>
      </c>
      <c r="BK15" s="518" t="str">
        <f>IF(AND(_4="B-767-400ER",'2026'!$D$4="FO",'2026'!$D$2=BK5),'2026DATA'!$F$12,"")</f>
        <v/>
      </c>
      <c r="BL15" s="518" t="str">
        <f>IF(AND(_4="B-767-400ER",'2026'!$D$4="FO",'2026'!$D$2=BL5),'2026DATA'!$G$12,"")</f>
        <v/>
      </c>
      <c r="BM15" s="518" t="str">
        <f>IF(AND(_4="B-767-400ER",'2026'!$D$4="FO",'2026'!$D$2=BM5),'2026DATA'!$H$12,"")</f>
        <v/>
      </c>
      <c r="BN15" s="518" t="str">
        <f>IF(AND(_4="B-767-400ER",'2026'!$D$4="FO",'2026'!$D$2=BN5),'2026DATA'!$I$12,"")</f>
        <v/>
      </c>
      <c r="BO15" s="518" t="str">
        <f>IF(AND(_4="B-767-400ER",'2026'!$D$4="FO",'2026'!$D$2=BO5),'2026DATA'!$J$12,"")</f>
        <v/>
      </c>
      <c r="BP15" s="518" t="str">
        <f>IF(AND(_4="B-767-400ER",'2026'!$D$4="FO",'2026'!$D$2=BP5),'2026DATA'!$K$12,"")</f>
        <v/>
      </c>
      <c r="BQ15" s="518" t="str">
        <f>IF(AND(_4="B-767-400ER",'2026'!$D$4="FO",'2026'!$D$2=BQ5),'2026DATA'!$L$12,"")</f>
        <v/>
      </c>
      <c r="BR15" s="518" t="str">
        <f>IF(AND(_4="B-767-400ER",'2026'!$D$4="FO",'2026'!$D$2=BR5),'2026DATA'!$M$12,"")</f>
        <v/>
      </c>
      <c r="BS15" s="520" t="str">
        <f>IF(AND(_4="B-767-400ER",'2026'!$D$4="FO",'2026'!$D$2=BS5),'2026DATA'!$N$12,"")</f>
        <v/>
      </c>
      <c r="BT15" s="940"/>
      <c r="BU15" s="13" t="s">
        <v>62</v>
      </c>
      <c r="BV15" s="518" t="str">
        <f>IF(AND(_5="B-767-400ER",'2026'!$D$4="FO",'2026'!$D$2=BV5),'2026DATA'!$C$12,"")</f>
        <v/>
      </c>
      <c r="BW15" s="518" t="str">
        <f>IF(AND(_5="B-767-400ER",'2026'!$D$4="FO",'2026'!$D$2=BW5),'2026DATA'!$D$12,"")</f>
        <v/>
      </c>
      <c r="BX15" s="518" t="str">
        <f>IF(AND(_5="B-767-400ER",'2026'!$D$4="FO",'2026'!$D$2=BX5),'2026DATA'!$E$12,"")</f>
        <v/>
      </c>
      <c r="BY15" s="518" t="str">
        <f>IF(AND(_5="B-767-400ER",'2026'!$D$4="FO",'2026'!$D$2=BY5),'2026DATA'!$F$12,"")</f>
        <v/>
      </c>
      <c r="BZ15" s="518" t="str">
        <f>IF(AND(_5="B-767-400ER",'2026'!$D$4="FO",'2026'!$D$2=BZ5),'2026DATA'!$G$12,"")</f>
        <v/>
      </c>
      <c r="CA15" s="518" t="str">
        <f>IF(AND(_5="B-767-400ER",'2026'!$D$4="FO",'2026'!$D$2=CA5),'2026DATA'!$H$12,"")</f>
        <v/>
      </c>
      <c r="CB15" s="518" t="str">
        <f>IF(AND(_5="B-767-400ER",'2026'!$D$4="FO",'2026'!$D$2=CB5),'2026DATA'!$I$12,"")</f>
        <v/>
      </c>
      <c r="CC15" s="518" t="str">
        <f>IF(AND(_5="B-767-400ER",'2026'!$D$4="FO",'2026'!$D$2=CC5),'2026DATA'!$J$12,"")</f>
        <v/>
      </c>
      <c r="CD15" s="518" t="str">
        <f>IF(AND(_5="B-767-400ER",'2026'!$D$4="FO",'2026'!$D$2=CD5),'2026DATA'!$K$12,"")</f>
        <v/>
      </c>
      <c r="CE15" s="518" t="str">
        <f>IF(AND(_5="B-767-400ER",'2026'!$D$4="FO",'2026'!$D$2=CE5),'2026DATA'!$L$12,"")</f>
        <v/>
      </c>
      <c r="CF15" s="518" t="str">
        <f>IF(AND(_5="B-767-400ER",'2026'!$D$4="FO",'2026'!$D$2=CF5),'2026DATA'!$M$12,"")</f>
        <v/>
      </c>
      <c r="CG15" s="520" t="str">
        <f>IF(AND(_5="B-767-400ER",'2026'!$D$4="FO",'2026'!$D$2=CG5),'2026DATA'!$N$12,"")</f>
        <v/>
      </c>
      <c r="CH15" s="940"/>
      <c r="CI15" s="13" t="s">
        <v>62</v>
      </c>
      <c r="CJ15" s="518" t="str">
        <f>IF(AND(_6="B-767-400ER",'2026'!$D$4="FO",'2026'!$D$2=CJ5),'2026DATA'!$C$12,"")</f>
        <v/>
      </c>
      <c r="CK15" s="518" t="str">
        <f>IF(AND(_6="B-767-400ER",'2026'!$D$4="FO",'2026'!$D$2=CK5),'2026DATA'!$D$12,"")</f>
        <v/>
      </c>
      <c r="CL15" s="518" t="str">
        <f>IF(AND(_6="B-767-400ER",'2026'!$D$4="FO",'2026'!$D$2=CL5),'2026DATA'!$E$12,"")</f>
        <v/>
      </c>
      <c r="CM15" s="518" t="str">
        <f>IF(AND(_6="B-767-400ER",'2026'!$D$4="FO",'2026'!$D$2=CM5),'2026DATA'!$F$12,"")</f>
        <v/>
      </c>
      <c r="CN15" s="518" t="str">
        <f>IF(AND(_6="B-767-400ER",'2026'!$D$4="FO",'2026'!$D$2=CN5),'2026DATA'!$G$12,"")</f>
        <v/>
      </c>
      <c r="CO15" s="518" t="str">
        <f>IF(AND(_6="B-767-400ER",'2026'!$D$4="FO",'2026'!$D$2=CO5),'2026DATA'!$H$12,"")</f>
        <v/>
      </c>
      <c r="CP15" s="518" t="str">
        <f>IF(AND(_6="B-767-400ER",'2026'!$D$4="FO",'2026'!$D$2=CP5),'2026DATA'!$I$12,"")</f>
        <v/>
      </c>
      <c r="CQ15" s="518" t="str">
        <f>IF(AND(_6="B-767-400ER",'2026'!$D$4="FO",'2026'!$D$2=CQ5),'2026DATA'!$J$12,"")</f>
        <v/>
      </c>
      <c r="CR15" s="518" t="str">
        <f>IF(AND(_6="B-767-400ER",'2026'!$D$4="FO",'2026'!$D$2=CR5),'2026DATA'!$K$12,"")</f>
        <v/>
      </c>
      <c r="CS15" s="518" t="str">
        <f>IF(AND(_6="B-767-400ER",'2026'!$D$4="FO",'2026'!$D$2=CS5),'2026DATA'!$L$12,"")</f>
        <v/>
      </c>
      <c r="CT15" s="518" t="str">
        <f>IF(AND(_6="B-767-400ER",'2026'!$D$4="FO",'2026'!$D$2=CT5),'2026DATA'!$M$12,"")</f>
        <v/>
      </c>
      <c r="CU15" s="520" t="str">
        <f>IF(AND(_6="B-767-400ER",'2026'!$D$4="FO",'2026'!$D$2=CU5),'2026DATA'!$N$12,"")</f>
        <v/>
      </c>
    </row>
    <row r="16" spans="1:99" x14ac:dyDescent="0.25">
      <c r="A16" s="987"/>
      <c r="B16" s="64" t="s">
        <v>62</v>
      </c>
      <c r="C16" s="84">
        <v>276.56</v>
      </c>
      <c r="D16" s="31">
        <v>273.33999999999997</v>
      </c>
      <c r="E16" s="31" t="s">
        <v>94</v>
      </c>
      <c r="F16" s="31">
        <v>265.60000000000002</v>
      </c>
      <c r="G16" s="31">
        <v>262.94</v>
      </c>
      <c r="H16" s="31">
        <v>256.92</v>
      </c>
      <c r="I16" s="31">
        <v>250.02</v>
      </c>
      <c r="J16" s="31">
        <v>243.92</v>
      </c>
      <c r="K16" s="31">
        <v>238.1</v>
      </c>
      <c r="L16" s="31">
        <v>232.42</v>
      </c>
      <c r="M16" s="31">
        <v>198.62</v>
      </c>
      <c r="N16" s="32">
        <v>125.52</v>
      </c>
      <c r="P16" s="940" t="s">
        <v>43</v>
      </c>
      <c r="Q16" s="13" t="s">
        <v>61</v>
      </c>
      <c r="R16" s="518" t="str">
        <f>IF(AND(_1="B-767-300ER",'2026'!$D$4="CA",'2026'!$D$2=R5),'2026DATA'!$C$13,"")</f>
        <v/>
      </c>
      <c r="S16" s="518" t="str">
        <f>IF(AND(_1="B-767-300ER",'2026'!$D$4="CA",'2026'!$D$2=S5),'2026DATA'!$D$13,"")</f>
        <v/>
      </c>
      <c r="T16" s="518" t="str">
        <f>IF(AND(_1="B-767-300ER",'2026'!$D$4="CA",'2026'!$D$2=T5),'2026DATA'!$E$13,"")</f>
        <v/>
      </c>
      <c r="U16" s="518" t="str">
        <f>IF(AND(_1="B-767-300ER",'2026'!$D$4="CA",'2026'!$D$2=U5),'2026DATA'!$F$13,"")</f>
        <v/>
      </c>
      <c r="V16" s="518" t="str">
        <f>IF(AND(_1="B-767-300ER",'2026'!$D$4="CA",'2026'!$D$2=V5),'2026DATA'!$G$13,"")</f>
        <v/>
      </c>
      <c r="W16" s="518" t="str">
        <f>IF(AND(_1="B-767-300ER",'2026'!$D$4="CA",'2026'!$D$2=W5),'2026DATA'!$H$13,"")</f>
        <v/>
      </c>
      <c r="X16" s="518" t="str">
        <f>IF(AND(_1="B-767-300ER",'2026'!$D$4="CA",'2026'!$D$2=X5),'2026DATA'!$I$13,"")</f>
        <v/>
      </c>
      <c r="Y16" s="518" t="str">
        <f>IF(AND(_1="B-767-300ER",'2026'!$D$4="CA",'2026'!$D$2=Y5),'2026DATA'!$J$13,"")</f>
        <v/>
      </c>
      <c r="Z16" s="518" t="str">
        <f>IF(AND(_1="B-767-300ER",'2026'!$D$4="CA",'2026'!$D$2=Z5),'2026DATA'!$K$13,"")</f>
        <v/>
      </c>
      <c r="AA16" s="518" t="str">
        <f>IF(AND(_1="B-767-300ER",'2026'!$D$4="CA",'2026'!$D$2=AA5),'2026DATA'!$L$13,"")</f>
        <v/>
      </c>
      <c r="AB16" s="518" t="str">
        <f>IF(AND(_1="B-767-300ER",'2026'!$D$4="CA",'2026'!$D$2=AB5),'2026DATA'!$M$13,"")</f>
        <v/>
      </c>
      <c r="AC16" s="520" t="str">
        <f>IF(AND(_1="B-767-300ER",'2026'!$D$4="CA",'2026'!$D$2=AC5),'2026DATA'!$N$13,"")</f>
        <v/>
      </c>
      <c r="AD16" s="940" t="s">
        <v>43</v>
      </c>
      <c r="AE16" s="13" t="s">
        <v>61</v>
      </c>
      <c r="AF16" s="518" t="str">
        <f>IF(AND(_2="B-767-300ER",'2026'!$D$4="CA",'2026'!$D$2=AF5),'2026DATA'!$C$13,"")</f>
        <v/>
      </c>
      <c r="AG16" s="518" t="str">
        <f>IF(AND(_2="B-767-300ER",'2026'!$D$4="CA",'2026'!$D$2=AG5),'2026DATA'!$D$13,"")</f>
        <v/>
      </c>
      <c r="AH16" s="518" t="str">
        <f>IF(AND(_2="B-767-300ER",'2026'!$D$4="CA",'2026'!$D$2=AH5),'2026DATA'!$E$13,"")</f>
        <v/>
      </c>
      <c r="AI16" s="518" t="str">
        <f>IF(AND(_2="B-767-300ER",'2026'!$D$4="CA",'2026'!$D$2=AI5),'2026DATA'!$F$13,"")</f>
        <v/>
      </c>
      <c r="AJ16" s="518" t="str">
        <f>IF(AND(_2="B-767-300ER",'2026'!$D$4="CA",'2026'!$D$2=AJ5),'2026DATA'!$G$13,"")</f>
        <v/>
      </c>
      <c r="AK16" s="518" t="str">
        <f>IF(AND(_2="B-767-300ER",'2026'!$D$4="CA",'2026'!$D$2=AK5),'2026DATA'!$H$13,"")</f>
        <v/>
      </c>
      <c r="AL16" s="518" t="str">
        <f>IF(AND(_2="B-767-300ER",'2026'!$D$4="CA",'2026'!$D$2=AL5),'2026DATA'!$I$13,"")</f>
        <v/>
      </c>
      <c r="AM16" s="518" t="str">
        <f>IF(AND(_2="B-767-300ER",'2026'!$D$4="CA",'2026'!$D$2=AM5),'2026DATA'!$J$13,"")</f>
        <v/>
      </c>
      <c r="AN16" s="518" t="str">
        <f>IF(AND(_2="B-767-300ER",'2026'!$D$4="CA",'2026'!$D$2=AN5),'2026DATA'!$K$13,"")</f>
        <v/>
      </c>
      <c r="AO16" s="518" t="str">
        <f>IF(AND(_2="B-767-300ER",'2026'!$D$4="CA",'2026'!$D$2=AO5),'2026DATA'!$L$13,"")</f>
        <v/>
      </c>
      <c r="AP16" s="518" t="str">
        <f>IF(AND(_2="B-767-300ER",'2026'!$D$4="CA",'2026'!$D$2=AP5),'2026DATA'!$M$13,"")</f>
        <v/>
      </c>
      <c r="AQ16" s="520" t="str">
        <f>IF(AND(_2="B-767-300ER",'2026'!$D$4="CA",'2026'!$D$2=AQ5),'2026DATA'!$N$13,"")</f>
        <v/>
      </c>
      <c r="AR16" s="940" t="s">
        <v>43</v>
      </c>
      <c r="AS16" s="13" t="s">
        <v>61</v>
      </c>
      <c r="AT16" s="518" t="str">
        <f>IF(AND(_3="B-767-300ER",'2026'!$D$4="CA",'2026'!$D$2=AT5),'2026DATA'!$C$13,"")</f>
        <v/>
      </c>
      <c r="AU16" s="518" t="str">
        <f>IF(AND(_3="B-767-300ER",'2026'!$D$4="CA",'2026'!$D$2=AU5),'2026DATA'!$D$13,"")</f>
        <v/>
      </c>
      <c r="AV16" s="518" t="str">
        <f>IF(AND(_3="B-767-300ER",'2026'!$D$4="CA",'2026'!$D$2=AV5),'2026DATA'!$E$13,"")</f>
        <v/>
      </c>
      <c r="AW16" s="518" t="str">
        <f>IF(AND(_3="B-767-300ER",'2026'!$D$4="CA",'2026'!$D$2=AW5),'2026DATA'!$F$13,"")</f>
        <v/>
      </c>
      <c r="AX16" s="518" t="str">
        <f>IF(AND(_3="B-767-300ER",'2026'!$D$4="CA",'2026'!$D$2=AX5),'2026DATA'!$G$13,"")</f>
        <v/>
      </c>
      <c r="AY16" s="518" t="str">
        <f>IF(AND(_3="B-767-300ER",'2026'!$D$4="CA",'2026'!$D$2=AY5),'2026DATA'!$H$13,"")</f>
        <v/>
      </c>
      <c r="AZ16" s="518" t="str">
        <f>IF(AND(_3="B-767-300ER",'2026'!$D$4="CA",'2026'!$D$2=AZ5),'2026DATA'!$I$13,"")</f>
        <v/>
      </c>
      <c r="BA16" s="518" t="str">
        <f>IF(AND(_3="B-767-300ER",'2026'!$D$4="CA",'2026'!$D$2=BA5),'2026DATA'!$J$13,"")</f>
        <v/>
      </c>
      <c r="BB16" s="518" t="str">
        <f>IF(AND(_3="B-767-300ER",'2026'!$D$4="CA",'2026'!$D$2=BB5),'2026DATA'!$K$13,"")</f>
        <v/>
      </c>
      <c r="BC16" s="518" t="str">
        <f>IF(AND(_3="B-767-300ER",'2026'!$D$4="CA",'2026'!$D$2=BC5),'2026DATA'!$L$13,"")</f>
        <v/>
      </c>
      <c r="BD16" s="518" t="str">
        <f>IF(AND(_3="B-767-300ER",'2026'!$D$4="CA",'2026'!$D$2=BD5),'2026DATA'!$M$13,"")</f>
        <v/>
      </c>
      <c r="BE16" s="520" t="str">
        <f>IF(AND(_3="B-767-300ER",'2026'!$D$4="CA",'2026'!$D$2=BE5),'2026DATA'!$N$13,"")</f>
        <v/>
      </c>
      <c r="BF16" s="940" t="s">
        <v>43</v>
      </c>
      <c r="BG16" s="13" t="s">
        <v>61</v>
      </c>
      <c r="BH16" s="518" t="str">
        <f>IF(AND(_4="B-767-300ER",'2026'!$D$4="CA",'2026'!$D$2=BH5),'2026DATA'!$C$13,"")</f>
        <v/>
      </c>
      <c r="BI16" s="518" t="str">
        <f>IF(AND(_4="B-767-300ER",'2026'!$D$4="CA",'2026'!$D$2=BI5),'2026DATA'!$D$13,"")</f>
        <v/>
      </c>
      <c r="BJ16" s="518" t="str">
        <f>IF(AND(_4="B-767-300ER",'2026'!$D$4="CA",'2026'!$D$2=BJ5),'2026DATA'!$E$13,"")</f>
        <v/>
      </c>
      <c r="BK16" s="518" t="str">
        <f>IF(AND(_4="B-767-300ER",'2026'!$D$4="CA",'2026'!$D$2=BK5),'2026DATA'!$F$13,"")</f>
        <v/>
      </c>
      <c r="BL16" s="518" t="str">
        <f>IF(AND(_4="B-767-300ER",'2026'!$D$4="CA",'2026'!$D$2=BL5),'2026DATA'!$G$13,"")</f>
        <v/>
      </c>
      <c r="BM16" s="518" t="str">
        <f>IF(AND(_4="B-767-300ER",'2026'!$D$4="CA",'2026'!$D$2=BM5),'2026DATA'!$H$13,"")</f>
        <v/>
      </c>
      <c r="BN16" s="518" t="str">
        <f>IF(AND(_4="B-767-300ER",'2026'!$D$4="CA",'2026'!$D$2=BN5),'2026DATA'!$I$13,"")</f>
        <v/>
      </c>
      <c r="BO16" s="518" t="str">
        <f>IF(AND(_4="B-767-300ER",'2026'!$D$4="CA",'2026'!$D$2=BO5),'2026DATA'!$J$13,"")</f>
        <v/>
      </c>
      <c r="BP16" s="518" t="str">
        <f>IF(AND(_4="B-767-300ER",'2026'!$D$4="CA",'2026'!$D$2=BP5),'2026DATA'!$K$13,"")</f>
        <v/>
      </c>
      <c r="BQ16" s="518" t="str">
        <f>IF(AND(_4="B-767-300ER",'2026'!$D$4="CA",'2026'!$D$2=BQ5),'2026DATA'!$L$13,"")</f>
        <v/>
      </c>
      <c r="BR16" s="518" t="str">
        <f>IF(AND(_4="B-767-300ER",'2026'!$D$4="CA",'2026'!$D$2=BR5),'2026DATA'!$M$13,"")</f>
        <v/>
      </c>
      <c r="BS16" s="520" t="str">
        <f>IF(AND(_4="B-767-300ER",'2026'!$D$4="CA",'2026'!$D$2=BS5),'2026DATA'!$N$13,"")</f>
        <v/>
      </c>
      <c r="BT16" s="940" t="s">
        <v>43</v>
      </c>
      <c r="BU16" s="13" t="s">
        <v>61</v>
      </c>
      <c r="BV16" s="518" t="str">
        <f>IF(AND(_5="B-767-300ER",'2026'!$D$4="CA",'2026'!$D$2=BV5),'2026DATA'!$C$13,"")</f>
        <v/>
      </c>
      <c r="BW16" s="518" t="str">
        <f>IF(AND(_5="B-767-300ER",'2026'!$D$4="CA",'2026'!$D$2=BW5),'2026DATA'!$D$13,"")</f>
        <v/>
      </c>
      <c r="BX16" s="518" t="str">
        <f>IF(AND(_5="B-767-300ER",'2026'!$D$4="CA",'2026'!$D$2=BX5),'2026DATA'!$E$13,"")</f>
        <v/>
      </c>
      <c r="BY16" s="518" t="str">
        <f>IF(AND(_5="B-767-300ER",'2026'!$D$4="CA",'2026'!$D$2=BY5),'2026DATA'!$F$13,"")</f>
        <v/>
      </c>
      <c r="BZ16" s="518" t="str">
        <f>IF(AND(_5="B-767-300ER",'2026'!$D$4="CA",'2026'!$D$2=BZ5),'2026DATA'!$G$13,"")</f>
        <v/>
      </c>
      <c r="CA16" s="518" t="str">
        <f>IF(AND(_5="B-767-300ER",'2026'!$D$4="CA",'2026'!$D$2=CA5),'2026DATA'!$H$13,"")</f>
        <v/>
      </c>
      <c r="CB16" s="518" t="str">
        <f>IF(AND(_5="B-767-300ER",'2026'!$D$4="CA",'2026'!$D$2=CB5),'2026DATA'!$I$13,"")</f>
        <v/>
      </c>
      <c r="CC16" s="518" t="str">
        <f>IF(AND(_5="B-767-300ER",'2026'!$D$4="CA",'2026'!$D$2=CC5),'2026DATA'!$J$13,"")</f>
        <v/>
      </c>
      <c r="CD16" s="518" t="str">
        <f>IF(AND(_5="B-767-300ER",'2026'!$D$4="CA",'2026'!$D$2=CD5),'2026DATA'!$K$13,"")</f>
        <v/>
      </c>
      <c r="CE16" s="518" t="str">
        <f>IF(AND(_5="B-767-300ER",'2026'!$D$4="CA",'2026'!$D$2=CE5),'2026DATA'!$L$13,"")</f>
        <v/>
      </c>
      <c r="CF16" s="518" t="str">
        <f>IF(AND(_5="B-767-300ER",'2026'!$D$4="CA",'2026'!$D$2=CF5),'2026DATA'!$M$13,"")</f>
        <v/>
      </c>
      <c r="CG16" s="520" t="str">
        <f>IF(AND(_5="B-767-300ER",'2026'!$D$4="CA",'2026'!$D$2=CG5),'2026DATA'!$N$13,"")</f>
        <v/>
      </c>
      <c r="CH16" s="940" t="s">
        <v>43</v>
      </c>
      <c r="CI16" s="13" t="s">
        <v>61</v>
      </c>
      <c r="CJ16" s="518" t="str">
        <f>IF(AND(_6="B-767-300ER",'2026'!$D$4="CA",'2026'!$D$2=CJ5),'2026DATA'!$C$13,"")</f>
        <v/>
      </c>
      <c r="CK16" s="518" t="str">
        <f>IF(AND(_6="B-767-300ER",'2026'!$D$4="CA",'2026'!$D$2=CK5),'2026DATA'!$D$13,"")</f>
        <v/>
      </c>
      <c r="CL16" s="518" t="str">
        <f>IF(AND(_6="B-767-300ER",'2026'!$D$4="CA",'2026'!$D$2=CL5),'2026DATA'!$E$13,"")</f>
        <v/>
      </c>
      <c r="CM16" s="518" t="str">
        <f>IF(AND(_6="B-767-300ER",'2026'!$D$4="CA",'2026'!$D$2=CM5),'2026DATA'!$F$13,"")</f>
        <v/>
      </c>
      <c r="CN16" s="518" t="str">
        <f>IF(AND(_6="B-767-300ER",'2026'!$D$4="CA",'2026'!$D$2=CN5),'2026DATA'!$G$13,"")</f>
        <v/>
      </c>
      <c r="CO16" s="518" t="str">
        <f>IF(AND(_6="B-767-300ER",'2026'!$D$4="CA",'2026'!$D$2=CO5),'2026DATA'!$H$13,"")</f>
        <v/>
      </c>
      <c r="CP16" s="518" t="str">
        <f>IF(AND(_6="B-767-300ER",'2026'!$D$4="CA",'2026'!$D$2=CP5),'2026DATA'!$I$13,"")</f>
        <v/>
      </c>
      <c r="CQ16" s="518" t="str">
        <f>IF(AND(_6="B-767-300ER",'2026'!$D$4="CA",'2026'!$D$2=CQ5),'2026DATA'!$J$13,"")</f>
        <v/>
      </c>
      <c r="CR16" s="518" t="str">
        <f>IF(AND(_6="B-767-300ER",'2026'!$D$4="CA",'2026'!$D$2=CR5),'2026DATA'!$K$13,"")</f>
        <v/>
      </c>
      <c r="CS16" s="518" t="str">
        <f>IF(AND(_6="B-767-300ER",'2026'!$D$4="CA",'2026'!$D$2=CS5),'2026DATA'!$L$13,"")</f>
        <v/>
      </c>
      <c r="CT16" s="518" t="str">
        <f>IF(AND(_6="B-767-300ER",'2026'!$D$4="CA",'2026'!$D$2=CT5),'2026DATA'!$M$13,"")</f>
        <v/>
      </c>
      <c r="CU16" s="520" t="str">
        <f>IF(AND(_6="B-767-300ER",'2026'!$D$4="CA",'2026'!$D$2=CU5),'2026DATA'!$N$13,"")</f>
        <v/>
      </c>
    </row>
    <row r="17" spans="1:99" x14ac:dyDescent="0.25">
      <c r="A17" s="987" t="s">
        <v>68</v>
      </c>
      <c r="B17" s="64" t="s">
        <v>61</v>
      </c>
      <c r="C17" s="84">
        <v>404.92</v>
      </c>
      <c r="D17" s="31">
        <v>400.77</v>
      </c>
      <c r="E17" s="31">
        <v>396.5</v>
      </c>
      <c r="F17" s="31">
        <v>392.29</v>
      </c>
      <c r="G17" s="31">
        <v>389.52</v>
      </c>
      <c r="H17" s="31">
        <v>386.33</v>
      </c>
      <c r="I17" s="31">
        <v>383.48</v>
      </c>
      <c r="J17" s="31">
        <v>380.51</v>
      </c>
      <c r="K17" s="31">
        <v>377.31</v>
      </c>
      <c r="L17" s="31">
        <v>374.27</v>
      </c>
      <c r="M17" s="31">
        <v>371.26</v>
      </c>
      <c r="N17" s="32">
        <v>368.14</v>
      </c>
      <c r="P17" s="940"/>
      <c r="Q17" s="13" t="s">
        <v>62</v>
      </c>
      <c r="R17" s="518" t="str">
        <f>IF(AND(_1="B-767-300ER",'2026'!$D$4="FO",'2026'!$D$2=R5),'2026DATA'!$C$14,"")</f>
        <v/>
      </c>
      <c r="S17" s="518" t="str">
        <f>IF(AND(_1="B-767-300ER",'2026'!$D$4="FO",'2026'!$D$2=S5),'2026DATA'!$D$14,"")</f>
        <v/>
      </c>
      <c r="T17" s="518" t="str">
        <f>IF(AND(_1="B-767-300ER",'2026'!$D$4="FO",'2026'!$D$2=T5),'2026DATA'!$E$14,"")</f>
        <v/>
      </c>
      <c r="U17" s="518" t="str">
        <f>IF(AND(_1="B-767-300ER",'2026'!$D$4="FO",'2026'!$D$2=U5),'2026DATA'!$F$14,"")</f>
        <v/>
      </c>
      <c r="V17" s="518" t="str">
        <f>IF(AND(_1="B-767-300ER",'2026'!$D$4="FO",'2026'!$D$2=V5),'2026DATA'!$G$14,"")</f>
        <v/>
      </c>
      <c r="W17" s="518" t="str">
        <f>IF(AND(_1="B-767-300ER",'2026'!$D$4="FO",'2026'!$D$2=W5),'2026DATA'!$H$14,"")</f>
        <v/>
      </c>
      <c r="X17" s="518" t="str">
        <f>IF(AND(_1="B-767-300ER",'2026'!$D$4="FO",'2026'!$D$2=X5),'2026DATA'!$I$14,"")</f>
        <v/>
      </c>
      <c r="Y17" s="518" t="str">
        <f>IF(AND(_1="B-767-300ER",'2026'!$D$4="FO",'2026'!$D$2=Y5),'2026DATA'!$J$14,"")</f>
        <v/>
      </c>
      <c r="Z17" s="518" t="str">
        <f>IF(AND(_1="B-767-300ER",'2026'!$D$4="FO",'2026'!$D$2=Z5),'2026DATA'!$K$14,"")</f>
        <v/>
      </c>
      <c r="AA17" s="518" t="str">
        <f>IF(AND(_1="B-767-300ER",'2026'!$D$4="FO",'2026'!$D$2=AA5),'2026DATA'!$L$14,"")</f>
        <v/>
      </c>
      <c r="AB17" s="518" t="str">
        <f>IF(AND(_1="B-767-300ER",'2026'!$D$4="FO",'2026'!$D$2=AB5),'2026DATA'!$M$14,"")</f>
        <v/>
      </c>
      <c r="AC17" s="520" t="str">
        <f>IF(AND(_1="B-767-300ER",'2026'!$D$4="FO",'2026'!$D$2=AC5),'2026DATA'!$N$14,"")</f>
        <v/>
      </c>
      <c r="AD17" s="940"/>
      <c r="AE17" s="13" t="s">
        <v>62</v>
      </c>
      <c r="AF17" s="518" t="str">
        <f>IF(AND(_2="B-767-300ER",'2026'!$D$4="FO",'2026'!$D$2=AF5),'2026DATA'!$C$14,"")</f>
        <v/>
      </c>
      <c r="AG17" s="518" t="str">
        <f>IF(AND(_2="B-767-300ER",'2026'!$D$4="FO",'2026'!$D$2=AG5),'2026DATA'!$D$14,"")</f>
        <v/>
      </c>
      <c r="AH17" s="518" t="str">
        <f>IF(AND(_2="B-767-300ER",'2026'!$D$4="FO",'2026'!$D$2=AH5),'2026DATA'!$E$14,"")</f>
        <v/>
      </c>
      <c r="AI17" s="518" t="str">
        <f>IF(AND(_2="B-767-300ER",'2026'!$D$4="FO",'2026'!$D$2=AI5),'2026DATA'!$F$14,"")</f>
        <v/>
      </c>
      <c r="AJ17" s="518" t="str">
        <f>IF(AND(_2="B-767-300ER",'2026'!$D$4="FO",'2026'!$D$2=AJ5),'2026DATA'!$G$14,"")</f>
        <v/>
      </c>
      <c r="AK17" s="518" t="str">
        <f>IF(AND(_2="B-767-300ER",'2026'!$D$4="FO",'2026'!$D$2=AK5),'2026DATA'!$H$14,"")</f>
        <v/>
      </c>
      <c r="AL17" s="518" t="str">
        <f>IF(AND(_2="B-767-300ER",'2026'!$D$4="FO",'2026'!$D$2=AL5),'2026DATA'!$I$14,"")</f>
        <v/>
      </c>
      <c r="AM17" s="518" t="str">
        <f>IF(AND(_2="B-767-300ER",'2026'!$D$4="FO",'2026'!$D$2=AM5),'2026DATA'!$J$14,"")</f>
        <v/>
      </c>
      <c r="AN17" s="518" t="str">
        <f>IF(AND(_2="B-767-300ER",'2026'!$D$4="FO",'2026'!$D$2=AN5),'2026DATA'!$K$14,"")</f>
        <v/>
      </c>
      <c r="AO17" s="518" t="str">
        <f>IF(AND(_2="B-767-300ER",'2026'!$D$4="FO",'2026'!$D$2=AO5),'2026DATA'!$L$14,"")</f>
        <v/>
      </c>
      <c r="AP17" s="518" t="str">
        <f>IF(AND(_2="B-767-300ER",'2026'!$D$4="FO",'2026'!$D$2=AP5),'2026DATA'!$M$14,"")</f>
        <v/>
      </c>
      <c r="AQ17" s="520" t="str">
        <f>IF(AND(_2="B-767-300ER",'2026'!$D$4="FO",'2026'!$D$2=AQ5),'2026DATA'!$N$14,"")</f>
        <v/>
      </c>
      <c r="AR17" s="940"/>
      <c r="AS17" s="13" t="s">
        <v>62</v>
      </c>
      <c r="AT17" s="518" t="str">
        <f>IF(AND(_3="B-767-300ER",'2026'!$D$4="FO",'2026'!$D$2=AT5),'2026DATA'!$C$14,"")</f>
        <v/>
      </c>
      <c r="AU17" s="518" t="str">
        <f>IF(AND(_3="B-767-300ER",'2026'!$D$4="FO",'2026'!$D$2=AU5),'2026DATA'!$D$14,"")</f>
        <v/>
      </c>
      <c r="AV17" s="518" t="str">
        <f>IF(AND(_3="B-767-300ER",'2026'!$D$4="FO",'2026'!$D$2=AV5),'2026DATA'!$E$14,"")</f>
        <v/>
      </c>
      <c r="AW17" s="518" t="str">
        <f>IF(AND(_3="B-767-300ER",'2026'!$D$4="FO",'2026'!$D$2=AW5),'2026DATA'!$F$14,"")</f>
        <v/>
      </c>
      <c r="AX17" s="518" t="str">
        <f>IF(AND(_3="B-767-300ER",'2026'!$D$4="FO",'2026'!$D$2=AX5),'2026DATA'!$G$14,"")</f>
        <v/>
      </c>
      <c r="AY17" s="518" t="str">
        <f>IF(AND(_3="B-767-300ER",'2026'!$D$4="FO",'2026'!$D$2=AY5),'2026DATA'!$H$14,"")</f>
        <v/>
      </c>
      <c r="AZ17" s="518" t="str">
        <f>IF(AND(_3="B-767-300ER",'2026'!$D$4="FO",'2026'!$D$2=AZ5),'2026DATA'!$I$14,"")</f>
        <v/>
      </c>
      <c r="BA17" s="518" t="str">
        <f>IF(AND(_3="B-767-300ER",'2026'!$D$4="FO",'2026'!$D$2=BA5),'2026DATA'!$J$14,"")</f>
        <v/>
      </c>
      <c r="BB17" s="518" t="str">
        <f>IF(AND(_3="B-767-300ER",'2026'!$D$4="FO",'2026'!$D$2=BB5),'2026DATA'!$K$14,"")</f>
        <v/>
      </c>
      <c r="BC17" s="518" t="str">
        <f>IF(AND(_3="B-767-300ER",'2026'!$D$4="FO",'2026'!$D$2=BC5),'2026DATA'!$L$14,"")</f>
        <v/>
      </c>
      <c r="BD17" s="518" t="str">
        <f>IF(AND(_3="B-767-300ER",'2026'!$D$4="FO",'2026'!$D$2=BD5),'2026DATA'!$M$14,"")</f>
        <v/>
      </c>
      <c r="BE17" s="520" t="str">
        <f>IF(AND(_3="B-767-300ER",'2026'!$D$4="FO",'2026'!$D$2=BE5),'2026DATA'!$N$14,"")</f>
        <v/>
      </c>
      <c r="BF17" s="940"/>
      <c r="BG17" s="13" t="s">
        <v>62</v>
      </c>
      <c r="BH17" s="518" t="str">
        <f>IF(AND(_4="B-767-300ER",'2026'!$D$4="FO",'2026'!$D$2=BH5),'2026DATA'!$C$14,"")</f>
        <v/>
      </c>
      <c r="BI17" s="518" t="str">
        <f>IF(AND(_4="B-767-300ER",'2026'!$D$4="FO",'2026'!$D$2=BI5),'2026DATA'!$D$14,"")</f>
        <v/>
      </c>
      <c r="BJ17" s="518" t="str">
        <f>IF(AND(_4="B-767-300ER",'2026'!$D$4="FO",'2026'!$D$2=BJ5),'2026DATA'!$E$14,"")</f>
        <v/>
      </c>
      <c r="BK17" s="518" t="str">
        <f>IF(AND(_4="B-767-300ER",'2026'!$D$4="FO",'2026'!$D$2=BK5),'2026DATA'!$F$14,"")</f>
        <v/>
      </c>
      <c r="BL17" s="518" t="str">
        <f>IF(AND(_4="B-767-300ER",'2026'!$D$4="FO",'2026'!$D$2=BL5),'2026DATA'!$G$14,"")</f>
        <v/>
      </c>
      <c r="BM17" s="518" t="str">
        <f>IF(AND(_4="B-767-300ER",'2026'!$D$4="FO",'2026'!$D$2=BM5),'2026DATA'!$H$14,"")</f>
        <v/>
      </c>
      <c r="BN17" s="518" t="str">
        <f>IF(AND(_4="B-767-300ER",'2026'!$D$4="FO",'2026'!$D$2=BN5),'2026DATA'!$I$14,"")</f>
        <v/>
      </c>
      <c r="BO17" s="518" t="str">
        <f>IF(AND(_4="B-767-300ER",'2026'!$D$4="FO",'2026'!$D$2=BO5),'2026DATA'!$J$14,"")</f>
        <v/>
      </c>
      <c r="BP17" s="518" t="str">
        <f>IF(AND(_4="B-767-300ER",'2026'!$D$4="FO",'2026'!$D$2=BP5),'2026DATA'!$K$14,"")</f>
        <v/>
      </c>
      <c r="BQ17" s="518" t="str">
        <f>IF(AND(_4="B-767-300ER",'2026'!$D$4="FO",'2026'!$D$2=BQ5),'2026DATA'!$L$14,"")</f>
        <v/>
      </c>
      <c r="BR17" s="518" t="str">
        <f>IF(AND(_4="B-767-300ER",'2026'!$D$4="FO",'2026'!$D$2=BR5),'2026DATA'!$M$14,"")</f>
        <v/>
      </c>
      <c r="BS17" s="520" t="str">
        <f>IF(AND(_4="B-767-300ER",'2026'!$D$4="FO",'2026'!$D$2=BS5),'2026DATA'!$N$14,"")</f>
        <v/>
      </c>
      <c r="BT17" s="940"/>
      <c r="BU17" s="13" t="s">
        <v>62</v>
      </c>
      <c r="BV17" s="518" t="str">
        <f>IF(AND(_5="B-767-300ER",'2026'!$D$4="FO",'2026'!$D$2=BV5),'2026DATA'!$C$14,"")</f>
        <v/>
      </c>
      <c r="BW17" s="518" t="str">
        <f>IF(AND(_5="B-767-300ER",'2026'!$D$4="FO",'2026'!$D$2=BW5),'2026DATA'!$D$14,"")</f>
        <v/>
      </c>
      <c r="BX17" s="518" t="str">
        <f>IF(AND(_5="B-767-300ER",'2026'!$D$4="FO",'2026'!$D$2=BX5),'2026DATA'!$E$14,"")</f>
        <v/>
      </c>
      <c r="BY17" s="518" t="str">
        <f>IF(AND(_5="B-767-300ER",'2026'!$D$4="FO",'2026'!$D$2=BY5),'2026DATA'!$F$14,"")</f>
        <v/>
      </c>
      <c r="BZ17" s="518" t="str">
        <f>IF(AND(_5="B-767-300ER",'2026'!$D$4="FO",'2026'!$D$2=BZ5),'2026DATA'!$G$14,"")</f>
        <v/>
      </c>
      <c r="CA17" s="518" t="str">
        <f>IF(AND(_5="B-767-300ER",'2026'!$D$4="FO",'2026'!$D$2=CA5),'2026DATA'!$H$14,"")</f>
        <v/>
      </c>
      <c r="CB17" s="518" t="str">
        <f>IF(AND(_5="B-767-300ER",'2026'!$D$4="FO",'2026'!$D$2=CB5),'2026DATA'!$I$14,"")</f>
        <v/>
      </c>
      <c r="CC17" s="518" t="str">
        <f>IF(AND(_5="B-767-300ER",'2026'!$D$4="FO",'2026'!$D$2=CC5),'2026DATA'!$J$14,"")</f>
        <v/>
      </c>
      <c r="CD17" s="518" t="str">
        <f>IF(AND(_5="B-767-300ER",'2026'!$D$4="FO",'2026'!$D$2=CD5),'2026DATA'!$K$14,"")</f>
        <v/>
      </c>
      <c r="CE17" s="518" t="str">
        <f>IF(AND(_5="B-767-300ER",'2026'!$D$4="FO",'2026'!$D$2=CE5),'2026DATA'!$L$14,"")</f>
        <v/>
      </c>
      <c r="CF17" s="518" t="str">
        <f>IF(AND(_5="B-767-300ER",'2026'!$D$4="FO",'2026'!$D$2=CF5),'2026DATA'!$M$14,"")</f>
        <v/>
      </c>
      <c r="CG17" s="520" t="str">
        <f>IF(AND(_5="B-767-300ER",'2026'!$D$4="FO",'2026'!$D$2=CG5),'2026DATA'!$N$14,"")</f>
        <v/>
      </c>
      <c r="CH17" s="940"/>
      <c r="CI17" s="13" t="s">
        <v>62</v>
      </c>
      <c r="CJ17" s="518" t="str">
        <f>IF(AND(_6="B-767-300ER",'2026'!$D$4="FO",'2026'!$D$2=CJ5),'2026DATA'!$C$14,"")</f>
        <v/>
      </c>
      <c r="CK17" s="518" t="str">
        <f>IF(AND(_6="B-767-300ER",'2026'!$D$4="FO",'2026'!$D$2=CK5),'2026DATA'!$D$14,"")</f>
        <v/>
      </c>
      <c r="CL17" s="518" t="str">
        <f>IF(AND(_6="B-767-300ER",'2026'!$D$4="FO",'2026'!$D$2=CL5),'2026DATA'!$E$14,"")</f>
        <v/>
      </c>
      <c r="CM17" s="518" t="str">
        <f>IF(AND(_6="B-767-300ER",'2026'!$D$4="FO",'2026'!$D$2=CM5),'2026DATA'!$F$14,"")</f>
        <v/>
      </c>
      <c r="CN17" s="518" t="str">
        <f>IF(AND(_6="B-767-300ER",'2026'!$D$4="FO",'2026'!$D$2=CN5),'2026DATA'!$G$14,"")</f>
        <v/>
      </c>
      <c r="CO17" s="518" t="str">
        <f>IF(AND(_6="B-767-300ER",'2026'!$D$4="FO",'2026'!$D$2=CO5),'2026DATA'!$H$14,"")</f>
        <v/>
      </c>
      <c r="CP17" s="518" t="str">
        <f>IF(AND(_6="B-767-300ER",'2026'!$D$4="FO",'2026'!$D$2=CP5),'2026DATA'!$I$14,"")</f>
        <v/>
      </c>
      <c r="CQ17" s="518" t="str">
        <f>IF(AND(_6="B-767-300ER",'2026'!$D$4="FO",'2026'!$D$2=CQ5),'2026DATA'!$J$14,"")</f>
        <v/>
      </c>
      <c r="CR17" s="518" t="str">
        <f>IF(AND(_6="B-767-300ER",'2026'!$D$4="FO",'2026'!$D$2=CR5),'2026DATA'!$K$14,"")</f>
        <v/>
      </c>
      <c r="CS17" s="518" t="str">
        <f>IF(AND(_6="B-767-300ER",'2026'!$D$4="FO",'2026'!$D$2=CS5),'2026DATA'!$L$14,"")</f>
        <v/>
      </c>
      <c r="CT17" s="518" t="str">
        <f>IF(AND(_6="B-767-300ER",'2026'!$D$4="FO",'2026'!$D$2=CT5),'2026DATA'!$M$14,"")</f>
        <v/>
      </c>
      <c r="CU17" s="520" t="str">
        <f>IF(AND(_6="B-767-300ER",'2026'!$D$4="FO",'2026'!$D$2=CU5),'2026DATA'!$N$14,"")</f>
        <v/>
      </c>
    </row>
    <row r="18" spans="1:99" x14ac:dyDescent="0.25">
      <c r="A18" s="987"/>
      <c r="B18" s="64" t="s">
        <v>62</v>
      </c>
      <c r="C18" s="84">
        <v>276.56</v>
      </c>
      <c r="D18" s="31">
        <v>273.33999999999997</v>
      </c>
      <c r="E18" s="31" t="s">
        <v>94</v>
      </c>
      <c r="F18" s="31">
        <v>265.60000000000002</v>
      </c>
      <c r="G18" s="31">
        <v>262.94</v>
      </c>
      <c r="H18" s="31">
        <v>256.92</v>
      </c>
      <c r="I18" s="31">
        <v>250.02</v>
      </c>
      <c r="J18" s="31">
        <v>243.92</v>
      </c>
      <c r="K18" s="31">
        <v>238.1</v>
      </c>
      <c r="L18" s="31">
        <v>232.42</v>
      </c>
      <c r="M18" s="31">
        <v>198.62</v>
      </c>
      <c r="N18" s="32">
        <v>125.52</v>
      </c>
      <c r="P18" s="940" t="s">
        <v>67</v>
      </c>
      <c r="Q18" s="13" t="s">
        <v>61</v>
      </c>
      <c r="R18" s="518" t="str">
        <f>IF(AND(_1="B-767-300",'2026'!$D$4="CA",'2026'!$D$2=R5),'2026DATA'!$C$15,"")</f>
        <v/>
      </c>
      <c r="S18" s="518" t="str">
        <f>IF(AND(_1="B-767-300",'2026'!$D$4="CA",'2026'!$D$2=S5),'2026DATA'!$D$15,"")</f>
        <v/>
      </c>
      <c r="T18" s="518" t="str">
        <f>IF(AND(_1="B-767-300",'2026'!$D$4="CA",'2026'!$D$2=T5),'2026DATA'!$E$15,"")</f>
        <v/>
      </c>
      <c r="U18" s="518" t="str">
        <f>IF(AND(_1="B-767-300",'2026'!$D$4="CA",'2026'!$D$2=U5),'2026DATA'!$F$15,"")</f>
        <v/>
      </c>
      <c r="V18" s="518" t="str">
        <f>IF(AND(_1="B-767-300",'2026'!$D$4="CA",'2026'!$D$2=V5),'2026DATA'!$G$15,"")</f>
        <v/>
      </c>
      <c r="W18" s="518" t="str">
        <f>IF(AND(_1="B-767-300",'2026'!$D$4="CA",'2026'!$D$2=W5),'2026DATA'!$H$15,"")</f>
        <v/>
      </c>
      <c r="X18" s="518" t="str">
        <f>IF(AND(_1="B-767-300",'2026'!$D$4="CA",'2026'!$D$2=X5),'2026DATA'!$I$15,"")</f>
        <v/>
      </c>
      <c r="Y18" s="518" t="str">
        <f>IF(AND(_1="B-767-300",'2026'!$D$4="CA",'2026'!$D$2=Y5),'2026DATA'!$J$15,"")</f>
        <v/>
      </c>
      <c r="Z18" s="518" t="str">
        <f>IF(AND(_1="B-767-300",'2026'!$D$4="CA",'2026'!$D$2=Z5),'2026DATA'!$K$15,"")</f>
        <v/>
      </c>
      <c r="AA18" s="518" t="str">
        <f>IF(AND(_1="B-767-300",'2026'!$D$4="CA",'2026'!$D$2=AA5),'2026DATA'!$L$15,"")</f>
        <v/>
      </c>
      <c r="AB18" s="518" t="str">
        <f>IF(AND(_1="B-767-300",'2026'!$D$4="CA",'2026'!$D$2=AB5),'2026DATA'!$M$15,"")</f>
        <v/>
      </c>
      <c r="AC18" s="520" t="str">
        <f>IF(AND(_1="B-767-300",'2026'!$D$4="CA",'2026'!$D$2=AC5),'2026DATA'!$N$15,"")</f>
        <v/>
      </c>
      <c r="AD18" s="940" t="s">
        <v>67</v>
      </c>
      <c r="AE18" s="13" t="s">
        <v>61</v>
      </c>
      <c r="AF18" s="518" t="str">
        <f>IF(AND(_2="B-767-300",'2026'!$D$4="CA",'2026'!$D$2=AF5),'2026DATA'!$C$15,"")</f>
        <v/>
      </c>
      <c r="AG18" s="518" t="str">
        <f>IF(AND(_2="B-767-300",'2026'!$D$4="CA",'2026'!$D$2=AG5),'2026DATA'!$D$15,"")</f>
        <v/>
      </c>
      <c r="AH18" s="518" t="str">
        <f>IF(AND(_2="B-767-300",'2026'!$D$4="CA",'2026'!$D$2=AH5),'2026DATA'!$E$15,"")</f>
        <v/>
      </c>
      <c r="AI18" s="518" t="str">
        <f>IF(AND(_2="B-767-300",'2026'!$D$4="CA",'2026'!$D$2=AI5),'2026DATA'!$F$15,"")</f>
        <v/>
      </c>
      <c r="AJ18" s="518" t="str">
        <f>IF(AND(_2="B-767-300",'2026'!$D$4="CA",'2026'!$D$2=AJ5),'2026DATA'!$G$15,"")</f>
        <v/>
      </c>
      <c r="AK18" s="518" t="str">
        <f>IF(AND(_2="B-767-300",'2026'!$D$4="CA",'2026'!$D$2=AK5),'2026DATA'!$H$15,"")</f>
        <v/>
      </c>
      <c r="AL18" s="518" t="str">
        <f>IF(AND(_2="B-767-300",'2026'!$D$4="CA",'2026'!$D$2=AL5),'2026DATA'!$I$15,"")</f>
        <v/>
      </c>
      <c r="AM18" s="518" t="str">
        <f>IF(AND(_2="B-767-300",'2026'!$D$4="CA",'2026'!$D$2=AM5),'2026DATA'!$J$15,"")</f>
        <v/>
      </c>
      <c r="AN18" s="518" t="str">
        <f>IF(AND(_2="B-767-300",'2026'!$D$4="CA",'2026'!$D$2=AN5),'2026DATA'!$K$15,"")</f>
        <v/>
      </c>
      <c r="AO18" s="518" t="str">
        <f>IF(AND(_2="B-767-300",'2026'!$D$4="CA",'2026'!$D$2=AO5),'2026DATA'!$L$15,"")</f>
        <v/>
      </c>
      <c r="AP18" s="518" t="str">
        <f>IF(AND(_2="B-767-300",'2026'!$D$4="CA",'2026'!$D$2=AP5),'2026DATA'!$M$15,"")</f>
        <v/>
      </c>
      <c r="AQ18" s="520" t="str">
        <f>IF(AND(_2="B-767-300",'2026'!$D$4="CA",'2026'!$D$2=AQ5),'2026DATA'!$N$15,"")</f>
        <v/>
      </c>
      <c r="AR18" s="940" t="s">
        <v>67</v>
      </c>
      <c r="AS18" s="13" t="s">
        <v>61</v>
      </c>
      <c r="AT18" s="518" t="str">
        <f>IF(AND(_3="B-767-300",'2026'!$D$4="CA",'2026'!$D$2=AT5),'2026DATA'!$C$15,"")</f>
        <v/>
      </c>
      <c r="AU18" s="518" t="str">
        <f>IF(AND(_3="B-767-300",'2026'!$D$4="CA",'2026'!$D$2=AU5),'2026DATA'!$D$15,"")</f>
        <v/>
      </c>
      <c r="AV18" s="518" t="str">
        <f>IF(AND(_3="B-767-300",'2026'!$D$4="CA",'2026'!$D$2=AV5),'2026DATA'!$E$15,"")</f>
        <v/>
      </c>
      <c r="AW18" s="518" t="str">
        <f>IF(AND(_3="B-767-300",'2026'!$D$4="CA",'2026'!$D$2=AW5),'2026DATA'!$F$15,"")</f>
        <v/>
      </c>
      <c r="AX18" s="518" t="str">
        <f>IF(AND(_3="B-767-300",'2026'!$D$4="CA",'2026'!$D$2=AX5),'2026DATA'!$G$15,"")</f>
        <v/>
      </c>
      <c r="AY18" s="518" t="str">
        <f>IF(AND(_3="B-767-300",'2026'!$D$4="CA",'2026'!$D$2=AY5),'2026DATA'!$H$15,"")</f>
        <v/>
      </c>
      <c r="AZ18" s="518" t="str">
        <f>IF(AND(_3="B-767-300",'2026'!$D$4="CA",'2026'!$D$2=AZ5),'2026DATA'!$I$15,"")</f>
        <v/>
      </c>
      <c r="BA18" s="518" t="str">
        <f>IF(AND(_3="B-767-300",'2026'!$D$4="CA",'2026'!$D$2=BA5),'2026DATA'!$J$15,"")</f>
        <v/>
      </c>
      <c r="BB18" s="518" t="str">
        <f>IF(AND(_3="B-767-300",'2026'!$D$4="CA",'2026'!$D$2=BB5),'2026DATA'!$K$15,"")</f>
        <v/>
      </c>
      <c r="BC18" s="518" t="str">
        <f>IF(AND(_3="B-767-300",'2026'!$D$4="CA",'2026'!$D$2=BC5),'2026DATA'!$L$15,"")</f>
        <v/>
      </c>
      <c r="BD18" s="518" t="str">
        <f>IF(AND(_3="B-767-300",'2026'!$D$4="CA",'2026'!$D$2=BD5),'2026DATA'!$M$15,"")</f>
        <v/>
      </c>
      <c r="BE18" s="520" t="str">
        <f>IF(AND(_3="B-767-300",'2026'!$D$4="CA",'2026'!$D$2=BE5),'2026DATA'!$N$15,"")</f>
        <v/>
      </c>
      <c r="BF18" s="940" t="s">
        <v>67</v>
      </c>
      <c r="BG18" s="13" t="s">
        <v>61</v>
      </c>
      <c r="BH18" s="518" t="str">
        <f>IF(AND(_4="B-767-300",'2026'!$D$4="CA",'2026'!$D$2=BH5),'2026DATA'!$C$15,"")</f>
        <v/>
      </c>
      <c r="BI18" s="518" t="str">
        <f>IF(AND(_4="B-767-300",'2026'!$D$4="CA",'2026'!$D$2=BI5),'2026DATA'!$D$15,"")</f>
        <v/>
      </c>
      <c r="BJ18" s="518" t="str">
        <f>IF(AND(_4="B-767-300",'2026'!$D$4="CA",'2026'!$D$2=BJ5),'2026DATA'!$E$15,"")</f>
        <v/>
      </c>
      <c r="BK18" s="518" t="str">
        <f>IF(AND(_4="B-767-300",'2026'!$D$4="CA",'2026'!$D$2=BK5),'2026DATA'!$F$15,"")</f>
        <v/>
      </c>
      <c r="BL18" s="518" t="str">
        <f>IF(AND(_4="B-767-300",'2026'!$D$4="CA",'2026'!$D$2=BL5),'2026DATA'!$G$15,"")</f>
        <v/>
      </c>
      <c r="BM18" s="518" t="str">
        <f>IF(AND(_4="B-767-300",'2026'!$D$4="CA",'2026'!$D$2=BM5),'2026DATA'!$H$15,"")</f>
        <v/>
      </c>
      <c r="BN18" s="518" t="str">
        <f>IF(AND(_4="B-767-300",'2026'!$D$4="CA",'2026'!$D$2=BN5),'2026DATA'!$I$15,"")</f>
        <v/>
      </c>
      <c r="BO18" s="518" t="str">
        <f>IF(AND(_4="B-767-300",'2026'!$D$4="CA",'2026'!$D$2=BO5),'2026DATA'!$J$15,"")</f>
        <v/>
      </c>
      <c r="BP18" s="518" t="str">
        <f>IF(AND(_4="B-767-300",'2026'!$D$4="CA",'2026'!$D$2=BP5),'2026DATA'!$K$15,"")</f>
        <v/>
      </c>
      <c r="BQ18" s="518" t="str">
        <f>IF(AND(_4="B-767-300",'2026'!$D$4="CA",'2026'!$D$2=BQ5),'2026DATA'!$L$15,"")</f>
        <v/>
      </c>
      <c r="BR18" s="518" t="str">
        <f>IF(AND(_4="B-767-300",'2026'!$D$4="CA",'2026'!$D$2=BR5),'2026DATA'!$M$15,"")</f>
        <v/>
      </c>
      <c r="BS18" s="520" t="str">
        <f>IF(AND(_4="B-767-300",'2026'!$D$4="CA",'2026'!$D$2=BS5),'2026DATA'!$N$15,"")</f>
        <v/>
      </c>
      <c r="BT18" s="940" t="s">
        <v>67</v>
      </c>
      <c r="BU18" s="13" t="s">
        <v>61</v>
      </c>
      <c r="BV18" s="518" t="str">
        <f>IF(AND(_5="B-767-300",'2026'!$D$4="CA",'2026'!$D$2=BV5),'2026DATA'!$C$15,"")</f>
        <v/>
      </c>
      <c r="BW18" s="518" t="str">
        <f>IF(AND(_5="B-767-300",'2026'!$D$4="CA",'2026'!$D$2=BW5),'2026DATA'!$D$15,"")</f>
        <v/>
      </c>
      <c r="BX18" s="518" t="str">
        <f>IF(AND(_5="B-767-300",'2026'!$D$4="CA",'2026'!$D$2=BX5),'2026DATA'!$E$15,"")</f>
        <v/>
      </c>
      <c r="BY18" s="518" t="str">
        <f>IF(AND(_5="B-767-300",'2026'!$D$4="CA",'2026'!$D$2=BY5),'2026DATA'!$F$15,"")</f>
        <v/>
      </c>
      <c r="BZ18" s="518" t="str">
        <f>IF(AND(_5="B-767-300",'2026'!$D$4="CA",'2026'!$D$2=BZ5),'2026DATA'!$G$15,"")</f>
        <v/>
      </c>
      <c r="CA18" s="518" t="str">
        <f>IF(AND(_5="B-767-300",'2026'!$D$4="CA",'2026'!$D$2=CA5),'2026DATA'!$H$15,"")</f>
        <v/>
      </c>
      <c r="CB18" s="518" t="str">
        <f>IF(AND(_5="B-767-300",'2026'!$D$4="CA",'2026'!$D$2=CB5),'2026DATA'!$I$15,"")</f>
        <v/>
      </c>
      <c r="CC18" s="518" t="str">
        <f>IF(AND(_5="B-767-300",'2026'!$D$4="CA",'2026'!$D$2=CC5),'2026DATA'!$J$15,"")</f>
        <v/>
      </c>
      <c r="CD18" s="518" t="str">
        <f>IF(AND(_5="B-767-300",'2026'!$D$4="CA",'2026'!$D$2=CD5),'2026DATA'!$K$15,"")</f>
        <v/>
      </c>
      <c r="CE18" s="518" t="str">
        <f>IF(AND(_5="B-767-300",'2026'!$D$4="CA",'2026'!$D$2=CE5),'2026DATA'!$L$15,"")</f>
        <v/>
      </c>
      <c r="CF18" s="518" t="str">
        <f>IF(AND(_5="B-767-300",'2026'!$D$4="CA",'2026'!$D$2=CF5),'2026DATA'!$M$15,"")</f>
        <v/>
      </c>
      <c r="CG18" s="520" t="str">
        <f>IF(AND(_5="B-767-300",'2026'!$D$4="CA",'2026'!$D$2=CG5),'2026DATA'!$N$15,"")</f>
        <v/>
      </c>
      <c r="CH18" s="940" t="s">
        <v>67</v>
      </c>
      <c r="CI18" s="13" t="s">
        <v>61</v>
      </c>
      <c r="CJ18" s="518" t="str">
        <f>IF(AND(_6="B-767-300",'2026'!$D$4="CA",'2026'!$D$2=CJ5),'2026DATA'!$C$15,"")</f>
        <v/>
      </c>
      <c r="CK18" s="518" t="str">
        <f>IF(AND(_6="B-767-300",'2026'!$D$4="CA",'2026'!$D$2=CK5),'2026DATA'!$D$15,"")</f>
        <v/>
      </c>
      <c r="CL18" s="518" t="str">
        <f>IF(AND(_6="B-767-300",'2026'!$D$4="CA",'2026'!$D$2=CL5),'2026DATA'!$E$15,"")</f>
        <v/>
      </c>
      <c r="CM18" s="518" t="str">
        <f>IF(AND(_6="B-767-300",'2026'!$D$4="CA",'2026'!$D$2=CM5),'2026DATA'!$F$15,"")</f>
        <v/>
      </c>
      <c r="CN18" s="518" t="str">
        <f>IF(AND(_6="B-767-300",'2026'!$D$4="CA",'2026'!$D$2=CN5),'2026DATA'!$G$15,"")</f>
        <v/>
      </c>
      <c r="CO18" s="518" t="str">
        <f>IF(AND(_6="B-767-300",'2026'!$D$4="CA",'2026'!$D$2=CO5),'2026DATA'!$H$15,"")</f>
        <v/>
      </c>
      <c r="CP18" s="518" t="str">
        <f>IF(AND(_6="B-767-300",'2026'!$D$4="CA",'2026'!$D$2=CP5),'2026DATA'!$I$15,"")</f>
        <v/>
      </c>
      <c r="CQ18" s="518" t="str">
        <f>IF(AND(_6="B-767-300",'2026'!$D$4="CA",'2026'!$D$2=CQ5),'2026DATA'!$J$15,"")</f>
        <v/>
      </c>
      <c r="CR18" s="518" t="str">
        <f>IF(AND(_6="B-767-300",'2026'!$D$4="CA",'2026'!$D$2=CR5),'2026DATA'!$K$15,"")</f>
        <v/>
      </c>
      <c r="CS18" s="518" t="str">
        <f>IF(AND(_6="B-767-300",'2026'!$D$4="CA",'2026'!$D$2=CS5),'2026DATA'!$L$15,"")</f>
        <v/>
      </c>
      <c r="CT18" s="518" t="str">
        <f>IF(AND(_6="B-767-300",'2026'!$D$4="CA",'2026'!$D$2=CT5),'2026DATA'!$M$15,"")</f>
        <v/>
      </c>
      <c r="CU18" s="520" t="str">
        <f>IF(AND(_6="B-767-300",'2026'!$D$4="CA",'2026'!$D$2=CU5),'2026DATA'!$N$15,"")</f>
        <v/>
      </c>
    </row>
    <row r="19" spans="1:99" x14ac:dyDescent="0.25">
      <c r="A19" s="987" t="s">
        <v>45</v>
      </c>
      <c r="B19" s="64" t="s">
        <v>61</v>
      </c>
      <c r="C19" s="84">
        <v>404.92</v>
      </c>
      <c r="D19" s="31">
        <v>400.77</v>
      </c>
      <c r="E19" s="31">
        <v>396.5</v>
      </c>
      <c r="F19" s="31">
        <v>392.29</v>
      </c>
      <c r="G19" s="31">
        <v>389.52</v>
      </c>
      <c r="H19" s="31">
        <v>386.33</v>
      </c>
      <c r="I19" s="31">
        <v>383.48</v>
      </c>
      <c r="J19" s="31">
        <v>380.51</v>
      </c>
      <c r="K19" s="31">
        <v>377.31</v>
      </c>
      <c r="L19" s="31">
        <v>374.27</v>
      </c>
      <c r="M19" s="31">
        <v>371.26</v>
      </c>
      <c r="N19" s="32">
        <v>368.14</v>
      </c>
      <c r="P19" s="940"/>
      <c r="Q19" s="13" t="s">
        <v>62</v>
      </c>
      <c r="R19" s="518" t="str">
        <f>IF(AND(_1="B-767-300",'2026'!$D$4="FO",'2026'!$D$2=R5),'2026DATA'!$C$16,"")</f>
        <v/>
      </c>
      <c r="S19" s="518" t="str">
        <f>IF(AND(_1="B-767-300",'2026'!$D$4="FO",'2026'!$D$2=S5),'2026DATA'!$D$16,"")</f>
        <v/>
      </c>
      <c r="T19" s="518" t="str">
        <f>IF(AND(_1="B-767-300",'2026'!$D$4="FO",'2026'!$D$2=T5),'2026DATA'!$E$16,"")</f>
        <v/>
      </c>
      <c r="U19" s="518" t="str">
        <f>IF(AND(_1="B-767-300",'2026'!$D$4="FO",'2026'!$D$2=U5),'2026DATA'!$F$16,"")</f>
        <v/>
      </c>
      <c r="V19" s="518" t="str">
        <f>IF(AND(_1="B-767-300",'2026'!$D$4="FO",'2026'!$D$2=V5),'2026DATA'!$G$16,"")</f>
        <v/>
      </c>
      <c r="W19" s="518" t="str">
        <f>IF(AND(_1="B-767-300",'2026'!$D$4="FO",'2026'!$D$2=W5),'2026DATA'!$H$16,"")</f>
        <v/>
      </c>
      <c r="X19" s="518" t="str">
        <f>IF(AND(_1="B-767-300",'2026'!$D$4="FO",'2026'!$D$2=X5),'2026DATA'!$I$16,"")</f>
        <v/>
      </c>
      <c r="Y19" s="518" t="str">
        <f>IF(AND(_1="B-767-300",'2026'!$D$4="FO",'2026'!$D$2=Y5),'2026DATA'!$J$16,"")</f>
        <v/>
      </c>
      <c r="Z19" s="518" t="str">
        <f>IF(AND(_1="B-767-300",'2026'!$D$4="FO",'2026'!$D$2=Z5),'2026DATA'!$K$16,"")</f>
        <v/>
      </c>
      <c r="AA19" s="518" t="str">
        <f>IF(AND(_1="B-767-300",'2026'!$D$4="FO",'2026'!$D$2=AA5),'2026DATA'!$L$16,"")</f>
        <v/>
      </c>
      <c r="AB19" s="518" t="str">
        <f>IF(AND(_1="B-767-300",'2026'!$D$4="FO",'2026'!$D$2=AB5),'2026DATA'!$M$16,"")</f>
        <v/>
      </c>
      <c r="AC19" s="520" t="str">
        <f>IF(AND(_1="B-767-300",'2026'!$D$4="FO",'2026'!$D$2=AC5),'2026DATA'!$N$16,"")</f>
        <v/>
      </c>
      <c r="AD19" s="940"/>
      <c r="AE19" s="13" t="s">
        <v>62</v>
      </c>
      <c r="AF19" s="518" t="str">
        <f>IF(AND(_2="B-767-300",'2026'!$D$4="FO",'2026'!$D$2=AF5),'2026DATA'!$C$16,"")</f>
        <v/>
      </c>
      <c r="AG19" s="518" t="str">
        <f>IF(AND(_2="B-767-300",'2026'!$D$4="FO",'2026'!$D$2=AG5),'2026DATA'!$D$16,"")</f>
        <v/>
      </c>
      <c r="AH19" s="518" t="str">
        <f>IF(AND(_2="B-767-300",'2026'!$D$4="FO",'2026'!$D$2=AH5),'2026DATA'!$E$16,"")</f>
        <v/>
      </c>
      <c r="AI19" s="518" t="str">
        <f>IF(AND(_2="B-767-300",'2026'!$D$4="FO",'2026'!$D$2=AI5),'2026DATA'!$F$16,"")</f>
        <v/>
      </c>
      <c r="AJ19" s="518" t="str">
        <f>IF(AND(_2="B-767-300",'2026'!$D$4="FO",'2026'!$D$2=AJ5),'2026DATA'!$G$16,"")</f>
        <v/>
      </c>
      <c r="AK19" s="518" t="str">
        <f>IF(AND(_2="B-767-300",'2026'!$D$4="FO",'2026'!$D$2=AK5),'2026DATA'!$H$16,"")</f>
        <v/>
      </c>
      <c r="AL19" s="518" t="str">
        <f>IF(AND(_2="B-767-300",'2026'!$D$4="FO",'2026'!$D$2=AL5),'2026DATA'!$I$16,"")</f>
        <v/>
      </c>
      <c r="AM19" s="518" t="str">
        <f>IF(AND(_2="B-767-300",'2026'!$D$4="FO",'2026'!$D$2=AM5),'2026DATA'!$J$16,"")</f>
        <v/>
      </c>
      <c r="AN19" s="518" t="str">
        <f>IF(AND(_2="B-767-300",'2026'!$D$4="FO",'2026'!$D$2=AN5),'2026DATA'!$K$16,"")</f>
        <v/>
      </c>
      <c r="AO19" s="518" t="str">
        <f>IF(AND(_2="B-767-300",'2026'!$D$4="FO",'2026'!$D$2=AO5),'2026DATA'!$L$16,"")</f>
        <v/>
      </c>
      <c r="AP19" s="518" t="str">
        <f>IF(AND(_2="B-767-300",'2026'!$D$4="FO",'2026'!$D$2=AP5),'2026DATA'!$M$16,"")</f>
        <v/>
      </c>
      <c r="AQ19" s="520" t="str">
        <f>IF(AND(_2="B-767-300",'2026'!$D$4="FO",'2026'!$D$2=AQ5),'2026DATA'!$N$16,"")</f>
        <v/>
      </c>
      <c r="AR19" s="940"/>
      <c r="AS19" s="13" t="s">
        <v>62</v>
      </c>
      <c r="AT19" s="518" t="str">
        <f>IF(AND(_3="B-767-300",'2026'!$D$4="FO",'2026'!$D$2=AT5),'2026DATA'!$C$16,"")</f>
        <v/>
      </c>
      <c r="AU19" s="518" t="str">
        <f>IF(AND(_3="B-767-300",'2026'!$D$4="FO",'2026'!$D$2=AU5),'2026DATA'!$D$16,"")</f>
        <v/>
      </c>
      <c r="AV19" s="518" t="str">
        <f>IF(AND(_3="B-767-300",'2026'!$D$4="FO",'2026'!$D$2=AV5),'2026DATA'!$E$16,"")</f>
        <v/>
      </c>
      <c r="AW19" s="518" t="str">
        <f>IF(AND(_3="B-767-300",'2026'!$D$4="FO",'2026'!$D$2=AW5),'2026DATA'!$F$16,"")</f>
        <v/>
      </c>
      <c r="AX19" s="518" t="str">
        <f>IF(AND(_3="B-767-300",'2026'!$D$4="FO",'2026'!$D$2=AX5),'2026DATA'!$G$16,"")</f>
        <v/>
      </c>
      <c r="AY19" s="518" t="str">
        <f>IF(AND(_3="B-767-300",'2026'!$D$4="FO",'2026'!$D$2=AY5),'2026DATA'!$H$16,"")</f>
        <v/>
      </c>
      <c r="AZ19" s="518" t="str">
        <f>IF(AND(_3="B-767-300",'2026'!$D$4="FO",'2026'!$D$2=AZ5),'2026DATA'!$I$16,"")</f>
        <v/>
      </c>
      <c r="BA19" s="518" t="str">
        <f>IF(AND(_3="B-767-300",'2026'!$D$4="FO",'2026'!$D$2=BA5),'2026DATA'!$J$16,"")</f>
        <v/>
      </c>
      <c r="BB19" s="518" t="str">
        <f>IF(AND(_3="B-767-300",'2026'!$D$4="FO",'2026'!$D$2=BB5),'2026DATA'!$K$16,"")</f>
        <v/>
      </c>
      <c r="BC19" s="518" t="str">
        <f>IF(AND(_3="B-767-300",'2026'!$D$4="FO",'2026'!$D$2=BC5),'2026DATA'!$L$16,"")</f>
        <v/>
      </c>
      <c r="BD19" s="518" t="str">
        <f>IF(AND(_3="B-767-300",'2026'!$D$4="FO",'2026'!$D$2=BD5),'2026DATA'!$M$16,"")</f>
        <v/>
      </c>
      <c r="BE19" s="520" t="str">
        <f>IF(AND(_3="B-767-300",'2026'!$D$4="FO",'2026'!$D$2=BE5),'2026DATA'!$N$16,"")</f>
        <v/>
      </c>
      <c r="BF19" s="940"/>
      <c r="BG19" s="13" t="s">
        <v>62</v>
      </c>
      <c r="BH19" s="518" t="str">
        <f>IF(AND(_4="B-767-300",'2026'!$D$4="FO",'2026'!$D$2=BH5),'2026DATA'!$C$16,"")</f>
        <v/>
      </c>
      <c r="BI19" s="518" t="str">
        <f>IF(AND(_4="B-767-300",'2026'!$D$4="FO",'2026'!$D$2=BI5),'2026DATA'!$D$16,"")</f>
        <v/>
      </c>
      <c r="BJ19" s="518" t="str">
        <f>IF(AND(_4="B-767-300",'2026'!$D$4="FO",'2026'!$D$2=BJ5),'2026DATA'!$E$16,"")</f>
        <v/>
      </c>
      <c r="BK19" s="518" t="str">
        <f>IF(AND(_4="B-767-300",'2026'!$D$4="FO",'2026'!$D$2=BK5),'2026DATA'!$F$16,"")</f>
        <v/>
      </c>
      <c r="BL19" s="518" t="str">
        <f>IF(AND(_4="B-767-300",'2026'!$D$4="FO",'2026'!$D$2=BL5),'2026DATA'!$G$16,"")</f>
        <v/>
      </c>
      <c r="BM19" s="518" t="str">
        <f>IF(AND(_4="B-767-300",'2026'!$D$4="FO",'2026'!$D$2=BM5),'2026DATA'!$H$16,"")</f>
        <v/>
      </c>
      <c r="BN19" s="518" t="str">
        <f>IF(AND(_4="B-767-300",'2026'!$D$4="FO",'2026'!$D$2=BN5),'2026DATA'!$I$16,"")</f>
        <v/>
      </c>
      <c r="BO19" s="518" t="str">
        <f>IF(AND(_4="B-767-300",'2026'!$D$4="FO",'2026'!$D$2=BO5),'2026DATA'!$J$16,"")</f>
        <v/>
      </c>
      <c r="BP19" s="518" t="str">
        <f>IF(AND(_4="B-767-300",'2026'!$D$4="FO",'2026'!$D$2=BP5),'2026DATA'!$K$16,"")</f>
        <v/>
      </c>
      <c r="BQ19" s="518" t="str">
        <f>IF(AND(_4="B-767-300",'2026'!$D$4="FO",'2026'!$D$2=BQ5),'2026DATA'!$L$16,"")</f>
        <v/>
      </c>
      <c r="BR19" s="518" t="str">
        <f>IF(AND(_4="B-767-300",'2026'!$D$4="FO",'2026'!$D$2=BR5),'2026DATA'!$M$16,"")</f>
        <v/>
      </c>
      <c r="BS19" s="520" t="str">
        <f>IF(AND(_4="B-767-300",'2026'!$D$4="FO",'2026'!$D$2=BS5),'2026DATA'!$N$16,"")</f>
        <v/>
      </c>
      <c r="BT19" s="940"/>
      <c r="BU19" s="13" t="s">
        <v>62</v>
      </c>
      <c r="BV19" s="518" t="str">
        <f>IF(AND(_5="B-767-300",'2026'!$D$4="FO",'2026'!$D$2=BV5),'2026DATA'!$C$16,"")</f>
        <v/>
      </c>
      <c r="BW19" s="518" t="str">
        <f>IF(AND(_5="B-767-300",'2026'!$D$4="FO",'2026'!$D$2=BW5),'2026DATA'!$D$16,"")</f>
        <v/>
      </c>
      <c r="BX19" s="518" t="str">
        <f>IF(AND(_5="B-767-300",'2026'!$D$4="FO",'2026'!$D$2=BX5),'2026DATA'!$E$16,"")</f>
        <v/>
      </c>
      <c r="BY19" s="518" t="str">
        <f>IF(AND(_5="B-767-300",'2026'!$D$4="FO",'2026'!$D$2=BY5),'2026DATA'!$F$16,"")</f>
        <v/>
      </c>
      <c r="BZ19" s="518" t="str">
        <f>IF(AND(_5="B-767-300",'2026'!$D$4="FO",'2026'!$D$2=BZ5),'2026DATA'!$G$16,"")</f>
        <v/>
      </c>
      <c r="CA19" s="518" t="str">
        <f>IF(AND(_5="B-767-300",'2026'!$D$4="FO",'2026'!$D$2=CA5),'2026DATA'!$H$16,"")</f>
        <v/>
      </c>
      <c r="CB19" s="518" t="str">
        <f>IF(AND(_5="B-767-300",'2026'!$D$4="FO",'2026'!$D$2=CB5),'2026DATA'!$I$16,"")</f>
        <v/>
      </c>
      <c r="CC19" s="518" t="str">
        <f>IF(AND(_5="B-767-300",'2026'!$D$4="FO",'2026'!$D$2=CC5),'2026DATA'!$J$16,"")</f>
        <v/>
      </c>
      <c r="CD19" s="518" t="str">
        <f>IF(AND(_5="B-767-300",'2026'!$D$4="FO",'2026'!$D$2=CD5),'2026DATA'!$K$16,"")</f>
        <v/>
      </c>
      <c r="CE19" s="518" t="str">
        <f>IF(AND(_5="B-767-300",'2026'!$D$4="FO",'2026'!$D$2=CE5),'2026DATA'!$L$16,"")</f>
        <v/>
      </c>
      <c r="CF19" s="518" t="str">
        <f>IF(AND(_5="B-767-300",'2026'!$D$4="FO",'2026'!$D$2=CF5),'2026DATA'!$M$16,"")</f>
        <v/>
      </c>
      <c r="CG19" s="520" t="str">
        <f>IF(AND(_5="B-767-300",'2026'!$D$4="FO",'2026'!$D$2=CG5),'2026DATA'!$N$16,"")</f>
        <v/>
      </c>
      <c r="CH19" s="940"/>
      <c r="CI19" s="13" t="s">
        <v>62</v>
      </c>
      <c r="CJ19" s="518" t="str">
        <f>IF(AND(_6="B-767-300",'2026'!$D$4="FO",'2026'!$D$2=CJ5),'2026DATA'!$C$16,"")</f>
        <v/>
      </c>
      <c r="CK19" s="518" t="str">
        <f>IF(AND(_6="B-767-300",'2026'!$D$4="FO",'2026'!$D$2=CK5),'2026DATA'!$D$16,"")</f>
        <v/>
      </c>
      <c r="CL19" s="518" t="str">
        <f>IF(AND(_6="B-767-300",'2026'!$D$4="FO",'2026'!$D$2=CL5),'2026DATA'!$E$16,"")</f>
        <v/>
      </c>
      <c r="CM19" s="518" t="str">
        <f>IF(AND(_6="B-767-300",'2026'!$D$4="FO",'2026'!$D$2=CM5),'2026DATA'!$F$16,"")</f>
        <v/>
      </c>
      <c r="CN19" s="518" t="str">
        <f>IF(AND(_6="B-767-300",'2026'!$D$4="FO",'2026'!$D$2=CN5),'2026DATA'!$G$16,"")</f>
        <v/>
      </c>
      <c r="CO19" s="518" t="str">
        <f>IF(AND(_6="B-767-300",'2026'!$D$4="FO",'2026'!$D$2=CO5),'2026DATA'!$H$16,"")</f>
        <v/>
      </c>
      <c r="CP19" s="518" t="str">
        <f>IF(AND(_6="B-767-300",'2026'!$D$4="FO",'2026'!$D$2=CP5),'2026DATA'!$I$16,"")</f>
        <v/>
      </c>
      <c r="CQ19" s="518" t="str">
        <f>IF(AND(_6="B-767-300",'2026'!$D$4="FO",'2026'!$D$2=CQ5),'2026DATA'!$J$16,"")</f>
        <v/>
      </c>
      <c r="CR19" s="518" t="str">
        <f>IF(AND(_6="B-767-300",'2026'!$D$4="FO",'2026'!$D$2=CR5),'2026DATA'!$K$16,"")</f>
        <v/>
      </c>
      <c r="CS19" s="518" t="str">
        <f>IF(AND(_6="B-767-300",'2026'!$D$4="FO",'2026'!$D$2=CS5),'2026DATA'!$L$16,"")</f>
        <v/>
      </c>
      <c r="CT19" s="518" t="str">
        <f>IF(AND(_6="B-767-300",'2026'!$D$4="FO",'2026'!$D$2=CT5),'2026DATA'!$M$16,"")</f>
        <v/>
      </c>
      <c r="CU19" s="520" t="str">
        <f>IF(AND(_6="B-767-300",'2026'!$D$4="FO",'2026'!$D$2=CU5),'2026DATA'!$N$16,"")</f>
        <v/>
      </c>
    </row>
    <row r="20" spans="1:99" x14ac:dyDescent="0.25">
      <c r="A20" s="987"/>
      <c r="B20" s="64" t="s">
        <v>62</v>
      </c>
      <c r="C20" s="84">
        <v>276.56</v>
      </c>
      <c r="D20" s="31">
        <v>273.33999999999997</v>
      </c>
      <c r="E20" s="31">
        <v>270.01</v>
      </c>
      <c r="F20" s="31">
        <v>265.60000000000002</v>
      </c>
      <c r="G20" s="31">
        <v>262.94</v>
      </c>
      <c r="H20" s="31">
        <v>256.92</v>
      </c>
      <c r="I20" s="31">
        <v>250.02</v>
      </c>
      <c r="J20" s="31">
        <v>243.92</v>
      </c>
      <c r="K20" s="31">
        <v>238.1</v>
      </c>
      <c r="L20" s="31">
        <v>232.42</v>
      </c>
      <c r="M20" s="31">
        <v>198.62</v>
      </c>
      <c r="N20" s="32">
        <v>125.52</v>
      </c>
      <c r="P20" s="940" t="s">
        <v>68</v>
      </c>
      <c r="Q20" s="13" t="s">
        <v>61</v>
      </c>
      <c r="R20" s="518" t="str">
        <f>IF(AND(_1="B-767-200",'2026'!$D$4="CA",'2026'!$D$2=R5),'2026DATA'!$C$17,"")</f>
        <v/>
      </c>
      <c r="S20" s="518" t="str">
        <f>IF(AND(_1="B-767-200",'2026'!$D$4="CA",'2026'!$D$2=S5),'2026DATA'!$D$17,"")</f>
        <v/>
      </c>
      <c r="T20" s="518" t="str">
        <f>IF(AND(_1="B-767-200",'2026'!$D$4="CA",'2026'!$D$2=T5),'2026DATA'!$E$17,"")</f>
        <v/>
      </c>
      <c r="U20" s="518" t="str">
        <f>IF(AND(_1="B-767-200",'2026'!$D$4="CA",'2026'!$D$2=U5),'2026DATA'!$F$17,"")</f>
        <v/>
      </c>
      <c r="V20" s="518" t="str">
        <f>IF(AND(_1="B-767-200",'2026'!$D$4="CA",'2026'!$D$2=V5),'2026DATA'!$G$17,"")</f>
        <v/>
      </c>
      <c r="W20" s="518" t="str">
        <f>IF(AND(_1="B-767-200",'2026'!$D$4="CA",'2026'!$D$2=W5),'2026DATA'!$H$17,"")</f>
        <v/>
      </c>
      <c r="X20" s="518" t="str">
        <f>IF(AND(_1="B-767-200",'2026'!$D$4="CA",'2026'!$D$2=X5),'2026DATA'!$I$17,"")</f>
        <v/>
      </c>
      <c r="Y20" s="518" t="str">
        <f>IF(AND(_1="B-767-200",'2026'!$D$4="CA",'2026'!$D$2=Y5),'2026DATA'!$J$17,"")</f>
        <v/>
      </c>
      <c r="Z20" s="518" t="str">
        <f>IF(AND(_1="B-767-200",'2026'!$D$4="CA",'2026'!$D$2=Z5),'2026DATA'!$K$17,"")</f>
        <v/>
      </c>
      <c r="AA20" s="518" t="str">
        <f>IF(AND(_1="B-767-200",'2026'!$D$4="CA",'2026'!$D$2=AA5),'2026DATA'!$L$17,"")</f>
        <v/>
      </c>
      <c r="AB20" s="518" t="str">
        <f>IF(AND(_1="B-767-200",'2026'!$D$4="CA",'2026'!$D$2=AB5),'2026DATA'!$M$17,"")</f>
        <v/>
      </c>
      <c r="AC20" s="520" t="str">
        <f>IF(AND(_1="B-767-200",'2026'!$D$4="CA",'2026'!$D$2=AC5),'2026DATA'!$N$17,"")</f>
        <v/>
      </c>
      <c r="AD20" s="940" t="s">
        <v>68</v>
      </c>
      <c r="AE20" s="13" t="s">
        <v>61</v>
      </c>
      <c r="AF20" s="518" t="str">
        <f>IF(AND(_2="B-767-200",'2026'!$D$4="CA",'2026'!$D$2=AF5),'2026DATA'!$C$17,"")</f>
        <v/>
      </c>
      <c r="AG20" s="518" t="str">
        <f>IF(AND(_2="B-767-200",'2026'!$D$4="CA",'2026'!$D$2=AG5),'2026DATA'!$D$17,"")</f>
        <v/>
      </c>
      <c r="AH20" s="518" t="str">
        <f>IF(AND(_2="B-767-200",'2026'!$D$4="CA",'2026'!$D$2=AH5),'2026DATA'!$E$17,"")</f>
        <v/>
      </c>
      <c r="AI20" s="518" t="str">
        <f>IF(AND(_2="B-767-200",'2026'!$D$4="CA",'2026'!$D$2=AI5),'2026DATA'!$F$17,"")</f>
        <v/>
      </c>
      <c r="AJ20" s="518" t="str">
        <f>IF(AND(_2="B-767-200",'2026'!$D$4="CA",'2026'!$D$2=AJ5),'2026DATA'!$G$17,"")</f>
        <v/>
      </c>
      <c r="AK20" s="518" t="str">
        <f>IF(AND(_2="B-767-200",'2026'!$D$4="CA",'2026'!$D$2=AK5),'2026DATA'!$H$17,"")</f>
        <v/>
      </c>
      <c r="AL20" s="518" t="str">
        <f>IF(AND(_2="B-767-200",'2026'!$D$4="CA",'2026'!$D$2=AL5),'2026DATA'!$I$17,"")</f>
        <v/>
      </c>
      <c r="AM20" s="518" t="str">
        <f>IF(AND(_2="B-767-200",'2026'!$D$4="CA",'2026'!$D$2=AM5),'2026DATA'!$J$17,"")</f>
        <v/>
      </c>
      <c r="AN20" s="518" t="str">
        <f>IF(AND(_2="B-767-200",'2026'!$D$4="CA",'2026'!$D$2=AN5),'2026DATA'!$K$17,"")</f>
        <v/>
      </c>
      <c r="AO20" s="518" t="str">
        <f>IF(AND(_2="B-767-200",'2026'!$D$4="CA",'2026'!$D$2=AO5),'2026DATA'!$L$17,"")</f>
        <v/>
      </c>
      <c r="AP20" s="518" t="str">
        <f>IF(AND(_2="B-767-200",'2026'!$D$4="CA",'2026'!$D$2=AP5),'2026DATA'!$M$17,"")</f>
        <v/>
      </c>
      <c r="AQ20" s="520" t="str">
        <f>IF(AND(_2="B-767-200",'2026'!$D$4="CA",'2026'!$D$2=AQ5),'2026DATA'!$N$17,"")</f>
        <v/>
      </c>
      <c r="AR20" s="940" t="s">
        <v>68</v>
      </c>
      <c r="AS20" s="13" t="s">
        <v>61</v>
      </c>
      <c r="AT20" s="518" t="str">
        <f>IF(AND(_3="B-767-200",'2026'!$D$4="CA",'2026'!$D$2=AT5),'2026DATA'!$C$17,"")</f>
        <v/>
      </c>
      <c r="AU20" s="518" t="str">
        <f>IF(AND(_3="B-767-200",'2026'!$D$4="CA",'2026'!$D$2=AU5),'2026DATA'!$D$17,"")</f>
        <v/>
      </c>
      <c r="AV20" s="518" t="str">
        <f>IF(AND(_3="B-767-200",'2026'!$D$4="CA",'2026'!$D$2=AV5),'2026DATA'!$E$17,"")</f>
        <v/>
      </c>
      <c r="AW20" s="518" t="str">
        <f>IF(AND(_3="B-767-200",'2026'!$D$4="CA",'2026'!$D$2=AW5),'2026DATA'!$F$17,"")</f>
        <v/>
      </c>
      <c r="AX20" s="518" t="str">
        <f>IF(AND(_3="B-767-200",'2026'!$D$4="CA",'2026'!$D$2=AX5),'2026DATA'!$G$17,"")</f>
        <v/>
      </c>
      <c r="AY20" s="518" t="str">
        <f>IF(AND(_3="B-767-200",'2026'!$D$4="CA",'2026'!$D$2=AY5),'2026DATA'!$H$17,"")</f>
        <v/>
      </c>
      <c r="AZ20" s="518" t="str">
        <f>IF(AND(_3="B-767-200",'2026'!$D$4="CA",'2026'!$D$2=AZ5),'2026DATA'!$I$17,"")</f>
        <v/>
      </c>
      <c r="BA20" s="518" t="str">
        <f>IF(AND(_3="B-767-200",'2026'!$D$4="CA",'2026'!$D$2=BA5),'2026DATA'!$J$17,"")</f>
        <v/>
      </c>
      <c r="BB20" s="518" t="str">
        <f>IF(AND(_3="B-767-200",'2026'!$D$4="CA",'2026'!$D$2=BB5),'2026DATA'!$K$17,"")</f>
        <v/>
      </c>
      <c r="BC20" s="518" t="str">
        <f>IF(AND(_3="B-767-200",'2026'!$D$4="CA",'2026'!$D$2=BC5),'2026DATA'!$L$17,"")</f>
        <v/>
      </c>
      <c r="BD20" s="518" t="str">
        <f>IF(AND(_3="B-767-200",'2026'!$D$4="CA",'2026'!$D$2=BD5),'2026DATA'!$M$17,"")</f>
        <v/>
      </c>
      <c r="BE20" s="520" t="str">
        <f>IF(AND(_3="B-767-200",'2026'!$D$4="CA",'2026'!$D$2=BE5),'2026DATA'!$N$17,"")</f>
        <v/>
      </c>
      <c r="BF20" s="940" t="s">
        <v>68</v>
      </c>
      <c r="BG20" s="13" t="s">
        <v>61</v>
      </c>
      <c r="BH20" s="518" t="str">
        <f>IF(AND(_4="B-767-200",'2026'!$D$4="CA",'2026'!$D$2=BH5),'2026DATA'!$C$17,"")</f>
        <v/>
      </c>
      <c r="BI20" s="518" t="str">
        <f>IF(AND(_4="B-767-200",'2026'!$D$4="CA",'2026'!$D$2=BI5),'2026DATA'!$D$17,"")</f>
        <v/>
      </c>
      <c r="BJ20" s="518" t="str">
        <f>IF(AND(_4="B-767-200",'2026'!$D$4="CA",'2026'!$D$2=BJ5),'2026DATA'!$E$17,"")</f>
        <v/>
      </c>
      <c r="BK20" s="518" t="str">
        <f>IF(AND(_4="B-767-200",'2026'!$D$4="CA",'2026'!$D$2=BK5),'2026DATA'!$F$17,"")</f>
        <v/>
      </c>
      <c r="BL20" s="518" t="str">
        <f>IF(AND(_4="B-767-200",'2026'!$D$4="CA",'2026'!$D$2=BL5),'2026DATA'!$G$17,"")</f>
        <v/>
      </c>
      <c r="BM20" s="518" t="str">
        <f>IF(AND(_4="B-767-200",'2026'!$D$4="CA",'2026'!$D$2=BM5),'2026DATA'!$H$17,"")</f>
        <v/>
      </c>
      <c r="BN20" s="518" t="str">
        <f>IF(AND(_4="B-767-200",'2026'!$D$4="CA",'2026'!$D$2=BN5),'2026DATA'!$I$17,"")</f>
        <v/>
      </c>
      <c r="BO20" s="518" t="str">
        <f>IF(AND(_4="B-767-200",'2026'!$D$4="CA",'2026'!$D$2=BO5),'2026DATA'!$J$17,"")</f>
        <v/>
      </c>
      <c r="BP20" s="518" t="str">
        <f>IF(AND(_4="B-767-200",'2026'!$D$4="CA",'2026'!$D$2=BP5),'2026DATA'!$K$17,"")</f>
        <v/>
      </c>
      <c r="BQ20" s="518" t="str">
        <f>IF(AND(_4="B-767-200",'2026'!$D$4="CA",'2026'!$D$2=BQ5),'2026DATA'!$L$17,"")</f>
        <v/>
      </c>
      <c r="BR20" s="518" t="str">
        <f>IF(AND(_4="B-767-200",'2026'!$D$4="CA",'2026'!$D$2=BR5),'2026DATA'!$M$17,"")</f>
        <v/>
      </c>
      <c r="BS20" s="520" t="str">
        <f>IF(AND(_4="B-767-200",'2026'!$D$4="CA",'2026'!$D$2=BS5),'2026DATA'!$N$17,"")</f>
        <v/>
      </c>
      <c r="BT20" s="940" t="s">
        <v>68</v>
      </c>
      <c r="BU20" s="13" t="s">
        <v>61</v>
      </c>
      <c r="BV20" s="518" t="str">
        <f>IF(AND(_5="B-767-200",'2026'!$D$4="CA",'2026'!$D$2=BV5),'2026DATA'!$C$17,"")</f>
        <v/>
      </c>
      <c r="BW20" s="518" t="str">
        <f>IF(AND(_5="B-767-200",'2026'!$D$4="CA",'2026'!$D$2=BW5),'2026DATA'!$D$17,"")</f>
        <v/>
      </c>
      <c r="BX20" s="518" t="str">
        <f>IF(AND(_5="B-767-200",'2026'!$D$4="CA",'2026'!$D$2=BX5),'2026DATA'!$E$17,"")</f>
        <v/>
      </c>
      <c r="BY20" s="518" t="str">
        <f>IF(AND(_5="B-767-200",'2026'!$D$4="CA",'2026'!$D$2=BY5),'2026DATA'!$F$17,"")</f>
        <v/>
      </c>
      <c r="BZ20" s="518" t="str">
        <f>IF(AND(_5="B-767-200",'2026'!$D$4="CA",'2026'!$D$2=BZ5),'2026DATA'!$G$17,"")</f>
        <v/>
      </c>
      <c r="CA20" s="518" t="str">
        <f>IF(AND(_5="B-767-200",'2026'!$D$4="CA",'2026'!$D$2=CA5),'2026DATA'!$H$17,"")</f>
        <v/>
      </c>
      <c r="CB20" s="518" t="str">
        <f>IF(AND(_5="B-767-200",'2026'!$D$4="CA",'2026'!$D$2=CB5),'2026DATA'!$I$17,"")</f>
        <v/>
      </c>
      <c r="CC20" s="518" t="str">
        <f>IF(AND(_5="B-767-200",'2026'!$D$4="CA",'2026'!$D$2=CC5),'2026DATA'!$J$17,"")</f>
        <v/>
      </c>
      <c r="CD20" s="518" t="str">
        <f>IF(AND(_5="B-767-200",'2026'!$D$4="CA",'2026'!$D$2=CD5),'2026DATA'!$K$17,"")</f>
        <v/>
      </c>
      <c r="CE20" s="518" t="str">
        <f>IF(AND(_5="B-767-200",'2026'!$D$4="CA",'2026'!$D$2=CE5),'2026DATA'!$L$17,"")</f>
        <v/>
      </c>
      <c r="CF20" s="518" t="str">
        <f>IF(AND(_5="B-767-200",'2026'!$D$4="CA",'2026'!$D$2=CF5),'2026DATA'!$M$17,"")</f>
        <v/>
      </c>
      <c r="CG20" s="520" t="str">
        <f>IF(AND(_5="B-767-200",'2026'!$D$4="CA",'2026'!$D$2=CG5),'2026DATA'!$N$17,"")</f>
        <v/>
      </c>
      <c r="CH20" s="940" t="s">
        <v>68</v>
      </c>
      <c r="CI20" s="13" t="s">
        <v>61</v>
      </c>
      <c r="CJ20" s="518" t="str">
        <f>IF(AND(_6="B-767-200",'2026'!$D$4="CA",'2026'!$D$2=CJ5),'2026DATA'!$C$17,"")</f>
        <v/>
      </c>
      <c r="CK20" s="518" t="str">
        <f>IF(AND(_6="B-767-200",'2026'!$D$4="CA",'2026'!$D$2=CK5),'2026DATA'!$D$17,"")</f>
        <v/>
      </c>
      <c r="CL20" s="518" t="str">
        <f>IF(AND(_6="B-767-200",'2026'!$D$4="CA",'2026'!$D$2=CL5),'2026DATA'!$E$17,"")</f>
        <v/>
      </c>
      <c r="CM20" s="518" t="str">
        <f>IF(AND(_6="B-767-200",'2026'!$D$4="CA",'2026'!$D$2=CM5),'2026DATA'!$F$17,"")</f>
        <v/>
      </c>
      <c r="CN20" s="518" t="str">
        <f>IF(AND(_6="B-767-200",'2026'!$D$4="CA",'2026'!$D$2=CN5),'2026DATA'!$G$17,"")</f>
        <v/>
      </c>
      <c r="CO20" s="518" t="str">
        <f>IF(AND(_6="B-767-200",'2026'!$D$4="CA",'2026'!$D$2=CO5),'2026DATA'!$H$17,"")</f>
        <v/>
      </c>
      <c r="CP20" s="518" t="str">
        <f>IF(AND(_6="B-767-200",'2026'!$D$4="CA",'2026'!$D$2=CP5),'2026DATA'!$I$17,"")</f>
        <v/>
      </c>
      <c r="CQ20" s="518" t="str">
        <f>IF(AND(_6="B-767-200",'2026'!$D$4="CA",'2026'!$D$2=CQ5),'2026DATA'!$J$17,"")</f>
        <v/>
      </c>
      <c r="CR20" s="518" t="str">
        <f>IF(AND(_6="B-767-200",'2026'!$D$4="CA",'2026'!$D$2=CR5),'2026DATA'!$K$17,"")</f>
        <v/>
      </c>
      <c r="CS20" s="518" t="str">
        <f>IF(AND(_6="B-767-200",'2026'!$D$4="CA",'2026'!$D$2=CS5),'2026DATA'!$L$17,"")</f>
        <v/>
      </c>
      <c r="CT20" s="518" t="str">
        <f>IF(AND(_6="B-767-200",'2026'!$D$4="CA",'2026'!$D$2=CT5),'2026DATA'!$M$17,"")</f>
        <v/>
      </c>
      <c r="CU20" s="520" t="str">
        <f>IF(AND(_6="B-767-200",'2026'!$D$4="CA",'2026'!$D$2=CU5),'2026DATA'!$N$17,"")</f>
        <v/>
      </c>
    </row>
    <row r="21" spans="1:99" x14ac:dyDescent="0.25">
      <c r="A21" s="987" t="s">
        <v>47</v>
      </c>
      <c r="B21" s="64" t="s">
        <v>61</v>
      </c>
      <c r="C21" s="84">
        <v>390.3</v>
      </c>
      <c r="D21" s="31">
        <v>387.28</v>
      </c>
      <c r="E21" s="31">
        <v>384.27</v>
      </c>
      <c r="F21" s="31">
        <v>381.43</v>
      </c>
      <c r="G21" s="31">
        <v>378.42</v>
      </c>
      <c r="H21" s="31">
        <v>375.48</v>
      </c>
      <c r="I21" s="31">
        <v>372.56</v>
      </c>
      <c r="J21" s="31">
        <v>369.59</v>
      </c>
      <c r="K21" s="31">
        <v>366.61</v>
      </c>
      <c r="L21" s="31">
        <v>363.66</v>
      </c>
      <c r="M21" s="31">
        <v>360.83</v>
      </c>
      <c r="N21" s="32">
        <v>358.02</v>
      </c>
      <c r="P21" s="940"/>
      <c r="Q21" s="13" t="s">
        <v>62</v>
      </c>
      <c r="R21" s="518" t="str">
        <f>IF(AND(_1="B-767-200",'2026'!$D$4="FO",'2026'!$D$2=R5),'2026DATA'!$C$18,"")</f>
        <v/>
      </c>
      <c r="S21" s="518" t="str">
        <f>IF(AND(_1="B-767-200",'2026'!$D$4="FO",'2026'!$D$2=S5),'2026DATA'!$D$18,"")</f>
        <v/>
      </c>
      <c r="T21" s="518" t="str">
        <f>IF(AND(_1="B-767-200",'2026'!$D$4="FO",'2026'!$D$2=T5),'2026DATA'!$E$18,"")</f>
        <v/>
      </c>
      <c r="U21" s="518" t="str">
        <f>IF(AND(_1="B-767-200",'2026'!$D$4="FO",'2026'!$D$2=U5),'2026DATA'!$F$18,"")</f>
        <v/>
      </c>
      <c r="V21" s="518" t="str">
        <f>IF(AND(_1="B-767-200",'2026'!$D$4="FO",'2026'!$D$2=V5),'2026DATA'!$G$18,"")</f>
        <v/>
      </c>
      <c r="W21" s="518" t="str">
        <f>IF(AND(_1="B-767-200",'2026'!$D$4="FO",'2026'!$D$2=W5),'2026DATA'!$H$18,"")</f>
        <v/>
      </c>
      <c r="X21" s="518" t="str">
        <f>IF(AND(_1="B-767-200",'2026'!$D$4="FO",'2026'!$D$2=X5),'2026DATA'!$I$18,"")</f>
        <v/>
      </c>
      <c r="Y21" s="518" t="str">
        <f>IF(AND(_1="B-767-200",'2026'!$D$4="FO",'2026'!$D$2=Y5),'2026DATA'!$J$18,"")</f>
        <v/>
      </c>
      <c r="Z21" s="518" t="str">
        <f>IF(AND(_1="B-767-200",'2026'!$D$4="FO",'2026'!$D$2=Z5),'2026DATA'!$K$18,"")</f>
        <v/>
      </c>
      <c r="AA21" s="518" t="str">
        <f>IF(AND(_1="B-767-200",'2026'!$D$4="FO",'2026'!$D$2=AA5),'2026DATA'!$L$18,"")</f>
        <v/>
      </c>
      <c r="AB21" s="518" t="str">
        <f>IF(AND(_1="B-767-200",'2026'!$D$4="FO",'2026'!$D$2=AB5),'2026DATA'!$M$18,"")</f>
        <v/>
      </c>
      <c r="AC21" s="520" t="str">
        <f>IF(AND(_1="B-767-200",'2026'!$D$4="FO",'2026'!$D$2=AC5),'2026DATA'!$N$18,"")</f>
        <v/>
      </c>
      <c r="AD21" s="940"/>
      <c r="AE21" s="13" t="s">
        <v>62</v>
      </c>
      <c r="AF21" s="518" t="str">
        <f>IF(AND(_2="B-767-200",'2026'!$D$4="FO",'2026'!$D$2=AF5),'2026DATA'!$C$18,"")</f>
        <v/>
      </c>
      <c r="AG21" s="518" t="str">
        <f>IF(AND(_2="B-767-200",'2026'!$D$4="FO",'2026'!$D$2=AG5),'2026DATA'!$D$18,"")</f>
        <v/>
      </c>
      <c r="AH21" s="518" t="str">
        <f>IF(AND(_2="B-767-200",'2026'!$D$4="FO",'2026'!$D$2=AH5),'2026DATA'!$E$18,"")</f>
        <v/>
      </c>
      <c r="AI21" s="518" t="str">
        <f>IF(AND(_2="B-767-200",'2026'!$D$4="FO",'2026'!$D$2=AI5),'2026DATA'!$F$18,"")</f>
        <v/>
      </c>
      <c r="AJ21" s="518" t="str">
        <f>IF(AND(_2="B-767-200",'2026'!$D$4="FO",'2026'!$D$2=AJ5),'2026DATA'!$G$18,"")</f>
        <v/>
      </c>
      <c r="AK21" s="518" t="str">
        <f>IF(AND(_2="B-767-200",'2026'!$D$4="FO",'2026'!$D$2=AK5),'2026DATA'!$H$18,"")</f>
        <v/>
      </c>
      <c r="AL21" s="518" t="str">
        <f>IF(AND(_2="B-767-200",'2026'!$D$4="FO",'2026'!$D$2=AL5),'2026DATA'!$I$18,"")</f>
        <v/>
      </c>
      <c r="AM21" s="518" t="str">
        <f>IF(AND(_2="B-767-200",'2026'!$D$4="FO",'2026'!$D$2=AM5),'2026DATA'!$J$18,"")</f>
        <v/>
      </c>
      <c r="AN21" s="518" t="str">
        <f>IF(AND(_2="B-767-200",'2026'!$D$4="FO",'2026'!$D$2=AN5),'2026DATA'!$K$18,"")</f>
        <v/>
      </c>
      <c r="AO21" s="518" t="str">
        <f>IF(AND(_2="B-767-200",'2026'!$D$4="FO",'2026'!$D$2=AO5),'2026DATA'!$L$18,"")</f>
        <v/>
      </c>
      <c r="AP21" s="518" t="str">
        <f>IF(AND(_2="B-767-200",'2026'!$D$4="FO",'2026'!$D$2=AP5),'2026DATA'!$M$18,"")</f>
        <v/>
      </c>
      <c r="AQ21" s="520" t="str">
        <f>IF(AND(_2="B-767-200",'2026'!$D$4="FO",'2026'!$D$2=AQ5),'2026DATA'!$N$18,"")</f>
        <v/>
      </c>
      <c r="AR21" s="940"/>
      <c r="AS21" s="13" t="s">
        <v>62</v>
      </c>
      <c r="AT21" s="518" t="str">
        <f>IF(AND(_3="B-767-200",'2026'!$D$4="FO",'2026'!$D$2=AT5),'2026DATA'!$C$18,"")</f>
        <v/>
      </c>
      <c r="AU21" s="518" t="str">
        <f>IF(AND(_3="B-767-200",'2026'!$D$4="FO",'2026'!$D$2=AU5),'2026DATA'!$D$18,"")</f>
        <v/>
      </c>
      <c r="AV21" s="518" t="str">
        <f>IF(AND(_3="B-767-200",'2026'!$D$4="FO",'2026'!$D$2=AV5),'2026DATA'!$E$18,"")</f>
        <v/>
      </c>
      <c r="AW21" s="518" t="str">
        <f>IF(AND(_3="B-767-200",'2026'!$D$4="FO",'2026'!$D$2=AW5),'2026DATA'!$F$18,"")</f>
        <v/>
      </c>
      <c r="AX21" s="518" t="str">
        <f>IF(AND(_3="B-767-200",'2026'!$D$4="FO",'2026'!$D$2=AX5),'2026DATA'!$G$18,"")</f>
        <v/>
      </c>
      <c r="AY21" s="518" t="str">
        <f>IF(AND(_3="B-767-200",'2026'!$D$4="FO",'2026'!$D$2=AY5),'2026DATA'!$H$18,"")</f>
        <v/>
      </c>
      <c r="AZ21" s="518" t="str">
        <f>IF(AND(_3="B-767-200",'2026'!$D$4="FO",'2026'!$D$2=AZ5),'2026DATA'!$I$18,"")</f>
        <v/>
      </c>
      <c r="BA21" s="518" t="str">
        <f>IF(AND(_3="B-767-200",'2026'!$D$4="FO",'2026'!$D$2=BA5),'2026DATA'!$J$18,"")</f>
        <v/>
      </c>
      <c r="BB21" s="518" t="str">
        <f>IF(AND(_3="B-767-200",'2026'!$D$4="FO",'2026'!$D$2=BB5),'2026DATA'!$K$18,"")</f>
        <v/>
      </c>
      <c r="BC21" s="518" t="str">
        <f>IF(AND(_3="B-767-200",'2026'!$D$4="FO",'2026'!$D$2=BC5),'2026DATA'!$L$18,"")</f>
        <v/>
      </c>
      <c r="BD21" s="518" t="str">
        <f>IF(AND(_3="B-767-200",'2026'!$D$4="FO",'2026'!$D$2=BD5),'2026DATA'!$M$18,"")</f>
        <v/>
      </c>
      <c r="BE21" s="520" t="str">
        <f>IF(AND(_3="B-767-200",'2026'!$D$4="FO",'2026'!$D$2=BE5),'2026DATA'!$N$18,"")</f>
        <v/>
      </c>
      <c r="BF21" s="940"/>
      <c r="BG21" s="13" t="s">
        <v>62</v>
      </c>
      <c r="BH21" s="518" t="str">
        <f>IF(AND(_4="B-767-200",'2026'!$D$4="FO",'2026'!$D$2=BH5),'2026DATA'!$C$18,"")</f>
        <v/>
      </c>
      <c r="BI21" s="518" t="str">
        <f>IF(AND(_4="B-767-200",'2026'!$D$4="FO",'2026'!$D$2=BI5),'2026DATA'!$D$18,"")</f>
        <v/>
      </c>
      <c r="BJ21" s="518" t="str">
        <f>IF(AND(_4="B-767-200",'2026'!$D$4="FO",'2026'!$D$2=BJ5),'2026DATA'!$E$18,"")</f>
        <v/>
      </c>
      <c r="BK21" s="518" t="str">
        <f>IF(AND(_4="B-767-200",'2026'!$D$4="FO",'2026'!$D$2=BK5),'2026DATA'!$F$18,"")</f>
        <v/>
      </c>
      <c r="BL21" s="518" t="str">
        <f>IF(AND(_4="B-767-200",'2026'!$D$4="FO",'2026'!$D$2=BL5),'2026DATA'!$G$18,"")</f>
        <v/>
      </c>
      <c r="BM21" s="518" t="str">
        <f>IF(AND(_4="B-767-200",'2026'!$D$4="FO",'2026'!$D$2=BM5),'2026DATA'!$H$18,"")</f>
        <v/>
      </c>
      <c r="BN21" s="518" t="str">
        <f>IF(AND(_4="B-767-200",'2026'!$D$4="FO",'2026'!$D$2=BN5),'2026DATA'!$I$18,"")</f>
        <v/>
      </c>
      <c r="BO21" s="518" t="str">
        <f>IF(AND(_4="B-767-200",'2026'!$D$4="FO",'2026'!$D$2=BO5),'2026DATA'!$J$18,"")</f>
        <v/>
      </c>
      <c r="BP21" s="518" t="str">
        <f>IF(AND(_4="B-767-200",'2026'!$D$4="FO",'2026'!$D$2=BP5),'2026DATA'!$K$18,"")</f>
        <v/>
      </c>
      <c r="BQ21" s="518" t="str">
        <f>IF(AND(_4="B-767-200",'2026'!$D$4="FO",'2026'!$D$2=BQ5),'2026DATA'!$L$18,"")</f>
        <v/>
      </c>
      <c r="BR21" s="518" t="str">
        <f>IF(AND(_4="B-767-200",'2026'!$D$4="FO",'2026'!$D$2=BR5),'2026DATA'!$M$18,"")</f>
        <v/>
      </c>
      <c r="BS21" s="520" t="str">
        <f>IF(AND(_4="B-767-200",'2026'!$D$4="FO",'2026'!$D$2=BS5),'2026DATA'!$N$18,"")</f>
        <v/>
      </c>
      <c r="BT21" s="940"/>
      <c r="BU21" s="13" t="s">
        <v>62</v>
      </c>
      <c r="BV21" s="518" t="str">
        <f>IF(AND(_5="B-767-200",'2026'!$D$4="FO",'2026'!$D$2=BV5),'2026DATA'!$C$18,"")</f>
        <v/>
      </c>
      <c r="BW21" s="518" t="str">
        <f>IF(AND(_5="B-767-200",'2026'!$D$4="FO",'2026'!$D$2=BW5),'2026DATA'!$D$18,"")</f>
        <v/>
      </c>
      <c r="BX21" s="518" t="str">
        <f>IF(AND(_5="B-767-200",'2026'!$D$4="FO",'2026'!$D$2=BX5),'2026DATA'!$E$18,"")</f>
        <v/>
      </c>
      <c r="BY21" s="518" t="str">
        <f>IF(AND(_5="B-767-200",'2026'!$D$4="FO",'2026'!$D$2=BY5),'2026DATA'!$F$18,"")</f>
        <v/>
      </c>
      <c r="BZ21" s="518" t="str">
        <f>IF(AND(_5="B-767-200",'2026'!$D$4="FO",'2026'!$D$2=BZ5),'2026DATA'!$G$18,"")</f>
        <v/>
      </c>
      <c r="CA21" s="518" t="str">
        <f>IF(AND(_5="B-767-200",'2026'!$D$4="FO",'2026'!$D$2=CA5),'2026DATA'!$H$18,"")</f>
        <v/>
      </c>
      <c r="CB21" s="518" t="str">
        <f>IF(AND(_5="B-767-200",'2026'!$D$4="FO",'2026'!$D$2=CB5),'2026DATA'!$I$18,"")</f>
        <v/>
      </c>
      <c r="CC21" s="518" t="str">
        <f>IF(AND(_5="B-767-200",'2026'!$D$4="FO",'2026'!$D$2=CC5),'2026DATA'!$J$18,"")</f>
        <v/>
      </c>
      <c r="CD21" s="518" t="str">
        <f>IF(AND(_5="B-767-200",'2026'!$D$4="FO",'2026'!$D$2=CD5),'2026DATA'!$K$18,"")</f>
        <v/>
      </c>
      <c r="CE21" s="518" t="str">
        <f>IF(AND(_5="B-767-200",'2026'!$D$4="FO",'2026'!$D$2=CE5),'2026DATA'!$L$18,"")</f>
        <v/>
      </c>
      <c r="CF21" s="518" t="str">
        <f>IF(AND(_5="B-767-200",'2026'!$D$4="FO",'2026'!$D$2=CF5),'2026DATA'!$M$18,"")</f>
        <v/>
      </c>
      <c r="CG21" s="520" t="str">
        <f>IF(AND(_5="B-767-200",'2026'!$D$4="FO",'2026'!$D$2=CG5),'2026DATA'!$N$18,"")</f>
        <v/>
      </c>
      <c r="CH21" s="940"/>
      <c r="CI21" s="13" t="s">
        <v>62</v>
      </c>
      <c r="CJ21" s="518" t="str">
        <f>IF(AND(_6="B-767-200",'2026'!$D$4="FO",'2026'!$D$2=CJ5),'2026DATA'!$C$18,"")</f>
        <v/>
      </c>
      <c r="CK21" s="518" t="str">
        <f>IF(AND(_6="B-767-200",'2026'!$D$4="FO",'2026'!$D$2=CK5),'2026DATA'!$D$18,"")</f>
        <v/>
      </c>
      <c r="CL21" s="518" t="str">
        <f>IF(AND(_6="B-767-200",'2026'!$D$4="FO",'2026'!$D$2=CL5),'2026DATA'!$E$18,"")</f>
        <v/>
      </c>
      <c r="CM21" s="518" t="str">
        <f>IF(AND(_6="B-767-200",'2026'!$D$4="FO",'2026'!$D$2=CM5),'2026DATA'!$F$18,"")</f>
        <v/>
      </c>
      <c r="CN21" s="518" t="str">
        <f>IF(AND(_6="B-767-200",'2026'!$D$4="FO",'2026'!$D$2=CN5),'2026DATA'!$G$18,"")</f>
        <v/>
      </c>
      <c r="CO21" s="518" t="str">
        <f>IF(AND(_6="B-767-200",'2026'!$D$4="FO",'2026'!$D$2=CO5),'2026DATA'!$H$18,"")</f>
        <v/>
      </c>
      <c r="CP21" s="518" t="str">
        <f>IF(AND(_6="B-767-200",'2026'!$D$4="FO",'2026'!$D$2=CP5),'2026DATA'!$I$18,"")</f>
        <v/>
      </c>
      <c r="CQ21" s="518" t="str">
        <f>IF(AND(_6="B-767-200",'2026'!$D$4="FO",'2026'!$D$2=CQ5),'2026DATA'!$J$18,"")</f>
        <v/>
      </c>
      <c r="CR21" s="518" t="str">
        <f>IF(AND(_6="B-767-200",'2026'!$D$4="FO",'2026'!$D$2=CR5),'2026DATA'!$K$18,"")</f>
        <v/>
      </c>
      <c r="CS21" s="518" t="str">
        <f>IF(AND(_6="B-767-200",'2026'!$D$4="FO",'2026'!$D$2=CS5),'2026DATA'!$L$18,"")</f>
        <v/>
      </c>
      <c r="CT21" s="518" t="str">
        <f>IF(AND(_6="B-767-200",'2026'!$D$4="FO",'2026'!$D$2=CT5),'2026DATA'!$M$18,"")</f>
        <v/>
      </c>
      <c r="CU21" s="520" t="str">
        <f>IF(AND(_6="B-767-200",'2026'!$D$4="FO",'2026'!$D$2=CU5),'2026DATA'!$N$18,"")</f>
        <v/>
      </c>
    </row>
    <row r="22" spans="1:99" x14ac:dyDescent="0.25">
      <c r="A22" s="987"/>
      <c r="B22" s="64" t="s">
        <v>62</v>
      </c>
      <c r="C22" s="84">
        <v>266.58</v>
      </c>
      <c r="D22" s="31">
        <v>264.13</v>
      </c>
      <c r="E22" s="31">
        <v>261.73</v>
      </c>
      <c r="F22" s="31">
        <v>258.20999999999998</v>
      </c>
      <c r="G22" s="31">
        <v>255.47</v>
      </c>
      <c r="H22" s="31">
        <v>249.7</v>
      </c>
      <c r="I22" s="31">
        <v>242.91</v>
      </c>
      <c r="J22" s="31">
        <v>236.88</v>
      </c>
      <c r="K22" s="31">
        <v>231.32</v>
      </c>
      <c r="L22" s="31">
        <v>225.86</v>
      </c>
      <c r="M22" s="31">
        <v>193.02</v>
      </c>
      <c r="N22" s="32">
        <v>125.52</v>
      </c>
      <c r="P22" s="940" t="s">
        <v>45</v>
      </c>
      <c r="Q22" s="13" t="s">
        <v>61</v>
      </c>
      <c r="R22" s="518" t="str">
        <f>IF(AND(_1="B-757",'2026'!$D$4="CA",'2026'!$D$2=R5),'2026DATA'!$C$19,"")</f>
        <v/>
      </c>
      <c r="S22" s="518" t="str">
        <f>IF(AND(_1="B-757",'2026'!$D$4="CA",'2026'!$D$2=S5),'2026DATA'!$D$19,"")</f>
        <v/>
      </c>
      <c r="T22" s="518" t="str">
        <f>IF(AND(_1="B-757",'2026'!$D$4="CA",'2026'!$D$2=T5),'2026DATA'!$E$19,"")</f>
        <v/>
      </c>
      <c r="U22" s="518" t="str">
        <f>IF(AND(_1="B-757",'2026'!$D$4="CA",'2026'!$D$2=U5),'2026DATA'!$F$19,"")</f>
        <v/>
      </c>
      <c r="V22" s="518" t="str">
        <f>IF(AND(_1="B-757",'2026'!$D$4="CA",'2026'!$D$2=V5),'2026DATA'!$G$19,"")</f>
        <v/>
      </c>
      <c r="W22" s="518" t="str">
        <f>IF(AND(_1="B-757",'2026'!$D$4="CA",'2026'!$D$2=W5),'2026DATA'!$H$19,"")</f>
        <v/>
      </c>
      <c r="X22" s="518" t="str">
        <f>IF(AND(_1="B-757",'2026'!$D$4="CA",'2026'!$D$2=X5),'2026DATA'!$I$19,"")</f>
        <v/>
      </c>
      <c r="Y22" s="518" t="str">
        <f>IF(AND(_1="B-757",'2026'!$D$4="CA",'2026'!$D$2=Y5),'2026DATA'!$J$19,"")</f>
        <v/>
      </c>
      <c r="Z22" s="518" t="str">
        <f>IF(AND(_1="B-757",'2026'!$D$4="CA",'2026'!$D$2=Z5),'2026DATA'!$K$19,"")</f>
        <v/>
      </c>
      <c r="AA22" s="518" t="str">
        <f>IF(AND(_1="B-757",'2026'!$D$4="CA",'2026'!$D$2=AA5),'2026DATA'!$L$19,"")</f>
        <v/>
      </c>
      <c r="AB22" s="518" t="str">
        <f>IF(AND(_1="B-757",'2026'!$D$4="CA",'2026'!$D$2=AB5),'2026DATA'!$M$19,"")</f>
        <v/>
      </c>
      <c r="AC22" s="520" t="str">
        <f>IF(AND(_1="B-757",'2026'!$D$4="CA",'2026'!$D$2=AC5),'2026DATA'!$N$19,"")</f>
        <v/>
      </c>
      <c r="AD22" s="940" t="s">
        <v>45</v>
      </c>
      <c r="AE22" s="13" t="s">
        <v>61</v>
      </c>
      <c r="AF22" s="518" t="str">
        <f>IF(AND(_2="B-757",'2026'!$D$4="CA",'2026'!$D$2=AF5),'2026DATA'!$C$19,"")</f>
        <v/>
      </c>
      <c r="AG22" s="518" t="str">
        <f>IF(AND(_2="B-757",'2026'!$D$4="CA",'2026'!$D$2=AG5),'2026DATA'!$D$19,"")</f>
        <v/>
      </c>
      <c r="AH22" s="518" t="str">
        <f>IF(AND(_2="B-757",'2026'!$D$4="CA",'2026'!$D$2=AH5),'2026DATA'!$E$19,"")</f>
        <v/>
      </c>
      <c r="AI22" s="518" t="str">
        <f>IF(AND(_2="B-757",'2026'!$D$4="CA",'2026'!$D$2=AI5),'2026DATA'!$F$19,"")</f>
        <v/>
      </c>
      <c r="AJ22" s="518" t="str">
        <f>IF(AND(_2="B-757",'2026'!$D$4="CA",'2026'!$D$2=AJ5),'2026DATA'!$G$19,"")</f>
        <v/>
      </c>
      <c r="AK22" s="518" t="str">
        <f>IF(AND(_2="B-757",'2026'!$D$4="CA",'2026'!$D$2=AK5),'2026DATA'!$H$19,"")</f>
        <v/>
      </c>
      <c r="AL22" s="518" t="str">
        <f>IF(AND(_2="B-757",'2026'!$D$4="CA",'2026'!$D$2=AL5),'2026DATA'!$I$19,"")</f>
        <v/>
      </c>
      <c r="AM22" s="518" t="str">
        <f>IF(AND(_2="B-757",'2026'!$D$4="CA",'2026'!$D$2=AM5),'2026DATA'!$J$19,"")</f>
        <v/>
      </c>
      <c r="AN22" s="518" t="str">
        <f>IF(AND(_2="B-757",'2026'!$D$4="CA",'2026'!$D$2=AN5),'2026DATA'!$K$19,"")</f>
        <v/>
      </c>
      <c r="AO22" s="518" t="str">
        <f>IF(AND(_2="B-757",'2026'!$D$4="CA",'2026'!$D$2=AO5),'2026DATA'!$L$19,"")</f>
        <v/>
      </c>
      <c r="AP22" s="518" t="str">
        <f>IF(AND(_2="B-757",'2026'!$D$4="CA",'2026'!$D$2=AP5),'2026DATA'!$M$19,"")</f>
        <v/>
      </c>
      <c r="AQ22" s="520" t="str">
        <f>IF(AND(_2="B-757",'2026'!$D$4="CA",'2026'!$D$2=AQ5),'2026DATA'!$N$19,"")</f>
        <v/>
      </c>
      <c r="AR22" s="940" t="s">
        <v>45</v>
      </c>
      <c r="AS22" s="13" t="s">
        <v>61</v>
      </c>
      <c r="AT22" s="518" t="str">
        <f>IF(AND(_3="B-757",'2026'!$D$4="CA",'2026'!$D$2=AT5),'2026DATA'!$C$19,"")</f>
        <v/>
      </c>
      <c r="AU22" s="518" t="str">
        <f>IF(AND(_3="B-757",'2026'!$D$4="CA",'2026'!$D$2=AU5),'2026DATA'!$D$19,"")</f>
        <v/>
      </c>
      <c r="AV22" s="518" t="str">
        <f>IF(AND(_3="B-757",'2026'!$D$4="CA",'2026'!$D$2=AV5),'2026DATA'!$E$19,"")</f>
        <v/>
      </c>
      <c r="AW22" s="518" t="str">
        <f>IF(AND(_3="B-757",'2026'!$D$4="CA",'2026'!$D$2=AW5),'2026DATA'!$F$19,"")</f>
        <v/>
      </c>
      <c r="AX22" s="518" t="str">
        <f>IF(AND(_3="B-757",'2026'!$D$4="CA",'2026'!$D$2=AX5),'2026DATA'!$G$19,"")</f>
        <v/>
      </c>
      <c r="AY22" s="518" t="str">
        <f>IF(AND(_3="B-757",'2026'!$D$4="CA",'2026'!$D$2=AY5),'2026DATA'!$H$19,"")</f>
        <v/>
      </c>
      <c r="AZ22" s="518" t="str">
        <f>IF(AND(_3="B-757",'2026'!$D$4="CA",'2026'!$D$2=AZ5),'2026DATA'!$I$19,"")</f>
        <v/>
      </c>
      <c r="BA22" s="518" t="str">
        <f>IF(AND(_3="B-757",'2026'!$D$4="CA",'2026'!$D$2=BA5),'2026DATA'!$J$19,"")</f>
        <v/>
      </c>
      <c r="BB22" s="518" t="str">
        <f>IF(AND(_3="B-757",'2026'!$D$4="CA",'2026'!$D$2=BB5),'2026DATA'!$K$19,"")</f>
        <v/>
      </c>
      <c r="BC22" s="518" t="str">
        <f>IF(AND(_3="B-757",'2026'!$D$4="CA",'2026'!$D$2=BC5),'2026DATA'!$L$19,"")</f>
        <v/>
      </c>
      <c r="BD22" s="518" t="str">
        <f>IF(AND(_3="B-757",'2026'!$D$4="CA",'2026'!$D$2=BD5),'2026DATA'!$M$19,"")</f>
        <v/>
      </c>
      <c r="BE22" s="520" t="str">
        <f>IF(AND(_3="B-757",'2026'!$D$4="CA",'2026'!$D$2=BE5),'2026DATA'!$N$19,"")</f>
        <v/>
      </c>
      <c r="BF22" s="940" t="s">
        <v>45</v>
      </c>
      <c r="BG22" s="13" t="s">
        <v>61</v>
      </c>
      <c r="BH22" s="518" t="str">
        <f>IF(AND(_4="B-757",'2026'!$D$4="CA",'2026'!$D$2=BH5),'2026DATA'!$C$19,"")</f>
        <v/>
      </c>
      <c r="BI22" s="518" t="str">
        <f>IF(AND(_4="B-757",'2026'!$D$4="CA",'2026'!$D$2=BI5),'2026DATA'!$D$19,"")</f>
        <v/>
      </c>
      <c r="BJ22" s="518" t="str">
        <f>IF(AND(_4="B-757",'2026'!$D$4="CA",'2026'!$D$2=BJ5),'2026DATA'!$E$19,"")</f>
        <v/>
      </c>
      <c r="BK22" s="518" t="str">
        <f>IF(AND(_4="B-757",'2026'!$D$4="CA",'2026'!$D$2=BK5),'2026DATA'!$F$19,"")</f>
        <v/>
      </c>
      <c r="BL22" s="518" t="str">
        <f>IF(AND(_4="B-757",'2026'!$D$4="CA",'2026'!$D$2=BL5),'2026DATA'!$G$19,"")</f>
        <v/>
      </c>
      <c r="BM22" s="518" t="str">
        <f>IF(AND(_4="B-757",'2026'!$D$4="CA",'2026'!$D$2=BM5),'2026DATA'!$H$19,"")</f>
        <v/>
      </c>
      <c r="BN22" s="518" t="str">
        <f>IF(AND(_4="B-757",'2026'!$D$4="CA",'2026'!$D$2=BN5),'2026DATA'!$I$19,"")</f>
        <v/>
      </c>
      <c r="BO22" s="518" t="str">
        <f>IF(AND(_4="B-757",'2026'!$D$4="CA",'2026'!$D$2=BO5),'2026DATA'!$J$19,"")</f>
        <v/>
      </c>
      <c r="BP22" s="518" t="str">
        <f>IF(AND(_4="B-757",'2026'!$D$4="CA",'2026'!$D$2=BP5),'2026DATA'!$K$19,"")</f>
        <v/>
      </c>
      <c r="BQ22" s="518" t="str">
        <f>IF(AND(_4="B-757",'2026'!$D$4="CA",'2026'!$D$2=BQ5),'2026DATA'!$L$19,"")</f>
        <v/>
      </c>
      <c r="BR22" s="518" t="str">
        <f>IF(AND(_4="B-757",'2026'!$D$4="CA",'2026'!$D$2=BR5),'2026DATA'!$M$19,"")</f>
        <v/>
      </c>
      <c r="BS22" s="520" t="str">
        <f>IF(AND(_4="B-757",'2026'!$D$4="CA",'2026'!$D$2=BS5),'2026DATA'!$N$19,"")</f>
        <v/>
      </c>
      <c r="BT22" s="940" t="s">
        <v>45</v>
      </c>
      <c r="BU22" s="13" t="s">
        <v>61</v>
      </c>
      <c r="BV22" s="518" t="str">
        <f>IF(AND(_5="B-757",'2026'!$D$4="CA",'2026'!$D$2=BV5),'2026DATA'!$C$19,"")</f>
        <v/>
      </c>
      <c r="BW22" s="518" t="str">
        <f>IF(AND(_5="B-757",'2026'!$D$4="CA",'2026'!$D$2=BW5),'2026DATA'!$D$19,"")</f>
        <v/>
      </c>
      <c r="BX22" s="518" t="str">
        <f>IF(AND(_5="B-757",'2026'!$D$4="CA",'2026'!$D$2=BX5),'2026DATA'!$E$19,"")</f>
        <v/>
      </c>
      <c r="BY22" s="518" t="str">
        <f>IF(AND(_5="B-757",'2026'!$D$4="CA",'2026'!$D$2=BY5),'2026DATA'!$F$19,"")</f>
        <v/>
      </c>
      <c r="BZ22" s="518" t="str">
        <f>IF(AND(_5="B-757",'2026'!$D$4="CA",'2026'!$D$2=BZ5),'2026DATA'!$G$19,"")</f>
        <v/>
      </c>
      <c r="CA22" s="518" t="str">
        <f>IF(AND(_5="B-757",'2026'!$D$4="CA",'2026'!$D$2=CA5),'2026DATA'!$H$19,"")</f>
        <v/>
      </c>
      <c r="CB22" s="518" t="str">
        <f>IF(AND(_5="B-757",'2026'!$D$4="CA",'2026'!$D$2=CB5),'2026DATA'!$I$19,"")</f>
        <v/>
      </c>
      <c r="CC22" s="518" t="str">
        <f>IF(AND(_5="B-757",'2026'!$D$4="CA",'2026'!$D$2=CC5),'2026DATA'!$J$19,"")</f>
        <v/>
      </c>
      <c r="CD22" s="518" t="str">
        <f>IF(AND(_5="B-757",'2026'!$D$4="CA",'2026'!$D$2=CD5),'2026DATA'!$K$19,"")</f>
        <v/>
      </c>
      <c r="CE22" s="518" t="str">
        <f>IF(AND(_5="B-757",'2026'!$D$4="CA",'2026'!$D$2=CE5),'2026DATA'!$L$19,"")</f>
        <v/>
      </c>
      <c r="CF22" s="518" t="str">
        <f>IF(AND(_5="B-757",'2026'!$D$4="CA",'2026'!$D$2=CF5),'2026DATA'!$M$19,"")</f>
        <v/>
      </c>
      <c r="CG22" s="520" t="str">
        <f>IF(AND(_5="B-757",'2026'!$D$4="CA",'2026'!$D$2=CG5),'2026DATA'!$N$19,"")</f>
        <v/>
      </c>
      <c r="CH22" s="940" t="s">
        <v>45</v>
      </c>
      <c r="CI22" s="13" t="s">
        <v>61</v>
      </c>
      <c r="CJ22" s="518" t="str">
        <f>IF(AND(_6="B-757",'2026'!$D$4="CA",'2026'!$D$2=CJ5),'2026DATA'!$C$19,"")</f>
        <v/>
      </c>
      <c r="CK22" s="518" t="str">
        <f>IF(AND(_6="B-757",'2026'!$D$4="CA",'2026'!$D$2=CK5),'2026DATA'!$D$19,"")</f>
        <v/>
      </c>
      <c r="CL22" s="518" t="str">
        <f>IF(AND(_6="B-757",'2026'!$D$4="CA",'2026'!$D$2=CL5),'2026DATA'!$E$19,"")</f>
        <v/>
      </c>
      <c r="CM22" s="518" t="str">
        <f>IF(AND(_6="B-757",'2026'!$D$4="CA",'2026'!$D$2=CM5),'2026DATA'!$F$19,"")</f>
        <v/>
      </c>
      <c r="CN22" s="518" t="str">
        <f>IF(AND(_6="B-757",'2026'!$D$4="CA",'2026'!$D$2=CN5),'2026DATA'!$G$19,"")</f>
        <v/>
      </c>
      <c r="CO22" s="518" t="str">
        <f>IF(AND(_6="B-757",'2026'!$D$4="CA",'2026'!$D$2=CO5),'2026DATA'!$H$19,"")</f>
        <v/>
      </c>
      <c r="CP22" s="518" t="str">
        <f>IF(AND(_6="B-757",'2026'!$D$4="CA",'2026'!$D$2=CP5),'2026DATA'!$I$19,"")</f>
        <v/>
      </c>
      <c r="CQ22" s="518" t="str">
        <f>IF(AND(_6="B-757",'2026'!$D$4="CA",'2026'!$D$2=CQ5),'2026DATA'!$J$19,"")</f>
        <v/>
      </c>
      <c r="CR22" s="518" t="str">
        <f>IF(AND(_6="B-757",'2026'!$D$4="CA",'2026'!$D$2=CR5),'2026DATA'!$K$19,"")</f>
        <v/>
      </c>
      <c r="CS22" s="518" t="str">
        <f>IF(AND(_6="B-757",'2026'!$D$4="CA",'2026'!$D$2=CS5),'2026DATA'!$L$19,"")</f>
        <v/>
      </c>
      <c r="CT22" s="518" t="str">
        <f>IF(AND(_6="B-757",'2026'!$D$4="CA",'2026'!$D$2=CT5),'2026DATA'!$M$19,"")</f>
        <v/>
      </c>
      <c r="CU22" s="520" t="str">
        <f>IF(AND(_6="B-757",'2026'!$D$4="CA",'2026'!$D$2=CU5),'2026DATA'!$N$19,"")</f>
        <v/>
      </c>
    </row>
    <row r="23" spans="1:99" x14ac:dyDescent="0.25">
      <c r="A23" s="987" t="s">
        <v>69</v>
      </c>
      <c r="B23" s="64" t="s">
        <v>61</v>
      </c>
      <c r="C23" s="84">
        <v>388.27</v>
      </c>
      <c r="D23" s="31">
        <v>385.4</v>
      </c>
      <c r="E23" s="31">
        <v>382.47</v>
      </c>
      <c r="F23" s="31">
        <v>379.59</v>
      </c>
      <c r="G23" s="31">
        <v>376.65</v>
      </c>
      <c r="H23" s="31">
        <v>373.73</v>
      </c>
      <c r="I23" s="31">
        <v>370.84</v>
      </c>
      <c r="J23" s="31">
        <v>367.95</v>
      </c>
      <c r="K23" s="31">
        <v>365</v>
      </c>
      <c r="L23" s="31">
        <v>362.07</v>
      </c>
      <c r="M23" s="31">
        <v>359.23</v>
      </c>
      <c r="N23" s="32">
        <v>356.46</v>
      </c>
      <c r="P23" s="940"/>
      <c r="Q23" s="13" t="s">
        <v>62</v>
      </c>
      <c r="R23" s="518" t="str">
        <f>IF(AND(_1="B-757",'2026'!$D$4="FO",'2026'!$D$2=R5),'2026DATA'!$C$20,"")</f>
        <v/>
      </c>
      <c r="S23" s="518" t="str">
        <f>IF(AND(_1="B-757",'2026'!$D$4="FO",'2026'!$D$2=S5),'2026DATA'!$D$20,"")</f>
        <v/>
      </c>
      <c r="T23" s="518" t="str">
        <f>IF(AND(_1="B-757",'2026'!$D$4="FO",'2026'!$D$2=T5),'2026DATA'!$E$20,"")</f>
        <v/>
      </c>
      <c r="U23" s="518" t="str">
        <f>IF(AND(_1="B-757",'2026'!$D$4="FO",'2026'!$D$2=U5),'2026DATA'!$F$20,"")</f>
        <v/>
      </c>
      <c r="V23" s="518" t="str">
        <f>IF(AND(_1="B-757",'2026'!$D$4="FO",'2026'!$D$2=V5),'2026DATA'!$G$20,"")</f>
        <v/>
      </c>
      <c r="W23" s="518" t="str">
        <f>IF(AND(_1="B-757",'2026'!$D$4="FO",'2026'!$D$2=W5),'2026DATA'!$H$20,"")</f>
        <v/>
      </c>
      <c r="X23" s="518" t="str">
        <f>IF(AND(_1="B-757",'2026'!$D$4="FO",'2026'!$D$2=X5),'2026DATA'!$I$20,"")</f>
        <v/>
      </c>
      <c r="Y23" s="518" t="str">
        <f>IF(AND(_1="B-757",'2026'!$D$4="FO",'2026'!$D$2=Y5),'2026DATA'!$J$20,"")</f>
        <v/>
      </c>
      <c r="Z23" s="518" t="str">
        <f>IF(AND(_1="B-757",'2026'!$D$4="FO",'2026'!$D$2=Z5),'2026DATA'!$K$20,"")</f>
        <v/>
      </c>
      <c r="AA23" s="518" t="str">
        <f>IF(AND(_1="B-757",'2026'!$D$4="FO",'2026'!$D$2=AA5),'2026DATA'!$L$20,"")</f>
        <v/>
      </c>
      <c r="AB23" s="518" t="str">
        <f>IF(AND(_1="B-757",'2026'!$D$4="FO",'2026'!$D$2=AB5),'2026DATA'!$M$20,"")</f>
        <v/>
      </c>
      <c r="AC23" s="520" t="str">
        <f>IF(AND(_1="B-757",'2026'!$D$4="FO",'2026'!$D$2=AC5),'2026DATA'!$N$20,"")</f>
        <v/>
      </c>
      <c r="AD23" s="940"/>
      <c r="AE23" s="13" t="s">
        <v>62</v>
      </c>
      <c r="AF23" s="518" t="str">
        <f>IF(AND(_2="B-757",'2026'!$D$4="FO",'2026'!$D$2=AF5),'2026DATA'!$C$20,"")</f>
        <v/>
      </c>
      <c r="AG23" s="518" t="str">
        <f>IF(AND(_2="B-757",'2026'!$D$4="FO",'2026'!$D$2=AG5),'2026DATA'!$D$20,"")</f>
        <v/>
      </c>
      <c r="AH23" s="518" t="str">
        <f>IF(AND(_2="B-757",'2026'!$D$4="FO",'2026'!$D$2=AH5),'2026DATA'!$E$20,"")</f>
        <v/>
      </c>
      <c r="AI23" s="518" t="str">
        <f>IF(AND(_2="B-757",'2026'!$D$4="FO",'2026'!$D$2=AI5),'2026DATA'!$F$20,"")</f>
        <v/>
      </c>
      <c r="AJ23" s="518" t="str">
        <f>IF(AND(_2="B-757",'2026'!$D$4="FO",'2026'!$D$2=AJ5),'2026DATA'!$G$20,"")</f>
        <v/>
      </c>
      <c r="AK23" s="518" t="str">
        <f>IF(AND(_2="B-757",'2026'!$D$4="FO",'2026'!$D$2=AK5),'2026DATA'!$H$20,"")</f>
        <v/>
      </c>
      <c r="AL23" s="518" t="str">
        <f>IF(AND(_2="B-757",'2026'!$D$4="FO",'2026'!$D$2=AL5),'2026DATA'!$I$20,"")</f>
        <v/>
      </c>
      <c r="AM23" s="518" t="str">
        <f>IF(AND(_2="B-757",'2026'!$D$4="FO",'2026'!$D$2=AM5),'2026DATA'!$J$20,"")</f>
        <v/>
      </c>
      <c r="AN23" s="518" t="str">
        <f>IF(AND(_2="B-757",'2026'!$D$4="FO",'2026'!$D$2=AN5),'2026DATA'!$K$20,"")</f>
        <v/>
      </c>
      <c r="AO23" s="518" t="str">
        <f>IF(AND(_2="B-757",'2026'!$D$4="FO",'2026'!$D$2=AO5),'2026DATA'!$L$20,"")</f>
        <v/>
      </c>
      <c r="AP23" s="518" t="str">
        <f>IF(AND(_2="B-757",'2026'!$D$4="FO",'2026'!$D$2=AP5),'2026DATA'!$M$20,"")</f>
        <v/>
      </c>
      <c r="AQ23" s="520" t="str">
        <f>IF(AND(_2="B-757",'2026'!$D$4="FO",'2026'!$D$2=AQ5),'2026DATA'!$N$20,"")</f>
        <v/>
      </c>
      <c r="AR23" s="940"/>
      <c r="AS23" s="13" t="s">
        <v>62</v>
      </c>
      <c r="AT23" s="518" t="str">
        <f>IF(AND(_3="B-757",'2026'!$D$4="FO",'2026'!$D$2=AT5),'2026DATA'!$C$20,"")</f>
        <v/>
      </c>
      <c r="AU23" s="518" t="str">
        <f>IF(AND(_3="B-757",'2026'!$D$4="FO",'2026'!$D$2=AU5),'2026DATA'!$D$20,"")</f>
        <v/>
      </c>
      <c r="AV23" s="518" t="str">
        <f>IF(AND(_3="B-757",'2026'!$D$4="FO",'2026'!$D$2=AV5),'2026DATA'!$E$20,"")</f>
        <v/>
      </c>
      <c r="AW23" s="518" t="str">
        <f>IF(AND(_3="B-757",'2026'!$D$4="FO",'2026'!$D$2=AW5),'2026DATA'!$F$20,"")</f>
        <v/>
      </c>
      <c r="AX23" s="518" t="str">
        <f>IF(AND(_3="B-757",'2026'!$D$4="FO",'2026'!$D$2=AX5),'2026DATA'!$G$20,"")</f>
        <v/>
      </c>
      <c r="AY23" s="518" t="str">
        <f>IF(AND(_3="B-757",'2026'!$D$4="FO",'2026'!$D$2=AY5),'2026DATA'!$H$20,"")</f>
        <v/>
      </c>
      <c r="AZ23" s="518" t="str">
        <f>IF(AND(_3="B-757",'2026'!$D$4="FO",'2026'!$D$2=AZ5),'2026DATA'!$I$20,"")</f>
        <v/>
      </c>
      <c r="BA23" s="518" t="str">
        <f>IF(AND(_3="B-757",'2026'!$D$4="FO",'2026'!$D$2=BA5),'2026DATA'!$J$20,"")</f>
        <v/>
      </c>
      <c r="BB23" s="518" t="str">
        <f>IF(AND(_3="B-757",'2026'!$D$4="FO",'2026'!$D$2=BB5),'2026DATA'!$K$20,"")</f>
        <v/>
      </c>
      <c r="BC23" s="518" t="str">
        <f>IF(AND(_3="B-757",'2026'!$D$4="FO",'2026'!$D$2=BC5),'2026DATA'!$L$20,"")</f>
        <v/>
      </c>
      <c r="BD23" s="518" t="str">
        <f>IF(AND(_3="B-757",'2026'!$D$4="FO",'2026'!$D$2=BD5),'2026DATA'!$M$20,"")</f>
        <v/>
      </c>
      <c r="BE23" s="520" t="str">
        <f>IF(AND(_3="B-757",'2026'!$D$4="FO",'2026'!$D$2=BE5),'2026DATA'!$N$20,"")</f>
        <v/>
      </c>
      <c r="BF23" s="940"/>
      <c r="BG23" s="13" t="s">
        <v>62</v>
      </c>
      <c r="BH23" s="518" t="str">
        <f>IF(AND(_4="B-757",'2026'!$D$4="FO",'2026'!$D$2=BH5),'2026DATA'!$C$20,"")</f>
        <v/>
      </c>
      <c r="BI23" s="518" t="str">
        <f>IF(AND(_4="B-757",'2026'!$D$4="FO",'2026'!$D$2=BI5),'2026DATA'!$D$20,"")</f>
        <v/>
      </c>
      <c r="BJ23" s="518" t="str">
        <f>IF(AND(_4="B-757",'2026'!$D$4="FO",'2026'!$D$2=BJ5),'2026DATA'!$E$20,"")</f>
        <v/>
      </c>
      <c r="BK23" s="518" t="str">
        <f>IF(AND(_4="B-757",'2026'!$D$4="FO",'2026'!$D$2=BK5),'2026DATA'!$F$20,"")</f>
        <v/>
      </c>
      <c r="BL23" s="518" t="str">
        <f>IF(AND(_4="B-757",'2026'!$D$4="FO",'2026'!$D$2=BL5),'2026DATA'!$G$20,"")</f>
        <v/>
      </c>
      <c r="BM23" s="518" t="str">
        <f>IF(AND(_4="B-757",'2026'!$D$4="FO",'2026'!$D$2=BM5),'2026DATA'!$H$20,"")</f>
        <v/>
      </c>
      <c r="BN23" s="518" t="str">
        <f>IF(AND(_4="B-757",'2026'!$D$4="FO",'2026'!$D$2=BN5),'2026DATA'!$I$20,"")</f>
        <v/>
      </c>
      <c r="BO23" s="518" t="str">
        <f>IF(AND(_4="B-757",'2026'!$D$4="FO",'2026'!$D$2=BO5),'2026DATA'!$J$20,"")</f>
        <v/>
      </c>
      <c r="BP23" s="518" t="str">
        <f>IF(AND(_4="B-757",'2026'!$D$4="FO",'2026'!$D$2=BP5),'2026DATA'!$K$20,"")</f>
        <v/>
      </c>
      <c r="BQ23" s="518" t="str">
        <f>IF(AND(_4="B-757",'2026'!$D$4="FO",'2026'!$D$2=BQ5),'2026DATA'!$L$20,"")</f>
        <v/>
      </c>
      <c r="BR23" s="518" t="str">
        <f>IF(AND(_4="B-757",'2026'!$D$4="FO",'2026'!$D$2=BR5),'2026DATA'!$M$20,"")</f>
        <v/>
      </c>
      <c r="BS23" s="520" t="str">
        <f>IF(AND(_4="B-757",'2026'!$D$4="FO",'2026'!$D$2=BS5),'2026DATA'!$N$20,"")</f>
        <v/>
      </c>
      <c r="BT23" s="940"/>
      <c r="BU23" s="13" t="s">
        <v>62</v>
      </c>
      <c r="BV23" s="518" t="str">
        <f>IF(AND(_5="B-757",'2026'!$D$4="FO",'2026'!$D$2=BV5),'2026DATA'!$C$20,"")</f>
        <v/>
      </c>
      <c r="BW23" s="518" t="str">
        <f>IF(AND(_5="B-757",'2026'!$D$4="FO",'2026'!$D$2=BW5),'2026DATA'!$D$20,"")</f>
        <v/>
      </c>
      <c r="BX23" s="518" t="str">
        <f>IF(AND(_5="B-757",'2026'!$D$4="FO",'2026'!$D$2=BX5),'2026DATA'!$E$20,"")</f>
        <v/>
      </c>
      <c r="BY23" s="518" t="str">
        <f>IF(AND(_5="B-757",'2026'!$D$4="FO",'2026'!$D$2=BY5),'2026DATA'!$F$20,"")</f>
        <v/>
      </c>
      <c r="BZ23" s="518" t="str">
        <f>IF(AND(_5="B-757",'2026'!$D$4="FO",'2026'!$D$2=BZ5),'2026DATA'!$G$20,"")</f>
        <v/>
      </c>
      <c r="CA23" s="518" t="str">
        <f>IF(AND(_5="B-757",'2026'!$D$4="FO",'2026'!$D$2=CA5),'2026DATA'!$H$20,"")</f>
        <v/>
      </c>
      <c r="CB23" s="518" t="str">
        <f>IF(AND(_5="B-757",'2026'!$D$4="FO",'2026'!$D$2=CB5),'2026DATA'!$I$20,"")</f>
        <v/>
      </c>
      <c r="CC23" s="518" t="str">
        <f>IF(AND(_5="B-757",'2026'!$D$4="FO",'2026'!$D$2=CC5),'2026DATA'!$J$20,"")</f>
        <v/>
      </c>
      <c r="CD23" s="518" t="str">
        <f>IF(AND(_5="B-757",'2026'!$D$4="FO",'2026'!$D$2=CD5),'2026DATA'!$K$20,"")</f>
        <v/>
      </c>
      <c r="CE23" s="518" t="str">
        <f>IF(AND(_5="B-757",'2026'!$D$4="FO",'2026'!$D$2=CE5),'2026DATA'!$L$20,"")</f>
        <v/>
      </c>
      <c r="CF23" s="518" t="str">
        <f>IF(AND(_5="B-757",'2026'!$D$4="FO",'2026'!$D$2=CF5),'2026DATA'!$M$20,"")</f>
        <v/>
      </c>
      <c r="CG23" s="520" t="str">
        <f>IF(AND(_5="B-757",'2026'!$D$4="FO",'2026'!$D$2=CG5),'2026DATA'!$N$20,"")</f>
        <v/>
      </c>
      <c r="CH23" s="940"/>
      <c r="CI23" s="13" t="s">
        <v>62</v>
      </c>
      <c r="CJ23" s="518" t="str">
        <f>IF(AND(_6="B-757",'2026'!$D$4="FO",'2026'!$D$2=CJ5),'2026DATA'!$C$20,"")</f>
        <v/>
      </c>
      <c r="CK23" s="518" t="str">
        <f>IF(AND(_6="B-757",'2026'!$D$4="FO",'2026'!$D$2=CK5),'2026DATA'!$D$20,"")</f>
        <v/>
      </c>
      <c r="CL23" s="518" t="str">
        <f>IF(AND(_6="B-757",'2026'!$D$4="FO",'2026'!$D$2=CL5),'2026DATA'!$E$20,"")</f>
        <v/>
      </c>
      <c r="CM23" s="518" t="str">
        <f>IF(AND(_6="B-757",'2026'!$D$4="FO",'2026'!$D$2=CM5),'2026DATA'!$F$20,"")</f>
        <v/>
      </c>
      <c r="CN23" s="518" t="str">
        <f>IF(AND(_6="B-757",'2026'!$D$4="FO",'2026'!$D$2=CN5),'2026DATA'!$G$20,"")</f>
        <v/>
      </c>
      <c r="CO23" s="518" t="str">
        <f>IF(AND(_6="B-757",'2026'!$D$4="FO",'2026'!$D$2=CO5),'2026DATA'!$H$20,"")</f>
        <v/>
      </c>
      <c r="CP23" s="518" t="str">
        <f>IF(AND(_6="B-757",'2026'!$D$4="FO",'2026'!$D$2=CP5),'2026DATA'!$I$20,"")</f>
        <v/>
      </c>
      <c r="CQ23" s="518" t="str">
        <f>IF(AND(_6="B-757",'2026'!$D$4="FO",'2026'!$D$2=CQ5),'2026DATA'!$J$20,"")</f>
        <v/>
      </c>
      <c r="CR23" s="518" t="str">
        <f>IF(AND(_6="B-757",'2026'!$D$4="FO",'2026'!$D$2=CR5),'2026DATA'!$K$20,"")</f>
        <v/>
      </c>
      <c r="CS23" s="518" t="str">
        <f>IF(AND(_6="B-757",'2026'!$D$4="FO",'2026'!$D$2=CS5),'2026DATA'!$L$20,"")</f>
        <v/>
      </c>
      <c r="CT23" s="518" t="str">
        <f>IF(AND(_6="B-757",'2026'!$D$4="FO",'2026'!$D$2=CT5),'2026DATA'!$M$20,"")</f>
        <v/>
      </c>
      <c r="CU23" s="520" t="str">
        <f>IF(AND(_6="B-757",'2026'!$D$4="FO",'2026'!$D$2=CU5),'2026DATA'!$N$20,"")</f>
        <v/>
      </c>
    </row>
    <row r="24" spans="1:99" x14ac:dyDescent="0.25">
      <c r="A24" s="987"/>
      <c r="B24" s="64" t="s">
        <v>62</v>
      </c>
      <c r="C24" s="84">
        <v>265.19</v>
      </c>
      <c r="D24" s="31">
        <v>262.83</v>
      </c>
      <c r="E24" s="31">
        <v>260.44</v>
      </c>
      <c r="F24" s="31">
        <v>256.97000000000003</v>
      </c>
      <c r="G24" s="31">
        <v>254.25</v>
      </c>
      <c r="H24" s="31">
        <v>248.51</v>
      </c>
      <c r="I24" s="31">
        <v>241.75</v>
      </c>
      <c r="J24" s="31">
        <v>235.86</v>
      </c>
      <c r="K24" s="31">
        <v>230.32</v>
      </c>
      <c r="L24" s="31">
        <v>224.85</v>
      </c>
      <c r="M24" s="31">
        <v>192.22</v>
      </c>
      <c r="N24" s="32">
        <v>125.52</v>
      </c>
      <c r="P24" s="940" t="s">
        <v>47</v>
      </c>
      <c r="Q24" s="13" t="s">
        <v>61</v>
      </c>
      <c r="R24" s="518" t="str">
        <f>IF(AND(_1="B-737-900",'2026'!$D$4="CA",'2026'!$D$2=R5),'2026DATA'!$C$21,"")</f>
        <v/>
      </c>
      <c r="S24" s="518" t="str">
        <f>IF(AND(_1="B-737-900",'2026'!$D$4="CA",'2026'!$D$2=S5),'2026DATA'!$D$21,"")</f>
        <v/>
      </c>
      <c r="T24" s="518" t="str">
        <f>IF(AND(_1="B-737-900",'2026'!$D$4="CA",'2026'!$D$2=T5),'2026DATA'!$E$21,"")</f>
        <v/>
      </c>
      <c r="U24" s="518" t="str">
        <f>IF(AND(_1="B-737-900",'2026'!$D$4="CA",'2026'!$D$2=U5),'2026DATA'!$F$21,"")</f>
        <v/>
      </c>
      <c r="V24" s="518" t="str">
        <f>IF(AND(_1="B-737-900",'2026'!$D$4="CA",'2026'!$D$2=V5),'2026DATA'!$G$21,"")</f>
        <v/>
      </c>
      <c r="W24" s="518" t="str">
        <f>IF(AND(_1="B-737-900",'2026'!$D$4="CA",'2026'!$D$2=W5),'2026DATA'!$H$21,"")</f>
        <v/>
      </c>
      <c r="X24" s="518" t="str">
        <f>IF(AND(_1="B-737-900",'2026'!$D$4="CA",'2026'!$D$2=X5),'2026DATA'!$I$21,"")</f>
        <v/>
      </c>
      <c r="Y24" s="518" t="str">
        <f>IF(AND(_1="B-737-900",'2026'!$D$4="CA",'2026'!$D$2=Y5),'2026DATA'!$J$21,"")</f>
        <v/>
      </c>
      <c r="Z24" s="518" t="str">
        <f>IF(AND(_1="B-737-900",'2026'!$D$4="CA",'2026'!$D$2=Z5),'2026DATA'!$K$21,"")</f>
        <v/>
      </c>
      <c r="AA24" s="518" t="str">
        <f>IF(AND(_1="B-737-900",'2026'!$D$4="CA",'2026'!$D$2=AA5),'2026DATA'!$L$21,"")</f>
        <v/>
      </c>
      <c r="AB24" s="518" t="str">
        <f>IF(AND(_1="B-737-900",'2026'!$D$4="CA",'2026'!$D$2=AB5),'2026DATA'!$M$21,"")</f>
        <v/>
      </c>
      <c r="AC24" s="520" t="str">
        <f>IF(AND(_1="B-737-900",'2026'!$D$4="CA",'2026'!$D$2=AC5),'2026DATA'!$N$21,"")</f>
        <v/>
      </c>
      <c r="AD24" s="940" t="s">
        <v>47</v>
      </c>
      <c r="AE24" s="13" t="s">
        <v>61</v>
      </c>
      <c r="AF24" s="518" t="str">
        <f>IF(AND(_2="B-737-900",'2026'!$D$4="CA",'2026'!$D$2=AF5),'2026DATA'!$C$21,"")</f>
        <v/>
      </c>
      <c r="AG24" s="518" t="str">
        <f>IF(AND(_2="B-737-900",'2026'!$D$4="CA",'2026'!$D$2=AG5),'2026DATA'!$D$21,"")</f>
        <v/>
      </c>
      <c r="AH24" s="518" t="str">
        <f>IF(AND(_2="B-737-900",'2026'!$D$4="CA",'2026'!$D$2=AH5),'2026DATA'!$E$21,"")</f>
        <v/>
      </c>
      <c r="AI24" s="518" t="str">
        <f>IF(AND(_2="B-737-900",'2026'!$D$4="CA",'2026'!$D$2=AI5),'2026DATA'!$F$21,"")</f>
        <v/>
      </c>
      <c r="AJ24" s="518" t="str">
        <f>IF(AND(_2="B-737-900",'2026'!$D$4="CA",'2026'!$D$2=AJ5),'2026DATA'!$G$21,"")</f>
        <v/>
      </c>
      <c r="AK24" s="518" t="str">
        <f>IF(AND(_2="B-737-900",'2026'!$D$4="CA",'2026'!$D$2=AK5),'2026DATA'!$H$21,"")</f>
        <v/>
      </c>
      <c r="AL24" s="518" t="str">
        <f>IF(AND(_2="B-737-900",'2026'!$D$4="CA",'2026'!$D$2=AL5),'2026DATA'!$I$21,"")</f>
        <v/>
      </c>
      <c r="AM24" s="518" t="str">
        <f>IF(AND(_2="B-737-900",'2026'!$D$4="CA",'2026'!$D$2=AM5),'2026DATA'!$J$21,"")</f>
        <v/>
      </c>
      <c r="AN24" s="518" t="str">
        <f>IF(AND(_2="B-737-900",'2026'!$D$4="CA",'2026'!$D$2=AN5),'2026DATA'!$K$21,"")</f>
        <v/>
      </c>
      <c r="AO24" s="518" t="str">
        <f>IF(AND(_2="B-737-900",'2026'!$D$4="CA",'2026'!$D$2=AO5),'2026DATA'!$L$21,"")</f>
        <v/>
      </c>
      <c r="AP24" s="518" t="str">
        <f>IF(AND(_2="B-737-900",'2026'!$D$4="CA",'2026'!$D$2=AP5),'2026DATA'!$M$21,"")</f>
        <v/>
      </c>
      <c r="AQ24" s="520" t="str">
        <f>IF(AND(_2="B-737-900",'2026'!$D$4="CA",'2026'!$D$2=AQ5),'2026DATA'!$N$21,"")</f>
        <v/>
      </c>
      <c r="AR24" s="940" t="s">
        <v>47</v>
      </c>
      <c r="AS24" s="13" t="s">
        <v>61</v>
      </c>
      <c r="AT24" s="518" t="str">
        <f>IF(AND(_3="B-737-900",'2026'!$D$4="CA",'2026'!$D$2=AT5),'2026DATA'!$C$21,"")</f>
        <v/>
      </c>
      <c r="AU24" s="518" t="str">
        <f>IF(AND(_3="B-737-900",'2026'!$D$4="CA",'2026'!$D$2=AU5),'2026DATA'!$D$21,"")</f>
        <v/>
      </c>
      <c r="AV24" s="518" t="str">
        <f>IF(AND(_3="B-737-900",'2026'!$D$4="CA",'2026'!$D$2=AV5),'2026DATA'!$E$21,"")</f>
        <v/>
      </c>
      <c r="AW24" s="518" t="str">
        <f>IF(AND(_3="B-737-900",'2026'!$D$4="CA",'2026'!$D$2=AW5),'2026DATA'!$F$21,"")</f>
        <v/>
      </c>
      <c r="AX24" s="518" t="str">
        <f>IF(AND(_3="B-737-900",'2026'!$D$4="CA",'2026'!$D$2=AX5),'2026DATA'!$G$21,"")</f>
        <v/>
      </c>
      <c r="AY24" s="518" t="str">
        <f>IF(AND(_3="B-737-900",'2026'!$D$4="CA",'2026'!$D$2=AY5),'2026DATA'!$H$21,"")</f>
        <v/>
      </c>
      <c r="AZ24" s="518" t="str">
        <f>IF(AND(_3="B-737-900",'2026'!$D$4="CA",'2026'!$D$2=AZ5),'2026DATA'!$I$21,"")</f>
        <v/>
      </c>
      <c r="BA24" s="518" t="str">
        <f>IF(AND(_3="B-737-900",'2026'!$D$4="CA",'2026'!$D$2=BA5),'2026DATA'!$J$21,"")</f>
        <v/>
      </c>
      <c r="BB24" s="518" t="str">
        <f>IF(AND(_3="B-737-900",'2026'!$D$4="CA",'2026'!$D$2=BB5),'2026DATA'!$K$21,"")</f>
        <v/>
      </c>
      <c r="BC24" s="518" t="str">
        <f>IF(AND(_3="B-737-900",'2026'!$D$4="CA",'2026'!$D$2=BC5),'2026DATA'!$L$21,"")</f>
        <v/>
      </c>
      <c r="BD24" s="518" t="str">
        <f>IF(AND(_3="B-737-900",'2026'!$D$4="CA",'2026'!$D$2=BD5),'2026DATA'!$M$21,"")</f>
        <v/>
      </c>
      <c r="BE24" s="520" t="str">
        <f>IF(AND(_3="B-737-900",'2026'!$D$4="CA",'2026'!$D$2=BE5),'2026DATA'!$N$21,"")</f>
        <v/>
      </c>
      <c r="BF24" s="940" t="s">
        <v>47</v>
      </c>
      <c r="BG24" s="13" t="s">
        <v>61</v>
      </c>
      <c r="BH24" s="518" t="str">
        <f>IF(AND(_4="B-737-900",'2026'!$D$4="CA",'2026'!$D$2=BH5),'2026DATA'!$C$21,"")</f>
        <v/>
      </c>
      <c r="BI24" s="518" t="str">
        <f>IF(AND(_4="B-737-900",'2026'!$D$4="CA",'2026'!$D$2=BI5),'2026DATA'!$D$21,"")</f>
        <v/>
      </c>
      <c r="BJ24" s="518" t="str">
        <f>IF(AND(_4="B-737-900",'2026'!$D$4="CA",'2026'!$D$2=BJ5),'2026DATA'!$E$21,"")</f>
        <v/>
      </c>
      <c r="BK24" s="518" t="str">
        <f>IF(AND(_4="B-737-900",'2026'!$D$4="CA",'2026'!$D$2=BK5),'2026DATA'!$F$21,"")</f>
        <v/>
      </c>
      <c r="BL24" s="518" t="str">
        <f>IF(AND(_4="B-737-900",'2026'!$D$4="CA",'2026'!$D$2=BL5),'2026DATA'!$G$21,"")</f>
        <v/>
      </c>
      <c r="BM24" s="518" t="str">
        <f>IF(AND(_4="B-737-900",'2026'!$D$4="CA",'2026'!$D$2=BM5),'2026DATA'!$H$21,"")</f>
        <v/>
      </c>
      <c r="BN24" s="518" t="str">
        <f>IF(AND(_4="B-737-900",'2026'!$D$4="CA",'2026'!$D$2=BN5),'2026DATA'!$I$21,"")</f>
        <v/>
      </c>
      <c r="BO24" s="518" t="str">
        <f>IF(AND(_4="B-737-900",'2026'!$D$4="CA",'2026'!$D$2=BO5),'2026DATA'!$J$21,"")</f>
        <v/>
      </c>
      <c r="BP24" s="518" t="str">
        <f>IF(AND(_4="B-737-900",'2026'!$D$4="CA",'2026'!$D$2=BP5),'2026DATA'!$K$21,"")</f>
        <v/>
      </c>
      <c r="BQ24" s="518" t="str">
        <f>IF(AND(_4="B-737-900",'2026'!$D$4="CA",'2026'!$D$2=BQ5),'2026DATA'!$L$21,"")</f>
        <v/>
      </c>
      <c r="BR24" s="518" t="str">
        <f>IF(AND(_4="B-737-900",'2026'!$D$4="CA",'2026'!$D$2=BR5),'2026DATA'!$M$21,"")</f>
        <v/>
      </c>
      <c r="BS24" s="520" t="str">
        <f>IF(AND(_4="B-737-900",'2026'!$D$4="CA",'2026'!$D$2=BS5),'2026DATA'!$N$21,"")</f>
        <v/>
      </c>
      <c r="BT24" s="940" t="s">
        <v>47</v>
      </c>
      <c r="BU24" s="13" t="s">
        <v>61</v>
      </c>
      <c r="BV24" s="518" t="str">
        <f>IF(AND(_5="B-737-900",'2026'!$D$4="CA",'2026'!$D$2=BV5),'2026DATA'!$C$21,"")</f>
        <v/>
      </c>
      <c r="BW24" s="518" t="str">
        <f>IF(AND(_5="B-737-900",'2026'!$D$4="CA",'2026'!$D$2=BW5),'2026DATA'!$D$21,"")</f>
        <v/>
      </c>
      <c r="BX24" s="518" t="str">
        <f>IF(AND(_5="B-737-900",'2026'!$D$4="CA",'2026'!$D$2=BX5),'2026DATA'!$E$21,"")</f>
        <v/>
      </c>
      <c r="BY24" s="518" t="str">
        <f>IF(AND(_5="B-737-900",'2026'!$D$4="CA",'2026'!$D$2=BY5),'2026DATA'!$F$21,"")</f>
        <v/>
      </c>
      <c r="BZ24" s="518" t="str">
        <f>IF(AND(_5="B-737-900",'2026'!$D$4="CA",'2026'!$D$2=BZ5),'2026DATA'!$G$21,"")</f>
        <v/>
      </c>
      <c r="CA24" s="518" t="str">
        <f>IF(AND(_5="B-737-900",'2026'!$D$4="CA",'2026'!$D$2=CA5),'2026DATA'!$H$21,"")</f>
        <v/>
      </c>
      <c r="CB24" s="518" t="str">
        <f>IF(AND(_5="B-737-900",'2026'!$D$4="CA",'2026'!$D$2=CB5),'2026DATA'!$I$21,"")</f>
        <v/>
      </c>
      <c r="CC24" s="518" t="str">
        <f>IF(AND(_5="B-737-900",'2026'!$D$4="CA",'2026'!$D$2=CC5),'2026DATA'!$J$21,"")</f>
        <v/>
      </c>
      <c r="CD24" s="518" t="str">
        <f>IF(AND(_5="B-737-900",'2026'!$D$4="CA",'2026'!$D$2=CD5),'2026DATA'!$K$21,"")</f>
        <v/>
      </c>
      <c r="CE24" s="518" t="str">
        <f>IF(AND(_5="B-737-900",'2026'!$D$4="CA",'2026'!$D$2=CE5),'2026DATA'!$L$21,"")</f>
        <v/>
      </c>
      <c r="CF24" s="518" t="str">
        <f>IF(AND(_5="B-737-900",'2026'!$D$4="CA",'2026'!$D$2=CF5),'2026DATA'!$M$21,"")</f>
        <v/>
      </c>
      <c r="CG24" s="520" t="str">
        <f>IF(AND(_5="B-737-900",'2026'!$D$4="CA",'2026'!$D$2=CG5),'2026DATA'!$N$21,"")</f>
        <v/>
      </c>
      <c r="CH24" s="940" t="s">
        <v>47</v>
      </c>
      <c r="CI24" s="13" t="s">
        <v>61</v>
      </c>
      <c r="CJ24" s="518" t="str">
        <f>IF(AND(_6="B-737-900",'2026'!$D$4="CA",'2026'!$D$2=CJ5),'2026DATA'!$C$21,"")</f>
        <v/>
      </c>
      <c r="CK24" s="518" t="str">
        <f>IF(AND(_6="B-737-900",'2026'!$D$4="CA",'2026'!$D$2=CK5),'2026DATA'!$D$21,"")</f>
        <v/>
      </c>
      <c r="CL24" s="518" t="str">
        <f>IF(AND(_6="B-737-900",'2026'!$D$4="CA",'2026'!$D$2=CL5),'2026DATA'!$E$21,"")</f>
        <v/>
      </c>
      <c r="CM24" s="518" t="str">
        <f>IF(AND(_6="B-737-900",'2026'!$D$4="CA",'2026'!$D$2=CM5),'2026DATA'!$F$21,"")</f>
        <v/>
      </c>
      <c r="CN24" s="518" t="str">
        <f>IF(AND(_6="B-737-900",'2026'!$D$4="CA",'2026'!$D$2=CN5),'2026DATA'!$G$21,"")</f>
        <v/>
      </c>
      <c r="CO24" s="518" t="str">
        <f>IF(AND(_6="B-737-900",'2026'!$D$4="CA",'2026'!$D$2=CO5),'2026DATA'!$H$21,"")</f>
        <v/>
      </c>
      <c r="CP24" s="518" t="str">
        <f>IF(AND(_6="B-737-900",'2026'!$D$4="CA",'2026'!$D$2=CP5),'2026DATA'!$I$21,"")</f>
        <v/>
      </c>
      <c r="CQ24" s="518" t="str">
        <f>IF(AND(_6="B-737-900",'2026'!$D$4="CA",'2026'!$D$2=CQ5),'2026DATA'!$J$21,"")</f>
        <v/>
      </c>
      <c r="CR24" s="518" t="str">
        <f>IF(AND(_6="B-737-900",'2026'!$D$4="CA",'2026'!$D$2=CR5),'2026DATA'!$K$21,"")</f>
        <v/>
      </c>
      <c r="CS24" s="518" t="str">
        <f>IF(AND(_6="B-737-900",'2026'!$D$4="CA",'2026'!$D$2=CS5),'2026DATA'!$L$21,"")</f>
        <v/>
      </c>
      <c r="CT24" s="518" t="str">
        <f>IF(AND(_6="B-737-900",'2026'!$D$4="CA",'2026'!$D$2=CT5),'2026DATA'!$M$21,"")</f>
        <v/>
      </c>
      <c r="CU24" s="520" t="str">
        <f>IF(AND(_6="B-737-900",'2026'!$D$4="CA",'2026'!$D$2=CU5),'2026DATA'!$N$21,"")</f>
        <v/>
      </c>
    </row>
    <row r="25" spans="1:99" x14ac:dyDescent="0.25">
      <c r="A25" s="987" t="s">
        <v>46</v>
      </c>
      <c r="B25" s="64" t="s">
        <v>61</v>
      </c>
      <c r="C25" s="84">
        <v>404.92</v>
      </c>
      <c r="D25" s="31">
        <v>400.77</v>
      </c>
      <c r="E25" s="31">
        <v>396.5</v>
      </c>
      <c r="F25" s="31">
        <v>392.29</v>
      </c>
      <c r="G25" s="31">
        <v>389.52</v>
      </c>
      <c r="H25" s="31">
        <v>386.33</v>
      </c>
      <c r="I25" s="31">
        <v>383.48</v>
      </c>
      <c r="J25" s="31">
        <v>380.51</v>
      </c>
      <c r="K25" s="31">
        <v>377.31</v>
      </c>
      <c r="L25" s="31">
        <v>374.27</v>
      </c>
      <c r="M25" s="31">
        <v>371.26</v>
      </c>
      <c r="N25" s="32">
        <v>368.14</v>
      </c>
      <c r="P25" s="940"/>
      <c r="Q25" s="13" t="s">
        <v>62</v>
      </c>
      <c r="R25" s="518" t="str">
        <f>IF(AND(_1="B-737-900",'2026'!$D$4="FO",'2026'!$D$2=R5),'2026DATA'!$C$22,"")</f>
        <v/>
      </c>
      <c r="S25" s="518" t="str">
        <f>IF(AND(_1="B-737-900",'2026'!$D$4="FO",'2026'!$D$2=S5),'2026DATA'!$D$22,"")</f>
        <v/>
      </c>
      <c r="T25" s="518" t="str">
        <f>IF(AND(_1="B-737-900",'2026'!$D$4="FO",'2026'!$D$2=T5),'2026DATA'!$E$22,"")</f>
        <v/>
      </c>
      <c r="U25" s="518" t="str">
        <f>IF(AND(_1="B-737-900",'2026'!$D$4="FO",'2026'!$D$2=U5),'2026DATA'!$F$22,"")</f>
        <v/>
      </c>
      <c r="V25" s="518" t="str">
        <f>IF(AND(_1="B-737-900",'2026'!$D$4="FO",'2026'!$D$2=V5),'2026DATA'!$G$22,"")</f>
        <v/>
      </c>
      <c r="W25" s="518" t="str">
        <f>IF(AND(_1="B-737-900",'2026'!$D$4="FO",'2026'!$D$2=W5),'2026DATA'!$H$22,"")</f>
        <v/>
      </c>
      <c r="X25" s="518" t="str">
        <f>IF(AND(_1="B-737-900",'2026'!$D$4="FO",'2026'!$D$2=X5),'2026DATA'!$I$22,"")</f>
        <v/>
      </c>
      <c r="Y25" s="518" t="str">
        <f>IF(AND(_1="B-737-900",'2026'!$D$4="FO",'2026'!$D$2=Y5),'2026DATA'!$J$22,"")</f>
        <v/>
      </c>
      <c r="Z25" s="518" t="str">
        <f>IF(AND(_1="B-737-900",'2026'!$D$4="FO",'2026'!$D$2=Z5),'2026DATA'!$K$22,"")</f>
        <v/>
      </c>
      <c r="AA25" s="518" t="str">
        <f>IF(AND(_1="B-737-900",'2026'!$D$4="FO",'2026'!$D$2=AA5),'2026DATA'!$L$22,"")</f>
        <v/>
      </c>
      <c r="AB25" s="518" t="str">
        <f>IF(AND(_1="B-737-900",'2026'!$D$4="FO",'2026'!$D$2=AB5),'2026DATA'!$M$22,"")</f>
        <v/>
      </c>
      <c r="AC25" s="520" t="str">
        <f>IF(AND(_1="B-737-900",'2026'!$D$4="FO",'2026'!$D$2=AC5),'2026DATA'!$N$22,"")</f>
        <v/>
      </c>
      <c r="AD25" s="940"/>
      <c r="AE25" s="13" t="s">
        <v>62</v>
      </c>
      <c r="AF25" s="518" t="str">
        <f>IF(AND(_2="B-737-900",'2026'!$D$4="FO",'2026'!$D$2=AF5),'2026DATA'!$C$22,"")</f>
        <v/>
      </c>
      <c r="AG25" s="518" t="str">
        <f>IF(AND(_2="B-737-900",'2026'!$D$4="FO",'2026'!$D$2=AG5),'2026DATA'!$D$22,"")</f>
        <v/>
      </c>
      <c r="AH25" s="518" t="str">
        <f>IF(AND(_2="B-737-900",'2026'!$D$4="FO",'2026'!$D$2=AH5),'2026DATA'!$E$22,"")</f>
        <v/>
      </c>
      <c r="AI25" s="518" t="str">
        <f>IF(AND(_2="B-737-900",'2026'!$D$4="FO",'2026'!$D$2=AI5),'2026DATA'!$F$22,"")</f>
        <v/>
      </c>
      <c r="AJ25" s="518" t="str">
        <f>IF(AND(_2="B-737-900",'2026'!$D$4="FO",'2026'!$D$2=AJ5),'2026DATA'!$G$22,"")</f>
        <v/>
      </c>
      <c r="AK25" s="518" t="str">
        <f>IF(AND(_2="B-737-900",'2026'!$D$4="FO",'2026'!$D$2=AK5),'2026DATA'!$H$22,"")</f>
        <v/>
      </c>
      <c r="AL25" s="518" t="str">
        <f>IF(AND(_2="B-737-900",'2026'!$D$4="FO",'2026'!$D$2=AL5),'2026DATA'!$I$22,"")</f>
        <v/>
      </c>
      <c r="AM25" s="518" t="str">
        <f>IF(AND(_2="B-737-900",'2026'!$D$4="FO",'2026'!$D$2=AM5),'2026DATA'!$J$22,"")</f>
        <v/>
      </c>
      <c r="AN25" s="518" t="str">
        <f>IF(AND(_2="B-737-900",'2026'!$D$4="FO",'2026'!$D$2=AN5),'2026DATA'!$K$22,"")</f>
        <v/>
      </c>
      <c r="AO25" s="518" t="str">
        <f>IF(AND(_2="B-737-900",'2026'!$D$4="FO",'2026'!$D$2=AO5),'2026DATA'!$L$22,"")</f>
        <v/>
      </c>
      <c r="AP25" s="518" t="str">
        <f>IF(AND(_2="B-737-900",'2026'!$D$4="FO",'2026'!$D$2=AP5),'2026DATA'!$M$22,"")</f>
        <v/>
      </c>
      <c r="AQ25" s="520" t="str">
        <f>IF(AND(_2="B-737-900",'2026'!$D$4="FO",'2026'!$D$2=AQ5),'2026DATA'!$N$22,"")</f>
        <v/>
      </c>
      <c r="AR25" s="940"/>
      <c r="AS25" s="13" t="s">
        <v>62</v>
      </c>
      <c r="AT25" s="518" t="str">
        <f>IF(AND(_3="B-737-900",'2026'!$D$4="FO",'2026'!$D$2=AT5),'2026DATA'!$C$22,"")</f>
        <v/>
      </c>
      <c r="AU25" s="518" t="str">
        <f>IF(AND(_3="B-737-900",'2026'!$D$4="FO",'2026'!$D$2=AU5),'2026DATA'!$D$22,"")</f>
        <v/>
      </c>
      <c r="AV25" s="518" t="str">
        <f>IF(AND(_3="B-737-900",'2026'!$D$4="FO",'2026'!$D$2=AV5),'2026DATA'!$E$22,"")</f>
        <v/>
      </c>
      <c r="AW25" s="518" t="str">
        <f>IF(AND(_3="B-737-900",'2026'!$D$4="FO",'2026'!$D$2=AW5),'2026DATA'!$F$22,"")</f>
        <v/>
      </c>
      <c r="AX25" s="518" t="str">
        <f>IF(AND(_3="B-737-900",'2026'!$D$4="FO",'2026'!$D$2=AX5),'2026DATA'!$G$22,"")</f>
        <v/>
      </c>
      <c r="AY25" s="518" t="str">
        <f>IF(AND(_3="B-737-900",'2026'!$D$4="FO",'2026'!$D$2=AY5),'2026DATA'!$H$22,"")</f>
        <v/>
      </c>
      <c r="AZ25" s="518" t="str">
        <f>IF(AND(_3="B-737-900",'2026'!$D$4="FO",'2026'!$D$2=AZ5),'2026DATA'!$I$22,"")</f>
        <v/>
      </c>
      <c r="BA25" s="518" t="str">
        <f>IF(AND(_3="B-737-900",'2026'!$D$4="FO",'2026'!$D$2=BA5),'2026DATA'!$J$22,"")</f>
        <v/>
      </c>
      <c r="BB25" s="518" t="str">
        <f>IF(AND(_3="B-737-900",'2026'!$D$4="FO",'2026'!$D$2=BB5),'2026DATA'!$K$22,"")</f>
        <v/>
      </c>
      <c r="BC25" s="518" t="str">
        <f>IF(AND(_3="B-737-900",'2026'!$D$4="FO",'2026'!$D$2=BC5),'2026DATA'!$L$22,"")</f>
        <v/>
      </c>
      <c r="BD25" s="518" t="str">
        <f>IF(AND(_3="B-737-900",'2026'!$D$4="FO",'2026'!$D$2=BD5),'2026DATA'!$M$22,"")</f>
        <v/>
      </c>
      <c r="BE25" s="520" t="str">
        <f>IF(AND(_3="B-737-900",'2026'!$D$4="FO",'2026'!$D$2=BE5),'2026DATA'!$N$22,"")</f>
        <v/>
      </c>
      <c r="BF25" s="940"/>
      <c r="BG25" s="13" t="s">
        <v>62</v>
      </c>
      <c r="BH25" s="518" t="str">
        <f>IF(AND(_4="B-737-900",'2026'!$D$4="FO",'2026'!$D$2=BH5),'2026DATA'!$C$22,"")</f>
        <v/>
      </c>
      <c r="BI25" s="518" t="str">
        <f>IF(AND(_4="B-737-900",'2026'!$D$4="FO",'2026'!$D$2=BI5),'2026DATA'!$D$22,"")</f>
        <v/>
      </c>
      <c r="BJ25" s="518" t="str">
        <f>IF(AND(_4="B-737-900",'2026'!$D$4="FO",'2026'!$D$2=BJ5),'2026DATA'!$E$22,"")</f>
        <v/>
      </c>
      <c r="BK25" s="518" t="str">
        <f>IF(AND(_4="B-737-900",'2026'!$D$4="FO",'2026'!$D$2=BK5),'2026DATA'!$F$22,"")</f>
        <v/>
      </c>
      <c r="BL25" s="518" t="str">
        <f>IF(AND(_4="B-737-900",'2026'!$D$4="FO",'2026'!$D$2=BL5),'2026DATA'!$G$22,"")</f>
        <v/>
      </c>
      <c r="BM25" s="518" t="str">
        <f>IF(AND(_4="B-737-900",'2026'!$D$4="FO",'2026'!$D$2=BM5),'2026DATA'!$H$22,"")</f>
        <v/>
      </c>
      <c r="BN25" s="518" t="str">
        <f>IF(AND(_4="B-737-900",'2026'!$D$4="FO",'2026'!$D$2=BN5),'2026DATA'!$I$22,"")</f>
        <v/>
      </c>
      <c r="BO25" s="518" t="str">
        <f>IF(AND(_4="B-737-900",'2026'!$D$4="FO",'2026'!$D$2=BO5),'2026DATA'!$J$22,"")</f>
        <v/>
      </c>
      <c r="BP25" s="518" t="str">
        <f>IF(AND(_4="B-737-900",'2026'!$D$4="FO",'2026'!$D$2=BP5),'2026DATA'!$K$22,"")</f>
        <v/>
      </c>
      <c r="BQ25" s="518" t="str">
        <f>IF(AND(_4="B-737-900",'2026'!$D$4="FO",'2026'!$D$2=BQ5),'2026DATA'!$L$22,"")</f>
        <v/>
      </c>
      <c r="BR25" s="518" t="str">
        <f>IF(AND(_4="B-737-900",'2026'!$D$4="FO",'2026'!$D$2=BR5),'2026DATA'!$M$22,"")</f>
        <v/>
      </c>
      <c r="BS25" s="520" t="str">
        <f>IF(AND(_4="B-737-900",'2026'!$D$4="FO",'2026'!$D$2=BS5),'2026DATA'!$N$22,"")</f>
        <v/>
      </c>
      <c r="BT25" s="940"/>
      <c r="BU25" s="13" t="s">
        <v>62</v>
      </c>
      <c r="BV25" s="518" t="str">
        <f>IF(AND(_5="B-737-900",'2026'!$D$4="FO",'2026'!$D$2=BV5),'2026DATA'!$C$22,"")</f>
        <v/>
      </c>
      <c r="BW25" s="518" t="str">
        <f>IF(AND(_5="B-737-900",'2026'!$D$4="FO",'2026'!$D$2=BW5),'2026DATA'!$D$22,"")</f>
        <v/>
      </c>
      <c r="BX25" s="518" t="str">
        <f>IF(AND(_5="B-737-900",'2026'!$D$4="FO",'2026'!$D$2=BX5),'2026DATA'!$E$22,"")</f>
        <v/>
      </c>
      <c r="BY25" s="518" t="str">
        <f>IF(AND(_5="B-737-900",'2026'!$D$4="FO",'2026'!$D$2=BY5),'2026DATA'!$F$22,"")</f>
        <v/>
      </c>
      <c r="BZ25" s="518" t="str">
        <f>IF(AND(_5="B-737-900",'2026'!$D$4="FO",'2026'!$D$2=BZ5),'2026DATA'!$G$22,"")</f>
        <v/>
      </c>
      <c r="CA25" s="518" t="str">
        <f>IF(AND(_5="B-737-900",'2026'!$D$4="FO",'2026'!$D$2=CA5),'2026DATA'!$H$22,"")</f>
        <v/>
      </c>
      <c r="CB25" s="518" t="str">
        <f>IF(AND(_5="B-737-900",'2026'!$D$4="FO",'2026'!$D$2=CB5),'2026DATA'!$I$22,"")</f>
        <v/>
      </c>
      <c r="CC25" s="518" t="str">
        <f>IF(AND(_5="B-737-900",'2026'!$D$4="FO",'2026'!$D$2=CC5),'2026DATA'!$J$22,"")</f>
        <v/>
      </c>
      <c r="CD25" s="518" t="str">
        <f>IF(AND(_5="B-737-900",'2026'!$D$4="FO",'2026'!$D$2=CD5),'2026DATA'!$K$22,"")</f>
        <v/>
      </c>
      <c r="CE25" s="518" t="str">
        <f>IF(AND(_5="B-737-900",'2026'!$D$4="FO",'2026'!$D$2=CE5),'2026DATA'!$L$22,"")</f>
        <v/>
      </c>
      <c r="CF25" s="518" t="str">
        <f>IF(AND(_5="B-737-900",'2026'!$D$4="FO",'2026'!$D$2=CF5),'2026DATA'!$M$22,"")</f>
        <v/>
      </c>
      <c r="CG25" s="520" t="str">
        <f>IF(AND(_5="B-737-900",'2026'!$D$4="FO",'2026'!$D$2=CG5),'2026DATA'!$N$22,"")</f>
        <v/>
      </c>
      <c r="CH25" s="940"/>
      <c r="CI25" s="13" t="s">
        <v>62</v>
      </c>
      <c r="CJ25" s="518" t="str">
        <f>IF(AND(_6="B-737-900",'2026'!$D$4="FO",'2026'!$D$2=CJ5),'2026DATA'!$C$22,"")</f>
        <v/>
      </c>
      <c r="CK25" s="518" t="str">
        <f>IF(AND(_6="B-737-900",'2026'!$D$4="FO",'2026'!$D$2=CK5),'2026DATA'!$D$22,"")</f>
        <v/>
      </c>
      <c r="CL25" s="518" t="str">
        <f>IF(AND(_6="B-737-900",'2026'!$D$4="FO",'2026'!$D$2=CL5),'2026DATA'!$E$22,"")</f>
        <v/>
      </c>
      <c r="CM25" s="518" t="str">
        <f>IF(AND(_6="B-737-900",'2026'!$D$4="FO",'2026'!$D$2=CM5),'2026DATA'!$F$22,"")</f>
        <v/>
      </c>
      <c r="CN25" s="518" t="str">
        <f>IF(AND(_6="B-737-900",'2026'!$D$4="FO",'2026'!$D$2=CN5),'2026DATA'!$G$22,"")</f>
        <v/>
      </c>
      <c r="CO25" s="518" t="str">
        <f>IF(AND(_6="B-737-900",'2026'!$D$4="FO",'2026'!$D$2=CO5),'2026DATA'!$H$22,"")</f>
        <v/>
      </c>
      <c r="CP25" s="518" t="str">
        <f>IF(AND(_6="B-737-900",'2026'!$D$4="FO",'2026'!$D$2=CP5),'2026DATA'!$I$22,"")</f>
        <v/>
      </c>
      <c r="CQ25" s="518" t="str">
        <f>IF(AND(_6="B-737-900",'2026'!$D$4="FO",'2026'!$D$2=CQ5),'2026DATA'!$J$22,"")</f>
        <v/>
      </c>
      <c r="CR25" s="518" t="str">
        <f>IF(AND(_6="B-737-900",'2026'!$D$4="FO",'2026'!$D$2=CR5),'2026DATA'!$K$22,"")</f>
        <v/>
      </c>
      <c r="CS25" s="518" t="str">
        <f>IF(AND(_6="B-737-900",'2026'!$D$4="FO",'2026'!$D$2=CS5),'2026DATA'!$L$22,"")</f>
        <v/>
      </c>
      <c r="CT25" s="518" t="str">
        <f>IF(AND(_6="B-737-900",'2026'!$D$4="FO",'2026'!$D$2=CT5),'2026DATA'!$M$22,"")</f>
        <v/>
      </c>
      <c r="CU25" s="520" t="str">
        <f>IF(AND(_6="B-737-900",'2026'!$D$4="FO",'2026'!$D$2=CU5),'2026DATA'!$N$22,"")</f>
        <v/>
      </c>
    </row>
    <row r="26" spans="1:99" x14ac:dyDescent="0.25">
      <c r="A26" s="987"/>
      <c r="B26" s="64" t="s">
        <v>62</v>
      </c>
      <c r="C26" s="84">
        <v>276.56</v>
      </c>
      <c r="D26" s="31">
        <v>273.33999999999997</v>
      </c>
      <c r="E26" s="31">
        <v>270.01</v>
      </c>
      <c r="F26" s="31">
        <v>265.60000000000002</v>
      </c>
      <c r="G26" s="31">
        <v>262.94</v>
      </c>
      <c r="H26" s="31">
        <v>256.92</v>
      </c>
      <c r="I26" s="31">
        <v>250.02</v>
      </c>
      <c r="J26" s="31">
        <v>243.92</v>
      </c>
      <c r="K26" s="31">
        <v>238.1</v>
      </c>
      <c r="L26" s="31">
        <v>232.42</v>
      </c>
      <c r="M26" s="31">
        <v>198.62</v>
      </c>
      <c r="N26" s="32">
        <v>125.52</v>
      </c>
      <c r="P26" s="940" t="s">
        <v>69</v>
      </c>
      <c r="Q26" s="13" t="s">
        <v>61</v>
      </c>
      <c r="R26" s="518" t="str">
        <f>IF(AND(_1="B-737-800",'2026'!$D$4="CA",'2026'!$D$2=R5),'2026DATA'!$C$23,"")</f>
        <v/>
      </c>
      <c r="S26" s="518" t="str">
        <f>IF(AND(_1="B-737-800",'2026'!$D$4="CA",'2026'!$D$2=S5),'2026DATA'!$D$23,"")</f>
        <v/>
      </c>
      <c r="T26" s="518" t="str">
        <f>IF(AND(_1="B-737-800",'2026'!$D$4="CA",'2026'!$D$2=T5),'2026DATA'!$E$23,"")</f>
        <v/>
      </c>
      <c r="U26" s="518" t="str">
        <f>IF(AND(_1="B-737-800",'2026'!$D$4="CA",'2026'!$D$2=U5),'2026DATA'!$F$23,"")</f>
        <v/>
      </c>
      <c r="V26" s="518" t="str">
        <f>IF(AND(_1="B-737-800",'2026'!$D$4="CA",'2026'!$D$2=V5),'2026DATA'!$G$23,"")</f>
        <v/>
      </c>
      <c r="W26" s="518" t="str">
        <f>IF(AND(_1="B-737-800",'2026'!$D$4="CA",'2026'!$D$2=W5),'2026DATA'!$H$23,"")</f>
        <v/>
      </c>
      <c r="X26" s="518" t="str">
        <f>IF(AND(_1="B-737-800",'2026'!$D$4="CA",'2026'!$D$2=X5),'2026DATA'!$I$23,"")</f>
        <v/>
      </c>
      <c r="Y26" s="518" t="str">
        <f>IF(AND(_1="B-737-800",'2026'!$D$4="CA",'2026'!$D$2=Y5),'2026DATA'!$J$23,"")</f>
        <v/>
      </c>
      <c r="Z26" s="518" t="str">
        <f>IF(AND(_1="B-737-800",'2026'!$D$4="CA",'2026'!$D$2=Z5),'2026DATA'!$K$23,"")</f>
        <v/>
      </c>
      <c r="AA26" s="518" t="str">
        <f>IF(AND(_1="B-737-800",'2026'!$D$4="CA",'2026'!$D$2=AA5),'2026DATA'!$L$23,"")</f>
        <v/>
      </c>
      <c r="AB26" s="518" t="str">
        <f>IF(AND(_1="B-737-800",'2026'!$D$4="CA",'2026'!$D$2=AB5),'2026DATA'!$M$23,"")</f>
        <v/>
      </c>
      <c r="AC26" s="520" t="str">
        <f>IF(AND(_1="B-737-800",'2026'!$D$4="CA",'2026'!$D$2=AC5),'2026DATA'!$N$23,"")</f>
        <v/>
      </c>
      <c r="AD26" s="940" t="s">
        <v>69</v>
      </c>
      <c r="AE26" s="13" t="s">
        <v>61</v>
      </c>
      <c r="AF26" s="518" t="str">
        <f>IF(AND(_2="B-737-800",'2026'!$D$4="CA",'2026'!$D$2=AF5),'2026DATA'!$C$23,"")</f>
        <v/>
      </c>
      <c r="AG26" s="518" t="str">
        <f>IF(AND(_2="B-737-800",'2026'!$D$4="CA",'2026'!$D$2=AG5),'2026DATA'!$D$23,"")</f>
        <v/>
      </c>
      <c r="AH26" s="518" t="str">
        <f>IF(AND(_2="B-737-800",'2026'!$D$4="CA",'2026'!$D$2=AH5),'2026DATA'!$E$23,"")</f>
        <v/>
      </c>
      <c r="AI26" s="518" t="str">
        <f>IF(AND(_2="B-737-800",'2026'!$D$4="CA",'2026'!$D$2=AI5),'2026DATA'!$F$23,"")</f>
        <v/>
      </c>
      <c r="AJ26" s="518" t="str">
        <f>IF(AND(_2="B-737-800",'2026'!$D$4="CA",'2026'!$D$2=AJ5),'2026DATA'!$G$23,"")</f>
        <v/>
      </c>
      <c r="AK26" s="518" t="str">
        <f>IF(AND(_2="B-737-800",'2026'!$D$4="CA",'2026'!$D$2=AK5),'2026DATA'!$H$23,"")</f>
        <v/>
      </c>
      <c r="AL26" s="518" t="str">
        <f>IF(AND(_2="B-737-800",'2026'!$D$4="CA",'2026'!$D$2=AL5),'2026DATA'!$I$23,"")</f>
        <v/>
      </c>
      <c r="AM26" s="518" t="str">
        <f>IF(AND(_2="B-737-800",'2026'!$D$4="CA",'2026'!$D$2=AM5),'2026DATA'!$J$23,"")</f>
        <v/>
      </c>
      <c r="AN26" s="518" t="str">
        <f>IF(AND(_2="B-737-800",'2026'!$D$4="CA",'2026'!$D$2=AN5),'2026DATA'!$K$23,"")</f>
        <v/>
      </c>
      <c r="AO26" s="518" t="str">
        <f>IF(AND(_2="B-737-800",'2026'!$D$4="CA",'2026'!$D$2=AO5),'2026DATA'!$L$23,"")</f>
        <v/>
      </c>
      <c r="AP26" s="518" t="str">
        <f>IF(AND(_2="B-737-800",'2026'!$D$4="CA",'2026'!$D$2=AP5),'2026DATA'!$M$23,"")</f>
        <v/>
      </c>
      <c r="AQ26" s="520" t="str">
        <f>IF(AND(_2="B-737-800",'2026'!$D$4="CA",'2026'!$D$2=AQ5),'2026DATA'!$N$23,"")</f>
        <v/>
      </c>
      <c r="AR26" s="940" t="s">
        <v>69</v>
      </c>
      <c r="AS26" s="13" t="s">
        <v>61</v>
      </c>
      <c r="AT26" s="518" t="str">
        <f>IF(AND(_3="B-737-800",'2026'!$D$4="CA",'2026'!$D$2=AT5),'2026DATA'!$C$23,"")</f>
        <v/>
      </c>
      <c r="AU26" s="518" t="str">
        <f>IF(AND(_3="B-737-800",'2026'!$D$4="CA",'2026'!$D$2=AU5),'2026DATA'!$D$23,"")</f>
        <v/>
      </c>
      <c r="AV26" s="518" t="str">
        <f>IF(AND(_3="B-737-800",'2026'!$D$4="CA",'2026'!$D$2=AV5),'2026DATA'!$E$23,"")</f>
        <v/>
      </c>
      <c r="AW26" s="518" t="str">
        <f>IF(AND(_3="B-737-800",'2026'!$D$4="CA",'2026'!$D$2=AW5),'2026DATA'!$F$23,"")</f>
        <v/>
      </c>
      <c r="AX26" s="518" t="str">
        <f>IF(AND(_3="B-737-800",'2026'!$D$4="CA",'2026'!$D$2=AX5),'2026DATA'!$G$23,"")</f>
        <v/>
      </c>
      <c r="AY26" s="518" t="str">
        <f>IF(AND(_3="B-737-800",'2026'!$D$4="CA",'2026'!$D$2=AY5),'2026DATA'!$H$23,"")</f>
        <v/>
      </c>
      <c r="AZ26" s="518" t="str">
        <f>IF(AND(_3="B-737-800",'2026'!$D$4="CA",'2026'!$D$2=AZ5),'2026DATA'!$I$23,"")</f>
        <v/>
      </c>
      <c r="BA26" s="518" t="str">
        <f>IF(AND(_3="B-737-800",'2026'!$D$4="CA",'2026'!$D$2=BA5),'2026DATA'!$J$23,"")</f>
        <v/>
      </c>
      <c r="BB26" s="518" t="str">
        <f>IF(AND(_3="B-737-800",'2026'!$D$4="CA",'2026'!$D$2=BB5),'2026DATA'!$K$23,"")</f>
        <v/>
      </c>
      <c r="BC26" s="518" t="str">
        <f>IF(AND(_3="B-737-800",'2026'!$D$4="CA",'2026'!$D$2=BC5),'2026DATA'!$L$23,"")</f>
        <v/>
      </c>
      <c r="BD26" s="518" t="str">
        <f>IF(AND(_3="B-737-800",'2026'!$D$4="CA",'2026'!$D$2=BD5),'2026DATA'!$M$23,"")</f>
        <v/>
      </c>
      <c r="BE26" s="520" t="str">
        <f>IF(AND(_3="B-737-800",'2026'!$D$4="CA",'2026'!$D$2=BE5),'2026DATA'!$N$23,"")</f>
        <v/>
      </c>
      <c r="BF26" s="940" t="s">
        <v>69</v>
      </c>
      <c r="BG26" s="13" t="s">
        <v>61</v>
      </c>
      <c r="BH26" s="518" t="str">
        <f>IF(AND(_4="B-737-800",'2026'!$D$4="CA",'2026'!$D$2=BH5),'2026DATA'!$C$23,"")</f>
        <v/>
      </c>
      <c r="BI26" s="518" t="str">
        <f>IF(AND(_4="B-737-800",'2026'!$D$4="CA",'2026'!$D$2=BI5),'2026DATA'!$D$23,"")</f>
        <v/>
      </c>
      <c r="BJ26" s="518" t="str">
        <f>IF(AND(_4="B-737-800",'2026'!$D$4="CA",'2026'!$D$2=BJ5),'2026DATA'!$E$23,"")</f>
        <v/>
      </c>
      <c r="BK26" s="518" t="str">
        <f>IF(AND(_4="B-737-800",'2026'!$D$4="CA",'2026'!$D$2=BK5),'2026DATA'!$F$23,"")</f>
        <v/>
      </c>
      <c r="BL26" s="518" t="str">
        <f>IF(AND(_4="B-737-800",'2026'!$D$4="CA",'2026'!$D$2=BL5),'2026DATA'!$G$23,"")</f>
        <v/>
      </c>
      <c r="BM26" s="518" t="str">
        <f>IF(AND(_4="B-737-800",'2026'!$D$4="CA",'2026'!$D$2=BM5),'2026DATA'!$H$23,"")</f>
        <v/>
      </c>
      <c r="BN26" s="518" t="str">
        <f>IF(AND(_4="B-737-800",'2026'!$D$4="CA",'2026'!$D$2=BN5),'2026DATA'!$I$23,"")</f>
        <v/>
      </c>
      <c r="BO26" s="518" t="str">
        <f>IF(AND(_4="B-737-800",'2026'!$D$4="CA",'2026'!$D$2=BO5),'2026DATA'!$J$23,"")</f>
        <v/>
      </c>
      <c r="BP26" s="518" t="str">
        <f>IF(AND(_4="B-737-800",'2026'!$D$4="CA",'2026'!$D$2=BP5),'2026DATA'!$K$23,"")</f>
        <v/>
      </c>
      <c r="BQ26" s="518" t="str">
        <f>IF(AND(_4="B-737-800",'2026'!$D$4="CA",'2026'!$D$2=BQ5),'2026DATA'!$L$23,"")</f>
        <v/>
      </c>
      <c r="BR26" s="518" t="str">
        <f>IF(AND(_4="B-737-800",'2026'!$D$4="CA",'2026'!$D$2=BR5),'2026DATA'!$M$23,"")</f>
        <v/>
      </c>
      <c r="BS26" s="520" t="str">
        <f>IF(AND(_4="B-737-800",'2026'!$D$4="CA",'2026'!$D$2=BS5),'2026DATA'!$N$23,"")</f>
        <v/>
      </c>
      <c r="BT26" s="940" t="s">
        <v>69</v>
      </c>
      <c r="BU26" s="13" t="s">
        <v>61</v>
      </c>
      <c r="BV26" s="518" t="str">
        <f>IF(AND(_5="B-737-800",'2026'!$D$4="CA",'2026'!$D$2=BV5),'2026DATA'!$C$23,"")</f>
        <v/>
      </c>
      <c r="BW26" s="518" t="str">
        <f>IF(AND(_5="B-737-800",'2026'!$D$4="CA",'2026'!$D$2=BW5),'2026DATA'!$D$23,"")</f>
        <v/>
      </c>
      <c r="BX26" s="518" t="str">
        <f>IF(AND(_5="B-737-800",'2026'!$D$4="CA",'2026'!$D$2=BX5),'2026DATA'!$E$23,"")</f>
        <v/>
      </c>
      <c r="BY26" s="518" t="str">
        <f>IF(AND(_5="B-737-800",'2026'!$D$4="CA",'2026'!$D$2=BY5),'2026DATA'!$F$23,"")</f>
        <v/>
      </c>
      <c r="BZ26" s="518" t="str">
        <f>IF(AND(_5="B-737-800",'2026'!$D$4="CA",'2026'!$D$2=BZ5),'2026DATA'!$G$23,"")</f>
        <v/>
      </c>
      <c r="CA26" s="518" t="str">
        <f>IF(AND(_5="B-737-800",'2026'!$D$4="CA",'2026'!$D$2=CA5),'2026DATA'!$H$23,"")</f>
        <v/>
      </c>
      <c r="CB26" s="518" t="str">
        <f>IF(AND(_5="B-737-800",'2026'!$D$4="CA",'2026'!$D$2=CB5),'2026DATA'!$I$23,"")</f>
        <v/>
      </c>
      <c r="CC26" s="518" t="str">
        <f>IF(AND(_5="B-737-800",'2026'!$D$4="CA",'2026'!$D$2=CC5),'2026DATA'!$J$23,"")</f>
        <v/>
      </c>
      <c r="CD26" s="518" t="str">
        <f>IF(AND(_5="B-737-800",'2026'!$D$4="CA",'2026'!$D$2=CD5),'2026DATA'!$K$23,"")</f>
        <v/>
      </c>
      <c r="CE26" s="518" t="str">
        <f>IF(AND(_5="B-737-800",'2026'!$D$4="CA",'2026'!$D$2=CE5),'2026DATA'!$L$23,"")</f>
        <v/>
      </c>
      <c r="CF26" s="518" t="str">
        <f>IF(AND(_5="B-737-800",'2026'!$D$4="CA",'2026'!$D$2=CF5),'2026DATA'!$M$23,"")</f>
        <v/>
      </c>
      <c r="CG26" s="520" t="str">
        <f>IF(AND(_5="B-737-800",'2026'!$D$4="CA",'2026'!$D$2=CG5),'2026DATA'!$N$23,"")</f>
        <v/>
      </c>
      <c r="CH26" s="940" t="s">
        <v>69</v>
      </c>
      <c r="CI26" s="13" t="s">
        <v>61</v>
      </c>
      <c r="CJ26" s="518" t="str">
        <f>IF(AND(_6="B-737-800",'2026'!$D$4="CA",'2026'!$D$2=CJ5),'2026DATA'!$C$23,"")</f>
        <v/>
      </c>
      <c r="CK26" s="518" t="str">
        <f>IF(AND(_6="B-737-800",'2026'!$D$4="CA",'2026'!$D$2=CK5),'2026DATA'!$D$23,"")</f>
        <v/>
      </c>
      <c r="CL26" s="518" t="str">
        <f>IF(AND(_6="B-737-800",'2026'!$D$4="CA",'2026'!$D$2=CL5),'2026DATA'!$E$23,"")</f>
        <v/>
      </c>
      <c r="CM26" s="518" t="str">
        <f>IF(AND(_6="B-737-800",'2026'!$D$4="CA",'2026'!$D$2=CM5),'2026DATA'!$F$23,"")</f>
        <v/>
      </c>
      <c r="CN26" s="518" t="str">
        <f>IF(AND(_6="B-737-800",'2026'!$D$4="CA",'2026'!$D$2=CN5),'2026DATA'!$G$23,"")</f>
        <v/>
      </c>
      <c r="CO26" s="518" t="str">
        <f>IF(AND(_6="B-737-800",'2026'!$D$4="CA",'2026'!$D$2=CO5),'2026DATA'!$H$23,"")</f>
        <v/>
      </c>
      <c r="CP26" s="518" t="str">
        <f>IF(AND(_6="B-737-800",'2026'!$D$4="CA",'2026'!$D$2=CP5),'2026DATA'!$I$23,"")</f>
        <v/>
      </c>
      <c r="CQ26" s="518" t="str">
        <f>IF(AND(_6="B-737-800",'2026'!$D$4="CA",'2026'!$D$2=CQ5),'2026DATA'!$J$23,"")</f>
        <v/>
      </c>
      <c r="CR26" s="518" t="str">
        <f>IF(AND(_6="B-737-800",'2026'!$D$4="CA",'2026'!$D$2=CR5),'2026DATA'!$K$23,"")</f>
        <v/>
      </c>
      <c r="CS26" s="518" t="str">
        <f>IF(AND(_6="B-737-800",'2026'!$D$4="CA",'2026'!$D$2=CS5),'2026DATA'!$L$23,"")</f>
        <v/>
      </c>
      <c r="CT26" s="518" t="str">
        <f>IF(AND(_6="B-737-800",'2026'!$D$4="CA",'2026'!$D$2=CT5),'2026DATA'!$M$23,"")</f>
        <v/>
      </c>
      <c r="CU26" s="520" t="str">
        <f>IF(AND(_6="B-737-800",'2026'!$D$4="CA",'2026'!$D$2=CU5),'2026DATA'!$N$23,"")</f>
        <v/>
      </c>
    </row>
    <row r="27" spans="1:99" x14ac:dyDescent="0.25">
      <c r="A27" s="987" t="s">
        <v>48</v>
      </c>
      <c r="B27" s="64" t="s">
        <v>61</v>
      </c>
      <c r="C27" s="84">
        <v>390.3</v>
      </c>
      <c r="D27" s="31">
        <v>387.28</v>
      </c>
      <c r="E27" s="31">
        <v>384.27</v>
      </c>
      <c r="F27" s="31">
        <v>381.43</v>
      </c>
      <c r="G27" s="31">
        <v>378.42</v>
      </c>
      <c r="H27" s="31">
        <v>375.48</v>
      </c>
      <c r="I27" s="31">
        <v>372.56</v>
      </c>
      <c r="J27" s="31">
        <v>369.59</v>
      </c>
      <c r="K27" s="31">
        <v>366.61</v>
      </c>
      <c r="L27" s="31">
        <v>363.66</v>
      </c>
      <c r="M27" s="31">
        <v>360.83</v>
      </c>
      <c r="N27" s="32">
        <v>358.02</v>
      </c>
      <c r="P27" s="940"/>
      <c r="Q27" s="13" t="s">
        <v>62</v>
      </c>
      <c r="R27" s="518" t="str">
        <f>IF(AND(_1="B-737-800",'2026'!$D$4="FO",'2026'!$D$2=R5),'2026DATA'!$C$24,"")</f>
        <v/>
      </c>
      <c r="S27" s="518" t="str">
        <f>IF(AND(_1="B-737-800",'2026'!$D$4="FO",'2026'!$D$2=S5),'2026DATA'!$D$24,"")</f>
        <v/>
      </c>
      <c r="T27" s="518" t="str">
        <f>IF(AND(_1="B-737-800",'2026'!$D$4="FO",'2026'!$D$2=T5),'2026DATA'!$E$24,"")</f>
        <v/>
      </c>
      <c r="U27" s="518" t="str">
        <f>IF(AND(_1="B-737-800",'2026'!$D$4="FO",'2026'!$D$2=U5),'2026DATA'!$F$24,"")</f>
        <v/>
      </c>
      <c r="V27" s="518" t="str">
        <f>IF(AND(_1="B-737-800",'2026'!$D$4="FO",'2026'!$D$2=V5),'2026DATA'!$G$24,"")</f>
        <v/>
      </c>
      <c r="W27" s="518" t="str">
        <f>IF(AND(_1="B-737-800",'2026'!$D$4="FO",'2026'!$D$2=W5),'2026DATA'!$H$24,"")</f>
        <v/>
      </c>
      <c r="X27" s="518" t="str">
        <f>IF(AND(_1="B-737-800",'2026'!$D$4="FO",'2026'!$D$2=X5),'2026DATA'!$I$24,"")</f>
        <v/>
      </c>
      <c r="Y27" s="518" t="str">
        <f>IF(AND(_1="B-737-800",'2026'!$D$4="FO",'2026'!$D$2=Y5),'2026DATA'!$J$24,"")</f>
        <v/>
      </c>
      <c r="Z27" s="518" t="str">
        <f>IF(AND(_1="B-737-800",'2026'!$D$4="FO",'2026'!$D$2=Z5),'2026DATA'!$K$24,"")</f>
        <v/>
      </c>
      <c r="AA27" s="518" t="str">
        <f>IF(AND(_1="B-737-800",'2026'!$D$4="FO",'2026'!$D$2=AA5),'2026DATA'!$L$24,"")</f>
        <v/>
      </c>
      <c r="AB27" s="518" t="str">
        <f>IF(AND(_1="B-737-800",'2026'!$D$4="FO",'2026'!$D$2=AB5),'2026DATA'!$M$24,"")</f>
        <v/>
      </c>
      <c r="AC27" s="520" t="str">
        <f>IF(AND(_1="B-737-800",'2026'!$D$4="FO",'2026'!$D$2=AC5),'2026DATA'!$N$24,"")</f>
        <v/>
      </c>
      <c r="AD27" s="940"/>
      <c r="AE27" s="13" t="s">
        <v>62</v>
      </c>
      <c r="AF27" s="518" t="str">
        <f>IF(AND(_2="B-737-800",'2026'!$D$4="FO",'2026'!$D$2=AF5),'2026DATA'!$C$24,"")</f>
        <v/>
      </c>
      <c r="AG27" s="518" t="str">
        <f>IF(AND(_2="B-737-800",'2026'!$D$4="FO",'2026'!$D$2=AG5),'2026DATA'!$D$24,"")</f>
        <v/>
      </c>
      <c r="AH27" s="518" t="str">
        <f>IF(AND(_2="B-737-800",'2026'!$D$4="FO",'2026'!$D$2=AH5),'2026DATA'!$E$24,"")</f>
        <v/>
      </c>
      <c r="AI27" s="518" t="str">
        <f>IF(AND(_2="B-737-800",'2026'!$D$4="FO",'2026'!$D$2=AI5),'2026DATA'!$F$24,"")</f>
        <v/>
      </c>
      <c r="AJ27" s="518" t="str">
        <f>IF(AND(_2="B-737-800",'2026'!$D$4="FO",'2026'!$D$2=AJ5),'2026DATA'!$G$24,"")</f>
        <v/>
      </c>
      <c r="AK27" s="518" t="str">
        <f>IF(AND(_2="B-737-800",'2026'!$D$4="FO",'2026'!$D$2=AK5),'2026DATA'!$H$24,"")</f>
        <v/>
      </c>
      <c r="AL27" s="518" t="str">
        <f>IF(AND(_2="B-737-800",'2026'!$D$4="FO",'2026'!$D$2=AL5),'2026DATA'!$I$24,"")</f>
        <v/>
      </c>
      <c r="AM27" s="518" t="str">
        <f>IF(AND(_2="B-737-800",'2026'!$D$4="FO",'2026'!$D$2=AM5),'2026DATA'!$J$24,"")</f>
        <v/>
      </c>
      <c r="AN27" s="518" t="str">
        <f>IF(AND(_2="B-737-800",'2026'!$D$4="FO",'2026'!$D$2=AN5),'2026DATA'!$K$24,"")</f>
        <v/>
      </c>
      <c r="AO27" s="518" t="str">
        <f>IF(AND(_2="B-737-800",'2026'!$D$4="FO",'2026'!$D$2=AO5),'2026DATA'!$L$24,"")</f>
        <v/>
      </c>
      <c r="AP27" s="518" t="str">
        <f>IF(AND(_2="B-737-800",'2026'!$D$4="FO",'2026'!$D$2=AP5),'2026DATA'!$M$24,"")</f>
        <v/>
      </c>
      <c r="AQ27" s="520" t="str">
        <f>IF(AND(_2="B-737-800",'2026'!$D$4="FO",'2026'!$D$2=AQ5),'2026DATA'!$N$24,"")</f>
        <v/>
      </c>
      <c r="AR27" s="940"/>
      <c r="AS27" s="13" t="s">
        <v>62</v>
      </c>
      <c r="AT27" s="518" t="str">
        <f>IF(AND(_3="B-737-800",'2026'!$D$4="FO",'2026'!$D$2=AT5),'2026DATA'!$C$24,"")</f>
        <v/>
      </c>
      <c r="AU27" s="518" t="str">
        <f>IF(AND(_3="B-737-800",'2026'!$D$4="FO",'2026'!$D$2=AU5),'2026DATA'!$D$24,"")</f>
        <v/>
      </c>
      <c r="AV27" s="518" t="str">
        <f>IF(AND(_3="B-737-800",'2026'!$D$4="FO",'2026'!$D$2=AV5),'2026DATA'!$E$24,"")</f>
        <v/>
      </c>
      <c r="AW27" s="518" t="str">
        <f>IF(AND(_3="B-737-800",'2026'!$D$4="FO",'2026'!$D$2=AW5),'2026DATA'!$F$24,"")</f>
        <v/>
      </c>
      <c r="AX27" s="518" t="str">
        <f>IF(AND(_3="B-737-800",'2026'!$D$4="FO",'2026'!$D$2=AX5),'2026DATA'!$G$24,"")</f>
        <v/>
      </c>
      <c r="AY27" s="518" t="str">
        <f>IF(AND(_3="B-737-800",'2026'!$D$4="FO",'2026'!$D$2=AY5),'2026DATA'!$H$24,"")</f>
        <v/>
      </c>
      <c r="AZ27" s="518" t="str">
        <f>IF(AND(_3="B-737-800",'2026'!$D$4="FO",'2026'!$D$2=AZ5),'2026DATA'!$I$24,"")</f>
        <v/>
      </c>
      <c r="BA27" s="518" t="str">
        <f>IF(AND(_3="B-737-800",'2026'!$D$4="FO",'2026'!$D$2=BA5),'2026DATA'!$J$24,"")</f>
        <v/>
      </c>
      <c r="BB27" s="518" t="str">
        <f>IF(AND(_3="B-737-800",'2026'!$D$4="FO",'2026'!$D$2=BB5),'2026DATA'!$K$24,"")</f>
        <v/>
      </c>
      <c r="BC27" s="518" t="str">
        <f>IF(AND(_3="B-737-800",'2026'!$D$4="FO",'2026'!$D$2=BC5),'2026DATA'!$L$24,"")</f>
        <v/>
      </c>
      <c r="BD27" s="518" t="str">
        <f>IF(AND(_3="B-737-800",'2026'!$D$4="FO",'2026'!$D$2=BD5),'2026DATA'!$M$24,"")</f>
        <v/>
      </c>
      <c r="BE27" s="520" t="str">
        <f>IF(AND(_3="B-737-800",'2026'!$D$4="FO",'2026'!$D$2=BE5),'2026DATA'!$N$24,"")</f>
        <v/>
      </c>
      <c r="BF27" s="940"/>
      <c r="BG27" s="13" t="s">
        <v>62</v>
      </c>
      <c r="BH27" s="518" t="str">
        <f>IF(AND(_4="B-737-800",'2026'!$D$4="FO",'2026'!$D$2=BH5),'2026DATA'!$C$24,"")</f>
        <v/>
      </c>
      <c r="BI27" s="518" t="str">
        <f>IF(AND(_4="B-737-800",'2026'!$D$4="FO",'2026'!$D$2=BI5),'2026DATA'!$D$24,"")</f>
        <v/>
      </c>
      <c r="BJ27" s="518" t="str">
        <f>IF(AND(_4="B-737-800",'2026'!$D$4="FO",'2026'!$D$2=BJ5),'2026DATA'!$E$24,"")</f>
        <v/>
      </c>
      <c r="BK27" s="518" t="str">
        <f>IF(AND(_4="B-737-800",'2026'!$D$4="FO",'2026'!$D$2=BK5),'2026DATA'!$F$24,"")</f>
        <v/>
      </c>
      <c r="BL27" s="518" t="str">
        <f>IF(AND(_4="B-737-800",'2026'!$D$4="FO",'2026'!$D$2=BL5),'2026DATA'!$G$24,"")</f>
        <v/>
      </c>
      <c r="BM27" s="518" t="str">
        <f>IF(AND(_4="B-737-800",'2026'!$D$4="FO",'2026'!$D$2=BM5),'2026DATA'!$H$24,"")</f>
        <v/>
      </c>
      <c r="BN27" s="518" t="str">
        <f>IF(AND(_4="B-737-800",'2026'!$D$4="FO",'2026'!$D$2=BN5),'2026DATA'!$I$24,"")</f>
        <v/>
      </c>
      <c r="BO27" s="518" t="str">
        <f>IF(AND(_4="B-737-800",'2026'!$D$4="FO",'2026'!$D$2=BO5),'2026DATA'!$J$24,"")</f>
        <v/>
      </c>
      <c r="BP27" s="518" t="str">
        <f>IF(AND(_4="B-737-800",'2026'!$D$4="FO",'2026'!$D$2=BP5),'2026DATA'!$K$24,"")</f>
        <v/>
      </c>
      <c r="BQ27" s="518" t="str">
        <f>IF(AND(_4="B-737-800",'2026'!$D$4="FO",'2026'!$D$2=BQ5),'2026DATA'!$L$24,"")</f>
        <v/>
      </c>
      <c r="BR27" s="518" t="str">
        <f>IF(AND(_4="B-737-800",'2026'!$D$4="FO",'2026'!$D$2=BR5),'2026DATA'!$M$24,"")</f>
        <v/>
      </c>
      <c r="BS27" s="520" t="str">
        <f>IF(AND(_4="B-737-800",'2026'!$D$4="FO",'2026'!$D$2=BS5),'2026DATA'!$N$24,"")</f>
        <v/>
      </c>
      <c r="BT27" s="940"/>
      <c r="BU27" s="13" t="s">
        <v>62</v>
      </c>
      <c r="BV27" s="518" t="str">
        <f>IF(AND(_5="B-737-800",'2026'!$D$4="FO",'2026'!$D$2=BV5),'2026DATA'!$C$24,"")</f>
        <v/>
      </c>
      <c r="BW27" s="518" t="str">
        <f>IF(AND(_5="B-737-800",'2026'!$D$4="FO",'2026'!$D$2=BW5),'2026DATA'!$D$24,"")</f>
        <v/>
      </c>
      <c r="BX27" s="518" t="str">
        <f>IF(AND(_5="B-737-800",'2026'!$D$4="FO",'2026'!$D$2=BX5),'2026DATA'!$E$24,"")</f>
        <v/>
      </c>
      <c r="BY27" s="518" t="str">
        <f>IF(AND(_5="B-737-800",'2026'!$D$4="FO",'2026'!$D$2=BY5),'2026DATA'!$F$24,"")</f>
        <v/>
      </c>
      <c r="BZ27" s="518" t="str">
        <f>IF(AND(_5="B-737-800",'2026'!$D$4="FO",'2026'!$D$2=BZ5),'2026DATA'!$G$24,"")</f>
        <v/>
      </c>
      <c r="CA27" s="518" t="str">
        <f>IF(AND(_5="B-737-800",'2026'!$D$4="FO",'2026'!$D$2=CA5),'2026DATA'!$H$24,"")</f>
        <v/>
      </c>
      <c r="CB27" s="518" t="str">
        <f>IF(AND(_5="B-737-800",'2026'!$D$4="FO",'2026'!$D$2=CB5),'2026DATA'!$I$24,"")</f>
        <v/>
      </c>
      <c r="CC27" s="518" t="str">
        <f>IF(AND(_5="B-737-800",'2026'!$D$4="FO",'2026'!$D$2=CC5),'2026DATA'!$J$24,"")</f>
        <v/>
      </c>
      <c r="CD27" s="518" t="str">
        <f>IF(AND(_5="B-737-800",'2026'!$D$4="FO",'2026'!$D$2=CD5),'2026DATA'!$K$24,"")</f>
        <v/>
      </c>
      <c r="CE27" s="518" t="str">
        <f>IF(AND(_5="B-737-800",'2026'!$D$4="FO",'2026'!$D$2=CE5),'2026DATA'!$L$24,"")</f>
        <v/>
      </c>
      <c r="CF27" s="518" t="str">
        <f>IF(AND(_5="B-737-800",'2026'!$D$4="FO",'2026'!$D$2=CF5),'2026DATA'!$M$24,"")</f>
        <v/>
      </c>
      <c r="CG27" s="520" t="str">
        <f>IF(AND(_5="B-737-800",'2026'!$D$4="FO",'2026'!$D$2=CG5),'2026DATA'!$N$24,"")</f>
        <v/>
      </c>
      <c r="CH27" s="940"/>
      <c r="CI27" s="13" t="s">
        <v>62</v>
      </c>
      <c r="CJ27" s="518" t="str">
        <f>IF(AND(_6="B-737-800",'2026'!$D$4="FO",'2026'!$D$2=CJ5),'2026DATA'!$C$24,"")</f>
        <v/>
      </c>
      <c r="CK27" s="518" t="str">
        <f>IF(AND(_6="B-737-800",'2026'!$D$4="FO",'2026'!$D$2=CK5),'2026DATA'!$D$24,"")</f>
        <v/>
      </c>
      <c r="CL27" s="518" t="str">
        <f>IF(AND(_6="B-737-800",'2026'!$D$4="FO",'2026'!$D$2=CL5),'2026DATA'!$E$24,"")</f>
        <v/>
      </c>
      <c r="CM27" s="518" t="str">
        <f>IF(AND(_6="B-737-800",'2026'!$D$4="FO",'2026'!$D$2=CM5),'2026DATA'!$F$24,"")</f>
        <v/>
      </c>
      <c r="CN27" s="518" t="str">
        <f>IF(AND(_6="B-737-800",'2026'!$D$4="FO",'2026'!$D$2=CN5),'2026DATA'!$G$24,"")</f>
        <v/>
      </c>
      <c r="CO27" s="518" t="str">
        <f>IF(AND(_6="B-737-800",'2026'!$D$4="FO",'2026'!$D$2=CO5),'2026DATA'!$H$24,"")</f>
        <v/>
      </c>
      <c r="CP27" s="518" t="str">
        <f>IF(AND(_6="B-737-800",'2026'!$D$4="FO",'2026'!$D$2=CP5),'2026DATA'!$I$24,"")</f>
        <v/>
      </c>
      <c r="CQ27" s="518" t="str">
        <f>IF(AND(_6="B-737-800",'2026'!$D$4="FO",'2026'!$D$2=CQ5),'2026DATA'!$J$24,"")</f>
        <v/>
      </c>
      <c r="CR27" s="518" t="str">
        <f>IF(AND(_6="B-737-800",'2026'!$D$4="FO",'2026'!$D$2=CR5),'2026DATA'!$K$24,"")</f>
        <v/>
      </c>
      <c r="CS27" s="518" t="str">
        <f>IF(AND(_6="B-737-800",'2026'!$D$4="FO",'2026'!$D$2=CS5),'2026DATA'!$L$24,"")</f>
        <v/>
      </c>
      <c r="CT27" s="518" t="str">
        <f>IF(AND(_6="B-737-800",'2026'!$D$4="FO",'2026'!$D$2=CT5),'2026DATA'!$M$24,"")</f>
        <v/>
      </c>
      <c r="CU27" s="520" t="str">
        <f>IF(AND(_6="B-737-800",'2026'!$D$4="FO",'2026'!$D$2=CU5),'2026DATA'!$N$24,"")</f>
        <v/>
      </c>
    </row>
    <row r="28" spans="1:99" x14ac:dyDescent="0.25">
      <c r="A28" s="987"/>
      <c r="B28" s="64" t="s">
        <v>62</v>
      </c>
      <c r="C28" s="84">
        <v>266.58</v>
      </c>
      <c r="D28" s="31">
        <v>264.13</v>
      </c>
      <c r="E28" s="31">
        <v>261.73</v>
      </c>
      <c r="F28" s="31">
        <v>258.20999999999998</v>
      </c>
      <c r="G28" s="31">
        <v>255.47</v>
      </c>
      <c r="H28" s="31">
        <v>249.7</v>
      </c>
      <c r="I28" s="31">
        <v>242.91</v>
      </c>
      <c r="J28" s="31">
        <v>236.88</v>
      </c>
      <c r="K28" s="31">
        <v>231.32</v>
      </c>
      <c r="L28" s="31">
        <v>225.86</v>
      </c>
      <c r="M28" s="31">
        <v>193.02</v>
      </c>
      <c r="N28" s="32">
        <v>125.52</v>
      </c>
      <c r="P28" s="940" t="s">
        <v>46</v>
      </c>
      <c r="Q28" s="13" t="s">
        <v>61</v>
      </c>
      <c r="R28" s="518" t="str">
        <f>IF(AND(_1="A-321N",'2026'!$D$4="CA",'2026'!$D$2=R5),'2026DATA'!$C$25,"")</f>
        <v/>
      </c>
      <c r="S28" s="518" t="str">
        <f>IF(AND(_1="A-321N",'2026'!$D$4="CA",'2026'!$D$2=S5),'2026DATA'!$D$25,"")</f>
        <v/>
      </c>
      <c r="T28" s="518" t="str">
        <f>IF(AND(_1="A-321N",'2026'!$D$4="CA",'2026'!$D$2=T5),'2026DATA'!$E$25,"")</f>
        <v/>
      </c>
      <c r="U28" s="518" t="str">
        <f>IF(AND(_1="A-321N",'2026'!$D$4="CA",'2026'!$D$2=U5),'2026DATA'!$F$25,"")</f>
        <v/>
      </c>
      <c r="V28" s="518" t="str">
        <f>IF(AND(_1="A-321N",'2026'!$D$4="CA",'2026'!$D$2=V5),'2026DATA'!$G$25,"")</f>
        <v/>
      </c>
      <c r="W28" s="518" t="str">
        <f>IF(AND(_1="A-321N",'2026'!$D$4="CA",'2026'!$D$2=W5),'2026DATA'!$H$25,"")</f>
        <v/>
      </c>
      <c r="X28" s="518" t="str">
        <f>IF(AND(_1="A-321N",'2026'!$D$4="CA",'2026'!$D$2=X5),'2026DATA'!$I$25,"")</f>
        <v/>
      </c>
      <c r="Y28" s="518" t="str">
        <f>IF(AND(_1="A-321N",'2026'!$D$4="CA",'2026'!$D$2=Y5),'2026DATA'!$J$25,"")</f>
        <v/>
      </c>
      <c r="Z28" s="518" t="str">
        <f>IF(AND(_1="A-321N",'2026'!$D$4="CA",'2026'!$D$2=Z5),'2026DATA'!$K$25,"")</f>
        <v/>
      </c>
      <c r="AA28" s="518" t="str">
        <f>IF(AND(_1="A-321N",'2026'!$D$4="CA",'2026'!$D$2=AA5),'2026DATA'!$L$25,"")</f>
        <v/>
      </c>
      <c r="AB28" s="518" t="str">
        <f>IF(AND(_1="A-321N",'2026'!$D$4="CA",'2026'!$D$2=AB5),'2026DATA'!$M$25,"")</f>
        <v/>
      </c>
      <c r="AC28" s="520" t="str">
        <f>IF(AND(_1="A-321N",'2026'!$D$4="CA",'2026'!$D$2=AC5),'2026DATA'!$N$25,"")</f>
        <v/>
      </c>
      <c r="AD28" s="940" t="s">
        <v>46</v>
      </c>
      <c r="AE28" s="13" t="s">
        <v>61</v>
      </c>
      <c r="AF28" s="518" t="str">
        <f>IF(AND(_2="A-321N",'2026'!$D$4="CA",'2026'!$D$2=AF5),'2026DATA'!$C$25,"")</f>
        <v/>
      </c>
      <c r="AG28" s="518" t="str">
        <f>IF(AND(_2="A-321N",'2026'!$D$4="CA",'2026'!$D$2=AG5),'2026DATA'!$D$25,"")</f>
        <v/>
      </c>
      <c r="AH28" s="518" t="str">
        <f>IF(AND(_2="A-321N",'2026'!$D$4="CA",'2026'!$D$2=AH5),'2026DATA'!$E$25,"")</f>
        <v/>
      </c>
      <c r="AI28" s="518" t="str">
        <f>IF(AND(_2="A-321N",'2026'!$D$4="CA",'2026'!$D$2=AI5),'2026DATA'!$F$25,"")</f>
        <v/>
      </c>
      <c r="AJ28" s="518" t="str">
        <f>IF(AND(_2="A-321N",'2026'!$D$4="CA",'2026'!$D$2=AJ5),'2026DATA'!$G$25,"")</f>
        <v/>
      </c>
      <c r="AK28" s="518" t="str">
        <f>IF(AND(_2="A-321N",'2026'!$D$4="CA",'2026'!$D$2=AK5),'2026DATA'!$H$25,"")</f>
        <v/>
      </c>
      <c r="AL28" s="518" t="str">
        <f>IF(AND(_2="A-321N",'2026'!$D$4="CA",'2026'!$D$2=AL5),'2026DATA'!$I$25,"")</f>
        <v/>
      </c>
      <c r="AM28" s="518" t="str">
        <f>IF(AND(_2="A-321N",'2026'!$D$4="CA",'2026'!$D$2=AM5),'2026DATA'!$J$25,"")</f>
        <v/>
      </c>
      <c r="AN28" s="518" t="str">
        <f>IF(AND(_2="A-321N",'2026'!$D$4="CA",'2026'!$D$2=AN5),'2026DATA'!$K$25,"")</f>
        <v/>
      </c>
      <c r="AO28" s="518" t="str">
        <f>IF(AND(_2="A-321N",'2026'!$D$4="CA",'2026'!$D$2=AO5),'2026DATA'!$L$25,"")</f>
        <v/>
      </c>
      <c r="AP28" s="518" t="str">
        <f>IF(AND(_2="A-321N",'2026'!$D$4="CA",'2026'!$D$2=AP5),'2026DATA'!$M$25,"")</f>
        <v/>
      </c>
      <c r="AQ28" s="520" t="str">
        <f>IF(AND(_2="A-321N",'2026'!$D$4="CA",'2026'!$D$2=AQ5),'2026DATA'!$N$25,"")</f>
        <v/>
      </c>
      <c r="AR28" s="940" t="s">
        <v>46</v>
      </c>
      <c r="AS28" s="13" t="s">
        <v>61</v>
      </c>
      <c r="AT28" s="518" t="str">
        <f>IF(AND(_3="A-321N",'2026'!$D$4="CA",'2026'!$D$2=AT5),'2026DATA'!$C$25,"")</f>
        <v/>
      </c>
      <c r="AU28" s="518" t="str">
        <f>IF(AND(_3="A-321N",'2026'!$D$4="CA",'2026'!$D$2=AU5),'2026DATA'!$D$25,"")</f>
        <v/>
      </c>
      <c r="AV28" s="518" t="str">
        <f>IF(AND(_3="A-321N",'2026'!$D$4="CA",'2026'!$D$2=AV5),'2026DATA'!$E$25,"")</f>
        <v/>
      </c>
      <c r="AW28" s="518" t="str">
        <f>IF(AND(_3="A-321N",'2026'!$D$4="CA",'2026'!$D$2=AW5),'2026DATA'!$F$25,"")</f>
        <v/>
      </c>
      <c r="AX28" s="518" t="str">
        <f>IF(AND(_3="A-321N",'2026'!$D$4="CA",'2026'!$D$2=AX5),'2026DATA'!$G$25,"")</f>
        <v/>
      </c>
      <c r="AY28" s="518" t="str">
        <f>IF(AND(_3="A-321N",'2026'!$D$4="CA",'2026'!$D$2=AY5),'2026DATA'!$H$25,"")</f>
        <v/>
      </c>
      <c r="AZ28" s="518" t="str">
        <f>IF(AND(_3="A-321N",'2026'!$D$4="CA",'2026'!$D$2=AZ5),'2026DATA'!$I$25,"")</f>
        <v/>
      </c>
      <c r="BA28" s="518" t="str">
        <f>IF(AND(_3="A-321N",'2026'!$D$4="CA",'2026'!$D$2=BA5),'2026DATA'!$J$25,"")</f>
        <v/>
      </c>
      <c r="BB28" s="518" t="str">
        <f>IF(AND(_3="A-321N",'2026'!$D$4="CA",'2026'!$D$2=BB5),'2026DATA'!$K$25,"")</f>
        <v/>
      </c>
      <c r="BC28" s="518" t="str">
        <f>IF(AND(_3="A-321N",'2026'!$D$4="CA",'2026'!$D$2=BC5),'2026DATA'!$L$25,"")</f>
        <v/>
      </c>
      <c r="BD28" s="518" t="str">
        <f>IF(AND(_3="A-321N",'2026'!$D$4="CA",'2026'!$D$2=BD5),'2026DATA'!$M$25,"")</f>
        <v/>
      </c>
      <c r="BE28" s="520" t="str">
        <f>IF(AND(_3="A-321N",'2026'!$D$4="CA",'2026'!$D$2=BE5),'2026DATA'!$N$25,"")</f>
        <v/>
      </c>
      <c r="BF28" s="940" t="s">
        <v>46</v>
      </c>
      <c r="BG28" s="13" t="s">
        <v>61</v>
      </c>
      <c r="BH28" s="518" t="str">
        <f>IF(AND(_4="A-321N",'2026'!$D$4="CA",'2026'!$D$2=BH5),'2026DATA'!$C$25,"")</f>
        <v/>
      </c>
      <c r="BI28" s="518" t="str">
        <f>IF(AND(_4="A-321N",'2026'!$D$4="CA",'2026'!$D$2=BI5),'2026DATA'!$D$25,"")</f>
        <v/>
      </c>
      <c r="BJ28" s="518" t="str">
        <f>IF(AND(_4="A-321N",'2026'!$D$4="CA",'2026'!$D$2=BJ5),'2026DATA'!$E$25,"")</f>
        <v/>
      </c>
      <c r="BK28" s="518" t="str">
        <f>IF(AND(_4="A-321N",'2026'!$D$4="CA",'2026'!$D$2=BK5),'2026DATA'!$F$25,"")</f>
        <v/>
      </c>
      <c r="BL28" s="518" t="str">
        <f>IF(AND(_4="A-321N",'2026'!$D$4="CA",'2026'!$D$2=BL5),'2026DATA'!$G$25,"")</f>
        <v/>
      </c>
      <c r="BM28" s="518" t="str">
        <f>IF(AND(_4="A-321N",'2026'!$D$4="CA",'2026'!$D$2=BM5),'2026DATA'!$H$25,"")</f>
        <v/>
      </c>
      <c r="BN28" s="518" t="str">
        <f>IF(AND(_4="A-321N",'2026'!$D$4="CA",'2026'!$D$2=BN5),'2026DATA'!$I$25,"")</f>
        <v/>
      </c>
      <c r="BO28" s="518" t="str">
        <f>IF(AND(_4="A-321N",'2026'!$D$4="CA",'2026'!$D$2=BO5),'2026DATA'!$J$25,"")</f>
        <v/>
      </c>
      <c r="BP28" s="518" t="str">
        <f>IF(AND(_4="A-321N",'2026'!$D$4="CA",'2026'!$D$2=BP5),'2026DATA'!$K$25,"")</f>
        <v/>
      </c>
      <c r="BQ28" s="518" t="str">
        <f>IF(AND(_4="A-321N",'2026'!$D$4="CA",'2026'!$D$2=BQ5),'2026DATA'!$L$25,"")</f>
        <v/>
      </c>
      <c r="BR28" s="518" t="str">
        <f>IF(AND(_4="A-321N",'2026'!$D$4="CA",'2026'!$D$2=BR5),'2026DATA'!$M$25,"")</f>
        <v/>
      </c>
      <c r="BS28" s="520" t="str">
        <f>IF(AND(_4="A-321N",'2026'!$D$4="CA",'2026'!$D$2=BS5),'2026DATA'!$N$25,"")</f>
        <v/>
      </c>
      <c r="BT28" s="940" t="s">
        <v>46</v>
      </c>
      <c r="BU28" s="13" t="s">
        <v>61</v>
      </c>
      <c r="BV28" s="518" t="str">
        <f>IF(AND(_5="A-321N",'2026'!$D$4="CA",'2026'!$D$2=BV5),'2026DATA'!$C$25,"")</f>
        <v/>
      </c>
      <c r="BW28" s="518" t="str">
        <f>IF(AND(_5="A-321N",'2026'!$D$4="CA",'2026'!$D$2=BW5),'2026DATA'!$D$25,"")</f>
        <v/>
      </c>
      <c r="BX28" s="518" t="str">
        <f>IF(AND(_5="A-321N",'2026'!$D$4="CA",'2026'!$D$2=BX5),'2026DATA'!$E$25,"")</f>
        <v/>
      </c>
      <c r="BY28" s="518" t="str">
        <f>IF(AND(_5="A-321N",'2026'!$D$4="CA",'2026'!$D$2=BY5),'2026DATA'!$F$25,"")</f>
        <v/>
      </c>
      <c r="BZ28" s="518" t="str">
        <f>IF(AND(_5="A-321N",'2026'!$D$4="CA",'2026'!$D$2=BZ5),'2026DATA'!$G$25,"")</f>
        <v/>
      </c>
      <c r="CA28" s="518" t="str">
        <f>IF(AND(_5="A-321N",'2026'!$D$4="CA",'2026'!$D$2=CA5),'2026DATA'!$H$25,"")</f>
        <v/>
      </c>
      <c r="CB28" s="518" t="str">
        <f>IF(AND(_5="A-321N",'2026'!$D$4="CA",'2026'!$D$2=CB5),'2026DATA'!$I$25,"")</f>
        <v/>
      </c>
      <c r="CC28" s="518" t="str">
        <f>IF(AND(_5="A-321N",'2026'!$D$4="CA",'2026'!$D$2=CC5),'2026DATA'!$J$25,"")</f>
        <v/>
      </c>
      <c r="CD28" s="518" t="str">
        <f>IF(AND(_5="A-321N",'2026'!$D$4="CA",'2026'!$D$2=CD5),'2026DATA'!$K$25,"")</f>
        <v/>
      </c>
      <c r="CE28" s="518" t="str">
        <f>IF(AND(_5="A-321N",'2026'!$D$4="CA",'2026'!$D$2=CE5),'2026DATA'!$L$25,"")</f>
        <v/>
      </c>
      <c r="CF28" s="518" t="str">
        <f>IF(AND(_5="A-321N",'2026'!$D$4="CA",'2026'!$D$2=CF5),'2026DATA'!$M$25,"")</f>
        <v/>
      </c>
      <c r="CG28" s="520" t="str">
        <f>IF(AND(_5="A-321N",'2026'!$D$4="CA",'2026'!$D$2=CG5),'2026DATA'!$N$25,"")</f>
        <v/>
      </c>
      <c r="CH28" s="940" t="s">
        <v>46</v>
      </c>
      <c r="CI28" s="13" t="s">
        <v>61</v>
      </c>
      <c r="CJ28" s="518" t="str">
        <f>IF(AND(_6="A-321N",'2026'!$D$4="CA",'2026'!$D$2=CJ5),'2026DATA'!$C$25,"")</f>
        <v/>
      </c>
      <c r="CK28" s="518" t="str">
        <f>IF(AND(_6="A-321N",'2026'!$D$4="CA",'2026'!$D$2=CK5),'2026DATA'!$D$25,"")</f>
        <v/>
      </c>
      <c r="CL28" s="518" t="str">
        <f>IF(AND(_6="A-321N",'2026'!$D$4="CA",'2026'!$D$2=CL5),'2026DATA'!$E$25,"")</f>
        <v/>
      </c>
      <c r="CM28" s="518" t="str">
        <f>IF(AND(_6="A-321N",'2026'!$D$4="CA",'2026'!$D$2=CM5),'2026DATA'!$F$25,"")</f>
        <v/>
      </c>
      <c r="CN28" s="518" t="str">
        <f>IF(AND(_6="A-321N",'2026'!$D$4="CA",'2026'!$D$2=CN5),'2026DATA'!$G$25,"")</f>
        <v/>
      </c>
      <c r="CO28" s="518" t="str">
        <f>IF(AND(_6="A-321N",'2026'!$D$4="CA",'2026'!$D$2=CO5),'2026DATA'!$H$25,"")</f>
        <v/>
      </c>
      <c r="CP28" s="518" t="str">
        <f>IF(AND(_6="A-321N",'2026'!$D$4="CA",'2026'!$D$2=CP5),'2026DATA'!$I$25,"")</f>
        <v/>
      </c>
      <c r="CQ28" s="518" t="str">
        <f>IF(AND(_6="A-321N",'2026'!$D$4="CA",'2026'!$D$2=CQ5),'2026DATA'!$J$25,"")</f>
        <v/>
      </c>
      <c r="CR28" s="518" t="str">
        <f>IF(AND(_6="A-321N",'2026'!$D$4="CA",'2026'!$D$2=CR5),'2026DATA'!$K$25,"")</f>
        <v/>
      </c>
      <c r="CS28" s="518" t="str">
        <f>IF(AND(_6="A-321N",'2026'!$D$4="CA",'2026'!$D$2=CS5),'2026DATA'!$L$25,"")</f>
        <v/>
      </c>
      <c r="CT28" s="518" t="str">
        <f>IF(AND(_6="A-321N",'2026'!$D$4="CA",'2026'!$D$2=CT5),'2026DATA'!$M$25,"")</f>
        <v/>
      </c>
      <c r="CU28" s="520" t="str">
        <f>IF(AND(_6="A-321N",'2026'!$D$4="CA",'2026'!$D$2=CU5),'2026DATA'!$N$25,"")</f>
        <v/>
      </c>
    </row>
    <row r="29" spans="1:99" x14ac:dyDescent="0.25">
      <c r="A29" s="987" t="s">
        <v>70</v>
      </c>
      <c r="B29" s="64" t="s">
        <v>61</v>
      </c>
      <c r="C29" s="84">
        <v>388.27</v>
      </c>
      <c r="D29" s="31">
        <v>385.4</v>
      </c>
      <c r="E29" s="31">
        <v>382.47</v>
      </c>
      <c r="F29" s="31">
        <v>379.59</v>
      </c>
      <c r="G29" s="31">
        <v>376.65</v>
      </c>
      <c r="H29" s="31">
        <v>373.73</v>
      </c>
      <c r="I29" s="31">
        <v>370.84</v>
      </c>
      <c r="J29" s="31">
        <v>367.95</v>
      </c>
      <c r="K29" s="31">
        <v>365</v>
      </c>
      <c r="L29" s="31">
        <v>362.07</v>
      </c>
      <c r="M29" s="31">
        <v>359.23</v>
      </c>
      <c r="N29" s="32">
        <v>356.46</v>
      </c>
      <c r="P29" s="940"/>
      <c r="Q29" s="13" t="s">
        <v>62</v>
      </c>
      <c r="R29" s="518" t="str">
        <f>IF(AND(_1="A-321N",'2026'!$D$4="FO",'2026'!$D$2=R5),'2026DATA'!$C$26,"")</f>
        <v/>
      </c>
      <c r="S29" s="518" t="str">
        <f>IF(AND(_1="A-321N",'2026'!$D$4="FO",'2026'!$D$2=S5),'2026DATA'!$D$26,"")</f>
        <v/>
      </c>
      <c r="T29" s="518" t="str">
        <f>IF(AND(_1="A-321N",'2026'!$D$4="FO",'2026'!$D$2=T5),'2026DATA'!$E$26,"")</f>
        <v/>
      </c>
      <c r="U29" s="518" t="str">
        <f>IF(AND(_1="A-321N",'2026'!$D$4="FO",'2026'!$D$2=U5),'2026DATA'!$F$26,"")</f>
        <v/>
      </c>
      <c r="V29" s="518" t="str">
        <f>IF(AND(_1="A-321N",'2026'!$D$4="FO",'2026'!$D$2=V5),'2026DATA'!$G$26,"")</f>
        <v/>
      </c>
      <c r="W29" s="518" t="str">
        <f>IF(AND(_1="A-321N",'2026'!$D$4="FO",'2026'!$D$2=W5),'2026DATA'!$H$26,"")</f>
        <v/>
      </c>
      <c r="X29" s="518" t="str">
        <f>IF(AND(_1="A-321N",'2026'!$D$4="FO",'2026'!$D$2=X5),'2026DATA'!$I$26,"")</f>
        <v/>
      </c>
      <c r="Y29" s="518" t="str">
        <f>IF(AND(_1="A-321N",'2026'!$D$4="FO",'2026'!$D$2=Y5),'2026DATA'!$J$26,"")</f>
        <v/>
      </c>
      <c r="Z29" s="518" t="str">
        <f>IF(AND(_1="A-321N",'2026'!$D$4="FO",'2026'!$D$2=Z5),'2026DATA'!$K$26,"")</f>
        <v/>
      </c>
      <c r="AA29" s="518" t="str">
        <f>IF(AND(_1="A-321N",'2026'!$D$4="FO",'2026'!$D$2=AA5),'2026DATA'!$L$26,"")</f>
        <v/>
      </c>
      <c r="AB29" s="518" t="str">
        <f>IF(AND(_1="A-321N",'2026'!$D$4="FO",'2026'!$D$2=AB5),'2026DATA'!$M$26,"")</f>
        <v/>
      </c>
      <c r="AC29" s="520" t="str">
        <f>IF(AND(_1="A-321N",'2026'!$D$4="FO",'2026'!$D$2=AC5),'2026DATA'!$N$26,"")</f>
        <v/>
      </c>
      <c r="AD29" s="940"/>
      <c r="AE29" s="13" t="s">
        <v>62</v>
      </c>
      <c r="AF29" s="518" t="str">
        <f>IF(AND(_2="A-321N",'2026'!$D$4="FO",'2026'!$D$2=AF5),'2026DATA'!$C$26,"")</f>
        <v/>
      </c>
      <c r="AG29" s="518" t="str">
        <f>IF(AND(_2="A-321N",'2026'!$D$4="FO",'2026'!$D$2=AG5),'2026DATA'!$D$26,"")</f>
        <v/>
      </c>
      <c r="AH29" s="518" t="str">
        <f>IF(AND(_2="A-321N",'2026'!$D$4="FO",'2026'!$D$2=AH5),'2026DATA'!$E$26,"")</f>
        <v/>
      </c>
      <c r="AI29" s="518" t="str">
        <f>IF(AND(_2="A-321N",'2026'!$D$4="FO",'2026'!$D$2=AI5),'2026DATA'!$F$26,"")</f>
        <v/>
      </c>
      <c r="AJ29" s="518" t="str">
        <f>IF(AND(_2="A-321N",'2026'!$D$4="FO",'2026'!$D$2=AJ5),'2026DATA'!$G$26,"")</f>
        <v/>
      </c>
      <c r="AK29" s="518" t="str">
        <f>IF(AND(_2="A-321N",'2026'!$D$4="FO",'2026'!$D$2=AK5),'2026DATA'!$H$26,"")</f>
        <v/>
      </c>
      <c r="AL29" s="518" t="str">
        <f>IF(AND(_2="A-321N",'2026'!$D$4="FO",'2026'!$D$2=AL5),'2026DATA'!$I$26,"")</f>
        <v/>
      </c>
      <c r="AM29" s="518" t="str">
        <f>IF(AND(_2="A-321N",'2026'!$D$4="FO",'2026'!$D$2=AM5),'2026DATA'!$J$26,"")</f>
        <v/>
      </c>
      <c r="AN29" s="518" t="str">
        <f>IF(AND(_2="A-321N",'2026'!$D$4="FO",'2026'!$D$2=AN5),'2026DATA'!$K$26,"")</f>
        <v/>
      </c>
      <c r="AO29" s="518" t="str">
        <f>IF(AND(_2="A-321N",'2026'!$D$4="FO",'2026'!$D$2=AO5),'2026DATA'!$L$26,"")</f>
        <v/>
      </c>
      <c r="AP29" s="518" t="str">
        <f>IF(AND(_2="A-321N",'2026'!$D$4="FO",'2026'!$D$2=AP5),'2026DATA'!$M$26,"")</f>
        <v/>
      </c>
      <c r="AQ29" s="520" t="str">
        <f>IF(AND(_2="A-321N",'2026'!$D$4="FO",'2026'!$D$2=AQ5),'2026DATA'!$N$26,"")</f>
        <v/>
      </c>
      <c r="AR29" s="940"/>
      <c r="AS29" s="13" t="s">
        <v>62</v>
      </c>
      <c r="AT29" s="518" t="str">
        <f>IF(AND(_3="A-321N",'2026'!$D$4="FO",'2026'!$D$2=AT5),'2026DATA'!$C$26,"")</f>
        <v/>
      </c>
      <c r="AU29" s="518" t="str">
        <f>IF(AND(_3="A-321N",'2026'!$D$4="FO",'2026'!$D$2=AU5),'2026DATA'!$D$26,"")</f>
        <v/>
      </c>
      <c r="AV29" s="518" t="str">
        <f>IF(AND(_3="A-321N",'2026'!$D$4="FO",'2026'!$D$2=AV5),'2026DATA'!$E$26,"")</f>
        <v/>
      </c>
      <c r="AW29" s="518" t="str">
        <f>IF(AND(_3="A-321N",'2026'!$D$4="FO",'2026'!$D$2=AW5),'2026DATA'!$F$26,"")</f>
        <v/>
      </c>
      <c r="AX29" s="518" t="str">
        <f>IF(AND(_3="A-321N",'2026'!$D$4="FO",'2026'!$D$2=AX5),'2026DATA'!$G$26,"")</f>
        <v/>
      </c>
      <c r="AY29" s="518" t="str">
        <f>IF(AND(_3="A-321N",'2026'!$D$4="FO",'2026'!$D$2=AY5),'2026DATA'!$H$26,"")</f>
        <v/>
      </c>
      <c r="AZ29" s="518" t="str">
        <f>IF(AND(_3="A-321N",'2026'!$D$4="FO",'2026'!$D$2=AZ5),'2026DATA'!$I$26,"")</f>
        <v/>
      </c>
      <c r="BA29" s="518" t="str">
        <f>IF(AND(_3="A-321N",'2026'!$D$4="FO",'2026'!$D$2=BA5),'2026DATA'!$J$26,"")</f>
        <v/>
      </c>
      <c r="BB29" s="518" t="str">
        <f>IF(AND(_3="A-321N",'2026'!$D$4="FO",'2026'!$D$2=BB5),'2026DATA'!$K$26,"")</f>
        <v/>
      </c>
      <c r="BC29" s="518" t="str">
        <f>IF(AND(_3="A-321N",'2026'!$D$4="FO",'2026'!$D$2=BC5),'2026DATA'!$L$26,"")</f>
        <v/>
      </c>
      <c r="BD29" s="518" t="str">
        <f>IF(AND(_3="A-321N",'2026'!$D$4="FO",'2026'!$D$2=BD5),'2026DATA'!$M$26,"")</f>
        <v/>
      </c>
      <c r="BE29" s="520" t="str">
        <f>IF(AND(_3="A-321N",'2026'!$D$4="FO",'2026'!$D$2=BE5),'2026DATA'!$N$26,"")</f>
        <v/>
      </c>
      <c r="BF29" s="940"/>
      <c r="BG29" s="13" t="s">
        <v>62</v>
      </c>
      <c r="BH29" s="518" t="str">
        <f>IF(AND(_4="A-321N",'2026'!$D$4="FO",'2026'!$D$2=BH5),'2026DATA'!$C$26,"")</f>
        <v/>
      </c>
      <c r="BI29" s="518" t="str">
        <f>IF(AND(_4="A-321N",'2026'!$D$4="FO",'2026'!$D$2=BI5),'2026DATA'!$D$26,"")</f>
        <v/>
      </c>
      <c r="BJ29" s="518" t="str">
        <f>IF(AND(_4="A-321N",'2026'!$D$4="FO",'2026'!$D$2=BJ5),'2026DATA'!$E$26,"")</f>
        <v/>
      </c>
      <c r="BK29" s="518" t="str">
        <f>IF(AND(_4="A-321N",'2026'!$D$4="FO",'2026'!$D$2=BK5),'2026DATA'!$F$26,"")</f>
        <v/>
      </c>
      <c r="BL29" s="518" t="str">
        <f>IF(AND(_4="A-321N",'2026'!$D$4="FO",'2026'!$D$2=BL5),'2026DATA'!$G$26,"")</f>
        <v/>
      </c>
      <c r="BM29" s="518" t="str">
        <f>IF(AND(_4="A-321N",'2026'!$D$4="FO",'2026'!$D$2=BM5),'2026DATA'!$H$26,"")</f>
        <v/>
      </c>
      <c r="BN29" s="518" t="str">
        <f>IF(AND(_4="A-321N",'2026'!$D$4="FO",'2026'!$D$2=BN5),'2026DATA'!$I$26,"")</f>
        <v/>
      </c>
      <c r="BO29" s="518" t="str">
        <f>IF(AND(_4="A-321N",'2026'!$D$4="FO",'2026'!$D$2=BO5),'2026DATA'!$J$26,"")</f>
        <v/>
      </c>
      <c r="BP29" s="518" t="str">
        <f>IF(AND(_4="A-321N",'2026'!$D$4="FO",'2026'!$D$2=BP5),'2026DATA'!$K$26,"")</f>
        <v/>
      </c>
      <c r="BQ29" s="518" t="str">
        <f>IF(AND(_4="A-321N",'2026'!$D$4="FO",'2026'!$D$2=BQ5),'2026DATA'!$L$26,"")</f>
        <v/>
      </c>
      <c r="BR29" s="518" t="str">
        <f>IF(AND(_4="A-321N",'2026'!$D$4="FO",'2026'!$D$2=BR5),'2026DATA'!$M$26,"")</f>
        <v/>
      </c>
      <c r="BS29" s="520" t="str">
        <f>IF(AND(_4="A-321N",'2026'!$D$4="FO",'2026'!$D$2=BS5),'2026DATA'!$N$26,"")</f>
        <v/>
      </c>
      <c r="BT29" s="940"/>
      <c r="BU29" s="13" t="s">
        <v>62</v>
      </c>
      <c r="BV29" s="518" t="str">
        <f>IF(AND(_5="A-321N",'2026'!$D$4="FO",'2026'!$D$2=BV5),'2026DATA'!$C$26,"")</f>
        <v/>
      </c>
      <c r="BW29" s="518" t="str">
        <f>IF(AND(_5="A-321N",'2026'!$D$4="FO",'2026'!$D$2=BW5),'2026DATA'!$D$26,"")</f>
        <v/>
      </c>
      <c r="BX29" s="518" t="str">
        <f>IF(AND(_5="A-321N",'2026'!$D$4="FO",'2026'!$D$2=BX5),'2026DATA'!$E$26,"")</f>
        <v/>
      </c>
      <c r="BY29" s="518" t="str">
        <f>IF(AND(_5="A-321N",'2026'!$D$4="FO",'2026'!$D$2=BY5),'2026DATA'!$F$26,"")</f>
        <v/>
      </c>
      <c r="BZ29" s="518" t="str">
        <f>IF(AND(_5="A-321N",'2026'!$D$4="FO",'2026'!$D$2=BZ5),'2026DATA'!$G$26,"")</f>
        <v/>
      </c>
      <c r="CA29" s="518" t="str">
        <f>IF(AND(_5="A-321N",'2026'!$D$4="FO",'2026'!$D$2=CA5),'2026DATA'!$H$26,"")</f>
        <v/>
      </c>
      <c r="CB29" s="518" t="str">
        <f>IF(AND(_5="A-321N",'2026'!$D$4="FO",'2026'!$D$2=CB5),'2026DATA'!$I$26,"")</f>
        <v/>
      </c>
      <c r="CC29" s="518" t="str">
        <f>IF(AND(_5="A-321N",'2026'!$D$4="FO",'2026'!$D$2=CC5),'2026DATA'!$J$26,"")</f>
        <v/>
      </c>
      <c r="CD29" s="518" t="str">
        <f>IF(AND(_5="A-321N",'2026'!$D$4="FO",'2026'!$D$2=CD5),'2026DATA'!$K$26,"")</f>
        <v/>
      </c>
      <c r="CE29" s="518" t="str">
        <f>IF(AND(_5="A-321N",'2026'!$D$4="FO",'2026'!$D$2=CE5),'2026DATA'!$L$26,"")</f>
        <v/>
      </c>
      <c r="CF29" s="518" t="str">
        <f>IF(AND(_5="A-321N",'2026'!$D$4="FO",'2026'!$D$2=CF5),'2026DATA'!$M$26,"")</f>
        <v/>
      </c>
      <c r="CG29" s="520" t="str">
        <f>IF(AND(_5="A-321N",'2026'!$D$4="FO",'2026'!$D$2=CG5),'2026DATA'!$N$26,"")</f>
        <v/>
      </c>
      <c r="CH29" s="940"/>
      <c r="CI29" s="13" t="s">
        <v>62</v>
      </c>
      <c r="CJ29" s="518" t="str">
        <f>IF(AND(_6="A-321N",'2026'!$D$4="FO",'2026'!$D$2=CJ5),'2026DATA'!$C$26,"")</f>
        <v/>
      </c>
      <c r="CK29" s="518" t="str">
        <f>IF(AND(_6="A-321N",'2026'!$D$4="FO",'2026'!$D$2=CK5),'2026DATA'!$D$26,"")</f>
        <v/>
      </c>
      <c r="CL29" s="518" t="str">
        <f>IF(AND(_6="A-321N",'2026'!$D$4="FO",'2026'!$D$2=CL5),'2026DATA'!$E$26,"")</f>
        <v/>
      </c>
      <c r="CM29" s="518" t="str">
        <f>IF(AND(_6="A-321N",'2026'!$D$4="FO",'2026'!$D$2=CM5),'2026DATA'!$F$26,"")</f>
        <v/>
      </c>
      <c r="CN29" s="518" t="str">
        <f>IF(AND(_6="A-321N",'2026'!$D$4="FO",'2026'!$D$2=CN5),'2026DATA'!$G$26,"")</f>
        <v/>
      </c>
      <c r="CO29" s="518" t="str">
        <f>IF(AND(_6="A-321N",'2026'!$D$4="FO",'2026'!$D$2=CO5),'2026DATA'!$H$26,"")</f>
        <v/>
      </c>
      <c r="CP29" s="518" t="str">
        <f>IF(AND(_6="A-321N",'2026'!$D$4="FO",'2026'!$D$2=CP5),'2026DATA'!$I$26,"")</f>
        <v/>
      </c>
      <c r="CQ29" s="518" t="str">
        <f>IF(AND(_6="A-321N",'2026'!$D$4="FO",'2026'!$D$2=CQ5),'2026DATA'!$J$26,"")</f>
        <v/>
      </c>
      <c r="CR29" s="518" t="str">
        <f>IF(AND(_6="A-321N",'2026'!$D$4="FO",'2026'!$D$2=CR5),'2026DATA'!$K$26,"")</f>
        <v/>
      </c>
      <c r="CS29" s="518" t="str">
        <f>IF(AND(_6="A-321N",'2026'!$D$4="FO",'2026'!$D$2=CS5),'2026DATA'!$L$26,"")</f>
        <v/>
      </c>
      <c r="CT29" s="518" t="str">
        <f>IF(AND(_6="A-321N",'2026'!$D$4="FO",'2026'!$D$2=CT5),'2026DATA'!$M$26,"")</f>
        <v/>
      </c>
      <c r="CU29" s="520" t="str">
        <f>IF(AND(_6="A-321N",'2026'!$D$4="FO",'2026'!$D$2=CU5),'2026DATA'!$N$26,"")</f>
        <v/>
      </c>
    </row>
    <row r="30" spans="1:99" x14ac:dyDescent="0.25">
      <c r="A30" s="987"/>
      <c r="B30" s="64" t="s">
        <v>62</v>
      </c>
      <c r="C30" s="84">
        <v>265.19</v>
      </c>
      <c r="D30" s="31">
        <v>262.83</v>
      </c>
      <c r="E30" s="31">
        <v>260.44</v>
      </c>
      <c r="F30" s="31">
        <v>256.97000000000003</v>
      </c>
      <c r="G30" s="31">
        <v>254.25</v>
      </c>
      <c r="H30" s="31">
        <v>248.51</v>
      </c>
      <c r="I30" s="31">
        <v>241.75</v>
      </c>
      <c r="J30" s="31">
        <v>235.86</v>
      </c>
      <c r="K30" s="31">
        <v>230.32</v>
      </c>
      <c r="L30" s="31">
        <v>224.85</v>
      </c>
      <c r="M30" s="31">
        <v>192.22</v>
      </c>
      <c r="N30" s="32">
        <v>125.52</v>
      </c>
      <c r="P30" s="940" t="s">
        <v>48</v>
      </c>
      <c r="Q30" s="13" t="s">
        <v>61</v>
      </c>
      <c r="R30" s="518" t="str">
        <f>IF(AND(_1="A-321",'2026'!$D$4="CA",'2026'!$D$2=R5),'2026DATA'!$C$27,"")</f>
        <v/>
      </c>
      <c r="S30" s="518" t="str">
        <f>IF(AND(_1="A-321",'2026'!$D$4="CA",'2026'!$D$2=S5),'2026DATA'!$D$27,"")</f>
        <v/>
      </c>
      <c r="T30" s="518" t="str">
        <f>IF(AND(_1="A-321",'2026'!$D$4="CA",'2026'!$D$2=T5),'2026DATA'!$E$27,"")</f>
        <v/>
      </c>
      <c r="U30" s="518" t="str">
        <f>IF(AND(_1="A-321",'2026'!$D$4="CA",'2026'!$D$2=U5),'2026DATA'!$F$27,"")</f>
        <v/>
      </c>
      <c r="V30" s="518" t="str">
        <f>IF(AND(_1="A-321",'2026'!$D$4="CA",'2026'!$D$2=V5),'2026DATA'!$G$27,"")</f>
        <v/>
      </c>
      <c r="W30" s="518" t="str">
        <f>IF(AND(_1="A-321",'2026'!$D$4="CA",'2026'!$D$2=W5),'2026DATA'!$H$27,"")</f>
        <v/>
      </c>
      <c r="X30" s="518" t="str">
        <f>IF(AND(_1="A-321",'2026'!$D$4="CA",'2026'!$D$2=X5),'2026DATA'!$I$27,"")</f>
        <v/>
      </c>
      <c r="Y30" s="518" t="str">
        <f>IF(AND(_1="A-321",'2026'!$D$4="CA",'2026'!$D$2=Y5),'2026DATA'!$J$27,"")</f>
        <v/>
      </c>
      <c r="Z30" s="518" t="str">
        <f>IF(AND(_1="A-321",'2026'!$D$4="CA",'2026'!$D$2=Z5),'2026DATA'!$K$27,"")</f>
        <v/>
      </c>
      <c r="AA30" s="518" t="str">
        <f>IF(AND(_1="A-321",'2026'!$D$4="CA",'2026'!$D$2=AA5),'2026DATA'!$L$27,"")</f>
        <v/>
      </c>
      <c r="AB30" s="518" t="str">
        <f>IF(AND(_1="A-321",'2026'!$D$4="CA",'2026'!$D$2=AB5),'2026DATA'!$M$27,"")</f>
        <v/>
      </c>
      <c r="AC30" s="520" t="str">
        <f>IF(AND(_1="A-321",'2026'!$D$4="CA",'2026'!$D$2=AC5),'2026DATA'!$N$27,"")</f>
        <v/>
      </c>
      <c r="AD30" s="940" t="s">
        <v>48</v>
      </c>
      <c r="AE30" s="13" t="s">
        <v>61</v>
      </c>
      <c r="AF30" s="518" t="str">
        <f>IF(AND(_2="A-321",'2026'!$D$4="CA",'2026'!$D$2=AF5),'2026DATA'!$C$27,"")</f>
        <v/>
      </c>
      <c r="AG30" s="518" t="str">
        <f>IF(AND(_2="A-321",'2026'!$D$4="CA",'2026'!$D$2=AG5),'2026DATA'!$D$27,"")</f>
        <v/>
      </c>
      <c r="AH30" s="518" t="str">
        <f>IF(AND(_2="A-321",'2026'!$D$4="CA",'2026'!$D$2=AH5),'2026DATA'!$E$27,"")</f>
        <v/>
      </c>
      <c r="AI30" s="518" t="str">
        <f>IF(AND(_2="A-321",'2026'!$D$4="CA",'2026'!$D$2=AI5),'2026DATA'!$F$27,"")</f>
        <v/>
      </c>
      <c r="AJ30" s="518" t="str">
        <f>IF(AND(_2="A-321",'2026'!$D$4="CA",'2026'!$D$2=AJ5),'2026DATA'!$G$27,"")</f>
        <v/>
      </c>
      <c r="AK30" s="518" t="str">
        <f>IF(AND(_2="A-321",'2026'!$D$4="CA",'2026'!$D$2=AK5),'2026DATA'!$H$27,"")</f>
        <v/>
      </c>
      <c r="AL30" s="518" t="str">
        <f>IF(AND(_2="A-321",'2026'!$D$4="CA",'2026'!$D$2=AL5),'2026DATA'!$I$27,"")</f>
        <v/>
      </c>
      <c r="AM30" s="518" t="str">
        <f>IF(AND(_2="A-321",'2026'!$D$4="CA",'2026'!$D$2=AM5),'2026DATA'!$J$27,"")</f>
        <v/>
      </c>
      <c r="AN30" s="518" t="str">
        <f>IF(AND(_2="A-321",'2026'!$D$4="CA",'2026'!$D$2=AN5),'2026DATA'!$K$27,"")</f>
        <v/>
      </c>
      <c r="AO30" s="518" t="str">
        <f>IF(AND(_2="A-321",'2026'!$D$4="CA",'2026'!$D$2=AO5),'2026DATA'!$L$27,"")</f>
        <v/>
      </c>
      <c r="AP30" s="518" t="str">
        <f>IF(AND(_2="A-321",'2026'!$D$4="CA",'2026'!$D$2=AP5),'2026DATA'!$M$27,"")</f>
        <v/>
      </c>
      <c r="AQ30" s="520" t="str">
        <f>IF(AND(_2="A-321",'2026'!$D$4="CA",'2026'!$D$2=AQ5),'2026DATA'!$N$27,"")</f>
        <v/>
      </c>
      <c r="AR30" s="940" t="s">
        <v>48</v>
      </c>
      <c r="AS30" s="13" t="s">
        <v>61</v>
      </c>
      <c r="AT30" s="518" t="str">
        <f>IF(AND(_3="A-321",'2026'!$D$4="CA",'2026'!$D$2=AT5),'2026DATA'!$C$27,"")</f>
        <v/>
      </c>
      <c r="AU30" s="518" t="str">
        <f>IF(AND(_3="A-321",'2026'!$D$4="CA",'2026'!$D$2=AU5),'2026DATA'!$D$27,"")</f>
        <v/>
      </c>
      <c r="AV30" s="518" t="str">
        <f>IF(AND(_3="A-321",'2026'!$D$4="CA",'2026'!$D$2=AV5),'2026DATA'!$E$27,"")</f>
        <v/>
      </c>
      <c r="AW30" s="518" t="str">
        <f>IF(AND(_3="A-321",'2026'!$D$4="CA",'2026'!$D$2=AW5),'2026DATA'!$F$27,"")</f>
        <v/>
      </c>
      <c r="AX30" s="518" t="str">
        <f>IF(AND(_3="A-321",'2026'!$D$4="CA",'2026'!$D$2=AX5),'2026DATA'!$G$27,"")</f>
        <v/>
      </c>
      <c r="AY30" s="518" t="str">
        <f>IF(AND(_3="A-321",'2026'!$D$4="CA",'2026'!$D$2=AY5),'2026DATA'!$H$27,"")</f>
        <v/>
      </c>
      <c r="AZ30" s="518" t="str">
        <f>IF(AND(_3="A-321",'2026'!$D$4="CA",'2026'!$D$2=AZ5),'2026DATA'!$I$27,"")</f>
        <v/>
      </c>
      <c r="BA30" s="518" t="str">
        <f>IF(AND(_3="A-321",'2026'!$D$4="CA",'2026'!$D$2=BA5),'2026DATA'!$J$27,"")</f>
        <v/>
      </c>
      <c r="BB30" s="518" t="str">
        <f>IF(AND(_3="A-321",'2026'!$D$4="CA",'2026'!$D$2=BB5),'2026DATA'!$K$27,"")</f>
        <v/>
      </c>
      <c r="BC30" s="518" t="str">
        <f>IF(AND(_3="A-321",'2026'!$D$4="CA",'2026'!$D$2=BC5),'2026DATA'!$L$27,"")</f>
        <v/>
      </c>
      <c r="BD30" s="518" t="str">
        <f>IF(AND(_3="A-321",'2026'!$D$4="CA",'2026'!$D$2=BD5),'2026DATA'!$M$27,"")</f>
        <v/>
      </c>
      <c r="BE30" s="520" t="str">
        <f>IF(AND(_3="A-321",'2026'!$D$4="CA",'2026'!$D$2=BE5),'2026DATA'!$N$27,"")</f>
        <v/>
      </c>
      <c r="BF30" s="940" t="s">
        <v>48</v>
      </c>
      <c r="BG30" s="13" t="s">
        <v>61</v>
      </c>
      <c r="BH30" s="518" t="str">
        <f>IF(AND(_4="A-321",'2026'!$D$4="CA",'2026'!$D$2=BH5),'2026DATA'!$C$27,"")</f>
        <v/>
      </c>
      <c r="BI30" s="518" t="str">
        <f>IF(AND(_4="A-321",'2026'!$D$4="CA",'2026'!$D$2=BI5),'2026DATA'!$D$27,"")</f>
        <v/>
      </c>
      <c r="BJ30" s="518" t="str">
        <f>IF(AND(_4="A-321",'2026'!$D$4="CA",'2026'!$D$2=BJ5),'2026DATA'!$E$27,"")</f>
        <v/>
      </c>
      <c r="BK30" s="518" t="str">
        <f>IF(AND(_4="A-321",'2026'!$D$4="CA",'2026'!$D$2=BK5),'2026DATA'!$F$27,"")</f>
        <v/>
      </c>
      <c r="BL30" s="518" t="str">
        <f>IF(AND(_4="A-321",'2026'!$D$4="CA",'2026'!$D$2=BL5),'2026DATA'!$G$27,"")</f>
        <v/>
      </c>
      <c r="BM30" s="518" t="str">
        <f>IF(AND(_4="A-321",'2026'!$D$4="CA",'2026'!$D$2=BM5),'2026DATA'!$H$27,"")</f>
        <v/>
      </c>
      <c r="BN30" s="518" t="str">
        <f>IF(AND(_4="A-321",'2026'!$D$4="CA",'2026'!$D$2=BN5),'2026DATA'!$I$27,"")</f>
        <v/>
      </c>
      <c r="BO30" s="518" t="str">
        <f>IF(AND(_4="A-321",'2026'!$D$4="CA",'2026'!$D$2=BO5),'2026DATA'!$J$27,"")</f>
        <v/>
      </c>
      <c r="BP30" s="518" t="str">
        <f>IF(AND(_4="A-321",'2026'!$D$4="CA",'2026'!$D$2=BP5),'2026DATA'!$K$27,"")</f>
        <v/>
      </c>
      <c r="BQ30" s="518" t="str">
        <f>IF(AND(_4="A-321",'2026'!$D$4="CA",'2026'!$D$2=BQ5),'2026DATA'!$L$27,"")</f>
        <v/>
      </c>
      <c r="BR30" s="518" t="str">
        <f>IF(AND(_4="A-321",'2026'!$D$4="CA",'2026'!$D$2=BR5),'2026DATA'!$M$27,"")</f>
        <v/>
      </c>
      <c r="BS30" s="520" t="str">
        <f>IF(AND(_4="A-321",'2026'!$D$4="CA",'2026'!$D$2=BS5),'2026DATA'!$N$27,"")</f>
        <v/>
      </c>
      <c r="BT30" s="940" t="s">
        <v>48</v>
      </c>
      <c r="BU30" s="13" t="s">
        <v>61</v>
      </c>
      <c r="BV30" s="518" t="str">
        <f>IF(AND(_5="A-321",'2026'!$D$4="CA",'2026'!$D$2=BV5),'2026DATA'!$C$27,"")</f>
        <v/>
      </c>
      <c r="BW30" s="518" t="str">
        <f>IF(AND(_5="A-321",'2026'!$D$4="CA",'2026'!$D$2=BW5),'2026DATA'!$D$27,"")</f>
        <v/>
      </c>
      <c r="BX30" s="518" t="str">
        <f>IF(AND(_5="A-321",'2026'!$D$4="CA",'2026'!$D$2=BX5),'2026DATA'!$E$27,"")</f>
        <v/>
      </c>
      <c r="BY30" s="518" t="str">
        <f>IF(AND(_5="A-321",'2026'!$D$4="CA",'2026'!$D$2=BY5),'2026DATA'!$F$27,"")</f>
        <v/>
      </c>
      <c r="BZ30" s="518" t="str">
        <f>IF(AND(_5="A-321",'2026'!$D$4="CA",'2026'!$D$2=BZ5),'2026DATA'!$G$27,"")</f>
        <v/>
      </c>
      <c r="CA30" s="518" t="str">
        <f>IF(AND(_5="A-321",'2026'!$D$4="CA",'2026'!$D$2=CA5),'2026DATA'!$H$27,"")</f>
        <v/>
      </c>
      <c r="CB30" s="518" t="str">
        <f>IF(AND(_5="A-321",'2026'!$D$4="CA",'2026'!$D$2=CB5),'2026DATA'!$I$27,"")</f>
        <v/>
      </c>
      <c r="CC30" s="518" t="str">
        <f>IF(AND(_5="A-321",'2026'!$D$4="CA",'2026'!$D$2=CC5),'2026DATA'!$J$27,"")</f>
        <v/>
      </c>
      <c r="CD30" s="518" t="str">
        <f>IF(AND(_5="A-321",'2026'!$D$4="CA",'2026'!$D$2=CD5),'2026DATA'!$K$27,"")</f>
        <v/>
      </c>
      <c r="CE30" s="518" t="str">
        <f>IF(AND(_5="A-321",'2026'!$D$4="CA",'2026'!$D$2=CE5),'2026DATA'!$L$27,"")</f>
        <v/>
      </c>
      <c r="CF30" s="518" t="str">
        <f>IF(AND(_5="A-321",'2026'!$D$4="CA",'2026'!$D$2=CF5),'2026DATA'!$M$27,"")</f>
        <v/>
      </c>
      <c r="CG30" s="520" t="str">
        <f>IF(AND(_5="A-321",'2026'!$D$4="CA",'2026'!$D$2=CG5),'2026DATA'!$N$27,"")</f>
        <v/>
      </c>
      <c r="CH30" s="940" t="s">
        <v>48</v>
      </c>
      <c r="CI30" s="13" t="s">
        <v>61</v>
      </c>
      <c r="CJ30" s="518" t="str">
        <f>IF(AND(_6="A-321",'2026'!$D$4="CA",'2026'!$D$2=CJ5),'2026DATA'!$C$27,"")</f>
        <v/>
      </c>
      <c r="CK30" s="518" t="str">
        <f>IF(AND(_6="A-321",'2026'!$D$4="CA",'2026'!$D$2=CK5),'2026DATA'!$D$27,"")</f>
        <v/>
      </c>
      <c r="CL30" s="518" t="str">
        <f>IF(AND(_6="A-321",'2026'!$D$4="CA",'2026'!$D$2=CL5),'2026DATA'!$E$27,"")</f>
        <v/>
      </c>
      <c r="CM30" s="518" t="str">
        <f>IF(AND(_6="A-321",'2026'!$D$4="CA",'2026'!$D$2=CM5),'2026DATA'!$F$27,"")</f>
        <v/>
      </c>
      <c r="CN30" s="518" t="str">
        <f>IF(AND(_6="A-321",'2026'!$D$4="CA",'2026'!$D$2=CN5),'2026DATA'!$G$27,"")</f>
        <v/>
      </c>
      <c r="CO30" s="518" t="str">
        <f>IF(AND(_6="A-321",'2026'!$D$4="CA",'2026'!$D$2=CO5),'2026DATA'!$H$27,"")</f>
        <v/>
      </c>
      <c r="CP30" s="518" t="str">
        <f>IF(AND(_6="A-321",'2026'!$D$4="CA",'2026'!$D$2=CP5),'2026DATA'!$I$27,"")</f>
        <v/>
      </c>
      <c r="CQ30" s="518" t="str">
        <f>IF(AND(_6="A-321",'2026'!$D$4="CA",'2026'!$D$2=CQ5),'2026DATA'!$J$27,"")</f>
        <v/>
      </c>
      <c r="CR30" s="518" t="str">
        <f>IF(AND(_6="A-321",'2026'!$D$4="CA",'2026'!$D$2=CR5),'2026DATA'!$K$27,"")</f>
        <v/>
      </c>
      <c r="CS30" s="518" t="str">
        <f>IF(AND(_6="A-321",'2026'!$D$4="CA",'2026'!$D$2=CS5),'2026DATA'!$L$27,"")</f>
        <v/>
      </c>
      <c r="CT30" s="518" t="str">
        <f>IF(AND(_6="A-321",'2026'!$D$4="CA",'2026'!$D$2=CT5),'2026DATA'!$M$27,"")</f>
        <v/>
      </c>
      <c r="CU30" s="520" t="str">
        <f>IF(AND(_6="A-321",'2026'!$D$4="CA",'2026'!$D$2=CU5),'2026DATA'!$N$27,"")</f>
        <v/>
      </c>
    </row>
    <row r="31" spans="1:99" x14ac:dyDescent="0.25">
      <c r="A31" s="987" t="s">
        <v>71</v>
      </c>
      <c r="B31" s="64" t="s">
        <v>61</v>
      </c>
      <c r="C31" s="84">
        <v>388.27</v>
      </c>
      <c r="D31" s="31">
        <v>385.4</v>
      </c>
      <c r="E31" s="31">
        <v>382.47</v>
      </c>
      <c r="F31" s="31">
        <v>379.59</v>
      </c>
      <c r="G31" s="31">
        <v>376.65</v>
      </c>
      <c r="H31" s="31">
        <v>373.73</v>
      </c>
      <c r="I31" s="31">
        <v>370.84</v>
      </c>
      <c r="J31" s="31">
        <v>367.95</v>
      </c>
      <c r="K31" s="31">
        <v>365</v>
      </c>
      <c r="L31" s="31">
        <v>362.07</v>
      </c>
      <c r="M31" s="31">
        <v>359.23</v>
      </c>
      <c r="N31" s="32">
        <v>356.46</v>
      </c>
      <c r="P31" s="940"/>
      <c r="Q31" s="13" t="s">
        <v>62</v>
      </c>
      <c r="R31" s="518" t="str">
        <f>IF(AND(_1="A-321",'2026'!$D$4="FO",'2026'!$D$2=R5),'2026DATA'!$C$28,"")</f>
        <v/>
      </c>
      <c r="S31" s="518" t="str">
        <f>IF(AND(_1="A-321",'2026'!$D$4="FO",'2026'!$D$2=S5),'2026DATA'!$D$28,"")</f>
        <v/>
      </c>
      <c r="T31" s="518" t="str">
        <f>IF(AND(_1="A-321",'2026'!$D$4="FO",'2026'!$D$2=T5),'2026DATA'!$E$28,"")</f>
        <v/>
      </c>
      <c r="U31" s="518" t="str">
        <f>IF(AND(_1="A-321",'2026'!$D$4="FO",'2026'!$D$2=U5),'2026DATA'!$F$28,"")</f>
        <v/>
      </c>
      <c r="V31" s="518" t="str">
        <f>IF(AND(_1="A-321",'2026'!$D$4="FO",'2026'!$D$2=V5),'2026DATA'!$G$28,"")</f>
        <v/>
      </c>
      <c r="W31" s="518" t="str">
        <f>IF(AND(_1="A-321",'2026'!$D$4="FO",'2026'!$D$2=W5),'2026DATA'!$H$28,"")</f>
        <v/>
      </c>
      <c r="X31" s="518" t="str">
        <f>IF(AND(_1="A-321",'2026'!$D$4="FO",'2026'!$D$2=X5),'2026DATA'!$I$28,"")</f>
        <v/>
      </c>
      <c r="Y31" s="518" t="str">
        <f>IF(AND(_1="A-321",'2026'!$D$4="FO",'2026'!$D$2=Y5),'2026DATA'!$J$28,"")</f>
        <v/>
      </c>
      <c r="Z31" s="518" t="str">
        <f>IF(AND(_1="A-321",'2026'!$D$4="FO",'2026'!$D$2=Z5),'2026DATA'!$K$28,"")</f>
        <v/>
      </c>
      <c r="AA31" s="518" t="str">
        <f>IF(AND(_1="A-321",'2026'!$D$4="FO",'2026'!$D$2=AA5),'2026DATA'!$L$28,"")</f>
        <v/>
      </c>
      <c r="AB31" s="518" t="str">
        <f>IF(AND(_1="A-321",'2026'!$D$4="FO",'2026'!$D$2=AB5),'2026DATA'!$M$28,"")</f>
        <v/>
      </c>
      <c r="AC31" s="520" t="str">
        <f>IF(AND(_1="A-321",'2026'!$D$4="FO",'2026'!$D$2=AC5),'2026DATA'!$N$28,"")</f>
        <v/>
      </c>
      <c r="AD31" s="940"/>
      <c r="AE31" s="13" t="s">
        <v>62</v>
      </c>
      <c r="AF31" s="518" t="str">
        <f>IF(AND(_2="A-321",'2026'!$D$4="FO",'2026'!$D$2=AF5),'2026DATA'!$C$28,"")</f>
        <v/>
      </c>
      <c r="AG31" s="518" t="str">
        <f>IF(AND(_2="A-321",'2026'!$D$4="FO",'2026'!$D$2=AG5),'2026DATA'!$D$28,"")</f>
        <v/>
      </c>
      <c r="AH31" s="518" t="str">
        <f>IF(AND(_2="A-321",'2026'!$D$4="FO",'2026'!$D$2=AH5),'2026DATA'!$E$28,"")</f>
        <v/>
      </c>
      <c r="AI31" s="518" t="str">
        <f>IF(AND(_2="A-321",'2026'!$D$4="FO",'2026'!$D$2=AI5),'2026DATA'!$F$28,"")</f>
        <v/>
      </c>
      <c r="AJ31" s="518" t="str">
        <f>IF(AND(_2="A-321",'2026'!$D$4="FO",'2026'!$D$2=AJ5),'2026DATA'!$G$28,"")</f>
        <v/>
      </c>
      <c r="AK31" s="518" t="str">
        <f>IF(AND(_2="A-321",'2026'!$D$4="FO",'2026'!$D$2=AK5),'2026DATA'!$H$28,"")</f>
        <v/>
      </c>
      <c r="AL31" s="518" t="str">
        <f>IF(AND(_2="A-321",'2026'!$D$4="FO",'2026'!$D$2=AL5),'2026DATA'!$I$28,"")</f>
        <v/>
      </c>
      <c r="AM31" s="518" t="str">
        <f>IF(AND(_2="A-321",'2026'!$D$4="FO",'2026'!$D$2=AM5),'2026DATA'!$J$28,"")</f>
        <v/>
      </c>
      <c r="AN31" s="518" t="str">
        <f>IF(AND(_2="A-321",'2026'!$D$4="FO",'2026'!$D$2=AN5),'2026DATA'!$K$28,"")</f>
        <v/>
      </c>
      <c r="AO31" s="518" t="str">
        <f>IF(AND(_2="A-321",'2026'!$D$4="FO",'2026'!$D$2=AO5),'2026DATA'!$L$28,"")</f>
        <v/>
      </c>
      <c r="AP31" s="518" t="str">
        <f>IF(AND(_2="A-321",'2026'!$D$4="FO",'2026'!$D$2=AP5),'2026DATA'!$M$28,"")</f>
        <v/>
      </c>
      <c r="AQ31" s="520" t="str">
        <f>IF(AND(_2="A-321",'2026'!$D$4="FO",'2026'!$D$2=AQ5),'2026DATA'!$N$28,"")</f>
        <v/>
      </c>
      <c r="AR31" s="940"/>
      <c r="AS31" s="13" t="s">
        <v>62</v>
      </c>
      <c r="AT31" s="518" t="str">
        <f>IF(AND(_3="A-321",'2026'!$D$4="FO",'2026'!$D$2=AT5),'2026DATA'!$C$28,"")</f>
        <v/>
      </c>
      <c r="AU31" s="518" t="str">
        <f>IF(AND(_3="A-321",'2026'!$D$4="FO",'2026'!$D$2=AU5),'2026DATA'!$D$28,"")</f>
        <v/>
      </c>
      <c r="AV31" s="518" t="str">
        <f>IF(AND(_3="A-321",'2026'!$D$4="FO",'2026'!$D$2=AV5),'2026DATA'!$E$28,"")</f>
        <v/>
      </c>
      <c r="AW31" s="518" t="str">
        <f>IF(AND(_3="A-321",'2026'!$D$4="FO",'2026'!$D$2=AW5),'2026DATA'!$F$28,"")</f>
        <v/>
      </c>
      <c r="AX31" s="518" t="str">
        <f>IF(AND(_3="A-321",'2026'!$D$4="FO",'2026'!$D$2=AX5),'2026DATA'!$G$28,"")</f>
        <v/>
      </c>
      <c r="AY31" s="518" t="str">
        <f>IF(AND(_3="A-321",'2026'!$D$4="FO",'2026'!$D$2=AY5),'2026DATA'!$H$28,"")</f>
        <v/>
      </c>
      <c r="AZ31" s="518" t="str">
        <f>IF(AND(_3="A-321",'2026'!$D$4="FO",'2026'!$D$2=AZ5),'2026DATA'!$I$28,"")</f>
        <v/>
      </c>
      <c r="BA31" s="518" t="str">
        <f>IF(AND(_3="A-321",'2026'!$D$4="FO",'2026'!$D$2=BA5),'2026DATA'!$J$28,"")</f>
        <v/>
      </c>
      <c r="BB31" s="518" t="str">
        <f>IF(AND(_3="A-321",'2026'!$D$4="FO",'2026'!$D$2=BB5),'2026DATA'!$K$28,"")</f>
        <v/>
      </c>
      <c r="BC31" s="518" t="str">
        <f>IF(AND(_3="A-321",'2026'!$D$4="FO",'2026'!$D$2=BC5),'2026DATA'!$L$28,"")</f>
        <v/>
      </c>
      <c r="BD31" s="518" t="str">
        <f>IF(AND(_3="A-321",'2026'!$D$4="FO",'2026'!$D$2=BD5),'2026DATA'!$M$28,"")</f>
        <v/>
      </c>
      <c r="BE31" s="520" t="str">
        <f>IF(AND(_3="A-321",'2026'!$D$4="FO",'2026'!$D$2=BE5),'2026DATA'!$N$28,"")</f>
        <v/>
      </c>
      <c r="BF31" s="940"/>
      <c r="BG31" s="13" t="s">
        <v>62</v>
      </c>
      <c r="BH31" s="518" t="str">
        <f>IF(AND(_4="A-321",'2026'!$D$4="FO",'2026'!$D$2=BH5),'2026DATA'!$C$28,"")</f>
        <v/>
      </c>
      <c r="BI31" s="518" t="str">
        <f>IF(AND(_4="A-321",'2026'!$D$4="FO",'2026'!$D$2=BI5),'2026DATA'!$D$28,"")</f>
        <v/>
      </c>
      <c r="BJ31" s="518" t="str">
        <f>IF(AND(_4="A-321",'2026'!$D$4="FO",'2026'!$D$2=BJ5),'2026DATA'!$E$28,"")</f>
        <v/>
      </c>
      <c r="BK31" s="518" t="str">
        <f>IF(AND(_4="A-321",'2026'!$D$4="FO",'2026'!$D$2=BK5),'2026DATA'!$F$28,"")</f>
        <v/>
      </c>
      <c r="BL31" s="518" t="str">
        <f>IF(AND(_4="A-321",'2026'!$D$4="FO",'2026'!$D$2=BL5),'2026DATA'!$G$28,"")</f>
        <v/>
      </c>
      <c r="BM31" s="518" t="str">
        <f>IF(AND(_4="A-321",'2026'!$D$4="FO",'2026'!$D$2=BM5),'2026DATA'!$H$28,"")</f>
        <v/>
      </c>
      <c r="BN31" s="518" t="str">
        <f>IF(AND(_4="A-321",'2026'!$D$4="FO",'2026'!$D$2=BN5),'2026DATA'!$I$28,"")</f>
        <v/>
      </c>
      <c r="BO31" s="518" t="str">
        <f>IF(AND(_4="A-321",'2026'!$D$4="FO",'2026'!$D$2=BO5),'2026DATA'!$J$28,"")</f>
        <v/>
      </c>
      <c r="BP31" s="518" t="str">
        <f>IF(AND(_4="A-321",'2026'!$D$4="FO",'2026'!$D$2=BP5),'2026DATA'!$K$28,"")</f>
        <v/>
      </c>
      <c r="BQ31" s="518" t="str">
        <f>IF(AND(_4="A-321",'2026'!$D$4="FO",'2026'!$D$2=BQ5),'2026DATA'!$L$28,"")</f>
        <v/>
      </c>
      <c r="BR31" s="518" t="str">
        <f>IF(AND(_4="A-321",'2026'!$D$4="FO",'2026'!$D$2=BR5),'2026DATA'!$M$28,"")</f>
        <v/>
      </c>
      <c r="BS31" s="520" t="str">
        <f>IF(AND(_4="A-321",'2026'!$D$4="FO",'2026'!$D$2=BS5),'2026DATA'!$N$28,"")</f>
        <v/>
      </c>
      <c r="BT31" s="940"/>
      <c r="BU31" s="13" t="s">
        <v>62</v>
      </c>
      <c r="BV31" s="518" t="str">
        <f>IF(AND(_5="A-321",'2026'!$D$4="FO",'2026'!$D$2=BV5),'2026DATA'!$C$28,"")</f>
        <v/>
      </c>
      <c r="BW31" s="518" t="str">
        <f>IF(AND(_5="A-321",'2026'!$D$4="FO",'2026'!$D$2=BW5),'2026DATA'!$D$28,"")</f>
        <v/>
      </c>
      <c r="BX31" s="518" t="str">
        <f>IF(AND(_5="A-321",'2026'!$D$4="FO",'2026'!$D$2=BX5),'2026DATA'!$E$28,"")</f>
        <v/>
      </c>
      <c r="BY31" s="518" t="str">
        <f>IF(AND(_5="A-321",'2026'!$D$4="FO",'2026'!$D$2=BY5),'2026DATA'!$F$28,"")</f>
        <v/>
      </c>
      <c r="BZ31" s="518" t="str">
        <f>IF(AND(_5="A-321",'2026'!$D$4="FO",'2026'!$D$2=BZ5),'2026DATA'!$G$28,"")</f>
        <v/>
      </c>
      <c r="CA31" s="518" t="str">
        <f>IF(AND(_5="A-321",'2026'!$D$4="FO",'2026'!$D$2=CA5),'2026DATA'!$H$28,"")</f>
        <v/>
      </c>
      <c r="CB31" s="518" t="str">
        <f>IF(AND(_5="A-321",'2026'!$D$4="FO",'2026'!$D$2=CB5),'2026DATA'!$I$28,"")</f>
        <v/>
      </c>
      <c r="CC31" s="518" t="str">
        <f>IF(AND(_5="A-321",'2026'!$D$4="FO",'2026'!$D$2=CC5),'2026DATA'!$J$28,"")</f>
        <v/>
      </c>
      <c r="CD31" s="518" t="str">
        <f>IF(AND(_5="A-321",'2026'!$D$4="FO",'2026'!$D$2=CD5),'2026DATA'!$K$28,"")</f>
        <v/>
      </c>
      <c r="CE31" s="518" t="str">
        <f>IF(AND(_5="A-321",'2026'!$D$4="FO",'2026'!$D$2=CE5),'2026DATA'!$L$28,"")</f>
        <v/>
      </c>
      <c r="CF31" s="518" t="str">
        <f>IF(AND(_5="A-321",'2026'!$D$4="FO",'2026'!$D$2=CF5),'2026DATA'!$M$28,"")</f>
        <v/>
      </c>
      <c r="CG31" s="520" t="str">
        <f>IF(AND(_5="A-321",'2026'!$D$4="FO",'2026'!$D$2=CG5),'2026DATA'!$N$28,"")</f>
        <v/>
      </c>
      <c r="CH31" s="940"/>
      <c r="CI31" s="13" t="s">
        <v>62</v>
      </c>
      <c r="CJ31" s="518" t="str">
        <f>IF(AND(_6="A-321",'2026'!$D$4="FO",'2026'!$D$2=CJ5),'2026DATA'!$C$28,"")</f>
        <v/>
      </c>
      <c r="CK31" s="518" t="str">
        <f>IF(AND(_6="A-321",'2026'!$D$4="FO",'2026'!$D$2=CK5),'2026DATA'!$D$28,"")</f>
        <v/>
      </c>
      <c r="CL31" s="518" t="str">
        <f>IF(AND(_6="A-321",'2026'!$D$4="FO",'2026'!$D$2=CL5),'2026DATA'!$E$28,"")</f>
        <v/>
      </c>
      <c r="CM31" s="518" t="str">
        <f>IF(AND(_6="A-321",'2026'!$D$4="FO",'2026'!$D$2=CM5),'2026DATA'!$F$28,"")</f>
        <v/>
      </c>
      <c r="CN31" s="518" t="str">
        <f>IF(AND(_6="A-321",'2026'!$D$4="FO",'2026'!$D$2=CN5),'2026DATA'!$G$28,"")</f>
        <v/>
      </c>
      <c r="CO31" s="518" t="str">
        <f>IF(AND(_6="A-321",'2026'!$D$4="FO",'2026'!$D$2=CO5),'2026DATA'!$H$28,"")</f>
        <v/>
      </c>
      <c r="CP31" s="518" t="str">
        <f>IF(AND(_6="A-321",'2026'!$D$4="FO",'2026'!$D$2=CP5),'2026DATA'!$I$28,"")</f>
        <v/>
      </c>
      <c r="CQ31" s="518" t="str">
        <f>IF(AND(_6="A-321",'2026'!$D$4="FO",'2026'!$D$2=CQ5),'2026DATA'!$J$28,"")</f>
        <v/>
      </c>
      <c r="CR31" s="518" t="str">
        <f>IF(AND(_6="A-321",'2026'!$D$4="FO",'2026'!$D$2=CR5),'2026DATA'!$K$28,"")</f>
        <v/>
      </c>
      <c r="CS31" s="518" t="str">
        <f>IF(AND(_6="A-321",'2026'!$D$4="FO",'2026'!$D$2=CS5),'2026DATA'!$L$28,"")</f>
        <v/>
      </c>
      <c r="CT31" s="518" t="str">
        <f>IF(AND(_6="A-321",'2026'!$D$4="FO",'2026'!$D$2=CT5),'2026DATA'!$M$28,"")</f>
        <v/>
      </c>
      <c r="CU31" s="520" t="str">
        <f>IF(AND(_6="A-321",'2026'!$D$4="FO",'2026'!$D$2=CU5),'2026DATA'!$N$28,"")</f>
        <v/>
      </c>
    </row>
    <row r="32" spans="1:99" x14ac:dyDescent="0.25">
      <c r="A32" s="987"/>
      <c r="B32" s="64" t="s">
        <v>62</v>
      </c>
      <c r="C32" s="84">
        <v>265.19</v>
      </c>
      <c r="D32" s="31">
        <v>262.83</v>
      </c>
      <c r="E32" s="31">
        <v>260.44</v>
      </c>
      <c r="F32" s="31">
        <v>256.97000000000003</v>
      </c>
      <c r="G32" s="31">
        <v>254.25</v>
      </c>
      <c r="H32" s="31">
        <v>248.51</v>
      </c>
      <c r="I32" s="31">
        <v>241.75</v>
      </c>
      <c r="J32" s="31">
        <v>235.86</v>
      </c>
      <c r="K32" s="31">
        <v>230.32</v>
      </c>
      <c r="L32" s="31">
        <v>224.85</v>
      </c>
      <c r="M32" s="31">
        <v>192.22</v>
      </c>
      <c r="N32" s="32">
        <v>125.52</v>
      </c>
      <c r="P32" s="940" t="s">
        <v>70</v>
      </c>
      <c r="Q32" s="13" t="s">
        <v>61</v>
      </c>
      <c r="R32" s="518" t="str">
        <f>IF(AND(_1="A-320",'2026'!$D$4="CA",'2026'!$D$2=R5),'2026DATA'!$C$29,"")</f>
        <v/>
      </c>
      <c r="S32" s="518" t="str">
        <f>IF(AND(_1="A-320",'2026'!$D$4="CA",'2026'!$D$2=S5),'2026DATA'!$D$29,"")</f>
        <v/>
      </c>
      <c r="T32" s="518" t="str">
        <f>IF(AND(_1="A-320",'2026'!$D$4="CA",'2026'!$D$2=T5),'2026DATA'!$E$29,"")</f>
        <v/>
      </c>
      <c r="U32" s="518" t="str">
        <f>IF(AND(_1="A-320",'2026'!$D$4="CA",'2026'!$D$2=U5),'2026DATA'!$F$29,"")</f>
        <v/>
      </c>
      <c r="V32" s="518" t="str">
        <f>IF(AND(_1="A-320",'2026'!$D$4="CA",'2026'!$D$2=V5),'2026DATA'!$G$29,"")</f>
        <v/>
      </c>
      <c r="W32" s="518" t="str">
        <f>IF(AND(_1="A-320",'2026'!$D$4="CA",'2026'!$D$2=W5),'2026DATA'!$H$29,"")</f>
        <v/>
      </c>
      <c r="X32" s="518" t="str">
        <f>IF(AND(_1="A-320",'2026'!$D$4="CA",'2026'!$D$2=X5),'2026DATA'!$I$29,"")</f>
        <v/>
      </c>
      <c r="Y32" s="518" t="str">
        <f>IF(AND(_1="A-320",'2026'!$D$4="CA",'2026'!$D$2=Y5),'2026DATA'!$J$29,"")</f>
        <v/>
      </c>
      <c r="Z32" s="518" t="str">
        <f>IF(AND(_1="A-320",'2026'!$D$4="CA",'2026'!$D$2=Z5),'2026DATA'!$K$29,"")</f>
        <v/>
      </c>
      <c r="AA32" s="518" t="str">
        <f>IF(AND(_1="A-320",'2026'!$D$4="CA",'2026'!$D$2=AA5),'2026DATA'!$L$29,"")</f>
        <v/>
      </c>
      <c r="AB32" s="518" t="str">
        <f>IF(AND(_1="A-320",'2026'!$D$4="CA",'2026'!$D$2=AB5),'2026DATA'!$M$29,"")</f>
        <v/>
      </c>
      <c r="AC32" s="520" t="str">
        <f>IF(AND(_1="A-320",'2026'!$D$4="CA",'2026'!$D$2=AC5),'2026DATA'!$N$29,"")</f>
        <v/>
      </c>
      <c r="AD32" s="940" t="s">
        <v>70</v>
      </c>
      <c r="AE32" s="13" t="s">
        <v>61</v>
      </c>
      <c r="AF32" s="518" t="str">
        <f>IF(AND(_2="A-320",'2026'!$D$4="CA",'2026'!$D$2=AF5),'2026DATA'!$C$29,"")</f>
        <v/>
      </c>
      <c r="AG32" s="518" t="str">
        <f>IF(AND(_2="A-320",'2026'!$D$4="CA",'2026'!$D$2=AG5),'2026DATA'!$D$29,"")</f>
        <v/>
      </c>
      <c r="AH32" s="518" t="str">
        <f>IF(AND(_2="A-320",'2026'!$D$4="CA",'2026'!$D$2=AH5),'2026DATA'!$E$29,"")</f>
        <v/>
      </c>
      <c r="AI32" s="518" t="str">
        <f>IF(AND(_2="A-320",'2026'!$D$4="CA",'2026'!$D$2=AI5),'2026DATA'!$F$29,"")</f>
        <v/>
      </c>
      <c r="AJ32" s="518" t="str">
        <f>IF(AND(_2="A-320",'2026'!$D$4="CA",'2026'!$D$2=AJ5),'2026DATA'!$G$29,"")</f>
        <v/>
      </c>
      <c r="AK32" s="518" t="str">
        <f>IF(AND(_2="A-320",'2026'!$D$4="CA",'2026'!$D$2=AK5),'2026DATA'!$H$29,"")</f>
        <v/>
      </c>
      <c r="AL32" s="518" t="str">
        <f>IF(AND(_2="A-320",'2026'!$D$4="CA",'2026'!$D$2=AL5),'2026DATA'!$I$29,"")</f>
        <v/>
      </c>
      <c r="AM32" s="518" t="str">
        <f>IF(AND(_2="A-320",'2026'!$D$4="CA",'2026'!$D$2=AM5),'2026DATA'!$J$29,"")</f>
        <v/>
      </c>
      <c r="AN32" s="518" t="str">
        <f>IF(AND(_2="A-320",'2026'!$D$4="CA",'2026'!$D$2=AN5),'2026DATA'!$K$29,"")</f>
        <v/>
      </c>
      <c r="AO32" s="518" t="str">
        <f>IF(AND(_2="A-320",'2026'!$D$4="CA",'2026'!$D$2=AO5),'2026DATA'!$L$29,"")</f>
        <v/>
      </c>
      <c r="AP32" s="518" t="str">
        <f>IF(AND(_2="A-320",'2026'!$D$4="CA",'2026'!$D$2=AP5),'2026DATA'!$M$29,"")</f>
        <v/>
      </c>
      <c r="AQ32" s="520" t="str">
        <f>IF(AND(_2="A-320",'2026'!$D$4="CA",'2026'!$D$2=AQ5),'2026DATA'!$N$29,"")</f>
        <v/>
      </c>
      <c r="AR32" s="940" t="s">
        <v>70</v>
      </c>
      <c r="AS32" s="13" t="s">
        <v>61</v>
      </c>
      <c r="AT32" s="518" t="str">
        <f>IF(AND(_3="A-320",'2026'!$D$4="CA",'2026'!$D$2=AT5),'2026DATA'!$C$29,"")</f>
        <v/>
      </c>
      <c r="AU32" s="518" t="str">
        <f>IF(AND(_3="A-320",'2026'!$D$4="CA",'2026'!$D$2=AU5),'2026DATA'!$D$29,"")</f>
        <v/>
      </c>
      <c r="AV32" s="518" t="str">
        <f>IF(AND(_3="A-320",'2026'!$D$4="CA",'2026'!$D$2=AV5),'2026DATA'!$E$29,"")</f>
        <v/>
      </c>
      <c r="AW32" s="518" t="str">
        <f>IF(AND(_3="A-320",'2026'!$D$4="CA",'2026'!$D$2=AW5),'2026DATA'!$F$29,"")</f>
        <v/>
      </c>
      <c r="AX32" s="518" t="str">
        <f>IF(AND(_3="A-320",'2026'!$D$4="CA",'2026'!$D$2=AX5),'2026DATA'!$G$29,"")</f>
        <v/>
      </c>
      <c r="AY32" s="518" t="str">
        <f>IF(AND(_3="A-320",'2026'!$D$4="CA",'2026'!$D$2=AY5),'2026DATA'!$H$29,"")</f>
        <v/>
      </c>
      <c r="AZ32" s="518" t="str">
        <f>IF(AND(_3="A-320",'2026'!$D$4="CA",'2026'!$D$2=AZ5),'2026DATA'!$I$29,"")</f>
        <v/>
      </c>
      <c r="BA32" s="518" t="str">
        <f>IF(AND(_3="A-320",'2026'!$D$4="CA",'2026'!$D$2=BA5),'2026DATA'!$J$29,"")</f>
        <v/>
      </c>
      <c r="BB32" s="518" t="str">
        <f>IF(AND(_3="A-320",'2026'!$D$4="CA",'2026'!$D$2=BB5),'2026DATA'!$K$29,"")</f>
        <v/>
      </c>
      <c r="BC32" s="518" t="str">
        <f>IF(AND(_3="A-320",'2026'!$D$4="CA",'2026'!$D$2=BC5),'2026DATA'!$L$29,"")</f>
        <v/>
      </c>
      <c r="BD32" s="518" t="str">
        <f>IF(AND(_3="A-320",'2026'!$D$4="CA",'2026'!$D$2=BD5),'2026DATA'!$M$29,"")</f>
        <v/>
      </c>
      <c r="BE32" s="520" t="str">
        <f>IF(AND(_3="A-320",'2026'!$D$4="CA",'2026'!$D$2=BE5),'2026DATA'!$N$29,"")</f>
        <v/>
      </c>
      <c r="BF32" s="940" t="s">
        <v>70</v>
      </c>
      <c r="BG32" s="13" t="s">
        <v>61</v>
      </c>
      <c r="BH32" s="518" t="str">
        <f>IF(AND(_4="A-320",'2026'!$D$4="CA",'2026'!$D$2=BH5),'2026DATA'!$C$29,"")</f>
        <v/>
      </c>
      <c r="BI32" s="518" t="str">
        <f>IF(AND(_4="A-320",'2026'!$D$4="CA",'2026'!$D$2=BI5),'2026DATA'!$D$29,"")</f>
        <v/>
      </c>
      <c r="BJ32" s="518" t="str">
        <f>IF(AND(_4="A-320",'2026'!$D$4="CA",'2026'!$D$2=BJ5),'2026DATA'!$E$29,"")</f>
        <v/>
      </c>
      <c r="BK32" s="518" t="str">
        <f>IF(AND(_4="A-320",'2026'!$D$4="CA",'2026'!$D$2=BK5),'2026DATA'!$F$29,"")</f>
        <v/>
      </c>
      <c r="BL32" s="518" t="str">
        <f>IF(AND(_4="A-320",'2026'!$D$4="CA",'2026'!$D$2=BL5),'2026DATA'!$G$29,"")</f>
        <v/>
      </c>
      <c r="BM32" s="518" t="str">
        <f>IF(AND(_4="A-320",'2026'!$D$4="CA",'2026'!$D$2=BM5),'2026DATA'!$H$29,"")</f>
        <v/>
      </c>
      <c r="BN32" s="518" t="str">
        <f>IF(AND(_4="A-320",'2026'!$D$4="CA",'2026'!$D$2=BN5),'2026DATA'!$I$29,"")</f>
        <v/>
      </c>
      <c r="BO32" s="518" t="str">
        <f>IF(AND(_4="A-320",'2026'!$D$4="CA",'2026'!$D$2=BO5),'2026DATA'!$J$29,"")</f>
        <v/>
      </c>
      <c r="BP32" s="518" t="str">
        <f>IF(AND(_4="A-320",'2026'!$D$4="CA",'2026'!$D$2=BP5),'2026DATA'!$K$29,"")</f>
        <v/>
      </c>
      <c r="BQ32" s="518" t="str">
        <f>IF(AND(_4="A-320",'2026'!$D$4="CA",'2026'!$D$2=BQ5),'2026DATA'!$L$29,"")</f>
        <v/>
      </c>
      <c r="BR32" s="518" t="str">
        <f>IF(AND(_4="A-320",'2026'!$D$4="CA",'2026'!$D$2=BR5),'2026DATA'!$M$29,"")</f>
        <v/>
      </c>
      <c r="BS32" s="520" t="str">
        <f>IF(AND(_4="A-320",'2026'!$D$4="CA",'2026'!$D$2=BS5),'2026DATA'!$N$29,"")</f>
        <v/>
      </c>
      <c r="BT32" s="940" t="s">
        <v>70</v>
      </c>
      <c r="BU32" s="13" t="s">
        <v>61</v>
      </c>
      <c r="BV32" s="518" t="str">
        <f>IF(AND(_5="A-320",'2026'!$D$4="CA",'2026'!$D$2=BV5),'2026DATA'!$C$29,"")</f>
        <v/>
      </c>
      <c r="BW32" s="518" t="str">
        <f>IF(AND(_5="A-320",'2026'!$D$4="CA",'2026'!$D$2=BW5),'2026DATA'!$D$29,"")</f>
        <v/>
      </c>
      <c r="BX32" s="518" t="str">
        <f>IF(AND(_5="A-320",'2026'!$D$4="CA",'2026'!$D$2=BX5),'2026DATA'!$E$29,"")</f>
        <v/>
      </c>
      <c r="BY32" s="518" t="str">
        <f>IF(AND(_5="A-320",'2026'!$D$4="CA",'2026'!$D$2=BY5),'2026DATA'!$F$29,"")</f>
        <v/>
      </c>
      <c r="BZ32" s="518" t="str">
        <f>IF(AND(_5="A-320",'2026'!$D$4="CA",'2026'!$D$2=BZ5),'2026DATA'!$G$29,"")</f>
        <v/>
      </c>
      <c r="CA32" s="518" t="str">
        <f>IF(AND(_5="A-320",'2026'!$D$4="CA",'2026'!$D$2=CA5),'2026DATA'!$H$29,"")</f>
        <v/>
      </c>
      <c r="CB32" s="518" t="str">
        <f>IF(AND(_5="A-320",'2026'!$D$4="CA",'2026'!$D$2=CB5),'2026DATA'!$I$29,"")</f>
        <v/>
      </c>
      <c r="CC32" s="518" t="str">
        <f>IF(AND(_5="A-320",'2026'!$D$4="CA",'2026'!$D$2=CC5),'2026DATA'!$J$29,"")</f>
        <v/>
      </c>
      <c r="CD32" s="518" t="str">
        <f>IF(AND(_5="A-320",'2026'!$D$4="CA",'2026'!$D$2=CD5),'2026DATA'!$K$29,"")</f>
        <v/>
      </c>
      <c r="CE32" s="518" t="str">
        <f>IF(AND(_5="A-320",'2026'!$D$4="CA",'2026'!$D$2=CE5),'2026DATA'!$L$29,"")</f>
        <v/>
      </c>
      <c r="CF32" s="518" t="str">
        <f>IF(AND(_5="A-320",'2026'!$D$4="CA",'2026'!$D$2=CF5),'2026DATA'!$M$29,"")</f>
        <v/>
      </c>
      <c r="CG32" s="520" t="str">
        <f>IF(AND(_5="A-320",'2026'!$D$4="CA",'2026'!$D$2=CG5),'2026DATA'!$N$29,"")</f>
        <v/>
      </c>
      <c r="CH32" s="940" t="s">
        <v>70</v>
      </c>
      <c r="CI32" s="13" t="s">
        <v>61</v>
      </c>
      <c r="CJ32" s="518" t="str">
        <f>IF(AND(_6="A-320",'2026'!$D$4="CA",'2026'!$D$2=CJ5),'2026DATA'!$C$29,"")</f>
        <v/>
      </c>
      <c r="CK32" s="518" t="str">
        <f>IF(AND(_6="A-320",'2026'!$D$4="CA",'2026'!$D$2=CK5),'2026DATA'!$D$29,"")</f>
        <v/>
      </c>
      <c r="CL32" s="518" t="str">
        <f>IF(AND(_6="A-320",'2026'!$D$4="CA",'2026'!$D$2=CL5),'2026DATA'!$E$29,"")</f>
        <v/>
      </c>
      <c r="CM32" s="518" t="str">
        <f>IF(AND(_6="A-320",'2026'!$D$4="CA",'2026'!$D$2=CM5),'2026DATA'!$F$29,"")</f>
        <v/>
      </c>
      <c r="CN32" s="518" t="str">
        <f>IF(AND(_6="A-320",'2026'!$D$4="CA",'2026'!$D$2=CN5),'2026DATA'!$G$29,"")</f>
        <v/>
      </c>
      <c r="CO32" s="518" t="str">
        <f>IF(AND(_6="A-320",'2026'!$D$4="CA",'2026'!$D$2=CO5),'2026DATA'!$H$29,"")</f>
        <v/>
      </c>
      <c r="CP32" s="518" t="str">
        <f>IF(AND(_6="A-320",'2026'!$D$4="CA",'2026'!$D$2=CP5),'2026DATA'!$I$29,"")</f>
        <v/>
      </c>
      <c r="CQ32" s="518" t="str">
        <f>IF(AND(_6="A-320",'2026'!$D$4="CA",'2026'!$D$2=CQ5),'2026DATA'!$J$29,"")</f>
        <v/>
      </c>
      <c r="CR32" s="518" t="str">
        <f>IF(AND(_6="A-320",'2026'!$D$4="CA",'2026'!$D$2=CR5),'2026DATA'!$K$29,"")</f>
        <v/>
      </c>
      <c r="CS32" s="518" t="str">
        <f>IF(AND(_6="A-320",'2026'!$D$4="CA",'2026'!$D$2=CS5),'2026DATA'!$L$29,"")</f>
        <v/>
      </c>
      <c r="CT32" s="518" t="str">
        <f>IF(AND(_6="A-320",'2026'!$D$4="CA",'2026'!$D$2=CT5),'2026DATA'!$M$29,"")</f>
        <v/>
      </c>
      <c r="CU32" s="520" t="str">
        <f>IF(AND(_6="A-320",'2026'!$D$4="CA",'2026'!$D$2=CU5),'2026DATA'!$N$29,"")</f>
        <v/>
      </c>
    </row>
    <row r="33" spans="1:99" x14ac:dyDescent="0.25">
      <c r="A33" s="987" t="s">
        <v>51</v>
      </c>
      <c r="B33" s="64" t="s">
        <v>61</v>
      </c>
      <c r="C33" s="84">
        <v>374.66</v>
      </c>
      <c r="D33" s="31">
        <v>371.82</v>
      </c>
      <c r="E33" s="31">
        <v>368.96</v>
      </c>
      <c r="F33" s="31">
        <v>366.11</v>
      </c>
      <c r="G33" s="31">
        <v>363.31</v>
      </c>
      <c r="H33" s="31">
        <v>360.5</v>
      </c>
      <c r="I33" s="31">
        <v>357.69</v>
      </c>
      <c r="J33" s="31">
        <v>354.82</v>
      </c>
      <c r="K33" s="31">
        <v>351.97</v>
      </c>
      <c r="L33" s="31">
        <v>349.15</v>
      </c>
      <c r="M33" s="31">
        <v>346.36</v>
      </c>
      <c r="N33" s="32">
        <v>343.51</v>
      </c>
      <c r="P33" s="940"/>
      <c r="Q33" s="13" t="s">
        <v>62</v>
      </c>
      <c r="R33" s="518" t="str">
        <f>IF(AND(_1="A-320",'2026'!$D$4="FO",'2026'!$D$2=R5),'2026DATA'!$C$30,"")</f>
        <v/>
      </c>
      <c r="S33" s="518" t="str">
        <f>IF(AND(_1="A-320",'2026'!$D$4="FO",'2026'!$D$2=S5),'2026DATA'!$D$30,"")</f>
        <v/>
      </c>
      <c r="T33" s="518" t="str">
        <f>IF(AND(_1="A-320",'2026'!$D$4="FO",'2026'!$D$2=T5),'2026DATA'!$E$30,"")</f>
        <v/>
      </c>
      <c r="U33" s="518" t="str">
        <f>IF(AND(_1="A-320",'2026'!$D$4="FO",'2026'!$D$2=U5),'2026DATA'!$F$30,"")</f>
        <v/>
      </c>
      <c r="V33" s="518" t="str">
        <f>IF(AND(_1="A-320",'2026'!$D$4="FO",'2026'!$D$2=V5),'2026DATA'!$G$30,"")</f>
        <v/>
      </c>
      <c r="W33" s="518" t="str">
        <f>IF(AND(_1="A-320",'2026'!$D$4="FO",'2026'!$D$2=W5),'2026DATA'!$H$30,"")</f>
        <v/>
      </c>
      <c r="X33" s="518" t="str">
        <f>IF(AND(_1="A-320",'2026'!$D$4="FO",'2026'!$D$2=X5),'2026DATA'!$I$30,"")</f>
        <v/>
      </c>
      <c r="Y33" s="518" t="str">
        <f>IF(AND(_1="A-320",'2026'!$D$4="FO",'2026'!$D$2=Y5),'2026DATA'!$J$30,"")</f>
        <v/>
      </c>
      <c r="Z33" s="518" t="str">
        <f>IF(AND(_1="A-320",'2026'!$D$4="FO",'2026'!$D$2=Z5),'2026DATA'!$K$30,"")</f>
        <v/>
      </c>
      <c r="AA33" s="518" t="str">
        <f>IF(AND(_1="A-320",'2026'!$D$4="FO",'2026'!$D$2=AA5),'2026DATA'!$L$30,"")</f>
        <v/>
      </c>
      <c r="AB33" s="518" t="str">
        <f>IF(AND(_1="A-320",'2026'!$D$4="FO",'2026'!$D$2=AB5),'2026DATA'!$M$30,"")</f>
        <v/>
      </c>
      <c r="AC33" s="520" t="str">
        <f>IF(AND(_1="A-320",'2026'!$D$4="FO",'2026'!$D$2=AC5),'2026DATA'!$N$30,"")</f>
        <v/>
      </c>
      <c r="AD33" s="940"/>
      <c r="AE33" s="13" t="s">
        <v>62</v>
      </c>
      <c r="AF33" s="518" t="str">
        <f>IF(AND(_2="A-320",'2026'!$D$4="FO",'2026'!$D$2=AF5),'2026DATA'!$C$30,"")</f>
        <v/>
      </c>
      <c r="AG33" s="518" t="str">
        <f>IF(AND(_2="A-320",'2026'!$D$4="FO",'2026'!$D$2=AG5),'2026DATA'!$D$30,"")</f>
        <v/>
      </c>
      <c r="AH33" s="518" t="str">
        <f>IF(AND(_2="A-320",'2026'!$D$4="FO",'2026'!$D$2=AH5),'2026DATA'!$E$30,"")</f>
        <v/>
      </c>
      <c r="AI33" s="518" t="str">
        <f>IF(AND(_2="A-320",'2026'!$D$4="FO",'2026'!$D$2=AI5),'2026DATA'!$F$30,"")</f>
        <v/>
      </c>
      <c r="AJ33" s="518" t="str">
        <f>IF(AND(_2="A-320",'2026'!$D$4="FO",'2026'!$D$2=AJ5),'2026DATA'!$G$30,"")</f>
        <v/>
      </c>
      <c r="AK33" s="518" t="str">
        <f>IF(AND(_2="A-320",'2026'!$D$4="FO",'2026'!$D$2=AK5),'2026DATA'!$H$30,"")</f>
        <v/>
      </c>
      <c r="AL33" s="518" t="str">
        <f>IF(AND(_2="A-320",'2026'!$D$4="FO",'2026'!$D$2=AL5),'2026DATA'!$I$30,"")</f>
        <v/>
      </c>
      <c r="AM33" s="518" t="str">
        <f>IF(AND(_2="A-320",'2026'!$D$4="FO",'2026'!$D$2=AM5),'2026DATA'!$J$30,"")</f>
        <v/>
      </c>
      <c r="AN33" s="518" t="str">
        <f>IF(AND(_2="A-320",'2026'!$D$4="FO",'2026'!$D$2=AN5),'2026DATA'!$K$30,"")</f>
        <v/>
      </c>
      <c r="AO33" s="518" t="str">
        <f>IF(AND(_2="A-320",'2026'!$D$4="FO",'2026'!$D$2=AO5),'2026DATA'!$L$30,"")</f>
        <v/>
      </c>
      <c r="AP33" s="518" t="str">
        <f>IF(AND(_2="A-320",'2026'!$D$4="FO",'2026'!$D$2=AP5),'2026DATA'!$M$30,"")</f>
        <v/>
      </c>
      <c r="AQ33" s="520" t="str">
        <f>IF(AND(_2="A-320",'2026'!$D$4="FO",'2026'!$D$2=AQ5),'2026DATA'!$N$30,"")</f>
        <v/>
      </c>
      <c r="AR33" s="940"/>
      <c r="AS33" s="13" t="s">
        <v>62</v>
      </c>
      <c r="AT33" s="518" t="str">
        <f>IF(AND(_3="A-320",'2026'!$D$4="FO",'2026'!$D$2=AT5),'2026DATA'!$C$30,"")</f>
        <v/>
      </c>
      <c r="AU33" s="518" t="str">
        <f>IF(AND(_3="A-320",'2026'!$D$4="FO",'2026'!$D$2=AU5),'2026DATA'!$D$30,"")</f>
        <v/>
      </c>
      <c r="AV33" s="518" t="str">
        <f>IF(AND(_3="A-320",'2026'!$D$4="FO",'2026'!$D$2=AV5),'2026DATA'!$E$30,"")</f>
        <v/>
      </c>
      <c r="AW33" s="518" t="str">
        <f>IF(AND(_3="A-320",'2026'!$D$4="FO",'2026'!$D$2=AW5),'2026DATA'!$F$30,"")</f>
        <v/>
      </c>
      <c r="AX33" s="518" t="str">
        <f>IF(AND(_3="A-320",'2026'!$D$4="FO",'2026'!$D$2=AX5),'2026DATA'!$G$30,"")</f>
        <v/>
      </c>
      <c r="AY33" s="518" t="str">
        <f>IF(AND(_3="A-320",'2026'!$D$4="FO",'2026'!$D$2=AY5),'2026DATA'!$H$30,"")</f>
        <v/>
      </c>
      <c r="AZ33" s="518" t="str">
        <f>IF(AND(_3="A-320",'2026'!$D$4="FO",'2026'!$D$2=AZ5),'2026DATA'!$I$30,"")</f>
        <v/>
      </c>
      <c r="BA33" s="518" t="str">
        <f>IF(AND(_3="A-320",'2026'!$D$4="FO",'2026'!$D$2=BA5),'2026DATA'!$J$30,"")</f>
        <v/>
      </c>
      <c r="BB33" s="518" t="str">
        <f>IF(AND(_3="A-320",'2026'!$D$4="FO",'2026'!$D$2=BB5),'2026DATA'!$K$30,"")</f>
        <v/>
      </c>
      <c r="BC33" s="518" t="str">
        <f>IF(AND(_3="A-320",'2026'!$D$4="FO",'2026'!$D$2=BC5),'2026DATA'!$L$30,"")</f>
        <v/>
      </c>
      <c r="BD33" s="518" t="str">
        <f>IF(AND(_3="A-320",'2026'!$D$4="FO",'2026'!$D$2=BD5),'2026DATA'!$M$30,"")</f>
        <v/>
      </c>
      <c r="BE33" s="520" t="str">
        <f>IF(AND(_3="A-320",'2026'!$D$4="FO",'2026'!$D$2=BE5),'2026DATA'!$N$30,"")</f>
        <v/>
      </c>
      <c r="BF33" s="940"/>
      <c r="BG33" s="13" t="s">
        <v>62</v>
      </c>
      <c r="BH33" s="518" t="str">
        <f>IF(AND(_4="A-320",'2026'!$D$4="FO",'2026'!$D$2=BH5),'2026DATA'!$C$30,"")</f>
        <v/>
      </c>
      <c r="BI33" s="518" t="str">
        <f>IF(AND(_4="A-320",'2026'!$D$4="FO",'2026'!$D$2=BI5),'2026DATA'!$D$30,"")</f>
        <v/>
      </c>
      <c r="BJ33" s="518" t="str">
        <f>IF(AND(_4="A-320",'2026'!$D$4="FO",'2026'!$D$2=BJ5),'2026DATA'!$E$30,"")</f>
        <v/>
      </c>
      <c r="BK33" s="518" t="str">
        <f>IF(AND(_4="A-320",'2026'!$D$4="FO",'2026'!$D$2=BK5),'2026DATA'!$F$30,"")</f>
        <v/>
      </c>
      <c r="BL33" s="518" t="str">
        <f>IF(AND(_4="A-320",'2026'!$D$4="FO",'2026'!$D$2=BL5),'2026DATA'!$G$30,"")</f>
        <v/>
      </c>
      <c r="BM33" s="518" t="str">
        <f>IF(AND(_4="A-320",'2026'!$D$4="FO",'2026'!$D$2=BM5),'2026DATA'!$H$30,"")</f>
        <v/>
      </c>
      <c r="BN33" s="518" t="str">
        <f>IF(AND(_4="A-320",'2026'!$D$4="FO",'2026'!$D$2=BN5),'2026DATA'!$I$30,"")</f>
        <v/>
      </c>
      <c r="BO33" s="518" t="str">
        <f>IF(AND(_4="A-320",'2026'!$D$4="FO",'2026'!$D$2=BO5),'2026DATA'!$J$30,"")</f>
        <v/>
      </c>
      <c r="BP33" s="518" t="str">
        <f>IF(AND(_4="A-320",'2026'!$D$4="FO",'2026'!$D$2=BP5),'2026DATA'!$K$30,"")</f>
        <v/>
      </c>
      <c r="BQ33" s="518" t="str">
        <f>IF(AND(_4="A-320",'2026'!$D$4="FO",'2026'!$D$2=BQ5),'2026DATA'!$L$30,"")</f>
        <v/>
      </c>
      <c r="BR33" s="518" t="str">
        <f>IF(AND(_4="A-320",'2026'!$D$4="FO",'2026'!$D$2=BR5),'2026DATA'!$M$30,"")</f>
        <v/>
      </c>
      <c r="BS33" s="520" t="str">
        <f>IF(AND(_4="A-320",'2026'!$D$4="FO",'2026'!$D$2=BS5),'2026DATA'!$N$30,"")</f>
        <v/>
      </c>
      <c r="BT33" s="940"/>
      <c r="BU33" s="13" t="s">
        <v>62</v>
      </c>
      <c r="BV33" s="518" t="str">
        <f>IF(AND(_5="A-320",'2026'!$D$4="FO",'2026'!$D$2=BV5),'2026DATA'!$C$30,"")</f>
        <v/>
      </c>
      <c r="BW33" s="518" t="str">
        <f>IF(AND(_5="A-320",'2026'!$D$4="FO",'2026'!$D$2=BW5),'2026DATA'!$D$30,"")</f>
        <v/>
      </c>
      <c r="BX33" s="518" t="str">
        <f>IF(AND(_5="A-320",'2026'!$D$4="FO",'2026'!$D$2=BX5),'2026DATA'!$E$30,"")</f>
        <v/>
      </c>
      <c r="BY33" s="518" t="str">
        <f>IF(AND(_5="A-320",'2026'!$D$4="FO",'2026'!$D$2=BY5),'2026DATA'!$F$30,"")</f>
        <v/>
      </c>
      <c r="BZ33" s="518" t="str">
        <f>IF(AND(_5="A-320",'2026'!$D$4="FO",'2026'!$D$2=BZ5),'2026DATA'!$G$30,"")</f>
        <v/>
      </c>
      <c r="CA33" s="518" t="str">
        <f>IF(AND(_5="A-320",'2026'!$D$4="FO",'2026'!$D$2=CA5),'2026DATA'!$H$30,"")</f>
        <v/>
      </c>
      <c r="CB33" s="518" t="str">
        <f>IF(AND(_5="A-320",'2026'!$D$4="FO",'2026'!$D$2=CB5),'2026DATA'!$I$30,"")</f>
        <v/>
      </c>
      <c r="CC33" s="518" t="str">
        <f>IF(AND(_5="A-320",'2026'!$D$4="FO",'2026'!$D$2=CC5),'2026DATA'!$J$30,"")</f>
        <v/>
      </c>
      <c r="CD33" s="518" t="str">
        <f>IF(AND(_5="A-320",'2026'!$D$4="FO",'2026'!$D$2=CD5),'2026DATA'!$K$30,"")</f>
        <v/>
      </c>
      <c r="CE33" s="518" t="str">
        <f>IF(AND(_5="A-320",'2026'!$D$4="FO",'2026'!$D$2=CE5),'2026DATA'!$L$30,"")</f>
        <v/>
      </c>
      <c r="CF33" s="518" t="str">
        <f>IF(AND(_5="A-320",'2026'!$D$4="FO",'2026'!$D$2=CF5),'2026DATA'!$M$30,"")</f>
        <v/>
      </c>
      <c r="CG33" s="520" t="str">
        <f>IF(AND(_5="A-320",'2026'!$D$4="FO",'2026'!$D$2=CG5),'2026DATA'!$N$30,"")</f>
        <v/>
      </c>
      <c r="CH33" s="940"/>
      <c r="CI33" s="13" t="s">
        <v>62</v>
      </c>
      <c r="CJ33" s="518" t="str">
        <f>IF(AND(_6="A-320",'2026'!$D$4="FO",'2026'!$D$2=CJ5),'2026DATA'!$C$30,"")</f>
        <v/>
      </c>
      <c r="CK33" s="518" t="str">
        <f>IF(AND(_6="A-320",'2026'!$D$4="FO",'2026'!$D$2=CK5),'2026DATA'!$D$30,"")</f>
        <v/>
      </c>
      <c r="CL33" s="518" t="str">
        <f>IF(AND(_6="A-320",'2026'!$D$4="FO",'2026'!$D$2=CL5),'2026DATA'!$E$30,"")</f>
        <v/>
      </c>
      <c r="CM33" s="518" t="str">
        <f>IF(AND(_6="A-320",'2026'!$D$4="FO",'2026'!$D$2=CM5),'2026DATA'!$F$30,"")</f>
        <v/>
      </c>
      <c r="CN33" s="518" t="str">
        <f>IF(AND(_6="A-320",'2026'!$D$4="FO",'2026'!$D$2=CN5),'2026DATA'!$G$30,"")</f>
        <v/>
      </c>
      <c r="CO33" s="518" t="str">
        <f>IF(AND(_6="A-320",'2026'!$D$4="FO",'2026'!$D$2=CO5),'2026DATA'!$H$30,"")</f>
        <v/>
      </c>
      <c r="CP33" s="518" t="str">
        <f>IF(AND(_6="A-320",'2026'!$D$4="FO",'2026'!$D$2=CP5),'2026DATA'!$I$30,"")</f>
        <v/>
      </c>
      <c r="CQ33" s="518" t="str">
        <f>IF(AND(_6="A-320",'2026'!$D$4="FO",'2026'!$D$2=CQ5),'2026DATA'!$J$30,"")</f>
        <v/>
      </c>
      <c r="CR33" s="518" t="str">
        <f>IF(AND(_6="A-320",'2026'!$D$4="FO",'2026'!$D$2=CR5),'2026DATA'!$K$30,"")</f>
        <v/>
      </c>
      <c r="CS33" s="518" t="str">
        <f>IF(AND(_6="A-320",'2026'!$D$4="FO",'2026'!$D$2=CS5),'2026DATA'!$L$30,"")</f>
        <v/>
      </c>
      <c r="CT33" s="518" t="str">
        <f>IF(AND(_6="A-320",'2026'!$D$4="FO",'2026'!$D$2=CT5),'2026DATA'!$M$30,"")</f>
        <v/>
      </c>
      <c r="CU33" s="520" t="str">
        <f>IF(AND(_6="A-320",'2026'!$D$4="FO",'2026'!$D$2=CU5),'2026DATA'!$N$30,"")</f>
        <v/>
      </c>
    </row>
    <row r="34" spans="1:99" x14ac:dyDescent="0.25">
      <c r="A34" s="987"/>
      <c r="B34" s="64" t="s">
        <v>62</v>
      </c>
      <c r="C34" s="84">
        <v>255.9</v>
      </c>
      <c r="D34" s="31">
        <v>253.58</v>
      </c>
      <c r="E34" s="31">
        <v>251.29</v>
      </c>
      <c r="F34" s="31">
        <v>247.9</v>
      </c>
      <c r="G34" s="31">
        <v>245.24</v>
      </c>
      <c r="H34" s="31">
        <v>239.72</v>
      </c>
      <c r="I34" s="31">
        <v>233.18</v>
      </c>
      <c r="J34" s="31">
        <v>227.46</v>
      </c>
      <c r="K34" s="31">
        <v>222.09</v>
      </c>
      <c r="L34" s="31">
        <v>216.85</v>
      </c>
      <c r="M34" s="31">
        <v>185.31</v>
      </c>
      <c r="N34" s="32">
        <v>125.52</v>
      </c>
      <c r="P34" s="940" t="s">
        <v>71</v>
      </c>
      <c r="Q34" s="13" t="s">
        <v>61</v>
      </c>
      <c r="R34" s="518" t="str">
        <f>IF(AND(_1="A-319",'2026'!$D$4="CA",'2026'!$D$2=R5),'2026DATA'!$C$31,"")</f>
        <v/>
      </c>
      <c r="S34" s="518" t="str">
        <f>IF(AND(_1="A-319",'2026'!$D$4="CA",'2026'!$D$2=S5),'2026DATA'!$D$31,"")</f>
        <v/>
      </c>
      <c r="T34" s="518" t="str">
        <f>IF(AND(_1="A-319",'2026'!$D$4="CA",'2026'!$D$2=T5),'2026DATA'!$E$31,"")</f>
        <v/>
      </c>
      <c r="U34" s="518" t="str">
        <f>IF(AND(_1="A-319",'2026'!$D$4="CA",'2026'!$D$2=U5),'2026DATA'!$F$31,"")</f>
        <v/>
      </c>
      <c r="V34" s="518" t="str">
        <f>IF(AND(_1="A-319",'2026'!$D$4="CA",'2026'!$D$2=V5),'2026DATA'!$G$31,"")</f>
        <v/>
      </c>
      <c r="W34" s="518" t="str">
        <f>IF(AND(_1="A-319",'2026'!$D$4="CA",'2026'!$D$2=W5),'2026DATA'!$H$31,"")</f>
        <v/>
      </c>
      <c r="X34" s="518" t="str">
        <f>IF(AND(_1="A-319",'2026'!$D$4="CA",'2026'!$D$2=X5),'2026DATA'!$I$31,"")</f>
        <v/>
      </c>
      <c r="Y34" s="518" t="str">
        <f>IF(AND(_1="A-319",'2026'!$D$4="CA",'2026'!$D$2=Y5),'2026DATA'!$J$31,"")</f>
        <v/>
      </c>
      <c r="Z34" s="518" t="str">
        <f>IF(AND(_1="A-319",'2026'!$D$4="CA",'2026'!$D$2=Z5),'2026DATA'!$K$31,"")</f>
        <v/>
      </c>
      <c r="AA34" s="518" t="str">
        <f>IF(AND(_1="A-319",'2026'!$D$4="CA",'2026'!$D$2=AA5),'2026DATA'!$L$31,"")</f>
        <v/>
      </c>
      <c r="AB34" s="518" t="str">
        <f>IF(AND(_1="A-319",'2026'!$D$4="CA",'2026'!$D$2=AB5),'2026DATA'!$M$31,"")</f>
        <v/>
      </c>
      <c r="AC34" s="520" t="str">
        <f>IF(AND(_1="A-319",'2026'!$D$4="CA",'2026'!$D$2=AC5),'2026DATA'!$N$31,"")</f>
        <v/>
      </c>
      <c r="AD34" s="940" t="s">
        <v>71</v>
      </c>
      <c r="AE34" s="13" t="s">
        <v>61</v>
      </c>
      <c r="AF34" s="518" t="str">
        <f>IF(AND(_2="A-319",'2026'!$D$4="CA",'2026'!$D$2=AF5),'2026DATA'!$C$31,"")</f>
        <v/>
      </c>
      <c r="AG34" s="518" t="str">
        <f>IF(AND(_2="A-319",'2026'!$D$4="CA",'2026'!$D$2=AG5),'2026DATA'!$D$31,"")</f>
        <v/>
      </c>
      <c r="AH34" s="518" t="str">
        <f>IF(AND(_2="A-319",'2026'!$D$4="CA",'2026'!$D$2=AH5),'2026DATA'!$E$31,"")</f>
        <v/>
      </c>
      <c r="AI34" s="518" t="str">
        <f>IF(AND(_2="A-319",'2026'!$D$4="CA",'2026'!$D$2=AI5),'2026DATA'!$F$31,"")</f>
        <v/>
      </c>
      <c r="AJ34" s="518" t="str">
        <f>IF(AND(_2="A-319",'2026'!$D$4="CA",'2026'!$D$2=AJ5),'2026DATA'!$G$31,"")</f>
        <v/>
      </c>
      <c r="AK34" s="518" t="str">
        <f>IF(AND(_2="A-319",'2026'!$D$4="CA",'2026'!$D$2=AK5),'2026DATA'!$H$31,"")</f>
        <v/>
      </c>
      <c r="AL34" s="518" t="str">
        <f>IF(AND(_2="A-319",'2026'!$D$4="CA",'2026'!$D$2=AL5),'2026DATA'!$I$31,"")</f>
        <v/>
      </c>
      <c r="AM34" s="518" t="str">
        <f>IF(AND(_2="A-319",'2026'!$D$4="CA",'2026'!$D$2=AM5),'2026DATA'!$J$31,"")</f>
        <v/>
      </c>
      <c r="AN34" s="518" t="str">
        <f>IF(AND(_2="A-319",'2026'!$D$4="CA",'2026'!$D$2=AN5),'2026DATA'!$K$31,"")</f>
        <v/>
      </c>
      <c r="AO34" s="518" t="str">
        <f>IF(AND(_2="A-319",'2026'!$D$4="CA",'2026'!$D$2=AO5),'2026DATA'!$L$31,"")</f>
        <v/>
      </c>
      <c r="AP34" s="518" t="str">
        <f>IF(AND(_2="A-319",'2026'!$D$4="CA",'2026'!$D$2=AP5),'2026DATA'!$M$31,"")</f>
        <v/>
      </c>
      <c r="AQ34" s="520" t="str">
        <f>IF(AND(_2="A-319",'2026'!$D$4="CA",'2026'!$D$2=AQ5),'2026DATA'!$N$31,"")</f>
        <v/>
      </c>
      <c r="AR34" s="940" t="s">
        <v>71</v>
      </c>
      <c r="AS34" s="13" t="s">
        <v>61</v>
      </c>
      <c r="AT34" s="518" t="str">
        <f>IF(AND(_3="A-319",'2026'!$D$4="CA",'2026'!$D$2=AT5),'2026DATA'!$C$31,"")</f>
        <v/>
      </c>
      <c r="AU34" s="518" t="str">
        <f>IF(AND(_3="A-319",'2026'!$D$4="CA",'2026'!$D$2=AU5),'2026DATA'!$D$31,"")</f>
        <v/>
      </c>
      <c r="AV34" s="518" t="str">
        <f>IF(AND(_3="A-319",'2026'!$D$4="CA",'2026'!$D$2=AV5),'2026DATA'!$E$31,"")</f>
        <v/>
      </c>
      <c r="AW34" s="518" t="str">
        <f>IF(AND(_3="A-319",'2026'!$D$4="CA",'2026'!$D$2=AW5),'2026DATA'!$F$31,"")</f>
        <v/>
      </c>
      <c r="AX34" s="518" t="str">
        <f>IF(AND(_3="A-319",'2026'!$D$4="CA",'2026'!$D$2=AX5),'2026DATA'!$G$31,"")</f>
        <v/>
      </c>
      <c r="AY34" s="518" t="str">
        <f>IF(AND(_3="A-319",'2026'!$D$4="CA",'2026'!$D$2=AY5),'2026DATA'!$H$31,"")</f>
        <v/>
      </c>
      <c r="AZ34" s="518" t="str">
        <f>IF(AND(_3="A-319",'2026'!$D$4="CA",'2026'!$D$2=AZ5),'2026DATA'!$I$31,"")</f>
        <v/>
      </c>
      <c r="BA34" s="518" t="str">
        <f>IF(AND(_3="A-319",'2026'!$D$4="CA",'2026'!$D$2=BA5),'2026DATA'!$J$31,"")</f>
        <v/>
      </c>
      <c r="BB34" s="518" t="str">
        <f>IF(AND(_3="A-319",'2026'!$D$4="CA",'2026'!$D$2=BB5),'2026DATA'!$K$31,"")</f>
        <v/>
      </c>
      <c r="BC34" s="518" t="str">
        <f>IF(AND(_3="A-319",'2026'!$D$4="CA",'2026'!$D$2=BC5),'2026DATA'!$L$31,"")</f>
        <v/>
      </c>
      <c r="BD34" s="518" t="str">
        <f>IF(AND(_3="A-319",'2026'!$D$4="CA",'2026'!$D$2=BD5),'2026DATA'!$M$31,"")</f>
        <v/>
      </c>
      <c r="BE34" s="520" t="str">
        <f>IF(AND(_3="A-319",'2026'!$D$4="CA",'2026'!$D$2=BE5),'2026DATA'!$N$31,"")</f>
        <v/>
      </c>
      <c r="BF34" s="940" t="s">
        <v>71</v>
      </c>
      <c r="BG34" s="13" t="s">
        <v>61</v>
      </c>
      <c r="BH34" s="518" t="str">
        <f>IF(AND(_4="A-319",'2026'!$D$4="CA",'2026'!$D$2=BH5),'2026DATA'!$C$31,"")</f>
        <v/>
      </c>
      <c r="BI34" s="518" t="str">
        <f>IF(AND(_4="A-319",'2026'!$D$4="CA",'2026'!$D$2=BI5),'2026DATA'!$D$31,"")</f>
        <v/>
      </c>
      <c r="BJ34" s="518" t="str">
        <f>IF(AND(_4="A-319",'2026'!$D$4="CA",'2026'!$D$2=BJ5),'2026DATA'!$E$31,"")</f>
        <v/>
      </c>
      <c r="BK34" s="518" t="str">
        <f>IF(AND(_4="A-319",'2026'!$D$4="CA",'2026'!$D$2=BK5),'2026DATA'!$F$31,"")</f>
        <v/>
      </c>
      <c r="BL34" s="518" t="str">
        <f>IF(AND(_4="A-319",'2026'!$D$4="CA",'2026'!$D$2=BL5),'2026DATA'!$G$31,"")</f>
        <v/>
      </c>
      <c r="BM34" s="518" t="str">
        <f>IF(AND(_4="A-319",'2026'!$D$4="CA",'2026'!$D$2=BM5),'2026DATA'!$H$31,"")</f>
        <v/>
      </c>
      <c r="BN34" s="518" t="str">
        <f>IF(AND(_4="A-319",'2026'!$D$4="CA",'2026'!$D$2=BN5),'2026DATA'!$I$31,"")</f>
        <v/>
      </c>
      <c r="BO34" s="518" t="str">
        <f>IF(AND(_4="A-319",'2026'!$D$4="CA",'2026'!$D$2=BO5),'2026DATA'!$J$31,"")</f>
        <v/>
      </c>
      <c r="BP34" s="518" t="str">
        <f>IF(AND(_4="A-319",'2026'!$D$4="CA",'2026'!$D$2=BP5),'2026DATA'!$K$31,"")</f>
        <v/>
      </c>
      <c r="BQ34" s="518" t="str">
        <f>IF(AND(_4="A-319",'2026'!$D$4="CA",'2026'!$D$2=BQ5),'2026DATA'!$L$31,"")</f>
        <v/>
      </c>
      <c r="BR34" s="518" t="str">
        <f>IF(AND(_4="A-319",'2026'!$D$4="CA",'2026'!$D$2=BR5),'2026DATA'!$M$31,"")</f>
        <v/>
      </c>
      <c r="BS34" s="520" t="str">
        <f>IF(AND(_4="A-319",'2026'!$D$4="CA",'2026'!$D$2=BS5),'2026DATA'!$N$31,"")</f>
        <v/>
      </c>
      <c r="BT34" s="940" t="s">
        <v>71</v>
      </c>
      <c r="BU34" s="13" t="s">
        <v>61</v>
      </c>
      <c r="BV34" s="518" t="str">
        <f>IF(AND(_5="A-319",'2026'!$D$4="CA",'2026'!$D$2=BV5),'2026DATA'!$C$31,"")</f>
        <v/>
      </c>
      <c r="BW34" s="518" t="str">
        <f>IF(AND(_5="A-319",'2026'!$D$4="CA",'2026'!$D$2=BW5),'2026DATA'!$D$31,"")</f>
        <v/>
      </c>
      <c r="BX34" s="518" t="str">
        <f>IF(AND(_5="A-319",'2026'!$D$4="CA",'2026'!$D$2=BX5),'2026DATA'!$E$31,"")</f>
        <v/>
      </c>
      <c r="BY34" s="518" t="str">
        <f>IF(AND(_5="A-319",'2026'!$D$4="CA",'2026'!$D$2=BY5),'2026DATA'!$F$31,"")</f>
        <v/>
      </c>
      <c r="BZ34" s="518" t="str">
        <f>IF(AND(_5="A-319",'2026'!$D$4="CA",'2026'!$D$2=BZ5),'2026DATA'!$G$31,"")</f>
        <v/>
      </c>
      <c r="CA34" s="518" t="str">
        <f>IF(AND(_5="A-319",'2026'!$D$4="CA",'2026'!$D$2=CA5),'2026DATA'!$H$31,"")</f>
        <v/>
      </c>
      <c r="CB34" s="518" t="str">
        <f>IF(AND(_5="A-319",'2026'!$D$4="CA",'2026'!$D$2=CB5),'2026DATA'!$I$31,"")</f>
        <v/>
      </c>
      <c r="CC34" s="518" t="str">
        <f>IF(AND(_5="A-319",'2026'!$D$4="CA",'2026'!$D$2=CC5),'2026DATA'!$J$31,"")</f>
        <v/>
      </c>
      <c r="CD34" s="518" t="str">
        <f>IF(AND(_5="A-319",'2026'!$D$4="CA",'2026'!$D$2=CD5),'2026DATA'!$K$31,"")</f>
        <v/>
      </c>
      <c r="CE34" s="518" t="str">
        <f>IF(AND(_5="A-319",'2026'!$D$4="CA",'2026'!$D$2=CE5),'2026DATA'!$L$31,"")</f>
        <v/>
      </c>
      <c r="CF34" s="518" t="str">
        <f>IF(AND(_5="A-319",'2026'!$D$4="CA",'2026'!$D$2=CF5),'2026DATA'!$M$31,"")</f>
        <v/>
      </c>
      <c r="CG34" s="520" t="str">
        <f>IF(AND(_5="A-319",'2026'!$D$4="CA",'2026'!$D$2=CG5),'2026DATA'!$N$31,"")</f>
        <v/>
      </c>
      <c r="CH34" s="940" t="s">
        <v>71</v>
      </c>
      <c r="CI34" s="13" t="s">
        <v>61</v>
      </c>
      <c r="CJ34" s="518" t="str">
        <f>IF(AND(_6="A-319",'2026'!$D$4="CA",'2026'!$D$2=CJ5),'2026DATA'!$C$31,"")</f>
        <v/>
      </c>
      <c r="CK34" s="518" t="str">
        <f>IF(AND(_6="A-319",'2026'!$D$4="CA",'2026'!$D$2=CK5),'2026DATA'!$D$31,"")</f>
        <v/>
      </c>
      <c r="CL34" s="518" t="str">
        <f>IF(AND(_6="A-319",'2026'!$D$4="CA",'2026'!$D$2=CL5),'2026DATA'!$E$31,"")</f>
        <v/>
      </c>
      <c r="CM34" s="518" t="str">
        <f>IF(AND(_6="A-319",'2026'!$D$4="CA",'2026'!$D$2=CM5),'2026DATA'!$F$31,"")</f>
        <v/>
      </c>
      <c r="CN34" s="518" t="str">
        <f>IF(AND(_6="A-319",'2026'!$D$4="CA",'2026'!$D$2=CN5),'2026DATA'!$G$31,"")</f>
        <v/>
      </c>
      <c r="CO34" s="518" t="str">
        <f>IF(AND(_6="A-319",'2026'!$D$4="CA",'2026'!$D$2=CO5),'2026DATA'!$H$31,"")</f>
        <v/>
      </c>
      <c r="CP34" s="518" t="str">
        <f>IF(AND(_6="A-319",'2026'!$D$4="CA",'2026'!$D$2=CP5),'2026DATA'!$I$31,"")</f>
        <v/>
      </c>
      <c r="CQ34" s="518" t="str">
        <f>IF(AND(_6="A-319",'2026'!$D$4="CA",'2026'!$D$2=CQ5),'2026DATA'!$J$31,"")</f>
        <v/>
      </c>
      <c r="CR34" s="518" t="str">
        <f>IF(AND(_6="A-319",'2026'!$D$4="CA",'2026'!$D$2=CR5),'2026DATA'!$K$31,"")</f>
        <v/>
      </c>
      <c r="CS34" s="518" t="str">
        <f>IF(AND(_6="A-319",'2026'!$D$4="CA",'2026'!$D$2=CS5),'2026DATA'!$L$31,"")</f>
        <v/>
      </c>
      <c r="CT34" s="518" t="str">
        <f>IF(AND(_6="A-319",'2026'!$D$4="CA",'2026'!$D$2=CT5),'2026DATA'!$M$31,"")</f>
        <v/>
      </c>
      <c r="CU34" s="520" t="str">
        <f>IF(AND(_6="A-319",'2026'!$D$4="CA",'2026'!$D$2=CU5),'2026DATA'!$N$31,"")</f>
        <v/>
      </c>
    </row>
    <row r="35" spans="1:99" x14ac:dyDescent="0.25">
      <c r="A35" s="987" t="s">
        <v>52</v>
      </c>
      <c r="B35" s="64" t="s">
        <v>61</v>
      </c>
      <c r="C35" s="84">
        <v>359.33</v>
      </c>
      <c r="D35" s="31">
        <v>356.59</v>
      </c>
      <c r="E35" s="31">
        <v>353.85</v>
      </c>
      <c r="F35" s="31">
        <v>351.12</v>
      </c>
      <c r="G35" s="31">
        <v>348.44</v>
      </c>
      <c r="H35" s="31">
        <v>345.72</v>
      </c>
      <c r="I35" s="31">
        <v>343.05</v>
      </c>
      <c r="J35" s="31">
        <v>340.3</v>
      </c>
      <c r="K35" s="31">
        <v>337.58</v>
      </c>
      <c r="L35" s="31">
        <v>334.84</v>
      </c>
      <c r="M35" s="31">
        <v>332.18</v>
      </c>
      <c r="N35" s="32">
        <v>329.45</v>
      </c>
      <c r="P35" s="940"/>
      <c r="Q35" s="13" t="s">
        <v>62</v>
      </c>
      <c r="R35" s="518" t="str">
        <f>IF(AND(_1="A-319",'2026'!$D$4="FO",'2026'!$D$2=R5),'2026DATA'!$C$32,"")</f>
        <v/>
      </c>
      <c r="S35" s="518" t="str">
        <f>IF(AND(_1="A-319",'2026'!$D$4="FO",'2026'!$D$2=S5),'2026DATA'!$D$32,"")</f>
        <v/>
      </c>
      <c r="T35" s="518" t="str">
        <f>IF(AND(_1="A-319",'2026'!$D$4="FO",'2026'!$D$2=T5),'2026DATA'!$E$32,"")</f>
        <v/>
      </c>
      <c r="U35" s="518" t="str">
        <f>IF(AND(_1="A-319",'2026'!$D$4="FO",'2026'!$D$2=U5),'2026DATA'!$F$32,"")</f>
        <v/>
      </c>
      <c r="V35" s="518" t="str">
        <f>IF(AND(_1="A-319",'2026'!$D$4="FO",'2026'!$D$2=V5),'2026DATA'!$G$32,"")</f>
        <v/>
      </c>
      <c r="W35" s="518" t="str">
        <f>IF(AND(_1="A-319",'2026'!$D$4="FO",'2026'!$D$2=W5),'2026DATA'!$H$32,"")</f>
        <v/>
      </c>
      <c r="X35" s="518" t="str">
        <f>IF(AND(_1="A-319",'2026'!$D$4="FO",'2026'!$D$2=X5),'2026DATA'!$I$32,"")</f>
        <v/>
      </c>
      <c r="Y35" s="518" t="str">
        <f>IF(AND(_1="A-319",'2026'!$D$4="FO",'2026'!$D$2=Y5),'2026DATA'!$J$32,"")</f>
        <v/>
      </c>
      <c r="Z35" s="518" t="str">
        <f>IF(AND(_1="A-319",'2026'!$D$4="FO",'2026'!$D$2=Z5),'2026DATA'!$K$32,"")</f>
        <v/>
      </c>
      <c r="AA35" s="518" t="str">
        <f>IF(AND(_1="A-319",'2026'!$D$4="FO",'2026'!$D$2=AA5),'2026DATA'!$L$32,"")</f>
        <v/>
      </c>
      <c r="AB35" s="518" t="str">
        <f>IF(AND(_1="A-319",'2026'!$D$4="FO",'2026'!$D$2=AB5),'2026DATA'!$M$32,"")</f>
        <v/>
      </c>
      <c r="AC35" s="520" t="str">
        <f>IF(AND(_1="A-319",'2026'!$D$4="FO",'2026'!$D$2=AC5),'2026DATA'!$N$32,"")</f>
        <v/>
      </c>
      <c r="AD35" s="940"/>
      <c r="AE35" s="13" t="s">
        <v>62</v>
      </c>
      <c r="AF35" s="518" t="str">
        <f>IF(AND(_2="A-319",'2026'!$D$4="FO",'2026'!$D$2=AF5),'2026DATA'!$C$32,"")</f>
        <v/>
      </c>
      <c r="AG35" s="518" t="str">
        <f>IF(AND(_2="A-319",'2026'!$D$4="FO",'2026'!$D$2=AG5),'2026DATA'!$D$32,"")</f>
        <v/>
      </c>
      <c r="AH35" s="518" t="str">
        <f>IF(AND(_2="A-319",'2026'!$D$4="FO",'2026'!$D$2=AH5),'2026DATA'!$E$32,"")</f>
        <v/>
      </c>
      <c r="AI35" s="518" t="str">
        <f>IF(AND(_2="A-319",'2026'!$D$4="FO",'2026'!$D$2=AI5),'2026DATA'!$F$32,"")</f>
        <v/>
      </c>
      <c r="AJ35" s="518" t="str">
        <f>IF(AND(_2="A-319",'2026'!$D$4="FO",'2026'!$D$2=AJ5),'2026DATA'!$G$32,"")</f>
        <v/>
      </c>
      <c r="AK35" s="518" t="str">
        <f>IF(AND(_2="A-319",'2026'!$D$4="FO",'2026'!$D$2=AK5),'2026DATA'!$H$32,"")</f>
        <v/>
      </c>
      <c r="AL35" s="518" t="str">
        <f>IF(AND(_2="A-319",'2026'!$D$4="FO",'2026'!$D$2=AL5),'2026DATA'!$I$32,"")</f>
        <v/>
      </c>
      <c r="AM35" s="518" t="str">
        <f>IF(AND(_2="A-319",'2026'!$D$4="FO",'2026'!$D$2=AM5),'2026DATA'!$J$32,"")</f>
        <v/>
      </c>
      <c r="AN35" s="518" t="str">
        <f>IF(AND(_2="A-319",'2026'!$D$4="FO",'2026'!$D$2=AN5),'2026DATA'!$K$32,"")</f>
        <v/>
      </c>
      <c r="AO35" s="518" t="str">
        <f>IF(AND(_2="A-319",'2026'!$D$4="FO",'2026'!$D$2=AO5),'2026DATA'!$L$32,"")</f>
        <v/>
      </c>
      <c r="AP35" s="518" t="str">
        <f>IF(AND(_2="A-319",'2026'!$D$4="FO",'2026'!$D$2=AP5),'2026DATA'!$M$32,"")</f>
        <v/>
      </c>
      <c r="AQ35" s="520" t="str">
        <f>IF(AND(_2="A-319",'2026'!$D$4="FO",'2026'!$D$2=AQ5),'2026DATA'!$N$32,"")</f>
        <v/>
      </c>
      <c r="AR35" s="940"/>
      <c r="AS35" s="13" t="s">
        <v>62</v>
      </c>
      <c r="AT35" s="518" t="str">
        <f>IF(AND(_3="A-319",'2026'!$D$4="FO",'2026'!$D$2=AT5),'2026DATA'!$C$32,"")</f>
        <v/>
      </c>
      <c r="AU35" s="518" t="str">
        <f>IF(AND(_3="A-319",'2026'!$D$4="FO",'2026'!$D$2=AU5),'2026DATA'!$D$32,"")</f>
        <v/>
      </c>
      <c r="AV35" s="518" t="str">
        <f>IF(AND(_3="A-319",'2026'!$D$4="FO",'2026'!$D$2=AV5),'2026DATA'!$E$32,"")</f>
        <v/>
      </c>
      <c r="AW35" s="518" t="str">
        <f>IF(AND(_3="A-319",'2026'!$D$4="FO",'2026'!$D$2=AW5),'2026DATA'!$F$32,"")</f>
        <v/>
      </c>
      <c r="AX35" s="518" t="str">
        <f>IF(AND(_3="A-319",'2026'!$D$4="FO",'2026'!$D$2=AX5),'2026DATA'!$G$32,"")</f>
        <v/>
      </c>
      <c r="AY35" s="518" t="str">
        <f>IF(AND(_3="A-319",'2026'!$D$4="FO",'2026'!$D$2=AY5),'2026DATA'!$H$32,"")</f>
        <v/>
      </c>
      <c r="AZ35" s="518" t="str">
        <f>IF(AND(_3="A-319",'2026'!$D$4="FO",'2026'!$D$2=AZ5),'2026DATA'!$I$32,"")</f>
        <v/>
      </c>
      <c r="BA35" s="518" t="str">
        <f>IF(AND(_3="A-319",'2026'!$D$4="FO",'2026'!$D$2=BA5),'2026DATA'!$J$32,"")</f>
        <v/>
      </c>
      <c r="BB35" s="518" t="str">
        <f>IF(AND(_3="A-319",'2026'!$D$4="FO",'2026'!$D$2=BB5),'2026DATA'!$K$32,"")</f>
        <v/>
      </c>
      <c r="BC35" s="518" t="str">
        <f>IF(AND(_3="A-319",'2026'!$D$4="FO",'2026'!$D$2=BC5),'2026DATA'!$L$32,"")</f>
        <v/>
      </c>
      <c r="BD35" s="518" t="str">
        <f>IF(AND(_3="A-319",'2026'!$D$4="FO",'2026'!$D$2=BD5),'2026DATA'!$M$32,"")</f>
        <v/>
      </c>
      <c r="BE35" s="520" t="str">
        <f>IF(AND(_3="A-319",'2026'!$D$4="FO",'2026'!$D$2=BE5),'2026DATA'!$N$32,"")</f>
        <v/>
      </c>
      <c r="BF35" s="940"/>
      <c r="BG35" s="13" t="s">
        <v>62</v>
      </c>
      <c r="BH35" s="518" t="str">
        <f>IF(AND(_4="A-319",'2026'!$D$4="FO",'2026'!$D$2=BH5),'2026DATA'!$C$32,"")</f>
        <v/>
      </c>
      <c r="BI35" s="518" t="str">
        <f>IF(AND(_4="A-319",'2026'!$D$4="FO",'2026'!$D$2=BI5),'2026DATA'!$D$32,"")</f>
        <v/>
      </c>
      <c r="BJ35" s="518" t="str">
        <f>IF(AND(_4="A-319",'2026'!$D$4="FO",'2026'!$D$2=BJ5),'2026DATA'!$E$32,"")</f>
        <v/>
      </c>
      <c r="BK35" s="518" t="str">
        <f>IF(AND(_4="A-319",'2026'!$D$4="FO",'2026'!$D$2=BK5),'2026DATA'!$F$32,"")</f>
        <v/>
      </c>
      <c r="BL35" s="518" t="str">
        <f>IF(AND(_4="A-319",'2026'!$D$4="FO",'2026'!$D$2=BL5),'2026DATA'!$G$32,"")</f>
        <v/>
      </c>
      <c r="BM35" s="518" t="str">
        <f>IF(AND(_4="A-319",'2026'!$D$4="FO",'2026'!$D$2=BM5),'2026DATA'!$H$32,"")</f>
        <v/>
      </c>
      <c r="BN35" s="518" t="str">
        <f>IF(AND(_4="A-319",'2026'!$D$4="FO",'2026'!$D$2=BN5),'2026DATA'!$I$32,"")</f>
        <v/>
      </c>
      <c r="BO35" s="518" t="str">
        <f>IF(AND(_4="A-319",'2026'!$D$4="FO",'2026'!$D$2=BO5),'2026DATA'!$J$32,"")</f>
        <v/>
      </c>
      <c r="BP35" s="518" t="str">
        <f>IF(AND(_4="A-319",'2026'!$D$4="FO",'2026'!$D$2=BP5),'2026DATA'!$K$32,"")</f>
        <v/>
      </c>
      <c r="BQ35" s="518" t="str">
        <f>IF(AND(_4="A-319",'2026'!$D$4="FO",'2026'!$D$2=BQ5),'2026DATA'!$L$32,"")</f>
        <v/>
      </c>
      <c r="BR35" s="518" t="str">
        <f>IF(AND(_4="A-319",'2026'!$D$4="FO",'2026'!$D$2=BR5),'2026DATA'!$M$32,"")</f>
        <v/>
      </c>
      <c r="BS35" s="520" t="str">
        <f>IF(AND(_4="A-319",'2026'!$D$4="FO",'2026'!$D$2=BS5),'2026DATA'!$N$32,"")</f>
        <v/>
      </c>
      <c r="BT35" s="940"/>
      <c r="BU35" s="13" t="s">
        <v>62</v>
      </c>
      <c r="BV35" s="518" t="str">
        <f>IF(AND(_5="A-319",'2026'!$D$4="FO",'2026'!$D$2=BV5),'2026DATA'!$C$32,"")</f>
        <v/>
      </c>
      <c r="BW35" s="518" t="str">
        <f>IF(AND(_5="A-319",'2026'!$D$4="FO",'2026'!$D$2=BW5),'2026DATA'!$D$32,"")</f>
        <v/>
      </c>
      <c r="BX35" s="518" t="str">
        <f>IF(AND(_5="A-319",'2026'!$D$4="FO",'2026'!$D$2=BX5),'2026DATA'!$E$32,"")</f>
        <v/>
      </c>
      <c r="BY35" s="518" t="str">
        <f>IF(AND(_5="A-319",'2026'!$D$4="FO",'2026'!$D$2=BY5),'2026DATA'!$F$32,"")</f>
        <v/>
      </c>
      <c r="BZ35" s="518" t="str">
        <f>IF(AND(_5="A-319",'2026'!$D$4="FO",'2026'!$D$2=BZ5),'2026DATA'!$G$32,"")</f>
        <v/>
      </c>
      <c r="CA35" s="518" t="str">
        <f>IF(AND(_5="A-319",'2026'!$D$4="FO",'2026'!$D$2=CA5),'2026DATA'!$H$32,"")</f>
        <v/>
      </c>
      <c r="CB35" s="518" t="str">
        <f>IF(AND(_5="A-319",'2026'!$D$4="FO",'2026'!$D$2=CB5),'2026DATA'!$I$32,"")</f>
        <v/>
      </c>
      <c r="CC35" s="518" t="str">
        <f>IF(AND(_5="A-319",'2026'!$D$4="FO",'2026'!$D$2=CC5),'2026DATA'!$J$32,"")</f>
        <v/>
      </c>
      <c r="CD35" s="518" t="str">
        <f>IF(AND(_5="A-319",'2026'!$D$4="FO",'2026'!$D$2=CD5),'2026DATA'!$K$32,"")</f>
        <v/>
      </c>
      <c r="CE35" s="518" t="str">
        <f>IF(AND(_5="A-319",'2026'!$D$4="FO",'2026'!$D$2=CE5),'2026DATA'!$L$32,"")</f>
        <v/>
      </c>
      <c r="CF35" s="518" t="str">
        <f>IF(AND(_5="A-319",'2026'!$D$4="FO",'2026'!$D$2=CF5),'2026DATA'!$M$32,"")</f>
        <v/>
      </c>
      <c r="CG35" s="520" t="str">
        <f>IF(AND(_5="A-319",'2026'!$D$4="FO",'2026'!$D$2=CG5),'2026DATA'!$N$32,"")</f>
        <v/>
      </c>
      <c r="CH35" s="940"/>
      <c r="CI35" s="13" t="s">
        <v>62</v>
      </c>
      <c r="CJ35" s="518" t="str">
        <f>IF(AND(_6="A-319",'2026'!$D$4="FO",'2026'!$D$2=CJ5),'2026DATA'!$C$32,"")</f>
        <v/>
      </c>
      <c r="CK35" s="518" t="str">
        <f>IF(AND(_6="A-319",'2026'!$D$4="FO",'2026'!$D$2=CK5),'2026DATA'!$D$32,"")</f>
        <v/>
      </c>
      <c r="CL35" s="518" t="str">
        <f>IF(AND(_6="A-319",'2026'!$D$4="FO",'2026'!$D$2=CL5),'2026DATA'!$E$32,"")</f>
        <v/>
      </c>
      <c r="CM35" s="518" t="str">
        <f>IF(AND(_6="A-319",'2026'!$D$4="FO",'2026'!$D$2=CM5),'2026DATA'!$F$32,"")</f>
        <v/>
      </c>
      <c r="CN35" s="518" t="str">
        <f>IF(AND(_6="A-319",'2026'!$D$4="FO",'2026'!$D$2=CN5),'2026DATA'!$G$32,"")</f>
        <v/>
      </c>
      <c r="CO35" s="518" t="str">
        <f>IF(AND(_6="A-319",'2026'!$D$4="FO",'2026'!$D$2=CO5),'2026DATA'!$H$32,"")</f>
        <v/>
      </c>
      <c r="CP35" s="518" t="str">
        <f>IF(AND(_6="A-319",'2026'!$D$4="FO",'2026'!$D$2=CP5),'2026DATA'!$I$32,"")</f>
        <v/>
      </c>
      <c r="CQ35" s="518" t="str">
        <f>IF(AND(_6="A-319",'2026'!$D$4="FO",'2026'!$D$2=CQ5),'2026DATA'!$J$32,"")</f>
        <v/>
      </c>
      <c r="CR35" s="518" t="str">
        <f>IF(AND(_6="A-319",'2026'!$D$4="FO",'2026'!$D$2=CR5),'2026DATA'!$K$32,"")</f>
        <v/>
      </c>
      <c r="CS35" s="518" t="str">
        <f>IF(AND(_6="A-319",'2026'!$D$4="FO",'2026'!$D$2=CS5),'2026DATA'!$L$32,"")</f>
        <v/>
      </c>
      <c r="CT35" s="518" t="str">
        <f>IF(AND(_6="A-319",'2026'!$D$4="FO",'2026'!$D$2=CT5),'2026DATA'!$M$32,"")</f>
        <v/>
      </c>
      <c r="CU35" s="520" t="str">
        <f>IF(AND(_6="A-319",'2026'!$D$4="FO",'2026'!$D$2=CU5),'2026DATA'!$N$32,"")</f>
        <v/>
      </c>
    </row>
    <row r="36" spans="1:99" x14ac:dyDescent="0.25">
      <c r="A36" s="987"/>
      <c r="B36" s="64" t="s">
        <v>62</v>
      </c>
      <c r="C36" s="84">
        <v>245.41</v>
      </c>
      <c r="D36" s="31">
        <v>243.21</v>
      </c>
      <c r="E36" s="31">
        <v>240.99</v>
      </c>
      <c r="F36" s="31">
        <v>237.73</v>
      </c>
      <c r="G36" s="31">
        <v>235.2</v>
      </c>
      <c r="H36" s="31">
        <v>229.89</v>
      </c>
      <c r="I36" s="31">
        <v>223.64</v>
      </c>
      <c r="J36" s="31">
        <v>218.11</v>
      </c>
      <c r="K36" s="31">
        <v>212.98</v>
      </c>
      <c r="L36" s="31">
        <v>207.96</v>
      </c>
      <c r="M36" s="31">
        <v>177.71</v>
      </c>
      <c r="N36" s="32">
        <v>125.52</v>
      </c>
      <c r="P36" s="940" t="s">
        <v>51</v>
      </c>
      <c r="Q36" s="13" t="s">
        <v>61</v>
      </c>
      <c r="R36" s="518" t="str">
        <f>IF(AND(_1="A-220-300",'2026'!$D$4="CA",'2026'!$D$2=R5),'2026DATA'!$C$33,"")</f>
        <v/>
      </c>
      <c r="S36" s="518" t="str">
        <f>IF(AND(_1="A-220-300",'2026'!$D$4="CA",'2026'!$D$2=S5),'2026DATA'!$D$33,"")</f>
        <v/>
      </c>
      <c r="T36" s="518" t="str">
        <f>IF(AND(_1="A-220-300",'2026'!$D$4="CA",'2026'!$D$2=T5),'2026DATA'!$E$33,"")</f>
        <v/>
      </c>
      <c r="U36" s="518" t="str">
        <f>IF(AND(_1="A-220-300",'2026'!$D$4="CA",'2026'!$D$2=U5),'2026DATA'!$F$33,"")</f>
        <v/>
      </c>
      <c r="V36" s="518" t="str">
        <f>IF(AND(_1="A-220-300",'2026'!$D$4="CA",'2026'!$D$2=V5),'2026DATA'!$G$33,"")</f>
        <v/>
      </c>
      <c r="W36" s="518" t="str">
        <f>IF(AND(_1="A-220-300",'2026'!$D$4="CA",'2026'!$D$2=W5),'2026DATA'!$H$33,"")</f>
        <v/>
      </c>
      <c r="X36" s="518" t="str">
        <f>IF(AND(_1="A-220-300",'2026'!$D$4="CA",'2026'!$D$2=X5),'2026DATA'!$I$33,"")</f>
        <v/>
      </c>
      <c r="Y36" s="518" t="str">
        <f>IF(AND(_1="A-220-300",'2026'!$D$4="CA",'2026'!$D$2=Y5),'2026DATA'!$J$33,"")</f>
        <v/>
      </c>
      <c r="Z36" s="518" t="str">
        <f>IF(AND(_1="A-220-300",'2026'!$D$4="CA",'2026'!$D$2=Z5),'2026DATA'!$K$33,"")</f>
        <v/>
      </c>
      <c r="AA36" s="518" t="str">
        <f>IF(AND(_1="A-220-300",'2026'!$D$4="CA",'2026'!$D$2=AA5),'2026DATA'!$L$33,"")</f>
        <v/>
      </c>
      <c r="AB36" s="518" t="str">
        <f>IF(AND(_1="A-220-300",'2026'!$D$4="CA",'2026'!$D$2=AB5),'2026DATA'!$M$33,"")</f>
        <v/>
      </c>
      <c r="AC36" s="520" t="str">
        <f>IF(AND(_1="A-220-300",'2026'!$D$4="CA",'2026'!$D$2=AC5),'2026DATA'!$N$33,"")</f>
        <v/>
      </c>
      <c r="AD36" s="940" t="s">
        <v>51</v>
      </c>
      <c r="AE36" s="13" t="s">
        <v>61</v>
      </c>
      <c r="AF36" s="518" t="str">
        <f>IF(AND(_2="A-220-300",'2026'!$D$4="CA",'2026'!$D$2=AF5),'2026DATA'!$C$33,"")</f>
        <v/>
      </c>
      <c r="AG36" s="518" t="str">
        <f>IF(AND(_2="A-220-300",'2026'!$D$4="CA",'2026'!$D$2=AG5),'2026DATA'!$D$33,"")</f>
        <v/>
      </c>
      <c r="AH36" s="518" t="str">
        <f>IF(AND(_2="A-220-300",'2026'!$D$4="CA",'2026'!$D$2=AH5),'2026DATA'!$E$33,"")</f>
        <v/>
      </c>
      <c r="AI36" s="518" t="str">
        <f>IF(AND(_2="A-220-300",'2026'!$D$4="CA",'2026'!$D$2=AI5),'2026DATA'!$F$33,"")</f>
        <v/>
      </c>
      <c r="AJ36" s="518" t="str">
        <f>IF(AND(_2="A-220-300",'2026'!$D$4="CA",'2026'!$D$2=AJ5),'2026DATA'!$G$33,"")</f>
        <v/>
      </c>
      <c r="AK36" s="518" t="str">
        <f>IF(AND(_2="A-220-300",'2026'!$D$4="CA",'2026'!$D$2=AK5),'2026DATA'!$H$33,"")</f>
        <v/>
      </c>
      <c r="AL36" s="518" t="str">
        <f>IF(AND(_2="A-220-300",'2026'!$D$4="CA",'2026'!$D$2=AL5),'2026DATA'!$I$33,"")</f>
        <v/>
      </c>
      <c r="AM36" s="518" t="str">
        <f>IF(AND(_2="A-220-300",'2026'!$D$4="CA",'2026'!$D$2=AM5),'2026DATA'!$J$33,"")</f>
        <v/>
      </c>
      <c r="AN36" s="518" t="str">
        <f>IF(AND(_2="A-220-300",'2026'!$D$4="CA",'2026'!$D$2=AN5),'2026DATA'!$K$33,"")</f>
        <v/>
      </c>
      <c r="AO36" s="518" t="str">
        <f>IF(AND(_2="A-220-300",'2026'!$D$4="CA",'2026'!$D$2=AO5),'2026DATA'!$L$33,"")</f>
        <v/>
      </c>
      <c r="AP36" s="518" t="str">
        <f>IF(AND(_2="A-220-300",'2026'!$D$4="CA",'2026'!$D$2=AP5),'2026DATA'!$M$33,"")</f>
        <v/>
      </c>
      <c r="AQ36" s="520" t="str">
        <f>IF(AND(_2="A-220-300",'2026'!$D$4="CA",'2026'!$D$2=AQ5),'2026DATA'!$N$33,"")</f>
        <v/>
      </c>
      <c r="AR36" s="940" t="s">
        <v>51</v>
      </c>
      <c r="AS36" s="13" t="s">
        <v>61</v>
      </c>
      <c r="AT36" s="518" t="str">
        <f>IF(AND(_3="A-220-300",'2026'!$D$4="CA",'2026'!$D$2=AT5),'2026DATA'!$C$33,"")</f>
        <v/>
      </c>
      <c r="AU36" s="518" t="str">
        <f>IF(AND(_3="A-220-300",'2026'!$D$4="CA",'2026'!$D$2=AU5),'2026DATA'!$D$33,"")</f>
        <v/>
      </c>
      <c r="AV36" s="518" t="str">
        <f>IF(AND(_3="A-220-300",'2026'!$D$4="CA",'2026'!$D$2=AV5),'2026DATA'!$E$33,"")</f>
        <v/>
      </c>
      <c r="AW36" s="518" t="str">
        <f>IF(AND(_3="A-220-300",'2026'!$D$4="CA",'2026'!$D$2=AW5),'2026DATA'!$F$33,"")</f>
        <v/>
      </c>
      <c r="AX36" s="518" t="str">
        <f>IF(AND(_3="A-220-300",'2026'!$D$4="CA",'2026'!$D$2=AX5),'2026DATA'!$G$33,"")</f>
        <v/>
      </c>
      <c r="AY36" s="518" t="str">
        <f>IF(AND(_3="A-220-300",'2026'!$D$4="CA",'2026'!$D$2=AY5),'2026DATA'!$H$33,"")</f>
        <v/>
      </c>
      <c r="AZ36" s="518" t="str">
        <f>IF(AND(_3="A-220-300",'2026'!$D$4="CA",'2026'!$D$2=AZ5),'2026DATA'!$I$33,"")</f>
        <v/>
      </c>
      <c r="BA36" s="518" t="str">
        <f>IF(AND(_3="A-220-300",'2026'!$D$4="CA",'2026'!$D$2=BA5),'2026DATA'!$J$33,"")</f>
        <v/>
      </c>
      <c r="BB36" s="518" t="str">
        <f>IF(AND(_3="A-220-300",'2026'!$D$4="CA",'2026'!$D$2=BB5),'2026DATA'!$K$33,"")</f>
        <v/>
      </c>
      <c r="BC36" s="518" t="str">
        <f>IF(AND(_3="A-220-300",'2026'!$D$4="CA",'2026'!$D$2=BC5),'2026DATA'!$L$33,"")</f>
        <v/>
      </c>
      <c r="BD36" s="518" t="str">
        <f>IF(AND(_3="A-220-300",'2026'!$D$4="CA",'2026'!$D$2=BD5),'2026DATA'!$M$33,"")</f>
        <v/>
      </c>
      <c r="BE36" s="520" t="str">
        <f>IF(AND(_3="A-220-300",'2026'!$D$4="CA",'2026'!$D$2=BE5),'2026DATA'!$N$33,"")</f>
        <v/>
      </c>
      <c r="BF36" s="940" t="s">
        <v>51</v>
      </c>
      <c r="BG36" s="13" t="s">
        <v>61</v>
      </c>
      <c r="BH36" s="518" t="str">
        <f>IF(AND(_4="A-220-300",'2026'!$D$4="CA",'2026'!$D$2=BH5),'2026DATA'!$C$33,"")</f>
        <v/>
      </c>
      <c r="BI36" s="518" t="str">
        <f>IF(AND(_4="A-220-300",'2026'!$D$4="CA",'2026'!$D$2=BI5),'2026DATA'!$D$33,"")</f>
        <v/>
      </c>
      <c r="BJ36" s="518" t="str">
        <f>IF(AND(_4="A-220-300",'2026'!$D$4="CA",'2026'!$D$2=BJ5),'2026DATA'!$E$33,"")</f>
        <v/>
      </c>
      <c r="BK36" s="518" t="str">
        <f>IF(AND(_4="A-220-300",'2026'!$D$4="CA",'2026'!$D$2=BK5),'2026DATA'!$F$33,"")</f>
        <v/>
      </c>
      <c r="BL36" s="518" t="str">
        <f>IF(AND(_4="A-220-300",'2026'!$D$4="CA",'2026'!$D$2=BL5),'2026DATA'!$G$33,"")</f>
        <v/>
      </c>
      <c r="BM36" s="518" t="str">
        <f>IF(AND(_4="A-220-300",'2026'!$D$4="CA",'2026'!$D$2=BM5),'2026DATA'!$H$33,"")</f>
        <v/>
      </c>
      <c r="BN36" s="518" t="str">
        <f>IF(AND(_4="A-220-300",'2026'!$D$4="CA",'2026'!$D$2=BN5),'2026DATA'!$I$33,"")</f>
        <v/>
      </c>
      <c r="BO36" s="518" t="str">
        <f>IF(AND(_4="A-220-300",'2026'!$D$4="CA",'2026'!$D$2=BO5),'2026DATA'!$J$33,"")</f>
        <v/>
      </c>
      <c r="BP36" s="518" t="str">
        <f>IF(AND(_4="A-220-300",'2026'!$D$4="CA",'2026'!$D$2=BP5),'2026DATA'!$K$33,"")</f>
        <v/>
      </c>
      <c r="BQ36" s="518" t="str">
        <f>IF(AND(_4="A-220-300",'2026'!$D$4="CA",'2026'!$D$2=BQ5),'2026DATA'!$L$33,"")</f>
        <v/>
      </c>
      <c r="BR36" s="518" t="str">
        <f>IF(AND(_4="A-220-300",'2026'!$D$4="CA",'2026'!$D$2=BR5),'2026DATA'!$M$33,"")</f>
        <v/>
      </c>
      <c r="BS36" s="520" t="str">
        <f>IF(AND(_4="A-220-300",'2026'!$D$4="CA",'2026'!$D$2=BS5),'2026DATA'!$N$33,"")</f>
        <v/>
      </c>
      <c r="BT36" s="940" t="s">
        <v>51</v>
      </c>
      <c r="BU36" s="13" t="s">
        <v>61</v>
      </c>
      <c r="BV36" s="518" t="str">
        <f>IF(AND(_5="A-220-300",'2026'!$D$4="CA",'2026'!$D$2=BV5),'2026DATA'!$C$33,"")</f>
        <v/>
      </c>
      <c r="BW36" s="518" t="str">
        <f>IF(AND(_5="A-220-300",'2026'!$D$4="CA",'2026'!$D$2=BW5),'2026DATA'!$D$33,"")</f>
        <v/>
      </c>
      <c r="BX36" s="518" t="str">
        <f>IF(AND(_5="A-220-300",'2026'!$D$4="CA",'2026'!$D$2=BX5),'2026DATA'!$E$33,"")</f>
        <v/>
      </c>
      <c r="BY36" s="518" t="str">
        <f>IF(AND(_5="A-220-300",'2026'!$D$4="CA",'2026'!$D$2=BY5),'2026DATA'!$F$33,"")</f>
        <v/>
      </c>
      <c r="BZ36" s="518" t="str">
        <f>IF(AND(_5="A-220-300",'2026'!$D$4="CA",'2026'!$D$2=BZ5),'2026DATA'!$G$33,"")</f>
        <v/>
      </c>
      <c r="CA36" s="518" t="str">
        <f>IF(AND(_5="A-220-300",'2026'!$D$4="CA",'2026'!$D$2=CA5),'2026DATA'!$H$33,"")</f>
        <v/>
      </c>
      <c r="CB36" s="518" t="str">
        <f>IF(AND(_5="A-220-300",'2026'!$D$4="CA",'2026'!$D$2=CB5),'2026DATA'!$I$33,"")</f>
        <v/>
      </c>
      <c r="CC36" s="518" t="str">
        <f>IF(AND(_5="A-220-300",'2026'!$D$4="CA",'2026'!$D$2=CC5),'2026DATA'!$J$33,"")</f>
        <v/>
      </c>
      <c r="CD36" s="518" t="str">
        <f>IF(AND(_5="A-220-300",'2026'!$D$4="CA",'2026'!$D$2=CD5),'2026DATA'!$K$33,"")</f>
        <v/>
      </c>
      <c r="CE36" s="518" t="str">
        <f>IF(AND(_5="A-220-300",'2026'!$D$4="CA",'2026'!$D$2=CE5),'2026DATA'!$L$33,"")</f>
        <v/>
      </c>
      <c r="CF36" s="518" t="str">
        <f>IF(AND(_5="A-220-300",'2026'!$D$4="CA",'2026'!$D$2=CF5),'2026DATA'!$M$33,"")</f>
        <v/>
      </c>
      <c r="CG36" s="520" t="str">
        <f>IF(AND(_5="A-220-300",'2026'!$D$4="CA",'2026'!$D$2=CG5),'2026DATA'!$N$33,"")</f>
        <v/>
      </c>
      <c r="CH36" s="940" t="s">
        <v>51</v>
      </c>
      <c r="CI36" s="13" t="s">
        <v>61</v>
      </c>
      <c r="CJ36" s="518" t="str">
        <f>IF(AND(_6="A-220-300",'2026'!$D$4="CA",'2026'!$D$2=CJ5),'2026DATA'!$C$33,"")</f>
        <v/>
      </c>
      <c r="CK36" s="518" t="str">
        <f>IF(AND(_6="A-220-300",'2026'!$D$4="CA",'2026'!$D$2=CK5),'2026DATA'!$D$33,"")</f>
        <v/>
      </c>
      <c r="CL36" s="518" t="str">
        <f>IF(AND(_6="A-220-300",'2026'!$D$4="CA",'2026'!$D$2=CL5),'2026DATA'!$E$33,"")</f>
        <v/>
      </c>
      <c r="CM36" s="518" t="str">
        <f>IF(AND(_6="A-220-300",'2026'!$D$4="CA",'2026'!$D$2=CM5),'2026DATA'!$F$33,"")</f>
        <v/>
      </c>
      <c r="CN36" s="518" t="str">
        <f>IF(AND(_6="A-220-300",'2026'!$D$4="CA",'2026'!$D$2=CN5),'2026DATA'!$G$33,"")</f>
        <v/>
      </c>
      <c r="CO36" s="518" t="str">
        <f>IF(AND(_6="A-220-300",'2026'!$D$4="CA",'2026'!$D$2=CO5),'2026DATA'!$H$33,"")</f>
        <v/>
      </c>
      <c r="CP36" s="518" t="str">
        <f>IF(AND(_6="A-220-300",'2026'!$D$4="CA",'2026'!$D$2=CP5),'2026DATA'!$I$33,"")</f>
        <v/>
      </c>
      <c r="CQ36" s="518" t="str">
        <f>IF(AND(_6="A-220-300",'2026'!$D$4="CA",'2026'!$D$2=CQ5),'2026DATA'!$J$33,"")</f>
        <v/>
      </c>
      <c r="CR36" s="518" t="str">
        <f>IF(AND(_6="A-220-300",'2026'!$D$4="CA",'2026'!$D$2=CR5),'2026DATA'!$K$33,"")</f>
        <v/>
      </c>
      <c r="CS36" s="518" t="str">
        <f>IF(AND(_6="A-220-300",'2026'!$D$4="CA",'2026'!$D$2=CS5),'2026DATA'!$L$33,"")</f>
        <v/>
      </c>
      <c r="CT36" s="518" t="str">
        <f>IF(AND(_6="A-220-300",'2026'!$D$4="CA",'2026'!$D$2=CT5),'2026DATA'!$M$33,"")</f>
        <v/>
      </c>
      <c r="CU36" s="520" t="str">
        <f>IF(AND(_6="A-220-300",'2026'!$D$4="CA",'2026'!$D$2=CU5),'2026DATA'!$N$33,"")</f>
        <v/>
      </c>
    </row>
    <row r="37" spans="1:99" x14ac:dyDescent="0.25">
      <c r="A37" s="987" t="s">
        <v>53</v>
      </c>
      <c r="B37" s="64" t="s">
        <v>61</v>
      </c>
      <c r="C37" s="85">
        <v>349.38</v>
      </c>
      <c r="D37" s="39">
        <v>346.86</v>
      </c>
      <c r="E37" s="39">
        <v>344.18</v>
      </c>
      <c r="F37" s="39">
        <v>341.52</v>
      </c>
      <c r="G37" s="39">
        <v>338.89</v>
      </c>
      <c r="H37" s="39">
        <v>336.25</v>
      </c>
      <c r="I37" s="39">
        <v>333.71</v>
      </c>
      <c r="J37" s="39">
        <v>330.98</v>
      </c>
      <c r="K37" s="39">
        <v>328.46</v>
      </c>
      <c r="L37" s="39">
        <v>325.81</v>
      </c>
      <c r="M37" s="39">
        <v>323.16000000000003</v>
      </c>
      <c r="N37" s="40">
        <v>320.81</v>
      </c>
      <c r="P37" s="940"/>
      <c r="Q37" s="13" t="s">
        <v>62</v>
      </c>
      <c r="R37" s="518" t="str">
        <f>IF(AND(_1="A-220-300",'2026'!$D$4="FO",'2026'!$D$2=R5),'2026DATA'!$C$34,"")</f>
        <v/>
      </c>
      <c r="S37" s="518" t="str">
        <f>IF(AND(_1="A-220-300",'2026'!$D$4="FO",'2026'!$D$2=S5),'2026DATA'!$D$34,"")</f>
        <v/>
      </c>
      <c r="T37" s="518" t="str">
        <f>IF(AND(_1="A-220-300",'2026'!$D$4="FO",'2026'!$D$2=T5),'2026DATA'!$E$34,"")</f>
        <v/>
      </c>
      <c r="U37" s="518" t="str">
        <f>IF(AND(_1="A-220-300",'2026'!$D$4="FO",'2026'!$D$2=U5),'2026DATA'!$F$34,"")</f>
        <v/>
      </c>
      <c r="V37" s="518" t="str">
        <f>IF(AND(_1="A-220-300",'2026'!$D$4="FO",'2026'!$D$2=V5),'2026DATA'!$G$34,"")</f>
        <v/>
      </c>
      <c r="W37" s="518" t="str">
        <f>IF(AND(_1="A-220-300",'2026'!$D$4="FO",'2026'!$D$2=W5),'2026DATA'!$H$34,"")</f>
        <v/>
      </c>
      <c r="X37" s="518" t="str">
        <f>IF(AND(_1="A-220-300",'2026'!$D$4="FO",'2026'!$D$2=X5),'2026DATA'!$I$34,"")</f>
        <v/>
      </c>
      <c r="Y37" s="518" t="str">
        <f>IF(AND(_1="A-220-300",'2026'!$D$4="FO",'2026'!$D$2=Y5),'2026DATA'!$J$34,"")</f>
        <v/>
      </c>
      <c r="Z37" s="518" t="str">
        <f>IF(AND(_1="A-220-300",'2026'!$D$4="FO",'2026'!$D$2=Z5),'2026DATA'!$K$34,"")</f>
        <v/>
      </c>
      <c r="AA37" s="518" t="str">
        <f>IF(AND(_1="A-220-300",'2026'!$D$4="FO",'2026'!$D$2=AA5),'2026DATA'!$L$34,"")</f>
        <v/>
      </c>
      <c r="AB37" s="518" t="str">
        <f>IF(AND(_1="A-220-300",'2026'!$D$4="FO",'2026'!$D$2=AB5),'2026DATA'!$M$34,"")</f>
        <v/>
      </c>
      <c r="AC37" s="520" t="str">
        <f>IF(AND(_1="A-220-300",'2026'!$D$4="FO",'2026'!$D$2=AC5),'2026DATA'!$N$34,"")</f>
        <v/>
      </c>
      <c r="AD37" s="940"/>
      <c r="AE37" s="13" t="s">
        <v>62</v>
      </c>
      <c r="AF37" s="518" t="str">
        <f>IF(AND(_2="A-220-300",'2026'!$D$4="FO",'2026'!$D$2=AF5),'2026DATA'!$C$34,"")</f>
        <v/>
      </c>
      <c r="AG37" s="518" t="str">
        <f>IF(AND(_2="A-220-300",'2026'!$D$4="FO",'2026'!$D$2=AG5),'2026DATA'!$D$34,"")</f>
        <v/>
      </c>
      <c r="AH37" s="518" t="str">
        <f>IF(AND(_2="A-220-300",'2026'!$D$4="FO",'2026'!$D$2=AH5),'2026DATA'!$E$34,"")</f>
        <v/>
      </c>
      <c r="AI37" s="518" t="str">
        <f>IF(AND(_2="A-220-300",'2026'!$D$4="FO",'2026'!$D$2=AI5),'2026DATA'!$F$34,"")</f>
        <v/>
      </c>
      <c r="AJ37" s="518" t="str">
        <f>IF(AND(_2="A-220-300",'2026'!$D$4="FO",'2026'!$D$2=AJ5),'2026DATA'!$G$34,"")</f>
        <v/>
      </c>
      <c r="AK37" s="518" t="str">
        <f>IF(AND(_2="A-220-300",'2026'!$D$4="FO",'2026'!$D$2=AK5),'2026DATA'!$H$34,"")</f>
        <v/>
      </c>
      <c r="AL37" s="518" t="str">
        <f>IF(AND(_2="A-220-300",'2026'!$D$4="FO",'2026'!$D$2=AL5),'2026DATA'!$I$34,"")</f>
        <v/>
      </c>
      <c r="AM37" s="518" t="str">
        <f>IF(AND(_2="A-220-300",'2026'!$D$4="FO",'2026'!$D$2=AM5),'2026DATA'!$J$34,"")</f>
        <v/>
      </c>
      <c r="AN37" s="518" t="str">
        <f>IF(AND(_2="A-220-300",'2026'!$D$4="FO",'2026'!$D$2=AN5),'2026DATA'!$K$34,"")</f>
        <v/>
      </c>
      <c r="AO37" s="518" t="str">
        <f>IF(AND(_2="A-220-300",'2026'!$D$4="FO",'2026'!$D$2=AO5),'2026DATA'!$L$34,"")</f>
        <v/>
      </c>
      <c r="AP37" s="518" t="str">
        <f>IF(AND(_2="A-220-300",'2026'!$D$4="FO",'2026'!$D$2=AP5),'2026DATA'!$M$34,"")</f>
        <v/>
      </c>
      <c r="AQ37" s="520" t="str">
        <f>IF(AND(_2="A-220-300",'2026'!$D$4="FO",'2026'!$D$2=AQ5),'2026DATA'!$N$34,"")</f>
        <v/>
      </c>
      <c r="AR37" s="940"/>
      <c r="AS37" s="13" t="s">
        <v>62</v>
      </c>
      <c r="AT37" s="518" t="str">
        <f>IF(AND(_3="A-220-300",'2026'!$D$4="FO",'2026'!$D$2=AT5),'2026DATA'!$C$34,"")</f>
        <v/>
      </c>
      <c r="AU37" s="518" t="str">
        <f>IF(AND(_3="A-220-300",'2026'!$D$4="FO",'2026'!$D$2=AU5),'2026DATA'!$D$34,"")</f>
        <v/>
      </c>
      <c r="AV37" s="518" t="str">
        <f>IF(AND(_3="A-220-300",'2026'!$D$4="FO",'2026'!$D$2=AV5),'2026DATA'!$E$34,"")</f>
        <v/>
      </c>
      <c r="AW37" s="518" t="str">
        <f>IF(AND(_3="A-220-300",'2026'!$D$4="FO",'2026'!$D$2=AW5),'2026DATA'!$F$34,"")</f>
        <v/>
      </c>
      <c r="AX37" s="518" t="str">
        <f>IF(AND(_3="A-220-300",'2026'!$D$4="FO",'2026'!$D$2=AX5),'2026DATA'!$G$34,"")</f>
        <v/>
      </c>
      <c r="AY37" s="518" t="str">
        <f>IF(AND(_3="A-220-300",'2026'!$D$4="FO",'2026'!$D$2=AY5),'2026DATA'!$H$34,"")</f>
        <v/>
      </c>
      <c r="AZ37" s="518" t="str">
        <f>IF(AND(_3="A-220-300",'2026'!$D$4="FO",'2026'!$D$2=AZ5),'2026DATA'!$I$34,"")</f>
        <v/>
      </c>
      <c r="BA37" s="518" t="str">
        <f>IF(AND(_3="A-220-300",'2026'!$D$4="FO",'2026'!$D$2=BA5),'2026DATA'!$J$34,"")</f>
        <v/>
      </c>
      <c r="BB37" s="518" t="str">
        <f>IF(AND(_3="A-220-300",'2026'!$D$4="FO",'2026'!$D$2=BB5),'2026DATA'!$K$34,"")</f>
        <v/>
      </c>
      <c r="BC37" s="518" t="str">
        <f>IF(AND(_3="A-220-300",'2026'!$D$4="FO",'2026'!$D$2=BC5),'2026DATA'!$L$34,"")</f>
        <v/>
      </c>
      <c r="BD37" s="518" t="str">
        <f>IF(AND(_3="A-220-300",'2026'!$D$4="FO",'2026'!$D$2=BD5),'2026DATA'!$M$34,"")</f>
        <v/>
      </c>
      <c r="BE37" s="520" t="str">
        <f>IF(AND(_3="A-220-300",'2026'!$D$4="FO",'2026'!$D$2=BE5),'2026DATA'!$N$34,"")</f>
        <v/>
      </c>
      <c r="BF37" s="940"/>
      <c r="BG37" s="13" t="s">
        <v>62</v>
      </c>
      <c r="BH37" s="518" t="str">
        <f>IF(AND(_4="A-220-300",'2026'!$D$4="FO",'2026'!$D$2=BH5),'2026DATA'!$C$34,"")</f>
        <v/>
      </c>
      <c r="BI37" s="518" t="str">
        <f>IF(AND(_4="A-220-300",'2026'!$D$4="FO",'2026'!$D$2=BI5),'2026DATA'!$D$34,"")</f>
        <v/>
      </c>
      <c r="BJ37" s="518" t="str">
        <f>IF(AND(_4="A-220-300",'2026'!$D$4="FO",'2026'!$D$2=BJ5),'2026DATA'!$E$34,"")</f>
        <v/>
      </c>
      <c r="BK37" s="518" t="str">
        <f>IF(AND(_4="A-220-300",'2026'!$D$4="FO",'2026'!$D$2=BK5),'2026DATA'!$F$34,"")</f>
        <v/>
      </c>
      <c r="BL37" s="518" t="str">
        <f>IF(AND(_4="A-220-300",'2026'!$D$4="FO",'2026'!$D$2=BL5),'2026DATA'!$G$34,"")</f>
        <v/>
      </c>
      <c r="BM37" s="518" t="str">
        <f>IF(AND(_4="A-220-300",'2026'!$D$4="FO",'2026'!$D$2=BM5),'2026DATA'!$H$34,"")</f>
        <v/>
      </c>
      <c r="BN37" s="518" t="str">
        <f>IF(AND(_4="A-220-300",'2026'!$D$4="FO",'2026'!$D$2=BN5),'2026DATA'!$I$34,"")</f>
        <v/>
      </c>
      <c r="BO37" s="518" t="str">
        <f>IF(AND(_4="A-220-300",'2026'!$D$4="FO",'2026'!$D$2=BO5),'2026DATA'!$J$34,"")</f>
        <v/>
      </c>
      <c r="BP37" s="518" t="str">
        <f>IF(AND(_4="A-220-300",'2026'!$D$4="FO",'2026'!$D$2=BP5),'2026DATA'!$K$34,"")</f>
        <v/>
      </c>
      <c r="BQ37" s="518" t="str">
        <f>IF(AND(_4="A-220-300",'2026'!$D$4="FO",'2026'!$D$2=BQ5),'2026DATA'!$L$34,"")</f>
        <v/>
      </c>
      <c r="BR37" s="518" t="str">
        <f>IF(AND(_4="A-220-300",'2026'!$D$4="FO",'2026'!$D$2=BR5),'2026DATA'!$M$34,"")</f>
        <v/>
      </c>
      <c r="BS37" s="520" t="str">
        <f>IF(AND(_4="A-220-300",'2026'!$D$4="FO",'2026'!$D$2=BS5),'2026DATA'!$N$34,"")</f>
        <v/>
      </c>
      <c r="BT37" s="940"/>
      <c r="BU37" s="13" t="s">
        <v>62</v>
      </c>
      <c r="BV37" s="518" t="str">
        <f>IF(AND(_5="A-220-300",'2026'!$D$4="FO",'2026'!$D$2=BV5),'2026DATA'!$C$34,"")</f>
        <v/>
      </c>
      <c r="BW37" s="518" t="str">
        <f>IF(AND(_5="A-220-300",'2026'!$D$4="FO",'2026'!$D$2=BW5),'2026DATA'!$D$34,"")</f>
        <v/>
      </c>
      <c r="BX37" s="518" t="str">
        <f>IF(AND(_5="A-220-300",'2026'!$D$4="FO",'2026'!$D$2=BX5),'2026DATA'!$E$34,"")</f>
        <v/>
      </c>
      <c r="BY37" s="518" t="str">
        <f>IF(AND(_5="A-220-300",'2026'!$D$4="FO",'2026'!$D$2=BY5),'2026DATA'!$F$34,"")</f>
        <v/>
      </c>
      <c r="BZ37" s="518" t="str">
        <f>IF(AND(_5="A-220-300",'2026'!$D$4="FO",'2026'!$D$2=BZ5),'2026DATA'!$G$34,"")</f>
        <v/>
      </c>
      <c r="CA37" s="518" t="str">
        <f>IF(AND(_5="A-220-300",'2026'!$D$4="FO",'2026'!$D$2=CA5),'2026DATA'!$H$34,"")</f>
        <v/>
      </c>
      <c r="CB37" s="518" t="str">
        <f>IF(AND(_5="A-220-300",'2026'!$D$4="FO",'2026'!$D$2=CB5),'2026DATA'!$I$34,"")</f>
        <v/>
      </c>
      <c r="CC37" s="518" t="str">
        <f>IF(AND(_5="A-220-300",'2026'!$D$4="FO",'2026'!$D$2=CC5),'2026DATA'!$J$34,"")</f>
        <v/>
      </c>
      <c r="CD37" s="518" t="str">
        <f>IF(AND(_5="A-220-300",'2026'!$D$4="FO",'2026'!$D$2=CD5),'2026DATA'!$K$34,"")</f>
        <v/>
      </c>
      <c r="CE37" s="518" t="str">
        <f>IF(AND(_5="A-220-300",'2026'!$D$4="FO",'2026'!$D$2=CE5),'2026DATA'!$L$34,"")</f>
        <v/>
      </c>
      <c r="CF37" s="518" t="str">
        <f>IF(AND(_5="A-220-300",'2026'!$D$4="FO",'2026'!$D$2=CF5),'2026DATA'!$M$34,"")</f>
        <v/>
      </c>
      <c r="CG37" s="520" t="str">
        <f>IF(AND(_5="A-220-300",'2026'!$D$4="FO",'2026'!$D$2=CG5),'2026DATA'!$N$34,"")</f>
        <v/>
      </c>
      <c r="CH37" s="940"/>
      <c r="CI37" s="13" t="s">
        <v>62</v>
      </c>
      <c r="CJ37" s="518" t="str">
        <f>IF(AND(_6="A-220-300",'2026'!$D$4="FO",'2026'!$D$2=CJ5),'2026DATA'!$C$34,"")</f>
        <v/>
      </c>
      <c r="CK37" s="518" t="str">
        <f>IF(AND(_6="A-220-300",'2026'!$D$4="FO",'2026'!$D$2=CK5),'2026DATA'!$D$34,"")</f>
        <v/>
      </c>
      <c r="CL37" s="518" t="str">
        <f>IF(AND(_6="A-220-300",'2026'!$D$4="FO",'2026'!$D$2=CL5),'2026DATA'!$E$34,"")</f>
        <v/>
      </c>
      <c r="CM37" s="518" t="str">
        <f>IF(AND(_6="A-220-300",'2026'!$D$4="FO",'2026'!$D$2=CM5),'2026DATA'!$F$34,"")</f>
        <v/>
      </c>
      <c r="CN37" s="518" t="str">
        <f>IF(AND(_6="A-220-300",'2026'!$D$4="FO",'2026'!$D$2=CN5),'2026DATA'!$G$34,"")</f>
        <v/>
      </c>
      <c r="CO37" s="518" t="str">
        <f>IF(AND(_6="A-220-300",'2026'!$D$4="FO",'2026'!$D$2=CO5),'2026DATA'!$H$34,"")</f>
        <v/>
      </c>
      <c r="CP37" s="518" t="str">
        <f>IF(AND(_6="A-220-300",'2026'!$D$4="FO",'2026'!$D$2=CP5),'2026DATA'!$I$34,"")</f>
        <v/>
      </c>
      <c r="CQ37" s="518" t="str">
        <f>IF(AND(_6="A-220-300",'2026'!$D$4="FO",'2026'!$D$2=CQ5),'2026DATA'!$J$34,"")</f>
        <v/>
      </c>
      <c r="CR37" s="518" t="str">
        <f>IF(AND(_6="A-220-300",'2026'!$D$4="FO",'2026'!$D$2=CR5),'2026DATA'!$K$34,"")</f>
        <v/>
      </c>
      <c r="CS37" s="518" t="str">
        <f>IF(AND(_6="A-220-300",'2026'!$D$4="FO",'2026'!$D$2=CS5),'2026DATA'!$L$34,"")</f>
        <v/>
      </c>
      <c r="CT37" s="518" t="str">
        <f>IF(AND(_6="A-220-300",'2026'!$D$4="FO",'2026'!$D$2=CT5),'2026DATA'!$M$34,"")</f>
        <v/>
      </c>
      <c r="CU37" s="520" t="str">
        <f>IF(AND(_6="A-220-300",'2026'!$D$4="FO",'2026'!$D$2=CU5),'2026DATA'!$N$34,"")</f>
        <v/>
      </c>
    </row>
    <row r="38" spans="1:99" ht="15.75" thickBot="1" x14ac:dyDescent="0.3">
      <c r="A38" s="987"/>
      <c r="B38" s="64" t="s">
        <v>62</v>
      </c>
      <c r="C38" s="86">
        <v>238.62</v>
      </c>
      <c r="D38" s="47">
        <v>236.61</v>
      </c>
      <c r="E38" s="47">
        <v>234.38</v>
      </c>
      <c r="F38" s="47">
        <v>231.2</v>
      </c>
      <c r="G38" s="47">
        <v>228.77</v>
      </c>
      <c r="H38" s="47">
        <v>223.6</v>
      </c>
      <c r="I38" s="47">
        <v>217.57</v>
      </c>
      <c r="J38" s="47">
        <v>212.14</v>
      </c>
      <c r="K38" s="47">
        <v>207.24</v>
      </c>
      <c r="L38" s="47">
        <v>202.31</v>
      </c>
      <c r="M38" s="47">
        <v>172.87</v>
      </c>
      <c r="N38" s="48">
        <v>125.52</v>
      </c>
      <c r="P38" s="940" t="s">
        <v>52</v>
      </c>
      <c r="Q38" s="13" t="s">
        <v>61</v>
      </c>
      <c r="R38" s="518" t="str">
        <f>IF(AND(_1="A-220-100",'2026'!$D$4="CA",'2026'!$D$2=R5),'2026DATA'!$C$35,"")</f>
        <v/>
      </c>
      <c r="S38" s="518" t="str">
        <f>IF(AND(_1="A-220-100",'2026'!$D$4="CA",'2026'!$D$2=S5),'2026DATA'!$D$35,"")</f>
        <v/>
      </c>
      <c r="T38" s="518" t="str">
        <f>IF(AND(_1="A-220-100",'2026'!$D$4="CA",'2026'!$D$2=T5),'2026DATA'!$E$35,"")</f>
        <v/>
      </c>
      <c r="U38" s="518" t="str">
        <f>IF(AND(_1="A-220-100",'2026'!$D$4="CA",'2026'!$D$2=U5),'2026DATA'!$F$35,"")</f>
        <v/>
      </c>
      <c r="V38" s="518" t="str">
        <f>IF(AND(_1="A-220-100",'2026'!$D$4="CA",'2026'!$D$2=V5),'2026DATA'!$G$35,"")</f>
        <v/>
      </c>
      <c r="W38" s="518" t="str">
        <f>IF(AND(_1="A-220-100",'2026'!$D$4="CA",'2026'!$D$2=W5),'2026DATA'!$H$35,"")</f>
        <v/>
      </c>
      <c r="X38" s="518" t="str">
        <f>IF(AND(_1="A-220-100",'2026'!$D$4="CA",'2026'!$D$2=X5),'2026DATA'!$I$35,"")</f>
        <v/>
      </c>
      <c r="Y38" s="518" t="str">
        <f>IF(AND(_1="A-220-100",'2026'!$D$4="CA",'2026'!$D$2=Y5),'2026DATA'!$J$35,"")</f>
        <v/>
      </c>
      <c r="Z38" s="518" t="str">
        <f>IF(AND(_1="A-220-100",'2026'!$D$4="CA",'2026'!$D$2=Z5),'2026DATA'!$K$35,"")</f>
        <v/>
      </c>
      <c r="AA38" s="518" t="str">
        <f>IF(AND(_1="A-220-100",'2026'!$D$4="CA",'2026'!$D$2=AA5),'2026DATA'!$L$35,"")</f>
        <v/>
      </c>
      <c r="AB38" s="518" t="str">
        <f>IF(AND(_1="A-220-100",'2026'!$D$4="CA",'2026'!$D$2=AB5),'2026DATA'!$M$35,"")</f>
        <v/>
      </c>
      <c r="AC38" s="520" t="str">
        <f>IF(AND(_1="A-220-100",'2026'!$D$4="CA",'2026'!$D$2=AC5),'2026DATA'!$N$35,"")</f>
        <v/>
      </c>
      <c r="AD38" s="940" t="s">
        <v>52</v>
      </c>
      <c r="AE38" s="13" t="s">
        <v>61</v>
      </c>
      <c r="AF38" s="518" t="str">
        <f>IF(AND(_2="A-220-100",'2026'!$D$4="CA",'2026'!$D$2=AF5),'2026DATA'!$C$35,"")</f>
        <v/>
      </c>
      <c r="AG38" s="518" t="str">
        <f>IF(AND(_2="A-220-100",'2026'!$D$4="CA",'2026'!$D$2=AG5),'2026DATA'!$D$35,"")</f>
        <v/>
      </c>
      <c r="AH38" s="518" t="str">
        <f>IF(AND(_2="A-220-100",'2026'!$D$4="CA",'2026'!$D$2=AH5),'2026DATA'!$E$35,"")</f>
        <v/>
      </c>
      <c r="AI38" s="518" t="str">
        <f>IF(AND(_2="A-220-100",'2026'!$D$4="CA",'2026'!$D$2=AI5),'2026DATA'!$F$35,"")</f>
        <v/>
      </c>
      <c r="AJ38" s="518" t="str">
        <f>IF(AND(_2="A-220-100",'2026'!$D$4="CA",'2026'!$D$2=AJ5),'2026DATA'!$G$35,"")</f>
        <v/>
      </c>
      <c r="AK38" s="518" t="str">
        <f>IF(AND(_2="A-220-100",'2026'!$D$4="CA",'2026'!$D$2=AK5),'2026DATA'!$H$35,"")</f>
        <v/>
      </c>
      <c r="AL38" s="518" t="str">
        <f>IF(AND(_2="A-220-100",'2026'!$D$4="CA",'2026'!$D$2=AL5),'2026DATA'!$I$35,"")</f>
        <v/>
      </c>
      <c r="AM38" s="518" t="str">
        <f>IF(AND(_2="A-220-100",'2026'!$D$4="CA",'2026'!$D$2=AM5),'2026DATA'!$J$35,"")</f>
        <v/>
      </c>
      <c r="AN38" s="518" t="str">
        <f>IF(AND(_2="A-220-100",'2026'!$D$4="CA",'2026'!$D$2=AN5),'2026DATA'!$K$35,"")</f>
        <v/>
      </c>
      <c r="AO38" s="518" t="str">
        <f>IF(AND(_2="A-220-100",'2026'!$D$4="CA",'2026'!$D$2=AO5),'2026DATA'!$L$35,"")</f>
        <v/>
      </c>
      <c r="AP38" s="518" t="str">
        <f>IF(AND(_2="A-220-100",'2026'!$D$4="CA",'2026'!$D$2=AP5),'2026DATA'!$M$35,"")</f>
        <v/>
      </c>
      <c r="AQ38" s="520" t="str">
        <f>IF(AND(_2="A-220-100",'2026'!$D$4="CA",'2026'!$D$2=AQ5),'2026DATA'!$N$35,"")</f>
        <v/>
      </c>
      <c r="AR38" s="940" t="s">
        <v>52</v>
      </c>
      <c r="AS38" s="13" t="s">
        <v>61</v>
      </c>
      <c r="AT38" s="518" t="str">
        <f>IF(AND(_3="A-220-100",'2026'!$D$4="CA",'2026'!$D$2=AT5),'2026DATA'!$C$35,"")</f>
        <v/>
      </c>
      <c r="AU38" s="518" t="str">
        <f>IF(AND(_3="A-220-100",'2026'!$D$4="CA",'2026'!$D$2=AU5),'2026DATA'!$D$35,"")</f>
        <v/>
      </c>
      <c r="AV38" s="518" t="str">
        <f>IF(AND(_3="A-220-100",'2026'!$D$4="CA",'2026'!$D$2=AV5),'2026DATA'!$E$35,"")</f>
        <v/>
      </c>
      <c r="AW38" s="518" t="str">
        <f>IF(AND(_3="A-220-100",'2026'!$D$4="CA",'2026'!$D$2=AW5),'2026DATA'!$F$35,"")</f>
        <v/>
      </c>
      <c r="AX38" s="518" t="str">
        <f>IF(AND(_3="A-220-100",'2026'!$D$4="CA",'2026'!$D$2=AX5),'2026DATA'!$G$35,"")</f>
        <v/>
      </c>
      <c r="AY38" s="518" t="str">
        <f>IF(AND(_3="A-220-100",'2026'!$D$4="CA",'2026'!$D$2=AY5),'2026DATA'!$H$35,"")</f>
        <v/>
      </c>
      <c r="AZ38" s="518" t="str">
        <f>IF(AND(_3="A-220-100",'2026'!$D$4="CA",'2026'!$D$2=AZ5),'2026DATA'!$I$35,"")</f>
        <v/>
      </c>
      <c r="BA38" s="518" t="str">
        <f>IF(AND(_3="A-220-100",'2026'!$D$4="CA",'2026'!$D$2=BA5),'2026DATA'!$J$35,"")</f>
        <v/>
      </c>
      <c r="BB38" s="518" t="str">
        <f>IF(AND(_3="A-220-100",'2026'!$D$4="CA",'2026'!$D$2=BB5),'2026DATA'!$K$35,"")</f>
        <v/>
      </c>
      <c r="BC38" s="518" t="str">
        <f>IF(AND(_3="A-220-100",'2026'!$D$4="CA",'2026'!$D$2=BC5),'2026DATA'!$L$35,"")</f>
        <v/>
      </c>
      <c r="BD38" s="518" t="str">
        <f>IF(AND(_3="A-220-100",'2026'!$D$4="CA",'2026'!$D$2=BD5),'2026DATA'!$M$35,"")</f>
        <v/>
      </c>
      <c r="BE38" s="520" t="str">
        <f>IF(AND(_3="A-220-100",'2026'!$D$4="CA",'2026'!$D$2=BE5),'2026DATA'!$N$35,"")</f>
        <v/>
      </c>
      <c r="BF38" s="940" t="s">
        <v>52</v>
      </c>
      <c r="BG38" s="13" t="s">
        <v>61</v>
      </c>
      <c r="BH38" s="518" t="str">
        <f>IF(AND(_4="A-220-100",'2026'!$D$4="CA",'2026'!$D$2=BH5),'2026DATA'!$C$35,"")</f>
        <v/>
      </c>
      <c r="BI38" s="518" t="str">
        <f>IF(AND(_4="A-220-100",'2026'!$D$4="CA",'2026'!$D$2=BI5),'2026DATA'!$D$35,"")</f>
        <v/>
      </c>
      <c r="BJ38" s="518" t="str">
        <f>IF(AND(_4="A-220-100",'2026'!$D$4="CA",'2026'!$D$2=BJ5),'2026DATA'!$E$35,"")</f>
        <v/>
      </c>
      <c r="BK38" s="518" t="str">
        <f>IF(AND(_4="A-220-100",'2026'!$D$4="CA",'2026'!$D$2=BK5),'2026DATA'!$F$35,"")</f>
        <v/>
      </c>
      <c r="BL38" s="518" t="str">
        <f>IF(AND(_4="A-220-100",'2026'!$D$4="CA",'2026'!$D$2=BL5),'2026DATA'!$G$35,"")</f>
        <v/>
      </c>
      <c r="BM38" s="518" t="str">
        <f>IF(AND(_4="A-220-100",'2026'!$D$4="CA",'2026'!$D$2=BM5),'2026DATA'!$H$35,"")</f>
        <v/>
      </c>
      <c r="BN38" s="518" t="str">
        <f>IF(AND(_4="A-220-100",'2026'!$D$4="CA",'2026'!$D$2=BN5),'2026DATA'!$I$35,"")</f>
        <v/>
      </c>
      <c r="BO38" s="518" t="str">
        <f>IF(AND(_4="A-220-100",'2026'!$D$4="CA",'2026'!$D$2=BO5),'2026DATA'!$J$35,"")</f>
        <v/>
      </c>
      <c r="BP38" s="518" t="str">
        <f>IF(AND(_4="A-220-100",'2026'!$D$4="CA",'2026'!$D$2=BP5),'2026DATA'!$K$35,"")</f>
        <v/>
      </c>
      <c r="BQ38" s="518" t="str">
        <f>IF(AND(_4="A-220-100",'2026'!$D$4="CA",'2026'!$D$2=BQ5),'2026DATA'!$L$35,"")</f>
        <v/>
      </c>
      <c r="BR38" s="518" t="str">
        <f>IF(AND(_4="A-220-100",'2026'!$D$4="CA",'2026'!$D$2=BR5),'2026DATA'!$M$35,"")</f>
        <v/>
      </c>
      <c r="BS38" s="520" t="str">
        <f>IF(AND(_4="A-220-100",'2026'!$D$4="CA",'2026'!$D$2=BS5),'2026DATA'!$N$35,"")</f>
        <v/>
      </c>
      <c r="BT38" s="940" t="s">
        <v>52</v>
      </c>
      <c r="BU38" s="13" t="s">
        <v>61</v>
      </c>
      <c r="BV38" s="518" t="str">
        <f>IF(AND(_5="A-220-100",'2026'!$D$4="CA",'2026'!$D$2=BV5),'2026DATA'!$C$35,"")</f>
        <v/>
      </c>
      <c r="BW38" s="518" t="str">
        <f>IF(AND(_5="A-220-100",'2026'!$D$4="CA",'2026'!$D$2=BW5),'2026DATA'!$D$35,"")</f>
        <v/>
      </c>
      <c r="BX38" s="518" t="str">
        <f>IF(AND(_5="A-220-100",'2026'!$D$4="CA",'2026'!$D$2=BX5),'2026DATA'!$E$35,"")</f>
        <v/>
      </c>
      <c r="BY38" s="518" t="str">
        <f>IF(AND(_5="A-220-100",'2026'!$D$4="CA",'2026'!$D$2=BY5),'2026DATA'!$F$35,"")</f>
        <v/>
      </c>
      <c r="BZ38" s="518" t="str">
        <f>IF(AND(_5="A-220-100",'2026'!$D$4="CA",'2026'!$D$2=BZ5),'2026DATA'!$G$35,"")</f>
        <v/>
      </c>
      <c r="CA38" s="518" t="str">
        <f>IF(AND(_5="A-220-100",'2026'!$D$4="CA",'2026'!$D$2=CA5),'2026DATA'!$H$35,"")</f>
        <v/>
      </c>
      <c r="CB38" s="518" t="str">
        <f>IF(AND(_5="A-220-100",'2026'!$D$4="CA",'2026'!$D$2=CB5),'2026DATA'!$I$35,"")</f>
        <v/>
      </c>
      <c r="CC38" s="518" t="str">
        <f>IF(AND(_5="A-220-100",'2026'!$D$4="CA",'2026'!$D$2=CC5),'2026DATA'!$J$35,"")</f>
        <v/>
      </c>
      <c r="CD38" s="518" t="str">
        <f>IF(AND(_5="A-220-100",'2026'!$D$4="CA",'2026'!$D$2=CD5),'2026DATA'!$K$35,"")</f>
        <v/>
      </c>
      <c r="CE38" s="518" t="str">
        <f>IF(AND(_5="A-220-100",'2026'!$D$4="CA",'2026'!$D$2=CE5),'2026DATA'!$L$35,"")</f>
        <v/>
      </c>
      <c r="CF38" s="518" t="str">
        <f>IF(AND(_5="A-220-100",'2026'!$D$4="CA",'2026'!$D$2=CF5),'2026DATA'!$M$35,"")</f>
        <v/>
      </c>
      <c r="CG38" s="520" t="str">
        <f>IF(AND(_5="A-220-100",'2026'!$D$4="CA",'2026'!$D$2=CG5),'2026DATA'!$N$35,"")</f>
        <v/>
      </c>
      <c r="CH38" s="940" t="s">
        <v>52</v>
      </c>
      <c r="CI38" s="13" t="s">
        <v>61</v>
      </c>
      <c r="CJ38" s="518" t="str">
        <f>IF(AND(_6="A-220-100",'2026'!$D$4="CA",'2026'!$D$2=CJ5),'2026DATA'!$C$35,"")</f>
        <v/>
      </c>
      <c r="CK38" s="518" t="str">
        <f>IF(AND(_6="A-220-100",'2026'!$D$4="CA",'2026'!$D$2=CK5),'2026DATA'!$D$35,"")</f>
        <v/>
      </c>
      <c r="CL38" s="518" t="str">
        <f>IF(AND(_6="A-220-100",'2026'!$D$4="CA",'2026'!$D$2=CL5),'2026DATA'!$E$35,"")</f>
        <v/>
      </c>
      <c r="CM38" s="518" t="str">
        <f>IF(AND(_6="A-220-100",'2026'!$D$4="CA",'2026'!$D$2=CM5),'2026DATA'!$F$35,"")</f>
        <v/>
      </c>
      <c r="CN38" s="518" t="str">
        <f>IF(AND(_6="A-220-100",'2026'!$D$4="CA",'2026'!$D$2=CN5),'2026DATA'!$G$35,"")</f>
        <v/>
      </c>
      <c r="CO38" s="518" t="str">
        <f>IF(AND(_6="A-220-100",'2026'!$D$4="CA",'2026'!$D$2=CO5),'2026DATA'!$H$35,"")</f>
        <v/>
      </c>
      <c r="CP38" s="518" t="str">
        <f>IF(AND(_6="A-220-100",'2026'!$D$4="CA",'2026'!$D$2=CP5),'2026DATA'!$I$35,"")</f>
        <v/>
      </c>
      <c r="CQ38" s="518" t="str">
        <f>IF(AND(_6="A-220-100",'2026'!$D$4="CA",'2026'!$D$2=CQ5),'2026DATA'!$J$35,"")</f>
        <v/>
      </c>
      <c r="CR38" s="518" t="str">
        <f>IF(AND(_6="A-220-100",'2026'!$D$4="CA",'2026'!$D$2=CR5),'2026DATA'!$K$35,"")</f>
        <v/>
      </c>
      <c r="CS38" s="518" t="str">
        <f>IF(AND(_6="A-220-100",'2026'!$D$4="CA",'2026'!$D$2=CS5),'2026DATA'!$L$35,"")</f>
        <v/>
      </c>
      <c r="CT38" s="518" t="str">
        <f>IF(AND(_6="A-220-100",'2026'!$D$4="CA",'2026'!$D$2=CT5),'2026DATA'!$M$35,"")</f>
        <v/>
      </c>
      <c r="CU38" s="520" t="str">
        <f>IF(AND(_6="A-220-100",'2026'!$D$4="CA",'2026'!$D$2=CU5),'2026DATA'!$N$35,"")</f>
        <v/>
      </c>
    </row>
    <row r="39" spans="1:99" x14ac:dyDescent="0.25">
      <c r="P39" s="940"/>
      <c r="Q39" s="13" t="s">
        <v>62</v>
      </c>
      <c r="R39" s="518" t="str">
        <f>IF(AND(_1="A-220-100",'2026'!$D$4="FO",'2026'!$D$2=R5),'2026DATA'!$C$36,"")</f>
        <v/>
      </c>
      <c r="S39" s="518" t="str">
        <f>IF(AND(_1="A-220-100",'2026'!$D$4="FO",'2026'!$D$2=S5),'2026DATA'!$D$36,"")</f>
        <v/>
      </c>
      <c r="T39" s="518" t="str">
        <f>IF(AND(_1="A-220-100",'2026'!$D$4="FO",'2026'!$D$2=T5),'2026DATA'!$E$36,"")</f>
        <v/>
      </c>
      <c r="U39" s="518" t="str">
        <f>IF(AND(_1="A-220-100",'2026'!$D$4="FO",'2026'!$D$2=U5),'2026DATA'!$F$36,"")</f>
        <v/>
      </c>
      <c r="V39" s="518" t="str">
        <f>IF(AND(_1="A-220-100",'2026'!$D$4="FO",'2026'!$D$2=V5),'2026DATA'!$G$36,"")</f>
        <v/>
      </c>
      <c r="W39" s="518" t="str">
        <f>IF(AND(_1="A-220-100",'2026'!$D$4="FO",'2026'!$D$2=W5),'2026DATA'!$H$36,"")</f>
        <v/>
      </c>
      <c r="X39" s="518" t="str">
        <f>IF(AND(_1="A-220-100",'2026'!$D$4="FO",'2026'!$D$2=X5),'2026DATA'!$I$36,"")</f>
        <v/>
      </c>
      <c r="Y39" s="518" t="str">
        <f>IF(AND(_1="A-220-100",'2026'!$D$4="FO",'2026'!$D$2=Y5),'2026DATA'!$J$36,"")</f>
        <v/>
      </c>
      <c r="Z39" s="518" t="str">
        <f>IF(AND(_1="A-220-100",'2026'!$D$4="FO",'2026'!$D$2=Z5),'2026DATA'!$K$36,"")</f>
        <v/>
      </c>
      <c r="AA39" s="518" t="str">
        <f>IF(AND(_1="A-220-100",'2026'!$D$4="FO",'2026'!$D$2=AA5),'2026DATA'!$L$36,"")</f>
        <v/>
      </c>
      <c r="AB39" s="518" t="str">
        <f>IF(AND(_1="A-220-100",'2026'!$D$4="FO",'2026'!$D$2=AB5),'2026DATA'!$M$36,"")</f>
        <v/>
      </c>
      <c r="AC39" s="520" t="str">
        <f>IF(AND(_1="A-220-100",'2026'!$D$4="FO",'2026'!$D$2=AC5),'2026DATA'!$N$36,"")</f>
        <v/>
      </c>
      <c r="AD39" s="940"/>
      <c r="AE39" s="13" t="s">
        <v>62</v>
      </c>
      <c r="AF39" s="518" t="str">
        <f>IF(AND(_2="A-220-100",'2026'!$D$4="FO",'2026'!$D$2=AF5),'2026DATA'!$C$36,"")</f>
        <v/>
      </c>
      <c r="AG39" s="518" t="str">
        <f>IF(AND(_2="A-220-100",'2026'!$D$4="FO",'2026'!$D$2=AG5),'2026DATA'!$D$36,"")</f>
        <v/>
      </c>
      <c r="AH39" s="518" t="str">
        <f>IF(AND(_2="A-220-100",'2026'!$D$4="FO",'2026'!$D$2=AH5),'2026DATA'!$E$36,"")</f>
        <v/>
      </c>
      <c r="AI39" s="518" t="str">
        <f>IF(AND(_2="A-220-100",'2026'!$D$4="FO",'2026'!$D$2=AI5),'2026DATA'!$F$36,"")</f>
        <v/>
      </c>
      <c r="AJ39" s="518" t="str">
        <f>IF(AND(_2="A-220-100",'2026'!$D$4="FO",'2026'!$D$2=AJ5),'2026DATA'!$G$36,"")</f>
        <v/>
      </c>
      <c r="AK39" s="518" t="str">
        <f>IF(AND(_2="A-220-100",'2026'!$D$4="FO",'2026'!$D$2=AK5),'2026DATA'!$H$36,"")</f>
        <v/>
      </c>
      <c r="AL39" s="518" t="str">
        <f>IF(AND(_2="A-220-100",'2026'!$D$4="FO",'2026'!$D$2=AL5),'2026DATA'!$I$36,"")</f>
        <v/>
      </c>
      <c r="AM39" s="518" t="str">
        <f>IF(AND(_2="A-220-100",'2026'!$D$4="FO",'2026'!$D$2=AM5),'2026DATA'!$J$36,"")</f>
        <v/>
      </c>
      <c r="AN39" s="518" t="str">
        <f>IF(AND(_2="A-220-100",'2026'!$D$4="FO",'2026'!$D$2=AN5),'2026DATA'!$K$36,"")</f>
        <v/>
      </c>
      <c r="AO39" s="518" t="str">
        <f>IF(AND(_2="A-220-100",'2026'!$D$4="FO",'2026'!$D$2=AO5),'2026DATA'!$L$36,"")</f>
        <v/>
      </c>
      <c r="AP39" s="518" t="str">
        <f>IF(AND(_2="A-220-100",'2026'!$D$4="FO",'2026'!$D$2=AP5),'2026DATA'!$M$36,"")</f>
        <v/>
      </c>
      <c r="AQ39" s="520" t="str">
        <f>IF(AND(_2="A-220-100",'2026'!$D$4="FO",'2026'!$D$2=AQ5),'2026DATA'!$N$36,"")</f>
        <v/>
      </c>
      <c r="AR39" s="940"/>
      <c r="AS39" s="13" t="s">
        <v>62</v>
      </c>
      <c r="AT39" s="518" t="str">
        <f>IF(AND(_3="A-220-100",'2026'!$D$4="FO",'2026'!$D$2=AT5),'2026DATA'!$C$36,"")</f>
        <v/>
      </c>
      <c r="AU39" s="518" t="str">
        <f>IF(AND(_3="A-220-100",'2026'!$D$4="FO",'2026'!$D$2=AU5),'2026DATA'!$D$36,"")</f>
        <v/>
      </c>
      <c r="AV39" s="518" t="str">
        <f>IF(AND(_3="A-220-100",'2026'!$D$4="FO",'2026'!$D$2=AV5),'2026DATA'!$E$36,"")</f>
        <v/>
      </c>
      <c r="AW39" s="518" t="str">
        <f>IF(AND(_3="A-220-100",'2026'!$D$4="FO",'2026'!$D$2=AW5),'2026DATA'!$F$36,"")</f>
        <v/>
      </c>
      <c r="AX39" s="518" t="str">
        <f>IF(AND(_3="A-220-100",'2026'!$D$4="FO",'2026'!$D$2=AX5),'2026DATA'!$G$36,"")</f>
        <v/>
      </c>
      <c r="AY39" s="518" t="str">
        <f>IF(AND(_3="A-220-100",'2026'!$D$4="FO",'2026'!$D$2=AY5),'2026DATA'!$H$36,"")</f>
        <v/>
      </c>
      <c r="AZ39" s="518" t="str">
        <f>IF(AND(_3="A-220-100",'2026'!$D$4="FO",'2026'!$D$2=AZ5),'2026DATA'!$I$36,"")</f>
        <v/>
      </c>
      <c r="BA39" s="518" t="str">
        <f>IF(AND(_3="A-220-100",'2026'!$D$4="FO",'2026'!$D$2=BA5),'2026DATA'!$J$36,"")</f>
        <v/>
      </c>
      <c r="BB39" s="518" t="str">
        <f>IF(AND(_3="A-220-100",'2026'!$D$4="FO",'2026'!$D$2=BB5),'2026DATA'!$K$36,"")</f>
        <v/>
      </c>
      <c r="BC39" s="518" t="str">
        <f>IF(AND(_3="A-220-100",'2026'!$D$4="FO",'2026'!$D$2=BC5),'2026DATA'!$L$36,"")</f>
        <v/>
      </c>
      <c r="BD39" s="518" t="str">
        <f>IF(AND(_3="A-220-100",'2026'!$D$4="FO",'2026'!$D$2=BD5),'2026DATA'!$M$36,"")</f>
        <v/>
      </c>
      <c r="BE39" s="520" t="str">
        <f>IF(AND(_3="A-220-100",'2026'!$D$4="FO",'2026'!$D$2=BE5),'2026DATA'!$N$36,"")</f>
        <v/>
      </c>
      <c r="BF39" s="940"/>
      <c r="BG39" s="13" t="s">
        <v>62</v>
      </c>
      <c r="BH39" s="518" t="str">
        <f>IF(AND(_4="A-220-100",'2026'!$D$4="FO",'2026'!$D$2=BH5),'2026DATA'!$C$36,"")</f>
        <v/>
      </c>
      <c r="BI39" s="518" t="str">
        <f>IF(AND(_4="A-220-100",'2026'!$D$4="FO",'2026'!$D$2=BI5),'2026DATA'!$D$36,"")</f>
        <v/>
      </c>
      <c r="BJ39" s="518" t="str">
        <f>IF(AND(_4="A-220-100",'2026'!$D$4="FO",'2026'!$D$2=BJ5),'2026DATA'!$E$36,"")</f>
        <v/>
      </c>
      <c r="BK39" s="518" t="str">
        <f>IF(AND(_4="A-220-100",'2026'!$D$4="FO",'2026'!$D$2=BK5),'2026DATA'!$F$36,"")</f>
        <v/>
      </c>
      <c r="BL39" s="518" t="str">
        <f>IF(AND(_4="A-220-100",'2026'!$D$4="FO",'2026'!$D$2=BL5),'2026DATA'!$G$36,"")</f>
        <v/>
      </c>
      <c r="BM39" s="518" t="str">
        <f>IF(AND(_4="A-220-100",'2026'!$D$4="FO",'2026'!$D$2=BM5),'2026DATA'!$H$36,"")</f>
        <v/>
      </c>
      <c r="BN39" s="518" t="str">
        <f>IF(AND(_4="A-220-100",'2026'!$D$4="FO",'2026'!$D$2=BN5),'2026DATA'!$I$36,"")</f>
        <v/>
      </c>
      <c r="BO39" s="518" t="str">
        <f>IF(AND(_4="A-220-100",'2026'!$D$4="FO",'2026'!$D$2=BO5),'2026DATA'!$J$36,"")</f>
        <v/>
      </c>
      <c r="BP39" s="518" t="str">
        <f>IF(AND(_4="A-220-100",'2026'!$D$4="FO",'2026'!$D$2=BP5),'2026DATA'!$K$36,"")</f>
        <v/>
      </c>
      <c r="BQ39" s="518" t="str">
        <f>IF(AND(_4="A-220-100",'2026'!$D$4="FO",'2026'!$D$2=BQ5),'2026DATA'!$L$36,"")</f>
        <v/>
      </c>
      <c r="BR39" s="518" t="str">
        <f>IF(AND(_4="A-220-100",'2026'!$D$4="FO",'2026'!$D$2=BR5),'2026DATA'!$M$36,"")</f>
        <v/>
      </c>
      <c r="BS39" s="520" t="str">
        <f>IF(AND(_4="A-220-100",'2026'!$D$4="FO",'2026'!$D$2=BS5),'2026DATA'!$N$36,"")</f>
        <v/>
      </c>
      <c r="BT39" s="940"/>
      <c r="BU39" s="13" t="s">
        <v>62</v>
      </c>
      <c r="BV39" s="518" t="str">
        <f>IF(AND(_5="A-220-100",'2026'!$D$4="FO",'2026'!$D$2=BV5),'2026DATA'!$C$36,"")</f>
        <v/>
      </c>
      <c r="BW39" s="518" t="str">
        <f>IF(AND(_5="A-220-100",'2026'!$D$4="FO",'2026'!$D$2=BW5),'2026DATA'!$D$36,"")</f>
        <v/>
      </c>
      <c r="BX39" s="518" t="str">
        <f>IF(AND(_5="A-220-100",'2026'!$D$4="FO",'2026'!$D$2=BX5),'2026DATA'!$E$36,"")</f>
        <v/>
      </c>
      <c r="BY39" s="518" t="str">
        <f>IF(AND(_5="A-220-100",'2026'!$D$4="FO",'2026'!$D$2=BY5),'2026DATA'!$F$36,"")</f>
        <v/>
      </c>
      <c r="BZ39" s="518" t="str">
        <f>IF(AND(_5="A-220-100",'2026'!$D$4="FO",'2026'!$D$2=BZ5),'2026DATA'!$G$36,"")</f>
        <v/>
      </c>
      <c r="CA39" s="518" t="str">
        <f>IF(AND(_5="A-220-100",'2026'!$D$4="FO",'2026'!$D$2=CA5),'2026DATA'!$H$36,"")</f>
        <v/>
      </c>
      <c r="CB39" s="518" t="str">
        <f>IF(AND(_5="A-220-100",'2026'!$D$4="FO",'2026'!$D$2=CB5),'2026DATA'!$I$36,"")</f>
        <v/>
      </c>
      <c r="CC39" s="518" t="str">
        <f>IF(AND(_5="A-220-100",'2026'!$D$4="FO",'2026'!$D$2=CC5),'2026DATA'!$J$36,"")</f>
        <v/>
      </c>
      <c r="CD39" s="518" t="str">
        <f>IF(AND(_5="A-220-100",'2026'!$D$4="FO",'2026'!$D$2=CD5),'2026DATA'!$K$36,"")</f>
        <v/>
      </c>
      <c r="CE39" s="518" t="str">
        <f>IF(AND(_5="A-220-100",'2026'!$D$4="FO",'2026'!$D$2=CE5),'2026DATA'!$L$36,"")</f>
        <v/>
      </c>
      <c r="CF39" s="518" t="str">
        <f>IF(AND(_5="A-220-100",'2026'!$D$4="FO",'2026'!$D$2=CF5),'2026DATA'!$M$36,"")</f>
        <v/>
      </c>
      <c r="CG39" s="520" t="str">
        <f>IF(AND(_5="A-220-100",'2026'!$D$4="FO",'2026'!$D$2=CG5),'2026DATA'!$N$36,"")</f>
        <v/>
      </c>
      <c r="CH39" s="940"/>
      <c r="CI39" s="13" t="s">
        <v>62</v>
      </c>
      <c r="CJ39" s="518" t="str">
        <f>IF(AND(_6="A-220-100",'2026'!$D$4="FO",'2026'!$D$2=CJ5),'2026DATA'!$C$36,"")</f>
        <v/>
      </c>
      <c r="CK39" s="518" t="str">
        <f>IF(AND(_6="A-220-100",'2026'!$D$4="FO",'2026'!$D$2=CK5),'2026DATA'!$D$36,"")</f>
        <v/>
      </c>
      <c r="CL39" s="518" t="str">
        <f>IF(AND(_6="A-220-100",'2026'!$D$4="FO",'2026'!$D$2=CL5),'2026DATA'!$E$36,"")</f>
        <v/>
      </c>
      <c r="CM39" s="518" t="str">
        <f>IF(AND(_6="A-220-100",'2026'!$D$4="FO",'2026'!$D$2=CM5),'2026DATA'!$F$36,"")</f>
        <v/>
      </c>
      <c r="CN39" s="518" t="str">
        <f>IF(AND(_6="A-220-100",'2026'!$D$4="FO",'2026'!$D$2=CN5),'2026DATA'!$G$36,"")</f>
        <v/>
      </c>
      <c r="CO39" s="518" t="str">
        <f>IF(AND(_6="A-220-100",'2026'!$D$4="FO",'2026'!$D$2=CO5),'2026DATA'!$H$36,"")</f>
        <v/>
      </c>
      <c r="CP39" s="518" t="str">
        <f>IF(AND(_6="A-220-100",'2026'!$D$4="FO",'2026'!$D$2=CP5),'2026DATA'!$I$36,"")</f>
        <v/>
      </c>
      <c r="CQ39" s="518" t="str">
        <f>IF(AND(_6="A-220-100",'2026'!$D$4="FO",'2026'!$D$2=CQ5),'2026DATA'!$J$36,"")</f>
        <v/>
      </c>
      <c r="CR39" s="518" t="str">
        <f>IF(AND(_6="A-220-100",'2026'!$D$4="FO",'2026'!$D$2=CR5),'2026DATA'!$K$36,"")</f>
        <v/>
      </c>
      <c r="CS39" s="518" t="str">
        <f>IF(AND(_6="A-220-100",'2026'!$D$4="FO",'2026'!$D$2=CS5),'2026DATA'!$L$36,"")</f>
        <v/>
      </c>
      <c r="CT39" s="518" t="str">
        <f>IF(AND(_6="A-220-100",'2026'!$D$4="FO",'2026'!$D$2=CT5),'2026DATA'!$M$36,"")</f>
        <v/>
      </c>
      <c r="CU39" s="520" t="str">
        <f>IF(AND(_6="A-220-100",'2026'!$D$4="FO",'2026'!$D$2=CU5),'2026DATA'!$N$36,"")</f>
        <v/>
      </c>
    </row>
    <row r="40" spans="1:99" x14ac:dyDescent="0.25">
      <c r="P40" s="940" t="s">
        <v>53</v>
      </c>
      <c r="Q40" s="13" t="s">
        <v>61</v>
      </c>
      <c r="R40" s="518" t="str">
        <f>IF(AND(_1="B-717",'2026'!$D$4="CA",'2026'!$D$2=R5),'2026DATA'!$C$37,"")</f>
        <v/>
      </c>
      <c r="S40" s="518" t="str">
        <f>IF(AND(_1="B-717",'2026'!$D$4="CA",'2026'!$D$2=S5),'2026DATA'!$D$37,"")</f>
        <v/>
      </c>
      <c r="T40" s="518" t="str">
        <f>IF(AND(_1="B-717",'2026'!$D$4="CA",'2026'!$D$2=T5),'2026DATA'!$E$37,"")</f>
        <v/>
      </c>
      <c r="U40" s="518" t="str">
        <f>IF(AND(_1="B-717",'2026'!$D$4="CA",'2026'!$D$2=U5),'2026DATA'!$F$37,"")</f>
        <v/>
      </c>
      <c r="V40" s="518" t="str">
        <f>IF(AND(_1="B-717",'2026'!$D$4="CA",'2026'!$D$2=V5),'2026DATA'!$G$37,"")</f>
        <v/>
      </c>
      <c r="W40" s="518" t="str">
        <f>IF(AND(_1="B-717",'2026'!$D$4="CA",'2026'!$D$2=W5),'2026DATA'!$H$37,"")</f>
        <v/>
      </c>
      <c r="X40" s="518" t="str">
        <f>IF(AND(_1="B-717",'2026'!$D$4="CA",'2026'!$D$2=X5),'2026DATA'!$I$37,"")</f>
        <v/>
      </c>
      <c r="Y40" s="518" t="str">
        <f>IF(AND(_1="B-717",'2026'!$D$4="CA",'2026'!$D$2=Y5),'2026DATA'!$J$37,"")</f>
        <v/>
      </c>
      <c r="Z40" s="518" t="str">
        <f>IF(AND(_1="B-717",'2026'!$D$4="CA",'2026'!$D$2=Z5),'2026DATA'!$K$37,"")</f>
        <v/>
      </c>
      <c r="AA40" s="518" t="str">
        <f>IF(AND(_1="B-717",'2026'!$D$4="CA",'2026'!$D$2=AA5),'2026DATA'!$L$37,"")</f>
        <v/>
      </c>
      <c r="AB40" s="518" t="str">
        <f>IF(AND(_1="B-717",'2026'!$D$4="CA",'2026'!$D$2=AB5),'2026DATA'!$M$37,"")</f>
        <v/>
      </c>
      <c r="AC40" s="520" t="str">
        <f>IF(AND(_1="B-717",'2026'!$D$4="CA",'2026'!$D$2=AC5),'2026DATA'!$N$37,"")</f>
        <v/>
      </c>
      <c r="AD40" s="940" t="s">
        <v>53</v>
      </c>
      <c r="AE40" s="13" t="s">
        <v>61</v>
      </c>
      <c r="AF40" s="518" t="str">
        <f>IF(AND(_2="B-717",'2026'!$D$4="CA",'2026'!$D$2=AF5),'2026DATA'!$C$37,"")</f>
        <v/>
      </c>
      <c r="AG40" s="518" t="str">
        <f>IF(AND(_2="B-717",'2026'!$D$4="CA",'2026'!$D$2=AG5),'2026DATA'!$D$37,"")</f>
        <v/>
      </c>
      <c r="AH40" s="518" t="str">
        <f>IF(AND(_2="B-717",'2026'!$D$4="CA",'2026'!$D$2=AH5),'2026DATA'!$E$37,"")</f>
        <v/>
      </c>
      <c r="AI40" s="518" t="str">
        <f>IF(AND(_2="B-717",'2026'!$D$4="CA",'2026'!$D$2=AI5),'2026DATA'!$F$37,"")</f>
        <v/>
      </c>
      <c r="AJ40" s="518" t="str">
        <f>IF(AND(_2="B-717",'2026'!$D$4="CA",'2026'!$D$2=AJ5),'2026DATA'!$G$37,"")</f>
        <v/>
      </c>
      <c r="AK40" s="518" t="str">
        <f>IF(AND(_2="B-717",'2026'!$D$4="CA",'2026'!$D$2=AK5),'2026DATA'!$H$37,"")</f>
        <v/>
      </c>
      <c r="AL40" s="518" t="str">
        <f>IF(AND(_2="B-717",'2026'!$D$4="CA",'2026'!$D$2=AL5),'2026DATA'!$I$37,"")</f>
        <v/>
      </c>
      <c r="AM40" s="518" t="str">
        <f>IF(AND(_2="B-717",'2026'!$D$4="CA",'2026'!$D$2=AM5),'2026DATA'!$J$37,"")</f>
        <v/>
      </c>
      <c r="AN40" s="518" t="str">
        <f>IF(AND(_2="B-717",'2026'!$D$4="CA",'2026'!$D$2=AN5),'2026DATA'!$K$37,"")</f>
        <v/>
      </c>
      <c r="AO40" s="518" t="str">
        <f>IF(AND(_2="B-717",'2026'!$D$4="CA",'2026'!$D$2=AO5),'2026DATA'!$L$37,"")</f>
        <v/>
      </c>
      <c r="AP40" s="518" t="str">
        <f>IF(AND(_2="B-717",'2026'!$D$4="CA",'2026'!$D$2=AP5),'2026DATA'!$M$37,"")</f>
        <v/>
      </c>
      <c r="AQ40" s="520" t="str">
        <f>IF(AND(_2="B-717",'2026'!$D$4="CA",'2026'!$D$2=AQ5),'2026DATA'!$N$37,"")</f>
        <v/>
      </c>
      <c r="AR40" s="940" t="s">
        <v>53</v>
      </c>
      <c r="AS40" s="13" t="s">
        <v>61</v>
      </c>
      <c r="AT40" s="518" t="str">
        <f>IF(AND(_3="B-717",'2026'!$D$4="CA",'2026'!$D$2=AT5),'2026DATA'!$C$37,"")</f>
        <v/>
      </c>
      <c r="AU40" s="518" t="str">
        <f>IF(AND(_3="B-717",'2026'!$D$4="CA",'2026'!$D$2=AU5),'2026DATA'!$D$37,"")</f>
        <v/>
      </c>
      <c r="AV40" s="518" t="str">
        <f>IF(AND(_3="B-717",'2026'!$D$4="CA",'2026'!$D$2=AV5),'2026DATA'!$E$37,"")</f>
        <v/>
      </c>
      <c r="AW40" s="518" t="str">
        <f>IF(AND(_3="B-717",'2026'!$D$4="CA",'2026'!$D$2=AW5),'2026DATA'!$F$37,"")</f>
        <v/>
      </c>
      <c r="AX40" s="518" t="str">
        <f>IF(AND(_3="B-717",'2026'!$D$4="CA",'2026'!$D$2=AX5),'2026DATA'!$G$37,"")</f>
        <v/>
      </c>
      <c r="AY40" s="518" t="str">
        <f>IF(AND(_3="B-717",'2026'!$D$4="CA",'2026'!$D$2=AY5),'2026DATA'!$H$37,"")</f>
        <v/>
      </c>
      <c r="AZ40" s="518" t="str">
        <f>IF(AND(_3="B-717",'2026'!$D$4="CA",'2026'!$D$2=AZ5),'2026DATA'!$I$37,"")</f>
        <v/>
      </c>
      <c r="BA40" s="518" t="str">
        <f>IF(AND(_3="B-717",'2026'!$D$4="CA",'2026'!$D$2=BA5),'2026DATA'!$J$37,"")</f>
        <v/>
      </c>
      <c r="BB40" s="518" t="str">
        <f>IF(AND(_3="B-717",'2026'!$D$4="CA",'2026'!$D$2=BB5),'2026DATA'!$K$37,"")</f>
        <v/>
      </c>
      <c r="BC40" s="518" t="str">
        <f>IF(AND(_3="B-717",'2026'!$D$4="CA",'2026'!$D$2=BC5),'2026DATA'!$L$37,"")</f>
        <v/>
      </c>
      <c r="BD40" s="518" t="str">
        <f>IF(AND(_3="B-717",'2026'!$D$4="CA",'2026'!$D$2=BD5),'2026DATA'!$M$37,"")</f>
        <v/>
      </c>
      <c r="BE40" s="520" t="str">
        <f>IF(AND(_3="B-717",'2026'!$D$4="CA",'2026'!$D$2=BE5),'2026DATA'!$N$37,"")</f>
        <v/>
      </c>
      <c r="BF40" s="940" t="s">
        <v>53</v>
      </c>
      <c r="BG40" s="13" t="s">
        <v>61</v>
      </c>
      <c r="BH40" s="518" t="str">
        <f>IF(AND(_4="B-717",'2026'!$D$4="CA",'2026'!$D$2=BH5),'2026DATA'!$C$37,"")</f>
        <v/>
      </c>
      <c r="BI40" s="518" t="str">
        <f>IF(AND(_4="B-717",'2026'!$D$4="CA",'2026'!$D$2=BI5),'2026DATA'!$D$37,"")</f>
        <v/>
      </c>
      <c r="BJ40" s="518" t="str">
        <f>IF(AND(_4="B-717",'2026'!$D$4="CA",'2026'!$D$2=BJ5),'2026DATA'!$E$37,"")</f>
        <v/>
      </c>
      <c r="BK40" s="518" t="str">
        <f>IF(AND(_4="B-717",'2026'!$D$4="CA",'2026'!$D$2=BK5),'2026DATA'!$F$37,"")</f>
        <v/>
      </c>
      <c r="BL40" s="518" t="str">
        <f>IF(AND(_4="B-717",'2026'!$D$4="CA",'2026'!$D$2=BL5),'2026DATA'!$G$37,"")</f>
        <v/>
      </c>
      <c r="BM40" s="518" t="str">
        <f>IF(AND(_4="B-717",'2026'!$D$4="CA",'2026'!$D$2=BM5),'2026DATA'!$H$37,"")</f>
        <v/>
      </c>
      <c r="BN40" s="518" t="str">
        <f>IF(AND(_4="B-717",'2026'!$D$4="CA",'2026'!$D$2=BN5),'2026DATA'!$I$37,"")</f>
        <v/>
      </c>
      <c r="BO40" s="518" t="str">
        <f>IF(AND(_4="B-717",'2026'!$D$4="CA",'2026'!$D$2=BO5),'2026DATA'!$J$37,"")</f>
        <v/>
      </c>
      <c r="BP40" s="518" t="str">
        <f>IF(AND(_4="B-717",'2026'!$D$4="CA",'2026'!$D$2=BP5),'2026DATA'!$K$37,"")</f>
        <v/>
      </c>
      <c r="BQ40" s="518" t="str">
        <f>IF(AND(_4="B-717",'2026'!$D$4="CA",'2026'!$D$2=BQ5),'2026DATA'!$L$37,"")</f>
        <v/>
      </c>
      <c r="BR40" s="518" t="str">
        <f>IF(AND(_4="B-717",'2026'!$D$4="CA",'2026'!$D$2=BR5),'2026DATA'!$M$37,"")</f>
        <v/>
      </c>
      <c r="BS40" s="520" t="str">
        <f>IF(AND(_4="B-717",'2026'!$D$4="CA",'2026'!$D$2=BS5),'2026DATA'!$N$37,"")</f>
        <v/>
      </c>
      <c r="BT40" s="940" t="s">
        <v>53</v>
      </c>
      <c r="BU40" s="13" t="s">
        <v>61</v>
      </c>
      <c r="BV40" s="518" t="str">
        <f>IF(AND(_5="B-717",'2026'!$D$4="CA",'2026'!$D$2=BV5),'2026DATA'!$C$37,"")</f>
        <v/>
      </c>
      <c r="BW40" s="518" t="str">
        <f>IF(AND(_5="B-717",'2026'!$D$4="CA",'2026'!$D$2=BW5),'2026DATA'!$D$37,"")</f>
        <v/>
      </c>
      <c r="BX40" s="518" t="str">
        <f>IF(AND(_5="B-717",'2026'!$D$4="CA",'2026'!$D$2=BX5),'2026DATA'!$E$37,"")</f>
        <v/>
      </c>
      <c r="BY40" s="518" t="str">
        <f>IF(AND(_5="B-717",'2026'!$D$4="CA",'2026'!$D$2=BY5),'2026DATA'!$F$37,"")</f>
        <v/>
      </c>
      <c r="BZ40" s="518" t="str">
        <f>IF(AND(_5="B-717",'2026'!$D$4="CA",'2026'!$D$2=BZ5),'2026DATA'!$G$37,"")</f>
        <v/>
      </c>
      <c r="CA40" s="518" t="str">
        <f>IF(AND(_5="B-717",'2026'!$D$4="CA",'2026'!$D$2=CA5),'2026DATA'!$H$37,"")</f>
        <v/>
      </c>
      <c r="CB40" s="518" t="str">
        <f>IF(AND(_5="B-717",'2026'!$D$4="CA",'2026'!$D$2=CB5),'2026DATA'!$I$37,"")</f>
        <v/>
      </c>
      <c r="CC40" s="518" t="str">
        <f>IF(AND(_5="B-717",'2026'!$D$4="CA",'2026'!$D$2=CC5),'2026DATA'!$J$37,"")</f>
        <v/>
      </c>
      <c r="CD40" s="518" t="str">
        <f>IF(AND(_5="B-717",'2026'!$D$4="CA",'2026'!$D$2=CD5),'2026DATA'!$K$37,"")</f>
        <v/>
      </c>
      <c r="CE40" s="518" t="str">
        <f>IF(AND(_5="B-717",'2026'!$D$4="CA",'2026'!$D$2=CE5),'2026DATA'!$L$37,"")</f>
        <v/>
      </c>
      <c r="CF40" s="518" t="str">
        <f>IF(AND(_5="B-717",'2026'!$D$4="CA",'2026'!$D$2=CF5),'2026DATA'!$M$37,"")</f>
        <v/>
      </c>
      <c r="CG40" s="520" t="str">
        <f>IF(AND(_5="B-717",'2026'!$D$4="CA",'2026'!$D$2=CG5),'2026DATA'!$N$37,"")</f>
        <v/>
      </c>
      <c r="CH40" s="940" t="s">
        <v>53</v>
      </c>
      <c r="CI40" s="13" t="s">
        <v>61</v>
      </c>
      <c r="CJ40" s="518" t="str">
        <f>IF(AND(_6="B-717",'2026'!$D$4="CA",'2026'!$D$2=CJ5),'2026DATA'!$C$37,"")</f>
        <v/>
      </c>
      <c r="CK40" s="518" t="str">
        <f>IF(AND(_6="B-717",'2026'!$D$4="CA",'2026'!$D$2=CK5),'2026DATA'!$D$37,"")</f>
        <v/>
      </c>
      <c r="CL40" s="518" t="str">
        <f>IF(AND(_6="B-717",'2026'!$D$4="CA",'2026'!$D$2=CL5),'2026DATA'!$E$37,"")</f>
        <v/>
      </c>
      <c r="CM40" s="518" t="str">
        <f>IF(AND(_6="B-717",'2026'!$D$4="CA",'2026'!$D$2=CM5),'2026DATA'!$F$37,"")</f>
        <v/>
      </c>
      <c r="CN40" s="518" t="str">
        <f>IF(AND(_6="B-717",'2026'!$D$4="CA",'2026'!$D$2=CN5),'2026DATA'!$G$37,"")</f>
        <v/>
      </c>
      <c r="CO40" s="518" t="str">
        <f>IF(AND(_6="B-717",'2026'!$D$4="CA",'2026'!$D$2=CO5),'2026DATA'!$H$37,"")</f>
        <v/>
      </c>
      <c r="CP40" s="518" t="str">
        <f>IF(AND(_6="B-717",'2026'!$D$4="CA",'2026'!$D$2=CP5),'2026DATA'!$I$37,"")</f>
        <v/>
      </c>
      <c r="CQ40" s="518" t="str">
        <f>IF(AND(_6="B-717",'2026'!$D$4="CA",'2026'!$D$2=CQ5),'2026DATA'!$J$37,"")</f>
        <v/>
      </c>
      <c r="CR40" s="518" t="str">
        <f>IF(AND(_6="B-717",'2026'!$D$4="CA",'2026'!$D$2=CR5),'2026DATA'!$K$37,"")</f>
        <v/>
      </c>
      <c r="CS40" s="518" t="str">
        <f>IF(AND(_6="B-717",'2026'!$D$4="CA",'2026'!$D$2=CS5),'2026DATA'!$L$37,"")</f>
        <v/>
      </c>
      <c r="CT40" s="518" t="str">
        <f>IF(AND(_6="B-717",'2026'!$D$4="CA",'2026'!$D$2=CT5),'2026DATA'!$M$37,"")</f>
        <v/>
      </c>
      <c r="CU40" s="520" t="str">
        <f>IF(AND(_6="B-717",'2026'!$D$4="CA",'2026'!$D$2=CU5),'2026DATA'!$N$37,"")</f>
        <v/>
      </c>
    </row>
    <row r="41" spans="1:99" ht="15.75" thickBot="1" x14ac:dyDescent="0.3">
      <c r="P41" s="941"/>
      <c r="Q41" s="521" t="s">
        <v>62</v>
      </c>
      <c r="R41" s="522" t="str">
        <f>IF(AND(_1="B-717",'2026'!$D$4="FO",'2026'!$D$2=R5),'2026DATA'!$C$38,"")</f>
        <v/>
      </c>
      <c r="S41" s="522" t="str">
        <f>IF(AND(_1="B-717",'2026'!$D$4="FO",'2026'!$D$2=S5),'2026DATA'!$D$38,"")</f>
        <v/>
      </c>
      <c r="T41" s="522" t="str">
        <f>IF(AND(_1="B-717",'2026'!$D$4="FO",'2026'!$D$2=T5),'2026DATA'!$E$38,"")</f>
        <v/>
      </c>
      <c r="U41" s="522" t="str">
        <f>IF(AND(_1="B-717",'2026'!$D$4="FO",'2026'!$D$2=U5),'2026DATA'!$F$38,"")</f>
        <v/>
      </c>
      <c r="V41" s="522" t="str">
        <f>IF(AND(_1="B-717",'2026'!$D$4="FO",'2026'!$D$2=V5),'2026DATA'!$G$38,"")</f>
        <v/>
      </c>
      <c r="W41" s="522" t="str">
        <f>IF(AND(_1="B-717",'2026'!$D$4="FO",'2026'!$D$2=W5),'2026DATA'!$H$38,"")</f>
        <v/>
      </c>
      <c r="X41" s="522" t="str">
        <f>IF(AND(_1="B-717",'2026'!$D$4="FO",'2026'!$D$2=X5),'2026DATA'!$I$38,"")</f>
        <v/>
      </c>
      <c r="Y41" s="522" t="str">
        <f>IF(AND(_1="B-717",'2026'!$D$4="FO",'2026'!$D$2=Y5),'2026DATA'!$J$38,"")</f>
        <v/>
      </c>
      <c r="Z41" s="522" t="str">
        <f>IF(AND(_1="B-717",'2026'!$D$4="FO",'2026'!$D$2=Z5),'2026DATA'!$K$38,"")</f>
        <v/>
      </c>
      <c r="AA41" s="522" t="str">
        <f>IF(AND(_1="B-717",'2026'!$D$4="FO",'2026'!$D$2=AA5),'2026DATA'!$L$38,"")</f>
        <v/>
      </c>
      <c r="AB41" s="522" t="str">
        <f>IF(AND(_1="B-717",'2026'!$D$4="FO",'2026'!$D$2=AB5),'2026DATA'!$M$38,"")</f>
        <v/>
      </c>
      <c r="AC41" s="523" t="str">
        <f>IF(AND(_1="B-717",'2026'!$D$4="FO",'2026'!$D$2=AC5),'2026DATA'!$N$38,"")</f>
        <v/>
      </c>
      <c r="AD41" s="940"/>
      <c r="AE41" s="13" t="s">
        <v>62</v>
      </c>
      <c r="AF41" s="518" t="str">
        <f>IF(AND(_2="B-717",'2026'!$D$4="FO",'2026'!$D$2=AF5),'2026DATA'!$C$38,"")</f>
        <v/>
      </c>
      <c r="AG41" s="518" t="str">
        <f>IF(AND(_2="B-717",'2026'!$D$4="FO",'2026'!$D$2=AG5),'2026DATA'!$D$38,"")</f>
        <v/>
      </c>
      <c r="AH41" s="518" t="str">
        <f>IF(AND(_2="B-717",'2026'!$D$4="FO",'2026'!$D$2=AH5),'2026DATA'!$E$38,"")</f>
        <v/>
      </c>
      <c r="AI41" s="518" t="str">
        <f>IF(AND(_2="B-717",'2026'!$D$4="FO",'2026'!$D$2=AI5),'2026DATA'!$F$38,"")</f>
        <v/>
      </c>
      <c r="AJ41" s="518" t="str">
        <f>IF(AND(_2="B-717",'2026'!$D$4="FO",'2026'!$D$2=AJ5),'2026DATA'!$G$38,"")</f>
        <v/>
      </c>
      <c r="AK41" s="518" t="str">
        <f>IF(AND(_2="B-717",'2026'!$D$4="FO",'2026'!$D$2=AK5),'2026DATA'!$H$38,"")</f>
        <v/>
      </c>
      <c r="AL41" s="518" t="str">
        <f>IF(AND(_2="B-717",'2026'!$D$4="FO",'2026'!$D$2=AL5),'2026DATA'!$I$38,"")</f>
        <v/>
      </c>
      <c r="AM41" s="518" t="str">
        <f>IF(AND(_2="B-717",'2026'!$D$4="FO",'2026'!$D$2=AM5),'2026DATA'!$J$38,"")</f>
        <v/>
      </c>
      <c r="AN41" s="518" t="str">
        <f>IF(AND(_2="B-717",'2026'!$D$4="FO",'2026'!$D$2=AN5),'2026DATA'!$K$38,"")</f>
        <v/>
      </c>
      <c r="AO41" s="518" t="str">
        <f>IF(AND(_2="B-717",'2026'!$D$4="FO",'2026'!$D$2=AO5),'2026DATA'!$L$38,"")</f>
        <v/>
      </c>
      <c r="AP41" s="518" t="str">
        <f>IF(AND(_2="B-717",'2026'!$D$4="FO",'2026'!$D$2=AP5),'2026DATA'!$M$38,"")</f>
        <v/>
      </c>
      <c r="AQ41" s="520" t="str">
        <f>IF(AND(_2="B-717",'2026'!$D$4="FO",'2026'!$D$2=AQ5),'2026DATA'!$N$38,"")</f>
        <v/>
      </c>
      <c r="AR41" s="940"/>
      <c r="AS41" s="13" t="s">
        <v>62</v>
      </c>
      <c r="AT41" s="518" t="str">
        <f>IF(AND(_3="B-717",'2026'!$D$4="FO",'2026'!$D$2=AT5),'2026DATA'!$C$38,"")</f>
        <v/>
      </c>
      <c r="AU41" s="518" t="str">
        <f>IF(AND(_3="B-717",'2026'!$D$4="FO",'2026'!$D$2=AU5),'2026DATA'!$D$38,"")</f>
        <v/>
      </c>
      <c r="AV41" s="518" t="str">
        <f>IF(AND(_3="B-717",'2026'!$D$4="FO",'2026'!$D$2=AV5),'2026DATA'!$E$38,"")</f>
        <v/>
      </c>
      <c r="AW41" s="518" t="str">
        <f>IF(AND(_3="B-717",'2026'!$D$4="FO",'2026'!$D$2=AW5),'2026DATA'!$F$38,"")</f>
        <v/>
      </c>
      <c r="AX41" s="518" t="str">
        <f>IF(AND(_3="B-717",'2026'!$D$4="FO",'2026'!$D$2=AX5),'2026DATA'!$G$38,"")</f>
        <v/>
      </c>
      <c r="AY41" s="518" t="str">
        <f>IF(AND(_3="B-717",'2026'!$D$4="FO",'2026'!$D$2=AY5),'2026DATA'!$H$38,"")</f>
        <v/>
      </c>
      <c r="AZ41" s="518" t="str">
        <f>IF(AND(_3="B-717",'2026'!$D$4="FO",'2026'!$D$2=AZ5),'2026DATA'!$I$38,"")</f>
        <v/>
      </c>
      <c r="BA41" s="518" t="str">
        <f>IF(AND(_3="B-717",'2026'!$D$4="FO",'2026'!$D$2=BA5),'2026DATA'!$J$38,"")</f>
        <v/>
      </c>
      <c r="BB41" s="518" t="str">
        <f>IF(AND(_3="B-717",'2026'!$D$4="FO",'2026'!$D$2=BB5),'2026DATA'!$K$38,"")</f>
        <v/>
      </c>
      <c r="BC41" s="518" t="str">
        <f>IF(AND(_3="B-717",'2026'!$D$4="FO",'2026'!$D$2=BC5),'2026DATA'!$L$38,"")</f>
        <v/>
      </c>
      <c r="BD41" s="518" t="str">
        <f>IF(AND(_3="B-717",'2026'!$D$4="FO",'2026'!$D$2=BD5),'2026DATA'!$M$38,"")</f>
        <v/>
      </c>
      <c r="BE41" s="520" t="str">
        <f>IF(AND(_3="B-717",'2026'!$D$4="FO",'2026'!$D$2=BE5),'2026DATA'!$N$38,"")</f>
        <v/>
      </c>
      <c r="BF41" s="940"/>
      <c r="BG41" s="13" t="s">
        <v>62</v>
      </c>
      <c r="BH41" s="518" t="str">
        <f>IF(AND(_4="B-717",'2026'!$D$4="FO",'2026'!$D$2=BH5),'2026DATA'!$C$38,"")</f>
        <v/>
      </c>
      <c r="BI41" s="518" t="str">
        <f>IF(AND(_4="B-717",'2026'!$D$4="FO",'2026'!$D$2=BI5),'2026DATA'!$D$38,"")</f>
        <v/>
      </c>
      <c r="BJ41" s="518" t="str">
        <f>IF(AND(_4="B-717",'2026'!$D$4="FO",'2026'!$D$2=BJ5),'2026DATA'!$E$38,"")</f>
        <v/>
      </c>
      <c r="BK41" s="518" t="str">
        <f>IF(AND(_4="B-717",'2026'!$D$4="FO",'2026'!$D$2=BK5),'2026DATA'!$F$38,"")</f>
        <v/>
      </c>
      <c r="BL41" s="518" t="str">
        <f>IF(AND(_4="B-717",'2026'!$D$4="FO",'2026'!$D$2=BL5),'2026DATA'!$G$38,"")</f>
        <v/>
      </c>
      <c r="BM41" s="518" t="str">
        <f>IF(AND(_4="B-717",'2026'!$D$4="FO",'2026'!$D$2=BM5),'2026DATA'!$H$38,"")</f>
        <v/>
      </c>
      <c r="BN41" s="518" t="str">
        <f>IF(AND(_4="B-717",'2026'!$D$4="FO",'2026'!$D$2=BN5),'2026DATA'!$I$38,"")</f>
        <v/>
      </c>
      <c r="BO41" s="518" t="str">
        <f>IF(AND(_4="B-717",'2026'!$D$4="FO",'2026'!$D$2=BO5),'2026DATA'!$J$38,"")</f>
        <v/>
      </c>
      <c r="BP41" s="518" t="str">
        <f>IF(AND(_4="B-717",'2026'!$D$4="FO",'2026'!$D$2=BP5),'2026DATA'!$K$38,"")</f>
        <v/>
      </c>
      <c r="BQ41" s="518" t="str">
        <f>IF(AND(_4="B-717",'2026'!$D$4="FO",'2026'!$D$2=BQ5),'2026DATA'!$L$38,"")</f>
        <v/>
      </c>
      <c r="BR41" s="518" t="str">
        <f>IF(AND(_4="B-717",'2026'!$D$4="FO",'2026'!$D$2=BR5),'2026DATA'!$M$38,"")</f>
        <v/>
      </c>
      <c r="BS41" s="520" t="str">
        <f>IF(AND(_4="B-717",'2026'!$D$4="FO",'2026'!$D$2=BS5),'2026DATA'!$N$38,"")</f>
        <v/>
      </c>
      <c r="BT41" s="940"/>
      <c r="BU41" s="13" t="s">
        <v>62</v>
      </c>
      <c r="BV41" s="518" t="str">
        <f>IF(AND(_5="B-717",'2026'!$D$4="FO",'2026'!$D$2=BV5),'2026DATA'!$C$38,"")</f>
        <v/>
      </c>
      <c r="BW41" s="518" t="str">
        <f>IF(AND(_5="B-717",'2026'!$D$4="FO",'2026'!$D$2=BW5),'2026DATA'!$D$38,"")</f>
        <v/>
      </c>
      <c r="BX41" s="518" t="str">
        <f>IF(AND(_5="B-717",'2026'!$D$4="FO",'2026'!$D$2=BX5),'2026DATA'!$E$38,"")</f>
        <v/>
      </c>
      <c r="BY41" s="518" t="str">
        <f>IF(AND(_5="B-717",'2026'!$D$4="FO",'2026'!$D$2=BY5),'2026DATA'!$F$38,"")</f>
        <v/>
      </c>
      <c r="BZ41" s="518" t="str">
        <f>IF(AND(_5="B-717",'2026'!$D$4="FO",'2026'!$D$2=BZ5),'2026DATA'!$G$38,"")</f>
        <v/>
      </c>
      <c r="CA41" s="518" t="str">
        <f>IF(AND(_5="B-717",'2026'!$D$4="FO",'2026'!$D$2=CA5),'2026DATA'!$H$38,"")</f>
        <v/>
      </c>
      <c r="CB41" s="518" t="str">
        <f>IF(AND(_5="B-717",'2026'!$D$4="FO",'2026'!$D$2=CB5),'2026DATA'!$I$38,"")</f>
        <v/>
      </c>
      <c r="CC41" s="518" t="str">
        <f>IF(AND(_5="B-717",'2026'!$D$4="FO",'2026'!$D$2=CC5),'2026DATA'!$J$38,"")</f>
        <v/>
      </c>
      <c r="CD41" s="518" t="str">
        <f>IF(AND(_5="B-717",'2026'!$D$4="FO",'2026'!$D$2=CD5),'2026DATA'!$K$38,"")</f>
        <v/>
      </c>
      <c r="CE41" s="518" t="str">
        <f>IF(AND(_5="B-717",'2026'!$D$4="FO",'2026'!$D$2=CE5),'2026DATA'!$L$38,"")</f>
        <v/>
      </c>
      <c r="CF41" s="518" t="str">
        <f>IF(AND(_5="B-717",'2026'!$D$4="FO",'2026'!$D$2=CF5),'2026DATA'!$M$38,"")</f>
        <v/>
      </c>
      <c r="CG41" s="520" t="str">
        <f>IF(AND(_5="B-717",'2026'!$D$4="FO",'2026'!$D$2=CG5),'2026DATA'!$N$38,"")</f>
        <v/>
      </c>
      <c r="CH41" s="940"/>
      <c r="CI41" s="13" t="s">
        <v>62</v>
      </c>
      <c r="CJ41" s="518" t="str">
        <f>IF(AND(_6="B-717",'2026'!$D$4="FO",'2026'!$D$2=CJ5),'2026DATA'!$C$38,"")</f>
        <v/>
      </c>
      <c r="CK41" s="518" t="str">
        <f>IF(AND(_6="B-717",'2026'!$D$4="FO",'2026'!$D$2=CK5),'2026DATA'!$D$38,"")</f>
        <v/>
      </c>
      <c r="CL41" s="518" t="str">
        <f>IF(AND(_6="B-717",'2026'!$D$4="FO",'2026'!$D$2=CL5),'2026DATA'!$E$38,"")</f>
        <v/>
      </c>
      <c r="CM41" s="518" t="str">
        <f>IF(AND(_6="B-717",'2026'!$D$4="FO",'2026'!$D$2=CM5),'2026DATA'!$F$38,"")</f>
        <v/>
      </c>
      <c r="CN41" s="518" t="str">
        <f>IF(AND(_6="B-717",'2026'!$D$4="FO",'2026'!$D$2=CN5),'2026DATA'!$G$38,"")</f>
        <v/>
      </c>
      <c r="CO41" s="518" t="str">
        <f>IF(AND(_6="B-717",'2026'!$D$4="FO",'2026'!$D$2=CO5),'2026DATA'!$H$38,"")</f>
        <v/>
      </c>
      <c r="CP41" s="518" t="str">
        <f>IF(AND(_6="B-717",'2026'!$D$4="FO",'2026'!$D$2=CP5),'2026DATA'!$I$38,"")</f>
        <v/>
      </c>
      <c r="CQ41" s="518" t="str">
        <f>IF(AND(_6="B-717",'2026'!$D$4="FO",'2026'!$D$2=CQ5),'2026DATA'!$J$38,"")</f>
        <v/>
      </c>
      <c r="CR41" s="518" t="str">
        <f>IF(AND(_6="B-717",'2026'!$D$4="FO",'2026'!$D$2=CR5),'2026DATA'!$K$38,"")</f>
        <v/>
      </c>
      <c r="CS41" s="518" t="str">
        <f>IF(AND(_6="B-717",'2026'!$D$4="FO",'2026'!$D$2=CS5),'2026DATA'!$L$38,"")</f>
        <v/>
      </c>
      <c r="CT41" s="518" t="str">
        <f>IF(AND(_6="B-717",'2026'!$D$4="FO",'2026'!$D$2=CT5),'2026DATA'!$M$38,"")</f>
        <v/>
      </c>
      <c r="CU41" s="520" t="str">
        <f>IF(AND(_6="B-717",'2026'!$D$4="FO",'2026'!$D$2=CU5),'2026DATA'!$N$38,"")</f>
        <v/>
      </c>
    </row>
    <row r="42" spans="1:99" x14ac:dyDescent="0.25">
      <c r="P42" s="943" t="s">
        <v>128</v>
      </c>
      <c r="Q42" s="944"/>
      <c r="R42" s="944"/>
      <c r="S42" s="944"/>
      <c r="T42" s="944"/>
      <c r="U42" s="944"/>
      <c r="V42" s="944"/>
      <c r="W42" s="944"/>
      <c r="X42" s="944"/>
      <c r="Y42" s="944"/>
      <c r="Z42" s="944"/>
      <c r="AA42" s="944"/>
      <c r="AB42" s="944"/>
      <c r="AC42" s="945"/>
      <c r="AD42" s="943" t="s">
        <v>129</v>
      </c>
      <c r="AE42" s="944"/>
      <c r="AF42" s="944"/>
      <c r="AG42" s="944"/>
      <c r="AH42" s="944"/>
      <c r="AI42" s="944"/>
      <c r="AJ42" s="944"/>
      <c r="AK42" s="944"/>
      <c r="AL42" s="944"/>
      <c r="AM42" s="944"/>
      <c r="AN42" s="944"/>
      <c r="AO42" s="944"/>
      <c r="AP42" s="944"/>
      <c r="AQ42" s="945"/>
      <c r="AR42" s="943" t="s">
        <v>130</v>
      </c>
      <c r="AS42" s="944"/>
      <c r="AT42" s="944"/>
      <c r="AU42" s="944"/>
      <c r="AV42" s="944"/>
      <c r="AW42" s="944"/>
      <c r="AX42" s="944"/>
      <c r="AY42" s="944"/>
      <c r="AZ42" s="944"/>
      <c r="BA42" s="944"/>
      <c r="BB42" s="944"/>
      <c r="BC42" s="944"/>
      <c r="BD42" s="944"/>
      <c r="BE42" s="945"/>
      <c r="BF42" s="943" t="s">
        <v>131</v>
      </c>
      <c r="BG42" s="944"/>
      <c r="BH42" s="944"/>
      <c r="BI42" s="944"/>
      <c r="BJ42" s="944"/>
      <c r="BK42" s="944"/>
      <c r="BL42" s="944"/>
      <c r="BM42" s="944"/>
      <c r="BN42" s="944"/>
      <c r="BO42" s="944"/>
      <c r="BP42" s="944"/>
      <c r="BQ42" s="944"/>
      <c r="BR42" s="944"/>
      <c r="BS42" s="945"/>
      <c r="BT42" s="943" t="s">
        <v>132</v>
      </c>
      <c r="BU42" s="944"/>
      <c r="BV42" s="944"/>
      <c r="BW42" s="944"/>
      <c r="BX42" s="944"/>
      <c r="BY42" s="944"/>
      <c r="BZ42" s="944"/>
      <c r="CA42" s="944"/>
      <c r="CB42" s="944"/>
      <c r="CC42" s="944"/>
      <c r="CD42" s="944"/>
      <c r="CE42" s="944"/>
      <c r="CF42" s="944"/>
      <c r="CG42" s="945"/>
      <c r="CH42" s="943" t="s">
        <v>133</v>
      </c>
      <c r="CI42" s="944"/>
      <c r="CJ42" s="944"/>
      <c r="CK42" s="944"/>
      <c r="CL42" s="944"/>
      <c r="CM42" s="944"/>
      <c r="CN42" s="944"/>
      <c r="CO42" s="944"/>
      <c r="CP42" s="944"/>
      <c r="CQ42" s="944"/>
      <c r="CR42" s="944"/>
      <c r="CS42" s="944"/>
      <c r="CT42" s="944"/>
      <c r="CU42" s="945"/>
    </row>
    <row r="43" spans="1:99" x14ac:dyDescent="0.25">
      <c r="P43" s="581">
        <v>2</v>
      </c>
      <c r="Q43" s="571">
        <f>SUM(R44:AC79)</f>
        <v>0</v>
      </c>
      <c r="R43" s="3">
        <v>12</v>
      </c>
      <c r="S43" s="3">
        <v>11</v>
      </c>
      <c r="T43" s="3">
        <v>10</v>
      </c>
      <c r="U43" s="3">
        <v>9</v>
      </c>
      <c r="V43" s="3">
        <v>8</v>
      </c>
      <c r="W43" s="3">
        <v>7</v>
      </c>
      <c r="X43" s="3">
        <v>6</v>
      </c>
      <c r="Y43" s="3">
        <v>5</v>
      </c>
      <c r="Z43" s="3">
        <v>4</v>
      </c>
      <c r="AA43" s="3">
        <v>3</v>
      </c>
      <c r="AB43" s="3">
        <v>2</v>
      </c>
      <c r="AC43" s="519">
        <v>1</v>
      </c>
      <c r="AD43" s="571">
        <v>2</v>
      </c>
      <c r="AE43" s="571">
        <f>SUM(AF44:AQ79)</f>
        <v>0</v>
      </c>
      <c r="AF43" s="3">
        <v>12</v>
      </c>
      <c r="AG43" s="3">
        <v>11</v>
      </c>
      <c r="AH43" s="3">
        <v>10</v>
      </c>
      <c r="AI43" s="3">
        <v>9</v>
      </c>
      <c r="AJ43" s="3">
        <v>8</v>
      </c>
      <c r="AK43" s="3">
        <v>7</v>
      </c>
      <c r="AL43" s="3">
        <v>6</v>
      </c>
      <c r="AM43" s="3">
        <v>5</v>
      </c>
      <c r="AN43" s="3">
        <v>4</v>
      </c>
      <c r="AO43" s="3">
        <v>3</v>
      </c>
      <c r="AP43" s="3">
        <v>2</v>
      </c>
      <c r="AQ43" s="519">
        <v>1</v>
      </c>
      <c r="AR43" s="571">
        <v>2</v>
      </c>
      <c r="AS43" s="571">
        <f>SUM(AT44:BE79)</f>
        <v>0</v>
      </c>
      <c r="AT43" s="3">
        <v>12</v>
      </c>
      <c r="AU43" s="3">
        <v>11</v>
      </c>
      <c r="AV43" s="3">
        <v>10</v>
      </c>
      <c r="AW43" s="3">
        <v>9</v>
      </c>
      <c r="AX43" s="3">
        <v>8</v>
      </c>
      <c r="AY43" s="3">
        <v>7</v>
      </c>
      <c r="AZ43" s="3">
        <v>6</v>
      </c>
      <c r="BA43" s="3">
        <v>5</v>
      </c>
      <c r="BB43" s="3">
        <v>4</v>
      </c>
      <c r="BC43" s="3">
        <v>3</v>
      </c>
      <c r="BD43" s="3">
        <v>2</v>
      </c>
      <c r="BE43" s="519">
        <v>1</v>
      </c>
      <c r="BF43" s="571">
        <v>2</v>
      </c>
      <c r="BG43" s="571">
        <f>SUM(BH44:BS79)</f>
        <v>0</v>
      </c>
      <c r="BH43" s="3">
        <v>12</v>
      </c>
      <c r="BI43" s="3">
        <v>11</v>
      </c>
      <c r="BJ43" s="3">
        <v>10</v>
      </c>
      <c r="BK43" s="3">
        <v>9</v>
      </c>
      <c r="BL43" s="3">
        <v>8</v>
      </c>
      <c r="BM43" s="3">
        <v>7</v>
      </c>
      <c r="BN43" s="3">
        <v>6</v>
      </c>
      <c r="BO43" s="3">
        <v>5</v>
      </c>
      <c r="BP43" s="3">
        <v>4</v>
      </c>
      <c r="BQ43" s="3">
        <v>3</v>
      </c>
      <c r="BR43" s="3">
        <v>2</v>
      </c>
      <c r="BS43" s="519">
        <v>1</v>
      </c>
      <c r="BT43" s="571">
        <v>2</v>
      </c>
      <c r="BU43" s="571">
        <f>SUM(BV44:CG79)</f>
        <v>0</v>
      </c>
      <c r="BV43" s="3">
        <v>12</v>
      </c>
      <c r="BW43" s="3">
        <v>11</v>
      </c>
      <c r="BX43" s="3">
        <v>10</v>
      </c>
      <c r="BY43" s="3">
        <v>9</v>
      </c>
      <c r="BZ43" s="3">
        <v>8</v>
      </c>
      <c r="CA43" s="3">
        <v>7</v>
      </c>
      <c r="CB43" s="3">
        <v>6</v>
      </c>
      <c r="CC43" s="3">
        <v>5</v>
      </c>
      <c r="CD43" s="3">
        <v>4</v>
      </c>
      <c r="CE43" s="3">
        <v>3</v>
      </c>
      <c r="CF43" s="3">
        <v>2</v>
      </c>
      <c r="CG43" s="519">
        <v>1</v>
      </c>
      <c r="CH43" s="571">
        <v>2</v>
      </c>
      <c r="CI43" s="571">
        <f>SUM(CJ44:CU79)</f>
        <v>0</v>
      </c>
      <c r="CJ43" s="3">
        <v>12</v>
      </c>
      <c r="CK43" s="3">
        <v>11</v>
      </c>
      <c r="CL43" s="3">
        <v>10</v>
      </c>
      <c r="CM43" s="3">
        <v>9</v>
      </c>
      <c r="CN43" s="3">
        <v>8</v>
      </c>
      <c r="CO43" s="3">
        <v>7</v>
      </c>
      <c r="CP43" s="3">
        <v>6</v>
      </c>
      <c r="CQ43" s="3">
        <v>5</v>
      </c>
      <c r="CR43" s="3">
        <v>4</v>
      </c>
      <c r="CS43" s="3">
        <v>3</v>
      </c>
      <c r="CT43" s="3">
        <v>2</v>
      </c>
      <c r="CU43" s="519">
        <v>1</v>
      </c>
    </row>
    <row r="44" spans="1:99" x14ac:dyDescent="0.25">
      <c r="P44" s="940" t="s">
        <v>39</v>
      </c>
      <c r="Q44" s="13" t="s">
        <v>61</v>
      </c>
      <c r="R44" s="518" t="str">
        <f>IF(AND(_1="A-350",'2026'!$E$4="CA",'2026'!$E$2=R43),'2026DATA'!$C$3,"")</f>
        <v/>
      </c>
      <c r="S44" s="518" t="str">
        <f>IF(AND(_1="A-350",'2026'!$E$4="CA",'2026'!$E$2=S43),'2026DATA'!$D$3,"")</f>
        <v/>
      </c>
      <c r="T44" s="518" t="str">
        <f>IF(AND(_1="A-350",'2026'!$E$4="CA",'2026'!$E$2=T43),'2026DATA'!$E$3,"")</f>
        <v/>
      </c>
      <c r="U44" s="518" t="str">
        <f>IF(AND(_1="A-350",'2026'!$E$4="CA",'2026'!$E$2=U43),'2026DATA'!$F$3,"")</f>
        <v/>
      </c>
      <c r="V44" s="518" t="str">
        <f>IF(AND(_1="A-350",'2026'!$E$4="CA",'2026'!$E$2=V43),'2026DATA'!$G$3,"")</f>
        <v/>
      </c>
      <c r="W44" s="518" t="str">
        <f>IF(AND(_1="A-350",'2026'!$E$4="CA",'2026'!$E$2=W43),'2026DATA'!$H$3,"")</f>
        <v/>
      </c>
      <c r="X44" s="518" t="str">
        <f>IF(AND(_1="A-350",'2026'!$E$4="CA",'2026'!$E$2=X43),'2026DATA'!$I$3,"")</f>
        <v/>
      </c>
      <c r="Y44" s="518" t="str">
        <f>IF(AND(_1="A-350",'2026'!$E$4="CA",'2026'!$E$2=Y43),'2026DATA'!$J$3,"")</f>
        <v/>
      </c>
      <c r="Z44" s="518" t="str">
        <f>IF(AND(_1="A-350",'2026'!$E$4="CA",'2026'!$E$2=Z43),'2026DATA'!$K$3,"")</f>
        <v/>
      </c>
      <c r="AA44" s="518" t="str">
        <f>IF(AND(_1="A-350",'2026'!$E$4="CA",'2026'!$E$2=AA43),'2026DATA'!$L$3,"")</f>
        <v/>
      </c>
      <c r="AB44" s="518" t="str">
        <f>IF(AND(_1="A-350",'2026'!$E$4="CA",'2026'!$E$2=AB43),'2026DATA'!$M$3,"")</f>
        <v/>
      </c>
      <c r="AC44" s="520" t="str">
        <f>IF(AND(_1="A-350",'2026'!$E$4="CA",'2026'!$E$2=AC43),'2026DATA'!$N$3,"")</f>
        <v/>
      </c>
      <c r="AD44" s="940" t="s">
        <v>39</v>
      </c>
      <c r="AE44" s="13" t="s">
        <v>61</v>
      </c>
      <c r="AF44" s="518" t="str">
        <f>IF(AND(_2="A-350",'2026'!$E$4="CA",'2026'!$E$2=AF43),'2026DATA'!$C$3,"")</f>
        <v/>
      </c>
      <c r="AG44" s="518" t="str">
        <f>IF(AND(_2="A-350",'2026'!$E$4="CA",'2026'!$E$2=AG43),'2026DATA'!$D$3,"")</f>
        <v/>
      </c>
      <c r="AH44" s="518" t="str">
        <f>IF(AND(_2="A-350",'2026'!$E$4="CA",'2026'!$E$2=AH43),'2026DATA'!$E$3,"")</f>
        <v/>
      </c>
      <c r="AI44" s="518" t="str">
        <f>IF(AND(_2="A-350",'2026'!$E$4="CA",'2026'!$E$2=AI43),'2026DATA'!$F$3,"")</f>
        <v/>
      </c>
      <c r="AJ44" s="518" t="str">
        <f>IF(AND(_2="A-350",'2026'!$E$4="CA",'2026'!$E$2=AJ43),'2026DATA'!$G$3,"")</f>
        <v/>
      </c>
      <c r="AK44" s="518" t="str">
        <f>IF(AND(_2="A-350",'2026'!$E$4="CA",'2026'!$E$2=AK43),'2026DATA'!$H$3,"")</f>
        <v/>
      </c>
      <c r="AL44" s="518" t="str">
        <f>IF(AND(_2="A-350",'2026'!$E$4="CA",'2026'!$E$2=AL43),'2026DATA'!$I$3,"")</f>
        <v/>
      </c>
      <c r="AM44" s="518" t="str">
        <f>IF(AND(_2="A-350",'2026'!$E$4="CA",'2026'!$E$2=AM43),'2026DATA'!$J$3,"")</f>
        <v/>
      </c>
      <c r="AN44" s="518" t="str">
        <f>IF(AND(_2="A-350",'2026'!$E$4="CA",'2026'!$E$2=AN43),'2026DATA'!$K$3,"")</f>
        <v/>
      </c>
      <c r="AO44" s="518" t="str">
        <f>IF(AND(_2="A-350",'2026'!$E$4="CA",'2026'!$E$2=AO43),'2026DATA'!$L$3,"")</f>
        <v/>
      </c>
      <c r="AP44" s="518" t="str">
        <f>IF(AND(_2="A-350",'2026'!$E$4="CA",'2026'!$E$2=AP43),'2026DATA'!$M$3,"")</f>
        <v/>
      </c>
      <c r="AQ44" s="520" t="str">
        <f>IF(AND(_2="A-350",'2026'!$E$4="CA",'2026'!$E$2=AQ43),'2026DATA'!$N$3,"")</f>
        <v/>
      </c>
      <c r="AR44" s="940" t="s">
        <v>39</v>
      </c>
      <c r="AS44" s="13" t="s">
        <v>61</v>
      </c>
      <c r="AT44" s="518" t="str">
        <f>IF(AND(_3="A-350",'2026'!$E$4="CA",'2026'!$E$2=AT43),'2026DATA'!$C$3,"")</f>
        <v/>
      </c>
      <c r="AU44" s="518" t="str">
        <f>IF(AND(_3="A-350",'2026'!$E$4="CA",'2026'!$E$2=AU43),'2026DATA'!$D$3,"")</f>
        <v/>
      </c>
      <c r="AV44" s="518" t="str">
        <f>IF(AND(_3="A-350",'2026'!$E$4="CA",'2026'!$E$2=AV43),'2026DATA'!$E$3,"")</f>
        <v/>
      </c>
      <c r="AW44" s="518" t="str">
        <f>IF(AND(_3="A-350",'2026'!$E$4="CA",'2026'!$E$2=AW43),'2026DATA'!$F$3,"")</f>
        <v/>
      </c>
      <c r="AX44" s="518" t="str">
        <f>IF(AND(_3="A-350",'2026'!$E$4="CA",'2026'!$E$2=AX43),'2026DATA'!$G$3,"")</f>
        <v/>
      </c>
      <c r="AY44" s="518" t="str">
        <f>IF(AND(_3="A-350",'2026'!$E$4="CA",'2026'!$E$2=AY43),'2026DATA'!$H$3,"")</f>
        <v/>
      </c>
      <c r="AZ44" s="518" t="str">
        <f>IF(AND(_3="A-350",'2026'!$E$4="CA",'2026'!$E$2=AZ43),'2026DATA'!$I$3,"")</f>
        <v/>
      </c>
      <c r="BA44" s="518" t="str">
        <f>IF(AND(_3="A-350",'2026'!$E$4="CA",'2026'!$E$2=BA43),'2026DATA'!$J$3,"")</f>
        <v/>
      </c>
      <c r="BB44" s="518" t="str">
        <f>IF(AND(_3="A-350",'2026'!$E$4="CA",'2026'!$E$2=BB43),'2026DATA'!$K$3,"")</f>
        <v/>
      </c>
      <c r="BC44" s="518" t="str">
        <f>IF(AND(_3="A-350",'2026'!$E$4="CA",'2026'!$E$2=BC43),'2026DATA'!$L$3,"")</f>
        <v/>
      </c>
      <c r="BD44" s="518" t="str">
        <f>IF(AND(_3="A-350",'2026'!$E$4="CA",'2026'!$E$2=BD43),'2026DATA'!$M$3,"")</f>
        <v/>
      </c>
      <c r="BE44" s="520" t="str">
        <f>IF(AND(_3="A-350",'2026'!$E$4="CA",'2026'!$E$2=BE43),'2026DATA'!$N$3,"")</f>
        <v/>
      </c>
      <c r="BF44" s="940" t="s">
        <v>39</v>
      </c>
      <c r="BG44" s="13" t="s">
        <v>61</v>
      </c>
      <c r="BH44" s="518" t="str">
        <f>IF(AND(_4="A-350",'2026'!$E$4="CA",'2026'!$E$2=BH43),'2026DATA'!$C$3,"")</f>
        <v/>
      </c>
      <c r="BI44" s="518" t="str">
        <f>IF(AND(_4="A-350",'2026'!$E$4="CA",'2026'!$E$2=BI43),'2026DATA'!$D$3,"")</f>
        <v/>
      </c>
      <c r="BJ44" s="518" t="str">
        <f>IF(AND(_4="A-350",'2026'!$E$4="CA",'2026'!$E$2=BJ43),'2026DATA'!$E$3,"")</f>
        <v/>
      </c>
      <c r="BK44" s="518" t="str">
        <f>IF(AND(_4="A-350",'2026'!$E$4="CA",'2026'!$E$2=BK43),'2026DATA'!$F$3,"")</f>
        <v/>
      </c>
      <c r="BL44" s="518" t="str">
        <f>IF(AND(_4="A-350",'2026'!$E$4="CA",'2026'!$E$2=BL43),'2026DATA'!$G$3,"")</f>
        <v/>
      </c>
      <c r="BM44" s="518" t="str">
        <f>IF(AND(_4="A-350",'2026'!$E$4="CA",'2026'!$E$2=BM43),'2026DATA'!$H$3,"")</f>
        <v/>
      </c>
      <c r="BN44" s="518" t="str">
        <f>IF(AND(_4="A-350",'2026'!$E$4="CA",'2026'!$E$2=BN43),'2026DATA'!$I$3,"")</f>
        <v/>
      </c>
      <c r="BO44" s="518" t="str">
        <f>IF(AND(_4="A-350",'2026'!$E$4="CA",'2026'!$E$2=BO43),'2026DATA'!$J$3,"")</f>
        <v/>
      </c>
      <c r="BP44" s="518" t="str">
        <f>IF(AND(_4="A-350",'2026'!$E$4="CA",'2026'!$E$2=BP43),'2026DATA'!$K$3,"")</f>
        <v/>
      </c>
      <c r="BQ44" s="518" t="str">
        <f>IF(AND(_4="A-350",'2026'!$E$4="CA",'2026'!$E$2=BQ43),'2026DATA'!$L$3,"")</f>
        <v/>
      </c>
      <c r="BR44" s="518" t="str">
        <f>IF(AND(_4="A-350",'2026'!$E$4="CA",'2026'!$E$2=BR43),'2026DATA'!$M$3,"")</f>
        <v/>
      </c>
      <c r="BS44" s="520" t="str">
        <f>IF(AND(_4="A-350",'2026'!$E$4="CA",'2026'!$E$2=BS43),'2026DATA'!$N$3,"")</f>
        <v/>
      </c>
      <c r="BT44" s="940" t="s">
        <v>39</v>
      </c>
      <c r="BU44" s="13" t="s">
        <v>61</v>
      </c>
      <c r="BV44" s="518" t="str">
        <f>IF(AND(_5="A-350",'2026'!$E$4="CA",'2026'!$E$2=BV43),'2026DATA'!$C$3,"")</f>
        <v/>
      </c>
      <c r="BW44" s="518" t="str">
        <f>IF(AND(_5="A-350",'2026'!$E$4="CA",'2026'!$E$2=BW43),'2026DATA'!$D$3,"")</f>
        <v/>
      </c>
      <c r="BX44" s="518" t="str">
        <f>IF(AND(_5="A-350",'2026'!$E$4="CA",'2026'!$E$2=BX43),'2026DATA'!$E$3,"")</f>
        <v/>
      </c>
      <c r="BY44" s="518" t="str">
        <f>IF(AND(_5="A-350",'2026'!$E$4="CA",'2026'!$E$2=BY43),'2026DATA'!$F$3,"")</f>
        <v/>
      </c>
      <c r="BZ44" s="518" t="str">
        <f>IF(AND(_5="A-350",'2026'!$E$4="CA",'2026'!$E$2=BZ43),'2026DATA'!$G$3,"")</f>
        <v/>
      </c>
      <c r="CA44" s="518" t="str">
        <f>IF(AND(_5="A-350",'2026'!$E$4="CA",'2026'!$E$2=CA43),'2026DATA'!$H$3,"")</f>
        <v/>
      </c>
      <c r="CB44" s="518" t="str">
        <f>IF(AND(_5="A-350",'2026'!$E$4="CA",'2026'!$E$2=CB43),'2026DATA'!$I$3,"")</f>
        <v/>
      </c>
      <c r="CC44" s="518" t="str">
        <f>IF(AND(_5="A-350",'2026'!$E$4="CA",'2026'!$E$2=CC43),'2026DATA'!$J$3,"")</f>
        <v/>
      </c>
      <c r="CD44" s="518" t="str">
        <f>IF(AND(_5="A-350",'2026'!$E$4="CA",'2026'!$E$2=CD43),'2026DATA'!$K$3,"")</f>
        <v/>
      </c>
      <c r="CE44" s="518" t="str">
        <f>IF(AND(_5="A-350",'2026'!$E$4="CA",'2026'!$E$2=CE43),'2026DATA'!$L$3,"")</f>
        <v/>
      </c>
      <c r="CF44" s="518" t="str">
        <f>IF(AND(_5="A-350",'2026'!$E$4="CA",'2026'!$E$2=CF43),'2026DATA'!$M$3,"")</f>
        <v/>
      </c>
      <c r="CG44" s="520" t="str">
        <f>IF(AND(_5="A-350",'2026'!$E$4="CA",'2026'!$E$2=CG43),'2026DATA'!$N$3,"")</f>
        <v/>
      </c>
      <c r="CH44" s="940" t="s">
        <v>39</v>
      </c>
      <c r="CI44" s="13" t="s">
        <v>61</v>
      </c>
      <c r="CJ44" s="518" t="str">
        <f>IF(AND(_6="A-350",'2026'!$E$4="CA",'2026'!$E$2=CJ43),'2026DATA'!$C$3,"")</f>
        <v/>
      </c>
      <c r="CK44" s="518" t="str">
        <f>IF(AND(_6="A-350",'2026'!$E$4="CA",'2026'!$E$2=CK43),'2026DATA'!$D$3,"")</f>
        <v/>
      </c>
      <c r="CL44" s="518" t="str">
        <f>IF(AND(_6="A-350",'2026'!$E$4="CA",'2026'!$E$2=CL43),'2026DATA'!$E$3,"")</f>
        <v/>
      </c>
      <c r="CM44" s="518" t="str">
        <f>IF(AND(_6="A-350",'2026'!$E$4="CA",'2026'!$E$2=CM43),'2026DATA'!$F$3,"")</f>
        <v/>
      </c>
      <c r="CN44" s="518" t="str">
        <f>IF(AND(_6="A-350",'2026'!$E$4="CA",'2026'!$E$2=CN43),'2026DATA'!$G$3,"")</f>
        <v/>
      </c>
      <c r="CO44" s="518" t="str">
        <f>IF(AND(_6="A-350",'2026'!$E$4="CA",'2026'!$E$2=CO43),'2026DATA'!$H$3,"")</f>
        <v/>
      </c>
      <c r="CP44" s="518" t="str">
        <f>IF(AND(_6="A-350",'2026'!$E$4="CA",'2026'!$E$2=CP43),'2026DATA'!$I$3,"")</f>
        <v/>
      </c>
      <c r="CQ44" s="518" t="str">
        <f>IF(AND(_6="A-350",'2026'!$E$4="CA",'2026'!$E$2=CQ43),'2026DATA'!$J$3,"")</f>
        <v/>
      </c>
      <c r="CR44" s="518" t="str">
        <f>IF(AND(_6="A-350",'2026'!$E$4="CA",'2026'!$E$2=CR43),'2026DATA'!$K$3,"")</f>
        <v/>
      </c>
      <c r="CS44" s="518" t="str">
        <f>IF(AND(_6="A-350",'2026'!$E$4="CA",'2026'!$E$2=CS43),'2026DATA'!$L$3,"")</f>
        <v/>
      </c>
      <c r="CT44" s="518" t="str">
        <f>IF(AND(_6="A-350",'2026'!$E$4="CA",'2026'!$E$2=CT43),'2026DATA'!$M$3,"")</f>
        <v/>
      </c>
      <c r="CU44" s="520" t="str">
        <f>IF(AND(_6="A-350",'2026'!$E$4="CA",'2026'!$E$2=CU43),'2026DATA'!$N$3,"")</f>
        <v/>
      </c>
    </row>
    <row r="45" spans="1:99" x14ac:dyDescent="0.25">
      <c r="P45" s="940"/>
      <c r="Q45" s="13" t="s">
        <v>62</v>
      </c>
      <c r="R45" s="518" t="str">
        <f>IF(AND(_1="A-350",'2026'!$E$4="FO",'2026'!$E$2=R43),'2026DATA'!$C$4,"")</f>
        <v/>
      </c>
      <c r="S45" s="518" t="str">
        <f>IF(AND(_1="A-350",'2026'!$E$4="FO",'2026'!$E$2=S43),'2026DATA'!$D$4,"")</f>
        <v/>
      </c>
      <c r="T45" s="518" t="str">
        <f>IF(AND(_1="A-350",'2026'!$E$4="FO",'2026'!$E$2=T43),'2026DATA'!$E$4,"")</f>
        <v/>
      </c>
      <c r="U45" s="518" t="str">
        <f>IF(AND(_1="A-350",'2026'!$E$4="FO",'2026'!$E$2=U43),'2026DATA'!$F$4,"")</f>
        <v/>
      </c>
      <c r="V45" s="518" t="str">
        <f>IF(AND(_1="A-350",'2026'!$E$4="FO",'2026'!$E$2=V43),'2026DATA'!$G$4,"")</f>
        <v/>
      </c>
      <c r="W45" s="518" t="str">
        <f>IF(AND(_1="A-350",'2026'!$E$4="FO",'2026'!$E$2=W43),'2026DATA'!$H$4,"")</f>
        <v/>
      </c>
      <c r="X45" s="518" t="str">
        <f>IF(AND(_1="A-350",'2026'!$E$4="FO",'2026'!$E$2=X43),'2026DATA'!$I$4,"")</f>
        <v/>
      </c>
      <c r="Y45" s="518" t="str">
        <f>IF(AND(_1="A-350",'2026'!$E$4="FO",'2026'!$E$2=Y43),'2026DATA'!$J$4,"")</f>
        <v/>
      </c>
      <c r="Z45" s="518" t="str">
        <f>IF(AND(_1="A-350",'2026'!$E$4="FO",'2026'!$E$2=Z43),'2026DATA'!$K$4,"")</f>
        <v/>
      </c>
      <c r="AA45" s="518" t="str">
        <f>IF(AND(_1="A-350",'2026'!$E$4="FO",'2026'!$E$2=AA43),'2026DATA'!$L$4,"")</f>
        <v/>
      </c>
      <c r="AB45" s="518" t="str">
        <f>IF(AND(_1="A-350",'2026'!$E$4="FO",'2026'!$E$2=AB43),'2026DATA'!$M$4,"")</f>
        <v/>
      </c>
      <c r="AC45" s="520" t="str">
        <f>IF(AND(_1="A-350",'2026'!$E$4="FO",'2026'!$E$2=AC43),'2026DATA'!$N$4,"")</f>
        <v/>
      </c>
      <c r="AD45" s="940"/>
      <c r="AE45" s="13" t="s">
        <v>62</v>
      </c>
      <c r="AF45" s="518" t="str">
        <f>IF(AND(_2="A-350",'2026'!$E$4="FO",'2026'!$E$2=AF43),'2026DATA'!$C$4,"")</f>
        <v/>
      </c>
      <c r="AG45" s="518" t="str">
        <f>IF(AND(_2="A-350",'2026'!$E$4="FO",'2026'!$E$2=AG43),'2026DATA'!$D$4,"")</f>
        <v/>
      </c>
      <c r="AH45" s="518" t="str">
        <f>IF(AND(_2="A-350",'2026'!$E$4="FO",'2026'!$E$2=AH43),'2026DATA'!$E$4,"")</f>
        <v/>
      </c>
      <c r="AI45" s="518" t="str">
        <f>IF(AND(_2="A-350",'2026'!$E$4="FO",'2026'!$E$2=AI43),'2026DATA'!$F$4,"")</f>
        <v/>
      </c>
      <c r="AJ45" s="518" t="str">
        <f>IF(AND(_2="A-350",'2026'!$E$4="FO",'2026'!$E$2=AJ43),'2026DATA'!$G$4,"")</f>
        <v/>
      </c>
      <c r="AK45" s="518" t="str">
        <f>IF(AND(_2="A-350",'2026'!$E$4="FO",'2026'!$E$2=AK43),'2026DATA'!$H$4,"")</f>
        <v/>
      </c>
      <c r="AL45" s="518" t="str">
        <f>IF(AND(_2="A-350",'2026'!$E$4="FO",'2026'!$E$2=AL43),'2026DATA'!$I$4,"")</f>
        <v/>
      </c>
      <c r="AM45" s="518" t="str">
        <f>IF(AND(_2="A-350",'2026'!$E$4="FO",'2026'!$E$2=AM43),'2026DATA'!$J$4,"")</f>
        <v/>
      </c>
      <c r="AN45" s="518" t="str">
        <f>IF(AND(_2="A-350",'2026'!$E$4="FO",'2026'!$E$2=AN43),'2026DATA'!$K$4,"")</f>
        <v/>
      </c>
      <c r="AO45" s="518" t="str">
        <f>IF(AND(_2="A-350",'2026'!$E$4="FO",'2026'!$E$2=AO43),'2026DATA'!$L$4,"")</f>
        <v/>
      </c>
      <c r="AP45" s="518" t="str">
        <f>IF(AND(_2="A-350",'2026'!$E$4="FO",'2026'!$E$2=AP43),'2026DATA'!$M$4,"")</f>
        <v/>
      </c>
      <c r="AQ45" s="520" t="str">
        <f>IF(AND(_2="A-350",'2026'!$E$4="FO",'2026'!$E$2=AQ43),'2026DATA'!$N$4,"")</f>
        <v/>
      </c>
      <c r="AR45" s="940"/>
      <c r="AS45" s="13" t="s">
        <v>62</v>
      </c>
      <c r="AT45" s="518" t="str">
        <f>IF(AND(_3="A-350",'2026'!$E$4="FO",'2026'!$E$2=AT43),'2026DATA'!$C$4,"")</f>
        <v/>
      </c>
      <c r="AU45" s="518" t="str">
        <f>IF(AND(_3="A-350",'2026'!$E$4="FO",'2026'!$E$2=AU43),'2026DATA'!$D$4,"")</f>
        <v/>
      </c>
      <c r="AV45" s="518" t="str">
        <f>IF(AND(_3="A-350",'2026'!$E$4="FO",'2026'!$E$2=AV43),'2026DATA'!$E$4,"")</f>
        <v/>
      </c>
      <c r="AW45" s="518" t="str">
        <f>IF(AND(_3="A-350",'2026'!$E$4="FO",'2026'!$E$2=AW43),'2026DATA'!$F$4,"")</f>
        <v/>
      </c>
      <c r="AX45" s="518" t="str">
        <f>IF(AND(_3="A-350",'2026'!$E$4="FO",'2026'!$E$2=AX43),'2026DATA'!$G$4,"")</f>
        <v/>
      </c>
      <c r="AY45" s="518" t="str">
        <f>IF(AND(_3="A-350",'2026'!$E$4="FO",'2026'!$E$2=AY43),'2026DATA'!$H$4,"")</f>
        <v/>
      </c>
      <c r="AZ45" s="518" t="str">
        <f>IF(AND(_3="A-350",'2026'!$E$4="FO",'2026'!$E$2=AZ43),'2026DATA'!$I$4,"")</f>
        <v/>
      </c>
      <c r="BA45" s="518" t="str">
        <f>IF(AND(_3="A-350",'2026'!$E$4="FO",'2026'!$E$2=BA43),'2026DATA'!$J$4,"")</f>
        <v/>
      </c>
      <c r="BB45" s="518" t="str">
        <f>IF(AND(_3="A-350",'2026'!$E$4="FO",'2026'!$E$2=BB43),'2026DATA'!$K$4,"")</f>
        <v/>
      </c>
      <c r="BC45" s="518" t="str">
        <f>IF(AND(_3="A-350",'2026'!$E$4="FO",'2026'!$E$2=BC43),'2026DATA'!$L$4,"")</f>
        <v/>
      </c>
      <c r="BD45" s="518" t="str">
        <f>IF(AND(_3="A-350",'2026'!$E$4="FO",'2026'!$E$2=BD43),'2026DATA'!$M$4,"")</f>
        <v/>
      </c>
      <c r="BE45" s="520" t="str">
        <f>IF(AND(_3="A-350",'2026'!$E$4="FO",'2026'!$E$2=BE43),'2026DATA'!$N$4,"")</f>
        <v/>
      </c>
      <c r="BF45" s="940"/>
      <c r="BG45" s="13" t="s">
        <v>62</v>
      </c>
      <c r="BH45" s="518" t="str">
        <f>IF(AND(_4="A-350",'2026'!$E$4="FO",'2026'!$E$2=BH43),'2026DATA'!$C$4,"")</f>
        <v/>
      </c>
      <c r="BI45" s="518" t="str">
        <f>IF(AND(_4="A-350",'2026'!$E$4="FO",'2026'!$E$2=BI43),'2026DATA'!$D$4,"")</f>
        <v/>
      </c>
      <c r="BJ45" s="518" t="str">
        <f>IF(AND(_4="A-350",'2026'!$E$4="FO",'2026'!$E$2=BJ43),'2026DATA'!$E$4,"")</f>
        <v/>
      </c>
      <c r="BK45" s="518" t="str">
        <f>IF(AND(_4="A-350",'2026'!$E$4="FO",'2026'!$E$2=BK43),'2026DATA'!$F$4,"")</f>
        <v/>
      </c>
      <c r="BL45" s="518" t="str">
        <f>IF(AND(_4="A-350",'2026'!$E$4="FO",'2026'!$E$2=BL43),'2026DATA'!$G$4,"")</f>
        <v/>
      </c>
      <c r="BM45" s="518" t="str">
        <f>IF(AND(_4="A-350",'2026'!$E$4="FO",'2026'!$E$2=BM43),'2026DATA'!$H$4,"")</f>
        <v/>
      </c>
      <c r="BN45" s="518" t="str">
        <f>IF(AND(_4="A-350",'2026'!$E$4="FO",'2026'!$E$2=BN43),'2026DATA'!$I$4,"")</f>
        <v/>
      </c>
      <c r="BO45" s="518" t="str">
        <f>IF(AND(_4="A-350",'2026'!$E$4="FO",'2026'!$E$2=BO43),'2026DATA'!$J$4,"")</f>
        <v/>
      </c>
      <c r="BP45" s="518" t="str">
        <f>IF(AND(_4="A-350",'2026'!$E$4="FO",'2026'!$E$2=BP43),'2026DATA'!$K$4,"")</f>
        <v/>
      </c>
      <c r="BQ45" s="518" t="str">
        <f>IF(AND(_4="A-350",'2026'!$E$4="FO",'2026'!$E$2=BQ43),'2026DATA'!$L$4,"")</f>
        <v/>
      </c>
      <c r="BR45" s="518" t="str">
        <f>IF(AND(_4="A-350",'2026'!$E$4="FO",'2026'!$E$2=BR43),'2026DATA'!$M$4,"")</f>
        <v/>
      </c>
      <c r="BS45" s="520" t="str">
        <f>IF(AND(_4="A-350",'2026'!$E$4="FO",'2026'!$E$2=BS43),'2026DATA'!$N$4,"")</f>
        <v/>
      </c>
      <c r="BT45" s="940"/>
      <c r="BU45" s="13" t="s">
        <v>62</v>
      </c>
      <c r="BV45" s="518" t="str">
        <f>IF(AND(_5="A-350",'2026'!$E$4="FO",'2026'!$E$2=BV43),'2026DATA'!$C$4,"")</f>
        <v/>
      </c>
      <c r="BW45" s="518" t="str">
        <f>IF(AND(_5="A-350",'2026'!$E$4="FO",'2026'!$E$2=BW43),'2026DATA'!$D$4,"")</f>
        <v/>
      </c>
      <c r="BX45" s="518" t="str">
        <f>IF(AND(_5="A-350",'2026'!$E$4="FO",'2026'!$E$2=BX43),'2026DATA'!$E$4,"")</f>
        <v/>
      </c>
      <c r="BY45" s="518" t="str">
        <f>IF(AND(_5="A-350",'2026'!$E$4="FO",'2026'!$E$2=BY43),'2026DATA'!$F$4,"")</f>
        <v/>
      </c>
      <c r="BZ45" s="518" t="str">
        <f>IF(AND(_5="A-350",'2026'!$E$4="FO",'2026'!$E$2=BZ43),'2026DATA'!$G$4,"")</f>
        <v/>
      </c>
      <c r="CA45" s="518" t="str">
        <f>IF(AND(_5="A-350",'2026'!$E$4="FO",'2026'!$E$2=CA43),'2026DATA'!$H$4,"")</f>
        <v/>
      </c>
      <c r="CB45" s="518" t="str">
        <f>IF(AND(_5="A-350",'2026'!$E$4="FO",'2026'!$E$2=CB43),'2026DATA'!$I$4,"")</f>
        <v/>
      </c>
      <c r="CC45" s="518" t="str">
        <f>IF(AND(_5="A-350",'2026'!$E$4="FO",'2026'!$E$2=CC43),'2026DATA'!$J$4,"")</f>
        <v/>
      </c>
      <c r="CD45" s="518" t="str">
        <f>IF(AND(_5="A-350",'2026'!$E$4="FO",'2026'!$E$2=CD43),'2026DATA'!$K$4,"")</f>
        <v/>
      </c>
      <c r="CE45" s="518" t="str">
        <f>IF(AND(_5="A-350",'2026'!$E$4="FO",'2026'!$E$2=CE43),'2026DATA'!$L$4,"")</f>
        <v/>
      </c>
      <c r="CF45" s="518" t="str">
        <f>IF(AND(_5="A-350",'2026'!$E$4="FO",'2026'!$E$2=CF43),'2026DATA'!$M$4,"")</f>
        <v/>
      </c>
      <c r="CG45" s="520" t="str">
        <f>IF(AND(_5="A-350",'2026'!$E$4="FO",'2026'!$E$2=CG43),'2026DATA'!$N$4,"")</f>
        <v/>
      </c>
      <c r="CH45" s="940"/>
      <c r="CI45" s="13" t="s">
        <v>62</v>
      </c>
      <c r="CJ45" s="518" t="str">
        <f>IF(AND(_6="A-350",'2026'!$E$4="FO",'2026'!$E$2=CJ43),'2026DATA'!$C$4,"")</f>
        <v/>
      </c>
      <c r="CK45" s="518" t="str">
        <f>IF(AND(_6="A-350",'2026'!$E$4="FO",'2026'!$E$2=CK43),'2026DATA'!$D$4,"")</f>
        <v/>
      </c>
      <c r="CL45" s="518" t="str">
        <f>IF(AND(_6="A-350",'2026'!$E$4="FO",'2026'!$E$2=CL43),'2026DATA'!$E$4,"")</f>
        <v/>
      </c>
      <c r="CM45" s="518" t="str">
        <f>IF(AND(_6="A-350",'2026'!$E$4="FO",'2026'!$E$2=CM43),'2026DATA'!$F$4,"")</f>
        <v/>
      </c>
      <c r="CN45" s="518" t="str">
        <f>IF(AND(_6="A-350",'2026'!$E$4="FO",'2026'!$E$2=CN43),'2026DATA'!$G$4,"")</f>
        <v/>
      </c>
      <c r="CO45" s="518" t="str">
        <f>IF(AND(_6="A-350",'2026'!$E$4="FO",'2026'!$E$2=CO43),'2026DATA'!$H$4,"")</f>
        <v/>
      </c>
      <c r="CP45" s="518" t="str">
        <f>IF(AND(_6="A-350",'2026'!$E$4="FO",'2026'!$E$2=CP43),'2026DATA'!$I$4,"")</f>
        <v/>
      </c>
      <c r="CQ45" s="518" t="str">
        <f>IF(AND(_6="A-350",'2026'!$E$4="FO",'2026'!$E$2=CQ43),'2026DATA'!$J$4,"")</f>
        <v/>
      </c>
      <c r="CR45" s="518" t="str">
        <f>IF(AND(_6="A-350",'2026'!$E$4="FO",'2026'!$E$2=CR43),'2026DATA'!$K$4,"")</f>
        <v/>
      </c>
      <c r="CS45" s="518" t="str">
        <f>IF(AND(_6="A-350",'2026'!$E$4="FO",'2026'!$E$2=CS43),'2026DATA'!$L$4,"")</f>
        <v/>
      </c>
      <c r="CT45" s="518" t="str">
        <f>IF(AND(_6="A-350",'2026'!$E$4="FO",'2026'!$E$2=CT43),'2026DATA'!$M$4,"")</f>
        <v/>
      </c>
      <c r="CU45" s="520" t="str">
        <f>IF(AND(_6="A-350",'2026'!$E$4="FO",'2026'!$E$2=CU43),'2026DATA'!$N$4,"")</f>
        <v/>
      </c>
    </row>
    <row r="46" spans="1:99" x14ac:dyDescent="0.25">
      <c r="P46" s="940" t="s">
        <v>65</v>
      </c>
      <c r="Q46" s="13" t="s">
        <v>61</v>
      </c>
      <c r="R46" s="518" t="str">
        <f>IF(AND(_1="A-330-900",'2026'!$E$4="CA",'2026'!$E$2=R43),'2026DATA'!$C$5,"")</f>
        <v/>
      </c>
      <c r="S46" s="518" t="str">
        <f>IF(AND(_1="A-330-900",'2026'!$E$4="CA",'2026'!$E$2=S43),'2026DATA'!$D$5,"")</f>
        <v/>
      </c>
      <c r="T46" s="518" t="str">
        <f>IF(AND(_1="A-330-900",'2026'!$E$4="CA",'2026'!$E$2=T43),'2026DATA'!$E$5,"")</f>
        <v/>
      </c>
      <c r="U46" s="518" t="str">
        <f>IF(AND(_1="A-330-900",'2026'!$E$4="CA",'2026'!$E$2=U43),'2026DATA'!$F$5,"")</f>
        <v/>
      </c>
      <c r="V46" s="518" t="str">
        <f>IF(AND(_1="A-330-900",'2026'!$E$4="CA",'2026'!$E$2=V43),'2026DATA'!$G$5,"")</f>
        <v/>
      </c>
      <c r="W46" s="518" t="str">
        <f>IF(AND(_1="A-330-900",'2026'!$E$4="CA",'2026'!$E$2=W43),'2026DATA'!$H$5,"")</f>
        <v/>
      </c>
      <c r="X46" s="518" t="str">
        <f>IF(AND(_1="A-330-900",'2026'!$E$4="CA",'2026'!$E$2=X43),'2026DATA'!$I$5,"")</f>
        <v/>
      </c>
      <c r="Y46" s="518" t="str">
        <f>IF(AND(_1="A-330-900",'2026'!$E$4="CA",'2026'!$E$2=Y43),'2026DATA'!$J$5,"")</f>
        <v/>
      </c>
      <c r="Z46" s="518" t="str">
        <f>IF(AND(_1="A-330-900",'2026'!$E$4="CA",'2026'!$E$2=Z43),'2026DATA'!$K$5,"")</f>
        <v/>
      </c>
      <c r="AA46" s="518" t="str">
        <f>IF(AND(_1="A-330-900",'2026'!$E$4="CA",'2026'!$E$2=AA43),'2026DATA'!$L$5,"")</f>
        <v/>
      </c>
      <c r="AB46" s="518" t="str">
        <f>IF(AND(_1="A-330-900",'2026'!$E$4="CA",'2026'!$E$2=AB43),'2026DATA'!$M$5,"")</f>
        <v/>
      </c>
      <c r="AC46" s="520" t="str">
        <f>IF(AND(_1="A-330-900",'2026'!$E$4="CA",'2026'!$E$2=AC43),'2026DATA'!$N$5,"")</f>
        <v/>
      </c>
      <c r="AD46" s="940" t="s">
        <v>65</v>
      </c>
      <c r="AE46" s="13" t="s">
        <v>61</v>
      </c>
      <c r="AF46" s="518" t="str">
        <f>IF(AND(_2="A-330-900",'2026'!$E$4="CA",'2026'!$E$2=AF43),'2026DATA'!$C$5,"")</f>
        <v/>
      </c>
      <c r="AG46" s="518" t="str">
        <f>IF(AND(_2="A-330-900",'2026'!$E$4="CA",'2026'!$E$2=AG43),'2026DATA'!$D$5,"")</f>
        <v/>
      </c>
      <c r="AH46" s="518" t="str">
        <f>IF(AND(_2="A-330-900",'2026'!$E$4="CA",'2026'!$E$2=AH43),'2026DATA'!$E$5,"")</f>
        <v/>
      </c>
      <c r="AI46" s="518" t="str">
        <f>IF(AND(_2="A-330-900",'2026'!$E$4="CA",'2026'!$E$2=AI43),'2026DATA'!$F$5,"")</f>
        <v/>
      </c>
      <c r="AJ46" s="518" t="str">
        <f>IF(AND(_2="A-330-900",'2026'!$E$4="CA",'2026'!$E$2=AJ43),'2026DATA'!$G$5,"")</f>
        <v/>
      </c>
      <c r="AK46" s="518" t="str">
        <f>IF(AND(_2="A-330-900",'2026'!$E$4="CA",'2026'!$E$2=AK43),'2026DATA'!$H$5,"")</f>
        <v/>
      </c>
      <c r="AL46" s="518" t="str">
        <f>IF(AND(_2="A-330-900",'2026'!$E$4="CA",'2026'!$E$2=AL43),'2026DATA'!$I$5,"")</f>
        <v/>
      </c>
      <c r="AM46" s="518" t="str">
        <f>IF(AND(_2="A-330-900",'2026'!$E$4="CA",'2026'!$E$2=AM43),'2026DATA'!$J$5,"")</f>
        <v/>
      </c>
      <c r="AN46" s="518" t="str">
        <f>IF(AND(_2="A-330-900",'2026'!$E$4="CA",'2026'!$E$2=AN43),'2026DATA'!$K$5,"")</f>
        <v/>
      </c>
      <c r="AO46" s="518" t="str">
        <f>IF(AND(_2="A-330-900",'2026'!$E$4="CA",'2026'!$E$2=AO43),'2026DATA'!$L$5,"")</f>
        <v/>
      </c>
      <c r="AP46" s="518" t="str">
        <f>IF(AND(_2="A-330-900",'2026'!$E$4="CA",'2026'!$E$2=AP43),'2026DATA'!$M$5,"")</f>
        <v/>
      </c>
      <c r="AQ46" s="520" t="str">
        <f>IF(AND(_2="A-330-900",'2026'!$E$4="CA",'2026'!$E$2=AQ43),'2026DATA'!$N$5,"")</f>
        <v/>
      </c>
      <c r="AR46" s="940" t="s">
        <v>65</v>
      </c>
      <c r="AS46" s="13" t="s">
        <v>61</v>
      </c>
      <c r="AT46" s="518" t="str">
        <f>IF(AND(_3="A-330-900",'2026'!$E$4="CA",'2026'!$E$2=AT43),'2026DATA'!$C$5,"")</f>
        <v/>
      </c>
      <c r="AU46" s="518" t="str">
        <f>IF(AND(_3="A-330-900",'2026'!$E$4="CA",'2026'!$E$2=AU43),'2026DATA'!$D$5,"")</f>
        <v/>
      </c>
      <c r="AV46" s="518" t="str">
        <f>IF(AND(_3="A-330-900",'2026'!$E$4="CA",'2026'!$E$2=AV43),'2026DATA'!$E$5,"")</f>
        <v/>
      </c>
      <c r="AW46" s="518" t="str">
        <f>IF(AND(_3="A-330-900",'2026'!$E$4="CA",'2026'!$E$2=AW43),'2026DATA'!$F$5,"")</f>
        <v/>
      </c>
      <c r="AX46" s="518" t="str">
        <f>IF(AND(_3="A-330-900",'2026'!$E$4="CA",'2026'!$E$2=AX43),'2026DATA'!$G$5,"")</f>
        <v/>
      </c>
      <c r="AY46" s="518" t="str">
        <f>IF(AND(_3="A-330-900",'2026'!$E$4="CA",'2026'!$E$2=AY43),'2026DATA'!$H$5,"")</f>
        <v/>
      </c>
      <c r="AZ46" s="518" t="str">
        <f>IF(AND(_3="A-330-900",'2026'!$E$4="CA",'2026'!$E$2=AZ43),'2026DATA'!$I$5,"")</f>
        <v/>
      </c>
      <c r="BA46" s="518" t="str">
        <f>IF(AND(_3="A-330-900",'2026'!$E$4="CA",'2026'!$E$2=BA43),'2026DATA'!$J$5,"")</f>
        <v/>
      </c>
      <c r="BB46" s="518" t="str">
        <f>IF(AND(_3="A-330-900",'2026'!$E$4="CA",'2026'!$E$2=BB43),'2026DATA'!$K$5,"")</f>
        <v/>
      </c>
      <c r="BC46" s="518" t="str">
        <f>IF(AND(_3="A-330-900",'2026'!$E$4="CA",'2026'!$E$2=BC43),'2026DATA'!$L$5,"")</f>
        <v/>
      </c>
      <c r="BD46" s="518" t="str">
        <f>IF(AND(_3="A-330-900",'2026'!$E$4="CA",'2026'!$E$2=BD43),'2026DATA'!$M$5,"")</f>
        <v/>
      </c>
      <c r="BE46" s="520" t="str">
        <f>IF(AND(_3="A-330-900",'2026'!$E$4="CA",'2026'!$E$2=BE43),'2026DATA'!$N$5,"")</f>
        <v/>
      </c>
      <c r="BF46" s="940" t="s">
        <v>65</v>
      </c>
      <c r="BG46" s="13" t="s">
        <v>61</v>
      </c>
      <c r="BH46" s="518" t="str">
        <f>IF(AND(_4="A-330-900",'2026'!$E$4="CA",'2026'!$E$2=BH43),'2026DATA'!$C$5,"")</f>
        <v/>
      </c>
      <c r="BI46" s="518" t="str">
        <f>IF(AND(_4="A-330-900",'2026'!$E$4="CA",'2026'!$E$2=BI43),'2026DATA'!$D$5,"")</f>
        <v/>
      </c>
      <c r="BJ46" s="518" t="str">
        <f>IF(AND(_4="A-330-900",'2026'!$E$4="CA",'2026'!$E$2=BJ43),'2026DATA'!$E$5,"")</f>
        <v/>
      </c>
      <c r="BK46" s="518" t="str">
        <f>IF(AND(_4="A-330-900",'2026'!$E$4="CA",'2026'!$E$2=BK43),'2026DATA'!$F$5,"")</f>
        <v/>
      </c>
      <c r="BL46" s="518" t="str">
        <f>IF(AND(_4="A-330-900",'2026'!$E$4="CA",'2026'!$E$2=BL43),'2026DATA'!$G$5,"")</f>
        <v/>
      </c>
      <c r="BM46" s="518" t="str">
        <f>IF(AND(_4="A-330-900",'2026'!$E$4="CA",'2026'!$E$2=BM43),'2026DATA'!$H$5,"")</f>
        <v/>
      </c>
      <c r="BN46" s="518" t="str">
        <f>IF(AND(_4="A-330-900",'2026'!$E$4="CA",'2026'!$E$2=BN43),'2026DATA'!$I$5,"")</f>
        <v/>
      </c>
      <c r="BO46" s="518" t="str">
        <f>IF(AND(_4="A-330-900",'2026'!$E$4="CA",'2026'!$E$2=BO43),'2026DATA'!$J$5,"")</f>
        <v/>
      </c>
      <c r="BP46" s="518" t="str">
        <f>IF(AND(_4="A-330-900",'2026'!$E$4="CA",'2026'!$E$2=BP43),'2026DATA'!$K$5,"")</f>
        <v/>
      </c>
      <c r="BQ46" s="518" t="str">
        <f>IF(AND(_4="A-330-900",'2026'!$E$4="CA",'2026'!$E$2=BQ43),'2026DATA'!$L$5,"")</f>
        <v/>
      </c>
      <c r="BR46" s="518" t="str">
        <f>IF(AND(_4="A-330-900",'2026'!$E$4="CA",'2026'!$E$2=BR43),'2026DATA'!$M$5,"")</f>
        <v/>
      </c>
      <c r="BS46" s="520" t="str">
        <f>IF(AND(_4="A-330-900",'2026'!$E$4="CA",'2026'!$E$2=BS43),'2026DATA'!$N$5,"")</f>
        <v/>
      </c>
      <c r="BT46" s="940" t="s">
        <v>65</v>
      </c>
      <c r="BU46" s="13" t="s">
        <v>61</v>
      </c>
      <c r="BV46" s="518" t="str">
        <f>IF(AND(_5="A-330-900",'2026'!$E$4="CA",'2026'!$E$2=BV43),'2026DATA'!$C$5,"")</f>
        <v/>
      </c>
      <c r="BW46" s="518" t="str">
        <f>IF(AND(_5="A-330-900",'2026'!$E$4="CA",'2026'!$E$2=BW43),'2026DATA'!$D$5,"")</f>
        <v/>
      </c>
      <c r="BX46" s="518" t="str">
        <f>IF(AND(_5="A-330-900",'2026'!$E$4="CA",'2026'!$E$2=BX43),'2026DATA'!$E$5,"")</f>
        <v/>
      </c>
      <c r="BY46" s="518" t="str">
        <f>IF(AND(_5="A-330-900",'2026'!$E$4="CA",'2026'!$E$2=BY43),'2026DATA'!$F$5,"")</f>
        <v/>
      </c>
      <c r="BZ46" s="518" t="str">
        <f>IF(AND(_5="A-330-900",'2026'!$E$4="CA",'2026'!$E$2=BZ43),'2026DATA'!$G$5,"")</f>
        <v/>
      </c>
      <c r="CA46" s="518" t="str">
        <f>IF(AND(_5="A-330-900",'2026'!$E$4="CA",'2026'!$E$2=CA43),'2026DATA'!$H$5,"")</f>
        <v/>
      </c>
      <c r="CB46" s="518" t="str">
        <f>IF(AND(_5="A-330-900",'2026'!$E$4="CA",'2026'!$E$2=CB43),'2026DATA'!$I$5,"")</f>
        <v/>
      </c>
      <c r="CC46" s="518" t="str">
        <f>IF(AND(_5="A-330-900",'2026'!$E$4="CA",'2026'!$E$2=CC43),'2026DATA'!$J$5,"")</f>
        <v/>
      </c>
      <c r="CD46" s="518" t="str">
        <f>IF(AND(_5="A-330-900",'2026'!$E$4="CA",'2026'!$E$2=CD43),'2026DATA'!$K$5,"")</f>
        <v/>
      </c>
      <c r="CE46" s="518" t="str">
        <f>IF(AND(_5="A-330-900",'2026'!$E$4="CA",'2026'!$E$2=CE43),'2026DATA'!$L$5,"")</f>
        <v/>
      </c>
      <c r="CF46" s="518" t="str">
        <f>IF(AND(_5="A-330-900",'2026'!$E$4="CA",'2026'!$E$2=CF43),'2026DATA'!$M$5,"")</f>
        <v/>
      </c>
      <c r="CG46" s="520" t="str">
        <f>IF(AND(_5="A-330-900",'2026'!$E$4="CA",'2026'!$E$2=CG43),'2026DATA'!$N$5,"")</f>
        <v/>
      </c>
      <c r="CH46" s="940" t="s">
        <v>65</v>
      </c>
      <c r="CI46" s="13" t="s">
        <v>61</v>
      </c>
      <c r="CJ46" s="518" t="str">
        <f>IF(AND(_6="A-330-900",'2026'!$E$4="CA",'2026'!$E$2=CJ43),'2026DATA'!$C$5,"")</f>
        <v/>
      </c>
      <c r="CK46" s="518" t="str">
        <f>IF(AND(_6="A-330-900",'2026'!$E$4="CA",'2026'!$E$2=CK43),'2026DATA'!$D$5,"")</f>
        <v/>
      </c>
      <c r="CL46" s="518" t="str">
        <f>IF(AND(_6="A-330-900",'2026'!$E$4="CA",'2026'!$E$2=CL43),'2026DATA'!$E$5,"")</f>
        <v/>
      </c>
      <c r="CM46" s="518" t="str">
        <f>IF(AND(_6="A-330-900",'2026'!$E$4="CA",'2026'!$E$2=CM43),'2026DATA'!$F$5,"")</f>
        <v/>
      </c>
      <c r="CN46" s="518" t="str">
        <f>IF(AND(_6="A-330-900",'2026'!$E$4="CA",'2026'!$E$2=CN43),'2026DATA'!$G$5,"")</f>
        <v/>
      </c>
      <c r="CO46" s="518" t="str">
        <f>IF(AND(_6="A-330-900",'2026'!$E$4="CA",'2026'!$E$2=CO43),'2026DATA'!$H$5,"")</f>
        <v/>
      </c>
      <c r="CP46" s="518" t="str">
        <f>IF(AND(_6="A-330-900",'2026'!$E$4="CA",'2026'!$E$2=CP43),'2026DATA'!$I$5,"")</f>
        <v/>
      </c>
      <c r="CQ46" s="518" t="str">
        <f>IF(AND(_6="A-330-900",'2026'!$E$4="CA",'2026'!$E$2=CQ43),'2026DATA'!$J$5,"")</f>
        <v/>
      </c>
      <c r="CR46" s="518" t="str">
        <f>IF(AND(_6="A-330-900",'2026'!$E$4="CA",'2026'!$E$2=CR43),'2026DATA'!$K$5,"")</f>
        <v/>
      </c>
      <c r="CS46" s="518" t="str">
        <f>IF(AND(_6="A-330-900",'2026'!$E$4="CA",'2026'!$E$2=CS43),'2026DATA'!$L$5,"")</f>
        <v/>
      </c>
      <c r="CT46" s="518" t="str">
        <f>IF(AND(_6="A-330-900",'2026'!$E$4="CA",'2026'!$E$2=CT43),'2026DATA'!$M$5,"")</f>
        <v/>
      </c>
      <c r="CU46" s="520" t="str">
        <f>IF(AND(_6="A-330-900",'2026'!$E$4="CA",'2026'!$E$2=CU43),'2026DATA'!$N$5,"")</f>
        <v/>
      </c>
    </row>
    <row r="47" spans="1:99" x14ac:dyDescent="0.25">
      <c r="P47" s="940"/>
      <c r="Q47" s="13" t="s">
        <v>62</v>
      </c>
      <c r="R47" s="518" t="str">
        <f>IF(AND(_1="A-330-900",'2026'!$E$4="FO",'2026'!$E$2=R43),'2026DATA'!$C$6,"")</f>
        <v/>
      </c>
      <c r="S47" s="518" t="str">
        <f>IF(AND(_1="A-330-900",'2026'!$E$4="FO",'2026'!$E$2=S43),'2026DATA'!$D$6,"")</f>
        <v/>
      </c>
      <c r="T47" s="518" t="str">
        <f>IF(AND(_1="A-330-900",'2026'!$E$4="FO",'2026'!$E$2=T43),'2026DATA'!$E$6,"")</f>
        <v/>
      </c>
      <c r="U47" s="518" t="str">
        <f>IF(AND(_1="A-330-900",'2026'!$E$4="FO",'2026'!$E$2=U43),'2026DATA'!$F$6,"")</f>
        <v/>
      </c>
      <c r="V47" s="518" t="str">
        <f>IF(AND(_1="A-330-900",'2026'!$E$4="FO",'2026'!$E$2=V43),'2026DATA'!$G$6,"")</f>
        <v/>
      </c>
      <c r="W47" s="518" t="str">
        <f>IF(AND(_1="A-330-900",'2026'!$E$4="FO",'2026'!$E$2=W43),'2026DATA'!$H$6,"")</f>
        <v/>
      </c>
      <c r="X47" s="518" t="str">
        <f>IF(AND(_1="A-330-900",'2026'!$E$4="FO",'2026'!$E$2=X43),'2026DATA'!$I$6,"")</f>
        <v/>
      </c>
      <c r="Y47" s="518" t="str">
        <f>IF(AND(_1="A-330-900",'2026'!$E$4="FO",'2026'!$E$2=Y43),'2026DATA'!$J$6,"")</f>
        <v/>
      </c>
      <c r="Z47" s="518" t="str">
        <f>IF(AND(_1="A-330-900",'2026'!$E$4="FO",'2026'!$E$2=Z43),'2026DATA'!$K$6,"")</f>
        <v/>
      </c>
      <c r="AA47" s="518" t="str">
        <f>IF(AND(_1="A-330-900",'2026'!$E$4="FO",'2026'!$E$2=AA43),'2026DATA'!$L$6,"")</f>
        <v/>
      </c>
      <c r="AB47" s="518" t="str">
        <f>IF(AND(_1="A-330-900",'2026'!$E$4="FO",'2026'!$E$2=AB43),'2026DATA'!$M$6,"")</f>
        <v/>
      </c>
      <c r="AC47" s="520" t="str">
        <f>IF(AND(_1="A-330-900",'2026'!$E$4="FO",'2026'!$E$2=AC43),'2026DATA'!$N$6,"")</f>
        <v/>
      </c>
      <c r="AD47" s="940"/>
      <c r="AE47" s="13" t="s">
        <v>62</v>
      </c>
      <c r="AF47" s="518" t="str">
        <f>IF(AND(_2="A-330-900",'2026'!$E$4="FO",'2026'!$E$2=AF43),'2026DATA'!$C$6,"")</f>
        <v/>
      </c>
      <c r="AG47" s="518" t="str">
        <f>IF(AND(_2="A-330-900",'2026'!$E$4="FO",'2026'!$E$2=AG43),'2026DATA'!$D$6,"")</f>
        <v/>
      </c>
      <c r="AH47" s="518" t="str">
        <f>IF(AND(_2="A-330-900",'2026'!$E$4="FO",'2026'!$E$2=AH43),'2026DATA'!$E$6,"")</f>
        <v/>
      </c>
      <c r="AI47" s="518" t="str">
        <f>IF(AND(_2="A-330-900",'2026'!$E$4="FO",'2026'!$E$2=AI43),'2026DATA'!$F$6,"")</f>
        <v/>
      </c>
      <c r="AJ47" s="518" t="str">
        <f>IF(AND(_2="A-330-900",'2026'!$E$4="FO",'2026'!$E$2=AJ43),'2026DATA'!$G$6,"")</f>
        <v/>
      </c>
      <c r="AK47" s="518" t="str">
        <f>IF(AND(_2="A-330-900",'2026'!$E$4="FO",'2026'!$E$2=AK43),'2026DATA'!$H$6,"")</f>
        <v/>
      </c>
      <c r="AL47" s="518" t="str">
        <f>IF(AND(_2="A-330-900",'2026'!$E$4="FO",'2026'!$E$2=AL43),'2026DATA'!$I$6,"")</f>
        <v/>
      </c>
      <c r="AM47" s="518" t="str">
        <f>IF(AND(_2="A-330-900",'2026'!$E$4="FO",'2026'!$E$2=AM43),'2026DATA'!$J$6,"")</f>
        <v/>
      </c>
      <c r="AN47" s="518" t="str">
        <f>IF(AND(_2="A-330-900",'2026'!$E$4="FO",'2026'!$E$2=AN43),'2026DATA'!$K$6,"")</f>
        <v/>
      </c>
      <c r="AO47" s="518" t="str">
        <f>IF(AND(_2="A-330-900",'2026'!$E$4="FO",'2026'!$E$2=AO43),'2026DATA'!$L$6,"")</f>
        <v/>
      </c>
      <c r="AP47" s="518" t="str">
        <f>IF(AND(_2="A-330-900",'2026'!$E$4="FO",'2026'!$E$2=AP43),'2026DATA'!$M$6,"")</f>
        <v/>
      </c>
      <c r="AQ47" s="520" t="str">
        <f>IF(AND(_2="A-330-900",'2026'!$E$4="FO",'2026'!$E$2=AQ43),'2026DATA'!$N$6,"")</f>
        <v/>
      </c>
      <c r="AR47" s="940"/>
      <c r="AS47" s="13" t="s">
        <v>62</v>
      </c>
      <c r="AT47" s="518" t="str">
        <f>IF(AND(_3="A-330-900",'2026'!$E$4="FO",'2026'!$E$2=AT43),'2026DATA'!$C$6,"")</f>
        <v/>
      </c>
      <c r="AU47" s="518" t="str">
        <f>IF(AND(_3="A-330-900",'2026'!$E$4="FO",'2026'!$E$2=AU43),'2026DATA'!$D$6,"")</f>
        <v/>
      </c>
      <c r="AV47" s="518" t="str">
        <f>IF(AND(_3="A-330-900",'2026'!$E$4="FO",'2026'!$E$2=AV43),'2026DATA'!$E$6,"")</f>
        <v/>
      </c>
      <c r="AW47" s="518" t="str">
        <f>IF(AND(_3="A-330-900",'2026'!$E$4="FO",'2026'!$E$2=AW43),'2026DATA'!$F$6,"")</f>
        <v/>
      </c>
      <c r="AX47" s="518" t="str">
        <f>IF(AND(_3="A-330-900",'2026'!$E$4="FO",'2026'!$E$2=AX43),'2026DATA'!$G$6,"")</f>
        <v/>
      </c>
      <c r="AY47" s="518" t="str">
        <f>IF(AND(_3="A-330-900",'2026'!$E$4="FO",'2026'!$E$2=AY43),'2026DATA'!$H$6,"")</f>
        <v/>
      </c>
      <c r="AZ47" s="518" t="str">
        <f>IF(AND(_3="A-330-900",'2026'!$E$4="FO",'2026'!$E$2=AZ43),'2026DATA'!$I$6,"")</f>
        <v/>
      </c>
      <c r="BA47" s="518" t="str">
        <f>IF(AND(_3="A-330-900",'2026'!$E$4="FO",'2026'!$E$2=BA43),'2026DATA'!$J$6,"")</f>
        <v/>
      </c>
      <c r="BB47" s="518" t="str">
        <f>IF(AND(_3="A-330-900",'2026'!$E$4="FO",'2026'!$E$2=BB43),'2026DATA'!$K$6,"")</f>
        <v/>
      </c>
      <c r="BC47" s="518" t="str">
        <f>IF(AND(_3="A-330-900",'2026'!$E$4="FO",'2026'!$E$2=BC43),'2026DATA'!$L$6,"")</f>
        <v/>
      </c>
      <c r="BD47" s="518" t="str">
        <f>IF(AND(_3="A-330-900",'2026'!$E$4="FO",'2026'!$E$2=BD43),'2026DATA'!$M$6,"")</f>
        <v/>
      </c>
      <c r="BE47" s="520" t="str">
        <f>IF(AND(_3="A-330-900",'2026'!$E$4="FO",'2026'!$E$2=BE43),'2026DATA'!$N$6,"")</f>
        <v/>
      </c>
      <c r="BF47" s="940"/>
      <c r="BG47" s="13" t="s">
        <v>62</v>
      </c>
      <c r="BH47" s="518" t="str">
        <f>IF(AND(_4="A-330-900",'2026'!$E$4="FO",'2026'!$E$2=BH43),'2026DATA'!$C$6,"")</f>
        <v/>
      </c>
      <c r="BI47" s="518" t="str">
        <f>IF(AND(_4="A-330-900",'2026'!$E$4="FO",'2026'!$E$2=BI43),'2026DATA'!$D$6,"")</f>
        <v/>
      </c>
      <c r="BJ47" s="518" t="str">
        <f>IF(AND(_4="A-330-900",'2026'!$E$4="FO",'2026'!$E$2=BJ43),'2026DATA'!$E$6,"")</f>
        <v/>
      </c>
      <c r="BK47" s="518" t="str">
        <f>IF(AND(_4="A-330-900",'2026'!$E$4="FO",'2026'!$E$2=BK43),'2026DATA'!$F$6,"")</f>
        <v/>
      </c>
      <c r="BL47" s="518" t="str">
        <f>IF(AND(_4="A-330-900",'2026'!$E$4="FO",'2026'!$E$2=BL43),'2026DATA'!$G$6,"")</f>
        <v/>
      </c>
      <c r="BM47" s="518" t="str">
        <f>IF(AND(_4="A-330-900",'2026'!$E$4="FO",'2026'!$E$2=BM43),'2026DATA'!$H$6,"")</f>
        <v/>
      </c>
      <c r="BN47" s="518" t="str">
        <f>IF(AND(_4="A-330-900",'2026'!$E$4="FO",'2026'!$E$2=BN43),'2026DATA'!$I$6,"")</f>
        <v/>
      </c>
      <c r="BO47" s="518" t="str">
        <f>IF(AND(_4="A-330-900",'2026'!$E$4="FO",'2026'!$E$2=BO43),'2026DATA'!$J$6,"")</f>
        <v/>
      </c>
      <c r="BP47" s="518" t="str">
        <f>IF(AND(_4="A-330-900",'2026'!$E$4="FO",'2026'!$E$2=BP43),'2026DATA'!$K$6,"")</f>
        <v/>
      </c>
      <c r="BQ47" s="518" t="str">
        <f>IF(AND(_4="A-330-900",'2026'!$E$4="FO",'2026'!$E$2=BQ43),'2026DATA'!$L$6,"")</f>
        <v/>
      </c>
      <c r="BR47" s="518" t="str">
        <f>IF(AND(_4="A-330-900",'2026'!$E$4="FO",'2026'!$E$2=BR43),'2026DATA'!$M$6,"")</f>
        <v/>
      </c>
      <c r="BS47" s="520" t="str">
        <f>IF(AND(_4="A-330-900",'2026'!$E$4="FO",'2026'!$E$2=BS43),'2026DATA'!$N$6,"")</f>
        <v/>
      </c>
      <c r="BT47" s="940"/>
      <c r="BU47" s="13" t="s">
        <v>62</v>
      </c>
      <c r="BV47" s="518" t="str">
        <f>IF(AND(_5="A-330-900",'2026'!$E$4="FO",'2026'!$E$2=BV43),'2026DATA'!$C$6,"")</f>
        <v/>
      </c>
      <c r="BW47" s="518" t="str">
        <f>IF(AND(_5="A-330-900",'2026'!$E$4="FO",'2026'!$E$2=BW43),'2026DATA'!$D$6,"")</f>
        <v/>
      </c>
      <c r="BX47" s="518" t="str">
        <f>IF(AND(_5="A-330-900",'2026'!$E$4="FO",'2026'!$E$2=BX43),'2026DATA'!$E$6,"")</f>
        <v/>
      </c>
      <c r="BY47" s="518" t="str">
        <f>IF(AND(_5="A-330-900",'2026'!$E$4="FO",'2026'!$E$2=BY43),'2026DATA'!$F$6,"")</f>
        <v/>
      </c>
      <c r="BZ47" s="518" t="str">
        <f>IF(AND(_5="A-330-900",'2026'!$E$4="FO",'2026'!$E$2=BZ43),'2026DATA'!$G$6,"")</f>
        <v/>
      </c>
      <c r="CA47" s="518" t="str">
        <f>IF(AND(_5="A-330-900",'2026'!$E$4="FO",'2026'!$E$2=CA43),'2026DATA'!$H$6,"")</f>
        <v/>
      </c>
      <c r="CB47" s="518" t="str">
        <f>IF(AND(_5="A-330-900",'2026'!$E$4="FO",'2026'!$E$2=CB43),'2026DATA'!$I$6,"")</f>
        <v/>
      </c>
      <c r="CC47" s="518" t="str">
        <f>IF(AND(_5="A-330-900",'2026'!$E$4="FO",'2026'!$E$2=CC43),'2026DATA'!$J$6,"")</f>
        <v/>
      </c>
      <c r="CD47" s="518" t="str">
        <f>IF(AND(_5="A-330-900",'2026'!$E$4="FO",'2026'!$E$2=CD43),'2026DATA'!$K$6,"")</f>
        <v/>
      </c>
      <c r="CE47" s="518" t="str">
        <f>IF(AND(_5="A-330-900",'2026'!$E$4="FO",'2026'!$E$2=CE43),'2026DATA'!$L$6,"")</f>
        <v/>
      </c>
      <c r="CF47" s="518" t="str">
        <f>IF(AND(_5="A-330-900",'2026'!$E$4="FO",'2026'!$E$2=CF43),'2026DATA'!$M$6,"")</f>
        <v/>
      </c>
      <c r="CG47" s="520" t="str">
        <f>IF(AND(_5="A-330-900",'2026'!$E$4="FO",'2026'!$E$2=CG43),'2026DATA'!$N$6,"")</f>
        <v/>
      </c>
      <c r="CH47" s="940"/>
      <c r="CI47" s="13" t="s">
        <v>62</v>
      </c>
      <c r="CJ47" s="518" t="str">
        <f>IF(AND(_6="A-330-900",'2026'!$E$4="FO",'2026'!$E$2=CJ43),'2026DATA'!$C$6,"")</f>
        <v/>
      </c>
      <c r="CK47" s="518" t="str">
        <f>IF(AND(_6="A-330-900",'2026'!$E$4="FO",'2026'!$E$2=CK43),'2026DATA'!$D$6,"")</f>
        <v/>
      </c>
      <c r="CL47" s="518" t="str">
        <f>IF(AND(_6="A-330-900",'2026'!$E$4="FO",'2026'!$E$2=CL43),'2026DATA'!$E$6,"")</f>
        <v/>
      </c>
      <c r="CM47" s="518" t="str">
        <f>IF(AND(_6="A-330-900",'2026'!$E$4="FO",'2026'!$E$2=CM43),'2026DATA'!$F$6,"")</f>
        <v/>
      </c>
      <c r="CN47" s="518" t="str">
        <f>IF(AND(_6="A-330-900",'2026'!$E$4="FO",'2026'!$E$2=CN43),'2026DATA'!$G$6,"")</f>
        <v/>
      </c>
      <c r="CO47" s="518" t="str">
        <f>IF(AND(_6="A-330-900",'2026'!$E$4="FO",'2026'!$E$2=CO43),'2026DATA'!$H$6,"")</f>
        <v/>
      </c>
      <c r="CP47" s="518" t="str">
        <f>IF(AND(_6="A-330-900",'2026'!$E$4="FO",'2026'!$E$2=CP43),'2026DATA'!$I$6,"")</f>
        <v/>
      </c>
      <c r="CQ47" s="518" t="str">
        <f>IF(AND(_6="A-330-900",'2026'!$E$4="FO",'2026'!$E$2=CQ43),'2026DATA'!$J$6,"")</f>
        <v/>
      </c>
      <c r="CR47" s="518" t="str">
        <f>IF(AND(_6="A-330-900",'2026'!$E$4="FO",'2026'!$E$2=CR43),'2026DATA'!$K$6,"")</f>
        <v/>
      </c>
      <c r="CS47" s="518" t="str">
        <f>IF(AND(_6="A-330-900",'2026'!$E$4="FO",'2026'!$E$2=CS43),'2026DATA'!$L$6,"")</f>
        <v/>
      </c>
      <c r="CT47" s="518" t="str">
        <f>IF(AND(_6="A-330-900",'2026'!$E$4="FO",'2026'!$E$2=CT43),'2026DATA'!$M$6,"")</f>
        <v/>
      </c>
      <c r="CU47" s="520" t="str">
        <f>IF(AND(_6="A-330-900",'2026'!$E$4="FO",'2026'!$E$2=CU43),'2026DATA'!$N$6,"")</f>
        <v/>
      </c>
    </row>
    <row r="48" spans="1:99" x14ac:dyDescent="0.25">
      <c r="P48" s="940" t="s">
        <v>64</v>
      </c>
      <c r="Q48" s="13" t="s">
        <v>61</v>
      </c>
      <c r="R48" s="518" t="str">
        <f>IF(AND(_1="A-330-300",'2026'!$E$4="CA",'2026'!$E$2=R43),'2026DATA'!$C$7,"")</f>
        <v/>
      </c>
      <c r="S48" s="518" t="str">
        <f>IF(AND(_1="A-330-300",'2026'!$E$4="CA",'2026'!$E$2=S43),'2026DATA'!$D$7,"")</f>
        <v/>
      </c>
      <c r="T48" s="518" t="str">
        <f>IF(AND(_1="A-330-300",'2026'!$E$4="CA",'2026'!$E$2=T43),'2026DATA'!$E$7,"")</f>
        <v/>
      </c>
      <c r="U48" s="518" t="str">
        <f>IF(AND(_1="A-330-300",'2026'!$E$4="CA",'2026'!$E$2=U43),'2026DATA'!$F$7,"")</f>
        <v/>
      </c>
      <c r="V48" s="518" t="str">
        <f>IF(AND(_1="A-330-300",'2026'!$E$4="CA",'2026'!$E$2=V43),'2026DATA'!$G$7,"")</f>
        <v/>
      </c>
      <c r="W48" s="518" t="str">
        <f>IF(AND(_1="A-330-300",'2026'!$E$4="CA",'2026'!$E$2=W43),'2026DATA'!$H$7,"")</f>
        <v/>
      </c>
      <c r="X48" s="518" t="str">
        <f>IF(AND(_1="A-330-300",'2026'!$E$4="CA",'2026'!$E$2=X43),'2026DATA'!$I$7,"")</f>
        <v/>
      </c>
      <c r="Y48" s="518" t="str">
        <f>IF(AND(_1="A-330-300",'2026'!$E$4="CA",'2026'!$E$2=Y43),'2026DATA'!$J$7,"")</f>
        <v/>
      </c>
      <c r="Z48" s="518" t="str">
        <f>IF(AND(_1="A-330-300",'2026'!$E$4="CA",'2026'!$E$2=Z43),'2026DATA'!$K$7,"")</f>
        <v/>
      </c>
      <c r="AA48" s="518" t="str">
        <f>IF(AND(_1="A-330-300",'2026'!$E$4="CA",'2026'!$E$2=AA43),'2026DATA'!$L$7,"")</f>
        <v/>
      </c>
      <c r="AB48" s="518" t="str">
        <f>IF(AND(_1="A-330-300",'2026'!$E$4="CA",'2026'!$E$2=AB43),'2026DATA'!$M$7,"")</f>
        <v/>
      </c>
      <c r="AC48" s="520" t="str">
        <f>IF(AND(_1="A-330-300",'2026'!$E$4="CA",'2026'!$E$2=AC43),'2026DATA'!$N$7,"")</f>
        <v/>
      </c>
      <c r="AD48" s="940" t="s">
        <v>64</v>
      </c>
      <c r="AE48" s="13" t="s">
        <v>61</v>
      </c>
      <c r="AF48" s="518" t="str">
        <f>IF(AND(_2="A-330-300",'2026'!$E$4="CA",'2026'!$E$2=AF43),'2026DATA'!$C$7,"")</f>
        <v/>
      </c>
      <c r="AG48" s="518" t="str">
        <f>IF(AND(_2="A-330-300",'2026'!$E$4="CA",'2026'!$E$2=AG43),'2026DATA'!$D$7,"")</f>
        <v/>
      </c>
      <c r="AH48" s="518" t="str">
        <f>IF(AND(_2="A-330-300",'2026'!$E$4="CA",'2026'!$E$2=AH43),'2026DATA'!$E$7,"")</f>
        <v/>
      </c>
      <c r="AI48" s="518" t="str">
        <f>IF(AND(_2="A-330-300",'2026'!$E$4="CA",'2026'!$E$2=AI43),'2026DATA'!$F$7,"")</f>
        <v/>
      </c>
      <c r="AJ48" s="518" t="str">
        <f>IF(AND(_2="A-330-300",'2026'!$E$4="CA",'2026'!$E$2=AJ43),'2026DATA'!$G$7,"")</f>
        <v/>
      </c>
      <c r="AK48" s="518" t="str">
        <f>IF(AND(_2="A-330-300",'2026'!$E$4="CA",'2026'!$E$2=AK43),'2026DATA'!$H$7,"")</f>
        <v/>
      </c>
      <c r="AL48" s="518" t="str">
        <f>IF(AND(_2="A-330-300",'2026'!$E$4="CA",'2026'!$E$2=AL43),'2026DATA'!$I$7,"")</f>
        <v/>
      </c>
      <c r="AM48" s="518" t="str">
        <f>IF(AND(_2="A-330-300",'2026'!$E$4="CA",'2026'!$E$2=AM43),'2026DATA'!$J$7,"")</f>
        <v/>
      </c>
      <c r="AN48" s="518" t="str">
        <f>IF(AND(_2="A-330-300",'2026'!$E$4="CA",'2026'!$E$2=AN43),'2026DATA'!$K$7,"")</f>
        <v/>
      </c>
      <c r="AO48" s="518" t="str">
        <f>IF(AND(_2="A-330-300",'2026'!$E$4="CA",'2026'!$E$2=AO43),'2026DATA'!$L$7,"")</f>
        <v/>
      </c>
      <c r="AP48" s="518" t="str">
        <f>IF(AND(_2="A-330-300",'2026'!$E$4="CA",'2026'!$E$2=AP43),'2026DATA'!$M$7,"")</f>
        <v/>
      </c>
      <c r="AQ48" s="520" t="str">
        <f>IF(AND(_2="A-330-300",'2026'!$E$4="CA",'2026'!$E$2=AQ43),'2026DATA'!$N$7,"")</f>
        <v/>
      </c>
      <c r="AR48" s="940" t="s">
        <v>64</v>
      </c>
      <c r="AS48" s="13" t="s">
        <v>61</v>
      </c>
      <c r="AT48" s="518" t="str">
        <f>IF(AND(_3="A-330-300",'2026'!$E$4="CA",'2026'!$E$2=AT43),'2026DATA'!$C$7,"")</f>
        <v/>
      </c>
      <c r="AU48" s="518" t="str">
        <f>IF(AND(_3="A-330-300",'2026'!$E$4="CA",'2026'!$E$2=AU43),'2026DATA'!$D$7,"")</f>
        <v/>
      </c>
      <c r="AV48" s="518" t="str">
        <f>IF(AND(_3="A-330-300",'2026'!$E$4="CA",'2026'!$E$2=AV43),'2026DATA'!$E$7,"")</f>
        <v/>
      </c>
      <c r="AW48" s="518" t="str">
        <f>IF(AND(_3="A-330-300",'2026'!$E$4="CA",'2026'!$E$2=AW43),'2026DATA'!$F$7,"")</f>
        <v/>
      </c>
      <c r="AX48" s="518" t="str">
        <f>IF(AND(_3="A-330-300",'2026'!$E$4="CA",'2026'!$E$2=AX43),'2026DATA'!$G$7,"")</f>
        <v/>
      </c>
      <c r="AY48" s="518" t="str">
        <f>IF(AND(_3="A-330-300",'2026'!$E$4="CA",'2026'!$E$2=AY43),'2026DATA'!$H$7,"")</f>
        <v/>
      </c>
      <c r="AZ48" s="518" t="str">
        <f>IF(AND(_3="A-330-300",'2026'!$E$4="CA",'2026'!$E$2=AZ43),'2026DATA'!$I$7,"")</f>
        <v/>
      </c>
      <c r="BA48" s="518" t="str">
        <f>IF(AND(_3="A-330-300",'2026'!$E$4="CA",'2026'!$E$2=BA43),'2026DATA'!$J$7,"")</f>
        <v/>
      </c>
      <c r="BB48" s="518" t="str">
        <f>IF(AND(_3="A-330-300",'2026'!$E$4="CA",'2026'!$E$2=BB43),'2026DATA'!$K$7,"")</f>
        <v/>
      </c>
      <c r="BC48" s="518" t="str">
        <f>IF(AND(_3="A-330-300",'2026'!$E$4="CA",'2026'!$E$2=BC43),'2026DATA'!$L$7,"")</f>
        <v/>
      </c>
      <c r="BD48" s="518" t="str">
        <f>IF(AND(_3="A-330-300",'2026'!$E$4="CA",'2026'!$E$2=BD43),'2026DATA'!$M$7,"")</f>
        <v/>
      </c>
      <c r="BE48" s="520" t="str">
        <f>IF(AND(_3="A-330-300",'2026'!$E$4="CA",'2026'!$E$2=BE43),'2026DATA'!$N$7,"")</f>
        <v/>
      </c>
      <c r="BF48" s="940" t="s">
        <v>64</v>
      </c>
      <c r="BG48" s="13" t="s">
        <v>61</v>
      </c>
      <c r="BH48" s="518" t="str">
        <f>IF(AND(_4="A-330-300",'2026'!$E$4="CA",'2026'!$E$2=BH43),'2026DATA'!$C$7,"")</f>
        <v/>
      </c>
      <c r="BI48" s="518" t="str">
        <f>IF(AND(_4="A-330-300",'2026'!$E$4="CA",'2026'!$E$2=BI43),'2026DATA'!$D$7,"")</f>
        <v/>
      </c>
      <c r="BJ48" s="518" t="str">
        <f>IF(AND(_4="A-330-300",'2026'!$E$4="CA",'2026'!$E$2=BJ43),'2026DATA'!$E$7,"")</f>
        <v/>
      </c>
      <c r="BK48" s="518" t="str">
        <f>IF(AND(_4="A-330-300",'2026'!$E$4="CA",'2026'!$E$2=BK43),'2026DATA'!$F$7,"")</f>
        <v/>
      </c>
      <c r="BL48" s="518" t="str">
        <f>IF(AND(_4="A-330-300",'2026'!$E$4="CA",'2026'!$E$2=BL43),'2026DATA'!$G$7,"")</f>
        <v/>
      </c>
      <c r="BM48" s="518" t="str">
        <f>IF(AND(_4="A-330-300",'2026'!$E$4="CA",'2026'!$E$2=BM43),'2026DATA'!$H$7,"")</f>
        <v/>
      </c>
      <c r="BN48" s="518" t="str">
        <f>IF(AND(_4="A-330-300",'2026'!$E$4="CA",'2026'!$E$2=BN43),'2026DATA'!$I$7,"")</f>
        <v/>
      </c>
      <c r="BO48" s="518" t="str">
        <f>IF(AND(_4="A-330-300",'2026'!$E$4="CA",'2026'!$E$2=BO43),'2026DATA'!$J$7,"")</f>
        <v/>
      </c>
      <c r="BP48" s="518" t="str">
        <f>IF(AND(_4="A-330-300",'2026'!$E$4="CA",'2026'!$E$2=BP43),'2026DATA'!$K$7,"")</f>
        <v/>
      </c>
      <c r="BQ48" s="518" t="str">
        <f>IF(AND(_4="A-330-300",'2026'!$E$4="CA",'2026'!$E$2=BQ43),'2026DATA'!$L$7,"")</f>
        <v/>
      </c>
      <c r="BR48" s="518" t="str">
        <f>IF(AND(_4="A-330-300",'2026'!$E$4="CA",'2026'!$E$2=BR43),'2026DATA'!$M$7,"")</f>
        <v/>
      </c>
      <c r="BS48" s="520" t="str">
        <f>IF(AND(_4="A-330-300",'2026'!$E$4="CA",'2026'!$E$2=BS43),'2026DATA'!$N$7,"")</f>
        <v/>
      </c>
      <c r="BT48" s="940" t="s">
        <v>64</v>
      </c>
      <c r="BU48" s="13" t="s">
        <v>61</v>
      </c>
      <c r="BV48" s="518" t="str">
        <f>IF(AND(_5="A-330-300",'2026'!$E$4="CA",'2026'!$E$2=BV43),'2026DATA'!$C$7,"")</f>
        <v/>
      </c>
      <c r="BW48" s="518" t="str">
        <f>IF(AND(_5="A-330-300",'2026'!$E$4="CA",'2026'!$E$2=BW43),'2026DATA'!$D$7,"")</f>
        <v/>
      </c>
      <c r="BX48" s="518" t="str">
        <f>IF(AND(_5="A-330-300",'2026'!$E$4="CA",'2026'!$E$2=BX43),'2026DATA'!$E$7,"")</f>
        <v/>
      </c>
      <c r="BY48" s="518" t="str">
        <f>IF(AND(_5="A-330-300",'2026'!$E$4="CA",'2026'!$E$2=BY43),'2026DATA'!$F$7,"")</f>
        <v/>
      </c>
      <c r="BZ48" s="518" t="str">
        <f>IF(AND(_5="A-330-300",'2026'!$E$4="CA",'2026'!$E$2=BZ43),'2026DATA'!$G$7,"")</f>
        <v/>
      </c>
      <c r="CA48" s="518" t="str">
        <f>IF(AND(_5="A-330-300",'2026'!$E$4="CA",'2026'!$E$2=CA43),'2026DATA'!$H$7,"")</f>
        <v/>
      </c>
      <c r="CB48" s="518" t="str">
        <f>IF(AND(_5="A-330-300",'2026'!$E$4="CA",'2026'!$E$2=CB43),'2026DATA'!$I$7,"")</f>
        <v/>
      </c>
      <c r="CC48" s="518" t="str">
        <f>IF(AND(_5="A-330-300",'2026'!$E$4="CA",'2026'!$E$2=CC43),'2026DATA'!$J$7,"")</f>
        <v/>
      </c>
      <c r="CD48" s="518" t="str">
        <f>IF(AND(_5="A-330-300",'2026'!$E$4="CA",'2026'!$E$2=CD43),'2026DATA'!$K$7,"")</f>
        <v/>
      </c>
      <c r="CE48" s="518" t="str">
        <f>IF(AND(_5="A-330-300",'2026'!$E$4="CA",'2026'!$E$2=CE43),'2026DATA'!$L$7,"")</f>
        <v/>
      </c>
      <c r="CF48" s="518" t="str">
        <f>IF(AND(_5="A-330-300",'2026'!$E$4="CA",'2026'!$E$2=CF43),'2026DATA'!$M$7,"")</f>
        <v/>
      </c>
      <c r="CG48" s="520" t="str">
        <f>IF(AND(_5="A-330-300",'2026'!$E$4="CA",'2026'!$E$2=CG43),'2026DATA'!$N$7,"")</f>
        <v/>
      </c>
      <c r="CH48" s="940" t="s">
        <v>64</v>
      </c>
      <c r="CI48" s="13" t="s">
        <v>61</v>
      </c>
      <c r="CJ48" s="518" t="str">
        <f>IF(AND(_6="A-330-300",'2026'!$E$4="CA",'2026'!$E$2=CJ43),'2026DATA'!$C$7,"")</f>
        <v/>
      </c>
      <c r="CK48" s="518" t="str">
        <f>IF(AND(_6="A-330-300",'2026'!$E$4="CA",'2026'!$E$2=CK43),'2026DATA'!$D$7,"")</f>
        <v/>
      </c>
      <c r="CL48" s="518" t="str">
        <f>IF(AND(_6="A-330-300",'2026'!$E$4="CA",'2026'!$E$2=CL43),'2026DATA'!$E$7,"")</f>
        <v/>
      </c>
      <c r="CM48" s="518" t="str">
        <f>IF(AND(_6="A-330-300",'2026'!$E$4="CA",'2026'!$E$2=CM43),'2026DATA'!$F$7,"")</f>
        <v/>
      </c>
      <c r="CN48" s="518" t="str">
        <f>IF(AND(_6="A-330-300",'2026'!$E$4="CA",'2026'!$E$2=CN43),'2026DATA'!$G$7,"")</f>
        <v/>
      </c>
      <c r="CO48" s="518" t="str">
        <f>IF(AND(_6="A-330-300",'2026'!$E$4="CA",'2026'!$E$2=CO43),'2026DATA'!$H$7,"")</f>
        <v/>
      </c>
      <c r="CP48" s="518" t="str">
        <f>IF(AND(_6="A-330-300",'2026'!$E$4="CA",'2026'!$E$2=CP43),'2026DATA'!$I$7,"")</f>
        <v/>
      </c>
      <c r="CQ48" s="518" t="str">
        <f>IF(AND(_6="A-330-300",'2026'!$E$4="CA",'2026'!$E$2=CQ43),'2026DATA'!$J$7,"")</f>
        <v/>
      </c>
      <c r="CR48" s="518" t="str">
        <f>IF(AND(_6="A-330-300",'2026'!$E$4="CA",'2026'!$E$2=CR43),'2026DATA'!$K$7,"")</f>
        <v/>
      </c>
      <c r="CS48" s="518" t="str">
        <f>IF(AND(_6="A-330-300",'2026'!$E$4="CA",'2026'!$E$2=CS43),'2026DATA'!$L$7,"")</f>
        <v/>
      </c>
      <c r="CT48" s="518" t="str">
        <f>IF(AND(_6="A-330-300",'2026'!$E$4="CA",'2026'!$E$2=CT43),'2026DATA'!$M$7,"")</f>
        <v/>
      </c>
      <c r="CU48" s="520" t="str">
        <f>IF(AND(_6="A-330-300",'2026'!$E$4="CA",'2026'!$E$2=CU43),'2026DATA'!$N$7,"")</f>
        <v/>
      </c>
    </row>
    <row r="49" spans="16:99" x14ac:dyDescent="0.25">
      <c r="P49" s="940"/>
      <c r="Q49" s="13" t="s">
        <v>62</v>
      </c>
      <c r="R49" s="518" t="str">
        <f>IF(AND(_1="A-330-300",'2026'!$E$4="FO",'2026'!$E$2=R43),'2026DATA'!$C$8,"")</f>
        <v/>
      </c>
      <c r="S49" s="518" t="str">
        <f>IF(AND(_1="A-330-300",'2026'!$E$4="FO",'2026'!$E$2=S43),'2026DATA'!$D$8,"")</f>
        <v/>
      </c>
      <c r="T49" s="518" t="str">
        <f>IF(AND(_1="A-330-300",'2026'!$E$4="FO",'2026'!$E$2=T43),'2026DATA'!$E$8,"")</f>
        <v/>
      </c>
      <c r="U49" s="518" t="str">
        <f>IF(AND(_1="A-330-300",'2026'!$E$4="FO",'2026'!$E$2=U43),'2026DATA'!$F$8,"")</f>
        <v/>
      </c>
      <c r="V49" s="518" t="str">
        <f>IF(AND(_1="A-330-300",'2026'!$E$4="FO",'2026'!$E$2=V43),'2026DATA'!$G$8,"")</f>
        <v/>
      </c>
      <c r="W49" s="518" t="str">
        <f>IF(AND(_1="A-330-300",'2026'!$E$4="FO",'2026'!$E$2=W43),'2026DATA'!$H$8,"")</f>
        <v/>
      </c>
      <c r="X49" s="518" t="str">
        <f>IF(AND(_1="A-330-300",'2026'!$E$4="FO",'2026'!$E$2=X43),'2026DATA'!$I$8,"")</f>
        <v/>
      </c>
      <c r="Y49" s="518" t="str">
        <f>IF(AND(_1="A-330-300",'2026'!$E$4="FO",'2026'!$E$2=Y43),'2026DATA'!$J$8,"")</f>
        <v/>
      </c>
      <c r="Z49" s="518" t="str">
        <f>IF(AND(_1="A-330-300",'2026'!$E$4="FO",'2026'!$E$2=Z43),'2026DATA'!$K$8,"")</f>
        <v/>
      </c>
      <c r="AA49" s="518" t="str">
        <f>IF(AND(_1="A-330-300",'2026'!$E$4="FO",'2026'!$E$2=AA43),'2026DATA'!$L$8,"")</f>
        <v/>
      </c>
      <c r="AB49" s="518" t="str">
        <f>IF(AND(_1="A-330-300",'2026'!$E$4="FO",'2026'!$E$2=AB43),'2026DATA'!$M$8,"")</f>
        <v/>
      </c>
      <c r="AC49" s="520" t="str">
        <f>IF(AND(_1="A-330-300",'2026'!$E$4="FO",'2026'!$E$2=AC43),'2026DATA'!$N$8,"")</f>
        <v/>
      </c>
      <c r="AD49" s="940"/>
      <c r="AE49" s="13" t="s">
        <v>62</v>
      </c>
      <c r="AF49" s="518" t="str">
        <f>IF(AND(_2="A-330-300",'2026'!$E$4="FO",'2026'!$E$2=AF43),'2026DATA'!$C$8,"")</f>
        <v/>
      </c>
      <c r="AG49" s="518" t="str">
        <f>IF(AND(_2="A-330-300",'2026'!$E$4="FO",'2026'!$E$2=AG43),'2026DATA'!$D$8,"")</f>
        <v/>
      </c>
      <c r="AH49" s="518" t="str">
        <f>IF(AND(_2="A-330-300",'2026'!$E$4="FO",'2026'!$E$2=AH43),'2026DATA'!$E$8,"")</f>
        <v/>
      </c>
      <c r="AI49" s="518" t="str">
        <f>IF(AND(_2="A-330-300",'2026'!$E$4="FO",'2026'!$E$2=AI43),'2026DATA'!$F$8,"")</f>
        <v/>
      </c>
      <c r="AJ49" s="518" t="str">
        <f>IF(AND(_2="A-330-300",'2026'!$E$4="FO",'2026'!$E$2=AJ43),'2026DATA'!$G$8,"")</f>
        <v/>
      </c>
      <c r="AK49" s="518" t="str">
        <f>IF(AND(_2="A-330-300",'2026'!$E$4="FO",'2026'!$E$2=AK43),'2026DATA'!$H$8,"")</f>
        <v/>
      </c>
      <c r="AL49" s="518" t="str">
        <f>IF(AND(_2="A-330-300",'2026'!$E$4="FO",'2026'!$E$2=AL43),'2026DATA'!$I$8,"")</f>
        <v/>
      </c>
      <c r="AM49" s="518" t="str">
        <f>IF(AND(_2="A-330-300",'2026'!$E$4="FO",'2026'!$E$2=AM43),'2026DATA'!$J$8,"")</f>
        <v/>
      </c>
      <c r="AN49" s="518" t="str">
        <f>IF(AND(_2="A-330-300",'2026'!$E$4="FO",'2026'!$E$2=AN43),'2026DATA'!$K$8,"")</f>
        <v/>
      </c>
      <c r="AO49" s="518" t="str">
        <f>IF(AND(_2="A-330-300",'2026'!$E$4="FO",'2026'!$E$2=AO43),'2026DATA'!$L$8,"")</f>
        <v/>
      </c>
      <c r="AP49" s="518" t="str">
        <f>IF(AND(_2="A-330-300",'2026'!$E$4="FO",'2026'!$E$2=AP43),'2026DATA'!$M$8,"")</f>
        <v/>
      </c>
      <c r="AQ49" s="520" t="str">
        <f>IF(AND(_2="A-330-300",'2026'!$E$4="FO",'2026'!$E$2=AQ43),'2026DATA'!$N$8,"")</f>
        <v/>
      </c>
      <c r="AR49" s="940"/>
      <c r="AS49" s="13" t="s">
        <v>62</v>
      </c>
      <c r="AT49" s="518" t="str">
        <f>IF(AND(_3="A-330-300",'2026'!$E$4="FO",'2026'!$E$2=AT43),'2026DATA'!$C$8,"")</f>
        <v/>
      </c>
      <c r="AU49" s="518" t="str">
        <f>IF(AND(_3="A-330-300",'2026'!$E$4="FO",'2026'!$E$2=AU43),'2026DATA'!$D$8,"")</f>
        <v/>
      </c>
      <c r="AV49" s="518" t="str">
        <f>IF(AND(_3="A-330-300",'2026'!$E$4="FO",'2026'!$E$2=AV43),'2026DATA'!$E$8,"")</f>
        <v/>
      </c>
      <c r="AW49" s="518" t="str">
        <f>IF(AND(_3="A-330-300",'2026'!$E$4="FO",'2026'!$E$2=AW43),'2026DATA'!$F$8,"")</f>
        <v/>
      </c>
      <c r="AX49" s="518" t="str">
        <f>IF(AND(_3="A-330-300",'2026'!$E$4="FO",'2026'!$E$2=AX43),'2026DATA'!$G$8,"")</f>
        <v/>
      </c>
      <c r="AY49" s="518" t="str">
        <f>IF(AND(_3="A-330-300",'2026'!$E$4="FO",'2026'!$E$2=AY43),'2026DATA'!$H$8,"")</f>
        <v/>
      </c>
      <c r="AZ49" s="518" t="str">
        <f>IF(AND(_3="A-330-300",'2026'!$E$4="FO",'2026'!$E$2=AZ43),'2026DATA'!$I$8,"")</f>
        <v/>
      </c>
      <c r="BA49" s="518" t="str">
        <f>IF(AND(_3="A-330-300",'2026'!$E$4="FO",'2026'!$E$2=BA43),'2026DATA'!$J$8,"")</f>
        <v/>
      </c>
      <c r="BB49" s="518" t="str">
        <f>IF(AND(_3="A-330-300",'2026'!$E$4="FO",'2026'!$E$2=BB43),'2026DATA'!$K$8,"")</f>
        <v/>
      </c>
      <c r="BC49" s="518" t="str">
        <f>IF(AND(_3="A-330-300",'2026'!$E$4="FO",'2026'!$E$2=BC43),'2026DATA'!$L$8,"")</f>
        <v/>
      </c>
      <c r="BD49" s="518" t="str">
        <f>IF(AND(_3="A-330-300",'2026'!$E$4="FO",'2026'!$E$2=BD43),'2026DATA'!$M$8,"")</f>
        <v/>
      </c>
      <c r="BE49" s="520" t="str">
        <f>IF(AND(_3="A-330-300",'2026'!$E$4="FO",'2026'!$E$2=BE43),'2026DATA'!$N$8,"")</f>
        <v/>
      </c>
      <c r="BF49" s="940"/>
      <c r="BG49" s="13" t="s">
        <v>62</v>
      </c>
      <c r="BH49" s="518" t="str">
        <f>IF(AND(_4="A-330-300",'2026'!$E$4="FO",'2026'!$E$2=BH43),'2026DATA'!$C$8,"")</f>
        <v/>
      </c>
      <c r="BI49" s="518" t="str">
        <f>IF(AND(_4="A-330-300",'2026'!$E$4="FO",'2026'!$E$2=BI43),'2026DATA'!$D$8,"")</f>
        <v/>
      </c>
      <c r="BJ49" s="518" t="str">
        <f>IF(AND(_4="A-330-300",'2026'!$E$4="FO",'2026'!$E$2=BJ43),'2026DATA'!$E$8,"")</f>
        <v/>
      </c>
      <c r="BK49" s="518" t="str">
        <f>IF(AND(_4="A-330-300",'2026'!$E$4="FO",'2026'!$E$2=BK43),'2026DATA'!$F$8,"")</f>
        <v/>
      </c>
      <c r="BL49" s="518" t="str">
        <f>IF(AND(_4="A-330-300",'2026'!$E$4="FO",'2026'!$E$2=BL43),'2026DATA'!$G$8,"")</f>
        <v/>
      </c>
      <c r="BM49" s="518" t="str">
        <f>IF(AND(_4="A-330-300",'2026'!$E$4="FO",'2026'!$E$2=BM43),'2026DATA'!$H$8,"")</f>
        <v/>
      </c>
      <c r="BN49" s="518" t="str">
        <f>IF(AND(_4="A-330-300",'2026'!$E$4="FO",'2026'!$E$2=BN43),'2026DATA'!$I$8,"")</f>
        <v/>
      </c>
      <c r="BO49" s="518" t="str">
        <f>IF(AND(_4="A-330-300",'2026'!$E$4="FO",'2026'!$E$2=BO43),'2026DATA'!$J$8,"")</f>
        <v/>
      </c>
      <c r="BP49" s="518" t="str">
        <f>IF(AND(_4="A-330-300",'2026'!$E$4="FO",'2026'!$E$2=BP43),'2026DATA'!$K$8,"")</f>
        <v/>
      </c>
      <c r="BQ49" s="518" t="str">
        <f>IF(AND(_4="A-330-300",'2026'!$E$4="FO",'2026'!$E$2=BQ43),'2026DATA'!$L$8,"")</f>
        <v/>
      </c>
      <c r="BR49" s="518" t="str">
        <f>IF(AND(_4="A-330-300",'2026'!$E$4="FO",'2026'!$E$2=BR43),'2026DATA'!$M$8,"")</f>
        <v/>
      </c>
      <c r="BS49" s="520" t="str">
        <f>IF(AND(_4="A-330-300",'2026'!$E$4="FO",'2026'!$E$2=BS43),'2026DATA'!$N$8,"")</f>
        <v/>
      </c>
      <c r="BT49" s="940"/>
      <c r="BU49" s="13" t="s">
        <v>62</v>
      </c>
      <c r="BV49" s="518" t="str">
        <f>IF(AND(_5="A-330-300",'2026'!$E$4="FO",'2026'!$E$2=BV43),'2026DATA'!$C$8,"")</f>
        <v/>
      </c>
      <c r="BW49" s="518" t="str">
        <f>IF(AND(_5="A-330-300",'2026'!$E$4="FO",'2026'!$E$2=BW43),'2026DATA'!$D$8,"")</f>
        <v/>
      </c>
      <c r="BX49" s="518" t="str">
        <f>IF(AND(_5="A-330-300",'2026'!$E$4="FO",'2026'!$E$2=BX43),'2026DATA'!$E$8,"")</f>
        <v/>
      </c>
      <c r="BY49" s="518" t="str">
        <f>IF(AND(_5="A-330-300",'2026'!$E$4="FO",'2026'!$E$2=BY43),'2026DATA'!$F$8,"")</f>
        <v/>
      </c>
      <c r="BZ49" s="518" t="str">
        <f>IF(AND(_5="A-330-300",'2026'!$E$4="FO",'2026'!$E$2=BZ43),'2026DATA'!$G$8,"")</f>
        <v/>
      </c>
      <c r="CA49" s="518" t="str">
        <f>IF(AND(_5="A-330-300",'2026'!$E$4="FO",'2026'!$E$2=CA43),'2026DATA'!$H$8,"")</f>
        <v/>
      </c>
      <c r="CB49" s="518" t="str">
        <f>IF(AND(_5="A-330-300",'2026'!$E$4="FO",'2026'!$E$2=CB43),'2026DATA'!$I$8,"")</f>
        <v/>
      </c>
      <c r="CC49" s="518" t="str">
        <f>IF(AND(_5="A-330-300",'2026'!$E$4="FO",'2026'!$E$2=CC43),'2026DATA'!$J$8,"")</f>
        <v/>
      </c>
      <c r="CD49" s="518" t="str">
        <f>IF(AND(_5="A-330-300",'2026'!$E$4="FO",'2026'!$E$2=CD43),'2026DATA'!$K$8,"")</f>
        <v/>
      </c>
      <c r="CE49" s="518" t="str">
        <f>IF(AND(_5="A-330-300",'2026'!$E$4="FO",'2026'!$E$2=CE43),'2026DATA'!$L$8,"")</f>
        <v/>
      </c>
      <c r="CF49" s="518" t="str">
        <f>IF(AND(_5="A-330-300",'2026'!$E$4="FO",'2026'!$E$2=CF43),'2026DATA'!$M$8,"")</f>
        <v/>
      </c>
      <c r="CG49" s="520" t="str">
        <f>IF(AND(_5="A-330-300",'2026'!$E$4="FO",'2026'!$E$2=CG43),'2026DATA'!$N$8,"")</f>
        <v/>
      </c>
      <c r="CH49" s="940"/>
      <c r="CI49" s="13" t="s">
        <v>62</v>
      </c>
      <c r="CJ49" s="518" t="str">
        <f>IF(AND(_6="A-330-300",'2026'!$E$4="FO",'2026'!$E$2=CJ43),'2026DATA'!$C$8,"")</f>
        <v/>
      </c>
      <c r="CK49" s="518" t="str">
        <f>IF(AND(_6="A-330-300",'2026'!$E$4="FO",'2026'!$E$2=CK43),'2026DATA'!$D$8,"")</f>
        <v/>
      </c>
      <c r="CL49" s="518" t="str">
        <f>IF(AND(_6="A-330-300",'2026'!$E$4="FO",'2026'!$E$2=CL43),'2026DATA'!$E$8,"")</f>
        <v/>
      </c>
      <c r="CM49" s="518" t="str">
        <f>IF(AND(_6="A-330-300",'2026'!$E$4="FO",'2026'!$E$2=CM43),'2026DATA'!$F$8,"")</f>
        <v/>
      </c>
      <c r="CN49" s="518" t="str">
        <f>IF(AND(_6="A-330-300",'2026'!$E$4="FO",'2026'!$E$2=CN43),'2026DATA'!$G$8,"")</f>
        <v/>
      </c>
      <c r="CO49" s="518" t="str">
        <f>IF(AND(_6="A-330-300",'2026'!$E$4="FO",'2026'!$E$2=CO43),'2026DATA'!$H$8,"")</f>
        <v/>
      </c>
      <c r="CP49" s="518" t="str">
        <f>IF(AND(_6="A-330-300",'2026'!$E$4="FO",'2026'!$E$2=CP43),'2026DATA'!$I$8,"")</f>
        <v/>
      </c>
      <c r="CQ49" s="518" t="str">
        <f>IF(AND(_6="A-330-300",'2026'!$E$4="FO",'2026'!$E$2=CQ43),'2026DATA'!$J$8,"")</f>
        <v/>
      </c>
      <c r="CR49" s="518" t="str">
        <f>IF(AND(_6="A-330-300",'2026'!$E$4="FO",'2026'!$E$2=CR43),'2026DATA'!$K$8,"")</f>
        <v/>
      </c>
      <c r="CS49" s="518" t="str">
        <f>IF(AND(_6="A-330-300",'2026'!$E$4="FO",'2026'!$E$2=CS43),'2026DATA'!$L$8,"")</f>
        <v/>
      </c>
      <c r="CT49" s="518" t="str">
        <f>IF(AND(_6="A-330-300",'2026'!$E$4="FO",'2026'!$E$2=CT43),'2026DATA'!$M$8,"")</f>
        <v/>
      </c>
      <c r="CU49" s="520" t="str">
        <f>IF(AND(_6="A-330-300",'2026'!$E$4="FO",'2026'!$E$2=CU43),'2026DATA'!$N$8,"")</f>
        <v/>
      </c>
    </row>
    <row r="50" spans="16:99" x14ac:dyDescent="0.25">
      <c r="P50" s="940" t="s">
        <v>66</v>
      </c>
      <c r="Q50" s="13" t="s">
        <v>61</v>
      </c>
      <c r="R50" s="518" t="str">
        <f>IF(AND(_1="A-330-200",'2026'!$E$4="CA",'2026'!$E$2=R43),'2026DATA'!$C$9,"")</f>
        <v/>
      </c>
      <c r="S50" s="518" t="str">
        <f>IF(AND(_1="A-330-200",'2026'!$E$4="CA",'2026'!$E$2=S43),'2026DATA'!$D$9,"")</f>
        <v/>
      </c>
      <c r="T50" s="518" t="str">
        <f>IF(AND(_1="A-330-200",'2026'!$E$4="CA",'2026'!$E$2=T43),'2026DATA'!$E$9,"")</f>
        <v/>
      </c>
      <c r="U50" s="518" t="str">
        <f>IF(AND(_1="A-330-200",'2026'!$E$4="CA",'2026'!$E$2=U43),'2026DATA'!$F$9,"")</f>
        <v/>
      </c>
      <c r="V50" s="518" t="str">
        <f>IF(AND(_1="A-330-200",'2026'!$E$4="CA",'2026'!$E$2=V43),'2026DATA'!$G$9,"")</f>
        <v/>
      </c>
      <c r="W50" s="518" t="str">
        <f>IF(AND(_1="A-330-200",'2026'!$E$4="CA",'2026'!$E$2=W43),'2026DATA'!$H$9,"")</f>
        <v/>
      </c>
      <c r="X50" s="518" t="str">
        <f>IF(AND(_1="A-330-200",'2026'!$E$4="CA",'2026'!$E$2=X43),'2026DATA'!$I$9,"")</f>
        <v/>
      </c>
      <c r="Y50" s="518" t="str">
        <f>IF(AND(_1="A-330-200",'2026'!$E$4="CA",'2026'!$E$2=Y43),'2026DATA'!$J$9,"")</f>
        <v/>
      </c>
      <c r="Z50" s="518" t="str">
        <f>IF(AND(_1="A-330-200",'2026'!$E$4="CA",'2026'!$E$2=Z43),'2026DATA'!$K$9,"")</f>
        <v/>
      </c>
      <c r="AA50" s="518" t="str">
        <f>IF(AND(_1="A-330-200",'2026'!$E$4="CA",'2026'!$E$2=AA43),'2026DATA'!$L$9,"")</f>
        <v/>
      </c>
      <c r="AB50" s="518" t="str">
        <f>IF(AND(_1="A-330-200",'2026'!$E$4="CA",'2026'!$E$2=AB43),'2026DATA'!$M$9,"")</f>
        <v/>
      </c>
      <c r="AC50" s="520" t="str">
        <f>IF(AND(_1="A-330-200",'2026'!$E$4="CA",'2026'!$E$2=AC43),'2026DATA'!$N$9,"")</f>
        <v/>
      </c>
      <c r="AD50" s="940" t="s">
        <v>66</v>
      </c>
      <c r="AE50" s="13" t="s">
        <v>61</v>
      </c>
      <c r="AF50" s="518" t="str">
        <f>IF(AND(_2="A-330-200",'2026'!$E$4="CA",'2026'!$E$2=AF43),'2026DATA'!$C$9,"")</f>
        <v/>
      </c>
      <c r="AG50" s="518" t="str">
        <f>IF(AND(_2="A-330-200",'2026'!$E$4="CA",'2026'!$E$2=AG43),'2026DATA'!$D$9,"")</f>
        <v/>
      </c>
      <c r="AH50" s="518" t="str">
        <f>IF(AND(_2="A-330-200",'2026'!$E$4="CA",'2026'!$E$2=AH43),'2026DATA'!$E$9,"")</f>
        <v/>
      </c>
      <c r="AI50" s="518" t="str">
        <f>IF(AND(_2="A-330-200",'2026'!$E$4="CA",'2026'!$E$2=AI43),'2026DATA'!$F$9,"")</f>
        <v/>
      </c>
      <c r="AJ50" s="518" t="str">
        <f>IF(AND(_2="A-330-200",'2026'!$E$4="CA",'2026'!$E$2=AJ43),'2026DATA'!$G$9,"")</f>
        <v/>
      </c>
      <c r="AK50" s="518" t="str">
        <f>IF(AND(_2="A-330-200",'2026'!$E$4="CA",'2026'!$E$2=AK43),'2026DATA'!$H$9,"")</f>
        <v/>
      </c>
      <c r="AL50" s="518" t="str">
        <f>IF(AND(_2="A-330-200",'2026'!$E$4="CA",'2026'!$E$2=AL43),'2026DATA'!$I$9,"")</f>
        <v/>
      </c>
      <c r="AM50" s="518" t="str">
        <f>IF(AND(_2="A-330-200",'2026'!$E$4="CA",'2026'!$E$2=AM43),'2026DATA'!$J$9,"")</f>
        <v/>
      </c>
      <c r="AN50" s="518" t="str">
        <f>IF(AND(_2="A-330-200",'2026'!$E$4="CA",'2026'!$E$2=AN43),'2026DATA'!$K$9,"")</f>
        <v/>
      </c>
      <c r="AO50" s="518" t="str">
        <f>IF(AND(_2="A-330-200",'2026'!$E$4="CA",'2026'!$E$2=AO43),'2026DATA'!$L$9,"")</f>
        <v/>
      </c>
      <c r="AP50" s="518" t="str">
        <f>IF(AND(_2="A-330-200",'2026'!$E$4="CA",'2026'!$E$2=AP43),'2026DATA'!$M$9,"")</f>
        <v/>
      </c>
      <c r="AQ50" s="520" t="str">
        <f>IF(AND(_2="A-330-200",'2026'!$E$4="CA",'2026'!$E$2=AQ43),'2026DATA'!$N$9,"")</f>
        <v/>
      </c>
      <c r="AR50" s="940" t="s">
        <v>66</v>
      </c>
      <c r="AS50" s="13" t="s">
        <v>61</v>
      </c>
      <c r="AT50" s="518" t="str">
        <f>IF(AND(_3="A-330-200",'2026'!$E$4="CA",'2026'!$E$2=AT43),'2026DATA'!$C$9,"")</f>
        <v/>
      </c>
      <c r="AU50" s="518" t="str">
        <f>IF(AND(_3="A-330-200",'2026'!$E$4="CA",'2026'!$E$2=AU43),'2026DATA'!$D$9,"")</f>
        <v/>
      </c>
      <c r="AV50" s="518" t="str">
        <f>IF(AND(_3="A-330-200",'2026'!$E$4="CA",'2026'!$E$2=AV43),'2026DATA'!$E$9,"")</f>
        <v/>
      </c>
      <c r="AW50" s="518" t="str">
        <f>IF(AND(_3="A-330-200",'2026'!$E$4="CA",'2026'!$E$2=AW43),'2026DATA'!$F$9,"")</f>
        <v/>
      </c>
      <c r="AX50" s="518" t="str">
        <f>IF(AND(_3="A-330-200",'2026'!$E$4="CA",'2026'!$E$2=AX43),'2026DATA'!$G$9,"")</f>
        <v/>
      </c>
      <c r="AY50" s="518" t="str">
        <f>IF(AND(_3="A-330-200",'2026'!$E$4="CA",'2026'!$E$2=AY43),'2026DATA'!$H$9,"")</f>
        <v/>
      </c>
      <c r="AZ50" s="518" t="str">
        <f>IF(AND(_3="A-330-200",'2026'!$E$4="CA",'2026'!$E$2=AZ43),'2026DATA'!$I$9,"")</f>
        <v/>
      </c>
      <c r="BA50" s="518" t="str">
        <f>IF(AND(_3="A-330-200",'2026'!$E$4="CA",'2026'!$E$2=BA43),'2026DATA'!$J$9,"")</f>
        <v/>
      </c>
      <c r="BB50" s="518" t="str">
        <f>IF(AND(_3="A-330-200",'2026'!$E$4="CA",'2026'!$E$2=BB43),'2026DATA'!$K$9,"")</f>
        <v/>
      </c>
      <c r="BC50" s="518" t="str">
        <f>IF(AND(_3="A-330-200",'2026'!$E$4="CA",'2026'!$E$2=BC43),'2026DATA'!$L$9,"")</f>
        <v/>
      </c>
      <c r="BD50" s="518" t="str">
        <f>IF(AND(_3="A-330-200",'2026'!$E$4="CA",'2026'!$E$2=BD43),'2026DATA'!$M$9,"")</f>
        <v/>
      </c>
      <c r="BE50" s="520" t="str">
        <f>IF(AND(_3="A-330-200",'2026'!$E$4="CA",'2026'!$E$2=BE43),'2026DATA'!$N$9,"")</f>
        <v/>
      </c>
      <c r="BF50" s="940" t="s">
        <v>66</v>
      </c>
      <c r="BG50" s="13" t="s">
        <v>61</v>
      </c>
      <c r="BH50" s="518" t="str">
        <f>IF(AND(_4="A-330-200",'2026'!$E$4="CA",'2026'!$E$2=BH43),'2026DATA'!$C$9,"")</f>
        <v/>
      </c>
      <c r="BI50" s="518" t="str">
        <f>IF(AND(_4="A-330-200",'2026'!$E$4="CA",'2026'!$E$2=BI43),'2026DATA'!$D$9,"")</f>
        <v/>
      </c>
      <c r="BJ50" s="518" t="str">
        <f>IF(AND(_4="A-330-200",'2026'!$E$4="CA",'2026'!$E$2=BJ43),'2026DATA'!$E$9,"")</f>
        <v/>
      </c>
      <c r="BK50" s="518" t="str">
        <f>IF(AND(_4="A-330-200",'2026'!$E$4="CA",'2026'!$E$2=BK43),'2026DATA'!$F$9,"")</f>
        <v/>
      </c>
      <c r="BL50" s="518" t="str">
        <f>IF(AND(_4="A-330-200",'2026'!$E$4="CA",'2026'!$E$2=BL43),'2026DATA'!$G$9,"")</f>
        <v/>
      </c>
      <c r="BM50" s="518" t="str">
        <f>IF(AND(_4="A-330-200",'2026'!$E$4="CA",'2026'!$E$2=BM43),'2026DATA'!$H$9,"")</f>
        <v/>
      </c>
      <c r="BN50" s="518" t="str">
        <f>IF(AND(_4="A-330-200",'2026'!$E$4="CA",'2026'!$E$2=BN43),'2026DATA'!$I$9,"")</f>
        <v/>
      </c>
      <c r="BO50" s="518" t="str">
        <f>IF(AND(_4="A-330-200",'2026'!$E$4="CA",'2026'!$E$2=BO43),'2026DATA'!$J$9,"")</f>
        <v/>
      </c>
      <c r="BP50" s="518" t="str">
        <f>IF(AND(_4="A-330-200",'2026'!$E$4="CA",'2026'!$E$2=BP43),'2026DATA'!$K$9,"")</f>
        <v/>
      </c>
      <c r="BQ50" s="518" t="str">
        <f>IF(AND(_4="A-330-200",'2026'!$E$4="CA",'2026'!$E$2=BQ43),'2026DATA'!$L$9,"")</f>
        <v/>
      </c>
      <c r="BR50" s="518" t="str">
        <f>IF(AND(_4="A-330-200",'2026'!$E$4="CA",'2026'!$E$2=BR43),'2026DATA'!$M$9,"")</f>
        <v/>
      </c>
      <c r="BS50" s="520" t="str">
        <f>IF(AND(_4="A-330-200",'2026'!$E$4="CA",'2026'!$E$2=BS43),'2026DATA'!$N$9,"")</f>
        <v/>
      </c>
      <c r="BT50" s="940" t="s">
        <v>66</v>
      </c>
      <c r="BU50" s="13" t="s">
        <v>61</v>
      </c>
      <c r="BV50" s="518" t="str">
        <f>IF(AND(_5="A-330-200",'2026'!$E$4="CA",'2026'!$E$2=BV43),'2026DATA'!$C$9,"")</f>
        <v/>
      </c>
      <c r="BW50" s="518" t="str">
        <f>IF(AND(_5="A-330-200",'2026'!$E$4="CA",'2026'!$E$2=BW43),'2026DATA'!$D$9,"")</f>
        <v/>
      </c>
      <c r="BX50" s="518" t="str">
        <f>IF(AND(_5="A-330-200",'2026'!$E$4="CA",'2026'!$E$2=BX43),'2026DATA'!$E$9,"")</f>
        <v/>
      </c>
      <c r="BY50" s="518" t="str">
        <f>IF(AND(_5="A-330-200",'2026'!$E$4="CA",'2026'!$E$2=BY43),'2026DATA'!$F$9,"")</f>
        <v/>
      </c>
      <c r="BZ50" s="518" t="str">
        <f>IF(AND(_5="A-330-200",'2026'!$E$4="CA",'2026'!$E$2=BZ43),'2026DATA'!$G$9,"")</f>
        <v/>
      </c>
      <c r="CA50" s="518" t="str">
        <f>IF(AND(_5="A-330-200",'2026'!$E$4="CA",'2026'!$E$2=CA43),'2026DATA'!$H$9,"")</f>
        <v/>
      </c>
      <c r="CB50" s="518" t="str">
        <f>IF(AND(_5="A-330-200",'2026'!$E$4="CA",'2026'!$E$2=CB43),'2026DATA'!$I$9,"")</f>
        <v/>
      </c>
      <c r="CC50" s="518" t="str">
        <f>IF(AND(_5="A-330-200",'2026'!$E$4="CA",'2026'!$E$2=CC43),'2026DATA'!$J$9,"")</f>
        <v/>
      </c>
      <c r="CD50" s="518" t="str">
        <f>IF(AND(_5="A-330-200",'2026'!$E$4="CA",'2026'!$E$2=CD43),'2026DATA'!$K$9,"")</f>
        <v/>
      </c>
      <c r="CE50" s="518" t="str">
        <f>IF(AND(_5="A-330-200",'2026'!$E$4="CA",'2026'!$E$2=CE43),'2026DATA'!$L$9,"")</f>
        <v/>
      </c>
      <c r="CF50" s="518" t="str">
        <f>IF(AND(_5="A-330-200",'2026'!$E$4="CA",'2026'!$E$2=CF43),'2026DATA'!$M$9,"")</f>
        <v/>
      </c>
      <c r="CG50" s="520" t="str">
        <f>IF(AND(_5="A-330-200",'2026'!$E$4="CA",'2026'!$E$2=CG43),'2026DATA'!$N$9,"")</f>
        <v/>
      </c>
      <c r="CH50" s="940" t="s">
        <v>66</v>
      </c>
      <c r="CI50" s="13" t="s">
        <v>61</v>
      </c>
      <c r="CJ50" s="518" t="str">
        <f>IF(AND(_6="A-330-200",'2026'!$E$4="CA",'2026'!$E$2=CJ43),'2026DATA'!$C$9,"")</f>
        <v/>
      </c>
      <c r="CK50" s="518" t="str">
        <f>IF(AND(_6="A-330-200",'2026'!$E$4="CA",'2026'!$E$2=CK43),'2026DATA'!$D$9,"")</f>
        <v/>
      </c>
      <c r="CL50" s="518" t="str">
        <f>IF(AND(_6="A-330-200",'2026'!$E$4="CA",'2026'!$E$2=CL43),'2026DATA'!$E$9,"")</f>
        <v/>
      </c>
      <c r="CM50" s="518" t="str">
        <f>IF(AND(_6="A-330-200",'2026'!$E$4="CA",'2026'!$E$2=CM43),'2026DATA'!$F$9,"")</f>
        <v/>
      </c>
      <c r="CN50" s="518" t="str">
        <f>IF(AND(_6="A-330-200",'2026'!$E$4="CA",'2026'!$E$2=CN43),'2026DATA'!$G$9,"")</f>
        <v/>
      </c>
      <c r="CO50" s="518" t="str">
        <f>IF(AND(_6="A-330-200",'2026'!$E$4="CA",'2026'!$E$2=CO43),'2026DATA'!$H$9,"")</f>
        <v/>
      </c>
      <c r="CP50" s="518" t="str">
        <f>IF(AND(_6="A-330-200",'2026'!$E$4="CA",'2026'!$E$2=CP43),'2026DATA'!$I$9,"")</f>
        <v/>
      </c>
      <c r="CQ50" s="518" t="str">
        <f>IF(AND(_6="A-330-200",'2026'!$E$4="CA",'2026'!$E$2=CQ43),'2026DATA'!$J$9,"")</f>
        <v/>
      </c>
      <c r="CR50" s="518" t="str">
        <f>IF(AND(_6="A-330-200",'2026'!$E$4="CA",'2026'!$E$2=CR43),'2026DATA'!$K$9,"")</f>
        <v/>
      </c>
      <c r="CS50" s="518" t="str">
        <f>IF(AND(_6="A-330-200",'2026'!$E$4="CA",'2026'!$E$2=CS43),'2026DATA'!$L$9,"")</f>
        <v/>
      </c>
      <c r="CT50" s="518" t="str">
        <f>IF(AND(_6="A-330-200",'2026'!$E$4="CA",'2026'!$E$2=CT43),'2026DATA'!$M$9,"")</f>
        <v/>
      </c>
      <c r="CU50" s="520" t="str">
        <f>IF(AND(_6="A-330-200",'2026'!$E$4="CA",'2026'!$E$2=CU43),'2026DATA'!$N$9,"")</f>
        <v/>
      </c>
    </row>
    <row r="51" spans="16:99" x14ac:dyDescent="0.25">
      <c r="P51" s="940"/>
      <c r="Q51" s="13" t="s">
        <v>62</v>
      </c>
      <c r="R51" s="518" t="str">
        <f>IF(AND(_1="A-330-200",'2026'!$E$4="FO",'2026'!$E$2=R43),'2026DATA'!$C$10,"")</f>
        <v/>
      </c>
      <c r="S51" s="518" t="str">
        <f>IF(AND(_1="A-330-200",'2026'!$E$4="FO",'2026'!$E$2=S43),'2026DATA'!$D$10,"")</f>
        <v/>
      </c>
      <c r="T51" s="518" t="str">
        <f>IF(AND(_1="A-330-200",'2026'!$E$4="FO",'2026'!$E$2=T43),'2026DATA'!$E$10,"")</f>
        <v/>
      </c>
      <c r="U51" s="518" t="str">
        <f>IF(AND(_1="A-330-200",'2026'!$E$4="FO",'2026'!$E$2=U43),'2026DATA'!$F$10,"")</f>
        <v/>
      </c>
      <c r="V51" s="518" t="str">
        <f>IF(AND(_1="A-330-200",'2026'!$E$4="FO",'2026'!$E$2=V43),'2026DATA'!$G$10,"")</f>
        <v/>
      </c>
      <c r="W51" s="518" t="str">
        <f>IF(AND(_1="A-330-200",'2026'!$E$4="FO",'2026'!$E$2=W43),'2026DATA'!$H$10,"")</f>
        <v/>
      </c>
      <c r="X51" s="518" t="str">
        <f>IF(AND(_1="A-330-200",'2026'!$E$4="FO",'2026'!$E$2=X43),'2026DATA'!$I$10,"")</f>
        <v/>
      </c>
      <c r="Y51" s="518" t="str">
        <f>IF(AND(_1="A-330-200",'2026'!$E$4="FO",'2026'!$E$2=Y43),'2026DATA'!$J$10,"")</f>
        <v/>
      </c>
      <c r="Z51" s="518" t="str">
        <f>IF(AND(_1="A-330-200",'2026'!$E$4="FO",'2026'!$E$2=Z43),'2026DATA'!$K$10,"")</f>
        <v/>
      </c>
      <c r="AA51" s="518" t="str">
        <f>IF(AND(_1="A-330-200",'2026'!$E$4="FO",'2026'!$E$2=AA43),'2026DATA'!$L$10,"")</f>
        <v/>
      </c>
      <c r="AB51" s="518" t="str">
        <f>IF(AND(_1="A-330-200",'2026'!$E$4="FO",'2026'!$E$2=AB43),'2026DATA'!$M$10,"")</f>
        <v/>
      </c>
      <c r="AC51" s="520" t="str">
        <f>IF(AND(_1="A-330-200",'2026'!$E$4="FO",'2026'!$E$2=AC43),'2026DATA'!$N$10,"")</f>
        <v/>
      </c>
      <c r="AD51" s="940"/>
      <c r="AE51" s="13" t="s">
        <v>62</v>
      </c>
      <c r="AF51" s="518" t="str">
        <f>IF(AND(_2="A-330-200",'2026'!$E$4="FO",'2026'!$E$2=AF43),'2026DATA'!$C$10,"")</f>
        <v/>
      </c>
      <c r="AG51" s="518" t="str">
        <f>IF(AND(_2="A-330-200",'2026'!$E$4="FO",'2026'!$E$2=AG43),'2026DATA'!$D$10,"")</f>
        <v/>
      </c>
      <c r="AH51" s="518" t="str">
        <f>IF(AND(_2="A-330-200",'2026'!$E$4="FO",'2026'!$E$2=AH43),'2026DATA'!$E$10,"")</f>
        <v/>
      </c>
      <c r="AI51" s="518" t="str">
        <f>IF(AND(_2="A-330-200",'2026'!$E$4="FO",'2026'!$E$2=AI43),'2026DATA'!$F$10,"")</f>
        <v/>
      </c>
      <c r="AJ51" s="518" t="str">
        <f>IF(AND(_2="A-330-200",'2026'!$E$4="FO",'2026'!$E$2=AJ43),'2026DATA'!$G$10,"")</f>
        <v/>
      </c>
      <c r="AK51" s="518" t="str">
        <f>IF(AND(_2="A-330-200",'2026'!$E$4="FO",'2026'!$E$2=AK43),'2026DATA'!$H$10,"")</f>
        <v/>
      </c>
      <c r="AL51" s="518" t="str">
        <f>IF(AND(_2="A-330-200",'2026'!$E$4="FO",'2026'!$E$2=AL43),'2026DATA'!$I$10,"")</f>
        <v/>
      </c>
      <c r="AM51" s="518" t="str">
        <f>IF(AND(_2="A-330-200",'2026'!$E$4="FO",'2026'!$E$2=AM43),'2026DATA'!$J$10,"")</f>
        <v/>
      </c>
      <c r="AN51" s="518" t="str">
        <f>IF(AND(_2="A-330-200",'2026'!$E$4="FO",'2026'!$E$2=AN43),'2026DATA'!$K$10,"")</f>
        <v/>
      </c>
      <c r="AO51" s="518" t="str">
        <f>IF(AND(_2="A-330-200",'2026'!$E$4="FO",'2026'!$E$2=AO43),'2026DATA'!$L$10,"")</f>
        <v/>
      </c>
      <c r="AP51" s="518" t="str">
        <f>IF(AND(_2="A-330-200",'2026'!$E$4="FO",'2026'!$E$2=AP43),'2026DATA'!$M$10,"")</f>
        <v/>
      </c>
      <c r="AQ51" s="520" t="str">
        <f>IF(AND(_2="A-330-200",'2026'!$E$4="FO",'2026'!$E$2=AQ43),'2026DATA'!$N$10,"")</f>
        <v/>
      </c>
      <c r="AR51" s="940"/>
      <c r="AS51" s="13" t="s">
        <v>62</v>
      </c>
      <c r="AT51" s="518" t="str">
        <f>IF(AND(_3="A-330-200",'2026'!$E$4="FO",'2026'!$E$2=AT43),'2026DATA'!$C$10,"")</f>
        <v/>
      </c>
      <c r="AU51" s="518" t="str">
        <f>IF(AND(_3="A-330-200",'2026'!$E$4="FO",'2026'!$E$2=AU43),'2026DATA'!$D$10,"")</f>
        <v/>
      </c>
      <c r="AV51" s="518" t="str">
        <f>IF(AND(_3="A-330-200",'2026'!$E$4="FO",'2026'!$E$2=AV43),'2026DATA'!$E$10,"")</f>
        <v/>
      </c>
      <c r="AW51" s="518" t="str">
        <f>IF(AND(_3="A-330-200",'2026'!$E$4="FO",'2026'!$E$2=AW43),'2026DATA'!$F$10,"")</f>
        <v/>
      </c>
      <c r="AX51" s="518" t="str">
        <f>IF(AND(_3="A-330-200",'2026'!$E$4="FO",'2026'!$E$2=AX43),'2026DATA'!$G$10,"")</f>
        <v/>
      </c>
      <c r="AY51" s="518" t="str">
        <f>IF(AND(_3="A-330-200",'2026'!$E$4="FO",'2026'!$E$2=AY43),'2026DATA'!$H$10,"")</f>
        <v/>
      </c>
      <c r="AZ51" s="518" t="str">
        <f>IF(AND(_3="A-330-200",'2026'!$E$4="FO",'2026'!$E$2=AZ43),'2026DATA'!$I$10,"")</f>
        <v/>
      </c>
      <c r="BA51" s="518" t="str">
        <f>IF(AND(_3="A-330-200",'2026'!$E$4="FO",'2026'!$E$2=BA43),'2026DATA'!$J$10,"")</f>
        <v/>
      </c>
      <c r="BB51" s="518" t="str">
        <f>IF(AND(_3="A-330-200",'2026'!$E$4="FO",'2026'!$E$2=BB43),'2026DATA'!$K$10,"")</f>
        <v/>
      </c>
      <c r="BC51" s="518" t="str">
        <f>IF(AND(_3="A-330-200",'2026'!$E$4="FO",'2026'!$E$2=BC43),'2026DATA'!$L$10,"")</f>
        <v/>
      </c>
      <c r="BD51" s="518" t="str">
        <f>IF(AND(_3="A-330-200",'2026'!$E$4="FO",'2026'!$E$2=BD43),'2026DATA'!$M$10,"")</f>
        <v/>
      </c>
      <c r="BE51" s="520" t="str">
        <f>IF(AND(_3="A-330-200",'2026'!$E$4="FO",'2026'!$E$2=BE43),'2026DATA'!$N$10,"")</f>
        <v/>
      </c>
      <c r="BF51" s="940"/>
      <c r="BG51" s="13" t="s">
        <v>62</v>
      </c>
      <c r="BH51" s="518" t="str">
        <f>IF(AND(_4="A-330-200",'2026'!$E$4="FO",'2026'!$E$2=BH43),'2026DATA'!$C$10,"")</f>
        <v/>
      </c>
      <c r="BI51" s="518" t="str">
        <f>IF(AND(_4="A-330-200",'2026'!$E$4="FO",'2026'!$E$2=BI43),'2026DATA'!$D$10,"")</f>
        <v/>
      </c>
      <c r="BJ51" s="518" t="str">
        <f>IF(AND(_4="A-330-200",'2026'!$E$4="FO",'2026'!$E$2=BJ43),'2026DATA'!$E$10,"")</f>
        <v/>
      </c>
      <c r="BK51" s="518" t="str">
        <f>IF(AND(_4="A-330-200",'2026'!$E$4="FO",'2026'!$E$2=BK43),'2026DATA'!$F$10,"")</f>
        <v/>
      </c>
      <c r="BL51" s="518" t="str">
        <f>IF(AND(_4="A-330-200",'2026'!$E$4="FO",'2026'!$E$2=BL43),'2026DATA'!$G$10,"")</f>
        <v/>
      </c>
      <c r="BM51" s="518" t="str">
        <f>IF(AND(_4="A-330-200",'2026'!$E$4="FO",'2026'!$E$2=BM43),'2026DATA'!$H$10,"")</f>
        <v/>
      </c>
      <c r="BN51" s="518" t="str">
        <f>IF(AND(_4="A-330-200",'2026'!$E$4="FO",'2026'!$E$2=BN43),'2026DATA'!$I$10,"")</f>
        <v/>
      </c>
      <c r="BO51" s="518" t="str">
        <f>IF(AND(_4="A-330-200",'2026'!$E$4="FO",'2026'!$E$2=BO43),'2026DATA'!$J$10,"")</f>
        <v/>
      </c>
      <c r="BP51" s="518" t="str">
        <f>IF(AND(_4="A-330-200",'2026'!$E$4="FO",'2026'!$E$2=BP43),'2026DATA'!$K$10,"")</f>
        <v/>
      </c>
      <c r="BQ51" s="518" t="str">
        <f>IF(AND(_4="A-330-200",'2026'!$E$4="FO",'2026'!$E$2=BQ43),'2026DATA'!$L$10,"")</f>
        <v/>
      </c>
      <c r="BR51" s="518" t="str">
        <f>IF(AND(_4="A-330-200",'2026'!$E$4="FO",'2026'!$E$2=BR43),'2026DATA'!$M$10,"")</f>
        <v/>
      </c>
      <c r="BS51" s="520" t="str">
        <f>IF(AND(_4="A-330-200",'2026'!$E$4="FO",'2026'!$E$2=BS43),'2026DATA'!$N$10,"")</f>
        <v/>
      </c>
      <c r="BT51" s="940"/>
      <c r="BU51" s="13" t="s">
        <v>62</v>
      </c>
      <c r="BV51" s="518" t="str">
        <f>IF(AND(_5="A-330-200",'2026'!$E$4="FO",'2026'!$E$2=BV43),'2026DATA'!$C$10,"")</f>
        <v/>
      </c>
      <c r="BW51" s="518" t="str">
        <f>IF(AND(_5="A-330-200",'2026'!$E$4="FO",'2026'!$E$2=BW43),'2026DATA'!$D$10,"")</f>
        <v/>
      </c>
      <c r="BX51" s="518" t="str">
        <f>IF(AND(_5="A-330-200",'2026'!$E$4="FO",'2026'!$E$2=BX43),'2026DATA'!$E$10,"")</f>
        <v/>
      </c>
      <c r="BY51" s="518" t="str">
        <f>IF(AND(_5="A-330-200",'2026'!$E$4="FO",'2026'!$E$2=BY43),'2026DATA'!$F$10,"")</f>
        <v/>
      </c>
      <c r="BZ51" s="518" t="str">
        <f>IF(AND(_5="A-330-200",'2026'!$E$4="FO",'2026'!$E$2=BZ43),'2026DATA'!$G$10,"")</f>
        <v/>
      </c>
      <c r="CA51" s="518" t="str">
        <f>IF(AND(_5="A-330-200",'2026'!$E$4="FO",'2026'!$E$2=CA43),'2026DATA'!$H$10,"")</f>
        <v/>
      </c>
      <c r="CB51" s="518" t="str">
        <f>IF(AND(_5="A-330-200",'2026'!$E$4="FO",'2026'!$E$2=CB43),'2026DATA'!$I$10,"")</f>
        <v/>
      </c>
      <c r="CC51" s="518" t="str">
        <f>IF(AND(_5="A-330-200",'2026'!$E$4="FO",'2026'!$E$2=CC43),'2026DATA'!$J$10,"")</f>
        <v/>
      </c>
      <c r="CD51" s="518" t="str">
        <f>IF(AND(_5="A-330-200",'2026'!$E$4="FO",'2026'!$E$2=CD43),'2026DATA'!$K$10,"")</f>
        <v/>
      </c>
      <c r="CE51" s="518" t="str">
        <f>IF(AND(_5="A-330-200",'2026'!$E$4="FO",'2026'!$E$2=CE43),'2026DATA'!$L$10,"")</f>
        <v/>
      </c>
      <c r="CF51" s="518" t="str">
        <f>IF(AND(_5="A-330-200",'2026'!$E$4="FO",'2026'!$E$2=CF43),'2026DATA'!$M$10,"")</f>
        <v/>
      </c>
      <c r="CG51" s="520" t="str">
        <f>IF(AND(_5="A-330-200",'2026'!$E$4="FO",'2026'!$E$2=CG43),'2026DATA'!$N$10,"")</f>
        <v/>
      </c>
      <c r="CH51" s="940"/>
      <c r="CI51" s="13" t="s">
        <v>62</v>
      </c>
      <c r="CJ51" s="518" t="str">
        <f>IF(AND(_6="A-330-200",'2026'!$E$4="FO",'2026'!$E$2=CJ43),'2026DATA'!$C$10,"")</f>
        <v/>
      </c>
      <c r="CK51" s="518" t="str">
        <f>IF(AND(_6="A-330-200",'2026'!$E$4="FO",'2026'!$E$2=CK43),'2026DATA'!$D$10,"")</f>
        <v/>
      </c>
      <c r="CL51" s="518" t="str">
        <f>IF(AND(_6="A-330-200",'2026'!$E$4="FO",'2026'!$E$2=CL43),'2026DATA'!$E$10,"")</f>
        <v/>
      </c>
      <c r="CM51" s="518" t="str">
        <f>IF(AND(_6="A-330-200",'2026'!$E$4="FO",'2026'!$E$2=CM43),'2026DATA'!$F$10,"")</f>
        <v/>
      </c>
      <c r="CN51" s="518" t="str">
        <f>IF(AND(_6="A-330-200",'2026'!$E$4="FO",'2026'!$E$2=CN43),'2026DATA'!$G$10,"")</f>
        <v/>
      </c>
      <c r="CO51" s="518" t="str">
        <f>IF(AND(_6="A-330-200",'2026'!$E$4="FO",'2026'!$E$2=CO43),'2026DATA'!$H$10,"")</f>
        <v/>
      </c>
      <c r="CP51" s="518" t="str">
        <f>IF(AND(_6="A-330-200",'2026'!$E$4="FO",'2026'!$E$2=CP43),'2026DATA'!$I$10,"")</f>
        <v/>
      </c>
      <c r="CQ51" s="518" t="str">
        <f>IF(AND(_6="A-330-200",'2026'!$E$4="FO",'2026'!$E$2=CQ43),'2026DATA'!$J$10,"")</f>
        <v/>
      </c>
      <c r="CR51" s="518" t="str">
        <f>IF(AND(_6="A-330-200",'2026'!$E$4="FO",'2026'!$E$2=CR43),'2026DATA'!$K$10,"")</f>
        <v/>
      </c>
      <c r="CS51" s="518" t="str">
        <f>IF(AND(_6="A-330-200",'2026'!$E$4="FO",'2026'!$E$2=CS43),'2026DATA'!$L$10,"")</f>
        <v/>
      </c>
      <c r="CT51" s="518" t="str">
        <f>IF(AND(_6="A-330-200",'2026'!$E$4="FO",'2026'!$E$2=CT43),'2026DATA'!$M$10,"")</f>
        <v/>
      </c>
      <c r="CU51" s="520" t="str">
        <f>IF(AND(_6="A-330-200",'2026'!$E$4="FO",'2026'!$E$2=CU43),'2026DATA'!$N$10,"")</f>
        <v/>
      </c>
    </row>
    <row r="52" spans="16:99" x14ac:dyDescent="0.25">
      <c r="P52" s="940" t="s">
        <v>42</v>
      </c>
      <c r="Q52" s="13" t="s">
        <v>61</v>
      </c>
      <c r="R52" s="518" t="str">
        <f>IF(AND(_1="B-767-400ER",'2026'!$E$4="CA",'2026'!$E$2=R43),'2026DATA'!$C$11,"")</f>
        <v/>
      </c>
      <c r="S52" s="518" t="str">
        <f>IF(AND(_1="B-767-400ER",'2026'!$E$4="CA",'2026'!$E$2=S43),'2026DATA'!$D$11,"")</f>
        <v/>
      </c>
      <c r="T52" s="518" t="str">
        <f>IF(AND(_1="B-767-400ER",'2026'!$E$4="CA",'2026'!$E$2=T43),'2026DATA'!$E$11,"")</f>
        <v/>
      </c>
      <c r="U52" s="518" t="str">
        <f>IF(AND(_1="B-767-400ER",'2026'!$E$4="CA",'2026'!$E$2=U43),'2026DATA'!$F$11,"")</f>
        <v/>
      </c>
      <c r="V52" s="518" t="str">
        <f>IF(AND(_1="B-767-400ER",'2026'!$E$4="CA",'2026'!$E$2=V43),'2026DATA'!$G$11,"")</f>
        <v/>
      </c>
      <c r="W52" s="518" t="str">
        <f>IF(AND(_1="B-767-400ER",'2026'!$E$4="CA",'2026'!$E$2=W43),'2026DATA'!$H$11,"")</f>
        <v/>
      </c>
      <c r="X52" s="518" t="str">
        <f>IF(AND(_1="B-767-400ER",'2026'!$E$4="CA",'2026'!$E$2=X43),'2026DATA'!$I$11,"")</f>
        <v/>
      </c>
      <c r="Y52" s="518" t="str">
        <f>IF(AND(_1="B-767-400ER",'2026'!$E$4="CA",'2026'!$E$2=Y43),'2026DATA'!$J$11,"")</f>
        <v/>
      </c>
      <c r="Z52" s="518" t="str">
        <f>IF(AND(_1="B-767-400ER",'2026'!$E$4="CA",'2026'!$E$2=Z43),'2026DATA'!$K$11,"")</f>
        <v/>
      </c>
      <c r="AA52" s="518" t="str">
        <f>IF(AND(_1="B-767-400ER",'2026'!$E$4="CA",'2026'!$E$2=AA43),'2026DATA'!$L$11,"")</f>
        <v/>
      </c>
      <c r="AB52" s="518" t="str">
        <f>IF(AND(_1="B-767-400ER",'2026'!$E$4="CA",'2026'!$E$2=AB43),'2026DATA'!$M$11,"")</f>
        <v/>
      </c>
      <c r="AC52" s="520" t="str">
        <f>IF(AND(_1="B-767-400ER",'2026'!$E$4="CA",'2026'!$E$2=AC43),'2026DATA'!$N$11,"")</f>
        <v/>
      </c>
      <c r="AD52" s="940" t="s">
        <v>42</v>
      </c>
      <c r="AE52" s="13" t="s">
        <v>61</v>
      </c>
      <c r="AF52" s="518" t="str">
        <f>IF(AND(_2="B-767-400ER",'2026'!$E$4="CA",'2026'!$E$2=AF43),'2026DATA'!$C$11,"")</f>
        <v/>
      </c>
      <c r="AG52" s="518" t="str">
        <f>IF(AND(_2="B-767-400ER",'2026'!$E$4="CA",'2026'!$E$2=AG43),'2026DATA'!$D$11,"")</f>
        <v/>
      </c>
      <c r="AH52" s="518" t="str">
        <f>IF(AND(_2="B-767-400ER",'2026'!$E$4="CA",'2026'!$E$2=AH43),'2026DATA'!$E$11,"")</f>
        <v/>
      </c>
      <c r="AI52" s="518" t="str">
        <f>IF(AND(_2="B-767-400ER",'2026'!$E$4="CA",'2026'!$E$2=AI43),'2026DATA'!$F$11,"")</f>
        <v/>
      </c>
      <c r="AJ52" s="518" t="str">
        <f>IF(AND(_2="B-767-400ER",'2026'!$E$4="CA",'2026'!$E$2=AJ43),'2026DATA'!$G$11,"")</f>
        <v/>
      </c>
      <c r="AK52" s="518" t="str">
        <f>IF(AND(_2="B-767-400ER",'2026'!$E$4="CA",'2026'!$E$2=AK43),'2026DATA'!$H$11,"")</f>
        <v/>
      </c>
      <c r="AL52" s="518" t="str">
        <f>IF(AND(_2="B-767-400ER",'2026'!$E$4="CA",'2026'!$E$2=AL43),'2026DATA'!$I$11,"")</f>
        <v/>
      </c>
      <c r="AM52" s="518" t="str">
        <f>IF(AND(_2="B-767-400ER",'2026'!$E$4="CA",'2026'!$E$2=AM43),'2026DATA'!$J$11,"")</f>
        <v/>
      </c>
      <c r="AN52" s="518" t="str">
        <f>IF(AND(_2="B-767-400ER",'2026'!$E$4="CA",'2026'!$E$2=AN43),'2026DATA'!$K$11,"")</f>
        <v/>
      </c>
      <c r="AO52" s="518" t="str">
        <f>IF(AND(_2="B-767-400ER",'2026'!$E$4="CA",'2026'!$E$2=AO43),'2026DATA'!$L$11,"")</f>
        <v/>
      </c>
      <c r="AP52" s="518" t="str">
        <f>IF(AND(_2="B-767-400ER",'2026'!$E$4="CA",'2026'!$E$2=AP43),'2026DATA'!$M$11,"")</f>
        <v/>
      </c>
      <c r="AQ52" s="520" t="str">
        <f>IF(AND(_2="B-767-400ER",'2026'!$E$4="CA",'2026'!$E$2=AQ43),'2026DATA'!$N$11,"")</f>
        <v/>
      </c>
      <c r="AR52" s="940" t="s">
        <v>42</v>
      </c>
      <c r="AS52" s="13" t="s">
        <v>61</v>
      </c>
      <c r="AT52" s="518" t="str">
        <f>IF(AND(_3="B-767-400ER",'2026'!$E$4="CA",'2026'!$E$2=AT43),'2026DATA'!$C$11,"")</f>
        <v/>
      </c>
      <c r="AU52" s="518" t="str">
        <f>IF(AND(_3="B-767-400ER",'2026'!$E$4="CA",'2026'!$E$2=AU43),'2026DATA'!$D$11,"")</f>
        <v/>
      </c>
      <c r="AV52" s="518" t="str">
        <f>IF(AND(_3="B-767-400ER",'2026'!$E$4="CA",'2026'!$E$2=AV43),'2026DATA'!$E$11,"")</f>
        <v/>
      </c>
      <c r="AW52" s="518" t="str">
        <f>IF(AND(_3="B-767-400ER",'2026'!$E$4="CA",'2026'!$E$2=AW43),'2026DATA'!$F$11,"")</f>
        <v/>
      </c>
      <c r="AX52" s="518" t="str">
        <f>IF(AND(_3="B-767-400ER",'2026'!$E$4="CA",'2026'!$E$2=AX43),'2026DATA'!$G$11,"")</f>
        <v/>
      </c>
      <c r="AY52" s="518" t="str">
        <f>IF(AND(_3="B-767-400ER",'2026'!$E$4="CA",'2026'!$E$2=AY43),'2026DATA'!$H$11,"")</f>
        <v/>
      </c>
      <c r="AZ52" s="518" t="str">
        <f>IF(AND(_3="B-767-400ER",'2026'!$E$4="CA",'2026'!$E$2=AZ43),'2026DATA'!$I$11,"")</f>
        <v/>
      </c>
      <c r="BA52" s="518" t="str">
        <f>IF(AND(_3="B-767-400ER",'2026'!$E$4="CA",'2026'!$E$2=BA43),'2026DATA'!$J$11,"")</f>
        <v/>
      </c>
      <c r="BB52" s="518" t="str">
        <f>IF(AND(_3="B-767-400ER",'2026'!$E$4="CA",'2026'!$E$2=BB43),'2026DATA'!$K$11,"")</f>
        <v/>
      </c>
      <c r="BC52" s="518" t="str">
        <f>IF(AND(_3="B-767-400ER",'2026'!$E$4="CA",'2026'!$E$2=BC43),'2026DATA'!$L$11,"")</f>
        <v/>
      </c>
      <c r="BD52" s="518" t="str">
        <f>IF(AND(_3="B-767-400ER",'2026'!$E$4="CA",'2026'!$E$2=BD43),'2026DATA'!$M$11,"")</f>
        <v/>
      </c>
      <c r="BE52" s="520" t="str">
        <f>IF(AND(_3="B-767-400ER",'2026'!$E$4="CA",'2026'!$E$2=BE43),'2026DATA'!$N$11,"")</f>
        <v/>
      </c>
      <c r="BF52" s="940" t="s">
        <v>42</v>
      </c>
      <c r="BG52" s="13" t="s">
        <v>61</v>
      </c>
      <c r="BH52" s="518" t="str">
        <f>IF(AND(_4="B-767-400ER",'2026'!$E$4="CA",'2026'!$E$2=BH43),'2026DATA'!$C$11,"")</f>
        <v/>
      </c>
      <c r="BI52" s="518" t="str">
        <f>IF(AND(_4="B-767-400ER",'2026'!$E$4="CA",'2026'!$E$2=BI43),'2026DATA'!$D$11,"")</f>
        <v/>
      </c>
      <c r="BJ52" s="518" t="str">
        <f>IF(AND(_4="B-767-400ER",'2026'!$E$4="CA",'2026'!$E$2=BJ43),'2026DATA'!$E$11,"")</f>
        <v/>
      </c>
      <c r="BK52" s="518" t="str">
        <f>IF(AND(_4="B-767-400ER",'2026'!$E$4="CA",'2026'!$E$2=BK43),'2026DATA'!$F$11,"")</f>
        <v/>
      </c>
      <c r="BL52" s="518" t="str">
        <f>IF(AND(_4="B-767-400ER",'2026'!$E$4="CA",'2026'!$E$2=BL43),'2026DATA'!$G$11,"")</f>
        <v/>
      </c>
      <c r="BM52" s="518" t="str">
        <f>IF(AND(_4="B-767-400ER",'2026'!$E$4="CA",'2026'!$E$2=BM43),'2026DATA'!$H$11,"")</f>
        <v/>
      </c>
      <c r="BN52" s="518" t="str">
        <f>IF(AND(_4="B-767-400ER",'2026'!$E$4="CA",'2026'!$E$2=BN43),'2026DATA'!$I$11,"")</f>
        <v/>
      </c>
      <c r="BO52" s="518" t="str">
        <f>IF(AND(_4="B-767-400ER",'2026'!$E$4="CA",'2026'!$E$2=BO43),'2026DATA'!$J$11,"")</f>
        <v/>
      </c>
      <c r="BP52" s="518" t="str">
        <f>IF(AND(_4="B-767-400ER",'2026'!$E$4="CA",'2026'!$E$2=BP43),'2026DATA'!$K$11,"")</f>
        <v/>
      </c>
      <c r="BQ52" s="518" t="str">
        <f>IF(AND(_4="B-767-400ER",'2026'!$E$4="CA",'2026'!$E$2=BQ43),'2026DATA'!$L$11,"")</f>
        <v/>
      </c>
      <c r="BR52" s="518" t="str">
        <f>IF(AND(_4="B-767-400ER",'2026'!$E$4="CA",'2026'!$E$2=BR43),'2026DATA'!$M$11,"")</f>
        <v/>
      </c>
      <c r="BS52" s="520" t="str">
        <f>IF(AND(_4="B-767-400ER",'2026'!$E$4="CA",'2026'!$E$2=BS43),'2026DATA'!$N$11,"")</f>
        <v/>
      </c>
      <c r="BT52" s="940" t="s">
        <v>42</v>
      </c>
      <c r="BU52" s="13" t="s">
        <v>61</v>
      </c>
      <c r="BV52" s="518" t="str">
        <f>IF(AND(_5="B-767-400ER",'2026'!$E$4="CA",'2026'!$E$2=BV43),'2026DATA'!$C$11,"")</f>
        <v/>
      </c>
      <c r="BW52" s="518" t="str">
        <f>IF(AND(_5="B-767-400ER",'2026'!$E$4="CA",'2026'!$E$2=BW43),'2026DATA'!$D$11,"")</f>
        <v/>
      </c>
      <c r="BX52" s="518" t="str">
        <f>IF(AND(_5="B-767-400ER",'2026'!$E$4="CA",'2026'!$E$2=BX43),'2026DATA'!$E$11,"")</f>
        <v/>
      </c>
      <c r="BY52" s="518" t="str">
        <f>IF(AND(_5="B-767-400ER",'2026'!$E$4="CA",'2026'!$E$2=BY43),'2026DATA'!$F$11,"")</f>
        <v/>
      </c>
      <c r="BZ52" s="518" t="str">
        <f>IF(AND(_5="B-767-400ER",'2026'!$E$4="CA",'2026'!$E$2=BZ43),'2026DATA'!$G$11,"")</f>
        <v/>
      </c>
      <c r="CA52" s="518" t="str">
        <f>IF(AND(_5="B-767-400ER",'2026'!$E$4="CA",'2026'!$E$2=CA43),'2026DATA'!$H$11,"")</f>
        <v/>
      </c>
      <c r="CB52" s="518" t="str">
        <f>IF(AND(_5="B-767-400ER",'2026'!$E$4="CA",'2026'!$E$2=CB43),'2026DATA'!$I$11,"")</f>
        <v/>
      </c>
      <c r="CC52" s="518" t="str">
        <f>IF(AND(_5="B-767-400ER",'2026'!$E$4="CA",'2026'!$E$2=CC43),'2026DATA'!$J$11,"")</f>
        <v/>
      </c>
      <c r="CD52" s="518" t="str">
        <f>IF(AND(_5="B-767-400ER",'2026'!$E$4="CA",'2026'!$E$2=CD43),'2026DATA'!$K$11,"")</f>
        <v/>
      </c>
      <c r="CE52" s="518" t="str">
        <f>IF(AND(_5="B-767-400ER",'2026'!$E$4="CA",'2026'!$E$2=CE43),'2026DATA'!$L$11,"")</f>
        <v/>
      </c>
      <c r="CF52" s="518" t="str">
        <f>IF(AND(_5="B-767-400ER",'2026'!$E$4="CA",'2026'!$E$2=CF43),'2026DATA'!$M$11,"")</f>
        <v/>
      </c>
      <c r="CG52" s="520" t="str">
        <f>IF(AND(_5="B-767-400ER",'2026'!$E$4="CA",'2026'!$E$2=CG43),'2026DATA'!$N$11,"")</f>
        <v/>
      </c>
      <c r="CH52" s="940" t="s">
        <v>42</v>
      </c>
      <c r="CI52" s="13" t="s">
        <v>61</v>
      </c>
      <c r="CJ52" s="518" t="str">
        <f>IF(AND(_6="B-767-400ER",'2026'!$E$4="CA",'2026'!$E$2=CJ43),'2026DATA'!$C$11,"")</f>
        <v/>
      </c>
      <c r="CK52" s="518" t="str">
        <f>IF(AND(_6="B-767-400ER",'2026'!$E$4="CA",'2026'!$E$2=CK43),'2026DATA'!$D$11,"")</f>
        <v/>
      </c>
      <c r="CL52" s="518" t="str">
        <f>IF(AND(_6="B-767-400ER",'2026'!$E$4="CA",'2026'!$E$2=CL43),'2026DATA'!$E$11,"")</f>
        <v/>
      </c>
      <c r="CM52" s="518" t="str">
        <f>IF(AND(_6="B-767-400ER",'2026'!$E$4="CA",'2026'!$E$2=CM43),'2026DATA'!$F$11,"")</f>
        <v/>
      </c>
      <c r="CN52" s="518" t="str">
        <f>IF(AND(_6="B-767-400ER",'2026'!$E$4="CA",'2026'!$E$2=CN43),'2026DATA'!$G$11,"")</f>
        <v/>
      </c>
      <c r="CO52" s="518" t="str">
        <f>IF(AND(_6="B-767-400ER",'2026'!$E$4="CA",'2026'!$E$2=CO43),'2026DATA'!$H$11,"")</f>
        <v/>
      </c>
      <c r="CP52" s="518" t="str">
        <f>IF(AND(_6="B-767-400ER",'2026'!$E$4="CA",'2026'!$E$2=CP43),'2026DATA'!$I$11,"")</f>
        <v/>
      </c>
      <c r="CQ52" s="518" t="str">
        <f>IF(AND(_6="B-767-400ER",'2026'!$E$4="CA",'2026'!$E$2=CQ43),'2026DATA'!$J$11,"")</f>
        <v/>
      </c>
      <c r="CR52" s="518" t="str">
        <f>IF(AND(_6="B-767-400ER",'2026'!$E$4="CA",'2026'!$E$2=CR43),'2026DATA'!$K$11,"")</f>
        <v/>
      </c>
      <c r="CS52" s="518" t="str">
        <f>IF(AND(_6="B-767-400ER",'2026'!$E$4="CA",'2026'!$E$2=CS43),'2026DATA'!$L$11,"")</f>
        <v/>
      </c>
      <c r="CT52" s="518" t="str">
        <f>IF(AND(_6="B-767-400ER",'2026'!$E$4="CA",'2026'!$E$2=CT43),'2026DATA'!$M$11,"")</f>
        <v/>
      </c>
      <c r="CU52" s="520" t="str">
        <f>IF(AND(_6="B-767-400ER",'2026'!$E$4="CA",'2026'!$E$2=CU43),'2026DATA'!$N$11,"")</f>
        <v/>
      </c>
    </row>
    <row r="53" spans="16:99" x14ac:dyDescent="0.25">
      <c r="P53" s="940"/>
      <c r="Q53" s="13" t="s">
        <v>62</v>
      </c>
      <c r="R53" s="518" t="str">
        <f>IF(AND(_1="B-767-400ER",'2026'!$E$4="FO",'2026'!$E$2=R43),'2026DATA'!$C$12,"")</f>
        <v/>
      </c>
      <c r="S53" s="518" t="str">
        <f>IF(AND(_1="B-767-400ER",'2026'!$E$4="FO",'2026'!$E$2=S43),'2026DATA'!$D$12,"")</f>
        <v/>
      </c>
      <c r="T53" s="518" t="str">
        <f>IF(AND(_1="B-767-400ER",'2026'!$E$4="FO",'2026'!$E$2=T43),'2026DATA'!$E$12,"")</f>
        <v/>
      </c>
      <c r="U53" s="518" t="str">
        <f>IF(AND(_1="B-767-400ER",'2026'!$E$4="FO",'2026'!$E$2=U43),'2026DATA'!$F$12,"")</f>
        <v/>
      </c>
      <c r="V53" s="518" t="str">
        <f>IF(AND(_1="B-767-400ER",'2026'!$E$4="FO",'2026'!$E$2=V43),'2026DATA'!$G$12,"")</f>
        <v/>
      </c>
      <c r="W53" s="518" t="str">
        <f>IF(AND(_1="B-767-400ER",'2026'!$E$4="FO",'2026'!$E$2=W43),'2026DATA'!$H$12,"")</f>
        <v/>
      </c>
      <c r="X53" s="518" t="str">
        <f>IF(AND(_1="B-767-400ER",'2026'!$E$4="FO",'2026'!$E$2=X43),'2026DATA'!$I$12,"")</f>
        <v/>
      </c>
      <c r="Y53" s="518" t="str">
        <f>IF(AND(_1="B-767-400ER",'2026'!$E$4="FO",'2026'!$E$2=Y43),'2026DATA'!$J$12,"")</f>
        <v/>
      </c>
      <c r="Z53" s="518" t="str">
        <f>IF(AND(_1="B-767-400ER",'2026'!$E$4="FO",'2026'!$E$2=Z43),'2026DATA'!$K$12,"")</f>
        <v/>
      </c>
      <c r="AA53" s="518" t="str">
        <f>IF(AND(_1="B-767-400ER",'2026'!$E$4="FO",'2026'!$E$2=AA43),'2026DATA'!$L$12,"")</f>
        <v/>
      </c>
      <c r="AB53" s="518" t="str">
        <f>IF(AND(_1="B-767-400ER",'2026'!$E$4="FO",'2026'!$E$2=AB43),'2026DATA'!$M$12,"")</f>
        <v/>
      </c>
      <c r="AC53" s="520" t="str">
        <f>IF(AND(_1="B-767-400ER",'2026'!$E$4="FO",'2026'!$E$2=AC43),'2026DATA'!$N$12,"")</f>
        <v/>
      </c>
      <c r="AD53" s="940"/>
      <c r="AE53" s="13" t="s">
        <v>62</v>
      </c>
      <c r="AF53" s="518" t="str">
        <f>IF(AND(_2="B-767-400ER",'2026'!$E$4="FO",'2026'!$E$2=AF43),'2026DATA'!$C$12,"")</f>
        <v/>
      </c>
      <c r="AG53" s="518" t="str">
        <f>IF(AND(_2="B-767-400ER",'2026'!$E$4="FO",'2026'!$E$2=AG43),'2026DATA'!$D$12,"")</f>
        <v/>
      </c>
      <c r="AH53" s="518" t="str">
        <f>IF(AND(_2="B-767-400ER",'2026'!$E$4="FO",'2026'!$E$2=AH43),'2026DATA'!$E$12,"")</f>
        <v/>
      </c>
      <c r="AI53" s="518" t="str">
        <f>IF(AND(_2="B-767-400ER",'2026'!$E$4="FO",'2026'!$E$2=AI43),'2026DATA'!$F$12,"")</f>
        <v/>
      </c>
      <c r="AJ53" s="518" t="str">
        <f>IF(AND(_2="B-767-400ER",'2026'!$E$4="FO",'2026'!$E$2=AJ43),'2026DATA'!$G$12,"")</f>
        <v/>
      </c>
      <c r="AK53" s="518" t="str">
        <f>IF(AND(_2="B-767-400ER",'2026'!$E$4="FO",'2026'!$E$2=AK43),'2026DATA'!$H$12,"")</f>
        <v/>
      </c>
      <c r="AL53" s="518" t="str">
        <f>IF(AND(_2="B-767-400ER",'2026'!$E$4="FO",'2026'!$E$2=AL43),'2026DATA'!$I$12,"")</f>
        <v/>
      </c>
      <c r="AM53" s="518" t="str">
        <f>IF(AND(_2="B-767-400ER",'2026'!$E$4="FO",'2026'!$E$2=AM43),'2026DATA'!$J$12,"")</f>
        <v/>
      </c>
      <c r="AN53" s="518" t="str">
        <f>IF(AND(_2="B-767-400ER",'2026'!$E$4="FO",'2026'!$E$2=AN43),'2026DATA'!$K$12,"")</f>
        <v/>
      </c>
      <c r="AO53" s="518" t="str">
        <f>IF(AND(_2="B-767-400ER",'2026'!$E$4="FO",'2026'!$E$2=AO43),'2026DATA'!$L$12,"")</f>
        <v/>
      </c>
      <c r="AP53" s="518" t="str">
        <f>IF(AND(_2="B-767-400ER",'2026'!$E$4="FO",'2026'!$E$2=AP43),'2026DATA'!$M$12,"")</f>
        <v/>
      </c>
      <c r="AQ53" s="520" t="str">
        <f>IF(AND(_2="B-767-400ER",'2026'!$E$4="FO",'2026'!$E$2=AQ43),'2026DATA'!$N$12,"")</f>
        <v/>
      </c>
      <c r="AR53" s="940"/>
      <c r="AS53" s="13" t="s">
        <v>62</v>
      </c>
      <c r="AT53" s="518" t="str">
        <f>IF(AND(_3="B-767-400ER",'2026'!$E$4="FO",'2026'!$E$2=AT43),'2026DATA'!$C$12,"")</f>
        <v/>
      </c>
      <c r="AU53" s="518" t="str">
        <f>IF(AND(_3="B-767-400ER",'2026'!$E$4="FO",'2026'!$E$2=AU43),'2026DATA'!$D$12,"")</f>
        <v/>
      </c>
      <c r="AV53" s="518" t="str">
        <f>IF(AND(_3="B-767-400ER",'2026'!$E$4="FO",'2026'!$E$2=AV43),'2026DATA'!$E$12,"")</f>
        <v/>
      </c>
      <c r="AW53" s="518" t="str">
        <f>IF(AND(_3="B-767-400ER",'2026'!$E$4="FO",'2026'!$E$2=AW43),'2026DATA'!$F$12,"")</f>
        <v/>
      </c>
      <c r="AX53" s="518" t="str">
        <f>IF(AND(_3="B-767-400ER",'2026'!$E$4="FO",'2026'!$E$2=AX43),'2026DATA'!$G$12,"")</f>
        <v/>
      </c>
      <c r="AY53" s="518" t="str">
        <f>IF(AND(_3="B-767-400ER",'2026'!$E$4="FO",'2026'!$E$2=AY43),'2026DATA'!$H$12,"")</f>
        <v/>
      </c>
      <c r="AZ53" s="518" t="str">
        <f>IF(AND(_3="B-767-400ER",'2026'!$E$4="FO",'2026'!$E$2=AZ43),'2026DATA'!$I$12,"")</f>
        <v/>
      </c>
      <c r="BA53" s="518" t="str">
        <f>IF(AND(_3="B-767-400ER",'2026'!$E$4="FO",'2026'!$E$2=BA43),'2026DATA'!$J$12,"")</f>
        <v/>
      </c>
      <c r="BB53" s="518" t="str">
        <f>IF(AND(_3="B-767-400ER",'2026'!$E$4="FO",'2026'!$E$2=BB43),'2026DATA'!$K$12,"")</f>
        <v/>
      </c>
      <c r="BC53" s="518" t="str">
        <f>IF(AND(_3="B-767-400ER",'2026'!$E$4="FO",'2026'!$E$2=BC43),'2026DATA'!$L$12,"")</f>
        <v/>
      </c>
      <c r="BD53" s="518" t="str">
        <f>IF(AND(_3="B-767-400ER",'2026'!$E$4="FO",'2026'!$E$2=BD43),'2026DATA'!$M$12,"")</f>
        <v/>
      </c>
      <c r="BE53" s="520" t="str">
        <f>IF(AND(_3="B-767-400ER",'2026'!$E$4="FO",'2026'!$E$2=BE43),'2026DATA'!$N$12,"")</f>
        <v/>
      </c>
      <c r="BF53" s="940"/>
      <c r="BG53" s="13" t="s">
        <v>62</v>
      </c>
      <c r="BH53" s="518" t="str">
        <f>IF(AND(_4="B-767-400ER",'2026'!$E$4="FO",'2026'!$E$2=BH43),'2026DATA'!$C$12,"")</f>
        <v/>
      </c>
      <c r="BI53" s="518" t="str">
        <f>IF(AND(_4="B-767-400ER",'2026'!$E$4="FO",'2026'!$E$2=BI43),'2026DATA'!$D$12,"")</f>
        <v/>
      </c>
      <c r="BJ53" s="518" t="str">
        <f>IF(AND(_4="B-767-400ER",'2026'!$E$4="FO",'2026'!$E$2=BJ43),'2026DATA'!$E$12,"")</f>
        <v/>
      </c>
      <c r="BK53" s="518" t="str">
        <f>IF(AND(_4="B-767-400ER",'2026'!$E$4="FO",'2026'!$E$2=BK43),'2026DATA'!$F$12,"")</f>
        <v/>
      </c>
      <c r="BL53" s="518" t="str">
        <f>IF(AND(_4="B-767-400ER",'2026'!$E$4="FO",'2026'!$E$2=BL43),'2026DATA'!$G$12,"")</f>
        <v/>
      </c>
      <c r="BM53" s="518" t="str">
        <f>IF(AND(_4="B-767-400ER",'2026'!$E$4="FO",'2026'!$E$2=BM43),'2026DATA'!$H$12,"")</f>
        <v/>
      </c>
      <c r="BN53" s="518" t="str">
        <f>IF(AND(_4="B-767-400ER",'2026'!$E$4="FO",'2026'!$E$2=BN43),'2026DATA'!$I$12,"")</f>
        <v/>
      </c>
      <c r="BO53" s="518" t="str">
        <f>IF(AND(_4="B-767-400ER",'2026'!$E$4="FO",'2026'!$E$2=BO43),'2026DATA'!$J$12,"")</f>
        <v/>
      </c>
      <c r="BP53" s="518" t="str">
        <f>IF(AND(_4="B-767-400ER",'2026'!$E$4="FO",'2026'!$E$2=BP43),'2026DATA'!$K$12,"")</f>
        <v/>
      </c>
      <c r="BQ53" s="518" t="str">
        <f>IF(AND(_4="B-767-400ER",'2026'!$E$4="FO",'2026'!$E$2=BQ43),'2026DATA'!$L$12,"")</f>
        <v/>
      </c>
      <c r="BR53" s="518" t="str">
        <f>IF(AND(_4="B-767-400ER",'2026'!$E$4="FO",'2026'!$E$2=BR43),'2026DATA'!$M$12,"")</f>
        <v/>
      </c>
      <c r="BS53" s="520" t="str">
        <f>IF(AND(_4="B-767-400ER",'2026'!$E$4="FO",'2026'!$E$2=BS43),'2026DATA'!$N$12,"")</f>
        <v/>
      </c>
      <c r="BT53" s="940"/>
      <c r="BU53" s="13" t="s">
        <v>62</v>
      </c>
      <c r="BV53" s="518" t="str">
        <f>IF(AND(_5="B-767-400ER",'2026'!$E$4="FO",'2026'!$E$2=BV43),'2026DATA'!$C$12,"")</f>
        <v/>
      </c>
      <c r="BW53" s="518" t="str">
        <f>IF(AND(_5="B-767-400ER",'2026'!$E$4="FO",'2026'!$E$2=BW43),'2026DATA'!$D$12,"")</f>
        <v/>
      </c>
      <c r="BX53" s="518" t="str">
        <f>IF(AND(_5="B-767-400ER",'2026'!$E$4="FO",'2026'!$E$2=BX43),'2026DATA'!$E$12,"")</f>
        <v/>
      </c>
      <c r="BY53" s="518" t="str">
        <f>IF(AND(_5="B-767-400ER",'2026'!$E$4="FO",'2026'!$E$2=BY43),'2026DATA'!$F$12,"")</f>
        <v/>
      </c>
      <c r="BZ53" s="518" t="str">
        <f>IF(AND(_5="B-767-400ER",'2026'!$E$4="FO",'2026'!$E$2=BZ43),'2026DATA'!$G$12,"")</f>
        <v/>
      </c>
      <c r="CA53" s="518" t="str">
        <f>IF(AND(_5="B-767-400ER",'2026'!$E$4="FO",'2026'!$E$2=CA43),'2026DATA'!$H$12,"")</f>
        <v/>
      </c>
      <c r="CB53" s="518" t="str">
        <f>IF(AND(_5="B-767-400ER",'2026'!$E$4="FO",'2026'!$E$2=CB43),'2026DATA'!$I$12,"")</f>
        <v/>
      </c>
      <c r="CC53" s="518" t="str">
        <f>IF(AND(_5="B-767-400ER",'2026'!$E$4="FO",'2026'!$E$2=CC43),'2026DATA'!$J$12,"")</f>
        <v/>
      </c>
      <c r="CD53" s="518" t="str">
        <f>IF(AND(_5="B-767-400ER",'2026'!$E$4="FO",'2026'!$E$2=CD43),'2026DATA'!$K$12,"")</f>
        <v/>
      </c>
      <c r="CE53" s="518" t="str">
        <f>IF(AND(_5="B-767-400ER",'2026'!$E$4="FO",'2026'!$E$2=CE43),'2026DATA'!$L$12,"")</f>
        <v/>
      </c>
      <c r="CF53" s="518" t="str">
        <f>IF(AND(_5="B-767-400ER",'2026'!$E$4="FO",'2026'!$E$2=CF43),'2026DATA'!$M$12,"")</f>
        <v/>
      </c>
      <c r="CG53" s="520" t="str">
        <f>IF(AND(_5="B-767-400ER",'2026'!$E$4="FO",'2026'!$E$2=CG43),'2026DATA'!$N$12,"")</f>
        <v/>
      </c>
      <c r="CH53" s="940"/>
      <c r="CI53" s="13" t="s">
        <v>62</v>
      </c>
      <c r="CJ53" s="518" t="str">
        <f>IF(AND(_6="B-767-400ER",'2026'!$E$4="FO",'2026'!$E$2=CJ43),'2026DATA'!$C$12,"")</f>
        <v/>
      </c>
      <c r="CK53" s="518" t="str">
        <f>IF(AND(_6="B-767-400ER",'2026'!$E$4="FO",'2026'!$E$2=CK43),'2026DATA'!$D$12,"")</f>
        <v/>
      </c>
      <c r="CL53" s="518" t="str">
        <f>IF(AND(_6="B-767-400ER",'2026'!$E$4="FO",'2026'!$E$2=CL43),'2026DATA'!$E$12,"")</f>
        <v/>
      </c>
      <c r="CM53" s="518" t="str">
        <f>IF(AND(_6="B-767-400ER",'2026'!$E$4="FO",'2026'!$E$2=CM43),'2026DATA'!$F$12,"")</f>
        <v/>
      </c>
      <c r="CN53" s="518" t="str">
        <f>IF(AND(_6="B-767-400ER",'2026'!$E$4="FO",'2026'!$E$2=CN43),'2026DATA'!$G$12,"")</f>
        <v/>
      </c>
      <c r="CO53" s="518" t="str">
        <f>IF(AND(_6="B-767-400ER",'2026'!$E$4="FO",'2026'!$E$2=CO43),'2026DATA'!$H$12,"")</f>
        <v/>
      </c>
      <c r="CP53" s="518" t="str">
        <f>IF(AND(_6="B-767-400ER",'2026'!$E$4="FO",'2026'!$E$2=CP43),'2026DATA'!$I$12,"")</f>
        <v/>
      </c>
      <c r="CQ53" s="518" t="str">
        <f>IF(AND(_6="B-767-400ER",'2026'!$E$4="FO",'2026'!$E$2=CQ43),'2026DATA'!$J$12,"")</f>
        <v/>
      </c>
      <c r="CR53" s="518" t="str">
        <f>IF(AND(_6="B-767-400ER",'2026'!$E$4="FO",'2026'!$E$2=CR43),'2026DATA'!$K$12,"")</f>
        <v/>
      </c>
      <c r="CS53" s="518" t="str">
        <f>IF(AND(_6="B-767-400ER",'2026'!$E$4="FO",'2026'!$E$2=CS43),'2026DATA'!$L$12,"")</f>
        <v/>
      </c>
      <c r="CT53" s="518" t="str">
        <f>IF(AND(_6="B-767-400ER",'2026'!$E$4="FO",'2026'!$E$2=CT43),'2026DATA'!$M$12,"")</f>
        <v/>
      </c>
      <c r="CU53" s="520" t="str">
        <f>IF(AND(_6="B-767-400ER",'2026'!$E$4="FO",'2026'!$E$2=CU43),'2026DATA'!$N$12,"")</f>
        <v/>
      </c>
    </row>
    <row r="54" spans="16:99" x14ac:dyDescent="0.25">
      <c r="P54" s="940" t="s">
        <v>43</v>
      </c>
      <c r="Q54" s="13" t="s">
        <v>61</v>
      </c>
      <c r="R54" s="518" t="str">
        <f>IF(AND(_1="B-767-300ER",'2026'!$E$4="CA",'2026'!$E$2=R43),'2026DATA'!$C$13,"")</f>
        <v/>
      </c>
      <c r="S54" s="518" t="str">
        <f>IF(AND(_1="B-767-300ER",'2026'!$E$4="CA",'2026'!$E$2=S43),'2026DATA'!$D$13,"")</f>
        <v/>
      </c>
      <c r="T54" s="518" t="str">
        <f>IF(AND(_1="B-767-300ER",'2026'!$E$4="CA",'2026'!$E$2=T43),'2026DATA'!$E$13,"")</f>
        <v/>
      </c>
      <c r="U54" s="518" t="str">
        <f>IF(AND(_1="B-767-300ER",'2026'!$E$4="CA",'2026'!$E$2=U43),'2026DATA'!$F$13,"")</f>
        <v/>
      </c>
      <c r="V54" s="518" t="str">
        <f>IF(AND(_1="B-767-300ER",'2026'!$E$4="CA",'2026'!$E$2=V43),'2026DATA'!$G$13,"")</f>
        <v/>
      </c>
      <c r="W54" s="518" t="str">
        <f>IF(AND(_1="B-767-300ER",'2026'!$E$4="CA",'2026'!$E$2=W43),'2026DATA'!$H$13,"")</f>
        <v/>
      </c>
      <c r="X54" s="518" t="str">
        <f>IF(AND(_1="B-767-300ER",'2026'!$E$4="CA",'2026'!$E$2=X43),'2026DATA'!$I$13,"")</f>
        <v/>
      </c>
      <c r="Y54" s="518" t="str">
        <f>IF(AND(_1="B-767-300ER",'2026'!$E$4="CA",'2026'!$E$2=Y43),'2026DATA'!$J$13,"")</f>
        <v/>
      </c>
      <c r="Z54" s="518" t="str">
        <f>IF(AND(_1="B-767-300ER",'2026'!$E$4="CA",'2026'!$E$2=Z43),'2026DATA'!$K$13,"")</f>
        <v/>
      </c>
      <c r="AA54" s="518" t="str">
        <f>IF(AND(_1="B-767-300ER",'2026'!$E$4="CA",'2026'!$E$2=AA43),'2026DATA'!$L$13,"")</f>
        <v/>
      </c>
      <c r="AB54" s="518" t="str">
        <f>IF(AND(_1="B-767-300ER",'2026'!$E$4="CA",'2026'!$E$2=AB43),'2026DATA'!$M$13,"")</f>
        <v/>
      </c>
      <c r="AC54" s="520" t="str">
        <f>IF(AND(_1="B-767-300ER",'2026'!$E$4="CA",'2026'!$E$2=AC43),'2026DATA'!$N$13,"")</f>
        <v/>
      </c>
      <c r="AD54" s="940" t="s">
        <v>43</v>
      </c>
      <c r="AE54" s="13" t="s">
        <v>61</v>
      </c>
      <c r="AF54" s="518" t="str">
        <f>IF(AND(_2="B-767-300ER",'2026'!$E$4="CA",'2026'!$E$2=AF43),'2026DATA'!$C$13,"")</f>
        <v/>
      </c>
      <c r="AG54" s="518" t="str">
        <f>IF(AND(_2="B-767-300ER",'2026'!$E$4="CA",'2026'!$E$2=AG43),'2026DATA'!$D$13,"")</f>
        <v/>
      </c>
      <c r="AH54" s="518" t="str">
        <f>IF(AND(_2="B-767-300ER",'2026'!$E$4="CA",'2026'!$E$2=AH43),'2026DATA'!$E$13,"")</f>
        <v/>
      </c>
      <c r="AI54" s="518" t="str">
        <f>IF(AND(_2="B-767-300ER",'2026'!$E$4="CA",'2026'!$E$2=AI43),'2026DATA'!$F$13,"")</f>
        <v/>
      </c>
      <c r="AJ54" s="518" t="str">
        <f>IF(AND(_2="B-767-300ER",'2026'!$E$4="CA",'2026'!$E$2=AJ43),'2026DATA'!$G$13,"")</f>
        <v/>
      </c>
      <c r="AK54" s="518" t="str">
        <f>IF(AND(_2="B-767-300ER",'2026'!$E$4="CA",'2026'!$E$2=AK43),'2026DATA'!$H$13,"")</f>
        <v/>
      </c>
      <c r="AL54" s="518" t="str">
        <f>IF(AND(_2="B-767-300ER",'2026'!$E$4="CA",'2026'!$E$2=AL43),'2026DATA'!$I$13,"")</f>
        <v/>
      </c>
      <c r="AM54" s="518" t="str">
        <f>IF(AND(_2="B-767-300ER",'2026'!$E$4="CA",'2026'!$E$2=AM43),'2026DATA'!$J$13,"")</f>
        <v/>
      </c>
      <c r="AN54" s="518" t="str">
        <f>IF(AND(_2="B-767-300ER",'2026'!$E$4="CA",'2026'!$E$2=AN43),'2026DATA'!$K$13,"")</f>
        <v/>
      </c>
      <c r="AO54" s="518" t="str">
        <f>IF(AND(_2="B-767-300ER",'2026'!$E$4="CA",'2026'!$E$2=AO43),'2026DATA'!$L$13,"")</f>
        <v/>
      </c>
      <c r="AP54" s="518" t="str">
        <f>IF(AND(_2="B-767-300ER",'2026'!$E$4="CA",'2026'!$E$2=AP43),'2026DATA'!$M$13,"")</f>
        <v/>
      </c>
      <c r="AQ54" s="520" t="str">
        <f>IF(AND(_2="B-767-300ER",'2026'!$E$4="CA",'2026'!$E$2=AQ43),'2026DATA'!$N$13,"")</f>
        <v/>
      </c>
      <c r="AR54" s="940" t="s">
        <v>43</v>
      </c>
      <c r="AS54" s="13" t="s">
        <v>61</v>
      </c>
      <c r="AT54" s="518" t="str">
        <f>IF(AND(_3="B-767-300ER",'2026'!$E$4="CA",'2026'!$E$2=AT43),'2026DATA'!$C$13,"")</f>
        <v/>
      </c>
      <c r="AU54" s="518" t="str">
        <f>IF(AND(_3="B-767-300ER",'2026'!$E$4="CA",'2026'!$E$2=AU43),'2026DATA'!$D$13,"")</f>
        <v/>
      </c>
      <c r="AV54" s="518" t="str">
        <f>IF(AND(_3="B-767-300ER",'2026'!$E$4="CA",'2026'!$E$2=AV43),'2026DATA'!$E$13,"")</f>
        <v/>
      </c>
      <c r="AW54" s="518" t="str">
        <f>IF(AND(_3="B-767-300ER",'2026'!$E$4="CA",'2026'!$E$2=AW43),'2026DATA'!$F$13,"")</f>
        <v/>
      </c>
      <c r="AX54" s="518" t="str">
        <f>IF(AND(_3="B-767-300ER",'2026'!$E$4="CA",'2026'!$E$2=AX43),'2026DATA'!$G$13,"")</f>
        <v/>
      </c>
      <c r="AY54" s="518" t="str">
        <f>IF(AND(_3="B-767-300ER",'2026'!$E$4="CA",'2026'!$E$2=AY43),'2026DATA'!$H$13,"")</f>
        <v/>
      </c>
      <c r="AZ54" s="518" t="str">
        <f>IF(AND(_3="B-767-300ER",'2026'!$E$4="CA",'2026'!$E$2=AZ43),'2026DATA'!$I$13,"")</f>
        <v/>
      </c>
      <c r="BA54" s="518" t="str">
        <f>IF(AND(_3="B-767-300ER",'2026'!$E$4="CA",'2026'!$E$2=BA43),'2026DATA'!$J$13,"")</f>
        <v/>
      </c>
      <c r="BB54" s="518" t="str">
        <f>IF(AND(_3="B-767-300ER",'2026'!$E$4="CA",'2026'!$E$2=BB43),'2026DATA'!$K$13,"")</f>
        <v/>
      </c>
      <c r="BC54" s="518" t="str">
        <f>IF(AND(_3="B-767-300ER",'2026'!$E$4="CA",'2026'!$E$2=BC43),'2026DATA'!$L$13,"")</f>
        <v/>
      </c>
      <c r="BD54" s="518" t="str">
        <f>IF(AND(_3="B-767-300ER",'2026'!$E$4="CA",'2026'!$E$2=BD43),'2026DATA'!$M$13,"")</f>
        <v/>
      </c>
      <c r="BE54" s="520" t="str">
        <f>IF(AND(_3="B-767-300ER",'2026'!$E$4="CA",'2026'!$E$2=BE43),'2026DATA'!$N$13,"")</f>
        <v/>
      </c>
      <c r="BF54" s="940" t="s">
        <v>43</v>
      </c>
      <c r="BG54" s="13" t="s">
        <v>61</v>
      </c>
      <c r="BH54" s="518" t="str">
        <f>IF(AND(_4="B-767-300ER",'2026'!$E$4="CA",'2026'!$E$2=BH43),'2026DATA'!$C$13,"")</f>
        <v/>
      </c>
      <c r="BI54" s="518" t="str">
        <f>IF(AND(_4="B-767-300ER",'2026'!$E$4="CA",'2026'!$E$2=BI43),'2026DATA'!$D$13,"")</f>
        <v/>
      </c>
      <c r="BJ54" s="518" t="str">
        <f>IF(AND(_4="B-767-300ER",'2026'!$E$4="CA",'2026'!$E$2=BJ43),'2026DATA'!$E$13,"")</f>
        <v/>
      </c>
      <c r="BK54" s="518" t="str">
        <f>IF(AND(_4="B-767-300ER",'2026'!$E$4="CA",'2026'!$E$2=BK43),'2026DATA'!$F$13,"")</f>
        <v/>
      </c>
      <c r="BL54" s="518" t="str">
        <f>IF(AND(_4="B-767-300ER",'2026'!$E$4="CA",'2026'!$E$2=BL43),'2026DATA'!$G$13,"")</f>
        <v/>
      </c>
      <c r="BM54" s="518" t="str">
        <f>IF(AND(_4="B-767-300ER",'2026'!$E$4="CA",'2026'!$E$2=BM43),'2026DATA'!$H$13,"")</f>
        <v/>
      </c>
      <c r="BN54" s="518" t="str">
        <f>IF(AND(_4="B-767-300ER",'2026'!$E$4="CA",'2026'!$E$2=BN43),'2026DATA'!$I$13,"")</f>
        <v/>
      </c>
      <c r="BO54" s="518" t="str">
        <f>IF(AND(_4="B-767-300ER",'2026'!$E$4="CA",'2026'!$E$2=BO43),'2026DATA'!$J$13,"")</f>
        <v/>
      </c>
      <c r="BP54" s="518" t="str">
        <f>IF(AND(_4="B-767-300ER",'2026'!$E$4="CA",'2026'!$E$2=BP43),'2026DATA'!$K$13,"")</f>
        <v/>
      </c>
      <c r="BQ54" s="518" t="str">
        <f>IF(AND(_4="B-767-300ER",'2026'!$E$4="CA",'2026'!$E$2=BQ43),'2026DATA'!$L$13,"")</f>
        <v/>
      </c>
      <c r="BR54" s="518" t="str">
        <f>IF(AND(_4="B-767-300ER",'2026'!$E$4="CA",'2026'!$E$2=BR43),'2026DATA'!$M$13,"")</f>
        <v/>
      </c>
      <c r="BS54" s="520" t="str">
        <f>IF(AND(_4="B-767-300ER",'2026'!$E$4="CA",'2026'!$E$2=BS43),'2026DATA'!$N$13,"")</f>
        <v/>
      </c>
      <c r="BT54" s="940" t="s">
        <v>43</v>
      </c>
      <c r="BU54" s="13" t="s">
        <v>61</v>
      </c>
      <c r="BV54" s="518" t="str">
        <f>IF(AND(_5="B-767-300ER",'2026'!$E$4="CA",'2026'!$E$2=BV43),'2026DATA'!$C$13,"")</f>
        <v/>
      </c>
      <c r="BW54" s="518" t="str">
        <f>IF(AND(_5="B-767-300ER",'2026'!$E$4="CA",'2026'!$E$2=BW43),'2026DATA'!$D$13,"")</f>
        <v/>
      </c>
      <c r="BX54" s="518" t="str">
        <f>IF(AND(_5="B-767-300ER",'2026'!$E$4="CA",'2026'!$E$2=BX43),'2026DATA'!$E$13,"")</f>
        <v/>
      </c>
      <c r="BY54" s="518" t="str">
        <f>IF(AND(_5="B-767-300ER",'2026'!$E$4="CA",'2026'!$E$2=BY43),'2026DATA'!$F$13,"")</f>
        <v/>
      </c>
      <c r="BZ54" s="518" t="str">
        <f>IF(AND(_5="B-767-300ER",'2026'!$E$4="CA",'2026'!$E$2=BZ43),'2026DATA'!$G$13,"")</f>
        <v/>
      </c>
      <c r="CA54" s="518" t="str">
        <f>IF(AND(_5="B-767-300ER",'2026'!$E$4="CA",'2026'!$E$2=CA43),'2026DATA'!$H$13,"")</f>
        <v/>
      </c>
      <c r="CB54" s="518" t="str">
        <f>IF(AND(_5="B-767-300ER",'2026'!$E$4="CA",'2026'!$E$2=CB43),'2026DATA'!$I$13,"")</f>
        <v/>
      </c>
      <c r="CC54" s="518" t="str">
        <f>IF(AND(_5="B-767-300ER",'2026'!$E$4="CA",'2026'!$E$2=CC43),'2026DATA'!$J$13,"")</f>
        <v/>
      </c>
      <c r="CD54" s="518" t="str">
        <f>IF(AND(_5="B-767-300ER",'2026'!$E$4="CA",'2026'!$E$2=CD43),'2026DATA'!$K$13,"")</f>
        <v/>
      </c>
      <c r="CE54" s="518" t="str">
        <f>IF(AND(_5="B-767-300ER",'2026'!$E$4="CA",'2026'!$E$2=CE43),'2026DATA'!$L$13,"")</f>
        <v/>
      </c>
      <c r="CF54" s="518" t="str">
        <f>IF(AND(_5="B-767-300ER",'2026'!$E$4="CA",'2026'!$E$2=CF43),'2026DATA'!$M$13,"")</f>
        <v/>
      </c>
      <c r="CG54" s="520" t="str">
        <f>IF(AND(_5="B-767-300ER",'2026'!$E$4="CA",'2026'!$E$2=CG43),'2026DATA'!$N$13,"")</f>
        <v/>
      </c>
      <c r="CH54" s="940" t="s">
        <v>43</v>
      </c>
      <c r="CI54" s="13" t="s">
        <v>61</v>
      </c>
      <c r="CJ54" s="518" t="str">
        <f>IF(AND(_6="B-767-300ER",'2026'!$E$4="CA",'2026'!$E$2=CJ43),'2026DATA'!$C$13,"")</f>
        <v/>
      </c>
      <c r="CK54" s="518" t="str">
        <f>IF(AND(_6="B-767-300ER",'2026'!$E$4="CA",'2026'!$E$2=CK43),'2026DATA'!$D$13,"")</f>
        <v/>
      </c>
      <c r="CL54" s="518" t="str">
        <f>IF(AND(_6="B-767-300ER",'2026'!$E$4="CA",'2026'!$E$2=CL43),'2026DATA'!$E$13,"")</f>
        <v/>
      </c>
      <c r="CM54" s="518" t="str">
        <f>IF(AND(_6="B-767-300ER",'2026'!$E$4="CA",'2026'!$E$2=CM43),'2026DATA'!$F$13,"")</f>
        <v/>
      </c>
      <c r="CN54" s="518" t="str">
        <f>IF(AND(_6="B-767-300ER",'2026'!$E$4="CA",'2026'!$E$2=CN43),'2026DATA'!$G$13,"")</f>
        <v/>
      </c>
      <c r="CO54" s="518" t="str">
        <f>IF(AND(_6="B-767-300ER",'2026'!$E$4="CA",'2026'!$E$2=CO43),'2026DATA'!$H$13,"")</f>
        <v/>
      </c>
      <c r="CP54" s="518" t="str">
        <f>IF(AND(_6="B-767-300ER",'2026'!$E$4="CA",'2026'!$E$2=CP43),'2026DATA'!$I$13,"")</f>
        <v/>
      </c>
      <c r="CQ54" s="518" t="str">
        <f>IF(AND(_6="B-767-300ER",'2026'!$E$4="CA",'2026'!$E$2=CQ43),'2026DATA'!$J$13,"")</f>
        <v/>
      </c>
      <c r="CR54" s="518" t="str">
        <f>IF(AND(_6="B-767-300ER",'2026'!$E$4="CA",'2026'!$E$2=CR43),'2026DATA'!$K$13,"")</f>
        <v/>
      </c>
      <c r="CS54" s="518" t="str">
        <f>IF(AND(_6="B-767-300ER",'2026'!$E$4="CA",'2026'!$E$2=CS43),'2026DATA'!$L$13,"")</f>
        <v/>
      </c>
      <c r="CT54" s="518" t="str">
        <f>IF(AND(_6="B-767-300ER",'2026'!$E$4="CA",'2026'!$E$2=CT43),'2026DATA'!$M$13,"")</f>
        <v/>
      </c>
      <c r="CU54" s="520" t="str">
        <f>IF(AND(_6="B-767-300ER",'2026'!$E$4="CA",'2026'!$E$2=CU43),'2026DATA'!$N$13,"")</f>
        <v/>
      </c>
    </row>
    <row r="55" spans="16:99" x14ac:dyDescent="0.25">
      <c r="P55" s="940"/>
      <c r="Q55" s="13" t="s">
        <v>62</v>
      </c>
      <c r="R55" s="518" t="str">
        <f>IF(AND(_1="B-767-300ER",'2026'!$E$4="FO",'2026'!$E$2=R43),'2026DATA'!$C$14,"")</f>
        <v/>
      </c>
      <c r="S55" s="518" t="str">
        <f>IF(AND(_1="B-767-300ER",'2026'!$E$4="FO",'2026'!$E$2=S43),'2026DATA'!$D$14,"")</f>
        <v/>
      </c>
      <c r="T55" s="518" t="str">
        <f>IF(AND(_1="B-767-300ER",'2026'!$E$4="FO",'2026'!$E$2=T43),'2026DATA'!$E$14,"")</f>
        <v/>
      </c>
      <c r="U55" s="518" t="str">
        <f>IF(AND(_1="B-767-300ER",'2026'!$E$4="FO",'2026'!$E$2=U43),'2026DATA'!$F$14,"")</f>
        <v/>
      </c>
      <c r="V55" s="518" t="str">
        <f>IF(AND(_1="B-767-300ER",'2026'!$E$4="FO",'2026'!$E$2=V43),'2026DATA'!$G$14,"")</f>
        <v/>
      </c>
      <c r="W55" s="518" t="str">
        <f>IF(AND(_1="B-767-300ER",'2026'!$E$4="FO",'2026'!$E$2=W43),'2026DATA'!$H$14,"")</f>
        <v/>
      </c>
      <c r="X55" s="518" t="str">
        <f>IF(AND(_1="B-767-300ER",'2026'!$E$4="FO",'2026'!$E$2=X43),'2026DATA'!$I$14,"")</f>
        <v/>
      </c>
      <c r="Y55" s="518" t="str">
        <f>IF(AND(_1="B-767-300ER",'2026'!$E$4="FO",'2026'!$E$2=Y43),'2026DATA'!$J$14,"")</f>
        <v/>
      </c>
      <c r="Z55" s="518" t="str">
        <f>IF(AND(_1="B-767-300ER",'2026'!$E$4="FO",'2026'!$E$2=Z43),'2026DATA'!$K$14,"")</f>
        <v/>
      </c>
      <c r="AA55" s="518" t="str">
        <f>IF(AND(_1="B-767-300ER",'2026'!$E$4="FO",'2026'!$E$2=AA43),'2026DATA'!$L$14,"")</f>
        <v/>
      </c>
      <c r="AB55" s="518" t="str">
        <f>IF(AND(_1="B-767-300ER",'2026'!$E$4="FO",'2026'!$E$2=AB43),'2026DATA'!$M$14,"")</f>
        <v/>
      </c>
      <c r="AC55" s="520" t="str">
        <f>IF(AND(_1="B-767-300ER",'2026'!$E$4="FO",'2026'!$E$2=AC43),'2026DATA'!$N$14,"")</f>
        <v/>
      </c>
      <c r="AD55" s="940"/>
      <c r="AE55" s="13" t="s">
        <v>62</v>
      </c>
      <c r="AF55" s="518" t="str">
        <f>IF(AND(_2="B-767-300ER",'2026'!$E$4="FO",'2026'!$E$2=AF43),'2026DATA'!$C$14,"")</f>
        <v/>
      </c>
      <c r="AG55" s="518" t="str">
        <f>IF(AND(_2="B-767-300ER",'2026'!$E$4="FO",'2026'!$E$2=AG43),'2026DATA'!$D$14,"")</f>
        <v/>
      </c>
      <c r="AH55" s="518" t="str">
        <f>IF(AND(_2="B-767-300ER",'2026'!$E$4="FO",'2026'!$E$2=AH43),'2026DATA'!$E$14,"")</f>
        <v/>
      </c>
      <c r="AI55" s="518" t="str">
        <f>IF(AND(_2="B-767-300ER",'2026'!$E$4="FO",'2026'!$E$2=AI43),'2026DATA'!$F$14,"")</f>
        <v/>
      </c>
      <c r="AJ55" s="518" t="str">
        <f>IF(AND(_2="B-767-300ER",'2026'!$E$4="FO",'2026'!$E$2=AJ43),'2026DATA'!$G$14,"")</f>
        <v/>
      </c>
      <c r="AK55" s="518" t="str">
        <f>IF(AND(_2="B-767-300ER",'2026'!$E$4="FO",'2026'!$E$2=AK43),'2026DATA'!$H$14,"")</f>
        <v/>
      </c>
      <c r="AL55" s="518" t="str">
        <f>IF(AND(_2="B-767-300ER",'2026'!$E$4="FO",'2026'!$E$2=AL43),'2026DATA'!$I$14,"")</f>
        <v/>
      </c>
      <c r="AM55" s="518" t="str">
        <f>IF(AND(_2="B-767-300ER",'2026'!$E$4="FO",'2026'!$E$2=AM43),'2026DATA'!$J$14,"")</f>
        <v/>
      </c>
      <c r="AN55" s="518" t="str">
        <f>IF(AND(_2="B-767-300ER",'2026'!$E$4="FO",'2026'!$E$2=AN43),'2026DATA'!$K$14,"")</f>
        <v/>
      </c>
      <c r="AO55" s="518" t="str">
        <f>IF(AND(_2="B-767-300ER",'2026'!$E$4="FO",'2026'!$E$2=AO43),'2026DATA'!$L$14,"")</f>
        <v/>
      </c>
      <c r="AP55" s="518" t="str">
        <f>IF(AND(_2="B-767-300ER",'2026'!$E$4="FO",'2026'!$E$2=AP43),'2026DATA'!$M$14,"")</f>
        <v/>
      </c>
      <c r="AQ55" s="520" t="str">
        <f>IF(AND(_2="B-767-300ER",'2026'!$E$4="FO",'2026'!$E$2=AQ43),'2026DATA'!$N$14,"")</f>
        <v/>
      </c>
      <c r="AR55" s="940"/>
      <c r="AS55" s="13" t="s">
        <v>62</v>
      </c>
      <c r="AT55" s="518" t="str">
        <f>IF(AND(_3="B-767-300ER",'2026'!$E$4="FO",'2026'!$E$2=AT43),'2026DATA'!$C$14,"")</f>
        <v/>
      </c>
      <c r="AU55" s="518" t="str">
        <f>IF(AND(_3="B-767-300ER",'2026'!$E$4="FO",'2026'!$E$2=AU43),'2026DATA'!$D$14,"")</f>
        <v/>
      </c>
      <c r="AV55" s="518" t="str">
        <f>IF(AND(_3="B-767-300ER",'2026'!$E$4="FO",'2026'!$E$2=AV43),'2026DATA'!$E$14,"")</f>
        <v/>
      </c>
      <c r="AW55" s="518" t="str">
        <f>IF(AND(_3="B-767-300ER",'2026'!$E$4="FO",'2026'!$E$2=AW43),'2026DATA'!$F$14,"")</f>
        <v/>
      </c>
      <c r="AX55" s="518" t="str">
        <f>IF(AND(_3="B-767-300ER",'2026'!$E$4="FO",'2026'!$E$2=AX43),'2026DATA'!$G$14,"")</f>
        <v/>
      </c>
      <c r="AY55" s="518" t="str">
        <f>IF(AND(_3="B-767-300ER",'2026'!$E$4="FO",'2026'!$E$2=AY43),'2026DATA'!$H$14,"")</f>
        <v/>
      </c>
      <c r="AZ55" s="518" t="str">
        <f>IF(AND(_3="B-767-300ER",'2026'!$E$4="FO",'2026'!$E$2=AZ43),'2026DATA'!$I$14,"")</f>
        <v/>
      </c>
      <c r="BA55" s="518" t="str">
        <f>IF(AND(_3="B-767-300ER",'2026'!$E$4="FO",'2026'!$E$2=BA43),'2026DATA'!$J$14,"")</f>
        <v/>
      </c>
      <c r="BB55" s="518" t="str">
        <f>IF(AND(_3="B-767-300ER",'2026'!$E$4="FO",'2026'!$E$2=BB43),'2026DATA'!$K$14,"")</f>
        <v/>
      </c>
      <c r="BC55" s="518" t="str">
        <f>IF(AND(_3="B-767-300ER",'2026'!$E$4="FO",'2026'!$E$2=BC43),'2026DATA'!$L$14,"")</f>
        <v/>
      </c>
      <c r="BD55" s="518" t="str">
        <f>IF(AND(_3="B-767-300ER",'2026'!$E$4="FO",'2026'!$E$2=BD43),'2026DATA'!$M$14,"")</f>
        <v/>
      </c>
      <c r="BE55" s="520" t="str">
        <f>IF(AND(_3="B-767-300ER",'2026'!$E$4="FO",'2026'!$E$2=BE43),'2026DATA'!$N$14,"")</f>
        <v/>
      </c>
      <c r="BF55" s="940"/>
      <c r="BG55" s="13" t="s">
        <v>62</v>
      </c>
      <c r="BH55" s="518" t="str">
        <f>IF(AND(_4="B-767-300ER",'2026'!$E$4="FO",'2026'!$E$2=BH43),'2026DATA'!$C$14,"")</f>
        <v/>
      </c>
      <c r="BI55" s="518" t="str">
        <f>IF(AND(_4="B-767-300ER",'2026'!$E$4="FO",'2026'!$E$2=BI43),'2026DATA'!$D$14,"")</f>
        <v/>
      </c>
      <c r="BJ55" s="518" t="str">
        <f>IF(AND(_4="B-767-300ER",'2026'!$E$4="FO",'2026'!$E$2=BJ43),'2026DATA'!$E$14,"")</f>
        <v/>
      </c>
      <c r="BK55" s="518" t="str">
        <f>IF(AND(_4="B-767-300ER",'2026'!$E$4="FO",'2026'!$E$2=BK43),'2026DATA'!$F$14,"")</f>
        <v/>
      </c>
      <c r="BL55" s="518" t="str">
        <f>IF(AND(_4="B-767-300ER",'2026'!$E$4="FO",'2026'!$E$2=BL43),'2026DATA'!$G$14,"")</f>
        <v/>
      </c>
      <c r="BM55" s="518" t="str">
        <f>IF(AND(_4="B-767-300ER",'2026'!$E$4="FO",'2026'!$E$2=BM43),'2026DATA'!$H$14,"")</f>
        <v/>
      </c>
      <c r="BN55" s="518" t="str">
        <f>IF(AND(_4="B-767-300ER",'2026'!$E$4="FO",'2026'!$E$2=BN43),'2026DATA'!$I$14,"")</f>
        <v/>
      </c>
      <c r="BO55" s="518" t="str">
        <f>IF(AND(_4="B-767-300ER",'2026'!$E$4="FO",'2026'!$E$2=BO43),'2026DATA'!$J$14,"")</f>
        <v/>
      </c>
      <c r="BP55" s="518" t="str">
        <f>IF(AND(_4="B-767-300ER",'2026'!$E$4="FO",'2026'!$E$2=BP43),'2026DATA'!$K$14,"")</f>
        <v/>
      </c>
      <c r="BQ55" s="518" t="str">
        <f>IF(AND(_4="B-767-300ER",'2026'!$E$4="FO",'2026'!$E$2=BQ43),'2026DATA'!$L$14,"")</f>
        <v/>
      </c>
      <c r="BR55" s="518" t="str">
        <f>IF(AND(_4="B-767-300ER",'2026'!$E$4="FO",'2026'!$E$2=BR43),'2026DATA'!$M$14,"")</f>
        <v/>
      </c>
      <c r="BS55" s="520" t="str">
        <f>IF(AND(_4="B-767-300ER",'2026'!$E$4="FO",'2026'!$E$2=BS43),'2026DATA'!$N$14,"")</f>
        <v/>
      </c>
      <c r="BT55" s="940"/>
      <c r="BU55" s="13" t="s">
        <v>62</v>
      </c>
      <c r="BV55" s="518" t="str">
        <f>IF(AND(_5="B-767-300ER",'2026'!$E$4="FO",'2026'!$E$2=BV43),'2026DATA'!$C$14,"")</f>
        <v/>
      </c>
      <c r="BW55" s="518" t="str">
        <f>IF(AND(_5="B-767-300ER",'2026'!$E$4="FO",'2026'!$E$2=BW43),'2026DATA'!$D$14,"")</f>
        <v/>
      </c>
      <c r="BX55" s="518" t="str">
        <f>IF(AND(_5="B-767-300ER",'2026'!$E$4="FO",'2026'!$E$2=BX43),'2026DATA'!$E$14,"")</f>
        <v/>
      </c>
      <c r="BY55" s="518" t="str">
        <f>IF(AND(_5="B-767-300ER",'2026'!$E$4="FO",'2026'!$E$2=BY43),'2026DATA'!$F$14,"")</f>
        <v/>
      </c>
      <c r="BZ55" s="518" t="str">
        <f>IF(AND(_5="B-767-300ER",'2026'!$E$4="FO",'2026'!$E$2=BZ43),'2026DATA'!$G$14,"")</f>
        <v/>
      </c>
      <c r="CA55" s="518" t="str">
        <f>IF(AND(_5="B-767-300ER",'2026'!$E$4="FO",'2026'!$E$2=CA43),'2026DATA'!$H$14,"")</f>
        <v/>
      </c>
      <c r="CB55" s="518" t="str">
        <f>IF(AND(_5="B-767-300ER",'2026'!$E$4="FO",'2026'!$E$2=CB43),'2026DATA'!$I$14,"")</f>
        <v/>
      </c>
      <c r="CC55" s="518" t="str">
        <f>IF(AND(_5="B-767-300ER",'2026'!$E$4="FO",'2026'!$E$2=CC43),'2026DATA'!$J$14,"")</f>
        <v/>
      </c>
      <c r="CD55" s="518" t="str">
        <f>IF(AND(_5="B-767-300ER",'2026'!$E$4="FO",'2026'!$E$2=CD43),'2026DATA'!$K$14,"")</f>
        <v/>
      </c>
      <c r="CE55" s="518" t="str">
        <f>IF(AND(_5="B-767-300ER",'2026'!$E$4="FO",'2026'!$E$2=CE43),'2026DATA'!$L$14,"")</f>
        <v/>
      </c>
      <c r="CF55" s="518" t="str">
        <f>IF(AND(_5="B-767-300ER",'2026'!$E$4="FO",'2026'!$E$2=CF43),'2026DATA'!$M$14,"")</f>
        <v/>
      </c>
      <c r="CG55" s="520" t="str">
        <f>IF(AND(_5="B-767-300ER",'2026'!$E$4="FO",'2026'!$E$2=CG43),'2026DATA'!$N$14,"")</f>
        <v/>
      </c>
      <c r="CH55" s="940"/>
      <c r="CI55" s="13" t="s">
        <v>62</v>
      </c>
      <c r="CJ55" s="518" t="str">
        <f>IF(AND(_6="B-767-300ER",'2026'!$E$4="FO",'2026'!$E$2=CJ43),'2026DATA'!$C$14,"")</f>
        <v/>
      </c>
      <c r="CK55" s="518" t="str">
        <f>IF(AND(_6="B-767-300ER",'2026'!$E$4="FO",'2026'!$E$2=CK43),'2026DATA'!$D$14,"")</f>
        <v/>
      </c>
      <c r="CL55" s="518" t="str">
        <f>IF(AND(_6="B-767-300ER",'2026'!$E$4="FO",'2026'!$E$2=CL43),'2026DATA'!$E$14,"")</f>
        <v/>
      </c>
      <c r="CM55" s="518" t="str">
        <f>IF(AND(_6="B-767-300ER",'2026'!$E$4="FO",'2026'!$E$2=CM43),'2026DATA'!$F$14,"")</f>
        <v/>
      </c>
      <c r="CN55" s="518" t="str">
        <f>IF(AND(_6="B-767-300ER",'2026'!$E$4="FO",'2026'!$E$2=CN43),'2026DATA'!$G$14,"")</f>
        <v/>
      </c>
      <c r="CO55" s="518" t="str">
        <f>IF(AND(_6="B-767-300ER",'2026'!$E$4="FO",'2026'!$E$2=CO43),'2026DATA'!$H$14,"")</f>
        <v/>
      </c>
      <c r="CP55" s="518" t="str">
        <f>IF(AND(_6="B-767-300ER",'2026'!$E$4="FO",'2026'!$E$2=CP43),'2026DATA'!$I$14,"")</f>
        <v/>
      </c>
      <c r="CQ55" s="518" t="str">
        <f>IF(AND(_6="B-767-300ER",'2026'!$E$4="FO",'2026'!$E$2=CQ43),'2026DATA'!$J$14,"")</f>
        <v/>
      </c>
      <c r="CR55" s="518" t="str">
        <f>IF(AND(_6="B-767-300ER",'2026'!$E$4="FO",'2026'!$E$2=CR43),'2026DATA'!$K$14,"")</f>
        <v/>
      </c>
      <c r="CS55" s="518" t="str">
        <f>IF(AND(_6="B-767-300ER",'2026'!$E$4="FO",'2026'!$E$2=CS43),'2026DATA'!$L$14,"")</f>
        <v/>
      </c>
      <c r="CT55" s="518" t="str">
        <f>IF(AND(_6="B-767-300ER",'2026'!$E$4="FO",'2026'!$E$2=CT43),'2026DATA'!$M$14,"")</f>
        <v/>
      </c>
      <c r="CU55" s="520" t="str">
        <f>IF(AND(_6="B-767-300ER",'2026'!$E$4="FO",'2026'!$E$2=CU43),'2026DATA'!$N$14,"")</f>
        <v/>
      </c>
    </row>
    <row r="56" spans="16:99" x14ac:dyDescent="0.25">
      <c r="P56" s="940" t="s">
        <v>67</v>
      </c>
      <c r="Q56" s="13" t="s">
        <v>61</v>
      </c>
      <c r="R56" s="518" t="str">
        <f>IF(AND(_1="B-767-300",'2026'!$E$4="CA",'2026'!$E$2=R43),'2026DATA'!$C$15,"")</f>
        <v/>
      </c>
      <c r="S56" s="518" t="str">
        <f>IF(AND(_1="B-767-300",'2026'!$E$4="CA",'2026'!$E$2=S43),'2026DATA'!$D$15,"")</f>
        <v/>
      </c>
      <c r="T56" s="518" t="str">
        <f>IF(AND(_1="B-767-300",'2026'!$E$4="CA",'2026'!$E$2=T43),'2026DATA'!$E$15,"")</f>
        <v/>
      </c>
      <c r="U56" s="518" t="str">
        <f>IF(AND(_1="B-767-300",'2026'!$E$4="CA",'2026'!$E$2=U43),'2026DATA'!$F$15,"")</f>
        <v/>
      </c>
      <c r="V56" s="518" t="str">
        <f>IF(AND(_1="B-767-300",'2026'!$E$4="CA",'2026'!$E$2=V43),'2026DATA'!$G$15,"")</f>
        <v/>
      </c>
      <c r="W56" s="518" t="str">
        <f>IF(AND(_1="B-767-300",'2026'!$E$4="CA",'2026'!$E$2=W43),'2026DATA'!$H$15,"")</f>
        <v/>
      </c>
      <c r="X56" s="518" t="str">
        <f>IF(AND(_1="B-767-300",'2026'!$E$4="CA",'2026'!$E$2=X43),'2026DATA'!$I$15,"")</f>
        <v/>
      </c>
      <c r="Y56" s="518" t="str">
        <f>IF(AND(_1="B-767-300",'2026'!$E$4="CA",'2026'!$E$2=Y43),'2026DATA'!$J$15,"")</f>
        <v/>
      </c>
      <c r="Z56" s="518" t="str">
        <f>IF(AND(_1="B-767-300",'2026'!$E$4="CA",'2026'!$E$2=Z43),'2026DATA'!$K$15,"")</f>
        <v/>
      </c>
      <c r="AA56" s="518" t="str">
        <f>IF(AND(_1="B-767-300",'2026'!$E$4="CA",'2026'!$E$2=AA43),'2026DATA'!$L$15,"")</f>
        <v/>
      </c>
      <c r="AB56" s="518" t="str">
        <f>IF(AND(_1="B-767-300",'2026'!$E$4="CA",'2026'!$E$2=AB43),'2026DATA'!$M$15,"")</f>
        <v/>
      </c>
      <c r="AC56" s="520" t="str">
        <f>IF(AND(_1="B-767-300",'2026'!$E$4="CA",'2026'!$E$2=AC43),'2026DATA'!$N$15,"")</f>
        <v/>
      </c>
      <c r="AD56" s="940" t="s">
        <v>67</v>
      </c>
      <c r="AE56" s="13" t="s">
        <v>61</v>
      </c>
      <c r="AF56" s="518" t="str">
        <f>IF(AND(_2="B-767-300",'2026'!$E$4="CA",'2026'!$E$2=AF43),'2026DATA'!$C$15,"")</f>
        <v/>
      </c>
      <c r="AG56" s="518" t="str">
        <f>IF(AND(_2="B-767-300",'2026'!$E$4="CA",'2026'!$E$2=AG43),'2026DATA'!$D$15,"")</f>
        <v/>
      </c>
      <c r="AH56" s="518" t="str">
        <f>IF(AND(_2="B-767-300",'2026'!$E$4="CA",'2026'!$E$2=AH43),'2026DATA'!$E$15,"")</f>
        <v/>
      </c>
      <c r="AI56" s="518" t="str">
        <f>IF(AND(_2="B-767-300",'2026'!$E$4="CA",'2026'!$E$2=AI43),'2026DATA'!$F$15,"")</f>
        <v/>
      </c>
      <c r="AJ56" s="518" t="str">
        <f>IF(AND(_2="B-767-300",'2026'!$E$4="CA",'2026'!$E$2=AJ43),'2026DATA'!$G$15,"")</f>
        <v/>
      </c>
      <c r="AK56" s="518" t="str">
        <f>IF(AND(_2="B-767-300",'2026'!$E$4="CA",'2026'!$E$2=AK43),'2026DATA'!$H$15,"")</f>
        <v/>
      </c>
      <c r="AL56" s="518" t="str">
        <f>IF(AND(_2="B-767-300",'2026'!$E$4="CA",'2026'!$E$2=AL43),'2026DATA'!$I$15,"")</f>
        <v/>
      </c>
      <c r="AM56" s="518" t="str">
        <f>IF(AND(_2="B-767-300",'2026'!$E$4="CA",'2026'!$E$2=AM43),'2026DATA'!$J$15,"")</f>
        <v/>
      </c>
      <c r="AN56" s="518" t="str">
        <f>IF(AND(_2="B-767-300",'2026'!$E$4="CA",'2026'!$E$2=AN43),'2026DATA'!$K$15,"")</f>
        <v/>
      </c>
      <c r="AO56" s="518" t="str">
        <f>IF(AND(_2="B-767-300",'2026'!$E$4="CA",'2026'!$E$2=AO43),'2026DATA'!$L$15,"")</f>
        <v/>
      </c>
      <c r="AP56" s="518" t="str">
        <f>IF(AND(_2="B-767-300",'2026'!$E$4="CA",'2026'!$E$2=AP43),'2026DATA'!$M$15,"")</f>
        <v/>
      </c>
      <c r="AQ56" s="520" t="str">
        <f>IF(AND(_2="B-767-300",'2026'!$E$4="CA",'2026'!$E$2=AQ43),'2026DATA'!$N$15,"")</f>
        <v/>
      </c>
      <c r="AR56" s="940" t="s">
        <v>67</v>
      </c>
      <c r="AS56" s="13" t="s">
        <v>61</v>
      </c>
      <c r="AT56" s="518" t="str">
        <f>IF(AND(_3="B-767-300",'2026'!$E$4="CA",'2026'!$E$2=AT43),'2026DATA'!$C$15,"")</f>
        <v/>
      </c>
      <c r="AU56" s="518" t="str">
        <f>IF(AND(_3="B-767-300",'2026'!$E$4="CA",'2026'!$E$2=AU43),'2026DATA'!$D$15,"")</f>
        <v/>
      </c>
      <c r="AV56" s="518" t="str">
        <f>IF(AND(_3="B-767-300",'2026'!$E$4="CA",'2026'!$E$2=AV43),'2026DATA'!$E$15,"")</f>
        <v/>
      </c>
      <c r="AW56" s="518" t="str">
        <f>IF(AND(_3="B-767-300",'2026'!$E$4="CA",'2026'!$E$2=AW43),'2026DATA'!$F$15,"")</f>
        <v/>
      </c>
      <c r="AX56" s="518" t="str">
        <f>IF(AND(_3="B-767-300",'2026'!$E$4="CA",'2026'!$E$2=AX43),'2026DATA'!$G$15,"")</f>
        <v/>
      </c>
      <c r="AY56" s="518" t="str">
        <f>IF(AND(_3="B-767-300",'2026'!$E$4="CA",'2026'!$E$2=AY43),'2026DATA'!$H$15,"")</f>
        <v/>
      </c>
      <c r="AZ56" s="518" t="str">
        <f>IF(AND(_3="B-767-300",'2026'!$E$4="CA",'2026'!$E$2=AZ43),'2026DATA'!$I$15,"")</f>
        <v/>
      </c>
      <c r="BA56" s="518" t="str">
        <f>IF(AND(_3="B-767-300",'2026'!$E$4="CA",'2026'!$E$2=BA43),'2026DATA'!$J$15,"")</f>
        <v/>
      </c>
      <c r="BB56" s="518" t="str">
        <f>IF(AND(_3="B-767-300",'2026'!$E$4="CA",'2026'!$E$2=BB43),'2026DATA'!$K$15,"")</f>
        <v/>
      </c>
      <c r="BC56" s="518" t="str">
        <f>IF(AND(_3="B-767-300",'2026'!$E$4="CA",'2026'!$E$2=BC43),'2026DATA'!$L$15,"")</f>
        <v/>
      </c>
      <c r="BD56" s="518" t="str">
        <f>IF(AND(_3="B-767-300",'2026'!$E$4="CA",'2026'!$E$2=BD43),'2026DATA'!$M$15,"")</f>
        <v/>
      </c>
      <c r="BE56" s="520" t="str">
        <f>IF(AND(_3="B-767-300",'2026'!$E$4="CA",'2026'!$E$2=BE43),'2026DATA'!$N$15,"")</f>
        <v/>
      </c>
      <c r="BF56" s="940" t="s">
        <v>67</v>
      </c>
      <c r="BG56" s="13" t="s">
        <v>61</v>
      </c>
      <c r="BH56" s="518" t="str">
        <f>IF(AND(_4="B-767-300",'2026'!$E$4="CA",'2026'!$E$2=BH43),'2026DATA'!$C$15,"")</f>
        <v/>
      </c>
      <c r="BI56" s="518" t="str">
        <f>IF(AND(_4="B-767-300",'2026'!$E$4="CA",'2026'!$E$2=BI43),'2026DATA'!$D$15,"")</f>
        <v/>
      </c>
      <c r="BJ56" s="518" t="str">
        <f>IF(AND(_4="B-767-300",'2026'!$E$4="CA",'2026'!$E$2=BJ43),'2026DATA'!$E$15,"")</f>
        <v/>
      </c>
      <c r="BK56" s="518" t="str">
        <f>IF(AND(_4="B-767-300",'2026'!$E$4="CA",'2026'!$E$2=BK43),'2026DATA'!$F$15,"")</f>
        <v/>
      </c>
      <c r="BL56" s="518" t="str">
        <f>IF(AND(_4="B-767-300",'2026'!$E$4="CA",'2026'!$E$2=BL43),'2026DATA'!$G$15,"")</f>
        <v/>
      </c>
      <c r="BM56" s="518" t="str">
        <f>IF(AND(_4="B-767-300",'2026'!$E$4="CA",'2026'!$E$2=BM43),'2026DATA'!$H$15,"")</f>
        <v/>
      </c>
      <c r="BN56" s="518" t="str">
        <f>IF(AND(_4="B-767-300",'2026'!$E$4="CA",'2026'!$E$2=BN43),'2026DATA'!$I$15,"")</f>
        <v/>
      </c>
      <c r="BO56" s="518" t="str">
        <f>IF(AND(_4="B-767-300",'2026'!$E$4="CA",'2026'!$E$2=BO43),'2026DATA'!$J$15,"")</f>
        <v/>
      </c>
      <c r="BP56" s="518" t="str">
        <f>IF(AND(_4="B-767-300",'2026'!$E$4="CA",'2026'!$E$2=BP43),'2026DATA'!$K$15,"")</f>
        <v/>
      </c>
      <c r="BQ56" s="518" t="str">
        <f>IF(AND(_4="B-767-300",'2026'!$E$4="CA",'2026'!$E$2=BQ43),'2026DATA'!$L$15,"")</f>
        <v/>
      </c>
      <c r="BR56" s="518" t="str">
        <f>IF(AND(_4="B-767-300",'2026'!$E$4="CA",'2026'!$E$2=BR43),'2026DATA'!$M$15,"")</f>
        <v/>
      </c>
      <c r="BS56" s="520" t="str">
        <f>IF(AND(_4="B-767-300",'2026'!$E$4="CA",'2026'!$E$2=BS43),'2026DATA'!$N$15,"")</f>
        <v/>
      </c>
      <c r="BT56" s="940" t="s">
        <v>67</v>
      </c>
      <c r="BU56" s="13" t="s">
        <v>61</v>
      </c>
      <c r="BV56" s="518" t="str">
        <f>IF(AND(_5="B-767-300",'2026'!$E$4="CA",'2026'!$E$2=BV43),'2026DATA'!$C$15,"")</f>
        <v/>
      </c>
      <c r="BW56" s="518" t="str">
        <f>IF(AND(_5="B-767-300",'2026'!$E$4="CA",'2026'!$E$2=BW43),'2026DATA'!$D$15,"")</f>
        <v/>
      </c>
      <c r="BX56" s="518" t="str">
        <f>IF(AND(_5="B-767-300",'2026'!$E$4="CA",'2026'!$E$2=BX43),'2026DATA'!$E$15,"")</f>
        <v/>
      </c>
      <c r="BY56" s="518" t="str">
        <f>IF(AND(_5="B-767-300",'2026'!$E$4="CA",'2026'!$E$2=BY43),'2026DATA'!$F$15,"")</f>
        <v/>
      </c>
      <c r="BZ56" s="518" t="str">
        <f>IF(AND(_5="B-767-300",'2026'!$E$4="CA",'2026'!$E$2=BZ43),'2026DATA'!$G$15,"")</f>
        <v/>
      </c>
      <c r="CA56" s="518" t="str">
        <f>IF(AND(_5="B-767-300",'2026'!$E$4="CA",'2026'!$E$2=CA43),'2026DATA'!$H$15,"")</f>
        <v/>
      </c>
      <c r="CB56" s="518" t="str">
        <f>IF(AND(_5="B-767-300",'2026'!$E$4="CA",'2026'!$E$2=CB43),'2026DATA'!$I$15,"")</f>
        <v/>
      </c>
      <c r="CC56" s="518" t="str">
        <f>IF(AND(_5="B-767-300",'2026'!$E$4="CA",'2026'!$E$2=CC43),'2026DATA'!$J$15,"")</f>
        <v/>
      </c>
      <c r="CD56" s="518" t="str">
        <f>IF(AND(_5="B-767-300",'2026'!$E$4="CA",'2026'!$E$2=CD43),'2026DATA'!$K$15,"")</f>
        <v/>
      </c>
      <c r="CE56" s="518" t="str">
        <f>IF(AND(_5="B-767-300",'2026'!$E$4="CA",'2026'!$E$2=CE43),'2026DATA'!$L$15,"")</f>
        <v/>
      </c>
      <c r="CF56" s="518" t="str">
        <f>IF(AND(_5="B-767-300",'2026'!$E$4="CA",'2026'!$E$2=CF43),'2026DATA'!$M$15,"")</f>
        <v/>
      </c>
      <c r="CG56" s="520" t="str">
        <f>IF(AND(_5="B-767-300",'2026'!$E$4="CA",'2026'!$E$2=CG43),'2026DATA'!$N$15,"")</f>
        <v/>
      </c>
      <c r="CH56" s="940" t="s">
        <v>67</v>
      </c>
      <c r="CI56" s="13" t="s">
        <v>61</v>
      </c>
      <c r="CJ56" s="518" t="str">
        <f>IF(AND(_6="B-767-300",'2026'!$E$4="CA",'2026'!$E$2=CJ43),'2026DATA'!$C$15,"")</f>
        <v/>
      </c>
      <c r="CK56" s="518" t="str">
        <f>IF(AND(_6="B-767-300",'2026'!$E$4="CA",'2026'!$E$2=CK43),'2026DATA'!$D$15,"")</f>
        <v/>
      </c>
      <c r="CL56" s="518" t="str">
        <f>IF(AND(_6="B-767-300",'2026'!$E$4="CA",'2026'!$E$2=CL43),'2026DATA'!$E$15,"")</f>
        <v/>
      </c>
      <c r="CM56" s="518" t="str">
        <f>IF(AND(_6="B-767-300",'2026'!$E$4="CA",'2026'!$E$2=CM43),'2026DATA'!$F$15,"")</f>
        <v/>
      </c>
      <c r="CN56" s="518" t="str">
        <f>IF(AND(_6="B-767-300",'2026'!$E$4="CA",'2026'!$E$2=CN43),'2026DATA'!$G$15,"")</f>
        <v/>
      </c>
      <c r="CO56" s="518" t="str">
        <f>IF(AND(_6="B-767-300",'2026'!$E$4="CA",'2026'!$E$2=CO43),'2026DATA'!$H$15,"")</f>
        <v/>
      </c>
      <c r="CP56" s="518" t="str">
        <f>IF(AND(_6="B-767-300",'2026'!$E$4="CA",'2026'!$E$2=CP43),'2026DATA'!$I$15,"")</f>
        <v/>
      </c>
      <c r="CQ56" s="518" t="str">
        <f>IF(AND(_6="B-767-300",'2026'!$E$4="CA",'2026'!$E$2=CQ43),'2026DATA'!$J$15,"")</f>
        <v/>
      </c>
      <c r="CR56" s="518" t="str">
        <f>IF(AND(_6="B-767-300",'2026'!$E$4="CA",'2026'!$E$2=CR43),'2026DATA'!$K$15,"")</f>
        <v/>
      </c>
      <c r="CS56" s="518" t="str">
        <f>IF(AND(_6="B-767-300",'2026'!$E$4="CA",'2026'!$E$2=CS43),'2026DATA'!$L$15,"")</f>
        <v/>
      </c>
      <c r="CT56" s="518" t="str">
        <f>IF(AND(_6="B-767-300",'2026'!$E$4="CA",'2026'!$E$2=CT43),'2026DATA'!$M$15,"")</f>
        <v/>
      </c>
      <c r="CU56" s="520" t="str">
        <f>IF(AND(_6="B-767-300",'2026'!$E$4="CA",'2026'!$E$2=CU43),'2026DATA'!$N$15,"")</f>
        <v/>
      </c>
    </row>
    <row r="57" spans="16:99" x14ac:dyDescent="0.25">
      <c r="P57" s="940"/>
      <c r="Q57" s="13" t="s">
        <v>62</v>
      </c>
      <c r="R57" s="518" t="str">
        <f>IF(AND(_1="B-767-300",'2026'!$E$4="FO",'2026'!$E$2=R43),'2026DATA'!$C$16,"")</f>
        <v/>
      </c>
      <c r="S57" s="518" t="str">
        <f>IF(AND(_1="B-767-300",'2026'!$E$4="FO",'2026'!$E$2=S43),'2026DATA'!$D$16,"")</f>
        <v/>
      </c>
      <c r="T57" s="518" t="str">
        <f>IF(AND(_1="B-767-300",'2026'!$E$4="FO",'2026'!$E$2=T43),'2026DATA'!$E$16,"")</f>
        <v/>
      </c>
      <c r="U57" s="518" t="str">
        <f>IF(AND(_1="B-767-300",'2026'!$E$4="FO",'2026'!$E$2=U43),'2026DATA'!$F$16,"")</f>
        <v/>
      </c>
      <c r="V57" s="518" t="str">
        <f>IF(AND(_1="B-767-300",'2026'!$E$4="FO",'2026'!$E$2=V43),'2026DATA'!$G$16,"")</f>
        <v/>
      </c>
      <c r="W57" s="518" t="str">
        <f>IF(AND(_1="B-767-300",'2026'!$E$4="FO",'2026'!$E$2=W43),'2026DATA'!$H$16,"")</f>
        <v/>
      </c>
      <c r="X57" s="518" t="str">
        <f>IF(AND(_1="B-767-300",'2026'!$E$4="FO",'2026'!$E$2=X43),'2026DATA'!$I$16,"")</f>
        <v/>
      </c>
      <c r="Y57" s="518" t="str">
        <f>IF(AND(_1="B-767-300",'2026'!$E$4="FO",'2026'!$E$2=Y43),'2026DATA'!$J$16,"")</f>
        <v/>
      </c>
      <c r="Z57" s="518" t="str">
        <f>IF(AND(_1="B-767-300",'2026'!$E$4="FO",'2026'!$E$2=Z43),'2026DATA'!$K$16,"")</f>
        <v/>
      </c>
      <c r="AA57" s="518" t="str">
        <f>IF(AND(_1="B-767-300",'2026'!$E$4="FO",'2026'!$E$2=AA43),'2026DATA'!$L$16,"")</f>
        <v/>
      </c>
      <c r="AB57" s="518" t="str">
        <f>IF(AND(_1="B-767-300",'2026'!$E$4="FO",'2026'!$E$2=AB43),'2026DATA'!$M$16,"")</f>
        <v/>
      </c>
      <c r="AC57" s="520" t="str">
        <f>IF(AND(_1="B-767-300",'2026'!$E$4="FO",'2026'!$E$2=AC43),'2026DATA'!$N$16,"")</f>
        <v/>
      </c>
      <c r="AD57" s="940"/>
      <c r="AE57" s="13" t="s">
        <v>62</v>
      </c>
      <c r="AF57" s="518" t="str">
        <f>IF(AND(_2="B-767-300",'2026'!$E$4="FO",'2026'!$E$2=AF43),'2026DATA'!$C$16,"")</f>
        <v/>
      </c>
      <c r="AG57" s="518" t="str">
        <f>IF(AND(_2="B-767-300",'2026'!$E$4="FO",'2026'!$E$2=AG43),'2026DATA'!$D$16,"")</f>
        <v/>
      </c>
      <c r="AH57" s="518" t="str">
        <f>IF(AND(_2="B-767-300",'2026'!$E$4="FO",'2026'!$E$2=AH43),'2026DATA'!$E$16,"")</f>
        <v/>
      </c>
      <c r="AI57" s="518" t="str">
        <f>IF(AND(_2="B-767-300",'2026'!$E$4="FO",'2026'!$E$2=AI43),'2026DATA'!$F$16,"")</f>
        <v/>
      </c>
      <c r="AJ57" s="518" t="str">
        <f>IF(AND(_2="B-767-300",'2026'!$E$4="FO",'2026'!$E$2=AJ43),'2026DATA'!$G$16,"")</f>
        <v/>
      </c>
      <c r="AK57" s="518" t="str">
        <f>IF(AND(_2="B-767-300",'2026'!$E$4="FO",'2026'!$E$2=AK43),'2026DATA'!$H$16,"")</f>
        <v/>
      </c>
      <c r="AL57" s="518" t="str">
        <f>IF(AND(_2="B-767-300",'2026'!$E$4="FO",'2026'!$E$2=AL43),'2026DATA'!$I$16,"")</f>
        <v/>
      </c>
      <c r="AM57" s="518" t="str">
        <f>IF(AND(_2="B-767-300",'2026'!$E$4="FO",'2026'!$E$2=AM43),'2026DATA'!$J$16,"")</f>
        <v/>
      </c>
      <c r="AN57" s="518" t="str">
        <f>IF(AND(_2="B-767-300",'2026'!$E$4="FO",'2026'!$E$2=AN43),'2026DATA'!$K$16,"")</f>
        <v/>
      </c>
      <c r="AO57" s="518" t="str">
        <f>IF(AND(_2="B-767-300",'2026'!$E$4="FO",'2026'!$E$2=AO43),'2026DATA'!$L$16,"")</f>
        <v/>
      </c>
      <c r="AP57" s="518" t="str">
        <f>IF(AND(_2="B-767-300",'2026'!$E$4="FO",'2026'!$E$2=AP43),'2026DATA'!$M$16,"")</f>
        <v/>
      </c>
      <c r="AQ57" s="520" t="str">
        <f>IF(AND(_2="B-767-300",'2026'!$E$4="FO",'2026'!$E$2=AQ43),'2026DATA'!$N$16,"")</f>
        <v/>
      </c>
      <c r="AR57" s="940"/>
      <c r="AS57" s="13" t="s">
        <v>62</v>
      </c>
      <c r="AT57" s="518" t="str">
        <f>IF(AND(_3="B-767-300",'2026'!$E$4="FO",'2026'!$E$2=AT43),'2026DATA'!$C$16,"")</f>
        <v/>
      </c>
      <c r="AU57" s="518" t="str">
        <f>IF(AND(_3="B-767-300",'2026'!$E$4="FO",'2026'!$E$2=AU43),'2026DATA'!$D$16,"")</f>
        <v/>
      </c>
      <c r="AV57" s="518" t="str">
        <f>IF(AND(_3="B-767-300",'2026'!$E$4="FO",'2026'!$E$2=AV43),'2026DATA'!$E$16,"")</f>
        <v/>
      </c>
      <c r="AW57" s="518" t="str">
        <f>IF(AND(_3="B-767-300",'2026'!$E$4="FO",'2026'!$E$2=AW43),'2026DATA'!$F$16,"")</f>
        <v/>
      </c>
      <c r="AX57" s="518" t="str">
        <f>IF(AND(_3="B-767-300",'2026'!$E$4="FO",'2026'!$E$2=AX43),'2026DATA'!$G$16,"")</f>
        <v/>
      </c>
      <c r="AY57" s="518" t="str">
        <f>IF(AND(_3="B-767-300",'2026'!$E$4="FO",'2026'!$E$2=AY43),'2026DATA'!$H$16,"")</f>
        <v/>
      </c>
      <c r="AZ57" s="518" t="str">
        <f>IF(AND(_3="B-767-300",'2026'!$E$4="FO",'2026'!$E$2=AZ43),'2026DATA'!$I$16,"")</f>
        <v/>
      </c>
      <c r="BA57" s="518" t="str">
        <f>IF(AND(_3="B-767-300",'2026'!$E$4="FO",'2026'!$E$2=BA43),'2026DATA'!$J$16,"")</f>
        <v/>
      </c>
      <c r="BB57" s="518" t="str">
        <f>IF(AND(_3="B-767-300",'2026'!$E$4="FO",'2026'!$E$2=BB43),'2026DATA'!$K$16,"")</f>
        <v/>
      </c>
      <c r="BC57" s="518" t="str">
        <f>IF(AND(_3="B-767-300",'2026'!$E$4="FO",'2026'!$E$2=BC43),'2026DATA'!$L$16,"")</f>
        <v/>
      </c>
      <c r="BD57" s="518" t="str">
        <f>IF(AND(_3="B-767-300",'2026'!$E$4="FO",'2026'!$E$2=BD43),'2026DATA'!$M$16,"")</f>
        <v/>
      </c>
      <c r="BE57" s="520" t="str">
        <f>IF(AND(_3="B-767-300",'2026'!$E$4="FO",'2026'!$E$2=BE43),'2026DATA'!$N$16,"")</f>
        <v/>
      </c>
      <c r="BF57" s="940"/>
      <c r="BG57" s="13" t="s">
        <v>62</v>
      </c>
      <c r="BH57" s="518" t="str">
        <f>IF(AND(_4="B-767-300",'2026'!$E$4="FO",'2026'!$E$2=BH43),'2026DATA'!$C$16,"")</f>
        <v/>
      </c>
      <c r="BI57" s="518" t="str">
        <f>IF(AND(_4="B-767-300",'2026'!$E$4="FO",'2026'!$E$2=BI43),'2026DATA'!$D$16,"")</f>
        <v/>
      </c>
      <c r="BJ57" s="518" t="str">
        <f>IF(AND(_4="B-767-300",'2026'!$E$4="FO",'2026'!$E$2=BJ43),'2026DATA'!$E$16,"")</f>
        <v/>
      </c>
      <c r="BK57" s="518" t="str">
        <f>IF(AND(_4="B-767-300",'2026'!$E$4="FO",'2026'!$E$2=BK43),'2026DATA'!$F$16,"")</f>
        <v/>
      </c>
      <c r="BL57" s="518" t="str">
        <f>IF(AND(_4="B-767-300",'2026'!$E$4="FO",'2026'!$E$2=BL43),'2026DATA'!$G$16,"")</f>
        <v/>
      </c>
      <c r="BM57" s="518" t="str">
        <f>IF(AND(_4="B-767-300",'2026'!$E$4="FO",'2026'!$E$2=BM43),'2026DATA'!$H$16,"")</f>
        <v/>
      </c>
      <c r="BN57" s="518" t="str">
        <f>IF(AND(_4="B-767-300",'2026'!$E$4="FO",'2026'!$E$2=BN43),'2026DATA'!$I$16,"")</f>
        <v/>
      </c>
      <c r="BO57" s="518" t="str">
        <f>IF(AND(_4="B-767-300",'2026'!$E$4="FO",'2026'!$E$2=BO43),'2026DATA'!$J$16,"")</f>
        <v/>
      </c>
      <c r="BP57" s="518" t="str">
        <f>IF(AND(_4="B-767-300",'2026'!$E$4="FO",'2026'!$E$2=BP43),'2026DATA'!$K$16,"")</f>
        <v/>
      </c>
      <c r="BQ57" s="518" t="str">
        <f>IF(AND(_4="B-767-300",'2026'!$E$4="FO",'2026'!$E$2=BQ43),'2026DATA'!$L$16,"")</f>
        <v/>
      </c>
      <c r="BR57" s="518" t="str">
        <f>IF(AND(_4="B-767-300",'2026'!$E$4="FO",'2026'!$E$2=BR43),'2026DATA'!$M$16,"")</f>
        <v/>
      </c>
      <c r="BS57" s="520" t="str">
        <f>IF(AND(_4="B-767-300",'2026'!$E$4="FO",'2026'!$E$2=BS43),'2026DATA'!$N$16,"")</f>
        <v/>
      </c>
      <c r="BT57" s="940"/>
      <c r="BU57" s="13" t="s">
        <v>62</v>
      </c>
      <c r="BV57" s="518" t="str">
        <f>IF(AND(_5="B-767-300",'2026'!$E$4="FO",'2026'!$E$2=BV43),'2026DATA'!$C$16,"")</f>
        <v/>
      </c>
      <c r="BW57" s="518" t="str">
        <f>IF(AND(_5="B-767-300",'2026'!$E$4="FO",'2026'!$E$2=BW43),'2026DATA'!$D$16,"")</f>
        <v/>
      </c>
      <c r="BX57" s="518" t="str">
        <f>IF(AND(_5="B-767-300",'2026'!$E$4="FO",'2026'!$E$2=BX43),'2026DATA'!$E$16,"")</f>
        <v/>
      </c>
      <c r="BY57" s="518" t="str">
        <f>IF(AND(_5="B-767-300",'2026'!$E$4="FO",'2026'!$E$2=BY43),'2026DATA'!$F$16,"")</f>
        <v/>
      </c>
      <c r="BZ57" s="518" t="str">
        <f>IF(AND(_5="B-767-300",'2026'!$E$4="FO",'2026'!$E$2=BZ43),'2026DATA'!$G$16,"")</f>
        <v/>
      </c>
      <c r="CA57" s="518" t="str">
        <f>IF(AND(_5="B-767-300",'2026'!$E$4="FO",'2026'!$E$2=CA43),'2026DATA'!$H$16,"")</f>
        <v/>
      </c>
      <c r="CB57" s="518" t="str">
        <f>IF(AND(_5="B-767-300",'2026'!$E$4="FO",'2026'!$E$2=CB43),'2026DATA'!$I$16,"")</f>
        <v/>
      </c>
      <c r="CC57" s="518" t="str">
        <f>IF(AND(_5="B-767-300",'2026'!$E$4="FO",'2026'!$E$2=CC43),'2026DATA'!$J$16,"")</f>
        <v/>
      </c>
      <c r="CD57" s="518" t="str">
        <f>IF(AND(_5="B-767-300",'2026'!$E$4="FO",'2026'!$E$2=CD43),'2026DATA'!$K$16,"")</f>
        <v/>
      </c>
      <c r="CE57" s="518" t="str">
        <f>IF(AND(_5="B-767-300",'2026'!$E$4="FO",'2026'!$E$2=CE43),'2026DATA'!$L$16,"")</f>
        <v/>
      </c>
      <c r="CF57" s="518" t="str">
        <f>IF(AND(_5="B-767-300",'2026'!$E$4="FO",'2026'!$E$2=CF43),'2026DATA'!$M$16,"")</f>
        <v/>
      </c>
      <c r="CG57" s="520" t="str">
        <f>IF(AND(_5="B-767-300",'2026'!$E$4="FO",'2026'!$E$2=CG43),'2026DATA'!$N$16,"")</f>
        <v/>
      </c>
      <c r="CH57" s="940"/>
      <c r="CI57" s="13" t="s">
        <v>62</v>
      </c>
      <c r="CJ57" s="518" t="str">
        <f>IF(AND(_6="B-767-300",'2026'!$E$4="FO",'2026'!$E$2=CJ43),'2026DATA'!$C$16,"")</f>
        <v/>
      </c>
      <c r="CK57" s="518" t="str">
        <f>IF(AND(_6="B-767-300",'2026'!$E$4="FO",'2026'!$E$2=CK43),'2026DATA'!$D$16,"")</f>
        <v/>
      </c>
      <c r="CL57" s="518" t="str">
        <f>IF(AND(_6="B-767-300",'2026'!$E$4="FO",'2026'!$E$2=CL43),'2026DATA'!$E$16,"")</f>
        <v/>
      </c>
      <c r="CM57" s="518" t="str">
        <f>IF(AND(_6="B-767-300",'2026'!$E$4="FO",'2026'!$E$2=CM43),'2026DATA'!$F$16,"")</f>
        <v/>
      </c>
      <c r="CN57" s="518" t="str">
        <f>IF(AND(_6="B-767-300",'2026'!$E$4="FO",'2026'!$E$2=CN43),'2026DATA'!$G$16,"")</f>
        <v/>
      </c>
      <c r="CO57" s="518" t="str">
        <f>IF(AND(_6="B-767-300",'2026'!$E$4="FO",'2026'!$E$2=CO43),'2026DATA'!$H$16,"")</f>
        <v/>
      </c>
      <c r="CP57" s="518" t="str">
        <f>IF(AND(_6="B-767-300",'2026'!$E$4="FO",'2026'!$E$2=CP43),'2026DATA'!$I$16,"")</f>
        <v/>
      </c>
      <c r="CQ57" s="518" t="str">
        <f>IF(AND(_6="B-767-300",'2026'!$E$4="FO",'2026'!$E$2=CQ43),'2026DATA'!$J$16,"")</f>
        <v/>
      </c>
      <c r="CR57" s="518" t="str">
        <f>IF(AND(_6="B-767-300",'2026'!$E$4="FO",'2026'!$E$2=CR43),'2026DATA'!$K$16,"")</f>
        <v/>
      </c>
      <c r="CS57" s="518" t="str">
        <f>IF(AND(_6="B-767-300",'2026'!$E$4="FO",'2026'!$E$2=CS43),'2026DATA'!$L$16,"")</f>
        <v/>
      </c>
      <c r="CT57" s="518" t="str">
        <f>IF(AND(_6="B-767-300",'2026'!$E$4="FO",'2026'!$E$2=CT43),'2026DATA'!$M$16,"")</f>
        <v/>
      </c>
      <c r="CU57" s="520" t="str">
        <f>IF(AND(_6="B-767-300",'2026'!$E$4="FO",'2026'!$E$2=CU43),'2026DATA'!$N$16,"")</f>
        <v/>
      </c>
    </row>
    <row r="58" spans="16:99" x14ac:dyDescent="0.25">
      <c r="P58" s="940" t="s">
        <v>68</v>
      </c>
      <c r="Q58" s="13" t="s">
        <v>61</v>
      </c>
      <c r="R58" s="518" t="str">
        <f>IF(AND(_1="B-767-200",'2026'!$E$4="CA",'2026'!$E$2=R43),'2026DATA'!$C$17,"")</f>
        <v/>
      </c>
      <c r="S58" s="518" t="str">
        <f>IF(AND(_1="B-767-200",'2026'!$E$4="CA",'2026'!$E$2=S43),'2026DATA'!$D$17,"")</f>
        <v/>
      </c>
      <c r="T58" s="518" t="str">
        <f>IF(AND(_1="B-767-200",'2026'!$E$4="CA",'2026'!$E$2=T43),'2026DATA'!$E$17,"")</f>
        <v/>
      </c>
      <c r="U58" s="518" t="str">
        <f>IF(AND(_1="B-767-200",'2026'!$E$4="CA",'2026'!$E$2=U43),'2026DATA'!$F$17,"")</f>
        <v/>
      </c>
      <c r="V58" s="518" t="str">
        <f>IF(AND(_1="B-767-200",'2026'!$E$4="CA",'2026'!$E$2=V43),'2026DATA'!$G$17,"")</f>
        <v/>
      </c>
      <c r="W58" s="518" t="str">
        <f>IF(AND(_1="B-767-200",'2026'!$E$4="CA",'2026'!$E$2=W43),'2026DATA'!$H$17,"")</f>
        <v/>
      </c>
      <c r="X58" s="518" t="str">
        <f>IF(AND(_1="B-767-200",'2026'!$E$4="CA",'2026'!$E$2=X43),'2026DATA'!$I$17,"")</f>
        <v/>
      </c>
      <c r="Y58" s="518" t="str">
        <f>IF(AND(_1="B-767-200",'2026'!$E$4="CA",'2026'!$E$2=Y43),'2026DATA'!$J$17,"")</f>
        <v/>
      </c>
      <c r="Z58" s="518" t="str">
        <f>IF(AND(_1="B-767-200",'2026'!$E$4="CA",'2026'!$E$2=Z43),'2026DATA'!$K$17,"")</f>
        <v/>
      </c>
      <c r="AA58" s="518" t="str">
        <f>IF(AND(_1="B-767-200",'2026'!$E$4="CA",'2026'!$E$2=AA43),'2026DATA'!$L$17,"")</f>
        <v/>
      </c>
      <c r="AB58" s="518" t="str">
        <f>IF(AND(_1="B-767-200",'2026'!$E$4="CA",'2026'!$E$2=AB43),'2026DATA'!$M$17,"")</f>
        <v/>
      </c>
      <c r="AC58" s="520" t="str">
        <f>IF(AND(_1="B-767-200",'2026'!$E$4="CA",'2026'!$E$2=AC43),'2026DATA'!$N$17,"")</f>
        <v/>
      </c>
      <c r="AD58" s="940" t="s">
        <v>68</v>
      </c>
      <c r="AE58" s="13" t="s">
        <v>61</v>
      </c>
      <c r="AF58" s="518" t="str">
        <f>IF(AND(_2="B-767-200",'2026'!$E$4="CA",'2026'!$E$2=AF43),'2026DATA'!$C$17,"")</f>
        <v/>
      </c>
      <c r="AG58" s="518" t="str">
        <f>IF(AND(_2="B-767-200",'2026'!$E$4="CA",'2026'!$E$2=AG43),'2026DATA'!$D$17,"")</f>
        <v/>
      </c>
      <c r="AH58" s="518" t="str">
        <f>IF(AND(_2="B-767-200",'2026'!$E$4="CA",'2026'!$E$2=AH43),'2026DATA'!$E$17,"")</f>
        <v/>
      </c>
      <c r="AI58" s="518" t="str">
        <f>IF(AND(_2="B-767-200",'2026'!$E$4="CA",'2026'!$E$2=AI43),'2026DATA'!$F$17,"")</f>
        <v/>
      </c>
      <c r="AJ58" s="518" t="str">
        <f>IF(AND(_2="B-767-200",'2026'!$E$4="CA",'2026'!$E$2=AJ43),'2026DATA'!$G$17,"")</f>
        <v/>
      </c>
      <c r="AK58" s="518" t="str">
        <f>IF(AND(_2="B-767-200",'2026'!$E$4="CA",'2026'!$E$2=AK43),'2026DATA'!$H$17,"")</f>
        <v/>
      </c>
      <c r="AL58" s="518" t="str">
        <f>IF(AND(_2="B-767-200",'2026'!$E$4="CA",'2026'!$E$2=AL43),'2026DATA'!$I$17,"")</f>
        <v/>
      </c>
      <c r="AM58" s="518" t="str">
        <f>IF(AND(_2="B-767-200",'2026'!$E$4="CA",'2026'!$E$2=AM43),'2026DATA'!$J$17,"")</f>
        <v/>
      </c>
      <c r="AN58" s="518" t="str">
        <f>IF(AND(_2="B-767-200",'2026'!$E$4="CA",'2026'!$E$2=AN43),'2026DATA'!$K$17,"")</f>
        <v/>
      </c>
      <c r="AO58" s="518" t="str">
        <f>IF(AND(_2="B-767-200",'2026'!$E$4="CA",'2026'!$E$2=AO43),'2026DATA'!$L$17,"")</f>
        <v/>
      </c>
      <c r="AP58" s="518" t="str">
        <f>IF(AND(_2="B-767-200",'2026'!$E$4="CA",'2026'!$E$2=AP43),'2026DATA'!$M$17,"")</f>
        <v/>
      </c>
      <c r="AQ58" s="520" t="str">
        <f>IF(AND(_2="B-767-200",'2026'!$E$4="CA",'2026'!$E$2=AQ43),'2026DATA'!$N$17,"")</f>
        <v/>
      </c>
      <c r="AR58" s="940" t="s">
        <v>68</v>
      </c>
      <c r="AS58" s="13" t="s">
        <v>61</v>
      </c>
      <c r="AT58" s="518" t="str">
        <f>IF(AND(_3="B-767-200",'2026'!$E$4="CA",'2026'!$E$2=AT43),'2026DATA'!$C$17,"")</f>
        <v/>
      </c>
      <c r="AU58" s="518" t="str">
        <f>IF(AND(_3="B-767-200",'2026'!$E$4="CA",'2026'!$E$2=AU43),'2026DATA'!$D$17,"")</f>
        <v/>
      </c>
      <c r="AV58" s="518" t="str">
        <f>IF(AND(_3="B-767-200",'2026'!$E$4="CA",'2026'!$E$2=AV43),'2026DATA'!$E$17,"")</f>
        <v/>
      </c>
      <c r="AW58" s="518" t="str">
        <f>IF(AND(_3="B-767-200",'2026'!$E$4="CA",'2026'!$E$2=AW43),'2026DATA'!$F$17,"")</f>
        <v/>
      </c>
      <c r="AX58" s="518" t="str">
        <f>IF(AND(_3="B-767-200",'2026'!$E$4="CA",'2026'!$E$2=AX43),'2026DATA'!$G$17,"")</f>
        <v/>
      </c>
      <c r="AY58" s="518" t="str">
        <f>IF(AND(_3="B-767-200",'2026'!$E$4="CA",'2026'!$E$2=AY43),'2026DATA'!$H$17,"")</f>
        <v/>
      </c>
      <c r="AZ58" s="518" t="str">
        <f>IF(AND(_3="B-767-200",'2026'!$E$4="CA",'2026'!$E$2=AZ43),'2026DATA'!$I$17,"")</f>
        <v/>
      </c>
      <c r="BA58" s="518" t="str">
        <f>IF(AND(_3="B-767-200",'2026'!$E$4="CA",'2026'!$E$2=BA43),'2026DATA'!$J$17,"")</f>
        <v/>
      </c>
      <c r="BB58" s="518" t="str">
        <f>IF(AND(_3="B-767-200",'2026'!$E$4="CA",'2026'!$E$2=BB43),'2026DATA'!$K$17,"")</f>
        <v/>
      </c>
      <c r="BC58" s="518" t="str">
        <f>IF(AND(_3="B-767-200",'2026'!$E$4="CA",'2026'!$E$2=BC43),'2026DATA'!$L$17,"")</f>
        <v/>
      </c>
      <c r="BD58" s="518" t="str">
        <f>IF(AND(_3="B-767-200",'2026'!$E$4="CA",'2026'!$E$2=BD43),'2026DATA'!$M$17,"")</f>
        <v/>
      </c>
      <c r="BE58" s="520" t="str">
        <f>IF(AND(_3="B-767-200",'2026'!$E$4="CA",'2026'!$E$2=BE43),'2026DATA'!$N$17,"")</f>
        <v/>
      </c>
      <c r="BF58" s="940" t="s">
        <v>68</v>
      </c>
      <c r="BG58" s="13" t="s">
        <v>61</v>
      </c>
      <c r="BH58" s="518" t="str">
        <f>IF(AND(_4="B-767-200",'2026'!$E$4="CA",'2026'!$E$2=BH43),'2026DATA'!$C$17,"")</f>
        <v/>
      </c>
      <c r="BI58" s="518" t="str">
        <f>IF(AND(_4="B-767-200",'2026'!$E$4="CA",'2026'!$E$2=BI43),'2026DATA'!$D$17,"")</f>
        <v/>
      </c>
      <c r="BJ58" s="518" t="str">
        <f>IF(AND(_4="B-767-200",'2026'!$E$4="CA",'2026'!$E$2=BJ43),'2026DATA'!$E$17,"")</f>
        <v/>
      </c>
      <c r="BK58" s="518" t="str">
        <f>IF(AND(_4="B-767-200",'2026'!$E$4="CA",'2026'!$E$2=BK43),'2026DATA'!$F$17,"")</f>
        <v/>
      </c>
      <c r="BL58" s="518" t="str">
        <f>IF(AND(_4="B-767-200",'2026'!$E$4="CA",'2026'!$E$2=BL43),'2026DATA'!$G$17,"")</f>
        <v/>
      </c>
      <c r="BM58" s="518" t="str">
        <f>IF(AND(_4="B-767-200",'2026'!$E$4="CA",'2026'!$E$2=BM43),'2026DATA'!$H$17,"")</f>
        <v/>
      </c>
      <c r="BN58" s="518" t="str">
        <f>IF(AND(_4="B-767-200",'2026'!$E$4="CA",'2026'!$E$2=BN43),'2026DATA'!$I$17,"")</f>
        <v/>
      </c>
      <c r="BO58" s="518" t="str">
        <f>IF(AND(_4="B-767-200",'2026'!$E$4="CA",'2026'!$E$2=BO43),'2026DATA'!$J$17,"")</f>
        <v/>
      </c>
      <c r="BP58" s="518" t="str">
        <f>IF(AND(_4="B-767-200",'2026'!$E$4="CA",'2026'!$E$2=BP43),'2026DATA'!$K$17,"")</f>
        <v/>
      </c>
      <c r="BQ58" s="518" t="str">
        <f>IF(AND(_4="B-767-200",'2026'!$E$4="CA",'2026'!$E$2=BQ43),'2026DATA'!$L$17,"")</f>
        <v/>
      </c>
      <c r="BR58" s="518" t="str">
        <f>IF(AND(_4="B-767-200",'2026'!$E$4="CA",'2026'!$E$2=BR43),'2026DATA'!$M$17,"")</f>
        <v/>
      </c>
      <c r="BS58" s="520" t="str">
        <f>IF(AND(_4="B-767-200",'2026'!$E$4="CA",'2026'!$E$2=BS43),'2026DATA'!$N$17,"")</f>
        <v/>
      </c>
      <c r="BT58" s="940" t="s">
        <v>68</v>
      </c>
      <c r="BU58" s="13" t="s">
        <v>61</v>
      </c>
      <c r="BV58" s="518" t="str">
        <f>IF(AND(_5="B-767-200",'2026'!$E$4="CA",'2026'!$E$2=BV43),'2026DATA'!$C$17,"")</f>
        <v/>
      </c>
      <c r="BW58" s="518" t="str">
        <f>IF(AND(_5="B-767-200",'2026'!$E$4="CA",'2026'!$E$2=BW43),'2026DATA'!$D$17,"")</f>
        <v/>
      </c>
      <c r="BX58" s="518" t="str">
        <f>IF(AND(_5="B-767-200",'2026'!$E$4="CA",'2026'!$E$2=BX43),'2026DATA'!$E$17,"")</f>
        <v/>
      </c>
      <c r="BY58" s="518" t="str">
        <f>IF(AND(_5="B-767-200",'2026'!$E$4="CA",'2026'!$E$2=BY43),'2026DATA'!$F$17,"")</f>
        <v/>
      </c>
      <c r="BZ58" s="518" t="str">
        <f>IF(AND(_5="B-767-200",'2026'!$E$4="CA",'2026'!$E$2=BZ43),'2026DATA'!$G$17,"")</f>
        <v/>
      </c>
      <c r="CA58" s="518" t="str">
        <f>IF(AND(_5="B-767-200",'2026'!$E$4="CA",'2026'!$E$2=CA43),'2026DATA'!$H$17,"")</f>
        <v/>
      </c>
      <c r="CB58" s="518" t="str">
        <f>IF(AND(_5="B-767-200",'2026'!$E$4="CA",'2026'!$E$2=CB43),'2026DATA'!$I$17,"")</f>
        <v/>
      </c>
      <c r="CC58" s="518" t="str">
        <f>IF(AND(_5="B-767-200",'2026'!$E$4="CA",'2026'!$E$2=CC43),'2026DATA'!$J$17,"")</f>
        <v/>
      </c>
      <c r="CD58" s="518" t="str">
        <f>IF(AND(_5="B-767-200",'2026'!$E$4="CA",'2026'!$E$2=CD43),'2026DATA'!$K$17,"")</f>
        <v/>
      </c>
      <c r="CE58" s="518" t="str">
        <f>IF(AND(_5="B-767-200",'2026'!$E$4="CA",'2026'!$E$2=CE43),'2026DATA'!$L$17,"")</f>
        <v/>
      </c>
      <c r="CF58" s="518" t="str">
        <f>IF(AND(_5="B-767-200",'2026'!$E$4="CA",'2026'!$E$2=CF43),'2026DATA'!$M$17,"")</f>
        <v/>
      </c>
      <c r="CG58" s="520" t="str">
        <f>IF(AND(_5="B-767-200",'2026'!$E$4="CA",'2026'!$E$2=CG43),'2026DATA'!$N$17,"")</f>
        <v/>
      </c>
      <c r="CH58" s="940" t="s">
        <v>68</v>
      </c>
      <c r="CI58" s="13" t="s">
        <v>61</v>
      </c>
      <c r="CJ58" s="518" t="str">
        <f>IF(AND(_6="B-767-200",'2026'!$E$4="CA",'2026'!$E$2=CJ43),'2026DATA'!$C$17,"")</f>
        <v/>
      </c>
      <c r="CK58" s="518" t="str">
        <f>IF(AND(_6="B-767-200",'2026'!$E$4="CA",'2026'!$E$2=CK43),'2026DATA'!$D$17,"")</f>
        <v/>
      </c>
      <c r="CL58" s="518" t="str">
        <f>IF(AND(_6="B-767-200",'2026'!$E$4="CA",'2026'!$E$2=CL43),'2026DATA'!$E$17,"")</f>
        <v/>
      </c>
      <c r="CM58" s="518" t="str">
        <f>IF(AND(_6="B-767-200",'2026'!$E$4="CA",'2026'!$E$2=CM43),'2026DATA'!$F$17,"")</f>
        <v/>
      </c>
      <c r="CN58" s="518" t="str">
        <f>IF(AND(_6="B-767-200",'2026'!$E$4="CA",'2026'!$E$2=CN43),'2026DATA'!$G$17,"")</f>
        <v/>
      </c>
      <c r="CO58" s="518" t="str">
        <f>IF(AND(_6="B-767-200",'2026'!$E$4="CA",'2026'!$E$2=CO43),'2026DATA'!$H$17,"")</f>
        <v/>
      </c>
      <c r="CP58" s="518" t="str">
        <f>IF(AND(_6="B-767-200",'2026'!$E$4="CA",'2026'!$E$2=CP43),'2026DATA'!$I$17,"")</f>
        <v/>
      </c>
      <c r="CQ58" s="518" t="str">
        <f>IF(AND(_6="B-767-200",'2026'!$E$4="CA",'2026'!$E$2=CQ43),'2026DATA'!$J$17,"")</f>
        <v/>
      </c>
      <c r="CR58" s="518" t="str">
        <f>IF(AND(_6="B-767-200",'2026'!$E$4="CA",'2026'!$E$2=CR43),'2026DATA'!$K$17,"")</f>
        <v/>
      </c>
      <c r="CS58" s="518" t="str">
        <f>IF(AND(_6="B-767-200",'2026'!$E$4="CA",'2026'!$E$2=CS43),'2026DATA'!$L$17,"")</f>
        <v/>
      </c>
      <c r="CT58" s="518" t="str">
        <f>IF(AND(_6="B-767-200",'2026'!$E$4="CA",'2026'!$E$2=CT43),'2026DATA'!$M$17,"")</f>
        <v/>
      </c>
      <c r="CU58" s="520" t="str">
        <f>IF(AND(_6="B-767-200",'2026'!$E$4="CA",'2026'!$E$2=CU43),'2026DATA'!$N$17,"")</f>
        <v/>
      </c>
    </row>
    <row r="59" spans="16:99" x14ac:dyDescent="0.25">
      <c r="P59" s="940"/>
      <c r="Q59" s="13" t="s">
        <v>62</v>
      </c>
      <c r="R59" s="518" t="str">
        <f>IF(AND(_1="B-767-200",'2026'!$E$4="FO",'2026'!$E$2=R43),'2026DATA'!$C$18,"")</f>
        <v/>
      </c>
      <c r="S59" s="518" t="str">
        <f>IF(AND(_1="B-767-200",'2026'!$E$4="FO",'2026'!$E$2=S43),'2026DATA'!$D$18,"")</f>
        <v/>
      </c>
      <c r="T59" s="518" t="str">
        <f>IF(AND(_1="B-767-200",'2026'!$E$4="FO",'2026'!$E$2=T43),'2026DATA'!$E$18,"")</f>
        <v/>
      </c>
      <c r="U59" s="518" t="str">
        <f>IF(AND(_1="B-767-200",'2026'!$E$4="FO",'2026'!$E$2=U43),'2026DATA'!$F$18,"")</f>
        <v/>
      </c>
      <c r="V59" s="518" t="str">
        <f>IF(AND(_1="B-767-200",'2026'!$E$4="FO",'2026'!$E$2=V43),'2026DATA'!$G$18,"")</f>
        <v/>
      </c>
      <c r="W59" s="518" t="str">
        <f>IF(AND(_1="B-767-200",'2026'!$E$4="FO",'2026'!$E$2=W43),'2026DATA'!$H$18,"")</f>
        <v/>
      </c>
      <c r="X59" s="518" t="str">
        <f>IF(AND(_1="B-767-200",'2026'!$E$4="FO",'2026'!$E$2=X43),'2026DATA'!$I$18,"")</f>
        <v/>
      </c>
      <c r="Y59" s="518" t="str">
        <f>IF(AND(_1="B-767-200",'2026'!$E$4="FO",'2026'!$E$2=Y43),'2026DATA'!$J$18,"")</f>
        <v/>
      </c>
      <c r="Z59" s="518" t="str">
        <f>IF(AND(_1="B-767-200",'2026'!$E$4="FO",'2026'!$E$2=Z43),'2026DATA'!$K$18,"")</f>
        <v/>
      </c>
      <c r="AA59" s="518" t="str">
        <f>IF(AND(_1="B-767-200",'2026'!$E$4="FO",'2026'!$E$2=AA43),'2026DATA'!$L$18,"")</f>
        <v/>
      </c>
      <c r="AB59" s="518" t="str">
        <f>IF(AND(_1="B-767-200",'2026'!$E$4="FO",'2026'!$E$2=AB43),'2026DATA'!$M$18,"")</f>
        <v/>
      </c>
      <c r="AC59" s="520" t="str">
        <f>IF(AND(_1="B-767-200",'2026'!$E$4="FO",'2026'!$E$2=AC43),'2026DATA'!$N$18,"")</f>
        <v/>
      </c>
      <c r="AD59" s="940"/>
      <c r="AE59" s="13" t="s">
        <v>62</v>
      </c>
      <c r="AF59" s="518" t="str">
        <f>IF(AND(_2="B-767-200",'2026'!$E$4="FO",'2026'!$E$2=AF43),'2026DATA'!$C$18,"")</f>
        <v/>
      </c>
      <c r="AG59" s="518" t="str">
        <f>IF(AND(_2="B-767-200",'2026'!$E$4="FO",'2026'!$E$2=AG43),'2026DATA'!$D$18,"")</f>
        <v/>
      </c>
      <c r="AH59" s="518" t="str">
        <f>IF(AND(_2="B-767-200",'2026'!$E$4="FO",'2026'!$E$2=AH43),'2026DATA'!$E$18,"")</f>
        <v/>
      </c>
      <c r="AI59" s="518" t="str">
        <f>IF(AND(_2="B-767-200",'2026'!$E$4="FO",'2026'!$E$2=AI43),'2026DATA'!$F$18,"")</f>
        <v/>
      </c>
      <c r="AJ59" s="518" t="str">
        <f>IF(AND(_2="B-767-200",'2026'!$E$4="FO",'2026'!$E$2=AJ43),'2026DATA'!$G$18,"")</f>
        <v/>
      </c>
      <c r="AK59" s="518" t="str">
        <f>IF(AND(_2="B-767-200",'2026'!$E$4="FO",'2026'!$E$2=AK43),'2026DATA'!$H$18,"")</f>
        <v/>
      </c>
      <c r="AL59" s="518" t="str">
        <f>IF(AND(_2="B-767-200",'2026'!$E$4="FO",'2026'!$E$2=AL43),'2026DATA'!$I$18,"")</f>
        <v/>
      </c>
      <c r="AM59" s="518" t="str">
        <f>IF(AND(_2="B-767-200",'2026'!$E$4="FO",'2026'!$E$2=AM43),'2026DATA'!$J$18,"")</f>
        <v/>
      </c>
      <c r="AN59" s="518" t="str">
        <f>IF(AND(_2="B-767-200",'2026'!$E$4="FO",'2026'!$E$2=AN43),'2026DATA'!$K$18,"")</f>
        <v/>
      </c>
      <c r="AO59" s="518" t="str">
        <f>IF(AND(_2="B-767-200",'2026'!$E$4="FO",'2026'!$E$2=AO43),'2026DATA'!$L$18,"")</f>
        <v/>
      </c>
      <c r="AP59" s="518" t="str">
        <f>IF(AND(_2="B-767-200",'2026'!$E$4="FO",'2026'!$E$2=AP43),'2026DATA'!$M$18,"")</f>
        <v/>
      </c>
      <c r="AQ59" s="520" t="str">
        <f>IF(AND(_2="B-767-200",'2026'!$E$4="FO",'2026'!$E$2=AQ43),'2026DATA'!$N$18,"")</f>
        <v/>
      </c>
      <c r="AR59" s="940"/>
      <c r="AS59" s="13" t="s">
        <v>62</v>
      </c>
      <c r="AT59" s="518" t="str">
        <f>IF(AND(_3="B-767-200",'2026'!$E$4="FO",'2026'!$E$2=AT43),'2026DATA'!$C$18,"")</f>
        <v/>
      </c>
      <c r="AU59" s="518" t="str">
        <f>IF(AND(_3="B-767-200",'2026'!$E$4="FO",'2026'!$E$2=AU43),'2026DATA'!$D$18,"")</f>
        <v/>
      </c>
      <c r="AV59" s="518" t="str">
        <f>IF(AND(_3="B-767-200",'2026'!$E$4="FO",'2026'!$E$2=AV43),'2026DATA'!$E$18,"")</f>
        <v/>
      </c>
      <c r="AW59" s="518" t="str">
        <f>IF(AND(_3="B-767-200",'2026'!$E$4="FO",'2026'!$E$2=AW43),'2026DATA'!$F$18,"")</f>
        <v/>
      </c>
      <c r="AX59" s="518" t="str">
        <f>IF(AND(_3="B-767-200",'2026'!$E$4="FO",'2026'!$E$2=AX43),'2026DATA'!$G$18,"")</f>
        <v/>
      </c>
      <c r="AY59" s="518" t="str">
        <f>IF(AND(_3="B-767-200",'2026'!$E$4="FO",'2026'!$E$2=AY43),'2026DATA'!$H$18,"")</f>
        <v/>
      </c>
      <c r="AZ59" s="518" t="str">
        <f>IF(AND(_3="B-767-200",'2026'!$E$4="FO",'2026'!$E$2=AZ43),'2026DATA'!$I$18,"")</f>
        <v/>
      </c>
      <c r="BA59" s="518" t="str">
        <f>IF(AND(_3="B-767-200",'2026'!$E$4="FO",'2026'!$E$2=BA43),'2026DATA'!$J$18,"")</f>
        <v/>
      </c>
      <c r="BB59" s="518" t="str">
        <f>IF(AND(_3="B-767-200",'2026'!$E$4="FO",'2026'!$E$2=BB43),'2026DATA'!$K$18,"")</f>
        <v/>
      </c>
      <c r="BC59" s="518" t="str">
        <f>IF(AND(_3="B-767-200",'2026'!$E$4="FO",'2026'!$E$2=BC43),'2026DATA'!$L$18,"")</f>
        <v/>
      </c>
      <c r="BD59" s="518" t="str">
        <f>IF(AND(_3="B-767-200",'2026'!$E$4="FO",'2026'!$E$2=BD43),'2026DATA'!$M$18,"")</f>
        <v/>
      </c>
      <c r="BE59" s="520" t="str">
        <f>IF(AND(_3="B-767-200",'2026'!$E$4="FO",'2026'!$E$2=BE43),'2026DATA'!$N$18,"")</f>
        <v/>
      </c>
      <c r="BF59" s="940"/>
      <c r="BG59" s="13" t="s">
        <v>62</v>
      </c>
      <c r="BH59" s="518" t="str">
        <f>IF(AND(_4="B-767-200",'2026'!$E$4="FO",'2026'!$E$2=BH43),'2026DATA'!$C$18,"")</f>
        <v/>
      </c>
      <c r="BI59" s="518" t="str">
        <f>IF(AND(_4="B-767-200",'2026'!$E$4="FO",'2026'!$E$2=BI43),'2026DATA'!$D$18,"")</f>
        <v/>
      </c>
      <c r="BJ59" s="518" t="str">
        <f>IF(AND(_4="B-767-200",'2026'!$E$4="FO",'2026'!$E$2=BJ43),'2026DATA'!$E$18,"")</f>
        <v/>
      </c>
      <c r="BK59" s="518" t="str">
        <f>IF(AND(_4="B-767-200",'2026'!$E$4="FO",'2026'!$E$2=BK43),'2026DATA'!$F$18,"")</f>
        <v/>
      </c>
      <c r="BL59" s="518" t="str">
        <f>IF(AND(_4="B-767-200",'2026'!$E$4="FO",'2026'!$E$2=BL43),'2026DATA'!$G$18,"")</f>
        <v/>
      </c>
      <c r="BM59" s="518" t="str">
        <f>IF(AND(_4="B-767-200",'2026'!$E$4="FO",'2026'!$E$2=BM43),'2026DATA'!$H$18,"")</f>
        <v/>
      </c>
      <c r="BN59" s="518" t="str">
        <f>IF(AND(_4="B-767-200",'2026'!$E$4="FO",'2026'!$E$2=BN43),'2026DATA'!$I$18,"")</f>
        <v/>
      </c>
      <c r="BO59" s="518" t="str">
        <f>IF(AND(_4="B-767-200",'2026'!$E$4="FO",'2026'!$E$2=BO43),'2026DATA'!$J$18,"")</f>
        <v/>
      </c>
      <c r="BP59" s="518" t="str">
        <f>IF(AND(_4="B-767-200",'2026'!$E$4="FO",'2026'!$E$2=BP43),'2026DATA'!$K$18,"")</f>
        <v/>
      </c>
      <c r="BQ59" s="518" t="str">
        <f>IF(AND(_4="B-767-200",'2026'!$E$4="FO",'2026'!$E$2=BQ43),'2026DATA'!$L$18,"")</f>
        <v/>
      </c>
      <c r="BR59" s="518" t="str">
        <f>IF(AND(_4="B-767-200",'2026'!$E$4="FO",'2026'!$E$2=BR43),'2026DATA'!$M$18,"")</f>
        <v/>
      </c>
      <c r="BS59" s="520" t="str">
        <f>IF(AND(_4="B-767-200",'2026'!$E$4="FO",'2026'!$E$2=BS43),'2026DATA'!$N$18,"")</f>
        <v/>
      </c>
      <c r="BT59" s="940"/>
      <c r="BU59" s="13" t="s">
        <v>62</v>
      </c>
      <c r="BV59" s="518" t="str">
        <f>IF(AND(_5="B-767-200",'2026'!$E$4="FO",'2026'!$E$2=BV43),'2026DATA'!$C$18,"")</f>
        <v/>
      </c>
      <c r="BW59" s="518" t="str">
        <f>IF(AND(_5="B-767-200",'2026'!$E$4="FO",'2026'!$E$2=BW43),'2026DATA'!$D$18,"")</f>
        <v/>
      </c>
      <c r="BX59" s="518" t="str">
        <f>IF(AND(_5="B-767-200",'2026'!$E$4="FO",'2026'!$E$2=BX43),'2026DATA'!$E$18,"")</f>
        <v/>
      </c>
      <c r="BY59" s="518" t="str">
        <f>IF(AND(_5="B-767-200",'2026'!$E$4="FO",'2026'!$E$2=BY43),'2026DATA'!$F$18,"")</f>
        <v/>
      </c>
      <c r="BZ59" s="518" t="str">
        <f>IF(AND(_5="B-767-200",'2026'!$E$4="FO",'2026'!$E$2=BZ43),'2026DATA'!$G$18,"")</f>
        <v/>
      </c>
      <c r="CA59" s="518" t="str">
        <f>IF(AND(_5="B-767-200",'2026'!$E$4="FO",'2026'!$E$2=CA43),'2026DATA'!$H$18,"")</f>
        <v/>
      </c>
      <c r="CB59" s="518" t="str">
        <f>IF(AND(_5="B-767-200",'2026'!$E$4="FO",'2026'!$E$2=CB43),'2026DATA'!$I$18,"")</f>
        <v/>
      </c>
      <c r="CC59" s="518" t="str">
        <f>IF(AND(_5="B-767-200",'2026'!$E$4="FO",'2026'!$E$2=CC43),'2026DATA'!$J$18,"")</f>
        <v/>
      </c>
      <c r="CD59" s="518" t="str">
        <f>IF(AND(_5="B-767-200",'2026'!$E$4="FO",'2026'!$E$2=CD43),'2026DATA'!$K$18,"")</f>
        <v/>
      </c>
      <c r="CE59" s="518" t="str">
        <f>IF(AND(_5="B-767-200",'2026'!$E$4="FO",'2026'!$E$2=CE43),'2026DATA'!$L$18,"")</f>
        <v/>
      </c>
      <c r="CF59" s="518" t="str">
        <f>IF(AND(_5="B-767-200",'2026'!$E$4="FO",'2026'!$E$2=CF43),'2026DATA'!$M$18,"")</f>
        <v/>
      </c>
      <c r="CG59" s="520" t="str">
        <f>IF(AND(_5="B-767-200",'2026'!$E$4="FO",'2026'!$E$2=CG43),'2026DATA'!$N$18,"")</f>
        <v/>
      </c>
      <c r="CH59" s="940"/>
      <c r="CI59" s="13" t="s">
        <v>62</v>
      </c>
      <c r="CJ59" s="518" t="str">
        <f>IF(AND(_6="B-767-200",'2026'!$E$4="FO",'2026'!$E$2=CJ43),'2026DATA'!$C$18,"")</f>
        <v/>
      </c>
      <c r="CK59" s="518" t="str">
        <f>IF(AND(_6="B-767-200",'2026'!$E$4="FO",'2026'!$E$2=CK43),'2026DATA'!$D$18,"")</f>
        <v/>
      </c>
      <c r="CL59" s="518" t="str">
        <f>IF(AND(_6="B-767-200",'2026'!$E$4="FO",'2026'!$E$2=CL43),'2026DATA'!$E$18,"")</f>
        <v/>
      </c>
      <c r="CM59" s="518" t="str">
        <f>IF(AND(_6="B-767-200",'2026'!$E$4="FO",'2026'!$E$2=CM43),'2026DATA'!$F$18,"")</f>
        <v/>
      </c>
      <c r="CN59" s="518" t="str">
        <f>IF(AND(_6="B-767-200",'2026'!$E$4="FO",'2026'!$E$2=CN43),'2026DATA'!$G$18,"")</f>
        <v/>
      </c>
      <c r="CO59" s="518" t="str">
        <f>IF(AND(_6="B-767-200",'2026'!$E$4="FO",'2026'!$E$2=CO43),'2026DATA'!$H$18,"")</f>
        <v/>
      </c>
      <c r="CP59" s="518" t="str">
        <f>IF(AND(_6="B-767-200",'2026'!$E$4="FO",'2026'!$E$2=CP43),'2026DATA'!$I$18,"")</f>
        <v/>
      </c>
      <c r="CQ59" s="518" t="str">
        <f>IF(AND(_6="B-767-200",'2026'!$E$4="FO",'2026'!$E$2=CQ43),'2026DATA'!$J$18,"")</f>
        <v/>
      </c>
      <c r="CR59" s="518" t="str">
        <f>IF(AND(_6="B-767-200",'2026'!$E$4="FO",'2026'!$E$2=CR43),'2026DATA'!$K$18,"")</f>
        <v/>
      </c>
      <c r="CS59" s="518" t="str">
        <f>IF(AND(_6="B-767-200",'2026'!$E$4="FO",'2026'!$E$2=CS43),'2026DATA'!$L$18,"")</f>
        <v/>
      </c>
      <c r="CT59" s="518" t="str">
        <f>IF(AND(_6="B-767-200",'2026'!$E$4="FO",'2026'!$E$2=CT43),'2026DATA'!$M$18,"")</f>
        <v/>
      </c>
      <c r="CU59" s="520" t="str">
        <f>IF(AND(_6="B-767-200",'2026'!$E$4="FO",'2026'!$E$2=CU43),'2026DATA'!$N$18,"")</f>
        <v/>
      </c>
    </row>
    <row r="60" spans="16:99" x14ac:dyDescent="0.25">
      <c r="P60" s="940" t="s">
        <v>45</v>
      </c>
      <c r="Q60" s="13" t="s">
        <v>61</v>
      </c>
      <c r="R60" s="518" t="str">
        <f>IF(AND(_1="B-757",'2026'!$E$4="CA",'2026'!$E$2=R43),'2026DATA'!$C$19,"")</f>
        <v/>
      </c>
      <c r="S60" s="518" t="str">
        <f>IF(AND(_1="B-757",'2026'!$E$4="CA",'2026'!$E$2=S43),'2026DATA'!$D$19,"")</f>
        <v/>
      </c>
      <c r="T60" s="518" t="str">
        <f>IF(AND(_1="B-757",'2026'!$E$4="CA",'2026'!$E$2=T43),'2026DATA'!$E$19,"")</f>
        <v/>
      </c>
      <c r="U60" s="518" t="str">
        <f>IF(AND(_1="B-757",'2026'!$E$4="CA",'2026'!$E$2=U43),'2026DATA'!$F$19,"")</f>
        <v/>
      </c>
      <c r="V60" s="518" t="str">
        <f>IF(AND(_1="B-757",'2026'!$E$4="CA",'2026'!$E$2=V43),'2026DATA'!$G$19,"")</f>
        <v/>
      </c>
      <c r="W60" s="518" t="str">
        <f>IF(AND(_1="B-757",'2026'!$E$4="CA",'2026'!$E$2=W43),'2026DATA'!$H$19,"")</f>
        <v/>
      </c>
      <c r="X60" s="518" t="str">
        <f>IF(AND(_1="B-757",'2026'!$E$4="CA",'2026'!$E$2=X43),'2026DATA'!$I$19,"")</f>
        <v/>
      </c>
      <c r="Y60" s="518" t="str">
        <f>IF(AND(_1="B-757",'2026'!$E$4="CA",'2026'!$E$2=Y43),'2026DATA'!$J$19,"")</f>
        <v/>
      </c>
      <c r="Z60" s="518" t="str">
        <f>IF(AND(_1="B-757",'2026'!$E$4="CA",'2026'!$E$2=Z43),'2026DATA'!$K$19,"")</f>
        <v/>
      </c>
      <c r="AA60" s="518" t="str">
        <f>IF(AND(_1="B-757",'2026'!$E$4="CA",'2026'!$E$2=AA43),'2026DATA'!$L$19,"")</f>
        <v/>
      </c>
      <c r="AB60" s="518" t="str">
        <f>IF(AND(_1="B-757",'2026'!$E$4="CA",'2026'!$E$2=AB43),'2026DATA'!$M$19,"")</f>
        <v/>
      </c>
      <c r="AC60" s="520" t="str">
        <f>IF(AND(_1="B-757",'2026'!$E$4="CA",'2026'!$E$2=AC43),'2026DATA'!$N$19,"")</f>
        <v/>
      </c>
      <c r="AD60" s="940" t="s">
        <v>45</v>
      </c>
      <c r="AE60" s="13" t="s">
        <v>61</v>
      </c>
      <c r="AF60" s="518" t="str">
        <f>IF(AND(_2="B-757",'2026'!$E$4="CA",'2026'!$E$2=AF43),'2026DATA'!$C$19,"")</f>
        <v/>
      </c>
      <c r="AG60" s="518" t="str">
        <f>IF(AND(_2="B-757",'2026'!$E$4="CA",'2026'!$E$2=AG43),'2026DATA'!$D$19,"")</f>
        <v/>
      </c>
      <c r="AH60" s="518" t="str">
        <f>IF(AND(_2="B-757",'2026'!$E$4="CA",'2026'!$E$2=AH43),'2026DATA'!$E$19,"")</f>
        <v/>
      </c>
      <c r="AI60" s="518" t="str">
        <f>IF(AND(_2="B-757",'2026'!$E$4="CA",'2026'!$E$2=AI43),'2026DATA'!$F$19,"")</f>
        <v/>
      </c>
      <c r="AJ60" s="518" t="str">
        <f>IF(AND(_2="B-757",'2026'!$E$4="CA",'2026'!$E$2=AJ43),'2026DATA'!$G$19,"")</f>
        <v/>
      </c>
      <c r="AK60" s="518" t="str">
        <f>IF(AND(_2="B-757",'2026'!$E$4="CA",'2026'!$E$2=AK43),'2026DATA'!$H$19,"")</f>
        <v/>
      </c>
      <c r="AL60" s="518" t="str">
        <f>IF(AND(_2="B-757",'2026'!$E$4="CA",'2026'!$E$2=AL43),'2026DATA'!$I$19,"")</f>
        <v/>
      </c>
      <c r="AM60" s="518" t="str">
        <f>IF(AND(_2="B-757",'2026'!$E$4="CA",'2026'!$E$2=AM43),'2026DATA'!$J$19,"")</f>
        <v/>
      </c>
      <c r="AN60" s="518" t="str">
        <f>IF(AND(_2="B-757",'2026'!$E$4="CA",'2026'!$E$2=AN43),'2026DATA'!$K$19,"")</f>
        <v/>
      </c>
      <c r="AO60" s="518" t="str">
        <f>IF(AND(_2="B-757",'2026'!$E$4="CA",'2026'!$E$2=AO43),'2026DATA'!$L$19,"")</f>
        <v/>
      </c>
      <c r="AP60" s="518" t="str">
        <f>IF(AND(_2="B-757",'2026'!$E$4="CA",'2026'!$E$2=AP43),'2026DATA'!$M$19,"")</f>
        <v/>
      </c>
      <c r="AQ60" s="520" t="str">
        <f>IF(AND(_2="B-757",'2026'!$E$4="CA",'2026'!$E$2=AQ43),'2026DATA'!$N$19,"")</f>
        <v/>
      </c>
      <c r="AR60" s="940" t="s">
        <v>45</v>
      </c>
      <c r="AS60" s="13" t="s">
        <v>61</v>
      </c>
      <c r="AT60" s="518" t="str">
        <f>IF(AND(_3="B-757",'2026'!$E$4="CA",'2026'!$E$2=AT43),'2026DATA'!$C$19,"")</f>
        <v/>
      </c>
      <c r="AU60" s="518" t="str">
        <f>IF(AND(_3="B-757",'2026'!$E$4="CA",'2026'!$E$2=AU43),'2026DATA'!$D$19,"")</f>
        <v/>
      </c>
      <c r="AV60" s="518" t="str">
        <f>IF(AND(_3="B-757",'2026'!$E$4="CA",'2026'!$E$2=AV43),'2026DATA'!$E$19,"")</f>
        <v/>
      </c>
      <c r="AW60" s="518" t="str">
        <f>IF(AND(_3="B-757",'2026'!$E$4="CA",'2026'!$E$2=AW43),'2026DATA'!$F$19,"")</f>
        <v/>
      </c>
      <c r="AX60" s="518" t="str">
        <f>IF(AND(_3="B-757",'2026'!$E$4="CA",'2026'!$E$2=AX43),'2026DATA'!$G$19,"")</f>
        <v/>
      </c>
      <c r="AY60" s="518" t="str">
        <f>IF(AND(_3="B-757",'2026'!$E$4="CA",'2026'!$E$2=AY43),'2026DATA'!$H$19,"")</f>
        <v/>
      </c>
      <c r="AZ60" s="518" t="str">
        <f>IF(AND(_3="B-757",'2026'!$E$4="CA",'2026'!$E$2=AZ43),'2026DATA'!$I$19,"")</f>
        <v/>
      </c>
      <c r="BA60" s="518" t="str">
        <f>IF(AND(_3="B-757",'2026'!$E$4="CA",'2026'!$E$2=BA43),'2026DATA'!$J$19,"")</f>
        <v/>
      </c>
      <c r="BB60" s="518" t="str">
        <f>IF(AND(_3="B-757",'2026'!$E$4="CA",'2026'!$E$2=BB43),'2026DATA'!$K$19,"")</f>
        <v/>
      </c>
      <c r="BC60" s="518" t="str">
        <f>IF(AND(_3="B-757",'2026'!$E$4="CA",'2026'!$E$2=BC43),'2026DATA'!$L$19,"")</f>
        <v/>
      </c>
      <c r="BD60" s="518" t="str">
        <f>IF(AND(_3="B-757",'2026'!$E$4="CA",'2026'!$E$2=BD43),'2026DATA'!$M$19,"")</f>
        <v/>
      </c>
      <c r="BE60" s="520" t="str">
        <f>IF(AND(_3="B-757",'2026'!$E$4="CA",'2026'!$E$2=BE43),'2026DATA'!$N$19,"")</f>
        <v/>
      </c>
      <c r="BF60" s="940" t="s">
        <v>45</v>
      </c>
      <c r="BG60" s="13" t="s">
        <v>61</v>
      </c>
      <c r="BH60" s="518" t="str">
        <f>IF(AND(_4="B-757",'2026'!$E$4="CA",'2026'!$E$2=BH43),'2026DATA'!$C$19,"")</f>
        <v/>
      </c>
      <c r="BI60" s="518" t="str">
        <f>IF(AND(_4="B-757",'2026'!$E$4="CA",'2026'!$E$2=BI43),'2026DATA'!$D$19,"")</f>
        <v/>
      </c>
      <c r="BJ60" s="518" t="str">
        <f>IF(AND(_4="B-757",'2026'!$E$4="CA",'2026'!$E$2=BJ43),'2026DATA'!$E$19,"")</f>
        <v/>
      </c>
      <c r="BK60" s="518" t="str">
        <f>IF(AND(_4="B-757",'2026'!$E$4="CA",'2026'!$E$2=BK43),'2026DATA'!$F$19,"")</f>
        <v/>
      </c>
      <c r="BL60" s="518" t="str">
        <f>IF(AND(_4="B-757",'2026'!$E$4="CA",'2026'!$E$2=BL43),'2026DATA'!$G$19,"")</f>
        <v/>
      </c>
      <c r="BM60" s="518" t="str">
        <f>IF(AND(_4="B-757",'2026'!$E$4="CA",'2026'!$E$2=BM43),'2026DATA'!$H$19,"")</f>
        <v/>
      </c>
      <c r="BN60" s="518" t="str">
        <f>IF(AND(_4="B-757",'2026'!$E$4="CA",'2026'!$E$2=BN43),'2026DATA'!$I$19,"")</f>
        <v/>
      </c>
      <c r="BO60" s="518" t="str">
        <f>IF(AND(_4="B-757",'2026'!$E$4="CA",'2026'!$E$2=BO43),'2026DATA'!$J$19,"")</f>
        <v/>
      </c>
      <c r="BP60" s="518" t="str">
        <f>IF(AND(_4="B-757",'2026'!$E$4="CA",'2026'!$E$2=BP43),'2026DATA'!$K$19,"")</f>
        <v/>
      </c>
      <c r="BQ60" s="518" t="str">
        <f>IF(AND(_4="B-757",'2026'!$E$4="CA",'2026'!$E$2=BQ43),'2026DATA'!$L$19,"")</f>
        <v/>
      </c>
      <c r="BR60" s="518" t="str">
        <f>IF(AND(_4="B-757",'2026'!$E$4="CA",'2026'!$E$2=BR43),'2026DATA'!$M$19,"")</f>
        <v/>
      </c>
      <c r="BS60" s="520" t="str">
        <f>IF(AND(_4="B-757",'2026'!$E$4="CA",'2026'!$E$2=BS43),'2026DATA'!$N$19,"")</f>
        <v/>
      </c>
      <c r="BT60" s="940" t="s">
        <v>45</v>
      </c>
      <c r="BU60" s="13" t="s">
        <v>61</v>
      </c>
      <c r="BV60" s="518" t="str">
        <f>IF(AND(_5="B-757",'2026'!$E$4="CA",'2026'!$E$2=BV43),'2026DATA'!$C$19,"")</f>
        <v/>
      </c>
      <c r="BW60" s="518" t="str">
        <f>IF(AND(_5="B-757",'2026'!$E$4="CA",'2026'!$E$2=BW43),'2026DATA'!$D$19,"")</f>
        <v/>
      </c>
      <c r="BX60" s="518" t="str">
        <f>IF(AND(_5="B-757",'2026'!$E$4="CA",'2026'!$E$2=BX43),'2026DATA'!$E$19,"")</f>
        <v/>
      </c>
      <c r="BY60" s="518" t="str">
        <f>IF(AND(_5="B-757",'2026'!$E$4="CA",'2026'!$E$2=BY43),'2026DATA'!$F$19,"")</f>
        <v/>
      </c>
      <c r="BZ60" s="518" t="str">
        <f>IF(AND(_5="B-757",'2026'!$E$4="CA",'2026'!$E$2=BZ43),'2026DATA'!$G$19,"")</f>
        <v/>
      </c>
      <c r="CA60" s="518" t="str">
        <f>IF(AND(_5="B-757",'2026'!$E$4="CA",'2026'!$E$2=CA43),'2026DATA'!$H$19,"")</f>
        <v/>
      </c>
      <c r="CB60" s="518" t="str">
        <f>IF(AND(_5="B-757",'2026'!$E$4="CA",'2026'!$E$2=CB43),'2026DATA'!$I$19,"")</f>
        <v/>
      </c>
      <c r="CC60" s="518" t="str">
        <f>IF(AND(_5="B-757",'2026'!$E$4="CA",'2026'!$E$2=CC43),'2026DATA'!$J$19,"")</f>
        <v/>
      </c>
      <c r="CD60" s="518" t="str">
        <f>IF(AND(_5="B-757",'2026'!$E$4="CA",'2026'!$E$2=CD43),'2026DATA'!$K$19,"")</f>
        <v/>
      </c>
      <c r="CE60" s="518" t="str">
        <f>IF(AND(_5="B-757",'2026'!$E$4="CA",'2026'!$E$2=CE43),'2026DATA'!$L$19,"")</f>
        <v/>
      </c>
      <c r="CF60" s="518" t="str">
        <f>IF(AND(_5="B-757",'2026'!$E$4="CA",'2026'!$E$2=CF43),'2026DATA'!$M$19,"")</f>
        <v/>
      </c>
      <c r="CG60" s="520" t="str">
        <f>IF(AND(_5="B-757",'2026'!$E$4="CA",'2026'!$E$2=CG43),'2026DATA'!$N$19,"")</f>
        <v/>
      </c>
      <c r="CH60" s="940" t="s">
        <v>45</v>
      </c>
      <c r="CI60" s="13" t="s">
        <v>61</v>
      </c>
      <c r="CJ60" s="518" t="str">
        <f>IF(AND(_6="B-757",'2026'!$E$4="CA",'2026'!$E$2=CJ43),'2026DATA'!$C$19,"")</f>
        <v/>
      </c>
      <c r="CK60" s="518" t="str">
        <f>IF(AND(_6="B-757",'2026'!$E$4="CA",'2026'!$E$2=CK43),'2026DATA'!$D$19,"")</f>
        <v/>
      </c>
      <c r="CL60" s="518" t="str">
        <f>IF(AND(_6="B-757",'2026'!$E$4="CA",'2026'!$E$2=CL43),'2026DATA'!$E$19,"")</f>
        <v/>
      </c>
      <c r="CM60" s="518" t="str">
        <f>IF(AND(_6="B-757",'2026'!$E$4="CA",'2026'!$E$2=CM43),'2026DATA'!$F$19,"")</f>
        <v/>
      </c>
      <c r="CN60" s="518" t="str">
        <f>IF(AND(_6="B-757",'2026'!$E$4="CA",'2026'!$E$2=CN43),'2026DATA'!$G$19,"")</f>
        <v/>
      </c>
      <c r="CO60" s="518" t="str">
        <f>IF(AND(_6="B-757",'2026'!$E$4="CA",'2026'!$E$2=CO43),'2026DATA'!$H$19,"")</f>
        <v/>
      </c>
      <c r="CP60" s="518" t="str">
        <f>IF(AND(_6="B-757",'2026'!$E$4="CA",'2026'!$E$2=CP43),'2026DATA'!$I$19,"")</f>
        <v/>
      </c>
      <c r="CQ60" s="518" t="str">
        <f>IF(AND(_6="B-757",'2026'!$E$4="CA",'2026'!$E$2=CQ43),'2026DATA'!$J$19,"")</f>
        <v/>
      </c>
      <c r="CR60" s="518" t="str">
        <f>IF(AND(_6="B-757",'2026'!$E$4="CA",'2026'!$E$2=CR43),'2026DATA'!$K$19,"")</f>
        <v/>
      </c>
      <c r="CS60" s="518" t="str">
        <f>IF(AND(_6="B-757",'2026'!$E$4="CA",'2026'!$E$2=CS43),'2026DATA'!$L$19,"")</f>
        <v/>
      </c>
      <c r="CT60" s="518" t="str">
        <f>IF(AND(_6="B-757",'2026'!$E$4="CA",'2026'!$E$2=CT43),'2026DATA'!$M$19,"")</f>
        <v/>
      </c>
      <c r="CU60" s="520" t="str">
        <f>IF(AND(_6="B-757",'2026'!$E$4="CA",'2026'!$E$2=CU43),'2026DATA'!$N$19,"")</f>
        <v/>
      </c>
    </row>
    <row r="61" spans="16:99" x14ac:dyDescent="0.25">
      <c r="P61" s="940"/>
      <c r="Q61" s="13" t="s">
        <v>62</v>
      </c>
      <c r="R61" s="518" t="str">
        <f>IF(AND(_1="B-757",'2026'!$E$4="FO",'2026'!$E$2=R43),'2026DATA'!$C$20,"")</f>
        <v/>
      </c>
      <c r="S61" s="518" t="str">
        <f>IF(AND(_1="B-757",'2026'!$E$4="FO",'2026'!$E$2=S43),'2026DATA'!$D$20,"")</f>
        <v/>
      </c>
      <c r="T61" s="518" t="str">
        <f>IF(AND(_1="B-757",'2026'!$E$4="FO",'2026'!$E$2=T43),'2026DATA'!$E$20,"")</f>
        <v/>
      </c>
      <c r="U61" s="518" t="str">
        <f>IF(AND(_1="B-757",'2026'!$E$4="FO",'2026'!$E$2=U43),'2026DATA'!$F$20,"")</f>
        <v/>
      </c>
      <c r="V61" s="518" t="str">
        <f>IF(AND(_1="B-757",'2026'!$E$4="FO",'2026'!$E$2=V43),'2026DATA'!$G$20,"")</f>
        <v/>
      </c>
      <c r="W61" s="518" t="str">
        <f>IF(AND(_1="B-757",'2026'!$E$4="FO",'2026'!$E$2=W43),'2026DATA'!$H$20,"")</f>
        <v/>
      </c>
      <c r="X61" s="518" t="str">
        <f>IF(AND(_1="B-757",'2026'!$E$4="FO",'2026'!$E$2=X43),'2026DATA'!$I$20,"")</f>
        <v/>
      </c>
      <c r="Y61" s="518" t="str">
        <f>IF(AND(_1="B-757",'2026'!$E$4="FO",'2026'!$E$2=Y43),'2026DATA'!$J$20,"")</f>
        <v/>
      </c>
      <c r="Z61" s="518" t="str">
        <f>IF(AND(_1="B-757",'2026'!$E$4="FO",'2026'!$E$2=Z43),'2026DATA'!$K$20,"")</f>
        <v/>
      </c>
      <c r="AA61" s="518" t="str">
        <f>IF(AND(_1="B-757",'2026'!$E$4="FO",'2026'!$E$2=AA43),'2026DATA'!$L$20,"")</f>
        <v/>
      </c>
      <c r="AB61" s="518" t="str">
        <f>IF(AND(_1="B-757",'2026'!$E$4="FO",'2026'!$E$2=AB43),'2026DATA'!$M$20,"")</f>
        <v/>
      </c>
      <c r="AC61" s="520" t="str">
        <f>IF(AND(_1="B-757",'2026'!$E$4="FO",'2026'!$E$2=AC43),'2026DATA'!$N$20,"")</f>
        <v/>
      </c>
      <c r="AD61" s="940"/>
      <c r="AE61" s="13" t="s">
        <v>62</v>
      </c>
      <c r="AF61" s="518" t="str">
        <f>IF(AND(_2="B-757",'2026'!$E$4="FO",'2026'!$E$2=AF43),'2026DATA'!$C$20,"")</f>
        <v/>
      </c>
      <c r="AG61" s="518" t="str">
        <f>IF(AND(_2="B-757",'2026'!$E$4="FO",'2026'!$E$2=AG43),'2026DATA'!$D$20,"")</f>
        <v/>
      </c>
      <c r="AH61" s="518" t="str">
        <f>IF(AND(_2="B-757",'2026'!$E$4="FO",'2026'!$E$2=AH43),'2026DATA'!$E$20,"")</f>
        <v/>
      </c>
      <c r="AI61" s="518" t="str">
        <f>IF(AND(_2="B-757",'2026'!$E$4="FO",'2026'!$E$2=AI43),'2026DATA'!$F$20,"")</f>
        <v/>
      </c>
      <c r="AJ61" s="518" t="str">
        <f>IF(AND(_2="B-757",'2026'!$E$4="FO",'2026'!$E$2=AJ43),'2026DATA'!$G$20,"")</f>
        <v/>
      </c>
      <c r="AK61" s="518" t="str">
        <f>IF(AND(_2="B-757",'2026'!$E$4="FO",'2026'!$E$2=AK43),'2026DATA'!$H$20,"")</f>
        <v/>
      </c>
      <c r="AL61" s="518" t="str">
        <f>IF(AND(_2="B-757",'2026'!$E$4="FO",'2026'!$E$2=AL43),'2026DATA'!$I$20,"")</f>
        <v/>
      </c>
      <c r="AM61" s="518" t="str">
        <f>IF(AND(_2="B-757",'2026'!$E$4="FO",'2026'!$E$2=AM43),'2026DATA'!$J$20,"")</f>
        <v/>
      </c>
      <c r="AN61" s="518" t="str">
        <f>IF(AND(_2="B-757",'2026'!$E$4="FO",'2026'!$E$2=AN43),'2026DATA'!$K$20,"")</f>
        <v/>
      </c>
      <c r="AO61" s="518" t="str">
        <f>IF(AND(_2="B-757",'2026'!$E$4="FO",'2026'!$E$2=AO43),'2026DATA'!$L$20,"")</f>
        <v/>
      </c>
      <c r="AP61" s="518" t="str">
        <f>IF(AND(_2="B-757",'2026'!$E$4="FO",'2026'!$E$2=AP43),'2026DATA'!$M$20,"")</f>
        <v/>
      </c>
      <c r="AQ61" s="520" t="str">
        <f>IF(AND(_2="B-757",'2026'!$E$4="FO",'2026'!$E$2=AQ43),'2026DATA'!$N$20,"")</f>
        <v/>
      </c>
      <c r="AR61" s="940"/>
      <c r="AS61" s="13" t="s">
        <v>62</v>
      </c>
      <c r="AT61" s="518" t="str">
        <f>IF(AND(_3="B-757",'2026'!$E$4="FO",'2026'!$E$2=AT43),'2026DATA'!$C$20,"")</f>
        <v/>
      </c>
      <c r="AU61" s="518" t="str">
        <f>IF(AND(_3="B-757",'2026'!$E$4="FO",'2026'!$E$2=AU43),'2026DATA'!$D$20,"")</f>
        <v/>
      </c>
      <c r="AV61" s="518" t="str">
        <f>IF(AND(_3="B-757",'2026'!$E$4="FO",'2026'!$E$2=AV43),'2026DATA'!$E$20,"")</f>
        <v/>
      </c>
      <c r="AW61" s="518" t="str">
        <f>IF(AND(_3="B-757",'2026'!$E$4="FO",'2026'!$E$2=AW43),'2026DATA'!$F$20,"")</f>
        <v/>
      </c>
      <c r="AX61" s="518" t="str">
        <f>IF(AND(_3="B-757",'2026'!$E$4="FO",'2026'!$E$2=AX43),'2026DATA'!$G$20,"")</f>
        <v/>
      </c>
      <c r="AY61" s="518" t="str">
        <f>IF(AND(_3="B-757",'2026'!$E$4="FO",'2026'!$E$2=AY43),'2026DATA'!$H$20,"")</f>
        <v/>
      </c>
      <c r="AZ61" s="518" t="str">
        <f>IF(AND(_3="B-757",'2026'!$E$4="FO",'2026'!$E$2=AZ43),'2026DATA'!$I$20,"")</f>
        <v/>
      </c>
      <c r="BA61" s="518" t="str">
        <f>IF(AND(_3="B-757",'2026'!$E$4="FO",'2026'!$E$2=BA43),'2026DATA'!$J$20,"")</f>
        <v/>
      </c>
      <c r="BB61" s="518" t="str">
        <f>IF(AND(_3="B-757",'2026'!$E$4="FO",'2026'!$E$2=BB43),'2026DATA'!$K$20,"")</f>
        <v/>
      </c>
      <c r="BC61" s="518" t="str">
        <f>IF(AND(_3="B-757",'2026'!$E$4="FO",'2026'!$E$2=BC43),'2026DATA'!$L$20,"")</f>
        <v/>
      </c>
      <c r="BD61" s="518" t="str">
        <f>IF(AND(_3="B-757",'2026'!$E$4="FO",'2026'!$E$2=BD43),'2026DATA'!$M$20,"")</f>
        <v/>
      </c>
      <c r="BE61" s="520" t="str">
        <f>IF(AND(_3="B-757",'2026'!$E$4="FO",'2026'!$E$2=BE43),'2026DATA'!$N$20,"")</f>
        <v/>
      </c>
      <c r="BF61" s="940"/>
      <c r="BG61" s="13" t="s">
        <v>62</v>
      </c>
      <c r="BH61" s="518" t="str">
        <f>IF(AND(_4="B-757",'2026'!$E$4="FO",'2026'!$E$2=BH43),'2026DATA'!$C$20,"")</f>
        <v/>
      </c>
      <c r="BI61" s="518" t="str">
        <f>IF(AND(_4="B-757",'2026'!$E$4="FO",'2026'!$E$2=BI43),'2026DATA'!$D$20,"")</f>
        <v/>
      </c>
      <c r="BJ61" s="518" t="str">
        <f>IF(AND(_4="B-757",'2026'!$E$4="FO",'2026'!$E$2=BJ43),'2026DATA'!$E$20,"")</f>
        <v/>
      </c>
      <c r="BK61" s="518" t="str">
        <f>IF(AND(_4="B-757",'2026'!$E$4="FO",'2026'!$E$2=BK43),'2026DATA'!$F$20,"")</f>
        <v/>
      </c>
      <c r="BL61" s="518" t="str">
        <f>IF(AND(_4="B-757",'2026'!$E$4="FO",'2026'!$E$2=BL43),'2026DATA'!$G$20,"")</f>
        <v/>
      </c>
      <c r="BM61" s="518" t="str">
        <f>IF(AND(_4="B-757",'2026'!$E$4="FO",'2026'!$E$2=BM43),'2026DATA'!$H$20,"")</f>
        <v/>
      </c>
      <c r="BN61" s="518" t="str">
        <f>IF(AND(_4="B-757",'2026'!$E$4="FO",'2026'!$E$2=BN43),'2026DATA'!$I$20,"")</f>
        <v/>
      </c>
      <c r="BO61" s="518" t="str">
        <f>IF(AND(_4="B-757",'2026'!$E$4="FO",'2026'!$E$2=BO43),'2026DATA'!$J$20,"")</f>
        <v/>
      </c>
      <c r="BP61" s="518" t="str">
        <f>IF(AND(_4="B-757",'2026'!$E$4="FO",'2026'!$E$2=BP43),'2026DATA'!$K$20,"")</f>
        <v/>
      </c>
      <c r="BQ61" s="518" t="str">
        <f>IF(AND(_4="B-757",'2026'!$E$4="FO",'2026'!$E$2=BQ43),'2026DATA'!$L$20,"")</f>
        <v/>
      </c>
      <c r="BR61" s="518" t="str">
        <f>IF(AND(_4="B-757",'2026'!$E$4="FO",'2026'!$E$2=BR43),'2026DATA'!$M$20,"")</f>
        <v/>
      </c>
      <c r="BS61" s="520" t="str">
        <f>IF(AND(_4="B-757",'2026'!$E$4="FO",'2026'!$E$2=BS43),'2026DATA'!$N$20,"")</f>
        <v/>
      </c>
      <c r="BT61" s="940"/>
      <c r="BU61" s="13" t="s">
        <v>62</v>
      </c>
      <c r="BV61" s="518" t="str">
        <f>IF(AND(_5="B-757",'2026'!$E$4="FO",'2026'!$E$2=BV43),'2026DATA'!$C$20,"")</f>
        <v/>
      </c>
      <c r="BW61" s="518" t="str">
        <f>IF(AND(_5="B-757",'2026'!$E$4="FO",'2026'!$E$2=BW43),'2026DATA'!$D$20,"")</f>
        <v/>
      </c>
      <c r="BX61" s="518" t="str">
        <f>IF(AND(_5="B-757",'2026'!$E$4="FO",'2026'!$E$2=BX43),'2026DATA'!$E$20,"")</f>
        <v/>
      </c>
      <c r="BY61" s="518" t="str">
        <f>IF(AND(_5="B-757",'2026'!$E$4="FO",'2026'!$E$2=BY43),'2026DATA'!$F$20,"")</f>
        <v/>
      </c>
      <c r="BZ61" s="518" t="str">
        <f>IF(AND(_5="B-757",'2026'!$E$4="FO",'2026'!$E$2=BZ43),'2026DATA'!$G$20,"")</f>
        <v/>
      </c>
      <c r="CA61" s="518" t="str">
        <f>IF(AND(_5="B-757",'2026'!$E$4="FO",'2026'!$E$2=CA43),'2026DATA'!$H$20,"")</f>
        <v/>
      </c>
      <c r="CB61" s="518" t="str">
        <f>IF(AND(_5="B-757",'2026'!$E$4="FO",'2026'!$E$2=CB43),'2026DATA'!$I$20,"")</f>
        <v/>
      </c>
      <c r="CC61" s="518" t="str">
        <f>IF(AND(_5="B-757",'2026'!$E$4="FO",'2026'!$E$2=CC43),'2026DATA'!$J$20,"")</f>
        <v/>
      </c>
      <c r="CD61" s="518" t="str">
        <f>IF(AND(_5="B-757",'2026'!$E$4="FO",'2026'!$E$2=CD43),'2026DATA'!$K$20,"")</f>
        <v/>
      </c>
      <c r="CE61" s="518" t="str">
        <f>IF(AND(_5="B-757",'2026'!$E$4="FO",'2026'!$E$2=CE43),'2026DATA'!$L$20,"")</f>
        <v/>
      </c>
      <c r="CF61" s="518" t="str">
        <f>IF(AND(_5="B-757",'2026'!$E$4="FO",'2026'!$E$2=CF43),'2026DATA'!$M$20,"")</f>
        <v/>
      </c>
      <c r="CG61" s="520" t="str">
        <f>IF(AND(_5="B-757",'2026'!$E$4="FO",'2026'!$E$2=CG43),'2026DATA'!$N$20,"")</f>
        <v/>
      </c>
      <c r="CH61" s="940"/>
      <c r="CI61" s="13" t="s">
        <v>62</v>
      </c>
      <c r="CJ61" s="518" t="str">
        <f>IF(AND(_6="B-757",'2026'!$E$4="FO",'2026'!$E$2=CJ43),'2026DATA'!$C$20,"")</f>
        <v/>
      </c>
      <c r="CK61" s="518" t="str">
        <f>IF(AND(_6="B-757",'2026'!$E$4="FO",'2026'!$E$2=CK43),'2026DATA'!$D$20,"")</f>
        <v/>
      </c>
      <c r="CL61" s="518" t="str">
        <f>IF(AND(_6="B-757",'2026'!$E$4="FO",'2026'!$E$2=CL43),'2026DATA'!$E$20,"")</f>
        <v/>
      </c>
      <c r="CM61" s="518" t="str">
        <f>IF(AND(_6="B-757",'2026'!$E$4="FO",'2026'!$E$2=CM43),'2026DATA'!$F$20,"")</f>
        <v/>
      </c>
      <c r="CN61" s="518" t="str">
        <f>IF(AND(_6="B-757",'2026'!$E$4="FO",'2026'!$E$2=CN43),'2026DATA'!$G$20,"")</f>
        <v/>
      </c>
      <c r="CO61" s="518" t="str">
        <f>IF(AND(_6="B-757",'2026'!$E$4="FO",'2026'!$E$2=CO43),'2026DATA'!$H$20,"")</f>
        <v/>
      </c>
      <c r="CP61" s="518" t="str">
        <f>IF(AND(_6="B-757",'2026'!$E$4="FO",'2026'!$E$2=CP43),'2026DATA'!$I$20,"")</f>
        <v/>
      </c>
      <c r="CQ61" s="518" t="str">
        <f>IF(AND(_6="B-757",'2026'!$E$4="FO",'2026'!$E$2=CQ43),'2026DATA'!$J$20,"")</f>
        <v/>
      </c>
      <c r="CR61" s="518" t="str">
        <f>IF(AND(_6="B-757",'2026'!$E$4="FO",'2026'!$E$2=CR43),'2026DATA'!$K$20,"")</f>
        <v/>
      </c>
      <c r="CS61" s="518" t="str">
        <f>IF(AND(_6="B-757",'2026'!$E$4="FO",'2026'!$E$2=CS43),'2026DATA'!$L$20,"")</f>
        <v/>
      </c>
      <c r="CT61" s="518" t="str">
        <f>IF(AND(_6="B-757",'2026'!$E$4="FO",'2026'!$E$2=CT43),'2026DATA'!$M$20,"")</f>
        <v/>
      </c>
      <c r="CU61" s="520" t="str">
        <f>IF(AND(_6="B-757",'2026'!$E$4="FO",'2026'!$E$2=CU43),'2026DATA'!$N$20,"")</f>
        <v/>
      </c>
    </row>
    <row r="62" spans="16:99" x14ac:dyDescent="0.25">
      <c r="P62" s="940" t="s">
        <v>47</v>
      </c>
      <c r="Q62" s="13" t="s">
        <v>61</v>
      </c>
      <c r="R62" s="518" t="str">
        <f>IF(AND(_1="B-737-900",'2026'!$E$4="CA",'2026'!$E$2=R43),'2026DATA'!$C$21,"")</f>
        <v/>
      </c>
      <c r="S62" s="518" t="str">
        <f>IF(AND(_1="B-737-900",'2026'!$E$4="CA",'2026'!$E$2=S43),'2026DATA'!$D$21,"")</f>
        <v/>
      </c>
      <c r="T62" s="518" t="str">
        <f>IF(AND(_1="B-737-900",'2026'!$E$4="CA",'2026'!$E$2=T43),'2026DATA'!$E$21,"")</f>
        <v/>
      </c>
      <c r="U62" s="518" t="str">
        <f>IF(AND(_1="B-737-900",'2026'!$E$4="CA",'2026'!$E$2=U43),'2026DATA'!$F$21,"")</f>
        <v/>
      </c>
      <c r="V62" s="518" t="str">
        <f>IF(AND(_1="B-737-900",'2026'!$E$4="CA",'2026'!$E$2=V43),'2026DATA'!$G$21,"")</f>
        <v/>
      </c>
      <c r="W62" s="518" t="str">
        <f>IF(AND(_1="B-737-900",'2026'!$E$4="CA",'2026'!$E$2=W43),'2026DATA'!$H$21,"")</f>
        <v/>
      </c>
      <c r="X62" s="518" t="str">
        <f>IF(AND(_1="B-737-900",'2026'!$E$4="CA",'2026'!$E$2=X43),'2026DATA'!$I$21,"")</f>
        <v/>
      </c>
      <c r="Y62" s="518" t="str">
        <f>IF(AND(_1="B-737-900",'2026'!$E$4="CA",'2026'!$E$2=Y43),'2026DATA'!$J$21,"")</f>
        <v/>
      </c>
      <c r="Z62" s="518" t="str">
        <f>IF(AND(_1="B-737-900",'2026'!$E$4="CA",'2026'!$E$2=Z43),'2026DATA'!$K$21,"")</f>
        <v/>
      </c>
      <c r="AA62" s="518" t="str">
        <f>IF(AND(_1="B-737-900",'2026'!$E$4="CA",'2026'!$E$2=AA43),'2026DATA'!$L$21,"")</f>
        <v/>
      </c>
      <c r="AB62" s="518" t="str">
        <f>IF(AND(_1="B-737-900",'2026'!$E$4="CA",'2026'!$E$2=AB43),'2026DATA'!$M$21,"")</f>
        <v/>
      </c>
      <c r="AC62" s="520" t="str">
        <f>IF(AND(_1="B-737-900",'2026'!$E$4="CA",'2026'!$E$2=AC43),'2026DATA'!$N$21,"")</f>
        <v/>
      </c>
      <c r="AD62" s="940" t="s">
        <v>47</v>
      </c>
      <c r="AE62" s="13" t="s">
        <v>61</v>
      </c>
      <c r="AF62" s="518" t="str">
        <f>IF(AND(_2="B-737-900",'2026'!$E$4="CA",'2026'!$E$2=AF43),'2026DATA'!$C$21,"")</f>
        <v/>
      </c>
      <c r="AG62" s="518" t="str">
        <f>IF(AND(_2="B-737-900",'2026'!$E$4="CA",'2026'!$E$2=AG43),'2026DATA'!$D$21,"")</f>
        <v/>
      </c>
      <c r="AH62" s="518" t="str">
        <f>IF(AND(_2="B-737-900",'2026'!$E$4="CA",'2026'!$E$2=AH43),'2026DATA'!$E$21,"")</f>
        <v/>
      </c>
      <c r="AI62" s="518" t="str">
        <f>IF(AND(_2="B-737-900",'2026'!$E$4="CA",'2026'!$E$2=AI43),'2026DATA'!$F$21,"")</f>
        <v/>
      </c>
      <c r="AJ62" s="518" t="str">
        <f>IF(AND(_2="B-737-900",'2026'!$E$4="CA",'2026'!$E$2=AJ43),'2026DATA'!$G$21,"")</f>
        <v/>
      </c>
      <c r="AK62" s="518" t="str">
        <f>IF(AND(_2="B-737-900",'2026'!$E$4="CA",'2026'!$E$2=AK43),'2026DATA'!$H$21,"")</f>
        <v/>
      </c>
      <c r="AL62" s="518" t="str">
        <f>IF(AND(_2="B-737-900",'2026'!$E$4="CA",'2026'!$E$2=AL43),'2026DATA'!$I$21,"")</f>
        <v/>
      </c>
      <c r="AM62" s="518" t="str">
        <f>IF(AND(_2="B-737-900",'2026'!$E$4="CA",'2026'!$E$2=AM43),'2026DATA'!$J$21,"")</f>
        <v/>
      </c>
      <c r="AN62" s="518" t="str">
        <f>IF(AND(_2="B-737-900",'2026'!$E$4="CA",'2026'!$E$2=AN43),'2026DATA'!$K$21,"")</f>
        <v/>
      </c>
      <c r="AO62" s="518" t="str">
        <f>IF(AND(_2="B-737-900",'2026'!$E$4="CA",'2026'!$E$2=AO43),'2026DATA'!$L$21,"")</f>
        <v/>
      </c>
      <c r="AP62" s="518" t="str">
        <f>IF(AND(_2="B-737-900",'2026'!$E$4="CA",'2026'!$E$2=AP43),'2026DATA'!$M$21,"")</f>
        <v/>
      </c>
      <c r="AQ62" s="520" t="str">
        <f>IF(AND(_2="B-737-900",'2026'!$E$4="CA",'2026'!$E$2=AQ43),'2026DATA'!$N$21,"")</f>
        <v/>
      </c>
      <c r="AR62" s="940" t="s">
        <v>47</v>
      </c>
      <c r="AS62" s="13" t="s">
        <v>61</v>
      </c>
      <c r="AT62" s="518" t="str">
        <f>IF(AND(_3="B-737-900",'2026'!$E$4="CA",'2026'!$E$2=AT43),'2026DATA'!$C$21,"")</f>
        <v/>
      </c>
      <c r="AU62" s="518" t="str">
        <f>IF(AND(_3="B-737-900",'2026'!$E$4="CA",'2026'!$E$2=AU43),'2026DATA'!$D$21,"")</f>
        <v/>
      </c>
      <c r="AV62" s="518" t="str">
        <f>IF(AND(_3="B-737-900",'2026'!$E$4="CA",'2026'!$E$2=AV43),'2026DATA'!$E$21,"")</f>
        <v/>
      </c>
      <c r="AW62" s="518" t="str">
        <f>IF(AND(_3="B-737-900",'2026'!$E$4="CA",'2026'!$E$2=AW43),'2026DATA'!$F$21,"")</f>
        <v/>
      </c>
      <c r="AX62" s="518" t="str">
        <f>IF(AND(_3="B-737-900",'2026'!$E$4="CA",'2026'!$E$2=AX43),'2026DATA'!$G$21,"")</f>
        <v/>
      </c>
      <c r="AY62" s="518" t="str">
        <f>IF(AND(_3="B-737-900",'2026'!$E$4="CA",'2026'!$E$2=AY43),'2026DATA'!$H$21,"")</f>
        <v/>
      </c>
      <c r="AZ62" s="518" t="str">
        <f>IF(AND(_3="B-737-900",'2026'!$E$4="CA",'2026'!$E$2=AZ43),'2026DATA'!$I$21,"")</f>
        <v/>
      </c>
      <c r="BA62" s="518" t="str">
        <f>IF(AND(_3="B-737-900",'2026'!$E$4="CA",'2026'!$E$2=BA43),'2026DATA'!$J$21,"")</f>
        <v/>
      </c>
      <c r="BB62" s="518" t="str">
        <f>IF(AND(_3="B-737-900",'2026'!$E$4="CA",'2026'!$E$2=BB43),'2026DATA'!$K$21,"")</f>
        <v/>
      </c>
      <c r="BC62" s="518" t="str">
        <f>IF(AND(_3="B-737-900",'2026'!$E$4="CA",'2026'!$E$2=BC43),'2026DATA'!$L$21,"")</f>
        <v/>
      </c>
      <c r="BD62" s="518" t="str">
        <f>IF(AND(_3="B-737-900",'2026'!$E$4="CA",'2026'!$E$2=BD43),'2026DATA'!$M$21,"")</f>
        <v/>
      </c>
      <c r="BE62" s="520" t="str">
        <f>IF(AND(_3="B-737-900",'2026'!$E$4="CA",'2026'!$E$2=BE43),'2026DATA'!$N$21,"")</f>
        <v/>
      </c>
      <c r="BF62" s="940" t="s">
        <v>47</v>
      </c>
      <c r="BG62" s="13" t="s">
        <v>61</v>
      </c>
      <c r="BH62" s="518" t="str">
        <f>IF(AND(_4="B-737-900",'2026'!$E$4="CA",'2026'!$E$2=BH43),'2026DATA'!$C$21,"")</f>
        <v/>
      </c>
      <c r="BI62" s="518" t="str">
        <f>IF(AND(_4="B-737-900",'2026'!$E$4="CA",'2026'!$E$2=BI43),'2026DATA'!$D$21,"")</f>
        <v/>
      </c>
      <c r="BJ62" s="518" t="str">
        <f>IF(AND(_4="B-737-900",'2026'!$E$4="CA",'2026'!$E$2=BJ43),'2026DATA'!$E$21,"")</f>
        <v/>
      </c>
      <c r="BK62" s="518" t="str">
        <f>IF(AND(_4="B-737-900",'2026'!$E$4="CA",'2026'!$E$2=BK43),'2026DATA'!$F$21,"")</f>
        <v/>
      </c>
      <c r="BL62" s="518" t="str">
        <f>IF(AND(_4="B-737-900",'2026'!$E$4="CA",'2026'!$E$2=BL43),'2026DATA'!$G$21,"")</f>
        <v/>
      </c>
      <c r="BM62" s="518" t="str">
        <f>IF(AND(_4="B-737-900",'2026'!$E$4="CA",'2026'!$E$2=BM43),'2026DATA'!$H$21,"")</f>
        <v/>
      </c>
      <c r="BN62" s="518" t="str">
        <f>IF(AND(_4="B-737-900",'2026'!$E$4="CA",'2026'!$E$2=BN43),'2026DATA'!$I$21,"")</f>
        <v/>
      </c>
      <c r="BO62" s="518" t="str">
        <f>IF(AND(_4="B-737-900",'2026'!$E$4="CA",'2026'!$E$2=BO43),'2026DATA'!$J$21,"")</f>
        <v/>
      </c>
      <c r="BP62" s="518" t="str">
        <f>IF(AND(_4="B-737-900",'2026'!$E$4="CA",'2026'!$E$2=BP43),'2026DATA'!$K$21,"")</f>
        <v/>
      </c>
      <c r="BQ62" s="518" t="str">
        <f>IF(AND(_4="B-737-900",'2026'!$E$4="CA",'2026'!$E$2=BQ43),'2026DATA'!$L$21,"")</f>
        <v/>
      </c>
      <c r="BR62" s="518" t="str">
        <f>IF(AND(_4="B-737-900",'2026'!$E$4="CA",'2026'!$E$2=BR43),'2026DATA'!$M$21,"")</f>
        <v/>
      </c>
      <c r="BS62" s="520" t="str">
        <f>IF(AND(_4="B-737-900",'2026'!$E$4="CA",'2026'!$E$2=BS43),'2026DATA'!$N$21,"")</f>
        <v/>
      </c>
      <c r="BT62" s="940" t="s">
        <v>47</v>
      </c>
      <c r="BU62" s="13" t="s">
        <v>61</v>
      </c>
      <c r="BV62" s="518" t="str">
        <f>IF(AND(_5="B-737-900",'2026'!$E$4="CA",'2026'!$E$2=BV43),'2026DATA'!$C$21,"")</f>
        <v/>
      </c>
      <c r="BW62" s="518" t="str">
        <f>IF(AND(_5="B-737-900",'2026'!$E$4="CA",'2026'!$E$2=BW43),'2026DATA'!$D$21,"")</f>
        <v/>
      </c>
      <c r="BX62" s="518" t="str">
        <f>IF(AND(_5="B-737-900",'2026'!$E$4="CA",'2026'!$E$2=BX43),'2026DATA'!$E$21,"")</f>
        <v/>
      </c>
      <c r="BY62" s="518" t="str">
        <f>IF(AND(_5="B-737-900",'2026'!$E$4="CA",'2026'!$E$2=BY43),'2026DATA'!$F$21,"")</f>
        <v/>
      </c>
      <c r="BZ62" s="518" t="str">
        <f>IF(AND(_5="B-737-900",'2026'!$E$4="CA",'2026'!$E$2=BZ43),'2026DATA'!$G$21,"")</f>
        <v/>
      </c>
      <c r="CA62" s="518" t="str">
        <f>IF(AND(_5="B-737-900",'2026'!$E$4="CA",'2026'!$E$2=CA43),'2026DATA'!$H$21,"")</f>
        <v/>
      </c>
      <c r="CB62" s="518" t="str">
        <f>IF(AND(_5="B-737-900",'2026'!$E$4="CA",'2026'!$E$2=CB43),'2026DATA'!$I$21,"")</f>
        <v/>
      </c>
      <c r="CC62" s="518" t="str">
        <f>IF(AND(_5="B-737-900",'2026'!$E$4="CA",'2026'!$E$2=CC43),'2026DATA'!$J$21,"")</f>
        <v/>
      </c>
      <c r="CD62" s="518" t="str">
        <f>IF(AND(_5="B-737-900",'2026'!$E$4="CA",'2026'!$E$2=CD43),'2026DATA'!$K$21,"")</f>
        <v/>
      </c>
      <c r="CE62" s="518" t="str">
        <f>IF(AND(_5="B-737-900",'2026'!$E$4="CA",'2026'!$E$2=CE43),'2026DATA'!$L$21,"")</f>
        <v/>
      </c>
      <c r="CF62" s="518" t="str">
        <f>IF(AND(_5="B-737-900",'2026'!$E$4="CA",'2026'!$E$2=CF43),'2026DATA'!$M$21,"")</f>
        <v/>
      </c>
      <c r="CG62" s="520" t="str">
        <f>IF(AND(_5="B-737-900",'2026'!$E$4="CA",'2026'!$E$2=CG43),'2026DATA'!$N$21,"")</f>
        <v/>
      </c>
      <c r="CH62" s="940" t="s">
        <v>47</v>
      </c>
      <c r="CI62" s="13" t="s">
        <v>61</v>
      </c>
      <c r="CJ62" s="518" t="str">
        <f>IF(AND(_6="B-737-900",'2026'!$E$4="CA",'2026'!$E$2=CJ43),'2026DATA'!$C$21,"")</f>
        <v/>
      </c>
      <c r="CK62" s="518" t="str">
        <f>IF(AND(_6="B-737-900",'2026'!$E$4="CA",'2026'!$E$2=CK43),'2026DATA'!$D$21,"")</f>
        <v/>
      </c>
      <c r="CL62" s="518" t="str">
        <f>IF(AND(_6="B-737-900",'2026'!$E$4="CA",'2026'!$E$2=CL43),'2026DATA'!$E$21,"")</f>
        <v/>
      </c>
      <c r="CM62" s="518" t="str">
        <f>IF(AND(_6="B-737-900",'2026'!$E$4="CA",'2026'!$E$2=CM43),'2026DATA'!$F$21,"")</f>
        <v/>
      </c>
      <c r="CN62" s="518" t="str">
        <f>IF(AND(_6="B-737-900",'2026'!$E$4="CA",'2026'!$E$2=CN43),'2026DATA'!$G$21,"")</f>
        <v/>
      </c>
      <c r="CO62" s="518" t="str">
        <f>IF(AND(_6="B-737-900",'2026'!$E$4="CA",'2026'!$E$2=CO43),'2026DATA'!$H$21,"")</f>
        <v/>
      </c>
      <c r="CP62" s="518" t="str">
        <f>IF(AND(_6="B-737-900",'2026'!$E$4="CA",'2026'!$E$2=CP43),'2026DATA'!$I$21,"")</f>
        <v/>
      </c>
      <c r="CQ62" s="518" t="str">
        <f>IF(AND(_6="B-737-900",'2026'!$E$4="CA",'2026'!$E$2=CQ43),'2026DATA'!$J$21,"")</f>
        <v/>
      </c>
      <c r="CR62" s="518" t="str">
        <f>IF(AND(_6="B-737-900",'2026'!$E$4="CA",'2026'!$E$2=CR43),'2026DATA'!$K$21,"")</f>
        <v/>
      </c>
      <c r="CS62" s="518" t="str">
        <f>IF(AND(_6="B-737-900",'2026'!$E$4="CA",'2026'!$E$2=CS43),'2026DATA'!$L$21,"")</f>
        <v/>
      </c>
      <c r="CT62" s="518" t="str">
        <f>IF(AND(_6="B-737-900",'2026'!$E$4="CA",'2026'!$E$2=CT43),'2026DATA'!$M$21,"")</f>
        <v/>
      </c>
      <c r="CU62" s="520" t="str">
        <f>IF(AND(_6="B-737-900",'2026'!$E$4="CA",'2026'!$E$2=CU43),'2026DATA'!$N$21,"")</f>
        <v/>
      </c>
    </row>
    <row r="63" spans="16:99" x14ac:dyDescent="0.25">
      <c r="P63" s="940"/>
      <c r="Q63" s="13" t="s">
        <v>62</v>
      </c>
      <c r="R63" s="518" t="str">
        <f>IF(AND(_1="B-737-900",'2026'!$E$4="FO",'2026'!$E$2=R43),'2026DATA'!$C$22,"")</f>
        <v/>
      </c>
      <c r="S63" s="518" t="str">
        <f>IF(AND(_1="B-737-900",'2026'!$E$4="FO",'2026'!$E$2=S43),'2026DATA'!$D$22,"")</f>
        <v/>
      </c>
      <c r="T63" s="518" t="str">
        <f>IF(AND(_1="B-737-900",'2026'!$E$4="FO",'2026'!$E$2=T43),'2026DATA'!$E$22,"")</f>
        <v/>
      </c>
      <c r="U63" s="518" t="str">
        <f>IF(AND(_1="B-737-900",'2026'!$E$4="FO",'2026'!$E$2=U43),'2026DATA'!$F$22,"")</f>
        <v/>
      </c>
      <c r="V63" s="518" t="str">
        <f>IF(AND(_1="B-737-900",'2026'!$E$4="FO",'2026'!$E$2=V43),'2026DATA'!$G$22,"")</f>
        <v/>
      </c>
      <c r="W63" s="518" t="str">
        <f>IF(AND(_1="B-737-900",'2026'!$E$4="FO",'2026'!$E$2=W43),'2026DATA'!$H$22,"")</f>
        <v/>
      </c>
      <c r="X63" s="518" t="str">
        <f>IF(AND(_1="B-737-900",'2026'!$E$4="FO",'2026'!$E$2=X43),'2026DATA'!$I$22,"")</f>
        <v/>
      </c>
      <c r="Y63" s="518" t="str">
        <f>IF(AND(_1="B-737-900",'2026'!$E$4="FO",'2026'!$E$2=Y43),'2026DATA'!$J$22,"")</f>
        <v/>
      </c>
      <c r="Z63" s="518" t="str">
        <f>IF(AND(_1="B-737-900",'2026'!$E$4="FO",'2026'!$E$2=Z43),'2026DATA'!$K$22,"")</f>
        <v/>
      </c>
      <c r="AA63" s="518" t="str">
        <f>IF(AND(_1="B-737-900",'2026'!$E$4="FO",'2026'!$E$2=AA43),'2026DATA'!$L$22,"")</f>
        <v/>
      </c>
      <c r="AB63" s="518" t="str">
        <f>IF(AND(_1="B-737-900",'2026'!$E$4="FO",'2026'!$E$2=AB43),'2026DATA'!$M$22,"")</f>
        <v/>
      </c>
      <c r="AC63" s="520" t="str">
        <f>IF(AND(_1="B-737-900",'2026'!$E$4="FO",'2026'!$E$2=AC43),'2026DATA'!$N$22,"")</f>
        <v/>
      </c>
      <c r="AD63" s="940"/>
      <c r="AE63" s="13" t="s">
        <v>62</v>
      </c>
      <c r="AF63" s="518" t="str">
        <f>IF(AND(_2="B-737-900",'2026'!$E$4="FO",'2026'!$E$2=AF43),'2026DATA'!$C$22,"")</f>
        <v/>
      </c>
      <c r="AG63" s="518" t="str">
        <f>IF(AND(_2="B-737-900",'2026'!$E$4="FO",'2026'!$E$2=AG43),'2026DATA'!$D$22,"")</f>
        <v/>
      </c>
      <c r="AH63" s="518" t="str">
        <f>IF(AND(_2="B-737-900",'2026'!$E$4="FO",'2026'!$E$2=AH43),'2026DATA'!$E$22,"")</f>
        <v/>
      </c>
      <c r="AI63" s="518" t="str">
        <f>IF(AND(_2="B-737-900",'2026'!$E$4="FO",'2026'!$E$2=AI43),'2026DATA'!$F$22,"")</f>
        <v/>
      </c>
      <c r="AJ63" s="518" t="str">
        <f>IF(AND(_2="B-737-900",'2026'!$E$4="FO",'2026'!$E$2=AJ43),'2026DATA'!$G$22,"")</f>
        <v/>
      </c>
      <c r="AK63" s="518" t="str">
        <f>IF(AND(_2="B-737-900",'2026'!$E$4="FO",'2026'!$E$2=AK43),'2026DATA'!$H$22,"")</f>
        <v/>
      </c>
      <c r="AL63" s="518" t="str">
        <f>IF(AND(_2="B-737-900",'2026'!$E$4="FO",'2026'!$E$2=AL43),'2026DATA'!$I$22,"")</f>
        <v/>
      </c>
      <c r="AM63" s="518" t="str">
        <f>IF(AND(_2="B-737-900",'2026'!$E$4="FO",'2026'!$E$2=AM43),'2026DATA'!$J$22,"")</f>
        <v/>
      </c>
      <c r="AN63" s="518" t="str">
        <f>IF(AND(_2="B-737-900",'2026'!$E$4="FO",'2026'!$E$2=AN43),'2026DATA'!$K$22,"")</f>
        <v/>
      </c>
      <c r="AO63" s="518" t="str">
        <f>IF(AND(_2="B-737-900",'2026'!$E$4="FO",'2026'!$E$2=AO43),'2026DATA'!$L$22,"")</f>
        <v/>
      </c>
      <c r="AP63" s="518" t="str">
        <f>IF(AND(_2="B-737-900",'2026'!$E$4="FO",'2026'!$E$2=AP43),'2026DATA'!$M$22,"")</f>
        <v/>
      </c>
      <c r="AQ63" s="520" t="str">
        <f>IF(AND(_2="B-737-900",'2026'!$E$4="FO",'2026'!$E$2=AQ43),'2026DATA'!$N$22,"")</f>
        <v/>
      </c>
      <c r="AR63" s="940"/>
      <c r="AS63" s="13" t="s">
        <v>62</v>
      </c>
      <c r="AT63" s="518" t="str">
        <f>IF(AND(_3="B-737-900",'2026'!$E$4="FO",'2026'!$E$2=AT43),'2026DATA'!$C$22,"")</f>
        <v/>
      </c>
      <c r="AU63" s="518" t="str">
        <f>IF(AND(_3="B-737-900",'2026'!$E$4="FO",'2026'!$E$2=AU43),'2026DATA'!$D$22,"")</f>
        <v/>
      </c>
      <c r="AV63" s="518" t="str">
        <f>IF(AND(_3="B-737-900",'2026'!$E$4="FO",'2026'!$E$2=AV43),'2026DATA'!$E$22,"")</f>
        <v/>
      </c>
      <c r="AW63" s="518" t="str">
        <f>IF(AND(_3="B-737-900",'2026'!$E$4="FO",'2026'!$E$2=AW43),'2026DATA'!$F$22,"")</f>
        <v/>
      </c>
      <c r="AX63" s="518" t="str">
        <f>IF(AND(_3="B-737-900",'2026'!$E$4="FO",'2026'!$E$2=AX43),'2026DATA'!$G$22,"")</f>
        <v/>
      </c>
      <c r="AY63" s="518" t="str">
        <f>IF(AND(_3="B-737-900",'2026'!$E$4="FO",'2026'!$E$2=AY43),'2026DATA'!$H$22,"")</f>
        <v/>
      </c>
      <c r="AZ63" s="518" t="str">
        <f>IF(AND(_3="B-737-900",'2026'!$E$4="FO",'2026'!$E$2=AZ43),'2026DATA'!$I$22,"")</f>
        <v/>
      </c>
      <c r="BA63" s="518" t="str">
        <f>IF(AND(_3="B-737-900",'2026'!$E$4="FO",'2026'!$E$2=BA43),'2026DATA'!$J$22,"")</f>
        <v/>
      </c>
      <c r="BB63" s="518" t="str">
        <f>IF(AND(_3="B-737-900",'2026'!$E$4="FO",'2026'!$E$2=BB43),'2026DATA'!$K$22,"")</f>
        <v/>
      </c>
      <c r="BC63" s="518" t="str">
        <f>IF(AND(_3="B-737-900",'2026'!$E$4="FO",'2026'!$E$2=BC43),'2026DATA'!$L$22,"")</f>
        <v/>
      </c>
      <c r="BD63" s="518" t="str">
        <f>IF(AND(_3="B-737-900",'2026'!$E$4="FO",'2026'!$E$2=BD43),'2026DATA'!$M$22,"")</f>
        <v/>
      </c>
      <c r="BE63" s="520" t="str">
        <f>IF(AND(_3="B-737-900",'2026'!$E$4="FO",'2026'!$E$2=BE43),'2026DATA'!$N$22,"")</f>
        <v/>
      </c>
      <c r="BF63" s="940"/>
      <c r="BG63" s="13" t="s">
        <v>62</v>
      </c>
      <c r="BH63" s="518" t="str">
        <f>IF(AND(_4="B-737-900",'2026'!$E$4="FO",'2026'!$E$2=BH43),'2026DATA'!$C$22,"")</f>
        <v/>
      </c>
      <c r="BI63" s="518" t="str">
        <f>IF(AND(_4="B-737-900",'2026'!$E$4="FO",'2026'!$E$2=BI43),'2026DATA'!$D$22,"")</f>
        <v/>
      </c>
      <c r="BJ63" s="518" t="str">
        <f>IF(AND(_4="B-737-900",'2026'!$E$4="FO",'2026'!$E$2=BJ43),'2026DATA'!$E$22,"")</f>
        <v/>
      </c>
      <c r="BK63" s="518" t="str">
        <f>IF(AND(_4="B-737-900",'2026'!$E$4="FO",'2026'!$E$2=BK43),'2026DATA'!$F$22,"")</f>
        <v/>
      </c>
      <c r="BL63" s="518" t="str">
        <f>IF(AND(_4="B-737-900",'2026'!$E$4="FO",'2026'!$E$2=BL43),'2026DATA'!$G$22,"")</f>
        <v/>
      </c>
      <c r="BM63" s="518" t="str">
        <f>IF(AND(_4="B-737-900",'2026'!$E$4="FO",'2026'!$E$2=BM43),'2026DATA'!$H$22,"")</f>
        <v/>
      </c>
      <c r="BN63" s="518" t="str">
        <f>IF(AND(_4="B-737-900",'2026'!$E$4="FO",'2026'!$E$2=BN43),'2026DATA'!$I$22,"")</f>
        <v/>
      </c>
      <c r="BO63" s="518" t="str">
        <f>IF(AND(_4="B-737-900",'2026'!$E$4="FO",'2026'!$E$2=BO43),'2026DATA'!$J$22,"")</f>
        <v/>
      </c>
      <c r="BP63" s="518" t="str">
        <f>IF(AND(_4="B-737-900",'2026'!$E$4="FO",'2026'!$E$2=BP43),'2026DATA'!$K$22,"")</f>
        <v/>
      </c>
      <c r="BQ63" s="518" t="str">
        <f>IF(AND(_4="B-737-900",'2026'!$E$4="FO",'2026'!$E$2=BQ43),'2026DATA'!$L$22,"")</f>
        <v/>
      </c>
      <c r="BR63" s="518" t="str">
        <f>IF(AND(_4="B-737-900",'2026'!$E$4="FO",'2026'!$E$2=BR43),'2026DATA'!$M$22,"")</f>
        <v/>
      </c>
      <c r="BS63" s="520" t="str">
        <f>IF(AND(_4="B-737-900",'2026'!$E$4="FO",'2026'!$E$2=BS43),'2026DATA'!$N$22,"")</f>
        <v/>
      </c>
      <c r="BT63" s="940"/>
      <c r="BU63" s="13" t="s">
        <v>62</v>
      </c>
      <c r="BV63" s="518" t="str">
        <f>IF(AND(_5="B-737-900",'2026'!$E$4="FO",'2026'!$E$2=BV43),'2026DATA'!$C$22,"")</f>
        <v/>
      </c>
      <c r="BW63" s="518" t="str">
        <f>IF(AND(_5="B-737-900",'2026'!$E$4="FO",'2026'!$E$2=BW43),'2026DATA'!$D$22,"")</f>
        <v/>
      </c>
      <c r="BX63" s="518" t="str">
        <f>IF(AND(_5="B-737-900",'2026'!$E$4="FO",'2026'!$E$2=BX43),'2026DATA'!$E$22,"")</f>
        <v/>
      </c>
      <c r="BY63" s="518" t="str">
        <f>IF(AND(_5="B-737-900",'2026'!$E$4="FO",'2026'!$E$2=BY43),'2026DATA'!$F$22,"")</f>
        <v/>
      </c>
      <c r="BZ63" s="518" t="str">
        <f>IF(AND(_5="B-737-900",'2026'!$E$4="FO",'2026'!$E$2=BZ43),'2026DATA'!$G$22,"")</f>
        <v/>
      </c>
      <c r="CA63" s="518" t="str">
        <f>IF(AND(_5="B-737-900",'2026'!$E$4="FO",'2026'!$E$2=CA43),'2026DATA'!$H$22,"")</f>
        <v/>
      </c>
      <c r="CB63" s="518" t="str">
        <f>IF(AND(_5="B-737-900",'2026'!$E$4="FO",'2026'!$E$2=CB43),'2026DATA'!$I$22,"")</f>
        <v/>
      </c>
      <c r="CC63" s="518" t="str">
        <f>IF(AND(_5="B-737-900",'2026'!$E$4="FO",'2026'!$E$2=CC43),'2026DATA'!$J$22,"")</f>
        <v/>
      </c>
      <c r="CD63" s="518" t="str">
        <f>IF(AND(_5="B-737-900",'2026'!$E$4="FO",'2026'!$E$2=CD43),'2026DATA'!$K$22,"")</f>
        <v/>
      </c>
      <c r="CE63" s="518" t="str">
        <f>IF(AND(_5="B-737-900",'2026'!$E$4="FO",'2026'!$E$2=CE43),'2026DATA'!$L$22,"")</f>
        <v/>
      </c>
      <c r="CF63" s="518" t="str">
        <f>IF(AND(_5="B-737-900",'2026'!$E$4="FO",'2026'!$E$2=CF43),'2026DATA'!$M$22,"")</f>
        <v/>
      </c>
      <c r="CG63" s="520" t="str">
        <f>IF(AND(_5="B-737-900",'2026'!$E$4="FO",'2026'!$E$2=CG43),'2026DATA'!$N$22,"")</f>
        <v/>
      </c>
      <c r="CH63" s="940"/>
      <c r="CI63" s="13" t="s">
        <v>62</v>
      </c>
      <c r="CJ63" s="518" t="str">
        <f>IF(AND(_6="B-737-900",'2026'!$E$4="FO",'2026'!$E$2=CJ43),'2026DATA'!$C$22,"")</f>
        <v/>
      </c>
      <c r="CK63" s="518" t="str">
        <f>IF(AND(_6="B-737-900",'2026'!$E$4="FO",'2026'!$E$2=CK43),'2026DATA'!$D$22,"")</f>
        <v/>
      </c>
      <c r="CL63" s="518" t="str">
        <f>IF(AND(_6="B-737-900",'2026'!$E$4="FO",'2026'!$E$2=CL43),'2026DATA'!$E$22,"")</f>
        <v/>
      </c>
      <c r="CM63" s="518" t="str">
        <f>IF(AND(_6="B-737-900",'2026'!$E$4="FO",'2026'!$E$2=CM43),'2026DATA'!$F$22,"")</f>
        <v/>
      </c>
      <c r="CN63" s="518" t="str">
        <f>IF(AND(_6="B-737-900",'2026'!$E$4="FO",'2026'!$E$2=CN43),'2026DATA'!$G$22,"")</f>
        <v/>
      </c>
      <c r="CO63" s="518" t="str">
        <f>IF(AND(_6="B-737-900",'2026'!$E$4="FO",'2026'!$E$2=CO43),'2026DATA'!$H$22,"")</f>
        <v/>
      </c>
      <c r="CP63" s="518" t="str">
        <f>IF(AND(_6="B-737-900",'2026'!$E$4="FO",'2026'!$E$2=CP43),'2026DATA'!$I$22,"")</f>
        <v/>
      </c>
      <c r="CQ63" s="518" t="str">
        <f>IF(AND(_6="B-737-900",'2026'!$E$4="FO",'2026'!$E$2=CQ43),'2026DATA'!$J$22,"")</f>
        <v/>
      </c>
      <c r="CR63" s="518" t="str">
        <f>IF(AND(_6="B-737-900",'2026'!$E$4="FO",'2026'!$E$2=CR43),'2026DATA'!$K$22,"")</f>
        <v/>
      </c>
      <c r="CS63" s="518" t="str">
        <f>IF(AND(_6="B-737-900",'2026'!$E$4="FO",'2026'!$E$2=CS43),'2026DATA'!$L$22,"")</f>
        <v/>
      </c>
      <c r="CT63" s="518" t="str">
        <f>IF(AND(_6="B-737-900",'2026'!$E$4="FO",'2026'!$E$2=CT43),'2026DATA'!$M$22,"")</f>
        <v/>
      </c>
      <c r="CU63" s="520" t="str">
        <f>IF(AND(_6="B-737-900",'2026'!$E$4="FO",'2026'!$E$2=CU43),'2026DATA'!$N$22,"")</f>
        <v/>
      </c>
    </row>
    <row r="64" spans="16:99" x14ac:dyDescent="0.25">
      <c r="P64" s="940" t="s">
        <v>69</v>
      </c>
      <c r="Q64" s="13" t="s">
        <v>61</v>
      </c>
      <c r="R64" s="518" t="str">
        <f>IF(AND(_1="B-737-800",'2026'!$E$4="CA",'2026'!$E$2=R43),'2026DATA'!$C$23,"")</f>
        <v/>
      </c>
      <c r="S64" s="518" t="str">
        <f>IF(AND(_1="B-737-800",'2026'!$E$4="CA",'2026'!$E$2=S43),'2026DATA'!$D$23,"")</f>
        <v/>
      </c>
      <c r="T64" s="518" t="str">
        <f>IF(AND(_1="B-737-800",'2026'!$E$4="CA",'2026'!$E$2=T43),'2026DATA'!$E$23,"")</f>
        <v/>
      </c>
      <c r="U64" s="518" t="str">
        <f>IF(AND(_1="B-737-800",'2026'!$E$4="CA",'2026'!$E$2=U43),'2026DATA'!$F$23,"")</f>
        <v/>
      </c>
      <c r="V64" s="518" t="str">
        <f>IF(AND(_1="B-737-800",'2026'!$E$4="CA",'2026'!$E$2=V43),'2026DATA'!$G$23,"")</f>
        <v/>
      </c>
      <c r="W64" s="518" t="str">
        <f>IF(AND(_1="B-737-800",'2026'!$E$4="CA",'2026'!$E$2=W43),'2026DATA'!$H$23,"")</f>
        <v/>
      </c>
      <c r="X64" s="518" t="str">
        <f>IF(AND(_1="B-737-800",'2026'!$E$4="CA",'2026'!$E$2=X43),'2026DATA'!$I$23,"")</f>
        <v/>
      </c>
      <c r="Y64" s="518" t="str">
        <f>IF(AND(_1="B-737-800",'2026'!$E$4="CA",'2026'!$E$2=Y43),'2026DATA'!$J$23,"")</f>
        <v/>
      </c>
      <c r="Z64" s="518" t="str">
        <f>IF(AND(_1="B-737-800",'2026'!$E$4="CA",'2026'!$E$2=Z43),'2026DATA'!$K$23,"")</f>
        <v/>
      </c>
      <c r="AA64" s="518" t="str">
        <f>IF(AND(_1="B-737-800",'2026'!$E$4="CA",'2026'!$E$2=AA43),'2026DATA'!$L$23,"")</f>
        <v/>
      </c>
      <c r="AB64" s="518" t="str">
        <f>IF(AND(_1="B-737-800",'2026'!$E$4="CA",'2026'!$E$2=AB43),'2026DATA'!$M$23,"")</f>
        <v/>
      </c>
      <c r="AC64" s="520" t="str">
        <f>IF(AND(_1="B-737-800",'2026'!$E$4="CA",'2026'!$E$2=AC43),'2026DATA'!$N$23,"")</f>
        <v/>
      </c>
      <c r="AD64" s="940" t="s">
        <v>69</v>
      </c>
      <c r="AE64" s="13" t="s">
        <v>61</v>
      </c>
      <c r="AF64" s="518" t="str">
        <f>IF(AND(_2="B-737-800",'2026'!$E$4="CA",'2026'!$E$2=AF43),'2026DATA'!$C$23,"")</f>
        <v/>
      </c>
      <c r="AG64" s="518" t="str">
        <f>IF(AND(_2="B-737-800",'2026'!$E$4="CA",'2026'!$E$2=AG43),'2026DATA'!$D$23,"")</f>
        <v/>
      </c>
      <c r="AH64" s="518" t="str">
        <f>IF(AND(_2="B-737-800",'2026'!$E$4="CA",'2026'!$E$2=AH43),'2026DATA'!$E$23,"")</f>
        <v/>
      </c>
      <c r="AI64" s="518" t="str">
        <f>IF(AND(_2="B-737-800",'2026'!$E$4="CA",'2026'!$E$2=AI43),'2026DATA'!$F$23,"")</f>
        <v/>
      </c>
      <c r="AJ64" s="518" t="str">
        <f>IF(AND(_2="B-737-800",'2026'!$E$4="CA",'2026'!$E$2=AJ43),'2026DATA'!$G$23,"")</f>
        <v/>
      </c>
      <c r="AK64" s="518" t="str">
        <f>IF(AND(_2="B-737-800",'2026'!$E$4="CA",'2026'!$E$2=AK43),'2026DATA'!$H$23,"")</f>
        <v/>
      </c>
      <c r="AL64" s="518" t="str">
        <f>IF(AND(_2="B-737-800",'2026'!$E$4="CA",'2026'!$E$2=AL43),'2026DATA'!$I$23,"")</f>
        <v/>
      </c>
      <c r="AM64" s="518" t="str">
        <f>IF(AND(_2="B-737-800",'2026'!$E$4="CA",'2026'!$E$2=AM43),'2026DATA'!$J$23,"")</f>
        <v/>
      </c>
      <c r="AN64" s="518" t="str">
        <f>IF(AND(_2="B-737-800",'2026'!$E$4="CA",'2026'!$E$2=AN43),'2026DATA'!$K$23,"")</f>
        <v/>
      </c>
      <c r="AO64" s="518" t="str">
        <f>IF(AND(_2="B-737-800",'2026'!$E$4="CA",'2026'!$E$2=AO43),'2026DATA'!$L$23,"")</f>
        <v/>
      </c>
      <c r="AP64" s="518" t="str">
        <f>IF(AND(_2="B-737-800",'2026'!$E$4="CA",'2026'!$E$2=AP43),'2026DATA'!$M$23,"")</f>
        <v/>
      </c>
      <c r="AQ64" s="520" t="str">
        <f>IF(AND(_2="B-737-800",'2026'!$E$4="CA",'2026'!$E$2=AQ43),'2026DATA'!$N$23,"")</f>
        <v/>
      </c>
      <c r="AR64" s="940" t="s">
        <v>69</v>
      </c>
      <c r="AS64" s="13" t="s">
        <v>61</v>
      </c>
      <c r="AT64" s="518" t="str">
        <f>IF(AND(_3="B-737-800",'2026'!$E$4="CA",'2026'!$E$2=AT43),'2026DATA'!$C$23,"")</f>
        <v/>
      </c>
      <c r="AU64" s="518" t="str">
        <f>IF(AND(_3="B-737-800",'2026'!$E$4="CA",'2026'!$E$2=AU43),'2026DATA'!$D$23,"")</f>
        <v/>
      </c>
      <c r="AV64" s="518" t="str">
        <f>IF(AND(_3="B-737-800",'2026'!$E$4="CA",'2026'!$E$2=AV43),'2026DATA'!$E$23,"")</f>
        <v/>
      </c>
      <c r="AW64" s="518" t="str">
        <f>IF(AND(_3="B-737-800",'2026'!$E$4="CA",'2026'!$E$2=AW43),'2026DATA'!$F$23,"")</f>
        <v/>
      </c>
      <c r="AX64" s="518" t="str">
        <f>IF(AND(_3="B-737-800",'2026'!$E$4="CA",'2026'!$E$2=AX43),'2026DATA'!$G$23,"")</f>
        <v/>
      </c>
      <c r="AY64" s="518" t="str">
        <f>IF(AND(_3="B-737-800",'2026'!$E$4="CA",'2026'!$E$2=AY43),'2026DATA'!$H$23,"")</f>
        <v/>
      </c>
      <c r="AZ64" s="518" t="str">
        <f>IF(AND(_3="B-737-800",'2026'!$E$4="CA",'2026'!$E$2=AZ43),'2026DATA'!$I$23,"")</f>
        <v/>
      </c>
      <c r="BA64" s="518" t="str">
        <f>IF(AND(_3="B-737-800",'2026'!$E$4="CA",'2026'!$E$2=BA43),'2026DATA'!$J$23,"")</f>
        <v/>
      </c>
      <c r="BB64" s="518" t="str">
        <f>IF(AND(_3="B-737-800",'2026'!$E$4="CA",'2026'!$E$2=BB43),'2026DATA'!$K$23,"")</f>
        <v/>
      </c>
      <c r="BC64" s="518" t="str">
        <f>IF(AND(_3="B-737-800",'2026'!$E$4="CA",'2026'!$E$2=BC43),'2026DATA'!$L$23,"")</f>
        <v/>
      </c>
      <c r="BD64" s="518" t="str">
        <f>IF(AND(_3="B-737-800",'2026'!$E$4="CA",'2026'!$E$2=BD43),'2026DATA'!$M$23,"")</f>
        <v/>
      </c>
      <c r="BE64" s="520" t="str">
        <f>IF(AND(_3="B-737-800",'2026'!$E$4="CA",'2026'!$E$2=BE43),'2026DATA'!$N$23,"")</f>
        <v/>
      </c>
      <c r="BF64" s="940" t="s">
        <v>69</v>
      </c>
      <c r="BG64" s="13" t="s">
        <v>61</v>
      </c>
      <c r="BH64" s="518" t="str">
        <f>IF(AND(_4="B-737-800",'2026'!$E$4="CA",'2026'!$E$2=BH43),'2026DATA'!$C$23,"")</f>
        <v/>
      </c>
      <c r="BI64" s="518" t="str">
        <f>IF(AND(_4="B-737-800",'2026'!$E$4="CA",'2026'!$E$2=BI43),'2026DATA'!$D$23,"")</f>
        <v/>
      </c>
      <c r="BJ64" s="518" t="str">
        <f>IF(AND(_4="B-737-800",'2026'!$E$4="CA",'2026'!$E$2=BJ43),'2026DATA'!$E$23,"")</f>
        <v/>
      </c>
      <c r="BK64" s="518" t="str">
        <f>IF(AND(_4="B-737-800",'2026'!$E$4="CA",'2026'!$E$2=BK43),'2026DATA'!$F$23,"")</f>
        <v/>
      </c>
      <c r="BL64" s="518" t="str">
        <f>IF(AND(_4="B-737-800",'2026'!$E$4="CA",'2026'!$E$2=BL43),'2026DATA'!$G$23,"")</f>
        <v/>
      </c>
      <c r="BM64" s="518" t="str">
        <f>IF(AND(_4="B-737-800",'2026'!$E$4="CA",'2026'!$E$2=BM43),'2026DATA'!$H$23,"")</f>
        <v/>
      </c>
      <c r="BN64" s="518" t="str">
        <f>IF(AND(_4="B-737-800",'2026'!$E$4="CA",'2026'!$E$2=BN43),'2026DATA'!$I$23,"")</f>
        <v/>
      </c>
      <c r="BO64" s="518" t="str">
        <f>IF(AND(_4="B-737-800",'2026'!$E$4="CA",'2026'!$E$2=BO43),'2026DATA'!$J$23,"")</f>
        <v/>
      </c>
      <c r="BP64" s="518" t="str">
        <f>IF(AND(_4="B-737-800",'2026'!$E$4="CA",'2026'!$E$2=BP43),'2026DATA'!$K$23,"")</f>
        <v/>
      </c>
      <c r="BQ64" s="518" t="str">
        <f>IF(AND(_4="B-737-800",'2026'!$E$4="CA",'2026'!$E$2=BQ43),'2026DATA'!$L$23,"")</f>
        <v/>
      </c>
      <c r="BR64" s="518" t="str">
        <f>IF(AND(_4="B-737-800",'2026'!$E$4="CA",'2026'!$E$2=BR43),'2026DATA'!$M$23,"")</f>
        <v/>
      </c>
      <c r="BS64" s="520" t="str">
        <f>IF(AND(_4="B-737-800",'2026'!$E$4="CA",'2026'!$E$2=BS43),'2026DATA'!$N$23,"")</f>
        <v/>
      </c>
      <c r="BT64" s="940" t="s">
        <v>69</v>
      </c>
      <c r="BU64" s="13" t="s">
        <v>61</v>
      </c>
      <c r="BV64" s="518" t="str">
        <f>IF(AND(_5="B-737-800",'2026'!$E$4="CA",'2026'!$E$2=BV43),'2026DATA'!$C$23,"")</f>
        <v/>
      </c>
      <c r="BW64" s="518" t="str">
        <f>IF(AND(_5="B-737-800",'2026'!$E$4="CA",'2026'!$E$2=BW43),'2026DATA'!$D$23,"")</f>
        <v/>
      </c>
      <c r="BX64" s="518" t="str">
        <f>IF(AND(_5="B-737-800",'2026'!$E$4="CA",'2026'!$E$2=BX43),'2026DATA'!$E$23,"")</f>
        <v/>
      </c>
      <c r="BY64" s="518" t="str">
        <f>IF(AND(_5="B-737-800",'2026'!$E$4="CA",'2026'!$E$2=BY43),'2026DATA'!$F$23,"")</f>
        <v/>
      </c>
      <c r="BZ64" s="518" t="str">
        <f>IF(AND(_5="B-737-800",'2026'!$E$4="CA",'2026'!$E$2=BZ43),'2026DATA'!$G$23,"")</f>
        <v/>
      </c>
      <c r="CA64" s="518" t="str">
        <f>IF(AND(_5="B-737-800",'2026'!$E$4="CA",'2026'!$E$2=CA43),'2026DATA'!$H$23,"")</f>
        <v/>
      </c>
      <c r="CB64" s="518" t="str">
        <f>IF(AND(_5="B-737-800",'2026'!$E$4="CA",'2026'!$E$2=CB43),'2026DATA'!$I$23,"")</f>
        <v/>
      </c>
      <c r="CC64" s="518" t="str">
        <f>IF(AND(_5="B-737-800",'2026'!$E$4="CA",'2026'!$E$2=CC43),'2026DATA'!$J$23,"")</f>
        <v/>
      </c>
      <c r="CD64" s="518" t="str">
        <f>IF(AND(_5="B-737-800",'2026'!$E$4="CA",'2026'!$E$2=CD43),'2026DATA'!$K$23,"")</f>
        <v/>
      </c>
      <c r="CE64" s="518" t="str">
        <f>IF(AND(_5="B-737-800",'2026'!$E$4="CA",'2026'!$E$2=CE43),'2026DATA'!$L$23,"")</f>
        <v/>
      </c>
      <c r="CF64" s="518" t="str">
        <f>IF(AND(_5="B-737-800",'2026'!$E$4="CA",'2026'!$E$2=CF43),'2026DATA'!$M$23,"")</f>
        <v/>
      </c>
      <c r="CG64" s="520" t="str">
        <f>IF(AND(_5="B-737-800",'2026'!$E$4="CA",'2026'!$E$2=CG43),'2026DATA'!$N$23,"")</f>
        <v/>
      </c>
      <c r="CH64" s="940" t="s">
        <v>69</v>
      </c>
      <c r="CI64" s="13" t="s">
        <v>61</v>
      </c>
      <c r="CJ64" s="518" t="str">
        <f>IF(AND(_6="B-737-800",'2026'!$E$4="CA",'2026'!$E$2=CJ43),'2026DATA'!$C$23,"")</f>
        <v/>
      </c>
      <c r="CK64" s="518" t="str">
        <f>IF(AND(_6="B-737-800",'2026'!$E$4="CA",'2026'!$E$2=CK43),'2026DATA'!$D$23,"")</f>
        <v/>
      </c>
      <c r="CL64" s="518" t="str">
        <f>IF(AND(_6="B-737-800",'2026'!$E$4="CA",'2026'!$E$2=CL43),'2026DATA'!$E$23,"")</f>
        <v/>
      </c>
      <c r="CM64" s="518" t="str">
        <f>IF(AND(_6="B-737-800",'2026'!$E$4="CA",'2026'!$E$2=CM43),'2026DATA'!$F$23,"")</f>
        <v/>
      </c>
      <c r="CN64" s="518" t="str">
        <f>IF(AND(_6="B-737-800",'2026'!$E$4="CA",'2026'!$E$2=CN43),'2026DATA'!$G$23,"")</f>
        <v/>
      </c>
      <c r="CO64" s="518" t="str">
        <f>IF(AND(_6="B-737-800",'2026'!$E$4="CA",'2026'!$E$2=CO43),'2026DATA'!$H$23,"")</f>
        <v/>
      </c>
      <c r="CP64" s="518" t="str">
        <f>IF(AND(_6="B-737-800",'2026'!$E$4="CA",'2026'!$E$2=CP43),'2026DATA'!$I$23,"")</f>
        <v/>
      </c>
      <c r="CQ64" s="518" t="str">
        <f>IF(AND(_6="B-737-800",'2026'!$E$4="CA",'2026'!$E$2=CQ43),'2026DATA'!$J$23,"")</f>
        <v/>
      </c>
      <c r="CR64" s="518" t="str">
        <f>IF(AND(_6="B-737-800",'2026'!$E$4="CA",'2026'!$E$2=CR43),'2026DATA'!$K$23,"")</f>
        <v/>
      </c>
      <c r="CS64" s="518" t="str">
        <f>IF(AND(_6="B-737-800",'2026'!$E$4="CA",'2026'!$E$2=CS43),'2026DATA'!$L$23,"")</f>
        <v/>
      </c>
      <c r="CT64" s="518" t="str">
        <f>IF(AND(_6="B-737-800",'2026'!$E$4="CA",'2026'!$E$2=CT43),'2026DATA'!$M$23,"")</f>
        <v/>
      </c>
      <c r="CU64" s="520" t="str">
        <f>IF(AND(_6="B-737-800",'2026'!$E$4="CA",'2026'!$E$2=CU43),'2026DATA'!$N$23,"")</f>
        <v/>
      </c>
    </row>
    <row r="65" spans="16:99" x14ac:dyDescent="0.25">
      <c r="P65" s="940"/>
      <c r="Q65" s="13" t="s">
        <v>62</v>
      </c>
      <c r="R65" s="518" t="str">
        <f>IF(AND(_1="B-737-800",'2026'!$E$4="FO",'2026'!$E$2=R43),'2026DATA'!$C$24,"")</f>
        <v/>
      </c>
      <c r="S65" s="518" t="str">
        <f>IF(AND(_1="B-737-800",'2026'!$E$4="FO",'2026'!$E$2=S43),'2026DATA'!$D$24,"")</f>
        <v/>
      </c>
      <c r="T65" s="518" t="str">
        <f>IF(AND(_1="B-737-800",'2026'!$E$4="FO",'2026'!$E$2=T43),'2026DATA'!$E$24,"")</f>
        <v/>
      </c>
      <c r="U65" s="518" t="str">
        <f>IF(AND(_1="B-737-800",'2026'!$E$4="FO",'2026'!$E$2=U43),'2026DATA'!$F$24,"")</f>
        <v/>
      </c>
      <c r="V65" s="518" t="str">
        <f>IF(AND(_1="B-737-800",'2026'!$E$4="FO",'2026'!$E$2=V43),'2026DATA'!$G$24,"")</f>
        <v/>
      </c>
      <c r="W65" s="518" t="str">
        <f>IF(AND(_1="B-737-800",'2026'!$E$4="FO",'2026'!$E$2=W43),'2026DATA'!$H$24,"")</f>
        <v/>
      </c>
      <c r="X65" s="518" t="str">
        <f>IF(AND(_1="B-737-800",'2026'!$E$4="FO",'2026'!$E$2=X43),'2026DATA'!$I$24,"")</f>
        <v/>
      </c>
      <c r="Y65" s="518" t="str">
        <f>IF(AND(_1="B-737-800",'2026'!$E$4="FO",'2026'!$E$2=Y43),'2026DATA'!$J$24,"")</f>
        <v/>
      </c>
      <c r="Z65" s="518" t="str">
        <f>IF(AND(_1="B-737-800",'2026'!$E$4="FO",'2026'!$E$2=Z43),'2026DATA'!$K$24,"")</f>
        <v/>
      </c>
      <c r="AA65" s="518" t="str">
        <f>IF(AND(_1="B-737-800",'2026'!$E$4="FO",'2026'!$E$2=AA43),'2026DATA'!$L$24,"")</f>
        <v/>
      </c>
      <c r="AB65" s="518" t="str">
        <f>IF(AND(_1="B-737-800",'2026'!$E$4="FO",'2026'!$E$2=AB43),'2026DATA'!$M$24,"")</f>
        <v/>
      </c>
      <c r="AC65" s="520" t="str">
        <f>IF(AND(_1="B-737-800",'2026'!$E$4="FO",'2026'!$E$2=AC43),'2026DATA'!$N$24,"")</f>
        <v/>
      </c>
      <c r="AD65" s="940"/>
      <c r="AE65" s="13" t="s">
        <v>62</v>
      </c>
      <c r="AF65" s="518" t="str">
        <f>IF(AND(_2="B-737-800",'2026'!$E$4="FO",'2026'!$E$2=AF43),'2026DATA'!$C$24,"")</f>
        <v/>
      </c>
      <c r="AG65" s="518" t="str">
        <f>IF(AND(_2="B-737-800",'2026'!$E$4="FO",'2026'!$E$2=AG43),'2026DATA'!$D$24,"")</f>
        <v/>
      </c>
      <c r="AH65" s="518" t="str">
        <f>IF(AND(_2="B-737-800",'2026'!$E$4="FO",'2026'!$E$2=AH43),'2026DATA'!$E$24,"")</f>
        <v/>
      </c>
      <c r="AI65" s="518" t="str">
        <f>IF(AND(_2="B-737-800",'2026'!$E$4="FO",'2026'!$E$2=AI43),'2026DATA'!$F$24,"")</f>
        <v/>
      </c>
      <c r="AJ65" s="518" t="str">
        <f>IF(AND(_2="B-737-800",'2026'!$E$4="FO",'2026'!$E$2=AJ43),'2026DATA'!$G$24,"")</f>
        <v/>
      </c>
      <c r="AK65" s="518" t="str">
        <f>IF(AND(_2="B-737-800",'2026'!$E$4="FO",'2026'!$E$2=AK43),'2026DATA'!$H$24,"")</f>
        <v/>
      </c>
      <c r="AL65" s="518" t="str">
        <f>IF(AND(_2="B-737-800",'2026'!$E$4="FO",'2026'!$E$2=AL43),'2026DATA'!$I$24,"")</f>
        <v/>
      </c>
      <c r="AM65" s="518" t="str">
        <f>IF(AND(_2="B-737-800",'2026'!$E$4="FO",'2026'!$E$2=AM43),'2026DATA'!$J$24,"")</f>
        <v/>
      </c>
      <c r="AN65" s="518" t="str">
        <f>IF(AND(_2="B-737-800",'2026'!$E$4="FO",'2026'!$E$2=AN43),'2026DATA'!$K$24,"")</f>
        <v/>
      </c>
      <c r="AO65" s="518" t="str">
        <f>IF(AND(_2="B-737-800",'2026'!$E$4="FO",'2026'!$E$2=AO43),'2026DATA'!$L$24,"")</f>
        <v/>
      </c>
      <c r="AP65" s="518" t="str">
        <f>IF(AND(_2="B-737-800",'2026'!$E$4="FO",'2026'!$E$2=AP43),'2026DATA'!$M$24,"")</f>
        <v/>
      </c>
      <c r="AQ65" s="520" t="str">
        <f>IF(AND(_2="B-737-800",'2026'!$E$4="FO",'2026'!$E$2=AQ43),'2026DATA'!$N$24,"")</f>
        <v/>
      </c>
      <c r="AR65" s="940"/>
      <c r="AS65" s="13" t="s">
        <v>62</v>
      </c>
      <c r="AT65" s="518" t="str">
        <f>IF(AND(_3="B-737-800",'2026'!$E$4="FO",'2026'!$E$2=AT43),'2026DATA'!$C$24,"")</f>
        <v/>
      </c>
      <c r="AU65" s="518" t="str">
        <f>IF(AND(_3="B-737-800",'2026'!$E$4="FO",'2026'!$E$2=AU43),'2026DATA'!$D$24,"")</f>
        <v/>
      </c>
      <c r="AV65" s="518" t="str">
        <f>IF(AND(_3="B-737-800",'2026'!$E$4="FO",'2026'!$E$2=AV43),'2026DATA'!$E$24,"")</f>
        <v/>
      </c>
      <c r="AW65" s="518" t="str">
        <f>IF(AND(_3="B-737-800",'2026'!$E$4="FO",'2026'!$E$2=AW43),'2026DATA'!$F$24,"")</f>
        <v/>
      </c>
      <c r="AX65" s="518" t="str">
        <f>IF(AND(_3="B-737-800",'2026'!$E$4="FO",'2026'!$E$2=AX43),'2026DATA'!$G$24,"")</f>
        <v/>
      </c>
      <c r="AY65" s="518" t="str">
        <f>IF(AND(_3="B-737-800",'2026'!$E$4="FO",'2026'!$E$2=AY43),'2026DATA'!$H$24,"")</f>
        <v/>
      </c>
      <c r="AZ65" s="518" t="str">
        <f>IF(AND(_3="B-737-800",'2026'!$E$4="FO",'2026'!$E$2=AZ43),'2026DATA'!$I$24,"")</f>
        <v/>
      </c>
      <c r="BA65" s="518" t="str">
        <f>IF(AND(_3="B-737-800",'2026'!$E$4="FO",'2026'!$E$2=BA43),'2026DATA'!$J$24,"")</f>
        <v/>
      </c>
      <c r="BB65" s="518" t="str">
        <f>IF(AND(_3="B-737-800",'2026'!$E$4="FO",'2026'!$E$2=BB43),'2026DATA'!$K$24,"")</f>
        <v/>
      </c>
      <c r="BC65" s="518" t="str">
        <f>IF(AND(_3="B-737-800",'2026'!$E$4="FO",'2026'!$E$2=BC43),'2026DATA'!$L$24,"")</f>
        <v/>
      </c>
      <c r="BD65" s="518" t="str">
        <f>IF(AND(_3="B-737-800",'2026'!$E$4="FO",'2026'!$E$2=BD43),'2026DATA'!$M$24,"")</f>
        <v/>
      </c>
      <c r="BE65" s="520" t="str">
        <f>IF(AND(_3="B-737-800",'2026'!$E$4="FO",'2026'!$E$2=BE43),'2026DATA'!$N$24,"")</f>
        <v/>
      </c>
      <c r="BF65" s="940"/>
      <c r="BG65" s="13" t="s">
        <v>62</v>
      </c>
      <c r="BH65" s="518" t="str">
        <f>IF(AND(_4="B-737-800",'2026'!$E$4="FO",'2026'!$E$2=BH43),'2026DATA'!$C$24,"")</f>
        <v/>
      </c>
      <c r="BI65" s="518" t="str">
        <f>IF(AND(_4="B-737-800",'2026'!$E$4="FO",'2026'!$E$2=BI43),'2026DATA'!$D$24,"")</f>
        <v/>
      </c>
      <c r="BJ65" s="518" t="str">
        <f>IF(AND(_4="B-737-800",'2026'!$E$4="FO",'2026'!$E$2=BJ43),'2026DATA'!$E$24,"")</f>
        <v/>
      </c>
      <c r="BK65" s="518" t="str">
        <f>IF(AND(_4="B-737-800",'2026'!$E$4="FO",'2026'!$E$2=BK43),'2026DATA'!$F$24,"")</f>
        <v/>
      </c>
      <c r="BL65" s="518" t="str">
        <f>IF(AND(_4="B-737-800",'2026'!$E$4="FO",'2026'!$E$2=BL43),'2026DATA'!$G$24,"")</f>
        <v/>
      </c>
      <c r="BM65" s="518" t="str">
        <f>IF(AND(_4="B-737-800",'2026'!$E$4="FO",'2026'!$E$2=BM43),'2026DATA'!$H$24,"")</f>
        <v/>
      </c>
      <c r="BN65" s="518" t="str">
        <f>IF(AND(_4="B-737-800",'2026'!$E$4="FO",'2026'!$E$2=BN43),'2026DATA'!$I$24,"")</f>
        <v/>
      </c>
      <c r="BO65" s="518" t="str">
        <f>IF(AND(_4="B-737-800",'2026'!$E$4="FO",'2026'!$E$2=BO43),'2026DATA'!$J$24,"")</f>
        <v/>
      </c>
      <c r="BP65" s="518" t="str">
        <f>IF(AND(_4="B-737-800",'2026'!$E$4="FO",'2026'!$E$2=BP43),'2026DATA'!$K$24,"")</f>
        <v/>
      </c>
      <c r="BQ65" s="518" t="str">
        <f>IF(AND(_4="B-737-800",'2026'!$E$4="FO",'2026'!$E$2=BQ43),'2026DATA'!$L$24,"")</f>
        <v/>
      </c>
      <c r="BR65" s="518" t="str">
        <f>IF(AND(_4="B-737-800",'2026'!$E$4="FO",'2026'!$E$2=BR43),'2026DATA'!$M$24,"")</f>
        <v/>
      </c>
      <c r="BS65" s="520" t="str">
        <f>IF(AND(_4="B-737-800",'2026'!$E$4="FO",'2026'!$E$2=BS43),'2026DATA'!$N$24,"")</f>
        <v/>
      </c>
      <c r="BT65" s="940"/>
      <c r="BU65" s="13" t="s">
        <v>62</v>
      </c>
      <c r="BV65" s="518" t="str">
        <f>IF(AND(_5="B-737-800",'2026'!$E$4="FO",'2026'!$E$2=BV43),'2026DATA'!$C$24,"")</f>
        <v/>
      </c>
      <c r="BW65" s="518" t="str">
        <f>IF(AND(_5="B-737-800",'2026'!$E$4="FO",'2026'!$E$2=BW43),'2026DATA'!$D$24,"")</f>
        <v/>
      </c>
      <c r="BX65" s="518" t="str">
        <f>IF(AND(_5="B-737-800",'2026'!$E$4="FO",'2026'!$E$2=BX43),'2026DATA'!$E$24,"")</f>
        <v/>
      </c>
      <c r="BY65" s="518" t="str">
        <f>IF(AND(_5="B-737-800",'2026'!$E$4="FO",'2026'!$E$2=BY43),'2026DATA'!$F$24,"")</f>
        <v/>
      </c>
      <c r="BZ65" s="518" t="str">
        <f>IF(AND(_5="B-737-800",'2026'!$E$4="FO",'2026'!$E$2=BZ43),'2026DATA'!$G$24,"")</f>
        <v/>
      </c>
      <c r="CA65" s="518" t="str">
        <f>IF(AND(_5="B-737-800",'2026'!$E$4="FO",'2026'!$E$2=CA43),'2026DATA'!$H$24,"")</f>
        <v/>
      </c>
      <c r="CB65" s="518" t="str">
        <f>IF(AND(_5="B-737-800",'2026'!$E$4="FO",'2026'!$E$2=CB43),'2026DATA'!$I$24,"")</f>
        <v/>
      </c>
      <c r="CC65" s="518" t="str">
        <f>IF(AND(_5="B-737-800",'2026'!$E$4="FO",'2026'!$E$2=CC43),'2026DATA'!$J$24,"")</f>
        <v/>
      </c>
      <c r="CD65" s="518" t="str">
        <f>IF(AND(_5="B-737-800",'2026'!$E$4="FO",'2026'!$E$2=CD43),'2026DATA'!$K$24,"")</f>
        <v/>
      </c>
      <c r="CE65" s="518" t="str">
        <f>IF(AND(_5="B-737-800",'2026'!$E$4="FO",'2026'!$E$2=CE43),'2026DATA'!$L$24,"")</f>
        <v/>
      </c>
      <c r="CF65" s="518" t="str">
        <f>IF(AND(_5="B-737-800",'2026'!$E$4="FO",'2026'!$E$2=CF43),'2026DATA'!$M$24,"")</f>
        <v/>
      </c>
      <c r="CG65" s="520" t="str">
        <f>IF(AND(_5="B-737-800",'2026'!$E$4="FO",'2026'!$E$2=CG43),'2026DATA'!$N$24,"")</f>
        <v/>
      </c>
      <c r="CH65" s="940"/>
      <c r="CI65" s="13" t="s">
        <v>62</v>
      </c>
      <c r="CJ65" s="518" t="str">
        <f>IF(AND(_6="B-737-800",'2026'!$E$4="FO",'2026'!$E$2=CJ43),'2026DATA'!$C$24,"")</f>
        <v/>
      </c>
      <c r="CK65" s="518" t="str">
        <f>IF(AND(_6="B-737-800",'2026'!$E$4="FO",'2026'!$E$2=CK43),'2026DATA'!$D$24,"")</f>
        <v/>
      </c>
      <c r="CL65" s="518" t="str">
        <f>IF(AND(_6="B-737-800",'2026'!$E$4="FO",'2026'!$E$2=CL43),'2026DATA'!$E$24,"")</f>
        <v/>
      </c>
      <c r="CM65" s="518" t="str">
        <f>IF(AND(_6="B-737-800",'2026'!$E$4="FO",'2026'!$E$2=CM43),'2026DATA'!$F$24,"")</f>
        <v/>
      </c>
      <c r="CN65" s="518" t="str">
        <f>IF(AND(_6="B-737-800",'2026'!$E$4="FO",'2026'!$E$2=CN43),'2026DATA'!$G$24,"")</f>
        <v/>
      </c>
      <c r="CO65" s="518" t="str">
        <f>IF(AND(_6="B-737-800",'2026'!$E$4="FO",'2026'!$E$2=CO43),'2026DATA'!$H$24,"")</f>
        <v/>
      </c>
      <c r="CP65" s="518" t="str">
        <f>IF(AND(_6="B-737-800",'2026'!$E$4="FO",'2026'!$E$2=CP43),'2026DATA'!$I$24,"")</f>
        <v/>
      </c>
      <c r="CQ65" s="518" t="str">
        <f>IF(AND(_6="B-737-800",'2026'!$E$4="FO",'2026'!$E$2=CQ43),'2026DATA'!$J$24,"")</f>
        <v/>
      </c>
      <c r="CR65" s="518" t="str">
        <f>IF(AND(_6="B-737-800",'2026'!$E$4="FO",'2026'!$E$2=CR43),'2026DATA'!$K$24,"")</f>
        <v/>
      </c>
      <c r="CS65" s="518" t="str">
        <f>IF(AND(_6="B-737-800",'2026'!$E$4="FO",'2026'!$E$2=CS43),'2026DATA'!$L$24,"")</f>
        <v/>
      </c>
      <c r="CT65" s="518" t="str">
        <f>IF(AND(_6="B-737-800",'2026'!$E$4="FO",'2026'!$E$2=CT43),'2026DATA'!$M$24,"")</f>
        <v/>
      </c>
      <c r="CU65" s="520" t="str">
        <f>IF(AND(_6="B-737-800",'2026'!$E$4="FO",'2026'!$E$2=CU43),'2026DATA'!$N$24,"")</f>
        <v/>
      </c>
    </row>
    <row r="66" spans="16:99" x14ac:dyDescent="0.25">
      <c r="P66" s="940" t="s">
        <v>46</v>
      </c>
      <c r="Q66" s="13" t="s">
        <v>61</v>
      </c>
      <c r="R66" s="518" t="str">
        <f>IF(AND(_1="A-321N",'2026'!$E$4="CA",'2026'!$E$2=R43),'2026DATA'!$C$25,"")</f>
        <v/>
      </c>
      <c r="S66" s="518" t="str">
        <f>IF(AND(_1="A-321N",'2026'!$E$4="CA",'2026'!$E$2=S43),'2026DATA'!$D$25,"")</f>
        <v/>
      </c>
      <c r="T66" s="518" t="str">
        <f>IF(AND(_1="A-321N",'2026'!$E$4="CA",'2026'!$E$2=T43),'2026DATA'!$E$25,"")</f>
        <v/>
      </c>
      <c r="U66" s="518" t="str">
        <f>IF(AND(_1="A-321N",'2026'!$E$4="CA",'2026'!$E$2=U43),'2026DATA'!$F$25,"")</f>
        <v/>
      </c>
      <c r="V66" s="518" t="str">
        <f>IF(AND(_1="A-321N",'2026'!$E$4="CA",'2026'!$E$2=V43),'2026DATA'!$G$25,"")</f>
        <v/>
      </c>
      <c r="W66" s="518" t="str">
        <f>IF(AND(_1="A-321N",'2026'!$E$4="CA",'2026'!$E$2=W43),'2026DATA'!$H$25,"")</f>
        <v/>
      </c>
      <c r="X66" s="518" t="str">
        <f>IF(AND(_1="A-321N",'2026'!$E$4="CA",'2026'!$E$2=X43),'2026DATA'!$I$25,"")</f>
        <v/>
      </c>
      <c r="Y66" s="518" t="str">
        <f>IF(AND(_1="A-321N",'2026'!$E$4="CA",'2026'!$E$2=Y43),'2026DATA'!$J$25,"")</f>
        <v/>
      </c>
      <c r="Z66" s="518" t="str">
        <f>IF(AND(_1="A-321N",'2026'!$E$4="CA",'2026'!$E$2=Z43),'2026DATA'!$K$25,"")</f>
        <v/>
      </c>
      <c r="AA66" s="518" t="str">
        <f>IF(AND(_1="A-321N",'2026'!$E$4="CA",'2026'!$E$2=AA43),'2026DATA'!$L$25,"")</f>
        <v/>
      </c>
      <c r="AB66" s="518" t="str">
        <f>IF(AND(_1="A-321N",'2026'!$E$4="CA",'2026'!$E$2=AB43),'2026DATA'!$M$25,"")</f>
        <v/>
      </c>
      <c r="AC66" s="520" t="str">
        <f>IF(AND(_1="A-321N",'2026'!$E$4="CA",'2026'!$E$2=AC43),'2026DATA'!$N$25,"")</f>
        <v/>
      </c>
      <c r="AD66" s="940" t="s">
        <v>46</v>
      </c>
      <c r="AE66" s="13" t="s">
        <v>61</v>
      </c>
      <c r="AF66" s="518" t="str">
        <f>IF(AND(_2="A-321N",'2026'!$E$4="CA",'2026'!$E$2=AF43),'2026DATA'!$C$25,"")</f>
        <v/>
      </c>
      <c r="AG66" s="518" t="str">
        <f>IF(AND(_2="A-321N",'2026'!$E$4="CA",'2026'!$E$2=AG43),'2026DATA'!$D$25,"")</f>
        <v/>
      </c>
      <c r="AH66" s="518" t="str">
        <f>IF(AND(_2="A-321N",'2026'!$E$4="CA",'2026'!$E$2=AH43),'2026DATA'!$E$25,"")</f>
        <v/>
      </c>
      <c r="AI66" s="518" t="str">
        <f>IF(AND(_2="A-321N",'2026'!$E$4="CA",'2026'!$E$2=AI43),'2026DATA'!$F$25,"")</f>
        <v/>
      </c>
      <c r="AJ66" s="518" t="str">
        <f>IF(AND(_2="A-321N",'2026'!$E$4="CA",'2026'!$E$2=AJ43),'2026DATA'!$G$25,"")</f>
        <v/>
      </c>
      <c r="AK66" s="518" t="str">
        <f>IF(AND(_2="A-321N",'2026'!$E$4="CA",'2026'!$E$2=AK43),'2026DATA'!$H$25,"")</f>
        <v/>
      </c>
      <c r="AL66" s="518" t="str">
        <f>IF(AND(_2="A-321N",'2026'!$E$4="CA",'2026'!$E$2=AL43),'2026DATA'!$I$25,"")</f>
        <v/>
      </c>
      <c r="AM66" s="518" t="str">
        <f>IF(AND(_2="A-321N",'2026'!$E$4="CA",'2026'!$E$2=AM43),'2026DATA'!$J$25,"")</f>
        <v/>
      </c>
      <c r="AN66" s="518" t="str">
        <f>IF(AND(_2="A-321N",'2026'!$E$4="CA",'2026'!$E$2=AN43),'2026DATA'!$K$25,"")</f>
        <v/>
      </c>
      <c r="AO66" s="518" t="str">
        <f>IF(AND(_2="A-321N",'2026'!$E$4="CA",'2026'!$E$2=AO43),'2026DATA'!$L$25,"")</f>
        <v/>
      </c>
      <c r="AP66" s="518" t="str">
        <f>IF(AND(_2="A-321N",'2026'!$E$4="CA",'2026'!$E$2=AP43),'2026DATA'!$M$25,"")</f>
        <v/>
      </c>
      <c r="AQ66" s="520" t="str">
        <f>IF(AND(_2="A-321N",'2026'!$E$4="CA",'2026'!$E$2=AQ43),'2026DATA'!$N$25,"")</f>
        <v/>
      </c>
      <c r="AR66" s="940" t="s">
        <v>46</v>
      </c>
      <c r="AS66" s="13" t="s">
        <v>61</v>
      </c>
      <c r="AT66" s="518" t="str">
        <f>IF(AND(_3="A-321N",'2026'!$E$4="CA",'2026'!$E$2=AT43),'2026DATA'!$C$25,"")</f>
        <v/>
      </c>
      <c r="AU66" s="518" t="str">
        <f>IF(AND(_3="A-321N",'2026'!$E$4="CA",'2026'!$E$2=AU43),'2026DATA'!$D$25,"")</f>
        <v/>
      </c>
      <c r="AV66" s="518" t="str">
        <f>IF(AND(_3="A-321N",'2026'!$E$4="CA",'2026'!$E$2=AV43),'2026DATA'!$E$25,"")</f>
        <v/>
      </c>
      <c r="AW66" s="518" t="str">
        <f>IF(AND(_3="A-321N",'2026'!$E$4="CA",'2026'!$E$2=AW43),'2026DATA'!$F$25,"")</f>
        <v/>
      </c>
      <c r="AX66" s="518" t="str">
        <f>IF(AND(_3="A-321N",'2026'!$E$4="CA",'2026'!$E$2=AX43),'2026DATA'!$G$25,"")</f>
        <v/>
      </c>
      <c r="AY66" s="518" t="str">
        <f>IF(AND(_3="A-321N",'2026'!$E$4="CA",'2026'!$E$2=AY43),'2026DATA'!$H$25,"")</f>
        <v/>
      </c>
      <c r="AZ66" s="518" t="str">
        <f>IF(AND(_3="A-321N",'2026'!$E$4="CA",'2026'!$E$2=AZ43),'2026DATA'!$I$25,"")</f>
        <v/>
      </c>
      <c r="BA66" s="518" t="str">
        <f>IF(AND(_3="A-321N",'2026'!$E$4="CA",'2026'!$E$2=BA43),'2026DATA'!$J$25,"")</f>
        <v/>
      </c>
      <c r="BB66" s="518" t="str">
        <f>IF(AND(_3="A-321N",'2026'!$E$4="CA",'2026'!$E$2=BB43),'2026DATA'!$K$25,"")</f>
        <v/>
      </c>
      <c r="BC66" s="518" t="str">
        <f>IF(AND(_3="A-321N",'2026'!$E$4="CA",'2026'!$E$2=BC43),'2026DATA'!$L$25,"")</f>
        <v/>
      </c>
      <c r="BD66" s="518" t="str">
        <f>IF(AND(_3="A-321N",'2026'!$E$4="CA",'2026'!$E$2=BD43),'2026DATA'!$M$25,"")</f>
        <v/>
      </c>
      <c r="BE66" s="520" t="str">
        <f>IF(AND(_3="A-321N",'2026'!$E$4="CA",'2026'!$E$2=BE43),'2026DATA'!$N$25,"")</f>
        <v/>
      </c>
      <c r="BF66" s="940" t="s">
        <v>46</v>
      </c>
      <c r="BG66" s="13" t="s">
        <v>61</v>
      </c>
      <c r="BH66" s="518" t="str">
        <f>IF(AND(_4="A-321N",'2026'!$E$4="CA",'2026'!$E$2=BH43),'2026DATA'!$C$25,"")</f>
        <v/>
      </c>
      <c r="BI66" s="518" t="str">
        <f>IF(AND(_4="A-321N",'2026'!$E$4="CA",'2026'!$E$2=BI43),'2026DATA'!$D$25,"")</f>
        <v/>
      </c>
      <c r="BJ66" s="518" t="str">
        <f>IF(AND(_4="A-321N",'2026'!$E$4="CA",'2026'!$E$2=BJ43),'2026DATA'!$E$25,"")</f>
        <v/>
      </c>
      <c r="BK66" s="518" t="str">
        <f>IF(AND(_4="A-321N",'2026'!$E$4="CA",'2026'!$E$2=BK43),'2026DATA'!$F$25,"")</f>
        <v/>
      </c>
      <c r="BL66" s="518" t="str">
        <f>IF(AND(_4="A-321N",'2026'!$E$4="CA",'2026'!$E$2=BL43),'2026DATA'!$G$25,"")</f>
        <v/>
      </c>
      <c r="BM66" s="518" t="str">
        <f>IF(AND(_4="A-321N",'2026'!$E$4="CA",'2026'!$E$2=BM43),'2026DATA'!$H$25,"")</f>
        <v/>
      </c>
      <c r="BN66" s="518" t="str">
        <f>IF(AND(_4="A-321N",'2026'!$E$4="CA",'2026'!$E$2=BN43),'2026DATA'!$I$25,"")</f>
        <v/>
      </c>
      <c r="BO66" s="518" t="str">
        <f>IF(AND(_4="A-321N",'2026'!$E$4="CA",'2026'!$E$2=BO43),'2026DATA'!$J$25,"")</f>
        <v/>
      </c>
      <c r="BP66" s="518" t="str">
        <f>IF(AND(_4="A-321N",'2026'!$E$4="CA",'2026'!$E$2=BP43),'2026DATA'!$K$25,"")</f>
        <v/>
      </c>
      <c r="BQ66" s="518" t="str">
        <f>IF(AND(_4="A-321N",'2026'!$E$4="CA",'2026'!$E$2=BQ43),'2026DATA'!$L$25,"")</f>
        <v/>
      </c>
      <c r="BR66" s="518" t="str">
        <f>IF(AND(_4="A-321N",'2026'!$E$4="CA",'2026'!$E$2=BR43),'2026DATA'!$M$25,"")</f>
        <v/>
      </c>
      <c r="BS66" s="520" t="str">
        <f>IF(AND(_4="A-321N",'2026'!$E$4="CA",'2026'!$E$2=BS43),'2026DATA'!$N$25,"")</f>
        <v/>
      </c>
      <c r="BT66" s="940" t="s">
        <v>46</v>
      </c>
      <c r="BU66" s="13" t="s">
        <v>61</v>
      </c>
      <c r="BV66" s="518" t="str">
        <f>IF(AND(_5="A-321N",'2026'!$E$4="CA",'2026'!$E$2=BV43),'2026DATA'!$C$25,"")</f>
        <v/>
      </c>
      <c r="BW66" s="518" t="str">
        <f>IF(AND(_5="A-321N",'2026'!$E$4="CA",'2026'!$E$2=BW43),'2026DATA'!$D$25,"")</f>
        <v/>
      </c>
      <c r="BX66" s="518" t="str">
        <f>IF(AND(_5="A-321N",'2026'!$E$4="CA",'2026'!$E$2=BX43),'2026DATA'!$E$25,"")</f>
        <v/>
      </c>
      <c r="BY66" s="518" t="str">
        <f>IF(AND(_5="A-321N",'2026'!$E$4="CA",'2026'!$E$2=BY43),'2026DATA'!$F$25,"")</f>
        <v/>
      </c>
      <c r="BZ66" s="518" t="str">
        <f>IF(AND(_5="A-321N",'2026'!$E$4="CA",'2026'!$E$2=BZ43),'2026DATA'!$G$25,"")</f>
        <v/>
      </c>
      <c r="CA66" s="518" t="str">
        <f>IF(AND(_5="A-321N",'2026'!$E$4="CA",'2026'!$E$2=CA43),'2026DATA'!$H$25,"")</f>
        <v/>
      </c>
      <c r="CB66" s="518" t="str">
        <f>IF(AND(_5="A-321N",'2026'!$E$4="CA",'2026'!$E$2=CB43),'2026DATA'!$I$25,"")</f>
        <v/>
      </c>
      <c r="CC66" s="518" t="str">
        <f>IF(AND(_5="A-321N",'2026'!$E$4="CA",'2026'!$E$2=CC43),'2026DATA'!$J$25,"")</f>
        <v/>
      </c>
      <c r="CD66" s="518" t="str">
        <f>IF(AND(_5="A-321N",'2026'!$E$4="CA",'2026'!$E$2=CD43),'2026DATA'!$K$25,"")</f>
        <v/>
      </c>
      <c r="CE66" s="518" t="str">
        <f>IF(AND(_5="A-321N",'2026'!$E$4="CA",'2026'!$E$2=CE43),'2026DATA'!$L$25,"")</f>
        <v/>
      </c>
      <c r="CF66" s="518" t="str">
        <f>IF(AND(_5="A-321N",'2026'!$E$4="CA",'2026'!$E$2=CF43),'2026DATA'!$M$25,"")</f>
        <v/>
      </c>
      <c r="CG66" s="520" t="str">
        <f>IF(AND(_5="A-321N",'2026'!$E$4="CA",'2026'!$E$2=CG43),'2026DATA'!$N$25,"")</f>
        <v/>
      </c>
      <c r="CH66" s="940" t="s">
        <v>46</v>
      </c>
      <c r="CI66" s="13" t="s">
        <v>61</v>
      </c>
      <c r="CJ66" s="518" t="str">
        <f>IF(AND(_6="A-321N",'2026'!$E$4="CA",'2026'!$E$2=CJ43),'2026DATA'!$C$25,"")</f>
        <v/>
      </c>
      <c r="CK66" s="518" t="str">
        <f>IF(AND(_6="A-321N",'2026'!$E$4="CA",'2026'!$E$2=CK43),'2026DATA'!$D$25,"")</f>
        <v/>
      </c>
      <c r="CL66" s="518" t="str">
        <f>IF(AND(_6="A-321N",'2026'!$E$4="CA",'2026'!$E$2=CL43),'2026DATA'!$E$25,"")</f>
        <v/>
      </c>
      <c r="CM66" s="518" t="str">
        <f>IF(AND(_6="A-321N",'2026'!$E$4="CA",'2026'!$E$2=CM43),'2026DATA'!$F$25,"")</f>
        <v/>
      </c>
      <c r="CN66" s="518" t="str">
        <f>IF(AND(_6="A-321N",'2026'!$E$4="CA",'2026'!$E$2=CN43),'2026DATA'!$G$25,"")</f>
        <v/>
      </c>
      <c r="CO66" s="518" t="str">
        <f>IF(AND(_6="A-321N",'2026'!$E$4="CA",'2026'!$E$2=CO43),'2026DATA'!$H$25,"")</f>
        <v/>
      </c>
      <c r="CP66" s="518" t="str">
        <f>IF(AND(_6="A-321N",'2026'!$E$4="CA",'2026'!$E$2=CP43),'2026DATA'!$I$25,"")</f>
        <v/>
      </c>
      <c r="CQ66" s="518" t="str">
        <f>IF(AND(_6="A-321N",'2026'!$E$4="CA",'2026'!$E$2=CQ43),'2026DATA'!$J$25,"")</f>
        <v/>
      </c>
      <c r="CR66" s="518" t="str">
        <f>IF(AND(_6="A-321N",'2026'!$E$4="CA",'2026'!$E$2=CR43),'2026DATA'!$K$25,"")</f>
        <v/>
      </c>
      <c r="CS66" s="518" t="str">
        <f>IF(AND(_6="A-321N",'2026'!$E$4="CA",'2026'!$E$2=CS43),'2026DATA'!$L$25,"")</f>
        <v/>
      </c>
      <c r="CT66" s="518" t="str">
        <f>IF(AND(_6="A-321N",'2026'!$E$4="CA",'2026'!$E$2=CT43),'2026DATA'!$M$25,"")</f>
        <v/>
      </c>
      <c r="CU66" s="520" t="str">
        <f>IF(AND(_6="A-321N",'2026'!$E$4="CA",'2026'!$E$2=CU43),'2026DATA'!$N$25,"")</f>
        <v/>
      </c>
    </row>
    <row r="67" spans="16:99" x14ac:dyDescent="0.25">
      <c r="P67" s="940"/>
      <c r="Q67" s="13" t="s">
        <v>62</v>
      </c>
      <c r="R67" s="518" t="str">
        <f>IF(AND(_1="A-321N",'2026'!$E$4="FO",'2026'!$E$2=R43),'2026DATA'!$C$26,"")</f>
        <v/>
      </c>
      <c r="S67" s="518" t="str">
        <f>IF(AND(_1="A-321N",'2026'!$E$4="FO",'2026'!$E$2=S43),'2026DATA'!$D$26,"")</f>
        <v/>
      </c>
      <c r="T67" s="518" t="str">
        <f>IF(AND(_1="A-321N",'2026'!$E$4="FO",'2026'!$E$2=T43),'2026DATA'!$E$26,"")</f>
        <v/>
      </c>
      <c r="U67" s="518" t="str">
        <f>IF(AND(_1="A-321N",'2026'!$E$4="FO",'2026'!$E$2=U43),'2026DATA'!$F$26,"")</f>
        <v/>
      </c>
      <c r="V67" s="518" t="str">
        <f>IF(AND(_1="A-321N",'2026'!$E$4="FO",'2026'!$E$2=V43),'2026DATA'!$G$26,"")</f>
        <v/>
      </c>
      <c r="W67" s="518" t="str">
        <f>IF(AND(_1="A-321N",'2026'!$E$4="FO",'2026'!$E$2=W43),'2026DATA'!$H$26,"")</f>
        <v/>
      </c>
      <c r="X67" s="518" t="str">
        <f>IF(AND(_1="A-321N",'2026'!$E$4="FO",'2026'!$E$2=X43),'2026DATA'!$I$26,"")</f>
        <v/>
      </c>
      <c r="Y67" s="518" t="str">
        <f>IF(AND(_1="A-321N",'2026'!$E$4="FO",'2026'!$E$2=Y43),'2026DATA'!$J$26,"")</f>
        <v/>
      </c>
      <c r="Z67" s="518" t="str">
        <f>IF(AND(_1="A-321N",'2026'!$E$4="FO",'2026'!$E$2=Z43),'2026DATA'!$K$26,"")</f>
        <v/>
      </c>
      <c r="AA67" s="518" t="str">
        <f>IF(AND(_1="A-321N",'2026'!$E$4="FO",'2026'!$E$2=AA43),'2026DATA'!$L$26,"")</f>
        <v/>
      </c>
      <c r="AB67" s="518" t="str">
        <f>IF(AND(_1="A-321N",'2026'!$E$4="FO",'2026'!$E$2=AB43),'2026DATA'!$M$26,"")</f>
        <v/>
      </c>
      <c r="AC67" s="520" t="str">
        <f>IF(AND(_1="A-321N",'2026'!$E$4="FO",'2026'!$E$2=AC43),'2026DATA'!$N$26,"")</f>
        <v/>
      </c>
      <c r="AD67" s="940"/>
      <c r="AE67" s="13" t="s">
        <v>62</v>
      </c>
      <c r="AF67" s="518" t="str">
        <f>IF(AND(_2="A-321N",'2026'!$E$4="FO",'2026'!$E$2=AF43),'2026DATA'!$C$26,"")</f>
        <v/>
      </c>
      <c r="AG67" s="518" t="str">
        <f>IF(AND(_2="A-321N",'2026'!$E$4="FO",'2026'!$E$2=AG43),'2026DATA'!$D$26,"")</f>
        <v/>
      </c>
      <c r="AH67" s="518" t="str">
        <f>IF(AND(_2="A-321N",'2026'!$E$4="FO",'2026'!$E$2=AH43),'2026DATA'!$E$26,"")</f>
        <v/>
      </c>
      <c r="AI67" s="518" t="str">
        <f>IF(AND(_2="A-321N",'2026'!$E$4="FO",'2026'!$E$2=AI43),'2026DATA'!$F$26,"")</f>
        <v/>
      </c>
      <c r="AJ67" s="518" t="str">
        <f>IF(AND(_2="A-321N",'2026'!$E$4="FO",'2026'!$E$2=AJ43),'2026DATA'!$G$26,"")</f>
        <v/>
      </c>
      <c r="AK67" s="518" t="str">
        <f>IF(AND(_2="A-321N",'2026'!$E$4="FO",'2026'!$E$2=AK43),'2026DATA'!$H$26,"")</f>
        <v/>
      </c>
      <c r="AL67" s="518" t="str">
        <f>IF(AND(_2="A-321N",'2026'!$E$4="FO",'2026'!$E$2=AL43),'2026DATA'!$I$26,"")</f>
        <v/>
      </c>
      <c r="AM67" s="518" t="str">
        <f>IF(AND(_2="A-321N",'2026'!$E$4="FO",'2026'!$E$2=AM43),'2026DATA'!$J$26,"")</f>
        <v/>
      </c>
      <c r="AN67" s="518" t="str">
        <f>IF(AND(_2="A-321N",'2026'!$E$4="FO",'2026'!$E$2=AN43),'2026DATA'!$K$26,"")</f>
        <v/>
      </c>
      <c r="AO67" s="518" t="str">
        <f>IF(AND(_2="A-321N",'2026'!$E$4="FO",'2026'!$E$2=AO43),'2026DATA'!$L$26,"")</f>
        <v/>
      </c>
      <c r="AP67" s="518" t="str">
        <f>IF(AND(_2="A-321N",'2026'!$E$4="FO",'2026'!$E$2=AP43),'2026DATA'!$M$26,"")</f>
        <v/>
      </c>
      <c r="AQ67" s="520" t="str">
        <f>IF(AND(_2="A-321N",'2026'!$E$4="FO",'2026'!$E$2=AQ43),'2026DATA'!$N$26,"")</f>
        <v/>
      </c>
      <c r="AR67" s="940"/>
      <c r="AS67" s="13" t="s">
        <v>62</v>
      </c>
      <c r="AT67" s="518" t="str">
        <f>IF(AND(_3="A-321N",'2026'!$E$4="FO",'2026'!$E$2=AT43),'2026DATA'!$C$26,"")</f>
        <v/>
      </c>
      <c r="AU67" s="518" t="str">
        <f>IF(AND(_3="A-321N",'2026'!$E$4="FO",'2026'!$E$2=AU43),'2026DATA'!$D$26,"")</f>
        <v/>
      </c>
      <c r="AV67" s="518" t="str">
        <f>IF(AND(_3="A-321N",'2026'!$E$4="FO",'2026'!$E$2=AV43),'2026DATA'!$E$26,"")</f>
        <v/>
      </c>
      <c r="AW67" s="518" t="str">
        <f>IF(AND(_3="A-321N",'2026'!$E$4="FO",'2026'!$E$2=AW43),'2026DATA'!$F$26,"")</f>
        <v/>
      </c>
      <c r="AX67" s="518" t="str">
        <f>IF(AND(_3="A-321N",'2026'!$E$4="FO",'2026'!$E$2=AX43),'2026DATA'!$G$26,"")</f>
        <v/>
      </c>
      <c r="AY67" s="518" t="str">
        <f>IF(AND(_3="A-321N",'2026'!$E$4="FO",'2026'!$E$2=AY43),'2026DATA'!$H$26,"")</f>
        <v/>
      </c>
      <c r="AZ67" s="518" t="str">
        <f>IF(AND(_3="A-321N",'2026'!$E$4="FO",'2026'!$E$2=AZ43),'2026DATA'!$I$26,"")</f>
        <v/>
      </c>
      <c r="BA67" s="518" t="str">
        <f>IF(AND(_3="A-321N",'2026'!$E$4="FO",'2026'!$E$2=BA43),'2026DATA'!$J$26,"")</f>
        <v/>
      </c>
      <c r="BB67" s="518" t="str">
        <f>IF(AND(_3="A-321N",'2026'!$E$4="FO",'2026'!$E$2=BB43),'2026DATA'!$K$26,"")</f>
        <v/>
      </c>
      <c r="BC67" s="518" t="str">
        <f>IF(AND(_3="A-321N",'2026'!$E$4="FO",'2026'!$E$2=BC43),'2026DATA'!$L$26,"")</f>
        <v/>
      </c>
      <c r="BD67" s="518" t="str">
        <f>IF(AND(_3="A-321N",'2026'!$E$4="FO",'2026'!$E$2=BD43),'2026DATA'!$M$26,"")</f>
        <v/>
      </c>
      <c r="BE67" s="520" t="str">
        <f>IF(AND(_3="A-321N",'2026'!$E$4="FO",'2026'!$E$2=BE43),'2026DATA'!$N$26,"")</f>
        <v/>
      </c>
      <c r="BF67" s="940"/>
      <c r="BG67" s="13" t="s">
        <v>62</v>
      </c>
      <c r="BH67" s="518" t="str">
        <f>IF(AND(_4="A-321N",'2026'!$E$4="FO",'2026'!$E$2=BH43),'2026DATA'!$C$26,"")</f>
        <v/>
      </c>
      <c r="BI67" s="518" t="str">
        <f>IF(AND(_4="A-321N",'2026'!$E$4="FO",'2026'!$E$2=BI43),'2026DATA'!$D$26,"")</f>
        <v/>
      </c>
      <c r="BJ67" s="518" t="str">
        <f>IF(AND(_4="A-321N",'2026'!$E$4="FO",'2026'!$E$2=BJ43),'2026DATA'!$E$26,"")</f>
        <v/>
      </c>
      <c r="BK67" s="518" t="str">
        <f>IF(AND(_4="A-321N",'2026'!$E$4="FO",'2026'!$E$2=BK43),'2026DATA'!$F$26,"")</f>
        <v/>
      </c>
      <c r="BL67" s="518" t="str">
        <f>IF(AND(_4="A-321N",'2026'!$E$4="FO",'2026'!$E$2=BL43),'2026DATA'!$G$26,"")</f>
        <v/>
      </c>
      <c r="BM67" s="518" t="str">
        <f>IF(AND(_4="A-321N",'2026'!$E$4="FO",'2026'!$E$2=BM43),'2026DATA'!$H$26,"")</f>
        <v/>
      </c>
      <c r="BN67" s="518" t="str">
        <f>IF(AND(_4="A-321N",'2026'!$E$4="FO",'2026'!$E$2=BN43),'2026DATA'!$I$26,"")</f>
        <v/>
      </c>
      <c r="BO67" s="518" t="str">
        <f>IF(AND(_4="A-321N",'2026'!$E$4="FO",'2026'!$E$2=BO43),'2026DATA'!$J$26,"")</f>
        <v/>
      </c>
      <c r="BP67" s="518" t="str">
        <f>IF(AND(_4="A-321N",'2026'!$E$4="FO",'2026'!$E$2=BP43),'2026DATA'!$K$26,"")</f>
        <v/>
      </c>
      <c r="BQ67" s="518" t="str">
        <f>IF(AND(_4="A-321N",'2026'!$E$4="FO",'2026'!$E$2=BQ43),'2026DATA'!$L$26,"")</f>
        <v/>
      </c>
      <c r="BR67" s="518" t="str">
        <f>IF(AND(_4="A-321N",'2026'!$E$4="FO",'2026'!$E$2=BR43),'2026DATA'!$M$26,"")</f>
        <v/>
      </c>
      <c r="BS67" s="520" t="str">
        <f>IF(AND(_4="A-321N",'2026'!$E$4="FO",'2026'!$E$2=BS43),'2026DATA'!$N$26,"")</f>
        <v/>
      </c>
      <c r="BT67" s="940"/>
      <c r="BU67" s="13" t="s">
        <v>62</v>
      </c>
      <c r="BV67" s="518" t="str">
        <f>IF(AND(_5="A-321N",'2026'!$E$4="FO",'2026'!$E$2=BV43),'2026DATA'!$C$26,"")</f>
        <v/>
      </c>
      <c r="BW67" s="518" t="str">
        <f>IF(AND(_5="A-321N",'2026'!$E$4="FO",'2026'!$E$2=BW43),'2026DATA'!$D$26,"")</f>
        <v/>
      </c>
      <c r="BX67" s="518" t="str">
        <f>IF(AND(_5="A-321N",'2026'!$E$4="FO",'2026'!$E$2=BX43),'2026DATA'!$E$26,"")</f>
        <v/>
      </c>
      <c r="BY67" s="518" t="str">
        <f>IF(AND(_5="A-321N",'2026'!$E$4="FO",'2026'!$E$2=BY43),'2026DATA'!$F$26,"")</f>
        <v/>
      </c>
      <c r="BZ67" s="518" t="str">
        <f>IF(AND(_5="A-321N",'2026'!$E$4="FO",'2026'!$E$2=BZ43),'2026DATA'!$G$26,"")</f>
        <v/>
      </c>
      <c r="CA67" s="518" t="str">
        <f>IF(AND(_5="A-321N",'2026'!$E$4="FO",'2026'!$E$2=CA43),'2026DATA'!$H$26,"")</f>
        <v/>
      </c>
      <c r="CB67" s="518" t="str">
        <f>IF(AND(_5="A-321N",'2026'!$E$4="FO",'2026'!$E$2=CB43),'2026DATA'!$I$26,"")</f>
        <v/>
      </c>
      <c r="CC67" s="518" t="str">
        <f>IF(AND(_5="A-321N",'2026'!$E$4="FO",'2026'!$E$2=CC43),'2026DATA'!$J$26,"")</f>
        <v/>
      </c>
      <c r="CD67" s="518" t="str">
        <f>IF(AND(_5="A-321N",'2026'!$E$4="FO",'2026'!$E$2=CD43),'2026DATA'!$K$26,"")</f>
        <v/>
      </c>
      <c r="CE67" s="518" t="str">
        <f>IF(AND(_5="A-321N",'2026'!$E$4="FO",'2026'!$E$2=CE43),'2026DATA'!$L$26,"")</f>
        <v/>
      </c>
      <c r="CF67" s="518" t="str">
        <f>IF(AND(_5="A-321N",'2026'!$E$4="FO",'2026'!$E$2=CF43),'2026DATA'!$M$26,"")</f>
        <v/>
      </c>
      <c r="CG67" s="520" t="str">
        <f>IF(AND(_5="A-321N",'2026'!$E$4="FO",'2026'!$E$2=CG43),'2026DATA'!$N$26,"")</f>
        <v/>
      </c>
      <c r="CH67" s="940"/>
      <c r="CI67" s="13" t="s">
        <v>62</v>
      </c>
      <c r="CJ67" s="518" t="str">
        <f>IF(AND(_6="A-321N",'2026'!$E$4="FO",'2026'!$E$2=CJ43),'2026DATA'!$C$26,"")</f>
        <v/>
      </c>
      <c r="CK67" s="518" t="str">
        <f>IF(AND(_6="A-321N",'2026'!$E$4="FO",'2026'!$E$2=CK43),'2026DATA'!$D$26,"")</f>
        <v/>
      </c>
      <c r="CL67" s="518" t="str">
        <f>IF(AND(_6="A-321N",'2026'!$E$4="FO",'2026'!$E$2=CL43),'2026DATA'!$E$26,"")</f>
        <v/>
      </c>
      <c r="CM67" s="518" t="str">
        <f>IF(AND(_6="A-321N",'2026'!$E$4="FO",'2026'!$E$2=CM43),'2026DATA'!$F$26,"")</f>
        <v/>
      </c>
      <c r="CN67" s="518" t="str">
        <f>IF(AND(_6="A-321N",'2026'!$E$4="FO",'2026'!$E$2=CN43),'2026DATA'!$G$26,"")</f>
        <v/>
      </c>
      <c r="CO67" s="518" t="str">
        <f>IF(AND(_6="A-321N",'2026'!$E$4="FO",'2026'!$E$2=CO43),'2026DATA'!$H$26,"")</f>
        <v/>
      </c>
      <c r="CP67" s="518" t="str">
        <f>IF(AND(_6="A-321N",'2026'!$E$4="FO",'2026'!$E$2=CP43),'2026DATA'!$I$26,"")</f>
        <v/>
      </c>
      <c r="CQ67" s="518" t="str">
        <f>IF(AND(_6="A-321N",'2026'!$E$4="FO",'2026'!$E$2=CQ43),'2026DATA'!$J$26,"")</f>
        <v/>
      </c>
      <c r="CR67" s="518" t="str">
        <f>IF(AND(_6="A-321N",'2026'!$E$4="FO",'2026'!$E$2=CR43),'2026DATA'!$K$26,"")</f>
        <v/>
      </c>
      <c r="CS67" s="518" t="str">
        <f>IF(AND(_6="A-321N",'2026'!$E$4="FO",'2026'!$E$2=CS43),'2026DATA'!$L$26,"")</f>
        <v/>
      </c>
      <c r="CT67" s="518" t="str">
        <f>IF(AND(_6="A-321N",'2026'!$E$4="FO",'2026'!$E$2=CT43),'2026DATA'!$M$26,"")</f>
        <v/>
      </c>
      <c r="CU67" s="520" t="str">
        <f>IF(AND(_6="A-321N",'2026'!$E$4="FO",'2026'!$E$2=CU43),'2026DATA'!$N$26,"")</f>
        <v/>
      </c>
    </row>
    <row r="68" spans="16:99" x14ac:dyDescent="0.25">
      <c r="P68" s="940" t="s">
        <v>48</v>
      </c>
      <c r="Q68" s="13" t="s">
        <v>61</v>
      </c>
      <c r="R68" s="518" t="str">
        <f>IF(AND(_1="A-321",'2026'!$E$4="CA",'2026'!$E$2=R43),'2026DATA'!$C$27,"")</f>
        <v/>
      </c>
      <c r="S68" s="518" t="str">
        <f>IF(AND(_1="A-321",'2026'!$E$4="CA",'2026'!$E$2=S43),'2026DATA'!$D$27,"")</f>
        <v/>
      </c>
      <c r="T68" s="518" t="str">
        <f>IF(AND(_1="A-321",'2026'!$E$4="CA",'2026'!$E$2=T43),'2026DATA'!$E$27,"")</f>
        <v/>
      </c>
      <c r="U68" s="518" t="str">
        <f>IF(AND(_1="A-321",'2026'!$E$4="CA",'2026'!$E$2=U43),'2026DATA'!$F$27,"")</f>
        <v/>
      </c>
      <c r="V68" s="518" t="str">
        <f>IF(AND(_1="A-321",'2026'!$E$4="CA",'2026'!$E$2=V43),'2026DATA'!$G$27,"")</f>
        <v/>
      </c>
      <c r="W68" s="518" t="str">
        <f>IF(AND(_1="A-321",'2026'!$E$4="CA",'2026'!$E$2=W43),'2026DATA'!$H$27,"")</f>
        <v/>
      </c>
      <c r="X68" s="518" t="str">
        <f>IF(AND(_1="A-321",'2026'!$E$4="CA",'2026'!$E$2=X43),'2026DATA'!$I$27,"")</f>
        <v/>
      </c>
      <c r="Y68" s="518" t="str">
        <f>IF(AND(_1="A-321",'2026'!$E$4="CA",'2026'!$E$2=Y43),'2026DATA'!$J$27,"")</f>
        <v/>
      </c>
      <c r="Z68" s="518" t="str">
        <f>IF(AND(_1="A-321",'2026'!$E$4="CA",'2026'!$E$2=Z43),'2026DATA'!$K$27,"")</f>
        <v/>
      </c>
      <c r="AA68" s="518" t="str">
        <f>IF(AND(_1="A-321",'2026'!$E$4="CA",'2026'!$E$2=AA43),'2026DATA'!$L$27,"")</f>
        <v/>
      </c>
      <c r="AB68" s="518" t="str">
        <f>IF(AND(_1="A-321",'2026'!$E$4="CA",'2026'!$E$2=AB43),'2026DATA'!$M$27,"")</f>
        <v/>
      </c>
      <c r="AC68" s="520" t="str">
        <f>IF(AND(_1="A-321",'2026'!$E$4="CA",'2026'!$E$2=AC43),'2026DATA'!$N$27,"")</f>
        <v/>
      </c>
      <c r="AD68" s="940" t="s">
        <v>48</v>
      </c>
      <c r="AE68" s="13" t="s">
        <v>61</v>
      </c>
      <c r="AF68" s="518" t="str">
        <f>IF(AND(_2="A-321",'2026'!$E$4="CA",'2026'!$E$2=AF43),'2026DATA'!$C$27,"")</f>
        <v/>
      </c>
      <c r="AG68" s="518" t="str">
        <f>IF(AND(_2="A-321",'2026'!$E$4="CA",'2026'!$E$2=AG43),'2026DATA'!$D$27,"")</f>
        <v/>
      </c>
      <c r="AH68" s="518" t="str">
        <f>IF(AND(_2="A-321",'2026'!$E$4="CA",'2026'!$E$2=AH43),'2026DATA'!$E$27,"")</f>
        <v/>
      </c>
      <c r="AI68" s="518" t="str">
        <f>IF(AND(_2="A-321",'2026'!$E$4="CA",'2026'!$E$2=AI43),'2026DATA'!$F$27,"")</f>
        <v/>
      </c>
      <c r="AJ68" s="518" t="str">
        <f>IF(AND(_2="A-321",'2026'!$E$4="CA",'2026'!$E$2=AJ43),'2026DATA'!$G$27,"")</f>
        <v/>
      </c>
      <c r="AK68" s="518" t="str">
        <f>IF(AND(_2="A-321",'2026'!$E$4="CA",'2026'!$E$2=AK43),'2026DATA'!$H$27,"")</f>
        <v/>
      </c>
      <c r="AL68" s="518" t="str">
        <f>IF(AND(_2="A-321",'2026'!$E$4="CA",'2026'!$E$2=AL43),'2026DATA'!$I$27,"")</f>
        <v/>
      </c>
      <c r="AM68" s="518" t="str">
        <f>IF(AND(_2="A-321",'2026'!$E$4="CA",'2026'!$E$2=AM43),'2026DATA'!$J$27,"")</f>
        <v/>
      </c>
      <c r="AN68" s="518" t="str">
        <f>IF(AND(_2="A-321",'2026'!$E$4="CA",'2026'!$E$2=AN43),'2026DATA'!$K$27,"")</f>
        <v/>
      </c>
      <c r="AO68" s="518" t="str">
        <f>IF(AND(_2="A-321",'2026'!$E$4="CA",'2026'!$E$2=AO43),'2026DATA'!$L$27,"")</f>
        <v/>
      </c>
      <c r="AP68" s="518" t="str">
        <f>IF(AND(_2="A-321",'2026'!$E$4="CA",'2026'!$E$2=AP43),'2026DATA'!$M$27,"")</f>
        <v/>
      </c>
      <c r="AQ68" s="520" t="str">
        <f>IF(AND(_2="A-321",'2026'!$E$4="CA",'2026'!$E$2=AQ43),'2026DATA'!$N$27,"")</f>
        <v/>
      </c>
      <c r="AR68" s="940" t="s">
        <v>48</v>
      </c>
      <c r="AS68" s="13" t="s">
        <v>61</v>
      </c>
      <c r="AT68" s="518" t="str">
        <f>IF(AND(_3="A-321",'2026'!$E$4="CA",'2026'!$E$2=AT43),'2026DATA'!$C$27,"")</f>
        <v/>
      </c>
      <c r="AU68" s="518" t="str">
        <f>IF(AND(_3="A-321",'2026'!$E$4="CA",'2026'!$E$2=AU43),'2026DATA'!$D$27,"")</f>
        <v/>
      </c>
      <c r="AV68" s="518" t="str">
        <f>IF(AND(_3="A-321",'2026'!$E$4="CA",'2026'!$E$2=AV43),'2026DATA'!$E$27,"")</f>
        <v/>
      </c>
      <c r="AW68" s="518" t="str">
        <f>IF(AND(_3="A-321",'2026'!$E$4="CA",'2026'!$E$2=AW43),'2026DATA'!$F$27,"")</f>
        <v/>
      </c>
      <c r="AX68" s="518" t="str">
        <f>IF(AND(_3="A-321",'2026'!$E$4="CA",'2026'!$E$2=AX43),'2026DATA'!$G$27,"")</f>
        <v/>
      </c>
      <c r="AY68" s="518" t="str">
        <f>IF(AND(_3="A-321",'2026'!$E$4="CA",'2026'!$E$2=AY43),'2026DATA'!$H$27,"")</f>
        <v/>
      </c>
      <c r="AZ68" s="518" t="str">
        <f>IF(AND(_3="A-321",'2026'!$E$4="CA",'2026'!$E$2=AZ43),'2026DATA'!$I$27,"")</f>
        <v/>
      </c>
      <c r="BA68" s="518" t="str">
        <f>IF(AND(_3="A-321",'2026'!$E$4="CA",'2026'!$E$2=BA43),'2026DATA'!$J$27,"")</f>
        <v/>
      </c>
      <c r="BB68" s="518" t="str">
        <f>IF(AND(_3="A-321",'2026'!$E$4="CA",'2026'!$E$2=BB43),'2026DATA'!$K$27,"")</f>
        <v/>
      </c>
      <c r="BC68" s="518" t="str">
        <f>IF(AND(_3="A-321",'2026'!$E$4="CA",'2026'!$E$2=BC43),'2026DATA'!$L$27,"")</f>
        <v/>
      </c>
      <c r="BD68" s="518" t="str">
        <f>IF(AND(_3="A-321",'2026'!$E$4="CA",'2026'!$E$2=BD43),'2026DATA'!$M$27,"")</f>
        <v/>
      </c>
      <c r="BE68" s="520" t="str">
        <f>IF(AND(_3="A-321",'2026'!$E$4="CA",'2026'!$E$2=BE43),'2026DATA'!$N$27,"")</f>
        <v/>
      </c>
      <c r="BF68" s="940" t="s">
        <v>48</v>
      </c>
      <c r="BG68" s="13" t="s">
        <v>61</v>
      </c>
      <c r="BH68" s="518" t="str">
        <f>IF(AND(_4="A-321",'2026'!$E$4="CA",'2026'!$E$2=BH43),'2026DATA'!$C$27,"")</f>
        <v/>
      </c>
      <c r="BI68" s="518" t="str">
        <f>IF(AND(_4="A-321",'2026'!$E$4="CA",'2026'!$E$2=BI43),'2026DATA'!$D$27,"")</f>
        <v/>
      </c>
      <c r="BJ68" s="518" t="str">
        <f>IF(AND(_4="A-321",'2026'!$E$4="CA",'2026'!$E$2=BJ43),'2026DATA'!$E$27,"")</f>
        <v/>
      </c>
      <c r="BK68" s="518" t="str">
        <f>IF(AND(_4="A-321",'2026'!$E$4="CA",'2026'!$E$2=BK43),'2026DATA'!$F$27,"")</f>
        <v/>
      </c>
      <c r="BL68" s="518" t="str">
        <f>IF(AND(_4="A-321",'2026'!$E$4="CA",'2026'!$E$2=BL43),'2026DATA'!$G$27,"")</f>
        <v/>
      </c>
      <c r="BM68" s="518" t="str">
        <f>IF(AND(_4="A-321",'2026'!$E$4="CA",'2026'!$E$2=BM43),'2026DATA'!$H$27,"")</f>
        <v/>
      </c>
      <c r="BN68" s="518" t="str">
        <f>IF(AND(_4="A-321",'2026'!$E$4="CA",'2026'!$E$2=BN43),'2026DATA'!$I$27,"")</f>
        <v/>
      </c>
      <c r="BO68" s="518" t="str">
        <f>IF(AND(_4="A-321",'2026'!$E$4="CA",'2026'!$E$2=BO43),'2026DATA'!$J$27,"")</f>
        <v/>
      </c>
      <c r="BP68" s="518" t="str">
        <f>IF(AND(_4="A-321",'2026'!$E$4="CA",'2026'!$E$2=BP43),'2026DATA'!$K$27,"")</f>
        <v/>
      </c>
      <c r="BQ68" s="518" t="str">
        <f>IF(AND(_4="A-321",'2026'!$E$4="CA",'2026'!$E$2=BQ43),'2026DATA'!$L$27,"")</f>
        <v/>
      </c>
      <c r="BR68" s="518" t="str">
        <f>IF(AND(_4="A-321",'2026'!$E$4="CA",'2026'!$E$2=BR43),'2026DATA'!$M$27,"")</f>
        <v/>
      </c>
      <c r="BS68" s="520" t="str">
        <f>IF(AND(_4="A-321",'2026'!$E$4="CA",'2026'!$E$2=BS43),'2026DATA'!$N$27,"")</f>
        <v/>
      </c>
      <c r="BT68" s="940" t="s">
        <v>48</v>
      </c>
      <c r="BU68" s="13" t="s">
        <v>61</v>
      </c>
      <c r="BV68" s="518" t="str">
        <f>IF(AND(_5="A-321",'2026'!$E$4="CA",'2026'!$E$2=BV43),'2026DATA'!$C$27,"")</f>
        <v/>
      </c>
      <c r="BW68" s="518" t="str">
        <f>IF(AND(_5="A-321",'2026'!$E$4="CA",'2026'!$E$2=BW43),'2026DATA'!$D$27,"")</f>
        <v/>
      </c>
      <c r="BX68" s="518" t="str">
        <f>IF(AND(_5="A-321",'2026'!$E$4="CA",'2026'!$E$2=BX43),'2026DATA'!$E$27,"")</f>
        <v/>
      </c>
      <c r="BY68" s="518" t="str">
        <f>IF(AND(_5="A-321",'2026'!$E$4="CA",'2026'!$E$2=BY43),'2026DATA'!$F$27,"")</f>
        <v/>
      </c>
      <c r="BZ68" s="518" t="str">
        <f>IF(AND(_5="A-321",'2026'!$E$4="CA",'2026'!$E$2=BZ43),'2026DATA'!$G$27,"")</f>
        <v/>
      </c>
      <c r="CA68" s="518" t="str">
        <f>IF(AND(_5="A-321",'2026'!$E$4="CA",'2026'!$E$2=CA43),'2026DATA'!$H$27,"")</f>
        <v/>
      </c>
      <c r="CB68" s="518" t="str">
        <f>IF(AND(_5="A-321",'2026'!$E$4="CA",'2026'!$E$2=CB43),'2026DATA'!$I$27,"")</f>
        <v/>
      </c>
      <c r="CC68" s="518" t="str">
        <f>IF(AND(_5="A-321",'2026'!$E$4="CA",'2026'!$E$2=CC43),'2026DATA'!$J$27,"")</f>
        <v/>
      </c>
      <c r="CD68" s="518" t="str">
        <f>IF(AND(_5="A-321",'2026'!$E$4="CA",'2026'!$E$2=CD43),'2026DATA'!$K$27,"")</f>
        <v/>
      </c>
      <c r="CE68" s="518" t="str">
        <f>IF(AND(_5="A-321",'2026'!$E$4="CA",'2026'!$E$2=CE43),'2026DATA'!$L$27,"")</f>
        <v/>
      </c>
      <c r="CF68" s="518" t="str">
        <f>IF(AND(_5="A-321",'2026'!$E$4="CA",'2026'!$E$2=CF43),'2026DATA'!$M$27,"")</f>
        <v/>
      </c>
      <c r="CG68" s="520" t="str">
        <f>IF(AND(_5="A-321",'2026'!$E$4="CA",'2026'!$E$2=CG43),'2026DATA'!$N$27,"")</f>
        <v/>
      </c>
      <c r="CH68" s="940" t="s">
        <v>48</v>
      </c>
      <c r="CI68" s="13" t="s">
        <v>61</v>
      </c>
      <c r="CJ68" s="518" t="str">
        <f>IF(AND(_6="A-321",'2026'!$E$4="CA",'2026'!$E$2=CJ43),'2026DATA'!$C$27,"")</f>
        <v/>
      </c>
      <c r="CK68" s="518" t="str">
        <f>IF(AND(_6="A-321",'2026'!$E$4="CA",'2026'!$E$2=CK43),'2026DATA'!$D$27,"")</f>
        <v/>
      </c>
      <c r="CL68" s="518" t="str">
        <f>IF(AND(_6="A-321",'2026'!$E$4="CA",'2026'!$E$2=CL43),'2026DATA'!$E$27,"")</f>
        <v/>
      </c>
      <c r="CM68" s="518" t="str">
        <f>IF(AND(_6="A-321",'2026'!$E$4="CA",'2026'!$E$2=CM43),'2026DATA'!$F$27,"")</f>
        <v/>
      </c>
      <c r="CN68" s="518" t="str">
        <f>IF(AND(_6="A-321",'2026'!$E$4="CA",'2026'!$E$2=CN43),'2026DATA'!$G$27,"")</f>
        <v/>
      </c>
      <c r="CO68" s="518" t="str">
        <f>IF(AND(_6="A-321",'2026'!$E$4="CA",'2026'!$E$2=CO43),'2026DATA'!$H$27,"")</f>
        <v/>
      </c>
      <c r="CP68" s="518" t="str">
        <f>IF(AND(_6="A-321",'2026'!$E$4="CA",'2026'!$E$2=CP43),'2026DATA'!$I$27,"")</f>
        <v/>
      </c>
      <c r="CQ68" s="518" t="str">
        <f>IF(AND(_6="A-321",'2026'!$E$4="CA",'2026'!$E$2=CQ43),'2026DATA'!$J$27,"")</f>
        <v/>
      </c>
      <c r="CR68" s="518" t="str">
        <f>IF(AND(_6="A-321",'2026'!$E$4="CA",'2026'!$E$2=CR43),'2026DATA'!$K$27,"")</f>
        <v/>
      </c>
      <c r="CS68" s="518" t="str">
        <f>IF(AND(_6="A-321",'2026'!$E$4="CA",'2026'!$E$2=CS43),'2026DATA'!$L$27,"")</f>
        <v/>
      </c>
      <c r="CT68" s="518" t="str">
        <f>IF(AND(_6="A-321",'2026'!$E$4="CA",'2026'!$E$2=CT43),'2026DATA'!$M$27,"")</f>
        <v/>
      </c>
      <c r="CU68" s="520" t="str">
        <f>IF(AND(_6="A-321",'2026'!$E$4="CA",'2026'!$E$2=CU43),'2026DATA'!$N$27,"")</f>
        <v/>
      </c>
    </row>
    <row r="69" spans="16:99" x14ac:dyDescent="0.25">
      <c r="P69" s="940"/>
      <c r="Q69" s="13" t="s">
        <v>62</v>
      </c>
      <c r="R69" s="518" t="str">
        <f>IF(AND(_1="A-321",'2026'!$E$4="FO",'2026'!$E$2=R43),'2026DATA'!$C$28,"")</f>
        <v/>
      </c>
      <c r="S69" s="518" t="str">
        <f>IF(AND(_1="A-321",'2026'!$E$4="FO",'2026'!$E$2=S43),'2026DATA'!$D$28,"")</f>
        <v/>
      </c>
      <c r="T69" s="518" t="str">
        <f>IF(AND(_1="A-321",'2026'!$E$4="FO",'2026'!$E$2=T43),'2026DATA'!$E$28,"")</f>
        <v/>
      </c>
      <c r="U69" s="518" t="str">
        <f>IF(AND(_1="A-321",'2026'!$E$4="FO",'2026'!$E$2=U43),'2026DATA'!$F$28,"")</f>
        <v/>
      </c>
      <c r="V69" s="518" t="str">
        <f>IF(AND(_1="A-321",'2026'!$E$4="FO",'2026'!$E$2=V43),'2026DATA'!$G$28,"")</f>
        <v/>
      </c>
      <c r="W69" s="518" t="str">
        <f>IF(AND(_1="A-321",'2026'!$E$4="FO",'2026'!$E$2=W43),'2026DATA'!$H$28,"")</f>
        <v/>
      </c>
      <c r="X69" s="518" t="str">
        <f>IF(AND(_1="A-321",'2026'!$E$4="FO",'2026'!$E$2=X43),'2026DATA'!$I$28,"")</f>
        <v/>
      </c>
      <c r="Y69" s="518" t="str">
        <f>IF(AND(_1="A-321",'2026'!$E$4="FO",'2026'!$E$2=Y43),'2026DATA'!$J$28,"")</f>
        <v/>
      </c>
      <c r="Z69" s="518" t="str">
        <f>IF(AND(_1="A-321",'2026'!$E$4="FO",'2026'!$E$2=Z43),'2026DATA'!$K$28,"")</f>
        <v/>
      </c>
      <c r="AA69" s="518" t="str">
        <f>IF(AND(_1="A-321",'2026'!$E$4="FO",'2026'!$E$2=AA43),'2026DATA'!$L$28,"")</f>
        <v/>
      </c>
      <c r="AB69" s="518" t="str">
        <f>IF(AND(_1="A-321",'2026'!$E$4="FO",'2026'!$E$2=AB43),'2026DATA'!$M$28,"")</f>
        <v/>
      </c>
      <c r="AC69" s="520" t="str">
        <f>IF(AND(_1="A-321",'2026'!$E$4="FO",'2026'!$E$2=AC43),'2026DATA'!$N$28,"")</f>
        <v/>
      </c>
      <c r="AD69" s="940"/>
      <c r="AE69" s="13" t="s">
        <v>62</v>
      </c>
      <c r="AF69" s="518" t="str">
        <f>IF(AND(_2="A-321",'2026'!$E$4="FO",'2026'!$E$2=AF43),'2026DATA'!$C$28,"")</f>
        <v/>
      </c>
      <c r="AG69" s="518" t="str">
        <f>IF(AND(_2="A-321",'2026'!$E$4="FO",'2026'!$E$2=AG43),'2026DATA'!$D$28,"")</f>
        <v/>
      </c>
      <c r="AH69" s="518" t="str">
        <f>IF(AND(_2="A-321",'2026'!$E$4="FO",'2026'!$E$2=AH43),'2026DATA'!$E$28,"")</f>
        <v/>
      </c>
      <c r="AI69" s="518" t="str">
        <f>IF(AND(_2="A-321",'2026'!$E$4="FO",'2026'!$E$2=AI43),'2026DATA'!$F$28,"")</f>
        <v/>
      </c>
      <c r="AJ69" s="518" t="str">
        <f>IF(AND(_2="A-321",'2026'!$E$4="FO",'2026'!$E$2=AJ43),'2026DATA'!$G$28,"")</f>
        <v/>
      </c>
      <c r="AK69" s="518" t="str">
        <f>IF(AND(_2="A-321",'2026'!$E$4="FO",'2026'!$E$2=AK43),'2026DATA'!$H$28,"")</f>
        <v/>
      </c>
      <c r="AL69" s="518" t="str">
        <f>IF(AND(_2="A-321",'2026'!$E$4="FO",'2026'!$E$2=AL43),'2026DATA'!$I$28,"")</f>
        <v/>
      </c>
      <c r="AM69" s="518" t="str">
        <f>IF(AND(_2="A-321",'2026'!$E$4="FO",'2026'!$E$2=AM43),'2026DATA'!$J$28,"")</f>
        <v/>
      </c>
      <c r="AN69" s="518" t="str">
        <f>IF(AND(_2="A-321",'2026'!$E$4="FO",'2026'!$E$2=AN43),'2026DATA'!$K$28,"")</f>
        <v/>
      </c>
      <c r="AO69" s="518" t="str">
        <f>IF(AND(_2="A-321",'2026'!$E$4="FO",'2026'!$E$2=AO43),'2026DATA'!$L$28,"")</f>
        <v/>
      </c>
      <c r="AP69" s="518" t="str">
        <f>IF(AND(_2="A-321",'2026'!$E$4="FO",'2026'!$E$2=AP43),'2026DATA'!$M$28,"")</f>
        <v/>
      </c>
      <c r="AQ69" s="520" t="str">
        <f>IF(AND(_2="A-321",'2026'!$E$4="FO",'2026'!$E$2=AQ43),'2026DATA'!$N$28,"")</f>
        <v/>
      </c>
      <c r="AR69" s="940"/>
      <c r="AS69" s="13" t="s">
        <v>62</v>
      </c>
      <c r="AT69" s="518" t="str">
        <f>IF(AND(_3="A-321",'2026'!$E$4="FO",'2026'!$E$2=AT43),'2026DATA'!$C$28,"")</f>
        <v/>
      </c>
      <c r="AU69" s="518" t="str">
        <f>IF(AND(_3="A-321",'2026'!$E$4="FO",'2026'!$E$2=AU43),'2026DATA'!$D$28,"")</f>
        <v/>
      </c>
      <c r="AV69" s="518" t="str">
        <f>IF(AND(_3="A-321",'2026'!$E$4="FO",'2026'!$E$2=AV43),'2026DATA'!$E$28,"")</f>
        <v/>
      </c>
      <c r="AW69" s="518" t="str">
        <f>IF(AND(_3="A-321",'2026'!$E$4="FO",'2026'!$E$2=AW43),'2026DATA'!$F$28,"")</f>
        <v/>
      </c>
      <c r="AX69" s="518" t="str">
        <f>IF(AND(_3="A-321",'2026'!$E$4="FO",'2026'!$E$2=AX43),'2026DATA'!$G$28,"")</f>
        <v/>
      </c>
      <c r="AY69" s="518" t="str">
        <f>IF(AND(_3="A-321",'2026'!$E$4="FO",'2026'!$E$2=AY43),'2026DATA'!$H$28,"")</f>
        <v/>
      </c>
      <c r="AZ69" s="518" t="str">
        <f>IF(AND(_3="A-321",'2026'!$E$4="FO",'2026'!$E$2=AZ43),'2026DATA'!$I$28,"")</f>
        <v/>
      </c>
      <c r="BA69" s="518" t="str">
        <f>IF(AND(_3="A-321",'2026'!$E$4="FO",'2026'!$E$2=BA43),'2026DATA'!$J$28,"")</f>
        <v/>
      </c>
      <c r="BB69" s="518" t="str">
        <f>IF(AND(_3="A-321",'2026'!$E$4="FO",'2026'!$E$2=BB43),'2026DATA'!$K$28,"")</f>
        <v/>
      </c>
      <c r="BC69" s="518" t="str">
        <f>IF(AND(_3="A-321",'2026'!$E$4="FO",'2026'!$E$2=BC43),'2026DATA'!$L$28,"")</f>
        <v/>
      </c>
      <c r="BD69" s="518" t="str">
        <f>IF(AND(_3="A-321",'2026'!$E$4="FO",'2026'!$E$2=BD43),'2026DATA'!$M$28,"")</f>
        <v/>
      </c>
      <c r="BE69" s="520" t="str">
        <f>IF(AND(_3="A-321",'2026'!$E$4="FO",'2026'!$E$2=BE43),'2026DATA'!$N$28,"")</f>
        <v/>
      </c>
      <c r="BF69" s="940"/>
      <c r="BG69" s="13" t="s">
        <v>62</v>
      </c>
      <c r="BH69" s="518" t="str">
        <f>IF(AND(_4="A-321",'2026'!$E$4="FO",'2026'!$E$2=BH43),'2026DATA'!$C$28,"")</f>
        <v/>
      </c>
      <c r="BI69" s="518" t="str">
        <f>IF(AND(_4="A-321",'2026'!$E$4="FO",'2026'!$E$2=BI43),'2026DATA'!$D$28,"")</f>
        <v/>
      </c>
      <c r="BJ69" s="518" t="str">
        <f>IF(AND(_4="A-321",'2026'!$E$4="FO",'2026'!$E$2=BJ43),'2026DATA'!$E$28,"")</f>
        <v/>
      </c>
      <c r="BK69" s="518" t="str">
        <f>IF(AND(_4="A-321",'2026'!$E$4="FO",'2026'!$E$2=BK43),'2026DATA'!$F$28,"")</f>
        <v/>
      </c>
      <c r="BL69" s="518" t="str">
        <f>IF(AND(_4="A-321",'2026'!$E$4="FO",'2026'!$E$2=BL43),'2026DATA'!$G$28,"")</f>
        <v/>
      </c>
      <c r="BM69" s="518" t="str">
        <f>IF(AND(_4="A-321",'2026'!$E$4="FO",'2026'!$E$2=BM43),'2026DATA'!$H$28,"")</f>
        <v/>
      </c>
      <c r="BN69" s="518" t="str">
        <f>IF(AND(_4="A-321",'2026'!$E$4="FO",'2026'!$E$2=BN43),'2026DATA'!$I$28,"")</f>
        <v/>
      </c>
      <c r="BO69" s="518" t="str">
        <f>IF(AND(_4="A-321",'2026'!$E$4="FO",'2026'!$E$2=BO43),'2026DATA'!$J$28,"")</f>
        <v/>
      </c>
      <c r="BP69" s="518" t="str">
        <f>IF(AND(_4="A-321",'2026'!$E$4="FO",'2026'!$E$2=BP43),'2026DATA'!$K$28,"")</f>
        <v/>
      </c>
      <c r="BQ69" s="518" t="str">
        <f>IF(AND(_4="A-321",'2026'!$E$4="FO",'2026'!$E$2=BQ43),'2026DATA'!$L$28,"")</f>
        <v/>
      </c>
      <c r="BR69" s="518" t="str">
        <f>IF(AND(_4="A-321",'2026'!$E$4="FO",'2026'!$E$2=BR43),'2026DATA'!$M$28,"")</f>
        <v/>
      </c>
      <c r="BS69" s="520" t="str">
        <f>IF(AND(_4="A-321",'2026'!$E$4="FO",'2026'!$E$2=BS43),'2026DATA'!$N$28,"")</f>
        <v/>
      </c>
      <c r="BT69" s="940"/>
      <c r="BU69" s="13" t="s">
        <v>62</v>
      </c>
      <c r="BV69" s="518" t="str">
        <f>IF(AND(_5="A-321",'2026'!$E$4="FO",'2026'!$E$2=BV43),'2026DATA'!$C$28,"")</f>
        <v/>
      </c>
      <c r="BW69" s="518" t="str">
        <f>IF(AND(_5="A-321",'2026'!$E$4="FO",'2026'!$E$2=BW43),'2026DATA'!$D$28,"")</f>
        <v/>
      </c>
      <c r="BX69" s="518" t="str">
        <f>IF(AND(_5="A-321",'2026'!$E$4="FO",'2026'!$E$2=BX43),'2026DATA'!$E$28,"")</f>
        <v/>
      </c>
      <c r="BY69" s="518" t="str">
        <f>IF(AND(_5="A-321",'2026'!$E$4="FO",'2026'!$E$2=BY43),'2026DATA'!$F$28,"")</f>
        <v/>
      </c>
      <c r="BZ69" s="518" t="str">
        <f>IF(AND(_5="A-321",'2026'!$E$4="FO",'2026'!$E$2=BZ43),'2026DATA'!$G$28,"")</f>
        <v/>
      </c>
      <c r="CA69" s="518" t="str">
        <f>IF(AND(_5="A-321",'2026'!$E$4="FO",'2026'!$E$2=CA43),'2026DATA'!$H$28,"")</f>
        <v/>
      </c>
      <c r="CB69" s="518" t="str">
        <f>IF(AND(_5="A-321",'2026'!$E$4="FO",'2026'!$E$2=CB43),'2026DATA'!$I$28,"")</f>
        <v/>
      </c>
      <c r="CC69" s="518" t="str">
        <f>IF(AND(_5="A-321",'2026'!$E$4="FO",'2026'!$E$2=CC43),'2026DATA'!$J$28,"")</f>
        <v/>
      </c>
      <c r="CD69" s="518" t="str">
        <f>IF(AND(_5="A-321",'2026'!$E$4="FO",'2026'!$E$2=CD43),'2026DATA'!$K$28,"")</f>
        <v/>
      </c>
      <c r="CE69" s="518" t="str">
        <f>IF(AND(_5="A-321",'2026'!$E$4="FO",'2026'!$E$2=CE43),'2026DATA'!$L$28,"")</f>
        <v/>
      </c>
      <c r="CF69" s="518" t="str">
        <f>IF(AND(_5="A-321",'2026'!$E$4="FO",'2026'!$E$2=CF43),'2026DATA'!$M$28,"")</f>
        <v/>
      </c>
      <c r="CG69" s="520" t="str">
        <f>IF(AND(_5="A-321",'2026'!$E$4="FO",'2026'!$E$2=CG43),'2026DATA'!$N$28,"")</f>
        <v/>
      </c>
      <c r="CH69" s="940"/>
      <c r="CI69" s="13" t="s">
        <v>62</v>
      </c>
      <c r="CJ69" s="518" t="str">
        <f>IF(AND(_6="A-321",'2026'!$E$4="FO",'2026'!$E$2=CJ43),'2026DATA'!$C$28,"")</f>
        <v/>
      </c>
      <c r="CK69" s="518" t="str">
        <f>IF(AND(_6="A-321",'2026'!$E$4="FO",'2026'!$E$2=CK43),'2026DATA'!$D$28,"")</f>
        <v/>
      </c>
      <c r="CL69" s="518" t="str">
        <f>IF(AND(_6="A-321",'2026'!$E$4="FO",'2026'!$E$2=CL43),'2026DATA'!$E$28,"")</f>
        <v/>
      </c>
      <c r="CM69" s="518" t="str">
        <f>IF(AND(_6="A-321",'2026'!$E$4="FO",'2026'!$E$2=CM43),'2026DATA'!$F$28,"")</f>
        <v/>
      </c>
      <c r="CN69" s="518" t="str">
        <f>IF(AND(_6="A-321",'2026'!$E$4="FO",'2026'!$E$2=CN43),'2026DATA'!$G$28,"")</f>
        <v/>
      </c>
      <c r="CO69" s="518" t="str">
        <f>IF(AND(_6="A-321",'2026'!$E$4="FO",'2026'!$E$2=CO43),'2026DATA'!$H$28,"")</f>
        <v/>
      </c>
      <c r="CP69" s="518" t="str">
        <f>IF(AND(_6="A-321",'2026'!$E$4="FO",'2026'!$E$2=CP43),'2026DATA'!$I$28,"")</f>
        <v/>
      </c>
      <c r="CQ69" s="518" t="str">
        <f>IF(AND(_6="A-321",'2026'!$E$4="FO",'2026'!$E$2=CQ43),'2026DATA'!$J$28,"")</f>
        <v/>
      </c>
      <c r="CR69" s="518" t="str">
        <f>IF(AND(_6="A-321",'2026'!$E$4="FO",'2026'!$E$2=CR43),'2026DATA'!$K$28,"")</f>
        <v/>
      </c>
      <c r="CS69" s="518" t="str">
        <f>IF(AND(_6="A-321",'2026'!$E$4="FO",'2026'!$E$2=CS43),'2026DATA'!$L$28,"")</f>
        <v/>
      </c>
      <c r="CT69" s="518" t="str">
        <f>IF(AND(_6="A-321",'2026'!$E$4="FO",'2026'!$E$2=CT43),'2026DATA'!$M$28,"")</f>
        <v/>
      </c>
      <c r="CU69" s="520" t="str">
        <f>IF(AND(_6="A-321",'2026'!$E$4="FO",'2026'!$E$2=CU43),'2026DATA'!$N$28,"")</f>
        <v/>
      </c>
    </row>
    <row r="70" spans="16:99" x14ac:dyDescent="0.25">
      <c r="P70" s="940" t="s">
        <v>70</v>
      </c>
      <c r="Q70" s="13" t="s">
        <v>61</v>
      </c>
      <c r="R70" s="518" t="str">
        <f>IF(AND(_1="A-320",'2026'!$E$4="CA",'2026'!$E$2=R43),'2026DATA'!$C$29,"")</f>
        <v/>
      </c>
      <c r="S70" s="518" t="str">
        <f>IF(AND(_1="A-320",'2026'!$E$4="CA",'2026'!$E$2=S43),'2026DATA'!$D$29,"")</f>
        <v/>
      </c>
      <c r="T70" s="518" t="str">
        <f>IF(AND(_1="A-320",'2026'!$E$4="CA",'2026'!$E$2=T43),'2026DATA'!$E$29,"")</f>
        <v/>
      </c>
      <c r="U70" s="518" t="str">
        <f>IF(AND(_1="A-320",'2026'!$E$4="CA",'2026'!$E$2=U43),'2026DATA'!$F$29,"")</f>
        <v/>
      </c>
      <c r="V70" s="518" t="str">
        <f>IF(AND(_1="A-320",'2026'!$E$4="CA",'2026'!$E$2=V43),'2026DATA'!$G$29,"")</f>
        <v/>
      </c>
      <c r="W70" s="518" t="str">
        <f>IF(AND(_1="A-320",'2026'!$E$4="CA",'2026'!$E$2=W43),'2026DATA'!$H$29,"")</f>
        <v/>
      </c>
      <c r="X70" s="518" t="str">
        <f>IF(AND(_1="A-320",'2026'!$E$4="CA",'2026'!$E$2=X43),'2026DATA'!$I$29,"")</f>
        <v/>
      </c>
      <c r="Y70" s="518" t="str">
        <f>IF(AND(_1="A-320",'2026'!$E$4="CA",'2026'!$E$2=Y43),'2026DATA'!$J$29,"")</f>
        <v/>
      </c>
      <c r="Z70" s="518" t="str">
        <f>IF(AND(_1="A-320",'2026'!$E$4="CA",'2026'!$E$2=Z43),'2026DATA'!$K$29,"")</f>
        <v/>
      </c>
      <c r="AA70" s="518" t="str">
        <f>IF(AND(_1="A-320",'2026'!$E$4="CA",'2026'!$E$2=AA43),'2026DATA'!$L$29,"")</f>
        <v/>
      </c>
      <c r="AB70" s="518" t="str">
        <f>IF(AND(_1="A-320",'2026'!$E$4="CA",'2026'!$E$2=AB43),'2026DATA'!$M$29,"")</f>
        <v/>
      </c>
      <c r="AC70" s="520" t="str">
        <f>IF(AND(_1="A-320",'2026'!$E$4="CA",'2026'!$E$2=AC43),'2026DATA'!$N$29,"")</f>
        <v/>
      </c>
      <c r="AD70" s="940" t="s">
        <v>70</v>
      </c>
      <c r="AE70" s="13" t="s">
        <v>61</v>
      </c>
      <c r="AF70" s="518" t="str">
        <f>IF(AND(_2="A-320",'2026'!$E$4="CA",'2026'!$E$2=AF43),'2026DATA'!$C$29,"")</f>
        <v/>
      </c>
      <c r="AG70" s="518" t="str">
        <f>IF(AND(_2="A-320",'2026'!$E$4="CA",'2026'!$E$2=AG43),'2026DATA'!$D$29,"")</f>
        <v/>
      </c>
      <c r="AH70" s="518" t="str">
        <f>IF(AND(_2="A-320",'2026'!$E$4="CA",'2026'!$E$2=AH43),'2026DATA'!$E$29,"")</f>
        <v/>
      </c>
      <c r="AI70" s="518" t="str">
        <f>IF(AND(_2="A-320",'2026'!$E$4="CA",'2026'!$E$2=AI43),'2026DATA'!$F$29,"")</f>
        <v/>
      </c>
      <c r="AJ70" s="518" t="str">
        <f>IF(AND(_2="A-320",'2026'!$E$4="CA",'2026'!$E$2=AJ43),'2026DATA'!$G$29,"")</f>
        <v/>
      </c>
      <c r="AK70" s="518" t="str">
        <f>IF(AND(_2="A-320",'2026'!$E$4="CA",'2026'!$E$2=AK43),'2026DATA'!$H$29,"")</f>
        <v/>
      </c>
      <c r="AL70" s="518" t="str">
        <f>IF(AND(_2="A-320",'2026'!$E$4="CA",'2026'!$E$2=AL43),'2026DATA'!$I$29,"")</f>
        <v/>
      </c>
      <c r="AM70" s="518" t="str">
        <f>IF(AND(_2="A-320",'2026'!$E$4="CA",'2026'!$E$2=AM43),'2026DATA'!$J$29,"")</f>
        <v/>
      </c>
      <c r="AN70" s="518" t="str">
        <f>IF(AND(_2="A-320",'2026'!$E$4="CA",'2026'!$E$2=AN43),'2026DATA'!$K$29,"")</f>
        <v/>
      </c>
      <c r="AO70" s="518" t="str">
        <f>IF(AND(_2="A-320",'2026'!$E$4="CA",'2026'!$E$2=AO43),'2026DATA'!$L$29,"")</f>
        <v/>
      </c>
      <c r="AP70" s="518" t="str">
        <f>IF(AND(_2="A-320",'2026'!$E$4="CA",'2026'!$E$2=AP43),'2026DATA'!$M$29,"")</f>
        <v/>
      </c>
      <c r="AQ70" s="520" t="str">
        <f>IF(AND(_2="A-320",'2026'!$E$4="CA",'2026'!$E$2=AQ43),'2026DATA'!$N$29,"")</f>
        <v/>
      </c>
      <c r="AR70" s="940" t="s">
        <v>70</v>
      </c>
      <c r="AS70" s="13" t="s">
        <v>61</v>
      </c>
      <c r="AT70" s="518" t="str">
        <f>IF(AND(_3="A-320",'2026'!$E$4="CA",'2026'!$E$2=AT43),'2026DATA'!$C$29,"")</f>
        <v/>
      </c>
      <c r="AU70" s="518" t="str">
        <f>IF(AND(_3="A-320",'2026'!$E$4="CA",'2026'!$E$2=AU43),'2026DATA'!$D$29,"")</f>
        <v/>
      </c>
      <c r="AV70" s="518" t="str">
        <f>IF(AND(_3="A-320",'2026'!$E$4="CA",'2026'!$E$2=AV43),'2026DATA'!$E$29,"")</f>
        <v/>
      </c>
      <c r="AW70" s="518" t="str">
        <f>IF(AND(_3="A-320",'2026'!$E$4="CA",'2026'!$E$2=AW43),'2026DATA'!$F$29,"")</f>
        <v/>
      </c>
      <c r="AX70" s="518" t="str">
        <f>IF(AND(_3="A-320",'2026'!$E$4="CA",'2026'!$E$2=AX43),'2026DATA'!$G$29,"")</f>
        <v/>
      </c>
      <c r="AY70" s="518" t="str">
        <f>IF(AND(_3="A-320",'2026'!$E$4="CA",'2026'!$E$2=AY43),'2026DATA'!$H$29,"")</f>
        <v/>
      </c>
      <c r="AZ70" s="518" t="str">
        <f>IF(AND(_3="A-320",'2026'!$E$4="CA",'2026'!$E$2=AZ43),'2026DATA'!$I$29,"")</f>
        <v/>
      </c>
      <c r="BA70" s="518" t="str">
        <f>IF(AND(_3="A-320",'2026'!$E$4="CA",'2026'!$E$2=BA43),'2026DATA'!$J$29,"")</f>
        <v/>
      </c>
      <c r="BB70" s="518" t="str">
        <f>IF(AND(_3="A-320",'2026'!$E$4="CA",'2026'!$E$2=BB43),'2026DATA'!$K$29,"")</f>
        <v/>
      </c>
      <c r="BC70" s="518" t="str">
        <f>IF(AND(_3="A-320",'2026'!$E$4="CA",'2026'!$E$2=BC43),'2026DATA'!$L$29,"")</f>
        <v/>
      </c>
      <c r="BD70" s="518" t="str">
        <f>IF(AND(_3="A-320",'2026'!$E$4="CA",'2026'!$E$2=BD43),'2026DATA'!$M$29,"")</f>
        <v/>
      </c>
      <c r="BE70" s="520" t="str">
        <f>IF(AND(_3="A-320",'2026'!$E$4="CA",'2026'!$E$2=BE43),'2026DATA'!$N$29,"")</f>
        <v/>
      </c>
      <c r="BF70" s="940" t="s">
        <v>70</v>
      </c>
      <c r="BG70" s="13" t="s">
        <v>61</v>
      </c>
      <c r="BH70" s="518" t="str">
        <f>IF(AND(_4="A-320",'2026'!$E$4="CA",'2026'!$E$2=BH43),'2026DATA'!$C$29,"")</f>
        <v/>
      </c>
      <c r="BI70" s="518" t="str">
        <f>IF(AND(_4="A-320",'2026'!$E$4="CA",'2026'!$E$2=BI43),'2026DATA'!$D$29,"")</f>
        <v/>
      </c>
      <c r="BJ70" s="518" t="str">
        <f>IF(AND(_4="A-320",'2026'!$E$4="CA",'2026'!$E$2=BJ43),'2026DATA'!$E$29,"")</f>
        <v/>
      </c>
      <c r="BK70" s="518" t="str">
        <f>IF(AND(_4="A-320",'2026'!$E$4="CA",'2026'!$E$2=BK43),'2026DATA'!$F$29,"")</f>
        <v/>
      </c>
      <c r="BL70" s="518" t="str">
        <f>IF(AND(_4="A-320",'2026'!$E$4="CA",'2026'!$E$2=BL43),'2026DATA'!$G$29,"")</f>
        <v/>
      </c>
      <c r="BM70" s="518" t="str">
        <f>IF(AND(_4="A-320",'2026'!$E$4="CA",'2026'!$E$2=BM43),'2026DATA'!$H$29,"")</f>
        <v/>
      </c>
      <c r="BN70" s="518" t="str">
        <f>IF(AND(_4="A-320",'2026'!$E$4="CA",'2026'!$E$2=BN43),'2026DATA'!$I$29,"")</f>
        <v/>
      </c>
      <c r="BO70" s="518" t="str">
        <f>IF(AND(_4="A-320",'2026'!$E$4="CA",'2026'!$E$2=BO43),'2026DATA'!$J$29,"")</f>
        <v/>
      </c>
      <c r="BP70" s="518" t="str">
        <f>IF(AND(_4="A-320",'2026'!$E$4="CA",'2026'!$E$2=BP43),'2026DATA'!$K$29,"")</f>
        <v/>
      </c>
      <c r="BQ70" s="518" t="str">
        <f>IF(AND(_4="A-320",'2026'!$E$4="CA",'2026'!$E$2=BQ43),'2026DATA'!$L$29,"")</f>
        <v/>
      </c>
      <c r="BR70" s="518" t="str">
        <f>IF(AND(_4="A-320",'2026'!$E$4="CA",'2026'!$E$2=BR43),'2026DATA'!$M$29,"")</f>
        <v/>
      </c>
      <c r="BS70" s="520" t="str">
        <f>IF(AND(_4="A-320",'2026'!$E$4="CA",'2026'!$E$2=BS43),'2026DATA'!$N$29,"")</f>
        <v/>
      </c>
      <c r="BT70" s="940" t="s">
        <v>70</v>
      </c>
      <c r="BU70" s="13" t="s">
        <v>61</v>
      </c>
      <c r="BV70" s="518" t="str">
        <f>IF(AND(_5="A-320",'2026'!$E$4="CA",'2026'!$E$2=BV43),'2026DATA'!$C$29,"")</f>
        <v/>
      </c>
      <c r="BW70" s="518" t="str">
        <f>IF(AND(_5="A-320",'2026'!$E$4="CA",'2026'!$E$2=BW43),'2026DATA'!$D$29,"")</f>
        <v/>
      </c>
      <c r="BX70" s="518" t="str">
        <f>IF(AND(_5="A-320",'2026'!$E$4="CA",'2026'!$E$2=BX43),'2026DATA'!$E$29,"")</f>
        <v/>
      </c>
      <c r="BY70" s="518" t="str">
        <f>IF(AND(_5="A-320",'2026'!$E$4="CA",'2026'!$E$2=BY43),'2026DATA'!$F$29,"")</f>
        <v/>
      </c>
      <c r="BZ70" s="518" t="str">
        <f>IF(AND(_5="A-320",'2026'!$E$4="CA",'2026'!$E$2=BZ43),'2026DATA'!$G$29,"")</f>
        <v/>
      </c>
      <c r="CA70" s="518" t="str">
        <f>IF(AND(_5="A-320",'2026'!$E$4="CA",'2026'!$E$2=CA43),'2026DATA'!$H$29,"")</f>
        <v/>
      </c>
      <c r="CB70" s="518" t="str">
        <f>IF(AND(_5="A-320",'2026'!$E$4="CA",'2026'!$E$2=CB43),'2026DATA'!$I$29,"")</f>
        <v/>
      </c>
      <c r="CC70" s="518" t="str">
        <f>IF(AND(_5="A-320",'2026'!$E$4="CA",'2026'!$E$2=CC43),'2026DATA'!$J$29,"")</f>
        <v/>
      </c>
      <c r="CD70" s="518" t="str">
        <f>IF(AND(_5="A-320",'2026'!$E$4="CA",'2026'!$E$2=CD43),'2026DATA'!$K$29,"")</f>
        <v/>
      </c>
      <c r="CE70" s="518" t="str">
        <f>IF(AND(_5="A-320",'2026'!$E$4="CA",'2026'!$E$2=CE43),'2026DATA'!$L$29,"")</f>
        <v/>
      </c>
      <c r="CF70" s="518" t="str">
        <f>IF(AND(_5="A-320",'2026'!$E$4="CA",'2026'!$E$2=CF43),'2026DATA'!$M$29,"")</f>
        <v/>
      </c>
      <c r="CG70" s="520" t="str">
        <f>IF(AND(_5="A-320",'2026'!$E$4="CA",'2026'!$E$2=CG43),'2026DATA'!$N$29,"")</f>
        <v/>
      </c>
      <c r="CH70" s="940" t="s">
        <v>70</v>
      </c>
      <c r="CI70" s="13" t="s">
        <v>61</v>
      </c>
      <c r="CJ70" s="518" t="str">
        <f>IF(AND(_6="A-320",'2026'!$E$4="CA",'2026'!$E$2=CJ43),'2026DATA'!$C$29,"")</f>
        <v/>
      </c>
      <c r="CK70" s="518" t="str">
        <f>IF(AND(_6="A-320",'2026'!$E$4="CA",'2026'!$E$2=CK43),'2026DATA'!$D$29,"")</f>
        <v/>
      </c>
      <c r="CL70" s="518" t="str">
        <f>IF(AND(_6="A-320",'2026'!$E$4="CA",'2026'!$E$2=CL43),'2026DATA'!$E$29,"")</f>
        <v/>
      </c>
      <c r="CM70" s="518" t="str">
        <f>IF(AND(_6="A-320",'2026'!$E$4="CA",'2026'!$E$2=CM43),'2026DATA'!$F$29,"")</f>
        <v/>
      </c>
      <c r="CN70" s="518" t="str">
        <f>IF(AND(_6="A-320",'2026'!$E$4="CA",'2026'!$E$2=CN43),'2026DATA'!$G$29,"")</f>
        <v/>
      </c>
      <c r="CO70" s="518" t="str">
        <f>IF(AND(_6="A-320",'2026'!$E$4="CA",'2026'!$E$2=CO43),'2026DATA'!$H$29,"")</f>
        <v/>
      </c>
      <c r="CP70" s="518" t="str">
        <f>IF(AND(_6="A-320",'2026'!$E$4="CA",'2026'!$E$2=CP43),'2026DATA'!$I$29,"")</f>
        <v/>
      </c>
      <c r="CQ70" s="518" t="str">
        <f>IF(AND(_6="A-320",'2026'!$E$4="CA",'2026'!$E$2=CQ43),'2026DATA'!$J$29,"")</f>
        <v/>
      </c>
      <c r="CR70" s="518" t="str">
        <f>IF(AND(_6="A-320",'2026'!$E$4="CA",'2026'!$E$2=CR43),'2026DATA'!$K$29,"")</f>
        <v/>
      </c>
      <c r="CS70" s="518" t="str">
        <f>IF(AND(_6="A-320",'2026'!$E$4="CA",'2026'!$E$2=CS43),'2026DATA'!$L$29,"")</f>
        <v/>
      </c>
      <c r="CT70" s="518" t="str">
        <f>IF(AND(_6="A-320",'2026'!$E$4="CA",'2026'!$E$2=CT43),'2026DATA'!$M$29,"")</f>
        <v/>
      </c>
      <c r="CU70" s="520" t="str">
        <f>IF(AND(_6="A-320",'2026'!$E$4="CA",'2026'!$E$2=CU43),'2026DATA'!$N$29,"")</f>
        <v/>
      </c>
    </row>
    <row r="71" spans="16:99" x14ac:dyDescent="0.25">
      <c r="P71" s="940"/>
      <c r="Q71" s="13" t="s">
        <v>62</v>
      </c>
      <c r="R71" s="518" t="str">
        <f>IF(AND(_1="A-320",'2026'!$E$4="FO",'2026'!$E$2=R43),'2026DATA'!$C$30,"")</f>
        <v/>
      </c>
      <c r="S71" s="518" t="str">
        <f>IF(AND(_1="A-320",'2026'!$E$4="FO",'2026'!$E$2=S43),'2026DATA'!$D$30,"")</f>
        <v/>
      </c>
      <c r="T71" s="518" t="str">
        <f>IF(AND(_1="A-320",'2026'!$E$4="FO",'2026'!$E$2=T43),'2026DATA'!$E$30,"")</f>
        <v/>
      </c>
      <c r="U71" s="518" t="str">
        <f>IF(AND(_1="A-320",'2026'!$E$4="FO",'2026'!$E$2=U43),'2026DATA'!$F$30,"")</f>
        <v/>
      </c>
      <c r="V71" s="518" t="str">
        <f>IF(AND(_1="A-320",'2026'!$E$4="FO",'2026'!$E$2=V43),'2026DATA'!$G$30,"")</f>
        <v/>
      </c>
      <c r="W71" s="518" t="str">
        <f>IF(AND(_1="A-320",'2026'!$E$4="FO",'2026'!$E$2=W43),'2026DATA'!$H$30,"")</f>
        <v/>
      </c>
      <c r="X71" s="518" t="str">
        <f>IF(AND(_1="A-320",'2026'!$E$4="FO",'2026'!$E$2=X43),'2026DATA'!$I$30,"")</f>
        <v/>
      </c>
      <c r="Y71" s="518" t="str">
        <f>IF(AND(_1="A-320",'2026'!$E$4="FO",'2026'!$E$2=Y43),'2026DATA'!$J$30,"")</f>
        <v/>
      </c>
      <c r="Z71" s="518" t="str">
        <f>IF(AND(_1="A-320",'2026'!$E$4="FO",'2026'!$E$2=Z43),'2026DATA'!$K$30,"")</f>
        <v/>
      </c>
      <c r="AA71" s="518" t="str">
        <f>IF(AND(_1="A-320",'2026'!$E$4="FO",'2026'!$E$2=AA43),'2026DATA'!$L$30,"")</f>
        <v/>
      </c>
      <c r="AB71" s="518" t="str">
        <f>IF(AND(_1="A-320",'2026'!$E$4="FO",'2026'!$E$2=AB43),'2026DATA'!$M$30,"")</f>
        <v/>
      </c>
      <c r="AC71" s="520" t="str">
        <f>IF(AND(_1="A-320",'2026'!$E$4="FO",'2026'!$E$2=AC43),'2026DATA'!$N$30,"")</f>
        <v/>
      </c>
      <c r="AD71" s="940"/>
      <c r="AE71" s="13" t="s">
        <v>62</v>
      </c>
      <c r="AF71" s="518" t="str">
        <f>IF(AND(_2="A-320",'2026'!$E$4="FO",'2026'!$E$2=AF43),'2026DATA'!$C$30,"")</f>
        <v/>
      </c>
      <c r="AG71" s="518" t="str">
        <f>IF(AND(_2="A-320",'2026'!$E$4="FO",'2026'!$E$2=AG43),'2026DATA'!$D$30,"")</f>
        <v/>
      </c>
      <c r="AH71" s="518" t="str">
        <f>IF(AND(_2="A-320",'2026'!$E$4="FO",'2026'!$E$2=AH43),'2026DATA'!$E$30,"")</f>
        <v/>
      </c>
      <c r="AI71" s="518" t="str">
        <f>IF(AND(_2="A-320",'2026'!$E$4="FO",'2026'!$E$2=AI43),'2026DATA'!$F$30,"")</f>
        <v/>
      </c>
      <c r="AJ71" s="518" t="str">
        <f>IF(AND(_2="A-320",'2026'!$E$4="FO",'2026'!$E$2=AJ43),'2026DATA'!$G$30,"")</f>
        <v/>
      </c>
      <c r="AK71" s="518" t="str">
        <f>IF(AND(_2="A-320",'2026'!$E$4="FO",'2026'!$E$2=AK43),'2026DATA'!$H$30,"")</f>
        <v/>
      </c>
      <c r="AL71" s="518" t="str">
        <f>IF(AND(_2="A-320",'2026'!$E$4="FO",'2026'!$E$2=AL43),'2026DATA'!$I$30,"")</f>
        <v/>
      </c>
      <c r="AM71" s="518" t="str">
        <f>IF(AND(_2="A-320",'2026'!$E$4="FO",'2026'!$E$2=AM43),'2026DATA'!$J$30,"")</f>
        <v/>
      </c>
      <c r="AN71" s="518" t="str">
        <f>IF(AND(_2="A-320",'2026'!$E$4="FO",'2026'!$E$2=AN43),'2026DATA'!$K$30,"")</f>
        <v/>
      </c>
      <c r="AO71" s="518" t="str">
        <f>IF(AND(_2="A-320",'2026'!$E$4="FO",'2026'!$E$2=AO43),'2026DATA'!$L$30,"")</f>
        <v/>
      </c>
      <c r="AP71" s="518" t="str">
        <f>IF(AND(_2="A-320",'2026'!$E$4="FO",'2026'!$E$2=AP43),'2026DATA'!$M$30,"")</f>
        <v/>
      </c>
      <c r="AQ71" s="520" t="str">
        <f>IF(AND(_2="A-320",'2026'!$E$4="FO",'2026'!$E$2=AQ43),'2026DATA'!$N$30,"")</f>
        <v/>
      </c>
      <c r="AR71" s="940"/>
      <c r="AS71" s="13" t="s">
        <v>62</v>
      </c>
      <c r="AT71" s="518" t="str">
        <f>IF(AND(_3="A-320",'2026'!$E$4="FO",'2026'!$E$2=AT43),'2026DATA'!$C$30,"")</f>
        <v/>
      </c>
      <c r="AU71" s="518" t="str">
        <f>IF(AND(_3="A-320",'2026'!$E$4="FO",'2026'!$E$2=AU43),'2026DATA'!$D$30,"")</f>
        <v/>
      </c>
      <c r="AV71" s="518" t="str">
        <f>IF(AND(_3="A-320",'2026'!$E$4="FO",'2026'!$E$2=AV43),'2026DATA'!$E$30,"")</f>
        <v/>
      </c>
      <c r="AW71" s="518" t="str">
        <f>IF(AND(_3="A-320",'2026'!$E$4="FO",'2026'!$E$2=AW43),'2026DATA'!$F$30,"")</f>
        <v/>
      </c>
      <c r="AX71" s="518" t="str">
        <f>IF(AND(_3="A-320",'2026'!$E$4="FO",'2026'!$E$2=AX43),'2026DATA'!$G$30,"")</f>
        <v/>
      </c>
      <c r="AY71" s="518" t="str">
        <f>IF(AND(_3="A-320",'2026'!$E$4="FO",'2026'!$E$2=AY43),'2026DATA'!$H$30,"")</f>
        <v/>
      </c>
      <c r="AZ71" s="518" t="str">
        <f>IF(AND(_3="A-320",'2026'!$E$4="FO",'2026'!$E$2=AZ43),'2026DATA'!$I$30,"")</f>
        <v/>
      </c>
      <c r="BA71" s="518" t="str">
        <f>IF(AND(_3="A-320",'2026'!$E$4="FO",'2026'!$E$2=BA43),'2026DATA'!$J$30,"")</f>
        <v/>
      </c>
      <c r="BB71" s="518" t="str">
        <f>IF(AND(_3="A-320",'2026'!$E$4="FO",'2026'!$E$2=BB43),'2026DATA'!$K$30,"")</f>
        <v/>
      </c>
      <c r="BC71" s="518" t="str">
        <f>IF(AND(_3="A-320",'2026'!$E$4="FO",'2026'!$E$2=BC43),'2026DATA'!$L$30,"")</f>
        <v/>
      </c>
      <c r="BD71" s="518" t="str">
        <f>IF(AND(_3="A-320",'2026'!$E$4="FO",'2026'!$E$2=BD43),'2026DATA'!$M$30,"")</f>
        <v/>
      </c>
      <c r="BE71" s="520" t="str">
        <f>IF(AND(_3="A-320",'2026'!$E$4="FO",'2026'!$E$2=BE43),'2026DATA'!$N$30,"")</f>
        <v/>
      </c>
      <c r="BF71" s="940"/>
      <c r="BG71" s="13" t="s">
        <v>62</v>
      </c>
      <c r="BH71" s="518" t="str">
        <f>IF(AND(_4="A-320",'2026'!$E$4="FO",'2026'!$E$2=BH43),'2026DATA'!$C$30,"")</f>
        <v/>
      </c>
      <c r="BI71" s="518" t="str">
        <f>IF(AND(_4="A-320",'2026'!$E$4="FO",'2026'!$E$2=BI43),'2026DATA'!$D$30,"")</f>
        <v/>
      </c>
      <c r="BJ71" s="518" t="str">
        <f>IF(AND(_4="A-320",'2026'!$E$4="FO",'2026'!$E$2=BJ43),'2026DATA'!$E$30,"")</f>
        <v/>
      </c>
      <c r="BK71" s="518" t="str">
        <f>IF(AND(_4="A-320",'2026'!$E$4="FO",'2026'!$E$2=BK43),'2026DATA'!$F$30,"")</f>
        <v/>
      </c>
      <c r="BL71" s="518" t="str">
        <f>IF(AND(_4="A-320",'2026'!$E$4="FO",'2026'!$E$2=BL43),'2026DATA'!$G$30,"")</f>
        <v/>
      </c>
      <c r="BM71" s="518" t="str">
        <f>IF(AND(_4="A-320",'2026'!$E$4="FO",'2026'!$E$2=BM43),'2026DATA'!$H$30,"")</f>
        <v/>
      </c>
      <c r="BN71" s="518" t="str">
        <f>IF(AND(_4="A-320",'2026'!$E$4="FO",'2026'!$E$2=BN43),'2026DATA'!$I$30,"")</f>
        <v/>
      </c>
      <c r="BO71" s="518" t="str">
        <f>IF(AND(_4="A-320",'2026'!$E$4="FO",'2026'!$E$2=BO43),'2026DATA'!$J$30,"")</f>
        <v/>
      </c>
      <c r="BP71" s="518" t="str">
        <f>IF(AND(_4="A-320",'2026'!$E$4="FO",'2026'!$E$2=BP43),'2026DATA'!$K$30,"")</f>
        <v/>
      </c>
      <c r="BQ71" s="518" t="str">
        <f>IF(AND(_4="A-320",'2026'!$E$4="FO",'2026'!$E$2=BQ43),'2026DATA'!$L$30,"")</f>
        <v/>
      </c>
      <c r="BR71" s="518" t="str">
        <f>IF(AND(_4="A-320",'2026'!$E$4="FO",'2026'!$E$2=BR43),'2026DATA'!$M$30,"")</f>
        <v/>
      </c>
      <c r="BS71" s="520" t="str">
        <f>IF(AND(_4="A-320",'2026'!$E$4="FO",'2026'!$E$2=BS43),'2026DATA'!$N$30,"")</f>
        <v/>
      </c>
      <c r="BT71" s="940"/>
      <c r="BU71" s="13" t="s">
        <v>62</v>
      </c>
      <c r="BV71" s="518" t="str">
        <f>IF(AND(_5="A-320",'2026'!$E$4="FO",'2026'!$E$2=BV43),'2026DATA'!$C$30,"")</f>
        <v/>
      </c>
      <c r="BW71" s="518" t="str">
        <f>IF(AND(_5="A-320",'2026'!$E$4="FO",'2026'!$E$2=BW43),'2026DATA'!$D$30,"")</f>
        <v/>
      </c>
      <c r="BX71" s="518" t="str">
        <f>IF(AND(_5="A-320",'2026'!$E$4="FO",'2026'!$E$2=BX43),'2026DATA'!$E$30,"")</f>
        <v/>
      </c>
      <c r="BY71" s="518" t="str">
        <f>IF(AND(_5="A-320",'2026'!$E$4="FO",'2026'!$E$2=BY43),'2026DATA'!$F$30,"")</f>
        <v/>
      </c>
      <c r="BZ71" s="518" t="str">
        <f>IF(AND(_5="A-320",'2026'!$E$4="FO",'2026'!$E$2=BZ43),'2026DATA'!$G$30,"")</f>
        <v/>
      </c>
      <c r="CA71" s="518" t="str">
        <f>IF(AND(_5="A-320",'2026'!$E$4="FO",'2026'!$E$2=CA43),'2026DATA'!$H$30,"")</f>
        <v/>
      </c>
      <c r="CB71" s="518" t="str">
        <f>IF(AND(_5="A-320",'2026'!$E$4="FO",'2026'!$E$2=CB43),'2026DATA'!$I$30,"")</f>
        <v/>
      </c>
      <c r="CC71" s="518" t="str">
        <f>IF(AND(_5="A-320",'2026'!$E$4="FO",'2026'!$E$2=CC43),'2026DATA'!$J$30,"")</f>
        <v/>
      </c>
      <c r="CD71" s="518" t="str">
        <f>IF(AND(_5="A-320",'2026'!$E$4="FO",'2026'!$E$2=CD43),'2026DATA'!$K$30,"")</f>
        <v/>
      </c>
      <c r="CE71" s="518" t="str">
        <f>IF(AND(_5="A-320",'2026'!$E$4="FO",'2026'!$E$2=CE43),'2026DATA'!$L$30,"")</f>
        <v/>
      </c>
      <c r="CF71" s="518" t="str">
        <f>IF(AND(_5="A-320",'2026'!$E$4="FO",'2026'!$E$2=CF43),'2026DATA'!$M$30,"")</f>
        <v/>
      </c>
      <c r="CG71" s="520" t="str">
        <f>IF(AND(_5="A-320",'2026'!$E$4="FO",'2026'!$E$2=CG43),'2026DATA'!$N$30,"")</f>
        <v/>
      </c>
      <c r="CH71" s="940"/>
      <c r="CI71" s="13" t="s">
        <v>62</v>
      </c>
      <c r="CJ71" s="518" t="str">
        <f>IF(AND(_6="A-320",'2026'!$E$4="FO",'2026'!$E$2=CJ43),'2026DATA'!$C$30,"")</f>
        <v/>
      </c>
      <c r="CK71" s="518" t="str">
        <f>IF(AND(_6="A-320",'2026'!$E$4="FO",'2026'!$E$2=CK43),'2026DATA'!$D$30,"")</f>
        <v/>
      </c>
      <c r="CL71" s="518" t="str">
        <f>IF(AND(_6="A-320",'2026'!$E$4="FO",'2026'!$E$2=CL43),'2026DATA'!$E$30,"")</f>
        <v/>
      </c>
      <c r="CM71" s="518" t="str">
        <f>IF(AND(_6="A-320",'2026'!$E$4="FO",'2026'!$E$2=CM43),'2026DATA'!$F$30,"")</f>
        <v/>
      </c>
      <c r="CN71" s="518" t="str">
        <f>IF(AND(_6="A-320",'2026'!$E$4="FO",'2026'!$E$2=CN43),'2026DATA'!$G$30,"")</f>
        <v/>
      </c>
      <c r="CO71" s="518" t="str">
        <f>IF(AND(_6="A-320",'2026'!$E$4="FO",'2026'!$E$2=CO43),'2026DATA'!$H$30,"")</f>
        <v/>
      </c>
      <c r="CP71" s="518" t="str">
        <f>IF(AND(_6="A-320",'2026'!$E$4="FO",'2026'!$E$2=CP43),'2026DATA'!$I$30,"")</f>
        <v/>
      </c>
      <c r="CQ71" s="518" t="str">
        <f>IF(AND(_6="A-320",'2026'!$E$4="FO",'2026'!$E$2=CQ43),'2026DATA'!$J$30,"")</f>
        <v/>
      </c>
      <c r="CR71" s="518" t="str">
        <f>IF(AND(_6="A-320",'2026'!$E$4="FO",'2026'!$E$2=CR43),'2026DATA'!$K$30,"")</f>
        <v/>
      </c>
      <c r="CS71" s="518" t="str">
        <f>IF(AND(_6="A-320",'2026'!$E$4="FO",'2026'!$E$2=CS43),'2026DATA'!$L$30,"")</f>
        <v/>
      </c>
      <c r="CT71" s="518" t="str">
        <f>IF(AND(_6="A-320",'2026'!$E$4="FO",'2026'!$E$2=CT43),'2026DATA'!$M$30,"")</f>
        <v/>
      </c>
      <c r="CU71" s="520" t="str">
        <f>IF(AND(_6="A-320",'2026'!$E$4="FO",'2026'!$E$2=CU43),'2026DATA'!$N$30,"")</f>
        <v/>
      </c>
    </row>
    <row r="72" spans="16:99" x14ac:dyDescent="0.25">
      <c r="P72" s="940" t="s">
        <v>71</v>
      </c>
      <c r="Q72" s="13" t="s">
        <v>61</v>
      </c>
      <c r="R72" s="518" t="str">
        <f>IF(AND(_1="A-319",'2026'!$E$4="CA",'2026'!$E$2=R43),'2026DATA'!$C$31,"")</f>
        <v/>
      </c>
      <c r="S72" s="518" t="str">
        <f>IF(AND(_1="A-319",'2026'!$E$4="CA",'2026'!$E$2=S43),'2026DATA'!$D$31,"")</f>
        <v/>
      </c>
      <c r="T72" s="518" t="str">
        <f>IF(AND(_1="A-319",'2026'!$E$4="CA",'2026'!$E$2=T43),'2026DATA'!$E$31,"")</f>
        <v/>
      </c>
      <c r="U72" s="518" t="str">
        <f>IF(AND(_1="A-319",'2026'!$E$4="CA",'2026'!$E$2=U43),'2026DATA'!$F$31,"")</f>
        <v/>
      </c>
      <c r="V72" s="518" t="str">
        <f>IF(AND(_1="A-319",'2026'!$E$4="CA",'2026'!$E$2=V43),'2026DATA'!$G$31,"")</f>
        <v/>
      </c>
      <c r="W72" s="518" t="str">
        <f>IF(AND(_1="A-319",'2026'!$E$4="CA",'2026'!$E$2=W43),'2026DATA'!$H$31,"")</f>
        <v/>
      </c>
      <c r="X72" s="518" t="str">
        <f>IF(AND(_1="A-319",'2026'!$E$4="CA",'2026'!$E$2=X43),'2026DATA'!$I$31,"")</f>
        <v/>
      </c>
      <c r="Y72" s="518" t="str">
        <f>IF(AND(_1="A-319",'2026'!$E$4="CA",'2026'!$E$2=Y43),'2026DATA'!$J$31,"")</f>
        <v/>
      </c>
      <c r="Z72" s="518" t="str">
        <f>IF(AND(_1="A-319",'2026'!$E$4="CA",'2026'!$E$2=Z43),'2026DATA'!$K$31,"")</f>
        <v/>
      </c>
      <c r="AA72" s="518" t="str">
        <f>IF(AND(_1="A-319",'2026'!$E$4="CA",'2026'!$E$2=AA43),'2026DATA'!$L$31,"")</f>
        <v/>
      </c>
      <c r="AB72" s="518" t="str">
        <f>IF(AND(_1="A-319",'2026'!$E$4="CA",'2026'!$E$2=AB43),'2026DATA'!$M$31,"")</f>
        <v/>
      </c>
      <c r="AC72" s="520" t="str">
        <f>IF(AND(_1="A-319",'2026'!$E$4="CA",'2026'!$E$2=AC43),'2026DATA'!$N$31,"")</f>
        <v/>
      </c>
      <c r="AD72" s="940" t="s">
        <v>71</v>
      </c>
      <c r="AE72" s="13" t="s">
        <v>61</v>
      </c>
      <c r="AF72" s="518" t="str">
        <f>IF(AND(_2="A-319",'2026'!$E$4="CA",'2026'!$E$2=AF43),'2026DATA'!$C$31,"")</f>
        <v/>
      </c>
      <c r="AG72" s="518" t="str">
        <f>IF(AND(_2="A-319",'2026'!$E$4="CA",'2026'!$E$2=AG43),'2026DATA'!$D$31,"")</f>
        <v/>
      </c>
      <c r="AH72" s="518" t="str">
        <f>IF(AND(_2="A-319",'2026'!$E$4="CA",'2026'!$E$2=AH43),'2026DATA'!$E$31,"")</f>
        <v/>
      </c>
      <c r="AI72" s="518" t="str">
        <f>IF(AND(_2="A-319",'2026'!$E$4="CA",'2026'!$E$2=AI43),'2026DATA'!$F$31,"")</f>
        <v/>
      </c>
      <c r="AJ72" s="518" t="str">
        <f>IF(AND(_2="A-319",'2026'!$E$4="CA",'2026'!$E$2=AJ43),'2026DATA'!$G$31,"")</f>
        <v/>
      </c>
      <c r="AK72" s="518" t="str">
        <f>IF(AND(_2="A-319",'2026'!$E$4="CA",'2026'!$E$2=AK43),'2026DATA'!$H$31,"")</f>
        <v/>
      </c>
      <c r="AL72" s="518" t="str">
        <f>IF(AND(_2="A-319",'2026'!$E$4="CA",'2026'!$E$2=AL43),'2026DATA'!$I$31,"")</f>
        <v/>
      </c>
      <c r="AM72" s="518" t="str">
        <f>IF(AND(_2="A-319",'2026'!$E$4="CA",'2026'!$E$2=AM43),'2026DATA'!$J$31,"")</f>
        <v/>
      </c>
      <c r="AN72" s="518" t="str">
        <f>IF(AND(_2="A-319",'2026'!$E$4="CA",'2026'!$E$2=AN43),'2026DATA'!$K$31,"")</f>
        <v/>
      </c>
      <c r="AO72" s="518" t="str">
        <f>IF(AND(_2="A-319",'2026'!$E$4="CA",'2026'!$E$2=AO43),'2026DATA'!$L$31,"")</f>
        <v/>
      </c>
      <c r="AP72" s="518" t="str">
        <f>IF(AND(_2="A-319",'2026'!$E$4="CA",'2026'!$E$2=AP43),'2026DATA'!$M$31,"")</f>
        <v/>
      </c>
      <c r="AQ72" s="520" t="str">
        <f>IF(AND(_2="A-319",'2026'!$E$4="CA",'2026'!$E$2=AQ43),'2026DATA'!$N$31,"")</f>
        <v/>
      </c>
      <c r="AR72" s="940" t="s">
        <v>71</v>
      </c>
      <c r="AS72" s="13" t="s">
        <v>61</v>
      </c>
      <c r="AT72" s="518" t="str">
        <f>IF(AND(_3="A-319",'2026'!$E$4="CA",'2026'!$E$2=AT43),'2026DATA'!$C$31,"")</f>
        <v/>
      </c>
      <c r="AU72" s="518" t="str">
        <f>IF(AND(_3="A-319",'2026'!$E$4="CA",'2026'!$E$2=AU43),'2026DATA'!$D$31,"")</f>
        <v/>
      </c>
      <c r="AV72" s="518" t="str">
        <f>IF(AND(_3="A-319",'2026'!$E$4="CA",'2026'!$E$2=AV43),'2026DATA'!$E$31,"")</f>
        <v/>
      </c>
      <c r="AW72" s="518" t="str">
        <f>IF(AND(_3="A-319",'2026'!$E$4="CA",'2026'!$E$2=AW43),'2026DATA'!$F$31,"")</f>
        <v/>
      </c>
      <c r="AX72" s="518" t="str">
        <f>IF(AND(_3="A-319",'2026'!$E$4="CA",'2026'!$E$2=AX43),'2026DATA'!$G$31,"")</f>
        <v/>
      </c>
      <c r="AY72" s="518" t="str">
        <f>IF(AND(_3="A-319",'2026'!$E$4="CA",'2026'!$E$2=AY43),'2026DATA'!$H$31,"")</f>
        <v/>
      </c>
      <c r="AZ72" s="518" t="str">
        <f>IF(AND(_3="A-319",'2026'!$E$4="CA",'2026'!$E$2=AZ43),'2026DATA'!$I$31,"")</f>
        <v/>
      </c>
      <c r="BA72" s="518" t="str">
        <f>IF(AND(_3="A-319",'2026'!$E$4="CA",'2026'!$E$2=BA43),'2026DATA'!$J$31,"")</f>
        <v/>
      </c>
      <c r="BB72" s="518" t="str">
        <f>IF(AND(_3="A-319",'2026'!$E$4="CA",'2026'!$E$2=BB43),'2026DATA'!$K$31,"")</f>
        <v/>
      </c>
      <c r="BC72" s="518" t="str">
        <f>IF(AND(_3="A-319",'2026'!$E$4="CA",'2026'!$E$2=BC43),'2026DATA'!$L$31,"")</f>
        <v/>
      </c>
      <c r="BD72" s="518" t="str">
        <f>IF(AND(_3="A-319",'2026'!$E$4="CA",'2026'!$E$2=BD43),'2026DATA'!$M$31,"")</f>
        <v/>
      </c>
      <c r="BE72" s="520" t="str">
        <f>IF(AND(_3="A-319",'2026'!$E$4="CA",'2026'!$E$2=BE43),'2026DATA'!$N$31,"")</f>
        <v/>
      </c>
      <c r="BF72" s="940" t="s">
        <v>71</v>
      </c>
      <c r="BG72" s="13" t="s">
        <v>61</v>
      </c>
      <c r="BH72" s="518" t="str">
        <f>IF(AND(_4="A-319",'2026'!$E$4="CA",'2026'!$E$2=BH43),'2026DATA'!$C$31,"")</f>
        <v/>
      </c>
      <c r="BI72" s="518" t="str">
        <f>IF(AND(_4="A-319",'2026'!$E$4="CA",'2026'!$E$2=BI43),'2026DATA'!$D$31,"")</f>
        <v/>
      </c>
      <c r="BJ72" s="518" t="str">
        <f>IF(AND(_4="A-319",'2026'!$E$4="CA",'2026'!$E$2=BJ43),'2026DATA'!$E$31,"")</f>
        <v/>
      </c>
      <c r="BK72" s="518" t="str">
        <f>IF(AND(_4="A-319",'2026'!$E$4="CA",'2026'!$E$2=BK43),'2026DATA'!$F$31,"")</f>
        <v/>
      </c>
      <c r="BL72" s="518" t="str">
        <f>IF(AND(_4="A-319",'2026'!$E$4="CA",'2026'!$E$2=BL43),'2026DATA'!$G$31,"")</f>
        <v/>
      </c>
      <c r="BM72" s="518" t="str">
        <f>IF(AND(_4="A-319",'2026'!$E$4="CA",'2026'!$E$2=BM43),'2026DATA'!$H$31,"")</f>
        <v/>
      </c>
      <c r="BN72" s="518" t="str">
        <f>IF(AND(_4="A-319",'2026'!$E$4="CA",'2026'!$E$2=BN43),'2026DATA'!$I$31,"")</f>
        <v/>
      </c>
      <c r="BO72" s="518" t="str">
        <f>IF(AND(_4="A-319",'2026'!$E$4="CA",'2026'!$E$2=BO43),'2026DATA'!$J$31,"")</f>
        <v/>
      </c>
      <c r="BP72" s="518" t="str">
        <f>IF(AND(_4="A-319",'2026'!$E$4="CA",'2026'!$E$2=BP43),'2026DATA'!$K$31,"")</f>
        <v/>
      </c>
      <c r="BQ72" s="518" t="str">
        <f>IF(AND(_4="A-319",'2026'!$E$4="CA",'2026'!$E$2=BQ43),'2026DATA'!$L$31,"")</f>
        <v/>
      </c>
      <c r="BR72" s="518" t="str">
        <f>IF(AND(_4="A-319",'2026'!$E$4="CA",'2026'!$E$2=BR43),'2026DATA'!$M$31,"")</f>
        <v/>
      </c>
      <c r="BS72" s="520" t="str">
        <f>IF(AND(_4="A-319",'2026'!$E$4="CA",'2026'!$E$2=BS43),'2026DATA'!$N$31,"")</f>
        <v/>
      </c>
      <c r="BT72" s="940" t="s">
        <v>71</v>
      </c>
      <c r="BU72" s="13" t="s">
        <v>61</v>
      </c>
      <c r="BV72" s="518" t="str">
        <f>IF(AND(_5="A-319",'2026'!$E$4="CA",'2026'!$E$2=BV43),'2026DATA'!$C$31,"")</f>
        <v/>
      </c>
      <c r="BW72" s="518" t="str">
        <f>IF(AND(_5="A-319",'2026'!$E$4="CA",'2026'!$E$2=BW43),'2026DATA'!$D$31,"")</f>
        <v/>
      </c>
      <c r="BX72" s="518" t="str">
        <f>IF(AND(_5="A-319",'2026'!$E$4="CA",'2026'!$E$2=BX43),'2026DATA'!$E$31,"")</f>
        <v/>
      </c>
      <c r="BY72" s="518" t="str">
        <f>IF(AND(_5="A-319",'2026'!$E$4="CA",'2026'!$E$2=BY43),'2026DATA'!$F$31,"")</f>
        <v/>
      </c>
      <c r="BZ72" s="518" t="str">
        <f>IF(AND(_5="A-319",'2026'!$E$4="CA",'2026'!$E$2=BZ43),'2026DATA'!$G$31,"")</f>
        <v/>
      </c>
      <c r="CA72" s="518" t="str">
        <f>IF(AND(_5="A-319",'2026'!$E$4="CA",'2026'!$E$2=CA43),'2026DATA'!$H$31,"")</f>
        <v/>
      </c>
      <c r="CB72" s="518" t="str">
        <f>IF(AND(_5="A-319",'2026'!$E$4="CA",'2026'!$E$2=CB43),'2026DATA'!$I$31,"")</f>
        <v/>
      </c>
      <c r="CC72" s="518" t="str">
        <f>IF(AND(_5="A-319",'2026'!$E$4="CA",'2026'!$E$2=CC43),'2026DATA'!$J$31,"")</f>
        <v/>
      </c>
      <c r="CD72" s="518" t="str">
        <f>IF(AND(_5="A-319",'2026'!$E$4="CA",'2026'!$E$2=CD43),'2026DATA'!$K$31,"")</f>
        <v/>
      </c>
      <c r="CE72" s="518" t="str">
        <f>IF(AND(_5="A-319",'2026'!$E$4="CA",'2026'!$E$2=CE43),'2026DATA'!$L$31,"")</f>
        <v/>
      </c>
      <c r="CF72" s="518" t="str">
        <f>IF(AND(_5="A-319",'2026'!$E$4="CA",'2026'!$E$2=CF43),'2026DATA'!$M$31,"")</f>
        <v/>
      </c>
      <c r="CG72" s="520" t="str">
        <f>IF(AND(_5="A-319",'2026'!$E$4="CA",'2026'!$E$2=CG43),'2026DATA'!$N$31,"")</f>
        <v/>
      </c>
      <c r="CH72" s="940" t="s">
        <v>71</v>
      </c>
      <c r="CI72" s="13" t="s">
        <v>61</v>
      </c>
      <c r="CJ72" s="518" t="str">
        <f>IF(AND(_6="A-319",'2026'!$E$4="CA",'2026'!$E$2=CJ43),'2026DATA'!$C$31,"")</f>
        <v/>
      </c>
      <c r="CK72" s="518" t="str">
        <f>IF(AND(_6="A-319",'2026'!$E$4="CA",'2026'!$E$2=CK43),'2026DATA'!$D$31,"")</f>
        <v/>
      </c>
      <c r="CL72" s="518" t="str">
        <f>IF(AND(_6="A-319",'2026'!$E$4="CA",'2026'!$E$2=CL43),'2026DATA'!$E$31,"")</f>
        <v/>
      </c>
      <c r="CM72" s="518" t="str">
        <f>IF(AND(_6="A-319",'2026'!$E$4="CA",'2026'!$E$2=CM43),'2026DATA'!$F$31,"")</f>
        <v/>
      </c>
      <c r="CN72" s="518" t="str">
        <f>IF(AND(_6="A-319",'2026'!$E$4="CA",'2026'!$E$2=CN43),'2026DATA'!$G$31,"")</f>
        <v/>
      </c>
      <c r="CO72" s="518" t="str">
        <f>IF(AND(_6="A-319",'2026'!$E$4="CA",'2026'!$E$2=CO43),'2026DATA'!$H$31,"")</f>
        <v/>
      </c>
      <c r="CP72" s="518" t="str">
        <f>IF(AND(_6="A-319",'2026'!$E$4="CA",'2026'!$E$2=CP43),'2026DATA'!$I$31,"")</f>
        <v/>
      </c>
      <c r="CQ72" s="518" t="str">
        <f>IF(AND(_6="A-319",'2026'!$E$4="CA",'2026'!$E$2=CQ43),'2026DATA'!$J$31,"")</f>
        <v/>
      </c>
      <c r="CR72" s="518" t="str">
        <f>IF(AND(_6="A-319",'2026'!$E$4="CA",'2026'!$E$2=CR43),'2026DATA'!$K$31,"")</f>
        <v/>
      </c>
      <c r="CS72" s="518" t="str">
        <f>IF(AND(_6="A-319",'2026'!$E$4="CA",'2026'!$E$2=CS43),'2026DATA'!$L$31,"")</f>
        <v/>
      </c>
      <c r="CT72" s="518" t="str">
        <f>IF(AND(_6="A-319",'2026'!$E$4="CA",'2026'!$E$2=CT43),'2026DATA'!$M$31,"")</f>
        <v/>
      </c>
      <c r="CU72" s="520" t="str">
        <f>IF(AND(_6="A-319",'2026'!$E$4="CA",'2026'!$E$2=CU43),'2026DATA'!$N$31,"")</f>
        <v/>
      </c>
    </row>
    <row r="73" spans="16:99" x14ac:dyDescent="0.25">
      <c r="P73" s="940"/>
      <c r="Q73" s="13" t="s">
        <v>62</v>
      </c>
      <c r="R73" s="518" t="str">
        <f>IF(AND(_1="A-319",'2026'!$E$4="FO",'2026'!$E$2=R43),'2026DATA'!$C$32,"")</f>
        <v/>
      </c>
      <c r="S73" s="518" t="str">
        <f>IF(AND(_1="A-319",'2026'!$E$4="FO",'2026'!$E$2=S43),'2026DATA'!$D$32,"")</f>
        <v/>
      </c>
      <c r="T73" s="518" t="str">
        <f>IF(AND(_1="A-319",'2026'!$E$4="FO",'2026'!$E$2=T43),'2026DATA'!$E$32,"")</f>
        <v/>
      </c>
      <c r="U73" s="518" t="str">
        <f>IF(AND(_1="A-319",'2026'!$E$4="FO",'2026'!$E$2=U43),'2026DATA'!$F$32,"")</f>
        <v/>
      </c>
      <c r="V73" s="518" t="str">
        <f>IF(AND(_1="A-319",'2026'!$E$4="FO",'2026'!$E$2=V43),'2026DATA'!$G$32,"")</f>
        <v/>
      </c>
      <c r="W73" s="518" t="str">
        <f>IF(AND(_1="A-319",'2026'!$E$4="FO",'2026'!$E$2=W43),'2026DATA'!$H$32,"")</f>
        <v/>
      </c>
      <c r="X73" s="518" t="str">
        <f>IF(AND(_1="A-319",'2026'!$E$4="FO",'2026'!$E$2=X43),'2026DATA'!$I$32,"")</f>
        <v/>
      </c>
      <c r="Y73" s="518" t="str">
        <f>IF(AND(_1="A-319",'2026'!$E$4="FO",'2026'!$E$2=Y43),'2026DATA'!$J$32,"")</f>
        <v/>
      </c>
      <c r="Z73" s="518" t="str">
        <f>IF(AND(_1="A-319",'2026'!$E$4="FO",'2026'!$E$2=Z43),'2026DATA'!$K$32,"")</f>
        <v/>
      </c>
      <c r="AA73" s="518" t="str">
        <f>IF(AND(_1="A-319",'2026'!$E$4="FO",'2026'!$E$2=AA43),'2026DATA'!$L$32,"")</f>
        <v/>
      </c>
      <c r="AB73" s="518" t="str">
        <f>IF(AND(_1="A-319",'2026'!$E$4="FO",'2026'!$E$2=AB43),'2026DATA'!$M$32,"")</f>
        <v/>
      </c>
      <c r="AC73" s="520" t="str">
        <f>IF(AND(_1="A-319",'2026'!$E$4="FO",'2026'!$E$2=AC43),'2026DATA'!$N$32,"")</f>
        <v/>
      </c>
      <c r="AD73" s="940"/>
      <c r="AE73" s="13" t="s">
        <v>62</v>
      </c>
      <c r="AF73" s="518" t="str">
        <f>IF(AND(_2="A-319",'2026'!$E$4="FO",'2026'!$E$2=AF43),'2026DATA'!$C$32,"")</f>
        <v/>
      </c>
      <c r="AG73" s="518" t="str">
        <f>IF(AND(_2="A-319",'2026'!$E$4="FO",'2026'!$E$2=AG43),'2026DATA'!$D$32,"")</f>
        <v/>
      </c>
      <c r="AH73" s="518" t="str">
        <f>IF(AND(_2="A-319",'2026'!$E$4="FO",'2026'!$E$2=AH43),'2026DATA'!$E$32,"")</f>
        <v/>
      </c>
      <c r="AI73" s="518" t="str">
        <f>IF(AND(_2="A-319",'2026'!$E$4="FO",'2026'!$E$2=AI43),'2026DATA'!$F$32,"")</f>
        <v/>
      </c>
      <c r="AJ73" s="518" t="str">
        <f>IF(AND(_2="A-319",'2026'!$E$4="FO",'2026'!$E$2=AJ43),'2026DATA'!$G$32,"")</f>
        <v/>
      </c>
      <c r="AK73" s="518" t="str">
        <f>IF(AND(_2="A-319",'2026'!$E$4="FO",'2026'!$E$2=AK43),'2026DATA'!$H$32,"")</f>
        <v/>
      </c>
      <c r="AL73" s="518" t="str">
        <f>IF(AND(_2="A-319",'2026'!$E$4="FO",'2026'!$E$2=AL43),'2026DATA'!$I$32,"")</f>
        <v/>
      </c>
      <c r="AM73" s="518" t="str">
        <f>IF(AND(_2="A-319",'2026'!$E$4="FO",'2026'!$E$2=AM43),'2026DATA'!$J$32,"")</f>
        <v/>
      </c>
      <c r="AN73" s="518" t="str">
        <f>IF(AND(_2="A-319",'2026'!$E$4="FO",'2026'!$E$2=AN43),'2026DATA'!$K$32,"")</f>
        <v/>
      </c>
      <c r="AO73" s="518" t="str">
        <f>IF(AND(_2="A-319",'2026'!$E$4="FO",'2026'!$E$2=AO43),'2026DATA'!$L$32,"")</f>
        <v/>
      </c>
      <c r="AP73" s="518" t="str">
        <f>IF(AND(_2="A-319",'2026'!$E$4="FO",'2026'!$E$2=AP43),'2026DATA'!$M$32,"")</f>
        <v/>
      </c>
      <c r="AQ73" s="520" t="str">
        <f>IF(AND(_2="A-319",'2026'!$E$4="FO",'2026'!$E$2=AQ43),'2026DATA'!$N$32,"")</f>
        <v/>
      </c>
      <c r="AR73" s="940"/>
      <c r="AS73" s="13" t="s">
        <v>62</v>
      </c>
      <c r="AT73" s="518" t="str">
        <f>IF(AND(_3="A-319",'2026'!$E$4="FO",'2026'!$E$2=AT43),'2026DATA'!$C$32,"")</f>
        <v/>
      </c>
      <c r="AU73" s="518" t="str">
        <f>IF(AND(_3="A-319",'2026'!$E$4="FO",'2026'!$E$2=AU43),'2026DATA'!$D$32,"")</f>
        <v/>
      </c>
      <c r="AV73" s="518" t="str">
        <f>IF(AND(_3="A-319",'2026'!$E$4="FO",'2026'!$E$2=AV43),'2026DATA'!$E$32,"")</f>
        <v/>
      </c>
      <c r="AW73" s="518" t="str">
        <f>IF(AND(_3="A-319",'2026'!$E$4="FO",'2026'!$E$2=AW43),'2026DATA'!$F$32,"")</f>
        <v/>
      </c>
      <c r="AX73" s="518" t="str">
        <f>IF(AND(_3="A-319",'2026'!$E$4="FO",'2026'!$E$2=AX43),'2026DATA'!$G$32,"")</f>
        <v/>
      </c>
      <c r="AY73" s="518" t="str">
        <f>IF(AND(_3="A-319",'2026'!$E$4="FO",'2026'!$E$2=AY43),'2026DATA'!$H$32,"")</f>
        <v/>
      </c>
      <c r="AZ73" s="518" t="str">
        <f>IF(AND(_3="A-319",'2026'!$E$4="FO",'2026'!$E$2=AZ43),'2026DATA'!$I$32,"")</f>
        <v/>
      </c>
      <c r="BA73" s="518" t="str">
        <f>IF(AND(_3="A-319",'2026'!$E$4="FO",'2026'!$E$2=BA43),'2026DATA'!$J$32,"")</f>
        <v/>
      </c>
      <c r="BB73" s="518" t="str">
        <f>IF(AND(_3="A-319",'2026'!$E$4="FO",'2026'!$E$2=BB43),'2026DATA'!$K$32,"")</f>
        <v/>
      </c>
      <c r="BC73" s="518" t="str">
        <f>IF(AND(_3="A-319",'2026'!$E$4="FO",'2026'!$E$2=BC43),'2026DATA'!$L$32,"")</f>
        <v/>
      </c>
      <c r="BD73" s="518" t="str">
        <f>IF(AND(_3="A-319",'2026'!$E$4="FO",'2026'!$E$2=BD43),'2026DATA'!$M$32,"")</f>
        <v/>
      </c>
      <c r="BE73" s="520" t="str">
        <f>IF(AND(_3="A-319",'2026'!$E$4="FO",'2026'!$E$2=BE43),'2026DATA'!$N$32,"")</f>
        <v/>
      </c>
      <c r="BF73" s="940"/>
      <c r="BG73" s="13" t="s">
        <v>62</v>
      </c>
      <c r="BH73" s="518" t="str">
        <f>IF(AND(_4="A-319",'2026'!$E$4="FO",'2026'!$E$2=BH43),'2026DATA'!$C$32,"")</f>
        <v/>
      </c>
      <c r="BI73" s="518" t="str">
        <f>IF(AND(_4="A-319",'2026'!$E$4="FO",'2026'!$E$2=BI43),'2026DATA'!$D$32,"")</f>
        <v/>
      </c>
      <c r="BJ73" s="518" t="str">
        <f>IF(AND(_4="A-319",'2026'!$E$4="FO",'2026'!$E$2=BJ43),'2026DATA'!$E$32,"")</f>
        <v/>
      </c>
      <c r="BK73" s="518" t="str">
        <f>IF(AND(_4="A-319",'2026'!$E$4="FO",'2026'!$E$2=BK43),'2026DATA'!$F$32,"")</f>
        <v/>
      </c>
      <c r="BL73" s="518" t="str">
        <f>IF(AND(_4="A-319",'2026'!$E$4="FO",'2026'!$E$2=BL43),'2026DATA'!$G$32,"")</f>
        <v/>
      </c>
      <c r="BM73" s="518" t="str">
        <f>IF(AND(_4="A-319",'2026'!$E$4="FO",'2026'!$E$2=BM43),'2026DATA'!$H$32,"")</f>
        <v/>
      </c>
      <c r="BN73" s="518" t="str">
        <f>IF(AND(_4="A-319",'2026'!$E$4="FO",'2026'!$E$2=BN43),'2026DATA'!$I$32,"")</f>
        <v/>
      </c>
      <c r="BO73" s="518" t="str">
        <f>IF(AND(_4="A-319",'2026'!$E$4="FO",'2026'!$E$2=BO43),'2026DATA'!$J$32,"")</f>
        <v/>
      </c>
      <c r="BP73" s="518" t="str">
        <f>IF(AND(_4="A-319",'2026'!$E$4="FO",'2026'!$E$2=BP43),'2026DATA'!$K$32,"")</f>
        <v/>
      </c>
      <c r="BQ73" s="518" t="str">
        <f>IF(AND(_4="A-319",'2026'!$E$4="FO",'2026'!$E$2=BQ43),'2026DATA'!$L$32,"")</f>
        <v/>
      </c>
      <c r="BR73" s="518" t="str">
        <f>IF(AND(_4="A-319",'2026'!$E$4="FO",'2026'!$E$2=BR43),'2026DATA'!$M$32,"")</f>
        <v/>
      </c>
      <c r="BS73" s="520" t="str">
        <f>IF(AND(_4="A-319",'2026'!$E$4="FO",'2026'!$E$2=BS43),'2026DATA'!$N$32,"")</f>
        <v/>
      </c>
      <c r="BT73" s="940"/>
      <c r="BU73" s="13" t="s">
        <v>62</v>
      </c>
      <c r="BV73" s="518" t="str">
        <f>IF(AND(_5="A-319",'2026'!$E$4="FO",'2026'!$E$2=BV43),'2026DATA'!$C$32,"")</f>
        <v/>
      </c>
      <c r="BW73" s="518" t="str">
        <f>IF(AND(_5="A-319",'2026'!$E$4="FO",'2026'!$E$2=BW43),'2026DATA'!$D$32,"")</f>
        <v/>
      </c>
      <c r="BX73" s="518" t="str">
        <f>IF(AND(_5="A-319",'2026'!$E$4="FO",'2026'!$E$2=BX43),'2026DATA'!$E$32,"")</f>
        <v/>
      </c>
      <c r="BY73" s="518" t="str">
        <f>IF(AND(_5="A-319",'2026'!$E$4="FO",'2026'!$E$2=BY43),'2026DATA'!$F$32,"")</f>
        <v/>
      </c>
      <c r="BZ73" s="518" t="str">
        <f>IF(AND(_5="A-319",'2026'!$E$4="FO",'2026'!$E$2=BZ43),'2026DATA'!$G$32,"")</f>
        <v/>
      </c>
      <c r="CA73" s="518" t="str">
        <f>IF(AND(_5="A-319",'2026'!$E$4="FO",'2026'!$E$2=CA43),'2026DATA'!$H$32,"")</f>
        <v/>
      </c>
      <c r="CB73" s="518" t="str">
        <f>IF(AND(_5="A-319",'2026'!$E$4="FO",'2026'!$E$2=CB43),'2026DATA'!$I$32,"")</f>
        <v/>
      </c>
      <c r="CC73" s="518" t="str">
        <f>IF(AND(_5="A-319",'2026'!$E$4="FO",'2026'!$E$2=CC43),'2026DATA'!$J$32,"")</f>
        <v/>
      </c>
      <c r="CD73" s="518" t="str">
        <f>IF(AND(_5="A-319",'2026'!$E$4="FO",'2026'!$E$2=CD43),'2026DATA'!$K$32,"")</f>
        <v/>
      </c>
      <c r="CE73" s="518" t="str">
        <f>IF(AND(_5="A-319",'2026'!$E$4="FO",'2026'!$E$2=CE43),'2026DATA'!$L$32,"")</f>
        <v/>
      </c>
      <c r="CF73" s="518" t="str">
        <f>IF(AND(_5="A-319",'2026'!$E$4="FO",'2026'!$E$2=CF43),'2026DATA'!$M$32,"")</f>
        <v/>
      </c>
      <c r="CG73" s="520" t="str">
        <f>IF(AND(_5="A-319",'2026'!$E$4="FO",'2026'!$E$2=CG43),'2026DATA'!$N$32,"")</f>
        <v/>
      </c>
      <c r="CH73" s="940"/>
      <c r="CI73" s="13" t="s">
        <v>62</v>
      </c>
      <c r="CJ73" s="518" t="str">
        <f>IF(AND(_6="A-319",'2026'!$E$4="FO",'2026'!$E$2=CJ43),'2026DATA'!$C$32,"")</f>
        <v/>
      </c>
      <c r="CK73" s="518" t="str">
        <f>IF(AND(_6="A-319",'2026'!$E$4="FO",'2026'!$E$2=CK43),'2026DATA'!$D$32,"")</f>
        <v/>
      </c>
      <c r="CL73" s="518" t="str">
        <f>IF(AND(_6="A-319",'2026'!$E$4="FO",'2026'!$E$2=CL43),'2026DATA'!$E$32,"")</f>
        <v/>
      </c>
      <c r="CM73" s="518" t="str">
        <f>IF(AND(_6="A-319",'2026'!$E$4="FO",'2026'!$E$2=CM43),'2026DATA'!$F$32,"")</f>
        <v/>
      </c>
      <c r="CN73" s="518" t="str">
        <f>IF(AND(_6="A-319",'2026'!$E$4="FO",'2026'!$E$2=CN43),'2026DATA'!$G$32,"")</f>
        <v/>
      </c>
      <c r="CO73" s="518" t="str">
        <f>IF(AND(_6="A-319",'2026'!$E$4="FO",'2026'!$E$2=CO43),'2026DATA'!$H$32,"")</f>
        <v/>
      </c>
      <c r="CP73" s="518" t="str">
        <f>IF(AND(_6="A-319",'2026'!$E$4="FO",'2026'!$E$2=CP43),'2026DATA'!$I$32,"")</f>
        <v/>
      </c>
      <c r="CQ73" s="518" t="str">
        <f>IF(AND(_6="A-319",'2026'!$E$4="FO",'2026'!$E$2=CQ43),'2026DATA'!$J$32,"")</f>
        <v/>
      </c>
      <c r="CR73" s="518" t="str">
        <f>IF(AND(_6="A-319",'2026'!$E$4="FO",'2026'!$E$2=CR43),'2026DATA'!$K$32,"")</f>
        <v/>
      </c>
      <c r="CS73" s="518" t="str">
        <f>IF(AND(_6="A-319",'2026'!$E$4="FO",'2026'!$E$2=CS43),'2026DATA'!$L$32,"")</f>
        <v/>
      </c>
      <c r="CT73" s="518" t="str">
        <f>IF(AND(_6="A-319",'2026'!$E$4="FO",'2026'!$E$2=CT43),'2026DATA'!$M$32,"")</f>
        <v/>
      </c>
      <c r="CU73" s="520" t="str">
        <f>IF(AND(_6="A-319",'2026'!$E$4="FO",'2026'!$E$2=CU43),'2026DATA'!$N$32,"")</f>
        <v/>
      </c>
    </row>
    <row r="74" spans="16:99" x14ac:dyDescent="0.25">
      <c r="P74" s="940" t="s">
        <v>51</v>
      </c>
      <c r="Q74" s="13" t="s">
        <v>61</v>
      </c>
      <c r="R74" s="518" t="str">
        <f>IF(AND(_1="A-220-300",'2026'!$E$4="CA",'2026'!$E$2=R43),'2026DATA'!$C$33,"")</f>
        <v/>
      </c>
      <c r="S74" s="518" t="str">
        <f>IF(AND(_1="A-220-300",'2026'!$E$4="CA",'2026'!$E$2=S43),'2026DATA'!$D$33,"")</f>
        <v/>
      </c>
      <c r="T74" s="518" t="str">
        <f>IF(AND(_1="A-220-300",'2026'!$E$4="CA",'2026'!$E$2=T43),'2026DATA'!$E$33,"")</f>
        <v/>
      </c>
      <c r="U74" s="518" t="str">
        <f>IF(AND(_1="A-220-300",'2026'!$E$4="CA",'2026'!$E$2=U43),'2026DATA'!$F$33,"")</f>
        <v/>
      </c>
      <c r="V74" s="518" t="str">
        <f>IF(AND(_1="A-220-300",'2026'!$E$4="CA",'2026'!$E$2=V43),'2026DATA'!$G$33,"")</f>
        <v/>
      </c>
      <c r="W74" s="518" t="str">
        <f>IF(AND(_1="A-220-300",'2026'!$E$4="CA",'2026'!$E$2=W43),'2026DATA'!$H$33,"")</f>
        <v/>
      </c>
      <c r="X74" s="518" t="str">
        <f>IF(AND(_1="A-220-300",'2026'!$E$4="CA",'2026'!$E$2=X43),'2026DATA'!$I$33,"")</f>
        <v/>
      </c>
      <c r="Y74" s="518" t="str">
        <f>IF(AND(_1="A-220-300",'2026'!$E$4="CA",'2026'!$E$2=Y43),'2026DATA'!$J$33,"")</f>
        <v/>
      </c>
      <c r="Z74" s="518" t="str">
        <f>IF(AND(_1="A-220-300",'2026'!$E$4="CA",'2026'!$E$2=Z43),'2026DATA'!$K$33,"")</f>
        <v/>
      </c>
      <c r="AA74" s="518" t="str">
        <f>IF(AND(_1="A-220-300",'2026'!$E$4="CA",'2026'!$E$2=AA43),'2026DATA'!$L$33,"")</f>
        <v/>
      </c>
      <c r="AB74" s="518" t="str">
        <f>IF(AND(_1="A-220-300",'2026'!$E$4="CA",'2026'!$E$2=AB43),'2026DATA'!$M$33,"")</f>
        <v/>
      </c>
      <c r="AC74" s="520" t="str">
        <f>IF(AND(_1="A-220-300",'2026'!$E$4="CA",'2026'!$E$2=AC43),'2026DATA'!$N$33,"")</f>
        <v/>
      </c>
      <c r="AD74" s="940" t="s">
        <v>51</v>
      </c>
      <c r="AE74" s="13" t="s">
        <v>61</v>
      </c>
      <c r="AF74" s="518" t="str">
        <f>IF(AND(_2="A-220-300",'2026'!$E$4="CA",'2026'!$E$2=AF43),'2026DATA'!$C$33,"")</f>
        <v/>
      </c>
      <c r="AG74" s="518" t="str">
        <f>IF(AND(_2="A-220-300",'2026'!$E$4="CA",'2026'!$E$2=AG43),'2026DATA'!$D$33,"")</f>
        <v/>
      </c>
      <c r="AH74" s="518" t="str">
        <f>IF(AND(_2="A-220-300",'2026'!$E$4="CA",'2026'!$E$2=AH43),'2026DATA'!$E$33,"")</f>
        <v/>
      </c>
      <c r="AI74" s="518" t="str">
        <f>IF(AND(_2="A-220-300",'2026'!$E$4="CA",'2026'!$E$2=AI43),'2026DATA'!$F$33,"")</f>
        <v/>
      </c>
      <c r="AJ74" s="518" t="str">
        <f>IF(AND(_2="A-220-300",'2026'!$E$4="CA",'2026'!$E$2=AJ43),'2026DATA'!$G$33,"")</f>
        <v/>
      </c>
      <c r="AK74" s="518" t="str">
        <f>IF(AND(_2="A-220-300",'2026'!$E$4="CA",'2026'!$E$2=AK43),'2026DATA'!$H$33,"")</f>
        <v/>
      </c>
      <c r="AL74" s="518" t="str">
        <f>IF(AND(_2="A-220-300",'2026'!$E$4="CA",'2026'!$E$2=AL43),'2026DATA'!$I$33,"")</f>
        <v/>
      </c>
      <c r="AM74" s="518" t="str">
        <f>IF(AND(_2="A-220-300",'2026'!$E$4="CA",'2026'!$E$2=AM43),'2026DATA'!$J$33,"")</f>
        <v/>
      </c>
      <c r="AN74" s="518" t="str">
        <f>IF(AND(_2="A-220-300",'2026'!$E$4="CA",'2026'!$E$2=AN43),'2026DATA'!$K$33,"")</f>
        <v/>
      </c>
      <c r="AO74" s="518" t="str">
        <f>IF(AND(_2="A-220-300",'2026'!$E$4="CA",'2026'!$E$2=AO43),'2026DATA'!$L$33,"")</f>
        <v/>
      </c>
      <c r="AP74" s="518" t="str">
        <f>IF(AND(_2="A-220-300",'2026'!$E$4="CA",'2026'!$E$2=AP43),'2026DATA'!$M$33,"")</f>
        <v/>
      </c>
      <c r="AQ74" s="520" t="str">
        <f>IF(AND(_2="A-220-300",'2026'!$E$4="CA",'2026'!$E$2=AQ43),'2026DATA'!$N$33,"")</f>
        <v/>
      </c>
      <c r="AR74" s="940" t="s">
        <v>51</v>
      </c>
      <c r="AS74" s="13" t="s">
        <v>61</v>
      </c>
      <c r="AT74" s="518" t="str">
        <f>IF(AND(_3="A-220-300",'2026'!$E$4="CA",'2026'!$E$2=AT43),'2026DATA'!$C$33,"")</f>
        <v/>
      </c>
      <c r="AU74" s="518" t="str">
        <f>IF(AND(_3="A-220-300",'2026'!$E$4="CA",'2026'!$E$2=AU43),'2026DATA'!$D$33,"")</f>
        <v/>
      </c>
      <c r="AV74" s="518" t="str">
        <f>IF(AND(_3="A-220-300",'2026'!$E$4="CA",'2026'!$E$2=AV43),'2026DATA'!$E$33,"")</f>
        <v/>
      </c>
      <c r="AW74" s="518" t="str">
        <f>IF(AND(_3="A-220-300",'2026'!$E$4="CA",'2026'!$E$2=AW43),'2026DATA'!$F$33,"")</f>
        <v/>
      </c>
      <c r="AX74" s="518" t="str">
        <f>IF(AND(_3="A-220-300",'2026'!$E$4="CA",'2026'!$E$2=AX43),'2026DATA'!$G$33,"")</f>
        <v/>
      </c>
      <c r="AY74" s="518" t="str">
        <f>IF(AND(_3="A-220-300",'2026'!$E$4="CA",'2026'!$E$2=AY43),'2026DATA'!$H$33,"")</f>
        <v/>
      </c>
      <c r="AZ74" s="518" t="str">
        <f>IF(AND(_3="A-220-300",'2026'!$E$4="CA",'2026'!$E$2=AZ43),'2026DATA'!$I$33,"")</f>
        <v/>
      </c>
      <c r="BA74" s="518" t="str">
        <f>IF(AND(_3="A-220-300",'2026'!$E$4="CA",'2026'!$E$2=BA43),'2026DATA'!$J$33,"")</f>
        <v/>
      </c>
      <c r="BB74" s="518" t="str">
        <f>IF(AND(_3="A-220-300",'2026'!$E$4="CA",'2026'!$E$2=BB43),'2026DATA'!$K$33,"")</f>
        <v/>
      </c>
      <c r="BC74" s="518" t="str">
        <f>IF(AND(_3="A-220-300",'2026'!$E$4="CA",'2026'!$E$2=BC43),'2026DATA'!$L$33,"")</f>
        <v/>
      </c>
      <c r="BD74" s="518" t="str">
        <f>IF(AND(_3="A-220-300",'2026'!$E$4="CA",'2026'!$E$2=BD43),'2026DATA'!$M$33,"")</f>
        <v/>
      </c>
      <c r="BE74" s="520" t="str">
        <f>IF(AND(_3="A-220-300",'2026'!$E$4="CA",'2026'!$E$2=BE43),'2026DATA'!$N$33,"")</f>
        <v/>
      </c>
      <c r="BF74" s="940" t="s">
        <v>51</v>
      </c>
      <c r="BG74" s="13" t="s">
        <v>61</v>
      </c>
      <c r="BH74" s="518" t="str">
        <f>IF(AND(_4="A-220-300",'2026'!$E$4="CA",'2026'!$E$2=BH43),'2026DATA'!$C$33,"")</f>
        <v/>
      </c>
      <c r="BI74" s="518" t="str">
        <f>IF(AND(_4="A-220-300",'2026'!$E$4="CA",'2026'!$E$2=BI43),'2026DATA'!$D$33,"")</f>
        <v/>
      </c>
      <c r="BJ74" s="518" t="str">
        <f>IF(AND(_4="A-220-300",'2026'!$E$4="CA",'2026'!$E$2=BJ43),'2026DATA'!$E$33,"")</f>
        <v/>
      </c>
      <c r="BK74" s="518" t="str">
        <f>IF(AND(_4="A-220-300",'2026'!$E$4="CA",'2026'!$E$2=BK43),'2026DATA'!$F$33,"")</f>
        <v/>
      </c>
      <c r="BL74" s="518" t="str">
        <f>IF(AND(_4="A-220-300",'2026'!$E$4="CA",'2026'!$E$2=BL43),'2026DATA'!$G$33,"")</f>
        <v/>
      </c>
      <c r="BM74" s="518" t="str">
        <f>IF(AND(_4="A-220-300",'2026'!$E$4="CA",'2026'!$E$2=BM43),'2026DATA'!$H$33,"")</f>
        <v/>
      </c>
      <c r="BN74" s="518" t="str">
        <f>IF(AND(_4="A-220-300",'2026'!$E$4="CA",'2026'!$E$2=BN43),'2026DATA'!$I$33,"")</f>
        <v/>
      </c>
      <c r="BO74" s="518" t="str">
        <f>IF(AND(_4="A-220-300",'2026'!$E$4="CA",'2026'!$E$2=BO43),'2026DATA'!$J$33,"")</f>
        <v/>
      </c>
      <c r="BP74" s="518" t="str">
        <f>IF(AND(_4="A-220-300",'2026'!$E$4="CA",'2026'!$E$2=BP43),'2026DATA'!$K$33,"")</f>
        <v/>
      </c>
      <c r="BQ74" s="518" t="str">
        <f>IF(AND(_4="A-220-300",'2026'!$E$4="CA",'2026'!$E$2=BQ43),'2026DATA'!$L$33,"")</f>
        <v/>
      </c>
      <c r="BR74" s="518" t="str">
        <f>IF(AND(_4="A-220-300",'2026'!$E$4="CA",'2026'!$E$2=BR43),'2026DATA'!$M$33,"")</f>
        <v/>
      </c>
      <c r="BS74" s="520" t="str">
        <f>IF(AND(_4="A-220-300",'2026'!$E$4="CA",'2026'!$E$2=BS43),'2026DATA'!$N$33,"")</f>
        <v/>
      </c>
      <c r="BT74" s="940" t="s">
        <v>51</v>
      </c>
      <c r="BU74" s="13" t="s">
        <v>61</v>
      </c>
      <c r="BV74" s="518" t="str">
        <f>IF(AND(_5="A-220-300",'2026'!$E$4="CA",'2026'!$E$2=BV43),'2026DATA'!$C$33,"")</f>
        <v/>
      </c>
      <c r="BW74" s="518" t="str">
        <f>IF(AND(_5="A-220-300",'2026'!$E$4="CA",'2026'!$E$2=BW43),'2026DATA'!$D$33,"")</f>
        <v/>
      </c>
      <c r="BX74" s="518" t="str">
        <f>IF(AND(_5="A-220-300",'2026'!$E$4="CA",'2026'!$E$2=BX43),'2026DATA'!$E$33,"")</f>
        <v/>
      </c>
      <c r="BY74" s="518" t="str">
        <f>IF(AND(_5="A-220-300",'2026'!$E$4="CA",'2026'!$E$2=BY43),'2026DATA'!$F$33,"")</f>
        <v/>
      </c>
      <c r="BZ74" s="518" t="str">
        <f>IF(AND(_5="A-220-300",'2026'!$E$4="CA",'2026'!$E$2=BZ43),'2026DATA'!$G$33,"")</f>
        <v/>
      </c>
      <c r="CA74" s="518" t="str">
        <f>IF(AND(_5="A-220-300",'2026'!$E$4="CA",'2026'!$E$2=CA43),'2026DATA'!$H$33,"")</f>
        <v/>
      </c>
      <c r="CB74" s="518" t="str">
        <f>IF(AND(_5="A-220-300",'2026'!$E$4="CA",'2026'!$E$2=CB43),'2026DATA'!$I$33,"")</f>
        <v/>
      </c>
      <c r="CC74" s="518" t="str">
        <f>IF(AND(_5="A-220-300",'2026'!$E$4="CA",'2026'!$E$2=CC43),'2026DATA'!$J$33,"")</f>
        <v/>
      </c>
      <c r="CD74" s="518" t="str">
        <f>IF(AND(_5="A-220-300",'2026'!$E$4="CA",'2026'!$E$2=CD43),'2026DATA'!$K$33,"")</f>
        <v/>
      </c>
      <c r="CE74" s="518" t="str">
        <f>IF(AND(_5="A-220-300",'2026'!$E$4="CA",'2026'!$E$2=CE43),'2026DATA'!$L$33,"")</f>
        <v/>
      </c>
      <c r="CF74" s="518" t="str">
        <f>IF(AND(_5="A-220-300",'2026'!$E$4="CA",'2026'!$E$2=CF43),'2026DATA'!$M$33,"")</f>
        <v/>
      </c>
      <c r="CG74" s="520" t="str">
        <f>IF(AND(_5="A-220-300",'2026'!$E$4="CA",'2026'!$E$2=CG43),'2026DATA'!$N$33,"")</f>
        <v/>
      </c>
      <c r="CH74" s="940" t="s">
        <v>51</v>
      </c>
      <c r="CI74" s="13" t="s">
        <v>61</v>
      </c>
      <c r="CJ74" s="518" t="str">
        <f>IF(AND(_6="A-220-300",'2026'!$E$4="CA",'2026'!$E$2=CJ43),'2026DATA'!$C$33,"")</f>
        <v/>
      </c>
      <c r="CK74" s="518" t="str">
        <f>IF(AND(_6="A-220-300",'2026'!$E$4="CA",'2026'!$E$2=CK43),'2026DATA'!$D$33,"")</f>
        <v/>
      </c>
      <c r="CL74" s="518" t="str">
        <f>IF(AND(_6="A-220-300",'2026'!$E$4="CA",'2026'!$E$2=CL43),'2026DATA'!$E$33,"")</f>
        <v/>
      </c>
      <c r="CM74" s="518" t="str">
        <f>IF(AND(_6="A-220-300",'2026'!$E$4="CA",'2026'!$E$2=CM43),'2026DATA'!$F$33,"")</f>
        <v/>
      </c>
      <c r="CN74" s="518" t="str">
        <f>IF(AND(_6="A-220-300",'2026'!$E$4="CA",'2026'!$E$2=CN43),'2026DATA'!$G$33,"")</f>
        <v/>
      </c>
      <c r="CO74" s="518" t="str">
        <f>IF(AND(_6="A-220-300",'2026'!$E$4="CA",'2026'!$E$2=CO43),'2026DATA'!$H$33,"")</f>
        <v/>
      </c>
      <c r="CP74" s="518" t="str">
        <f>IF(AND(_6="A-220-300",'2026'!$E$4="CA",'2026'!$E$2=CP43),'2026DATA'!$I$33,"")</f>
        <v/>
      </c>
      <c r="CQ74" s="518" t="str">
        <f>IF(AND(_6="A-220-300",'2026'!$E$4="CA",'2026'!$E$2=CQ43),'2026DATA'!$J$33,"")</f>
        <v/>
      </c>
      <c r="CR74" s="518" t="str">
        <f>IF(AND(_6="A-220-300",'2026'!$E$4="CA",'2026'!$E$2=CR43),'2026DATA'!$K$33,"")</f>
        <v/>
      </c>
      <c r="CS74" s="518" t="str">
        <f>IF(AND(_6="A-220-300",'2026'!$E$4="CA",'2026'!$E$2=CS43),'2026DATA'!$L$33,"")</f>
        <v/>
      </c>
      <c r="CT74" s="518" t="str">
        <f>IF(AND(_6="A-220-300",'2026'!$E$4="CA",'2026'!$E$2=CT43),'2026DATA'!$M$33,"")</f>
        <v/>
      </c>
      <c r="CU74" s="520" t="str">
        <f>IF(AND(_6="A-220-300",'2026'!$E$4="CA",'2026'!$E$2=CU43),'2026DATA'!$N$33,"")</f>
        <v/>
      </c>
    </row>
    <row r="75" spans="16:99" x14ac:dyDescent="0.25">
      <c r="P75" s="940"/>
      <c r="Q75" s="13" t="s">
        <v>62</v>
      </c>
      <c r="R75" s="518" t="str">
        <f>IF(AND(_1="A-220-300",'2026'!$E$4="FO",'2026'!$E$2=R43),'2026DATA'!$C$34,"")</f>
        <v/>
      </c>
      <c r="S75" s="518" t="str">
        <f>IF(AND(_1="A-220-300",'2026'!$E$4="FO",'2026'!$E$2=S43),'2026DATA'!$D$34,"")</f>
        <v/>
      </c>
      <c r="T75" s="518" t="str">
        <f>IF(AND(_1="A-220-300",'2026'!$E$4="FO",'2026'!$E$2=T43),'2026DATA'!$E$34,"")</f>
        <v/>
      </c>
      <c r="U75" s="518" t="str">
        <f>IF(AND(_1="A-220-300",'2026'!$E$4="FO",'2026'!$E$2=U43),'2026DATA'!$F$34,"")</f>
        <v/>
      </c>
      <c r="V75" s="518" t="str">
        <f>IF(AND(_1="A-220-300",'2026'!$E$4="FO",'2026'!$E$2=V43),'2026DATA'!$G$34,"")</f>
        <v/>
      </c>
      <c r="W75" s="518" t="str">
        <f>IF(AND(_1="A-220-300",'2026'!$E$4="FO",'2026'!$E$2=W43),'2026DATA'!$H$34,"")</f>
        <v/>
      </c>
      <c r="X75" s="518" t="str">
        <f>IF(AND(_1="A-220-300",'2026'!$E$4="FO",'2026'!$E$2=X43),'2026DATA'!$I$34,"")</f>
        <v/>
      </c>
      <c r="Y75" s="518" t="str">
        <f>IF(AND(_1="A-220-300",'2026'!$E$4="FO",'2026'!$E$2=Y43),'2026DATA'!$J$34,"")</f>
        <v/>
      </c>
      <c r="Z75" s="518" t="str">
        <f>IF(AND(_1="A-220-300",'2026'!$E$4="FO",'2026'!$E$2=Z43),'2026DATA'!$K$34,"")</f>
        <v/>
      </c>
      <c r="AA75" s="518" t="str">
        <f>IF(AND(_1="A-220-300",'2026'!$E$4="FO",'2026'!$E$2=AA43),'2026DATA'!$L$34,"")</f>
        <v/>
      </c>
      <c r="AB75" s="518" t="str">
        <f>IF(AND(_1="A-220-300",'2026'!$E$4="FO",'2026'!$E$2=AB43),'2026DATA'!$M$34,"")</f>
        <v/>
      </c>
      <c r="AC75" s="520" t="str">
        <f>IF(AND(_1="A-220-300",'2026'!$E$4="FO",'2026'!$E$2=AC43),'2026DATA'!$N$34,"")</f>
        <v/>
      </c>
      <c r="AD75" s="940"/>
      <c r="AE75" s="13" t="s">
        <v>62</v>
      </c>
      <c r="AF75" s="518" t="str">
        <f>IF(AND(_2="A-220-300",'2026'!$E$4="FO",'2026'!$E$2=AF43),'2026DATA'!$C$34,"")</f>
        <v/>
      </c>
      <c r="AG75" s="518" t="str">
        <f>IF(AND(_2="A-220-300",'2026'!$E$4="FO",'2026'!$E$2=AG43),'2026DATA'!$D$34,"")</f>
        <v/>
      </c>
      <c r="AH75" s="518" t="str">
        <f>IF(AND(_2="A-220-300",'2026'!$E$4="FO",'2026'!$E$2=AH43),'2026DATA'!$E$34,"")</f>
        <v/>
      </c>
      <c r="AI75" s="518" t="str">
        <f>IF(AND(_2="A-220-300",'2026'!$E$4="FO",'2026'!$E$2=AI43),'2026DATA'!$F$34,"")</f>
        <v/>
      </c>
      <c r="AJ75" s="518" t="str">
        <f>IF(AND(_2="A-220-300",'2026'!$E$4="FO",'2026'!$E$2=AJ43),'2026DATA'!$G$34,"")</f>
        <v/>
      </c>
      <c r="AK75" s="518" t="str">
        <f>IF(AND(_2="A-220-300",'2026'!$E$4="FO",'2026'!$E$2=AK43),'2026DATA'!$H$34,"")</f>
        <v/>
      </c>
      <c r="AL75" s="518" t="str">
        <f>IF(AND(_2="A-220-300",'2026'!$E$4="FO",'2026'!$E$2=AL43),'2026DATA'!$I$34,"")</f>
        <v/>
      </c>
      <c r="AM75" s="518" t="str">
        <f>IF(AND(_2="A-220-300",'2026'!$E$4="FO",'2026'!$E$2=AM43),'2026DATA'!$J$34,"")</f>
        <v/>
      </c>
      <c r="AN75" s="518" t="str">
        <f>IF(AND(_2="A-220-300",'2026'!$E$4="FO",'2026'!$E$2=AN43),'2026DATA'!$K$34,"")</f>
        <v/>
      </c>
      <c r="AO75" s="518" t="str">
        <f>IF(AND(_2="A-220-300",'2026'!$E$4="FO",'2026'!$E$2=AO43),'2026DATA'!$L$34,"")</f>
        <v/>
      </c>
      <c r="AP75" s="518" t="str">
        <f>IF(AND(_2="A-220-300",'2026'!$E$4="FO",'2026'!$E$2=AP43),'2026DATA'!$M$34,"")</f>
        <v/>
      </c>
      <c r="AQ75" s="520" t="str">
        <f>IF(AND(_2="A-220-300",'2026'!$E$4="FO",'2026'!$E$2=AQ43),'2026DATA'!$N$34,"")</f>
        <v/>
      </c>
      <c r="AR75" s="940"/>
      <c r="AS75" s="13" t="s">
        <v>62</v>
      </c>
      <c r="AT75" s="518" t="str">
        <f>IF(AND(_3="A-220-300",'2026'!$E$4="FO",'2026'!$E$2=AT43),'2026DATA'!$C$34,"")</f>
        <v/>
      </c>
      <c r="AU75" s="518" t="str">
        <f>IF(AND(_3="A-220-300",'2026'!$E$4="FO",'2026'!$E$2=AU43),'2026DATA'!$D$34,"")</f>
        <v/>
      </c>
      <c r="AV75" s="518" t="str">
        <f>IF(AND(_3="A-220-300",'2026'!$E$4="FO",'2026'!$E$2=AV43),'2026DATA'!$E$34,"")</f>
        <v/>
      </c>
      <c r="AW75" s="518" t="str">
        <f>IF(AND(_3="A-220-300",'2026'!$E$4="FO",'2026'!$E$2=AW43),'2026DATA'!$F$34,"")</f>
        <v/>
      </c>
      <c r="AX75" s="518" t="str">
        <f>IF(AND(_3="A-220-300",'2026'!$E$4="FO",'2026'!$E$2=AX43),'2026DATA'!$G$34,"")</f>
        <v/>
      </c>
      <c r="AY75" s="518" t="str">
        <f>IF(AND(_3="A-220-300",'2026'!$E$4="FO",'2026'!$E$2=AY43),'2026DATA'!$H$34,"")</f>
        <v/>
      </c>
      <c r="AZ75" s="518" t="str">
        <f>IF(AND(_3="A-220-300",'2026'!$E$4="FO",'2026'!$E$2=AZ43),'2026DATA'!$I$34,"")</f>
        <v/>
      </c>
      <c r="BA75" s="518" t="str">
        <f>IF(AND(_3="A-220-300",'2026'!$E$4="FO",'2026'!$E$2=BA43),'2026DATA'!$J$34,"")</f>
        <v/>
      </c>
      <c r="BB75" s="518" t="str">
        <f>IF(AND(_3="A-220-300",'2026'!$E$4="FO",'2026'!$E$2=BB43),'2026DATA'!$K$34,"")</f>
        <v/>
      </c>
      <c r="BC75" s="518" t="str">
        <f>IF(AND(_3="A-220-300",'2026'!$E$4="FO",'2026'!$E$2=BC43),'2026DATA'!$L$34,"")</f>
        <v/>
      </c>
      <c r="BD75" s="518" t="str">
        <f>IF(AND(_3="A-220-300",'2026'!$E$4="FO",'2026'!$E$2=BD43),'2026DATA'!$M$34,"")</f>
        <v/>
      </c>
      <c r="BE75" s="520" t="str">
        <f>IF(AND(_3="A-220-300",'2026'!$E$4="FO",'2026'!$E$2=BE43),'2026DATA'!$N$34,"")</f>
        <v/>
      </c>
      <c r="BF75" s="940"/>
      <c r="BG75" s="13" t="s">
        <v>62</v>
      </c>
      <c r="BH75" s="518" t="str">
        <f>IF(AND(_4="A-220-300",'2026'!$E$4="FO",'2026'!$E$2=BH43),'2026DATA'!$C$34,"")</f>
        <v/>
      </c>
      <c r="BI75" s="518" t="str">
        <f>IF(AND(_4="A-220-300",'2026'!$E$4="FO",'2026'!$E$2=BI43),'2026DATA'!$D$34,"")</f>
        <v/>
      </c>
      <c r="BJ75" s="518" t="str">
        <f>IF(AND(_4="A-220-300",'2026'!$E$4="FO",'2026'!$E$2=BJ43),'2026DATA'!$E$34,"")</f>
        <v/>
      </c>
      <c r="BK75" s="518" t="str">
        <f>IF(AND(_4="A-220-300",'2026'!$E$4="FO",'2026'!$E$2=BK43),'2026DATA'!$F$34,"")</f>
        <v/>
      </c>
      <c r="BL75" s="518" t="str">
        <f>IF(AND(_4="A-220-300",'2026'!$E$4="FO",'2026'!$E$2=BL43),'2026DATA'!$G$34,"")</f>
        <v/>
      </c>
      <c r="BM75" s="518" t="str">
        <f>IF(AND(_4="A-220-300",'2026'!$E$4="FO",'2026'!$E$2=BM43),'2026DATA'!$H$34,"")</f>
        <v/>
      </c>
      <c r="BN75" s="518" t="str">
        <f>IF(AND(_4="A-220-300",'2026'!$E$4="FO",'2026'!$E$2=BN43),'2026DATA'!$I$34,"")</f>
        <v/>
      </c>
      <c r="BO75" s="518" t="str">
        <f>IF(AND(_4="A-220-300",'2026'!$E$4="FO",'2026'!$E$2=BO43),'2026DATA'!$J$34,"")</f>
        <v/>
      </c>
      <c r="BP75" s="518" t="str">
        <f>IF(AND(_4="A-220-300",'2026'!$E$4="FO",'2026'!$E$2=BP43),'2026DATA'!$K$34,"")</f>
        <v/>
      </c>
      <c r="BQ75" s="518" t="str">
        <f>IF(AND(_4="A-220-300",'2026'!$E$4="FO",'2026'!$E$2=BQ43),'2026DATA'!$L$34,"")</f>
        <v/>
      </c>
      <c r="BR75" s="518" t="str">
        <f>IF(AND(_4="A-220-300",'2026'!$E$4="FO",'2026'!$E$2=BR43),'2026DATA'!$M$34,"")</f>
        <v/>
      </c>
      <c r="BS75" s="520" t="str">
        <f>IF(AND(_4="A-220-300",'2026'!$E$4="FO",'2026'!$E$2=BS43),'2026DATA'!$N$34,"")</f>
        <v/>
      </c>
      <c r="BT75" s="940"/>
      <c r="BU75" s="13" t="s">
        <v>62</v>
      </c>
      <c r="BV75" s="518" t="str">
        <f>IF(AND(_5="A-220-300",'2026'!$E$4="FO",'2026'!$E$2=BV43),'2026DATA'!$C$34,"")</f>
        <v/>
      </c>
      <c r="BW75" s="518" t="str">
        <f>IF(AND(_5="A-220-300",'2026'!$E$4="FO",'2026'!$E$2=BW43),'2026DATA'!$D$34,"")</f>
        <v/>
      </c>
      <c r="BX75" s="518" t="str">
        <f>IF(AND(_5="A-220-300",'2026'!$E$4="FO",'2026'!$E$2=BX43),'2026DATA'!$E$34,"")</f>
        <v/>
      </c>
      <c r="BY75" s="518" t="str">
        <f>IF(AND(_5="A-220-300",'2026'!$E$4="FO",'2026'!$E$2=BY43),'2026DATA'!$F$34,"")</f>
        <v/>
      </c>
      <c r="BZ75" s="518" t="str">
        <f>IF(AND(_5="A-220-300",'2026'!$E$4="FO",'2026'!$E$2=BZ43),'2026DATA'!$G$34,"")</f>
        <v/>
      </c>
      <c r="CA75" s="518" t="str">
        <f>IF(AND(_5="A-220-300",'2026'!$E$4="FO",'2026'!$E$2=CA43),'2026DATA'!$H$34,"")</f>
        <v/>
      </c>
      <c r="CB75" s="518" t="str">
        <f>IF(AND(_5="A-220-300",'2026'!$E$4="FO",'2026'!$E$2=CB43),'2026DATA'!$I$34,"")</f>
        <v/>
      </c>
      <c r="CC75" s="518" t="str">
        <f>IF(AND(_5="A-220-300",'2026'!$E$4="FO",'2026'!$E$2=CC43),'2026DATA'!$J$34,"")</f>
        <v/>
      </c>
      <c r="CD75" s="518" t="str">
        <f>IF(AND(_5="A-220-300",'2026'!$E$4="FO",'2026'!$E$2=CD43),'2026DATA'!$K$34,"")</f>
        <v/>
      </c>
      <c r="CE75" s="518" t="str">
        <f>IF(AND(_5="A-220-300",'2026'!$E$4="FO",'2026'!$E$2=CE43),'2026DATA'!$L$34,"")</f>
        <v/>
      </c>
      <c r="CF75" s="518" t="str">
        <f>IF(AND(_5="A-220-300",'2026'!$E$4="FO",'2026'!$E$2=CF43),'2026DATA'!$M$34,"")</f>
        <v/>
      </c>
      <c r="CG75" s="520" t="str">
        <f>IF(AND(_5="A-220-300",'2026'!$E$4="FO",'2026'!$E$2=CG43),'2026DATA'!$N$34,"")</f>
        <v/>
      </c>
      <c r="CH75" s="940"/>
      <c r="CI75" s="13" t="s">
        <v>62</v>
      </c>
      <c r="CJ75" s="518" t="str">
        <f>IF(AND(_6="A-220-300",'2026'!$E$4="FO",'2026'!$E$2=CJ43),'2026DATA'!$C$34,"")</f>
        <v/>
      </c>
      <c r="CK75" s="518" t="str">
        <f>IF(AND(_6="A-220-300",'2026'!$E$4="FO",'2026'!$E$2=CK43),'2026DATA'!$D$34,"")</f>
        <v/>
      </c>
      <c r="CL75" s="518" t="str">
        <f>IF(AND(_6="A-220-300",'2026'!$E$4="FO",'2026'!$E$2=CL43),'2026DATA'!$E$34,"")</f>
        <v/>
      </c>
      <c r="CM75" s="518" t="str">
        <f>IF(AND(_6="A-220-300",'2026'!$E$4="FO",'2026'!$E$2=CM43),'2026DATA'!$F$34,"")</f>
        <v/>
      </c>
      <c r="CN75" s="518" t="str">
        <f>IF(AND(_6="A-220-300",'2026'!$E$4="FO",'2026'!$E$2=CN43),'2026DATA'!$G$34,"")</f>
        <v/>
      </c>
      <c r="CO75" s="518" t="str">
        <f>IF(AND(_6="A-220-300",'2026'!$E$4="FO",'2026'!$E$2=CO43),'2026DATA'!$H$34,"")</f>
        <v/>
      </c>
      <c r="CP75" s="518" t="str">
        <f>IF(AND(_6="A-220-300",'2026'!$E$4="FO",'2026'!$E$2=CP43),'2026DATA'!$I$34,"")</f>
        <v/>
      </c>
      <c r="CQ75" s="518" t="str">
        <f>IF(AND(_6="A-220-300",'2026'!$E$4="FO",'2026'!$E$2=CQ43),'2026DATA'!$J$34,"")</f>
        <v/>
      </c>
      <c r="CR75" s="518" t="str">
        <f>IF(AND(_6="A-220-300",'2026'!$E$4="FO",'2026'!$E$2=CR43),'2026DATA'!$K$34,"")</f>
        <v/>
      </c>
      <c r="CS75" s="518" t="str">
        <f>IF(AND(_6="A-220-300",'2026'!$E$4="FO",'2026'!$E$2=CS43),'2026DATA'!$L$34,"")</f>
        <v/>
      </c>
      <c r="CT75" s="518" t="str">
        <f>IF(AND(_6="A-220-300",'2026'!$E$4="FO",'2026'!$E$2=CT43),'2026DATA'!$M$34,"")</f>
        <v/>
      </c>
      <c r="CU75" s="520" t="str">
        <f>IF(AND(_6="A-220-300",'2026'!$E$4="FO",'2026'!$E$2=CU43),'2026DATA'!$N$34,"")</f>
        <v/>
      </c>
    </row>
    <row r="76" spans="16:99" x14ac:dyDescent="0.25">
      <c r="P76" s="940" t="s">
        <v>52</v>
      </c>
      <c r="Q76" s="13" t="s">
        <v>61</v>
      </c>
      <c r="R76" s="518" t="str">
        <f>IF(AND(_1="A-220-100",'2026'!$E$4="CA",'2026'!$E$2=R43),'2026DATA'!$C$35,"")</f>
        <v/>
      </c>
      <c r="S76" s="518" t="str">
        <f>IF(AND(_1="A-220-100",'2026'!$E$4="CA",'2026'!$E$2=S43),'2026DATA'!$D$35,"")</f>
        <v/>
      </c>
      <c r="T76" s="518" t="str">
        <f>IF(AND(_1="A-220-100",'2026'!$E$4="CA",'2026'!$E$2=T43),'2026DATA'!$E$35,"")</f>
        <v/>
      </c>
      <c r="U76" s="518" t="str">
        <f>IF(AND(_1="A-220-100",'2026'!$E$4="CA",'2026'!$E$2=U43),'2026DATA'!$F$35,"")</f>
        <v/>
      </c>
      <c r="V76" s="518" t="str">
        <f>IF(AND(_1="A-220-100",'2026'!$E$4="CA",'2026'!$E$2=V43),'2026DATA'!$G$35,"")</f>
        <v/>
      </c>
      <c r="W76" s="518" t="str">
        <f>IF(AND(_1="A-220-100",'2026'!$E$4="CA",'2026'!$E$2=W43),'2026DATA'!$H$35,"")</f>
        <v/>
      </c>
      <c r="X76" s="518" t="str">
        <f>IF(AND(_1="A-220-100",'2026'!$E$4="CA",'2026'!$E$2=X43),'2026DATA'!$I$35,"")</f>
        <v/>
      </c>
      <c r="Y76" s="518" t="str">
        <f>IF(AND(_1="A-220-100",'2026'!$E$4="CA",'2026'!$E$2=Y43),'2026DATA'!$J$35,"")</f>
        <v/>
      </c>
      <c r="Z76" s="518" t="str">
        <f>IF(AND(_1="A-220-100",'2026'!$E$4="CA",'2026'!$E$2=Z43),'2026DATA'!$K$35,"")</f>
        <v/>
      </c>
      <c r="AA76" s="518" t="str">
        <f>IF(AND(_1="A-220-100",'2026'!$E$4="CA",'2026'!$E$2=AA43),'2026DATA'!$L$35,"")</f>
        <v/>
      </c>
      <c r="AB76" s="518" t="str">
        <f>IF(AND(_1="A-220-100",'2026'!$E$4="CA",'2026'!$E$2=AB43),'2026DATA'!$M$35,"")</f>
        <v/>
      </c>
      <c r="AC76" s="520" t="str">
        <f>IF(AND(_1="A-220-100",'2026'!$E$4="CA",'2026'!$E$2=AC43),'2026DATA'!$N$35,"")</f>
        <v/>
      </c>
      <c r="AD76" s="940" t="s">
        <v>52</v>
      </c>
      <c r="AE76" s="13" t="s">
        <v>61</v>
      </c>
      <c r="AF76" s="518" t="str">
        <f>IF(AND(_2="A-220-100",'2026'!$E$4="CA",'2026'!$E$2=AF43),'2026DATA'!$C$35,"")</f>
        <v/>
      </c>
      <c r="AG76" s="518" t="str">
        <f>IF(AND(_2="A-220-100",'2026'!$E$4="CA",'2026'!$E$2=AG43),'2026DATA'!$D$35,"")</f>
        <v/>
      </c>
      <c r="AH76" s="518" t="str">
        <f>IF(AND(_2="A-220-100",'2026'!$E$4="CA",'2026'!$E$2=AH43),'2026DATA'!$E$35,"")</f>
        <v/>
      </c>
      <c r="AI76" s="518" t="str">
        <f>IF(AND(_2="A-220-100",'2026'!$E$4="CA",'2026'!$E$2=AI43),'2026DATA'!$F$35,"")</f>
        <v/>
      </c>
      <c r="AJ76" s="518" t="str">
        <f>IF(AND(_2="A-220-100",'2026'!$E$4="CA",'2026'!$E$2=AJ43),'2026DATA'!$G$35,"")</f>
        <v/>
      </c>
      <c r="AK76" s="518" t="str">
        <f>IF(AND(_2="A-220-100",'2026'!$E$4="CA",'2026'!$E$2=AK43),'2026DATA'!$H$35,"")</f>
        <v/>
      </c>
      <c r="AL76" s="518" t="str">
        <f>IF(AND(_2="A-220-100",'2026'!$E$4="CA",'2026'!$E$2=AL43),'2026DATA'!$I$35,"")</f>
        <v/>
      </c>
      <c r="AM76" s="518" t="str">
        <f>IF(AND(_2="A-220-100",'2026'!$E$4="CA",'2026'!$E$2=AM43),'2026DATA'!$J$35,"")</f>
        <v/>
      </c>
      <c r="AN76" s="518" t="str">
        <f>IF(AND(_2="A-220-100",'2026'!$E$4="CA",'2026'!$E$2=AN43),'2026DATA'!$K$35,"")</f>
        <v/>
      </c>
      <c r="AO76" s="518" t="str">
        <f>IF(AND(_2="A-220-100",'2026'!$E$4="CA",'2026'!$E$2=AO43),'2026DATA'!$L$35,"")</f>
        <v/>
      </c>
      <c r="AP76" s="518" t="str">
        <f>IF(AND(_2="A-220-100",'2026'!$E$4="CA",'2026'!$E$2=AP43),'2026DATA'!$M$35,"")</f>
        <v/>
      </c>
      <c r="AQ76" s="520" t="str">
        <f>IF(AND(_2="A-220-100",'2026'!$E$4="CA",'2026'!$E$2=AQ43),'2026DATA'!$N$35,"")</f>
        <v/>
      </c>
      <c r="AR76" s="940" t="s">
        <v>52</v>
      </c>
      <c r="AS76" s="13" t="s">
        <v>61</v>
      </c>
      <c r="AT76" s="518" t="str">
        <f>IF(AND(_3="A-220-100",'2026'!$E$4="CA",'2026'!$E$2=AT43),'2026DATA'!$C$35,"")</f>
        <v/>
      </c>
      <c r="AU76" s="518" t="str">
        <f>IF(AND(_3="A-220-100",'2026'!$E$4="CA",'2026'!$E$2=AU43),'2026DATA'!$D$35,"")</f>
        <v/>
      </c>
      <c r="AV76" s="518" t="str">
        <f>IF(AND(_3="A-220-100",'2026'!$E$4="CA",'2026'!$E$2=AV43),'2026DATA'!$E$35,"")</f>
        <v/>
      </c>
      <c r="AW76" s="518" t="str">
        <f>IF(AND(_3="A-220-100",'2026'!$E$4="CA",'2026'!$E$2=AW43),'2026DATA'!$F$35,"")</f>
        <v/>
      </c>
      <c r="AX76" s="518" t="str">
        <f>IF(AND(_3="A-220-100",'2026'!$E$4="CA",'2026'!$E$2=AX43),'2026DATA'!$G$35,"")</f>
        <v/>
      </c>
      <c r="AY76" s="518" t="str">
        <f>IF(AND(_3="A-220-100",'2026'!$E$4="CA",'2026'!$E$2=AY43),'2026DATA'!$H$35,"")</f>
        <v/>
      </c>
      <c r="AZ76" s="518" t="str">
        <f>IF(AND(_3="A-220-100",'2026'!$E$4="CA",'2026'!$E$2=AZ43),'2026DATA'!$I$35,"")</f>
        <v/>
      </c>
      <c r="BA76" s="518" t="str">
        <f>IF(AND(_3="A-220-100",'2026'!$E$4="CA",'2026'!$E$2=BA43),'2026DATA'!$J$35,"")</f>
        <v/>
      </c>
      <c r="BB76" s="518" t="str">
        <f>IF(AND(_3="A-220-100",'2026'!$E$4="CA",'2026'!$E$2=BB43),'2026DATA'!$K$35,"")</f>
        <v/>
      </c>
      <c r="BC76" s="518" t="str">
        <f>IF(AND(_3="A-220-100",'2026'!$E$4="CA",'2026'!$E$2=BC43),'2026DATA'!$L$35,"")</f>
        <v/>
      </c>
      <c r="BD76" s="518" t="str">
        <f>IF(AND(_3="A-220-100",'2026'!$E$4="CA",'2026'!$E$2=BD43),'2026DATA'!$M$35,"")</f>
        <v/>
      </c>
      <c r="BE76" s="520" t="str">
        <f>IF(AND(_3="A-220-100",'2026'!$E$4="CA",'2026'!$E$2=BE43),'2026DATA'!$N$35,"")</f>
        <v/>
      </c>
      <c r="BF76" s="940" t="s">
        <v>52</v>
      </c>
      <c r="BG76" s="13" t="s">
        <v>61</v>
      </c>
      <c r="BH76" s="518" t="str">
        <f>IF(AND(_4="A-220-100",'2026'!$E$4="CA",'2026'!$E$2=BH43),'2026DATA'!$C$35,"")</f>
        <v/>
      </c>
      <c r="BI76" s="518" t="str">
        <f>IF(AND(_4="A-220-100",'2026'!$E$4="CA",'2026'!$E$2=BI43),'2026DATA'!$D$35,"")</f>
        <v/>
      </c>
      <c r="BJ76" s="518" t="str">
        <f>IF(AND(_4="A-220-100",'2026'!$E$4="CA",'2026'!$E$2=BJ43),'2026DATA'!$E$35,"")</f>
        <v/>
      </c>
      <c r="BK76" s="518" t="str">
        <f>IF(AND(_4="A-220-100",'2026'!$E$4="CA",'2026'!$E$2=BK43),'2026DATA'!$F$35,"")</f>
        <v/>
      </c>
      <c r="BL76" s="518" t="str">
        <f>IF(AND(_4="A-220-100",'2026'!$E$4="CA",'2026'!$E$2=BL43),'2026DATA'!$G$35,"")</f>
        <v/>
      </c>
      <c r="BM76" s="518" t="str">
        <f>IF(AND(_4="A-220-100",'2026'!$E$4="CA",'2026'!$E$2=BM43),'2026DATA'!$H$35,"")</f>
        <v/>
      </c>
      <c r="BN76" s="518" t="str">
        <f>IF(AND(_4="A-220-100",'2026'!$E$4="CA",'2026'!$E$2=BN43),'2026DATA'!$I$35,"")</f>
        <v/>
      </c>
      <c r="BO76" s="518" t="str">
        <f>IF(AND(_4="A-220-100",'2026'!$E$4="CA",'2026'!$E$2=BO43),'2026DATA'!$J$35,"")</f>
        <v/>
      </c>
      <c r="BP76" s="518" t="str">
        <f>IF(AND(_4="A-220-100",'2026'!$E$4="CA",'2026'!$E$2=BP43),'2026DATA'!$K$35,"")</f>
        <v/>
      </c>
      <c r="BQ76" s="518" t="str">
        <f>IF(AND(_4="A-220-100",'2026'!$E$4="CA",'2026'!$E$2=BQ43),'2026DATA'!$L$35,"")</f>
        <v/>
      </c>
      <c r="BR76" s="518" t="str">
        <f>IF(AND(_4="A-220-100",'2026'!$E$4="CA",'2026'!$E$2=BR43),'2026DATA'!$M$35,"")</f>
        <v/>
      </c>
      <c r="BS76" s="520" t="str">
        <f>IF(AND(_4="A-220-100",'2026'!$E$4="CA",'2026'!$E$2=BS43),'2026DATA'!$N$35,"")</f>
        <v/>
      </c>
      <c r="BT76" s="940" t="s">
        <v>52</v>
      </c>
      <c r="BU76" s="13" t="s">
        <v>61</v>
      </c>
      <c r="BV76" s="518" t="str">
        <f>IF(AND(_5="A-220-100",'2026'!$E$4="CA",'2026'!$E$2=BV43),'2026DATA'!$C$35,"")</f>
        <v/>
      </c>
      <c r="BW76" s="518" t="str">
        <f>IF(AND(_5="A-220-100",'2026'!$E$4="CA",'2026'!$E$2=BW43),'2026DATA'!$D$35,"")</f>
        <v/>
      </c>
      <c r="BX76" s="518" t="str">
        <f>IF(AND(_5="A-220-100",'2026'!$E$4="CA",'2026'!$E$2=BX43),'2026DATA'!$E$35,"")</f>
        <v/>
      </c>
      <c r="BY76" s="518" t="str">
        <f>IF(AND(_5="A-220-100",'2026'!$E$4="CA",'2026'!$E$2=BY43),'2026DATA'!$F$35,"")</f>
        <v/>
      </c>
      <c r="BZ76" s="518" t="str">
        <f>IF(AND(_5="A-220-100",'2026'!$E$4="CA",'2026'!$E$2=BZ43),'2026DATA'!$G$35,"")</f>
        <v/>
      </c>
      <c r="CA76" s="518" t="str">
        <f>IF(AND(_5="A-220-100",'2026'!$E$4="CA",'2026'!$E$2=CA43),'2026DATA'!$H$35,"")</f>
        <v/>
      </c>
      <c r="CB76" s="518" t="str">
        <f>IF(AND(_5="A-220-100",'2026'!$E$4="CA",'2026'!$E$2=CB43),'2026DATA'!$I$35,"")</f>
        <v/>
      </c>
      <c r="CC76" s="518" t="str">
        <f>IF(AND(_5="A-220-100",'2026'!$E$4="CA",'2026'!$E$2=CC43),'2026DATA'!$J$35,"")</f>
        <v/>
      </c>
      <c r="CD76" s="518" t="str">
        <f>IF(AND(_5="A-220-100",'2026'!$E$4="CA",'2026'!$E$2=CD43),'2026DATA'!$K$35,"")</f>
        <v/>
      </c>
      <c r="CE76" s="518" t="str">
        <f>IF(AND(_5="A-220-100",'2026'!$E$4="CA",'2026'!$E$2=CE43),'2026DATA'!$L$35,"")</f>
        <v/>
      </c>
      <c r="CF76" s="518" t="str">
        <f>IF(AND(_5="A-220-100",'2026'!$E$4="CA",'2026'!$E$2=CF43),'2026DATA'!$M$35,"")</f>
        <v/>
      </c>
      <c r="CG76" s="520" t="str">
        <f>IF(AND(_5="A-220-100",'2026'!$E$4="CA",'2026'!$E$2=CG43),'2026DATA'!$N$35,"")</f>
        <v/>
      </c>
      <c r="CH76" s="940" t="s">
        <v>52</v>
      </c>
      <c r="CI76" s="13" t="s">
        <v>61</v>
      </c>
      <c r="CJ76" s="518" t="str">
        <f>IF(AND(_6="A-220-100",'2026'!$E$4="CA",'2026'!$E$2=CJ43),'2026DATA'!$C$35,"")</f>
        <v/>
      </c>
      <c r="CK76" s="518" t="str">
        <f>IF(AND(_6="A-220-100",'2026'!$E$4="CA",'2026'!$E$2=CK43),'2026DATA'!$D$35,"")</f>
        <v/>
      </c>
      <c r="CL76" s="518" t="str">
        <f>IF(AND(_6="A-220-100",'2026'!$E$4="CA",'2026'!$E$2=CL43),'2026DATA'!$E$35,"")</f>
        <v/>
      </c>
      <c r="CM76" s="518" t="str">
        <f>IF(AND(_6="A-220-100",'2026'!$E$4="CA",'2026'!$E$2=CM43),'2026DATA'!$F$35,"")</f>
        <v/>
      </c>
      <c r="CN76" s="518" t="str">
        <f>IF(AND(_6="A-220-100",'2026'!$E$4="CA",'2026'!$E$2=CN43),'2026DATA'!$G$35,"")</f>
        <v/>
      </c>
      <c r="CO76" s="518" t="str">
        <f>IF(AND(_6="A-220-100",'2026'!$E$4="CA",'2026'!$E$2=CO43),'2026DATA'!$H$35,"")</f>
        <v/>
      </c>
      <c r="CP76" s="518" t="str">
        <f>IF(AND(_6="A-220-100",'2026'!$E$4="CA",'2026'!$E$2=CP43),'2026DATA'!$I$35,"")</f>
        <v/>
      </c>
      <c r="CQ76" s="518" t="str">
        <f>IF(AND(_6="A-220-100",'2026'!$E$4="CA",'2026'!$E$2=CQ43),'2026DATA'!$J$35,"")</f>
        <v/>
      </c>
      <c r="CR76" s="518" t="str">
        <f>IF(AND(_6="A-220-100",'2026'!$E$4="CA",'2026'!$E$2=CR43),'2026DATA'!$K$35,"")</f>
        <v/>
      </c>
      <c r="CS76" s="518" t="str">
        <f>IF(AND(_6="A-220-100",'2026'!$E$4="CA",'2026'!$E$2=CS43),'2026DATA'!$L$35,"")</f>
        <v/>
      </c>
      <c r="CT76" s="518" t="str">
        <f>IF(AND(_6="A-220-100",'2026'!$E$4="CA",'2026'!$E$2=CT43),'2026DATA'!$M$35,"")</f>
        <v/>
      </c>
      <c r="CU76" s="520" t="str">
        <f>IF(AND(_6="A-220-100",'2026'!$E$4="CA",'2026'!$E$2=CU43),'2026DATA'!$N$35,"")</f>
        <v/>
      </c>
    </row>
    <row r="77" spans="16:99" x14ac:dyDescent="0.25">
      <c r="P77" s="940"/>
      <c r="Q77" s="13" t="s">
        <v>62</v>
      </c>
      <c r="R77" s="518" t="str">
        <f>IF(AND(_1="A-220-100",'2026'!$E$4="FO",'2026'!$E$2=R43),'2026DATA'!$C$36,"")</f>
        <v/>
      </c>
      <c r="S77" s="518" t="str">
        <f>IF(AND(_1="A-220-100",'2026'!$E$4="FO",'2026'!$E$2=S43),'2026DATA'!$D$36,"")</f>
        <v/>
      </c>
      <c r="T77" s="518" t="str">
        <f>IF(AND(_1="A-220-100",'2026'!$E$4="FO",'2026'!$E$2=T43),'2026DATA'!$E$36,"")</f>
        <v/>
      </c>
      <c r="U77" s="518" t="str">
        <f>IF(AND(_1="A-220-100",'2026'!$E$4="FO",'2026'!$E$2=U43),'2026DATA'!$F$36,"")</f>
        <v/>
      </c>
      <c r="V77" s="518" t="str">
        <f>IF(AND(_1="A-220-100",'2026'!$E$4="FO",'2026'!$E$2=V43),'2026DATA'!$G$36,"")</f>
        <v/>
      </c>
      <c r="W77" s="518" t="str">
        <f>IF(AND(_1="A-220-100",'2026'!$E$4="FO",'2026'!$E$2=W43),'2026DATA'!$H$36,"")</f>
        <v/>
      </c>
      <c r="X77" s="518" t="str">
        <f>IF(AND(_1="A-220-100",'2026'!$E$4="FO",'2026'!$E$2=X43),'2026DATA'!$I$36,"")</f>
        <v/>
      </c>
      <c r="Y77" s="518" t="str">
        <f>IF(AND(_1="A-220-100",'2026'!$E$4="FO",'2026'!$E$2=Y43),'2026DATA'!$J$36,"")</f>
        <v/>
      </c>
      <c r="Z77" s="518" t="str">
        <f>IF(AND(_1="A-220-100",'2026'!$E$4="FO",'2026'!$E$2=Z43),'2026DATA'!$K$36,"")</f>
        <v/>
      </c>
      <c r="AA77" s="518" t="str">
        <f>IF(AND(_1="A-220-100",'2026'!$E$4="FO",'2026'!$E$2=AA43),'2026DATA'!$L$36,"")</f>
        <v/>
      </c>
      <c r="AB77" s="518" t="str">
        <f>IF(AND(_1="A-220-100",'2026'!$E$4="FO",'2026'!$E$2=AB43),'2026DATA'!$M$36,"")</f>
        <v/>
      </c>
      <c r="AC77" s="520" t="str">
        <f>IF(AND(_1="A-220-100",'2026'!$E$4="FO",'2026'!$E$2=AC43),'2026DATA'!$N$36,"")</f>
        <v/>
      </c>
      <c r="AD77" s="940"/>
      <c r="AE77" s="13" t="s">
        <v>62</v>
      </c>
      <c r="AF77" s="518" t="str">
        <f>IF(AND(_2="A-220-100",'2026'!$E$4="FO",'2026'!$E$2=AF43),'2026DATA'!$C$36,"")</f>
        <v/>
      </c>
      <c r="AG77" s="518" t="str">
        <f>IF(AND(_2="A-220-100",'2026'!$E$4="FO",'2026'!$E$2=AG43),'2026DATA'!$D$36,"")</f>
        <v/>
      </c>
      <c r="AH77" s="518" t="str">
        <f>IF(AND(_2="A-220-100",'2026'!$E$4="FO",'2026'!$E$2=AH43),'2026DATA'!$E$36,"")</f>
        <v/>
      </c>
      <c r="AI77" s="518" t="str">
        <f>IF(AND(_2="A-220-100",'2026'!$E$4="FO",'2026'!$E$2=AI43),'2026DATA'!$F$36,"")</f>
        <v/>
      </c>
      <c r="AJ77" s="518" t="str">
        <f>IF(AND(_2="A-220-100",'2026'!$E$4="FO",'2026'!$E$2=AJ43),'2026DATA'!$G$36,"")</f>
        <v/>
      </c>
      <c r="AK77" s="518" t="str">
        <f>IF(AND(_2="A-220-100",'2026'!$E$4="FO",'2026'!$E$2=AK43),'2026DATA'!$H$36,"")</f>
        <v/>
      </c>
      <c r="AL77" s="518" t="str">
        <f>IF(AND(_2="A-220-100",'2026'!$E$4="FO",'2026'!$E$2=AL43),'2026DATA'!$I$36,"")</f>
        <v/>
      </c>
      <c r="AM77" s="518" t="str">
        <f>IF(AND(_2="A-220-100",'2026'!$E$4="FO",'2026'!$E$2=AM43),'2026DATA'!$J$36,"")</f>
        <v/>
      </c>
      <c r="AN77" s="518" t="str">
        <f>IF(AND(_2="A-220-100",'2026'!$E$4="FO",'2026'!$E$2=AN43),'2026DATA'!$K$36,"")</f>
        <v/>
      </c>
      <c r="AO77" s="518" t="str">
        <f>IF(AND(_2="A-220-100",'2026'!$E$4="FO",'2026'!$E$2=AO43),'2026DATA'!$L$36,"")</f>
        <v/>
      </c>
      <c r="AP77" s="518" t="str">
        <f>IF(AND(_2="A-220-100",'2026'!$E$4="FO",'2026'!$E$2=AP43),'2026DATA'!$M$36,"")</f>
        <v/>
      </c>
      <c r="AQ77" s="520" t="str">
        <f>IF(AND(_2="A-220-100",'2026'!$E$4="FO",'2026'!$E$2=AQ43),'2026DATA'!$N$36,"")</f>
        <v/>
      </c>
      <c r="AR77" s="940"/>
      <c r="AS77" s="13" t="s">
        <v>62</v>
      </c>
      <c r="AT77" s="518" t="str">
        <f>IF(AND(_3="A-220-100",'2026'!$E$4="FO",'2026'!$E$2=AT43),'2026DATA'!$C$36,"")</f>
        <v/>
      </c>
      <c r="AU77" s="518" t="str">
        <f>IF(AND(_3="A-220-100",'2026'!$E$4="FO",'2026'!$E$2=AU43),'2026DATA'!$D$36,"")</f>
        <v/>
      </c>
      <c r="AV77" s="518" t="str">
        <f>IF(AND(_3="A-220-100",'2026'!$E$4="FO",'2026'!$E$2=AV43),'2026DATA'!$E$36,"")</f>
        <v/>
      </c>
      <c r="AW77" s="518" t="str">
        <f>IF(AND(_3="A-220-100",'2026'!$E$4="FO",'2026'!$E$2=AW43),'2026DATA'!$F$36,"")</f>
        <v/>
      </c>
      <c r="AX77" s="518" t="str">
        <f>IF(AND(_3="A-220-100",'2026'!$E$4="FO",'2026'!$E$2=AX43),'2026DATA'!$G$36,"")</f>
        <v/>
      </c>
      <c r="AY77" s="518" t="str">
        <f>IF(AND(_3="A-220-100",'2026'!$E$4="FO",'2026'!$E$2=AY43),'2026DATA'!$H$36,"")</f>
        <v/>
      </c>
      <c r="AZ77" s="518" t="str">
        <f>IF(AND(_3="A-220-100",'2026'!$E$4="FO",'2026'!$E$2=AZ43),'2026DATA'!$I$36,"")</f>
        <v/>
      </c>
      <c r="BA77" s="518" t="str">
        <f>IF(AND(_3="A-220-100",'2026'!$E$4="FO",'2026'!$E$2=BA43),'2026DATA'!$J$36,"")</f>
        <v/>
      </c>
      <c r="BB77" s="518" t="str">
        <f>IF(AND(_3="A-220-100",'2026'!$E$4="FO",'2026'!$E$2=BB43),'2026DATA'!$K$36,"")</f>
        <v/>
      </c>
      <c r="BC77" s="518" t="str">
        <f>IF(AND(_3="A-220-100",'2026'!$E$4="FO",'2026'!$E$2=BC43),'2026DATA'!$L$36,"")</f>
        <v/>
      </c>
      <c r="BD77" s="518" t="str">
        <f>IF(AND(_3="A-220-100",'2026'!$E$4="FO",'2026'!$E$2=BD43),'2026DATA'!$M$36,"")</f>
        <v/>
      </c>
      <c r="BE77" s="520" t="str">
        <f>IF(AND(_3="A-220-100",'2026'!$E$4="FO",'2026'!$E$2=BE43),'2026DATA'!$N$36,"")</f>
        <v/>
      </c>
      <c r="BF77" s="940"/>
      <c r="BG77" s="13" t="s">
        <v>62</v>
      </c>
      <c r="BH77" s="518" t="str">
        <f>IF(AND(_4="A-220-100",'2026'!$E$4="FO",'2026'!$E$2=BH43),'2026DATA'!$C$36,"")</f>
        <v/>
      </c>
      <c r="BI77" s="518" t="str">
        <f>IF(AND(_4="A-220-100",'2026'!$E$4="FO",'2026'!$E$2=BI43),'2026DATA'!$D$36,"")</f>
        <v/>
      </c>
      <c r="BJ77" s="518" t="str">
        <f>IF(AND(_4="A-220-100",'2026'!$E$4="FO",'2026'!$E$2=BJ43),'2026DATA'!$E$36,"")</f>
        <v/>
      </c>
      <c r="BK77" s="518" t="str">
        <f>IF(AND(_4="A-220-100",'2026'!$E$4="FO",'2026'!$E$2=BK43),'2026DATA'!$F$36,"")</f>
        <v/>
      </c>
      <c r="BL77" s="518" t="str">
        <f>IF(AND(_4="A-220-100",'2026'!$E$4="FO",'2026'!$E$2=BL43),'2026DATA'!$G$36,"")</f>
        <v/>
      </c>
      <c r="BM77" s="518" t="str">
        <f>IF(AND(_4="A-220-100",'2026'!$E$4="FO",'2026'!$E$2=BM43),'2026DATA'!$H$36,"")</f>
        <v/>
      </c>
      <c r="BN77" s="518" t="str">
        <f>IF(AND(_4="A-220-100",'2026'!$E$4="FO",'2026'!$E$2=BN43),'2026DATA'!$I$36,"")</f>
        <v/>
      </c>
      <c r="BO77" s="518" t="str">
        <f>IF(AND(_4="A-220-100",'2026'!$E$4="FO",'2026'!$E$2=BO43),'2026DATA'!$J$36,"")</f>
        <v/>
      </c>
      <c r="BP77" s="518" t="str">
        <f>IF(AND(_4="A-220-100",'2026'!$E$4="FO",'2026'!$E$2=BP43),'2026DATA'!$K$36,"")</f>
        <v/>
      </c>
      <c r="BQ77" s="518" t="str">
        <f>IF(AND(_4="A-220-100",'2026'!$E$4="FO",'2026'!$E$2=BQ43),'2026DATA'!$L$36,"")</f>
        <v/>
      </c>
      <c r="BR77" s="518" t="str">
        <f>IF(AND(_4="A-220-100",'2026'!$E$4="FO",'2026'!$E$2=BR43),'2026DATA'!$M$36,"")</f>
        <v/>
      </c>
      <c r="BS77" s="520" t="str">
        <f>IF(AND(_4="A-220-100",'2026'!$E$4="FO",'2026'!$E$2=BS43),'2026DATA'!$N$36,"")</f>
        <v/>
      </c>
      <c r="BT77" s="940"/>
      <c r="BU77" s="13" t="s">
        <v>62</v>
      </c>
      <c r="BV77" s="518" t="str">
        <f>IF(AND(_5="A-220-100",'2026'!$E$4="FO",'2026'!$E$2=BV43),'2026DATA'!$C$36,"")</f>
        <v/>
      </c>
      <c r="BW77" s="518" t="str">
        <f>IF(AND(_5="A-220-100",'2026'!$E$4="FO",'2026'!$E$2=BW43),'2026DATA'!$D$36,"")</f>
        <v/>
      </c>
      <c r="BX77" s="518" t="str">
        <f>IF(AND(_5="A-220-100",'2026'!$E$4="FO",'2026'!$E$2=BX43),'2026DATA'!$E$36,"")</f>
        <v/>
      </c>
      <c r="BY77" s="518" t="str">
        <f>IF(AND(_5="A-220-100",'2026'!$E$4="FO",'2026'!$E$2=BY43),'2026DATA'!$F$36,"")</f>
        <v/>
      </c>
      <c r="BZ77" s="518" t="str">
        <f>IF(AND(_5="A-220-100",'2026'!$E$4="FO",'2026'!$E$2=BZ43),'2026DATA'!$G$36,"")</f>
        <v/>
      </c>
      <c r="CA77" s="518" t="str">
        <f>IF(AND(_5="A-220-100",'2026'!$E$4="FO",'2026'!$E$2=CA43),'2026DATA'!$H$36,"")</f>
        <v/>
      </c>
      <c r="CB77" s="518" t="str">
        <f>IF(AND(_5="A-220-100",'2026'!$E$4="FO",'2026'!$E$2=CB43),'2026DATA'!$I$36,"")</f>
        <v/>
      </c>
      <c r="CC77" s="518" t="str">
        <f>IF(AND(_5="A-220-100",'2026'!$E$4="FO",'2026'!$E$2=CC43),'2026DATA'!$J$36,"")</f>
        <v/>
      </c>
      <c r="CD77" s="518" t="str">
        <f>IF(AND(_5="A-220-100",'2026'!$E$4="FO",'2026'!$E$2=CD43),'2026DATA'!$K$36,"")</f>
        <v/>
      </c>
      <c r="CE77" s="518" t="str">
        <f>IF(AND(_5="A-220-100",'2026'!$E$4="FO",'2026'!$E$2=CE43),'2026DATA'!$L$36,"")</f>
        <v/>
      </c>
      <c r="CF77" s="518" t="str">
        <f>IF(AND(_5="A-220-100",'2026'!$E$4="FO",'2026'!$E$2=CF43),'2026DATA'!$M$36,"")</f>
        <v/>
      </c>
      <c r="CG77" s="520" t="str">
        <f>IF(AND(_5="A-220-100",'2026'!$E$4="FO",'2026'!$E$2=CG43),'2026DATA'!$N$36,"")</f>
        <v/>
      </c>
      <c r="CH77" s="940"/>
      <c r="CI77" s="13" t="s">
        <v>62</v>
      </c>
      <c r="CJ77" s="518" t="str">
        <f>IF(AND(_6="A-220-100",'2026'!$E$4="FO",'2026'!$E$2=CJ43),'2026DATA'!$C$36,"")</f>
        <v/>
      </c>
      <c r="CK77" s="518" t="str">
        <f>IF(AND(_6="A-220-100",'2026'!$E$4="FO",'2026'!$E$2=CK43),'2026DATA'!$D$36,"")</f>
        <v/>
      </c>
      <c r="CL77" s="518" t="str">
        <f>IF(AND(_6="A-220-100",'2026'!$E$4="FO",'2026'!$E$2=CL43),'2026DATA'!$E$36,"")</f>
        <v/>
      </c>
      <c r="CM77" s="518" t="str">
        <f>IF(AND(_6="A-220-100",'2026'!$E$4="FO",'2026'!$E$2=CM43),'2026DATA'!$F$36,"")</f>
        <v/>
      </c>
      <c r="CN77" s="518" t="str">
        <f>IF(AND(_6="A-220-100",'2026'!$E$4="FO",'2026'!$E$2=CN43),'2026DATA'!$G$36,"")</f>
        <v/>
      </c>
      <c r="CO77" s="518" t="str">
        <f>IF(AND(_6="A-220-100",'2026'!$E$4="FO",'2026'!$E$2=CO43),'2026DATA'!$H$36,"")</f>
        <v/>
      </c>
      <c r="CP77" s="518" t="str">
        <f>IF(AND(_6="A-220-100",'2026'!$E$4="FO",'2026'!$E$2=CP43),'2026DATA'!$I$36,"")</f>
        <v/>
      </c>
      <c r="CQ77" s="518" t="str">
        <f>IF(AND(_6="A-220-100",'2026'!$E$4="FO",'2026'!$E$2=CQ43),'2026DATA'!$J$36,"")</f>
        <v/>
      </c>
      <c r="CR77" s="518" t="str">
        <f>IF(AND(_6="A-220-100",'2026'!$E$4="FO",'2026'!$E$2=CR43),'2026DATA'!$K$36,"")</f>
        <v/>
      </c>
      <c r="CS77" s="518" t="str">
        <f>IF(AND(_6="A-220-100",'2026'!$E$4="FO",'2026'!$E$2=CS43),'2026DATA'!$L$36,"")</f>
        <v/>
      </c>
      <c r="CT77" s="518" t="str">
        <f>IF(AND(_6="A-220-100",'2026'!$E$4="FO",'2026'!$E$2=CT43),'2026DATA'!$M$36,"")</f>
        <v/>
      </c>
      <c r="CU77" s="520" t="str">
        <f>IF(AND(_6="A-220-100",'2026'!$E$4="FO",'2026'!$E$2=CU43),'2026DATA'!$N$36,"")</f>
        <v/>
      </c>
    </row>
    <row r="78" spans="16:99" x14ac:dyDescent="0.25">
      <c r="P78" s="940" t="s">
        <v>53</v>
      </c>
      <c r="Q78" s="13" t="s">
        <v>61</v>
      </c>
      <c r="R78" s="518" t="str">
        <f>IF(AND(_1="B-717",'2026'!$E$4="CA",'2026'!$E$2=R43),'2026DATA'!$C$37,"")</f>
        <v/>
      </c>
      <c r="S78" s="518" t="str">
        <f>IF(AND(_1="B-717",'2026'!$E$4="CA",'2026'!$E$2=S43),'2026DATA'!$D$37,"")</f>
        <v/>
      </c>
      <c r="T78" s="518" t="str">
        <f>IF(AND(_1="B-717",'2026'!$E$4="CA",'2026'!$E$2=T43),'2026DATA'!$E$37,"")</f>
        <v/>
      </c>
      <c r="U78" s="518" t="str">
        <f>IF(AND(_1="B-717",'2026'!$E$4="CA",'2026'!$E$2=U43),'2026DATA'!$F$37,"")</f>
        <v/>
      </c>
      <c r="V78" s="518" t="str">
        <f>IF(AND(_1="B-717",'2026'!$E$4="CA",'2026'!$E$2=V43),'2026DATA'!$G$37,"")</f>
        <v/>
      </c>
      <c r="W78" s="518" t="str">
        <f>IF(AND(_1="B-717",'2026'!$E$4="CA",'2026'!$E$2=W43),'2026DATA'!$H$37,"")</f>
        <v/>
      </c>
      <c r="X78" s="518" t="str">
        <f>IF(AND(_1="B-717",'2026'!$E$4="CA",'2026'!$E$2=X43),'2026DATA'!$I$37,"")</f>
        <v/>
      </c>
      <c r="Y78" s="518" t="str">
        <f>IF(AND(_1="B-717",'2026'!$E$4="CA",'2026'!$E$2=Y43),'2026DATA'!$J$37,"")</f>
        <v/>
      </c>
      <c r="Z78" s="518" t="str">
        <f>IF(AND(_1="B-717",'2026'!$E$4="CA",'2026'!$E$2=Z43),'2026DATA'!$K$37,"")</f>
        <v/>
      </c>
      <c r="AA78" s="518" t="str">
        <f>IF(AND(_1="B-717",'2026'!$E$4="CA",'2026'!$E$2=AA43),'2026DATA'!$L$37,"")</f>
        <v/>
      </c>
      <c r="AB78" s="518" t="str">
        <f>IF(AND(_1="B-717",'2026'!$E$4="CA",'2026'!$E$2=AB43),'2026DATA'!$M$37,"")</f>
        <v/>
      </c>
      <c r="AC78" s="520" t="str">
        <f>IF(AND(_1="B-717",'2026'!$E$4="CA",'2026'!$E$2=AC43),'2026DATA'!$N$37,"")</f>
        <v/>
      </c>
      <c r="AD78" s="940" t="s">
        <v>53</v>
      </c>
      <c r="AE78" s="13" t="s">
        <v>61</v>
      </c>
      <c r="AF78" s="518" t="str">
        <f>IF(AND(_2="B-717",'2026'!$E$4="CA",'2026'!$E$2=AF43),'2026DATA'!$C$37,"")</f>
        <v/>
      </c>
      <c r="AG78" s="518" t="str">
        <f>IF(AND(_2="B-717",'2026'!$E$4="CA",'2026'!$E$2=AG43),'2026DATA'!$D$37,"")</f>
        <v/>
      </c>
      <c r="AH78" s="518" t="str">
        <f>IF(AND(_2="B-717",'2026'!$E$4="CA",'2026'!$E$2=AH43),'2026DATA'!$E$37,"")</f>
        <v/>
      </c>
      <c r="AI78" s="518" t="str">
        <f>IF(AND(_2="B-717",'2026'!$E$4="CA",'2026'!$E$2=AI43),'2026DATA'!$F$37,"")</f>
        <v/>
      </c>
      <c r="AJ78" s="518" t="str">
        <f>IF(AND(_2="B-717",'2026'!$E$4="CA",'2026'!$E$2=AJ43),'2026DATA'!$G$37,"")</f>
        <v/>
      </c>
      <c r="AK78" s="518" t="str">
        <f>IF(AND(_2="B-717",'2026'!$E$4="CA",'2026'!$E$2=AK43),'2026DATA'!$H$37,"")</f>
        <v/>
      </c>
      <c r="AL78" s="518" t="str">
        <f>IF(AND(_2="B-717",'2026'!$E$4="CA",'2026'!$E$2=AL43),'2026DATA'!$I$37,"")</f>
        <v/>
      </c>
      <c r="AM78" s="518" t="str">
        <f>IF(AND(_2="B-717",'2026'!$E$4="CA",'2026'!$E$2=AM43),'2026DATA'!$J$37,"")</f>
        <v/>
      </c>
      <c r="AN78" s="518" t="str">
        <f>IF(AND(_2="B-717",'2026'!$E$4="CA",'2026'!$E$2=AN43),'2026DATA'!$K$37,"")</f>
        <v/>
      </c>
      <c r="AO78" s="518" t="str">
        <f>IF(AND(_2="B-717",'2026'!$E$4="CA",'2026'!$E$2=AO43),'2026DATA'!$L$37,"")</f>
        <v/>
      </c>
      <c r="AP78" s="518" t="str">
        <f>IF(AND(_2="B-717",'2026'!$E$4="CA",'2026'!$E$2=AP43),'2026DATA'!$M$37,"")</f>
        <v/>
      </c>
      <c r="AQ78" s="520" t="str">
        <f>IF(AND(_2="B-717",'2026'!$E$4="CA",'2026'!$E$2=AQ43),'2026DATA'!$N$37,"")</f>
        <v/>
      </c>
      <c r="AR78" s="940" t="s">
        <v>53</v>
      </c>
      <c r="AS78" s="13" t="s">
        <v>61</v>
      </c>
      <c r="AT78" s="518" t="str">
        <f>IF(AND(_3="B-717",'2026'!$E$4="CA",'2026'!$E$2=AT43),'2026DATA'!$C$37,"")</f>
        <v/>
      </c>
      <c r="AU78" s="518" t="str">
        <f>IF(AND(_3="B-717",'2026'!$E$4="CA",'2026'!$E$2=AU43),'2026DATA'!$D$37,"")</f>
        <v/>
      </c>
      <c r="AV78" s="518" t="str">
        <f>IF(AND(_3="B-717",'2026'!$E$4="CA",'2026'!$E$2=AV43),'2026DATA'!$E$37,"")</f>
        <v/>
      </c>
      <c r="AW78" s="518" t="str">
        <f>IF(AND(_3="B-717",'2026'!$E$4="CA",'2026'!$E$2=AW43),'2026DATA'!$F$37,"")</f>
        <v/>
      </c>
      <c r="AX78" s="518" t="str">
        <f>IF(AND(_3="B-717",'2026'!$E$4="CA",'2026'!$E$2=AX43),'2026DATA'!$G$37,"")</f>
        <v/>
      </c>
      <c r="AY78" s="518" t="str">
        <f>IF(AND(_3="B-717",'2026'!$E$4="CA",'2026'!$E$2=AY43),'2026DATA'!$H$37,"")</f>
        <v/>
      </c>
      <c r="AZ78" s="518" t="str">
        <f>IF(AND(_3="B-717",'2026'!$E$4="CA",'2026'!$E$2=AZ43),'2026DATA'!$I$37,"")</f>
        <v/>
      </c>
      <c r="BA78" s="518" t="str">
        <f>IF(AND(_3="B-717",'2026'!$E$4="CA",'2026'!$E$2=BA43),'2026DATA'!$J$37,"")</f>
        <v/>
      </c>
      <c r="BB78" s="518" t="str">
        <f>IF(AND(_3="B-717",'2026'!$E$4="CA",'2026'!$E$2=BB43),'2026DATA'!$K$37,"")</f>
        <v/>
      </c>
      <c r="BC78" s="518" t="str">
        <f>IF(AND(_3="B-717",'2026'!$E$4="CA",'2026'!$E$2=BC43),'2026DATA'!$L$37,"")</f>
        <v/>
      </c>
      <c r="BD78" s="518" t="str">
        <f>IF(AND(_3="B-717",'2026'!$E$4="CA",'2026'!$E$2=BD43),'2026DATA'!$M$37,"")</f>
        <v/>
      </c>
      <c r="BE78" s="520" t="str">
        <f>IF(AND(_3="B-717",'2026'!$E$4="CA",'2026'!$E$2=BE43),'2026DATA'!$N$37,"")</f>
        <v/>
      </c>
      <c r="BF78" s="940" t="s">
        <v>53</v>
      </c>
      <c r="BG78" s="13" t="s">
        <v>61</v>
      </c>
      <c r="BH78" s="518" t="str">
        <f>IF(AND(_4="B-717",'2026'!$E$4="CA",'2026'!$E$2=BH43),'2026DATA'!$C$37,"")</f>
        <v/>
      </c>
      <c r="BI78" s="518" t="str">
        <f>IF(AND(_4="B-717",'2026'!$E$4="CA",'2026'!$E$2=BI43),'2026DATA'!$D$37,"")</f>
        <v/>
      </c>
      <c r="BJ78" s="518" t="str">
        <f>IF(AND(_4="B-717",'2026'!$E$4="CA",'2026'!$E$2=BJ43),'2026DATA'!$E$37,"")</f>
        <v/>
      </c>
      <c r="BK78" s="518" t="str">
        <f>IF(AND(_4="B-717",'2026'!$E$4="CA",'2026'!$E$2=BK43),'2026DATA'!$F$37,"")</f>
        <v/>
      </c>
      <c r="BL78" s="518" t="str">
        <f>IF(AND(_4="B-717",'2026'!$E$4="CA",'2026'!$E$2=BL43),'2026DATA'!$G$37,"")</f>
        <v/>
      </c>
      <c r="BM78" s="518" t="str">
        <f>IF(AND(_4="B-717",'2026'!$E$4="CA",'2026'!$E$2=BM43),'2026DATA'!$H$37,"")</f>
        <v/>
      </c>
      <c r="BN78" s="518" t="str">
        <f>IF(AND(_4="B-717",'2026'!$E$4="CA",'2026'!$E$2=BN43),'2026DATA'!$I$37,"")</f>
        <v/>
      </c>
      <c r="BO78" s="518" t="str">
        <f>IF(AND(_4="B-717",'2026'!$E$4="CA",'2026'!$E$2=BO43),'2026DATA'!$J$37,"")</f>
        <v/>
      </c>
      <c r="BP78" s="518" t="str">
        <f>IF(AND(_4="B-717",'2026'!$E$4="CA",'2026'!$E$2=BP43),'2026DATA'!$K$37,"")</f>
        <v/>
      </c>
      <c r="BQ78" s="518" t="str">
        <f>IF(AND(_4="B-717",'2026'!$E$4="CA",'2026'!$E$2=BQ43),'2026DATA'!$L$37,"")</f>
        <v/>
      </c>
      <c r="BR78" s="518" t="str">
        <f>IF(AND(_4="B-717",'2026'!$E$4="CA",'2026'!$E$2=BR43),'2026DATA'!$M$37,"")</f>
        <v/>
      </c>
      <c r="BS78" s="520" t="str">
        <f>IF(AND(_4="B-717",'2026'!$E$4="CA",'2026'!$E$2=BS43),'2026DATA'!$N$37,"")</f>
        <v/>
      </c>
      <c r="BT78" s="940" t="s">
        <v>53</v>
      </c>
      <c r="BU78" s="13" t="s">
        <v>61</v>
      </c>
      <c r="BV78" s="518" t="str">
        <f>IF(AND(_5="B-717",'2026'!$E$4="CA",'2026'!$E$2=BV43),'2026DATA'!$C$37,"")</f>
        <v/>
      </c>
      <c r="BW78" s="518" t="str">
        <f>IF(AND(_5="B-717",'2026'!$E$4="CA",'2026'!$E$2=BW43),'2026DATA'!$D$37,"")</f>
        <v/>
      </c>
      <c r="BX78" s="518" t="str">
        <f>IF(AND(_5="B-717",'2026'!$E$4="CA",'2026'!$E$2=BX43),'2026DATA'!$E$37,"")</f>
        <v/>
      </c>
      <c r="BY78" s="518" t="str">
        <f>IF(AND(_5="B-717",'2026'!$E$4="CA",'2026'!$E$2=BY43),'2026DATA'!$F$37,"")</f>
        <v/>
      </c>
      <c r="BZ78" s="518" t="str">
        <f>IF(AND(_5="B-717",'2026'!$E$4="CA",'2026'!$E$2=BZ43),'2026DATA'!$G$37,"")</f>
        <v/>
      </c>
      <c r="CA78" s="518" t="str">
        <f>IF(AND(_5="B-717",'2026'!$E$4="CA",'2026'!$E$2=CA43),'2026DATA'!$H$37,"")</f>
        <v/>
      </c>
      <c r="CB78" s="518" t="str">
        <f>IF(AND(_5="B-717",'2026'!$E$4="CA",'2026'!$E$2=CB43),'2026DATA'!$I$37,"")</f>
        <v/>
      </c>
      <c r="CC78" s="518" t="str">
        <f>IF(AND(_5="B-717",'2026'!$E$4="CA",'2026'!$E$2=CC43),'2026DATA'!$J$37,"")</f>
        <v/>
      </c>
      <c r="CD78" s="518" t="str">
        <f>IF(AND(_5="B-717",'2026'!$E$4="CA",'2026'!$E$2=CD43),'2026DATA'!$K$37,"")</f>
        <v/>
      </c>
      <c r="CE78" s="518" t="str">
        <f>IF(AND(_5="B-717",'2026'!$E$4="CA",'2026'!$E$2=CE43),'2026DATA'!$L$37,"")</f>
        <v/>
      </c>
      <c r="CF78" s="518" t="str">
        <f>IF(AND(_5="B-717",'2026'!$E$4="CA",'2026'!$E$2=CF43),'2026DATA'!$M$37,"")</f>
        <v/>
      </c>
      <c r="CG78" s="520" t="str">
        <f>IF(AND(_5="B-717",'2026'!$E$4="CA",'2026'!$E$2=CG43),'2026DATA'!$N$37,"")</f>
        <v/>
      </c>
      <c r="CH78" s="940" t="s">
        <v>53</v>
      </c>
      <c r="CI78" s="13" t="s">
        <v>61</v>
      </c>
      <c r="CJ78" s="518" t="str">
        <f>IF(AND(_6="B-717",'2026'!$E$4="CA",'2026'!$E$2=CJ43),'2026DATA'!$C$37,"")</f>
        <v/>
      </c>
      <c r="CK78" s="518" t="str">
        <f>IF(AND(_6="B-717",'2026'!$E$4="CA",'2026'!$E$2=CK43),'2026DATA'!$D$37,"")</f>
        <v/>
      </c>
      <c r="CL78" s="518" t="str">
        <f>IF(AND(_6="B-717",'2026'!$E$4="CA",'2026'!$E$2=CL43),'2026DATA'!$E$37,"")</f>
        <v/>
      </c>
      <c r="CM78" s="518" t="str">
        <f>IF(AND(_6="B-717",'2026'!$E$4="CA",'2026'!$E$2=CM43),'2026DATA'!$F$37,"")</f>
        <v/>
      </c>
      <c r="CN78" s="518" t="str">
        <f>IF(AND(_6="B-717",'2026'!$E$4="CA",'2026'!$E$2=CN43),'2026DATA'!$G$37,"")</f>
        <v/>
      </c>
      <c r="CO78" s="518" t="str">
        <f>IF(AND(_6="B-717",'2026'!$E$4="CA",'2026'!$E$2=CO43),'2026DATA'!$H$37,"")</f>
        <v/>
      </c>
      <c r="CP78" s="518" t="str">
        <f>IF(AND(_6="B-717",'2026'!$E$4="CA",'2026'!$E$2=CP43),'2026DATA'!$I$37,"")</f>
        <v/>
      </c>
      <c r="CQ78" s="518" t="str">
        <f>IF(AND(_6="B-717",'2026'!$E$4="CA",'2026'!$E$2=CQ43),'2026DATA'!$J$37,"")</f>
        <v/>
      </c>
      <c r="CR78" s="518" t="str">
        <f>IF(AND(_6="B-717",'2026'!$E$4="CA",'2026'!$E$2=CR43),'2026DATA'!$K$37,"")</f>
        <v/>
      </c>
      <c r="CS78" s="518" t="str">
        <f>IF(AND(_6="B-717",'2026'!$E$4="CA",'2026'!$E$2=CS43),'2026DATA'!$L$37,"")</f>
        <v/>
      </c>
      <c r="CT78" s="518" t="str">
        <f>IF(AND(_6="B-717",'2026'!$E$4="CA",'2026'!$E$2=CT43),'2026DATA'!$M$37,"")</f>
        <v/>
      </c>
      <c r="CU78" s="520" t="str">
        <f>IF(AND(_6="B-717",'2026'!$E$4="CA",'2026'!$E$2=CU43),'2026DATA'!$N$37,"")</f>
        <v/>
      </c>
    </row>
    <row r="79" spans="16:99" ht="15.75" thickBot="1" x14ac:dyDescent="0.3">
      <c r="P79" s="940"/>
      <c r="Q79" s="13" t="s">
        <v>62</v>
      </c>
      <c r="R79" s="518" t="str">
        <f>IF(AND(_1="B-717",'2026'!$E$4="FO",'2026'!$E$2=R43),'2026DATA'!$C$38,"")</f>
        <v/>
      </c>
      <c r="S79" s="518" t="str">
        <f>IF(AND(_1="B-717",'2026'!$E$4="FO",'2026'!$E$2=S43),'2026DATA'!$D$38,"")</f>
        <v/>
      </c>
      <c r="T79" s="518" t="str">
        <f>IF(AND(_1="B-717",'2026'!$E$4="FO",'2026'!$E$2=T43),'2026DATA'!$E$38,"")</f>
        <v/>
      </c>
      <c r="U79" s="518" t="str">
        <f>IF(AND(_1="B-717",'2026'!$E$4="FO",'2026'!$E$2=U43),'2026DATA'!$F$38,"")</f>
        <v/>
      </c>
      <c r="V79" s="518" t="str">
        <f>IF(AND(_1="B-717",'2026'!$E$4="FO",'2026'!$E$2=V43),'2026DATA'!$G$38,"")</f>
        <v/>
      </c>
      <c r="W79" s="518" t="str">
        <f>IF(AND(_1="B-717",'2026'!$E$4="FO",'2026'!$E$2=W43),'2026DATA'!$H$38,"")</f>
        <v/>
      </c>
      <c r="X79" s="518" t="str">
        <f>IF(AND(_1="B-717",'2026'!$E$4="FO",'2026'!$E$2=X43),'2026DATA'!$I$38,"")</f>
        <v/>
      </c>
      <c r="Y79" s="518" t="str">
        <f>IF(AND(_1="B-717",'2026'!$E$4="FO",'2026'!$E$2=Y43),'2026DATA'!$J$38,"")</f>
        <v/>
      </c>
      <c r="Z79" s="518" t="str">
        <f>IF(AND(_1="B-717",'2026'!$E$4="FO",'2026'!$E$2=Z43),'2026DATA'!$K$38,"")</f>
        <v/>
      </c>
      <c r="AA79" s="518" t="str">
        <f>IF(AND(_1="B-717",'2026'!$E$4="FO",'2026'!$E$2=AA43),'2026DATA'!$L$38,"")</f>
        <v/>
      </c>
      <c r="AB79" s="518" t="str">
        <f>IF(AND(_1="B-717",'2026'!$E$4="FO",'2026'!$E$2=AB43),'2026DATA'!$M$38,"")</f>
        <v/>
      </c>
      <c r="AC79" s="520" t="str">
        <f>IF(AND(_1="B-717",'2026'!$E$4="FO",'2026'!$E$2=AC43),'2026DATA'!$N$38,"")</f>
        <v/>
      </c>
      <c r="AD79" s="940"/>
      <c r="AE79" s="13" t="s">
        <v>62</v>
      </c>
      <c r="AF79" s="518" t="str">
        <f>IF(AND(_2="B-717",'2026'!$E$4="FO",'2026'!$E$2=AF43),'2026DATA'!$C$38,"")</f>
        <v/>
      </c>
      <c r="AG79" s="518" t="str">
        <f>IF(AND(_2="B-717",'2026'!$E$4="FO",'2026'!$E$2=AG43),'2026DATA'!$D$38,"")</f>
        <v/>
      </c>
      <c r="AH79" s="518" t="str">
        <f>IF(AND(_2="B-717",'2026'!$E$4="FO",'2026'!$E$2=AH43),'2026DATA'!$E$38,"")</f>
        <v/>
      </c>
      <c r="AI79" s="518" t="str">
        <f>IF(AND(_2="B-717",'2026'!$E$4="FO",'2026'!$E$2=AI43),'2026DATA'!$F$38,"")</f>
        <v/>
      </c>
      <c r="AJ79" s="518" t="str">
        <f>IF(AND(_2="B-717",'2026'!$E$4="FO",'2026'!$E$2=AJ43),'2026DATA'!$G$38,"")</f>
        <v/>
      </c>
      <c r="AK79" s="518" t="str">
        <f>IF(AND(_2="B-717",'2026'!$E$4="FO",'2026'!$E$2=AK43),'2026DATA'!$H$38,"")</f>
        <v/>
      </c>
      <c r="AL79" s="518" t="str">
        <f>IF(AND(_2="B-717",'2026'!$E$4="FO",'2026'!$E$2=AL43),'2026DATA'!$I$38,"")</f>
        <v/>
      </c>
      <c r="AM79" s="518" t="str">
        <f>IF(AND(_2="B-717",'2026'!$E$4="FO",'2026'!$E$2=AM43),'2026DATA'!$J$38,"")</f>
        <v/>
      </c>
      <c r="AN79" s="518" t="str">
        <f>IF(AND(_2="B-717",'2026'!$E$4="FO",'2026'!$E$2=AN43),'2026DATA'!$K$38,"")</f>
        <v/>
      </c>
      <c r="AO79" s="518" t="str">
        <f>IF(AND(_2="B-717",'2026'!$E$4="FO",'2026'!$E$2=AO43),'2026DATA'!$L$38,"")</f>
        <v/>
      </c>
      <c r="AP79" s="518" t="str">
        <f>IF(AND(_2="B-717",'2026'!$E$4="FO",'2026'!$E$2=AP43),'2026DATA'!$M$38,"")</f>
        <v/>
      </c>
      <c r="AQ79" s="520" t="str">
        <f>IF(AND(_2="B-717",'2026'!$E$4="FO",'2026'!$E$2=AQ43),'2026DATA'!$N$38,"")</f>
        <v/>
      </c>
      <c r="AR79" s="940"/>
      <c r="AS79" s="13" t="s">
        <v>62</v>
      </c>
      <c r="AT79" s="518" t="str">
        <f>IF(AND(_3="B-717",'2026'!$E$4="FO",'2026'!$E$2=AT43),'2026DATA'!$C$38,"")</f>
        <v/>
      </c>
      <c r="AU79" s="518" t="str">
        <f>IF(AND(_3="B-717",'2026'!$E$4="FO",'2026'!$E$2=AU43),'2026DATA'!$D$38,"")</f>
        <v/>
      </c>
      <c r="AV79" s="518" t="str">
        <f>IF(AND(_3="B-717",'2026'!$E$4="FO",'2026'!$E$2=AV43),'2026DATA'!$E$38,"")</f>
        <v/>
      </c>
      <c r="AW79" s="518" t="str">
        <f>IF(AND(_3="B-717",'2026'!$E$4="FO",'2026'!$E$2=AW43),'2026DATA'!$F$38,"")</f>
        <v/>
      </c>
      <c r="AX79" s="518" t="str">
        <f>IF(AND(_3="B-717",'2026'!$E$4="FO",'2026'!$E$2=AX43),'2026DATA'!$G$38,"")</f>
        <v/>
      </c>
      <c r="AY79" s="518" t="str">
        <f>IF(AND(_3="B-717",'2026'!$E$4="FO",'2026'!$E$2=AY43),'2026DATA'!$H$38,"")</f>
        <v/>
      </c>
      <c r="AZ79" s="518" t="str">
        <f>IF(AND(_3="B-717",'2026'!$E$4="FO",'2026'!$E$2=AZ43),'2026DATA'!$I$38,"")</f>
        <v/>
      </c>
      <c r="BA79" s="518" t="str">
        <f>IF(AND(_3="B-717",'2026'!$E$4="FO",'2026'!$E$2=BA43),'2026DATA'!$J$38,"")</f>
        <v/>
      </c>
      <c r="BB79" s="518" t="str">
        <f>IF(AND(_3="B-717",'2026'!$E$4="FO",'2026'!$E$2=BB43),'2026DATA'!$K$38,"")</f>
        <v/>
      </c>
      <c r="BC79" s="518" t="str">
        <f>IF(AND(_3="B-717",'2026'!$E$4="FO",'2026'!$E$2=BC43),'2026DATA'!$L$38,"")</f>
        <v/>
      </c>
      <c r="BD79" s="518" t="str">
        <f>IF(AND(_3="B-717",'2026'!$E$4="FO",'2026'!$E$2=BD43),'2026DATA'!$M$38,"")</f>
        <v/>
      </c>
      <c r="BE79" s="520" t="str">
        <f>IF(AND(_3="B-717",'2026'!$E$4="FO",'2026'!$E$2=BE43),'2026DATA'!$N$38,"")</f>
        <v/>
      </c>
      <c r="BF79" s="940"/>
      <c r="BG79" s="13" t="s">
        <v>62</v>
      </c>
      <c r="BH79" s="518" t="str">
        <f>IF(AND(_4="B-717",'2026'!$E$4="FO",'2026'!$E$2=BH43),'2026DATA'!$C$38,"")</f>
        <v/>
      </c>
      <c r="BI79" s="518" t="str">
        <f>IF(AND(_4="B-717",'2026'!$E$4="FO",'2026'!$E$2=BI43),'2026DATA'!$D$38,"")</f>
        <v/>
      </c>
      <c r="BJ79" s="518" t="str">
        <f>IF(AND(_4="B-717",'2026'!$E$4="FO",'2026'!$E$2=BJ43),'2026DATA'!$E$38,"")</f>
        <v/>
      </c>
      <c r="BK79" s="518" t="str">
        <f>IF(AND(_4="B-717",'2026'!$E$4="FO",'2026'!$E$2=BK43),'2026DATA'!$F$38,"")</f>
        <v/>
      </c>
      <c r="BL79" s="518" t="str">
        <f>IF(AND(_4="B-717",'2026'!$E$4="FO",'2026'!$E$2=BL43),'2026DATA'!$G$38,"")</f>
        <v/>
      </c>
      <c r="BM79" s="518" t="str">
        <f>IF(AND(_4="B-717",'2026'!$E$4="FO",'2026'!$E$2=BM43),'2026DATA'!$H$38,"")</f>
        <v/>
      </c>
      <c r="BN79" s="518" t="str">
        <f>IF(AND(_4="B-717",'2026'!$E$4="FO",'2026'!$E$2=BN43),'2026DATA'!$I$38,"")</f>
        <v/>
      </c>
      <c r="BO79" s="518" t="str">
        <f>IF(AND(_4="B-717",'2026'!$E$4="FO",'2026'!$E$2=BO43),'2026DATA'!$J$38,"")</f>
        <v/>
      </c>
      <c r="BP79" s="518" t="str">
        <f>IF(AND(_4="B-717",'2026'!$E$4="FO",'2026'!$E$2=BP43),'2026DATA'!$K$38,"")</f>
        <v/>
      </c>
      <c r="BQ79" s="518" t="str">
        <f>IF(AND(_4="B-717",'2026'!$E$4="FO",'2026'!$E$2=BQ43),'2026DATA'!$L$38,"")</f>
        <v/>
      </c>
      <c r="BR79" s="518" t="str">
        <f>IF(AND(_4="B-717",'2026'!$E$4="FO",'2026'!$E$2=BR43),'2026DATA'!$M$38,"")</f>
        <v/>
      </c>
      <c r="BS79" s="520" t="str">
        <f>IF(AND(_4="B-717",'2026'!$E$4="FO",'2026'!$E$2=BS43),'2026DATA'!$N$38,"")</f>
        <v/>
      </c>
      <c r="BT79" s="940"/>
      <c r="BU79" s="13" t="s">
        <v>62</v>
      </c>
      <c r="BV79" s="518" t="str">
        <f>IF(AND(_5="B-717",'2026'!$E$4="FO",'2026'!$E$2=BV43),'2026DATA'!$C$38,"")</f>
        <v/>
      </c>
      <c r="BW79" s="518" t="str">
        <f>IF(AND(_5="B-717",'2026'!$E$4="FO",'2026'!$E$2=BW43),'2026DATA'!$D$38,"")</f>
        <v/>
      </c>
      <c r="BX79" s="518" t="str">
        <f>IF(AND(_5="B-717",'2026'!$E$4="FO",'2026'!$E$2=BX43),'2026DATA'!$E$38,"")</f>
        <v/>
      </c>
      <c r="BY79" s="518" t="str">
        <f>IF(AND(_5="B-717",'2026'!$E$4="FO",'2026'!$E$2=BY43),'2026DATA'!$F$38,"")</f>
        <v/>
      </c>
      <c r="BZ79" s="518" t="str">
        <f>IF(AND(_5="B-717",'2026'!$E$4="FO",'2026'!$E$2=BZ43),'2026DATA'!$G$38,"")</f>
        <v/>
      </c>
      <c r="CA79" s="518" t="str">
        <f>IF(AND(_5="B-717",'2026'!$E$4="FO",'2026'!$E$2=CA43),'2026DATA'!$H$38,"")</f>
        <v/>
      </c>
      <c r="CB79" s="518" t="str">
        <f>IF(AND(_5="B-717",'2026'!$E$4="FO",'2026'!$E$2=CB43),'2026DATA'!$I$38,"")</f>
        <v/>
      </c>
      <c r="CC79" s="518" t="str">
        <f>IF(AND(_5="B-717",'2026'!$E$4="FO",'2026'!$E$2=CC43),'2026DATA'!$J$38,"")</f>
        <v/>
      </c>
      <c r="CD79" s="518" t="str">
        <f>IF(AND(_5="B-717",'2026'!$E$4="FO",'2026'!$E$2=CD43),'2026DATA'!$K$38,"")</f>
        <v/>
      </c>
      <c r="CE79" s="518" t="str">
        <f>IF(AND(_5="B-717",'2026'!$E$4="FO",'2026'!$E$2=CE43),'2026DATA'!$L$38,"")</f>
        <v/>
      </c>
      <c r="CF79" s="518" t="str">
        <f>IF(AND(_5="B-717",'2026'!$E$4="FO",'2026'!$E$2=CF43),'2026DATA'!$M$38,"")</f>
        <v/>
      </c>
      <c r="CG79" s="520" t="str">
        <f>IF(AND(_5="B-717",'2026'!$E$4="FO",'2026'!$E$2=CG43),'2026DATA'!$N$38,"")</f>
        <v/>
      </c>
      <c r="CH79" s="940"/>
      <c r="CI79" s="13" t="s">
        <v>62</v>
      </c>
      <c r="CJ79" s="518" t="str">
        <f>IF(AND(_6="B-717",'2026'!$E$4="FO",'2026'!$E$2=CJ43),'2026DATA'!$C$38,"")</f>
        <v/>
      </c>
      <c r="CK79" s="518" t="str">
        <f>IF(AND(_6="B-717",'2026'!$E$4="FO",'2026'!$E$2=CK43),'2026DATA'!$D$38,"")</f>
        <v/>
      </c>
      <c r="CL79" s="518" t="str">
        <f>IF(AND(_6="B-717",'2026'!$E$4="FO",'2026'!$E$2=CL43),'2026DATA'!$E$38,"")</f>
        <v/>
      </c>
      <c r="CM79" s="518" t="str">
        <f>IF(AND(_6="B-717",'2026'!$E$4="FO",'2026'!$E$2=CM43),'2026DATA'!$F$38,"")</f>
        <v/>
      </c>
      <c r="CN79" s="518" t="str">
        <f>IF(AND(_6="B-717",'2026'!$E$4="FO",'2026'!$E$2=CN43),'2026DATA'!$G$38,"")</f>
        <v/>
      </c>
      <c r="CO79" s="518" t="str">
        <f>IF(AND(_6="B-717",'2026'!$E$4="FO",'2026'!$E$2=CO43),'2026DATA'!$H$38,"")</f>
        <v/>
      </c>
      <c r="CP79" s="518" t="str">
        <f>IF(AND(_6="B-717",'2026'!$E$4="FO",'2026'!$E$2=CP43),'2026DATA'!$I$38,"")</f>
        <v/>
      </c>
      <c r="CQ79" s="518" t="str">
        <f>IF(AND(_6="B-717",'2026'!$E$4="FO",'2026'!$E$2=CQ43),'2026DATA'!$J$38,"")</f>
        <v/>
      </c>
      <c r="CR79" s="518" t="str">
        <f>IF(AND(_6="B-717",'2026'!$E$4="FO",'2026'!$E$2=CR43),'2026DATA'!$K$38,"")</f>
        <v/>
      </c>
      <c r="CS79" s="518" t="str">
        <f>IF(AND(_6="B-717",'2026'!$E$4="FO",'2026'!$E$2=CS43),'2026DATA'!$L$38,"")</f>
        <v/>
      </c>
      <c r="CT79" s="518" t="str">
        <f>IF(AND(_6="B-717",'2026'!$E$4="FO",'2026'!$E$2=CT43),'2026DATA'!$M$38,"")</f>
        <v/>
      </c>
      <c r="CU79" s="520" t="str">
        <f>IF(AND(_6="B-717",'2026'!$E$4="FO",'2026'!$E$2=CU43),'2026DATA'!$N$38,"")</f>
        <v/>
      </c>
    </row>
    <row r="80" spans="16:99" x14ac:dyDescent="0.25">
      <c r="P80" s="943" t="s">
        <v>128</v>
      </c>
      <c r="Q80" s="944"/>
      <c r="R80" s="944"/>
      <c r="S80" s="944"/>
      <c r="T80" s="944"/>
      <c r="U80" s="944"/>
      <c r="V80" s="944"/>
      <c r="W80" s="944"/>
      <c r="X80" s="944"/>
      <c r="Y80" s="944"/>
      <c r="Z80" s="944"/>
      <c r="AA80" s="944"/>
      <c r="AB80" s="944"/>
      <c r="AC80" s="945"/>
      <c r="AD80" s="943" t="s">
        <v>129</v>
      </c>
      <c r="AE80" s="944"/>
      <c r="AF80" s="944"/>
      <c r="AG80" s="944"/>
      <c r="AH80" s="944"/>
      <c r="AI80" s="944"/>
      <c r="AJ80" s="944"/>
      <c r="AK80" s="944"/>
      <c r="AL80" s="944"/>
      <c r="AM80" s="944"/>
      <c r="AN80" s="944"/>
      <c r="AO80" s="944"/>
      <c r="AP80" s="944"/>
      <c r="AQ80" s="945"/>
      <c r="AR80" s="943" t="s">
        <v>130</v>
      </c>
      <c r="AS80" s="944"/>
      <c r="AT80" s="944"/>
      <c r="AU80" s="944"/>
      <c r="AV80" s="944"/>
      <c r="AW80" s="944"/>
      <c r="AX80" s="944"/>
      <c r="AY80" s="944"/>
      <c r="AZ80" s="944"/>
      <c r="BA80" s="944"/>
      <c r="BB80" s="944"/>
      <c r="BC80" s="944"/>
      <c r="BD80" s="944"/>
      <c r="BE80" s="945"/>
      <c r="BF80" s="943" t="s">
        <v>131</v>
      </c>
      <c r="BG80" s="944"/>
      <c r="BH80" s="944"/>
      <c r="BI80" s="944"/>
      <c r="BJ80" s="944"/>
      <c r="BK80" s="944"/>
      <c r="BL80" s="944"/>
      <c r="BM80" s="944"/>
      <c r="BN80" s="944"/>
      <c r="BO80" s="944"/>
      <c r="BP80" s="944"/>
      <c r="BQ80" s="944"/>
      <c r="BR80" s="944"/>
      <c r="BS80" s="945"/>
      <c r="BT80" s="943" t="s">
        <v>132</v>
      </c>
      <c r="BU80" s="944"/>
      <c r="BV80" s="944"/>
      <c r="BW80" s="944"/>
      <c r="BX80" s="944"/>
      <c r="BY80" s="944"/>
      <c r="BZ80" s="944"/>
      <c r="CA80" s="944"/>
      <c r="CB80" s="944"/>
      <c r="CC80" s="944"/>
      <c r="CD80" s="944"/>
      <c r="CE80" s="944"/>
      <c r="CF80" s="944"/>
      <c r="CG80" s="945"/>
      <c r="CH80" s="943" t="s">
        <v>133</v>
      </c>
      <c r="CI80" s="944"/>
      <c r="CJ80" s="944"/>
      <c r="CK80" s="944"/>
      <c r="CL80" s="944"/>
      <c r="CM80" s="944"/>
      <c r="CN80" s="944"/>
      <c r="CO80" s="944"/>
      <c r="CP80" s="944"/>
      <c r="CQ80" s="944"/>
      <c r="CR80" s="944"/>
      <c r="CS80" s="944"/>
      <c r="CT80" s="944"/>
      <c r="CU80" s="945"/>
    </row>
    <row r="81" spans="16:99" x14ac:dyDescent="0.25">
      <c r="P81" s="582">
        <v>3</v>
      </c>
      <c r="Q81" s="559">
        <f>SUM(R82:AC117)</f>
        <v>0</v>
      </c>
      <c r="R81" s="3">
        <v>12</v>
      </c>
      <c r="S81" s="3">
        <v>11</v>
      </c>
      <c r="T81" s="3">
        <v>10</v>
      </c>
      <c r="U81" s="3">
        <v>9</v>
      </c>
      <c r="V81" s="3">
        <v>8</v>
      </c>
      <c r="W81" s="3">
        <v>7</v>
      </c>
      <c r="X81" s="3">
        <v>6</v>
      </c>
      <c r="Y81" s="3">
        <v>5</v>
      </c>
      <c r="Z81" s="3">
        <v>4</v>
      </c>
      <c r="AA81" s="3">
        <v>3</v>
      </c>
      <c r="AB81" s="3">
        <v>2</v>
      </c>
      <c r="AC81" s="519">
        <v>1</v>
      </c>
      <c r="AD81" s="559">
        <v>3</v>
      </c>
      <c r="AE81" s="559">
        <f>SUM(AF82:AQ117)</f>
        <v>0</v>
      </c>
      <c r="AF81" s="3">
        <v>12</v>
      </c>
      <c r="AG81" s="3">
        <v>11</v>
      </c>
      <c r="AH81" s="3">
        <v>10</v>
      </c>
      <c r="AI81" s="3">
        <v>9</v>
      </c>
      <c r="AJ81" s="3">
        <v>8</v>
      </c>
      <c r="AK81" s="3">
        <v>7</v>
      </c>
      <c r="AL81" s="3">
        <v>6</v>
      </c>
      <c r="AM81" s="3">
        <v>5</v>
      </c>
      <c r="AN81" s="3">
        <v>4</v>
      </c>
      <c r="AO81" s="3">
        <v>3</v>
      </c>
      <c r="AP81" s="3">
        <v>2</v>
      </c>
      <c r="AQ81" s="519">
        <v>1</v>
      </c>
      <c r="AR81" s="559">
        <v>3</v>
      </c>
      <c r="AS81" s="559">
        <f>SUM(AT82:BE117)</f>
        <v>0</v>
      </c>
      <c r="AT81" s="3">
        <v>12</v>
      </c>
      <c r="AU81" s="3">
        <v>11</v>
      </c>
      <c r="AV81" s="3">
        <v>10</v>
      </c>
      <c r="AW81" s="3">
        <v>9</v>
      </c>
      <c r="AX81" s="3">
        <v>8</v>
      </c>
      <c r="AY81" s="3">
        <v>7</v>
      </c>
      <c r="AZ81" s="3">
        <v>6</v>
      </c>
      <c r="BA81" s="3">
        <v>5</v>
      </c>
      <c r="BB81" s="3">
        <v>4</v>
      </c>
      <c r="BC81" s="3">
        <v>3</v>
      </c>
      <c r="BD81" s="3">
        <v>2</v>
      </c>
      <c r="BE81" s="519">
        <v>1</v>
      </c>
      <c r="BF81" s="559">
        <v>3</v>
      </c>
      <c r="BG81" s="559">
        <f>SUM(BH82:BS117)</f>
        <v>0</v>
      </c>
      <c r="BH81" s="3">
        <v>12</v>
      </c>
      <c r="BI81" s="3">
        <v>11</v>
      </c>
      <c r="BJ81" s="3">
        <v>10</v>
      </c>
      <c r="BK81" s="3">
        <v>9</v>
      </c>
      <c r="BL81" s="3">
        <v>8</v>
      </c>
      <c r="BM81" s="3">
        <v>7</v>
      </c>
      <c r="BN81" s="3">
        <v>6</v>
      </c>
      <c r="BO81" s="3">
        <v>5</v>
      </c>
      <c r="BP81" s="3">
        <v>4</v>
      </c>
      <c r="BQ81" s="3">
        <v>3</v>
      </c>
      <c r="BR81" s="3">
        <v>2</v>
      </c>
      <c r="BS81" s="519">
        <v>1</v>
      </c>
      <c r="BT81" s="559">
        <v>3</v>
      </c>
      <c r="BU81" s="559">
        <f>SUM(BV82:CG117)</f>
        <v>0</v>
      </c>
      <c r="BV81" s="3">
        <v>12</v>
      </c>
      <c r="BW81" s="3">
        <v>11</v>
      </c>
      <c r="BX81" s="3">
        <v>10</v>
      </c>
      <c r="BY81" s="3">
        <v>9</v>
      </c>
      <c r="BZ81" s="3">
        <v>8</v>
      </c>
      <c r="CA81" s="3">
        <v>7</v>
      </c>
      <c r="CB81" s="3">
        <v>6</v>
      </c>
      <c r="CC81" s="3">
        <v>5</v>
      </c>
      <c r="CD81" s="3">
        <v>4</v>
      </c>
      <c r="CE81" s="3">
        <v>3</v>
      </c>
      <c r="CF81" s="3">
        <v>2</v>
      </c>
      <c r="CG81" s="519">
        <v>1</v>
      </c>
      <c r="CH81" s="559">
        <v>3</v>
      </c>
      <c r="CI81" s="559">
        <f>SUM(CJ82:CU117)</f>
        <v>0</v>
      </c>
      <c r="CJ81" s="3">
        <v>12</v>
      </c>
      <c r="CK81" s="3">
        <v>11</v>
      </c>
      <c r="CL81" s="3">
        <v>10</v>
      </c>
      <c r="CM81" s="3">
        <v>9</v>
      </c>
      <c r="CN81" s="3">
        <v>8</v>
      </c>
      <c r="CO81" s="3">
        <v>7</v>
      </c>
      <c r="CP81" s="3">
        <v>6</v>
      </c>
      <c r="CQ81" s="3">
        <v>5</v>
      </c>
      <c r="CR81" s="3">
        <v>4</v>
      </c>
      <c r="CS81" s="3">
        <v>3</v>
      </c>
      <c r="CT81" s="3">
        <v>2</v>
      </c>
      <c r="CU81" s="519">
        <v>1</v>
      </c>
    </row>
    <row r="82" spans="16:99" x14ac:dyDescent="0.25">
      <c r="P82" s="940" t="s">
        <v>39</v>
      </c>
      <c r="Q82" s="13" t="s">
        <v>61</v>
      </c>
      <c r="R82" s="518" t="str">
        <f>IF(AND(_1="A-350",'2026'!$F$4="CA",'2026'!$F$2=R81),'2026DATA'!$C$3,"")</f>
        <v/>
      </c>
      <c r="S82" s="518" t="str">
        <f>IF(AND(_1="A-350",'2026'!$F$4="CA",'2026'!$F$2=S81),'2026DATA'!$D$3,"")</f>
        <v/>
      </c>
      <c r="T82" s="518" t="str">
        <f>IF(AND(_1="A-350",'2026'!$F$4="CA",'2026'!$F$2=T81),'2026DATA'!$E$3,"")</f>
        <v/>
      </c>
      <c r="U82" s="518" t="str">
        <f>IF(AND(_1="A-350",'2026'!$F$4="CA",'2026'!$F$2=U81),'2026DATA'!$F$3,"")</f>
        <v/>
      </c>
      <c r="V82" s="518" t="str">
        <f>IF(AND(_1="A-350",'2026'!$F$4="CA",'2026'!$F$2=V81),'2026DATA'!$G$3,"")</f>
        <v/>
      </c>
      <c r="W82" s="518" t="str">
        <f>IF(AND(_1="A-350",'2026'!$F$4="CA",'2026'!$F$2=W81),'2026DATA'!$H$3,"")</f>
        <v/>
      </c>
      <c r="X82" s="518" t="str">
        <f>IF(AND(_1="A-350",'2026'!$F$4="CA",'2026'!$F$2=X81),'2026DATA'!$I$3,"")</f>
        <v/>
      </c>
      <c r="Y82" s="518" t="str">
        <f>IF(AND(_1="A-350",'2026'!$F$4="CA",'2026'!$F$2=Y81),'2026DATA'!$J$3,"")</f>
        <v/>
      </c>
      <c r="Z82" s="518" t="str">
        <f>IF(AND(_1="A-350",'2026'!$F$4="CA",'2026'!$F$2=Z81),'2026DATA'!$K$3,"")</f>
        <v/>
      </c>
      <c r="AA82" s="518" t="str">
        <f>IF(AND(_1="A-350",'2026'!$F$4="CA",'2026'!$F$2=AA81),'2026DATA'!$L$3,"")</f>
        <v/>
      </c>
      <c r="AB82" s="518" t="str">
        <f>IF(AND(_1="A-350",'2026'!$F$4="CA",'2026'!$F$2=AB81),'2026DATA'!$M$3,"")</f>
        <v/>
      </c>
      <c r="AC82" s="520" t="str">
        <f>IF(AND(_1="A-350",'2026'!$F$4="CA",'2026'!$F$2=AC81),'2026DATA'!$N$3,"")</f>
        <v/>
      </c>
      <c r="AD82" s="940" t="s">
        <v>39</v>
      </c>
      <c r="AE82" s="13" t="s">
        <v>61</v>
      </c>
      <c r="AF82" s="518" t="str">
        <f>IF(AND(_2="A-350",'2026'!$F$4="CA",'2026'!$F$2=AF81),'2026DATA'!$C$3,"")</f>
        <v/>
      </c>
      <c r="AG82" s="518" t="str">
        <f>IF(AND(_2="A-350",'2026'!$F$4="CA",'2026'!$F$2=AG81),'2026DATA'!$D$3,"")</f>
        <v/>
      </c>
      <c r="AH82" s="518" t="str">
        <f>IF(AND(_2="A-350",'2026'!$F$4="CA",'2026'!$F$2=AH81),'2026DATA'!$E$3,"")</f>
        <v/>
      </c>
      <c r="AI82" s="518" t="str">
        <f>IF(AND(_2="A-350",'2026'!$F$4="CA",'2026'!$F$2=AI81),'2026DATA'!$F$3,"")</f>
        <v/>
      </c>
      <c r="AJ82" s="518" t="str">
        <f>IF(AND(_2="A-350",'2026'!$F$4="CA",'2026'!$F$2=AJ81),'2026DATA'!$G$3,"")</f>
        <v/>
      </c>
      <c r="AK82" s="518" t="str">
        <f>IF(AND(_2="A-350",'2026'!$F$4="CA",'2026'!$F$2=AK81),'2026DATA'!$H$3,"")</f>
        <v/>
      </c>
      <c r="AL82" s="518" t="str">
        <f>IF(AND(_2="A-350",'2026'!$F$4="CA",'2026'!$F$2=AL81),'2026DATA'!$I$3,"")</f>
        <v/>
      </c>
      <c r="AM82" s="518" t="str">
        <f>IF(AND(_2="A-350",'2026'!$F$4="CA",'2026'!$F$2=AM81),'2026DATA'!$J$3,"")</f>
        <v/>
      </c>
      <c r="AN82" s="518" t="str">
        <f>IF(AND(_2="A-350",'2026'!$F$4="CA",'2026'!$F$2=AN81),'2026DATA'!$K$3,"")</f>
        <v/>
      </c>
      <c r="AO82" s="518" t="str">
        <f>IF(AND(_2="A-350",'2026'!$F$4="CA",'2026'!$F$2=AO81),'2026DATA'!$L$3,"")</f>
        <v/>
      </c>
      <c r="AP82" s="518" t="str">
        <f>IF(AND(_2="A-350",'2026'!$F$4="CA",'2026'!$F$2=AP81),'2026DATA'!$M$3,"")</f>
        <v/>
      </c>
      <c r="AQ82" s="520" t="str">
        <f>IF(AND(_2="A-350",'2026'!$F$4="CA",'2026'!$F$2=AQ81),'2026DATA'!$N$3,"")</f>
        <v/>
      </c>
      <c r="AR82" s="940" t="s">
        <v>39</v>
      </c>
      <c r="AS82" s="13" t="s">
        <v>61</v>
      </c>
      <c r="AT82" s="518" t="str">
        <f>IF(AND(_3="A-350",'2026'!$F$4="CA",'2026'!$F$2=AT81),'2026DATA'!$C$3,"")</f>
        <v/>
      </c>
      <c r="AU82" s="518" t="str">
        <f>IF(AND(_3="A-350",'2026'!$F$4="CA",'2026'!$F$2=AU81),'2026DATA'!$D$3,"")</f>
        <v/>
      </c>
      <c r="AV82" s="518" t="str">
        <f>IF(AND(_3="A-350",'2026'!$F$4="CA",'2026'!$F$2=AV81),'2026DATA'!$E$3,"")</f>
        <v/>
      </c>
      <c r="AW82" s="518" t="str">
        <f>IF(AND(_3="A-350",'2026'!$F$4="CA",'2026'!$F$2=AW81),'2026DATA'!$F$3,"")</f>
        <v/>
      </c>
      <c r="AX82" s="518" t="str">
        <f>IF(AND(_3="A-350",'2026'!$F$4="CA",'2026'!$F$2=AX81),'2026DATA'!$G$3,"")</f>
        <v/>
      </c>
      <c r="AY82" s="518" t="str">
        <f>IF(AND(_3="A-350",'2026'!$F$4="CA",'2026'!$F$2=AY81),'2026DATA'!$H$3,"")</f>
        <v/>
      </c>
      <c r="AZ82" s="518" t="str">
        <f>IF(AND(_3="A-350",'2026'!$F$4="CA",'2026'!$F$2=AZ81),'2026DATA'!$I$3,"")</f>
        <v/>
      </c>
      <c r="BA82" s="518" t="str">
        <f>IF(AND(_3="A-350",'2026'!$F$4="CA",'2026'!$F$2=BA81),'2026DATA'!$J$3,"")</f>
        <v/>
      </c>
      <c r="BB82" s="518" t="str">
        <f>IF(AND(_3="A-350",'2026'!$F$4="CA",'2026'!$F$2=BB81),'2026DATA'!$K$3,"")</f>
        <v/>
      </c>
      <c r="BC82" s="518" t="str">
        <f>IF(AND(_3="A-350",'2026'!$F$4="CA",'2026'!$F$2=BC81),'2026DATA'!$L$3,"")</f>
        <v/>
      </c>
      <c r="BD82" s="518" t="str">
        <f>IF(AND(_3="A-350",'2026'!$F$4="CA",'2026'!$F$2=BD81),'2026DATA'!$M$3,"")</f>
        <v/>
      </c>
      <c r="BE82" s="520" t="str">
        <f>IF(AND(_3="A-350",'2026'!$F$4="CA",'2026'!$F$2=BE81),'2026DATA'!$N$3,"")</f>
        <v/>
      </c>
      <c r="BF82" s="940" t="s">
        <v>39</v>
      </c>
      <c r="BG82" s="13" t="s">
        <v>61</v>
      </c>
      <c r="BH82" s="518" t="str">
        <f>IF(AND(_4="A-350",'2026'!$F$4="CA",'2026'!$F$2=BH81),'2026DATA'!$C$3,"")</f>
        <v/>
      </c>
      <c r="BI82" s="518" t="str">
        <f>IF(AND(_4="A-350",'2026'!$F$4="CA",'2026'!$F$2=BI81),'2026DATA'!$D$3,"")</f>
        <v/>
      </c>
      <c r="BJ82" s="518" t="str">
        <f>IF(AND(_4="A-350",'2026'!$F$4="CA",'2026'!$F$2=BJ81),'2026DATA'!$E$3,"")</f>
        <v/>
      </c>
      <c r="BK82" s="518" t="str">
        <f>IF(AND(_4="A-350",'2026'!$F$4="CA",'2026'!$F$2=BK81),'2026DATA'!$F$3,"")</f>
        <v/>
      </c>
      <c r="BL82" s="518" t="str">
        <f>IF(AND(_4="A-350",'2026'!$F$4="CA",'2026'!$F$2=BL81),'2026DATA'!$G$3,"")</f>
        <v/>
      </c>
      <c r="BM82" s="518" t="str">
        <f>IF(AND(_4="A-350",'2026'!$F$4="CA",'2026'!$F$2=BM81),'2026DATA'!$H$3,"")</f>
        <v/>
      </c>
      <c r="BN82" s="518" t="str">
        <f>IF(AND(_4="A-350",'2026'!$F$4="CA",'2026'!$F$2=BN81),'2026DATA'!$I$3,"")</f>
        <v/>
      </c>
      <c r="BO82" s="518" t="str">
        <f>IF(AND(_4="A-350",'2026'!$F$4="CA",'2026'!$F$2=BO81),'2026DATA'!$J$3,"")</f>
        <v/>
      </c>
      <c r="BP82" s="518" t="str">
        <f>IF(AND(_4="A-350",'2026'!$F$4="CA",'2026'!$F$2=BP81),'2026DATA'!$K$3,"")</f>
        <v/>
      </c>
      <c r="BQ82" s="518" t="str">
        <f>IF(AND(_4="A-350",'2026'!$F$4="CA",'2026'!$F$2=BQ81),'2026DATA'!$L$3,"")</f>
        <v/>
      </c>
      <c r="BR82" s="518" t="str">
        <f>IF(AND(_4="A-350",'2026'!$F$4="CA",'2026'!$F$2=BR81),'2026DATA'!$M$3,"")</f>
        <v/>
      </c>
      <c r="BS82" s="520" t="str">
        <f>IF(AND(_4="A-350",'2026'!$F$4="CA",'2026'!$F$2=BS81),'2026DATA'!$N$3,"")</f>
        <v/>
      </c>
      <c r="BT82" s="940" t="s">
        <v>39</v>
      </c>
      <c r="BU82" s="13" t="s">
        <v>61</v>
      </c>
      <c r="BV82" s="518" t="str">
        <f>IF(AND(_5="A-350",'2026'!$F$4="CA",'2026'!$F$2=BV81),'2026DATA'!$C$3,"")</f>
        <v/>
      </c>
      <c r="BW82" s="518" t="str">
        <f>IF(AND(_5="A-350",'2026'!$F$4="CA",'2026'!$F$2=BW81),'2026DATA'!$D$3,"")</f>
        <v/>
      </c>
      <c r="BX82" s="518" t="str">
        <f>IF(AND(_5="A-350",'2026'!$F$4="CA",'2026'!$F$2=BX81),'2026DATA'!$E$3,"")</f>
        <v/>
      </c>
      <c r="BY82" s="518" t="str">
        <f>IF(AND(_5="A-350",'2026'!$F$4="CA",'2026'!$F$2=BY81),'2026DATA'!$F$3,"")</f>
        <v/>
      </c>
      <c r="BZ82" s="518" t="str">
        <f>IF(AND(_5="A-350",'2026'!$F$4="CA",'2026'!$F$2=BZ81),'2026DATA'!$G$3,"")</f>
        <v/>
      </c>
      <c r="CA82" s="518" t="str">
        <f>IF(AND(_5="A-350",'2026'!$F$4="CA",'2026'!$F$2=CA81),'2026DATA'!$H$3,"")</f>
        <v/>
      </c>
      <c r="CB82" s="518" t="str">
        <f>IF(AND(_5="A-350",'2026'!$F$4="CA",'2026'!$F$2=CB81),'2026DATA'!$I$3,"")</f>
        <v/>
      </c>
      <c r="CC82" s="518" t="str">
        <f>IF(AND(_5="A-350",'2026'!$F$4="CA",'2026'!$F$2=CC81),'2026DATA'!$J$3,"")</f>
        <v/>
      </c>
      <c r="CD82" s="518" t="str">
        <f>IF(AND(_5="A-350",'2026'!$F$4="CA",'2026'!$F$2=CD81),'2026DATA'!$K$3,"")</f>
        <v/>
      </c>
      <c r="CE82" s="518" t="str">
        <f>IF(AND(_5="A-350",'2026'!$F$4="CA",'2026'!$F$2=CE81),'2026DATA'!$L$3,"")</f>
        <v/>
      </c>
      <c r="CF82" s="518" t="str">
        <f>IF(AND(_5="A-350",'2026'!$F$4="CA",'2026'!$F$2=CF81),'2026DATA'!$M$3,"")</f>
        <v/>
      </c>
      <c r="CG82" s="520" t="str">
        <f>IF(AND(_5="A-350",'2026'!$F$4="CA",'2026'!$F$2=CG81),'2026DATA'!$N$3,"")</f>
        <v/>
      </c>
      <c r="CH82" s="940" t="s">
        <v>39</v>
      </c>
      <c r="CI82" s="13" t="s">
        <v>61</v>
      </c>
      <c r="CJ82" s="518" t="str">
        <f>IF(AND(_6="A-350",'2026'!$F$4="CA",'2026'!$F$2=CJ81),'2026DATA'!$C$3,"")</f>
        <v/>
      </c>
      <c r="CK82" s="518" t="str">
        <f>IF(AND(_6="A-350",'2026'!$F$4="CA",'2026'!$F$2=CK81),'2026DATA'!$D$3,"")</f>
        <v/>
      </c>
      <c r="CL82" s="518" t="str">
        <f>IF(AND(_6="A-350",'2026'!$F$4="CA",'2026'!$F$2=CL81),'2026DATA'!$E$3,"")</f>
        <v/>
      </c>
      <c r="CM82" s="518" t="str">
        <f>IF(AND(_6="A-350",'2026'!$F$4="CA",'2026'!$F$2=CM81),'2026DATA'!$F$3,"")</f>
        <v/>
      </c>
      <c r="CN82" s="518" t="str">
        <f>IF(AND(_6="A-350",'2026'!$F$4="CA",'2026'!$F$2=CN81),'2026DATA'!$G$3,"")</f>
        <v/>
      </c>
      <c r="CO82" s="518" t="str">
        <f>IF(AND(_6="A-350",'2026'!$F$4="CA",'2026'!$F$2=CO81),'2026DATA'!$H$3,"")</f>
        <v/>
      </c>
      <c r="CP82" s="518" t="str">
        <f>IF(AND(_6="A-350",'2026'!$F$4="CA",'2026'!$F$2=CP81),'2026DATA'!$I$3,"")</f>
        <v/>
      </c>
      <c r="CQ82" s="518" t="str">
        <f>IF(AND(_6="A-350",'2026'!$F$4="CA",'2026'!$F$2=CQ81),'2026DATA'!$J$3,"")</f>
        <v/>
      </c>
      <c r="CR82" s="518" t="str">
        <f>IF(AND(_6="A-350",'2026'!$F$4="CA",'2026'!$F$2=CR81),'2026DATA'!$K$3,"")</f>
        <v/>
      </c>
      <c r="CS82" s="518" t="str">
        <f>IF(AND(_6="A-350",'2026'!$F$4="CA",'2026'!$F$2=CS81),'2026DATA'!$L$3,"")</f>
        <v/>
      </c>
      <c r="CT82" s="518" t="str">
        <f>IF(AND(_6="A-350",'2026'!$F$4="CA",'2026'!$F$2=CT81),'2026DATA'!$M$3,"")</f>
        <v/>
      </c>
      <c r="CU82" s="520" t="str">
        <f>IF(AND(_6="A-350",'2026'!$F$4="CA",'2026'!$F$2=CU81),'2026DATA'!$N$3,"")</f>
        <v/>
      </c>
    </row>
    <row r="83" spans="16:99" x14ac:dyDescent="0.25">
      <c r="P83" s="940"/>
      <c r="Q83" s="13" t="s">
        <v>62</v>
      </c>
      <c r="R83" s="518" t="str">
        <f>IF(AND(_1="A-350",'2026'!$F$4="FO",'2026'!$F$2=R81),'2026DATA'!$C$4,"")</f>
        <v/>
      </c>
      <c r="S83" s="518" t="str">
        <f>IF(AND(_1="A-350",'2026'!$F$4="FO",'2026'!$F$2=S81),'2026DATA'!$D$4,"")</f>
        <v/>
      </c>
      <c r="T83" s="518" t="str">
        <f>IF(AND(_1="A-350",'2026'!$F$4="FO",'2026'!$F$2=T81),'2026DATA'!$E$4,"")</f>
        <v/>
      </c>
      <c r="U83" s="518" t="str">
        <f>IF(AND(_1="A-350",'2026'!$F$4="FO",'2026'!$F$2=U81),'2026DATA'!$F$4,"")</f>
        <v/>
      </c>
      <c r="V83" s="518" t="str">
        <f>IF(AND(_1="A-350",'2026'!$F$4="FO",'2026'!$F$2=V81),'2026DATA'!$G$4,"")</f>
        <v/>
      </c>
      <c r="W83" s="518" t="str">
        <f>IF(AND(_1="A-350",'2026'!$F$4="FO",'2026'!$F$2=W81),'2026DATA'!$H$4,"")</f>
        <v/>
      </c>
      <c r="X83" s="518" t="str">
        <f>IF(AND(_1="A-350",'2026'!$F$4="FO",'2026'!$F$2=X81),'2026DATA'!$I$4,"")</f>
        <v/>
      </c>
      <c r="Y83" s="518" t="str">
        <f>IF(AND(_1="A-350",'2026'!$F$4="FO",'2026'!$F$2=Y81),'2026DATA'!$J$4,"")</f>
        <v/>
      </c>
      <c r="Z83" s="518" t="str">
        <f>IF(AND(_1="A-350",'2026'!$F$4="FO",'2026'!$F$2=Z81),'2026DATA'!$K$4,"")</f>
        <v/>
      </c>
      <c r="AA83" s="518" t="str">
        <f>IF(AND(_1="A-350",'2026'!$F$4="FO",'2026'!$F$2=AA81),'2026DATA'!$L$4,"")</f>
        <v/>
      </c>
      <c r="AB83" s="518" t="str">
        <f>IF(AND(_1="A-350",'2026'!$F$4="FO",'2026'!$F$2=AB81),'2026DATA'!$M$4,"")</f>
        <v/>
      </c>
      <c r="AC83" s="520" t="str">
        <f>IF(AND(_1="A-350",'2026'!$F$4="FO",'2026'!$F$2=AC81),'2026DATA'!$N$4,"")</f>
        <v/>
      </c>
      <c r="AD83" s="940"/>
      <c r="AE83" s="13" t="s">
        <v>62</v>
      </c>
      <c r="AF83" s="518" t="str">
        <f>IF(AND(_2="A-350",'2026'!$F$4="FO",'2026'!$F$2=AF81),'2026DATA'!$C$4,"")</f>
        <v/>
      </c>
      <c r="AG83" s="518" t="str">
        <f>IF(AND(_2="A-350",'2026'!$F$4="FO",'2026'!$F$2=AG81),'2026DATA'!$D$4,"")</f>
        <v/>
      </c>
      <c r="AH83" s="518" t="str">
        <f>IF(AND(_2="A-350",'2026'!$F$4="FO",'2026'!$F$2=AH81),'2026DATA'!$E$4,"")</f>
        <v/>
      </c>
      <c r="AI83" s="518" t="str">
        <f>IF(AND(_2="A-350",'2026'!$F$4="FO",'2026'!$F$2=AI81),'2026DATA'!$F$4,"")</f>
        <v/>
      </c>
      <c r="AJ83" s="518" t="str">
        <f>IF(AND(_2="A-350",'2026'!$F$4="FO",'2026'!$F$2=AJ81),'2026DATA'!$G$4,"")</f>
        <v/>
      </c>
      <c r="AK83" s="518" t="str">
        <f>IF(AND(_2="A-350",'2026'!$F$4="FO",'2026'!$F$2=AK81),'2026DATA'!$H$4,"")</f>
        <v/>
      </c>
      <c r="AL83" s="518" t="str">
        <f>IF(AND(_2="A-350",'2026'!$F$4="FO",'2026'!$F$2=AL81),'2026DATA'!$I$4,"")</f>
        <v/>
      </c>
      <c r="AM83" s="518" t="str">
        <f>IF(AND(_2="A-350",'2026'!$F$4="FO",'2026'!$F$2=AM81),'2026DATA'!$J$4,"")</f>
        <v/>
      </c>
      <c r="AN83" s="518" t="str">
        <f>IF(AND(_2="A-350",'2026'!$F$4="FO",'2026'!$F$2=AN81),'2026DATA'!$K$4,"")</f>
        <v/>
      </c>
      <c r="AO83" s="518" t="str">
        <f>IF(AND(_2="A-350",'2026'!$F$4="FO",'2026'!$F$2=AO81),'2026DATA'!$L$4,"")</f>
        <v/>
      </c>
      <c r="AP83" s="518" t="str">
        <f>IF(AND(_2="A-350",'2026'!$F$4="FO",'2026'!$F$2=AP81),'2026DATA'!$M$4,"")</f>
        <v/>
      </c>
      <c r="AQ83" s="520" t="str">
        <f>IF(AND(_2="A-350",'2026'!$F$4="FO",'2026'!$F$2=AQ81),'2026DATA'!$N$4,"")</f>
        <v/>
      </c>
      <c r="AR83" s="940"/>
      <c r="AS83" s="13" t="s">
        <v>62</v>
      </c>
      <c r="AT83" s="518" t="str">
        <f>IF(AND(_3="A-350",'2026'!$F$4="FO",'2026'!$F$2=AT81),'2026DATA'!$C$4,"")</f>
        <v/>
      </c>
      <c r="AU83" s="518" t="str">
        <f>IF(AND(_3="A-350",'2026'!$F$4="FO",'2026'!$F$2=AU81),'2026DATA'!$D$4,"")</f>
        <v/>
      </c>
      <c r="AV83" s="518" t="str">
        <f>IF(AND(_3="A-350",'2026'!$F$4="FO",'2026'!$F$2=AV81),'2026DATA'!$E$4,"")</f>
        <v/>
      </c>
      <c r="AW83" s="518" t="str">
        <f>IF(AND(_3="A-350",'2026'!$F$4="FO",'2026'!$F$2=AW81),'2026DATA'!$F$4,"")</f>
        <v/>
      </c>
      <c r="AX83" s="518" t="str">
        <f>IF(AND(_3="A-350",'2026'!$F$4="FO",'2026'!$F$2=AX81),'2026DATA'!$G$4,"")</f>
        <v/>
      </c>
      <c r="AY83" s="518" t="str">
        <f>IF(AND(_3="A-350",'2026'!$F$4="FO",'2026'!$F$2=AY81),'2026DATA'!$H$4,"")</f>
        <v/>
      </c>
      <c r="AZ83" s="518" t="str">
        <f>IF(AND(_3="A-350",'2026'!$F$4="FO",'2026'!$F$2=AZ81),'2026DATA'!$I$4,"")</f>
        <v/>
      </c>
      <c r="BA83" s="518" t="str">
        <f>IF(AND(_3="A-350",'2026'!$F$4="FO",'2026'!$F$2=BA81),'2026DATA'!$J$4,"")</f>
        <v/>
      </c>
      <c r="BB83" s="518" t="str">
        <f>IF(AND(_3="A-350",'2026'!$F$4="FO",'2026'!$F$2=BB81),'2026DATA'!$K$4,"")</f>
        <v/>
      </c>
      <c r="BC83" s="518" t="str">
        <f>IF(AND(_3="A-350",'2026'!$F$4="FO",'2026'!$F$2=BC81),'2026DATA'!$L$4,"")</f>
        <v/>
      </c>
      <c r="BD83" s="518" t="str">
        <f>IF(AND(_3="A-350",'2026'!$F$4="FO",'2026'!$F$2=BD81),'2026DATA'!$M$4,"")</f>
        <v/>
      </c>
      <c r="BE83" s="520" t="str">
        <f>IF(AND(_3="A-350",'2026'!$F$4="FO",'2026'!$F$2=BE81),'2026DATA'!$N$4,"")</f>
        <v/>
      </c>
      <c r="BF83" s="940"/>
      <c r="BG83" s="13" t="s">
        <v>62</v>
      </c>
      <c r="BH83" s="518" t="str">
        <f>IF(AND(_4="A-350",'2026'!$F$4="FO",'2026'!$F$2=BH81),'2026DATA'!$C$4,"")</f>
        <v/>
      </c>
      <c r="BI83" s="518" t="str">
        <f>IF(AND(_4="A-350",'2026'!$F$4="FO",'2026'!$F$2=BI81),'2026DATA'!$D$4,"")</f>
        <v/>
      </c>
      <c r="BJ83" s="518" t="str">
        <f>IF(AND(_4="A-350",'2026'!$F$4="FO",'2026'!$F$2=BJ81),'2026DATA'!$E$4,"")</f>
        <v/>
      </c>
      <c r="BK83" s="518" t="str">
        <f>IF(AND(_4="A-350",'2026'!$F$4="FO",'2026'!$F$2=BK81),'2026DATA'!$F$4,"")</f>
        <v/>
      </c>
      <c r="BL83" s="518" t="str">
        <f>IF(AND(_4="A-350",'2026'!$F$4="FO",'2026'!$F$2=BL81),'2026DATA'!$G$4,"")</f>
        <v/>
      </c>
      <c r="BM83" s="518" t="str">
        <f>IF(AND(_4="A-350",'2026'!$F$4="FO",'2026'!$F$2=BM81),'2026DATA'!$H$4,"")</f>
        <v/>
      </c>
      <c r="BN83" s="518" t="str">
        <f>IF(AND(_4="A-350",'2026'!$F$4="FO",'2026'!$F$2=BN81),'2026DATA'!$I$4,"")</f>
        <v/>
      </c>
      <c r="BO83" s="518" t="str">
        <f>IF(AND(_4="A-350",'2026'!$F$4="FO",'2026'!$F$2=BO81),'2026DATA'!$J$4,"")</f>
        <v/>
      </c>
      <c r="BP83" s="518" t="str">
        <f>IF(AND(_4="A-350",'2026'!$F$4="FO",'2026'!$F$2=BP81),'2026DATA'!$K$4,"")</f>
        <v/>
      </c>
      <c r="BQ83" s="518" t="str">
        <f>IF(AND(_4="A-350",'2026'!$F$4="FO",'2026'!$F$2=BQ81),'2026DATA'!$L$4,"")</f>
        <v/>
      </c>
      <c r="BR83" s="518" t="str">
        <f>IF(AND(_4="A-350",'2026'!$F$4="FO",'2026'!$F$2=BR81),'2026DATA'!$M$4,"")</f>
        <v/>
      </c>
      <c r="BS83" s="520" t="str">
        <f>IF(AND(_4="A-350",'2026'!$F$4="FO",'2026'!$F$2=BS81),'2026DATA'!$N$4,"")</f>
        <v/>
      </c>
      <c r="BT83" s="940"/>
      <c r="BU83" s="13" t="s">
        <v>62</v>
      </c>
      <c r="BV83" s="518" t="str">
        <f>IF(AND(_5="A-350",'2026'!$F$4="FO",'2026'!$F$2=BV81),'2026DATA'!$C$4,"")</f>
        <v/>
      </c>
      <c r="BW83" s="518" t="str">
        <f>IF(AND(_5="A-350",'2026'!$F$4="FO",'2026'!$F$2=BW81),'2026DATA'!$D$4,"")</f>
        <v/>
      </c>
      <c r="BX83" s="518" t="str">
        <f>IF(AND(_5="A-350",'2026'!$F$4="FO",'2026'!$F$2=BX81),'2026DATA'!$E$4,"")</f>
        <v/>
      </c>
      <c r="BY83" s="518" t="str">
        <f>IF(AND(_5="A-350",'2026'!$F$4="FO",'2026'!$F$2=BY81),'2026DATA'!$F$4,"")</f>
        <v/>
      </c>
      <c r="BZ83" s="518" t="str">
        <f>IF(AND(_5="A-350",'2026'!$F$4="FO",'2026'!$F$2=BZ81),'2026DATA'!$G$4,"")</f>
        <v/>
      </c>
      <c r="CA83" s="518" t="str">
        <f>IF(AND(_5="A-350",'2026'!$F$4="FO",'2026'!$F$2=CA81),'2026DATA'!$H$4,"")</f>
        <v/>
      </c>
      <c r="CB83" s="518" t="str">
        <f>IF(AND(_5="A-350",'2026'!$F$4="FO",'2026'!$F$2=CB81),'2026DATA'!$I$4,"")</f>
        <v/>
      </c>
      <c r="CC83" s="518" t="str">
        <f>IF(AND(_5="A-350",'2026'!$F$4="FO",'2026'!$F$2=CC81),'2026DATA'!$J$4,"")</f>
        <v/>
      </c>
      <c r="CD83" s="518" t="str">
        <f>IF(AND(_5="A-350",'2026'!$F$4="FO",'2026'!$F$2=CD81),'2026DATA'!$K$4,"")</f>
        <v/>
      </c>
      <c r="CE83" s="518" t="str">
        <f>IF(AND(_5="A-350",'2026'!$F$4="FO",'2026'!$F$2=CE81),'2026DATA'!$L$4,"")</f>
        <v/>
      </c>
      <c r="CF83" s="518" t="str">
        <f>IF(AND(_5="A-350",'2026'!$F$4="FO",'2026'!$F$2=CF81),'2026DATA'!$M$4,"")</f>
        <v/>
      </c>
      <c r="CG83" s="520" t="str">
        <f>IF(AND(_5="A-350",'2026'!$F$4="FO",'2026'!$F$2=CG81),'2026DATA'!$N$4,"")</f>
        <v/>
      </c>
      <c r="CH83" s="940"/>
      <c r="CI83" s="13" t="s">
        <v>62</v>
      </c>
      <c r="CJ83" s="518" t="str">
        <f>IF(AND(_6="A-350",'2026'!$F$4="FO",'2026'!$F$2=CJ81),'2026DATA'!$C$4,"")</f>
        <v/>
      </c>
      <c r="CK83" s="518" t="str">
        <f>IF(AND(_6="A-350",'2026'!$F$4="FO",'2026'!$F$2=CK81),'2026DATA'!$D$4,"")</f>
        <v/>
      </c>
      <c r="CL83" s="518" t="str">
        <f>IF(AND(_6="A-350",'2026'!$F$4="FO",'2026'!$F$2=CL81),'2026DATA'!$E$4,"")</f>
        <v/>
      </c>
      <c r="CM83" s="518" t="str">
        <f>IF(AND(_6="A-350",'2026'!$F$4="FO",'2026'!$F$2=CM81),'2026DATA'!$F$4,"")</f>
        <v/>
      </c>
      <c r="CN83" s="518" t="str">
        <f>IF(AND(_6="A-350",'2026'!$F$4="FO",'2026'!$F$2=CN81),'2026DATA'!$G$4,"")</f>
        <v/>
      </c>
      <c r="CO83" s="518" t="str">
        <f>IF(AND(_6="A-350",'2026'!$F$4="FO",'2026'!$F$2=CO81),'2026DATA'!$H$4,"")</f>
        <v/>
      </c>
      <c r="CP83" s="518" t="str">
        <f>IF(AND(_6="A-350",'2026'!$F$4="FO",'2026'!$F$2=CP81),'2026DATA'!$I$4,"")</f>
        <v/>
      </c>
      <c r="CQ83" s="518" t="str">
        <f>IF(AND(_6="A-350",'2026'!$F$4="FO",'2026'!$F$2=CQ81),'2026DATA'!$J$4,"")</f>
        <v/>
      </c>
      <c r="CR83" s="518" t="str">
        <f>IF(AND(_6="A-350",'2026'!$F$4="FO",'2026'!$F$2=CR81),'2026DATA'!$K$4,"")</f>
        <v/>
      </c>
      <c r="CS83" s="518" t="str">
        <f>IF(AND(_6="A-350",'2026'!$F$4="FO",'2026'!$F$2=CS81),'2026DATA'!$L$4,"")</f>
        <v/>
      </c>
      <c r="CT83" s="518" t="str">
        <f>IF(AND(_6="A-350",'2026'!$F$4="FO",'2026'!$F$2=CT81),'2026DATA'!$M$4,"")</f>
        <v/>
      </c>
      <c r="CU83" s="520" t="str">
        <f>IF(AND(_6="A-350",'2026'!$F$4="FO",'2026'!$F$2=CU81),'2026DATA'!$N$4,"")</f>
        <v/>
      </c>
    </row>
    <row r="84" spans="16:99" x14ac:dyDescent="0.25">
      <c r="P84" s="940" t="s">
        <v>65</v>
      </c>
      <c r="Q84" s="13" t="s">
        <v>61</v>
      </c>
      <c r="R84" s="518" t="str">
        <f>IF(AND(_1="A-330-900",'2026'!$F$4="CA",'2026'!$F$2=R81),'2026DATA'!$C$5,"")</f>
        <v/>
      </c>
      <c r="S84" s="518" t="str">
        <f>IF(AND(_1="A-330-900",'2026'!$F$4="CA",'2026'!$F$2=S81),'2026DATA'!$D$5,"")</f>
        <v/>
      </c>
      <c r="T84" s="518" t="str">
        <f>IF(AND(_1="A-330-900",'2026'!$F$4="CA",'2026'!$F$2=T81),'2026DATA'!$E$5,"")</f>
        <v/>
      </c>
      <c r="U84" s="518" t="str">
        <f>IF(AND(_1="A-330-900",'2026'!$F$4="CA",'2026'!$F$2=U81),'2026DATA'!$F$5,"")</f>
        <v/>
      </c>
      <c r="V84" s="518" t="str">
        <f>IF(AND(_1="A-330-900",'2026'!$F$4="CA",'2026'!$F$2=V81),'2026DATA'!$G$5,"")</f>
        <v/>
      </c>
      <c r="W84" s="518" t="str">
        <f>IF(AND(_1="A-330-900",'2026'!$F$4="CA",'2026'!$F$2=W81),'2026DATA'!$H$5,"")</f>
        <v/>
      </c>
      <c r="X84" s="518" t="str">
        <f>IF(AND(_1="A-330-900",'2026'!$F$4="CA",'2026'!$F$2=X81),'2026DATA'!$I$5,"")</f>
        <v/>
      </c>
      <c r="Y84" s="518" t="str">
        <f>IF(AND(_1="A-330-900",'2026'!$F$4="CA",'2026'!$F$2=Y81),'2026DATA'!$J$5,"")</f>
        <v/>
      </c>
      <c r="Z84" s="518" t="str">
        <f>IF(AND(_1="A-330-900",'2026'!$F$4="CA",'2026'!$F$2=Z81),'2026DATA'!$K$5,"")</f>
        <v/>
      </c>
      <c r="AA84" s="518" t="str">
        <f>IF(AND(_1="A-330-900",'2026'!$F$4="CA",'2026'!$F$2=AA81),'2026DATA'!$L$5,"")</f>
        <v/>
      </c>
      <c r="AB84" s="518" t="str">
        <f>IF(AND(_1="A-330-900",'2026'!$F$4="CA",'2026'!$F$2=AB81),'2026DATA'!$M$5,"")</f>
        <v/>
      </c>
      <c r="AC84" s="520" t="str">
        <f>IF(AND(_1="A-330-900",'2026'!$F$4="CA",'2026'!$F$2=AC81),'2026DATA'!$N$5,"")</f>
        <v/>
      </c>
      <c r="AD84" s="940" t="s">
        <v>65</v>
      </c>
      <c r="AE84" s="13" t="s">
        <v>61</v>
      </c>
      <c r="AF84" s="518" t="str">
        <f>IF(AND(_2="A-330-900",'2026'!$F$4="CA",'2026'!$F$2=AF81),'2026DATA'!$C$5,"")</f>
        <v/>
      </c>
      <c r="AG84" s="518" t="str">
        <f>IF(AND(_2="A-330-900",'2026'!$F$4="CA",'2026'!$F$2=AG81),'2026DATA'!$D$5,"")</f>
        <v/>
      </c>
      <c r="AH84" s="518" t="str">
        <f>IF(AND(_2="A-330-900",'2026'!$F$4="CA",'2026'!$F$2=AH81),'2026DATA'!$E$5,"")</f>
        <v/>
      </c>
      <c r="AI84" s="518" t="str">
        <f>IF(AND(_2="A-330-900",'2026'!$F$4="CA",'2026'!$F$2=AI81),'2026DATA'!$F$5,"")</f>
        <v/>
      </c>
      <c r="AJ84" s="518" t="str">
        <f>IF(AND(_2="A-330-900",'2026'!$F$4="CA",'2026'!$F$2=AJ81),'2026DATA'!$G$5,"")</f>
        <v/>
      </c>
      <c r="AK84" s="518" t="str">
        <f>IF(AND(_2="A-330-900",'2026'!$F$4="CA",'2026'!$F$2=AK81),'2026DATA'!$H$5,"")</f>
        <v/>
      </c>
      <c r="AL84" s="518" t="str">
        <f>IF(AND(_2="A-330-900",'2026'!$F$4="CA",'2026'!$F$2=AL81),'2026DATA'!$I$5,"")</f>
        <v/>
      </c>
      <c r="AM84" s="518" t="str">
        <f>IF(AND(_2="A-330-900",'2026'!$F$4="CA",'2026'!$F$2=AM81),'2026DATA'!$J$5,"")</f>
        <v/>
      </c>
      <c r="AN84" s="518" t="str">
        <f>IF(AND(_2="A-330-900",'2026'!$F$4="CA",'2026'!$F$2=AN81),'2026DATA'!$K$5,"")</f>
        <v/>
      </c>
      <c r="AO84" s="518" t="str">
        <f>IF(AND(_2="A-330-900",'2026'!$F$4="CA",'2026'!$F$2=AO81),'2026DATA'!$L$5,"")</f>
        <v/>
      </c>
      <c r="AP84" s="518" t="str">
        <f>IF(AND(_2="A-330-900",'2026'!$F$4="CA",'2026'!$F$2=AP81),'2026DATA'!$M$5,"")</f>
        <v/>
      </c>
      <c r="AQ84" s="520" t="str">
        <f>IF(AND(_2="A-330-900",'2026'!$F$4="CA",'2026'!$F$2=AQ81),'2026DATA'!$N$5,"")</f>
        <v/>
      </c>
      <c r="AR84" s="940" t="s">
        <v>65</v>
      </c>
      <c r="AS84" s="13" t="s">
        <v>61</v>
      </c>
      <c r="AT84" s="518" t="str">
        <f>IF(AND(_3="A-330-900",'2026'!$F$4="CA",'2026'!$F$2=AT81),'2026DATA'!$C$5,"")</f>
        <v/>
      </c>
      <c r="AU84" s="518" t="str">
        <f>IF(AND(_3="A-330-900",'2026'!$F$4="CA",'2026'!$F$2=AU81),'2026DATA'!$D$5,"")</f>
        <v/>
      </c>
      <c r="AV84" s="518" t="str">
        <f>IF(AND(_3="A-330-900",'2026'!$F$4="CA",'2026'!$F$2=AV81),'2026DATA'!$E$5,"")</f>
        <v/>
      </c>
      <c r="AW84" s="518" t="str">
        <f>IF(AND(_3="A-330-900",'2026'!$F$4="CA",'2026'!$F$2=AW81),'2026DATA'!$F$5,"")</f>
        <v/>
      </c>
      <c r="AX84" s="518" t="str">
        <f>IF(AND(_3="A-330-900",'2026'!$F$4="CA",'2026'!$F$2=AX81),'2026DATA'!$G$5,"")</f>
        <v/>
      </c>
      <c r="AY84" s="518" t="str">
        <f>IF(AND(_3="A-330-900",'2026'!$F$4="CA",'2026'!$F$2=AY81),'2026DATA'!$H$5,"")</f>
        <v/>
      </c>
      <c r="AZ84" s="518" t="str">
        <f>IF(AND(_3="A-330-900",'2026'!$F$4="CA",'2026'!$F$2=AZ81),'2026DATA'!$I$5,"")</f>
        <v/>
      </c>
      <c r="BA84" s="518" t="str">
        <f>IF(AND(_3="A-330-900",'2026'!$F$4="CA",'2026'!$F$2=BA81),'2026DATA'!$J$5,"")</f>
        <v/>
      </c>
      <c r="BB84" s="518" t="str">
        <f>IF(AND(_3="A-330-900",'2026'!$F$4="CA",'2026'!$F$2=BB81),'2026DATA'!$K$5,"")</f>
        <v/>
      </c>
      <c r="BC84" s="518" t="str">
        <f>IF(AND(_3="A-330-900",'2026'!$F$4="CA",'2026'!$F$2=BC81),'2026DATA'!$L$5,"")</f>
        <v/>
      </c>
      <c r="BD84" s="518" t="str">
        <f>IF(AND(_3="A-330-900",'2026'!$F$4="CA",'2026'!$F$2=BD81),'2026DATA'!$M$5,"")</f>
        <v/>
      </c>
      <c r="BE84" s="520" t="str">
        <f>IF(AND(_3="A-330-900",'2026'!$F$4="CA",'2026'!$F$2=BE81),'2026DATA'!$N$5,"")</f>
        <v/>
      </c>
      <c r="BF84" s="940" t="s">
        <v>65</v>
      </c>
      <c r="BG84" s="13" t="s">
        <v>61</v>
      </c>
      <c r="BH84" s="518" t="str">
        <f>IF(AND(_4="A-330-900",'2026'!$F$4="CA",'2026'!$F$2=BH81),'2026DATA'!$C$5,"")</f>
        <v/>
      </c>
      <c r="BI84" s="518" t="str">
        <f>IF(AND(_4="A-330-900",'2026'!$F$4="CA",'2026'!$F$2=BI81),'2026DATA'!$D$5,"")</f>
        <v/>
      </c>
      <c r="BJ84" s="518" t="str">
        <f>IF(AND(_4="A-330-900",'2026'!$F$4="CA",'2026'!$F$2=BJ81),'2026DATA'!$E$5,"")</f>
        <v/>
      </c>
      <c r="BK84" s="518" t="str">
        <f>IF(AND(_4="A-330-900",'2026'!$F$4="CA",'2026'!$F$2=BK81),'2026DATA'!$F$5,"")</f>
        <v/>
      </c>
      <c r="BL84" s="518" t="str">
        <f>IF(AND(_4="A-330-900",'2026'!$F$4="CA",'2026'!$F$2=BL81),'2026DATA'!$G$5,"")</f>
        <v/>
      </c>
      <c r="BM84" s="518" t="str">
        <f>IF(AND(_4="A-330-900",'2026'!$F$4="CA",'2026'!$F$2=BM81),'2026DATA'!$H$5,"")</f>
        <v/>
      </c>
      <c r="BN84" s="518" t="str">
        <f>IF(AND(_4="A-330-900",'2026'!$F$4="CA",'2026'!$F$2=BN81),'2026DATA'!$I$5,"")</f>
        <v/>
      </c>
      <c r="BO84" s="518" t="str">
        <f>IF(AND(_4="A-330-900",'2026'!$F$4="CA",'2026'!$F$2=BO81),'2026DATA'!$J$5,"")</f>
        <v/>
      </c>
      <c r="BP84" s="518" t="str">
        <f>IF(AND(_4="A-330-900",'2026'!$F$4="CA",'2026'!$F$2=BP81),'2026DATA'!$K$5,"")</f>
        <v/>
      </c>
      <c r="BQ84" s="518" t="str">
        <f>IF(AND(_4="A-330-900",'2026'!$F$4="CA",'2026'!$F$2=BQ81),'2026DATA'!$L$5,"")</f>
        <v/>
      </c>
      <c r="BR84" s="518" t="str">
        <f>IF(AND(_4="A-330-900",'2026'!$F$4="CA",'2026'!$F$2=BR81),'2026DATA'!$M$5,"")</f>
        <v/>
      </c>
      <c r="BS84" s="520" t="str">
        <f>IF(AND(_4="A-330-900",'2026'!$F$4="CA",'2026'!$F$2=BS81),'2026DATA'!$N$5,"")</f>
        <v/>
      </c>
      <c r="BT84" s="940" t="s">
        <v>65</v>
      </c>
      <c r="BU84" s="13" t="s">
        <v>61</v>
      </c>
      <c r="BV84" s="518" t="str">
        <f>IF(AND(_5="A-330-900",'2026'!$F$4="CA",'2026'!$F$2=BV81),'2026DATA'!$C$5,"")</f>
        <v/>
      </c>
      <c r="BW84" s="518" t="str">
        <f>IF(AND(_5="A-330-900",'2026'!$F$4="CA",'2026'!$F$2=BW81),'2026DATA'!$D$5,"")</f>
        <v/>
      </c>
      <c r="BX84" s="518" t="str">
        <f>IF(AND(_5="A-330-900",'2026'!$F$4="CA",'2026'!$F$2=BX81),'2026DATA'!$E$5,"")</f>
        <v/>
      </c>
      <c r="BY84" s="518" t="str">
        <f>IF(AND(_5="A-330-900",'2026'!$F$4="CA",'2026'!$F$2=BY81),'2026DATA'!$F$5,"")</f>
        <v/>
      </c>
      <c r="BZ84" s="518" t="str">
        <f>IF(AND(_5="A-330-900",'2026'!$F$4="CA",'2026'!$F$2=BZ81),'2026DATA'!$G$5,"")</f>
        <v/>
      </c>
      <c r="CA84" s="518" t="str">
        <f>IF(AND(_5="A-330-900",'2026'!$F$4="CA",'2026'!$F$2=CA81),'2026DATA'!$H$5,"")</f>
        <v/>
      </c>
      <c r="CB84" s="518" t="str">
        <f>IF(AND(_5="A-330-900",'2026'!$F$4="CA",'2026'!$F$2=CB81),'2026DATA'!$I$5,"")</f>
        <v/>
      </c>
      <c r="CC84" s="518" t="str">
        <f>IF(AND(_5="A-330-900",'2026'!$F$4="CA",'2026'!$F$2=CC81),'2026DATA'!$J$5,"")</f>
        <v/>
      </c>
      <c r="CD84" s="518" t="str">
        <f>IF(AND(_5="A-330-900",'2026'!$F$4="CA",'2026'!$F$2=CD81),'2026DATA'!$K$5,"")</f>
        <v/>
      </c>
      <c r="CE84" s="518" t="str">
        <f>IF(AND(_5="A-330-900",'2026'!$F$4="CA",'2026'!$F$2=CE81),'2026DATA'!$L$5,"")</f>
        <v/>
      </c>
      <c r="CF84" s="518" t="str">
        <f>IF(AND(_5="A-330-900",'2026'!$F$4="CA",'2026'!$F$2=CF81),'2026DATA'!$M$5,"")</f>
        <v/>
      </c>
      <c r="CG84" s="520" t="str">
        <f>IF(AND(_5="A-330-900",'2026'!$F$4="CA",'2026'!$F$2=CG81),'2026DATA'!$N$5,"")</f>
        <v/>
      </c>
      <c r="CH84" s="940" t="s">
        <v>65</v>
      </c>
      <c r="CI84" s="13" t="s">
        <v>61</v>
      </c>
      <c r="CJ84" s="518" t="str">
        <f>IF(AND(_6="A-330-900",'2026'!$F$4="CA",'2026'!$F$2=CJ81),'2026DATA'!$C$5,"")</f>
        <v/>
      </c>
      <c r="CK84" s="518" t="str">
        <f>IF(AND(_6="A-330-900",'2026'!$F$4="CA",'2026'!$F$2=CK81),'2026DATA'!$D$5,"")</f>
        <v/>
      </c>
      <c r="CL84" s="518" t="str">
        <f>IF(AND(_6="A-330-900",'2026'!$F$4="CA",'2026'!$F$2=CL81),'2026DATA'!$E$5,"")</f>
        <v/>
      </c>
      <c r="CM84" s="518" t="str">
        <f>IF(AND(_6="A-330-900",'2026'!$F$4="CA",'2026'!$F$2=CM81),'2026DATA'!$F$5,"")</f>
        <v/>
      </c>
      <c r="CN84" s="518" t="str">
        <f>IF(AND(_6="A-330-900",'2026'!$F$4="CA",'2026'!$F$2=CN81),'2026DATA'!$G$5,"")</f>
        <v/>
      </c>
      <c r="CO84" s="518" t="str">
        <f>IF(AND(_6="A-330-900",'2026'!$F$4="CA",'2026'!$F$2=CO81),'2026DATA'!$H$5,"")</f>
        <v/>
      </c>
      <c r="CP84" s="518" t="str">
        <f>IF(AND(_6="A-330-900",'2026'!$F$4="CA",'2026'!$F$2=CP81),'2026DATA'!$I$5,"")</f>
        <v/>
      </c>
      <c r="CQ84" s="518" t="str">
        <f>IF(AND(_6="A-330-900",'2026'!$F$4="CA",'2026'!$F$2=CQ81),'2026DATA'!$J$5,"")</f>
        <v/>
      </c>
      <c r="CR84" s="518" t="str">
        <f>IF(AND(_6="A-330-900",'2026'!$F$4="CA",'2026'!$F$2=CR81),'2026DATA'!$K$5,"")</f>
        <v/>
      </c>
      <c r="CS84" s="518" t="str">
        <f>IF(AND(_6="A-330-900",'2026'!$F$4="CA",'2026'!$F$2=CS81),'2026DATA'!$L$5,"")</f>
        <v/>
      </c>
      <c r="CT84" s="518" t="str">
        <f>IF(AND(_6="A-330-900",'2026'!$F$4="CA",'2026'!$F$2=CT81),'2026DATA'!$M$5,"")</f>
        <v/>
      </c>
      <c r="CU84" s="520" t="str">
        <f>IF(AND(_6="A-330-900",'2026'!$F$4="CA",'2026'!$F$2=CU81),'2026DATA'!$N$5,"")</f>
        <v/>
      </c>
    </row>
    <row r="85" spans="16:99" x14ac:dyDescent="0.25">
      <c r="P85" s="940"/>
      <c r="Q85" s="13" t="s">
        <v>62</v>
      </c>
      <c r="R85" s="518" t="str">
        <f>IF(AND(_1="A-330-900",'2026'!$F$4="FO",'2026'!$F$2=R81),'2026DATA'!$C$6,"")</f>
        <v/>
      </c>
      <c r="S85" s="518" t="str">
        <f>IF(AND(_1="A-330-900",'2026'!$F$4="FO",'2026'!$F$2=S81),'2026DATA'!$D$6,"")</f>
        <v/>
      </c>
      <c r="T85" s="518" t="str">
        <f>IF(AND(_1="A-330-900",'2026'!$F$4="FO",'2026'!$F$2=T81),'2026DATA'!$E$6,"")</f>
        <v/>
      </c>
      <c r="U85" s="518" t="str">
        <f>IF(AND(_1="A-330-900",'2026'!$F$4="FO",'2026'!$F$2=U81),'2026DATA'!$F$6,"")</f>
        <v/>
      </c>
      <c r="V85" s="518" t="str">
        <f>IF(AND(_1="A-330-900",'2026'!$F$4="FO",'2026'!$F$2=V81),'2026DATA'!$G$6,"")</f>
        <v/>
      </c>
      <c r="W85" s="518" t="str">
        <f>IF(AND(_1="A-330-900",'2026'!$F$4="FO",'2026'!$F$2=W81),'2026DATA'!$H$6,"")</f>
        <v/>
      </c>
      <c r="X85" s="518" t="str">
        <f>IF(AND(_1="A-330-900",'2026'!$F$4="FO",'2026'!$F$2=X81),'2026DATA'!$I$6,"")</f>
        <v/>
      </c>
      <c r="Y85" s="518" t="str">
        <f>IF(AND(_1="A-330-900",'2026'!$F$4="FO",'2026'!$F$2=Y81),'2026DATA'!$J$6,"")</f>
        <v/>
      </c>
      <c r="Z85" s="518" t="str">
        <f>IF(AND(_1="A-330-900",'2026'!$F$4="FO",'2026'!$F$2=Z81),'2026DATA'!$K$6,"")</f>
        <v/>
      </c>
      <c r="AA85" s="518" t="str">
        <f>IF(AND(_1="A-330-900",'2026'!$F$4="FO",'2026'!$F$2=AA81),'2026DATA'!$L$6,"")</f>
        <v/>
      </c>
      <c r="AB85" s="518" t="str">
        <f>IF(AND(_1="A-330-900",'2026'!$F$4="FO",'2026'!$F$2=AB81),'2026DATA'!$M$6,"")</f>
        <v/>
      </c>
      <c r="AC85" s="520" t="str">
        <f>IF(AND(_1="A-330-900",'2026'!$F$4="FO",'2026'!$F$2=AC81),'2026DATA'!$N$6,"")</f>
        <v/>
      </c>
      <c r="AD85" s="940"/>
      <c r="AE85" s="13" t="s">
        <v>62</v>
      </c>
      <c r="AF85" s="518" t="str">
        <f>IF(AND(_2="A-330-900",'2026'!$F$4="FO",'2026'!$F$2=AF81),'2026DATA'!$C$6,"")</f>
        <v/>
      </c>
      <c r="AG85" s="518" t="str">
        <f>IF(AND(_2="A-330-900",'2026'!$F$4="FO",'2026'!$F$2=AG81),'2026DATA'!$D$6,"")</f>
        <v/>
      </c>
      <c r="AH85" s="518" t="str">
        <f>IF(AND(_2="A-330-900",'2026'!$F$4="FO",'2026'!$F$2=AH81),'2026DATA'!$E$6,"")</f>
        <v/>
      </c>
      <c r="AI85" s="518" t="str">
        <f>IF(AND(_2="A-330-900",'2026'!$F$4="FO",'2026'!$F$2=AI81),'2026DATA'!$F$6,"")</f>
        <v/>
      </c>
      <c r="AJ85" s="518" t="str">
        <f>IF(AND(_2="A-330-900",'2026'!$F$4="FO",'2026'!$F$2=AJ81),'2026DATA'!$G$6,"")</f>
        <v/>
      </c>
      <c r="AK85" s="518" t="str">
        <f>IF(AND(_2="A-330-900",'2026'!$F$4="FO",'2026'!$F$2=AK81),'2026DATA'!$H$6,"")</f>
        <v/>
      </c>
      <c r="AL85" s="518" t="str">
        <f>IF(AND(_2="A-330-900",'2026'!$F$4="FO",'2026'!$F$2=AL81),'2026DATA'!$I$6,"")</f>
        <v/>
      </c>
      <c r="AM85" s="518" t="str">
        <f>IF(AND(_2="A-330-900",'2026'!$F$4="FO",'2026'!$F$2=AM81),'2026DATA'!$J$6,"")</f>
        <v/>
      </c>
      <c r="AN85" s="518" t="str">
        <f>IF(AND(_2="A-330-900",'2026'!$F$4="FO",'2026'!$F$2=AN81),'2026DATA'!$K$6,"")</f>
        <v/>
      </c>
      <c r="AO85" s="518" t="str">
        <f>IF(AND(_2="A-330-900",'2026'!$F$4="FO",'2026'!$F$2=AO81),'2026DATA'!$L$6,"")</f>
        <v/>
      </c>
      <c r="AP85" s="518" t="str">
        <f>IF(AND(_2="A-330-900",'2026'!$F$4="FO",'2026'!$F$2=AP81),'2026DATA'!$M$6,"")</f>
        <v/>
      </c>
      <c r="AQ85" s="520" t="str">
        <f>IF(AND(_2="A-330-900",'2026'!$F$4="FO",'2026'!$F$2=AQ81),'2026DATA'!$N$6,"")</f>
        <v/>
      </c>
      <c r="AR85" s="940"/>
      <c r="AS85" s="13" t="s">
        <v>62</v>
      </c>
      <c r="AT85" s="518" t="str">
        <f>IF(AND(_3="A-330-900",'2026'!$F$4="FO",'2026'!$F$2=AT81),'2026DATA'!$C$6,"")</f>
        <v/>
      </c>
      <c r="AU85" s="518" t="str">
        <f>IF(AND(_3="A-330-900",'2026'!$F$4="FO",'2026'!$F$2=AU81),'2026DATA'!$D$6,"")</f>
        <v/>
      </c>
      <c r="AV85" s="518" t="str">
        <f>IF(AND(_3="A-330-900",'2026'!$F$4="FO",'2026'!$F$2=AV81),'2026DATA'!$E$6,"")</f>
        <v/>
      </c>
      <c r="AW85" s="518" t="str">
        <f>IF(AND(_3="A-330-900",'2026'!$F$4="FO",'2026'!$F$2=AW81),'2026DATA'!$F$6,"")</f>
        <v/>
      </c>
      <c r="AX85" s="518" t="str">
        <f>IF(AND(_3="A-330-900",'2026'!$F$4="FO",'2026'!$F$2=AX81),'2026DATA'!$G$6,"")</f>
        <v/>
      </c>
      <c r="AY85" s="518" t="str">
        <f>IF(AND(_3="A-330-900",'2026'!$F$4="FO",'2026'!$F$2=AY81),'2026DATA'!$H$6,"")</f>
        <v/>
      </c>
      <c r="AZ85" s="518" t="str">
        <f>IF(AND(_3="A-330-900",'2026'!$F$4="FO",'2026'!$F$2=AZ81),'2026DATA'!$I$6,"")</f>
        <v/>
      </c>
      <c r="BA85" s="518" t="str">
        <f>IF(AND(_3="A-330-900",'2026'!$F$4="FO",'2026'!$F$2=BA81),'2026DATA'!$J$6,"")</f>
        <v/>
      </c>
      <c r="BB85" s="518" t="str">
        <f>IF(AND(_3="A-330-900",'2026'!$F$4="FO",'2026'!$F$2=BB81),'2026DATA'!$K$6,"")</f>
        <v/>
      </c>
      <c r="BC85" s="518" t="str">
        <f>IF(AND(_3="A-330-900",'2026'!$F$4="FO",'2026'!$F$2=BC81),'2026DATA'!$L$6,"")</f>
        <v/>
      </c>
      <c r="BD85" s="518" t="str">
        <f>IF(AND(_3="A-330-900",'2026'!$F$4="FO",'2026'!$F$2=BD81),'2026DATA'!$M$6,"")</f>
        <v/>
      </c>
      <c r="BE85" s="520" t="str">
        <f>IF(AND(_3="A-330-900",'2026'!$F$4="FO",'2026'!$F$2=BE81),'2026DATA'!$N$6,"")</f>
        <v/>
      </c>
      <c r="BF85" s="940"/>
      <c r="BG85" s="13" t="s">
        <v>62</v>
      </c>
      <c r="BH85" s="518" t="str">
        <f>IF(AND(_4="A-330-900",'2026'!$F$4="FO",'2026'!$F$2=BH81),'2026DATA'!$C$6,"")</f>
        <v/>
      </c>
      <c r="BI85" s="518" t="str">
        <f>IF(AND(_4="A-330-900",'2026'!$F$4="FO",'2026'!$F$2=BI81),'2026DATA'!$D$6,"")</f>
        <v/>
      </c>
      <c r="BJ85" s="518" t="str">
        <f>IF(AND(_4="A-330-900",'2026'!$F$4="FO",'2026'!$F$2=BJ81),'2026DATA'!$E$6,"")</f>
        <v/>
      </c>
      <c r="BK85" s="518" t="str">
        <f>IF(AND(_4="A-330-900",'2026'!$F$4="FO",'2026'!$F$2=BK81),'2026DATA'!$F$6,"")</f>
        <v/>
      </c>
      <c r="BL85" s="518" t="str">
        <f>IF(AND(_4="A-330-900",'2026'!$F$4="FO",'2026'!$F$2=BL81),'2026DATA'!$G$6,"")</f>
        <v/>
      </c>
      <c r="BM85" s="518" t="str">
        <f>IF(AND(_4="A-330-900",'2026'!$F$4="FO",'2026'!$F$2=BM81),'2026DATA'!$H$6,"")</f>
        <v/>
      </c>
      <c r="BN85" s="518" t="str">
        <f>IF(AND(_4="A-330-900",'2026'!$F$4="FO",'2026'!$F$2=BN81),'2026DATA'!$I$6,"")</f>
        <v/>
      </c>
      <c r="BO85" s="518" t="str">
        <f>IF(AND(_4="A-330-900",'2026'!$F$4="FO",'2026'!$F$2=BO81),'2026DATA'!$J$6,"")</f>
        <v/>
      </c>
      <c r="BP85" s="518" t="str">
        <f>IF(AND(_4="A-330-900",'2026'!$F$4="FO",'2026'!$F$2=BP81),'2026DATA'!$K$6,"")</f>
        <v/>
      </c>
      <c r="BQ85" s="518" t="str">
        <f>IF(AND(_4="A-330-900",'2026'!$F$4="FO",'2026'!$F$2=BQ81),'2026DATA'!$L$6,"")</f>
        <v/>
      </c>
      <c r="BR85" s="518" t="str">
        <f>IF(AND(_4="A-330-900",'2026'!$F$4="FO",'2026'!$F$2=BR81),'2026DATA'!$M$6,"")</f>
        <v/>
      </c>
      <c r="BS85" s="520" t="str">
        <f>IF(AND(_4="A-330-900",'2026'!$F$4="FO",'2026'!$F$2=BS81),'2026DATA'!$N$6,"")</f>
        <v/>
      </c>
      <c r="BT85" s="940"/>
      <c r="BU85" s="13" t="s">
        <v>62</v>
      </c>
      <c r="BV85" s="518" t="str">
        <f>IF(AND(_5="A-330-900",'2026'!$F$4="FO",'2026'!$F$2=BV81),'2026DATA'!$C$6,"")</f>
        <v/>
      </c>
      <c r="BW85" s="518" t="str">
        <f>IF(AND(_5="A-330-900",'2026'!$F$4="FO",'2026'!$F$2=BW81),'2026DATA'!$D$6,"")</f>
        <v/>
      </c>
      <c r="BX85" s="518" t="str">
        <f>IF(AND(_5="A-330-900",'2026'!$F$4="FO",'2026'!$F$2=BX81),'2026DATA'!$E$6,"")</f>
        <v/>
      </c>
      <c r="BY85" s="518" t="str">
        <f>IF(AND(_5="A-330-900",'2026'!$F$4="FO",'2026'!$F$2=BY81),'2026DATA'!$F$6,"")</f>
        <v/>
      </c>
      <c r="BZ85" s="518" t="str">
        <f>IF(AND(_5="A-330-900",'2026'!$F$4="FO",'2026'!$F$2=BZ81),'2026DATA'!$G$6,"")</f>
        <v/>
      </c>
      <c r="CA85" s="518" t="str">
        <f>IF(AND(_5="A-330-900",'2026'!$F$4="FO",'2026'!$F$2=CA81),'2026DATA'!$H$6,"")</f>
        <v/>
      </c>
      <c r="CB85" s="518" t="str">
        <f>IF(AND(_5="A-330-900",'2026'!$F$4="FO",'2026'!$F$2=CB81),'2026DATA'!$I$6,"")</f>
        <v/>
      </c>
      <c r="CC85" s="518" t="str">
        <f>IF(AND(_5="A-330-900",'2026'!$F$4="FO",'2026'!$F$2=CC81),'2026DATA'!$J$6,"")</f>
        <v/>
      </c>
      <c r="CD85" s="518" t="str">
        <f>IF(AND(_5="A-330-900",'2026'!$F$4="FO",'2026'!$F$2=CD81),'2026DATA'!$K$6,"")</f>
        <v/>
      </c>
      <c r="CE85" s="518" t="str">
        <f>IF(AND(_5="A-330-900",'2026'!$F$4="FO",'2026'!$F$2=CE81),'2026DATA'!$L$6,"")</f>
        <v/>
      </c>
      <c r="CF85" s="518" t="str">
        <f>IF(AND(_5="A-330-900",'2026'!$F$4="FO",'2026'!$F$2=CF81),'2026DATA'!$M$6,"")</f>
        <v/>
      </c>
      <c r="CG85" s="520" t="str">
        <f>IF(AND(_5="A-330-900",'2026'!$F$4="FO",'2026'!$F$2=CG81),'2026DATA'!$N$6,"")</f>
        <v/>
      </c>
      <c r="CH85" s="940"/>
      <c r="CI85" s="13" t="s">
        <v>62</v>
      </c>
      <c r="CJ85" s="518" t="str">
        <f>IF(AND(_6="A-330-900",'2026'!$F$4="FO",'2026'!$F$2=CJ81),'2026DATA'!$C$6,"")</f>
        <v/>
      </c>
      <c r="CK85" s="518" t="str">
        <f>IF(AND(_6="A-330-900",'2026'!$F$4="FO",'2026'!$F$2=CK81),'2026DATA'!$D$6,"")</f>
        <v/>
      </c>
      <c r="CL85" s="518" t="str">
        <f>IF(AND(_6="A-330-900",'2026'!$F$4="FO",'2026'!$F$2=CL81),'2026DATA'!$E$6,"")</f>
        <v/>
      </c>
      <c r="CM85" s="518" t="str">
        <f>IF(AND(_6="A-330-900",'2026'!$F$4="FO",'2026'!$F$2=CM81),'2026DATA'!$F$6,"")</f>
        <v/>
      </c>
      <c r="CN85" s="518" t="str">
        <f>IF(AND(_6="A-330-900",'2026'!$F$4="FO",'2026'!$F$2=CN81),'2026DATA'!$G$6,"")</f>
        <v/>
      </c>
      <c r="CO85" s="518" t="str">
        <f>IF(AND(_6="A-330-900",'2026'!$F$4="FO",'2026'!$F$2=CO81),'2026DATA'!$H$6,"")</f>
        <v/>
      </c>
      <c r="CP85" s="518" t="str">
        <f>IF(AND(_6="A-330-900",'2026'!$F$4="FO",'2026'!$F$2=CP81),'2026DATA'!$I$6,"")</f>
        <v/>
      </c>
      <c r="CQ85" s="518" t="str">
        <f>IF(AND(_6="A-330-900",'2026'!$F$4="FO",'2026'!$F$2=CQ81),'2026DATA'!$J$6,"")</f>
        <v/>
      </c>
      <c r="CR85" s="518" t="str">
        <f>IF(AND(_6="A-330-900",'2026'!$F$4="FO",'2026'!$F$2=CR81),'2026DATA'!$K$6,"")</f>
        <v/>
      </c>
      <c r="CS85" s="518" t="str">
        <f>IF(AND(_6="A-330-900",'2026'!$F$4="FO",'2026'!$F$2=CS81),'2026DATA'!$L$6,"")</f>
        <v/>
      </c>
      <c r="CT85" s="518" t="str">
        <f>IF(AND(_6="A-330-900",'2026'!$F$4="FO",'2026'!$F$2=CT81),'2026DATA'!$M$6,"")</f>
        <v/>
      </c>
      <c r="CU85" s="520" t="str">
        <f>IF(AND(_6="A-330-900",'2026'!$F$4="FO",'2026'!$F$2=CU81),'2026DATA'!$N$6,"")</f>
        <v/>
      </c>
    </row>
    <row r="86" spans="16:99" x14ac:dyDescent="0.25">
      <c r="P86" s="940" t="s">
        <v>64</v>
      </c>
      <c r="Q86" s="13" t="s">
        <v>61</v>
      </c>
      <c r="R86" s="518" t="str">
        <f>IF(AND(_1="A-330-300",'2026'!$F$4="CA",'2026'!$F$2=R81),'2026DATA'!$C$7,"")</f>
        <v/>
      </c>
      <c r="S86" s="518" t="str">
        <f>IF(AND(_1="A-330-300",'2026'!$F$4="CA",'2026'!$F$2=S81),'2026DATA'!$D$7,"")</f>
        <v/>
      </c>
      <c r="T86" s="518" t="str">
        <f>IF(AND(_1="A-330-300",'2026'!$F$4="CA",'2026'!$F$2=T81),'2026DATA'!$E$7,"")</f>
        <v/>
      </c>
      <c r="U86" s="518" t="str">
        <f>IF(AND(_1="A-330-300",'2026'!$F$4="CA",'2026'!$F$2=U81),'2026DATA'!$F$7,"")</f>
        <v/>
      </c>
      <c r="V86" s="518" t="str">
        <f>IF(AND(_1="A-330-300",'2026'!$F$4="CA",'2026'!$F$2=V81),'2026DATA'!$G$7,"")</f>
        <v/>
      </c>
      <c r="W86" s="518" t="str">
        <f>IF(AND(_1="A-330-300",'2026'!$F$4="CA",'2026'!$F$2=W81),'2026DATA'!$H$7,"")</f>
        <v/>
      </c>
      <c r="X86" s="518" t="str">
        <f>IF(AND(_1="A-330-300",'2026'!$F$4="CA",'2026'!$F$2=X81),'2026DATA'!$I$7,"")</f>
        <v/>
      </c>
      <c r="Y86" s="518" t="str">
        <f>IF(AND(_1="A-330-300",'2026'!$F$4="CA",'2026'!$F$2=Y81),'2026DATA'!$J$7,"")</f>
        <v/>
      </c>
      <c r="Z86" s="518" t="str">
        <f>IF(AND(_1="A-330-300",'2026'!$F$4="CA",'2026'!$F$2=Z81),'2026DATA'!$K$7,"")</f>
        <v/>
      </c>
      <c r="AA86" s="518" t="str">
        <f>IF(AND(_1="A-330-300",'2026'!$F$4="CA",'2026'!$F$2=AA81),'2026DATA'!$L$7,"")</f>
        <v/>
      </c>
      <c r="AB86" s="518" t="str">
        <f>IF(AND(_1="A-330-300",'2026'!$F$4="CA",'2026'!$F$2=AB81),'2026DATA'!$M$7,"")</f>
        <v/>
      </c>
      <c r="AC86" s="520" t="str">
        <f>IF(AND(_1="A-330-300",'2026'!$F$4="CA",'2026'!$F$2=AC81),'2026DATA'!$N$7,"")</f>
        <v/>
      </c>
      <c r="AD86" s="940" t="s">
        <v>64</v>
      </c>
      <c r="AE86" s="13" t="s">
        <v>61</v>
      </c>
      <c r="AF86" s="518" t="str">
        <f>IF(AND(_2="A-330-300",'2026'!$F$4="CA",'2026'!$F$2=AF81),'2026DATA'!$C$7,"")</f>
        <v/>
      </c>
      <c r="AG86" s="518" t="str">
        <f>IF(AND(_2="A-330-300",'2026'!$F$4="CA",'2026'!$F$2=AG81),'2026DATA'!$D$7,"")</f>
        <v/>
      </c>
      <c r="AH86" s="518" t="str">
        <f>IF(AND(_2="A-330-300",'2026'!$F$4="CA",'2026'!$F$2=AH81),'2026DATA'!$E$7,"")</f>
        <v/>
      </c>
      <c r="AI86" s="518" t="str">
        <f>IF(AND(_2="A-330-300",'2026'!$F$4="CA",'2026'!$F$2=AI81),'2026DATA'!$F$7,"")</f>
        <v/>
      </c>
      <c r="AJ86" s="518" t="str">
        <f>IF(AND(_2="A-330-300",'2026'!$F$4="CA",'2026'!$F$2=AJ81),'2026DATA'!$G$7,"")</f>
        <v/>
      </c>
      <c r="AK86" s="518" t="str">
        <f>IF(AND(_2="A-330-300",'2026'!$F$4="CA",'2026'!$F$2=AK81),'2026DATA'!$H$7,"")</f>
        <v/>
      </c>
      <c r="AL86" s="518" t="str">
        <f>IF(AND(_2="A-330-300",'2026'!$F$4="CA",'2026'!$F$2=AL81),'2026DATA'!$I$7,"")</f>
        <v/>
      </c>
      <c r="AM86" s="518" t="str">
        <f>IF(AND(_2="A-330-300",'2026'!$F$4="CA",'2026'!$F$2=AM81),'2026DATA'!$J$7,"")</f>
        <v/>
      </c>
      <c r="AN86" s="518" t="str">
        <f>IF(AND(_2="A-330-300",'2026'!$F$4="CA",'2026'!$F$2=AN81),'2026DATA'!$K$7,"")</f>
        <v/>
      </c>
      <c r="AO86" s="518" t="str">
        <f>IF(AND(_2="A-330-300",'2026'!$F$4="CA",'2026'!$F$2=AO81),'2026DATA'!$L$7,"")</f>
        <v/>
      </c>
      <c r="AP86" s="518" t="str">
        <f>IF(AND(_2="A-330-300",'2026'!$F$4="CA",'2026'!$F$2=AP81),'2026DATA'!$M$7,"")</f>
        <v/>
      </c>
      <c r="AQ86" s="520" t="str">
        <f>IF(AND(_2="A-330-300",'2026'!$F$4="CA",'2026'!$F$2=AQ81),'2026DATA'!$N$7,"")</f>
        <v/>
      </c>
      <c r="AR86" s="940" t="s">
        <v>64</v>
      </c>
      <c r="AS86" s="13" t="s">
        <v>61</v>
      </c>
      <c r="AT86" s="518" t="str">
        <f>IF(AND(_3="A-330-300",'2026'!$F$4="CA",'2026'!$F$2=AT81),'2026DATA'!$C$7,"")</f>
        <v/>
      </c>
      <c r="AU86" s="518" t="str">
        <f>IF(AND(_3="A-330-300",'2026'!$F$4="CA",'2026'!$F$2=AU81),'2026DATA'!$D$7,"")</f>
        <v/>
      </c>
      <c r="AV86" s="518" t="str">
        <f>IF(AND(_3="A-330-300",'2026'!$F$4="CA",'2026'!$F$2=AV81),'2026DATA'!$E$7,"")</f>
        <v/>
      </c>
      <c r="AW86" s="518" t="str">
        <f>IF(AND(_3="A-330-300",'2026'!$F$4="CA",'2026'!$F$2=AW81),'2026DATA'!$F$7,"")</f>
        <v/>
      </c>
      <c r="AX86" s="518" t="str">
        <f>IF(AND(_3="A-330-300",'2026'!$F$4="CA",'2026'!$F$2=AX81),'2026DATA'!$G$7,"")</f>
        <v/>
      </c>
      <c r="AY86" s="518" t="str">
        <f>IF(AND(_3="A-330-300",'2026'!$F$4="CA",'2026'!$F$2=AY81),'2026DATA'!$H$7,"")</f>
        <v/>
      </c>
      <c r="AZ86" s="518" t="str">
        <f>IF(AND(_3="A-330-300",'2026'!$F$4="CA",'2026'!$F$2=AZ81),'2026DATA'!$I$7,"")</f>
        <v/>
      </c>
      <c r="BA86" s="518" t="str">
        <f>IF(AND(_3="A-330-300",'2026'!$F$4="CA",'2026'!$F$2=BA81),'2026DATA'!$J$7,"")</f>
        <v/>
      </c>
      <c r="BB86" s="518" t="str">
        <f>IF(AND(_3="A-330-300",'2026'!$F$4="CA",'2026'!$F$2=BB81),'2026DATA'!$K$7,"")</f>
        <v/>
      </c>
      <c r="BC86" s="518" t="str">
        <f>IF(AND(_3="A-330-300",'2026'!$F$4="CA",'2026'!$F$2=BC81),'2026DATA'!$L$7,"")</f>
        <v/>
      </c>
      <c r="BD86" s="518" t="str">
        <f>IF(AND(_3="A-330-300",'2026'!$F$4="CA",'2026'!$F$2=BD81),'2026DATA'!$M$7,"")</f>
        <v/>
      </c>
      <c r="BE86" s="520" t="str">
        <f>IF(AND(_3="A-330-300",'2026'!$F$4="CA",'2026'!$F$2=BE81),'2026DATA'!$N$7,"")</f>
        <v/>
      </c>
      <c r="BF86" s="940" t="s">
        <v>64</v>
      </c>
      <c r="BG86" s="13" t="s">
        <v>61</v>
      </c>
      <c r="BH86" s="518" t="str">
        <f>IF(AND(_4="A-330-300",'2026'!$F$4="CA",'2026'!$F$2=BH81),'2026DATA'!$C$7,"")</f>
        <v/>
      </c>
      <c r="BI86" s="518" t="str">
        <f>IF(AND(_4="A-330-300",'2026'!$F$4="CA",'2026'!$F$2=BI81),'2026DATA'!$D$7,"")</f>
        <v/>
      </c>
      <c r="BJ86" s="518" t="str">
        <f>IF(AND(_4="A-330-300",'2026'!$F$4="CA",'2026'!$F$2=BJ81),'2026DATA'!$E$7,"")</f>
        <v/>
      </c>
      <c r="BK86" s="518" t="str">
        <f>IF(AND(_4="A-330-300",'2026'!$F$4="CA",'2026'!$F$2=BK81),'2026DATA'!$F$7,"")</f>
        <v/>
      </c>
      <c r="BL86" s="518" t="str">
        <f>IF(AND(_4="A-330-300",'2026'!$F$4="CA",'2026'!$F$2=BL81),'2026DATA'!$G$7,"")</f>
        <v/>
      </c>
      <c r="BM86" s="518" t="str">
        <f>IF(AND(_4="A-330-300",'2026'!$F$4="CA",'2026'!$F$2=BM81),'2026DATA'!$H$7,"")</f>
        <v/>
      </c>
      <c r="BN86" s="518" t="str">
        <f>IF(AND(_4="A-330-300",'2026'!$F$4="CA",'2026'!$F$2=BN81),'2026DATA'!$I$7,"")</f>
        <v/>
      </c>
      <c r="BO86" s="518" t="str">
        <f>IF(AND(_4="A-330-300",'2026'!$F$4="CA",'2026'!$F$2=BO81),'2026DATA'!$J$7,"")</f>
        <v/>
      </c>
      <c r="BP86" s="518" t="str">
        <f>IF(AND(_4="A-330-300",'2026'!$F$4="CA",'2026'!$F$2=BP81),'2026DATA'!$K$7,"")</f>
        <v/>
      </c>
      <c r="BQ86" s="518" t="str">
        <f>IF(AND(_4="A-330-300",'2026'!$F$4="CA",'2026'!$F$2=BQ81),'2026DATA'!$L$7,"")</f>
        <v/>
      </c>
      <c r="BR86" s="518" t="str">
        <f>IF(AND(_4="A-330-300",'2026'!$F$4="CA",'2026'!$F$2=BR81),'2026DATA'!$M$7,"")</f>
        <v/>
      </c>
      <c r="BS86" s="520" t="str">
        <f>IF(AND(_4="A-330-300",'2026'!$F$4="CA",'2026'!$F$2=BS81),'2026DATA'!$N$7,"")</f>
        <v/>
      </c>
      <c r="BT86" s="940" t="s">
        <v>64</v>
      </c>
      <c r="BU86" s="13" t="s">
        <v>61</v>
      </c>
      <c r="BV86" s="518" t="str">
        <f>IF(AND(_5="A-330-300",'2026'!$F$4="CA",'2026'!$F$2=BV81),'2026DATA'!$C$7,"")</f>
        <v/>
      </c>
      <c r="BW86" s="518" t="str">
        <f>IF(AND(_5="A-330-300",'2026'!$F$4="CA",'2026'!$F$2=BW81),'2026DATA'!$D$7,"")</f>
        <v/>
      </c>
      <c r="BX86" s="518" t="str">
        <f>IF(AND(_5="A-330-300",'2026'!$F$4="CA",'2026'!$F$2=BX81),'2026DATA'!$E$7,"")</f>
        <v/>
      </c>
      <c r="BY86" s="518" t="str">
        <f>IF(AND(_5="A-330-300",'2026'!$F$4="CA",'2026'!$F$2=BY81),'2026DATA'!$F$7,"")</f>
        <v/>
      </c>
      <c r="BZ86" s="518" t="str">
        <f>IF(AND(_5="A-330-300",'2026'!$F$4="CA",'2026'!$F$2=BZ81),'2026DATA'!$G$7,"")</f>
        <v/>
      </c>
      <c r="CA86" s="518" t="str">
        <f>IF(AND(_5="A-330-300",'2026'!$F$4="CA",'2026'!$F$2=CA81),'2026DATA'!$H$7,"")</f>
        <v/>
      </c>
      <c r="CB86" s="518" t="str">
        <f>IF(AND(_5="A-330-300",'2026'!$F$4="CA",'2026'!$F$2=CB81),'2026DATA'!$I$7,"")</f>
        <v/>
      </c>
      <c r="CC86" s="518" t="str">
        <f>IF(AND(_5="A-330-300",'2026'!$F$4="CA",'2026'!$F$2=CC81),'2026DATA'!$J$7,"")</f>
        <v/>
      </c>
      <c r="CD86" s="518" t="str">
        <f>IF(AND(_5="A-330-300",'2026'!$F$4="CA",'2026'!$F$2=CD81),'2026DATA'!$K$7,"")</f>
        <v/>
      </c>
      <c r="CE86" s="518" t="str">
        <f>IF(AND(_5="A-330-300",'2026'!$F$4="CA",'2026'!$F$2=CE81),'2026DATA'!$L$7,"")</f>
        <v/>
      </c>
      <c r="CF86" s="518" t="str">
        <f>IF(AND(_5="A-330-300",'2026'!$F$4="CA",'2026'!$F$2=CF81),'2026DATA'!$M$7,"")</f>
        <v/>
      </c>
      <c r="CG86" s="520" t="str">
        <f>IF(AND(_5="A-330-300",'2026'!$F$4="CA",'2026'!$F$2=CG81),'2026DATA'!$N$7,"")</f>
        <v/>
      </c>
      <c r="CH86" s="940" t="s">
        <v>64</v>
      </c>
      <c r="CI86" s="13" t="s">
        <v>61</v>
      </c>
      <c r="CJ86" s="518" t="str">
        <f>IF(AND(_6="A-330-300",'2026'!$F$4="CA",'2026'!$F$2=CJ81),'2026DATA'!$C$7,"")</f>
        <v/>
      </c>
      <c r="CK86" s="518" t="str">
        <f>IF(AND(_6="A-330-300",'2026'!$F$4="CA",'2026'!$F$2=CK81),'2026DATA'!$D$7,"")</f>
        <v/>
      </c>
      <c r="CL86" s="518" t="str">
        <f>IF(AND(_6="A-330-300",'2026'!$F$4="CA",'2026'!$F$2=CL81),'2026DATA'!$E$7,"")</f>
        <v/>
      </c>
      <c r="CM86" s="518" t="str">
        <f>IF(AND(_6="A-330-300",'2026'!$F$4="CA",'2026'!$F$2=CM81),'2026DATA'!$F$7,"")</f>
        <v/>
      </c>
      <c r="CN86" s="518" t="str">
        <f>IF(AND(_6="A-330-300",'2026'!$F$4="CA",'2026'!$F$2=CN81),'2026DATA'!$G$7,"")</f>
        <v/>
      </c>
      <c r="CO86" s="518" t="str">
        <f>IF(AND(_6="A-330-300",'2026'!$F$4="CA",'2026'!$F$2=CO81),'2026DATA'!$H$7,"")</f>
        <v/>
      </c>
      <c r="CP86" s="518" t="str">
        <f>IF(AND(_6="A-330-300",'2026'!$F$4="CA",'2026'!$F$2=CP81),'2026DATA'!$I$7,"")</f>
        <v/>
      </c>
      <c r="CQ86" s="518" t="str">
        <f>IF(AND(_6="A-330-300",'2026'!$F$4="CA",'2026'!$F$2=CQ81),'2026DATA'!$J$7,"")</f>
        <v/>
      </c>
      <c r="CR86" s="518" t="str">
        <f>IF(AND(_6="A-330-300",'2026'!$F$4="CA",'2026'!$F$2=CR81),'2026DATA'!$K$7,"")</f>
        <v/>
      </c>
      <c r="CS86" s="518" t="str">
        <f>IF(AND(_6="A-330-300",'2026'!$F$4="CA",'2026'!$F$2=CS81),'2026DATA'!$L$7,"")</f>
        <v/>
      </c>
      <c r="CT86" s="518" t="str">
        <f>IF(AND(_6="A-330-300",'2026'!$F$4="CA",'2026'!$F$2=CT81),'2026DATA'!$M$7,"")</f>
        <v/>
      </c>
      <c r="CU86" s="520" t="str">
        <f>IF(AND(_6="A-330-300",'2026'!$F$4="CA",'2026'!$F$2=CU81),'2026DATA'!$N$7,"")</f>
        <v/>
      </c>
    </row>
    <row r="87" spans="16:99" x14ac:dyDescent="0.25">
      <c r="P87" s="940"/>
      <c r="Q87" s="13" t="s">
        <v>62</v>
      </c>
      <c r="R87" s="518" t="str">
        <f>IF(AND(_1="A-330-300",'2026'!$F$4="FO",'2026'!$F$2=R81),'2026DATA'!$C$8,"")</f>
        <v/>
      </c>
      <c r="S87" s="518" t="str">
        <f>IF(AND(_1="A-330-300",'2026'!$F$4="FO",'2026'!$F$2=S81),'2026DATA'!$D$8,"")</f>
        <v/>
      </c>
      <c r="T87" s="518" t="str">
        <f>IF(AND(_1="A-330-300",'2026'!$F$4="FO",'2026'!$F$2=T81),'2026DATA'!$E$8,"")</f>
        <v/>
      </c>
      <c r="U87" s="518" t="str">
        <f>IF(AND(_1="A-330-300",'2026'!$F$4="FO",'2026'!$F$2=U81),'2026DATA'!$F$8,"")</f>
        <v/>
      </c>
      <c r="V87" s="518" t="str">
        <f>IF(AND(_1="A-330-300",'2026'!$F$4="FO",'2026'!$F$2=V81),'2026DATA'!$G$8,"")</f>
        <v/>
      </c>
      <c r="W87" s="518" t="str">
        <f>IF(AND(_1="A-330-300",'2026'!$F$4="FO",'2026'!$F$2=W81),'2026DATA'!$H$8,"")</f>
        <v/>
      </c>
      <c r="X87" s="518" t="str">
        <f>IF(AND(_1="A-330-300",'2026'!$F$4="FO",'2026'!$F$2=X81),'2026DATA'!$I$8,"")</f>
        <v/>
      </c>
      <c r="Y87" s="518" t="str">
        <f>IF(AND(_1="A-330-300",'2026'!$F$4="FO",'2026'!$F$2=Y81),'2026DATA'!$J$8,"")</f>
        <v/>
      </c>
      <c r="Z87" s="518" t="str">
        <f>IF(AND(_1="A-330-300",'2026'!$F$4="FO",'2026'!$F$2=Z81),'2026DATA'!$K$8,"")</f>
        <v/>
      </c>
      <c r="AA87" s="518" t="str">
        <f>IF(AND(_1="A-330-300",'2026'!$F$4="FO",'2026'!$F$2=AA81),'2026DATA'!$L$8,"")</f>
        <v/>
      </c>
      <c r="AB87" s="518" t="str">
        <f>IF(AND(_1="A-330-300",'2026'!$F$4="FO",'2026'!$F$2=AB81),'2026DATA'!$M$8,"")</f>
        <v/>
      </c>
      <c r="AC87" s="520" t="str">
        <f>IF(AND(_1="A-330-300",'2026'!$F$4="FO",'2026'!$F$2=AC81),'2026DATA'!$N$8,"")</f>
        <v/>
      </c>
      <c r="AD87" s="940"/>
      <c r="AE87" s="13" t="s">
        <v>62</v>
      </c>
      <c r="AF87" s="518" t="str">
        <f>IF(AND(_2="A-330-300",'2026'!$F$4="FO",'2026'!$F$2=AF81),'2026DATA'!$C$8,"")</f>
        <v/>
      </c>
      <c r="AG87" s="518" t="str">
        <f>IF(AND(_2="A-330-300",'2026'!$F$4="FO",'2026'!$F$2=AG81),'2026DATA'!$D$8,"")</f>
        <v/>
      </c>
      <c r="AH87" s="518" t="str">
        <f>IF(AND(_2="A-330-300",'2026'!$F$4="FO",'2026'!$F$2=AH81),'2026DATA'!$E$8,"")</f>
        <v/>
      </c>
      <c r="AI87" s="518" t="str">
        <f>IF(AND(_2="A-330-300",'2026'!$F$4="FO",'2026'!$F$2=AI81),'2026DATA'!$F$8,"")</f>
        <v/>
      </c>
      <c r="AJ87" s="518" t="str">
        <f>IF(AND(_2="A-330-300",'2026'!$F$4="FO",'2026'!$F$2=AJ81),'2026DATA'!$G$8,"")</f>
        <v/>
      </c>
      <c r="AK87" s="518" t="str">
        <f>IF(AND(_2="A-330-300",'2026'!$F$4="FO",'2026'!$F$2=AK81),'2026DATA'!$H$8,"")</f>
        <v/>
      </c>
      <c r="AL87" s="518" t="str">
        <f>IF(AND(_2="A-330-300",'2026'!$F$4="FO",'2026'!$F$2=AL81),'2026DATA'!$I$8,"")</f>
        <v/>
      </c>
      <c r="AM87" s="518" t="str">
        <f>IF(AND(_2="A-330-300",'2026'!$F$4="FO",'2026'!$F$2=AM81),'2026DATA'!$J$8,"")</f>
        <v/>
      </c>
      <c r="AN87" s="518" t="str">
        <f>IF(AND(_2="A-330-300",'2026'!$F$4="FO",'2026'!$F$2=AN81),'2026DATA'!$K$8,"")</f>
        <v/>
      </c>
      <c r="AO87" s="518" t="str">
        <f>IF(AND(_2="A-330-300",'2026'!$F$4="FO",'2026'!$F$2=AO81),'2026DATA'!$L$8,"")</f>
        <v/>
      </c>
      <c r="AP87" s="518" t="str">
        <f>IF(AND(_2="A-330-300",'2026'!$F$4="FO",'2026'!$F$2=AP81),'2026DATA'!$M$8,"")</f>
        <v/>
      </c>
      <c r="AQ87" s="520" t="str">
        <f>IF(AND(_2="A-330-300",'2026'!$F$4="FO",'2026'!$F$2=AQ81),'2026DATA'!$N$8,"")</f>
        <v/>
      </c>
      <c r="AR87" s="940"/>
      <c r="AS87" s="13" t="s">
        <v>62</v>
      </c>
      <c r="AT87" s="518" t="str">
        <f>IF(AND(_3="A-330-300",'2026'!$F$4="FO",'2026'!$F$2=AT81),'2026DATA'!$C$8,"")</f>
        <v/>
      </c>
      <c r="AU87" s="518" t="str">
        <f>IF(AND(_3="A-330-300",'2026'!$F$4="FO",'2026'!$F$2=AU81),'2026DATA'!$D$8,"")</f>
        <v/>
      </c>
      <c r="AV87" s="518" t="str">
        <f>IF(AND(_3="A-330-300",'2026'!$F$4="FO",'2026'!$F$2=AV81),'2026DATA'!$E$8,"")</f>
        <v/>
      </c>
      <c r="AW87" s="518" t="str">
        <f>IF(AND(_3="A-330-300",'2026'!$F$4="FO",'2026'!$F$2=AW81),'2026DATA'!$F$8,"")</f>
        <v/>
      </c>
      <c r="AX87" s="518" t="str">
        <f>IF(AND(_3="A-330-300",'2026'!$F$4="FO",'2026'!$F$2=AX81),'2026DATA'!$G$8,"")</f>
        <v/>
      </c>
      <c r="AY87" s="518" t="str">
        <f>IF(AND(_3="A-330-300",'2026'!$F$4="FO",'2026'!$F$2=AY81),'2026DATA'!$H$8,"")</f>
        <v/>
      </c>
      <c r="AZ87" s="518" t="str">
        <f>IF(AND(_3="A-330-300",'2026'!$F$4="FO",'2026'!$F$2=AZ81),'2026DATA'!$I$8,"")</f>
        <v/>
      </c>
      <c r="BA87" s="518" t="str">
        <f>IF(AND(_3="A-330-300",'2026'!$F$4="FO",'2026'!$F$2=BA81),'2026DATA'!$J$8,"")</f>
        <v/>
      </c>
      <c r="BB87" s="518" t="str">
        <f>IF(AND(_3="A-330-300",'2026'!$F$4="FO",'2026'!$F$2=BB81),'2026DATA'!$K$8,"")</f>
        <v/>
      </c>
      <c r="BC87" s="518" t="str">
        <f>IF(AND(_3="A-330-300",'2026'!$F$4="FO",'2026'!$F$2=BC81),'2026DATA'!$L$8,"")</f>
        <v/>
      </c>
      <c r="BD87" s="518" t="str">
        <f>IF(AND(_3="A-330-300",'2026'!$F$4="FO",'2026'!$F$2=BD81),'2026DATA'!$M$8,"")</f>
        <v/>
      </c>
      <c r="BE87" s="520" t="str">
        <f>IF(AND(_3="A-330-300",'2026'!$F$4="FO",'2026'!$F$2=BE81),'2026DATA'!$N$8,"")</f>
        <v/>
      </c>
      <c r="BF87" s="940"/>
      <c r="BG87" s="13" t="s">
        <v>62</v>
      </c>
      <c r="BH87" s="518" t="str">
        <f>IF(AND(_4="A-330-300",'2026'!$F$4="FO",'2026'!$F$2=BH81),'2026DATA'!$C$8,"")</f>
        <v/>
      </c>
      <c r="BI87" s="518" t="str">
        <f>IF(AND(_4="A-330-300",'2026'!$F$4="FO",'2026'!$F$2=BI81),'2026DATA'!$D$8,"")</f>
        <v/>
      </c>
      <c r="BJ87" s="518" t="str">
        <f>IF(AND(_4="A-330-300",'2026'!$F$4="FO",'2026'!$F$2=BJ81),'2026DATA'!$E$8,"")</f>
        <v/>
      </c>
      <c r="BK87" s="518" t="str">
        <f>IF(AND(_4="A-330-300",'2026'!$F$4="FO",'2026'!$F$2=BK81),'2026DATA'!$F$8,"")</f>
        <v/>
      </c>
      <c r="BL87" s="518" t="str">
        <f>IF(AND(_4="A-330-300",'2026'!$F$4="FO",'2026'!$F$2=BL81),'2026DATA'!$G$8,"")</f>
        <v/>
      </c>
      <c r="BM87" s="518" t="str">
        <f>IF(AND(_4="A-330-300",'2026'!$F$4="FO",'2026'!$F$2=BM81),'2026DATA'!$H$8,"")</f>
        <v/>
      </c>
      <c r="BN87" s="518" t="str">
        <f>IF(AND(_4="A-330-300",'2026'!$F$4="FO",'2026'!$F$2=BN81),'2026DATA'!$I$8,"")</f>
        <v/>
      </c>
      <c r="BO87" s="518" t="str">
        <f>IF(AND(_4="A-330-300",'2026'!$F$4="FO",'2026'!$F$2=BO81),'2026DATA'!$J$8,"")</f>
        <v/>
      </c>
      <c r="BP87" s="518" t="str">
        <f>IF(AND(_4="A-330-300",'2026'!$F$4="FO",'2026'!$F$2=BP81),'2026DATA'!$K$8,"")</f>
        <v/>
      </c>
      <c r="BQ87" s="518" t="str">
        <f>IF(AND(_4="A-330-300",'2026'!$F$4="FO",'2026'!$F$2=BQ81),'2026DATA'!$L$8,"")</f>
        <v/>
      </c>
      <c r="BR87" s="518" t="str">
        <f>IF(AND(_4="A-330-300",'2026'!$F$4="FO",'2026'!$F$2=BR81),'2026DATA'!$M$8,"")</f>
        <v/>
      </c>
      <c r="BS87" s="520" t="str">
        <f>IF(AND(_4="A-330-300",'2026'!$F$4="FO",'2026'!$F$2=BS81),'2026DATA'!$N$8,"")</f>
        <v/>
      </c>
      <c r="BT87" s="940"/>
      <c r="BU87" s="13" t="s">
        <v>62</v>
      </c>
      <c r="BV87" s="518" t="str">
        <f>IF(AND(_5="A-330-300",'2026'!$F$4="FO",'2026'!$F$2=BV81),'2026DATA'!$C$8,"")</f>
        <v/>
      </c>
      <c r="BW87" s="518" t="str">
        <f>IF(AND(_5="A-330-300",'2026'!$F$4="FO",'2026'!$F$2=BW81),'2026DATA'!$D$8,"")</f>
        <v/>
      </c>
      <c r="BX87" s="518" t="str">
        <f>IF(AND(_5="A-330-300",'2026'!$F$4="FO",'2026'!$F$2=BX81),'2026DATA'!$E$8,"")</f>
        <v/>
      </c>
      <c r="BY87" s="518" t="str">
        <f>IF(AND(_5="A-330-300",'2026'!$F$4="FO",'2026'!$F$2=BY81),'2026DATA'!$F$8,"")</f>
        <v/>
      </c>
      <c r="BZ87" s="518" t="str">
        <f>IF(AND(_5="A-330-300",'2026'!$F$4="FO",'2026'!$F$2=BZ81),'2026DATA'!$G$8,"")</f>
        <v/>
      </c>
      <c r="CA87" s="518" t="str">
        <f>IF(AND(_5="A-330-300",'2026'!$F$4="FO",'2026'!$F$2=CA81),'2026DATA'!$H$8,"")</f>
        <v/>
      </c>
      <c r="CB87" s="518" t="str">
        <f>IF(AND(_5="A-330-300",'2026'!$F$4="FO",'2026'!$F$2=CB81),'2026DATA'!$I$8,"")</f>
        <v/>
      </c>
      <c r="CC87" s="518" t="str">
        <f>IF(AND(_5="A-330-300",'2026'!$F$4="FO",'2026'!$F$2=CC81),'2026DATA'!$J$8,"")</f>
        <v/>
      </c>
      <c r="CD87" s="518" t="str">
        <f>IF(AND(_5="A-330-300",'2026'!$F$4="FO",'2026'!$F$2=CD81),'2026DATA'!$K$8,"")</f>
        <v/>
      </c>
      <c r="CE87" s="518" t="str">
        <f>IF(AND(_5="A-330-300",'2026'!$F$4="FO",'2026'!$F$2=CE81),'2026DATA'!$L$8,"")</f>
        <v/>
      </c>
      <c r="CF87" s="518" t="str">
        <f>IF(AND(_5="A-330-300",'2026'!$F$4="FO",'2026'!$F$2=CF81),'2026DATA'!$M$8,"")</f>
        <v/>
      </c>
      <c r="CG87" s="520" t="str">
        <f>IF(AND(_5="A-330-300",'2026'!$F$4="FO",'2026'!$F$2=CG81),'2026DATA'!$N$8,"")</f>
        <v/>
      </c>
      <c r="CH87" s="940"/>
      <c r="CI87" s="13" t="s">
        <v>62</v>
      </c>
      <c r="CJ87" s="518" t="str">
        <f>IF(AND(_6="A-330-300",'2026'!$F$4="FO",'2026'!$F$2=CJ81),'2026DATA'!$C$8,"")</f>
        <v/>
      </c>
      <c r="CK87" s="518" t="str">
        <f>IF(AND(_6="A-330-300",'2026'!$F$4="FO",'2026'!$F$2=CK81),'2026DATA'!$D$8,"")</f>
        <v/>
      </c>
      <c r="CL87" s="518" t="str">
        <f>IF(AND(_6="A-330-300",'2026'!$F$4="FO",'2026'!$F$2=CL81),'2026DATA'!$E$8,"")</f>
        <v/>
      </c>
      <c r="CM87" s="518" t="str">
        <f>IF(AND(_6="A-330-300",'2026'!$F$4="FO",'2026'!$F$2=CM81),'2026DATA'!$F$8,"")</f>
        <v/>
      </c>
      <c r="CN87" s="518" t="str">
        <f>IF(AND(_6="A-330-300",'2026'!$F$4="FO",'2026'!$F$2=CN81),'2026DATA'!$G$8,"")</f>
        <v/>
      </c>
      <c r="CO87" s="518" t="str">
        <f>IF(AND(_6="A-330-300",'2026'!$F$4="FO",'2026'!$F$2=CO81),'2026DATA'!$H$8,"")</f>
        <v/>
      </c>
      <c r="CP87" s="518" t="str">
        <f>IF(AND(_6="A-330-300",'2026'!$F$4="FO",'2026'!$F$2=CP81),'2026DATA'!$I$8,"")</f>
        <v/>
      </c>
      <c r="CQ87" s="518" t="str">
        <f>IF(AND(_6="A-330-300",'2026'!$F$4="FO",'2026'!$F$2=CQ81),'2026DATA'!$J$8,"")</f>
        <v/>
      </c>
      <c r="CR87" s="518" t="str">
        <f>IF(AND(_6="A-330-300",'2026'!$F$4="FO",'2026'!$F$2=CR81),'2026DATA'!$K$8,"")</f>
        <v/>
      </c>
      <c r="CS87" s="518" t="str">
        <f>IF(AND(_6="A-330-300",'2026'!$F$4="FO",'2026'!$F$2=CS81),'2026DATA'!$L$8,"")</f>
        <v/>
      </c>
      <c r="CT87" s="518" t="str">
        <f>IF(AND(_6="A-330-300",'2026'!$F$4="FO",'2026'!$F$2=CT81),'2026DATA'!$M$8,"")</f>
        <v/>
      </c>
      <c r="CU87" s="520" t="str">
        <f>IF(AND(_6="A-330-300",'2026'!$F$4="FO",'2026'!$F$2=CU81),'2026DATA'!$N$8,"")</f>
        <v/>
      </c>
    </row>
    <row r="88" spans="16:99" x14ac:dyDescent="0.25">
      <c r="P88" s="940" t="s">
        <v>66</v>
      </c>
      <c r="Q88" s="13" t="s">
        <v>61</v>
      </c>
      <c r="R88" s="518" t="str">
        <f>IF(AND(_1="A-330-200",'2026'!$F$4="CA",'2026'!$F$2=R81),'2026DATA'!$C$9,"")</f>
        <v/>
      </c>
      <c r="S88" s="518" t="str">
        <f>IF(AND(_1="A-330-200",'2026'!$F$4="CA",'2026'!$F$2=S81),'2026DATA'!$D$9,"")</f>
        <v/>
      </c>
      <c r="T88" s="518" t="str">
        <f>IF(AND(_1="A-330-200",'2026'!$F$4="CA",'2026'!$F$2=T81),'2026DATA'!$E$9,"")</f>
        <v/>
      </c>
      <c r="U88" s="518" t="str">
        <f>IF(AND(_1="A-330-200",'2026'!$F$4="CA",'2026'!$F$2=U81),'2026DATA'!$F$9,"")</f>
        <v/>
      </c>
      <c r="V88" s="518" t="str">
        <f>IF(AND(_1="A-330-200",'2026'!$F$4="CA",'2026'!$F$2=V81),'2026DATA'!$G$9,"")</f>
        <v/>
      </c>
      <c r="W88" s="518" t="str">
        <f>IF(AND(_1="A-330-200",'2026'!$F$4="CA",'2026'!$F$2=W81),'2026DATA'!$H$9,"")</f>
        <v/>
      </c>
      <c r="X88" s="518" t="str">
        <f>IF(AND(_1="A-330-200",'2026'!$F$4="CA",'2026'!$F$2=X81),'2026DATA'!$I$9,"")</f>
        <v/>
      </c>
      <c r="Y88" s="518" t="str">
        <f>IF(AND(_1="A-330-200",'2026'!$F$4="CA",'2026'!$F$2=Y81),'2026DATA'!$J$9,"")</f>
        <v/>
      </c>
      <c r="Z88" s="518" t="str">
        <f>IF(AND(_1="A-330-200",'2026'!$F$4="CA",'2026'!$F$2=Z81),'2026DATA'!$K$9,"")</f>
        <v/>
      </c>
      <c r="AA88" s="518" t="str">
        <f>IF(AND(_1="A-330-200",'2026'!$F$4="CA",'2026'!$F$2=AA81),'2026DATA'!$L$9,"")</f>
        <v/>
      </c>
      <c r="AB88" s="518" t="str">
        <f>IF(AND(_1="A-330-200",'2026'!$F$4="CA",'2026'!$F$2=AB81),'2026DATA'!$M$9,"")</f>
        <v/>
      </c>
      <c r="AC88" s="520" t="str">
        <f>IF(AND(_1="A-330-200",'2026'!$F$4="CA",'2026'!$F$2=AC81),'2026DATA'!$N$9,"")</f>
        <v/>
      </c>
      <c r="AD88" s="940" t="s">
        <v>66</v>
      </c>
      <c r="AE88" s="13" t="s">
        <v>61</v>
      </c>
      <c r="AF88" s="518" t="str">
        <f>IF(AND(_2="A-330-200",'2026'!$F$4="CA",'2026'!$F$2=AF81),'2026DATA'!$C$9,"")</f>
        <v/>
      </c>
      <c r="AG88" s="518" t="str">
        <f>IF(AND(_2="A-330-200",'2026'!$F$4="CA",'2026'!$F$2=AG81),'2026DATA'!$D$9,"")</f>
        <v/>
      </c>
      <c r="AH88" s="518" t="str">
        <f>IF(AND(_2="A-330-200",'2026'!$F$4="CA",'2026'!$F$2=AH81),'2026DATA'!$E$9,"")</f>
        <v/>
      </c>
      <c r="AI88" s="518" t="str">
        <f>IF(AND(_2="A-330-200",'2026'!$F$4="CA",'2026'!$F$2=AI81),'2026DATA'!$F$9,"")</f>
        <v/>
      </c>
      <c r="AJ88" s="518" t="str">
        <f>IF(AND(_2="A-330-200",'2026'!$F$4="CA",'2026'!$F$2=AJ81),'2026DATA'!$G$9,"")</f>
        <v/>
      </c>
      <c r="AK88" s="518" t="str">
        <f>IF(AND(_2="A-330-200",'2026'!$F$4="CA",'2026'!$F$2=AK81),'2026DATA'!$H$9,"")</f>
        <v/>
      </c>
      <c r="AL88" s="518" t="str">
        <f>IF(AND(_2="A-330-200",'2026'!$F$4="CA",'2026'!$F$2=AL81),'2026DATA'!$I$9,"")</f>
        <v/>
      </c>
      <c r="AM88" s="518" t="str">
        <f>IF(AND(_2="A-330-200",'2026'!$F$4="CA",'2026'!$F$2=AM81),'2026DATA'!$J$9,"")</f>
        <v/>
      </c>
      <c r="AN88" s="518" t="str">
        <f>IF(AND(_2="A-330-200",'2026'!$F$4="CA",'2026'!$F$2=AN81),'2026DATA'!$K$9,"")</f>
        <v/>
      </c>
      <c r="AO88" s="518" t="str">
        <f>IF(AND(_2="A-330-200",'2026'!$F$4="CA",'2026'!$F$2=AO81),'2026DATA'!$L$9,"")</f>
        <v/>
      </c>
      <c r="AP88" s="518" t="str">
        <f>IF(AND(_2="A-330-200",'2026'!$F$4="CA",'2026'!$F$2=AP81),'2026DATA'!$M$9,"")</f>
        <v/>
      </c>
      <c r="AQ88" s="520" t="str">
        <f>IF(AND(_2="A-330-200",'2026'!$F$4="CA",'2026'!$F$2=AQ81),'2026DATA'!$N$9,"")</f>
        <v/>
      </c>
      <c r="AR88" s="940" t="s">
        <v>66</v>
      </c>
      <c r="AS88" s="13" t="s">
        <v>61</v>
      </c>
      <c r="AT88" s="518" t="str">
        <f>IF(AND(_3="A-330-200",'2026'!$F$4="CA",'2026'!$F$2=AT81),'2026DATA'!$C$9,"")</f>
        <v/>
      </c>
      <c r="AU88" s="518" t="str">
        <f>IF(AND(_3="A-330-200",'2026'!$F$4="CA",'2026'!$F$2=AU81),'2026DATA'!$D$9,"")</f>
        <v/>
      </c>
      <c r="AV88" s="518" t="str">
        <f>IF(AND(_3="A-330-200",'2026'!$F$4="CA",'2026'!$F$2=AV81),'2026DATA'!$E$9,"")</f>
        <v/>
      </c>
      <c r="AW88" s="518" t="str">
        <f>IF(AND(_3="A-330-200",'2026'!$F$4="CA",'2026'!$F$2=AW81),'2026DATA'!$F$9,"")</f>
        <v/>
      </c>
      <c r="AX88" s="518" t="str">
        <f>IF(AND(_3="A-330-200",'2026'!$F$4="CA",'2026'!$F$2=AX81),'2026DATA'!$G$9,"")</f>
        <v/>
      </c>
      <c r="AY88" s="518" t="str">
        <f>IF(AND(_3="A-330-200",'2026'!$F$4="CA",'2026'!$F$2=AY81),'2026DATA'!$H$9,"")</f>
        <v/>
      </c>
      <c r="AZ88" s="518" t="str">
        <f>IF(AND(_3="A-330-200",'2026'!$F$4="CA",'2026'!$F$2=AZ81),'2026DATA'!$I$9,"")</f>
        <v/>
      </c>
      <c r="BA88" s="518" t="str">
        <f>IF(AND(_3="A-330-200",'2026'!$F$4="CA",'2026'!$F$2=BA81),'2026DATA'!$J$9,"")</f>
        <v/>
      </c>
      <c r="BB88" s="518" t="str">
        <f>IF(AND(_3="A-330-200",'2026'!$F$4="CA",'2026'!$F$2=BB81),'2026DATA'!$K$9,"")</f>
        <v/>
      </c>
      <c r="BC88" s="518" t="str">
        <f>IF(AND(_3="A-330-200",'2026'!$F$4="CA",'2026'!$F$2=BC81),'2026DATA'!$L$9,"")</f>
        <v/>
      </c>
      <c r="BD88" s="518" t="str">
        <f>IF(AND(_3="A-330-200",'2026'!$F$4="CA",'2026'!$F$2=BD81),'2026DATA'!$M$9,"")</f>
        <v/>
      </c>
      <c r="BE88" s="520" t="str">
        <f>IF(AND(_3="A-330-200",'2026'!$F$4="CA",'2026'!$F$2=BE81),'2026DATA'!$N$9,"")</f>
        <v/>
      </c>
      <c r="BF88" s="940" t="s">
        <v>66</v>
      </c>
      <c r="BG88" s="13" t="s">
        <v>61</v>
      </c>
      <c r="BH88" s="518" t="str">
        <f>IF(AND(_4="A-330-200",'2026'!$F$4="CA",'2026'!$F$2=BH81),'2026DATA'!$C$9,"")</f>
        <v/>
      </c>
      <c r="BI88" s="518" t="str">
        <f>IF(AND(_4="A-330-200",'2026'!$F$4="CA",'2026'!$F$2=BI81),'2026DATA'!$D$9,"")</f>
        <v/>
      </c>
      <c r="BJ88" s="518" t="str">
        <f>IF(AND(_4="A-330-200",'2026'!$F$4="CA",'2026'!$F$2=BJ81),'2026DATA'!$E$9,"")</f>
        <v/>
      </c>
      <c r="BK88" s="518" t="str">
        <f>IF(AND(_4="A-330-200",'2026'!$F$4="CA",'2026'!$F$2=BK81),'2026DATA'!$F$9,"")</f>
        <v/>
      </c>
      <c r="BL88" s="518" t="str">
        <f>IF(AND(_4="A-330-200",'2026'!$F$4="CA",'2026'!$F$2=BL81),'2026DATA'!$G$9,"")</f>
        <v/>
      </c>
      <c r="BM88" s="518" t="str">
        <f>IF(AND(_4="A-330-200",'2026'!$F$4="CA",'2026'!$F$2=BM81),'2026DATA'!$H$9,"")</f>
        <v/>
      </c>
      <c r="BN88" s="518" t="str">
        <f>IF(AND(_4="A-330-200",'2026'!$F$4="CA",'2026'!$F$2=BN81),'2026DATA'!$I$9,"")</f>
        <v/>
      </c>
      <c r="BO88" s="518" t="str">
        <f>IF(AND(_4="A-330-200",'2026'!$F$4="CA",'2026'!$F$2=BO81),'2026DATA'!$J$9,"")</f>
        <v/>
      </c>
      <c r="BP88" s="518" t="str">
        <f>IF(AND(_4="A-330-200",'2026'!$F$4="CA",'2026'!$F$2=BP81),'2026DATA'!$K$9,"")</f>
        <v/>
      </c>
      <c r="BQ88" s="518" t="str">
        <f>IF(AND(_4="A-330-200",'2026'!$F$4="CA",'2026'!$F$2=BQ81),'2026DATA'!$L$9,"")</f>
        <v/>
      </c>
      <c r="BR88" s="518" t="str">
        <f>IF(AND(_4="A-330-200",'2026'!$F$4="CA",'2026'!$F$2=BR81),'2026DATA'!$M$9,"")</f>
        <v/>
      </c>
      <c r="BS88" s="520" t="str">
        <f>IF(AND(_4="A-330-200",'2026'!$F$4="CA",'2026'!$F$2=BS81),'2026DATA'!$N$9,"")</f>
        <v/>
      </c>
      <c r="BT88" s="940" t="s">
        <v>66</v>
      </c>
      <c r="BU88" s="13" t="s">
        <v>61</v>
      </c>
      <c r="BV88" s="518" t="str">
        <f>IF(AND(_5="A-330-200",'2026'!$F$4="CA",'2026'!$F$2=BV81),'2026DATA'!$C$9,"")</f>
        <v/>
      </c>
      <c r="BW88" s="518" t="str">
        <f>IF(AND(_5="A-330-200",'2026'!$F$4="CA",'2026'!$F$2=BW81),'2026DATA'!$D$9,"")</f>
        <v/>
      </c>
      <c r="BX88" s="518" t="str">
        <f>IF(AND(_5="A-330-200",'2026'!$F$4="CA",'2026'!$F$2=BX81),'2026DATA'!$E$9,"")</f>
        <v/>
      </c>
      <c r="BY88" s="518" t="str">
        <f>IF(AND(_5="A-330-200",'2026'!$F$4="CA",'2026'!$F$2=BY81),'2026DATA'!$F$9,"")</f>
        <v/>
      </c>
      <c r="BZ88" s="518" t="str">
        <f>IF(AND(_5="A-330-200",'2026'!$F$4="CA",'2026'!$F$2=BZ81),'2026DATA'!$G$9,"")</f>
        <v/>
      </c>
      <c r="CA88" s="518" t="str">
        <f>IF(AND(_5="A-330-200",'2026'!$F$4="CA",'2026'!$F$2=CA81),'2026DATA'!$H$9,"")</f>
        <v/>
      </c>
      <c r="CB88" s="518" t="str">
        <f>IF(AND(_5="A-330-200",'2026'!$F$4="CA",'2026'!$F$2=CB81),'2026DATA'!$I$9,"")</f>
        <v/>
      </c>
      <c r="CC88" s="518" t="str">
        <f>IF(AND(_5="A-330-200",'2026'!$F$4="CA",'2026'!$F$2=CC81),'2026DATA'!$J$9,"")</f>
        <v/>
      </c>
      <c r="CD88" s="518" t="str">
        <f>IF(AND(_5="A-330-200",'2026'!$F$4="CA",'2026'!$F$2=CD81),'2026DATA'!$K$9,"")</f>
        <v/>
      </c>
      <c r="CE88" s="518" t="str">
        <f>IF(AND(_5="A-330-200",'2026'!$F$4="CA",'2026'!$F$2=CE81),'2026DATA'!$L$9,"")</f>
        <v/>
      </c>
      <c r="CF88" s="518" t="str">
        <f>IF(AND(_5="A-330-200",'2026'!$F$4="CA",'2026'!$F$2=CF81),'2026DATA'!$M$9,"")</f>
        <v/>
      </c>
      <c r="CG88" s="520" t="str">
        <f>IF(AND(_5="A-330-200",'2026'!$F$4="CA",'2026'!$F$2=CG81),'2026DATA'!$N$9,"")</f>
        <v/>
      </c>
      <c r="CH88" s="940" t="s">
        <v>66</v>
      </c>
      <c r="CI88" s="13" t="s">
        <v>61</v>
      </c>
      <c r="CJ88" s="518" t="str">
        <f>IF(AND(_6="A-330-200",'2026'!$F$4="CA",'2026'!$F$2=CJ81),'2026DATA'!$C$9,"")</f>
        <v/>
      </c>
      <c r="CK88" s="518" t="str">
        <f>IF(AND(_6="A-330-200",'2026'!$F$4="CA",'2026'!$F$2=CK81),'2026DATA'!$D$9,"")</f>
        <v/>
      </c>
      <c r="CL88" s="518" t="str">
        <f>IF(AND(_6="A-330-200",'2026'!$F$4="CA",'2026'!$F$2=CL81),'2026DATA'!$E$9,"")</f>
        <v/>
      </c>
      <c r="CM88" s="518" t="str">
        <f>IF(AND(_6="A-330-200",'2026'!$F$4="CA",'2026'!$F$2=CM81),'2026DATA'!$F$9,"")</f>
        <v/>
      </c>
      <c r="CN88" s="518" t="str">
        <f>IF(AND(_6="A-330-200",'2026'!$F$4="CA",'2026'!$F$2=CN81),'2026DATA'!$G$9,"")</f>
        <v/>
      </c>
      <c r="CO88" s="518" t="str">
        <f>IF(AND(_6="A-330-200",'2026'!$F$4="CA",'2026'!$F$2=CO81),'2026DATA'!$H$9,"")</f>
        <v/>
      </c>
      <c r="CP88" s="518" t="str">
        <f>IF(AND(_6="A-330-200",'2026'!$F$4="CA",'2026'!$F$2=CP81),'2026DATA'!$I$9,"")</f>
        <v/>
      </c>
      <c r="CQ88" s="518" t="str">
        <f>IF(AND(_6="A-330-200",'2026'!$F$4="CA",'2026'!$F$2=CQ81),'2026DATA'!$J$9,"")</f>
        <v/>
      </c>
      <c r="CR88" s="518" t="str">
        <f>IF(AND(_6="A-330-200",'2026'!$F$4="CA",'2026'!$F$2=CR81),'2026DATA'!$K$9,"")</f>
        <v/>
      </c>
      <c r="CS88" s="518" t="str">
        <f>IF(AND(_6="A-330-200",'2026'!$F$4="CA",'2026'!$F$2=CS81),'2026DATA'!$L$9,"")</f>
        <v/>
      </c>
      <c r="CT88" s="518" t="str">
        <f>IF(AND(_6="A-330-200",'2026'!$F$4="CA",'2026'!$F$2=CT81),'2026DATA'!$M$9,"")</f>
        <v/>
      </c>
      <c r="CU88" s="520" t="str">
        <f>IF(AND(_6="A-330-200",'2026'!$F$4="CA",'2026'!$F$2=CU81),'2026DATA'!$N$9,"")</f>
        <v/>
      </c>
    </row>
    <row r="89" spans="16:99" x14ac:dyDescent="0.25">
      <c r="P89" s="940"/>
      <c r="Q89" s="13" t="s">
        <v>62</v>
      </c>
      <c r="R89" s="518" t="str">
        <f>IF(AND(_1="A-330-200",'2026'!$F$4="FO",'2026'!$F$2=R81),'2026DATA'!$C$10,"")</f>
        <v/>
      </c>
      <c r="S89" s="518" t="str">
        <f>IF(AND(_1="A-330-200",'2026'!$F$4="FO",'2026'!$F$2=S81),'2026DATA'!$D$10,"")</f>
        <v/>
      </c>
      <c r="T89" s="518" t="str">
        <f>IF(AND(_1="A-330-200",'2026'!$F$4="FO",'2026'!$F$2=T81),'2026DATA'!$E$10,"")</f>
        <v/>
      </c>
      <c r="U89" s="518" t="str">
        <f>IF(AND(_1="A-330-200",'2026'!$F$4="FO",'2026'!$F$2=U81),'2026DATA'!$F$10,"")</f>
        <v/>
      </c>
      <c r="V89" s="518" t="str">
        <f>IF(AND(_1="A-330-200",'2026'!$F$4="FO",'2026'!$F$2=V81),'2026DATA'!$G$10,"")</f>
        <v/>
      </c>
      <c r="W89" s="518" t="str">
        <f>IF(AND(_1="A-330-200",'2026'!$F$4="FO",'2026'!$F$2=W81),'2026DATA'!$H$10,"")</f>
        <v/>
      </c>
      <c r="X89" s="518" t="str">
        <f>IF(AND(_1="A-330-200",'2026'!$F$4="FO",'2026'!$F$2=X81),'2026DATA'!$I$10,"")</f>
        <v/>
      </c>
      <c r="Y89" s="518" t="str">
        <f>IF(AND(_1="A-330-200",'2026'!$F$4="FO",'2026'!$F$2=Y81),'2026DATA'!$J$10,"")</f>
        <v/>
      </c>
      <c r="Z89" s="518" t="str">
        <f>IF(AND(_1="A-330-200",'2026'!$F$4="FO",'2026'!$F$2=Z81),'2026DATA'!$K$10,"")</f>
        <v/>
      </c>
      <c r="AA89" s="518" t="str">
        <f>IF(AND(_1="A-330-200",'2026'!$F$4="FO",'2026'!$F$2=AA81),'2026DATA'!$L$10,"")</f>
        <v/>
      </c>
      <c r="AB89" s="518" t="str">
        <f>IF(AND(_1="A-330-200",'2026'!$F$4="FO",'2026'!$F$2=AB81),'2026DATA'!$M$10,"")</f>
        <v/>
      </c>
      <c r="AC89" s="520" t="str">
        <f>IF(AND(_1="A-330-200",'2026'!$F$4="FO",'2026'!$F$2=AC81),'2026DATA'!$N$10,"")</f>
        <v/>
      </c>
      <c r="AD89" s="940"/>
      <c r="AE89" s="13" t="s">
        <v>62</v>
      </c>
      <c r="AF89" s="518" t="str">
        <f>IF(AND(_2="A-330-200",'2026'!$F$4="FO",'2026'!$F$2=AF81),'2026DATA'!$C$10,"")</f>
        <v/>
      </c>
      <c r="AG89" s="518" t="str">
        <f>IF(AND(_2="A-330-200",'2026'!$F$4="FO",'2026'!$F$2=AG81),'2026DATA'!$D$10,"")</f>
        <v/>
      </c>
      <c r="AH89" s="518" t="str">
        <f>IF(AND(_2="A-330-200",'2026'!$F$4="FO",'2026'!$F$2=AH81),'2026DATA'!$E$10,"")</f>
        <v/>
      </c>
      <c r="AI89" s="518" t="str">
        <f>IF(AND(_2="A-330-200",'2026'!$F$4="FO",'2026'!$F$2=AI81),'2026DATA'!$F$10,"")</f>
        <v/>
      </c>
      <c r="AJ89" s="518" t="str">
        <f>IF(AND(_2="A-330-200",'2026'!$F$4="FO",'2026'!$F$2=AJ81),'2026DATA'!$G$10,"")</f>
        <v/>
      </c>
      <c r="AK89" s="518" t="str">
        <f>IF(AND(_2="A-330-200",'2026'!$F$4="FO",'2026'!$F$2=AK81),'2026DATA'!$H$10,"")</f>
        <v/>
      </c>
      <c r="AL89" s="518" t="str">
        <f>IF(AND(_2="A-330-200",'2026'!$F$4="FO",'2026'!$F$2=AL81),'2026DATA'!$I$10,"")</f>
        <v/>
      </c>
      <c r="AM89" s="518" t="str">
        <f>IF(AND(_2="A-330-200",'2026'!$F$4="FO",'2026'!$F$2=AM81),'2026DATA'!$J$10,"")</f>
        <v/>
      </c>
      <c r="AN89" s="518" t="str">
        <f>IF(AND(_2="A-330-200",'2026'!$F$4="FO",'2026'!$F$2=AN81),'2026DATA'!$K$10,"")</f>
        <v/>
      </c>
      <c r="AO89" s="518" t="str">
        <f>IF(AND(_2="A-330-200",'2026'!$F$4="FO",'2026'!$F$2=AO81),'2026DATA'!$L$10,"")</f>
        <v/>
      </c>
      <c r="AP89" s="518" t="str">
        <f>IF(AND(_2="A-330-200",'2026'!$F$4="FO",'2026'!$F$2=AP81),'2026DATA'!$M$10,"")</f>
        <v/>
      </c>
      <c r="AQ89" s="520" t="str">
        <f>IF(AND(_2="A-330-200",'2026'!$F$4="FO",'2026'!$F$2=AQ81),'2026DATA'!$N$10,"")</f>
        <v/>
      </c>
      <c r="AR89" s="940"/>
      <c r="AS89" s="13" t="s">
        <v>62</v>
      </c>
      <c r="AT89" s="518" t="str">
        <f>IF(AND(_3="A-330-200",'2026'!$F$4="FO",'2026'!$F$2=AT81),'2026DATA'!$C$10,"")</f>
        <v/>
      </c>
      <c r="AU89" s="518" t="str">
        <f>IF(AND(_3="A-330-200",'2026'!$F$4="FO",'2026'!$F$2=AU81),'2026DATA'!$D$10,"")</f>
        <v/>
      </c>
      <c r="AV89" s="518" t="str">
        <f>IF(AND(_3="A-330-200",'2026'!$F$4="FO",'2026'!$F$2=AV81),'2026DATA'!$E$10,"")</f>
        <v/>
      </c>
      <c r="AW89" s="518" t="str">
        <f>IF(AND(_3="A-330-200",'2026'!$F$4="FO",'2026'!$F$2=AW81),'2026DATA'!$F$10,"")</f>
        <v/>
      </c>
      <c r="AX89" s="518" t="str">
        <f>IF(AND(_3="A-330-200",'2026'!$F$4="FO",'2026'!$F$2=AX81),'2026DATA'!$G$10,"")</f>
        <v/>
      </c>
      <c r="AY89" s="518" t="str">
        <f>IF(AND(_3="A-330-200",'2026'!$F$4="FO",'2026'!$F$2=AY81),'2026DATA'!$H$10,"")</f>
        <v/>
      </c>
      <c r="AZ89" s="518" t="str">
        <f>IF(AND(_3="A-330-200",'2026'!$F$4="FO",'2026'!$F$2=AZ81),'2026DATA'!$I$10,"")</f>
        <v/>
      </c>
      <c r="BA89" s="518" t="str">
        <f>IF(AND(_3="A-330-200",'2026'!$F$4="FO",'2026'!$F$2=BA81),'2026DATA'!$J$10,"")</f>
        <v/>
      </c>
      <c r="BB89" s="518" t="str">
        <f>IF(AND(_3="A-330-200",'2026'!$F$4="FO",'2026'!$F$2=BB81),'2026DATA'!$K$10,"")</f>
        <v/>
      </c>
      <c r="BC89" s="518" t="str">
        <f>IF(AND(_3="A-330-200",'2026'!$F$4="FO",'2026'!$F$2=BC81),'2026DATA'!$L$10,"")</f>
        <v/>
      </c>
      <c r="BD89" s="518" t="str">
        <f>IF(AND(_3="A-330-200",'2026'!$F$4="FO",'2026'!$F$2=BD81),'2026DATA'!$M$10,"")</f>
        <v/>
      </c>
      <c r="BE89" s="520" t="str">
        <f>IF(AND(_3="A-330-200",'2026'!$F$4="FO",'2026'!$F$2=BE81),'2026DATA'!$N$10,"")</f>
        <v/>
      </c>
      <c r="BF89" s="940"/>
      <c r="BG89" s="13" t="s">
        <v>62</v>
      </c>
      <c r="BH89" s="518" t="str">
        <f>IF(AND(_4="A-330-200",'2026'!$F$4="FO",'2026'!$F$2=BH81),'2026DATA'!$C$10,"")</f>
        <v/>
      </c>
      <c r="BI89" s="518" t="str">
        <f>IF(AND(_4="A-330-200",'2026'!$F$4="FO",'2026'!$F$2=BI81),'2026DATA'!$D$10,"")</f>
        <v/>
      </c>
      <c r="BJ89" s="518" t="str">
        <f>IF(AND(_4="A-330-200",'2026'!$F$4="FO",'2026'!$F$2=BJ81),'2026DATA'!$E$10,"")</f>
        <v/>
      </c>
      <c r="BK89" s="518" t="str">
        <f>IF(AND(_4="A-330-200",'2026'!$F$4="FO",'2026'!$F$2=BK81),'2026DATA'!$F$10,"")</f>
        <v/>
      </c>
      <c r="BL89" s="518" t="str">
        <f>IF(AND(_4="A-330-200",'2026'!$F$4="FO",'2026'!$F$2=BL81),'2026DATA'!$G$10,"")</f>
        <v/>
      </c>
      <c r="BM89" s="518" t="str">
        <f>IF(AND(_4="A-330-200",'2026'!$F$4="FO",'2026'!$F$2=BM81),'2026DATA'!$H$10,"")</f>
        <v/>
      </c>
      <c r="BN89" s="518" t="str">
        <f>IF(AND(_4="A-330-200",'2026'!$F$4="FO",'2026'!$F$2=BN81),'2026DATA'!$I$10,"")</f>
        <v/>
      </c>
      <c r="BO89" s="518" t="str">
        <f>IF(AND(_4="A-330-200",'2026'!$F$4="FO",'2026'!$F$2=BO81),'2026DATA'!$J$10,"")</f>
        <v/>
      </c>
      <c r="BP89" s="518" t="str">
        <f>IF(AND(_4="A-330-200",'2026'!$F$4="FO",'2026'!$F$2=BP81),'2026DATA'!$K$10,"")</f>
        <v/>
      </c>
      <c r="BQ89" s="518" t="str">
        <f>IF(AND(_4="A-330-200",'2026'!$F$4="FO",'2026'!$F$2=BQ81),'2026DATA'!$L$10,"")</f>
        <v/>
      </c>
      <c r="BR89" s="518" t="str">
        <f>IF(AND(_4="A-330-200",'2026'!$F$4="FO",'2026'!$F$2=BR81),'2026DATA'!$M$10,"")</f>
        <v/>
      </c>
      <c r="BS89" s="520" t="str">
        <f>IF(AND(_4="A-330-200",'2026'!$F$4="FO",'2026'!$F$2=BS81),'2026DATA'!$N$10,"")</f>
        <v/>
      </c>
      <c r="BT89" s="940"/>
      <c r="BU89" s="13" t="s">
        <v>62</v>
      </c>
      <c r="BV89" s="518" t="str">
        <f>IF(AND(_5="A-330-200",'2026'!$F$4="FO",'2026'!$F$2=BV81),'2026DATA'!$C$10,"")</f>
        <v/>
      </c>
      <c r="BW89" s="518" t="str">
        <f>IF(AND(_5="A-330-200",'2026'!$F$4="FO",'2026'!$F$2=BW81),'2026DATA'!$D$10,"")</f>
        <v/>
      </c>
      <c r="BX89" s="518" t="str">
        <f>IF(AND(_5="A-330-200",'2026'!$F$4="FO",'2026'!$F$2=BX81),'2026DATA'!$E$10,"")</f>
        <v/>
      </c>
      <c r="BY89" s="518" t="str">
        <f>IF(AND(_5="A-330-200",'2026'!$F$4="FO",'2026'!$F$2=BY81),'2026DATA'!$F$10,"")</f>
        <v/>
      </c>
      <c r="BZ89" s="518" t="str">
        <f>IF(AND(_5="A-330-200",'2026'!$F$4="FO",'2026'!$F$2=BZ81),'2026DATA'!$G$10,"")</f>
        <v/>
      </c>
      <c r="CA89" s="518" t="str">
        <f>IF(AND(_5="A-330-200",'2026'!$F$4="FO",'2026'!$F$2=CA81),'2026DATA'!$H$10,"")</f>
        <v/>
      </c>
      <c r="CB89" s="518" t="str">
        <f>IF(AND(_5="A-330-200",'2026'!$F$4="FO",'2026'!$F$2=CB81),'2026DATA'!$I$10,"")</f>
        <v/>
      </c>
      <c r="CC89" s="518" t="str">
        <f>IF(AND(_5="A-330-200",'2026'!$F$4="FO",'2026'!$F$2=CC81),'2026DATA'!$J$10,"")</f>
        <v/>
      </c>
      <c r="CD89" s="518" t="str">
        <f>IF(AND(_5="A-330-200",'2026'!$F$4="FO",'2026'!$F$2=CD81),'2026DATA'!$K$10,"")</f>
        <v/>
      </c>
      <c r="CE89" s="518" t="str">
        <f>IF(AND(_5="A-330-200",'2026'!$F$4="FO",'2026'!$F$2=CE81),'2026DATA'!$L$10,"")</f>
        <v/>
      </c>
      <c r="CF89" s="518" t="str">
        <f>IF(AND(_5="A-330-200",'2026'!$F$4="FO",'2026'!$F$2=CF81),'2026DATA'!$M$10,"")</f>
        <v/>
      </c>
      <c r="CG89" s="520" t="str">
        <f>IF(AND(_5="A-330-200",'2026'!$F$4="FO",'2026'!$F$2=CG81),'2026DATA'!$N$10,"")</f>
        <v/>
      </c>
      <c r="CH89" s="940"/>
      <c r="CI89" s="13" t="s">
        <v>62</v>
      </c>
      <c r="CJ89" s="518" t="str">
        <f>IF(AND(_6="A-330-200",'2026'!$F$4="FO",'2026'!$F$2=CJ81),'2026DATA'!$C$10,"")</f>
        <v/>
      </c>
      <c r="CK89" s="518" t="str">
        <f>IF(AND(_6="A-330-200",'2026'!$F$4="FO",'2026'!$F$2=CK81),'2026DATA'!$D$10,"")</f>
        <v/>
      </c>
      <c r="CL89" s="518" t="str">
        <f>IF(AND(_6="A-330-200",'2026'!$F$4="FO",'2026'!$F$2=CL81),'2026DATA'!$E$10,"")</f>
        <v/>
      </c>
      <c r="CM89" s="518" t="str">
        <f>IF(AND(_6="A-330-200",'2026'!$F$4="FO",'2026'!$F$2=CM81),'2026DATA'!$F$10,"")</f>
        <v/>
      </c>
      <c r="CN89" s="518" t="str">
        <f>IF(AND(_6="A-330-200",'2026'!$F$4="FO",'2026'!$F$2=CN81),'2026DATA'!$G$10,"")</f>
        <v/>
      </c>
      <c r="CO89" s="518" t="str">
        <f>IF(AND(_6="A-330-200",'2026'!$F$4="FO",'2026'!$F$2=CO81),'2026DATA'!$H$10,"")</f>
        <v/>
      </c>
      <c r="CP89" s="518" t="str">
        <f>IF(AND(_6="A-330-200",'2026'!$F$4="FO",'2026'!$F$2=CP81),'2026DATA'!$I$10,"")</f>
        <v/>
      </c>
      <c r="CQ89" s="518" t="str">
        <f>IF(AND(_6="A-330-200",'2026'!$F$4="FO",'2026'!$F$2=CQ81),'2026DATA'!$J$10,"")</f>
        <v/>
      </c>
      <c r="CR89" s="518" t="str">
        <f>IF(AND(_6="A-330-200",'2026'!$F$4="FO",'2026'!$F$2=CR81),'2026DATA'!$K$10,"")</f>
        <v/>
      </c>
      <c r="CS89" s="518" t="str">
        <f>IF(AND(_6="A-330-200",'2026'!$F$4="FO",'2026'!$F$2=CS81),'2026DATA'!$L$10,"")</f>
        <v/>
      </c>
      <c r="CT89" s="518" t="str">
        <f>IF(AND(_6="A-330-200",'2026'!$F$4="FO",'2026'!$F$2=CT81),'2026DATA'!$M$10,"")</f>
        <v/>
      </c>
      <c r="CU89" s="520" t="str">
        <f>IF(AND(_6="A-330-200",'2026'!$F$4="FO",'2026'!$F$2=CU81),'2026DATA'!$N$10,"")</f>
        <v/>
      </c>
    </row>
    <row r="90" spans="16:99" x14ac:dyDescent="0.25">
      <c r="P90" s="940" t="s">
        <v>42</v>
      </c>
      <c r="Q90" s="13" t="s">
        <v>61</v>
      </c>
      <c r="R90" s="518" t="str">
        <f>IF(AND(_1="B-767-400ER",'2026'!$F$4="CA",'2026'!$F$2=R81),'2026DATA'!$C$11,"")</f>
        <v/>
      </c>
      <c r="S90" s="518" t="str">
        <f>IF(AND(_1="B-767-400ER",'2026'!$F$4="CA",'2026'!$F$2=S81),'2026DATA'!$D$11,"")</f>
        <v/>
      </c>
      <c r="T90" s="518" t="str">
        <f>IF(AND(_1="B-767-400ER",'2026'!$F$4="CA",'2026'!$F$2=T81),'2026DATA'!$E$11,"")</f>
        <v/>
      </c>
      <c r="U90" s="518" t="str">
        <f>IF(AND(_1="B-767-400ER",'2026'!$F$4="CA",'2026'!$F$2=U81),'2026DATA'!$F$11,"")</f>
        <v/>
      </c>
      <c r="V90" s="518" t="str">
        <f>IF(AND(_1="B-767-400ER",'2026'!$F$4="CA",'2026'!$F$2=V81),'2026DATA'!$G$11,"")</f>
        <v/>
      </c>
      <c r="W90" s="518" t="str">
        <f>IF(AND(_1="B-767-400ER",'2026'!$F$4="CA",'2026'!$F$2=W81),'2026DATA'!$H$11,"")</f>
        <v/>
      </c>
      <c r="X90" s="518" t="str">
        <f>IF(AND(_1="B-767-400ER",'2026'!$F$4="CA",'2026'!$F$2=X81),'2026DATA'!$I$11,"")</f>
        <v/>
      </c>
      <c r="Y90" s="518" t="str">
        <f>IF(AND(_1="B-767-400ER",'2026'!$F$4="CA",'2026'!$F$2=Y81),'2026DATA'!$J$11,"")</f>
        <v/>
      </c>
      <c r="Z90" s="518" t="str">
        <f>IF(AND(_1="B-767-400ER",'2026'!$F$4="CA",'2026'!$F$2=Z81),'2026DATA'!$K$11,"")</f>
        <v/>
      </c>
      <c r="AA90" s="518" t="str">
        <f>IF(AND(_1="B-767-400ER",'2026'!$F$4="CA",'2026'!$F$2=AA81),'2026DATA'!$L$11,"")</f>
        <v/>
      </c>
      <c r="AB90" s="518" t="str">
        <f>IF(AND(_1="B-767-400ER",'2026'!$F$4="CA",'2026'!$F$2=AB81),'2026DATA'!$M$11,"")</f>
        <v/>
      </c>
      <c r="AC90" s="520" t="str">
        <f>IF(AND(_1="B-767-400ER",'2026'!$F$4="CA",'2026'!$F$2=AC81),'2026DATA'!$N$11,"")</f>
        <v/>
      </c>
      <c r="AD90" s="940" t="s">
        <v>42</v>
      </c>
      <c r="AE90" s="13" t="s">
        <v>61</v>
      </c>
      <c r="AF90" s="518" t="str">
        <f>IF(AND(_2="B-767-400ER",'2026'!$F$4="CA",'2026'!$F$2=AF81),'2026DATA'!$C$11,"")</f>
        <v/>
      </c>
      <c r="AG90" s="518" t="str">
        <f>IF(AND(_2="B-767-400ER",'2026'!$F$4="CA",'2026'!$F$2=AG81),'2026DATA'!$D$11,"")</f>
        <v/>
      </c>
      <c r="AH90" s="518" t="str">
        <f>IF(AND(_2="B-767-400ER",'2026'!$F$4="CA",'2026'!$F$2=AH81),'2026DATA'!$E$11,"")</f>
        <v/>
      </c>
      <c r="AI90" s="518" t="str">
        <f>IF(AND(_2="B-767-400ER",'2026'!$F$4="CA",'2026'!$F$2=AI81),'2026DATA'!$F$11,"")</f>
        <v/>
      </c>
      <c r="AJ90" s="518" t="str">
        <f>IF(AND(_2="B-767-400ER",'2026'!$F$4="CA",'2026'!$F$2=AJ81),'2026DATA'!$G$11,"")</f>
        <v/>
      </c>
      <c r="AK90" s="518" t="str">
        <f>IF(AND(_2="B-767-400ER",'2026'!$F$4="CA",'2026'!$F$2=AK81),'2026DATA'!$H$11,"")</f>
        <v/>
      </c>
      <c r="AL90" s="518" t="str">
        <f>IF(AND(_2="B-767-400ER",'2026'!$F$4="CA",'2026'!$F$2=AL81),'2026DATA'!$I$11,"")</f>
        <v/>
      </c>
      <c r="AM90" s="518" t="str">
        <f>IF(AND(_2="B-767-400ER",'2026'!$F$4="CA",'2026'!$F$2=AM81),'2026DATA'!$J$11,"")</f>
        <v/>
      </c>
      <c r="AN90" s="518" t="str">
        <f>IF(AND(_2="B-767-400ER",'2026'!$F$4="CA",'2026'!$F$2=AN81),'2026DATA'!$K$11,"")</f>
        <v/>
      </c>
      <c r="AO90" s="518" t="str">
        <f>IF(AND(_2="B-767-400ER",'2026'!$F$4="CA",'2026'!$F$2=AO81),'2026DATA'!$L$11,"")</f>
        <v/>
      </c>
      <c r="AP90" s="518" t="str">
        <f>IF(AND(_2="B-767-400ER",'2026'!$F$4="CA",'2026'!$F$2=AP81),'2026DATA'!$M$11,"")</f>
        <v/>
      </c>
      <c r="AQ90" s="520" t="str">
        <f>IF(AND(_2="B-767-400ER",'2026'!$F$4="CA",'2026'!$F$2=AQ81),'2026DATA'!$N$11,"")</f>
        <v/>
      </c>
      <c r="AR90" s="940" t="s">
        <v>42</v>
      </c>
      <c r="AS90" s="13" t="s">
        <v>61</v>
      </c>
      <c r="AT90" s="518" t="str">
        <f>IF(AND(_3="B-767-400ER",'2026'!$F$4="CA",'2026'!$F$2=AT81),'2026DATA'!$C$11,"")</f>
        <v/>
      </c>
      <c r="AU90" s="518" t="str">
        <f>IF(AND(_3="B-767-400ER",'2026'!$F$4="CA",'2026'!$F$2=AU81),'2026DATA'!$D$11,"")</f>
        <v/>
      </c>
      <c r="AV90" s="518" t="str">
        <f>IF(AND(_3="B-767-400ER",'2026'!$F$4="CA",'2026'!$F$2=AV81),'2026DATA'!$E$11,"")</f>
        <v/>
      </c>
      <c r="AW90" s="518" t="str">
        <f>IF(AND(_3="B-767-400ER",'2026'!$F$4="CA",'2026'!$F$2=AW81),'2026DATA'!$F$11,"")</f>
        <v/>
      </c>
      <c r="AX90" s="518" t="str">
        <f>IF(AND(_3="B-767-400ER",'2026'!$F$4="CA",'2026'!$F$2=AX81),'2026DATA'!$G$11,"")</f>
        <v/>
      </c>
      <c r="AY90" s="518" t="str">
        <f>IF(AND(_3="B-767-400ER",'2026'!$F$4="CA",'2026'!$F$2=AY81),'2026DATA'!$H$11,"")</f>
        <v/>
      </c>
      <c r="AZ90" s="518" t="str">
        <f>IF(AND(_3="B-767-400ER",'2026'!$F$4="CA",'2026'!$F$2=AZ81),'2026DATA'!$I$11,"")</f>
        <v/>
      </c>
      <c r="BA90" s="518" t="str">
        <f>IF(AND(_3="B-767-400ER",'2026'!$F$4="CA",'2026'!$F$2=BA81),'2026DATA'!$J$11,"")</f>
        <v/>
      </c>
      <c r="BB90" s="518" t="str">
        <f>IF(AND(_3="B-767-400ER",'2026'!$F$4="CA",'2026'!$F$2=BB81),'2026DATA'!$K$11,"")</f>
        <v/>
      </c>
      <c r="BC90" s="518" t="str">
        <f>IF(AND(_3="B-767-400ER",'2026'!$F$4="CA",'2026'!$F$2=BC81),'2026DATA'!$L$11,"")</f>
        <v/>
      </c>
      <c r="BD90" s="518" t="str">
        <f>IF(AND(_3="B-767-400ER",'2026'!$F$4="CA",'2026'!$F$2=BD81),'2026DATA'!$M$11,"")</f>
        <v/>
      </c>
      <c r="BE90" s="520" t="str">
        <f>IF(AND(_3="B-767-400ER",'2026'!$F$4="CA",'2026'!$F$2=BE81),'2026DATA'!$N$11,"")</f>
        <v/>
      </c>
      <c r="BF90" s="940" t="s">
        <v>42</v>
      </c>
      <c r="BG90" s="13" t="s">
        <v>61</v>
      </c>
      <c r="BH90" s="518" t="str">
        <f>IF(AND(_4="B-767-400ER",'2026'!$F$4="CA",'2026'!$F$2=BH81),'2026DATA'!$C$11,"")</f>
        <v/>
      </c>
      <c r="BI90" s="518" t="str">
        <f>IF(AND(_4="B-767-400ER",'2026'!$F$4="CA",'2026'!$F$2=BI81),'2026DATA'!$D$11,"")</f>
        <v/>
      </c>
      <c r="BJ90" s="518" t="str">
        <f>IF(AND(_4="B-767-400ER",'2026'!$F$4="CA",'2026'!$F$2=BJ81),'2026DATA'!$E$11,"")</f>
        <v/>
      </c>
      <c r="BK90" s="518" t="str">
        <f>IF(AND(_4="B-767-400ER",'2026'!$F$4="CA",'2026'!$F$2=BK81),'2026DATA'!$F$11,"")</f>
        <v/>
      </c>
      <c r="BL90" s="518" t="str">
        <f>IF(AND(_4="B-767-400ER",'2026'!$F$4="CA",'2026'!$F$2=BL81),'2026DATA'!$G$11,"")</f>
        <v/>
      </c>
      <c r="BM90" s="518" t="str">
        <f>IF(AND(_4="B-767-400ER",'2026'!$F$4="CA",'2026'!$F$2=BM81),'2026DATA'!$H$11,"")</f>
        <v/>
      </c>
      <c r="BN90" s="518" t="str">
        <f>IF(AND(_4="B-767-400ER",'2026'!$F$4="CA",'2026'!$F$2=BN81),'2026DATA'!$I$11,"")</f>
        <v/>
      </c>
      <c r="BO90" s="518" t="str">
        <f>IF(AND(_4="B-767-400ER",'2026'!$F$4="CA",'2026'!$F$2=BO81),'2026DATA'!$J$11,"")</f>
        <v/>
      </c>
      <c r="BP90" s="518" t="str">
        <f>IF(AND(_4="B-767-400ER",'2026'!$F$4="CA",'2026'!$F$2=BP81),'2026DATA'!$K$11,"")</f>
        <v/>
      </c>
      <c r="BQ90" s="518" t="str">
        <f>IF(AND(_4="B-767-400ER",'2026'!$F$4="CA",'2026'!$F$2=BQ81),'2026DATA'!$L$11,"")</f>
        <v/>
      </c>
      <c r="BR90" s="518" t="str">
        <f>IF(AND(_4="B-767-400ER",'2026'!$F$4="CA",'2026'!$F$2=BR81),'2026DATA'!$M$11,"")</f>
        <v/>
      </c>
      <c r="BS90" s="520" t="str">
        <f>IF(AND(_4="B-767-400ER",'2026'!$F$4="CA",'2026'!$F$2=BS81),'2026DATA'!$N$11,"")</f>
        <v/>
      </c>
      <c r="BT90" s="940" t="s">
        <v>42</v>
      </c>
      <c r="BU90" s="13" t="s">
        <v>61</v>
      </c>
      <c r="BV90" s="518" t="str">
        <f>IF(AND(_5="B-767-400ER",'2026'!$F$4="CA",'2026'!$F$2=BV81),'2026DATA'!$C$11,"")</f>
        <v/>
      </c>
      <c r="BW90" s="518" t="str">
        <f>IF(AND(_5="B-767-400ER",'2026'!$F$4="CA",'2026'!$F$2=BW81),'2026DATA'!$D$11,"")</f>
        <v/>
      </c>
      <c r="BX90" s="518" t="str">
        <f>IF(AND(_5="B-767-400ER",'2026'!$F$4="CA",'2026'!$F$2=BX81),'2026DATA'!$E$11,"")</f>
        <v/>
      </c>
      <c r="BY90" s="518" t="str">
        <f>IF(AND(_5="B-767-400ER",'2026'!$F$4="CA",'2026'!$F$2=BY81),'2026DATA'!$F$11,"")</f>
        <v/>
      </c>
      <c r="BZ90" s="518" t="str">
        <f>IF(AND(_5="B-767-400ER",'2026'!$F$4="CA",'2026'!$F$2=BZ81),'2026DATA'!$G$11,"")</f>
        <v/>
      </c>
      <c r="CA90" s="518" t="str">
        <f>IF(AND(_5="B-767-400ER",'2026'!$F$4="CA",'2026'!$F$2=CA81),'2026DATA'!$H$11,"")</f>
        <v/>
      </c>
      <c r="CB90" s="518" t="str">
        <f>IF(AND(_5="B-767-400ER",'2026'!$F$4="CA",'2026'!$F$2=CB81),'2026DATA'!$I$11,"")</f>
        <v/>
      </c>
      <c r="CC90" s="518" t="str">
        <f>IF(AND(_5="B-767-400ER",'2026'!$F$4="CA",'2026'!$F$2=CC81),'2026DATA'!$J$11,"")</f>
        <v/>
      </c>
      <c r="CD90" s="518" t="str">
        <f>IF(AND(_5="B-767-400ER",'2026'!$F$4="CA",'2026'!$F$2=CD81),'2026DATA'!$K$11,"")</f>
        <v/>
      </c>
      <c r="CE90" s="518" t="str">
        <f>IF(AND(_5="B-767-400ER",'2026'!$F$4="CA",'2026'!$F$2=CE81),'2026DATA'!$L$11,"")</f>
        <v/>
      </c>
      <c r="CF90" s="518" t="str">
        <f>IF(AND(_5="B-767-400ER",'2026'!$F$4="CA",'2026'!$F$2=CF81),'2026DATA'!$M$11,"")</f>
        <v/>
      </c>
      <c r="CG90" s="520" t="str">
        <f>IF(AND(_5="B-767-400ER",'2026'!$F$4="CA",'2026'!$F$2=CG81),'2026DATA'!$N$11,"")</f>
        <v/>
      </c>
      <c r="CH90" s="940" t="s">
        <v>42</v>
      </c>
      <c r="CI90" s="13" t="s">
        <v>61</v>
      </c>
      <c r="CJ90" s="518" t="str">
        <f>IF(AND(_6="B-767-400ER",'2026'!$F$4="CA",'2026'!$F$2=CJ81),'2026DATA'!$C$11,"")</f>
        <v/>
      </c>
      <c r="CK90" s="518" t="str">
        <f>IF(AND(_6="B-767-400ER",'2026'!$F$4="CA",'2026'!$F$2=CK81),'2026DATA'!$D$11,"")</f>
        <v/>
      </c>
      <c r="CL90" s="518" t="str">
        <f>IF(AND(_6="B-767-400ER",'2026'!$F$4="CA",'2026'!$F$2=CL81),'2026DATA'!$E$11,"")</f>
        <v/>
      </c>
      <c r="CM90" s="518" t="str">
        <f>IF(AND(_6="B-767-400ER",'2026'!$F$4="CA",'2026'!$F$2=CM81),'2026DATA'!$F$11,"")</f>
        <v/>
      </c>
      <c r="CN90" s="518" t="str">
        <f>IF(AND(_6="B-767-400ER",'2026'!$F$4="CA",'2026'!$F$2=CN81),'2026DATA'!$G$11,"")</f>
        <v/>
      </c>
      <c r="CO90" s="518" t="str">
        <f>IF(AND(_6="B-767-400ER",'2026'!$F$4="CA",'2026'!$F$2=CO81),'2026DATA'!$H$11,"")</f>
        <v/>
      </c>
      <c r="CP90" s="518" t="str">
        <f>IF(AND(_6="B-767-400ER",'2026'!$F$4="CA",'2026'!$F$2=CP81),'2026DATA'!$I$11,"")</f>
        <v/>
      </c>
      <c r="CQ90" s="518" t="str">
        <f>IF(AND(_6="B-767-400ER",'2026'!$F$4="CA",'2026'!$F$2=CQ81),'2026DATA'!$J$11,"")</f>
        <v/>
      </c>
      <c r="CR90" s="518" t="str">
        <f>IF(AND(_6="B-767-400ER",'2026'!$F$4="CA",'2026'!$F$2=CR81),'2026DATA'!$K$11,"")</f>
        <v/>
      </c>
      <c r="CS90" s="518" t="str">
        <f>IF(AND(_6="B-767-400ER",'2026'!$F$4="CA",'2026'!$F$2=CS81),'2026DATA'!$L$11,"")</f>
        <v/>
      </c>
      <c r="CT90" s="518" t="str">
        <f>IF(AND(_6="B-767-400ER",'2026'!$F$4="CA",'2026'!$F$2=CT81),'2026DATA'!$M$11,"")</f>
        <v/>
      </c>
      <c r="CU90" s="520" t="str">
        <f>IF(AND(_6="B-767-400ER",'2026'!$F$4="CA",'2026'!$F$2=CU81),'2026DATA'!$N$11,"")</f>
        <v/>
      </c>
    </row>
    <row r="91" spans="16:99" x14ac:dyDescent="0.25">
      <c r="P91" s="940"/>
      <c r="Q91" s="13" t="s">
        <v>62</v>
      </c>
      <c r="R91" s="518" t="str">
        <f>IF(AND(_1="B-767-400ER",'2026'!$F$4="FO",'2026'!$F$2=R81),'2026DATA'!$C$12,"")</f>
        <v/>
      </c>
      <c r="S91" s="518" t="str">
        <f>IF(AND(_1="B-767-400ER",'2026'!$F$4="FO",'2026'!$F$2=S81),'2026DATA'!$D$12,"")</f>
        <v/>
      </c>
      <c r="T91" s="518" t="str">
        <f>IF(AND(_1="B-767-400ER",'2026'!$F$4="FO",'2026'!$F$2=T81),'2026DATA'!$E$12,"")</f>
        <v/>
      </c>
      <c r="U91" s="518" t="str">
        <f>IF(AND(_1="B-767-400ER",'2026'!$F$4="FO",'2026'!$F$2=U81),'2026DATA'!$F$12,"")</f>
        <v/>
      </c>
      <c r="V91" s="518" t="str">
        <f>IF(AND(_1="B-767-400ER",'2026'!$F$4="FO",'2026'!$F$2=V81),'2026DATA'!$G$12,"")</f>
        <v/>
      </c>
      <c r="W91" s="518" t="str">
        <f>IF(AND(_1="B-767-400ER",'2026'!$F$4="FO",'2026'!$F$2=W81),'2026DATA'!$H$12,"")</f>
        <v/>
      </c>
      <c r="X91" s="518" t="str">
        <f>IF(AND(_1="B-767-400ER",'2026'!$F$4="FO",'2026'!$F$2=X81),'2026DATA'!$I$12,"")</f>
        <v/>
      </c>
      <c r="Y91" s="518" t="str">
        <f>IF(AND(_1="B-767-400ER",'2026'!$F$4="FO",'2026'!$F$2=Y81),'2026DATA'!$J$12,"")</f>
        <v/>
      </c>
      <c r="Z91" s="518" t="str">
        <f>IF(AND(_1="B-767-400ER",'2026'!$F$4="FO",'2026'!$F$2=Z81),'2026DATA'!$K$12,"")</f>
        <v/>
      </c>
      <c r="AA91" s="518" t="str">
        <f>IF(AND(_1="B-767-400ER",'2026'!$F$4="FO",'2026'!$F$2=AA81),'2026DATA'!$L$12,"")</f>
        <v/>
      </c>
      <c r="AB91" s="518" t="str">
        <f>IF(AND(_1="B-767-400ER",'2026'!$F$4="FO",'2026'!$F$2=AB81),'2026DATA'!$M$12,"")</f>
        <v/>
      </c>
      <c r="AC91" s="520" t="str">
        <f>IF(AND(_1="B-767-400ER",'2026'!$F$4="FO",'2026'!$F$2=AC81),'2026DATA'!$N$12,"")</f>
        <v/>
      </c>
      <c r="AD91" s="940"/>
      <c r="AE91" s="13" t="s">
        <v>62</v>
      </c>
      <c r="AF91" s="518" t="str">
        <f>IF(AND(_2="B-767-400ER",'2026'!$F$4="FO",'2026'!$F$2=AF81),'2026DATA'!$C$12,"")</f>
        <v/>
      </c>
      <c r="AG91" s="518" t="str">
        <f>IF(AND(_2="B-767-400ER",'2026'!$F$4="FO",'2026'!$F$2=AG81),'2026DATA'!$D$12,"")</f>
        <v/>
      </c>
      <c r="AH91" s="518" t="str">
        <f>IF(AND(_2="B-767-400ER",'2026'!$F$4="FO",'2026'!$F$2=AH81),'2026DATA'!$E$12,"")</f>
        <v/>
      </c>
      <c r="AI91" s="518" t="str">
        <f>IF(AND(_2="B-767-400ER",'2026'!$F$4="FO",'2026'!$F$2=AI81),'2026DATA'!$F$12,"")</f>
        <v/>
      </c>
      <c r="AJ91" s="518" t="str">
        <f>IF(AND(_2="B-767-400ER",'2026'!$F$4="FO",'2026'!$F$2=AJ81),'2026DATA'!$G$12,"")</f>
        <v/>
      </c>
      <c r="AK91" s="518" t="str">
        <f>IF(AND(_2="B-767-400ER",'2026'!$F$4="FO",'2026'!$F$2=AK81),'2026DATA'!$H$12,"")</f>
        <v/>
      </c>
      <c r="AL91" s="518" t="str">
        <f>IF(AND(_2="B-767-400ER",'2026'!$F$4="FO",'2026'!$F$2=AL81),'2026DATA'!$I$12,"")</f>
        <v/>
      </c>
      <c r="AM91" s="518" t="str">
        <f>IF(AND(_2="B-767-400ER",'2026'!$F$4="FO",'2026'!$F$2=AM81),'2026DATA'!$J$12,"")</f>
        <v/>
      </c>
      <c r="AN91" s="518" t="str">
        <f>IF(AND(_2="B-767-400ER",'2026'!$F$4="FO",'2026'!$F$2=AN81),'2026DATA'!$K$12,"")</f>
        <v/>
      </c>
      <c r="AO91" s="518" t="str">
        <f>IF(AND(_2="B-767-400ER",'2026'!$F$4="FO",'2026'!$F$2=AO81),'2026DATA'!$L$12,"")</f>
        <v/>
      </c>
      <c r="AP91" s="518" t="str">
        <f>IF(AND(_2="B-767-400ER",'2026'!$F$4="FO",'2026'!$F$2=AP81),'2026DATA'!$M$12,"")</f>
        <v/>
      </c>
      <c r="AQ91" s="520" t="str">
        <f>IF(AND(_2="B-767-400ER",'2026'!$F$4="FO",'2026'!$F$2=AQ81),'2026DATA'!$N$12,"")</f>
        <v/>
      </c>
      <c r="AR91" s="940"/>
      <c r="AS91" s="13" t="s">
        <v>62</v>
      </c>
      <c r="AT91" s="518" t="str">
        <f>IF(AND(_3="B-767-400ER",'2026'!$F$4="FO",'2026'!$F$2=AT81),'2026DATA'!$C$12,"")</f>
        <v/>
      </c>
      <c r="AU91" s="518" t="str">
        <f>IF(AND(_3="B-767-400ER",'2026'!$F$4="FO",'2026'!$F$2=AU81),'2026DATA'!$D$12,"")</f>
        <v/>
      </c>
      <c r="AV91" s="518" t="str">
        <f>IF(AND(_3="B-767-400ER",'2026'!$F$4="FO",'2026'!$F$2=AV81),'2026DATA'!$E$12,"")</f>
        <v/>
      </c>
      <c r="AW91" s="518" t="str">
        <f>IF(AND(_3="B-767-400ER",'2026'!$F$4="FO",'2026'!$F$2=AW81),'2026DATA'!$F$12,"")</f>
        <v/>
      </c>
      <c r="AX91" s="518" t="str">
        <f>IF(AND(_3="B-767-400ER",'2026'!$F$4="FO",'2026'!$F$2=AX81),'2026DATA'!$G$12,"")</f>
        <v/>
      </c>
      <c r="AY91" s="518" t="str">
        <f>IF(AND(_3="B-767-400ER",'2026'!$F$4="FO",'2026'!$F$2=AY81),'2026DATA'!$H$12,"")</f>
        <v/>
      </c>
      <c r="AZ91" s="518" t="str">
        <f>IF(AND(_3="B-767-400ER",'2026'!$F$4="FO",'2026'!$F$2=AZ81),'2026DATA'!$I$12,"")</f>
        <v/>
      </c>
      <c r="BA91" s="518" t="str">
        <f>IF(AND(_3="B-767-400ER",'2026'!$F$4="FO",'2026'!$F$2=BA81),'2026DATA'!$J$12,"")</f>
        <v/>
      </c>
      <c r="BB91" s="518" t="str">
        <f>IF(AND(_3="B-767-400ER",'2026'!$F$4="FO",'2026'!$F$2=BB81),'2026DATA'!$K$12,"")</f>
        <v/>
      </c>
      <c r="BC91" s="518" t="str">
        <f>IF(AND(_3="B-767-400ER",'2026'!$F$4="FO",'2026'!$F$2=BC81),'2026DATA'!$L$12,"")</f>
        <v/>
      </c>
      <c r="BD91" s="518" t="str">
        <f>IF(AND(_3="B-767-400ER",'2026'!$F$4="FO",'2026'!$F$2=BD81),'2026DATA'!$M$12,"")</f>
        <v/>
      </c>
      <c r="BE91" s="520" t="str">
        <f>IF(AND(_3="B-767-400ER",'2026'!$F$4="FO",'2026'!$F$2=BE81),'2026DATA'!$N$12,"")</f>
        <v/>
      </c>
      <c r="BF91" s="940"/>
      <c r="BG91" s="13" t="s">
        <v>62</v>
      </c>
      <c r="BH91" s="518" t="str">
        <f>IF(AND(_4="B-767-400ER",'2026'!$F$4="FO",'2026'!$F$2=BH81),'2026DATA'!$C$12,"")</f>
        <v/>
      </c>
      <c r="BI91" s="518" t="str">
        <f>IF(AND(_4="B-767-400ER",'2026'!$F$4="FO",'2026'!$F$2=BI81),'2026DATA'!$D$12,"")</f>
        <v/>
      </c>
      <c r="BJ91" s="518" t="str">
        <f>IF(AND(_4="B-767-400ER",'2026'!$F$4="FO",'2026'!$F$2=BJ81),'2026DATA'!$E$12,"")</f>
        <v/>
      </c>
      <c r="BK91" s="518" t="str">
        <f>IF(AND(_4="B-767-400ER",'2026'!$F$4="FO",'2026'!$F$2=BK81),'2026DATA'!$F$12,"")</f>
        <v/>
      </c>
      <c r="BL91" s="518" t="str">
        <f>IF(AND(_4="B-767-400ER",'2026'!$F$4="FO",'2026'!$F$2=BL81),'2026DATA'!$G$12,"")</f>
        <v/>
      </c>
      <c r="BM91" s="518" t="str">
        <f>IF(AND(_4="B-767-400ER",'2026'!$F$4="FO",'2026'!$F$2=BM81),'2026DATA'!$H$12,"")</f>
        <v/>
      </c>
      <c r="BN91" s="518" t="str">
        <f>IF(AND(_4="B-767-400ER",'2026'!$F$4="FO",'2026'!$F$2=BN81),'2026DATA'!$I$12,"")</f>
        <v/>
      </c>
      <c r="BO91" s="518" t="str">
        <f>IF(AND(_4="B-767-400ER",'2026'!$F$4="FO",'2026'!$F$2=BO81),'2026DATA'!$J$12,"")</f>
        <v/>
      </c>
      <c r="BP91" s="518" t="str">
        <f>IF(AND(_4="B-767-400ER",'2026'!$F$4="FO",'2026'!$F$2=BP81),'2026DATA'!$K$12,"")</f>
        <v/>
      </c>
      <c r="BQ91" s="518" t="str">
        <f>IF(AND(_4="B-767-400ER",'2026'!$F$4="FO",'2026'!$F$2=BQ81),'2026DATA'!$L$12,"")</f>
        <v/>
      </c>
      <c r="BR91" s="518" t="str">
        <f>IF(AND(_4="B-767-400ER",'2026'!$F$4="FO",'2026'!$F$2=BR81),'2026DATA'!$M$12,"")</f>
        <v/>
      </c>
      <c r="BS91" s="520" t="str">
        <f>IF(AND(_4="B-767-400ER",'2026'!$F$4="FO",'2026'!$F$2=BS81),'2026DATA'!$N$12,"")</f>
        <v/>
      </c>
      <c r="BT91" s="940"/>
      <c r="BU91" s="13" t="s">
        <v>62</v>
      </c>
      <c r="BV91" s="518" t="str">
        <f>IF(AND(_5="B-767-400ER",'2026'!$F$4="FO",'2026'!$F$2=BV81),'2026DATA'!$C$12,"")</f>
        <v/>
      </c>
      <c r="BW91" s="518" t="str">
        <f>IF(AND(_5="B-767-400ER",'2026'!$F$4="FO",'2026'!$F$2=BW81),'2026DATA'!$D$12,"")</f>
        <v/>
      </c>
      <c r="BX91" s="518" t="str">
        <f>IF(AND(_5="B-767-400ER",'2026'!$F$4="FO",'2026'!$F$2=BX81),'2026DATA'!$E$12,"")</f>
        <v/>
      </c>
      <c r="BY91" s="518" t="str">
        <f>IF(AND(_5="B-767-400ER",'2026'!$F$4="FO",'2026'!$F$2=BY81),'2026DATA'!$F$12,"")</f>
        <v/>
      </c>
      <c r="BZ91" s="518" t="str">
        <f>IF(AND(_5="B-767-400ER",'2026'!$F$4="FO",'2026'!$F$2=BZ81),'2026DATA'!$G$12,"")</f>
        <v/>
      </c>
      <c r="CA91" s="518" t="str">
        <f>IF(AND(_5="B-767-400ER",'2026'!$F$4="FO",'2026'!$F$2=CA81),'2026DATA'!$H$12,"")</f>
        <v/>
      </c>
      <c r="CB91" s="518" t="str">
        <f>IF(AND(_5="B-767-400ER",'2026'!$F$4="FO",'2026'!$F$2=CB81),'2026DATA'!$I$12,"")</f>
        <v/>
      </c>
      <c r="CC91" s="518" t="str">
        <f>IF(AND(_5="B-767-400ER",'2026'!$F$4="FO",'2026'!$F$2=CC81),'2026DATA'!$J$12,"")</f>
        <v/>
      </c>
      <c r="CD91" s="518" t="str">
        <f>IF(AND(_5="B-767-400ER",'2026'!$F$4="FO",'2026'!$F$2=CD81),'2026DATA'!$K$12,"")</f>
        <v/>
      </c>
      <c r="CE91" s="518" t="str">
        <f>IF(AND(_5="B-767-400ER",'2026'!$F$4="FO",'2026'!$F$2=CE81),'2026DATA'!$L$12,"")</f>
        <v/>
      </c>
      <c r="CF91" s="518" t="str">
        <f>IF(AND(_5="B-767-400ER",'2026'!$F$4="FO",'2026'!$F$2=CF81),'2026DATA'!$M$12,"")</f>
        <v/>
      </c>
      <c r="CG91" s="520" t="str">
        <f>IF(AND(_5="B-767-400ER",'2026'!$F$4="FO",'2026'!$F$2=CG81),'2026DATA'!$N$12,"")</f>
        <v/>
      </c>
      <c r="CH91" s="940"/>
      <c r="CI91" s="13" t="s">
        <v>62</v>
      </c>
      <c r="CJ91" s="518" t="str">
        <f>IF(AND(_6="B-767-400ER",'2026'!$F$4="FO",'2026'!$F$2=CJ81),'2026DATA'!$C$12,"")</f>
        <v/>
      </c>
      <c r="CK91" s="518" t="str">
        <f>IF(AND(_6="B-767-400ER",'2026'!$F$4="FO",'2026'!$F$2=CK81),'2026DATA'!$D$12,"")</f>
        <v/>
      </c>
      <c r="CL91" s="518" t="str">
        <f>IF(AND(_6="B-767-400ER",'2026'!$F$4="FO",'2026'!$F$2=CL81),'2026DATA'!$E$12,"")</f>
        <v/>
      </c>
      <c r="CM91" s="518" t="str">
        <f>IF(AND(_6="B-767-400ER",'2026'!$F$4="FO",'2026'!$F$2=CM81),'2026DATA'!$F$12,"")</f>
        <v/>
      </c>
      <c r="CN91" s="518" t="str">
        <f>IF(AND(_6="B-767-400ER",'2026'!$F$4="FO",'2026'!$F$2=CN81),'2026DATA'!$G$12,"")</f>
        <v/>
      </c>
      <c r="CO91" s="518" t="str">
        <f>IF(AND(_6="B-767-400ER",'2026'!$F$4="FO",'2026'!$F$2=CO81),'2026DATA'!$H$12,"")</f>
        <v/>
      </c>
      <c r="CP91" s="518" t="str">
        <f>IF(AND(_6="B-767-400ER",'2026'!$F$4="FO",'2026'!$F$2=CP81),'2026DATA'!$I$12,"")</f>
        <v/>
      </c>
      <c r="CQ91" s="518" t="str">
        <f>IF(AND(_6="B-767-400ER",'2026'!$F$4="FO",'2026'!$F$2=CQ81),'2026DATA'!$J$12,"")</f>
        <v/>
      </c>
      <c r="CR91" s="518" t="str">
        <f>IF(AND(_6="B-767-400ER",'2026'!$F$4="FO",'2026'!$F$2=CR81),'2026DATA'!$K$12,"")</f>
        <v/>
      </c>
      <c r="CS91" s="518" t="str">
        <f>IF(AND(_6="B-767-400ER",'2026'!$F$4="FO",'2026'!$F$2=CS81),'2026DATA'!$L$12,"")</f>
        <v/>
      </c>
      <c r="CT91" s="518" t="str">
        <f>IF(AND(_6="B-767-400ER",'2026'!$F$4="FO",'2026'!$F$2=CT81),'2026DATA'!$M$12,"")</f>
        <v/>
      </c>
      <c r="CU91" s="520" t="str">
        <f>IF(AND(_6="B-767-400ER",'2026'!$F$4="FO",'2026'!$F$2=CU81),'2026DATA'!$N$12,"")</f>
        <v/>
      </c>
    </row>
    <row r="92" spans="16:99" x14ac:dyDescent="0.25">
      <c r="P92" s="940" t="s">
        <v>43</v>
      </c>
      <c r="Q92" s="13" t="s">
        <v>61</v>
      </c>
      <c r="R92" s="518" t="str">
        <f>IF(AND(_1="B-767-300ER",'2026'!$F$4="CA",'2026'!$F$2=R81),'2026DATA'!$C$13,"")</f>
        <v/>
      </c>
      <c r="S92" s="518" t="str">
        <f>IF(AND(_1="B-767-300ER",'2026'!$F$4="CA",'2026'!$F$2=S81),'2026DATA'!$D$13,"")</f>
        <v/>
      </c>
      <c r="T92" s="518" t="str">
        <f>IF(AND(_1="B-767-300ER",'2026'!$F$4="CA",'2026'!$F$2=T81),'2026DATA'!$E$13,"")</f>
        <v/>
      </c>
      <c r="U92" s="518" t="str">
        <f>IF(AND(_1="B-767-300ER",'2026'!$F$4="CA",'2026'!$F$2=U81),'2026DATA'!$F$13,"")</f>
        <v/>
      </c>
      <c r="V92" s="518" t="str">
        <f>IF(AND(_1="B-767-300ER",'2026'!$F$4="CA",'2026'!$F$2=V81),'2026DATA'!$G$13,"")</f>
        <v/>
      </c>
      <c r="W92" s="518" t="str">
        <f>IF(AND(_1="B-767-300ER",'2026'!$F$4="CA",'2026'!$F$2=W81),'2026DATA'!$H$13,"")</f>
        <v/>
      </c>
      <c r="X92" s="518" t="str">
        <f>IF(AND(_1="B-767-300ER",'2026'!$F$4="CA",'2026'!$F$2=X81),'2026DATA'!$I$13,"")</f>
        <v/>
      </c>
      <c r="Y92" s="518" t="str">
        <f>IF(AND(_1="B-767-300ER",'2026'!$F$4="CA",'2026'!$F$2=Y81),'2026DATA'!$J$13,"")</f>
        <v/>
      </c>
      <c r="Z92" s="518" t="str">
        <f>IF(AND(_1="B-767-300ER",'2026'!$F$4="CA",'2026'!$F$2=Z81),'2026DATA'!$K$13,"")</f>
        <v/>
      </c>
      <c r="AA92" s="518" t="str">
        <f>IF(AND(_1="B-767-300ER",'2026'!$F$4="CA",'2026'!$F$2=AA81),'2026DATA'!$L$13,"")</f>
        <v/>
      </c>
      <c r="AB92" s="518" t="str">
        <f>IF(AND(_1="B-767-300ER",'2026'!$F$4="CA",'2026'!$F$2=AB81),'2026DATA'!$M$13,"")</f>
        <v/>
      </c>
      <c r="AC92" s="520" t="str">
        <f>IF(AND(_1="B-767-300ER",'2026'!$F$4="CA",'2026'!$F$2=AC81),'2026DATA'!$N$13,"")</f>
        <v/>
      </c>
      <c r="AD92" s="940" t="s">
        <v>43</v>
      </c>
      <c r="AE92" s="13" t="s">
        <v>61</v>
      </c>
      <c r="AF92" s="518" t="str">
        <f>IF(AND(_2="B-767-300ER",'2026'!$F$4="CA",'2026'!$F$2=AF81),'2026DATA'!$C$13,"")</f>
        <v/>
      </c>
      <c r="AG92" s="518" t="str">
        <f>IF(AND(_2="B-767-300ER",'2026'!$F$4="CA",'2026'!$F$2=AG81),'2026DATA'!$D$13,"")</f>
        <v/>
      </c>
      <c r="AH92" s="518" t="str">
        <f>IF(AND(_2="B-767-300ER",'2026'!$F$4="CA",'2026'!$F$2=AH81),'2026DATA'!$E$13,"")</f>
        <v/>
      </c>
      <c r="AI92" s="518" t="str">
        <f>IF(AND(_2="B-767-300ER",'2026'!$F$4="CA",'2026'!$F$2=AI81),'2026DATA'!$F$13,"")</f>
        <v/>
      </c>
      <c r="AJ92" s="518" t="str">
        <f>IF(AND(_2="B-767-300ER",'2026'!$F$4="CA",'2026'!$F$2=AJ81),'2026DATA'!$G$13,"")</f>
        <v/>
      </c>
      <c r="AK92" s="518" t="str">
        <f>IF(AND(_2="B-767-300ER",'2026'!$F$4="CA",'2026'!$F$2=AK81),'2026DATA'!$H$13,"")</f>
        <v/>
      </c>
      <c r="AL92" s="518" t="str">
        <f>IF(AND(_2="B-767-300ER",'2026'!$F$4="CA",'2026'!$F$2=AL81),'2026DATA'!$I$13,"")</f>
        <v/>
      </c>
      <c r="AM92" s="518" t="str">
        <f>IF(AND(_2="B-767-300ER",'2026'!$F$4="CA",'2026'!$F$2=AM81),'2026DATA'!$J$13,"")</f>
        <v/>
      </c>
      <c r="AN92" s="518" t="str">
        <f>IF(AND(_2="B-767-300ER",'2026'!$F$4="CA",'2026'!$F$2=AN81),'2026DATA'!$K$13,"")</f>
        <v/>
      </c>
      <c r="AO92" s="518" t="str">
        <f>IF(AND(_2="B-767-300ER",'2026'!$F$4="CA",'2026'!$F$2=AO81),'2026DATA'!$L$13,"")</f>
        <v/>
      </c>
      <c r="AP92" s="518" t="str">
        <f>IF(AND(_2="B-767-300ER",'2026'!$F$4="CA",'2026'!$F$2=AP81),'2026DATA'!$M$13,"")</f>
        <v/>
      </c>
      <c r="AQ92" s="520" t="str">
        <f>IF(AND(_2="B-767-300ER",'2026'!$F$4="CA",'2026'!$F$2=AQ81),'2026DATA'!$N$13,"")</f>
        <v/>
      </c>
      <c r="AR92" s="940" t="s">
        <v>43</v>
      </c>
      <c r="AS92" s="13" t="s">
        <v>61</v>
      </c>
      <c r="AT92" s="518" t="str">
        <f>IF(AND(_3="B-767-300ER",'2026'!$F$4="CA",'2026'!$F$2=AT81),'2026DATA'!$C$13,"")</f>
        <v/>
      </c>
      <c r="AU92" s="518" t="str">
        <f>IF(AND(_3="B-767-300ER",'2026'!$F$4="CA",'2026'!$F$2=AU81),'2026DATA'!$D$13,"")</f>
        <v/>
      </c>
      <c r="AV92" s="518" t="str">
        <f>IF(AND(_3="B-767-300ER",'2026'!$F$4="CA",'2026'!$F$2=AV81),'2026DATA'!$E$13,"")</f>
        <v/>
      </c>
      <c r="AW92" s="518" t="str">
        <f>IF(AND(_3="B-767-300ER",'2026'!$F$4="CA",'2026'!$F$2=AW81),'2026DATA'!$F$13,"")</f>
        <v/>
      </c>
      <c r="AX92" s="518" t="str">
        <f>IF(AND(_3="B-767-300ER",'2026'!$F$4="CA",'2026'!$F$2=AX81),'2026DATA'!$G$13,"")</f>
        <v/>
      </c>
      <c r="AY92" s="518" t="str">
        <f>IF(AND(_3="B-767-300ER",'2026'!$F$4="CA",'2026'!$F$2=AY81),'2026DATA'!$H$13,"")</f>
        <v/>
      </c>
      <c r="AZ92" s="518" t="str">
        <f>IF(AND(_3="B-767-300ER",'2026'!$F$4="CA",'2026'!$F$2=AZ81),'2026DATA'!$I$13,"")</f>
        <v/>
      </c>
      <c r="BA92" s="518" t="str">
        <f>IF(AND(_3="B-767-300ER",'2026'!$F$4="CA",'2026'!$F$2=BA81),'2026DATA'!$J$13,"")</f>
        <v/>
      </c>
      <c r="BB92" s="518" t="str">
        <f>IF(AND(_3="B-767-300ER",'2026'!$F$4="CA",'2026'!$F$2=BB81),'2026DATA'!$K$13,"")</f>
        <v/>
      </c>
      <c r="BC92" s="518" t="str">
        <f>IF(AND(_3="B-767-300ER",'2026'!$F$4="CA",'2026'!$F$2=BC81),'2026DATA'!$L$13,"")</f>
        <v/>
      </c>
      <c r="BD92" s="518" t="str">
        <f>IF(AND(_3="B-767-300ER",'2026'!$F$4="CA",'2026'!$F$2=BD81),'2026DATA'!$M$13,"")</f>
        <v/>
      </c>
      <c r="BE92" s="520" t="str">
        <f>IF(AND(_3="B-767-300ER",'2026'!$F$4="CA",'2026'!$F$2=BE81),'2026DATA'!$N$13,"")</f>
        <v/>
      </c>
      <c r="BF92" s="940" t="s">
        <v>43</v>
      </c>
      <c r="BG92" s="13" t="s">
        <v>61</v>
      </c>
      <c r="BH92" s="518" t="str">
        <f>IF(AND(_4="B-767-300ER",'2026'!$F$4="CA",'2026'!$F$2=BH81),'2026DATA'!$C$13,"")</f>
        <v/>
      </c>
      <c r="BI92" s="518" t="str">
        <f>IF(AND(_4="B-767-300ER",'2026'!$F$4="CA",'2026'!$F$2=BI81),'2026DATA'!$D$13,"")</f>
        <v/>
      </c>
      <c r="BJ92" s="518" t="str">
        <f>IF(AND(_4="B-767-300ER",'2026'!$F$4="CA",'2026'!$F$2=BJ81),'2026DATA'!$E$13,"")</f>
        <v/>
      </c>
      <c r="BK92" s="518" t="str">
        <f>IF(AND(_4="B-767-300ER",'2026'!$F$4="CA",'2026'!$F$2=BK81),'2026DATA'!$F$13,"")</f>
        <v/>
      </c>
      <c r="BL92" s="518" t="str">
        <f>IF(AND(_4="B-767-300ER",'2026'!$F$4="CA",'2026'!$F$2=BL81),'2026DATA'!$G$13,"")</f>
        <v/>
      </c>
      <c r="BM92" s="518" t="str">
        <f>IF(AND(_4="B-767-300ER",'2026'!$F$4="CA",'2026'!$F$2=BM81),'2026DATA'!$H$13,"")</f>
        <v/>
      </c>
      <c r="BN92" s="518" t="str">
        <f>IF(AND(_4="B-767-300ER",'2026'!$F$4="CA",'2026'!$F$2=BN81),'2026DATA'!$I$13,"")</f>
        <v/>
      </c>
      <c r="BO92" s="518" t="str">
        <f>IF(AND(_4="B-767-300ER",'2026'!$F$4="CA",'2026'!$F$2=BO81),'2026DATA'!$J$13,"")</f>
        <v/>
      </c>
      <c r="BP92" s="518" t="str">
        <f>IF(AND(_4="B-767-300ER",'2026'!$F$4="CA",'2026'!$F$2=BP81),'2026DATA'!$K$13,"")</f>
        <v/>
      </c>
      <c r="BQ92" s="518" t="str">
        <f>IF(AND(_4="B-767-300ER",'2026'!$F$4="CA",'2026'!$F$2=BQ81),'2026DATA'!$L$13,"")</f>
        <v/>
      </c>
      <c r="BR92" s="518" t="str">
        <f>IF(AND(_4="B-767-300ER",'2026'!$F$4="CA",'2026'!$F$2=BR81),'2026DATA'!$M$13,"")</f>
        <v/>
      </c>
      <c r="BS92" s="520" t="str">
        <f>IF(AND(_4="B-767-300ER",'2026'!$F$4="CA",'2026'!$F$2=BS81),'2026DATA'!$N$13,"")</f>
        <v/>
      </c>
      <c r="BT92" s="940" t="s">
        <v>43</v>
      </c>
      <c r="BU92" s="13" t="s">
        <v>61</v>
      </c>
      <c r="BV92" s="518" t="str">
        <f>IF(AND(_5="B-767-300ER",'2026'!$F$4="CA",'2026'!$F$2=BV81),'2026DATA'!$C$13,"")</f>
        <v/>
      </c>
      <c r="BW92" s="518" t="str">
        <f>IF(AND(_5="B-767-300ER",'2026'!$F$4="CA",'2026'!$F$2=BW81),'2026DATA'!$D$13,"")</f>
        <v/>
      </c>
      <c r="BX92" s="518" t="str">
        <f>IF(AND(_5="B-767-300ER",'2026'!$F$4="CA",'2026'!$F$2=BX81),'2026DATA'!$E$13,"")</f>
        <v/>
      </c>
      <c r="BY92" s="518" t="str">
        <f>IF(AND(_5="B-767-300ER",'2026'!$F$4="CA",'2026'!$F$2=BY81),'2026DATA'!$F$13,"")</f>
        <v/>
      </c>
      <c r="BZ92" s="518" t="str">
        <f>IF(AND(_5="B-767-300ER",'2026'!$F$4="CA",'2026'!$F$2=BZ81),'2026DATA'!$G$13,"")</f>
        <v/>
      </c>
      <c r="CA92" s="518" t="str">
        <f>IF(AND(_5="B-767-300ER",'2026'!$F$4="CA",'2026'!$F$2=CA81),'2026DATA'!$H$13,"")</f>
        <v/>
      </c>
      <c r="CB92" s="518" t="str">
        <f>IF(AND(_5="B-767-300ER",'2026'!$F$4="CA",'2026'!$F$2=CB81),'2026DATA'!$I$13,"")</f>
        <v/>
      </c>
      <c r="CC92" s="518" t="str">
        <f>IF(AND(_5="B-767-300ER",'2026'!$F$4="CA",'2026'!$F$2=CC81),'2026DATA'!$J$13,"")</f>
        <v/>
      </c>
      <c r="CD92" s="518" t="str">
        <f>IF(AND(_5="B-767-300ER",'2026'!$F$4="CA",'2026'!$F$2=CD81),'2026DATA'!$K$13,"")</f>
        <v/>
      </c>
      <c r="CE92" s="518" t="str">
        <f>IF(AND(_5="B-767-300ER",'2026'!$F$4="CA",'2026'!$F$2=CE81),'2026DATA'!$L$13,"")</f>
        <v/>
      </c>
      <c r="CF92" s="518" t="str">
        <f>IF(AND(_5="B-767-300ER",'2026'!$F$4="CA",'2026'!$F$2=CF81),'2026DATA'!$M$13,"")</f>
        <v/>
      </c>
      <c r="CG92" s="520" t="str">
        <f>IF(AND(_5="B-767-300ER",'2026'!$F$4="CA",'2026'!$F$2=CG81),'2026DATA'!$N$13,"")</f>
        <v/>
      </c>
      <c r="CH92" s="940" t="s">
        <v>43</v>
      </c>
      <c r="CI92" s="13" t="s">
        <v>61</v>
      </c>
      <c r="CJ92" s="518" t="str">
        <f>IF(AND(_6="B-767-300ER",'2026'!$F$4="CA",'2026'!$F$2=CJ81),'2026DATA'!$C$13,"")</f>
        <v/>
      </c>
      <c r="CK92" s="518" t="str">
        <f>IF(AND(_6="B-767-300ER",'2026'!$F$4="CA",'2026'!$F$2=CK81),'2026DATA'!$D$13,"")</f>
        <v/>
      </c>
      <c r="CL92" s="518" t="str">
        <f>IF(AND(_6="B-767-300ER",'2026'!$F$4="CA",'2026'!$F$2=CL81),'2026DATA'!$E$13,"")</f>
        <v/>
      </c>
      <c r="CM92" s="518" t="str">
        <f>IF(AND(_6="B-767-300ER",'2026'!$F$4="CA",'2026'!$F$2=CM81),'2026DATA'!$F$13,"")</f>
        <v/>
      </c>
      <c r="CN92" s="518" t="str">
        <f>IF(AND(_6="B-767-300ER",'2026'!$F$4="CA",'2026'!$F$2=CN81),'2026DATA'!$G$13,"")</f>
        <v/>
      </c>
      <c r="CO92" s="518" t="str">
        <f>IF(AND(_6="B-767-300ER",'2026'!$F$4="CA",'2026'!$F$2=CO81),'2026DATA'!$H$13,"")</f>
        <v/>
      </c>
      <c r="CP92" s="518" t="str">
        <f>IF(AND(_6="B-767-300ER",'2026'!$F$4="CA",'2026'!$F$2=CP81),'2026DATA'!$I$13,"")</f>
        <v/>
      </c>
      <c r="CQ92" s="518" t="str">
        <f>IF(AND(_6="B-767-300ER",'2026'!$F$4="CA",'2026'!$F$2=CQ81),'2026DATA'!$J$13,"")</f>
        <v/>
      </c>
      <c r="CR92" s="518" t="str">
        <f>IF(AND(_6="B-767-300ER",'2026'!$F$4="CA",'2026'!$F$2=CR81),'2026DATA'!$K$13,"")</f>
        <v/>
      </c>
      <c r="CS92" s="518" t="str">
        <f>IF(AND(_6="B-767-300ER",'2026'!$F$4="CA",'2026'!$F$2=CS81),'2026DATA'!$L$13,"")</f>
        <v/>
      </c>
      <c r="CT92" s="518" t="str">
        <f>IF(AND(_6="B-767-300ER",'2026'!$F$4="CA",'2026'!$F$2=CT81),'2026DATA'!$M$13,"")</f>
        <v/>
      </c>
      <c r="CU92" s="520" t="str">
        <f>IF(AND(_6="B-767-300ER",'2026'!$F$4="CA",'2026'!$F$2=CU81),'2026DATA'!$N$13,"")</f>
        <v/>
      </c>
    </row>
    <row r="93" spans="16:99" x14ac:dyDescent="0.25">
      <c r="P93" s="940"/>
      <c r="Q93" s="13" t="s">
        <v>62</v>
      </c>
      <c r="R93" s="518" t="str">
        <f>IF(AND(_1="B-767-300ER",'2026'!$F$4="FO",'2026'!$F$2=R81),'2026DATA'!$C$14,"")</f>
        <v/>
      </c>
      <c r="S93" s="518" t="str">
        <f>IF(AND(_1="B-767-300ER",'2026'!$F$4="FO",'2026'!$F$2=S81),'2026DATA'!$D$14,"")</f>
        <v/>
      </c>
      <c r="T93" s="518" t="str">
        <f>IF(AND(_1="B-767-300ER",'2026'!$F$4="FO",'2026'!$F$2=T81),'2026DATA'!$E$14,"")</f>
        <v/>
      </c>
      <c r="U93" s="518" t="str">
        <f>IF(AND(_1="B-767-300ER",'2026'!$F$4="FO",'2026'!$F$2=U81),'2026DATA'!$F$14,"")</f>
        <v/>
      </c>
      <c r="V93" s="518" t="str">
        <f>IF(AND(_1="B-767-300ER",'2026'!$F$4="FO",'2026'!$F$2=V81),'2026DATA'!$G$14,"")</f>
        <v/>
      </c>
      <c r="W93" s="518" t="str">
        <f>IF(AND(_1="B-767-300ER",'2026'!$F$4="FO",'2026'!$F$2=W81),'2026DATA'!$H$14,"")</f>
        <v/>
      </c>
      <c r="X93" s="518" t="str">
        <f>IF(AND(_1="B-767-300ER",'2026'!$F$4="FO",'2026'!$F$2=X81),'2026DATA'!$I$14,"")</f>
        <v/>
      </c>
      <c r="Y93" s="518" t="str">
        <f>IF(AND(_1="B-767-300ER",'2026'!$F$4="FO",'2026'!$F$2=Y81),'2026DATA'!$J$14,"")</f>
        <v/>
      </c>
      <c r="Z93" s="518" t="str">
        <f>IF(AND(_1="B-767-300ER",'2026'!$F$4="FO",'2026'!$F$2=Z81),'2026DATA'!$K$14,"")</f>
        <v/>
      </c>
      <c r="AA93" s="518" t="str">
        <f>IF(AND(_1="B-767-300ER",'2026'!$F$4="FO",'2026'!$F$2=AA81),'2026DATA'!$L$14,"")</f>
        <v/>
      </c>
      <c r="AB93" s="518" t="str">
        <f>IF(AND(_1="B-767-300ER",'2026'!$F$4="FO",'2026'!$F$2=AB81),'2026DATA'!$M$14,"")</f>
        <v/>
      </c>
      <c r="AC93" s="520" t="str">
        <f>IF(AND(_1="B-767-300ER",'2026'!$F$4="FO",'2026'!$F$2=AC81),'2026DATA'!$N$14,"")</f>
        <v/>
      </c>
      <c r="AD93" s="940"/>
      <c r="AE93" s="13" t="s">
        <v>62</v>
      </c>
      <c r="AF93" s="518" t="str">
        <f>IF(AND(_2="B-767-300ER",'2026'!$F$4="FO",'2026'!$F$2=AF81),'2026DATA'!$C$14,"")</f>
        <v/>
      </c>
      <c r="AG93" s="518" t="str">
        <f>IF(AND(_2="B-767-300ER",'2026'!$F$4="FO",'2026'!$F$2=AG81),'2026DATA'!$D$14,"")</f>
        <v/>
      </c>
      <c r="AH93" s="518" t="str">
        <f>IF(AND(_2="B-767-300ER",'2026'!$F$4="FO",'2026'!$F$2=AH81),'2026DATA'!$E$14,"")</f>
        <v/>
      </c>
      <c r="AI93" s="518" t="str">
        <f>IF(AND(_2="B-767-300ER",'2026'!$F$4="FO",'2026'!$F$2=AI81),'2026DATA'!$F$14,"")</f>
        <v/>
      </c>
      <c r="AJ93" s="518" t="str">
        <f>IF(AND(_2="B-767-300ER",'2026'!$F$4="FO",'2026'!$F$2=AJ81),'2026DATA'!$G$14,"")</f>
        <v/>
      </c>
      <c r="AK93" s="518" t="str">
        <f>IF(AND(_2="B-767-300ER",'2026'!$F$4="FO",'2026'!$F$2=AK81),'2026DATA'!$H$14,"")</f>
        <v/>
      </c>
      <c r="AL93" s="518" t="str">
        <f>IF(AND(_2="B-767-300ER",'2026'!$F$4="FO",'2026'!$F$2=AL81),'2026DATA'!$I$14,"")</f>
        <v/>
      </c>
      <c r="AM93" s="518" t="str">
        <f>IF(AND(_2="B-767-300ER",'2026'!$F$4="FO",'2026'!$F$2=AM81),'2026DATA'!$J$14,"")</f>
        <v/>
      </c>
      <c r="AN93" s="518" t="str">
        <f>IF(AND(_2="B-767-300ER",'2026'!$F$4="FO",'2026'!$F$2=AN81),'2026DATA'!$K$14,"")</f>
        <v/>
      </c>
      <c r="AO93" s="518" t="str">
        <f>IF(AND(_2="B-767-300ER",'2026'!$F$4="FO",'2026'!$F$2=AO81),'2026DATA'!$L$14,"")</f>
        <v/>
      </c>
      <c r="AP93" s="518" t="str">
        <f>IF(AND(_2="B-767-300ER",'2026'!$F$4="FO",'2026'!$F$2=AP81),'2026DATA'!$M$14,"")</f>
        <v/>
      </c>
      <c r="AQ93" s="520" t="str">
        <f>IF(AND(_2="B-767-300ER",'2026'!$F$4="FO",'2026'!$F$2=AQ81),'2026DATA'!$N$14,"")</f>
        <v/>
      </c>
      <c r="AR93" s="940"/>
      <c r="AS93" s="13" t="s">
        <v>62</v>
      </c>
      <c r="AT93" s="518" t="str">
        <f>IF(AND(_3="B-767-300ER",'2026'!$F$4="FO",'2026'!$F$2=AT81),'2026DATA'!$C$14,"")</f>
        <v/>
      </c>
      <c r="AU93" s="518" t="str">
        <f>IF(AND(_3="B-767-300ER",'2026'!$F$4="FO",'2026'!$F$2=AU81),'2026DATA'!$D$14,"")</f>
        <v/>
      </c>
      <c r="AV93" s="518" t="str">
        <f>IF(AND(_3="B-767-300ER",'2026'!$F$4="FO",'2026'!$F$2=AV81),'2026DATA'!$E$14,"")</f>
        <v/>
      </c>
      <c r="AW93" s="518" t="str">
        <f>IF(AND(_3="B-767-300ER",'2026'!$F$4="FO",'2026'!$F$2=AW81),'2026DATA'!$F$14,"")</f>
        <v/>
      </c>
      <c r="AX93" s="518" t="str">
        <f>IF(AND(_3="B-767-300ER",'2026'!$F$4="FO",'2026'!$F$2=AX81),'2026DATA'!$G$14,"")</f>
        <v/>
      </c>
      <c r="AY93" s="518" t="str">
        <f>IF(AND(_3="B-767-300ER",'2026'!$F$4="FO",'2026'!$F$2=AY81),'2026DATA'!$H$14,"")</f>
        <v/>
      </c>
      <c r="AZ93" s="518" t="str">
        <f>IF(AND(_3="B-767-300ER",'2026'!$F$4="FO",'2026'!$F$2=AZ81),'2026DATA'!$I$14,"")</f>
        <v/>
      </c>
      <c r="BA93" s="518" t="str">
        <f>IF(AND(_3="B-767-300ER",'2026'!$F$4="FO",'2026'!$F$2=BA81),'2026DATA'!$J$14,"")</f>
        <v/>
      </c>
      <c r="BB93" s="518" t="str">
        <f>IF(AND(_3="B-767-300ER",'2026'!$F$4="FO",'2026'!$F$2=BB81),'2026DATA'!$K$14,"")</f>
        <v/>
      </c>
      <c r="BC93" s="518" t="str">
        <f>IF(AND(_3="B-767-300ER",'2026'!$F$4="FO",'2026'!$F$2=BC81),'2026DATA'!$L$14,"")</f>
        <v/>
      </c>
      <c r="BD93" s="518" t="str">
        <f>IF(AND(_3="B-767-300ER",'2026'!$F$4="FO",'2026'!$F$2=BD81),'2026DATA'!$M$14,"")</f>
        <v/>
      </c>
      <c r="BE93" s="520" t="str">
        <f>IF(AND(_3="B-767-300ER",'2026'!$F$4="FO",'2026'!$F$2=BE81),'2026DATA'!$N$14,"")</f>
        <v/>
      </c>
      <c r="BF93" s="940"/>
      <c r="BG93" s="13" t="s">
        <v>62</v>
      </c>
      <c r="BH93" s="518" t="str">
        <f>IF(AND(_4="B-767-300ER",'2026'!$F$4="FO",'2026'!$F$2=BH81),'2026DATA'!$C$14,"")</f>
        <v/>
      </c>
      <c r="BI93" s="518" t="str">
        <f>IF(AND(_4="B-767-300ER",'2026'!$F$4="FO",'2026'!$F$2=BI81),'2026DATA'!$D$14,"")</f>
        <v/>
      </c>
      <c r="BJ93" s="518" t="str">
        <f>IF(AND(_4="B-767-300ER",'2026'!$F$4="FO",'2026'!$F$2=BJ81),'2026DATA'!$E$14,"")</f>
        <v/>
      </c>
      <c r="BK93" s="518" t="str">
        <f>IF(AND(_4="B-767-300ER",'2026'!$F$4="FO",'2026'!$F$2=BK81),'2026DATA'!$F$14,"")</f>
        <v/>
      </c>
      <c r="BL93" s="518" t="str">
        <f>IF(AND(_4="B-767-300ER",'2026'!$F$4="FO",'2026'!$F$2=BL81),'2026DATA'!$G$14,"")</f>
        <v/>
      </c>
      <c r="BM93" s="518" t="str">
        <f>IF(AND(_4="B-767-300ER",'2026'!$F$4="FO",'2026'!$F$2=BM81),'2026DATA'!$H$14,"")</f>
        <v/>
      </c>
      <c r="BN93" s="518" t="str">
        <f>IF(AND(_4="B-767-300ER",'2026'!$F$4="FO",'2026'!$F$2=BN81),'2026DATA'!$I$14,"")</f>
        <v/>
      </c>
      <c r="BO93" s="518" t="str">
        <f>IF(AND(_4="B-767-300ER",'2026'!$F$4="FO",'2026'!$F$2=BO81),'2026DATA'!$J$14,"")</f>
        <v/>
      </c>
      <c r="BP93" s="518" t="str">
        <f>IF(AND(_4="B-767-300ER",'2026'!$F$4="FO",'2026'!$F$2=BP81),'2026DATA'!$K$14,"")</f>
        <v/>
      </c>
      <c r="BQ93" s="518" t="str">
        <f>IF(AND(_4="B-767-300ER",'2026'!$F$4="FO",'2026'!$F$2=BQ81),'2026DATA'!$L$14,"")</f>
        <v/>
      </c>
      <c r="BR93" s="518" t="str">
        <f>IF(AND(_4="B-767-300ER",'2026'!$F$4="FO",'2026'!$F$2=BR81),'2026DATA'!$M$14,"")</f>
        <v/>
      </c>
      <c r="BS93" s="520" t="str">
        <f>IF(AND(_4="B-767-300ER",'2026'!$F$4="FO",'2026'!$F$2=BS81),'2026DATA'!$N$14,"")</f>
        <v/>
      </c>
      <c r="BT93" s="940"/>
      <c r="BU93" s="13" t="s">
        <v>62</v>
      </c>
      <c r="BV93" s="518" t="str">
        <f>IF(AND(_5="B-767-300ER",'2026'!$F$4="FO",'2026'!$F$2=BV81),'2026DATA'!$C$14,"")</f>
        <v/>
      </c>
      <c r="BW93" s="518" t="str">
        <f>IF(AND(_5="B-767-300ER",'2026'!$F$4="FO",'2026'!$F$2=BW81),'2026DATA'!$D$14,"")</f>
        <v/>
      </c>
      <c r="BX93" s="518" t="str">
        <f>IF(AND(_5="B-767-300ER",'2026'!$F$4="FO",'2026'!$F$2=BX81),'2026DATA'!$E$14,"")</f>
        <v/>
      </c>
      <c r="BY93" s="518" t="str">
        <f>IF(AND(_5="B-767-300ER",'2026'!$F$4="FO",'2026'!$F$2=BY81),'2026DATA'!$F$14,"")</f>
        <v/>
      </c>
      <c r="BZ93" s="518" t="str">
        <f>IF(AND(_5="B-767-300ER",'2026'!$F$4="FO",'2026'!$F$2=BZ81),'2026DATA'!$G$14,"")</f>
        <v/>
      </c>
      <c r="CA93" s="518" t="str">
        <f>IF(AND(_5="B-767-300ER",'2026'!$F$4="FO",'2026'!$F$2=CA81),'2026DATA'!$H$14,"")</f>
        <v/>
      </c>
      <c r="CB93" s="518" t="str">
        <f>IF(AND(_5="B-767-300ER",'2026'!$F$4="FO",'2026'!$F$2=CB81),'2026DATA'!$I$14,"")</f>
        <v/>
      </c>
      <c r="CC93" s="518" t="str">
        <f>IF(AND(_5="B-767-300ER",'2026'!$F$4="FO",'2026'!$F$2=CC81),'2026DATA'!$J$14,"")</f>
        <v/>
      </c>
      <c r="CD93" s="518" t="str">
        <f>IF(AND(_5="B-767-300ER",'2026'!$F$4="FO",'2026'!$F$2=CD81),'2026DATA'!$K$14,"")</f>
        <v/>
      </c>
      <c r="CE93" s="518" t="str">
        <f>IF(AND(_5="B-767-300ER",'2026'!$F$4="FO",'2026'!$F$2=CE81),'2026DATA'!$L$14,"")</f>
        <v/>
      </c>
      <c r="CF93" s="518" t="str">
        <f>IF(AND(_5="B-767-300ER",'2026'!$F$4="FO",'2026'!$F$2=CF81),'2026DATA'!$M$14,"")</f>
        <v/>
      </c>
      <c r="CG93" s="520" t="str">
        <f>IF(AND(_5="B-767-300ER",'2026'!$F$4="FO",'2026'!$F$2=CG81),'2026DATA'!$N$14,"")</f>
        <v/>
      </c>
      <c r="CH93" s="940"/>
      <c r="CI93" s="13" t="s">
        <v>62</v>
      </c>
      <c r="CJ93" s="518" t="str">
        <f>IF(AND(_6="B-767-300ER",'2026'!$F$4="FO",'2026'!$F$2=CJ81),'2026DATA'!$C$14,"")</f>
        <v/>
      </c>
      <c r="CK93" s="518" t="str">
        <f>IF(AND(_6="B-767-300ER",'2026'!$F$4="FO",'2026'!$F$2=CK81),'2026DATA'!$D$14,"")</f>
        <v/>
      </c>
      <c r="CL93" s="518" t="str">
        <f>IF(AND(_6="B-767-300ER",'2026'!$F$4="FO",'2026'!$F$2=CL81),'2026DATA'!$E$14,"")</f>
        <v/>
      </c>
      <c r="CM93" s="518" t="str">
        <f>IF(AND(_6="B-767-300ER",'2026'!$F$4="FO",'2026'!$F$2=CM81),'2026DATA'!$F$14,"")</f>
        <v/>
      </c>
      <c r="CN93" s="518" t="str">
        <f>IF(AND(_6="B-767-300ER",'2026'!$F$4="FO",'2026'!$F$2=CN81),'2026DATA'!$G$14,"")</f>
        <v/>
      </c>
      <c r="CO93" s="518" t="str">
        <f>IF(AND(_6="B-767-300ER",'2026'!$F$4="FO",'2026'!$F$2=CO81),'2026DATA'!$H$14,"")</f>
        <v/>
      </c>
      <c r="CP93" s="518" t="str">
        <f>IF(AND(_6="B-767-300ER",'2026'!$F$4="FO",'2026'!$F$2=CP81),'2026DATA'!$I$14,"")</f>
        <v/>
      </c>
      <c r="CQ93" s="518" t="str">
        <f>IF(AND(_6="B-767-300ER",'2026'!$F$4="FO",'2026'!$F$2=CQ81),'2026DATA'!$J$14,"")</f>
        <v/>
      </c>
      <c r="CR93" s="518" t="str">
        <f>IF(AND(_6="B-767-300ER",'2026'!$F$4="FO",'2026'!$F$2=CR81),'2026DATA'!$K$14,"")</f>
        <v/>
      </c>
      <c r="CS93" s="518" t="str">
        <f>IF(AND(_6="B-767-300ER",'2026'!$F$4="FO",'2026'!$F$2=CS81),'2026DATA'!$L$14,"")</f>
        <v/>
      </c>
      <c r="CT93" s="518" t="str">
        <f>IF(AND(_6="B-767-300ER",'2026'!$F$4="FO",'2026'!$F$2=CT81),'2026DATA'!$M$14,"")</f>
        <v/>
      </c>
      <c r="CU93" s="520" t="str">
        <f>IF(AND(_6="B-767-300ER",'2026'!$F$4="FO",'2026'!$F$2=CU81),'2026DATA'!$N$14,"")</f>
        <v/>
      </c>
    </row>
    <row r="94" spans="16:99" x14ac:dyDescent="0.25">
      <c r="P94" s="940" t="s">
        <v>67</v>
      </c>
      <c r="Q94" s="13" t="s">
        <v>61</v>
      </c>
      <c r="R94" s="518" t="str">
        <f>IF(AND(_1="B-767-300",'2026'!$F$4="CA",'2026'!$F$2=R81),'2026DATA'!$C$15,"")</f>
        <v/>
      </c>
      <c r="S94" s="518" t="str">
        <f>IF(AND(_1="B-767-300",'2026'!$F$4="CA",'2026'!$F$2=S81),'2026DATA'!$D$15,"")</f>
        <v/>
      </c>
      <c r="T94" s="518" t="str">
        <f>IF(AND(_1="B-767-300",'2026'!$F$4="CA",'2026'!$F$2=T81),'2026DATA'!$E$15,"")</f>
        <v/>
      </c>
      <c r="U94" s="518" t="str">
        <f>IF(AND(_1="B-767-300",'2026'!$F$4="CA",'2026'!$F$2=U81),'2026DATA'!$F$15,"")</f>
        <v/>
      </c>
      <c r="V94" s="518" t="str">
        <f>IF(AND(_1="B-767-300",'2026'!$F$4="CA",'2026'!$F$2=V81),'2026DATA'!$G$15,"")</f>
        <v/>
      </c>
      <c r="W94" s="518" t="str">
        <f>IF(AND(_1="B-767-300",'2026'!$F$4="CA",'2026'!$F$2=W81),'2026DATA'!$H$15,"")</f>
        <v/>
      </c>
      <c r="X94" s="518" t="str">
        <f>IF(AND(_1="B-767-300",'2026'!$F$4="CA",'2026'!$F$2=X81),'2026DATA'!$I$15,"")</f>
        <v/>
      </c>
      <c r="Y94" s="518" t="str">
        <f>IF(AND(_1="B-767-300",'2026'!$F$4="CA",'2026'!$F$2=Y81),'2026DATA'!$J$15,"")</f>
        <v/>
      </c>
      <c r="Z94" s="518" t="str">
        <f>IF(AND(_1="B-767-300",'2026'!$F$4="CA",'2026'!$F$2=Z81),'2026DATA'!$K$15,"")</f>
        <v/>
      </c>
      <c r="AA94" s="518" t="str">
        <f>IF(AND(_1="B-767-300",'2026'!$F$4="CA",'2026'!$F$2=AA81),'2026DATA'!$L$15,"")</f>
        <v/>
      </c>
      <c r="AB94" s="518" t="str">
        <f>IF(AND(_1="B-767-300",'2026'!$F$4="CA",'2026'!$F$2=AB81),'2026DATA'!$M$15,"")</f>
        <v/>
      </c>
      <c r="AC94" s="520" t="str">
        <f>IF(AND(_1="B-767-300",'2026'!$F$4="CA",'2026'!$F$2=AC81),'2026DATA'!$N$15,"")</f>
        <v/>
      </c>
      <c r="AD94" s="940" t="s">
        <v>67</v>
      </c>
      <c r="AE94" s="13" t="s">
        <v>61</v>
      </c>
      <c r="AF94" s="518" t="str">
        <f>IF(AND(_2="B-767-300",'2026'!$F$4="CA",'2026'!$F$2=AF81),'2026DATA'!$C$15,"")</f>
        <v/>
      </c>
      <c r="AG94" s="518" t="str">
        <f>IF(AND(_2="B-767-300",'2026'!$F$4="CA",'2026'!$F$2=AG81),'2026DATA'!$D$15,"")</f>
        <v/>
      </c>
      <c r="AH94" s="518" t="str">
        <f>IF(AND(_2="B-767-300",'2026'!$F$4="CA",'2026'!$F$2=AH81),'2026DATA'!$E$15,"")</f>
        <v/>
      </c>
      <c r="AI94" s="518" t="str">
        <f>IF(AND(_2="B-767-300",'2026'!$F$4="CA",'2026'!$F$2=AI81),'2026DATA'!$F$15,"")</f>
        <v/>
      </c>
      <c r="AJ94" s="518" t="str">
        <f>IF(AND(_2="B-767-300",'2026'!$F$4="CA",'2026'!$F$2=AJ81),'2026DATA'!$G$15,"")</f>
        <v/>
      </c>
      <c r="AK94" s="518" t="str">
        <f>IF(AND(_2="B-767-300",'2026'!$F$4="CA",'2026'!$F$2=AK81),'2026DATA'!$H$15,"")</f>
        <v/>
      </c>
      <c r="AL94" s="518" t="str">
        <f>IF(AND(_2="B-767-300",'2026'!$F$4="CA",'2026'!$F$2=AL81),'2026DATA'!$I$15,"")</f>
        <v/>
      </c>
      <c r="AM94" s="518" t="str">
        <f>IF(AND(_2="B-767-300",'2026'!$F$4="CA",'2026'!$F$2=AM81),'2026DATA'!$J$15,"")</f>
        <v/>
      </c>
      <c r="AN94" s="518" t="str">
        <f>IF(AND(_2="B-767-300",'2026'!$F$4="CA",'2026'!$F$2=AN81),'2026DATA'!$K$15,"")</f>
        <v/>
      </c>
      <c r="AO94" s="518" t="str">
        <f>IF(AND(_2="B-767-300",'2026'!$F$4="CA",'2026'!$F$2=AO81),'2026DATA'!$L$15,"")</f>
        <v/>
      </c>
      <c r="AP94" s="518" t="str">
        <f>IF(AND(_2="B-767-300",'2026'!$F$4="CA",'2026'!$F$2=AP81),'2026DATA'!$M$15,"")</f>
        <v/>
      </c>
      <c r="AQ94" s="520" t="str">
        <f>IF(AND(_2="B-767-300",'2026'!$F$4="CA",'2026'!$F$2=AQ81),'2026DATA'!$N$15,"")</f>
        <v/>
      </c>
      <c r="AR94" s="940" t="s">
        <v>67</v>
      </c>
      <c r="AS94" s="13" t="s">
        <v>61</v>
      </c>
      <c r="AT94" s="518" t="str">
        <f>IF(AND(_3="B-767-300",'2026'!$F$4="CA",'2026'!$F$2=AT81),'2026DATA'!$C$15,"")</f>
        <v/>
      </c>
      <c r="AU94" s="518" t="str">
        <f>IF(AND(_3="B-767-300",'2026'!$F$4="CA",'2026'!$F$2=AU81),'2026DATA'!$D$15,"")</f>
        <v/>
      </c>
      <c r="AV94" s="518" t="str">
        <f>IF(AND(_3="B-767-300",'2026'!$F$4="CA",'2026'!$F$2=AV81),'2026DATA'!$E$15,"")</f>
        <v/>
      </c>
      <c r="AW94" s="518" t="str">
        <f>IF(AND(_3="B-767-300",'2026'!$F$4="CA",'2026'!$F$2=AW81),'2026DATA'!$F$15,"")</f>
        <v/>
      </c>
      <c r="AX94" s="518" t="str">
        <f>IF(AND(_3="B-767-300",'2026'!$F$4="CA",'2026'!$F$2=AX81),'2026DATA'!$G$15,"")</f>
        <v/>
      </c>
      <c r="AY94" s="518" t="str">
        <f>IF(AND(_3="B-767-300",'2026'!$F$4="CA",'2026'!$F$2=AY81),'2026DATA'!$H$15,"")</f>
        <v/>
      </c>
      <c r="AZ94" s="518" t="str">
        <f>IF(AND(_3="B-767-300",'2026'!$F$4="CA",'2026'!$F$2=AZ81),'2026DATA'!$I$15,"")</f>
        <v/>
      </c>
      <c r="BA94" s="518" t="str">
        <f>IF(AND(_3="B-767-300",'2026'!$F$4="CA",'2026'!$F$2=BA81),'2026DATA'!$J$15,"")</f>
        <v/>
      </c>
      <c r="BB94" s="518" t="str">
        <f>IF(AND(_3="B-767-300",'2026'!$F$4="CA",'2026'!$F$2=BB81),'2026DATA'!$K$15,"")</f>
        <v/>
      </c>
      <c r="BC94" s="518" t="str">
        <f>IF(AND(_3="B-767-300",'2026'!$F$4="CA",'2026'!$F$2=BC81),'2026DATA'!$L$15,"")</f>
        <v/>
      </c>
      <c r="BD94" s="518" t="str">
        <f>IF(AND(_3="B-767-300",'2026'!$F$4="CA",'2026'!$F$2=BD81),'2026DATA'!$M$15,"")</f>
        <v/>
      </c>
      <c r="BE94" s="520" t="str">
        <f>IF(AND(_3="B-767-300",'2026'!$F$4="CA",'2026'!$F$2=BE81),'2026DATA'!$N$15,"")</f>
        <v/>
      </c>
      <c r="BF94" s="940" t="s">
        <v>67</v>
      </c>
      <c r="BG94" s="13" t="s">
        <v>61</v>
      </c>
      <c r="BH94" s="518" t="str">
        <f>IF(AND(_4="B-767-300",'2026'!$F$4="CA",'2026'!$F$2=BH81),'2026DATA'!$C$15,"")</f>
        <v/>
      </c>
      <c r="BI94" s="518" t="str">
        <f>IF(AND(_4="B-767-300",'2026'!$F$4="CA",'2026'!$F$2=BI81),'2026DATA'!$D$15,"")</f>
        <v/>
      </c>
      <c r="BJ94" s="518" t="str">
        <f>IF(AND(_4="B-767-300",'2026'!$F$4="CA",'2026'!$F$2=BJ81),'2026DATA'!$E$15,"")</f>
        <v/>
      </c>
      <c r="BK94" s="518" t="str">
        <f>IF(AND(_4="B-767-300",'2026'!$F$4="CA",'2026'!$F$2=BK81),'2026DATA'!$F$15,"")</f>
        <v/>
      </c>
      <c r="BL94" s="518" t="str">
        <f>IF(AND(_4="B-767-300",'2026'!$F$4="CA",'2026'!$F$2=BL81),'2026DATA'!$G$15,"")</f>
        <v/>
      </c>
      <c r="BM94" s="518" t="str">
        <f>IF(AND(_4="B-767-300",'2026'!$F$4="CA",'2026'!$F$2=BM81),'2026DATA'!$H$15,"")</f>
        <v/>
      </c>
      <c r="BN94" s="518" t="str">
        <f>IF(AND(_4="B-767-300",'2026'!$F$4="CA",'2026'!$F$2=BN81),'2026DATA'!$I$15,"")</f>
        <v/>
      </c>
      <c r="BO94" s="518" t="str">
        <f>IF(AND(_4="B-767-300",'2026'!$F$4="CA",'2026'!$F$2=BO81),'2026DATA'!$J$15,"")</f>
        <v/>
      </c>
      <c r="BP94" s="518" t="str">
        <f>IF(AND(_4="B-767-300",'2026'!$F$4="CA",'2026'!$F$2=BP81),'2026DATA'!$K$15,"")</f>
        <v/>
      </c>
      <c r="BQ94" s="518" t="str">
        <f>IF(AND(_4="B-767-300",'2026'!$F$4="CA",'2026'!$F$2=BQ81),'2026DATA'!$L$15,"")</f>
        <v/>
      </c>
      <c r="BR94" s="518" t="str">
        <f>IF(AND(_4="B-767-300",'2026'!$F$4="CA",'2026'!$F$2=BR81),'2026DATA'!$M$15,"")</f>
        <v/>
      </c>
      <c r="BS94" s="520" t="str">
        <f>IF(AND(_4="B-767-300",'2026'!$F$4="CA",'2026'!$F$2=BS81),'2026DATA'!$N$15,"")</f>
        <v/>
      </c>
      <c r="BT94" s="940" t="s">
        <v>67</v>
      </c>
      <c r="BU94" s="13" t="s">
        <v>61</v>
      </c>
      <c r="BV94" s="518" t="str">
        <f>IF(AND(_5="B-767-300",'2026'!$F$4="CA",'2026'!$F$2=BV81),'2026DATA'!$C$15,"")</f>
        <v/>
      </c>
      <c r="BW94" s="518" t="str">
        <f>IF(AND(_5="B-767-300",'2026'!$F$4="CA",'2026'!$F$2=BW81),'2026DATA'!$D$15,"")</f>
        <v/>
      </c>
      <c r="BX94" s="518" t="str">
        <f>IF(AND(_5="B-767-300",'2026'!$F$4="CA",'2026'!$F$2=BX81),'2026DATA'!$E$15,"")</f>
        <v/>
      </c>
      <c r="BY94" s="518" t="str">
        <f>IF(AND(_5="B-767-300",'2026'!$F$4="CA",'2026'!$F$2=BY81),'2026DATA'!$F$15,"")</f>
        <v/>
      </c>
      <c r="BZ94" s="518" t="str">
        <f>IF(AND(_5="B-767-300",'2026'!$F$4="CA",'2026'!$F$2=BZ81),'2026DATA'!$G$15,"")</f>
        <v/>
      </c>
      <c r="CA94" s="518" t="str">
        <f>IF(AND(_5="B-767-300",'2026'!$F$4="CA",'2026'!$F$2=CA81),'2026DATA'!$H$15,"")</f>
        <v/>
      </c>
      <c r="CB94" s="518" t="str">
        <f>IF(AND(_5="B-767-300",'2026'!$F$4="CA",'2026'!$F$2=CB81),'2026DATA'!$I$15,"")</f>
        <v/>
      </c>
      <c r="CC94" s="518" t="str">
        <f>IF(AND(_5="B-767-300",'2026'!$F$4="CA",'2026'!$F$2=CC81),'2026DATA'!$J$15,"")</f>
        <v/>
      </c>
      <c r="CD94" s="518" t="str">
        <f>IF(AND(_5="B-767-300",'2026'!$F$4="CA",'2026'!$F$2=CD81),'2026DATA'!$K$15,"")</f>
        <v/>
      </c>
      <c r="CE94" s="518" t="str">
        <f>IF(AND(_5="B-767-300",'2026'!$F$4="CA",'2026'!$F$2=CE81),'2026DATA'!$L$15,"")</f>
        <v/>
      </c>
      <c r="CF94" s="518" t="str">
        <f>IF(AND(_5="B-767-300",'2026'!$F$4="CA",'2026'!$F$2=CF81),'2026DATA'!$M$15,"")</f>
        <v/>
      </c>
      <c r="CG94" s="520" t="str">
        <f>IF(AND(_5="B-767-300",'2026'!$F$4="CA",'2026'!$F$2=CG81),'2026DATA'!$N$15,"")</f>
        <v/>
      </c>
      <c r="CH94" s="940" t="s">
        <v>67</v>
      </c>
      <c r="CI94" s="13" t="s">
        <v>61</v>
      </c>
      <c r="CJ94" s="518" t="str">
        <f>IF(AND(_6="B-767-300",'2026'!$F$4="CA",'2026'!$F$2=CJ81),'2026DATA'!$C$15,"")</f>
        <v/>
      </c>
      <c r="CK94" s="518" t="str">
        <f>IF(AND(_6="B-767-300",'2026'!$F$4="CA",'2026'!$F$2=CK81),'2026DATA'!$D$15,"")</f>
        <v/>
      </c>
      <c r="CL94" s="518" t="str">
        <f>IF(AND(_6="B-767-300",'2026'!$F$4="CA",'2026'!$F$2=CL81),'2026DATA'!$E$15,"")</f>
        <v/>
      </c>
      <c r="CM94" s="518" t="str">
        <f>IF(AND(_6="B-767-300",'2026'!$F$4="CA",'2026'!$F$2=CM81),'2026DATA'!$F$15,"")</f>
        <v/>
      </c>
      <c r="CN94" s="518" t="str">
        <f>IF(AND(_6="B-767-300",'2026'!$F$4="CA",'2026'!$F$2=CN81),'2026DATA'!$G$15,"")</f>
        <v/>
      </c>
      <c r="CO94" s="518" t="str">
        <f>IF(AND(_6="B-767-300",'2026'!$F$4="CA",'2026'!$F$2=CO81),'2026DATA'!$H$15,"")</f>
        <v/>
      </c>
      <c r="CP94" s="518" t="str">
        <f>IF(AND(_6="B-767-300",'2026'!$F$4="CA",'2026'!$F$2=CP81),'2026DATA'!$I$15,"")</f>
        <v/>
      </c>
      <c r="CQ94" s="518" t="str">
        <f>IF(AND(_6="B-767-300",'2026'!$F$4="CA",'2026'!$F$2=CQ81),'2026DATA'!$J$15,"")</f>
        <v/>
      </c>
      <c r="CR94" s="518" t="str">
        <f>IF(AND(_6="B-767-300",'2026'!$F$4="CA",'2026'!$F$2=CR81),'2026DATA'!$K$15,"")</f>
        <v/>
      </c>
      <c r="CS94" s="518" t="str">
        <f>IF(AND(_6="B-767-300",'2026'!$F$4="CA",'2026'!$F$2=CS81),'2026DATA'!$L$15,"")</f>
        <v/>
      </c>
      <c r="CT94" s="518" t="str">
        <f>IF(AND(_6="B-767-300",'2026'!$F$4="CA",'2026'!$F$2=CT81),'2026DATA'!$M$15,"")</f>
        <v/>
      </c>
      <c r="CU94" s="520" t="str">
        <f>IF(AND(_6="B-767-300",'2026'!$F$4="CA",'2026'!$F$2=CU81),'2026DATA'!$N$15,"")</f>
        <v/>
      </c>
    </row>
    <row r="95" spans="16:99" x14ac:dyDescent="0.25">
      <c r="P95" s="940"/>
      <c r="Q95" s="13" t="s">
        <v>62</v>
      </c>
      <c r="R95" s="518" t="str">
        <f>IF(AND(_1="B-767-300",'2026'!$F$4="FO",'2026'!$F$2=R81),'2026DATA'!$C$16,"")</f>
        <v/>
      </c>
      <c r="S95" s="518" t="str">
        <f>IF(AND(_1="B-767-300",'2026'!$F$4="FO",'2026'!$F$2=S81),'2026DATA'!$D$16,"")</f>
        <v/>
      </c>
      <c r="T95" s="518" t="str">
        <f>IF(AND(_1="B-767-300",'2026'!$F$4="FO",'2026'!$F$2=T81),'2026DATA'!$E$16,"")</f>
        <v/>
      </c>
      <c r="U95" s="518" t="str">
        <f>IF(AND(_1="B-767-300",'2026'!$F$4="FO",'2026'!$F$2=U81),'2026DATA'!$F$16,"")</f>
        <v/>
      </c>
      <c r="V95" s="518" t="str">
        <f>IF(AND(_1="B-767-300",'2026'!$F$4="FO",'2026'!$F$2=V81),'2026DATA'!$G$16,"")</f>
        <v/>
      </c>
      <c r="W95" s="518" t="str">
        <f>IF(AND(_1="B-767-300",'2026'!$F$4="FO",'2026'!$F$2=W81),'2026DATA'!$H$16,"")</f>
        <v/>
      </c>
      <c r="X95" s="518" t="str">
        <f>IF(AND(_1="B-767-300",'2026'!$F$4="FO",'2026'!$F$2=X81),'2026DATA'!$I$16,"")</f>
        <v/>
      </c>
      <c r="Y95" s="518" t="str">
        <f>IF(AND(_1="B-767-300",'2026'!$F$4="FO",'2026'!$F$2=Y81),'2026DATA'!$J$16,"")</f>
        <v/>
      </c>
      <c r="Z95" s="518" t="str">
        <f>IF(AND(_1="B-767-300",'2026'!$F$4="FO",'2026'!$F$2=Z81),'2026DATA'!$K$16,"")</f>
        <v/>
      </c>
      <c r="AA95" s="518" t="str">
        <f>IF(AND(_1="B-767-300",'2026'!$F$4="FO",'2026'!$F$2=AA81),'2026DATA'!$L$16,"")</f>
        <v/>
      </c>
      <c r="AB95" s="518" t="str">
        <f>IF(AND(_1="B-767-300",'2026'!$F$4="FO",'2026'!$F$2=AB81),'2026DATA'!$M$16,"")</f>
        <v/>
      </c>
      <c r="AC95" s="520" t="str">
        <f>IF(AND(_1="B-767-300",'2026'!$F$4="FO",'2026'!$F$2=AC81),'2026DATA'!$N$16,"")</f>
        <v/>
      </c>
      <c r="AD95" s="940"/>
      <c r="AE95" s="13" t="s">
        <v>62</v>
      </c>
      <c r="AF95" s="518" t="str">
        <f>IF(AND(_2="B-767-300",'2026'!$F$4="FO",'2026'!$F$2=AF81),'2026DATA'!$C$16,"")</f>
        <v/>
      </c>
      <c r="AG95" s="518" t="str">
        <f>IF(AND(_2="B-767-300",'2026'!$F$4="FO",'2026'!$F$2=AG81),'2026DATA'!$D$16,"")</f>
        <v/>
      </c>
      <c r="AH95" s="518" t="str">
        <f>IF(AND(_2="B-767-300",'2026'!$F$4="FO",'2026'!$F$2=AH81),'2026DATA'!$E$16,"")</f>
        <v/>
      </c>
      <c r="AI95" s="518" t="str">
        <f>IF(AND(_2="B-767-300",'2026'!$F$4="FO",'2026'!$F$2=AI81),'2026DATA'!$F$16,"")</f>
        <v/>
      </c>
      <c r="AJ95" s="518" t="str">
        <f>IF(AND(_2="B-767-300",'2026'!$F$4="FO",'2026'!$F$2=AJ81),'2026DATA'!$G$16,"")</f>
        <v/>
      </c>
      <c r="AK95" s="518" t="str">
        <f>IF(AND(_2="B-767-300",'2026'!$F$4="FO",'2026'!$F$2=AK81),'2026DATA'!$H$16,"")</f>
        <v/>
      </c>
      <c r="AL95" s="518" t="str">
        <f>IF(AND(_2="B-767-300",'2026'!$F$4="FO",'2026'!$F$2=AL81),'2026DATA'!$I$16,"")</f>
        <v/>
      </c>
      <c r="AM95" s="518" t="str">
        <f>IF(AND(_2="B-767-300",'2026'!$F$4="FO",'2026'!$F$2=AM81),'2026DATA'!$J$16,"")</f>
        <v/>
      </c>
      <c r="AN95" s="518" t="str">
        <f>IF(AND(_2="B-767-300",'2026'!$F$4="FO",'2026'!$F$2=AN81),'2026DATA'!$K$16,"")</f>
        <v/>
      </c>
      <c r="AO95" s="518" t="str">
        <f>IF(AND(_2="B-767-300",'2026'!$F$4="FO",'2026'!$F$2=AO81),'2026DATA'!$L$16,"")</f>
        <v/>
      </c>
      <c r="AP95" s="518" t="str">
        <f>IF(AND(_2="B-767-300",'2026'!$F$4="FO",'2026'!$F$2=AP81),'2026DATA'!$M$16,"")</f>
        <v/>
      </c>
      <c r="AQ95" s="520" t="str">
        <f>IF(AND(_2="B-767-300",'2026'!$F$4="FO",'2026'!$F$2=AQ81),'2026DATA'!$N$16,"")</f>
        <v/>
      </c>
      <c r="AR95" s="940"/>
      <c r="AS95" s="13" t="s">
        <v>62</v>
      </c>
      <c r="AT95" s="518" t="str">
        <f>IF(AND(_3="B-767-300",'2026'!$F$4="FO",'2026'!$F$2=AT81),'2026DATA'!$C$16,"")</f>
        <v/>
      </c>
      <c r="AU95" s="518" t="str">
        <f>IF(AND(_3="B-767-300",'2026'!$F$4="FO",'2026'!$F$2=AU81),'2026DATA'!$D$16,"")</f>
        <v/>
      </c>
      <c r="AV95" s="518" t="str">
        <f>IF(AND(_3="B-767-300",'2026'!$F$4="FO",'2026'!$F$2=AV81),'2026DATA'!$E$16,"")</f>
        <v/>
      </c>
      <c r="AW95" s="518" t="str">
        <f>IF(AND(_3="B-767-300",'2026'!$F$4="FO",'2026'!$F$2=AW81),'2026DATA'!$F$16,"")</f>
        <v/>
      </c>
      <c r="AX95" s="518" t="str">
        <f>IF(AND(_3="B-767-300",'2026'!$F$4="FO",'2026'!$F$2=AX81),'2026DATA'!$G$16,"")</f>
        <v/>
      </c>
      <c r="AY95" s="518" t="str">
        <f>IF(AND(_3="B-767-300",'2026'!$F$4="FO",'2026'!$F$2=AY81),'2026DATA'!$H$16,"")</f>
        <v/>
      </c>
      <c r="AZ95" s="518" t="str">
        <f>IF(AND(_3="B-767-300",'2026'!$F$4="FO",'2026'!$F$2=AZ81),'2026DATA'!$I$16,"")</f>
        <v/>
      </c>
      <c r="BA95" s="518" t="str">
        <f>IF(AND(_3="B-767-300",'2026'!$F$4="FO",'2026'!$F$2=BA81),'2026DATA'!$J$16,"")</f>
        <v/>
      </c>
      <c r="BB95" s="518" t="str">
        <f>IF(AND(_3="B-767-300",'2026'!$F$4="FO",'2026'!$F$2=BB81),'2026DATA'!$K$16,"")</f>
        <v/>
      </c>
      <c r="BC95" s="518" t="str">
        <f>IF(AND(_3="B-767-300",'2026'!$F$4="FO",'2026'!$F$2=BC81),'2026DATA'!$L$16,"")</f>
        <v/>
      </c>
      <c r="BD95" s="518" t="str">
        <f>IF(AND(_3="B-767-300",'2026'!$F$4="FO",'2026'!$F$2=BD81),'2026DATA'!$M$16,"")</f>
        <v/>
      </c>
      <c r="BE95" s="520" t="str">
        <f>IF(AND(_3="B-767-300",'2026'!$F$4="FO",'2026'!$F$2=BE81),'2026DATA'!$N$16,"")</f>
        <v/>
      </c>
      <c r="BF95" s="940"/>
      <c r="BG95" s="13" t="s">
        <v>62</v>
      </c>
      <c r="BH95" s="518" t="str">
        <f>IF(AND(_4="B-767-300",'2026'!$F$4="FO",'2026'!$F$2=BH81),'2026DATA'!$C$16,"")</f>
        <v/>
      </c>
      <c r="BI95" s="518" t="str">
        <f>IF(AND(_4="B-767-300",'2026'!$F$4="FO",'2026'!$F$2=BI81),'2026DATA'!$D$16,"")</f>
        <v/>
      </c>
      <c r="BJ95" s="518" t="str">
        <f>IF(AND(_4="B-767-300",'2026'!$F$4="FO",'2026'!$F$2=BJ81),'2026DATA'!$E$16,"")</f>
        <v/>
      </c>
      <c r="BK95" s="518" t="str">
        <f>IF(AND(_4="B-767-300",'2026'!$F$4="FO",'2026'!$F$2=BK81),'2026DATA'!$F$16,"")</f>
        <v/>
      </c>
      <c r="BL95" s="518" t="str">
        <f>IF(AND(_4="B-767-300",'2026'!$F$4="FO",'2026'!$F$2=BL81),'2026DATA'!$G$16,"")</f>
        <v/>
      </c>
      <c r="BM95" s="518" t="str">
        <f>IF(AND(_4="B-767-300",'2026'!$F$4="FO",'2026'!$F$2=BM81),'2026DATA'!$H$16,"")</f>
        <v/>
      </c>
      <c r="BN95" s="518" t="str">
        <f>IF(AND(_4="B-767-300",'2026'!$F$4="FO",'2026'!$F$2=BN81),'2026DATA'!$I$16,"")</f>
        <v/>
      </c>
      <c r="BO95" s="518" t="str">
        <f>IF(AND(_4="B-767-300",'2026'!$F$4="FO",'2026'!$F$2=BO81),'2026DATA'!$J$16,"")</f>
        <v/>
      </c>
      <c r="BP95" s="518" t="str">
        <f>IF(AND(_4="B-767-300",'2026'!$F$4="FO",'2026'!$F$2=BP81),'2026DATA'!$K$16,"")</f>
        <v/>
      </c>
      <c r="BQ95" s="518" t="str">
        <f>IF(AND(_4="B-767-300",'2026'!$F$4="FO",'2026'!$F$2=BQ81),'2026DATA'!$L$16,"")</f>
        <v/>
      </c>
      <c r="BR95" s="518" t="str">
        <f>IF(AND(_4="B-767-300",'2026'!$F$4="FO",'2026'!$F$2=BR81),'2026DATA'!$M$16,"")</f>
        <v/>
      </c>
      <c r="BS95" s="520" t="str">
        <f>IF(AND(_4="B-767-300",'2026'!$F$4="FO",'2026'!$F$2=BS81),'2026DATA'!$N$16,"")</f>
        <v/>
      </c>
      <c r="BT95" s="940"/>
      <c r="BU95" s="13" t="s">
        <v>62</v>
      </c>
      <c r="BV95" s="518" t="str">
        <f>IF(AND(_5="B-767-300",'2026'!$F$4="FO",'2026'!$F$2=BV81),'2026DATA'!$C$16,"")</f>
        <v/>
      </c>
      <c r="BW95" s="518" t="str">
        <f>IF(AND(_5="B-767-300",'2026'!$F$4="FO",'2026'!$F$2=BW81),'2026DATA'!$D$16,"")</f>
        <v/>
      </c>
      <c r="BX95" s="518" t="str">
        <f>IF(AND(_5="B-767-300",'2026'!$F$4="FO",'2026'!$F$2=BX81),'2026DATA'!$E$16,"")</f>
        <v/>
      </c>
      <c r="BY95" s="518" t="str">
        <f>IF(AND(_5="B-767-300",'2026'!$F$4="FO",'2026'!$F$2=BY81),'2026DATA'!$F$16,"")</f>
        <v/>
      </c>
      <c r="BZ95" s="518" t="str">
        <f>IF(AND(_5="B-767-300",'2026'!$F$4="FO",'2026'!$F$2=BZ81),'2026DATA'!$G$16,"")</f>
        <v/>
      </c>
      <c r="CA95" s="518" t="str">
        <f>IF(AND(_5="B-767-300",'2026'!$F$4="FO",'2026'!$F$2=CA81),'2026DATA'!$H$16,"")</f>
        <v/>
      </c>
      <c r="CB95" s="518" t="str">
        <f>IF(AND(_5="B-767-300",'2026'!$F$4="FO",'2026'!$F$2=CB81),'2026DATA'!$I$16,"")</f>
        <v/>
      </c>
      <c r="CC95" s="518" t="str">
        <f>IF(AND(_5="B-767-300",'2026'!$F$4="FO",'2026'!$F$2=CC81),'2026DATA'!$J$16,"")</f>
        <v/>
      </c>
      <c r="CD95" s="518" t="str">
        <f>IF(AND(_5="B-767-300",'2026'!$F$4="FO",'2026'!$F$2=CD81),'2026DATA'!$K$16,"")</f>
        <v/>
      </c>
      <c r="CE95" s="518" t="str">
        <f>IF(AND(_5="B-767-300",'2026'!$F$4="FO",'2026'!$F$2=CE81),'2026DATA'!$L$16,"")</f>
        <v/>
      </c>
      <c r="CF95" s="518" t="str">
        <f>IF(AND(_5="B-767-300",'2026'!$F$4="FO",'2026'!$F$2=CF81),'2026DATA'!$M$16,"")</f>
        <v/>
      </c>
      <c r="CG95" s="520" t="str">
        <f>IF(AND(_5="B-767-300",'2026'!$F$4="FO",'2026'!$F$2=CG81),'2026DATA'!$N$16,"")</f>
        <v/>
      </c>
      <c r="CH95" s="940"/>
      <c r="CI95" s="13" t="s">
        <v>62</v>
      </c>
      <c r="CJ95" s="518" t="str">
        <f>IF(AND(_6="B-767-300",'2026'!$F$4="FO",'2026'!$F$2=CJ81),'2026DATA'!$C$16,"")</f>
        <v/>
      </c>
      <c r="CK95" s="518" t="str">
        <f>IF(AND(_6="B-767-300",'2026'!$F$4="FO",'2026'!$F$2=CK81),'2026DATA'!$D$16,"")</f>
        <v/>
      </c>
      <c r="CL95" s="518" t="str">
        <f>IF(AND(_6="B-767-300",'2026'!$F$4="FO",'2026'!$F$2=CL81),'2026DATA'!$E$16,"")</f>
        <v/>
      </c>
      <c r="CM95" s="518" t="str">
        <f>IF(AND(_6="B-767-300",'2026'!$F$4="FO",'2026'!$F$2=CM81),'2026DATA'!$F$16,"")</f>
        <v/>
      </c>
      <c r="CN95" s="518" t="str">
        <f>IF(AND(_6="B-767-300",'2026'!$F$4="FO",'2026'!$F$2=CN81),'2026DATA'!$G$16,"")</f>
        <v/>
      </c>
      <c r="CO95" s="518" t="str">
        <f>IF(AND(_6="B-767-300",'2026'!$F$4="FO",'2026'!$F$2=CO81),'2026DATA'!$H$16,"")</f>
        <v/>
      </c>
      <c r="CP95" s="518" t="str">
        <f>IF(AND(_6="B-767-300",'2026'!$F$4="FO",'2026'!$F$2=CP81),'2026DATA'!$I$16,"")</f>
        <v/>
      </c>
      <c r="CQ95" s="518" t="str">
        <f>IF(AND(_6="B-767-300",'2026'!$F$4="FO",'2026'!$F$2=CQ81),'2026DATA'!$J$16,"")</f>
        <v/>
      </c>
      <c r="CR95" s="518" t="str">
        <f>IF(AND(_6="B-767-300",'2026'!$F$4="FO",'2026'!$F$2=CR81),'2026DATA'!$K$16,"")</f>
        <v/>
      </c>
      <c r="CS95" s="518" t="str">
        <f>IF(AND(_6="B-767-300",'2026'!$F$4="FO",'2026'!$F$2=CS81),'2026DATA'!$L$16,"")</f>
        <v/>
      </c>
      <c r="CT95" s="518" t="str">
        <f>IF(AND(_6="B-767-300",'2026'!$F$4="FO",'2026'!$F$2=CT81),'2026DATA'!$M$16,"")</f>
        <v/>
      </c>
      <c r="CU95" s="520" t="str">
        <f>IF(AND(_6="B-767-300",'2026'!$F$4="FO",'2026'!$F$2=CU81),'2026DATA'!$N$16,"")</f>
        <v/>
      </c>
    </row>
    <row r="96" spans="16:99" x14ac:dyDescent="0.25">
      <c r="P96" s="940" t="s">
        <v>68</v>
      </c>
      <c r="Q96" s="13" t="s">
        <v>61</v>
      </c>
      <c r="R96" s="518" t="str">
        <f>IF(AND(_1="B-767-200",'2026'!$F$4="CA",'2026'!$F$2=R81),'2026DATA'!$C$17,"")</f>
        <v/>
      </c>
      <c r="S96" s="518" t="str">
        <f>IF(AND(_1="B-767-200",'2026'!$F$4="CA",'2026'!$F$2=S81),'2026DATA'!$D$17,"")</f>
        <v/>
      </c>
      <c r="T96" s="518" t="str">
        <f>IF(AND(_1="B-767-200",'2026'!$F$4="CA",'2026'!$F$2=T81),'2026DATA'!$E$17,"")</f>
        <v/>
      </c>
      <c r="U96" s="518" t="str">
        <f>IF(AND(_1="B-767-200",'2026'!$F$4="CA",'2026'!$F$2=U81),'2026DATA'!$F$17,"")</f>
        <v/>
      </c>
      <c r="V96" s="518" t="str">
        <f>IF(AND(_1="B-767-200",'2026'!$F$4="CA",'2026'!$F$2=V81),'2026DATA'!$G$17,"")</f>
        <v/>
      </c>
      <c r="W96" s="518" t="str">
        <f>IF(AND(_1="B-767-200",'2026'!$F$4="CA",'2026'!$F$2=W81),'2026DATA'!$H$17,"")</f>
        <v/>
      </c>
      <c r="X96" s="518" t="str">
        <f>IF(AND(_1="B-767-200",'2026'!$F$4="CA",'2026'!$F$2=X81),'2026DATA'!$I$17,"")</f>
        <v/>
      </c>
      <c r="Y96" s="518" t="str">
        <f>IF(AND(_1="B-767-200",'2026'!$F$4="CA",'2026'!$F$2=Y81),'2026DATA'!$J$17,"")</f>
        <v/>
      </c>
      <c r="Z96" s="518" t="str">
        <f>IF(AND(_1="B-767-200",'2026'!$F$4="CA",'2026'!$F$2=Z81),'2026DATA'!$K$17,"")</f>
        <v/>
      </c>
      <c r="AA96" s="518" t="str">
        <f>IF(AND(_1="B-767-200",'2026'!$F$4="CA",'2026'!$F$2=AA81),'2026DATA'!$L$17,"")</f>
        <v/>
      </c>
      <c r="AB96" s="518" t="str">
        <f>IF(AND(_1="B-767-200",'2026'!$F$4="CA",'2026'!$F$2=AB81),'2026DATA'!$M$17,"")</f>
        <v/>
      </c>
      <c r="AC96" s="520" t="str">
        <f>IF(AND(_1="B-767-200",'2026'!$F$4="CA",'2026'!$F$2=AC81),'2026DATA'!$N$17,"")</f>
        <v/>
      </c>
      <c r="AD96" s="940" t="s">
        <v>68</v>
      </c>
      <c r="AE96" s="13" t="s">
        <v>61</v>
      </c>
      <c r="AF96" s="518" t="str">
        <f>IF(AND(_2="B-767-200",'2026'!$F$4="CA",'2026'!$F$2=AF81),'2026DATA'!$C$17,"")</f>
        <v/>
      </c>
      <c r="AG96" s="518" t="str">
        <f>IF(AND(_2="B-767-200",'2026'!$F$4="CA",'2026'!$F$2=AG81),'2026DATA'!$D$17,"")</f>
        <v/>
      </c>
      <c r="AH96" s="518" t="str">
        <f>IF(AND(_2="B-767-200",'2026'!$F$4="CA",'2026'!$F$2=AH81),'2026DATA'!$E$17,"")</f>
        <v/>
      </c>
      <c r="AI96" s="518" t="str">
        <f>IF(AND(_2="B-767-200",'2026'!$F$4="CA",'2026'!$F$2=AI81),'2026DATA'!$F$17,"")</f>
        <v/>
      </c>
      <c r="AJ96" s="518" t="str">
        <f>IF(AND(_2="B-767-200",'2026'!$F$4="CA",'2026'!$F$2=AJ81),'2026DATA'!$G$17,"")</f>
        <v/>
      </c>
      <c r="AK96" s="518" t="str">
        <f>IF(AND(_2="B-767-200",'2026'!$F$4="CA",'2026'!$F$2=AK81),'2026DATA'!$H$17,"")</f>
        <v/>
      </c>
      <c r="AL96" s="518" t="str">
        <f>IF(AND(_2="B-767-200",'2026'!$F$4="CA",'2026'!$F$2=AL81),'2026DATA'!$I$17,"")</f>
        <v/>
      </c>
      <c r="AM96" s="518" t="str">
        <f>IF(AND(_2="B-767-200",'2026'!$F$4="CA",'2026'!$F$2=AM81),'2026DATA'!$J$17,"")</f>
        <v/>
      </c>
      <c r="AN96" s="518" t="str">
        <f>IF(AND(_2="B-767-200",'2026'!$F$4="CA",'2026'!$F$2=AN81),'2026DATA'!$K$17,"")</f>
        <v/>
      </c>
      <c r="AO96" s="518" t="str">
        <f>IF(AND(_2="B-767-200",'2026'!$F$4="CA",'2026'!$F$2=AO81),'2026DATA'!$L$17,"")</f>
        <v/>
      </c>
      <c r="AP96" s="518" t="str">
        <f>IF(AND(_2="B-767-200",'2026'!$F$4="CA",'2026'!$F$2=AP81),'2026DATA'!$M$17,"")</f>
        <v/>
      </c>
      <c r="AQ96" s="520" t="str">
        <f>IF(AND(_2="B-767-200",'2026'!$F$4="CA",'2026'!$F$2=AQ81),'2026DATA'!$N$17,"")</f>
        <v/>
      </c>
      <c r="AR96" s="940" t="s">
        <v>68</v>
      </c>
      <c r="AS96" s="13" t="s">
        <v>61</v>
      </c>
      <c r="AT96" s="518" t="str">
        <f>IF(AND(_3="B-767-200",'2026'!$F$4="CA",'2026'!$F$2=AT81),'2026DATA'!$C$17,"")</f>
        <v/>
      </c>
      <c r="AU96" s="518" t="str">
        <f>IF(AND(_3="B-767-200",'2026'!$F$4="CA",'2026'!$F$2=AU81),'2026DATA'!$D$17,"")</f>
        <v/>
      </c>
      <c r="AV96" s="518" t="str">
        <f>IF(AND(_3="B-767-200",'2026'!$F$4="CA",'2026'!$F$2=AV81),'2026DATA'!$E$17,"")</f>
        <v/>
      </c>
      <c r="AW96" s="518" t="str">
        <f>IF(AND(_3="B-767-200",'2026'!$F$4="CA",'2026'!$F$2=AW81),'2026DATA'!$F$17,"")</f>
        <v/>
      </c>
      <c r="AX96" s="518" t="str">
        <f>IF(AND(_3="B-767-200",'2026'!$F$4="CA",'2026'!$F$2=AX81),'2026DATA'!$G$17,"")</f>
        <v/>
      </c>
      <c r="AY96" s="518" t="str">
        <f>IF(AND(_3="B-767-200",'2026'!$F$4="CA",'2026'!$F$2=AY81),'2026DATA'!$H$17,"")</f>
        <v/>
      </c>
      <c r="AZ96" s="518" t="str">
        <f>IF(AND(_3="B-767-200",'2026'!$F$4="CA",'2026'!$F$2=AZ81),'2026DATA'!$I$17,"")</f>
        <v/>
      </c>
      <c r="BA96" s="518" t="str">
        <f>IF(AND(_3="B-767-200",'2026'!$F$4="CA",'2026'!$F$2=BA81),'2026DATA'!$J$17,"")</f>
        <v/>
      </c>
      <c r="BB96" s="518" t="str">
        <f>IF(AND(_3="B-767-200",'2026'!$F$4="CA",'2026'!$F$2=BB81),'2026DATA'!$K$17,"")</f>
        <v/>
      </c>
      <c r="BC96" s="518" t="str">
        <f>IF(AND(_3="B-767-200",'2026'!$F$4="CA",'2026'!$F$2=BC81),'2026DATA'!$L$17,"")</f>
        <v/>
      </c>
      <c r="BD96" s="518" t="str">
        <f>IF(AND(_3="B-767-200",'2026'!$F$4="CA",'2026'!$F$2=BD81),'2026DATA'!$M$17,"")</f>
        <v/>
      </c>
      <c r="BE96" s="520" t="str">
        <f>IF(AND(_3="B-767-200",'2026'!$F$4="CA",'2026'!$F$2=BE81),'2026DATA'!$N$17,"")</f>
        <v/>
      </c>
      <c r="BF96" s="940" t="s">
        <v>68</v>
      </c>
      <c r="BG96" s="13" t="s">
        <v>61</v>
      </c>
      <c r="BH96" s="518" t="str">
        <f>IF(AND(_4="B-767-200",'2026'!$F$4="CA",'2026'!$F$2=BH81),'2026DATA'!$C$17,"")</f>
        <v/>
      </c>
      <c r="BI96" s="518" t="str">
        <f>IF(AND(_4="B-767-200",'2026'!$F$4="CA",'2026'!$F$2=BI81),'2026DATA'!$D$17,"")</f>
        <v/>
      </c>
      <c r="BJ96" s="518" t="str">
        <f>IF(AND(_4="B-767-200",'2026'!$F$4="CA",'2026'!$F$2=BJ81),'2026DATA'!$E$17,"")</f>
        <v/>
      </c>
      <c r="BK96" s="518" t="str">
        <f>IF(AND(_4="B-767-200",'2026'!$F$4="CA",'2026'!$F$2=BK81),'2026DATA'!$F$17,"")</f>
        <v/>
      </c>
      <c r="BL96" s="518" t="str">
        <f>IF(AND(_4="B-767-200",'2026'!$F$4="CA",'2026'!$F$2=BL81),'2026DATA'!$G$17,"")</f>
        <v/>
      </c>
      <c r="BM96" s="518" t="str">
        <f>IF(AND(_4="B-767-200",'2026'!$F$4="CA",'2026'!$F$2=BM81),'2026DATA'!$H$17,"")</f>
        <v/>
      </c>
      <c r="BN96" s="518" t="str">
        <f>IF(AND(_4="B-767-200",'2026'!$F$4="CA",'2026'!$F$2=BN81),'2026DATA'!$I$17,"")</f>
        <v/>
      </c>
      <c r="BO96" s="518" t="str">
        <f>IF(AND(_4="B-767-200",'2026'!$F$4="CA",'2026'!$F$2=BO81),'2026DATA'!$J$17,"")</f>
        <v/>
      </c>
      <c r="BP96" s="518" t="str">
        <f>IF(AND(_4="B-767-200",'2026'!$F$4="CA",'2026'!$F$2=BP81),'2026DATA'!$K$17,"")</f>
        <v/>
      </c>
      <c r="BQ96" s="518" t="str">
        <f>IF(AND(_4="B-767-200",'2026'!$F$4="CA",'2026'!$F$2=BQ81),'2026DATA'!$L$17,"")</f>
        <v/>
      </c>
      <c r="BR96" s="518" t="str">
        <f>IF(AND(_4="B-767-200",'2026'!$F$4="CA",'2026'!$F$2=BR81),'2026DATA'!$M$17,"")</f>
        <v/>
      </c>
      <c r="BS96" s="520" t="str">
        <f>IF(AND(_4="B-767-200",'2026'!$F$4="CA",'2026'!$F$2=BS81),'2026DATA'!$N$17,"")</f>
        <v/>
      </c>
      <c r="BT96" s="940" t="s">
        <v>68</v>
      </c>
      <c r="BU96" s="13" t="s">
        <v>61</v>
      </c>
      <c r="BV96" s="518" t="str">
        <f>IF(AND(_5="B-767-200",'2026'!$F$4="CA",'2026'!$F$2=BV81),'2026DATA'!$C$17,"")</f>
        <v/>
      </c>
      <c r="BW96" s="518" t="str">
        <f>IF(AND(_5="B-767-200",'2026'!$F$4="CA",'2026'!$F$2=BW81),'2026DATA'!$D$17,"")</f>
        <v/>
      </c>
      <c r="BX96" s="518" t="str">
        <f>IF(AND(_5="B-767-200",'2026'!$F$4="CA",'2026'!$F$2=BX81),'2026DATA'!$E$17,"")</f>
        <v/>
      </c>
      <c r="BY96" s="518" t="str">
        <f>IF(AND(_5="B-767-200",'2026'!$F$4="CA",'2026'!$F$2=BY81),'2026DATA'!$F$17,"")</f>
        <v/>
      </c>
      <c r="BZ96" s="518" t="str">
        <f>IF(AND(_5="B-767-200",'2026'!$F$4="CA",'2026'!$F$2=BZ81),'2026DATA'!$G$17,"")</f>
        <v/>
      </c>
      <c r="CA96" s="518" t="str">
        <f>IF(AND(_5="B-767-200",'2026'!$F$4="CA",'2026'!$F$2=CA81),'2026DATA'!$H$17,"")</f>
        <v/>
      </c>
      <c r="CB96" s="518" t="str">
        <f>IF(AND(_5="B-767-200",'2026'!$F$4="CA",'2026'!$F$2=CB81),'2026DATA'!$I$17,"")</f>
        <v/>
      </c>
      <c r="CC96" s="518" t="str">
        <f>IF(AND(_5="B-767-200",'2026'!$F$4="CA",'2026'!$F$2=CC81),'2026DATA'!$J$17,"")</f>
        <v/>
      </c>
      <c r="CD96" s="518" t="str">
        <f>IF(AND(_5="B-767-200",'2026'!$F$4="CA",'2026'!$F$2=CD81),'2026DATA'!$K$17,"")</f>
        <v/>
      </c>
      <c r="CE96" s="518" t="str">
        <f>IF(AND(_5="B-767-200",'2026'!$F$4="CA",'2026'!$F$2=CE81),'2026DATA'!$L$17,"")</f>
        <v/>
      </c>
      <c r="CF96" s="518" t="str">
        <f>IF(AND(_5="B-767-200",'2026'!$F$4="CA",'2026'!$F$2=CF81),'2026DATA'!$M$17,"")</f>
        <v/>
      </c>
      <c r="CG96" s="520" t="str">
        <f>IF(AND(_5="B-767-200",'2026'!$F$4="CA",'2026'!$F$2=CG81),'2026DATA'!$N$17,"")</f>
        <v/>
      </c>
      <c r="CH96" s="940" t="s">
        <v>68</v>
      </c>
      <c r="CI96" s="13" t="s">
        <v>61</v>
      </c>
      <c r="CJ96" s="518" t="str">
        <f>IF(AND(_6="B-767-200",'2026'!$F$4="CA",'2026'!$F$2=CJ81),'2026DATA'!$C$17,"")</f>
        <v/>
      </c>
      <c r="CK96" s="518" t="str">
        <f>IF(AND(_6="B-767-200",'2026'!$F$4="CA",'2026'!$F$2=CK81),'2026DATA'!$D$17,"")</f>
        <v/>
      </c>
      <c r="CL96" s="518" t="str">
        <f>IF(AND(_6="B-767-200",'2026'!$F$4="CA",'2026'!$F$2=CL81),'2026DATA'!$E$17,"")</f>
        <v/>
      </c>
      <c r="CM96" s="518" t="str">
        <f>IF(AND(_6="B-767-200",'2026'!$F$4="CA",'2026'!$F$2=CM81),'2026DATA'!$F$17,"")</f>
        <v/>
      </c>
      <c r="CN96" s="518" t="str">
        <f>IF(AND(_6="B-767-200",'2026'!$F$4="CA",'2026'!$F$2=CN81),'2026DATA'!$G$17,"")</f>
        <v/>
      </c>
      <c r="CO96" s="518" t="str">
        <f>IF(AND(_6="B-767-200",'2026'!$F$4="CA",'2026'!$F$2=CO81),'2026DATA'!$H$17,"")</f>
        <v/>
      </c>
      <c r="CP96" s="518" t="str">
        <f>IF(AND(_6="B-767-200",'2026'!$F$4="CA",'2026'!$F$2=CP81),'2026DATA'!$I$17,"")</f>
        <v/>
      </c>
      <c r="CQ96" s="518" t="str">
        <f>IF(AND(_6="B-767-200",'2026'!$F$4="CA",'2026'!$F$2=CQ81),'2026DATA'!$J$17,"")</f>
        <v/>
      </c>
      <c r="CR96" s="518" t="str">
        <f>IF(AND(_6="B-767-200",'2026'!$F$4="CA",'2026'!$F$2=CR81),'2026DATA'!$K$17,"")</f>
        <v/>
      </c>
      <c r="CS96" s="518" t="str">
        <f>IF(AND(_6="B-767-200",'2026'!$F$4="CA",'2026'!$F$2=CS81),'2026DATA'!$L$17,"")</f>
        <v/>
      </c>
      <c r="CT96" s="518" t="str">
        <f>IF(AND(_6="B-767-200",'2026'!$F$4="CA",'2026'!$F$2=CT81),'2026DATA'!$M$17,"")</f>
        <v/>
      </c>
      <c r="CU96" s="520" t="str">
        <f>IF(AND(_6="B-767-200",'2026'!$F$4="CA",'2026'!$F$2=CU81),'2026DATA'!$N$17,"")</f>
        <v/>
      </c>
    </row>
    <row r="97" spans="16:99" x14ac:dyDescent="0.25">
      <c r="P97" s="940"/>
      <c r="Q97" s="13" t="s">
        <v>62</v>
      </c>
      <c r="R97" s="518" t="str">
        <f>IF(AND(_1="B-767-200",'2026'!$F$4="FO",'2026'!$F$2=R81),'2026DATA'!$C$18,"")</f>
        <v/>
      </c>
      <c r="S97" s="518" t="str">
        <f>IF(AND(_1="B-767-200",'2026'!$F$4="FO",'2026'!$F$2=S81),'2026DATA'!$D$18,"")</f>
        <v/>
      </c>
      <c r="T97" s="518" t="str">
        <f>IF(AND(_1="B-767-200",'2026'!$F$4="FO",'2026'!$F$2=T81),'2026DATA'!$E$18,"")</f>
        <v/>
      </c>
      <c r="U97" s="518" t="str">
        <f>IF(AND(_1="B-767-200",'2026'!$F$4="FO",'2026'!$F$2=U81),'2026DATA'!$F$18,"")</f>
        <v/>
      </c>
      <c r="V97" s="518" t="str">
        <f>IF(AND(_1="B-767-200",'2026'!$F$4="FO",'2026'!$F$2=V81),'2026DATA'!$G$18,"")</f>
        <v/>
      </c>
      <c r="W97" s="518" t="str">
        <f>IF(AND(_1="B-767-200",'2026'!$F$4="FO",'2026'!$F$2=W81),'2026DATA'!$H$18,"")</f>
        <v/>
      </c>
      <c r="X97" s="518" t="str">
        <f>IF(AND(_1="B-767-200",'2026'!$F$4="FO",'2026'!$F$2=X81),'2026DATA'!$I$18,"")</f>
        <v/>
      </c>
      <c r="Y97" s="518" t="str">
        <f>IF(AND(_1="B-767-200",'2026'!$F$4="FO",'2026'!$F$2=Y81),'2026DATA'!$J$18,"")</f>
        <v/>
      </c>
      <c r="Z97" s="518" t="str">
        <f>IF(AND(_1="B-767-200",'2026'!$F$4="FO",'2026'!$F$2=Z81),'2026DATA'!$K$18,"")</f>
        <v/>
      </c>
      <c r="AA97" s="518" t="str">
        <f>IF(AND(_1="B-767-200",'2026'!$F$4="FO",'2026'!$F$2=AA81),'2026DATA'!$L$18,"")</f>
        <v/>
      </c>
      <c r="AB97" s="518" t="str">
        <f>IF(AND(_1="B-767-200",'2026'!$F$4="FO",'2026'!$F$2=AB81),'2026DATA'!$M$18,"")</f>
        <v/>
      </c>
      <c r="AC97" s="520" t="str">
        <f>IF(AND(_1="B-767-200",'2026'!$F$4="FO",'2026'!$F$2=AC81),'2026DATA'!$N$18,"")</f>
        <v/>
      </c>
      <c r="AD97" s="940"/>
      <c r="AE97" s="13" t="s">
        <v>62</v>
      </c>
      <c r="AF97" s="518" t="str">
        <f>IF(AND(_2="B-767-200",'2026'!$F$4="FO",'2026'!$F$2=AF81),'2026DATA'!$C$18,"")</f>
        <v/>
      </c>
      <c r="AG97" s="518" t="str">
        <f>IF(AND(_2="B-767-200",'2026'!$F$4="FO",'2026'!$F$2=AG81),'2026DATA'!$D$18,"")</f>
        <v/>
      </c>
      <c r="AH97" s="518" t="str">
        <f>IF(AND(_2="B-767-200",'2026'!$F$4="FO",'2026'!$F$2=AH81),'2026DATA'!$E$18,"")</f>
        <v/>
      </c>
      <c r="AI97" s="518" t="str">
        <f>IF(AND(_2="B-767-200",'2026'!$F$4="FO",'2026'!$F$2=AI81),'2026DATA'!$F$18,"")</f>
        <v/>
      </c>
      <c r="AJ97" s="518" t="str">
        <f>IF(AND(_2="B-767-200",'2026'!$F$4="FO",'2026'!$F$2=AJ81),'2026DATA'!$G$18,"")</f>
        <v/>
      </c>
      <c r="AK97" s="518" t="str">
        <f>IF(AND(_2="B-767-200",'2026'!$F$4="FO",'2026'!$F$2=AK81),'2026DATA'!$H$18,"")</f>
        <v/>
      </c>
      <c r="AL97" s="518" t="str">
        <f>IF(AND(_2="B-767-200",'2026'!$F$4="FO",'2026'!$F$2=AL81),'2026DATA'!$I$18,"")</f>
        <v/>
      </c>
      <c r="AM97" s="518" t="str">
        <f>IF(AND(_2="B-767-200",'2026'!$F$4="FO",'2026'!$F$2=AM81),'2026DATA'!$J$18,"")</f>
        <v/>
      </c>
      <c r="AN97" s="518" t="str">
        <f>IF(AND(_2="B-767-200",'2026'!$F$4="FO",'2026'!$F$2=AN81),'2026DATA'!$K$18,"")</f>
        <v/>
      </c>
      <c r="AO97" s="518" t="str">
        <f>IF(AND(_2="B-767-200",'2026'!$F$4="FO",'2026'!$F$2=AO81),'2026DATA'!$L$18,"")</f>
        <v/>
      </c>
      <c r="AP97" s="518" t="str">
        <f>IF(AND(_2="B-767-200",'2026'!$F$4="FO",'2026'!$F$2=AP81),'2026DATA'!$M$18,"")</f>
        <v/>
      </c>
      <c r="AQ97" s="520" t="str">
        <f>IF(AND(_2="B-767-200",'2026'!$F$4="FO",'2026'!$F$2=AQ81),'2026DATA'!$N$18,"")</f>
        <v/>
      </c>
      <c r="AR97" s="940"/>
      <c r="AS97" s="13" t="s">
        <v>62</v>
      </c>
      <c r="AT97" s="518" t="str">
        <f>IF(AND(_3="B-767-200",'2026'!$F$4="FO",'2026'!$F$2=AT81),'2026DATA'!$C$18,"")</f>
        <v/>
      </c>
      <c r="AU97" s="518" t="str">
        <f>IF(AND(_3="B-767-200",'2026'!$F$4="FO",'2026'!$F$2=AU81),'2026DATA'!$D$18,"")</f>
        <v/>
      </c>
      <c r="AV97" s="518" t="str">
        <f>IF(AND(_3="B-767-200",'2026'!$F$4="FO",'2026'!$F$2=AV81),'2026DATA'!$E$18,"")</f>
        <v/>
      </c>
      <c r="AW97" s="518" t="str">
        <f>IF(AND(_3="B-767-200",'2026'!$F$4="FO",'2026'!$F$2=AW81),'2026DATA'!$F$18,"")</f>
        <v/>
      </c>
      <c r="AX97" s="518" t="str">
        <f>IF(AND(_3="B-767-200",'2026'!$F$4="FO",'2026'!$F$2=AX81),'2026DATA'!$G$18,"")</f>
        <v/>
      </c>
      <c r="AY97" s="518" t="str">
        <f>IF(AND(_3="B-767-200",'2026'!$F$4="FO",'2026'!$F$2=AY81),'2026DATA'!$H$18,"")</f>
        <v/>
      </c>
      <c r="AZ97" s="518" t="str">
        <f>IF(AND(_3="B-767-200",'2026'!$F$4="FO",'2026'!$F$2=AZ81),'2026DATA'!$I$18,"")</f>
        <v/>
      </c>
      <c r="BA97" s="518" t="str">
        <f>IF(AND(_3="B-767-200",'2026'!$F$4="FO",'2026'!$F$2=BA81),'2026DATA'!$J$18,"")</f>
        <v/>
      </c>
      <c r="BB97" s="518" t="str">
        <f>IF(AND(_3="B-767-200",'2026'!$F$4="FO",'2026'!$F$2=BB81),'2026DATA'!$K$18,"")</f>
        <v/>
      </c>
      <c r="BC97" s="518" t="str">
        <f>IF(AND(_3="B-767-200",'2026'!$F$4="FO",'2026'!$F$2=BC81),'2026DATA'!$L$18,"")</f>
        <v/>
      </c>
      <c r="BD97" s="518" t="str">
        <f>IF(AND(_3="B-767-200",'2026'!$F$4="FO",'2026'!$F$2=BD81),'2026DATA'!$M$18,"")</f>
        <v/>
      </c>
      <c r="BE97" s="520" t="str">
        <f>IF(AND(_3="B-767-200",'2026'!$F$4="FO",'2026'!$F$2=BE81),'2026DATA'!$N$18,"")</f>
        <v/>
      </c>
      <c r="BF97" s="940"/>
      <c r="BG97" s="13" t="s">
        <v>62</v>
      </c>
      <c r="BH97" s="518" t="str">
        <f>IF(AND(_4="B-767-200",'2026'!$F$4="FO",'2026'!$F$2=BH81),'2026DATA'!$C$18,"")</f>
        <v/>
      </c>
      <c r="BI97" s="518" t="str">
        <f>IF(AND(_4="B-767-200",'2026'!$F$4="FO",'2026'!$F$2=BI81),'2026DATA'!$D$18,"")</f>
        <v/>
      </c>
      <c r="BJ97" s="518" t="str">
        <f>IF(AND(_4="B-767-200",'2026'!$F$4="FO",'2026'!$F$2=BJ81),'2026DATA'!$E$18,"")</f>
        <v/>
      </c>
      <c r="BK97" s="518" t="str">
        <f>IF(AND(_4="B-767-200",'2026'!$F$4="FO",'2026'!$F$2=BK81),'2026DATA'!$F$18,"")</f>
        <v/>
      </c>
      <c r="BL97" s="518" t="str">
        <f>IF(AND(_4="B-767-200",'2026'!$F$4="FO",'2026'!$F$2=BL81),'2026DATA'!$G$18,"")</f>
        <v/>
      </c>
      <c r="BM97" s="518" t="str">
        <f>IF(AND(_4="B-767-200",'2026'!$F$4="FO",'2026'!$F$2=BM81),'2026DATA'!$H$18,"")</f>
        <v/>
      </c>
      <c r="BN97" s="518" t="str">
        <f>IF(AND(_4="B-767-200",'2026'!$F$4="FO",'2026'!$F$2=BN81),'2026DATA'!$I$18,"")</f>
        <v/>
      </c>
      <c r="BO97" s="518" t="str">
        <f>IF(AND(_4="B-767-200",'2026'!$F$4="FO",'2026'!$F$2=BO81),'2026DATA'!$J$18,"")</f>
        <v/>
      </c>
      <c r="BP97" s="518" t="str">
        <f>IF(AND(_4="B-767-200",'2026'!$F$4="FO",'2026'!$F$2=BP81),'2026DATA'!$K$18,"")</f>
        <v/>
      </c>
      <c r="BQ97" s="518" t="str">
        <f>IF(AND(_4="B-767-200",'2026'!$F$4="FO",'2026'!$F$2=BQ81),'2026DATA'!$L$18,"")</f>
        <v/>
      </c>
      <c r="BR97" s="518" t="str">
        <f>IF(AND(_4="B-767-200",'2026'!$F$4="FO",'2026'!$F$2=BR81),'2026DATA'!$M$18,"")</f>
        <v/>
      </c>
      <c r="BS97" s="520" t="str">
        <f>IF(AND(_4="B-767-200",'2026'!$F$4="FO",'2026'!$F$2=BS81),'2026DATA'!$N$18,"")</f>
        <v/>
      </c>
      <c r="BT97" s="940"/>
      <c r="BU97" s="13" t="s">
        <v>62</v>
      </c>
      <c r="BV97" s="518" t="str">
        <f>IF(AND(_5="B-767-200",'2026'!$F$4="FO",'2026'!$F$2=BV81),'2026DATA'!$C$18,"")</f>
        <v/>
      </c>
      <c r="BW97" s="518" t="str">
        <f>IF(AND(_5="B-767-200",'2026'!$F$4="FO",'2026'!$F$2=BW81),'2026DATA'!$D$18,"")</f>
        <v/>
      </c>
      <c r="BX97" s="518" t="str">
        <f>IF(AND(_5="B-767-200",'2026'!$F$4="FO",'2026'!$F$2=BX81),'2026DATA'!$E$18,"")</f>
        <v/>
      </c>
      <c r="BY97" s="518" t="str">
        <f>IF(AND(_5="B-767-200",'2026'!$F$4="FO",'2026'!$F$2=BY81),'2026DATA'!$F$18,"")</f>
        <v/>
      </c>
      <c r="BZ97" s="518" t="str">
        <f>IF(AND(_5="B-767-200",'2026'!$F$4="FO",'2026'!$F$2=BZ81),'2026DATA'!$G$18,"")</f>
        <v/>
      </c>
      <c r="CA97" s="518" t="str">
        <f>IF(AND(_5="B-767-200",'2026'!$F$4="FO",'2026'!$F$2=CA81),'2026DATA'!$H$18,"")</f>
        <v/>
      </c>
      <c r="CB97" s="518" t="str">
        <f>IF(AND(_5="B-767-200",'2026'!$F$4="FO",'2026'!$F$2=CB81),'2026DATA'!$I$18,"")</f>
        <v/>
      </c>
      <c r="CC97" s="518" t="str">
        <f>IF(AND(_5="B-767-200",'2026'!$F$4="FO",'2026'!$F$2=CC81),'2026DATA'!$J$18,"")</f>
        <v/>
      </c>
      <c r="CD97" s="518" t="str">
        <f>IF(AND(_5="B-767-200",'2026'!$F$4="FO",'2026'!$F$2=CD81),'2026DATA'!$K$18,"")</f>
        <v/>
      </c>
      <c r="CE97" s="518" t="str">
        <f>IF(AND(_5="B-767-200",'2026'!$F$4="FO",'2026'!$F$2=CE81),'2026DATA'!$L$18,"")</f>
        <v/>
      </c>
      <c r="CF97" s="518" t="str">
        <f>IF(AND(_5="B-767-200",'2026'!$F$4="FO",'2026'!$F$2=CF81),'2026DATA'!$M$18,"")</f>
        <v/>
      </c>
      <c r="CG97" s="520" t="str">
        <f>IF(AND(_5="B-767-200",'2026'!$F$4="FO",'2026'!$F$2=CG81),'2026DATA'!$N$18,"")</f>
        <v/>
      </c>
      <c r="CH97" s="940"/>
      <c r="CI97" s="13" t="s">
        <v>62</v>
      </c>
      <c r="CJ97" s="518" t="str">
        <f>IF(AND(_6="B-767-200",'2026'!$F$4="FO",'2026'!$F$2=CJ81),'2026DATA'!$C$18,"")</f>
        <v/>
      </c>
      <c r="CK97" s="518" t="str">
        <f>IF(AND(_6="B-767-200",'2026'!$F$4="FO",'2026'!$F$2=CK81),'2026DATA'!$D$18,"")</f>
        <v/>
      </c>
      <c r="CL97" s="518" t="str">
        <f>IF(AND(_6="B-767-200",'2026'!$F$4="FO",'2026'!$F$2=CL81),'2026DATA'!$E$18,"")</f>
        <v/>
      </c>
      <c r="CM97" s="518" t="str">
        <f>IF(AND(_6="B-767-200",'2026'!$F$4="FO",'2026'!$F$2=CM81),'2026DATA'!$F$18,"")</f>
        <v/>
      </c>
      <c r="CN97" s="518" t="str">
        <f>IF(AND(_6="B-767-200",'2026'!$F$4="FO",'2026'!$F$2=CN81),'2026DATA'!$G$18,"")</f>
        <v/>
      </c>
      <c r="CO97" s="518" t="str">
        <f>IF(AND(_6="B-767-200",'2026'!$F$4="FO",'2026'!$F$2=CO81),'2026DATA'!$H$18,"")</f>
        <v/>
      </c>
      <c r="CP97" s="518" t="str">
        <f>IF(AND(_6="B-767-200",'2026'!$F$4="FO",'2026'!$F$2=CP81),'2026DATA'!$I$18,"")</f>
        <v/>
      </c>
      <c r="CQ97" s="518" t="str">
        <f>IF(AND(_6="B-767-200",'2026'!$F$4="FO",'2026'!$F$2=CQ81),'2026DATA'!$J$18,"")</f>
        <v/>
      </c>
      <c r="CR97" s="518" t="str">
        <f>IF(AND(_6="B-767-200",'2026'!$F$4="FO",'2026'!$F$2=CR81),'2026DATA'!$K$18,"")</f>
        <v/>
      </c>
      <c r="CS97" s="518" t="str">
        <f>IF(AND(_6="B-767-200",'2026'!$F$4="FO",'2026'!$F$2=CS81),'2026DATA'!$L$18,"")</f>
        <v/>
      </c>
      <c r="CT97" s="518" t="str">
        <f>IF(AND(_6="B-767-200",'2026'!$F$4="FO",'2026'!$F$2=CT81),'2026DATA'!$M$18,"")</f>
        <v/>
      </c>
      <c r="CU97" s="520" t="str">
        <f>IF(AND(_6="B-767-200",'2026'!$F$4="FO",'2026'!$F$2=CU81),'2026DATA'!$N$18,"")</f>
        <v/>
      </c>
    </row>
    <row r="98" spans="16:99" x14ac:dyDescent="0.25">
      <c r="P98" s="940" t="s">
        <v>45</v>
      </c>
      <c r="Q98" s="13" t="s">
        <v>61</v>
      </c>
      <c r="R98" s="518" t="str">
        <f>IF(AND(_1="B-757",'2026'!$F$4="CA",'2026'!$F$2=R81),'2026DATA'!$C$19,"")</f>
        <v/>
      </c>
      <c r="S98" s="518" t="str">
        <f>IF(AND(_1="B-757",'2026'!$F$4="CA",'2026'!$F$2=S81),'2026DATA'!$D$19,"")</f>
        <v/>
      </c>
      <c r="T98" s="518" t="str">
        <f>IF(AND(_1="B-757",'2026'!$F$4="CA",'2026'!$F$2=T81),'2026DATA'!$E$19,"")</f>
        <v/>
      </c>
      <c r="U98" s="518" t="str">
        <f>IF(AND(_1="B-757",'2026'!$F$4="CA",'2026'!$F$2=U81),'2026DATA'!$F$19,"")</f>
        <v/>
      </c>
      <c r="V98" s="518" t="str">
        <f>IF(AND(_1="B-757",'2026'!$F$4="CA",'2026'!$F$2=V81),'2026DATA'!$G$19,"")</f>
        <v/>
      </c>
      <c r="W98" s="518" t="str">
        <f>IF(AND(_1="B-757",'2026'!$F$4="CA",'2026'!$F$2=W81),'2026DATA'!$H$19,"")</f>
        <v/>
      </c>
      <c r="X98" s="518" t="str">
        <f>IF(AND(_1="B-757",'2026'!$F$4="CA",'2026'!$F$2=X81),'2026DATA'!$I$19,"")</f>
        <v/>
      </c>
      <c r="Y98" s="518" t="str">
        <f>IF(AND(_1="B-757",'2026'!$F$4="CA",'2026'!$F$2=Y81),'2026DATA'!$J$19,"")</f>
        <v/>
      </c>
      <c r="Z98" s="518" t="str">
        <f>IF(AND(_1="B-757",'2026'!$F$4="CA",'2026'!$F$2=Z81),'2026DATA'!$K$19,"")</f>
        <v/>
      </c>
      <c r="AA98" s="518" t="str">
        <f>IF(AND(_1="B-757",'2026'!$F$4="CA",'2026'!$F$2=AA81),'2026DATA'!$L$19,"")</f>
        <v/>
      </c>
      <c r="AB98" s="518" t="str">
        <f>IF(AND(_1="B-757",'2026'!$F$4="CA",'2026'!$F$2=AB81),'2026DATA'!$M$19,"")</f>
        <v/>
      </c>
      <c r="AC98" s="520" t="str">
        <f>IF(AND(_1="B-757",'2026'!$F$4="CA",'2026'!$F$2=AC81),'2026DATA'!$N$19,"")</f>
        <v/>
      </c>
      <c r="AD98" s="940" t="s">
        <v>45</v>
      </c>
      <c r="AE98" s="13" t="s">
        <v>61</v>
      </c>
      <c r="AF98" s="518" t="str">
        <f>IF(AND(_2="B-757",'2026'!$F$4="CA",'2026'!$F$2=AF81),'2026DATA'!$C$19,"")</f>
        <v/>
      </c>
      <c r="AG98" s="518" t="str">
        <f>IF(AND(_2="B-757",'2026'!$F$4="CA",'2026'!$F$2=AG81),'2026DATA'!$D$19,"")</f>
        <v/>
      </c>
      <c r="AH98" s="518" t="str">
        <f>IF(AND(_2="B-757",'2026'!$F$4="CA",'2026'!$F$2=AH81),'2026DATA'!$E$19,"")</f>
        <v/>
      </c>
      <c r="AI98" s="518" t="str">
        <f>IF(AND(_2="B-757",'2026'!$F$4="CA",'2026'!$F$2=AI81),'2026DATA'!$F$19,"")</f>
        <v/>
      </c>
      <c r="AJ98" s="518" t="str">
        <f>IF(AND(_2="B-757",'2026'!$F$4="CA",'2026'!$F$2=AJ81),'2026DATA'!$G$19,"")</f>
        <v/>
      </c>
      <c r="AK98" s="518" t="str">
        <f>IF(AND(_2="B-757",'2026'!$F$4="CA",'2026'!$F$2=AK81),'2026DATA'!$H$19,"")</f>
        <v/>
      </c>
      <c r="AL98" s="518" t="str">
        <f>IF(AND(_2="B-757",'2026'!$F$4="CA",'2026'!$F$2=AL81),'2026DATA'!$I$19,"")</f>
        <v/>
      </c>
      <c r="AM98" s="518" t="str">
        <f>IF(AND(_2="B-757",'2026'!$F$4="CA",'2026'!$F$2=AM81),'2026DATA'!$J$19,"")</f>
        <v/>
      </c>
      <c r="AN98" s="518" t="str">
        <f>IF(AND(_2="B-757",'2026'!$F$4="CA",'2026'!$F$2=AN81),'2026DATA'!$K$19,"")</f>
        <v/>
      </c>
      <c r="AO98" s="518" t="str">
        <f>IF(AND(_2="B-757",'2026'!$F$4="CA",'2026'!$F$2=AO81),'2026DATA'!$L$19,"")</f>
        <v/>
      </c>
      <c r="AP98" s="518" t="str">
        <f>IF(AND(_2="B-757",'2026'!$F$4="CA",'2026'!$F$2=AP81),'2026DATA'!$M$19,"")</f>
        <v/>
      </c>
      <c r="AQ98" s="520" t="str">
        <f>IF(AND(_2="B-757",'2026'!$F$4="CA",'2026'!$F$2=AQ81),'2026DATA'!$N$19,"")</f>
        <v/>
      </c>
      <c r="AR98" s="940" t="s">
        <v>45</v>
      </c>
      <c r="AS98" s="13" t="s">
        <v>61</v>
      </c>
      <c r="AT98" s="518" t="str">
        <f>IF(AND(_3="B-757",'2026'!$F$4="CA",'2026'!$F$2=AT81),'2026DATA'!$C$19,"")</f>
        <v/>
      </c>
      <c r="AU98" s="518" t="str">
        <f>IF(AND(_3="B-757",'2026'!$F$4="CA",'2026'!$F$2=AU81),'2026DATA'!$D$19,"")</f>
        <v/>
      </c>
      <c r="AV98" s="518" t="str">
        <f>IF(AND(_3="B-757",'2026'!$F$4="CA",'2026'!$F$2=AV81),'2026DATA'!$E$19,"")</f>
        <v/>
      </c>
      <c r="AW98" s="518" t="str">
        <f>IF(AND(_3="B-757",'2026'!$F$4="CA",'2026'!$F$2=AW81),'2026DATA'!$F$19,"")</f>
        <v/>
      </c>
      <c r="AX98" s="518" t="str">
        <f>IF(AND(_3="B-757",'2026'!$F$4="CA",'2026'!$F$2=AX81),'2026DATA'!$G$19,"")</f>
        <v/>
      </c>
      <c r="AY98" s="518" t="str">
        <f>IF(AND(_3="B-757",'2026'!$F$4="CA",'2026'!$F$2=AY81),'2026DATA'!$H$19,"")</f>
        <v/>
      </c>
      <c r="AZ98" s="518" t="str">
        <f>IF(AND(_3="B-757",'2026'!$F$4="CA",'2026'!$F$2=AZ81),'2026DATA'!$I$19,"")</f>
        <v/>
      </c>
      <c r="BA98" s="518" t="str">
        <f>IF(AND(_3="B-757",'2026'!$F$4="CA",'2026'!$F$2=BA81),'2026DATA'!$J$19,"")</f>
        <v/>
      </c>
      <c r="BB98" s="518" t="str">
        <f>IF(AND(_3="B-757",'2026'!$F$4="CA",'2026'!$F$2=BB81),'2026DATA'!$K$19,"")</f>
        <v/>
      </c>
      <c r="BC98" s="518" t="str">
        <f>IF(AND(_3="B-757",'2026'!$F$4="CA",'2026'!$F$2=BC81),'2026DATA'!$L$19,"")</f>
        <v/>
      </c>
      <c r="BD98" s="518" t="str">
        <f>IF(AND(_3="B-757",'2026'!$F$4="CA",'2026'!$F$2=BD81),'2026DATA'!$M$19,"")</f>
        <v/>
      </c>
      <c r="BE98" s="520" t="str">
        <f>IF(AND(_3="B-757",'2026'!$F$4="CA",'2026'!$F$2=BE81),'2026DATA'!$N$19,"")</f>
        <v/>
      </c>
      <c r="BF98" s="940" t="s">
        <v>45</v>
      </c>
      <c r="BG98" s="13" t="s">
        <v>61</v>
      </c>
      <c r="BH98" s="518" t="str">
        <f>IF(AND(_4="B-757",'2026'!$F$4="CA",'2026'!$F$2=BH81),'2026DATA'!$C$19,"")</f>
        <v/>
      </c>
      <c r="BI98" s="518" t="str">
        <f>IF(AND(_4="B-757",'2026'!$F$4="CA",'2026'!$F$2=BI81),'2026DATA'!$D$19,"")</f>
        <v/>
      </c>
      <c r="BJ98" s="518" t="str">
        <f>IF(AND(_4="B-757",'2026'!$F$4="CA",'2026'!$F$2=BJ81),'2026DATA'!$E$19,"")</f>
        <v/>
      </c>
      <c r="BK98" s="518" t="str">
        <f>IF(AND(_4="B-757",'2026'!$F$4="CA",'2026'!$F$2=BK81),'2026DATA'!$F$19,"")</f>
        <v/>
      </c>
      <c r="BL98" s="518" t="str">
        <f>IF(AND(_4="B-757",'2026'!$F$4="CA",'2026'!$F$2=BL81),'2026DATA'!$G$19,"")</f>
        <v/>
      </c>
      <c r="BM98" s="518" t="str">
        <f>IF(AND(_4="B-757",'2026'!$F$4="CA",'2026'!$F$2=BM81),'2026DATA'!$H$19,"")</f>
        <v/>
      </c>
      <c r="BN98" s="518" t="str">
        <f>IF(AND(_4="B-757",'2026'!$F$4="CA",'2026'!$F$2=BN81),'2026DATA'!$I$19,"")</f>
        <v/>
      </c>
      <c r="BO98" s="518" t="str">
        <f>IF(AND(_4="B-757",'2026'!$F$4="CA",'2026'!$F$2=BO81),'2026DATA'!$J$19,"")</f>
        <v/>
      </c>
      <c r="BP98" s="518" t="str">
        <f>IF(AND(_4="B-757",'2026'!$F$4="CA",'2026'!$F$2=BP81),'2026DATA'!$K$19,"")</f>
        <v/>
      </c>
      <c r="BQ98" s="518" t="str">
        <f>IF(AND(_4="B-757",'2026'!$F$4="CA",'2026'!$F$2=BQ81),'2026DATA'!$L$19,"")</f>
        <v/>
      </c>
      <c r="BR98" s="518" t="str">
        <f>IF(AND(_4="B-757",'2026'!$F$4="CA",'2026'!$F$2=BR81),'2026DATA'!$M$19,"")</f>
        <v/>
      </c>
      <c r="BS98" s="520" t="str">
        <f>IF(AND(_4="B-757",'2026'!$F$4="CA",'2026'!$F$2=BS81),'2026DATA'!$N$19,"")</f>
        <v/>
      </c>
      <c r="BT98" s="940" t="s">
        <v>45</v>
      </c>
      <c r="BU98" s="13" t="s">
        <v>61</v>
      </c>
      <c r="BV98" s="518" t="str">
        <f>IF(AND(_5="B-757",'2026'!$F$4="CA",'2026'!$F$2=BV81),'2026DATA'!$C$19,"")</f>
        <v/>
      </c>
      <c r="BW98" s="518" t="str">
        <f>IF(AND(_5="B-757",'2026'!$F$4="CA",'2026'!$F$2=BW81),'2026DATA'!$D$19,"")</f>
        <v/>
      </c>
      <c r="BX98" s="518" t="str">
        <f>IF(AND(_5="B-757",'2026'!$F$4="CA",'2026'!$F$2=BX81),'2026DATA'!$E$19,"")</f>
        <v/>
      </c>
      <c r="BY98" s="518" t="str">
        <f>IF(AND(_5="B-757",'2026'!$F$4="CA",'2026'!$F$2=BY81),'2026DATA'!$F$19,"")</f>
        <v/>
      </c>
      <c r="BZ98" s="518" t="str">
        <f>IF(AND(_5="B-757",'2026'!$F$4="CA",'2026'!$F$2=BZ81),'2026DATA'!$G$19,"")</f>
        <v/>
      </c>
      <c r="CA98" s="518" t="str">
        <f>IF(AND(_5="B-757",'2026'!$F$4="CA",'2026'!$F$2=CA81),'2026DATA'!$H$19,"")</f>
        <v/>
      </c>
      <c r="CB98" s="518" t="str">
        <f>IF(AND(_5="B-757",'2026'!$F$4="CA",'2026'!$F$2=CB81),'2026DATA'!$I$19,"")</f>
        <v/>
      </c>
      <c r="CC98" s="518" t="str">
        <f>IF(AND(_5="B-757",'2026'!$F$4="CA",'2026'!$F$2=CC81),'2026DATA'!$J$19,"")</f>
        <v/>
      </c>
      <c r="CD98" s="518" t="str">
        <f>IF(AND(_5="B-757",'2026'!$F$4="CA",'2026'!$F$2=CD81),'2026DATA'!$K$19,"")</f>
        <v/>
      </c>
      <c r="CE98" s="518" t="str">
        <f>IF(AND(_5="B-757",'2026'!$F$4="CA",'2026'!$F$2=CE81),'2026DATA'!$L$19,"")</f>
        <v/>
      </c>
      <c r="CF98" s="518" t="str">
        <f>IF(AND(_5="B-757",'2026'!$F$4="CA",'2026'!$F$2=CF81),'2026DATA'!$M$19,"")</f>
        <v/>
      </c>
      <c r="CG98" s="520" t="str">
        <f>IF(AND(_5="B-757",'2026'!$F$4="CA",'2026'!$F$2=CG81),'2026DATA'!$N$19,"")</f>
        <v/>
      </c>
      <c r="CH98" s="940" t="s">
        <v>45</v>
      </c>
      <c r="CI98" s="13" t="s">
        <v>61</v>
      </c>
      <c r="CJ98" s="518" t="str">
        <f>IF(AND(_6="B-757",'2026'!$F$4="CA",'2026'!$F$2=CJ81),'2026DATA'!$C$19,"")</f>
        <v/>
      </c>
      <c r="CK98" s="518" t="str">
        <f>IF(AND(_6="B-757",'2026'!$F$4="CA",'2026'!$F$2=CK81),'2026DATA'!$D$19,"")</f>
        <v/>
      </c>
      <c r="CL98" s="518" t="str">
        <f>IF(AND(_6="B-757",'2026'!$F$4="CA",'2026'!$F$2=CL81),'2026DATA'!$E$19,"")</f>
        <v/>
      </c>
      <c r="CM98" s="518" t="str">
        <f>IF(AND(_6="B-757",'2026'!$F$4="CA",'2026'!$F$2=CM81),'2026DATA'!$F$19,"")</f>
        <v/>
      </c>
      <c r="CN98" s="518" t="str">
        <f>IF(AND(_6="B-757",'2026'!$F$4="CA",'2026'!$F$2=CN81),'2026DATA'!$G$19,"")</f>
        <v/>
      </c>
      <c r="CO98" s="518" t="str">
        <f>IF(AND(_6="B-757",'2026'!$F$4="CA",'2026'!$F$2=CO81),'2026DATA'!$H$19,"")</f>
        <v/>
      </c>
      <c r="CP98" s="518" t="str">
        <f>IF(AND(_6="B-757",'2026'!$F$4="CA",'2026'!$F$2=CP81),'2026DATA'!$I$19,"")</f>
        <v/>
      </c>
      <c r="CQ98" s="518" t="str">
        <f>IF(AND(_6="B-757",'2026'!$F$4="CA",'2026'!$F$2=CQ81),'2026DATA'!$J$19,"")</f>
        <v/>
      </c>
      <c r="CR98" s="518" t="str">
        <f>IF(AND(_6="B-757",'2026'!$F$4="CA",'2026'!$F$2=CR81),'2026DATA'!$K$19,"")</f>
        <v/>
      </c>
      <c r="CS98" s="518" t="str">
        <f>IF(AND(_6="B-757",'2026'!$F$4="CA",'2026'!$F$2=CS81),'2026DATA'!$L$19,"")</f>
        <v/>
      </c>
      <c r="CT98" s="518" t="str">
        <f>IF(AND(_6="B-757",'2026'!$F$4="CA",'2026'!$F$2=CT81),'2026DATA'!$M$19,"")</f>
        <v/>
      </c>
      <c r="CU98" s="520" t="str">
        <f>IF(AND(_6="B-757",'2026'!$F$4="CA",'2026'!$F$2=CU81),'2026DATA'!$N$19,"")</f>
        <v/>
      </c>
    </row>
    <row r="99" spans="16:99" x14ac:dyDescent="0.25">
      <c r="P99" s="940"/>
      <c r="Q99" s="13" t="s">
        <v>62</v>
      </c>
      <c r="R99" s="518" t="str">
        <f>IF(AND(_1="B-757",'2026'!$F$4="FO",'2026'!$F$2=R81),'2026DATA'!$C$20,"")</f>
        <v/>
      </c>
      <c r="S99" s="518" t="str">
        <f>IF(AND(_1="B-757",'2026'!$F$4="FO",'2026'!$F$2=S81),'2026DATA'!$D$20,"")</f>
        <v/>
      </c>
      <c r="T99" s="518" t="str">
        <f>IF(AND(_1="B-757",'2026'!$F$4="FO",'2026'!$F$2=T81),'2026DATA'!$E$20,"")</f>
        <v/>
      </c>
      <c r="U99" s="518" t="str">
        <f>IF(AND(_1="B-757",'2026'!$F$4="FO",'2026'!$F$2=U81),'2026DATA'!$F$20,"")</f>
        <v/>
      </c>
      <c r="V99" s="518" t="str">
        <f>IF(AND(_1="B-757",'2026'!$F$4="FO",'2026'!$F$2=V81),'2026DATA'!$G$20,"")</f>
        <v/>
      </c>
      <c r="W99" s="518" t="str">
        <f>IF(AND(_1="B-757",'2026'!$F$4="FO",'2026'!$F$2=W81),'2026DATA'!$H$20,"")</f>
        <v/>
      </c>
      <c r="X99" s="518" t="str">
        <f>IF(AND(_1="B-757",'2026'!$F$4="FO",'2026'!$F$2=X81),'2026DATA'!$I$20,"")</f>
        <v/>
      </c>
      <c r="Y99" s="518" t="str">
        <f>IF(AND(_1="B-757",'2026'!$F$4="FO",'2026'!$F$2=Y81),'2026DATA'!$J$20,"")</f>
        <v/>
      </c>
      <c r="Z99" s="518" t="str">
        <f>IF(AND(_1="B-757",'2026'!$F$4="FO",'2026'!$F$2=Z81),'2026DATA'!$K$20,"")</f>
        <v/>
      </c>
      <c r="AA99" s="518" t="str">
        <f>IF(AND(_1="B-757",'2026'!$F$4="FO",'2026'!$F$2=AA81),'2026DATA'!$L$20,"")</f>
        <v/>
      </c>
      <c r="AB99" s="518" t="str">
        <f>IF(AND(_1="B-757",'2026'!$F$4="FO",'2026'!$F$2=AB81),'2026DATA'!$M$20,"")</f>
        <v/>
      </c>
      <c r="AC99" s="520" t="str">
        <f>IF(AND(_1="B-757",'2026'!$F$4="FO",'2026'!$F$2=AC81),'2026DATA'!$N$20,"")</f>
        <v/>
      </c>
      <c r="AD99" s="940"/>
      <c r="AE99" s="13" t="s">
        <v>62</v>
      </c>
      <c r="AF99" s="518" t="str">
        <f>IF(AND(_2="B-757",'2026'!$F$4="FO",'2026'!$F$2=AF81),'2026DATA'!$C$20,"")</f>
        <v/>
      </c>
      <c r="AG99" s="518" t="str">
        <f>IF(AND(_2="B-757",'2026'!$F$4="FO",'2026'!$F$2=AG81),'2026DATA'!$D$20,"")</f>
        <v/>
      </c>
      <c r="AH99" s="518" t="str">
        <f>IF(AND(_2="B-757",'2026'!$F$4="FO",'2026'!$F$2=AH81),'2026DATA'!$E$20,"")</f>
        <v/>
      </c>
      <c r="AI99" s="518" t="str">
        <f>IF(AND(_2="B-757",'2026'!$F$4="FO",'2026'!$F$2=AI81),'2026DATA'!$F$20,"")</f>
        <v/>
      </c>
      <c r="AJ99" s="518" t="str">
        <f>IF(AND(_2="B-757",'2026'!$F$4="FO",'2026'!$F$2=AJ81),'2026DATA'!$G$20,"")</f>
        <v/>
      </c>
      <c r="AK99" s="518" t="str">
        <f>IF(AND(_2="B-757",'2026'!$F$4="FO",'2026'!$F$2=AK81),'2026DATA'!$H$20,"")</f>
        <v/>
      </c>
      <c r="AL99" s="518" t="str">
        <f>IF(AND(_2="B-757",'2026'!$F$4="FO",'2026'!$F$2=AL81),'2026DATA'!$I$20,"")</f>
        <v/>
      </c>
      <c r="AM99" s="518" t="str">
        <f>IF(AND(_2="B-757",'2026'!$F$4="FO",'2026'!$F$2=AM81),'2026DATA'!$J$20,"")</f>
        <v/>
      </c>
      <c r="AN99" s="518" t="str">
        <f>IF(AND(_2="B-757",'2026'!$F$4="FO",'2026'!$F$2=AN81),'2026DATA'!$K$20,"")</f>
        <v/>
      </c>
      <c r="AO99" s="518" t="str">
        <f>IF(AND(_2="B-757",'2026'!$F$4="FO",'2026'!$F$2=AO81),'2026DATA'!$L$20,"")</f>
        <v/>
      </c>
      <c r="AP99" s="518" t="str">
        <f>IF(AND(_2="B-757",'2026'!$F$4="FO",'2026'!$F$2=AP81),'2026DATA'!$M$20,"")</f>
        <v/>
      </c>
      <c r="AQ99" s="520" t="str">
        <f>IF(AND(_2="B-757",'2026'!$F$4="FO",'2026'!$F$2=AQ81),'2026DATA'!$N$20,"")</f>
        <v/>
      </c>
      <c r="AR99" s="940"/>
      <c r="AS99" s="13" t="s">
        <v>62</v>
      </c>
      <c r="AT99" s="518" t="str">
        <f>IF(AND(_3="B-757",'2026'!$F$4="FO",'2026'!$F$2=AT81),'2026DATA'!$C$20,"")</f>
        <v/>
      </c>
      <c r="AU99" s="518" t="str">
        <f>IF(AND(_3="B-757",'2026'!$F$4="FO",'2026'!$F$2=AU81),'2026DATA'!$D$20,"")</f>
        <v/>
      </c>
      <c r="AV99" s="518" t="str">
        <f>IF(AND(_3="B-757",'2026'!$F$4="FO",'2026'!$F$2=AV81),'2026DATA'!$E$20,"")</f>
        <v/>
      </c>
      <c r="AW99" s="518" t="str">
        <f>IF(AND(_3="B-757",'2026'!$F$4="FO",'2026'!$F$2=AW81),'2026DATA'!$F$20,"")</f>
        <v/>
      </c>
      <c r="AX99" s="518" t="str">
        <f>IF(AND(_3="B-757",'2026'!$F$4="FO",'2026'!$F$2=AX81),'2026DATA'!$G$20,"")</f>
        <v/>
      </c>
      <c r="AY99" s="518" t="str">
        <f>IF(AND(_3="B-757",'2026'!$F$4="FO",'2026'!$F$2=AY81),'2026DATA'!$H$20,"")</f>
        <v/>
      </c>
      <c r="AZ99" s="518" t="str">
        <f>IF(AND(_3="B-757",'2026'!$F$4="FO",'2026'!$F$2=AZ81),'2026DATA'!$I$20,"")</f>
        <v/>
      </c>
      <c r="BA99" s="518" t="str">
        <f>IF(AND(_3="B-757",'2026'!$F$4="FO",'2026'!$F$2=BA81),'2026DATA'!$J$20,"")</f>
        <v/>
      </c>
      <c r="BB99" s="518" t="str">
        <f>IF(AND(_3="B-757",'2026'!$F$4="FO",'2026'!$F$2=BB81),'2026DATA'!$K$20,"")</f>
        <v/>
      </c>
      <c r="BC99" s="518" t="str">
        <f>IF(AND(_3="B-757",'2026'!$F$4="FO",'2026'!$F$2=BC81),'2026DATA'!$L$20,"")</f>
        <v/>
      </c>
      <c r="BD99" s="518" t="str">
        <f>IF(AND(_3="B-757",'2026'!$F$4="FO",'2026'!$F$2=BD81),'2026DATA'!$M$20,"")</f>
        <v/>
      </c>
      <c r="BE99" s="520" t="str">
        <f>IF(AND(_3="B-757",'2026'!$F$4="FO",'2026'!$F$2=BE81),'2026DATA'!$N$20,"")</f>
        <v/>
      </c>
      <c r="BF99" s="940"/>
      <c r="BG99" s="13" t="s">
        <v>62</v>
      </c>
      <c r="BH99" s="518" t="str">
        <f>IF(AND(_4="B-757",'2026'!$F$4="FO",'2026'!$F$2=BH81),'2026DATA'!$C$20,"")</f>
        <v/>
      </c>
      <c r="BI99" s="518" t="str">
        <f>IF(AND(_4="B-757",'2026'!$F$4="FO",'2026'!$F$2=BI81),'2026DATA'!$D$20,"")</f>
        <v/>
      </c>
      <c r="BJ99" s="518" t="str">
        <f>IF(AND(_4="B-757",'2026'!$F$4="FO",'2026'!$F$2=BJ81),'2026DATA'!$E$20,"")</f>
        <v/>
      </c>
      <c r="BK99" s="518" t="str">
        <f>IF(AND(_4="B-757",'2026'!$F$4="FO",'2026'!$F$2=BK81),'2026DATA'!$F$20,"")</f>
        <v/>
      </c>
      <c r="BL99" s="518" t="str">
        <f>IF(AND(_4="B-757",'2026'!$F$4="FO",'2026'!$F$2=BL81),'2026DATA'!$G$20,"")</f>
        <v/>
      </c>
      <c r="BM99" s="518" t="str">
        <f>IF(AND(_4="B-757",'2026'!$F$4="FO",'2026'!$F$2=BM81),'2026DATA'!$H$20,"")</f>
        <v/>
      </c>
      <c r="BN99" s="518" t="str">
        <f>IF(AND(_4="B-757",'2026'!$F$4="FO",'2026'!$F$2=BN81),'2026DATA'!$I$20,"")</f>
        <v/>
      </c>
      <c r="BO99" s="518" t="str">
        <f>IF(AND(_4="B-757",'2026'!$F$4="FO",'2026'!$F$2=BO81),'2026DATA'!$J$20,"")</f>
        <v/>
      </c>
      <c r="BP99" s="518" t="str">
        <f>IF(AND(_4="B-757",'2026'!$F$4="FO",'2026'!$F$2=BP81),'2026DATA'!$K$20,"")</f>
        <v/>
      </c>
      <c r="BQ99" s="518" t="str">
        <f>IF(AND(_4="B-757",'2026'!$F$4="FO",'2026'!$F$2=BQ81),'2026DATA'!$L$20,"")</f>
        <v/>
      </c>
      <c r="BR99" s="518" t="str">
        <f>IF(AND(_4="B-757",'2026'!$F$4="FO",'2026'!$F$2=BR81),'2026DATA'!$M$20,"")</f>
        <v/>
      </c>
      <c r="BS99" s="520" t="str">
        <f>IF(AND(_4="B-757",'2026'!$F$4="FO",'2026'!$F$2=BS81),'2026DATA'!$N$20,"")</f>
        <v/>
      </c>
      <c r="BT99" s="940"/>
      <c r="BU99" s="13" t="s">
        <v>62</v>
      </c>
      <c r="BV99" s="518" t="str">
        <f>IF(AND(_5="B-757",'2026'!$F$4="FO",'2026'!$F$2=BV81),'2026DATA'!$C$20,"")</f>
        <v/>
      </c>
      <c r="BW99" s="518" t="str">
        <f>IF(AND(_5="B-757",'2026'!$F$4="FO",'2026'!$F$2=BW81),'2026DATA'!$D$20,"")</f>
        <v/>
      </c>
      <c r="BX99" s="518" t="str">
        <f>IF(AND(_5="B-757",'2026'!$F$4="FO",'2026'!$F$2=BX81),'2026DATA'!$E$20,"")</f>
        <v/>
      </c>
      <c r="BY99" s="518" t="str">
        <f>IF(AND(_5="B-757",'2026'!$F$4="FO",'2026'!$F$2=BY81),'2026DATA'!$F$20,"")</f>
        <v/>
      </c>
      <c r="BZ99" s="518" t="str">
        <f>IF(AND(_5="B-757",'2026'!$F$4="FO",'2026'!$F$2=BZ81),'2026DATA'!$G$20,"")</f>
        <v/>
      </c>
      <c r="CA99" s="518" t="str">
        <f>IF(AND(_5="B-757",'2026'!$F$4="FO",'2026'!$F$2=CA81),'2026DATA'!$H$20,"")</f>
        <v/>
      </c>
      <c r="CB99" s="518" t="str">
        <f>IF(AND(_5="B-757",'2026'!$F$4="FO",'2026'!$F$2=CB81),'2026DATA'!$I$20,"")</f>
        <v/>
      </c>
      <c r="CC99" s="518" t="str">
        <f>IF(AND(_5="B-757",'2026'!$F$4="FO",'2026'!$F$2=CC81),'2026DATA'!$J$20,"")</f>
        <v/>
      </c>
      <c r="CD99" s="518" t="str">
        <f>IF(AND(_5="B-757",'2026'!$F$4="FO",'2026'!$F$2=CD81),'2026DATA'!$K$20,"")</f>
        <v/>
      </c>
      <c r="CE99" s="518" t="str">
        <f>IF(AND(_5="B-757",'2026'!$F$4="FO",'2026'!$F$2=CE81),'2026DATA'!$L$20,"")</f>
        <v/>
      </c>
      <c r="CF99" s="518" t="str">
        <f>IF(AND(_5="B-757",'2026'!$F$4="FO",'2026'!$F$2=CF81),'2026DATA'!$M$20,"")</f>
        <v/>
      </c>
      <c r="CG99" s="520" t="str">
        <f>IF(AND(_5="B-757",'2026'!$F$4="FO",'2026'!$F$2=CG81),'2026DATA'!$N$20,"")</f>
        <v/>
      </c>
      <c r="CH99" s="940"/>
      <c r="CI99" s="13" t="s">
        <v>62</v>
      </c>
      <c r="CJ99" s="518" t="str">
        <f>IF(AND(_6="B-757",'2026'!$F$4="FO",'2026'!$F$2=CJ81),'2026DATA'!$C$20,"")</f>
        <v/>
      </c>
      <c r="CK99" s="518" t="str">
        <f>IF(AND(_6="B-757",'2026'!$F$4="FO",'2026'!$F$2=CK81),'2026DATA'!$D$20,"")</f>
        <v/>
      </c>
      <c r="CL99" s="518" t="str">
        <f>IF(AND(_6="B-757",'2026'!$F$4="FO",'2026'!$F$2=CL81),'2026DATA'!$E$20,"")</f>
        <v/>
      </c>
      <c r="CM99" s="518" t="str">
        <f>IF(AND(_6="B-757",'2026'!$F$4="FO",'2026'!$F$2=CM81),'2026DATA'!$F$20,"")</f>
        <v/>
      </c>
      <c r="CN99" s="518" t="str">
        <f>IF(AND(_6="B-757",'2026'!$F$4="FO",'2026'!$F$2=CN81),'2026DATA'!$G$20,"")</f>
        <v/>
      </c>
      <c r="CO99" s="518" t="str">
        <f>IF(AND(_6="B-757",'2026'!$F$4="FO",'2026'!$F$2=CO81),'2026DATA'!$H$20,"")</f>
        <v/>
      </c>
      <c r="CP99" s="518" t="str">
        <f>IF(AND(_6="B-757",'2026'!$F$4="FO",'2026'!$F$2=CP81),'2026DATA'!$I$20,"")</f>
        <v/>
      </c>
      <c r="CQ99" s="518" t="str">
        <f>IF(AND(_6="B-757",'2026'!$F$4="FO",'2026'!$F$2=CQ81),'2026DATA'!$J$20,"")</f>
        <v/>
      </c>
      <c r="CR99" s="518" t="str">
        <f>IF(AND(_6="B-757",'2026'!$F$4="FO",'2026'!$F$2=CR81),'2026DATA'!$K$20,"")</f>
        <v/>
      </c>
      <c r="CS99" s="518" t="str">
        <f>IF(AND(_6="B-757",'2026'!$F$4="FO",'2026'!$F$2=CS81),'2026DATA'!$L$20,"")</f>
        <v/>
      </c>
      <c r="CT99" s="518" t="str">
        <f>IF(AND(_6="B-757",'2026'!$F$4="FO",'2026'!$F$2=CT81),'2026DATA'!$M$20,"")</f>
        <v/>
      </c>
      <c r="CU99" s="520" t="str">
        <f>IF(AND(_6="B-757",'2026'!$F$4="FO",'2026'!$F$2=CU81),'2026DATA'!$N$20,"")</f>
        <v/>
      </c>
    </row>
    <row r="100" spans="16:99" x14ac:dyDescent="0.25">
      <c r="P100" s="940" t="s">
        <v>47</v>
      </c>
      <c r="Q100" s="13" t="s">
        <v>61</v>
      </c>
      <c r="R100" s="518" t="str">
        <f>IF(AND(_1="B-737-900",'2026'!$F$4="CA",'2026'!$F$2=R81),'2026DATA'!$C$21,"")</f>
        <v/>
      </c>
      <c r="S100" s="518" t="str">
        <f>IF(AND(_1="B-737-900",'2026'!$F$4="CA",'2026'!$F$2=S81),'2026DATA'!$D$21,"")</f>
        <v/>
      </c>
      <c r="T100" s="518" t="str">
        <f>IF(AND(_1="B-737-900",'2026'!$F$4="CA",'2026'!$F$2=T81),'2026DATA'!$E$21,"")</f>
        <v/>
      </c>
      <c r="U100" s="518" t="str">
        <f>IF(AND(_1="B-737-900",'2026'!$F$4="CA",'2026'!$F$2=U81),'2026DATA'!$F$21,"")</f>
        <v/>
      </c>
      <c r="V100" s="518" t="str">
        <f>IF(AND(_1="B-737-900",'2026'!$F$4="CA",'2026'!$F$2=V81),'2026DATA'!$G$21,"")</f>
        <v/>
      </c>
      <c r="W100" s="518" t="str">
        <f>IF(AND(_1="B-737-900",'2026'!$F$4="CA",'2026'!$F$2=W81),'2026DATA'!$H$21,"")</f>
        <v/>
      </c>
      <c r="X100" s="518" t="str">
        <f>IF(AND(_1="B-737-900",'2026'!$F$4="CA",'2026'!$F$2=X81),'2026DATA'!$I$21,"")</f>
        <v/>
      </c>
      <c r="Y100" s="518" t="str">
        <f>IF(AND(_1="B-737-900",'2026'!$F$4="CA",'2026'!$F$2=Y81),'2026DATA'!$J$21,"")</f>
        <v/>
      </c>
      <c r="Z100" s="518" t="str">
        <f>IF(AND(_1="B-737-900",'2026'!$F$4="CA",'2026'!$F$2=Z81),'2026DATA'!$K$21,"")</f>
        <v/>
      </c>
      <c r="AA100" s="518" t="str">
        <f>IF(AND(_1="B-737-900",'2026'!$F$4="CA",'2026'!$F$2=AA81),'2026DATA'!$L$21,"")</f>
        <v/>
      </c>
      <c r="AB100" s="518" t="str">
        <f>IF(AND(_1="B-737-900",'2026'!$F$4="CA",'2026'!$F$2=AB81),'2026DATA'!$M$21,"")</f>
        <v/>
      </c>
      <c r="AC100" s="520" t="str">
        <f>IF(AND(_1="B-737-900",'2026'!$F$4="CA",'2026'!$F$2=AC81),'2026DATA'!$N$21,"")</f>
        <v/>
      </c>
      <c r="AD100" s="940" t="s">
        <v>47</v>
      </c>
      <c r="AE100" s="13" t="s">
        <v>61</v>
      </c>
      <c r="AF100" s="518" t="str">
        <f>IF(AND(_2="B-737-900",'2026'!$F$4="CA",'2026'!$F$2=AF81),'2026DATA'!$C$21,"")</f>
        <v/>
      </c>
      <c r="AG100" s="518" t="str">
        <f>IF(AND(_2="B-737-900",'2026'!$F$4="CA",'2026'!$F$2=AG81),'2026DATA'!$D$21,"")</f>
        <v/>
      </c>
      <c r="AH100" s="518" t="str">
        <f>IF(AND(_2="B-737-900",'2026'!$F$4="CA",'2026'!$F$2=AH81),'2026DATA'!$E$21,"")</f>
        <v/>
      </c>
      <c r="AI100" s="518" t="str">
        <f>IF(AND(_2="B-737-900",'2026'!$F$4="CA",'2026'!$F$2=AI81),'2026DATA'!$F$21,"")</f>
        <v/>
      </c>
      <c r="AJ100" s="518" t="str">
        <f>IF(AND(_2="B-737-900",'2026'!$F$4="CA",'2026'!$F$2=AJ81),'2026DATA'!$G$21,"")</f>
        <v/>
      </c>
      <c r="AK100" s="518" t="str">
        <f>IF(AND(_2="B-737-900",'2026'!$F$4="CA",'2026'!$F$2=AK81),'2026DATA'!$H$21,"")</f>
        <v/>
      </c>
      <c r="AL100" s="518" t="str">
        <f>IF(AND(_2="B-737-900",'2026'!$F$4="CA",'2026'!$F$2=AL81),'2026DATA'!$I$21,"")</f>
        <v/>
      </c>
      <c r="AM100" s="518" t="str">
        <f>IF(AND(_2="B-737-900",'2026'!$F$4="CA",'2026'!$F$2=AM81),'2026DATA'!$J$21,"")</f>
        <v/>
      </c>
      <c r="AN100" s="518" t="str">
        <f>IF(AND(_2="B-737-900",'2026'!$F$4="CA",'2026'!$F$2=AN81),'2026DATA'!$K$21,"")</f>
        <v/>
      </c>
      <c r="AO100" s="518" t="str">
        <f>IF(AND(_2="B-737-900",'2026'!$F$4="CA",'2026'!$F$2=AO81),'2026DATA'!$L$21,"")</f>
        <v/>
      </c>
      <c r="AP100" s="518" t="str">
        <f>IF(AND(_2="B-737-900",'2026'!$F$4="CA",'2026'!$F$2=AP81),'2026DATA'!$M$21,"")</f>
        <v/>
      </c>
      <c r="AQ100" s="520" t="str">
        <f>IF(AND(_2="B-737-900",'2026'!$F$4="CA",'2026'!$F$2=AQ81),'2026DATA'!$N$21,"")</f>
        <v/>
      </c>
      <c r="AR100" s="940" t="s">
        <v>47</v>
      </c>
      <c r="AS100" s="13" t="s">
        <v>61</v>
      </c>
      <c r="AT100" s="518" t="str">
        <f>IF(AND(_3="B-737-900",'2026'!$F$4="CA",'2026'!$F$2=AT81),'2026DATA'!$C$21,"")</f>
        <v/>
      </c>
      <c r="AU100" s="518" t="str">
        <f>IF(AND(_3="B-737-900",'2026'!$F$4="CA",'2026'!$F$2=AU81),'2026DATA'!$D$21,"")</f>
        <v/>
      </c>
      <c r="AV100" s="518" t="str">
        <f>IF(AND(_3="B-737-900",'2026'!$F$4="CA",'2026'!$F$2=AV81),'2026DATA'!$E$21,"")</f>
        <v/>
      </c>
      <c r="AW100" s="518" t="str">
        <f>IF(AND(_3="B-737-900",'2026'!$F$4="CA",'2026'!$F$2=AW81),'2026DATA'!$F$21,"")</f>
        <v/>
      </c>
      <c r="AX100" s="518" t="str">
        <f>IF(AND(_3="B-737-900",'2026'!$F$4="CA",'2026'!$F$2=AX81),'2026DATA'!$G$21,"")</f>
        <v/>
      </c>
      <c r="AY100" s="518" t="str">
        <f>IF(AND(_3="B-737-900",'2026'!$F$4="CA",'2026'!$F$2=AY81),'2026DATA'!$H$21,"")</f>
        <v/>
      </c>
      <c r="AZ100" s="518" t="str">
        <f>IF(AND(_3="B-737-900",'2026'!$F$4="CA",'2026'!$F$2=AZ81),'2026DATA'!$I$21,"")</f>
        <v/>
      </c>
      <c r="BA100" s="518" t="str">
        <f>IF(AND(_3="B-737-900",'2026'!$F$4="CA",'2026'!$F$2=BA81),'2026DATA'!$J$21,"")</f>
        <v/>
      </c>
      <c r="BB100" s="518" t="str">
        <f>IF(AND(_3="B-737-900",'2026'!$F$4="CA",'2026'!$F$2=BB81),'2026DATA'!$K$21,"")</f>
        <v/>
      </c>
      <c r="BC100" s="518" t="str">
        <f>IF(AND(_3="B-737-900",'2026'!$F$4="CA",'2026'!$F$2=BC81),'2026DATA'!$L$21,"")</f>
        <v/>
      </c>
      <c r="BD100" s="518" t="str">
        <f>IF(AND(_3="B-737-900",'2026'!$F$4="CA",'2026'!$F$2=BD81),'2026DATA'!$M$21,"")</f>
        <v/>
      </c>
      <c r="BE100" s="520" t="str">
        <f>IF(AND(_3="B-737-900",'2026'!$F$4="CA",'2026'!$F$2=BE81),'2026DATA'!$N$21,"")</f>
        <v/>
      </c>
      <c r="BF100" s="940" t="s">
        <v>47</v>
      </c>
      <c r="BG100" s="13" t="s">
        <v>61</v>
      </c>
      <c r="BH100" s="518" t="str">
        <f>IF(AND(_4="B-737-900",'2026'!$F$4="CA",'2026'!$F$2=BH81),'2026DATA'!$C$21,"")</f>
        <v/>
      </c>
      <c r="BI100" s="518" t="str">
        <f>IF(AND(_4="B-737-900",'2026'!$F$4="CA",'2026'!$F$2=BI81),'2026DATA'!$D$21,"")</f>
        <v/>
      </c>
      <c r="BJ100" s="518" t="str">
        <f>IF(AND(_4="B-737-900",'2026'!$F$4="CA",'2026'!$F$2=BJ81),'2026DATA'!$E$21,"")</f>
        <v/>
      </c>
      <c r="BK100" s="518" t="str">
        <f>IF(AND(_4="B-737-900",'2026'!$F$4="CA",'2026'!$F$2=BK81),'2026DATA'!$F$21,"")</f>
        <v/>
      </c>
      <c r="BL100" s="518" t="str">
        <f>IF(AND(_4="B-737-900",'2026'!$F$4="CA",'2026'!$F$2=BL81),'2026DATA'!$G$21,"")</f>
        <v/>
      </c>
      <c r="BM100" s="518" t="str">
        <f>IF(AND(_4="B-737-900",'2026'!$F$4="CA",'2026'!$F$2=BM81),'2026DATA'!$H$21,"")</f>
        <v/>
      </c>
      <c r="BN100" s="518" t="str">
        <f>IF(AND(_4="B-737-900",'2026'!$F$4="CA",'2026'!$F$2=BN81),'2026DATA'!$I$21,"")</f>
        <v/>
      </c>
      <c r="BO100" s="518" t="str">
        <f>IF(AND(_4="B-737-900",'2026'!$F$4="CA",'2026'!$F$2=BO81),'2026DATA'!$J$21,"")</f>
        <v/>
      </c>
      <c r="BP100" s="518" t="str">
        <f>IF(AND(_4="B-737-900",'2026'!$F$4="CA",'2026'!$F$2=BP81),'2026DATA'!$K$21,"")</f>
        <v/>
      </c>
      <c r="BQ100" s="518" t="str">
        <f>IF(AND(_4="B-737-900",'2026'!$F$4="CA",'2026'!$F$2=BQ81),'2026DATA'!$L$21,"")</f>
        <v/>
      </c>
      <c r="BR100" s="518" t="str">
        <f>IF(AND(_4="B-737-900",'2026'!$F$4="CA",'2026'!$F$2=BR81),'2026DATA'!$M$21,"")</f>
        <v/>
      </c>
      <c r="BS100" s="520" t="str">
        <f>IF(AND(_4="B-737-900",'2026'!$F$4="CA",'2026'!$F$2=BS81),'2026DATA'!$N$21,"")</f>
        <v/>
      </c>
      <c r="BT100" s="940" t="s">
        <v>47</v>
      </c>
      <c r="BU100" s="13" t="s">
        <v>61</v>
      </c>
      <c r="BV100" s="518" t="str">
        <f>IF(AND(_5="B-737-900",'2026'!$F$4="CA",'2026'!$F$2=BV81),'2026DATA'!$C$21,"")</f>
        <v/>
      </c>
      <c r="BW100" s="518" t="str">
        <f>IF(AND(_5="B-737-900",'2026'!$F$4="CA",'2026'!$F$2=BW81),'2026DATA'!$D$21,"")</f>
        <v/>
      </c>
      <c r="BX100" s="518" t="str">
        <f>IF(AND(_5="B-737-900",'2026'!$F$4="CA",'2026'!$F$2=BX81),'2026DATA'!$E$21,"")</f>
        <v/>
      </c>
      <c r="BY100" s="518" t="str">
        <f>IF(AND(_5="B-737-900",'2026'!$F$4="CA",'2026'!$F$2=BY81),'2026DATA'!$F$21,"")</f>
        <v/>
      </c>
      <c r="BZ100" s="518" t="str">
        <f>IF(AND(_5="B-737-900",'2026'!$F$4="CA",'2026'!$F$2=BZ81),'2026DATA'!$G$21,"")</f>
        <v/>
      </c>
      <c r="CA100" s="518" t="str">
        <f>IF(AND(_5="B-737-900",'2026'!$F$4="CA",'2026'!$F$2=CA81),'2026DATA'!$H$21,"")</f>
        <v/>
      </c>
      <c r="CB100" s="518" t="str">
        <f>IF(AND(_5="B-737-900",'2026'!$F$4="CA",'2026'!$F$2=CB81),'2026DATA'!$I$21,"")</f>
        <v/>
      </c>
      <c r="CC100" s="518" t="str">
        <f>IF(AND(_5="B-737-900",'2026'!$F$4="CA",'2026'!$F$2=CC81),'2026DATA'!$J$21,"")</f>
        <v/>
      </c>
      <c r="CD100" s="518" t="str">
        <f>IF(AND(_5="B-737-900",'2026'!$F$4="CA",'2026'!$F$2=CD81),'2026DATA'!$K$21,"")</f>
        <v/>
      </c>
      <c r="CE100" s="518" t="str">
        <f>IF(AND(_5="B-737-900",'2026'!$F$4="CA",'2026'!$F$2=CE81),'2026DATA'!$L$21,"")</f>
        <v/>
      </c>
      <c r="CF100" s="518" t="str">
        <f>IF(AND(_5="B-737-900",'2026'!$F$4="CA",'2026'!$F$2=CF81),'2026DATA'!$M$21,"")</f>
        <v/>
      </c>
      <c r="CG100" s="520" t="str">
        <f>IF(AND(_5="B-737-900",'2026'!$F$4="CA",'2026'!$F$2=CG81),'2026DATA'!$N$21,"")</f>
        <v/>
      </c>
      <c r="CH100" s="940" t="s">
        <v>47</v>
      </c>
      <c r="CI100" s="13" t="s">
        <v>61</v>
      </c>
      <c r="CJ100" s="518" t="str">
        <f>IF(AND(_6="B-737-900",'2026'!$F$4="CA",'2026'!$F$2=CJ81),'2026DATA'!$C$21,"")</f>
        <v/>
      </c>
      <c r="CK100" s="518" t="str">
        <f>IF(AND(_6="B-737-900",'2026'!$F$4="CA",'2026'!$F$2=CK81),'2026DATA'!$D$21,"")</f>
        <v/>
      </c>
      <c r="CL100" s="518" t="str">
        <f>IF(AND(_6="B-737-900",'2026'!$F$4="CA",'2026'!$F$2=CL81),'2026DATA'!$E$21,"")</f>
        <v/>
      </c>
      <c r="CM100" s="518" t="str">
        <f>IF(AND(_6="B-737-900",'2026'!$F$4="CA",'2026'!$F$2=CM81),'2026DATA'!$F$21,"")</f>
        <v/>
      </c>
      <c r="CN100" s="518" t="str">
        <f>IF(AND(_6="B-737-900",'2026'!$F$4="CA",'2026'!$F$2=CN81),'2026DATA'!$G$21,"")</f>
        <v/>
      </c>
      <c r="CO100" s="518" t="str">
        <f>IF(AND(_6="B-737-900",'2026'!$F$4="CA",'2026'!$F$2=CO81),'2026DATA'!$H$21,"")</f>
        <v/>
      </c>
      <c r="CP100" s="518" t="str">
        <f>IF(AND(_6="B-737-900",'2026'!$F$4="CA",'2026'!$F$2=CP81),'2026DATA'!$I$21,"")</f>
        <v/>
      </c>
      <c r="CQ100" s="518" t="str">
        <f>IF(AND(_6="B-737-900",'2026'!$F$4="CA",'2026'!$F$2=CQ81),'2026DATA'!$J$21,"")</f>
        <v/>
      </c>
      <c r="CR100" s="518" t="str">
        <f>IF(AND(_6="B-737-900",'2026'!$F$4="CA",'2026'!$F$2=CR81),'2026DATA'!$K$21,"")</f>
        <v/>
      </c>
      <c r="CS100" s="518" t="str">
        <f>IF(AND(_6="B-737-900",'2026'!$F$4="CA",'2026'!$F$2=CS81),'2026DATA'!$L$21,"")</f>
        <v/>
      </c>
      <c r="CT100" s="518" t="str">
        <f>IF(AND(_6="B-737-900",'2026'!$F$4="CA",'2026'!$F$2=CT81),'2026DATA'!$M$21,"")</f>
        <v/>
      </c>
      <c r="CU100" s="520" t="str">
        <f>IF(AND(_6="B-737-900",'2026'!$F$4="CA",'2026'!$F$2=CU81),'2026DATA'!$N$21,"")</f>
        <v/>
      </c>
    </row>
    <row r="101" spans="16:99" x14ac:dyDescent="0.25">
      <c r="P101" s="940"/>
      <c r="Q101" s="13" t="s">
        <v>62</v>
      </c>
      <c r="R101" s="518" t="str">
        <f>IF(AND(_1="B-737-900",'2026'!$F$4="FO",'2026'!$F$2=R81),'2026DATA'!$C$22,"")</f>
        <v/>
      </c>
      <c r="S101" s="518" t="str">
        <f>IF(AND(_1="B-737-900",'2026'!$F$4="FO",'2026'!$F$2=S81),'2026DATA'!$D$22,"")</f>
        <v/>
      </c>
      <c r="T101" s="518" t="str">
        <f>IF(AND(_1="B-737-900",'2026'!$F$4="FO",'2026'!$F$2=T81),'2026DATA'!$E$22,"")</f>
        <v/>
      </c>
      <c r="U101" s="518" t="str">
        <f>IF(AND(_1="B-737-900",'2026'!$F$4="FO",'2026'!$F$2=U81),'2026DATA'!$F$22,"")</f>
        <v/>
      </c>
      <c r="V101" s="518" t="str">
        <f>IF(AND(_1="B-737-900",'2026'!$F$4="FO",'2026'!$F$2=V81),'2026DATA'!$G$22,"")</f>
        <v/>
      </c>
      <c r="W101" s="518" t="str">
        <f>IF(AND(_1="B-737-900",'2026'!$F$4="FO",'2026'!$F$2=W81),'2026DATA'!$H$22,"")</f>
        <v/>
      </c>
      <c r="X101" s="518" t="str">
        <f>IF(AND(_1="B-737-900",'2026'!$F$4="FO",'2026'!$F$2=X81),'2026DATA'!$I$22,"")</f>
        <v/>
      </c>
      <c r="Y101" s="518" t="str">
        <f>IF(AND(_1="B-737-900",'2026'!$F$4="FO",'2026'!$F$2=Y81),'2026DATA'!$J$22,"")</f>
        <v/>
      </c>
      <c r="Z101" s="518" t="str">
        <f>IF(AND(_1="B-737-900",'2026'!$F$4="FO",'2026'!$F$2=Z81),'2026DATA'!$K$22,"")</f>
        <v/>
      </c>
      <c r="AA101" s="518" t="str">
        <f>IF(AND(_1="B-737-900",'2026'!$F$4="FO",'2026'!$F$2=AA81),'2026DATA'!$L$22,"")</f>
        <v/>
      </c>
      <c r="AB101" s="518" t="str">
        <f>IF(AND(_1="B-737-900",'2026'!$F$4="FO",'2026'!$F$2=AB81),'2026DATA'!$M$22,"")</f>
        <v/>
      </c>
      <c r="AC101" s="520" t="str">
        <f>IF(AND(_1="B-737-900",'2026'!$F$4="FO",'2026'!$F$2=AC81),'2026DATA'!$N$22,"")</f>
        <v/>
      </c>
      <c r="AD101" s="940"/>
      <c r="AE101" s="13" t="s">
        <v>62</v>
      </c>
      <c r="AF101" s="518" t="str">
        <f>IF(AND(_2="B-737-900",'2026'!$F$4="FO",'2026'!$F$2=AF81),'2026DATA'!$C$22,"")</f>
        <v/>
      </c>
      <c r="AG101" s="518" t="str">
        <f>IF(AND(_2="B-737-900",'2026'!$F$4="FO",'2026'!$F$2=AG81),'2026DATA'!$D$22,"")</f>
        <v/>
      </c>
      <c r="AH101" s="518" t="str">
        <f>IF(AND(_2="B-737-900",'2026'!$F$4="FO",'2026'!$F$2=AH81),'2026DATA'!$E$22,"")</f>
        <v/>
      </c>
      <c r="AI101" s="518" t="str">
        <f>IF(AND(_2="B-737-900",'2026'!$F$4="FO",'2026'!$F$2=AI81),'2026DATA'!$F$22,"")</f>
        <v/>
      </c>
      <c r="AJ101" s="518" t="str">
        <f>IF(AND(_2="B-737-900",'2026'!$F$4="FO",'2026'!$F$2=AJ81),'2026DATA'!$G$22,"")</f>
        <v/>
      </c>
      <c r="AK101" s="518" t="str">
        <f>IF(AND(_2="B-737-900",'2026'!$F$4="FO",'2026'!$F$2=AK81),'2026DATA'!$H$22,"")</f>
        <v/>
      </c>
      <c r="AL101" s="518" t="str">
        <f>IF(AND(_2="B-737-900",'2026'!$F$4="FO",'2026'!$F$2=AL81),'2026DATA'!$I$22,"")</f>
        <v/>
      </c>
      <c r="AM101" s="518" t="str">
        <f>IF(AND(_2="B-737-900",'2026'!$F$4="FO",'2026'!$F$2=AM81),'2026DATA'!$J$22,"")</f>
        <v/>
      </c>
      <c r="AN101" s="518" t="str">
        <f>IF(AND(_2="B-737-900",'2026'!$F$4="FO",'2026'!$F$2=AN81),'2026DATA'!$K$22,"")</f>
        <v/>
      </c>
      <c r="AO101" s="518" t="str">
        <f>IF(AND(_2="B-737-900",'2026'!$F$4="FO",'2026'!$F$2=AO81),'2026DATA'!$L$22,"")</f>
        <v/>
      </c>
      <c r="AP101" s="518" t="str">
        <f>IF(AND(_2="B-737-900",'2026'!$F$4="FO",'2026'!$F$2=AP81),'2026DATA'!$M$22,"")</f>
        <v/>
      </c>
      <c r="AQ101" s="520" t="str">
        <f>IF(AND(_2="B-737-900",'2026'!$F$4="FO",'2026'!$F$2=AQ81),'2026DATA'!$N$22,"")</f>
        <v/>
      </c>
      <c r="AR101" s="940"/>
      <c r="AS101" s="13" t="s">
        <v>62</v>
      </c>
      <c r="AT101" s="518" t="str">
        <f>IF(AND(_3="B-737-900",'2026'!$F$4="FO",'2026'!$F$2=AT81),'2026DATA'!$C$22,"")</f>
        <v/>
      </c>
      <c r="AU101" s="518" t="str">
        <f>IF(AND(_3="B-737-900",'2026'!$F$4="FO",'2026'!$F$2=AU81),'2026DATA'!$D$22,"")</f>
        <v/>
      </c>
      <c r="AV101" s="518" t="str">
        <f>IF(AND(_3="B-737-900",'2026'!$F$4="FO",'2026'!$F$2=AV81),'2026DATA'!$E$22,"")</f>
        <v/>
      </c>
      <c r="AW101" s="518" t="str">
        <f>IF(AND(_3="B-737-900",'2026'!$F$4="FO",'2026'!$F$2=AW81),'2026DATA'!$F$22,"")</f>
        <v/>
      </c>
      <c r="AX101" s="518" t="str">
        <f>IF(AND(_3="B-737-900",'2026'!$F$4="FO",'2026'!$F$2=AX81),'2026DATA'!$G$22,"")</f>
        <v/>
      </c>
      <c r="AY101" s="518" t="str">
        <f>IF(AND(_3="B-737-900",'2026'!$F$4="FO",'2026'!$F$2=AY81),'2026DATA'!$H$22,"")</f>
        <v/>
      </c>
      <c r="AZ101" s="518" t="str">
        <f>IF(AND(_3="B-737-900",'2026'!$F$4="FO",'2026'!$F$2=AZ81),'2026DATA'!$I$22,"")</f>
        <v/>
      </c>
      <c r="BA101" s="518" t="str">
        <f>IF(AND(_3="B-737-900",'2026'!$F$4="FO",'2026'!$F$2=BA81),'2026DATA'!$J$22,"")</f>
        <v/>
      </c>
      <c r="BB101" s="518" t="str">
        <f>IF(AND(_3="B-737-900",'2026'!$F$4="FO",'2026'!$F$2=BB81),'2026DATA'!$K$22,"")</f>
        <v/>
      </c>
      <c r="BC101" s="518" t="str">
        <f>IF(AND(_3="B-737-900",'2026'!$F$4="FO",'2026'!$F$2=BC81),'2026DATA'!$L$22,"")</f>
        <v/>
      </c>
      <c r="BD101" s="518" t="str">
        <f>IF(AND(_3="B-737-900",'2026'!$F$4="FO",'2026'!$F$2=BD81),'2026DATA'!$M$22,"")</f>
        <v/>
      </c>
      <c r="BE101" s="520" t="str">
        <f>IF(AND(_3="B-737-900",'2026'!$F$4="FO",'2026'!$F$2=BE81),'2026DATA'!$N$22,"")</f>
        <v/>
      </c>
      <c r="BF101" s="940"/>
      <c r="BG101" s="13" t="s">
        <v>62</v>
      </c>
      <c r="BH101" s="518" t="str">
        <f>IF(AND(_4="B-737-900",'2026'!$F$4="FO",'2026'!$F$2=BH81),'2026DATA'!$C$22,"")</f>
        <v/>
      </c>
      <c r="BI101" s="518" t="str">
        <f>IF(AND(_4="B-737-900",'2026'!$F$4="FO",'2026'!$F$2=BI81),'2026DATA'!$D$22,"")</f>
        <v/>
      </c>
      <c r="BJ101" s="518" t="str">
        <f>IF(AND(_4="B-737-900",'2026'!$F$4="FO",'2026'!$F$2=BJ81),'2026DATA'!$E$22,"")</f>
        <v/>
      </c>
      <c r="BK101" s="518" t="str">
        <f>IF(AND(_4="B-737-900",'2026'!$F$4="FO",'2026'!$F$2=BK81),'2026DATA'!$F$22,"")</f>
        <v/>
      </c>
      <c r="BL101" s="518" t="str">
        <f>IF(AND(_4="B-737-900",'2026'!$F$4="FO",'2026'!$F$2=BL81),'2026DATA'!$G$22,"")</f>
        <v/>
      </c>
      <c r="BM101" s="518" t="str">
        <f>IF(AND(_4="B-737-900",'2026'!$F$4="FO",'2026'!$F$2=BM81),'2026DATA'!$H$22,"")</f>
        <v/>
      </c>
      <c r="BN101" s="518" t="str">
        <f>IF(AND(_4="B-737-900",'2026'!$F$4="FO",'2026'!$F$2=BN81),'2026DATA'!$I$22,"")</f>
        <v/>
      </c>
      <c r="BO101" s="518" t="str">
        <f>IF(AND(_4="B-737-900",'2026'!$F$4="FO",'2026'!$F$2=BO81),'2026DATA'!$J$22,"")</f>
        <v/>
      </c>
      <c r="BP101" s="518" t="str">
        <f>IF(AND(_4="B-737-900",'2026'!$F$4="FO",'2026'!$F$2=BP81),'2026DATA'!$K$22,"")</f>
        <v/>
      </c>
      <c r="BQ101" s="518" t="str">
        <f>IF(AND(_4="B-737-900",'2026'!$F$4="FO",'2026'!$F$2=BQ81),'2026DATA'!$L$22,"")</f>
        <v/>
      </c>
      <c r="BR101" s="518" t="str">
        <f>IF(AND(_4="B-737-900",'2026'!$F$4="FO",'2026'!$F$2=BR81),'2026DATA'!$M$22,"")</f>
        <v/>
      </c>
      <c r="BS101" s="520" t="str">
        <f>IF(AND(_4="B-737-900",'2026'!$F$4="FO",'2026'!$F$2=BS81),'2026DATA'!$N$22,"")</f>
        <v/>
      </c>
      <c r="BT101" s="940"/>
      <c r="BU101" s="13" t="s">
        <v>62</v>
      </c>
      <c r="BV101" s="518" t="str">
        <f>IF(AND(_5="B-737-900",'2026'!$F$4="FO",'2026'!$F$2=BV81),'2026DATA'!$C$22,"")</f>
        <v/>
      </c>
      <c r="BW101" s="518" t="str">
        <f>IF(AND(_5="B-737-900",'2026'!$F$4="FO",'2026'!$F$2=BW81),'2026DATA'!$D$22,"")</f>
        <v/>
      </c>
      <c r="BX101" s="518" t="str">
        <f>IF(AND(_5="B-737-900",'2026'!$F$4="FO",'2026'!$F$2=BX81),'2026DATA'!$E$22,"")</f>
        <v/>
      </c>
      <c r="BY101" s="518" t="str">
        <f>IF(AND(_5="B-737-900",'2026'!$F$4="FO",'2026'!$F$2=BY81),'2026DATA'!$F$22,"")</f>
        <v/>
      </c>
      <c r="BZ101" s="518" t="str">
        <f>IF(AND(_5="B-737-900",'2026'!$F$4="FO",'2026'!$F$2=BZ81),'2026DATA'!$G$22,"")</f>
        <v/>
      </c>
      <c r="CA101" s="518" t="str">
        <f>IF(AND(_5="B-737-900",'2026'!$F$4="FO",'2026'!$F$2=CA81),'2026DATA'!$H$22,"")</f>
        <v/>
      </c>
      <c r="CB101" s="518" t="str">
        <f>IF(AND(_5="B-737-900",'2026'!$F$4="FO",'2026'!$F$2=CB81),'2026DATA'!$I$22,"")</f>
        <v/>
      </c>
      <c r="CC101" s="518" t="str">
        <f>IF(AND(_5="B-737-900",'2026'!$F$4="FO",'2026'!$F$2=CC81),'2026DATA'!$J$22,"")</f>
        <v/>
      </c>
      <c r="CD101" s="518" t="str">
        <f>IF(AND(_5="B-737-900",'2026'!$F$4="FO",'2026'!$F$2=CD81),'2026DATA'!$K$22,"")</f>
        <v/>
      </c>
      <c r="CE101" s="518" t="str">
        <f>IF(AND(_5="B-737-900",'2026'!$F$4="FO",'2026'!$F$2=CE81),'2026DATA'!$L$22,"")</f>
        <v/>
      </c>
      <c r="CF101" s="518" t="str">
        <f>IF(AND(_5="B-737-900",'2026'!$F$4="FO",'2026'!$F$2=CF81),'2026DATA'!$M$22,"")</f>
        <v/>
      </c>
      <c r="CG101" s="520" t="str">
        <f>IF(AND(_5="B-737-900",'2026'!$F$4="FO",'2026'!$F$2=CG81),'2026DATA'!$N$22,"")</f>
        <v/>
      </c>
      <c r="CH101" s="940"/>
      <c r="CI101" s="13" t="s">
        <v>62</v>
      </c>
      <c r="CJ101" s="518" t="str">
        <f>IF(AND(_6="B-737-900",'2026'!$F$4="FO",'2026'!$F$2=CJ81),'2026DATA'!$C$22,"")</f>
        <v/>
      </c>
      <c r="CK101" s="518" t="str">
        <f>IF(AND(_6="B-737-900",'2026'!$F$4="FO",'2026'!$F$2=CK81),'2026DATA'!$D$22,"")</f>
        <v/>
      </c>
      <c r="CL101" s="518" t="str">
        <f>IF(AND(_6="B-737-900",'2026'!$F$4="FO",'2026'!$F$2=CL81),'2026DATA'!$E$22,"")</f>
        <v/>
      </c>
      <c r="CM101" s="518" t="str">
        <f>IF(AND(_6="B-737-900",'2026'!$F$4="FO",'2026'!$F$2=CM81),'2026DATA'!$F$22,"")</f>
        <v/>
      </c>
      <c r="CN101" s="518" t="str">
        <f>IF(AND(_6="B-737-900",'2026'!$F$4="FO",'2026'!$F$2=CN81),'2026DATA'!$G$22,"")</f>
        <v/>
      </c>
      <c r="CO101" s="518" t="str">
        <f>IF(AND(_6="B-737-900",'2026'!$F$4="FO",'2026'!$F$2=CO81),'2026DATA'!$H$22,"")</f>
        <v/>
      </c>
      <c r="CP101" s="518" t="str">
        <f>IF(AND(_6="B-737-900",'2026'!$F$4="FO",'2026'!$F$2=CP81),'2026DATA'!$I$22,"")</f>
        <v/>
      </c>
      <c r="CQ101" s="518" t="str">
        <f>IF(AND(_6="B-737-900",'2026'!$F$4="FO",'2026'!$F$2=CQ81),'2026DATA'!$J$22,"")</f>
        <v/>
      </c>
      <c r="CR101" s="518" t="str">
        <f>IF(AND(_6="B-737-900",'2026'!$F$4="FO",'2026'!$F$2=CR81),'2026DATA'!$K$22,"")</f>
        <v/>
      </c>
      <c r="CS101" s="518" t="str">
        <f>IF(AND(_6="B-737-900",'2026'!$F$4="FO",'2026'!$F$2=CS81),'2026DATA'!$L$22,"")</f>
        <v/>
      </c>
      <c r="CT101" s="518" t="str">
        <f>IF(AND(_6="B-737-900",'2026'!$F$4="FO",'2026'!$F$2=CT81),'2026DATA'!$M$22,"")</f>
        <v/>
      </c>
      <c r="CU101" s="520" t="str">
        <f>IF(AND(_6="B-737-900",'2026'!$F$4="FO",'2026'!$F$2=CU81),'2026DATA'!$N$22,"")</f>
        <v/>
      </c>
    </row>
    <row r="102" spans="16:99" x14ac:dyDescent="0.25">
      <c r="P102" s="940" t="s">
        <v>69</v>
      </c>
      <c r="Q102" s="13" t="s">
        <v>61</v>
      </c>
      <c r="R102" s="518" t="str">
        <f>IF(AND(_1="B-737-800",'2026'!$F$4="CA",'2026'!$F$2=R81),'2026DATA'!$C$23,"")</f>
        <v/>
      </c>
      <c r="S102" s="518" t="str">
        <f>IF(AND(_1="B-737-800",'2026'!$F$4="CA",'2026'!$F$2=S81),'2026DATA'!$D$23,"")</f>
        <v/>
      </c>
      <c r="T102" s="518" t="str">
        <f>IF(AND(_1="B-737-800",'2026'!$F$4="CA",'2026'!$F$2=T81),'2026DATA'!$E$23,"")</f>
        <v/>
      </c>
      <c r="U102" s="518" t="str">
        <f>IF(AND(_1="B-737-800",'2026'!$F$4="CA",'2026'!$F$2=U81),'2026DATA'!$F$23,"")</f>
        <v/>
      </c>
      <c r="V102" s="518" t="str">
        <f>IF(AND(_1="B-737-800",'2026'!$F$4="CA",'2026'!$F$2=V81),'2026DATA'!$G$23,"")</f>
        <v/>
      </c>
      <c r="W102" s="518" t="str">
        <f>IF(AND(_1="B-737-800",'2026'!$F$4="CA",'2026'!$F$2=W81),'2026DATA'!$H$23,"")</f>
        <v/>
      </c>
      <c r="X102" s="518" t="str">
        <f>IF(AND(_1="B-737-800",'2026'!$F$4="CA",'2026'!$F$2=X81),'2026DATA'!$I$23,"")</f>
        <v/>
      </c>
      <c r="Y102" s="518" t="str">
        <f>IF(AND(_1="B-737-800",'2026'!$F$4="CA",'2026'!$F$2=Y81),'2026DATA'!$J$23,"")</f>
        <v/>
      </c>
      <c r="Z102" s="518" t="str">
        <f>IF(AND(_1="B-737-800",'2026'!$F$4="CA",'2026'!$F$2=Z81),'2026DATA'!$K$23,"")</f>
        <v/>
      </c>
      <c r="AA102" s="518" t="str">
        <f>IF(AND(_1="B-737-800",'2026'!$F$4="CA",'2026'!$F$2=AA81),'2026DATA'!$L$23,"")</f>
        <v/>
      </c>
      <c r="AB102" s="518" t="str">
        <f>IF(AND(_1="B-737-800",'2026'!$F$4="CA",'2026'!$F$2=AB81),'2026DATA'!$M$23,"")</f>
        <v/>
      </c>
      <c r="AC102" s="520" t="str">
        <f>IF(AND(_1="B-737-800",'2026'!$F$4="CA",'2026'!$F$2=AC81),'2026DATA'!$N$23,"")</f>
        <v/>
      </c>
      <c r="AD102" s="940" t="s">
        <v>69</v>
      </c>
      <c r="AE102" s="13" t="s">
        <v>61</v>
      </c>
      <c r="AF102" s="518" t="str">
        <f>IF(AND(_2="B-737-800",'2026'!$F$4="CA",'2026'!$F$2=AF81),'2026DATA'!$C$23,"")</f>
        <v/>
      </c>
      <c r="AG102" s="518" t="str">
        <f>IF(AND(_2="B-737-800",'2026'!$F$4="CA",'2026'!$F$2=AG81),'2026DATA'!$D$23,"")</f>
        <v/>
      </c>
      <c r="AH102" s="518" t="str">
        <f>IF(AND(_2="B-737-800",'2026'!$F$4="CA",'2026'!$F$2=AH81),'2026DATA'!$E$23,"")</f>
        <v/>
      </c>
      <c r="AI102" s="518" t="str">
        <f>IF(AND(_2="B-737-800",'2026'!$F$4="CA",'2026'!$F$2=AI81),'2026DATA'!$F$23,"")</f>
        <v/>
      </c>
      <c r="AJ102" s="518" t="str">
        <f>IF(AND(_2="B-737-800",'2026'!$F$4="CA",'2026'!$F$2=AJ81),'2026DATA'!$G$23,"")</f>
        <v/>
      </c>
      <c r="AK102" s="518" t="str">
        <f>IF(AND(_2="B-737-800",'2026'!$F$4="CA",'2026'!$F$2=AK81),'2026DATA'!$H$23,"")</f>
        <v/>
      </c>
      <c r="AL102" s="518" t="str">
        <f>IF(AND(_2="B-737-800",'2026'!$F$4="CA",'2026'!$F$2=AL81),'2026DATA'!$I$23,"")</f>
        <v/>
      </c>
      <c r="AM102" s="518" t="str">
        <f>IF(AND(_2="B-737-800",'2026'!$F$4="CA",'2026'!$F$2=AM81),'2026DATA'!$J$23,"")</f>
        <v/>
      </c>
      <c r="AN102" s="518" t="str">
        <f>IF(AND(_2="B-737-800",'2026'!$F$4="CA",'2026'!$F$2=AN81),'2026DATA'!$K$23,"")</f>
        <v/>
      </c>
      <c r="AO102" s="518" t="str">
        <f>IF(AND(_2="B-737-800",'2026'!$F$4="CA",'2026'!$F$2=AO81),'2026DATA'!$L$23,"")</f>
        <v/>
      </c>
      <c r="AP102" s="518" t="str">
        <f>IF(AND(_2="B-737-800",'2026'!$F$4="CA",'2026'!$F$2=AP81),'2026DATA'!$M$23,"")</f>
        <v/>
      </c>
      <c r="AQ102" s="520" t="str">
        <f>IF(AND(_2="B-737-800",'2026'!$F$4="CA",'2026'!$F$2=AQ81),'2026DATA'!$N$23,"")</f>
        <v/>
      </c>
      <c r="AR102" s="940" t="s">
        <v>69</v>
      </c>
      <c r="AS102" s="13" t="s">
        <v>61</v>
      </c>
      <c r="AT102" s="518" t="str">
        <f>IF(AND(_3="B-737-800",'2026'!$F$4="CA",'2026'!$F$2=AT81),'2026DATA'!$C$23,"")</f>
        <v/>
      </c>
      <c r="AU102" s="518" t="str">
        <f>IF(AND(_3="B-737-800",'2026'!$F$4="CA",'2026'!$F$2=AU81),'2026DATA'!$D$23,"")</f>
        <v/>
      </c>
      <c r="AV102" s="518" t="str">
        <f>IF(AND(_3="B-737-800",'2026'!$F$4="CA",'2026'!$F$2=AV81),'2026DATA'!$E$23,"")</f>
        <v/>
      </c>
      <c r="AW102" s="518" t="str">
        <f>IF(AND(_3="B-737-800",'2026'!$F$4="CA",'2026'!$F$2=AW81),'2026DATA'!$F$23,"")</f>
        <v/>
      </c>
      <c r="AX102" s="518" t="str">
        <f>IF(AND(_3="B-737-800",'2026'!$F$4="CA",'2026'!$F$2=AX81),'2026DATA'!$G$23,"")</f>
        <v/>
      </c>
      <c r="AY102" s="518" t="str">
        <f>IF(AND(_3="B-737-800",'2026'!$F$4="CA",'2026'!$F$2=AY81),'2026DATA'!$H$23,"")</f>
        <v/>
      </c>
      <c r="AZ102" s="518" t="str">
        <f>IF(AND(_3="B-737-800",'2026'!$F$4="CA",'2026'!$F$2=AZ81),'2026DATA'!$I$23,"")</f>
        <v/>
      </c>
      <c r="BA102" s="518" t="str">
        <f>IF(AND(_3="B-737-800",'2026'!$F$4="CA",'2026'!$F$2=BA81),'2026DATA'!$J$23,"")</f>
        <v/>
      </c>
      <c r="BB102" s="518" t="str">
        <f>IF(AND(_3="B-737-800",'2026'!$F$4="CA",'2026'!$F$2=BB81),'2026DATA'!$K$23,"")</f>
        <v/>
      </c>
      <c r="BC102" s="518" t="str">
        <f>IF(AND(_3="B-737-800",'2026'!$F$4="CA",'2026'!$F$2=BC81),'2026DATA'!$L$23,"")</f>
        <v/>
      </c>
      <c r="BD102" s="518" t="str">
        <f>IF(AND(_3="B-737-800",'2026'!$F$4="CA",'2026'!$F$2=BD81),'2026DATA'!$M$23,"")</f>
        <v/>
      </c>
      <c r="BE102" s="520" t="str">
        <f>IF(AND(_3="B-737-800",'2026'!$F$4="CA",'2026'!$F$2=BE81),'2026DATA'!$N$23,"")</f>
        <v/>
      </c>
      <c r="BF102" s="940" t="s">
        <v>69</v>
      </c>
      <c r="BG102" s="13" t="s">
        <v>61</v>
      </c>
      <c r="BH102" s="518" t="str">
        <f>IF(AND(_4="B-737-800",'2026'!$F$4="CA",'2026'!$F$2=BH81),'2026DATA'!$C$23,"")</f>
        <v/>
      </c>
      <c r="BI102" s="518" t="str">
        <f>IF(AND(_4="B-737-800",'2026'!$F$4="CA",'2026'!$F$2=BI81),'2026DATA'!$D$23,"")</f>
        <v/>
      </c>
      <c r="BJ102" s="518" t="str">
        <f>IF(AND(_4="B-737-800",'2026'!$F$4="CA",'2026'!$F$2=BJ81),'2026DATA'!$E$23,"")</f>
        <v/>
      </c>
      <c r="BK102" s="518" t="str">
        <f>IF(AND(_4="B-737-800",'2026'!$F$4="CA",'2026'!$F$2=BK81),'2026DATA'!$F$23,"")</f>
        <v/>
      </c>
      <c r="BL102" s="518" t="str">
        <f>IF(AND(_4="B-737-800",'2026'!$F$4="CA",'2026'!$F$2=BL81),'2026DATA'!$G$23,"")</f>
        <v/>
      </c>
      <c r="BM102" s="518" t="str">
        <f>IF(AND(_4="B-737-800",'2026'!$F$4="CA",'2026'!$F$2=BM81),'2026DATA'!$H$23,"")</f>
        <v/>
      </c>
      <c r="BN102" s="518" t="str">
        <f>IF(AND(_4="B-737-800",'2026'!$F$4="CA",'2026'!$F$2=BN81),'2026DATA'!$I$23,"")</f>
        <v/>
      </c>
      <c r="BO102" s="518" t="str">
        <f>IF(AND(_4="B-737-800",'2026'!$F$4="CA",'2026'!$F$2=BO81),'2026DATA'!$J$23,"")</f>
        <v/>
      </c>
      <c r="BP102" s="518" t="str">
        <f>IF(AND(_4="B-737-800",'2026'!$F$4="CA",'2026'!$F$2=BP81),'2026DATA'!$K$23,"")</f>
        <v/>
      </c>
      <c r="BQ102" s="518" t="str">
        <f>IF(AND(_4="B-737-800",'2026'!$F$4="CA",'2026'!$F$2=BQ81),'2026DATA'!$L$23,"")</f>
        <v/>
      </c>
      <c r="BR102" s="518" t="str">
        <f>IF(AND(_4="B-737-800",'2026'!$F$4="CA",'2026'!$F$2=BR81),'2026DATA'!$M$23,"")</f>
        <v/>
      </c>
      <c r="BS102" s="520" t="str">
        <f>IF(AND(_4="B-737-800",'2026'!$F$4="CA",'2026'!$F$2=BS81),'2026DATA'!$N$23,"")</f>
        <v/>
      </c>
      <c r="BT102" s="940" t="s">
        <v>69</v>
      </c>
      <c r="BU102" s="13" t="s">
        <v>61</v>
      </c>
      <c r="BV102" s="518" t="str">
        <f>IF(AND(_5="B-737-800",'2026'!$F$4="CA",'2026'!$F$2=BV81),'2026DATA'!$C$23,"")</f>
        <v/>
      </c>
      <c r="BW102" s="518" t="str">
        <f>IF(AND(_5="B-737-800",'2026'!$F$4="CA",'2026'!$F$2=BW81),'2026DATA'!$D$23,"")</f>
        <v/>
      </c>
      <c r="BX102" s="518" t="str">
        <f>IF(AND(_5="B-737-800",'2026'!$F$4="CA",'2026'!$F$2=BX81),'2026DATA'!$E$23,"")</f>
        <v/>
      </c>
      <c r="BY102" s="518" t="str">
        <f>IF(AND(_5="B-737-800",'2026'!$F$4="CA",'2026'!$F$2=BY81),'2026DATA'!$F$23,"")</f>
        <v/>
      </c>
      <c r="BZ102" s="518" t="str">
        <f>IF(AND(_5="B-737-800",'2026'!$F$4="CA",'2026'!$F$2=BZ81),'2026DATA'!$G$23,"")</f>
        <v/>
      </c>
      <c r="CA102" s="518" t="str">
        <f>IF(AND(_5="B-737-800",'2026'!$F$4="CA",'2026'!$F$2=CA81),'2026DATA'!$H$23,"")</f>
        <v/>
      </c>
      <c r="CB102" s="518" t="str">
        <f>IF(AND(_5="B-737-800",'2026'!$F$4="CA",'2026'!$F$2=CB81),'2026DATA'!$I$23,"")</f>
        <v/>
      </c>
      <c r="CC102" s="518" t="str">
        <f>IF(AND(_5="B-737-800",'2026'!$F$4="CA",'2026'!$F$2=CC81),'2026DATA'!$J$23,"")</f>
        <v/>
      </c>
      <c r="CD102" s="518" t="str">
        <f>IF(AND(_5="B-737-800",'2026'!$F$4="CA",'2026'!$F$2=CD81),'2026DATA'!$K$23,"")</f>
        <v/>
      </c>
      <c r="CE102" s="518" t="str">
        <f>IF(AND(_5="B-737-800",'2026'!$F$4="CA",'2026'!$F$2=CE81),'2026DATA'!$L$23,"")</f>
        <v/>
      </c>
      <c r="CF102" s="518" t="str">
        <f>IF(AND(_5="B-737-800",'2026'!$F$4="CA",'2026'!$F$2=CF81),'2026DATA'!$M$23,"")</f>
        <v/>
      </c>
      <c r="CG102" s="520" t="str">
        <f>IF(AND(_5="B-737-800",'2026'!$F$4="CA",'2026'!$F$2=CG81),'2026DATA'!$N$23,"")</f>
        <v/>
      </c>
      <c r="CH102" s="940" t="s">
        <v>69</v>
      </c>
      <c r="CI102" s="13" t="s">
        <v>61</v>
      </c>
      <c r="CJ102" s="518" t="str">
        <f>IF(AND(_6="B-737-800",'2026'!$F$4="CA",'2026'!$F$2=CJ81),'2026DATA'!$C$23,"")</f>
        <v/>
      </c>
      <c r="CK102" s="518" t="str">
        <f>IF(AND(_6="B-737-800",'2026'!$F$4="CA",'2026'!$F$2=CK81),'2026DATA'!$D$23,"")</f>
        <v/>
      </c>
      <c r="CL102" s="518" t="str">
        <f>IF(AND(_6="B-737-800",'2026'!$F$4="CA",'2026'!$F$2=CL81),'2026DATA'!$E$23,"")</f>
        <v/>
      </c>
      <c r="CM102" s="518" t="str">
        <f>IF(AND(_6="B-737-800",'2026'!$F$4="CA",'2026'!$F$2=CM81),'2026DATA'!$F$23,"")</f>
        <v/>
      </c>
      <c r="CN102" s="518" t="str">
        <f>IF(AND(_6="B-737-800",'2026'!$F$4="CA",'2026'!$F$2=CN81),'2026DATA'!$G$23,"")</f>
        <v/>
      </c>
      <c r="CO102" s="518" t="str">
        <f>IF(AND(_6="B-737-800",'2026'!$F$4="CA",'2026'!$F$2=CO81),'2026DATA'!$H$23,"")</f>
        <v/>
      </c>
      <c r="CP102" s="518" t="str">
        <f>IF(AND(_6="B-737-800",'2026'!$F$4="CA",'2026'!$F$2=CP81),'2026DATA'!$I$23,"")</f>
        <v/>
      </c>
      <c r="CQ102" s="518" t="str">
        <f>IF(AND(_6="B-737-800",'2026'!$F$4="CA",'2026'!$F$2=CQ81),'2026DATA'!$J$23,"")</f>
        <v/>
      </c>
      <c r="CR102" s="518" t="str">
        <f>IF(AND(_6="B-737-800",'2026'!$F$4="CA",'2026'!$F$2=CR81),'2026DATA'!$K$23,"")</f>
        <v/>
      </c>
      <c r="CS102" s="518" t="str">
        <f>IF(AND(_6="B-737-800",'2026'!$F$4="CA",'2026'!$F$2=CS81),'2026DATA'!$L$23,"")</f>
        <v/>
      </c>
      <c r="CT102" s="518" t="str">
        <f>IF(AND(_6="B-737-800",'2026'!$F$4="CA",'2026'!$F$2=CT81),'2026DATA'!$M$23,"")</f>
        <v/>
      </c>
      <c r="CU102" s="520" t="str">
        <f>IF(AND(_6="B-737-800",'2026'!$F$4="CA",'2026'!$F$2=CU81),'2026DATA'!$N$23,"")</f>
        <v/>
      </c>
    </row>
    <row r="103" spans="16:99" x14ac:dyDescent="0.25">
      <c r="P103" s="940"/>
      <c r="Q103" s="13" t="s">
        <v>62</v>
      </c>
      <c r="R103" s="518" t="str">
        <f>IF(AND(_1="B-737-800",'2026'!$F$4="FO",'2026'!$F$2=R81),'2026DATA'!$C$24,"")</f>
        <v/>
      </c>
      <c r="S103" s="518" t="str">
        <f>IF(AND(_1="B-737-800",'2026'!$F$4="FO",'2026'!$F$2=S81),'2026DATA'!$D$24,"")</f>
        <v/>
      </c>
      <c r="T103" s="518" t="str">
        <f>IF(AND(_1="B-737-800",'2026'!$F$4="FO",'2026'!$F$2=T81),'2026DATA'!$E$24,"")</f>
        <v/>
      </c>
      <c r="U103" s="518" t="str">
        <f>IF(AND(_1="B-737-800",'2026'!$F$4="FO",'2026'!$F$2=U81),'2026DATA'!$F$24,"")</f>
        <v/>
      </c>
      <c r="V103" s="518" t="str">
        <f>IF(AND(_1="B-737-800",'2026'!$F$4="FO",'2026'!$F$2=V81),'2026DATA'!$G$24,"")</f>
        <v/>
      </c>
      <c r="W103" s="518" t="str">
        <f>IF(AND(_1="B-737-800",'2026'!$F$4="FO",'2026'!$F$2=W81),'2026DATA'!$H$24,"")</f>
        <v/>
      </c>
      <c r="X103" s="518" t="str">
        <f>IF(AND(_1="B-737-800",'2026'!$F$4="FO",'2026'!$F$2=X81),'2026DATA'!$I$24,"")</f>
        <v/>
      </c>
      <c r="Y103" s="518" t="str">
        <f>IF(AND(_1="B-737-800",'2026'!$F$4="FO",'2026'!$F$2=Y81),'2026DATA'!$J$24,"")</f>
        <v/>
      </c>
      <c r="Z103" s="518" t="str">
        <f>IF(AND(_1="B-737-800",'2026'!$F$4="FO",'2026'!$F$2=Z81),'2026DATA'!$K$24,"")</f>
        <v/>
      </c>
      <c r="AA103" s="518" t="str">
        <f>IF(AND(_1="B-737-800",'2026'!$F$4="FO",'2026'!$F$2=AA81),'2026DATA'!$L$24,"")</f>
        <v/>
      </c>
      <c r="AB103" s="518" t="str">
        <f>IF(AND(_1="B-737-800",'2026'!$F$4="FO",'2026'!$F$2=AB81),'2026DATA'!$M$24,"")</f>
        <v/>
      </c>
      <c r="AC103" s="520" t="str">
        <f>IF(AND(_1="B-737-800",'2026'!$F$4="FO",'2026'!$F$2=AC81),'2026DATA'!$N$24,"")</f>
        <v/>
      </c>
      <c r="AD103" s="940"/>
      <c r="AE103" s="13" t="s">
        <v>62</v>
      </c>
      <c r="AF103" s="518" t="str">
        <f>IF(AND(_2="B-737-800",'2026'!$F$4="FO",'2026'!$F$2=AF81),'2026DATA'!$C$24,"")</f>
        <v/>
      </c>
      <c r="AG103" s="518" t="str">
        <f>IF(AND(_2="B-737-800",'2026'!$F$4="FO",'2026'!$F$2=AG81),'2026DATA'!$D$24,"")</f>
        <v/>
      </c>
      <c r="AH103" s="518" t="str">
        <f>IF(AND(_2="B-737-800",'2026'!$F$4="FO",'2026'!$F$2=AH81),'2026DATA'!$E$24,"")</f>
        <v/>
      </c>
      <c r="AI103" s="518" t="str">
        <f>IF(AND(_2="B-737-800",'2026'!$F$4="FO",'2026'!$F$2=AI81),'2026DATA'!$F$24,"")</f>
        <v/>
      </c>
      <c r="AJ103" s="518" t="str">
        <f>IF(AND(_2="B-737-800",'2026'!$F$4="FO",'2026'!$F$2=AJ81),'2026DATA'!$G$24,"")</f>
        <v/>
      </c>
      <c r="AK103" s="518" t="str">
        <f>IF(AND(_2="B-737-800",'2026'!$F$4="FO",'2026'!$F$2=AK81),'2026DATA'!$H$24,"")</f>
        <v/>
      </c>
      <c r="AL103" s="518" t="str">
        <f>IF(AND(_2="B-737-800",'2026'!$F$4="FO",'2026'!$F$2=AL81),'2026DATA'!$I$24,"")</f>
        <v/>
      </c>
      <c r="AM103" s="518" t="str">
        <f>IF(AND(_2="B-737-800",'2026'!$F$4="FO",'2026'!$F$2=AM81),'2026DATA'!$J$24,"")</f>
        <v/>
      </c>
      <c r="AN103" s="518" t="str">
        <f>IF(AND(_2="B-737-800",'2026'!$F$4="FO",'2026'!$F$2=AN81),'2026DATA'!$K$24,"")</f>
        <v/>
      </c>
      <c r="AO103" s="518" t="str">
        <f>IF(AND(_2="B-737-800",'2026'!$F$4="FO",'2026'!$F$2=AO81),'2026DATA'!$L$24,"")</f>
        <v/>
      </c>
      <c r="AP103" s="518" t="str">
        <f>IF(AND(_2="B-737-800",'2026'!$F$4="FO",'2026'!$F$2=AP81),'2026DATA'!$M$24,"")</f>
        <v/>
      </c>
      <c r="AQ103" s="520" t="str">
        <f>IF(AND(_2="B-737-800",'2026'!$F$4="FO",'2026'!$F$2=AQ81),'2026DATA'!$N$24,"")</f>
        <v/>
      </c>
      <c r="AR103" s="940"/>
      <c r="AS103" s="13" t="s">
        <v>62</v>
      </c>
      <c r="AT103" s="518" t="str">
        <f>IF(AND(_3="B-737-800",'2026'!$F$4="FO",'2026'!$F$2=AT81),'2026DATA'!$C$24,"")</f>
        <v/>
      </c>
      <c r="AU103" s="518" t="str">
        <f>IF(AND(_3="B-737-800",'2026'!$F$4="FO",'2026'!$F$2=AU81),'2026DATA'!$D$24,"")</f>
        <v/>
      </c>
      <c r="AV103" s="518" t="str">
        <f>IF(AND(_3="B-737-800",'2026'!$F$4="FO",'2026'!$F$2=AV81),'2026DATA'!$E$24,"")</f>
        <v/>
      </c>
      <c r="AW103" s="518" t="str">
        <f>IF(AND(_3="B-737-800",'2026'!$F$4="FO",'2026'!$F$2=AW81),'2026DATA'!$F$24,"")</f>
        <v/>
      </c>
      <c r="AX103" s="518" t="str">
        <f>IF(AND(_3="B-737-800",'2026'!$F$4="FO",'2026'!$F$2=AX81),'2026DATA'!$G$24,"")</f>
        <v/>
      </c>
      <c r="AY103" s="518" t="str">
        <f>IF(AND(_3="B-737-800",'2026'!$F$4="FO",'2026'!$F$2=AY81),'2026DATA'!$H$24,"")</f>
        <v/>
      </c>
      <c r="AZ103" s="518" t="str">
        <f>IF(AND(_3="B-737-800",'2026'!$F$4="FO",'2026'!$F$2=AZ81),'2026DATA'!$I$24,"")</f>
        <v/>
      </c>
      <c r="BA103" s="518" t="str">
        <f>IF(AND(_3="B-737-800",'2026'!$F$4="FO",'2026'!$F$2=BA81),'2026DATA'!$J$24,"")</f>
        <v/>
      </c>
      <c r="BB103" s="518" t="str">
        <f>IF(AND(_3="B-737-800",'2026'!$F$4="FO",'2026'!$F$2=BB81),'2026DATA'!$K$24,"")</f>
        <v/>
      </c>
      <c r="BC103" s="518" t="str">
        <f>IF(AND(_3="B-737-800",'2026'!$F$4="FO",'2026'!$F$2=BC81),'2026DATA'!$L$24,"")</f>
        <v/>
      </c>
      <c r="BD103" s="518" t="str">
        <f>IF(AND(_3="B-737-800",'2026'!$F$4="FO",'2026'!$F$2=BD81),'2026DATA'!$M$24,"")</f>
        <v/>
      </c>
      <c r="BE103" s="520" t="str">
        <f>IF(AND(_3="B-737-800",'2026'!$F$4="FO",'2026'!$F$2=BE81),'2026DATA'!$N$24,"")</f>
        <v/>
      </c>
      <c r="BF103" s="940"/>
      <c r="BG103" s="13" t="s">
        <v>62</v>
      </c>
      <c r="BH103" s="518" t="str">
        <f>IF(AND(_4="B-737-800",'2026'!$F$4="FO",'2026'!$F$2=BH81),'2026DATA'!$C$24,"")</f>
        <v/>
      </c>
      <c r="BI103" s="518" t="str">
        <f>IF(AND(_4="B-737-800",'2026'!$F$4="FO",'2026'!$F$2=BI81),'2026DATA'!$D$24,"")</f>
        <v/>
      </c>
      <c r="BJ103" s="518" t="str">
        <f>IF(AND(_4="B-737-800",'2026'!$F$4="FO",'2026'!$F$2=BJ81),'2026DATA'!$E$24,"")</f>
        <v/>
      </c>
      <c r="BK103" s="518" t="str">
        <f>IF(AND(_4="B-737-800",'2026'!$F$4="FO",'2026'!$F$2=BK81),'2026DATA'!$F$24,"")</f>
        <v/>
      </c>
      <c r="BL103" s="518" t="str">
        <f>IF(AND(_4="B-737-800",'2026'!$F$4="FO",'2026'!$F$2=BL81),'2026DATA'!$G$24,"")</f>
        <v/>
      </c>
      <c r="BM103" s="518" t="str">
        <f>IF(AND(_4="B-737-800",'2026'!$F$4="FO",'2026'!$F$2=BM81),'2026DATA'!$H$24,"")</f>
        <v/>
      </c>
      <c r="BN103" s="518" t="str">
        <f>IF(AND(_4="B-737-800",'2026'!$F$4="FO",'2026'!$F$2=BN81),'2026DATA'!$I$24,"")</f>
        <v/>
      </c>
      <c r="BO103" s="518" t="str">
        <f>IF(AND(_4="B-737-800",'2026'!$F$4="FO",'2026'!$F$2=BO81),'2026DATA'!$J$24,"")</f>
        <v/>
      </c>
      <c r="BP103" s="518" t="str">
        <f>IF(AND(_4="B-737-800",'2026'!$F$4="FO",'2026'!$F$2=BP81),'2026DATA'!$K$24,"")</f>
        <v/>
      </c>
      <c r="BQ103" s="518" t="str">
        <f>IF(AND(_4="B-737-800",'2026'!$F$4="FO",'2026'!$F$2=BQ81),'2026DATA'!$L$24,"")</f>
        <v/>
      </c>
      <c r="BR103" s="518" t="str">
        <f>IF(AND(_4="B-737-800",'2026'!$F$4="FO",'2026'!$F$2=BR81),'2026DATA'!$M$24,"")</f>
        <v/>
      </c>
      <c r="BS103" s="520" t="str">
        <f>IF(AND(_4="B-737-800",'2026'!$F$4="FO",'2026'!$F$2=BS81),'2026DATA'!$N$24,"")</f>
        <v/>
      </c>
      <c r="BT103" s="940"/>
      <c r="BU103" s="13" t="s">
        <v>62</v>
      </c>
      <c r="BV103" s="518" t="str">
        <f>IF(AND(_5="B-737-800",'2026'!$F$4="FO",'2026'!$F$2=BV81),'2026DATA'!$C$24,"")</f>
        <v/>
      </c>
      <c r="BW103" s="518" t="str">
        <f>IF(AND(_5="B-737-800",'2026'!$F$4="FO",'2026'!$F$2=BW81),'2026DATA'!$D$24,"")</f>
        <v/>
      </c>
      <c r="BX103" s="518" t="str">
        <f>IF(AND(_5="B-737-800",'2026'!$F$4="FO",'2026'!$F$2=BX81),'2026DATA'!$E$24,"")</f>
        <v/>
      </c>
      <c r="BY103" s="518" t="str">
        <f>IF(AND(_5="B-737-800",'2026'!$F$4="FO",'2026'!$F$2=BY81),'2026DATA'!$F$24,"")</f>
        <v/>
      </c>
      <c r="BZ103" s="518" t="str">
        <f>IF(AND(_5="B-737-800",'2026'!$F$4="FO",'2026'!$F$2=BZ81),'2026DATA'!$G$24,"")</f>
        <v/>
      </c>
      <c r="CA103" s="518" t="str">
        <f>IF(AND(_5="B-737-800",'2026'!$F$4="FO",'2026'!$F$2=CA81),'2026DATA'!$H$24,"")</f>
        <v/>
      </c>
      <c r="CB103" s="518" t="str">
        <f>IF(AND(_5="B-737-800",'2026'!$F$4="FO",'2026'!$F$2=CB81),'2026DATA'!$I$24,"")</f>
        <v/>
      </c>
      <c r="CC103" s="518" t="str">
        <f>IF(AND(_5="B-737-800",'2026'!$F$4="FO",'2026'!$F$2=CC81),'2026DATA'!$J$24,"")</f>
        <v/>
      </c>
      <c r="CD103" s="518" t="str">
        <f>IF(AND(_5="B-737-800",'2026'!$F$4="FO",'2026'!$F$2=CD81),'2026DATA'!$K$24,"")</f>
        <v/>
      </c>
      <c r="CE103" s="518" t="str">
        <f>IF(AND(_5="B-737-800",'2026'!$F$4="FO",'2026'!$F$2=CE81),'2026DATA'!$L$24,"")</f>
        <v/>
      </c>
      <c r="CF103" s="518" t="str">
        <f>IF(AND(_5="B-737-800",'2026'!$F$4="FO",'2026'!$F$2=CF81),'2026DATA'!$M$24,"")</f>
        <v/>
      </c>
      <c r="CG103" s="520" t="str">
        <f>IF(AND(_5="B-737-800",'2026'!$F$4="FO",'2026'!$F$2=CG81),'2026DATA'!$N$24,"")</f>
        <v/>
      </c>
      <c r="CH103" s="940"/>
      <c r="CI103" s="13" t="s">
        <v>62</v>
      </c>
      <c r="CJ103" s="518" t="str">
        <f>IF(AND(_6="B-737-800",'2026'!$F$4="FO",'2026'!$F$2=CJ81),'2026DATA'!$C$24,"")</f>
        <v/>
      </c>
      <c r="CK103" s="518" t="str">
        <f>IF(AND(_6="B-737-800",'2026'!$F$4="FO",'2026'!$F$2=CK81),'2026DATA'!$D$24,"")</f>
        <v/>
      </c>
      <c r="CL103" s="518" t="str">
        <f>IF(AND(_6="B-737-800",'2026'!$F$4="FO",'2026'!$F$2=CL81),'2026DATA'!$E$24,"")</f>
        <v/>
      </c>
      <c r="CM103" s="518" t="str">
        <f>IF(AND(_6="B-737-800",'2026'!$F$4="FO",'2026'!$F$2=CM81),'2026DATA'!$F$24,"")</f>
        <v/>
      </c>
      <c r="CN103" s="518" t="str">
        <f>IF(AND(_6="B-737-800",'2026'!$F$4="FO",'2026'!$F$2=CN81),'2026DATA'!$G$24,"")</f>
        <v/>
      </c>
      <c r="CO103" s="518" t="str">
        <f>IF(AND(_6="B-737-800",'2026'!$F$4="FO",'2026'!$F$2=CO81),'2026DATA'!$H$24,"")</f>
        <v/>
      </c>
      <c r="CP103" s="518" t="str">
        <f>IF(AND(_6="B-737-800",'2026'!$F$4="FO",'2026'!$F$2=CP81),'2026DATA'!$I$24,"")</f>
        <v/>
      </c>
      <c r="CQ103" s="518" t="str">
        <f>IF(AND(_6="B-737-800",'2026'!$F$4="FO",'2026'!$F$2=CQ81),'2026DATA'!$J$24,"")</f>
        <v/>
      </c>
      <c r="CR103" s="518" t="str">
        <f>IF(AND(_6="B-737-800",'2026'!$F$4="FO",'2026'!$F$2=CR81),'2026DATA'!$K$24,"")</f>
        <v/>
      </c>
      <c r="CS103" s="518" t="str">
        <f>IF(AND(_6="B-737-800",'2026'!$F$4="FO",'2026'!$F$2=CS81),'2026DATA'!$L$24,"")</f>
        <v/>
      </c>
      <c r="CT103" s="518" t="str">
        <f>IF(AND(_6="B-737-800",'2026'!$F$4="FO",'2026'!$F$2=CT81),'2026DATA'!$M$24,"")</f>
        <v/>
      </c>
      <c r="CU103" s="520" t="str">
        <f>IF(AND(_6="B-737-800",'2026'!$F$4="FO",'2026'!$F$2=CU81),'2026DATA'!$N$24,"")</f>
        <v/>
      </c>
    </row>
    <row r="104" spans="16:99" x14ac:dyDescent="0.25">
      <c r="P104" s="940" t="s">
        <v>46</v>
      </c>
      <c r="Q104" s="13" t="s">
        <v>61</v>
      </c>
      <c r="R104" s="518" t="str">
        <f>IF(AND(_1="A-321N",'2026'!$F$4="CA",'2026'!$F$2=R81),'2026DATA'!$C$25,"")</f>
        <v/>
      </c>
      <c r="S104" s="518" t="str">
        <f>IF(AND(_1="A-321N",'2026'!$F$4="CA",'2026'!$F$2=S81),'2026DATA'!$D$25,"")</f>
        <v/>
      </c>
      <c r="T104" s="518" t="str">
        <f>IF(AND(_1="A-321N",'2026'!$F$4="CA",'2026'!$F$2=T81),'2026DATA'!$E$25,"")</f>
        <v/>
      </c>
      <c r="U104" s="518" t="str">
        <f>IF(AND(_1="A-321N",'2026'!$F$4="CA",'2026'!$F$2=U81),'2026DATA'!$F$25,"")</f>
        <v/>
      </c>
      <c r="V104" s="518" t="str">
        <f>IF(AND(_1="A-321N",'2026'!$F$4="CA",'2026'!$F$2=V81),'2026DATA'!$G$25,"")</f>
        <v/>
      </c>
      <c r="W104" s="518" t="str">
        <f>IF(AND(_1="A-321N",'2026'!$F$4="CA",'2026'!$F$2=W81),'2026DATA'!$H$25,"")</f>
        <v/>
      </c>
      <c r="X104" s="518" t="str">
        <f>IF(AND(_1="A-321N",'2026'!$F$4="CA",'2026'!$F$2=X81),'2026DATA'!$I$25,"")</f>
        <v/>
      </c>
      <c r="Y104" s="518" t="str">
        <f>IF(AND(_1="A-321N",'2026'!$F$4="CA",'2026'!$F$2=Y81),'2026DATA'!$J$25,"")</f>
        <v/>
      </c>
      <c r="Z104" s="518" t="str">
        <f>IF(AND(_1="A-321N",'2026'!$F$4="CA",'2026'!$F$2=Z81),'2026DATA'!$K$25,"")</f>
        <v/>
      </c>
      <c r="AA104" s="518" t="str">
        <f>IF(AND(_1="A-321N",'2026'!$F$4="CA",'2026'!$F$2=AA81),'2026DATA'!$L$25,"")</f>
        <v/>
      </c>
      <c r="AB104" s="518" t="str">
        <f>IF(AND(_1="A-321N",'2026'!$F$4="CA",'2026'!$F$2=AB81),'2026DATA'!$M$25,"")</f>
        <v/>
      </c>
      <c r="AC104" s="520" t="str">
        <f>IF(AND(_1="A-321N",'2026'!$F$4="CA",'2026'!$F$2=AC81),'2026DATA'!$N$25,"")</f>
        <v/>
      </c>
      <c r="AD104" s="940" t="s">
        <v>46</v>
      </c>
      <c r="AE104" s="13" t="s">
        <v>61</v>
      </c>
      <c r="AF104" s="518" t="str">
        <f>IF(AND(_2="A-321N",'2026'!$F$4="CA",'2026'!$F$2=AF81),'2026DATA'!$C$25,"")</f>
        <v/>
      </c>
      <c r="AG104" s="518" t="str">
        <f>IF(AND(_2="A-321N",'2026'!$F$4="CA",'2026'!$F$2=AG81),'2026DATA'!$D$25,"")</f>
        <v/>
      </c>
      <c r="AH104" s="518" t="str">
        <f>IF(AND(_2="A-321N",'2026'!$F$4="CA",'2026'!$F$2=AH81),'2026DATA'!$E$25,"")</f>
        <v/>
      </c>
      <c r="AI104" s="518" t="str">
        <f>IF(AND(_2="A-321N",'2026'!$F$4="CA",'2026'!$F$2=AI81),'2026DATA'!$F$25,"")</f>
        <v/>
      </c>
      <c r="AJ104" s="518" t="str">
        <f>IF(AND(_2="A-321N",'2026'!$F$4="CA",'2026'!$F$2=AJ81),'2026DATA'!$G$25,"")</f>
        <v/>
      </c>
      <c r="AK104" s="518" t="str">
        <f>IF(AND(_2="A-321N",'2026'!$F$4="CA",'2026'!$F$2=AK81),'2026DATA'!$H$25,"")</f>
        <v/>
      </c>
      <c r="AL104" s="518" t="str">
        <f>IF(AND(_2="A-321N",'2026'!$F$4="CA",'2026'!$F$2=AL81),'2026DATA'!$I$25,"")</f>
        <v/>
      </c>
      <c r="AM104" s="518" t="str">
        <f>IF(AND(_2="A-321N",'2026'!$F$4="CA",'2026'!$F$2=AM81),'2026DATA'!$J$25,"")</f>
        <v/>
      </c>
      <c r="AN104" s="518" t="str">
        <f>IF(AND(_2="A-321N",'2026'!$F$4="CA",'2026'!$F$2=AN81),'2026DATA'!$K$25,"")</f>
        <v/>
      </c>
      <c r="AO104" s="518" t="str">
        <f>IF(AND(_2="A-321N",'2026'!$F$4="CA",'2026'!$F$2=AO81),'2026DATA'!$L$25,"")</f>
        <v/>
      </c>
      <c r="AP104" s="518" t="str">
        <f>IF(AND(_2="A-321N",'2026'!$F$4="CA",'2026'!$F$2=AP81),'2026DATA'!$M$25,"")</f>
        <v/>
      </c>
      <c r="AQ104" s="520" t="str">
        <f>IF(AND(_2="A-321N",'2026'!$F$4="CA",'2026'!$F$2=AQ81),'2026DATA'!$N$25,"")</f>
        <v/>
      </c>
      <c r="AR104" s="940" t="s">
        <v>46</v>
      </c>
      <c r="AS104" s="13" t="s">
        <v>61</v>
      </c>
      <c r="AT104" s="518" t="str">
        <f>IF(AND(_3="A-321N",'2026'!$F$4="CA",'2026'!$F$2=AT81),'2026DATA'!$C$25,"")</f>
        <v/>
      </c>
      <c r="AU104" s="518" t="str">
        <f>IF(AND(_3="A-321N",'2026'!$F$4="CA",'2026'!$F$2=AU81),'2026DATA'!$D$25,"")</f>
        <v/>
      </c>
      <c r="AV104" s="518" t="str">
        <f>IF(AND(_3="A-321N",'2026'!$F$4="CA",'2026'!$F$2=AV81),'2026DATA'!$E$25,"")</f>
        <v/>
      </c>
      <c r="AW104" s="518" t="str">
        <f>IF(AND(_3="A-321N",'2026'!$F$4="CA",'2026'!$F$2=AW81),'2026DATA'!$F$25,"")</f>
        <v/>
      </c>
      <c r="AX104" s="518" t="str">
        <f>IF(AND(_3="A-321N",'2026'!$F$4="CA",'2026'!$F$2=AX81),'2026DATA'!$G$25,"")</f>
        <v/>
      </c>
      <c r="AY104" s="518" t="str">
        <f>IF(AND(_3="A-321N",'2026'!$F$4="CA",'2026'!$F$2=AY81),'2026DATA'!$H$25,"")</f>
        <v/>
      </c>
      <c r="AZ104" s="518" t="str">
        <f>IF(AND(_3="A-321N",'2026'!$F$4="CA",'2026'!$F$2=AZ81),'2026DATA'!$I$25,"")</f>
        <v/>
      </c>
      <c r="BA104" s="518" t="str">
        <f>IF(AND(_3="A-321N",'2026'!$F$4="CA",'2026'!$F$2=BA81),'2026DATA'!$J$25,"")</f>
        <v/>
      </c>
      <c r="BB104" s="518" t="str">
        <f>IF(AND(_3="A-321N",'2026'!$F$4="CA",'2026'!$F$2=BB81),'2026DATA'!$K$25,"")</f>
        <v/>
      </c>
      <c r="BC104" s="518" t="str">
        <f>IF(AND(_3="A-321N",'2026'!$F$4="CA",'2026'!$F$2=BC81),'2026DATA'!$L$25,"")</f>
        <v/>
      </c>
      <c r="BD104" s="518" t="str">
        <f>IF(AND(_3="A-321N",'2026'!$F$4="CA",'2026'!$F$2=BD81),'2026DATA'!$M$25,"")</f>
        <v/>
      </c>
      <c r="BE104" s="520" t="str">
        <f>IF(AND(_3="A-321N",'2026'!$F$4="CA",'2026'!$F$2=BE81),'2026DATA'!$N$25,"")</f>
        <v/>
      </c>
      <c r="BF104" s="940" t="s">
        <v>46</v>
      </c>
      <c r="BG104" s="13" t="s">
        <v>61</v>
      </c>
      <c r="BH104" s="518" t="str">
        <f>IF(AND(_4="A-321N",'2026'!$F$4="CA",'2026'!$F$2=BH81),'2026DATA'!$C$25,"")</f>
        <v/>
      </c>
      <c r="BI104" s="518" t="str">
        <f>IF(AND(_4="A-321N",'2026'!$F$4="CA",'2026'!$F$2=BI81),'2026DATA'!$D$25,"")</f>
        <v/>
      </c>
      <c r="BJ104" s="518" t="str">
        <f>IF(AND(_4="A-321N",'2026'!$F$4="CA",'2026'!$F$2=BJ81),'2026DATA'!$E$25,"")</f>
        <v/>
      </c>
      <c r="BK104" s="518" t="str">
        <f>IF(AND(_4="A-321N",'2026'!$F$4="CA",'2026'!$F$2=BK81),'2026DATA'!$F$25,"")</f>
        <v/>
      </c>
      <c r="BL104" s="518" t="str">
        <f>IF(AND(_4="A-321N",'2026'!$F$4="CA",'2026'!$F$2=BL81),'2026DATA'!$G$25,"")</f>
        <v/>
      </c>
      <c r="BM104" s="518" t="str">
        <f>IF(AND(_4="A-321N",'2026'!$F$4="CA",'2026'!$F$2=BM81),'2026DATA'!$H$25,"")</f>
        <v/>
      </c>
      <c r="BN104" s="518" t="str">
        <f>IF(AND(_4="A-321N",'2026'!$F$4="CA",'2026'!$F$2=BN81),'2026DATA'!$I$25,"")</f>
        <v/>
      </c>
      <c r="BO104" s="518" t="str">
        <f>IF(AND(_4="A-321N",'2026'!$F$4="CA",'2026'!$F$2=BO81),'2026DATA'!$J$25,"")</f>
        <v/>
      </c>
      <c r="BP104" s="518" t="str">
        <f>IF(AND(_4="A-321N",'2026'!$F$4="CA",'2026'!$F$2=BP81),'2026DATA'!$K$25,"")</f>
        <v/>
      </c>
      <c r="BQ104" s="518" t="str">
        <f>IF(AND(_4="A-321N",'2026'!$F$4="CA",'2026'!$F$2=BQ81),'2026DATA'!$L$25,"")</f>
        <v/>
      </c>
      <c r="BR104" s="518" t="str">
        <f>IF(AND(_4="A-321N",'2026'!$F$4="CA",'2026'!$F$2=BR81),'2026DATA'!$M$25,"")</f>
        <v/>
      </c>
      <c r="BS104" s="520" t="str">
        <f>IF(AND(_4="A-321N",'2026'!$F$4="CA",'2026'!$F$2=BS81),'2026DATA'!$N$25,"")</f>
        <v/>
      </c>
      <c r="BT104" s="940" t="s">
        <v>46</v>
      </c>
      <c r="BU104" s="13" t="s">
        <v>61</v>
      </c>
      <c r="BV104" s="518" t="str">
        <f>IF(AND(_5="A-321N",'2026'!$F$4="CA",'2026'!$F$2=BV81),'2026DATA'!$C$25,"")</f>
        <v/>
      </c>
      <c r="BW104" s="518" t="str">
        <f>IF(AND(_5="A-321N",'2026'!$F$4="CA",'2026'!$F$2=BW81),'2026DATA'!$D$25,"")</f>
        <v/>
      </c>
      <c r="BX104" s="518" t="str">
        <f>IF(AND(_5="A-321N",'2026'!$F$4="CA",'2026'!$F$2=BX81),'2026DATA'!$E$25,"")</f>
        <v/>
      </c>
      <c r="BY104" s="518" t="str">
        <f>IF(AND(_5="A-321N",'2026'!$F$4="CA",'2026'!$F$2=BY81),'2026DATA'!$F$25,"")</f>
        <v/>
      </c>
      <c r="BZ104" s="518" t="str">
        <f>IF(AND(_5="A-321N",'2026'!$F$4="CA",'2026'!$F$2=BZ81),'2026DATA'!$G$25,"")</f>
        <v/>
      </c>
      <c r="CA104" s="518" t="str">
        <f>IF(AND(_5="A-321N",'2026'!$F$4="CA",'2026'!$F$2=CA81),'2026DATA'!$H$25,"")</f>
        <v/>
      </c>
      <c r="CB104" s="518" t="str">
        <f>IF(AND(_5="A-321N",'2026'!$F$4="CA",'2026'!$F$2=CB81),'2026DATA'!$I$25,"")</f>
        <v/>
      </c>
      <c r="CC104" s="518" t="str">
        <f>IF(AND(_5="A-321N",'2026'!$F$4="CA",'2026'!$F$2=CC81),'2026DATA'!$J$25,"")</f>
        <v/>
      </c>
      <c r="CD104" s="518" t="str">
        <f>IF(AND(_5="A-321N",'2026'!$F$4="CA",'2026'!$F$2=CD81),'2026DATA'!$K$25,"")</f>
        <v/>
      </c>
      <c r="CE104" s="518" t="str">
        <f>IF(AND(_5="A-321N",'2026'!$F$4="CA",'2026'!$F$2=CE81),'2026DATA'!$L$25,"")</f>
        <v/>
      </c>
      <c r="CF104" s="518" t="str">
        <f>IF(AND(_5="A-321N",'2026'!$F$4="CA",'2026'!$F$2=CF81),'2026DATA'!$M$25,"")</f>
        <v/>
      </c>
      <c r="CG104" s="520" t="str">
        <f>IF(AND(_5="A-321N",'2026'!$F$4="CA",'2026'!$F$2=CG81),'2026DATA'!$N$25,"")</f>
        <v/>
      </c>
      <c r="CH104" s="940" t="s">
        <v>46</v>
      </c>
      <c r="CI104" s="13" t="s">
        <v>61</v>
      </c>
      <c r="CJ104" s="518" t="str">
        <f>IF(AND(_6="A-321N",'2026'!$F$4="CA",'2026'!$F$2=CJ81),'2026DATA'!$C$25,"")</f>
        <v/>
      </c>
      <c r="CK104" s="518" t="str">
        <f>IF(AND(_6="A-321N",'2026'!$F$4="CA",'2026'!$F$2=CK81),'2026DATA'!$D$25,"")</f>
        <v/>
      </c>
      <c r="CL104" s="518" t="str">
        <f>IF(AND(_6="A-321N",'2026'!$F$4="CA",'2026'!$F$2=CL81),'2026DATA'!$E$25,"")</f>
        <v/>
      </c>
      <c r="CM104" s="518" t="str">
        <f>IF(AND(_6="A-321N",'2026'!$F$4="CA",'2026'!$F$2=CM81),'2026DATA'!$F$25,"")</f>
        <v/>
      </c>
      <c r="CN104" s="518" t="str">
        <f>IF(AND(_6="A-321N",'2026'!$F$4="CA",'2026'!$F$2=CN81),'2026DATA'!$G$25,"")</f>
        <v/>
      </c>
      <c r="CO104" s="518" t="str">
        <f>IF(AND(_6="A-321N",'2026'!$F$4="CA",'2026'!$F$2=CO81),'2026DATA'!$H$25,"")</f>
        <v/>
      </c>
      <c r="CP104" s="518" t="str">
        <f>IF(AND(_6="A-321N",'2026'!$F$4="CA",'2026'!$F$2=CP81),'2026DATA'!$I$25,"")</f>
        <v/>
      </c>
      <c r="CQ104" s="518" t="str">
        <f>IF(AND(_6="A-321N",'2026'!$F$4="CA",'2026'!$F$2=CQ81),'2026DATA'!$J$25,"")</f>
        <v/>
      </c>
      <c r="CR104" s="518" t="str">
        <f>IF(AND(_6="A-321N",'2026'!$F$4="CA",'2026'!$F$2=CR81),'2026DATA'!$K$25,"")</f>
        <v/>
      </c>
      <c r="CS104" s="518" t="str">
        <f>IF(AND(_6="A-321N",'2026'!$F$4="CA",'2026'!$F$2=CS81),'2026DATA'!$L$25,"")</f>
        <v/>
      </c>
      <c r="CT104" s="518" t="str">
        <f>IF(AND(_6="A-321N",'2026'!$F$4="CA",'2026'!$F$2=CT81),'2026DATA'!$M$25,"")</f>
        <v/>
      </c>
      <c r="CU104" s="520" t="str">
        <f>IF(AND(_6="A-321N",'2026'!$F$4="CA",'2026'!$F$2=CU81),'2026DATA'!$N$25,"")</f>
        <v/>
      </c>
    </row>
    <row r="105" spans="16:99" x14ac:dyDescent="0.25">
      <c r="P105" s="940"/>
      <c r="Q105" s="13" t="s">
        <v>62</v>
      </c>
      <c r="R105" s="518" t="str">
        <f>IF(AND(_1="A-321N",'2026'!$F$4="FO",'2026'!$F$2=R81),'2026DATA'!$C$26,"")</f>
        <v/>
      </c>
      <c r="S105" s="518" t="str">
        <f>IF(AND(_1="A-321N",'2026'!$F$4="FO",'2026'!$F$2=S81),'2026DATA'!$D$26,"")</f>
        <v/>
      </c>
      <c r="T105" s="518" t="str">
        <f>IF(AND(_1="A-321N",'2026'!$F$4="FO",'2026'!$F$2=T81),'2026DATA'!$E$26,"")</f>
        <v/>
      </c>
      <c r="U105" s="518" t="str">
        <f>IF(AND(_1="A-321N",'2026'!$F$4="FO",'2026'!$F$2=U81),'2026DATA'!$F$26,"")</f>
        <v/>
      </c>
      <c r="V105" s="518" t="str">
        <f>IF(AND(_1="A-321N",'2026'!$F$4="FO",'2026'!$F$2=V81),'2026DATA'!$G$26,"")</f>
        <v/>
      </c>
      <c r="W105" s="518" t="str">
        <f>IF(AND(_1="A-321N",'2026'!$F$4="FO",'2026'!$F$2=W81),'2026DATA'!$H$26,"")</f>
        <v/>
      </c>
      <c r="X105" s="518" t="str">
        <f>IF(AND(_1="A-321N",'2026'!$F$4="FO",'2026'!$F$2=X81),'2026DATA'!$I$26,"")</f>
        <v/>
      </c>
      <c r="Y105" s="518" t="str">
        <f>IF(AND(_1="A-321N",'2026'!$F$4="FO",'2026'!$F$2=Y81),'2026DATA'!$J$26,"")</f>
        <v/>
      </c>
      <c r="Z105" s="518" t="str">
        <f>IF(AND(_1="A-321N",'2026'!$F$4="FO",'2026'!$F$2=Z81),'2026DATA'!$K$26,"")</f>
        <v/>
      </c>
      <c r="AA105" s="518" t="str">
        <f>IF(AND(_1="A-321N",'2026'!$F$4="FO",'2026'!$F$2=AA81),'2026DATA'!$L$26,"")</f>
        <v/>
      </c>
      <c r="AB105" s="518" t="str">
        <f>IF(AND(_1="A-321N",'2026'!$F$4="FO",'2026'!$F$2=AB81),'2026DATA'!$M$26,"")</f>
        <v/>
      </c>
      <c r="AC105" s="520" t="str">
        <f>IF(AND(_1="A-321N",'2026'!$F$4="FO",'2026'!$F$2=AC81),'2026DATA'!$N$26,"")</f>
        <v/>
      </c>
      <c r="AD105" s="940"/>
      <c r="AE105" s="13" t="s">
        <v>62</v>
      </c>
      <c r="AF105" s="518" t="str">
        <f>IF(AND(_2="A-321N",'2026'!$F$4="FO",'2026'!$F$2=AF81),'2026DATA'!$C$26,"")</f>
        <v/>
      </c>
      <c r="AG105" s="518" t="str">
        <f>IF(AND(_2="A-321N",'2026'!$F$4="FO",'2026'!$F$2=AG81),'2026DATA'!$D$26,"")</f>
        <v/>
      </c>
      <c r="AH105" s="518" t="str">
        <f>IF(AND(_2="A-321N",'2026'!$F$4="FO",'2026'!$F$2=AH81),'2026DATA'!$E$26,"")</f>
        <v/>
      </c>
      <c r="AI105" s="518" t="str">
        <f>IF(AND(_2="A-321N",'2026'!$F$4="FO",'2026'!$F$2=AI81),'2026DATA'!$F$26,"")</f>
        <v/>
      </c>
      <c r="AJ105" s="518" t="str">
        <f>IF(AND(_2="A-321N",'2026'!$F$4="FO",'2026'!$F$2=AJ81),'2026DATA'!$G$26,"")</f>
        <v/>
      </c>
      <c r="AK105" s="518" t="str">
        <f>IF(AND(_2="A-321N",'2026'!$F$4="FO",'2026'!$F$2=AK81),'2026DATA'!$H$26,"")</f>
        <v/>
      </c>
      <c r="AL105" s="518" t="str">
        <f>IF(AND(_2="A-321N",'2026'!$F$4="FO",'2026'!$F$2=AL81),'2026DATA'!$I$26,"")</f>
        <v/>
      </c>
      <c r="AM105" s="518" t="str">
        <f>IF(AND(_2="A-321N",'2026'!$F$4="FO",'2026'!$F$2=AM81),'2026DATA'!$J$26,"")</f>
        <v/>
      </c>
      <c r="AN105" s="518" t="str">
        <f>IF(AND(_2="A-321N",'2026'!$F$4="FO",'2026'!$F$2=AN81),'2026DATA'!$K$26,"")</f>
        <v/>
      </c>
      <c r="AO105" s="518" t="str">
        <f>IF(AND(_2="A-321N",'2026'!$F$4="FO",'2026'!$F$2=AO81),'2026DATA'!$L$26,"")</f>
        <v/>
      </c>
      <c r="AP105" s="518" t="str">
        <f>IF(AND(_2="A-321N",'2026'!$F$4="FO",'2026'!$F$2=AP81),'2026DATA'!$M$26,"")</f>
        <v/>
      </c>
      <c r="AQ105" s="520" t="str">
        <f>IF(AND(_2="A-321N",'2026'!$F$4="FO",'2026'!$F$2=AQ81),'2026DATA'!$N$26,"")</f>
        <v/>
      </c>
      <c r="AR105" s="940"/>
      <c r="AS105" s="13" t="s">
        <v>62</v>
      </c>
      <c r="AT105" s="518" t="str">
        <f>IF(AND(_3="A-321N",'2026'!$F$4="FO",'2026'!$F$2=AT81),'2026DATA'!$C$26,"")</f>
        <v/>
      </c>
      <c r="AU105" s="518" t="str">
        <f>IF(AND(_3="A-321N",'2026'!$F$4="FO",'2026'!$F$2=AU81),'2026DATA'!$D$26,"")</f>
        <v/>
      </c>
      <c r="AV105" s="518" t="str">
        <f>IF(AND(_3="A-321N",'2026'!$F$4="FO",'2026'!$F$2=AV81),'2026DATA'!$E$26,"")</f>
        <v/>
      </c>
      <c r="AW105" s="518" t="str">
        <f>IF(AND(_3="A-321N",'2026'!$F$4="FO",'2026'!$F$2=AW81),'2026DATA'!$F$26,"")</f>
        <v/>
      </c>
      <c r="AX105" s="518" t="str">
        <f>IF(AND(_3="A-321N",'2026'!$F$4="FO",'2026'!$F$2=AX81),'2026DATA'!$G$26,"")</f>
        <v/>
      </c>
      <c r="AY105" s="518" t="str">
        <f>IF(AND(_3="A-321N",'2026'!$F$4="FO",'2026'!$F$2=AY81),'2026DATA'!$H$26,"")</f>
        <v/>
      </c>
      <c r="AZ105" s="518" t="str">
        <f>IF(AND(_3="A-321N",'2026'!$F$4="FO",'2026'!$F$2=AZ81),'2026DATA'!$I$26,"")</f>
        <v/>
      </c>
      <c r="BA105" s="518" t="str">
        <f>IF(AND(_3="A-321N",'2026'!$F$4="FO",'2026'!$F$2=BA81),'2026DATA'!$J$26,"")</f>
        <v/>
      </c>
      <c r="BB105" s="518" t="str">
        <f>IF(AND(_3="A-321N",'2026'!$F$4="FO",'2026'!$F$2=BB81),'2026DATA'!$K$26,"")</f>
        <v/>
      </c>
      <c r="BC105" s="518" t="str">
        <f>IF(AND(_3="A-321N",'2026'!$F$4="FO",'2026'!$F$2=BC81),'2026DATA'!$L$26,"")</f>
        <v/>
      </c>
      <c r="BD105" s="518" t="str">
        <f>IF(AND(_3="A-321N",'2026'!$F$4="FO",'2026'!$F$2=BD81),'2026DATA'!$M$26,"")</f>
        <v/>
      </c>
      <c r="BE105" s="520" t="str">
        <f>IF(AND(_3="A-321N",'2026'!$F$4="FO",'2026'!$F$2=BE81),'2026DATA'!$N$26,"")</f>
        <v/>
      </c>
      <c r="BF105" s="940"/>
      <c r="BG105" s="13" t="s">
        <v>62</v>
      </c>
      <c r="BH105" s="518" t="str">
        <f>IF(AND(_4="A-321N",'2026'!$F$4="FO",'2026'!$F$2=BH81),'2026DATA'!$C$26,"")</f>
        <v/>
      </c>
      <c r="BI105" s="518" t="str">
        <f>IF(AND(_4="A-321N",'2026'!$F$4="FO",'2026'!$F$2=BI81),'2026DATA'!$D$26,"")</f>
        <v/>
      </c>
      <c r="BJ105" s="518" t="str">
        <f>IF(AND(_4="A-321N",'2026'!$F$4="FO",'2026'!$F$2=BJ81),'2026DATA'!$E$26,"")</f>
        <v/>
      </c>
      <c r="BK105" s="518" t="str">
        <f>IF(AND(_4="A-321N",'2026'!$F$4="FO",'2026'!$F$2=BK81),'2026DATA'!$F$26,"")</f>
        <v/>
      </c>
      <c r="BL105" s="518" t="str">
        <f>IF(AND(_4="A-321N",'2026'!$F$4="FO",'2026'!$F$2=BL81),'2026DATA'!$G$26,"")</f>
        <v/>
      </c>
      <c r="BM105" s="518" t="str">
        <f>IF(AND(_4="A-321N",'2026'!$F$4="FO",'2026'!$F$2=BM81),'2026DATA'!$H$26,"")</f>
        <v/>
      </c>
      <c r="BN105" s="518" t="str">
        <f>IF(AND(_4="A-321N",'2026'!$F$4="FO",'2026'!$F$2=BN81),'2026DATA'!$I$26,"")</f>
        <v/>
      </c>
      <c r="BO105" s="518" t="str">
        <f>IF(AND(_4="A-321N",'2026'!$F$4="FO",'2026'!$F$2=BO81),'2026DATA'!$J$26,"")</f>
        <v/>
      </c>
      <c r="BP105" s="518" t="str">
        <f>IF(AND(_4="A-321N",'2026'!$F$4="FO",'2026'!$F$2=BP81),'2026DATA'!$K$26,"")</f>
        <v/>
      </c>
      <c r="BQ105" s="518" t="str">
        <f>IF(AND(_4="A-321N",'2026'!$F$4="FO",'2026'!$F$2=BQ81),'2026DATA'!$L$26,"")</f>
        <v/>
      </c>
      <c r="BR105" s="518" t="str">
        <f>IF(AND(_4="A-321N",'2026'!$F$4="FO",'2026'!$F$2=BR81),'2026DATA'!$M$26,"")</f>
        <v/>
      </c>
      <c r="BS105" s="520" t="str">
        <f>IF(AND(_4="A-321N",'2026'!$F$4="FO",'2026'!$F$2=BS81),'2026DATA'!$N$26,"")</f>
        <v/>
      </c>
      <c r="BT105" s="940"/>
      <c r="BU105" s="13" t="s">
        <v>62</v>
      </c>
      <c r="BV105" s="518" t="str">
        <f>IF(AND(_5="A-321N",'2026'!$F$4="FO",'2026'!$F$2=BV81),'2026DATA'!$C$26,"")</f>
        <v/>
      </c>
      <c r="BW105" s="518" t="str">
        <f>IF(AND(_5="A-321N",'2026'!$F$4="FO",'2026'!$F$2=BW81),'2026DATA'!$D$26,"")</f>
        <v/>
      </c>
      <c r="BX105" s="518" t="str">
        <f>IF(AND(_5="A-321N",'2026'!$F$4="FO",'2026'!$F$2=BX81),'2026DATA'!$E$26,"")</f>
        <v/>
      </c>
      <c r="BY105" s="518" t="str">
        <f>IF(AND(_5="A-321N",'2026'!$F$4="FO",'2026'!$F$2=BY81),'2026DATA'!$F$26,"")</f>
        <v/>
      </c>
      <c r="BZ105" s="518" t="str">
        <f>IF(AND(_5="A-321N",'2026'!$F$4="FO",'2026'!$F$2=BZ81),'2026DATA'!$G$26,"")</f>
        <v/>
      </c>
      <c r="CA105" s="518" t="str">
        <f>IF(AND(_5="A-321N",'2026'!$F$4="FO",'2026'!$F$2=CA81),'2026DATA'!$H$26,"")</f>
        <v/>
      </c>
      <c r="CB105" s="518" t="str">
        <f>IF(AND(_5="A-321N",'2026'!$F$4="FO",'2026'!$F$2=CB81),'2026DATA'!$I$26,"")</f>
        <v/>
      </c>
      <c r="CC105" s="518" t="str">
        <f>IF(AND(_5="A-321N",'2026'!$F$4="FO",'2026'!$F$2=CC81),'2026DATA'!$J$26,"")</f>
        <v/>
      </c>
      <c r="CD105" s="518" t="str">
        <f>IF(AND(_5="A-321N",'2026'!$F$4="FO",'2026'!$F$2=CD81),'2026DATA'!$K$26,"")</f>
        <v/>
      </c>
      <c r="CE105" s="518" t="str">
        <f>IF(AND(_5="A-321N",'2026'!$F$4="FO",'2026'!$F$2=CE81),'2026DATA'!$L$26,"")</f>
        <v/>
      </c>
      <c r="CF105" s="518" t="str">
        <f>IF(AND(_5="A-321N",'2026'!$F$4="FO",'2026'!$F$2=CF81),'2026DATA'!$M$26,"")</f>
        <v/>
      </c>
      <c r="CG105" s="520" t="str">
        <f>IF(AND(_5="A-321N",'2026'!$F$4="FO",'2026'!$F$2=CG81),'2026DATA'!$N$26,"")</f>
        <v/>
      </c>
      <c r="CH105" s="940"/>
      <c r="CI105" s="13" t="s">
        <v>62</v>
      </c>
      <c r="CJ105" s="518" t="str">
        <f>IF(AND(_6="A-321N",'2026'!$F$4="FO",'2026'!$F$2=CJ81),'2026DATA'!$C$26,"")</f>
        <v/>
      </c>
      <c r="CK105" s="518" t="str">
        <f>IF(AND(_6="A-321N",'2026'!$F$4="FO",'2026'!$F$2=CK81),'2026DATA'!$D$26,"")</f>
        <v/>
      </c>
      <c r="CL105" s="518" t="str">
        <f>IF(AND(_6="A-321N",'2026'!$F$4="FO",'2026'!$F$2=CL81),'2026DATA'!$E$26,"")</f>
        <v/>
      </c>
      <c r="CM105" s="518" t="str">
        <f>IF(AND(_6="A-321N",'2026'!$F$4="FO",'2026'!$F$2=CM81),'2026DATA'!$F$26,"")</f>
        <v/>
      </c>
      <c r="CN105" s="518" t="str">
        <f>IF(AND(_6="A-321N",'2026'!$F$4="FO",'2026'!$F$2=CN81),'2026DATA'!$G$26,"")</f>
        <v/>
      </c>
      <c r="CO105" s="518" t="str">
        <f>IF(AND(_6="A-321N",'2026'!$F$4="FO",'2026'!$F$2=CO81),'2026DATA'!$H$26,"")</f>
        <v/>
      </c>
      <c r="CP105" s="518" t="str">
        <f>IF(AND(_6="A-321N",'2026'!$F$4="FO",'2026'!$F$2=CP81),'2026DATA'!$I$26,"")</f>
        <v/>
      </c>
      <c r="CQ105" s="518" t="str">
        <f>IF(AND(_6="A-321N",'2026'!$F$4="FO",'2026'!$F$2=CQ81),'2026DATA'!$J$26,"")</f>
        <v/>
      </c>
      <c r="CR105" s="518" t="str">
        <f>IF(AND(_6="A-321N",'2026'!$F$4="FO",'2026'!$F$2=CR81),'2026DATA'!$K$26,"")</f>
        <v/>
      </c>
      <c r="CS105" s="518" t="str">
        <f>IF(AND(_6="A-321N",'2026'!$F$4="FO",'2026'!$F$2=CS81),'2026DATA'!$L$26,"")</f>
        <v/>
      </c>
      <c r="CT105" s="518" t="str">
        <f>IF(AND(_6="A-321N",'2026'!$F$4="FO",'2026'!$F$2=CT81),'2026DATA'!$M$26,"")</f>
        <v/>
      </c>
      <c r="CU105" s="520" t="str">
        <f>IF(AND(_6="A-321N",'2026'!$F$4="FO",'2026'!$F$2=CU81),'2026DATA'!$N$26,"")</f>
        <v/>
      </c>
    </row>
    <row r="106" spans="16:99" x14ac:dyDescent="0.25">
      <c r="P106" s="940" t="s">
        <v>48</v>
      </c>
      <c r="Q106" s="13" t="s">
        <v>61</v>
      </c>
      <c r="R106" s="518" t="str">
        <f>IF(AND(_1="A-321",'2026'!$F$4="CA",'2026'!$F$2=R81),'2026DATA'!$C$27,"")</f>
        <v/>
      </c>
      <c r="S106" s="518" t="str">
        <f>IF(AND(_1="A-321",'2026'!$F$4="CA",'2026'!$F$2=S81),'2026DATA'!$D$27,"")</f>
        <v/>
      </c>
      <c r="T106" s="518" t="str">
        <f>IF(AND(_1="A-321",'2026'!$F$4="CA",'2026'!$F$2=T81),'2026DATA'!$E$27,"")</f>
        <v/>
      </c>
      <c r="U106" s="518" t="str">
        <f>IF(AND(_1="A-321",'2026'!$F$4="CA",'2026'!$F$2=U81),'2026DATA'!$F$27,"")</f>
        <v/>
      </c>
      <c r="V106" s="518" t="str">
        <f>IF(AND(_1="A-321",'2026'!$F$4="CA",'2026'!$F$2=V81),'2026DATA'!$G$27,"")</f>
        <v/>
      </c>
      <c r="W106" s="518" t="str">
        <f>IF(AND(_1="A-321",'2026'!$F$4="CA",'2026'!$F$2=W81),'2026DATA'!$H$27,"")</f>
        <v/>
      </c>
      <c r="X106" s="518" t="str">
        <f>IF(AND(_1="A-321",'2026'!$F$4="CA",'2026'!$F$2=X81),'2026DATA'!$I$27,"")</f>
        <v/>
      </c>
      <c r="Y106" s="518" t="str">
        <f>IF(AND(_1="A-321",'2026'!$F$4="CA",'2026'!$F$2=Y81),'2026DATA'!$J$27,"")</f>
        <v/>
      </c>
      <c r="Z106" s="518" t="str">
        <f>IF(AND(_1="A-321",'2026'!$F$4="CA",'2026'!$F$2=Z81),'2026DATA'!$K$27,"")</f>
        <v/>
      </c>
      <c r="AA106" s="518" t="str">
        <f>IF(AND(_1="A-321",'2026'!$F$4="CA",'2026'!$F$2=AA81),'2026DATA'!$L$27,"")</f>
        <v/>
      </c>
      <c r="AB106" s="518" t="str">
        <f>IF(AND(_1="A-321",'2026'!$F$4="CA",'2026'!$F$2=AB81),'2026DATA'!$M$27,"")</f>
        <v/>
      </c>
      <c r="AC106" s="520" t="str">
        <f>IF(AND(_1="A-321",'2026'!$F$4="CA",'2026'!$F$2=AC81),'2026DATA'!$N$27,"")</f>
        <v/>
      </c>
      <c r="AD106" s="940" t="s">
        <v>48</v>
      </c>
      <c r="AE106" s="13" t="s">
        <v>61</v>
      </c>
      <c r="AF106" s="518" t="str">
        <f>IF(AND(_2="A-321",'2026'!$F$4="CA",'2026'!$F$2=AF81),'2026DATA'!$C$27,"")</f>
        <v/>
      </c>
      <c r="AG106" s="518" t="str">
        <f>IF(AND(_2="A-321",'2026'!$F$4="CA",'2026'!$F$2=AG81),'2026DATA'!$D$27,"")</f>
        <v/>
      </c>
      <c r="AH106" s="518" t="str">
        <f>IF(AND(_2="A-321",'2026'!$F$4="CA",'2026'!$F$2=AH81),'2026DATA'!$E$27,"")</f>
        <v/>
      </c>
      <c r="AI106" s="518" t="str">
        <f>IF(AND(_2="A-321",'2026'!$F$4="CA",'2026'!$F$2=AI81),'2026DATA'!$F$27,"")</f>
        <v/>
      </c>
      <c r="AJ106" s="518" t="str">
        <f>IF(AND(_2="A-321",'2026'!$F$4="CA",'2026'!$F$2=AJ81),'2026DATA'!$G$27,"")</f>
        <v/>
      </c>
      <c r="AK106" s="518" t="str">
        <f>IF(AND(_2="A-321",'2026'!$F$4="CA",'2026'!$F$2=AK81),'2026DATA'!$H$27,"")</f>
        <v/>
      </c>
      <c r="AL106" s="518" t="str">
        <f>IF(AND(_2="A-321",'2026'!$F$4="CA",'2026'!$F$2=AL81),'2026DATA'!$I$27,"")</f>
        <v/>
      </c>
      <c r="AM106" s="518" t="str">
        <f>IF(AND(_2="A-321",'2026'!$F$4="CA",'2026'!$F$2=AM81),'2026DATA'!$J$27,"")</f>
        <v/>
      </c>
      <c r="AN106" s="518" t="str">
        <f>IF(AND(_2="A-321",'2026'!$F$4="CA",'2026'!$F$2=AN81),'2026DATA'!$K$27,"")</f>
        <v/>
      </c>
      <c r="AO106" s="518" t="str">
        <f>IF(AND(_2="A-321",'2026'!$F$4="CA",'2026'!$F$2=AO81),'2026DATA'!$L$27,"")</f>
        <v/>
      </c>
      <c r="AP106" s="518" t="str">
        <f>IF(AND(_2="A-321",'2026'!$F$4="CA",'2026'!$F$2=AP81),'2026DATA'!$M$27,"")</f>
        <v/>
      </c>
      <c r="AQ106" s="520" t="str">
        <f>IF(AND(_2="A-321",'2026'!$F$4="CA",'2026'!$F$2=AQ81),'2026DATA'!$N$27,"")</f>
        <v/>
      </c>
      <c r="AR106" s="940" t="s">
        <v>48</v>
      </c>
      <c r="AS106" s="13" t="s">
        <v>61</v>
      </c>
      <c r="AT106" s="518" t="str">
        <f>IF(AND(_3="A-321",'2026'!$F$4="CA",'2026'!$F$2=AT81),'2026DATA'!$C$27,"")</f>
        <v/>
      </c>
      <c r="AU106" s="518" t="str">
        <f>IF(AND(_3="A-321",'2026'!$F$4="CA",'2026'!$F$2=AU81),'2026DATA'!$D$27,"")</f>
        <v/>
      </c>
      <c r="AV106" s="518" t="str">
        <f>IF(AND(_3="A-321",'2026'!$F$4="CA",'2026'!$F$2=AV81),'2026DATA'!$E$27,"")</f>
        <v/>
      </c>
      <c r="AW106" s="518" t="str">
        <f>IF(AND(_3="A-321",'2026'!$F$4="CA",'2026'!$F$2=AW81),'2026DATA'!$F$27,"")</f>
        <v/>
      </c>
      <c r="AX106" s="518" t="str">
        <f>IF(AND(_3="A-321",'2026'!$F$4="CA",'2026'!$F$2=AX81),'2026DATA'!$G$27,"")</f>
        <v/>
      </c>
      <c r="AY106" s="518" t="str">
        <f>IF(AND(_3="A-321",'2026'!$F$4="CA",'2026'!$F$2=AY81),'2026DATA'!$H$27,"")</f>
        <v/>
      </c>
      <c r="AZ106" s="518" t="str">
        <f>IF(AND(_3="A-321",'2026'!$F$4="CA",'2026'!$F$2=AZ81),'2026DATA'!$I$27,"")</f>
        <v/>
      </c>
      <c r="BA106" s="518" t="str">
        <f>IF(AND(_3="A-321",'2026'!$F$4="CA",'2026'!$F$2=BA81),'2026DATA'!$J$27,"")</f>
        <v/>
      </c>
      <c r="BB106" s="518" t="str">
        <f>IF(AND(_3="A-321",'2026'!$F$4="CA",'2026'!$F$2=BB81),'2026DATA'!$K$27,"")</f>
        <v/>
      </c>
      <c r="BC106" s="518" t="str">
        <f>IF(AND(_3="A-321",'2026'!$F$4="CA",'2026'!$F$2=BC81),'2026DATA'!$L$27,"")</f>
        <v/>
      </c>
      <c r="BD106" s="518" t="str">
        <f>IF(AND(_3="A-321",'2026'!$F$4="CA",'2026'!$F$2=BD81),'2026DATA'!$M$27,"")</f>
        <v/>
      </c>
      <c r="BE106" s="520" t="str">
        <f>IF(AND(_3="A-321",'2026'!$F$4="CA",'2026'!$F$2=BE81),'2026DATA'!$N$27,"")</f>
        <v/>
      </c>
      <c r="BF106" s="940" t="s">
        <v>48</v>
      </c>
      <c r="BG106" s="13" t="s">
        <v>61</v>
      </c>
      <c r="BH106" s="518" t="str">
        <f>IF(AND(_4="A-321",'2026'!$F$4="CA",'2026'!$F$2=BH81),'2026DATA'!$C$27,"")</f>
        <v/>
      </c>
      <c r="BI106" s="518" t="str">
        <f>IF(AND(_4="A-321",'2026'!$F$4="CA",'2026'!$F$2=BI81),'2026DATA'!$D$27,"")</f>
        <v/>
      </c>
      <c r="BJ106" s="518" t="str">
        <f>IF(AND(_4="A-321",'2026'!$F$4="CA",'2026'!$F$2=BJ81),'2026DATA'!$E$27,"")</f>
        <v/>
      </c>
      <c r="BK106" s="518" t="str">
        <f>IF(AND(_4="A-321",'2026'!$F$4="CA",'2026'!$F$2=BK81),'2026DATA'!$F$27,"")</f>
        <v/>
      </c>
      <c r="BL106" s="518" t="str">
        <f>IF(AND(_4="A-321",'2026'!$F$4="CA",'2026'!$F$2=BL81),'2026DATA'!$G$27,"")</f>
        <v/>
      </c>
      <c r="BM106" s="518" t="str">
        <f>IF(AND(_4="A-321",'2026'!$F$4="CA",'2026'!$F$2=BM81),'2026DATA'!$H$27,"")</f>
        <v/>
      </c>
      <c r="BN106" s="518" t="str">
        <f>IF(AND(_4="A-321",'2026'!$F$4="CA",'2026'!$F$2=BN81),'2026DATA'!$I$27,"")</f>
        <v/>
      </c>
      <c r="BO106" s="518" t="str">
        <f>IF(AND(_4="A-321",'2026'!$F$4="CA",'2026'!$F$2=BO81),'2026DATA'!$J$27,"")</f>
        <v/>
      </c>
      <c r="BP106" s="518" t="str">
        <f>IF(AND(_4="A-321",'2026'!$F$4="CA",'2026'!$F$2=BP81),'2026DATA'!$K$27,"")</f>
        <v/>
      </c>
      <c r="BQ106" s="518" t="str">
        <f>IF(AND(_4="A-321",'2026'!$F$4="CA",'2026'!$F$2=BQ81),'2026DATA'!$L$27,"")</f>
        <v/>
      </c>
      <c r="BR106" s="518" t="str">
        <f>IF(AND(_4="A-321",'2026'!$F$4="CA",'2026'!$F$2=BR81),'2026DATA'!$M$27,"")</f>
        <v/>
      </c>
      <c r="BS106" s="520" t="str">
        <f>IF(AND(_4="A-321",'2026'!$F$4="CA",'2026'!$F$2=BS81),'2026DATA'!$N$27,"")</f>
        <v/>
      </c>
      <c r="BT106" s="940" t="s">
        <v>48</v>
      </c>
      <c r="BU106" s="13" t="s">
        <v>61</v>
      </c>
      <c r="BV106" s="518" t="str">
        <f>IF(AND(_5="A-321",'2026'!$F$4="CA",'2026'!$F$2=BV81),'2026DATA'!$C$27,"")</f>
        <v/>
      </c>
      <c r="BW106" s="518" t="str">
        <f>IF(AND(_5="A-321",'2026'!$F$4="CA",'2026'!$F$2=BW81),'2026DATA'!$D$27,"")</f>
        <v/>
      </c>
      <c r="BX106" s="518" t="str">
        <f>IF(AND(_5="A-321",'2026'!$F$4="CA",'2026'!$F$2=BX81),'2026DATA'!$E$27,"")</f>
        <v/>
      </c>
      <c r="BY106" s="518" t="str">
        <f>IF(AND(_5="A-321",'2026'!$F$4="CA",'2026'!$F$2=BY81),'2026DATA'!$F$27,"")</f>
        <v/>
      </c>
      <c r="BZ106" s="518" t="str">
        <f>IF(AND(_5="A-321",'2026'!$F$4="CA",'2026'!$F$2=BZ81),'2026DATA'!$G$27,"")</f>
        <v/>
      </c>
      <c r="CA106" s="518" t="str">
        <f>IF(AND(_5="A-321",'2026'!$F$4="CA",'2026'!$F$2=CA81),'2026DATA'!$H$27,"")</f>
        <v/>
      </c>
      <c r="CB106" s="518" t="str">
        <f>IF(AND(_5="A-321",'2026'!$F$4="CA",'2026'!$F$2=CB81),'2026DATA'!$I$27,"")</f>
        <v/>
      </c>
      <c r="CC106" s="518" t="str">
        <f>IF(AND(_5="A-321",'2026'!$F$4="CA",'2026'!$F$2=CC81),'2026DATA'!$J$27,"")</f>
        <v/>
      </c>
      <c r="CD106" s="518" t="str">
        <f>IF(AND(_5="A-321",'2026'!$F$4="CA",'2026'!$F$2=CD81),'2026DATA'!$K$27,"")</f>
        <v/>
      </c>
      <c r="CE106" s="518" t="str">
        <f>IF(AND(_5="A-321",'2026'!$F$4="CA",'2026'!$F$2=CE81),'2026DATA'!$L$27,"")</f>
        <v/>
      </c>
      <c r="CF106" s="518" t="str">
        <f>IF(AND(_5="A-321",'2026'!$F$4="CA",'2026'!$F$2=CF81),'2026DATA'!$M$27,"")</f>
        <v/>
      </c>
      <c r="CG106" s="520" t="str">
        <f>IF(AND(_5="A-321",'2026'!$F$4="CA",'2026'!$F$2=CG81),'2026DATA'!$N$27,"")</f>
        <v/>
      </c>
      <c r="CH106" s="940" t="s">
        <v>48</v>
      </c>
      <c r="CI106" s="13" t="s">
        <v>61</v>
      </c>
      <c r="CJ106" s="518" t="str">
        <f>IF(AND(_6="A-321",'2026'!$F$4="CA",'2026'!$F$2=CJ81),'2026DATA'!$C$27,"")</f>
        <v/>
      </c>
      <c r="CK106" s="518" t="str">
        <f>IF(AND(_6="A-321",'2026'!$F$4="CA",'2026'!$F$2=CK81),'2026DATA'!$D$27,"")</f>
        <v/>
      </c>
      <c r="CL106" s="518" t="str">
        <f>IF(AND(_6="A-321",'2026'!$F$4="CA",'2026'!$F$2=CL81),'2026DATA'!$E$27,"")</f>
        <v/>
      </c>
      <c r="CM106" s="518" t="str">
        <f>IF(AND(_6="A-321",'2026'!$F$4="CA",'2026'!$F$2=CM81),'2026DATA'!$F$27,"")</f>
        <v/>
      </c>
      <c r="CN106" s="518" t="str">
        <f>IF(AND(_6="A-321",'2026'!$F$4="CA",'2026'!$F$2=CN81),'2026DATA'!$G$27,"")</f>
        <v/>
      </c>
      <c r="CO106" s="518" t="str">
        <f>IF(AND(_6="A-321",'2026'!$F$4="CA",'2026'!$F$2=CO81),'2026DATA'!$H$27,"")</f>
        <v/>
      </c>
      <c r="CP106" s="518" t="str">
        <f>IF(AND(_6="A-321",'2026'!$F$4="CA",'2026'!$F$2=CP81),'2026DATA'!$I$27,"")</f>
        <v/>
      </c>
      <c r="CQ106" s="518" t="str">
        <f>IF(AND(_6="A-321",'2026'!$F$4="CA",'2026'!$F$2=CQ81),'2026DATA'!$J$27,"")</f>
        <v/>
      </c>
      <c r="CR106" s="518" t="str">
        <f>IF(AND(_6="A-321",'2026'!$F$4="CA",'2026'!$F$2=CR81),'2026DATA'!$K$27,"")</f>
        <v/>
      </c>
      <c r="CS106" s="518" t="str">
        <f>IF(AND(_6="A-321",'2026'!$F$4="CA",'2026'!$F$2=CS81),'2026DATA'!$L$27,"")</f>
        <v/>
      </c>
      <c r="CT106" s="518" t="str">
        <f>IF(AND(_6="A-321",'2026'!$F$4="CA",'2026'!$F$2=CT81),'2026DATA'!$M$27,"")</f>
        <v/>
      </c>
      <c r="CU106" s="520" t="str">
        <f>IF(AND(_6="A-321",'2026'!$F$4="CA",'2026'!$F$2=CU81),'2026DATA'!$N$27,"")</f>
        <v/>
      </c>
    </row>
    <row r="107" spans="16:99" x14ac:dyDescent="0.25">
      <c r="P107" s="940"/>
      <c r="Q107" s="13" t="s">
        <v>62</v>
      </c>
      <c r="R107" s="518" t="str">
        <f>IF(AND(_1="A-321",'2026'!$F$4="FO",'2026'!$F$2=R81),'2026DATA'!$C$28,"")</f>
        <v/>
      </c>
      <c r="S107" s="518" t="str">
        <f>IF(AND(_1="A-321",'2026'!$F$4="FO",'2026'!$F$2=S81),'2026DATA'!$D$28,"")</f>
        <v/>
      </c>
      <c r="T107" s="518" t="str">
        <f>IF(AND(_1="A-321",'2026'!$F$4="FO",'2026'!$F$2=T81),'2026DATA'!$E$28,"")</f>
        <v/>
      </c>
      <c r="U107" s="518" t="str">
        <f>IF(AND(_1="A-321",'2026'!$F$4="FO",'2026'!$F$2=U81),'2026DATA'!$F$28,"")</f>
        <v/>
      </c>
      <c r="V107" s="518" t="str">
        <f>IF(AND(_1="A-321",'2026'!$F$4="FO",'2026'!$F$2=V81),'2026DATA'!$G$28,"")</f>
        <v/>
      </c>
      <c r="W107" s="518" t="str">
        <f>IF(AND(_1="A-321",'2026'!$F$4="FO",'2026'!$F$2=W81),'2026DATA'!$H$28,"")</f>
        <v/>
      </c>
      <c r="X107" s="518" t="str">
        <f>IF(AND(_1="A-321",'2026'!$F$4="FO",'2026'!$F$2=X81),'2026DATA'!$I$28,"")</f>
        <v/>
      </c>
      <c r="Y107" s="518" t="str">
        <f>IF(AND(_1="A-321",'2026'!$F$4="FO",'2026'!$F$2=Y81),'2026DATA'!$J$28,"")</f>
        <v/>
      </c>
      <c r="Z107" s="518" t="str">
        <f>IF(AND(_1="A-321",'2026'!$F$4="FO",'2026'!$F$2=Z81),'2026DATA'!$K$28,"")</f>
        <v/>
      </c>
      <c r="AA107" s="518" t="str">
        <f>IF(AND(_1="A-321",'2026'!$F$4="FO",'2026'!$F$2=AA81),'2026DATA'!$L$28,"")</f>
        <v/>
      </c>
      <c r="AB107" s="518" t="str">
        <f>IF(AND(_1="A-321",'2026'!$F$4="FO",'2026'!$F$2=AB81),'2026DATA'!$M$28,"")</f>
        <v/>
      </c>
      <c r="AC107" s="520" t="str">
        <f>IF(AND(_1="A-321",'2026'!$F$4="FO",'2026'!$F$2=AC81),'2026DATA'!$N$28,"")</f>
        <v/>
      </c>
      <c r="AD107" s="940"/>
      <c r="AE107" s="13" t="s">
        <v>62</v>
      </c>
      <c r="AF107" s="518" t="str">
        <f>IF(AND(_2="A-321",'2026'!$F$4="FO",'2026'!$F$2=AF81),'2026DATA'!$C$28,"")</f>
        <v/>
      </c>
      <c r="AG107" s="518" t="str">
        <f>IF(AND(_2="A-321",'2026'!$F$4="FO",'2026'!$F$2=AG81),'2026DATA'!$D$28,"")</f>
        <v/>
      </c>
      <c r="AH107" s="518" t="str">
        <f>IF(AND(_2="A-321",'2026'!$F$4="FO",'2026'!$F$2=AH81),'2026DATA'!$E$28,"")</f>
        <v/>
      </c>
      <c r="AI107" s="518" t="str">
        <f>IF(AND(_2="A-321",'2026'!$F$4="FO",'2026'!$F$2=AI81),'2026DATA'!$F$28,"")</f>
        <v/>
      </c>
      <c r="AJ107" s="518" t="str">
        <f>IF(AND(_2="A-321",'2026'!$F$4="FO",'2026'!$F$2=AJ81),'2026DATA'!$G$28,"")</f>
        <v/>
      </c>
      <c r="AK107" s="518" t="str">
        <f>IF(AND(_2="A-321",'2026'!$F$4="FO",'2026'!$F$2=AK81),'2026DATA'!$H$28,"")</f>
        <v/>
      </c>
      <c r="AL107" s="518" t="str">
        <f>IF(AND(_2="A-321",'2026'!$F$4="FO",'2026'!$F$2=AL81),'2026DATA'!$I$28,"")</f>
        <v/>
      </c>
      <c r="AM107" s="518" t="str">
        <f>IF(AND(_2="A-321",'2026'!$F$4="FO",'2026'!$F$2=AM81),'2026DATA'!$J$28,"")</f>
        <v/>
      </c>
      <c r="AN107" s="518" t="str">
        <f>IF(AND(_2="A-321",'2026'!$F$4="FO",'2026'!$F$2=AN81),'2026DATA'!$K$28,"")</f>
        <v/>
      </c>
      <c r="AO107" s="518" t="str">
        <f>IF(AND(_2="A-321",'2026'!$F$4="FO",'2026'!$F$2=AO81),'2026DATA'!$L$28,"")</f>
        <v/>
      </c>
      <c r="AP107" s="518" t="str">
        <f>IF(AND(_2="A-321",'2026'!$F$4="FO",'2026'!$F$2=AP81),'2026DATA'!$M$28,"")</f>
        <v/>
      </c>
      <c r="AQ107" s="520" t="str">
        <f>IF(AND(_2="A-321",'2026'!$F$4="FO",'2026'!$F$2=AQ81),'2026DATA'!$N$28,"")</f>
        <v/>
      </c>
      <c r="AR107" s="940"/>
      <c r="AS107" s="13" t="s">
        <v>62</v>
      </c>
      <c r="AT107" s="518" t="str">
        <f>IF(AND(_3="A-321",'2026'!$F$4="FO",'2026'!$F$2=AT81),'2026DATA'!$C$28,"")</f>
        <v/>
      </c>
      <c r="AU107" s="518" t="str">
        <f>IF(AND(_3="A-321",'2026'!$F$4="FO",'2026'!$F$2=AU81),'2026DATA'!$D$28,"")</f>
        <v/>
      </c>
      <c r="AV107" s="518" t="str">
        <f>IF(AND(_3="A-321",'2026'!$F$4="FO",'2026'!$F$2=AV81),'2026DATA'!$E$28,"")</f>
        <v/>
      </c>
      <c r="AW107" s="518" t="str">
        <f>IF(AND(_3="A-321",'2026'!$F$4="FO",'2026'!$F$2=AW81),'2026DATA'!$F$28,"")</f>
        <v/>
      </c>
      <c r="AX107" s="518" t="str">
        <f>IF(AND(_3="A-321",'2026'!$F$4="FO",'2026'!$F$2=AX81),'2026DATA'!$G$28,"")</f>
        <v/>
      </c>
      <c r="AY107" s="518" t="str">
        <f>IF(AND(_3="A-321",'2026'!$F$4="FO",'2026'!$F$2=AY81),'2026DATA'!$H$28,"")</f>
        <v/>
      </c>
      <c r="AZ107" s="518" t="str">
        <f>IF(AND(_3="A-321",'2026'!$F$4="FO",'2026'!$F$2=AZ81),'2026DATA'!$I$28,"")</f>
        <v/>
      </c>
      <c r="BA107" s="518" t="str">
        <f>IF(AND(_3="A-321",'2026'!$F$4="FO",'2026'!$F$2=BA81),'2026DATA'!$J$28,"")</f>
        <v/>
      </c>
      <c r="BB107" s="518" t="str">
        <f>IF(AND(_3="A-321",'2026'!$F$4="FO",'2026'!$F$2=BB81),'2026DATA'!$K$28,"")</f>
        <v/>
      </c>
      <c r="BC107" s="518" t="str">
        <f>IF(AND(_3="A-321",'2026'!$F$4="FO",'2026'!$F$2=BC81),'2026DATA'!$L$28,"")</f>
        <v/>
      </c>
      <c r="BD107" s="518" t="str">
        <f>IF(AND(_3="A-321",'2026'!$F$4="FO",'2026'!$F$2=BD81),'2026DATA'!$M$28,"")</f>
        <v/>
      </c>
      <c r="BE107" s="520" t="str">
        <f>IF(AND(_3="A-321",'2026'!$F$4="FO",'2026'!$F$2=BE81),'2026DATA'!$N$28,"")</f>
        <v/>
      </c>
      <c r="BF107" s="940"/>
      <c r="BG107" s="13" t="s">
        <v>62</v>
      </c>
      <c r="BH107" s="518" t="str">
        <f>IF(AND(_4="A-321",'2026'!$F$4="FO",'2026'!$F$2=BH81),'2026DATA'!$C$28,"")</f>
        <v/>
      </c>
      <c r="BI107" s="518" t="str">
        <f>IF(AND(_4="A-321",'2026'!$F$4="FO",'2026'!$F$2=BI81),'2026DATA'!$D$28,"")</f>
        <v/>
      </c>
      <c r="BJ107" s="518" t="str">
        <f>IF(AND(_4="A-321",'2026'!$F$4="FO",'2026'!$F$2=BJ81),'2026DATA'!$E$28,"")</f>
        <v/>
      </c>
      <c r="BK107" s="518" t="str">
        <f>IF(AND(_4="A-321",'2026'!$F$4="FO",'2026'!$F$2=BK81),'2026DATA'!$F$28,"")</f>
        <v/>
      </c>
      <c r="BL107" s="518" t="str">
        <f>IF(AND(_4="A-321",'2026'!$F$4="FO",'2026'!$F$2=BL81),'2026DATA'!$G$28,"")</f>
        <v/>
      </c>
      <c r="BM107" s="518" t="str">
        <f>IF(AND(_4="A-321",'2026'!$F$4="FO",'2026'!$F$2=BM81),'2026DATA'!$H$28,"")</f>
        <v/>
      </c>
      <c r="BN107" s="518" t="str">
        <f>IF(AND(_4="A-321",'2026'!$F$4="FO",'2026'!$F$2=BN81),'2026DATA'!$I$28,"")</f>
        <v/>
      </c>
      <c r="BO107" s="518" t="str">
        <f>IF(AND(_4="A-321",'2026'!$F$4="FO",'2026'!$F$2=BO81),'2026DATA'!$J$28,"")</f>
        <v/>
      </c>
      <c r="BP107" s="518" t="str">
        <f>IF(AND(_4="A-321",'2026'!$F$4="FO",'2026'!$F$2=BP81),'2026DATA'!$K$28,"")</f>
        <v/>
      </c>
      <c r="BQ107" s="518" t="str">
        <f>IF(AND(_4="A-321",'2026'!$F$4="FO",'2026'!$F$2=BQ81),'2026DATA'!$L$28,"")</f>
        <v/>
      </c>
      <c r="BR107" s="518" t="str">
        <f>IF(AND(_4="A-321",'2026'!$F$4="FO",'2026'!$F$2=BR81),'2026DATA'!$M$28,"")</f>
        <v/>
      </c>
      <c r="BS107" s="520" t="str">
        <f>IF(AND(_4="A-321",'2026'!$F$4="FO",'2026'!$F$2=BS81),'2026DATA'!$N$28,"")</f>
        <v/>
      </c>
      <c r="BT107" s="940"/>
      <c r="BU107" s="13" t="s">
        <v>62</v>
      </c>
      <c r="BV107" s="518" t="str">
        <f>IF(AND(_5="A-321",'2026'!$F$4="FO",'2026'!$F$2=BV81),'2026DATA'!$C$28,"")</f>
        <v/>
      </c>
      <c r="BW107" s="518" t="str">
        <f>IF(AND(_5="A-321",'2026'!$F$4="FO",'2026'!$F$2=BW81),'2026DATA'!$D$28,"")</f>
        <v/>
      </c>
      <c r="BX107" s="518" t="str">
        <f>IF(AND(_5="A-321",'2026'!$F$4="FO",'2026'!$F$2=BX81),'2026DATA'!$E$28,"")</f>
        <v/>
      </c>
      <c r="BY107" s="518" t="str">
        <f>IF(AND(_5="A-321",'2026'!$F$4="FO",'2026'!$F$2=BY81),'2026DATA'!$F$28,"")</f>
        <v/>
      </c>
      <c r="BZ107" s="518" t="str">
        <f>IF(AND(_5="A-321",'2026'!$F$4="FO",'2026'!$F$2=BZ81),'2026DATA'!$G$28,"")</f>
        <v/>
      </c>
      <c r="CA107" s="518" t="str">
        <f>IF(AND(_5="A-321",'2026'!$F$4="FO",'2026'!$F$2=CA81),'2026DATA'!$H$28,"")</f>
        <v/>
      </c>
      <c r="CB107" s="518" t="str">
        <f>IF(AND(_5="A-321",'2026'!$F$4="FO",'2026'!$F$2=CB81),'2026DATA'!$I$28,"")</f>
        <v/>
      </c>
      <c r="CC107" s="518" t="str">
        <f>IF(AND(_5="A-321",'2026'!$F$4="FO",'2026'!$F$2=CC81),'2026DATA'!$J$28,"")</f>
        <v/>
      </c>
      <c r="CD107" s="518" t="str">
        <f>IF(AND(_5="A-321",'2026'!$F$4="FO",'2026'!$F$2=CD81),'2026DATA'!$K$28,"")</f>
        <v/>
      </c>
      <c r="CE107" s="518" t="str">
        <f>IF(AND(_5="A-321",'2026'!$F$4="FO",'2026'!$F$2=CE81),'2026DATA'!$L$28,"")</f>
        <v/>
      </c>
      <c r="CF107" s="518" t="str">
        <f>IF(AND(_5="A-321",'2026'!$F$4="FO",'2026'!$F$2=CF81),'2026DATA'!$M$28,"")</f>
        <v/>
      </c>
      <c r="CG107" s="520" t="str">
        <f>IF(AND(_5="A-321",'2026'!$F$4="FO",'2026'!$F$2=CG81),'2026DATA'!$N$28,"")</f>
        <v/>
      </c>
      <c r="CH107" s="940"/>
      <c r="CI107" s="13" t="s">
        <v>62</v>
      </c>
      <c r="CJ107" s="518" t="str">
        <f>IF(AND(_6="A-321",'2026'!$F$4="FO",'2026'!$F$2=CJ81),'2026DATA'!$C$28,"")</f>
        <v/>
      </c>
      <c r="CK107" s="518" t="str">
        <f>IF(AND(_6="A-321",'2026'!$F$4="FO",'2026'!$F$2=CK81),'2026DATA'!$D$28,"")</f>
        <v/>
      </c>
      <c r="CL107" s="518" t="str">
        <f>IF(AND(_6="A-321",'2026'!$F$4="FO",'2026'!$F$2=CL81),'2026DATA'!$E$28,"")</f>
        <v/>
      </c>
      <c r="CM107" s="518" t="str">
        <f>IF(AND(_6="A-321",'2026'!$F$4="FO",'2026'!$F$2=CM81),'2026DATA'!$F$28,"")</f>
        <v/>
      </c>
      <c r="CN107" s="518" t="str">
        <f>IF(AND(_6="A-321",'2026'!$F$4="FO",'2026'!$F$2=CN81),'2026DATA'!$G$28,"")</f>
        <v/>
      </c>
      <c r="CO107" s="518" t="str">
        <f>IF(AND(_6="A-321",'2026'!$F$4="FO",'2026'!$F$2=CO81),'2026DATA'!$H$28,"")</f>
        <v/>
      </c>
      <c r="CP107" s="518" t="str">
        <f>IF(AND(_6="A-321",'2026'!$F$4="FO",'2026'!$F$2=CP81),'2026DATA'!$I$28,"")</f>
        <v/>
      </c>
      <c r="CQ107" s="518" t="str">
        <f>IF(AND(_6="A-321",'2026'!$F$4="FO",'2026'!$F$2=CQ81),'2026DATA'!$J$28,"")</f>
        <v/>
      </c>
      <c r="CR107" s="518" t="str">
        <f>IF(AND(_6="A-321",'2026'!$F$4="FO",'2026'!$F$2=CR81),'2026DATA'!$K$28,"")</f>
        <v/>
      </c>
      <c r="CS107" s="518" t="str">
        <f>IF(AND(_6="A-321",'2026'!$F$4="FO",'2026'!$F$2=CS81),'2026DATA'!$L$28,"")</f>
        <v/>
      </c>
      <c r="CT107" s="518" t="str">
        <f>IF(AND(_6="A-321",'2026'!$F$4="FO",'2026'!$F$2=CT81),'2026DATA'!$M$28,"")</f>
        <v/>
      </c>
      <c r="CU107" s="520" t="str">
        <f>IF(AND(_6="A-321",'2026'!$F$4="FO",'2026'!$F$2=CU81),'2026DATA'!$N$28,"")</f>
        <v/>
      </c>
    </row>
    <row r="108" spans="16:99" x14ac:dyDescent="0.25">
      <c r="P108" s="940" t="s">
        <v>70</v>
      </c>
      <c r="Q108" s="13" t="s">
        <v>61</v>
      </c>
      <c r="R108" s="518" t="str">
        <f>IF(AND(_1="A-320",'2026'!$F$4="CA",'2026'!$F$2=R81),'2026DATA'!$C$29,"")</f>
        <v/>
      </c>
      <c r="S108" s="518" t="str">
        <f>IF(AND(_1="A-320",'2026'!$F$4="CA",'2026'!$F$2=S81),'2026DATA'!$D$29,"")</f>
        <v/>
      </c>
      <c r="T108" s="518" t="str">
        <f>IF(AND(_1="A-320",'2026'!$F$4="CA",'2026'!$F$2=T81),'2026DATA'!$E$29,"")</f>
        <v/>
      </c>
      <c r="U108" s="518" t="str">
        <f>IF(AND(_1="A-320",'2026'!$F$4="CA",'2026'!$F$2=U81),'2026DATA'!$F$29,"")</f>
        <v/>
      </c>
      <c r="V108" s="518" t="str">
        <f>IF(AND(_1="A-320",'2026'!$F$4="CA",'2026'!$F$2=V81),'2026DATA'!$G$29,"")</f>
        <v/>
      </c>
      <c r="W108" s="518" t="str">
        <f>IF(AND(_1="A-320",'2026'!$F$4="CA",'2026'!$F$2=W81),'2026DATA'!$H$29,"")</f>
        <v/>
      </c>
      <c r="X108" s="518" t="str">
        <f>IF(AND(_1="A-320",'2026'!$F$4="CA",'2026'!$F$2=X81),'2026DATA'!$I$29,"")</f>
        <v/>
      </c>
      <c r="Y108" s="518" t="str">
        <f>IF(AND(_1="A-320",'2026'!$F$4="CA",'2026'!$F$2=Y81),'2026DATA'!$J$29,"")</f>
        <v/>
      </c>
      <c r="Z108" s="518" t="str">
        <f>IF(AND(_1="A-320",'2026'!$F$4="CA",'2026'!$F$2=Z81),'2026DATA'!$K$29,"")</f>
        <v/>
      </c>
      <c r="AA108" s="518" t="str">
        <f>IF(AND(_1="A-320",'2026'!$F$4="CA",'2026'!$F$2=AA81),'2026DATA'!$L$29,"")</f>
        <v/>
      </c>
      <c r="AB108" s="518" t="str">
        <f>IF(AND(_1="A-320",'2026'!$F$4="CA",'2026'!$F$2=AB81),'2026DATA'!$M$29,"")</f>
        <v/>
      </c>
      <c r="AC108" s="520" t="str">
        <f>IF(AND(_1="A-320",'2026'!$F$4="CA",'2026'!$F$2=AC81),'2026DATA'!$N$29,"")</f>
        <v/>
      </c>
      <c r="AD108" s="940" t="s">
        <v>70</v>
      </c>
      <c r="AE108" s="13" t="s">
        <v>61</v>
      </c>
      <c r="AF108" s="518" t="str">
        <f>IF(AND(_2="A-320",'2026'!$F$4="CA",'2026'!$F$2=AF81),'2026DATA'!$C$29,"")</f>
        <v/>
      </c>
      <c r="AG108" s="518" t="str">
        <f>IF(AND(_2="A-320",'2026'!$F$4="CA",'2026'!$F$2=AG81),'2026DATA'!$D$29,"")</f>
        <v/>
      </c>
      <c r="AH108" s="518" t="str">
        <f>IF(AND(_2="A-320",'2026'!$F$4="CA",'2026'!$F$2=AH81),'2026DATA'!$E$29,"")</f>
        <v/>
      </c>
      <c r="AI108" s="518" t="str">
        <f>IF(AND(_2="A-320",'2026'!$F$4="CA",'2026'!$F$2=AI81),'2026DATA'!$F$29,"")</f>
        <v/>
      </c>
      <c r="AJ108" s="518" t="str">
        <f>IF(AND(_2="A-320",'2026'!$F$4="CA",'2026'!$F$2=AJ81),'2026DATA'!$G$29,"")</f>
        <v/>
      </c>
      <c r="AK108" s="518" t="str">
        <f>IF(AND(_2="A-320",'2026'!$F$4="CA",'2026'!$F$2=AK81),'2026DATA'!$H$29,"")</f>
        <v/>
      </c>
      <c r="AL108" s="518" t="str">
        <f>IF(AND(_2="A-320",'2026'!$F$4="CA",'2026'!$F$2=AL81),'2026DATA'!$I$29,"")</f>
        <v/>
      </c>
      <c r="AM108" s="518" t="str">
        <f>IF(AND(_2="A-320",'2026'!$F$4="CA",'2026'!$F$2=AM81),'2026DATA'!$J$29,"")</f>
        <v/>
      </c>
      <c r="AN108" s="518" t="str">
        <f>IF(AND(_2="A-320",'2026'!$F$4="CA",'2026'!$F$2=AN81),'2026DATA'!$K$29,"")</f>
        <v/>
      </c>
      <c r="AO108" s="518" t="str">
        <f>IF(AND(_2="A-320",'2026'!$F$4="CA",'2026'!$F$2=AO81),'2026DATA'!$L$29,"")</f>
        <v/>
      </c>
      <c r="AP108" s="518" t="str">
        <f>IF(AND(_2="A-320",'2026'!$F$4="CA",'2026'!$F$2=AP81),'2026DATA'!$M$29,"")</f>
        <v/>
      </c>
      <c r="AQ108" s="520" t="str">
        <f>IF(AND(_2="A-320",'2026'!$F$4="CA",'2026'!$F$2=AQ81),'2026DATA'!$N$29,"")</f>
        <v/>
      </c>
      <c r="AR108" s="940" t="s">
        <v>70</v>
      </c>
      <c r="AS108" s="13" t="s">
        <v>61</v>
      </c>
      <c r="AT108" s="518" t="str">
        <f>IF(AND(_3="A-320",'2026'!$F$4="CA",'2026'!$F$2=AT81),'2026DATA'!$C$29,"")</f>
        <v/>
      </c>
      <c r="AU108" s="518" t="str">
        <f>IF(AND(_3="A-320",'2026'!$F$4="CA",'2026'!$F$2=AU81),'2026DATA'!$D$29,"")</f>
        <v/>
      </c>
      <c r="AV108" s="518" t="str">
        <f>IF(AND(_3="A-320",'2026'!$F$4="CA",'2026'!$F$2=AV81),'2026DATA'!$E$29,"")</f>
        <v/>
      </c>
      <c r="AW108" s="518" t="str">
        <f>IF(AND(_3="A-320",'2026'!$F$4="CA",'2026'!$F$2=AW81),'2026DATA'!$F$29,"")</f>
        <v/>
      </c>
      <c r="AX108" s="518" t="str">
        <f>IF(AND(_3="A-320",'2026'!$F$4="CA",'2026'!$F$2=AX81),'2026DATA'!$G$29,"")</f>
        <v/>
      </c>
      <c r="AY108" s="518" t="str">
        <f>IF(AND(_3="A-320",'2026'!$F$4="CA",'2026'!$F$2=AY81),'2026DATA'!$H$29,"")</f>
        <v/>
      </c>
      <c r="AZ108" s="518" t="str">
        <f>IF(AND(_3="A-320",'2026'!$F$4="CA",'2026'!$F$2=AZ81),'2026DATA'!$I$29,"")</f>
        <v/>
      </c>
      <c r="BA108" s="518" t="str">
        <f>IF(AND(_3="A-320",'2026'!$F$4="CA",'2026'!$F$2=BA81),'2026DATA'!$J$29,"")</f>
        <v/>
      </c>
      <c r="BB108" s="518" t="str">
        <f>IF(AND(_3="A-320",'2026'!$F$4="CA",'2026'!$F$2=BB81),'2026DATA'!$K$29,"")</f>
        <v/>
      </c>
      <c r="BC108" s="518" t="str">
        <f>IF(AND(_3="A-320",'2026'!$F$4="CA",'2026'!$F$2=BC81),'2026DATA'!$L$29,"")</f>
        <v/>
      </c>
      <c r="BD108" s="518" t="str">
        <f>IF(AND(_3="A-320",'2026'!$F$4="CA",'2026'!$F$2=BD81),'2026DATA'!$M$29,"")</f>
        <v/>
      </c>
      <c r="BE108" s="520" t="str">
        <f>IF(AND(_3="A-320",'2026'!$F$4="CA",'2026'!$F$2=BE81),'2026DATA'!$N$29,"")</f>
        <v/>
      </c>
      <c r="BF108" s="940" t="s">
        <v>70</v>
      </c>
      <c r="BG108" s="13" t="s">
        <v>61</v>
      </c>
      <c r="BH108" s="518" t="str">
        <f>IF(AND(_4="A-320",'2026'!$F$4="CA",'2026'!$F$2=BH81),'2026DATA'!$C$29,"")</f>
        <v/>
      </c>
      <c r="BI108" s="518" t="str">
        <f>IF(AND(_4="A-320",'2026'!$F$4="CA",'2026'!$F$2=BI81),'2026DATA'!$D$29,"")</f>
        <v/>
      </c>
      <c r="BJ108" s="518" t="str">
        <f>IF(AND(_4="A-320",'2026'!$F$4="CA",'2026'!$F$2=BJ81),'2026DATA'!$E$29,"")</f>
        <v/>
      </c>
      <c r="BK108" s="518" t="str">
        <f>IF(AND(_4="A-320",'2026'!$F$4="CA",'2026'!$F$2=BK81),'2026DATA'!$F$29,"")</f>
        <v/>
      </c>
      <c r="BL108" s="518" t="str">
        <f>IF(AND(_4="A-320",'2026'!$F$4="CA",'2026'!$F$2=BL81),'2026DATA'!$G$29,"")</f>
        <v/>
      </c>
      <c r="BM108" s="518" t="str">
        <f>IF(AND(_4="A-320",'2026'!$F$4="CA",'2026'!$F$2=BM81),'2026DATA'!$H$29,"")</f>
        <v/>
      </c>
      <c r="BN108" s="518" t="str">
        <f>IF(AND(_4="A-320",'2026'!$F$4="CA",'2026'!$F$2=BN81),'2026DATA'!$I$29,"")</f>
        <v/>
      </c>
      <c r="BO108" s="518" t="str">
        <f>IF(AND(_4="A-320",'2026'!$F$4="CA",'2026'!$F$2=BO81),'2026DATA'!$J$29,"")</f>
        <v/>
      </c>
      <c r="BP108" s="518" t="str">
        <f>IF(AND(_4="A-320",'2026'!$F$4="CA",'2026'!$F$2=BP81),'2026DATA'!$K$29,"")</f>
        <v/>
      </c>
      <c r="BQ108" s="518" t="str">
        <f>IF(AND(_4="A-320",'2026'!$F$4="CA",'2026'!$F$2=BQ81),'2026DATA'!$L$29,"")</f>
        <v/>
      </c>
      <c r="BR108" s="518" t="str">
        <f>IF(AND(_4="A-320",'2026'!$F$4="CA",'2026'!$F$2=BR81),'2026DATA'!$M$29,"")</f>
        <v/>
      </c>
      <c r="BS108" s="520" t="str">
        <f>IF(AND(_4="A-320",'2026'!$F$4="CA",'2026'!$F$2=BS81),'2026DATA'!$N$29,"")</f>
        <v/>
      </c>
      <c r="BT108" s="940" t="s">
        <v>70</v>
      </c>
      <c r="BU108" s="13" t="s">
        <v>61</v>
      </c>
      <c r="BV108" s="518" t="str">
        <f>IF(AND(_5="A-320",'2026'!$F$4="CA",'2026'!$F$2=BV81),'2026DATA'!$C$29,"")</f>
        <v/>
      </c>
      <c r="BW108" s="518" t="str">
        <f>IF(AND(_5="A-320",'2026'!$F$4="CA",'2026'!$F$2=BW81),'2026DATA'!$D$29,"")</f>
        <v/>
      </c>
      <c r="BX108" s="518" t="str">
        <f>IF(AND(_5="A-320",'2026'!$F$4="CA",'2026'!$F$2=BX81),'2026DATA'!$E$29,"")</f>
        <v/>
      </c>
      <c r="BY108" s="518" t="str">
        <f>IF(AND(_5="A-320",'2026'!$F$4="CA",'2026'!$F$2=BY81),'2026DATA'!$F$29,"")</f>
        <v/>
      </c>
      <c r="BZ108" s="518" t="str">
        <f>IF(AND(_5="A-320",'2026'!$F$4="CA",'2026'!$F$2=BZ81),'2026DATA'!$G$29,"")</f>
        <v/>
      </c>
      <c r="CA108" s="518" t="str">
        <f>IF(AND(_5="A-320",'2026'!$F$4="CA",'2026'!$F$2=CA81),'2026DATA'!$H$29,"")</f>
        <v/>
      </c>
      <c r="CB108" s="518" t="str">
        <f>IF(AND(_5="A-320",'2026'!$F$4="CA",'2026'!$F$2=CB81),'2026DATA'!$I$29,"")</f>
        <v/>
      </c>
      <c r="CC108" s="518" t="str">
        <f>IF(AND(_5="A-320",'2026'!$F$4="CA",'2026'!$F$2=CC81),'2026DATA'!$J$29,"")</f>
        <v/>
      </c>
      <c r="CD108" s="518" t="str">
        <f>IF(AND(_5="A-320",'2026'!$F$4="CA",'2026'!$F$2=CD81),'2026DATA'!$K$29,"")</f>
        <v/>
      </c>
      <c r="CE108" s="518" t="str">
        <f>IF(AND(_5="A-320",'2026'!$F$4="CA",'2026'!$F$2=CE81),'2026DATA'!$L$29,"")</f>
        <v/>
      </c>
      <c r="CF108" s="518" t="str">
        <f>IF(AND(_5="A-320",'2026'!$F$4="CA",'2026'!$F$2=CF81),'2026DATA'!$M$29,"")</f>
        <v/>
      </c>
      <c r="CG108" s="520" t="str">
        <f>IF(AND(_5="A-320",'2026'!$F$4="CA",'2026'!$F$2=CG81),'2026DATA'!$N$29,"")</f>
        <v/>
      </c>
      <c r="CH108" s="940" t="s">
        <v>70</v>
      </c>
      <c r="CI108" s="13" t="s">
        <v>61</v>
      </c>
      <c r="CJ108" s="518" t="str">
        <f>IF(AND(_6="A-320",'2026'!$F$4="CA",'2026'!$F$2=CJ81),'2026DATA'!$C$29,"")</f>
        <v/>
      </c>
      <c r="CK108" s="518" t="str">
        <f>IF(AND(_6="A-320",'2026'!$F$4="CA",'2026'!$F$2=CK81),'2026DATA'!$D$29,"")</f>
        <v/>
      </c>
      <c r="CL108" s="518" t="str">
        <f>IF(AND(_6="A-320",'2026'!$F$4="CA",'2026'!$F$2=CL81),'2026DATA'!$E$29,"")</f>
        <v/>
      </c>
      <c r="CM108" s="518" t="str">
        <f>IF(AND(_6="A-320",'2026'!$F$4="CA",'2026'!$F$2=CM81),'2026DATA'!$F$29,"")</f>
        <v/>
      </c>
      <c r="CN108" s="518" t="str">
        <f>IF(AND(_6="A-320",'2026'!$F$4="CA",'2026'!$F$2=CN81),'2026DATA'!$G$29,"")</f>
        <v/>
      </c>
      <c r="CO108" s="518" t="str">
        <f>IF(AND(_6="A-320",'2026'!$F$4="CA",'2026'!$F$2=CO81),'2026DATA'!$H$29,"")</f>
        <v/>
      </c>
      <c r="CP108" s="518" t="str">
        <f>IF(AND(_6="A-320",'2026'!$F$4="CA",'2026'!$F$2=CP81),'2026DATA'!$I$29,"")</f>
        <v/>
      </c>
      <c r="CQ108" s="518" t="str">
        <f>IF(AND(_6="A-320",'2026'!$F$4="CA",'2026'!$F$2=CQ81),'2026DATA'!$J$29,"")</f>
        <v/>
      </c>
      <c r="CR108" s="518" t="str">
        <f>IF(AND(_6="A-320",'2026'!$F$4="CA",'2026'!$F$2=CR81),'2026DATA'!$K$29,"")</f>
        <v/>
      </c>
      <c r="CS108" s="518" t="str">
        <f>IF(AND(_6="A-320",'2026'!$F$4="CA",'2026'!$F$2=CS81),'2026DATA'!$L$29,"")</f>
        <v/>
      </c>
      <c r="CT108" s="518" t="str">
        <f>IF(AND(_6="A-320",'2026'!$F$4="CA",'2026'!$F$2=CT81),'2026DATA'!$M$29,"")</f>
        <v/>
      </c>
      <c r="CU108" s="520" t="str">
        <f>IF(AND(_6="A-320",'2026'!$F$4="CA",'2026'!$F$2=CU81),'2026DATA'!$N$29,"")</f>
        <v/>
      </c>
    </row>
    <row r="109" spans="16:99" x14ac:dyDescent="0.25">
      <c r="P109" s="940"/>
      <c r="Q109" s="13" t="s">
        <v>62</v>
      </c>
      <c r="R109" s="518" t="str">
        <f>IF(AND(_1="A-320",'2026'!$F$4="FO",'2026'!$F$2=R81),'2026DATA'!$C$30,"")</f>
        <v/>
      </c>
      <c r="S109" s="518" t="str">
        <f>IF(AND(_1="A-320",'2026'!$F$4="FO",'2026'!$F$2=S81),'2026DATA'!$D$30,"")</f>
        <v/>
      </c>
      <c r="T109" s="518" t="str">
        <f>IF(AND(_1="A-320",'2026'!$F$4="FO",'2026'!$F$2=T81),'2026DATA'!$E$30,"")</f>
        <v/>
      </c>
      <c r="U109" s="518" t="str">
        <f>IF(AND(_1="A-320",'2026'!$F$4="FO",'2026'!$F$2=U81),'2026DATA'!$F$30,"")</f>
        <v/>
      </c>
      <c r="V109" s="518" t="str">
        <f>IF(AND(_1="A-320",'2026'!$F$4="FO",'2026'!$F$2=V81),'2026DATA'!$G$30,"")</f>
        <v/>
      </c>
      <c r="W109" s="518" t="str">
        <f>IF(AND(_1="A-320",'2026'!$F$4="FO",'2026'!$F$2=W81),'2026DATA'!$H$30,"")</f>
        <v/>
      </c>
      <c r="X109" s="518" t="str">
        <f>IF(AND(_1="A-320",'2026'!$F$4="FO",'2026'!$F$2=X81),'2026DATA'!$I$30,"")</f>
        <v/>
      </c>
      <c r="Y109" s="518" t="str">
        <f>IF(AND(_1="A-320",'2026'!$F$4="FO",'2026'!$F$2=Y81),'2026DATA'!$J$30,"")</f>
        <v/>
      </c>
      <c r="Z109" s="518" t="str">
        <f>IF(AND(_1="A-320",'2026'!$F$4="FO",'2026'!$F$2=Z81),'2026DATA'!$K$30,"")</f>
        <v/>
      </c>
      <c r="AA109" s="518" t="str">
        <f>IF(AND(_1="A-320",'2026'!$F$4="FO",'2026'!$F$2=AA81),'2026DATA'!$L$30,"")</f>
        <v/>
      </c>
      <c r="AB109" s="518" t="str">
        <f>IF(AND(_1="A-320",'2026'!$F$4="FO",'2026'!$F$2=AB81),'2026DATA'!$M$30,"")</f>
        <v/>
      </c>
      <c r="AC109" s="520" t="str">
        <f>IF(AND(_1="A-320",'2026'!$F$4="FO",'2026'!$F$2=AC81),'2026DATA'!$N$30,"")</f>
        <v/>
      </c>
      <c r="AD109" s="940"/>
      <c r="AE109" s="13" t="s">
        <v>62</v>
      </c>
      <c r="AF109" s="518" t="str">
        <f>IF(AND(_2="A-320",'2026'!$F$4="FO",'2026'!$F$2=AF81),'2026DATA'!$C$30,"")</f>
        <v/>
      </c>
      <c r="AG109" s="518" t="str">
        <f>IF(AND(_2="A-320",'2026'!$F$4="FO",'2026'!$F$2=AG81),'2026DATA'!$D$30,"")</f>
        <v/>
      </c>
      <c r="AH109" s="518" t="str">
        <f>IF(AND(_2="A-320",'2026'!$F$4="FO",'2026'!$F$2=AH81),'2026DATA'!$E$30,"")</f>
        <v/>
      </c>
      <c r="AI109" s="518" t="str">
        <f>IF(AND(_2="A-320",'2026'!$F$4="FO",'2026'!$F$2=AI81),'2026DATA'!$F$30,"")</f>
        <v/>
      </c>
      <c r="AJ109" s="518" t="str">
        <f>IF(AND(_2="A-320",'2026'!$F$4="FO",'2026'!$F$2=AJ81),'2026DATA'!$G$30,"")</f>
        <v/>
      </c>
      <c r="AK109" s="518" t="str">
        <f>IF(AND(_2="A-320",'2026'!$F$4="FO",'2026'!$F$2=AK81),'2026DATA'!$H$30,"")</f>
        <v/>
      </c>
      <c r="AL109" s="518" t="str">
        <f>IF(AND(_2="A-320",'2026'!$F$4="FO",'2026'!$F$2=AL81),'2026DATA'!$I$30,"")</f>
        <v/>
      </c>
      <c r="AM109" s="518" t="str">
        <f>IF(AND(_2="A-320",'2026'!$F$4="FO",'2026'!$F$2=AM81),'2026DATA'!$J$30,"")</f>
        <v/>
      </c>
      <c r="AN109" s="518" t="str">
        <f>IF(AND(_2="A-320",'2026'!$F$4="FO",'2026'!$F$2=AN81),'2026DATA'!$K$30,"")</f>
        <v/>
      </c>
      <c r="AO109" s="518" t="str">
        <f>IF(AND(_2="A-320",'2026'!$F$4="FO",'2026'!$F$2=AO81),'2026DATA'!$L$30,"")</f>
        <v/>
      </c>
      <c r="AP109" s="518" t="str">
        <f>IF(AND(_2="A-320",'2026'!$F$4="FO",'2026'!$F$2=AP81),'2026DATA'!$M$30,"")</f>
        <v/>
      </c>
      <c r="AQ109" s="520" t="str">
        <f>IF(AND(_2="A-320",'2026'!$F$4="FO",'2026'!$F$2=AQ81),'2026DATA'!$N$30,"")</f>
        <v/>
      </c>
      <c r="AR109" s="940"/>
      <c r="AS109" s="13" t="s">
        <v>62</v>
      </c>
      <c r="AT109" s="518" t="str">
        <f>IF(AND(_3="A-320",'2026'!$F$4="FO",'2026'!$F$2=AT81),'2026DATA'!$C$30,"")</f>
        <v/>
      </c>
      <c r="AU109" s="518" t="str">
        <f>IF(AND(_3="A-320",'2026'!$F$4="FO",'2026'!$F$2=AU81),'2026DATA'!$D$30,"")</f>
        <v/>
      </c>
      <c r="AV109" s="518" t="str">
        <f>IF(AND(_3="A-320",'2026'!$F$4="FO",'2026'!$F$2=AV81),'2026DATA'!$E$30,"")</f>
        <v/>
      </c>
      <c r="AW109" s="518" t="str">
        <f>IF(AND(_3="A-320",'2026'!$F$4="FO",'2026'!$F$2=AW81),'2026DATA'!$F$30,"")</f>
        <v/>
      </c>
      <c r="AX109" s="518" t="str">
        <f>IF(AND(_3="A-320",'2026'!$F$4="FO",'2026'!$F$2=AX81),'2026DATA'!$G$30,"")</f>
        <v/>
      </c>
      <c r="AY109" s="518" t="str">
        <f>IF(AND(_3="A-320",'2026'!$F$4="FO",'2026'!$F$2=AY81),'2026DATA'!$H$30,"")</f>
        <v/>
      </c>
      <c r="AZ109" s="518" t="str">
        <f>IF(AND(_3="A-320",'2026'!$F$4="FO",'2026'!$F$2=AZ81),'2026DATA'!$I$30,"")</f>
        <v/>
      </c>
      <c r="BA109" s="518" t="str">
        <f>IF(AND(_3="A-320",'2026'!$F$4="FO",'2026'!$F$2=BA81),'2026DATA'!$J$30,"")</f>
        <v/>
      </c>
      <c r="BB109" s="518" t="str">
        <f>IF(AND(_3="A-320",'2026'!$F$4="FO",'2026'!$F$2=BB81),'2026DATA'!$K$30,"")</f>
        <v/>
      </c>
      <c r="BC109" s="518" t="str">
        <f>IF(AND(_3="A-320",'2026'!$F$4="FO",'2026'!$F$2=BC81),'2026DATA'!$L$30,"")</f>
        <v/>
      </c>
      <c r="BD109" s="518" t="str">
        <f>IF(AND(_3="A-320",'2026'!$F$4="FO",'2026'!$F$2=BD81),'2026DATA'!$M$30,"")</f>
        <v/>
      </c>
      <c r="BE109" s="520" t="str">
        <f>IF(AND(_3="A-320",'2026'!$F$4="FO",'2026'!$F$2=BE81),'2026DATA'!$N$30,"")</f>
        <v/>
      </c>
      <c r="BF109" s="940"/>
      <c r="BG109" s="13" t="s">
        <v>62</v>
      </c>
      <c r="BH109" s="518" t="str">
        <f>IF(AND(_4="A-320",'2026'!$F$4="FO",'2026'!$F$2=BH81),'2026DATA'!$C$30,"")</f>
        <v/>
      </c>
      <c r="BI109" s="518" t="str">
        <f>IF(AND(_4="A-320",'2026'!$F$4="FO",'2026'!$F$2=BI81),'2026DATA'!$D$30,"")</f>
        <v/>
      </c>
      <c r="BJ109" s="518" t="str">
        <f>IF(AND(_4="A-320",'2026'!$F$4="FO",'2026'!$F$2=BJ81),'2026DATA'!$E$30,"")</f>
        <v/>
      </c>
      <c r="BK109" s="518" t="str">
        <f>IF(AND(_4="A-320",'2026'!$F$4="FO",'2026'!$F$2=BK81),'2026DATA'!$F$30,"")</f>
        <v/>
      </c>
      <c r="BL109" s="518" t="str">
        <f>IF(AND(_4="A-320",'2026'!$F$4="FO",'2026'!$F$2=BL81),'2026DATA'!$G$30,"")</f>
        <v/>
      </c>
      <c r="BM109" s="518" t="str">
        <f>IF(AND(_4="A-320",'2026'!$F$4="FO",'2026'!$F$2=BM81),'2026DATA'!$H$30,"")</f>
        <v/>
      </c>
      <c r="BN109" s="518" t="str">
        <f>IF(AND(_4="A-320",'2026'!$F$4="FO",'2026'!$F$2=BN81),'2026DATA'!$I$30,"")</f>
        <v/>
      </c>
      <c r="BO109" s="518" t="str">
        <f>IF(AND(_4="A-320",'2026'!$F$4="FO",'2026'!$F$2=BO81),'2026DATA'!$J$30,"")</f>
        <v/>
      </c>
      <c r="BP109" s="518" t="str">
        <f>IF(AND(_4="A-320",'2026'!$F$4="FO",'2026'!$F$2=BP81),'2026DATA'!$K$30,"")</f>
        <v/>
      </c>
      <c r="BQ109" s="518" t="str">
        <f>IF(AND(_4="A-320",'2026'!$F$4="FO",'2026'!$F$2=BQ81),'2026DATA'!$L$30,"")</f>
        <v/>
      </c>
      <c r="BR109" s="518" t="str">
        <f>IF(AND(_4="A-320",'2026'!$F$4="FO",'2026'!$F$2=BR81),'2026DATA'!$M$30,"")</f>
        <v/>
      </c>
      <c r="BS109" s="520" t="str">
        <f>IF(AND(_4="A-320",'2026'!$F$4="FO",'2026'!$F$2=BS81),'2026DATA'!$N$30,"")</f>
        <v/>
      </c>
      <c r="BT109" s="940"/>
      <c r="BU109" s="13" t="s">
        <v>62</v>
      </c>
      <c r="BV109" s="518" t="str">
        <f>IF(AND(_5="A-320",'2026'!$F$4="FO",'2026'!$F$2=BV81),'2026DATA'!$C$30,"")</f>
        <v/>
      </c>
      <c r="BW109" s="518" t="str">
        <f>IF(AND(_5="A-320",'2026'!$F$4="FO",'2026'!$F$2=BW81),'2026DATA'!$D$30,"")</f>
        <v/>
      </c>
      <c r="BX109" s="518" t="str">
        <f>IF(AND(_5="A-320",'2026'!$F$4="FO",'2026'!$F$2=BX81),'2026DATA'!$E$30,"")</f>
        <v/>
      </c>
      <c r="BY109" s="518" t="str">
        <f>IF(AND(_5="A-320",'2026'!$F$4="FO",'2026'!$F$2=BY81),'2026DATA'!$F$30,"")</f>
        <v/>
      </c>
      <c r="BZ109" s="518" t="str">
        <f>IF(AND(_5="A-320",'2026'!$F$4="FO",'2026'!$F$2=BZ81),'2026DATA'!$G$30,"")</f>
        <v/>
      </c>
      <c r="CA109" s="518" t="str">
        <f>IF(AND(_5="A-320",'2026'!$F$4="FO",'2026'!$F$2=CA81),'2026DATA'!$H$30,"")</f>
        <v/>
      </c>
      <c r="CB109" s="518" t="str">
        <f>IF(AND(_5="A-320",'2026'!$F$4="FO",'2026'!$F$2=CB81),'2026DATA'!$I$30,"")</f>
        <v/>
      </c>
      <c r="CC109" s="518" t="str">
        <f>IF(AND(_5="A-320",'2026'!$F$4="FO",'2026'!$F$2=CC81),'2026DATA'!$J$30,"")</f>
        <v/>
      </c>
      <c r="CD109" s="518" t="str">
        <f>IF(AND(_5="A-320",'2026'!$F$4="FO",'2026'!$F$2=CD81),'2026DATA'!$K$30,"")</f>
        <v/>
      </c>
      <c r="CE109" s="518" t="str">
        <f>IF(AND(_5="A-320",'2026'!$F$4="FO",'2026'!$F$2=CE81),'2026DATA'!$L$30,"")</f>
        <v/>
      </c>
      <c r="CF109" s="518" t="str">
        <f>IF(AND(_5="A-320",'2026'!$F$4="FO",'2026'!$F$2=CF81),'2026DATA'!$M$30,"")</f>
        <v/>
      </c>
      <c r="CG109" s="520" t="str">
        <f>IF(AND(_5="A-320",'2026'!$F$4="FO",'2026'!$F$2=CG81),'2026DATA'!$N$30,"")</f>
        <v/>
      </c>
      <c r="CH109" s="940"/>
      <c r="CI109" s="13" t="s">
        <v>62</v>
      </c>
      <c r="CJ109" s="518" t="str">
        <f>IF(AND(_6="A-320",'2026'!$F$4="FO",'2026'!$F$2=CJ81),'2026DATA'!$C$30,"")</f>
        <v/>
      </c>
      <c r="CK109" s="518" t="str">
        <f>IF(AND(_6="A-320",'2026'!$F$4="FO",'2026'!$F$2=CK81),'2026DATA'!$D$30,"")</f>
        <v/>
      </c>
      <c r="CL109" s="518" t="str">
        <f>IF(AND(_6="A-320",'2026'!$F$4="FO",'2026'!$F$2=CL81),'2026DATA'!$E$30,"")</f>
        <v/>
      </c>
      <c r="CM109" s="518" t="str">
        <f>IF(AND(_6="A-320",'2026'!$F$4="FO",'2026'!$F$2=CM81),'2026DATA'!$F$30,"")</f>
        <v/>
      </c>
      <c r="CN109" s="518" t="str">
        <f>IF(AND(_6="A-320",'2026'!$F$4="FO",'2026'!$F$2=CN81),'2026DATA'!$G$30,"")</f>
        <v/>
      </c>
      <c r="CO109" s="518" t="str">
        <f>IF(AND(_6="A-320",'2026'!$F$4="FO",'2026'!$F$2=CO81),'2026DATA'!$H$30,"")</f>
        <v/>
      </c>
      <c r="CP109" s="518" t="str">
        <f>IF(AND(_6="A-320",'2026'!$F$4="FO",'2026'!$F$2=CP81),'2026DATA'!$I$30,"")</f>
        <v/>
      </c>
      <c r="CQ109" s="518" t="str">
        <f>IF(AND(_6="A-320",'2026'!$F$4="FO",'2026'!$F$2=CQ81),'2026DATA'!$J$30,"")</f>
        <v/>
      </c>
      <c r="CR109" s="518" t="str">
        <f>IF(AND(_6="A-320",'2026'!$F$4="FO",'2026'!$F$2=CR81),'2026DATA'!$K$30,"")</f>
        <v/>
      </c>
      <c r="CS109" s="518" t="str">
        <f>IF(AND(_6="A-320",'2026'!$F$4="FO",'2026'!$F$2=CS81),'2026DATA'!$L$30,"")</f>
        <v/>
      </c>
      <c r="CT109" s="518" t="str">
        <f>IF(AND(_6="A-320",'2026'!$F$4="FO",'2026'!$F$2=CT81),'2026DATA'!$M$30,"")</f>
        <v/>
      </c>
      <c r="CU109" s="520" t="str">
        <f>IF(AND(_6="A-320",'2026'!$F$4="FO",'2026'!$F$2=CU81),'2026DATA'!$N$30,"")</f>
        <v/>
      </c>
    </row>
    <row r="110" spans="16:99" x14ac:dyDescent="0.25">
      <c r="P110" s="940" t="s">
        <v>71</v>
      </c>
      <c r="Q110" s="13" t="s">
        <v>61</v>
      </c>
      <c r="R110" s="518" t="str">
        <f>IF(AND(_1="A-319",'2026'!$F$4="CA",'2026'!$F$2=R81),'2026DATA'!$C$31,"")</f>
        <v/>
      </c>
      <c r="S110" s="518" t="str">
        <f>IF(AND(_1="A-319",'2026'!$F$4="CA",'2026'!$F$2=S81),'2026DATA'!$D$31,"")</f>
        <v/>
      </c>
      <c r="T110" s="518" t="str">
        <f>IF(AND(_1="A-319",'2026'!$F$4="CA",'2026'!$F$2=T81),'2026DATA'!$E$31,"")</f>
        <v/>
      </c>
      <c r="U110" s="518" t="str">
        <f>IF(AND(_1="A-319",'2026'!$F$4="CA",'2026'!$F$2=U81),'2026DATA'!$F$31,"")</f>
        <v/>
      </c>
      <c r="V110" s="518" t="str">
        <f>IF(AND(_1="A-319",'2026'!$F$4="CA",'2026'!$F$2=V81),'2026DATA'!$G$31,"")</f>
        <v/>
      </c>
      <c r="W110" s="518" t="str">
        <f>IF(AND(_1="A-319",'2026'!$F$4="CA",'2026'!$F$2=W81),'2026DATA'!$H$31,"")</f>
        <v/>
      </c>
      <c r="X110" s="518" t="str">
        <f>IF(AND(_1="A-319",'2026'!$F$4="CA",'2026'!$F$2=X81),'2026DATA'!$I$31,"")</f>
        <v/>
      </c>
      <c r="Y110" s="518" t="str">
        <f>IF(AND(_1="A-319",'2026'!$F$4="CA",'2026'!$F$2=Y81),'2026DATA'!$J$31,"")</f>
        <v/>
      </c>
      <c r="Z110" s="518" t="str">
        <f>IF(AND(_1="A-319",'2026'!$F$4="CA",'2026'!$F$2=Z81),'2026DATA'!$K$31,"")</f>
        <v/>
      </c>
      <c r="AA110" s="518" t="str">
        <f>IF(AND(_1="A-319",'2026'!$F$4="CA",'2026'!$F$2=AA81),'2026DATA'!$L$31,"")</f>
        <v/>
      </c>
      <c r="AB110" s="518" t="str">
        <f>IF(AND(_1="A-319",'2026'!$F$4="CA",'2026'!$F$2=AB81),'2026DATA'!$M$31,"")</f>
        <v/>
      </c>
      <c r="AC110" s="520" t="str">
        <f>IF(AND(_1="A-319",'2026'!$F$4="CA",'2026'!$F$2=AC81),'2026DATA'!$N$31,"")</f>
        <v/>
      </c>
      <c r="AD110" s="940" t="s">
        <v>71</v>
      </c>
      <c r="AE110" s="13" t="s">
        <v>61</v>
      </c>
      <c r="AF110" s="518" t="str">
        <f>IF(AND(_2="A-319",'2026'!$F$4="CA",'2026'!$F$2=AF81),'2026DATA'!$C$31,"")</f>
        <v/>
      </c>
      <c r="AG110" s="518" t="str">
        <f>IF(AND(_2="A-319",'2026'!$F$4="CA",'2026'!$F$2=AG81),'2026DATA'!$D$31,"")</f>
        <v/>
      </c>
      <c r="AH110" s="518" t="str">
        <f>IF(AND(_2="A-319",'2026'!$F$4="CA",'2026'!$F$2=AH81),'2026DATA'!$E$31,"")</f>
        <v/>
      </c>
      <c r="AI110" s="518" t="str">
        <f>IF(AND(_2="A-319",'2026'!$F$4="CA",'2026'!$F$2=AI81),'2026DATA'!$F$31,"")</f>
        <v/>
      </c>
      <c r="AJ110" s="518" t="str">
        <f>IF(AND(_2="A-319",'2026'!$F$4="CA",'2026'!$F$2=AJ81),'2026DATA'!$G$31,"")</f>
        <v/>
      </c>
      <c r="AK110" s="518" t="str">
        <f>IF(AND(_2="A-319",'2026'!$F$4="CA",'2026'!$F$2=AK81),'2026DATA'!$H$31,"")</f>
        <v/>
      </c>
      <c r="AL110" s="518" t="str">
        <f>IF(AND(_2="A-319",'2026'!$F$4="CA",'2026'!$F$2=AL81),'2026DATA'!$I$31,"")</f>
        <v/>
      </c>
      <c r="AM110" s="518" t="str">
        <f>IF(AND(_2="A-319",'2026'!$F$4="CA",'2026'!$F$2=AM81),'2026DATA'!$J$31,"")</f>
        <v/>
      </c>
      <c r="AN110" s="518" t="str">
        <f>IF(AND(_2="A-319",'2026'!$F$4="CA",'2026'!$F$2=AN81),'2026DATA'!$K$31,"")</f>
        <v/>
      </c>
      <c r="AO110" s="518" t="str">
        <f>IF(AND(_2="A-319",'2026'!$F$4="CA",'2026'!$F$2=AO81),'2026DATA'!$L$31,"")</f>
        <v/>
      </c>
      <c r="AP110" s="518" t="str">
        <f>IF(AND(_2="A-319",'2026'!$F$4="CA",'2026'!$F$2=AP81),'2026DATA'!$M$31,"")</f>
        <v/>
      </c>
      <c r="AQ110" s="520" t="str">
        <f>IF(AND(_2="A-319",'2026'!$F$4="CA",'2026'!$F$2=AQ81),'2026DATA'!$N$31,"")</f>
        <v/>
      </c>
      <c r="AR110" s="940" t="s">
        <v>71</v>
      </c>
      <c r="AS110" s="13" t="s">
        <v>61</v>
      </c>
      <c r="AT110" s="518" t="str">
        <f>IF(AND(_3="A-319",'2026'!$F$4="CA",'2026'!$F$2=AT81),'2026DATA'!$C$31,"")</f>
        <v/>
      </c>
      <c r="AU110" s="518" t="str">
        <f>IF(AND(_3="A-319",'2026'!$F$4="CA",'2026'!$F$2=AU81),'2026DATA'!$D$31,"")</f>
        <v/>
      </c>
      <c r="AV110" s="518" t="str">
        <f>IF(AND(_3="A-319",'2026'!$F$4="CA",'2026'!$F$2=AV81),'2026DATA'!$E$31,"")</f>
        <v/>
      </c>
      <c r="AW110" s="518" t="str">
        <f>IF(AND(_3="A-319",'2026'!$F$4="CA",'2026'!$F$2=AW81),'2026DATA'!$F$31,"")</f>
        <v/>
      </c>
      <c r="AX110" s="518" t="str">
        <f>IF(AND(_3="A-319",'2026'!$F$4="CA",'2026'!$F$2=AX81),'2026DATA'!$G$31,"")</f>
        <v/>
      </c>
      <c r="AY110" s="518" t="str">
        <f>IF(AND(_3="A-319",'2026'!$F$4="CA",'2026'!$F$2=AY81),'2026DATA'!$H$31,"")</f>
        <v/>
      </c>
      <c r="AZ110" s="518" t="str">
        <f>IF(AND(_3="A-319",'2026'!$F$4="CA",'2026'!$F$2=AZ81),'2026DATA'!$I$31,"")</f>
        <v/>
      </c>
      <c r="BA110" s="518" t="str">
        <f>IF(AND(_3="A-319",'2026'!$F$4="CA",'2026'!$F$2=BA81),'2026DATA'!$J$31,"")</f>
        <v/>
      </c>
      <c r="BB110" s="518" t="str">
        <f>IF(AND(_3="A-319",'2026'!$F$4="CA",'2026'!$F$2=BB81),'2026DATA'!$K$31,"")</f>
        <v/>
      </c>
      <c r="BC110" s="518" t="str">
        <f>IF(AND(_3="A-319",'2026'!$F$4="CA",'2026'!$F$2=BC81),'2026DATA'!$L$31,"")</f>
        <v/>
      </c>
      <c r="BD110" s="518" t="str">
        <f>IF(AND(_3="A-319",'2026'!$F$4="CA",'2026'!$F$2=BD81),'2026DATA'!$M$31,"")</f>
        <v/>
      </c>
      <c r="BE110" s="520" t="str">
        <f>IF(AND(_3="A-319",'2026'!$F$4="CA",'2026'!$F$2=BE81),'2026DATA'!$N$31,"")</f>
        <v/>
      </c>
      <c r="BF110" s="940" t="s">
        <v>71</v>
      </c>
      <c r="BG110" s="13" t="s">
        <v>61</v>
      </c>
      <c r="BH110" s="518" t="str">
        <f>IF(AND(_4="A-319",'2026'!$F$4="CA",'2026'!$F$2=BH81),'2026DATA'!$C$31,"")</f>
        <v/>
      </c>
      <c r="BI110" s="518" t="str">
        <f>IF(AND(_4="A-319",'2026'!$F$4="CA",'2026'!$F$2=BI81),'2026DATA'!$D$31,"")</f>
        <v/>
      </c>
      <c r="BJ110" s="518" t="str">
        <f>IF(AND(_4="A-319",'2026'!$F$4="CA",'2026'!$F$2=BJ81),'2026DATA'!$E$31,"")</f>
        <v/>
      </c>
      <c r="BK110" s="518" t="str">
        <f>IF(AND(_4="A-319",'2026'!$F$4="CA",'2026'!$F$2=BK81),'2026DATA'!$F$31,"")</f>
        <v/>
      </c>
      <c r="BL110" s="518" t="str">
        <f>IF(AND(_4="A-319",'2026'!$F$4="CA",'2026'!$F$2=BL81),'2026DATA'!$G$31,"")</f>
        <v/>
      </c>
      <c r="BM110" s="518" t="str">
        <f>IF(AND(_4="A-319",'2026'!$F$4="CA",'2026'!$F$2=BM81),'2026DATA'!$H$31,"")</f>
        <v/>
      </c>
      <c r="BN110" s="518" t="str">
        <f>IF(AND(_4="A-319",'2026'!$F$4="CA",'2026'!$F$2=BN81),'2026DATA'!$I$31,"")</f>
        <v/>
      </c>
      <c r="BO110" s="518" t="str">
        <f>IF(AND(_4="A-319",'2026'!$F$4="CA",'2026'!$F$2=BO81),'2026DATA'!$J$31,"")</f>
        <v/>
      </c>
      <c r="BP110" s="518" t="str">
        <f>IF(AND(_4="A-319",'2026'!$F$4="CA",'2026'!$F$2=BP81),'2026DATA'!$K$31,"")</f>
        <v/>
      </c>
      <c r="BQ110" s="518" t="str">
        <f>IF(AND(_4="A-319",'2026'!$F$4="CA",'2026'!$F$2=BQ81),'2026DATA'!$L$31,"")</f>
        <v/>
      </c>
      <c r="BR110" s="518" t="str">
        <f>IF(AND(_4="A-319",'2026'!$F$4="CA",'2026'!$F$2=BR81),'2026DATA'!$M$31,"")</f>
        <v/>
      </c>
      <c r="BS110" s="520" t="str">
        <f>IF(AND(_4="A-319",'2026'!$F$4="CA",'2026'!$F$2=BS81),'2026DATA'!$N$31,"")</f>
        <v/>
      </c>
      <c r="BT110" s="940" t="s">
        <v>71</v>
      </c>
      <c r="BU110" s="13" t="s">
        <v>61</v>
      </c>
      <c r="BV110" s="518" t="str">
        <f>IF(AND(_5="A-319",'2026'!$F$4="CA",'2026'!$F$2=BV81),'2026DATA'!$C$31,"")</f>
        <v/>
      </c>
      <c r="BW110" s="518" t="str">
        <f>IF(AND(_5="A-319",'2026'!$F$4="CA",'2026'!$F$2=BW81),'2026DATA'!$D$31,"")</f>
        <v/>
      </c>
      <c r="BX110" s="518" t="str">
        <f>IF(AND(_5="A-319",'2026'!$F$4="CA",'2026'!$F$2=BX81),'2026DATA'!$E$31,"")</f>
        <v/>
      </c>
      <c r="BY110" s="518" t="str">
        <f>IF(AND(_5="A-319",'2026'!$F$4="CA",'2026'!$F$2=BY81),'2026DATA'!$F$31,"")</f>
        <v/>
      </c>
      <c r="BZ110" s="518" t="str">
        <f>IF(AND(_5="A-319",'2026'!$F$4="CA",'2026'!$F$2=BZ81),'2026DATA'!$G$31,"")</f>
        <v/>
      </c>
      <c r="CA110" s="518" t="str">
        <f>IF(AND(_5="A-319",'2026'!$F$4="CA",'2026'!$F$2=CA81),'2026DATA'!$H$31,"")</f>
        <v/>
      </c>
      <c r="CB110" s="518" t="str">
        <f>IF(AND(_5="A-319",'2026'!$F$4="CA",'2026'!$F$2=CB81),'2026DATA'!$I$31,"")</f>
        <v/>
      </c>
      <c r="CC110" s="518" t="str">
        <f>IF(AND(_5="A-319",'2026'!$F$4="CA",'2026'!$F$2=CC81),'2026DATA'!$J$31,"")</f>
        <v/>
      </c>
      <c r="CD110" s="518" t="str">
        <f>IF(AND(_5="A-319",'2026'!$F$4="CA",'2026'!$F$2=CD81),'2026DATA'!$K$31,"")</f>
        <v/>
      </c>
      <c r="CE110" s="518" t="str">
        <f>IF(AND(_5="A-319",'2026'!$F$4="CA",'2026'!$F$2=CE81),'2026DATA'!$L$31,"")</f>
        <v/>
      </c>
      <c r="CF110" s="518" t="str">
        <f>IF(AND(_5="A-319",'2026'!$F$4="CA",'2026'!$F$2=CF81),'2026DATA'!$M$31,"")</f>
        <v/>
      </c>
      <c r="CG110" s="520" t="str">
        <f>IF(AND(_5="A-319",'2026'!$F$4="CA",'2026'!$F$2=CG81),'2026DATA'!$N$31,"")</f>
        <v/>
      </c>
      <c r="CH110" s="940" t="s">
        <v>71</v>
      </c>
      <c r="CI110" s="13" t="s">
        <v>61</v>
      </c>
      <c r="CJ110" s="518" t="str">
        <f>IF(AND(_6="A-319",'2026'!$F$4="CA",'2026'!$F$2=CJ81),'2026DATA'!$C$31,"")</f>
        <v/>
      </c>
      <c r="CK110" s="518" t="str">
        <f>IF(AND(_6="A-319",'2026'!$F$4="CA",'2026'!$F$2=CK81),'2026DATA'!$D$31,"")</f>
        <v/>
      </c>
      <c r="CL110" s="518" t="str">
        <f>IF(AND(_6="A-319",'2026'!$F$4="CA",'2026'!$F$2=CL81),'2026DATA'!$E$31,"")</f>
        <v/>
      </c>
      <c r="CM110" s="518" t="str">
        <f>IF(AND(_6="A-319",'2026'!$F$4="CA",'2026'!$F$2=CM81),'2026DATA'!$F$31,"")</f>
        <v/>
      </c>
      <c r="CN110" s="518" t="str">
        <f>IF(AND(_6="A-319",'2026'!$F$4="CA",'2026'!$F$2=CN81),'2026DATA'!$G$31,"")</f>
        <v/>
      </c>
      <c r="CO110" s="518" t="str">
        <f>IF(AND(_6="A-319",'2026'!$F$4="CA",'2026'!$F$2=CO81),'2026DATA'!$H$31,"")</f>
        <v/>
      </c>
      <c r="CP110" s="518" t="str">
        <f>IF(AND(_6="A-319",'2026'!$F$4="CA",'2026'!$F$2=CP81),'2026DATA'!$I$31,"")</f>
        <v/>
      </c>
      <c r="CQ110" s="518" t="str">
        <f>IF(AND(_6="A-319",'2026'!$F$4="CA",'2026'!$F$2=CQ81),'2026DATA'!$J$31,"")</f>
        <v/>
      </c>
      <c r="CR110" s="518" t="str">
        <f>IF(AND(_6="A-319",'2026'!$F$4="CA",'2026'!$F$2=CR81),'2026DATA'!$K$31,"")</f>
        <v/>
      </c>
      <c r="CS110" s="518" t="str">
        <f>IF(AND(_6="A-319",'2026'!$F$4="CA",'2026'!$F$2=CS81),'2026DATA'!$L$31,"")</f>
        <v/>
      </c>
      <c r="CT110" s="518" t="str">
        <f>IF(AND(_6="A-319",'2026'!$F$4="CA",'2026'!$F$2=CT81),'2026DATA'!$M$31,"")</f>
        <v/>
      </c>
      <c r="CU110" s="520" t="str">
        <f>IF(AND(_6="A-319",'2026'!$F$4="CA",'2026'!$F$2=CU81),'2026DATA'!$N$31,"")</f>
        <v/>
      </c>
    </row>
    <row r="111" spans="16:99" x14ac:dyDescent="0.25">
      <c r="P111" s="940"/>
      <c r="Q111" s="13" t="s">
        <v>62</v>
      </c>
      <c r="R111" s="518" t="str">
        <f>IF(AND(_1="A-319",'2026'!$F$4="FO",'2026'!$F$2=R81),'2026DATA'!$C$32,"")</f>
        <v/>
      </c>
      <c r="S111" s="518" t="str">
        <f>IF(AND(_1="A-319",'2026'!$F$4="FO",'2026'!$F$2=S81),'2026DATA'!$D$32,"")</f>
        <v/>
      </c>
      <c r="T111" s="518" t="str">
        <f>IF(AND(_1="A-319",'2026'!$F$4="FO",'2026'!$F$2=T81),'2026DATA'!$E$32,"")</f>
        <v/>
      </c>
      <c r="U111" s="518" t="str">
        <f>IF(AND(_1="A-319",'2026'!$F$4="FO",'2026'!$F$2=U81),'2026DATA'!$F$32,"")</f>
        <v/>
      </c>
      <c r="V111" s="518" t="str">
        <f>IF(AND(_1="A-319",'2026'!$F$4="FO",'2026'!$F$2=V81),'2026DATA'!$G$32,"")</f>
        <v/>
      </c>
      <c r="W111" s="518" t="str">
        <f>IF(AND(_1="A-319",'2026'!$F$4="FO",'2026'!$F$2=W81),'2026DATA'!$H$32,"")</f>
        <v/>
      </c>
      <c r="X111" s="518" t="str">
        <f>IF(AND(_1="A-319",'2026'!$F$4="FO",'2026'!$F$2=X81),'2026DATA'!$I$32,"")</f>
        <v/>
      </c>
      <c r="Y111" s="518" t="str">
        <f>IF(AND(_1="A-319",'2026'!$F$4="FO",'2026'!$F$2=Y81),'2026DATA'!$J$32,"")</f>
        <v/>
      </c>
      <c r="Z111" s="518" t="str">
        <f>IF(AND(_1="A-319",'2026'!$F$4="FO",'2026'!$F$2=Z81),'2026DATA'!$K$32,"")</f>
        <v/>
      </c>
      <c r="AA111" s="518" t="str">
        <f>IF(AND(_1="A-319",'2026'!$F$4="FO",'2026'!$F$2=AA81),'2026DATA'!$L$32,"")</f>
        <v/>
      </c>
      <c r="AB111" s="518" t="str">
        <f>IF(AND(_1="A-319",'2026'!$F$4="FO",'2026'!$F$2=AB81),'2026DATA'!$M$32,"")</f>
        <v/>
      </c>
      <c r="AC111" s="520" t="str">
        <f>IF(AND(_1="A-319",'2026'!$F$4="FO",'2026'!$F$2=AC81),'2026DATA'!$N$32,"")</f>
        <v/>
      </c>
      <c r="AD111" s="940"/>
      <c r="AE111" s="13" t="s">
        <v>62</v>
      </c>
      <c r="AF111" s="518" t="str">
        <f>IF(AND(_2="A-319",'2026'!$F$4="FO",'2026'!$F$2=AF81),'2026DATA'!$C$32,"")</f>
        <v/>
      </c>
      <c r="AG111" s="518" t="str">
        <f>IF(AND(_2="A-319",'2026'!$F$4="FO",'2026'!$F$2=AG81),'2026DATA'!$D$32,"")</f>
        <v/>
      </c>
      <c r="AH111" s="518" t="str">
        <f>IF(AND(_2="A-319",'2026'!$F$4="FO",'2026'!$F$2=AH81),'2026DATA'!$E$32,"")</f>
        <v/>
      </c>
      <c r="AI111" s="518" t="str">
        <f>IF(AND(_2="A-319",'2026'!$F$4="FO",'2026'!$F$2=AI81),'2026DATA'!$F$32,"")</f>
        <v/>
      </c>
      <c r="AJ111" s="518" t="str">
        <f>IF(AND(_2="A-319",'2026'!$F$4="FO",'2026'!$F$2=AJ81),'2026DATA'!$G$32,"")</f>
        <v/>
      </c>
      <c r="AK111" s="518" t="str">
        <f>IF(AND(_2="A-319",'2026'!$F$4="FO",'2026'!$F$2=AK81),'2026DATA'!$H$32,"")</f>
        <v/>
      </c>
      <c r="AL111" s="518" t="str">
        <f>IF(AND(_2="A-319",'2026'!$F$4="FO",'2026'!$F$2=AL81),'2026DATA'!$I$32,"")</f>
        <v/>
      </c>
      <c r="AM111" s="518" t="str">
        <f>IF(AND(_2="A-319",'2026'!$F$4="FO",'2026'!$F$2=AM81),'2026DATA'!$J$32,"")</f>
        <v/>
      </c>
      <c r="AN111" s="518" t="str">
        <f>IF(AND(_2="A-319",'2026'!$F$4="FO",'2026'!$F$2=AN81),'2026DATA'!$K$32,"")</f>
        <v/>
      </c>
      <c r="AO111" s="518" t="str">
        <f>IF(AND(_2="A-319",'2026'!$F$4="FO",'2026'!$F$2=AO81),'2026DATA'!$L$32,"")</f>
        <v/>
      </c>
      <c r="AP111" s="518" t="str">
        <f>IF(AND(_2="A-319",'2026'!$F$4="FO",'2026'!$F$2=AP81),'2026DATA'!$M$32,"")</f>
        <v/>
      </c>
      <c r="AQ111" s="520" t="str">
        <f>IF(AND(_2="A-319",'2026'!$F$4="FO",'2026'!$F$2=AQ81),'2026DATA'!$N$32,"")</f>
        <v/>
      </c>
      <c r="AR111" s="940"/>
      <c r="AS111" s="13" t="s">
        <v>62</v>
      </c>
      <c r="AT111" s="518" t="str">
        <f>IF(AND(_3="A-319",'2026'!$F$4="FO",'2026'!$F$2=AT81),'2026DATA'!$C$32,"")</f>
        <v/>
      </c>
      <c r="AU111" s="518" t="str">
        <f>IF(AND(_3="A-319",'2026'!$F$4="FO",'2026'!$F$2=AU81),'2026DATA'!$D$32,"")</f>
        <v/>
      </c>
      <c r="AV111" s="518" t="str">
        <f>IF(AND(_3="A-319",'2026'!$F$4="FO",'2026'!$F$2=AV81),'2026DATA'!$E$32,"")</f>
        <v/>
      </c>
      <c r="AW111" s="518" t="str">
        <f>IF(AND(_3="A-319",'2026'!$F$4="FO",'2026'!$F$2=AW81),'2026DATA'!$F$32,"")</f>
        <v/>
      </c>
      <c r="AX111" s="518" t="str">
        <f>IF(AND(_3="A-319",'2026'!$F$4="FO",'2026'!$F$2=AX81),'2026DATA'!$G$32,"")</f>
        <v/>
      </c>
      <c r="AY111" s="518" t="str">
        <f>IF(AND(_3="A-319",'2026'!$F$4="FO",'2026'!$F$2=AY81),'2026DATA'!$H$32,"")</f>
        <v/>
      </c>
      <c r="AZ111" s="518" t="str">
        <f>IF(AND(_3="A-319",'2026'!$F$4="FO",'2026'!$F$2=AZ81),'2026DATA'!$I$32,"")</f>
        <v/>
      </c>
      <c r="BA111" s="518" t="str">
        <f>IF(AND(_3="A-319",'2026'!$F$4="FO",'2026'!$F$2=BA81),'2026DATA'!$J$32,"")</f>
        <v/>
      </c>
      <c r="BB111" s="518" t="str">
        <f>IF(AND(_3="A-319",'2026'!$F$4="FO",'2026'!$F$2=BB81),'2026DATA'!$K$32,"")</f>
        <v/>
      </c>
      <c r="BC111" s="518" t="str">
        <f>IF(AND(_3="A-319",'2026'!$F$4="FO",'2026'!$F$2=BC81),'2026DATA'!$L$32,"")</f>
        <v/>
      </c>
      <c r="BD111" s="518" t="str">
        <f>IF(AND(_3="A-319",'2026'!$F$4="FO",'2026'!$F$2=BD81),'2026DATA'!$M$32,"")</f>
        <v/>
      </c>
      <c r="BE111" s="520" t="str">
        <f>IF(AND(_3="A-319",'2026'!$F$4="FO",'2026'!$F$2=BE81),'2026DATA'!$N$32,"")</f>
        <v/>
      </c>
      <c r="BF111" s="940"/>
      <c r="BG111" s="13" t="s">
        <v>62</v>
      </c>
      <c r="BH111" s="518" t="str">
        <f>IF(AND(_4="A-319",'2026'!$F$4="FO",'2026'!$F$2=BH81),'2026DATA'!$C$32,"")</f>
        <v/>
      </c>
      <c r="BI111" s="518" t="str">
        <f>IF(AND(_4="A-319",'2026'!$F$4="FO",'2026'!$F$2=BI81),'2026DATA'!$D$32,"")</f>
        <v/>
      </c>
      <c r="BJ111" s="518" t="str">
        <f>IF(AND(_4="A-319",'2026'!$F$4="FO",'2026'!$F$2=BJ81),'2026DATA'!$E$32,"")</f>
        <v/>
      </c>
      <c r="BK111" s="518" t="str">
        <f>IF(AND(_4="A-319",'2026'!$F$4="FO",'2026'!$F$2=BK81),'2026DATA'!$F$32,"")</f>
        <v/>
      </c>
      <c r="BL111" s="518" t="str">
        <f>IF(AND(_4="A-319",'2026'!$F$4="FO",'2026'!$F$2=BL81),'2026DATA'!$G$32,"")</f>
        <v/>
      </c>
      <c r="BM111" s="518" t="str">
        <f>IF(AND(_4="A-319",'2026'!$F$4="FO",'2026'!$F$2=BM81),'2026DATA'!$H$32,"")</f>
        <v/>
      </c>
      <c r="BN111" s="518" t="str">
        <f>IF(AND(_4="A-319",'2026'!$F$4="FO",'2026'!$F$2=BN81),'2026DATA'!$I$32,"")</f>
        <v/>
      </c>
      <c r="BO111" s="518" t="str">
        <f>IF(AND(_4="A-319",'2026'!$F$4="FO",'2026'!$F$2=BO81),'2026DATA'!$J$32,"")</f>
        <v/>
      </c>
      <c r="BP111" s="518" t="str">
        <f>IF(AND(_4="A-319",'2026'!$F$4="FO",'2026'!$F$2=BP81),'2026DATA'!$K$32,"")</f>
        <v/>
      </c>
      <c r="BQ111" s="518" t="str">
        <f>IF(AND(_4="A-319",'2026'!$F$4="FO",'2026'!$F$2=BQ81),'2026DATA'!$L$32,"")</f>
        <v/>
      </c>
      <c r="BR111" s="518" t="str">
        <f>IF(AND(_4="A-319",'2026'!$F$4="FO",'2026'!$F$2=BR81),'2026DATA'!$M$32,"")</f>
        <v/>
      </c>
      <c r="BS111" s="520" t="str">
        <f>IF(AND(_4="A-319",'2026'!$F$4="FO",'2026'!$F$2=BS81),'2026DATA'!$N$32,"")</f>
        <v/>
      </c>
      <c r="BT111" s="940"/>
      <c r="BU111" s="13" t="s">
        <v>62</v>
      </c>
      <c r="BV111" s="518" t="str">
        <f>IF(AND(_5="A-319",'2026'!$F$4="FO",'2026'!$F$2=BV81),'2026DATA'!$C$32,"")</f>
        <v/>
      </c>
      <c r="BW111" s="518" t="str">
        <f>IF(AND(_5="A-319",'2026'!$F$4="FO",'2026'!$F$2=BW81),'2026DATA'!$D$32,"")</f>
        <v/>
      </c>
      <c r="BX111" s="518" t="str">
        <f>IF(AND(_5="A-319",'2026'!$F$4="FO",'2026'!$F$2=BX81),'2026DATA'!$E$32,"")</f>
        <v/>
      </c>
      <c r="BY111" s="518" t="str">
        <f>IF(AND(_5="A-319",'2026'!$F$4="FO",'2026'!$F$2=BY81),'2026DATA'!$F$32,"")</f>
        <v/>
      </c>
      <c r="BZ111" s="518" t="str">
        <f>IF(AND(_5="A-319",'2026'!$F$4="FO",'2026'!$F$2=BZ81),'2026DATA'!$G$32,"")</f>
        <v/>
      </c>
      <c r="CA111" s="518" t="str">
        <f>IF(AND(_5="A-319",'2026'!$F$4="FO",'2026'!$F$2=CA81),'2026DATA'!$H$32,"")</f>
        <v/>
      </c>
      <c r="CB111" s="518" t="str">
        <f>IF(AND(_5="A-319",'2026'!$F$4="FO",'2026'!$F$2=CB81),'2026DATA'!$I$32,"")</f>
        <v/>
      </c>
      <c r="CC111" s="518" t="str">
        <f>IF(AND(_5="A-319",'2026'!$F$4="FO",'2026'!$F$2=CC81),'2026DATA'!$J$32,"")</f>
        <v/>
      </c>
      <c r="CD111" s="518" t="str">
        <f>IF(AND(_5="A-319",'2026'!$F$4="FO",'2026'!$F$2=CD81),'2026DATA'!$K$32,"")</f>
        <v/>
      </c>
      <c r="CE111" s="518" t="str">
        <f>IF(AND(_5="A-319",'2026'!$F$4="FO",'2026'!$F$2=CE81),'2026DATA'!$L$32,"")</f>
        <v/>
      </c>
      <c r="CF111" s="518" t="str">
        <f>IF(AND(_5="A-319",'2026'!$F$4="FO",'2026'!$F$2=CF81),'2026DATA'!$M$32,"")</f>
        <v/>
      </c>
      <c r="CG111" s="520" t="str">
        <f>IF(AND(_5="A-319",'2026'!$F$4="FO",'2026'!$F$2=CG81),'2026DATA'!$N$32,"")</f>
        <v/>
      </c>
      <c r="CH111" s="940"/>
      <c r="CI111" s="13" t="s">
        <v>62</v>
      </c>
      <c r="CJ111" s="518" t="str">
        <f>IF(AND(_6="A-319",'2026'!$F$4="FO",'2026'!$F$2=CJ81),'2026DATA'!$C$32,"")</f>
        <v/>
      </c>
      <c r="CK111" s="518" t="str">
        <f>IF(AND(_6="A-319",'2026'!$F$4="FO",'2026'!$F$2=CK81),'2026DATA'!$D$32,"")</f>
        <v/>
      </c>
      <c r="CL111" s="518" t="str">
        <f>IF(AND(_6="A-319",'2026'!$F$4="FO",'2026'!$F$2=CL81),'2026DATA'!$E$32,"")</f>
        <v/>
      </c>
      <c r="CM111" s="518" t="str">
        <f>IF(AND(_6="A-319",'2026'!$F$4="FO",'2026'!$F$2=CM81),'2026DATA'!$F$32,"")</f>
        <v/>
      </c>
      <c r="CN111" s="518" t="str">
        <f>IF(AND(_6="A-319",'2026'!$F$4="FO",'2026'!$F$2=CN81),'2026DATA'!$G$32,"")</f>
        <v/>
      </c>
      <c r="CO111" s="518" t="str">
        <f>IF(AND(_6="A-319",'2026'!$F$4="FO",'2026'!$F$2=CO81),'2026DATA'!$H$32,"")</f>
        <v/>
      </c>
      <c r="CP111" s="518" t="str">
        <f>IF(AND(_6="A-319",'2026'!$F$4="FO",'2026'!$F$2=CP81),'2026DATA'!$I$32,"")</f>
        <v/>
      </c>
      <c r="CQ111" s="518" t="str">
        <f>IF(AND(_6="A-319",'2026'!$F$4="FO",'2026'!$F$2=CQ81),'2026DATA'!$J$32,"")</f>
        <v/>
      </c>
      <c r="CR111" s="518" t="str">
        <f>IF(AND(_6="A-319",'2026'!$F$4="FO",'2026'!$F$2=CR81),'2026DATA'!$K$32,"")</f>
        <v/>
      </c>
      <c r="CS111" s="518" t="str">
        <f>IF(AND(_6="A-319",'2026'!$F$4="FO",'2026'!$F$2=CS81),'2026DATA'!$L$32,"")</f>
        <v/>
      </c>
      <c r="CT111" s="518" t="str">
        <f>IF(AND(_6="A-319",'2026'!$F$4="FO",'2026'!$F$2=CT81),'2026DATA'!$M$32,"")</f>
        <v/>
      </c>
      <c r="CU111" s="520" t="str">
        <f>IF(AND(_6="A-319",'2026'!$F$4="FO",'2026'!$F$2=CU81),'2026DATA'!$N$32,"")</f>
        <v/>
      </c>
    </row>
    <row r="112" spans="16:99" x14ac:dyDescent="0.25">
      <c r="P112" s="940" t="s">
        <v>51</v>
      </c>
      <c r="Q112" s="13" t="s">
        <v>61</v>
      </c>
      <c r="R112" s="518" t="str">
        <f>IF(AND(_1="A-220-300",'2026'!$F$4="CA",'2026'!$F$2=R81),'2026DATA'!$C$33,"")</f>
        <v/>
      </c>
      <c r="S112" s="518" t="str">
        <f>IF(AND(_1="A-220-300",'2026'!$F$4="CA",'2026'!$F$2=S81),'2026DATA'!$D$33,"")</f>
        <v/>
      </c>
      <c r="T112" s="518" t="str">
        <f>IF(AND(_1="A-220-300",'2026'!$F$4="CA",'2026'!$F$2=T81),'2026DATA'!$E$33,"")</f>
        <v/>
      </c>
      <c r="U112" s="518" t="str">
        <f>IF(AND(_1="A-220-300",'2026'!$F$4="CA",'2026'!$F$2=U81),'2026DATA'!$F$33,"")</f>
        <v/>
      </c>
      <c r="V112" s="518" t="str">
        <f>IF(AND(_1="A-220-300",'2026'!$F$4="CA",'2026'!$F$2=V81),'2026DATA'!$G$33,"")</f>
        <v/>
      </c>
      <c r="W112" s="518" t="str">
        <f>IF(AND(_1="A-220-300",'2026'!$F$4="CA",'2026'!$F$2=W81),'2026DATA'!$H$33,"")</f>
        <v/>
      </c>
      <c r="X112" s="518" t="str">
        <f>IF(AND(_1="A-220-300",'2026'!$F$4="CA",'2026'!$F$2=X81),'2026DATA'!$I$33,"")</f>
        <v/>
      </c>
      <c r="Y112" s="518" t="str">
        <f>IF(AND(_1="A-220-300",'2026'!$F$4="CA",'2026'!$F$2=Y81),'2026DATA'!$J$33,"")</f>
        <v/>
      </c>
      <c r="Z112" s="518" t="str">
        <f>IF(AND(_1="A-220-300",'2026'!$F$4="CA",'2026'!$F$2=Z81),'2026DATA'!$K$33,"")</f>
        <v/>
      </c>
      <c r="AA112" s="518" t="str">
        <f>IF(AND(_1="A-220-300",'2026'!$F$4="CA",'2026'!$F$2=AA81),'2026DATA'!$L$33,"")</f>
        <v/>
      </c>
      <c r="AB112" s="518" t="str">
        <f>IF(AND(_1="A-220-300",'2026'!$F$4="CA",'2026'!$F$2=AB81),'2026DATA'!$M$33,"")</f>
        <v/>
      </c>
      <c r="AC112" s="520" t="str">
        <f>IF(AND(_1="A-220-300",'2026'!$F$4="CA",'2026'!$F$2=AC81),'2026DATA'!$N$33,"")</f>
        <v/>
      </c>
      <c r="AD112" s="940" t="s">
        <v>51</v>
      </c>
      <c r="AE112" s="13" t="s">
        <v>61</v>
      </c>
      <c r="AF112" s="518" t="str">
        <f>IF(AND(_2="A-220-300",'2026'!$F$4="CA",'2026'!$F$2=AF81),'2026DATA'!$C$33,"")</f>
        <v/>
      </c>
      <c r="AG112" s="518" t="str">
        <f>IF(AND(_2="A-220-300",'2026'!$F$4="CA",'2026'!$F$2=AG81),'2026DATA'!$D$33,"")</f>
        <v/>
      </c>
      <c r="AH112" s="518" t="str">
        <f>IF(AND(_2="A-220-300",'2026'!$F$4="CA",'2026'!$F$2=AH81),'2026DATA'!$E$33,"")</f>
        <v/>
      </c>
      <c r="AI112" s="518" t="str">
        <f>IF(AND(_2="A-220-300",'2026'!$F$4="CA",'2026'!$F$2=AI81),'2026DATA'!$F$33,"")</f>
        <v/>
      </c>
      <c r="AJ112" s="518" t="str">
        <f>IF(AND(_2="A-220-300",'2026'!$F$4="CA",'2026'!$F$2=AJ81),'2026DATA'!$G$33,"")</f>
        <v/>
      </c>
      <c r="AK112" s="518" t="str">
        <f>IF(AND(_2="A-220-300",'2026'!$F$4="CA",'2026'!$F$2=AK81),'2026DATA'!$H$33,"")</f>
        <v/>
      </c>
      <c r="AL112" s="518" t="str">
        <f>IF(AND(_2="A-220-300",'2026'!$F$4="CA",'2026'!$F$2=AL81),'2026DATA'!$I$33,"")</f>
        <v/>
      </c>
      <c r="AM112" s="518" t="str">
        <f>IF(AND(_2="A-220-300",'2026'!$F$4="CA",'2026'!$F$2=AM81),'2026DATA'!$J$33,"")</f>
        <v/>
      </c>
      <c r="AN112" s="518" t="str">
        <f>IF(AND(_2="A-220-300",'2026'!$F$4="CA",'2026'!$F$2=AN81),'2026DATA'!$K$33,"")</f>
        <v/>
      </c>
      <c r="AO112" s="518" t="str">
        <f>IF(AND(_2="A-220-300",'2026'!$F$4="CA",'2026'!$F$2=AO81),'2026DATA'!$L$33,"")</f>
        <v/>
      </c>
      <c r="AP112" s="518" t="str">
        <f>IF(AND(_2="A-220-300",'2026'!$F$4="CA",'2026'!$F$2=AP81),'2026DATA'!$M$33,"")</f>
        <v/>
      </c>
      <c r="AQ112" s="520" t="str">
        <f>IF(AND(_2="A-220-300",'2026'!$F$4="CA",'2026'!$F$2=AQ81),'2026DATA'!$N$33,"")</f>
        <v/>
      </c>
      <c r="AR112" s="940" t="s">
        <v>51</v>
      </c>
      <c r="AS112" s="13" t="s">
        <v>61</v>
      </c>
      <c r="AT112" s="518" t="str">
        <f>IF(AND(_3="A-220-300",'2026'!$F$4="CA",'2026'!$F$2=AT81),'2026DATA'!$C$33,"")</f>
        <v/>
      </c>
      <c r="AU112" s="518" t="str">
        <f>IF(AND(_3="A-220-300",'2026'!$F$4="CA",'2026'!$F$2=AU81),'2026DATA'!$D$33,"")</f>
        <v/>
      </c>
      <c r="AV112" s="518" t="str">
        <f>IF(AND(_3="A-220-300",'2026'!$F$4="CA",'2026'!$F$2=AV81),'2026DATA'!$E$33,"")</f>
        <v/>
      </c>
      <c r="AW112" s="518" t="str">
        <f>IF(AND(_3="A-220-300",'2026'!$F$4="CA",'2026'!$F$2=AW81),'2026DATA'!$F$33,"")</f>
        <v/>
      </c>
      <c r="AX112" s="518" t="str">
        <f>IF(AND(_3="A-220-300",'2026'!$F$4="CA",'2026'!$F$2=AX81),'2026DATA'!$G$33,"")</f>
        <v/>
      </c>
      <c r="AY112" s="518" t="str">
        <f>IF(AND(_3="A-220-300",'2026'!$F$4="CA",'2026'!$F$2=AY81),'2026DATA'!$H$33,"")</f>
        <v/>
      </c>
      <c r="AZ112" s="518" t="str">
        <f>IF(AND(_3="A-220-300",'2026'!$F$4="CA",'2026'!$F$2=AZ81),'2026DATA'!$I$33,"")</f>
        <v/>
      </c>
      <c r="BA112" s="518" t="str">
        <f>IF(AND(_3="A-220-300",'2026'!$F$4="CA",'2026'!$F$2=BA81),'2026DATA'!$J$33,"")</f>
        <v/>
      </c>
      <c r="BB112" s="518" t="str">
        <f>IF(AND(_3="A-220-300",'2026'!$F$4="CA",'2026'!$F$2=BB81),'2026DATA'!$K$33,"")</f>
        <v/>
      </c>
      <c r="BC112" s="518" t="str">
        <f>IF(AND(_3="A-220-300",'2026'!$F$4="CA",'2026'!$F$2=BC81),'2026DATA'!$L$33,"")</f>
        <v/>
      </c>
      <c r="BD112" s="518" t="str">
        <f>IF(AND(_3="A-220-300",'2026'!$F$4="CA",'2026'!$F$2=BD81),'2026DATA'!$M$33,"")</f>
        <v/>
      </c>
      <c r="BE112" s="520" t="str">
        <f>IF(AND(_3="A-220-300",'2026'!$F$4="CA",'2026'!$F$2=BE81),'2026DATA'!$N$33,"")</f>
        <v/>
      </c>
      <c r="BF112" s="940" t="s">
        <v>51</v>
      </c>
      <c r="BG112" s="13" t="s">
        <v>61</v>
      </c>
      <c r="BH112" s="518" t="str">
        <f>IF(AND(_4="A-220-300",'2026'!$F$4="CA",'2026'!$F$2=BH81),'2026DATA'!$C$33,"")</f>
        <v/>
      </c>
      <c r="BI112" s="518" t="str">
        <f>IF(AND(_4="A-220-300",'2026'!$F$4="CA",'2026'!$F$2=BI81),'2026DATA'!$D$33,"")</f>
        <v/>
      </c>
      <c r="BJ112" s="518" t="str">
        <f>IF(AND(_4="A-220-300",'2026'!$F$4="CA",'2026'!$F$2=BJ81),'2026DATA'!$E$33,"")</f>
        <v/>
      </c>
      <c r="BK112" s="518" t="str">
        <f>IF(AND(_4="A-220-300",'2026'!$F$4="CA",'2026'!$F$2=BK81),'2026DATA'!$F$33,"")</f>
        <v/>
      </c>
      <c r="BL112" s="518" t="str">
        <f>IF(AND(_4="A-220-300",'2026'!$F$4="CA",'2026'!$F$2=BL81),'2026DATA'!$G$33,"")</f>
        <v/>
      </c>
      <c r="BM112" s="518" t="str">
        <f>IF(AND(_4="A-220-300",'2026'!$F$4="CA",'2026'!$F$2=BM81),'2026DATA'!$H$33,"")</f>
        <v/>
      </c>
      <c r="BN112" s="518" t="str">
        <f>IF(AND(_4="A-220-300",'2026'!$F$4="CA",'2026'!$F$2=BN81),'2026DATA'!$I$33,"")</f>
        <v/>
      </c>
      <c r="BO112" s="518" t="str">
        <f>IF(AND(_4="A-220-300",'2026'!$F$4="CA",'2026'!$F$2=BO81),'2026DATA'!$J$33,"")</f>
        <v/>
      </c>
      <c r="BP112" s="518" t="str">
        <f>IF(AND(_4="A-220-300",'2026'!$F$4="CA",'2026'!$F$2=BP81),'2026DATA'!$K$33,"")</f>
        <v/>
      </c>
      <c r="BQ112" s="518" t="str">
        <f>IF(AND(_4="A-220-300",'2026'!$F$4="CA",'2026'!$F$2=BQ81),'2026DATA'!$L$33,"")</f>
        <v/>
      </c>
      <c r="BR112" s="518" t="str">
        <f>IF(AND(_4="A-220-300",'2026'!$F$4="CA",'2026'!$F$2=BR81),'2026DATA'!$M$33,"")</f>
        <v/>
      </c>
      <c r="BS112" s="520" t="str">
        <f>IF(AND(_4="A-220-300",'2026'!$F$4="CA",'2026'!$F$2=BS81),'2026DATA'!$N$33,"")</f>
        <v/>
      </c>
      <c r="BT112" s="940" t="s">
        <v>51</v>
      </c>
      <c r="BU112" s="13" t="s">
        <v>61</v>
      </c>
      <c r="BV112" s="518" t="str">
        <f>IF(AND(_5="A-220-300",'2026'!$F$4="CA",'2026'!$F$2=BV81),'2026DATA'!$C$33,"")</f>
        <v/>
      </c>
      <c r="BW112" s="518" t="str">
        <f>IF(AND(_5="A-220-300",'2026'!$F$4="CA",'2026'!$F$2=BW81),'2026DATA'!$D$33,"")</f>
        <v/>
      </c>
      <c r="BX112" s="518" t="str">
        <f>IF(AND(_5="A-220-300",'2026'!$F$4="CA",'2026'!$F$2=BX81),'2026DATA'!$E$33,"")</f>
        <v/>
      </c>
      <c r="BY112" s="518" t="str">
        <f>IF(AND(_5="A-220-300",'2026'!$F$4="CA",'2026'!$F$2=BY81),'2026DATA'!$F$33,"")</f>
        <v/>
      </c>
      <c r="BZ112" s="518" t="str">
        <f>IF(AND(_5="A-220-300",'2026'!$F$4="CA",'2026'!$F$2=BZ81),'2026DATA'!$G$33,"")</f>
        <v/>
      </c>
      <c r="CA112" s="518" t="str">
        <f>IF(AND(_5="A-220-300",'2026'!$F$4="CA",'2026'!$F$2=CA81),'2026DATA'!$H$33,"")</f>
        <v/>
      </c>
      <c r="CB112" s="518" t="str">
        <f>IF(AND(_5="A-220-300",'2026'!$F$4="CA",'2026'!$F$2=CB81),'2026DATA'!$I$33,"")</f>
        <v/>
      </c>
      <c r="CC112" s="518" t="str">
        <f>IF(AND(_5="A-220-300",'2026'!$F$4="CA",'2026'!$F$2=CC81),'2026DATA'!$J$33,"")</f>
        <v/>
      </c>
      <c r="CD112" s="518" t="str">
        <f>IF(AND(_5="A-220-300",'2026'!$F$4="CA",'2026'!$F$2=CD81),'2026DATA'!$K$33,"")</f>
        <v/>
      </c>
      <c r="CE112" s="518" t="str">
        <f>IF(AND(_5="A-220-300",'2026'!$F$4="CA",'2026'!$F$2=CE81),'2026DATA'!$L$33,"")</f>
        <v/>
      </c>
      <c r="CF112" s="518" t="str">
        <f>IF(AND(_5="A-220-300",'2026'!$F$4="CA",'2026'!$F$2=CF81),'2026DATA'!$M$33,"")</f>
        <v/>
      </c>
      <c r="CG112" s="520" t="str">
        <f>IF(AND(_5="A-220-300",'2026'!$F$4="CA",'2026'!$F$2=CG81),'2026DATA'!$N$33,"")</f>
        <v/>
      </c>
      <c r="CH112" s="940" t="s">
        <v>51</v>
      </c>
      <c r="CI112" s="13" t="s">
        <v>61</v>
      </c>
      <c r="CJ112" s="518" t="str">
        <f>IF(AND(_6="A-220-300",'2026'!$F$4="CA",'2026'!$F$2=CJ81),'2026DATA'!$C$33,"")</f>
        <v/>
      </c>
      <c r="CK112" s="518" t="str">
        <f>IF(AND(_6="A-220-300",'2026'!$F$4="CA",'2026'!$F$2=CK81),'2026DATA'!$D$33,"")</f>
        <v/>
      </c>
      <c r="CL112" s="518" t="str">
        <f>IF(AND(_6="A-220-300",'2026'!$F$4="CA",'2026'!$F$2=CL81),'2026DATA'!$E$33,"")</f>
        <v/>
      </c>
      <c r="CM112" s="518" t="str">
        <f>IF(AND(_6="A-220-300",'2026'!$F$4="CA",'2026'!$F$2=CM81),'2026DATA'!$F$33,"")</f>
        <v/>
      </c>
      <c r="CN112" s="518" t="str">
        <f>IF(AND(_6="A-220-300",'2026'!$F$4="CA",'2026'!$F$2=CN81),'2026DATA'!$G$33,"")</f>
        <v/>
      </c>
      <c r="CO112" s="518" t="str">
        <f>IF(AND(_6="A-220-300",'2026'!$F$4="CA",'2026'!$F$2=CO81),'2026DATA'!$H$33,"")</f>
        <v/>
      </c>
      <c r="CP112" s="518" t="str">
        <f>IF(AND(_6="A-220-300",'2026'!$F$4="CA",'2026'!$F$2=CP81),'2026DATA'!$I$33,"")</f>
        <v/>
      </c>
      <c r="CQ112" s="518" t="str">
        <f>IF(AND(_6="A-220-300",'2026'!$F$4="CA",'2026'!$F$2=CQ81),'2026DATA'!$J$33,"")</f>
        <v/>
      </c>
      <c r="CR112" s="518" t="str">
        <f>IF(AND(_6="A-220-300",'2026'!$F$4="CA",'2026'!$F$2=CR81),'2026DATA'!$K$33,"")</f>
        <v/>
      </c>
      <c r="CS112" s="518" t="str">
        <f>IF(AND(_6="A-220-300",'2026'!$F$4="CA",'2026'!$F$2=CS81),'2026DATA'!$L$33,"")</f>
        <v/>
      </c>
      <c r="CT112" s="518" t="str">
        <f>IF(AND(_6="A-220-300",'2026'!$F$4="CA",'2026'!$F$2=CT81),'2026DATA'!$M$33,"")</f>
        <v/>
      </c>
      <c r="CU112" s="520" t="str">
        <f>IF(AND(_6="A-220-300",'2026'!$F$4="CA",'2026'!$F$2=CU81),'2026DATA'!$N$33,"")</f>
        <v/>
      </c>
    </row>
    <row r="113" spans="16:99" x14ac:dyDescent="0.25">
      <c r="P113" s="940"/>
      <c r="Q113" s="13" t="s">
        <v>62</v>
      </c>
      <c r="R113" s="518" t="str">
        <f>IF(AND(_1="A-220-300",'2026'!$F$4="FO",'2026'!$F$2=R81),'2026DATA'!$C$34,"")</f>
        <v/>
      </c>
      <c r="S113" s="518" t="str">
        <f>IF(AND(_1="A-220-300",'2026'!$F$4="FO",'2026'!$F$2=S81),'2026DATA'!$D$34,"")</f>
        <v/>
      </c>
      <c r="T113" s="518" t="str">
        <f>IF(AND(_1="A-220-300",'2026'!$F$4="FO",'2026'!$F$2=T81),'2026DATA'!$E$34,"")</f>
        <v/>
      </c>
      <c r="U113" s="518" t="str">
        <f>IF(AND(_1="A-220-300",'2026'!$F$4="FO",'2026'!$F$2=U81),'2026DATA'!$F$34,"")</f>
        <v/>
      </c>
      <c r="V113" s="518" t="str">
        <f>IF(AND(_1="A-220-300",'2026'!$F$4="FO",'2026'!$F$2=V81),'2026DATA'!$G$34,"")</f>
        <v/>
      </c>
      <c r="W113" s="518" t="str">
        <f>IF(AND(_1="A-220-300",'2026'!$F$4="FO",'2026'!$F$2=W81),'2026DATA'!$H$34,"")</f>
        <v/>
      </c>
      <c r="X113" s="518" t="str">
        <f>IF(AND(_1="A-220-300",'2026'!$F$4="FO",'2026'!$F$2=X81),'2026DATA'!$I$34,"")</f>
        <v/>
      </c>
      <c r="Y113" s="518" t="str">
        <f>IF(AND(_1="A-220-300",'2026'!$F$4="FO",'2026'!$F$2=Y81),'2026DATA'!$J$34,"")</f>
        <v/>
      </c>
      <c r="Z113" s="518" t="str">
        <f>IF(AND(_1="A-220-300",'2026'!$F$4="FO",'2026'!$F$2=Z81),'2026DATA'!$K$34,"")</f>
        <v/>
      </c>
      <c r="AA113" s="518" t="str">
        <f>IF(AND(_1="A-220-300",'2026'!$F$4="FO",'2026'!$F$2=AA81),'2026DATA'!$L$34,"")</f>
        <v/>
      </c>
      <c r="AB113" s="518" t="str">
        <f>IF(AND(_1="A-220-300",'2026'!$F$4="FO",'2026'!$F$2=AB81),'2026DATA'!$M$34,"")</f>
        <v/>
      </c>
      <c r="AC113" s="520" t="str">
        <f>IF(AND(_1="A-220-300",'2026'!$F$4="FO",'2026'!$F$2=AC81),'2026DATA'!$N$34,"")</f>
        <v/>
      </c>
      <c r="AD113" s="940"/>
      <c r="AE113" s="13" t="s">
        <v>62</v>
      </c>
      <c r="AF113" s="518" t="str">
        <f>IF(AND(_2="A-220-300",'2026'!$F$4="FO",'2026'!$F$2=AF81),'2026DATA'!$C$34,"")</f>
        <v/>
      </c>
      <c r="AG113" s="518" t="str">
        <f>IF(AND(_2="A-220-300",'2026'!$F$4="FO",'2026'!$F$2=AG81),'2026DATA'!$D$34,"")</f>
        <v/>
      </c>
      <c r="AH113" s="518" t="str">
        <f>IF(AND(_2="A-220-300",'2026'!$F$4="FO",'2026'!$F$2=AH81),'2026DATA'!$E$34,"")</f>
        <v/>
      </c>
      <c r="AI113" s="518" t="str">
        <f>IF(AND(_2="A-220-300",'2026'!$F$4="FO",'2026'!$F$2=AI81),'2026DATA'!$F$34,"")</f>
        <v/>
      </c>
      <c r="AJ113" s="518" t="str">
        <f>IF(AND(_2="A-220-300",'2026'!$F$4="FO",'2026'!$F$2=AJ81),'2026DATA'!$G$34,"")</f>
        <v/>
      </c>
      <c r="AK113" s="518" t="str">
        <f>IF(AND(_2="A-220-300",'2026'!$F$4="FO",'2026'!$F$2=AK81),'2026DATA'!$H$34,"")</f>
        <v/>
      </c>
      <c r="AL113" s="518" t="str">
        <f>IF(AND(_2="A-220-300",'2026'!$F$4="FO",'2026'!$F$2=AL81),'2026DATA'!$I$34,"")</f>
        <v/>
      </c>
      <c r="AM113" s="518" t="str">
        <f>IF(AND(_2="A-220-300",'2026'!$F$4="FO",'2026'!$F$2=AM81),'2026DATA'!$J$34,"")</f>
        <v/>
      </c>
      <c r="AN113" s="518" t="str">
        <f>IF(AND(_2="A-220-300",'2026'!$F$4="FO",'2026'!$F$2=AN81),'2026DATA'!$K$34,"")</f>
        <v/>
      </c>
      <c r="AO113" s="518" t="str">
        <f>IF(AND(_2="A-220-300",'2026'!$F$4="FO",'2026'!$F$2=AO81),'2026DATA'!$L$34,"")</f>
        <v/>
      </c>
      <c r="AP113" s="518" t="str">
        <f>IF(AND(_2="A-220-300",'2026'!$F$4="FO",'2026'!$F$2=AP81),'2026DATA'!$M$34,"")</f>
        <v/>
      </c>
      <c r="AQ113" s="520" t="str">
        <f>IF(AND(_2="A-220-300",'2026'!$F$4="FO",'2026'!$F$2=AQ81),'2026DATA'!$N$34,"")</f>
        <v/>
      </c>
      <c r="AR113" s="940"/>
      <c r="AS113" s="13" t="s">
        <v>62</v>
      </c>
      <c r="AT113" s="518" t="str">
        <f>IF(AND(_3="A-220-300",'2026'!$F$4="FO",'2026'!$F$2=AT81),'2026DATA'!$C$34,"")</f>
        <v/>
      </c>
      <c r="AU113" s="518" t="str">
        <f>IF(AND(_3="A-220-300",'2026'!$F$4="FO",'2026'!$F$2=AU81),'2026DATA'!$D$34,"")</f>
        <v/>
      </c>
      <c r="AV113" s="518" t="str">
        <f>IF(AND(_3="A-220-300",'2026'!$F$4="FO",'2026'!$F$2=AV81),'2026DATA'!$E$34,"")</f>
        <v/>
      </c>
      <c r="AW113" s="518" t="str">
        <f>IF(AND(_3="A-220-300",'2026'!$F$4="FO",'2026'!$F$2=AW81),'2026DATA'!$F$34,"")</f>
        <v/>
      </c>
      <c r="AX113" s="518" t="str">
        <f>IF(AND(_3="A-220-300",'2026'!$F$4="FO",'2026'!$F$2=AX81),'2026DATA'!$G$34,"")</f>
        <v/>
      </c>
      <c r="AY113" s="518" t="str">
        <f>IF(AND(_3="A-220-300",'2026'!$F$4="FO",'2026'!$F$2=AY81),'2026DATA'!$H$34,"")</f>
        <v/>
      </c>
      <c r="AZ113" s="518" t="str">
        <f>IF(AND(_3="A-220-300",'2026'!$F$4="FO",'2026'!$F$2=AZ81),'2026DATA'!$I$34,"")</f>
        <v/>
      </c>
      <c r="BA113" s="518" t="str">
        <f>IF(AND(_3="A-220-300",'2026'!$F$4="FO",'2026'!$F$2=BA81),'2026DATA'!$J$34,"")</f>
        <v/>
      </c>
      <c r="BB113" s="518" t="str">
        <f>IF(AND(_3="A-220-300",'2026'!$F$4="FO",'2026'!$F$2=BB81),'2026DATA'!$K$34,"")</f>
        <v/>
      </c>
      <c r="BC113" s="518" t="str">
        <f>IF(AND(_3="A-220-300",'2026'!$F$4="FO",'2026'!$F$2=BC81),'2026DATA'!$L$34,"")</f>
        <v/>
      </c>
      <c r="BD113" s="518" t="str">
        <f>IF(AND(_3="A-220-300",'2026'!$F$4="FO",'2026'!$F$2=BD81),'2026DATA'!$M$34,"")</f>
        <v/>
      </c>
      <c r="BE113" s="520" t="str">
        <f>IF(AND(_3="A-220-300",'2026'!$F$4="FO",'2026'!$F$2=BE81),'2026DATA'!$N$34,"")</f>
        <v/>
      </c>
      <c r="BF113" s="940"/>
      <c r="BG113" s="13" t="s">
        <v>62</v>
      </c>
      <c r="BH113" s="518" t="str">
        <f>IF(AND(_4="A-220-300",'2026'!$F$4="FO",'2026'!$F$2=BH81),'2026DATA'!$C$34,"")</f>
        <v/>
      </c>
      <c r="BI113" s="518" t="str">
        <f>IF(AND(_4="A-220-300",'2026'!$F$4="FO",'2026'!$F$2=BI81),'2026DATA'!$D$34,"")</f>
        <v/>
      </c>
      <c r="BJ113" s="518" t="str">
        <f>IF(AND(_4="A-220-300",'2026'!$F$4="FO",'2026'!$F$2=BJ81),'2026DATA'!$E$34,"")</f>
        <v/>
      </c>
      <c r="BK113" s="518" t="str">
        <f>IF(AND(_4="A-220-300",'2026'!$F$4="FO",'2026'!$F$2=BK81),'2026DATA'!$F$34,"")</f>
        <v/>
      </c>
      <c r="BL113" s="518" t="str">
        <f>IF(AND(_4="A-220-300",'2026'!$F$4="FO",'2026'!$F$2=BL81),'2026DATA'!$G$34,"")</f>
        <v/>
      </c>
      <c r="BM113" s="518" t="str">
        <f>IF(AND(_4="A-220-300",'2026'!$F$4="FO",'2026'!$F$2=BM81),'2026DATA'!$H$34,"")</f>
        <v/>
      </c>
      <c r="BN113" s="518" t="str">
        <f>IF(AND(_4="A-220-300",'2026'!$F$4="FO",'2026'!$F$2=BN81),'2026DATA'!$I$34,"")</f>
        <v/>
      </c>
      <c r="BO113" s="518" t="str">
        <f>IF(AND(_4="A-220-300",'2026'!$F$4="FO",'2026'!$F$2=BO81),'2026DATA'!$J$34,"")</f>
        <v/>
      </c>
      <c r="BP113" s="518" t="str">
        <f>IF(AND(_4="A-220-300",'2026'!$F$4="FO",'2026'!$F$2=BP81),'2026DATA'!$K$34,"")</f>
        <v/>
      </c>
      <c r="BQ113" s="518" t="str">
        <f>IF(AND(_4="A-220-300",'2026'!$F$4="FO",'2026'!$F$2=BQ81),'2026DATA'!$L$34,"")</f>
        <v/>
      </c>
      <c r="BR113" s="518" t="str">
        <f>IF(AND(_4="A-220-300",'2026'!$F$4="FO",'2026'!$F$2=BR81),'2026DATA'!$M$34,"")</f>
        <v/>
      </c>
      <c r="BS113" s="520" t="str">
        <f>IF(AND(_4="A-220-300",'2026'!$F$4="FO",'2026'!$F$2=BS81),'2026DATA'!$N$34,"")</f>
        <v/>
      </c>
      <c r="BT113" s="940"/>
      <c r="BU113" s="13" t="s">
        <v>62</v>
      </c>
      <c r="BV113" s="518" t="str">
        <f>IF(AND(_5="A-220-300",'2026'!$F$4="FO",'2026'!$F$2=BV81),'2026DATA'!$C$34,"")</f>
        <v/>
      </c>
      <c r="BW113" s="518" t="str">
        <f>IF(AND(_5="A-220-300",'2026'!$F$4="FO",'2026'!$F$2=BW81),'2026DATA'!$D$34,"")</f>
        <v/>
      </c>
      <c r="BX113" s="518" t="str">
        <f>IF(AND(_5="A-220-300",'2026'!$F$4="FO",'2026'!$F$2=BX81),'2026DATA'!$E$34,"")</f>
        <v/>
      </c>
      <c r="BY113" s="518" t="str">
        <f>IF(AND(_5="A-220-300",'2026'!$F$4="FO",'2026'!$F$2=BY81),'2026DATA'!$F$34,"")</f>
        <v/>
      </c>
      <c r="BZ113" s="518" t="str">
        <f>IF(AND(_5="A-220-300",'2026'!$F$4="FO",'2026'!$F$2=BZ81),'2026DATA'!$G$34,"")</f>
        <v/>
      </c>
      <c r="CA113" s="518" t="str">
        <f>IF(AND(_5="A-220-300",'2026'!$F$4="FO",'2026'!$F$2=CA81),'2026DATA'!$H$34,"")</f>
        <v/>
      </c>
      <c r="CB113" s="518" t="str">
        <f>IF(AND(_5="A-220-300",'2026'!$F$4="FO",'2026'!$F$2=CB81),'2026DATA'!$I$34,"")</f>
        <v/>
      </c>
      <c r="CC113" s="518" t="str">
        <f>IF(AND(_5="A-220-300",'2026'!$F$4="FO",'2026'!$F$2=CC81),'2026DATA'!$J$34,"")</f>
        <v/>
      </c>
      <c r="CD113" s="518" t="str">
        <f>IF(AND(_5="A-220-300",'2026'!$F$4="FO",'2026'!$F$2=CD81),'2026DATA'!$K$34,"")</f>
        <v/>
      </c>
      <c r="CE113" s="518" t="str">
        <f>IF(AND(_5="A-220-300",'2026'!$F$4="FO",'2026'!$F$2=CE81),'2026DATA'!$L$34,"")</f>
        <v/>
      </c>
      <c r="CF113" s="518" t="str">
        <f>IF(AND(_5="A-220-300",'2026'!$F$4="FO",'2026'!$F$2=CF81),'2026DATA'!$M$34,"")</f>
        <v/>
      </c>
      <c r="CG113" s="520" t="str">
        <f>IF(AND(_5="A-220-300",'2026'!$F$4="FO",'2026'!$F$2=CG81),'2026DATA'!$N$34,"")</f>
        <v/>
      </c>
      <c r="CH113" s="940"/>
      <c r="CI113" s="13" t="s">
        <v>62</v>
      </c>
      <c r="CJ113" s="518" t="str">
        <f>IF(AND(_6="A-220-300",'2026'!$F$4="FO",'2026'!$F$2=CJ81),'2026DATA'!$C$34,"")</f>
        <v/>
      </c>
      <c r="CK113" s="518" t="str">
        <f>IF(AND(_6="A-220-300",'2026'!$F$4="FO",'2026'!$F$2=CK81),'2026DATA'!$D$34,"")</f>
        <v/>
      </c>
      <c r="CL113" s="518" t="str">
        <f>IF(AND(_6="A-220-300",'2026'!$F$4="FO",'2026'!$F$2=CL81),'2026DATA'!$E$34,"")</f>
        <v/>
      </c>
      <c r="CM113" s="518" t="str">
        <f>IF(AND(_6="A-220-300",'2026'!$F$4="FO",'2026'!$F$2=CM81),'2026DATA'!$F$34,"")</f>
        <v/>
      </c>
      <c r="CN113" s="518" t="str">
        <f>IF(AND(_6="A-220-300",'2026'!$F$4="FO",'2026'!$F$2=CN81),'2026DATA'!$G$34,"")</f>
        <v/>
      </c>
      <c r="CO113" s="518" t="str">
        <f>IF(AND(_6="A-220-300",'2026'!$F$4="FO",'2026'!$F$2=CO81),'2026DATA'!$H$34,"")</f>
        <v/>
      </c>
      <c r="CP113" s="518" t="str">
        <f>IF(AND(_6="A-220-300",'2026'!$F$4="FO",'2026'!$F$2=CP81),'2026DATA'!$I$34,"")</f>
        <v/>
      </c>
      <c r="CQ113" s="518" t="str">
        <f>IF(AND(_6="A-220-300",'2026'!$F$4="FO",'2026'!$F$2=CQ81),'2026DATA'!$J$34,"")</f>
        <v/>
      </c>
      <c r="CR113" s="518" t="str">
        <f>IF(AND(_6="A-220-300",'2026'!$F$4="FO",'2026'!$F$2=CR81),'2026DATA'!$K$34,"")</f>
        <v/>
      </c>
      <c r="CS113" s="518" t="str">
        <f>IF(AND(_6="A-220-300",'2026'!$F$4="FO",'2026'!$F$2=CS81),'2026DATA'!$L$34,"")</f>
        <v/>
      </c>
      <c r="CT113" s="518" t="str">
        <f>IF(AND(_6="A-220-300",'2026'!$F$4="FO",'2026'!$F$2=CT81),'2026DATA'!$M$34,"")</f>
        <v/>
      </c>
      <c r="CU113" s="520" t="str">
        <f>IF(AND(_6="A-220-300",'2026'!$F$4="FO",'2026'!$F$2=CU81),'2026DATA'!$N$34,"")</f>
        <v/>
      </c>
    </row>
    <row r="114" spans="16:99" x14ac:dyDescent="0.25">
      <c r="P114" s="940" t="s">
        <v>52</v>
      </c>
      <c r="Q114" s="13" t="s">
        <v>61</v>
      </c>
      <c r="R114" s="518" t="str">
        <f>IF(AND(_1="A-220-100",'2026'!$F$4="CA",'2026'!$F$2=R81),'2026DATA'!$C$35,"")</f>
        <v/>
      </c>
      <c r="S114" s="518" t="str">
        <f>IF(AND(_1="A-220-100",'2026'!$F$4="CA",'2026'!$F$2=S81),'2026DATA'!$D$35,"")</f>
        <v/>
      </c>
      <c r="T114" s="518" t="str">
        <f>IF(AND(_1="A-220-100",'2026'!$F$4="CA",'2026'!$F$2=T81),'2026DATA'!$E$35,"")</f>
        <v/>
      </c>
      <c r="U114" s="518" t="str">
        <f>IF(AND(_1="A-220-100",'2026'!$F$4="CA",'2026'!$F$2=U81),'2026DATA'!$F$35,"")</f>
        <v/>
      </c>
      <c r="V114" s="518" t="str">
        <f>IF(AND(_1="A-220-100",'2026'!$F$4="CA",'2026'!$F$2=V81),'2026DATA'!$G$35,"")</f>
        <v/>
      </c>
      <c r="W114" s="518" t="str">
        <f>IF(AND(_1="A-220-100",'2026'!$F$4="CA",'2026'!$F$2=W81),'2026DATA'!$H$35,"")</f>
        <v/>
      </c>
      <c r="X114" s="518" t="str">
        <f>IF(AND(_1="A-220-100",'2026'!$F$4="CA",'2026'!$F$2=X81),'2026DATA'!$I$35,"")</f>
        <v/>
      </c>
      <c r="Y114" s="518" t="str">
        <f>IF(AND(_1="A-220-100",'2026'!$F$4="CA",'2026'!$F$2=Y81),'2026DATA'!$J$35,"")</f>
        <v/>
      </c>
      <c r="Z114" s="518" t="str">
        <f>IF(AND(_1="A-220-100",'2026'!$F$4="CA",'2026'!$F$2=Z81),'2026DATA'!$K$35,"")</f>
        <v/>
      </c>
      <c r="AA114" s="518" t="str">
        <f>IF(AND(_1="A-220-100",'2026'!$F$4="CA",'2026'!$F$2=AA81),'2026DATA'!$L$35,"")</f>
        <v/>
      </c>
      <c r="AB114" s="518" t="str">
        <f>IF(AND(_1="A-220-100",'2026'!$F$4="CA",'2026'!$F$2=AB81),'2026DATA'!$M$35,"")</f>
        <v/>
      </c>
      <c r="AC114" s="520" t="str">
        <f>IF(AND(_1="A-220-100",'2026'!$F$4="CA",'2026'!$F$2=AC81),'2026DATA'!$N$35,"")</f>
        <v/>
      </c>
      <c r="AD114" s="940" t="s">
        <v>52</v>
      </c>
      <c r="AE114" s="13" t="s">
        <v>61</v>
      </c>
      <c r="AF114" s="518" t="str">
        <f>IF(AND(_2="A-220-100",'2026'!$F$4="CA",'2026'!$F$2=AF81),'2026DATA'!$C$35,"")</f>
        <v/>
      </c>
      <c r="AG114" s="518" t="str">
        <f>IF(AND(_2="A-220-100",'2026'!$F$4="CA",'2026'!$F$2=AG81),'2026DATA'!$D$35,"")</f>
        <v/>
      </c>
      <c r="AH114" s="518" t="str">
        <f>IF(AND(_2="A-220-100",'2026'!$F$4="CA",'2026'!$F$2=AH81),'2026DATA'!$E$35,"")</f>
        <v/>
      </c>
      <c r="AI114" s="518" t="str">
        <f>IF(AND(_2="A-220-100",'2026'!$F$4="CA",'2026'!$F$2=AI81),'2026DATA'!$F$35,"")</f>
        <v/>
      </c>
      <c r="AJ114" s="518" t="str">
        <f>IF(AND(_2="A-220-100",'2026'!$F$4="CA",'2026'!$F$2=AJ81),'2026DATA'!$G$35,"")</f>
        <v/>
      </c>
      <c r="AK114" s="518" t="str">
        <f>IF(AND(_2="A-220-100",'2026'!$F$4="CA",'2026'!$F$2=AK81),'2026DATA'!$H$35,"")</f>
        <v/>
      </c>
      <c r="AL114" s="518" t="str">
        <f>IF(AND(_2="A-220-100",'2026'!$F$4="CA",'2026'!$F$2=AL81),'2026DATA'!$I$35,"")</f>
        <v/>
      </c>
      <c r="AM114" s="518" t="str">
        <f>IF(AND(_2="A-220-100",'2026'!$F$4="CA",'2026'!$F$2=AM81),'2026DATA'!$J$35,"")</f>
        <v/>
      </c>
      <c r="AN114" s="518" t="str">
        <f>IF(AND(_2="A-220-100",'2026'!$F$4="CA",'2026'!$F$2=AN81),'2026DATA'!$K$35,"")</f>
        <v/>
      </c>
      <c r="AO114" s="518" t="str">
        <f>IF(AND(_2="A-220-100",'2026'!$F$4="CA",'2026'!$F$2=AO81),'2026DATA'!$L$35,"")</f>
        <v/>
      </c>
      <c r="AP114" s="518" t="str">
        <f>IF(AND(_2="A-220-100",'2026'!$F$4="CA",'2026'!$F$2=AP81),'2026DATA'!$M$35,"")</f>
        <v/>
      </c>
      <c r="AQ114" s="520" t="str">
        <f>IF(AND(_2="A-220-100",'2026'!$F$4="CA",'2026'!$F$2=AQ81),'2026DATA'!$N$35,"")</f>
        <v/>
      </c>
      <c r="AR114" s="940" t="s">
        <v>52</v>
      </c>
      <c r="AS114" s="13" t="s">
        <v>61</v>
      </c>
      <c r="AT114" s="518" t="str">
        <f>IF(AND(_3="A-220-100",'2026'!$F$4="CA",'2026'!$F$2=AT81),'2026DATA'!$C$35,"")</f>
        <v/>
      </c>
      <c r="AU114" s="518" t="str">
        <f>IF(AND(_3="A-220-100",'2026'!$F$4="CA",'2026'!$F$2=AU81),'2026DATA'!$D$35,"")</f>
        <v/>
      </c>
      <c r="AV114" s="518" t="str">
        <f>IF(AND(_3="A-220-100",'2026'!$F$4="CA",'2026'!$F$2=AV81),'2026DATA'!$E$35,"")</f>
        <v/>
      </c>
      <c r="AW114" s="518" t="str">
        <f>IF(AND(_3="A-220-100",'2026'!$F$4="CA",'2026'!$F$2=AW81),'2026DATA'!$F$35,"")</f>
        <v/>
      </c>
      <c r="AX114" s="518" t="str">
        <f>IF(AND(_3="A-220-100",'2026'!$F$4="CA",'2026'!$F$2=AX81),'2026DATA'!$G$35,"")</f>
        <v/>
      </c>
      <c r="AY114" s="518" t="str">
        <f>IF(AND(_3="A-220-100",'2026'!$F$4="CA",'2026'!$F$2=AY81),'2026DATA'!$H$35,"")</f>
        <v/>
      </c>
      <c r="AZ114" s="518" t="str">
        <f>IF(AND(_3="A-220-100",'2026'!$F$4="CA",'2026'!$F$2=AZ81),'2026DATA'!$I$35,"")</f>
        <v/>
      </c>
      <c r="BA114" s="518" t="str">
        <f>IF(AND(_3="A-220-100",'2026'!$F$4="CA",'2026'!$F$2=BA81),'2026DATA'!$J$35,"")</f>
        <v/>
      </c>
      <c r="BB114" s="518" t="str">
        <f>IF(AND(_3="A-220-100",'2026'!$F$4="CA",'2026'!$F$2=BB81),'2026DATA'!$K$35,"")</f>
        <v/>
      </c>
      <c r="BC114" s="518" t="str">
        <f>IF(AND(_3="A-220-100",'2026'!$F$4="CA",'2026'!$F$2=BC81),'2026DATA'!$L$35,"")</f>
        <v/>
      </c>
      <c r="BD114" s="518" t="str">
        <f>IF(AND(_3="A-220-100",'2026'!$F$4="CA",'2026'!$F$2=BD81),'2026DATA'!$M$35,"")</f>
        <v/>
      </c>
      <c r="BE114" s="520" t="str">
        <f>IF(AND(_3="A-220-100",'2026'!$F$4="CA",'2026'!$F$2=BE81),'2026DATA'!$N$35,"")</f>
        <v/>
      </c>
      <c r="BF114" s="940" t="s">
        <v>52</v>
      </c>
      <c r="BG114" s="13" t="s">
        <v>61</v>
      </c>
      <c r="BH114" s="518" t="str">
        <f>IF(AND(_4="A-220-100",'2026'!$F$4="CA",'2026'!$F$2=BH81),'2026DATA'!$C$35,"")</f>
        <v/>
      </c>
      <c r="BI114" s="518" t="str">
        <f>IF(AND(_4="A-220-100",'2026'!$F$4="CA",'2026'!$F$2=BI81),'2026DATA'!$D$35,"")</f>
        <v/>
      </c>
      <c r="BJ114" s="518" t="str">
        <f>IF(AND(_4="A-220-100",'2026'!$F$4="CA",'2026'!$F$2=BJ81),'2026DATA'!$E$35,"")</f>
        <v/>
      </c>
      <c r="BK114" s="518" t="str">
        <f>IF(AND(_4="A-220-100",'2026'!$F$4="CA",'2026'!$F$2=BK81),'2026DATA'!$F$35,"")</f>
        <v/>
      </c>
      <c r="BL114" s="518" t="str">
        <f>IF(AND(_4="A-220-100",'2026'!$F$4="CA",'2026'!$F$2=BL81),'2026DATA'!$G$35,"")</f>
        <v/>
      </c>
      <c r="BM114" s="518" t="str">
        <f>IF(AND(_4="A-220-100",'2026'!$F$4="CA",'2026'!$F$2=BM81),'2026DATA'!$H$35,"")</f>
        <v/>
      </c>
      <c r="BN114" s="518" t="str">
        <f>IF(AND(_4="A-220-100",'2026'!$F$4="CA",'2026'!$F$2=BN81),'2026DATA'!$I$35,"")</f>
        <v/>
      </c>
      <c r="BO114" s="518" t="str">
        <f>IF(AND(_4="A-220-100",'2026'!$F$4="CA",'2026'!$F$2=BO81),'2026DATA'!$J$35,"")</f>
        <v/>
      </c>
      <c r="BP114" s="518" t="str">
        <f>IF(AND(_4="A-220-100",'2026'!$F$4="CA",'2026'!$F$2=BP81),'2026DATA'!$K$35,"")</f>
        <v/>
      </c>
      <c r="BQ114" s="518" t="str">
        <f>IF(AND(_4="A-220-100",'2026'!$F$4="CA",'2026'!$F$2=BQ81),'2026DATA'!$L$35,"")</f>
        <v/>
      </c>
      <c r="BR114" s="518" t="str">
        <f>IF(AND(_4="A-220-100",'2026'!$F$4="CA",'2026'!$F$2=BR81),'2026DATA'!$M$35,"")</f>
        <v/>
      </c>
      <c r="BS114" s="520" t="str">
        <f>IF(AND(_4="A-220-100",'2026'!$F$4="CA",'2026'!$F$2=BS81),'2026DATA'!$N$35,"")</f>
        <v/>
      </c>
      <c r="BT114" s="940" t="s">
        <v>52</v>
      </c>
      <c r="BU114" s="13" t="s">
        <v>61</v>
      </c>
      <c r="BV114" s="518" t="str">
        <f>IF(AND(_5="A-220-100",'2026'!$F$4="CA",'2026'!$F$2=BV81),'2026DATA'!$C$35,"")</f>
        <v/>
      </c>
      <c r="BW114" s="518" t="str">
        <f>IF(AND(_5="A-220-100",'2026'!$F$4="CA",'2026'!$F$2=BW81),'2026DATA'!$D$35,"")</f>
        <v/>
      </c>
      <c r="BX114" s="518" t="str">
        <f>IF(AND(_5="A-220-100",'2026'!$F$4="CA",'2026'!$F$2=BX81),'2026DATA'!$E$35,"")</f>
        <v/>
      </c>
      <c r="BY114" s="518" t="str">
        <f>IF(AND(_5="A-220-100",'2026'!$F$4="CA",'2026'!$F$2=BY81),'2026DATA'!$F$35,"")</f>
        <v/>
      </c>
      <c r="BZ114" s="518" t="str">
        <f>IF(AND(_5="A-220-100",'2026'!$F$4="CA",'2026'!$F$2=BZ81),'2026DATA'!$G$35,"")</f>
        <v/>
      </c>
      <c r="CA114" s="518" t="str">
        <f>IF(AND(_5="A-220-100",'2026'!$F$4="CA",'2026'!$F$2=CA81),'2026DATA'!$H$35,"")</f>
        <v/>
      </c>
      <c r="CB114" s="518" t="str">
        <f>IF(AND(_5="A-220-100",'2026'!$F$4="CA",'2026'!$F$2=CB81),'2026DATA'!$I$35,"")</f>
        <v/>
      </c>
      <c r="CC114" s="518" t="str">
        <f>IF(AND(_5="A-220-100",'2026'!$F$4="CA",'2026'!$F$2=CC81),'2026DATA'!$J$35,"")</f>
        <v/>
      </c>
      <c r="CD114" s="518" t="str">
        <f>IF(AND(_5="A-220-100",'2026'!$F$4="CA",'2026'!$F$2=CD81),'2026DATA'!$K$35,"")</f>
        <v/>
      </c>
      <c r="CE114" s="518" t="str">
        <f>IF(AND(_5="A-220-100",'2026'!$F$4="CA",'2026'!$F$2=CE81),'2026DATA'!$L$35,"")</f>
        <v/>
      </c>
      <c r="CF114" s="518" t="str">
        <f>IF(AND(_5="A-220-100",'2026'!$F$4="CA",'2026'!$F$2=CF81),'2026DATA'!$M$35,"")</f>
        <v/>
      </c>
      <c r="CG114" s="520" t="str">
        <f>IF(AND(_5="A-220-100",'2026'!$F$4="CA",'2026'!$F$2=CG81),'2026DATA'!$N$35,"")</f>
        <v/>
      </c>
      <c r="CH114" s="940" t="s">
        <v>52</v>
      </c>
      <c r="CI114" s="13" t="s">
        <v>61</v>
      </c>
      <c r="CJ114" s="518" t="str">
        <f>IF(AND(_6="A-220-100",'2026'!$F$4="CA",'2026'!$F$2=CJ81),'2026DATA'!$C$35,"")</f>
        <v/>
      </c>
      <c r="CK114" s="518" t="str">
        <f>IF(AND(_6="A-220-100",'2026'!$F$4="CA",'2026'!$F$2=CK81),'2026DATA'!$D$35,"")</f>
        <v/>
      </c>
      <c r="CL114" s="518" t="str">
        <f>IF(AND(_6="A-220-100",'2026'!$F$4="CA",'2026'!$F$2=CL81),'2026DATA'!$E$35,"")</f>
        <v/>
      </c>
      <c r="CM114" s="518" t="str">
        <f>IF(AND(_6="A-220-100",'2026'!$F$4="CA",'2026'!$F$2=CM81),'2026DATA'!$F$35,"")</f>
        <v/>
      </c>
      <c r="CN114" s="518" t="str">
        <f>IF(AND(_6="A-220-100",'2026'!$F$4="CA",'2026'!$F$2=CN81),'2026DATA'!$G$35,"")</f>
        <v/>
      </c>
      <c r="CO114" s="518" t="str">
        <f>IF(AND(_6="A-220-100",'2026'!$F$4="CA",'2026'!$F$2=CO81),'2026DATA'!$H$35,"")</f>
        <v/>
      </c>
      <c r="CP114" s="518" t="str">
        <f>IF(AND(_6="A-220-100",'2026'!$F$4="CA",'2026'!$F$2=CP81),'2026DATA'!$I$35,"")</f>
        <v/>
      </c>
      <c r="CQ114" s="518" t="str">
        <f>IF(AND(_6="A-220-100",'2026'!$F$4="CA",'2026'!$F$2=CQ81),'2026DATA'!$J$35,"")</f>
        <v/>
      </c>
      <c r="CR114" s="518" t="str">
        <f>IF(AND(_6="A-220-100",'2026'!$F$4="CA",'2026'!$F$2=CR81),'2026DATA'!$K$35,"")</f>
        <v/>
      </c>
      <c r="CS114" s="518" t="str">
        <f>IF(AND(_6="A-220-100",'2026'!$F$4="CA",'2026'!$F$2=CS81),'2026DATA'!$L$35,"")</f>
        <v/>
      </c>
      <c r="CT114" s="518" t="str">
        <f>IF(AND(_6="A-220-100",'2026'!$F$4="CA",'2026'!$F$2=CT81),'2026DATA'!$M$35,"")</f>
        <v/>
      </c>
      <c r="CU114" s="520" t="str">
        <f>IF(AND(_6="A-220-100",'2026'!$F$4="CA",'2026'!$F$2=CU81),'2026DATA'!$N$35,"")</f>
        <v/>
      </c>
    </row>
    <row r="115" spans="16:99" x14ac:dyDescent="0.25">
      <c r="P115" s="940"/>
      <c r="Q115" s="13" t="s">
        <v>62</v>
      </c>
      <c r="R115" s="518" t="str">
        <f>IF(AND(_1="A-220-100",'2026'!$F$4="FO",'2026'!$F$2=R81),'2026DATA'!$C$36,"")</f>
        <v/>
      </c>
      <c r="S115" s="518" t="str">
        <f>IF(AND(_1="A-220-100",'2026'!$F$4="FO",'2026'!$F$2=S81),'2026DATA'!$D$36,"")</f>
        <v/>
      </c>
      <c r="T115" s="518" t="str">
        <f>IF(AND(_1="A-220-100",'2026'!$F$4="FO",'2026'!$F$2=T81),'2026DATA'!$E$36,"")</f>
        <v/>
      </c>
      <c r="U115" s="518" t="str">
        <f>IF(AND(_1="A-220-100",'2026'!$F$4="FO",'2026'!$F$2=U81),'2026DATA'!$F$36,"")</f>
        <v/>
      </c>
      <c r="V115" s="518" t="str">
        <f>IF(AND(_1="A-220-100",'2026'!$F$4="FO",'2026'!$F$2=V81),'2026DATA'!$G$36,"")</f>
        <v/>
      </c>
      <c r="W115" s="518" t="str">
        <f>IF(AND(_1="A-220-100",'2026'!$F$4="FO",'2026'!$F$2=W81),'2026DATA'!$H$36,"")</f>
        <v/>
      </c>
      <c r="X115" s="518" t="str">
        <f>IF(AND(_1="A-220-100",'2026'!$F$4="FO",'2026'!$F$2=X81),'2026DATA'!$I$36,"")</f>
        <v/>
      </c>
      <c r="Y115" s="518" t="str">
        <f>IF(AND(_1="A-220-100",'2026'!$F$4="FO",'2026'!$F$2=Y81),'2026DATA'!$J$36,"")</f>
        <v/>
      </c>
      <c r="Z115" s="518" t="str">
        <f>IF(AND(_1="A-220-100",'2026'!$F$4="FO",'2026'!$F$2=Z81),'2026DATA'!$K$36,"")</f>
        <v/>
      </c>
      <c r="AA115" s="518" t="str">
        <f>IF(AND(_1="A-220-100",'2026'!$F$4="FO",'2026'!$F$2=AA81),'2026DATA'!$L$36,"")</f>
        <v/>
      </c>
      <c r="AB115" s="518" t="str">
        <f>IF(AND(_1="A-220-100",'2026'!$F$4="FO",'2026'!$F$2=AB81),'2026DATA'!$M$36,"")</f>
        <v/>
      </c>
      <c r="AC115" s="520" t="str">
        <f>IF(AND(_1="A-220-100",'2026'!$F$4="FO",'2026'!$F$2=AC81),'2026DATA'!$N$36,"")</f>
        <v/>
      </c>
      <c r="AD115" s="940"/>
      <c r="AE115" s="13" t="s">
        <v>62</v>
      </c>
      <c r="AF115" s="518" t="str">
        <f>IF(AND(_2="A-220-100",'2026'!$F$4="FO",'2026'!$F$2=AF81),'2026DATA'!$C$36,"")</f>
        <v/>
      </c>
      <c r="AG115" s="518" t="str">
        <f>IF(AND(_2="A-220-100",'2026'!$F$4="FO",'2026'!$F$2=AG81),'2026DATA'!$D$36,"")</f>
        <v/>
      </c>
      <c r="AH115" s="518" t="str">
        <f>IF(AND(_2="A-220-100",'2026'!$F$4="FO",'2026'!$F$2=AH81),'2026DATA'!$E$36,"")</f>
        <v/>
      </c>
      <c r="AI115" s="518" t="str">
        <f>IF(AND(_2="A-220-100",'2026'!$F$4="FO",'2026'!$F$2=AI81),'2026DATA'!$F$36,"")</f>
        <v/>
      </c>
      <c r="AJ115" s="518" t="str">
        <f>IF(AND(_2="A-220-100",'2026'!$F$4="FO",'2026'!$F$2=AJ81),'2026DATA'!$G$36,"")</f>
        <v/>
      </c>
      <c r="AK115" s="518" t="str">
        <f>IF(AND(_2="A-220-100",'2026'!$F$4="FO",'2026'!$F$2=AK81),'2026DATA'!$H$36,"")</f>
        <v/>
      </c>
      <c r="AL115" s="518" t="str">
        <f>IF(AND(_2="A-220-100",'2026'!$F$4="FO",'2026'!$F$2=AL81),'2026DATA'!$I$36,"")</f>
        <v/>
      </c>
      <c r="AM115" s="518" t="str">
        <f>IF(AND(_2="A-220-100",'2026'!$F$4="FO",'2026'!$F$2=AM81),'2026DATA'!$J$36,"")</f>
        <v/>
      </c>
      <c r="AN115" s="518" t="str">
        <f>IF(AND(_2="A-220-100",'2026'!$F$4="FO",'2026'!$F$2=AN81),'2026DATA'!$K$36,"")</f>
        <v/>
      </c>
      <c r="AO115" s="518" t="str">
        <f>IF(AND(_2="A-220-100",'2026'!$F$4="FO",'2026'!$F$2=AO81),'2026DATA'!$L$36,"")</f>
        <v/>
      </c>
      <c r="AP115" s="518" t="str">
        <f>IF(AND(_2="A-220-100",'2026'!$F$4="FO",'2026'!$F$2=AP81),'2026DATA'!$M$36,"")</f>
        <v/>
      </c>
      <c r="AQ115" s="520" t="str">
        <f>IF(AND(_2="A-220-100",'2026'!$F$4="FO",'2026'!$F$2=AQ81),'2026DATA'!$N$36,"")</f>
        <v/>
      </c>
      <c r="AR115" s="940"/>
      <c r="AS115" s="13" t="s">
        <v>62</v>
      </c>
      <c r="AT115" s="518" t="str">
        <f>IF(AND(_3="A-220-100",'2026'!$F$4="FO",'2026'!$F$2=AT81),'2026DATA'!$C$36,"")</f>
        <v/>
      </c>
      <c r="AU115" s="518" t="str">
        <f>IF(AND(_3="A-220-100",'2026'!$F$4="FO",'2026'!$F$2=AU81),'2026DATA'!$D$36,"")</f>
        <v/>
      </c>
      <c r="AV115" s="518" t="str">
        <f>IF(AND(_3="A-220-100",'2026'!$F$4="FO",'2026'!$F$2=AV81),'2026DATA'!$E$36,"")</f>
        <v/>
      </c>
      <c r="AW115" s="518" t="str">
        <f>IF(AND(_3="A-220-100",'2026'!$F$4="FO",'2026'!$F$2=AW81),'2026DATA'!$F$36,"")</f>
        <v/>
      </c>
      <c r="AX115" s="518" t="str">
        <f>IF(AND(_3="A-220-100",'2026'!$F$4="FO",'2026'!$F$2=AX81),'2026DATA'!$G$36,"")</f>
        <v/>
      </c>
      <c r="AY115" s="518" t="str">
        <f>IF(AND(_3="A-220-100",'2026'!$F$4="FO",'2026'!$F$2=AY81),'2026DATA'!$H$36,"")</f>
        <v/>
      </c>
      <c r="AZ115" s="518" t="str">
        <f>IF(AND(_3="A-220-100",'2026'!$F$4="FO",'2026'!$F$2=AZ81),'2026DATA'!$I$36,"")</f>
        <v/>
      </c>
      <c r="BA115" s="518" t="str">
        <f>IF(AND(_3="A-220-100",'2026'!$F$4="FO",'2026'!$F$2=BA81),'2026DATA'!$J$36,"")</f>
        <v/>
      </c>
      <c r="BB115" s="518" t="str">
        <f>IF(AND(_3="A-220-100",'2026'!$F$4="FO",'2026'!$F$2=BB81),'2026DATA'!$K$36,"")</f>
        <v/>
      </c>
      <c r="BC115" s="518" t="str">
        <f>IF(AND(_3="A-220-100",'2026'!$F$4="FO",'2026'!$F$2=BC81),'2026DATA'!$L$36,"")</f>
        <v/>
      </c>
      <c r="BD115" s="518" t="str">
        <f>IF(AND(_3="A-220-100",'2026'!$F$4="FO",'2026'!$F$2=BD81),'2026DATA'!$M$36,"")</f>
        <v/>
      </c>
      <c r="BE115" s="520" t="str">
        <f>IF(AND(_3="A-220-100",'2026'!$F$4="FO",'2026'!$F$2=BE81),'2026DATA'!$N$36,"")</f>
        <v/>
      </c>
      <c r="BF115" s="940"/>
      <c r="BG115" s="13" t="s">
        <v>62</v>
      </c>
      <c r="BH115" s="518" t="str">
        <f>IF(AND(_4="A-220-100",'2026'!$F$4="FO",'2026'!$F$2=BH81),'2026DATA'!$C$36,"")</f>
        <v/>
      </c>
      <c r="BI115" s="518" t="str">
        <f>IF(AND(_4="A-220-100",'2026'!$F$4="FO",'2026'!$F$2=BI81),'2026DATA'!$D$36,"")</f>
        <v/>
      </c>
      <c r="BJ115" s="518" t="str">
        <f>IF(AND(_4="A-220-100",'2026'!$F$4="FO",'2026'!$F$2=BJ81),'2026DATA'!$E$36,"")</f>
        <v/>
      </c>
      <c r="BK115" s="518" t="str">
        <f>IF(AND(_4="A-220-100",'2026'!$F$4="FO",'2026'!$F$2=BK81),'2026DATA'!$F$36,"")</f>
        <v/>
      </c>
      <c r="BL115" s="518" t="str">
        <f>IF(AND(_4="A-220-100",'2026'!$F$4="FO",'2026'!$F$2=BL81),'2026DATA'!$G$36,"")</f>
        <v/>
      </c>
      <c r="BM115" s="518" t="str">
        <f>IF(AND(_4="A-220-100",'2026'!$F$4="FO",'2026'!$F$2=BM81),'2026DATA'!$H$36,"")</f>
        <v/>
      </c>
      <c r="BN115" s="518" t="str">
        <f>IF(AND(_4="A-220-100",'2026'!$F$4="FO",'2026'!$F$2=BN81),'2026DATA'!$I$36,"")</f>
        <v/>
      </c>
      <c r="BO115" s="518" t="str">
        <f>IF(AND(_4="A-220-100",'2026'!$F$4="FO",'2026'!$F$2=BO81),'2026DATA'!$J$36,"")</f>
        <v/>
      </c>
      <c r="BP115" s="518" t="str">
        <f>IF(AND(_4="A-220-100",'2026'!$F$4="FO",'2026'!$F$2=BP81),'2026DATA'!$K$36,"")</f>
        <v/>
      </c>
      <c r="BQ115" s="518" t="str">
        <f>IF(AND(_4="A-220-100",'2026'!$F$4="FO",'2026'!$F$2=BQ81),'2026DATA'!$L$36,"")</f>
        <v/>
      </c>
      <c r="BR115" s="518" t="str">
        <f>IF(AND(_4="A-220-100",'2026'!$F$4="FO",'2026'!$F$2=BR81),'2026DATA'!$M$36,"")</f>
        <v/>
      </c>
      <c r="BS115" s="520" t="str">
        <f>IF(AND(_4="A-220-100",'2026'!$F$4="FO",'2026'!$F$2=BS81),'2026DATA'!$N$36,"")</f>
        <v/>
      </c>
      <c r="BT115" s="940"/>
      <c r="BU115" s="13" t="s">
        <v>62</v>
      </c>
      <c r="BV115" s="518" t="str">
        <f>IF(AND(_5="A-220-100",'2026'!$F$4="FO",'2026'!$F$2=BV81),'2026DATA'!$C$36,"")</f>
        <v/>
      </c>
      <c r="BW115" s="518" t="str">
        <f>IF(AND(_5="A-220-100",'2026'!$F$4="FO",'2026'!$F$2=BW81),'2026DATA'!$D$36,"")</f>
        <v/>
      </c>
      <c r="BX115" s="518" t="str">
        <f>IF(AND(_5="A-220-100",'2026'!$F$4="FO",'2026'!$F$2=BX81),'2026DATA'!$E$36,"")</f>
        <v/>
      </c>
      <c r="BY115" s="518" t="str">
        <f>IF(AND(_5="A-220-100",'2026'!$F$4="FO",'2026'!$F$2=BY81),'2026DATA'!$F$36,"")</f>
        <v/>
      </c>
      <c r="BZ115" s="518" t="str">
        <f>IF(AND(_5="A-220-100",'2026'!$F$4="FO",'2026'!$F$2=BZ81),'2026DATA'!$G$36,"")</f>
        <v/>
      </c>
      <c r="CA115" s="518" t="str">
        <f>IF(AND(_5="A-220-100",'2026'!$F$4="FO",'2026'!$F$2=CA81),'2026DATA'!$H$36,"")</f>
        <v/>
      </c>
      <c r="CB115" s="518" t="str">
        <f>IF(AND(_5="A-220-100",'2026'!$F$4="FO",'2026'!$F$2=CB81),'2026DATA'!$I$36,"")</f>
        <v/>
      </c>
      <c r="CC115" s="518" t="str">
        <f>IF(AND(_5="A-220-100",'2026'!$F$4="FO",'2026'!$F$2=CC81),'2026DATA'!$J$36,"")</f>
        <v/>
      </c>
      <c r="CD115" s="518" t="str">
        <f>IF(AND(_5="A-220-100",'2026'!$F$4="FO",'2026'!$F$2=CD81),'2026DATA'!$K$36,"")</f>
        <v/>
      </c>
      <c r="CE115" s="518" t="str">
        <f>IF(AND(_5="A-220-100",'2026'!$F$4="FO",'2026'!$F$2=CE81),'2026DATA'!$L$36,"")</f>
        <v/>
      </c>
      <c r="CF115" s="518" t="str">
        <f>IF(AND(_5="A-220-100",'2026'!$F$4="FO",'2026'!$F$2=CF81),'2026DATA'!$M$36,"")</f>
        <v/>
      </c>
      <c r="CG115" s="520" t="str">
        <f>IF(AND(_5="A-220-100",'2026'!$F$4="FO",'2026'!$F$2=CG81),'2026DATA'!$N$36,"")</f>
        <v/>
      </c>
      <c r="CH115" s="940"/>
      <c r="CI115" s="13" t="s">
        <v>62</v>
      </c>
      <c r="CJ115" s="518" t="str">
        <f>IF(AND(_6="A-220-100",'2026'!$F$4="FO",'2026'!$F$2=CJ81),'2026DATA'!$C$36,"")</f>
        <v/>
      </c>
      <c r="CK115" s="518" t="str">
        <f>IF(AND(_6="A-220-100",'2026'!$F$4="FO",'2026'!$F$2=CK81),'2026DATA'!$D$36,"")</f>
        <v/>
      </c>
      <c r="CL115" s="518" t="str">
        <f>IF(AND(_6="A-220-100",'2026'!$F$4="FO",'2026'!$F$2=CL81),'2026DATA'!$E$36,"")</f>
        <v/>
      </c>
      <c r="CM115" s="518" t="str">
        <f>IF(AND(_6="A-220-100",'2026'!$F$4="FO",'2026'!$F$2=CM81),'2026DATA'!$F$36,"")</f>
        <v/>
      </c>
      <c r="CN115" s="518" t="str">
        <f>IF(AND(_6="A-220-100",'2026'!$F$4="FO",'2026'!$F$2=CN81),'2026DATA'!$G$36,"")</f>
        <v/>
      </c>
      <c r="CO115" s="518" t="str">
        <f>IF(AND(_6="A-220-100",'2026'!$F$4="FO",'2026'!$F$2=CO81),'2026DATA'!$H$36,"")</f>
        <v/>
      </c>
      <c r="CP115" s="518" t="str">
        <f>IF(AND(_6="A-220-100",'2026'!$F$4="FO",'2026'!$F$2=CP81),'2026DATA'!$I$36,"")</f>
        <v/>
      </c>
      <c r="CQ115" s="518" t="str">
        <f>IF(AND(_6="A-220-100",'2026'!$F$4="FO",'2026'!$F$2=CQ81),'2026DATA'!$J$36,"")</f>
        <v/>
      </c>
      <c r="CR115" s="518" t="str">
        <f>IF(AND(_6="A-220-100",'2026'!$F$4="FO",'2026'!$F$2=CR81),'2026DATA'!$K$36,"")</f>
        <v/>
      </c>
      <c r="CS115" s="518" t="str">
        <f>IF(AND(_6="A-220-100",'2026'!$F$4="FO",'2026'!$F$2=CS81),'2026DATA'!$L$36,"")</f>
        <v/>
      </c>
      <c r="CT115" s="518" t="str">
        <f>IF(AND(_6="A-220-100",'2026'!$F$4="FO",'2026'!$F$2=CT81),'2026DATA'!$M$36,"")</f>
        <v/>
      </c>
      <c r="CU115" s="520" t="str">
        <f>IF(AND(_6="A-220-100",'2026'!$F$4="FO",'2026'!$F$2=CU81),'2026DATA'!$N$36,"")</f>
        <v/>
      </c>
    </row>
    <row r="116" spans="16:99" x14ac:dyDescent="0.25">
      <c r="P116" s="940" t="s">
        <v>53</v>
      </c>
      <c r="Q116" s="13" t="s">
        <v>61</v>
      </c>
      <c r="R116" s="518" t="str">
        <f>IF(AND(_1="B-717",'2026'!$F$4="CA",'2026'!$F$2=R81),'2026DATA'!$C$37,"")</f>
        <v/>
      </c>
      <c r="S116" s="518" t="str">
        <f>IF(AND(_1="B-717",'2026'!$F$4="CA",'2026'!$F$2=S81),'2026DATA'!$D$37,"")</f>
        <v/>
      </c>
      <c r="T116" s="518" t="str">
        <f>IF(AND(_1="B-717",'2026'!$F$4="CA",'2026'!$F$2=T81),'2026DATA'!$E$37,"")</f>
        <v/>
      </c>
      <c r="U116" s="518" t="str">
        <f>IF(AND(_1="B-717",'2026'!$F$4="CA",'2026'!$F$2=U81),'2026DATA'!$F$37,"")</f>
        <v/>
      </c>
      <c r="V116" s="518" t="str">
        <f>IF(AND(_1="B-717",'2026'!$F$4="CA",'2026'!$F$2=V81),'2026DATA'!$G$37,"")</f>
        <v/>
      </c>
      <c r="W116" s="518" t="str">
        <f>IF(AND(_1="B-717",'2026'!$F$4="CA",'2026'!$F$2=W81),'2026DATA'!$H$37,"")</f>
        <v/>
      </c>
      <c r="X116" s="518" t="str">
        <f>IF(AND(_1="B-717",'2026'!$F$4="CA",'2026'!$F$2=X81),'2026DATA'!$I$37,"")</f>
        <v/>
      </c>
      <c r="Y116" s="518" t="str">
        <f>IF(AND(_1="B-717",'2026'!$F$4="CA",'2026'!$F$2=Y81),'2026DATA'!$J$37,"")</f>
        <v/>
      </c>
      <c r="Z116" s="518" t="str">
        <f>IF(AND(_1="B-717",'2026'!$F$4="CA",'2026'!$F$2=Z81),'2026DATA'!$K$37,"")</f>
        <v/>
      </c>
      <c r="AA116" s="518" t="str">
        <f>IF(AND(_1="B-717",'2026'!$F$4="CA",'2026'!$F$2=AA81),'2026DATA'!$L$37,"")</f>
        <v/>
      </c>
      <c r="AB116" s="518" t="str">
        <f>IF(AND(_1="B-717",'2026'!$F$4="CA",'2026'!$F$2=AB81),'2026DATA'!$M$37,"")</f>
        <v/>
      </c>
      <c r="AC116" s="520" t="str">
        <f>IF(AND(_1="B-717",'2026'!$F$4="CA",'2026'!$F$2=AC81),'2026DATA'!$N$37,"")</f>
        <v/>
      </c>
      <c r="AD116" s="940" t="s">
        <v>53</v>
      </c>
      <c r="AE116" s="13" t="s">
        <v>61</v>
      </c>
      <c r="AF116" s="518" t="str">
        <f>IF(AND(_2="B-717",'2026'!$F$4="CA",'2026'!$F$2=AF81),'2026DATA'!$C$37,"")</f>
        <v/>
      </c>
      <c r="AG116" s="518" t="str">
        <f>IF(AND(_2="B-717",'2026'!$F$4="CA",'2026'!$F$2=AG81),'2026DATA'!$D$37,"")</f>
        <v/>
      </c>
      <c r="AH116" s="518" t="str">
        <f>IF(AND(_2="B-717",'2026'!$F$4="CA",'2026'!$F$2=AH81),'2026DATA'!$E$37,"")</f>
        <v/>
      </c>
      <c r="AI116" s="518" t="str">
        <f>IF(AND(_2="B-717",'2026'!$F$4="CA",'2026'!$F$2=AI81),'2026DATA'!$F$37,"")</f>
        <v/>
      </c>
      <c r="AJ116" s="518" t="str">
        <f>IF(AND(_2="B-717",'2026'!$F$4="CA",'2026'!$F$2=AJ81),'2026DATA'!$G$37,"")</f>
        <v/>
      </c>
      <c r="AK116" s="518" t="str">
        <f>IF(AND(_2="B-717",'2026'!$F$4="CA",'2026'!$F$2=AK81),'2026DATA'!$H$37,"")</f>
        <v/>
      </c>
      <c r="AL116" s="518" t="str">
        <f>IF(AND(_2="B-717",'2026'!$F$4="CA",'2026'!$F$2=AL81),'2026DATA'!$I$37,"")</f>
        <v/>
      </c>
      <c r="AM116" s="518" t="str">
        <f>IF(AND(_2="B-717",'2026'!$F$4="CA",'2026'!$F$2=AM81),'2026DATA'!$J$37,"")</f>
        <v/>
      </c>
      <c r="AN116" s="518" t="str">
        <f>IF(AND(_2="B-717",'2026'!$F$4="CA",'2026'!$F$2=AN81),'2026DATA'!$K$37,"")</f>
        <v/>
      </c>
      <c r="AO116" s="518" t="str">
        <f>IF(AND(_2="B-717",'2026'!$F$4="CA",'2026'!$F$2=AO81),'2026DATA'!$L$37,"")</f>
        <v/>
      </c>
      <c r="AP116" s="518" t="str">
        <f>IF(AND(_2="B-717",'2026'!$F$4="CA",'2026'!$F$2=AP81),'2026DATA'!$M$37,"")</f>
        <v/>
      </c>
      <c r="AQ116" s="520" t="str">
        <f>IF(AND(_2="B-717",'2026'!$F$4="CA",'2026'!$F$2=AQ81),'2026DATA'!$N$37,"")</f>
        <v/>
      </c>
      <c r="AR116" s="940" t="s">
        <v>53</v>
      </c>
      <c r="AS116" s="13" t="s">
        <v>61</v>
      </c>
      <c r="AT116" s="518" t="str">
        <f>IF(AND(_3="B-717",'2026'!$F$4="CA",'2026'!$F$2=AT81),'2026DATA'!$C$37,"")</f>
        <v/>
      </c>
      <c r="AU116" s="518" t="str">
        <f>IF(AND(_3="B-717",'2026'!$F$4="CA",'2026'!$F$2=AU81),'2026DATA'!$D$37,"")</f>
        <v/>
      </c>
      <c r="AV116" s="518" t="str">
        <f>IF(AND(_3="B-717",'2026'!$F$4="CA",'2026'!$F$2=AV81),'2026DATA'!$E$37,"")</f>
        <v/>
      </c>
      <c r="AW116" s="518" t="str">
        <f>IF(AND(_3="B-717",'2026'!$F$4="CA",'2026'!$F$2=AW81),'2026DATA'!$F$37,"")</f>
        <v/>
      </c>
      <c r="AX116" s="518" t="str">
        <f>IF(AND(_3="B-717",'2026'!$F$4="CA",'2026'!$F$2=AX81),'2026DATA'!$G$37,"")</f>
        <v/>
      </c>
      <c r="AY116" s="518" t="str">
        <f>IF(AND(_3="B-717",'2026'!$F$4="CA",'2026'!$F$2=AY81),'2026DATA'!$H$37,"")</f>
        <v/>
      </c>
      <c r="AZ116" s="518" t="str">
        <f>IF(AND(_3="B-717",'2026'!$F$4="CA",'2026'!$F$2=AZ81),'2026DATA'!$I$37,"")</f>
        <v/>
      </c>
      <c r="BA116" s="518" t="str">
        <f>IF(AND(_3="B-717",'2026'!$F$4="CA",'2026'!$F$2=BA81),'2026DATA'!$J$37,"")</f>
        <v/>
      </c>
      <c r="BB116" s="518" t="str">
        <f>IF(AND(_3="B-717",'2026'!$F$4="CA",'2026'!$F$2=BB81),'2026DATA'!$K$37,"")</f>
        <v/>
      </c>
      <c r="BC116" s="518" t="str">
        <f>IF(AND(_3="B-717",'2026'!$F$4="CA",'2026'!$F$2=BC81),'2026DATA'!$L$37,"")</f>
        <v/>
      </c>
      <c r="BD116" s="518" t="str">
        <f>IF(AND(_3="B-717",'2026'!$F$4="CA",'2026'!$F$2=BD81),'2026DATA'!$M$37,"")</f>
        <v/>
      </c>
      <c r="BE116" s="520" t="str">
        <f>IF(AND(_3="B-717",'2026'!$F$4="CA",'2026'!$F$2=BE81),'2026DATA'!$N$37,"")</f>
        <v/>
      </c>
      <c r="BF116" s="940" t="s">
        <v>53</v>
      </c>
      <c r="BG116" s="13" t="s">
        <v>61</v>
      </c>
      <c r="BH116" s="518" t="str">
        <f>IF(AND(_4="B-717",'2026'!$F$4="CA",'2026'!$F$2=BH81),'2026DATA'!$C$37,"")</f>
        <v/>
      </c>
      <c r="BI116" s="518" t="str">
        <f>IF(AND(_4="B-717",'2026'!$F$4="CA",'2026'!$F$2=BI81),'2026DATA'!$D$37,"")</f>
        <v/>
      </c>
      <c r="BJ116" s="518" t="str">
        <f>IF(AND(_4="B-717",'2026'!$F$4="CA",'2026'!$F$2=BJ81),'2026DATA'!$E$37,"")</f>
        <v/>
      </c>
      <c r="BK116" s="518" t="str">
        <f>IF(AND(_4="B-717",'2026'!$F$4="CA",'2026'!$F$2=BK81),'2026DATA'!$F$37,"")</f>
        <v/>
      </c>
      <c r="BL116" s="518" t="str">
        <f>IF(AND(_4="B-717",'2026'!$F$4="CA",'2026'!$F$2=BL81),'2026DATA'!$G$37,"")</f>
        <v/>
      </c>
      <c r="BM116" s="518" t="str">
        <f>IF(AND(_4="B-717",'2026'!$F$4="CA",'2026'!$F$2=BM81),'2026DATA'!$H$37,"")</f>
        <v/>
      </c>
      <c r="BN116" s="518" t="str">
        <f>IF(AND(_4="B-717",'2026'!$F$4="CA",'2026'!$F$2=BN81),'2026DATA'!$I$37,"")</f>
        <v/>
      </c>
      <c r="BO116" s="518" t="str">
        <f>IF(AND(_4="B-717",'2026'!$F$4="CA",'2026'!$F$2=BO81),'2026DATA'!$J$37,"")</f>
        <v/>
      </c>
      <c r="BP116" s="518" t="str">
        <f>IF(AND(_4="B-717",'2026'!$F$4="CA",'2026'!$F$2=BP81),'2026DATA'!$K$37,"")</f>
        <v/>
      </c>
      <c r="BQ116" s="518" t="str">
        <f>IF(AND(_4="B-717",'2026'!$F$4="CA",'2026'!$F$2=BQ81),'2026DATA'!$L$37,"")</f>
        <v/>
      </c>
      <c r="BR116" s="518" t="str">
        <f>IF(AND(_4="B-717",'2026'!$F$4="CA",'2026'!$F$2=BR81),'2026DATA'!$M$37,"")</f>
        <v/>
      </c>
      <c r="BS116" s="520" t="str">
        <f>IF(AND(_4="B-717",'2026'!$F$4="CA",'2026'!$F$2=BS81),'2026DATA'!$N$37,"")</f>
        <v/>
      </c>
      <c r="BT116" s="940" t="s">
        <v>53</v>
      </c>
      <c r="BU116" s="13" t="s">
        <v>61</v>
      </c>
      <c r="BV116" s="518" t="str">
        <f>IF(AND(_5="B-717",'2026'!$F$4="CA",'2026'!$F$2=BV81),'2026DATA'!$C$37,"")</f>
        <v/>
      </c>
      <c r="BW116" s="518" t="str">
        <f>IF(AND(_5="B-717",'2026'!$F$4="CA",'2026'!$F$2=BW81),'2026DATA'!$D$37,"")</f>
        <v/>
      </c>
      <c r="BX116" s="518" t="str">
        <f>IF(AND(_5="B-717",'2026'!$F$4="CA",'2026'!$F$2=BX81),'2026DATA'!$E$37,"")</f>
        <v/>
      </c>
      <c r="BY116" s="518" t="str">
        <f>IF(AND(_5="B-717",'2026'!$F$4="CA",'2026'!$F$2=BY81),'2026DATA'!$F$37,"")</f>
        <v/>
      </c>
      <c r="BZ116" s="518" t="str">
        <f>IF(AND(_5="B-717",'2026'!$F$4="CA",'2026'!$F$2=BZ81),'2026DATA'!$G$37,"")</f>
        <v/>
      </c>
      <c r="CA116" s="518" t="str">
        <f>IF(AND(_5="B-717",'2026'!$F$4="CA",'2026'!$F$2=CA81),'2026DATA'!$H$37,"")</f>
        <v/>
      </c>
      <c r="CB116" s="518" t="str">
        <f>IF(AND(_5="B-717",'2026'!$F$4="CA",'2026'!$F$2=CB81),'2026DATA'!$I$37,"")</f>
        <v/>
      </c>
      <c r="CC116" s="518" t="str">
        <f>IF(AND(_5="B-717",'2026'!$F$4="CA",'2026'!$F$2=CC81),'2026DATA'!$J$37,"")</f>
        <v/>
      </c>
      <c r="CD116" s="518" t="str">
        <f>IF(AND(_5="B-717",'2026'!$F$4="CA",'2026'!$F$2=CD81),'2026DATA'!$K$37,"")</f>
        <v/>
      </c>
      <c r="CE116" s="518" t="str">
        <f>IF(AND(_5="B-717",'2026'!$F$4="CA",'2026'!$F$2=CE81),'2026DATA'!$L$37,"")</f>
        <v/>
      </c>
      <c r="CF116" s="518" t="str">
        <f>IF(AND(_5="B-717",'2026'!$F$4="CA",'2026'!$F$2=CF81),'2026DATA'!$M$37,"")</f>
        <v/>
      </c>
      <c r="CG116" s="520" t="str">
        <f>IF(AND(_5="B-717",'2026'!$F$4="CA",'2026'!$F$2=CG81),'2026DATA'!$N$37,"")</f>
        <v/>
      </c>
      <c r="CH116" s="940" t="s">
        <v>53</v>
      </c>
      <c r="CI116" s="13" t="s">
        <v>61</v>
      </c>
      <c r="CJ116" s="518" t="str">
        <f>IF(AND(_6="B-717",'2026'!$F$4="CA",'2026'!$F$2=CJ81),'2026DATA'!$C$37,"")</f>
        <v/>
      </c>
      <c r="CK116" s="518" t="str">
        <f>IF(AND(_6="B-717",'2026'!$F$4="CA",'2026'!$F$2=CK81),'2026DATA'!$D$37,"")</f>
        <v/>
      </c>
      <c r="CL116" s="518" t="str">
        <f>IF(AND(_6="B-717",'2026'!$F$4="CA",'2026'!$F$2=CL81),'2026DATA'!$E$37,"")</f>
        <v/>
      </c>
      <c r="CM116" s="518" t="str">
        <f>IF(AND(_6="B-717",'2026'!$F$4="CA",'2026'!$F$2=CM81),'2026DATA'!$F$37,"")</f>
        <v/>
      </c>
      <c r="CN116" s="518" t="str">
        <f>IF(AND(_6="B-717",'2026'!$F$4="CA",'2026'!$F$2=CN81),'2026DATA'!$G$37,"")</f>
        <v/>
      </c>
      <c r="CO116" s="518" t="str">
        <f>IF(AND(_6="B-717",'2026'!$F$4="CA",'2026'!$F$2=CO81),'2026DATA'!$H$37,"")</f>
        <v/>
      </c>
      <c r="CP116" s="518" t="str">
        <f>IF(AND(_6="B-717",'2026'!$F$4="CA",'2026'!$F$2=CP81),'2026DATA'!$I$37,"")</f>
        <v/>
      </c>
      <c r="CQ116" s="518" t="str">
        <f>IF(AND(_6="B-717",'2026'!$F$4="CA",'2026'!$F$2=CQ81),'2026DATA'!$J$37,"")</f>
        <v/>
      </c>
      <c r="CR116" s="518" t="str">
        <f>IF(AND(_6="B-717",'2026'!$F$4="CA",'2026'!$F$2=CR81),'2026DATA'!$K$37,"")</f>
        <v/>
      </c>
      <c r="CS116" s="518" t="str">
        <f>IF(AND(_6="B-717",'2026'!$F$4="CA",'2026'!$F$2=CS81),'2026DATA'!$L$37,"")</f>
        <v/>
      </c>
      <c r="CT116" s="518" t="str">
        <f>IF(AND(_6="B-717",'2026'!$F$4="CA",'2026'!$F$2=CT81),'2026DATA'!$M$37,"")</f>
        <v/>
      </c>
      <c r="CU116" s="520" t="str">
        <f>IF(AND(_6="B-717",'2026'!$F$4="CA",'2026'!$F$2=CU81),'2026DATA'!$N$37,"")</f>
        <v/>
      </c>
    </row>
    <row r="117" spans="16:99" ht="15.75" thickBot="1" x14ac:dyDescent="0.3">
      <c r="P117" s="941"/>
      <c r="Q117" s="521" t="s">
        <v>62</v>
      </c>
      <c r="R117" s="522" t="str">
        <f>IF(AND(_1="B-717",'2026'!$F$4="FO",'2026'!$F$2=R81),'2026DATA'!$C$38,"")</f>
        <v/>
      </c>
      <c r="S117" s="522" t="str">
        <f>IF(AND(_1="B-717",'2026'!$F$4="FO",'2026'!$F$2=S81),'2026DATA'!$D$38,"")</f>
        <v/>
      </c>
      <c r="T117" s="522" t="str">
        <f>IF(AND(_1="B-717",'2026'!$F$4="FO",'2026'!$F$2=T81),'2026DATA'!$E$38,"")</f>
        <v/>
      </c>
      <c r="U117" s="522" t="str">
        <f>IF(AND(_1="B-717",'2026'!$F$4="FO",'2026'!$F$2=U81),'2026DATA'!$F$38,"")</f>
        <v/>
      </c>
      <c r="V117" s="522" t="str">
        <f>IF(AND(_1="B-717",'2026'!$F$4="FO",'2026'!$F$2=V81),'2026DATA'!$G$38,"")</f>
        <v/>
      </c>
      <c r="W117" s="522" t="str">
        <f>IF(AND(_1="B-717",'2026'!$F$4="FO",'2026'!$F$2=W81),'2026DATA'!$H$38,"")</f>
        <v/>
      </c>
      <c r="X117" s="522" t="str">
        <f>IF(AND(_1="B-717",'2026'!$F$4="FO",'2026'!$F$2=X81),'2026DATA'!$I$38,"")</f>
        <v/>
      </c>
      <c r="Y117" s="522" t="str">
        <f>IF(AND(_1="B-717",'2026'!$F$4="FO",'2026'!$F$2=Y81),'2026DATA'!$J$38,"")</f>
        <v/>
      </c>
      <c r="Z117" s="522" t="str">
        <f>IF(AND(_1="B-717",'2026'!$F$4="FO",'2026'!$F$2=Z81),'2026DATA'!$K$38,"")</f>
        <v/>
      </c>
      <c r="AA117" s="522" t="str">
        <f>IF(AND(_1="B-717",'2026'!$F$4="FO",'2026'!$F$2=AA81),'2026DATA'!$L$38,"")</f>
        <v/>
      </c>
      <c r="AB117" s="522" t="str">
        <f>IF(AND(_1="B-717",'2026'!$F$4="FO",'2026'!$F$2=AB81),'2026DATA'!$M$38,"")</f>
        <v/>
      </c>
      <c r="AC117" s="523" t="str">
        <f>IF(AND(_1="B-717",'2026'!$F$4="FO",'2026'!$F$2=AC81),'2026DATA'!$N$38,"")</f>
        <v/>
      </c>
      <c r="AD117" s="941"/>
      <c r="AE117" s="521" t="s">
        <v>62</v>
      </c>
      <c r="AF117" s="518" t="str">
        <f>IF(AND(_2="B-717",'2026'!$F$4="FO",'2026'!$F$2=AF81),'2026DATA'!$C$38,"")</f>
        <v/>
      </c>
      <c r="AG117" s="518" t="str">
        <f>IF(AND(_2="B-717",'2026'!$F$4="FO",'2026'!$F$2=AG81),'2026DATA'!$D$38,"")</f>
        <v/>
      </c>
      <c r="AH117" s="518" t="str">
        <f>IF(AND(_2="B-717",'2026'!$F$4="FO",'2026'!$F$2=AH81),'2026DATA'!$E$38,"")</f>
        <v/>
      </c>
      <c r="AI117" s="518" t="str">
        <f>IF(AND(_2="B-717",'2026'!$F$4="FO",'2026'!$F$2=AI81),'2026DATA'!$F$38,"")</f>
        <v/>
      </c>
      <c r="AJ117" s="518" t="str">
        <f>IF(AND(_2="B-717",'2026'!$F$4="FO",'2026'!$F$2=AJ81),'2026DATA'!$G$38,"")</f>
        <v/>
      </c>
      <c r="AK117" s="518" t="str">
        <f>IF(AND(_2="B-717",'2026'!$F$4="FO",'2026'!$F$2=AK81),'2026DATA'!$H$38,"")</f>
        <v/>
      </c>
      <c r="AL117" s="518" t="str">
        <f>IF(AND(_2="B-717",'2026'!$F$4="FO",'2026'!$F$2=AL81),'2026DATA'!$I$38,"")</f>
        <v/>
      </c>
      <c r="AM117" s="518" t="str">
        <f>IF(AND(_2="B-717",'2026'!$F$4="FO",'2026'!$F$2=AM81),'2026DATA'!$J$38,"")</f>
        <v/>
      </c>
      <c r="AN117" s="518" t="str">
        <f>IF(AND(_2="B-717",'2026'!$F$4="FO",'2026'!$F$2=AN81),'2026DATA'!$K$38,"")</f>
        <v/>
      </c>
      <c r="AO117" s="518" t="str">
        <f>IF(AND(_2="B-717",'2026'!$F$4="FO",'2026'!$F$2=AO81),'2026DATA'!$L$38,"")</f>
        <v/>
      </c>
      <c r="AP117" s="518" t="str">
        <f>IF(AND(_2="B-717",'2026'!$F$4="FO",'2026'!$F$2=AP81),'2026DATA'!$M$38,"")</f>
        <v/>
      </c>
      <c r="AQ117" s="520" t="str">
        <f>IF(AND(_2="B-717",'2026'!$F$4="FO",'2026'!$F$2=AQ81),'2026DATA'!$N$38,"")</f>
        <v/>
      </c>
      <c r="AR117" s="941"/>
      <c r="AS117" s="521" t="s">
        <v>62</v>
      </c>
      <c r="AT117" s="518" t="str">
        <f>IF(AND(_3="B-717",'2026'!$F$4="FO",'2026'!$F$2=AT81),'2026DATA'!$C$38,"")</f>
        <v/>
      </c>
      <c r="AU117" s="518" t="str">
        <f>IF(AND(_3="B-717",'2026'!$F$4="FO",'2026'!$F$2=AU81),'2026DATA'!$D$38,"")</f>
        <v/>
      </c>
      <c r="AV117" s="518" t="str">
        <f>IF(AND(_3="B-717",'2026'!$F$4="FO",'2026'!$F$2=AV81),'2026DATA'!$E$38,"")</f>
        <v/>
      </c>
      <c r="AW117" s="518" t="str">
        <f>IF(AND(_3="B-717",'2026'!$F$4="FO",'2026'!$F$2=AW81),'2026DATA'!$F$38,"")</f>
        <v/>
      </c>
      <c r="AX117" s="518" t="str">
        <f>IF(AND(_3="B-717",'2026'!$F$4="FO",'2026'!$F$2=AX81),'2026DATA'!$G$38,"")</f>
        <v/>
      </c>
      <c r="AY117" s="518" t="str">
        <f>IF(AND(_3="B-717",'2026'!$F$4="FO",'2026'!$F$2=AY81),'2026DATA'!$H$38,"")</f>
        <v/>
      </c>
      <c r="AZ117" s="518" t="str">
        <f>IF(AND(_3="B-717",'2026'!$F$4="FO",'2026'!$F$2=AZ81),'2026DATA'!$I$38,"")</f>
        <v/>
      </c>
      <c r="BA117" s="518" t="str">
        <f>IF(AND(_3="B-717",'2026'!$F$4="FO",'2026'!$F$2=BA81),'2026DATA'!$J$38,"")</f>
        <v/>
      </c>
      <c r="BB117" s="518" t="str">
        <f>IF(AND(_3="B-717",'2026'!$F$4="FO",'2026'!$F$2=BB81),'2026DATA'!$K$38,"")</f>
        <v/>
      </c>
      <c r="BC117" s="518" t="str">
        <f>IF(AND(_3="B-717",'2026'!$F$4="FO",'2026'!$F$2=BC81),'2026DATA'!$L$38,"")</f>
        <v/>
      </c>
      <c r="BD117" s="518" t="str">
        <f>IF(AND(_3="B-717",'2026'!$F$4="FO",'2026'!$F$2=BD81),'2026DATA'!$M$38,"")</f>
        <v/>
      </c>
      <c r="BE117" s="520" t="str">
        <f>IF(AND(_3="B-717",'2026'!$F$4="FO",'2026'!$F$2=BE81),'2026DATA'!$N$38,"")</f>
        <v/>
      </c>
      <c r="BF117" s="941"/>
      <c r="BG117" s="521" t="s">
        <v>62</v>
      </c>
      <c r="BH117" s="518" t="str">
        <f>IF(AND(_4="B-717",'2026'!$F$4="FO",'2026'!$F$2=BH81),'2026DATA'!$C$38,"")</f>
        <v/>
      </c>
      <c r="BI117" s="518" t="str">
        <f>IF(AND(_4="B-717",'2026'!$F$4="FO",'2026'!$F$2=BI81),'2026DATA'!$D$38,"")</f>
        <v/>
      </c>
      <c r="BJ117" s="518" t="str">
        <f>IF(AND(_4="B-717",'2026'!$F$4="FO",'2026'!$F$2=BJ81),'2026DATA'!$E$38,"")</f>
        <v/>
      </c>
      <c r="BK117" s="518" t="str">
        <f>IF(AND(_4="B-717",'2026'!$F$4="FO",'2026'!$F$2=BK81),'2026DATA'!$F$38,"")</f>
        <v/>
      </c>
      <c r="BL117" s="518" t="str">
        <f>IF(AND(_4="B-717",'2026'!$F$4="FO",'2026'!$F$2=BL81),'2026DATA'!$G$38,"")</f>
        <v/>
      </c>
      <c r="BM117" s="518" t="str">
        <f>IF(AND(_4="B-717",'2026'!$F$4="FO",'2026'!$F$2=BM81),'2026DATA'!$H$38,"")</f>
        <v/>
      </c>
      <c r="BN117" s="518" t="str">
        <f>IF(AND(_4="B-717",'2026'!$F$4="FO",'2026'!$F$2=BN81),'2026DATA'!$I$38,"")</f>
        <v/>
      </c>
      <c r="BO117" s="518" t="str">
        <f>IF(AND(_4="B-717",'2026'!$F$4="FO",'2026'!$F$2=BO81),'2026DATA'!$J$38,"")</f>
        <v/>
      </c>
      <c r="BP117" s="518" t="str">
        <f>IF(AND(_4="B-717",'2026'!$F$4="FO",'2026'!$F$2=BP81),'2026DATA'!$K$38,"")</f>
        <v/>
      </c>
      <c r="BQ117" s="518" t="str">
        <f>IF(AND(_4="B-717",'2026'!$F$4="FO",'2026'!$F$2=BQ81),'2026DATA'!$L$38,"")</f>
        <v/>
      </c>
      <c r="BR117" s="518" t="str">
        <f>IF(AND(_4="B-717",'2026'!$F$4="FO",'2026'!$F$2=BR81),'2026DATA'!$M$38,"")</f>
        <v/>
      </c>
      <c r="BS117" s="520" t="str">
        <f>IF(AND(_4="B-717",'2026'!$F$4="FO",'2026'!$F$2=BS81),'2026DATA'!$N$38,"")</f>
        <v/>
      </c>
      <c r="BT117" s="941"/>
      <c r="BU117" s="521" t="s">
        <v>62</v>
      </c>
      <c r="BV117" s="518" t="str">
        <f>IF(AND(_5="B-717",'2026'!$F$4="FO",'2026'!$F$2=BV81),'2026DATA'!$C$38,"")</f>
        <v/>
      </c>
      <c r="BW117" s="518" t="str">
        <f>IF(AND(_5="B-717",'2026'!$F$4="FO",'2026'!$F$2=BW81),'2026DATA'!$D$38,"")</f>
        <v/>
      </c>
      <c r="BX117" s="518" t="str">
        <f>IF(AND(_5="B-717",'2026'!$F$4="FO",'2026'!$F$2=BX81),'2026DATA'!$E$38,"")</f>
        <v/>
      </c>
      <c r="BY117" s="518" t="str">
        <f>IF(AND(_5="B-717",'2026'!$F$4="FO",'2026'!$F$2=BY81),'2026DATA'!$F$38,"")</f>
        <v/>
      </c>
      <c r="BZ117" s="518" t="str">
        <f>IF(AND(_5="B-717",'2026'!$F$4="FO",'2026'!$F$2=BZ81),'2026DATA'!$G$38,"")</f>
        <v/>
      </c>
      <c r="CA117" s="518" t="str">
        <f>IF(AND(_5="B-717",'2026'!$F$4="FO",'2026'!$F$2=CA81),'2026DATA'!$H$38,"")</f>
        <v/>
      </c>
      <c r="CB117" s="518" t="str">
        <f>IF(AND(_5="B-717",'2026'!$F$4="FO",'2026'!$F$2=CB81),'2026DATA'!$I$38,"")</f>
        <v/>
      </c>
      <c r="CC117" s="518" t="str">
        <f>IF(AND(_5="B-717",'2026'!$F$4="FO",'2026'!$F$2=CC81),'2026DATA'!$J$38,"")</f>
        <v/>
      </c>
      <c r="CD117" s="518" t="str">
        <f>IF(AND(_5="B-717",'2026'!$F$4="FO",'2026'!$F$2=CD81),'2026DATA'!$K$38,"")</f>
        <v/>
      </c>
      <c r="CE117" s="518" t="str">
        <f>IF(AND(_5="B-717",'2026'!$F$4="FO",'2026'!$F$2=CE81),'2026DATA'!$L$38,"")</f>
        <v/>
      </c>
      <c r="CF117" s="518" t="str">
        <f>IF(AND(_5="B-717",'2026'!$F$4="FO",'2026'!$F$2=CF81),'2026DATA'!$M$38,"")</f>
        <v/>
      </c>
      <c r="CG117" s="520" t="str">
        <f>IF(AND(_5="B-717",'2026'!$F$4="FO",'2026'!$F$2=CG81),'2026DATA'!$N$38,"")</f>
        <v/>
      </c>
      <c r="CH117" s="941"/>
      <c r="CI117" s="521" t="s">
        <v>62</v>
      </c>
      <c r="CJ117" s="518" t="str">
        <f>IF(AND(_6="B-717",'2026'!$F$4="FO",'2026'!$F$2=CJ81),'2026DATA'!$C$38,"")</f>
        <v/>
      </c>
      <c r="CK117" s="518" t="str">
        <f>IF(AND(_6="B-717",'2026'!$F$4="FO",'2026'!$F$2=CK81),'2026DATA'!$D$38,"")</f>
        <v/>
      </c>
      <c r="CL117" s="518" t="str">
        <f>IF(AND(_6="B-717",'2026'!$F$4="FO",'2026'!$F$2=CL81),'2026DATA'!$E$38,"")</f>
        <v/>
      </c>
      <c r="CM117" s="518" t="str">
        <f>IF(AND(_6="B-717",'2026'!$F$4="FO",'2026'!$F$2=CM81),'2026DATA'!$F$38,"")</f>
        <v/>
      </c>
      <c r="CN117" s="518" t="str">
        <f>IF(AND(_6="B-717",'2026'!$F$4="FO",'2026'!$F$2=CN81),'2026DATA'!$G$38,"")</f>
        <v/>
      </c>
      <c r="CO117" s="518" t="str">
        <f>IF(AND(_6="B-717",'2026'!$F$4="FO",'2026'!$F$2=CO81),'2026DATA'!$H$38,"")</f>
        <v/>
      </c>
      <c r="CP117" s="518" t="str">
        <f>IF(AND(_6="B-717",'2026'!$F$4="FO",'2026'!$F$2=CP81),'2026DATA'!$I$38,"")</f>
        <v/>
      </c>
      <c r="CQ117" s="518" t="str">
        <f>IF(AND(_6="B-717",'2026'!$F$4="FO",'2026'!$F$2=CQ81),'2026DATA'!$J$38,"")</f>
        <v/>
      </c>
      <c r="CR117" s="518" t="str">
        <f>IF(AND(_6="B-717",'2026'!$F$4="FO",'2026'!$F$2=CR81),'2026DATA'!$K$38,"")</f>
        <v/>
      </c>
      <c r="CS117" s="518" t="str">
        <f>IF(AND(_6="B-717",'2026'!$F$4="FO",'2026'!$F$2=CS81),'2026DATA'!$L$38,"")</f>
        <v/>
      </c>
      <c r="CT117" s="518" t="str">
        <f>IF(AND(_6="B-717",'2026'!$F$4="FO",'2026'!$F$2=CT81),'2026DATA'!$M$38,"")</f>
        <v/>
      </c>
      <c r="CU117" s="520" t="str">
        <f>IF(AND(_6="B-717",'2026'!$F$4="FO",'2026'!$F$2=CU81),'2026DATA'!$N$38,"")</f>
        <v/>
      </c>
    </row>
    <row r="118" spans="16:99" x14ac:dyDescent="0.25">
      <c r="P118" s="943" t="s">
        <v>128</v>
      </c>
      <c r="Q118" s="944"/>
      <c r="R118" s="944"/>
      <c r="S118" s="944"/>
      <c r="T118" s="944"/>
      <c r="U118" s="944"/>
      <c r="V118" s="944"/>
      <c r="W118" s="944"/>
      <c r="X118" s="944"/>
      <c r="Y118" s="944"/>
      <c r="Z118" s="944"/>
      <c r="AA118" s="944"/>
      <c r="AB118" s="944"/>
      <c r="AC118" s="945"/>
      <c r="AD118" s="943" t="s">
        <v>129</v>
      </c>
      <c r="AE118" s="944"/>
      <c r="AF118" s="944"/>
      <c r="AG118" s="944"/>
      <c r="AH118" s="944"/>
      <c r="AI118" s="944"/>
      <c r="AJ118" s="944"/>
      <c r="AK118" s="944"/>
      <c r="AL118" s="944"/>
      <c r="AM118" s="944"/>
      <c r="AN118" s="944"/>
      <c r="AO118" s="944"/>
      <c r="AP118" s="944"/>
      <c r="AQ118" s="945"/>
      <c r="AR118" s="943" t="s">
        <v>130</v>
      </c>
      <c r="AS118" s="944"/>
      <c r="AT118" s="944"/>
      <c r="AU118" s="944"/>
      <c r="AV118" s="944"/>
      <c r="AW118" s="944"/>
      <c r="AX118" s="944"/>
      <c r="AY118" s="944"/>
      <c r="AZ118" s="944"/>
      <c r="BA118" s="944"/>
      <c r="BB118" s="944"/>
      <c r="BC118" s="944"/>
      <c r="BD118" s="944"/>
      <c r="BE118" s="945"/>
      <c r="BF118" s="943" t="s">
        <v>131</v>
      </c>
      <c r="BG118" s="944"/>
      <c r="BH118" s="944"/>
      <c r="BI118" s="944"/>
      <c r="BJ118" s="944"/>
      <c r="BK118" s="944"/>
      <c r="BL118" s="944"/>
      <c r="BM118" s="944"/>
      <c r="BN118" s="944"/>
      <c r="BO118" s="944"/>
      <c r="BP118" s="944"/>
      <c r="BQ118" s="944"/>
      <c r="BR118" s="944"/>
      <c r="BS118" s="945"/>
      <c r="BT118" s="943" t="s">
        <v>132</v>
      </c>
      <c r="BU118" s="944"/>
      <c r="BV118" s="944"/>
      <c r="BW118" s="944"/>
      <c r="BX118" s="944"/>
      <c r="BY118" s="944"/>
      <c r="BZ118" s="944"/>
      <c r="CA118" s="944"/>
      <c r="CB118" s="944"/>
      <c r="CC118" s="944"/>
      <c r="CD118" s="944"/>
      <c r="CE118" s="944"/>
      <c r="CF118" s="944"/>
      <c r="CG118" s="945"/>
      <c r="CH118" s="943" t="s">
        <v>133</v>
      </c>
      <c r="CI118" s="944"/>
      <c r="CJ118" s="944"/>
      <c r="CK118" s="944"/>
      <c r="CL118" s="944"/>
      <c r="CM118" s="944"/>
      <c r="CN118" s="944"/>
      <c r="CO118" s="944"/>
      <c r="CP118" s="944"/>
      <c r="CQ118" s="944"/>
      <c r="CR118" s="944"/>
      <c r="CS118" s="944"/>
      <c r="CT118" s="944"/>
      <c r="CU118" s="945"/>
    </row>
    <row r="119" spans="16:99" x14ac:dyDescent="0.25">
      <c r="P119" s="561">
        <v>4</v>
      </c>
      <c r="Q119" s="561">
        <f>SUM(R120:AC155)</f>
        <v>0</v>
      </c>
      <c r="R119" s="3">
        <v>12</v>
      </c>
      <c r="S119" s="3">
        <v>11</v>
      </c>
      <c r="T119" s="3">
        <v>10</v>
      </c>
      <c r="U119" s="3">
        <v>9</v>
      </c>
      <c r="V119" s="3">
        <v>8</v>
      </c>
      <c r="W119" s="3">
        <v>7</v>
      </c>
      <c r="X119" s="3">
        <v>6</v>
      </c>
      <c r="Y119" s="3">
        <v>5</v>
      </c>
      <c r="Z119" s="3">
        <v>4</v>
      </c>
      <c r="AA119" s="3">
        <v>3</v>
      </c>
      <c r="AB119" s="3">
        <v>2</v>
      </c>
      <c r="AC119" s="519">
        <v>1</v>
      </c>
      <c r="AD119" s="561">
        <v>4</v>
      </c>
      <c r="AE119" s="561">
        <f>SUM(AF120:AQ155)</f>
        <v>0</v>
      </c>
      <c r="AF119" s="3">
        <v>12</v>
      </c>
      <c r="AG119" s="3">
        <v>11</v>
      </c>
      <c r="AH119" s="3">
        <v>10</v>
      </c>
      <c r="AI119" s="3">
        <v>9</v>
      </c>
      <c r="AJ119" s="3">
        <v>8</v>
      </c>
      <c r="AK119" s="3">
        <v>7</v>
      </c>
      <c r="AL119" s="3">
        <v>6</v>
      </c>
      <c r="AM119" s="3">
        <v>5</v>
      </c>
      <c r="AN119" s="3">
        <v>4</v>
      </c>
      <c r="AO119" s="3">
        <v>3</v>
      </c>
      <c r="AP119" s="3">
        <v>2</v>
      </c>
      <c r="AQ119" s="519">
        <v>1</v>
      </c>
      <c r="AR119" s="561">
        <v>4</v>
      </c>
      <c r="AS119" s="561">
        <f>SUM(AT120:BE155)</f>
        <v>0</v>
      </c>
      <c r="AT119" s="3">
        <v>12</v>
      </c>
      <c r="AU119" s="3">
        <v>11</v>
      </c>
      <c r="AV119" s="3">
        <v>10</v>
      </c>
      <c r="AW119" s="3">
        <v>9</v>
      </c>
      <c r="AX119" s="3">
        <v>8</v>
      </c>
      <c r="AY119" s="3">
        <v>7</v>
      </c>
      <c r="AZ119" s="3">
        <v>6</v>
      </c>
      <c r="BA119" s="3">
        <v>5</v>
      </c>
      <c r="BB119" s="3">
        <v>4</v>
      </c>
      <c r="BC119" s="3">
        <v>3</v>
      </c>
      <c r="BD119" s="3">
        <v>2</v>
      </c>
      <c r="BE119" s="519">
        <v>1</v>
      </c>
      <c r="BF119" s="561">
        <v>4</v>
      </c>
      <c r="BG119" s="561">
        <f>SUM(BH120:BS155)</f>
        <v>0</v>
      </c>
      <c r="BH119" s="3">
        <v>12</v>
      </c>
      <c r="BI119" s="3">
        <v>11</v>
      </c>
      <c r="BJ119" s="3">
        <v>10</v>
      </c>
      <c r="BK119" s="3">
        <v>9</v>
      </c>
      <c r="BL119" s="3">
        <v>8</v>
      </c>
      <c r="BM119" s="3">
        <v>7</v>
      </c>
      <c r="BN119" s="3">
        <v>6</v>
      </c>
      <c r="BO119" s="3">
        <v>5</v>
      </c>
      <c r="BP119" s="3">
        <v>4</v>
      </c>
      <c r="BQ119" s="3">
        <v>3</v>
      </c>
      <c r="BR119" s="3">
        <v>2</v>
      </c>
      <c r="BS119" s="519">
        <v>1</v>
      </c>
      <c r="BT119" s="561">
        <v>4</v>
      </c>
      <c r="BU119" s="561">
        <f>SUM(BV120:CG155)</f>
        <v>0</v>
      </c>
      <c r="BV119" s="3">
        <v>12</v>
      </c>
      <c r="BW119" s="3">
        <v>11</v>
      </c>
      <c r="BX119" s="3">
        <v>10</v>
      </c>
      <c r="BY119" s="3">
        <v>9</v>
      </c>
      <c r="BZ119" s="3">
        <v>8</v>
      </c>
      <c r="CA119" s="3">
        <v>7</v>
      </c>
      <c r="CB119" s="3">
        <v>6</v>
      </c>
      <c r="CC119" s="3">
        <v>5</v>
      </c>
      <c r="CD119" s="3">
        <v>4</v>
      </c>
      <c r="CE119" s="3">
        <v>3</v>
      </c>
      <c r="CF119" s="3">
        <v>2</v>
      </c>
      <c r="CG119" s="519">
        <v>1</v>
      </c>
      <c r="CH119" s="561">
        <v>4</v>
      </c>
      <c r="CI119" s="561">
        <f>SUM(CJ120:CU155)</f>
        <v>0</v>
      </c>
      <c r="CJ119" s="3">
        <v>12</v>
      </c>
      <c r="CK119" s="3">
        <v>11</v>
      </c>
      <c r="CL119" s="3">
        <v>10</v>
      </c>
      <c r="CM119" s="3">
        <v>9</v>
      </c>
      <c r="CN119" s="3">
        <v>8</v>
      </c>
      <c r="CO119" s="3">
        <v>7</v>
      </c>
      <c r="CP119" s="3">
        <v>6</v>
      </c>
      <c r="CQ119" s="3">
        <v>5</v>
      </c>
      <c r="CR119" s="3">
        <v>4</v>
      </c>
      <c r="CS119" s="3">
        <v>3</v>
      </c>
      <c r="CT119" s="3">
        <v>2</v>
      </c>
      <c r="CU119" s="519">
        <v>1</v>
      </c>
    </row>
    <row r="120" spans="16:99" x14ac:dyDescent="0.25">
      <c r="P120" s="940" t="s">
        <v>39</v>
      </c>
      <c r="Q120" s="13" t="s">
        <v>61</v>
      </c>
      <c r="R120" s="518" t="str">
        <f>IF(AND(_1="A-350",'2026'!$G$4="CA",'2026'!$G$2=R119),'2026DATA'!$C$3,"")</f>
        <v/>
      </c>
      <c r="S120" s="518" t="str">
        <f>IF(AND(_1="A-350",'2026'!$G$4="CA",'2026'!$G$2=S119),'2026DATA'!$D$3,"")</f>
        <v/>
      </c>
      <c r="T120" s="518" t="str">
        <f>IF(AND(_1="A-350",'2026'!$G$4="CA",'2026'!$G$2=T119),'2026DATA'!$E$3,"")</f>
        <v/>
      </c>
      <c r="U120" s="518" t="str">
        <f>IF(AND(_1="A-350",'2026'!$G$4="CA",'2026'!$G$2=U119),'2026DATA'!$F$3,"")</f>
        <v/>
      </c>
      <c r="V120" s="518" t="str">
        <f>IF(AND(_1="A-350",'2026'!$G$4="CA",'2026'!$G$2=V119),'2026DATA'!$G$3,"")</f>
        <v/>
      </c>
      <c r="W120" s="518" t="str">
        <f>IF(AND(_1="A-350",'2026'!$G$4="CA",'2026'!$G$2=W119),'2026DATA'!$H$3,"")</f>
        <v/>
      </c>
      <c r="X120" s="518" t="str">
        <f>IF(AND(_1="A-350",'2026'!$G$4="CA",'2026'!$G$2=X119),'2026DATA'!$I$3,"")</f>
        <v/>
      </c>
      <c r="Y120" s="518" t="str">
        <f>IF(AND(_1="A-350",'2026'!$G$4="CA",'2026'!$G$2=Y119),'2026DATA'!$J$3,"")</f>
        <v/>
      </c>
      <c r="Z120" s="518" t="str">
        <f>IF(AND(_1="A-350",'2026'!$G$4="CA",'2026'!$G$2=Z119),'2026DATA'!$K$3,"")</f>
        <v/>
      </c>
      <c r="AA120" s="518" t="str">
        <f>IF(AND(_1="A-350",'2026'!$G$4="CA",'2026'!$G$2=AA119),'2026DATA'!$L$3,"")</f>
        <v/>
      </c>
      <c r="AB120" s="518" t="str">
        <f>IF(AND(_1="A-350",'2026'!$G$4="CA",'2026'!$G$2=AB119),'2026DATA'!$M$3,"")</f>
        <v/>
      </c>
      <c r="AC120" s="520" t="str">
        <f>IF(AND(_1="A-350",'2026'!$G$4="CA",'2026'!$G$2=AC119),'2026DATA'!$N$3,"")</f>
        <v/>
      </c>
      <c r="AD120" s="940" t="s">
        <v>39</v>
      </c>
      <c r="AE120" s="13" t="s">
        <v>61</v>
      </c>
      <c r="AF120" s="518" t="str">
        <f>IF(AND(_2="A-350",'2026'!$G$4="CA",'2026'!$G$2=AF119),'2026DATA'!$C$3,"")</f>
        <v/>
      </c>
      <c r="AG120" s="518" t="str">
        <f>IF(AND(_2="A-350",'2026'!$G$4="CA",'2026'!$G$2=AG119),'2026DATA'!$D$3,"")</f>
        <v/>
      </c>
      <c r="AH120" s="518" t="str">
        <f>IF(AND(_2="A-350",'2026'!$G$4="CA",'2026'!$G$2=AH119),'2026DATA'!$E$3,"")</f>
        <v/>
      </c>
      <c r="AI120" s="518" t="str">
        <f>IF(AND(_2="A-350",'2026'!$G$4="CA",'2026'!$G$2=AI119),'2026DATA'!$F$3,"")</f>
        <v/>
      </c>
      <c r="AJ120" s="518" t="str">
        <f>IF(AND(_2="A-350",'2026'!$G$4="CA",'2026'!$G$2=AJ119),'2026DATA'!$G$3,"")</f>
        <v/>
      </c>
      <c r="AK120" s="518" t="str">
        <f>IF(AND(_2="A-350",'2026'!$G$4="CA",'2026'!$G$2=AK119),'2026DATA'!$H$3,"")</f>
        <v/>
      </c>
      <c r="AL120" s="518" t="str">
        <f>IF(AND(_2="A-350",'2026'!$G$4="CA",'2026'!$G$2=AL119),'2026DATA'!$I$3,"")</f>
        <v/>
      </c>
      <c r="AM120" s="518" t="str">
        <f>IF(AND(_2="A-350",'2026'!$G$4="CA",'2026'!$G$2=AM119),'2026DATA'!$J$3,"")</f>
        <v/>
      </c>
      <c r="AN120" s="518" t="str">
        <f>IF(AND(_2="A-350",'2026'!$G$4="CA",'2026'!$G$2=AN119),'2026DATA'!$K$3,"")</f>
        <v/>
      </c>
      <c r="AO120" s="518" t="str">
        <f>IF(AND(_2="A-350",'2026'!$G$4="CA",'2026'!$G$2=AO119),'2026DATA'!$L$3,"")</f>
        <v/>
      </c>
      <c r="AP120" s="518" t="str">
        <f>IF(AND(_2="A-350",'2026'!$G$4="CA",'2026'!$G$2=AP119),'2026DATA'!$M$3,"")</f>
        <v/>
      </c>
      <c r="AQ120" s="520" t="str">
        <f>IF(AND(_2="A-350",'2026'!$G$4="CA",'2026'!$G$2=AQ119),'2026DATA'!$N$3,"")</f>
        <v/>
      </c>
      <c r="AR120" s="940" t="s">
        <v>39</v>
      </c>
      <c r="AS120" s="13" t="s">
        <v>61</v>
      </c>
      <c r="AT120" s="518" t="str">
        <f>IF(AND(_3="A-350",'2026'!$G$4="CA",'2026'!$G$2=AT119),'2026DATA'!$C$3,"")</f>
        <v/>
      </c>
      <c r="AU120" s="518" t="str">
        <f>IF(AND(_3="A-350",'2026'!$G$4="CA",'2026'!$G$2=AU119),'2026DATA'!$D$3,"")</f>
        <v/>
      </c>
      <c r="AV120" s="518" t="str">
        <f>IF(AND(_3="A-350",'2026'!$G$4="CA",'2026'!$G$2=AV119),'2026DATA'!$E$3,"")</f>
        <v/>
      </c>
      <c r="AW120" s="518" t="str">
        <f>IF(AND(_3="A-350",'2026'!$G$4="CA",'2026'!$G$2=AW119),'2026DATA'!$F$3,"")</f>
        <v/>
      </c>
      <c r="AX120" s="518" t="str">
        <f>IF(AND(_3="A-350",'2026'!$G$4="CA",'2026'!$G$2=AX119),'2026DATA'!$G$3,"")</f>
        <v/>
      </c>
      <c r="AY120" s="518" t="str">
        <f>IF(AND(_3="A-350",'2026'!$G$4="CA",'2026'!$G$2=AY119),'2026DATA'!$H$3,"")</f>
        <v/>
      </c>
      <c r="AZ120" s="518" t="str">
        <f>IF(AND(_3="A-350",'2026'!$G$4="CA",'2026'!$G$2=AZ119),'2026DATA'!$I$3,"")</f>
        <v/>
      </c>
      <c r="BA120" s="518" t="str">
        <f>IF(AND(_3="A-350",'2026'!$G$4="CA",'2026'!$G$2=BA119),'2026DATA'!$J$3,"")</f>
        <v/>
      </c>
      <c r="BB120" s="518" t="str">
        <f>IF(AND(_3="A-350",'2026'!$G$4="CA",'2026'!$G$2=BB119),'2026DATA'!$K$3,"")</f>
        <v/>
      </c>
      <c r="BC120" s="518" t="str">
        <f>IF(AND(_3="A-350",'2026'!$G$4="CA",'2026'!$G$2=BC119),'2026DATA'!$L$3,"")</f>
        <v/>
      </c>
      <c r="BD120" s="518" t="str">
        <f>IF(AND(_3="A-350",'2026'!$G$4="CA",'2026'!$G$2=BD119),'2026DATA'!$M$3,"")</f>
        <v/>
      </c>
      <c r="BE120" s="520" t="str">
        <f>IF(AND(_3="A-350",'2026'!$G$4="CA",'2026'!$G$2=BE119),'2026DATA'!$N$3,"")</f>
        <v/>
      </c>
      <c r="BF120" s="940" t="s">
        <v>39</v>
      </c>
      <c r="BG120" s="13" t="s">
        <v>61</v>
      </c>
      <c r="BH120" s="518" t="str">
        <f>IF(AND(_4="A-350",'2026'!$G$4="CA",'2026'!$G$2=BH119),'2026DATA'!$C$3,"")</f>
        <v/>
      </c>
      <c r="BI120" s="518" t="str">
        <f>IF(AND(_4="A-350",'2026'!$G$4="CA",'2026'!$G$2=BI119),'2026DATA'!$D$3,"")</f>
        <v/>
      </c>
      <c r="BJ120" s="518" t="str">
        <f>IF(AND(_4="A-350",'2026'!$G$4="CA",'2026'!$G$2=BJ119),'2026DATA'!$E$3,"")</f>
        <v/>
      </c>
      <c r="BK120" s="518" t="str">
        <f>IF(AND(_4="A-350",'2026'!$G$4="CA",'2026'!$G$2=BK119),'2026DATA'!$F$3,"")</f>
        <v/>
      </c>
      <c r="BL120" s="518" t="str">
        <f>IF(AND(_4="A-350",'2026'!$G$4="CA",'2026'!$G$2=BL119),'2026DATA'!$G$3,"")</f>
        <v/>
      </c>
      <c r="BM120" s="518" t="str">
        <f>IF(AND(_4="A-350",'2026'!$G$4="CA",'2026'!$G$2=BM119),'2026DATA'!$H$3,"")</f>
        <v/>
      </c>
      <c r="BN120" s="518" t="str">
        <f>IF(AND(_4="A-350",'2026'!$G$4="CA",'2026'!$G$2=BN119),'2026DATA'!$I$3,"")</f>
        <v/>
      </c>
      <c r="BO120" s="518" t="str">
        <f>IF(AND(_4="A-350",'2026'!$G$4="CA",'2026'!$G$2=BO119),'2026DATA'!$J$3,"")</f>
        <v/>
      </c>
      <c r="BP120" s="518" t="str">
        <f>IF(AND(_4="A-350",'2026'!$G$4="CA",'2026'!$G$2=BP119),'2026DATA'!$K$3,"")</f>
        <v/>
      </c>
      <c r="BQ120" s="518" t="str">
        <f>IF(AND(_4="A-350",'2026'!$G$4="CA",'2026'!$G$2=BQ119),'2026DATA'!$L$3,"")</f>
        <v/>
      </c>
      <c r="BR120" s="518" t="str">
        <f>IF(AND(_4="A-350",'2026'!$G$4="CA",'2026'!$G$2=BR119),'2026DATA'!$M$3,"")</f>
        <v/>
      </c>
      <c r="BS120" s="520" t="str">
        <f>IF(AND(_4="A-350",'2026'!$G$4="CA",'2026'!$G$2=BS119),'2026DATA'!$N$3,"")</f>
        <v/>
      </c>
      <c r="BT120" s="940" t="s">
        <v>39</v>
      </c>
      <c r="BU120" s="13" t="s">
        <v>61</v>
      </c>
      <c r="BV120" s="518" t="str">
        <f>IF(AND(_5="A-350",'2026'!$G$4="CA",'2026'!$G$2=BV119),'2026DATA'!$C$3,"")</f>
        <v/>
      </c>
      <c r="BW120" s="518" t="str">
        <f>IF(AND(_5="A-350",'2026'!$G$4="CA",'2026'!$G$2=BW119),'2026DATA'!$D$3,"")</f>
        <v/>
      </c>
      <c r="BX120" s="518" t="str">
        <f>IF(AND(_5="A-350",'2026'!$G$4="CA",'2026'!$G$2=BX119),'2026DATA'!$E$3,"")</f>
        <v/>
      </c>
      <c r="BY120" s="518" t="str">
        <f>IF(AND(_5="A-350",'2026'!$G$4="CA",'2026'!$G$2=BY119),'2026DATA'!$F$3,"")</f>
        <v/>
      </c>
      <c r="BZ120" s="518" t="str">
        <f>IF(AND(_5="A-350",'2026'!$G$4="CA",'2026'!$G$2=BZ119),'2026DATA'!$G$3,"")</f>
        <v/>
      </c>
      <c r="CA120" s="518" t="str">
        <f>IF(AND(_5="A-350",'2026'!$G$4="CA",'2026'!$G$2=CA119),'2026DATA'!$H$3,"")</f>
        <v/>
      </c>
      <c r="CB120" s="518" t="str">
        <f>IF(AND(_5="A-350",'2026'!$G$4="CA",'2026'!$G$2=CB119),'2026DATA'!$I$3,"")</f>
        <v/>
      </c>
      <c r="CC120" s="518" t="str">
        <f>IF(AND(_5="A-350",'2026'!$G$4="CA",'2026'!$G$2=CC119),'2026DATA'!$J$3,"")</f>
        <v/>
      </c>
      <c r="CD120" s="518" t="str">
        <f>IF(AND(_5="A-350",'2026'!$G$4="CA",'2026'!$G$2=CD119),'2026DATA'!$K$3,"")</f>
        <v/>
      </c>
      <c r="CE120" s="518" t="str">
        <f>IF(AND(_5="A-350",'2026'!$G$4="CA",'2026'!$G$2=CE119),'2026DATA'!$L$3,"")</f>
        <v/>
      </c>
      <c r="CF120" s="518" t="str">
        <f>IF(AND(_5="A-350",'2026'!$G$4="CA",'2026'!$G$2=CF119),'2026DATA'!$M$3,"")</f>
        <v/>
      </c>
      <c r="CG120" s="520" t="str">
        <f>IF(AND(_5="A-350",'2026'!$G$4="CA",'2026'!$G$2=CG119),'2026DATA'!$N$3,"")</f>
        <v/>
      </c>
      <c r="CH120" s="940" t="s">
        <v>39</v>
      </c>
      <c r="CI120" s="13" t="s">
        <v>61</v>
      </c>
      <c r="CJ120" s="518" t="str">
        <f>IF(AND(_6="A-350",'2026'!$G$4="CA",'2026'!$G$2=CJ119),'2026DATA'!$C$3,"")</f>
        <v/>
      </c>
      <c r="CK120" s="518" t="str">
        <f>IF(AND(_6="A-350",'2026'!$G$4="CA",'2026'!$G$2=CK119),'2026DATA'!$D$3,"")</f>
        <v/>
      </c>
      <c r="CL120" s="518" t="str">
        <f>IF(AND(_6="A-350",'2026'!$G$4="CA",'2026'!$G$2=CL119),'2026DATA'!$E$3,"")</f>
        <v/>
      </c>
      <c r="CM120" s="518" t="str">
        <f>IF(AND(_6="A-350",'2026'!$G$4="CA",'2026'!$G$2=CM119),'2026DATA'!$F$3,"")</f>
        <v/>
      </c>
      <c r="CN120" s="518" t="str">
        <f>IF(AND(_6="A-350",'2026'!$G$4="CA",'2026'!$G$2=CN119),'2026DATA'!$G$3,"")</f>
        <v/>
      </c>
      <c r="CO120" s="518" t="str">
        <f>IF(AND(_6="A-350",'2026'!$G$4="CA",'2026'!$G$2=CO119),'2026DATA'!$H$3,"")</f>
        <v/>
      </c>
      <c r="CP120" s="518" t="str">
        <f>IF(AND(_6="A-350",'2026'!$G$4="CA",'2026'!$G$2=CP119),'2026DATA'!$I$3,"")</f>
        <v/>
      </c>
      <c r="CQ120" s="518" t="str">
        <f>IF(AND(_6="A-350",'2026'!$G$4="CA",'2026'!$G$2=CQ119),'2026DATA'!$J$3,"")</f>
        <v/>
      </c>
      <c r="CR120" s="518" t="str">
        <f>IF(AND(_6="A-350",'2026'!$G$4="CA",'2026'!$G$2=CR119),'2026DATA'!$K$3,"")</f>
        <v/>
      </c>
      <c r="CS120" s="518" t="str">
        <f>IF(AND(_6="A-350",'2026'!$G$4="CA",'2026'!$G$2=CS119),'2026DATA'!$L$3,"")</f>
        <v/>
      </c>
      <c r="CT120" s="518" t="str">
        <f>IF(AND(_6="A-350",'2026'!$G$4="CA",'2026'!$G$2=CT119),'2026DATA'!$M$3,"")</f>
        <v/>
      </c>
      <c r="CU120" s="520" t="str">
        <f>IF(AND(_6="A-350",'2026'!$G$4="CA",'2026'!$G$2=CU119),'2026DATA'!$N$3,"")</f>
        <v/>
      </c>
    </row>
    <row r="121" spans="16:99" x14ac:dyDescent="0.25">
      <c r="P121" s="940"/>
      <c r="Q121" s="13" t="s">
        <v>62</v>
      </c>
      <c r="R121" s="518" t="str">
        <f>IF(AND(_1="A-350",'2026'!$G$4="FO",'2026'!$G$2=R119),'2026DATA'!$C$4,"")</f>
        <v/>
      </c>
      <c r="S121" s="518" t="str">
        <f>IF(AND(_1="A-350",'2026'!$G$4="FO",'2026'!$G$2=S119),'2026DATA'!$D$4,"")</f>
        <v/>
      </c>
      <c r="T121" s="518" t="str">
        <f>IF(AND(_1="A-350",'2026'!$G$4="FO",'2026'!$G$2=T119),'2026DATA'!$E$4,"")</f>
        <v/>
      </c>
      <c r="U121" s="518" t="str">
        <f>IF(AND(_1="A-350",'2026'!$G$4="FO",'2026'!$G$2=U119),'2026DATA'!$F$4,"")</f>
        <v/>
      </c>
      <c r="V121" s="518" t="str">
        <f>IF(AND(_1="A-350",'2026'!$G$4="FO",'2026'!$G$2=V119),'2026DATA'!$G$4,"")</f>
        <v/>
      </c>
      <c r="W121" s="518" t="str">
        <f>IF(AND(_1="A-350",'2026'!$G$4="FO",'2026'!$G$2=W119),'2026DATA'!$H$4,"")</f>
        <v/>
      </c>
      <c r="X121" s="518" t="str">
        <f>IF(AND(_1="A-350",'2026'!$G$4="FO",'2026'!$G$2=X119),'2026DATA'!$I$4,"")</f>
        <v/>
      </c>
      <c r="Y121" s="518" t="str">
        <f>IF(AND(_1="A-350",'2026'!$G$4="FO",'2026'!$G$2=Y119),'2026DATA'!$J$4,"")</f>
        <v/>
      </c>
      <c r="Z121" s="518" t="str">
        <f>IF(AND(_1="A-350",'2026'!$G$4="FO",'2026'!$G$2=Z119),'2026DATA'!$K$4,"")</f>
        <v/>
      </c>
      <c r="AA121" s="518" t="str">
        <f>IF(AND(_1="A-350",'2026'!$G$4="FO",'2026'!$G$2=AA119),'2026DATA'!$L$4,"")</f>
        <v/>
      </c>
      <c r="AB121" s="518" t="str">
        <f>IF(AND(_1="A-350",'2026'!$G$4="FO",'2026'!$G$2=AB119),'2026DATA'!$M$4,"")</f>
        <v/>
      </c>
      <c r="AC121" s="520" t="str">
        <f>IF(AND(_1="A-350",'2026'!$G$4="FO",'2026'!$G$2=AC119),'2026DATA'!$N$4,"")</f>
        <v/>
      </c>
      <c r="AD121" s="940"/>
      <c r="AE121" s="13" t="s">
        <v>62</v>
      </c>
      <c r="AF121" s="518" t="str">
        <f>IF(AND(_2="A-350",'2026'!$G$4="FO",'2026'!$G$2=AF119),'2026DATA'!$C$4,"")</f>
        <v/>
      </c>
      <c r="AG121" s="518" t="str">
        <f>IF(AND(_2="A-350",'2026'!$G$4="FO",'2026'!$G$2=AG119),'2026DATA'!$D$4,"")</f>
        <v/>
      </c>
      <c r="AH121" s="518" t="str">
        <f>IF(AND(_2="A-350",'2026'!$G$4="FO",'2026'!$G$2=AH119),'2026DATA'!$E$4,"")</f>
        <v/>
      </c>
      <c r="AI121" s="518" t="str">
        <f>IF(AND(_2="A-350",'2026'!$G$4="FO",'2026'!$G$2=AI119),'2026DATA'!$F$4,"")</f>
        <v/>
      </c>
      <c r="AJ121" s="518" t="str">
        <f>IF(AND(_2="A-350",'2026'!$G$4="FO",'2026'!$G$2=AJ119),'2026DATA'!$G$4,"")</f>
        <v/>
      </c>
      <c r="AK121" s="518" t="str">
        <f>IF(AND(_2="A-350",'2026'!$G$4="FO",'2026'!$G$2=AK119),'2026DATA'!$H$4,"")</f>
        <v/>
      </c>
      <c r="AL121" s="518" t="str">
        <f>IF(AND(_2="A-350",'2026'!$G$4="FO",'2026'!$G$2=AL119),'2026DATA'!$I$4,"")</f>
        <v/>
      </c>
      <c r="AM121" s="518" t="str">
        <f>IF(AND(_2="A-350",'2026'!$G$4="FO",'2026'!$G$2=AM119),'2026DATA'!$J$4,"")</f>
        <v/>
      </c>
      <c r="AN121" s="518" t="str">
        <f>IF(AND(_2="A-350",'2026'!$G$4="FO",'2026'!$G$2=AN119),'2026DATA'!$K$4,"")</f>
        <v/>
      </c>
      <c r="AO121" s="518" t="str">
        <f>IF(AND(_2="A-350",'2026'!$G$4="FO",'2026'!$G$2=AO119),'2026DATA'!$L$4,"")</f>
        <v/>
      </c>
      <c r="AP121" s="518" t="str">
        <f>IF(AND(_2="A-350",'2026'!$G$4="FO",'2026'!$G$2=AP119),'2026DATA'!$M$4,"")</f>
        <v/>
      </c>
      <c r="AQ121" s="520" t="str">
        <f>IF(AND(_2="A-350",'2026'!$G$4="FO",'2026'!$G$2=AQ119),'2026DATA'!$N$4,"")</f>
        <v/>
      </c>
      <c r="AR121" s="940"/>
      <c r="AS121" s="13" t="s">
        <v>62</v>
      </c>
      <c r="AT121" s="518" t="str">
        <f>IF(AND(_3="A-350",'2026'!$G$4="FO",'2026'!$G$2=AT119),'2026DATA'!$C$4,"")</f>
        <v/>
      </c>
      <c r="AU121" s="518" t="str">
        <f>IF(AND(_3="A-350",'2026'!$G$4="FO",'2026'!$G$2=AU119),'2026DATA'!$D$4,"")</f>
        <v/>
      </c>
      <c r="AV121" s="518" t="str">
        <f>IF(AND(_3="A-350",'2026'!$G$4="FO",'2026'!$G$2=AV119),'2026DATA'!$E$4,"")</f>
        <v/>
      </c>
      <c r="AW121" s="518" t="str">
        <f>IF(AND(_3="A-350",'2026'!$G$4="FO",'2026'!$G$2=AW119),'2026DATA'!$F$4,"")</f>
        <v/>
      </c>
      <c r="AX121" s="518" t="str">
        <f>IF(AND(_3="A-350",'2026'!$G$4="FO",'2026'!$G$2=AX119),'2026DATA'!$G$4,"")</f>
        <v/>
      </c>
      <c r="AY121" s="518" t="str">
        <f>IF(AND(_3="A-350",'2026'!$G$4="FO",'2026'!$G$2=AY119),'2026DATA'!$H$4,"")</f>
        <v/>
      </c>
      <c r="AZ121" s="518" t="str">
        <f>IF(AND(_3="A-350",'2026'!$G$4="FO",'2026'!$G$2=AZ119),'2026DATA'!$I$4,"")</f>
        <v/>
      </c>
      <c r="BA121" s="518" t="str">
        <f>IF(AND(_3="A-350",'2026'!$G$4="FO",'2026'!$G$2=BA119),'2026DATA'!$J$4,"")</f>
        <v/>
      </c>
      <c r="BB121" s="518" t="str">
        <f>IF(AND(_3="A-350",'2026'!$G$4="FO",'2026'!$G$2=BB119),'2026DATA'!$K$4,"")</f>
        <v/>
      </c>
      <c r="BC121" s="518" t="str">
        <f>IF(AND(_3="A-350",'2026'!$G$4="FO",'2026'!$G$2=BC119),'2026DATA'!$L$4,"")</f>
        <v/>
      </c>
      <c r="BD121" s="518" t="str">
        <f>IF(AND(_3="A-350",'2026'!$G$4="FO",'2026'!$G$2=BD119),'2026DATA'!$M$4,"")</f>
        <v/>
      </c>
      <c r="BE121" s="520" t="str">
        <f>IF(AND(_3="A-350",'2026'!$G$4="FO",'2026'!$G$2=BE119),'2026DATA'!$N$4,"")</f>
        <v/>
      </c>
      <c r="BF121" s="940"/>
      <c r="BG121" s="13" t="s">
        <v>62</v>
      </c>
      <c r="BH121" s="518" t="str">
        <f>IF(AND(_4="A-350",'2026'!$G$4="FO",'2026'!$G$2=BH119),'2026DATA'!$C$4,"")</f>
        <v/>
      </c>
      <c r="BI121" s="518" t="str">
        <f>IF(AND(_4="A-350",'2026'!$G$4="FO",'2026'!$G$2=BI119),'2026DATA'!$D$4,"")</f>
        <v/>
      </c>
      <c r="BJ121" s="518" t="str">
        <f>IF(AND(_4="A-350",'2026'!$G$4="FO",'2026'!$G$2=BJ119),'2026DATA'!$E$4,"")</f>
        <v/>
      </c>
      <c r="BK121" s="518" t="str">
        <f>IF(AND(_4="A-350",'2026'!$G$4="FO",'2026'!$G$2=BK119),'2026DATA'!$F$4,"")</f>
        <v/>
      </c>
      <c r="BL121" s="518" t="str">
        <f>IF(AND(_4="A-350",'2026'!$G$4="FO",'2026'!$G$2=BL119),'2026DATA'!$G$4,"")</f>
        <v/>
      </c>
      <c r="BM121" s="518" t="str">
        <f>IF(AND(_4="A-350",'2026'!$G$4="FO",'2026'!$G$2=BM119),'2026DATA'!$H$4,"")</f>
        <v/>
      </c>
      <c r="BN121" s="518" t="str">
        <f>IF(AND(_4="A-350",'2026'!$G$4="FO",'2026'!$G$2=BN119),'2026DATA'!$I$4,"")</f>
        <v/>
      </c>
      <c r="BO121" s="518" t="str">
        <f>IF(AND(_4="A-350",'2026'!$G$4="FO",'2026'!$G$2=BO119),'2026DATA'!$J$4,"")</f>
        <v/>
      </c>
      <c r="BP121" s="518" t="str">
        <f>IF(AND(_4="A-350",'2026'!$G$4="FO",'2026'!$G$2=BP119),'2026DATA'!$K$4,"")</f>
        <v/>
      </c>
      <c r="BQ121" s="518" t="str">
        <f>IF(AND(_4="A-350",'2026'!$G$4="FO",'2026'!$G$2=BQ119),'2026DATA'!$L$4,"")</f>
        <v/>
      </c>
      <c r="BR121" s="518" t="str">
        <f>IF(AND(_4="A-350",'2026'!$G$4="FO",'2026'!$G$2=BR119),'2026DATA'!$M$4,"")</f>
        <v/>
      </c>
      <c r="BS121" s="520" t="str">
        <f>IF(AND(_4="A-350",'2026'!$G$4="FO",'2026'!$G$2=BS119),'2026DATA'!$N$4,"")</f>
        <v/>
      </c>
      <c r="BT121" s="940"/>
      <c r="BU121" s="13" t="s">
        <v>62</v>
      </c>
      <c r="BV121" s="518" t="str">
        <f>IF(AND(_5="A-350",'2026'!$G$4="FO",'2026'!$G$2=BV119),'2026DATA'!$C$4,"")</f>
        <v/>
      </c>
      <c r="BW121" s="518" t="str">
        <f>IF(AND(_5="A-350",'2026'!$G$4="FO",'2026'!$G$2=BW119),'2026DATA'!$D$4,"")</f>
        <v/>
      </c>
      <c r="BX121" s="518" t="str">
        <f>IF(AND(_5="A-350",'2026'!$G$4="FO",'2026'!$G$2=BX119),'2026DATA'!$E$4,"")</f>
        <v/>
      </c>
      <c r="BY121" s="518" t="str">
        <f>IF(AND(_5="A-350",'2026'!$G$4="FO",'2026'!$G$2=BY119),'2026DATA'!$F$4,"")</f>
        <v/>
      </c>
      <c r="BZ121" s="518" t="str">
        <f>IF(AND(_5="A-350",'2026'!$G$4="FO",'2026'!$G$2=BZ119),'2026DATA'!$G$4,"")</f>
        <v/>
      </c>
      <c r="CA121" s="518" t="str">
        <f>IF(AND(_5="A-350",'2026'!$G$4="FO",'2026'!$G$2=CA119),'2026DATA'!$H$4,"")</f>
        <v/>
      </c>
      <c r="CB121" s="518" t="str">
        <f>IF(AND(_5="A-350",'2026'!$G$4="FO",'2026'!$G$2=CB119),'2026DATA'!$I$4,"")</f>
        <v/>
      </c>
      <c r="CC121" s="518" t="str">
        <f>IF(AND(_5="A-350",'2026'!$G$4="FO",'2026'!$G$2=CC119),'2026DATA'!$J$4,"")</f>
        <v/>
      </c>
      <c r="CD121" s="518" t="str">
        <f>IF(AND(_5="A-350",'2026'!$G$4="FO",'2026'!$G$2=CD119),'2026DATA'!$K$4,"")</f>
        <v/>
      </c>
      <c r="CE121" s="518" t="str">
        <f>IF(AND(_5="A-350",'2026'!$G$4="FO",'2026'!$G$2=CE119),'2026DATA'!$L$4,"")</f>
        <v/>
      </c>
      <c r="CF121" s="518" t="str">
        <f>IF(AND(_5="A-350",'2026'!$G$4="FO",'2026'!$G$2=CF119),'2026DATA'!$M$4,"")</f>
        <v/>
      </c>
      <c r="CG121" s="520" t="str">
        <f>IF(AND(_5="A-350",'2026'!$G$4="FO",'2026'!$G$2=CG119),'2026DATA'!$N$4,"")</f>
        <v/>
      </c>
      <c r="CH121" s="940"/>
      <c r="CI121" s="13" t="s">
        <v>62</v>
      </c>
      <c r="CJ121" s="518" t="str">
        <f>IF(AND(_6="A-350",'2026'!$G$4="FO",'2026'!$G$2=CJ119),'2026DATA'!$C$4,"")</f>
        <v/>
      </c>
      <c r="CK121" s="518" t="str">
        <f>IF(AND(_6="A-350",'2026'!$G$4="FO",'2026'!$G$2=CK119),'2026DATA'!$D$4,"")</f>
        <v/>
      </c>
      <c r="CL121" s="518" t="str">
        <f>IF(AND(_6="A-350",'2026'!$G$4="FO",'2026'!$G$2=CL119),'2026DATA'!$E$4,"")</f>
        <v/>
      </c>
      <c r="CM121" s="518" t="str">
        <f>IF(AND(_6="A-350",'2026'!$G$4="FO",'2026'!$G$2=CM119),'2026DATA'!$F$4,"")</f>
        <v/>
      </c>
      <c r="CN121" s="518" t="str">
        <f>IF(AND(_6="A-350",'2026'!$G$4="FO",'2026'!$G$2=CN119),'2026DATA'!$G$4,"")</f>
        <v/>
      </c>
      <c r="CO121" s="518" t="str">
        <f>IF(AND(_6="A-350",'2026'!$G$4="FO",'2026'!$G$2=CO119),'2026DATA'!$H$4,"")</f>
        <v/>
      </c>
      <c r="CP121" s="518" t="str">
        <f>IF(AND(_6="A-350",'2026'!$G$4="FO",'2026'!$G$2=CP119),'2026DATA'!$I$4,"")</f>
        <v/>
      </c>
      <c r="CQ121" s="518" t="str">
        <f>IF(AND(_6="A-350",'2026'!$G$4="FO",'2026'!$G$2=CQ119),'2026DATA'!$J$4,"")</f>
        <v/>
      </c>
      <c r="CR121" s="518" t="str">
        <f>IF(AND(_6="A-350",'2026'!$G$4="FO",'2026'!$G$2=CR119),'2026DATA'!$K$4,"")</f>
        <v/>
      </c>
      <c r="CS121" s="518" t="str">
        <f>IF(AND(_6="A-350",'2026'!$G$4="FO",'2026'!$G$2=CS119),'2026DATA'!$L$4,"")</f>
        <v/>
      </c>
      <c r="CT121" s="518" t="str">
        <f>IF(AND(_6="A-350",'2026'!$G$4="FO",'2026'!$G$2=CT119),'2026DATA'!$M$4,"")</f>
        <v/>
      </c>
      <c r="CU121" s="520" t="str">
        <f>IF(AND(_6="A-350",'2026'!$G$4="FO",'2026'!$G$2=CU119),'2026DATA'!$N$4,"")</f>
        <v/>
      </c>
    </row>
    <row r="122" spans="16:99" x14ac:dyDescent="0.25">
      <c r="P122" s="940" t="s">
        <v>65</v>
      </c>
      <c r="Q122" s="13" t="s">
        <v>61</v>
      </c>
      <c r="R122" s="518" t="str">
        <f>IF(AND(_1="A-330-900",'2026'!$G$4="CA",'2026'!$G$2=R119),'2026DATA'!$C$5,"")</f>
        <v/>
      </c>
      <c r="S122" s="518" t="str">
        <f>IF(AND(_1="A-330-900",'2026'!$G$4="CA",'2026'!$G$2=S119),'2026DATA'!$D$5,"")</f>
        <v/>
      </c>
      <c r="T122" s="518" t="str">
        <f>IF(AND(_1="A-330-900",'2026'!$G$4="CA",'2026'!$G$2=T119),'2026DATA'!$E$5,"")</f>
        <v/>
      </c>
      <c r="U122" s="518" t="str">
        <f>IF(AND(_1="A-330-900",'2026'!$G$4="CA",'2026'!$G$2=U119),'2026DATA'!$F$5,"")</f>
        <v/>
      </c>
      <c r="V122" s="518" t="str">
        <f>IF(AND(_1="A-330-900",'2026'!$G$4="CA",'2026'!$G$2=V119),'2026DATA'!$G$5,"")</f>
        <v/>
      </c>
      <c r="W122" s="518" t="str">
        <f>IF(AND(_1="A-330-900",'2026'!$G$4="CA",'2026'!$G$2=W119),'2026DATA'!$H$5,"")</f>
        <v/>
      </c>
      <c r="X122" s="518" t="str">
        <f>IF(AND(_1="A-330-900",'2026'!$G$4="CA",'2026'!$G$2=X119),'2026DATA'!$I$5,"")</f>
        <v/>
      </c>
      <c r="Y122" s="518" t="str">
        <f>IF(AND(_1="A-330-900",'2026'!$G$4="CA",'2026'!$G$2=Y119),'2026DATA'!$J$5,"")</f>
        <v/>
      </c>
      <c r="Z122" s="518" t="str">
        <f>IF(AND(_1="A-330-900",'2026'!$G$4="CA",'2026'!$G$2=Z119),'2026DATA'!$K$5,"")</f>
        <v/>
      </c>
      <c r="AA122" s="518" t="str">
        <f>IF(AND(_1="A-330-900",'2026'!$G$4="CA",'2026'!$G$2=AA119),'2026DATA'!$L$5,"")</f>
        <v/>
      </c>
      <c r="AB122" s="518" t="str">
        <f>IF(AND(_1="A-330-900",'2026'!$G$4="CA",'2026'!$G$2=AB119),'2026DATA'!$M$5,"")</f>
        <v/>
      </c>
      <c r="AC122" s="520" t="str">
        <f>IF(AND(_1="A-330-900",'2026'!$G$4="CA",'2026'!$G$2=AC119),'2026DATA'!$N$5,"")</f>
        <v/>
      </c>
      <c r="AD122" s="940" t="s">
        <v>65</v>
      </c>
      <c r="AE122" s="13" t="s">
        <v>61</v>
      </c>
      <c r="AF122" s="518" t="str">
        <f>IF(AND(_2="A-330-900",'2026'!$G$4="CA",'2026'!$G$2=AF119),'2026DATA'!$C$5,"")</f>
        <v/>
      </c>
      <c r="AG122" s="518" t="str">
        <f>IF(AND(_2="A-330-900",'2026'!$G$4="CA",'2026'!$G$2=AG119),'2026DATA'!$D$5,"")</f>
        <v/>
      </c>
      <c r="AH122" s="518" t="str">
        <f>IF(AND(_2="A-330-900",'2026'!$G$4="CA",'2026'!$G$2=AH119),'2026DATA'!$E$5,"")</f>
        <v/>
      </c>
      <c r="AI122" s="518" t="str">
        <f>IF(AND(_2="A-330-900",'2026'!$G$4="CA",'2026'!$G$2=AI119),'2026DATA'!$F$5,"")</f>
        <v/>
      </c>
      <c r="AJ122" s="518" t="str">
        <f>IF(AND(_2="A-330-900",'2026'!$G$4="CA",'2026'!$G$2=AJ119),'2026DATA'!$G$5,"")</f>
        <v/>
      </c>
      <c r="AK122" s="518" t="str">
        <f>IF(AND(_2="A-330-900",'2026'!$G$4="CA",'2026'!$G$2=AK119),'2026DATA'!$H$5,"")</f>
        <v/>
      </c>
      <c r="AL122" s="518" t="str">
        <f>IF(AND(_2="A-330-900",'2026'!$G$4="CA",'2026'!$G$2=AL119),'2026DATA'!$I$5,"")</f>
        <v/>
      </c>
      <c r="AM122" s="518" t="str">
        <f>IF(AND(_2="A-330-900",'2026'!$G$4="CA",'2026'!$G$2=AM119),'2026DATA'!$J$5,"")</f>
        <v/>
      </c>
      <c r="AN122" s="518" t="str">
        <f>IF(AND(_2="A-330-900",'2026'!$G$4="CA",'2026'!$G$2=AN119),'2026DATA'!$K$5,"")</f>
        <v/>
      </c>
      <c r="AO122" s="518" t="str">
        <f>IF(AND(_2="A-330-900",'2026'!$G$4="CA",'2026'!$G$2=AO119),'2026DATA'!$L$5,"")</f>
        <v/>
      </c>
      <c r="AP122" s="518" t="str">
        <f>IF(AND(_2="A-330-900",'2026'!$G$4="CA",'2026'!$G$2=AP119),'2026DATA'!$M$5,"")</f>
        <v/>
      </c>
      <c r="AQ122" s="520" t="str">
        <f>IF(AND(_2="A-330-900",'2026'!$G$4="CA",'2026'!$G$2=AQ119),'2026DATA'!$N$5,"")</f>
        <v/>
      </c>
      <c r="AR122" s="940" t="s">
        <v>65</v>
      </c>
      <c r="AS122" s="13" t="s">
        <v>61</v>
      </c>
      <c r="AT122" s="518" t="str">
        <f>IF(AND(_3="A-330-900",'2026'!$G$4="CA",'2026'!$G$2=AT119),'2026DATA'!$C$5,"")</f>
        <v/>
      </c>
      <c r="AU122" s="518" t="str">
        <f>IF(AND(_3="A-330-900",'2026'!$G$4="CA",'2026'!$G$2=AU119),'2026DATA'!$D$5,"")</f>
        <v/>
      </c>
      <c r="AV122" s="518" t="str">
        <f>IF(AND(_3="A-330-900",'2026'!$G$4="CA",'2026'!$G$2=AV119),'2026DATA'!$E$5,"")</f>
        <v/>
      </c>
      <c r="AW122" s="518" t="str">
        <f>IF(AND(_3="A-330-900",'2026'!$G$4="CA",'2026'!$G$2=AW119),'2026DATA'!$F$5,"")</f>
        <v/>
      </c>
      <c r="AX122" s="518" t="str">
        <f>IF(AND(_3="A-330-900",'2026'!$G$4="CA",'2026'!$G$2=AX119),'2026DATA'!$G$5,"")</f>
        <v/>
      </c>
      <c r="AY122" s="518" t="str">
        <f>IF(AND(_3="A-330-900",'2026'!$G$4="CA",'2026'!$G$2=AY119),'2026DATA'!$H$5,"")</f>
        <v/>
      </c>
      <c r="AZ122" s="518" t="str">
        <f>IF(AND(_3="A-330-900",'2026'!$G$4="CA",'2026'!$G$2=AZ119),'2026DATA'!$I$5,"")</f>
        <v/>
      </c>
      <c r="BA122" s="518" t="str">
        <f>IF(AND(_3="A-330-900",'2026'!$G$4="CA",'2026'!$G$2=BA119),'2026DATA'!$J$5,"")</f>
        <v/>
      </c>
      <c r="BB122" s="518" t="str">
        <f>IF(AND(_3="A-330-900",'2026'!$G$4="CA",'2026'!$G$2=BB119),'2026DATA'!$K$5,"")</f>
        <v/>
      </c>
      <c r="BC122" s="518" t="str">
        <f>IF(AND(_3="A-330-900",'2026'!$G$4="CA",'2026'!$G$2=BC119),'2026DATA'!$L$5,"")</f>
        <v/>
      </c>
      <c r="BD122" s="518" t="str">
        <f>IF(AND(_3="A-330-900",'2026'!$G$4="CA",'2026'!$G$2=BD119),'2026DATA'!$M$5,"")</f>
        <v/>
      </c>
      <c r="BE122" s="520" t="str">
        <f>IF(AND(_3="A-330-900",'2026'!$G$4="CA",'2026'!$G$2=BE119),'2026DATA'!$N$5,"")</f>
        <v/>
      </c>
      <c r="BF122" s="940" t="s">
        <v>65</v>
      </c>
      <c r="BG122" s="13" t="s">
        <v>61</v>
      </c>
      <c r="BH122" s="518" t="str">
        <f>IF(AND(_4="A-330-900",'2026'!$G$4="CA",'2026'!$G$2=BH119),'2026DATA'!$C$5,"")</f>
        <v/>
      </c>
      <c r="BI122" s="518" t="str">
        <f>IF(AND(_4="A-330-900",'2026'!$G$4="CA",'2026'!$G$2=BI119),'2026DATA'!$D$5,"")</f>
        <v/>
      </c>
      <c r="BJ122" s="518" t="str">
        <f>IF(AND(_4="A-330-900",'2026'!$G$4="CA",'2026'!$G$2=BJ119),'2026DATA'!$E$5,"")</f>
        <v/>
      </c>
      <c r="BK122" s="518" t="str">
        <f>IF(AND(_4="A-330-900",'2026'!$G$4="CA",'2026'!$G$2=BK119),'2026DATA'!$F$5,"")</f>
        <v/>
      </c>
      <c r="BL122" s="518" t="str">
        <f>IF(AND(_4="A-330-900",'2026'!$G$4="CA",'2026'!$G$2=BL119),'2026DATA'!$G$5,"")</f>
        <v/>
      </c>
      <c r="BM122" s="518" t="str">
        <f>IF(AND(_4="A-330-900",'2026'!$G$4="CA",'2026'!$G$2=BM119),'2026DATA'!$H$5,"")</f>
        <v/>
      </c>
      <c r="BN122" s="518" t="str">
        <f>IF(AND(_4="A-330-900",'2026'!$G$4="CA",'2026'!$G$2=BN119),'2026DATA'!$I$5,"")</f>
        <v/>
      </c>
      <c r="BO122" s="518" t="str">
        <f>IF(AND(_4="A-330-900",'2026'!$G$4="CA",'2026'!$G$2=BO119),'2026DATA'!$J$5,"")</f>
        <v/>
      </c>
      <c r="BP122" s="518" t="str">
        <f>IF(AND(_4="A-330-900",'2026'!$G$4="CA",'2026'!$G$2=BP119),'2026DATA'!$K$5,"")</f>
        <v/>
      </c>
      <c r="BQ122" s="518" t="str">
        <f>IF(AND(_4="A-330-900",'2026'!$G$4="CA",'2026'!$G$2=BQ119),'2026DATA'!$L$5,"")</f>
        <v/>
      </c>
      <c r="BR122" s="518" t="str">
        <f>IF(AND(_4="A-330-900",'2026'!$G$4="CA",'2026'!$G$2=BR119),'2026DATA'!$M$5,"")</f>
        <v/>
      </c>
      <c r="BS122" s="520" t="str">
        <f>IF(AND(_4="A-330-900",'2026'!$G$4="CA",'2026'!$G$2=BS119),'2026DATA'!$N$5,"")</f>
        <v/>
      </c>
      <c r="BT122" s="940" t="s">
        <v>65</v>
      </c>
      <c r="BU122" s="13" t="s">
        <v>61</v>
      </c>
      <c r="BV122" s="518" t="str">
        <f>IF(AND(_5="A-330-900",'2026'!$G$4="CA",'2026'!$G$2=BV119),'2026DATA'!$C$5,"")</f>
        <v/>
      </c>
      <c r="BW122" s="518" t="str">
        <f>IF(AND(_5="A-330-900",'2026'!$G$4="CA",'2026'!$G$2=BW119),'2026DATA'!$D$5,"")</f>
        <v/>
      </c>
      <c r="BX122" s="518" t="str">
        <f>IF(AND(_5="A-330-900",'2026'!$G$4="CA",'2026'!$G$2=BX119),'2026DATA'!$E$5,"")</f>
        <v/>
      </c>
      <c r="BY122" s="518" t="str">
        <f>IF(AND(_5="A-330-900",'2026'!$G$4="CA",'2026'!$G$2=BY119),'2026DATA'!$F$5,"")</f>
        <v/>
      </c>
      <c r="BZ122" s="518" t="str">
        <f>IF(AND(_5="A-330-900",'2026'!$G$4="CA",'2026'!$G$2=BZ119),'2026DATA'!$G$5,"")</f>
        <v/>
      </c>
      <c r="CA122" s="518" t="str">
        <f>IF(AND(_5="A-330-900",'2026'!$G$4="CA",'2026'!$G$2=CA119),'2026DATA'!$H$5,"")</f>
        <v/>
      </c>
      <c r="CB122" s="518" t="str">
        <f>IF(AND(_5="A-330-900",'2026'!$G$4="CA",'2026'!$G$2=CB119),'2026DATA'!$I$5,"")</f>
        <v/>
      </c>
      <c r="CC122" s="518" t="str">
        <f>IF(AND(_5="A-330-900",'2026'!$G$4="CA",'2026'!$G$2=CC119),'2026DATA'!$J$5,"")</f>
        <v/>
      </c>
      <c r="CD122" s="518" t="str">
        <f>IF(AND(_5="A-330-900",'2026'!$G$4="CA",'2026'!$G$2=CD119),'2026DATA'!$K$5,"")</f>
        <v/>
      </c>
      <c r="CE122" s="518" t="str">
        <f>IF(AND(_5="A-330-900",'2026'!$G$4="CA",'2026'!$G$2=CE119),'2026DATA'!$L$5,"")</f>
        <v/>
      </c>
      <c r="CF122" s="518" t="str">
        <f>IF(AND(_5="A-330-900",'2026'!$G$4="CA",'2026'!$G$2=CF119),'2026DATA'!$M$5,"")</f>
        <v/>
      </c>
      <c r="CG122" s="520" t="str">
        <f>IF(AND(_5="A-330-900",'2026'!$G$4="CA",'2026'!$G$2=CG119),'2026DATA'!$N$5,"")</f>
        <v/>
      </c>
      <c r="CH122" s="940" t="s">
        <v>65</v>
      </c>
      <c r="CI122" s="13" t="s">
        <v>61</v>
      </c>
      <c r="CJ122" s="518" t="str">
        <f>IF(AND(_6="A-330-900",'2026'!$G$4="CA",'2026'!$G$2=CJ119),'2026DATA'!$C$5,"")</f>
        <v/>
      </c>
      <c r="CK122" s="518" t="str">
        <f>IF(AND(_6="A-330-900",'2026'!$G$4="CA",'2026'!$G$2=CK119),'2026DATA'!$D$5,"")</f>
        <v/>
      </c>
      <c r="CL122" s="518" t="str">
        <f>IF(AND(_6="A-330-900",'2026'!$G$4="CA",'2026'!$G$2=CL119),'2026DATA'!$E$5,"")</f>
        <v/>
      </c>
      <c r="CM122" s="518" t="str">
        <f>IF(AND(_6="A-330-900",'2026'!$G$4="CA",'2026'!$G$2=CM119),'2026DATA'!$F$5,"")</f>
        <v/>
      </c>
      <c r="CN122" s="518" t="str">
        <f>IF(AND(_6="A-330-900",'2026'!$G$4="CA",'2026'!$G$2=CN119),'2026DATA'!$G$5,"")</f>
        <v/>
      </c>
      <c r="CO122" s="518" t="str">
        <f>IF(AND(_6="A-330-900",'2026'!$G$4="CA",'2026'!$G$2=CO119),'2026DATA'!$H$5,"")</f>
        <v/>
      </c>
      <c r="CP122" s="518" t="str">
        <f>IF(AND(_6="A-330-900",'2026'!$G$4="CA",'2026'!$G$2=CP119),'2026DATA'!$I$5,"")</f>
        <v/>
      </c>
      <c r="CQ122" s="518" t="str">
        <f>IF(AND(_6="A-330-900",'2026'!$G$4="CA",'2026'!$G$2=CQ119),'2026DATA'!$J$5,"")</f>
        <v/>
      </c>
      <c r="CR122" s="518" t="str">
        <f>IF(AND(_6="A-330-900",'2026'!$G$4="CA",'2026'!$G$2=CR119),'2026DATA'!$K$5,"")</f>
        <v/>
      </c>
      <c r="CS122" s="518" t="str">
        <f>IF(AND(_6="A-330-900",'2026'!$G$4="CA",'2026'!$G$2=CS119),'2026DATA'!$L$5,"")</f>
        <v/>
      </c>
      <c r="CT122" s="518" t="str">
        <f>IF(AND(_6="A-330-900",'2026'!$G$4="CA",'2026'!$G$2=CT119),'2026DATA'!$M$5,"")</f>
        <v/>
      </c>
      <c r="CU122" s="520" t="str">
        <f>IF(AND(_6="A-330-900",'2026'!$G$4="CA",'2026'!$G$2=CU119),'2026DATA'!$N$5,"")</f>
        <v/>
      </c>
    </row>
    <row r="123" spans="16:99" x14ac:dyDescent="0.25">
      <c r="P123" s="940"/>
      <c r="Q123" s="13" t="s">
        <v>62</v>
      </c>
      <c r="R123" s="518" t="str">
        <f>IF(AND(_1="A-330-900",'2026'!$G$4="FO",'2026'!$G$2=R119),'2026DATA'!$C$6,"")</f>
        <v/>
      </c>
      <c r="S123" s="518" t="str">
        <f>IF(AND(_1="A-330-900",'2026'!$G$4="FO",'2026'!$G$2=S119),'2026DATA'!$D$6,"")</f>
        <v/>
      </c>
      <c r="T123" s="518" t="str">
        <f>IF(AND(_1="A-330-900",'2026'!$G$4="FO",'2026'!$G$2=T119),'2026DATA'!$E$6,"")</f>
        <v/>
      </c>
      <c r="U123" s="518" t="str">
        <f>IF(AND(_1="A-330-900",'2026'!$G$4="FO",'2026'!$G$2=U119),'2026DATA'!$F$6,"")</f>
        <v/>
      </c>
      <c r="V123" s="518" t="str">
        <f>IF(AND(_1="A-330-900",'2026'!$G$4="FO",'2026'!$G$2=V119),'2026DATA'!$G$6,"")</f>
        <v/>
      </c>
      <c r="W123" s="518" t="str">
        <f>IF(AND(_1="A-330-900",'2026'!$G$4="FO",'2026'!$G$2=W119),'2026DATA'!$H$6,"")</f>
        <v/>
      </c>
      <c r="X123" s="518" t="str">
        <f>IF(AND(_1="A-330-900",'2026'!$G$4="FO",'2026'!$G$2=X119),'2026DATA'!$I$6,"")</f>
        <v/>
      </c>
      <c r="Y123" s="518" t="str">
        <f>IF(AND(_1="A-330-900",'2026'!$G$4="FO",'2026'!$G$2=Y119),'2026DATA'!$J$6,"")</f>
        <v/>
      </c>
      <c r="Z123" s="518" t="str">
        <f>IF(AND(_1="A-330-900",'2026'!$G$4="FO",'2026'!$G$2=Z119),'2026DATA'!$K$6,"")</f>
        <v/>
      </c>
      <c r="AA123" s="518" t="str">
        <f>IF(AND(_1="A-330-900",'2026'!$G$4="FO",'2026'!$G$2=AA119),'2026DATA'!$L$6,"")</f>
        <v/>
      </c>
      <c r="AB123" s="518" t="str">
        <f>IF(AND(_1="A-330-900",'2026'!$G$4="FO",'2026'!$G$2=AB119),'2026DATA'!$M$6,"")</f>
        <v/>
      </c>
      <c r="AC123" s="520" t="str">
        <f>IF(AND(_1="A-330-900",'2026'!$G$4="FO",'2026'!$G$2=AC119),'2026DATA'!$N$6,"")</f>
        <v/>
      </c>
      <c r="AD123" s="940"/>
      <c r="AE123" s="13" t="s">
        <v>62</v>
      </c>
      <c r="AF123" s="518" t="str">
        <f>IF(AND(_2="A-330-900",'2026'!$G$4="FO",'2026'!$G$2=AF119),'2026DATA'!$C$6,"")</f>
        <v/>
      </c>
      <c r="AG123" s="518" t="str">
        <f>IF(AND(_2="A-330-900",'2026'!$G$4="FO",'2026'!$G$2=AG119),'2026DATA'!$D$6,"")</f>
        <v/>
      </c>
      <c r="AH123" s="518" t="str">
        <f>IF(AND(_2="A-330-900",'2026'!$G$4="FO",'2026'!$G$2=AH119),'2026DATA'!$E$6,"")</f>
        <v/>
      </c>
      <c r="AI123" s="518" t="str">
        <f>IF(AND(_2="A-330-900",'2026'!$G$4="FO",'2026'!$G$2=AI119),'2026DATA'!$F$6,"")</f>
        <v/>
      </c>
      <c r="AJ123" s="518" t="str">
        <f>IF(AND(_2="A-330-900",'2026'!$G$4="FO",'2026'!$G$2=AJ119),'2026DATA'!$G$6,"")</f>
        <v/>
      </c>
      <c r="AK123" s="518" t="str">
        <f>IF(AND(_2="A-330-900",'2026'!$G$4="FO",'2026'!$G$2=AK119),'2026DATA'!$H$6,"")</f>
        <v/>
      </c>
      <c r="AL123" s="518" t="str">
        <f>IF(AND(_2="A-330-900",'2026'!$G$4="FO",'2026'!$G$2=AL119),'2026DATA'!$I$6,"")</f>
        <v/>
      </c>
      <c r="AM123" s="518" t="str">
        <f>IF(AND(_2="A-330-900",'2026'!$G$4="FO",'2026'!$G$2=AM119),'2026DATA'!$J$6,"")</f>
        <v/>
      </c>
      <c r="AN123" s="518" t="str">
        <f>IF(AND(_2="A-330-900",'2026'!$G$4="FO",'2026'!$G$2=AN119),'2026DATA'!$K$6,"")</f>
        <v/>
      </c>
      <c r="AO123" s="518" t="str">
        <f>IF(AND(_2="A-330-900",'2026'!$G$4="FO",'2026'!$G$2=AO119),'2026DATA'!$L$6,"")</f>
        <v/>
      </c>
      <c r="AP123" s="518" t="str">
        <f>IF(AND(_2="A-330-900",'2026'!$G$4="FO",'2026'!$G$2=AP119),'2026DATA'!$M$6,"")</f>
        <v/>
      </c>
      <c r="AQ123" s="520" t="str">
        <f>IF(AND(_2="A-330-900",'2026'!$G$4="FO",'2026'!$G$2=AQ119),'2026DATA'!$N$6,"")</f>
        <v/>
      </c>
      <c r="AR123" s="940"/>
      <c r="AS123" s="13" t="s">
        <v>62</v>
      </c>
      <c r="AT123" s="518" t="str">
        <f>IF(AND(_3="A-330-900",'2026'!$G$4="FO",'2026'!$G$2=AT119),'2026DATA'!$C$6,"")</f>
        <v/>
      </c>
      <c r="AU123" s="518" t="str">
        <f>IF(AND(_3="A-330-900",'2026'!$G$4="FO",'2026'!$G$2=AU119),'2026DATA'!$D$6,"")</f>
        <v/>
      </c>
      <c r="AV123" s="518" t="str">
        <f>IF(AND(_3="A-330-900",'2026'!$G$4="FO",'2026'!$G$2=AV119),'2026DATA'!$E$6,"")</f>
        <v/>
      </c>
      <c r="AW123" s="518" t="str">
        <f>IF(AND(_3="A-330-900",'2026'!$G$4="FO",'2026'!$G$2=AW119),'2026DATA'!$F$6,"")</f>
        <v/>
      </c>
      <c r="AX123" s="518" t="str">
        <f>IF(AND(_3="A-330-900",'2026'!$G$4="FO",'2026'!$G$2=AX119),'2026DATA'!$G$6,"")</f>
        <v/>
      </c>
      <c r="AY123" s="518" t="str">
        <f>IF(AND(_3="A-330-900",'2026'!$G$4="FO",'2026'!$G$2=AY119),'2026DATA'!$H$6,"")</f>
        <v/>
      </c>
      <c r="AZ123" s="518" t="str">
        <f>IF(AND(_3="A-330-900",'2026'!$G$4="FO",'2026'!$G$2=AZ119),'2026DATA'!$I$6,"")</f>
        <v/>
      </c>
      <c r="BA123" s="518" t="str">
        <f>IF(AND(_3="A-330-900",'2026'!$G$4="FO",'2026'!$G$2=BA119),'2026DATA'!$J$6,"")</f>
        <v/>
      </c>
      <c r="BB123" s="518" t="str">
        <f>IF(AND(_3="A-330-900",'2026'!$G$4="FO",'2026'!$G$2=BB119),'2026DATA'!$K$6,"")</f>
        <v/>
      </c>
      <c r="BC123" s="518" t="str">
        <f>IF(AND(_3="A-330-900",'2026'!$G$4="FO",'2026'!$G$2=BC119),'2026DATA'!$L$6,"")</f>
        <v/>
      </c>
      <c r="BD123" s="518" t="str">
        <f>IF(AND(_3="A-330-900",'2026'!$G$4="FO",'2026'!$G$2=BD119),'2026DATA'!$M$6,"")</f>
        <v/>
      </c>
      <c r="BE123" s="520" t="str">
        <f>IF(AND(_3="A-330-900",'2026'!$G$4="FO",'2026'!$G$2=BE119),'2026DATA'!$N$6,"")</f>
        <v/>
      </c>
      <c r="BF123" s="940"/>
      <c r="BG123" s="13" t="s">
        <v>62</v>
      </c>
      <c r="BH123" s="518" t="str">
        <f>IF(AND(_4="A-330-900",'2026'!$G$4="FO",'2026'!$G$2=BH119),'2026DATA'!$C$6,"")</f>
        <v/>
      </c>
      <c r="BI123" s="518" t="str">
        <f>IF(AND(_4="A-330-900",'2026'!$G$4="FO",'2026'!$G$2=BI119),'2026DATA'!$D$6,"")</f>
        <v/>
      </c>
      <c r="BJ123" s="518" t="str">
        <f>IF(AND(_4="A-330-900",'2026'!$G$4="FO",'2026'!$G$2=BJ119),'2026DATA'!$E$6,"")</f>
        <v/>
      </c>
      <c r="BK123" s="518" t="str">
        <f>IF(AND(_4="A-330-900",'2026'!$G$4="FO",'2026'!$G$2=BK119),'2026DATA'!$F$6,"")</f>
        <v/>
      </c>
      <c r="BL123" s="518" t="str">
        <f>IF(AND(_4="A-330-900",'2026'!$G$4="FO",'2026'!$G$2=BL119),'2026DATA'!$G$6,"")</f>
        <v/>
      </c>
      <c r="BM123" s="518" t="str">
        <f>IF(AND(_4="A-330-900",'2026'!$G$4="FO",'2026'!$G$2=BM119),'2026DATA'!$H$6,"")</f>
        <v/>
      </c>
      <c r="BN123" s="518" t="str">
        <f>IF(AND(_4="A-330-900",'2026'!$G$4="FO",'2026'!$G$2=BN119),'2026DATA'!$I$6,"")</f>
        <v/>
      </c>
      <c r="BO123" s="518" t="str">
        <f>IF(AND(_4="A-330-900",'2026'!$G$4="FO",'2026'!$G$2=BO119),'2026DATA'!$J$6,"")</f>
        <v/>
      </c>
      <c r="BP123" s="518" t="str">
        <f>IF(AND(_4="A-330-900",'2026'!$G$4="FO",'2026'!$G$2=BP119),'2026DATA'!$K$6,"")</f>
        <v/>
      </c>
      <c r="BQ123" s="518" t="str">
        <f>IF(AND(_4="A-330-900",'2026'!$G$4="FO",'2026'!$G$2=BQ119),'2026DATA'!$L$6,"")</f>
        <v/>
      </c>
      <c r="BR123" s="518" t="str">
        <f>IF(AND(_4="A-330-900",'2026'!$G$4="FO",'2026'!$G$2=BR119),'2026DATA'!$M$6,"")</f>
        <v/>
      </c>
      <c r="BS123" s="520" t="str">
        <f>IF(AND(_4="A-330-900",'2026'!$G$4="FO",'2026'!$G$2=BS119),'2026DATA'!$N$6,"")</f>
        <v/>
      </c>
      <c r="BT123" s="940"/>
      <c r="BU123" s="13" t="s">
        <v>62</v>
      </c>
      <c r="BV123" s="518" t="str">
        <f>IF(AND(_5="A-330-900",'2026'!$G$4="FO",'2026'!$G$2=BV119),'2026DATA'!$C$6,"")</f>
        <v/>
      </c>
      <c r="BW123" s="518" t="str">
        <f>IF(AND(_5="A-330-900",'2026'!$G$4="FO",'2026'!$G$2=BW119),'2026DATA'!$D$6,"")</f>
        <v/>
      </c>
      <c r="BX123" s="518" t="str">
        <f>IF(AND(_5="A-330-900",'2026'!$G$4="FO",'2026'!$G$2=BX119),'2026DATA'!$E$6,"")</f>
        <v/>
      </c>
      <c r="BY123" s="518" t="str">
        <f>IF(AND(_5="A-330-900",'2026'!$G$4="FO",'2026'!$G$2=BY119),'2026DATA'!$F$6,"")</f>
        <v/>
      </c>
      <c r="BZ123" s="518" t="str">
        <f>IF(AND(_5="A-330-900",'2026'!$G$4="FO",'2026'!$G$2=BZ119),'2026DATA'!$G$6,"")</f>
        <v/>
      </c>
      <c r="CA123" s="518" t="str">
        <f>IF(AND(_5="A-330-900",'2026'!$G$4="FO",'2026'!$G$2=CA119),'2026DATA'!$H$6,"")</f>
        <v/>
      </c>
      <c r="CB123" s="518" t="str">
        <f>IF(AND(_5="A-330-900",'2026'!$G$4="FO",'2026'!$G$2=CB119),'2026DATA'!$I$6,"")</f>
        <v/>
      </c>
      <c r="CC123" s="518" t="str">
        <f>IF(AND(_5="A-330-900",'2026'!$G$4="FO",'2026'!$G$2=CC119),'2026DATA'!$J$6,"")</f>
        <v/>
      </c>
      <c r="CD123" s="518" t="str">
        <f>IF(AND(_5="A-330-900",'2026'!$G$4="FO",'2026'!$G$2=CD119),'2026DATA'!$K$6,"")</f>
        <v/>
      </c>
      <c r="CE123" s="518" t="str">
        <f>IF(AND(_5="A-330-900",'2026'!$G$4="FO",'2026'!$G$2=CE119),'2026DATA'!$L$6,"")</f>
        <v/>
      </c>
      <c r="CF123" s="518" t="str">
        <f>IF(AND(_5="A-330-900",'2026'!$G$4="FO",'2026'!$G$2=CF119),'2026DATA'!$M$6,"")</f>
        <v/>
      </c>
      <c r="CG123" s="520" t="str">
        <f>IF(AND(_5="A-330-900",'2026'!$G$4="FO",'2026'!$G$2=CG119),'2026DATA'!$N$6,"")</f>
        <v/>
      </c>
      <c r="CH123" s="940"/>
      <c r="CI123" s="13" t="s">
        <v>62</v>
      </c>
      <c r="CJ123" s="518" t="str">
        <f>IF(AND(_6="A-330-900",'2026'!$G$4="FO",'2026'!$G$2=CJ119),'2026DATA'!$C$6,"")</f>
        <v/>
      </c>
      <c r="CK123" s="518" t="str">
        <f>IF(AND(_6="A-330-900",'2026'!$G$4="FO",'2026'!$G$2=CK119),'2026DATA'!$D$6,"")</f>
        <v/>
      </c>
      <c r="CL123" s="518" t="str">
        <f>IF(AND(_6="A-330-900",'2026'!$G$4="FO",'2026'!$G$2=CL119),'2026DATA'!$E$6,"")</f>
        <v/>
      </c>
      <c r="CM123" s="518" t="str">
        <f>IF(AND(_6="A-330-900",'2026'!$G$4="FO",'2026'!$G$2=CM119),'2026DATA'!$F$6,"")</f>
        <v/>
      </c>
      <c r="CN123" s="518" t="str">
        <f>IF(AND(_6="A-330-900",'2026'!$G$4="FO",'2026'!$G$2=CN119),'2026DATA'!$G$6,"")</f>
        <v/>
      </c>
      <c r="CO123" s="518" t="str">
        <f>IF(AND(_6="A-330-900",'2026'!$G$4="FO",'2026'!$G$2=CO119),'2026DATA'!$H$6,"")</f>
        <v/>
      </c>
      <c r="CP123" s="518" t="str">
        <f>IF(AND(_6="A-330-900",'2026'!$G$4="FO",'2026'!$G$2=CP119),'2026DATA'!$I$6,"")</f>
        <v/>
      </c>
      <c r="CQ123" s="518" t="str">
        <f>IF(AND(_6="A-330-900",'2026'!$G$4="FO",'2026'!$G$2=CQ119),'2026DATA'!$J$6,"")</f>
        <v/>
      </c>
      <c r="CR123" s="518" t="str">
        <f>IF(AND(_6="A-330-900",'2026'!$G$4="FO",'2026'!$G$2=CR119),'2026DATA'!$K$6,"")</f>
        <v/>
      </c>
      <c r="CS123" s="518" t="str">
        <f>IF(AND(_6="A-330-900",'2026'!$G$4="FO",'2026'!$G$2=CS119),'2026DATA'!$L$6,"")</f>
        <v/>
      </c>
      <c r="CT123" s="518" t="str">
        <f>IF(AND(_6="A-330-900",'2026'!$G$4="FO",'2026'!$G$2=CT119),'2026DATA'!$M$6,"")</f>
        <v/>
      </c>
      <c r="CU123" s="520" t="str">
        <f>IF(AND(_6="A-330-900",'2026'!$G$4="FO",'2026'!$G$2=CU119),'2026DATA'!$N$6,"")</f>
        <v/>
      </c>
    </row>
    <row r="124" spans="16:99" x14ac:dyDescent="0.25">
      <c r="P124" s="940" t="s">
        <v>64</v>
      </c>
      <c r="Q124" s="13" t="s">
        <v>61</v>
      </c>
      <c r="R124" s="518" t="str">
        <f>IF(AND(_1="A-330-300",'2026'!$G$4="CA",'2026'!$G$2=R119),'2026DATA'!$C$7,"")</f>
        <v/>
      </c>
      <c r="S124" s="518" t="str">
        <f>IF(AND(_1="A-330-300",'2026'!$G$4="CA",'2026'!$G$2=S119),'2026DATA'!$D$7,"")</f>
        <v/>
      </c>
      <c r="T124" s="518" t="str">
        <f>IF(AND(_1="A-330-300",'2026'!$G$4="CA",'2026'!$G$2=T119),'2026DATA'!$E$7,"")</f>
        <v/>
      </c>
      <c r="U124" s="518" t="str">
        <f>IF(AND(_1="A-330-300",'2026'!$G$4="CA",'2026'!$G$2=U119),'2026DATA'!$F$7,"")</f>
        <v/>
      </c>
      <c r="V124" s="518" t="str">
        <f>IF(AND(_1="A-330-300",'2026'!$G$4="CA",'2026'!$G$2=V119),'2026DATA'!$G$7,"")</f>
        <v/>
      </c>
      <c r="W124" s="518" t="str">
        <f>IF(AND(_1="A-330-300",'2026'!$G$4="CA",'2026'!$G$2=W119),'2026DATA'!$H$7,"")</f>
        <v/>
      </c>
      <c r="X124" s="518" t="str">
        <f>IF(AND(_1="A-330-300",'2026'!$G$4="CA",'2026'!$G$2=X119),'2026DATA'!$I$7,"")</f>
        <v/>
      </c>
      <c r="Y124" s="518" t="str">
        <f>IF(AND(_1="A-330-300",'2026'!$G$4="CA",'2026'!$G$2=Y119),'2026DATA'!$J$7,"")</f>
        <v/>
      </c>
      <c r="Z124" s="518" t="str">
        <f>IF(AND(_1="A-330-300",'2026'!$G$4="CA",'2026'!$G$2=Z119),'2026DATA'!$K$7,"")</f>
        <v/>
      </c>
      <c r="AA124" s="518" t="str">
        <f>IF(AND(_1="A-330-300",'2026'!$G$4="CA",'2026'!$G$2=AA119),'2026DATA'!$L$7,"")</f>
        <v/>
      </c>
      <c r="AB124" s="518" t="str">
        <f>IF(AND(_1="A-330-300",'2026'!$G$4="CA",'2026'!$G$2=AB119),'2026DATA'!$M$7,"")</f>
        <v/>
      </c>
      <c r="AC124" s="520" t="str">
        <f>IF(AND(_1="A-330-300",'2026'!$G$4="CA",'2026'!$G$2=AC119),'2026DATA'!$N$7,"")</f>
        <v/>
      </c>
      <c r="AD124" s="940" t="s">
        <v>64</v>
      </c>
      <c r="AE124" s="13" t="s">
        <v>61</v>
      </c>
      <c r="AF124" s="518" t="str">
        <f>IF(AND(_2="A-330-300",'2026'!$G$4="CA",'2026'!$G$2=AF119),'2026DATA'!$C$7,"")</f>
        <v/>
      </c>
      <c r="AG124" s="518" t="str">
        <f>IF(AND(_2="A-330-300",'2026'!$G$4="CA",'2026'!$G$2=AG119),'2026DATA'!$D$7,"")</f>
        <v/>
      </c>
      <c r="AH124" s="518" t="str">
        <f>IF(AND(_2="A-330-300",'2026'!$G$4="CA",'2026'!$G$2=AH119),'2026DATA'!$E$7,"")</f>
        <v/>
      </c>
      <c r="AI124" s="518" t="str">
        <f>IF(AND(_2="A-330-300",'2026'!$G$4="CA",'2026'!$G$2=AI119),'2026DATA'!$F$7,"")</f>
        <v/>
      </c>
      <c r="AJ124" s="518" t="str">
        <f>IF(AND(_2="A-330-300",'2026'!$G$4="CA",'2026'!$G$2=AJ119),'2026DATA'!$G$7,"")</f>
        <v/>
      </c>
      <c r="AK124" s="518" t="str">
        <f>IF(AND(_2="A-330-300",'2026'!$G$4="CA",'2026'!$G$2=AK119),'2026DATA'!$H$7,"")</f>
        <v/>
      </c>
      <c r="AL124" s="518" t="str">
        <f>IF(AND(_2="A-330-300",'2026'!$G$4="CA",'2026'!$G$2=AL119),'2026DATA'!$I$7,"")</f>
        <v/>
      </c>
      <c r="AM124" s="518" t="str">
        <f>IF(AND(_2="A-330-300",'2026'!$G$4="CA",'2026'!$G$2=AM119),'2026DATA'!$J$7,"")</f>
        <v/>
      </c>
      <c r="AN124" s="518" t="str">
        <f>IF(AND(_2="A-330-300",'2026'!$G$4="CA",'2026'!$G$2=AN119),'2026DATA'!$K$7,"")</f>
        <v/>
      </c>
      <c r="AO124" s="518" t="str">
        <f>IF(AND(_2="A-330-300",'2026'!$G$4="CA",'2026'!$G$2=AO119),'2026DATA'!$L$7,"")</f>
        <v/>
      </c>
      <c r="AP124" s="518" t="str">
        <f>IF(AND(_2="A-330-300",'2026'!$G$4="CA",'2026'!$G$2=AP119),'2026DATA'!$M$7,"")</f>
        <v/>
      </c>
      <c r="AQ124" s="520" t="str">
        <f>IF(AND(_2="A-330-300",'2026'!$G$4="CA",'2026'!$G$2=AQ119),'2026DATA'!$N$7,"")</f>
        <v/>
      </c>
      <c r="AR124" s="940" t="s">
        <v>64</v>
      </c>
      <c r="AS124" s="13" t="s">
        <v>61</v>
      </c>
      <c r="AT124" s="518" t="str">
        <f>IF(AND(_3="A-330-300",'2026'!$G$4="CA",'2026'!$G$2=AT119),'2026DATA'!$C$7,"")</f>
        <v/>
      </c>
      <c r="AU124" s="518" t="str">
        <f>IF(AND(_3="A-330-300",'2026'!$G$4="CA",'2026'!$G$2=AU119),'2026DATA'!$D$7,"")</f>
        <v/>
      </c>
      <c r="AV124" s="518" t="str">
        <f>IF(AND(_3="A-330-300",'2026'!$G$4="CA",'2026'!$G$2=AV119),'2026DATA'!$E$7,"")</f>
        <v/>
      </c>
      <c r="AW124" s="518" t="str">
        <f>IF(AND(_3="A-330-300",'2026'!$G$4="CA",'2026'!$G$2=AW119),'2026DATA'!$F$7,"")</f>
        <v/>
      </c>
      <c r="AX124" s="518" t="str">
        <f>IF(AND(_3="A-330-300",'2026'!$G$4="CA",'2026'!$G$2=AX119),'2026DATA'!$G$7,"")</f>
        <v/>
      </c>
      <c r="AY124" s="518" t="str">
        <f>IF(AND(_3="A-330-300",'2026'!$G$4="CA",'2026'!$G$2=AY119),'2026DATA'!$H$7,"")</f>
        <v/>
      </c>
      <c r="AZ124" s="518" t="str">
        <f>IF(AND(_3="A-330-300",'2026'!$G$4="CA",'2026'!$G$2=AZ119),'2026DATA'!$I$7,"")</f>
        <v/>
      </c>
      <c r="BA124" s="518" t="str">
        <f>IF(AND(_3="A-330-300",'2026'!$G$4="CA",'2026'!$G$2=BA119),'2026DATA'!$J$7,"")</f>
        <v/>
      </c>
      <c r="BB124" s="518" t="str">
        <f>IF(AND(_3="A-330-300",'2026'!$G$4="CA",'2026'!$G$2=BB119),'2026DATA'!$K$7,"")</f>
        <v/>
      </c>
      <c r="BC124" s="518" t="str">
        <f>IF(AND(_3="A-330-300",'2026'!$G$4="CA",'2026'!$G$2=BC119),'2026DATA'!$L$7,"")</f>
        <v/>
      </c>
      <c r="BD124" s="518" t="str">
        <f>IF(AND(_3="A-330-300",'2026'!$G$4="CA",'2026'!$G$2=BD119),'2026DATA'!$M$7,"")</f>
        <v/>
      </c>
      <c r="BE124" s="520" t="str">
        <f>IF(AND(_3="A-330-300",'2026'!$G$4="CA",'2026'!$G$2=BE119),'2026DATA'!$N$7,"")</f>
        <v/>
      </c>
      <c r="BF124" s="940" t="s">
        <v>64</v>
      </c>
      <c r="BG124" s="13" t="s">
        <v>61</v>
      </c>
      <c r="BH124" s="518" t="str">
        <f>IF(AND(_4="A-330-300",'2026'!$G$4="CA",'2026'!$G$2=BH119),'2026DATA'!$C$7,"")</f>
        <v/>
      </c>
      <c r="BI124" s="518" t="str">
        <f>IF(AND(_4="A-330-300",'2026'!$G$4="CA",'2026'!$G$2=BI119),'2026DATA'!$D$7,"")</f>
        <v/>
      </c>
      <c r="BJ124" s="518" t="str">
        <f>IF(AND(_4="A-330-300",'2026'!$G$4="CA",'2026'!$G$2=BJ119),'2026DATA'!$E$7,"")</f>
        <v/>
      </c>
      <c r="BK124" s="518" t="str">
        <f>IF(AND(_4="A-330-300",'2026'!$G$4="CA",'2026'!$G$2=BK119),'2026DATA'!$F$7,"")</f>
        <v/>
      </c>
      <c r="BL124" s="518" t="str">
        <f>IF(AND(_4="A-330-300",'2026'!$G$4="CA",'2026'!$G$2=BL119),'2026DATA'!$G$7,"")</f>
        <v/>
      </c>
      <c r="BM124" s="518" t="str">
        <f>IF(AND(_4="A-330-300",'2026'!$G$4="CA",'2026'!$G$2=BM119),'2026DATA'!$H$7,"")</f>
        <v/>
      </c>
      <c r="BN124" s="518" t="str">
        <f>IF(AND(_4="A-330-300",'2026'!$G$4="CA",'2026'!$G$2=BN119),'2026DATA'!$I$7,"")</f>
        <v/>
      </c>
      <c r="BO124" s="518" t="str">
        <f>IF(AND(_4="A-330-300",'2026'!$G$4="CA",'2026'!$G$2=BO119),'2026DATA'!$J$7,"")</f>
        <v/>
      </c>
      <c r="BP124" s="518" t="str">
        <f>IF(AND(_4="A-330-300",'2026'!$G$4="CA",'2026'!$G$2=BP119),'2026DATA'!$K$7,"")</f>
        <v/>
      </c>
      <c r="BQ124" s="518" t="str">
        <f>IF(AND(_4="A-330-300",'2026'!$G$4="CA",'2026'!$G$2=BQ119),'2026DATA'!$L$7,"")</f>
        <v/>
      </c>
      <c r="BR124" s="518" t="str">
        <f>IF(AND(_4="A-330-300",'2026'!$G$4="CA",'2026'!$G$2=BR119),'2026DATA'!$M$7,"")</f>
        <v/>
      </c>
      <c r="BS124" s="520" t="str">
        <f>IF(AND(_4="A-330-300",'2026'!$G$4="CA",'2026'!$G$2=BS119),'2026DATA'!$N$7,"")</f>
        <v/>
      </c>
      <c r="BT124" s="940" t="s">
        <v>64</v>
      </c>
      <c r="BU124" s="13" t="s">
        <v>61</v>
      </c>
      <c r="BV124" s="518" t="str">
        <f>IF(AND(_5="A-330-300",'2026'!$G$4="CA",'2026'!$G$2=BV119),'2026DATA'!$C$7,"")</f>
        <v/>
      </c>
      <c r="BW124" s="518" t="str">
        <f>IF(AND(_5="A-330-300",'2026'!$G$4="CA",'2026'!$G$2=BW119),'2026DATA'!$D$7,"")</f>
        <v/>
      </c>
      <c r="BX124" s="518" t="str">
        <f>IF(AND(_5="A-330-300",'2026'!$G$4="CA",'2026'!$G$2=BX119),'2026DATA'!$E$7,"")</f>
        <v/>
      </c>
      <c r="BY124" s="518" t="str">
        <f>IF(AND(_5="A-330-300",'2026'!$G$4="CA",'2026'!$G$2=BY119),'2026DATA'!$F$7,"")</f>
        <v/>
      </c>
      <c r="BZ124" s="518" t="str">
        <f>IF(AND(_5="A-330-300",'2026'!$G$4="CA",'2026'!$G$2=BZ119),'2026DATA'!$G$7,"")</f>
        <v/>
      </c>
      <c r="CA124" s="518" t="str">
        <f>IF(AND(_5="A-330-300",'2026'!$G$4="CA",'2026'!$G$2=CA119),'2026DATA'!$H$7,"")</f>
        <v/>
      </c>
      <c r="CB124" s="518" t="str">
        <f>IF(AND(_5="A-330-300",'2026'!$G$4="CA",'2026'!$G$2=CB119),'2026DATA'!$I$7,"")</f>
        <v/>
      </c>
      <c r="CC124" s="518" t="str">
        <f>IF(AND(_5="A-330-300",'2026'!$G$4="CA",'2026'!$G$2=CC119),'2026DATA'!$J$7,"")</f>
        <v/>
      </c>
      <c r="CD124" s="518" t="str">
        <f>IF(AND(_5="A-330-300",'2026'!$G$4="CA",'2026'!$G$2=CD119),'2026DATA'!$K$7,"")</f>
        <v/>
      </c>
      <c r="CE124" s="518" t="str">
        <f>IF(AND(_5="A-330-300",'2026'!$G$4="CA",'2026'!$G$2=CE119),'2026DATA'!$L$7,"")</f>
        <v/>
      </c>
      <c r="CF124" s="518" t="str">
        <f>IF(AND(_5="A-330-300",'2026'!$G$4="CA",'2026'!$G$2=CF119),'2026DATA'!$M$7,"")</f>
        <v/>
      </c>
      <c r="CG124" s="520" t="str">
        <f>IF(AND(_5="A-330-300",'2026'!$G$4="CA",'2026'!$G$2=CG119),'2026DATA'!$N$7,"")</f>
        <v/>
      </c>
      <c r="CH124" s="940" t="s">
        <v>64</v>
      </c>
      <c r="CI124" s="13" t="s">
        <v>61</v>
      </c>
      <c r="CJ124" s="518" t="str">
        <f>IF(AND(_6="A-330-300",'2026'!$G$4="CA",'2026'!$G$2=CJ119),'2026DATA'!$C$7,"")</f>
        <v/>
      </c>
      <c r="CK124" s="518" t="str">
        <f>IF(AND(_6="A-330-300",'2026'!$G$4="CA",'2026'!$G$2=CK119),'2026DATA'!$D$7,"")</f>
        <v/>
      </c>
      <c r="CL124" s="518" t="str">
        <f>IF(AND(_6="A-330-300",'2026'!$G$4="CA",'2026'!$G$2=CL119),'2026DATA'!$E$7,"")</f>
        <v/>
      </c>
      <c r="CM124" s="518" t="str">
        <f>IF(AND(_6="A-330-300",'2026'!$G$4="CA",'2026'!$G$2=CM119),'2026DATA'!$F$7,"")</f>
        <v/>
      </c>
      <c r="CN124" s="518" t="str">
        <f>IF(AND(_6="A-330-300",'2026'!$G$4="CA",'2026'!$G$2=CN119),'2026DATA'!$G$7,"")</f>
        <v/>
      </c>
      <c r="CO124" s="518" t="str">
        <f>IF(AND(_6="A-330-300",'2026'!$G$4="CA",'2026'!$G$2=CO119),'2026DATA'!$H$7,"")</f>
        <v/>
      </c>
      <c r="CP124" s="518" t="str">
        <f>IF(AND(_6="A-330-300",'2026'!$G$4="CA",'2026'!$G$2=CP119),'2026DATA'!$I$7,"")</f>
        <v/>
      </c>
      <c r="CQ124" s="518" t="str">
        <f>IF(AND(_6="A-330-300",'2026'!$G$4="CA",'2026'!$G$2=CQ119),'2026DATA'!$J$7,"")</f>
        <v/>
      </c>
      <c r="CR124" s="518" t="str">
        <f>IF(AND(_6="A-330-300",'2026'!$G$4="CA",'2026'!$G$2=CR119),'2026DATA'!$K$7,"")</f>
        <v/>
      </c>
      <c r="CS124" s="518" t="str">
        <f>IF(AND(_6="A-330-300",'2026'!$G$4="CA",'2026'!$G$2=CS119),'2026DATA'!$L$7,"")</f>
        <v/>
      </c>
      <c r="CT124" s="518" t="str">
        <f>IF(AND(_6="A-330-300",'2026'!$G$4="CA",'2026'!$G$2=CT119),'2026DATA'!$M$7,"")</f>
        <v/>
      </c>
      <c r="CU124" s="520" t="str">
        <f>IF(AND(_6="A-330-300",'2026'!$G$4="CA",'2026'!$G$2=CU119),'2026DATA'!$N$7,"")</f>
        <v/>
      </c>
    </row>
    <row r="125" spans="16:99" x14ac:dyDescent="0.25">
      <c r="P125" s="940"/>
      <c r="Q125" s="13" t="s">
        <v>62</v>
      </c>
      <c r="R125" s="518" t="str">
        <f>IF(AND(_1="A-330-300",'2026'!$G$4="FO",'2026'!$G$2=R119),'2026DATA'!$C$8,"")</f>
        <v/>
      </c>
      <c r="S125" s="518" t="str">
        <f>IF(AND(_1="A-330-300",'2026'!$G$4="FO",'2026'!$G$2=S119),'2026DATA'!$D$8,"")</f>
        <v/>
      </c>
      <c r="T125" s="518" t="str">
        <f>IF(AND(_1="A-330-300",'2026'!$G$4="FO",'2026'!$G$2=T119),'2026DATA'!$E$8,"")</f>
        <v/>
      </c>
      <c r="U125" s="518" t="str">
        <f>IF(AND(_1="A-330-300",'2026'!$G$4="FO",'2026'!$G$2=U119),'2026DATA'!$F$8,"")</f>
        <v/>
      </c>
      <c r="V125" s="518" t="str">
        <f>IF(AND(_1="A-330-300",'2026'!$G$4="FO",'2026'!$G$2=V119),'2026DATA'!$G$8,"")</f>
        <v/>
      </c>
      <c r="W125" s="518" t="str">
        <f>IF(AND(_1="A-330-300",'2026'!$G$4="FO",'2026'!$G$2=W119),'2026DATA'!$H$8,"")</f>
        <v/>
      </c>
      <c r="X125" s="518" t="str">
        <f>IF(AND(_1="A-330-300",'2026'!$G$4="FO",'2026'!$G$2=X119),'2026DATA'!$I$8,"")</f>
        <v/>
      </c>
      <c r="Y125" s="518" t="str">
        <f>IF(AND(_1="A-330-300",'2026'!$G$4="FO",'2026'!$G$2=Y119),'2026DATA'!$J$8,"")</f>
        <v/>
      </c>
      <c r="Z125" s="518" t="str">
        <f>IF(AND(_1="A-330-300",'2026'!$G$4="FO",'2026'!$G$2=Z119),'2026DATA'!$K$8,"")</f>
        <v/>
      </c>
      <c r="AA125" s="518" t="str">
        <f>IF(AND(_1="A-330-300",'2026'!$G$4="FO",'2026'!$G$2=AA119),'2026DATA'!$L$8,"")</f>
        <v/>
      </c>
      <c r="AB125" s="518" t="str">
        <f>IF(AND(_1="A-330-300",'2026'!$G$4="FO",'2026'!$G$2=AB119),'2026DATA'!$M$8,"")</f>
        <v/>
      </c>
      <c r="AC125" s="520" t="str">
        <f>IF(AND(_1="A-330-300",'2026'!$G$4="FO",'2026'!$G$2=AC119),'2026DATA'!$N$8,"")</f>
        <v/>
      </c>
      <c r="AD125" s="940"/>
      <c r="AE125" s="13" t="s">
        <v>62</v>
      </c>
      <c r="AF125" s="518" t="str">
        <f>IF(AND(_2="A-330-300",'2026'!$G$4="FO",'2026'!$G$2=AF119),'2026DATA'!$C$8,"")</f>
        <v/>
      </c>
      <c r="AG125" s="518" t="str">
        <f>IF(AND(_2="A-330-300",'2026'!$G$4="FO",'2026'!$G$2=AG119),'2026DATA'!$D$8,"")</f>
        <v/>
      </c>
      <c r="AH125" s="518" t="str">
        <f>IF(AND(_2="A-330-300",'2026'!$G$4="FO",'2026'!$G$2=AH119),'2026DATA'!$E$8,"")</f>
        <v/>
      </c>
      <c r="AI125" s="518" t="str">
        <f>IF(AND(_2="A-330-300",'2026'!$G$4="FO",'2026'!$G$2=AI119),'2026DATA'!$F$8,"")</f>
        <v/>
      </c>
      <c r="AJ125" s="518" t="str">
        <f>IF(AND(_2="A-330-300",'2026'!$G$4="FO",'2026'!$G$2=AJ119),'2026DATA'!$G$8,"")</f>
        <v/>
      </c>
      <c r="AK125" s="518" t="str">
        <f>IF(AND(_2="A-330-300",'2026'!$G$4="FO",'2026'!$G$2=AK119),'2026DATA'!$H$8,"")</f>
        <v/>
      </c>
      <c r="AL125" s="518" t="str">
        <f>IF(AND(_2="A-330-300",'2026'!$G$4="FO",'2026'!$G$2=AL119),'2026DATA'!$I$8,"")</f>
        <v/>
      </c>
      <c r="AM125" s="518" t="str">
        <f>IF(AND(_2="A-330-300",'2026'!$G$4="FO",'2026'!$G$2=AM119),'2026DATA'!$J$8,"")</f>
        <v/>
      </c>
      <c r="AN125" s="518" t="str">
        <f>IF(AND(_2="A-330-300",'2026'!$G$4="FO",'2026'!$G$2=AN119),'2026DATA'!$K$8,"")</f>
        <v/>
      </c>
      <c r="AO125" s="518" t="str">
        <f>IF(AND(_2="A-330-300",'2026'!$G$4="FO",'2026'!$G$2=AO119),'2026DATA'!$L$8,"")</f>
        <v/>
      </c>
      <c r="AP125" s="518" t="str">
        <f>IF(AND(_2="A-330-300",'2026'!$G$4="FO",'2026'!$G$2=AP119),'2026DATA'!$M$8,"")</f>
        <v/>
      </c>
      <c r="AQ125" s="520" t="str">
        <f>IF(AND(_2="A-330-300",'2026'!$G$4="FO",'2026'!$G$2=AQ119),'2026DATA'!$N$8,"")</f>
        <v/>
      </c>
      <c r="AR125" s="940"/>
      <c r="AS125" s="13" t="s">
        <v>62</v>
      </c>
      <c r="AT125" s="518" t="str">
        <f>IF(AND(_3="A-330-300",'2026'!$G$4="FO",'2026'!$G$2=AT119),'2026DATA'!$C$8,"")</f>
        <v/>
      </c>
      <c r="AU125" s="518" t="str">
        <f>IF(AND(_3="A-330-300",'2026'!$G$4="FO",'2026'!$G$2=AU119),'2026DATA'!$D$8,"")</f>
        <v/>
      </c>
      <c r="AV125" s="518" t="str">
        <f>IF(AND(_3="A-330-300",'2026'!$G$4="FO",'2026'!$G$2=AV119),'2026DATA'!$E$8,"")</f>
        <v/>
      </c>
      <c r="AW125" s="518" t="str">
        <f>IF(AND(_3="A-330-300",'2026'!$G$4="FO",'2026'!$G$2=AW119),'2026DATA'!$F$8,"")</f>
        <v/>
      </c>
      <c r="AX125" s="518" t="str">
        <f>IF(AND(_3="A-330-300",'2026'!$G$4="FO",'2026'!$G$2=AX119),'2026DATA'!$G$8,"")</f>
        <v/>
      </c>
      <c r="AY125" s="518" t="str">
        <f>IF(AND(_3="A-330-300",'2026'!$G$4="FO",'2026'!$G$2=AY119),'2026DATA'!$H$8,"")</f>
        <v/>
      </c>
      <c r="AZ125" s="518" t="str">
        <f>IF(AND(_3="A-330-300",'2026'!$G$4="FO",'2026'!$G$2=AZ119),'2026DATA'!$I$8,"")</f>
        <v/>
      </c>
      <c r="BA125" s="518" t="str">
        <f>IF(AND(_3="A-330-300",'2026'!$G$4="FO",'2026'!$G$2=BA119),'2026DATA'!$J$8,"")</f>
        <v/>
      </c>
      <c r="BB125" s="518" t="str">
        <f>IF(AND(_3="A-330-300",'2026'!$G$4="FO",'2026'!$G$2=BB119),'2026DATA'!$K$8,"")</f>
        <v/>
      </c>
      <c r="BC125" s="518" t="str">
        <f>IF(AND(_3="A-330-300",'2026'!$G$4="FO",'2026'!$G$2=BC119),'2026DATA'!$L$8,"")</f>
        <v/>
      </c>
      <c r="BD125" s="518" t="str">
        <f>IF(AND(_3="A-330-300",'2026'!$G$4="FO",'2026'!$G$2=BD119),'2026DATA'!$M$8,"")</f>
        <v/>
      </c>
      <c r="BE125" s="520" t="str">
        <f>IF(AND(_3="A-330-300",'2026'!$G$4="FO",'2026'!$G$2=BE119),'2026DATA'!$N$8,"")</f>
        <v/>
      </c>
      <c r="BF125" s="940"/>
      <c r="BG125" s="13" t="s">
        <v>62</v>
      </c>
      <c r="BH125" s="518" t="str">
        <f>IF(AND(_4="A-330-300",'2026'!$G$4="FO",'2026'!$G$2=BH119),'2026DATA'!$C$8,"")</f>
        <v/>
      </c>
      <c r="BI125" s="518" t="str">
        <f>IF(AND(_4="A-330-300",'2026'!$G$4="FO",'2026'!$G$2=BI119),'2026DATA'!$D$8,"")</f>
        <v/>
      </c>
      <c r="BJ125" s="518" t="str">
        <f>IF(AND(_4="A-330-300",'2026'!$G$4="FO",'2026'!$G$2=BJ119),'2026DATA'!$E$8,"")</f>
        <v/>
      </c>
      <c r="BK125" s="518" t="str">
        <f>IF(AND(_4="A-330-300",'2026'!$G$4="FO",'2026'!$G$2=BK119),'2026DATA'!$F$8,"")</f>
        <v/>
      </c>
      <c r="BL125" s="518" t="str">
        <f>IF(AND(_4="A-330-300",'2026'!$G$4="FO",'2026'!$G$2=BL119),'2026DATA'!$G$8,"")</f>
        <v/>
      </c>
      <c r="BM125" s="518" t="str">
        <f>IF(AND(_4="A-330-300",'2026'!$G$4="FO",'2026'!$G$2=BM119),'2026DATA'!$H$8,"")</f>
        <v/>
      </c>
      <c r="BN125" s="518" t="str">
        <f>IF(AND(_4="A-330-300",'2026'!$G$4="FO",'2026'!$G$2=BN119),'2026DATA'!$I$8,"")</f>
        <v/>
      </c>
      <c r="BO125" s="518" t="str">
        <f>IF(AND(_4="A-330-300",'2026'!$G$4="FO",'2026'!$G$2=BO119),'2026DATA'!$J$8,"")</f>
        <v/>
      </c>
      <c r="BP125" s="518" t="str">
        <f>IF(AND(_4="A-330-300",'2026'!$G$4="FO",'2026'!$G$2=BP119),'2026DATA'!$K$8,"")</f>
        <v/>
      </c>
      <c r="BQ125" s="518" t="str">
        <f>IF(AND(_4="A-330-300",'2026'!$G$4="FO",'2026'!$G$2=BQ119),'2026DATA'!$L$8,"")</f>
        <v/>
      </c>
      <c r="BR125" s="518" t="str">
        <f>IF(AND(_4="A-330-300",'2026'!$G$4="FO",'2026'!$G$2=BR119),'2026DATA'!$M$8,"")</f>
        <v/>
      </c>
      <c r="BS125" s="520" t="str">
        <f>IF(AND(_4="A-330-300",'2026'!$G$4="FO",'2026'!$G$2=BS119),'2026DATA'!$N$8,"")</f>
        <v/>
      </c>
      <c r="BT125" s="940"/>
      <c r="BU125" s="13" t="s">
        <v>62</v>
      </c>
      <c r="BV125" s="518" t="str">
        <f>IF(AND(_5="A-330-300",'2026'!$G$4="FO",'2026'!$G$2=BV119),'2026DATA'!$C$8,"")</f>
        <v/>
      </c>
      <c r="BW125" s="518" t="str">
        <f>IF(AND(_5="A-330-300",'2026'!$G$4="FO",'2026'!$G$2=BW119),'2026DATA'!$D$8,"")</f>
        <v/>
      </c>
      <c r="BX125" s="518" t="str">
        <f>IF(AND(_5="A-330-300",'2026'!$G$4="FO",'2026'!$G$2=BX119),'2026DATA'!$E$8,"")</f>
        <v/>
      </c>
      <c r="BY125" s="518" t="str">
        <f>IF(AND(_5="A-330-300",'2026'!$G$4="FO",'2026'!$G$2=BY119),'2026DATA'!$F$8,"")</f>
        <v/>
      </c>
      <c r="BZ125" s="518" t="str">
        <f>IF(AND(_5="A-330-300",'2026'!$G$4="FO",'2026'!$G$2=BZ119),'2026DATA'!$G$8,"")</f>
        <v/>
      </c>
      <c r="CA125" s="518" t="str">
        <f>IF(AND(_5="A-330-300",'2026'!$G$4="FO",'2026'!$G$2=CA119),'2026DATA'!$H$8,"")</f>
        <v/>
      </c>
      <c r="CB125" s="518" t="str">
        <f>IF(AND(_5="A-330-300",'2026'!$G$4="FO",'2026'!$G$2=CB119),'2026DATA'!$I$8,"")</f>
        <v/>
      </c>
      <c r="CC125" s="518" t="str">
        <f>IF(AND(_5="A-330-300",'2026'!$G$4="FO",'2026'!$G$2=CC119),'2026DATA'!$J$8,"")</f>
        <v/>
      </c>
      <c r="CD125" s="518" t="str">
        <f>IF(AND(_5="A-330-300",'2026'!$G$4="FO",'2026'!$G$2=CD119),'2026DATA'!$K$8,"")</f>
        <v/>
      </c>
      <c r="CE125" s="518" t="str">
        <f>IF(AND(_5="A-330-300",'2026'!$G$4="FO",'2026'!$G$2=CE119),'2026DATA'!$L$8,"")</f>
        <v/>
      </c>
      <c r="CF125" s="518" t="str">
        <f>IF(AND(_5="A-330-300",'2026'!$G$4="FO",'2026'!$G$2=CF119),'2026DATA'!$M$8,"")</f>
        <v/>
      </c>
      <c r="CG125" s="520" t="str">
        <f>IF(AND(_5="A-330-300",'2026'!$G$4="FO",'2026'!$G$2=CG119),'2026DATA'!$N$8,"")</f>
        <v/>
      </c>
      <c r="CH125" s="940"/>
      <c r="CI125" s="13" t="s">
        <v>62</v>
      </c>
      <c r="CJ125" s="518" t="str">
        <f>IF(AND(_6="A-330-300",'2026'!$G$4="FO",'2026'!$G$2=CJ119),'2026DATA'!$C$8,"")</f>
        <v/>
      </c>
      <c r="CK125" s="518" t="str">
        <f>IF(AND(_6="A-330-300",'2026'!$G$4="FO",'2026'!$G$2=CK119),'2026DATA'!$D$8,"")</f>
        <v/>
      </c>
      <c r="CL125" s="518" t="str">
        <f>IF(AND(_6="A-330-300",'2026'!$G$4="FO",'2026'!$G$2=CL119),'2026DATA'!$E$8,"")</f>
        <v/>
      </c>
      <c r="CM125" s="518" t="str">
        <f>IF(AND(_6="A-330-300",'2026'!$G$4="FO",'2026'!$G$2=CM119),'2026DATA'!$F$8,"")</f>
        <v/>
      </c>
      <c r="CN125" s="518" t="str">
        <f>IF(AND(_6="A-330-300",'2026'!$G$4="FO",'2026'!$G$2=CN119),'2026DATA'!$G$8,"")</f>
        <v/>
      </c>
      <c r="CO125" s="518" t="str">
        <f>IF(AND(_6="A-330-300",'2026'!$G$4="FO",'2026'!$G$2=CO119),'2026DATA'!$H$8,"")</f>
        <v/>
      </c>
      <c r="CP125" s="518" t="str">
        <f>IF(AND(_6="A-330-300",'2026'!$G$4="FO",'2026'!$G$2=CP119),'2026DATA'!$I$8,"")</f>
        <v/>
      </c>
      <c r="CQ125" s="518" t="str">
        <f>IF(AND(_6="A-330-300",'2026'!$G$4="FO",'2026'!$G$2=CQ119),'2026DATA'!$J$8,"")</f>
        <v/>
      </c>
      <c r="CR125" s="518" t="str">
        <f>IF(AND(_6="A-330-300",'2026'!$G$4="FO",'2026'!$G$2=CR119),'2026DATA'!$K$8,"")</f>
        <v/>
      </c>
      <c r="CS125" s="518" t="str">
        <f>IF(AND(_6="A-330-300",'2026'!$G$4="FO",'2026'!$G$2=CS119),'2026DATA'!$L$8,"")</f>
        <v/>
      </c>
      <c r="CT125" s="518" t="str">
        <f>IF(AND(_6="A-330-300",'2026'!$G$4="FO",'2026'!$G$2=CT119),'2026DATA'!$M$8,"")</f>
        <v/>
      </c>
      <c r="CU125" s="520" t="str">
        <f>IF(AND(_6="A-330-300",'2026'!$G$4="FO",'2026'!$G$2=CU119),'2026DATA'!$N$8,"")</f>
        <v/>
      </c>
    </row>
    <row r="126" spans="16:99" x14ac:dyDescent="0.25">
      <c r="P126" s="940" t="s">
        <v>66</v>
      </c>
      <c r="Q126" s="13" t="s">
        <v>61</v>
      </c>
      <c r="R126" s="518" t="str">
        <f>IF(AND(_1="A-330-200",'2026'!$G$4="CA",'2026'!$G$2=R119),'2026DATA'!$C$9,"")</f>
        <v/>
      </c>
      <c r="S126" s="518" t="str">
        <f>IF(AND(_1="A-330-200",'2026'!$G$4="CA",'2026'!$G$2=S119),'2026DATA'!$D$9,"")</f>
        <v/>
      </c>
      <c r="T126" s="518" t="str">
        <f>IF(AND(_1="A-330-200",'2026'!$G$4="CA",'2026'!$G$2=T119),'2026DATA'!$E$9,"")</f>
        <v/>
      </c>
      <c r="U126" s="518" t="str">
        <f>IF(AND(_1="A-330-200",'2026'!$G$4="CA",'2026'!$G$2=U119),'2026DATA'!$F$9,"")</f>
        <v/>
      </c>
      <c r="V126" s="518" t="str">
        <f>IF(AND(_1="A-330-200",'2026'!$G$4="CA",'2026'!$G$2=V119),'2026DATA'!$G$9,"")</f>
        <v/>
      </c>
      <c r="W126" s="518" t="str">
        <f>IF(AND(_1="A-330-200",'2026'!$G$4="CA",'2026'!$G$2=W119),'2026DATA'!$H$9,"")</f>
        <v/>
      </c>
      <c r="X126" s="518" t="str">
        <f>IF(AND(_1="A-330-200",'2026'!$G$4="CA",'2026'!$G$2=X119),'2026DATA'!$I$9,"")</f>
        <v/>
      </c>
      <c r="Y126" s="518" t="str">
        <f>IF(AND(_1="A-330-200",'2026'!$G$4="CA",'2026'!$G$2=Y119),'2026DATA'!$J$9,"")</f>
        <v/>
      </c>
      <c r="Z126" s="518" t="str">
        <f>IF(AND(_1="A-330-200",'2026'!$G$4="CA",'2026'!$G$2=Z119),'2026DATA'!$K$9,"")</f>
        <v/>
      </c>
      <c r="AA126" s="518" t="str">
        <f>IF(AND(_1="A-330-200",'2026'!$G$4="CA",'2026'!$G$2=AA119),'2026DATA'!$L$9,"")</f>
        <v/>
      </c>
      <c r="AB126" s="518" t="str">
        <f>IF(AND(_1="A-330-200",'2026'!$G$4="CA",'2026'!$G$2=AB119),'2026DATA'!$M$9,"")</f>
        <v/>
      </c>
      <c r="AC126" s="520" t="str">
        <f>IF(AND(_1="A-330-200",'2026'!$G$4="CA",'2026'!$G$2=AC119),'2026DATA'!$N$9,"")</f>
        <v/>
      </c>
      <c r="AD126" s="940" t="s">
        <v>66</v>
      </c>
      <c r="AE126" s="13" t="s">
        <v>61</v>
      </c>
      <c r="AF126" s="518" t="str">
        <f>IF(AND(_2="A-330-200",'2026'!$G$4="CA",'2026'!$G$2=AF119),'2026DATA'!$C$9,"")</f>
        <v/>
      </c>
      <c r="AG126" s="518" t="str">
        <f>IF(AND(_2="A-330-200",'2026'!$G$4="CA",'2026'!$G$2=AG119),'2026DATA'!$D$9,"")</f>
        <v/>
      </c>
      <c r="AH126" s="518" t="str">
        <f>IF(AND(_2="A-330-200",'2026'!$G$4="CA",'2026'!$G$2=AH119),'2026DATA'!$E$9,"")</f>
        <v/>
      </c>
      <c r="AI126" s="518" t="str">
        <f>IF(AND(_2="A-330-200",'2026'!$G$4="CA",'2026'!$G$2=AI119),'2026DATA'!$F$9,"")</f>
        <v/>
      </c>
      <c r="AJ126" s="518" t="str">
        <f>IF(AND(_2="A-330-200",'2026'!$G$4="CA",'2026'!$G$2=AJ119),'2026DATA'!$G$9,"")</f>
        <v/>
      </c>
      <c r="AK126" s="518" t="str">
        <f>IF(AND(_2="A-330-200",'2026'!$G$4="CA",'2026'!$G$2=AK119),'2026DATA'!$H$9,"")</f>
        <v/>
      </c>
      <c r="AL126" s="518" t="str">
        <f>IF(AND(_2="A-330-200",'2026'!$G$4="CA",'2026'!$G$2=AL119),'2026DATA'!$I$9,"")</f>
        <v/>
      </c>
      <c r="AM126" s="518" t="str">
        <f>IF(AND(_2="A-330-200",'2026'!$G$4="CA",'2026'!$G$2=AM119),'2026DATA'!$J$9,"")</f>
        <v/>
      </c>
      <c r="AN126" s="518" t="str">
        <f>IF(AND(_2="A-330-200",'2026'!$G$4="CA",'2026'!$G$2=AN119),'2026DATA'!$K$9,"")</f>
        <v/>
      </c>
      <c r="AO126" s="518" t="str">
        <f>IF(AND(_2="A-330-200",'2026'!$G$4="CA",'2026'!$G$2=AO119),'2026DATA'!$L$9,"")</f>
        <v/>
      </c>
      <c r="AP126" s="518" t="str">
        <f>IF(AND(_2="A-330-200",'2026'!$G$4="CA",'2026'!$G$2=AP119),'2026DATA'!$M$9,"")</f>
        <v/>
      </c>
      <c r="AQ126" s="520" t="str">
        <f>IF(AND(_2="A-330-200",'2026'!$G$4="CA",'2026'!$G$2=AQ119),'2026DATA'!$N$9,"")</f>
        <v/>
      </c>
      <c r="AR126" s="940" t="s">
        <v>66</v>
      </c>
      <c r="AS126" s="13" t="s">
        <v>61</v>
      </c>
      <c r="AT126" s="518" t="str">
        <f>IF(AND(_3="A-330-200",'2026'!$G$4="CA",'2026'!$G$2=AT119),'2026DATA'!$C$9,"")</f>
        <v/>
      </c>
      <c r="AU126" s="518" t="str">
        <f>IF(AND(_3="A-330-200",'2026'!$G$4="CA",'2026'!$G$2=AU119),'2026DATA'!$D$9,"")</f>
        <v/>
      </c>
      <c r="AV126" s="518" t="str">
        <f>IF(AND(_3="A-330-200",'2026'!$G$4="CA",'2026'!$G$2=AV119),'2026DATA'!$E$9,"")</f>
        <v/>
      </c>
      <c r="AW126" s="518" t="str">
        <f>IF(AND(_3="A-330-200",'2026'!$G$4="CA",'2026'!$G$2=AW119),'2026DATA'!$F$9,"")</f>
        <v/>
      </c>
      <c r="AX126" s="518" t="str">
        <f>IF(AND(_3="A-330-200",'2026'!$G$4="CA",'2026'!$G$2=AX119),'2026DATA'!$G$9,"")</f>
        <v/>
      </c>
      <c r="AY126" s="518" t="str">
        <f>IF(AND(_3="A-330-200",'2026'!$G$4="CA",'2026'!$G$2=AY119),'2026DATA'!$H$9,"")</f>
        <v/>
      </c>
      <c r="AZ126" s="518" t="str">
        <f>IF(AND(_3="A-330-200",'2026'!$G$4="CA",'2026'!$G$2=AZ119),'2026DATA'!$I$9,"")</f>
        <v/>
      </c>
      <c r="BA126" s="518" t="str">
        <f>IF(AND(_3="A-330-200",'2026'!$G$4="CA",'2026'!$G$2=BA119),'2026DATA'!$J$9,"")</f>
        <v/>
      </c>
      <c r="BB126" s="518" t="str">
        <f>IF(AND(_3="A-330-200",'2026'!$G$4="CA",'2026'!$G$2=BB119),'2026DATA'!$K$9,"")</f>
        <v/>
      </c>
      <c r="BC126" s="518" t="str">
        <f>IF(AND(_3="A-330-200",'2026'!$G$4="CA",'2026'!$G$2=BC119),'2026DATA'!$L$9,"")</f>
        <v/>
      </c>
      <c r="BD126" s="518" t="str">
        <f>IF(AND(_3="A-330-200",'2026'!$G$4="CA",'2026'!$G$2=BD119),'2026DATA'!$M$9,"")</f>
        <v/>
      </c>
      <c r="BE126" s="520" t="str">
        <f>IF(AND(_3="A-330-200",'2026'!$G$4="CA",'2026'!$G$2=BE119),'2026DATA'!$N$9,"")</f>
        <v/>
      </c>
      <c r="BF126" s="940" t="s">
        <v>66</v>
      </c>
      <c r="BG126" s="13" t="s">
        <v>61</v>
      </c>
      <c r="BH126" s="518" t="str">
        <f>IF(AND(_4="A-330-200",'2026'!$G$4="CA",'2026'!$G$2=BH119),'2026DATA'!$C$9,"")</f>
        <v/>
      </c>
      <c r="BI126" s="518" t="str">
        <f>IF(AND(_4="A-330-200",'2026'!$G$4="CA",'2026'!$G$2=BI119),'2026DATA'!$D$9,"")</f>
        <v/>
      </c>
      <c r="BJ126" s="518" t="str">
        <f>IF(AND(_4="A-330-200",'2026'!$G$4="CA",'2026'!$G$2=BJ119),'2026DATA'!$E$9,"")</f>
        <v/>
      </c>
      <c r="BK126" s="518" t="str">
        <f>IF(AND(_4="A-330-200",'2026'!$G$4="CA",'2026'!$G$2=BK119),'2026DATA'!$F$9,"")</f>
        <v/>
      </c>
      <c r="BL126" s="518" t="str">
        <f>IF(AND(_4="A-330-200",'2026'!$G$4="CA",'2026'!$G$2=BL119),'2026DATA'!$G$9,"")</f>
        <v/>
      </c>
      <c r="BM126" s="518" t="str">
        <f>IF(AND(_4="A-330-200",'2026'!$G$4="CA",'2026'!$G$2=BM119),'2026DATA'!$H$9,"")</f>
        <v/>
      </c>
      <c r="BN126" s="518" t="str">
        <f>IF(AND(_4="A-330-200",'2026'!$G$4="CA",'2026'!$G$2=BN119),'2026DATA'!$I$9,"")</f>
        <v/>
      </c>
      <c r="BO126" s="518" t="str">
        <f>IF(AND(_4="A-330-200",'2026'!$G$4="CA",'2026'!$G$2=BO119),'2026DATA'!$J$9,"")</f>
        <v/>
      </c>
      <c r="BP126" s="518" t="str">
        <f>IF(AND(_4="A-330-200",'2026'!$G$4="CA",'2026'!$G$2=BP119),'2026DATA'!$K$9,"")</f>
        <v/>
      </c>
      <c r="BQ126" s="518" t="str">
        <f>IF(AND(_4="A-330-200",'2026'!$G$4="CA",'2026'!$G$2=BQ119),'2026DATA'!$L$9,"")</f>
        <v/>
      </c>
      <c r="BR126" s="518" t="str">
        <f>IF(AND(_4="A-330-200",'2026'!$G$4="CA",'2026'!$G$2=BR119),'2026DATA'!$M$9,"")</f>
        <v/>
      </c>
      <c r="BS126" s="520" t="str">
        <f>IF(AND(_4="A-330-200",'2026'!$G$4="CA",'2026'!$G$2=BS119),'2026DATA'!$N$9,"")</f>
        <v/>
      </c>
      <c r="BT126" s="940" t="s">
        <v>66</v>
      </c>
      <c r="BU126" s="13" t="s">
        <v>61</v>
      </c>
      <c r="BV126" s="518" t="str">
        <f>IF(AND(_5="A-330-200",'2026'!$G$4="CA",'2026'!$G$2=BV119),'2026DATA'!$C$9,"")</f>
        <v/>
      </c>
      <c r="BW126" s="518" t="str">
        <f>IF(AND(_5="A-330-200",'2026'!$G$4="CA",'2026'!$G$2=BW119),'2026DATA'!$D$9,"")</f>
        <v/>
      </c>
      <c r="BX126" s="518" t="str">
        <f>IF(AND(_5="A-330-200",'2026'!$G$4="CA",'2026'!$G$2=BX119),'2026DATA'!$E$9,"")</f>
        <v/>
      </c>
      <c r="BY126" s="518" t="str">
        <f>IF(AND(_5="A-330-200",'2026'!$G$4="CA",'2026'!$G$2=BY119),'2026DATA'!$F$9,"")</f>
        <v/>
      </c>
      <c r="BZ126" s="518" t="str">
        <f>IF(AND(_5="A-330-200",'2026'!$G$4="CA",'2026'!$G$2=BZ119),'2026DATA'!$G$9,"")</f>
        <v/>
      </c>
      <c r="CA126" s="518" t="str">
        <f>IF(AND(_5="A-330-200",'2026'!$G$4="CA",'2026'!$G$2=CA119),'2026DATA'!$H$9,"")</f>
        <v/>
      </c>
      <c r="CB126" s="518" t="str">
        <f>IF(AND(_5="A-330-200",'2026'!$G$4="CA",'2026'!$G$2=CB119),'2026DATA'!$I$9,"")</f>
        <v/>
      </c>
      <c r="CC126" s="518" t="str">
        <f>IF(AND(_5="A-330-200",'2026'!$G$4="CA",'2026'!$G$2=CC119),'2026DATA'!$J$9,"")</f>
        <v/>
      </c>
      <c r="CD126" s="518" t="str">
        <f>IF(AND(_5="A-330-200",'2026'!$G$4="CA",'2026'!$G$2=CD119),'2026DATA'!$K$9,"")</f>
        <v/>
      </c>
      <c r="CE126" s="518" t="str">
        <f>IF(AND(_5="A-330-200",'2026'!$G$4="CA",'2026'!$G$2=CE119),'2026DATA'!$L$9,"")</f>
        <v/>
      </c>
      <c r="CF126" s="518" t="str">
        <f>IF(AND(_5="A-330-200",'2026'!$G$4="CA",'2026'!$G$2=CF119),'2026DATA'!$M$9,"")</f>
        <v/>
      </c>
      <c r="CG126" s="520" t="str">
        <f>IF(AND(_5="A-330-200",'2026'!$G$4="CA",'2026'!$G$2=CG119),'2026DATA'!$N$9,"")</f>
        <v/>
      </c>
      <c r="CH126" s="940" t="s">
        <v>66</v>
      </c>
      <c r="CI126" s="13" t="s">
        <v>61</v>
      </c>
      <c r="CJ126" s="518" t="str">
        <f>IF(AND(_6="A-330-200",'2026'!$G$4="CA",'2026'!$G$2=CJ119),'2026DATA'!$C$9,"")</f>
        <v/>
      </c>
      <c r="CK126" s="518" t="str">
        <f>IF(AND(_6="A-330-200",'2026'!$G$4="CA",'2026'!$G$2=CK119),'2026DATA'!$D$9,"")</f>
        <v/>
      </c>
      <c r="CL126" s="518" t="str">
        <f>IF(AND(_6="A-330-200",'2026'!$G$4="CA",'2026'!$G$2=CL119),'2026DATA'!$E$9,"")</f>
        <v/>
      </c>
      <c r="CM126" s="518" t="str">
        <f>IF(AND(_6="A-330-200",'2026'!$G$4="CA",'2026'!$G$2=CM119),'2026DATA'!$F$9,"")</f>
        <v/>
      </c>
      <c r="CN126" s="518" t="str">
        <f>IF(AND(_6="A-330-200",'2026'!$G$4="CA",'2026'!$G$2=CN119),'2026DATA'!$G$9,"")</f>
        <v/>
      </c>
      <c r="CO126" s="518" t="str">
        <f>IF(AND(_6="A-330-200",'2026'!$G$4="CA",'2026'!$G$2=CO119),'2026DATA'!$H$9,"")</f>
        <v/>
      </c>
      <c r="CP126" s="518" t="str">
        <f>IF(AND(_6="A-330-200",'2026'!$G$4="CA",'2026'!$G$2=CP119),'2026DATA'!$I$9,"")</f>
        <v/>
      </c>
      <c r="CQ126" s="518" t="str">
        <f>IF(AND(_6="A-330-200",'2026'!$G$4="CA",'2026'!$G$2=CQ119),'2026DATA'!$J$9,"")</f>
        <v/>
      </c>
      <c r="CR126" s="518" t="str">
        <f>IF(AND(_6="A-330-200",'2026'!$G$4="CA",'2026'!$G$2=CR119),'2026DATA'!$K$9,"")</f>
        <v/>
      </c>
      <c r="CS126" s="518" t="str">
        <f>IF(AND(_6="A-330-200",'2026'!$G$4="CA",'2026'!$G$2=CS119),'2026DATA'!$L$9,"")</f>
        <v/>
      </c>
      <c r="CT126" s="518" t="str">
        <f>IF(AND(_6="A-330-200",'2026'!$G$4="CA",'2026'!$G$2=CT119),'2026DATA'!$M$9,"")</f>
        <v/>
      </c>
      <c r="CU126" s="520" t="str">
        <f>IF(AND(_6="A-330-200",'2026'!$G$4="CA",'2026'!$G$2=CU119),'2026DATA'!$N$9,"")</f>
        <v/>
      </c>
    </row>
    <row r="127" spans="16:99" x14ac:dyDescent="0.25">
      <c r="P127" s="940"/>
      <c r="Q127" s="13" t="s">
        <v>62</v>
      </c>
      <c r="R127" s="518" t="str">
        <f>IF(AND(_1="A-330-200",'2026'!$G$4="FO",'2026'!$G$2=R119),'2026DATA'!$C$10,"")</f>
        <v/>
      </c>
      <c r="S127" s="518" t="str">
        <f>IF(AND(_1="A-330-200",'2026'!$G$4="FO",'2026'!$G$2=S119),'2026DATA'!$D$10,"")</f>
        <v/>
      </c>
      <c r="T127" s="518" t="str">
        <f>IF(AND(_1="A-330-200",'2026'!$G$4="FO",'2026'!$G$2=T119),'2026DATA'!$E$10,"")</f>
        <v/>
      </c>
      <c r="U127" s="518" t="str">
        <f>IF(AND(_1="A-330-200",'2026'!$G$4="FO",'2026'!$G$2=U119),'2026DATA'!$F$10,"")</f>
        <v/>
      </c>
      <c r="V127" s="518" t="str">
        <f>IF(AND(_1="A-330-200",'2026'!$G$4="FO",'2026'!$G$2=V119),'2026DATA'!$G$10,"")</f>
        <v/>
      </c>
      <c r="W127" s="518" t="str">
        <f>IF(AND(_1="A-330-200",'2026'!$G$4="FO",'2026'!$G$2=W119),'2026DATA'!$H$10,"")</f>
        <v/>
      </c>
      <c r="X127" s="518" t="str">
        <f>IF(AND(_1="A-330-200",'2026'!$G$4="FO",'2026'!$G$2=X119),'2026DATA'!$I$10,"")</f>
        <v/>
      </c>
      <c r="Y127" s="518" t="str">
        <f>IF(AND(_1="A-330-200",'2026'!$G$4="FO",'2026'!$G$2=Y119),'2026DATA'!$J$10,"")</f>
        <v/>
      </c>
      <c r="Z127" s="518" t="str">
        <f>IF(AND(_1="A-330-200",'2026'!$G$4="FO",'2026'!$G$2=Z119),'2026DATA'!$K$10,"")</f>
        <v/>
      </c>
      <c r="AA127" s="518" t="str">
        <f>IF(AND(_1="A-330-200",'2026'!$G$4="FO",'2026'!$G$2=AA119),'2026DATA'!$L$10,"")</f>
        <v/>
      </c>
      <c r="AB127" s="518" t="str">
        <f>IF(AND(_1="A-330-200",'2026'!$G$4="FO",'2026'!$G$2=AB119),'2026DATA'!$M$10,"")</f>
        <v/>
      </c>
      <c r="AC127" s="520" t="str">
        <f>IF(AND(_1="A-330-200",'2026'!$G$4="FO",'2026'!$G$2=AC119),'2026DATA'!$N$10,"")</f>
        <v/>
      </c>
      <c r="AD127" s="940"/>
      <c r="AE127" s="13" t="s">
        <v>62</v>
      </c>
      <c r="AF127" s="518" t="str">
        <f>IF(AND(_2="A-330-200",'2026'!$G$4="FO",'2026'!$G$2=AF119),'2026DATA'!$C$10,"")</f>
        <v/>
      </c>
      <c r="AG127" s="518" t="str">
        <f>IF(AND(_2="A-330-200",'2026'!$G$4="FO",'2026'!$G$2=AG119),'2026DATA'!$D$10,"")</f>
        <v/>
      </c>
      <c r="AH127" s="518" t="str">
        <f>IF(AND(_2="A-330-200",'2026'!$G$4="FO",'2026'!$G$2=AH119),'2026DATA'!$E$10,"")</f>
        <v/>
      </c>
      <c r="AI127" s="518" t="str">
        <f>IF(AND(_2="A-330-200",'2026'!$G$4="FO",'2026'!$G$2=AI119),'2026DATA'!$F$10,"")</f>
        <v/>
      </c>
      <c r="AJ127" s="518" t="str">
        <f>IF(AND(_2="A-330-200",'2026'!$G$4="FO",'2026'!$G$2=AJ119),'2026DATA'!$G$10,"")</f>
        <v/>
      </c>
      <c r="AK127" s="518" t="str">
        <f>IF(AND(_2="A-330-200",'2026'!$G$4="FO",'2026'!$G$2=AK119),'2026DATA'!$H$10,"")</f>
        <v/>
      </c>
      <c r="AL127" s="518" t="str">
        <f>IF(AND(_2="A-330-200",'2026'!$G$4="FO",'2026'!$G$2=AL119),'2026DATA'!$I$10,"")</f>
        <v/>
      </c>
      <c r="AM127" s="518" t="str">
        <f>IF(AND(_2="A-330-200",'2026'!$G$4="FO",'2026'!$G$2=AM119),'2026DATA'!$J$10,"")</f>
        <v/>
      </c>
      <c r="AN127" s="518" t="str">
        <f>IF(AND(_2="A-330-200",'2026'!$G$4="FO",'2026'!$G$2=AN119),'2026DATA'!$K$10,"")</f>
        <v/>
      </c>
      <c r="AO127" s="518" t="str">
        <f>IF(AND(_2="A-330-200",'2026'!$G$4="FO",'2026'!$G$2=AO119),'2026DATA'!$L$10,"")</f>
        <v/>
      </c>
      <c r="AP127" s="518" t="str">
        <f>IF(AND(_2="A-330-200",'2026'!$G$4="FO",'2026'!$G$2=AP119),'2026DATA'!$M$10,"")</f>
        <v/>
      </c>
      <c r="AQ127" s="520" t="str">
        <f>IF(AND(_2="A-330-200",'2026'!$G$4="FO",'2026'!$G$2=AQ119),'2026DATA'!$N$10,"")</f>
        <v/>
      </c>
      <c r="AR127" s="940"/>
      <c r="AS127" s="13" t="s">
        <v>62</v>
      </c>
      <c r="AT127" s="518" t="str">
        <f>IF(AND(_3="A-330-200",'2026'!$G$4="FO",'2026'!$G$2=AT119),'2026DATA'!$C$10,"")</f>
        <v/>
      </c>
      <c r="AU127" s="518" t="str">
        <f>IF(AND(_3="A-330-200",'2026'!$G$4="FO",'2026'!$G$2=AU119),'2026DATA'!$D$10,"")</f>
        <v/>
      </c>
      <c r="AV127" s="518" t="str">
        <f>IF(AND(_3="A-330-200",'2026'!$G$4="FO",'2026'!$G$2=AV119),'2026DATA'!$E$10,"")</f>
        <v/>
      </c>
      <c r="AW127" s="518" t="str">
        <f>IF(AND(_3="A-330-200",'2026'!$G$4="FO",'2026'!$G$2=AW119),'2026DATA'!$F$10,"")</f>
        <v/>
      </c>
      <c r="AX127" s="518" t="str">
        <f>IF(AND(_3="A-330-200",'2026'!$G$4="FO",'2026'!$G$2=AX119),'2026DATA'!$G$10,"")</f>
        <v/>
      </c>
      <c r="AY127" s="518" t="str">
        <f>IF(AND(_3="A-330-200",'2026'!$G$4="FO",'2026'!$G$2=AY119),'2026DATA'!$H$10,"")</f>
        <v/>
      </c>
      <c r="AZ127" s="518" t="str">
        <f>IF(AND(_3="A-330-200",'2026'!$G$4="FO",'2026'!$G$2=AZ119),'2026DATA'!$I$10,"")</f>
        <v/>
      </c>
      <c r="BA127" s="518" t="str">
        <f>IF(AND(_3="A-330-200",'2026'!$G$4="FO",'2026'!$G$2=BA119),'2026DATA'!$J$10,"")</f>
        <v/>
      </c>
      <c r="BB127" s="518" t="str">
        <f>IF(AND(_3="A-330-200",'2026'!$G$4="FO",'2026'!$G$2=BB119),'2026DATA'!$K$10,"")</f>
        <v/>
      </c>
      <c r="BC127" s="518" t="str">
        <f>IF(AND(_3="A-330-200",'2026'!$G$4="FO",'2026'!$G$2=BC119),'2026DATA'!$L$10,"")</f>
        <v/>
      </c>
      <c r="BD127" s="518" t="str">
        <f>IF(AND(_3="A-330-200",'2026'!$G$4="FO",'2026'!$G$2=BD119),'2026DATA'!$M$10,"")</f>
        <v/>
      </c>
      <c r="BE127" s="520" t="str">
        <f>IF(AND(_3="A-330-200",'2026'!$G$4="FO",'2026'!$G$2=BE119),'2026DATA'!$N$10,"")</f>
        <v/>
      </c>
      <c r="BF127" s="940"/>
      <c r="BG127" s="13" t="s">
        <v>62</v>
      </c>
      <c r="BH127" s="518" t="str">
        <f>IF(AND(_4="A-330-200",'2026'!$G$4="FO",'2026'!$G$2=BH119),'2026DATA'!$C$10,"")</f>
        <v/>
      </c>
      <c r="BI127" s="518" t="str">
        <f>IF(AND(_4="A-330-200",'2026'!$G$4="FO",'2026'!$G$2=BI119),'2026DATA'!$D$10,"")</f>
        <v/>
      </c>
      <c r="BJ127" s="518" t="str">
        <f>IF(AND(_4="A-330-200",'2026'!$G$4="FO",'2026'!$G$2=BJ119),'2026DATA'!$E$10,"")</f>
        <v/>
      </c>
      <c r="BK127" s="518" t="str">
        <f>IF(AND(_4="A-330-200",'2026'!$G$4="FO",'2026'!$G$2=BK119),'2026DATA'!$F$10,"")</f>
        <v/>
      </c>
      <c r="BL127" s="518" t="str">
        <f>IF(AND(_4="A-330-200",'2026'!$G$4="FO",'2026'!$G$2=BL119),'2026DATA'!$G$10,"")</f>
        <v/>
      </c>
      <c r="BM127" s="518" t="str">
        <f>IF(AND(_4="A-330-200",'2026'!$G$4="FO",'2026'!$G$2=BM119),'2026DATA'!$H$10,"")</f>
        <v/>
      </c>
      <c r="BN127" s="518" t="str">
        <f>IF(AND(_4="A-330-200",'2026'!$G$4="FO",'2026'!$G$2=BN119),'2026DATA'!$I$10,"")</f>
        <v/>
      </c>
      <c r="BO127" s="518" t="str">
        <f>IF(AND(_4="A-330-200",'2026'!$G$4="FO",'2026'!$G$2=BO119),'2026DATA'!$J$10,"")</f>
        <v/>
      </c>
      <c r="BP127" s="518" t="str">
        <f>IF(AND(_4="A-330-200",'2026'!$G$4="FO",'2026'!$G$2=BP119),'2026DATA'!$K$10,"")</f>
        <v/>
      </c>
      <c r="BQ127" s="518" t="str">
        <f>IF(AND(_4="A-330-200",'2026'!$G$4="FO",'2026'!$G$2=BQ119),'2026DATA'!$L$10,"")</f>
        <v/>
      </c>
      <c r="BR127" s="518" t="str">
        <f>IF(AND(_4="A-330-200",'2026'!$G$4="FO",'2026'!$G$2=BR119),'2026DATA'!$M$10,"")</f>
        <v/>
      </c>
      <c r="BS127" s="520" t="str">
        <f>IF(AND(_4="A-330-200",'2026'!$G$4="FO",'2026'!$G$2=BS119),'2026DATA'!$N$10,"")</f>
        <v/>
      </c>
      <c r="BT127" s="940"/>
      <c r="BU127" s="13" t="s">
        <v>62</v>
      </c>
      <c r="BV127" s="518" t="str">
        <f>IF(AND(_5="A-330-200",'2026'!$G$4="FO",'2026'!$G$2=BV119),'2026DATA'!$C$10,"")</f>
        <v/>
      </c>
      <c r="BW127" s="518" t="str">
        <f>IF(AND(_5="A-330-200",'2026'!$G$4="FO",'2026'!$G$2=BW119),'2026DATA'!$D$10,"")</f>
        <v/>
      </c>
      <c r="BX127" s="518" t="str">
        <f>IF(AND(_5="A-330-200",'2026'!$G$4="FO",'2026'!$G$2=BX119),'2026DATA'!$E$10,"")</f>
        <v/>
      </c>
      <c r="BY127" s="518" t="str">
        <f>IF(AND(_5="A-330-200",'2026'!$G$4="FO",'2026'!$G$2=BY119),'2026DATA'!$F$10,"")</f>
        <v/>
      </c>
      <c r="BZ127" s="518" t="str">
        <f>IF(AND(_5="A-330-200",'2026'!$G$4="FO",'2026'!$G$2=BZ119),'2026DATA'!$G$10,"")</f>
        <v/>
      </c>
      <c r="CA127" s="518" t="str">
        <f>IF(AND(_5="A-330-200",'2026'!$G$4="FO",'2026'!$G$2=CA119),'2026DATA'!$H$10,"")</f>
        <v/>
      </c>
      <c r="CB127" s="518" t="str">
        <f>IF(AND(_5="A-330-200",'2026'!$G$4="FO",'2026'!$G$2=CB119),'2026DATA'!$I$10,"")</f>
        <v/>
      </c>
      <c r="CC127" s="518" t="str">
        <f>IF(AND(_5="A-330-200",'2026'!$G$4="FO",'2026'!$G$2=CC119),'2026DATA'!$J$10,"")</f>
        <v/>
      </c>
      <c r="CD127" s="518" t="str">
        <f>IF(AND(_5="A-330-200",'2026'!$G$4="FO",'2026'!$G$2=CD119),'2026DATA'!$K$10,"")</f>
        <v/>
      </c>
      <c r="CE127" s="518" t="str">
        <f>IF(AND(_5="A-330-200",'2026'!$G$4="FO",'2026'!$G$2=CE119),'2026DATA'!$L$10,"")</f>
        <v/>
      </c>
      <c r="CF127" s="518" t="str">
        <f>IF(AND(_5="A-330-200",'2026'!$G$4="FO",'2026'!$G$2=CF119),'2026DATA'!$M$10,"")</f>
        <v/>
      </c>
      <c r="CG127" s="520" t="str">
        <f>IF(AND(_5="A-330-200",'2026'!$G$4="FO",'2026'!$G$2=CG119),'2026DATA'!$N$10,"")</f>
        <v/>
      </c>
      <c r="CH127" s="940"/>
      <c r="CI127" s="13" t="s">
        <v>62</v>
      </c>
      <c r="CJ127" s="518" t="str">
        <f>IF(AND(_6="A-330-200",'2026'!$G$4="FO",'2026'!$G$2=CJ119),'2026DATA'!$C$10,"")</f>
        <v/>
      </c>
      <c r="CK127" s="518" t="str">
        <f>IF(AND(_6="A-330-200",'2026'!$G$4="FO",'2026'!$G$2=CK119),'2026DATA'!$D$10,"")</f>
        <v/>
      </c>
      <c r="CL127" s="518" t="str">
        <f>IF(AND(_6="A-330-200",'2026'!$G$4="FO",'2026'!$G$2=CL119),'2026DATA'!$E$10,"")</f>
        <v/>
      </c>
      <c r="CM127" s="518" t="str">
        <f>IF(AND(_6="A-330-200",'2026'!$G$4="FO",'2026'!$G$2=CM119),'2026DATA'!$F$10,"")</f>
        <v/>
      </c>
      <c r="CN127" s="518" t="str">
        <f>IF(AND(_6="A-330-200",'2026'!$G$4="FO",'2026'!$G$2=CN119),'2026DATA'!$G$10,"")</f>
        <v/>
      </c>
      <c r="CO127" s="518" t="str">
        <f>IF(AND(_6="A-330-200",'2026'!$G$4="FO",'2026'!$G$2=CO119),'2026DATA'!$H$10,"")</f>
        <v/>
      </c>
      <c r="CP127" s="518" t="str">
        <f>IF(AND(_6="A-330-200",'2026'!$G$4="FO",'2026'!$G$2=CP119),'2026DATA'!$I$10,"")</f>
        <v/>
      </c>
      <c r="CQ127" s="518" t="str">
        <f>IF(AND(_6="A-330-200",'2026'!$G$4="FO",'2026'!$G$2=CQ119),'2026DATA'!$J$10,"")</f>
        <v/>
      </c>
      <c r="CR127" s="518" t="str">
        <f>IF(AND(_6="A-330-200",'2026'!$G$4="FO",'2026'!$G$2=CR119),'2026DATA'!$K$10,"")</f>
        <v/>
      </c>
      <c r="CS127" s="518" t="str">
        <f>IF(AND(_6="A-330-200",'2026'!$G$4="FO",'2026'!$G$2=CS119),'2026DATA'!$L$10,"")</f>
        <v/>
      </c>
      <c r="CT127" s="518" t="str">
        <f>IF(AND(_6="A-330-200",'2026'!$G$4="FO",'2026'!$G$2=CT119),'2026DATA'!$M$10,"")</f>
        <v/>
      </c>
      <c r="CU127" s="520" t="str">
        <f>IF(AND(_6="A-330-200",'2026'!$G$4="FO",'2026'!$G$2=CU119),'2026DATA'!$N$10,"")</f>
        <v/>
      </c>
    </row>
    <row r="128" spans="16:99" x14ac:dyDescent="0.25">
      <c r="P128" s="940" t="s">
        <v>42</v>
      </c>
      <c r="Q128" s="13" t="s">
        <v>61</v>
      </c>
      <c r="R128" s="518" t="str">
        <f>IF(AND(_1="B-767-400ER",'2026'!$G$4="CA",'2026'!$G$2=R119),'2026DATA'!$C$11,"")</f>
        <v/>
      </c>
      <c r="S128" s="518" t="str">
        <f>IF(AND(_1="B-767-400ER",'2026'!$G$4="CA",'2026'!$G$2=S119),'2026DATA'!$D$11,"")</f>
        <v/>
      </c>
      <c r="T128" s="518" t="str">
        <f>IF(AND(_1="B-767-400ER",'2026'!$G$4="CA",'2026'!$G$2=T119),'2026DATA'!$E$11,"")</f>
        <v/>
      </c>
      <c r="U128" s="518" t="str">
        <f>IF(AND(_1="B-767-400ER",'2026'!$G$4="CA",'2026'!$G$2=U119),'2026DATA'!$F$11,"")</f>
        <v/>
      </c>
      <c r="V128" s="518" t="str">
        <f>IF(AND(_1="B-767-400ER",'2026'!$G$4="CA",'2026'!$G$2=V119),'2026DATA'!$G$11,"")</f>
        <v/>
      </c>
      <c r="W128" s="518" t="str">
        <f>IF(AND(_1="B-767-400ER",'2026'!$G$4="CA",'2026'!$G$2=W119),'2026DATA'!$H$11,"")</f>
        <v/>
      </c>
      <c r="X128" s="518" t="str">
        <f>IF(AND(_1="B-767-400ER",'2026'!$G$4="CA",'2026'!$G$2=X119),'2026DATA'!$I$11,"")</f>
        <v/>
      </c>
      <c r="Y128" s="518" t="str">
        <f>IF(AND(_1="B-767-400ER",'2026'!$G$4="CA",'2026'!$G$2=Y119),'2026DATA'!$J$11,"")</f>
        <v/>
      </c>
      <c r="Z128" s="518" t="str">
        <f>IF(AND(_1="B-767-400ER",'2026'!$G$4="CA",'2026'!$G$2=Z119),'2026DATA'!$K$11,"")</f>
        <v/>
      </c>
      <c r="AA128" s="518" t="str">
        <f>IF(AND(_1="B-767-400ER",'2026'!$G$4="CA",'2026'!$G$2=AA119),'2026DATA'!$L$11,"")</f>
        <v/>
      </c>
      <c r="AB128" s="518" t="str">
        <f>IF(AND(_1="B-767-400ER",'2026'!$G$4="CA",'2026'!$G$2=AB119),'2026DATA'!$M$11,"")</f>
        <v/>
      </c>
      <c r="AC128" s="520" t="str">
        <f>IF(AND(_1="B-767-400ER",'2026'!$G$4="CA",'2026'!$G$2=AC119),'2026DATA'!$N$11,"")</f>
        <v/>
      </c>
      <c r="AD128" s="940" t="s">
        <v>42</v>
      </c>
      <c r="AE128" s="13" t="s">
        <v>61</v>
      </c>
      <c r="AF128" s="518" t="str">
        <f>IF(AND(_2="B-767-400ER",'2026'!$G$4="CA",'2026'!$G$2=AF119),'2026DATA'!$C$11,"")</f>
        <v/>
      </c>
      <c r="AG128" s="518" t="str">
        <f>IF(AND(_2="B-767-400ER",'2026'!$G$4="CA",'2026'!$G$2=AG119),'2026DATA'!$D$11,"")</f>
        <v/>
      </c>
      <c r="AH128" s="518" t="str">
        <f>IF(AND(_2="B-767-400ER",'2026'!$G$4="CA",'2026'!$G$2=AH119),'2026DATA'!$E$11,"")</f>
        <v/>
      </c>
      <c r="AI128" s="518" t="str">
        <f>IF(AND(_2="B-767-400ER",'2026'!$G$4="CA",'2026'!$G$2=AI119),'2026DATA'!$F$11,"")</f>
        <v/>
      </c>
      <c r="AJ128" s="518" t="str">
        <f>IF(AND(_2="B-767-400ER",'2026'!$G$4="CA",'2026'!$G$2=AJ119),'2026DATA'!$G$11,"")</f>
        <v/>
      </c>
      <c r="AK128" s="518" t="str">
        <f>IF(AND(_2="B-767-400ER",'2026'!$G$4="CA",'2026'!$G$2=AK119),'2026DATA'!$H$11,"")</f>
        <v/>
      </c>
      <c r="AL128" s="518" t="str">
        <f>IF(AND(_2="B-767-400ER",'2026'!$G$4="CA",'2026'!$G$2=AL119),'2026DATA'!$I$11,"")</f>
        <v/>
      </c>
      <c r="AM128" s="518" t="str">
        <f>IF(AND(_2="B-767-400ER",'2026'!$G$4="CA",'2026'!$G$2=AM119),'2026DATA'!$J$11,"")</f>
        <v/>
      </c>
      <c r="AN128" s="518" t="str">
        <f>IF(AND(_2="B-767-400ER",'2026'!$G$4="CA",'2026'!$G$2=AN119),'2026DATA'!$K$11,"")</f>
        <v/>
      </c>
      <c r="AO128" s="518" t="str">
        <f>IF(AND(_2="B-767-400ER",'2026'!$G$4="CA",'2026'!$G$2=AO119),'2026DATA'!$L$11,"")</f>
        <v/>
      </c>
      <c r="AP128" s="518" t="str">
        <f>IF(AND(_2="B-767-400ER",'2026'!$G$4="CA",'2026'!$G$2=AP119),'2026DATA'!$M$11,"")</f>
        <v/>
      </c>
      <c r="AQ128" s="520" t="str">
        <f>IF(AND(_2="B-767-400ER",'2026'!$G$4="CA",'2026'!$G$2=AQ119),'2026DATA'!$N$11,"")</f>
        <v/>
      </c>
      <c r="AR128" s="940" t="s">
        <v>42</v>
      </c>
      <c r="AS128" s="13" t="s">
        <v>61</v>
      </c>
      <c r="AT128" s="518" t="str">
        <f>IF(AND(_3="B-767-400ER",'2026'!$G$4="CA",'2026'!$G$2=AT119),'2026DATA'!$C$11,"")</f>
        <v/>
      </c>
      <c r="AU128" s="518" t="str">
        <f>IF(AND(_3="B-767-400ER",'2026'!$G$4="CA",'2026'!$G$2=AU119),'2026DATA'!$D$11,"")</f>
        <v/>
      </c>
      <c r="AV128" s="518" t="str">
        <f>IF(AND(_3="B-767-400ER",'2026'!$G$4="CA",'2026'!$G$2=AV119),'2026DATA'!$E$11,"")</f>
        <v/>
      </c>
      <c r="AW128" s="518" t="str">
        <f>IF(AND(_3="B-767-400ER",'2026'!$G$4="CA",'2026'!$G$2=AW119),'2026DATA'!$F$11,"")</f>
        <v/>
      </c>
      <c r="AX128" s="518" t="str">
        <f>IF(AND(_3="B-767-400ER",'2026'!$G$4="CA",'2026'!$G$2=AX119),'2026DATA'!$G$11,"")</f>
        <v/>
      </c>
      <c r="AY128" s="518" t="str">
        <f>IF(AND(_3="B-767-400ER",'2026'!$G$4="CA",'2026'!$G$2=AY119),'2026DATA'!$H$11,"")</f>
        <v/>
      </c>
      <c r="AZ128" s="518" t="str">
        <f>IF(AND(_3="B-767-400ER",'2026'!$G$4="CA",'2026'!$G$2=AZ119),'2026DATA'!$I$11,"")</f>
        <v/>
      </c>
      <c r="BA128" s="518" t="str">
        <f>IF(AND(_3="B-767-400ER",'2026'!$G$4="CA",'2026'!$G$2=BA119),'2026DATA'!$J$11,"")</f>
        <v/>
      </c>
      <c r="BB128" s="518" t="str">
        <f>IF(AND(_3="B-767-400ER",'2026'!$G$4="CA",'2026'!$G$2=BB119),'2026DATA'!$K$11,"")</f>
        <v/>
      </c>
      <c r="BC128" s="518" t="str">
        <f>IF(AND(_3="B-767-400ER",'2026'!$G$4="CA",'2026'!$G$2=BC119),'2026DATA'!$L$11,"")</f>
        <v/>
      </c>
      <c r="BD128" s="518" t="str">
        <f>IF(AND(_3="B-767-400ER",'2026'!$G$4="CA",'2026'!$G$2=BD119),'2026DATA'!$M$11,"")</f>
        <v/>
      </c>
      <c r="BE128" s="520" t="str">
        <f>IF(AND(_3="B-767-400ER",'2026'!$G$4="CA",'2026'!$G$2=BE119),'2026DATA'!$N$11,"")</f>
        <v/>
      </c>
      <c r="BF128" s="940" t="s">
        <v>42</v>
      </c>
      <c r="BG128" s="13" t="s">
        <v>61</v>
      </c>
      <c r="BH128" s="518" t="str">
        <f>IF(AND(_4="B-767-400ER",'2026'!$G$4="CA",'2026'!$G$2=BH119),'2026DATA'!$C$11,"")</f>
        <v/>
      </c>
      <c r="BI128" s="518" t="str">
        <f>IF(AND(_4="B-767-400ER",'2026'!$G$4="CA",'2026'!$G$2=BI119),'2026DATA'!$D$11,"")</f>
        <v/>
      </c>
      <c r="BJ128" s="518" t="str">
        <f>IF(AND(_4="B-767-400ER",'2026'!$G$4="CA",'2026'!$G$2=BJ119),'2026DATA'!$E$11,"")</f>
        <v/>
      </c>
      <c r="BK128" s="518" t="str">
        <f>IF(AND(_4="B-767-400ER",'2026'!$G$4="CA",'2026'!$G$2=BK119),'2026DATA'!$F$11,"")</f>
        <v/>
      </c>
      <c r="BL128" s="518" t="str">
        <f>IF(AND(_4="B-767-400ER",'2026'!$G$4="CA",'2026'!$G$2=BL119),'2026DATA'!$G$11,"")</f>
        <v/>
      </c>
      <c r="BM128" s="518" t="str">
        <f>IF(AND(_4="B-767-400ER",'2026'!$G$4="CA",'2026'!$G$2=BM119),'2026DATA'!$H$11,"")</f>
        <v/>
      </c>
      <c r="BN128" s="518" t="str">
        <f>IF(AND(_4="B-767-400ER",'2026'!$G$4="CA",'2026'!$G$2=BN119),'2026DATA'!$I$11,"")</f>
        <v/>
      </c>
      <c r="BO128" s="518" t="str">
        <f>IF(AND(_4="B-767-400ER",'2026'!$G$4="CA",'2026'!$G$2=BO119),'2026DATA'!$J$11,"")</f>
        <v/>
      </c>
      <c r="BP128" s="518" t="str">
        <f>IF(AND(_4="B-767-400ER",'2026'!$G$4="CA",'2026'!$G$2=BP119),'2026DATA'!$K$11,"")</f>
        <v/>
      </c>
      <c r="BQ128" s="518" t="str">
        <f>IF(AND(_4="B-767-400ER",'2026'!$G$4="CA",'2026'!$G$2=BQ119),'2026DATA'!$L$11,"")</f>
        <v/>
      </c>
      <c r="BR128" s="518" t="str">
        <f>IF(AND(_4="B-767-400ER",'2026'!$G$4="CA",'2026'!$G$2=BR119),'2026DATA'!$M$11,"")</f>
        <v/>
      </c>
      <c r="BS128" s="520" t="str">
        <f>IF(AND(_4="B-767-400ER",'2026'!$G$4="CA",'2026'!$G$2=BS119),'2026DATA'!$N$11,"")</f>
        <v/>
      </c>
      <c r="BT128" s="940" t="s">
        <v>42</v>
      </c>
      <c r="BU128" s="13" t="s">
        <v>61</v>
      </c>
      <c r="BV128" s="518" t="str">
        <f>IF(AND(_5="B-767-400ER",'2026'!$G$4="CA",'2026'!$G$2=BV119),'2026DATA'!$C$11,"")</f>
        <v/>
      </c>
      <c r="BW128" s="518" t="str">
        <f>IF(AND(_5="B-767-400ER",'2026'!$G$4="CA",'2026'!$G$2=BW119),'2026DATA'!$D$11,"")</f>
        <v/>
      </c>
      <c r="BX128" s="518" t="str">
        <f>IF(AND(_5="B-767-400ER",'2026'!$G$4="CA",'2026'!$G$2=BX119),'2026DATA'!$E$11,"")</f>
        <v/>
      </c>
      <c r="BY128" s="518" t="str">
        <f>IF(AND(_5="B-767-400ER",'2026'!$G$4="CA",'2026'!$G$2=BY119),'2026DATA'!$F$11,"")</f>
        <v/>
      </c>
      <c r="BZ128" s="518" t="str">
        <f>IF(AND(_5="B-767-400ER",'2026'!$G$4="CA",'2026'!$G$2=BZ119),'2026DATA'!$G$11,"")</f>
        <v/>
      </c>
      <c r="CA128" s="518" t="str">
        <f>IF(AND(_5="B-767-400ER",'2026'!$G$4="CA",'2026'!$G$2=CA119),'2026DATA'!$H$11,"")</f>
        <v/>
      </c>
      <c r="CB128" s="518" t="str">
        <f>IF(AND(_5="B-767-400ER",'2026'!$G$4="CA",'2026'!$G$2=CB119),'2026DATA'!$I$11,"")</f>
        <v/>
      </c>
      <c r="CC128" s="518" t="str">
        <f>IF(AND(_5="B-767-400ER",'2026'!$G$4="CA",'2026'!$G$2=CC119),'2026DATA'!$J$11,"")</f>
        <v/>
      </c>
      <c r="CD128" s="518" t="str">
        <f>IF(AND(_5="B-767-400ER",'2026'!$G$4="CA",'2026'!$G$2=CD119),'2026DATA'!$K$11,"")</f>
        <v/>
      </c>
      <c r="CE128" s="518" t="str">
        <f>IF(AND(_5="B-767-400ER",'2026'!$G$4="CA",'2026'!$G$2=CE119),'2026DATA'!$L$11,"")</f>
        <v/>
      </c>
      <c r="CF128" s="518" t="str">
        <f>IF(AND(_5="B-767-400ER",'2026'!$G$4="CA",'2026'!$G$2=CF119),'2026DATA'!$M$11,"")</f>
        <v/>
      </c>
      <c r="CG128" s="520" t="str">
        <f>IF(AND(_5="B-767-400ER",'2026'!$G$4="CA",'2026'!$G$2=CG119),'2026DATA'!$N$11,"")</f>
        <v/>
      </c>
      <c r="CH128" s="940" t="s">
        <v>42</v>
      </c>
      <c r="CI128" s="13" t="s">
        <v>61</v>
      </c>
      <c r="CJ128" s="518" t="str">
        <f>IF(AND(_6="B-767-400ER",'2026'!$G$4="CA",'2026'!$G$2=CJ119),'2026DATA'!$C$11,"")</f>
        <v/>
      </c>
      <c r="CK128" s="518" t="str">
        <f>IF(AND(_6="B-767-400ER",'2026'!$G$4="CA",'2026'!$G$2=CK119),'2026DATA'!$D$11,"")</f>
        <v/>
      </c>
      <c r="CL128" s="518" t="str">
        <f>IF(AND(_6="B-767-400ER",'2026'!$G$4="CA",'2026'!$G$2=CL119),'2026DATA'!$E$11,"")</f>
        <v/>
      </c>
      <c r="CM128" s="518" t="str">
        <f>IF(AND(_6="B-767-400ER",'2026'!$G$4="CA",'2026'!$G$2=CM119),'2026DATA'!$F$11,"")</f>
        <v/>
      </c>
      <c r="CN128" s="518" t="str">
        <f>IF(AND(_6="B-767-400ER",'2026'!$G$4="CA",'2026'!$G$2=CN119),'2026DATA'!$G$11,"")</f>
        <v/>
      </c>
      <c r="CO128" s="518" t="str">
        <f>IF(AND(_6="B-767-400ER",'2026'!$G$4="CA",'2026'!$G$2=CO119),'2026DATA'!$H$11,"")</f>
        <v/>
      </c>
      <c r="CP128" s="518" t="str">
        <f>IF(AND(_6="B-767-400ER",'2026'!$G$4="CA",'2026'!$G$2=CP119),'2026DATA'!$I$11,"")</f>
        <v/>
      </c>
      <c r="CQ128" s="518" t="str">
        <f>IF(AND(_6="B-767-400ER",'2026'!$G$4="CA",'2026'!$G$2=CQ119),'2026DATA'!$J$11,"")</f>
        <v/>
      </c>
      <c r="CR128" s="518" t="str">
        <f>IF(AND(_6="B-767-400ER",'2026'!$G$4="CA",'2026'!$G$2=CR119),'2026DATA'!$K$11,"")</f>
        <v/>
      </c>
      <c r="CS128" s="518" t="str">
        <f>IF(AND(_6="B-767-400ER",'2026'!$G$4="CA",'2026'!$G$2=CS119),'2026DATA'!$L$11,"")</f>
        <v/>
      </c>
      <c r="CT128" s="518" t="str">
        <f>IF(AND(_6="B-767-400ER",'2026'!$G$4="CA",'2026'!$G$2=CT119),'2026DATA'!$M$11,"")</f>
        <v/>
      </c>
      <c r="CU128" s="520" t="str">
        <f>IF(AND(_6="B-767-400ER",'2026'!$G$4="CA",'2026'!$G$2=CU119),'2026DATA'!$N$11,"")</f>
        <v/>
      </c>
    </row>
    <row r="129" spans="16:99" x14ac:dyDescent="0.25">
      <c r="P129" s="940"/>
      <c r="Q129" s="13" t="s">
        <v>62</v>
      </c>
      <c r="R129" s="518" t="str">
        <f>IF(AND(_1="B-767-400ER",'2026'!$G$4="FO",'2026'!$G$2=R119),'2026DATA'!$C$12,"")</f>
        <v/>
      </c>
      <c r="S129" s="518" t="str">
        <f>IF(AND(_1="B-767-400ER",'2026'!$G$4="FO",'2026'!$G$2=S119),'2026DATA'!$D$12,"")</f>
        <v/>
      </c>
      <c r="T129" s="518" t="str">
        <f>IF(AND(_1="B-767-400ER",'2026'!$G$4="FO",'2026'!$G$2=T119),'2026DATA'!$E$12,"")</f>
        <v/>
      </c>
      <c r="U129" s="518" t="str">
        <f>IF(AND(_1="B-767-400ER",'2026'!$G$4="FO",'2026'!$G$2=U119),'2026DATA'!$F$12,"")</f>
        <v/>
      </c>
      <c r="V129" s="518" t="str">
        <f>IF(AND(_1="B-767-400ER",'2026'!$G$4="FO",'2026'!$G$2=V119),'2026DATA'!$G$12,"")</f>
        <v/>
      </c>
      <c r="W129" s="518" t="str">
        <f>IF(AND(_1="B-767-400ER",'2026'!$G$4="FO",'2026'!$G$2=W119),'2026DATA'!$H$12,"")</f>
        <v/>
      </c>
      <c r="X129" s="518" t="str">
        <f>IF(AND(_1="B-767-400ER",'2026'!$G$4="FO",'2026'!$G$2=X119),'2026DATA'!$I$12,"")</f>
        <v/>
      </c>
      <c r="Y129" s="518" t="str">
        <f>IF(AND(_1="B-767-400ER",'2026'!$G$4="FO",'2026'!$G$2=Y119),'2026DATA'!$J$12,"")</f>
        <v/>
      </c>
      <c r="Z129" s="518" t="str">
        <f>IF(AND(_1="B-767-400ER",'2026'!$G$4="FO",'2026'!$G$2=Z119),'2026DATA'!$K$12,"")</f>
        <v/>
      </c>
      <c r="AA129" s="518" t="str">
        <f>IF(AND(_1="B-767-400ER",'2026'!$G$4="FO",'2026'!$G$2=AA119),'2026DATA'!$L$12,"")</f>
        <v/>
      </c>
      <c r="AB129" s="518" t="str">
        <f>IF(AND(_1="B-767-400ER",'2026'!$G$4="FO",'2026'!$G$2=AB119),'2026DATA'!$M$12,"")</f>
        <v/>
      </c>
      <c r="AC129" s="520" t="str">
        <f>IF(AND(_1="B-767-400ER",'2026'!$G$4="FO",'2026'!$G$2=AC119),'2026DATA'!$N$12,"")</f>
        <v/>
      </c>
      <c r="AD129" s="940"/>
      <c r="AE129" s="13" t="s">
        <v>62</v>
      </c>
      <c r="AF129" s="518" t="str">
        <f>IF(AND(_2="B-767-400ER",'2026'!$G$4="FO",'2026'!$G$2=AF119),'2026DATA'!$C$12,"")</f>
        <v/>
      </c>
      <c r="AG129" s="518" t="str">
        <f>IF(AND(_2="B-767-400ER",'2026'!$G$4="FO",'2026'!$G$2=AG119),'2026DATA'!$D$12,"")</f>
        <v/>
      </c>
      <c r="AH129" s="518" t="str">
        <f>IF(AND(_2="B-767-400ER",'2026'!$G$4="FO",'2026'!$G$2=AH119),'2026DATA'!$E$12,"")</f>
        <v/>
      </c>
      <c r="AI129" s="518" t="str">
        <f>IF(AND(_2="B-767-400ER",'2026'!$G$4="FO",'2026'!$G$2=AI119),'2026DATA'!$F$12,"")</f>
        <v/>
      </c>
      <c r="AJ129" s="518" t="str">
        <f>IF(AND(_2="B-767-400ER",'2026'!$G$4="FO",'2026'!$G$2=AJ119),'2026DATA'!$G$12,"")</f>
        <v/>
      </c>
      <c r="AK129" s="518" t="str">
        <f>IF(AND(_2="B-767-400ER",'2026'!$G$4="FO",'2026'!$G$2=AK119),'2026DATA'!$H$12,"")</f>
        <v/>
      </c>
      <c r="AL129" s="518" t="str">
        <f>IF(AND(_2="B-767-400ER",'2026'!$G$4="FO",'2026'!$G$2=AL119),'2026DATA'!$I$12,"")</f>
        <v/>
      </c>
      <c r="AM129" s="518" t="str">
        <f>IF(AND(_2="B-767-400ER",'2026'!$G$4="FO",'2026'!$G$2=AM119),'2026DATA'!$J$12,"")</f>
        <v/>
      </c>
      <c r="AN129" s="518" t="str">
        <f>IF(AND(_2="B-767-400ER",'2026'!$G$4="FO",'2026'!$G$2=AN119),'2026DATA'!$K$12,"")</f>
        <v/>
      </c>
      <c r="AO129" s="518" t="str">
        <f>IF(AND(_2="B-767-400ER",'2026'!$G$4="FO",'2026'!$G$2=AO119),'2026DATA'!$L$12,"")</f>
        <v/>
      </c>
      <c r="AP129" s="518" t="str">
        <f>IF(AND(_2="B-767-400ER",'2026'!$G$4="FO",'2026'!$G$2=AP119),'2026DATA'!$M$12,"")</f>
        <v/>
      </c>
      <c r="AQ129" s="520" t="str">
        <f>IF(AND(_2="B-767-400ER",'2026'!$G$4="FO",'2026'!$G$2=AQ119),'2026DATA'!$N$12,"")</f>
        <v/>
      </c>
      <c r="AR129" s="940"/>
      <c r="AS129" s="13" t="s">
        <v>62</v>
      </c>
      <c r="AT129" s="518" t="str">
        <f>IF(AND(_3="B-767-400ER",'2026'!$G$4="FO",'2026'!$G$2=AT119),'2026DATA'!$C$12,"")</f>
        <v/>
      </c>
      <c r="AU129" s="518" t="str">
        <f>IF(AND(_3="B-767-400ER",'2026'!$G$4="FO",'2026'!$G$2=AU119),'2026DATA'!$D$12,"")</f>
        <v/>
      </c>
      <c r="AV129" s="518" t="str">
        <f>IF(AND(_3="B-767-400ER",'2026'!$G$4="FO",'2026'!$G$2=AV119),'2026DATA'!$E$12,"")</f>
        <v/>
      </c>
      <c r="AW129" s="518" t="str">
        <f>IF(AND(_3="B-767-400ER",'2026'!$G$4="FO",'2026'!$G$2=AW119),'2026DATA'!$F$12,"")</f>
        <v/>
      </c>
      <c r="AX129" s="518" t="str">
        <f>IF(AND(_3="B-767-400ER",'2026'!$G$4="FO",'2026'!$G$2=AX119),'2026DATA'!$G$12,"")</f>
        <v/>
      </c>
      <c r="AY129" s="518" t="str">
        <f>IF(AND(_3="B-767-400ER",'2026'!$G$4="FO",'2026'!$G$2=AY119),'2026DATA'!$H$12,"")</f>
        <v/>
      </c>
      <c r="AZ129" s="518" t="str">
        <f>IF(AND(_3="B-767-400ER",'2026'!$G$4="FO",'2026'!$G$2=AZ119),'2026DATA'!$I$12,"")</f>
        <v/>
      </c>
      <c r="BA129" s="518" t="str">
        <f>IF(AND(_3="B-767-400ER",'2026'!$G$4="FO",'2026'!$G$2=BA119),'2026DATA'!$J$12,"")</f>
        <v/>
      </c>
      <c r="BB129" s="518" t="str">
        <f>IF(AND(_3="B-767-400ER",'2026'!$G$4="FO",'2026'!$G$2=BB119),'2026DATA'!$K$12,"")</f>
        <v/>
      </c>
      <c r="BC129" s="518" t="str">
        <f>IF(AND(_3="B-767-400ER",'2026'!$G$4="FO",'2026'!$G$2=BC119),'2026DATA'!$L$12,"")</f>
        <v/>
      </c>
      <c r="BD129" s="518" t="str">
        <f>IF(AND(_3="B-767-400ER",'2026'!$G$4="FO",'2026'!$G$2=BD119),'2026DATA'!$M$12,"")</f>
        <v/>
      </c>
      <c r="BE129" s="520" t="str">
        <f>IF(AND(_3="B-767-400ER",'2026'!$G$4="FO",'2026'!$G$2=BE119),'2026DATA'!$N$12,"")</f>
        <v/>
      </c>
      <c r="BF129" s="940"/>
      <c r="BG129" s="13" t="s">
        <v>62</v>
      </c>
      <c r="BH129" s="518" t="str">
        <f>IF(AND(_4="B-767-400ER",'2026'!$G$4="FO",'2026'!$G$2=BH119),'2026DATA'!$C$12,"")</f>
        <v/>
      </c>
      <c r="BI129" s="518" t="str">
        <f>IF(AND(_4="B-767-400ER",'2026'!$G$4="FO",'2026'!$G$2=BI119),'2026DATA'!$D$12,"")</f>
        <v/>
      </c>
      <c r="BJ129" s="518" t="str">
        <f>IF(AND(_4="B-767-400ER",'2026'!$G$4="FO",'2026'!$G$2=BJ119),'2026DATA'!$E$12,"")</f>
        <v/>
      </c>
      <c r="BK129" s="518" t="str">
        <f>IF(AND(_4="B-767-400ER",'2026'!$G$4="FO",'2026'!$G$2=BK119),'2026DATA'!$F$12,"")</f>
        <v/>
      </c>
      <c r="BL129" s="518" t="str">
        <f>IF(AND(_4="B-767-400ER",'2026'!$G$4="FO",'2026'!$G$2=BL119),'2026DATA'!$G$12,"")</f>
        <v/>
      </c>
      <c r="BM129" s="518" t="str">
        <f>IF(AND(_4="B-767-400ER",'2026'!$G$4="FO",'2026'!$G$2=BM119),'2026DATA'!$H$12,"")</f>
        <v/>
      </c>
      <c r="BN129" s="518" t="str">
        <f>IF(AND(_4="B-767-400ER",'2026'!$G$4="FO",'2026'!$G$2=BN119),'2026DATA'!$I$12,"")</f>
        <v/>
      </c>
      <c r="BO129" s="518" t="str">
        <f>IF(AND(_4="B-767-400ER",'2026'!$G$4="FO",'2026'!$G$2=BO119),'2026DATA'!$J$12,"")</f>
        <v/>
      </c>
      <c r="BP129" s="518" t="str">
        <f>IF(AND(_4="B-767-400ER",'2026'!$G$4="FO",'2026'!$G$2=BP119),'2026DATA'!$K$12,"")</f>
        <v/>
      </c>
      <c r="BQ129" s="518" t="str">
        <f>IF(AND(_4="B-767-400ER",'2026'!$G$4="FO",'2026'!$G$2=BQ119),'2026DATA'!$L$12,"")</f>
        <v/>
      </c>
      <c r="BR129" s="518" t="str">
        <f>IF(AND(_4="B-767-400ER",'2026'!$G$4="FO",'2026'!$G$2=BR119),'2026DATA'!$M$12,"")</f>
        <v/>
      </c>
      <c r="BS129" s="520" t="str">
        <f>IF(AND(_4="B-767-400ER",'2026'!$G$4="FO",'2026'!$G$2=BS119),'2026DATA'!$N$12,"")</f>
        <v/>
      </c>
      <c r="BT129" s="940"/>
      <c r="BU129" s="13" t="s">
        <v>62</v>
      </c>
      <c r="BV129" s="518" t="str">
        <f>IF(AND(_5="B-767-400ER",'2026'!$G$4="FO",'2026'!$G$2=BV119),'2026DATA'!$C$12,"")</f>
        <v/>
      </c>
      <c r="BW129" s="518" t="str">
        <f>IF(AND(_5="B-767-400ER",'2026'!$G$4="FO",'2026'!$G$2=BW119),'2026DATA'!$D$12,"")</f>
        <v/>
      </c>
      <c r="BX129" s="518" t="str">
        <f>IF(AND(_5="B-767-400ER",'2026'!$G$4="FO",'2026'!$G$2=BX119),'2026DATA'!$E$12,"")</f>
        <v/>
      </c>
      <c r="BY129" s="518" t="str">
        <f>IF(AND(_5="B-767-400ER",'2026'!$G$4="FO",'2026'!$G$2=BY119),'2026DATA'!$F$12,"")</f>
        <v/>
      </c>
      <c r="BZ129" s="518" t="str">
        <f>IF(AND(_5="B-767-400ER",'2026'!$G$4="FO",'2026'!$G$2=BZ119),'2026DATA'!$G$12,"")</f>
        <v/>
      </c>
      <c r="CA129" s="518" t="str">
        <f>IF(AND(_5="B-767-400ER",'2026'!$G$4="FO",'2026'!$G$2=CA119),'2026DATA'!$H$12,"")</f>
        <v/>
      </c>
      <c r="CB129" s="518" t="str">
        <f>IF(AND(_5="B-767-400ER",'2026'!$G$4="FO",'2026'!$G$2=CB119),'2026DATA'!$I$12,"")</f>
        <v/>
      </c>
      <c r="CC129" s="518" t="str">
        <f>IF(AND(_5="B-767-400ER",'2026'!$G$4="FO",'2026'!$G$2=CC119),'2026DATA'!$J$12,"")</f>
        <v/>
      </c>
      <c r="CD129" s="518" t="str">
        <f>IF(AND(_5="B-767-400ER",'2026'!$G$4="FO",'2026'!$G$2=CD119),'2026DATA'!$K$12,"")</f>
        <v/>
      </c>
      <c r="CE129" s="518" t="str">
        <f>IF(AND(_5="B-767-400ER",'2026'!$G$4="FO",'2026'!$G$2=CE119),'2026DATA'!$L$12,"")</f>
        <v/>
      </c>
      <c r="CF129" s="518" t="str">
        <f>IF(AND(_5="B-767-400ER",'2026'!$G$4="FO",'2026'!$G$2=CF119),'2026DATA'!$M$12,"")</f>
        <v/>
      </c>
      <c r="CG129" s="520" t="str">
        <f>IF(AND(_5="B-767-400ER",'2026'!$G$4="FO",'2026'!$G$2=CG119),'2026DATA'!$N$12,"")</f>
        <v/>
      </c>
      <c r="CH129" s="940"/>
      <c r="CI129" s="13" t="s">
        <v>62</v>
      </c>
      <c r="CJ129" s="518" t="str">
        <f>IF(AND(_6="B-767-400ER",'2026'!$G$4="FO",'2026'!$G$2=CJ119),'2026DATA'!$C$12,"")</f>
        <v/>
      </c>
      <c r="CK129" s="518" t="str">
        <f>IF(AND(_6="B-767-400ER",'2026'!$G$4="FO",'2026'!$G$2=CK119),'2026DATA'!$D$12,"")</f>
        <v/>
      </c>
      <c r="CL129" s="518" t="str">
        <f>IF(AND(_6="B-767-400ER",'2026'!$G$4="FO",'2026'!$G$2=CL119),'2026DATA'!$E$12,"")</f>
        <v/>
      </c>
      <c r="CM129" s="518" t="str">
        <f>IF(AND(_6="B-767-400ER",'2026'!$G$4="FO",'2026'!$G$2=CM119),'2026DATA'!$F$12,"")</f>
        <v/>
      </c>
      <c r="CN129" s="518" t="str">
        <f>IF(AND(_6="B-767-400ER",'2026'!$G$4="FO",'2026'!$G$2=CN119),'2026DATA'!$G$12,"")</f>
        <v/>
      </c>
      <c r="CO129" s="518" t="str">
        <f>IF(AND(_6="B-767-400ER",'2026'!$G$4="FO",'2026'!$G$2=CO119),'2026DATA'!$H$12,"")</f>
        <v/>
      </c>
      <c r="CP129" s="518" t="str">
        <f>IF(AND(_6="B-767-400ER",'2026'!$G$4="FO",'2026'!$G$2=CP119),'2026DATA'!$I$12,"")</f>
        <v/>
      </c>
      <c r="CQ129" s="518" t="str">
        <f>IF(AND(_6="B-767-400ER",'2026'!$G$4="FO",'2026'!$G$2=CQ119),'2026DATA'!$J$12,"")</f>
        <v/>
      </c>
      <c r="CR129" s="518" t="str">
        <f>IF(AND(_6="B-767-400ER",'2026'!$G$4="FO",'2026'!$G$2=CR119),'2026DATA'!$K$12,"")</f>
        <v/>
      </c>
      <c r="CS129" s="518" t="str">
        <f>IF(AND(_6="B-767-400ER",'2026'!$G$4="FO",'2026'!$G$2=CS119),'2026DATA'!$L$12,"")</f>
        <v/>
      </c>
      <c r="CT129" s="518" t="str">
        <f>IF(AND(_6="B-767-400ER",'2026'!$G$4="FO",'2026'!$G$2=CT119),'2026DATA'!$M$12,"")</f>
        <v/>
      </c>
      <c r="CU129" s="520" t="str">
        <f>IF(AND(_6="B-767-400ER",'2026'!$G$4="FO",'2026'!$G$2=CU119),'2026DATA'!$N$12,"")</f>
        <v/>
      </c>
    </row>
    <row r="130" spans="16:99" x14ac:dyDescent="0.25">
      <c r="P130" s="940" t="s">
        <v>43</v>
      </c>
      <c r="Q130" s="13" t="s">
        <v>61</v>
      </c>
      <c r="R130" s="518" t="str">
        <f>IF(AND(_1="B-767-300ER",'2026'!$G$4="CA",'2026'!$G$2=R119),'2026DATA'!$C$13,"")</f>
        <v/>
      </c>
      <c r="S130" s="518" t="str">
        <f>IF(AND(_1="B-767-300ER",'2026'!$G$4="CA",'2026'!$G$2=S119),'2026DATA'!$D$13,"")</f>
        <v/>
      </c>
      <c r="T130" s="518" t="str">
        <f>IF(AND(_1="B-767-300ER",'2026'!$G$4="CA",'2026'!$G$2=T119),'2026DATA'!$E$13,"")</f>
        <v/>
      </c>
      <c r="U130" s="518" t="str">
        <f>IF(AND(_1="B-767-300ER",'2026'!$G$4="CA",'2026'!$G$2=U119),'2026DATA'!$F$13,"")</f>
        <v/>
      </c>
      <c r="V130" s="518" t="str">
        <f>IF(AND(_1="B-767-300ER",'2026'!$G$4="CA",'2026'!$G$2=V119),'2026DATA'!$G$13,"")</f>
        <v/>
      </c>
      <c r="W130" s="518" t="str">
        <f>IF(AND(_1="B-767-300ER",'2026'!$G$4="CA",'2026'!$G$2=W119),'2026DATA'!$H$13,"")</f>
        <v/>
      </c>
      <c r="X130" s="518" t="str">
        <f>IF(AND(_1="B-767-300ER",'2026'!$G$4="CA",'2026'!$G$2=X119),'2026DATA'!$I$13,"")</f>
        <v/>
      </c>
      <c r="Y130" s="518" t="str">
        <f>IF(AND(_1="B-767-300ER",'2026'!$G$4="CA",'2026'!$G$2=Y119),'2026DATA'!$J$13,"")</f>
        <v/>
      </c>
      <c r="Z130" s="518" t="str">
        <f>IF(AND(_1="B-767-300ER",'2026'!$G$4="CA",'2026'!$G$2=Z119),'2026DATA'!$K$13,"")</f>
        <v/>
      </c>
      <c r="AA130" s="518" t="str">
        <f>IF(AND(_1="B-767-300ER",'2026'!$G$4="CA",'2026'!$G$2=AA119),'2026DATA'!$L$13,"")</f>
        <v/>
      </c>
      <c r="AB130" s="518" t="str">
        <f>IF(AND(_1="B-767-300ER",'2026'!$G$4="CA",'2026'!$G$2=AB119),'2026DATA'!$M$13,"")</f>
        <v/>
      </c>
      <c r="AC130" s="520" t="str">
        <f>IF(AND(_1="B-767-300ER",'2026'!$G$4="CA",'2026'!$G$2=AC119),'2026DATA'!$N$13,"")</f>
        <v/>
      </c>
      <c r="AD130" s="940" t="s">
        <v>43</v>
      </c>
      <c r="AE130" s="13" t="s">
        <v>61</v>
      </c>
      <c r="AF130" s="518" t="str">
        <f>IF(AND(_2="B-767-300ER",'2026'!$G$4="CA",'2026'!$G$2=AF119),'2026DATA'!$C$13,"")</f>
        <v/>
      </c>
      <c r="AG130" s="518" t="str">
        <f>IF(AND(_2="B-767-300ER",'2026'!$G$4="CA",'2026'!$G$2=AG119),'2026DATA'!$D$13,"")</f>
        <v/>
      </c>
      <c r="AH130" s="518" t="str">
        <f>IF(AND(_2="B-767-300ER",'2026'!$G$4="CA",'2026'!$G$2=AH119),'2026DATA'!$E$13,"")</f>
        <v/>
      </c>
      <c r="AI130" s="518" t="str">
        <f>IF(AND(_2="B-767-300ER",'2026'!$G$4="CA",'2026'!$G$2=AI119),'2026DATA'!$F$13,"")</f>
        <v/>
      </c>
      <c r="AJ130" s="518" t="str">
        <f>IF(AND(_2="B-767-300ER",'2026'!$G$4="CA",'2026'!$G$2=AJ119),'2026DATA'!$G$13,"")</f>
        <v/>
      </c>
      <c r="AK130" s="518" t="str">
        <f>IF(AND(_2="B-767-300ER",'2026'!$G$4="CA",'2026'!$G$2=AK119),'2026DATA'!$H$13,"")</f>
        <v/>
      </c>
      <c r="AL130" s="518" t="str">
        <f>IF(AND(_2="B-767-300ER",'2026'!$G$4="CA",'2026'!$G$2=AL119),'2026DATA'!$I$13,"")</f>
        <v/>
      </c>
      <c r="AM130" s="518" t="str">
        <f>IF(AND(_2="B-767-300ER",'2026'!$G$4="CA",'2026'!$G$2=AM119),'2026DATA'!$J$13,"")</f>
        <v/>
      </c>
      <c r="AN130" s="518" t="str">
        <f>IF(AND(_2="B-767-300ER",'2026'!$G$4="CA",'2026'!$G$2=AN119),'2026DATA'!$K$13,"")</f>
        <v/>
      </c>
      <c r="AO130" s="518" t="str">
        <f>IF(AND(_2="B-767-300ER",'2026'!$G$4="CA",'2026'!$G$2=AO119),'2026DATA'!$L$13,"")</f>
        <v/>
      </c>
      <c r="AP130" s="518" t="str">
        <f>IF(AND(_2="B-767-300ER",'2026'!$G$4="CA",'2026'!$G$2=AP119),'2026DATA'!$M$13,"")</f>
        <v/>
      </c>
      <c r="AQ130" s="520" t="str">
        <f>IF(AND(_2="B-767-300ER",'2026'!$G$4="CA",'2026'!$G$2=AQ119),'2026DATA'!$N$13,"")</f>
        <v/>
      </c>
      <c r="AR130" s="940" t="s">
        <v>43</v>
      </c>
      <c r="AS130" s="13" t="s">
        <v>61</v>
      </c>
      <c r="AT130" s="518" t="str">
        <f>IF(AND(_3="B-767-300ER",'2026'!$G$4="CA",'2026'!$G$2=AT119),'2026DATA'!$C$13,"")</f>
        <v/>
      </c>
      <c r="AU130" s="518" t="str">
        <f>IF(AND(_3="B-767-300ER",'2026'!$G$4="CA",'2026'!$G$2=AU119),'2026DATA'!$D$13,"")</f>
        <v/>
      </c>
      <c r="AV130" s="518" t="str">
        <f>IF(AND(_3="B-767-300ER",'2026'!$G$4="CA",'2026'!$G$2=AV119),'2026DATA'!$E$13,"")</f>
        <v/>
      </c>
      <c r="AW130" s="518" t="str">
        <f>IF(AND(_3="B-767-300ER",'2026'!$G$4="CA",'2026'!$G$2=AW119),'2026DATA'!$F$13,"")</f>
        <v/>
      </c>
      <c r="AX130" s="518" t="str">
        <f>IF(AND(_3="B-767-300ER",'2026'!$G$4="CA",'2026'!$G$2=AX119),'2026DATA'!$G$13,"")</f>
        <v/>
      </c>
      <c r="AY130" s="518" t="str">
        <f>IF(AND(_3="B-767-300ER",'2026'!$G$4="CA",'2026'!$G$2=AY119),'2026DATA'!$H$13,"")</f>
        <v/>
      </c>
      <c r="AZ130" s="518" t="str">
        <f>IF(AND(_3="B-767-300ER",'2026'!$G$4="CA",'2026'!$G$2=AZ119),'2026DATA'!$I$13,"")</f>
        <v/>
      </c>
      <c r="BA130" s="518" t="str">
        <f>IF(AND(_3="B-767-300ER",'2026'!$G$4="CA",'2026'!$G$2=BA119),'2026DATA'!$J$13,"")</f>
        <v/>
      </c>
      <c r="BB130" s="518" t="str">
        <f>IF(AND(_3="B-767-300ER",'2026'!$G$4="CA",'2026'!$G$2=BB119),'2026DATA'!$K$13,"")</f>
        <v/>
      </c>
      <c r="BC130" s="518" t="str">
        <f>IF(AND(_3="B-767-300ER",'2026'!$G$4="CA",'2026'!$G$2=BC119),'2026DATA'!$L$13,"")</f>
        <v/>
      </c>
      <c r="BD130" s="518" t="str">
        <f>IF(AND(_3="B-767-300ER",'2026'!$G$4="CA",'2026'!$G$2=BD119),'2026DATA'!$M$13,"")</f>
        <v/>
      </c>
      <c r="BE130" s="520" t="str">
        <f>IF(AND(_3="B-767-300ER",'2026'!$G$4="CA",'2026'!$G$2=BE119),'2026DATA'!$N$13,"")</f>
        <v/>
      </c>
      <c r="BF130" s="940" t="s">
        <v>43</v>
      </c>
      <c r="BG130" s="13" t="s">
        <v>61</v>
      </c>
      <c r="BH130" s="518" t="str">
        <f>IF(AND(_4="B-767-300ER",'2026'!$G$4="CA",'2026'!$G$2=BH119),'2026DATA'!$C$13,"")</f>
        <v/>
      </c>
      <c r="BI130" s="518" t="str">
        <f>IF(AND(_4="B-767-300ER",'2026'!$G$4="CA",'2026'!$G$2=BI119),'2026DATA'!$D$13,"")</f>
        <v/>
      </c>
      <c r="BJ130" s="518" t="str">
        <f>IF(AND(_4="B-767-300ER",'2026'!$G$4="CA",'2026'!$G$2=BJ119),'2026DATA'!$E$13,"")</f>
        <v/>
      </c>
      <c r="BK130" s="518" t="str">
        <f>IF(AND(_4="B-767-300ER",'2026'!$G$4="CA",'2026'!$G$2=BK119),'2026DATA'!$F$13,"")</f>
        <v/>
      </c>
      <c r="BL130" s="518" t="str">
        <f>IF(AND(_4="B-767-300ER",'2026'!$G$4="CA",'2026'!$G$2=BL119),'2026DATA'!$G$13,"")</f>
        <v/>
      </c>
      <c r="BM130" s="518" t="str">
        <f>IF(AND(_4="B-767-300ER",'2026'!$G$4="CA",'2026'!$G$2=BM119),'2026DATA'!$H$13,"")</f>
        <v/>
      </c>
      <c r="BN130" s="518" t="str">
        <f>IF(AND(_4="B-767-300ER",'2026'!$G$4="CA",'2026'!$G$2=BN119),'2026DATA'!$I$13,"")</f>
        <v/>
      </c>
      <c r="BO130" s="518" t="str">
        <f>IF(AND(_4="B-767-300ER",'2026'!$G$4="CA",'2026'!$G$2=BO119),'2026DATA'!$J$13,"")</f>
        <v/>
      </c>
      <c r="BP130" s="518" t="str">
        <f>IF(AND(_4="B-767-300ER",'2026'!$G$4="CA",'2026'!$G$2=BP119),'2026DATA'!$K$13,"")</f>
        <v/>
      </c>
      <c r="BQ130" s="518" t="str">
        <f>IF(AND(_4="B-767-300ER",'2026'!$G$4="CA",'2026'!$G$2=BQ119),'2026DATA'!$L$13,"")</f>
        <v/>
      </c>
      <c r="BR130" s="518" t="str">
        <f>IF(AND(_4="B-767-300ER",'2026'!$G$4="CA",'2026'!$G$2=BR119),'2026DATA'!$M$13,"")</f>
        <v/>
      </c>
      <c r="BS130" s="520" t="str">
        <f>IF(AND(_4="B-767-300ER",'2026'!$G$4="CA",'2026'!$G$2=BS119),'2026DATA'!$N$13,"")</f>
        <v/>
      </c>
      <c r="BT130" s="940" t="s">
        <v>43</v>
      </c>
      <c r="BU130" s="13" t="s">
        <v>61</v>
      </c>
      <c r="BV130" s="518" t="str">
        <f>IF(AND(_5="B-767-300ER",'2026'!$G$4="CA",'2026'!$G$2=BV119),'2026DATA'!$C$13,"")</f>
        <v/>
      </c>
      <c r="BW130" s="518" t="str">
        <f>IF(AND(_5="B-767-300ER",'2026'!$G$4="CA",'2026'!$G$2=BW119),'2026DATA'!$D$13,"")</f>
        <v/>
      </c>
      <c r="BX130" s="518" t="str">
        <f>IF(AND(_5="B-767-300ER",'2026'!$G$4="CA",'2026'!$G$2=BX119),'2026DATA'!$E$13,"")</f>
        <v/>
      </c>
      <c r="BY130" s="518" t="str">
        <f>IF(AND(_5="B-767-300ER",'2026'!$G$4="CA",'2026'!$G$2=BY119),'2026DATA'!$F$13,"")</f>
        <v/>
      </c>
      <c r="BZ130" s="518" t="str">
        <f>IF(AND(_5="B-767-300ER",'2026'!$G$4="CA",'2026'!$G$2=BZ119),'2026DATA'!$G$13,"")</f>
        <v/>
      </c>
      <c r="CA130" s="518" t="str">
        <f>IF(AND(_5="B-767-300ER",'2026'!$G$4="CA",'2026'!$G$2=CA119),'2026DATA'!$H$13,"")</f>
        <v/>
      </c>
      <c r="CB130" s="518" t="str">
        <f>IF(AND(_5="B-767-300ER",'2026'!$G$4="CA",'2026'!$G$2=CB119),'2026DATA'!$I$13,"")</f>
        <v/>
      </c>
      <c r="CC130" s="518" t="str">
        <f>IF(AND(_5="B-767-300ER",'2026'!$G$4="CA",'2026'!$G$2=CC119),'2026DATA'!$J$13,"")</f>
        <v/>
      </c>
      <c r="CD130" s="518" t="str">
        <f>IF(AND(_5="B-767-300ER",'2026'!$G$4="CA",'2026'!$G$2=CD119),'2026DATA'!$K$13,"")</f>
        <v/>
      </c>
      <c r="CE130" s="518" t="str">
        <f>IF(AND(_5="B-767-300ER",'2026'!$G$4="CA",'2026'!$G$2=CE119),'2026DATA'!$L$13,"")</f>
        <v/>
      </c>
      <c r="CF130" s="518" t="str">
        <f>IF(AND(_5="B-767-300ER",'2026'!$G$4="CA",'2026'!$G$2=CF119),'2026DATA'!$M$13,"")</f>
        <v/>
      </c>
      <c r="CG130" s="520" t="str">
        <f>IF(AND(_5="B-767-300ER",'2026'!$G$4="CA",'2026'!$G$2=CG119),'2026DATA'!$N$13,"")</f>
        <v/>
      </c>
      <c r="CH130" s="940" t="s">
        <v>43</v>
      </c>
      <c r="CI130" s="13" t="s">
        <v>61</v>
      </c>
      <c r="CJ130" s="518" t="str">
        <f>IF(AND(_6="B-767-300ER",'2026'!$G$4="CA",'2026'!$G$2=CJ119),'2026DATA'!$C$13,"")</f>
        <v/>
      </c>
      <c r="CK130" s="518" t="str">
        <f>IF(AND(_6="B-767-300ER",'2026'!$G$4="CA",'2026'!$G$2=CK119),'2026DATA'!$D$13,"")</f>
        <v/>
      </c>
      <c r="CL130" s="518" t="str">
        <f>IF(AND(_6="B-767-300ER",'2026'!$G$4="CA",'2026'!$G$2=CL119),'2026DATA'!$E$13,"")</f>
        <v/>
      </c>
      <c r="CM130" s="518" t="str">
        <f>IF(AND(_6="B-767-300ER",'2026'!$G$4="CA",'2026'!$G$2=CM119),'2026DATA'!$F$13,"")</f>
        <v/>
      </c>
      <c r="CN130" s="518" t="str">
        <f>IF(AND(_6="B-767-300ER",'2026'!$G$4="CA",'2026'!$G$2=CN119),'2026DATA'!$G$13,"")</f>
        <v/>
      </c>
      <c r="CO130" s="518" t="str">
        <f>IF(AND(_6="B-767-300ER",'2026'!$G$4="CA",'2026'!$G$2=CO119),'2026DATA'!$H$13,"")</f>
        <v/>
      </c>
      <c r="CP130" s="518" t="str">
        <f>IF(AND(_6="B-767-300ER",'2026'!$G$4="CA",'2026'!$G$2=CP119),'2026DATA'!$I$13,"")</f>
        <v/>
      </c>
      <c r="CQ130" s="518" t="str">
        <f>IF(AND(_6="B-767-300ER",'2026'!$G$4="CA",'2026'!$G$2=CQ119),'2026DATA'!$J$13,"")</f>
        <v/>
      </c>
      <c r="CR130" s="518" t="str">
        <f>IF(AND(_6="B-767-300ER",'2026'!$G$4="CA",'2026'!$G$2=CR119),'2026DATA'!$K$13,"")</f>
        <v/>
      </c>
      <c r="CS130" s="518" t="str">
        <f>IF(AND(_6="B-767-300ER",'2026'!$G$4="CA",'2026'!$G$2=CS119),'2026DATA'!$L$13,"")</f>
        <v/>
      </c>
      <c r="CT130" s="518" t="str">
        <f>IF(AND(_6="B-767-300ER",'2026'!$G$4="CA",'2026'!$G$2=CT119),'2026DATA'!$M$13,"")</f>
        <v/>
      </c>
      <c r="CU130" s="520" t="str">
        <f>IF(AND(_6="B-767-300ER",'2026'!$G$4="CA",'2026'!$G$2=CU119),'2026DATA'!$N$13,"")</f>
        <v/>
      </c>
    </row>
    <row r="131" spans="16:99" x14ac:dyDescent="0.25">
      <c r="P131" s="940"/>
      <c r="Q131" s="13" t="s">
        <v>62</v>
      </c>
      <c r="R131" s="518" t="str">
        <f>IF(AND(_1="B-767-300ER",'2026'!$G$4="FO",'2026'!$G$2=R119),'2026DATA'!$C$14,"")</f>
        <v/>
      </c>
      <c r="S131" s="518" t="str">
        <f>IF(AND(_1="B-767-300ER",'2026'!$G$4="FO",'2026'!$G$2=S119),'2026DATA'!$D$14,"")</f>
        <v/>
      </c>
      <c r="T131" s="518" t="str">
        <f>IF(AND(_1="B-767-300ER",'2026'!$G$4="FO",'2026'!$G$2=T119),'2026DATA'!$E$14,"")</f>
        <v/>
      </c>
      <c r="U131" s="518" t="str">
        <f>IF(AND(_1="B-767-300ER",'2026'!$G$4="FO",'2026'!$G$2=U119),'2026DATA'!$F$14,"")</f>
        <v/>
      </c>
      <c r="V131" s="518" t="str">
        <f>IF(AND(_1="B-767-300ER",'2026'!$G$4="FO",'2026'!$G$2=V119),'2026DATA'!$G$14,"")</f>
        <v/>
      </c>
      <c r="W131" s="518" t="str">
        <f>IF(AND(_1="B-767-300ER",'2026'!$G$4="FO",'2026'!$G$2=W119),'2026DATA'!$H$14,"")</f>
        <v/>
      </c>
      <c r="X131" s="518" t="str">
        <f>IF(AND(_1="B-767-300ER",'2026'!$G$4="FO",'2026'!$G$2=X119),'2026DATA'!$I$14,"")</f>
        <v/>
      </c>
      <c r="Y131" s="518" t="str">
        <f>IF(AND(_1="B-767-300ER",'2026'!$G$4="FO",'2026'!$G$2=Y119),'2026DATA'!$J$14,"")</f>
        <v/>
      </c>
      <c r="Z131" s="518" t="str">
        <f>IF(AND(_1="B-767-300ER",'2026'!$G$4="FO",'2026'!$G$2=Z119),'2026DATA'!$K$14,"")</f>
        <v/>
      </c>
      <c r="AA131" s="518" t="str">
        <f>IF(AND(_1="B-767-300ER",'2026'!$G$4="FO",'2026'!$G$2=AA119),'2026DATA'!$L$14,"")</f>
        <v/>
      </c>
      <c r="AB131" s="518" t="str">
        <f>IF(AND(_1="B-767-300ER",'2026'!$G$4="FO",'2026'!$G$2=AB119),'2026DATA'!$M$14,"")</f>
        <v/>
      </c>
      <c r="AC131" s="520" t="str">
        <f>IF(AND(_1="B-767-300ER",'2026'!$G$4="FO",'2026'!$G$2=AC119),'2026DATA'!$N$14,"")</f>
        <v/>
      </c>
      <c r="AD131" s="940"/>
      <c r="AE131" s="13" t="s">
        <v>62</v>
      </c>
      <c r="AF131" s="518" t="str">
        <f>IF(AND(_2="B-767-300ER",'2026'!$G$4="FO",'2026'!$G$2=AF119),'2026DATA'!$C$14,"")</f>
        <v/>
      </c>
      <c r="AG131" s="518" t="str">
        <f>IF(AND(_2="B-767-300ER",'2026'!$G$4="FO",'2026'!$G$2=AG119),'2026DATA'!$D$14,"")</f>
        <v/>
      </c>
      <c r="AH131" s="518" t="str">
        <f>IF(AND(_2="B-767-300ER",'2026'!$G$4="FO",'2026'!$G$2=AH119),'2026DATA'!$E$14,"")</f>
        <v/>
      </c>
      <c r="AI131" s="518" t="str">
        <f>IF(AND(_2="B-767-300ER",'2026'!$G$4="FO",'2026'!$G$2=AI119),'2026DATA'!$F$14,"")</f>
        <v/>
      </c>
      <c r="AJ131" s="518" t="str">
        <f>IF(AND(_2="B-767-300ER",'2026'!$G$4="FO",'2026'!$G$2=AJ119),'2026DATA'!$G$14,"")</f>
        <v/>
      </c>
      <c r="AK131" s="518" t="str">
        <f>IF(AND(_2="B-767-300ER",'2026'!$G$4="FO",'2026'!$G$2=AK119),'2026DATA'!$H$14,"")</f>
        <v/>
      </c>
      <c r="AL131" s="518" t="str">
        <f>IF(AND(_2="B-767-300ER",'2026'!$G$4="FO",'2026'!$G$2=AL119),'2026DATA'!$I$14,"")</f>
        <v/>
      </c>
      <c r="AM131" s="518" t="str">
        <f>IF(AND(_2="B-767-300ER",'2026'!$G$4="FO",'2026'!$G$2=AM119),'2026DATA'!$J$14,"")</f>
        <v/>
      </c>
      <c r="AN131" s="518" t="str">
        <f>IF(AND(_2="B-767-300ER",'2026'!$G$4="FO",'2026'!$G$2=AN119),'2026DATA'!$K$14,"")</f>
        <v/>
      </c>
      <c r="AO131" s="518" t="str">
        <f>IF(AND(_2="B-767-300ER",'2026'!$G$4="FO",'2026'!$G$2=AO119),'2026DATA'!$L$14,"")</f>
        <v/>
      </c>
      <c r="AP131" s="518" t="str">
        <f>IF(AND(_2="B-767-300ER",'2026'!$G$4="FO",'2026'!$G$2=AP119),'2026DATA'!$M$14,"")</f>
        <v/>
      </c>
      <c r="AQ131" s="520" t="str">
        <f>IF(AND(_2="B-767-300ER",'2026'!$G$4="FO",'2026'!$G$2=AQ119),'2026DATA'!$N$14,"")</f>
        <v/>
      </c>
      <c r="AR131" s="940"/>
      <c r="AS131" s="13" t="s">
        <v>62</v>
      </c>
      <c r="AT131" s="518" t="str">
        <f>IF(AND(_3="B-767-300ER",'2026'!$G$4="FO",'2026'!$G$2=AT119),'2026DATA'!$C$14,"")</f>
        <v/>
      </c>
      <c r="AU131" s="518" t="str">
        <f>IF(AND(_3="B-767-300ER",'2026'!$G$4="FO",'2026'!$G$2=AU119),'2026DATA'!$D$14,"")</f>
        <v/>
      </c>
      <c r="AV131" s="518" t="str">
        <f>IF(AND(_3="B-767-300ER",'2026'!$G$4="FO",'2026'!$G$2=AV119),'2026DATA'!$E$14,"")</f>
        <v/>
      </c>
      <c r="AW131" s="518" t="str">
        <f>IF(AND(_3="B-767-300ER",'2026'!$G$4="FO",'2026'!$G$2=AW119),'2026DATA'!$F$14,"")</f>
        <v/>
      </c>
      <c r="AX131" s="518" t="str">
        <f>IF(AND(_3="B-767-300ER",'2026'!$G$4="FO",'2026'!$G$2=AX119),'2026DATA'!$G$14,"")</f>
        <v/>
      </c>
      <c r="AY131" s="518" t="str">
        <f>IF(AND(_3="B-767-300ER",'2026'!$G$4="FO",'2026'!$G$2=AY119),'2026DATA'!$H$14,"")</f>
        <v/>
      </c>
      <c r="AZ131" s="518" t="str">
        <f>IF(AND(_3="B-767-300ER",'2026'!$G$4="FO",'2026'!$G$2=AZ119),'2026DATA'!$I$14,"")</f>
        <v/>
      </c>
      <c r="BA131" s="518" t="str">
        <f>IF(AND(_3="B-767-300ER",'2026'!$G$4="FO",'2026'!$G$2=BA119),'2026DATA'!$J$14,"")</f>
        <v/>
      </c>
      <c r="BB131" s="518" t="str">
        <f>IF(AND(_3="B-767-300ER",'2026'!$G$4="FO",'2026'!$G$2=BB119),'2026DATA'!$K$14,"")</f>
        <v/>
      </c>
      <c r="BC131" s="518" t="str">
        <f>IF(AND(_3="B-767-300ER",'2026'!$G$4="FO",'2026'!$G$2=BC119),'2026DATA'!$L$14,"")</f>
        <v/>
      </c>
      <c r="BD131" s="518" t="str">
        <f>IF(AND(_3="B-767-300ER",'2026'!$G$4="FO",'2026'!$G$2=BD119),'2026DATA'!$M$14,"")</f>
        <v/>
      </c>
      <c r="BE131" s="520" t="str">
        <f>IF(AND(_3="B-767-300ER",'2026'!$G$4="FO",'2026'!$G$2=BE119),'2026DATA'!$N$14,"")</f>
        <v/>
      </c>
      <c r="BF131" s="940"/>
      <c r="BG131" s="13" t="s">
        <v>62</v>
      </c>
      <c r="BH131" s="518" t="str">
        <f>IF(AND(_4="B-767-300ER",'2026'!$G$4="FO",'2026'!$G$2=BH119),'2026DATA'!$C$14,"")</f>
        <v/>
      </c>
      <c r="BI131" s="518" t="str">
        <f>IF(AND(_4="B-767-300ER",'2026'!$G$4="FO",'2026'!$G$2=BI119),'2026DATA'!$D$14,"")</f>
        <v/>
      </c>
      <c r="BJ131" s="518" t="str">
        <f>IF(AND(_4="B-767-300ER",'2026'!$G$4="FO",'2026'!$G$2=BJ119),'2026DATA'!$E$14,"")</f>
        <v/>
      </c>
      <c r="BK131" s="518" t="str">
        <f>IF(AND(_4="B-767-300ER",'2026'!$G$4="FO",'2026'!$G$2=BK119),'2026DATA'!$F$14,"")</f>
        <v/>
      </c>
      <c r="BL131" s="518" t="str">
        <f>IF(AND(_4="B-767-300ER",'2026'!$G$4="FO",'2026'!$G$2=BL119),'2026DATA'!$G$14,"")</f>
        <v/>
      </c>
      <c r="BM131" s="518" t="str">
        <f>IF(AND(_4="B-767-300ER",'2026'!$G$4="FO",'2026'!$G$2=BM119),'2026DATA'!$H$14,"")</f>
        <v/>
      </c>
      <c r="BN131" s="518" t="str">
        <f>IF(AND(_4="B-767-300ER",'2026'!$G$4="FO",'2026'!$G$2=BN119),'2026DATA'!$I$14,"")</f>
        <v/>
      </c>
      <c r="BO131" s="518" t="str">
        <f>IF(AND(_4="B-767-300ER",'2026'!$G$4="FO",'2026'!$G$2=BO119),'2026DATA'!$J$14,"")</f>
        <v/>
      </c>
      <c r="BP131" s="518" t="str">
        <f>IF(AND(_4="B-767-300ER",'2026'!$G$4="FO",'2026'!$G$2=BP119),'2026DATA'!$K$14,"")</f>
        <v/>
      </c>
      <c r="BQ131" s="518" t="str">
        <f>IF(AND(_4="B-767-300ER",'2026'!$G$4="FO",'2026'!$G$2=BQ119),'2026DATA'!$L$14,"")</f>
        <v/>
      </c>
      <c r="BR131" s="518" t="str">
        <f>IF(AND(_4="B-767-300ER",'2026'!$G$4="FO",'2026'!$G$2=BR119),'2026DATA'!$M$14,"")</f>
        <v/>
      </c>
      <c r="BS131" s="520" t="str">
        <f>IF(AND(_4="B-767-300ER",'2026'!$G$4="FO",'2026'!$G$2=BS119),'2026DATA'!$N$14,"")</f>
        <v/>
      </c>
      <c r="BT131" s="940"/>
      <c r="BU131" s="13" t="s">
        <v>62</v>
      </c>
      <c r="BV131" s="518" t="str">
        <f>IF(AND(_5="B-767-300ER",'2026'!$G$4="FO",'2026'!$G$2=BV119),'2026DATA'!$C$14,"")</f>
        <v/>
      </c>
      <c r="BW131" s="518" t="str">
        <f>IF(AND(_5="B-767-300ER",'2026'!$G$4="FO",'2026'!$G$2=BW119),'2026DATA'!$D$14,"")</f>
        <v/>
      </c>
      <c r="BX131" s="518" t="str">
        <f>IF(AND(_5="B-767-300ER",'2026'!$G$4="FO",'2026'!$G$2=BX119),'2026DATA'!$E$14,"")</f>
        <v/>
      </c>
      <c r="BY131" s="518" t="str">
        <f>IF(AND(_5="B-767-300ER",'2026'!$G$4="FO",'2026'!$G$2=BY119),'2026DATA'!$F$14,"")</f>
        <v/>
      </c>
      <c r="BZ131" s="518" t="str">
        <f>IF(AND(_5="B-767-300ER",'2026'!$G$4="FO",'2026'!$G$2=BZ119),'2026DATA'!$G$14,"")</f>
        <v/>
      </c>
      <c r="CA131" s="518" t="str">
        <f>IF(AND(_5="B-767-300ER",'2026'!$G$4="FO",'2026'!$G$2=CA119),'2026DATA'!$H$14,"")</f>
        <v/>
      </c>
      <c r="CB131" s="518" t="str">
        <f>IF(AND(_5="B-767-300ER",'2026'!$G$4="FO",'2026'!$G$2=CB119),'2026DATA'!$I$14,"")</f>
        <v/>
      </c>
      <c r="CC131" s="518" t="str">
        <f>IF(AND(_5="B-767-300ER",'2026'!$G$4="FO",'2026'!$G$2=CC119),'2026DATA'!$J$14,"")</f>
        <v/>
      </c>
      <c r="CD131" s="518" t="str">
        <f>IF(AND(_5="B-767-300ER",'2026'!$G$4="FO",'2026'!$G$2=CD119),'2026DATA'!$K$14,"")</f>
        <v/>
      </c>
      <c r="CE131" s="518" t="str">
        <f>IF(AND(_5="B-767-300ER",'2026'!$G$4="FO",'2026'!$G$2=CE119),'2026DATA'!$L$14,"")</f>
        <v/>
      </c>
      <c r="CF131" s="518" t="str">
        <f>IF(AND(_5="B-767-300ER",'2026'!$G$4="FO",'2026'!$G$2=CF119),'2026DATA'!$M$14,"")</f>
        <v/>
      </c>
      <c r="CG131" s="520" t="str">
        <f>IF(AND(_5="B-767-300ER",'2026'!$G$4="FO",'2026'!$G$2=CG119),'2026DATA'!$N$14,"")</f>
        <v/>
      </c>
      <c r="CH131" s="940"/>
      <c r="CI131" s="13" t="s">
        <v>62</v>
      </c>
      <c r="CJ131" s="518" t="str">
        <f>IF(AND(_6="B-767-300ER",'2026'!$G$4="FO",'2026'!$G$2=CJ119),'2026DATA'!$C$14,"")</f>
        <v/>
      </c>
      <c r="CK131" s="518" t="str">
        <f>IF(AND(_6="B-767-300ER",'2026'!$G$4="FO",'2026'!$G$2=CK119),'2026DATA'!$D$14,"")</f>
        <v/>
      </c>
      <c r="CL131" s="518" t="str">
        <f>IF(AND(_6="B-767-300ER",'2026'!$G$4="FO",'2026'!$G$2=CL119),'2026DATA'!$E$14,"")</f>
        <v/>
      </c>
      <c r="CM131" s="518" t="str">
        <f>IF(AND(_6="B-767-300ER",'2026'!$G$4="FO",'2026'!$G$2=CM119),'2026DATA'!$F$14,"")</f>
        <v/>
      </c>
      <c r="CN131" s="518" t="str">
        <f>IF(AND(_6="B-767-300ER",'2026'!$G$4="FO",'2026'!$G$2=CN119),'2026DATA'!$G$14,"")</f>
        <v/>
      </c>
      <c r="CO131" s="518" t="str">
        <f>IF(AND(_6="B-767-300ER",'2026'!$G$4="FO",'2026'!$G$2=CO119),'2026DATA'!$H$14,"")</f>
        <v/>
      </c>
      <c r="CP131" s="518" t="str">
        <f>IF(AND(_6="B-767-300ER",'2026'!$G$4="FO",'2026'!$G$2=CP119),'2026DATA'!$I$14,"")</f>
        <v/>
      </c>
      <c r="CQ131" s="518" t="str">
        <f>IF(AND(_6="B-767-300ER",'2026'!$G$4="FO",'2026'!$G$2=CQ119),'2026DATA'!$J$14,"")</f>
        <v/>
      </c>
      <c r="CR131" s="518" t="str">
        <f>IF(AND(_6="B-767-300ER",'2026'!$G$4="FO",'2026'!$G$2=CR119),'2026DATA'!$K$14,"")</f>
        <v/>
      </c>
      <c r="CS131" s="518" t="str">
        <f>IF(AND(_6="B-767-300ER",'2026'!$G$4="FO",'2026'!$G$2=CS119),'2026DATA'!$L$14,"")</f>
        <v/>
      </c>
      <c r="CT131" s="518" t="str">
        <f>IF(AND(_6="B-767-300ER",'2026'!$G$4="FO",'2026'!$G$2=CT119),'2026DATA'!$M$14,"")</f>
        <v/>
      </c>
      <c r="CU131" s="520" t="str">
        <f>IF(AND(_6="B-767-300ER",'2026'!$G$4="FO",'2026'!$G$2=CU119),'2026DATA'!$N$14,"")</f>
        <v/>
      </c>
    </row>
    <row r="132" spans="16:99" x14ac:dyDescent="0.25">
      <c r="P132" s="940" t="s">
        <v>67</v>
      </c>
      <c r="Q132" s="13" t="s">
        <v>61</v>
      </c>
      <c r="R132" s="518" t="str">
        <f>IF(AND(_1="B-767-300",'2026'!$G$4="CA",'2026'!$G$2=R119),'2026DATA'!$C$15,"")</f>
        <v/>
      </c>
      <c r="S132" s="518" t="str">
        <f>IF(AND(_1="B-767-300",'2026'!$G$4="CA",'2026'!$G$2=S119),'2026DATA'!$D$15,"")</f>
        <v/>
      </c>
      <c r="T132" s="518" t="str">
        <f>IF(AND(_1="B-767-300",'2026'!$G$4="CA",'2026'!$G$2=T119),'2026DATA'!$E$15,"")</f>
        <v/>
      </c>
      <c r="U132" s="518" t="str">
        <f>IF(AND(_1="B-767-300",'2026'!$G$4="CA",'2026'!$G$2=U119),'2026DATA'!$F$15,"")</f>
        <v/>
      </c>
      <c r="V132" s="518" t="str">
        <f>IF(AND(_1="B-767-300",'2026'!$G$4="CA",'2026'!$G$2=V119),'2026DATA'!$G$15,"")</f>
        <v/>
      </c>
      <c r="W132" s="518" t="str">
        <f>IF(AND(_1="B-767-300",'2026'!$G$4="CA",'2026'!$G$2=W119),'2026DATA'!$H$15,"")</f>
        <v/>
      </c>
      <c r="X132" s="518" t="str">
        <f>IF(AND(_1="B-767-300",'2026'!$G$4="CA",'2026'!$G$2=X119),'2026DATA'!$I$15,"")</f>
        <v/>
      </c>
      <c r="Y132" s="518" t="str">
        <f>IF(AND(_1="B-767-300",'2026'!$G$4="CA",'2026'!$G$2=Y119),'2026DATA'!$J$15,"")</f>
        <v/>
      </c>
      <c r="Z132" s="518" t="str">
        <f>IF(AND(_1="B-767-300",'2026'!$G$4="CA",'2026'!$G$2=Z119),'2026DATA'!$K$15,"")</f>
        <v/>
      </c>
      <c r="AA132" s="518" t="str">
        <f>IF(AND(_1="B-767-300",'2026'!$G$4="CA",'2026'!$G$2=AA119),'2026DATA'!$L$15,"")</f>
        <v/>
      </c>
      <c r="AB132" s="518" t="str">
        <f>IF(AND(_1="B-767-300",'2026'!$G$4="CA",'2026'!$G$2=AB119),'2026DATA'!$M$15,"")</f>
        <v/>
      </c>
      <c r="AC132" s="520" t="str">
        <f>IF(AND(_1="B-767-300",'2026'!$G$4="CA",'2026'!$G$2=AC119),'2026DATA'!$N$15,"")</f>
        <v/>
      </c>
      <c r="AD132" s="940" t="s">
        <v>67</v>
      </c>
      <c r="AE132" s="13" t="s">
        <v>61</v>
      </c>
      <c r="AF132" s="518" t="str">
        <f>IF(AND(_2="B-767-300",'2026'!$G$4="CA",'2026'!$G$2=AF119),'2026DATA'!$C$15,"")</f>
        <v/>
      </c>
      <c r="AG132" s="518" t="str">
        <f>IF(AND(_2="B-767-300",'2026'!$G$4="CA",'2026'!$G$2=AG119),'2026DATA'!$D$15,"")</f>
        <v/>
      </c>
      <c r="AH132" s="518" t="str">
        <f>IF(AND(_2="B-767-300",'2026'!$G$4="CA",'2026'!$G$2=AH119),'2026DATA'!$E$15,"")</f>
        <v/>
      </c>
      <c r="AI132" s="518" t="str">
        <f>IF(AND(_2="B-767-300",'2026'!$G$4="CA",'2026'!$G$2=AI119),'2026DATA'!$F$15,"")</f>
        <v/>
      </c>
      <c r="AJ132" s="518" t="str">
        <f>IF(AND(_2="B-767-300",'2026'!$G$4="CA",'2026'!$G$2=AJ119),'2026DATA'!$G$15,"")</f>
        <v/>
      </c>
      <c r="AK132" s="518" t="str">
        <f>IF(AND(_2="B-767-300",'2026'!$G$4="CA",'2026'!$G$2=AK119),'2026DATA'!$H$15,"")</f>
        <v/>
      </c>
      <c r="AL132" s="518" t="str">
        <f>IF(AND(_2="B-767-300",'2026'!$G$4="CA",'2026'!$G$2=AL119),'2026DATA'!$I$15,"")</f>
        <v/>
      </c>
      <c r="AM132" s="518" t="str">
        <f>IF(AND(_2="B-767-300",'2026'!$G$4="CA",'2026'!$G$2=AM119),'2026DATA'!$J$15,"")</f>
        <v/>
      </c>
      <c r="AN132" s="518" t="str">
        <f>IF(AND(_2="B-767-300",'2026'!$G$4="CA",'2026'!$G$2=AN119),'2026DATA'!$K$15,"")</f>
        <v/>
      </c>
      <c r="AO132" s="518" t="str">
        <f>IF(AND(_2="B-767-300",'2026'!$G$4="CA",'2026'!$G$2=AO119),'2026DATA'!$L$15,"")</f>
        <v/>
      </c>
      <c r="AP132" s="518" t="str">
        <f>IF(AND(_2="B-767-300",'2026'!$G$4="CA",'2026'!$G$2=AP119),'2026DATA'!$M$15,"")</f>
        <v/>
      </c>
      <c r="AQ132" s="520" t="str">
        <f>IF(AND(_2="B-767-300",'2026'!$G$4="CA",'2026'!$G$2=AQ119),'2026DATA'!$N$15,"")</f>
        <v/>
      </c>
      <c r="AR132" s="940" t="s">
        <v>67</v>
      </c>
      <c r="AS132" s="13" t="s">
        <v>61</v>
      </c>
      <c r="AT132" s="518" t="str">
        <f>IF(AND(_3="B-767-300",'2026'!$G$4="CA",'2026'!$G$2=AT119),'2026DATA'!$C$15,"")</f>
        <v/>
      </c>
      <c r="AU132" s="518" t="str">
        <f>IF(AND(_3="B-767-300",'2026'!$G$4="CA",'2026'!$G$2=AU119),'2026DATA'!$D$15,"")</f>
        <v/>
      </c>
      <c r="AV132" s="518" t="str">
        <f>IF(AND(_3="B-767-300",'2026'!$G$4="CA",'2026'!$G$2=AV119),'2026DATA'!$E$15,"")</f>
        <v/>
      </c>
      <c r="AW132" s="518" t="str">
        <f>IF(AND(_3="B-767-300",'2026'!$G$4="CA",'2026'!$G$2=AW119),'2026DATA'!$F$15,"")</f>
        <v/>
      </c>
      <c r="AX132" s="518" t="str">
        <f>IF(AND(_3="B-767-300",'2026'!$G$4="CA",'2026'!$G$2=AX119),'2026DATA'!$G$15,"")</f>
        <v/>
      </c>
      <c r="AY132" s="518" t="str">
        <f>IF(AND(_3="B-767-300",'2026'!$G$4="CA",'2026'!$G$2=AY119),'2026DATA'!$H$15,"")</f>
        <v/>
      </c>
      <c r="AZ132" s="518" t="str">
        <f>IF(AND(_3="B-767-300",'2026'!$G$4="CA",'2026'!$G$2=AZ119),'2026DATA'!$I$15,"")</f>
        <v/>
      </c>
      <c r="BA132" s="518" t="str">
        <f>IF(AND(_3="B-767-300",'2026'!$G$4="CA",'2026'!$G$2=BA119),'2026DATA'!$J$15,"")</f>
        <v/>
      </c>
      <c r="BB132" s="518" t="str">
        <f>IF(AND(_3="B-767-300",'2026'!$G$4="CA",'2026'!$G$2=BB119),'2026DATA'!$K$15,"")</f>
        <v/>
      </c>
      <c r="BC132" s="518" t="str">
        <f>IF(AND(_3="B-767-300",'2026'!$G$4="CA",'2026'!$G$2=BC119),'2026DATA'!$L$15,"")</f>
        <v/>
      </c>
      <c r="BD132" s="518" t="str">
        <f>IF(AND(_3="B-767-300",'2026'!$G$4="CA",'2026'!$G$2=BD119),'2026DATA'!$M$15,"")</f>
        <v/>
      </c>
      <c r="BE132" s="520" t="str">
        <f>IF(AND(_3="B-767-300",'2026'!$G$4="CA",'2026'!$G$2=BE119),'2026DATA'!$N$15,"")</f>
        <v/>
      </c>
      <c r="BF132" s="940" t="s">
        <v>67</v>
      </c>
      <c r="BG132" s="13" t="s">
        <v>61</v>
      </c>
      <c r="BH132" s="518" t="str">
        <f>IF(AND(_4="B-767-300",'2026'!$G$4="CA",'2026'!$G$2=BH119),'2026DATA'!$C$15,"")</f>
        <v/>
      </c>
      <c r="BI132" s="518" t="str">
        <f>IF(AND(_4="B-767-300",'2026'!$G$4="CA",'2026'!$G$2=BI119),'2026DATA'!$D$15,"")</f>
        <v/>
      </c>
      <c r="BJ132" s="518" t="str">
        <f>IF(AND(_4="B-767-300",'2026'!$G$4="CA",'2026'!$G$2=BJ119),'2026DATA'!$E$15,"")</f>
        <v/>
      </c>
      <c r="BK132" s="518" t="str">
        <f>IF(AND(_4="B-767-300",'2026'!$G$4="CA",'2026'!$G$2=BK119),'2026DATA'!$F$15,"")</f>
        <v/>
      </c>
      <c r="BL132" s="518" t="str">
        <f>IF(AND(_4="B-767-300",'2026'!$G$4="CA",'2026'!$G$2=BL119),'2026DATA'!$G$15,"")</f>
        <v/>
      </c>
      <c r="BM132" s="518" t="str">
        <f>IF(AND(_4="B-767-300",'2026'!$G$4="CA",'2026'!$G$2=BM119),'2026DATA'!$H$15,"")</f>
        <v/>
      </c>
      <c r="BN132" s="518" t="str">
        <f>IF(AND(_4="B-767-300",'2026'!$G$4="CA",'2026'!$G$2=BN119),'2026DATA'!$I$15,"")</f>
        <v/>
      </c>
      <c r="BO132" s="518" t="str">
        <f>IF(AND(_4="B-767-300",'2026'!$G$4="CA",'2026'!$G$2=BO119),'2026DATA'!$J$15,"")</f>
        <v/>
      </c>
      <c r="BP132" s="518" t="str">
        <f>IF(AND(_4="B-767-300",'2026'!$G$4="CA",'2026'!$G$2=BP119),'2026DATA'!$K$15,"")</f>
        <v/>
      </c>
      <c r="BQ132" s="518" t="str">
        <f>IF(AND(_4="B-767-300",'2026'!$G$4="CA",'2026'!$G$2=BQ119),'2026DATA'!$L$15,"")</f>
        <v/>
      </c>
      <c r="BR132" s="518" t="str">
        <f>IF(AND(_4="B-767-300",'2026'!$G$4="CA",'2026'!$G$2=BR119),'2026DATA'!$M$15,"")</f>
        <v/>
      </c>
      <c r="BS132" s="520" t="str">
        <f>IF(AND(_4="B-767-300",'2026'!$G$4="CA",'2026'!$G$2=BS119),'2026DATA'!$N$15,"")</f>
        <v/>
      </c>
      <c r="BT132" s="940" t="s">
        <v>67</v>
      </c>
      <c r="BU132" s="13" t="s">
        <v>61</v>
      </c>
      <c r="BV132" s="518" t="str">
        <f>IF(AND(_5="B-767-300",'2026'!$G$4="CA",'2026'!$G$2=BV119),'2026DATA'!$C$15,"")</f>
        <v/>
      </c>
      <c r="BW132" s="518" t="str">
        <f>IF(AND(_5="B-767-300",'2026'!$G$4="CA",'2026'!$G$2=BW119),'2026DATA'!$D$15,"")</f>
        <v/>
      </c>
      <c r="BX132" s="518" t="str">
        <f>IF(AND(_5="B-767-300",'2026'!$G$4="CA",'2026'!$G$2=BX119),'2026DATA'!$E$15,"")</f>
        <v/>
      </c>
      <c r="BY132" s="518" t="str">
        <f>IF(AND(_5="B-767-300",'2026'!$G$4="CA",'2026'!$G$2=BY119),'2026DATA'!$F$15,"")</f>
        <v/>
      </c>
      <c r="BZ132" s="518" t="str">
        <f>IF(AND(_5="B-767-300",'2026'!$G$4="CA",'2026'!$G$2=BZ119),'2026DATA'!$G$15,"")</f>
        <v/>
      </c>
      <c r="CA132" s="518" t="str">
        <f>IF(AND(_5="B-767-300",'2026'!$G$4="CA",'2026'!$G$2=CA119),'2026DATA'!$H$15,"")</f>
        <v/>
      </c>
      <c r="CB132" s="518" t="str">
        <f>IF(AND(_5="B-767-300",'2026'!$G$4="CA",'2026'!$G$2=CB119),'2026DATA'!$I$15,"")</f>
        <v/>
      </c>
      <c r="CC132" s="518" t="str">
        <f>IF(AND(_5="B-767-300",'2026'!$G$4="CA",'2026'!$G$2=CC119),'2026DATA'!$J$15,"")</f>
        <v/>
      </c>
      <c r="CD132" s="518" t="str">
        <f>IF(AND(_5="B-767-300",'2026'!$G$4="CA",'2026'!$G$2=CD119),'2026DATA'!$K$15,"")</f>
        <v/>
      </c>
      <c r="CE132" s="518" t="str">
        <f>IF(AND(_5="B-767-300",'2026'!$G$4="CA",'2026'!$G$2=CE119),'2026DATA'!$L$15,"")</f>
        <v/>
      </c>
      <c r="CF132" s="518" t="str">
        <f>IF(AND(_5="B-767-300",'2026'!$G$4="CA",'2026'!$G$2=CF119),'2026DATA'!$M$15,"")</f>
        <v/>
      </c>
      <c r="CG132" s="520" t="str">
        <f>IF(AND(_5="B-767-300",'2026'!$G$4="CA",'2026'!$G$2=CG119),'2026DATA'!$N$15,"")</f>
        <v/>
      </c>
      <c r="CH132" s="940" t="s">
        <v>67</v>
      </c>
      <c r="CI132" s="13" t="s">
        <v>61</v>
      </c>
      <c r="CJ132" s="518" t="str">
        <f>IF(AND(_6="B-767-300",'2026'!$G$4="CA",'2026'!$G$2=CJ119),'2026DATA'!$C$15,"")</f>
        <v/>
      </c>
      <c r="CK132" s="518" t="str">
        <f>IF(AND(_6="B-767-300",'2026'!$G$4="CA",'2026'!$G$2=CK119),'2026DATA'!$D$15,"")</f>
        <v/>
      </c>
      <c r="CL132" s="518" t="str">
        <f>IF(AND(_6="B-767-300",'2026'!$G$4="CA",'2026'!$G$2=CL119),'2026DATA'!$E$15,"")</f>
        <v/>
      </c>
      <c r="CM132" s="518" t="str">
        <f>IF(AND(_6="B-767-300",'2026'!$G$4="CA",'2026'!$G$2=CM119),'2026DATA'!$F$15,"")</f>
        <v/>
      </c>
      <c r="CN132" s="518" t="str">
        <f>IF(AND(_6="B-767-300",'2026'!$G$4="CA",'2026'!$G$2=CN119),'2026DATA'!$G$15,"")</f>
        <v/>
      </c>
      <c r="CO132" s="518" t="str">
        <f>IF(AND(_6="B-767-300",'2026'!$G$4="CA",'2026'!$G$2=CO119),'2026DATA'!$H$15,"")</f>
        <v/>
      </c>
      <c r="CP132" s="518" t="str">
        <f>IF(AND(_6="B-767-300",'2026'!$G$4="CA",'2026'!$G$2=CP119),'2026DATA'!$I$15,"")</f>
        <v/>
      </c>
      <c r="CQ132" s="518" t="str">
        <f>IF(AND(_6="B-767-300",'2026'!$G$4="CA",'2026'!$G$2=CQ119),'2026DATA'!$J$15,"")</f>
        <v/>
      </c>
      <c r="CR132" s="518" t="str">
        <f>IF(AND(_6="B-767-300",'2026'!$G$4="CA",'2026'!$G$2=CR119),'2026DATA'!$K$15,"")</f>
        <v/>
      </c>
      <c r="CS132" s="518" t="str">
        <f>IF(AND(_6="B-767-300",'2026'!$G$4="CA",'2026'!$G$2=CS119),'2026DATA'!$L$15,"")</f>
        <v/>
      </c>
      <c r="CT132" s="518" t="str">
        <f>IF(AND(_6="B-767-300",'2026'!$G$4="CA",'2026'!$G$2=CT119),'2026DATA'!$M$15,"")</f>
        <v/>
      </c>
      <c r="CU132" s="520" t="str">
        <f>IF(AND(_6="B-767-300",'2026'!$G$4="CA",'2026'!$G$2=CU119),'2026DATA'!$N$15,"")</f>
        <v/>
      </c>
    </row>
    <row r="133" spans="16:99" x14ac:dyDescent="0.25">
      <c r="P133" s="940"/>
      <c r="Q133" s="13" t="s">
        <v>62</v>
      </c>
      <c r="R133" s="518" t="str">
        <f>IF(AND(_1="B-767-300",'2026'!$G$4="FO",'2026'!$G$2=R119),'2026DATA'!$C$16,"")</f>
        <v/>
      </c>
      <c r="S133" s="518" t="str">
        <f>IF(AND(_1="B-767-300",'2026'!$G$4="FO",'2026'!$G$2=S119),'2026DATA'!$D$16,"")</f>
        <v/>
      </c>
      <c r="T133" s="518" t="str">
        <f>IF(AND(_1="B-767-300",'2026'!$G$4="FO",'2026'!$G$2=T119),'2026DATA'!$E$16,"")</f>
        <v/>
      </c>
      <c r="U133" s="518" t="str">
        <f>IF(AND(_1="B-767-300",'2026'!$G$4="FO",'2026'!$G$2=U119),'2026DATA'!$F$16,"")</f>
        <v/>
      </c>
      <c r="V133" s="518" t="str">
        <f>IF(AND(_1="B-767-300",'2026'!$G$4="FO",'2026'!$G$2=V119),'2026DATA'!$G$16,"")</f>
        <v/>
      </c>
      <c r="W133" s="518" t="str">
        <f>IF(AND(_1="B-767-300",'2026'!$G$4="FO",'2026'!$G$2=W119),'2026DATA'!$H$16,"")</f>
        <v/>
      </c>
      <c r="X133" s="518" t="str">
        <f>IF(AND(_1="B-767-300",'2026'!$G$4="FO",'2026'!$G$2=X119),'2026DATA'!$I$16,"")</f>
        <v/>
      </c>
      <c r="Y133" s="518" t="str">
        <f>IF(AND(_1="B-767-300",'2026'!$G$4="FO",'2026'!$G$2=Y119),'2026DATA'!$J$16,"")</f>
        <v/>
      </c>
      <c r="Z133" s="518" t="str">
        <f>IF(AND(_1="B-767-300",'2026'!$G$4="FO",'2026'!$G$2=Z119),'2026DATA'!$K$16,"")</f>
        <v/>
      </c>
      <c r="AA133" s="518" t="str">
        <f>IF(AND(_1="B-767-300",'2026'!$G$4="FO",'2026'!$G$2=AA119),'2026DATA'!$L$16,"")</f>
        <v/>
      </c>
      <c r="AB133" s="518" t="str">
        <f>IF(AND(_1="B-767-300",'2026'!$G$4="FO",'2026'!$G$2=AB119),'2026DATA'!$M$16,"")</f>
        <v/>
      </c>
      <c r="AC133" s="520" t="str">
        <f>IF(AND(_1="B-767-300",'2026'!$G$4="FO",'2026'!$G$2=AC119),'2026DATA'!$N$16,"")</f>
        <v/>
      </c>
      <c r="AD133" s="940"/>
      <c r="AE133" s="13" t="s">
        <v>62</v>
      </c>
      <c r="AF133" s="518" t="str">
        <f>IF(AND(_2="B-767-300",'2026'!$G$4="FO",'2026'!$G$2=AF119),'2026DATA'!$C$16,"")</f>
        <v/>
      </c>
      <c r="AG133" s="518" t="str">
        <f>IF(AND(_2="B-767-300",'2026'!$G$4="FO",'2026'!$G$2=AG119),'2026DATA'!$D$16,"")</f>
        <v/>
      </c>
      <c r="AH133" s="518" t="str">
        <f>IF(AND(_2="B-767-300",'2026'!$G$4="FO",'2026'!$G$2=AH119),'2026DATA'!$E$16,"")</f>
        <v/>
      </c>
      <c r="AI133" s="518" t="str">
        <f>IF(AND(_2="B-767-300",'2026'!$G$4="FO",'2026'!$G$2=AI119),'2026DATA'!$F$16,"")</f>
        <v/>
      </c>
      <c r="AJ133" s="518" t="str">
        <f>IF(AND(_2="B-767-300",'2026'!$G$4="FO",'2026'!$G$2=AJ119),'2026DATA'!$G$16,"")</f>
        <v/>
      </c>
      <c r="AK133" s="518" t="str">
        <f>IF(AND(_2="B-767-300",'2026'!$G$4="FO",'2026'!$G$2=AK119),'2026DATA'!$H$16,"")</f>
        <v/>
      </c>
      <c r="AL133" s="518" t="str">
        <f>IF(AND(_2="B-767-300",'2026'!$G$4="FO",'2026'!$G$2=AL119),'2026DATA'!$I$16,"")</f>
        <v/>
      </c>
      <c r="AM133" s="518" t="str">
        <f>IF(AND(_2="B-767-300",'2026'!$G$4="FO",'2026'!$G$2=AM119),'2026DATA'!$J$16,"")</f>
        <v/>
      </c>
      <c r="AN133" s="518" t="str">
        <f>IF(AND(_2="B-767-300",'2026'!$G$4="FO",'2026'!$G$2=AN119),'2026DATA'!$K$16,"")</f>
        <v/>
      </c>
      <c r="AO133" s="518" t="str">
        <f>IF(AND(_2="B-767-300",'2026'!$G$4="FO",'2026'!$G$2=AO119),'2026DATA'!$L$16,"")</f>
        <v/>
      </c>
      <c r="AP133" s="518" t="str">
        <f>IF(AND(_2="B-767-300",'2026'!$G$4="FO",'2026'!$G$2=AP119),'2026DATA'!$M$16,"")</f>
        <v/>
      </c>
      <c r="AQ133" s="520" t="str">
        <f>IF(AND(_2="B-767-300",'2026'!$G$4="FO",'2026'!$G$2=AQ119),'2026DATA'!$N$16,"")</f>
        <v/>
      </c>
      <c r="AR133" s="940"/>
      <c r="AS133" s="13" t="s">
        <v>62</v>
      </c>
      <c r="AT133" s="518" t="str">
        <f>IF(AND(_3="B-767-300",'2026'!$G$4="FO",'2026'!$G$2=AT119),'2026DATA'!$C$16,"")</f>
        <v/>
      </c>
      <c r="AU133" s="518" t="str">
        <f>IF(AND(_3="B-767-300",'2026'!$G$4="FO",'2026'!$G$2=AU119),'2026DATA'!$D$16,"")</f>
        <v/>
      </c>
      <c r="AV133" s="518" t="str">
        <f>IF(AND(_3="B-767-300",'2026'!$G$4="FO",'2026'!$G$2=AV119),'2026DATA'!$E$16,"")</f>
        <v/>
      </c>
      <c r="AW133" s="518" t="str">
        <f>IF(AND(_3="B-767-300",'2026'!$G$4="FO",'2026'!$G$2=AW119),'2026DATA'!$F$16,"")</f>
        <v/>
      </c>
      <c r="AX133" s="518" t="str">
        <f>IF(AND(_3="B-767-300",'2026'!$G$4="FO",'2026'!$G$2=AX119),'2026DATA'!$G$16,"")</f>
        <v/>
      </c>
      <c r="AY133" s="518" t="str">
        <f>IF(AND(_3="B-767-300",'2026'!$G$4="FO",'2026'!$G$2=AY119),'2026DATA'!$H$16,"")</f>
        <v/>
      </c>
      <c r="AZ133" s="518" t="str">
        <f>IF(AND(_3="B-767-300",'2026'!$G$4="FO",'2026'!$G$2=AZ119),'2026DATA'!$I$16,"")</f>
        <v/>
      </c>
      <c r="BA133" s="518" t="str">
        <f>IF(AND(_3="B-767-300",'2026'!$G$4="FO",'2026'!$G$2=BA119),'2026DATA'!$J$16,"")</f>
        <v/>
      </c>
      <c r="BB133" s="518" t="str">
        <f>IF(AND(_3="B-767-300",'2026'!$G$4="FO",'2026'!$G$2=BB119),'2026DATA'!$K$16,"")</f>
        <v/>
      </c>
      <c r="BC133" s="518" t="str">
        <f>IF(AND(_3="B-767-300",'2026'!$G$4="FO",'2026'!$G$2=BC119),'2026DATA'!$L$16,"")</f>
        <v/>
      </c>
      <c r="BD133" s="518" t="str">
        <f>IF(AND(_3="B-767-300",'2026'!$G$4="FO",'2026'!$G$2=BD119),'2026DATA'!$M$16,"")</f>
        <v/>
      </c>
      <c r="BE133" s="520" t="str">
        <f>IF(AND(_3="B-767-300",'2026'!$G$4="FO",'2026'!$G$2=BE119),'2026DATA'!$N$16,"")</f>
        <v/>
      </c>
      <c r="BF133" s="940"/>
      <c r="BG133" s="13" t="s">
        <v>62</v>
      </c>
      <c r="BH133" s="518" t="str">
        <f>IF(AND(_4="B-767-300",'2026'!$G$4="FO",'2026'!$G$2=BH119),'2026DATA'!$C$16,"")</f>
        <v/>
      </c>
      <c r="BI133" s="518" t="str">
        <f>IF(AND(_4="B-767-300",'2026'!$G$4="FO",'2026'!$G$2=BI119),'2026DATA'!$D$16,"")</f>
        <v/>
      </c>
      <c r="BJ133" s="518" t="str">
        <f>IF(AND(_4="B-767-300",'2026'!$G$4="FO",'2026'!$G$2=BJ119),'2026DATA'!$E$16,"")</f>
        <v/>
      </c>
      <c r="BK133" s="518" t="str">
        <f>IF(AND(_4="B-767-300",'2026'!$G$4="FO",'2026'!$G$2=BK119),'2026DATA'!$F$16,"")</f>
        <v/>
      </c>
      <c r="BL133" s="518" t="str">
        <f>IF(AND(_4="B-767-300",'2026'!$G$4="FO",'2026'!$G$2=BL119),'2026DATA'!$G$16,"")</f>
        <v/>
      </c>
      <c r="BM133" s="518" t="str">
        <f>IF(AND(_4="B-767-300",'2026'!$G$4="FO",'2026'!$G$2=BM119),'2026DATA'!$H$16,"")</f>
        <v/>
      </c>
      <c r="BN133" s="518" t="str">
        <f>IF(AND(_4="B-767-300",'2026'!$G$4="FO",'2026'!$G$2=BN119),'2026DATA'!$I$16,"")</f>
        <v/>
      </c>
      <c r="BO133" s="518" t="str">
        <f>IF(AND(_4="B-767-300",'2026'!$G$4="FO",'2026'!$G$2=BO119),'2026DATA'!$J$16,"")</f>
        <v/>
      </c>
      <c r="BP133" s="518" t="str">
        <f>IF(AND(_4="B-767-300",'2026'!$G$4="FO",'2026'!$G$2=BP119),'2026DATA'!$K$16,"")</f>
        <v/>
      </c>
      <c r="BQ133" s="518" t="str">
        <f>IF(AND(_4="B-767-300",'2026'!$G$4="FO",'2026'!$G$2=BQ119),'2026DATA'!$L$16,"")</f>
        <v/>
      </c>
      <c r="BR133" s="518" t="str">
        <f>IF(AND(_4="B-767-300",'2026'!$G$4="FO",'2026'!$G$2=BR119),'2026DATA'!$M$16,"")</f>
        <v/>
      </c>
      <c r="BS133" s="520" t="str">
        <f>IF(AND(_4="B-767-300",'2026'!$G$4="FO",'2026'!$G$2=BS119),'2026DATA'!$N$16,"")</f>
        <v/>
      </c>
      <c r="BT133" s="940"/>
      <c r="BU133" s="13" t="s">
        <v>62</v>
      </c>
      <c r="BV133" s="518" t="str">
        <f>IF(AND(_5="B-767-300",'2026'!$G$4="FO",'2026'!$G$2=BV119),'2026DATA'!$C$16,"")</f>
        <v/>
      </c>
      <c r="BW133" s="518" t="str">
        <f>IF(AND(_5="B-767-300",'2026'!$G$4="FO",'2026'!$G$2=BW119),'2026DATA'!$D$16,"")</f>
        <v/>
      </c>
      <c r="BX133" s="518" t="str">
        <f>IF(AND(_5="B-767-300",'2026'!$G$4="FO",'2026'!$G$2=BX119),'2026DATA'!$E$16,"")</f>
        <v/>
      </c>
      <c r="BY133" s="518" t="str">
        <f>IF(AND(_5="B-767-300",'2026'!$G$4="FO",'2026'!$G$2=BY119),'2026DATA'!$F$16,"")</f>
        <v/>
      </c>
      <c r="BZ133" s="518" t="str">
        <f>IF(AND(_5="B-767-300",'2026'!$G$4="FO",'2026'!$G$2=BZ119),'2026DATA'!$G$16,"")</f>
        <v/>
      </c>
      <c r="CA133" s="518" t="str">
        <f>IF(AND(_5="B-767-300",'2026'!$G$4="FO",'2026'!$G$2=CA119),'2026DATA'!$H$16,"")</f>
        <v/>
      </c>
      <c r="CB133" s="518" t="str">
        <f>IF(AND(_5="B-767-300",'2026'!$G$4="FO",'2026'!$G$2=CB119),'2026DATA'!$I$16,"")</f>
        <v/>
      </c>
      <c r="CC133" s="518" t="str">
        <f>IF(AND(_5="B-767-300",'2026'!$G$4="FO",'2026'!$G$2=CC119),'2026DATA'!$J$16,"")</f>
        <v/>
      </c>
      <c r="CD133" s="518" t="str">
        <f>IF(AND(_5="B-767-300",'2026'!$G$4="FO",'2026'!$G$2=CD119),'2026DATA'!$K$16,"")</f>
        <v/>
      </c>
      <c r="CE133" s="518" t="str">
        <f>IF(AND(_5="B-767-300",'2026'!$G$4="FO",'2026'!$G$2=CE119),'2026DATA'!$L$16,"")</f>
        <v/>
      </c>
      <c r="CF133" s="518" t="str">
        <f>IF(AND(_5="B-767-300",'2026'!$G$4="FO",'2026'!$G$2=CF119),'2026DATA'!$M$16,"")</f>
        <v/>
      </c>
      <c r="CG133" s="520" t="str">
        <f>IF(AND(_5="B-767-300",'2026'!$G$4="FO",'2026'!$G$2=CG119),'2026DATA'!$N$16,"")</f>
        <v/>
      </c>
      <c r="CH133" s="940"/>
      <c r="CI133" s="13" t="s">
        <v>62</v>
      </c>
      <c r="CJ133" s="518" t="str">
        <f>IF(AND(_6="B-767-300",'2026'!$G$4="FO",'2026'!$G$2=CJ119),'2026DATA'!$C$16,"")</f>
        <v/>
      </c>
      <c r="CK133" s="518" t="str">
        <f>IF(AND(_6="B-767-300",'2026'!$G$4="FO",'2026'!$G$2=CK119),'2026DATA'!$D$16,"")</f>
        <v/>
      </c>
      <c r="CL133" s="518" t="str">
        <f>IF(AND(_6="B-767-300",'2026'!$G$4="FO",'2026'!$G$2=CL119),'2026DATA'!$E$16,"")</f>
        <v/>
      </c>
      <c r="CM133" s="518" t="str">
        <f>IF(AND(_6="B-767-300",'2026'!$G$4="FO",'2026'!$G$2=CM119),'2026DATA'!$F$16,"")</f>
        <v/>
      </c>
      <c r="CN133" s="518" t="str">
        <f>IF(AND(_6="B-767-300",'2026'!$G$4="FO",'2026'!$G$2=CN119),'2026DATA'!$G$16,"")</f>
        <v/>
      </c>
      <c r="CO133" s="518" t="str">
        <f>IF(AND(_6="B-767-300",'2026'!$G$4="FO",'2026'!$G$2=CO119),'2026DATA'!$H$16,"")</f>
        <v/>
      </c>
      <c r="CP133" s="518" t="str">
        <f>IF(AND(_6="B-767-300",'2026'!$G$4="FO",'2026'!$G$2=CP119),'2026DATA'!$I$16,"")</f>
        <v/>
      </c>
      <c r="CQ133" s="518" t="str">
        <f>IF(AND(_6="B-767-300",'2026'!$G$4="FO",'2026'!$G$2=CQ119),'2026DATA'!$J$16,"")</f>
        <v/>
      </c>
      <c r="CR133" s="518" t="str">
        <f>IF(AND(_6="B-767-300",'2026'!$G$4="FO",'2026'!$G$2=CR119),'2026DATA'!$K$16,"")</f>
        <v/>
      </c>
      <c r="CS133" s="518" t="str">
        <f>IF(AND(_6="B-767-300",'2026'!$G$4="FO",'2026'!$G$2=CS119),'2026DATA'!$L$16,"")</f>
        <v/>
      </c>
      <c r="CT133" s="518" t="str">
        <f>IF(AND(_6="B-767-300",'2026'!$G$4="FO",'2026'!$G$2=CT119),'2026DATA'!$M$16,"")</f>
        <v/>
      </c>
      <c r="CU133" s="520" t="str">
        <f>IF(AND(_6="B-767-300",'2026'!$G$4="FO",'2026'!$G$2=CU119),'2026DATA'!$N$16,"")</f>
        <v/>
      </c>
    </row>
    <row r="134" spans="16:99" x14ac:dyDescent="0.25">
      <c r="P134" s="940" t="s">
        <v>68</v>
      </c>
      <c r="Q134" s="13" t="s">
        <v>61</v>
      </c>
      <c r="R134" s="518" t="str">
        <f>IF(AND(_1="B-767-200",'2026'!$G$4="CA",'2026'!$G$2=R119),'2026DATA'!$C$17,"")</f>
        <v/>
      </c>
      <c r="S134" s="518" t="str">
        <f>IF(AND(_1="B-767-200",'2026'!$G$4="CA",'2026'!$G$2=S119),'2026DATA'!$D$17,"")</f>
        <v/>
      </c>
      <c r="T134" s="518" t="str">
        <f>IF(AND(_1="B-767-200",'2026'!$G$4="CA",'2026'!$G$2=T119),'2026DATA'!$E$17,"")</f>
        <v/>
      </c>
      <c r="U134" s="518" t="str">
        <f>IF(AND(_1="B-767-200",'2026'!$G$4="CA",'2026'!$G$2=U119),'2026DATA'!$F$17,"")</f>
        <v/>
      </c>
      <c r="V134" s="518" t="str">
        <f>IF(AND(_1="B-767-200",'2026'!$G$4="CA",'2026'!$G$2=V119),'2026DATA'!$G$17,"")</f>
        <v/>
      </c>
      <c r="W134" s="518" t="str">
        <f>IF(AND(_1="B-767-200",'2026'!$G$4="CA",'2026'!$G$2=W119),'2026DATA'!$H$17,"")</f>
        <v/>
      </c>
      <c r="X134" s="518" t="str">
        <f>IF(AND(_1="B-767-200",'2026'!$G$4="CA",'2026'!$G$2=X119),'2026DATA'!$I$17,"")</f>
        <v/>
      </c>
      <c r="Y134" s="518" t="str">
        <f>IF(AND(_1="B-767-200",'2026'!$G$4="CA",'2026'!$G$2=Y119),'2026DATA'!$J$17,"")</f>
        <v/>
      </c>
      <c r="Z134" s="518" t="str">
        <f>IF(AND(_1="B-767-200",'2026'!$G$4="CA",'2026'!$G$2=Z119),'2026DATA'!$K$17,"")</f>
        <v/>
      </c>
      <c r="AA134" s="518" t="str">
        <f>IF(AND(_1="B-767-200",'2026'!$G$4="CA",'2026'!$G$2=AA119),'2026DATA'!$L$17,"")</f>
        <v/>
      </c>
      <c r="AB134" s="518" t="str">
        <f>IF(AND(_1="B-767-200",'2026'!$G$4="CA",'2026'!$G$2=AB119),'2026DATA'!$M$17,"")</f>
        <v/>
      </c>
      <c r="AC134" s="520" t="str">
        <f>IF(AND(_1="B-767-200",'2026'!$G$4="CA",'2026'!$G$2=AC119),'2026DATA'!$N$17,"")</f>
        <v/>
      </c>
      <c r="AD134" s="940" t="s">
        <v>68</v>
      </c>
      <c r="AE134" s="13" t="s">
        <v>61</v>
      </c>
      <c r="AF134" s="518" t="str">
        <f>IF(AND(_2="B-767-200",'2026'!$G$4="CA",'2026'!$G$2=AF119),'2026DATA'!$C$17,"")</f>
        <v/>
      </c>
      <c r="AG134" s="518" t="str">
        <f>IF(AND(_2="B-767-200",'2026'!$G$4="CA",'2026'!$G$2=AG119),'2026DATA'!$D$17,"")</f>
        <v/>
      </c>
      <c r="AH134" s="518" t="str">
        <f>IF(AND(_2="B-767-200",'2026'!$G$4="CA",'2026'!$G$2=AH119),'2026DATA'!$E$17,"")</f>
        <v/>
      </c>
      <c r="AI134" s="518" t="str">
        <f>IF(AND(_2="B-767-200",'2026'!$G$4="CA",'2026'!$G$2=AI119),'2026DATA'!$F$17,"")</f>
        <v/>
      </c>
      <c r="AJ134" s="518" t="str">
        <f>IF(AND(_2="B-767-200",'2026'!$G$4="CA",'2026'!$G$2=AJ119),'2026DATA'!$G$17,"")</f>
        <v/>
      </c>
      <c r="AK134" s="518" t="str">
        <f>IF(AND(_2="B-767-200",'2026'!$G$4="CA",'2026'!$G$2=AK119),'2026DATA'!$H$17,"")</f>
        <v/>
      </c>
      <c r="AL134" s="518" t="str">
        <f>IF(AND(_2="B-767-200",'2026'!$G$4="CA",'2026'!$G$2=AL119),'2026DATA'!$I$17,"")</f>
        <v/>
      </c>
      <c r="AM134" s="518" t="str">
        <f>IF(AND(_2="B-767-200",'2026'!$G$4="CA",'2026'!$G$2=AM119),'2026DATA'!$J$17,"")</f>
        <v/>
      </c>
      <c r="AN134" s="518" t="str">
        <f>IF(AND(_2="B-767-200",'2026'!$G$4="CA",'2026'!$G$2=AN119),'2026DATA'!$K$17,"")</f>
        <v/>
      </c>
      <c r="AO134" s="518" t="str">
        <f>IF(AND(_2="B-767-200",'2026'!$G$4="CA",'2026'!$G$2=AO119),'2026DATA'!$L$17,"")</f>
        <v/>
      </c>
      <c r="AP134" s="518" t="str">
        <f>IF(AND(_2="B-767-200",'2026'!$G$4="CA",'2026'!$G$2=AP119),'2026DATA'!$M$17,"")</f>
        <v/>
      </c>
      <c r="AQ134" s="520" t="str">
        <f>IF(AND(_2="B-767-200",'2026'!$G$4="CA",'2026'!$G$2=AQ119),'2026DATA'!$N$17,"")</f>
        <v/>
      </c>
      <c r="AR134" s="940" t="s">
        <v>68</v>
      </c>
      <c r="AS134" s="13" t="s">
        <v>61</v>
      </c>
      <c r="AT134" s="518" t="str">
        <f>IF(AND(_3="B-767-200",'2026'!$G$4="CA",'2026'!$G$2=AT119),'2026DATA'!$C$17,"")</f>
        <v/>
      </c>
      <c r="AU134" s="518" t="str">
        <f>IF(AND(_3="B-767-200",'2026'!$G$4="CA",'2026'!$G$2=AU119),'2026DATA'!$D$17,"")</f>
        <v/>
      </c>
      <c r="AV134" s="518" t="str">
        <f>IF(AND(_3="B-767-200",'2026'!$G$4="CA",'2026'!$G$2=AV119),'2026DATA'!$E$17,"")</f>
        <v/>
      </c>
      <c r="AW134" s="518" t="str">
        <f>IF(AND(_3="B-767-200",'2026'!$G$4="CA",'2026'!$G$2=AW119),'2026DATA'!$F$17,"")</f>
        <v/>
      </c>
      <c r="AX134" s="518" t="str">
        <f>IF(AND(_3="B-767-200",'2026'!$G$4="CA",'2026'!$G$2=AX119),'2026DATA'!$G$17,"")</f>
        <v/>
      </c>
      <c r="AY134" s="518" t="str">
        <f>IF(AND(_3="B-767-200",'2026'!$G$4="CA",'2026'!$G$2=AY119),'2026DATA'!$H$17,"")</f>
        <v/>
      </c>
      <c r="AZ134" s="518" t="str">
        <f>IF(AND(_3="B-767-200",'2026'!$G$4="CA",'2026'!$G$2=AZ119),'2026DATA'!$I$17,"")</f>
        <v/>
      </c>
      <c r="BA134" s="518" t="str">
        <f>IF(AND(_3="B-767-200",'2026'!$G$4="CA",'2026'!$G$2=BA119),'2026DATA'!$J$17,"")</f>
        <v/>
      </c>
      <c r="BB134" s="518" t="str">
        <f>IF(AND(_3="B-767-200",'2026'!$G$4="CA",'2026'!$G$2=BB119),'2026DATA'!$K$17,"")</f>
        <v/>
      </c>
      <c r="BC134" s="518" t="str">
        <f>IF(AND(_3="B-767-200",'2026'!$G$4="CA",'2026'!$G$2=BC119),'2026DATA'!$L$17,"")</f>
        <v/>
      </c>
      <c r="BD134" s="518" t="str">
        <f>IF(AND(_3="B-767-200",'2026'!$G$4="CA",'2026'!$G$2=BD119),'2026DATA'!$M$17,"")</f>
        <v/>
      </c>
      <c r="BE134" s="520" t="str">
        <f>IF(AND(_3="B-767-200",'2026'!$G$4="CA",'2026'!$G$2=BE119),'2026DATA'!$N$17,"")</f>
        <v/>
      </c>
      <c r="BF134" s="940" t="s">
        <v>68</v>
      </c>
      <c r="BG134" s="13" t="s">
        <v>61</v>
      </c>
      <c r="BH134" s="518" t="str">
        <f>IF(AND(_4="B-767-200",'2026'!$G$4="CA",'2026'!$G$2=BH119),'2026DATA'!$C$17,"")</f>
        <v/>
      </c>
      <c r="BI134" s="518" t="str">
        <f>IF(AND(_4="B-767-200",'2026'!$G$4="CA",'2026'!$G$2=BI119),'2026DATA'!$D$17,"")</f>
        <v/>
      </c>
      <c r="BJ134" s="518" t="str">
        <f>IF(AND(_4="B-767-200",'2026'!$G$4="CA",'2026'!$G$2=BJ119),'2026DATA'!$E$17,"")</f>
        <v/>
      </c>
      <c r="BK134" s="518" t="str">
        <f>IF(AND(_4="B-767-200",'2026'!$G$4="CA",'2026'!$G$2=BK119),'2026DATA'!$F$17,"")</f>
        <v/>
      </c>
      <c r="BL134" s="518" t="str">
        <f>IF(AND(_4="B-767-200",'2026'!$G$4="CA",'2026'!$G$2=BL119),'2026DATA'!$G$17,"")</f>
        <v/>
      </c>
      <c r="BM134" s="518" t="str">
        <f>IF(AND(_4="B-767-200",'2026'!$G$4="CA",'2026'!$G$2=BM119),'2026DATA'!$H$17,"")</f>
        <v/>
      </c>
      <c r="BN134" s="518" t="str">
        <f>IF(AND(_4="B-767-200",'2026'!$G$4="CA",'2026'!$G$2=BN119),'2026DATA'!$I$17,"")</f>
        <v/>
      </c>
      <c r="BO134" s="518" t="str">
        <f>IF(AND(_4="B-767-200",'2026'!$G$4="CA",'2026'!$G$2=BO119),'2026DATA'!$J$17,"")</f>
        <v/>
      </c>
      <c r="BP134" s="518" t="str">
        <f>IF(AND(_4="B-767-200",'2026'!$G$4="CA",'2026'!$G$2=BP119),'2026DATA'!$K$17,"")</f>
        <v/>
      </c>
      <c r="BQ134" s="518" t="str">
        <f>IF(AND(_4="B-767-200",'2026'!$G$4="CA",'2026'!$G$2=BQ119),'2026DATA'!$L$17,"")</f>
        <v/>
      </c>
      <c r="BR134" s="518" t="str">
        <f>IF(AND(_4="B-767-200",'2026'!$G$4="CA",'2026'!$G$2=BR119),'2026DATA'!$M$17,"")</f>
        <v/>
      </c>
      <c r="BS134" s="520" t="str">
        <f>IF(AND(_4="B-767-200",'2026'!$G$4="CA",'2026'!$G$2=BS119),'2026DATA'!$N$17,"")</f>
        <v/>
      </c>
      <c r="BT134" s="940" t="s">
        <v>68</v>
      </c>
      <c r="BU134" s="13" t="s">
        <v>61</v>
      </c>
      <c r="BV134" s="518" t="str">
        <f>IF(AND(_5="B-767-200",'2026'!$G$4="CA",'2026'!$G$2=BV119),'2026DATA'!$C$17,"")</f>
        <v/>
      </c>
      <c r="BW134" s="518" t="str">
        <f>IF(AND(_5="B-767-200",'2026'!$G$4="CA",'2026'!$G$2=BW119),'2026DATA'!$D$17,"")</f>
        <v/>
      </c>
      <c r="BX134" s="518" t="str">
        <f>IF(AND(_5="B-767-200",'2026'!$G$4="CA",'2026'!$G$2=BX119),'2026DATA'!$E$17,"")</f>
        <v/>
      </c>
      <c r="BY134" s="518" t="str">
        <f>IF(AND(_5="B-767-200",'2026'!$G$4="CA",'2026'!$G$2=BY119),'2026DATA'!$F$17,"")</f>
        <v/>
      </c>
      <c r="BZ134" s="518" t="str">
        <f>IF(AND(_5="B-767-200",'2026'!$G$4="CA",'2026'!$G$2=BZ119),'2026DATA'!$G$17,"")</f>
        <v/>
      </c>
      <c r="CA134" s="518" t="str">
        <f>IF(AND(_5="B-767-200",'2026'!$G$4="CA",'2026'!$G$2=CA119),'2026DATA'!$H$17,"")</f>
        <v/>
      </c>
      <c r="CB134" s="518" t="str">
        <f>IF(AND(_5="B-767-200",'2026'!$G$4="CA",'2026'!$G$2=CB119),'2026DATA'!$I$17,"")</f>
        <v/>
      </c>
      <c r="CC134" s="518" t="str">
        <f>IF(AND(_5="B-767-200",'2026'!$G$4="CA",'2026'!$G$2=CC119),'2026DATA'!$J$17,"")</f>
        <v/>
      </c>
      <c r="CD134" s="518" t="str">
        <f>IF(AND(_5="B-767-200",'2026'!$G$4="CA",'2026'!$G$2=CD119),'2026DATA'!$K$17,"")</f>
        <v/>
      </c>
      <c r="CE134" s="518" t="str">
        <f>IF(AND(_5="B-767-200",'2026'!$G$4="CA",'2026'!$G$2=CE119),'2026DATA'!$L$17,"")</f>
        <v/>
      </c>
      <c r="CF134" s="518" t="str">
        <f>IF(AND(_5="B-767-200",'2026'!$G$4="CA",'2026'!$G$2=CF119),'2026DATA'!$M$17,"")</f>
        <v/>
      </c>
      <c r="CG134" s="520" t="str">
        <f>IF(AND(_5="B-767-200",'2026'!$G$4="CA",'2026'!$G$2=CG119),'2026DATA'!$N$17,"")</f>
        <v/>
      </c>
      <c r="CH134" s="940" t="s">
        <v>68</v>
      </c>
      <c r="CI134" s="13" t="s">
        <v>61</v>
      </c>
      <c r="CJ134" s="518" t="str">
        <f>IF(AND(_6="B-767-200",'2026'!$G$4="CA",'2026'!$G$2=CJ119),'2026DATA'!$C$17,"")</f>
        <v/>
      </c>
      <c r="CK134" s="518" t="str">
        <f>IF(AND(_6="B-767-200",'2026'!$G$4="CA",'2026'!$G$2=CK119),'2026DATA'!$D$17,"")</f>
        <v/>
      </c>
      <c r="CL134" s="518" t="str">
        <f>IF(AND(_6="B-767-200",'2026'!$G$4="CA",'2026'!$G$2=CL119),'2026DATA'!$E$17,"")</f>
        <v/>
      </c>
      <c r="CM134" s="518" t="str">
        <f>IF(AND(_6="B-767-200",'2026'!$G$4="CA",'2026'!$G$2=CM119),'2026DATA'!$F$17,"")</f>
        <v/>
      </c>
      <c r="CN134" s="518" t="str">
        <f>IF(AND(_6="B-767-200",'2026'!$G$4="CA",'2026'!$G$2=CN119),'2026DATA'!$G$17,"")</f>
        <v/>
      </c>
      <c r="CO134" s="518" t="str">
        <f>IF(AND(_6="B-767-200",'2026'!$G$4="CA",'2026'!$G$2=CO119),'2026DATA'!$H$17,"")</f>
        <v/>
      </c>
      <c r="CP134" s="518" t="str">
        <f>IF(AND(_6="B-767-200",'2026'!$G$4="CA",'2026'!$G$2=CP119),'2026DATA'!$I$17,"")</f>
        <v/>
      </c>
      <c r="CQ134" s="518" t="str">
        <f>IF(AND(_6="B-767-200",'2026'!$G$4="CA",'2026'!$G$2=CQ119),'2026DATA'!$J$17,"")</f>
        <v/>
      </c>
      <c r="CR134" s="518" t="str">
        <f>IF(AND(_6="B-767-200",'2026'!$G$4="CA",'2026'!$G$2=CR119),'2026DATA'!$K$17,"")</f>
        <v/>
      </c>
      <c r="CS134" s="518" t="str">
        <f>IF(AND(_6="B-767-200",'2026'!$G$4="CA",'2026'!$G$2=CS119),'2026DATA'!$L$17,"")</f>
        <v/>
      </c>
      <c r="CT134" s="518" t="str">
        <f>IF(AND(_6="B-767-200",'2026'!$G$4="CA",'2026'!$G$2=CT119),'2026DATA'!$M$17,"")</f>
        <v/>
      </c>
      <c r="CU134" s="520" t="str">
        <f>IF(AND(_6="B-767-200",'2026'!$G$4="CA",'2026'!$G$2=CU119),'2026DATA'!$N$17,"")</f>
        <v/>
      </c>
    </row>
    <row r="135" spans="16:99" x14ac:dyDescent="0.25">
      <c r="P135" s="940"/>
      <c r="Q135" s="13" t="s">
        <v>62</v>
      </c>
      <c r="R135" s="518" t="str">
        <f>IF(AND(_1="B-767-200",'2026'!$G$4="FO",'2026'!$G$2=R119),'2026DATA'!$C$18,"")</f>
        <v/>
      </c>
      <c r="S135" s="518" t="str">
        <f>IF(AND(_1="B-767-200",'2026'!$G$4="FO",'2026'!$G$2=S119),'2026DATA'!$D$18,"")</f>
        <v/>
      </c>
      <c r="T135" s="518" t="str">
        <f>IF(AND(_1="B-767-200",'2026'!$G$4="FO",'2026'!$G$2=T119),'2026DATA'!$E$18,"")</f>
        <v/>
      </c>
      <c r="U135" s="518" t="str">
        <f>IF(AND(_1="B-767-200",'2026'!$G$4="FO",'2026'!$G$2=U119),'2026DATA'!$F$18,"")</f>
        <v/>
      </c>
      <c r="V135" s="518" t="str">
        <f>IF(AND(_1="B-767-200",'2026'!$G$4="FO",'2026'!$G$2=V119),'2026DATA'!$G$18,"")</f>
        <v/>
      </c>
      <c r="W135" s="518" t="str">
        <f>IF(AND(_1="B-767-200",'2026'!$G$4="FO",'2026'!$G$2=W119),'2026DATA'!$H$18,"")</f>
        <v/>
      </c>
      <c r="X135" s="518" t="str">
        <f>IF(AND(_1="B-767-200",'2026'!$G$4="FO",'2026'!$G$2=X119),'2026DATA'!$I$18,"")</f>
        <v/>
      </c>
      <c r="Y135" s="518" t="str">
        <f>IF(AND(_1="B-767-200",'2026'!$G$4="FO",'2026'!$G$2=Y119),'2026DATA'!$J$18,"")</f>
        <v/>
      </c>
      <c r="Z135" s="518" t="str">
        <f>IF(AND(_1="B-767-200",'2026'!$G$4="FO",'2026'!$G$2=Z119),'2026DATA'!$K$18,"")</f>
        <v/>
      </c>
      <c r="AA135" s="518" t="str">
        <f>IF(AND(_1="B-767-200",'2026'!$G$4="FO",'2026'!$G$2=AA119),'2026DATA'!$L$18,"")</f>
        <v/>
      </c>
      <c r="AB135" s="518" t="str">
        <f>IF(AND(_1="B-767-200",'2026'!$G$4="FO",'2026'!$G$2=AB119),'2026DATA'!$M$18,"")</f>
        <v/>
      </c>
      <c r="AC135" s="520" t="str">
        <f>IF(AND(_1="B-767-200",'2026'!$G$4="FO",'2026'!$G$2=AC119),'2026DATA'!$N$18,"")</f>
        <v/>
      </c>
      <c r="AD135" s="940"/>
      <c r="AE135" s="13" t="s">
        <v>62</v>
      </c>
      <c r="AF135" s="518" t="str">
        <f>IF(AND(_2="B-767-200",'2026'!$G$4="FO",'2026'!$G$2=AF119),'2026DATA'!$C$18,"")</f>
        <v/>
      </c>
      <c r="AG135" s="518" t="str">
        <f>IF(AND(_2="B-767-200",'2026'!$G$4="FO",'2026'!$G$2=AG119),'2026DATA'!$D$18,"")</f>
        <v/>
      </c>
      <c r="AH135" s="518" t="str">
        <f>IF(AND(_2="B-767-200",'2026'!$G$4="FO",'2026'!$G$2=AH119),'2026DATA'!$E$18,"")</f>
        <v/>
      </c>
      <c r="AI135" s="518" t="str">
        <f>IF(AND(_2="B-767-200",'2026'!$G$4="FO",'2026'!$G$2=AI119),'2026DATA'!$F$18,"")</f>
        <v/>
      </c>
      <c r="AJ135" s="518" t="str">
        <f>IF(AND(_2="B-767-200",'2026'!$G$4="FO",'2026'!$G$2=AJ119),'2026DATA'!$G$18,"")</f>
        <v/>
      </c>
      <c r="AK135" s="518" t="str">
        <f>IF(AND(_2="B-767-200",'2026'!$G$4="FO",'2026'!$G$2=AK119),'2026DATA'!$H$18,"")</f>
        <v/>
      </c>
      <c r="AL135" s="518" t="str">
        <f>IF(AND(_2="B-767-200",'2026'!$G$4="FO",'2026'!$G$2=AL119),'2026DATA'!$I$18,"")</f>
        <v/>
      </c>
      <c r="AM135" s="518" t="str">
        <f>IF(AND(_2="B-767-200",'2026'!$G$4="FO",'2026'!$G$2=AM119),'2026DATA'!$J$18,"")</f>
        <v/>
      </c>
      <c r="AN135" s="518" t="str">
        <f>IF(AND(_2="B-767-200",'2026'!$G$4="FO",'2026'!$G$2=AN119),'2026DATA'!$K$18,"")</f>
        <v/>
      </c>
      <c r="AO135" s="518" t="str">
        <f>IF(AND(_2="B-767-200",'2026'!$G$4="FO",'2026'!$G$2=AO119),'2026DATA'!$L$18,"")</f>
        <v/>
      </c>
      <c r="AP135" s="518" t="str">
        <f>IF(AND(_2="B-767-200",'2026'!$G$4="FO",'2026'!$G$2=AP119),'2026DATA'!$M$18,"")</f>
        <v/>
      </c>
      <c r="AQ135" s="520" t="str">
        <f>IF(AND(_2="B-767-200",'2026'!$G$4="FO",'2026'!$G$2=AQ119),'2026DATA'!$N$18,"")</f>
        <v/>
      </c>
      <c r="AR135" s="940"/>
      <c r="AS135" s="13" t="s">
        <v>62</v>
      </c>
      <c r="AT135" s="518" t="str">
        <f>IF(AND(_3="B-767-200",'2026'!$G$4="FO",'2026'!$G$2=AT119),'2026DATA'!$C$18,"")</f>
        <v/>
      </c>
      <c r="AU135" s="518" t="str">
        <f>IF(AND(_3="B-767-200",'2026'!$G$4="FO",'2026'!$G$2=AU119),'2026DATA'!$D$18,"")</f>
        <v/>
      </c>
      <c r="AV135" s="518" t="str">
        <f>IF(AND(_3="B-767-200",'2026'!$G$4="FO",'2026'!$G$2=AV119),'2026DATA'!$E$18,"")</f>
        <v/>
      </c>
      <c r="AW135" s="518" t="str">
        <f>IF(AND(_3="B-767-200",'2026'!$G$4="FO",'2026'!$G$2=AW119),'2026DATA'!$F$18,"")</f>
        <v/>
      </c>
      <c r="AX135" s="518" t="str">
        <f>IF(AND(_3="B-767-200",'2026'!$G$4="FO",'2026'!$G$2=AX119),'2026DATA'!$G$18,"")</f>
        <v/>
      </c>
      <c r="AY135" s="518" t="str">
        <f>IF(AND(_3="B-767-200",'2026'!$G$4="FO",'2026'!$G$2=AY119),'2026DATA'!$H$18,"")</f>
        <v/>
      </c>
      <c r="AZ135" s="518" t="str">
        <f>IF(AND(_3="B-767-200",'2026'!$G$4="FO",'2026'!$G$2=AZ119),'2026DATA'!$I$18,"")</f>
        <v/>
      </c>
      <c r="BA135" s="518" t="str">
        <f>IF(AND(_3="B-767-200",'2026'!$G$4="FO",'2026'!$G$2=BA119),'2026DATA'!$J$18,"")</f>
        <v/>
      </c>
      <c r="BB135" s="518" t="str">
        <f>IF(AND(_3="B-767-200",'2026'!$G$4="FO",'2026'!$G$2=BB119),'2026DATA'!$K$18,"")</f>
        <v/>
      </c>
      <c r="BC135" s="518" t="str">
        <f>IF(AND(_3="B-767-200",'2026'!$G$4="FO",'2026'!$G$2=BC119),'2026DATA'!$L$18,"")</f>
        <v/>
      </c>
      <c r="BD135" s="518" t="str">
        <f>IF(AND(_3="B-767-200",'2026'!$G$4="FO",'2026'!$G$2=BD119),'2026DATA'!$M$18,"")</f>
        <v/>
      </c>
      <c r="BE135" s="520" t="str">
        <f>IF(AND(_3="B-767-200",'2026'!$G$4="FO",'2026'!$G$2=BE119),'2026DATA'!$N$18,"")</f>
        <v/>
      </c>
      <c r="BF135" s="940"/>
      <c r="BG135" s="13" t="s">
        <v>62</v>
      </c>
      <c r="BH135" s="518" t="str">
        <f>IF(AND(_4="B-767-200",'2026'!$G$4="FO",'2026'!$G$2=BH119),'2026DATA'!$C$18,"")</f>
        <v/>
      </c>
      <c r="BI135" s="518" t="str">
        <f>IF(AND(_4="B-767-200",'2026'!$G$4="FO",'2026'!$G$2=BI119),'2026DATA'!$D$18,"")</f>
        <v/>
      </c>
      <c r="BJ135" s="518" t="str">
        <f>IF(AND(_4="B-767-200",'2026'!$G$4="FO",'2026'!$G$2=BJ119),'2026DATA'!$E$18,"")</f>
        <v/>
      </c>
      <c r="BK135" s="518" t="str">
        <f>IF(AND(_4="B-767-200",'2026'!$G$4="FO",'2026'!$G$2=BK119),'2026DATA'!$F$18,"")</f>
        <v/>
      </c>
      <c r="BL135" s="518" t="str">
        <f>IF(AND(_4="B-767-200",'2026'!$G$4="FO",'2026'!$G$2=BL119),'2026DATA'!$G$18,"")</f>
        <v/>
      </c>
      <c r="BM135" s="518" t="str">
        <f>IF(AND(_4="B-767-200",'2026'!$G$4="FO",'2026'!$G$2=BM119),'2026DATA'!$H$18,"")</f>
        <v/>
      </c>
      <c r="BN135" s="518" t="str">
        <f>IF(AND(_4="B-767-200",'2026'!$G$4="FO",'2026'!$G$2=BN119),'2026DATA'!$I$18,"")</f>
        <v/>
      </c>
      <c r="BO135" s="518" t="str">
        <f>IF(AND(_4="B-767-200",'2026'!$G$4="FO",'2026'!$G$2=BO119),'2026DATA'!$J$18,"")</f>
        <v/>
      </c>
      <c r="BP135" s="518" t="str">
        <f>IF(AND(_4="B-767-200",'2026'!$G$4="FO",'2026'!$G$2=BP119),'2026DATA'!$K$18,"")</f>
        <v/>
      </c>
      <c r="BQ135" s="518" t="str">
        <f>IF(AND(_4="B-767-200",'2026'!$G$4="FO",'2026'!$G$2=BQ119),'2026DATA'!$L$18,"")</f>
        <v/>
      </c>
      <c r="BR135" s="518" t="str">
        <f>IF(AND(_4="B-767-200",'2026'!$G$4="FO",'2026'!$G$2=BR119),'2026DATA'!$M$18,"")</f>
        <v/>
      </c>
      <c r="BS135" s="520" t="str">
        <f>IF(AND(_4="B-767-200",'2026'!$G$4="FO",'2026'!$G$2=BS119),'2026DATA'!$N$18,"")</f>
        <v/>
      </c>
      <c r="BT135" s="940"/>
      <c r="BU135" s="13" t="s">
        <v>62</v>
      </c>
      <c r="BV135" s="518" t="str">
        <f>IF(AND(_5="B-767-200",'2026'!$G$4="FO",'2026'!$G$2=BV119),'2026DATA'!$C$18,"")</f>
        <v/>
      </c>
      <c r="BW135" s="518" t="str">
        <f>IF(AND(_5="B-767-200",'2026'!$G$4="FO",'2026'!$G$2=BW119),'2026DATA'!$D$18,"")</f>
        <v/>
      </c>
      <c r="BX135" s="518" t="str">
        <f>IF(AND(_5="B-767-200",'2026'!$G$4="FO",'2026'!$G$2=BX119),'2026DATA'!$E$18,"")</f>
        <v/>
      </c>
      <c r="BY135" s="518" t="str">
        <f>IF(AND(_5="B-767-200",'2026'!$G$4="FO",'2026'!$G$2=BY119),'2026DATA'!$F$18,"")</f>
        <v/>
      </c>
      <c r="BZ135" s="518" t="str">
        <f>IF(AND(_5="B-767-200",'2026'!$G$4="FO",'2026'!$G$2=BZ119),'2026DATA'!$G$18,"")</f>
        <v/>
      </c>
      <c r="CA135" s="518" t="str">
        <f>IF(AND(_5="B-767-200",'2026'!$G$4="FO",'2026'!$G$2=CA119),'2026DATA'!$H$18,"")</f>
        <v/>
      </c>
      <c r="CB135" s="518" t="str">
        <f>IF(AND(_5="B-767-200",'2026'!$G$4="FO",'2026'!$G$2=CB119),'2026DATA'!$I$18,"")</f>
        <v/>
      </c>
      <c r="CC135" s="518" t="str">
        <f>IF(AND(_5="B-767-200",'2026'!$G$4="FO",'2026'!$G$2=CC119),'2026DATA'!$J$18,"")</f>
        <v/>
      </c>
      <c r="CD135" s="518" t="str">
        <f>IF(AND(_5="B-767-200",'2026'!$G$4="FO",'2026'!$G$2=CD119),'2026DATA'!$K$18,"")</f>
        <v/>
      </c>
      <c r="CE135" s="518" t="str">
        <f>IF(AND(_5="B-767-200",'2026'!$G$4="FO",'2026'!$G$2=CE119),'2026DATA'!$L$18,"")</f>
        <v/>
      </c>
      <c r="CF135" s="518" t="str">
        <f>IF(AND(_5="B-767-200",'2026'!$G$4="FO",'2026'!$G$2=CF119),'2026DATA'!$M$18,"")</f>
        <v/>
      </c>
      <c r="CG135" s="520" t="str">
        <f>IF(AND(_5="B-767-200",'2026'!$G$4="FO",'2026'!$G$2=CG119),'2026DATA'!$N$18,"")</f>
        <v/>
      </c>
      <c r="CH135" s="940"/>
      <c r="CI135" s="13" t="s">
        <v>62</v>
      </c>
      <c r="CJ135" s="518" t="str">
        <f>IF(AND(_6="B-767-200",'2026'!$G$4="FO",'2026'!$G$2=CJ119),'2026DATA'!$C$18,"")</f>
        <v/>
      </c>
      <c r="CK135" s="518" t="str">
        <f>IF(AND(_6="B-767-200",'2026'!$G$4="FO",'2026'!$G$2=CK119),'2026DATA'!$D$18,"")</f>
        <v/>
      </c>
      <c r="CL135" s="518" t="str">
        <f>IF(AND(_6="B-767-200",'2026'!$G$4="FO",'2026'!$G$2=CL119),'2026DATA'!$E$18,"")</f>
        <v/>
      </c>
      <c r="CM135" s="518" t="str">
        <f>IF(AND(_6="B-767-200",'2026'!$G$4="FO",'2026'!$G$2=CM119),'2026DATA'!$F$18,"")</f>
        <v/>
      </c>
      <c r="CN135" s="518" t="str">
        <f>IF(AND(_6="B-767-200",'2026'!$G$4="FO",'2026'!$G$2=CN119),'2026DATA'!$G$18,"")</f>
        <v/>
      </c>
      <c r="CO135" s="518" t="str">
        <f>IF(AND(_6="B-767-200",'2026'!$G$4="FO",'2026'!$G$2=CO119),'2026DATA'!$H$18,"")</f>
        <v/>
      </c>
      <c r="CP135" s="518" t="str">
        <f>IF(AND(_6="B-767-200",'2026'!$G$4="FO",'2026'!$G$2=CP119),'2026DATA'!$I$18,"")</f>
        <v/>
      </c>
      <c r="CQ135" s="518" t="str">
        <f>IF(AND(_6="B-767-200",'2026'!$G$4="FO",'2026'!$G$2=CQ119),'2026DATA'!$J$18,"")</f>
        <v/>
      </c>
      <c r="CR135" s="518" t="str">
        <f>IF(AND(_6="B-767-200",'2026'!$G$4="FO",'2026'!$G$2=CR119),'2026DATA'!$K$18,"")</f>
        <v/>
      </c>
      <c r="CS135" s="518" t="str">
        <f>IF(AND(_6="B-767-200",'2026'!$G$4="FO",'2026'!$G$2=CS119),'2026DATA'!$L$18,"")</f>
        <v/>
      </c>
      <c r="CT135" s="518" t="str">
        <f>IF(AND(_6="B-767-200",'2026'!$G$4="FO",'2026'!$G$2=CT119),'2026DATA'!$M$18,"")</f>
        <v/>
      </c>
      <c r="CU135" s="520" t="str">
        <f>IF(AND(_6="B-767-200",'2026'!$G$4="FO",'2026'!$G$2=CU119),'2026DATA'!$N$18,"")</f>
        <v/>
      </c>
    </row>
    <row r="136" spans="16:99" x14ac:dyDescent="0.25">
      <c r="P136" s="940" t="s">
        <v>45</v>
      </c>
      <c r="Q136" s="13" t="s">
        <v>61</v>
      </c>
      <c r="R136" s="518" t="str">
        <f>IF(AND(_1="B-757",'2026'!$G$4="CA",'2026'!$G$2=R119),'2026DATA'!$C$19,"")</f>
        <v/>
      </c>
      <c r="S136" s="518" t="str">
        <f>IF(AND(_1="B-757",'2026'!$G$4="CA",'2026'!$G$2=S119),'2026DATA'!$D$19,"")</f>
        <v/>
      </c>
      <c r="T136" s="518" t="str">
        <f>IF(AND(_1="B-757",'2026'!$G$4="CA",'2026'!$G$2=T119),'2026DATA'!$E$19,"")</f>
        <v/>
      </c>
      <c r="U136" s="518" t="str">
        <f>IF(AND(_1="B-757",'2026'!$G$4="CA",'2026'!$G$2=U119),'2026DATA'!$F$19,"")</f>
        <v/>
      </c>
      <c r="V136" s="518" t="str">
        <f>IF(AND(_1="B-757",'2026'!$G$4="CA",'2026'!$G$2=V119),'2026DATA'!$G$19,"")</f>
        <v/>
      </c>
      <c r="W136" s="518" t="str">
        <f>IF(AND(_1="B-757",'2026'!$G$4="CA",'2026'!$G$2=W119),'2026DATA'!$H$19,"")</f>
        <v/>
      </c>
      <c r="X136" s="518" t="str">
        <f>IF(AND(_1="B-757",'2026'!$G$4="CA",'2026'!$G$2=X119),'2026DATA'!$I$19,"")</f>
        <v/>
      </c>
      <c r="Y136" s="518" t="str">
        <f>IF(AND(_1="B-757",'2026'!$G$4="CA",'2026'!$G$2=Y119),'2026DATA'!$J$19,"")</f>
        <v/>
      </c>
      <c r="Z136" s="518" t="str">
        <f>IF(AND(_1="B-757",'2026'!$G$4="CA",'2026'!$G$2=Z119),'2026DATA'!$K$19,"")</f>
        <v/>
      </c>
      <c r="AA136" s="518" t="str">
        <f>IF(AND(_1="B-757",'2026'!$G$4="CA",'2026'!$G$2=AA119),'2026DATA'!$L$19,"")</f>
        <v/>
      </c>
      <c r="AB136" s="518" t="str">
        <f>IF(AND(_1="B-757",'2026'!$G$4="CA",'2026'!$G$2=AB119),'2026DATA'!$M$19,"")</f>
        <v/>
      </c>
      <c r="AC136" s="520" t="str">
        <f>IF(AND(_1="B-757",'2026'!$G$4="CA",'2026'!$G$2=AC119),'2026DATA'!$N$19,"")</f>
        <v/>
      </c>
      <c r="AD136" s="940" t="s">
        <v>45</v>
      </c>
      <c r="AE136" s="13" t="s">
        <v>61</v>
      </c>
      <c r="AF136" s="518" t="str">
        <f>IF(AND(_2="B-757",'2026'!$G$4="CA",'2026'!$G$2=AF119),'2026DATA'!$C$19,"")</f>
        <v/>
      </c>
      <c r="AG136" s="518" t="str">
        <f>IF(AND(_2="B-757",'2026'!$G$4="CA",'2026'!$G$2=AG119),'2026DATA'!$D$19,"")</f>
        <v/>
      </c>
      <c r="AH136" s="518" t="str">
        <f>IF(AND(_2="B-757",'2026'!$G$4="CA",'2026'!$G$2=AH119),'2026DATA'!$E$19,"")</f>
        <v/>
      </c>
      <c r="AI136" s="518" t="str">
        <f>IF(AND(_2="B-757",'2026'!$G$4="CA",'2026'!$G$2=AI119),'2026DATA'!$F$19,"")</f>
        <v/>
      </c>
      <c r="AJ136" s="518" t="str">
        <f>IF(AND(_2="B-757",'2026'!$G$4="CA",'2026'!$G$2=AJ119),'2026DATA'!$G$19,"")</f>
        <v/>
      </c>
      <c r="AK136" s="518" t="str">
        <f>IF(AND(_2="B-757",'2026'!$G$4="CA",'2026'!$G$2=AK119),'2026DATA'!$H$19,"")</f>
        <v/>
      </c>
      <c r="AL136" s="518" t="str">
        <f>IF(AND(_2="B-757",'2026'!$G$4="CA",'2026'!$G$2=AL119),'2026DATA'!$I$19,"")</f>
        <v/>
      </c>
      <c r="AM136" s="518" t="str">
        <f>IF(AND(_2="B-757",'2026'!$G$4="CA",'2026'!$G$2=AM119),'2026DATA'!$J$19,"")</f>
        <v/>
      </c>
      <c r="AN136" s="518" t="str">
        <f>IF(AND(_2="B-757",'2026'!$G$4="CA",'2026'!$G$2=AN119),'2026DATA'!$K$19,"")</f>
        <v/>
      </c>
      <c r="AO136" s="518" t="str">
        <f>IF(AND(_2="B-757",'2026'!$G$4="CA",'2026'!$G$2=AO119),'2026DATA'!$L$19,"")</f>
        <v/>
      </c>
      <c r="AP136" s="518" t="str">
        <f>IF(AND(_2="B-757",'2026'!$G$4="CA",'2026'!$G$2=AP119),'2026DATA'!$M$19,"")</f>
        <v/>
      </c>
      <c r="AQ136" s="520" t="str">
        <f>IF(AND(_2="B-757",'2026'!$G$4="CA",'2026'!$G$2=AQ119),'2026DATA'!$N$19,"")</f>
        <v/>
      </c>
      <c r="AR136" s="940" t="s">
        <v>45</v>
      </c>
      <c r="AS136" s="13" t="s">
        <v>61</v>
      </c>
      <c r="AT136" s="518" t="str">
        <f>IF(AND(_3="B-757",'2026'!$G$4="CA",'2026'!$G$2=AT119),'2026DATA'!$C$19,"")</f>
        <v/>
      </c>
      <c r="AU136" s="518" t="str">
        <f>IF(AND(_3="B-757",'2026'!$G$4="CA",'2026'!$G$2=AU119),'2026DATA'!$D$19,"")</f>
        <v/>
      </c>
      <c r="AV136" s="518" t="str">
        <f>IF(AND(_3="B-757",'2026'!$G$4="CA",'2026'!$G$2=AV119),'2026DATA'!$E$19,"")</f>
        <v/>
      </c>
      <c r="AW136" s="518" t="str">
        <f>IF(AND(_3="B-757",'2026'!$G$4="CA",'2026'!$G$2=AW119),'2026DATA'!$F$19,"")</f>
        <v/>
      </c>
      <c r="AX136" s="518" t="str">
        <f>IF(AND(_3="B-757",'2026'!$G$4="CA",'2026'!$G$2=AX119),'2026DATA'!$G$19,"")</f>
        <v/>
      </c>
      <c r="AY136" s="518" t="str">
        <f>IF(AND(_3="B-757",'2026'!$G$4="CA",'2026'!$G$2=AY119),'2026DATA'!$H$19,"")</f>
        <v/>
      </c>
      <c r="AZ136" s="518" t="str">
        <f>IF(AND(_3="B-757",'2026'!$G$4="CA",'2026'!$G$2=AZ119),'2026DATA'!$I$19,"")</f>
        <v/>
      </c>
      <c r="BA136" s="518" t="str">
        <f>IF(AND(_3="B-757",'2026'!$G$4="CA",'2026'!$G$2=BA119),'2026DATA'!$J$19,"")</f>
        <v/>
      </c>
      <c r="BB136" s="518" t="str">
        <f>IF(AND(_3="B-757",'2026'!$G$4="CA",'2026'!$G$2=BB119),'2026DATA'!$K$19,"")</f>
        <v/>
      </c>
      <c r="BC136" s="518" t="str">
        <f>IF(AND(_3="B-757",'2026'!$G$4="CA",'2026'!$G$2=BC119),'2026DATA'!$L$19,"")</f>
        <v/>
      </c>
      <c r="BD136" s="518" t="str">
        <f>IF(AND(_3="B-757",'2026'!$G$4="CA",'2026'!$G$2=BD119),'2026DATA'!$M$19,"")</f>
        <v/>
      </c>
      <c r="BE136" s="520" t="str">
        <f>IF(AND(_3="B-757",'2026'!$G$4="CA",'2026'!$G$2=BE119),'2026DATA'!$N$19,"")</f>
        <v/>
      </c>
      <c r="BF136" s="940" t="s">
        <v>45</v>
      </c>
      <c r="BG136" s="13" t="s">
        <v>61</v>
      </c>
      <c r="BH136" s="518" t="str">
        <f>IF(AND(_4="B-757",'2026'!$G$4="CA",'2026'!$G$2=BH119),'2026DATA'!$C$19,"")</f>
        <v/>
      </c>
      <c r="BI136" s="518" t="str">
        <f>IF(AND(_4="B-757",'2026'!$G$4="CA",'2026'!$G$2=BI119),'2026DATA'!$D$19,"")</f>
        <v/>
      </c>
      <c r="BJ136" s="518" t="str">
        <f>IF(AND(_4="B-757",'2026'!$G$4="CA",'2026'!$G$2=BJ119),'2026DATA'!$E$19,"")</f>
        <v/>
      </c>
      <c r="BK136" s="518" t="str">
        <f>IF(AND(_4="B-757",'2026'!$G$4="CA",'2026'!$G$2=BK119),'2026DATA'!$F$19,"")</f>
        <v/>
      </c>
      <c r="BL136" s="518" t="str">
        <f>IF(AND(_4="B-757",'2026'!$G$4="CA",'2026'!$G$2=BL119),'2026DATA'!$G$19,"")</f>
        <v/>
      </c>
      <c r="BM136" s="518" t="str">
        <f>IF(AND(_4="B-757",'2026'!$G$4="CA",'2026'!$G$2=BM119),'2026DATA'!$H$19,"")</f>
        <v/>
      </c>
      <c r="BN136" s="518" t="str">
        <f>IF(AND(_4="B-757",'2026'!$G$4="CA",'2026'!$G$2=BN119),'2026DATA'!$I$19,"")</f>
        <v/>
      </c>
      <c r="BO136" s="518" t="str">
        <f>IF(AND(_4="B-757",'2026'!$G$4="CA",'2026'!$G$2=BO119),'2026DATA'!$J$19,"")</f>
        <v/>
      </c>
      <c r="BP136" s="518" t="str">
        <f>IF(AND(_4="B-757",'2026'!$G$4="CA",'2026'!$G$2=BP119),'2026DATA'!$K$19,"")</f>
        <v/>
      </c>
      <c r="BQ136" s="518" t="str">
        <f>IF(AND(_4="B-757",'2026'!$G$4="CA",'2026'!$G$2=BQ119),'2026DATA'!$L$19,"")</f>
        <v/>
      </c>
      <c r="BR136" s="518" t="str">
        <f>IF(AND(_4="B-757",'2026'!$G$4="CA",'2026'!$G$2=BR119),'2026DATA'!$M$19,"")</f>
        <v/>
      </c>
      <c r="BS136" s="520" t="str">
        <f>IF(AND(_4="B-757",'2026'!$G$4="CA",'2026'!$G$2=BS119),'2026DATA'!$N$19,"")</f>
        <v/>
      </c>
      <c r="BT136" s="940" t="s">
        <v>45</v>
      </c>
      <c r="BU136" s="13" t="s">
        <v>61</v>
      </c>
      <c r="BV136" s="518" t="str">
        <f>IF(AND(_5="B-757",'2026'!$G$4="CA",'2026'!$G$2=BV119),'2026DATA'!$C$19,"")</f>
        <v/>
      </c>
      <c r="BW136" s="518" t="str">
        <f>IF(AND(_5="B-757",'2026'!$G$4="CA",'2026'!$G$2=BW119),'2026DATA'!$D$19,"")</f>
        <v/>
      </c>
      <c r="BX136" s="518" t="str">
        <f>IF(AND(_5="B-757",'2026'!$G$4="CA",'2026'!$G$2=BX119),'2026DATA'!$E$19,"")</f>
        <v/>
      </c>
      <c r="BY136" s="518" t="str">
        <f>IF(AND(_5="B-757",'2026'!$G$4="CA",'2026'!$G$2=BY119),'2026DATA'!$F$19,"")</f>
        <v/>
      </c>
      <c r="BZ136" s="518" t="str">
        <f>IF(AND(_5="B-757",'2026'!$G$4="CA",'2026'!$G$2=BZ119),'2026DATA'!$G$19,"")</f>
        <v/>
      </c>
      <c r="CA136" s="518" t="str">
        <f>IF(AND(_5="B-757",'2026'!$G$4="CA",'2026'!$G$2=CA119),'2026DATA'!$H$19,"")</f>
        <v/>
      </c>
      <c r="CB136" s="518" t="str">
        <f>IF(AND(_5="B-757",'2026'!$G$4="CA",'2026'!$G$2=CB119),'2026DATA'!$I$19,"")</f>
        <v/>
      </c>
      <c r="CC136" s="518" t="str">
        <f>IF(AND(_5="B-757",'2026'!$G$4="CA",'2026'!$G$2=CC119),'2026DATA'!$J$19,"")</f>
        <v/>
      </c>
      <c r="CD136" s="518" t="str">
        <f>IF(AND(_5="B-757",'2026'!$G$4="CA",'2026'!$G$2=CD119),'2026DATA'!$K$19,"")</f>
        <v/>
      </c>
      <c r="CE136" s="518" t="str">
        <f>IF(AND(_5="B-757",'2026'!$G$4="CA",'2026'!$G$2=CE119),'2026DATA'!$L$19,"")</f>
        <v/>
      </c>
      <c r="CF136" s="518" t="str">
        <f>IF(AND(_5="B-757",'2026'!$G$4="CA",'2026'!$G$2=CF119),'2026DATA'!$M$19,"")</f>
        <v/>
      </c>
      <c r="CG136" s="520" t="str">
        <f>IF(AND(_5="B-757",'2026'!$G$4="CA",'2026'!$G$2=CG119),'2026DATA'!$N$19,"")</f>
        <v/>
      </c>
      <c r="CH136" s="940" t="s">
        <v>45</v>
      </c>
      <c r="CI136" s="13" t="s">
        <v>61</v>
      </c>
      <c r="CJ136" s="518" t="str">
        <f>IF(AND(_6="B-757",'2026'!$G$4="CA",'2026'!$G$2=CJ119),'2026DATA'!$C$19,"")</f>
        <v/>
      </c>
      <c r="CK136" s="518" t="str">
        <f>IF(AND(_6="B-757",'2026'!$G$4="CA",'2026'!$G$2=CK119),'2026DATA'!$D$19,"")</f>
        <v/>
      </c>
      <c r="CL136" s="518" t="str">
        <f>IF(AND(_6="B-757",'2026'!$G$4="CA",'2026'!$G$2=CL119),'2026DATA'!$E$19,"")</f>
        <v/>
      </c>
      <c r="CM136" s="518" t="str">
        <f>IF(AND(_6="B-757",'2026'!$G$4="CA",'2026'!$G$2=CM119),'2026DATA'!$F$19,"")</f>
        <v/>
      </c>
      <c r="CN136" s="518" t="str">
        <f>IF(AND(_6="B-757",'2026'!$G$4="CA",'2026'!$G$2=CN119),'2026DATA'!$G$19,"")</f>
        <v/>
      </c>
      <c r="CO136" s="518" t="str">
        <f>IF(AND(_6="B-757",'2026'!$G$4="CA",'2026'!$G$2=CO119),'2026DATA'!$H$19,"")</f>
        <v/>
      </c>
      <c r="CP136" s="518" t="str">
        <f>IF(AND(_6="B-757",'2026'!$G$4="CA",'2026'!$G$2=CP119),'2026DATA'!$I$19,"")</f>
        <v/>
      </c>
      <c r="CQ136" s="518" t="str">
        <f>IF(AND(_6="B-757",'2026'!$G$4="CA",'2026'!$G$2=CQ119),'2026DATA'!$J$19,"")</f>
        <v/>
      </c>
      <c r="CR136" s="518" t="str">
        <f>IF(AND(_6="B-757",'2026'!$G$4="CA",'2026'!$G$2=CR119),'2026DATA'!$K$19,"")</f>
        <v/>
      </c>
      <c r="CS136" s="518" t="str">
        <f>IF(AND(_6="B-757",'2026'!$G$4="CA",'2026'!$G$2=CS119),'2026DATA'!$L$19,"")</f>
        <v/>
      </c>
      <c r="CT136" s="518" t="str">
        <f>IF(AND(_6="B-757",'2026'!$G$4="CA",'2026'!$G$2=CT119),'2026DATA'!$M$19,"")</f>
        <v/>
      </c>
      <c r="CU136" s="520" t="str">
        <f>IF(AND(_6="B-757",'2026'!$G$4="CA",'2026'!$G$2=CU119),'2026DATA'!$N$19,"")</f>
        <v/>
      </c>
    </row>
    <row r="137" spans="16:99" x14ac:dyDescent="0.25">
      <c r="P137" s="940"/>
      <c r="Q137" s="13" t="s">
        <v>62</v>
      </c>
      <c r="R137" s="518" t="str">
        <f>IF(AND(_1="B-757",'2026'!$G$4="FO",'2026'!$G$2=R119),'2026DATA'!$C$20,"")</f>
        <v/>
      </c>
      <c r="S137" s="518" t="str">
        <f>IF(AND(_1="B-757",'2026'!$G$4="FO",'2026'!$G$2=S119),'2026DATA'!$D$20,"")</f>
        <v/>
      </c>
      <c r="T137" s="518" t="str">
        <f>IF(AND(_1="B-757",'2026'!$G$4="FO",'2026'!$G$2=T119),'2026DATA'!$E$20,"")</f>
        <v/>
      </c>
      <c r="U137" s="518" t="str">
        <f>IF(AND(_1="B-757",'2026'!$G$4="FO",'2026'!$G$2=U119),'2026DATA'!$F$20,"")</f>
        <v/>
      </c>
      <c r="V137" s="518" t="str">
        <f>IF(AND(_1="B-757",'2026'!$G$4="FO",'2026'!$G$2=V119),'2026DATA'!$G$20,"")</f>
        <v/>
      </c>
      <c r="W137" s="518" t="str">
        <f>IF(AND(_1="B-757",'2026'!$G$4="FO",'2026'!$G$2=W119),'2026DATA'!$H$20,"")</f>
        <v/>
      </c>
      <c r="X137" s="518" t="str">
        <f>IF(AND(_1="B-757",'2026'!$G$4="FO",'2026'!$G$2=X119),'2026DATA'!$I$20,"")</f>
        <v/>
      </c>
      <c r="Y137" s="518" t="str">
        <f>IF(AND(_1="B-757",'2026'!$G$4="FO",'2026'!$G$2=Y119),'2026DATA'!$J$20,"")</f>
        <v/>
      </c>
      <c r="Z137" s="518" t="str">
        <f>IF(AND(_1="B-757",'2026'!$G$4="FO",'2026'!$G$2=Z119),'2026DATA'!$K$20,"")</f>
        <v/>
      </c>
      <c r="AA137" s="518" t="str">
        <f>IF(AND(_1="B-757",'2026'!$G$4="FO",'2026'!$G$2=AA119),'2026DATA'!$L$20,"")</f>
        <v/>
      </c>
      <c r="AB137" s="518" t="str">
        <f>IF(AND(_1="B-757",'2026'!$G$4="FO",'2026'!$G$2=AB119),'2026DATA'!$M$20,"")</f>
        <v/>
      </c>
      <c r="AC137" s="520" t="str">
        <f>IF(AND(_1="B-757",'2026'!$G$4="FO",'2026'!$G$2=AC119),'2026DATA'!$N$20,"")</f>
        <v/>
      </c>
      <c r="AD137" s="940"/>
      <c r="AE137" s="13" t="s">
        <v>62</v>
      </c>
      <c r="AF137" s="518" t="str">
        <f>IF(AND(_2="B-757",'2026'!$G$4="FO",'2026'!$G$2=AF119),'2026DATA'!$C$20,"")</f>
        <v/>
      </c>
      <c r="AG137" s="518" t="str">
        <f>IF(AND(_2="B-757",'2026'!$G$4="FO",'2026'!$G$2=AG119),'2026DATA'!$D$20,"")</f>
        <v/>
      </c>
      <c r="AH137" s="518" t="str">
        <f>IF(AND(_2="B-757",'2026'!$G$4="FO",'2026'!$G$2=AH119),'2026DATA'!$E$20,"")</f>
        <v/>
      </c>
      <c r="AI137" s="518" t="str">
        <f>IF(AND(_2="B-757",'2026'!$G$4="FO",'2026'!$G$2=AI119),'2026DATA'!$F$20,"")</f>
        <v/>
      </c>
      <c r="AJ137" s="518" t="str">
        <f>IF(AND(_2="B-757",'2026'!$G$4="FO",'2026'!$G$2=AJ119),'2026DATA'!$G$20,"")</f>
        <v/>
      </c>
      <c r="AK137" s="518" t="str">
        <f>IF(AND(_2="B-757",'2026'!$G$4="FO",'2026'!$G$2=AK119),'2026DATA'!$H$20,"")</f>
        <v/>
      </c>
      <c r="AL137" s="518" t="str">
        <f>IF(AND(_2="B-757",'2026'!$G$4="FO",'2026'!$G$2=AL119),'2026DATA'!$I$20,"")</f>
        <v/>
      </c>
      <c r="AM137" s="518" t="str">
        <f>IF(AND(_2="B-757",'2026'!$G$4="FO",'2026'!$G$2=AM119),'2026DATA'!$J$20,"")</f>
        <v/>
      </c>
      <c r="AN137" s="518" t="str">
        <f>IF(AND(_2="B-757",'2026'!$G$4="FO",'2026'!$G$2=AN119),'2026DATA'!$K$20,"")</f>
        <v/>
      </c>
      <c r="AO137" s="518" t="str">
        <f>IF(AND(_2="B-757",'2026'!$G$4="FO",'2026'!$G$2=AO119),'2026DATA'!$L$20,"")</f>
        <v/>
      </c>
      <c r="AP137" s="518" t="str">
        <f>IF(AND(_2="B-757",'2026'!$G$4="FO",'2026'!$G$2=AP119),'2026DATA'!$M$20,"")</f>
        <v/>
      </c>
      <c r="AQ137" s="520" t="str">
        <f>IF(AND(_2="B-757",'2026'!$G$4="FO",'2026'!$G$2=AQ119),'2026DATA'!$N$20,"")</f>
        <v/>
      </c>
      <c r="AR137" s="940"/>
      <c r="AS137" s="13" t="s">
        <v>62</v>
      </c>
      <c r="AT137" s="518" t="str">
        <f>IF(AND(_3="B-757",'2026'!$G$4="FO",'2026'!$G$2=AT119),'2026DATA'!$C$20,"")</f>
        <v/>
      </c>
      <c r="AU137" s="518" t="str">
        <f>IF(AND(_3="B-757",'2026'!$G$4="FO",'2026'!$G$2=AU119),'2026DATA'!$D$20,"")</f>
        <v/>
      </c>
      <c r="AV137" s="518" t="str">
        <f>IF(AND(_3="B-757",'2026'!$G$4="FO",'2026'!$G$2=AV119),'2026DATA'!$E$20,"")</f>
        <v/>
      </c>
      <c r="AW137" s="518" t="str">
        <f>IF(AND(_3="B-757",'2026'!$G$4="FO",'2026'!$G$2=AW119),'2026DATA'!$F$20,"")</f>
        <v/>
      </c>
      <c r="AX137" s="518" t="str">
        <f>IF(AND(_3="B-757",'2026'!$G$4="FO",'2026'!$G$2=AX119),'2026DATA'!$G$20,"")</f>
        <v/>
      </c>
      <c r="AY137" s="518" t="str">
        <f>IF(AND(_3="B-757",'2026'!$G$4="FO",'2026'!$G$2=AY119),'2026DATA'!$H$20,"")</f>
        <v/>
      </c>
      <c r="AZ137" s="518" t="str">
        <f>IF(AND(_3="B-757",'2026'!$G$4="FO",'2026'!$G$2=AZ119),'2026DATA'!$I$20,"")</f>
        <v/>
      </c>
      <c r="BA137" s="518" t="str">
        <f>IF(AND(_3="B-757",'2026'!$G$4="FO",'2026'!$G$2=BA119),'2026DATA'!$J$20,"")</f>
        <v/>
      </c>
      <c r="BB137" s="518" t="str">
        <f>IF(AND(_3="B-757",'2026'!$G$4="FO",'2026'!$G$2=BB119),'2026DATA'!$K$20,"")</f>
        <v/>
      </c>
      <c r="BC137" s="518" t="str">
        <f>IF(AND(_3="B-757",'2026'!$G$4="FO",'2026'!$G$2=BC119),'2026DATA'!$L$20,"")</f>
        <v/>
      </c>
      <c r="BD137" s="518" t="str">
        <f>IF(AND(_3="B-757",'2026'!$G$4="FO",'2026'!$G$2=BD119),'2026DATA'!$M$20,"")</f>
        <v/>
      </c>
      <c r="BE137" s="520" t="str">
        <f>IF(AND(_3="B-757",'2026'!$G$4="FO",'2026'!$G$2=BE119),'2026DATA'!$N$20,"")</f>
        <v/>
      </c>
      <c r="BF137" s="940"/>
      <c r="BG137" s="13" t="s">
        <v>62</v>
      </c>
      <c r="BH137" s="518" t="str">
        <f>IF(AND(_4="B-757",'2026'!$G$4="FO",'2026'!$G$2=BH119),'2026DATA'!$C$20,"")</f>
        <v/>
      </c>
      <c r="BI137" s="518" t="str">
        <f>IF(AND(_4="B-757",'2026'!$G$4="FO",'2026'!$G$2=BI119),'2026DATA'!$D$20,"")</f>
        <v/>
      </c>
      <c r="BJ137" s="518" t="str">
        <f>IF(AND(_4="B-757",'2026'!$G$4="FO",'2026'!$G$2=BJ119),'2026DATA'!$E$20,"")</f>
        <v/>
      </c>
      <c r="BK137" s="518" t="str">
        <f>IF(AND(_4="B-757",'2026'!$G$4="FO",'2026'!$G$2=BK119),'2026DATA'!$F$20,"")</f>
        <v/>
      </c>
      <c r="BL137" s="518" t="str">
        <f>IF(AND(_4="B-757",'2026'!$G$4="FO",'2026'!$G$2=BL119),'2026DATA'!$G$20,"")</f>
        <v/>
      </c>
      <c r="BM137" s="518" t="str">
        <f>IF(AND(_4="B-757",'2026'!$G$4="FO",'2026'!$G$2=BM119),'2026DATA'!$H$20,"")</f>
        <v/>
      </c>
      <c r="BN137" s="518" t="str">
        <f>IF(AND(_4="B-757",'2026'!$G$4="FO",'2026'!$G$2=BN119),'2026DATA'!$I$20,"")</f>
        <v/>
      </c>
      <c r="BO137" s="518" t="str">
        <f>IF(AND(_4="B-757",'2026'!$G$4="FO",'2026'!$G$2=BO119),'2026DATA'!$J$20,"")</f>
        <v/>
      </c>
      <c r="BP137" s="518" t="str">
        <f>IF(AND(_4="B-757",'2026'!$G$4="FO",'2026'!$G$2=BP119),'2026DATA'!$K$20,"")</f>
        <v/>
      </c>
      <c r="BQ137" s="518" t="str">
        <f>IF(AND(_4="B-757",'2026'!$G$4="FO",'2026'!$G$2=BQ119),'2026DATA'!$L$20,"")</f>
        <v/>
      </c>
      <c r="BR137" s="518" t="str">
        <f>IF(AND(_4="B-757",'2026'!$G$4="FO",'2026'!$G$2=BR119),'2026DATA'!$M$20,"")</f>
        <v/>
      </c>
      <c r="BS137" s="520" t="str">
        <f>IF(AND(_4="B-757",'2026'!$G$4="FO",'2026'!$G$2=BS119),'2026DATA'!$N$20,"")</f>
        <v/>
      </c>
      <c r="BT137" s="940"/>
      <c r="BU137" s="13" t="s">
        <v>62</v>
      </c>
      <c r="BV137" s="518" t="str">
        <f>IF(AND(_5="B-757",'2026'!$G$4="FO",'2026'!$G$2=BV119),'2026DATA'!$C$20,"")</f>
        <v/>
      </c>
      <c r="BW137" s="518" t="str">
        <f>IF(AND(_5="B-757",'2026'!$G$4="FO",'2026'!$G$2=BW119),'2026DATA'!$D$20,"")</f>
        <v/>
      </c>
      <c r="BX137" s="518" t="str">
        <f>IF(AND(_5="B-757",'2026'!$G$4="FO",'2026'!$G$2=BX119),'2026DATA'!$E$20,"")</f>
        <v/>
      </c>
      <c r="BY137" s="518" t="str">
        <f>IF(AND(_5="B-757",'2026'!$G$4="FO",'2026'!$G$2=BY119),'2026DATA'!$F$20,"")</f>
        <v/>
      </c>
      <c r="BZ137" s="518" t="str">
        <f>IF(AND(_5="B-757",'2026'!$G$4="FO",'2026'!$G$2=BZ119),'2026DATA'!$G$20,"")</f>
        <v/>
      </c>
      <c r="CA137" s="518" t="str">
        <f>IF(AND(_5="B-757",'2026'!$G$4="FO",'2026'!$G$2=CA119),'2026DATA'!$H$20,"")</f>
        <v/>
      </c>
      <c r="CB137" s="518" t="str">
        <f>IF(AND(_5="B-757",'2026'!$G$4="FO",'2026'!$G$2=CB119),'2026DATA'!$I$20,"")</f>
        <v/>
      </c>
      <c r="CC137" s="518" t="str">
        <f>IF(AND(_5="B-757",'2026'!$G$4="FO",'2026'!$G$2=CC119),'2026DATA'!$J$20,"")</f>
        <v/>
      </c>
      <c r="CD137" s="518" t="str">
        <f>IF(AND(_5="B-757",'2026'!$G$4="FO",'2026'!$G$2=CD119),'2026DATA'!$K$20,"")</f>
        <v/>
      </c>
      <c r="CE137" s="518" t="str">
        <f>IF(AND(_5="B-757",'2026'!$G$4="FO",'2026'!$G$2=CE119),'2026DATA'!$L$20,"")</f>
        <v/>
      </c>
      <c r="CF137" s="518" t="str">
        <f>IF(AND(_5="B-757",'2026'!$G$4="FO",'2026'!$G$2=CF119),'2026DATA'!$M$20,"")</f>
        <v/>
      </c>
      <c r="CG137" s="520" t="str">
        <f>IF(AND(_5="B-757",'2026'!$G$4="FO",'2026'!$G$2=CG119),'2026DATA'!$N$20,"")</f>
        <v/>
      </c>
      <c r="CH137" s="940"/>
      <c r="CI137" s="13" t="s">
        <v>62</v>
      </c>
      <c r="CJ137" s="518" t="str">
        <f>IF(AND(_6="B-757",'2026'!$G$4="FO",'2026'!$G$2=CJ119),'2026DATA'!$C$20,"")</f>
        <v/>
      </c>
      <c r="CK137" s="518" t="str">
        <f>IF(AND(_6="B-757",'2026'!$G$4="FO",'2026'!$G$2=CK119),'2026DATA'!$D$20,"")</f>
        <v/>
      </c>
      <c r="CL137" s="518" t="str">
        <f>IF(AND(_6="B-757",'2026'!$G$4="FO",'2026'!$G$2=CL119),'2026DATA'!$E$20,"")</f>
        <v/>
      </c>
      <c r="CM137" s="518" t="str">
        <f>IF(AND(_6="B-757",'2026'!$G$4="FO",'2026'!$G$2=CM119),'2026DATA'!$F$20,"")</f>
        <v/>
      </c>
      <c r="CN137" s="518" t="str">
        <f>IF(AND(_6="B-757",'2026'!$G$4="FO",'2026'!$G$2=CN119),'2026DATA'!$G$20,"")</f>
        <v/>
      </c>
      <c r="CO137" s="518" t="str">
        <f>IF(AND(_6="B-757",'2026'!$G$4="FO",'2026'!$G$2=CO119),'2026DATA'!$H$20,"")</f>
        <v/>
      </c>
      <c r="CP137" s="518" t="str">
        <f>IF(AND(_6="B-757",'2026'!$G$4="FO",'2026'!$G$2=CP119),'2026DATA'!$I$20,"")</f>
        <v/>
      </c>
      <c r="CQ137" s="518" t="str">
        <f>IF(AND(_6="B-757",'2026'!$G$4="FO",'2026'!$G$2=CQ119),'2026DATA'!$J$20,"")</f>
        <v/>
      </c>
      <c r="CR137" s="518" t="str">
        <f>IF(AND(_6="B-757",'2026'!$G$4="FO",'2026'!$G$2=CR119),'2026DATA'!$K$20,"")</f>
        <v/>
      </c>
      <c r="CS137" s="518" t="str">
        <f>IF(AND(_6="B-757",'2026'!$G$4="FO",'2026'!$G$2=CS119),'2026DATA'!$L$20,"")</f>
        <v/>
      </c>
      <c r="CT137" s="518" t="str">
        <f>IF(AND(_6="B-757",'2026'!$G$4="FO",'2026'!$G$2=CT119),'2026DATA'!$M$20,"")</f>
        <v/>
      </c>
      <c r="CU137" s="520" t="str">
        <f>IF(AND(_6="B-757",'2026'!$G$4="FO",'2026'!$G$2=CU119),'2026DATA'!$N$20,"")</f>
        <v/>
      </c>
    </row>
    <row r="138" spans="16:99" x14ac:dyDescent="0.25">
      <c r="P138" s="940" t="s">
        <v>47</v>
      </c>
      <c r="Q138" s="13" t="s">
        <v>61</v>
      </c>
      <c r="R138" s="518" t="str">
        <f>IF(AND(_1="B-737-900",'2026'!$G$4="CA",'2026'!$G$2=R119),'2026DATA'!$C$21,"")</f>
        <v/>
      </c>
      <c r="S138" s="518" t="str">
        <f>IF(AND(_1="B-737-900",'2026'!$G$4="CA",'2026'!$G$2=S119),'2026DATA'!$D$21,"")</f>
        <v/>
      </c>
      <c r="T138" s="518" t="str">
        <f>IF(AND(_1="B-737-900",'2026'!$G$4="CA",'2026'!$G$2=T119),'2026DATA'!$E$21,"")</f>
        <v/>
      </c>
      <c r="U138" s="518" t="str">
        <f>IF(AND(_1="B-737-900",'2026'!$G$4="CA",'2026'!$G$2=U119),'2026DATA'!$F$21,"")</f>
        <v/>
      </c>
      <c r="V138" s="518" t="str">
        <f>IF(AND(_1="B-737-900",'2026'!$G$4="CA",'2026'!$G$2=V119),'2026DATA'!$G$21,"")</f>
        <v/>
      </c>
      <c r="W138" s="518" t="str">
        <f>IF(AND(_1="B-737-900",'2026'!$G$4="CA",'2026'!$G$2=W119),'2026DATA'!$H$21,"")</f>
        <v/>
      </c>
      <c r="X138" s="518" t="str">
        <f>IF(AND(_1="B-737-900",'2026'!$G$4="CA",'2026'!$G$2=X119),'2026DATA'!$I$21,"")</f>
        <v/>
      </c>
      <c r="Y138" s="518" t="str">
        <f>IF(AND(_1="B-737-900",'2026'!$G$4="CA",'2026'!$G$2=Y119),'2026DATA'!$J$21,"")</f>
        <v/>
      </c>
      <c r="Z138" s="518" t="str">
        <f>IF(AND(_1="B-737-900",'2026'!$G$4="CA",'2026'!$G$2=Z119),'2026DATA'!$K$21,"")</f>
        <v/>
      </c>
      <c r="AA138" s="518" t="str">
        <f>IF(AND(_1="B-737-900",'2026'!$G$4="CA",'2026'!$G$2=AA119),'2026DATA'!$L$21,"")</f>
        <v/>
      </c>
      <c r="AB138" s="518" t="str">
        <f>IF(AND(_1="B-737-900",'2026'!$G$4="CA",'2026'!$G$2=AB119),'2026DATA'!$M$21,"")</f>
        <v/>
      </c>
      <c r="AC138" s="520" t="str">
        <f>IF(AND(_1="B-737-900",'2026'!$G$4="CA",'2026'!$G$2=AC119),'2026DATA'!$N$21,"")</f>
        <v/>
      </c>
      <c r="AD138" s="940" t="s">
        <v>47</v>
      </c>
      <c r="AE138" s="13" t="s">
        <v>61</v>
      </c>
      <c r="AF138" s="518" t="str">
        <f>IF(AND(_2="B-737-900",'2026'!$G$4="CA",'2026'!$G$2=AF119),'2026DATA'!$C$21,"")</f>
        <v/>
      </c>
      <c r="AG138" s="518" t="str">
        <f>IF(AND(_2="B-737-900",'2026'!$G$4="CA",'2026'!$G$2=AG119),'2026DATA'!$D$21,"")</f>
        <v/>
      </c>
      <c r="AH138" s="518" t="str">
        <f>IF(AND(_2="B-737-900",'2026'!$G$4="CA",'2026'!$G$2=AH119),'2026DATA'!$E$21,"")</f>
        <v/>
      </c>
      <c r="AI138" s="518" t="str">
        <f>IF(AND(_2="B-737-900",'2026'!$G$4="CA",'2026'!$G$2=AI119),'2026DATA'!$F$21,"")</f>
        <v/>
      </c>
      <c r="AJ138" s="518" t="str">
        <f>IF(AND(_2="B-737-900",'2026'!$G$4="CA",'2026'!$G$2=AJ119),'2026DATA'!$G$21,"")</f>
        <v/>
      </c>
      <c r="AK138" s="518" t="str">
        <f>IF(AND(_2="B-737-900",'2026'!$G$4="CA",'2026'!$G$2=AK119),'2026DATA'!$H$21,"")</f>
        <v/>
      </c>
      <c r="AL138" s="518" t="str">
        <f>IF(AND(_2="B-737-900",'2026'!$G$4="CA",'2026'!$G$2=AL119),'2026DATA'!$I$21,"")</f>
        <v/>
      </c>
      <c r="AM138" s="518" t="str">
        <f>IF(AND(_2="B-737-900",'2026'!$G$4="CA",'2026'!$G$2=AM119),'2026DATA'!$J$21,"")</f>
        <v/>
      </c>
      <c r="AN138" s="518" t="str">
        <f>IF(AND(_2="B-737-900",'2026'!$G$4="CA",'2026'!$G$2=AN119),'2026DATA'!$K$21,"")</f>
        <v/>
      </c>
      <c r="AO138" s="518" t="str">
        <f>IF(AND(_2="B-737-900",'2026'!$G$4="CA",'2026'!$G$2=AO119),'2026DATA'!$L$21,"")</f>
        <v/>
      </c>
      <c r="AP138" s="518" t="str">
        <f>IF(AND(_2="B-737-900",'2026'!$G$4="CA",'2026'!$G$2=AP119),'2026DATA'!$M$21,"")</f>
        <v/>
      </c>
      <c r="AQ138" s="520" t="str">
        <f>IF(AND(_2="B-737-900",'2026'!$G$4="CA",'2026'!$G$2=AQ119),'2026DATA'!$N$21,"")</f>
        <v/>
      </c>
      <c r="AR138" s="940" t="s">
        <v>47</v>
      </c>
      <c r="AS138" s="13" t="s">
        <v>61</v>
      </c>
      <c r="AT138" s="518" t="str">
        <f>IF(AND(_3="B-737-900",'2026'!$G$4="CA",'2026'!$G$2=AT119),'2026DATA'!$C$21,"")</f>
        <v/>
      </c>
      <c r="AU138" s="518" t="str">
        <f>IF(AND(_3="B-737-900",'2026'!$G$4="CA",'2026'!$G$2=AU119),'2026DATA'!$D$21,"")</f>
        <v/>
      </c>
      <c r="AV138" s="518" t="str">
        <f>IF(AND(_3="B-737-900",'2026'!$G$4="CA",'2026'!$G$2=AV119),'2026DATA'!$E$21,"")</f>
        <v/>
      </c>
      <c r="AW138" s="518" t="str">
        <f>IF(AND(_3="B-737-900",'2026'!$G$4="CA",'2026'!$G$2=AW119),'2026DATA'!$F$21,"")</f>
        <v/>
      </c>
      <c r="AX138" s="518" t="str">
        <f>IF(AND(_3="B-737-900",'2026'!$G$4="CA",'2026'!$G$2=AX119),'2026DATA'!$G$21,"")</f>
        <v/>
      </c>
      <c r="AY138" s="518" t="str">
        <f>IF(AND(_3="B-737-900",'2026'!$G$4="CA",'2026'!$G$2=AY119),'2026DATA'!$H$21,"")</f>
        <v/>
      </c>
      <c r="AZ138" s="518" t="str">
        <f>IF(AND(_3="B-737-900",'2026'!$G$4="CA",'2026'!$G$2=AZ119),'2026DATA'!$I$21,"")</f>
        <v/>
      </c>
      <c r="BA138" s="518" t="str">
        <f>IF(AND(_3="B-737-900",'2026'!$G$4="CA",'2026'!$G$2=BA119),'2026DATA'!$J$21,"")</f>
        <v/>
      </c>
      <c r="BB138" s="518" t="str">
        <f>IF(AND(_3="B-737-900",'2026'!$G$4="CA",'2026'!$G$2=BB119),'2026DATA'!$K$21,"")</f>
        <v/>
      </c>
      <c r="BC138" s="518" t="str">
        <f>IF(AND(_3="B-737-900",'2026'!$G$4="CA",'2026'!$G$2=BC119),'2026DATA'!$L$21,"")</f>
        <v/>
      </c>
      <c r="BD138" s="518" t="str">
        <f>IF(AND(_3="B-737-900",'2026'!$G$4="CA",'2026'!$G$2=BD119),'2026DATA'!$M$21,"")</f>
        <v/>
      </c>
      <c r="BE138" s="520" t="str">
        <f>IF(AND(_3="B-737-900",'2026'!$G$4="CA",'2026'!$G$2=BE119),'2026DATA'!$N$21,"")</f>
        <v/>
      </c>
      <c r="BF138" s="940" t="s">
        <v>47</v>
      </c>
      <c r="BG138" s="13" t="s">
        <v>61</v>
      </c>
      <c r="BH138" s="518" t="str">
        <f>IF(AND(_4="B-737-900",'2026'!$G$4="CA",'2026'!$G$2=BH119),'2026DATA'!$C$21,"")</f>
        <v/>
      </c>
      <c r="BI138" s="518" t="str">
        <f>IF(AND(_4="B-737-900",'2026'!$G$4="CA",'2026'!$G$2=BI119),'2026DATA'!$D$21,"")</f>
        <v/>
      </c>
      <c r="BJ138" s="518" t="str">
        <f>IF(AND(_4="B-737-900",'2026'!$G$4="CA",'2026'!$G$2=BJ119),'2026DATA'!$E$21,"")</f>
        <v/>
      </c>
      <c r="BK138" s="518" t="str">
        <f>IF(AND(_4="B-737-900",'2026'!$G$4="CA",'2026'!$G$2=BK119),'2026DATA'!$F$21,"")</f>
        <v/>
      </c>
      <c r="BL138" s="518" t="str">
        <f>IF(AND(_4="B-737-900",'2026'!$G$4="CA",'2026'!$G$2=BL119),'2026DATA'!$G$21,"")</f>
        <v/>
      </c>
      <c r="BM138" s="518" t="str">
        <f>IF(AND(_4="B-737-900",'2026'!$G$4="CA",'2026'!$G$2=BM119),'2026DATA'!$H$21,"")</f>
        <v/>
      </c>
      <c r="BN138" s="518" t="str">
        <f>IF(AND(_4="B-737-900",'2026'!$G$4="CA",'2026'!$G$2=BN119),'2026DATA'!$I$21,"")</f>
        <v/>
      </c>
      <c r="BO138" s="518" t="str">
        <f>IF(AND(_4="B-737-900",'2026'!$G$4="CA",'2026'!$G$2=BO119),'2026DATA'!$J$21,"")</f>
        <v/>
      </c>
      <c r="BP138" s="518" t="str">
        <f>IF(AND(_4="B-737-900",'2026'!$G$4="CA",'2026'!$G$2=BP119),'2026DATA'!$K$21,"")</f>
        <v/>
      </c>
      <c r="BQ138" s="518" t="str">
        <f>IF(AND(_4="B-737-900",'2026'!$G$4="CA",'2026'!$G$2=BQ119),'2026DATA'!$L$21,"")</f>
        <v/>
      </c>
      <c r="BR138" s="518" t="str">
        <f>IF(AND(_4="B-737-900",'2026'!$G$4="CA",'2026'!$G$2=BR119),'2026DATA'!$M$21,"")</f>
        <v/>
      </c>
      <c r="BS138" s="520" t="str">
        <f>IF(AND(_4="B-737-900",'2026'!$G$4="CA",'2026'!$G$2=BS119),'2026DATA'!$N$21,"")</f>
        <v/>
      </c>
      <c r="BT138" s="940" t="s">
        <v>47</v>
      </c>
      <c r="BU138" s="13" t="s">
        <v>61</v>
      </c>
      <c r="BV138" s="518" t="str">
        <f>IF(AND(_5="B-737-900",'2026'!$G$4="CA",'2026'!$G$2=BV119),'2026DATA'!$C$21,"")</f>
        <v/>
      </c>
      <c r="BW138" s="518" t="str">
        <f>IF(AND(_5="B-737-900",'2026'!$G$4="CA",'2026'!$G$2=BW119),'2026DATA'!$D$21,"")</f>
        <v/>
      </c>
      <c r="BX138" s="518" t="str">
        <f>IF(AND(_5="B-737-900",'2026'!$G$4="CA",'2026'!$G$2=BX119),'2026DATA'!$E$21,"")</f>
        <v/>
      </c>
      <c r="BY138" s="518" t="str">
        <f>IF(AND(_5="B-737-900",'2026'!$G$4="CA",'2026'!$G$2=BY119),'2026DATA'!$F$21,"")</f>
        <v/>
      </c>
      <c r="BZ138" s="518" t="str">
        <f>IF(AND(_5="B-737-900",'2026'!$G$4="CA",'2026'!$G$2=BZ119),'2026DATA'!$G$21,"")</f>
        <v/>
      </c>
      <c r="CA138" s="518" t="str">
        <f>IF(AND(_5="B-737-900",'2026'!$G$4="CA",'2026'!$G$2=CA119),'2026DATA'!$H$21,"")</f>
        <v/>
      </c>
      <c r="CB138" s="518" t="str">
        <f>IF(AND(_5="B-737-900",'2026'!$G$4="CA",'2026'!$G$2=CB119),'2026DATA'!$I$21,"")</f>
        <v/>
      </c>
      <c r="CC138" s="518" t="str">
        <f>IF(AND(_5="B-737-900",'2026'!$G$4="CA",'2026'!$G$2=CC119),'2026DATA'!$J$21,"")</f>
        <v/>
      </c>
      <c r="CD138" s="518" t="str">
        <f>IF(AND(_5="B-737-900",'2026'!$G$4="CA",'2026'!$G$2=CD119),'2026DATA'!$K$21,"")</f>
        <v/>
      </c>
      <c r="CE138" s="518" t="str">
        <f>IF(AND(_5="B-737-900",'2026'!$G$4="CA",'2026'!$G$2=CE119),'2026DATA'!$L$21,"")</f>
        <v/>
      </c>
      <c r="CF138" s="518" t="str">
        <f>IF(AND(_5="B-737-900",'2026'!$G$4="CA",'2026'!$G$2=CF119),'2026DATA'!$M$21,"")</f>
        <v/>
      </c>
      <c r="CG138" s="520" t="str">
        <f>IF(AND(_5="B-737-900",'2026'!$G$4="CA",'2026'!$G$2=CG119),'2026DATA'!$N$21,"")</f>
        <v/>
      </c>
      <c r="CH138" s="940" t="s">
        <v>47</v>
      </c>
      <c r="CI138" s="13" t="s">
        <v>61</v>
      </c>
      <c r="CJ138" s="518" t="str">
        <f>IF(AND(_6="B-737-900",'2026'!$G$4="CA",'2026'!$G$2=CJ119),'2026DATA'!$C$21,"")</f>
        <v/>
      </c>
      <c r="CK138" s="518" t="str">
        <f>IF(AND(_6="B-737-900",'2026'!$G$4="CA",'2026'!$G$2=CK119),'2026DATA'!$D$21,"")</f>
        <v/>
      </c>
      <c r="CL138" s="518" t="str">
        <f>IF(AND(_6="B-737-900",'2026'!$G$4="CA",'2026'!$G$2=CL119),'2026DATA'!$E$21,"")</f>
        <v/>
      </c>
      <c r="CM138" s="518" t="str">
        <f>IF(AND(_6="B-737-900",'2026'!$G$4="CA",'2026'!$G$2=CM119),'2026DATA'!$F$21,"")</f>
        <v/>
      </c>
      <c r="CN138" s="518" t="str">
        <f>IF(AND(_6="B-737-900",'2026'!$G$4="CA",'2026'!$G$2=CN119),'2026DATA'!$G$21,"")</f>
        <v/>
      </c>
      <c r="CO138" s="518" t="str">
        <f>IF(AND(_6="B-737-900",'2026'!$G$4="CA",'2026'!$G$2=CO119),'2026DATA'!$H$21,"")</f>
        <v/>
      </c>
      <c r="CP138" s="518" t="str">
        <f>IF(AND(_6="B-737-900",'2026'!$G$4="CA",'2026'!$G$2=CP119),'2026DATA'!$I$21,"")</f>
        <v/>
      </c>
      <c r="CQ138" s="518" t="str">
        <f>IF(AND(_6="B-737-900",'2026'!$G$4="CA",'2026'!$G$2=CQ119),'2026DATA'!$J$21,"")</f>
        <v/>
      </c>
      <c r="CR138" s="518" t="str">
        <f>IF(AND(_6="B-737-900",'2026'!$G$4="CA",'2026'!$G$2=CR119),'2026DATA'!$K$21,"")</f>
        <v/>
      </c>
      <c r="CS138" s="518" t="str">
        <f>IF(AND(_6="B-737-900",'2026'!$G$4="CA",'2026'!$G$2=CS119),'2026DATA'!$L$21,"")</f>
        <v/>
      </c>
      <c r="CT138" s="518" t="str">
        <f>IF(AND(_6="B-737-900",'2026'!$G$4="CA",'2026'!$G$2=CT119),'2026DATA'!$M$21,"")</f>
        <v/>
      </c>
      <c r="CU138" s="520" t="str">
        <f>IF(AND(_6="B-737-900",'2026'!$G$4="CA",'2026'!$G$2=CU119),'2026DATA'!$N$21,"")</f>
        <v/>
      </c>
    </row>
    <row r="139" spans="16:99" x14ac:dyDescent="0.25">
      <c r="P139" s="940"/>
      <c r="Q139" s="13" t="s">
        <v>62</v>
      </c>
      <c r="R139" s="518" t="str">
        <f>IF(AND(_1="B-737-900",'2026'!$G$4="FO",'2026'!$G$2=R119),'2026DATA'!$C$22,"")</f>
        <v/>
      </c>
      <c r="S139" s="518" t="str">
        <f>IF(AND(_1="B-737-900",'2026'!$G$4="FO",'2026'!$G$2=S119),'2026DATA'!$D$22,"")</f>
        <v/>
      </c>
      <c r="T139" s="518" t="str">
        <f>IF(AND(_1="B-737-900",'2026'!$G$4="FO",'2026'!$G$2=T119),'2026DATA'!$E$22,"")</f>
        <v/>
      </c>
      <c r="U139" s="518" t="str">
        <f>IF(AND(_1="B-737-900",'2026'!$G$4="FO",'2026'!$G$2=U119),'2026DATA'!$F$22,"")</f>
        <v/>
      </c>
      <c r="V139" s="518" t="str">
        <f>IF(AND(_1="B-737-900",'2026'!$G$4="FO",'2026'!$G$2=V119),'2026DATA'!$G$22,"")</f>
        <v/>
      </c>
      <c r="W139" s="518" t="str">
        <f>IF(AND(_1="B-737-900",'2026'!$G$4="FO",'2026'!$G$2=W119),'2026DATA'!$H$22,"")</f>
        <v/>
      </c>
      <c r="X139" s="518" t="str">
        <f>IF(AND(_1="B-737-900",'2026'!$G$4="FO",'2026'!$G$2=X119),'2026DATA'!$I$22,"")</f>
        <v/>
      </c>
      <c r="Y139" s="518" t="str">
        <f>IF(AND(_1="B-737-900",'2026'!$G$4="FO",'2026'!$G$2=Y119),'2026DATA'!$J$22,"")</f>
        <v/>
      </c>
      <c r="Z139" s="518" t="str">
        <f>IF(AND(_1="B-737-900",'2026'!$G$4="FO",'2026'!$G$2=Z119),'2026DATA'!$K$22,"")</f>
        <v/>
      </c>
      <c r="AA139" s="518" t="str">
        <f>IF(AND(_1="B-737-900",'2026'!$G$4="FO",'2026'!$G$2=AA119),'2026DATA'!$L$22,"")</f>
        <v/>
      </c>
      <c r="AB139" s="518" t="str">
        <f>IF(AND(_1="B-737-900",'2026'!$G$4="FO",'2026'!$G$2=AB119),'2026DATA'!$M$22,"")</f>
        <v/>
      </c>
      <c r="AC139" s="520" t="str">
        <f>IF(AND(_1="B-737-900",'2026'!$G$4="FO",'2026'!$G$2=AC119),'2026DATA'!$N$22,"")</f>
        <v/>
      </c>
      <c r="AD139" s="940"/>
      <c r="AE139" s="13" t="s">
        <v>62</v>
      </c>
      <c r="AF139" s="518" t="str">
        <f>IF(AND(_2="B-737-900",'2026'!$G$4="FO",'2026'!$G$2=AF119),'2026DATA'!$C$22,"")</f>
        <v/>
      </c>
      <c r="AG139" s="518" t="str">
        <f>IF(AND(_2="B-737-900",'2026'!$G$4="FO",'2026'!$G$2=AG119),'2026DATA'!$D$22,"")</f>
        <v/>
      </c>
      <c r="AH139" s="518" t="str">
        <f>IF(AND(_2="B-737-900",'2026'!$G$4="FO",'2026'!$G$2=AH119),'2026DATA'!$E$22,"")</f>
        <v/>
      </c>
      <c r="AI139" s="518" t="str">
        <f>IF(AND(_2="B-737-900",'2026'!$G$4="FO",'2026'!$G$2=AI119),'2026DATA'!$F$22,"")</f>
        <v/>
      </c>
      <c r="AJ139" s="518" t="str">
        <f>IF(AND(_2="B-737-900",'2026'!$G$4="FO",'2026'!$G$2=AJ119),'2026DATA'!$G$22,"")</f>
        <v/>
      </c>
      <c r="AK139" s="518" t="str">
        <f>IF(AND(_2="B-737-900",'2026'!$G$4="FO",'2026'!$G$2=AK119),'2026DATA'!$H$22,"")</f>
        <v/>
      </c>
      <c r="AL139" s="518" t="str">
        <f>IF(AND(_2="B-737-900",'2026'!$G$4="FO",'2026'!$G$2=AL119),'2026DATA'!$I$22,"")</f>
        <v/>
      </c>
      <c r="AM139" s="518" t="str">
        <f>IF(AND(_2="B-737-900",'2026'!$G$4="FO",'2026'!$G$2=AM119),'2026DATA'!$J$22,"")</f>
        <v/>
      </c>
      <c r="AN139" s="518" t="str">
        <f>IF(AND(_2="B-737-900",'2026'!$G$4="FO",'2026'!$G$2=AN119),'2026DATA'!$K$22,"")</f>
        <v/>
      </c>
      <c r="AO139" s="518" t="str">
        <f>IF(AND(_2="B-737-900",'2026'!$G$4="FO",'2026'!$G$2=AO119),'2026DATA'!$L$22,"")</f>
        <v/>
      </c>
      <c r="AP139" s="518" t="str">
        <f>IF(AND(_2="B-737-900",'2026'!$G$4="FO",'2026'!$G$2=AP119),'2026DATA'!$M$22,"")</f>
        <v/>
      </c>
      <c r="AQ139" s="520" t="str">
        <f>IF(AND(_2="B-737-900",'2026'!$G$4="FO",'2026'!$G$2=AQ119),'2026DATA'!$N$22,"")</f>
        <v/>
      </c>
      <c r="AR139" s="940"/>
      <c r="AS139" s="13" t="s">
        <v>62</v>
      </c>
      <c r="AT139" s="518" t="str">
        <f>IF(AND(_3="B-737-900",'2026'!$G$4="FO",'2026'!$G$2=AT119),'2026DATA'!$C$22,"")</f>
        <v/>
      </c>
      <c r="AU139" s="518" t="str">
        <f>IF(AND(_3="B-737-900",'2026'!$G$4="FO",'2026'!$G$2=AU119),'2026DATA'!$D$22,"")</f>
        <v/>
      </c>
      <c r="AV139" s="518" t="str">
        <f>IF(AND(_3="B-737-900",'2026'!$G$4="FO",'2026'!$G$2=AV119),'2026DATA'!$E$22,"")</f>
        <v/>
      </c>
      <c r="AW139" s="518" t="str">
        <f>IF(AND(_3="B-737-900",'2026'!$G$4="FO",'2026'!$G$2=AW119),'2026DATA'!$F$22,"")</f>
        <v/>
      </c>
      <c r="AX139" s="518" t="str">
        <f>IF(AND(_3="B-737-900",'2026'!$G$4="FO",'2026'!$G$2=AX119),'2026DATA'!$G$22,"")</f>
        <v/>
      </c>
      <c r="AY139" s="518" t="str">
        <f>IF(AND(_3="B-737-900",'2026'!$G$4="FO",'2026'!$G$2=AY119),'2026DATA'!$H$22,"")</f>
        <v/>
      </c>
      <c r="AZ139" s="518" t="str">
        <f>IF(AND(_3="B-737-900",'2026'!$G$4="FO",'2026'!$G$2=AZ119),'2026DATA'!$I$22,"")</f>
        <v/>
      </c>
      <c r="BA139" s="518" t="str">
        <f>IF(AND(_3="B-737-900",'2026'!$G$4="FO",'2026'!$G$2=BA119),'2026DATA'!$J$22,"")</f>
        <v/>
      </c>
      <c r="BB139" s="518" t="str">
        <f>IF(AND(_3="B-737-900",'2026'!$G$4="FO",'2026'!$G$2=BB119),'2026DATA'!$K$22,"")</f>
        <v/>
      </c>
      <c r="BC139" s="518" t="str">
        <f>IF(AND(_3="B-737-900",'2026'!$G$4="FO",'2026'!$G$2=BC119),'2026DATA'!$L$22,"")</f>
        <v/>
      </c>
      <c r="BD139" s="518" t="str">
        <f>IF(AND(_3="B-737-900",'2026'!$G$4="FO",'2026'!$G$2=BD119),'2026DATA'!$M$22,"")</f>
        <v/>
      </c>
      <c r="BE139" s="520" t="str">
        <f>IF(AND(_3="B-737-900",'2026'!$G$4="FO",'2026'!$G$2=BE119),'2026DATA'!$N$22,"")</f>
        <v/>
      </c>
      <c r="BF139" s="940"/>
      <c r="BG139" s="13" t="s">
        <v>62</v>
      </c>
      <c r="BH139" s="518" t="str">
        <f>IF(AND(_4="B-737-900",'2026'!$G$4="FO",'2026'!$G$2=BH119),'2026DATA'!$C$22,"")</f>
        <v/>
      </c>
      <c r="BI139" s="518" t="str">
        <f>IF(AND(_4="B-737-900",'2026'!$G$4="FO",'2026'!$G$2=BI119),'2026DATA'!$D$22,"")</f>
        <v/>
      </c>
      <c r="BJ139" s="518" t="str">
        <f>IF(AND(_4="B-737-900",'2026'!$G$4="FO",'2026'!$G$2=BJ119),'2026DATA'!$E$22,"")</f>
        <v/>
      </c>
      <c r="BK139" s="518" t="str">
        <f>IF(AND(_4="B-737-900",'2026'!$G$4="FO",'2026'!$G$2=BK119),'2026DATA'!$F$22,"")</f>
        <v/>
      </c>
      <c r="BL139" s="518" t="str">
        <f>IF(AND(_4="B-737-900",'2026'!$G$4="FO",'2026'!$G$2=BL119),'2026DATA'!$G$22,"")</f>
        <v/>
      </c>
      <c r="BM139" s="518" t="str">
        <f>IF(AND(_4="B-737-900",'2026'!$G$4="FO",'2026'!$G$2=BM119),'2026DATA'!$H$22,"")</f>
        <v/>
      </c>
      <c r="BN139" s="518" t="str">
        <f>IF(AND(_4="B-737-900",'2026'!$G$4="FO",'2026'!$G$2=BN119),'2026DATA'!$I$22,"")</f>
        <v/>
      </c>
      <c r="BO139" s="518" t="str">
        <f>IF(AND(_4="B-737-900",'2026'!$G$4="FO",'2026'!$G$2=BO119),'2026DATA'!$J$22,"")</f>
        <v/>
      </c>
      <c r="BP139" s="518" t="str">
        <f>IF(AND(_4="B-737-900",'2026'!$G$4="FO",'2026'!$G$2=BP119),'2026DATA'!$K$22,"")</f>
        <v/>
      </c>
      <c r="BQ139" s="518" t="str">
        <f>IF(AND(_4="B-737-900",'2026'!$G$4="FO",'2026'!$G$2=BQ119),'2026DATA'!$L$22,"")</f>
        <v/>
      </c>
      <c r="BR139" s="518" t="str">
        <f>IF(AND(_4="B-737-900",'2026'!$G$4="FO",'2026'!$G$2=BR119),'2026DATA'!$M$22,"")</f>
        <v/>
      </c>
      <c r="BS139" s="520" t="str">
        <f>IF(AND(_4="B-737-900",'2026'!$G$4="FO",'2026'!$G$2=BS119),'2026DATA'!$N$22,"")</f>
        <v/>
      </c>
      <c r="BT139" s="940"/>
      <c r="BU139" s="13" t="s">
        <v>62</v>
      </c>
      <c r="BV139" s="518" t="str">
        <f>IF(AND(_5="B-737-900",'2026'!$G$4="FO",'2026'!$G$2=BV119),'2026DATA'!$C$22,"")</f>
        <v/>
      </c>
      <c r="BW139" s="518" t="str">
        <f>IF(AND(_5="B-737-900",'2026'!$G$4="FO",'2026'!$G$2=BW119),'2026DATA'!$D$22,"")</f>
        <v/>
      </c>
      <c r="BX139" s="518" t="str">
        <f>IF(AND(_5="B-737-900",'2026'!$G$4="FO",'2026'!$G$2=BX119),'2026DATA'!$E$22,"")</f>
        <v/>
      </c>
      <c r="BY139" s="518" t="str">
        <f>IF(AND(_5="B-737-900",'2026'!$G$4="FO",'2026'!$G$2=BY119),'2026DATA'!$F$22,"")</f>
        <v/>
      </c>
      <c r="BZ139" s="518" t="str">
        <f>IF(AND(_5="B-737-900",'2026'!$G$4="FO",'2026'!$G$2=BZ119),'2026DATA'!$G$22,"")</f>
        <v/>
      </c>
      <c r="CA139" s="518" t="str">
        <f>IF(AND(_5="B-737-900",'2026'!$G$4="FO",'2026'!$G$2=CA119),'2026DATA'!$H$22,"")</f>
        <v/>
      </c>
      <c r="CB139" s="518" t="str">
        <f>IF(AND(_5="B-737-900",'2026'!$G$4="FO",'2026'!$G$2=CB119),'2026DATA'!$I$22,"")</f>
        <v/>
      </c>
      <c r="CC139" s="518" t="str">
        <f>IF(AND(_5="B-737-900",'2026'!$G$4="FO",'2026'!$G$2=CC119),'2026DATA'!$J$22,"")</f>
        <v/>
      </c>
      <c r="CD139" s="518" t="str">
        <f>IF(AND(_5="B-737-900",'2026'!$G$4="FO",'2026'!$G$2=CD119),'2026DATA'!$K$22,"")</f>
        <v/>
      </c>
      <c r="CE139" s="518" t="str">
        <f>IF(AND(_5="B-737-900",'2026'!$G$4="FO",'2026'!$G$2=CE119),'2026DATA'!$L$22,"")</f>
        <v/>
      </c>
      <c r="CF139" s="518" t="str">
        <f>IF(AND(_5="B-737-900",'2026'!$G$4="FO",'2026'!$G$2=CF119),'2026DATA'!$M$22,"")</f>
        <v/>
      </c>
      <c r="CG139" s="520" t="str">
        <f>IF(AND(_5="B-737-900",'2026'!$G$4="FO",'2026'!$G$2=CG119),'2026DATA'!$N$22,"")</f>
        <v/>
      </c>
      <c r="CH139" s="940"/>
      <c r="CI139" s="13" t="s">
        <v>62</v>
      </c>
      <c r="CJ139" s="518" t="str">
        <f>IF(AND(_6="B-737-900",'2026'!$G$4="FO",'2026'!$G$2=CJ119),'2026DATA'!$C$22,"")</f>
        <v/>
      </c>
      <c r="CK139" s="518" t="str">
        <f>IF(AND(_6="B-737-900",'2026'!$G$4="FO",'2026'!$G$2=CK119),'2026DATA'!$D$22,"")</f>
        <v/>
      </c>
      <c r="CL139" s="518" t="str">
        <f>IF(AND(_6="B-737-900",'2026'!$G$4="FO",'2026'!$G$2=CL119),'2026DATA'!$E$22,"")</f>
        <v/>
      </c>
      <c r="CM139" s="518" t="str">
        <f>IF(AND(_6="B-737-900",'2026'!$G$4="FO",'2026'!$G$2=CM119),'2026DATA'!$F$22,"")</f>
        <v/>
      </c>
      <c r="CN139" s="518" t="str">
        <f>IF(AND(_6="B-737-900",'2026'!$G$4="FO",'2026'!$G$2=CN119),'2026DATA'!$G$22,"")</f>
        <v/>
      </c>
      <c r="CO139" s="518" t="str">
        <f>IF(AND(_6="B-737-900",'2026'!$G$4="FO",'2026'!$G$2=CO119),'2026DATA'!$H$22,"")</f>
        <v/>
      </c>
      <c r="CP139" s="518" t="str">
        <f>IF(AND(_6="B-737-900",'2026'!$G$4="FO",'2026'!$G$2=CP119),'2026DATA'!$I$22,"")</f>
        <v/>
      </c>
      <c r="CQ139" s="518" t="str">
        <f>IF(AND(_6="B-737-900",'2026'!$G$4="FO",'2026'!$G$2=CQ119),'2026DATA'!$J$22,"")</f>
        <v/>
      </c>
      <c r="CR139" s="518" t="str">
        <f>IF(AND(_6="B-737-900",'2026'!$G$4="FO",'2026'!$G$2=CR119),'2026DATA'!$K$22,"")</f>
        <v/>
      </c>
      <c r="CS139" s="518" t="str">
        <f>IF(AND(_6="B-737-900",'2026'!$G$4="FO",'2026'!$G$2=CS119),'2026DATA'!$L$22,"")</f>
        <v/>
      </c>
      <c r="CT139" s="518" t="str">
        <f>IF(AND(_6="B-737-900",'2026'!$G$4="FO",'2026'!$G$2=CT119),'2026DATA'!$M$22,"")</f>
        <v/>
      </c>
      <c r="CU139" s="520" t="str">
        <f>IF(AND(_6="B-737-900",'2026'!$G$4="FO",'2026'!$G$2=CU119),'2026DATA'!$N$22,"")</f>
        <v/>
      </c>
    </row>
    <row r="140" spans="16:99" x14ac:dyDescent="0.25">
      <c r="P140" s="940" t="s">
        <v>69</v>
      </c>
      <c r="Q140" s="13" t="s">
        <v>61</v>
      </c>
      <c r="R140" s="518" t="str">
        <f>IF(AND(_1="B-737-800",'2026'!$G$4="CA",'2026'!$G$2=R119),'2026DATA'!$C$23,"")</f>
        <v/>
      </c>
      <c r="S140" s="518" t="str">
        <f>IF(AND(_1="B-737-800",'2026'!$G$4="CA",'2026'!$G$2=S119),'2026DATA'!$D$23,"")</f>
        <v/>
      </c>
      <c r="T140" s="518" t="str">
        <f>IF(AND(_1="B-737-800",'2026'!$G$4="CA",'2026'!$G$2=T119),'2026DATA'!$E$23,"")</f>
        <v/>
      </c>
      <c r="U140" s="518" t="str">
        <f>IF(AND(_1="B-737-800",'2026'!$G$4="CA",'2026'!$G$2=U119),'2026DATA'!$F$23,"")</f>
        <v/>
      </c>
      <c r="V140" s="518" t="str">
        <f>IF(AND(_1="B-737-800",'2026'!$G$4="CA",'2026'!$G$2=V119),'2026DATA'!$G$23,"")</f>
        <v/>
      </c>
      <c r="W140" s="518" t="str">
        <f>IF(AND(_1="B-737-800",'2026'!$G$4="CA",'2026'!$G$2=W119),'2026DATA'!$H$23,"")</f>
        <v/>
      </c>
      <c r="X140" s="518" t="str">
        <f>IF(AND(_1="B-737-800",'2026'!$G$4="CA",'2026'!$G$2=X119),'2026DATA'!$I$23,"")</f>
        <v/>
      </c>
      <c r="Y140" s="518" t="str">
        <f>IF(AND(_1="B-737-800",'2026'!$G$4="CA",'2026'!$G$2=Y119),'2026DATA'!$J$23,"")</f>
        <v/>
      </c>
      <c r="Z140" s="518" t="str">
        <f>IF(AND(_1="B-737-800",'2026'!$G$4="CA",'2026'!$G$2=Z119),'2026DATA'!$K$23,"")</f>
        <v/>
      </c>
      <c r="AA140" s="518" t="str">
        <f>IF(AND(_1="B-737-800",'2026'!$G$4="CA",'2026'!$G$2=AA119),'2026DATA'!$L$23,"")</f>
        <v/>
      </c>
      <c r="AB140" s="518" t="str">
        <f>IF(AND(_1="B-737-800",'2026'!$G$4="CA",'2026'!$G$2=AB119),'2026DATA'!$M$23,"")</f>
        <v/>
      </c>
      <c r="AC140" s="520" t="str">
        <f>IF(AND(_1="B-737-800",'2026'!$G$4="CA",'2026'!$G$2=AC119),'2026DATA'!$N$23,"")</f>
        <v/>
      </c>
      <c r="AD140" s="940" t="s">
        <v>69</v>
      </c>
      <c r="AE140" s="13" t="s">
        <v>61</v>
      </c>
      <c r="AF140" s="518" t="str">
        <f>IF(AND(_2="B-737-800",'2026'!$G$4="CA",'2026'!$G$2=AF119),'2026DATA'!$C$23,"")</f>
        <v/>
      </c>
      <c r="AG140" s="518" t="str">
        <f>IF(AND(_2="B-737-800",'2026'!$G$4="CA",'2026'!$G$2=AG119),'2026DATA'!$D$23,"")</f>
        <v/>
      </c>
      <c r="AH140" s="518" t="str">
        <f>IF(AND(_2="B-737-800",'2026'!$G$4="CA",'2026'!$G$2=AH119),'2026DATA'!$E$23,"")</f>
        <v/>
      </c>
      <c r="AI140" s="518" t="str">
        <f>IF(AND(_2="B-737-800",'2026'!$G$4="CA",'2026'!$G$2=AI119),'2026DATA'!$F$23,"")</f>
        <v/>
      </c>
      <c r="AJ140" s="518" t="str">
        <f>IF(AND(_2="B-737-800",'2026'!$G$4="CA",'2026'!$G$2=AJ119),'2026DATA'!$G$23,"")</f>
        <v/>
      </c>
      <c r="AK140" s="518" t="str">
        <f>IF(AND(_2="B-737-800",'2026'!$G$4="CA",'2026'!$G$2=AK119),'2026DATA'!$H$23,"")</f>
        <v/>
      </c>
      <c r="AL140" s="518" t="str">
        <f>IF(AND(_2="B-737-800",'2026'!$G$4="CA",'2026'!$G$2=AL119),'2026DATA'!$I$23,"")</f>
        <v/>
      </c>
      <c r="AM140" s="518" t="str">
        <f>IF(AND(_2="B-737-800",'2026'!$G$4="CA",'2026'!$G$2=AM119),'2026DATA'!$J$23,"")</f>
        <v/>
      </c>
      <c r="AN140" s="518" t="str">
        <f>IF(AND(_2="B-737-800",'2026'!$G$4="CA",'2026'!$G$2=AN119),'2026DATA'!$K$23,"")</f>
        <v/>
      </c>
      <c r="AO140" s="518" t="str">
        <f>IF(AND(_2="B-737-800",'2026'!$G$4="CA",'2026'!$G$2=AO119),'2026DATA'!$L$23,"")</f>
        <v/>
      </c>
      <c r="AP140" s="518" t="str">
        <f>IF(AND(_2="B-737-800",'2026'!$G$4="CA",'2026'!$G$2=AP119),'2026DATA'!$M$23,"")</f>
        <v/>
      </c>
      <c r="AQ140" s="520" t="str">
        <f>IF(AND(_2="B-737-800",'2026'!$G$4="CA",'2026'!$G$2=AQ119),'2026DATA'!$N$23,"")</f>
        <v/>
      </c>
      <c r="AR140" s="940" t="s">
        <v>69</v>
      </c>
      <c r="AS140" s="13" t="s">
        <v>61</v>
      </c>
      <c r="AT140" s="518" t="str">
        <f>IF(AND(_3="B-737-800",'2026'!$G$4="CA",'2026'!$G$2=AT119),'2026DATA'!$C$23,"")</f>
        <v/>
      </c>
      <c r="AU140" s="518" t="str">
        <f>IF(AND(_3="B-737-800",'2026'!$G$4="CA",'2026'!$G$2=AU119),'2026DATA'!$D$23,"")</f>
        <v/>
      </c>
      <c r="AV140" s="518" t="str">
        <f>IF(AND(_3="B-737-800",'2026'!$G$4="CA",'2026'!$G$2=AV119),'2026DATA'!$E$23,"")</f>
        <v/>
      </c>
      <c r="AW140" s="518" t="str">
        <f>IF(AND(_3="B-737-800",'2026'!$G$4="CA",'2026'!$G$2=AW119),'2026DATA'!$F$23,"")</f>
        <v/>
      </c>
      <c r="AX140" s="518" t="str">
        <f>IF(AND(_3="B-737-800",'2026'!$G$4="CA",'2026'!$G$2=AX119),'2026DATA'!$G$23,"")</f>
        <v/>
      </c>
      <c r="AY140" s="518" t="str">
        <f>IF(AND(_3="B-737-800",'2026'!$G$4="CA",'2026'!$G$2=AY119),'2026DATA'!$H$23,"")</f>
        <v/>
      </c>
      <c r="AZ140" s="518" t="str">
        <f>IF(AND(_3="B-737-800",'2026'!$G$4="CA",'2026'!$G$2=AZ119),'2026DATA'!$I$23,"")</f>
        <v/>
      </c>
      <c r="BA140" s="518" t="str">
        <f>IF(AND(_3="B-737-800",'2026'!$G$4="CA",'2026'!$G$2=BA119),'2026DATA'!$J$23,"")</f>
        <v/>
      </c>
      <c r="BB140" s="518" t="str">
        <f>IF(AND(_3="B-737-800",'2026'!$G$4="CA",'2026'!$G$2=BB119),'2026DATA'!$K$23,"")</f>
        <v/>
      </c>
      <c r="BC140" s="518" t="str">
        <f>IF(AND(_3="B-737-800",'2026'!$G$4="CA",'2026'!$G$2=BC119),'2026DATA'!$L$23,"")</f>
        <v/>
      </c>
      <c r="BD140" s="518" t="str">
        <f>IF(AND(_3="B-737-800",'2026'!$G$4="CA",'2026'!$G$2=BD119),'2026DATA'!$M$23,"")</f>
        <v/>
      </c>
      <c r="BE140" s="520" t="str">
        <f>IF(AND(_3="B-737-800",'2026'!$G$4="CA",'2026'!$G$2=BE119),'2026DATA'!$N$23,"")</f>
        <v/>
      </c>
      <c r="BF140" s="940" t="s">
        <v>69</v>
      </c>
      <c r="BG140" s="13" t="s">
        <v>61</v>
      </c>
      <c r="BH140" s="518" t="str">
        <f>IF(AND(_4="B-737-800",'2026'!$G$4="CA",'2026'!$G$2=BH119),'2026DATA'!$C$23,"")</f>
        <v/>
      </c>
      <c r="BI140" s="518" t="str">
        <f>IF(AND(_4="B-737-800",'2026'!$G$4="CA",'2026'!$G$2=BI119),'2026DATA'!$D$23,"")</f>
        <v/>
      </c>
      <c r="BJ140" s="518" t="str">
        <f>IF(AND(_4="B-737-800",'2026'!$G$4="CA",'2026'!$G$2=BJ119),'2026DATA'!$E$23,"")</f>
        <v/>
      </c>
      <c r="BK140" s="518" t="str">
        <f>IF(AND(_4="B-737-800",'2026'!$G$4="CA",'2026'!$G$2=BK119),'2026DATA'!$F$23,"")</f>
        <v/>
      </c>
      <c r="BL140" s="518" t="str">
        <f>IF(AND(_4="B-737-800",'2026'!$G$4="CA",'2026'!$G$2=BL119),'2026DATA'!$G$23,"")</f>
        <v/>
      </c>
      <c r="BM140" s="518" t="str">
        <f>IF(AND(_4="B-737-800",'2026'!$G$4="CA",'2026'!$G$2=BM119),'2026DATA'!$H$23,"")</f>
        <v/>
      </c>
      <c r="BN140" s="518" t="str">
        <f>IF(AND(_4="B-737-800",'2026'!$G$4="CA",'2026'!$G$2=BN119),'2026DATA'!$I$23,"")</f>
        <v/>
      </c>
      <c r="BO140" s="518" t="str">
        <f>IF(AND(_4="B-737-800",'2026'!$G$4="CA",'2026'!$G$2=BO119),'2026DATA'!$J$23,"")</f>
        <v/>
      </c>
      <c r="BP140" s="518" t="str">
        <f>IF(AND(_4="B-737-800",'2026'!$G$4="CA",'2026'!$G$2=BP119),'2026DATA'!$K$23,"")</f>
        <v/>
      </c>
      <c r="BQ140" s="518" t="str">
        <f>IF(AND(_4="B-737-800",'2026'!$G$4="CA",'2026'!$G$2=BQ119),'2026DATA'!$L$23,"")</f>
        <v/>
      </c>
      <c r="BR140" s="518" t="str">
        <f>IF(AND(_4="B-737-800",'2026'!$G$4="CA",'2026'!$G$2=BR119),'2026DATA'!$M$23,"")</f>
        <v/>
      </c>
      <c r="BS140" s="520" t="str">
        <f>IF(AND(_4="B-737-800",'2026'!$G$4="CA",'2026'!$G$2=BS119),'2026DATA'!$N$23,"")</f>
        <v/>
      </c>
      <c r="BT140" s="940" t="s">
        <v>69</v>
      </c>
      <c r="BU140" s="13" t="s">
        <v>61</v>
      </c>
      <c r="BV140" s="518" t="str">
        <f>IF(AND(_5="B-737-800",'2026'!$G$4="CA",'2026'!$G$2=BV119),'2026DATA'!$C$23,"")</f>
        <v/>
      </c>
      <c r="BW140" s="518" t="str">
        <f>IF(AND(_5="B-737-800",'2026'!$G$4="CA",'2026'!$G$2=BW119),'2026DATA'!$D$23,"")</f>
        <v/>
      </c>
      <c r="BX140" s="518" t="str">
        <f>IF(AND(_5="B-737-800",'2026'!$G$4="CA",'2026'!$G$2=BX119),'2026DATA'!$E$23,"")</f>
        <v/>
      </c>
      <c r="BY140" s="518" t="str">
        <f>IF(AND(_5="B-737-800",'2026'!$G$4="CA",'2026'!$G$2=BY119),'2026DATA'!$F$23,"")</f>
        <v/>
      </c>
      <c r="BZ140" s="518" t="str">
        <f>IF(AND(_5="B-737-800",'2026'!$G$4="CA",'2026'!$G$2=BZ119),'2026DATA'!$G$23,"")</f>
        <v/>
      </c>
      <c r="CA140" s="518" t="str">
        <f>IF(AND(_5="B-737-800",'2026'!$G$4="CA",'2026'!$G$2=CA119),'2026DATA'!$H$23,"")</f>
        <v/>
      </c>
      <c r="CB140" s="518" t="str">
        <f>IF(AND(_5="B-737-800",'2026'!$G$4="CA",'2026'!$G$2=CB119),'2026DATA'!$I$23,"")</f>
        <v/>
      </c>
      <c r="CC140" s="518" t="str">
        <f>IF(AND(_5="B-737-800",'2026'!$G$4="CA",'2026'!$G$2=CC119),'2026DATA'!$J$23,"")</f>
        <v/>
      </c>
      <c r="CD140" s="518" t="str">
        <f>IF(AND(_5="B-737-800",'2026'!$G$4="CA",'2026'!$G$2=CD119),'2026DATA'!$K$23,"")</f>
        <v/>
      </c>
      <c r="CE140" s="518" t="str">
        <f>IF(AND(_5="B-737-800",'2026'!$G$4="CA",'2026'!$G$2=CE119),'2026DATA'!$L$23,"")</f>
        <v/>
      </c>
      <c r="CF140" s="518" t="str">
        <f>IF(AND(_5="B-737-800",'2026'!$G$4="CA",'2026'!$G$2=CF119),'2026DATA'!$M$23,"")</f>
        <v/>
      </c>
      <c r="CG140" s="520" t="str">
        <f>IF(AND(_5="B-737-800",'2026'!$G$4="CA",'2026'!$G$2=CG119),'2026DATA'!$N$23,"")</f>
        <v/>
      </c>
      <c r="CH140" s="940" t="s">
        <v>69</v>
      </c>
      <c r="CI140" s="13" t="s">
        <v>61</v>
      </c>
      <c r="CJ140" s="518" t="str">
        <f>IF(AND(_6="B-737-800",'2026'!$G$4="CA",'2026'!$G$2=CJ119),'2026DATA'!$C$23,"")</f>
        <v/>
      </c>
      <c r="CK140" s="518" t="str">
        <f>IF(AND(_6="B-737-800",'2026'!$G$4="CA",'2026'!$G$2=CK119),'2026DATA'!$D$23,"")</f>
        <v/>
      </c>
      <c r="CL140" s="518" t="str">
        <f>IF(AND(_6="B-737-800",'2026'!$G$4="CA",'2026'!$G$2=CL119),'2026DATA'!$E$23,"")</f>
        <v/>
      </c>
      <c r="CM140" s="518" t="str">
        <f>IF(AND(_6="B-737-800",'2026'!$G$4="CA",'2026'!$G$2=CM119),'2026DATA'!$F$23,"")</f>
        <v/>
      </c>
      <c r="CN140" s="518" t="str">
        <f>IF(AND(_6="B-737-800",'2026'!$G$4="CA",'2026'!$G$2=CN119),'2026DATA'!$G$23,"")</f>
        <v/>
      </c>
      <c r="CO140" s="518" t="str">
        <f>IF(AND(_6="B-737-800",'2026'!$G$4="CA",'2026'!$G$2=CO119),'2026DATA'!$H$23,"")</f>
        <v/>
      </c>
      <c r="CP140" s="518" t="str">
        <f>IF(AND(_6="B-737-800",'2026'!$G$4="CA",'2026'!$G$2=CP119),'2026DATA'!$I$23,"")</f>
        <v/>
      </c>
      <c r="CQ140" s="518" t="str">
        <f>IF(AND(_6="B-737-800",'2026'!$G$4="CA",'2026'!$G$2=CQ119),'2026DATA'!$J$23,"")</f>
        <v/>
      </c>
      <c r="CR140" s="518" t="str">
        <f>IF(AND(_6="B-737-800",'2026'!$G$4="CA",'2026'!$G$2=CR119),'2026DATA'!$K$23,"")</f>
        <v/>
      </c>
      <c r="CS140" s="518" t="str">
        <f>IF(AND(_6="B-737-800",'2026'!$G$4="CA",'2026'!$G$2=CS119),'2026DATA'!$L$23,"")</f>
        <v/>
      </c>
      <c r="CT140" s="518" t="str">
        <f>IF(AND(_6="B-737-800",'2026'!$G$4="CA",'2026'!$G$2=CT119),'2026DATA'!$M$23,"")</f>
        <v/>
      </c>
      <c r="CU140" s="520" t="str">
        <f>IF(AND(_6="B-737-800",'2026'!$G$4="CA",'2026'!$G$2=CU119),'2026DATA'!$N$23,"")</f>
        <v/>
      </c>
    </row>
    <row r="141" spans="16:99" x14ac:dyDescent="0.25">
      <c r="P141" s="940"/>
      <c r="Q141" s="13" t="s">
        <v>62</v>
      </c>
      <c r="R141" s="518" t="str">
        <f>IF(AND(_1="B-737-800",'2026'!$G$4="FO",'2026'!$G$2=R119),'2026DATA'!$C$24,"")</f>
        <v/>
      </c>
      <c r="S141" s="518" t="str">
        <f>IF(AND(_1="B-737-800",'2026'!$G$4="FO",'2026'!$G$2=S119),'2026DATA'!$D$24,"")</f>
        <v/>
      </c>
      <c r="T141" s="518" t="str">
        <f>IF(AND(_1="B-737-800",'2026'!$G$4="FO",'2026'!$G$2=T119),'2026DATA'!$E$24,"")</f>
        <v/>
      </c>
      <c r="U141" s="518" t="str">
        <f>IF(AND(_1="B-737-800",'2026'!$G$4="FO",'2026'!$G$2=U119),'2026DATA'!$F$24,"")</f>
        <v/>
      </c>
      <c r="V141" s="518" t="str">
        <f>IF(AND(_1="B-737-800",'2026'!$G$4="FO",'2026'!$G$2=V119),'2026DATA'!$G$24,"")</f>
        <v/>
      </c>
      <c r="W141" s="518" t="str">
        <f>IF(AND(_1="B-737-800",'2026'!$G$4="FO",'2026'!$G$2=W119),'2026DATA'!$H$24,"")</f>
        <v/>
      </c>
      <c r="X141" s="518" t="str">
        <f>IF(AND(_1="B-737-800",'2026'!$G$4="FO",'2026'!$G$2=X119),'2026DATA'!$I$24,"")</f>
        <v/>
      </c>
      <c r="Y141" s="518" t="str">
        <f>IF(AND(_1="B-737-800",'2026'!$G$4="FO",'2026'!$G$2=Y119),'2026DATA'!$J$24,"")</f>
        <v/>
      </c>
      <c r="Z141" s="518" t="str">
        <f>IF(AND(_1="B-737-800",'2026'!$G$4="FO",'2026'!$G$2=Z119),'2026DATA'!$K$24,"")</f>
        <v/>
      </c>
      <c r="AA141" s="518" t="str">
        <f>IF(AND(_1="B-737-800",'2026'!$G$4="FO",'2026'!$G$2=AA119),'2026DATA'!$L$24,"")</f>
        <v/>
      </c>
      <c r="AB141" s="518" t="str">
        <f>IF(AND(_1="B-737-800",'2026'!$G$4="FO",'2026'!$G$2=AB119),'2026DATA'!$M$24,"")</f>
        <v/>
      </c>
      <c r="AC141" s="520" t="str">
        <f>IF(AND(_1="B-737-800",'2026'!$G$4="FO",'2026'!$G$2=AC119),'2026DATA'!$N$24,"")</f>
        <v/>
      </c>
      <c r="AD141" s="940"/>
      <c r="AE141" s="13" t="s">
        <v>62</v>
      </c>
      <c r="AF141" s="518" t="str">
        <f>IF(AND(_2="B-737-800",'2026'!$G$4="FO",'2026'!$G$2=AF119),'2026DATA'!$C$24,"")</f>
        <v/>
      </c>
      <c r="AG141" s="518" t="str">
        <f>IF(AND(_2="B-737-800",'2026'!$G$4="FO",'2026'!$G$2=AG119),'2026DATA'!$D$24,"")</f>
        <v/>
      </c>
      <c r="AH141" s="518" t="str">
        <f>IF(AND(_2="B-737-800",'2026'!$G$4="FO",'2026'!$G$2=AH119),'2026DATA'!$E$24,"")</f>
        <v/>
      </c>
      <c r="AI141" s="518" t="str">
        <f>IF(AND(_2="B-737-800",'2026'!$G$4="FO",'2026'!$G$2=AI119),'2026DATA'!$F$24,"")</f>
        <v/>
      </c>
      <c r="AJ141" s="518" t="str">
        <f>IF(AND(_2="B-737-800",'2026'!$G$4="FO",'2026'!$G$2=AJ119),'2026DATA'!$G$24,"")</f>
        <v/>
      </c>
      <c r="AK141" s="518" t="str">
        <f>IF(AND(_2="B-737-800",'2026'!$G$4="FO",'2026'!$G$2=AK119),'2026DATA'!$H$24,"")</f>
        <v/>
      </c>
      <c r="AL141" s="518" t="str">
        <f>IF(AND(_2="B-737-800",'2026'!$G$4="FO",'2026'!$G$2=AL119),'2026DATA'!$I$24,"")</f>
        <v/>
      </c>
      <c r="AM141" s="518" t="str">
        <f>IF(AND(_2="B-737-800",'2026'!$G$4="FO",'2026'!$G$2=AM119),'2026DATA'!$J$24,"")</f>
        <v/>
      </c>
      <c r="AN141" s="518" t="str">
        <f>IF(AND(_2="B-737-800",'2026'!$G$4="FO",'2026'!$G$2=AN119),'2026DATA'!$K$24,"")</f>
        <v/>
      </c>
      <c r="AO141" s="518" t="str">
        <f>IF(AND(_2="B-737-800",'2026'!$G$4="FO",'2026'!$G$2=AO119),'2026DATA'!$L$24,"")</f>
        <v/>
      </c>
      <c r="AP141" s="518" t="str">
        <f>IF(AND(_2="B-737-800",'2026'!$G$4="FO",'2026'!$G$2=AP119),'2026DATA'!$M$24,"")</f>
        <v/>
      </c>
      <c r="AQ141" s="520" t="str">
        <f>IF(AND(_2="B-737-800",'2026'!$G$4="FO",'2026'!$G$2=AQ119),'2026DATA'!$N$24,"")</f>
        <v/>
      </c>
      <c r="AR141" s="940"/>
      <c r="AS141" s="13" t="s">
        <v>62</v>
      </c>
      <c r="AT141" s="518" t="str">
        <f>IF(AND(_3="B-737-800",'2026'!$G$4="FO",'2026'!$G$2=AT119),'2026DATA'!$C$24,"")</f>
        <v/>
      </c>
      <c r="AU141" s="518" t="str">
        <f>IF(AND(_3="B-737-800",'2026'!$G$4="FO",'2026'!$G$2=AU119),'2026DATA'!$D$24,"")</f>
        <v/>
      </c>
      <c r="AV141" s="518" t="str">
        <f>IF(AND(_3="B-737-800",'2026'!$G$4="FO",'2026'!$G$2=AV119),'2026DATA'!$E$24,"")</f>
        <v/>
      </c>
      <c r="AW141" s="518" t="str">
        <f>IF(AND(_3="B-737-800",'2026'!$G$4="FO",'2026'!$G$2=AW119),'2026DATA'!$F$24,"")</f>
        <v/>
      </c>
      <c r="AX141" s="518" t="str">
        <f>IF(AND(_3="B-737-800",'2026'!$G$4="FO",'2026'!$G$2=AX119),'2026DATA'!$G$24,"")</f>
        <v/>
      </c>
      <c r="AY141" s="518" t="str">
        <f>IF(AND(_3="B-737-800",'2026'!$G$4="FO",'2026'!$G$2=AY119),'2026DATA'!$H$24,"")</f>
        <v/>
      </c>
      <c r="AZ141" s="518" t="str">
        <f>IF(AND(_3="B-737-800",'2026'!$G$4="FO",'2026'!$G$2=AZ119),'2026DATA'!$I$24,"")</f>
        <v/>
      </c>
      <c r="BA141" s="518" t="str">
        <f>IF(AND(_3="B-737-800",'2026'!$G$4="FO",'2026'!$G$2=BA119),'2026DATA'!$J$24,"")</f>
        <v/>
      </c>
      <c r="BB141" s="518" t="str">
        <f>IF(AND(_3="B-737-800",'2026'!$G$4="FO",'2026'!$G$2=BB119),'2026DATA'!$K$24,"")</f>
        <v/>
      </c>
      <c r="BC141" s="518" t="str">
        <f>IF(AND(_3="B-737-800",'2026'!$G$4="FO",'2026'!$G$2=BC119),'2026DATA'!$L$24,"")</f>
        <v/>
      </c>
      <c r="BD141" s="518" t="str">
        <f>IF(AND(_3="B-737-800",'2026'!$G$4="FO",'2026'!$G$2=BD119),'2026DATA'!$M$24,"")</f>
        <v/>
      </c>
      <c r="BE141" s="520" t="str">
        <f>IF(AND(_3="B-737-800",'2026'!$G$4="FO",'2026'!$G$2=BE119),'2026DATA'!$N$24,"")</f>
        <v/>
      </c>
      <c r="BF141" s="940"/>
      <c r="BG141" s="13" t="s">
        <v>62</v>
      </c>
      <c r="BH141" s="518" t="str">
        <f>IF(AND(_4="B-737-800",'2026'!$G$4="FO",'2026'!$G$2=BH119),'2026DATA'!$C$24,"")</f>
        <v/>
      </c>
      <c r="BI141" s="518" t="str">
        <f>IF(AND(_4="B-737-800",'2026'!$G$4="FO",'2026'!$G$2=BI119),'2026DATA'!$D$24,"")</f>
        <v/>
      </c>
      <c r="BJ141" s="518" t="str">
        <f>IF(AND(_4="B-737-800",'2026'!$G$4="FO",'2026'!$G$2=BJ119),'2026DATA'!$E$24,"")</f>
        <v/>
      </c>
      <c r="BK141" s="518" t="str">
        <f>IF(AND(_4="B-737-800",'2026'!$G$4="FO",'2026'!$G$2=BK119),'2026DATA'!$F$24,"")</f>
        <v/>
      </c>
      <c r="BL141" s="518" t="str">
        <f>IF(AND(_4="B-737-800",'2026'!$G$4="FO",'2026'!$G$2=BL119),'2026DATA'!$G$24,"")</f>
        <v/>
      </c>
      <c r="BM141" s="518" t="str">
        <f>IF(AND(_4="B-737-800",'2026'!$G$4="FO",'2026'!$G$2=BM119),'2026DATA'!$H$24,"")</f>
        <v/>
      </c>
      <c r="BN141" s="518" t="str">
        <f>IF(AND(_4="B-737-800",'2026'!$G$4="FO",'2026'!$G$2=BN119),'2026DATA'!$I$24,"")</f>
        <v/>
      </c>
      <c r="BO141" s="518" t="str">
        <f>IF(AND(_4="B-737-800",'2026'!$G$4="FO",'2026'!$G$2=BO119),'2026DATA'!$J$24,"")</f>
        <v/>
      </c>
      <c r="BP141" s="518" t="str">
        <f>IF(AND(_4="B-737-800",'2026'!$G$4="FO",'2026'!$G$2=BP119),'2026DATA'!$K$24,"")</f>
        <v/>
      </c>
      <c r="BQ141" s="518" t="str">
        <f>IF(AND(_4="B-737-800",'2026'!$G$4="FO",'2026'!$G$2=BQ119),'2026DATA'!$L$24,"")</f>
        <v/>
      </c>
      <c r="BR141" s="518" t="str">
        <f>IF(AND(_4="B-737-800",'2026'!$G$4="FO",'2026'!$G$2=BR119),'2026DATA'!$M$24,"")</f>
        <v/>
      </c>
      <c r="BS141" s="520" t="str">
        <f>IF(AND(_4="B-737-800",'2026'!$G$4="FO",'2026'!$G$2=BS119),'2026DATA'!$N$24,"")</f>
        <v/>
      </c>
      <c r="BT141" s="940"/>
      <c r="BU141" s="13" t="s">
        <v>62</v>
      </c>
      <c r="BV141" s="518" t="str">
        <f>IF(AND(_5="B-737-800",'2026'!$G$4="FO",'2026'!$G$2=BV119),'2026DATA'!$C$24,"")</f>
        <v/>
      </c>
      <c r="BW141" s="518" t="str">
        <f>IF(AND(_5="B-737-800",'2026'!$G$4="FO",'2026'!$G$2=BW119),'2026DATA'!$D$24,"")</f>
        <v/>
      </c>
      <c r="BX141" s="518" t="str">
        <f>IF(AND(_5="B-737-800",'2026'!$G$4="FO",'2026'!$G$2=BX119),'2026DATA'!$E$24,"")</f>
        <v/>
      </c>
      <c r="BY141" s="518" t="str">
        <f>IF(AND(_5="B-737-800",'2026'!$G$4="FO",'2026'!$G$2=BY119),'2026DATA'!$F$24,"")</f>
        <v/>
      </c>
      <c r="BZ141" s="518" t="str">
        <f>IF(AND(_5="B-737-800",'2026'!$G$4="FO",'2026'!$G$2=BZ119),'2026DATA'!$G$24,"")</f>
        <v/>
      </c>
      <c r="CA141" s="518" t="str">
        <f>IF(AND(_5="B-737-800",'2026'!$G$4="FO",'2026'!$G$2=CA119),'2026DATA'!$H$24,"")</f>
        <v/>
      </c>
      <c r="CB141" s="518" t="str">
        <f>IF(AND(_5="B-737-800",'2026'!$G$4="FO",'2026'!$G$2=CB119),'2026DATA'!$I$24,"")</f>
        <v/>
      </c>
      <c r="CC141" s="518" t="str">
        <f>IF(AND(_5="B-737-800",'2026'!$G$4="FO",'2026'!$G$2=CC119),'2026DATA'!$J$24,"")</f>
        <v/>
      </c>
      <c r="CD141" s="518" t="str">
        <f>IF(AND(_5="B-737-800",'2026'!$G$4="FO",'2026'!$G$2=CD119),'2026DATA'!$K$24,"")</f>
        <v/>
      </c>
      <c r="CE141" s="518" t="str">
        <f>IF(AND(_5="B-737-800",'2026'!$G$4="FO",'2026'!$G$2=CE119),'2026DATA'!$L$24,"")</f>
        <v/>
      </c>
      <c r="CF141" s="518" t="str">
        <f>IF(AND(_5="B-737-800",'2026'!$G$4="FO",'2026'!$G$2=CF119),'2026DATA'!$M$24,"")</f>
        <v/>
      </c>
      <c r="CG141" s="520" t="str">
        <f>IF(AND(_5="B-737-800",'2026'!$G$4="FO",'2026'!$G$2=CG119),'2026DATA'!$N$24,"")</f>
        <v/>
      </c>
      <c r="CH141" s="940"/>
      <c r="CI141" s="13" t="s">
        <v>62</v>
      </c>
      <c r="CJ141" s="518" t="str">
        <f>IF(AND(_6="B-737-800",'2026'!$G$4="FO",'2026'!$G$2=CJ119),'2026DATA'!$C$24,"")</f>
        <v/>
      </c>
      <c r="CK141" s="518" t="str">
        <f>IF(AND(_6="B-737-800",'2026'!$G$4="FO",'2026'!$G$2=CK119),'2026DATA'!$D$24,"")</f>
        <v/>
      </c>
      <c r="CL141" s="518" t="str">
        <f>IF(AND(_6="B-737-800",'2026'!$G$4="FO",'2026'!$G$2=CL119),'2026DATA'!$E$24,"")</f>
        <v/>
      </c>
      <c r="CM141" s="518" t="str">
        <f>IF(AND(_6="B-737-800",'2026'!$G$4="FO",'2026'!$G$2=CM119),'2026DATA'!$F$24,"")</f>
        <v/>
      </c>
      <c r="CN141" s="518" t="str">
        <f>IF(AND(_6="B-737-800",'2026'!$G$4="FO",'2026'!$G$2=CN119),'2026DATA'!$G$24,"")</f>
        <v/>
      </c>
      <c r="CO141" s="518" t="str">
        <f>IF(AND(_6="B-737-800",'2026'!$G$4="FO",'2026'!$G$2=CO119),'2026DATA'!$H$24,"")</f>
        <v/>
      </c>
      <c r="CP141" s="518" t="str">
        <f>IF(AND(_6="B-737-800",'2026'!$G$4="FO",'2026'!$G$2=CP119),'2026DATA'!$I$24,"")</f>
        <v/>
      </c>
      <c r="CQ141" s="518" t="str">
        <f>IF(AND(_6="B-737-800",'2026'!$G$4="FO",'2026'!$G$2=CQ119),'2026DATA'!$J$24,"")</f>
        <v/>
      </c>
      <c r="CR141" s="518" t="str">
        <f>IF(AND(_6="B-737-800",'2026'!$G$4="FO",'2026'!$G$2=CR119),'2026DATA'!$K$24,"")</f>
        <v/>
      </c>
      <c r="CS141" s="518" t="str">
        <f>IF(AND(_6="B-737-800",'2026'!$G$4="FO",'2026'!$G$2=CS119),'2026DATA'!$L$24,"")</f>
        <v/>
      </c>
      <c r="CT141" s="518" t="str">
        <f>IF(AND(_6="B-737-800",'2026'!$G$4="FO",'2026'!$G$2=CT119),'2026DATA'!$M$24,"")</f>
        <v/>
      </c>
      <c r="CU141" s="520" t="str">
        <f>IF(AND(_6="B-737-800",'2026'!$G$4="FO",'2026'!$G$2=CU119),'2026DATA'!$N$24,"")</f>
        <v/>
      </c>
    </row>
    <row r="142" spans="16:99" x14ac:dyDescent="0.25">
      <c r="P142" s="940" t="s">
        <v>46</v>
      </c>
      <c r="Q142" s="13" t="s">
        <v>61</v>
      </c>
      <c r="R142" s="518" t="str">
        <f>IF(AND(_1="A-321N",'2026'!$G$4="CA",'2026'!$G$2=R119),'2026DATA'!$C$25,"")</f>
        <v/>
      </c>
      <c r="S142" s="518" t="str">
        <f>IF(AND(_1="A-321N",'2026'!$G$4="CA",'2026'!$G$2=S119),'2026DATA'!$D$25,"")</f>
        <v/>
      </c>
      <c r="T142" s="518" t="str">
        <f>IF(AND(_1="A-321N",'2026'!$G$4="CA",'2026'!$G$2=T119),'2026DATA'!$E$25,"")</f>
        <v/>
      </c>
      <c r="U142" s="518" t="str">
        <f>IF(AND(_1="A-321N",'2026'!$G$4="CA",'2026'!$G$2=U119),'2026DATA'!$F$25,"")</f>
        <v/>
      </c>
      <c r="V142" s="518" t="str">
        <f>IF(AND(_1="A-321N",'2026'!$G$4="CA",'2026'!$G$2=V119),'2026DATA'!$G$25,"")</f>
        <v/>
      </c>
      <c r="W142" s="518" t="str">
        <f>IF(AND(_1="A-321N",'2026'!$G$4="CA",'2026'!$G$2=W119),'2026DATA'!$H$25,"")</f>
        <v/>
      </c>
      <c r="X142" s="518" t="str">
        <f>IF(AND(_1="A-321N",'2026'!$G$4="CA",'2026'!$G$2=X119),'2026DATA'!$I$25,"")</f>
        <v/>
      </c>
      <c r="Y142" s="518" t="str">
        <f>IF(AND(_1="A-321N",'2026'!$G$4="CA",'2026'!$G$2=Y119),'2026DATA'!$J$25,"")</f>
        <v/>
      </c>
      <c r="Z142" s="518" t="str">
        <f>IF(AND(_1="A-321N",'2026'!$G$4="CA",'2026'!$G$2=Z119),'2026DATA'!$K$25,"")</f>
        <v/>
      </c>
      <c r="AA142" s="518" t="str">
        <f>IF(AND(_1="A-321N",'2026'!$G$4="CA",'2026'!$G$2=AA119),'2026DATA'!$L$25,"")</f>
        <v/>
      </c>
      <c r="AB142" s="518" t="str">
        <f>IF(AND(_1="A-321N",'2026'!$G$4="CA",'2026'!$G$2=AB119),'2026DATA'!$M$25,"")</f>
        <v/>
      </c>
      <c r="AC142" s="520" t="str">
        <f>IF(AND(_1="A-321N",'2026'!$G$4="CA",'2026'!$G$2=AC119),'2026DATA'!$N$25,"")</f>
        <v/>
      </c>
      <c r="AD142" s="940" t="s">
        <v>46</v>
      </c>
      <c r="AE142" s="13" t="s">
        <v>61</v>
      </c>
      <c r="AF142" s="518" t="str">
        <f>IF(AND(_2="A-321N",'2026'!$G$4="CA",'2026'!$G$2=AF119),'2026DATA'!$C$25,"")</f>
        <v/>
      </c>
      <c r="AG142" s="518" t="str">
        <f>IF(AND(_2="A-321N",'2026'!$G$4="CA",'2026'!$G$2=AG119),'2026DATA'!$D$25,"")</f>
        <v/>
      </c>
      <c r="AH142" s="518" t="str">
        <f>IF(AND(_2="A-321N",'2026'!$G$4="CA",'2026'!$G$2=AH119),'2026DATA'!$E$25,"")</f>
        <v/>
      </c>
      <c r="AI142" s="518" t="str">
        <f>IF(AND(_2="A-321N",'2026'!$G$4="CA",'2026'!$G$2=AI119),'2026DATA'!$F$25,"")</f>
        <v/>
      </c>
      <c r="AJ142" s="518" t="str">
        <f>IF(AND(_2="A-321N",'2026'!$G$4="CA",'2026'!$G$2=AJ119),'2026DATA'!$G$25,"")</f>
        <v/>
      </c>
      <c r="AK142" s="518" t="str">
        <f>IF(AND(_2="A-321N",'2026'!$G$4="CA",'2026'!$G$2=AK119),'2026DATA'!$H$25,"")</f>
        <v/>
      </c>
      <c r="AL142" s="518" t="str">
        <f>IF(AND(_2="A-321N",'2026'!$G$4="CA",'2026'!$G$2=AL119),'2026DATA'!$I$25,"")</f>
        <v/>
      </c>
      <c r="AM142" s="518" t="str">
        <f>IF(AND(_2="A-321N",'2026'!$G$4="CA",'2026'!$G$2=AM119),'2026DATA'!$J$25,"")</f>
        <v/>
      </c>
      <c r="AN142" s="518" t="str">
        <f>IF(AND(_2="A-321N",'2026'!$G$4="CA",'2026'!$G$2=AN119),'2026DATA'!$K$25,"")</f>
        <v/>
      </c>
      <c r="AO142" s="518" t="str">
        <f>IF(AND(_2="A-321N",'2026'!$G$4="CA",'2026'!$G$2=AO119),'2026DATA'!$L$25,"")</f>
        <v/>
      </c>
      <c r="AP142" s="518" t="str">
        <f>IF(AND(_2="A-321N",'2026'!$G$4="CA",'2026'!$G$2=AP119),'2026DATA'!$M$25,"")</f>
        <v/>
      </c>
      <c r="AQ142" s="520" t="str">
        <f>IF(AND(_2="A-321N",'2026'!$G$4="CA",'2026'!$G$2=AQ119),'2026DATA'!$N$25,"")</f>
        <v/>
      </c>
      <c r="AR142" s="940" t="s">
        <v>46</v>
      </c>
      <c r="AS142" s="13" t="s">
        <v>61</v>
      </c>
      <c r="AT142" s="518" t="str">
        <f>IF(AND(_3="A-321N",'2026'!$G$4="CA",'2026'!$G$2=AT119),'2026DATA'!$C$25,"")</f>
        <v/>
      </c>
      <c r="AU142" s="518" t="str">
        <f>IF(AND(_3="A-321N",'2026'!$G$4="CA",'2026'!$G$2=AU119),'2026DATA'!$D$25,"")</f>
        <v/>
      </c>
      <c r="AV142" s="518" t="str">
        <f>IF(AND(_3="A-321N",'2026'!$G$4="CA",'2026'!$G$2=AV119),'2026DATA'!$E$25,"")</f>
        <v/>
      </c>
      <c r="AW142" s="518" t="str">
        <f>IF(AND(_3="A-321N",'2026'!$G$4="CA",'2026'!$G$2=AW119),'2026DATA'!$F$25,"")</f>
        <v/>
      </c>
      <c r="AX142" s="518" t="str">
        <f>IF(AND(_3="A-321N",'2026'!$G$4="CA",'2026'!$G$2=AX119),'2026DATA'!$G$25,"")</f>
        <v/>
      </c>
      <c r="AY142" s="518" t="str">
        <f>IF(AND(_3="A-321N",'2026'!$G$4="CA",'2026'!$G$2=AY119),'2026DATA'!$H$25,"")</f>
        <v/>
      </c>
      <c r="AZ142" s="518" t="str">
        <f>IF(AND(_3="A-321N",'2026'!$G$4="CA",'2026'!$G$2=AZ119),'2026DATA'!$I$25,"")</f>
        <v/>
      </c>
      <c r="BA142" s="518" t="str">
        <f>IF(AND(_3="A-321N",'2026'!$G$4="CA",'2026'!$G$2=BA119),'2026DATA'!$J$25,"")</f>
        <v/>
      </c>
      <c r="BB142" s="518" t="str">
        <f>IF(AND(_3="A-321N",'2026'!$G$4="CA",'2026'!$G$2=BB119),'2026DATA'!$K$25,"")</f>
        <v/>
      </c>
      <c r="BC142" s="518" t="str">
        <f>IF(AND(_3="A-321N",'2026'!$G$4="CA",'2026'!$G$2=BC119),'2026DATA'!$L$25,"")</f>
        <v/>
      </c>
      <c r="BD142" s="518" t="str">
        <f>IF(AND(_3="A-321N",'2026'!$G$4="CA",'2026'!$G$2=BD119),'2026DATA'!$M$25,"")</f>
        <v/>
      </c>
      <c r="BE142" s="520" t="str">
        <f>IF(AND(_3="A-321N",'2026'!$G$4="CA",'2026'!$G$2=BE119),'2026DATA'!$N$25,"")</f>
        <v/>
      </c>
      <c r="BF142" s="940" t="s">
        <v>46</v>
      </c>
      <c r="BG142" s="13" t="s">
        <v>61</v>
      </c>
      <c r="BH142" s="518" t="str">
        <f>IF(AND(_4="A-321N",'2026'!$G$4="CA",'2026'!$G$2=BH119),'2026DATA'!$C$25,"")</f>
        <v/>
      </c>
      <c r="BI142" s="518" t="str">
        <f>IF(AND(_4="A-321N",'2026'!$G$4="CA",'2026'!$G$2=BI119),'2026DATA'!$D$25,"")</f>
        <v/>
      </c>
      <c r="BJ142" s="518" t="str">
        <f>IF(AND(_4="A-321N",'2026'!$G$4="CA",'2026'!$G$2=BJ119),'2026DATA'!$E$25,"")</f>
        <v/>
      </c>
      <c r="BK142" s="518" t="str">
        <f>IF(AND(_4="A-321N",'2026'!$G$4="CA",'2026'!$G$2=BK119),'2026DATA'!$F$25,"")</f>
        <v/>
      </c>
      <c r="BL142" s="518" t="str">
        <f>IF(AND(_4="A-321N",'2026'!$G$4="CA",'2026'!$G$2=BL119),'2026DATA'!$G$25,"")</f>
        <v/>
      </c>
      <c r="BM142" s="518" t="str">
        <f>IF(AND(_4="A-321N",'2026'!$G$4="CA",'2026'!$G$2=BM119),'2026DATA'!$H$25,"")</f>
        <v/>
      </c>
      <c r="BN142" s="518" t="str">
        <f>IF(AND(_4="A-321N",'2026'!$G$4="CA",'2026'!$G$2=BN119),'2026DATA'!$I$25,"")</f>
        <v/>
      </c>
      <c r="BO142" s="518" t="str">
        <f>IF(AND(_4="A-321N",'2026'!$G$4="CA",'2026'!$G$2=BO119),'2026DATA'!$J$25,"")</f>
        <v/>
      </c>
      <c r="BP142" s="518" t="str">
        <f>IF(AND(_4="A-321N",'2026'!$G$4="CA",'2026'!$G$2=BP119),'2026DATA'!$K$25,"")</f>
        <v/>
      </c>
      <c r="BQ142" s="518" t="str">
        <f>IF(AND(_4="A-321N",'2026'!$G$4="CA",'2026'!$G$2=BQ119),'2026DATA'!$L$25,"")</f>
        <v/>
      </c>
      <c r="BR142" s="518" t="str">
        <f>IF(AND(_4="A-321N",'2026'!$G$4="CA",'2026'!$G$2=BR119),'2026DATA'!$M$25,"")</f>
        <v/>
      </c>
      <c r="BS142" s="520" t="str">
        <f>IF(AND(_4="A-321N",'2026'!$G$4="CA",'2026'!$G$2=BS119),'2026DATA'!$N$25,"")</f>
        <v/>
      </c>
      <c r="BT142" s="940" t="s">
        <v>46</v>
      </c>
      <c r="BU142" s="13" t="s">
        <v>61</v>
      </c>
      <c r="BV142" s="518" t="str">
        <f>IF(AND(_5="A-321N",'2026'!$G$4="CA",'2026'!$G$2=BV119),'2026DATA'!$C$25,"")</f>
        <v/>
      </c>
      <c r="BW142" s="518" t="str">
        <f>IF(AND(_5="A-321N",'2026'!$G$4="CA",'2026'!$G$2=BW119),'2026DATA'!$D$25,"")</f>
        <v/>
      </c>
      <c r="BX142" s="518" t="str">
        <f>IF(AND(_5="A-321N",'2026'!$G$4="CA",'2026'!$G$2=BX119),'2026DATA'!$E$25,"")</f>
        <v/>
      </c>
      <c r="BY142" s="518" t="str">
        <f>IF(AND(_5="A-321N",'2026'!$G$4="CA",'2026'!$G$2=BY119),'2026DATA'!$F$25,"")</f>
        <v/>
      </c>
      <c r="BZ142" s="518" t="str">
        <f>IF(AND(_5="A-321N",'2026'!$G$4="CA",'2026'!$G$2=BZ119),'2026DATA'!$G$25,"")</f>
        <v/>
      </c>
      <c r="CA142" s="518" t="str">
        <f>IF(AND(_5="A-321N",'2026'!$G$4="CA",'2026'!$G$2=CA119),'2026DATA'!$H$25,"")</f>
        <v/>
      </c>
      <c r="CB142" s="518" t="str">
        <f>IF(AND(_5="A-321N",'2026'!$G$4="CA",'2026'!$G$2=CB119),'2026DATA'!$I$25,"")</f>
        <v/>
      </c>
      <c r="CC142" s="518" t="str">
        <f>IF(AND(_5="A-321N",'2026'!$G$4="CA",'2026'!$G$2=CC119),'2026DATA'!$J$25,"")</f>
        <v/>
      </c>
      <c r="CD142" s="518" t="str">
        <f>IF(AND(_5="A-321N",'2026'!$G$4="CA",'2026'!$G$2=CD119),'2026DATA'!$K$25,"")</f>
        <v/>
      </c>
      <c r="CE142" s="518" t="str">
        <f>IF(AND(_5="A-321N",'2026'!$G$4="CA",'2026'!$G$2=CE119),'2026DATA'!$L$25,"")</f>
        <v/>
      </c>
      <c r="CF142" s="518" t="str">
        <f>IF(AND(_5="A-321N",'2026'!$G$4="CA",'2026'!$G$2=CF119),'2026DATA'!$M$25,"")</f>
        <v/>
      </c>
      <c r="CG142" s="520" t="str">
        <f>IF(AND(_5="A-321N",'2026'!$G$4="CA",'2026'!$G$2=CG119),'2026DATA'!$N$25,"")</f>
        <v/>
      </c>
      <c r="CH142" s="940" t="s">
        <v>46</v>
      </c>
      <c r="CI142" s="13" t="s">
        <v>61</v>
      </c>
      <c r="CJ142" s="518" t="str">
        <f>IF(AND(_6="A-321N",'2026'!$G$4="CA",'2026'!$G$2=CJ119),'2026DATA'!$C$25,"")</f>
        <v/>
      </c>
      <c r="CK142" s="518" t="str">
        <f>IF(AND(_6="A-321N",'2026'!$G$4="CA",'2026'!$G$2=CK119),'2026DATA'!$D$25,"")</f>
        <v/>
      </c>
      <c r="CL142" s="518" t="str">
        <f>IF(AND(_6="A-321N",'2026'!$G$4="CA",'2026'!$G$2=CL119),'2026DATA'!$E$25,"")</f>
        <v/>
      </c>
      <c r="CM142" s="518" t="str">
        <f>IF(AND(_6="A-321N",'2026'!$G$4="CA",'2026'!$G$2=CM119),'2026DATA'!$F$25,"")</f>
        <v/>
      </c>
      <c r="CN142" s="518" t="str">
        <f>IF(AND(_6="A-321N",'2026'!$G$4="CA",'2026'!$G$2=CN119),'2026DATA'!$G$25,"")</f>
        <v/>
      </c>
      <c r="CO142" s="518" t="str">
        <f>IF(AND(_6="A-321N",'2026'!$G$4="CA",'2026'!$G$2=CO119),'2026DATA'!$H$25,"")</f>
        <v/>
      </c>
      <c r="CP142" s="518" t="str">
        <f>IF(AND(_6="A-321N",'2026'!$G$4="CA",'2026'!$G$2=CP119),'2026DATA'!$I$25,"")</f>
        <v/>
      </c>
      <c r="CQ142" s="518" t="str">
        <f>IF(AND(_6="A-321N",'2026'!$G$4="CA",'2026'!$G$2=CQ119),'2026DATA'!$J$25,"")</f>
        <v/>
      </c>
      <c r="CR142" s="518" t="str">
        <f>IF(AND(_6="A-321N",'2026'!$G$4="CA",'2026'!$G$2=CR119),'2026DATA'!$K$25,"")</f>
        <v/>
      </c>
      <c r="CS142" s="518" t="str">
        <f>IF(AND(_6="A-321N",'2026'!$G$4="CA",'2026'!$G$2=CS119),'2026DATA'!$L$25,"")</f>
        <v/>
      </c>
      <c r="CT142" s="518" t="str">
        <f>IF(AND(_6="A-321N",'2026'!$G$4="CA",'2026'!$G$2=CT119),'2026DATA'!$M$25,"")</f>
        <v/>
      </c>
      <c r="CU142" s="520" t="str">
        <f>IF(AND(_6="A-321N",'2026'!$G$4="CA",'2026'!$G$2=CU119),'2026DATA'!$N$25,"")</f>
        <v/>
      </c>
    </row>
    <row r="143" spans="16:99" x14ac:dyDescent="0.25">
      <c r="P143" s="940"/>
      <c r="Q143" s="13" t="s">
        <v>62</v>
      </c>
      <c r="R143" s="518" t="str">
        <f>IF(AND(_1="A-321N",'2026'!$G$4="FO",'2026'!$G$2=R119),'2026DATA'!$C$26,"")</f>
        <v/>
      </c>
      <c r="S143" s="518" t="str">
        <f>IF(AND(_1="A-321N",'2026'!$G$4="FO",'2026'!$G$2=S119),'2026DATA'!$D$26,"")</f>
        <v/>
      </c>
      <c r="T143" s="518" t="str">
        <f>IF(AND(_1="A-321N",'2026'!$G$4="FO",'2026'!$G$2=T119),'2026DATA'!$E$26,"")</f>
        <v/>
      </c>
      <c r="U143" s="518" t="str">
        <f>IF(AND(_1="A-321N",'2026'!$G$4="FO",'2026'!$G$2=U119),'2026DATA'!$F$26,"")</f>
        <v/>
      </c>
      <c r="V143" s="518" t="str">
        <f>IF(AND(_1="A-321N",'2026'!$G$4="FO",'2026'!$G$2=V119),'2026DATA'!$G$26,"")</f>
        <v/>
      </c>
      <c r="W143" s="518" t="str">
        <f>IF(AND(_1="A-321N",'2026'!$G$4="FO",'2026'!$G$2=W119),'2026DATA'!$H$26,"")</f>
        <v/>
      </c>
      <c r="X143" s="518" t="str">
        <f>IF(AND(_1="A-321N",'2026'!$G$4="FO",'2026'!$G$2=X119),'2026DATA'!$I$26,"")</f>
        <v/>
      </c>
      <c r="Y143" s="518" t="str">
        <f>IF(AND(_1="A-321N",'2026'!$G$4="FO",'2026'!$G$2=Y119),'2026DATA'!$J$26,"")</f>
        <v/>
      </c>
      <c r="Z143" s="518" t="str">
        <f>IF(AND(_1="A-321N",'2026'!$G$4="FO",'2026'!$G$2=Z119),'2026DATA'!$K$26,"")</f>
        <v/>
      </c>
      <c r="AA143" s="518" t="str">
        <f>IF(AND(_1="A-321N",'2026'!$G$4="FO",'2026'!$G$2=AA119),'2026DATA'!$L$26,"")</f>
        <v/>
      </c>
      <c r="AB143" s="518" t="str">
        <f>IF(AND(_1="A-321N",'2026'!$G$4="FO",'2026'!$G$2=AB119),'2026DATA'!$M$26,"")</f>
        <v/>
      </c>
      <c r="AC143" s="520" t="str">
        <f>IF(AND(_1="A-321N",'2026'!$G$4="FO",'2026'!$G$2=AC119),'2026DATA'!$N$26,"")</f>
        <v/>
      </c>
      <c r="AD143" s="940"/>
      <c r="AE143" s="13" t="s">
        <v>62</v>
      </c>
      <c r="AF143" s="518" t="str">
        <f>IF(AND(_2="A-321N",'2026'!$G$4="FO",'2026'!$G$2=AF119),'2026DATA'!$C$26,"")</f>
        <v/>
      </c>
      <c r="AG143" s="518" t="str">
        <f>IF(AND(_2="A-321N",'2026'!$G$4="FO",'2026'!$G$2=AG119),'2026DATA'!$D$26,"")</f>
        <v/>
      </c>
      <c r="AH143" s="518" t="str">
        <f>IF(AND(_2="A-321N",'2026'!$G$4="FO",'2026'!$G$2=AH119),'2026DATA'!$E$26,"")</f>
        <v/>
      </c>
      <c r="AI143" s="518" t="str">
        <f>IF(AND(_2="A-321N",'2026'!$G$4="FO",'2026'!$G$2=AI119),'2026DATA'!$F$26,"")</f>
        <v/>
      </c>
      <c r="AJ143" s="518" t="str">
        <f>IF(AND(_2="A-321N",'2026'!$G$4="FO",'2026'!$G$2=AJ119),'2026DATA'!$G$26,"")</f>
        <v/>
      </c>
      <c r="AK143" s="518" t="str">
        <f>IF(AND(_2="A-321N",'2026'!$G$4="FO",'2026'!$G$2=AK119),'2026DATA'!$H$26,"")</f>
        <v/>
      </c>
      <c r="AL143" s="518" t="str">
        <f>IF(AND(_2="A-321N",'2026'!$G$4="FO",'2026'!$G$2=AL119),'2026DATA'!$I$26,"")</f>
        <v/>
      </c>
      <c r="AM143" s="518" t="str">
        <f>IF(AND(_2="A-321N",'2026'!$G$4="FO",'2026'!$G$2=AM119),'2026DATA'!$J$26,"")</f>
        <v/>
      </c>
      <c r="AN143" s="518" t="str">
        <f>IF(AND(_2="A-321N",'2026'!$G$4="FO",'2026'!$G$2=AN119),'2026DATA'!$K$26,"")</f>
        <v/>
      </c>
      <c r="AO143" s="518" t="str">
        <f>IF(AND(_2="A-321N",'2026'!$G$4="FO",'2026'!$G$2=AO119),'2026DATA'!$L$26,"")</f>
        <v/>
      </c>
      <c r="AP143" s="518" t="str">
        <f>IF(AND(_2="A-321N",'2026'!$G$4="FO",'2026'!$G$2=AP119),'2026DATA'!$M$26,"")</f>
        <v/>
      </c>
      <c r="AQ143" s="520" t="str">
        <f>IF(AND(_2="A-321N",'2026'!$G$4="FO",'2026'!$G$2=AQ119),'2026DATA'!$N$26,"")</f>
        <v/>
      </c>
      <c r="AR143" s="940"/>
      <c r="AS143" s="13" t="s">
        <v>62</v>
      </c>
      <c r="AT143" s="518" t="str">
        <f>IF(AND(_3="A-321N",'2026'!$G$4="FO",'2026'!$G$2=AT119),'2026DATA'!$C$26,"")</f>
        <v/>
      </c>
      <c r="AU143" s="518" t="str">
        <f>IF(AND(_3="A-321N",'2026'!$G$4="FO",'2026'!$G$2=AU119),'2026DATA'!$D$26,"")</f>
        <v/>
      </c>
      <c r="AV143" s="518" t="str">
        <f>IF(AND(_3="A-321N",'2026'!$G$4="FO",'2026'!$G$2=AV119),'2026DATA'!$E$26,"")</f>
        <v/>
      </c>
      <c r="AW143" s="518" t="str">
        <f>IF(AND(_3="A-321N",'2026'!$G$4="FO",'2026'!$G$2=AW119),'2026DATA'!$F$26,"")</f>
        <v/>
      </c>
      <c r="AX143" s="518" t="str">
        <f>IF(AND(_3="A-321N",'2026'!$G$4="FO",'2026'!$G$2=AX119),'2026DATA'!$G$26,"")</f>
        <v/>
      </c>
      <c r="AY143" s="518" t="str">
        <f>IF(AND(_3="A-321N",'2026'!$G$4="FO",'2026'!$G$2=AY119),'2026DATA'!$H$26,"")</f>
        <v/>
      </c>
      <c r="AZ143" s="518" t="str">
        <f>IF(AND(_3="A-321N",'2026'!$G$4="FO",'2026'!$G$2=AZ119),'2026DATA'!$I$26,"")</f>
        <v/>
      </c>
      <c r="BA143" s="518" t="str">
        <f>IF(AND(_3="A-321N",'2026'!$G$4="FO",'2026'!$G$2=BA119),'2026DATA'!$J$26,"")</f>
        <v/>
      </c>
      <c r="BB143" s="518" t="str">
        <f>IF(AND(_3="A-321N",'2026'!$G$4="FO",'2026'!$G$2=BB119),'2026DATA'!$K$26,"")</f>
        <v/>
      </c>
      <c r="BC143" s="518" t="str">
        <f>IF(AND(_3="A-321N",'2026'!$G$4="FO",'2026'!$G$2=BC119),'2026DATA'!$L$26,"")</f>
        <v/>
      </c>
      <c r="BD143" s="518" t="str">
        <f>IF(AND(_3="A-321N",'2026'!$G$4="FO",'2026'!$G$2=BD119),'2026DATA'!$M$26,"")</f>
        <v/>
      </c>
      <c r="BE143" s="520" t="str">
        <f>IF(AND(_3="A-321N",'2026'!$G$4="FO",'2026'!$G$2=BE119),'2026DATA'!$N$26,"")</f>
        <v/>
      </c>
      <c r="BF143" s="940"/>
      <c r="BG143" s="13" t="s">
        <v>62</v>
      </c>
      <c r="BH143" s="518" t="str">
        <f>IF(AND(_4="A-321N",'2026'!$G$4="FO",'2026'!$G$2=BH119),'2026DATA'!$C$26,"")</f>
        <v/>
      </c>
      <c r="BI143" s="518" t="str">
        <f>IF(AND(_4="A-321N",'2026'!$G$4="FO",'2026'!$G$2=BI119),'2026DATA'!$D$26,"")</f>
        <v/>
      </c>
      <c r="BJ143" s="518" t="str">
        <f>IF(AND(_4="A-321N",'2026'!$G$4="FO",'2026'!$G$2=BJ119),'2026DATA'!$E$26,"")</f>
        <v/>
      </c>
      <c r="BK143" s="518" t="str">
        <f>IF(AND(_4="A-321N",'2026'!$G$4="FO",'2026'!$G$2=BK119),'2026DATA'!$F$26,"")</f>
        <v/>
      </c>
      <c r="BL143" s="518" t="str">
        <f>IF(AND(_4="A-321N",'2026'!$G$4="FO",'2026'!$G$2=BL119),'2026DATA'!$G$26,"")</f>
        <v/>
      </c>
      <c r="BM143" s="518" t="str">
        <f>IF(AND(_4="A-321N",'2026'!$G$4="FO",'2026'!$G$2=BM119),'2026DATA'!$H$26,"")</f>
        <v/>
      </c>
      <c r="BN143" s="518" t="str">
        <f>IF(AND(_4="A-321N",'2026'!$G$4="FO",'2026'!$G$2=BN119),'2026DATA'!$I$26,"")</f>
        <v/>
      </c>
      <c r="BO143" s="518" t="str">
        <f>IF(AND(_4="A-321N",'2026'!$G$4="FO",'2026'!$G$2=BO119),'2026DATA'!$J$26,"")</f>
        <v/>
      </c>
      <c r="BP143" s="518" t="str">
        <f>IF(AND(_4="A-321N",'2026'!$G$4="FO",'2026'!$G$2=BP119),'2026DATA'!$K$26,"")</f>
        <v/>
      </c>
      <c r="BQ143" s="518" t="str">
        <f>IF(AND(_4="A-321N",'2026'!$G$4="FO",'2026'!$G$2=BQ119),'2026DATA'!$L$26,"")</f>
        <v/>
      </c>
      <c r="BR143" s="518" t="str">
        <f>IF(AND(_4="A-321N",'2026'!$G$4="FO",'2026'!$G$2=BR119),'2026DATA'!$M$26,"")</f>
        <v/>
      </c>
      <c r="BS143" s="520" t="str">
        <f>IF(AND(_4="A-321N",'2026'!$G$4="FO",'2026'!$G$2=BS119),'2026DATA'!$N$26,"")</f>
        <v/>
      </c>
      <c r="BT143" s="940"/>
      <c r="BU143" s="13" t="s">
        <v>62</v>
      </c>
      <c r="BV143" s="518" t="str">
        <f>IF(AND(_5="A-321N",'2026'!$G$4="FO",'2026'!$G$2=BV119),'2026DATA'!$C$26,"")</f>
        <v/>
      </c>
      <c r="BW143" s="518" t="str">
        <f>IF(AND(_5="A-321N",'2026'!$G$4="FO",'2026'!$G$2=BW119),'2026DATA'!$D$26,"")</f>
        <v/>
      </c>
      <c r="BX143" s="518" t="str">
        <f>IF(AND(_5="A-321N",'2026'!$G$4="FO",'2026'!$G$2=BX119),'2026DATA'!$E$26,"")</f>
        <v/>
      </c>
      <c r="BY143" s="518" t="str">
        <f>IF(AND(_5="A-321N",'2026'!$G$4="FO",'2026'!$G$2=BY119),'2026DATA'!$F$26,"")</f>
        <v/>
      </c>
      <c r="BZ143" s="518" t="str">
        <f>IF(AND(_5="A-321N",'2026'!$G$4="FO",'2026'!$G$2=BZ119),'2026DATA'!$G$26,"")</f>
        <v/>
      </c>
      <c r="CA143" s="518" t="str">
        <f>IF(AND(_5="A-321N",'2026'!$G$4="FO",'2026'!$G$2=CA119),'2026DATA'!$H$26,"")</f>
        <v/>
      </c>
      <c r="CB143" s="518" t="str">
        <f>IF(AND(_5="A-321N",'2026'!$G$4="FO",'2026'!$G$2=CB119),'2026DATA'!$I$26,"")</f>
        <v/>
      </c>
      <c r="CC143" s="518" t="str">
        <f>IF(AND(_5="A-321N",'2026'!$G$4="FO",'2026'!$G$2=CC119),'2026DATA'!$J$26,"")</f>
        <v/>
      </c>
      <c r="CD143" s="518" t="str">
        <f>IF(AND(_5="A-321N",'2026'!$G$4="FO",'2026'!$G$2=CD119),'2026DATA'!$K$26,"")</f>
        <v/>
      </c>
      <c r="CE143" s="518" t="str">
        <f>IF(AND(_5="A-321N",'2026'!$G$4="FO",'2026'!$G$2=CE119),'2026DATA'!$L$26,"")</f>
        <v/>
      </c>
      <c r="CF143" s="518" t="str">
        <f>IF(AND(_5="A-321N",'2026'!$G$4="FO",'2026'!$G$2=CF119),'2026DATA'!$M$26,"")</f>
        <v/>
      </c>
      <c r="CG143" s="520" t="str">
        <f>IF(AND(_5="A-321N",'2026'!$G$4="FO",'2026'!$G$2=CG119),'2026DATA'!$N$26,"")</f>
        <v/>
      </c>
      <c r="CH143" s="940"/>
      <c r="CI143" s="13" t="s">
        <v>62</v>
      </c>
      <c r="CJ143" s="518" t="str">
        <f>IF(AND(_6="A-321N",'2026'!$G$4="FO",'2026'!$G$2=CJ119),'2026DATA'!$C$26,"")</f>
        <v/>
      </c>
      <c r="CK143" s="518" t="str">
        <f>IF(AND(_6="A-321N",'2026'!$G$4="FO",'2026'!$G$2=CK119),'2026DATA'!$D$26,"")</f>
        <v/>
      </c>
      <c r="CL143" s="518" t="str">
        <f>IF(AND(_6="A-321N",'2026'!$G$4="FO",'2026'!$G$2=CL119),'2026DATA'!$E$26,"")</f>
        <v/>
      </c>
      <c r="CM143" s="518" t="str">
        <f>IF(AND(_6="A-321N",'2026'!$G$4="FO",'2026'!$G$2=CM119),'2026DATA'!$F$26,"")</f>
        <v/>
      </c>
      <c r="CN143" s="518" t="str">
        <f>IF(AND(_6="A-321N",'2026'!$G$4="FO",'2026'!$G$2=CN119),'2026DATA'!$G$26,"")</f>
        <v/>
      </c>
      <c r="CO143" s="518" t="str">
        <f>IF(AND(_6="A-321N",'2026'!$G$4="FO",'2026'!$G$2=CO119),'2026DATA'!$H$26,"")</f>
        <v/>
      </c>
      <c r="CP143" s="518" t="str">
        <f>IF(AND(_6="A-321N",'2026'!$G$4="FO",'2026'!$G$2=CP119),'2026DATA'!$I$26,"")</f>
        <v/>
      </c>
      <c r="CQ143" s="518" t="str">
        <f>IF(AND(_6="A-321N",'2026'!$G$4="FO",'2026'!$G$2=CQ119),'2026DATA'!$J$26,"")</f>
        <v/>
      </c>
      <c r="CR143" s="518" t="str">
        <f>IF(AND(_6="A-321N",'2026'!$G$4="FO",'2026'!$G$2=CR119),'2026DATA'!$K$26,"")</f>
        <v/>
      </c>
      <c r="CS143" s="518" t="str">
        <f>IF(AND(_6="A-321N",'2026'!$G$4="FO",'2026'!$G$2=CS119),'2026DATA'!$L$26,"")</f>
        <v/>
      </c>
      <c r="CT143" s="518" t="str">
        <f>IF(AND(_6="A-321N",'2026'!$G$4="FO",'2026'!$G$2=CT119),'2026DATA'!$M$26,"")</f>
        <v/>
      </c>
      <c r="CU143" s="520" t="str">
        <f>IF(AND(_6="A-321N",'2026'!$G$4="FO",'2026'!$G$2=CU119),'2026DATA'!$N$26,"")</f>
        <v/>
      </c>
    </row>
    <row r="144" spans="16:99" x14ac:dyDescent="0.25">
      <c r="P144" s="940" t="s">
        <v>48</v>
      </c>
      <c r="Q144" s="13" t="s">
        <v>61</v>
      </c>
      <c r="R144" s="518" t="str">
        <f>IF(AND(_1="A-321",'2026'!$G$4="CA",'2026'!$G$2=R119),'2026DATA'!$C$27,"")</f>
        <v/>
      </c>
      <c r="S144" s="518" t="str">
        <f>IF(AND(_1="A-321",'2026'!$G$4="CA",'2026'!$G$2=S119),'2026DATA'!$D$27,"")</f>
        <v/>
      </c>
      <c r="T144" s="518" t="str">
        <f>IF(AND(_1="A-321",'2026'!$G$4="CA",'2026'!$G$2=T119),'2026DATA'!$E$27,"")</f>
        <v/>
      </c>
      <c r="U144" s="518" t="str">
        <f>IF(AND(_1="A-321",'2026'!$G$4="CA",'2026'!$G$2=U119),'2026DATA'!$F$27,"")</f>
        <v/>
      </c>
      <c r="V144" s="518" t="str">
        <f>IF(AND(_1="A-321",'2026'!$G$4="CA",'2026'!$G$2=V119),'2026DATA'!$G$27,"")</f>
        <v/>
      </c>
      <c r="W144" s="518" t="str">
        <f>IF(AND(_1="A-321",'2026'!$G$4="CA",'2026'!$G$2=W119),'2026DATA'!$H$27,"")</f>
        <v/>
      </c>
      <c r="X144" s="518" t="str">
        <f>IF(AND(_1="A-321",'2026'!$G$4="CA",'2026'!$G$2=X119),'2026DATA'!$I$27,"")</f>
        <v/>
      </c>
      <c r="Y144" s="518" t="str">
        <f>IF(AND(_1="A-321",'2026'!$G$4="CA",'2026'!$G$2=Y119),'2026DATA'!$J$27,"")</f>
        <v/>
      </c>
      <c r="Z144" s="518" t="str">
        <f>IF(AND(_1="A-321",'2026'!$G$4="CA",'2026'!$G$2=Z119),'2026DATA'!$K$27,"")</f>
        <v/>
      </c>
      <c r="AA144" s="518" t="str">
        <f>IF(AND(_1="A-321",'2026'!$G$4="CA",'2026'!$G$2=AA119),'2026DATA'!$L$27,"")</f>
        <v/>
      </c>
      <c r="AB144" s="518" t="str">
        <f>IF(AND(_1="A-321",'2026'!$G$4="CA",'2026'!$G$2=AB119),'2026DATA'!$M$27,"")</f>
        <v/>
      </c>
      <c r="AC144" s="520" t="str">
        <f>IF(AND(_1="A-321",'2026'!$G$4="CA",'2026'!$G$2=AC119),'2026DATA'!$N$27,"")</f>
        <v/>
      </c>
      <c r="AD144" s="940" t="s">
        <v>48</v>
      </c>
      <c r="AE144" s="13" t="s">
        <v>61</v>
      </c>
      <c r="AF144" s="518" t="str">
        <f>IF(AND(_2="A-321",'2026'!$G$4="CA",'2026'!$G$2=AF119),'2026DATA'!$C$27,"")</f>
        <v/>
      </c>
      <c r="AG144" s="518" t="str">
        <f>IF(AND(_2="A-321",'2026'!$G$4="CA",'2026'!$G$2=AG119),'2026DATA'!$D$27,"")</f>
        <v/>
      </c>
      <c r="AH144" s="518" t="str">
        <f>IF(AND(_2="A-321",'2026'!$G$4="CA",'2026'!$G$2=AH119),'2026DATA'!$E$27,"")</f>
        <v/>
      </c>
      <c r="AI144" s="518" t="str">
        <f>IF(AND(_2="A-321",'2026'!$G$4="CA",'2026'!$G$2=AI119),'2026DATA'!$F$27,"")</f>
        <v/>
      </c>
      <c r="AJ144" s="518" t="str">
        <f>IF(AND(_2="A-321",'2026'!$G$4="CA",'2026'!$G$2=AJ119),'2026DATA'!$G$27,"")</f>
        <v/>
      </c>
      <c r="AK144" s="518" t="str">
        <f>IF(AND(_2="A-321",'2026'!$G$4="CA",'2026'!$G$2=AK119),'2026DATA'!$H$27,"")</f>
        <v/>
      </c>
      <c r="AL144" s="518" t="str">
        <f>IF(AND(_2="A-321",'2026'!$G$4="CA",'2026'!$G$2=AL119),'2026DATA'!$I$27,"")</f>
        <v/>
      </c>
      <c r="AM144" s="518" t="str">
        <f>IF(AND(_2="A-321",'2026'!$G$4="CA",'2026'!$G$2=AM119),'2026DATA'!$J$27,"")</f>
        <v/>
      </c>
      <c r="AN144" s="518" t="str">
        <f>IF(AND(_2="A-321",'2026'!$G$4="CA",'2026'!$G$2=AN119),'2026DATA'!$K$27,"")</f>
        <v/>
      </c>
      <c r="AO144" s="518" t="str">
        <f>IF(AND(_2="A-321",'2026'!$G$4="CA",'2026'!$G$2=AO119),'2026DATA'!$L$27,"")</f>
        <v/>
      </c>
      <c r="AP144" s="518" t="str">
        <f>IF(AND(_2="A-321",'2026'!$G$4="CA",'2026'!$G$2=AP119),'2026DATA'!$M$27,"")</f>
        <v/>
      </c>
      <c r="AQ144" s="520" t="str">
        <f>IF(AND(_2="A-321",'2026'!$G$4="CA",'2026'!$G$2=AQ119),'2026DATA'!$N$27,"")</f>
        <v/>
      </c>
      <c r="AR144" s="940" t="s">
        <v>48</v>
      </c>
      <c r="AS144" s="13" t="s">
        <v>61</v>
      </c>
      <c r="AT144" s="518" t="str">
        <f>IF(AND(_3="A-321",'2026'!$G$4="CA",'2026'!$G$2=AT119),'2026DATA'!$C$27,"")</f>
        <v/>
      </c>
      <c r="AU144" s="518" t="str">
        <f>IF(AND(_3="A-321",'2026'!$G$4="CA",'2026'!$G$2=AU119),'2026DATA'!$D$27,"")</f>
        <v/>
      </c>
      <c r="AV144" s="518" t="str">
        <f>IF(AND(_3="A-321",'2026'!$G$4="CA",'2026'!$G$2=AV119),'2026DATA'!$E$27,"")</f>
        <v/>
      </c>
      <c r="AW144" s="518" t="str">
        <f>IF(AND(_3="A-321",'2026'!$G$4="CA",'2026'!$G$2=AW119),'2026DATA'!$F$27,"")</f>
        <v/>
      </c>
      <c r="AX144" s="518" t="str">
        <f>IF(AND(_3="A-321",'2026'!$G$4="CA",'2026'!$G$2=AX119),'2026DATA'!$G$27,"")</f>
        <v/>
      </c>
      <c r="AY144" s="518" t="str">
        <f>IF(AND(_3="A-321",'2026'!$G$4="CA",'2026'!$G$2=AY119),'2026DATA'!$H$27,"")</f>
        <v/>
      </c>
      <c r="AZ144" s="518" t="str">
        <f>IF(AND(_3="A-321",'2026'!$G$4="CA",'2026'!$G$2=AZ119),'2026DATA'!$I$27,"")</f>
        <v/>
      </c>
      <c r="BA144" s="518" t="str">
        <f>IF(AND(_3="A-321",'2026'!$G$4="CA",'2026'!$G$2=BA119),'2026DATA'!$J$27,"")</f>
        <v/>
      </c>
      <c r="BB144" s="518" t="str">
        <f>IF(AND(_3="A-321",'2026'!$G$4="CA",'2026'!$G$2=BB119),'2026DATA'!$K$27,"")</f>
        <v/>
      </c>
      <c r="BC144" s="518" t="str">
        <f>IF(AND(_3="A-321",'2026'!$G$4="CA",'2026'!$G$2=BC119),'2026DATA'!$L$27,"")</f>
        <v/>
      </c>
      <c r="BD144" s="518" t="str">
        <f>IF(AND(_3="A-321",'2026'!$G$4="CA",'2026'!$G$2=BD119),'2026DATA'!$M$27,"")</f>
        <v/>
      </c>
      <c r="BE144" s="520" t="str">
        <f>IF(AND(_3="A-321",'2026'!$G$4="CA",'2026'!$G$2=BE119),'2026DATA'!$N$27,"")</f>
        <v/>
      </c>
      <c r="BF144" s="940" t="s">
        <v>48</v>
      </c>
      <c r="BG144" s="13" t="s">
        <v>61</v>
      </c>
      <c r="BH144" s="518" t="str">
        <f>IF(AND(_4="A-321",'2026'!$G$4="CA",'2026'!$G$2=BH119),'2026DATA'!$C$27,"")</f>
        <v/>
      </c>
      <c r="BI144" s="518" t="str">
        <f>IF(AND(_4="A-321",'2026'!$G$4="CA",'2026'!$G$2=BI119),'2026DATA'!$D$27,"")</f>
        <v/>
      </c>
      <c r="BJ144" s="518" t="str">
        <f>IF(AND(_4="A-321",'2026'!$G$4="CA",'2026'!$G$2=BJ119),'2026DATA'!$E$27,"")</f>
        <v/>
      </c>
      <c r="BK144" s="518" t="str">
        <f>IF(AND(_4="A-321",'2026'!$G$4="CA",'2026'!$G$2=BK119),'2026DATA'!$F$27,"")</f>
        <v/>
      </c>
      <c r="BL144" s="518" t="str">
        <f>IF(AND(_4="A-321",'2026'!$G$4="CA",'2026'!$G$2=BL119),'2026DATA'!$G$27,"")</f>
        <v/>
      </c>
      <c r="BM144" s="518" t="str">
        <f>IF(AND(_4="A-321",'2026'!$G$4="CA",'2026'!$G$2=BM119),'2026DATA'!$H$27,"")</f>
        <v/>
      </c>
      <c r="BN144" s="518" t="str">
        <f>IF(AND(_4="A-321",'2026'!$G$4="CA",'2026'!$G$2=BN119),'2026DATA'!$I$27,"")</f>
        <v/>
      </c>
      <c r="BO144" s="518" t="str">
        <f>IF(AND(_4="A-321",'2026'!$G$4="CA",'2026'!$G$2=BO119),'2026DATA'!$J$27,"")</f>
        <v/>
      </c>
      <c r="BP144" s="518" t="str">
        <f>IF(AND(_4="A-321",'2026'!$G$4="CA",'2026'!$G$2=BP119),'2026DATA'!$K$27,"")</f>
        <v/>
      </c>
      <c r="BQ144" s="518" t="str">
        <f>IF(AND(_4="A-321",'2026'!$G$4="CA",'2026'!$G$2=BQ119),'2026DATA'!$L$27,"")</f>
        <v/>
      </c>
      <c r="BR144" s="518" t="str">
        <f>IF(AND(_4="A-321",'2026'!$G$4="CA",'2026'!$G$2=BR119),'2026DATA'!$M$27,"")</f>
        <v/>
      </c>
      <c r="BS144" s="520" t="str">
        <f>IF(AND(_4="A-321",'2026'!$G$4="CA",'2026'!$G$2=BS119),'2026DATA'!$N$27,"")</f>
        <v/>
      </c>
      <c r="BT144" s="940" t="s">
        <v>48</v>
      </c>
      <c r="BU144" s="13" t="s">
        <v>61</v>
      </c>
      <c r="BV144" s="518" t="str">
        <f>IF(AND(_5="A-321",'2026'!$G$4="CA",'2026'!$G$2=BV119),'2026DATA'!$C$27,"")</f>
        <v/>
      </c>
      <c r="BW144" s="518" t="str">
        <f>IF(AND(_5="A-321",'2026'!$G$4="CA",'2026'!$G$2=BW119),'2026DATA'!$D$27,"")</f>
        <v/>
      </c>
      <c r="BX144" s="518" t="str">
        <f>IF(AND(_5="A-321",'2026'!$G$4="CA",'2026'!$G$2=BX119),'2026DATA'!$E$27,"")</f>
        <v/>
      </c>
      <c r="BY144" s="518" t="str">
        <f>IF(AND(_5="A-321",'2026'!$G$4="CA",'2026'!$G$2=BY119),'2026DATA'!$F$27,"")</f>
        <v/>
      </c>
      <c r="BZ144" s="518" t="str">
        <f>IF(AND(_5="A-321",'2026'!$G$4="CA",'2026'!$G$2=BZ119),'2026DATA'!$G$27,"")</f>
        <v/>
      </c>
      <c r="CA144" s="518" t="str">
        <f>IF(AND(_5="A-321",'2026'!$G$4="CA",'2026'!$G$2=CA119),'2026DATA'!$H$27,"")</f>
        <v/>
      </c>
      <c r="CB144" s="518" t="str">
        <f>IF(AND(_5="A-321",'2026'!$G$4="CA",'2026'!$G$2=CB119),'2026DATA'!$I$27,"")</f>
        <v/>
      </c>
      <c r="CC144" s="518" t="str">
        <f>IF(AND(_5="A-321",'2026'!$G$4="CA",'2026'!$G$2=CC119),'2026DATA'!$J$27,"")</f>
        <v/>
      </c>
      <c r="CD144" s="518" t="str">
        <f>IF(AND(_5="A-321",'2026'!$G$4="CA",'2026'!$G$2=CD119),'2026DATA'!$K$27,"")</f>
        <v/>
      </c>
      <c r="CE144" s="518" t="str">
        <f>IF(AND(_5="A-321",'2026'!$G$4="CA",'2026'!$G$2=CE119),'2026DATA'!$L$27,"")</f>
        <v/>
      </c>
      <c r="CF144" s="518" t="str">
        <f>IF(AND(_5="A-321",'2026'!$G$4="CA",'2026'!$G$2=CF119),'2026DATA'!$M$27,"")</f>
        <v/>
      </c>
      <c r="CG144" s="520" t="str">
        <f>IF(AND(_5="A-321",'2026'!$G$4="CA",'2026'!$G$2=CG119),'2026DATA'!$N$27,"")</f>
        <v/>
      </c>
      <c r="CH144" s="940" t="s">
        <v>48</v>
      </c>
      <c r="CI144" s="13" t="s">
        <v>61</v>
      </c>
      <c r="CJ144" s="518" t="str">
        <f>IF(AND(_6="A-321",'2026'!$G$4="CA",'2026'!$G$2=CJ119),'2026DATA'!$C$27,"")</f>
        <v/>
      </c>
      <c r="CK144" s="518" t="str">
        <f>IF(AND(_6="A-321",'2026'!$G$4="CA",'2026'!$G$2=CK119),'2026DATA'!$D$27,"")</f>
        <v/>
      </c>
      <c r="CL144" s="518" t="str">
        <f>IF(AND(_6="A-321",'2026'!$G$4="CA",'2026'!$G$2=CL119),'2026DATA'!$E$27,"")</f>
        <v/>
      </c>
      <c r="CM144" s="518" t="str">
        <f>IF(AND(_6="A-321",'2026'!$G$4="CA",'2026'!$G$2=CM119),'2026DATA'!$F$27,"")</f>
        <v/>
      </c>
      <c r="CN144" s="518" t="str">
        <f>IF(AND(_6="A-321",'2026'!$G$4="CA",'2026'!$G$2=CN119),'2026DATA'!$G$27,"")</f>
        <v/>
      </c>
      <c r="CO144" s="518" t="str">
        <f>IF(AND(_6="A-321",'2026'!$G$4="CA",'2026'!$G$2=CO119),'2026DATA'!$H$27,"")</f>
        <v/>
      </c>
      <c r="CP144" s="518" t="str">
        <f>IF(AND(_6="A-321",'2026'!$G$4="CA",'2026'!$G$2=CP119),'2026DATA'!$I$27,"")</f>
        <v/>
      </c>
      <c r="CQ144" s="518" t="str">
        <f>IF(AND(_6="A-321",'2026'!$G$4="CA",'2026'!$G$2=CQ119),'2026DATA'!$J$27,"")</f>
        <v/>
      </c>
      <c r="CR144" s="518" t="str">
        <f>IF(AND(_6="A-321",'2026'!$G$4="CA",'2026'!$G$2=CR119),'2026DATA'!$K$27,"")</f>
        <v/>
      </c>
      <c r="CS144" s="518" t="str">
        <f>IF(AND(_6="A-321",'2026'!$G$4="CA",'2026'!$G$2=CS119),'2026DATA'!$L$27,"")</f>
        <v/>
      </c>
      <c r="CT144" s="518" t="str">
        <f>IF(AND(_6="A-321",'2026'!$G$4="CA",'2026'!$G$2=CT119),'2026DATA'!$M$27,"")</f>
        <v/>
      </c>
      <c r="CU144" s="520" t="str">
        <f>IF(AND(_6="A-321",'2026'!$G$4="CA",'2026'!$G$2=CU119),'2026DATA'!$N$27,"")</f>
        <v/>
      </c>
    </row>
    <row r="145" spans="16:99" x14ac:dyDescent="0.25">
      <c r="P145" s="940"/>
      <c r="Q145" s="13" t="s">
        <v>62</v>
      </c>
      <c r="R145" s="518" t="str">
        <f>IF(AND(_1="A-321",'2026'!$G$4="FO",'2026'!$G$2=R119),'2026DATA'!$C$28,"")</f>
        <v/>
      </c>
      <c r="S145" s="518" t="str">
        <f>IF(AND(_1="A-321",'2026'!$G$4="FO",'2026'!$G$2=S119),'2026DATA'!$D$28,"")</f>
        <v/>
      </c>
      <c r="T145" s="518" t="str">
        <f>IF(AND(_1="A-321",'2026'!$G$4="FO",'2026'!$G$2=T119),'2026DATA'!$E$28,"")</f>
        <v/>
      </c>
      <c r="U145" s="518" t="str">
        <f>IF(AND(_1="A-321",'2026'!$G$4="FO",'2026'!$G$2=U119),'2026DATA'!$F$28,"")</f>
        <v/>
      </c>
      <c r="V145" s="518" t="str">
        <f>IF(AND(_1="A-321",'2026'!$G$4="FO",'2026'!$G$2=V119),'2026DATA'!$G$28,"")</f>
        <v/>
      </c>
      <c r="W145" s="518" t="str">
        <f>IF(AND(_1="A-321",'2026'!$G$4="FO",'2026'!$G$2=W119),'2026DATA'!$H$28,"")</f>
        <v/>
      </c>
      <c r="X145" s="518" t="str">
        <f>IF(AND(_1="A-321",'2026'!$G$4="FO",'2026'!$G$2=X119),'2026DATA'!$I$28,"")</f>
        <v/>
      </c>
      <c r="Y145" s="518" t="str">
        <f>IF(AND(_1="A-321",'2026'!$G$4="FO",'2026'!$G$2=Y119),'2026DATA'!$J$28,"")</f>
        <v/>
      </c>
      <c r="Z145" s="518" t="str">
        <f>IF(AND(_1="A-321",'2026'!$G$4="FO",'2026'!$G$2=Z119),'2026DATA'!$K$28,"")</f>
        <v/>
      </c>
      <c r="AA145" s="518" t="str">
        <f>IF(AND(_1="A-321",'2026'!$G$4="FO",'2026'!$G$2=AA119),'2026DATA'!$L$28,"")</f>
        <v/>
      </c>
      <c r="AB145" s="518" t="str">
        <f>IF(AND(_1="A-321",'2026'!$G$4="FO",'2026'!$G$2=AB119),'2026DATA'!$M$28,"")</f>
        <v/>
      </c>
      <c r="AC145" s="520" t="str">
        <f>IF(AND(_1="A-321",'2026'!$G$4="FO",'2026'!$G$2=AC119),'2026DATA'!$N$28,"")</f>
        <v/>
      </c>
      <c r="AD145" s="940"/>
      <c r="AE145" s="13" t="s">
        <v>62</v>
      </c>
      <c r="AF145" s="518" t="str">
        <f>IF(AND(_2="A-321",'2026'!$G$4="FO",'2026'!$G$2=AF119),'2026DATA'!$C$28,"")</f>
        <v/>
      </c>
      <c r="AG145" s="518" t="str">
        <f>IF(AND(_2="A-321",'2026'!$G$4="FO",'2026'!$G$2=AG119),'2026DATA'!$D$28,"")</f>
        <v/>
      </c>
      <c r="AH145" s="518" t="str">
        <f>IF(AND(_2="A-321",'2026'!$G$4="FO",'2026'!$G$2=AH119),'2026DATA'!$E$28,"")</f>
        <v/>
      </c>
      <c r="AI145" s="518" t="str">
        <f>IF(AND(_2="A-321",'2026'!$G$4="FO",'2026'!$G$2=AI119),'2026DATA'!$F$28,"")</f>
        <v/>
      </c>
      <c r="AJ145" s="518" t="str">
        <f>IF(AND(_2="A-321",'2026'!$G$4="FO",'2026'!$G$2=AJ119),'2026DATA'!$G$28,"")</f>
        <v/>
      </c>
      <c r="AK145" s="518" t="str">
        <f>IF(AND(_2="A-321",'2026'!$G$4="FO",'2026'!$G$2=AK119),'2026DATA'!$H$28,"")</f>
        <v/>
      </c>
      <c r="AL145" s="518" t="str">
        <f>IF(AND(_2="A-321",'2026'!$G$4="FO",'2026'!$G$2=AL119),'2026DATA'!$I$28,"")</f>
        <v/>
      </c>
      <c r="AM145" s="518" t="str">
        <f>IF(AND(_2="A-321",'2026'!$G$4="FO",'2026'!$G$2=AM119),'2026DATA'!$J$28,"")</f>
        <v/>
      </c>
      <c r="AN145" s="518" t="str">
        <f>IF(AND(_2="A-321",'2026'!$G$4="FO",'2026'!$G$2=AN119),'2026DATA'!$K$28,"")</f>
        <v/>
      </c>
      <c r="AO145" s="518" t="str">
        <f>IF(AND(_2="A-321",'2026'!$G$4="FO",'2026'!$G$2=AO119),'2026DATA'!$L$28,"")</f>
        <v/>
      </c>
      <c r="AP145" s="518" t="str">
        <f>IF(AND(_2="A-321",'2026'!$G$4="FO",'2026'!$G$2=AP119),'2026DATA'!$M$28,"")</f>
        <v/>
      </c>
      <c r="AQ145" s="520" t="str">
        <f>IF(AND(_2="A-321",'2026'!$G$4="FO",'2026'!$G$2=AQ119),'2026DATA'!$N$28,"")</f>
        <v/>
      </c>
      <c r="AR145" s="940"/>
      <c r="AS145" s="13" t="s">
        <v>62</v>
      </c>
      <c r="AT145" s="518" t="str">
        <f>IF(AND(_3="A-321",'2026'!$G$4="FO",'2026'!$G$2=AT119),'2026DATA'!$C$28,"")</f>
        <v/>
      </c>
      <c r="AU145" s="518" t="str">
        <f>IF(AND(_3="A-321",'2026'!$G$4="FO",'2026'!$G$2=AU119),'2026DATA'!$D$28,"")</f>
        <v/>
      </c>
      <c r="AV145" s="518" t="str">
        <f>IF(AND(_3="A-321",'2026'!$G$4="FO",'2026'!$G$2=AV119),'2026DATA'!$E$28,"")</f>
        <v/>
      </c>
      <c r="AW145" s="518" t="str">
        <f>IF(AND(_3="A-321",'2026'!$G$4="FO",'2026'!$G$2=AW119),'2026DATA'!$F$28,"")</f>
        <v/>
      </c>
      <c r="AX145" s="518" t="str">
        <f>IF(AND(_3="A-321",'2026'!$G$4="FO",'2026'!$G$2=AX119),'2026DATA'!$G$28,"")</f>
        <v/>
      </c>
      <c r="AY145" s="518" t="str">
        <f>IF(AND(_3="A-321",'2026'!$G$4="FO",'2026'!$G$2=AY119),'2026DATA'!$H$28,"")</f>
        <v/>
      </c>
      <c r="AZ145" s="518" t="str">
        <f>IF(AND(_3="A-321",'2026'!$G$4="FO",'2026'!$G$2=AZ119),'2026DATA'!$I$28,"")</f>
        <v/>
      </c>
      <c r="BA145" s="518" t="str">
        <f>IF(AND(_3="A-321",'2026'!$G$4="FO",'2026'!$G$2=BA119),'2026DATA'!$J$28,"")</f>
        <v/>
      </c>
      <c r="BB145" s="518" t="str">
        <f>IF(AND(_3="A-321",'2026'!$G$4="FO",'2026'!$G$2=BB119),'2026DATA'!$K$28,"")</f>
        <v/>
      </c>
      <c r="BC145" s="518" t="str">
        <f>IF(AND(_3="A-321",'2026'!$G$4="FO",'2026'!$G$2=BC119),'2026DATA'!$L$28,"")</f>
        <v/>
      </c>
      <c r="BD145" s="518" t="str">
        <f>IF(AND(_3="A-321",'2026'!$G$4="FO",'2026'!$G$2=BD119),'2026DATA'!$M$28,"")</f>
        <v/>
      </c>
      <c r="BE145" s="520" t="str">
        <f>IF(AND(_3="A-321",'2026'!$G$4="FO",'2026'!$G$2=BE119),'2026DATA'!$N$28,"")</f>
        <v/>
      </c>
      <c r="BF145" s="940"/>
      <c r="BG145" s="13" t="s">
        <v>62</v>
      </c>
      <c r="BH145" s="518" t="str">
        <f>IF(AND(_4="A-321",'2026'!$G$4="FO",'2026'!$G$2=BH119),'2026DATA'!$C$28,"")</f>
        <v/>
      </c>
      <c r="BI145" s="518" t="str">
        <f>IF(AND(_4="A-321",'2026'!$G$4="FO",'2026'!$G$2=BI119),'2026DATA'!$D$28,"")</f>
        <v/>
      </c>
      <c r="BJ145" s="518" t="str">
        <f>IF(AND(_4="A-321",'2026'!$G$4="FO",'2026'!$G$2=BJ119),'2026DATA'!$E$28,"")</f>
        <v/>
      </c>
      <c r="BK145" s="518" t="str">
        <f>IF(AND(_4="A-321",'2026'!$G$4="FO",'2026'!$G$2=BK119),'2026DATA'!$F$28,"")</f>
        <v/>
      </c>
      <c r="BL145" s="518" t="str">
        <f>IF(AND(_4="A-321",'2026'!$G$4="FO",'2026'!$G$2=BL119),'2026DATA'!$G$28,"")</f>
        <v/>
      </c>
      <c r="BM145" s="518" t="str">
        <f>IF(AND(_4="A-321",'2026'!$G$4="FO",'2026'!$G$2=BM119),'2026DATA'!$H$28,"")</f>
        <v/>
      </c>
      <c r="BN145" s="518" t="str">
        <f>IF(AND(_4="A-321",'2026'!$G$4="FO",'2026'!$G$2=BN119),'2026DATA'!$I$28,"")</f>
        <v/>
      </c>
      <c r="BO145" s="518" t="str">
        <f>IF(AND(_4="A-321",'2026'!$G$4="FO",'2026'!$G$2=BO119),'2026DATA'!$J$28,"")</f>
        <v/>
      </c>
      <c r="BP145" s="518" t="str">
        <f>IF(AND(_4="A-321",'2026'!$G$4="FO",'2026'!$G$2=BP119),'2026DATA'!$K$28,"")</f>
        <v/>
      </c>
      <c r="BQ145" s="518" t="str">
        <f>IF(AND(_4="A-321",'2026'!$G$4="FO",'2026'!$G$2=BQ119),'2026DATA'!$L$28,"")</f>
        <v/>
      </c>
      <c r="BR145" s="518" t="str">
        <f>IF(AND(_4="A-321",'2026'!$G$4="FO",'2026'!$G$2=BR119),'2026DATA'!$M$28,"")</f>
        <v/>
      </c>
      <c r="BS145" s="520" t="str">
        <f>IF(AND(_4="A-321",'2026'!$G$4="FO",'2026'!$G$2=BS119),'2026DATA'!$N$28,"")</f>
        <v/>
      </c>
      <c r="BT145" s="940"/>
      <c r="BU145" s="13" t="s">
        <v>62</v>
      </c>
      <c r="BV145" s="518" t="str">
        <f>IF(AND(_5="A-321",'2026'!$G$4="FO",'2026'!$G$2=BV119),'2026DATA'!$C$28,"")</f>
        <v/>
      </c>
      <c r="BW145" s="518" t="str">
        <f>IF(AND(_5="A-321",'2026'!$G$4="FO",'2026'!$G$2=BW119),'2026DATA'!$D$28,"")</f>
        <v/>
      </c>
      <c r="BX145" s="518" t="str">
        <f>IF(AND(_5="A-321",'2026'!$G$4="FO",'2026'!$G$2=BX119),'2026DATA'!$E$28,"")</f>
        <v/>
      </c>
      <c r="BY145" s="518" t="str">
        <f>IF(AND(_5="A-321",'2026'!$G$4="FO",'2026'!$G$2=BY119),'2026DATA'!$F$28,"")</f>
        <v/>
      </c>
      <c r="BZ145" s="518" t="str">
        <f>IF(AND(_5="A-321",'2026'!$G$4="FO",'2026'!$G$2=BZ119),'2026DATA'!$G$28,"")</f>
        <v/>
      </c>
      <c r="CA145" s="518" t="str">
        <f>IF(AND(_5="A-321",'2026'!$G$4="FO",'2026'!$G$2=CA119),'2026DATA'!$H$28,"")</f>
        <v/>
      </c>
      <c r="CB145" s="518" t="str">
        <f>IF(AND(_5="A-321",'2026'!$G$4="FO",'2026'!$G$2=CB119),'2026DATA'!$I$28,"")</f>
        <v/>
      </c>
      <c r="CC145" s="518" t="str">
        <f>IF(AND(_5="A-321",'2026'!$G$4="FO",'2026'!$G$2=CC119),'2026DATA'!$J$28,"")</f>
        <v/>
      </c>
      <c r="CD145" s="518" t="str">
        <f>IF(AND(_5="A-321",'2026'!$G$4="FO",'2026'!$G$2=CD119),'2026DATA'!$K$28,"")</f>
        <v/>
      </c>
      <c r="CE145" s="518" t="str">
        <f>IF(AND(_5="A-321",'2026'!$G$4="FO",'2026'!$G$2=CE119),'2026DATA'!$L$28,"")</f>
        <v/>
      </c>
      <c r="CF145" s="518" t="str">
        <f>IF(AND(_5="A-321",'2026'!$G$4="FO",'2026'!$G$2=CF119),'2026DATA'!$M$28,"")</f>
        <v/>
      </c>
      <c r="CG145" s="520" t="str">
        <f>IF(AND(_5="A-321",'2026'!$G$4="FO",'2026'!$G$2=CG119),'2026DATA'!$N$28,"")</f>
        <v/>
      </c>
      <c r="CH145" s="940"/>
      <c r="CI145" s="13" t="s">
        <v>62</v>
      </c>
      <c r="CJ145" s="518" t="str">
        <f>IF(AND(_6="A-321",'2026'!$G$4="FO",'2026'!$G$2=CJ119),'2026DATA'!$C$28,"")</f>
        <v/>
      </c>
      <c r="CK145" s="518" t="str">
        <f>IF(AND(_6="A-321",'2026'!$G$4="FO",'2026'!$G$2=CK119),'2026DATA'!$D$28,"")</f>
        <v/>
      </c>
      <c r="CL145" s="518" t="str">
        <f>IF(AND(_6="A-321",'2026'!$G$4="FO",'2026'!$G$2=CL119),'2026DATA'!$E$28,"")</f>
        <v/>
      </c>
      <c r="CM145" s="518" t="str">
        <f>IF(AND(_6="A-321",'2026'!$G$4="FO",'2026'!$G$2=CM119),'2026DATA'!$F$28,"")</f>
        <v/>
      </c>
      <c r="CN145" s="518" t="str">
        <f>IF(AND(_6="A-321",'2026'!$G$4="FO",'2026'!$G$2=CN119),'2026DATA'!$G$28,"")</f>
        <v/>
      </c>
      <c r="CO145" s="518" t="str">
        <f>IF(AND(_6="A-321",'2026'!$G$4="FO",'2026'!$G$2=CO119),'2026DATA'!$H$28,"")</f>
        <v/>
      </c>
      <c r="CP145" s="518" t="str">
        <f>IF(AND(_6="A-321",'2026'!$G$4="FO",'2026'!$G$2=CP119),'2026DATA'!$I$28,"")</f>
        <v/>
      </c>
      <c r="CQ145" s="518" t="str">
        <f>IF(AND(_6="A-321",'2026'!$G$4="FO",'2026'!$G$2=CQ119),'2026DATA'!$J$28,"")</f>
        <v/>
      </c>
      <c r="CR145" s="518" t="str">
        <f>IF(AND(_6="A-321",'2026'!$G$4="FO",'2026'!$G$2=CR119),'2026DATA'!$K$28,"")</f>
        <v/>
      </c>
      <c r="CS145" s="518" t="str">
        <f>IF(AND(_6="A-321",'2026'!$G$4="FO",'2026'!$G$2=CS119),'2026DATA'!$L$28,"")</f>
        <v/>
      </c>
      <c r="CT145" s="518" t="str">
        <f>IF(AND(_6="A-321",'2026'!$G$4="FO",'2026'!$G$2=CT119),'2026DATA'!$M$28,"")</f>
        <v/>
      </c>
      <c r="CU145" s="520" t="str">
        <f>IF(AND(_6="A-321",'2026'!$G$4="FO",'2026'!$G$2=CU119),'2026DATA'!$N$28,"")</f>
        <v/>
      </c>
    </row>
    <row r="146" spans="16:99" x14ac:dyDescent="0.25">
      <c r="P146" s="940" t="s">
        <v>70</v>
      </c>
      <c r="Q146" s="13" t="s">
        <v>61</v>
      </c>
      <c r="R146" s="518" t="str">
        <f>IF(AND(_1="A-320",'2026'!$G$4="CA",'2026'!$G$2=R119),'2026DATA'!$C$29,"")</f>
        <v/>
      </c>
      <c r="S146" s="518" t="str">
        <f>IF(AND(_1="A-320",'2026'!$G$4="CA",'2026'!$G$2=S119),'2026DATA'!$D$29,"")</f>
        <v/>
      </c>
      <c r="T146" s="518" t="str">
        <f>IF(AND(_1="A-320",'2026'!$G$4="CA",'2026'!$G$2=T119),'2026DATA'!$E$29,"")</f>
        <v/>
      </c>
      <c r="U146" s="518" t="str">
        <f>IF(AND(_1="A-320",'2026'!$G$4="CA",'2026'!$G$2=U119),'2026DATA'!$F$29,"")</f>
        <v/>
      </c>
      <c r="V146" s="518" t="str">
        <f>IF(AND(_1="A-320",'2026'!$G$4="CA",'2026'!$G$2=V119),'2026DATA'!$G$29,"")</f>
        <v/>
      </c>
      <c r="W146" s="518" t="str">
        <f>IF(AND(_1="A-320",'2026'!$G$4="CA",'2026'!$G$2=W119),'2026DATA'!$H$29,"")</f>
        <v/>
      </c>
      <c r="X146" s="518" t="str">
        <f>IF(AND(_1="A-320",'2026'!$G$4="CA",'2026'!$G$2=X119),'2026DATA'!$I$29,"")</f>
        <v/>
      </c>
      <c r="Y146" s="518" t="str">
        <f>IF(AND(_1="A-320",'2026'!$G$4="CA",'2026'!$G$2=Y119),'2026DATA'!$J$29,"")</f>
        <v/>
      </c>
      <c r="Z146" s="518" t="str">
        <f>IF(AND(_1="A-320",'2026'!$G$4="CA",'2026'!$G$2=Z119),'2026DATA'!$K$29,"")</f>
        <v/>
      </c>
      <c r="AA146" s="518" t="str">
        <f>IF(AND(_1="A-320",'2026'!$G$4="CA",'2026'!$G$2=AA119),'2026DATA'!$L$29,"")</f>
        <v/>
      </c>
      <c r="AB146" s="518" t="str">
        <f>IF(AND(_1="A-320",'2026'!$G$4="CA",'2026'!$G$2=AB119),'2026DATA'!$M$29,"")</f>
        <v/>
      </c>
      <c r="AC146" s="520" t="str">
        <f>IF(AND(_1="A-320",'2026'!$G$4="CA",'2026'!$G$2=AC119),'2026DATA'!$N$29,"")</f>
        <v/>
      </c>
      <c r="AD146" s="940" t="s">
        <v>70</v>
      </c>
      <c r="AE146" s="13" t="s">
        <v>61</v>
      </c>
      <c r="AF146" s="518" t="str">
        <f>IF(AND(_2="A-320",'2026'!$G$4="CA",'2026'!$G$2=AF119),'2026DATA'!$C$29,"")</f>
        <v/>
      </c>
      <c r="AG146" s="518" t="str">
        <f>IF(AND(_2="A-320",'2026'!$G$4="CA",'2026'!$G$2=AG119),'2026DATA'!$D$29,"")</f>
        <v/>
      </c>
      <c r="AH146" s="518" t="str">
        <f>IF(AND(_2="A-320",'2026'!$G$4="CA",'2026'!$G$2=AH119),'2026DATA'!$E$29,"")</f>
        <v/>
      </c>
      <c r="AI146" s="518" t="str">
        <f>IF(AND(_2="A-320",'2026'!$G$4="CA",'2026'!$G$2=AI119),'2026DATA'!$F$29,"")</f>
        <v/>
      </c>
      <c r="AJ146" s="518" t="str">
        <f>IF(AND(_2="A-320",'2026'!$G$4="CA",'2026'!$G$2=AJ119),'2026DATA'!$G$29,"")</f>
        <v/>
      </c>
      <c r="AK146" s="518" t="str">
        <f>IF(AND(_2="A-320",'2026'!$G$4="CA",'2026'!$G$2=AK119),'2026DATA'!$H$29,"")</f>
        <v/>
      </c>
      <c r="AL146" s="518" t="str">
        <f>IF(AND(_2="A-320",'2026'!$G$4="CA",'2026'!$G$2=AL119),'2026DATA'!$I$29,"")</f>
        <v/>
      </c>
      <c r="AM146" s="518" t="str">
        <f>IF(AND(_2="A-320",'2026'!$G$4="CA",'2026'!$G$2=AM119),'2026DATA'!$J$29,"")</f>
        <v/>
      </c>
      <c r="AN146" s="518" t="str">
        <f>IF(AND(_2="A-320",'2026'!$G$4="CA",'2026'!$G$2=AN119),'2026DATA'!$K$29,"")</f>
        <v/>
      </c>
      <c r="AO146" s="518" t="str">
        <f>IF(AND(_2="A-320",'2026'!$G$4="CA",'2026'!$G$2=AO119),'2026DATA'!$L$29,"")</f>
        <v/>
      </c>
      <c r="AP146" s="518" t="str">
        <f>IF(AND(_2="A-320",'2026'!$G$4="CA",'2026'!$G$2=AP119),'2026DATA'!$M$29,"")</f>
        <v/>
      </c>
      <c r="AQ146" s="520" t="str">
        <f>IF(AND(_2="A-320",'2026'!$G$4="CA",'2026'!$G$2=AQ119),'2026DATA'!$N$29,"")</f>
        <v/>
      </c>
      <c r="AR146" s="940" t="s">
        <v>70</v>
      </c>
      <c r="AS146" s="13" t="s">
        <v>61</v>
      </c>
      <c r="AT146" s="518" t="str">
        <f>IF(AND(_3="A-320",'2026'!$G$4="CA",'2026'!$G$2=AT119),'2026DATA'!$C$29,"")</f>
        <v/>
      </c>
      <c r="AU146" s="518" t="str">
        <f>IF(AND(_3="A-320",'2026'!$G$4="CA",'2026'!$G$2=AU119),'2026DATA'!$D$29,"")</f>
        <v/>
      </c>
      <c r="AV146" s="518" t="str">
        <f>IF(AND(_3="A-320",'2026'!$G$4="CA",'2026'!$G$2=AV119),'2026DATA'!$E$29,"")</f>
        <v/>
      </c>
      <c r="AW146" s="518" t="str">
        <f>IF(AND(_3="A-320",'2026'!$G$4="CA",'2026'!$G$2=AW119),'2026DATA'!$F$29,"")</f>
        <v/>
      </c>
      <c r="AX146" s="518" t="str">
        <f>IF(AND(_3="A-320",'2026'!$G$4="CA",'2026'!$G$2=AX119),'2026DATA'!$G$29,"")</f>
        <v/>
      </c>
      <c r="AY146" s="518" t="str">
        <f>IF(AND(_3="A-320",'2026'!$G$4="CA",'2026'!$G$2=AY119),'2026DATA'!$H$29,"")</f>
        <v/>
      </c>
      <c r="AZ146" s="518" t="str">
        <f>IF(AND(_3="A-320",'2026'!$G$4="CA",'2026'!$G$2=AZ119),'2026DATA'!$I$29,"")</f>
        <v/>
      </c>
      <c r="BA146" s="518" t="str">
        <f>IF(AND(_3="A-320",'2026'!$G$4="CA",'2026'!$G$2=BA119),'2026DATA'!$J$29,"")</f>
        <v/>
      </c>
      <c r="BB146" s="518" t="str">
        <f>IF(AND(_3="A-320",'2026'!$G$4="CA",'2026'!$G$2=BB119),'2026DATA'!$K$29,"")</f>
        <v/>
      </c>
      <c r="BC146" s="518" t="str">
        <f>IF(AND(_3="A-320",'2026'!$G$4="CA",'2026'!$G$2=BC119),'2026DATA'!$L$29,"")</f>
        <v/>
      </c>
      <c r="BD146" s="518" t="str">
        <f>IF(AND(_3="A-320",'2026'!$G$4="CA",'2026'!$G$2=BD119),'2026DATA'!$M$29,"")</f>
        <v/>
      </c>
      <c r="BE146" s="520" t="str">
        <f>IF(AND(_3="A-320",'2026'!$G$4="CA",'2026'!$G$2=BE119),'2026DATA'!$N$29,"")</f>
        <v/>
      </c>
      <c r="BF146" s="940" t="s">
        <v>70</v>
      </c>
      <c r="BG146" s="13" t="s">
        <v>61</v>
      </c>
      <c r="BH146" s="518" t="str">
        <f>IF(AND(_4="A-320",'2026'!$G$4="CA",'2026'!$G$2=BH119),'2026DATA'!$C$29,"")</f>
        <v/>
      </c>
      <c r="BI146" s="518" t="str">
        <f>IF(AND(_4="A-320",'2026'!$G$4="CA",'2026'!$G$2=BI119),'2026DATA'!$D$29,"")</f>
        <v/>
      </c>
      <c r="BJ146" s="518" t="str">
        <f>IF(AND(_4="A-320",'2026'!$G$4="CA",'2026'!$G$2=BJ119),'2026DATA'!$E$29,"")</f>
        <v/>
      </c>
      <c r="BK146" s="518" t="str">
        <f>IF(AND(_4="A-320",'2026'!$G$4="CA",'2026'!$G$2=BK119),'2026DATA'!$F$29,"")</f>
        <v/>
      </c>
      <c r="BL146" s="518" t="str">
        <f>IF(AND(_4="A-320",'2026'!$G$4="CA",'2026'!$G$2=BL119),'2026DATA'!$G$29,"")</f>
        <v/>
      </c>
      <c r="BM146" s="518" t="str">
        <f>IF(AND(_4="A-320",'2026'!$G$4="CA",'2026'!$G$2=BM119),'2026DATA'!$H$29,"")</f>
        <v/>
      </c>
      <c r="BN146" s="518" t="str">
        <f>IF(AND(_4="A-320",'2026'!$G$4="CA",'2026'!$G$2=BN119),'2026DATA'!$I$29,"")</f>
        <v/>
      </c>
      <c r="BO146" s="518" t="str">
        <f>IF(AND(_4="A-320",'2026'!$G$4="CA",'2026'!$G$2=BO119),'2026DATA'!$J$29,"")</f>
        <v/>
      </c>
      <c r="BP146" s="518" t="str">
        <f>IF(AND(_4="A-320",'2026'!$G$4="CA",'2026'!$G$2=BP119),'2026DATA'!$K$29,"")</f>
        <v/>
      </c>
      <c r="BQ146" s="518" t="str">
        <f>IF(AND(_4="A-320",'2026'!$G$4="CA",'2026'!$G$2=BQ119),'2026DATA'!$L$29,"")</f>
        <v/>
      </c>
      <c r="BR146" s="518" t="str">
        <f>IF(AND(_4="A-320",'2026'!$G$4="CA",'2026'!$G$2=BR119),'2026DATA'!$M$29,"")</f>
        <v/>
      </c>
      <c r="BS146" s="520" t="str">
        <f>IF(AND(_4="A-320",'2026'!$G$4="CA",'2026'!$G$2=BS119),'2026DATA'!$N$29,"")</f>
        <v/>
      </c>
      <c r="BT146" s="940" t="s">
        <v>70</v>
      </c>
      <c r="BU146" s="13" t="s">
        <v>61</v>
      </c>
      <c r="BV146" s="518" t="str">
        <f>IF(AND(_5="A-320",'2026'!$G$4="CA",'2026'!$G$2=BV119),'2026DATA'!$C$29,"")</f>
        <v/>
      </c>
      <c r="BW146" s="518" t="str">
        <f>IF(AND(_5="A-320",'2026'!$G$4="CA",'2026'!$G$2=BW119),'2026DATA'!$D$29,"")</f>
        <v/>
      </c>
      <c r="BX146" s="518" t="str">
        <f>IF(AND(_5="A-320",'2026'!$G$4="CA",'2026'!$G$2=BX119),'2026DATA'!$E$29,"")</f>
        <v/>
      </c>
      <c r="BY146" s="518" t="str">
        <f>IF(AND(_5="A-320",'2026'!$G$4="CA",'2026'!$G$2=BY119),'2026DATA'!$F$29,"")</f>
        <v/>
      </c>
      <c r="BZ146" s="518" t="str">
        <f>IF(AND(_5="A-320",'2026'!$G$4="CA",'2026'!$G$2=BZ119),'2026DATA'!$G$29,"")</f>
        <v/>
      </c>
      <c r="CA146" s="518" t="str">
        <f>IF(AND(_5="A-320",'2026'!$G$4="CA",'2026'!$G$2=CA119),'2026DATA'!$H$29,"")</f>
        <v/>
      </c>
      <c r="CB146" s="518" t="str">
        <f>IF(AND(_5="A-320",'2026'!$G$4="CA",'2026'!$G$2=CB119),'2026DATA'!$I$29,"")</f>
        <v/>
      </c>
      <c r="CC146" s="518" t="str">
        <f>IF(AND(_5="A-320",'2026'!$G$4="CA",'2026'!$G$2=CC119),'2026DATA'!$J$29,"")</f>
        <v/>
      </c>
      <c r="CD146" s="518" t="str">
        <f>IF(AND(_5="A-320",'2026'!$G$4="CA",'2026'!$G$2=CD119),'2026DATA'!$K$29,"")</f>
        <v/>
      </c>
      <c r="CE146" s="518" t="str">
        <f>IF(AND(_5="A-320",'2026'!$G$4="CA",'2026'!$G$2=CE119),'2026DATA'!$L$29,"")</f>
        <v/>
      </c>
      <c r="CF146" s="518" t="str">
        <f>IF(AND(_5="A-320",'2026'!$G$4="CA",'2026'!$G$2=CF119),'2026DATA'!$M$29,"")</f>
        <v/>
      </c>
      <c r="CG146" s="520" t="str">
        <f>IF(AND(_5="A-320",'2026'!$G$4="CA",'2026'!$G$2=CG119),'2026DATA'!$N$29,"")</f>
        <v/>
      </c>
      <c r="CH146" s="940" t="s">
        <v>70</v>
      </c>
      <c r="CI146" s="13" t="s">
        <v>61</v>
      </c>
      <c r="CJ146" s="518" t="str">
        <f>IF(AND(_6="A-320",'2026'!$G$4="CA",'2026'!$G$2=CJ119),'2026DATA'!$C$29,"")</f>
        <v/>
      </c>
      <c r="CK146" s="518" t="str">
        <f>IF(AND(_6="A-320",'2026'!$G$4="CA",'2026'!$G$2=CK119),'2026DATA'!$D$29,"")</f>
        <v/>
      </c>
      <c r="CL146" s="518" t="str">
        <f>IF(AND(_6="A-320",'2026'!$G$4="CA",'2026'!$G$2=CL119),'2026DATA'!$E$29,"")</f>
        <v/>
      </c>
      <c r="CM146" s="518" t="str">
        <f>IF(AND(_6="A-320",'2026'!$G$4="CA",'2026'!$G$2=CM119),'2026DATA'!$F$29,"")</f>
        <v/>
      </c>
      <c r="CN146" s="518" t="str">
        <f>IF(AND(_6="A-320",'2026'!$G$4="CA",'2026'!$G$2=CN119),'2026DATA'!$G$29,"")</f>
        <v/>
      </c>
      <c r="CO146" s="518" t="str">
        <f>IF(AND(_6="A-320",'2026'!$G$4="CA",'2026'!$G$2=CO119),'2026DATA'!$H$29,"")</f>
        <v/>
      </c>
      <c r="CP146" s="518" t="str">
        <f>IF(AND(_6="A-320",'2026'!$G$4="CA",'2026'!$G$2=CP119),'2026DATA'!$I$29,"")</f>
        <v/>
      </c>
      <c r="CQ146" s="518" t="str">
        <f>IF(AND(_6="A-320",'2026'!$G$4="CA",'2026'!$G$2=CQ119),'2026DATA'!$J$29,"")</f>
        <v/>
      </c>
      <c r="CR146" s="518" t="str">
        <f>IF(AND(_6="A-320",'2026'!$G$4="CA",'2026'!$G$2=CR119),'2026DATA'!$K$29,"")</f>
        <v/>
      </c>
      <c r="CS146" s="518" t="str">
        <f>IF(AND(_6="A-320",'2026'!$G$4="CA",'2026'!$G$2=CS119),'2026DATA'!$L$29,"")</f>
        <v/>
      </c>
      <c r="CT146" s="518" t="str">
        <f>IF(AND(_6="A-320",'2026'!$G$4="CA",'2026'!$G$2=CT119),'2026DATA'!$M$29,"")</f>
        <v/>
      </c>
      <c r="CU146" s="520" t="str">
        <f>IF(AND(_6="A-320",'2026'!$G$4="CA",'2026'!$G$2=CU119),'2026DATA'!$N$29,"")</f>
        <v/>
      </c>
    </row>
    <row r="147" spans="16:99" x14ac:dyDescent="0.25">
      <c r="P147" s="940"/>
      <c r="Q147" s="13" t="s">
        <v>62</v>
      </c>
      <c r="R147" s="518" t="str">
        <f>IF(AND(_1="A-320",'2026'!$G$4="FO",'2026'!$G$2=R119),'2026DATA'!$C$30,"")</f>
        <v/>
      </c>
      <c r="S147" s="518" t="str">
        <f>IF(AND(_1="A-320",'2026'!$G$4="FO",'2026'!$G$2=S119),'2026DATA'!$D$30,"")</f>
        <v/>
      </c>
      <c r="T147" s="518" t="str">
        <f>IF(AND(_1="A-320",'2026'!$G$4="FO",'2026'!$G$2=T119),'2026DATA'!$E$30,"")</f>
        <v/>
      </c>
      <c r="U147" s="518" t="str">
        <f>IF(AND(_1="A-320",'2026'!$G$4="FO",'2026'!$G$2=U119),'2026DATA'!$F$30,"")</f>
        <v/>
      </c>
      <c r="V147" s="518" t="str">
        <f>IF(AND(_1="A-320",'2026'!$G$4="FO",'2026'!$G$2=V119),'2026DATA'!$G$30,"")</f>
        <v/>
      </c>
      <c r="W147" s="518" t="str">
        <f>IF(AND(_1="A-320",'2026'!$G$4="FO",'2026'!$G$2=W119),'2026DATA'!$H$30,"")</f>
        <v/>
      </c>
      <c r="X147" s="518" t="str">
        <f>IF(AND(_1="A-320",'2026'!$G$4="FO",'2026'!$G$2=X119),'2026DATA'!$I$30,"")</f>
        <v/>
      </c>
      <c r="Y147" s="518" t="str">
        <f>IF(AND(_1="A-320",'2026'!$G$4="FO",'2026'!$G$2=Y119),'2026DATA'!$J$30,"")</f>
        <v/>
      </c>
      <c r="Z147" s="518" t="str">
        <f>IF(AND(_1="A-320",'2026'!$G$4="FO",'2026'!$G$2=Z119),'2026DATA'!$K$30,"")</f>
        <v/>
      </c>
      <c r="AA147" s="518" t="str">
        <f>IF(AND(_1="A-320",'2026'!$G$4="FO",'2026'!$G$2=AA119),'2026DATA'!$L$30,"")</f>
        <v/>
      </c>
      <c r="AB147" s="518" t="str">
        <f>IF(AND(_1="A-320",'2026'!$G$4="FO",'2026'!$G$2=AB119),'2026DATA'!$M$30,"")</f>
        <v/>
      </c>
      <c r="AC147" s="520" t="str">
        <f>IF(AND(_1="A-320",'2026'!$G$4="FO",'2026'!$G$2=AC119),'2026DATA'!$N$30,"")</f>
        <v/>
      </c>
      <c r="AD147" s="940"/>
      <c r="AE147" s="13" t="s">
        <v>62</v>
      </c>
      <c r="AF147" s="518" t="str">
        <f>IF(AND(_2="A-320",'2026'!$G$4="FO",'2026'!$G$2=AF119),'2026DATA'!$C$30,"")</f>
        <v/>
      </c>
      <c r="AG147" s="518" t="str">
        <f>IF(AND(_2="A-320",'2026'!$G$4="FO",'2026'!$G$2=AG119),'2026DATA'!$D$30,"")</f>
        <v/>
      </c>
      <c r="AH147" s="518" t="str">
        <f>IF(AND(_2="A-320",'2026'!$G$4="FO",'2026'!$G$2=AH119),'2026DATA'!$E$30,"")</f>
        <v/>
      </c>
      <c r="AI147" s="518" t="str">
        <f>IF(AND(_2="A-320",'2026'!$G$4="FO",'2026'!$G$2=AI119),'2026DATA'!$F$30,"")</f>
        <v/>
      </c>
      <c r="AJ147" s="518" t="str">
        <f>IF(AND(_2="A-320",'2026'!$G$4="FO",'2026'!$G$2=AJ119),'2026DATA'!$G$30,"")</f>
        <v/>
      </c>
      <c r="AK147" s="518" t="str">
        <f>IF(AND(_2="A-320",'2026'!$G$4="FO",'2026'!$G$2=AK119),'2026DATA'!$H$30,"")</f>
        <v/>
      </c>
      <c r="AL147" s="518" t="str">
        <f>IF(AND(_2="A-320",'2026'!$G$4="FO",'2026'!$G$2=AL119),'2026DATA'!$I$30,"")</f>
        <v/>
      </c>
      <c r="AM147" s="518" t="str">
        <f>IF(AND(_2="A-320",'2026'!$G$4="FO",'2026'!$G$2=AM119),'2026DATA'!$J$30,"")</f>
        <v/>
      </c>
      <c r="AN147" s="518" t="str">
        <f>IF(AND(_2="A-320",'2026'!$G$4="FO",'2026'!$G$2=AN119),'2026DATA'!$K$30,"")</f>
        <v/>
      </c>
      <c r="AO147" s="518" t="str">
        <f>IF(AND(_2="A-320",'2026'!$G$4="FO",'2026'!$G$2=AO119),'2026DATA'!$L$30,"")</f>
        <v/>
      </c>
      <c r="AP147" s="518" t="str">
        <f>IF(AND(_2="A-320",'2026'!$G$4="FO",'2026'!$G$2=AP119),'2026DATA'!$M$30,"")</f>
        <v/>
      </c>
      <c r="AQ147" s="520" t="str">
        <f>IF(AND(_2="A-320",'2026'!$G$4="FO",'2026'!$G$2=AQ119),'2026DATA'!$N$30,"")</f>
        <v/>
      </c>
      <c r="AR147" s="940"/>
      <c r="AS147" s="13" t="s">
        <v>62</v>
      </c>
      <c r="AT147" s="518" t="str">
        <f>IF(AND(_3="A-320",'2026'!$G$4="FO",'2026'!$G$2=AT119),'2026DATA'!$C$30,"")</f>
        <v/>
      </c>
      <c r="AU147" s="518" t="str">
        <f>IF(AND(_3="A-320",'2026'!$G$4="FO",'2026'!$G$2=AU119),'2026DATA'!$D$30,"")</f>
        <v/>
      </c>
      <c r="AV147" s="518" t="str">
        <f>IF(AND(_3="A-320",'2026'!$G$4="FO",'2026'!$G$2=AV119),'2026DATA'!$E$30,"")</f>
        <v/>
      </c>
      <c r="AW147" s="518" t="str">
        <f>IF(AND(_3="A-320",'2026'!$G$4="FO",'2026'!$G$2=AW119),'2026DATA'!$F$30,"")</f>
        <v/>
      </c>
      <c r="AX147" s="518" t="str">
        <f>IF(AND(_3="A-320",'2026'!$G$4="FO",'2026'!$G$2=AX119),'2026DATA'!$G$30,"")</f>
        <v/>
      </c>
      <c r="AY147" s="518" t="str">
        <f>IF(AND(_3="A-320",'2026'!$G$4="FO",'2026'!$G$2=AY119),'2026DATA'!$H$30,"")</f>
        <v/>
      </c>
      <c r="AZ147" s="518" t="str">
        <f>IF(AND(_3="A-320",'2026'!$G$4="FO",'2026'!$G$2=AZ119),'2026DATA'!$I$30,"")</f>
        <v/>
      </c>
      <c r="BA147" s="518" t="str">
        <f>IF(AND(_3="A-320",'2026'!$G$4="FO",'2026'!$G$2=BA119),'2026DATA'!$J$30,"")</f>
        <v/>
      </c>
      <c r="BB147" s="518" t="str">
        <f>IF(AND(_3="A-320",'2026'!$G$4="FO",'2026'!$G$2=BB119),'2026DATA'!$K$30,"")</f>
        <v/>
      </c>
      <c r="BC147" s="518" t="str">
        <f>IF(AND(_3="A-320",'2026'!$G$4="FO",'2026'!$G$2=BC119),'2026DATA'!$L$30,"")</f>
        <v/>
      </c>
      <c r="BD147" s="518" t="str">
        <f>IF(AND(_3="A-320",'2026'!$G$4="FO",'2026'!$G$2=BD119),'2026DATA'!$M$30,"")</f>
        <v/>
      </c>
      <c r="BE147" s="520" t="str">
        <f>IF(AND(_3="A-320",'2026'!$G$4="FO",'2026'!$G$2=BE119),'2026DATA'!$N$30,"")</f>
        <v/>
      </c>
      <c r="BF147" s="940"/>
      <c r="BG147" s="13" t="s">
        <v>62</v>
      </c>
      <c r="BH147" s="518" t="str">
        <f>IF(AND(_4="A-320",'2026'!$G$4="FO",'2026'!$G$2=BH119),'2026DATA'!$C$30,"")</f>
        <v/>
      </c>
      <c r="BI147" s="518" t="str">
        <f>IF(AND(_4="A-320",'2026'!$G$4="FO",'2026'!$G$2=BI119),'2026DATA'!$D$30,"")</f>
        <v/>
      </c>
      <c r="BJ147" s="518" t="str">
        <f>IF(AND(_4="A-320",'2026'!$G$4="FO",'2026'!$G$2=BJ119),'2026DATA'!$E$30,"")</f>
        <v/>
      </c>
      <c r="BK147" s="518" t="str">
        <f>IF(AND(_4="A-320",'2026'!$G$4="FO",'2026'!$G$2=BK119),'2026DATA'!$F$30,"")</f>
        <v/>
      </c>
      <c r="BL147" s="518" t="str">
        <f>IF(AND(_4="A-320",'2026'!$G$4="FO",'2026'!$G$2=BL119),'2026DATA'!$G$30,"")</f>
        <v/>
      </c>
      <c r="BM147" s="518" t="str">
        <f>IF(AND(_4="A-320",'2026'!$G$4="FO",'2026'!$G$2=BM119),'2026DATA'!$H$30,"")</f>
        <v/>
      </c>
      <c r="BN147" s="518" t="str">
        <f>IF(AND(_4="A-320",'2026'!$G$4="FO",'2026'!$G$2=BN119),'2026DATA'!$I$30,"")</f>
        <v/>
      </c>
      <c r="BO147" s="518" t="str">
        <f>IF(AND(_4="A-320",'2026'!$G$4="FO",'2026'!$G$2=BO119),'2026DATA'!$J$30,"")</f>
        <v/>
      </c>
      <c r="BP147" s="518" t="str">
        <f>IF(AND(_4="A-320",'2026'!$G$4="FO",'2026'!$G$2=BP119),'2026DATA'!$K$30,"")</f>
        <v/>
      </c>
      <c r="BQ147" s="518" t="str">
        <f>IF(AND(_4="A-320",'2026'!$G$4="FO",'2026'!$G$2=BQ119),'2026DATA'!$L$30,"")</f>
        <v/>
      </c>
      <c r="BR147" s="518" t="str">
        <f>IF(AND(_4="A-320",'2026'!$G$4="FO",'2026'!$G$2=BR119),'2026DATA'!$M$30,"")</f>
        <v/>
      </c>
      <c r="BS147" s="520" t="str">
        <f>IF(AND(_4="A-320",'2026'!$G$4="FO",'2026'!$G$2=BS119),'2026DATA'!$N$30,"")</f>
        <v/>
      </c>
      <c r="BT147" s="940"/>
      <c r="BU147" s="13" t="s">
        <v>62</v>
      </c>
      <c r="BV147" s="518" t="str">
        <f>IF(AND(_5="A-320",'2026'!$G$4="FO",'2026'!$G$2=BV119),'2026DATA'!$C$30,"")</f>
        <v/>
      </c>
      <c r="BW147" s="518" t="str">
        <f>IF(AND(_5="A-320",'2026'!$G$4="FO",'2026'!$G$2=BW119),'2026DATA'!$D$30,"")</f>
        <v/>
      </c>
      <c r="BX147" s="518" t="str">
        <f>IF(AND(_5="A-320",'2026'!$G$4="FO",'2026'!$G$2=BX119),'2026DATA'!$E$30,"")</f>
        <v/>
      </c>
      <c r="BY147" s="518" t="str">
        <f>IF(AND(_5="A-320",'2026'!$G$4="FO",'2026'!$G$2=BY119),'2026DATA'!$F$30,"")</f>
        <v/>
      </c>
      <c r="BZ147" s="518" t="str">
        <f>IF(AND(_5="A-320",'2026'!$G$4="FO",'2026'!$G$2=BZ119),'2026DATA'!$G$30,"")</f>
        <v/>
      </c>
      <c r="CA147" s="518" t="str">
        <f>IF(AND(_5="A-320",'2026'!$G$4="FO",'2026'!$G$2=CA119),'2026DATA'!$H$30,"")</f>
        <v/>
      </c>
      <c r="CB147" s="518" t="str">
        <f>IF(AND(_5="A-320",'2026'!$G$4="FO",'2026'!$G$2=CB119),'2026DATA'!$I$30,"")</f>
        <v/>
      </c>
      <c r="CC147" s="518" t="str">
        <f>IF(AND(_5="A-320",'2026'!$G$4="FO",'2026'!$G$2=CC119),'2026DATA'!$J$30,"")</f>
        <v/>
      </c>
      <c r="CD147" s="518" t="str">
        <f>IF(AND(_5="A-320",'2026'!$G$4="FO",'2026'!$G$2=CD119),'2026DATA'!$K$30,"")</f>
        <v/>
      </c>
      <c r="CE147" s="518" t="str">
        <f>IF(AND(_5="A-320",'2026'!$G$4="FO",'2026'!$G$2=CE119),'2026DATA'!$L$30,"")</f>
        <v/>
      </c>
      <c r="CF147" s="518" t="str">
        <f>IF(AND(_5="A-320",'2026'!$G$4="FO",'2026'!$G$2=CF119),'2026DATA'!$M$30,"")</f>
        <v/>
      </c>
      <c r="CG147" s="520" t="str">
        <f>IF(AND(_5="A-320",'2026'!$G$4="FO",'2026'!$G$2=CG119),'2026DATA'!$N$30,"")</f>
        <v/>
      </c>
      <c r="CH147" s="940"/>
      <c r="CI147" s="13" t="s">
        <v>62</v>
      </c>
      <c r="CJ147" s="518" t="str">
        <f>IF(AND(_6="A-320",'2026'!$G$4="FO",'2026'!$G$2=CJ119),'2026DATA'!$C$30,"")</f>
        <v/>
      </c>
      <c r="CK147" s="518" t="str">
        <f>IF(AND(_6="A-320",'2026'!$G$4="FO",'2026'!$G$2=CK119),'2026DATA'!$D$30,"")</f>
        <v/>
      </c>
      <c r="CL147" s="518" t="str">
        <f>IF(AND(_6="A-320",'2026'!$G$4="FO",'2026'!$G$2=CL119),'2026DATA'!$E$30,"")</f>
        <v/>
      </c>
      <c r="CM147" s="518" t="str">
        <f>IF(AND(_6="A-320",'2026'!$G$4="FO",'2026'!$G$2=CM119),'2026DATA'!$F$30,"")</f>
        <v/>
      </c>
      <c r="CN147" s="518" t="str">
        <f>IF(AND(_6="A-320",'2026'!$G$4="FO",'2026'!$G$2=CN119),'2026DATA'!$G$30,"")</f>
        <v/>
      </c>
      <c r="CO147" s="518" t="str">
        <f>IF(AND(_6="A-320",'2026'!$G$4="FO",'2026'!$G$2=CO119),'2026DATA'!$H$30,"")</f>
        <v/>
      </c>
      <c r="CP147" s="518" t="str">
        <f>IF(AND(_6="A-320",'2026'!$G$4="FO",'2026'!$G$2=CP119),'2026DATA'!$I$30,"")</f>
        <v/>
      </c>
      <c r="CQ147" s="518" t="str">
        <f>IF(AND(_6="A-320",'2026'!$G$4="FO",'2026'!$G$2=CQ119),'2026DATA'!$J$30,"")</f>
        <v/>
      </c>
      <c r="CR147" s="518" t="str">
        <f>IF(AND(_6="A-320",'2026'!$G$4="FO",'2026'!$G$2=CR119),'2026DATA'!$K$30,"")</f>
        <v/>
      </c>
      <c r="CS147" s="518" t="str">
        <f>IF(AND(_6="A-320",'2026'!$G$4="FO",'2026'!$G$2=CS119),'2026DATA'!$L$30,"")</f>
        <v/>
      </c>
      <c r="CT147" s="518" t="str">
        <f>IF(AND(_6="A-320",'2026'!$G$4="FO",'2026'!$G$2=CT119),'2026DATA'!$M$30,"")</f>
        <v/>
      </c>
      <c r="CU147" s="520" t="str">
        <f>IF(AND(_6="A-320",'2026'!$G$4="FO",'2026'!$G$2=CU119),'2026DATA'!$N$30,"")</f>
        <v/>
      </c>
    </row>
    <row r="148" spans="16:99" x14ac:dyDescent="0.25">
      <c r="P148" s="940" t="s">
        <v>71</v>
      </c>
      <c r="Q148" s="13" t="s">
        <v>61</v>
      </c>
      <c r="R148" s="518" t="str">
        <f>IF(AND(_1="A-319",'2026'!$G$4="CA",'2026'!$G$2=R119),'2026DATA'!$C$31,"")</f>
        <v/>
      </c>
      <c r="S148" s="518" t="str">
        <f>IF(AND(_1="A-319",'2026'!$G$4="CA",'2026'!$G$2=S119),'2026DATA'!$D$31,"")</f>
        <v/>
      </c>
      <c r="T148" s="518" t="str">
        <f>IF(AND(_1="A-319",'2026'!$G$4="CA",'2026'!$G$2=T119),'2026DATA'!$E$31,"")</f>
        <v/>
      </c>
      <c r="U148" s="518" t="str">
        <f>IF(AND(_1="A-319",'2026'!$G$4="CA",'2026'!$G$2=U119),'2026DATA'!$F$31,"")</f>
        <v/>
      </c>
      <c r="V148" s="518" t="str">
        <f>IF(AND(_1="A-319",'2026'!$G$4="CA",'2026'!$G$2=V119),'2026DATA'!$G$31,"")</f>
        <v/>
      </c>
      <c r="W148" s="518" t="str">
        <f>IF(AND(_1="A-319",'2026'!$G$4="CA",'2026'!$G$2=W119),'2026DATA'!$H$31,"")</f>
        <v/>
      </c>
      <c r="X148" s="518" t="str">
        <f>IF(AND(_1="A-319",'2026'!$G$4="CA",'2026'!$G$2=X119),'2026DATA'!$I$31,"")</f>
        <v/>
      </c>
      <c r="Y148" s="518" t="str">
        <f>IF(AND(_1="A-319",'2026'!$G$4="CA",'2026'!$G$2=Y119),'2026DATA'!$J$31,"")</f>
        <v/>
      </c>
      <c r="Z148" s="518" t="str">
        <f>IF(AND(_1="A-319",'2026'!$G$4="CA",'2026'!$G$2=Z119),'2026DATA'!$K$31,"")</f>
        <v/>
      </c>
      <c r="AA148" s="518" t="str">
        <f>IF(AND(_1="A-319",'2026'!$G$4="CA",'2026'!$G$2=AA119),'2026DATA'!$L$31,"")</f>
        <v/>
      </c>
      <c r="AB148" s="518" t="str">
        <f>IF(AND(_1="A-319",'2026'!$G$4="CA",'2026'!$G$2=AB119),'2026DATA'!$M$31,"")</f>
        <v/>
      </c>
      <c r="AC148" s="520" t="str">
        <f>IF(AND(_1="A-319",'2026'!$G$4="CA",'2026'!$G$2=AC119),'2026DATA'!$N$31,"")</f>
        <v/>
      </c>
      <c r="AD148" s="940" t="s">
        <v>71</v>
      </c>
      <c r="AE148" s="13" t="s">
        <v>61</v>
      </c>
      <c r="AF148" s="518" t="str">
        <f>IF(AND(_2="A-319",'2026'!$G$4="CA",'2026'!$G$2=AF119),'2026DATA'!$C$31,"")</f>
        <v/>
      </c>
      <c r="AG148" s="518" t="str">
        <f>IF(AND(_2="A-319",'2026'!$G$4="CA",'2026'!$G$2=AG119),'2026DATA'!$D$31,"")</f>
        <v/>
      </c>
      <c r="AH148" s="518" t="str">
        <f>IF(AND(_2="A-319",'2026'!$G$4="CA",'2026'!$G$2=AH119),'2026DATA'!$E$31,"")</f>
        <v/>
      </c>
      <c r="AI148" s="518" t="str">
        <f>IF(AND(_2="A-319",'2026'!$G$4="CA",'2026'!$G$2=AI119),'2026DATA'!$F$31,"")</f>
        <v/>
      </c>
      <c r="AJ148" s="518" t="str">
        <f>IF(AND(_2="A-319",'2026'!$G$4="CA",'2026'!$G$2=AJ119),'2026DATA'!$G$31,"")</f>
        <v/>
      </c>
      <c r="AK148" s="518" t="str">
        <f>IF(AND(_2="A-319",'2026'!$G$4="CA",'2026'!$G$2=AK119),'2026DATA'!$H$31,"")</f>
        <v/>
      </c>
      <c r="AL148" s="518" t="str">
        <f>IF(AND(_2="A-319",'2026'!$G$4="CA",'2026'!$G$2=AL119),'2026DATA'!$I$31,"")</f>
        <v/>
      </c>
      <c r="AM148" s="518" t="str">
        <f>IF(AND(_2="A-319",'2026'!$G$4="CA",'2026'!$G$2=AM119),'2026DATA'!$J$31,"")</f>
        <v/>
      </c>
      <c r="AN148" s="518" t="str">
        <f>IF(AND(_2="A-319",'2026'!$G$4="CA",'2026'!$G$2=AN119),'2026DATA'!$K$31,"")</f>
        <v/>
      </c>
      <c r="AO148" s="518" t="str">
        <f>IF(AND(_2="A-319",'2026'!$G$4="CA",'2026'!$G$2=AO119),'2026DATA'!$L$31,"")</f>
        <v/>
      </c>
      <c r="AP148" s="518" t="str">
        <f>IF(AND(_2="A-319",'2026'!$G$4="CA",'2026'!$G$2=AP119),'2026DATA'!$M$31,"")</f>
        <v/>
      </c>
      <c r="AQ148" s="520" t="str">
        <f>IF(AND(_2="A-319",'2026'!$G$4="CA",'2026'!$G$2=AQ119),'2026DATA'!$N$31,"")</f>
        <v/>
      </c>
      <c r="AR148" s="940" t="s">
        <v>71</v>
      </c>
      <c r="AS148" s="13" t="s">
        <v>61</v>
      </c>
      <c r="AT148" s="518" t="str">
        <f>IF(AND(_3="A-319",'2026'!$G$4="CA",'2026'!$G$2=AT119),'2026DATA'!$C$31,"")</f>
        <v/>
      </c>
      <c r="AU148" s="518" t="str">
        <f>IF(AND(_3="A-319",'2026'!$G$4="CA",'2026'!$G$2=AU119),'2026DATA'!$D$31,"")</f>
        <v/>
      </c>
      <c r="AV148" s="518" t="str">
        <f>IF(AND(_3="A-319",'2026'!$G$4="CA",'2026'!$G$2=AV119),'2026DATA'!$E$31,"")</f>
        <v/>
      </c>
      <c r="AW148" s="518" t="str">
        <f>IF(AND(_3="A-319",'2026'!$G$4="CA",'2026'!$G$2=AW119),'2026DATA'!$F$31,"")</f>
        <v/>
      </c>
      <c r="AX148" s="518" t="str">
        <f>IF(AND(_3="A-319",'2026'!$G$4="CA",'2026'!$G$2=AX119),'2026DATA'!$G$31,"")</f>
        <v/>
      </c>
      <c r="AY148" s="518" t="str">
        <f>IF(AND(_3="A-319",'2026'!$G$4="CA",'2026'!$G$2=AY119),'2026DATA'!$H$31,"")</f>
        <v/>
      </c>
      <c r="AZ148" s="518" t="str">
        <f>IF(AND(_3="A-319",'2026'!$G$4="CA",'2026'!$G$2=AZ119),'2026DATA'!$I$31,"")</f>
        <v/>
      </c>
      <c r="BA148" s="518" t="str">
        <f>IF(AND(_3="A-319",'2026'!$G$4="CA",'2026'!$G$2=BA119),'2026DATA'!$J$31,"")</f>
        <v/>
      </c>
      <c r="BB148" s="518" t="str">
        <f>IF(AND(_3="A-319",'2026'!$G$4="CA",'2026'!$G$2=BB119),'2026DATA'!$K$31,"")</f>
        <v/>
      </c>
      <c r="BC148" s="518" t="str">
        <f>IF(AND(_3="A-319",'2026'!$G$4="CA",'2026'!$G$2=BC119),'2026DATA'!$L$31,"")</f>
        <v/>
      </c>
      <c r="BD148" s="518" t="str">
        <f>IF(AND(_3="A-319",'2026'!$G$4="CA",'2026'!$G$2=BD119),'2026DATA'!$M$31,"")</f>
        <v/>
      </c>
      <c r="BE148" s="520" t="str">
        <f>IF(AND(_3="A-319",'2026'!$G$4="CA",'2026'!$G$2=BE119),'2026DATA'!$N$31,"")</f>
        <v/>
      </c>
      <c r="BF148" s="940" t="s">
        <v>71</v>
      </c>
      <c r="BG148" s="13" t="s">
        <v>61</v>
      </c>
      <c r="BH148" s="518" t="str">
        <f>IF(AND(_4="A-319",'2026'!$G$4="CA",'2026'!$G$2=BH119),'2026DATA'!$C$31,"")</f>
        <v/>
      </c>
      <c r="BI148" s="518" t="str">
        <f>IF(AND(_4="A-319",'2026'!$G$4="CA",'2026'!$G$2=BI119),'2026DATA'!$D$31,"")</f>
        <v/>
      </c>
      <c r="BJ148" s="518" t="str">
        <f>IF(AND(_4="A-319",'2026'!$G$4="CA",'2026'!$G$2=BJ119),'2026DATA'!$E$31,"")</f>
        <v/>
      </c>
      <c r="BK148" s="518" t="str">
        <f>IF(AND(_4="A-319",'2026'!$G$4="CA",'2026'!$G$2=BK119),'2026DATA'!$F$31,"")</f>
        <v/>
      </c>
      <c r="BL148" s="518" t="str">
        <f>IF(AND(_4="A-319",'2026'!$G$4="CA",'2026'!$G$2=BL119),'2026DATA'!$G$31,"")</f>
        <v/>
      </c>
      <c r="BM148" s="518" t="str">
        <f>IF(AND(_4="A-319",'2026'!$G$4="CA",'2026'!$G$2=BM119),'2026DATA'!$H$31,"")</f>
        <v/>
      </c>
      <c r="BN148" s="518" t="str">
        <f>IF(AND(_4="A-319",'2026'!$G$4="CA",'2026'!$G$2=BN119),'2026DATA'!$I$31,"")</f>
        <v/>
      </c>
      <c r="BO148" s="518" t="str">
        <f>IF(AND(_4="A-319",'2026'!$G$4="CA",'2026'!$G$2=BO119),'2026DATA'!$J$31,"")</f>
        <v/>
      </c>
      <c r="BP148" s="518" t="str">
        <f>IF(AND(_4="A-319",'2026'!$G$4="CA",'2026'!$G$2=BP119),'2026DATA'!$K$31,"")</f>
        <v/>
      </c>
      <c r="BQ148" s="518" t="str">
        <f>IF(AND(_4="A-319",'2026'!$G$4="CA",'2026'!$G$2=BQ119),'2026DATA'!$L$31,"")</f>
        <v/>
      </c>
      <c r="BR148" s="518" t="str">
        <f>IF(AND(_4="A-319",'2026'!$G$4="CA",'2026'!$G$2=BR119),'2026DATA'!$M$31,"")</f>
        <v/>
      </c>
      <c r="BS148" s="520" t="str">
        <f>IF(AND(_4="A-319",'2026'!$G$4="CA",'2026'!$G$2=BS119),'2026DATA'!$N$31,"")</f>
        <v/>
      </c>
      <c r="BT148" s="940" t="s">
        <v>71</v>
      </c>
      <c r="BU148" s="13" t="s">
        <v>61</v>
      </c>
      <c r="BV148" s="518" t="str">
        <f>IF(AND(_5="A-319",'2026'!$G$4="CA",'2026'!$G$2=BV119),'2026DATA'!$C$31,"")</f>
        <v/>
      </c>
      <c r="BW148" s="518" t="str">
        <f>IF(AND(_5="A-319",'2026'!$G$4="CA",'2026'!$G$2=BW119),'2026DATA'!$D$31,"")</f>
        <v/>
      </c>
      <c r="BX148" s="518" t="str">
        <f>IF(AND(_5="A-319",'2026'!$G$4="CA",'2026'!$G$2=BX119),'2026DATA'!$E$31,"")</f>
        <v/>
      </c>
      <c r="BY148" s="518" t="str">
        <f>IF(AND(_5="A-319",'2026'!$G$4="CA",'2026'!$G$2=BY119),'2026DATA'!$F$31,"")</f>
        <v/>
      </c>
      <c r="BZ148" s="518" t="str">
        <f>IF(AND(_5="A-319",'2026'!$G$4="CA",'2026'!$G$2=BZ119),'2026DATA'!$G$31,"")</f>
        <v/>
      </c>
      <c r="CA148" s="518" t="str">
        <f>IF(AND(_5="A-319",'2026'!$G$4="CA",'2026'!$G$2=CA119),'2026DATA'!$H$31,"")</f>
        <v/>
      </c>
      <c r="CB148" s="518" t="str">
        <f>IF(AND(_5="A-319",'2026'!$G$4="CA",'2026'!$G$2=CB119),'2026DATA'!$I$31,"")</f>
        <v/>
      </c>
      <c r="CC148" s="518" t="str">
        <f>IF(AND(_5="A-319",'2026'!$G$4="CA",'2026'!$G$2=CC119),'2026DATA'!$J$31,"")</f>
        <v/>
      </c>
      <c r="CD148" s="518" t="str">
        <f>IF(AND(_5="A-319",'2026'!$G$4="CA",'2026'!$G$2=CD119),'2026DATA'!$K$31,"")</f>
        <v/>
      </c>
      <c r="CE148" s="518" t="str">
        <f>IF(AND(_5="A-319",'2026'!$G$4="CA",'2026'!$G$2=CE119),'2026DATA'!$L$31,"")</f>
        <v/>
      </c>
      <c r="CF148" s="518" t="str">
        <f>IF(AND(_5="A-319",'2026'!$G$4="CA",'2026'!$G$2=CF119),'2026DATA'!$M$31,"")</f>
        <v/>
      </c>
      <c r="CG148" s="520" t="str">
        <f>IF(AND(_5="A-319",'2026'!$G$4="CA",'2026'!$G$2=CG119),'2026DATA'!$N$31,"")</f>
        <v/>
      </c>
      <c r="CH148" s="940" t="s">
        <v>71</v>
      </c>
      <c r="CI148" s="13" t="s">
        <v>61</v>
      </c>
      <c r="CJ148" s="518" t="str">
        <f>IF(AND(_6="A-319",'2026'!$G$4="CA",'2026'!$G$2=CJ119),'2026DATA'!$C$31,"")</f>
        <v/>
      </c>
      <c r="CK148" s="518" t="str">
        <f>IF(AND(_6="A-319",'2026'!$G$4="CA",'2026'!$G$2=CK119),'2026DATA'!$D$31,"")</f>
        <v/>
      </c>
      <c r="CL148" s="518" t="str">
        <f>IF(AND(_6="A-319",'2026'!$G$4="CA",'2026'!$G$2=CL119),'2026DATA'!$E$31,"")</f>
        <v/>
      </c>
      <c r="CM148" s="518" t="str">
        <f>IF(AND(_6="A-319",'2026'!$G$4="CA",'2026'!$G$2=CM119),'2026DATA'!$F$31,"")</f>
        <v/>
      </c>
      <c r="CN148" s="518" t="str">
        <f>IF(AND(_6="A-319",'2026'!$G$4="CA",'2026'!$G$2=CN119),'2026DATA'!$G$31,"")</f>
        <v/>
      </c>
      <c r="CO148" s="518" t="str">
        <f>IF(AND(_6="A-319",'2026'!$G$4="CA",'2026'!$G$2=CO119),'2026DATA'!$H$31,"")</f>
        <v/>
      </c>
      <c r="CP148" s="518" t="str">
        <f>IF(AND(_6="A-319",'2026'!$G$4="CA",'2026'!$G$2=CP119),'2026DATA'!$I$31,"")</f>
        <v/>
      </c>
      <c r="CQ148" s="518" t="str">
        <f>IF(AND(_6="A-319",'2026'!$G$4="CA",'2026'!$G$2=CQ119),'2026DATA'!$J$31,"")</f>
        <v/>
      </c>
      <c r="CR148" s="518" t="str">
        <f>IF(AND(_6="A-319",'2026'!$G$4="CA",'2026'!$G$2=CR119),'2026DATA'!$K$31,"")</f>
        <v/>
      </c>
      <c r="CS148" s="518" t="str">
        <f>IF(AND(_6="A-319",'2026'!$G$4="CA",'2026'!$G$2=CS119),'2026DATA'!$L$31,"")</f>
        <v/>
      </c>
      <c r="CT148" s="518" t="str">
        <f>IF(AND(_6="A-319",'2026'!$G$4="CA",'2026'!$G$2=CT119),'2026DATA'!$M$31,"")</f>
        <v/>
      </c>
      <c r="CU148" s="520" t="str">
        <f>IF(AND(_6="A-319",'2026'!$G$4="CA",'2026'!$G$2=CU119),'2026DATA'!$N$31,"")</f>
        <v/>
      </c>
    </row>
    <row r="149" spans="16:99" x14ac:dyDescent="0.25">
      <c r="P149" s="940"/>
      <c r="Q149" s="13" t="s">
        <v>62</v>
      </c>
      <c r="R149" s="518" t="str">
        <f>IF(AND(_1="A-319",'2026'!$G$4="FO",'2026'!$G$2=R119),'2026DATA'!$C$32,"")</f>
        <v/>
      </c>
      <c r="S149" s="518" t="str">
        <f>IF(AND(_1="A-319",'2026'!$G$4="FO",'2026'!$G$2=S119),'2026DATA'!$D$32,"")</f>
        <v/>
      </c>
      <c r="T149" s="518" t="str">
        <f>IF(AND(_1="A-319",'2026'!$G$4="FO",'2026'!$G$2=T119),'2026DATA'!$E$32,"")</f>
        <v/>
      </c>
      <c r="U149" s="518" t="str">
        <f>IF(AND(_1="A-319",'2026'!$G$4="FO",'2026'!$G$2=U119),'2026DATA'!$F$32,"")</f>
        <v/>
      </c>
      <c r="V149" s="518" t="str">
        <f>IF(AND(_1="A-319",'2026'!$G$4="FO",'2026'!$G$2=V119),'2026DATA'!$G$32,"")</f>
        <v/>
      </c>
      <c r="W149" s="518" t="str">
        <f>IF(AND(_1="A-319",'2026'!$G$4="FO",'2026'!$G$2=W119),'2026DATA'!$H$32,"")</f>
        <v/>
      </c>
      <c r="X149" s="518" t="str">
        <f>IF(AND(_1="A-319",'2026'!$G$4="FO",'2026'!$G$2=X119),'2026DATA'!$I$32,"")</f>
        <v/>
      </c>
      <c r="Y149" s="518" t="str">
        <f>IF(AND(_1="A-319",'2026'!$G$4="FO",'2026'!$G$2=Y119),'2026DATA'!$J$32,"")</f>
        <v/>
      </c>
      <c r="Z149" s="518" t="str">
        <f>IF(AND(_1="A-319",'2026'!$G$4="FO",'2026'!$G$2=Z119),'2026DATA'!$K$32,"")</f>
        <v/>
      </c>
      <c r="AA149" s="518" t="str">
        <f>IF(AND(_1="A-319",'2026'!$G$4="FO",'2026'!$G$2=AA119),'2026DATA'!$L$32,"")</f>
        <v/>
      </c>
      <c r="AB149" s="518" t="str">
        <f>IF(AND(_1="A-319",'2026'!$G$4="FO",'2026'!$G$2=AB119),'2026DATA'!$M$32,"")</f>
        <v/>
      </c>
      <c r="AC149" s="520" t="str">
        <f>IF(AND(_1="A-319",'2026'!$G$4="FO",'2026'!$G$2=AC119),'2026DATA'!$N$32,"")</f>
        <v/>
      </c>
      <c r="AD149" s="940"/>
      <c r="AE149" s="13" t="s">
        <v>62</v>
      </c>
      <c r="AF149" s="518" t="str">
        <f>IF(AND(_2="A-319",'2026'!$G$4="FO",'2026'!$G$2=AF119),'2026DATA'!$C$32,"")</f>
        <v/>
      </c>
      <c r="AG149" s="518" t="str">
        <f>IF(AND(_2="A-319",'2026'!$G$4="FO",'2026'!$G$2=AG119),'2026DATA'!$D$32,"")</f>
        <v/>
      </c>
      <c r="AH149" s="518" t="str">
        <f>IF(AND(_2="A-319",'2026'!$G$4="FO",'2026'!$G$2=AH119),'2026DATA'!$E$32,"")</f>
        <v/>
      </c>
      <c r="AI149" s="518" t="str">
        <f>IF(AND(_2="A-319",'2026'!$G$4="FO",'2026'!$G$2=AI119),'2026DATA'!$F$32,"")</f>
        <v/>
      </c>
      <c r="AJ149" s="518" t="str">
        <f>IF(AND(_2="A-319",'2026'!$G$4="FO",'2026'!$G$2=AJ119),'2026DATA'!$G$32,"")</f>
        <v/>
      </c>
      <c r="AK149" s="518" t="str">
        <f>IF(AND(_2="A-319",'2026'!$G$4="FO",'2026'!$G$2=AK119),'2026DATA'!$H$32,"")</f>
        <v/>
      </c>
      <c r="AL149" s="518" t="str">
        <f>IF(AND(_2="A-319",'2026'!$G$4="FO",'2026'!$G$2=AL119),'2026DATA'!$I$32,"")</f>
        <v/>
      </c>
      <c r="AM149" s="518" t="str">
        <f>IF(AND(_2="A-319",'2026'!$G$4="FO",'2026'!$G$2=AM119),'2026DATA'!$J$32,"")</f>
        <v/>
      </c>
      <c r="AN149" s="518" t="str">
        <f>IF(AND(_2="A-319",'2026'!$G$4="FO",'2026'!$G$2=AN119),'2026DATA'!$K$32,"")</f>
        <v/>
      </c>
      <c r="AO149" s="518" t="str">
        <f>IF(AND(_2="A-319",'2026'!$G$4="FO",'2026'!$G$2=AO119),'2026DATA'!$L$32,"")</f>
        <v/>
      </c>
      <c r="AP149" s="518" t="str">
        <f>IF(AND(_2="A-319",'2026'!$G$4="FO",'2026'!$G$2=AP119),'2026DATA'!$M$32,"")</f>
        <v/>
      </c>
      <c r="AQ149" s="520" t="str">
        <f>IF(AND(_2="A-319",'2026'!$G$4="FO",'2026'!$G$2=AQ119),'2026DATA'!$N$32,"")</f>
        <v/>
      </c>
      <c r="AR149" s="940"/>
      <c r="AS149" s="13" t="s">
        <v>62</v>
      </c>
      <c r="AT149" s="518" t="str">
        <f>IF(AND(_3="A-319",'2026'!$G$4="FO",'2026'!$G$2=AT119),'2026DATA'!$C$32,"")</f>
        <v/>
      </c>
      <c r="AU149" s="518" t="str">
        <f>IF(AND(_3="A-319",'2026'!$G$4="FO",'2026'!$G$2=AU119),'2026DATA'!$D$32,"")</f>
        <v/>
      </c>
      <c r="AV149" s="518" t="str">
        <f>IF(AND(_3="A-319",'2026'!$G$4="FO",'2026'!$G$2=AV119),'2026DATA'!$E$32,"")</f>
        <v/>
      </c>
      <c r="AW149" s="518" t="str">
        <f>IF(AND(_3="A-319",'2026'!$G$4="FO",'2026'!$G$2=AW119),'2026DATA'!$F$32,"")</f>
        <v/>
      </c>
      <c r="AX149" s="518" t="str">
        <f>IF(AND(_3="A-319",'2026'!$G$4="FO",'2026'!$G$2=AX119),'2026DATA'!$G$32,"")</f>
        <v/>
      </c>
      <c r="AY149" s="518" t="str">
        <f>IF(AND(_3="A-319",'2026'!$G$4="FO",'2026'!$G$2=AY119),'2026DATA'!$H$32,"")</f>
        <v/>
      </c>
      <c r="AZ149" s="518" t="str">
        <f>IF(AND(_3="A-319",'2026'!$G$4="FO",'2026'!$G$2=AZ119),'2026DATA'!$I$32,"")</f>
        <v/>
      </c>
      <c r="BA149" s="518" t="str">
        <f>IF(AND(_3="A-319",'2026'!$G$4="FO",'2026'!$G$2=BA119),'2026DATA'!$J$32,"")</f>
        <v/>
      </c>
      <c r="BB149" s="518" t="str">
        <f>IF(AND(_3="A-319",'2026'!$G$4="FO",'2026'!$G$2=BB119),'2026DATA'!$K$32,"")</f>
        <v/>
      </c>
      <c r="BC149" s="518" t="str">
        <f>IF(AND(_3="A-319",'2026'!$G$4="FO",'2026'!$G$2=BC119),'2026DATA'!$L$32,"")</f>
        <v/>
      </c>
      <c r="BD149" s="518" t="str">
        <f>IF(AND(_3="A-319",'2026'!$G$4="FO",'2026'!$G$2=BD119),'2026DATA'!$M$32,"")</f>
        <v/>
      </c>
      <c r="BE149" s="520" t="str">
        <f>IF(AND(_3="A-319",'2026'!$G$4="FO",'2026'!$G$2=BE119),'2026DATA'!$N$32,"")</f>
        <v/>
      </c>
      <c r="BF149" s="940"/>
      <c r="BG149" s="13" t="s">
        <v>62</v>
      </c>
      <c r="BH149" s="518" t="str">
        <f>IF(AND(_4="A-319",'2026'!$G$4="FO",'2026'!$G$2=BH119),'2026DATA'!$C$32,"")</f>
        <v/>
      </c>
      <c r="BI149" s="518" t="str">
        <f>IF(AND(_4="A-319",'2026'!$G$4="FO",'2026'!$G$2=BI119),'2026DATA'!$D$32,"")</f>
        <v/>
      </c>
      <c r="BJ149" s="518" t="str">
        <f>IF(AND(_4="A-319",'2026'!$G$4="FO",'2026'!$G$2=BJ119),'2026DATA'!$E$32,"")</f>
        <v/>
      </c>
      <c r="BK149" s="518" t="str">
        <f>IF(AND(_4="A-319",'2026'!$G$4="FO",'2026'!$G$2=BK119),'2026DATA'!$F$32,"")</f>
        <v/>
      </c>
      <c r="BL149" s="518" t="str">
        <f>IF(AND(_4="A-319",'2026'!$G$4="FO",'2026'!$G$2=BL119),'2026DATA'!$G$32,"")</f>
        <v/>
      </c>
      <c r="BM149" s="518" t="str">
        <f>IF(AND(_4="A-319",'2026'!$G$4="FO",'2026'!$G$2=BM119),'2026DATA'!$H$32,"")</f>
        <v/>
      </c>
      <c r="BN149" s="518" t="str">
        <f>IF(AND(_4="A-319",'2026'!$G$4="FO",'2026'!$G$2=BN119),'2026DATA'!$I$32,"")</f>
        <v/>
      </c>
      <c r="BO149" s="518" t="str">
        <f>IF(AND(_4="A-319",'2026'!$G$4="FO",'2026'!$G$2=BO119),'2026DATA'!$J$32,"")</f>
        <v/>
      </c>
      <c r="BP149" s="518" t="str">
        <f>IF(AND(_4="A-319",'2026'!$G$4="FO",'2026'!$G$2=BP119),'2026DATA'!$K$32,"")</f>
        <v/>
      </c>
      <c r="BQ149" s="518" t="str">
        <f>IF(AND(_4="A-319",'2026'!$G$4="FO",'2026'!$G$2=BQ119),'2026DATA'!$L$32,"")</f>
        <v/>
      </c>
      <c r="BR149" s="518" t="str">
        <f>IF(AND(_4="A-319",'2026'!$G$4="FO",'2026'!$G$2=BR119),'2026DATA'!$M$32,"")</f>
        <v/>
      </c>
      <c r="BS149" s="520" t="str">
        <f>IF(AND(_4="A-319",'2026'!$G$4="FO",'2026'!$G$2=BS119),'2026DATA'!$N$32,"")</f>
        <v/>
      </c>
      <c r="BT149" s="940"/>
      <c r="BU149" s="13" t="s">
        <v>62</v>
      </c>
      <c r="BV149" s="518" t="str">
        <f>IF(AND(_5="A-319",'2026'!$G$4="FO",'2026'!$G$2=BV119),'2026DATA'!$C$32,"")</f>
        <v/>
      </c>
      <c r="BW149" s="518" t="str">
        <f>IF(AND(_5="A-319",'2026'!$G$4="FO",'2026'!$G$2=BW119),'2026DATA'!$D$32,"")</f>
        <v/>
      </c>
      <c r="BX149" s="518" t="str">
        <f>IF(AND(_5="A-319",'2026'!$G$4="FO",'2026'!$G$2=BX119),'2026DATA'!$E$32,"")</f>
        <v/>
      </c>
      <c r="BY149" s="518" t="str">
        <f>IF(AND(_5="A-319",'2026'!$G$4="FO",'2026'!$G$2=BY119),'2026DATA'!$F$32,"")</f>
        <v/>
      </c>
      <c r="BZ149" s="518" t="str">
        <f>IF(AND(_5="A-319",'2026'!$G$4="FO",'2026'!$G$2=BZ119),'2026DATA'!$G$32,"")</f>
        <v/>
      </c>
      <c r="CA149" s="518" t="str">
        <f>IF(AND(_5="A-319",'2026'!$G$4="FO",'2026'!$G$2=CA119),'2026DATA'!$H$32,"")</f>
        <v/>
      </c>
      <c r="CB149" s="518" t="str">
        <f>IF(AND(_5="A-319",'2026'!$G$4="FO",'2026'!$G$2=CB119),'2026DATA'!$I$32,"")</f>
        <v/>
      </c>
      <c r="CC149" s="518" t="str">
        <f>IF(AND(_5="A-319",'2026'!$G$4="FO",'2026'!$G$2=CC119),'2026DATA'!$J$32,"")</f>
        <v/>
      </c>
      <c r="CD149" s="518" t="str">
        <f>IF(AND(_5="A-319",'2026'!$G$4="FO",'2026'!$G$2=CD119),'2026DATA'!$K$32,"")</f>
        <v/>
      </c>
      <c r="CE149" s="518" t="str">
        <f>IF(AND(_5="A-319",'2026'!$G$4="FO",'2026'!$G$2=CE119),'2026DATA'!$L$32,"")</f>
        <v/>
      </c>
      <c r="CF149" s="518" t="str">
        <f>IF(AND(_5="A-319",'2026'!$G$4="FO",'2026'!$G$2=CF119),'2026DATA'!$M$32,"")</f>
        <v/>
      </c>
      <c r="CG149" s="520" t="str">
        <f>IF(AND(_5="A-319",'2026'!$G$4="FO",'2026'!$G$2=CG119),'2026DATA'!$N$32,"")</f>
        <v/>
      </c>
      <c r="CH149" s="940"/>
      <c r="CI149" s="13" t="s">
        <v>62</v>
      </c>
      <c r="CJ149" s="518" t="str">
        <f>IF(AND(_6="A-319",'2026'!$G$4="FO",'2026'!$G$2=CJ119),'2026DATA'!$C$32,"")</f>
        <v/>
      </c>
      <c r="CK149" s="518" t="str">
        <f>IF(AND(_6="A-319",'2026'!$G$4="FO",'2026'!$G$2=CK119),'2026DATA'!$D$32,"")</f>
        <v/>
      </c>
      <c r="CL149" s="518" t="str">
        <f>IF(AND(_6="A-319",'2026'!$G$4="FO",'2026'!$G$2=CL119),'2026DATA'!$E$32,"")</f>
        <v/>
      </c>
      <c r="CM149" s="518" t="str">
        <f>IF(AND(_6="A-319",'2026'!$G$4="FO",'2026'!$G$2=CM119),'2026DATA'!$F$32,"")</f>
        <v/>
      </c>
      <c r="CN149" s="518" t="str">
        <f>IF(AND(_6="A-319",'2026'!$G$4="FO",'2026'!$G$2=CN119),'2026DATA'!$G$32,"")</f>
        <v/>
      </c>
      <c r="CO149" s="518" t="str">
        <f>IF(AND(_6="A-319",'2026'!$G$4="FO",'2026'!$G$2=CO119),'2026DATA'!$H$32,"")</f>
        <v/>
      </c>
      <c r="CP149" s="518" t="str">
        <f>IF(AND(_6="A-319",'2026'!$G$4="FO",'2026'!$G$2=CP119),'2026DATA'!$I$32,"")</f>
        <v/>
      </c>
      <c r="CQ149" s="518" t="str">
        <f>IF(AND(_6="A-319",'2026'!$G$4="FO",'2026'!$G$2=CQ119),'2026DATA'!$J$32,"")</f>
        <v/>
      </c>
      <c r="CR149" s="518" t="str">
        <f>IF(AND(_6="A-319",'2026'!$G$4="FO",'2026'!$G$2=CR119),'2026DATA'!$K$32,"")</f>
        <v/>
      </c>
      <c r="CS149" s="518" t="str">
        <f>IF(AND(_6="A-319",'2026'!$G$4="FO",'2026'!$G$2=CS119),'2026DATA'!$L$32,"")</f>
        <v/>
      </c>
      <c r="CT149" s="518" t="str">
        <f>IF(AND(_6="A-319",'2026'!$G$4="FO",'2026'!$G$2=CT119),'2026DATA'!$M$32,"")</f>
        <v/>
      </c>
      <c r="CU149" s="520" t="str">
        <f>IF(AND(_6="A-319",'2026'!$G$4="FO",'2026'!$G$2=CU119),'2026DATA'!$N$32,"")</f>
        <v/>
      </c>
    </row>
    <row r="150" spans="16:99" x14ac:dyDescent="0.25">
      <c r="P150" s="940" t="s">
        <v>51</v>
      </c>
      <c r="Q150" s="13" t="s">
        <v>61</v>
      </c>
      <c r="R150" s="518" t="str">
        <f>IF(AND(_1="A-220-300",'2026'!$G$4="CA",'2026'!$G$2=R119),'2026DATA'!$C$33,"")</f>
        <v/>
      </c>
      <c r="S150" s="518" t="str">
        <f>IF(AND(_1="A-220-300",'2026'!$G$4="CA",'2026'!$G$2=S119),'2026DATA'!$D$33,"")</f>
        <v/>
      </c>
      <c r="T150" s="518" t="str">
        <f>IF(AND(_1="A-220-300",'2026'!$G$4="CA",'2026'!$G$2=T119),'2026DATA'!$E$33,"")</f>
        <v/>
      </c>
      <c r="U150" s="518" t="str">
        <f>IF(AND(_1="A-220-300",'2026'!$G$4="CA",'2026'!$G$2=U119),'2026DATA'!$F$33,"")</f>
        <v/>
      </c>
      <c r="V150" s="518" t="str">
        <f>IF(AND(_1="A-220-300",'2026'!$G$4="CA",'2026'!$G$2=V119),'2026DATA'!$G$33,"")</f>
        <v/>
      </c>
      <c r="W150" s="518" t="str">
        <f>IF(AND(_1="A-220-300",'2026'!$G$4="CA",'2026'!$G$2=W119),'2026DATA'!$H$33,"")</f>
        <v/>
      </c>
      <c r="X150" s="518" t="str">
        <f>IF(AND(_1="A-220-300",'2026'!$G$4="CA",'2026'!$G$2=X119),'2026DATA'!$I$33,"")</f>
        <v/>
      </c>
      <c r="Y150" s="518" t="str">
        <f>IF(AND(_1="A-220-300",'2026'!$G$4="CA",'2026'!$G$2=Y119),'2026DATA'!$J$33,"")</f>
        <v/>
      </c>
      <c r="Z150" s="518" t="str">
        <f>IF(AND(_1="A-220-300",'2026'!$G$4="CA",'2026'!$G$2=Z119),'2026DATA'!$K$33,"")</f>
        <v/>
      </c>
      <c r="AA150" s="518" t="str">
        <f>IF(AND(_1="A-220-300",'2026'!$G$4="CA",'2026'!$G$2=AA119),'2026DATA'!$L$33,"")</f>
        <v/>
      </c>
      <c r="AB150" s="518" t="str">
        <f>IF(AND(_1="A-220-300",'2026'!$G$4="CA",'2026'!$G$2=AB119),'2026DATA'!$M$33,"")</f>
        <v/>
      </c>
      <c r="AC150" s="520" t="str">
        <f>IF(AND(_1="A-220-300",'2026'!$G$4="CA",'2026'!$G$2=AC119),'2026DATA'!$N$33,"")</f>
        <v/>
      </c>
      <c r="AD150" s="940" t="s">
        <v>51</v>
      </c>
      <c r="AE150" s="13" t="s">
        <v>61</v>
      </c>
      <c r="AF150" s="518" t="str">
        <f>IF(AND(_2="A-220-300",'2026'!$G$4="CA",'2026'!$G$2=AF119),'2026DATA'!$C$33,"")</f>
        <v/>
      </c>
      <c r="AG150" s="518" t="str">
        <f>IF(AND(_2="A-220-300",'2026'!$G$4="CA",'2026'!$G$2=AG119),'2026DATA'!$D$33,"")</f>
        <v/>
      </c>
      <c r="AH150" s="518" t="str">
        <f>IF(AND(_2="A-220-300",'2026'!$G$4="CA",'2026'!$G$2=AH119),'2026DATA'!$E$33,"")</f>
        <v/>
      </c>
      <c r="AI150" s="518" t="str">
        <f>IF(AND(_2="A-220-300",'2026'!$G$4="CA",'2026'!$G$2=AI119),'2026DATA'!$F$33,"")</f>
        <v/>
      </c>
      <c r="AJ150" s="518" t="str">
        <f>IF(AND(_2="A-220-300",'2026'!$G$4="CA",'2026'!$G$2=AJ119),'2026DATA'!$G$33,"")</f>
        <v/>
      </c>
      <c r="AK150" s="518" t="str">
        <f>IF(AND(_2="A-220-300",'2026'!$G$4="CA",'2026'!$G$2=AK119),'2026DATA'!$H$33,"")</f>
        <v/>
      </c>
      <c r="AL150" s="518" t="str">
        <f>IF(AND(_2="A-220-300",'2026'!$G$4="CA",'2026'!$G$2=AL119),'2026DATA'!$I$33,"")</f>
        <v/>
      </c>
      <c r="AM150" s="518" t="str">
        <f>IF(AND(_2="A-220-300",'2026'!$G$4="CA",'2026'!$G$2=AM119),'2026DATA'!$J$33,"")</f>
        <v/>
      </c>
      <c r="AN150" s="518" t="str">
        <f>IF(AND(_2="A-220-300",'2026'!$G$4="CA",'2026'!$G$2=AN119),'2026DATA'!$K$33,"")</f>
        <v/>
      </c>
      <c r="AO150" s="518" t="str">
        <f>IF(AND(_2="A-220-300",'2026'!$G$4="CA",'2026'!$G$2=AO119),'2026DATA'!$L$33,"")</f>
        <v/>
      </c>
      <c r="AP150" s="518" t="str">
        <f>IF(AND(_2="A-220-300",'2026'!$G$4="CA",'2026'!$G$2=AP119),'2026DATA'!$M$33,"")</f>
        <v/>
      </c>
      <c r="AQ150" s="520" t="str">
        <f>IF(AND(_2="A-220-300",'2026'!$G$4="CA",'2026'!$G$2=AQ119),'2026DATA'!$N$33,"")</f>
        <v/>
      </c>
      <c r="AR150" s="940" t="s">
        <v>51</v>
      </c>
      <c r="AS150" s="13" t="s">
        <v>61</v>
      </c>
      <c r="AT150" s="518" t="str">
        <f>IF(AND(_3="A-220-300",'2026'!$G$4="CA",'2026'!$G$2=AT119),'2026DATA'!$C$33,"")</f>
        <v/>
      </c>
      <c r="AU150" s="518" t="str">
        <f>IF(AND(_3="A-220-300",'2026'!$G$4="CA",'2026'!$G$2=AU119),'2026DATA'!$D$33,"")</f>
        <v/>
      </c>
      <c r="AV150" s="518" t="str">
        <f>IF(AND(_3="A-220-300",'2026'!$G$4="CA",'2026'!$G$2=AV119),'2026DATA'!$E$33,"")</f>
        <v/>
      </c>
      <c r="AW150" s="518" t="str">
        <f>IF(AND(_3="A-220-300",'2026'!$G$4="CA",'2026'!$G$2=AW119),'2026DATA'!$F$33,"")</f>
        <v/>
      </c>
      <c r="AX150" s="518" t="str">
        <f>IF(AND(_3="A-220-300",'2026'!$G$4="CA",'2026'!$G$2=AX119),'2026DATA'!$G$33,"")</f>
        <v/>
      </c>
      <c r="AY150" s="518" t="str">
        <f>IF(AND(_3="A-220-300",'2026'!$G$4="CA",'2026'!$G$2=AY119),'2026DATA'!$H$33,"")</f>
        <v/>
      </c>
      <c r="AZ150" s="518" t="str">
        <f>IF(AND(_3="A-220-300",'2026'!$G$4="CA",'2026'!$G$2=AZ119),'2026DATA'!$I$33,"")</f>
        <v/>
      </c>
      <c r="BA150" s="518" t="str">
        <f>IF(AND(_3="A-220-300",'2026'!$G$4="CA",'2026'!$G$2=BA119),'2026DATA'!$J$33,"")</f>
        <v/>
      </c>
      <c r="BB150" s="518" t="str">
        <f>IF(AND(_3="A-220-300",'2026'!$G$4="CA",'2026'!$G$2=BB119),'2026DATA'!$K$33,"")</f>
        <v/>
      </c>
      <c r="BC150" s="518" t="str">
        <f>IF(AND(_3="A-220-300",'2026'!$G$4="CA",'2026'!$G$2=BC119),'2026DATA'!$L$33,"")</f>
        <v/>
      </c>
      <c r="BD150" s="518" t="str">
        <f>IF(AND(_3="A-220-300",'2026'!$G$4="CA",'2026'!$G$2=BD119),'2026DATA'!$M$33,"")</f>
        <v/>
      </c>
      <c r="BE150" s="520" t="str">
        <f>IF(AND(_3="A-220-300",'2026'!$G$4="CA",'2026'!$G$2=BE119),'2026DATA'!$N$33,"")</f>
        <v/>
      </c>
      <c r="BF150" s="940" t="s">
        <v>51</v>
      </c>
      <c r="BG150" s="13" t="s">
        <v>61</v>
      </c>
      <c r="BH150" s="518" t="str">
        <f>IF(AND(_4="A-220-300",'2026'!$G$4="CA",'2026'!$G$2=BH119),'2026DATA'!$C$33,"")</f>
        <v/>
      </c>
      <c r="BI150" s="518" t="str">
        <f>IF(AND(_4="A-220-300",'2026'!$G$4="CA",'2026'!$G$2=BI119),'2026DATA'!$D$33,"")</f>
        <v/>
      </c>
      <c r="BJ150" s="518" t="str">
        <f>IF(AND(_4="A-220-300",'2026'!$G$4="CA",'2026'!$G$2=BJ119),'2026DATA'!$E$33,"")</f>
        <v/>
      </c>
      <c r="BK150" s="518" t="str">
        <f>IF(AND(_4="A-220-300",'2026'!$G$4="CA",'2026'!$G$2=BK119),'2026DATA'!$F$33,"")</f>
        <v/>
      </c>
      <c r="BL150" s="518" t="str">
        <f>IF(AND(_4="A-220-300",'2026'!$G$4="CA",'2026'!$G$2=BL119),'2026DATA'!$G$33,"")</f>
        <v/>
      </c>
      <c r="BM150" s="518" t="str">
        <f>IF(AND(_4="A-220-300",'2026'!$G$4="CA",'2026'!$G$2=BM119),'2026DATA'!$H$33,"")</f>
        <v/>
      </c>
      <c r="BN150" s="518" t="str">
        <f>IF(AND(_4="A-220-300",'2026'!$G$4="CA",'2026'!$G$2=BN119),'2026DATA'!$I$33,"")</f>
        <v/>
      </c>
      <c r="BO150" s="518" t="str">
        <f>IF(AND(_4="A-220-300",'2026'!$G$4="CA",'2026'!$G$2=BO119),'2026DATA'!$J$33,"")</f>
        <v/>
      </c>
      <c r="BP150" s="518" t="str">
        <f>IF(AND(_4="A-220-300",'2026'!$G$4="CA",'2026'!$G$2=BP119),'2026DATA'!$K$33,"")</f>
        <v/>
      </c>
      <c r="BQ150" s="518" t="str">
        <f>IF(AND(_4="A-220-300",'2026'!$G$4="CA",'2026'!$G$2=BQ119),'2026DATA'!$L$33,"")</f>
        <v/>
      </c>
      <c r="BR150" s="518" t="str">
        <f>IF(AND(_4="A-220-300",'2026'!$G$4="CA",'2026'!$G$2=BR119),'2026DATA'!$M$33,"")</f>
        <v/>
      </c>
      <c r="BS150" s="520" t="str">
        <f>IF(AND(_4="A-220-300",'2026'!$G$4="CA",'2026'!$G$2=BS119),'2026DATA'!$N$33,"")</f>
        <v/>
      </c>
      <c r="BT150" s="940" t="s">
        <v>51</v>
      </c>
      <c r="BU150" s="13" t="s">
        <v>61</v>
      </c>
      <c r="BV150" s="518" t="str">
        <f>IF(AND(_5="A-220-300",'2026'!$G$4="CA",'2026'!$G$2=BV119),'2026DATA'!$C$33,"")</f>
        <v/>
      </c>
      <c r="BW150" s="518" t="str">
        <f>IF(AND(_5="A-220-300",'2026'!$G$4="CA",'2026'!$G$2=BW119),'2026DATA'!$D$33,"")</f>
        <v/>
      </c>
      <c r="BX150" s="518" t="str">
        <f>IF(AND(_5="A-220-300",'2026'!$G$4="CA",'2026'!$G$2=BX119),'2026DATA'!$E$33,"")</f>
        <v/>
      </c>
      <c r="BY150" s="518" t="str">
        <f>IF(AND(_5="A-220-300",'2026'!$G$4="CA",'2026'!$G$2=BY119),'2026DATA'!$F$33,"")</f>
        <v/>
      </c>
      <c r="BZ150" s="518" t="str">
        <f>IF(AND(_5="A-220-300",'2026'!$G$4="CA",'2026'!$G$2=BZ119),'2026DATA'!$G$33,"")</f>
        <v/>
      </c>
      <c r="CA150" s="518" t="str">
        <f>IF(AND(_5="A-220-300",'2026'!$G$4="CA",'2026'!$G$2=CA119),'2026DATA'!$H$33,"")</f>
        <v/>
      </c>
      <c r="CB150" s="518" t="str">
        <f>IF(AND(_5="A-220-300",'2026'!$G$4="CA",'2026'!$G$2=CB119),'2026DATA'!$I$33,"")</f>
        <v/>
      </c>
      <c r="CC150" s="518" t="str">
        <f>IF(AND(_5="A-220-300",'2026'!$G$4="CA",'2026'!$G$2=CC119),'2026DATA'!$J$33,"")</f>
        <v/>
      </c>
      <c r="CD150" s="518" t="str">
        <f>IF(AND(_5="A-220-300",'2026'!$G$4="CA",'2026'!$G$2=CD119),'2026DATA'!$K$33,"")</f>
        <v/>
      </c>
      <c r="CE150" s="518" t="str">
        <f>IF(AND(_5="A-220-300",'2026'!$G$4="CA",'2026'!$G$2=CE119),'2026DATA'!$L$33,"")</f>
        <v/>
      </c>
      <c r="CF150" s="518" t="str">
        <f>IF(AND(_5="A-220-300",'2026'!$G$4="CA",'2026'!$G$2=CF119),'2026DATA'!$M$33,"")</f>
        <v/>
      </c>
      <c r="CG150" s="520" t="str">
        <f>IF(AND(_5="A-220-300",'2026'!$G$4="CA",'2026'!$G$2=CG119),'2026DATA'!$N$33,"")</f>
        <v/>
      </c>
      <c r="CH150" s="940" t="s">
        <v>51</v>
      </c>
      <c r="CI150" s="13" t="s">
        <v>61</v>
      </c>
      <c r="CJ150" s="518" t="str">
        <f>IF(AND(_6="A-220-300",'2026'!$G$4="CA",'2026'!$G$2=CJ119),'2026DATA'!$C$33,"")</f>
        <v/>
      </c>
      <c r="CK150" s="518" t="str">
        <f>IF(AND(_6="A-220-300",'2026'!$G$4="CA",'2026'!$G$2=CK119),'2026DATA'!$D$33,"")</f>
        <v/>
      </c>
      <c r="CL150" s="518" t="str">
        <f>IF(AND(_6="A-220-300",'2026'!$G$4="CA",'2026'!$G$2=CL119),'2026DATA'!$E$33,"")</f>
        <v/>
      </c>
      <c r="CM150" s="518" t="str">
        <f>IF(AND(_6="A-220-300",'2026'!$G$4="CA",'2026'!$G$2=CM119),'2026DATA'!$F$33,"")</f>
        <v/>
      </c>
      <c r="CN150" s="518" t="str">
        <f>IF(AND(_6="A-220-300",'2026'!$G$4="CA",'2026'!$G$2=CN119),'2026DATA'!$G$33,"")</f>
        <v/>
      </c>
      <c r="CO150" s="518" t="str">
        <f>IF(AND(_6="A-220-300",'2026'!$G$4="CA",'2026'!$G$2=CO119),'2026DATA'!$H$33,"")</f>
        <v/>
      </c>
      <c r="CP150" s="518" t="str">
        <f>IF(AND(_6="A-220-300",'2026'!$G$4="CA",'2026'!$G$2=CP119),'2026DATA'!$I$33,"")</f>
        <v/>
      </c>
      <c r="CQ150" s="518" t="str">
        <f>IF(AND(_6="A-220-300",'2026'!$G$4="CA",'2026'!$G$2=CQ119),'2026DATA'!$J$33,"")</f>
        <v/>
      </c>
      <c r="CR150" s="518" t="str">
        <f>IF(AND(_6="A-220-300",'2026'!$G$4="CA",'2026'!$G$2=CR119),'2026DATA'!$K$33,"")</f>
        <v/>
      </c>
      <c r="CS150" s="518" t="str">
        <f>IF(AND(_6="A-220-300",'2026'!$G$4="CA",'2026'!$G$2=CS119),'2026DATA'!$L$33,"")</f>
        <v/>
      </c>
      <c r="CT150" s="518" t="str">
        <f>IF(AND(_6="A-220-300",'2026'!$G$4="CA",'2026'!$G$2=CT119),'2026DATA'!$M$33,"")</f>
        <v/>
      </c>
      <c r="CU150" s="520" t="str">
        <f>IF(AND(_6="A-220-300",'2026'!$G$4="CA",'2026'!$G$2=CU119),'2026DATA'!$N$33,"")</f>
        <v/>
      </c>
    </row>
    <row r="151" spans="16:99" x14ac:dyDescent="0.25">
      <c r="P151" s="940"/>
      <c r="Q151" s="13" t="s">
        <v>62</v>
      </c>
      <c r="R151" s="518" t="str">
        <f>IF(AND(_1="A-220-300",'2026'!$G$4="FO",'2026'!$G$2=R119),'2026DATA'!$C$34,"")</f>
        <v/>
      </c>
      <c r="S151" s="518" t="str">
        <f>IF(AND(_1="A-220-300",'2026'!$G$4="FO",'2026'!$G$2=S119),'2026DATA'!$D$34,"")</f>
        <v/>
      </c>
      <c r="T151" s="518" t="str">
        <f>IF(AND(_1="A-220-300",'2026'!$G$4="FO",'2026'!$G$2=T119),'2026DATA'!$E$34,"")</f>
        <v/>
      </c>
      <c r="U151" s="518" t="str">
        <f>IF(AND(_1="A-220-300",'2026'!$G$4="FO",'2026'!$G$2=U119),'2026DATA'!$F$34,"")</f>
        <v/>
      </c>
      <c r="V151" s="518" t="str">
        <f>IF(AND(_1="A-220-300",'2026'!$G$4="FO",'2026'!$G$2=V119),'2026DATA'!$G$34,"")</f>
        <v/>
      </c>
      <c r="W151" s="518" t="str">
        <f>IF(AND(_1="A-220-300",'2026'!$G$4="FO",'2026'!$G$2=W119),'2026DATA'!$H$34,"")</f>
        <v/>
      </c>
      <c r="X151" s="518" t="str">
        <f>IF(AND(_1="A-220-300",'2026'!$G$4="FO",'2026'!$G$2=X119),'2026DATA'!$I$34,"")</f>
        <v/>
      </c>
      <c r="Y151" s="518" t="str">
        <f>IF(AND(_1="A-220-300",'2026'!$G$4="FO",'2026'!$G$2=Y119),'2026DATA'!$J$34,"")</f>
        <v/>
      </c>
      <c r="Z151" s="518" t="str">
        <f>IF(AND(_1="A-220-300",'2026'!$G$4="FO",'2026'!$G$2=Z119),'2026DATA'!$K$34,"")</f>
        <v/>
      </c>
      <c r="AA151" s="518" t="str">
        <f>IF(AND(_1="A-220-300",'2026'!$G$4="FO",'2026'!$G$2=AA119),'2026DATA'!$L$34,"")</f>
        <v/>
      </c>
      <c r="AB151" s="518" t="str">
        <f>IF(AND(_1="A-220-300",'2026'!$G$4="FO",'2026'!$G$2=AB119),'2026DATA'!$M$34,"")</f>
        <v/>
      </c>
      <c r="AC151" s="520" t="str">
        <f>IF(AND(_1="A-220-300",'2026'!$G$4="FO",'2026'!$G$2=AC119),'2026DATA'!$N$34,"")</f>
        <v/>
      </c>
      <c r="AD151" s="940"/>
      <c r="AE151" s="13" t="s">
        <v>62</v>
      </c>
      <c r="AF151" s="518" t="str">
        <f>IF(AND(_2="A-220-300",'2026'!$G$4="FO",'2026'!$G$2=AF119),'2026DATA'!$C$34,"")</f>
        <v/>
      </c>
      <c r="AG151" s="518" t="str">
        <f>IF(AND(_2="A-220-300",'2026'!$G$4="FO",'2026'!$G$2=AG119),'2026DATA'!$D$34,"")</f>
        <v/>
      </c>
      <c r="AH151" s="518" t="str">
        <f>IF(AND(_2="A-220-300",'2026'!$G$4="FO",'2026'!$G$2=AH119),'2026DATA'!$E$34,"")</f>
        <v/>
      </c>
      <c r="AI151" s="518" t="str">
        <f>IF(AND(_2="A-220-300",'2026'!$G$4="FO",'2026'!$G$2=AI119),'2026DATA'!$F$34,"")</f>
        <v/>
      </c>
      <c r="AJ151" s="518" t="str">
        <f>IF(AND(_2="A-220-300",'2026'!$G$4="FO",'2026'!$G$2=AJ119),'2026DATA'!$G$34,"")</f>
        <v/>
      </c>
      <c r="AK151" s="518" t="str">
        <f>IF(AND(_2="A-220-300",'2026'!$G$4="FO",'2026'!$G$2=AK119),'2026DATA'!$H$34,"")</f>
        <v/>
      </c>
      <c r="AL151" s="518" t="str">
        <f>IF(AND(_2="A-220-300",'2026'!$G$4="FO",'2026'!$G$2=AL119),'2026DATA'!$I$34,"")</f>
        <v/>
      </c>
      <c r="AM151" s="518" t="str">
        <f>IF(AND(_2="A-220-300",'2026'!$G$4="FO",'2026'!$G$2=AM119),'2026DATA'!$J$34,"")</f>
        <v/>
      </c>
      <c r="AN151" s="518" t="str">
        <f>IF(AND(_2="A-220-300",'2026'!$G$4="FO",'2026'!$G$2=AN119),'2026DATA'!$K$34,"")</f>
        <v/>
      </c>
      <c r="AO151" s="518" t="str">
        <f>IF(AND(_2="A-220-300",'2026'!$G$4="FO",'2026'!$G$2=AO119),'2026DATA'!$L$34,"")</f>
        <v/>
      </c>
      <c r="AP151" s="518" t="str">
        <f>IF(AND(_2="A-220-300",'2026'!$G$4="FO",'2026'!$G$2=AP119),'2026DATA'!$M$34,"")</f>
        <v/>
      </c>
      <c r="AQ151" s="520" t="str">
        <f>IF(AND(_2="A-220-300",'2026'!$G$4="FO",'2026'!$G$2=AQ119),'2026DATA'!$N$34,"")</f>
        <v/>
      </c>
      <c r="AR151" s="940"/>
      <c r="AS151" s="13" t="s">
        <v>62</v>
      </c>
      <c r="AT151" s="518" t="str">
        <f>IF(AND(_3="A-220-300",'2026'!$G$4="FO",'2026'!$G$2=AT119),'2026DATA'!$C$34,"")</f>
        <v/>
      </c>
      <c r="AU151" s="518" t="str">
        <f>IF(AND(_3="A-220-300",'2026'!$G$4="FO",'2026'!$G$2=AU119),'2026DATA'!$D$34,"")</f>
        <v/>
      </c>
      <c r="AV151" s="518" t="str">
        <f>IF(AND(_3="A-220-300",'2026'!$G$4="FO",'2026'!$G$2=AV119),'2026DATA'!$E$34,"")</f>
        <v/>
      </c>
      <c r="AW151" s="518" t="str">
        <f>IF(AND(_3="A-220-300",'2026'!$G$4="FO",'2026'!$G$2=AW119),'2026DATA'!$F$34,"")</f>
        <v/>
      </c>
      <c r="AX151" s="518" t="str">
        <f>IF(AND(_3="A-220-300",'2026'!$G$4="FO",'2026'!$G$2=AX119),'2026DATA'!$G$34,"")</f>
        <v/>
      </c>
      <c r="AY151" s="518" t="str">
        <f>IF(AND(_3="A-220-300",'2026'!$G$4="FO",'2026'!$G$2=AY119),'2026DATA'!$H$34,"")</f>
        <v/>
      </c>
      <c r="AZ151" s="518" t="str">
        <f>IF(AND(_3="A-220-300",'2026'!$G$4="FO",'2026'!$G$2=AZ119),'2026DATA'!$I$34,"")</f>
        <v/>
      </c>
      <c r="BA151" s="518" t="str">
        <f>IF(AND(_3="A-220-300",'2026'!$G$4="FO",'2026'!$G$2=BA119),'2026DATA'!$J$34,"")</f>
        <v/>
      </c>
      <c r="BB151" s="518" t="str">
        <f>IF(AND(_3="A-220-300",'2026'!$G$4="FO",'2026'!$G$2=BB119),'2026DATA'!$K$34,"")</f>
        <v/>
      </c>
      <c r="BC151" s="518" t="str">
        <f>IF(AND(_3="A-220-300",'2026'!$G$4="FO",'2026'!$G$2=BC119),'2026DATA'!$L$34,"")</f>
        <v/>
      </c>
      <c r="BD151" s="518" t="str">
        <f>IF(AND(_3="A-220-300",'2026'!$G$4="FO",'2026'!$G$2=BD119),'2026DATA'!$M$34,"")</f>
        <v/>
      </c>
      <c r="BE151" s="520" t="str">
        <f>IF(AND(_3="A-220-300",'2026'!$G$4="FO",'2026'!$G$2=BE119),'2026DATA'!$N$34,"")</f>
        <v/>
      </c>
      <c r="BF151" s="940"/>
      <c r="BG151" s="13" t="s">
        <v>62</v>
      </c>
      <c r="BH151" s="518" t="str">
        <f>IF(AND(_4="A-220-300",'2026'!$G$4="FO",'2026'!$G$2=BH119),'2026DATA'!$C$34,"")</f>
        <v/>
      </c>
      <c r="BI151" s="518" t="str">
        <f>IF(AND(_4="A-220-300",'2026'!$G$4="FO",'2026'!$G$2=BI119),'2026DATA'!$D$34,"")</f>
        <v/>
      </c>
      <c r="BJ151" s="518" t="str">
        <f>IF(AND(_4="A-220-300",'2026'!$G$4="FO",'2026'!$G$2=BJ119),'2026DATA'!$E$34,"")</f>
        <v/>
      </c>
      <c r="BK151" s="518" t="str">
        <f>IF(AND(_4="A-220-300",'2026'!$G$4="FO",'2026'!$G$2=BK119),'2026DATA'!$F$34,"")</f>
        <v/>
      </c>
      <c r="BL151" s="518" t="str">
        <f>IF(AND(_4="A-220-300",'2026'!$G$4="FO",'2026'!$G$2=BL119),'2026DATA'!$G$34,"")</f>
        <v/>
      </c>
      <c r="BM151" s="518" t="str">
        <f>IF(AND(_4="A-220-300",'2026'!$G$4="FO",'2026'!$G$2=BM119),'2026DATA'!$H$34,"")</f>
        <v/>
      </c>
      <c r="BN151" s="518" t="str">
        <f>IF(AND(_4="A-220-300",'2026'!$G$4="FO",'2026'!$G$2=BN119),'2026DATA'!$I$34,"")</f>
        <v/>
      </c>
      <c r="BO151" s="518" t="str">
        <f>IF(AND(_4="A-220-300",'2026'!$G$4="FO",'2026'!$G$2=BO119),'2026DATA'!$J$34,"")</f>
        <v/>
      </c>
      <c r="BP151" s="518" t="str">
        <f>IF(AND(_4="A-220-300",'2026'!$G$4="FO",'2026'!$G$2=BP119),'2026DATA'!$K$34,"")</f>
        <v/>
      </c>
      <c r="BQ151" s="518" t="str">
        <f>IF(AND(_4="A-220-300",'2026'!$G$4="FO",'2026'!$G$2=BQ119),'2026DATA'!$L$34,"")</f>
        <v/>
      </c>
      <c r="BR151" s="518" t="str">
        <f>IF(AND(_4="A-220-300",'2026'!$G$4="FO",'2026'!$G$2=BR119),'2026DATA'!$M$34,"")</f>
        <v/>
      </c>
      <c r="BS151" s="520" t="str">
        <f>IF(AND(_4="A-220-300",'2026'!$G$4="FO",'2026'!$G$2=BS119),'2026DATA'!$N$34,"")</f>
        <v/>
      </c>
      <c r="BT151" s="940"/>
      <c r="BU151" s="13" t="s">
        <v>62</v>
      </c>
      <c r="BV151" s="518" t="str">
        <f>IF(AND(_5="A-220-300",'2026'!$G$4="FO",'2026'!$G$2=BV119),'2026DATA'!$C$34,"")</f>
        <v/>
      </c>
      <c r="BW151" s="518" t="str">
        <f>IF(AND(_5="A-220-300",'2026'!$G$4="FO",'2026'!$G$2=BW119),'2026DATA'!$D$34,"")</f>
        <v/>
      </c>
      <c r="BX151" s="518" t="str">
        <f>IF(AND(_5="A-220-300",'2026'!$G$4="FO",'2026'!$G$2=BX119),'2026DATA'!$E$34,"")</f>
        <v/>
      </c>
      <c r="BY151" s="518" t="str">
        <f>IF(AND(_5="A-220-300",'2026'!$G$4="FO",'2026'!$G$2=BY119),'2026DATA'!$F$34,"")</f>
        <v/>
      </c>
      <c r="BZ151" s="518" t="str">
        <f>IF(AND(_5="A-220-300",'2026'!$G$4="FO",'2026'!$G$2=BZ119),'2026DATA'!$G$34,"")</f>
        <v/>
      </c>
      <c r="CA151" s="518" t="str">
        <f>IF(AND(_5="A-220-300",'2026'!$G$4="FO",'2026'!$G$2=CA119),'2026DATA'!$H$34,"")</f>
        <v/>
      </c>
      <c r="CB151" s="518" t="str">
        <f>IF(AND(_5="A-220-300",'2026'!$G$4="FO",'2026'!$G$2=CB119),'2026DATA'!$I$34,"")</f>
        <v/>
      </c>
      <c r="CC151" s="518" t="str">
        <f>IF(AND(_5="A-220-300",'2026'!$G$4="FO",'2026'!$G$2=CC119),'2026DATA'!$J$34,"")</f>
        <v/>
      </c>
      <c r="CD151" s="518" t="str">
        <f>IF(AND(_5="A-220-300",'2026'!$G$4="FO",'2026'!$G$2=CD119),'2026DATA'!$K$34,"")</f>
        <v/>
      </c>
      <c r="CE151" s="518" t="str">
        <f>IF(AND(_5="A-220-300",'2026'!$G$4="FO",'2026'!$G$2=CE119),'2026DATA'!$L$34,"")</f>
        <v/>
      </c>
      <c r="CF151" s="518" t="str">
        <f>IF(AND(_5="A-220-300",'2026'!$G$4="FO",'2026'!$G$2=CF119),'2026DATA'!$M$34,"")</f>
        <v/>
      </c>
      <c r="CG151" s="520" t="str">
        <f>IF(AND(_5="A-220-300",'2026'!$G$4="FO",'2026'!$G$2=CG119),'2026DATA'!$N$34,"")</f>
        <v/>
      </c>
      <c r="CH151" s="940"/>
      <c r="CI151" s="13" t="s">
        <v>62</v>
      </c>
      <c r="CJ151" s="518" t="str">
        <f>IF(AND(_6="A-220-300",'2026'!$G$4="FO",'2026'!$G$2=CJ119),'2026DATA'!$C$34,"")</f>
        <v/>
      </c>
      <c r="CK151" s="518" t="str">
        <f>IF(AND(_6="A-220-300",'2026'!$G$4="FO",'2026'!$G$2=CK119),'2026DATA'!$D$34,"")</f>
        <v/>
      </c>
      <c r="CL151" s="518" t="str">
        <f>IF(AND(_6="A-220-300",'2026'!$G$4="FO",'2026'!$G$2=CL119),'2026DATA'!$E$34,"")</f>
        <v/>
      </c>
      <c r="CM151" s="518" t="str">
        <f>IF(AND(_6="A-220-300",'2026'!$G$4="FO",'2026'!$G$2=CM119),'2026DATA'!$F$34,"")</f>
        <v/>
      </c>
      <c r="CN151" s="518" t="str">
        <f>IF(AND(_6="A-220-300",'2026'!$G$4="FO",'2026'!$G$2=CN119),'2026DATA'!$G$34,"")</f>
        <v/>
      </c>
      <c r="CO151" s="518" t="str">
        <f>IF(AND(_6="A-220-300",'2026'!$G$4="FO",'2026'!$G$2=CO119),'2026DATA'!$H$34,"")</f>
        <v/>
      </c>
      <c r="CP151" s="518" t="str">
        <f>IF(AND(_6="A-220-300",'2026'!$G$4="FO",'2026'!$G$2=CP119),'2026DATA'!$I$34,"")</f>
        <v/>
      </c>
      <c r="CQ151" s="518" t="str">
        <f>IF(AND(_6="A-220-300",'2026'!$G$4="FO",'2026'!$G$2=CQ119),'2026DATA'!$J$34,"")</f>
        <v/>
      </c>
      <c r="CR151" s="518" t="str">
        <f>IF(AND(_6="A-220-300",'2026'!$G$4="FO",'2026'!$G$2=CR119),'2026DATA'!$K$34,"")</f>
        <v/>
      </c>
      <c r="CS151" s="518" t="str">
        <f>IF(AND(_6="A-220-300",'2026'!$G$4="FO",'2026'!$G$2=CS119),'2026DATA'!$L$34,"")</f>
        <v/>
      </c>
      <c r="CT151" s="518" t="str">
        <f>IF(AND(_6="A-220-300",'2026'!$G$4="FO",'2026'!$G$2=CT119),'2026DATA'!$M$34,"")</f>
        <v/>
      </c>
      <c r="CU151" s="520" t="str">
        <f>IF(AND(_6="A-220-300",'2026'!$G$4="FO",'2026'!$G$2=CU119),'2026DATA'!$N$34,"")</f>
        <v/>
      </c>
    </row>
    <row r="152" spans="16:99" x14ac:dyDescent="0.25">
      <c r="P152" s="940" t="s">
        <v>52</v>
      </c>
      <c r="Q152" s="13" t="s">
        <v>61</v>
      </c>
      <c r="R152" s="518" t="str">
        <f>IF(AND(_1="A-220-100",'2026'!$G$4="CA",'2026'!$G$2=R119),'2026DATA'!$C$35,"")</f>
        <v/>
      </c>
      <c r="S152" s="518" t="str">
        <f>IF(AND(_1="A-220-100",'2026'!$G$4="CA",'2026'!$G$2=S119),'2026DATA'!$D$35,"")</f>
        <v/>
      </c>
      <c r="T152" s="518" t="str">
        <f>IF(AND(_1="A-220-100",'2026'!$G$4="CA",'2026'!$G$2=T119),'2026DATA'!$E$35,"")</f>
        <v/>
      </c>
      <c r="U152" s="518" t="str">
        <f>IF(AND(_1="A-220-100",'2026'!$G$4="CA",'2026'!$G$2=U119),'2026DATA'!$F$35,"")</f>
        <v/>
      </c>
      <c r="V152" s="518" t="str">
        <f>IF(AND(_1="A-220-100",'2026'!$G$4="CA",'2026'!$G$2=V119),'2026DATA'!$G$35,"")</f>
        <v/>
      </c>
      <c r="W152" s="518" t="str">
        <f>IF(AND(_1="A-220-100",'2026'!$G$4="CA",'2026'!$G$2=W119),'2026DATA'!$H$35,"")</f>
        <v/>
      </c>
      <c r="X152" s="518" t="str">
        <f>IF(AND(_1="A-220-100",'2026'!$G$4="CA",'2026'!$G$2=X119),'2026DATA'!$I$35,"")</f>
        <v/>
      </c>
      <c r="Y152" s="518" t="str">
        <f>IF(AND(_1="A-220-100",'2026'!$G$4="CA",'2026'!$G$2=Y119),'2026DATA'!$J$35,"")</f>
        <v/>
      </c>
      <c r="Z152" s="518" t="str">
        <f>IF(AND(_1="A-220-100",'2026'!$G$4="CA",'2026'!$G$2=Z119),'2026DATA'!$K$35,"")</f>
        <v/>
      </c>
      <c r="AA152" s="518" t="str">
        <f>IF(AND(_1="A-220-100",'2026'!$G$4="CA",'2026'!$G$2=AA119),'2026DATA'!$L$35,"")</f>
        <v/>
      </c>
      <c r="AB152" s="518" t="str">
        <f>IF(AND(_1="A-220-100",'2026'!$G$4="CA",'2026'!$G$2=AB119),'2026DATA'!$M$35,"")</f>
        <v/>
      </c>
      <c r="AC152" s="520" t="str">
        <f>IF(AND(_1="A-220-100",'2026'!$G$4="CA",'2026'!$G$2=AC119),'2026DATA'!$N$35,"")</f>
        <v/>
      </c>
      <c r="AD152" s="940" t="s">
        <v>52</v>
      </c>
      <c r="AE152" s="13" t="s">
        <v>61</v>
      </c>
      <c r="AF152" s="518" t="str">
        <f>IF(AND(_2="A-220-100",'2026'!$G$4="CA",'2026'!$G$2=AF119),'2026DATA'!$C$35,"")</f>
        <v/>
      </c>
      <c r="AG152" s="518" t="str">
        <f>IF(AND(_2="A-220-100",'2026'!$G$4="CA",'2026'!$G$2=AG119),'2026DATA'!$D$35,"")</f>
        <v/>
      </c>
      <c r="AH152" s="518" t="str">
        <f>IF(AND(_2="A-220-100",'2026'!$G$4="CA",'2026'!$G$2=AH119),'2026DATA'!$E$35,"")</f>
        <v/>
      </c>
      <c r="AI152" s="518" t="str">
        <f>IF(AND(_2="A-220-100",'2026'!$G$4="CA",'2026'!$G$2=AI119),'2026DATA'!$F$35,"")</f>
        <v/>
      </c>
      <c r="AJ152" s="518" t="str">
        <f>IF(AND(_2="A-220-100",'2026'!$G$4="CA",'2026'!$G$2=AJ119),'2026DATA'!$G$35,"")</f>
        <v/>
      </c>
      <c r="AK152" s="518" t="str">
        <f>IF(AND(_2="A-220-100",'2026'!$G$4="CA",'2026'!$G$2=AK119),'2026DATA'!$H$35,"")</f>
        <v/>
      </c>
      <c r="AL152" s="518" t="str">
        <f>IF(AND(_2="A-220-100",'2026'!$G$4="CA",'2026'!$G$2=AL119),'2026DATA'!$I$35,"")</f>
        <v/>
      </c>
      <c r="AM152" s="518" t="str">
        <f>IF(AND(_2="A-220-100",'2026'!$G$4="CA",'2026'!$G$2=AM119),'2026DATA'!$J$35,"")</f>
        <v/>
      </c>
      <c r="AN152" s="518" t="str">
        <f>IF(AND(_2="A-220-100",'2026'!$G$4="CA",'2026'!$G$2=AN119),'2026DATA'!$K$35,"")</f>
        <v/>
      </c>
      <c r="AO152" s="518" t="str">
        <f>IF(AND(_2="A-220-100",'2026'!$G$4="CA",'2026'!$G$2=AO119),'2026DATA'!$L$35,"")</f>
        <v/>
      </c>
      <c r="AP152" s="518" t="str">
        <f>IF(AND(_2="A-220-100",'2026'!$G$4="CA",'2026'!$G$2=AP119),'2026DATA'!$M$35,"")</f>
        <v/>
      </c>
      <c r="AQ152" s="520" t="str">
        <f>IF(AND(_2="A-220-100",'2026'!$G$4="CA",'2026'!$G$2=AQ119),'2026DATA'!$N$35,"")</f>
        <v/>
      </c>
      <c r="AR152" s="940" t="s">
        <v>52</v>
      </c>
      <c r="AS152" s="13" t="s">
        <v>61</v>
      </c>
      <c r="AT152" s="518" t="str">
        <f>IF(AND(_3="A-220-100",'2026'!$G$4="CA",'2026'!$G$2=AT119),'2026DATA'!$C$35,"")</f>
        <v/>
      </c>
      <c r="AU152" s="518" t="str">
        <f>IF(AND(_3="A-220-100",'2026'!$G$4="CA",'2026'!$G$2=AU119),'2026DATA'!$D$35,"")</f>
        <v/>
      </c>
      <c r="AV152" s="518" t="str">
        <f>IF(AND(_3="A-220-100",'2026'!$G$4="CA",'2026'!$G$2=AV119),'2026DATA'!$E$35,"")</f>
        <v/>
      </c>
      <c r="AW152" s="518" t="str">
        <f>IF(AND(_3="A-220-100",'2026'!$G$4="CA",'2026'!$G$2=AW119),'2026DATA'!$F$35,"")</f>
        <v/>
      </c>
      <c r="AX152" s="518" t="str">
        <f>IF(AND(_3="A-220-100",'2026'!$G$4="CA",'2026'!$G$2=AX119),'2026DATA'!$G$35,"")</f>
        <v/>
      </c>
      <c r="AY152" s="518" t="str">
        <f>IF(AND(_3="A-220-100",'2026'!$G$4="CA",'2026'!$G$2=AY119),'2026DATA'!$H$35,"")</f>
        <v/>
      </c>
      <c r="AZ152" s="518" t="str">
        <f>IF(AND(_3="A-220-100",'2026'!$G$4="CA",'2026'!$G$2=AZ119),'2026DATA'!$I$35,"")</f>
        <v/>
      </c>
      <c r="BA152" s="518" t="str">
        <f>IF(AND(_3="A-220-100",'2026'!$G$4="CA",'2026'!$G$2=BA119),'2026DATA'!$J$35,"")</f>
        <v/>
      </c>
      <c r="BB152" s="518" t="str">
        <f>IF(AND(_3="A-220-100",'2026'!$G$4="CA",'2026'!$G$2=BB119),'2026DATA'!$K$35,"")</f>
        <v/>
      </c>
      <c r="BC152" s="518" t="str">
        <f>IF(AND(_3="A-220-100",'2026'!$G$4="CA",'2026'!$G$2=BC119),'2026DATA'!$L$35,"")</f>
        <v/>
      </c>
      <c r="BD152" s="518" t="str">
        <f>IF(AND(_3="A-220-100",'2026'!$G$4="CA",'2026'!$G$2=BD119),'2026DATA'!$M$35,"")</f>
        <v/>
      </c>
      <c r="BE152" s="520" t="str">
        <f>IF(AND(_3="A-220-100",'2026'!$G$4="CA",'2026'!$G$2=BE119),'2026DATA'!$N$35,"")</f>
        <v/>
      </c>
      <c r="BF152" s="940" t="s">
        <v>52</v>
      </c>
      <c r="BG152" s="13" t="s">
        <v>61</v>
      </c>
      <c r="BH152" s="518" t="str">
        <f>IF(AND(_4="A-220-100",'2026'!$G$4="CA",'2026'!$G$2=BH119),'2026DATA'!$C$35,"")</f>
        <v/>
      </c>
      <c r="BI152" s="518" t="str">
        <f>IF(AND(_4="A-220-100",'2026'!$G$4="CA",'2026'!$G$2=BI119),'2026DATA'!$D$35,"")</f>
        <v/>
      </c>
      <c r="BJ152" s="518" t="str">
        <f>IF(AND(_4="A-220-100",'2026'!$G$4="CA",'2026'!$G$2=BJ119),'2026DATA'!$E$35,"")</f>
        <v/>
      </c>
      <c r="BK152" s="518" t="str">
        <f>IF(AND(_4="A-220-100",'2026'!$G$4="CA",'2026'!$G$2=BK119),'2026DATA'!$F$35,"")</f>
        <v/>
      </c>
      <c r="BL152" s="518" t="str">
        <f>IF(AND(_4="A-220-100",'2026'!$G$4="CA",'2026'!$G$2=BL119),'2026DATA'!$G$35,"")</f>
        <v/>
      </c>
      <c r="BM152" s="518" t="str">
        <f>IF(AND(_4="A-220-100",'2026'!$G$4="CA",'2026'!$G$2=BM119),'2026DATA'!$H$35,"")</f>
        <v/>
      </c>
      <c r="BN152" s="518" t="str">
        <f>IF(AND(_4="A-220-100",'2026'!$G$4="CA",'2026'!$G$2=BN119),'2026DATA'!$I$35,"")</f>
        <v/>
      </c>
      <c r="BO152" s="518" t="str">
        <f>IF(AND(_4="A-220-100",'2026'!$G$4="CA",'2026'!$G$2=BO119),'2026DATA'!$J$35,"")</f>
        <v/>
      </c>
      <c r="BP152" s="518" t="str">
        <f>IF(AND(_4="A-220-100",'2026'!$G$4="CA",'2026'!$G$2=BP119),'2026DATA'!$K$35,"")</f>
        <v/>
      </c>
      <c r="BQ152" s="518" t="str">
        <f>IF(AND(_4="A-220-100",'2026'!$G$4="CA",'2026'!$G$2=BQ119),'2026DATA'!$L$35,"")</f>
        <v/>
      </c>
      <c r="BR152" s="518" t="str">
        <f>IF(AND(_4="A-220-100",'2026'!$G$4="CA",'2026'!$G$2=BR119),'2026DATA'!$M$35,"")</f>
        <v/>
      </c>
      <c r="BS152" s="520" t="str">
        <f>IF(AND(_4="A-220-100",'2026'!$G$4="CA",'2026'!$G$2=BS119),'2026DATA'!$N$35,"")</f>
        <v/>
      </c>
      <c r="BT152" s="940" t="s">
        <v>52</v>
      </c>
      <c r="BU152" s="13" t="s">
        <v>61</v>
      </c>
      <c r="BV152" s="518" t="str">
        <f>IF(AND(_5="A-220-100",'2026'!$G$4="CA",'2026'!$G$2=BV119),'2026DATA'!$C$35,"")</f>
        <v/>
      </c>
      <c r="BW152" s="518" t="str">
        <f>IF(AND(_5="A-220-100",'2026'!$G$4="CA",'2026'!$G$2=BW119),'2026DATA'!$D$35,"")</f>
        <v/>
      </c>
      <c r="BX152" s="518" t="str">
        <f>IF(AND(_5="A-220-100",'2026'!$G$4="CA",'2026'!$G$2=BX119),'2026DATA'!$E$35,"")</f>
        <v/>
      </c>
      <c r="BY152" s="518" t="str">
        <f>IF(AND(_5="A-220-100",'2026'!$G$4="CA",'2026'!$G$2=BY119),'2026DATA'!$F$35,"")</f>
        <v/>
      </c>
      <c r="BZ152" s="518" t="str">
        <f>IF(AND(_5="A-220-100",'2026'!$G$4="CA",'2026'!$G$2=BZ119),'2026DATA'!$G$35,"")</f>
        <v/>
      </c>
      <c r="CA152" s="518" t="str">
        <f>IF(AND(_5="A-220-100",'2026'!$G$4="CA",'2026'!$G$2=CA119),'2026DATA'!$H$35,"")</f>
        <v/>
      </c>
      <c r="CB152" s="518" t="str">
        <f>IF(AND(_5="A-220-100",'2026'!$G$4="CA",'2026'!$G$2=CB119),'2026DATA'!$I$35,"")</f>
        <v/>
      </c>
      <c r="CC152" s="518" t="str">
        <f>IF(AND(_5="A-220-100",'2026'!$G$4="CA",'2026'!$G$2=CC119),'2026DATA'!$J$35,"")</f>
        <v/>
      </c>
      <c r="CD152" s="518" t="str">
        <f>IF(AND(_5="A-220-100",'2026'!$G$4="CA",'2026'!$G$2=CD119),'2026DATA'!$K$35,"")</f>
        <v/>
      </c>
      <c r="CE152" s="518" t="str">
        <f>IF(AND(_5="A-220-100",'2026'!$G$4="CA",'2026'!$G$2=CE119),'2026DATA'!$L$35,"")</f>
        <v/>
      </c>
      <c r="CF152" s="518" t="str">
        <f>IF(AND(_5="A-220-100",'2026'!$G$4="CA",'2026'!$G$2=CF119),'2026DATA'!$M$35,"")</f>
        <v/>
      </c>
      <c r="CG152" s="520" t="str">
        <f>IF(AND(_5="A-220-100",'2026'!$G$4="CA",'2026'!$G$2=CG119),'2026DATA'!$N$35,"")</f>
        <v/>
      </c>
      <c r="CH152" s="940" t="s">
        <v>52</v>
      </c>
      <c r="CI152" s="13" t="s">
        <v>61</v>
      </c>
      <c r="CJ152" s="518" t="str">
        <f>IF(AND(_6="A-220-100",'2026'!$G$4="CA",'2026'!$G$2=CJ119),'2026DATA'!$C$35,"")</f>
        <v/>
      </c>
      <c r="CK152" s="518" t="str">
        <f>IF(AND(_6="A-220-100",'2026'!$G$4="CA",'2026'!$G$2=CK119),'2026DATA'!$D$35,"")</f>
        <v/>
      </c>
      <c r="CL152" s="518" t="str">
        <f>IF(AND(_6="A-220-100",'2026'!$G$4="CA",'2026'!$G$2=CL119),'2026DATA'!$E$35,"")</f>
        <v/>
      </c>
      <c r="CM152" s="518" t="str">
        <f>IF(AND(_6="A-220-100",'2026'!$G$4="CA",'2026'!$G$2=CM119),'2026DATA'!$F$35,"")</f>
        <v/>
      </c>
      <c r="CN152" s="518" t="str">
        <f>IF(AND(_6="A-220-100",'2026'!$G$4="CA",'2026'!$G$2=CN119),'2026DATA'!$G$35,"")</f>
        <v/>
      </c>
      <c r="CO152" s="518" t="str">
        <f>IF(AND(_6="A-220-100",'2026'!$G$4="CA",'2026'!$G$2=CO119),'2026DATA'!$H$35,"")</f>
        <v/>
      </c>
      <c r="CP152" s="518" t="str">
        <f>IF(AND(_6="A-220-100",'2026'!$G$4="CA",'2026'!$G$2=CP119),'2026DATA'!$I$35,"")</f>
        <v/>
      </c>
      <c r="CQ152" s="518" t="str">
        <f>IF(AND(_6="A-220-100",'2026'!$G$4="CA",'2026'!$G$2=CQ119),'2026DATA'!$J$35,"")</f>
        <v/>
      </c>
      <c r="CR152" s="518" t="str">
        <f>IF(AND(_6="A-220-100",'2026'!$G$4="CA",'2026'!$G$2=CR119),'2026DATA'!$K$35,"")</f>
        <v/>
      </c>
      <c r="CS152" s="518" t="str">
        <f>IF(AND(_6="A-220-100",'2026'!$G$4="CA",'2026'!$G$2=CS119),'2026DATA'!$L$35,"")</f>
        <v/>
      </c>
      <c r="CT152" s="518" t="str">
        <f>IF(AND(_6="A-220-100",'2026'!$G$4="CA",'2026'!$G$2=CT119),'2026DATA'!$M$35,"")</f>
        <v/>
      </c>
      <c r="CU152" s="520" t="str">
        <f>IF(AND(_6="A-220-100",'2026'!$G$4="CA",'2026'!$G$2=CU119),'2026DATA'!$N$35,"")</f>
        <v/>
      </c>
    </row>
    <row r="153" spans="16:99" x14ac:dyDescent="0.25">
      <c r="P153" s="940"/>
      <c r="Q153" s="13" t="s">
        <v>62</v>
      </c>
      <c r="R153" s="518" t="str">
        <f>IF(AND(_1="A-220-100",'2026'!$G$4="FO",'2026'!$G$2=R119),'2026DATA'!$C$36,"")</f>
        <v/>
      </c>
      <c r="S153" s="518" t="str">
        <f>IF(AND(_1="A-220-100",'2026'!$G$4="FO",'2026'!$G$2=S119),'2026DATA'!$D$36,"")</f>
        <v/>
      </c>
      <c r="T153" s="518" t="str">
        <f>IF(AND(_1="A-220-100",'2026'!$G$4="FO",'2026'!$G$2=T119),'2026DATA'!$E$36,"")</f>
        <v/>
      </c>
      <c r="U153" s="518" t="str">
        <f>IF(AND(_1="A-220-100",'2026'!$G$4="FO",'2026'!$G$2=U119),'2026DATA'!$F$36,"")</f>
        <v/>
      </c>
      <c r="V153" s="518" t="str">
        <f>IF(AND(_1="A-220-100",'2026'!$G$4="FO",'2026'!$G$2=V119),'2026DATA'!$G$36,"")</f>
        <v/>
      </c>
      <c r="W153" s="518" t="str">
        <f>IF(AND(_1="A-220-100",'2026'!$G$4="FO",'2026'!$G$2=W119),'2026DATA'!$H$36,"")</f>
        <v/>
      </c>
      <c r="X153" s="518" t="str">
        <f>IF(AND(_1="A-220-100",'2026'!$G$4="FO",'2026'!$G$2=X119),'2026DATA'!$I$36,"")</f>
        <v/>
      </c>
      <c r="Y153" s="518" t="str">
        <f>IF(AND(_1="A-220-100",'2026'!$G$4="FO",'2026'!$G$2=Y119),'2026DATA'!$J$36,"")</f>
        <v/>
      </c>
      <c r="Z153" s="518" t="str">
        <f>IF(AND(_1="A-220-100",'2026'!$G$4="FO",'2026'!$G$2=Z119),'2026DATA'!$K$36,"")</f>
        <v/>
      </c>
      <c r="AA153" s="518" t="str">
        <f>IF(AND(_1="A-220-100",'2026'!$G$4="FO",'2026'!$G$2=AA119),'2026DATA'!$L$36,"")</f>
        <v/>
      </c>
      <c r="AB153" s="518" t="str">
        <f>IF(AND(_1="A-220-100",'2026'!$G$4="FO",'2026'!$G$2=AB119),'2026DATA'!$M$36,"")</f>
        <v/>
      </c>
      <c r="AC153" s="520" t="str">
        <f>IF(AND(_1="A-220-100",'2026'!$G$4="FO",'2026'!$G$2=AC119),'2026DATA'!$N$36,"")</f>
        <v/>
      </c>
      <c r="AD153" s="940"/>
      <c r="AE153" s="13" t="s">
        <v>62</v>
      </c>
      <c r="AF153" s="518" t="str">
        <f>IF(AND(_2="A-220-100",'2026'!$G$4="FO",'2026'!$G$2=AF119),'2026DATA'!$C$36,"")</f>
        <v/>
      </c>
      <c r="AG153" s="518" t="str">
        <f>IF(AND(_2="A-220-100",'2026'!$G$4="FO",'2026'!$G$2=AG119),'2026DATA'!$D$36,"")</f>
        <v/>
      </c>
      <c r="AH153" s="518" t="str">
        <f>IF(AND(_2="A-220-100",'2026'!$G$4="FO",'2026'!$G$2=AH119),'2026DATA'!$E$36,"")</f>
        <v/>
      </c>
      <c r="AI153" s="518" t="str">
        <f>IF(AND(_2="A-220-100",'2026'!$G$4="FO",'2026'!$G$2=AI119),'2026DATA'!$F$36,"")</f>
        <v/>
      </c>
      <c r="AJ153" s="518" t="str">
        <f>IF(AND(_2="A-220-100",'2026'!$G$4="FO",'2026'!$G$2=AJ119),'2026DATA'!$G$36,"")</f>
        <v/>
      </c>
      <c r="AK153" s="518" t="str">
        <f>IF(AND(_2="A-220-100",'2026'!$G$4="FO",'2026'!$G$2=AK119),'2026DATA'!$H$36,"")</f>
        <v/>
      </c>
      <c r="AL153" s="518" t="str">
        <f>IF(AND(_2="A-220-100",'2026'!$G$4="FO",'2026'!$G$2=AL119),'2026DATA'!$I$36,"")</f>
        <v/>
      </c>
      <c r="AM153" s="518" t="str">
        <f>IF(AND(_2="A-220-100",'2026'!$G$4="FO",'2026'!$G$2=AM119),'2026DATA'!$J$36,"")</f>
        <v/>
      </c>
      <c r="AN153" s="518" t="str">
        <f>IF(AND(_2="A-220-100",'2026'!$G$4="FO",'2026'!$G$2=AN119),'2026DATA'!$K$36,"")</f>
        <v/>
      </c>
      <c r="AO153" s="518" t="str">
        <f>IF(AND(_2="A-220-100",'2026'!$G$4="FO",'2026'!$G$2=AO119),'2026DATA'!$L$36,"")</f>
        <v/>
      </c>
      <c r="AP153" s="518" t="str">
        <f>IF(AND(_2="A-220-100",'2026'!$G$4="FO",'2026'!$G$2=AP119),'2026DATA'!$M$36,"")</f>
        <v/>
      </c>
      <c r="AQ153" s="520" t="str">
        <f>IF(AND(_2="A-220-100",'2026'!$G$4="FO",'2026'!$G$2=AQ119),'2026DATA'!$N$36,"")</f>
        <v/>
      </c>
      <c r="AR153" s="940"/>
      <c r="AS153" s="13" t="s">
        <v>62</v>
      </c>
      <c r="AT153" s="518" t="str">
        <f>IF(AND(_3="A-220-100",'2026'!$G$4="FO",'2026'!$G$2=AT119),'2026DATA'!$C$36,"")</f>
        <v/>
      </c>
      <c r="AU153" s="518" t="str">
        <f>IF(AND(_3="A-220-100",'2026'!$G$4="FO",'2026'!$G$2=AU119),'2026DATA'!$D$36,"")</f>
        <v/>
      </c>
      <c r="AV153" s="518" t="str">
        <f>IF(AND(_3="A-220-100",'2026'!$G$4="FO",'2026'!$G$2=AV119),'2026DATA'!$E$36,"")</f>
        <v/>
      </c>
      <c r="AW153" s="518" t="str">
        <f>IF(AND(_3="A-220-100",'2026'!$G$4="FO",'2026'!$G$2=AW119),'2026DATA'!$F$36,"")</f>
        <v/>
      </c>
      <c r="AX153" s="518" t="str">
        <f>IF(AND(_3="A-220-100",'2026'!$G$4="FO",'2026'!$G$2=AX119),'2026DATA'!$G$36,"")</f>
        <v/>
      </c>
      <c r="AY153" s="518" t="str">
        <f>IF(AND(_3="A-220-100",'2026'!$G$4="FO",'2026'!$G$2=AY119),'2026DATA'!$H$36,"")</f>
        <v/>
      </c>
      <c r="AZ153" s="518" t="str">
        <f>IF(AND(_3="A-220-100",'2026'!$G$4="FO",'2026'!$G$2=AZ119),'2026DATA'!$I$36,"")</f>
        <v/>
      </c>
      <c r="BA153" s="518" t="str">
        <f>IF(AND(_3="A-220-100",'2026'!$G$4="FO",'2026'!$G$2=BA119),'2026DATA'!$J$36,"")</f>
        <v/>
      </c>
      <c r="BB153" s="518" t="str">
        <f>IF(AND(_3="A-220-100",'2026'!$G$4="FO",'2026'!$G$2=BB119),'2026DATA'!$K$36,"")</f>
        <v/>
      </c>
      <c r="BC153" s="518" t="str">
        <f>IF(AND(_3="A-220-100",'2026'!$G$4="FO",'2026'!$G$2=BC119),'2026DATA'!$L$36,"")</f>
        <v/>
      </c>
      <c r="BD153" s="518" t="str">
        <f>IF(AND(_3="A-220-100",'2026'!$G$4="FO",'2026'!$G$2=BD119),'2026DATA'!$M$36,"")</f>
        <v/>
      </c>
      <c r="BE153" s="520" t="str">
        <f>IF(AND(_3="A-220-100",'2026'!$G$4="FO",'2026'!$G$2=BE119),'2026DATA'!$N$36,"")</f>
        <v/>
      </c>
      <c r="BF153" s="940"/>
      <c r="BG153" s="13" t="s">
        <v>62</v>
      </c>
      <c r="BH153" s="518" t="str">
        <f>IF(AND(_4="A-220-100",'2026'!$G$4="FO",'2026'!$G$2=BH119),'2026DATA'!$C$36,"")</f>
        <v/>
      </c>
      <c r="BI153" s="518" t="str">
        <f>IF(AND(_4="A-220-100",'2026'!$G$4="FO",'2026'!$G$2=BI119),'2026DATA'!$D$36,"")</f>
        <v/>
      </c>
      <c r="BJ153" s="518" t="str">
        <f>IF(AND(_4="A-220-100",'2026'!$G$4="FO",'2026'!$G$2=BJ119),'2026DATA'!$E$36,"")</f>
        <v/>
      </c>
      <c r="BK153" s="518" t="str">
        <f>IF(AND(_4="A-220-100",'2026'!$G$4="FO",'2026'!$G$2=BK119),'2026DATA'!$F$36,"")</f>
        <v/>
      </c>
      <c r="BL153" s="518" t="str">
        <f>IF(AND(_4="A-220-100",'2026'!$G$4="FO",'2026'!$G$2=BL119),'2026DATA'!$G$36,"")</f>
        <v/>
      </c>
      <c r="BM153" s="518" t="str">
        <f>IF(AND(_4="A-220-100",'2026'!$G$4="FO",'2026'!$G$2=BM119),'2026DATA'!$H$36,"")</f>
        <v/>
      </c>
      <c r="BN153" s="518" t="str">
        <f>IF(AND(_4="A-220-100",'2026'!$G$4="FO",'2026'!$G$2=BN119),'2026DATA'!$I$36,"")</f>
        <v/>
      </c>
      <c r="BO153" s="518" t="str">
        <f>IF(AND(_4="A-220-100",'2026'!$G$4="FO",'2026'!$G$2=BO119),'2026DATA'!$J$36,"")</f>
        <v/>
      </c>
      <c r="BP153" s="518" t="str">
        <f>IF(AND(_4="A-220-100",'2026'!$G$4="FO",'2026'!$G$2=BP119),'2026DATA'!$K$36,"")</f>
        <v/>
      </c>
      <c r="BQ153" s="518" t="str">
        <f>IF(AND(_4="A-220-100",'2026'!$G$4="FO",'2026'!$G$2=BQ119),'2026DATA'!$L$36,"")</f>
        <v/>
      </c>
      <c r="BR153" s="518" t="str">
        <f>IF(AND(_4="A-220-100",'2026'!$G$4="FO",'2026'!$G$2=BR119),'2026DATA'!$M$36,"")</f>
        <v/>
      </c>
      <c r="BS153" s="520" t="str">
        <f>IF(AND(_4="A-220-100",'2026'!$G$4="FO",'2026'!$G$2=BS119),'2026DATA'!$N$36,"")</f>
        <v/>
      </c>
      <c r="BT153" s="940"/>
      <c r="BU153" s="13" t="s">
        <v>62</v>
      </c>
      <c r="BV153" s="518" t="str">
        <f>IF(AND(_5="A-220-100",'2026'!$G$4="FO",'2026'!$G$2=BV119),'2026DATA'!$C$36,"")</f>
        <v/>
      </c>
      <c r="BW153" s="518" t="str">
        <f>IF(AND(_5="A-220-100",'2026'!$G$4="FO",'2026'!$G$2=BW119),'2026DATA'!$D$36,"")</f>
        <v/>
      </c>
      <c r="BX153" s="518" t="str">
        <f>IF(AND(_5="A-220-100",'2026'!$G$4="FO",'2026'!$G$2=BX119),'2026DATA'!$E$36,"")</f>
        <v/>
      </c>
      <c r="BY153" s="518" t="str">
        <f>IF(AND(_5="A-220-100",'2026'!$G$4="FO",'2026'!$G$2=BY119),'2026DATA'!$F$36,"")</f>
        <v/>
      </c>
      <c r="BZ153" s="518" t="str">
        <f>IF(AND(_5="A-220-100",'2026'!$G$4="FO",'2026'!$G$2=BZ119),'2026DATA'!$G$36,"")</f>
        <v/>
      </c>
      <c r="CA153" s="518" t="str">
        <f>IF(AND(_5="A-220-100",'2026'!$G$4="FO",'2026'!$G$2=CA119),'2026DATA'!$H$36,"")</f>
        <v/>
      </c>
      <c r="CB153" s="518" t="str">
        <f>IF(AND(_5="A-220-100",'2026'!$G$4="FO",'2026'!$G$2=CB119),'2026DATA'!$I$36,"")</f>
        <v/>
      </c>
      <c r="CC153" s="518" t="str">
        <f>IF(AND(_5="A-220-100",'2026'!$G$4="FO",'2026'!$G$2=CC119),'2026DATA'!$J$36,"")</f>
        <v/>
      </c>
      <c r="CD153" s="518" t="str">
        <f>IF(AND(_5="A-220-100",'2026'!$G$4="FO",'2026'!$G$2=CD119),'2026DATA'!$K$36,"")</f>
        <v/>
      </c>
      <c r="CE153" s="518" t="str">
        <f>IF(AND(_5="A-220-100",'2026'!$G$4="FO",'2026'!$G$2=CE119),'2026DATA'!$L$36,"")</f>
        <v/>
      </c>
      <c r="CF153" s="518" t="str">
        <f>IF(AND(_5="A-220-100",'2026'!$G$4="FO",'2026'!$G$2=CF119),'2026DATA'!$M$36,"")</f>
        <v/>
      </c>
      <c r="CG153" s="520" t="str">
        <f>IF(AND(_5="A-220-100",'2026'!$G$4="FO",'2026'!$G$2=CG119),'2026DATA'!$N$36,"")</f>
        <v/>
      </c>
      <c r="CH153" s="940"/>
      <c r="CI153" s="13" t="s">
        <v>62</v>
      </c>
      <c r="CJ153" s="518" t="str">
        <f>IF(AND(_6="A-220-100",'2026'!$G$4="FO",'2026'!$G$2=CJ119),'2026DATA'!$C$36,"")</f>
        <v/>
      </c>
      <c r="CK153" s="518" t="str">
        <f>IF(AND(_6="A-220-100",'2026'!$G$4="FO",'2026'!$G$2=CK119),'2026DATA'!$D$36,"")</f>
        <v/>
      </c>
      <c r="CL153" s="518" t="str">
        <f>IF(AND(_6="A-220-100",'2026'!$G$4="FO",'2026'!$G$2=CL119),'2026DATA'!$E$36,"")</f>
        <v/>
      </c>
      <c r="CM153" s="518" t="str">
        <f>IF(AND(_6="A-220-100",'2026'!$G$4="FO",'2026'!$G$2=CM119),'2026DATA'!$F$36,"")</f>
        <v/>
      </c>
      <c r="CN153" s="518" t="str">
        <f>IF(AND(_6="A-220-100",'2026'!$G$4="FO",'2026'!$G$2=CN119),'2026DATA'!$G$36,"")</f>
        <v/>
      </c>
      <c r="CO153" s="518" t="str">
        <f>IF(AND(_6="A-220-100",'2026'!$G$4="FO",'2026'!$G$2=CO119),'2026DATA'!$H$36,"")</f>
        <v/>
      </c>
      <c r="CP153" s="518" t="str">
        <f>IF(AND(_6="A-220-100",'2026'!$G$4="FO",'2026'!$G$2=CP119),'2026DATA'!$I$36,"")</f>
        <v/>
      </c>
      <c r="CQ153" s="518" t="str">
        <f>IF(AND(_6="A-220-100",'2026'!$G$4="FO",'2026'!$G$2=CQ119),'2026DATA'!$J$36,"")</f>
        <v/>
      </c>
      <c r="CR153" s="518" t="str">
        <f>IF(AND(_6="A-220-100",'2026'!$G$4="FO",'2026'!$G$2=CR119),'2026DATA'!$K$36,"")</f>
        <v/>
      </c>
      <c r="CS153" s="518" t="str">
        <f>IF(AND(_6="A-220-100",'2026'!$G$4="FO",'2026'!$G$2=CS119),'2026DATA'!$L$36,"")</f>
        <v/>
      </c>
      <c r="CT153" s="518" t="str">
        <f>IF(AND(_6="A-220-100",'2026'!$G$4="FO",'2026'!$G$2=CT119),'2026DATA'!$M$36,"")</f>
        <v/>
      </c>
      <c r="CU153" s="520" t="str">
        <f>IF(AND(_6="A-220-100",'2026'!$G$4="FO",'2026'!$G$2=CU119),'2026DATA'!$N$36,"")</f>
        <v/>
      </c>
    </row>
    <row r="154" spans="16:99" x14ac:dyDescent="0.25">
      <c r="P154" s="940" t="s">
        <v>53</v>
      </c>
      <c r="Q154" s="13" t="s">
        <v>61</v>
      </c>
      <c r="R154" s="518" t="str">
        <f>IF(AND(_1="B-717",'2026'!$G$4="CA",'2026'!$G$2=R119),'2026DATA'!$C$37,"")</f>
        <v/>
      </c>
      <c r="S154" s="518" t="str">
        <f>IF(AND(_1="B-717",'2026'!$G$4="CA",'2026'!$G$2=S119),'2026DATA'!$D$37,"")</f>
        <v/>
      </c>
      <c r="T154" s="518" t="str">
        <f>IF(AND(_1="B-717",'2026'!$G$4="CA",'2026'!$G$2=T119),'2026DATA'!$E$37,"")</f>
        <v/>
      </c>
      <c r="U154" s="518" t="str">
        <f>IF(AND(_1="B-717",'2026'!$G$4="CA",'2026'!$G$2=U119),'2026DATA'!$F$37,"")</f>
        <v/>
      </c>
      <c r="V154" s="518" t="str">
        <f>IF(AND(_1="B-717",'2026'!$G$4="CA",'2026'!$G$2=V119),'2026DATA'!$G$37,"")</f>
        <v/>
      </c>
      <c r="W154" s="518" t="str">
        <f>IF(AND(_1="B-717",'2026'!$G$4="CA",'2026'!$G$2=W119),'2026DATA'!$H$37,"")</f>
        <v/>
      </c>
      <c r="X154" s="518" t="str">
        <f>IF(AND(_1="B-717",'2026'!$G$4="CA",'2026'!$G$2=X119),'2026DATA'!$I$37,"")</f>
        <v/>
      </c>
      <c r="Y154" s="518" t="str">
        <f>IF(AND(_1="B-717",'2026'!$G$4="CA",'2026'!$G$2=Y119),'2026DATA'!$J$37,"")</f>
        <v/>
      </c>
      <c r="Z154" s="518" t="str">
        <f>IF(AND(_1="B-717",'2026'!$G$4="CA",'2026'!$G$2=Z119),'2026DATA'!$K$37,"")</f>
        <v/>
      </c>
      <c r="AA154" s="518" t="str">
        <f>IF(AND(_1="B-717",'2026'!$G$4="CA",'2026'!$G$2=AA119),'2026DATA'!$L$37,"")</f>
        <v/>
      </c>
      <c r="AB154" s="518" t="str">
        <f>IF(AND(_1="B-717",'2026'!$G$4="CA",'2026'!$G$2=AB119),'2026DATA'!$M$37,"")</f>
        <v/>
      </c>
      <c r="AC154" s="520" t="str">
        <f>IF(AND(_1="B-717",'2026'!$G$4="CA",'2026'!$G$2=AC119),'2026DATA'!$N$37,"")</f>
        <v/>
      </c>
      <c r="AD154" s="940" t="s">
        <v>53</v>
      </c>
      <c r="AE154" s="13" t="s">
        <v>61</v>
      </c>
      <c r="AF154" s="518" t="str">
        <f>IF(AND(_2="B-717",'2026'!$G$4="CA",'2026'!$G$2=AF119),'2026DATA'!$C$37,"")</f>
        <v/>
      </c>
      <c r="AG154" s="518" t="str">
        <f>IF(AND(_2="B-717",'2026'!$G$4="CA",'2026'!$G$2=AG119),'2026DATA'!$D$37,"")</f>
        <v/>
      </c>
      <c r="AH154" s="518" t="str">
        <f>IF(AND(_2="B-717",'2026'!$G$4="CA",'2026'!$G$2=AH119),'2026DATA'!$E$37,"")</f>
        <v/>
      </c>
      <c r="AI154" s="518" t="str">
        <f>IF(AND(_2="B-717",'2026'!$G$4="CA",'2026'!$G$2=AI119),'2026DATA'!$F$37,"")</f>
        <v/>
      </c>
      <c r="AJ154" s="518" t="str">
        <f>IF(AND(_2="B-717",'2026'!$G$4="CA",'2026'!$G$2=AJ119),'2026DATA'!$G$37,"")</f>
        <v/>
      </c>
      <c r="AK154" s="518" t="str">
        <f>IF(AND(_2="B-717",'2026'!$G$4="CA",'2026'!$G$2=AK119),'2026DATA'!$H$37,"")</f>
        <v/>
      </c>
      <c r="AL154" s="518" t="str">
        <f>IF(AND(_2="B-717",'2026'!$G$4="CA",'2026'!$G$2=AL119),'2026DATA'!$I$37,"")</f>
        <v/>
      </c>
      <c r="AM154" s="518" t="str">
        <f>IF(AND(_2="B-717",'2026'!$G$4="CA",'2026'!$G$2=AM119),'2026DATA'!$J$37,"")</f>
        <v/>
      </c>
      <c r="AN154" s="518" t="str">
        <f>IF(AND(_2="B-717",'2026'!$G$4="CA",'2026'!$G$2=AN119),'2026DATA'!$K$37,"")</f>
        <v/>
      </c>
      <c r="AO154" s="518" t="str">
        <f>IF(AND(_2="B-717",'2026'!$G$4="CA",'2026'!$G$2=AO119),'2026DATA'!$L$37,"")</f>
        <v/>
      </c>
      <c r="AP154" s="518" t="str">
        <f>IF(AND(_2="B-717",'2026'!$G$4="CA",'2026'!$G$2=AP119),'2026DATA'!$M$37,"")</f>
        <v/>
      </c>
      <c r="AQ154" s="520" t="str">
        <f>IF(AND(_2="B-717",'2026'!$G$4="CA",'2026'!$G$2=AQ119),'2026DATA'!$N$37,"")</f>
        <v/>
      </c>
      <c r="AR154" s="940" t="s">
        <v>53</v>
      </c>
      <c r="AS154" s="13" t="s">
        <v>61</v>
      </c>
      <c r="AT154" s="518" t="str">
        <f>IF(AND(_3="B-717",'2026'!$G$4="CA",'2026'!$G$2=AT119),'2026DATA'!$C$37,"")</f>
        <v/>
      </c>
      <c r="AU154" s="518" t="str">
        <f>IF(AND(_3="B-717",'2026'!$G$4="CA",'2026'!$G$2=AU119),'2026DATA'!$D$37,"")</f>
        <v/>
      </c>
      <c r="AV154" s="518" t="str">
        <f>IF(AND(_3="B-717",'2026'!$G$4="CA",'2026'!$G$2=AV119),'2026DATA'!$E$37,"")</f>
        <v/>
      </c>
      <c r="AW154" s="518" t="str">
        <f>IF(AND(_3="B-717",'2026'!$G$4="CA",'2026'!$G$2=AW119),'2026DATA'!$F$37,"")</f>
        <v/>
      </c>
      <c r="AX154" s="518" t="str">
        <f>IF(AND(_3="B-717",'2026'!$G$4="CA",'2026'!$G$2=AX119),'2026DATA'!$G$37,"")</f>
        <v/>
      </c>
      <c r="AY154" s="518" t="str">
        <f>IF(AND(_3="B-717",'2026'!$G$4="CA",'2026'!$G$2=AY119),'2026DATA'!$H$37,"")</f>
        <v/>
      </c>
      <c r="AZ154" s="518" t="str">
        <f>IF(AND(_3="B-717",'2026'!$G$4="CA",'2026'!$G$2=AZ119),'2026DATA'!$I$37,"")</f>
        <v/>
      </c>
      <c r="BA154" s="518" t="str">
        <f>IF(AND(_3="B-717",'2026'!$G$4="CA",'2026'!$G$2=BA119),'2026DATA'!$J$37,"")</f>
        <v/>
      </c>
      <c r="BB154" s="518" t="str">
        <f>IF(AND(_3="B-717",'2026'!$G$4="CA",'2026'!$G$2=BB119),'2026DATA'!$K$37,"")</f>
        <v/>
      </c>
      <c r="BC154" s="518" t="str">
        <f>IF(AND(_3="B-717",'2026'!$G$4="CA",'2026'!$G$2=BC119),'2026DATA'!$L$37,"")</f>
        <v/>
      </c>
      <c r="BD154" s="518" t="str">
        <f>IF(AND(_3="B-717",'2026'!$G$4="CA",'2026'!$G$2=BD119),'2026DATA'!$M$37,"")</f>
        <v/>
      </c>
      <c r="BE154" s="520" t="str">
        <f>IF(AND(_3="B-717",'2026'!$G$4="CA",'2026'!$G$2=BE119),'2026DATA'!$N$37,"")</f>
        <v/>
      </c>
      <c r="BF154" s="940" t="s">
        <v>53</v>
      </c>
      <c r="BG154" s="13" t="s">
        <v>61</v>
      </c>
      <c r="BH154" s="518" t="str">
        <f>IF(AND(_4="B-717",'2026'!$G$4="CA",'2026'!$G$2=BH119),'2026DATA'!$C$37,"")</f>
        <v/>
      </c>
      <c r="BI154" s="518" t="str">
        <f>IF(AND(_4="B-717",'2026'!$G$4="CA",'2026'!$G$2=BI119),'2026DATA'!$D$37,"")</f>
        <v/>
      </c>
      <c r="BJ154" s="518" t="str">
        <f>IF(AND(_4="B-717",'2026'!$G$4="CA",'2026'!$G$2=BJ119),'2026DATA'!$E$37,"")</f>
        <v/>
      </c>
      <c r="BK154" s="518" t="str">
        <f>IF(AND(_4="B-717",'2026'!$G$4="CA",'2026'!$G$2=BK119),'2026DATA'!$F$37,"")</f>
        <v/>
      </c>
      <c r="BL154" s="518" t="str">
        <f>IF(AND(_4="B-717",'2026'!$G$4="CA",'2026'!$G$2=BL119),'2026DATA'!$G$37,"")</f>
        <v/>
      </c>
      <c r="BM154" s="518" t="str">
        <f>IF(AND(_4="B-717",'2026'!$G$4="CA",'2026'!$G$2=BM119),'2026DATA'!$H$37,"")</f>
        <v/>
      </c>
      <c r="BN154" s="518" t="str">
        <f>IF(AND(_4="B-717",'2026'!$G$4="CA",'2026'!$G$2=BN119),'2026DATA'!$I$37,"")</f>
        <v/>
      </c>
      <c r="BO154" s="518" t="str">
        <f>IF(AND(_4="B-717",'2026'!$G$4="CA",'2026'!$G$2=BO119),'2026DATA'!$J$37,"")</f>
        <v/>
      </c>
      <c r="BP154" s="518" t="str">
        <f>IF(AND(_4="B-717",'2026'!$G$4="CA",'2026'!$G$2=BP119),'2026DATA'!$K$37,"")</f>
        <v/>
      </c>
      <c r="BQ154" s="518" t="str">
        <f>IF(AND(_4="B-717",'2026'!$G$4="CA",'2026'!$G$2=BQ119),'2026DATA'!$L$37,"")</f>
        <v/>
      </c>
      <c r="BR154" s="518" t="str">
        <f>IF(AND(_4="B-717",'2026'!$G$4="CA",'2026'!$G$2=BR119),'2026DATA'!$M$37,"")</f>
        <v/>
      </c>
      <c r="BS154" s="520" t="str">
        <f>IF(AND(_4="B-717",'2026'!$G$4="CA",'2026'!$G$2=BS119),'2026DATA'!$N$37,"")</f>
        <v/>
      </c>
      <c r="BT154" s="940" t="s">
        <v>53</v>
      </c>
      <c r="BU154" s="13" t="s">
        <v>61</v>
      </c>
      <c r="BV154" s="518" t="str">
        <f>IF(AND(_5="B-717",'2026'!$G$4="CA",'2026'!$G$2=BV119),'2026DATA'!$C$37,"")</f>
        <v/>
      </c>
      <c r="BW154" s="518" t="str">
        <f>IF(AND(_5="B-717",'2026'!$G$4="CA",'2026'!$G$2=BW119),'2026DATA'!$D$37,"")</f>
        <v/>
      </c>
      <c r="BX154" s="518" t="str">
        <f>IF(AND(_5="B-717",'2026'!$G$4="CA",'2026'!$G$2=BX119),'2026DATA'!$E$37,"")</f>
        <v/>
      </c>
      <c r="BY154" s="518" t="str">
        <f>IF(AND(_5="B-717",'2026'!$G$4="CA",'2026'!$G$2=BY119),'2026DATA'!$F$37,"")</f>
        <v/>
      </c>
      <c r="BZ154" s="518" t="str">
        <f>IF(AND(_5="B-717",'2026'!$G$4="CA",'2026'!$G$2=BZ119),'2026DATA'!$G$37,"")</f>
        <v/>
      </c>
      <c r="CA154" s="518" t="str">
        <f>IF(AND(_5="B-717",'2026'!$G$4="CA",'2026'!$G$2=CA119),'2026DATA'!$H$37,"")</f>
        <v/>
      </c>
      <c r="CB154" s="518" t="str">
        <f>IF(AND(_5="B-717",'2026'!$G$4="CA",'2026'!$G$2=CB119),'2026DATA'!$I$37,"")</f>
        <v/>
      </c>
      <c r="CC154" s="518" t="str">
        <f>IF(AND(_5="B-717",'2026'!$G$4="CA",'2026'!$G$2=CC119),'2026DATA'!$J$37,"")</f>
        <v/>
      </c>
      <c r="CD154" s="518" t="str">
        <f>IF(AND(_5="B-717",'2026'!$G$4="CA",'2026'!$G$2=CD119),'2026DATA'!$K$37,"")</f>
        <v/>
      </c>
      <c r="CE154" s="518" t="str">
        <f>IF(AND(_5="B-717",'2026'!$G$4="CA",'2026'!$G$2=CE119),'2026DATA'!$L$37,"")</f>
        <v/>
      </c>
      <c r="CF154" s="518" t="str">
        <f>IF(AND(_5="B-717",'2026'!$G$4="CA",'2026'!$G$2=CF119),'2026DATA'!$M$37,"")</f>
        <v/>
      </c>
      <c r="CG154" s="520" t="str">
        <f>IF(AND(_5="B-717",'2026'!$G$4="CA",'2026'!$G$2=CG119),'2026DATA'!$N$37,"")</f>
        <v/>
      </c>
      <c r="CH154" s="940" t="s">
        <v>53</v>
      </c>
      <c r="CI154" s="13" t="s">
        <v>61</v>
      </c>
      <c r="CJ154" s="518" t="str">
        <f>IF(AND(_6="B-717",'2026'!$G$4="CA",'2026'!$G$2=CJ119),'2026DATA'!$C$37,"")</f>
        <v/>
      </c>
      <c r="CK154" s="518" t="str">
        <f>IF(AND(_6="B-717",'2026'!$G$4="CA",'2026'!$G$2=CK119),'2026DATA'!$D$37,"")</f>
        <v/>
      </c>
      <c r="CL154" s="518" t="str">
        <f>IF(AND(_6="B-717",'2026'!$G$4="CA",'2026'!$G$2=CL119),'2026DATA'!$E$37,"")</f>
        <v/>
      </c>
      <c r="CM154" s="518" t="str">
        <f>IF(AND(_6="B-717",'2026'!$G$4="CA",'2026'!$G$2=CM119),'2026DATA'!$F$37,"")</f>
        <v/>
      </c>
      <c r="CN154" s="518" t="str">
        <f>IF(AND(_6="B-717",'2026'!$G$4="CA",'2026'!$G$2=CN119),'2026DATA'!$G$37,"")</f>
        <v/>
      </c>
      <c r="CO154" s="518" t="str">
        <f>IF(AND(_6="B-717",'2026'!$G$4="CA",'2026'!$G$2=CO119),'2026DATA'!$H$37,"")</f>
        <v/>
      </c>
      <c r="CP154" s="518" t="str">
        <f>IF(AND(_6="B-717",'2026'!$G$4="CA",'2026'!$G$2=CP119),'2026DATA'!$I$37,"")</f>
        <v/>
      </c>
      <c r="CQ154" s="518" t="str">
        <f>IF(AND(_6="B-717",'2026'!$G$4="CA",'2026'!$G$2=CQ119),'2026DATA'!$J$37,"")</f>
        <v/>
      </c>
      <c r="CR154" s="518" t="str">
        <f>IF(AND(_6="B-717",'2026'!$G$4="CA",'2026'!$G$2=CR119),'2026DATA'!$K$37,"")</f>
        <v/>
      </c>
      <c r="CS154" s="518" t="str">
        <f>IF(AND(_6="B-717",'2026'!$G$4="CA",'2026'!$G$2=CS119),'2026DATA'!$L$37,"")</f>
        <v/>
      </c>
      <c r="CT154" s="518" t="str">
        <f>IF(AND(_6="B-717",'2026'!$G$4="CA",'2026'!$G$2=CT119),'2026DATA'!$M$37,"")</f>
        <v/>
      </c>
      <c r="CU154" s="520" t="str">
        <f>IF(AND(_6="B-717",'2026'!$G$4="CA",'2026'!$G$2=CU119),'2026DATA'!$N$37,"")</f>
        <v/>
      </c>
    </row>
    <row r="155" spans="16:99" ht="15.75" thickBot="1" x14ac:dyDescent="0.3">
      <c r="P155" s="942"/>
      <c r="Q155" s="2" t="s">
        <v>62</v>
      </c>
      <c r="R155" s="518" t="str">
        <f>IF(AND(_1="B-717",'2026'!$G$4="FO",'2026'!$G$2=R119),'2026DATA'!$C$38,"")</f>
        <v/>
      </c>
      <c r="S155" s="518" t="str">
        <f>IF(AND(_1="B-717",'2026'!$G$4="FO",'2026'!$G$2=S119),'2026DATA'!$D$38,"")</f>
        <v/>
      </c>
      <c r="T155" s="518" t="str">
        <f>IF(AND(_1="B-717",'2026'!$G$4="FO",'2026'!$G$2=T119),'2026DATA'!$E$38,"")</f>
        <v/>
      </c>
      <c r="U155" s="518" t="str">
        <f>IF(AND(_1="B-717",'2026'!$G$4="FO",'2026'!$G$2=U119),'2026DATA'!$F$38,"")</f>
        <v/>
      </c>
      <c r="V155" s="518" t="str">
        <f>IF(AND(_1="B-717",'2026'!$G$4="FO",'2026'!$G$2=V119),'2026DATA'!$G$38,"")</f>
        <v/>
      </c>
      <c r="W155" s="518" t="str">
        <f>IF(AND(_1="B-717",'2026'!$G$4="FO",'2026'!$G$2=W119),'2026DATA'!$H$38,"")</f>
        <v/>
      </c>
      <c r="X155" s="518" t="str">
        <f>IF(AND(_1="B-717",'2026'!$G$4="FO",'2026'!$G$2=X119),'2026DATA'!$I$38,"")</f>
        <v/>
      </c>
      <c r="Y155" s="518" t="str">
        <f>IF(AND(_1="B-717",'2026'!$G$4="FO",'2026'!$G$2=Y119),'2026DATA'!$J$38,"")</f>
        <v/>
      </c>
      <c r="Z155" s="518" t="str">
        <f>IF(AND(_1="B-717",'2026'!$G$4="FO",'2026'!$G$2=Z119),'2026DATA'!$K$38,"")</f>
        <v/>
      </c>
      <c r="AA155" s="518" t="str">
        <f>IF(AND(_1="B-717",'2026'!$G$4="FO",'2026'!$G$2=AA119),'2026DATA'!$L$38,"")</f>
        <v/>
      </c>
      <c r="AB155" s="518" t="str">
        <f>IF(AND(_1="B-717",'2026'!$G$4="FO",'2026'!$G$2=AB119),'2026DATA'!$M$38,"")</f>
        <v/>
      </c>
      <c r="AC155" s="520" t="str">
        <f>IF(AND(_1="B-717",'2026'!$G$4="FO",'2026'!$G$2=AC119),'2026DATA'!$N$38,"")</f>
        <v/>
      </c>
      <c r="AD155" s="942"/>
      <c r="AE155" s="2" t="s">
        <v>62</v>
      </c>
      <c r="AF155" s="518" t="str">
        <f>IF(AND(_2="B-717",'2026'!$G$4="FO",'2026'!$G$2=AF119),'2026DATA'!$C$38,"")</f>
        <v/>
      </c>
      <c r="AG155" s="518" t="str">
        <f>IF(AND(_2="B-717",'2026'!$G$4="FO",'2026'!$G$2=AG119),'2026DATA'!$D$38,"")</f>
        <v/>
      </c>
      <c r="AH155" s="518" t="str">
        <f>IF(AND(_2="B-717",'2026'!$G$4="FO",'2026'!$G$2=AH119),'2026DATA'!$E$38,"")</f>
        <v/>
      </c>
      <c r="AI155" s="518" t="str">
        <f>IF(AND(_2="B-717",'2026'!$G$4="FO",'2026'!$G$2=AI119),'2026DATA'!$F$38,"")</f>
        <v/>
      </c>
      <c r="AJ155" s="518" t="str">
        <f>IF(AND(_2="B-717",'2026'!$G$4="FO",'2026'!$G$2=AJ119),'2026DATA'!$G$38,"")</f>
        <v/>
      </c>
      <c r="AK155" s="518" t="str">
        <f>IF(AND(_2="B-717",'2026'!$G$4="FO",'2026'!$G$2=AK119),'2026DATA'!$H$38,"")</f>
        <v/>
      </c>
      <c r="AL155" s="518" t="str">
        <f>IF(AND(_2="B-717",'2026'!$G$4="FO",'2026'!$G$2=AL119),'2026DATA'!$I$38,"")</f>
        <v/>
      </c>
      <c r="AM155" s="518" t="str">
        <f>IF(AND(_2="B-717",'2026'!$G$4="FO",'2026'!$G$2=AM119),'2026DATA'!$J$38,"")</f>
        <v/>
      </c>
      <c r="AN155" s="518" t="str">
        <f>IF(AND(_2="B-717",'2026'!$G$4="FO",'2026'!$G$2=AN119),'2026DATA'!$K$38,"")</f>
        <v/>
      </c>
      <c r="AO155" s="518" t="str">
        <f>IF(AND(_2="B-717",'2026'!$G$4="FO",'2026'!$G$2=AO119),'2026DATA'!$L$38,"")</f>
        <v/>
      </c>
      <c r="AP155" s="518" t="str">
        <f>IF(AND(_2="B-717",'2026'!$G$4="FO",'2026'!$G$2=AP119),'2026DATA'!$M$38,"")</f>
        <v/>
      </c>
      <c r="AQ155" s="520" t="str">
        <f>IF(AND(_2="B-717",'2026'!$G$4="FO",'2026'!$G$2=AQ119),'2026DATA'!$N$38,"")</f>
        <v/>
      </c>
      <c r="AR155" s="942"/>
      <c r="AS155" s="2" t="s">
        <v>62</v>
      </c>
      <c r="AT155" s="518" t="str">
        <f>IF(AND(_3="B-717",'2026'!$G$4="FO",'2026'!$G$2=AT119),'2026DATA'!$C$38,"")</f>
        <v/>
      </c>
      <c r="AU155" s="518" t="str">
        <f>IF(AND(_3="B-717",'2026'!$G$4="FO",'2026'!$G$2=AU119),'2026DATA'!$D$38,"")</f>
        <v/>
      </c>
      <c r="AV155" s="518" t="str">
        <f>IF(AND(_3="B-717",'2026'!$G$4="FO",'2026'!$G$2=AV119),'2026DATA'!$E$38,"")</f>
        <v/>
      </c>
      <c r="AW155" s="518" t="str">
        <f>IF(AND(_3="B-717",'2026'!$G$4="FO",'2026'!$G$2=AW119),'2026DATA'!$F$38,"")</f>
        <v/>
      </c>
      <c r="AX155" s="518" t="str">
        <f>IF(AND(_3="B-717",'2026'!$G$4="FO",'2026'!$G$2=AX119),'2026DATA'!$G$38,"")</f>
        <v/>
      </c>
      <c r="AY155" s="518" t="str">
        <f>IF(AND(_3="B-717",'2026'!$G$4="FO",'2026'!$G$2=AY119),'2026DATA'!$H$38,"")</f>
        <v/>
      </c>
      <c r="AZ155" s="518" t="str">
        <f>IF(AND(_3="B-717",'2026'!$G$4="FO",'2026'!$G$2=AZ119),'2026DATA'!$I$38,"")</f>
        <v/>
      </c>
      <c r="BA155" s="518" t="str">
        <f>IF(AND(_3="B-717",'2026'!$G$4="FO",'2026'!$G$2=BA119),'2026DATA'!$J$38,"")</f>
        <v/>
      </c>
      <c r="BB155" s="518" t="str">
        <f>IF(AND(_3="B-717",'2026'!$G$4="FO",'2026'!$G$2=BB119),'2026DATA'!$K$38,"")</f>
        <v/>
      </c>
      <c r="BC155" s="518" t="str">
        <f>IF(AND(_3="B-717",'2026'!$G$4="FO",'2026'!$G$2=BC119),'2026DATA'!$L$38,"")</f>
        <v/>
      </c>
      <c r="BD155" s="518" t="str">
        <f>IF(AND(_3="B-717",'2026'!$G$4="FO",'2026'!$G$2=BD119),'2026DATA'!$M$38,"")</f>
        <v/>
      </c>
      <c r="BE155" s="520" t="str">
        <f>IF(AND(_3="B-717",'2026'!$G$4="FO",'2026'!$G$2=BE119),'2026DATA'!$N$38,"")</f>
        <v/>
      </c>
      <c r="BF155" s="942"/>
      <c r="BG155" s="2" t="s">
        <v>62</v>
      </c>
      <c r="BH155" s="518" t="str">
        <f>IF(AND(_4="B-717",'2026'!$G$4="FO",'2026'!$G$2=BH119),'2026DATA'!$C$38,"")</f>
        <v/>
      </c>
      <c r="BI155" s="518" t="str">
        <f>IF(AND(_4="B-717",'2026'!$G$4="FO",'2026'!$G$2=BI119),'2026DATA'!$D$38,"")</f>
        <v/>
      </c>
      <c r="BJ155" s="518" t="str">
        <f>IF(AND(_4="B-717",'2026'!$G$4="FO",'2026'!$G$2=BJ119),'2026DATA'!$E$38,"")</f>
        <v/>
      </c>
      <c r="BK155" s="518" t="str">
        <f>IF(AND(_4="B-717",'2026'!$G$4="FO",'2026'!$G$2=BK119),'2026DATA'!$F$38,"")</f>
        <v/>
      </c>
      <c r="BL155" s="518" t="str">
        <f>IF(AND(_4="B-717",'2026'!$G$4="FO",'2026'!$G$2=BL119),'2026DATA'!$G$38,"")</f>
        <v/>
      </c>
      <c r="BM155" s="518" t="str">
        <f>IF(AND(_4="B-717",'2026'!$G$4="FO",'2026'!$G$2=BM119),'2026DATA'!$H$38,"")</f>
        <v/>
      </c>
      <c r="BN155" s="518" t="str">
        <f>IF(AND(_4="B-717",'2026'!$G$4="FO",'2026'!$G$2=BN119),'2026DATA'!$I$38,"")</f>
        <v/>
      </c>
      <c r="BO155" s="518" t="str">
        <f>IF(AND(_4="B-717",'2026'!$G$4="FO",'2026'!$G$2=BO119),'2026DATA'!$J$38,"")</f>
        <v/>
      </c>
      <c r="BP155" s="518" t="str">
        <f>IF(AND(_4="B-717",'2026'!$G$4="FO",'2026'!$G$2=BP119),'2026DATA'!$K$38,"")</f>
        <v/>
      </c>
      <c r="BQ155" s="518" t="str">
        <f>IF(AND(_4="B-717",'2026'!$G$4="FO",'2026'!$G$2=BQ119),'2026DATA'!$L$38,"")</f>
        <v/>
      </c>
      <c r="BR155" s="518" t="str">
        <f>IF(AND(_4="B-717",'2026'!$G$4="FO",'2026'!$G$2=BR119),'2026DATA'!$M$38,"")</f>
        <v/>
      </c>
      <c r="BS155" s="520" t="str">
        <f>IF(AND(_4="B-717",'2026'!$G$4="FO",'2026'!$G$2=BS119),'2026DATA'!$N$38,"")</f>
        <v/>
      </c>
      <c r="BT155" s="942"/>
      <c r="BU155" s="2" t="s">
        <v>62</v>
      </c>
      <c r="BV155" s="518" t="str">
        <f>IF(AND(_5="B-717",'2026'!$G$4="FO",'2026'!$G$2=BV119),'2026DATA'!$C$38,"")</f>
        <v/>
      </c>
      <c r="BW155" s="518" t="str">
        <f>IF(AND(_5="B-717",'2026'!$G$4="FO",'2026'!$G$2=BW119),'2026DATA'!$D$38,"")</f>
        <v/>
      </c>
      <c r="BX155" s="518" t="str">
        <f>IF(AND(_5="B-717",'2026'!$G$4="FO",'2026'!$G$2=BX119),'2026DATA'!$E$38,"")</f>
        <v/>
      </c>
      <c r="BY155" s="518" t="str">
        <f>IF(AND(_5="B-717",'2026'!$G$4="FO",'2026'!$G$2=BY119),'2026DATA'!$F$38,"")</f>
        <v/>
      </c>
      <c r="BZ155" s="518" t="str">
        <f>IF(AND(_5="B-717",'2026'!$G$4="FO",'2026'!$G$2=BZ119),'2026DATA'!$G$38,"")</f>
        <v/>
      </c>
      <c r="CA155" s="518" t="str">
        <f>IF(AND(_5="B-717",'2026'!$G$4="FO",'2026'!$G$2=CA119),'2026DATA'!$H$38,"")</f>
        <v/>
      </c>
      <c r="CB155" s="518" t="str">
        <f>IF(AND(_5="B-717",'2026'!$G$4="FO",'2026'!$G$2=CB119),'2026DATA'!$I$38,"")</f>
        <v/>
      </c>
      <c r="CC155" s="518" t="str">
        <f>IF(AND(_5="B-717",'2026'!$G$4="FO",'2026'!$G$2=CC119),'2026DATA'!$J$38,"")</f>
        <v/>
      </c>
      <c r="CD155" s="518" t="str">
        <f>IF(AND(_5="B-717",'2026'!$G$4="FO",'2026'!$G$2=CD119),'2026DATA'!$K$38,"")</f>
        <v/>
      </c>
      <c r="CE155" s="518" t="str">
        <f>IF(AND(_5="B-717",'2026'!$G$4="FO",'2026'!$G$2=CE119),'2026DATA'!$L$38,"")</f>
        <v/>
      </c>
      <c r="CF155" s="518" t="str">
        <f>IF(AND(_5="B-717",'2026'!$G$4="FO",'2026'!$G$2=CF119),'2026DATA'!$M$38,"")</f>
        <v/>
      </c>
      <c r="CG155" s="520" t="str">
        <f>IF(AND(_5="B-717",'2026'!$G$4="FO",'2026'!$G$2=CG119),'2026DATA'!$N$38,"")</f>
        <v/>
      </c>
      <c r="CH155" s="942"/>
      <c r="CI155" s="2" t="s">
        <v>62</v>
      </c>
      <c r="CJ155" s="518" t="str">
        <f>IF(AND(_6="B-717",'2026'!$G$4="FO",'2026'!$G$2=CJ119),'2026DATA'!$C$38,"")</f>
        <v/>
      </c>
      <c r="CK155" s="518" t="str">
        <f>IF(AND(_6="B-717",'2026'!$G$4="FO",'2026'!$G$2=CK119),'2026DATA'!$D$38,"")</f>
        <v/>
      </c>
      <c r="CL155" s="518" t="str">
        <f>IF(AND(_6="B-717",'2026'!$G$4="FO",'2026'!$G$2=CL119),'2026DATA'!$E$38,"")</f>
        <v/>
      </c>
      <c r="CM155" s="518" t="str">
        <f>IF(AND(_6="B-717",'2026'!$G$4="FO",'2026'!$G$2=CM119),'2026DATA'!$F$38,"")</f>
        <v/>
      </c>
      <c r="CN155" s="518" t="str">
        <f>IF(AND(_6="B-717",'2026'!$G$4="FO",'2026'!$G$2=CN119),'2026DATA'!$G$38,"")</f>
        <v/>
      </c>
      <c r="CO155" s="518" t="str">
        <f>IF(AND(_6="B-717",'2026'!$G$4="FO",'2026'!$G$2=CO119),'2026DATA'!$H$38,"")</f>
        <v/>
      </c>
      <c r="CP155" s="518" t="str">
        <f>IF(AND(_6="B-717",'2026'!$G$4="FO",'2026'!$G$2=CP119),'2026DATA'!$I$38,"")</f>
        <v/>
      </c>
      <c r="CQ155" s="518" t="str">
        <f>IF(AND(_6="B-717",'2026'!$G$4="FO",'2026'!$G$2=CQ119),'2026DATA'!$J$38,"")</f>
        <v/>
      </c>
      <c r="CR155" s="518" t="str">
        <f>IF(AND(_6="B-717",'2026'!$G$4="FO",'2026'!$G$2=CR119),'2026DATA'!$K$38,"")</f>
        <v/>
      </c>
      <c r="CS155" s="518" t="str">
        <f>IF(AND(_6="B-717",'2026'!$G$4="FO",'2026'!$G$2=CS119),'2026DATA'!$L$38,"")</f>
        <v/>
      </c>
      <c r="CT155" s="518" t="str">
        <f>IF(AND(_6="B-717",'2026'!$G$4="FO",'2026'!$G$2=CT119),'2026DATA'!$M$38,"")</f>
        <v/>
      </c>
      <c r="CU155" s="520" t="str">
        <f>IF(AND(_6="B-717",'2026'!$G$4="FO",'2026'!$G$2=CU119),'2026DATA'!$N$38,"")</f>
        <v/>
      </c>
    </row>
    <row r="156" spans="16:99" x14ac:dyDescent="0.25">
      <c r="P156" s="943" t="s">
        <v>128</v>
      </c>
      <c r="Q156" s="944"/>
      <c r="R156" s="944"/>
      <c r="S156" s="944"/>
      <c r="T156" s="944"/>
      <c r="U156" s="944"/>
      <c r="V156" s="944"/>
      <c r="W156" s="944"/>
      <c r="X156" s="944"/>
      <c r="Y156" s="944"/>
      <c r="Z156" s="944"/>
      <c r="AA156" s="944"/>
      <c r="AB156" s="944"/>
      <c r="AC156" s="945"/>
      <c r="AD156" s="943" t="s">
        <v>129</v>
      </c>
      <c r="AE156" s="944"/>
      <c r="AF156" s="944"/>
      <c r="AG156" s="944"/>
      <c r="AH156" s="944"/>
      <c r="AI156" s="944"/>
      <c r="AJ156" s="944"/>
      <c r="AK156" s="944"/>
      <c r="AL156" s="944"/>
      <c r="AM156" s="944"/>
      <c r="AN156" s="944"/>
      <c r="AO156" s="944"/>
      <c r="AP156" s="944"/>
      <c r="AQ156" s="945"/>
      <c r="AR156" s="943" t="s">
        <v>130</v>
      </c>
      <c r="AS156" s="944"/>
      <c r="AT156" s="944"/>
      <c r="AU156" s="944"/>
      <c r="AV156" s="944"/>
      <c r="AW156" s="944"/>
      <c r="AX156" s="944"/>
      <c r="AY156" s="944"/>
      <c r="AZ156" s="944"/>
      <c r="BA156" s="944"/>
      <c r="BB156" s="944"/>
      <c r="BC156" s="944"/>
      <c r="BD156" s="944"/>
      <c r="BE156" s="945"/>
      <c r="BF156" s="943" t="s">
        <v>131</v>
      </c>
      <c r="BG156" s="944"/>
      <c r="BH156" s="944"/>
      <c r="BI156" s="944"/>
      <c r="BJ156" s="944"/>
      <c r="BK156" s="944"/>
      <c r="BL156" s="944"/>
      <c r="BM156" s="944"/>
      <c r="BN156" s="944"/>
      <c r="BO156" s="944"/>
      <c r="BP156" s="944"/>
      <c r="BQ156" s="944"/>
      <c r="BR156" s="944"/>
      <c r="BS156" s="945"/>
      <c r="BT156" s="943" t="s">
        <v>132</v>
      </c>
      <c r="BU156" s="944"/>
      <c r="BV156" s="944"/>
      <c r="BW156" s="944"/>
      <c r="BX156" s="944"/>
      <c r="BY156" s="944"/>
      <c r="BZ156" s="944"/>
      <c r="CA156" s="944"/>
      <c r="CB156" s="944"/>
      <c r="CC156" s="944"/>
      <c r="CD156" s="944"/>
      <c r="CE156" s="944"/>
      <c r="CF156" s="944"/>
      <c r="CG156" s="945"/>
      <c r="CH156" s="943" t="s">
        <v>133</v>
      </c>
      <c r="CI156" s="944"/>
      <c r="CJ156" s="944"/>
      <c r="CK156" s="944"/>
      <c r="CL156" s="944"/>
      <c r="CM156" s="944"/>
      <c r="CN156" s="944"/>
      <c r="CO156" s="944"/>
      <c r="CP156" s="944"/>
      <c r="CQ156" s="944"/>
      <c r="CR156" s="944"/>
      <c r="CS156" s="944"/>
      <c r="CT156" s="944"/>
      <c r="CU156" s="945"/>
    </row>
    <row r="157" spans="16:99" x14ac:dyDescent="0.25">
      <c r="P157" s="563">
        <v>5</v>
      </c>
      <c r="Q157" s="563">
        <f>SUM(R158:AC193)</f>
        <v>0</v>
      </c>
      <c r="R157" s="3">
        <v>12</v>
      </c>
      <c r="S157" s="3">
        <v>11</v>
      </c>
      <c r="T157" s="3">
        <v>10</v>
      </c>
      <c r="U157" s="3">
        <v>9</v>
      </c>
      <c r="V157" s="3">
        <v>8</v>
      </c>
      <c r="W157" s="3">
        <v>7</v>
      </c>
      <c r="X157" s="3">
        <v>6</v>
      </c>
      <c r="Y157" s="3">
        <v>5</v>
      </c>
      <c r="Z157" s="3">
        <v>4</v>
      </c>
      <c r="AA157" s="3">
        <v>3</v>
      </c>
      <c r="AB157" s="3">
        <v>2</v>
      </c>
      <c r="AC157" s="519">
        <v>1</v>
      </c>
      <c r="AD157" s="563">
        <v>5</v>
      </c>
      <c r="AE157" s="563">
        <f>SUM(AF158:AQ193)</f>
        <v>0</v>
      </c>
      <c r="AF157" s="3">
        <v>12</v>
      </c>
      <c r="AG157" s="3">
        <v>11</v>
      </c>
      <c r="AH157" s="3">
        <v>10</v>
      </c>
      <c r="AI157" s="3">
        <v>9</v>
      </c>
      <c r="AJ157" s="3">
        <v>8</v>
      </c>
      <c r="AK157" s="3">
        <v>7</v>
      </c>
      <c r="AL157" s="3">
        <v>6</v>
      </c>
      <c r="AM157" s="3">
        <v>5</v>
      </c>
      <c r="AN157" s="3">
        <v>4</v>
      </c>
      <c r="AO157" s="3">
        <v>3</v>
      </c>
      <c r="AP157" s="3">
        <v>2</v>
      </c>
      <c r="AQ157" s="519">
        <v>1</v>
      </c>
      <c r="AR157" s="563">
        <v>5</v>
      </c>
      <c r="AS157" s="563">
        <f>SUM(AT158:BE193)</f>
        <v>0</v>
      </c>
      <c r="AT157" s="3">
        <v>12</v>
      </c>
      <c r="AU157" s="3">
        <v>11</v>
      </c>
      <c r="AV157" s="3">
        <v>10</v>
      </c>
      <c r="AW157" s="3">
        <v>9</v>
      </c>
      <c r="AX157" s="3">
        <v>8</v>
      </c>
      <c r="AY157" s="3">
        <v>7</v>
      </c>
      <c r="AZ157" s="3">
        <v>6</v>
      </c>
      <c r="BA157" s="3">
        <v>5</v>
      </c>
      <c r="BB157" s="3">
        <v>4</v>
      </c>
      <c r="BC157" s="3">
        <v>3</v>
      </c>
      <c r="BD157" s="3">
        <v>2</v>
      </c>
      <c r="BE157" s="519">
        <v>1</v>
      </c>
      <c r="BF157" s="563">
        <v>5</v>
      </c>
      <c r="BG157" s="563">
        <f>SUM(BH158:BS193)</f>
        <v>0</v>
      </c>
      <c r="BH157" s="3">
        <v>12</v>
      </c>
      <c r="BI157" s="3">
        <v>11</v>
      </c>
      <c r="BJ157" s="3">
        <v>10</v>
      </c>
      <c r="BK157" s="3">
        <v>9</v>
      </c>
      <c r="BL157" s="3">
        <v>8</v>
      </c>
      <c r="BM157" s="3">
        <v>7</v>
      </c>
      <c r="BN157" s="3">
        <v>6</v>
      </c>
      <c r="BO157" s="3">
        <v>5</v>
      </c>
      <c r="BP157" s="3">
        <v>4</v>
      </c>
      <c r="BQ157" s="3">
        <v>3</v>
      </c>
      <c r="BR157" s="3">
        <v>2</v>
      </c>
      <c r="BS157" s="519">
        <v>1</v>
      </c>
      <c r="BT157" s="563">
        <v>5</v>
      </c>
      <c r="BU157" s="563">
        <f>SUM(BV158:CG193)</f>
        <v>0</v>
      </c>
      <c r="BV157" s="3">
        <v>12</v>
      </c>
      <c r="BW157" s="3">
        <v>11</v>
      </c>
      <c r="BX157" s="3">
        <v>10</v>
      </c>
      <c r="BY157" s="3">
        <v>9</v>
      </c>
      <c r="BZ157" s="3">
        <v>8</v>
      </c>
      <c r="CA157" s="3">
        <v>7</v>
      </c>
      <c r="CB157" s="3">
        <v>6</v>
      </c>
      <c r="CC157" s="3">
        <v>5</v>
      </c>
      <c r="CD157" s="3">
        <v>4</v>
      </c>
      <c r="CE157" s="3">
        <v>3</v>
      </c>
      <c r="CF157" s="3">
        <v>2</v>
      </c>
      <c r="CG157" s="519">
        <v>1</v>
      </c>
      <c r="CH157" s="563">
        <v>5</v>
      </c>
      <c r="CI157" s="563">
        <f>SUM(CJ158:CU193)</f>
        <v>0</v>
      </c>
      <c r="CJ157" s="3">
        <v>12</v>
      </c>
      <c r="CK157" s="3">
        <v>11</v>
      </c>
      <c r="CL157" s="3">
        <v>10</v>
      </c>
      <c r="CM157" s="3">
        <v>9</v>
      </c>
      <c r="CN157" s="3">
        <v>8</v>
      </c>
      <c r="CO157" s="3">
        <v>7</v>
      </c>
      <c r="CP157" s="3">
        <v>6</v>
      </c>
      <c r="CQ157" s="3">
        <v>5</v>
      </c>
      <c r="CR157" s="3">
        <v>4</v>
      </c>
      <c r="CS157" s="3">
        <v>3</v>
      </c>
      <c r="CT157" s="3">
        <v>2</v>
      </c>
      <c r="CU157" s="519">
        <v>1</v>
      </c>
    </row>
    <row r="158" spans="16:99" x14ac:dyDescent="0.25">
      <c r="P158" s="940" t="s">
        <v>39</v>
      </c>
      <c r="Q158" s="13" t="s">
        <v>61</v>
      </c>
      <c r="R158" s="518" t="str">
        <f>IF(AND(_1="A-350",'2026'!$H$4="CA",'2026'!$H$2=R157),'2026DATA'!$C$3,"")</f>
        <v/>
      </c>
      <c r="S158" s="518" t="str">
        <f>IF(AND(_1="A-350",'2026'!$H$4="CA",'2026'!$H$2=S157),'2026DATA'!$D$3,"")</f>
        <v/>
      </c>
      <c r="T158" s="518" t="str">
        <f>IF(AND(_1="A-350",'2026'!$H$4="CA",'2026'!$H$2=T157),'2026DATA'!$E$3,"")</f>
        <v/>
      </c>
      <c r="U158" s="518" t="str">
        <f>IF(AND(_1="A-350",'2026'!$H$4="CA",'2026'!$H$2=U157),'2026DATA'!$F$3,"")</f>
        <v/>
      </c>
      <c r="V158" s="518" t="str">
        <f>IF(AND(_1="A-350",'2026'!$H$4="CA",'2026'!$H$2=V157),'2026DATA'!$G$3,"")</f>
        <v/>
      </c>
      <c r="W158" s="518" t="str">
        <f>IF(AND(_1="A-350",'2026'!$H$4="CA",'2026'!$H$2=W157),'2026DATA'!$H$3,"")</f>
        <v/>
      </c>
      <c r="X158" s="518" t="str">
        <f>IF(AND(_1="A-350",'2026'!$H$4="CA",'2026'!$H$2=X157),'2026DATA'!$I$3,"")</f>
        <v/>
      </c>
      <c r="Y158" s="518" t="str">
        <f>IF(AND(_1="A-350",'2026'!$H$4="CA",'2026'!$H$2=Y157),'2026DATA'!$J$3,"")</f>
        <v/>
      </c>
      <c r="Z158" s="518" t="str">
        <f>IF(AND(_1="A-350",'2026'!$H$4="CA",'2026'!$H$2=Z157),'2026DATA'!$K$3,"")</f>
        <v/>
      </c>
      <c r="AA158" s="518" t="str">
        <f>IF(AND(_1="A-350",'2026'!$H$4="CA",'2026'!$H$2=AA157),'2026DATA'!$L$3,"")</f>
        <v/>
      </c>
      <c r="AB158" s="518" t="str">
        <f>IF(AND(_1="A-350",'2026'!$H$4="CA",'2026'!$H$2=AB157),'2026DATA'!$M$3,"")</f>
        <v/>
      </c>
      <c r="AC158" s="520" t="str">
        <f>IF(AND(_1="A-350",'2026'!$H$4="CA",'2026'!$H$2=AC157),'2026DATA'!$N$3,"")</f>
        <v/>
      </c>
      <c r="AD158" s="940" t="s">
        <v>39</v>
      </c>
      <c r="AE158" s="13" t="s">
        <v>61</v>
      </c>
      <c r="AF158" s="518" t="str">
        <f>IF(AND(_2="A-350",'2026'!$H$4="CA",'2026'!$H$2=AF157),'2026DATA'!$C$3,"")</f>
        <v/>
      </c>
      <c r="AG158" s="518" t="str">
        <f>IF(AND(_2="A-350",'2026'!$H$4="CA",'2026'!$H$2=AG157),'2026DATA'!$D$3,"")</f>
        <v/>
      </c>
      <c r="AH158" s="518" t="str">
        <f>IF(AND(_2="A-350",'2026'!$H$4="CA",'2026'!$H$2=AH157),'2026DATA'!$E$3,"")</f>
        <v/>
      </c>
      <c r="AI158" s="518" t="str">
        <f>IF(AND(_2="A-350",'2026'!$H$4="CA",'2026'!$H$2=AI157),'2026DATA'!$F$3,"")</f>
        <v/>
      </c>
      <c r="AJ158" s="518" t="str">
        <f>IF(AND(_2="A-350",'2026'!$H$4="CA",'2026'!$H$2=AJ157),'2026DATA'!$G$3,"")</f>
        <v/>
      </c>
      <c r="AK158" s="518" t="str">
        <f>IF(AND(_2="A-350",'2026'!$H$4="CA",'2026'!$H$2=AK157),'2026DATA'!$H$3,"")</f>
        <v/>
      </c>
      <c r="AL158" s="518" t="str">
        <f>IF(AND(_2="A-350",'2026'!$H$4="CA",'2026'!$H$2=AL157),'2026DATA'!$I$3,"")</f>
        <v/>
      </c>
      <c r="AM158" s="518" t="str">
        <f>IF(AND(_2="A-350",'2026'!$H$4="CA",'2026'!$H$2=AM157),'2026DATA'!$J$3,"")</f>
        <v/>
      </c>
      <c r="AN158" s="518" t="str">
        <f>IF(AND(_2="A-350",'2026'!$H$4="CA",'2026'!$H$2=AN157),'2026DATA'!$K$3,"")</f>
        <v/>
      </c>
      <c r="AO158" s="518" t="str">
        <f>IF(AND(_2="A-350",'2026'!$H$4="CA",'2026'!$H$2=AO157),'2026DATA'!$L$3,"")</f>
        <v/>
      </c>
      <c r="AP158" s="518" t="str">
        <f>IF(AND(_2="A-350",'2026'!$H$4="CA",'2026'!$H$2=AP157),'2026DATA'!$M$3,"")</f>
        <v/>
      </c>
      <c r="AQ158" s="520" t="str">
        <f>IF(AND(_2="A-350",'2026'!$H$4="CA",'2026'!$H$2=AQ157),'2026DATA'!$N$3,"")</f>
        <v/>
      </c>
      <c r="AR158" s="940" t="s">
        <v>39</v>
      </c>
      <c r="AS158" s="13" t="s">
        <v>61</v>
      </c>
      <c r="AT158" s="518" t="str">
        <f>IF(AND(_3="A-350",'2026'!$H$4="CA",'2026'!$H$2=AT157),'2026DATA'!$C$3,"")</f>
        <v/>
      </c>
      <c r="AU158" s="518" t="str">
        <f>IF(AND(_3="A-350",'2026'!$H$4="CA",'2026'!$H$2=AU157),'2026DATA'!$D$3,"")</f>
        <v/>
      </c>
      <c r="AV158" s="518" t="str">
        <f>IF(AND(_3="A-350",'2026'!$H$4="CA",'2026'!$H$2=AV157),'2026DATA'!$E$3,"")</f>
        <v/>
      </c>
      <c r="AW158" s="518" t="str">
        <f>IF(AND(_3="A-350",'2026'!$H$4="CA",'2026'!$H$2=AW157),'2026DATA'!$F$3,"")</f>
        <v/>
      </c>
      <c r="AX158" s="518" t="str">
        <f>IF(AND(_3="A-350",'2026'!$H$4="CA",'2026'!$H$2=AX157),'2026DATA'!$G$3,"")</f>
        <v/>
      </c>
      <c r="AY158" s="518" t="str">
        <f>IF(AND(_3="A-350",'2026'!$H$4="CA",'2026'!$H$2=AY157),'2026DATA'!$H$3,"")</f>
        <v/>
      </c>
      <c r="AZ158" s="518" t="str">
        <f>IF(AND(_3="A-350",'2026'!$H$4="CA",'2026'!$H$2=AZ157),'2026DATA'!$I$3,"")</f>
        <v/>
      </c>
      <c r="BA158" s="518" t="str">
        <f>IF(AND(_3="A-350",'2026'!$H$4="CA",'2026'!$H$2=BA157),'2026DATA'!$J$3,"")</f>
        <v/>
      </c>
      <c r="BB158" s="518" t="str">
        <f>IF(AND(_3="A-350",'2026'!$H$4="CA",'2026'!$H$2=BB157),'2026DATA'!$K$3,"")</f>
        <v/>
      </c>
      <c r="BC158" s="518" t="str">
        <f>IF(AND(_3="A-350",'2026'!$H$4="CA",'2026'!$H$2=BC157),'2026DATA'!$L$3,"")</f>
        <v/>
      </c>
      <c r="BD158" s="518" t="str">
        <f>IF(AND(_3="A-350",'2026'!$H$4="CA",'2026'!$H$2=BD157),'2026DATA'!$M$3,"")</f>
        <v/>
      </c>
      <c r="BE158" s="520" t="str">
        <f>IF(AND(_3="A-350",'2026'!$H$4="CA",'2026'!$H$2=BE157),'2026DATA'!$N$3,"")</f>
        <v/>
      </c>
      <c r="BF158" s="940" t="s">
        <v>39</v>
      </c>
      <c r="BG158" s="13" t="s">
        <v>61</v>
      </c>
      <c r="BH158" s="518" t="str">
        <f>IF(AND(_4="A-350",'2026'!$H$4="CA",'2026'!$H$2=BH157),'2026DATA'!$C$3,"")</f>
        <v/>
      </c>
      <c r="BI158" s="518" t="str">
        <f>IF(AND(_4="A-350",'2026'!$H$4="CA",'2026'!$H$2=BI157),'2026DATA'!$D$3,"")</f>
        <v/>
      </c>
      <c r="BJ158" s="518" t="str">
        <f>IF(AND(_4="A-350",'2026'!$H$4="CA",'2026'!$H$2=BJ157),'2026DATA'!$E$3,"")</f>
        <v/>
      </c>
      <c r="BK158" s="518" t="str">
        <f>IF(AND(_4="A-350",'2026'!$H$4="CA",'2026'!$H$2=BK157),'2026DATA'!$F$3,"")</f>
        <v/>
      </c>
      <c r="BL158" s="518" t="str">
        <f>IF(AND(_4="A-350",'2026'!$H$4="CA",'2026'!$H$2=BL157),'2026DATA'!$G$3,"")</f>
        <v/>
      </c>
      <c r="BM158" s="518" t="str">
        <f>IF(AND(_4="A-350",'2026'!$H$4="CA",'2026'!$H$2=BM157),'2026DATA'!$H$3,"")</f>
        <v/>
      </c>
      <c r="BN158" s="518" t="str">
        <f>IF(AND(_4="A-350",'2026'!$H$4="CA",'2026'!$H$2=BN157),'2026DATA'!$I$3,"")</f>
        <v/>
      </c>
      <c r="BO158" s="518" t="str">
        <f>IF(AND(_4="A-350",'2026'!$H$4="CA",'2026'!$H$2=BO157),'2026DATA'!$J$3,"")</f>
        <v/>
      </c>
      <c r="BP158" s="518" t="str">
        <f>IF(AND(_4="A-350",'2026'!$H$4="CA",'2026'!$H$2=BP157),'2026DATA'!$K$3,"")</f>
        <v/>
      </c>
      <c r="BQ158" s="518" t="str">
        <f>IF(AND(_4="A-350",'2026'!$H$4="CA",'2026'!$H$2=BQ157),'2026DATA'!$L$3,"")</f>
        <v/>
      </c>
      <c r="BR158" s="518" t="str">
        <f>IF(AND(_4="A-350",'2026'!$H$4="CA",'2026'!$H$2=BR157),'2026DATA'!$M$3,"")</f>
        <v/>
      </c>
      <c r="BS158" s="520" t="str">
        <f>IF(AND(_4="A-350",'2026'!$H$4="CA",'2026'!$H$2=BS157),'2026DATA'!$N$3,"")</f>
        <v/>
      </c>
      <c r="BT158" s="940" t="s">
        <v>39</v>
      </c>
      <c r="BU158" s="13" t="s">
        <v>61</v>
      </c>
      <c r="BV158" s="518" t="str">
        <f>IF(AND(_5="A-350",'2026'!$H$4="CA",'2026'!$H$2=BV157),'2026DATA'!$C$3,"")</f>
        <v/>
      </c>
      <c r="BW158" s="518" t="str">
        <f>IF(AND(_5="A-350",'2026'!$H$4="CA",'2026'!$H$2=BW157),'2026DATA'!$D$3,"")</f>
        <v/>
      </c>
      <c r="BX158" s="518" t="str">
        <f>IF(AND(_5="A-350",'2026'!$H$4="CA",'2026'!$H$2=BX157),'2026DATA'!$E$3,"")</f>
        <v/>
      </c>
      <c r="BY158" s="518" t="str">
        <f>IF(AND(_5="A-350",'2026'!$H$4="CA",'2026'!$H$2=BY157),'2026DATA'!$F$3,"")</f>
        <v/>
      </c>
      <c r="BZ158" s="518" t="str">
        <f>IF(AND(_5="A-350",'2026'!$H$4="CA",'2026'!$H$2=BZ157),'2026DATA'!$G$3,"")</f>
        <v/>
      </c>
      <c r="CA158" s="518" t="str">
        <f>IF(AND(_5="A-350",'2026'!$H$4="CA",'2026'!$H$2=CA157),'2026DATA'!$H$3,"")</f>
        <v/>
      </c>
      <c r="CB158" s="518" t="str">
        <f>IF(AND(_5="A-350",'2026'!$H$4="CA",'2026'!$H$2=CB157),'2026DATA'!$I$3,"")</f>
        <v/>
      </c>
      <c r="CC158" s="518" t="str">
        <f>IF(AND(_5="A-350",'2026'!$H$4="CA",'2026'!$H$2=CC157),'2026DATA'!$J$3,"")</f>
        <v/>
      </c>
      <c r="CD158" s="518" t="str">
        <f>IF(AND(_5="A-350",'2026'!$H$4="CA",'2026'!$H$2=CD157),'2026DATA'!$K$3,"")</f>
        <v/>
      </c>
      <c r="CE158" s="518" t="str">
        <f>IF(AND(_5="A-350",'2026'!$H$4="CA",'2026'!$H$2=CE157),'2026DATA'!$L$3,"")</f>
        <v/>
      </c>
      <c r="CF158" s="518" t="str">
        <f>IF(AND(_5="A-350",'2026'!$H$4="CA",'2026'!$H$2=CF157),'2026DATA'!$M$3,"")</f>
        <v/>
      </c>
      <c r="CG158" s="520" t="str">
        <f>IF(AND(_5="A-350",'2026'!$H$4="CA",'2026'!$H$2=CG157),'2026DATA'!$N$3,"")</f>
        <v/>
      </c>
      <c r="CH158" s="940" t="s">
        <v>39</v>
      </c>
      <c r="CI158" s="13" t="s">
        <v>61</v>
      </c>
      <c r="CJ158" s="518" t="str">
        <f>IF(AND(_6="A-350",'2026'!$H$4="CA",'2026'!$H$2=CJ157),'2026DATA'!$C$3,"")</f>
        <v/>
      </c>
      <c r="CK158" s="518" t="str">
        <f>IF(AND(_6="A-350",'2026'!$H$4="CA",'2026'!$H$2=CK157),'2026DATA'!$D$3,"")</f>
        <v/>
      </c>
      <c r="CL158" s="518" t="str">
        <f>IF(AND(_6="A-350",'2026'!$H$4="CA",'2026'!$H$2=CL157),'2026DATA'!$E$3,"")</f>
        <v/>
      </c>
      <c r="CM158" s="518" t="str">
        <f>IF(AND(_6="A-350",'2026'!$H$4="CA",'2026'!$H$2=CM157),'2026DATA'!$F$3,"")</f>
        <v/>
      </c>
      <c r="CN158" s="518" t="str">
        <f>IF(AND(_6="A-350",'2026'!$H$4="CA",'2026'!$H$2=CN157),'2026DATA'!$G$3,"")</f>
        <v/>
      </c>
      <c r="CO158" s="518" t="str">
        <f>IF(AND(_6="A-350",'2026'!$H$4="CA",'2026'!$H$2=CO157),'2026DATA'!$H$3,"")</f>
        <v/>
      </c>
      <c r="CP158" s="518" t="str">
        <f>IF(AND(_6="A-350",'2026'!$H$4="CA",'2026'!$H$2=CP157),'2026DATA'!$I$3,"")</f>
        <v/>
      </c>
      <c r="CQ158" s="518" t="str">
        <f>IF(AND(_6="A-350",'2026'!$H$4="CA",'2026'!$H$2=CQ157),'2026DATA'!$J$3,"")</f>
        <v/>
      </c>
      <c r="CR158" s="518" t="str">
        <f>IF(AND(_6="A-350",'2026'!$H$4="CA",'2026'!$H$2=CR157),'2026DATA'!$K$3,"")</f>
        <v/>
      </c>
      <c r="CS158" s="518" t="str">
        <f>IF(AND(_6="A-350",'2026'!$H$4="CA",'2026'!$H$2=CS157),'2026DATA'!$L$3,"")</f>
        <v/>
      </c>
      <c r="CT158" s="518" t="str">
        <f>IF(AND(_6="A-350",'2026'!$H$4="CA",'2026'!$H$2=CT157),'2026DATA'!$M$3,"")</f>
        <v/>
      </c>
      <c r="CU158" s="520" t="str">
        <f>IF(AND(_6="A-350",'2026'!$H$4="CA",'2026'!$H$2=CU157),'2026DATA'!$N$3,"")</f>
        <v/>
      </c>
    </row>
    <row r="159" spans="16:99" x14ac:dyDescent="0.25">
      <c r="P159" s="940"/>
      <c r="Q159" s="13" t="s">
        <v>62</v>
      </c>
      <c r="R159" s="518" t="str">
        <f>IF(AND(_1="A-350",'2026'!$H$4="FO",'2026'!$H$2=R157),'2026DATA'!$C$4,"")</f>
        <v/>
      </c>
      <c r="S159" s="518" t="str">
        <f>IF(AND(_1="A-350",'2026'!$H$4="FO",'2026'!$H$2=S157),'2026DATA'!$D$4,"")</f>
        <v/>
      </c>
      <c r="T159" s="518" t="str">
        <f>IF(AND(_1="A-350",'2026'!$H$4="FO",'2026'!$H$2=T157),'2026DATA'!$E$4,"")</f>
        <v/>
      </c>
      <c r="U159" s="518" t="str">
        <f>IF(AND(_1="A-350",'2026'!$H$4="FO",'2026'!$H$2=U157),'2026DATA'!$F$4,"")</f>
        <v/>
      </c>
      <c r="V159" s="518" t="str">
        <f>IF(AND(_1="A-350",'2026'!$H$4="FO",'2026'!$H$2=V157),'2026DATA'!$G$4,"")</f>
        <v/>
      </c>
      <c r="W159" s="518" t="str">
        <f>IF(AND(_1="A-350",'2026'!$H$4="FO",'2026'!$H$2=W157),'2026DATA'!$H$4,"")</f>
        <v/>
      </c>
      <c r="X159" s="518" t="str">
        <f>IF(AND(_1="A-350",'2026'!$H$4="FO",'2026'!$H$2=X157),'2026DATA'!$I$4,"")</f>
        <v/>
      </c>
      <c r="Y159" s="518" t="str">
        <f>IF(AND(_1="A-350",'2026'!$H$4="FO",'2026'!$H$2=Y157),'2026DATA'!$J$4,"")</f>
        <v/>
      </c>
      <c r="Z159" s="518" t="str">
        <f>IF(AND(_1="A-350",'2026'!$H$4="FO",'2026'!$H$2=Z157),'2026DATA'!$K$4,"")</f>
        <v/>
      </c>
      <c r="AA159" s="518" t="str">
        <f>IF(AND(_1="A-350",'2026'!$H$4="FO",'2026'!$H$2=AA157),'2026DATA'!$L$4,"")</f>
        <v/>
      </c>
      <c r="AB159" s="518" t="str">
        <f>IF(AND(_1="A-350",'2026'!$H$4="FO",'2026'!$H$2=AB157),'2026DATA'!$M$4,"")</f>
        <v/>
      </c>
      <c r="AC159" s="520" t="str">
        <f>IF(AND(_1="A-350",'2026'!$H$4="FO",'2026'!$H$2=AC157),'2026DATA'!$N$4,"")</f>
        <v/>
      </c>
      <c r="AD159" s="940"/>
      <c r="AE159" s="13" t="s">
        <v>62</v>
      </c>
      <c r="AF159" s="518" t="str">
        <f>IF(AND(_2="A-350",'2026'!$H$4="FO",'2026'!$H$2=AF157),'2026DATA'!$C$4,"")</f>
        <v/>
      </c>
      <c r="AG159" s="518" t="str">
        <f>IF(AND(_2="A-350",'2026'!$H$4="FO",'2026'!$H$2=AG157),'2026DATA'!$D$4,"")</f>
        <v/>
      </c>
      <c r="AH159" s="518" t="str">
        <f>IF(AND(_2="A-350",'2026'!$H$4="FO",'2026'!$H$2=AH157),'2026DATA'!$E$4,"")</f>
        <v/>
      </c>
      <c r="AI159" s="518" t="str">
        <f>IF(AND(_2="A-350",'2026'!$H$4="FO",'2026'!$H$2=AI157),'2026DATA'!$F$4,"")</f>
        <v/>
      </c>
      <c r="AJ159" s="518" t="str">
        <f>IF(AND(_2="A-350",'2026'!$H$4="FO",'2026'!$H$2=AJ157),'2026DATA'!$G$4,"")</f>
        <v/>
      </c>
      <c r="AK159" s="518" t="str">
        <f>IF(AND(_2="A-350",'2026'!$H$4="FO",'2026'!$H$2=AK157),'2026DATA'!$H$4,"")</f>
        <v/>
      </c>
      <c r="AL159" s="518" t="str">
        <f>IF(AND(_2="A-350",'2026'!$H$4="FO",'2026'!$H$2=AL157),'2026DATA'!$I$4,"")</f>
        <v/>
      </c>
      <c r="AM159" s="518" t="str">
        <f>IF(AND(_2="A-350",'2026'!$H$4="FO",'2026'!$H$2=AM157),'2026DATA'!$J$4,"")</f>
        <v/>
      </c>
      <c r="AN159" s="518" t="str">
        <f>IF(AND(_2="A-350",'2026'!$H$4="FO",'2026'!$H$2=AN157),'2026DATA'!$K$4,"")</f>
        <v/>
      </c>
      <c r="AO159" s="518" t="str">
        <f>IF(AND(_2="A-350",'2026'!$H$4="FO",'2026'!$H$2=AO157),'2026DATA'!$L$4,"")</f>
        <v/>
      </c>
      <c r="AP159" s="518" t="str">
        <f>IF(AND(_2="A-350",'2026'!$H$4="FO",'2026'!$H$2=AP157),'2026DATA'!$M$4,"")</f>
        <v/>
      </c>
      <c r="AQ159" s="520" t="str">
        <f>IF(AND(_2="A-350",'2026'!$H$4="FO",'2026'!$H$2=AQ157),'2026DATA'!$N$4,"")</f>
        <v/>
      </c>
      <c r="AR159" s="940"/>
      <c r="AS159" s="13" t="s">
        <v>62</v>
      </c>
      <c r="AT159" s="518" t="str">
        <f>IF(AND(_3="A-350",'2026'!$H$4="FO",'2026'!$H$2=AT157),'2026DATA'!$C$4,"")</f>
        <v/>
      </c>
      <c r="AU159" s="518" t="str">
        <f>IF(AND(_3="A-350",'2026'!$H$4="FO",'2026'!$H$2=AU157),'2026DATA'!$D$4,"")</f>
        <v/>
      </c>
      <c r="AV159" s="518" t="str">
        <f>IF(AND(_3="A-350",'2026'!$H$4="FO",'2026'!$H$2=AV157),'2026DATA'!$E$4,"")</f>
        <v/>
      </c>
      <c r="AW159" s="518" t="str">
        <f>IF(AND(_3="A-350",'2026'!$H$4="FO",'2026'!$H$2=AW157),'2026DATA'!$F$4,"")</f>
        <v/>
      </c>
      <c r="AX159" s="518" t="str">
        <f>IF(AND(_3="A-350",'2026'!$H$4="FO",'2026'!$H$2=AX157),'2026DATA'!$G$4,"")</f>
        <v/>
      </c>
      <c r="AY159" s="518" t="str">
        <f>IF(AND(_3="A-350",'2026'!$H$4="FO",'2026'!$H$2=AY157),'2026DATA'!$H$4,"")</f>
        <v/>
      </c>
      <c r="AZ159" s="518" t="str">
        <f>IF(AND(_3="A-350",'2026'!$H$4="FO",'2026'!$H$2=AZ157),'2026DATA'!$I$4,"")</f>
        <v/>
      </c>
      <c r="BA159" s="518" t="str">
        <f>IF(AND(_3="A-350",'2026'!$H$4="FO",'2026'!$H$2=BA157),'2026DATA'!$J$4,"")</f>
        <v/>
      </c>
      <c r="BB159" s="518" t="str">
        <f>IF(AND(_3="A-350",'2026'!$H$4="FO",'2026'!$H$2=BB157),'2026DATA'!$K$4,"")</f>
        <v/>
      </c>
      <c r="BC159" s="518" t="str">
        <f>IF(AND(_3="A-350",'2026'!$H$4="FO",'2026'!$H$2=BC157),'2026DATA'!$L$4,"")</f>
        <v/>
      </c>
      <c r="BD159" s="518" t="str">
        <f>IF(AND(_3="A-350",'2026'!$H$4="FO",'2026'!$H$2=BD157),'2026DATA'!$M$4,"")</f>
        <v/>
      </c>
      <c r="BE159" s="520" t="str">
        <f>IF(AND(_3="A-350",'2026'!$H$4="FO",'2026'!$H$2=BE157),'2026DATA'!$N$4,"")</f>
        <v/>
      </c>
      <c r="BF159" s="940"/>
      <c r="BG159" s="13" t="s">
        <v>62</v>
      </c>
      <c r="BH159" s="518" t="str">
        <f>IF(AND(_4="A-350",'2026'!$H$4="FO",'2026'!$H$2=BH157),'2026DATA'!$C$4,"")</f>
        <v/>
      </c>
      <c r="BI159" s="518" t="str">
        <f>IF(AND(_4="A-350",'2026'!$H$4="FO",'2026'!$H$2=BI157),'2026DATA'!$D$4,"")</f>
        <v/>
      </c>
      <c r="BJ159" s="518" t="str">
        <f>IF(AND(_4="A-350",'2026'!$H$4="FO",'2026'!$H$2=BJ157),'2026DATA'!$E$4,"")</f>
        <v/>
      </c>
      <c r="BK159" s="518" t="str">
        <f>IF(AND(_4="A-350",'2026'!$H$4="FO",'2026'!$H$2=BK157),'2026DATA'!$F$4,"")</f>
        <v/>
      </c>
      <c r="BL159" s="518" t="str">
        <f>IF(AND(_4="A-350",'2026'!$H$4="FO",'2026'!$H$2=BL157),'2026DATA'!$G$4,"")</f>
        <v/>
      </c>
      <c r="BM159" s="518" t="str">
        <f>IF(AND(_4="A-350",'2026'!$H$4="FO",'2026'!$H$2=BM157),'2026DATA'!$H$4,"")</f>
        <v/>
      </c>
      <c r="BN159" s="518" t="str">
        <f>IF(AND(_4="A-350",'2026'!$H$4="FO",'2026'!$H$2=BN157),'2026DATA'!$I$4,"")</f>
        <v/>
      </c>
      <c r="BO159" s="518" t="str">
        <f>IF(AND(_4="A-350",'2026'!$H$4="FO",'2026'!$H$2=BO157),'2026DATA'!$J$4,"")</f>
        <v/>
      </c>
      <c r="BP159" s="518" t="str">
        <f>IF(AND(_4="A-350",'2026'!$H$4="FO",'2026'!$H$2=BP157),'2026DATA'!$K$4,"")</f>
        <v/>
      </c>
      <c r="BQ159" s="518" t="str">
        <f>IF(AND(_4="A-350",'2026'!$H$4="FO",'2026'!$H$2=BQ157),'2026DATA'!$L$4,"")</f>
        <v/>
      </c>
      <c r="BR159" s="518" t="str">
        <f>IF(AND(_4="A-350",'2026'!$H$4="FO",'2026'!$H$2=BR157),'2026DATA'!$M$4,"")</f>
        <v/>
      </c>
      <c r="BS159" s="520" t="str">
        <f>IF(AND(_4="A-350",'2026'!$H$4="FO",'2026'!$H$2=BS157),'2026DATA'!$N$4,"")</f>
        <v/>
      </c>
      <c r="BT159" s="940"/>
      <c r="BU159" s="13" t="s">
        <v>62</v>
      </c>
      <c r="BV159" s="518" t="str">
        <f>IF(AND(_5="A-350",'2026'!$H$4="FO",'2026'!$H$2=BV157),'2026DATA'!$C$4,"")</f>
        <v/>
      </c>
      <c r="BW159" s="518" t="str">
        <f>IF(AND(_5="A-350",'2026'!$H$4="FO",'2026'!$H$2=BW157),'2026DATA'!$D$4,"")</f>
        <v/>
      </c>
      <c r="BX159" s="518" t="str">
        <f>IF(AND(_5="A-350",'2026'!$H$4="FO",'2026'!$H$2=BX157),'2026DATA'!$E$4,"")</f>
        <v/>
      </c>
      <c r="BY159" s="518" t="str">
        <f>IF(AND(_5="A-350",'2026'!$H$4="FO",'2026'!$H$2=BY157),'2026DATA'!$F$4,"")</f>
        <v/>
      </c>
      <c r="BZ159" s="518" t="str">
        <f>IF(AND(_5="A-350",'2026'!$H$4="FO",'2026'!$H$2=BZ157),'2026DATA'!$G$4,"")</f>
        <v/>
      </c>
      <c r="CA159" s="518" t="str">
        <f>IF(AND(_5="A-350",'2026'!$H$4="FO",'2026'!$H$2=CA157),'2026DATA'!$H$4,"")</f>
        <v/>
      </c>
      <c r="CB159" s="518" t="str">
        <f>IF(AND(_5="A-350",'2026'!$H$4="FO",'2026'!$H$2=CB157),'2026DATA'!$I$4,"")</f>
        <v/>
      </c>
      <c r="CC159" s="518" t="str">
        <f>IF(AND(_5="A-350",'2026'!$H$4="FO",'2026'!$H$2=CC157),'2026DATA'!$J$4,"")</f>
        <v/>
      </c>
      <c r="CD159" s="518" t="str">
        <f>IF(AND(_5="A-350",'2026'!$H$4="FO",'2026'!$H$2=CD157),'2026DATA'!$K$4,"")</f>
        <v/>
      </c>
      <c r="CE159" s="518" t="str">
        <f>IF(AND(_5="A-350",'2026'!$H$4="FO",'2026'!$H$2=CE157),'2026DATA'!$L$4,"")</f>
        <v/>
      </c>
      <c r="CF159" s="518" t="str">
        <f>IF(AND(_5="A-350",'2026'!$H$4="FO",'2026'!$H$2=CF157),'2026DATA'!$M$4,"")</f>
        <v/>
      </c>
      <c r="CG159" s="520" t="str">
        <f>IF(AND(_5="A-350",'2026'!$H$4="FO",'2026'!$H$2=CG157),'2026DATA'!$N$4,"")</f>
        <v/>
      </c>
      <c r="CH159" s="940"/>
      <c r="CI159" s="13" t="s">
        <v>62</v>
      </c>
      <c r="CJ159" s="518" t="str">
        <f>IF(AND(_6="A-350",'2026'!$H$4="FO",'2026'!$H$2=CJ157),'2026DATA'!$C$4,"")</f>
        <v/>
      </c>
      <c r="CK159" s="518" t="str">
        <f>IF(AND(_6="A-350",'2026'!$H$4="FO",'2026'!$H$2=CK157),'2026DATA'!$D$4,"")</f>
        <v/>
      </c>
      <c r="CL159" s="518" t="str">
        <f>IF(AND(_6="A-350",'2026'!$H$4="FO",'2026'!$H$2=CL157),'2026DATA'!$E$4,"")</f>
        <v/>
      </c>
      <c r="CM159" s="518" t="str">
        <f>IF(AND(_6="A-350",'2026'!$H$4="FO",'2026'!$H$2=CM157),'2026DATA'!$F$4,"")</f>
        <v/>
      </c>
      <c r="CN159" s="518" t="str">
        <f>IF(AND(_6="A-350",'2026'!$H$4="FO",'2026'!$H$2=CN157),'2026DATA'!$G$4,"")</f>
        <v/>
      </c>
      <c r="CO159" s="518" t="str">
        <f>IF(AND(_6="A-350",'2026'!$H$4="FO",'2026'!$H$2=CO157),'2026DATA'!$H$4,"")</f>
        <v/>
      </c>
      <c r="CP159" s="518" t="str">
        <f>IF(AND(_6="A-350",'2026'!$H$4="FO",'2026'!$H$2=CP157),'2026DATA'!$I$4,"")</f>
        <v/>
      </c>
      <c r="CQ159" s="518" t="str">
        <f>IF(AND(_6="A-350",'2026'!$H$4="FO",'2026'!$H$2=CQ157),'2026DATA'!$J$4,"")</f>
        <v/>
      </c>
      <c r="CR159" s="518" t="str">
        <f>IF(AND(_6="A-350",'2026'!$H$4="FO",'2026'!$H$2=CR157),'2026DATA'!$K$4,"")</f>
        <v/>
      </c>
      <c r="CS159" s="518" t="str">
        <f>IF(AND(_6="A-350",'2026'!$H$4="FO",'2026'!$H$2=CS157),'2026DATA'!$L$4,"")</f>
        <v/>
      </c>
      <c r="CT159" s="518" t="str">
        <f>IF(AND(_6="A-350",'2026'!$H$4="FO",'2026'!$H$2=CT157),'2026DATA'!$M$4,"")</f>
        <v/>
      </c>
      <c r="CU159" s="520" t="str">
        <f>IF(AND(_6="A-350",'2026'!$H$4="FO",'2026'!$H$2=CU157),'2026DATA'!$N$4,"")</f>
        <v/>
      </c>
    </row>
    <row r="160" spans="16:99" x14ac:dyDescent="0.25">
      <c r="P160" s="940" t="s">
        <v>65</v>
      </c>
      <c r="Q160" s="13" t="s">
        <v>61</v>
      </c>
      <c r="R160" s="518" t="str">
        <f>IF(AND(_1="A-330-900",'2026'!$H$4="CA",'2026'!$H$2=R157),'2026DATA'!$C$5,"")</f>
        <v/>
      </c>
      <c r="S160" s="518" t="str">
        <f>IF(AND(_1="A-330-900",'2026'!$H$4="CA",'2026'!$H$2=S157),'2026DATA'!$D$5,"")</f>
        <v/>
      </c>
      <c r="T160" s="518" t="str">
        <f>IF(AND(_1="A-330-900",'2026'!$H$4="CA",'2026'!$H$2=T157),'2026DATA'!$E$5,"")</f>
        <v/>
      </c>
      <c r="U160" s="518" t="str">
        <f>IF(AND(_1="A-330-900",'2026'!$H$4="CA",'2026'!$H$2=U157),'2026DATA'!$F$5,"")</f>
        <v/>
      </c>
      <c r="V160" s="518" t="str">
        <f>IF(AND(_1="A-330-900",'2026'!$H$4="CA",'2026'!$H$2=V157),'2026DATA'!$G$5,"")</f>
        <v/>
      </c>
      <c r="W160" s="518" t="str">
        <f>IF(AND(_1="A-330-900",'2026'!$H$4="CA",'2026'!$H$2=W157),'2026DATA'!$H$5,"")</f>
        <v/>
      </c>
      <c r="X160" s="518" t="str">
        <f>IF(AND(_1="A-330-900",'2026'!$H$4="CA",'2026'!$H$2=X157),'2026DATA'!$I$5,"")</f>
        <v/>
      </c>
      <c r="Y160" s="518" t="str">
        <f>IF(AND(_1="A-330-900",'2026'!$H$4="CA",'2026'!$H$2=Y157),'2026DATA'!$J$5,"")</f>
        <v/>
      </c>
      <c r="Z160" s="518" t="str">
        <f>IF(AND(_1="A-330-900",'2026'!$H$4="CA",'2026'!$H$2=Z157),'2026DATA'!$K$5,"")</f>
        <v/>
      </c>
      <c r="AA160" s="518" t="str">
        <f>IF(AND(_1="A-330-900",'2026'!$H$4="CA",'2026'!$H$2=AA157),'2026DATA'!$L$5,"")</f>
        <v/>
      </c>
      <c r="AB160" s="518" t="str">
        <f>IF(AND(_1="A-330-900",'2026'!$H$4="CA",'2026'!$H$2=AB157),'2026DATA'!$M$5,"")</f>
        <v/>
      </c>
      <c r="AC160" s="520" t="str">
        <f>IF(AND(_1="A-330-900",'2026'!$H$4="CA",'2026'!$H$2=AC157),'2026DATA'!$N$5,"")</f>
        <v/>
      </c>
      <c r="AD160" s="940" t="s">
        <v>65</v>
      </c>
      <c r="AE160" s="13" t="s">
        <v>61</v>
      </c>
      <c r="AF160" s="518" t="str">
        <f>IF(AND(_2="A-330-900",'2026'!$H$4="CA",'2026'!$H$2=AF157),'2026DATA'!$C$5,"")</f>
        <v/>
      </c>
      <c r="AG160" s="518" t="str">
        <f>IF(AND(_2="A-330-900",'2026'!$H$4="CA",'2026'!$H$2=AG157),'2026DATA'!$D$5,"")</f>
        <v/>
      </c>
      <c r="AH160" s="518" t="str">
        <f>IF(AND(_2="A-330-900",'2026'!$H$4="CA",'2026'!$H$2=AH157),'2026DATA'!$E$5,"")</f>
        <v/>
      </c>
      <c r="AI160" s="518" t="str">
        <f>IF(AND(_2="A-330-900",'2026'!$H$4="CA",'2026'!$H$2=AI157),'2026DATA'!$F$5,"")</f>
        <v/>
      </c>
      <c r="AJ160" s="518" t="str">
        <f>IF(AND(_2="A-330-900",'2026'!$H$4="CA",'2026'!$H$2=AJ157),'2026DATA'!$G$5,"")</f>
        <v/>
      </c>
      <c r="AK160" s="518" t="str">
        <f>IF(AND(_2="A-330-900",'2026'!$H$4="CA",'2026'!$H$2=AK157),'2026DATA'!$H$5,"")</f>
        <v/>
      </c>
      <c r="AL160" s="518" t="str">
        <f>IF(AND(_2="A-330-900",'2026'!$H$4="CA",'2026'!$H$2=AL157),'2026DATA'!$I$5,"")</f>
        <v/>
      </c>
      <c r="AM160" s="518" t="str">
        <f>IF(AND(_2="A-330-900",'2026'!$H$4="CA",'2026'!$H$2=AM157),'2026DATA'!$J$5,"")</f>
        <v/>
      </c>
      <c r="AN160" s="518" t="str">
        <f>IF(AND(_2="A-330-900",'2026'!$H$4="CA",'2026'!$H$2=AN157),'2026DATA'!$K$5,"")</f>
        <v/>
      </c>
      <c r="AO160" s="518" t="str">
        <f>IF(AND(_2="A-330-900",'2026'!$H$4="CA",'2026'!$H$2=AO157),'2026DATA'!$L$5,"")</f>
        <v/>
      </c>
      <c r="AP160" s="518" t="str">
        <f>IF(AND(_2="A-330-900",'2026'!$H$4="CA",'2026'!$H$2=AP157),'2026DATA'!$M$5,"")</f>
        <v/>
      </c>
      <c r="AQ160" s="520" t="str">
        <f>IF(AND(_2="A-330-900",'2026'!$H$4="CA",'2026'!$H$2=AQ157),'2026DATA'!$N$5,"")</f>
        <v/>
      </c>
      <c r="AR160" s="940" t="s">
        <v>65</v>
      </c>
      <c r="AS160" s="13" t="s">
        <v>61</v>
      </c>
      <c r="AT160" s="518" t="str">
        <f>IF(AND(_3="A-330-900",'2026'!$H$4="CA",'2026'!$H$2=AT157),'2026DATA'!$C$5,"")</f>
        <v/>
      </c>
      <c r="AU160" s="518" t="str">
        <f>IF(AND(_3="A-330-900",'2026'!$H$4="CA",'2026'!$H$2=AU157),'2026DATA'!$D$5,"")</f>
        <v/>
      </c>
      <c r="AV160" s="518" t="str">
        <f>IF(AND(_3="A-330-900",'2026'!$H$4="CA",'2026'!$H$2=AV157),'2026DATA'!$E$5,"")</f>
        <v/>
      </c>
      <c r="AW160" s="518" t="str">
        <f>IF(AND(_3="A-330-900",'2026'!$H$4="CA",'2026'!$H$2=AW157),'2026DATA'!$F$5,"")</f>
        <v/>
      </c>
      <c r="AX160" s="518" t="str">
        <f>IF(AND(_3="A-330-900",'2026'!$H$4="CA",'2026'!$H$2=AX157),'2026DATA'!$G$5,"")</f>
        <v/>
      </c>
      <c r="AY160" s="518" t="str">
        <f>IF(AND(_3="A-330-900",'2026'!$H$4="CA",'2026'!$H$2=AY157),'2026DATA'!$H$5,"")</f>
        <v/>
      </c>
      <c r="AZ160" s="518" t="str">
        <f>IF(AND(_3="A-330-900",'2026'!$H$4="CA",'2026'!$H$2=AZ157),'2026DATA'!$I$5,"")</f>
        <v/>
      </c>
      <c r="BA160" s="518" t="str">
        <f>IF(AND(_3="A-330-900",'2026'!$H$4="CA",'2026'!$H$2=BA157),'2026DATA'!$J$5,"")</f>
        <v/>
      </c>
      <c r="BB160" s="518" t="str">
        <f>IF(AND(_3="A-330-900",'2026'!$H$4="CA",'2026'!$H$2=BB157),'2026DATA'!$K$5,"")</f>
        <v/>
      </c>
      <c r="BC160" s="518" t="str">
        <f>IF(AND(_3="A-330-900",'2026'!$H$4="CA",'2026'!$H$2=BC157),'2026DATA'!$L$5,"")</f>
        <v/>
      </c>
      <c r="BD160" s="518" t="str">
        <f>IF(AND(_3="A-330-900",'2026'!$H$4="CA",'2026'!$H$2=BD157),'2026DATA'!$M$5,"")</f>
        <v/>
      </c>
      <c r="BE160" s="520" t="str">
        <f>IF(AND(_3="A-330-900",'2026'!$H$4="CA",'2026'!$H$2=BE157),'2026DATA'!$N$5,"")</f>
        <v/>
      </c>
      <c r="BF160" s="940" t="s">
        <v>65</v>
      </c>
      <c r="BG160" s="13" t="s">
        <v>61</v>
      </c>
      <c r="BH160" s="518" t="str">
        <f>IF(AND(_4="A-330-900",'2026'!$H$4="CA",'2026'!$H$2=BH157),'2026DATA'!$C$5,"")</f>
        <v/>
      </c>
      <c r="BI160" s="518" t="str">
        <f>IF(AND(_4="A-330-900",'2026'!$H$4="CA",'2026'!$H$2=BI157),'2026DATA'!$D$5,"")</f>
        <v/>
      </c>
      <c r="BJ160" s="518" t="str">
        <f>IF(AND(_4="A-330-900",'2026'!$H$4="CA",'2026'!$H$2=BJ157),'2026DATA'!$E$5,"")</f>
        <v/>
      </c>
      <c r="BK160" s="518" t="str">
        <f>IF(AND(_4="A-330-900",'2026'!$H$4="CA",'2026'!$H$2=BK157),'2026DATA'!$F$5,"")</f>
        <v/>
      </c>
      <c r="BL160" s="518" t="str">
        <f>IF(AND(_4="A-330-900",'2026'!$H$4="CA",'2026'!$H$2=BL157),'2026DATA'!$G$5,"")</f>
        <v/>
      </c>
      <c r="BM160" s="518" t="str">
        <f>IF(AND(_4="A-330-900",'2026'!$H$4="CA",'2026'!$H$2=BM157),'2026DATA'!$H$5,"")</f>
        <v/>
      </c>
      <c r="BN160" s="518" t="str">
        <f>IF(AND(_4="A-330-900",'2026'!$H$4="CA",'2026'!$H$2=BN157),'2026DATA'!$I$5,"")</f>
        <v/>
      </c>
      <c r="BO160" s="518" t="str">
        <f>IF(AND(_4="A-330-900",'2026'!$H$4="CA",'2026'!$H$2=BO157),'2026DATA'!$J$5,"")</f>
        <v/>
      </c>
      <c r="BP160" s="518" t="str">
        <f>IF(AND(_4="A-330-900",'2026'!$H$4="CA",'2026'!$H$2=BP157),'2026DATA'!$K$5,"")</f>
        <v/>
      </c>
      <c r="BQ160" s="518" t="str">
        <f>IF(AND(_4="A-330-900",'2026'!$H$4="CA",'2026'!$H$2=BQ157),'2026DATA'!$L$5,"")</f>
        <v/>
      </c>
      <c r="BR160" s="518" t="str">
        <f>IF(AND(_4="A-330-900",'2026'!$H$4="CA",'2026'!$H$2=BR157),'2026DATA'!$M$5,"")</f>
        <v/>
      </c>
      <c r="BS160" s="520" t="str">
        <f>IF(AND(_4="A-330-900",'2026'!$H$4="CA",'2026'!$H$2=BS157),'2026DATA'!$N$5,"")</f>
        <v/>
      </c>
      <c r="BT160" s="940" t="s">
        <v>65</v>
      </c>
      <c r="BU160" s="13" t="s">
        <v>61</v>
      </c>
      <c r="BV160" s="518" t="str">
        <f>IF(AND(_5="A-330-900",'2026'!$H$4="CA",'2026'!$H$2=BV157),'2026DATA'!$C$5,"")</f>
        <v/>
      </c>
      <c r="BW160" s="518" t="str">
        <f>IF(AND(_5="A-330-900",'2026'!$H$4="CA",'2026'!$H$2=BW157),'2026DATA'!$D$5,"")</f>
        <v/>
      </c>
      <c r="BX160" s="518" t="str">
        <f>IF(AND(_5="A-330-900",'2026'!$H$4="CA",'2026'!$H$2=BX157),'2026DATA'!$E$5,"")</f>
        <v/>
      </c>
      <c r="BY160" s="518" t="str">
        <f>IF(AND(_5="A-330-900",'2026'!$H$4="CA",'2026'!$H$2=BY157),'2026DATA'!$F$5,"")</f>
        <v/>
      </c>
      <c r="BZ160" s="518" t="str">
        <f>IF(AND(_5="A-330-900",'2026'!$H$4="CA",'2026'!$H$2=BZ157),'2026DATA'!$G$5,"")</f>
        <v/>
      </c>
      <c r="CA160" s="518" t="str">
        <f>IF(AND(_5="A-330-900",'2026'!$H$4="CA",'2026'!$H$2=CA157),'2026DATA'!$H$5,"")</f>
        <v/>
      </c>
      <c r="CB160" s="518" t="str">
        <f>IF(AND(_5="A-330-900",'2026'!$H$4="CA",'2026'!$H$2=CB157),'2026DATA'!$I$5,"")</f>
        <v/>
      </c>
      <c r="CC160" s="518" t="str">
        <f>IF(AND(_5="A-330-900",'2026'!$H$4="CA",'2026'!$H$2=CC157),'2026DATA'!$J$5,"")</f>
        <v/>
      </c>
      <c r="CD160" s="518" t="str">
        <f>IF(AND(_5="A-330-900",'2026'!$H$4="CA",'2026'!$H$2=CD157),'2026DATA'!$K$5,"")</f>
        <v/>
      </c>
      <c r="CE160" s="518" t="str">
        <f>IF(AND(_5="A-330-900",'2026'!$H$4="CA",'2026'!$H$2=CE157),'2026DATA'!$L$5,"")</f>
        <v/>
      </c>
      <c r="CF160" s="518" t="str">
        <f>IF(AND(_5="A-330-900",'2026'!$H$4="CA",'2026'!$H$2=CF157),'2026DATA'!$M$5,"")</f>
        <v/>
      </c>
      <c r="CG160" s="520" t="str">
        <f>IF(AND(_5="A-330-900",'2026'!$H$4="CA",'2026'!$H$2=CG157),'2026DATA'!$N$5,"")</f>
        <v/>
      </c>
      <c r="CH160" s="940" t="s">
        <v>65</v>
      </c>
      <c r="CI160" s="13" t="s">
        <v>61</v>
      </c>
      <c r="CJ160" s="518" t="str">
        <f>IF(AND(_6="A-330-900",'2026'!$H$4="CA",'2026'!$H$2=CJ157),'2026DATA'!$C$5,"")</f>
        <v/>
      </c>
      <c r="CK160" s="518" t="str">
        <f>IF(AND(_6="A-330-900",'2026'!$H$4="CA",'2026'!$H$2=CK157),'2026DATA'!$D$5,"")</f>
        <v/>
      </c>
      <c r="CL160" s="518" t="str">
        <f>IF(AND(_6="A-330-900",'2026'!$H$4="CA",'2026'!$H$2=CL157),'2026DATA'!$E$5,"")</f>
        <v/>
      </c>
      <c r="CM160" s="518" t="str">
        <f>IF(AND(_6="A-330-900",'2026'!$H$4="CA",'2026'!$H$2=CM157),'2026DATA'!$F$5,"")</f>
        <v/>
      </c>
      <c r="CN160" s="518" t="str">
        <f>IF(AND(_6="A-330-900",'2026'!$H$4="CA",'2026'!$H$2=CN157),'2026DATA'!$G$5,"")</f>
        <v/>
      </c>
      <c r="CO160" s="518" t="str">
        <f>IF(AND(_6="A-330-900",'2026'!$H$4="CA",'2026'!$H$2=CO157),'2026DATA'!$H$5,"")</f>
        <v/>
      </c>
      <c r="CP160" s="518" t="str">
        <f>IF(AND(_6="A-330-900",'2026'!$H$4="CA",'2026'!$H$2=CP157),'2026DATA'!$I$5,"")</f>
        <v/>
      </c>
      <c r="CQ160" s="518" t="str">
        <f>IF(AND(_6="A-330-900",'2026'!$H$4="CA",'2026'!$H$2=CQ157),'2026DATA'!$J$5,"")</f>
        <v/>
      </c>
      <c r="CR160" s="518" t="str">
        <f>IF(AND(_6="A-330-900",'2026'!$H$4="CA",'2026'!$H$2=CR157),'2026DATA'!$K$5,"")</f>
        <v/>
      </c>
      <c r="CS160" s="518" t="str">
        <f>IF(AND(_6="A-330-900",'2026'!$H$4="CA",'2026'!$H$2=CS157),'2026DATA'!$L$5,"")</f>
        <v/>
      </c>
      <c r="CT160" s="518" t="str">
        <f>IF(AND(_6="A-330-900",'2026'!$H$4="CA",'2026'!$H$2=CT157),'2026DATA'!$M$5,"")</f>
        <v/>
      </c>
      <c r="CU160" s="520" t="str">
        <f>IF(AND(_6="A-330-900",'2026'!$H$4="CA",'2026'!$H$2=CU157),'2026DATA'!$N$5,"")</f>
        <v/>
      </c>
    </row>
    <row r="161" spans="16:99" x14ac:dyDescent="0.25">
      <c r="P161" s="940"/>
      <c r="Q161" s="13" t="s">
        <v>62</v>
      </c>
      <c r="R161" s="518" t="str">
        <f>IF(AND(_1="A-330-900",'2026'!$H$4="FO",'2026'!$H$2=R157),'2026DATA'!$C$6,"")</f>
        <v/>
      </c>
      <c r="S161" s="518" t="str">
        <f>IF(AND(_1="A-330-900",'2026'!$H$4="FO",'2026'!$H$2=S157),'2026DATA'!$D$6,"")</f>
        <v/>
      </c>
      <c r="T161" s="518" t="str">
        <f>IF(AND(_1="A-330-900",'2026'!$H$4="FO",'2026'!$H$2=T157),'2026DATA'!$E$6,"")</f>
        <v/>
      </c>
      <c r="U161" s="518" t="str">
        <f>IF(AND(_1="A-330-900",'2026'!$H$4="FO",'2026'!$H$2=U157),'2026DATA'!$F$6,"")</f>
        <v/>
      </c>
      <c r="V161" s="518" t="str">
        <f>IF(AND(_1="A-330-900",'2026'!$H$4="FO",'2026'!$H$2=V157),'2026DATA'!$G$6,"")</f>
        <v/>
      </c>
      <c r="W161" s="518" t="str">
        <f>IF(AND(_1="A-330-900",'2026'!$H$4="FO",'2026'!$H$2=W157),'2026DATA'!$H$6,"")</f>
        <v/>
      </c>
      <c r="X161" s="518" t="str">
        <f>IF(AND(_1="A-330-900",'2026'!$H$4="FO",'2026'!$H$2=X157),'2026DATA'!$I$6,"")</f>
        <v/>
      </c>
      <c r="Y161" s="518" t="str">
        <f>IF(AND(_1="A-330-900",'2026'!$H$4="FO",'2026'!$H$2=Y157),'2026DATA'!$J$6,"")</f>
        <v/>
      </c>
      <c r="Z161" s="518" t="str">
        <f>IF(AND(_1="A-330-900",'2026'!$H$4="FO",'2026'!$H$2=Z157),'2026DATA'!$K$6,"")</f>
        <v/>
      </c>
      <c r="AA161" s="518" t="str">
        <f>IF(AND(_1="A-330-900",'2026'!$H$4="FO",'2026'!$H$2=AA157),'2026DATA'!$L$6,"")</f>
        <v/>
      </c>
      <c r="AB161" s="518" t="str">
        <f>IF(AND(_1="A-330-900",'2026'!$H$4="FO",'2026'!$H$2=AB157),'2026DATA'!$M$6,"")</f>
        <v/>
      </c>
      <c r="AC161" s="520" t="str">
        <f>IF(AND(_1="A-330-900",'2026'!$H$4="FO",'2026'!$H$2=AC157),'2026DATA'!$N$6,"")</f>
        <v/>
      </c>
      <c r="AD161" s="940"/>
      <c r="AE161" s="13" t="s">
        <v>62</v>
      </c>
      <c r="AF161" s="518" t="str">
        <f>IF(AND(_2="A-330-900",'2026'!$H$4="FO",'2026'!$H$2=AF157),'2026DATA'!$C$6,"")</f>
        <v/>
      </c>
      <c r="AG161" s="518" t="str">
        <f>IF(AND(_2="A-330-900",'2026'!$H$4="FO",'2026'!$H$2=AG157),'2026DATA'!$D$6,"")</f>
        <v/>
      </c>
      <c r="AH161" s="518" t="str">
        <f>IF(AND(_2="A-330-900",'2026'!$H$4="FO",'2026'!$H$2=AH157),'2026DATA'!$E$6,"")</f>
        <v/>
      </c>
      <c r="AI161" s="518" t="str">
        <f>IF(AND(_2="A-330-900",'2026'!$H$4="FO",'2026'!$H$2=AI157),'2026DATA'!$F$6,"")</f>
        <v/>
      </c>
      <c r="AJ161" s="518" t="str">
        <f>IF(AND(_2="A-330-900",'2026'!$H$4="FO",'2026'!$H$2=AJ157),'2026DATA'!$G$6,"")</f>
        <v/>
      </c>
      <c r="AK161" s="518" t="str">
        <f>IF(AND(_2="A-330-900",'2026'!$H$4="FO",'2026'!$H$2=AK157),'2026DATA'!$H$6,"")</f>
        <v/>
      </c>
      <c r="AL161" s="518" t="str">
        <f>IF(AND(_2="A-330-900",'2026'!$H$4="FO",'2026'!$H$2=AL157),'2026DATA'!$I$6,"")</f>
        <v/>
      </c>
      <c r="AM161" s="518" t="str">
        <f>IF(AND(_2="A-330-900",'2026'!$H$4="FO",'2026'!$H$2=AM157),'2026DATA'!$J$6,"")</f>
        <v/>
      </c>
      <c r="AN161" s="518" t="str">
        <f>IF(AND(_2="A-330-900",'2026'!$H$4="FO",'2026'!$H$2=AN157),'2026DATA'!$K$6,"")</f>
        <v/>
      </c>
      <c r="AO161" s="518" t="str">
        <f>IF(AND(_2="A-330-900",'2026'!$H$4="FO",'2026'!$H$2=AO157),'2026DATA'!$L$6,"")</f>
        <v/>
      </c>
      <c r="AP161" s="518" t="str">
        <f>IF(AND(_2="A-330-900",'2026'!$H$4="FO",'2026'!$H$2=AP157),'2026DATA'!$M$6,"")</f>
        <v/>
      </c>
      <c r="AQ161" s="520" t="str">
        <f>IF(AND(_2="A-330-900",'2026'!$H$4="FO",'2026'!$H$2=AQ157),'2026DATA'!$N$6,"")</f>
        <v/>
      </c>
      <c r="AR161" s="940"/>
      <c r="AS161" s="13" t="s">
        <v>62</v>
      </c>
      <c r="AT161" s="518" t="str">
        <f>IF(AND(_3="A-330-900",'2026'!$H$4="FO",'2026'!$H$2=AT157),'2026DATA'!$C$6,"")</f>
        <v/>
      </c>
      <c r="AU161" s="518" t="str">
        <f>IF(AND(_3="A-330-900",'2026'!$H$4="FO",'2026'!$H$2=AU157),'2026DATA'!$D$6,"")</f>
        <v/>
      </c>
      <c r="AV161" s="518" t="str">
        <f>IF(AND(_3="A-330-900",'2026'!$H$4="FO",'2026'!$H$2=AV157),'2026DATA'!$E$6,"")</f>
        <v/>
      </c>
      <c r="AW161" s="518" t="str">
        <f>IF(AND(_3="A-330-900",'2026'!$H$4="FO",'2026'!$H$2=AW157),'2026DATA'!$F$6,"")</f>
        <v/>
      </c>
      <c r="AX161" s="518" t="str">
        <f>IF(AND(_3="A-330-900",'2026'!$H$4="FO",'2026'!$H$2=AX157),'2026DATA'!$G$6,"")</f>
        <v/>
      </c>
      <c r="AY161" s="518" t="str">
        <f>IF(AND(_3="A-330-900",'2026'!$H$4="FO",'2026'!$H$2=AY157),'2026DATA'!$H$6,"")</f>
        <v/>
      </c>
      <c r="AZ161" s="518" t="str">
        <f>IF(AND(_3="A-330-900",'2026'!$H$4="FO",'2026'!$H$2=AZ157),'2026DATA'!$I$6,"")</f>
        <v/>
      </c>
      <c r="BA161" s="518" t="str">
        <f>IF(AND(_3="A-330-900",'2026'!$H$4="FO",'2026'!$H$2=BA157),'2026DATA'!$J$6,"")</f>
        <v/>
      </c>
      <c r="BB161" s="518" t="str">
        <f>IF(AND(_3="A-330-900",'2026'!$H$4="FO",'2026'!$H$2=BB157),'2026DATA'!$K$6,"")</f>
        <v/>
      </c>
      <c r="BC161" s="518" t="str">
        <f>IF(AND(_3="A-330-900",'2026'!$H$4="FO",'2026'!$H$2=BC157),'2026DATA'!$L$6,"")</f>
        <v/>
      </c>
      <c r="BD161" s="518" t="str">
        <f>IF(AND(_3="A-330-900",'2026'!$H$4="FO",'2026'!$H$2=BD157),'2026DATA'!$M$6,"")</f>
        <v/>
      </c>
      <c r="BE161" s="520" t="str">
        <f>IF(AND(_3="A-330-900",'2026'!$H$4="FO",'2026'!$H$2=BE157),'2026DATA'!$N$6,"")</f>
        <v/>
      </c>
      <c r="BF161" s="940"/>
      <c r="BG161" s="13" t="s">
        <v>62</v>
      </c>
      <c r="BH161" s="518" t="str">
        <f>IF(AND(_4="A-330-900",'2026'!$H$4="FO",'2026'!$H$2=BH157),'2026DATA'!$C$6,"")</f>
        <v/>
      </c>
      <c r="BI161" s="518" t="str">
        <f>IF(AND(_4="A-330-900",'2026'!$H$4="FO",'2026'!$H$2=BI157),'2026DATA'!$D$6,"")</f>
        <v/>
      </c>
      <c r="BJ161" s="518" t="str">
        <f>IF(AND(_4="A-330-900",'2026'!$H$4="FO",'2026'!$H$2=BJ157),'2026DATA'!$E$6,"")</f>
        <v/>
      </c>
      <c r="BK161" s="518" t="str">
        <f>IF(AND(_4="A-330-900",'2026'!$H$4="FO",'2026'!$H$2=BK157),'2026DATA'!$F$6,"")</f>
        <v/>
      </c>
      <c r="BL161" s="518" t="str">
        <f>IF(AND(_4="A-330-900",'2026'!$H$4="FO",'2026'!$H$2=BL157),'2026DATA'!$G$6,"")</f>
        <v/>
      </c>
      <c r="BM161" s="518" t="str">
        <f>IF(AND(_4="A-330-900",'2026'!$H$4="FO",'2026'!$H$2=BM157),'2026DATA'!$H$6,"")</f>
        <v/>
      </c>
      <c r="BN161" s="518" t="str">
        <f>IF(AND(_4="A-330-900",'2026'!$H$4="FO",'2026'!$H$2=BN157),'2026DATA'!$I$6,"")</f>
        <v/>
      </c>
      <c r="BO161" s="518" t="str">
        <f>IF(AND(_4="A-330-900",'2026'!$H$4="FO",'2026'!$H$2=BO157),'2026DATA'!$J$6,"")</f>
        <v/>
      </c>
      <c r="BP161" s="518" t="str">
        <f>IF(AND(_4="A-330-900",'2026'!$H$4="FO",'2026'!$H$2=BP157),'2026DATA'!$K$6,"")</f>
        <v/>
      </c>
      <c r="BQ161" s="518" t="str">
        <f>IF(AND(_4="A-330-900",'2026'!$H$4="FO",'2026'!$H$2=BQ157),'2026DATA'!$L$6,"")</f>
        <v/>
      </c>
      <c r="BR161" s="518" t="str">
        <f>IF(AND(_4="A-330-900",'2026'!$H$4="FO",'2026'!$H$2=BR157),'2026DATA'!$M$6,"")</f>
        <v/>
      </c>
      <c r="BS161" s="520" t="str">
        <f>IF(AND(_4="A-330-900",'2026'!$H$4="FO",'2026'!$H$2=BS157),'2026DATA'!$N$6,"")</f>
        <v/>
      </c>
      <c r="BT161" s="940"/>
      <c r="BU161" s="13" t="s">
        <v>62</v>
      </c>
      <c r="BV161" s="518" t="str">
        <f>IF(AND(_5="A-330-900",'2026'!$H$4="FO",'2026'!$H$2=BV157),'2026DATA'!$C$6,"")</f>
        <v/>
      </c>
      <c r="BW161" s="518" t="str">
        <f>IF(AND(_5="A-330-900",'2026'!$H$4="FO",'2026'!$H$2=BW157),'2026DATA'!$D$6,"")</f>
        <v/>
      </c>
      <c r="BX161" s="518" t="str">
        <f>IF(AND(_5="A-330-900",'2026'!$H$4="FO",'2026'!$H$2=BX157),'2026DATA'!$E$6,"")</f>
        <v/>
      </c>
      <c r="BY161" s="518" t="str">
        <f>IF(AND(_5="A-330-900",'2026'!$H$4="FO",'2026'!$H$2=BY157),'2026DATA'!$F$6,"")</f>
        <v/>
      </c>
      <c r="BZ161" s="518" t="str">
        <f>IF(AND(_5="A-330-900",'2026'!$H$4="FO",'2026'!$H$2=BZ157),'2026DATA'!$G$6,"")</f>
        <v/>
      </c>
      <c r="CA161" s="518" t="str">
        <f>IF(AND(_5="A-330-900",'2026'!$H$4="FO",'2026'!$H$2=CA157),'2026DATA'!$H$6,"")</f>
        <v/>
      </c>
      <c r="CB161" s="518" t="str">
        <f>IF(AND(_5="A-330-900",'2026'!$H$4="FO",'2026'!$H$2=CB157),'2026DATA'!$I$6,"")</f>
        <v/>
      </c>
      <c r="CC161" s="518" t="str">
        <f>IF(AND(_5="A-330-900",'2026'!$H$4="FO",'2026'!$H$2=CC157),'2026DATA'!$J$6,"")</f>
        <v/>
      </c>
      <c r="CD161" s="518" t="str">
        <f>IF(AND(_5="A-330-900",'2026'!$H$4="FO",'2026'!$H$2=CD157),'2026DATA'!$K$6,"")</f>
        <v/>
      </c>
      <c r="CE161" s="518" t="str">
        <f>IF(AND(_5="A-330-900",'2026'!$H$4="FO",'2026'!$H$2=CE157),'2026DATA'!$L$6,"")</f>
        <v/>
      </c>
      <c r="CF161" s="518" t="str">
        <f>IF(AND(_5="A-330-900",'2026'!$H$4="FO",'2026'!$H$2=CF157),'2026DATA'!$M$6,"")</f>
        <v/>
      </c>
      <c r="CG161" s="520" t="str">
        <f>IF(AND(_5="A-330-900",'2026'!$H$4="FO",'2026'!$H$2=CG157),'2026DATA'!$N$6,"")</f>
        <v/>
      </c>
      <c r="CH161" s="940"/>
      <c r="CI161" s="13" t="s">
        <v>62</v>
      </c>
      <c r="CJ161" s="518" t="str">
        <f>IF(AND(_6="A-330-900",'2026'!$H$4="FO",'2026'!$H$2=CJ157),'2026DATA'!$C$6,"")</f>
        <v/>
      </c>
      <c r="CK161" s="518" t="str">
        <f>IF(AND(_6="A-330-900",'2026'!$H$4="FO",'2026'!$H$2=CK157),'2026DATA'!$D$6,"")</f>
        <v/>
      </c>
      <c r="CL161" s="518" t="str">
        <f>IF(AND(_6="A-330-900",'2026'!$H$4="FO",'2026'!$H$2=CL157),'2026DATA'!$E$6,"")</f>
        <v/>
      </c>
      <c r="CM161" s="518" t="str">
        <f>IF(AND(_6="A-330-900",'2026'!$H$4="FO",'2026'!$H$2=CM157),'2026DATA'!$F$6,"")</f>
        <v/>
      </c>
      <c r="CN161" s="518" t="str">
        <f>IF(AND(_6="A-330-900",'2026'!$H$4="FO",'2026'!$H$2=CN157),'2026DATA'!$G$6,"")</f>
        <v/>
      </c>
      <c r="CO161" s="518" t="str">
        <f>IF(AND(_6="A-330-900",'2026'!$H$4="FO",'2026'!$H$2=CO157),'2026DATA'!$H$6,"")</f>
        <v/>
      </c>
      <c r="CP161" s="518" t="str">
        <f>IF(AND(_6="A-330-900",'2026'!$H$4="FO",'2026'!$H$2=CP157),'2026DATA'!$I$6,"")</f>
        <v/>
      </c>
      <c r="CQ161" s="518" t="str">
        <f>IF(AND(_6="A-330-900",'2026'!$H$4="FO",'2026'!$H$2=CQ157),'2026DATA'!$J$6,"")</f>
        <v/>
      </c>
      <c r="CR161" s="518" t="str">
        <f>IF(AND(_6="A-330-900",'2026'!$H$4="FO",'2026'!$H$2=CR157),'2026DATA'!$K$6,"")</f>
        <v/>
      </c>
      <c r="CS161" s="518" t="str">
        <f>IF(AND(_6="A-330-900",'2026'!$H$4="FO",'2026'!$H$2=CS157),'2026DATA'!$L$6,"")</f>
        <v/>
      </c>
      <c r="CT161" s="518" t="str">
        <f>IF(AND(_6="A-330-900",'2026'!$H$4="FO",'2026'!$H$2=CT157),'2026DATA'!$M$6,"")</f>
        <v/>
      </c>
      <c r="CU161" s="520" t="str">
        <f>IF(AND(_6="A-330-900",'2026'!$H$4="FO",'2026'!$H$2=CU157),'2026DATA'!$N$6,"")</f>
        <v/>
      </c>
    </row>
    <row r="162" spans="16:99" x14ac:dyDescent="0.25">
      <c r="P162" s="940" t="s">
        <v>64</v>
      </c>
      <c r="Q162" s="13" t="s">
        <v>61</v>
      </c>
      <c r="R162" s="518" t="str">
        <f>IF(AND(_1="A-330-300",'2026'!$H$4="CA",'2026'!$H$2=R157),'2026DATA'!$C$7,"")</f>
        <v/>
      </c>
      <c r="S162" s="518" t="str">
        <f>IF(AND(_1="A-330-300",'2026'!$H$4="CA",'2026'!$H$2=S157),'2026DATA'!$D$7,"")</f>
        <v/>
      </c>
      <c r="T162" s="518" t="str">
        <f>IF(AND(_1="A-330-300",'2026'!$H$4="CA",'2026'!$H$2=T157),'2026DATA'!$E$7,"")</f>
        <v/>
      </c>
      <c r="U162" s="518" t="str">
        <f>IF(AND(_1="A-330-300",'2026'!$H$4="CA",'2026'!$H$2=U157),'2026DATA'!$F$7,"")</f>
        <v/>
      </c>
      <c r="V162" s="518" t="str">
        <f>IF(AND(_1="A-330-300",'2026'!$H$4="CA",'2026'!$H$2=V157),'2026DATA'!$G$7,"")</f>
        <v/>
      </c>
      <c r="W162" s="518" t="str">
        <f>IF(AND(_1="A-330-300",'2026'!$H$4="CA",'2026'!$H$2=W157),'2026DATA'!$H$7,"")</f>
        <v/>
      </c>
      <c r="X162" s="518" t="str">
        <f>IF(AND(_1="A-330-300",'2026'!$H$4="CA",'2026'!$H$2=X157),'2026DATA'!$I$7,"")</f>
        <v/>
      </c>
      <c r="Y162" s="518" t="str">
        <f>IF(AND(_1="A-330-300",'2026'!$H$4="CA",'2026'!$H$2=Y157),'2026DATA'!$J$7,"")</f>
        <v/>
      </c>
      <c r="Z162" s="518" t="str">
        <f>IF(AND(_1="A-330-300",'2026'!$H$4="CA",'2026'!$H$2=Z157),'2026DATA'!$K$7,"")</f>
        <v/>
      </c>
      <c r="AA162" s="518" t="str">
        <f>IF(AND(_1="A-330-300",'2026'!$H$4="CA",'2026'!$H$2=AA157),'2026DATA'!$L$7,"")</f>
        <v/>
      </c>
      <c r="AB162" s="518" t="str">
        <f>IF(AND(_1="A-330-300",'2026'!$H$4="CA",'2026'!$H$2=AB157),'2026DATA'!$M$7,"")</f>
        <v/>
      </c>
      <c r="AC162" s="520" t="str">
        <f>IF(AND(_1="A-330-300",'2026'!$H$4="CA",'2026'!$H$2=AC157),'2026DATA'!$N$7,"")</f>
        <v/>
      </c>
      <c r="AD162" s="940" t="s">
        <v>64</v>
      </c>
      <c r="AE162" s="13" t="s">
        <v>61</v>
      </c>
      <c r="AF162" s="518" t="str">
        <f>IF(AND(_2="A-330-300",'2026'!$H$4="CA",'2026'!$H$2=AF157),'2026DATA'!$C$7,"")</f>
        <v/>
      </c>
      <c r="AG162" s="518" t="str">
        <f>IF(AND(_2="A-330-300",'2026'!$H$4="CA",'2026'!$H$2=AG157),'2026DATA'!$D$7,"")</f>
        <v/>
      </c>
      <c r="AH162" s="518" t="str">
        <f>IF(AND(_2="A-330-300",'2026'!$H$4="CA",'2026'!$H$2=AH157),'2026DATA'!$E$7,"")</f>
        <v/>
      </c>
      <c r="AI162" s="518" t="str">
        <f>IF(AND(_2="A-330-300",'2026'!$H$4="CA",'2026'!$H$2=AI157),'2026DATA'!$F$7,"")</f>
        <v/>
      </c>
      <c r="AJ162" s="518" t="str">
        <f>IF(AND(_2="A-330-300",'2026'!$H$4="CA",'2026'!$H$2=AJ157),'2026DATA'!$G$7,"")</f>
        <v/>
      </c>
      <c r="AK162" s="518" t="str">
        <f>IF(AND(_2="A-330-300",'2026'!$H$4="CA",'2026'!$H$2=AK157),'2026DATA'!$H$7,"")</f>
        <v/>
      </c>
      <c r="AL162" s="518" t="str">
        <f>IF(AND(_2="A-330-300",'2026'!$H$4="CA",'2026'!$H$2=AL157),'2026DATA'!$I$7,"")</f>
        <v/>
      </c>
      <c r="AM162" s="518" t="str">
        <f>IF(AND(_2="A-330-300",'2026'!$H$4="CA",'2026'!$H$2=AM157),'2026DATA'!$J$7,"")</f>
        <v/>
      </c>
      <c r="AN162" s="518" t="str">
        <f>IF(AND(_2="A-330-300",'2026'!$H$4="CA",'2026'!$H$2=AN157),'2026DATA'!$K$7,"")</f>
        <v/>
      </c>
      <c r="AO162" s="518" t="str">
        <f>IF(AND(_2="A-330-300",'2026'!$H$4="CA",'2026'!$H$2=AO157),'2026DATA'!$L$7,"")</f>
        <v/>
      </c>
      <c r="AP162" s="518" t="str">
        <f>IF(AND(_2="A-330-300",'2026'!$H$4="CA",'2026'!$H$2=AP157),'2026DATA'!$M$7,"")</f>
        <v/>
      </c>
      <c r="AQ162" s="520" t="str">
        <f>IF(AND(_2="A-330-300",'2026'!$H$4="CA",'2026'!$H$2=AQ157),'2026DATA'!$N$7,"")</f>
        <v/>
      </c>
      <c r="AR162" s="940" t="s">
        <v>64</v>
      </c>
      <c r="AS162" s="13" t="s">
        <v>61</v>
      </c>
      <c r="AT162" s="518" t="str">
        <f>IF(AND(_3="A-330-300",'2026'!$H$4="CA",'2026'!$H$2=AT157),'2026DATA'!$C$7,"")</f>
        <v/>
      </c>
      <c r="AU162" s="518" t="str">
        <f>IF(AND(_3="A-330-300",'2026'!$H$4="CA",'2026'!$H$2=AU157),'2026DATA'!$D$7,"")</f>
        <v/>
      </c>
      <c r="AV162" s="518" t="str">
        <f>IF(AND(_3="A-330-300",'2026'!$H$4="CA",'2026'!$H$2=AV157),'2026DATA'!$E$7,"")</f>
        <v/>
      </c>
      <c r="AW162" s="518" t="str">
        <f>IF(AND(_3="A-330-300",'2026'!$H$4="CA",'2026'!$H$2=AW157),'2026DATA'!$F$7,"")</f>
        <v/>
      </c>
      <c r="AX162" s="518" t="str">
        <f>IF(AND(_3="A-330-300",'2026'!$H$4="CA",'2026'!$H$2=AX157),'2026DATA'!$G$7,"")</f>
        <v/>
      </c>
      <c r="AY162" s="518" t="str">
        <f>IF(AND(_3="A-330-300",'2026'!$H$4="CA",'2026'!$H$2=AY157),'2026DATA'!$H$7,"")</f>
        <v/>
      </c>
      <c r="AZ162" s="518" t="str">
        <f>IF(AND(_3="A-330-300",'2026'!$H$4="CA",'2026'!$H$2=AZ157),'2026DATA'!$I$7,"")</f>
        <v/>
      </c>
      <c r="BA162" s="518" t="str">
        <f>IF(AND(_3="A-330-300",'2026'!$H$4="CA",'2026'!$H$2=BA157),'2026DATA'!$J$7,"")</f>
        <v/>
      </c>
      <c r="BB162" s="518" t="str">
        <f>IF(AND(_3="A-330-300",'2026'!$H$4="CA",'2026'!$H$2=BB157),'2026DATA'!$K$7,"")</f>
        <v/>
      </c>
      <c r="BC162" s="518" t="str">
        <f>IF(AND(_3="A-330-300",'2026'!$H$4="CA",'2026'!$H$2=BC157),'2026DATA'!$L$7,"")</f>
        <v/>
      </c>
      <c r="BD162" s="518" t="str">
        <f>IF(AND(_3="A-330-300",'2026'!$H$4="CA",'2026'!$H$2=BD157),'2026DATA'!$M$7,"")</f>
        <v/>
      </c>
      <c r="BE162" s="520" t="str">
        <f>IF(AND(_3="A-330-300",'2026'!$H$4="CA",'2026'!$H$2=BE157),'2026DATA'!$N$7,"")</f>
        <v/>
      </c>
      <c r="BF162" s="940" t="s">
        <v>64</v>
      </c>
      <c r="BG162" s="13" t="s">
        <v>61</v>
      </c>
      <c r="BH162" s="518" t="str">
        <f>IF(AND(_4="A-330-300",'2026'!$H$4="CA",'2026'!$H$2=BH157),'2026DATA'!$C$7,"")</f>
        <v/>
      </c>
      <c r="BI162" s="518" t="str">
        <f>IF(AND(_4="A-330-300",'2026'!$H$4="CA",'2026'!$H$2=BI157),'2026DATA'!$D$7,"")</f>
        <v/>
      </c>
      <c r="BJ162" s="518" t="str">
        <f>IF(AND(_4="A-330-300",'2026'!$H$4="CA",'2026'!$H$2=BJ157),'2026DATA'!$E$7,"")</f>
        <v/>
      </c>
      <c r="BK162" s="518" t="str">
        <f>IF(AND(_4="A-330-300",'2026'!$H$4="CA",'2026'!$H$2=BK157),'2026DATA'!$F$7,"")</f>
        <v/>
      </c>
      <c r="BL162" s="518" t="str">
        <f>IF(AND(_4="A-330-300",'2026'!$H$4="CA",'2026'!$H$2=BL157),'2026DATA'!$G$7,"")</f>
        <v/>
      </c>
      <c r="BM162" s="518" t="str">
        <f>IF(AND(_4="A-330-300",'2026'!$H$4="CA",'2026'!$H$2=BM157),'2026DATA'!$H$7,"")</f>
        <v/>
      </c>
      <c r="BN162" s="518" t="str">
        <f>IF(AND(_4="A-330-300",'2026'!$H$4="CA",'2026'!$H$2=BN157),'2026DATA'!$I$7,"")</f>
        <v/>
      </c>
      <c r="BO162" s="518" t="str">
        <f>IF(AND(_4="A-330-300",'2026'!$H$4="CA",'2026'!$H$2=BO157),'2026DATA'!$J$7,"")</f>
        <v/>
      </c>
      <c r="BP162" s="518" t="str">
        <f>IF(AND(_4="A-330-300",'2026'!$H$4="CA",'2026'!$H$2=BP157),'2026DATA'!$K$7,"")</f>
        <v/>
      </c>
      <c r="BQ162" s="518" t="str">
        <f>IF(AND(_4="A-330-300",'2026'!$H$4="CA",'2026'!$H$2=BQ157),'2026DATA'!$L$7,"")</f>
        <v/>
      </c>
      <c r="BR162" s="518" t="str">
        <f>IF(AND(_4="A-330-300",'2026'!$H$4="CA",'2026'!$H$2=BR157),'2026DATA'!$M$7,"")</f>
        <v/>
      </c>
      <c r="BS162" s="520" t="str">
        <f>IF(AND(_4="A-330-300",'2026'!$H$4="CA",'2026'!$H$2=BS157),'2026DATA'!$N$7,"")</f>
        <v/>
      </c>
      <c r="BT162" s="940" t="s">
        <v>64</v>
      </c>
      <c r="BU162" s="13" t="s">
        <v>61</v>
      </c>
      <c r="BV162" s="518" t="str">
        <f>IF(AND(_5="A-330-300",'2026'!$H$4="CA",'2026'!$H$2=BV157),'2026DATA'!$C$7,"")</f>
        <v/>
      </c>
      <c r="BW162" s="518" t="str">
        <f>IF(AND(_5="A-330-300",'2026'!$H$4="CA",'2026'!$H$2=BW157),'2026DATA'!$D$7,"")</f>
        <v/>
      </c>
      <c r="BX162" s="518" t="str">
        <f>IF(AND(_5="A-330-300",'2026'!$H$4="CA",'2026'!$H$2=BX157),'2026DATA'!$E$7,"")</f>
        <v/>
      </c>
      <c r="BY162" s="518" t="str">
        <f>IF(AND(_5="A-330-300",'2026'!$H$4="CA",'2026'!$H$2=BY157),'2026DATA'!$F$7,"")</f>
        <v/>
      </c>
      <c r="BZ162" s="518" t="str">
        <f>IF(AND(_5="A-330-300",'2026'!$H$4="CA",'2026'!$H$2=BZ157),'2026DATA'!$G$7,"")</f>
        <v/>
      </c>
      <c r="CA162" s="518" t="str">
        <f>IF(AND(_5="A-330-300",'2026'!$H$4="CA",'2026'!$H$2=CA157),'2026DATA'!$H$7,"")</f>
        <v/>
      </c>
      <c r="CB162" s="518" t="str">
        <f>IF(AND(_5="A-330-300",'2026'!$H$4="CA",'2026'!$H$2=CB157),'2026DATA'!$I$7,"")</f>
        <v/>
      </c>
      <c r="CC162" s="518" t="str">
        <f>IF(AND(_5="A-330-300",'2026'!$H$4="CA",'2026'!$H$2=CC157),'2026DATA'!$J$7,"")</f>
        <v/>
      </c>
      <c r="CD162" s="518" t="str">
        <f>IF(AND(_5="A-330-300",'2026'!$H$4="CA",'2026'!$H$2=CD157),'2026DATA'!$K$7,"")</f>
        <v/>
      </c>
      <c r="CE162" s="518" t="str">
        <f>IF(AND(_5="A-330-300",'2026'!$H$4="CA",'2026'!$H$2=CE157),'2026DATA'!$L$7,"")</f>
        <v/>
      </c>
      <c r="CF162" s="518" t="str">
        <f>IF(AND(_5="A-330-300",'2026'!$H$4="CA",'2026'!$H$2=CF157),'2026DATA'!$M$7,"")</f>
        <v/>
      </c>
      <c r="CG162" s="520" t="str">
        <f>IF(AND(_5="A-330-300",'2026'!$H$4="CA",'2026'!$H$2=CG157),'2026DATA'!$N$7,"")</f>
        <v/>
      </c>
      <c r="CH162" s="940" t="s">
        <v>64</v>
      </c>
      <c r="CI162" s="13" t="s">
        <v>61</v>
      </c>
      <c r="CJ162" s="518" t="str">
        <f>IF(AND(_6="A-330-300",'2026'!$H$4="CA",'2026'!$H$2=CJ157),'2026DATA'!$C$7,"")</f>
        <v/>
      </c>
      <c r="CK162" s="518" t="str">
        <f>IF(AND(_6="A-330-300",'2026'!$H$4="CA",'2026'!$H$2=CK157),'2026DATA'!$D$7,"")</f>
        <v/>
      </c>
      <c r="CL162" s="518" t="str">
        <f>IF(AND(_6="A-330-300",'2026'!$H$4="CA",'2026'!$H$2=CL157),'2026DATA'!$E$7,"")</f>
        <v/>
      </c>
      <c r="CM162" s="518" t="str">
        <f>IF(AND(_6="A-330-300",'2026'!$H$4="CA",'2026'!$H$2=CM157),'2026DATA'!$F$7,"")</f>
        <v/>
      </c>
      <c r="CN162" s="518" t="str">
        <f>IF(AND(_6="A-330-300",'2026'!$H$4="CA",'2026'!$H$2=CN157),'2026DATA'!$G$7,"")</f>
        <v/>
      </c>
      <c r="CO162" s="518" t="str">
        <f>IF(AND(_6="A-330-300",'2026'!$H$4="CA",'2026'!$H$2=CO157),'2026DATA'!$H$7,"")</f>
        <v/>
      </c>
      <c r="CP162" s="518" t="str">
        <f>IF(AND(_6="A-330-300",'2026'!$H$4="CA",'2026'!$H$2=CP157),'2026DATA'!$I$7,"")</f>
        <v/>
      </c>
      <c r="CQ162" s="518" t="str">
        <f>IF(AND(_6="A-330-300",'2026'!$H$4="CA",'2026'!$H$2=CQ157),'2026DATA'!$J$7,"")</f>
        <v/>
      </c>
      <c r="CR162" s="518" t="str">
        <f>IF(AND(_6="A-330-300",'2026'!$H$4="CA",'2026'!$H$2=CR157),'2026DATA'!$K$7,"")</f>
        <v/>
      </c>
      <c r="CS162" s="518" t="str">
        <f>IF(AND(_6="A-330-300",'2026'!$H$4="CA",'2026'!$H$2=CS157),'2026DATA'!$L$7,"")</f>
        <v/>
      </c>
      <c r="CT162" s="518" t="str">
        <f>IF(AND(_6="A-330-300",'2026'!$H$4="CA",'2026'!$H$2=CT157),'2026DATA'!$M$7,"")</f>
        <v/>
      </c>
      <c r="CU162" s="520" t="str">
        <f>IF(AND(_6="A-330-300",'2026'!$H$4="CA",'2026'!$H$2=CU157),'2026DATA'!$N$7,"")</f>
        <v/>
      </c>
    </row>
    <row r="163" spans="16:99" x14ac:dyDescent="0.25">
      <c r="P163" s="940"/>
      <c r="Q163" s="13" t="s">
        <v>62</v>
      </c>
      <c r="R163" s="518" t="str">
        <f>IF(AND(_1="A-330-300",'2026'!$H$4="FO",'2026'!$H$2=R157),'2026DATA'!$C$8,"")</f>
        <v/>
      </c>
      <c r="S163" s="518" t="str">
        <f>IF(AND(_1="A-330-300",'2026'!$H$4="FO",'2026'!$H$2=S157),'2026DATA'!$D$8,"")</f>
        <v/>
      </c>
      <c r="T163" s="518" t="str">
        <f>IF(AND(_1="A-330-300",'2026'!$H$4="FO",'2026'!$H$2=T157),'2026DATA'!$E$8,"")</f>
        <v/>
      </c>
      <c r="U163" s="518" t="str">
        <f>IF(AND(_1="A-330-300",'2026'!$H$4="FO",'2026'!$H$2=U157),'2026DATA'!$F$8,"")</f>
        <v/>
      </c>
      <c r="V163" s="518" t="str">
        <f>IF(AND(_1="A-330-300",'2026'!$H$4="FO",'2026'!$H$2=V157),'2026DATA'!$G$8,"")</f>
        <v/>
      </c>
      <c r="W163" s="518" t="str">
        <f>IF(AND(_1="A-330-300",'2026'!$H$4="FO",'2026'!$H$2=W157),'2026DATA'!$H$8,"")</f>
        <v/>
      </c>
      <c r="X163" s="518" t="str">
        <f>IF(AND(_1="A-330-300",'2026'!$H$4="FO",'2026'!$H$2=X157),'2026DATA'!$I$8,"")</f>
        <v/>
      </c>
      <c r="Y163" s="518" t="str">
        <f>IF(AND(_1="A-330-300",'2026'!$H$4="FO",'2026'!$H$2=Y157),'2026DATA'!$J$8,"")</f>
        <v/>
      </c>
      <c r="Z163" s="518" t="str">
        <f>IF(AND(_1="A-330-300",'2026'!$H$4="FO",'2026'!$H$2=Z157),'2026DATA'!$K$8,"")</f>
        <v/>
      </c>
      <c r="AA163" s="518" t="str">
        <f>IF(AND(_1="A-330-300",'2026'!$H$4="FO",'2026'!$H$2=AA157),'2026DATA'!$L$8,"")</f>
        <v/>
      </c>
      <c r="AB163" s="518" t="str">
        <f>IF(AND(_1="A-330-300",'2026'!$H$4="FO",'2026'!$H$2=AB157),'2026DATA'!$M$8,"")</f>
        <v/>
      </c>
      <c r="AC163" s="520" t="str">
        <f>IF(AND(_1="A-330-300",'2026'!$H$4="FO",'2026'!$H$2=AC157),'2026DATA'!$N$8,"")</f>
        <v/>
      </c>
      <c r="AD163" s="940"/>
      <c r="AE163" s="13" t="s">
        <v>62</v>
      </c>
      <c r="AF163" s="518" t="str">
        <f>IF(AND(_2="A-330-300",'2026'!$H$4="FO",'2026'!$H$2=AF157),'2026DATA'!$C$8,"")</f>
        <v/>
      </c>
      <c r="AG163" s="518" t="str">
        <f>IF(AND(_2="A-330-300",'2026'!$H$4="FO",'2026'!$H$2=AG157),'2026DATA'!$D$8,"")</f>
        <v/>
      </c>
      <c r="AH163" s="518" t="str">
        <f>IF(AND(_2="A-330-300",'2026'!$H$4="FO",'2026'!$H$2=AH157),'2026DATA'!$E$8,"")</f>
        <v/>
      </c>
      <c r="AI163" s="518" t="str">
        <f>IF(AND(_2="A-330-300",'2026'!$H$4="FO",'2026'!$H$2=AI157),'2026DATA'!$F$8,"")</f>
        <v/>
      </c>
      <c r="AJ163" s="518" t="str">
        <f>IF(AND(_2="A-330-300",'2026'!$H$4="FO",'2026'!$H$2=AJ157),'2026DATA'!$G$8,"")</f>
        <v/>
      </c>
      <c r="AK163" s="518" t="str">
        <f>IF(AND(_2="A-330-300",'2026'!$H$4="FO",'2026'!$H$2=AK157),'2026DATA'!$H$8,"")</f>
        <v/>
      </c>
      <c r="AL163" s="518" t="str">
        <f>IF(AND(_2="A-330-300",'2026'!$H$4="FO",'2026'!$H$2=AL157),'2026DATA'!$I$8,"")</f>
        <v/>
      </c>
      <c r="AM163" s="518" t="str">
        <f>IF(AND(_2="A-330-300",'2026'!$H$4="FO",'2026'!$H$2=AM157),'2026DATA'!$J$8,"")</f>
        <v/>
      </c>
      <c r="AN163" s="518" t="str">
        <f>IF(AND(_2="A-330-300",'2026'!$H$4="FO",'2026'!$H$2=AN157),'2026DATA'!$K$8,"")</f>
        <v/>
      </c>
      <c r="AO163" s="518" t="str">
        <f>IF(AND(_2="A-330-300",'2026'!$H$4="FO",'2026'!$H$2=AO157),'2026DATA'!$L$8,"")</f>
        <v/>
      </c>
      <c r="AP163" s="518" t="str">
        <f>IF(AND(_2="A-330-300",'2026'!$H$4="FO",'2026'!$H$2=AP157),'2026DATA'!$M$8,"")</f>
        <v/>
      </c>
      <c r="AQ163" s="520" t="str">
        <f>IF(AND(_2="A-330-300",'2026'!$H$4="FO",'2026'!$H$2=AQ157),'2026DATA'!$N$8,"")</f>
        <v/>
      </c>
      <c r="AR163" s="940"/>
      <c r="AS163" s="13" t="s">
        <v>62</v>
      </c>
      <c r="AT163" s="518" t="str">
        <f>IF(AND(_3="A-330-300",'2026'!$H$4="FO",'2026'!$H$2=AT157),'2026DATA'!$C$8,"")</f>
        <v/>
      </c>
      <c r="AU163" s="518" t="str">
        <f>IF(AND(_3="A-330-300",'2026'!$H$4="FO",'2026'!$H$2=AU157),'2026DATA'!$D$8,"")</f>
        <v/>
      </c>
      <c r="AV163" s="518" t="str">
        <f>IF(AND(_3="A-330-300",'2026'!$H$4="FO",'2026'!$H$2=AV157),'2026DATA'!$E$8,"")</f>
        <v/>
      </c>
      <c r="AW163" s="518" t="str">
        <f>IF(AND(_3="A-330-300",'2026'!$H$4="FO",'2026'!$H$2=AW157),'2026DATA'!$F$8,"")</f>
        <v/>
      </c>
      <c r="AX163" s="518" t="str">
        <f>IF(AND(_3="A-330-300",'2026'!$H$4="FO",'2026'!$H$2=AX157),'2026DATA'!$G$8,"")</f>
        <v/>
      </c>
      <c r="AY163" s="518" t="str">
        <f>IF(AND(_3="A-330-300",'2026'!$H$4="FO",'2026'!$H$2=AY157),'2026DATA'!$H$8,"")</f>
        <v/>
      </c>
      <c r="AZ163" s="518" t="str">
        <f>IF(AND(_3="A-330-300",'2026'!$H$4="FO",'2026'!$H$2=AZ157),'2026DATA'!$I$8,"")</f>
        <v/>
      </c>
      <c r="BA163" s="518" t="str">
        <f>IF(AND(_3="A-330-300",'2026'!$H$4="FO",'2026'!$H$2=BA157),'2026DATA'!$J$8,"")</f>
        <v/>
      </c>
      <c r="BB163" s="518" t="str">
        <f>IF(AND(_3="A-330-300",'2026'!$H$4="FO",'2026'!$H$2=BB157),'2026DATA'!$K$8,"")</f>
        <v/>
      </c>
      <c r="BC163" s="518" t="str">
        <f>IF(AND(_3="A-330-300",'2026'!$H$4="FO",'2026'!$H$2=BC157),'2026DATA'!$L$8,"")</f>
        <v/>
      </c>
      <c r="BD163" s="518" t="str">
        <f>IF(AND(_3="A-330-300",'2026'!$H$4="FO",'2026'!$H$2=BD157),'2026DATA'!$M$8,"")</f>
        <v/>
      </c>
      <c r="BE163" s="520" t="str">
        <f>IF(AND(_3="A-330-300",'2026'!$H$4="FO",'2026'!$H$2=BE157),'2026DATA'!$N$8,"")</f>
        <v/>
      </c>
      <c r="BF163" s="940"/>
      <c r="BG163" s="13" t="s">
        <v>62</v>
      </c>
      <c r="BH163" s="518" t="str">
        <f>IF(AND(_4="A-330-300",'2026'!$H$4="FO",'2026'!$H$2=BH157),'2026DATA'!$C$8,"")</f>
        <v/>
      </c>
      <c r="BI163" s="518" t="str">
        <f>IF(AND(_4="A-330-300",'2026'!$H$4="FO",'2026'!$H$2=BI157),'2026DATA'!$D$8,"")</f>
        <v/>
      </c>
      <c r="BJ163" s="518" t="str">
        <f>IF(AND(_4="A-330-300",'2026'!$H$4="FO",'2026'!$H$2=BJ157),'2026DATA'!$E$8,"")</f>
        <v/>
      </c>
      <c r="BK163" s="518" t="str">
        <f>IF(AND(_4="A-330-300",'2026'!$H$4="FO",'2026'!$H$2=BK157),'2026DATA'!$F$8,"")</f>
        <v/>
      </c>
      <c r="BL163" s="518" t="str">
        <f>IF(AND(_4="A-330-300",'2026'!$H$4="FO",'2026'!$H$2=BL157),'2026DATA'!$G$8,"")</f>
        <v/>
      </c>
      <c r="BM163" s="518" t="str">
        <f>IF(AND(_4="A-330-300",'2026'!$H$4="FO",'2026'!$H$2=BM157),'2026DATA'!$H$8,"")</f>
        <v/>
      </c>
      <c r="BN163" s="518" t="str">
        <f>IF(AND(_4="A-330-300",'2026'!$H$4="FO",'2026'!$H$2=BN157),'2026DATA'!$I$8,"")</f>
        <v/>
      </c>
      <c r="BO163" s="518" t="str">
        <f>IF(AND(_4="A-330-300",'2026'!$H$4="FO",'2026'!$H$2=BO157),'2026DATA'!$J$8,"")</f>
        <v/>
      </c>
      <c r="BP163" s="518" t="str">
        <f>IF(AND(_4="A-330-300",'2026'!$H$4="FO",'2026'!$H$2=BP157),'2026DATA'!$K$8,"")</f>
        <v/>
      </c>
      <c r="BQ163" s="518" t="str">
        <f>IF(AND(_4="A-330-300",'2026'!$H$4="FO",'2026'!$H$2=BQ157),'2026DATA'!$L$8,"")</f>
        <v/>
      </c>
      <c r="BR163" s="518" t="str">
        <f>IF(AND(_4="A-330-300",'2026'!$H$4="FO",'2026'!$H$2=BR157),'2026DATA'!$M$8,"")</f>
        <v/>
      </c>
      <c r="BS163" s="520" t="str">
        <f>IF(AND(_4="A-330-300",'2026'!$H$4="FO",'2026'!$H$2=BS157),'2026DATA'!$N$8,"")</f>
        <v/>
      </c>
      <c r="BT163" s="940"/>
      <c r="BU163" s="13" t="s">
        <v>62</v>
      </c>
      <c r="BV163" s="518" t="str">
        <f>IF(AND(_5="A-330-300",'2026'!$H$4="FO",'2026'!$H$2=BV157),'2026DATA'!$C$8,"")</f>
        <v/>
      </c>
      <c r="BW163" s="518" t="str">
        <f>IF(AND(_5="A-330-300",'2026'!$H$4="FO",'2026'!$H$2=BW157),'2026DATA'!$D$8,"")</f>
        <v/>
      </c>
      <c r="BX163" s="518" t="str">
        <f>IF(AND(_5="A-330-300",'2026'!$H$4="FO",'2026'!$H$2=BX157),'2026DATA'!$E$8,"")</f>
        <v/>
      </c>
      <c r="BY163" s="518" t="str">
        <f>IF(AND(_5="A-330-300",'2026'!$H$4="FO",'2026'!$H$2=BY157),'2026DATA'!$F$8,"")</f>
        <v/>
      </c>
      <c r="BZ163" s="518" t="str">
        <f>IF(AND(_5="A-330-300",'2026'!$H$4="FO",'2026'!$H$2=BZ157),'2026DATA'!$G$8,"")</f>
        <v/>
      </c>
      <c r="CA163" s="518" t="str">
        <f>IF(AND(_5="A-330-300",'2026'!$H$4="FO",'2026'!$H$2=CA157),'2026DATA'!$H$8,"")</f>
        <v/>
      </c>
      <c r="CB163" s="518" t="str">
        <f>IF(AND(_5="A-330-300",'2026'!$H$4="FO",'2026'!$H$2=CB157),'2026DATA'!$I$8,"")</f>
        <v/>
      </c>
      <c r="CC163" s="518" t="str">
        <f>IF(AND(_5="A-330-300",'2026'!$H$4="FO",'2026'!$H$2=CC157),'2026DATA'!$J$8,"")</f>
        <v/>
      </c>
      <c r="CD163" s="518" t="str">
        <f>IF(AND(_5="A-330-300",'2026'!$H$4="FO",'2026'!$H$2=CD157),'2026DATA'!$K$8,"")</f>
        <v/>
      </c>
      <c r="CE163" s="518" t="str">
        <f>IF(AND(_5="A-330-300",'2026'!$H$4="FO",'2026'!$H$2=CE157),'2026DATA'!$L$8,"")</f>
        <v/>
      </c>
      <c r="CF163" s="518" t="str">
        <f>IF(AND(_5="A-330-300",'2026'!$H$4="FO",'2026'!$H$2=CF157),'2026DATA'!$M$8,"")</f>
        <v/>
      </c>
      <c r="CG163" s="520" t="str">
        <f>IF(AND(_5="A-330-300",'2026'!$H$4="FO",'2026'!$H$2=CG157),'2026DATA'!$N$8,"")</f>
        <v/>
      </c>
      <c r="CH163" s="940"/>
      <c r="CI163" s="13" t="s">
        <v>62</v>
      </c>
      <c r="CJ163" s="518" t="str">
        <f>IF(AND(_6="A-330-300",'2026'!$H$4="FO",'2026'!$H$2=CJ157),'2026DATA'!$C$8,"")</f>
        <v/>
      </c>
      <c r="CK163" s="518" t="str">
        <f>IF(AND(_6="A-330-300",'2026'!$H$4="FO",'2026'!$H$2=CK157),'2026DATA'!$D$8,"")</f>
        <v/>
      </c>
      <c r="CL163" s="518" t="str">
        <f>IF(AND(_6="A-330-300",'2026'!$H$4="FO",'2026'!$H$2=CL157),'2026DATA'!$E$8,"")</f>
        <v/>
      </c>
      <c r="CM163" s="518" t="str">
        <f>IF(AND(_6="A-330-300",'2026'!$H$4="FO",'2026'!$H$2=CM157),'2026DATA'!$F$8,"")</f>
        <v/>
      </c>
      <c r="CN163" s="518" t="str">
        <f>IF(AND(_6="A-330-300",'2026'!$H$4="FO",'2026'!$H$2=CN157),'2026DATA'!$G$8,"")</f>
        <v/>
      </c>
      <c r="CO163" s="518" t="str">
        <f>IF(AND(_6="A-330-300",'2026'!$H$4="FO",'2026'!$H$2=CO157),'2026DATA'!$H$8,"")</f>
        <v/>
      </c>
      <c r="CP163" s="518" t="str">
        <f>IF(AND(_6="A-330-300",'2026'!$H$4="FO",'2026'!$H$2=CP157),'2026DATA'!$I$8,"")</f>
        <v/>
      </c>
      <c r="CQ163" s="518" t="str">
        <f>IF(AND(_6="A-330-300",'2026'!$H$4="FO",'2026'!$H$2=CQ157),'2026DATA'!$J$8,"")</f>
        <v/>
      </c>
      <c r="CR163" s="518" t="str">
        <f>IF(AND(_6="A-330-300",'2026'!$H$4="FO",'2026'!$H$2=CR157),'2026DATA'!$K$8,"")</f>
        <v/>
      </c>
      <c r="CS163" s="518" t="str">
        <f>IF(AND(_6="A-330-300",'2026'!$H$4="FO",'2026'!$H$2=CS157),'2026DATA'!$L$8,"")</f>
        <v/>
      </c>
      <c r="CT163" s="518" t="str">
        <f>IF(AND(_6="A-330-300",'2026'!$H$4="FO",'2026'!$H$2=CT157),'2026DATA'!$M$8,"")</f>
        <v/>
      </c>
      <c r="CU163" s="520" t="str">
        <f>IF(AND(_6="A-330-300",'2026'!$H$4="FO",'2026'!$H$2=CU157),'2026DATA'!$N$8,"")</f>
        <v/>
      </c>
    </row>
    <row r="164" spans="16:99" x14ac:dyDescent="0.25">
      <c r="P164" s="940" t="s">
        <v>66</v>
      </c>
      <c r="Q164" s="13" t="s">
        <v>61</v>
      </c>
      <c r="R164" s="518" t="str">
        <f>IF(AND(_1="A-330-200",'2026'!$H$4="CA",'2026'!$H$2=R157),'2026DATA'!$C$9,"")</f>
        <v/>
      </c>
      <c r="S164" s="518" t="str">
        <f>IF(AND(_1="A-330-200",'2026'!$H$4="CA",'2026'!$H$2=S157),'2026DATA'!$D$9,"")</f>
        <v/>
      </c>
      <c r="T164" s="518" t="str">
        <f>IF(AND(_1="A-330-200",'2026'!$H$4="CA",'2026'!$H$2=T157),'2026DATA'!$E$9,"")</f>
        <v/>
      </c>
      <c r="U164" s="518" t="str">
        <f>IF(AND(_1="A-330-200",'2026'!$H$4="CA",'2026'!$H$2=U157),'2026DATA'!$F$9,"")</f>
        <v/>
      </c>
      <c r="V164" s="518" t="str">
        <f>IF(AND(_1="A-330-200",'2026'!$H$4="CA",'2026'!$H$2=V157),'2026DATA'!$G$9,"")</f>
        <v/>
      </c>
      <c r="W164" s="518" t="str">
        <f>IF(AND(_1="A-330-200",'2026'!$H$4="CA",'2026'!$H$2=W157),'2026DATA'!$H$9,"")</f>
        <v/>
      </c>
      <c r="X164" s="518" t="str">
        <f>IF(AND(_1="A-330-200",'2026'!$H$4="CA",'2026'!$H$2=X157),'2026DATA'!$I$9,"")</f>
        <v/>
      </c>
      <c r="Y164" s="518" t="str">
        <f>IF(AND(_1="A-330-200",'2026'!$H$4="CA",'2026'!$H$2=Y157),'2026DATA'!$J$9,"")</f>
        <v/>
      </c>
      <c r="Z164" s="518" t="str">
        <f>IF(AND(_1="A-330-200",'2026'!$H$4="CA",'2026'!$H$2=Z157),'2026DATA'!$K$9,"")</f>
        <v/>
      </c>
      <c r="AA164" s="518" t="str">
        <f>IF(AND(_1="A-330-200",'2026'!$H$4="CA",'2026'!$H$2=AA157),'2026DATA'!$L$9,"")</f>
        <v/>
      </c>
      <c r="AB164" s="518" t="str">
        <f>IF(AND(_1="A-330-200",'2026'!$H$4="CA",'2026'!$H$2=AB157),'2026DATA'!$M$9,"")</f>
        <v/>
      </c>
      <c r="AC164" s="520" t="str">
        <f>IF(AND(_1="A-330-200",'2026'!$H$4="CA",'2026'!$H$2=AC157),'2026DATA'!$N$9,"")</f>
        <v/>
      </c>
      <c r="AD164" s="940" t="s">
        <v>66</v>
      </c>
      <c r="AE164" s="13" t="s">
        <v>61</v>
      </c>
      <c r="AF164" s="518" t="str">
        <f>IF(AND(_2="A-330-200",'2026'!$H$4="CA",'2026'!$H$2=AF157),'2026DATA'!$C$9,"")</f>
        <v/>
      </c>
      <c r="AG164" s="518" t="str">
        <f>IF(AND(_2="A-330-200",'2026'!$H$4="CA",'2026'!$H$2=AG157),'2026DATA'!$D$9,"")</f>
        <v/>
      </c>
      <c r="AH164" s="518" t="str">
        <f>IF(AND(_2="A-330-200",'2026'!$H$4="CA",'2026'!$H$2=AH157),'2026DATA'!$E$9,"")</f>
        <v/>
      </c>
      <c r="AI164" s="518" t="str">
        <f>IF(AND(_2="A-330-200",'2026'!$H$4="CA",'2026'!$H$2=AI157),'2026DATA'!$F$9,"")</f>
        <v/>
      </c>
      <c r="AJ164" s="518" t="str">
        <f>IF(AND(_2="A-330-200",'2026'!$H$4="CA",'2026'!$H$2=AJ157),'2026DATA'!$G$9,"")</f>
        <v/>
      </c>
      <c r="AK164" s="518" t="str">
        <f>IF(AND(_2="A-330-200",'2026'!$H$4="CA",'2026'!$H$2=AK157),'2026DATA'!$H$9,"")</f>
        <v/>
      </c>
      <c r="AL164" s="518" t="str">
        <f>IF(AND(_2="A-330-200",'2026'!$H$4="CA",'2026'!$H$2=AL157),'2026DATA'!$I$9,"")</f>
        <v/>
      </c>
      <c r="AM164" s="518" t="str">
        <f>IF(AND(_2="A-330-200",'2026'!$H$4="CA",'2026'!$H$2=AM157),'2026DATA'!$J$9,"")</f>
        <v/>
      </c>
      <c r="AN164" s="518" t="str">
        <f>IF(AND(_2="A-330-200",'2026'!$H$4="CA",'2026'!$H$2=AN157),'2026DATA'!$K$9,"")</f>
        <v/>
      </c>
      <c r="AO164" s="518" t="str">
        <f>IF(AND(_2="A-330-200",'2026'!$H$4="CA",'2026'!$H$2=AO157),'2026DATA'!$L$9,"")</f>
        <v/>
      </c>
      <c r="AP164" s="518" t="str">
        <f>IF(AND(_2="A-330-200",'2026'!$H$4="CA",'2026'!$H$2=AP157),'2026DATA'!$M$9,"")</f>
        <v/>
      </c>
      <c r="AQ164" s="520" t="str">
        <f>IF(AND(_2="A-330-200",'2026'!$H$4="CA",'2026'!$H$2=AQ157),'2026DATA'!$N$9,"")</f>
        <v/>
      </c>
      <c r="AR164" s="940" t="s">
        <v>66</v>
      </c>
      <c r="AS164" s="13" t="s">
        <v>61</v>
      </c>
      <c r="AT164" s="518" t="str">
        <f>IF(AND(_3="A-330-200",'2026'!$H$4="CA",'2026'!$H$2=AT157),'2026DATA'!$C$9,"")</f>
        <v/>
      </c>
      <c r="AU164" s="518" t="str">
        <f>IF(AND(_3="A-330-200",'2026'!$H$4="CA",'2026'!$H$2=AU157),'2026DATA'!$D$9,"")</f>
        <v/>
      </c>
      <c r="AV164" s="518" t="str">
        <f>IF(AND(_3="A-330-200",'2026'!$H$4="CA",'2026'!$H$2=AV157),'2026DATA'!$E$9,"")</f>
        <v/>
      </c>
      <c r="AW164" s="518" t="str">
        <f>IF(AND(_3="A-330-200",'2026'!$H$4="CA",'2026'!$H$2=AW157),'2026DATA'!$F$9,"")</f>
        <v/>
      </c>
      <c r="AX164" s="518" t="str">
        <f>IF(AND(_3="A-330-200",'2026'!$H$4="CA",'2026'!$H$2=AX157),'2026DATA'!$G$9,"")</f>
        <v/>
      </c>
      <c r="AY164" s="518" t="str">
        <f>IF(AND(_3="A-330-200",'2026'!$H$4="CA",'2026'!$H$2=AY157),'2026DATA'!$H$9,"")</f>
        <v/>
      </c>
      <c r="AZ164" s="518" t="str">
        <f>IF(AND(_3="A-330-200",'2026'!$H$4="CA",'2026'!$H$2=AZ157),'2026DATA'!$I$9,"")</f>
        <v/>
      </c>
      <c r="BA164" s="518" t="str">
        <f>IF(AND(_3="A-330-200",'2026'!$H$4="CA",'2026'!$H$2=BA157),'2026DATA'!$J$9,"")</f>
        <v/>
      </c>
      <c r="BB164" s="518" t="str">
        <f>IF(AND(_3="A-330-200",'2026'!$H$4="CA",'2026'!$H$2=BB157),'2026DATA'!$K$9,"")</f>
        <v/>
      </c>
      <c r="BC164" s="518" t="str">
        <f>IF(AND(_3="A-330-200",'2026'!$H$4="CA",'2026'!$H$2=BC157),'2026DATA'!$L$9,"")</f>
        <v/>
      </c>
      <c r="BD164" s="518" t="str">
        <f>IF(AND(_3="A-330-200",'2026'!$H$4="CA",'2026'!$H$2=BD157),'2026DATA'!$M$9,"")</f>
        <v/>
      </c>
      <c r="BE164" s="520" t="str">
        <f>IF(AND(_3="A-330-200",'2026'!$H$4="CA",'2026'!$H$2=BE157),'2026DATA'!$N$9,"")</f>
        <v/>
      </c>
      <c r="BF164" s="940" t="s">
        <v>66</v>
      </c>
      <c r="BG164" s="13" t="s">
        <v>61</v>
      </c>
      <c r="BH164" s="518" t="str">
        <f>IF(AND(_4="A-330-200",'2026'!$H$4="CA",'2026'!$H$2=BH157),'2026DATA'!$C$9,"")</f>
        <v/>
      </c>
      <c r="BI164" s="518" t="str">
        <f>IF(AND(_4="A-330-200",'2026'!$H$4="CA",'2026'!$H$2=BI157),'2026DATA'!$D$9,"")</f>
        <v/>
      </c>
      <c r="BJ164" s="518" t="str">
        <f>IF(AND(_4="A-330-200",'2026'!$H$4="CA",'2026'!$H$2=BJ157),'2026DATA'!$E$9,"")</f>
        <v/>
      </c>
      <c r="BK164" s="518" t="str">
        <f>IF(AND(_4="A-330-200",'2026'!$H$4="CA",'2026'!$H$2=BK157),'2026DATA'!$F$9,"")</f>
        <v/>
      </c>
      <c r="BL164" s="518" t="str">
        <f>IF(AND(_4="A-330-200",'2026'!$H$4="CA",'2026'!$H$2=BL157),'2026DATA'!$G$9,"")</f>
        <v/>
      </c>
      <c r="BM164" s="518" t="str">
        <f>IF(AND(_4="A-330-200",'2026'!$H$4="CA",'2026'!$H$2=BM157),'2026DATA'!$H$9,"")</f>
        <v/>
      </c>
      <c r="BN164" s="518" t="str">
        <f>IF(AND(_4="A-330-200",'2026'!$H$4="CA",'2026'!$H$2=BN157),'2026DATA'!$I$9,"")</f>
        <v/>
      </c>
      <c r="BO164" s="518" t="str">
        <f>IF(AND(_4="A-330-200",'2026'!$H$4="CA",'2026'!$H$2=BO157),'2026DATA'!$J$9,"")</f>
        <v/>
      </c>
      <c r="BP164" s="518" t="str">
        <f>IF(AND(_4="A-330-200",'2026'!$H$4="CA",'2026'!$H$2=BP157),'2026DATA'!$K$9,"")</f>
        <v/>
      </c>
      <c r="BQ164" s="518" t="str">
        <f>IF(AND(_4="A-330-200",'2026'!$H$4="CA",'2026'!$H$2=BQ157),'2026DATA'!$L$9,"")</f>
        <v/>
      </c>
      <c r="BR164" s="518" t="str">
        <f>IF(AND(_4="A-330-200",'2026'!$H$4="CA",'2026'!$H$2=BR157),'2026DATA'!$M$9,"")</f>
        <v/>
      </c>
      <c r="BS164" s="520" t="str">
        <f>IF(AND(_4="A-330-200",'2026'!$H$4="CA",'2026'!$H$2=BS157),'2026DATA'!$N$9,"")</f>
        <v/>
      </c>
      <c r="BT164" s="940" t="s">
        <v>66</v>
      </c>
      <c r="BU164" s="13" t="s">
        <v>61</v>
      </c>
      <c r="BV164" s="518" t="str">
        <f>IF(AND(_5="A-330-200",'2026'!$H$4="CA",'2026'!$H$2=BV157),'2026DATA'!$C$9,"")</f>
        <v/>
      </c>
      <c r="BW164" s="518" t="str">
        <f>IF(AND(_5="A-330-200",'2026'!$H$4="CA",'2026'!$H$2=BW157),'2026DATA'!$D$9,"")</f>
        <v/>
      </c>
      <c r="BX164" s="518" t="str">
        <f>IF(AND(_5="A-330-200",'2026'!$H$4="CA",'2026'!$H$2=BX157),'2026DATA'!$E$9,"")</f>
        <v/>
      </c>
      <c r="BY164" s="518" t="str">
        <f>IF(AND(_5="A-330-200",'2026'!$H$4="CA",'2026'!$H$2=BY157),'2026DATA'!$F$9,"")</f>
        <v/>
      </c>
      <c r="BZ164" s="518" t="str">
        <f>IF(AND(_5="A-330-200",'2026'!$H$4="CA",'2026'!$H$2=BZ157),'2026DATA'!$G$9,"")</f>
        <v/>
      </c>
      <c r="CA164" s="518" t="str">
        <f>IF(AND(_5="A-330-200",'2026'!$H$4="CA",'2026'!$H$2=CA157),'2026DATA'!$H$9,"")</f>
        <v/>
      </c>
      <c r="CB164" s="518" t="str">
        <f>IF(AND(_5="A-330-200",'2026'!$H$4="CA",'2026'!$H$2=CB157),'2026DATA'!$I$9,"")</f>
        <v/>
      </c>
      <c r="CC164" s="518" t="str">
        <f>IF(AND(_5="A-330-200",'2026'!$H$4="CA",'2026'!$H$2=CC157),'2026DATA'!$J$9,"")</f>
        <v/>
      </c>
      <c r="CD164" s="518" t="str">
        <f>IF(AND(_5="A-330-200",'2026'!$H$4="CA",'2026'!$H$2=CD157),'2026DATA'!$K$9,"")</f>
        <v/>
      </c>
      <c r="CE164" s="518" t="str">
        <f>IF(AND(_5="A-330-200",'2026'!$H$4="CA",'2026'!$H$2=CE157),'2026DATA'!$L$9,"")</f>
        <v/>
      </c>
      <c r="CF164" s="518" t="str">
        <f>IF(AND(_5="A-330-200",'2026'!$H$4="CA",'2026'!$H$2=CF157),'2026DATA'!$M$9,"")</f>
        <v/>
      </c>
      <c r="CG164" s="520" t="str">
        <f>IF(AND(_5="A-330-200",'2026'!$H$4="CA",'2026'!$H$2=CG157),'2026DATA'!$N$9,"")</f>
        <v/>
      </c>
      <c r="CH164" s="940" t="s">
        <v>66</v>
      </c>
      <c r="CI164" s="13" t="s">
        <v>61</v>
      </c>
      <c r="CJ164" s="518" t="str">
        <f>IF(AND(_6="A-330-200",'2026'!$H$4="CA",'2026'!$H$2=CJ157),'2026DATA'!$C$9,"")</f>
        <v/>
      </c>
      <c r="CK164" s="518" t="str">
        <f>IF(AND(_6="A-330-200",'2026'!$H$4="CA",'2026'!$H$2=CK157),'2026DATA'!$D$9,"")</f>
        <v/>
      </c>
      <c r="CL164" s="518" t="str">
        <f>IF(AND(_6="A-330-200",'2026'!$H$4="CA",'2026'!$H$2=CL157),'2026DATA'!$E$9,"")</f>
        <v/>
      </c>
      <c r="CM164" s="518" t="str">
        <f>IF(AND(_6="A-330-200",'2026'!$H$4="CA",'2026'!$H$2=CM157),'2026DATA'!$F$9,"")</f>
        <v/>
      </c>
      <c r="CN164" s="518" t="str">
        <f>IF(AND(_6="A-330-200",'2026'!$H$4="CA",'2026'!$H$2=CN157),'2026DATA'!$G$9,"")</f>
        <v/>
      </c>
      <c r="CO164" s="518" t="str">
        <f>IF(AND(_6="A-330-200",'2026'!$H$4="CA",'2026'!$H$2=CO157),'2026DATA'!$H$9,"")</f>
        <v/>
      </c>
      <c r="CP164" s="518" t="str">
        <f>IF(AND(_6="A-330-200",'2026'!$H$4="CA",'2026'!$H$2=CP157),'2026DATA'!$I$9,"")</f>
        <v/>
      </c>
      <c r="CQ164" s="518" t="str">
        <f>IF(AND(_6="A-330-200",'2026'!$H$4="CA",'2026'!$H$2=CQ157),'2026DATA'!$J$9,"")</f>
        <v/>
      </c>
      <c r="CR164" s="518" t="str">
        <f>IF(AND(_6="A-330-200",'2026'!$H$4="CA",'2026'!$H$2=CR157),'2026DATA'!$K$9,"")</f>
        <v/>
      </c>
      <c r="CS164" s="518" t="str">
        <f>IF(AND(_6="A-330-200",'2026'!$H$4="CA",'2026'!$H$2=CS157),'2026DATA'!$L$9,"")</f>
        <v/>
      </c>
      <c r="CT164" s="518" t="str">
        <f>IF(AND(_6="A-330-200",'2026'!$H$4="CA",'2026'!$H$2=CT157),'2026DATA'!$M$9,"")</f>
        <v/>
      </c>
      <c r="CU164" s="520" t="str">
        <f>IF(AND(_6="A-330-200",'2026'!$H$4="CA",'2026'!$H$2=CU157),'2026DATA'!$N$9,"")</f>
        <v/>
      </c>
    </row>
    <row r="165" spans="16:99" x14ac:dyDescent="0.25">
      <c r="P165" s="940"/>
      <c r="Q165" s="13" t="s">
        <v>62</v>
      </c>
      <c r="R165" s="518" t="str">
        <f>IF(AND(_1="A-330-200",'2026'!$H$4="FO",'2026'!$H$2=R157),'2026DATA'!$C$10,"")</f>
        <v/>
      </c>
      <c r="S165" s="518" t="str">
        <f>IF(AND(_1="A-330-200",'2026'!$H$4="FO",'2026'!$H$2=S157),'2026DATA'!$D$10,"")</f>
        <v/>
      </c>
      <c r="T165" s="518" t="str">
        <f>IF(AND(_1="A-330-200",'2026'!$H$4="FO",'2026'!$H$2=T157),'2026DATA'!$E$10,"")</f>
        <v/>
      </c>
      <c r="U165" s="518" t="str">
        <f>IF(AND(_1="A-330-200",'2026'!$H$4="FO",'2026'!$H$2=U157),'2026DATA'!$F$10,"")</f>
        <v/>
      </c>
      <c r="V165" s="518" t="str">
        <f>IF(AND(_1="A-330-200",'2026'!$H$4="FO",'2026'!$H$2=V157),'2026DATA'!$G$10,"")</f>
        <v/>
      </c>
      <c r="W165" s="518" t="str">
        <f>IF(AND(_1="A-330-200",'2026'!$H$4="FO",'2026'!$H$2=W157),'2026DATA'!$H$10,"")</f>
        <v/>
      </c>
      <c r="X165" s="518" t="str">
        <f>IF(AND(_1="A-330-200",'2026'!$H$4="FO",'2026'!$H$2=X157),'2026DATA'!$I$10,"")</f>
        <v/>
      </c>
      <c r="Y165" s="518" t="str">
        <f>IF(AND(_1="A-330-200",'2026'!$H$4="FO",'2026'!$H$2=Y157),'2026DATA'!$J$10,"")</f>
        <v/>
      </c>
      <c r="Z165" s="518" t="str">
        <f>IF(AND(_1="A-330-200",'2026'!$H$4="FO",'2026'!$H$2=Z157),'2026DATA'!$K$10,"")</f>
        <v/>
      </c>
      <c r="AA165" s="518" t="str">
        <f>IF(AND(_1="A-330-200",'2026'!$H$4="FO",'2026'!$H$2=AA157),'2026DATA'!$L$10,"")</f>
        <v/>
      </c>
      <c r="AB165" s="518" t="str">
        <f>IF(AND(_1="A-330-200",'2026'!$H$4="FO",'2026'!$H$2=AB157),'2026DATA'!$M$10,"")</f>
        <v/>
      </c>
      <c r="AC165" s="520" t="str">
        <f>IF(AND(_1="A-330-200",'2026'!$H$4="FO",'2026'!$H$2=AC157),'2026DATA'!$N$10,"")</f>
        <v/>
      </c>
      <c r="AD165" s="940"/>
      <c r="AE165" s="13" t="s">
        <v>62</v>
      </c>
      <c r="AF165" s="518" t="str">
        <f>IF(AND(_2="A-330-200",'2026'!$H$4="FO",'2026'!$H$2=AF157),'2026DATA'!$C$10,"")</f>
        <v/>
      </c>
      <c r="AG165" s="518" t="str">
        <f>IF(AND(_2="A-330-200",'2026'!$H$4="FO",'2026'!$H$2=AG157),'2026DATA'!$D$10,"")</f>
        <v/>
      </c>
      <c r="AH165" s="518" t="str">
        <f>IF(AND(_2="A-330-200",'2026'!$H$4="FO",'2026'!$H$2=AH157),'2026DATA'!$E$10,"")</f>
        <v/>
      </c>
      <c r="AI165" s="518" t="str">
        <f>IF(AND(_2="A-330-200",'2026'!$H$4="FO",'2026'!$H$2=AI157),'2026DATA'!$F$10,"")</f>
        <v/>
      </c>
      <c r="AJ165" s="518" t="str">
        <f>IF(AND(_2="A-330-200",'2026'!$H$4="FO",'2026'!$H$2=AJ157),'2026DATA'!$G$10,"")</f>
        <v/>
      </c>
      <c r="AK165" s="518" t="str">
        <f>IF(AND(_2="A-330-200",'2026'!$H$4="FO",'2026'!$H$2=AK157),'2026DATA'!$H$10,"")</f>
        <v/>
      </c>
      <c r="AL165" s="518" t="str">
        <f>IF(AND(_2="A-330-200",'2026'!$H$4="FO",'2026'!$H$2=AL157),'2026DATA'!$I$10,"")</f>
        <v/>
      </c>
      <c r="AM165" s="518" t="str">
        <f>IF(AND(_2="A-330-200",'2026'!$H$4="FO",'2026'!$H$2=AM157),'2026DATA'!$J$10,"")</f>
        <v/>
      </c>
      <c r="AN165" s="518" t="str">
        <f>IF(AND(_2="A-330-200",'2026'!$H$4="FO",'2026'!$H$2=AN157),'2026DATA'!$K$10,"")</f>
        <v/>
      </c>
      <c r="AO165" s="518" t="str">
        <f>IF(AND(_2="A-330-200",'2026'!$H$4="FO",'2026'!$H$2=AO157),'2026DATA'!$L$10,"")</f>
        <v/>
      </c>
      <c r="AP165" s="518" t="str">
        <f>IF(AND(_2="A-330-200",'2026'!$H$4="FO",'2026'!$H$2=AP157),'2026DATA'!$M$10,"")</f>
        <v/>
      </c>
      <c r="AQ165" s="520" t="str">
        <f>IF(AND(_2="A-330-200",'2026'!$H$4="FO",'2026'!$H$2=AQ157),'2026DATA'!$N$10,"")</f>
        <v/>
      </c>
      <c r="AR165" s="940"/>
      <c r="AS165" s="13" t="s">
        <v>62</v>
      </c>
      <c r="AT165" s="518" t="str">
        <f>IF(AND(_3="A-330-200",'2026'!$H$4="FO",'2026'!$H$2=AT157),'2026DATA'!$C$10,"")</f>
        <v/>
      </c>
      <c r="AU165" s="518" t="str">
        <f>IF(AND(_3="A-330-200",'2026'!$H$4="FO",'2026'!$H$2=AU157),'2026DATA'!$D$10,"")</f>
        <v/>
      </c>
      <c r="AV165" s="518" t="str">
        <f>IF(AND(_3="A-330-200",'2026'!$H$4="FO",'2026'!$H$2=AV157),'2026DATA'!$E$10,"")</f>
        <v/>
      </c>
      <c r="AW165" s="518" t="str">
        <f>IF(AND(_3="A-330-200",'2026'!$H$4="FO",'2026'!$H$2=AW157),'2026DATA'!$F$10,"")</f>
        <v/>
      </c>
      <c r="AX165" s="518" t="str">
        <f>IF(AND(_3="A-330-200",'2026'!$H$4="FO",'2026'!$H$2=AX157),'2026DATA'!$G$10,"")</f>
        <v/>
      </c>
      <c r="AY165" s="518" t="str">
        <f>IF(AND(_3="A-330-200",'2026'!$H$4="FO",'2026'!$H$2=AY157),'2026DATA'!$H$10,"")</f>
        <v/>
      </c>
      <c r="AZ165" s="518" t="str">
        <f>IF(AND(_3="A-330-200",'2026'!$H$4="FO",'2026'!$H$2=AZ157),'2026DATA'!$I$10,"")</f>
        <v/>
      </c>
      <c r="BA165" s="518" t="str">
        <f>IF(AND(_3="A-330-200",'2026'!$H$4="FO",'2026'!$H$2=BA157),'2026DATA'!$J$10,"")</f>
        <v/>
      </c>
      <c r="BB165" s="518" t="str">
        <f>IF(AND(_3="A-330-200",'2026'!$H$4="FO",'2026'!$H$2=BB157),'2026DATA'!$K$10,"")</f>
        <v/>
      </c>
      <c r="BC165" s="518" t="str">
        <f>IF(AND(_3="A-330-200",'2026'!$H$4="FO",'2026'!$H$2=BC157),'2026DATA'!$L$10,"")</f>
        <v/>
      </c>
      <c r="BD165" s="518" t="str">
        <f>IF(AND(_3="A-330-200",'2026'!$H$4="FO",'2026'!$H$2=BD157),'2026DATA'!$M$10,"")</f>
        <v/>
      </c>
      <c r="BE165" s="520" t="str">
        <f>IF(AND(_3="A-330-200",'2026'!$H$4="FO",'2026'!$H$2=BE157),'2026DATA'!$N$10,"")</f>
        <v/>
      </c>
      <c r="BF165" s="940"/>
      <c r="BG165" s="13" t="s">
        <v>62</v>
      </c>
      <c r="BH165" s="518" t="str">
        <f>IF(AND(_4="A-330-200",'2026'!$H$4="FO",'2026'!$H$2=BH157),'2026DATA'!$C$10,"")</f>
        <v/>
      </c>
      <c r="BI165" s="518" t="str">
        <f>IF(AND(_4="A-330-200",'2026'!$H$4="FO",'2026'!$H$2=BI157),'2026DATA'!$D$10,"")</f>
        <v/>
      </c>
      <c r="BJ165" s="518" t="str">
        <f>IF(AND(_4="A-330-200",'2026'!$H$4="FO",'2026'!$H$2=BJ157),'2026DATA'!$E$10,"")</f>
        <v/>
      </c>
      <c r="BK165" s="518" t="str">
        <f>IF(AND(_4="A-330-200",'2026'!$H$4="FO",'2026'!$H$2=BK157),'2026DATA'!$F$10,"")</f>
        <v/>
      </c>
      <c r="BL165" s="518" t="str">
        <f>IF(AND(_4="A-330-200",'2026'!$H$4="FO",'2026'!$H$2=BL157),'2026DATA'!$G$10,"")</f>
        <v/>
      </c>
      <c r="BM165" s="518" t="str">
        <f>IF(AND(_4="A-330-200",'2026'!$H$4="FO",'2026'!$H$2=BM157),'2026DATA'!$H$10,"")</f>
        <v/>
      </c>
      <c r="BN165" s="518" t="str">
        <f>IF(AND(_4="A-330-200",'2026'!$H$4="FO",'2026'!$H$2=BN157),'2026DATA'!$I$10,"")</f>
        <v/>
      </c>
      <c r="BO165" s="518" t="str">
        <f>IF(AND(_4="A-330-200",'2026'!$H$4="FO",'2026'!$H$2=BO157),'2026DATA'!$J$10,"")</f>
        <v/>
      </c>
      <c r="BP165" s="518" t="str">
        <f>IF(AND(_4="A-330-200",'2026'!$H$4="FO",'2026'!$H$2=BP157),'2026DATA'!$K$10,"")</f>
        <v/>
      </c>
      <c r="BQ165" s="518" t="str">
        <f>IF(AND(_4="A-330-200",'2026'!$H$4="FO",'2026'!$H$2=BQ157),'2026DATA'!$L$10,"")</f>
        <v/>
      </c>
      <c r="BR165" s="518" t="str">
        <f>IF(AND(_4="A-330-200",'2026'!$H$4="FO",'2026'!$H$2=BR157),'2026DATA'!$M$10,"")</f>
        <v/>
      </c>
      <c r="BS165" s="520" t="str">
        <f>IF(AND(_4="A-330-200",'2026'!$H$4="FO",'2026'!$H$2=BS157),'2026DATA'!$N$10,"")</f>
        <v/>
      </c>
      <c r="BT165" s="940"/>
      <c r="BU165" s="13" t="s">
        <v>62</v>
      </c>
      <c r="BV165" s="518" t="str">
        <f>IF(AND(_5="A-330-200",'2026'!$H$4="FO",'2026'!$H$2=BV157),'2026DATA'!$C$10,"")</f>
        <v/>
      </c>
      <c r="BW165" s="518" t="str">
        <f>IF(AND(_5="A-330-200",'2026'!$H$4="FO",'2026'!$H$2=BW157),'2026DATA'!$D$10,"")</f>
        <v/>
      </c>
      <c r="BX165" s="518" t="str">
        <f>IF(AND(_5="A-330-200",'2026'!$H$4="FO",'2026'!$H$2=BX157),'2026DATA'!$E$10,"")</f>
        <v/>
      </c>
      <c r="BY165" s="518" t="str">
        <f>IF(AND(_5="A-330-200",'2026'!$H$4="FO",'2026'!$H$2=BY157),'2026DATA'!$F$10,"")</f>
        <v/>
      </c>
      <c r="BZ165" s="518" t="str">
        <f>IF(AND(_5="A-330-200",'2026'!$H$4="FO",'2026'!$H$2=BZ157),'2026DATA'!$G$10,"")</f>
        <v/>
      </c>
      <c r="CA165" s="518" t="str">
        <f>IF(AND(_5="A-330-200",'2026'!$H$4="FO",'2026'!$H$2=CA157),'2026DATA'!$H$10,"")</f>
        <v/>
      </c>
      <c r="CB165" s="518" t="str">
        <f>IF(AND(_5="A-330-200",'2026'!$H$4="FO",'2026'!$H$2=CB157),'2026DATA'!$I$10,"")</f>
        <v/>
      </c>
      <c r="CC165" s="518" t="str">
        <f>IF(AND(_5="A-330-200",'2026'!$H$4="FO",'2026'!$H$2=CC157),'2026DATA'!$J$10,"")</f>
        <v/>
      </c>
      <c r="CD165" s="518" t="str">
        <f>IF(AND(_5="A-330-200",'2026'!$H$4="FO",'2026'!$H$2=CD157),'2026DATA'!$K$10,"")</f>
        <v/>
      </c>
      <c r="CE165" s="518" t="str">
        <f>IF(AND(_5="A-330-200",'2026'!$H$4="FO",'2026'!$H$2=CE157),'2026DATA'!$L$10,"")</f>
        <v/>
      </c>
      <c r="CF165" s="518" t="str">
        <f>IF(AND(_5="A-330-200",'2026'!$H$4="FO",'2026'!$H$2=CF157),'2026DATA'!$M$10,"")</f>
        <v/>
      </c>
      <c r="CG165" s="520" t="str">
        <f>IF(AND(_5="A-330-200",'2026'!$H$4="FO",'2026'!$H$2=CG157),'2026DATA'!$N$10,"")</f>
        <v/>
      </c>
      <c r="CH165" s="940"/>
      <c r="CI165" s="13" t="s">
        <v>62</v>
      </c>
      <c r="CJ165" s="518" t="str">
        <f>IF(AND(_6="A-330-200",'2026'!$H$4="FO",'2026'!$H$2=CJ157),'2026DATA'!$C$10,"")</f>
        <v/>
      </c>
      <c r="CK165" s="518" t="str">
        <f>IF(AND(_6="A-330-200",'2026'!$H$4="FO",'2026'!$H$2=CK157),'2026DATA'!$D$10,"")</f>
        <v/>
      </c>
      <c r="CL165" s="518" t="str">
        <f>IF(AND(_6="A-330-200",'2026'!$H$4="FO",'2026'!$H$2=CL157),'2026DATA'!$E$10,"")</f>
        <v/>
      </c>
      <c r="CM165" s="518" t="str">
        <f>IF(AND(_6="A-330-200",'2026'!$H$4="FO",'2026'!$H$2=CM157),'2026DATA'!$F$10,"")</f>
        <v/>
      </c>
      <c r="CN165" s="518" t="str">
        <f>IF(AND(_6="A-330-200",'2026'!$H$4="FO",'2026'!$H$2=CN157),'2026DATA'!$G$10,"")</f>
        <v/>
      </c>
      <c r="CO165" s="518" t="str">
        <f>IF(AND(_6="A-330-200",'2026'!$H$4="FO",'2026'!$H$2=CO157),'2026DATA'!$H$10,"")</f>
        <v/>
      </c>
      <c r="CP165" s="518" t="str">
        <f>IF(AND(_6="A-330-200",'2026'!$H$4="FO",'2026'!$H$2=CP157),'2026DATA'!$I$10,"")</f>
        <v/>
      </c>
      <c r="CQ165" s="518" t="str">
        <f>IF(AND(_6="A-330-200",'2026'!$H$4="FO",'2026'!$H$2=CQ157),'2026DATA'!$J$10,"")</f>
        <v/>
      </c>
      <c r="CR165" s="518" t="str">
        <f>IF(AND(_6="A-330-200",'2026'!$H$4="FO",'2026'!$H$2=CR157),'2026DATA'!$K$10,"")</f>
        <v/>
      </c>
      <c r="CS165" s="518" t="str">
        <f>IF(AND(_6="A-330-200",'2026'!$H$4="FO",'2026'!$H$2=CS157),'2026DATA'!$L$10,"")</f>
        <v/>
      </c>
      <c r="CT165" s="518" t="str">
        <f>IF(AND(_6="A-330-200",'2026'!$H$4="FO",'2026'!$H$2=CT157),'2026DATA'!$M$10,"")</f>
        <v/>
      </c>
      <c r="CU165" s="520" t="str">
        <f>IF(AND(_6="A-330-200",'2026'!$H$4="FO",'2026'!$H$2=CU157),'2026DATA'!$N$10,"")</f>
        <v/>
      </c>
    </row>
    <row r="166" spans="16:99" x14ac:dyDescent="0.25">
      <c r="P166" s="940" t="s">
        <v>42</v>
      </c>
      <c r="Q166" s="13" t="s">
        <v>61</v>
      </c>
      <c r="R166" s="518" t="str">
        <f>IF(AND(_1="B-767-400ER",'2026'!$H$4="CA",'2026'!$H$2=R157),'2026DATA'!$C$11,"")</f>
        <v/>
      </c>
      <c r="S166" s="518" t="str">
        <f>IF(AND(_1="B-767-400ER",'2026'!$H$4="CA",'2026'!$H$2=S157),'2026DATA'!$D$11,"")</f>
        <v/>
      </c>
      <c r="T166" s="518" t="str">
        <f>IF(AND(_1="B-767-400ER",'2026'!$H$4="CA",'2026'!$H$2=T157),'2026DATA'!$E$11,"")</f>
        <v/>
      </c>
      <c r="U166" s="518" t="str">
        <f>IF(AND(_1="B-767-400ER",'2026'!$H$4="CA",'2026'!$H$2=U157),'2026DATA'!$F$11,"")</f>
        <v/>
      </c>
      <c r="V166" s="518" t="str">
        <f>IF(AND(_1="B-767-400ER",'2026'!$H$4="CA",'2026'!$H$2=V157),'2026DATA'!$G$11,"")</f>
        <v/>
      </c>
      <c r="W166" s="518" t="str">
        <f>IF(AND(_1="B-767-400ER",'2026'!$H$4="CA",'2026'!$H$2=W157),'2026DATA'!$H$11,"")</f>
        <v/>
      </c>
      <c r="X166" s="518" t="str">
        <f>IF(AND(_1="B-767-400ER",'2026'!$H$4="CA",'2026'!$H$2=X157),'2026DATA'!$I$11,"")</f>
        <v/>
      </c>
      <c r="Y166" s="518" t="str">
        <f>IF(AND(_1="B-767-400ER",'2026'!$H$4="CA",'2026'!$H$2=Y157),'2026DATA'!$J$11,"")</f>
        <v/>
      </c>
      <c r="Z166" s="518" t="str">
        <f>IF(AND(_1="B-767-400ER",'2026'!$H$4="CA",'2026'!$H$2=Z157),'2026DATA'!$K$11,"")</f>
        <v/>
      </c>
      <c r="AA166" s="518" t="str">
        <f>IF(AND(_1="B-767-400ER",'2026'!$H$4="CA",'2026'!$H$2=AA157),'2026DATA'!$L$11,"")</f>
        <v/>
      </c>
      <c r="AB166" s="518" t="str">
        <f>IF(AND(_1="B-767-400ER",'2026'!$H$4="CA",'2026'!$H$2=AB157),'2026DATA'!$M$11,"")</f>
        <v/>
      </c>
      <c r="AC166" s="520" t="str">
        <f>IF(AND(_1="B-767-400ER",'2026'!$H$4="CA",'2026'!$H$2=AC157),'2026DATA'!$N$11,"")</f>
        <v/>
      </c>
      <c r="AD166" s="940" t="s">
        <v>42</v>
      </c>
      <c r="AE166" s="13" t="s">
        <v>61</v>
      </c>
      <c r="AF166" s="518" t="str">
        <f>IF(AND(_2="B-767-400ER",'2026'!$H$4="CA",'2026'!$H$2=AF157),'2026DATA'!$C$11,"")</f>
        <v/>
      </c>
      <c r="AG166" s="518" t="str">
        <f>IF(AND(_2="B-767-400ER",'2026'!$H$4="CA",'2026'!$H$2=AG157),'2026DATA'!$D$11,"")</f>
        <v/>
      </c>
      <c r="AH166" s="518" t="str">
        <f>IF(AND(_2="B-767-400ER",'2026'!$H$4="CA",'2026'!$H$2=AH157),'2026DATA'!$E$11,"")</f>
        <v/>
      </c>
      <c r="AI166" s="518" t="str">
        <f>IF(AND(_2="B-767-400ER",'2026'!$H$4="CA",'2026'!$H$2=AI157),'2026DATA'!$F$11,"")</f>
        <v/>
      </c>
      <c r="AJ166" s="518" t="str">
        <f>IF(AND(_2="B-767-400ER",'2026'!$H$4="CA",'2026'!$H$2=AJ157),'2026DATA'!$G$11,"")</f>
        <v/>
      </c>
      <c r="AK166" s="518" t="str">
        <f>IF(AND(_2="B-767-400ER",'2026'!$H$4="CA",'2026'!$H$2=AK157),'2026DATA'!$H$11,"")</f>
        <v/>
      </c>
      <c r="AL166" s="518" t="str">
        <f>IF(AND(_2="B-767-400ER",'2026'!$H$4="CA",'2026'!$H$2=AL157),'2026DATA'!$I$11,"")</f>
        <v/>
      </c>
      <c r="AM166" s="518" t="str">
        <f>IF(AND(_2="B-767-400ER",'2026'!$H$4="CA",'2026'!$H$2=AM157),'2026DATA'!$J$11,"")</f>
        <v/>
      </c>
      <c r="AN166" s="518" t="str">
        <f>IF(AND(_2="B-767-400ER",'2026'!$H$4="CA",'2026'!$H$2=AN157),'2026DATA'!$K$11,"")</f>
        <v/>
      </c>
      <c r="AO166" s="518" t="str">
        <f>IF(AND(_2="B-767-400ER",'2026'!$H$4="CA",'2026'!$H$2=AO157),'2026DATA'!$L$11,"")</f>
        <v/>
      </c>
      <c r="AP166" s="518" t="str">
        <f>IF(AND(_2="B-767-400ER",'2026'!$H$4="CA",'2026'!$H$2=AP157),'2026DATA'!$M$11,"")</f>
        <v/>
      </c>
      <c r="AQ166" s="520" t="str">
        <f>IF(AND(_2="B-767-400ER",'2026'!$H$4="CA",'2026'!$H$2=AQ157),'2026DATA'!$N$11,"")</f>
        <v/>
      </c>
      <c r="AR166" s="940" t="s">
        <v>42</v>
      </c>
      <c r="AS166" s="13" t="s">
        <v>61</v>
      </c>
      <c r="AT166" s="518" t="str">
        <f>IF(AND(_3="B-767-400ER",'2026'!$H$4="CA",'2026'!$H$2=AT157),'2026DATA'!$C$11,"")</f>
        <v/>
      </c>
      <c r="AU166" s="518" t="str">
        <f>IF(AND(_3="B-767-400ER",'2026'!$H$4="CA",'2026'!$H$2=AU157),'2026DATA'!$D$11,"")</f>
        <v/>
      </c>
      <c r="AV166" s="518" t="str">
        <f>IF(AND(_3="B-767-400ER",'2026'!$H$4="CA",'2026'!$H$2=AV157),'2026DATA'!$E$11,"")</f>
        <v/>
      </c>
      <c r="AW166" s="518" t="str">
        <f>IF(AND(_3="B-767-400ER",'2026'!$H$4="CA",'2026'!$H$2=AW157),'2026DATA'!$F$11,"")</f>
        <v/>
      </c>
      <c r="AX166" s="518" t="str">
        <f>IF(AND(_3="B-767-400ER",'2026'!$H$4="CA",'2026'!$H$2=AX157),'2026DATA'!$G$11,"")</f>
        <v/>
      </c>
      <c r="AY166" s="518" t="str">
        <f>IF(AND(_3="B-767-400ER",'2026'!$H$4="CA",'2026'!$H$2=AY157),'2026DATA'!$H$11,"")</f>
        <v/>
      </c>
      <c r="AZ166" s="518" t="str">
        <f>IF(AND(_3="B-767-400ER",'2026'!$H$4="CA",'2026'!$H$2=AZ157),'2026DATA'!$I$11,"")</f>
        <v/>
      </c>
      <c r="BA166" s="518" t="str">
        <f>IF(AND(_3="B-767-400ER",'2026'!$H$4="CA",'2026'!$H$2=BA157),'2026DATA'!$J$11,"")</f>
        <v/>
      </c>
      <c r="BB166" s="518" t="str">
        <f>IF(AND(_3="B-767-400ER",'2026'!$H$4="CA",'2026'!$H$2=BB157),'2026DATA'!$K$11,"")</f>
        <v/>
      </c>
      <c r="BC166" s="518" t="str">
        <f>IF(AND(_3="B-767-400ER",'2026'!$H$4="CA",'2026'!$H$2=BC157),'2026DATA'!$L$11,"")</f>
        <v/>
      </c>
      <c r="BD166" s="518" t="str">
        <f>IF(AND(_3="B-767-400ER",'2026'!$H$4="CA",'2026'!$H$2=BD157),'2026DATA'!$M$11,"")</f>
        <v/>
      </c>
      <c r="BE166" s="520" t="str">
        <f>IF(AND(_3="B-767-400ER",'2026'!$H$4="CA",'2026'!$H$2=BE157),'2026DATA'!$N$11,"")</f>
        <v/>
      </c>
      <c r="BF166" s="940" t="s">
        <v>42</v>
      </c>
      <c r="BG166" s="13" t="s">
        <v>61</v>
      </c>
      <c r="BH166" s="518" t="str">
        <f>IF(AND(_4="B-767-400ER",'2026'!$H$4="CA",'2026'!$H$2=BH157),'2026DATA'!$C$11,"")</f>
        <v/>
      </c>
      <c r="BI166" s="518" t="str">
        <f>IF(AND(_4="B-767-400ER",'2026'!$H$4="CA",'2026'!$H$2=BI157),'2026DATA'!$D$11,"")</f>
        <v/>
      </c>
      <c r="BJ166" s="518" t="str">
        <f>IF(AND(_4="B-767-400ER",'2026'!$H$4="CA",'2026'!$H$2=BJ157),'2026DATA'!$E$11,"")</f>
        <v/>
      </c>
      <c r="BK166" s="518" t="str">
        <f>IF(AND(_4="B-767-400ER",'2026'!$H$4="CA",'2026'!$H$2=BK157),'2026DATA'!$F$11,"")</f>
        <v/>
      </c>
      <c r="BL166" s="518" t="str">
        <f>IF(AND(_4="B-767-400ER",'2026'!$H$4="CA",'2026'!$H$2=BL157),'2026DATA'!$G$11,"")</f>
        <v/>
      </c>
      <c r="BM166" s="518" t="str">
        <f>IF(AND(_4="B-767-400ER",'2026'!$H$4="CA",'2026'!$H$2=BM157),'2026DATA'!$H$11,"")</f>
        <v/>
      </c>
      <c r="BN166" s="518" t="str">
        <f>IF(AND(_4="B-767-400ER",'2026'!$H$4="CA",'2026'!$H$2=BN157),'2026DATA'!$I$11,"")</f>
        <v/>
      </c>
      <c r="BO166" s="518" t="str">
        <f>IF(AND(_4="B-767-400ER",'2026'!$H$4="CA",'2026'!$H$2=BO157),'2026DATA'!$J$11,"")</f>
        <v/>
      </c>
      <c r="BP166" s="518" t="str">
        <f>IF(AND(_4="B-767-400ER",'2026'!$H$4="CA",'2026'!$H$2=BP157),'2026DATA'!$K$11,"")</f>
        <v/>
      </c>
      <c r="BQ166" s="518" t="str">
        <f>IF(AND(_4="B-767-400ER",'2026'!$H$4="CA",'2026'!$H$2=BQ157),'2026DATA'!$L$11,"")</f>
        <v/>
      </c>
      <c r="BR166" s="518" t="str">
        <f>IF(AND(_4="B-767-400ER",'2026'!$H$4="CA",'2026'!$H$2=BR157),'2026DATA'!$M$11,"")</f>
        <v/>
      </c>
      <c r="BS166" s="520" t="str">
        <f>IF(AND(_4="B-767-400ER",'2026'!$H$4="CA",'2026'!$H$2=BS157),'2026DATA'!$N$11,"")</f>
        <v/>
      </c>
      <c r="BT166" s="940" t="s">
        <v>42</v>
      </c>
      <c r="BU166" s="13" t="s">
        <v>61</v>
      </c>
      <c r="BV166" s="518" t="str">
        <f>IF(AND(_5="B-767-400ER",'2026'!$H$4="CA",'2026'!$H$2=BV157),'2026DATA'!$C$11,"")</f>
        <v/>
      </c>
      <c r="BW166" s="518" t="str">
        <f>IF(AND(_5="B-767-400ER",'2026'!$H$4="CA",'2026'!$H$2=BW157),'2026DATA'!$D$11,"")</f>
        <v/>
      </c>
      <c r="BX166" s="518" t="str">
        <f>IF(AND(_5="B-767-400ER",'2026'!$H$4="CA",'2026'!$H$2=BX157),'2026DATA'!$E$11,"")</f>
        <v/>
      </c>
      <c r="BY166" s="518" t="str">
        <f>IF(AND(_5="B-767-400ER",'2026'!$H$4="CA",'2026'!$H$2=BY157),'2026DATA'!$F$11,"")</f>
        <v/>
      </c>
      <c r="BZ166" s="518" t="str">
        <f>IF(AND(_5="B-767-400ER",'2026'!$H$4="CA",'2026'!$H$2=BZ157),'2026DATA'!$G$11,"")</f>
        <v/>
      </c>
      <c r="CA166" s="518" t="str">
        <f>IF(AND(_5="B-767-400ER",'2026'!$H$4="CA",'2026'!$H$2=CA157),'2026DATA'!$H$11,"")</f>
        <v/>
      </c>
      <c r="CB166" s="518" t="str">
        <f>IF(AND(_5="B-767-400ER",'2026'!$H$4="CA",'2026'!$H$2=CB157),'2026DATA'!$I$11,"")</f>
        <v/>
      </c>
      <c r="CC166" s="518" t="str">
        <f>IF(AND(_5="B-767-400ER",'2026'!$H$4="CA",'2026'!$H$2=CC157),'2026DATA'!$J$11,"")</f>
        <v/>
      </c>
      <c r="CD166" s="518" t="str">
        <f>IF(AND(_5="B-767-400ER",'2026'!$H$4="CA",'2026'!$H$2=CD157),'2026DATA'!$K$11,"")</f>
        <v/>
      </c>
      <c r="CE166" s="518" t="str">
        <f>IF(AND(_5="B-767-400ER",'2026'!$H$4="CA",'2026'!$H$2=CE157),'2026DATA'!$L$11,"")</f>
        <v/>
      </c>
      <c r="CF166" s="518" t="str">
        <f>IF(AND(_5="B-767-400ER",'2026'!$H$4="CA",'2026'!$H$2=CF157),'2026DATA'!$M$11,"")</f>
        <v/>
      </c>
      <c r="CG166" s="520" t="str">
        <f>IF(AND(_5="B-767-400ER",'2026'!$H$4="CA",'2026'!$H$2=CG157),'2026DATA'!$N$11,"")</f>
        <v/>
      </c>
      <c r="CH166" s="940" t="s">
        <v>42</v>
      </c>
      <c r="CI166" s="13" t="s">
        <v>61</v>
      </c>
      <c r="CJ166" s="518" t="str">
        <f>IF(AND(_6="B-767-400ER",'2026'!$H$4="CA",'2026'!$H$2=CJ157),'2026DATA'!$C$11,"")</f>
        <v/>
      </c>
      <c r="CK166" s="518" t="str">
        <f>IF(AND(_6="B-767-400ER",'2026'!$H$4="CA",'2026'!$H$2=CK157),'2026DATA'!$D$11,"")</f>
        <v/>
      </c>
      <c r="CL166" s="518" t="str">
        <f>IF(AND(_6="B-767-400ER",'2026'!$H$4="CA",'2026'!$H$2=CL157),'2026DATA'!$E$11,"")</f>
        <v/>
      </c>
      <c r="CM166" s="518" t="str">
        <f>IF(AND(_6="B-767-400ER",'2026'!$H$4="CA",'2026'!$H$2=CM157),'2026DATA'!$F$11,"")</f>
        <v/>
      </c>
      <c r="CN166" s="518" t="str">
        <f>IF(AND(_6="B-767-400ER",'2026'!$H$4="CA",'2026'!$H$2=CN157),'2026DATA'!$G$11,"")</f>
        <v/>
      </c>
      <c r="CO166" s="518" t="str">
        <f>IF(AND(_6="B-767-400ER",'2026'!$H$4="CA",'2026'!$H$2=CO157),'2026DATA'!$H$11,"")</f>
        <v/>
      </c>
      <c r="CP166" s="518" t="str">
        <f>IF(AND(_6="B-767-400ER",'2026'!$H$4="CA",'2026'!$H$2=CP157),'2026DATA'!$I$11,"")</f>
        <v/>
      </c>
      <c r="CQ166" s="518" t="str">
        <f>IF(AND(_6="B-767-400ER",'2026'!$H$4="CA",'2026'!$H$2=CQ157),'2026DATA'!$J$11,"")</f>
        <v/>
      </c>
      <c r="CR166" s="518" t="str">
        <f>IF(AND(_6="B-767-400ER",'2026'!$H$4="CA",'2026'!$H$2=CR157),'2026DATA'!$K$11,"")</f>
        <v/>
      </c>
      <c r="CS166" s="518" t="str">
        <f>IF(AND(_6="B-767-400ER",'2026'!$H$4="CA",'2026'!$H$2=CS157),'2026DATA'!$L$11,"")</f>
        <v/>
      </c>
      <c r="CT166" s="518" t="str">
        <f>IF(AND(_6="B-767-400ER",'2026'!$H$4="CA",'2026'!$H$2=CT157),'2026DATA'!$M$11,"")</f>
        <v/>
      </c>
      <c r="CU166" s="520" t="str">
        <f>IF(AND(_6="B-767-400ER",'2026'!$H$4="CA",'2026'!$H$2=CU157),'2026DATA'!$N$11,"")</f>
        <v/>
      </c>
    </row>
    <row r="167" spans="16:99" x14ac:dyDescent="0.25">
      <c r="P167" s="940"/>
      <c r="Q167" s="13" t="s">
        <v>62</v>
      </c>
      <c r="R167" s="518" t="str">
        <f>IF(AND(_1="B-767-400ER",'2026'!$H$4="FO",'2026'!$H$2=R157),'2026DATA'!$C$12,"")</f>
        <v/>
      </c>
      <c r="S167" s="518" t="str">
        <f>IF(AND(_1="B-767-400ER",'2026'!$H$4="FO",'2026'!$H$2=S157),'2026DATA'!$D$12,"")</f>
        <v/>
      </c>
      <c r="T167" s="518" t="str">
        <f>IF(AND(_1="B-767-400ER",'2026'!$H$4="FO",'2026'!$H$2=T157),'2026DATA'!$E$12,"")</f>
        <v/>
      </c>
      <c r="U167" s="518" t="str">
        <f>IF(AND(_1="B-767-400ER",'2026'!$H$4="FO",'2026'!$H$2=U157),'2026DATA'!$F$12,"")</f>
        <v/>
      </c>
      <c r="V167" s="518" t="str">
        <f>IF(AND(_1="B-767-400ER",'2026'!$H$4="FO",'2026'!$H$2=V157),'2026DATA'!$G$12,"")</f>
        <v/>
      </c>
      <c r="W167" s="518" t="str">
        <f>IF(AND(_1="B-767-400ER",'2026'!$H$4="FO",'2026'!$H$2=W157),'2026DATA'!$H$12,"")</f>
        <v/>
      </c>
      <c r="X167" s="518" t="str">
        <f>IF(AND(_1="B-767-400ER",'2026'!$H$4="FO",'2026'!$H$2=X157),'2026DATA'!$I$12,"")</f>
        <v/>
      </c>
      <c r="Y167" s="518" t="str">
        <f>IF(AND(_1="B-767-400ER",'2026'!$H$4="FO",'2026'!$H$2=Y157),'2026DATA'!$J$12,"")</f>
        <v/>
      </c>
      <c r="Z167" s="518" t="str">
        <f>IF(AND(_1="B-767-400ER",'2026'!$H$4="FO",'2026'!$H$2=Z157),'2026DATA'!$K$12,"")</f>
        <v/>
      </c>
      <c r="AA167" s="518" t="str">
        <f>IF(AND(_1="B-767-400ER",'2026'!$H$4="FO",'2026'!$H$2=AA157),'2026DATA'!$L$12,"")</f>
        <v/>
      </c>
      <c r="AB167" s="518" t="str">
        <f>IF(AND(_1="B-767-400ER",'2026'!$H$4="FO",'2026'!$H$2=AB157),'2026DATA'!$M$12,"")</f>
        <v/>
      </c>
      <c r="AC167" s="520" t="str">
        <f>IF(AND(_1="B-767-400ER",'2026'!$H$4="FO",'2026'!$H$2=AC157),'2026DATA'!$N$12,"")</f>
        <v/>
      </c>
      <c r="AD167" s="940"/>
      <c r="AE167" s="13" t="s">
        <v>62</v>
      </c>
      <c r="AF167" s="518" t="str">
        <f>IF(AND(_2="B-767-400ER",'2026'!$H$4="FO",'2026'!$H$2=AF157),'2026DATA'!$C$12,"")</f>
        <v/>
      </c>
      <c r="AG167" s="518" t="str">
        <f>IF(AND(_2="B-767-400ER",'2026'!$H$4="FO",'2026'!$H$2=AG157),'2026DATA'!$D$12,"")</f>
        <v/>
      </c>
      <c r="AH167" s="518" t="str">
        <f>IF(AND(_2="B-767-400ER",'2026'!$H$4="FO",'2026'!$H$2=AH157),'2026DATA'!$E$12,"")</f>
        <v/>
      </c>
      <c r="AI167" s="518" t="str">
        <f>IF(AND(_2="B-767-400ER",'2026'!$H$4="FO",'2026'!$H$2=AI157),'2026DATA'!$F$12,"")</f>
        <v/>
      </c>
      <c r="AJ167" s="518" t="str">
        <f>IF(AND(_2="B-767-400ER",'2026'!$H$4="FO",'2026'!$H$2=AJ157),'2026DATA'!$G$12,"")</f>
        <v/>
      </c>
      <c r="AK167" s="518" t="str">
        <f>IF(AND(_2="B-767-400ER",'2026'!$H$4="FO",'2026'!$H$2=AK157),'2026DATA'!$H$12,"")</f>
        <v/>
      </c>
      <c r="AL167" s="518" t="str">
        <f>IF(AND(_2="B-767-400ER",'2026'!$H$4="FO",'2026'!$H$2=AL157),'2026DATA'!$I$12,"")</f>
        <v/>
      </c>
      <c r="AM167" s="518" t="str">
        <f>IF(AND(_2="B-767-400ER",'2026'!$H$4="FO",'2026'!$H$2=AM157),'2026DATA'!$J$12,"")</f>
        <v/>
      </c>
      <c r="AN167" s="518" t="str">
        <f>IF(AND(_2="B-767-400ER",'2026'!$H$4="FO",'2026'!$H$2=AN157),'2026DATA'!$K$12,"")</f>
        <v/>
      </c>
      <c r="AO167" s="518" t="str">
        <f>IF(AND(_2="B-767-400ER",'2026'!$H$4="FO",'2026'!$H$2=AO157),'2026DATA'!$L$12,"")</f>
        <v/>
      </c>
      <c r="AP167" s="518" t="str">
        <f>IF(AND(_2="B-767-400ER",'2026'!$H$4="FO",'2026'!$H$2=AP157),'2026DATA'!$M$12,"")</f>
        <v/>
      </c>
      <c r="AQ167" s="520" t="str">
        <f>IF(AND(_2="B-767-400ER",'2026'!$H$4="FO",'2026'!$H$2=AQ157),'2026DATA'!$N$12,"")</f>
        <v/>
      </c>
      <c r="AR167" s="940"/>
      <c r="AS167" s="13" t="s">
        <v>62</v>
      </c>
      <c r="AT167" s="518" t="str">
        <f>IF(AND(_3="B-767-400ER",'2026'!$H$4="FO",'2026'!$H$2=AT157),'2026DATA'!$C$12,"")</f>
        <v/>
      </c>
      <c r="AU167" s="518" t="str">
        <f>IF(AND(_3="B-767-400ER",'2026'!$H$4="FO",'2026'!$H$2=AU157),'2026DATA'!$D$12,"")</f>
        <v/>
      </c>
      <c r="AV167" s="518" t="str">
        <f>IF(AND(_3="B-767-400ER",'2026'!$H$4="FO",'2026'!$H$2=AV157),'2026DATA'!$E$12,"")</f>
        <v/>
      </c>
      <c r="AW167" s="518" t="str">
        <f>IF(AND(_3="B-767-400ER",'2026'!$H$4="FO",'2026'!$H$2=AW157),'2026DATA'!$F$12,"")</f>
        <v/>
      </c>
      <c r="AX167" s="518" t="str">
        <f>IF(AND(_3="B-767-400ER",'2026'!$H$4="FO",'2026'!$H$2=AX157),'2026DATA'!$G$12,"")</f>
        <v/>
      </c>
      <c r="AY167" s="518" t="str">
        <f>IF(AND(_3="B-767-400ER",'2026'!$H$4="FO",'2026'!$H$2=AY157),'2026DATA'!$H$12,"")</f>
        <v/>
      </c>
      <c r="AZ167" s="518" t="str">
        <f>IF(AND(_3="B-767-400ER",'2026'!$H$4="FO",'2026'!$H$2=AZ157),'2026DATA'!$I$12,"")</f>
        <v/>
      </c>
      <c r="BA167" s="518" t="str">
        <f>IF(AND(_3="B-767-400ER",'2026'!$H$4="FO",'2026'!$H$2=BA157),'2026DATA'!$J$12,"")</f>
        <v/>
      </c>
      <c r="BB167" s="518" t="str">
        <f>IF(AND(_3="B-767-400ER",'2026'!$H$4="FO",'2026'!$H$2=BB157),'2026DATA'!$K$12,"")</f>
        <v/>
      </c>
      <c r="BC167" s="518" t="str">
        <f>IF(AND(_3="B-767-400ER",'2026'!$H$4="FO",'2026'!$H$2=BC157),'2026DATA'!$L$12,"")</f>
        <v/>
      </c>
      <c r="BD167" s="518" t="str">
        <f>IF(AND(_3="B-767-400ER",'2026'!$H$4="FO",'2026'!$H$2=BD157),'2026DATA'!$M$12,"")</f>
        <v/>
      </c>
      <c r="BE167" s="520" t="str">
        <f>IF(AND(_3="B-767-400ER",'2026'!$H$4="FO",'2026'!$H$2=BE157),'2026DATA'!$N$12,"")</f>
        <v/>
      </c>
      <c r="BF167" s="940"/>
      <c r="BG167" s="13" t="s">
        <v>62</v>
      </c>
      <c r="BH167" s="518" t="str">
        <f>IF(AND(_4="B-767-400ER",'2026'!$H$4="FO",'2026'!$H$2=BH157),'2026DATA'!$C$12,"")</f>
        <v/>
      </c>
      <c r="BI167" s="518" t="str">
        <f>IF(AND(_4="B-767-400ER",'2026'!$H$4="FO",'2026'!$H$2=BI157),'2026DATA'!$D$12,"")</f>
        <v/>
      </c>
      <c r="BJ167" s="518" t="str">
        <f>IF(AND(_4="B-767-400ER",'2026'!$H$4="FO",'2026'!$H$2=BJ157),'2026DATA'!$E$12,"")</f>
        <v/>
      </c>
      <c r="BK167" s="518" t="str">
        <f>IF(AND(_4="B-767-400ER",'2026'!$H$4="FO",'2026'!$H$2=BK157),'2026DATA'!$F$12,"")</f>
        <v/>
      </c>
      <c r="BL167" s="518" t="str">
        <f>IF(AND(_4="B-767-400ER",'2026'!$H$4="FO",'2026'!$H$2=BL157),'2026DATA'!$G$12,"")</f>
        <v/>
      </c>
      <c r="BM167" s="518" t="str">
        <f>IF(AND(_4="B-767-400ER",'2026'!$H$4="FO",'2026'!$H$2=BM157),'2026DATA'!$H$12,"")</f>
        <v/>
      </c>
      <c r="BN167" s="518" t="str">
        <f>IF(AND(_4="B-767-400ER",'2026'!$H$4="FO",'2026'!$H$2=BN157),'2026DATA'!$I$12,"")</f>
        <v/>
      </c>
      <c r="BO167" s="518" t="str">
        <f>IF(AND(_4="B-767-400ER",'2026'!$H$4="FO",'2026'!$H$2=BO157),'2026DATA'!$J$12,"")</f>
        <v/>
      </c>
      <c r="BP167" s="518" t="str">
        <f>IF(AND(_4="B-767-400ER",'2026'!$H$4="FO",'2026'!$H$2=BP157),'2026DATA'!$K$12,"")</f>
        <v/>
      </c>
      <c r="BQ167" s="518" t="str">
        <f>IF(AND(_4="B-767-400ER",'2026'!$H$4="FO",'2026'!$H$2=BQ157),'2026DATA'!$L$12,"")</f>
        <v/>
      </c>
      <c r="BR167" s="518" t="str">
        <f>IF(AND(_4="B-767-400ER",'2026'!$H$4="FO",'2026'!$H$2=BR157),'2026DATA'!$M$12,"")</f>
        <v/>
      </c>
      <c r="BS167" s="520" t="str">
        <f>IF(AND(_4="B-767-400ER",'2026'!$H$4="FO",'2026'!$H$2=BS157),'2026DATA'!$N$12,"")</f>
        <v/>
      </c>
      <c r="BT167" s="940"/>
      <c r="BU167" s="13" t="s">
        <v>62</v>
      </c>
      <c r="BV167" s="518" t="str">
        <f>IF(AND(_5="B-767-400ER",'2026'!$H$4="FO",'2026'!$H$2=BV157),'2026DATA'!$C$12,"")</f>
        <v/>
      </c>
      <c r="BW167" s="518" t="str">
        <f>IF(AND(_5="B-767-400ER",'2026'!$H$4="FO",'2026'!$H$2=BW157),'2026DATA'!$D$12,"")</f>
        <v/>
      </c>
      <c r="BX167" s="518" t="str">
        <f>IF(AND(_5="B-767-400ER",'2026'!$H$4="FO",'2026'!$H$2=BX157),'2026DATA'!$E$12,"")</f>
        <v/>
      </c>
      <c r="BY167" s="518" t="str">
        <f>IF(AND(_5="B-767-400ER",'2026'!$H$4="FO",'2026'!$H$2=BY157),'2026DATA'!$F$12,"")</f>
        <v/>
      </c>
      <c r="BZ167" s="518" t="str">
        <f>IF(AND(_5="B-767-400ER",'2026'!$H$4="FO",'2026'!$H$2=BZ157),'2026DATA'!$G$12,"")</f>
        <v/>
      </c>
      <c r="CA167" s="518" t="str">
        <f>IF(AND(_5="B-767-400ER",'2026'!$H$4="FO",'2026'!$H$2=CA157),'2026DATA'!$H$12,"")</f>
        <v/>
      </c>
      <c r="CB167" s="518" t="str">
        <f>IF(AND(_5="B-767-400ER",'2026'!$H$4="FO",'2026'!$H$2=CB157),'2026DATA'!$I$12,"")</f>
        <v/>
      </c>
      <c r="CC167" s="518" t="str">
        <f>IF(AND(_5="B-767-400ER",'2026'!$H$4="FO",'2026'!$H$2=CC157),'2026DATA'!$J$12,"")</f>
        <v/>
      </c>
      <c r="CD167" s="518" t="str">
        <f>IF(AND(_5="B-767-400ER",'2026'!$H$4="FO",'2026'!$H$2=CD157),'2026DATA'!$K$12,"")</f>
        <v/>
      </c>
      <c r="CE167" s="518" t="str">
        <f>IF(AND(_5="B-767-400ER",'2026'!$H$4="FO",'2026'!$H$2=CE157),'2026DATA'!$L$12,"")</f>
        <v/>
      </c>
      <c r="CF167" s="518" t="str">
        <f>IF(AND(_5="B-767-400ER",'2026'!$H$4="FO",'2026'!$H$2=CF157),'2026DATA'!$M$12,"")</f>
        <v/>
      </c>
      <c r="CG167" s="520" t="str">
        <f>IF(AND(_5="B-767-400ER",'2026'!$H$4="FO",'2026'!$H$2=CG157),'2026DATA'!$N$12,"")</f>
        <v/>
      </c>
      <c r="CH167" s="940"/>
      <c r="CI167" s="13" t="s">
        <v>62</v>
      </c>
      <c r="CJ167" s="518" t="str">
        <f>IF(AND(_6="B-767-400ER",'2026'!$H$4="FO",'2026'!$H$2=CJ157),'2026DATA'!$C$12,"")</f>
        <v/>
      </c>
      <c r="CK167" s="518" t="str">
        <f>IF(AND(_6="B-767-400ER",'2026'!$H$4="FO",'2026'!$H$2=CK157),'2026DATA'!$D$12,"")</f>
        <v/>
      </c>
      <c r="CL167" s="518" t="str">
        <f>IF(AND(_6="B-767-400ER",'2026'!$H$4="FO",'2026'!$H$2=CL157),'2026DATA'!$E$12,"")</f>
        <v/>
      </c>
      <c r="CM167" s="518" t="str">
        <f>IF(AND(_6="B-767-400ER",'2026'!$H$4="FO",'2026'!$H$2=CM157),'2026DATA'!$F$12,"")</f>
        <v/>
      </c>
      <c r="CN167" s="518" t="str">
        <f>IF(AND(_6="B-767-400ER",'2026'!$H$4="FO",'2026'!$H$2=CN157),'2026DATA'!$G$12,"")</f>
        <v/>
      </c>
      <c r="CO167" s="518" t="str">
        <f>IF(AND(_6="B-767-400ER",'2026'!$H$4="FO",'2026'!$H$2=CO157),'2026DATA'!$H$12,"")</f>
        <v/>
      </c>
      <c r="CP167" s="518" t="str">
        <f>IF(AND(_6="B-767-400ER",'2026'!$H$4="FO",'2026'!$H$2=CP157),'2026DATA'!$I$12,"")</f>
        <v/>
      </c>
      <c r="CQ167" s="518" t="str">
        <f>IF(AND(_6="B-767-400ER",'2026'!$H$4="FO",'2026'!$H$2=CQ157),'2026DATA'!$J$12,"")</f>
        <v/>
      </c>
      <c r="CR167" s="518" t="str">
        <f>IF(AND(_6="B-767-400ER",'2026'!$H$4="FO",'2026'!$H$2=CR157),'2026DATA'!$K$12,"")</f>
        <v/>
      </c>
      <c r="CS167" s="518" t="str">
        <f>IF(AND(_6="B-767-400ER",'2026'!$H$4="FO",'2026'!$H$2=CS157),'2026DATA'!$L$12,"")</f>
        <v/>
      </c>
      <c r="CT167" s="518" t="str">
        <f>IF(AND(_6="B-767-400ER",'2026'!$H$4="FO",'2026'!$H$2=CT157),'2026DATA'!$M$12,"")</f>
        <v/>
      </c>
      <c r="CU167" s="520" t="str">
        <f>IF(AND(_6="B-767-400ER",'2026'!$H$4="FO",'2026'!$H$2=CU157),'2026DATA'!$N$12,"")</f>
        <v/>
      </c>
    </row>
    <row r="168" spans="16:99" x14ac:dyDescent="0.25">
      <c r="P168" s="940" t="s">
        <v>43</v>
      </c>
      <c r="Q168" s="13" t="s">
        <v>61</v>
      </c>
      <c r="R168" s="518" t="str">
        <f>IF(AND(_1="B-767-300ER",'2026'!$H$4="CA",'2026'!$H$2=R157),'2026DATA'!$C$13,"")</f>
        <v/>
      </c>
      <c r="S168" s="518" t="str">
        <f>IF(AND(_1="B-767-300ER",'2026'!$H$4="CA",'2026'!$H$2=S157),'2026DATA'!$D$13,"")</f>
        <v/>
      </c>
      <c r="T168" s="518" t="str">
        <f>IF(AND(_1="B-767-300ER",'2026'!$H$4="CA",'2026'!$H$2=T157),'2026DATA'!$E$13,"")</f>
        <v/>
      </c>
      <c r="U168" s="518" t="str">
        <f>IF(AND(_1="B-767-300ER",'2026'!$H$4="CA",'2026'!$H$2=U157),'2026DATA'!$F$13,"")</f>
        <v/>
      </c>
      <c r="V168" s="518" t="str">
        <f>IF(AND(_1="B-767-300ER",'2026'!$H$4="CA",'2026'!$H$2=V157),'2026DATA'!$G$13,"")</f>
        <v/>
      </c>
      <c r="W168" s="518" t="str">
        <f>IF(AND(_1="B-767-300ER",'2026'!$H$4="CA",'2026'!$H$2=W157),'2026DATA'!$H$13,"")</f>
        <v/>
      </c>
      <c r="X168" s="518" t="str">
        <f>IF(AND(_1="B-767-300ER",'2026'!$H$4="CA",'2026'!$H$2=X157),'2026DATA'!$I$13,"")</f>
        <v/>
      </c>
      <c r="Y168" s="518" t="str">
        <f>IF(AND(_1="B-767-300ER",'2026'!$H$4="CA",'2026'!$H$2=Y157),'2026DATA'!$J$13,"")</f>
        <v/>
      </c>
      <c r="Z168" s="518" t="str">
        <f>IF(AND(_1="B-767-300ER",'2026'!$H$4="CA",'2026'!$H$2=Z157),'2026DATA'!$K$13,"")</f>
        <v/>
      </c>
      <c r="AA168" s="518" t="str">
        <f>IF(AND(_1="B-767-300ER",'2026'!$H$4="CA",'2026'!$H$2=AA157),'2026DATA'!$L$13,"")</f>
        <v/>
      </c>
      <c r="AB168" s="518" t="str">
        <f>IF(AND(_1="B-767-300ER",'2026'!$H$4="CA",'2026'!$H$2=AB157),'2026DATA'!$M$13,"")</f>
        <v/>
      </c>
      <c r="AC168" s="520" t="str">
        <f>IF(AND(_1="B-767-300ER",'2026'!$H$4="CA",'2026'!$H$2=AC157),'2026DATA'!$N$13,"")</f>
        <v/>
      </c>
      <c r="AD168" s="940" t="s">
        <v>43</v>
      </c>
      <c r="AE168" s="13" t="s">
        <v>61</v>
      </c>
      <c r="AF168" s="518" t="str">
        <f>IF(AND(_2="B-767-300ER",'2026'!$H$4="CA",'2026'!$H$2=AF157),'2026DATA'!$C$13,"")</f>
        <v/>
      </c>
      <c r="AG168" s="518" t="str">
        <f>IF(AND(_2="B-767-300ER",'2026'!$H$4="CA",'2026'!$H$2=AG157),'2026DATA'!$D$13,"")</f>
        <v/>
      </c>
      <c r="AH168" s="518" t="str">
        <f>IF(AND(_2="B-767-300ER",'2026'!$H$4="CA",'2026'!$H$2=AH157),'2026DATA'!$E$13,"")</f>
        <v/>
      </c>
      <c r="AI168" s="518" t="str">
        <f>IF(AND(_2="B-767-300ER",'2026'!$H$4="CA",'2026'!$H$2=AI157),'2026DATA'!$F$13,"")</f>
        <v/>
      </c>
      <c r="AJ168" s="518" t="str">
        <f>IF(AND(_2="B-767-300ER",'2026'!$H$4="CA",'2026'!$H$2=AJ157),'2026DATA'!$G$13,"")</f>
        <v/>
      </c>
      <c r="AK168" s="518" t="str">
        <f>IF(AND(_2="B-767-300ER",'2026'!$H$4="CA",'2026'!$H$2=AK157),'2026DATA'!$H$13,"")</f>
        <v/>
      </c>
      <c r="AL168" s="518" t="str">
        <f>IF(AND(_2="B-767-300ER",'2026'!$H$4="CA",'2026'!$H$2=AL157),'2026DATA'!$I$13,"")</f>
        <v/>
      </c>
      <c r="AM168" s="518" t="str">
        <f>IF(AND(_2="B-767-300ER",'2026'!$H$4="CA",'2026'!$H$2=AM157),'2026DATA'!$J$13,"")</f>
        <v/>
      </c>
      <c r="AN168" s="518" t="str">
        <f>IF(AND(_2="B-767-300ER",'2026'!$H$4="CA",'2026'!$H$2=AN157),'2026DATA'!$K$13,"")</f>
        <v/>
      </c>
      <c r="AO168" s="518" t="str">
        <f>IF(AND(_2="B-767-300ER",'2026'!$H$4="CA",'2026'!$H$2=AO157),'2026DATA'!$L$13,"")</f>
        <v/>
      </c>
      <c r="AP168" s="518" t="str">
        <f>IF(AND(_2="B-767-300ER",'2026'!$H$4="CA",'2026'!$H$2=AP157),'2026DATA'!$M$13,"")</f>
        <v/>
      </c>
      <c r="AQ168" s="520" t="str">
        <f>IF(AND(_2="B-767-300ER",'2026'!$H$4="CA",'2026'!$H$2=AQ157),'2026DATA'!$N$13,"")</f>
        <v/>
      </c>
      <c r="AR168" s="940" t="s">
        <v>43</v>
      </c>
      <c r="AS168" s="13" t="s">
        <v>61</v>
      </c>
      <c r="AT168" s="518" t="str">
        <f>IF(AND(_3="B-767-300ER",'2026'!$H$4="CA",'2026'!$H$2=AT157),'2026DATA'!$C$13,"")</f>
        <v/>
      </c>
      <c r="AU168" s="518" t="str">
        <f>IF(AND(_3="B-767-300ER",'2026'!$H$4="CA",'2026'!$H$2=AU157),'2026DATA'!$D$13,"")</f>
        <v/>
      </c>
      <c r="AV168" s="518" t="str">
        <f>IF(AND(_3="B-767-300ER",'2026'!$H$4="CA",'2026'!$H$2=AV157),'2026DATA'!$E$13,"")</f>
        <v/>
      </c>
      <c r="AW168" s="518" t="str">
        <f>IF(AND(_3="B-767-300ER",'2026'!$H$4="CA",'2026'!$H$2=AW157),'2026DATA'!$F$13,"")</f>
        <v/>
      </c>
      <c r="AX168" s="518" t="str">
        <f>IF(AND(_3="B-767-300ER",'2026'!$H$4="CA",'2026'!$H$2=AX157),'2026DATA'!$G$13,"")</f>
        <v/>
      </c>
      <c r="AY168" s="518" t="str">
        <f>IF(AND(_3="B-767-300ER",'2026'!$H$4="CA",'2026'!$H$2=AY157),'2026DATA'!$H$13,"")</f>
        <v/>
      </c>
      <c r="AZ168" s="518" t="str">
        <f>IF(AND(_3="B-767-300ER",'2026'!$H$4="CA",'2026'!$H$2=AZ157),'2026DATA'!$I$13,"")</f>
        <v/>
      </c>
      <c r="BA168" s="518" t="str">
        <f>IF(AND(_3="B-767-300ER",'2026'!$H$4="CA",'2026'!$H$2=BA157),'2026DATA'!$J$13,"")</f>
        <v/>
      </c>
      <c r="BB168" s="518" t="str">
        <f>IF(AND(_3="B-767-300ER",'2026'!$H$4="CA",'2026'!$H$2=BB157),'2026DATA'!$K$13,"")</f>
        <v/>
      </c>
      <c r="BC168" s="518" t="str">
        <f>IF(AND(_3="B-767-300ER",'2026'!$H$4="CA",'2026'!$H$2=BC157),'2026DATA'!$L$13,"")</f>
        <v/>
      </c>
      <c r="BD168" s="518" t="str">
        <f>IF(AND(_3="B-767-300ER",'2026'!$H$4="CA",'2026'!$H$2=BD157),'2026DATA'!$M$13,"")</f>
        <v/>
      </c>
      <c r="BE168" s="520" t="str">
        <f>IF(AND(_3="B-767-300ER",'2026'!$H$4="CA",'2026'!$H$2=BE157),'2026DATA'!$N$13,"")</f>
        <v/>
      </c>
      <c r="BF168" s="940" t="s">
        <v>43</v>
      </c>
      <c r="BG168" s="13" t="s">
        <v>61</v>
      </c>
      <c r="BH168" s="518" t="str">
        <f>IF(AND(_4="B-767-300ER",'2026'!$H$4="CA",'2026'!$H$2=BH157),'2026DATA'!$C$13,"")</f>
        <v/>
      </c>
      <c r="BI168" s="518" t="str">
        <f>IF(AND(_4="B-767-300ER",'2026'!$H$4="CA",'2026'!$H$2=BI157),'2026DATA'!$D$13,"")</f>
        <v/>
      </c>
      <c r="BJ168" s="518" t="str">
        <f>IF(AND(_4="B-767-300ER",'2026'!$H$4="CA",'2026'!$H$2=BJ157),'2026DATA'!$E$13,"")</f>
        <v/>
      </c>
      <c r="BK168" s="518" t="str">
        <f>IF(AND(_4="B-767-300ER",'2026'!$H$4="CA",'2026'!$H$2=BK157),'2026DATA'!$F$13,"")</f>
        <v/>
      </c>
      <c r="BL168" s="518" t="str">
        <f>IF(AND(_4="B-767-300ER",'2026'!$H$4="CA",'2026'!$H$2=BL157),'2026DATA'!$G$13,"")</f>
        <v/>
      </c>
      <c r="BM168" s="518" t="str">
        <f>IF(AND(_4="B-767-300ER",'2026'!$H$4="CA",'2026'!$H$2=BM157),'2026DATA'!$H$13,"")</f>
        <v/>
      </c>
      <c r="BN168" s="518" t="str">
        <f>IF(AND(_4="B-767-300ER",'2026'!$H$4="CA",'2026'!$H$2=BN157),'2026DATA'!$I$13,"")</f>
        <v/>
      </c>
      <c r="BO168" s="518" t="str">
        <f>IF(AND(_4="B-767-300ER",'2026'!$H$4="CA",'2026'!$H$2=BO157),'2026DATA'!$J$13,"")</f>
        <v/>
      </c>
      <c r="BP168" s="518" t="str">
        <f>IF(AND(_4="B-767-300ER",'2026'!$H$4="CA",'2026'!$H$2=BP157),'2026DATA'!$K$13,"")</f>
        <v/>
      </c>
      <c r="BQ168" s="518" t="str">
        <f>IF(AND(_4="B-767-300ER",'2026'!$H$4="CA",'2026'!$H$2=BQ157),'2026DATA'!$L$13,"")</f>
        <v/>
      </c>
      <c r="BR168" s="518" t="str">
        <f>IF(AND(_4="B-767-300ER",'2026'!$H$4="CA",'2026'!$H$2=BR157),'2026DATA'!$M$13,"")</f>
        <v/>
      </c>
      <c r="BS168" s="520" t="str">
        <f>IF(AND(_4="B-767-300ER",'2026'!$H$4="CA",'2026'!$H$2=BS157),'2026DATA'!$N$13,"")</f>
        <v/>
      </c>
      <c r="BT168" s="940" t="s">
        <v>43</v>
      </c>
      <c r="BU168" s="13" t="s">
        <v>61</v>
      </c>
      <c r="BV168" s="518" t="str">
        <f>IF(AND(_5="B-767-300ER",'2026'!$H$4="CA",'2026'!$H$2=BV157),'2026DATA'!$C$13,"")</f>
        <v/>
      </c>
      <c r="BW168" s="518" t="str">
        <f>IF(AND(_5="B-767-300ER",'2026'!$H$4="CA",'2026'!$H$2=BW157),'2026DATA'!$D$13,"")</f>
        <v/>
      </c>
      <c r="BX168" s="518" t="str">
        <f>IF(AND(_5="B-767-300ER",'2026'!$H$4="CA",'2026'!$H$2=BX157),'2026DATA'!$E$13,"")</f>
        <v/>
      </c>
      <c r="BY168" s="518" t="str">
        <f>IF(AND(_5="B-767-300ER",'2026'!$H$4="CA",'2026'!$H$2=BY157),'2026DATA'!$F$13,"")</f>
        <v/>
      </c>
      <c r="BZ168" s="518" t="str">
        <f>IF(AND(_5="B-767-300ER",'2026'!$H$4="CA",'2026'!$H$2=BZ157),'2026DATA'!$G$13,"")</f>
        <v/>
      </c>
      <c r="CA168" s="518" t="str">
        <f>IF(AND(_5="B-767-300ER",'2026'!$H$4="CA",'2026'!$H$2=CA157),'2026DATA'!$H$13,"")</f>
        <v/>
      </c>
      <c r="CB168" s="518" t="str">
        <f>IF(AND(_5="B-767-300ER",'2026'!$H$4="CA",'2026'!$H$2=CB157),'2026DATA'!$I$13,"")</f>
        <v/>
      </c>
      <c r="CC168" s="518" t="str">
        <f>IF(AND(_5="B-767-300ER",'2026'!$H$4="CA",'2026'!$H$2=CC157),'2026DATA'!$J$13,"")</f>
        <v/>
      </c>
      <c r="CD168" s="518" t="str">
        <f>IF(AND(_5="B-767-300ER",'2026'!$H$4="CA",'2026'!$H$2=CD157),'2026DATA'!$K$13,"")</f>
        <v/>
      </c>
      <c r="CE168" s="518" t="str">
        <f>IF(AND(_5="B-767-300ER",'2026'!$H$4="CA",'2026'!$H$2=CE157),'2026DATA'!$L$13,"")</f>
        <v/>
      </c>
      <c r="CF168" s="518" t="str">
        <f>IF(AND(_5="B-767-300ER",'2026'!$H$4="CA",'2026'!$H$2=CF157),'2026DATA'!$M$13,"")</f>
        <v/>
      </c>
      <c r="CG168" s="520" t="str">
        <f>IF(AND(_5="B-767-300ER",'2026'!$H$4="CA",'2026'!$H$2=CG157),'2026DATA'!$N$13,"")</f>
        <v/>
      </c>
      <c r="CH168" s="940" t="s">
        <v>43</v>
      </c>
      <c r="CI168" s="13" t="s">
        <v>61</v>
      </c>
      <c r="CJ168" s="518" t="str">
        <f>IF(AND(_6="B-767-300ER",'2026'!$H$4="CA",'2026'!$H$2=CJ157),'2026DATA'!$C$13,"")</f>
        <v/>
      </c>
      <c r="CK168" s="518" t="str">
        <f>IF(AND(_6="B-767-300ER",'2026'!$H$4="CA",'2026'!$H$2=CK157),'2026DATA'!$D$13,"")</f>
        <v/>
      </c>
      <c r="CL168" s="518" t="str">
        <f>IF(AND(_6="B-767-300ER",'2026'!$H$4="CA",'2026'!$H$2=CL157),'2026DATA'!$E$13,"")</f>
        <v/>
      </c>
      <c r="CM168" s="518" t="str">
        <f>IF(AND(_6="B-767-300ER",'2026'!$H$4="CA",'2026'!$H$2=CM157),'2026DATA'!$F$13,"")</f>
        <v/>
      </c>
      <c r="CN168" s="518" t="str">
        <f>IF(AND(_6="B-767-300ER",'2026'!$H$4="CA",'2026'!$H$2=CN157),'2026DATA'!$G$13,"")</f>
        <v/>
      </c>
      <c r="CO168" s="518" t="str">
        <f>IF(AND(_6="B-767-300ER",'2026'!$H$4="CA",'2026'!$H$2=CO157),'2026DATA'!$H$13,"")</f>
        <v/>
      </c>
      <c r="CP168" s="518" t="str">
        <f>IF(AND(_6="B-767-300ER",'2026'!$H$4="CA",'2026'!$H$2=CP157),'2026DATA'!$I$13,"")</f>
        <v/>
      </c>
      <c r="CQ168" s="518" t="str">
        <f>IF(AND(_6="B-767-300ER",'2026'!$H$4="CA",'2026'!$H$2=CQ157),'2026DATA'!$J$13,"")</f>
        <v/>
      </c>
      <c r="CR168" s="518" t="str">
        <f>IF(AND(_6="B-767-300ER",'2026'!$H$4="CA",'2026'!$H$2=CR157),'2026DATA'!$K$13,"")</f>
        <v/>
      </c>
      <c r="CS168" s="518" t="str">
        <f>IF(AND(_6="B-767-300ER",'2026'!$H$4="CA",'2026'!$H$2=CS157),'2026DATA'!$L$13,"")</f>
        <v/>
      </c>
      <c r="CT168" s="518" t="str">
        <f>IF(AND(_6="B-767-300ER",'2026'!$H$4="CA",'2026'!$H$2=CT157),'2026DATA'!$M$13,"")</f>
        <v/>
      </c>
      <c r="CU168" s="520" t="str">
        <f>IF(AND(_6="B-767-300ER",'2026'!$H$4="CA",'2026'!$H$2=CU157),'2026DATA'!$N$13,"")</f>
        <v/>
      </c>
    </row>
    <row r="169" spans="16:99" x14ac:dyDescent="0.25">
      <c r="P169" s="940"/>
      <c r="Q169" s="13" t="s">
        <v>62</v>
      </c>
      <c r="R169" s="518" t="str">
        <f>IF(AND(_1="B-767-300ER",'2026'!$H$4="FO",'2026'!$H$2=R157),'2026DATA'!$C$14,"")</f>
        <v/>
      </c>
      <c r="S169" s="518" t="str">
        <f>IF(AND(_1="B-767-300ER",'2026'!$H$4="FO",'2026'!$H$2=S157),'2026DATA'!$D$14,"")</f>
        <v/>
      </c>
      <c r="T169" s="518" t="str">
        <f>IF(AND(_1="B-767-300ER",'2026'!$H$4="FO",'2026'!$H$2=T157),'2026DATA'!$E$14,"")</f>
        <v/>
      </c>
      <c r="U169" s="518" t="str">
        <f>IF(AND(_1="B-767-300ER",'2026'!$H$4="FO",'2026'!$H$2=U157),'2026DATA'!$F$14,"")</f>
        <v/>
      </c>
      <c r="V169" s="518" t="str">
        <f>IF(AND(_1="B-767-300ER",'2026'!$H$4="FO",'2026'!$H$2=V157),'2026DATA'!$G$14,"")</f>
        <v/>
      </c>
      <c r="W169" s="518" t="str">
        <f>IF(AND(_1="B-767-300ER",'2026'!$H$4="FO",'2026'!$H$2=W157),'2026DATA'!$H$14,"")</f>
        <v/>
      </c>
      <c r="X169" s="518" t="str">
        <f>IF(AND(_1="B-767-300ER",'2026'!$H$4="FO",'2026'!$H$2=X157),'2026DATA'!$I$14,"")</f>
        <v/>
      </c>
      <c r="Y169" s="518" t="str">
        <f>IF(AND(_1="B-767-300ER",'2026'!$H$4="FO",'2026'!$H$2=Y157),'2026DATA'!$J$14,"")</f>
        <v/>
      </c>
      <c r="Z169" s="518" t="str">
        <f>IF(AND(_1="B-767-300ER",'2026'!$H$4="FO",'2026'!$H$2=Z157),'2026DATA'!$K$14,"")</f>
        <v/>
      </c>
      <c r="AA169" s="518" t="str">
        <f>IF(AND(_1="B-767-300ER",'2026'!$H$4="FO",'2026'!$H$2=AA157),'2026DATA'!$L$14,"")</f>
        <v/>
      </c>
      <c r="AB169" s="518" t="str">
        <f>IF(AND(_1="B-767-300ER",'2026'!$H$4="FO",'2026'!$H$2=AB157),'2026DATA'!$M$14,"")</f>
        <v/>
      </c>
      <c r="AC169" s="520" t="str">
        <f>IF(AND(_1="B-767-300ER",'2026'!$H$4="FO",'2026'!$H$2=AC157),'2026DATA'!$N$14,"")</f>
        <v/>
      </c>
      <c r="AD169" s="940"/>
      <c r="AE169" s="13" t="s">
        <v>62</v>
      </c>
      <c r="AF169" s="518" t="str">
        <f>IF(AND(_2="B-767-300ER",'2026'!$H$4="FO",'2026'!$H$2=AF157),'2026DATA'!$C$14,"")</f>
        <v/>
      </c>
      <c r="AG169" s="518" t="str">
        <f>IF(AND(_2="B-767-300ER",'2026'!$H$4="FO",'2026'!$H$2=AG157),'2026DATA'!$D$14,"")</f>
        <v/>
      </c>
      <c r="AH169" s="518" t="str">
        <f>IF(AND(_2="B-767-300ER",'2026'!$H$4="FO",'2026'!$H$2=AH157),'2026DATA'!$E$14,"")</f>
        <v/>
      </c>
      <c r="AI169" s="518" t="str">
        <f>IF(AND(_2="B-767-300ER",'2026'!$H$4="FO",'2026'!$H$2=AI157),'2026DATA'!$F$14,"")</f>
        <v/>
      </c>
      <c r="AJ169" s="518" t="str">
        <f>IF(AND(_2="B-767-300ER",'2026'!$H$4="FO",'2026'!$H$2=AJ157),'2026DATA'!$G$14,"")</f>
        <v/>
      </c>
      <c r="AK169" s="518" t="str">
        <f>IF(AND(_2="B-767-300ER",'2026'!$H$4="FO",'2026'!$H$2=AK157),'2026DATA'!$H$14,"")</f>
        <v/>
      </c>
      <c r="AL169" s="518" t="str">
        <f>IF(AND(_2="B-767-300ER",'2026'!$H$4="FO",'2026'!$H$2=AL157),'2026DATA'!$I$14,"")</f>
        <v/>
      </c>
      <c r="AM169" s="518" t="str">
        <f>IF(AND(_2="B-767-300ER",'2026'!$H$4="FO",'2026'!$H$2=AM157),'2026DATA'!$J$14,"")</f>
        <v/>
      </c>
      <c r="AN169" s="518" t="str">
        <f>IF(AND(_2="B-767-300ER",'2026'!$H$4="FO",'2026'!$H$2=AN157),'2026DATA'!$K$14,"")</f>
        <v/>
      </c>
      <c r="AO169" s="518" t="str">
        <f>IF(AND(_2="B-767-300ER",'2026'!$H$4="FO",'2026'!$H$2=AO157),'2026DATA'!$L$14,"")</f>
        <v/>
      </c>
      <c r="AP169" s="518" t="str">
        <f>IF(AND(_2="B-767-300ER",'2026'!$H$4="FO",'2026'!$H$2=AP157),'2026DATA'!$M$14,"")</f>
        <v/>
      </c>
      <c r="AQ169" s="520" t="str">
        <f>IF(AND(_2="B-767-300ER",'2026'!$H$4="FO",'2026'!$H$2=AQ157),'2026DATA'!$N$14,"")</f>
        <v/>
      </c>
      <c r="AR169" s="940"/>
      <c r="AS169" s="13" t="s">
        <v>62</v>
      </c>
      <c r="AT169" s="518" t="str">
        <f>IF(AND(_3="B-767-300ER",'2026'!$H$4="FO",'2026'!$H$2=AT157),'2026DATA'!$C$14,"")</f>
        <v/>
      </c>
      <c r="AU169" s="518" t="str">
        <f>IF(AND(_3="B-767-300ER",'2026'!$H$4="FO",'2026'!$H$2=AU157),'2026DATA'!$D$14,"")</f>
        <v/>
      </c>
      <c r="AV169" s="518" t="str">
        <f>IF(AND(_3="B-767-300ER",'2026'!$H$4="FO",'2026'!$H$2=AV157),'2026DATA'!$E$14,"")</f>
        <v/>
      </c>
      <c r="AW169" s="518" t="str">
        <f>IF(AND(_3="B-767-300ER",'2026'!$H$4="FO",'2026'!$H$2=AW157),'2026DATA'!$F$14,"")</f>
        <v/>
      </c>
      <c r="AX169" s="518" t="str">
        <f>IF(AND(_3="B-767-300ER",'2026'!$H$4="FO",'2026'!$H$2=AX157),'2026DATA'!$G$14,"")</f>
        <v/>
      </c>
      <c r="AY169" s="518" t="str">
        <f>IF(AND(_3="B-767-300ER",'2026'!$H$4="FO",'2026'!$H$2=AY157),'2026DATA'!$H$14,"")</f>
        <v/>
      </c>
      <c r="AZ169" s="518" t="str">
        <f>IF(AND(_3="B-767-300ER",'2026'!$H$4="FO",'2026'!$H$2=AZ157),'2026DATA'!$I$14,"")</f>
        <v/>
      </c>
      <c r="BA169" s="518" t="str">
        <f>IF(AND(_3="B-767-300ER",'2026'!$H$4="FO",'2026'!$H$2=BA157),'2026DATA'!$J$14,"")</f>
        <v/>
      </c>
      <c r="BB169" s="518" t="str">
        <f>IF(AND(_3="B-767-300ER",'2026'!$H$4="FO",'2026'!$H$2=BB157),'2026DATA'!$K$14,"")</f>
        <v/>
      </c>
      <c r="BC169" s="518" t="str">
        <f>IF(AND(_3="B-767-300ER",'2026'!$H$4="FO",'2026'!$H$2=BC157),'2026DATA'!$L$14,"")</f>
        <v/>
      </c>
      <c r="BD169" s="518" t="str">
        <f>IF(AND(_3="B-767-300ER",'2026'!$H$4="FO",'2026'!$H$2=BD157),'2026DATA'!$M$14,"")</f>
        <v/>
      </c>
      <c r="BE169" s="520" t="str">
        <f>IF(AND(_3="B-767-300ER",'2026'!$H$4="FO",'2026'!$H$2=BE157),'2026DATA'!$N$14,"")</f>
        <v/>
      </c>
      <c r="BF169" s="940"/>
      <c r="BG169" s="13" t="s">
        <v>62</v>
      </c>
      <c r="BH169" s="518" t="str">
        <f>IF(AND(_4="B-767-300ER",'2026'!$H$4="FO",'2026'!$H$2=BH157),'2026DATA'!$C$14,"")</f>
        <v/>
      </c>
      <c r="BI169" s="518" t="str">
        <f>IF(AND(_4="B-767-300ER",'2026'!$H$4="FO",'2026'!$H$2=BI157),'2026DATA'!$D$14,"")</f>
        <v/>
      </c>
      <c r="BJ169" s="518" t="str">
        <f>IF(AND(_4="B-767-300ER",'2026'!$H$4="FO",'2026'!$H$2=BJ157),'2026DATA'!$E$14,"")</f>
        <v/>
      </c>
      <c r="BK169" s="518" t="str">
        <f>IF(AND(_4="B-767-300ER",'2026'!$H$4="FO",'2026'!$H$2=BK157),'2026DATA'!$F$14,"")</f>
        <v/>
      </c>
      <c r="BL169" s="518" t="str">
        <f>IF(AND(_4="B-767-300ER",'2026'!$H$4="FO",'2026'!$H$2=BL157),'2026DATA'!$G$14,"")</f>
        <v/>
      </c>
      <c r="BM169" s="518" t="str">
        <f>IF(AND(_4="B-767-300ER",'2026'!$H$4="FO",'2026'!$H$2=BM157),'2026DATA'!$H$14,"")</f>
        <v/>
      </c>
      <c r="BN169" s="518" t="str">
        <f>IF(AND(_4="B-767-300ER",'2026'!$H$4="FO",'2026'!$H$2=BN157),'2026DATA'!$I$14,"")</f>
        <v/>
      </c>
      <c r="BO169" s="518" t="str">
        <f>IF(AND(_4="B-767-300ER",'2026'!$H$4="FO",'2026'!$H$2=BO157),'2026DATA'!$J$14,"")</f>
        <v/>
      </c>
      <c r="BP169" s="518" t="str">
        <f>IF(AND(_4="B-767-300ER",'2026'!$H$4="FO",'2026'!$H$2=BP157),'2026DATA'!$K$14,"")</f>
        <v/>
      </c>
      <c r="BQ169" s="518" t="str">
        <f>IF(AND(_4="B-767-300ER",'2026'!$H$4="FO",'2026'!$H$2=BQ157),'2026DATA'!$L$14,"")</f>
        <v/>
      </c>
      <c r="BR169" s="518" t="str">
        <f>IF(AND(_4="B-767-300ER",'2026'!$H$4="FO",'2026'!$H$2=BR157),'2026DATA'!$M$14,"")</f>
        <v/>
      </c>
      <c r="BS169" s="520" t="str">
        <f>IF(AND(_4="B-767-300ER",'2026'!$H$4="FO",'2026'!$H$2=BS157),'2026DATA'!$N$14,"")</f>
        <v/>
      </c>
      <c r="BT169" s="940"/>
      <c r="BU169" s="13" t="s">
        <v>62</v>
      </c>
      <c r="BV169" s="518" t="str">
        <f>IF(AND(_5="B-767-300ER",'2026'!$H$4="FO",'2026'!$H$2=BV157),'2026DATA'!$C$14,"")</f>
        <v/>
      </c>
      <c r="BW169" s="518" t="str">
        <f>IF(AND(_5="B-767-300ER",'2026'!$H$4="FO",'2026'!$H$2=BW157),'2026DATA'!$D$14,"")</f>
        <v/>
      </c>
      <c r="BX169" s="518" t="str">
        <f>IF(AND(_5="B-767-300ER",'2026'!$H$4="FO",'2026'!$H$2=BX157),'2026DATA'!$E$14,"")</f>
        <v/>
      </c>
      <c r="BY169" s="518" t="str">
        <f>IF(AND(_5="B-767-300ER",'2026'!$H$4="FO",'2026'!$H$2=BY157),'2026DATA'!$F$14,"")</f>
        <v/>
      </c>
      <c r="BZ169" s="518" t="str">
        <f>IF(AND(_5="B-767-300ER",'2026'!$H$4="FO",'2026'!$H$2=BZ157),'2026DATA'!$G$14,"")</f>
        <v/>
      </c>
      <c r="CA169" s="518" t="str">
        <f>IF(AND(_5="B-767-300ER",'2026'!$H$4="FO",'2026'!$H$2=CA157),'2026DATA'!$H$14,"")</f>
        <v/>
      </c>
      <c r="CB169" s="518" t="str">
        <f>IF(AND(_5="B-767-300ER",'2026'!$H$4="FO",'2026'!$H$2=CB157),'2026DATA'!$I$14,"")</f>
        <v/>
      </c>
      <c r="CC169" s="518" t="str">
        <f>IF(AND(_5="B-767-300ER",'2026'!$H$4="FO",'2026'!$H$2=CC157),'2026DATA'!$J$14,"")</f>
        <v/>
      </c>
      <c r="CD169" s="518" t="str">
        <f>IF(AND(_5="B-767-300ER",'2026'!$H$4="FO",'2026'!$H$2=CD157),'2026DATA'!$K$14,"")</f>
        <v/>
      </c>
      <c r="CE169" s="518" t="str">
        <f>IF(AND(_5="B-767-300ER",'2026'!$H$4="FO",'2026'!$H$2=CE157),'2026DATA'!$L$14,"")</f>
        <v/>
      </c>
      <c r="CF169" s="518" t="str">
        <f>IF(AND(_5="B-767-300ER",'2026'!$H$4="FO",'2026'!$H$2=CF157),'2026DATA'!$M$14,"")</f>
        <v/>
      </c>
      <c r="CG169" s="520" t="str">
        <f>IF(AND(_5="B-767-300ER",'2026'!$H$4="FO",'2026'!$H$2=CG157),'2026DATA'!$N$14,"")</f>
        <v/>
      </c>
      <c r="CH169" s="940"/>
      <c r="CI169" s="13" t="s">
        <v>62</v>
      </c>
      <c r="CJ169" s="518" t="str">
        <f>IF(AND(_6="B-767-300ER",'2026'!$H$4="FO",'2026'!$H$2=CJ157),'2026DATA'!$C$14,"")</f>
        <v/>
      </c>
      <c r="CK169" s="518" t="str">
        <f>IF(AND(_6="B-767-300ER",'2026'!$H$4="FO",'2026'!$H$2=CK157),'2026DATA'!$D$14,"")</f>
        <v/>
      </c>
      <c r="CL169" s="518" t="str">
        <f>IF(AND(_6="B-767-300ER",'2026'!$H$4="FO",'2026'!$H$2=CL157),'2026DATA'!$E$14,"")</f>
        <v/>
      </c>
      <c r="CM169" s="518" t="str">
        <f>IF(AND(_6="B-767-300ER",'2026'!$H$4="FO",'2026'!$H$2=CM157),'2026DATA'!$F$14,"")</f>
        <v/>
      </c>
      <c r="CN169" s="518" t="str">
        <f>IF(AND(_6="B-767-300ER",'2026'!$H$4="FO",'2026'!$H$2=CN157),'2026DATA'!$G$14,"")</f>
        <v/>
      </c>
      <c r="CO169" s="518" t="str">
        <f>IF(AND(_6="B-767-300ER",'2026'!$H$4="FO",'2026'!$H$2=CO157),'2026DATA'!$H$14,"")</f>
        <v/>
      </c>
      <c r="CP169" s="518" t="str">
        <f>IF(AND(_6="B-767-300ER",'2026'!$H$4="FO",'2026'!$H$2=CP157),'2026DATA'!$I$14,"")</f>
        <v/>
      </c>
      <c r="CQ169" s="518" t="str">
        <f>IF(AND(_6="B-767-300ER",'2026'!$H$4="FO",'2026'!$H$2=CQ157),'2026DATA'!$J$14,"")</f>
        <v/>
      </c>
      <c r="CR169" s="518" t="str">
        <f>IF(AND(_6="B-767-300ER",'2026'!$H$4="FO",'2026'!$H$2=CR157),'2026DATA'!$K$14,"")</f>
        <v/>
      </c>
      <c r="CS169" s="518" t="str">
        <f>IF(AND(_6="B-767-300ER",'2026'!$H$4="FO",'2026'!$H$2=CS157),'2026DATA'!$L$14,"")</f>
        <v/>
      </c>
      <c r="CT169" s="518" t="str">
        <f>IF(AND(_6="B-767-300ER",'2026'!$H$4="FO",'2026'!$H$2=CT157),'2026DATA'!$M$14,"")</f>
        <v/>
      </c>
      <c r="CU169" s="520" t="str">
        <f>IF(AND(_6="B-767-300ER",'2026'!$H$4="FO",'2026'!$H$2=CU157),'2026DATA'!$N$14,"")</f>
        <v/>
      </c>
    </row>
    <row r="170" spans="16:99" x14ac:dyDescent="0.25">
      <c r="P170" s="940" t="s">
        <v>67</v>
      </c>
      <c r="Q170" s="13" t="s">
        <v>61</v>
      </c>
      <c r="R170" s="518" t="str">
        <f>IF(AND(_1="B-767-300",'2026'!$H$4="CA",'2026'!$H$2=R157),'2026DATA'!$C$15,"")</f>
        <v/>
      </c>
      <c r="S170" s="518" t="str">
        <f>IF(AND(_1="B-767-300",'2026'!$H$4="CA",'2026'!$H$2=S157),'2026DATA'!$D$15,"")</f>
        <v/>
      </c>
      <c r="T170" s="518" t="str">
        <f>IF(AND(_1="B-767-300",'2026'!$H$4="CA",'2026'!$H$2=T157),'2026DATA'!$E$15,"")</f>
        <v/>
      </c>
      <c r="U170" s="518" t="str">
        <f>IF(AND(_1="B-767-300",'2026'!$H$4="CA",'2026'!$H$2=U157),'2026DATA'!$F$15,"")</f>
        <v/>
      </c>
      <c r="V170" s="518" t="str">
        <f>IF(AND(_1="B-767-300",'2026'!$H$4="CA",'2026'!$H$2=V157),'2026DATA'!$G$15,"")</f>
        <v/>
      </c>
      <c r="W170" s="518" t="str">
        <f>IF(AND(_1="B-767-300",'2026'!$H$4="CA",'2026'!$H$2=W157),'2026DATA'!$H$15,"")</f>
        <v/>
      </c>
      <c r="X170" s="518" t="str">
        <f>IF(AND(_1="B-767-300",'2026'!$H$4="CA",'2026'!$H$2=X157),'2026DATA'!$I$15,"")</f>
        <v/>
      </c>
      <c r="Y170" s="518" t="str">
        <f>IF(AND(_1="B-767-300",'2026'!$H$4="CA",'2026'!$H$2=Y157),'2026DATA'!$J$15,"")</f>
        <v/>
      </c>
      <c r="Z170" s="518" t="str">
        <f>IF(AND(_1="B-767-300",'2026'!$H$4="CA",'2026'!$H$2=Z157),'2026DATA'!$K$15,"")</f>
        <v/>
      </c>
      <c r="AA170" s="518" t="str">
        <f>IF(AND(_1="B-767-300",'2026'!$H$4="CA",'2026'!$H$2=AA157),'2026DATA'!$L$15,"")</f>
        <v/>
      </c>
      <c r="AB170" s="518" t="str">
        <f>IF(AND(_1="B-767-300",'2026'!$H$4="CA",'2026'!$H$2=AB157),'2026DATA'!$M$15,"")</f>
        <v/>
      </c>
      <c r="AC170" s="520" t="str">
        <f>IF(AND(_1="B-767-300",'2026'!$H$4="CA",'2026'!$H$2=AC157),'2026DATA'!$N$15,"")</f>
        <v/>
      </c>
      <c r="AD170" s="940" t="s">
        <v>67</v>
      </c>
      <c r="AE170" s="13" t="s">
        <v>61</v>
      </c>
      <c r="AF170" s="518" t="str">
        <f>IF(AND(_2="B-767-300",'2026'!$H$4="CA",'2026'!$H$2=AF157),'2026DATA'!$C$15,"")</f>
        <v/>
      </c>
      <c r="AG170" s="518" t="str">
        <f>IF(AND(_2="B-767-300",'2026'!$H$4="CA",'2026'!$H$2=AG157),'2026DATA'!$D$15,"")</f>
        <v/>
      </c>
      <c r="AH170" s="518" t="str">
        <f>IF(AND(_2="B-767-300",'2026'!$H$4="CA",'2026'!$H$2=AH157),'2026DATA'!$E$15,"")</f>
        <v/>
      </c>
      <c r="AI170" s="518" t="str">
        <f>IF(AND(_2="B-767-300",'2026'!$H$4="CA",'2026'!$H$2=AI157),'2026DATA'!$F$15,"")</f>
        <v/>
      </c>
      <c r="AJ170" s="518" t="str">
        <f>IF(AND(_2="B-767-300",'2026'!$H$4="CA",'2026'!$H$2=AJ157),'2026DATA'!$G$15,"")</f>
        <v/>
      </c>
      <c r="AK170" s="518" t="str">
        <f>IF(AND(_2="B-767-300",'2026'!$H$4="CA",'2026'!$H$2=AK157),'2026DATA'!$H$15,"")</f>
        <v/>
      </c>
      <c r="AL170" s="518" t="str">
        <f>IF(AND(_2="B-767-300",'2026'!$H$4="CA",'2026'!$H$2=AL157),'2026DATA'!$I$15,"")</f>
        <v/>
      </c>
      <c r="AM170" s="518" t="str">
        <f>IF(AND(_2="B-767-300",'2026'!$H$4="CA",'2026'!$H$2=AM157),'2026DATA'!$J$15,"")</f>
        <v/>
      </c>
      <c r="AN170" s="518" t="str">
        <f>IF(AND(_2="B-767-300",'2026'!$H$4="CA",'2026'!$H$2=AN157),'2026DATA'!$K$15,"")</f>
        <v/>
      </c>
      <c r="AO170" s="518" t="str">
        <f>IF(AND(_2="B-767-300",'2026'!$H$4="CA",'2026'!$H$2=AO157),'2026DATA'!$L$15,"")</f>
        <v/>
      </c>
      <c r="AP170" s="518" t="str">
        <f>IF(AND(_2="B-767-300",'2026'!$H$4="CA",'2026'!$H$2=AP157),'2026DATA'!$M$15,"")</f>
        <v/>
      </c>
      <c r="AQ170" s="520" t="str">
        <f>IF(AND(_2="B-767-300",'2026'!$H$4="CA",'2026'!$H$2=AQ157),'2026DATA'!$N$15,"")</f>
        <v/>
      </c>
      <c r="AR170" s="940" t="s">
        <v>67</v>
      </c>
      <c r="AS170" s="13" t="s">
        <v>61</v>
      </c>
      <c r="AT170" s="518" t="str">
        <f>IF(AND(_3="B-767-300",'2026'!$H$4="CA",'2026'!$H$2=AT157),'2026DATA'!$C$15,"")</f>
        <v/>
      </c>
      <c r="AU170" s="518" t="str">
        <f>IF(AND(_3="B-767-300",'2026'!$H$4="CA",'2026'!$H$2=AU157),'2026DATA'!$D$15,"")</f>
        <v/>
      </c>
      <c r="AV170" s="518" t="str">
        <f>IF(AND(_3="B-767-300",'2026'!$H$4="CA",'2026'!$H$2=AV157),'2026DATA'!$E$15,"")</f>
        <v/>
      </c>
      <c r="AW170" s="518" t="str">
        <f>IF(AND(_3="B-767-300",'2026'!$H$4="CA",'2026'!$H$2=AW157),'2026DATA'!$F$15,"")</f>
        <v/>
      </c>
      <c r="AX170" s="518" t="str">
        <f>IF(AND(_3="B-767-300",'2026'!$H$4="CA",'2026'!$H$2=AX157),'2026DATA'!$G$15,"")</f>
        <v/>
      </c>
      <c r="AY170" s="518" t="str">
        <f>IF(AND(_3="B-767-300",'2026'!$H$4="CA",'2026'!$H$2=AY157),'2026DATA'!$H$15,"")</f>
        <v/>
      </c>
      <c r="AZ170" s="518" t="str">
        <f>IF(AND(_3="B-767-300",'2026'!$H$4="CA",'2026'!$H$2=AZ157),'2026DATA'!$I$15,"")</f>
        <v/>
      </c>
      <c r="BA170" s="518" t="str">
        <f>IF(AND(_3="B-767-300",'2026'!$H$4="CA",'2026'!$H$2=BA157),'2026DATA'!$J$15,"")</f>
        <v/>
      </c>
      <c r="BB170" s="518" t="str">
        <f>IF(AND(_3="B-767-300",'2026'!$H$4="CA",'2026'!$H$2=BB157),'2026DATA'!$K$15,"")</f>
        <v/>
      </c>
      <c r="BC170" s="518" t="str">
        <f>IF(AND(_3="B-767-300",'2026'!$H$4="CA",'2026'!$H$2=BC157),'2026DATA'!$L$15,"")</f>
        <v/>
      </c>
      <c r="BD170" s="518" t="str">
        <f>IF(AND(_3="B-767-300",'2026'!$H$4="CA",'2026'!$H$2=BD157),'2026DATA'!$M$15,"")</f>
        <v/>
      </c>
      <c r="BE170" s="520" t="str">
        <f>IF(AND(_3="B-767-300",'2026'!$H$4="CA",'2026'!$H$2=BE157),'2026DATA'!$N$15,"")</f>
        <v/>
      </c>
      <c r="BF170" s="940" t="s">
        <v>67</v>
      </c>
      <c r="BG170" s="13" t="s">
        <v>61</v>
      </c>
      <c r="BH170" s="518" t="str">
        <f>IF(AND(_4="B-767-300",'2026'!$H$4="CA",'2026'!$H$2=BH157),'2026DATA'!$C$15,"")</f>
        <v/>
      </c>
      <c r="BI170" s="518" t="str">
        <f>IF(AND(_4="B-767-300",'2026'!$H$4="CA",'2026'!$H$2=BI157),'2026DATA'!$D$15,"")</f>
        <v/>
      </c>
      <c r="BJ170" s="518" t="str">
        <f>IF(AND(_4="B-767-300",'2026'!$H$4="CA",'2026'!$H$2=BJ157),'2026DATA'!$E$15,"")</f>
        <v/>
      </c>
      <c r="BK170" s="518" t="str">
        <f>IF(AND(_4="B-767-300",'2026'!$H$4="CA",'2026'!$H$2=BK157),'2026DATA'!$F$15,"")</f>
        <v/>
      </c>
      <c r="BL170" s="518" t="str">
        <f>IF(AND(_4="B-767-300",'2026'!$H$4="CA",'2026'!$H$2=BL157),'2026DATA'!$G$15,"")</f>
        <v/>
      </c>
      <c r="BM170" s="518" t="str">
        <f>IF(AND(_4="B-767-300",'2026'!$H$4="CA",'2026'!$H$2=BM157),'2026DATA'!$H$15,"")</f>
        <v/>
      </c>
      <c r="BN170" s="518" t="str">
        <f>IF(AND(_4="B-767-300",'2026'!$H$4="CA",'2026'!$H$2=BN157),'2026DATA'!$I$15,"")</f>
        <v/>
      </c>
      <c r="BO170" s="518" t="str">
        <f>IF(AND(_4="B-767-300",'2026'!$H$4="CA",'2026'!$H$2=BO157),'2026DATA'!$J$15,"")</f>
        <v/>
      </c>
      <c r="BP170" s="518" t="str">
        <f>IF(AND(_4="B-767-300",'2026'!$H$4="CA",'2026'!$H$2=BP157),'2026DATA'!$K$15,"")</f>
        <v/>
      </c>
      <c r="BQ170" s="518" t="str">
        <f>IF(AND(_4="B-767-300",'2026'!$H$4="CA",'2026'!$H$2=BQ157),'2026DATA'!$L$15,"")</f>
        <v/>
      </c>
      <c r="BR170" s="518" t="str">
        <f>IF(AND(_4="B-767-300",'2026'!$H$4="CA",'2026'!$H$2=BR157),'2026DATA'!$M$15,"")</f>
        <v/>
      </c>
      <c r="BS170" s="520" t="str">
        <f>IF(AND(_4="B-767-300",'2026'!$H$4="CA",'2026'!$H$2=BS157),'2026DATA'!$N$15,"")</f>
        <v/>
      </c>
      <c r="BT170" s="940" t="s">
        <v>67</v>
      </c>
      <c r="BU170" s="13" t="s">
        <v>61</v>
      </c>
      <c r="BV170" s="518" t="str">
        <f>IF(AND(_5="B-767-300",'2026'!$H$4="CA",'2026'!$H$2=BV157),'2026DATA'!$C$15,"")</f>
        <v/>
      </c>
      <c r="BW170" s="518" t="str">
        <f>IF(AND(_5="B-767-300",'2026'!$H$4="CA",'2026'!$H$2=BW157),'2026DATA'!$D$15,"")</f>
        <v/>
      </c>
      <c r="BX170" s="518" t="str">
        <f>IF(AND(_5="B-767-300",'2026'!$H$4="CA",'2026'!$H$2=BX157),'2026DATA'!$E$15,"")</f>
        <v/>
      </c>
      <c r="BY170" s="518" t="str">
        <f>IF(AND(_5="B-767-300",'2026'!$H$4="CA",'2026'!$H$2=BY157),'2026DATA'!$F$15,"")</f>
        <v/>
      </c>
      <c r="BZ170" s="518" t="str">
        <f>IF(AND(_5="B-767-300",'2026'!$H$4="CA",'2026'!$H$2=BZ157),'2026DATA'!$G$15,"")</f>
        <v/>
      </c>
      <c r="CA170" s="518" t="str">
        <f>IF(AND(_5="B-767-300",'2026'!$H$4="CA",'2026'!$H$2=CA157),'2026DATA'!$H$15,"")</f>
        <v/>
      </c>
      <c r="CB170" s="518" t="str">
        <f>IF(AND(_5="B-767-300",'2026'!$H$4="CA",'2026'!$H$2=CB157),'2026DATA'!$I$15,"")</f>
        <v/>
      </c>
      <c r="CC170" s="518" t="str">
        <f>IF(AND(_5="B-767-300",'2026'!$H$4="CA",'2026'!$H$2=CC157),'2026DATA'!$J$15,"")</f>
        <v/>
      </c>
      <c r="CD170" s="518" t="str">
        <f>IF(AND(_5="B-767-300",'2026'!$H$4="CA",'2026'!$H$2=CD157),'2026DATA'!$K$15,"")</f>
        <v/>
      </c>
      <c r="CE170" s="518" t="str">
        <f>IF(AND(_5="B-767-300",'2026'!$H$4="CA",'2026'!$H$2=CE157),'2026DATA'!$L$15,"")</f>
        <v/>
      </c>
      <c r="CF170" s="518" t="str">
        <f>IF(AND(_5="B-767-300",'2026'!$H$4="CA",'2026'!$H$2=CF157),'2026DATA'!$M$15,"")</f>
        <v/>
      </c>
      <c r="CG170" s="520" t="str">
        <f>IF(AND(_5="B-767-300",'2026'!$H$4="CA",'2026'!$H$2=CG157),'2026DATA'!$N$15,"")</f>
        <v/>
      </c>
      <c r="CH170" s="940" t="s">
        <v>67</v>
      </c>
      <c r="CI170" s="13" t="s">
        <v>61</v>
      </c>
      <c r="CJ170" s="518" t="str">
        <f>IF(AND(_6="B-767-300",'2026'!$H$4="CA",'2026'!$H$2=CJ157),'2026DATA'!$C$15,"")</f>
        <v/>
      </c>
      <c r="CK170" s="518" t="str">
        <f>IF(AND(_6="B-767-300",'2026'!$H$4="CA",'2026'!$H$2=CK157),'2026DATA'!$D$15,"")</f>
        <v/>
      </c>
      <c r="CL170" s="518" t="str">
        <f>IF(AND(_6="B-767-300",'2026'!$H$4="CA",'2026'!$H$2=CL157),'2026DATA'!$E$15,"")</f>
        <v/>
      </c>
      <c r="CM170" s="518" t="str">
        <f>IF(AND(_6="B-767-300",'2026'!$H$4="CA",'2026'!$H$2=CM157),'2026DATA'!$F$15,"")</f>
        <v/>
      </c>
      <c r="CN170" s="518" t="str">
        <f>IF(AND(_6="B-767-300",'2026'!$H$4="CA",'2026'!$H$2=CN157),'2026DATA'!$G$15,"")</f>
        <v/>
      </c>
      <c r="CO170" s="518" t="str">
        <f>IF(AND(_6="B-767-300",'2026'!$H$4="CA",'2026'!$H$2=CO157),'2026DATA'!$H$15,"")</f>
        <v/>
      </c>
      <c r="CP170" s="518" t="str">
        <f>IF(AND(_6="B-767-300",'2026'!$H$4="CA",'2026'!$H$2=CP157),'2026DATA'!$I$15,"")</f>
        <v/>
      </c>
      <c r="CQ170" s="518" t="str">
        <f>IF(AND(_6="B-767-300",'2026'!$H$4="CA",'2026'!$H$2=CQ157),'2026DATA'!$J$15,"")</f>
        <v/>
      </c>
      <c r="CR170" s="518" t="str">
        <f>IF(AND(_6="B-767-300",'2026'!$H$4="CA",'2026'!$H$2=CR157),'2026DATA'!$K$15,"")</f>
        <v/>
      </c>
      <c r="CS170" s="518" t="str">
        <f>IF(AND(_6="B-767-300",'2026'!$H$4="CA",'2026'!$H$2=CS157),'2026DATA'!$L$15,"")</f>
        <v/>
      </c>
      <c r="CT170" s="518" t="str">
        <f>IF(AND(_6="B-767-300",'2026'!$H$4="CA",'2026'!$H$2=CT157),'2026DATA'!$M$15,"")</f>
        <v/>
      </c>
      <c r="CU170" s="520" t="str">
        <f>IF(AND(_6="B-767-300",'2026'!$H$4="CA",'2026'!$H$2=CU157),'2026DATA'!$N$15,"")</f>
        <v/>
      </c>
    </row>
    <row r="171" spans="16:99" x14ac:dyDescent="0.25">
      <c r="P171" s="940"/>
      <c r="Q171" s="13" t="s">
        <v>62</v>
      </c>
      <c r="R171" s="518" t="str">
        <f>IF(AND(_1="B-767-300",'2026'!$H$4="FO",'2026'!$H$2=R157),'2026DATA'!$C$16,"")</f>
        <v/>
      </c>
      <c r="S171" s="518" t="str">
        <f>IF(AND(_1="B-767-300",'2026'!$H$4="FO",'2026'!$H$2=S157),'2026DATA'!$D$16,"")</f>
        <v/>
      </c>
      <c r="T171" s="518" t="str">
        <f>IF(AND(_1="B-767-300",'2026'!$H$4="FO",'2026'!$H$2=T157),'2026DATA'!$E$16,"")</f>
        <v/>
      </c>
      <c r="U171" s="518" t="str">
        <f>IF(AND(_1="B-767-300",'2026'!$H$4="FO",'2026'!$H$2=U157),'2026DATA'!$F$16,"")</f>
        <v/>
      </c>
      <c r="V171" s="518" t="str">
        <f>IF(AND(_1="B-767-300",'2026'!$H$4="FO",'2026'!$H$2=V157),'2026DATA'!$G$16,"")</f>
        <v/>
      </c>
      <c r="W171" s="518" t="str">
        <f>IF(AND(_1="B-767-300",'2026'!$H$4="FO",'2026'!$H$2=W157),'2026DATA'!$H$16,"")</f>
        <v/>
      </c>
      <c r="X171" s="518" t="str">
        <f>IF(AND(_1="B-767-300",'2026'!$H$4="FO",'2026'!$H$2=X157),'2026DATA'!$I$16,"")</f>
        <v/>
      </c>
      <c r="Y171" s="518" t="str">
        <f>IF(AND(_1="B-767-300",'2026'!$H$4="FO",'2026'!$H$2=Y157),'2026DATA'!$J$16,"")</f>
        <v/>
      </c>
      <c r="Z171" s="518" t="str">
        <f>IF(AND(_1="B-767-300",'2026'!$H$4="FO",'2026'!$H$2=Z157),'2026DATA'!$K$16,"")</f>
        <v/>
      </c>
      <c r="AA171" s="518" t="str">
        <f>IF(AND(_1="B-767-300",'2026'!$H$4="FO",'2026'!$H$2=AA157),'2026DATA'!$L$16,"")</f>
        <v/>
      </c>
      <c r="AB171" s="518" t="str">
        <f>IF(AND(_1="B-767-300",'2026'!$H$4="FO",'2026'!$H$2=AB157),'2026DATA'!$M$16,"")</f>
        <v/>
      </c>
      <c r="AC171" s="520" t="str">
        <f>IF(AND(_1="B-767-300",'2026'!$H$4="FO",'2026'!$H$2=AC157),'2026DATA'!$N$16,"")</f>
        <v/>
      </c>
      <c r="AD171" s="940"/>
      <c r="AE171" s="13" t="s">
        <v>62</v>
      </c>
      <c r="AF171" s="518" t="str">
        <f>IF(AND(_2="B-767-300",'2026'!$H$4="FO",'2026'!$H$2=AF157),'2026DATA'!$C$16,"")</f>
        <v/>
      </c>
      <c r="AG171" s="518" t="str">
        <f>IF(AND(_2="B-767-300",'2026'!$H$4="FO",'2026'!$H$2=AG157),'2026DATA'!$D$16,"")</f>
        <v/>
      </c>
      <c r="AH171" s="518" t="str">
        <f>IF(AND(_2="B-767-300",'2026'!$H$4="FO",'2026'!$H$2=AH157),'2026DATA'!$E$16,"")</f>
        <v/>
      </c>
      <c r="AI171" s="518" t="str">
        <f>IF(AND(_2="B-767-300",'2026'!$H$4="FO",'2026'!$H$2=AI157),'2026DATA'!$F$16,"")</f>
        <v/>
      </c>
      <c r="AJ171" s="518" t="str">
        <f>IF(AND(_2="B-767-300",'2026'!$H$4="FO",'2026'!$H$2=AJ157),'2026DATA'!$G$16,"")</f>
        <v/>
      </c>
      <c r="AK171" s="518" t="str">
        <f>IF(AND(_2="B-767-300",'2026'!$H$4="FO",'2026'!$H$2=AK157),'2026DATA'!$H$16,"")</f>
        <v/>
      </c>
      <c r="AL171" s="518" t="str">
        <f>IF(AND(_2="B-767-300",'2026'!$H$4="FO",'2026'!$H$2=AL157),'2026DATA'!$I$16,"")</f>
        <v/>
      </c>
      <c r="AM171" s="518" t="str">
        <f>IF(AND(_2="B-767-300",'2026'!$H$4="FO",'2026'!$H$2=AM157),'2026DATA'!$J$16,"")</f>
        <v/>
      </c>
      <c r="AN171" s="518" t="str">
        <f>IF(AND(_2="B-767-300",'2026'!$H$4="FO",'2026'!$H$2=AN157),'2026DATA'!$K$16,"")</f>
        <v/>
      </c>
      <c r="AO171" s="518" t="str">
        <f>IF(AND(_2="B-767-300",'2026'!$H$4="FO",'2026'!$H$2=AO157),'2026DATA'!$L$16,"")</f>
        <v/>
      </c>
      <c r="AP171" s="518" t="str">
        <f>IF(AND(_2="B-767-300",'2026'!$H$4="FO",'2026'!$H$2=AP157),'2026DATA'!$M$16,"")</f>
        <v/>
      </c>
      <c r="AQ171" s="520" t="str">
        <f>IF(AND(_2="B-767-300",'2026'!$H$4="FO",'2026'!$H$2=AQ157),'2026DATA'!$N$16,"")</f>
        <v/>
      </c>
      <c r="AR171" s="940"/>
      <c r="AS171" s="13" t="s">
        <v>62</v>
      </c>
      <c r="AT171" s="518" t="str">
        <f>IF(AND(_3="B-767-300",'2026'!$H$4="FO",'2026'!$H$2=AT157),'2026DATA'!$C$16,"")</f>
        <v/>
      </c>
      <c r="AU171" s="518" t="str">
        <f>IF(AND(_3="B-767-300",'2026'!$H$4="FO",'2026'!$H$2=AU157),'2026DATA'!$D$16,"")</f>
        <v/>
      </c>
      <c r="AV171" s="518" t="str">
        <f>IF(AND(_3="B-767-300",'2026'!$H$4="FO",'2026'!$H$2=AV157),'2026DATA'!$E$16,"")</f>
        <v/>
      </c>
      <c r="AW171" s="518" t="str">
        <f>IF(AND(_3="B-767-300",'2026'!$H$4="FO",'2026'!$H$2=AW157),'2026DATA'!$F$16,"")</f>
        <v/>
      </c>
      <c r="AX171" s="518" t="str">
        <f>IF(AND(_3="B-767-300",'2026'!$H$4="FO",'2026'!$H$2=AX157),'2026DATA'!$G$16,"")</f>
        <v/>
      </c>
      <c r="AY171" s="518" t="str">
        <f>IF(AND(_3="B-767-300",'2026'!$H$4="FO",'2026'!$H$2=AY157),'2026DATA'!$H$16,"")</f>
        <v/>
      </c>
      <c r="AZ171" s="518" t="str">
        <f>IF(AND(_3="B-767-300",'2026'!$H$4="FO",'2026'!$H$2=AZ157),'2026DATA'!$I$16,"")</f>
        <v/>
      </c>
      <c r="BA171" s="518" t="str">
        <f>IF(AND(_3="B-767-300",'2026'!$H$4="FO",'2026'!$H$2=BA157),'2026DATA'!$J$16,"")</f>
        <v/>
      </c>
      <c r="BB171" s="518" t="str">
        <f>IF(AND(_3="B-767-300",'2026'!$H$4="FO",'2026'!$H$2=BB157),'2026DATA'!$K$16,"")</f>
        <v/>
      </c>
      <c r="BC171" s="518" t="str">
        <f>IF(AND(_3="B-767-300",'2026'!$H$4="FO",'2026'!$H$2=BC157),'2026DATA'!$L$16,"")</f>
        <v/>
      </c>
      <c r="BD171" s="518" t="str">
        <f>IF(AND(_3="B-767-300",'2026'!$H$4="FO",'2026'!$H$2=BD157),'2026DATA'!$M$16,"")</f>
        <v/>
      </c>
      <c r="BE171" s="520" t="str">
        <f>IF(AND(_3="B-767-300",'2026'!$H$4="FO",'2026'!$H$2=BE157),'2026DATA'!$N$16,"")</f>
        <v/>
      </c>
      <c r="BF171" s="940"/>
      <c r="BG171" s="13" t="s">
        <v>62</v>
      </c>
      <c r="BH171" s="518" t="str">
        <f>IF(AND(_4="B-767-300",'2026'!$H$4="FO",'2026'!$H$2=BH157),'2026DATA'!$C$16,"")</f>
        <v/>
      </c>
      <c r="BI171" s="518" t="str">
        <f>IF(AND(_4="B-767-300",'2026'!$H$4="FO",'2026'!$H$2=BI157),'2026DATA'!$D$16,"")</f>
        <v/>
      </c>
      <c r="BJ171" s="518" t="str">
        <f>IF(AND(_4="B-767-300",'2026'!$H$4="FO",'2026'!$H$2=BJ157),'2026DATA'!$E$16,"")</f>
        <v/>
      </c>
      <c r="BK171" s="518" t="str">
        <f>IF(AND(_4="B-767-300",'2026'!$H$4="FO",'2026'!$H$2=BK157),'2026DATA'!$F$16,"")</f>
        <v/>
      </c>
      <c r="BL171" s="518" t="str">
        <f>IF(AND(_4="B-767-300",'2026'!$H$4="FO",'2026'!$H$2=BL157),'2026DATA'!$G$16,"")</f>
        <v/>
      </c>
      <c r="BM171" s="518" t="str">
        <f>IF(AND(_4="B-767-300",'2026'!$H$4="FO",'2026'!$H$2=BM157),'2026DATA'!$H$16,"")</f>
        <v/>
      </c>
      <c r="BN171" s="518" t="str">
        <f>IF(AND(_4="B-767-300",'2026'!$H$4="FO",'2026'!$H$2=BN157),'2026DATA'!$I$16,"")</f>
        <v/>
      </c>
      <c r="BO171" s="518" t="str">
        <f>IF(AND(_4="B-767-300",'2026'!$H$4="FO",'2026'!$H$2=BO157),'2026DATA'!$J$16,"")</f>
        <v/>
      </c>
      <c r="BP171" s="518" t="str">
        <f>IF(AND(_4="B-767-300",'2026'!$H$4="FO",'2026'!$H$2=BP157),'2026DATA'!$K$16,"")</f>
        <v/>
      </c>
      <c r="BQ171" s="518" t="str">
        <f>IF(AND(_4="B-767-300",'2026'!$H$4="FO",'2026'!$H$2=BQ157),'2026DATA'!$L$16,"")</f>
        <v/>
      </c>
      <c r="BR171" s="518" t="str">
        <f>IF(AND(_4="B-767-300",'2026'!$H$4="FO",'2026'!$H$2=BR157),'2026DATA'!$M$16,"")</f>
        <v/>
      </c>
      <c r="BS171" s="520" t="str">
        <f>IF(AND(_4="B-767-300",'2026'!$H$4="FO",'2026'!$H$2=BS157),'2026DATA'!$N$16,"")</f>
        <v/>
      </c>
      <c r="BT171" s="940"/>
      <c r="BU171" s="13" t="s">
        <v>62</v>
      </c>
      <c r="BV171" s="518" t="str">
        <f>IF(AND(_5="B-767-300",'2026'!$H$4="FO",'2026'!$H$2=BV157),'2026DATA'!$C$16,"")</f>
        <v/>
      </c>
      <c r="BW171" s="518" t="str">
        <f>IF(AND(_5="B-767-300",'2026'!$H$4="FO",'2026'!$H$2=BW157),'2026DATA'!$D$16,"")</f>
        <v/>
      </c>
      <c r="BX171" s="518" t="str">
        <f>IF(AND(_5="B-767-300",'2026'!$H$4="FO",'2026'!$H$2=BX157),'2026DATA'!$E$16,"")</f>
        <v/>
      </c>
      <c r="BY171" s="518" t="str">
        <f>IF(AND(_5="B-767-300",'2026'!$H$4="FO",'2026'!$H$2=BY157),'2026DATA'!$F$16,"")</f>
        <v/>
      </c>
      <c r="BZ171" s="518" t="str">
        <f>IF(AND(_5="B-767-300",'2026'!$H$4="FO",'2026'!$H$2=BZ157),'2026DATA'!$G$16,"")</f>
        <v/>
      </c>
      <c r="CA171" s="518" t="str">
        <f>IF(AND(_5="B-767-300",'2026'!$H$4="FO",'2026'!$H$2=CA157),'2026DATA'!$H$16,"")</f>
        <v/>
      </c>
      <c r="CB171" s="518" t="str">
        <f>IF(AND(_5="B-767-300",'2026'!$H$4="FO",'2026'!$H$2=CB157),'2026DATA'!$I$16,"")</f>
        <v/>
      </c>
      <c r="CC171" s="518" t="str">
        <f>IF(AND(_5="B-767-300",'2026'!$H$4="FO",'2026'!$H$2=CC157),'2026DATA'!$J$16,"")</f>
        <v/>
      </c>
      <c r="CD171" s="518" t="str">
        <f>IF(AND(_5="B-767-300",'2026'!$H$4="FO",'2026'!$H$2=CD157),'2026DATA'!$K$16,"")</f>
        <v/>
      </c>
      <c r="CE171" s="518" t="str">
        <f>IF(AND(_5="B-767-300",'2026'!$H$4="FO",'2026'!$H$2=CE157),'2026DATA'!$L$16,"")</f>
        <v/>
      </c>
      <c r="CF171" s="518" t="str">
        <f>IF(AND(_5="B-767-300",'2026'!$H$4="FO",'2026'!$H$2=CF157),'2026DATA'!$M$16,"")</f>
        <v/>
      </c>
      <c r="CG171" s="520" t="str">
        <f>IF(AND(_5="B-767-300",'2026'!$H$4="FO",'2026'!$H$2=CG157),'2026DATA'!$N$16,"")</f>
        <v/>
      </c>
      <c r="CH171" s="940"/>
      <c r="CI171" s="13" t="s">
        <v>62</v>
      </c>
      <c r="CJ171" s="518" t="str">
        <f>IF(AND(_6="B-767-300",'2026'!$H$4="FO",'2026'!$H$2=CJ157),'2026DATA'!$C$16,"")</f>
        <v/>
      </c>
      <c r="CK171" s="518" t="str">
        <f>IF(AND(_6="B-767-300",'2026'!$H$4="FO",'2026'!$H$2=CK157),'2026DATA'!$D$16,"")</f>
        <v/>
      </c>
      <c r="CL171" s="518" t="str">
        <f>IF(AND(_6="B-767-300",'2026'!$H$4="FO",'2026'!$H$2=CL157),'2026DATA'!$E$16,"")</f>
        <v/>
      </c>
      <c r="CM171" s="518" t="str">
        <f>IF(AND(_6="B-767-300",'2026'!$H$4="FO",'2026'!$H$2=CM157),'2026DATA'!$F$16,"")</f>
        <v/>
      </c>
      <c r="CN171" s="518" t="str">
        <f>IF(AND(_6="B-767-300",'2026'!$H$4="FO",'2026'!$H$2=CN157),'2026DATA'!$G$16,"")</f>
        <v/>
      </c>
      <c r="CO171" s="518" t="str">
        <f>IF(AND(_6="B-767-300",'2026'!$H$4="FO",'2026'!$H$2=CO157),'2026DATA'!$H$16,"")</f>
        <v/>
      </c>
      <c r="CP171" s="518" t="str">
        <f>IF(AND(_6="B-767-300",'2026'!$H$4="FO",'2026'!$H$2=CP157),'2026DATA'!$I$16,"")</f>
        <v/>
      </c>
      <c r="CQ171" s="518" t="str">
        <f>IF(AND(_6="B-767-300",'2026'!$H$4="FO",'2026'!$H$2=CQ157),'2026DATA'!$J$16,"")</f>
        <v/>
      </c>
      <c r="CR171" s="518" t="str">
        <f>IF(AND(_6="B-767-300",'2026'!$H$4="FO",'2026'!$H$2=CR157),'2026DATA'!$K$16,"")</f>
        <v/>
      </c>
      <c r="CS171" s="518" t="str">
        <f>IF(AND(_6="B-767-300",'2026'!$H$4="FO",'2026'!$H$2=CS157),'2026DATA'!$L$16,"")</f>
        <v/>
      </c>
      <c r="CT171" s="518" t="str">
        <f>IF(AND(_6="B-767-300",'2026'!$H$4="FO",'2026'!$H$2=CT157),'2026DATA'!$M$16,"")</f>
        <v/>
      </c>
      <c r="CU171" s="520" t="str">
        <f>IF(AND(_6="B-767-300",'2026'!$H$4="FO",'2026'!$H$2=CU157),'2026DATA'!$N$16,"")</f>
        <v/>
      </c>
    </row>
    <row r="172" spans="16:99" x14ac:dyDescent="0.25">
      <c r="P172" s="940" t="s">
        <v>68</v>
      </c>
      <c r="Q172" s="13" t="s">
        <v>61</v>
      </c>
      <c r="R172" s="518" t="str">
        <f>IF(AND(_1="B-767-200",'2026'!$H$4="CA",'2026'!$H$2=R157),'2026DATA'!$C$17,"")</f>
        <v/>
      </c>
      <c r="S172" s="518" t="str">
        <f>IF(AND(_1="B-767-200",'2026'!$H$4="CA",'2026'!$H$2=S157),'2026DATA'!$D$17,"")</f>
        <v/>
      </c>
      <c r="T172" s="518" t="str">
        <f>IF(AND(_1="B-767-200",'2026'!$H$4="CA",'2026'!$H$2=T157),'2026DATA'!$E$17,"")</f>
        <v/>
      </c>
      <c r="U172" s="518" t="str">
        <f>IF(AND(_1="B-767-200",'2026'!$H$4="CA",'2026'!$H$2=U157),'2026DATA'!$F$17,"")</f>
        <v/>
      </c>
      <c r="V172" s="518" t="str">
        <f>IF(AND(_1="B-767-200",'2026'!$H$4="CA",'2026'!$H$2=V157),'2026DATA'!$G$17,"")</f>
        <v/>
      </c>
      <c r="W172" s="518" t="str">
        <f>IF(AND(_1="B-767-200",'2026'!$H$4="CA",'2026'!$H$2=W157),'2026DATA'!$H$17,"")</f>
        <v/>
      </c>
      <c r="X172" s="518" t="str">
        <f>IF(AND(_1="B-767-200",'2026'!$H$4="CA",'2026'!$H$2=X157),'2026DATA'!$I$17,"")</f>
        <v/>
      </c>
      <c r="Y172" s="518" t="str">
        <f>IF(AND(_1="B-767-200",'2026'!$H$4="CA",'2026'!$H$2=Y157),'2026DATA'!$J$17,"")</f>
        <v/>
      </c>
      <c r="Z172" s="518" t="str">
        <f>IF(AND(_1="B-767-200",'2026'!$H$4="CA",'2026'!$H$2=Z157),'2026DATA'!$K$17,"")</f>
        <v/>
      </c>
      <c r="AA172" s="518" t="str">
        <f>IF(AND(_1="B-767-200",'2026'!$H$4="CA",'2026'!$H$2=AA157),'2026DATA'!$L$17,"")</f>
        <v/>
      </c>
      <c r="AB172" s="518" t="str">
        <f>IF(AND(_1="B-767-200",'2026'!$H$4="CA",'2026'!$H$2=AB157),'2026DATA'!$M$17,"")</f>
        <v/>
      </c>
      <c r="AC172" s="520" t="str">
        <f>IF(AND(_1="B-767-200",'2026'!$H$4="CA",'2026'!$H$2=AC157),'2026DATA'!$N$17,"")</f>
        <v/>
      </c>
      <c r="AD172" s="940" t="s">
        <v>68</v>
      </c>
      <c r="AE172" s="13" t="s">
        <v>61</v>
      </c>
      <c r="AF172" s="518" t="str">
        <f>IF(AND(_2="B-767-200",'2026'!$H$4="CA",'2026'!$H$2=AF157),'2026DATA'!$C$17,"")</f>
        <v/>
      </c>
      <c r="AG172" s="518" t="str">
        <f>IF(AND(_2="B-767-200",'2026'!$H$4="CA",'2026'!$H$2=AG157),'2026DATA'!$D$17,"")</f>
        <v/>
      </c>
      <c r="AH172" s="518" t="str">
        <f>IF(AND(_2="B-767-200",'2026'!$H$4="CA",'2026'!$H$2=AH157),'2026DATA'!$E$17,"")</f>
        <v/>
      </c>
      <c r="AI172" s="518" t="str">
        <f>IF(AND(_2="B-767-200",'2026'!$H$4="CA",'2026'!$H$2=AI157),'2026DATA'!$F$17,"")</f>
        <v/>
      </c>
      <c r="AJ172" s="518" t="str">
        <f>IF(AND(_2="B-767-200",'2026'!$H$4="CA",'2026'!$H$2=AJ157),'2026DATA'!$G$17,"")</f>
        <v/>
      </c>
      <c r="AK172" s="518" t="str">
        <f>IF(AND(_2="B-767-200",'2026'!$H$4="CA",'2026'!$H$2=AK157),'2026DATA'!$H$17,"")</f>
        <v/>
      </c>
      <c r="AL172" s="518" t="str">
        <f>IF(AND(_2="B-767-200",'2026'!$H$4="CA",'2026'!$H$2=AL157),'2026DATA'!$I$17,"")</f>
        <v/>
      </c>
      <c r="AM172" s="518" t="str">
        <f>IF(AND(_2="B-767-200",'2026'!$H$4="CA",'2026'!$H$2=AM157),'2026DATA'!$J$17,"")</f>
        <v/>
      </c>
      <c r="AN172" s="518" t="str">
        <f>IF(AND(_2="B-767-200",'2026'!$H$4="CA",'2026'!$H$2=AN157),'2026DATA'!$K$17,"")</f>
        <v/>
      </c>
      <c r="AO172" s="518" t="str">
        <f>IF(AND(_2="B-767-200",'2026'!$H$4="CA",'2026'!$H$2=AO157),'2026DATA'!$L$17,"")</f>
        <v/>
      </c>
      <c r="AP172" s="518" t="str">
        <f>IF(AND(_2="B-767-200",'2026'!$H$4="CA",'2026'!$H$2=AP157),'2026DATA'!$M$17,"")</f>
        <v/>
      </c>
      <c r="AQ172" s="520" t="str">
        <f>IF(AND(_2="B-767-200",'2026'!$H$4="CA",'2026'!$H$2=AQ157),'2026DATA'!$N$17,"")</f>
        <v/>
      </c>
      <c r="AR172" s="940" t="s">
        <v>68</v>
      </c>
      <c r="AS172" s="13" t="s">
        <v>61</v>
      </c>
      <c r="AT172" s="518" t="str">
        <f>IF(AND(_3="B-767-200",'2026'!$H$4="CA",'2026'!$H$2=AT157),'2026DATA'!$C$17,"")</f>
        <v/>
      </c>
      <c r="AU172" s="518" t="str">
        <f>IF(AND(_3="B-767-200",'2026'!$H$4="CA",'2026'!$H$2=AU157),'2026DATA'!$D$17,"")</f>
        <v/>
      </c>
      <c r="AV172" s="518" t="str">
        <f>IF(AND(_3="B-767-200",'2026'!$H$4="CA",'2026'!$H$2=AV157),'2026DATA'!$E$17,"")</f>
        <v/>
      </c>
      <c r="AW172" s="518" t="str">
        <f>IF(AND(_3="B-767-200",'2026'!$H$4="CA",'2026'!$H$2=AW157),'2026DATA'!$F$17,"")</f>
        <v/>
      </c>
      <c r="AX172" s="518" t="str">
        <f>IF(AND(_3="B-767-200",'2026'!$H$4="CA",'2026'!$H$2=AX157),'2026DATA'!$G$17,"")</f>
        <v/>
      </c>
      <c r="AY172" s="518" t="str">
        <f>IF(AND(_3="B-767-200",'2026'!$H$4="CA",'2026'!$H$2=AY157),'2026DATA'!$H$17,"")</f>
        <v/>
      </c>
      <c r="AZ172" s="518" t="str">
        <f>IF(AND(_3="B-767-200",'2026'!$H$4="CA",'2026'!$H$2=AZ157),'2026DATA'!$I$17,"")</f>
        <v/>
      </c>
      <c r="BA172" s="518" t="str">
        <f>IF(AND(_3="B-767-200",'2026'!$H$4="CA",'2026'!$H$2=BA157),'2026DATA'!$J$17,"")</f>
        <v/>
      </c>
      <c r="BB172" s="518" t="str">
        <f>IF(AND(_3="B-767-200",'2026'!$H$4="CA",'2026'!$H$2=BB157),'2026DATA'!$K$17,"")</f>
        <v/>
      </c>
      <c r="BC172" s="518" t="str">
        <f>IF(AND(_3="B-767-200",'2026'!$H$4="CA",'2026'!$H$2=BC157),'2026DATA'!$L$17,"")</f>
        <v/>
      </c>
      <c r="BD172" s="518" t="str">
        <f>IF(AND(_3="B-767-200",'2026'!$H$4="CA",'2026'!$H$2=BD157),'2026DATA'!$M$17,"")</f>
        <v/>
      </c>
      <c r="BE172" s="520" t="str">
        <f>IF(AND(_3="B-767-200",'2026'!$H$4="CA",'2026'!$H$2=BE157),'2026DATA'!$N$17,"")</f>
        <v/>
      </c>
      <c r="BF172" s="940" t="s">
        <v>68</v>
      </c>
      <c r="BG172" s="13" t="s">
        <v>61</v>
      </c>
      <c r="BH172" s="518" t="str">
        <f>IF(AND(_4="B-767-200",'2026'!$H$4="CA",'2026'!$H$2=BH157),'2026DATA'!$C$17,"")</f>
        <v/>
      </c>
      <c r="BI172" s="518" t="str">
        <f>IF(AND(_4="B-767-200",'2026'!$H$4="CA",'2026'!$H$2=BI157),'2026DATA'!$D$17,"")</f>
        <v/>
      </c>
      <c r="BJ172" s="518" t="str">
        <f>IF(AND(_4="B-767-200",'2026'!$H$4="CA",'2026'!$H$2=BJ157),'2026DATA'!$E$17,"")</f>
        <v/>
      </c>
      <c r="BK172" s="518" t="str">
        <f>IF(AND(_4="B-767-200",'2026'!$H$4="CA",'2026'!$H$2=BK157),'2026DATA'!$F$17,"")</f>
        <v/>
      </c>
      <c r="BL172" s="518" t="str">
        <f>IF(AND(_4="B-767-200",'2026'!$H$4="CA",'2026'!$H$2=BL157),'2026DATA'!$G$17,"")</f>
        <v/>
      </c>
      <c r="BM172" s="518" t="str">
        <f>IF(AND(_4="B-767-200",'2026'!$H$4="CA",'2026'!$H$2=BM157),'2026DATA'!$H$17,"")</f>
        <v/>
      </c>
      <c r="BN172" s="518" t="str">
        <f>IF(AND(_4="B-767-200",'2026'!$H$4="CA",'2026'!$H$2=BN157),'2026DATA'!$I$17,"")</f>
        <v/>
      </c>
      <c r="BO172" s="518" t="str">
        <f>IF(AND(_4="B-767-200",'2026'!$H$4="CA",'2026'!$H$2=BO157),'2026DATA'!$J$17,"")</f>
        <v/>
      </c>
      <c r="BP172" s="518" t="str">
        <f>IF(AND(_4="B-767-200",'2026'!$H$4="CA",'2026'!$H$2=BP157),'2026DATA'!$K$17,"")</f>
        <v/>
      </c>
      <c r="BQ172" s="518" t="str">
        <f>IF(AND(_4="B-767-200",'2026'!$H$4="CA",'2026'!$H$2=BQ157),'2026DATA'!$L$17,"")</f>
        <v/>
      </c>
      <c r="BR172" s="518" t="str">
        <f>IF(AND(_4="B-767-200",'2026'!$H$4="CA",'2026'!$H$2=BR157),'2026DATA'!$M$17,"")</f>
        <v/>
      </c>
      <c r="BS172" s="520" t="str">
        <f>IF(AND(_4="B-767-200",'2026'!$H$4="CA",'2026'!$H$2=BS157),'2026DATA'!$N$17,"")</f>
        <v/>
      </c>
      <c r="BT172" s="940" t="s">
        <v>68</v>
      </c>
      <c r="BU172" s="13" t="s">
        <v>61</v>
      </c>
      <c r="BV172" s="518" t="str">
        <f>IF(AND(_5="B-767-200",'2026'!$H$4="CA",'2026'!$H$2=BV157),'2026DATA'!$C$17,"")</f>
        <v/>
      </c>
      <c r="BW172" s="518" t="str">
        <f>IF(AND(_5="B-767-200",'2026'!$H$4="CA",'2026'!$H$2=BW157),'2026DATA'!$D$17,"")</f>
        <v/>
      </c>
      <c r="BX172" s="518" t="str">
        <f>IF(AND(_5="B-767-200",'2026'!$H$4="CA",'2026'!$H$2=BX157),'2026DATA'!$E$17,"")</f>
        <v/>
      </c>
      <c r="BY172" s="518" t="str">
        <f>IF(AND(_5="B-767-200",'2026'!$H$4="CA",'2026'!$H$2=BY157),'2026DATA'!$F$17,"")</f>
        <v/>
      </c>
      <c r="BZ172" s="518" t="str">
        <f>IF(AND(_5="B-767-200",'2026'!$H$4="CA",'2026'!$H$2=BZ157),'2026DATA'!$G$17,"")</f>
        <v/>
      </c>
      <c r="CA172" s="518" t="str">
        <f>IF(AND(_5="B-767-200",'2026'!$H$4="CA",'2026'!$H$2=CA157),'2026DATA'!$H$17,"")</f>
        <v/>
      </c>
      <c r="CB172" s="518" t="str">
        <f>IF(AND(_5="B-767-200",'2026'!$H$4="CA",'2026'!$H$2=CB157),'2026DATA'!$I$17,"")</f>
        <v/>
      </c>
      <c r="CC172" s="518" t="str">
        <f>IF(AND(_5="B-767-200",'2026'!$H$4="CA",'2026'!$H$2=CC157),'2026DATA'!$J$17,"")</f>
        <v/>
      </c>
      <c r="CD172" s="518" t="str">
        <f>IF(AND(_5="B-767-200",'2026'!$H$4="CA",'2026'!$H$2=CD157),'2026DATA'!$K$17,"")</f>
        <v/>
      </c>
      <c r="CE172" s="518" t="str">
        <f>IF(AND(_5="B-767-200",'2026'!$H$4="CA",'2026'!$H$2=CE157),'2026DATA'!$L$17,"")</f>
        <v/>
      </c>
      <c r="CF172" s="518" t="str">
        <f>IF(AND(_5="B-767-200",'2026'!$H$4="CA",'2026'!$H$2=CF157),'2026DATA'!$M$17,"")</f>
        <v/>
      </c>
      <c r="CG172" s="520" t="str">
        <f>IF(AND(_5="B-767-200",'2026'!$H$4="CA",'2026'!$H$2=CG157),'2026DATA'!$N$17,"")</f>
        <v/>
      </c>
      <c r="CH172" s="940" t="s">
        <v>68</v>
      </c>
      <c r="CI172" s="13" t="s">
        <v>61</v>
      </c>
      <c r="CJ172" s="518" t="str">
        <f>IF(AND(_6="B-767-200",'2026'!$H$4="CA",'2026'!$H$2=CJ157),'2026DATA'!$C$17,"")</f>
        <v/>
      </c>
      <c r="CK172" s="518" t="str">
        <f>IF(AND(_6="B-767-200",'2026'!$H$4="CA",'2026'!$H$2=CK157),'2026DATA'!$D$17,"")</f>
        <v/>
      </c>
      <c r="CL172" s="518" t="str">
        <f>IF(AND(_6="B-767-200",'2026'!$H$4="CA",'2026'!$H$2=CL157),'2026DATA'!$E$17,"")</f>
        <v/>
      </c>
      <c r="CM172" s="518" t="str">
        <f>IF(AND(_6="B-767-200",'2026'!$H$4="CA",'2026'!$H$2=CM157),'2026DATA'!$F$17,"")</f>
        <v/>
      </c>
      <c r="CN172" s="518" t="str">
        <f>IF(AND(_6="B-767-200",'2026'!$H$4="CA",'2026'!$H$2=CN157),'2026DATA'!$G$17,"")</f>
        <v/>
      </c>
      <c r="CO172" s="518" t="str">
        <f>IF(AND(_6="B-767-200",'2026'!$H$4="CA",'2026'!$H$2=CO157),'2026DATA'!$H$17,"")</f>
        <v/>
      </c>
      <c r="CP172" s="518" t="str">
        <f>IF(AND(_6="B-767-200",'2026'!$H$4="CA",'2026'!$H$2=CP157),'2026DATA'!$I$17,"")</f>
        <v/>
      </c>
      <c r="CQ172" s="518" t="str">
        <f>IF(AND(_6="B-767-200",'2026'!$H$4="CA",'2026'!$H$2=CQ157),'2026DATA'!$J$17,"")</f>
        <v/>
      </c>
      <c r="CR172" s="518" t="str">
        <f>IF(AND(_6="B-767-200",'2026'!$H$4="CA",'2026'!$H$2=CR157),'2026DATA'!$K$17,"")</f>
        <v/>
      </c>
      <c r="CS172" s="518" t="str">
        <f>IF(AND(_6="B-767-200",'2026'!$H$4="CA",'2026'!$H$2=CS157),'2026DATA'!$L$17,"")</f>
        <v/>
      </c>
      <c r="CT172" s="518" t="str">
        <f>IF(AND(_6="B-767-200",'2026'!$H$4="CA",'2026'!$H$2=CT157),'2026DATA'!$M$17,"")</f>
        <v/>
      </c>
      <c r="CU172" s="520" t="str">
        <f>IF(AND(_6="B-767-200",'2026'!$H$4="CA",'2026'!$H$2=CU157),'2026DATA'!$N$17,"")</f>
        <v/>
      </c>
    </row>
    <row r="173" spans="16:99" x14ac:dyDescent="0.25">
      <c r="P173" s="940"/>
      <c r="Q173" s="13" t="s">
        <v>62</v>
      </c>
      <c r="R173" s="518" t="str">
        <f>IF(AND(_1="B-767-200",'2026'!$H$4="FO",'2026'!$H$2=R157),'2026DATA'!$C$18,"")</f>
        <v/>
      </c>
      <c r="S173" s="518" t="str">
        <f>IF(AND(_1="B-767-200",'2026'!$H$4="FO",'2026'!$H$2=S157),'2026DATA'!$D$18,"")</f>
        <v/>
      </c>
      <c r="T173" s="518" t="str">
        <f>IF(AND(_1="B-767-200",'2026'!$H$4="FO",'2026'!$H$2=T157),'2026DATA'!$E$18,"")</f>
        <v/>
      </c>
      <c r="U173" s="518" t="str">
        <f>IF(AND(_1="B-767-200",'2026'!$H$4="FO",'2026'!$H$2=U157),'2026DATA'!$F$18,"")</f>
        <v/>
      </c>
      <c r="V173" s="518" t="str">
        <f>IF(AND(_1="B-767-200",'2026'!$H$4="FO",'2026'!$H$2=V157),'2026DATA'!$G$18,"")</f>
        <v/>
      </c>
      <c r="W173" s="518" t="str">
        <f>IF(AND(_1="B-767-200",'2026'!$H$4="FO",'2026'!$H$2=W157),'2026DATA'!$H$18,"")</f>
        <v/>
      </c>
      <c r="X173" s="518" t="str">
        <f>IF(AND(_1="B-767-200",'2026'!$H$4="FO",'2026'!$H$2=X157),'2026DATA'!$I$18,"")</f>
        <v/>
      </c>
      <c r="Y173" s="518" t="str">
        <f>IF(AND(_1="B-767-200",'2026'!$H$4="FO",'2026'!$H$2=Y157),'2026DATA'!$J$18,"")</f>
        <v/>
      </c>
      <c r="Z173" s="518" t="str">
        <f>IF(AND(_1="B-767-200",'2026'!$H$4="FO",'2026'!$H$2=Z157),'2026DATA'!$K$18,"")</f>
        <v/>
      </c>
      <c r="AA173" s="518" t="str">
        <f>IF(AND(_1="B-767-200",'2026'!$H$4="FO",'2026'!$H$2=AA157),'2026DATA'!$L$18,"")</f>
        <v/>
      </c>
      <c r="AB173" s="518" t="str">
        <f>IF(AND(_1="B-767-200",'2026'!$H$4="FO",'2026'!$H$2=AB157),'2026DATA'!$M$18,"")</f>
        <v/>
      </c>
      <c r="AC173" s="520" t="str">
        <f>IF(AND(_1="B-767-200",'2026'!$H$4="FO",'2026'!$H$2=AC157),'2026DATA'!$N$18,"")</f>
        <v/>
      </c>
      <c r="AD173" s="940"/>
      <c r="AE173" s="13" t="s">
        <v>62</v>
      </c>
      <c r="AF173" s="518" t="str">
        <f>IF(AND(_2="B-767-200",'2026'!$H$4="FO",'2026'!$H$2=AF157),'2026DATA'!$C$18,"")</f>
        <v/>
      </c>
      <c r="AG173" s="518" t="str">
        <f>IF(AND(_2="B-767-200",'2026'!$H$4="FO",'2026'!$H$2=AG157),'2026DATA'!$D$18,"")</f>
        <v/>
      </c>
      <c r="AH173" s="518" t="str">
        <f>IF(AND(_2="B-767-200",'2026'!$H$4="FO",'2026'!$H$2=AH157),'2026DATA'!$E$18,"")</f>
        <v/>
      </c>
      <c r="AI173" s="518" t="str">
        <f>IF(AND(_2="B-767-200",'2026'!$H$4="FO",'2026'!$H$2=AI157),'2026DATA'!$F$18,"")</f>
        <v/>
      </c>
      <c r="AJ173" s="518" t="str">
        <f>IF(AND(_2="B-767-200",'2026'!$H$4="FO",'2026'!$H$2=AJ157),'2026DATA'!$G$18,"")</f>
        <v/>
      </c>
      <c r="AK173" s="518" t="str">
        <f>IF(AND(_2="B-767-200",'2026'!$H$4="FO",'2026'!$H$2=AK157),'2026DATA'!$H$18,"")</f>
        <v/>
      </c>
      <c r="AL173" s="518" t="str">
        <f>IF(AND(_2="B-767-200",'2026'!$H$4="FO",'2026'!$H$2=AL157),'2026DATA'!$I$18,"")</f>
        <v/>
      </c>
      <c r="AM173" s="518" t="str">
        <f>IF(AND(_2="B-767-200",'2026'!$H$4="FO",'2026'!$H$2=AM157),'2026DATA'!$J$18,"")</f>
        <v/>
      </c>
      <c r="AN173" s="518" t="str">
        <f>IF(AND(_2="B-767-200",'2026'!$H$4="FO",'2026'!$H$2=AN157),'2026DATA'!$K$18,"")</f>
        <v/>
      </c>
      <c r="AO173" s="518" t="str">
        <f>IF(AND(_2="B-767-200",'2026'!$H$4="FO",'2026'!$H$2=AO157),'2026DATA'!$L$18,"")</f>
        <v/>
      </c>
      <c r="AP173" s="518" t="str">
        <f>IF(AND(_2="B-767-200",'2026'!$H$4="FO",'2026'!$H$2=AP157),'2026DATA'!$M$18,"")</f>
        <v/>
      </c>
      <c r="AQ173" s="520" t="str">
        <f>IF(AND(_2="B-767-200",'2026'!$H$4="FO",'2026'!$H$2=AQ157),'2026DATA'!$N$18,"")</f>
        <v/>
      </c>
      <c r="AR173" s="940"/>
      <c r="AS173" s="13" t="s">
        <v>62</v>
      </c>
      <c r="AT173" s="518" t="str">
        <f>IF(AND(_3="B-767-200",'2026'!$H$4="FO",'2026'!$H$2=AT157),'2026DATA'!$C$18,"")</f>
        <v/>
      </c>
      <c r="AU173" s="518" t="str">
        <f>IF(AND(_3="B-767-200",'2026'!$H$4="FO",'2026'!$H$2=AU157),'2026DATA'!$D$18,"")</f>
        <v/>
      </c>
      <c r="AV173" s="518" t="str">
        <f>IF(AND(_3="B-767-200",'2026'!$H$4="FO",'2026'!$H$2=AV157),'2026DATA'!$E$18,"")</f>
        <v/>
      </c>
      <c r="AW173" s="518" t="str">
        <f>IF(AND(_3="B-767-200",'2026'!$H$4="FO",'2026'!$H$2=AW157),'2026DATA'!$F$18,"")</f>
        <v/>
      </c>
      <c r="AX173" s="518" t="str">
        <f>IF(AND(_3="B-767-200",'2026'!$H$4="FO",'2026'!$H$2=AX157),'2026DATA'!$G$18,"")</f>
        <v/>
      </c>
      <c r="AY173" s="518" t="str">
        <f>IF(AND(_3="B-767-200",'2026'!$H$4="FO",'2026'!$H$2=AY157),'2026DATA'!$H$18,"")</f>
        <v/>
      </c>
      <c r="AZ173" s="518" t="str">
        <f>IF(AND(_3="B-767-200",'2026'!$H$4="FO",'2026'!$H$2=AZ157),'2026DATA'!$I$18,"")</f>
        <v/>
      </c>
      <c r="BA173" s="518" t="str">
        <f>IF(AND(_3="B-767-200",'2026'!$H$4="FO",'2026'!$H$2=BA157),'2026DATA'!$J$18,"")</f>
        <v/>
      </c>
      <c r="BB173" s="518" t="str">
        <f>IF(AND(_3="B-767-200",'2026'!$H$4="FO",'2026'!$H$2=BB157),'2026DATA'!$K$18,"")</f>
        <v/>
      </c>
      <c r="BC173" s="518" t="str">
        <f>IF(AND(_3="B-767-200",'2026'!$H$4="FO",'2026'!$H$2=BC157),'2026DATA'!$L$18,"")</f>
        <v/>
      </c>
      <c r="BD173" s="518" t="str">
        <f>IF(AND(_3="B-767-200",'2026'!$H$4="FO",'2026'!$H$2=BD157),'2026DATA'!$M$18,"")</f>
        <v/>
      </c>
      <c r="BE173" s="520" t="str">
        <f>IF(AND(_3="B-767-200",'2026'!$H$4="FO",'2026'!$H$2=BE157),'2026DATA'!$N$18,"")</f>
        <v/>
      </c>
      <c r="BF173" s="940"/>
      <c r="BG173" s="13" t="s">
        <v>62</v>
      </c>
      <c r="BH173" s="518" t="str">
        <f>IF(AND(_4="B-767-200",'2026'!$H$4="FO",'2026'!$H$2=BH157),'2026DATA'!$C$18,"")</f>
        <v/>
      </c>
      <c r="BI173" s="518" t="str">
        <f>IF(AND(_4="B-767-200",'2026'!$H$4="FO",'2026'!$H$2=BI157),'2026DATA'!$D$18,"")</f>
        <v/>
      </c>
      <c r="BJ173" s="518" t="str">
        <f>IF(AND(_4="B-767-200",'2026'!$H$4="FO",'2026'!$H$2=BJ157),'2026DATA'!$E$18,"")</f>
        <v/>
      </c>
      <c r="BK173" s="518" t="str">
        <f>IF(AND(_4="B-767-200",'2026'!$H$4="FO",'2026'!$H$2=BK157),'2026DATA'!$F$18,"")</f>
        <v/>
      </c>
      <c r="BL173" s="518" t="str">
        <f>IF(AND(_4="B-767-200",'2026'!$H$4="FO",'2026'!$H$2=BL157),'2026DATA'!$G$18,"")</f>
        <v/>
      </c>
      <c r="BM173" s="518" t="str">
        <f>IF(AND(_4="B-767-200",'2026'!$H$4="FO",'2026'!$H$2=BM157),'2026DATA'!$H$18,"")</f>
        <v/>
      </c>
      <c r="BN173" s="518" t="str">
        <f>IF(AND(_4="B-767-200",'2026'!$H$4="FO",'2026'!$H$2=BN157),'2026DATA'!$I$18,"")</f>
        <v/>
      </c>
      <c r="BO173" s="518" t="str">
        <f>IF(AND(_4="B-767-200",'2026'!$H$4="FO",'2026'!$H$2=BO157),'2026DATA'!$J$18,"")</f>
        <v/>
      </c>
      <c r="BP173" s="518" t="str">
        <f>IF(AND(_4="B-767-200",'2026'!$H$4="FO",'2026'!$H$2=BP157),'2026DATA'!$K$18,"")</f>
        <v/>
      </c>
      <c r="BQ173" s="518" t="str">
        <f>IF(AND(_4="B-767-200",'2026'!$H$4="FO",'2026'!$H$2=BQ157),'2026DATA'!$L$18,"")</f>
        <v/>
      </c>
      <c r="BR173" s="518" t="str">
        <f>IF(AND(_4="B-767-200",'2026'!$H$4="FO",'2026'!$H$2=BR157),'2026DATA'!$M$18,"")</f>
        <v/>
      </c>
      <c r="BS173" s="520" t="str">
        <f>IF(AND(_4="B-767-200",'2026'!$H$4="FO",'2026'!$H$2=BS157),'2026DATA'!$N$18,"")</f>
        <v/>
      </c>
      <c r="BT173" s="940"/>
      <c r="BU173" s="13" t="s">
        <v>62</v>
      </c>
      <c r="BV173" s="518" t="str">
        <f>IF(AND(_5="B-767-200",'2026'!$H$4="FO",'2026'!$H$2=BV157),'2026DATA'!$C$18,"")</f>
        <v/>
      </c>
      <c r="BW173" s="518" t="str">
        <f>IF(AND(_5="B-767-200",'2026'!$H$4="FO",'2026'!$H$2=BW157),'2026DATA'!$D$18,"")</f>
        <v/>
      </c>
      <c r="BX173" s="518" t="str">
        <f>IF(AND(_5="B-767-200",'2026'!$H$4="FO",'2026'!$H$2=BX157),'2026DATA'!$E$18,"")</f>
        <v/>
      </c>
      <c r="BY173" s="518" t="str">
        <f>IF(AND(_5="B-767-200",'2026'!$H$4="FO",'2026'!$H$2=BY157),'2026DATA'!$F$18,"")</f>
        <v/>
      </c>
      <c r="BZ173" s="518" t="str">
        <f>IF(AND(_5="B-767-200",'2026'!$H$4="FO",'2026'!$H$2=BZ157),'2026DATA'!$G$18,"")</f>
        <v/>
      </c>
      <c r="CA173" s="518" t="str">
        <f>IF(AND(_5="B-767-200",'2026'!$H$4="FO",'2026'!$H$2=CA157),'2026DATA'!$H$18,"")</f>
        <v/>
      </c>
      <c r="CB173" s="518" t="str">
        <f>IF(AND(_5="B-767-200",'2026'!$H$4="FO",'2026'!$H$2=CB157),'2026DATA'!$I$18,"")</f>
        <v/>
      </c>
      <c r="CC173" s="518" t="str">
        <f>IF(AND(_5="B-767-200",'2026'!$H$4="FO",'2026'!$H$2=CC157),'2026DATA'!$J$18,"")</f>
        <v/>
      </c>
      <c r="CD173" s="518" t="str">
        <f>IF(AND(_5="B-767-200",'2026'!$H$4="FO",'2026'!$H$2=CD157),'2026DATA'!$K$18,"")</f>
        <v/>
      </c>
      <c r="CE173" s="518" t="str">
        <f>IF(AND(_5="B-767-200",'2026'!$H$4="FO",'2026'!$H$2=CE157),'2026DATA'!$L$18,"")</f>
        <v/>
      </c>
      <c r="CF173" s="518" t="str">
        <f>IF(AND(_5="B-767-200",'2026'!$H$4="FO",'2026'!$H$2=CF157),'2026DATA'!$M$18,"")</f>
        <v/>
      </c>
      <c r="CG173" s="520" t="str">
        <f>IF(AND(_5="B-767-200",'2026'!$H$4="FO",'2026'!$H$2=CG157),'2026DATA'!$N$18,"")</f>
        <v/>
      </c>
      <c r="CH173" s="940"/>
      <c r="CI173" s="13" t="s">
        <v>62</v>
      </c>
      <c r="CJ173" s="518" t="str">
        <f>IF(AND(_6="B-767-200",'2026'!$H$4="FO",'2026'!$H$2=CJ157),'2026DATA'!$C$18,"")</f>
        <v/>
      </c>
      <c r="CK173" s="518" t="str">
        <f>IF(AND(_6="B-767-200",'2026'!$H$4="FO",'2026'!$H$2=CK157),'2026DATA'!$D$18,"")</f>
        <v/>
      </c>
      <c r="CL173" s="518" t="str">
        <f>IF(AND(_6="B-767-200",'2026'!$H$4="FO",'2026'!$H$2=CL157),'2026DATA'!$E$18,"")</f>
        <v/>
      </c>
      <c r="CM173" s="518" t="str">
        <f>IF(AND(_6="B-767-200",'2026'!$H$4="FO",'2026'!$H$2=CM157),'2026DATA'!$F$18,"")</f>
        <v/>
      </c>
      <c r="CN173" s="518" t="str">
        <f>IF(AND(_6="B-767-200",'2026'!$H$4="FO",'2026'!$H$2=CN157),'2026DATA'!$G$18,"")</f>
        <v/>
      </c>
      <c r="CO173" s="518" t="str">
        <f>IF(AND(_6="B-767-200",'2026'!$H$4="FO",'2026'!$H$2=CO157),'2026DATA'!$H$18,"")</f>
        <v/>
      </c>
      <c r="CP173" s="518" t="str">
        <f>IF(AND(_6="B-767-200",'2026'!$H$4="FO",'2026'!$H$2=CP157),'2026DATA'!$I$18,"")</f>
        <v/>
      </c>
      <c r="CQ173" s="518" t="str">
        <f>IF(AND(_6="B-767-200",'2026'!$H$4="FO",'2026'!$H$2=CQ157),'2026DATA'!$J$18,"")</f>
        <v/>
      </c>
      <c r="CR173" s="518" t="str">
        <f>IF(AND(_6="B-767-200",'2026'!$H$4="FO",'2026'!$H$2=CR157),'2026DATA'!$K$18,"")</f>
        <v/>
      </c>
      <c r="CS173" s="518" t="str">
        <f>IF(AND(_6="B-767-200",'2026'!$H$4="FO",'2026'!$H$2=CS157),'2026DATA'!$L$18,"")</f>
        <v/>
      </c>
      <c r="CT173" s="518" t="str">
        <f>IF(AND(_6="B-767-200",'2026'!$H$4="FO",'2026'!$H$2=CT157),'2026DATA'!$M$18,"")</f>
        <v/>
      </c>
      <c r="CU173" s="520" t="str">
        <f>IF(AND(_6="B-767-200",'2026'!$H$4="FO",'2026'!$H$2=CU157),'2026DATA'!$N$18,"")</f>
        <v/>
      </c>
    </row>
    <row r="174" spans="16:99" x14ac:dyDescent="0.25">
      <c r="P174" s="940" t="s">
        <v>45</v>
      </c>
      <c r="Q174" s="13" t="s">
        <v>61</v>
      </c>
      <c r="R174" s="518" t="str">
        <f>IF(AND(_1="B-757",'2026'!$H$4="CA",'2026'!$H$2=R157),'2026DATA'!$C$19,"")</f>
        <v/>
      </c>
      <c r="S174" s="518" t="str">
        <f>IF(AND(_1="B-757",'2026'!$H$4="CA",'2026'!$H$2=S157),'2026DATA'!$D$19,"")</f>
        <v/>
      </c>
      <c r="T174" s="518" t="str">
        <f>IF(AND(_1="B-757",'2026'!$H$4="CA",'2026'!$H$2=T157),'2026DATA'!$E$19,"")</f>
        <v/>
      </c>
      <c r="U174" s="518" t="str">
        <f>IF(AND(_1="B-757",'2026'!$H$4="CA",'2026'!$H$2=U157),'2026DATA'!$F$19,"")</f>
        <v/>
      </c>
      <c r="V174" s="518" t="str">
        <f>IF(AND(_1="B-757",'2026'!$H$4="CA",'2026'!$H$2=V157),'2026DATA'!$G$19,"")</f>
        <v/>
      </c>
      <c r="W174" s="518" t="str">
        <f>IF(AND(_1="B-757",'2026'!$H$4="CA",'2026'!$H$2=W157),'2026DATA'!$H$19,"")</f>
        <v/>
      </c>
      <c r="X174" s="518" t="str">
        <f>IF(AND(_1="B-757",'2026'!$H$4="CA",'2026'!$H$2=X157),'2026DATA'!$I$19,"")</f>
        <v/>
      </c>
      <c r="Y174" s="518" t="str">
        <f>IF(AND(_1="B-757",'2026'!$H$4="CA",'2026'!$H$2=Y157),'2026DATA'!$J$19,"")</f>
        <v/>
      </c>
      <c r="Z174" s="518" t="str">
        <f>IF(AND(_1="B-757",'2026'!$H$4="CA",'2026'!$H$2=Z157),'2026DATA'!$K$19,"")</f>
        <v/>
      </c>
      <c r="AA174" s="518" t="str">
        <f>IF(AND(_1="B-757",'2026'!$H$4="CA",'2026'!$H$2=AA157),'2026DATA'!$L$19,"")</f>
        <v/>
      </c>
      <c r="AB174" s="518" t="str">
        <f>IF(AND(_1="B-757",'2026'!$H$4="CA",'2026'!$H$2=AB157),'2026DATA'!$M$19,"")</f>
        <v/>
      </c>
      <c r="AC174" s="520" t="str">
        <f>IF(AND(_1="B-757",'2026'!$H$4="CA",'2026'!$H$2=AC157),'2026DATA'!$N$19,"")</f>
        <v/>
      </c>
      <c r="AD174" s="940" t="s">
        <v>45</v>
      </c>
      <c r="AE174" s="13" t="s">
        <v>61</v>
      </c>
      <c r="AF174" s="518" t="str">
        <f>IF(AND(_2="B-757",'2026'!$H$4="CA",'2026'!$H$2=AF157),'2026DATA'!$C$19,"")</f>
        <v/>
      </c>
      <c r="AG174" s="518" t="str">
        <f>IF(AND(_2="B-757",'2026'!$H$4="CA",'2026'!$H$2=AG157),'2026DATA'!$D$19,"")</f>
        <v/>
      </c>
      <c r="AH174" s="518" t="str">
        <f>IF(AND(_2="B-757",'2026'!$H$4="CA",'2026'!$H$2=AH157),'2026DATA'!$E$19,"")</f>
        <v/>
      </c>
      <c r="AI174" s="518" t="str">
        <f>IF(AND(_2="B-757",'2026'!$H$4="CA",'2026'!$H$2=AI157),'2026DATA'!$F$19,"")</f>
        <v/>
      </c>
      <c r="AJ174" s="518" t="str">
        <f>IF(AND(_2="B-757",'2026'!$H$4="CA",'2026'!$H$2=AJ157),'2026DATA'!$G$19,"")</f>
        <v/>
      </c>
      <c r="AK174" s="518" t="str">
        <f>IF(AND(_2="B-757",'2026'!$H$4="CA",'2026'!$H$2=AK157),'2026DATA'!$H$19,"")</f>
        <v/>
      </c>
      <c r="AL174" s="518" t="str">
        <f>IF(AND(_2="B-757",'2026'!$H$4="CA",'2026'!$H$2=AL157),'2026DATA'!$I$19,"")</f>
        <v/>
      </c>
      <c r="AM174" s="518" t="str">
        <f>IF(AND(_2="B-757",'2026'!$H$4="CA",'2026'!$H$2=AM157),'2026DATA'!$J$19,"")</f>
        <v/>
      </c>
      <c r="AN174" s="518" t="str">
        <f>IF(AND(_2="B-757",'2026'!$H$4="CA",'2026'!$H$2=AN157),'2026DATA'!$K$19,"")</f>
        <v/>
      </c>
      <c r="AO174" s="518" t="str">
        <f>IF(AND(_2="B-757",'2026'!$H$4="CA",'2026'!$H$2=AO157),'2026DATA'!$L$19,"")</f>
        <v/>
      </c>
      <c r="AP174" s="518" t="str">
        <f>IF(AND(_2="B-757",'2026'!$H$4="CA",'2026'!$H$2=AP157),'2026DATA'!$M$19,"")</f>
        <v/>
      </c>
      <c r="AQ174" s="520" t="str">
        <f>IF(AND(_2="B-757",'2026'!$H$4="CA",'2026'!$H$2=AQ157),'2026DATA'!$N$19,"")</f>
        <v/>
      </c>
      <c r="AR174" s="940" t="s">
        <v>45</v>
      </c>
      <c r="AS174" s="13" t="s">
        <v>61</v>
      </c>
      <c r="AT174" s="518" t="str">
        <f>IF(AND(_3="B-757",'2026'!$H$4="CA",'2026'!$H$2=AT157),'2026DATA'!$C$19,"")</f>
        <v/>
      </c>
      <c r="AU174" s="518" t="str">
        <f>IF(AND(_3="B-757",'2026'!$H$4="CA",'2026'!$H$2=AU157),'2026DATA'!$D$19,"")</f>
        <v/>
      </c>
      <c r="AV174" s="518" t="str">
        <f>IF(AND(_3="B-757",'2026'!$H$4="CA",'2026'!$H$2=AV157),'2026DATA'!$E$19,"")</f>
        <v/>
      </c>
      <c r="AW174" s="518" t="str">
        <f>IF(AND(_3="B-757",'2026'!$H$4="CA",'2026'!$H$2=AW157),'2026DATA'!$F$19,"")</f>
        <v/>
      </c>
      <c r="AX174" s="518" t="str">
        <f>IF(AND(_3="B-757",'2026'!$H$4="CA",'2026'!$H$2=AX157),'2026DATA'!$G$19,"")</f>
        <v/>
      </c>
      <c r="AY174" s="518" t="str">
        <f>IF(AND(_3="B-757",'2026'!$H$4="CA",'2026'!$H$2=AY157),'2026DATA'!$H$19,"")</f>
        <v/>
      </c>
      <c r="AZ174" s="518" t="str">
        <f>IF(AND(_3="B-757",'2026'!$H$4="CA",'2026'!$H$2=AZ157),'2026DATA'!$I$19,"")</f>
        <v/>
      </c>
      <c r="BA174" s="518" t="str">
        <f>IF(AND(_3="B-757",'2026'!$H$4="CA",'2026'!$H$2=BA157),'2026DATA'!$J$19,"")</f>
        <v/>
      </c>
      <c r="BB174" s="518" t="str">
        <f>IF(AND(_3="B-757",'2026'!$H$4="CA",'2026'!$H$2=BB157),'2026DATA'!$K$19,"")</f>
        <v/>
      </c>
      <c r="BC174" s="518" t="str">
        <f>IF(AND(_3="B-757",'2026'!$H$4="CA",'2026'!$H$2=BC157),'2026DATA'!$L$19,"")</f>
        <v/>
      </c>
      <c r="BD174" s="518" t="str">
        <f>IF(AND(_3="B-757",'2026'!$H$4="CA",'2026'!$H$2=BD157),'2026DATA'!$M$19,"")</f>
        <v/>
      </c>
      <c r="BE174" s="520" t="str">
        <f>IF(AND(_3="B-757",'2026'!$H$4="CA",'2026'!$H$2=BE157),'2026DATA'!$N$19,"")</f>
        <v/>
      </c>
      <c r="BF174" s="940" t="s">
        <v>45</v>
      </c>
      <c r="BG174" s="13" t="s">
        <v>61</v>
      </c>
      <c r="BH174" s="518" t="str">
        <f>IF(AND(_4="B-757",'2026'!$H$4="CA",'2026'!$H$2=BH157),'2026DATA'!$C$19,"")</f>
        <v/>
      </c>
      <c r="BI174" s="518" t="str">
        <f>IF(AND(_4="B-757",'2026'!$H$4="CA",'2026'!$H$2=BI157),'2026DATA'!$D$19,"")</f>
        <v/>
      </c>
      <c r="BJ174" s="518" t="str">
        <f>IF(AND(_4="B-757",'2026'!$H$4="CA",'2026'!$H$2=BJ157),'2026DATA'!$E$19,"")</f>
        <v/>
      </c>
      <c r="BK174" s="518" t="str">
        <f>IF(AND(_4="B-757",'2026'!$H$4="CA",'2026'!$H$2=BK157),'2026DATA'!$F$19,"")</f>
        <v/>
      </c>
      <c r="BL174" s="518" t="str">
        <f>IF(AND(_4="B-757",'2026'!$H$4="CA",'2026'!$H$2=BL157),'2026DATA'!$G$19,"")</f>
        <v/>
      </c>
      <c r="BM174" s="518" t="str">
        <f>IF(AND(_4="B-757",'2026'!$H$4="CA",'2026'!$H$2=BM157),'2026DATA'!$H$19,"")</f>
        <v/>
      </c>
      <c r="BN174" s="518" t="str">
        <f>IF(AND(_4="B-757",'2026'!$H$4="CA",'2026'!$H$2=BN157),'2026DATA'!$I$19,"")</f>
        <v/>
      </c>
      <c r="BO174" s="518" t="str">
        <f>IF(AND(_4="B-757",'2026'!$H$4="CA",'2026'!$H$2=BO157),'2026DATA'!$J$19,"")</f>
        <v/>
      </c>
      <c r="BP174" s="518" t="str">
        <f>IF(AND(_4="B-757",'2026'!$H$4="CA",'2026'!$H$2=BP157),'2026DATA'!$K$19,"")</f>
        <v/>
      </c>
      <c r="BQ174" s="518" t="str">
        <f>IF(AND(_4="B-757",'2026'!$H$4="CA",'2026'!$H$2=BQ157),'2026DATA'!$L$19,"")</f>
        <v/>
      </c>
      <c r="BR174" s="518" t="str">
        <f>IF(AND(_4="B-757",'2026'!$H$4="CA",'2026'!$H$2=BR157),'2026DATA'!$M$19,"")</f>
        <v/>
      </c>
      <c r="BS174" s="520" t="str">
        <f>IF(AND(_4="B-757",'2026'!$H$4="CA",'2026'!$H$2=BS157),'2026DATA'!$N$19,"")</f>
        <v/>
      </c>
      <c r="BT174" s="940" t="s">
        <v>45</v>
      </c>
      <c r="BU174" s="13" t="s">
        <v>61</v>
      </c>
      <c r="BV174" s="518" t="str">
        <f>IF(AND(_5="B-757",'2026'!$H$4="CA",'2026'!$H$2=BV157),'2026DATA'!$C$19,"")</f>
        <v/>
      </c>
      <c r="BW174" s="518" t="str">
        <f>IF(AND(_5="B-757",'2026'!$H$4="CA",'2026'!$H$2=BW157),'2026DATA'!$D$19,"")</f>
        <v/>
      </c>
      <c r="BX174" s="518" t="str">
        <f>IF(AND(_5="B-757",'2026'!$H$4="CA",'2026'!$H$2=BX157),'2026DATA'!$E$19,"")</f>
        <v/>
      </c>
      <c r="BY174" s="518" t="str">
        <f>IF(AND(_5="B-757",'2026'!$H$4="CA",'2026'!$H$2=BY157),'2026DATA'!$F$19,"")</f>
        <v/>
      </c>
      <c r="BZ174" s="518" t="str">
        <f>IF(AND(_5="B-757",'2026'!$H$4="CA",'2026'!$H$2=BZ157),'2026DATA'!$G$19,"")</f>
        <v/>
      </c>
      <c r="CA174" s="518" t="str">
        <f>IF(AND(_5="B-757",'2026'!$H$4="CA",'2026'!$H$2=CA157),'2026DATA'!$H$19,"")</f>
        <v/>
      </c>
      <c r="CB174" s="518" t="str">
        <f>IF(AND(_5="B-757",'2026'!$H$4="CA",'2026'!$H$2=CB157),'2026DATA'!$I$19,"")</f>
        <v/>
      </c>
      <c r="CC174" s="518" t="str">
        <f>IF(AND(_5="B-757",'2026'!$H$4="CA",'2026'!$H$2=CC157),'2026DATA'!$J$19,"")</f>
        <v/>
      </c>
      <c r="CD174" s="518" t="str">
        <f>IF(AND(_5="B-757",'2026'!$H$4="CA",'2026'!$H$2=CD157),'2026DATA'!$K$19,"")</f>
        <v/>
      </c>
      <c r="CE174" s="518" t="str">
        <f>IF(AND(_5="B-757",'2026'!$H$4="CA",'2026'!$H$2=CE157),'2026DATA'!$L$19,"")</f>
        <v/>
      </c>
      <c r="CF174" s="518" t="str">
        <f>IF(AND(_5="B-757",'2026'!$H$4="CA",'2026'!$H$2=CF157),'2026DATA'!$M$19,"")</f>
        <v/>
      </c>
      <c r="CG174" s="520" t="str">
        <f>IF(AND(_5="B-757",'2026'!$H$4="CA",'2026'!$H$2=CG157),'2026DATA'!$N$19,"")</f>
        <v/>
      </c>
      <c r="CH174" s="940" t="s">
        <v>45</v>
      </c>
      <c r="CI174" s="13" t="s">
        <v>61</v>
      </c>
      <c r="CJ174" s="518" t="str">
        <f>IF(AND(_6="B-757",'2026'!$H$4="CA",'2026'!$H$2=CJ157),'2026DATA'!$C$19,"")</f>
        <v/>
      </c>
      <c r="CK174" s="518" t="str">
        <f>IF(AND(_6="B-757",'2026'!$H$4="CA",'2026'!$H$2=CK157),'2026DATA'!$D$19,"")</f>
        <v/>
      </c>
      <c r="CL174" s="518" t="str">
        <f>IF(AND(_6="B-757",'2026'!$H$4="CA",'2026'!$H$2=CL157),'2026DATA'!$E$19,"")</f>
        <v/>
      </c>
      <c r="CM174" s="518" t="str">
        <f>IF(AND(_6="B-757",'2026'!$H$4="CA",'2026'!$H$2=CM157),'2026DATA'!$F$19,"")</f>
        <v/>
      </c>
      <c r="CN174" s="518" t="str">
        <f>IF(AND(_6="B-757",'2026'!$H$4="CA",'2026'!$H$2=CN157),'2026DATA'!$G$19,"")</f>
        <v/>
      </c>
      <c r="CO174" s="518" t="str">
        <f>IF(AND(_6="B-757",'2026'!$H$4="CA",'2026'!$H$2=CO157),'2026DATA'!$H$19,"")</f>
        <v/>
      </c>
      <c r="CP174" s="518" t="str">
        <f>IF(AND(_6="B-757",'2026'!$H$4="CA",'2026'!$H$2=CP157),'2026DATA'!$I$19,"")</f>
        <v/>
      </c>
      <c r="CQ174" s="518" t="str">
        <f>IF(AND(_6="B-757",'2026'!$H$4="CA",'2026'!$H$2=CQ157),'2026DATA'!$J$19,"")</f>
        <v/>
      </c>
      <c r="CR174" s="518" t="str">
        <f>IF(AND(_6="B-757",'2026'!$H$4="CA",'2026'!$H$2=CR157),'2026DATA'!$K$19,"")</f>
        <v/>
      </c>
      <c r="CS174" s="518" t="str">
        <f>IF(AND(_6="B-757",'2026'!$H$4="CA",'2026'!$H$2=CS157),'2026DATA'!$L$19,"")</f>
        <v/>
      </c>
      <c r="CT174" s="518" t="str">
        <f>IF(AND(_6="B-757",'2026'!$H$4="CA",'2026'!$H$2=CT157),'2026DATA'!$M$19,"")</f>
        <v/>
      </c>
      <c r="CU174" s="520" t="str">
        <f>IF(AND(_6="B-757",'2026'!$H$4="CA",'2026'!$H$2=CU157),'2026DATA'!$N$19,"")</f>
        <v/>
      </c>
    </row>
    <row r="175" spans="16:99" x14ac:dyDescent="0.25">
      <c r="P175" s="940"/>
      <c r="Q175" s="13" t="s">
        <v>62</v>
      </c>
      <c r="R175" s="518" t="str">
        <f>IF(AND(_1="B-757",'2026'!$H$4="FO",'2026'!$H$2=R157),'2026DATA'!$C$20,"")</f>
        <v/>
      </c>
      <c r="S175" s="518" t="str">
        <f>IF(AND(_1="B-757",'2026'!$H$4="FO",'2026'!$H$2=S157),'2026DATA'!$D$20,"")</f>
        <v/>
      </c>
      <c r="T175" s="518" t="str">
        <f>IF(AND(_1="B-757",'2026'!$H$4="FO",'2026'!$H$2=T157),'2026DATA'!$E$20,"")</f>
        <v/>
      </c>
      <c r="U175" s="518" t="str">
        <f>IF(AND(_1="B-757",'2026'!$H$4="FO",'2026'!$H$2=U157),'2026DATA'!$F$20,"")</f>
        <v/>
      </c>
      <c r="V175" s="518" t="str">
        <f>IF(AND(_1="B-757",'2026'!$H$4="FO",'2026'!$H$2=V157),'2026DATA'!$G$20,"")</f>
        <v/>
      </c>
      <c r="W175" s="518" t="str">
        <f>IF(AND(_1="B-757",'2026'!$H$4="FO",'2026'!$H$2=W157),'2026DATA'!$H$20,"")</f>
        <v/>
      </c>
      <c r="X175" s="518" t="str">
        <f>IF(AND(_1="B-757",'2026'!$H$4="FO",'2026'!$H$2=X157),'2026DATA'!$I$20,"")</f>
        <v/>
      </c>
      <c r="Y175" s="518" t="str">
        <f>IF(AND(_1="B-757",'2026'!$H$4="FO",'2026'!$H$2=Y157),'2026DATA'!$J$20,"")</f>
        <v/>
      </c>
      <c r="Z175" s="518" t="str">
        <f>IF(AND(_1="B-757",'2026'!$H$4="FO",'2026'!$H$2=Z157),'2026DATA'!$K$20,"")</f>
        <v/>
      </c>
      <c r="AA175" s="518" t="str">
        <f>IF(AND(_1="B-757",'2026'!$H$4="FO",'2026'!$H$2=AA157),'2026DATA'!$L$20,"")</f>
        <v/>
      </c>
      <c r="AB175" s="518" t="str">
        <f>IF(AND(_1="B-757",'2026'!$H$4="FO",'2026'!$H$2=AB157),'2026DATA'!$M$20,"")</f>
        <v/>
      </c>
      <c r="AC175" s="520" t="str">
        <f>IF(AND(_1="B-757",'2026'!$H$4="FO",'2026'!$H$2=AC157),'2026DATA'!$N$20,"")</f>
        <v/>
      </c>
      <c r="AD175" s="940"/>
      <c r="AE175" s="13" t="s">
        <v>62</v>
      </c>
      <c r="AF175" s="518" t="str">
        <f>IF(AND(_2="B-757",'2026'!$H$4="FO",'2026'!$H$2=AF157),'2026DATA'!$C$20,"")</f>
        <v/>
      </c>
      <c r="AG175" s="518" t="str">
        <f>IF(AND(_2="B-757",'2026'!$H$4="FO",'2026'!$H$2=AG157),'2026DATA'!$D$20,"")</f>
        <v/>
      </c>
      <c r="AH175" s="518" t="str">
        <f>IF(AND(_2="B-757",'2026'!$H$4="FO",'2026'!$H$2=AH157),'2026DATA'!$E$20,"")</f>
        <v/>
      </c>
      <c r="AI175" s="518" t="str">
        <f>IF(AND(_2="B-757",'2026'!$H$4="FO",'2026'!$H$2=AI157),'2026DATA'!$F$20,"")</f>
        <v/>
      </c>
      <c r="AJ175" s="518" t="str">
        <f>IF(AND(_2="B-757",'2026'!$H$4="FO",'2026'!$H$2=AJ157),'2026DATA'!$G$20,"")</f>
        <v/>
      </c>
      <c r="AK175" s="518" t="str">
        <f>IF(AND(_2="B-757",'2026'!$H$4="FO",'2026'!$H$2=AK157),'2026DATA'!$H$20,"")</f>
        <v/>
      </c>
      <c r="AL175" s="518" t="str">
        <f>IF(AND(_2="B-757",'2026'!$H$4="FO",'2026'!$H$2=AL157),'2026DATA'!$I$20,"")</f>
        <v/>
      </c>
      <c r="AM175" s="518" t="str">
        <f>IF(AND(_2="B-757",'2026'!$H$4="FO",'2026'!$H$2=AM157),'2026DATA'!$J$20,"")</f>
        <v/>
      </c>
      <c r="AN175" s="518" t="str">
        <f>IF(AND(_2="B-757",'2026'!$H$4="FO",'2026'!$H$2=AN157),'2026DATA'!$K$20,"")</f>
        <v/>
      </c>
      <c r="AO175" s="518" t="str">
        <f>IF(AND(_2="B-757",'2026'!$H$4="FO",'2026'!$H$2=AO157),'2026DATA'!$L$20,"")</f>
        <v/>
      </c>
      <c r="AP175" s="518" t="str">
        <f>IF(AND(_2="B-757",'2026'!$H$4="FO",'2026'!$H$2=AP157),'2026DATA'!$M$20,"")</f>
        <v/>
      </c>
      <c r="AQ175" s="520" t="str">
        <f>IF(AND(_2="B-757",'2026'!$H$4="FO",'2026'!$H$2=AQ157),'2026DATA'!$N$20,"")</f>
        <v/>
      </c>
      <c r="AR175" s="940"/>
      <c r="AS175" s="13" t="s">
        <v>62</v>
      </c>
      <c r="AT175" s="518" t="str">
        <f>IF(AND(_3="B-757",'2026'!$H$4="FO",'2026'!$H$2=AT157),'2026DATA'!$C$20,"")</f>
        <v/>
      </c>
      <c r="AU175" s="518" t="str">
        <f>IF(AND(_3="B-757",'2026'!$H$4="FO",'2026'!$H$2=AU157),'2026DATA'!$D$20,"")</f>
        <v/>
      </c>
      <c r="AV175" s="518" t="str">
        <f>IF(AND(_3="B-757",'2026'!$H$4="FO",'2026'!$H$2=AV157),'2026DATA'!$E$20,"")</f>
        <v/>
      </c>
      <c r="AW175" s="518" t="str">
        <f>IF(AND(_3="B-757",'2026'!$H$4="FO",'2026'!$H$2=AW157),'2026DATA'!$F$20,"")</f>
        <v/>
      </c>
      <c r="AX175" s="518" t="str">
        <f>IF(AND(_3="B-757",'2026'!$H$4="FO",'2026'!$H$2=AX157),'2026DATA'!$G$20,"")</f>
        <v/>
      </c>
      <c r="AY175" s="518" t="str">
        <f>IF(AND(_3="B-757",'2026'!$H$4="FO",'2026'!$H$2=AY157),'2026DATA'!$H$20,"")</f>
        <v/>
      </c>
      <c r="AZ175" s="518" t="str">
        <f>IF(AND(_3="B-757",'2026'!$H$4="FO",'2026'!$H$2=AZ157),'2026DATA'!$I$20,"")</f>
        <v/>
      </c>
      <c r="BA175" s="518" t="str">
        <f>IF(AND(_3="B-757",'2026'!$H$4="FO",'2026'!$H$2=BA157),'2026DATA'!$J$20,"")</f>
        <v/>
      </c>
      <c r="BB175" s="518" t="str">
        <f>IF(AND(_3="B-757",'2026'!$H$4="FO",'2026'!$H$2=BB157),'2026DATA'!$K$20,"")</f>
        <v/>
      </c>
      <c r="BC175" s="518" t="str">
        <f>IF(AND(_3="B-757",'2026'!$H$4="FO",'2026'!$H$2=BC157),'2026DATA'!$L$20,"")</f>
        <v/>
      </c>
      <c r="BD175" s="518" t="str">
        <f>IF(AND(_3="B-757",'2026'!$H$4="FO",'2026'!$H$2=BD157),'2026DATA'!$M$20,"")</f>
        <v/>
      </c>
      <c r="BE175" s="520" t="str">
        <f>IF(AND(_3="B-757",'2026'!$H$4="FO",'2026'!$H$2=BE157),'2026DATA'!$N$20,"")</f>
        <v/>
      </c>
      <c r="BF175" s="940"/>
      <c r="BG175" s="13" t="s">
        <v>62</v>
      </c>
      <c r="BH175" s="518" t="str">
        <f>IF(AND(_4="B-757",'2026'!$H$4="FO",'2026'!$H$2=BH157),'2026DATA'!$C$20,"")</f>
        <v/>
      </c>
      <c r="BI175" s="518" t="str">
        <f>IF(AND(_4="B-757",'2026'!$H$4="FO",'2026'!$H$2=BI157),'2026DATA'!$D$20,"")</f>
        <v/>
      </c>
      <c r="BJ175" s="518" t="str">
        <f>IF(AND(_4="B-757",'2026'!$H$4="FO",'2026'!$H$2=BJ157),'2026DATA'!$E$20,"")</f>
        <v/>
      </c>
      <c r="BK175" s="518" t="str">
        <f>IF(AND(_4="B-757",'2026'!$H$4="FO",'2026'!$H$2=BK157),'2026DATA'!$F$20,"")</f>
        <v/>
      </c>
      <c r="BL175" s="518" t="str">
        <f>IF(AND(_4="B-757",'2026'!$H$4="FO",'2026'!$H$2=BL157),'2026DATA'!$G$20,"")</f>
        <v/>
      </c>
      <c r="BM175" s="518" t="str">
        <f>IF(AND(_4="B-757",'2026'!$H$4="FO",'2026'!$H$2=BM157),'2026DATA'!$H$20,"")</f>
        <v/>
      </c>
      <c r="BN175" s="518" t="str">
        <f>IF(AND(_4="B-757",'2026'!$H$4="FO",'2026'!$H$2=BN157),'2026DATA'!$I$20,"")</f>
        <v/>
      </c>
      <c r="BO175" s="518" t="str">
        <f>IF(AND(_4="B-757",'2026'!$H$4="FO",'2026'!$H$2=BO157),'2026DATA'!$J$20,"")</f>
        <v/>
      </c>
      <c r="BP175" s="518" t="str">
        <f>IF(AND(_4="B-757",'2026'!$H$4="FO",'2026'!$H$2=BP157),'2026DATA'!$K$20,"")</f>
        <v/>
      </c>
      <c r="BQ175" s="518" t="str">
        <f>IF(AND(_4="B-757",'2026'!$H$4="FO",'2026'!$H$2=BQ157),'2026DATA'!$L$20,"")</f>
        <v/>
      </c>
      <c r="BR175" s="518" t="str">
        <f>IF(AND(_4="B-757",'2026'!$H$4="FO",'2026'!$H$2=BR157),'2026DATA'!$M$20,"")</f>
        <v/>
      </c>
      <c r="BS175" s="520" t="str">
        <f>IF(AND(_4="B-757",'2026'!$H$4="FO",'2026'!$H$2=BS157),'2026DATA'!$N$20,"")</f>
        <v/>
      </c>
      <c r="BT175" s="940"/>
      <c r="BU175" s="13" t="s">
        <v>62</v>
      </c>
      <c r="BV175" s="518" t="str">
        <f>IF(AND(_5="B-757",'2026'!$H$4="FO",'2026'!$H$2=BV157),'2026DATA'!$C$20,"")</f>
        <v/>
      </c>
      <c r="BW175" s="518" t="str">
        <f>IF(AND(_5="B-757",'2026'!$H$4="FO",'2026'!$H$2=BW157),'2026DATA'!$D$20,"")</f>
        <v/>
      </c>
      <c r="BX175" s="518" t="str">
        <f>IF(AND(_5="B-757",'2026'!$H$4="FO",'2026'!$H$2=BX157),'2026DATA'!$E$20,"")</f>
        <v/>
      </c>
      <c r="BY175" s="518" t="str">
        <f>IF(AND(_5="B-757",'2026'!$H$4="FO",'2026'!$H$2=BY157),'2026DATA'!$F$20,"")</f>
        <v/>
      </c>
      <c r="BZ175" s="518" t="str">
        <f>IF(AND(_5="B-757",'2026'!$H$4="FO",'2026'!$H$2=BZ157),'2026DATA'!$G$20,"")</f>
        <v/>
      </c>
      <c r="CA175" s="518" t="str">
        <f>IF(AND(_5="B-757",'2026'!$H$4="FO",'2026'!$H$2=CA157),'2026DATA'!$H$20,"")</f>
        <v/>
      </c>
      <c r="CB175" s="518" t="str">
        <f>IF(AND(_5="B-757",'2026'!$H$4="FO",'2026'!$H$2=CB157),'2026DATA'!$I$20,"")</f>
        <v/>
      </c>
      <c r="CC175" s="518" t="str">
        <f>IF(AND(_5="B-757",'2026'!$H$4="FO",'2026'!$H$2=CC157),'2026DATA'!$J$20,"")</f>
        <v/>
      </c>
      <c r="CD175" s="518" t="str">
        <f>IF(AND(_5="B-757",'2026'!$H$4="FO",'2026'!$H$2=CD157),'2026DATA'!$K$20,"")</f>
        <v/>
      </c>
      <c r="CE175" s="518" t="str">
        <f>IF(AND(_5="B-757",'2026'!$H$4="FO",'2026'!$H$2=CE157),'2026DATA'!$L$20,"")</f>
        <v/>
      </c>
      <c r="CF175" s="518" t="str">
        <f>IF(AND(_5="B-757",'2026'!$H$4="FO",'2026'!$H$2=CF157),'2026DATA'!$M$20,"")</f>
        <v/>
      </c>
      <c r="CG175" s="520" t="str">
        <f>IF(AND(_5="B-757",'2026'!$H$4="FO",'2026'!$H$2=CG157),'2026DATA'!$N$20,"")</f>
        <v/>
      </c>
      <c r="CH175" s="940"/>
      <c r="CI175" s="13" t="s">
        <v>62</v>
      </c>
      <c r="CJ175" s="518" t="str">
        <f>IF(AND(_6="B-757",'2026'!$H$4="FO",'2026'!$H$2=CJ157),'2026DATA'!$C$20,"")</f>
        <v/>
      </c>
      <c r="CK175" s="518" t="str">
        <f>IF(AND(_6="B-757",'2026'!$H$4="FO",'2026'!$H$2=CK157),'2026DATA'!$D$20,"")</f>
        <v/>
      </c>
      <c r="CL175" s="518" t="str">
        <f>IF(AND(_6="B-757",'2026'!$H$4="FO",'2026'!$H$2=CL157),'2026DATA'!$E$20,"")</f>
        <v/>
      </c>
      <c r="CM175" s="518" t="str">
        <f>IF(AND(_6="B-757",'2026'!$H$4="FO",'2026'!$H$2=CM157),'2026DATA'!$F$20,"")</f>
        <v/>
      </c>
      <c r="CN175" s="518" t="str">
        <f>IF(AND(_6="B-757",'2026'!$H$4="FO",'2026'!$H$2=CN157),'2026DATA'!$G$20,"")</f>
        <v/>
      </c>
      <c r="CO175" s="518" t="str">
        <f>IF(AND(_6="B-757",'2026'!$H$4="FO",'2026'!$H$2=CO157),'2026DATA'!$H$20,"")</f>
        <v/>
      </c>
      <c r="CP175" s="518" t="str">
        <f>IF(AND(_6="B-757",'2026'!$H$4="FO",'2026'!$H$2=CP157),'2026DATA'!$I$20,"")</f>
        <v/>
      </c>
      <c r="CQ175" s="518" t="str">
        <f>IF(AND(_6="B-757",'2026'!$H$4="FO",'2026'!$H$2=CQ157),'2026DATA'!$J$20,"")</f>
        <v/>
      </c>
      <c r="CR175" s="518" t="str">
        <f>IF(AND(_6="B-757",'2026'!$H$4="FO",'2026'!$H$2=CR157),'2026DATA'!$K$20,"")</f>
        <v/>
      </c>
      <c r="CS175" s="518" t="str">
        <f>IF(AND(_6="B-757",'2026'!$H$4="FO",'2026'!$H$2=CS157),'2026DATA'!$L$20,"")</f>
        <v/>
      </c>
      <c r="CT175" s="518" t="str">
        <f>IF(AND(_6="B-757",'2026'!$H$4="FO",'2026'!$H$2=CT157),'2026DATA'!$M$20,"")</f>
        <v/>
      </c>
      <c r="CU175" s="520" t="str">
        <f>IF(AND(_6="B-757",'2026'!$H$4="FO",'2026'!$H$2=CU157),'2026DATA'!$N$20,"")</f>
        <v/>
      </c>
    </row>
    <row r="176" spans="16:99" x14ac:dyDescent="0.25">
      <c r="P176" s="940" t="s">
        <v>47</v>
      </c>
      <c r="Q176" s="13" t="s">
        <v>61</v>
      </c>
      <c r="R176" s="518" t="str">
        <f>IF(AND(_1="B-737-900",'2026'!$H$4="CA",'2026'!$H$2=R157),'2026DATA'!$C$21,"")</f>
        <v/>
      </c>
      <c r="S176" s="518" t="str">
        <f>IF(AND(_1="B-737-900",'2026'!$H$4="CA",'2026'!$H$2=S157),'2026DATA'!$D$21,"")</f>
        <v/>
      </c>
      <c r="T176" s="518" t="str">
        <f>IF(AND(_1="B-737-900",'2026'!$H$4="CA",'2026'!$H$2=T157),'2026DATA'!$E$21,"")</f>
        <v/>
      </c>
      <c r="U176" s="518" t="str">
        <f>IF(AND(_1="B-737-900",'2026'!$H$4="CA",'2026'!$H$2=U157),'2026DATA'!$F$21,"")</f>
        <v/>
      </c>
      <c r="V176" s="518" t="str">
        <f>IF(AND(_1="B-737-900",'2026'!$H$4="CA",'2026'!$H$2=V157),'2026DATA'!$G$21,"")</f>
        <v/>
      </c>
      <c r="W176" s="518" t="str">
        <f>IF(AND(_1="B-737-900",'2026'!$H$4="CA",'2026'!$H$2=W157),'2026DATA'!$H$21,"")</f>
        <v/>
      </c>
      <c r="X176" s="518" t="str">
        <f>IF(AND(_1="B-737-900",'2026'!$H$4="CA",'2026'!$H$2=X157),'2026DATA'!$I$21,"")</f>
        <v/>
      </c>
      <c r="Y176" s="518" t="str">
        <f>IF(AND(_1="B-737-900",'2026'!$H$4="CA",'2026'!$H$2=Y157),'2026DATA'!$J$21,"")</f>
        <v/>
      </c>
      <c r="Z176" s="518" t="str">
        <f>IF(AND(_1="B-737-900",'2026'!$H$4="CA",'2026'!$H$2=Z157),'2026DATA'!$K$21,"")</f>
        <v/>
      </c>
      <c r="AA176" s="518" t="str">
        <f>IF(AND(_1="B-737-900",'2026'!$H$4="CA",'2026'!$H$2=AA157),'2026DATA'!$L$21,"")</f>
        <v/>
      </c>
      <c r="AB176" s="518" t="str">
        <f>IF(AND(_1="B-737-900",'2026'!$H$4="CA",'2026'!$H$2=AB157),'2026DATA'!$M$21,"")</f>
        <v/>
      </c>
      <c r="AC176" s="520" t="str">
        <f>IF(AND(_1="B-737-900",'2026'!$H$4="CA",'2026'!$H$2=AC157),'2026DATA'!$N$21,"")</f>
        <v/>
      </c>
      <c r="AD176" s="940" t="s">
        <v>47</v>
      </c>
      <c r="AE176" s="13" t="s">
        <v>61</v>
      </c>
      <c r="AF176" s="518" t="str">
        <f>IF(AND(_2="B-737-900",'2026'!$H$4="CA",'2026'!$H$2=AF157),'2026DATA'!$C$21,"")</f>
        <v/>
      </c>
      <c r="AG176" s="518" t="str">
        <f>IF(AND(_2="B-737-900",'2026'!$H$4="CA",'2026'!$H$2=AG157),'2026DATA'!$D$21,"")</f>
        <v/>
      </c>
      <c r="AH176" s="518" t="str">
        <f>IF(AND(_2="B-737-900",'2026'!$H$4="CA",'2026'!$H$2=AH157),'2026DATA'!$E$21,"")</f>
        <v/>
      </c>
      <c r="AI176" s="518" t="str">
        <f>IF(AND(_2="B-737-900",'2026'!$H$4="CA",'2026'!$H$2=AI157),'2026DATA'!$F$21,"")</f>
        <v/>
      </c>
      <c r="AJ176" s="518" t="str">
        <f>IF(AND(_2="B-737-900",'2026'!$H$4="CA",'2026'!$H$2=AJ157),'2026DATA'!$G$21,"")</f>
        <v/>
      </c>
      <c r="AK176" s="518" t="str">
        <f>IF(AND(_2="B-737-900",'2026'!$H$4="CA",'2026'!$H$2=AK157),'2026DATA'!$H$21,"")</f>
        <v/>
      </c>
      <c r="AL176" s="518" t="str">
        <f>IF(AND(_2="B-737-900",'2026'!$H$4="CA",'2026'!$H$2=AL157),'2026DATA'!$I$21,"")</f>
        <v/>
      </c>
      <c r="AM176" s="518" t="str">
        <f>IF(AND(_2="B-737-900",'2026'!$H$4="CA",'2026'!$H$2=AM157),'2026DATA'!$J$21,"")</f>
        <v/>
      </c>
      <c r="AN176" s="518" t="str">
        <f>IF(AND(_2="B-737-900",'2026'!$H$4="CA",'2026'!$H$2=AN157),'2026DATA'!$K$21,"")</f>
        <v/>
      </c>
      <c r="AO176" s="518" t="str">
        <f>IF(AND(_2="B-737-900",'2026'!$H$4="CA",'2026'!$H$2=AO157),'2026DATA'!$L$21,"")</f>
        <v/>
      </c>
      <c r="AP176" s="518" t="str">
        <f>IF(AND(_2="B-737-900",'2026'!$H$4="CA",'2026'!$H$2=AP157),'2026DATA'!$M$21,"")</f>
        <v/>
      </c>
      <c r="AQ176" s="520" t="str">
        <f>IF(AND(_2="B-737-900",'2026'!$H$4="CA",'2026'!$H$2=AQ157),'2026DATA'!$N$21,"")</f>
        <v/>
      </c>
      <c r="AR176" s="940" t="s">
        <v>47</v>
      </c>
      <c r="AS176" s="13" t="s">
        <v>61</v>
      </c>
      <c r="AT176" s="518" t="str">
        <f>IF(AND(_3="B-737-900",'2026'!$H$4="CA",'2026'!$H$2=AT157),'2026DATA'!$C$21,"")</f>
        <v/>
      </c>
      <c r="AU176" s="518" t="str">
        <f>IF(AND(_3="B-737-900",'2026'!$H$4="CA",'2026'!$H$2=AU157),'2026DATA'!$D$21,"")</f>
        <v/>
      </c>
      <c r="AV176" s="518" t="str">
        <f>IF(AND(_3="B-737-900",'2026'!$H$4="CA",'2026'!$H$2=AV157),'2026DATA'!$E$21,"")</f>
        <v/>
      </c>
      <c r="AW176" s="518" t="str">
        <f>IF(AND(_3="B-737-900",'2026'!$H$4="CA",'2026'!$H$2=AW157),'2026DATA'!$F$21,"")</f>
        <v/>
      </c>
      <c r="AX176" s="518" t="str">
        <f>IF(AND(_3="B-737-900",'2026'!$H$4="CA",'2026'!$H$2=AX157),'2026DATA'!$G$21,"")</f>
        <v/>
      </c>
      <c r="AY176" s="518" t="str">
        <f>IF(AND(_3="B-737-900",'2026'!$H$4="CA",'2026'!$H$2=AY157),'2026DATA'!$H$21,"")</f>
        <v/>
      </c>
      <c r="AZ176" s="518" t="str">
        <f>IF(AND(_3="B-737-900",'2026'!$H$4="CA",'2026'!$H$2=AZ157),'2026DATA'!$I$21,"")</f>
        <v/>
      </c>
      <c r="BA176" s="518" t="str">
        <f>IF(AND(_3="B-737-900",'2026'!$H$4="CA",'2026'!$H$2=BA157),'2026DATA'!$J$21,"")</f>
        <v/>
      </c>
      <c r="BB176" s="518" t="str">
        <f>IF(AND(_3="B-737-900",'2026'!$H$4="CA",'2026'!$H$2=BB157),'2026DATA'!$K$21,"")</f>
        <v/>
      </c>
      <c r="BC176" s="518" t="str">
        <f>IF(AND(_3="B-737-900",'2026'!$H$4="CA",'2026'!$H$2=BC157),'2026DATA'!$L$21,"")</f>
        <v/>
      </c>
      <c r="BD176" s="518" t="str">
        <f>IF(AND(_3="B-737-900",'2026'!$H$4="CA",'2026'!$H$2=BD157),'2026DATA'!$M$21,"")</f>
        <v/>
      </c>
      <c r="BE176" s="520" t="str">
        <f>IF(AND(_3="B-737-900",'2026'!$H$4="CA",'2026'!$H$2=BE157),'2026DATA'!$N$21,"")</f>
        <v/>
      </c>
      <c r="BF176" s="940" t="s">
        <v>47</v>
      </c>
      <c r="BG176" s="13" t="s">
        <v>61</v>
      </c>
      <c r="BH176" s="518" t="str">
        <f>IF(AND(_4="B-737-900",'2026'!$H$4="CA",'2026'!$H$2=BH157),'2026DATA'!$C$21,"")</f>
        <v/>
      </c>
      <c r="BI176" s="518" t="str">
        <f>IF(AND(_4="B-737-900",'2026'!$H$4="CA",'2026'!$H$2=BI157),'2026DATA'!$D$21,"")</f>
        <v/>
      </c>
      <c r="BJ176" s="518" t="str">
        <f>IF(AND(_4="B-737-900",'2026'!$H$4="CA",'2026'!$H$2=BJ157),'2026DATA'!$E$21,"")</f>
        <v/>
      </c>
      <c r="BK176" s="518" t="str">
        <f>IF(AND(_4="B-737-900",'2026'!$H$4="CA",'2026'!$H$2=BK157),'2026DATA'!$F$21,"")</f>
        <v/>
      </c>
      <c r="BL176" s="518" t="str">
        <f>IF(AND(_4="B-737-900",'2026'!$H$4="CA",'2026'!$H$2=BL157),'2026DATA'!$G$21,"")</f>
        <v/>
      </c>
      <c r="BM176" s="518" t="str">
        <f>IF(AND(_4="B-737-900",'2026'!$H$4="CA",'2026'!$H$2=BM157),'2026DATA'!$H$21,"")</f>
        <v/>
      </c>
      <c r="BN176" s="518" t="str">
        <f>IF(AND(_4="B-737-900",'2026'!$H$4="CA",'2026'!$H$2=BN157),'2026DATA'!$I$21,"")</f>
        <v/>
      </c>
      <c r="BO176" s="518" t="str">
        <f>IF(AND(_4="B-737-900",'2026'!$H$4="CA",'2026'!$H$2=BO157),'2026DATA'!$J$21,"")</f>
        <v/>
      </c>
      <c r="BP176" s="518" t="str">
        <f>IF(AND(_4="B-737-900",'2026'!$H$4="CA",'2026'!$H$2=BP157),'2026DATA'!$K$21,"")</f>
        <v/>
      </c>
      <c r="BQ176" s="518" t="str">
        <f>IF(AND(_4="B-737-900",'2026'!$H$4="CA",'2026'!$H$2=BQ157),'2026DATA'!$L$21,"")</f>
        <v/>
      </c>
      <c r="BR176" s="518" t="str">
        <f>IF(AND(_4="B-737-900",'2026'!$H$4="CA",'2026'!$H$2=BR157),'2026DATA'!$M$21,"")</f>
        <v/>
      </c>
      <c r="BS176" s="520" t="str">
        <f>IF(AND(_4="B-737-900",'2026'!$H$4="CA",'2026'!$H$2=BS157),'2026DATA'!$N$21,"")</f>
        <v/>
      </c>
      <c r="BT176" s="940" t="s">
        <v>47</v>
      </c>
      <c r="BU176" s="13" t="s">
        <v>61</v>
      </c>
      <c r="BV176" s="518" t="str">
        <f>IF(AND(_5="B-737-900",'2026'!$H$4="CA",'2026'!$H$2=BV157),'2026DATA'!$C$21,"")</f>
        <v/>
      </c>
      <c r="BW176" s="518" t="str">
        <f>IF(AND(_5="B-737-900",'2026'!$H$4="CA",'2026'!$H$2=BW157),'2026DATA'!$D$21,"")</f>
        <v/>
      </c>
      <c r="BX176" s="518" t="str">
        <f>IF(AND(_5="B-737-900",'2026'!$H$4="CA",'2026'!$H$2=BX157),'2026DATA'!$E$21,"")</f>
        <v/>
      </c>
      <c r="BY176" s="518" t="str">
        <f>IF(AND(_5="B-737-900",'2026'!$H$4="CA",'2026'!$H$2=BY157),'2026DATA'!$F$21,"")</f>
        <v/>
      </c>
      <c r="BZ176" s="518" t="str">
        <f>IF(AND(_5="B-737-900",'2026'!$H$4="CA",'2026'!$H$2=BZ157),'2026DATA'!$G$21,"")</f>
        <v/>
      </c>
      <c r="CA176" s="518" t="str">
        <f>IF(AND(_5="B-737-900",'2026'!$H$4="CA",'2026'!$H$2=CA157),'2026DATA'!$H$21,"")</f>
        <v/>
      </c>
      <c r="CB176" s="518" t="str">
        <f>IF(AND(_5="B-737-900",'2026'!$H$4="CA",'2026'!$H$2=CB157),'2026DATA'!$I$21,"")</f>
        <v/>
      </c>
      <c r="CC176" s="518" t="str">
        <f>IF(AND(_5="B-737-900",'2026'!$H$4="CA",'2026'!$H$2=CC157),'2026DATA'!$J$21,"")</f>
        <v/>
      </c>
      <c r="CD176" s="518" t="str">
        <f>IF(AND(_5="B-737-900",'2026'!$H$4="CA",'2026'!$H$2=CD157),'2026DATA'!$K$21,"")</f>
        <v/>
      </c>
      <c r="CE176" s="518" t="str">
        <f>IF(AND(_5="B-737-900",'2026'!$H$4="CA",'2026'!$H$2=CE157),'2026DATA'!$L$21,"")</f>
        <v/>
      </c>
      <c r="CF176" s="518" t="str">
        <f>IF(AND(_5="B-737-900",'2026'!$H$4="CA",'2026'!$H$2=CF157),'2026DATA'!$M$21,"")</f>
        <v/>
      </c>
      <c r="CG176" s="520" t="str">
        <f>IF(AND(_5="B-737-900",'2026'!$H$4="CA",'2026'!$H$2=CG157),'2026DATA'!$N$21,"")</f>
        <v/>
      </c>
      <c r="CH176" s="940" t="s">
        <v>47</v>
      </c>
      <c r="CI176" s="13" t="s">
        <v>61</v>
      </c>
      <c r="CJ176" s="518" t="str">
        <f>IF(AND(_6="B-737-900",'2026'!$H$4="CA",'2026'!$H$2=CJ157),'2026DATA'!$C$21,"")</f>
        <v/>
      </c>
      <c r="CK176" s="518" t="str">
        <f>IF(AND(_6="B-737-900",'2026'!$H$4="CA",'2026'!$H$2=CK157),'2026DATA'!$D$21,"")</f>
        <v/>
      </c>
      <c r="CL176" s="518" t="str">
        <f>IF(AND(_6="B-737-900",'2026'!$H$4="CA",'2026'!$H$2=CL157),'2026DATA'!$E$21,"")</f>
        <v/>
      </c>
      <c r="CM176" s="518" t="str">
        <f>IF(AND(_6="B-737-900",'2026'!$H$4="CA",'2026'!$H$2=CM157),'2026DATA'!$F$21,"")</f>
        <v/>
      </c>
      <c r="CN176" s="518" t="str">
        <f>IF(AND(_6="B-737-900",'2026'!$H$4="CA",'2026'!$H$2=CN157),'2026DATA'!$G$21,"")</f>
        <v/>
      </c>
      <c r="CO176" s="518" t="str">
        <f>IF(AND(_6="B-737-900",'2026'!$H$4="CA",'2026'!$H$2=CO157),'2026DATA'!$H$21,"")</f>
        <v/>
      </c>
      <c r="CP176" s="518" t="str">
        <f>IF(AND(_6="B-737-900",'2026'!$H$4="CA",'2026'!$H$2=CP157),'2026DATA'!$I$21,"")</f>
        <v/>
      </c>
      <c r="CQ176" s="518" t="str">
        <f>IF(AND(_6="B-737-900",'2026'!$H$4="CA",'2026'!$H$2=CQ157),'2026DATA'!$J$21,"")</f>
        <v/>
      </c>
      <c r="CR176" s="518" t="str">
        <f>IF(AND(_6="B-737-900",'2026'!$H$4="CA",'2026'!$H$2=CR157),'2026DATA'!$K$21,"")</f>
        <v/>
      </c>
      <c r="CS176" s="518" t="str">
        <f>IF(AND(_6="B-737-900",'2026'!$H$4="CA",'2026'!$H$2=CS157),'2026DATA'!$L$21,"")</f>
        <v/>
      </c>
      <c r="CT176" s="518" t="str">
        <f>IF(AND(_6="B-737-900",'2026'!$H$4="CA",'2026'!$H$2=CT157),'2026DATA'!$M$21,"")</f>
        <v/>
      </c>
      <c r="CU176" s="520" t="str">
        <f>IF(AND(_6="B-737-900",'2026'!$H$4="CA",'2026'!$H$2=CU157),'2026DATA'!$N$21,"")</f>
        <v/>
      </c>
    </row>
    <row r="177" spans="16:99" x14ac:dyDescent="0.25">
      <c r="P177" s="940"/>
      <c r="Q177" s="13" t="s">
        <v>62</v>
      </c>
      <c r="R177" s="518" t="str">
        <f>IF(AND(_1="B-737-900",'2026'!$H$4="FO",'2026'!$H$2=R157),'2026DATA'!$C$22,"")</f>
        <v/>
      </c>
      <c r="S177" s="518" t="str">
        <f>IF(AND(_1="B-737-900",'2026'!$H$4="FO",'2026'!$H$2=S157),'2026DATA'!$D$22,"")</f>
        <v/>
      </c>
      <c r="T177" s="518" t="str">
        <f>IF(AND(_1="B-737-900",'2026'!$H$4="FO",'2026'!$H$2=T157),'2026DATA'!$E$22,"")</f>
        <v/>
      </c>
      <c r="U177" s="518" t="str">
        <f>IF(AND(_1="B-737-900",'2026'!$H$4="FO",'2026'!$H$2=U157),'2026DATA'!$F$22,"")</f>
        <v/>
      </c>
      <c r="V177" s="518" t="str">
        <f>IF(AND(_1="B-737-900",'2026'!$H$4="FO",'2026'!$H$2=V157),'2026DATA'!$G$22,"")</f>
        <v/>
      </c>
      <c r="W177" s="518" t="str">
        <f>IF(AND(_1="B-737-900",'2026'!$H$4="FO",'2026'!$H$2=W157),'2026DATA'!$H$22,"")</f>
        <v/>
      </c>
      <c r="X177" s="518" t="str">
        <f>IF(AND(_1="B-737-900",'2026'!$H$4="FO",'2026'!$H$2=X157),'2026DATA'!$I$22,"")</f>
        <v/>
      </c>
      <c r="Y177" s="518" t="str">
        <f>IF(AND(_1="B-737-900",'2026'!$H$4="FO",'2026'!$H$2=Y157),'2026DATA'!$J$22,"")</f>
        <v/>
      </c>
      <c r="Z177" s="518" t="str">
        <f>IF(AND(_1="B-737-900",'2026'!$H$4="FO",'2026'!$H$2=Z157),'2026DATA'!$K$22,"")</f>
        <v/>
      </c>
      <c r="AA177" s="518" t="str">
        <f>IF(AND(_1="B-737-900",'2026'!$H$4="FO",'2026'!$H$2=AA157),'2026DATA'!$L$22,"")</f>
        <v/>
      </c>
      <c r="AB177" s="518" t="str">
        <f>IF(AND(_1="B-737-900",'2026'!$H$4="FO",'2026'!$H$2=AB157),'2026DATA'!$M$22,"")</f>
        <v/>
      </c>
      <c r="AC177" s="520" t="str">
        <f>IF(AND(_1="B-737-900",'2026'!$H$4="FO",'2026'!$H$2=AC157),'2026DATA'!$N$22,"")</f>
        <v/>
      </c>
      <c r="AD177" s="940"/>
      <c r="AE177" s="13" t="s">
        <v>62</v>
      </c>
      <c r="AF177" s="518" t="str">
        <f>IF(AND(_2="B-737-900",'2026'!$H$4="FO",'2026'!$H$2=AF157),'2026DATA'!$C$22,"")</f>
        <v/>
      </c>
      <c r="AG177" s="518" t="str">
        <f>IF(AND(_2="B-737-900",'2026'!$H$4="FO",'2026'!$H$2=AG157),'2026DATA'!$D$22,"")</f>
        <v/>
      </c>
      <c r="AH177" s="518" t="str">
        <f>IF(AND(_2="B-737-900",'2026'!$H$4="FO",'2026'!$H$2=AH157),'2026DATA'!$E$22,"")</f>
        <v/>
      </c>
      <c r="AI177" s="518" t="str">
        <f>IF(AND(_2="B-737-900",'2026'!$H$4="FO",'2026'!$H$2=AI157),'2026DATA'!$F$22,"")</f>
        <v/>
      </c>
      <c r="AJ177" s="518" t="str">
        <f>IF(AND(_2="B-737-900",'2026'!$H$4="FO",'2026'!$H$2=AJ157),'2026DATA'!$G$22,"")</f>
        <v/>
      </c>
      <c r="AK177" s="518" t="str">
        <f>IF(AND(_2="B-737-900",'2026'!$H$4="FO",'2026'!$H$2=AK157),'2026DATA'!$H$22,"")</f>
        <v/>
      </c>
      <c r="AL177" s="518" t="str">
        <f>IF(AND(_2="B-737-900",'2026'!$H$4="FO",'2026'!$H$2=AL157),'2026DATA'!$I$22,"")</f>
        <v/>
      </c>
      <c r="AM177" s="518" t="str">
        <f>IF(AND(_2="B-737-900",'2026'!$H$4="FO",'2026'!$H$2=AM157),'2026DATA'!$J$22,"")</f>
        <v/>
      </c>
      <c r="AN177" s="518" t="str">
        <f>IF(AND(_2="B-737-900",'2026'!$H$4="FO",'2026'!$H$2=AN157),'2026DATA'!$K$22,"")</f>
        <v/>
      </c>
      <c r="AO177" s="518" t="str">
        <f>IF(AND(_2="B-737-900",'2026'!$H$4="FO",'2026'!$H$2=AO157),'2026DATA'!$L$22,"")</f>
        <v/>
      </c>
      <c r="AP177" s="518" t="str">
        <f>IF(AND(_2="B-737-900",'2026'!$H$4="FO",'2026'!$H$2=AP157),'2026DATA'!$M$22,"")</f>
        <v/>
      </c>
      <c r="AQ177" s="520" t="str">
        <f>IF(AND(_2="B-737-900",'2026'!$H$4="FO",'2026'!$H$2=AQ157),'2026DATA'!$N$22,"")</f>
        <v/>
      </c>
      <c r="AR177" s="940"/>
      <c r="AS177" s="13" t="s">
        <v>62</v>
      </c>
      <c r="AT177" s="518" t="str">
        <f>IF(AND(_3="B-737-900",'2026'!$H$4="FO",'2026'!$H$2=AT157),'2026DATA'!$C$22,"")</f>
        <v/>
      </c>
      <c r="AU177" s="518" t="str">
        <f>IF(AND(_3="B-737-900",'2026'!$H$4="FO",'2026'!$H$2=AU157),'2026DATA'!$D$22,"")</f>
        <v/>
      </c>
      <c r="AV177" s="518" t="str">
        <f>IF(AND(_3="B-737-900",'2026'!$H$4="FO",'2026'!$H$2=AV157),'2026DATA'!$E$22,"")</f>
        <v/>
      </c>
      <c r="AW177" s="518" t="str">
        <f>IF(AND(_3="B-737-900",'2026'!$H$4="FO",'2026'!$H$2=AW157),'2026DATA'!$F$22,"")</f>
        <v/>
      </c>
      <c r="AX177" s="518" t="str">
        <f>IF(AND(_3="B-737-900",'2026'!$H$4="FO",'2026'!$H$2=AX157),'2026DATA'!$G$22,"")</f>
        <v/>
      </c>
      <c r="AY177" s="518" t="str">
        <f>IF(AND(_3="B-737-900",'2026'!$H$4="FO",'2026'!$H$2=AY157),'2026DATA'!$H$22,"")</f>
        <v/>
      </c>
      <c r="AZ177" s="518" t="str">
        <f>IF(AND(_3="B-737-900",'2026'!$H$4="FO",'2026'!$H$2=AZ157),'2026DATA'!$I$22,"")</f>
        <v/>
      </c>
      <c r="BA177" s="518" t="str">
        <f>IF(AND(_3="B-737-900",'2026'!$H$4="FO",'2026'!$H$2=BA157),'2026DATA'!$J$22,"")</f>
        <v/>
      </c>
      <c r="BB177" s="518" t="str">
        <f>IF(AND(_3="B-737-900",'2026'!$H$4="FO",'2026'!$H$2=BB157),'2026DATA'!$K$22,"")</f>
        <v/>
      </c>
      <c r="BC177" s="518" t="str">
        <f>IF(AND(_3="B-737-900",'2026'!$H$4="FO",'2026'!$H$2=BC157),'2026DATA'!$L$22,"")</f>
        <v/>
      </c>
      <c r="BD177" s="518" t="str">
        <f>IF(AND(_3="B-737-900",'2026'!$H$4="FO",'2026'!$H$2=BD157),'2026DATA'!$M$22,"")</f>
        <v/>
      </c>
      <c r="BE177" s="520" t="str">
        <f>IF(AND(_3="B-737-900",'2026'!$H$4="FO",'2026'!$H$2=BE157),'2026DATA'!$N$22,"")</f>
        <v/>
      </c>
      <c r="BF177" s="940"/>
      <c r="BG177" s="13" t="s">
        <v>62</v>
      </c>
      <c r="BH177" s="518" t="str">
        <f>IF(AND(_4="B-737-900",'2026'!$H$4="FO",'2026'!$H$2=BH157),'2026DATA'!$C$22,"")</f>
        <v/>
      </c>
      <c r="BI177" s="518" t="str">
        <f>IF(AND(_4="B-737-900",'2026'!$H$4="FO",'2026'!$H$2=BI157),'2026DATA'!$D$22,"")</f>
        <v/>
      </c>
      <c r="BJ177" s="518" t="str">
        <f>IF(AND(_4="B-737-900",'2026'!$H$4="FO",'2026'!$H$2=BJ157),'2026DATA'!$E$22,"")</f>
        <v/>
      </c>
      <c r="BK177" s="518" t="str">
        <f>IF(AND(_4="B-737-900",'2026'!$H$4="FO",'2026'!$H$2=BK157),'2026DATA'!$F$22,"")</f>
        <v/>
      </c>
      <c r="BL177" s="518" t="str">
        <f>IF(AND(_4="B-737-900",'2026'!$H$4="FO",'2026'!$H$2=BL157),'2026DATA'!$G$22,"")</f>
        <v/>
      </c>
      <c r="BM177" s="518" t="str">
        <f>IF(AND(_4="B-737-900",'2026'!$H$4="FO",'2026'!$H$2=BM157),'2026DATA'!$H$22,"")</f>
        <v/>
      </c>
      <c r="BN177" s="518" t="str">
        <f>IF(AND(_4="B-737-900",'2026'!$H$4="FO",'2026'!$H$2=BN157),'2026DATA'!$I$22,"")</f>
        <v/>
      </c>
      <c r="BO177" s="518" t="str">
        <f>IF(AND(_4="B-737-900",'2026'!$H$4="FO",'2026'!$H$2=BO157),'2026DATA'!$J$22,"")</f>
        <v/>
      </c>
      <c r="BP177" s="518" t="str">
        <f>IF(AND(_4="B-737-900",'2026'!$H$4="FO",'2026'!$H$2=BP157),'2026DATA'!$K$22,"")</f>
        <v/>
      </c>
      <c r="BQ177" s="518" t="str">
        <f>IF(AND(_4="B-737-900",'2026'!$H$4="FO",'2026'!$H$2=BQ157),'2026DATA'!$L$22,"")</f>
        <v/>
      </c>
      <c r="BR177" s="518" t="str">
        <f>IF(AND(_4="B-737-900",'2026'!$H$4="FO",'2026'!$H$2=BR157),'2026DATA'!$M$22,"")</f>
        <v/>
      </c>
      <c r="BS177" s="520" t="str">
        <f>IF(AND(_4="B-737-900",'2026'!$H$4="FO",'2026'!$H$2=BS157),'2026DATA'!$N$22,"")</f>
        <v/>
      </c>
      <c r="BT177" s="940"/>
      <c r="BU177" s="13" t="s">
        <v>62</v>
      </c>
      <c r="BV177" s="518" t="str">
        <f>IF(AND(_5="B-737-900",'2026'!$H$4="FO",'2026'!$H$2=BV157),'2026DATA'!$C$22,"")</f>
        <v/>
      </c>
      <c r="BW177" s="518" t="str">
        <f>IF(AND(_5="B-737-900",'2026'!$H$4="FO",'2026'!$H$2=BW157),'2026DATA'!$D$22,"")</f>
        <v/>
      </c>
      <c r="BX177" s="518" t="str">
        <f>IF(AND(_5="B-737-900",'2026'!$H$4="FO",'2026'!$H$2=BX157),'2026DATA'!$E$22,"")</f>
        <v/>
      </c>
      <c r="BY177" s="518" t="str">
        <f>IF(AND(_5="B-737-900",'2026'!$H$4="FO",'2026'!$H$2=BY157),'2026DATA'!$F$22,"")</f>
        <v/>
      </c>
      <c r="BZ177" s="518" t="str">
        <f>IF(AND(_5="B-737-900",'2026'!$H$4="FO",'2026'!$H$2=BZ157),'2026DATA'!$G$22,"")</f>
        <v/>
      </c>
      <c r="CA177" s="518" t="str">
        <f>IF(AND(_5="B-737-900",'2026'!$H$4="FO",'2026'!$H$2=CA157),'2026DATA'!$H$22,"")</f>
        <v/>
      </c>
      <c r="CB177" s="518" t="str">
        <f>IF(AND(_5="B-737-900",'2026'!$H$4="FO",'2026'!$H$2=CB157),'2026DATA'!$I$22,"")</f>
        <v/>
      </c>
      <c r="CC177" s="518" t="str">
        <f>IF(AND(_5="B-737-900",'2026'!$H$4="FO",'2026'!$H$2=CC157),'2026DATA'!$J$22,"")</f>
        <v/>
      </c>
      <c r="CD177" s="518" t="str">
        <f>IF(AND(_5="B-737-900",'2026'!$H$4="FO",'2026'!$H$2=CD157),'2026DATA'!$K$22,"")</f>
        <v/>
      </c>
      <c r="CE177" s="518" t="str">
        <f>IF(AND(_5="B-737-900",'2026'!$H$4="FO",'2026'!$H$2=CE157),'2026DATA'!$L$22,"")</f>
        <v/>
      </c>
      <c r="CF177" s="518" t="str">
        <f>IF(AND(_5="B-737-900",'2026'!$H$4="FO",'2026'!$H$2=CF157),'2026DATA'!$M$22,"")</f>
        <v/>
      </c>
      <c r="CG177" s="520" t="str">
        <f>IF(AND(_5="B-737-900",'2026'!$H$4="FO",'2026'!$H$2=CG157),'2026DATA'!$N$22,"")</f>
        <v/>
      </c>
      <c r="CH177" s="940"/>
      <c r="CI177" s="13" t="s">
        <v>62</v>
      </c>
      <c r="CJ177" s="518" t="str">
        <f>IF(AND(_6="B-737-900",'2026'!$H$4="FO",'2026'!$H$2=CJ157),'2026DATA'!$C$22,"")</f>
        <v/>
      </c>
      <c r="CK177" s="518" t="str">
        <f>IF(AND(_6="B-737-900",'2026'!$H$4="FO",'2026'!$H$2=CK157),'2026DATA'!$D$22,"")</f>
        <v/>
      </c>
      <c r="CL177" s="518" t="str">
        <f>IF(AND(_6="B-737-900",'2026'!$H$4="FO",'2026'!$H$2=CL157),'2026DATA'!$E$22,"")</f>
        <v/>
      </c>
      <c r="CM177" s="518" t="str">
        <f>IF(AND(_6="B-737-900",'2026'!$H$4="FO",'2026'!$H$2=CM157),'2026DATA'!$F$22,"")</f>
        <v/>
      </c>
      <c r="CN177" s="518" t="str">
        <f>IF(AND(_6="B-737-900",'2026'!$H$4="FO",'2026'!$H$2=CN157),'2026DATA'!$G$22,"")</f>
        <v/>
      </c>
      <c r="CO177" s="518" t="str">
        <f>IF(AND(_6="B-737-900",'2026'!$H$4="FO",'2026'!$H$2=CO157),'2026DATA'!$H$22,"")</f>
        <v/>
      </c>
      <c r="CP177" s="518" t="str">
        <f>IF(AND(_6="B-737-900",'2026'!$H$4="FO",'2026'!$H$2=CP157),'2026DATA'!$I$22,"")</f>
        <v/>
      </c>
      <c r="CQ177" s="518" t="str">
        <f>IF(AND(_6="B-737-900",'2026'!$H$4="FO",'2026'!$H$2=CQ157),'2026DATA'!$J$22,"")</f>
        <v/>
      </c>
      <c r="CR177" s="518" t="str">
        <f>IF(AND(_6="B-737-900",'2026'!$H$4="FO",'2026'!$H$2=CR157),'2026DATA'!$K$22,"")</f>
        <v/>
      </c>
      <c r="CS177" s="518" t="str">
        <f>IF(AND(_6="B-737-900",'2026'!$H$4="FO",'2026'!$H$2=CS157),'2026DATA'!$L$22,"")</f>
        <v/>
      </c>
      <c r="CT177" s="518" t="str">
        <f>IF(AND(_6="B-737-900",'2026'!$H$4="FO",'2026'!$H$2=CT157),'2026DATA'!$M$22,"")</f>
        <v/>
      </c>
      <c r="CU177" s="520" t="str">
        <f>IF(AND(_6="B-737-900",'2026'!$H$4="FO",'2026'!$H$2=CU157),'2026DATA'!$N$22,"")</f>
        <v/>
      </c>
    </row>
    <row r="178" spans="16:99" x14ac:dyDescent="0.25">
      <c r="P178" s="940" t="s">
        <v>69</v>
      </c>
      <c r="Q178" s="13" t="s">
        <v>61</v>
      </c>
      <c r="R178" s="518" t="str">
        <f>IF(AND(_1="B-737-800",'2026'!$H$4="CA",'2026'!$H$2=R157),'2026DATA'!$C$23,"")</f>
        <v/>
      </c>
      <c r="S178" s="518" t="str">
        <f>IF(AND(_1="B-737-800",'2026'!$H$4="CA",'2026'!$H$2=S157),'2026DATA'!$D$23,"")</f>
        <v/>
      </c>
      <c r="T178" s="518" t="str">
        <f>IF(AND(_1="B-737-800",'2026'!$H$4="CA",'2026'!$H$2=T157),'2026DATA'!$E$23,"")</f>
        <v/>
      </c>
      <c r="U178" s="518" t="str">
        <f>IF(AND(_1="B-737-800",'2026'!$H$4="CA",'2026'!$H$2=U157),'2026DATA'!$F$23,"")</f>
        <v/>
      </c>
      <c r="V178" s="518" t="str">
        <f>IF(AND(_1="B-737-800",'2026'!$H$4="CA",'2026'!$H$2=V157),'2026DATA'!$G$23,"")</f>
        <v/>
      </c>
      <c r="W178" s="518" t="str">
        <f>IF(AND(_1="B-737-800",'2026'!$H$4="CA",'2026'!$H$2=W157),'2026DATA'!$H$23,"")</f>
        <v/>
      </c>
      <c r="X178" s="518" t="str">
        <f>IF(AND(_1="B-737-800",'2026'!$H$4="CA",'2026'!$H$2=X157),'2026DATA'!$I$23,"")</f>
        <v/>
      </c>
      <c r="Y178" s="518" t="str">
        <f>IF(AND(_1="B-737-800",'2026'!$H$4="CA",'2026'!$H$2=Y157),'2026DATA'!$J$23,"")</f>
        <v/>
      </c>
      <c r="Z178" s="518" t="str">
        <f>IF(AND(_1="B-737-800",'2026'!$H$4="CA",'2026'!$H$2=Z157),'2026DATA'!$K$23,"")</f>
        <v/>
      </c>
      <c r="AA178" s="518" t="str">
        <f>IF(AND(_1="B-737-800",'2026'!$H$4="CA",'2026'!$H$2=AA157),'2026DATA'!$L$23,"")</f>
        <v/>
      </c>
      <c r="AB178" s="518" t="str">
        <f>IF(AND(_1="B-737-800",'2026'!$H$4="CA",'2026'!$H$2=AB157),'2026DATA'!$M$23,"")</f>
        <v/>
      </c>
      <c r="AC178" s="520" t="str">
        <f>IF(AND(_1="B-737-800",'2026'!$H$4="CA",'2026'!$H$2=AC157),'2026DATA'!$N$23,"")</f>
        <v/>
      </c>
      <c r="AD178" s="940" t="s">
        <v>69</v>
      </c>
      <c r="AE178" s="13" t="s">
        <v>61</v>
      </c>
      <c r="AF178" s="518" t="str">
        <f>IF(AND(_2="B-737-800",'2026'!$H$4="CA",'2026'!$H$2=AF157),'2026DATA'!$C$23,"")</f>
        <v/>
      </c>
      <c r="AG178" s="518" t="str">
        <f>IF(AND(_2="B-737-800",'2026'!$H$4="CA",'2026'!$H$2=AG157),'2026DATA'!$D$23,"")</f>
        <v/>
      </c>
      <c r="AH178" s="518" t="str">
        <f>IF(AND(_2="B-737-800",'2026'!$H$4="CA",'2026'!$H$2=AH157),'2026DATA'!$E$23,"")</f>
        <v/>
      </c>
      <c r="AI178" s="518" t="str">
        <f>IF(AND(_2="B-737-800",'2026'!$H$4="CA",'2026'!$H$2=AI157),'2026DATA'!$F$23,"")</f>
        <v/>
      </c>
      <c r="AJ178" s="518" t="str">
        <f>IF(AND(_2="B-737-800",'2026'!$H$4="CA",'2026'!$H$2=AJ157),'2026DATA'!$G$23,"")</f>
        <v/>
      </c>
      <c r="AK178" s="518" t="str">
        <f>IF(AND(_2="B-737-800",'2026'!$H$4="CA",'2026'!$H$2=AK157),'2026DATA'!$H$23,"")</f>
        <v/>
      </c>
      <c r="AL178" s="518" t="str">
        <f>IF(AND(_2="B-737-800",'2026'!$H$4="CA",'2026'!$H$2=AL157),'2026DATA'!$I$23,"")</f>
        <v/>
      </c>
      <c r="AM178" s="518" t="str">
        <f>IF(AND(_2="B-737-800",'2026'!$H$4="CA",'2026'!$H$2=AM157),'2026DATA'!$J$23,"")</f>
        <v/>
      </c>
      <c r="AN178" s="518" t="str">
        <f>IF(AND(_2="B-737-800",'2026'!$H$4="CA",'2026'!$H$2=AN157),'2026DATA'!$K$23,"")</f>
        <v/>
      </c>
      <c r="AO178" s="518" t="str">
        <f>IF(AND(_2="B-737-800",'2026'!$H$4="CA",'2026'!$H$2=AO157),'2026DATA'!$L$23,"")</f>
        <v/>
      </c>
      <c r="AP178" s="518" t="str">
        <f>IF(AND(_2="B-737-800",'2026'!$H$4="CA",'2026'!$H$2=AP157),'2026DATA'!$M$23,"")</f>
        <v/>
      </c>
      <c r="AQ178" s="520" t="str">
        <f>IF(AND(_2="B-737-800",'2026'!$H$4="CA",'2026'!$H$2=AQ157),'2026DATA'!$N$23,"")</f>
        <v/>
      </c>
      <c r="AR178" s="940" t="s">
        <v>69</v>
      </c>
      <c r="AS178" s="13" t="s">
        <v>61</v>
      </c>
      <c r="AT178" s="518" t="str">
        <f>IF(AND(_3="B-737-800",'2026'!$H$4="CA",'2026'!$H$2=AT157),'2026DATA'!$C$23,"")</f>
        <v/>
      </c>
      <c r="AU178" s="518" t="str">
        <f>IF(AND(_3="B-737-800",'2026'!$H$4="CA",'2026'!$H$2=AU157),'2026DATA'!$D$23,"")</f>
        <v/>
      </c>
      <c r="AV178" s="518" t="str">
        <f>IF(AND(_3="B-737-800",'2026'!$H$4="CA",'2026'!$H$2=AV157),'2026DATA'!$E$23,"")</f>
        <v/>
      </c>
      <c r="AW178" s="518" t="str">
        <f>IF(AND(_3="B-737-800",'2026'!$H$4="CA",'2026'!$H$2=AW157),'2026DATA'!$F$23,"")</f>
        <v/>
      </c>
      <c r="AX178" s="518" t="str">
        <f>IF(AND(_3="B-737-800",'2026'!$H$4="CA",'2026'!$H$2=AX157),'2026DATA'!$G$23,"")</f>
        <v/>
      </c>
      <c r="AY178" s="518" t="str">
        <f>IF(AND(_3="B-737-800",'2026'!$H$4="CA",'2026'!$H$2=AY157),'2026DATA'!$H$23,"")</f>
        <v/>
      </c>
      <c r="AZ178" s="518" t="str">
        <f>IF(AND(_3="B-737-800",'2026'!$H$4="CA",'2026'!$H$2=AZ157),'2026DATA'!$I$23,"")</f>
        <v/>
      </c>
      <c r="BA178" s="518" t="str">
        <f>IF(AND(_3="B-737-800",'2026'!$H$4="CA",'2026'!$H$2=BA157),'2026DATA'!$J$23,"")</f>
        <v/>
      </c>
      <c r="BB178" s="518" t="str">
        <f>IF(AND(_3="B-737-800",'2026'!$H$4="CA",'2026'!$H$2=BB157),'2026DATA'!$K$23,"")</f>
        <v/>
      </c>
      <c r="BC178" s="518" t="str">
        <f>IF(AND(_3="B-737-800",'2026'!$H$4="CA",'2026'!$H$2=BC157),'2026DATA'!$L$23,"")</f>
        <v/>
      </c>
      <c r="BD178" s="518" t="str">
        <f>IF(AND(_3="B-737-800",'2026'!$H$4="CA",'2026'!$H$2=BD157),'2026DATA'!$M$23,"")</f>
        <v/>
      </c>
      <c r="BE178" s="520" t="str">
        <f>IF(AND(_3="B-737-800",'2026'!$H$4="CA",'2026'!$H$2=BE157),'2026DATA'!$N$23,"")</f>
        <v/>
      </c>
      <c r="BF178" s="940" t="s">
        <v>69</v>
      </c>
      <c r="BG178" s="13" t="s">
        <v>61</v>
      </c>
      <c r="BH178" s="518" t="str">
        <f>IF(AND(_4="B-737-800",'2026'!$H$4="CA",'2026'!$H$2=BH157),'2026DATA'!$C$23,"")</f>
        <v/>
      </c>
      <c r="BI178" s="518" t="str">
        <f>IF(AND(_4="B-737-800",'2026'!$H$4="CA",'2026'!$H$2=BI157),'2026DATA'!$D$23,"")</f>
        <v/>
      </c>
      <c r="BJ178" s="518" t="str">
        <f>IF(AND(_4="B-737-800",'2026'!$H$4="CA",'2026'!$H$2=BJ157),'2026DATA'!$E$23,"")</f>
        <v/>
      </c>
      <c r="BK178" s="518" t="str">
        <f>IF(AND(_4="B-737-800",'2026'!$H$4="CA",'2026'!$H$2=BK157),'2026DATA'!$F$23,"")</f>
        <v/>
      </c>
      <c r="BL178" s="518" t="str">
        <f>IF(AND(_4="B-737-800",'2026'!$H$4="CA",'2026'!$H$2=BL157),'2026DATA'!$G$23,"")</f>
        <v/>
      </c>
      <c r="BM178" s="518" t="str">
        <f>IF(AND(_4="B-737-800",'2026'!$H$4="CA",'2026'!$H$2=BM157),'2026DATA'!$H$23,"")</f>
        <v/>
      </c>
      <c r="BN178" s="518" t="str">
        <f>IF(AND(_4="B-737-800",'2026'!$H$4="CA",'2026'!$H$2=BN157),'2026DATA'!$I$23,"")</f>
        <v/>
      </c>
      <c r="BO178" s="518" t="str">
        <f>IF(AND(_4="B-737-800",'2026'!$H$4="CA",'2026'!$H$2=BO157),'2026DATA'!$J$23,"")</f>
        <v/>
      </c>
      <c r="BP178" s="518" t="str">
        <f>IF(AND(_4="B-737-800",'2026'!$H$4="CA",'2026'!$H$2=BP157),'2026DATA'!$K$23,"")</f>
        <v/>
      </c>
      <c r="BQ178" s="518" t="str">
        <f>IF(AND(_4="B-737-800",'2026'!$H$4="CA",'2026'!$H$2=BQ157),'2026DATA'!$L$23,"")</f>
        <v/>
      </c>
      <c r="BR178" s="518" t="str">
        <f>IF(AND(_4="B-737-800",'2026'!$H$4="CA",'2026'!$H$2=BR157),'2026DATA'!$M$23,"")</f>
        <v/>
      </c>
      <c r="BS178" s="520" t="str">
        <f>IF(AND(_4="B-737-800",'2026'!$H$4="CA",'2026'!$H$2=BS157),'2026DATA'!$N$23,"")</f>
        <v/>
      </c>
      <c r="BT178" s="940" t="s">
        <v>69</v>
      </c>
      <c r="BU178" s="13" t="s">
        <v>61</v>
      </c>
      <c r="BV178" s="518" t="str">
        <f>IF(AND(_5="B-737-800",'2026'!$H$4="CA",'2026'!$H$2=BV157),'2026DATA'!$C$23,"")</f>
        <v/>
      </c>
      <c r="BW178" s="518" t="str">
        <f>IF(AND(_5="B-737-800",'2026'!$H$4="CA",'2026'!$H$2=BW157),'2026DATA'!$D$23,"")</f>
        <v/>
      </c>
      <c r="BX178" s="518" t="str">
        <f>IF(AND(_5="B-737-800",'2026'!$H$4="CA",'2026'!$H$2=BX157),'2026DATA'!$E$23,"")</f>
        <v/>
      </c>
      <c r="BY178" s="518" t="str">
        <f>IF(AND(_5="B-737-800",'2026'!$H$4="CA",'2026'!$H$2=BY157),'2026DATA'!$F$23,"")</f>
        <v/>
      </c>
      <c r="BZ178" s="518" t="str">
        <f>IF(AND(_5="B-737-800",'2026'!$H$4="CA",'2026'!$H$2=BZ157),'2026DATA'!$G$23,"")</f>
        <v/>
      </c>
      <c r="CA178" s="518" t="str">
        <f>IF(AND(_5="B-737-800",'2026'!$H$4="CA",'2026'!$H$2=CA157),'2026DATA'!$H$23,"")</f>
        <v/>
      </c>
      <c r="CB178" s="518" t="str">
        <f>IF(AND(_5="B-737-800",'2026'!$H$4="CA",'2026'!$H$2=CB157),'2026DATA'!$I$23,"")</f>
        <v/>
      </c>
      <c r="CC178" s="518" t="str">
        <f>IF(AND(_5="B-737-800",'2026'!$H$4="CA",'2026'!$H$2=CC157),'2026DATA'!$J$23,"")</f>
        <v/>
      </c>
      <c r="CD178" s="518" t="str">
        <f>IF(AND(_5="B-737-800",'2026'!$H$4="CA",'2026'!$H$2=CD157),'2026DATA'!$K$23,"")</f>
        <v/>
      </c>
      <c r="CE178" s="518" t="str">
        <f>IF(AND(_5="B-737-800",'2026'!$H$4="CA",'2026'!$H$2=CE157),'2026DATA'!$L$23,"")</f>
        <v/>
      </c>
      <c r="CF178" s="518" t="str">
        <f>IF(AND(_5="B-737-800",'2026'!$H$4="CA",'2026'!$H$2=CF157),'2026DATA'!$M$23,"")</f>
        <v/>
      </c>
      <c r="CG178" s="520" t="str">
        <f>IF(AND(_5="B-737-800",'2026'!$H$4="CA",'2026'!$H$2=CG157),'2026DATA'!$N$23,"")</f>
        <v/>
      </c>
      <c r="CH178" s="940" t="s">
        <v>69</v>
      </c>
      <c r="CI178" s="13" t="s">
        <v>61</v>
      </c>
      <c r="CJ178" s="518" t="str">
        <f>IF(AND(_6="B-737-800",'2026'!$H$4="CA",'2026'!$H$2=CJ157),'2026DATA'!$C$23,"")</f>
        <v/>
      </c>
      <c r="CK178" s="518" t="str">
        <f>IF(AND(_6="B-737-800",'2026'!$H$4="CA",'2026'!$H$2=CK157),'2026DATA'!$D$23,"")</f>
        <v/>
      </c>
      <c r="CL178" s="518" t="str">
        <f>IF(AND(_6="B-737-800",'2026'!$H$4="CA",'2026'!$H$2=CL157),'2026DATA'!$E$23,"")</f>
        <v/>
      </c>
      <c r="CM178" s="518" t="str">
        <f>IF(AND(_6="B-737-800",'2026'!$H$4="CA",'2026'!$H$2=CM157),'2026DATA'!$F$23,"")</f>
        <v/>
      </c>
      <c r="CN178" s="518" t="str">
        <f>IF(AND(_6="B-737-800",'2026'!$H$4="CA",'2026'!$H$2=CN157),'2026DATA'!$G$23,"")</f>
        <v/>
      </c>
      <c r="CO178" s="518" t="str">
        <f>IF(AND(_6="B-737-800",'2026'!$H$4="CA",'2026'!$H$2=CO157),'2026DATA'!$H$23,"")</f>
        <v/>
      </c>
      <c r="CP178" s="518" t="str">
        <f>IF(AND(_6="B-737-800",'2026'!$H$4="CA",'2026'!$H$2=CP157),'2026DATA'!$I$23,"")</f>
        <v/>
      </c>
      <c r="CQ178" s="518" t="str">
        <f>IF(AND(_6="B-737-800",'2026'!$H$4="CA",'2026'!$H$2=CQ157),'2026DATA'!$J$23,"")</f>
        <v/>
      </c>
      <c r="CR178" s="518" t="str">
        <f>IF(AND(_6="B-737-800",'2026'!$H$4="CA",'2026'!$H$2=CR157),'2026DATA'!$K$23,"")</f>
        <v/>
      </c>
      <c r="CS178" s="518" t="str">
        <f>IF(AND(_6="B-737-800",'2026'!$H$4="CA",'2026'!$H$2=CS157),'2026DATA'!$L$23,"")</f>
        <v/>
      </c>
      <c r="CT178" s="518" t="str">
        <f>IF(AND(_6="B-737-800",'2026'!$H$4="CA",'2026'!$H$2=CT157),'2026DATA'!$M$23,"")</f>
        <v/>
      </c>
      <c r="CU178" s="520" t="str">
        <f>IF(AND(_6="B-737-800",'2026'!$H$4="CA",'2026'!$H$2=CU157),'2026DATA'!$N$23,"")</f>
        <v/>
      </c>
    </row>
    <row r="179" spans="16:99" x14ac:dyDescent="0.25">
      <c r="P179" s="940"/>
      <c r="Q179" s="13" t="s">
        <v>62</v>
      </c>
      <c r="R179" s="518" t="str">
        <f>IF(AND(_1="B-737-800",'2026'!$H$4="FO",'2026'!$H$2=R157),'2026DATA'!$C$24,"")</f>
        <v/>
      </c>
      <c r="S179" s="518" t="str">
        <f>IF(AND(_1="B-737-800",'2026'!$H$4="FO",'2026'!$H$2=S157),'2026DATA'!$D$24,"")</f>
        <v/>
      </c>
      <c r="T179" s="518" t="str">
        <f>IF(AND(_1="B-737-800",'2026'!$H$4="FO",'2026'!$H$2=T157),'2026DATA'!$E$24,"")</f>
        <v/>
      </c>
      <c r="U179" s="518" t="str">
        <f>IF(AND(_1="B-737-800",'2026'!$H$4="FO",'2026'!$H$2=U157),'2026DATA'!$F$24,"")</f>
        <v/>
      </c>
      <c r="V179" s="518" t="str">
        <f>IF(AND(_1="B-737-800",'2026'!$H$4="FO",'2026'!$H$2=V157),'2026DATA'!$G$24,"")</f>
        <v/>
      </c>
      <c r="W179" s="518" t="str">
        <f>IF(AND(_1="B-737-800",'2026'!$H$4="FO",'2026'!$H$2=W157),'2026DATA'!$H$24,"")</f>
        <v/>
      </c>
      <c r="X179" s="518" t="str">
        <f>IF(AND(_1="B-737-800",'2026'!$H$4="FO",'2026'!$H$2=X157),'2026DATA'!$I$24,"")</f>
        <v/>
      </c>
      <c r="Y179" s="518" t="str">
        <f>IF(AND(_1="B-737-800",'2026'!$H$4="FO",'2026'!$H$2=Y157),'2026DATA'!$J$24,"")</f>
        <v/>
      </c>
      <c r="Z179" s="518" t="str">
        <f>IF(AND(_1="B-737-800",'2026'!$H$4="FO",'2026'!$H$2=Z157),'2026DATA'!$K$24,"")</f>
        <v/>
      </c>
      <c r="AA179" s="518" t="str">
        <f>IF(AND(_1="B-737-800",'2026'!$H$4="FO",'2026'!$H$2=AA157),'2026DATA'!$L$24,"")</f>
        <v/>
      </c>
      <c r="AB179" s="518" t="str">
        <f>IF(AND(_1="B-737-800",'2026'!$H$4="FO",'2026'!$H$2=AB157),'2026DATA'!$M$24,"")</f>
        <v/>
      </c>
      <c r="AC179" s="520" t="str">
        <f>IF(AND(_1="B-737-800",'2026'!$H$4="FO",'2026'!$H$2=AC157),'2026DATA'!$N$24,"")</f>
        <v/>
      </c>
      <c r="AD179" s="940"/>
      <c r="AE179" s="13" t="s">
        <v>62</v>
      </c>
      <c r="AF179" s="518" t="str">
        <f>IF(AND(_2="B-737-800",'2026'!$H$4="FO",'2026'!$H$2=AF157),'2026DATA'!$C$24,"")</f>
        <v/>
      </c>
      <c r="AG179" s="518" t="str">
        <f>IF(AND(_2="B-737-800",'2026'!$H$4="FO",'2026'!$H$2=AG157),'2026DATA'!$D$24,"")</f>
        <v/>
      </c>
      <c r="AH179" s="518" t="str">
        <f>IF(AND(_2="B-737-800",'2026'!$H$4="FO",'2026'!$H$2=AH157),'2026DATA'!$E$24,"")</f>
        <v/>
      </c>
      <c r="AI179" s="518" t="str">
        <f>IF(AND(_2="B-737-800",'2026'!$H$4="FO",'2026'!$H$2=AI157),'2026DATA'!$F$24,"")</f>
        <v/>
      </c>
      <c r="AJ179" s="518" t="str">
        <f>IF(AND(_2="B-737-800",'2026'!$H$4="FO",'2026'!$H$2=AJ157),'2026DATA'!$G$24,"")</f>
        <v/>
      </c>
      <c r="AK179" s="518" t="str">
        <f>IF(AND(_2="B-737-800",'2026'!$H$4="FO",'2026'!$H$2=AK157),'2026DATA'!$H$24,"")</f>
        <v/>
      </c>
      <c r="AL179" s="518" t="str">
        <f>IF(AND(_2="B-737-800",'2026'!$H$4="FO",'2026'!$H$2=AL157),'2026DATA'!$I$24,"")</f>
        <v/>
      </c>
      <c r="AM179" s="518" t="str">
        <f>IF(AND(_2="B-737-800",'2026'!$H$4="FO",'2026'!$H$2=AM157),'2026DATA'!$J$24,"")</f>
        <v/>
      </c>
      <c r="AN179" s="518" t="str">
        <f>IF(AND(_2="B-737-800",'2026'!$H$4="FO",'2026'!$H$2=AN157),'2026DATA'!$K$24,"")</f>
        <v/>
      </c>
      <c r="AO179" s="518" t="str">
        <f>IF(AND(_2="B-737-800",'2026'!$H$4="FO",'2026'!$H$2=AO157),'2026DATA'!$L$24,"")</f>
        <v/>
      </c>
      <c r="AP179" s="518" t="str">
        <f>IF(AND(_2="B-737-800",'2026'!$H$4="FO",'2026'!$H$2=AP157),'2026DATA'!$M$24,"")</f>
        <v/>
      </c>
      <c r="AQ179" s="520" t="str">
        <f>IF(AND(_2="B-737-800",'2026'!$H$4="FO",'2026'!$H$2=AQ157),'2026DATA'!$N$24,"")</f>
        <v/>
      </c>
      <c r="AR179" s="940"/>
      <c r="AS179" s="13" t="s">
        <v>62</v>
      </c>
      <c r="AT179" s="518" t="str">
        <f>IF(AND(_3="B-737-800",'2026'!$H$4="FO",'2026'!$H$2=AT157),'2026DATA'!$C$24,"")</f>
        <v/>
      </c>
      <c r="AU179" s="518" t="str">
        <f>IF(AND(_3="B-737-800",'2026'!$H$4="FO",'2026'!$H$2=AU157),'2026DATA'!$D$24,"")</f>
        <v/>
      </c>
      <c r="AV179" s="518" t="str">
        <f>IF(AND(_3="B-737-800",'2026'!$H$4="FO",'2026'!$H$2=AV157),'2026DATA'!$E$24,"")</f>
        <v/>
      </c>
      <c r="AW179" s="518" t="str">
        <f>IF(AND(_3="B-737-800",'2026'!$H$4="FO",'2026'!$H$2=AW157),'2026DATA'!$F$24,"")</f>
        <v/>
      </c>
      <c r="AX179" s="518" t="str">
        <f>IF(AND(_3="B-737-800",'2026'!$H$4="FO",'2026'!$H$2=AX157),'2026DATA'!$G$24,"")</f>
        <v/>
      </c>
      <c r="AY179" s="518" t="str">
        <f>IF(AND(_3="B-737-800",'2026'!$H$4="FO",'2026'!$H$2=AY157),'2026DATA'!$H$24,"")</f>
        <v/>
      </c>
      <c r="AZ179" s="518" t="str">
        <f>IF(AND(_3="B-737-800",'2026'!$H$4="FO",'2026'!$H$2=AZ157),'2026DATA'!$I$24,"")</f>
        <v/>
      </c>
      <c r="BA179" s="518" t="str">
        <f>IF(AND(_3="B-737-800",'2026'!$H$4="FO",'2026'!$H$2=BA157),'2026DATA'!$J$24,"")</f>
        <v/>
      </c>
      <c r="BB179" s="518" t="str">
        <f>IF(AND(_3="B-737-800",'2026'!$H$4="FO",'2026'!$H$2=BB157),'2026DATA'!$K$24,"")</f>
        <v/>
      </c>
      <c r="BC179" s="518" t="str">
        <f>IF(AND(_3="B-737-800",'2026'!$H$4="FO",'2026'!$H$2=BC157),'2026DATA'!$L$24,"")</f>
        <v/>
      </c>
      <c r="BD179" s="518" t="str">
        <f>IF(AND(_3="B-737-800",'2026'!$H$4="FO",'2026'!$H$2=BD157),'2026DATA'!$M$24,"")</f>
        <v/>
      </c>
      <c r="BE179" s="520" t="str">
        <f>IF(AND(_3="B-737-800",'2026'!$H$4="FO",'2026'!$H$2=BE157),'2026DATA'!$N$24,"")</f>
        <v/>
      </c>
      <c r="BF179" s="940"/>
      <c r="BG179" s="13" t="s">
        <v>62</v>
      </c>
      <c r="BH179" s="518" t="str">
        <f>IF(AND(_4="B-737-800",'2026'!$H$4="FO",'2026'!$H$2=BH157),'2026DATA'!$C$24,"")</f>
        <v/>
      </c>
      <c r="BI179" s="518" t="str">
        <f>IF(AND(_4="B-737-800",'2026'!$H$4="FO",'2026'!$H$2=BI157),'2026DATA'!$D$24,"")</f>
        <v/>
      </c>
      <c r="BJ179" s="518" t="str">
        <f>IF(AND(_4="B-737-800",'2026'!$H$4="FO",'2026'!$H$2=BJ157),'2026DATA'!$E$24,"")</f>
        <v/>
      </c>
      <c r="BK179" s="518" t="str">
        <f>IF(AND(_4="B-737-800",'2026'!$H$4="FO",'2026'!$H$2=BK157),'2026DATA'!$F$24,"")</f>
        <v/>
      </c>
      <c r="BL179" s="518" t="str">
        <f>IF(AND(_4="B-737-800",'2026'!$H$4="FO",'2026'!$H$2=BL157),'2026DATA'!$G$24,"")</f>
        <v/>
      </c>
      <c r="BM179" s="518" t="str">
        <f>IF(AND(_4="B-737-800",'2026'!$H$4="FO",'2026'!$H$2=BM157),'2026DATA'!$H$24,"")</f>
        <v/>
      </c>
      <c r="BN179" s="518" t="str">
        <f>IF(AND(_4="B-737-800",'2026'!$H$4="FO",'2026'!$H$2=BN157),'2026DATA'!$I$24,"")</f>
        <v/>
      </c>
      <c r="BO179" s="518" t="str">
        <f>IF(AND(_4="B-737-800",'2026'!$H$4="FO",'2026'!$H$2=BO157),'2026DATA'!$J$24,"")</f>
        <v/>
      </c>
      <c r="BP179" s="518" t="str">
        <f>IF(AND(_4="B-737-800",'2026'!$H$4="FO",'2026'!$H$2=BP157),'2026DATA'!$K$24,"")</f>
        <v/>
      </c>
      <c r="BQ179" s="518" t="str">
        <f>IF(AND(_4="B-737-800",'2026'!$H$4="FO",'2026'!$H$2=BQ157),'2026DATA'!$L$24,"")</f>
        <v/>
      </c>
      <c r="BR179" s="518" t="str">
        <f>IF(AND(_4="B-737-800",'2026'!$H$4="FO",'2026'!$H$2=BR157),'2026DATA'!$M$24,"")</f>
        <v/>
      </c>
      <c r="BS179" s="520" t="str">
        <f>IF(AND(_4="B-737-800",'2026'!$H$4="FO",'2026'!$H$2=BS157),'2026DATA'!$N$24,"")</f>
        <v/>
      </c>
      <c r="BT179" s="940"/>
      <c r="BU179" s="13" t="s">
        <v>62</v>
      </c>
      <c r="BV179" s="518" t="str">
        <f>IF(AND(_5="B-737-800",'2026'!$H$4="FO",'2026'!$H$2=BV157),'2026DATA'!$C$24,"")</f>
        <v/>
      </c>
      <c r="BW179" s="518" t="str">
        <f>IF(AND(_5="B-737-800",'2026'!$H$4="FO",'2026'!$H$2=BW157),'2026DATA'!$D$24,"")</f>
        <v/>
      </c>
      <c r="BX179" s="518" t="str">
        <f>IF(AND(_5="B-737-800",'2026'!$H$4="FO",'2026'!$H$2=BX157),'2026DATA'!$E$24,"")</f>
        <v/>
      </c>
      <c r="BY179" s="518" t="str">
        <f>IF(AND(_5="B-737-800",'2026'!$H$4="FO",'2026'!$H$2=BY157),'2026DATA'!$F$24,"")</f>
        <v/>
      </c>
      <c r="BZ179" s="518" t="str">
        <f>IF(AND(_5="B-737-800",'2026'!$H$4="FO",'2026'!$H$2=BZ157),'2026DATA'!$G$24,"")</f>
        <v/>
      </c>
      <c r="CA179" s="518" t="str">
        <f>IF(AND(_5="B-737-800",'2026'!$H$4="FO",'2026'!$H$2=CA157),'2026DATA'!$H$24,"")</f>
        <v/>
      </c>
      <c r="CB179" s="518" t="str">
        <f>IF(AND(_5="B-737-800",'2026'!$H$4="FO",'2026'!$H$2=CB157),'2026DATA'!$I$24,"")</f>
        <v/>
      </c>
      <c r="CC179" s="518" t="str">
        <f>IF(AND(_5="B-737-800",'2026'!$H$4="FO",'2026'!$H$2=CC157),'2026DATA'!$J$24,"")</f>
        <v/>
      </c>
      <c r="CD179" s="518" t="str">
        <f>IF(AND(_5="B-737-800",'2026'!$H$4="FO",'2026'!$H$2=CD157),'2026DATA'!$K$24,"")</f>
        <v/>
      </c>
      <c r="CE179" s="518" t="str">
        <f>IF(AND(_5="B-737-800",'2026'!$H$4="FO",'2026'!$H$2=CE157),'2026DATA'!$L$24,"")</f>
        <v/>
      </c>
      <c r="CF179" s="518" t="str">
        <f>IF(AND(_5="B-737-800",'2026'!$H$4="FO",'2026'!$H$2=CF157),'2026DATA'!$M$24,"")</f>
        <v/>
      </c>
      <c r="CG179" s="520" t="str">
        <f>IF(AND(_5="B-737-800",'2026'!$H$4="FO",'2026'!$H$2=CG157),'2026DATA'!$N$24,"")</f>
        <v/>
      </c>
      <c r="CH179" s="940"/>
      <c r="CI179" s="13" t="s">
        <v>62</v>
      </c>
      <c r="CJ179" s="518" t="str">
        <f>IF(AND(_6="B-737-800",'2026'!$H$4="FO",'2026'!$H$2=CJ157),'2026DATA'!$C$24,"")</f>
        <v/>
      </c>
      <c r="CK179" s="518" t="str">
        <f>IF(AND(_6="B-737-800",'2026'!$H$4="FO",'2026'!$H$2=CK157),'2026DATA'!$D$24,"")</f>
        <v/>
      </c>
      <c r="CL179" s="518" t="str">
        <f>IF(AND(_6="B-737-800",'2026'!$H$4="FO",'2026'!$H$2=CL157),'2026DATA'!$E$24,"")</f>
        <v/>
      </c>
      <c r="CM179" s="518" t="str">
        <f>IF(AND(_6="B-737-800",'2026'!$H$4="FO",'2026'!$H$2=CM157),'2026DATA'!$F$24,"")</f>
        <v/>
      </c>
      <c r="CN179" s="518" t="str">
        <f>IF(AND(_6="B-737-800",'2026'!$H$4="FO",'2026'!$H$2=CN157),'2026DATA'!$G$24,"")</f>
        <v/>
      </c>
      <c r="CO179" s="518" t="str">
        <f>IF(AND(_6="B-737-800",'2026'!$H$4="FO",'2026'!$H$2=CO157),'2026DATA'!$H$24,"")</f>
        <v/>
      </c>
      <c r="CP179" s="518" t="str">
        <f>IF(AND(_6="B-737-800",'2026'!$H$4="FO",'2026'!$H$2=CP157),'2026DATA'!$I$24,"")</f>
        <v/>
      </c>
      <c r="CQ179" s="518" t="str">
        <f>IF(AND(_6="B-737-800",'2026'!$H$4="FO",'2026'!$H$2=CQ157),'2026DATA'!$J$24,"")</f>
        <v/>
      </c>
      <c r="CR179" s="518" t="str">
        <f>IF(AND(_6="B-737-800",'2026'!$H$4="FO",'2026'!$H$2=CR157),'2026DATA'!$K$24,"")</f>
        <v/>
      </c>
      <c r="CS179" s="518" t="str">
        <f>IF(AND(_6="B-737-800",'2026'!$H$4="FO",'2026'!$H$2=CS157),'2026DATA'!$L$24,"")</f>
        <v/>
      </c>
      <c r="CT179" s="518" t="str">
        <f>IF(AND(_6="B-737-800",'2026'!$H$4="FO",'2026'!$H$2=CT157),'2026DATA'!$M$24,"")</f>
        <v/>
      </c>
      <c r="CU179" s="520" t="str">
        <f>IF(AND(_6="B-737-800",'2026'!$H$4="FO",'2026'!$H$2=CU157),'2026DATA'!$N$24,"")</f>
        <v/>
      </c>
    </row>
    <row r="180" spans="16:99" x14ac:dyDescent="0.25">
      <c r="P180" s="940" t="s">
        <v>46</v>
      </c>
      <c r="Q180" s="13" t="s">
        <v>61</v>
      </c>
      <c r="R180" s="518" t="str">
        <f>IF(AND(_1="A-321N",'2026'!$H$4="CA",'2026'!$H$2=R157),'2026DATA'!$C$25,"")</f>
        <v/>
      </c>
      <c r="S180" s="518" t="str">
        <f>IF(AND(_1="A-321N",'2026'!$H$4="CA",'2026'!$H$2=S157),'2026DATA'!$D$25,"")</f>
        <v/>
      </c>
      <c r="T180" s="518" t="str">
        <f>IF(AND(_1="A-321N",'2026'!$H$4="CA",'2026'!$H$2=T157),'2026DATA'!$E$25,"")</f>
        <v/>
      </c>
      <c r="U180" s="518" t="str">
        <f>IF(AND(_1="A-321N",'2026'!$H$4="CA",'2026'!$H$2=U157),'2026DATA'!$F$25,"")</f>
        <v/>
      </c>
      <c r="V180" s="518" t="str">
        <f>IF(AND(_1="A-321N",'2026'!$H$4="CA",'2026'!$H$2=V157),'2026DATA'!$G$25,"")</f>
        <v/>
      </c>
      <c r="W180" s="518" t="str">
        <f>IF(AND(_1="A-321N",'2026'!$H$4="CA",'2026'!$H$2=W157),'2026DATA'!$H$25,"")</f>
        <v/>
      </c>
      <c r="X180" s="518" t="str">
        <f>IF(AND(_1="A-321N",'2026'!$H$4="CA",'2026'!$H$2=X157),'2026DATA'!$I$25,"")</f>
        <v/>
      </c>
      <c r="Y180" s="518" t="str">
        <f>IF(AND(_1="A-321N",'2026'!$H$4="CA",'2026'!$H$2=Y157),'2026DATA'!$J$25,"")</f>
        <v/>
      </c>
      <c r="Z180" s="518" t="str">
        <f>IF(AND(_1="A-321N",'2026'!$H$4="CA",'2026'!$H$2=Z157),'2026DATA'!$K$25,"")</f>
        <v/>
      </c>
      <c r="AA180" s="518" t="str">
        <f>IF(AND(_1="A-321N",'2026'!$H$4="CA",'2026'!$H$2=AA157),'2026DATA'!$L$25,"")</f>
        <v/>
      </c>
      <c r="AB180" s="518" t="str">
        <f>IF(AND(_1="A-321N",'2026'!$H$4="CA",'2026'!$H$2=AB157),'2026DATA'!$M$25,"")</f>
        <v/>
      </c>
      <c r="AC180" s="520" t="str">
        <f>IF(AND(_1="A-321N",'2026'!$H$4="CA",'2026'!$H$2=AC157),'2026DATA'!$N$25,"")</f>
        <v/>
      </c>
      <c r="AD180" s="940" t="s">
        <v>46</v>
      </c>
      <c r="AE180" s="13" t="s">
        <v>61</v>
      </c>
      <c r="AF180" s="518" t="str">
        <f>IF(AND(_2="A-321N",'2026'!$H$4="CA",'2026'!$H$2=AF157),'2026DATA'!$C$25,"")</f>
        <v/>
      </c>
      <c r="AG180" s="518" t="str">
        <f>IF(AND(_2="A-321N",'2026'!$H$4="CA",'2026'!$H$2=AG157),'2026DATA'!$D$25,"")</f>
        <v/>
      </c>
      <c r="AH180" s="518" t="str">
        <f>IF(AND(_2="A-321N",'2026'!$H$4="CA",'2026'!$H$2=AH157),'2026DATA'!$E$25,"")</f>
        <v/>
      </c>
      <c r="AI180" s="518" t="str">
        <f>IF(AND(_2="A-321N",'2026'!$H$4="CA",'2026'!$H$2=AI157),'2026DATA'!$F$25,"")</f>
        <v/>
      </c>
      <c r="AJ180" s="518" t="str">
        <f>IF(AND(_2="A-321N",'2026'!$H$4="CA",'2026'!$H$2=AJ157),'2026DATA'!$G$25,"")</f>
        <v/>
      </c>
      <c r="AK180" s="518" t="str">
        <f>IF(AND(_2="A-321N",'2026'!$H$4="CA",'2026'!$H$2=AK157),'2026DATA'!$H$25,"")</f>
        <v/>
      </c>
      <c r="AL180" s="518" t="str">
        <f>IF(AND(_2="A-321N",'2026'!$H$4="CA",'2026'!$H$2=AL157),'2026DATA'!$I$25,"")</f>
        <v/>
      </c>
      <c r="AM180" s="518" t="str">
        <f>IF(AND(_2="A-321N",'2026'!$H$4="CA",'2026'!$H$2=AM157),'2026DATA'!$J$25,"")</f>
        <v/>
      </c>
      <c r="AN180" s="518" t="str">
        <f>IF(AND(_2="A-321N",'2026'!$H$4="CA",'2026'!$H$2=AN157),'2026DATA'!$K$25,"")</f>
        <v/>
      </c>
      <c r="AO180" s="518" t="str">
        <f>IF(AND(_2="A-321N",'2026'!$H$4="CA",'2026'!$H$2=AO157),'2026DATA'!$L$25,"")</f>
        <v/>
      </c>
      <c r="AP180" s="518" t="str">
        <f>IF(AND(_2="A-321N",'2026'!$H$4="CA",'2026'!$H$2=AP157),'2026DATA'!$M$25,"")</f>
        <v/>
      </c>
      <c r="AQ180" s="520" t="str">
        <f>IF(AND(_2="A-321N",'2026'!$H$4="CA",'2026'!$H$2=AQ157),'2026DATA'!$N$25,"")</f>
        <v/>
      </c>
      <c r="AR180" s="940" t="s">
        <v>46</v>
      </c>
      <c r="AS180" s="13" t="s">
        <v>61</v>
      </c>
      <c r="AT180" s="518" t="str">
        <f>IF(AND(_3="A-321N",'2026'!$H$4="CA",'2026'!$H$2=AT157),'2026DATA'!$C$25,"")</f>
        <v/>
      </c>
      <c r="AU180" s="518" t="str">
        <f>IF(AND(_3="A-321N",'2026'!$H$4="CA",'2026'!$H$2=AU157),'2026DATA'!$D$25,"")</f>
        <v/>
      </c>
      <c r="AV180" s="518" t="str">
        <f>IF(AND(_3="A-321N",'2026'!$H$4="CA",'2026'!$H$2=AV157),'2026DATA'!$E$25,"")</f>
        <v/>
      </c>
      <c r="AW180" s="518" t="str">
        <f>IF(AND(_3="A-321N",'2026'!$H$4="CA",'2026'!$H$2=AW157),'2026DATA'!$F$25,"")</f>
        <v/>
      </c>
      <c r="AX180" s="518" t="str">
        <f>IF(AND(_3="A-321N",'2026'!$H$4="CA",'2026'!$H$2=AX157),'2026DATA'!$G$25,"")</f>
        <v/>
      </c>
      <c r="AY180" s="518" t="str">
        <f>IF(AND(_3="A-321N",'2026'!$H$4="CA",'2026'!$H$2=AY157),'2026DATA'!$H$25,"")</f>
        <v/>
      </c>
      <c r="AZ180" s="518" t="str">
        <f>IF(AND(_3="A-321N",'2026'!$H$4="CA",'2026'!$H$2=AZ157),'2026DATA'!$I$25,"")</f>
        <v/>
      </c>
      <c r="BA180" s="518" t="str">
        <f>IF(AND(_3="A-321N",'2026'!$H$4="CA",'2026'!$H$2=BA157),'2026DATA'!$J$25,"")</f>
        <v/>
      </c>
      <c r="BB180" s="518" t="str">
        <f>IF(AND(_3="A-321N",'2026'!$H$4="CA",'2026'!$H$2=BB157),'2026DATA'!$K$25,"")</f>
        <v/>
      </c>
      <c r="BC180" s="518" t="str">
        <f>IF(AND(_3="A-321N",'2026'!$H$4="CA",'2026'!$H$2=BC157),'2026DATA'!$L$25,"")</f>
        <v/>
      </c>
      <c r="BD180" s="518" t="str">
        <f>IF(AND(_3="A-321N",'2026'!$H$4="CA",'2026'!$H$2=BD157),'2026DATA'!$M$25,"")</f>
        <v/>
      </c>
      <c r="BE180" s="520" t="str">
        <f>IF(AND(_3="A-321N",'2026'!$H$4="CA",'2026'!$H$2=BE157),'2026DATA'!$N$25,"")</f>
        <v/>
      </c>
      <c r="BF180" s="940" t="s">
        <v>46</v>
      </c>
      <c r="BG180" s="13" t="s">
        <v>61</v>
      </c>
      <c r="BH180" s="518" t="str">
        <f>IF(AND(_4="A-321N",'2026'!$H$4="CA",'2026'!$H$2=BH157),'2026DATA'!$C$25,"")</f>
        <v/>
      </c>
      <c r="BI180" s="518" t="str">
        <f>IF(AND(_4="A-321N",'2026'!$H$4="CA",'2026'!$H$2=BI157),'2026DATA'!$D$25,"")</f>
        <v/>
      </c>
      <c r="BJ180" s="518" t="str">
        <f>IF(AND(_4="A-321N",'2026'!$H$4="CA",'2026'!$H$2=BJ157),'2026DATA'!$E$25,"")</f>
        <v/>
      </c>
      <c r="BK180" s="518" t="str">
        <f>IF(AND(_4="A-321N",'2026'!$H$4="CA",'2026'!$H$2=BK157),'2026DATA'!$F$25,"")</f>
        <v/>
      </c>
      <c r="BL180" s="518" t="str">
        <f>IF(AND(_4="A-321N",'2026'!$H$4="CA",'2026'!$H$2=BL157),'2026DATA'!$G$25,"")</f>
        <v/>
      </c>
      <c r="BM180" s="518" t="str">
        <f>IF(AND(_4="A-321N",'2026'!$H$4="CA",'2026'!$H$2=BM157),'2026DATA'!$H$25,"")</f>
        <v/>
      </c>
      <c r="BN180" s="518" t="str">
        <f>IF(AND(_4="A-321N",'2026'!$H$4="CA",'2026'!$H$2=BN157),'2026DATA'!$I$25,"")</f>
        <v/>
      </c>
      <c r="BO180" s="518" t="str">
        <f>IF(AND(_4="A-321N",'2026'!$H$4="CA",'2026'!$H$2=BO157),'2026DATA'!$J$25,"")</f>
        <v/>
      </c>
      <c r="BP180" s="518" t="str">
        <f>IF(AND(_4="A-321N",'2026'!$H$4="CA",'2026'!$H$2=BP157),'2026DATA'!$K$25,"")</f>
        <v/>
      </c>
      <c r="BQ180" s="518" t="str">
        <f>IF(AND(_4="A-321N",'2026'!$H$4="CA",'2026'!$H$2=BQ157),'2026DATA'!$L$25,"")</f>
        <v/>
      </c>
      <c r="BR180" s="518" t="str">
        <f>IF(AND(_4="A-321N",'2026'!$H$4="CA",'2026'!$H$2=BR157),'2026DATA'!$M$25,"")</f>
        <v/>
      </c>
      <c r="BS180" s="520" t="str">
        <f>IF(AND(_4="A-321N",'2026'!$H$4="CA",'2026'!$H$2=BS157),'2026DATA'!$N$25,"")</f>
        <v/>
      </c>
      <c r="BT180" s="940" t="s">
        <v>46</v>
      </c>
      <c r="BU180" s="13" t="s">
        <v>61</v>
      </c>
      <c r="BV180" s="518" t="str">
        <f>IF(AND(_5="A-321N",'2026'!$H$4="CA",'2026'!$H$2=BV157),'2026DATA'!$C$25,"")</f>
        <v/>
      </c>
      <c r="BW180" s="518" t="str">
        <f>IF(AND(_5="A-321N",'2026'!$H$4="CA",'2026'!$H$2=BW157),'2026DATA'!$D$25,"")</f>
        <v/>
      </c>
      <c r="BX180" s="518" t="str">
        <f>IF(AND(_5="A-321N",'2026'!$H$4="CA",'2026'!$H$2=BX157),'2026DATA'!$E$25,"")</f>
        <v/>
      </c>
      <c r="BY180" s="518" t="str">
        <f>IF(AND(_5="A-321N",'2026'!$H$4="CA",'2026'!$H$2=BY157),'2026DATA'!$F$25,"")</f>
        <v/>
      </c>
      <c r="BZ180" s="518" t="str">
        <f>IF(AND(_5="A-321N",'2026'!$H$4="CA",'2026'!$H$2=BZ157),'2026DATA'!$G$25,"")</f>
        <v/>
      </c>
      <c r="CA180" s="518" t="str">
        <f>IF(AND(_5="A-321N",'2026'!$H$4="CA",'2026'!$H$2=CA157),'2026DATA'!$H$25,"")</f>
        <v/>
      </c>
      <c r="CB180" s="518" t="str">
        <f>IF(AND(_5="A-321N",'2026'!$H$4="CA",'2026'!$H$2=CB157),'2026DATA'!$I$25,"")</f>
        <v/>
      </c>
      <c r="CC180" s="518" t="str">
        <f>IF(AND(_5="A-321N",'2026'!$H$4="CA",'2026'!$H$2=CC157),'2026DATA'!$J$25,"")</f>
        <v/>
      </c>
      <c r="CD180" s="518" t="str">
        <f>IF(AND(_5="A-321N",'2026'!$H$4="CA",'2026'!$H$2=CD157),'2026DATA'!$K$25,"")</f>
        <v/>
      </c>
      <c r="CE180" s="518" t="str">
        <f>IF(AND(_5="A-321N",'2026'!$H$4="CA",'2026'!$H$2=CE157),'2026DATA'!$L$25,"")</f>
        <v/>
      </c>
      <c r="CF180" s="518" t="str">
        <f>IF(AND(_5="A-321N",'2026'!$H$4="CA",'2026'!$H$2=CF157),'2026DATA'!$M$25,"")</f>
        <v/>
      </c>
      <c r="CG180" s="520" t="str">
        <f>IF(AND(_5="A-321N",'2026'!$H$4="CA",'2026'!$H$2=CG157),'2026DATA'!$N$25,"")</f>
        <v/>
      </c>
      <c r="CH180" s="940" t="s">
        <v>46</v>
      </c>
      <c r="CI180" s="13" t="s">
        <v>61</v>
      </c>
      <c r="CJ180" s="518" t="str">
        <f>IF(AND(_6="A-321N",'2026'!$H$4="CA",'2026'!$H$2=CJ157),'2026DATA'!$C$25,"")</f>
        <v/>
      </c>
      <c r="CK180" s="518" t="str">
        <f>IF(AND(_6="A-321N",'2026'!$H$4="CA",'2026'!$H$2=CK157),'2026DATA'!$D$25,"")</f>
        <v/>
      </c>
      <c r="CL180" s="518" t="str">
        <f>IF(AND(_6="A-321N",'2026'!$H$4="CA",'2026'!$H$2=CL157),'2026DATA'!$E$25,"")</f>
        <v/>
      </c>
      <c r="CM180" s="518" t="str">
        <f>IF(AND(_6="A-321N",'2026'!$H$4="CA",'2026'!$H$2=CM157),'2026DATA'!$F$25,"")</f>
        <v/>
      </c>
      <c r="CN180" s="518" t="str">
        <f>IF(AND(_6="A-321N",'2026'!$H$4="CA",'2026'!$H$2=CN157),'2026DATA'!$G$25,"")</f>
        <v/>
      </c>
      <c r="CO180" s="518" t="str">
        <f>IF(AND(_6="A-321N",'2026'!$H$4="CA",'2026'!$H$2=CO157),'2026DATA'!$H$25,"")</f>
        <v/>
      </c>
      <c r="CP180" s="518" t="str">
        <f>IF(AND(_6="A-321N",'2026'!$H$4="CA",'2026'!$H$2=CP157),'2026DATA'!$I$25,"")</f>
        <v/>
      </c>
      <c r="CQ180" s="518" t="str">
        <f>IF(AND(_6="A-321N",'2026'!$H$4="CA",'2026'!$H$2=CQ157),'2026DATA'!$J$25,"")</f>
        <v/>
      </c>
      <c r="CR180" s="518" t="str">
        <f>IF(AND(_6="A-321N",'2026'!$H$4="CA",'2026'!$H$2=CR157),'2026DATA'!$K$25,"")</f>
        <v/>
      </c>
      <c r="CS180" s="518" t="str">
        <f>IF(AND(_6="A-321N",'2026'!$H$4="CA",'2026'!$H$2=CS157),'2026DATA'!$L$25,"")</f>
        <v/>
      </c>
      <c r="CT180" s="518" t="str">
        <f>IF(AND(_6="A-321N",'2026'!$H$4="CA",'2026'!$H$2=CT157),'2026DATA'!$M$25,"")</f>
        <v/>
      </c>
      <c r="CU180" s="520" t="str">
        <f>IF(AND(_6="A-321N",'2026'!$H$4="CA",'2026'!$H$2=CU157),'2026DATA'!$N$25,"")</f>
        <v/>
      </c>
    </row>
    <row r="181" spans="16:99" x14ac:dyDescent="0.25">
      <c r="P181" s="940"/>
      <c r="Q181" s="13" t="s">
        <v>62</v>
      </c>
      <c r="R181" s="518" t="str">
        <f>IF(AND(_1="A-321N",'2026'!$H$4="FO",'2026'!$H$2=R157),'2026DATA'!$C$26,"")</f>
        <v/>
      </c>
      <c r="S181" s="518" t="str">
        <f>IF(AND(_1="A-321N",'2026'!$H$4="FO",'2026'!$H$2=S157),'2026DATA'!$D$26,"")</f>
        <v/>
      </c>
      <c r="T181" s="518" t="str">
        <f>IF(AND(_1="A-321N",'2026'!$H$4="FO",'2026'!$H$2=T157),'2026DATA'!$E$26,"")</f>
        <v/>
      </c>
      <c r="U181" s="518" t="str">
        <f>IF(AND(_1="A-321N",'2026'!$H$4="FO",'2026'!$H$2=U157),'2026DATA'!$F$26,"")</f>
        <v/>
      </c>
      <c r="V181" s="518" t="str">
        <f>IF(AND(_1="A-321N",'2026'!$H$4="FO",'2026'!$H$2=V157),'2026DATA'!$G$26,"")</f>
        <v/>
      </c>
      <c r="W181" s="518" t="str">
        <f>IF(AND(_1="A-321N",'2026'!$H$4="FO",'2026'!$H$2=W157),'2026DATA'!$H$26,"")</f>
        <v/>
      </c>
      <c r="X181" s="518" t="str">
        <f>IF(AND(_1="A-321N",'2026'!$H$4="FO",'2026'!$H$2=X157),'2026DATA'!$I$26,"")</f>
        <v/>
      </c>
      <c r="Y181" s="518" t="str">
        <f>IF(AND(_1="A-321N",'2026'!$H$4="FO",'2026'!$H$2=Y157),'2026DATA'!$J$26,"")</f>
        <v/>
      </c>
      <c r="Z181" s="518" t="str">
        <f>IF(AND(_1="A-321N",'2026'!$H$4="FO",'2026'!$H$2=Z157),'2026DATA'!$K$26,"")</f>
        <v/>
      </c>
      <c r="AA181" s="518" t="str">
        <f>IF(AND(_1="A-321N",'2026'!$H$4="FO",'2026'!$H$2=AA157),'2026DATA'!$L$26,"")</f>
        <v/>
      </c>
      <c r="AB181" s="518" t="str">
        <f>IF(AND(_1="A-321N",'2026'!$H$4="FO",'2026'!$H$2=AB157),'2026DATA'!$M$26,"")</f>
        <v/>
      </c>
      <c r="AC181" s="520" t="str">
        <f>IF(AND(_1="A-321N",'2026'!$H$4="FO",'2026'!$H$2=AC157),'2026DATA'!$N$26,"")</f>
        <v/>
      </c>
      <c r="AD181" s="940"/>
      <c r="AE181" s="13" t="s">
        <v>62</v>
      </c>
      <c r="AF181" s="518" t="str">
        <f>IF(AND(_2="A-321N",'2026'!$H$4="FO",'2026'!$H$2=AF157),'2026DATA'!$C$26,"")</f>
        <v/>
      </c>
      <c r="AG181" s="518" t="str">
        <f>IF(AND(_2="A-321N",'2026'!$H$4="FO",'2026'!$H$2=AG157),'2026DATA'!$D$26,"")</f>
        <v/>
      </c>
      <c r="AH181" s="518" t="str">
        <f>IF(AND(_2="A-321N",'2026'!$H$4="FO",'2026'!$H$2=AH157),'2026DATA'!$E$26,"")</f>
        <v/>
      </c>
      <c r="AI181" s="518" t="str">
        <f>IF(AND(_2="A-321N",'2026'!$H$4="FO",'2026'!$H$2=AI157),'2026DATA'!$F$26,"")</f>
        <v/>
      </c>
      <c r="AJ181" s="518" t="str">
        <f>IF(AND(_2="A-321N",'2026'!$H$4="FO",'2026'!$H$2=AJ157),'2026DATA'!$G$26,"")</f>
        <v/>
      </c>
      <c r="AK181" s="518" t="str">
        <f>IF(AND(_2="A-321N",'2026'!$H$4="FO",'2026'!$H$2=AK157),'2026DATA'!$H$26,"")</f>
        <v/>
      </c>
      <c r="AL181" s="518" t="str">
        <f>IF(AND(_2="A-321N",'2026'!$H$4="FO",'2026'!$H$2=AL157),'2026DATA'!$I$26,"")</f>
        <v/>
      </c>
      <c r="AM181" s="518" t="str">
        <f>IF(AND(_2="A-321N",'2026'!$H$4="FO",'2026'!$H$2=AM157),'2026DATA'!$J$26,"")</f>
        <v/>
      </c>
      <c r="AN181" s="518" t="str">
        <f>IF(AND(_2="A-321N",'2026'!$H$4="FO",'2026'!$H$2=AN157),'2026DATA'!$K$26,"")</f>
        <v/>
      </c>
      <c r="AO181" s="518" t="str">
        <f>IF(AND(_2="A-321N",'2026'!$H$4="FO",'2026'!$H$2=AO157),'2026DATA'!$L$26,"")</f>
        <v/>
      </c>
      <c r="AP181" s="518" t="str">
        <f>IF(AND(_2="A-321N",'2026'!$H$4="FO",'2026'!$H$2=AP157),'2026DATA'!$M$26,"")</f>
        <v/>
      </c>
      <c r="AQ181" s="520" t="str">
        <f>IF(AND(_2="A-321N",'2026'!$H$4="FO",'2026'!$H$2=AQ157),'2026DATA'!$N$26,"")</f>
        <v/>
      </c>
      <c r="AR181" s="940"/>
      <c r="AS181" s="13" t="s">
        <v>62</v>
      </c>
      <c r="AT181" s="518" t="str">
        <f>IF(AND(_3="A-321N",'2026'!$H$4="FO",'2026'!$H$2=AT157),'2026DATA'!$C$26,"")</f>
        <v/>
      </c>
      <c r="AU181" s="518" t="str">
        <f>IF(AND(_3="A-321N",'2026'!$H$4="FO",'2026'!$H$2=AU157),'2026DATA'!$D$26,"")</f>
        <v/>
      </c>
      <c r="AV181" s="518" t="str">
        <f>IF(AND(_3="A-321N",'2026'!$H$4="FO",'2026'!$H$2=AV157),'2026DATA'!$E$26,"")</f>
        <v/>
      </c>
      <c r="AW181" s="518" t="str">
        <f>IF(AND(_3="A-321N",'2026'!$H$4="FO",'2026'!$H$2=AW157),'2026DATA'!$F$26,"")</f>
        <v/>
      </c>
      <c r="AX181" s="518" t="str">
        <f>IF(AND(_3="A-321N",'2026'!$H$4="FO",'2026'!$H$2=AX157),'2026DATA'!$G$26,"")</f>
        <v/>
      </c>
      <c r="AY181" s="518" t="str">
        <f>IF(AND(_3="A-321N",'2026'!$H$4="FO",'2026'!$H$2=AY157),'2026DATA'!$H$26,"")</f>
        <v/>
      </c>
      <c r="AZ181" s="518" t="str">
        <f>IF(AND(_3="A-321N",'2026'!$H$4="FO",'2026'!$H$2=AZ157),'2026DATA'!$I$26,"")</f>
        <v/>
      </c>
      <c r="BA181" s="518" t="str">
        <f>IF(AND(_3="A-321N",'2026'!$H$4="FO",'2026'!$H$2=BA157),'2026DATA'!$J$26,"")</f>
        <v/>
      </c>
      <c r="BB181" s="518" t="str">
        <f>IF(AND(_3="A-321N",'2026'!$H$4="FO",'2026'!$H$2=BB157),'2026DATA'!$K$26,"")</f>
        <v/>
      </c>
      <c r="BC181" s="518" t="str">
        <f>IF(AND(_3="A-321N",'2026'!$H$4="FO",'2026'!$H$2=BC157),'2026DATA'!$L$26,"")</f>
        <v/>
      </c>
      <c r="BD181" s="518" t="str">
        <f>IF(AND(_3="A-321N",'2026'!$H$4="FO",'2026'!$H$2=BD157),'2026DATA'!$M$26,"")</f>
        <v/>
      </c>
      <c r="BE181" s="520" t="str">
        <f>IF(AND(_3="A-321N",'2026'!$H$4="FO",'2026'!$H$2=BE157),'2026DATA'!$N$26,"")</f>
        <v/>
      </c>
      <c r="BF181" s="940"/>
      <c r="BG181" s="13" t="s">
        <v>62</v>
      </c>
      <c r="BH181" s="518" t="str">
        <f>IF(AND(_4="A-321N",'2026'!$H$4="FO",'2026'!$H$2=BH157),'2026DATA'!$C$26,"")</f>
        <v/>
      </c>
      <c r="BI181" s="518" t="str">
        <f>IF(AND(_4="A-321N",'2026'!$H$4="FO",'2026'!$H$2=BI157),'2026DATA'!$D$26,"")</f>
        <v/>
      </c>
      <c r="BJ181" s="518" t="str">
        <f>IF(AND(_4="A-321N",'2026'!$H$4="FO",'2026'!$H$2=BJ157),'2026DATA'!$E$26,"")</f>
        <v/>
      </c>
      <c r="BK181" s="518" t="str">
        <f>IF(AND(_4="A-321N",'2026'!$H$4="FO",'2026'!$H$2=BK157),'2026DATA'!$F$26,"")</f>
        <v/>
      </c>
      <c r="BL181" s="518" t="str">
        <f>IF(AND(_4="A-321N",'2026'!$H$4="FO",'2026'!$H$2=BL157),'2026DATA'!$G$26,"")</f>
        <v/>
      </c>
      <c r="BM181" s="518" t="str">
        <f>IF(AND(_4="A-321N",'2026'!$H$4="FO",'2026'!$H$2=BM157),'2026DATA'!$H$26,"")</f>
        <v/>
      </c>
      <c r="BN181" s="518" t="str">
        <f>IF(AND(_4="A-321N",'2026'!$H$4="FO",'2026'!$H$2=BN157),'2026DATA'!$I$26,"")</f>
        <v/>
      </c>
      <c r="BO181" s="518" t="str">
        <f>IF(AND(_4="A-321N",'2026'!$H$4="FO",'2026'!$H$2=BO157),'2026DATA'!$J$26,"")</f>
        <v/>
      </c>
      <c r="BP181" s="518" t="str">
        <f>IF(AND(_4="A-321N",'2026'!$H$4="FO",'2026'!$H$2=BP157),'2026DATA'!$K$26,"")</f>
        <v/>
      </c>
      <c r="BQ181" s="518" t="str">
        <f>IF(AND(_4="A-321N",'2026'!$H$4="FO",'2026'!$H$2=BQ157),'2026DATA'!$L$26,"")</f>
        <v/>
      </c>
      <c r="BR181" s="518" t="str">
        <f>IF(AND(_4="A-321N",'2026'!$H$4="FO",'2026'!$H$2=BR157),'2026DATA'!$M$26,"")</f>
        <v/>
      </c>
      <c r="BS181" s="520" t="str">
        <f>IF(AND(_4="A-321N",'2026'!$H$4="FO",'2026'!$H$2=BS157),'2026DATA'!$N$26,"")</f>
        <v/>
      </c>
      <c r="BT181" s="940"/>
      <c r="BU181" s="13" t="s">
        <v>62</v>
      </c>
      <c r="BV181" s="518" t="str">
        <f>IF(AND(_5="A-321N",'2026'!$H$4="FO",'2026'!$H$2=BV157),'2026DATA'!$C$26,"")</f>
        <v/>
      </c>
      <c r="BW181" s="518" t="str">
        <f>IF(AND(_5="A-321N",'2026'!$H$4="FO",'2026'!$H$2=BW157),'2026DATA'!$D$26,"")</f>
        <v/>
      </c>
      <c r="BX181" s="518" t="str">
        <f>IF(AND(_5="A-321N",'2026'!$H$4="FO",'2026'!$H$2=BX157),'2026DATA'!$E$26,"")</f>
        <v/>
      </c>
      <c r="BY181" s="518" t="str">
        <f>IF(AND(_5="A-321N",'2026'!$H$4="FO",'2026'!$H$2=BY157),'2026DATA'!$F$26,"")</f>
        <v/>
      </c>
      <c r="BZ181" s="518" t="str">
        <f>IF(AND(_5="A-321N",'2026'!$H$4="FO",'2026'!$H$2=BZ157),'2026DATA'!$G$26,"")</f>
        <v/>
      </c>
      <c r="CA181" s="518" t="str">
        <f>IF(AND(_5="A-321N",'2026'!$H$4="FO",'2026'!$H$2=CA157),'2026DATA'!$H$26,"")</f>
        <v/>
      </c>
      <c r="CB181" s="518" t="str">
        <f>IF(AND(_5="A-321N",'2026'!$H$4="FO",'2026'!$H$2=CB157),'2026DATA'!$I$26,"")</f>
        <v/>
      </c>
      <c r="CC181" s="518" t="str">
        <f>IF(AND(_5="A-321N",'2026'!$H$4="FO",'2026'!$H$2=CC157),'2026DATA'!$J$26,"")</f>
        <v/>
      </c>
      <c r="CD181" s="518" t="str">
        <f>IF(AND(_5="A-321N",'2026'!$H$4="FO",'2026'!$H$2=CD157),'2026DATA'!$K$26,"")</f>
        <v/>
      </c>
      <c r="CE181" s="518" t="str">
        <f>IF(AND(_5="A-321N",'2026'!$H$4="FO",'2026'!$H$2=CE157),'2026DATA'!$L$26,"")</f>
        <v/>
      </c>
      <c r="CF181" s="518" t="str">
        <f>IF(AND(_5="A-321N",'2026'!$H$4="FO",'2026'!$H$2=CF157),'2026DATA'!$M$26,"")</f>
        <v/>
      </c>
      <c r="CG181" s="520" t="str">
        <f>IF(AND(_5="A-321N",'2026'!$H$4="FO",'2026'!$H$2=CG157),'2026DATA'!$N$26,"")</f>
        <v/>
      </c>
      <c r="CH181" s="940"/>
      <c r="CI181" s="13" t="s">
        <v>62</v>
      </c>
      <c r="CJ181" s="518" t="str">
        <f>IF(AND(_6="A-321N",'2026'!$H$4="FO",'2026'!$H$2=CJ157),'2026DATA'!$C$26,"")</f>
        <v/>
      </c>
      <c r="CK181" s="518" t="str">
        <f>IF(AND(_6="A-321N",'2026'!$H$4="FO",'2026'!$H$2=CK157),'2026DATA'!$D$26,"")</f>
        <v/>
      </c>
      <c r="CL181" s="518" t="str">
        <f>IF(AND(_6="A-321N",'2026'!$H$4="FO",'2026'!$H$2=CL157),'2026DATA'!$E$26,"")</f>
        <v/>
      </c>
      <c r="CM181" s="518" t="str">
        <f>IF(AND(_6="A-321N",'2026'!$H$4="FO",'2026'!$H$2=CM157),'2026DATA'!$F$26,"")</f>
        <v/>
      </c>
      <c r="CN181" s="518" t="str">
        <f>IF(AND(_6="A-321N",'2026'!$H$4="FO",'2026'!$H$2=CN157),'2026DATA'!$G$26,"")</f>
        <v/>
      </c>
      <c r="CO181" s="518" t="str">
        <f>IF(AND(_6="A-321N",'2026'!$H$4="FO",'2026'!$H$2=CO157),'2026DATA'!$H$26,"")</f>
        <v/>
      </c>
      <c r="CP181" s="518" t="str">
        <f>IF(AND(_6="A-321N",'2026'!$H$4="FO",'2026'!$H$2=CP157),'2026DATA'!$I$26,"")</f>
        <v/>
      </c>
      <c r="CQ181" s="518" t="str">
        <f>IF(AND(_6="A-321N",'2026'!$H$4="FO",'2026'!$H$2=CQ157),'2026DATA'!$J$26,"")</f>
        <v/>
      </c>
      <c r="CR181" s="518" t="str">
        <f>IF(AND(_6="A-321N",'2026'!$H$4="FO",'2026'!$H$2=CR157),'2026DATA'!$K$26,"")</f>
        <v/>
      </c>
      <c r="CS181" s="518" t="str">
        <f>IF(AND(_6="A-321N",'2026'!$H$4="FO",'2026'!$H$2=CS157),'2026DATA'!$L$26,"")</f>
        <v/>
      </c>
      <c r="CT181" s="518" t="str">
        <f>IF(AND(_6="A-321N",'2026'!$H$4="FO",'2026'!$H$2=CT157),'2026DATA'!$M$26,"")</f>
        <v/>
      </c>
      <c r="CU181" s="520" t="str">
        <f>IF(AND(_6="A-321N",'2026'!$H$4="FO",'2026'!$H$2=CU157),'2026DATA'!$N$26,"")</f>
        <v/>
      </c>
    </row>
    <row r="182" spans="16:99" x14ac:dyDescent="0.25">
      <c r="P182" s="940" t="s">
        <v>48</v>
      </c>
      <c r="Q182" s="13" t="s">
        <v>61</v>
      </c>
      <c r="R182" s="518" t="str">
        <f>IF(AND(_1="A-321",'2026'!$H$4="CA",'2026'!$H$2=R157),'2026DATA'!$C$27,"")</f>
        <v/>
      </c>
      <c r="S182" s="518" t="str">
        <f>IF(AND(_1="A-321",'2026'!$H$4="CA",'2026'!$H$2=S157),'2026DATA'!$D$27,"")</f>
        <v/>
      </c>
      <c r="T182" s="518" t="str">
        <f>IF(AND(_1="A-321",'2026'!$H$4="CA",'2026'!$H$2=T157),'2026DATA'!$E$27,"")</f>
        <v/>
      </c>
      <c r="U182" s="518" t="str">
        <f>IF(AND(_1="A-321",'2026'!$H$4="CA",'2026'!$H$2=U157),'2026DATA'!$F$27,"")</f>
        <v/>
      </c>
      <c r="V182" s="518" t="str">
        <f>IF(AND(_1="A-321",'2026'!$H$4="CA",'2026'!$H$2=V157),'2026DATA'!$G$27,"")</f>
        <v/>
      </c>
      <c r="W182" s="518" t="str">
        <f>IF(AND(_1="A-321",'2026'!$H$4="CA",'2026'!$H$2=W157),'2026DATA'!$H$27,"")</f>
        <v/>
      </c>
      <c r="X182" s="518" t="str">
        <f>IF(AND(_1="A-321",'2026'!$H$4="CA",'2026'!$H$2=X157),'2026DATA'!$I$27,"")</f>
        <v/>
      </c>
      <c r="Y182" s="518" t="str">
        <f>IF(AND(_1="A-321",'2026'!$H$4="CA",'2026'!$H$2=Y157),'2026DATA'!$J$27,"")</f>
        <v/>
      </c>
      <c r="Z182" s="518" t="str">
        <f>IF(AND(_1="A-321",'2026'!$H$4="CA",'2026'!$H$2=Z157),'2026DATA'!$K$27,"")</f>
        <v/>
      </c>
      <c r="AA182" s="518" t="str">
        <f>IF(AND(_1="A-321",'2026'!$H$4="CA",'2026'!$H$2=AA157),'2026DATA'!$L$27,"")</f>
        <v/>
      </c>
      <c r="AB182" s="518" t="str">
        <f>IF(AND(_1="A-321",'2026'!$H$4="CA",'2026'!$H$2=AB157),'2026DATA'!$M$27,"")</f>
        <v/>
      </c>
      <c r="AC182" s="520" t="str">
        <f>IF(AND(_1="A-321",'2026'!$H$4="CA",'2026'!$H$2=AC157),'2026DATA'!$N$27,"")</f>
        <v/>
      </c>
      <c r="AD182" s="940" t="s">
        <v>48</v>
      </c>
      <c r="AE182" s="13" t="s">
        <v>61</v>
      </c>
      <c r="AF182" s="518" t="str">
        <f>IF(AND(_2="A-321",'2026'!$H$4="CA",'2026'!$H$2=AF157),'2026DATA'!$C$27,"")</f>
        <v/>
      </c>
      <c r="AG182" s="518" t="str">
        <f>IF(AND(_2="A-321",'2026'!$H$4="CA",'2026'!$H$2=AG157),'2026DATA'!$D$27,"")</f>
        <v/>
      </c>
      <c r="AH182" s="518" t="str">
        <f>IF(AND(_2="A-321",'2026'!$H$4="CA",'2026'!$H$2=AH157),'2026DATA'!$E$27,"")</f>
        <v/>
      </c>
      <c r="AI182" s="518" t="str">
        <f>IF(AND(_2="A-321",'2026'!$H$4="CA",'2026'!$H$2=AI157),'2026DATA'!$F$27,"")</f>
        <v/>
      </c>
      <c r="AJ182" s="518" t="str">
        <f>IF(AND(_2="A-321",'2026'!$H$4="CA",'2026'!$H$2=AJ157),'2026DATA'!$G$27,"")</f>
        <v/>
      </c>
      <c r="AK182" s="518" t="str">
        <f>IF(AND(_2="A-321",'2026'!$H$4="CA",'2026'!$H$2=AK157),'2026DATA'!$H$27,"")</f>
        <v/>
      </c>
      <c r="AL182" s="518" t="str">
        <f>IF(AND(_2="A-321",'2026'!$H$4="CA",'2026'!$H$2=AL157),'2026DATA'!$I$27,"")</f>
        <v/>
      </c>
      <c r="AM182" s="518" t="str">
        <f>IF(AND(_2="A-321",'2026'!$H$4="CA",'2026'!$H$2=AM157),'2026DATA'!$J$27,"")</f>
        <v/>
      </c>
      <c r="AN182" s="518" t="str">
        <f>IF(AND(_2="A-321",'2026'!$H$4="CA",'2026'!$H$2=AN157),'2026DATA'!$K$27,"")</f>
        <v/>
      </c>
      <c r="AO182" s="518" t="str">
        <f>IF(AND(_2="A-321",'2026'!$H$4="CA",'2026'!$H$2=AO157),'2026DATA'!$L$27,"")</f>
        <v/>
      </c>
      <c r="AP182" s="518" t="str">
        <f>IF(AND(_2="A-321",'2026'!$H$4="CA",'2026'!$H$2=AP157),'2026DATA'!$M$27,"")</f>
        <v/>
      </c>
      <c r="AQ182" s="520" t="str">
        <f>IF(AND(_2="A-321",'2026'!$H$4="CA",'2026'!$H$2=AQ157),'2026DATA'!$N$27,"")</f>
        <v/>
      </c>
      <c r="AR182" s="940" t="s">
        <v>48</v>
      </c>
      <c r="AS182" s="13" t="s">
        <v>61</v>
      </c>
      <c r="AT182" s="518" t="str">
        <f>IF(AND(_3="A-321",'2026'!$H$4="CA",'2026'!$H$2=AT157),'2026DATA'!$C$27,"")</f>
        <v/>
      </c>
      <c r="AU182" s="518" t="str">
        <f>IF(AND(_3="A-321",'2026'!$H$4="CA",'2026'!$H$2=AU157),'2026DATA'!$D$27,"")</f>
        <v/>
      </c>
      <c r="AV182" s="518" t="str">
        <f>IF(AND(_3="A-321",'2026'!$H$4="CA",'2026'!$H$2=AV157),'2026DATA'!$E$27,"")</f>
        <v/>
      </c>
      <c r="AW182" s="518" t="str">
        <f>IF(AND(_3="A-321",'2026'!$H$4="CA",'2026'!$H$2=AW157),'2026DATA'!$F$27,"")</f>
        <v/>
      </c>
      <c r="AX182" s="518" t="str">
        <f>IF(AND(_3="A-321",'2026'!$H$4="CA",'2026'!$H$2=AX157),'2026DATA'!$G$27,"")</f>
        <v/>
      </c>
      <c r="AY182" s="518" t="str">
        <f>IF(AND(_3="A-321",'2026'!$H$4="CA",'2026'!$H$2=AY157),'2026DATA'!$H$27,"")</f>
        <v/>
      </c>
      <c r="AZ182" s="518" t="str">
        <f>IF(AND(_3="A-321",'2026'!$H$4="CA",'2026'!$H$2=AZ157),'2026DATA'!$I$27,"")</f>
        <v/>
      </c>
      <c r="BA182" s="518" t="str">
        <f>IF(AND(_3="A-321",'2026'!$H$4="CA",'2026'!$H$2=BA157),'2026DATA'!$J$27,"")</f>
        <v/>
      </c>
      <c r="BB182" s="518" t="str">
        <f>IF(AND(_3="A-321",'2026'!$H$4="CA",'2026'!$H$2=BB157),'2026DATA'!$K$27,"")</f>
        <v/>
      </c>
      <c r="BC182" s="518" t="str">
        <f>IF(AND(_3="A-321",'2026'!$H$4="CA",'2026'!$H$2=BC157),'2026DATA'!$L$27,"")</f>
        <v/>
      </c>
      <c r="BD182" s="518" t="str">
        <f>IF(AND(_3="A-321",'2026'!$H$4="CA",'2026'!$H$2=BD157),'2026DATA'!$M$27,"")</f>
        <v/>
      </c>
      <c r="BE182" s="520" t="str">
        <f>IF(AND(_3="A-321",'2026'!$H$4="CA",'2026'!$H$2=BE157),'2026DATA'!$N$27,"")</f>
        <v/>
      </c>
      <c r="BF182" s="940" t="s">
        <v>48</v>
      </c>
      <c r="BG182" s="13" t="s">
        <v>61</v>
      </c>
      <c r="BH182" s="518" t="str">
        <f>IF(AND(_4="A-321",'2026'!$H$4="CA",'2026'!$H$2=BH157),'2026DATA'!$C$27,"")</f>
        <v/>
      </c>
      <c r="BI182" s="518" t="str">
        <f>IF(AND(_4="A-321",'2026'!$H$4="CA",'2026'!$H$2=BI157),'2026DATA'!$D$27,"")</f>
        <v/>
      </c>
      <c r="BJ182" s="518" t="str">
        <f>IF(AND(_4="A-321",'2026'!$H$4="CA",'2026'!$H$2=BJ157),'2026DATA'!$E$27,"")</f>
        <v/>
      </c>
      <c r="BK182" s="518" t="str">
        <f>IF(AND(_4="A-321",'2026'!$H$4="CA",'2026'!$H$2=BK157),'2026DATA'!$F$27,"")</f>
        <v/>
      </c>
      <c r="BL182" s="518" t="str">
        <f>IF(AND(_4="A-321",'2026'!$H$4="CA",'2026'!$H$2=BL157),'2026DATA'!$G$27,"")</f>
        <v/>
      </c>
      <c r="BM182" s="518" t="str">
        <f>IF(AND(_4="A-321",'2026'!$H$4="CA",'2026'!$H$2=BM157),'2026DATA'!$H$27,"")</f>
        <v/>
      </c>
      <c r="BN182" s="518" t="str">
        <f>IF(AND(_4="A-321",'2026'!$H$4="CA",'2026'!$H$2=BN157),'2026DATA'!$I$27,"")</f>
        <v/>
      </c>
      <c r="BO182" s="518" t="str">
        <f>IF(AND(_4="A-321",'2026'!$H$4="CA",'2026'!$H$2=BO157),'2026DATA'!$J$27,"")</f>
        <v/>
      </c>
      <c r="BP182" s="518" t="str">
        <f>IF(AND(_4="A-321",'2026'!$H$4="CA",'2026'!$H$2=BP157),'2026DATA'!$K$27,"")</f>
        <v/>
      </c>
      <c r="BQ182" s="518" t="str">
        <f>IF(AND(_4="A-321",'2026'!$H$4="CA",'2026'!$H$2=BQ157),'2026DATA'!$L$27,"")</f>
        <v/>
      </c>
      <c r="BR182" s="518" t="str">
        <f>IF(AND(_4="A-321",'2026'!$H$4="CA",'2026'!$H$2=BR157),'2026DATA'!$M$27,"")</f>
        <v/>
      </c>
      <c r="BS182" s="520" t="str">
        <f>IF(AND(_4="A-321",'2026'!$H$4="CA",'2026'!$H$2=BS157),'2026DATA'!$N$27,"")</f>
        <v/>
      </c>
      <c r="BT182" s="940" t="s">
        <v>48</v>
      </c>
      <c r="BU182" s="13" t="s">
        <v>61</v>
      </c>
      <c r="BV182" s="518" t="str">
        <f>IF(AND(_5="A-321",'2026'!$H$4="CA",'2026'!$H$2=BV157),'2026DATA'!$C$27,"")</f>
        <v/>
      </c>
      <c r="BW182" s="518" t="str">
        <f>IF(AND(_5="A-321",'2026'!$H$4="CA",'2026'!$H$2=BW157),'2026DATA'!$D$27,"")</f>
        <v/>
      </c>
      <c r="BX182" s="518" t="str">
        <f>IF(AND(_5="A-321",'2026'!$H$4="CA",'2026'!$H$2=BX157),'2026DATA'!$E$27,"")</f>
        <v/>
      </c>
      <c r="BY182" s="518" t="str">
        <f>IF(AND(_5="A-321",'2026'!$H$4="CA",'2026'!$H$2=BY157),'2026DATA'!$F$27,"")</f>
        <v/>
      </c>
      <c r="BZ182" s="518" t="str">
        <f>IF(AND(_5="A-321",'2026'!$H$4="CA",'2026'!$H$2=BZ157),'2026DATA'!$G$27,"")</f>
        <v/>
      </c>
      <c r="CA182" s="518" t="str">
        <f>IF(AND(_5="A-321",'2026'!$H$4="CA",'2026'!$H$2=CA157),'2026DATA'!$H$27,"")</f>
        <v/>
      </c>
      <c r="CB182" s="518" t="str">
        <f>IF(AND(_5="A-321",'2026'!$H$4="CA",'2026'!$H$2=CB157),'2026DATA'!$I$27,"")</f>
        <v/>
      </c>
      <c r="CC182" s="518" t="str">
        <f>IF(AND(_5="A-321",'2026'!$H$4="CA",'2026'!$H$2=CC157),'2026DATA'!$J$27,"")</f>
        <v/>
      </c>
      <c r="CD182" s="518" t="str">
        <f>IF(AND(_5="A-321",'2026'!$H$4="CA",'2026'!$H$2=CD157),'2026DATA'!$K$27,"")</f>
        <v/>
      </c>
      <c r="CE182" s="518" t="str">
        <f>IF(AND(_5="A-321",'2026'!$H$4="CA",'2026'!$H$2=CE157),'2026DATA'!$L$27,"")</f>
        <v/>
      </c>
      <c r="CF182" s="518" t="str">
        <f>IF(AND(_5="A-321",'2026'!$H$4="CA",'2026'!$H$2=CF157),'2026DATA'!$M$27,"")</f>
        <v/>
      </c>
      <c r="CG182" s="520" t="str">
        <f>IF(AND(_5="A-321",'2026'!$H$4="CA",'2026'!$H$2=CG157),'2026DATA'!$N$27,"")</f>
        <v/>
      </c>
      <c r="CH182" s="940" t="s">
        <v>48</v>
      </c>
      <c r="CI182" s="13" t="s">
        <v>61</v>
      </c>
      <c r="CJ182" s="518" t="str">
        <f>IF(AND(_6="A-321",'2026'!$H$4="CA",'2026'!$H$2=CJ157),'2026DATA'!$C$27,"")</f>
        <v/>
      </c>
      <c r="CK182" s="518" t="str">
        <f>IF(AND(_6="A-321",'2026'!$H$4="CA",'2026'!$H$2=CK157),'2026DATA'!$D$27,"")</f>
        <v/>
      </c>
      <c r="CL182" s="518" t="str">
        <f>IF(AND(_6="A-321",'2026'!$H$4="CA",'2026'!$H$2=CL157),'2026DATA'!$E$27,"")</f>
        <v/>
      </c>
      <c r="CM182" s="518" t="str">
        <f>IF(AND(_6="A-321",'2026'!$H$4="CA",'2026'!$H$2=CM157),'2026DATA'!$F$27,"")</f>
        <v/>
      </c>
      <c r="CN182" s="518" t="str">
        <f>IF(AND(_6="A-321",'2026'!$H$4="CA",'2026'!$H$2=CN157),'2026DATA'!$G$27,"")</f>
        <v/>
      </c>
      <c r="CO182" s="518" t="str">
        <f>IF(AND(_6="A-321",'2026'!$H$4="CA",'2026'!$H$2=CO157),'2026DATA'!$H$27,"")</f>
        <v/>
      </c>
      <c r="CP182" s="518" t="str">
        <f>IF(AND(_6="A-321",'2026'!$H$4="CA",'2026'!$H$2=CP157),'2026DATA'!$I$27,"")</f>
        <v/>
      </c>
      <c r="CQ182" s="518" t="str">
        <f>IF(AND(_6="A-321",'2026'!$H$4="CA",'2026'!$H$2=CQ157),'2026DATA'!$J$27,"")</f>
        <v/>
      </c>
      <c r="CR182" s="518" t="str">
        <f>IF(AND(_6="A-321",'2026'!$H$4="CA",'2026'!$H$2=CR157),'2026DATA'!$K$27,"")</f>
        <v/>
      </c>
      <c r="CS182" s="518" t="str">
        <f>IF(AND(_6="A-321",'2026'!$H$4="CA",'2026'!$H$2=CS157),'2026DATA'!$L$27,"")</f>
        <v/>
      </c>
      <c r="CT182" s="518" t="str">
        <f>IF(AND(_6="A-321",'2026'!$H$4="CA",'2026'!$H$2=CT157),'2026DATA'!$M$27,"")</f>
        <v/>
      </c>
      <c r="CU182" s="520" t="str">
        <f>IF(AND(_6="A-321",'2026'!$H$4="CA",'2026'!$H$2=CU157),'2026DATA'!$N$27,"")</f>
        <v/>
      </c>
    </row>
    <row r="183" spans="16:99" x14ac:dyDescent="0.25">
      <c r="P183" s="940"/>
      <c r="Q183" s="13" t="s">
        <v>62</v>
      </c>
      <c r="R183" s="518" t="str">
        <f>IF(AND(_1="A-321",'2026'!$H$4="FO",'2026'!$H$2=R157),'2026DATA'!$C$28,"")</f>
        <v/>
      </c>
      <c r="S183" s="518" t="str">
        <f>IF(AND(_1="A-321",'2026'!$H$4="FO",'2026'!$H$2=S157),'2026DATA'!$D$28,"")</f>
        <v/>
      </c>
      <c r="T183" s="518" t="str">
        <f>IF(AND(_1="A-321",'2026'!$H$4="FO",'2026'!$H$2=T157),'2026DATA'!$E$28,"")</f>
        <v/>
      </c>
      <c r="U183" s="518" t="str">
        <f>IF(AND(_1="A-321",'2026'!$H$4="FO",'2026'!$H$2=U157),'2026DATA'!$F$28,"")</f>
        <v/>
      </c>
      <c r="V183" s="518" t="str">
        <f>IF(AND(_1="A-321",'2026'!$H$4="FO",'2026'!$H$2=V157),'2026DATA'!$G$28,"")</f>
        <v/>
      </c>
      <c r="W183" s="518" t="str">
        <f>IF(AND(_1="A-321",'2026'!$H$4="FO",'2026'!$H$2=W157),'2026DATA'!$H$28,"")</f>
        <v/>
      </c>
      <c r="X183" s="518" t="str">
        <f>IF(AND(_1="A-321",'2026'!$H$4="FO",'2026'!$H$2=X157),'2026DATA'!$I$28,"")</f>
        <v/>
      </c>
      <c r="Y183" s="518" t="str">
        <f>IF(AND(_1="A-321",'2026'!$H$4="FO",'2026'!$H$2=Y157),'2026DATA'!$J$28,"")</f>
        <v/>
      </c>
      <c r="Z183" s="518" t="str">
        <f>IF(AND(_1="A-321",'2026'!$H$4="FO",'2026'!$H$2=Z157),'2026DATA'!$K$28,"")</f>
        <v/>
      </c>
      <c r="AA183" s="518" t="str">
        <f>IF(AND(_1="A-321",'2026'!$H$4="FO",'2026'!$H$2=AA157),'2026DATA'!$L$28,"")</f>
        <v/>
      </c>
      <c r="AB183" s="518" t="str">
        <f>IF(AND(_1="A-321",'2026'!$H$4="FO",'2026'!$H$2=AB157),'2026DATA'!$M$28,"")</f>
        <v/>
      </c>
      <c r="AC183" s="520" t="str">
        <f>IF(AND(_1="A-321",'2026'!$H$4="FO",'2026'!$H$2=AC157),'2026DATA'!$N$28,"")</f>
        <v/>
      </c>
      <c r="AD183" s="940"/>
      <c r="AE183" s="13" t="s">
        <v>62</v>
      </c>
      <c r="AF183" s="518" t="str">
        <f>IF(AND(_2="A-321",'2026'!$H$4="FO",'2026'!$H$2=AF157),'2026DATA'!$C$28,"")</f>
        <v/>
      </c>
      <c r="AG183" s="518" t="str">
        <f>IF(AND(_2="A-321",'2026'!$H$4="FO",'2026'!$H$2=AG157),'2026DATA'!$D$28,"")</f>
        <v/>
      </c>
      <c r="AH183" s="518" t="str">
        <f>IF(AND(_2="A-321",'2026'!$H$4="FO",'2026'!$H$2=AH157),'2026DATA'!$E$28,"")</f>
        <v/>
      </c>
      <c r="AI183" s="518" t="str">
        <f>IF(AND(_2="A-321",'2026'!$H$4="FO",'2026'!$H$2=AI157),'2026DATA'!$F$28,"")</f>
        <v/>
      </c>
      <c r="AJ183" s="518" t="str">
        <f>IF(AND(_2="A-321",'2026'!$H$4="FO",'2026'!$H$2=AJ157),'2026DATA'!$G$28,"")</f>
        <v/>
      </c>
      <c r="AK183" s="518" t="str">
        <f>IF(AND(_2="A-321",'2026'!$H$4="FO",'2026'!$H$2=AK157),'2026DATA'!$H$28,"")</f>
        <v/>
      </c>
      <c r="AL183" s="518" t="str">
        <f>IF(AND(_2="A-321",'2026'!$H$4="FO",'2026'!$H$2=AL157),'2026DATA'!$I$28,"")</f>
        <v/>
      </c>
      <c r="AM183" s="518" t="str">
        <f>IF(AND(_2="A-321",'2026'!$H$4="FO",'2026'!$H$2=AM157),'2026DATA'!$J$28,"")</f>
        <v/>
      </c>
      <c r="AN183" s="518" t="str">
        <f>IF(AND(_2="A-321",'2026'!$H$4="FO",'2026'!$H$2=AN157),'2026DATA'!$K$28,"")</f>
        <v/>
      </c>
      <c r="AO183" s="518" t="str">
        <f>IF(AND(_2="A-321",'2026'!$H$4="FO",'2026'!$H$2=AO157),'2026DATA'!$L$28,"")</f>
        <v/>
      </c>
      <c r="AP183" s="518" t="str">
        <f>IF(AND(_2="A-321",'2026'!$H$4="FO",'2026'!$H$2=AP157),'2026DATA'!$M$28,"")</f>
        <v/>
      </c>
      <c r="AQ183" s="520" t="str">
        <f>IF(AND(_2="A-321",'2026'!$H$4="FO",'2026'!$H$2=AQ157),'2026DATA'!$N$28,"")</f>
        <v/>
      </c>
      <c r="AR183" s="940"/>
      <c r="AS183" s="13" t="s">
        <v>62</v>
      </c>
      <c r="AT183" s="518" t="str">
        <f>IF(AND(_3="A-321",'2026'!$H$4="FO",'2026'!$H$2=AT157),'2026DATA'!$C$28,"")</f>
        <v/>
      </c>
      <c r="AU183" s="518" t="str">
        <f>IF(AND(_3="A-321",'2026'!$H$4="FO",'2026'!$H$2=AU157),'2026DATA'!$D$28,"")</f>
        <v/>
      </c>
      <c r="AV183" s="518" t="str">
        <f>IF(AND(_3="A-321",'2026'!$H$4="FO",'2026'!$H$2=AV157),'2026DATA'!$E$28,"")</f>
        <v/>
      </c>
      <c r="AW183" s="518" t="str">
        <f>IF(AND(_3="A-321",'2026'!$H$4="FO",'2026'!$H$2=AW157),'2026DATA'!$F$28,"")</f>
        <v/>
      </c>
      <c r="AX183" s="518" t="str">
        <f>IF(AND(_3="A-321",'2026'!$H$4="FO",'2026'!$H$2=AX157),'2026DATA'!$G$28,"")</f>
        <v/>
      </c>
      <c r="AY183" s="518" t="str">
        <f>IF(AND(_3="A-321",'2026'!$H$4="FO",'2026'!$H$2=AY157),'2026DATA'!$H$28,"")</f>
        <v/>
      </c>
      <c r="AZ183" s="518" t="str">
        <f>IF(AND(_3="A-321",'2026'!$H$4="FO",'2026'!$H$2=AZ157),'2026DATA'!$I$28,"")</f>
        <v/>
      </c>
      <c r="BA183" s="518" t="str">
        <f>IF(AND(_3="A-321",'2026'!$H$4="FO",'2026'!$H$2=BA157),'2026DATA'!$J$28,"")</f>
        <v/>
      </c>
      <c r="BB183" s="518" t="str">
        <f>IF(AND(_3="A-321",'2026'!$H$4="FO",'2026'!$H$2=BB157),'2026DATA'!$K$28,"")</f>
        <v/>
      </c>
      <c r="BC183" s="518" t="str">
        <f>IF(AND(_3="A-321",'2026'!$H$4="FO",'2026'!$H$2=BC157),'2026DATA'!$L$28,"")</f>
        <v/>
      </c>
      <c r="BD183" s="518" t="str">
        <f>IF(AND(_3="A-321",'2026'!$H$4="FO",'2026'!$H$2=BD157),'2026DATA'!$M$28,"")</f>
        <v/>
      </c>
      <c r="BE183" s="520" t="str">
        <f>IF(AND(_3="A-321",'2026'!$H$4="FO",'2026'!$H$2=BE157),'2026DATA'!$N$28,"")</f>
        <v/>
      </c>
      <c r="BF183" s="940"/>
      <c r="BG183" s="13" t="s">
        <v>62</v>
      </c>
      <c r="BH183" s="518" t="str">
        <f>IF(AND(_4="A-321",'2026'!$H$4="FO",'2026'!$H$2=BH157),'2026DATA'!$C$28,"")</f>
        <v/>
      </c>
      <c r="BI183" s="518" t="str">
        <f>IF(AND(_4="A-321",'2026'!$H$4="FO",'2026'!$H$2=BI157),'2026DATA'!$D$28,"")</f>
        <v/>
      </c>
      <c r="BJ183" s="518" t="str">
        <f>IF(AND(_4="A-321",'2026'!$H$4="FO",'2026'!$H$2=BJ157),'2026DATA'!$E$28,"")</f>
        <v/>
      </c>
      <c r="BK183" s="518" t="str">
        <f>IF(AND(_4="A-321",'2026'!$H$4="FO",'2026'!$H$2=BK157),'2026DATA'!$F$28,"")</f>
        <v/>
      </c>
      <c r="BL183" s="518" t="str">
        <f>IF(AND(_4="A-321",'2026'!$H$4="FO",'2026'!$H$2=BL157),'2026DATA'!$G$28,"")</f>
        <v/>
      </c>
      <c r="BM183" s="518" t="str">
        <f>IF(AND(_4="A-321",'2026'!$H$4="FO",'2026'!$H$2=BM157),'2026DATA'!$H$28,"")</f>
        <v/>
      </c>
      <c r="BN183" s="518" t="str">
        <f>IF(AND(_4="A-321",'2026'!$H$4="FO",'2026'!$H$2=BN157),'2026DATA'!$I$28,"")</f>
        <v/>
      </c>
      <c r="BO183" s="518" t="str">
        <f>IF(AND(_4="A-321",'2026'!$H$4="FO",'2026'!$H$2=BO157),'2026DATA'!$J$28,"")</f>
        <v/>
      </c>
      <c r="BP183" s="518" t="str">
        <f>IF(AND(_4="A-321",'2026'!$H$4="FO",'2026'!$H$2=BP157),'2026DATA'!$K$28,"")</f>
        <v/>
      </c>
      <c r="BQ183" s="518" t="str">
        <f>IF(AND(_4="A-321",'2026'!$H$4="FO",'2026'!$H$2=BQ157),'2026DATA'!$L$28,"")</f>
        <v/>
      </c>
      <c r="BR183" s="518" t="str">
        <f>IF(AND(_4="A-321",'2026'!$H$4="FO",'2026'!$H$2=BR157),'2026DATA'!$M$28,"")</f>
        <v/>
      </c>
      <c r="BS183" s="520" t="str">
        <f>IF(AND(_4="A-321",'2026'!$H$4="FO",'2026'!$H$2=BS157),'2026DATA'!$N$28,"")</f>
        <v/>
      </c>
      <c r="BT183" s="940"/>
      <c r="BU183" s="13" t="s">
        <v>62</v>
      </c>
      <c r="BV183" s="518" t="str">
        <f>IF(AND(_5="A-321",'2026'!$H$4="FO",'2026'!$H$2=BV157),'2026DATA'!$C$28,"")</f>
        <v/>
      </c>
      <c r="BW183" s="518" t="str">
        <f>IF(AND(_5="A-321",'2026'!$H$4="FO",'2026'!$H$2=BW157),'2026DATA'!$D$28,"")</f>
        <v/>
      </c>
      <c r="BX183" s="518" t="str">
        <f>IF(AND(_5="A-321",'2026'!$H$4="FO",'2026'!$H$2=BX157),'2026DATA'!$E$28,"")</f>
        <v/>
      </c>
      <c r="BY183" s="518" t="str">
        <f>IF(AND(_5="A-321",'2026'!$H$4="FO",'2026'!$H$2=BY157),'2026DATA'!$F$28,"")</f>
        <v/>
      </c>
      <c r="BZ183" s="518" t="str">
        <f>IF(AND(_5="A-321",'2026'!$H$4="FO",'2026'!$H$2=BZ157),'2026DATA'!$G$28,"")</f>
        <v/>
      </c>
      <c r="CA183" s="518" t="str">
        <f>IF(AND(_5="A-321",'2026'!$H$4="FO",'2026'!$H$2=CA157),'2026DATA'!$H$28,"")</f>
        <v/>
      </c>
      <c r="CB183" s="518" t="str">
        <f>IF(AND(_5="A-321",'2026'!$H$4="FO",'2026'!$H$2=CB157),'2026DATA'!$I$28,"")</f>
        <v/>
      </c>
      <c r="CC183" s="518" t="str">
        <f>IF(AND(_5="A-321",'2026'!$H$4="FO",'2026'!$H$2=CC157),'2026DATA'!$J$28,"")</f>
        <v/>
      </c>
      <c r="CD183" s="518" t="str">
        <f>IF(AND(_5="A-321",'2026'!$H$4="FO",'2026'!$H$2=CD157),'2026DATA'!$K$28,"")</f>
        <v/>
      </c>
      <c r="CE183" s="518" t="str">
        <f>IF(AND(_5="A-321",'2026'!$H$4="FO",'2026'!$H$2=CE157),'2026DATA'!$L$28,"")</f>
        <v/>
      </c>
      <c r="CF183" s="518" t="str">
        <f>IF(AND(_5="A-321",'2026'!$H$4="FO",'2026'!$H$2=CF157),'2026DATA'!$M$28,"")</f>
        <v/>
      </c>
      <c r="CG183" s="520" t="str">
        <f>IF(AND(_5="A-321",'2026'!$H$4="FO",'2026'!$H$2=CG157),'2026DATA'!$N$28,"")</f>
        <v/>
      </c>
      <c r="CH183" s="940"/>
      <c r="CI183" s="13" t="s">
        <v>62</v>
      </c>
      <c r="CJ183" s="518" t="str">
        <f>IF(AND(_6="A-321",'2026'!$H$4="FO",'2026'!$H$2=CJ157),'2026DATA'!$C$28,"")</f>
        <v/>
      </c>
      <c r="CK183" s="518" t="str">
        <f>IF(AND(_6="A-321",'2026'!$H$4="FO",'2026'!$H$2=CK157),'2026DATA'!$D$28,"")</f>
        <v/>
      </c>
      <c r="CL183" s="518" t="str">
        <f>IF(AND(_6="A-321",'2026'!$H$4="FO",'2026'!$H$2=CL157),'2026DATA'!$E$28,"")</f>
        <v/>
      </c>
      <c r="CM183" s="518" t="str">
        <f>IF(AND(_6="A-321",'2026'!$H$4="FO",'2026'!$H$2=CM157),'2026DATA'!$F$28,"")</f>
        <v/>
      </c>
      <c r="CN183" s="518" t="str">
        <f>IF(AND(_6="A-321",'2026'!$H$4="FO",'2026'!$H$2=CN157),'2026DATA'!$G$28,"")</f>
        <v/>
      </c>
      <c r="CO183" s="518" t="str">
        <f>IF(AND(_6="A-321",'2026'!$H$4="FO",'2026'!$H$2=CO157),'2026DATA'!$H$28,"")</f>
        <v/>
      </c>
      <c r="CP183" s="518" t="str">
        <f>IF(AND(_6="A-321",'2026'!$H$4="FO",'2026'!$H$2=CP157),'2026DATA'!$I$28,"")</f>
        <v/>
      </c>
      <c r="CQ183" s="518" t="str">
        <f>IF(AND(_6="A-321",'2026'!$H$4="FO",'2026'!$H$2=CQ157),'2026DATA'!$J$28,"")</f>
        <v/>
      </c>
      <c r="CR183" s="518" t="str">
        <f>IF(AND(_6="A-321",'2026'!$H$4="FO",'2026'!$H$2=CR157),'2026DATA'!$K$28,"")</f>
        <v/>
      </c>
      <c r="CS183" s="518" t="str">
        <f>IF(AND(_6="A-321",'2026'!$H$4="FO",'2026'!$H$2=CS157),'2026DATA'!$L$28,"")</f>
        <v/>
      </c>
      <c r="CT183" s="518" t="str">
        <f>IF(AND(_6="A-321",'2026'!$H$4="FO",'2026'!$H$2=CT157),'2026DATA'!$M$28,"")</f>
        <v/>
      </c>
      <c r="CU183" s="520" t="str">
        <f>IF(AND(_6="A-321",'2026'!$H$4="FO",'2026'!$H$2=CU157),'2026DATA'!$N$28,"")</f>
        <v/>
      </c>
    </row>
    <row r="184" spans="16:99" x14ac:dyDescent="0.25">
      <c r="P184" s="940" t="s">
        <v>70</v>
      </c>
      <c r="Q184" s="13" t="s">
        <v>61</v>
      </c>
      <c r="R184" s="518" t="str">
        <f>IF(AND(_1="A-320",'2026'!$H$4="CA",'2026'!$H$2=R157),'2026DATA'!$C$29,"")</f>
        <v/>
      </c>
      <c r="S184" s="518" t="str">
        <f>IF(AND(_1="A-320",'2026'!$H$4="CA",'2026'!$H$2=S157),'2026DATA'!$D$29,"")</f>
        <v/>
      </c>
      <c r="T184" s="518" t="str">
        <f>IF(AND(_1="A-320",'2026'!$H$4="CA",'2026'!$H$2=T157),'2026DATA'!$E$29,"")</f>
        <v/>
      </c>
      <c r="U184" s="518" t="str">
        <f>IF(AND(_1="A-320",'2026'!$H$4="CA",'2026'!$H$2=U157),'2026DATA'!$F$29,"")</f>
        <v/>
      </c>
      <c r="V184" s="518" t="str">
        <f>IF(AND(_1="A-320",'2026'!$H$4="CA",'2026'!$H$2=V157),'2026DATA'!$G$29,"")</f>
        <v/>
      </c>
      <c r="W184" s="518" t="str">
        <f>IF(AND(_1="A-320",'2026'!$H$4="CA",'2026'!$H$2=W157),'2026DATA'!$H$29,"")</f>
        <v/>
      </c>
      <c r="X184" s="518" t="str">
        <f>IF(AND(_1="A-320",'2026'!$H$4="CA",'2026'!$H$2=X157),'2026DATA'!$I$29,"")</f>
        <v/>
      </c>
      <c r="Y184" s="518" t="str">
        <f>IF(AND(_1="A-320",'2026'!$H$4="CA",'2026'!$H$2=Y157),'2026DATA'!$J$29,"")</f>
        <v/>
      </c>
      <c r="Z184" s="518" t="str">
        <f>IF(AND(_1="A-320",'2026'!$H$4="CA",'2026'!$H$2=Z157),'2026DATA'!$K$29,"")</f>
        <v/>
      </c>
      <c r="AA184" s="518" t="str">
        <f>IF(AND(_1="A-320",'2026'!$H$4="CA",'2026'!$H$2=AA157),'2026DATA'!$L$29,"")</f>
        <v/>
      </c>
      <c r="AB184" s="518" t="str">
        <f>IF(AND(_1="A-320",'2026'!$H$4="CA",'2026'!$H$2=AB157),'2026DATA'!$M$29,"")</f>
        <v/>
      </c>
      <c r="AC184" s="520" t="str">
        <f>IF(AND(_1="A-320",'2026'!$H$4="CA",'2026'!$H$2=AC157),'2026DATA'!$N$29,"")</f>
        <v/>
      </c>
      <c r="AD184" s="940" t="s">
        <v>70</v>
      </c>
      <c r="AE184" s="13" t="s">
        <v>61</v>
      </c>
      <c r="AF184" s="518" t="str">
        <f>IF(AND(_2="A-320",'2026'!$H$4="CA",'2026'!$H$2=AF157),'2026DATA'!$C$29,"")</f>
        <v/>
      </c>
      <c r="AG184" s="518" t="str">
        <f>IF(AND(_2="A-320",'2026'!$H$4="CA",'2026'!$H$2=AG157),'2026DATA'!$D$29,"")</f>
        <v/>
      </c>
      <c r="AH184" s="518" t="str">
        <f>IF(AND(_2="A-320",'2026'!$H$4="CA",'2026'!$H$2=AH157),'2026DATA'!$E$29,"")</f>
        <v/>
      </c>
      <c r="AI184" s="518" t="str">
        <f>IF(AND(_2="A-320",'2026'!$H$4="CA",'2026'!$H$2=AI157),'2026DATA'!$F$29,"")</f>
        <v/>
      </c>
      <c r="AJ184" s="518" t="str">
        <f>IF(AND(_2="A-320",'2026'!$H$4="CA",'2026'!$H$2=AJ157),'2026DATA'!$G$29,"")</f>
        <v/>
      </c>
      <c r="AK184" s="518" t="str">
        <f>IF(AND(_2="A-320",'2026'!$H$4="CA",'2026'!$H$2=AK157),'2026DATA'!$H$29,"")</f>
        <v/>
      </c>
      <c r="AL184" s="518" t="str">
        <f>IF(AND(_2="A-320",'2026'!$H$4="CA",'2026'!$H$2=AL157),'2026DATA'!$I$29,"")</f>
        <v/>
      </c>
      <c r="AM184" s="518" t="str">
        <f>IF(AND(_2="A-320",'2026'!$H$4="CA",'2026'!$H$2=AM157),'2026DATA'!$J$29,"")</f>
        <v/>
      </c>
      <c r="AN184" s="518" t="str">
        <f>IF(AND(_2="A-320",'2026'!$H$4="CA",'2026'!$H$2=AN157),'2026DATA'!$K$29,"")</f>
        <v/>
      </c>
      <c r="AO184" s="518" t="str">
        <f>IF(AND(_2="A-320",'2026'!$H$4="CA",'2026'!$H$2=AO157),'2026DATA'!$L$29,"")</f>
        <v/>
      </c>
      <c r="AP184" s="518" t="str">
        <f>IF(AND(_2="A-320",'2026'!$H$4="CA",'2026'!$H$2=AP157),'2026DATA'!$M$29,"")</f>
        <v/>
      </c>
      <c r="AQ184" s="520" t="str">
        <f>IF(AND(_2="A-320",'2026'!$H$4="CA",'2026'!$H$2=AQ157),'2026DATA'!$N$29,"")</f>
        <v/>
      </c>
      <c r="AR184" s="940" t="s">
        <v>70</v>
      </c>
      <c r="AS184" s="13" t="s">
        <v>61</v>
      </c>
      <c r="AT184" s="518" t="str">
        <f>IF(AND(_3="A-320",'2026'!$H$4="CA",'2026'!$H$2=AT157),'2026DATA'!$C$29,"")</f>
        <v/>
      </c>
      <c r="AU184" s="518" t="str">
        <f>IF(AND(_3="A-320",'2026'!$H$4="CA",'2026'!$H$2=AU157),'2026DATA'!$D$29,"")</f>
        <v/>
      </c>
      <c r="AV184" s="518" t="str">
        <f>IF(AND(_3="A-320",'2026'!$H$4="CA",'2026'!$H$2=AV157),'2026DATA'!$E$29,"")</f>
        <v/>
      </c>
      <c r="AW184" s="518" t="str">
        <f>IF(AND(_3="A-320",'2026'!$H$4="CA",'2026'!$H$2=AW157),'2026DATA'!$F$29,"")</f>
        <v/>
      </c>
      <c r="AX184" s="518" t="str">
        <f>IF(AND(_3="A-320",'2026'!$H$4="CA",'2026'!$H$2=AX157),'2026DATA'!$G$29,"")</f>
        <v/>
      </c>
      <c r="AY184" s="518" t="str">
        <f>IF(AND(_3="A-320",'2026'!$H$4="CA",'2026'!$H$2=AY157),'2026DATA'!$H$29,"")</f>
        <v/>
      </c>
      <c r="AZ184" s="518" t="str">
        <f>IF(AND(_3="A-320",'2026'!$H$4="CA",'2026'!$H$2=AZ157),'2026DATA'!$I$29,"")</f>
        <v/>
      </c>
      <c r="BA184" s="518" t="str">
        <f>IF(AND(_3="A-320",'2026'!$H$4="CA",'2026'!$H$2=BA157),'2026DATA'!$J$29,"")</f>
        <v/>
      </c>
      <c r="BB184" s="518" t="str">
        <f>IF(AND(_3="A-320",'2026'!$H$4="CA",'2026'!$H$2=BB157),'2026DATA'!$K$29,"")</f>
        <v/>
      </c>
      <c r="BC184" s="518" t="str">
        <f>IF(AND(_3="A-320",'2026'!$H$4="CA",'2026'!$H$2=BC157),'2026DATA'!$L$29,"")</f>
        <v/>
      </c>
      <c r="BD184" s="518" t="str">
        <f>IF(AND(_3="A-320",'2026'!$H$4="CA",'2026'!$H$2=BD157),'2026DATA'!$M$29,"")</f>
        <v/>
      </c>
      <c r="BE184" s="520" t="str">
        <f>IF(AND(_3="A-320",'2026'!$H$4="CA",'2026'!$H$2=BE157),'2026DATA'!$N$29,"")</f>
        <v/>
      </c>
      <c r="BF184" s="940" t="s">
        <v>70</v>
      </c>
      <c r="BG184" s="13" t="s">
        <v>61</v>
      </c>
      <c r="BH184" s="518" t="str">
        <f>IF(AND(_4="A-320",'2026'!$H$4="CA",'2026'!$H$2=BH157),'2026DATA'!$C$29,"")</f>
        <v/>
      </c>
      <c r="BI184" s="518" t="str">
        <f>IF(AND(_4="A-320",'2026'!$H$4="CA",'2026'!$H$2=BI157),'2026DATA'!$D$29,"")</f>
        <v/>
      </c>
      <c r="BJ184" s="518" t="str">
        <f>IF(AND(_4="A-320",'2026'!$H$4="CA",'2026'!$H$2=BJ157),'2026DATA'!$E$29,"")</f>
        <v/>
      </c>
      <c r="BK184" s="518" t="str">
        <f>IF(AND(_4="A-320",'2026'!$H$4="CA",'2026'!$H$2=BK157),'2026DATA'!$F$29,"")</f>
        <v/>
      </c>
      <c r="BL184" s="518" t="str">
        <f>IF(AND(_4="A-320",'2026'!$H$4="CA",'2026'!$H$2=BL157),'2026DATA'!$G$29,"")</f>
        <v/>
      </c>
      <c r="BM184" s="518" t="str">
        <f>IF(AND(_4="A-320",'2026'!$H$4="CA",'2026'!$H$2=BM157),'2026DATA'!$H$29,"")</f>
        <v/>
      </c>
      <c r="BN184" s="518" t="str">
        <f>IF(AND(_4="A-320",'2026'!$H$4="CA",'2026'!$H$2=BN157),'2026DATA'!$I$29,"")</f>
        <v/>
      </c>
      <c r="BO184" s="518" t="str">
        <f>IF(AND(_4="A-320",'2026'!$H$4="CA",'2026'!$H$2=BO157),'2026DATA'!$J$29,"")</f>
        <v/>
      </c>
      <c r="BP184" s="518" t="str">
        <f>IF(AND(_4="A-320",'2026'!$H$4="CA",'2026'!$H$2=BP157),'2026DATA'!$K$29,"")</f>
        <v/>
      </c>
      <c r="BQ184" s="518" t="str">
        <f>IF(AND(_4="A-320",'2026'!$H$4="CA",'2026'!$H$2=BQ157),'2026DATA'!$L$29,"")</f>
        <v/>
      </c>
      <c r="BR184" s="518" t="str">
        <f>IF(AND(_4="A-320",'2026'!$H$4="CA",'2026'!$H$2=BR157),'2026DATA'!$M$29,"")</f>
        <v/>
      </c>
      <c r="BS184" s="520" t="str">
        <f>IF(AND(_4="A-320",'2026'!$H$4="CA",'2026'!$H$2=BS157),'2026DATA'!$N$29,"")</f>
        <v/>
      </c>
      <c r="BT184" s="940" t="s">
        <v>70</v>
      </c>
      <c r="BU184" s="13" t="s">
        <v>61</v>
      </c>
      <c r="BV184" s="518" t="str">
        <f>IF(AND(_5="A-320",'2026'!$H$4="CA",'2026'!$H$2=BV157),'2026DATA'!$C$29,"")</f>
        <v/>
      </c>
      <c r="BW184" s="518" t="str">
        <f>IF(AND(_5="A-320",'2026'!$H$4="CA",'2026'!$H$2=BW157),'2026DATA'!$D$29,"")</f>
        <v/>
      </c>
      <c r="BX184" s="518" t="str">
        <f>IF(AND(_5="A-320",'2026'!$H$4="CA",'2026'!$H$2=BX157),'2026DATA'!$E$29,"")</f>
        <v/>
      </c>
      <c r="BY184" s="518" t="str">
        <f>IF(AND(_5="A-320",'2026'!$H$4="CA",'2026'!$H$2=BY157),'2026DATA'!$F$29,"")</f>
        <v/>
      </c>
      <c r="BZ184" s="518" t="str">
        <f>IF(AND(_5="A-320",'2026'!$H$4="CA",'2026'!$H$2=BZ157),'2026DATA'!$G$29,"")</f>
        <v/>
      </c>
      <c r="CA184" s="518" t="str">
        <f>IF(AND(_5="A-320",'2026'!$H$4="CA",'2026'!$H$2=CA157),'2026DATA'!$H$29,"")</f>
        <v/>
      </c>
      <c r="CB184" s="518" t="str">
        <f>IF(AND(_5="A-320",'2026'!$H$4="CA",'2026'!$H$2=CB157),'2026DATA'!$I$29,"")</f>
        <v/>
      </c>
      <c r="CC184" s="518" t="str">
        <f>IF(AND(_5="A-320",'2026'!$H$4="CA",'2026'!$H$2=CC157),'2026DATA'!$J$29,"")</f>
        <v/>
      </c>
      <c r="CD184" s="518" t="str">
        <f>IF(AND(_5="A-320",'2026'!$H$4="CA",'2026'!$H$2=CD157),'2026DATA'!$K$29,"")</f>
        <v/>
      </c>
      <c r="CE184" s="518" t="str">
        <f>IF(AND(_5="A-320",'2026'!$H$4="CA",'2026'!$H$2=CE157),'2026DATA'!$L$29,"")</f>
        <v/>
      </c>
      <c r="CF184" s="518" t="str">
        <f>IF(AND(_5="A-320",'2026'!$H$4="CA",'2026'!$H$2=CF157),'2026DATA'!$M$29,"")</f>
        <v/>
      </c>
      <c r="CG184" s="520" t="str">
        <f>IF(AND(_5="A-320",'2026'!$H$4="CA",'2026'!$H$2=CG157),'2026DATA'!$N$29,"")</f>
        <v/>
      </c>
      <c r="CH184" s="940" t="s">
        <v>70</v>
      </c>
      <c r="CI184" s="13" t="s">
        <v>61</v>
      </c>
      <c r="CJ184" s="518" t="str">
        <f>IF(AND(_6="A-320",'2026'!$H$4="CA",'2026'!$H$2=CJ157),'2026DATA'!$C$29,"")</f>
        <v/>
      </c>
      <c r="CK184" s="518" t="str">
        <f>IF(AND(_6="A-320",'2026'!$H$4="CA",'2026'!$H$2=CK157),'2026DATA'!$D$29,"")</f>
        <v/>
      </c>
      <c r="CL184" s="518" t="str">
        <f>IF(AND(_6="A-320",'2026'!$H$4="CA",'2026'!$H$2=CL157),'2026DATA'!$E$29,"")</f>
        <v/>
      </c>
      <c r="CM184" s="518" t="str">
        <f>IF(AND(_6="A-320",'2026'!$H$4="CA",'2026'!$H$2=CM157),'2026DATA'!$F$29,"")</f>
        <v/>
      </c>
      <c r="CN184" s="518" t="str">
        <f>IF(AND(_6="A-320",'2026'!$H$4="CA",'2026'!$H$2=CN157),'2026DATA'!$G$29,"")</f>
        <v/>
      </c>
      <c r="CO184" s="518" t="str">
        <f>IF(AND(_6="A-320",'2026'!$H$4="CA",'2026'!$H$2=CO157),'2026DATA'!$H$29,"")</f>
        <v/>
      </c>
      <c r="CP184" s="518" t="str">
        <f>IF(AND(_6="A-320",'2026'!$H$4="CA",'2026'!$H$2=CP157),'2026DATA'!$I$29,"")</f>
        <v/>
      </c>
      <c r="CQ184" s="518" t="str">
        <f>IF(AND(_6="A-320",'2026'!$H$4="CA",'2026'!$H$2=CQ157),'2026DATA'!$J$29,"")</f>
        <v/>
      </c>
      <c r="CR184" s="518" t="str">
        <f>IF(AND(_6="A-320",'2026'!$H$4="CA",'2026'!$H$2=CR157),'2026DATA'!$K$29,"")</f>
        <v/>
      </c>
      <c r="CS184" s="518" t="str">
        <f>IF(AND(_6="A-320",'2026'!$H$4="CA",'2026'!$H$2=CS157),'2026DATA'!$L$29,"")</f>
        <v/>
      </c>
      <c r="CT184" s="518" t="str">
        <f>IF(AND(_6="A-320",'2026'!$H$4="CA",'2026'!$H$2=CT157),'2026DATA'!$M$29,"")</f>
        <v/>
      </c>
      <c r="CU184" s="520" t="str">
        <f>IF(AND(_6="A-320",'2026'!$H$4="CA",'2026'!$H$2=CU157),'2026DATA'!$N$29,"")</f>
        <v/>
      </c>
    </row>
    <row r="185" spans="16:99" x14ac:dyDescent="0.25">
      <c r="P185" s="940"/>
      <c r="Q185" s="13" t="s">
        <v>62</v>
      </c>
      <c r="R185" s="518" t="str">
        <f>IF(AND(_1="A-320",'2026'!$H$4="FO",'2026'!$H$2=R157),'2026DATA'!$C$30,"")</f>
        <v/>
      </c>
      <c r="S185" s="518" t="str">
        <f>IF(AND(_1="A-320",'2026'!$H$4="FO",'2026'!$H$2=S157),'2026DATA'!$D$30,"")</f>
        <v/>
      </c>
      <c r="T185" s="518" t="str">
        <f>IF(AND(_1="A-320",'2026'!$H$4="FO",'2026'!$H$2=T157),'2026DATA'!$E$30,"")</f>
        <v/>
      </c>
      <c r="U185" s="518" t="str">
        <f>IF(AND(_1="A-320",'2026'!$H$4="FO",'2026'!$H$2=U157),'2026DATA'!$F$30,"")</f>
        <v/>
      </c>
      <c r="V185" s="518" t="str">
        <f>IF(AND(_1="A-320",'2026'!$H$4="FO",'2026'!$H$2=V157),'2026DATA'!$G$30,"")</f>
        <v/>
      </c>
      <c r="W185" s="518" t="str">
        <f>IF(AND(_1="A-320",'2026'!$H$4="FO",'2026'!$H$2=W157),'2026DATA'!$H$30,"")</f>
        <v/>
      </c>
      <c r="X185" s="518" t="str">
        <f>IF(AND(_1="A-320",'2026'!$H$4="FO",'2026'!$H$2=X157),'2026DATA'!$I$30,"")</f>
        <v/>
      </c>
      <c r="Y185" s="518" t="str">
        <f>IF(AND(_1="A-320",'2026'!$H$4="FO",'2026'!$H$2=Y157),'2026DATA'!$J$30,"")</f>
        <v/>
      </c>
      <c r="Z185" s="518" t="str">
        <f>IF(AND(_1="A-320",'2026'!$H$4="FO",'2026'!$H$2=Z157),'2026DATA'!$K$30,"")</f>
        <v/>
      </c>
      <c r="AA185" s="518" t="str">
        <f>IF(AND(_1="A-320",'2026'!$H$4="FO",'2026'!$H$2=AA157),'2026DATA'!$L$30,"")</f>
        <v/>
      </c>
      <c r="AB185" s="518" t="str">
        <f>IF(AND(_1="A-320",'2026'!$H$4="FO",'2026'!$H$2=AB157),'2026DATA'!$M$30,"")</f>
        <v/>
      </c>
      <c r="AC185" s="520" t="str">
        <f>IF(AND(_1="A-320",'2026'!$H$4="FO",'2026'!$H$2=AC157),'2026DATA'!$N$30,"")</f>
        <v/>
      </c>
      <c r="AD185" s="940"/>
      <c r="AE185" s="13" t="s">
        <v>62</v>
      </c>
      <c r="AF185" s="518" t="str">
        <f>IF(AND(_2="A-320",'2026'!$H$4="FO",'2026'!$H$2=AF157),'2026DATA'!$C$30,"")</f>
        <v/>
      </c>
      <c r="AG185" s="518" t="str">
        <f>IF(AND(_2="A-320",'2026'!$H$4="FO",'2026'!$H$2=AG157),'2026DATA'!$D$30,"")</f>
        <v/>
      </c>
      <c r="AH185" s="518" t="str">
        <f>IF(AND(_2="A-320",'2026'!$H$4="FO",'2026'!$H$2=AH157),'2026DATA'!$E$30,"")</f>
        <v/>
      </c>
      <c r="AI185" s="518" t="str">
        <f>IF(AND(_2="A-320",'2026'!$H$4="FO",'2026'!$H$2=AI157),'2026DATA'!$F$30,"")</f>
        <v/>
      </c>
      <c r="AJ185" s="518" t="str">
        <f>IF(AND(_2="A-320",'2026'!$H$4="FO",'2026'!$H$2=AJ157),'2026DATA'!$G$30,"")</f>
        <v/>
      </c>
      <c r="AK185" s="518" t="str">
        <f>IF(AND(_2="A-320",'2026'!$H$4="FO",'2026'!$H$2=AK157),'2026DATA'!$H$30,"")</f>
        <v/>
      </c>
      <c r="AL185" s="518" t="str">
        <f>IF(AND(_2="A-320",'2026'!$H$4="FO",'2026'!$H$2=AL157),'2026DATA'!$I$30,"")</f>
        <v/>
      </c>
      <c r="AM185" s="518" t="str">
        <f>IF(AND(_2="A-320",'2026'!$H$4="FO",'2026'!$H$2=AM157),'2026DATA'!$J$30,"")</f>
        <v/>
      </c>
      <c r="AN185" s="518" t="str">
        <f>IF(AND(_2="A-320",'2026'!$H$4="FO",'2026'!$H$2=AN157),'2026DATA'!$K$30,"")</f>
        <v/>
      </c>
      <c r="AO185" s="518" t="str">
        <f>IF(AND(_2="A-320",'2026'!$H$4="FO",'2026'!$H$2=AO157),'2026DATA'!$L$30,"")</f>
        <v/>
      </c>
      <c r="AP185" s="518" t="str">
        <f>IF(AND(_2="A-320",'2026'!$H$4="FO",'2026'!$H$2=AP157),'2026DATA'!$M$30,"")</f>
        <v/>
      </c>
      <c r="AQ185" s="520" t="str">
        <f>IF(AND(_2="A-320",'2026'!$H$4="FO",'2026'!$H$2=AQ157),'2026DATA'!$N$30,"")</f>
        <v/>
      </c>
      <c r="AR185" s="940"/>
      <c r="AS185" s="13" t="s">
        <v>62</v>
      </c>
      <c r="AT185" s="518" t="str">
        <f>IF(AND(_3="A-320",'2026'!$H$4="FO",'2026'!$H$2=AT157),'2026DATA'!$C$30,"")</f>
        <v/>
      </c>
      <c r="AU185" s="518" t="str">
        <f>IF(AND(_3="A-320",'2026'!$H$4="FO",'2026'!$H$2=AU157),'2026DATA'!$D$30,"")</f>
        <v/>
      </c>
      <c r="AV185" s="518" t="str">
        <f>IF(AND(_3="A-320",'2026'!$H$4="FO",'2026'!$H$2=AV157),'2026DATA'!$E$30,"")</f>
        <v/>
      </c>
      <c r="AW185" s="518" t="str">
        <f>IF(AND(_3="A-320",'2026'!$H$4="FO",'2026'!$H$2=AW157),'2026DATA'!$F$30,"")</f>
        <v/>
      </c>
      <c r="AX185" s="518" t="str">
        <f>IF(AND(_3="A-320",'2026'!$H$4="FO",'2026'!$H$2=AX157),'2026DATA'!$G$30,"")</f>
        <v/>
      </c>
      <c r="AY185" s="518" t="str">
        <f>IF(AND(_3="A-320",'2026'!$H$4="FO",'2026'!$H$2=AY157),'2026DATA'!$H$30,"")</f>
        <v/>
      </c>
      <c r="AZ185" s="518" t="str">
        <f>IF(AND(_3="A-320",'2026'!$H$4="FO",'2026'!$H$2=AZ157),'2026DATA'!$I$30,"")</f>
        <v/>
      </c>
      <c r="BA185" s="518" t="str">
        <f>IF(AND(_3="A-320",'2026'!$H$4="FO",'2026'!$H$2=BA157),'2026DATA'!$J$30,"")</f>
        <v/>
      </c>
      <c r="BB185" s="518" t="str">
        <f>IF(AND(_3="A-320",'2026'!$H$4="FO",'2026'!$H$2=BB157),'2026DATA'!$K$30,"")</f>
        <v/>
      </c>
      <c r="BC185" s="518" t="str">
        <f>IF(AND(_3="A-320",'2026'!$H$4="FO",'2026'!$H$2=BC157),'2026DATA'!$L$30,"")</f>
        <v/>
      </c>
      <c r="BD185" s="518" t="str">
        <f>IF(AND(_3="A-320",'2026'!$H$4="FO",'2026'!$H$2=BD157),'2026DATA'!$M$30,"")</f>
        <v/>
      </c>
      <c r="BE185" s="520" t="str">
        <f>IF(AND(_3="A-320",'2026'!$H$4="FO",'2026'!$H$2=BE157),'2026DATA'!$N$30,"")</f>
        <v/>
      </c>
      <c r="BF185" s="940"/>
      <c r="BG185" s="13" t="s">
        <v>62</v>
      </c>
      <c r="BH185" s="518" t="str">
        <f>IF(AND(_4="A-320",'2026'!$H$4="FO",'2026'!$H$2=BH157),'2026DATA'!$C$30,"")</f>
        <v/>
      </c>
      <c r="BI185" s="518" t="str">
        <f>IF(AND(_4="A-320",'2026'!$H$4="FO",'2026'!$H$2=BI157),'2026DATA'!$D$30,"")</f>
        <v/>
      </c>
      <c r="BJ185" s="518" t="str">
        <f>IF(AND(_4="A-320",'2026'!$H$4="FO",'2026'!$H$2=BJ157),'2026DATA'!$E$30,"")</f>
        <v/>
      </c>
      <c r="BK185" s="518" t="str">
        <f>IF(AND(_4="A-320",'2026'!$H$4="FO",'2026'!$H$2=BK157),'2026DATA'!$F$30,"")</f>
        <v/>
      </c>
      <c r="BL185" s="518" t="str">
        <f>IF(AND(_4="A-320",'2026'!$H$4="FO",'2026'!$H$2=BL157),'2026DATA'!$G$30,"")</f>
        <v/>
      </c>
      <c r="BM185" s="518" t="str">
        <f>IF(AND(_4="A-320",'2026'!$H$4="FO",'2026'!$H$2=BM157),'2026DATA'!$H$30,"")</f>
        <v/>
      </c>
      <c r="BN185" s="518" t="str">
        <f>IF(AND(_4="A-320",'2026'!$H$4="FO",'2026'!$H$2=BN157),'2026DATA'!$I$30,"")</f>
        <v/>
      </c>
      <c r="BO185" s="518" t="str">
        <f>IF(AND(_4="A-320",'2026'!$H$4="FO",'2026'!$H$2=BO157),'2026DATA'!$J$30,"")</f>
        <v/>
      </c>
      <c r="BP185" s="518" t="str">
        <f>IF(AND(_4="A-320",'2026'!$H$4="FO",'2026'!$H$2=BP157),'2026DATA'!$K$30,"")</f>
        <v/>
      </c>
      <c r="BQ185" s="518" t="str">
        <f>IF(AND(_4="A-320",'2026'!$H$4="FO",'2026'!$H$2=BQ157),'2026DATA'!$L$30,"")</f>
        <v/>
      </c>
      <c r="BR185" s="518" t="str">
        <f>IF(AND(_4="A-320",'2026'!$H$4="FO",'2026'!$H$2=BR157),'2026DATA'!$M$30,"")</f>
        <v/>
      </c>
      <c r="BS185" s="520" t="str">
        <f>IF(AND(_4="A-320",'2026'!$H$4="FO",'2026'!$H$2=BS157),'2026DATA'!$N$30,"")</f>
        <v/>
      </c>
      <c r="BT185" s="940"/>
      <c r="BU185" s="13" t="s">
        <v>62</v>
      </c>
      <c r="BV185" s="518" t="str">
        <f>IF(AND(_5="A-320",'2026'!$H$4="FO",'2026'!$H$2=BV157),'2026DATA'!$C$30,"")</f>
        <v/>
      </c>
      <c r="BW185" s="518" t="str">
        <f>IF(AND(_5="A-320",'2026'!$H$4="FO",'2026'!$H$2=BW157),'2026DATA'!$D$30,"")</f>
        <v/>
      </c>
      <c r="BX185" s="518" t="str">
        <f>IF(AND(_5="A-320",'2026'!$H$4="FO",'2026'!$H$2=BX157),'2026DATA'!$E$30,"")</f>
        <v/>
      </c>
      <c r="BY185" s="518" t="str">
        <f>IF(AND(_5="A-320",'2026'!$H$4="FO",'2026'!$H$2=BY157),'2026DATA'!$F$30,"")</f>
        <v/>
      </c>
      <c r="BZ185" s="518" t="str">
        <f>IF(AND(_5="A-320",'2026'!$H$4="FO",'2026'!$H$2=BZ157),'2026DATA'!$G$30,"")</f>
        <v/>
      </c>
      <c r="CA185" s="518" t="str">
        <f>IF(AND(_5="A-320",'2026'!$H$4="FO",'2026'!$H$2=CA157),'2026DATA'!$H$30,"")</f>
        <v/>
      </c>
      <c r="CB185" s="518" t="str">
        <f>IF(AND(_5="A-320",'2026'!$H$4="FO",'2026'!$H$2=CB157),'2026DATA'!$I$30,"")</f>
        <v/>
      </c>
      <c r="CC185" s="518" t="str">
        <f>IF(AND(_5="A-320",'2026'!$H$4="FO",'2026'!$H$2=CC157),'2026DATA'!$J$30,"")</f>
        <v/>
      </c>
      <c r="CD185" s="518" t="str">
        <f>IF(AND(_5="A-320",'2026'!$H$4="FO",'2026'!$H$2=CD157),'2026DATA'!$K$30,"")</f>
        <v/>
      </c>
      <c r="CE185" s="518" t="str">
        <f>IF(AND(_5="A-320",'2026'!$H$4="FO",'2026'!$H$2=CE157),'2026DATA'!$L$30,"")</f>
        <v/>
      </c>
      <c r="CF185" s="518" t="str">
        <f>IF(AND(_5="A-320",'2026'!$H$4="FO",'2026'!$H$2=CF157),'2026DATA'!$M$30,"")</f>
        <v/>
      </c>
      <c r="CG185" s="520" t="str">
        <f>IF(AND(_5="A-320",'2026'!$H$4="FO",'2026'!$H$2=CG157),'2026DATA'!$N$30,"")</f>
        <v/>
      </c>
      <c r="CH185" s="940"/>
      <c r="CI185" s="13" t="s">
        <v>62</v>
      </c>
      <c r="CJ185" s="518" t="str">
        <f>IF(AND(_6="A-320",'2026'!$H$4="FO",'2026'!$H$2=CJ157),'2026DATA'!$C$30,"")</f>
        <v/>
      </c>
      <c r="CK185" s="518" t="str">
        <f>IF(AND(_6="A-320",'2026'!$H$4="FO",'2026'!$H$2=CK157),'2026DATA'!$D$30,"")</f>
        <v/>
      </c>
      <c r="CL185" s="518" t="str">
        <f>IF(AND(_6="A-320",'2026'!$H$4="FO",'2026'!$H$2=CL157),'2026DATA'!$E$30,"")</f>
        <v/>
      </c>
      <c r="CM185" s="518" t="str">
        <f>IF(AND(_6="A-320",'2026'!$H$4="FO",'2026'!$H$2=CM157),'2026DATA'!$F$30,"")</f>
        <v/>
      </c>
      <c r="CN185" s="518" t="str">
        <f>IF(AND(_6="A-320",'2026'!$H$4="FO",'2026'!$H$2=CN157),'2026DATA'!$G$30,"")</f>
        <v/>
      </c>
      <c r="CO185" s="518" t="str">
        <f>IF(AND(_6="A-320",'2026'!$H$4="FO",'2026'!$H$2=CO157),'2026DATA'!$H$30,"")</f>
        <v/>
      </c>
      <c r="CP185" s="518" t="str">
        <f>IF(AND(_6="A-320",'2026'!$H$4="FO",'2026'!$H$2=CP157),'2026DATA'!$I$30,"")</f>
        <v/>
      </c>
      <c r="CQ185" s="518" t="str">
        <f>IF(AND(_6="A-320",'2026'!$H$4="FO",'2026'!$H$2=CQ157),'2026DATA'!$J$30,"")</f>
        <v/>
      </c>
      <c r="CR185" s="518" t="str">
        <f>IF(AND(_6="A-320",'2026'!$H$4="FO",'2026'!$H$2=CR157),'2026DATA'!$K$30,"")</f>
        <v/>
      </c>
      <c r="CS185" s="518" t="str">
        <f>IF(AND(_6="A-320",'2026'!$H$4="FO",'2026'!$H$2=CS157),'2026DATA'!$L$30,"")</f>
        <v/>
      </c>
      <c r="CT185" s="518" t="str">
        <f>IF(AND(_6="A-320",'2026'!$H$4="FO",'2026'!$H$2=CT157),'2026DATA'!$M$30,"")</f>
        <v/>
      </c>
      <c r="CU185" s="520" t="str">
        <f>IF(AND(_6="A-320",'2026'!$H$4="FO",'2026'!$H$2=CU157),'2026DATA'!$N$30,"")</f>
        <v/>
      </c>
    </row>
    <row r="186" spans="16:99" x14ac:dyDescent="0.25">
      <c r="P186" s="940" t="s">
        <v>71</v>
      </c>
      <c r="Q186" s="13" t="s">
        <v>61</v>
      </c>
      <c r="R186" s="518" t="str">
        <f>IF(AND(_1="A-319",'2026'!$H$4="CA",'2026'!$H$2=R157),'2026DATA'!$C$31,"")</f>
        <v/>
      </c>
      <c r="S186" s="518" t="str">
        <f>IF(AND(_1="A-319",'2026'!$H$4="CA",'2026'!$H$2=S157),'2026DATA'!$D$31,"")</f>
        <v/>
      </c>
      <c r="T186" s="518" t="str">
        <f>IF(AND(_1="A-319",'2026'!$H$4="CA",'2026'!$H$2=T157),'2026DATA'!$E$31,"")</f>
        <v/>
      </c>
      <c r="U186" s="518" t="str">
        <f>IF(AND(_1="A-319",'2026'!$H$4="CA",'2026'!$H$2=U157),'2026DATA'!$F$31,"")</f>
        <v/>
      </c>
      <c r="V186" s="518" t="str">
        <f>IF(AND(_1="A-319",'2026'!$H$4="CA",'2026'!$H$2=V157),'2026DATA'!$G$31,"")</f>
        <v/>
      </c>
      <c r="W186" s="518" t="str">
        <f>IF(AND(_1="A-319",'2026'!$H$4="CA",'2026'!$H$2=W157),'2026DATA'!$H$31,"")</f>
        <v/>
      </c>
      <c r="X186" s="518" t="str">
        <f>IF(AND(_1="A-319",'2026'!$H$4="CA",'2026'!$H$2=X157),'2026DATA'!$I$31,"")</f>
        <v/>
      </c>
      <c r="Y186" s="518" t="str">
        <f>IF(AND(_1="A-319",'2026'!$H$4="CA",'2026'!$H$2=Y157),'2026DATA'!$J$31,"")</f>
        <v/>
      </c>
      <c r="Z186" s="518" t="str">
        <f>IF(AND(_1="A-319",'2026'!$H$4="CA",'2026'!$H$2=Z157),'2026DATA'!$K$31,"")</f>
        <v/>
      </c>
      <c r="AA186" s="518" t="str">
        <f>IF(AND(_1="A-319",'2026'!$H$4="CA",'2026'!$H$2=AA157),'2026DATA'!$L$31,"")</f>
        <v/>
      </c>
      <c r="AB186" s="518" t="str">
        <f>IF(AND(_1="A-319",'2026'!$H$4="CA",'2026'!$H$2=AB157),'2026DATA'!$M$31,"")</f>
        <v/>
      </c>
      <c r="AC186" s="520" t="str">
        <f>IF(AND(_1="A-319",'2026'!$H$4="CA",'2026'!$H$2=AC157),'2026DATA'!$N$31,"")</f>
        <v/>
      </c>
      <c r="AD186" s="940" t="s">
        <v>71</v>
      </c>
      <c r="AE186" s="13" t="s">
        <v>61</v>
      </c>
      <c r="AF186" s="518" t="str">
        <f>IF(AND(_2="A-319",'2026'!$H$4="CA",'2026'!$H$2=AF157),'2026DATA'!$C$31,"")</f>
        <v/>
      </c>
      <c r="AG186" s="518" t="str">
        <f>IF(AND(_2="A-319",'2026'!$H$4="CA",'2026'!$H$2=AG157),'2026DATA'!$D$31,"")</f>
        <v/>
      </c>
      <c r="AH186" s="518" t="str">
        <f>IF(AND(_2="A-319",'2026'!$H$4="CA",'2026'!$H$2=AH157),'2026DATA'!$E$31,"")</f>
        <v/>
      </c>
      <c r="AI186" s="518" t="str">
        <f>IF(AND(_2="A-319",'2026'!$H$4="CA",'2026'!$H$2=AI157),'2026DATA'!$F$31,"")</f>
        <v/>
      </c>
      <c r="AJ186" s="518" t="str">
        <f>IF(AND(_2="A-319",'2026'!$H$4="CA",'2026'!$H$2=AJ157),'2026DATA'!$G$31,"")</f>
        <v/>
      </c>
      <c r="AK186" s="518" t="str">
        <f>IF(AND(_2="A-319",'2026'!$H$4="CA",'2026'!$H$2=AK157),'2026DATA'!$H$31,"")</f>
        <v/>
      </c>
      <c r="AL186" s="518" t="str">
        <f>IF(AND(_2="A-319",'2026'!$H$4="CA",'2026'!$H$2=AL157),'2026DATA'!$I$31,"")</f>
        <v/>
      </c>
      <c r="AM186" s="518" t="str">
        <f>IF(AND(_2="A-319",'2026'!$H$4="CA",'2026'!$H$2=AM157),'2026DATA'!$J$31,"")</f>
        <v/>
      </c>
      <c r="AN186" s="518" t="str">
        <f>IF(AND(_2="A-319",'2026'!$H$4="CA",'2026'!$H$2=AN157),'2026DATA'!$K$31,"")</f>
        <v/>
      </c>
      <c r="AO186" s="518" t="str">
        <f>IF(AND(_2="A-319",'2026'!$H$4="CA",'2026'!$H$2=AO157),'2026DATA'!$L$31,"")</f>
        <v/>
      </c>
      <c r="AP186" s="518" t="str">
        <f>IF(AND(_2="A-319",'2026'!$H$4="CA",'2026'!$H$2=AP157),'2026DATA'!$M$31,"")</f>
        <v/>
      </c>
      <c r="AQ186" s="520" t="str">
        <f>IF(AND(_2="A-319",'2026'!$H$4="CA",'2026'!$H$2=AQ157),'2026DATA'!$N$31,"")</f>
        <v/>
      </c>
      <c r="AR186" s="940" t="s">
        <v>71</v>
      </c>
      <c r="AS186" s="13" t="s">
        <v>61</v>
      </c>
      <c r="AT186" s="518" t="str">
        <f>IF(AND(_3="A-319",'2026'!$H$4="CA",'2026'!$H$2=AT157),'2026DATA'!$C$31,"")</f>
        <v/>
      </c>
      <c r="AU186" s="518" t="str">
        <f>IF(AND(_3="A-319",'2026'!$H$4="CA",'2026'!$H$2=AU157),'2026DATA'!$D$31,"")</f>
        <v/>
      </c>
      <c r="AV186" s="518" t="str">
        <f>IF(AND(_3="A-319",'2026'!$H$4="CA",'2026'!$H$2=AV157),'2026DATA'!$E$31,"")</f>
        <v/>
      </c>
      <c r="AW186" s="518" t="str">
        <f>IF(AND(_3="A-319",'2026'!$H$4="CA",'2026'!$H$2=AW157),'2026DATA'!$F$31,"")</f>
        <v/>
      </c>
      <c r="AX186" s="518" t="str">
        <f>IF(AND(_3="A-319",'2026'!$H$4="CA",'2026'!$H$2=AX157),'2026DATA'!$G$31,"")</f>
        <v/>
      </c>
      <c r="AY186" s="518" t="str">
        <f>IF(AND(_3="A-319",'2026'!$H$4="CA",'2026'!$H$2=AY157),'2026DATA'!$H$31,"")</f>
        <v/>
      </c>
      <c r="AZ186" s="518" t="str">
        <f>IF(AND(_3="A-319",'2026'!$H$4="CA",'2026'!$H$2=AZ157),'2026DATA'!$I$31,"")</f>
        <v/>
      </c>
      <c r="BA186" s="518" t="str">
        <f>IF(AND(_3="A-319",'2026'!$H$4="CA",'2026'!$H$2=BA157),'2026DATA'!$J$31,"")</f>
        <v/>
      </c>
      <c r="BB186" s="518" t="str">
        <f>IF(AND(_3="A-319",'2026'!$H$4="CA",'2026'!$H$2=BB157),'2026DATA'!$K$31,"")</f>
        <v/>
      </c>
      <c r="BC186" s="518" t="str">
        <f>IF(AND(_3="A-319",'2026'!$H$4="CA",'2026'!$H$2=BC157),'2026DATA'!$L$31,"")</f>
        <v/>
      </c>
      <c r="BD186" s="518" t="str">
        <f>IF(AND(_3="A-319",'2026'!$H$4="CA",'2026'!$H$2=BD157),'2026DATA'!$M$31,"")</f>
        <v/>
      </c>
      <c r="BE186" s="520" t="str">
        <f>IF(AND(_3="A-319",'2026'!$H$4="CA",'2026'!$H$2=BE157),'2026DATA'!$N$31,"")</f>
        <v/>
      </c>
      <c r="BF186" s="940" t="s">
        <v>71</v>
      </c>
      <c r="BG186" s="13" t="s">
        <v>61</v>
      </c>
      <c r="BH186" s="518" t="str">
        <f>IF(AND(_4="A-319",'2026'!$H$4="CA",'2026'!$H$2=BH157),'2026DATA'!$C$31,"")</f>
        <v/>
      </c>
      <c r="BI186" s="518" t="str">
        <f>IF(AND(_4="A-319",'2026'!$H$4="CA",'2026'!$H$2=BI157),'2026DATA'!$D$31,"")</f>
        <v/>
      </c>
      <c r="BJ186" s="518" t="str">
        <f>IF(AND(_4="A-319",'2026'!$H$4="CA",'2026'!$H$2=BJ157),'2026DATA'!$E$31,"")</f>
        <v/>
      </c>
      <c r="BK186" s="518" t="str">
        <f>IF(AND(_4="A-319",'2026'!$H$4="CA",'2026'!$H$2=BK157),'2026DATA'!$F$31,"")</f>
        <v/>
      </c>
      <c r="BL186" s="518" t="str">
        <f>IF(AND(_4="A-319",'2026'!$H$4="CA",'2026'!$H$2=BL157),'2026DATA'!$G$31,"")</f>
        <v/>
      </c>
      <c r="BM186" s="518" t="str">
        <f>IF(AND(_4="A-319",'2026'!$H$4="CA",'2026'!$H$2=BM157),'2026DATA'!$H$31,"")</f>
        <v/>
      </c>
      <c r="BN186" s="518" t="str">
        <f>IF(AND(_4="A-319",'2026'!$H$4="CA",'2026'!$H$2=BN157),'2026DATA'!$I$31,"")</f>
        <v/>
      </c>
      <c r="BO186" s="518" t="str">
        <f>IF(AND(_4="A-319",'2026'!$H$4="CA",'2026'!$H$2=BO157),'2026DATA'!$J$31,"")</f>
        <v/>
      </c>
      <c r="BP186" s="518" t="str">
        <f>IF(AND(_4="A-319",'2026'!$H$4="CA",'2026'!$H$2=BP157),'2026DATA'!$K$31,"")</f>
        <v/>
      </c>
      <c r="BQ186" s="518" t="str">
        <f>IF(AND(_4="A-319",'2026'!$H$4="CA",'2026'!$H$2=BQ157),'2026DATA'!$L$31,"")</f>
        <v/>
      </c>
      <c r="BR186" s="518" t="str">
        <f>IF(AND(_4="A-319",'2026'!$H$4="CA",'2026'!$H$2=BR157),'2026DATA'!$M$31,"")</f>
        <v/>
      </c>
      <c r="BS186" s="520" t="str">
        <f>IF(AND(_4="A-319",'2026'!$H$4="CA",'2026'!$H$2=BS157),'2026DATA'!$N$31,"")</f>
        <v/>
      </c>
      <c r="BT186" s="940" t="s">
        <v>71</v>
      </c>
      <c r="BU186" s="13" t="s">
        <v>61</v>
      </c>
      <c r="BV186" s="518" t="str">
        <f>IF(AND(_5="A-319",'2026'!$H$4="CA",'2026'!$H$2=BV157),'2026DATA'!$C$31,"")</f>
        <v/>
      </c>
      <c r="BW186" s="518" t="str">
        <f>IF(AND(_5="A-319",'2026'!$H$4="CA",'2026'!$H$2=BW157),'2026DATA'!$D$31,"")</f>
        <v/>
      </c>
      <c r="BX186" s="518" t="str">
        <f>IF(AND(_5="A-319",'2026'!$H$4="CA",'2026'!$H$2=BX157),'2026DATA'!$E$31,"")</f>
        <v/>
      </c>
      <c r="BY186" s="518" t="str">
        <f>IF(AND(_5="A-319",'2026'!$H$4="CA",'2026'!$H$2=BY157),'2026DATA'!$F$31,"")</f>
        <v/>
      </c>
      <c r="BZ186" s="518" t="str">
        <f>IF(AND(_5="A-319",'2026'!$H$4="CA",'2026'!$H$2=BZ157),'2026DATA'!$G$31,"")</f>
        <v/>
      </c>
      <c r="CA186" s="518" t="str">
        <f>IF(AND(_5="A-319",'2026'!$H$4="CA",'2026'!$H$2=CA157),'2026DATA'!$H$31,"")</f>
        <v/>
      </c>
      <c r="CB186" s="518" t="str">
        <f>IF(AND(_5="A-319",'2026'!$H$4="CA",'2026'!$H$2=CB157),'2026DATA'!$I$31,"")</f>
        <v/>
      </c>
      <c r="CC186" s="518" t="str">
        <f>IF(AND(_5="A-319",'2026'!$H$4="CA",'2026'!$H$2=CC157),'2026DATA'!$J$31,"")</f>
        <v/>
      </c>
      <c r="CD186" s="518" t="str">
        <f>IF(AND(_5="A-319",'2026'!$H$4="CA",'2026'!$H$2=CD157),'2026DATA'!$K$31,"")</f>
        <v/>
      </c>
      <c r="CE186" s="518" t="str">
        <f>IF(AND(_5="A-319",'2026'!$H$4="CA",'2026'!$H$2=CE157),'2026DATA'!$L$31,"")</f>
        <v/>
      </c>
      <c r="CF186" s="518" t="str">
        <f>IF(AND(_5="A-319",'2026'!$H$4="CA",'2026'!$H$2=CF157),'2026DATA'!$M$31,"")</f>
        <v/>
      </c>
      <c r="CG186" s="520" t="str">
        <f>IF(AND(_5="A-319",'2026'!$H$4="CA",'2026'!$H$2=CG157),'2026DATA'!$N$31,"")</f>
        <v/>
      </c>
      <c r="CH186" s="940" t="s">
        <v>71</v>
      </c>
      <c r="CI186" s="13" t="s">
        <v>61</v>
      </c>
      <c r="CJ186" s="518" t="str">
        <f>IF(AND(_6="A-319",'2026'!$H$4="CA",'2026'!$H$2=CJ157),'2026DATA'!$C$31,"")</f>
        <v/>
      </c>
      <c r="CK186" s="518" t="str">
        <f>IF(AND(_6="A-319",'2026'!$H$4="CA",'2026'!$H$2=CK157),'2026DATA'!$D$31,"")</f>
        <v/>
      </c>
      <c r="CL186" s="518" t="str">
        <f>IF(AND(_6="A-319",'2026'!$H$4="CA",'2026'!$H$2=CL157),'2026DATA'!$E$31,"")</f>
        <v/>
      </c>
      <c r="CM186" s="518" t="str">
        <f>IF(AND(_6="A-319",'2026'!$H$4="CA",'2026'!$H$2=CM157),'2026DATA'!$F$31,"")</f>
        <v/>
      </c>
      <c r="CN186" s="518" t="str">
        <f>IF(AND(_6="A-319",'2026'!$H$4="CA",'2026'!$H$2=CN157),'2026DATA'!$G$31,"")</f>
        <v/>
      </c>
      <c r="CO186" s="518" t="str">
        <f>IF(AND(_6="A-319",'2026'!$H$4="CA",'2026'!$H$2=CO157),'2026DATA'!$H$31,"")</f>
        <v/>
      </c>
      <c r="CP186" s="518" t="str">
        <f>IF(AND(_6="A-319",'2026'!$H$4="CA",'2026'!$H$2=CP157),'2026DATA'!$I$31,"")</f>
        <v/>
      </c>
      <c r="CQ186" s="518" t="str">
        <f>IF(AND(_6="A-319",'2026'!$H$4="CA",'2026'!$H$2=CQ157),'2026DATA'!$J$31,"")</f>
        <v/>
      </c>
      <c r="CR186" s="518" t="str">
        <f>IF(AND(_6="A-319",'2026'!$H$4="CA",'2026'!$H$2=CR157),'2026DATA'!$K$31,"")</f>
        <v/>
      </c>
      <c r="CS186" s="518" t="str">
        <f>IF(AND(_6="A-319",'2026'!$H$4="CA",'2026'!$H$2=CS157),'2026DATA'!$L$31,"")</f>
        <v/>
      </c>
      <c r="CT186" s="518" t="str">
        <f>IF(AND(_6="A-319",'2026'!$H$4="CA",'2026'!$H$2=CT157),'2026DATA'!$M$31,"")</f>
        <v/>
      </c>
      <c r="CU186" s="520" t="str">
        <f>IF(AND(_6="A-319",'2026'!$H$4="CA",'2026'!$H$2=CU157),'2026DATA'!$N$31,"")</f>
        <v/>
      </c>
    </row>
    <row r="187" spans="16:99" x14ac:dyDescent="0.25">
      <c r="P187" s="940"/>
      <c r="Q187" s="13" t="s">
        <v>62</v>
      </c>
      <c r="R187" s="518" t="str">
        <f>IF(AND(_1="A-319",'2026'!$H$4="FO",'2026'!$H$2=R157),'2026DATA'!$C$32,"")</f>
        <v/>
      </c>
      <c r="S187" s="518" t="str">
        <f>IF(AND(_1="A-319",'2026'!$H$4="FO",'2026'!$H$2=S157),'2026DATA'!$D$32,"")</f>
        <v/>
      </c>
      <c r="T187" s="518" t="str">
        <f>IF(AND(_1="A-319",'2026'!$H$4="FO",'2026'!$H$2=T157),'2026DATA'!$E$32,"")</f>
        <v/>
      </c>
      <c r="U187" s="518" t="str">
        <f>IF(AND(_1="A-319",'2026'!$H$4="FO",'2026'!$H$2=U157),'2026DATA'!$F$32,"")</f>
        <v/>
      </c>
      <c r="V187" s="518" t="str">
        <f>IF(AND(_1="A-319",'2026'!$H$4="FO",'2026'!$H$2=V157),'2026DATA'!$G$32,"")</f>
        <v/>
      </c>
      <c r="W187" s="518" t="str">
        <f>IF(AND(_1="A-319",'2026'!$H$4="FO",'2026'!$H$2=W157),'2026DATA'!$H$32,"")</f>
        <v/>
      </c>
      <c r="X187" s="518" t="str">
        <f>IF(AND(_1="A-319",'2026'!$H$4="FO",'2026'!$H$2=X157),'2026DATA'!$I$32,"")</f>
        <v/>
      </c>
      <c r="Y187" s="518" t="str">
        <f>IF(AND(_1="A-319",'2026'!$H$4="FO",'2026'!$H$2=Y157),'2026DATA'!$J$32,"")</f>
        <v/>
      </c>
      <c r="Z187" s="518" t="str">
        <f>IF(AND(_1="A-319",'2026'!$H$4="FO",'2026'!$H$2=Z157),'2026DATA'!$K$32,"")</f>
        <v/>
      </c>
      <c r="AA187" s="518" t="str">
        <f>IF(AND(_1="A-319",'2026'!$H$4="FO",'2026'!$H$2=AA157),'2026DATA'!$L$32,"")</f>
        <v/>
      </c>
      <c r="AB187" s="518" t="str">
        <f>IF(AND(_1="A-319",'2026'!$H$4="FO",'2026'!$H$2=AB157),'2026DATA'!$M$32,"")</f>
        <v/>
      </c>
      <c r="AC187" s="520" t="str">
        <f>IF(AND(_1="A-319",'2026'!$H$4="FO",'2026'!$H$2=AC157),'2026DATA'!$N$32,"")</f>
        <v/>
      </c>
      <c r="AD187" s="940"/>
      <c r="AE187" s="13" t="s">
        <v>62</v>
      </c>
      <c r="AF187" s="518" t="str">
        <f>IF(AND(_2="A-319",'2026'!$H$4="FO",'2026'!$H$2=AF157),'2026DATA'!$C$32,"")</f>
        <v/>
      </c>
      <c r="AG187" s="518" t="str">
        <f>IF(AND(_2="A-319",'2026'!$H$4="FO",'2026'!$H$2=AG157),'2026DATA'!$D$32,"")</f>
        <v/>
      </c>
      <c r="AH187" s="518" t="str">
        <f>IF(AND(_2="A-319",'2026'!$H$4="FO",'2026'!$H$2=AH157),'2026DATA'!$E$32,"")</f>
        <v/>
      </c>
      <c r="AI187" s="518" t="str">
        <f>IF(AND(_2="A-319",'2026'!$H$4="FO",'2026'!$H$2=AI157),'2026DATA'!$F$32,"")</f>
        <v/>
      </c>
      <c r="AJ187" s="518" t="str">
        <f>IF(AND(_2="A-319",'2026'!$H$4="FO",'2026'!$H$2=AJ157),'2026DATA'!$G$32,"")</f>
        <v/>
      </c>
      <c r="AK187" s="518" t="str">
        <f>IF(AND(_2="A-319",'2026'!$H$4="FO",'2026'!$H$2=AK157),'2026DATA'!$H$32,"")</f>
        <v/>
      </c>
      <c r="AL187" s="518" t="str">
        <f>IF(AND(_2="A-319",'2026'!$H$4="FO",'2026'!$H$2=AL157),'2026DATA'!$I$32,"")</f>
        <v/>
      </c>
      <c r="AM187" s="518" t="str">
        <f>IF(AND(_2="A-319",'2026'!$H$4="FO",'2026'!$H$2=AM157),'2026DATA'!$J$32,"")</f>
        <v/>
      </c>
      <c r="AN187" s="518" t="str">
        <f>IF(AND(_2="A-319",'2026'!$H$4="FO",'2026'!$H$2=AN157),'2026DATA'!$K$32,"")</f>
        <v/>
      </c>
      <c r="AO187" s="518" t="str">
        <f>IF(AND(_2="A-319",'2026'!$H$4="FO",'2026'!$H$2=AO157),'2026DATA'!$L$32,"")</f>
        <v/>
      </c>
      <c r="AP187" s="518" t="str">
        <f>IF(AND(_2="A-319",'2026'!$H$4="FO",'2026'!$H$2=AP157),'2026DATA'!$M$32,"")</f>
        <v/>
      </c>
      <c r="AQ187" s="520" t="str">
        <f>IF(AND(_2="A-319",'2026'!$H$4="FO",'2026'!$H$2=AQ157),'2026DATA'!$N$32,"")</f>
        <v/>
      </c>
      <c r="AR187" s="940"/>
      <c r="AS187" s="13" t="s">
        <v>62</v>
      </c>
      <c r="AT187" s="518" t="str">
        <f>IF(AND(_3="A-319",'2026'!$H$4="FO",'2026'!$H$2=AT157),'2026DATA'!$C$32,"")</f>
        <v/>
      </c>
      <c r="AU187" s="518" t="str">
        <f>IF(AND(_3="A-319",'2026'!$H$4="FO",'2026'!$H$2=AU157),'2026DATA'!$D$32,"")</f>
        <v/>
      </c>
      <c r="AV187" s="518" t="str">
        <f>IF(AND(_3="A-319",'2026'!$H$4="FO",'2026'!$H$2=AV157),'2026DATA'!$E$32,"")</f>
        <v/>
      </c>
      <c r="AW187" s="518" t="str">
        <f>IF(AND(_3="A-319",'2026'!$H$4="FO",'2026'!$H$2=AW157),'2026DATA'!$F$32,"")</f>
        <v/>
      </c>
      <c r="AX187" s="518" t="str">
        <f>IF(AND(_3="A-319",'2026'!$H$4="FO",'2026'!$H$2=AX157),'2026DATA'!$G$32,"")</f>
        <v/>
      </c>
      <c r="AY187" s="518" t="str">
        <f>IF(AND(_3="A-319",'2026'!$H$4="FO",'2026'!$H$2=AY157),'2026DATA'!$H$32,"")</f>
        <v/>
      </c>
      <c r="AZ187" s="518" t="str">
        <f>IF(AND(_3="A-319",'2026'!$H$4="FO",'2026'!$H$2=AZ157),'2026DATA'!$I$32,"")</f>
        <v/>
      </c>
      <c r="BA187" s="518" t="str">
        <f>IF(AND(_3="A-319",'2026'!$H$4="FO",'2026'!$H$2=BA157),'2026DATA'!$J$32,"")</f>
        <v/>
      </c>
      <c r="BB187" s="518" t="str">
        <f>IF(AND(_3="A-319",'2026'!$H$4="FO",'2026'!$H$2=BB157),'2026DATA'!$K$32,"")</f>
        <v/>
      </c>
      <c r="BC187" s="518" t="str">
        <f>IF(AND(_3="A-319",'2026'!$H$4="FO",'2026'!$H$2=BC157),'2026DATA'!$L$32,"")</f>
        <v/>
      </c>
      <c r="BD187" s="518" t="str">
        <f>IF(AND(_3="A-319",'2026'!$H$4="FO",'2026'!$H$2=BD157),'2026DATA'!$M$32,"")</f>
        <v/>
      </c>
      <c r="BE187" s="520" t="str">
        <f>IF(AND(_3="A-319",'2026'!$H$4="FO",'2026'!$H$2=BE157),'2026DATA'!$N$32,"")</f>
        <v/>
      </c>
      <c r="BF187" s="940"/>
      <c r="BG187" s="13" t="s">
        <v>62</v>
      </c>
      <c r="BH187" s="518" t="str">
        <f>IF(AND(_4="A-319",'2026'!$H$4="FO",'2026'!$H$2=BH157),'2026DATA'!$C$32,"")</f>
        <v/>
      </c>
      <c r="BI187" s="518" t="str">
        <f>IF(AND(_4="A-319",'2026'!$H$4="FO",'2026'!$H$2=BI157),'2026DATA'!$D$32,"")</f>
        <v/>
      </c>
      <c r="BJ187" s="518" t="str">
        <f>IF(AND(_4="A-319",'2026'!$H$4="FO",'2026'!$H$2=BJ157),'2026DATA'!$E$32,"")</f>
        <v/>
      </c>
      <c r="BK187" s="518" t="str">
        <f>IF(AND(_4="A-319",'2026'!$H$4="FO",'2026'!$H$2=BK157),'2026DATA'!$F$32,"")</f>
        <v/>
      </c>
      <c r="BL187" s="518" t="str">
        <f>IF(AND(_4="A-319",'2026'!$H$4="FO",'2026'!$H$2=BL157),'2026DATA'!$G$32,"")</f>
        <v/>
      </c>
      <c r="BM187" s="518" t="str">
        <f>IF(AND(_4="A-319",'2026'!$H$4="FO",'2026'!$H$2=BM157),'2026DATA'!$H$32,"")</f>
        <v/>
      </c>
      <c r="BN187" s="518" t="str">
        <f>IF(AND(_4="A-319",'2026'!$H$4="FO",'2026'!$H$2=BN157),'2026DATA'!$I$32,"")</f>
        <v/>
      </c>
      <c r="BO187" s="518" t="str">
        <f>IF(AND(_4="A-319",'2026'!$H$4="FO",'2026'!$H$2=BO157),'2026DATA'!$J$32,"")</f>
        <v/>
      </c>
      <c r="BP187" s="518" t="str">
        <f>IF(AND(_4="A-319",'2026'!$H$4="FO",'2026'!$H$2=BP157),'2026DATA'!$K$32,"")</f>
        <v/>
      </c>
      <c r="BQ187" s="518" t="str">
        <f>IF(AND(_4="A-319",'2026'!$H$4="FO",'2026'!$H$2=BQ157),'2026DATA'!$L$32,"")</f>
        <v/>
      </c>
      <c r="BR187" s="518" t="str">
        <f>IF(AND(_4="A-319",'2026'!$H$4="FO",'2026'!$H$2=BR157),'2026DATA'!$M$32,"")</f>
        <v/>
      </c>
      <c r="BS187" s="520" t="str">
        <f>IF(AND(_4="A-319",'2026'!$H$4="FO",'2026'!$H$2=BS157),'2026DATA'!$N$32,"")</f>
        <v/>
      </c>
      <c r="BT187" s="940"/>
      <c r="BU187" s="13" t="s">
        <v>62</v>
      </c>
      <c r="BV187" s="518" t="str">
        <f>IF(AND(_5="A-319",'2026'!$H$4="FO",'2026'!$H$2=BV157),'2026DATA'!$C$32,"")</f>
        <v/>
      </c>
      <c r="BW187" s="518" t="str">
        <f>IF(AND(_5="A-319",'2026'!$H$4="FO",'2026'!$H$2=BW157),'2026DATA'!$D$32,"")</f>
        <v/>
      </c>
      <c r="BX187" s="518" t="str">
        <f>IF(AND(_5="A-319",'2026'!$H$4="FO",'2026'!$H$2=BX157),'2026DATA'!$E$32,"")</f>
        <v/>
      </c>
      <c r="BY187" s="518" t="str">
        <f>IF(AND(_5="A-319",'2026'!$H$4="FO",'2026'!$H$2=BY157),'2026DATA'!$F$32,"")</f>
        <v/>
      </c>
      <c r="BZ187" s="518" t="str">
        <f>IF(AND(_5="A-319",'2026'!$H$4="FO",'2026'!$H$2=BZ157),'2026DATA'!$G$32,"")</f>
        <v/>
      </c>
      <c r="CA187" s="518" t="str">
        <f>IF(AND(_5="A-319",'2026'!$H$4="FO",'2026'!$H$2=CA157),'2026DATA'!$H$32,"")</f>
        <v/>
      </c>
      <c r="CB187" s="518" t="str">
        <f>IF(AND(_5="A-319",'2026'!$H$4="FO",'2026'!$H$2=CB157),'2026DATA'!$I$32,"")</f>
        <v/>
      </c>
      <c r="CC187" s="518" t="str">
        <f>IF(AND(_5="A-319",'2026'!$H$4="FO",'2026'!$H$2=CC157),'2026DATA'!$J$32,"")</f>
        <v/>
      </c>
      <c r="CD187" s="518" t="str">
        <f>IF(AND(_5="A-319",'2026'!$H$4="FO",'2026'!$H$2=CD157),'2026DATA'!$K$32,"")</f>
        <v/>
      </c>
      <c r="CE187" s="518" t="str">
        <f>IF(AND(_5="A-319",'2026'!$H$4="FO",'2026'!$H$2=CE157),'2026DATA'!$L$32,"")</f>
        <v/>
      </c>
      <c r="CF187" s="518" t="str">
        <f>IF(AND(_5="A-319",'2026'!$H$4="FO",'2026'!$H$2=CF157),'2026DATA'!$M$32,"")</f>
        <v/>
      </c>
      <c r="CG187" s="520" t="str">
        <f>IF(AND(_5="A-319",'2026'!$H$4="FO",'2026'!$H$2=CG157),'2026DATA'!$N$32,"")</f>
        <v/>
      </c>
      <c r="CH187" s="940"/>
      <c r="CI187" s="13" t="s">
        <v>62</v>
      </c>
      <c r="CJ187" s="518" t="str">
        <f>IF(AND(_6="A-319",'2026'!$H$4="FO",'2026'!$H$2=CJ157),'2026DATA'!$C$32,"")</f>
        <v/>
      </c>
      <c r="CK187" s="518" t="str">
        <f>IF(AND(_6="A-319",'2026'!$H$4="FO",'2026'!$H$2=CK157),'2026DATA'!$D$32,"")</f>
        <v/>
      </c>
      <c r="CL187" s="518" t="str">
        <f>IF(AND(_6="A-319",'2026'!$H$4="FO",'2026'!$H$2=CL157),'2026DATA'!$E$32,"")</f>
        <v/>
      </c>
      <c r="CM187" s="518" t="str">
        <f>IF(AND(_6="A-319",'2026'!$H$4="FO",'2026'!$H$2=CM157),'2026DATA'!$F$32,"")</f>
        <v/>
      </c>
      <c r="CN187" s="518" t="str">
        <f>IF(AND(_6="A-319",'2026'!$H$4="FO",'2026'!$H$2=CN157),'2026DATA'!$G$32,"")</f>
        <v/>
      </c>
      <c r="CO187" s="518" t="str">
        <f>IF(AND(_6="A-319",'2026'!$H$4="FO",'2026'!$H$2=CO157),'2026DATA'!$H$32,"")</f>
        <v/>
      </c>
      <c r="CP187" s="518" t="str">
        <f>IF(AND(_6="A-319",'2026'!$H$4="FO",'2026'!$H$2=CP157),'2026DATA'!$I$32,"")</f>
        <v/>
      </c>
      <c r="CQ187" s="518" t="str">
        <f>IF(AND(_6="A-319",'2026'!$H$4="FO",'2026'!$H$2=CQ157),'2026DATA'!$J$32,"")</f>
        <v/>
      </c>
      <c r="CR187" s="518" t="str">
        <f>IF(AND(_6="A-319",'2026'!$H$4="FO",'2026'!$H$2=CR157),'2026DATA'!$K$32,"")</f>
        <v/>
      </c>
      <c r="CS187" s="518" t="str">
        <f>IF(AND(_6="A-319",'2026'!$H$4="FO",'2026'!$H$2=CS157),'2026DATA'!$L$32,"")</f>
        <v/>
      </c>
      <c r="CT187" s="518" t="str">
        <f>IF(AND(_6="A-319",'2026'!$H$4="FO",'2026'!$H$2=CT157),'2026DATA'!$M$32,"")</f>
        <v/>
      </c>
      <c r="CU187" s="520" t="str">
        <f>IF(AND(_6="A-319",'2026'!$H$4="FO",'2026'!$H$2=CU157),'2026DATA'!$N$32,"")</f>
        <v/>
      </c>
    </row>
    <row r="188" spans="16:99" x14ac:dyDescent="0.25">
      <c r="P188" s="940" t="s">
        <v>51</v>
      </c>
      <c r="Q188" s="13" t="s">
        <v>61</v>
      </c>
      <c r="R188" s="518" t="str">
        <f>IF(AND(_1="A-220-300",'2026'!$H$4="CA",'2026'!$H$2=R157),'2026DATA'!$C$33,"")</f>
        <v/>
      </c>
      <c r="S188" s="518" t="str">
        <f>IF(AND(_1="A-220-300",'2026'!$H$4="CA",'2026'!$H$2=S157),'2026DATA'!$D$33,"")</f>
        <v/>
      </c>
      <c r="T188" s="518" t="str">
        <f>IF(AND(_1="A-220-300",'2026'!$H$4="CA",'2026'!$H$2=T157),'2026DATA'!$E$33,"")</f>
        <v/>
      </c>
      <c r="U188" s="518" t="str">
        <f>IF(AND(_1="A-220-300",'2026'!$H$4="CA",'2026'!$H$2=U157),'2026DATA'!$F$33,"")</f>
        <v/>
      </c>
      <c r="V188" s="518" t="str">
        <f>IF(AND(_1="A-220-300",'2026'!$H$4="CA",'2026'!$H$2=V157),'2026DATA'!$G$33,"")</f>
        <v/>
      </c>
      <c r="W188" s="518" t="str">
        <f>IF(AND(_1="A-220-300",'2026'!$H$4="CA",'2026'!$H$2=W157),'2026DATA'!$H$33,"")</f>
        <v/>
      </c>
      <c r="X188" s="518" t="str">
        <f>IF(AND(_1="A-220-300",'2026'!$H$4="CA",'2026'!$H$2=X157),'2026DATA'!$I$33,"")</f>
        <v/>
      </c>
      <c r="Y188" s="518" t="str">
        <f>IF(AND(_1="A-220-300",'2026'!$H$4="CA",'2026'!$H$2=Y157),'2026DATA'!$J$33,"")</f>
        <v/>
      </c>
      <c r="Z188" s="518" t="str">
        <f>IF(AND(_1="A-220-300",'2026'!$H$4="CA",'2026'!$H$2=Z157),'2026DATA'!$K$33,"")</f>
        <v/>
      </c>
      <c r="AA188" s="518" t="str">
        <f>IF(AND(_1="A-220-300",'2026'!$H$4="CA",'2026'!$H$2=AA157),'2026DATA'!$L$33,"")</f>
        <v/>
      </c>
      <c r="AB188" s="518" t="str">
        <f>IF(AND(_1="A-220-300",'2026'!$H$4="CA",'2026'!$H$2=AB157),'2026DATA'!$M$33,"")</f>
        <v/>
      </c>
      <c r="AC188" s="520" t="str">
        <f>IF(AND(_1="A-220-300",'2026'!$H$4="CA",'2026'!$H$2=AC157),'2026DATA'!$N$33,"")</f>
        <v/>
      </c>
      <c r="AD188" s="940" t="s">
        <v>51</v>
      </c>
      <c r="AE188" s="13" t="s">
        <v>61</v>
      </c>
      <c r="AF188" s="518" t="str">
        <f>IF(AND(_2="A-220-300",'2026'!$H$4="CA",'2026'!$H$2=AF157),'2026DATA'!$C$33,"")</f>
        <v/>
      </c>
      <c r="AG188" s="518" t="str">
        <f>IF(AND(_2="A-220-300",'2026'!$H$4="CA",'2026'!$H$2=AG157),'2026DATA'!$D$33,"")</f>
        <v/>
      </c>
      <c r="AH188" s="518" t="str">
        <f>IF(AND(_2="A-220-300",'2026'!$H$4="CA",'2026'!$H$2=AH157),'2026DATA'!$E$33,"")</f>
        <v/>
      </c>
      <c r="AI188" s="518" t="str">
        <f>IF(AND(_2="A-220-300",'2026'!$H$4="CA",'2026'!$H$2=AI157),'2026DATA'!$F$33,"")</f>
        <v/>
      </c>
      <c r="AJ188" s="518" t="str">
        <f>IF(AND(_2="A-220-300",'2026'!$H$4="CA",'2026'!$H$2=AJ157),'2026DATA'!$G$33,"")</f>
        <v/>
      </c>
      <c r="AK188" s="518" t="str">
        <f>IF(AND(_2="A-220-300",'2026'!$H$4="CA",'2026'!$H$2=AK157),'2026DATA'!$H$33,"")</f>
        <v/>
      </c>
      <c r="AL188" s="518" t="str">
        <f>IF(AND(_2="A-220-300",'2026'!$H$4="CA",'2026'!$H$2=AL157),'2026DATA'!$I$33,"")</f>
        <v/>
      </c>
      <c r="AM188" s="518" t="str">
        <f>IF(AND(_2="A-220-300",'2026'!$H$4="CA",'2026'!$H$2=AM157),'2026DATA'!$J$33,"")</f>
        <v/>
      </c>
      <c r="AN188" s="518" t="str">
        <f>IF(AND(_2="A-220-300",'2026'!$H$4="CA",'2026'!$H$2=AN157),'2026DATA'!$K$33,"")</f>
        <v/>
      </c>
      <c r="AO188" s="518" t="str">
        <f>IF(AND(_2="A-220-300",'2026'!$H$4="CA",'2026'!$H$2=AO157),'2026DATA'!$L$33,"")</f>
        <v/>
      </c>
      <c r="AP188" s="518" t="str">
        <f>IF(AND(_2="A-220-300",'2026'!$H$4="CA",'2026'!$H$2=AP157),'2026DATA'!$M$33,"")</f>
        <v/>
      </c>
      <c r="AQ188" s="520" t="str">
        <f>IF(AND(_2="A-220-300",'2026'!$H$4="CA",'2026'!$H$2=AQ157),'2026DATA'!$N$33,"")</f>
        <v/>
      </c>
      <c r="AR188" s="940" t="s">
        <v>51</v>
      </c>
      <c r="AS188" s="13" t="s">
        <v>61</v>
      </c>
      <c r="AT188" s="518" t="str">
        <f>IF(AND(_3="A-220-300",'2026'!$H$4="CA",'2026'!$H$2=AT157),'2026DATA'!$C$33,"")</f>
        <v/>
      </c>
      <c r="AU188" s="518" t="str">
        <f>IF(AND(_3="A-220-300",'2026'!$H$4="CA",'2026'!$H$2=AU157),'2026DATA'!$D$33,"")</f>
        <v/>
      </c>
      <c r="AV188" s="518" t="str">
        <f>IF(AND(_3="A-220-300",'2026'!$H$4="CA",'2026'!$H$2=AV157),'2026DATA'!$E$33,"")</f>
        <v/>
      </c>
      <c r="AW188" s="518" t="str">
        <f>IF(AND(_3="A-220-300",'2026'!$H$4="CA",'2026'!$H$2=AW157),'2026DATA'!$F$33,"")</f>
        <v/>
      </c>
      <c r="AX188" s="518" t="str">
        <f>IF(AND(_3="A-220-300",'2026'!$H$4="CA",'2026'!$H$2=AX157),'2026DATA'!$G$33,"")</f>
        <v/>
      </c>
      <c r="AY188" s="518" t="str">
        <f>IF(AND(_3="A-220-300",'2026'!$H$4="CA",'2026'!$H$2=AY157),'2026DATA'!$H$33,"")</f>
        <v/>
      </c>
      <c r="AZ188" s="518" t="str">
        <f>IF(AND(_3="A-220-300",'2026'!$H$4="CA",'2026'!$H$2=AZ157),'2026DATA'!$I$33,"")</f>
        <v/>
      </c>
      <c r="BA188" s="518" t="str">
        <f>IF(AND(_3="A-220-300",'2026'!$H$4="CA",'2026'!$H$2=BA157),'2026DATA'!$J$33,"")</f>
        <v/>
      </c>
      <c r="BB188" s="518" t="str">
        <f>IF(AND(_3="A-220-300",'2026'!$H$4="CA",'2026'!$H$2=BB157),'2026DATA'!$K$33,"")</f>
        <v/>
      </c>
      <c r="BC188" s="518" t="str">
        <f>IF(AND(_3="A-220-300",'2026'!$H$4="CA",'2026'!$H$2=BC157),'2026DATA'!$L$33,"")</f>
        <v/>
      </c>
      <c r="BD188" s="518" t="str">
        <f>IF(AND(_3="A-220-300",'2026'!$H$4="CA",'2026'!$H$2=BD157),'2026DATA'!$M$33,"")</f>
        <v/>
      </c>
      <c r="BE188" s="520" t="str">
        <f>IF(AND(_3="A-220-300",'2026'!$H$4="CA",'2026'!$H$2=BE157),'2026DATA'!$N$33,"")</f>
        <v/>
      </c>
      <c r="BF188" s="940" t="s">
        <v>51</v>
      </c>
      <c r="BG188" s="13" t="s">
        <v>61</v>
      </c>
      <c r="BH188" s="518" t="str">
        <f>IF(AND(_4="A-220-300",'2026'!$H$4="CA",'2026'!$H$2=BH157),'2026DATA'!$C$33,"")</f>
        <v/>
      </c>
      <c r="BI188" s="518" t="str">
        <f>IF(AND(_4="A-220-300",'2026'!$H$4="CA",'2026'!$H$2=BI157),'2026DATA'!$D$33,"")</f>
        <v/>
      </c>
      <c r="BJ188" s="518" t="str">
        <f>IF(AND(_4="A-220-300",'2026'!$H$4="CA",'2026'!$H$2=BJ157),'2026DATA'!$E$33,"")</f>
        <v/>
      </c>
      <c r="BK188" s="518" t="str">
        <f>IF(AND(_4="A-220-300",'2026'!$H$4="CA",'2026'!$H$2=BK157),'2026DATA'!$F$33,"")</f>
        <v/>
      </c>
      <c r="BL188" s="518" t="str">
        <f>IF(AND(_4="A-220-300",'2026'!$H$4="CA",'2026'!$H$2=BL157),'2026DATA'!$G$33,"")</f>
        <v/>
      </c>
      <c r="BM188" s="518" t="str">
        <f>IF(AND(_4="A-220-300",'2026'!$H$4="CA",'2026'!$H$2=BM157),'2026DATA'!$H$33,"")</f>
        <v/>
      </c>
      <c r="BN188" s="518" t="str">
        <f>IF(AND(_4="A-220-300",'2026'!$H$4="CA",'2026'!$H$2=BN157),'2026DATA'!$I$33,"")</f>
        <v/>
      </c>
      <c r="BO188" s="518" t="str">
        <f>IF(AND(_4="A-220-300",'2026'!$H$4="CA",'2026'!$H$2=BO157),'2026DATA'!$J$33,"")</f>
        <v/>
      </c>
      <c r="BP188" s="518" t="str">
        <f>IF(AND(_4="A-220-300",'2026'!$H$4="CA",'2026'!$H$2=BP157),'2026DATA'!$K$33,"")</f>
        <v/>
      </c>
      <c r="BQ188" s="518" t="str">
        <f>IF(AND(_4="A-220-300",'2026'!$H$4="CA",'2026'!$H$2=BQ157),'2026DATA'!$L$33,"")</f>
        <v/>
      </c>
      <c r="BR188" s="518" t="str">
        <f>IF(AND(_4="A-220-300",'2026'!$H$4="CA",'2026'!$H$2=BR157),'2026DATA'!$M$33,"")</f>
        <v/>
      </c>
      <c r="BS188" s="520" t="str">
        <f>IF(AND(_4="A-220-300",'2026'!$H$4="CA",'2026'!$H$2=BS157),'2026DATA'!$N$33,"")</f>
        <v/>
      </c>
      <c r="BT188" s="940" t="s">
        <v>51</v>
      </c>
      <c r="BU188" s="13" t="s">
        <v>61</v>
      </c>
      <c r="BV188" s="518" t="str">
        <f>IF(AND(_5="A-220-300",'2026'!$H$4="CA",'2026'!$H$2=BV157),'2026DATA'!$C$33,"")</f>
        <v/>
      </c>
      <c r="BW188" s="518" t="str">
        <f>IF(AND(_5="A-220-300",'2026'!$H$4="CA",'2026'!$H$2=BW157),'2026DATA'!$D$33,"")</f>
        <v/>
      </c>
      <c r="BX188" s="518" t="str">
        <f>IF(AND(_5="A-220-300",'2026'!$H$4="CA",'2026'!$H$2=BX157),'2026DATA'!$E$33,"")</f>
        <v/>
      </c>
      <c r="BY188" s="518" t="str">
        <f>IF(AND(_5="A-220-300",'2026'!$H$4="CA",'2026'!$H$2=BY157),'2026DATA'!$F$33,"")</f>
        <v/>
      </c>
      <c r="BZ188" s="518" t="str">
        <f>IF(AND(_5="A-220-300",'2026'!$H$4="CA",'2026'!$H$2=BZ157),'2026DATA'!$G$33,"")</f>
        <v/>
      </c>
      <c r="CA188" s="518" t="str">
        <f>IF(AND(_5="A-220-300",'2026'!$H$4="CA",'2026'!$H$2=CA157),'2026DATA'!$H$33,"")</f>
        <v/>
      </c>
      <c r="CB188" s="518" t="str">
        <f>IF(AND(_5="A-220-300",'2026'!$H$4="CA",'2026'!$H$2=CB157),'2026DATA'!$I$33,"")</f>
        <v/>
      </c>
      <c r="CC188" s="518" t="str">
        <f>IF(AND(_5="A-220-300",'2026'!$H$4="CA",'2026'!$H$2=CC157),'2026DATA'!$J$33,"")</f>
        <v/>
      </c>
      <c r="CD188" s="518" t="str">
        <f>IF(AND(_5="A-220-300",'2026'!$H$4="CA",'2026'!$H$2=CD157),'2026DATA'!$K$33,"")</f>
        <v/>
      </c>
      <c r="CE188" s="518" t="str">
        <f>IF(AND(_5="A-220-300",'2026'!$H$4="CA",'2026'!$H$2=CE157),'2026DATA'!$L$33,"")</f>
        <v/>
      </c>
      <c r="CF188" s="518" t="str">
        <f>IF(AND(_5="A-220-300",'2026'!$H$4="CA",'2026'!$H$2=CF157),'2026DATA'!$M$33,"")</f>
        <v/>
      </c>
      <c r="CG188" s="520" t="str">
        <f>IF(AND(_5="A-220-300",'2026'!$H$4="CA",'2026'!$H$2=CG157),'2026DATA'!$N$33,"")</f>
        <v/>
      </c>
      <c r="CH188" s="940" t="s">
        <v>51</v>
      </c>
      <c r="CI188" s="13" t="s">
        <v>61</v>
      </c>
      <c r="CJ188" s="518" t="str">
        <f>IF(AND(_6="A-220-300",'2026'!$H$4="CA",'2026'!$H$2=CJ157),'2026DATA'!$C$33,"")</f>
        <v/>
      </c>
      <c r="CK188" s="518" t="str">
        <f>IF(AND(_6="A-220-300",'2026'!$H$4="CA",'2026'!$H$2=CK157),'2026DATA'!$D$33,"")</f>
        <v/>
      </c>
      <c r="CL188" s="518" t="str">
        <f>IF(AND(_6="A-220-300",'2026'!$H$4="CA",'2026'!$H$2=CL157),'2026DATA'!$E$33,"")</f>
        <v/>
      </c>
      <c r="CM188" s="518" t="str">
        <f>IF(AND(_6="A-220-300",'2026'!$H$4="CA",'2026'!$H$2=CM157),'2026DATA'!$F$33,"")</f>
        <v/>
      </c>
      <c r="CN188" s="518" t="str">
        <f>IF(AND(_6="A-220-300",'2026'!$H$4="CA",'2026'!$H$2=CN157),'2026DATA'!$G$33,"")</f>
        <v/>
      </c>
      <c r="CO188" s="518" t="str">
        <f>IF(AND(_6="A-220-300",'2026'!$H$4="CA",'2026'!$H$2=CO157),'2026DATA'!$H$33,"")</f>
        <v/>
      </c>
      <c r="CP188" s="518" t="str">
        <f>IF(AND(_6="A-220-300",'2026'!$H$4="CA",'2026'!$H$2=CP157),'2026DATA'!$I$33,"")</f>
        <v/>
      </c>
      <c r="CQ188" s="518" t="str">
        <f>IF(AND(_6="A-220-300",'2026'!$H$4="CA",'2026'!$H$2=CQ157),'2026DATA'!$J$33,"")</f>
        <v/>
      </c>
      <c r="CR188" s="518" t="str">
        <f>IF(AND(_6="A-220-300",'2026'!$H$4="CA",'2026'!$H$2=CR157),'2026DATA'!$K$33,"")</f>
        <v/>
      </c>
      <c r="CS188" s="518" t="str">
        <f>IF(AND(_6="A-220-300",'2026'!$H$4="CA",'2026'!$H$2=CS157),'2026DATA'!$L$33,"")</f>
        <v/>
      </c>
      <c r="CT188" s="518" t="str">
        <f>IF(AND(_6="A-220-300",'2026'!$H$4="CA",'2026'!$H$2=CT157),'2026DATA'!$M$33,"")</f>
        <v/>
      </c>
      <c r="CU188" s="520" t="str">
        <f>IF(AND(_6="A-220-300",'2026'!$H$4="CA",'2026'!$H$2=CU157),'2026DATA'!$N$33,"")</f>
        <v/>
      </c>
    </row>
    <row r="189" spans="16:99" x14ac:dyDescent="0.25">
      <c r="P189" s="940"/>
      <c r="Q189" s="13" t="s">
        <v>62</v>
      </c>
      <c r="R189" s="518" t="str">
        <f>IF(AND(_1="A-220-300",'2026'!$H$4="FO",'2026'!$H$2=R157),'2026DATA'!$C$34,"")</f>
        <v/>
      </c>
      <c r="S189" s="518" t="str">
        <f>IF(AND(_1="A-220-300",'2026'!$H$4="FO",'2026'!$H$2=S157),'2026DATA'!$D$34,"")</f>
        <v/>
      </c>
      <c r="T189" s="518" t="str">
        <f>IF(AND(_1="A-220-300",'2026'!$H$4="FO",'2026'!$H$2=T157),'2026DATA'!$E$34,"")</f>
        <v/>
      </c>
      <c r="U189" s="518" t="str">
        <f>IF(AND(_1="A-220-300",'2026'!$H$4="FO",'2026'!$H$2=U157),'2026DATA'!$F$34,"")</f>
        <v/>
      </c>
      <c r="V189" s="518" t="str">
        <f>IF(AND(_1="A-220-300",'2026'!$H$4="FO",'2026'!$H$2=V157),'2026DATA'!$G$34,"")</f>
        <v/>
      </c>
      <c r="W189" s="518" t="str">
        <f>IF(AND(_1="A-220-300",'2026'!$H$4="FO",'2026'!$H$2=W157),'2026DATA'!$H$34,"")</f>
        <v/>
      </c>
      <c r="X189" s="518" t="str">
        <f>IF(AND(_1="A-220-300",'2026'!$H$4="FO",'2026'!$H$2=X157),'2026DATA'!$I$34,"")</f>
        <v/>
      </c>
      <c r="Y189" s="518" t="str">
        <f>IF(AND(_1="A-220-300",'2026'!$H$4="FO",'2026'!$H$2=Y157),'2026DATA'!$J$34,"")</f>
        <v/>
      </c>
      <c r="Z189" s="518" t="str">
        <f>IF(AND(_1="A-220-300",'2026'!$H$4="FO",'2026'!$H$2=Z157),'2026DATA'!$K$34,"")</f>
        <v/>
      </c>
      <c r="AA189" s="518" t="str">
        <f>IF(AND(_1="A-220-300",'2026'!$H$4="FO",'2026'!$H$2=AA157),'2026DATA'!$L$34,"")</f>
        <v/>
      </c>
      <c r="AB189" s="518" t="str">
        <f>IF(AND(_1="A-220-300",'2026'!$H$4="FO",'2026'!$H$2=AB157),'2026DATA'!$M$34,"")</f>
        <v/>
      </c>
      <c r="AC189" s="520" t="str">
        <f>IF(AND(_1="A-220-300",'2026'!$H$4="FO",'2026'!$H$2=AC157),'2026DATA'!$N$34,"")</f>
        <v/>
      </c>
      <c r="AD189" s="940"/>
      <c r="AE189" s="13" t="s">
        <v>62</v>
      </c>
      <c r="AF189" s="518" t="str">
        <f>IF(AND(_2="A-220-300",'2026'!$H$4="FO",'2026'!$H$2=AF157),'2026DATA'!$C$34,"")</f>
        <v/>
      </c>
      <c r="AG189" s="518" t="str">
        <f>IF(AND(_2="A-220-300",'2026'!$H$4="FO",'2026'!$H$2=AG157),'2026DATA'!$D$34,"")</f>
        <v/>
      </c>
      <c r="AH189" s="518" t="str">
        <f>IF(AND(_2="A-220-300",'2026'!$H$4="FO",'2026'!$H$2=AH157),'2026DATA'!$E$34,"")</f>
        <v/>
      </c>
      <c r="AI189" s="518" t="str">
        <f>IF(AND(_2="A-220-300",'2026'!$H$4="FO",'2026'!$H$2=AI157),'2026DATA'!$F$34,"")</f>
        <v/>
      </c>
      <c r="AJ189" s="518" t="str">
        <f>IF(AND(_2="A-220-300",'2026'!$H$4="FO",'2026'!$H$2=AJ157),'2026DATA'!$G$34,"")</f>
        <v/>
      </c>
      <c r="AK189" s="518" t="str">
        <f>IF(AND(_2="A-220-300",'2026'!$H$4="FO",'2026'!$H$2=AK157),'2026DATA'!$H$34,"")</f>
        <v/>
      </c>
      <c r="AL189" s="518" t="str">
        <f>IF(AND(_2="A-220-300",'2026'!$H$4="FO",'2026'!$H$2=AL157),'2026DATA'!$I$34,"")</f>
        <v/>
      </c>
      <c r="AM189" s="518" t="str">
        <f>IF(AND(_2="A-220-300",'2026'!$H$4="FO",'2026'!$H$2=AM157),'2026DATA'!$J$34,"")</f>
        <v/>
      </c>
      <c r="AN189" s="518" t="str">
        <f>IF(AND(_2="A-220-300",'2026'!$H$4="FO",'2026'!$H$2=AN157),'2026DATA'!$K$34,"")</f>
        <v/>
      </c>
      <c r="AO189" s="518" t="str">
        <f>IF(AND(_2="A-220-300",'2026'!$H$4="FO",'2026'!$H$2=AO157),'2026DATA'!$L$34,"")</f>
        <v/>
      </c>
      <c r="AP189" s="518" t="str">
        <f>IF(AND(_2="A-220-300",'2026'!$H$4="FO",'2026'!$H$2=AP157),'2026DATA'!$M$34,"")</f>
        <v/>
      </c>
      <c r="AQ189" s="520" t="str">
        <f>IF(AND(_2="A-220-300",'2026'!$H$4="FO",'2026'!$H$2=AQ157),'2026DATA'!$N$34,"")</f>
        <v/>
      </c>
      <c r="AR189" s="940"/>
      <c r="AS189" s="13" t="s">
        <v>62</v>
      </c>
      <c r="AT189" s="518" t="str">
        <f>IF(AND(_3="A-220-300",'2026'!$H$4="FO",'2026'!$H$2=AT157),'2026DATA'!$C$34,"")</f>
        <v/>
      </c>
      <c r="AU189" s="518" t="str">
        <f>IF(AND(_3="A-220-300",'2026'!$H$4="FO",'2026'!$H$2=AU157),'2026DATA'!$D$34,"")</f>
        <v/>
      </c>
      <c r="AV189" s="518" t="str">
        <f>IF(AND(_3="A-220-300",'2026'!$H$4="FO",'2026'!$H$2=AV157),'2026DATA'!$E$34,"")</f>
        <v/>
      </c>
      <c r="AW189" s="518" t="str">
        <f>IF(AND(_3="A-220-300",'2026'!$H$4="FO",'2026'!$H$2=AW157),'2026DATA'!$F$34,"")</f>
        <v/>
      </c>
      <c r="AX189" s="518" t="str">
        <f>IF(AND(_3="A-220-300",'2026'!$H$4="FO",'2026'!$H$2=AX157),'2026DATA'!$G$34,"")</f>
        <v/>
      </c>
      <c r="AY189" s="518" t="str">
        <f>IF(AND(_3="A-220-300",'2026'!$H$4="FO",'2026'!$H$2=AY157),'2026DATA'!$H$34,"")</f>
        <v/>
      </c>
      <c r="AZ189" s="518" t="str">
        <f>IF(AND(_3="A-220-300",'2026'!$H$4="FO",'2026'!$H$2=AZ157),'2026DATA'!$I$34,"")</f>
        <v/>
      </c>
      <c r="BA189" s="518" t="str">
        <f>IF(AND(_3="A-220-300",'2026'!$H$4="FO",'2026'!$H$2=BA157),'2026DATA'!$J$34,"")</f>
        <v/>
      </c>
      <c r="BB189" s="518" t="str">
        <f>IF(AND(_3="A-220-300",'2026'!$H$4="FO",'2026'!$H$2=BB157),'2026DATA'!$K$34,"")</f>
        <v/>
      </c>
      <c r="BC189" s="518" t="str">
        <f>IF(AND(_3="A-220-300",'2026'!$H$4="FO",'2026'!$H$2=BC157),'2026DATA'!$L$34,"")</f>
        <v/>
      </c>
      <c r="BD189" s="518" t="str">
        <f>IF(AND(_3="A-220-300",'2026'!$H$4="FO",'2026'!$H$2=BD157),'2026DATA'!$M$34,"")</f>
        <v/>
      </c>
      <c r="BE189" s="520" t="str">
        <f>IF(AND(_3="A-220-300",'2026'!$H$4="FO",'2026'!$H$2=BE157),'2026DATA'!$N$34,"")</f>
        <v/>
      </c>
      <c r="BF189" s="940"/>
      <c r="BG189" s="13" t="s">
        <v>62</v>
      </c>
      <c r="BH189" s="518" t="str">
        <f>IF(AND(_4="A-220-300",'2026'!$H$4="FO",'2026'!$H$2=BH157),'2026DATA'!$C$34,"")</f>
        <v/>
      </c>
      <c r="BI189" s="518" t="str">
        <f>IF(AND(_4="A-220-300",'2026'!$H$4="FO",'2026'!$H$2=BI157),'2026DATA'!$D$34,"")</f>
        <v/>
      </c>
      <c r="BJ189" s="518" t="str">
        <f>IF(AND(_4="A-220-300",'2026'!$H$4="FO",'2026'!$H$2=BJ157),'2026DATA'!$E$34,"")</f>
        <v/>
      </c>
      <c r="BK189" s="518" t="str">
        <f>IF(AND(_4="A-220-300",'2026'!$H$4="FO",'2026'!$H$2=BK157),'2026DATA'!$F$34,"")</f>
        <v/>
      </c>
      <c r="BL189" s="518" t="str">
        <f>IF(AND(_4="A-220-300",'2026'!$H$4="FO",'2026'!$H$2=BL157),'2026DATA'!$G$34,"")</f>
        <v/>
      </c>
      <c r="BM189" s="518" t="str">
        <f>IF(AND(_4="A-220-300",'2026'!$H$4="FO",'2026'!$H$2=BM157),'2026DATA'!$H$34,"")</f>
        <v/>
      </c>
      <c r="BN189" s="518" t="str">
        <f>IF(AND(_4="A-220-300",'2026'!$H$4="FO",'2026'!$H$2=BN157),'2026DATA'!$I$34,"")</f>
        <v/>
      </c>
      <c r="BO189" s="518" t="str">
        <f>IF(AND(_4="A-220-300",'2026'!$H$4="FO",'2026'!$H$2=BO157),'2026DATA'!$J$34,"")</f>
        <v/>
      </c>
      <c r="BP189" s="518" t="str">
        <f>IF(AND(_4="A-220-300",'2026'!$H$4="FO",'2026'!$H$2=BP157),'2026DATA'!$K$34,"")</f>
        <v/>
      </c>
      <c r="BQ189" s="518" t="str">
        <f>IF(AND(_4="A-220-300",'2026'!$H$4="FO",'2026'!$H$2=BQ157),'2026DATA'!$L$34,"")</f>
        <v/>
      </c>
      <c r="BR189" s="518" t="str">
        <f>IF(AND(_4="A-220-300",'2026'!$H$4="FO",'2026'!$H$2=BR157),'2026DATA'!$M$34,"")</f>
        <v/>
      </c>
      <c r="BS189" s="520" t="str">
        <f>IF(AND(_4="A-220-300",'2026'!$H$4="FO",'2026'!$H$2=BS157),'2026DATA'!$N$34,"")</f>
        <v/>
      </c>
      <c r="BT189" s="940"/>
      <c r="BU189" s="13" t="s">
        <v>62</v>
      </c>
      <c r="BV189" s="518" t="str">
        <f>IF(AND(_5="A-220-300",'2026'!$H$4="FO",'2026'!$H$2=BV157),'2026DATA'!$C$34,"")</f>
        <v/>
      </c>
      <c r="BW189" s="518" t="str">
        <f>IF(AND(_5="A-220-300",'2026'!$H$4="FO",'2026'!$H$2=BW157),'2026DATA'!$D$34,"")</f>
        <v/>
      </c>
      <c r="BX189" s="518" t="str">
        <f>IF(AND(_5="A-220-300",'2026'!$H$4="FO",'2026'!$H$2=BX157),'2026DATA'!$E$34,"")</f>
        <v/>
      </c>
      <c r="BY189" s="518" t="str">
        <f>IF(AND(_5="A-220-300",'2026'!$H$4="FO",'2026'!$H$2=BY157),'2026DATA'!$F$34,"")</f>
        <v/>
      </c>
      <c r="BZ189" s="518" t="str">
        <f>IF(AND(_5="A-220-300",'2026'!$H$4="FO",'2026'!$H$2=BZ157),'2026DATA'!$G$34,"")</f>
        <v/>
      </c>
      <c r="CA189" s="518" t="str">
        <f>IF(AND(_5="A-220-300",'2026'!$H$4="FO",'2026'!$H$2=CA157),'2026DATA'!$H$34,"")</f>
        <v/>
      </c>
      <c r="CB189" s="518" t="str">
        <f>IF(AND(_5="A-220-300",'2026'!$H$4="FO",'2026'!$H$2=CB157),'2026DATA'!$I$34,"")</f>
        <v/>
      </c>
      <c r="CC189" s="518" t="str">
        <f>IF(AND(_5="A-220-300",'2026'!$H$4="FO",'2026'!$H$2=CC157),'2026DATA'!$J$34,"")</f>
        <v/>
      </c>
      <c r="CD189" s="518" t="str">
        <f>IF(AND(_5="A-220-300",'2026'!$H$4="FO",'2026'!$H$2=CD157),'2026DATA'!$K$34,"")</f>
        <v/>
      </c>
      <c r="CE189" s="518" t="str">
        <f>IF(AND(_5="A-220-300",'2026'!$H$4="FO",'2026'!$H$2=CE157),'2026DATA'!$L$34,"")</f>
        <v/>
      </c>
      <c r="CF189" s="518" t="str">
        <f>IF(AND(_5="A-220-300",'2026'!$H$4="FO",'2026'!$H$2=CF157),'2026DATA'!$M$34,"")</f>
        <v/>
      </c>
      <c r="CG189" s="520" t="str">
        <f>IF(AND(_5="A-220-300",'2026'!$H$4="FO",'2026'!$H$2=CG157),'2026DATA'!$N$34,"")</f>
        <v/>
      </c>
      <c r="CH189" s="940"/>
      <c r="CI189" s="13" t="s">
        <v>62</v>
      </c>
      <c r="CJ189" s="518" t="str">
        <f>IF(AND(_6="A-220-300",'2026'!$H$4="FO",'2026'!$H$2=CJ157),'2026DATA'!$C$34,"")</f>
        <v/>
      </c>
      <c r="CK189" s="518" t="str">
        <f>IF(AND(_6="A-220-300",'2026'!$H$4="FO",'2026'!$H$2=CK157),'2026DATA'!$D$34,"")</f>
        <v/>
      </c>
      <c r="CL189" s="518" t="str">
        <f>IF(AND(_6="A-220-300",'2026'!$H$4="FO",'2026'!$H$2=CL157),'2026DATA'!$E$34,"")</f>
        <v/>
      </c>
      <c r="CM189" s="518" t="str">
        <f>IF(AND(_6="A-220-300",'2026'!$H$4="FO",'2026'!$H$2=CM157),'2026DATA'!$F$34,"")</f>
        <v/>
      </c>
      <c r="CN189" s="518" t="str">
        <f>IF(AND(_6="A-220-300",'2026'!$H$4="FO",'2026'!$H$2=CN157),'2026DATA'!$G$34,"")</f>
        <v/>
      </c>
      <c r="CO189" s="518" t="str">
        <f>IF(AND(_6="A-220-300",'2026'!$H$4="FO",'2026'!$H$2=CO157),'2026DATA'!$H$34,"")</f>
        <v/>
      </c>
      <c r="CP189" s="518" t="str">
        <f>IF(AND(_6="A-220-300",'2026'!$H$4="FO",'2026'!$H$2=CP157),'2026DATA'!$I$34,"")</f>
        <v/>
      </c>
      <c r="CQ189" s="518" t="str">
        <f>IF(AND(_6="A-220-300",'2026'!$H$4="FO",'2026'!$H$2=CQ157),'2026DATA'!$J$34,"")</f>
        <v/>
      </c>
      <c r="CR189" s="518" t="str">
        <f>IF(AND(_6="A-220-300",'2026'!$H$4="FO",'2026'!$H$2=CR157),'2026DATA'!$K$34,"")</f>
        <v/>
      </c>
      <c r="CS189" s="518" t="str">
        <f>IF(AND(_6="A-220-300",'2026'!$H$4="FO",'2026'!$H$2=CS157),'2026DATA'!$L$34,"")</f>
        <v/>
      </c>
      <c r="CT189" s="518" t="str">
        <f>IF(AND(_6="A-220-300",'2026'!$H$4="FO",'2026'!$H$2=CT157),'2026DATA'!$M$34,"")</f>
        <v/>
      </c>
      <c r="CU189" s="520" t="str">
        <f>IF(AND(_6="A-220-300",'2026'!$H$4="FO",'2026'!$H$2=CU157),'2026DATA'!$N$34,"")</f>
        <v/>
      </c>
    </row>
    <row r="190" spans="16:99" x14ac:dyDescent="0.25">
      <c r="P190" s="940" t="s">
        <v>52</v>
      </c>
      <c r="Q190" s="13" t="s">
        <v>61</v>
      </c>
      <c r="R190" s="518" t="str">
        <f>IF(AND(_1="A-220-100",'2026'!$H$4="CA",'2026'!$H$2=R157),'2026DATA'!$C$35,"")</f>
        <v/>
      </c>
      <c r="S190" s="518" t="str">
        <f>IF(AND(_1="A-220-100",'2026'!$H$4="CA",'2026'!$H$2=S157),'2026DATA'!$D$35,"")</f>
        <v/>
      </c>
      <c r="T190" s="518" t="str">
        <f>IF(AND(_1="A-220-100",'2026'!$H$4="CA",'2026'!$H$2=T157),'2026DATA'!$E$35,"")</f>
        <v/>
      </c>
      <c r="U190" s="518" t="str">
        <f>IF(AND(_1="A-220-100",'2026'!$H$4="CA",'2026'!$H$2=U157),'2026DATA'!$F$35,"")</f>
        <v/>
      </c>
      <c r="V190" s="518" t="str">
        <f>IF(AND(_1="A-220-100",'2026'!$H$4="CA",'2026'!$H$2=V157),'2026DATA'!$G$35,"")</f>
        <v/>
      </c>
      <c r="W190" s="518" t="str">
        <f>IF(AND(_1="A-220-100",'2026'!$H$4="CA",'2026'!$H$2=W157),'2026DATA'!$H$35,"")</f>
        <v/>
      </c>
      <c r="X190" s="518" t="str">
        <f>IF(AND(_1="A-220-100",'2026'!$H$4="CA",'2026'!$H$2=X157),'2026DATA'!$I$35,"")</f>
        <v/>
      </c>
      <c r="Y190" s="518" t="str">
        <f>IF(AND(_1="A-220-100",'2026'!$H$4="CA",'2026'!$H$2=Y157),'2026DATA'!$J$35,"")</f>
        <v/>
      </c>
      <c r="Z190" s="518" t="str">
        <f>IF(AND(_1="A-220-100",'2026'!$H$4="CA",'2026'!$H$2=Z157),'2026DATA'!$K$35,"")</f>
        <v/>
      </c>
      <c r="AA190" s="518" t="str">
        <f>IF(AND(_1="A-220-100",'2026'!$H$4="CA",'2026'!$H$2=AA157),'2026DATA'!$L$35,"")</f>
        <v/>
      </c>
      <c r="AB190" s="518" t="str">
        <f>IF(AND(_1="A-220-100",'2026'!$H$4="CA",'2026'!$H$2=AB157),'2026DATA'!$M$35,"")</f>
        <v/>
      </c>
      <c r="AC190" s="520" t="str">
        <f>IF(AND(_1="A-220-100",'2026'!$H$4="CA",'2026'!$H$2=AC157),'2026DATA'!$N$35,"")</f>
        <v/>
      </c>
      <c r="AD190" s="940" t="s">
        <v>52</v>
      </c>
      <c r="AE190" s="13" t="s">
        <v>61</v>
      </c>
      <c r="AF190" s="518" t="str">
        <f>IF(AND(_2="A-220-100",'2026'!$H$4="CA",'2026'!$H$2=AF157),'2026DATA'!$C$35,"")</f>
        <v/>
      </c>
      <c r="AG190" s="518" t="str">
        <f>IF(AND(_2="A-220-100",'2026'!$H$4="CA",'2026'!$H$2=AG157),'2026DATA'!$D$35,"")</f>
        <v/>
      </c>
      <c r="AH190" s="518" t="str">
        <f>IF(AND(_2="A-220-100",'2026'!$H$4="CA",'2026'!$H$2=AH157),'2026DATA'!$E$35,"")</f>
        <v/>
      </c>
      <c r="AI190" s="518" t="str">
        <f>IF(AND(_2="A-220-100",'2026'!$H$4="CA",'2026'!$H$2=AI157),'2026DATA'!$F$35,"")</f>
        <v/>
      </c>
      <c r="AJ190" s="518" t="str">
        <f>IF(AND(_2="A-220-100",'2026'!$H$4="CA",'2026'!$H$2=AJ157),'2026DATA'!$G$35,"")</f>
        <v/>
      </c>
      <c r="AK190" s="518" t="str">
        <f>IF(AND(_2="A-220-100",'2026'!$H$4="CA",'2026'!$H$2=AK157),'2026DATA'!$H$35,"")</f>
        <v/>
      </c>
      <c r="AL190" s="518" t="str">
        <f>IF(AND(_2="A-220-100",'2026'!$H$4="CA",'2026'!$H$2=AL157),'2026DATA'!$I$35,"")</f>
        <v/>
      </c>
      <c r="AM190" s="518" t="str">
        <f>IF(AND(_2="A-220-100",'2026'!$H$4="CA",'2026'!$H$2=AM157),'2026DATA'!$J$35,"")</f>
        <v/>
      </c>
      <c r="AN190" s="518" t="str">
        <f>IF(AND(_2="A-220-100",'2026'!$H$4="CA",'2026'!$H$2=AN157),'2026DATA'!$K$35,"")</f>
        <v/>
      </c>
      <c r="AO190" s="518" t="str">
        <f>IF(AND(_2="A-220-100",'2026'!$H$4="CA",'2026'!$H$2=AO157),'2026DATA'!$L$35,"")</f>
        <v/>
      </c>
      <c r="AP190" s="518" t="str">
        <f>IF(AND(_2="A-220-100",'2026'!$H$4="CA",'2026'!$H$2=AP157),'2026DATA'!$M$35,"")</f>
        <v/>
      </c>
      <c r="AQ190" s="520" t="str">
        <f>IF(AND(_2="A-220-100",'2026'!$H$4="CA",'2026'!$H$2=AQ157),'2026DATA'!$N$35,"")</f>
        <v/>
      </c>
      <c r="AR190" s="940" t="s">
        <v>52</v>
      </c>
      <c r="AS190" s="13" t="s">
        <v>61</v>
      </c>
      <c r="AT190" s="518" t="str">
        <f>IF(AND(_3="A-220-100",'2026'!$H$4="CA",'2026'!$H$2=AT157),'2026DATA'!$C$35,"")</f>
        <v/>
      </c>
      <c r="AU190" s="518" t="str">
        <f>IF(AND(_3="A-220-100",'2026'!$H$4="CA",'2026'!$H$2=AU157),'2026DATA'!$D$35,"")</f>
        <v/>
      </c>
      <c r="AV190" s="518" t="str">
        <f>IF(AND(_3="A-220-100",'2026'!$H$4="CA",'2026'!$H$2=AV157),'2026DATA'!$E$35,"")</f>
        <v/>
      </c>
      <c r="AW190" s="518" t="str">
        <f>IF(AND(_3="A-220-100",'2026'!$H$4="CA",'2026'!$H$2=AW157),'2026DATA'!$F$35,"")</f>
        <v/>
      </c>
      <c r="AX190" s="518" t="str">
        <f>IF(AND(_3="A-220-100",'2026'!$H$4="CA",'2026'!$H$2=AX157),'2026DATA'!$G$35,"")</f>
        <v/>
      </c>
      <c r="AY190" s="518" t="str">
        <f>IF(AND(_3="A-220-100",'2026'!$H$4="CA",'2026'!$H$2=AY157),'2026DATA'!$H$35,"")</f>
        <v/>
      </c>
      <c r="AZ190" s="518" t="str">
        <f>IF(AND(_3="A-220-100",'2026'!$H$4="CA",'2026'!$H$2=AZ157),'2026DATA'!$I$35,"")</f>
        <v/>
      </c>
      <c r="BA190" s="518" t="str">
        <f>IF(AND(_3="A-220-100",'2026'!$H$4="CA",'2026'!$H$2=BA157),'2026DATA'!$J$35,"")</f>
        <v/>
      </c>
      <c r="BB190" s="518" t="str">
        <f>IF(AND(_3="A-220-100",'2026'!$H$4="CA",'2026'!$H$2=BB157),'2026DATA'!$K$35,"")</f>
        <v/>
      </c>
      <c r="BC190" s="518" t="str">
        <f>IF(AND(_3="A-220-100",'2026'!$H$4="CA",'2026'!$H$2=BC157),'2026DATA'!$L$35,"")</f>
        <v/>
      </c>
      <c r="BD190" s="518" t="str">
        <f>IF(AND(_3="A-220-100",'2026'!$H$4="CA",'2026'!$H$2=BD157),'2026DATA'!$M$35,"")</f>
        <v/>
      </c>
      <c r="BE190" s="520" t="str">
        <f>IF(AND(_3="A-220-100",'2026'!$H$4="CA",'2026'!$H$2=BE157),'2026DATA'!$N$35,"")</f>
        <v/>
      </c>
      <c r="BF190" s="940" t="s">
        <v>52</v>
      </c>
      <c r="BG190" s="13" t="s">
        <v>61</v>
      </c>
      <c r="BH190" s="518" t="str">
        <f>IF(AND(_4="A-220-100",'2026'!$H$4="CA",'2026'!$H$2=BH157),'2026DATA'!$C$35,"")</f>
        <v/>
      </c>
      <c r="BI190" s="518" t="str">
        <f>IF(AND(_4="A-220-100",'2026'!$H$4="CA",'2026'!$H$2=BI157),'2026DATA'!$D$35,"")</f>
        <v/>
      </c>
      <c r="BJ190" s="518" t="str">
        <f>IF(AND(_4="A-220-100",'2026'!$H$4="CA",'2026'!$H$2=BJ157),'2026DATA'!$E$35,"")</f>
        <v/>
      </c>
      <c r="BK190" s="518" t="str">
        <f>IF(AND(_4="A-220-100",'2026'!$H$4="CA",'2026'!$H$2=BK157),'2026DATA'!$F$35,"")</f>
        <v/>
      </c>
      <c r="BL190" s="518" t="str">
        <f>IF(AND(_4="A-220-100",'2026'!$H$4="CA",'2026'!$H$2=BL157),'2026DATA'!$G$35,"")</f>
        <v/>
      </c>
      <c r="BM190" s="518" t="str">
        <f>IF(AND(_4="A-220-100",'2026'!$H$4="CA",'2026'!$H$2=BM157),'2026DATA'!$H$35,"")</f>
        <v/>
      </c>
      <c r="BN190" s="518" t="str">
        <f>IF(AND(_4="A-220-100",'2026'!$H$4="CA",'2026'!$H$2=BN157),'2026DATA'!$I$35,"")</f>
        <v/>
      </c>
      <c r="BO190" s="518" t="str">
        <f>IF(AND(_4="A-220-100",'2026'!$H$4="CA",'2026'!$H$2=BO157),'2026DATA'!$J$35,"")</f>
        <v/>
      </c>
      <c r="BP190" s="518" t="str">
        <f>IF(AND(_4="A-220-100",'2026'!$H$4="CA",'2026'!$H$2=BP157),'2026DATA'!$K$35,"")</f>
        <v/>
      </c>
      <c r="BQ190" s="518" t="str">
        <f>IF(AND(_4="A-220-100",'2026'!$H$4="CA",'2026'!$H$2=BQ157),'2026DATA'!$L$35,"")</f>
        <v/>
      </c>
      <c r="BR190" s="518" t="str">
        <f>IF(AND(_4="A-220-100",'2026'!$H$4="CA",'2026'!$H$2=BR157),'2026DATA'!$M$35,"")</f>
        <v/>
      </c>
      <c r="BS190" s="520" t="str">
        <f>IF(AND(_4="A-220-100",'2026'!$H$4="CA",'2026'!$H$2=BS157),'2026DATA'!$N$35,"")</f>
        <v/>
      </c>
      <c r="BT190" s="940" t="s">
        <v>52</v>
      </c>
      <c r="BU190" s="13" t="s">
        <v>61</v>
      </c>
      <c r="BV190" s="518" t="str">
        <f>IF(AND(_5="A-220-100",'2026'!$H$4="CA",'2026'!$H$2=BV157),'2026DATA'!$C$35,"")</f>
        <v/>
      </c>
      <c r="BW190" s="518" t="str">
        <f>IF(AND(_5="A-220-100",'2026'!$H$4="CA",'2026'!$H$2=BW157),'2026DATA'!$D$35,"")</f>
        <v/>
      </c>
      <c r="BX190" s="518" t="str">
        <f>IF(AND(_5="A-220-100",'2026'!$H$4="CA",'2026'!$H$2=BX157),'2026DATA'!$E$35,"")</f>
        <v/>
      </c>
      <c r="BY190" s="518" t="str">
        <f>IF(AND(_5="A-220-100",'2026'!$H$4="CA",'2026'!$H$2=BY157),'2026DATA'!$F$35,"")</f>
        <v/>
      </c>
      <c r="BZ190" s="518" t="str">
        <f>IF(AND(_5="A-220-100",'2026'!$H$4="CA",'2026'!$H$2=BZ157),'2026DATA'!$G$35,"")</f>
        <v/>
      </c>
      <c r="CA190" s="518" t="str">
        <f>IF(AND(_5="A-220-100",'2026'!$H$4="CA",'2026'!$H$2=CA157),'2026DATA'!$H$35,"")</f>
        <v/>
      </c>
      <c r="CB190" s="518" t="str">
        <f>IF(AND(_5="A-220-100",'2026'!$H$4="CA",'2026'!$H$2=CB157),'2026DATA'!$I$35,"")</f>
        <v/>
      </c>
      <c r="CC190" s="518" t="str">
        <f>IF(AND(_5="A-220-100",'2026'!$H$4="CA",'2026'!$H$2=CC157),'2026DATA'!$J$35,"")</f>
        <v/>
      </c>
      <c r="CD190" s="518" t="str">
        <f>IF(AND(_5="A-220-100",'2026'!$H$4="CA",'2026'!$H$2=CD157),'2026DATA'!$K$35,"")</f>
        <v/>
      </c>
      <c r="CE190" s="518" t="str">
        <f>IF(AND(_5="A-220-100",'2026'!$H$4="CA",'2026'!$H$2=CE157),'2026DATA'!$L$35,"")</f>
        <v/>
      </c>
      <c r="CF190" s="518" t="str">
        <f>IF(AND(_5="A-220-100",'2026'!$H$4="CA",'2026'!$H$2=CF157),'2026DATA'!$M$35,"")</f>
        <v/>
      </c>
      <c r="CG190" s="520" t="str">
        <f>IF(AND(_5="A-220-100",'2026'!$H$4="CA",'2026'!$H$2=CG157),'2026DATA'!$N$35,"")</f>
        <v/>
      </c>
      <c r="CH190" s="940" t="s">
        <v>52</v>
      </c>
      <c r="CI190" s="13" t="s">
        <v>61</v>
      </c>
      <c r="CJ190" s="518" t="str">
        <f>IF(AND(_6="A-220-100",'2026'!$H$4="CA",'2026'!$H$2=CJ157),'2026DATA'!$C$35,"")</f>
        <v/>
      </c>
      <c r="CK190" s="518" t="str">
        <f>IF(AND(_6="A-220-100",'2026'!$H$4="CA",'2026'!$H$2=CK157),'2026DATA'!$D$35,"")</f>
        <v/>
      </c>
      <c r="CL190" s="518" t="str">
        <f>IF(AND(_6="A-220-100",'2026'!$H$4="CA",'2026'!$H$2=CL157),'2026DATA'!$E$35,"")</f>
        <v/>
      </c>
      <c r="CM190" s="518" t="str">
        <f>IF(AND(_6="A-220-100",'2026'!$H$4="CA",'2026'!$H$2=CM157),'2026DATA'!$F$35,"")</f>
        <v/>
      </c>
      <c r="CN190" s="518" t="str">
        <f>IF(AND(_6="A-220-100",'2026'!$H$4="CA",'2026'!$H$2=CN157),'2026DATA'!$G$35,"")</f>
        <v/>
      </c>
      <c r="CO190" s="518" t="str">
        <f>IF(AND(_6="A-220-100",'2026'!$H$4="CA",'2026'!$H$2=CO157),'2026DATA'!$H$35,"")</f>
        <v/>
      </c>
      <c r="CP190" s="518" t="str">
        <f>IF(AND(_6="A-220-100",'2026'!$H$4="CA",'2026'!$H$2=CP157),'2026DATA'!$I$35,"")</f>
        <v/>
      </c>
      <c r="CQ190" s="518" t="str">
        <f>IF(AND(_6="A-220-100",'2026'!$H$4="CA",'2026'!$H$2=CQ157),'2026DATA'!$J$35,"")</f>
        <v/>
      </c>
      <c r="CR190" s="518" t="str">
        <f>IF(AND(_6="A-220-100",'2026'!$H$4="CA",'2026'!$H$2=CR157),'2026DATA'!$K$35,"")</f>
        <v/>
      </c>
      <c r="CS190" s="518" t="str">
        <f>IF(AND(_6="A-220-100",'2026'!$H$4="CA",'2026'!$H$2=CS157),'2026DATA'!$L$35,"")</f>
        <v/>
      </c>
      <c r="CT190" s="518" t="str">
        <f>IF(AND(_6="A-220-100",'2026'!$H$4="CA",'2026'!$H$2=CT157),'2026DATA'!$M$35,"")</f>
        <v/>
      </c>
      <c r="CU190" s="520" t="str">
        <f>IF(AND(_6="A-220-100",'2026'!$H$4="CA",'2026'!$H$2=CU157),'2026DATA'!$N$35,"")</f>
        <v/>
      </c>
    </row>
    <row r="191" spans="16:99" x14ac:dyDescent="0.25">
      <c r="P191" s="940"/>
      <c r="Q191" s="13" t="s">
        <v>62</v>
      </c>
      <c r="R191" s="518" t="str">
        <f>IF(AND(_1="A-220-100",'2026'!$H$4="FO",'2026'!$H$2=R157),'2026DATA'!$C$36,"")</f>
        <v/>
      </c>
      <c r="S191" s="518" t="str">
        <f>IF(AND(_1="A-220-100",'2026'!$H$4="FO",'2026'!$H$2=S157),'2026DATA'!$D$36,"")</f>
        <v/>
      </c>
      <c r="T191" s="518" t="str">
        <f>IF(AND(_1="A-220-100",'2026'!$H$4="FO",'2026'!$H$2=T157),'2026DATA'!$E$36,"")</f>
        <v/>
      </c>
      <c r="U191" s="518" t="str">
        <f>IF(AND(_1="A-220-100",'2026'!$H$4="FO",'2026'!$H$2=U157),'2026DATA'!$F$36,"")</f>
        <v/>
      </c>
      <c r="V191" s="518" t="str">
        <f>IF(AND(_1="A-220-100",'2026'!$H$4="FO",'2026'!$H$2=V157),'2026DATA'!$G$36,"")</f>
        <v/>
      </c>
      <c r="W191" s="518" t="str">
        <f>IF(AND(_1="A-220-100",'2026'!$H$4="FO",'2026'!$H$2=W157),'2026DATA'!$H$36,"")</f>
        <v/>
      </c>
      <c r="X191" s="518" t="str">
        <f>IF(AND(_1="A-220-100",'2026'!$H$4="FO",'2026'!$H$2=X157),'2026DATA'!$I$36,"")</f>
        <v/>
      </c>
      <c r="Y191" s="518" t="str">
        <f>IF(AND(_1="A-220-100",'2026'!$H$4="FO",'2026'!$H$2=Y157),'2026DATA'!$J$36,"")</f>
        <v/>
      </c>
      <c r="Z191" s="518" t="str">
        <f>IF(AND(_1="A-220-100",'2026'!$H$4="FO",'2026'!$H$2=Z157),'2026DATA'!$K$36,"")</f>
        <v/>
      </c>
      <c r="AA191" s="518" t="str">
        <f>IF(AND(_1="A-220-100",'2026'!$H$4="FO",'2026'!$H$2=AA157),'2026DATA'!$L$36,"")</f>
        <v/>
      </c>
      <c r="AB191" s="518" t="str">
        <f>IF(AND(_1="A-220-100",'2026'!$H$4="FO",'2026'!$H$2=AB157),'2026DATA'!$M$36,"")</f>
        <v/>
      </c>
      <c r="AC191" s="520" t="str">
        <f>IF(AND(_1="A-220-100",'2026'!$H$4="FO",'2026'!$H$2=AC157),'2026DATA'!$N$36,"")</f>
        <v/>
      </c>
      <c r="AD191" s="940"/>
      <c r="AE191" s="13" t="s">
        <v>62</v>
      </c>
      <c r="AF191" s="518" t="str">
        <f>IF(AND(_2="A-220-100",'2026'!$H$4="FO",'2026'!$H$2=AF157),'2026DATA'!$C$36,"")</f>
        <v/>
      </c>
      <c r="AG191" s="518" t="str">
        <f>IF(AND(_2="A-220-100",'2026'!$H$4="FO",'2026'!$H$2=AG157),'2026DATA'!$D$36,"")</f>
        <v/>
      </c>
      <c r="AH191" s="518" t="str">
        <f>IF(AND(_2="A-220-100",'2026'!$H$4="FO",'2026'!$H$2=AH157),'2026DATA'!$E$36,"")</f>
        <v/>
      </c>
      <c r="AI191" s="518" t="str">
        <f>IF(AND(_2="A-220-100",'2026'!$H$4="FO",'2026'!$H$2=AI157),'2026DATA'!$F$36,"")</f>
        <v/>
      </c>
      <c r="AJ191" s="518" t="str">
        <f>IF(AND(_2="A-220-100",'2026'!$H$4="FO",'2026'!$H$2=AJ157),'2026DATA'!$G$36,"")</f>
        <v/>
      </c>
      <c r="AK191" s="518" t="str">
        <f>IF(AND(_2="A-220-100",'2026'!$H$4="FO",'2026'!$H$2=AK157),'2026DATA'!$H$36,"")</f>
        <v/>
      </c>
      <c r="AL191" s="518" t="str">
        <f>IF(AND(_2="A-220-100",'2026'!$H$4="FO",'2026'!$H$2=AL157),'2026DATA'!$I$36,"")</f>
        <v/>
      </c>
      <c r="AM191" s="518" t="str">
        <f>IF(AND(_2="A-220-100",'2026'!$H$4="FO",'2026'!$H$2=AM157),'2026DATA'!$J$36,"")</f>
        <v/>
      </c>
      <c r="AN191" s="518" t="str">
        <f>IF(AND(_2="A-220-100",'2026'!$H$4="FO",'2026'!$H$2=AN157),'2026DATA'!$K$36,"")</f>
        <v/>
      </c>
      <c r="AO191" s="518" t="str">
        <f>IF(AND(_2="A-220-100",'2026'!$H$4="FO",'2026'!$H$2=AO157),'2026DATA'!$L$36,"")</f>
        <v/>
      </c>
      <c r="AP191" s="518" t="str">
        <f>IF(AND(_2="A-220-100",'2026'!$H$4="FO",'2026'!$H$2=AP157),'2026DATA'!$M$36,"")</f>
        <v/>
      </c>
      <c r="AQ191" s="520" t="str">
        <f>IF(AND(_2="A-220-100",'2026'!$H$4="FO",'2026'!$H$2=AQ157),'2026DATA'!$N$36,"")</f>
        <v/>
      </c>
      <c r="AR191" s="940"/>
      <c r="AS191" s="13" t="s">
        <v>62</v>
      </c>
      <c r="AT191" s="518" t="str">
        <f>IF(AND(_3="A-220-100",'2026'!$H$4="FO",'2026'!$H$2=AT157),'2026DATA'!$C$36,"")</f>
        <v/>
      </c>
      <c r="AU191" s="518" t="str">
        <f>IF(AND(_3="A-220-100",'2026'!$H$4="FO",'2026'!$H$2=AU157),'2026DATA'!$D$36,"")</f>
        <v/>
      </c>
      <c r="AV191" s="518" t="str">
        <f>IF(AND(_3="A-220-100",'2026'!$H$4="FO",'2026'!$H$2=AV157),'2026DATA'!$E$36,"")</f>
        <v/>
      </c>
      <c r="AW191" s="518" t="str">
        <f>IF(AND(_3="A-220-100",'2026'!$H$4="FO",'2026'!$H$2=AW157),'2026DATA'!$F$36,"")</f>
        <v/>
      </c>
      <c r="AX191" s="518" t="str">
        <f>IF(AND(_3="A-220-100",'2026'!$H$4="FO",'2026'!$H$2=AX157),'2026DATA'!$G$36,"")</f>
        <v/>
      </c>
      <c r="AY191" s="518" t="str">
        <f>IF(AND(_3="A-220-100",'2026'!$H$4="FO",'2026'!$H$2=AY157),'2026DATA'!$H$36,"")</f>
        <v/>
      </c>
      <c r="AZ191" s="518" t="str">
        <f>IF(AND(_3="A-220-100",'2026'!$H$4="FO",'2026'!$H$2=AZ157),'2026DATA'!$I$36,"")</f>
        <v/>
      </c>
      <c r="BA191" s="518" t="str">
        <f>IF(AND(_3="A-220-100",'2026'!$H$4="FO",'2026'!$H$2=BA157),'2026DATA'!$J$36,"")</f>
        <v/>
      </c>
      <c r="BB191" s="518" t="str">
        <f>IF(AND(_3="A-220-100",'2026'!$H$4="FO",'2026'!$H$2=BB157),'2026DATA'!$K$36,"")</f>
        <v/>
      </c>
      <c r="BC191" s="518" t="str">
        <f>IF(AND(_3="A-220-100",'2026'!$H$4="FO",'2026'!$H$2=BC157),'2026DATA'!$L$36,"")</f>
        <v/>
      </c>
      <c r="BD191" s="518" t="str">
        <f>IF(AND(_3="A-220-100",'2026'!$H$4="FO",'2026'!$H$2=BD157),'2026DATA'!$M$36,"")</f>
        <v/>
      </c>
      <c r="BE191" s="520" t="str">
        <f>IF(AND(_3="A-220-100",'2026'!$H$4="FO",'2026'!$H$2=BE157),'2026DATA'!$N$36,"")</f>
        <v/>
      </c>
      <c r="BF191" s="940"/>
      <c r="BG191" s="13" t="s">
        <v>62</v>
      </c>
      <c r="BH191" s="518" t="str">
        <f>IF(AND(_4="A-220-100",'2026'!$H$4="FO",'2026'!$H$2=BH157),'2026DATA'!$C$36,"")</f>
        <v/>
      </c>
      <c r="BI191" s="518" t="str">
        <f>IF(AND(_4="A-220-100",'2026'!$H$4="FO",'2026'!$H$2=BI157),'2026DATA'!$D$36,"")</f>
        <v/>
      </c>
      <c r="BJ191" s="518" t="str">
        <f>IF(AND(_4="A-220-100",'2026'!$H$4="FO",'2026'!$H$2=BJ157),'2026DATA'!$E$36,"")</f>
        <v/>
      </c>
      <c r="BK191" s="518" t="str">
        <f>IF(AND(_4="A-220-100",'2026'!$H$4="FO",'2026'!$H$2=BK157),'2026DATA'!$F$36,"")</f>
        <v/>
      </c>
      <c r="BL191" s="518" t="str">
        <f>IF(AND(_4="A-220-100",'2026'!$H$4="FO",'2026'!$H$2=BL157),'2026DATA'!$G$36,"")</f>
        <v/>
      </c>
      <c r="BM191" s="518" t="str">
        <f>IF(AND(_4="A-220-100",'2026'!$H$4="FO",'2026'!$H$2=BM157),'2026DATA'!$H$36,"")</f>
        <v/>
      </c>
      <c r="BN191" s="518" t="str">
        <f>IF(AND(_4="A-220-100",'2026'!$H$4="FO",'2026'!$H$2=BN157),'2026DATA'!$I$36,"")</f>
        <v/>
      </c>
      <c r="BO191" s="518" t="str">
        <f>IF(AND(_4="A-220-100",'2026'!$H$4="FO",'2026'!$H$2=BO157),'2026DATA'!$J$36,"")</f>
        <v/>
      </c>
      <c r="BP191" s="518" t="str">
        <f>IF(AND(_4="A-220-100",'2026'!$H$4="FO",'2026'!$H$2=BP157),'2026DATA'!$K$36,"")</f>
        <v/>
      </c>
      <c r="BQ191" s="518" t="str">
        <f>IF(AND(_4="A-220-100",'2026'!$H$4="FO",'2026'!$H$2=BQ157),'2026DATA'!$L$36,"")</f>
        <v/>
      </c>
      <c r="BR191" s="518" t="str">
        <f>IF(AND(_4="A-220-100",'2026'!$H$4="FO",'2026'!$H$2=BR157),'2026DATA'!$M$36,"")</f>
        <v/>
      </c>
      <c r="BS191" s="520" t="str">
        <f>IF(AND(_4="A-220-100",'2026'!$H$4="FO",'2026'!$H$2=BS157),'2026DATA'!$N$36,"")</f>
        <v/>
      </c>
      <c r="BT191" s="940"/>
      <c r="BU191" s="13" t="s">
        <v>62</v>
      </c>
      <c r="BV191" s="518" t="str">
        <f>IF(AND(_5="A-220-100",'2026'!$H$4="FO",'2026'!$H$2=BV157),'2026DATA'!$C$36,"")</f>
        <v/>
      </c>
      <c r="BW191" s="518" t="str">
        <f>IF(AND(_5="A-220-100",'2026'!$H$4="FO",'2026'!$H$2=BW157),'2026DATA'!$D$36,"")</f>
        <v/>
      </c>
      <c r="BX191" s="518" t="str">
        <f>IF(AND(_5="A-220-100",'2026'!$H$4="FO",'2026'!$H$2=BX157),'2026DATA'!$E$36,"")</f>
        <v/>
      </c>
      <c r="BY191" s="518" t="str">
        <f>IF(AND(_5="A-220-100",'2026'!$H$4="FO",'2026'!$H$2=BY157),'2026DATA'!$F$36,"")</f>
        <v/>
      </c>
      <c r="BZ191" s="518" t="str">
        <f>IF(AND(_5="A-220-100",'2026'!$H$4="FO",'2026'!$H$2=BZ157),'2026DATA'!$G$36,"")</f>
        <v/>
      </c>
      <c r="CA191" s="518" t="str">
        <f>IF(AND(_5="A-220-100",'2026'!$H$4="FO",'2026'!$H$2=CA157),'2026DATA'!$H$36,"")</f>
        <v/>
      </c>
      <c r="CB191" s="518" t="str">
        <f>IF(AND(_5="A-220-100",'2026'!$H$4="FO",'2026'!$H$2=CB157),'2026DATA'!$I$36,"")</f>
        <v/>
      </c>
      <c r="CC191" s="518" t="str">
        <f>IF(AND(_5="A-220-100",'2026'!$H$4="FO",'2026'!$H$2=CC157),'2026DATA'!$J$36,"")</f>
        <v/>
      </c>
      <c r="CD191" s="518" t="str">
        <f>IF(AND(_5="A-220-100",'2026'!$H$4="FO",'2026'!$H$2=CD157),'2026DATA'!$K$36,"")</f>
        <v/>
      </c>
      <c r="CE191" s="518" t="str">
        <f>IF(AND(_5="A-220-100",'2026'!$H$4="FO",'2026'!$H$2=CE157),'2026DATA'!$L$36,"")</f>
        <v/>
      </c>
      <c r="CF191" s="518" t="str">
        <f>IF(AND(_5="A-220-100",'2026'!$H$4="FO",'2026'!$H$2=CF157),'2026DATA'!$M$36,"")</f>
        <v/>
      </c>
      <c r="CG191" s="520" t="str">
        <f>IF(AND(_5="A-220-100",'2026'!$H$4="FO",'2026'!$H$2=CG157),'2026DATA'!$N$36,"")</f>
        <v/>
      </c>
      <c r="CH191" s="940"/>
      <c r="CI191" s="13" t="s">
        <v>62</v>
      </c>
      <c r="CJ191" s="518" t="str">
        <f>IF(AND(_6="A-220-100",'2026'!$H$4="FO",'2026'!$H$2=CJ157),'2026DATA'!$C$36,"")</f>
        <v/>
      </c>
      <c r="CK191" s="518" t="str">
        <f>IF(AND(_6="A-220-100",'2026'!$H$4="FO",'2026'!$H$2=CK157),'2026DATA'!$D$36,"")</f>
        <v/>
      </c>
      <c r="CL191" s="518" t="str">
        <f>IF(AND(_6="A-220-100",'2026'!$H$4="FO",'2026'!$H$2=CL157),'2026DATA'!$E$36,"")</f>
        <v/>
      </c>
      <c r="CM191" s="518" t="str">
        <f>IF(AND(_6="A-220-100",'2026'!$H$4="FO",'2026'!$H$2=CM157),'2026DATA'!$F$36,"")</f>
        <v/>
      </c>
      <c r="CN191" s="518" t="str">
        <f>IF(AND(_6="A-220-100",'2026'!$H$4="FO",'2026'!$H$2=CN157),'2026DATA'!$G$36,"")</f>
        <v/>
      </c>
      <c r="CO191" s="518" t="str">
        <f>IF(AND(_6="A-220-100",'2026'!$H$4="FO",'2026'!$H$2=CO157),'2026DATA'!$H$36,"")</f>
        <v/>
      </c>
      <c r="CP191" s="518" t="str">
        <f>IF(AND(_6="A-220-100",'2026'!$H$4="FO",'2026'!$H$2=CP157),'2026DATA'!$I$36,"")</f>
        <v/>
      </c>
      <c r="CQ191" s="518" t="str">
        <f>IF(AND(_6="A-220-100",'2026'!$H$4="FO",'2026'!$H$2=CQ157),'2026DATA'!$J$36,"")</f>
        <v/>
      </c>
      <c r="CR191" s="518" t="str">
        <f>IF(AND(_6="A-220-100",'2026'!$H$4="FO",'2026'!$H$2=CR157),'2026DATA'!$K$36,"")</f>
        <v/>
      </c>
      <c r="CS191" s="518" t="str">
        <f>IF(AND(_6="A-220-100",'2026'!$H$4="FO",'2026'!$H$2=CS157),'2026DATA'!$L$36,"")</f>
        <v/>
      </c>
      <c r="CT191" s="518" t="str">
        <f>IF(AND(_6="A-220-100",'2026'!$H$4="FO",'2026'!$H$2=CT157),'2026DATA'!$M$36,"")</f>
        <v/>
      </c>
      <c r="CU191" s="520" t="str">
        <f>IF(AND(_6="A-220-100",'2026'!$H$4="FO",'2026'!$H$2=CU157),'2026DATA'!$N$36,"")</f>
        <v/>
      </c>
    </row>
    <row r="192" spans="16:99" x14ac:dyDescent="0.25">
      <c r="P192" s="940" t="s">
        <v>53</v>
      </c>
      <c r="Q192" s="13" t="s">
        <v>61</v>
      </c>
      <c r="R192" s="518" t="str">
        <f>IF(AND(_1="B-717",'2026'!$H$4="CA",'2026'!$H$2=R157),'2026DATA'!$C$37,"")</f>
        <v/>
      </c>
      <c r="S192" s="518" t="str">
        <f>IF(AND(_1="B-717",'2026'!$H$4="CA",'2026'!$H$2=S157),'2026DATA'!$D$37,"")</f>
        <v/>
      </c>
      <c r="T192" s="518" t="str">
        <f>IF(AND(_1="B-717",'2026'!$H$4="CA",'2026'!$H$2=T157),'2026DATA'!$E$37,"")</f>
        <v/>
      </c>
      <c r="U192" s="518" t="str">
        <f>IF(AND(_1="B-717",'2026'!$H$4="CA",'2026'!$H$2=U157),'2026DATA'!$F$37,"")</f>
        <v/>
      </c>
      <c r="V192" s="518" t="str">
        <f>IF(AND(_1="B-717",'2026'!$H$4="CA",'2026'!$H$2=V157),'2026DATA'!$G$37,"")</f>
        <v/>
      </c>
      <c r="W192" s="518" t="str">
        <f>IF(AND(_1="B-717",'2026'!$H$4="CA",'2026'!$H$2=W157),'2026DATA'!$H$37,"")</f>
        <v/>
      </c>
      <c r="X192" s="518" t="str">
        <f>IF(AND(_1="B-717",'2026'!$H$4="CA",'2026'!$H$2=X157),'2026DATA'!$I$37,"")</f>
        <v/>
      </c>
      <c r="Y192" s="518" t="str">
        <f>IF(AND(_1="B-717",'2026'!$H$4="CA",'2026'!$H$2=Y157),'2026DATA'!$J$37,"")</f>
        <v/>
      </c>
      <c r="Z192" s="518" t="str">
        <f>IF(AND(_1="B-717",'2026'!$H$4="CA",'2026'!$H$2=Z157),'2026DATA'!$K$37,"")</f>
        <v/>
      </c>
      <c r="AA192" s="518" t="str">
        <f>IF(AND(_1="B-717",'2026'!$H$4="CA",'2026'!$H$2=AA157),'2026DATA'!$L$37,"")</f>
        <v/>
      </c>
      <c r="AB192" s="518" t="str">
        <f>IF(AND(_1="B-717",'2026'!$H$4="CA",'2026'!$H$2=AB157),'2026DATA'!$M$37,"")</f>
        <v/>
      </c>
      <c r="AC192" s="520" t="str">
        <f>IF(AND(_1="B-717",'2026'!$H$4="CA",'2026'!$H$2=AC157),'2026DATA'!$N$37,"")</f>
        <v/>
      </c>
      <c r="AD192" s="940" t="s">
        <v>53</v>
      </c>
      <c r="AE192" s="13" t="s">
        <v>61</v>
      </c>
      <c r="AF192" s="518" t="str">
        <f>IF(AND(_2="B-717",'2026'!$H$4="CA",'2026'!$H$2=AF157),'2026DATA'!$C$37,"")</f>
        <v/>
      </c>
      <c r="AG192" s="518" t="str">
        <f>IF(AND(_2="B-717",'2026'!$H$4="CA",'2026'!$H$2=AG157),'2026DATA'!$D$37,"")</f>
        <v/>
      </c>
      <c r="AH192" s="518" t="str">
        <f>IF(AND(_2="B-717",'2026'!$H$4="CA",'2026'!$H$2=AH157),'2026DATA'!$E$37,"")</f>
        <v/>
      </c>
      <c r="AI192" s="518" t="str">
        <f>IF(AND(_2="B-717",'2026'!$H$4="CA",'2026'!$H$2=AI157),'2026DATA'!$F$37,"")</f>
        <v/>
      </c>
      <c r="AJ192" s="518" t="str">
        <f>IF(AND(_2="B-717",'2026'!$H$4="CA",'2026'!$H$2=AJ157),'2026DATA'!$G$37,"")</f>
        <v/>
      </c>
      <c r="AK192" s="518" t="str">
        <f>IF(AND(_2="B-717",'2026'!$H$4="CA",'2026'!$H$2=AK157),'2026DATA'!$H$37,"")</f>
        <v/>
      </c>
      <c r="AL192" s="518" t="str">
        <f>IF(AND(_2="B-717",'2026'!$H$4="CA",'2026'!$H$2=AL157),'2026DATA'!$I$37,"")</f>
        <v/>
      </c>
      <c r="AM192" s="518" t="str">
        <f>IF(AND(_2="B-717",'2026'!$H$4="CA",'2026'!$H$2=AM157),'2026DATA'!$J$37,"")</f>
        <v/>
      </c>
      <c r="AN192" s="518" t="str">
        <f>IF(AND(_2="B-717",'2026'!$H$4="CA",'2026'!$H$2=AN157),'2026DATA'!$K$37,"")</f>
        <v/>
      </c>
      <c r="AO192" s="518" t="str">
        <f>IF(AND(_2="B-717",'2026'!$H$4="CA",'2026'!$H$2=AO157),'2026DATA'!$L$37,"")</f>
        <v/>
      </c>
      <c r="AP192" s="518" t="str">
        <f>IF(AND(_2="B-717",'2026'!$H$4="CA",'2026'!$H$2=AP157),'2026DATA'!$M$37,"")</f>
        <v/>
      </c>
      <c r="AQ192" s="520" t="str">
        <f>IF(AND(_2="B-717",'2026'!$H$4="CA",'2026'!$H$2=AQ157),'2026DATA'!$N$37,"")</f>
        <v/>
      </c>
      <c r="AR192" s="940" t="s">
        <v>53</v>
      </c>
      <c r="AS192" s="13" t="s">
        <v>61</v>
      </c>
      <c r="AT192" s="518" t="str">
        <f>IF(AND(_3="B-717",'2026'!$H$4="CA",'2026'!$H$2=AT157),'2026DATA'!$C$37,"")</f>
        <v/>
      </c>
      <c r="AU192" s="518" t="str">
        <f>IF(AND(_3="B-717",'2026'!$H$4="CA",'2026'!$H$2=AU157),'2026DATA'!$D$37,"")</f>
        <v/>
      </c>
      <c r="AV192" s="518" t="str">
        <f>IF(AND(_3="B-717",'2026'!$H$4="CA",'2026'!$H$2=AV157),'2026DATA'!$E$37,"")</f>
        <v/>
      </c>
      <c r="AW192" s="518" t="str">
        <f>IF(AND(_3="B-717",'2026'!$H$4="CA",'2026'!$H$2=AW157),'2026DATA'!$F$37,"")</f>
        <v/>
      </c>
      <c r="AX192" s="518" t="str">
        <f>IF(AND(_3="B-717",'2026'!$H$4="CA",'2026'!$H$2=AX157),'2026DATA'!$G$37,"")</f>
        <v/>
      </c>
      <c r="AY192" s="518" t="str">
        <f>IF(AND(_3="B-717",'2026'!$H$4="CA",'2026'!$H$2=AY157),'2026DATA'!$H$37,"")</f>
        <v/>
      </c>
      <c r="AZ192" s="518" t="str">
        <f>IF(AND(_3="B-717",'2026'!$H$4="CA",'2026'!$H$2=AZ157),'2026DATA'!$I$37,"")</f>
        <v/>
      </c>
      <c r="BA192" s="518" t="str">
        <f>IF(AND(_3="B-717",'2026'!$H$4="CA",'2026'!$H$2=BA157),'2026DATA'!$J$37,"")</f>
        <v/>
      </c>
      <c r="BB192" s="518" t="str">
        <f>IF(AND(_3="B-717",'2026'!$H$4="CA",'2026'!$H$2=BB157),'2026DATA'!$K$37,"")</f>
        <v/>
      </c>
      <c r="BC192" s="518" t="str">
        <f>IF(AND(_3="B-717",'2026'!$H$4="CA",'2026'!$H$2=BC157),'2026DATA'!$L$37,"")</f>
        <v/>
      </c>
      <c r="BD192" s="518" t="str">
        <f>IF(AND(_3="B-717",'2026'!$H$4="CA",'2026'!$H$2=BD157),'2026DATA'!$M$37,"")</f>
        <v/>
      </c>
      <c r="BE192" s="520" t="str">
        <f>IF(AND(_3="B-717",'2026'!$H$4="CA",'2026'!$H$2=BE157),'2026DATA'!$N$37,"")</f>
        <v/>
      </c>
      <c r="BF192" s="940" t="s">
        <v>53</v>
      </c>
      <c r="BG192" s="13" t="s">
        <v>61</v>
      </c>
      <c r="BH192" s="518" t="str">
        <f>IF(AND(_4="B-717",'2026'!$H$4="CA",'2026'!$H$2=BH157),'2026DATA'!$C$37,"")</f>
        <v/>
      </c>
      <c r="BI192" s="518" t="str">
        <f>IF(AND(_4="B-717",'2026'!$H$4="CA",'2026'!$H$2=BI157),'2026DATA'!$D$37,"")</f>
        <v/>
      </c>
      <c r="BJ192" s="518" t="str">
        <f>IF(AND(_4="B-717",'2026'!$H$4="CA",'2026'!$H$2=BJ157),'2026DATA'!$E$37,"")</f>
        <v/>
      </c>
      <c r="BK192" s="518" t="str">
        <f>IF(AND(_4="B-717",'2026'!$H$4="CA",'2026'!$H$2=BK157),'2026DATA'!$F$37,"")</f>
        <v/>
      </c>
      <c r="BL192" s="518" t="str">
        <f>IF(AND(_4="B-717",'2026'!$H$4="CA",'2026'!$H$2=BL157),'2026DATA'!$G$37,"")</f>
        <v/>
      </c>
      <c r="BM192" s="518" t="str">
        <f>IF(AND(_4="B-717",'2026'!$H$4="CA",'2026'!$H$2=BM157),'2026DATA'!$H$37,"")</f>
        <v/>
      </c>
      <c r="BN192" s="518" t="str">
        <f>IF(AND(_4="B-717",'2026'!$H$4="CA",'2026'!$H$2=BN157),'2026DATA'!$I$37,"")</f>
        <v/>
      </c>
      <c r="BO192" s="518" t="str">
        <f>IF(AND(_4="B-717",'2026'!$H$4="CA",'2026'!$H$2=BO157),'2026DATA'!$J$37,"")</f>
        <v/>
      </c>
      <c r="BP192" s="518" t="str">
        <f>IF(AND(_4="B-717",'2026'!$H$4="CA",'2026'!$H$2=BP157),'2026DATA'!$K$37,"")</f>
        <v/>
      </c>
      <c r="BQ192" s="518" t="str">
        <f>IF(AND(_4="B-717",'2026'!$H$4="CA",'2026'!$H$2=BQ157),'2026DATA'!$L$37,"")</f>
        <v/>
      </c>
      <c r="BR192" s="518" t="str">
        <f>IF(AND(_4="B-717",'2026'!$H$4="CA",'2026'!$H$2=BR157),'2026DATA'!$M$37,"")</f>
        <v/>
      </c>
      <c r="BS192" s="520" t="str">
        <f>IF(AND(_4="B-717",'2026'!$H$4="CA",'2026'!$H$2=BS157),'2026DATA'!$N$37,"")</f>
        <v/>
      </c>
      <c r="BT192" s="940" t="s">
        <v>53</v>
      </c>
      <c r="BU192" s="13" t="s">
        <v>61</v>
      </c>
      <c r="BV192" s="518" t="str">
        <f>IF(AND(_5="B-717",'2026'!$H$4="CA",'2026'!$H$2=BV157),'2026DATA'!$C$37,"")</f>
        <v/>
      </c>
      <c r="BW192" s="518" t="str">
        <f>IF(AND(_5="B-717",'2026'!$H$4="CA",'2026'!$H$2=BW157),'2026DATA'!$D$37,"")</f>
        <v/>
      </c>
      <c r="BX192" s="518" t="str">
        <f>IF(AND(_5="B-717",'2026'!$H$4="CA",'2026'!$H$2=BX157),'2026DATA'!$E$37,"")</f>
        <v/>
      </c>
      <c r="BY192" s="518" t="str">
        <f>IF(AND(_5="B-717",'2026'!$H$4="CA",'2026'!$H$2=BY157),'2026DATA'!$F$37,"")</f>
        <v/>
      </c>
      <c r="BZ192" s="518" t="str">
        <f>IF(AND(_5="B-717",'2026'!$H$4="CA",'2026'!$H$2=BZ157),'2026DATA'!$G$37,"")</f>
        <v/>
      </c>
      <c r="CA192" s="518" t="str">
        <f>IF(AND(_5="B-717",'2026'!$H$4="CA",'2026'!$H$2=CA157),'2026DATA'!$H$37,"")</f>
        <v/>
      </c>
      <c r="CB192" s="518" t="str">
        <f>IF(AND(_5="B-717",'2026'!$H$4="CA",'2026'!$H$2=CB157),'2026DATA'!$I$37,"")</f>
        <v/>
      </c>
      <c r="CC192" s="518" t="str">
        <f>IF(AND(_5="B-717",'2026'!$H$4="CA",'2026'!$H$2=CC157),'2026DATA'!$J$37,"")</f>
        <v/>
      </c>
      <c r="CD192" s="518" t="str">
        <f>IF(AND(_5="B-717",'2026'!$H$4="CA",'2026'!$H$2=CD157),'2026DATA'!$K$37,"")</f>
        <v/>
      </c>
      <c r="CE192" s="518" t="str">
        <f>IF(AND(_5="B-717",'2026'!$H$4="CA",'2026'!$H$2=CE157),'2026DATA'!$L$37,"")</f>
        <v/>
      </c>
      <c r="CF192" s="518" t="str">
        <f>IF(AND(_5="B-717",'2026'!$H$4="CA",'2026'!$H$2=CF157),'2026DATA'!$M$37,"")</f>
        <v/>
      </c>
      <c r="CG192" s="520" t="str">
        <f>IF(AND(_5="B-717",'2026'!$H$4="CA",'2026'!$H$2=CG157),'2026DATA'!$N$37,"")</f>
        <v/>
      </c>
      <c r="CH192" s="940" t="s">
        <v>53</v>
      </c>
      <c r="CI192" s="13" t="s">
        <v>61</v>
      </c>
      <c r="CJ192" s="518" t="str">
        <f>IF(AND(_6="B-717",'2026'!$H$4="CA",'2026'!$H$2=CJ157),'2026DATA'!$C$37,"")</f>
        <v/>
      </c>
      <c r="CK192" s="518" t="str">
        <f>IF(AND(_6="B-717",'2026'!$H$4="CA",'2026'!$H$2=CK157),'2026DATA'!$D$37,"")</f>
        <v/>
      </c>
      <c r="CL192" s="518" t="str">
        <f>IF(AND(_6="B-717",'2026'!$H$4="CA",'2026'!$H$2=CL157),'2026DATA'!$E$37,"")</f>
        <v/>
      </c>
      <c r="CM192" s="518" t="str">
        <f>IF(AND(_6="B-717",'2026'!$H$4="CA",'2026'!$H$2=CM157),'2026DATA'!$F$37,"")</f>
        <v/>
      </c>
      <c r="CN192" s="518" t="str">
        <f>IF(AND(_6="B-717",'2026'!$H$4="CA",'2026'!$H$2=CN157),'2026DATA'!$G$37,"")</f>
        <v/>
      </c>
      <c r="CO192" s="518" t="str">
        <f>IF(AND(_6="B-717",'2026'!$H$4="CA",'2026'!$H$2=CO157),'2026DATA'!$H$37,"")</f>
        <v/>
      </c>
      <c r="CP192" s="518" t="str">
        <f>IF(AND(_6="B-717",'2026'!$H$4="CA",'2026'!$H$2=CP157),'2026DATA'!$I$37,"")</f>
        <v/>
      </c>
      <c r="CQ192" s="518" t="str">
        <f>IF(AND(_6="B-717",'2026'!$H$4="CA",'2026'!$H$2=CQ157),'2026DATA'!$J$37,"")</f>
        <v/>
      </c>
      <c r="CR192" s="518" t="str">
        <f>IF(AND(_6="B-717",'2026'!$H$4="CA",'2026'!$H$2=CR157),'2026DATA'!$K$37,"")</f>
        <v/>
      </c>
      <c r="CS192" s="518" t="str">
        <f>IF(AND(_6="B-717",'2026'!$H$4="CA",'2026'!$H$2=CS157),'2026DATA'!$L$37,"")</f>
        <v/>
      </c>
      <c r="CT192" s="518" t="str">
        <f>IF(AND(_6="B-717",'2026'!$H$4="CA",'2026'!$H$2=CT157),'2026DATA'!$M$37,"")</f>
        <v/>
      </c>
      <c r="CU192" s="520" t="str">
        <f>IF(AND(_6="B-717",'2026'!$H$4="CA",'2026'!$H$2=CU157),'2026DATA'!$N$37,"")</f>
        <v/>
      </c>
    </row>
    <row r="193" spans="16:99" ht="15.75" thickBot="1" x14ac:dyDescent="0.3">
      <c r="P193" s="941"/>
      <c r="Q193" s="521" t="s">
        <v>62</v>
      </c>
      <c r="R193" s="518" t="str">
        <f>IF(AND(_1="B-717",'2026'!$H$4="FO",'2026'!$H$2=R157),'2026DATA'!$C$38,"")</f>
        <v/>
      </c>
      <c r="S193" s="518" t="str">
        <f>IF(AND(_1="B-717",'2026'!$H$4="FO",'2026'!$H$2=S157),'2026DATA'!$D$38,"")</f>
        <v/>
      </c>
      <c r="T193" s="518" t="str">
        <f>IF(AND(_1="B-717",'2026'!$H$4="FO",'2026'!$H$2=T157),'2026DATA'!$E$38,"")</f>
        <v/>
      </c>
      <c r="U193" s="518" t="str">
        <f>IF(AND(_1="B-717",'2026'!$H$4="FO",'2026'!$H$2=U157),'2026DATA'!$F$38,"")</f>
        <v/>
      </c>
      <c r="V193" s="518" t="str">
        <f>IF(AND(_1="B-717",'2026'!$H$4="FO",'2026'!$H$2=V157),'2026DATA'!$G$38,"")</f>
        <v/>
      </c>
      <c r="W193" s="518" t="str">
        <f>IF(AND(_1="B-717",'2026'!$H$4="FO",'2026'!$H$2=W157),'2026DATA'!$H$38,"")</f>
        <v/>
      </c>
      <c r="X193" s="518" t="str">
        <f>IF(AND(_1="B-717",'2026'!$H$4="FO",'2026'!$H$2=X157),'2026DATA'!$I$38,"")</f>
        <v/>
      </c>
      <c r="Y193" s="518" t="str">
        <f>IF(AND(_1="B-717",'2026'!$H$4="FO",'2026'!$H$2=Y157),'2026DATA'!$J$38,"")</f>
        <v/>
      </c>
      <c r="Z193" s="518" t="str">
        <f>IF(AND(_1="B-717",'2026'!$H$4="FO",'2026'!$H$2=Z157),'2026DATA'!$K$38,"")</f>
        <v/>
      </c>
      <c r="AA193" s="518" t="str">
        <f>IF(AND(_1="B-717",'2026'!$H$4="FO",'2026'!$H$2=AA157),'2026DATA'!$L$38,"")</f>
        <v/>
      </c>
      <c r="AB193" s="518" t="str">
        <f>IF(AND(_1="B-717",'2026'!$H$4="FO",'2026'!$H$2=AB157),'2026DATA'!$M$38,"")</f>
        <v/>
      </c>
      <c r="AC193" s="520" t="str">
        <f>IF(AND(_1="B-717",'2026'!$H$4="FO",'2026'!$H$2=AC157),'2026DATA'!$N$38,"")</f>
        <v/>
      </c>
      <c r="AD193" s="941"/>
      <c r="AE193" s="521" t="s">
        <v>62</v>
      </c>
      <c r="AF193" s="518" t="str">
        <f>IF(AND(_2="B-717",'2026'!$H$4="FO",'2026'!$H$2=AF157),'2026DATA'!$C$38,"")</f>
        <v/>
      </c>
      <c r="AG193" s="518" t="str">
        <f>IF(AND(_2="B-717",'2026'!$H$4="FO",'2026'!$H$2=AG157),'2026DATA'!$D$38,"")</f>
        <v/>
      </c>
      <c r="AH193" s="518" t="str">
        <f>IF(AND(_2="B-717",'2026'!$H$4="FO",'2026'!$H$2=AH157),'2026DATA'!$E$38,"")</f>
        <v/>
      </c>
      <c r="AI193" s="518" t="str">
        <f>IF(AND(_2="B-717",'2026'!$H$4="FO",'2026'!$H$2=AI157),'2026DATA'!$F$38,"")</f>
        <v/>
      </c>
      <c r="AJ193" s="518" t="str">
        <f>IF(AND(_2="B-717",'2026'!$H$4="FO",'2026'!$H$2=AJ157),'2026DATA'!$G$38,"")</f>
        <v/>
      </c>
      <c r="AK193" s="518" t="str">
        <f>IF(AND(_2="B-717",'2026'!$H$4="FO",'2026'!$H$2=AK157),'2026DATA'!$H$38,"")</f>
        <v/>
      </c>
      <c r="AL193" s="518" t="str">
        <f>IF(AND(_2="B-717",'2026'!$H$4="FO",'2026'!$H$2=AL157),'2026DATA'!$I$38,"")</f>
        <v/>
      </c>
      <c r="AM193" s="518" t="str">
        <f>IF(AND(_2="B-717",'2026'!$H$4="FO",'2026'!$H$2=AM157),'2026DATA'!$J$38,"")</f>
        <v/>
      </c>
      <c r="AN193" s="518" t="str">
        <f>IF(AND(_2="B-717",'2026'!$H$4="FO",'2026'!$H$2=AN157),'2026DATA'!$K$38,"")</f>
        <v/>
      </c>
      <c r="AO193" s="518" t="str">
        <f>IF(AND(_2="B-717",'2026'!$H$4="FO",'2026'!$H$2=AO157),'2026DATA'!$L$38,"")</f>
        <v/>
      </c>
      <c r="AP193" s="518" t="str">
        <f>IF(AND(_2="B-717",'2026'!$H$4="FO",'2026'!$H$2=AP157),'2026DATA'!$M$38,"")</f>
        <v/>
      </c>
      <c r="AQ193" s="520" t="str">
        <f>IF(AND(_2="B-717",'2026'!$H$4="FO",'2026'!$H$2=AQ157),'2026DATA'!$N$38,"")</f>
        <v/>
      </c>
      <c r="AR193" s="941"/>
      <c r="AS193" s="521" t="s">
        <v>62</v>
      </c>
      <c r="AT193" s="518" t="str">
        <f>IF(AND(_3="B-717",'2026'!$H$4="FO",'2026'!$H$2=AT157),'2026DATA'!$C$38,"")</f>
        <v/>
      </c>
      <c r="AU193" s="518" t="str">
        <f>IF(AND(_3="B-717",'2026'!$H$4="FO",'2026'!$H$2=AU157),'2026DATA'!$D$38,"")</f>
        <v/>
      </c>
      <c r="AV193" s="518" t="str">
        <f>IF(AND(_3="B-717",'2026'!$H$4="FO",'2026'!$H$2=AV157),'2026DATA'!$E$38,"")</f>
        <v/>
      </c>
      <c r="AW193" s="518" t="str">
        <f>IF(AND(_3="B-717",'2026'!$H$4="FO",'2026'!$H$2=AW157),'2026DATA'!$F$38,"")</f>
        <v/>
      </c>
      <c r="AX193" s="518" t="str">
        <f>IF(AND(_3="B-717",'2026'!$H$4="FO",'2026'!$H$2=AX157),'2026DATA'!$G$38,"")</f>
        <v/>
      </c>
      <c r="AY193" s="518" t="str">
        <f>IF(AND(_3="B-717",'2026'!$H$4="FO",'2026'!$H$2=AY157),'2026DATA'!$H$38,"")</f>
        <v/>
      </c>
      <c r="AZ193" s="518" t="str">
        <f>IF(AND(_3="B-717",'2026'!$H$4="FO",'2026'!$H$2=AZ157),'2026DATA'!$I$38,"")</f>
        <v/>
      </c>
      <c r="BA193" s="518" t="str">
        <f>IF(AND(_3="B-717",'2026'!$H$4="FO",'2026'!$H$2=BA157),'2026DATA'!$J$38,"")</f>
        <v/>
      </c>
      <c r="BB193" s="518" t="str">
        <f>IF(AND(_3="B-717",'2026'!$H$4="FO",'2026'!$H$2=BB157),'2026DATA'!$K$38,"")</f>
        <v/>
      </c>
      <c r="BC193" s="518" t="str">
        <f>IF(AND(_3="B-717",'2026'!$H$4="FO",'2026'!$H$2=BC157),'2026DATA'!$L$38,"")</f>
        <v/>
      </c>
      <c r="BD193" s="518" t="str">
        <f>IF(AND(_3="B-717",'2026'!$H$4="FO",'2026'!$H$2=BD157),'2026DATA'!$M$38,"")</f>
        <v/>
      </c>
      <c r="BE193" s="520" t="str">
        <f>IF(AND(_3="B-717",'2026'!$H$4="FO",'2026'!$H$2=BE157),'2026DATA'!$N$38,"")</f>
        <v/>
      </c>
      <c r="BF193" s="941"/>
      <c r="BG193" s="521" t="s">
        <v>62</v>
      </c>
      <c r="BH193" s="518" t="str">
        <f>IF(AND(_4="B-717",'2026'!$H$4="FO",'2026'!$H$2=BH157),'2026DATA'!$C$38,"")</f>
        <v/>
      </c>
      <c r="BI193" s="518" t="str">
        <f>IF(AND(_4="B-717",'2026'!$H$4="FO",'2026'!$H$2=BI157),'2026DATA'!$D$38,"")</f>
        <v/>
      </c>
      <c r="BJ193" s="518" t="str">
        <f>IF(AND(_4="B-717",'2026'!$H$4="FO",'2026'!$H$2=BJ157),'2026DATA'!$E$38,"")</f>
        <v/>
      </c>
      <c r="BK193" s="518" t="str">
        <f>IF(AND(_4="B-717",'2026'!$H$4="FO",'2026'!$H$2=BK157),'2026DATA'!$F$38,"")</f>
        <v/>
      </c>
      <c r="BL193" s="518" t="str">
        <f>IF(AND(_4="B-717",'2026'!$H$4="FO",'2026'!$H$2=BL157),'2026DATA'!$G$38,"")</f>
        <v/>
      </c>
      <c r="BM193" s="518" t="str">
        <f>IF(AND(_4="B-717",'2026'!$H$4="FO",'2026'!$H$2=BM157),'2026DATA'!$H$38,"")</f>
        <v/>
      </c>
      <c r="BN193" s="518" t="str">
        <f>IF(AND(_4="B-717",'2026'!$H$4="FO",'2026'!$H$2=BN157),'2026DATA'!$I$38,"")</f>
        <v/>
      </c>
      <c r="BO193" s="518" t="str">
        <f>IF(AND(_4="B-717",'2026'!$H$4="FO",'2026'!$H$2=BO157),'2026DATA'!$J$38,"")</f>
        <v/>
      </c>
      <c r="BP193" s="518" t="str">
        <f>IF(AND(_4="B-717",'2026'!$H$4="FO",'2026'!$H$2=BP157),'2026DATA'!$K$38,"")</f>
        <v/>
      </c>
      <c r="BQ193" s="518" t="str">
        <f>IF(AND(_4="B-717",'2026'!$H$4="FO",'2026'!$H$2=BQ157),'2026DATA'!$L$38,"")</f>
        <v/>
      </c>
      <c r="BR193" s="518" t="str">
        <f>IF(AND(_4="B-717",'2026'!$H$4="FO",'2026'!$H$2=BR157),'2026DATA'!$M$38,"")</f>
        <v/>
      </c>
      <c r="BS193" s="520" t="str">
        <f>IF(AND(_4="B-717",'2026'!$H$4="FO",'2026'!$H$2=BS157),'2026DATA'!$N$38,"")</f>
        <v/>
      </c>
      <c r="BT193" s="941"/>
      <c r="BU193" s="521" t="s">
        <v>62</v>
      </c>
      <c r="BV193" s="518" t="str">
        <f>IF(AND(_5="B-717",'2026'!$H$4="FO",'2026'!$H$2=BV157),'2026DATA'!$C$38,"")</f>
        <v/>
      </c>
      <c r="BW193" s="518" t="str">
        <f>IF(AND(_5="B-717",'2026'!$H$4="FO",'2026'!$H$2=BW157),'2026DATA'!$D$38,"")</f>
        <v/>
      </c>
      <c r="BX193" s="518" t="str">
        <f>IF(AND(_5="B-717",'2026'!$H$4="FO",'2026'!$H$2=BX157),'2026DATA'!$E$38,"")</f>
        <v/>
      </c>
      <c r="BY193" s="518" t="str">
        <f>IF(AND(_5="B-717",'2026'!$H$4="FO",'2026'!$H$2=BY157),'2026DATA'!$F$38,"")</f>
        <v/>
      </c>
      <c r="BZ193" s="518" t="str">
        <f>IF(AND(_5="B-717",'2026'!$H$4="FO",'2026'!$H$2=BZ157),'2026DATA'!$G$38,"")</f>
        <v/>
      </c>
      <c r="CA193" s="518" t="str">
        <f>IF(AND(_5="B-717",'2026'!$H$4="FO",'2026'!$H$2=CA157),'2026DATA'!$H$38,"")</f>
        <v/>
      </c>
      <c r="CB193" s="518" t="str">
        <f>IF(AND(_5="B-717",'2026'!$H$4="FO",'2026'!$H$2=CB157),'2026DATA'!$I$38,"")</f>
        <v/>
      </c>
      <c r="CC193" s="518" t="str">
        <f>IF(AND(_5="B-717",'2026'!$H$4="FO",'2026'!$H$2=CC157),'2026DATA'!$J$38,"")</f>
        <v/>
      </c>
      <c r="CD193" s="518" t="str">
        <f>IF(AND(_5="B-717",'2026'!$H$4="FO",'2026'!$H$2=CD157),'2026DATA'!$K$38,"")</f>
        <v/>
      </c>
      <c r="CE193" s="518" t="str">
        <f>IF(AND(_5="B-717",'2026'!$H$4="FO",'2026'!$H$2=CE157),'2026DATA'!$L$38,"")</f>
        <v/>
      </c>
      <c r="CF193" s="518" t="str">
        <f>IF(AND(_5="B-717",'2026'!$H$4="FO",'2026'!$H$2=CF157),'2026DATA'!$M$38,"")</f>
        <v/>
      </c>
      <c r="CG193" s="520" t="str">
        <f>IF(AND(_5="B-717",'2026'!$H$4="FO",'2026'!$H$2=CG157),'2026DATA'!$N$38,"")</f>
        <v/>
      </c>
      <c r="CH193" s="941"/>
      <c r="CI193" s="521" t="s">
        <v>62</v>
      </c>
      <c r="CJ193" s="518" t="str">
        <f>IF(AND(_6="B-717",'2026'!$H$4="FO",'2026'!$H$2=CJ157),'2026DATA'!$C$38,"")</f>
        <v/>
      </c>
      <c r="CK193" s="518" t="str">
        <f>IF(AND(_6="B-717",'2026'!$H$4="FO",'2026'!$H$2=CK157),'2026DATA'!$D$38,"")</f>
        <v/>
      </c>
      <c r="CL193" s="518" t="str">
        <f>IF(AND(_6="B-717",'2026'!$H$4="FO",'2026'!$H$2=CL157),'2026DATA'!$E$38,"")</f>
        <v/>
      </c>
      <c r="CM193" s="518" t="str">
        <f>IF(AND(_6="B-717",'2026'!$H$4="FO",'2026'!$H$2=CM157),'2026DATA'!$F$38,"")</f>
        <v/>
      </c>
      <c r="CN193" s="518" t="str">
        <f>IF(AND(_6="B-717",'2026'!$H$4="FO",'2026'!$H$2=CN157),'2026DATA'!$G$38,"")</f>
        <v/>
      </c>
      <c r="CO193" s="518" t="str">
        <f>IF(AND(_6="B-717",'2026'!$H$4="FO",'2026'!$H$2=CO157),'2026DATA'!$H$38,"")</f>
        <v/>
      </c>
      <c r="CP193" s="518" t="str">
        <f>IF(AND(_6="B-717",'2026'!$H$4="FO",'2026'!$H$2=CP157),'2026DATA'!$I$38,"")</f>
        <v/>
      </c>
      <c r="CQ193" s="518" t="str">
        <f>IF(AND(_6="B-717",'2026'!$H$4="FO",'2026'!$H$2=CQ157),'2026DATA'!$J$38,"")</f>
        <v/>
      </c>
      <c r="CR193" s="518" t="str">
        <f>IF(AND(_6="B-717",'2026'!$H$4="FO",'2026'!$H$2=CR157),'2026DATA'!$K$38,"")</f>
        <v/>
      </c>
      <c r="CS193" s="518" t="str">
        <f>IF(AND(_6="B-717",'2026'!$H$4="FO",'2026'!$H$2=CS157),'2026DATA'!$L$38,"")</f>
        <v/>
      </c>
      <c r="CT193" s="518" t="str">
        <f>IF(AND(_6="B-717",'2026'!$H$4="FO",'2026'!$H$2=CT157),'2026DATA'!$M$38,"")</f>
        <v/>
      </c>
      <c r="CU193" s="520" t="str">
        <f>IF(AND(_6="B-717",'2026'!$H$4="FO",'2026'!$H$2=CU157),'2026DATA'!$N$38,"")</f>
        <v/>
      </c>
    </row>
    <row r="194" spans="16:99" x14ac:dyDescent="0.25">
      <c r="P194" s="943" t="s">
        <v>128</v>
      </c>
      <c r="Q194" s="944"/>
      <c r="R194" s="944"/>
      <c r="S194" s="944"/>
      <c r="T194" s="944"/>
      <c r="U194" s="944"/>
      <c r="V194" s="944"/>
      <c r="W194" s="944"/>
      <c r="X194" s="944"/>
      <c r="Y194" s="944"/>
      <c r="Z194" s="944"/>
      <c r="AA194" s="944"/>
      <c r="AB194" s="944"/>
      <c r="AC194" s="945"/>
      <c r="AD194" s="943" t="s">
        <v>129</v>
      </c>
      <c r="AE194" s="944"/>
      <c r="AF194" s="944"/>
      <c r="AG194" s="944"/>
      <c r="AH194" s="944"/>
      <c r="AI194" s="944"/>
      <c r="AJ194" s="944"/>
      <c r="AK194" s="944"/>
      <c r="AL194" s="944"/>
      <c r="AM194" s="944"/>
      <c r="AN194" s="944"/>
      <c r="AO194" s="944"/>
      <c r="AP194" s="944"/>
      <c r="AQ194" s="945"/>
      <c r="AR194" s="943" t="s">
        <v>130</v>
      </c>
      <c r="AS194" s="944"/>
      <c r="AT194" s="944"/>
      <c r="AU194" s="944"/>
      <c r="AV194" s="944"/>
      <c r="AW194" s="944"/>
      <c r="AX194" s="944"/>
      <c r="AY194" s="944"/>
      <c r="AZ194" s="944"/>
      <c r="BA194" s="944"/>
      <c r="BB194" s="944"/>
      <c r="BC194" s="944"/>
      <c r="BD194" s="944"/>
      <c r="BE194" s="945"/>
      <c r="BF194" s="943" t="s">
        <v>131</v>
      </c>
      <c r="BG194" s="944"/>
      <c r="BH194" s="944"/>
      <c r="BI194" s="944"/>
      <c r="BJ194" s="944"/>
      <c r="BK194" s="944"/>
      <c r="BL194" s="944"/>
      <c r="BM194" s="944"/>
      <c r="BN194" s="944"/>
      <c r="BO194" s="944"/>
      <c r="BP194" s="944"/>
      <c r="BQ194" s="944"/>
      <c r="BR194" s="944"/>
      <c r="BS194" s="945"/>
      <c r="BT194" s="943" t="s">
        <v>132</v>
      </c>
      <c r="BU194" s="944"/>
      <c r="BV194" s="944"/>
      <c r="BW194" s="944"/>
      <c r="BX194" s="944"/>
      <c r="BY194" s="944"/>
      <c r="BZ194" s="944"/>
      <c r="CA194" s="944"/>
      <c r="CB194" s="944"/>
      <c r="CC194" s="944"/>
      <c r="CD194" s="944"/>
      <c r="CE194" s="944"/>
      <c r="CF194" s="944"/>
      <c r="CG194" s="945"/>
      <c r="CH194" s="943" t="s">
        <v>133</v>
      </c>
      <c r="CI194" s="944"/>
      <c r="CJ194" s="944"/>
      <c r="CK194" s="944"/>
      <c r="CL194" s="944"/>
      <c r="CM194" s="944"/>
      <c r="CN194" s="944"/>
      <c r="CO194" s="944"/>
      <c r="CP194" s="944"/>
      <c r="CQ194" s="944"/>
      <c r="CR194" s="944"/>
      <c r="CS194" s="944"/>
      <c r="CT194" s="944"/>
      <c r="CU194" s="945"/>
    </row>
    <row r="195" spans="16:99" x14ac:dyDescent="0.25">
      <c r="P195" s="579">
        <v>6</v>
      </c>
      <c r="Q195" s="579">
        <f>SUM(R196:AC231)</f>
        <v>0</v>
      </c>
      <c r="R195" s="3">
        <v>12</v>
      </c>
      <c r="S195" s="3">
        <v>11</v>
      </c>
      <c r="T195" s="3">
        <v>10</v>
      </c>
      <c r="U195" s="3">
        <v>9</v>
      </c>
      <c r="V195" s="3">
        <v>8</v>
      </c>
      <c r="W195" s="3">
        <v>7</v>
      </c>
      <c r="X195" s="3">
        <v>6</v>
      </c>
      <c r="Y195" s="3">
        <v>5</v>
      </c>
      <c r="Z195" s="3">
        <v>4</v>
      </c>
      <c r="AA195" s="3">
        <v>3</v>
      </c>
      <c r="AB195" s="3">
        <v>2</v>
      </c>
      <c r="AC195" s="519">
        <v>1</v>
      </c>
      <c r="AD195" s="579">
        <v>6</v>
      </c>
      <c r="AE195" s="579">
        <f>SUM(AF196:AQ231)</f>
        <v>0</v>
      </c>
      <c r="AF195" s="3">
        <v>12</v>
      </c>
      <c r="AG195" s="3">
        <v>11</v>
      </c>
      <c r="AH195" s="3">
        <v>10</v>
      </c>
      <c r="AI195" s="3">
        <v>9</v>
      </c>
      <c r="AJ195" s="3">
        <v>8</v>
      </c>
      <c r="AK195" s="3">
        <v>7</v>
      </c>
      <c r="AL195" s="3">
        <v>6</v>
      </c>
      <c r="AM195" s="3">
        <v>5</v>
      </c>
      <c r="AN195" s="3">
        <v>4</v>
      </c>
      <c r="AO195" s="3">
        <v>3</v>
      </c>
      <c r="AP195" s="3">
        <v>2</v>
      </c>
      <c r="AQ195" s="519">
        <v>1</v>
      </c>
      <c r="AR195" s="579">
        <v>6</v>
      </c>
      <c r="AS195" s="579">
        <f>SUM(AT196:BE231)</f>
        <v>0</v>
      </c>
      <c r="AT195" s="3">
        <v>12</v>
      </c>
      <c r="AU195" s="3">
        <v>11</v>
      </c>
      <c r="AV195" s="3">
        <v>10</v>
      </c>
      <c r="AW195" s="3">
        <v>9</v>
      </c>
      <c r="AX195" s="3">
        <v>8</v>
      </c>
      <c r="AY195" s="3">
        <v>7</v>
      </c>
      <c r="AZ195" s="3">
        <v>6</v>
      </c>
      <c r="BA195" s="3">
        <v>5</v>
      </c>
      <c r="BB195" s="3">
        <v>4</v>
      </c>
      <c r="BC195" s="3">
        <v>3</v>
      </c>
      <c r="BD195" s="3">
        <v>2</v>
      </c>
      <c r="BE195" s="519">
        <v>1</v>
      </c>
      <c r="BF195" s="579">
        <v>6</v>
      </c>
      <c r="BG195" s="579">
        <f>SUM(BH196:BS231)</f>
        <v>0</v>
      </c>
      <c r="BH195" s="3">
        <v>12</v>
      </c>
      <c r="BI195" s="3">
        <v>11</v>
      </c>
      <c r="BJ195" s="3">
        <v>10</v>
      </c>
      <c r="BK195" s="3">
        <v>9</v>
      </c>
      <c r="BL195" s="3">
        <v>8</v>
      </c>
      <c r="BM195" s="3">
        <v>7</v>
      </c>
      <c r="BN195" s="3">
        <v>6</v>
      </c>
      <c r="BO195" s="3">
        <v>5</v>
      </c>
      <c r="BP195" s="3">
        <v>4</v>
      </c>
      <c r="BQ195" s="3">
        <v>3</v>
      </c>
      <c r="BR195" s="3">
        <v>2</v>
      </c>
      <c r="BS195" s="519">
        <v>1</v>
      </c>
      <c r="BT195" s="579">
        <v>6</v>
      </c>
      <c r="BU195" s="579">
        <f>SUM(BV196:CG231)</f>
        <v>0</v>
      </c>
      <c r="BV195" s="3">
        <v>12</v>
      </c>
      <c r="BW195" s="3">
        <v>11</v>
      </c>
      <c r="BX195" s="3">
        <v>10</v>
      </c>
      <c r="BY195" s="3">
        <v>9</v>
      </c>
      <c r="BZ195" s="3">
        <v>8</v>
      </c>
      <c r="CA195" s="3">
        <v>7</v>
      </c>
      <c r="CB195" s="3">
        <v>6</v>
      </c>
      <c r="CC195" s="3">
        <v>5</v>
      </c>
      <c r="CD195" s="3">
        <v>4</v>
      </c>
      <c r="CE195" s="3">
        <v>3</v>
      </c>
      <c r="CF195" s="3">
        <v>2</v>
      </c>
      <c r="CG195" s="519">
        <v>1</v>
      </c>
      <c r="CH195" s="579">
        <v>6</v>
      </c>
      <c r="CI195" s="579">
        <f>SUM(CJ196:CU231)</f>
        <v>0</v>
      </c>
      <c r="CJ195" s="3">
        <v>12</v>
      </c>
      <c r="CK195" s="3">
        <v>11</v>
      </c>
      <c r="CL195" s="3">
        <v>10</v>
      </c>
      <c r="CM195" s="3">
        <v>9</v>
      </c>
      <c r="CN195" s="3">
        <v>8</v>
      </c>
      <c r="CO195" s="3">
        <v>7</v>
      </c>
      <c r="CP195" s="3">
        <v>6</v>
      </c>
      <c r="CQ195" s="3">
        <v>5</v>
      </c>
      <c r="CR195" s="3">
        <v>4</v>
      </c>
      <c r="CS195" s="3">
        <v>3</v>
      </c>
      <c r="CT195" s="3">
        <v>2</v>
      </c>
      <c r="CU195" s="519">
        <v>1</v>
      </c>
    </row>
    <row r="196" spans="16:99" x14ac:dyDescent="0.25">
      <c r="P196" s="940" t="s">
        <v>39</v>
      </c>
      <c r="Q196" s="13" t="s">
        <v>61</v>
      </c>
      <c r="R196" s="518" t="str">
        <f>IF(AND(_1="A-350",'2026'!$I$4="CA",'2026'!$I$2=R195),'2026DATA'!$C$3,"")</f>
        <v/>
      </c>
      <c r="S196" s="518" t="str">
        <f>IF(AND(_1="A-350",'2026'!$I$4="CA",'2026'!$I$2=S195),'2026DATA'!$D$3,"")</f>
        <v/>
      </c>
      <c r="T196" s="518" t="str">
        <f>IF(AND(_1="A-350",'2026'!$I$4="CA",'2026'!$I$2=T195),'2026DATA'!$E$3,"")</f>
        <v/>
      </c>
      <c r="U196" s="518" t="str">
        <f>IF(AND(_1="A-350",'2026'!$I$4="CA",'2026'!$I$2=U195),'2026DATA'!$F$3,"")</f>
        <v/>
      </c>
      <c r="V196" s="518" t="str">
        <f>IF(AND(_1="A-350",'2026'!$I$4="CA",'2026'!$I$2=V195),'2026DATA'!$G$3,"")</f>
        <v/>
      </c>
      <c r="W196" s="518" t="str">
        <f>IF(AND(_1="A-350",'2026'!$I$4="CA",'2026'!$I$2=W195),'2026DATA'!$H$3,"")</f>
        <v/>
      </c>
      <c r="X196" s="518" t="str">
        <f>IF(AND(_1="A-350",'2026'!$I$4="CA",'2026'!$I$2=X195),'2026DATA'!$I$3,"")</f>
        <v/>
      </c>
      <c r="Y196" s="518" t="str">
        <f>IF(AND(_1="A-350",'2026'!$I$4="CA",'2026'!$I$2=Y195),'2026DATA'!$J$3,"")</f>
        <v/>
      </c>
      <c r="Z196" s="518" t="str">
        <f>IF(AND(_1="A-350",'2026'!$I$4="CA",'2026'!$I$2=Z195),'2026DATA'!$K$3,"")</f>
        <v/>
      </c>
      <c r="AA196" s="518" t="str">
        <f>IF(AND(_1="A-350",'2026'!$I$4="CA",'2026'!$I$2=AA195),'2026DATA'!$L$3,"")</f>
        <v/>
      </c>
      <c r="AB196" s="518" t="str">
        <f>IF(AND(_1="A-350",'2026'!$I$4="CA",'2026'!$I$2=AB195),'2026DATA'!$M$3,"")</f>
        <v/>
      </c>
      <c r="AC196" s="520" t="str">
        <f>IF(AND(_1="A-350",'2026'!$I$4="CA",'2026'!$I$2=AC195),'2026DATA'!$N$3,"")</f>
        <v/>
      </c>
      <c r="AD196" s="940" t="s">
        <v>39</v>
      </c>
      <c r="AE196" s="13" t="s">
        <v>61</v>
      </c>
      <c r="AF196" s="518" t="str">
        <f>IF(AND(_2="A-350",'2026'!$I$4="CA",'2026'!$I$2=AF195),'2026DATA'!$C$3,"")</f>
        <v/>
      </c>
      <c r="AG196" s="518" t="str">
        <f>IF(AND(_2="A-350",'2026'!$I$4="CA",'2026'!$I$2=AG195),'2026DATA'!$D$3,"")</f>
        <v/>
      </c>
      <c r="AH196" s="518" t="str">
        <f>IF(AND(_2="A-350",'2026'!$I$4="CA",'2026'!$I$2=AH195),'2026DATA'!$E$3,"")</f>
        <v/>
      </c>
      <c r="AI196" s="518" t="str">
        <f>IF(AND(_2="A-350",'2026'!$I$4="CA",'2026'!$I$2=AI195),'2026DATA'!$F$3,"")</f>
        <v/>
      </c>
      <c r="AJ196" s="518" t="str">
        <f>IF(AND(_2="A-350",'2026'!$I$4="CA",'2026'!$I$2=AJ195),'2026DATA'!$G$3,"")</f>
        <v/>
      </c>
      <c r="AK196" s="518" t="str">
        <f>IF(AND(_2="A-350",'2026'!$I$4="CA",'2026'!$I$2=AK195),'2026DATA'!$H$3,"")</f>
        <v/>
      </c>
      <c r="AL196" s="518" t="str">
        <f>IF(AND(_2="A-350",'2026'!$I$4="CA",'2026'!$I$2=AL195),'2026DATA'!$I$3,"")</f>
        <v/>
      </c>
      <c r="AM196" s="518" t="str">
        <f>IF(AND(_2="A-350",'2026'!$I$4="CA",'2026'!$I$2=AM195),'2026DATA'!$J$3,"")</f>
        <v/>
      </c>
      <c r="AN196" s="518" t="str">
        <f>IF(AND(_2="A-350",'2026'!$I$4="CA",'2026'!$I$2=AN195),'2026DATA'!$K$3,"")</f>
        <v/>
      </c>
      <c r="AO196" s="518" t="str">
        <f>IF(AND(_2="A-350",'2026'!$I$4="CA",'2026'!$I$2=AO195),'2026DATA'!$L$3,"")</f>
        <v/>
      </c>
      <c r="AP196" s="518" t="str">
        <f>IF(AND(_2="A-350",'2026'!$I$4="CA",'2026'!$I$2=AP195),'2026DATA'!$M$3,"")</f>
        <v/>
      </c>
      <c r="AQ196" s="520" t="str">
        <f>IF(AND(_2="A-350",'2026'!$I$4="CA",'2026'!$I$2=AQ195),'2026DATA'!$N$3,"")</f>
        <v/>
      </c>
      <c r="AR196" s="940" t="s">
        <v>39</v>
      </c>
      <c r="AS196" s="13" t="s">
        <v>61</v>
      </c>
      <c r="AT196" s="518" t="str">
        <f>IF(AND(_3="A-350",'2026'!$I$4="CA",'2026'!$I$2=AT195),'2026DATA'!$C$3,"")</f>
        <v/>
      </c>
      <c r="AU196" s="518" t="str">
        <f>IF(AND(_3="A-350",'2026'!$I$4="CA",'2026'!$I$2=AU195),'2026DATA'!$D$3,"")</f>
        <v/>
      </c>
      <c r="AV196" s="518" t="str">
        <f>IF(AND(_3="A-350",'2026'!$I$4="CA",'2026'!$I$2=AV195),'2026DATA'!$E$3,"")</f>
        <v/>
      </c>
      <c r="AW196" s="518" t="str">
        <f>IF(AND(_3="A-350",'2026'!$I$4="CA",'2026'!$I$2=AW195),'2026DATA'!$F$3,"")</f>
        <v/>
      </c>
      <c r="AX196" s="518" t="str">
        <f>IF(AND(_3="A-350",'2026'!$I$4="CA",'2026'!$I$2=AX195),'2026DATA'!$G$3,"")</f>
        <v/>
      </c>
      <c r="AY196" s="518" t="str">
        <f>IF(AND(_3="A-350",'2026'!$I$4="CA",'2026'!$I$2=AY195),'2026DATA'!$H$3,"")</f>
        <v/>
      </c>
      <c r="AZ196" s="518" t="str">
        <f>IF(AND(_3="A-350",'2026'!$I$4="CA",'2026'!$I$2=AZ195),'2026DATA'!$I$3,"")</f>
        <v/>
      </c>
      <c r="BA196" s="518" t="str">
        <f>IF(AND(_3="A-350",'2026'!$I$4="CA",'2026'!$I$2=BA195),'2026DATA'!$J$3,"")</f>
        <v/>
      </c>
      <c r="BB196" s="518" t="str">
        <f>IF(AND(_3="A-350",'2026'!$I$4="CA",'2026'!$I$2=BB195),'2026DATA'!$K$3,"")</f>
        <v/>
      </c>
      <c r="BC196" s="518" t="str">
        <f>IF(AND(_3="A-350",'2026'!$I$4="CA",'2026'!$I$2=BC195),'2026DATA'!$L$3,"")</f>
        <v/>
      </c>
      <c r="BD196" s="518" t="str">
        <f>IF(AND(_3="A-350",'2026'!$I$4="CA",'2026'!$I$2=BD195),'2026DATA'!$M$3,"")</f>
        <v/>
      </c>
      <c r="BE196" s="520" t="str">
        <f>IF(AND(_3="A-350",'2026'!$I$4="CA",'2026'!$I$2=BE195),'2026DATA'!$N$3,"")</f>
        <v/>
      </c>
      <c r="BF196" s="940" t="s">
        <v>39</v>
      </c>
      <c r="BG196" s="13" t="s">
        <v>61</v>
      </c>
      <c r="BH196" s="518" t="str">
        <f>IF(AND(_4="A-350",'2026'!$I$4="CA",'2026'!$I$2=BH195),'2026DATA'!$C$3,"")</f>
        <v/>
      </c>
      <c r="BI196" s="518" t="str">
        <f>IF(AND(_4="A-350",'2026'!$I$4="CA",'2026'!$I$2=BI195),'2026DATA'!$D$3,"")</f>
        <v/>
      </c>
      <c r="BJ196" s="518" t="str">
        <f>IF(AND(_4="A-350",'2026'!$I$4="CA",'2026'!$I$2=BJ195),'2026DATA'!$E$3,"")</f>
        <v/>
      </c>
      <c r="BK196" s="518" t="str">
        <f>IF(AND(_4="A-350",'2026'!$I$4="CA",'2026'!$I$2=BK195),'2026DATA'!$F$3,"")</f>
        <v/>
      </c>
      <c r="BL196" s="518" t="str">
        <f>IF(AND(_4="A-350",'2026'!$I$4="CA",'2026'!$I$2=BL195),'2026DATA'!$G$3,"")</f>
        <v/>
      </c>
      <c r="BM196" s="518" t="str">
        <f>IF(AND(_4="A-350",'2026'!$I$4="CA",'2026'!$I$2=BM195),'2026DATA'!$H$3,"")</f>
        <v/>
      </c>
      <c r="BN196" s="518" t="str">
        <f>IF(AND(_4="A-350",'2026'!$I$4="CA",'2026'!$I$2=BN195),'2026DATA'!$I$3,"")</f>
        <v/>
      </c>
      <c r="BO196" s="518" t="str">
        <f>IF(AND(_4="A-350",'2026'!$I$4="CA",'2026'!$I$2=BO195),'2026DATA'!$J$3,"")</f>
        <v/>
      </c>
      <c r="BP196" s="518" t="str">
        <f>IF(AND(_4="A-350",'2026'!$I$4="CA",'2026'!$I$2=BP195),'2026DATA'!$K$3,"")</f>
        <v/>
      </c>
      <c r="BQ196" s="518" t="str">
        <f>IF(AND(_4="A-350",'2026'!$I$4="CA",'2026'!$I$2=BQ195),'2026DATA'!$L$3,"")</f>
        <v/>
      </c>
      <c r="BR196" s="518" t="str">
        <f>IF(AND(_4="A-350",'2026'!$I$4="CA",'2026'!$I$2=BR195),'2026DATA'!$M$3,"")</f>
        <v/>
      </c>
      <c r="BS196" s="520" t="str">
        <f>IF(AND(_4="A-350",'2026'!$I$4="CA",'2026'!$I$2=BS195),'2026DATA'!$N$3,"")</f>
        <v/>
      </c>
      <c r="BT196" s="940" t="s">
        <v>39</v>
      </c>
      <c r="BU196" s="13" t="s">
        <v>61</v>
      </c>
      <c r="BV196" s="518" t="str">
        <f>IF(AND(_5="A-350",'2026'!$I$4="CA",'2026'!$I$2=BV195),'2026DATA'!$C$3,"")</f>
        <v/>
      </c>
      <c r="BW196" s="518" t="str">
        <f>IF(AND(_5="A-350",'2026'!$I$4="CA",'2026'!$I$2=BW195),'2026DATA'!$D$3,"")</f>
        <v/>
      </c>
      <c r="BX196" s="518" t="str">
        <f>IF(AND(_5="A-350",'2026'!$I$4="CA",'2026'!$I$2=BX195),'2026DATA'!$E$3,"")</f>
        <v/>
      </c>
      <c r="BY196" s="518" t="str">
        <f>IF(AND(_5="A-350",'2026'!$I$4="CA",'2026'!$I$2=BY195),'2026DATA'!$F$3,"")</f>
        <v/>
      </c>
      <c r="BZ196" s="518" t="str">
        <f>IF(AND(_5="A-350",'2026'!$I$4="CA",'2026'!$I$2=BZ195),'2026DATA'!$G$3,"")</f>
        <v/>
      </c>
      <c r="CA196" s="518" t="str">
        <f>IF(AND(_5="A-350",'2026'!$I$4="CA",'2026'!$I$2=CA195),'2026DATA'!$H$3,"")</f>
        <v/>
      </c>
      <c r="CB196" s="518" t="str">
        <f>IF(AND(_5="A-350",'2026'!$I$4="CA",'2026'!$I$2=CB195),'2026DATA'!$I$3,"")</f>
        <v/>
      </c>
      <c r="CC196" s="518" t="str">
        <f>IF(AND(_5="A-350",'2026'!$I$4="CA",'2026'!$I$2=CC195),'2026DATA'!$J$3,"")</f>
        <v/>
      </c>
      <c r="CD196" s="518" t="str">
        <f>IF(AND(_5="A-350",'2026'!$I$4="CA",'2026'!$I$2=CD195),'2026DATA'!$K$3,"")</f>
        <v/>
      </c>
      <c r="CE196" s="518" t="str">
        <f>IF(AND(_5="A-350",'2026'!$I$4="CA",'2026'!$I$2=CE195),'2026DATA'!$L$3,"")</f>
        <v/>
      </c>
      <c r="CF196" s="518" t="str">
        <f>IF(AND(_5="A-350",'2026'!$I$4="CA",'2026'!$I$2=CF195),'2026DATA'!$M$3,"")</f>
        <v/>
      </c>
      <c r="CG196" s="520" t="str">
        <f>IF(AND(_5="A-350",'2026'!$I$4="CA",'2026'!$I$2=CG195),'2026DATA'!$N$3,"")</f>
        <v/>
      </c>
      <c r="CH196" s="940" t="s">
        <v>39</v>
      </c>
      <c r="CI196" s="13" t="s">
        <v>61</v>
      </c>
      <c r="CJ196" s="518" t="str">
        <f>IF(AND(_6="A-350",'2026'!$I$4="CA",'2026'!$I$2=CJ195),'2026DATA'!$C$3,"")</f>
        <v/>
      </c>
      <c r="CK196" s="518" t="str">
        <f>IF(AND(_6="A-350",'2026'!$I$4="CA",'2026'!$I$2=CK195),'2026DATA'!$D$3,"")</f>
        <v/>
      </c>
      <c r="CL196" s="518" t="str">
        <f>IF(AND(_6="A-350",'2026'!$I$4="CA",'2026'!$I$2=CL195),'2026DATA'!$E$3,"")</f>
        <v/>
      </c>
      <c r="CM196" s="518" t="str">
        <f>IF(AND(_6="A-350",'2026'!$I$4="CA",'2026'!$I$2=CM195),'2026DATA'!$F$3,"")</f>
        <v/>
      </c>
      <c r="CN196" s="518" t="str">
        <f>IF(AND(_6="A-350",'2026'!$I$4="CA",'2026'!$I$2=CN195),'2026DATA'!$G$3,"")</f>
        <v/>
      </c>
      <c r="CO196" s="518" t="str">
        <f>IF(AND(_6="A-350",'2026'!$I$4="CA",'2026'!$I$2=CO195),'2026DATA'!$H$3,"")</f>
        <v/>
      </c>
      <c r="CP196" s="518" t="str">
        <f>IF(AND(_6="A-350",'2026'!$I$4="CA",'2026'!$I$2=CP195),'2026DATA'!$I$3,"")</f>
        <v/>
      </c>
      <c r="CQ196" s="518" t="str">
        <f>IF(AND(_6="A-350",'2026'!$I$4="CA",'2026'!$I$2=CQ195),'2026DATA'!$J$3,"")</f>
        <v/>
      </c>
      <c r="CR196" s="518" t="str">
        <f>IF(AND(_6="A-350",'2026'!$I$4="CA",'2026'!$I$2=CR195),'2026DATA'!$K$3,"")</f>
        <v/>
      </c>
      <c r="CS196" s="518" t="str">
        <f>IF(AND(_6="A-350",'2026'!$I$4="CA",'2026'!$I$2=CS195),'2026DATA'!$L$3,"")</f>
        <v/>
      </c>
      <c r="CT196" s="518" t="str">
        <f>IF(AND(_6="A-350",'2026'!$I$4="CA",'2026'!$I$2=CT195),'2026DATA'!$M$3,"")</f>
        <v/>
      </c>
      <c r="CU196" s="520" t="str">
        <f>IF(AND(_6="A-350",'2026'!$I$4="CA",'2026'!$I$2=CU195),'2026DATA'!$N$3,"")</f>
        <v/>
      </c>
    </row>
    <row r="197" spans="16:99" x14ac:dyDescent="0.25">
      <c r="P197" s="940"/>
      <c r="Q197" s="13" t="s">
        <v>62</v>
      </c>
      <c r="R197" s="518" t="str">
        <f>IF(AND(_1="A-350",'2026'!$I$4="FO",'2026'!$I$2=R195),'2026DATA'!$C$4,"")</f>
        <v/>
      </c>
      <c r="S197" s="518" t="str">
        <f>IF(AND(_1="A-350",'2026'!$I$4="FO",'2026'!$I$2=S195),'2026DATA'!$D$4,"")</f>
        <v/>
      </c>
      <c r="T197" s="518" t="str">
        <f>IF(AND(_1="A-350",'2026'!$I$4="FO",'2026'!$I$2=T195),'2026DATA'!$E$4,"")</f>
        <v/>
      </c>
      <c r="U197" s="518" t="str">
        <f>IF(AND(_1="A-350",'2026'!$I$4="FO",'2026'!$I$2=U195),'2026DATA'!$F$4,"")</f>
        <v/>
      </c>
      <c r="V197" s="518" t="str">
        <f>IF(AND(_1="A-350",'2026'!$I$4="FO",'2026'!$I$2=V195),'2026DATA'!$G$4,"")</f>
        <v/>
      </c>
      <c r="W197" s="518" t="str">
        <f>IF(AND(_1="A-350",'2026'!$I$4="FO",'2026'!$I$2=W195),'2026DATA'!$H$4,"")</f>
        <v/>
      </c>
      <c r="X197" s="518" t="str">
        <f>IF(AND(_1="A-350",'2026'!$I$4="FO",'2026'!$I$2=X195),'2026DATA'!$I$4,"")</f>
        <v/>
      </c>
      <c r="Y197" s="518" t="str">
        <f>IF(AND(_1="A-350",'2026'!$I$4="FO",'2026'!$I$2=Y195),'2026DATA'!$J$4,"")</f>
        <v/>
      </c>
      <c r="Z197" s="518" t="str">
        <f>IF(AND(_1="A-350",'2026'!$I$4="FO",'2026'!$I$2=Z195),'2026DATA'!$K$4,"")</f>
        <v/>
      </c>
      <c r="AA197" s="518" t="str">
        <f>IF(AND(_1="A-350",'2026'!$I$4="FO",'2026'!$I$2=AA195),'2026DATA'!$L$4,"")</f>
        <v/>
      </c>
      <c r="AB197" s="518" t="str">
        <f>IF(AND(_1="A-350",'2026'!$I$4="FO",'2026'!$I$2=AB195),'2026DATA'!$M$4,"")</f>
        <v/>
      </c>
      <c r="AC197" s="520" t="str">
        <f>IF(AND(_1="A-350",'2026'!$I$4="FO",'2026'!$I$2=AC195),'2026DATA'!$N$4,"")</f>
        <v/>
      </c>
      <c r="AD197" s="940"/>
      <c r="AE197" s="13" t="s">
        <v>62</v>
      </c>
      <c r="AF197" s="518" t="str">
        <f>IF(AND(_2="A-350",'2026'!$I$4="FO",'2026'!$I$2=AF195),'2026DATA'!$C$4,"")</f>
        <v/>
      </c>
      <c r="AG197" s="518" t="str">
        <f>IF(AND(_2="A-350",'2026'!$I$4="FO",'2026'!$I$2=AG195),'2026DATA'!$D$4,"")</f>
        <v/>
      </c>
      <c r="AH197" s="518" t="str">
        <f>IF(AND(_2="A-350",'2026'!$I$4="FO",'2026'!$I$2=AH195),'2026DATA'!$E$4,"")</f>
        <v/>
      </c>
      <c r="AI197" s="518" t="str">
        <f>IF(AND(_2="A-350",'2026'!$I$4="FO",'2026'!$I$2=AI195),'2026DATA'!$F$4,"")</f>
        <v/>
      </c>
      <c r="AJ197" s="518" t="str">
        <f>IF(AND(_2="A-350",'2026'!$I$4="FO",'2026'!$I$2=AJ195),'2026DATA'!$G$4,"")</f>
        <v/>
      </c>
      <c r="AK197" s="518" t="str">
        <f>IF(AND(_2="A-350",'2026'!$I$4="FO",'2026'!$I$2=AK195),'2026DATA'!$H$4,"")</f>
        <v/>
      </c>
      <c r="AL197" s="518" t="str">
        <f>IF(AND(_2="A-350",'2026'!$I$4="FO",'2026'!$I$2=AL195),'2026DATA'!$I$4,"")</f>
        <v/>
      </c>
      <c r="AM197" s="518" t="str">
        <f>IF(AND(_2="A-350",'2026'!$I$4="FO",'2026'!$I$2=AM195),'2026DATA'!$J$4,"")</f>
        <v/>
      </c>
      <c r="AN197" s="518" t="str">
        <f>IF(AND(_2="A-350",'2026'!$I$4="FO",'2026'!$I$2=AN195),'2026DATA'!$K$4,"")</f>
        <v/>
      </c>
      <c r="AO197" s="518" t="str">
        <f>IF(AND(_2="A-350",'2026'!$I$4="FO",'2026'!$I$2=AO195),'2026DATA'!$L$4,"")</f>
        <v/>
      </c>
      <c r="AP197" s="518" t="str">
        <f>IF(AND(_2="A-350",'2026'!$I$4="FO",'2026'!$I$2=AP195),'2026DATA'!$M$4,"")</f>
        <v/>
      </c>
      <c r="AQ197" s="520" t="str">
        <f>IF(AND(_2="A-350",'2026'!$I$4="FO",'2026'!$I$2=AQ195),'2026DATA'!$N$4,"")</f>
        <v/>
      </c>
      <c r="AR197" s="940"/>
      <c r="AS197" s="13" t="s">
        <v>62</v>
      </c>
      <c r="AT197" s="518" t="str">
        <f>IF(AND(_3="A-350",'2026'!$I$4="FO",'2026'!$I$2=AT195),'2026DATA'!$C$4,"")</f>
        <v/>
      </c>
      <c r="AU197" s="518" t="str">
        <f>IF(AND(_3="A-350",'2026'!$I$4="FO",'2026'!$I$2=AU195),'2026DATA'!$D$4,"")</f>
        <v/>
      </c>
      <c r="AV197" s="518" t="str">
        <f>IF(AND(_3="A-350",'2026'!$I$4="FO",'2026'!$I$2=AV195),'2026DATA'!$E$4,"")</f>
        <v/>
      </c>
      <c r="AW197" s="518" t="str">
        <f>IF(AND(_3="A-350",'2026'!$I$4="FO",'2026'!$I$2=AW195),'2026DATA'!$F$4,"")</f>
        <v/>
      </c>
      <c r="AX197" s="518" t="str">
        <f>IF(AND(_3="A-350",'2026'!$I$4="FO",'2026'!$I$2=AX195),'2026DATA'!$G$4,"")</f>
        <v/>
      </c>
      <c r="AY197" s="518" t="str">
        <f>IF(AND(_3="A-350",'2026'!$I$4="FO",'2026'!$I$2=AY195),'2026DATA'!$H$4,"")</f>
        <v/>
      </c>
      <c r="AZ197" s="518" t="str">
        <f>IF(AND(_3="A-350",'2026'!$I$4="FO",'2026'!$I$2=AZ195),'2026DATA'!$I$4,"")</f>
        <v/>
      </c>
      <c r="BA197" s="518" t="str">
        <f>IF(AND(_3="A-350",'2026'!$I$4="FO",'2026'!$I$2=BA195),'2026DATA'!$J$4,"")</f>
        <v/>
      </c>
      <c r="BB197" s="518" t="str">
        <f>IF(AND(_3="A-350",'2026'!$I$4="FO",'2026'!$I$2=BB195),'2026DATA'!$K$4,"")</f>
        <v/>
      </c>
      <c r="BC197" s="518" t="str">
        <f>IF(AND(_3="A-350",'2026'!$I$4="FO",'2026'!$I$2=BC195),'2026DATA'!$L$4,"")</f>
        <v/>
      </c>
      <c r="BD197" s="518" t="str">
        <f>IF(AND(_3="A-350",'2026'!$I$4="FO",'2026'!$I$2=BD195),'2026DATA'!$M$4,"")</f>
        <v/>
      </c>
      <c r="BE197" s="520" t="str">
        <f>IF(AND(_3="A-350",'2026'!$I$4="FO",'2026'!$I$2=BE195),'2026DATA'!$N$4,"")</f>
        <v/>
      </c>
      <c r="BF197" s="940"/>
      <c r="BG197" s="13" t="s">
        <v>62</v>
      </c>
      <c r="BH197" s="518" t="str">
        <f>IF(AND(_4="A-350",'2026'!$I$4="FO",'2026'!$I$2=BH195),'2026DATA'!$C$4,"")</f>
        <v/>
      </c>
      <c r="BI197" s="518" t="str">
        <f>IF(AND(_4="A-350",'2026'!$I$4="FO",'2026'!$I$2=BI195),'2026DATA'!$D$4,"")</f>
        <v/>
      </c>
      <c r="BJ197" s="518" t="str">
        <f>IF(AND(_4="A-350",'2026'!$I$4="FO",'2026'!$I$2=BJ195),'2026DATA'!$E$4,"")</f>
        <v/>
      </c>
      <c r="BK197" s="518" t="str">
        <f>IF(AND(_4="A-350",'2026'!$I$4="FO",'2026'!$I$2=BK195),'2026DATA'!$F$4,"")</f>
        <v/>
      </c>
      <c r="BL197" s="518" t="str">
        <f>IF(AND(_4="A-350",'2026'!$I$4="FO",'2026'!$I$2=BL195),'2026DATA'!$G$4,"")</f>
        <v/>
      </c>
      <c r="BM197" s="518" t="str">
        <f>IF(AND(_4="A-350",'2026'!$I$4="FO",'2026'!$I$2=BM195),'2026DATA'!$H$4,"")</f>
        <v/>
      </c>
      <c r="BN197" s="518" t="str">
        <f>IF(AND(_4="A-350",'2026'!$I$4="FO",'2026'!$I$2=BN195),'2026DATA'!$I$4,"")</f>
        <v/>
      </c>
      <c r="BO197" s="518" t="str">
        <f>IF(AND(_4="A-350",'2026'!$I$4="FO",'2026'!$I$2=BO195),'2026DATA'!$J$4,"")</f>
        <v/>
      </c>
      <c r="BP197" s="518" t="str">
        <f>IF(AND(_4="A-350",'2026'!$I$4="FO",'2026'!$I$2=BP195),'2026DATA'!$K$4,"")</f>
        <v/>
      </c>
      <c r="BQ197" s="518" t="str">
        <f>IF(AND(_4="A-350",'2026'!$I$4="FO",'2026'!$I$2=BQ195),'2026DATA'!$L$4,"")</f>
        <v/>
      </c>
      <c r="BR197" s="518" t="str">
        <f>IF(AND(_4="A-350",'2026'!$I$4="FO",'2026'!$I$2=BR195),'2026DATA'!$M$4,"")</f>
        <v/>
      </c>
      <c r="BS197" s="520" t="str">
        <f>IF(AND(_4="A-350",'2026'!$I$4="FO",'2026'!$I$2=BS195),'2026DATA'!$N$4,"")</f>
        <v/>
      </c>
      <c r="BT197" s="940"/>
      <c r="BU197" s="13" t="s">
        <v>62</v>
      </c>
      <c r="BV197" s="518" t="str">
        <f>IF(AND(_5="A-350",'2026'!$I$4="FO",'2026'!$I$2=BV195),'2026DATA'!$C$4,"")</f>
        <v/>
      </c>
      <c r="BW197" s="518" t="str">
        <f>IF(AND(_5="A-350",'2026'!$I$4="FO",'2026'!$I$2=BW195),'2026DATA'!$D$4,"")</f>
        <v/>
      </c>
      <c r="BX197" s="518" t="str">
        <f>IF(AND(_5="A-350",'2026'!$I$4="FO",'2026'!$I$2=BX195),'2026DATA'!$E$4,"")</f>
        <v/>
      </c>
      <c r="BY197" s="518" t="str">
        <f>IF(AND(_5="A-350",'2026'!$I$4="FO",'2026'!$I$2=BY195),'2026DATA'!$F$4,"")</f>
        <v/>
      </c>
      <c r="BZ197" s="518" t="str">
        <f>IF(AND(_5="A-350",'2026'!$I$4="FO",'2026'!$I$2=BZ195),'2026DATA'!$G$4,"")</f>
        <v/>
      </c>
      <c r="CA197" s="518" t="str">
        <f>IF(AND(_5="A-350",'2026'!$I$4="FO",'2026'!$I$2=CA195),'2026DATA'!$H$4,"")</f>
        <v/>
      </c>
      <c r="CB197" s="518" t="str">
        <f>IF(AND(_5="A-350",'2026'!$I$4="FO",'2026'!$I$2=CB195),'2026DATA'!$I$4,"")</f>
        <v/>
      </c>
      <c r="CC197" s="518" t="str">
        <f>IF(AND(_5="A-350",'2026'!$I$4="FO",'2026'!$I$2=CC195),'2026DATA'!$J$4,"")</f>
        <v/>
      </c>
      <c r="CD197" s="518" t="str">
        <f>IF(AND(_5="A-350",'2026'!$I$4="FO",'2026'!$I$2=CD195),'2026DATA'!$K$4,"")</f>
        <v/>
      </c>
      <c r="CE197" s="518" t="str">
        <f>IF(AND(_5="A-350",'2026'!$I$4="FO",'2026'!$I$2=CE195),'2026DATA'!$L$4,"")</f>
        <v/>
      </c>
      <c r="CF197" s="518" t="str">
        <f>IF(AND(_5="A-350",'2026'!$I$4="FO",'2026'!$I$2=CF195),'2026DATA'!$M$4,"")</f>
        <v/>
      </c>
      <c r="CG197" s="520" t="str">
        <f>IF(AND(_5="A-350",'2026'!$I$4="FO",'2026'!$I$2=CG195),'2026DATA'!$N$4,"")</f>
        <v/>
      </c>
      <c r="CH197" s="940"/>
      <c r="CI197" s="13" t="s">
        <v>62</v>
      </c>
      <c r="CJ197" s="518" t="str">
        <f>IF(AND(_6="A-350",'2026'!$I$4="FO",'2026'!$I$2=CJ195),'2026DATA'!$C$4,"")</f>
        <v/>
      </c>
      <c r="CK197" s="518" t="str">
        <f>IF(AND(_6="A-350",'2026'!$I$4="FO",'2026'!$I$2=CK195),'2026DATA'!$D$4,"")</f>
        <v/>
      </c>
      <c r="CL197" s="518" t="str">
        <f>IF(AND(_6="A-350",'2026'!$I$4="FO",'2026'!$I$2=CL195),'2026DATA'!$E$4,"")</f>
        <v/>
      </c>
      <c r="CM197" s="518" t="str">
        <f>IF(AND(_6="A-350",'2026'!$I$4="FO",'2026'!$I$2=CM195),'2026DATA'!$F$4,"")</f>
        <v/>
      </c>
      <c r="CN197" s="518" t="str">
        <f>IF(AND(_6="A-350",'2026'!$I$4="FO",'2026'!$I$2=CN195),'2026DATA'!$G$4,"")</f>
        <v/>
      </c>
      <c r="CO197" s="518" t="str">
        <f>IF(AND(_6="A-350",'2026'!$I$4="FO",'2026'!$I$2=CO195),'2026DATA'!$H$4,"")</f>
        <v/>
      </c>
      <c r="CP197" s="518" t="str">
        <f>IF(AND(_6="A-350",'2026'!$I$4="FO",'2026'!$I$2=CP195),'2026DATA'!$I$4,"")</f>
        <v/>
      </c>
      <c r="CQ197" s="518" t="str">
        <f>IF(AND(_6="A-350",'2026'!$I$4="FO",'2026'!$I$2=CQ195),'2026DATA'!$J$4,"")</f>
        <v/>
      </c>
      <c r="CR197" s="518" t="str">
        <f>IF(AND(_6="A-350",'2026'!$I$4="FO",'2026'!$I$2=CR195),'2026DATA'!$K$4,"")</f>
        <v/>
      </c>
      <c r="CS197" s="518" t="str">
        <f>IF(AND(_6="A-350",'2026'!$I$4="FO",'2026'!$I$2=CS195),'2026DATA'!$L$4,"")</f>
        <v/>
      </c>
      <c r="CT197" s="518" t="str">
        <f>IF(AND(_6="A-350",'2026'!$I$4="FO",'2026'!$I$2=CT195),'2026DATA'!$M$4,"")</f>
        <v/>
      </c>
      <c r="CU197" s="520" t="str">
        <f>IF(AND(_6="A-350",'2026'!$I$4="FO",'2026'!$I$2=CU195),'2026DATA'!$N$4,"")</f>
        <v/>
      </c>
    </row>
    <row r="198" spans="16:99" x14ac:dyDescent="0.25">
      <c r="P198" s="940" t="s">
        <v>65</v>
      </c>
      <c r="Q198" s="13" t="s">
        <v>61</v>
      </c>
      <c r="R198" s="518" t="str">
        <f>IF(AND(_1="A-330-900",'2026'!$I$4="CA",'2026'!$I$2=R195),'2026DATA'!$C$5,"")</f>
        <v/>
      </c>
      <c r="S198" s="518" t="str">
        <f>IF(AND(_1="A-330-900",'2026'!$I$4="CA",'2026'!$I$2=S195),'2026DATA'!$D$5,"")</f>
        <v/>
      </c>
      <c r="T198" s="518" t="str">
        <f>IF(AND(_1="A-330-900",'2026'!$I$4="CA",'2026'!$I$2=T195),'2026DATA'!$E$5,"")</f>
        <v/>
      </c>
      <c r="U198" s="518" t="str">
        <f>IF(AND(_1="A-330-900",'2026'!$I$4="CA",'2026'!$I$2=U195),'2026DATA'!$F$5,"")</f>
        <v/>
      </c>
      <c r="V198" s="518" t="str">
        <f>IF(AND(_1="A-330-900",'2026'!$I$4="CA",'2026'!$I$2=V195),'2026DATA'!$G$5,"")</f>
        <v/>
      </c>
      <c r="W198" s="518" t="str">
        <f>IF(AND(_1="A-330-900",'2026'!$I$4="CA",'2026'!$I$2=W195),'2026DATA'!$H$5,"")</f>
        <v/>
      </c>
      <c r="X198" s="518" t="str">
        <f>IF(AND(_1="A-330-900",'2026'!$I$4="CA",'2026'!$I$2=X195),'2026DATA'!$I$5,"")</f>
        <v/>
      </c>
      <c r="Y198" s="518" t="str">
        <f>IF(AND(_1="A-330-900",'2026'!$I$4="CA",'2026'!$I$2=Y195),'2026DATA'!$J$5,"")</f>
        <v/>
      </c>
      <c r="Z198" s="518" t="str">
        <f>IF(AND(_1="A-330-900",'2026'!$I$4="CA",'2026'!$I$2=Z195),'2026DATA'!$K$5,"")</f>
        <v/>
      </c>
      <c r="AA198" s="518" t="str">
        <f>IF(AND(_1="A-330-900",'2026'!$I$4="CA",'2026'!$I$2=AA195),'2026DATA'!$L$5,"")</f>
        <v/>
      </c>
      <c r="AB198" s="518" t="str">
        <f>IF(AND(_1="A-330-900",'2026'!$I$4="CA",'2026'!$I$2=AB195),'2026DATA'!$M$5,"")</f>
        <v/>
      </c>
      <c r="AC198" s="520" t="str">
        <f>IF(AND(_1="A-330-900",'2026'!$I$4="CA",'2026'!$I$2=AC195),'2026DATA'!$N$5,"")</f>
        <v/>
      </c>
      <c r="AD198" s="940" t="s">
        <v>65</v>
      </c>
      <c r="AE198" s="13" t="s">
        <v>61</v>
      </c>
      <c r="AF198" s="518" t="str">
        <f>IF(AND(_2="A-330-900",'2026'!$I$4="CA",'2026'!$I$2=AF195),'2026DATA'!$C$5,"")</f>
        <v/>
      </c>
      <c r="AG198" s="518" t="str">
        <f>IF(AND(_2="A-330-900",'2026'!$I$4="CA",'2026'!$I$2=AG195),'2026DATA'!$D$5,"")</f>
        <v/>
      </c>
      <c r="AH198" s="518" t="str">
        <f>IF(AND(_2="A-330-900",'2026'!$I$4="CA",'2026'!$I$2=AH195),'2026DATA'!$E$5,"")</f>
        <v/>
      </c>
      <c r="AI198" s="518" t="str">
        <f>IF(AND(_2="A-330-900",'2026'!$I$4="CA",'2026'!$I$2=AI195),'2026DATA'!$F$5,"")</f>
        <v/>
      </c>
      <c r="AJ198" s="518" t="str">
        <f>IF(AND(_2="A-330-900",'2026'!$I$4="CA",'2026'!$I$2=AJ195),'2026DATA'!$G$5,"")</f>
        <v/>
      </c>
      <c r="AK198" s="518" t="str">
        <f>IF(AND(_2="A-330-900",'2026'!$I$4="CA",'2026'!$I$2=AK195),'2026DATA'!$H$5,"")</f>
        <v/>
      </c>
      <c r="AL198" s="518" t="str">
        <f>IF(AND(_2="A-330-900",'2026'!$I$4="CA",'2026'!$I$2=AL195),'2026DATA'!$I$5,"")</f>
        <v/>
      </c>
      <c r="AM198" s="518" t="str">
        <f>IF(AND(_2="A-330-900",'2026'!$I$4="CA",'2026'!$I$2=AM195),'2026DATA'!$J$5,"")</f>
        <v/>
      </c>
      <c r="AN198" s="518" t="str">
        <f>IF(AND(_2="A-330-900",'2026'!$I$4="CA",'2026'!$I$2=AN195),'2026DATA'!$K$5,"")</f>
        <v/>
      </c>
      <c r="AO198" s="518" t="str">
        <f>IF(AND(_2="A-330-900",'2026'!$I$4="CA",'2026'!$I$2=AO195),'2026DATA'!$L$5,"")</f>
        <v/>
      </c>
      <c r="AP198" s="518" t="str">
        <f>IF(AND(_2="A-330-900",'2026'!$I$4="CA",'2026'!$I$2=AP195),'2026DATA'!$M$5,"")</f>
        <v/>
      </c>
      <c r="AQ198" s="520" t="str">
        <f>IF(AND(_2="A-330-900",'2026'!$I$4="CA",'2026'!$I$2=AQ195),'2026DATA'!$N$5,"")</f>
        <v/>
      </c>
      <c r="AR198" s="940" t="s">
        <v>65</v>
      </c>
      <c r="AS198" s="13" t="s">
        <v>61</v>
      </c>
      <c r="AT198" s="518" t="str">
        <f>IF(AND(_3="A-330-900",'2026'!$I$4="CA",'2026'!$I$2=AT195),'2026DATA'!$C$5,"")</f>
        <v/>
      </c>
      <c r="AU198" s="518" t="str">
        <f>IF(AND(_3="A-330-900",'2026'!$I$4="CA",'2026'!$I$2=AU195),'2026DATA'!$D$5,"")</f>
        <v/>
      </c>
      <c r="AV198" s="518" t="str">
        <f>IF(AND(_3="A-330-900",'2026'!$I$4="CA",'2026'!$I$2=AV195),'2026DATA'!$E$5,"")</f>
        <v/>
      </c>
      <c r="AW198" s="518" t="str">
        <f>IF(AND(_3="A-330-900",'2026'!$I$4="CA",'2026'!$I$2=AW195),'2026DATA'!$F$5,"")</f>
        <v/>
      </c>
      <c r="AX198" s="518" t="str">
        <f>IF(AND(_3="A-330-900",'2026'!$I$4="CA",'2026'!$I$2=AX195),'2026DATA'!$G$5,"")</f>
        <v/>
      </c>
      <c r="AY198" s="518" t="str">
        <f>IF(AND(_3="A-330-900",'2026'!$I$4="CA",'2026'!$I$2=AY195),'2026DATA'!$H$5,"")</f>
        <v/>
      </c>
      <c r="AZ198" s="518" t="str">
        <f>IF(AND(_3="A-330-900",'2026'!$I$4="CA",'2026'!$I$2=AZ195),'2026DATA'!$I$5,"")</f>
        <v/>
      </c>
      <c r="BA198" s="518" t="str">
        <f>IF(AND(_3="A-330-900",'2026'!$I$4="CA",'2026'!$I$2=BA195),'2026DATA'!$J$5,"")</f>
        <v/>
      </c>
      <c r="BB198" s="518" t="str">
        <f>IF(AND(_3="A-330-900",'2026'!$I$4="CA",'2026'!$I$2=BB195),'2026DATA'!$K$5,"")</f>
        <v/>
      </c>
      <c r="BC198" s="518" t="str">
        <f>IF(AND(_3="A-330-900",'2026'!$I$4="CA",'2026'!$I$2=BC195),'2026DATA'!$L$5,"")</f>
        <v/>
      </c>
      <c r="BD198" s="518" t="str">
        <f>IF(AND(_3="A-330-900",'2026'!$I$4="CA",'2026'!$I$2=BD195),'2026DATA'!$M$5,"")</f>
        <v/>
      </c>
      <c r="BE198" s="520" t="str">
        <f>IF(AND(_3="A-330-900",'2026'!$I$4="CA",'2026'!$I$2=BE195),'2026DATA'!$N$5,"")</f>
        <v/>
      </c>
      <c r="BF198" s="940" t="s">
        <v>65</v>
      </c>
      <c r="BG198" s="13" t="s">
        <v>61</v>
      </c>
      <c r="BH198" s="518" t="str">
        <f>IF(AND(_4="A-330-900",'2026'!$I$4="CA",'2026'!$I$2=BH195),'2026DATA'!$C$5,"")</f>
        <v/>
      </c>
      <c r="BI198" s="518" t="str">
        <f>IF(AND(_4="A-330-900",'2026'!$I$4="CA",'2026'!$I$2=BI195),'2026DATA'!$D$5,"")</f>
        <v/>
      </c>
      <c r="BJ198" s="518" t="str">
        <f>IF(AND(_4="A-330-900",'2026'!$I$4="CA",'2026'!$I$2=BJ195),'2026DATA'!$E$5,"")</f>
        <v/>
      </c>
      <c r="BK198" s="518" t="str">
        <f>IF(AND(_4="A-330-900",'2026'!$I$4="CA",'2026'!$I$2=BK195),'2026DATA'!$F$5,"")</f>
        <v/>
      </c>
      <c r="BL198" s="518" t="str">
        <f>IF(AND(_4="A-330-900",'2026'!$I$4="CA",'2026'!$I$2=BL195),'2026DATA'!$G$5,"")</f>
        <v/>
      </c>
      <c r="BM198" s="518" t="str">
        <f>IF(AND(_4="A-330-900",'2026'!$I$4="CA",'2026'!$I$2=BM195),'2026DATA'!$H$5,"")</f>
        <v/>
      </c>
      <c r="BN198" s="518" t="str">
        <f>IF(AND(_4="A-330-900",'2026'!$I$4="CA",'2026'!$I$2=BN195),'2026DATA'!$I$5,"")</f>
        <v/>
      </c>
      <c r="BO198" s="518" t="str">
        <f>IF(AND(_4="A-330-900",'2026'!$I$4="CA",'2026'!$I$2=BO195),'2026DATA'!$J$5,"")</f>
        <v/>
      </c>
      <c r="BP198" s="518" t="str">
        <f>IF(AND(_4="A-330-900",'2026'!$I$4="CA",'2026'!$I$2=BP195),'2026DATA'!$K$5,"")</f>
        <v/>
      </c>
      <c r="BQ198" s="518" t="str">
        <f>IF(AND(_4="A-330-900",'2026'!$I$4="CA",'2026'!$I$2=BQ195),'2026DATA'!$L$5,"")</f>
        <v/>
      </c>
      <c r="BR198" s="518" t="str">
        <f>IF(AND(_4="A-330-900",'2026'!$I$4="CA",'2026'!$I$2=BR195),'2026DATA'!$M$5,"")</f>
        <v/>
      </c>
      <c r="BS198" s="520" t="str">
        <f>IF(AND(_4="A-330-900",'2026'!$I$4="CA",'2026'!$I$2=BS195),'2026DATA'!$N$5,"")</f>
        <v/>
      </c>
      <c r="BT198" s="940" t="s">
        <v>65</v>
      </c>
      <c r="BU198" s="13" t="s">
        <v>61</v>
      </c>
      <c r="BV198" s="518" t="str">
        <f>IF(AND(_5="A-330-900",'2026'!$I$4="CA",'2026'!$I$2=BV195),'2026DATA'!$C$5,"")</f>
        <v/>
      </c>
      <c r="BW198" s="518" t="str">
        <f>IF(AND(_5="A-330-900",'2026'!$I$4="CA",'2026'!$I$2=BW195),'2026DATA'!$D$5,"")</f>
        <v/>
      </c>
      <c r="BX198" s="518" t="str">
        <f>IF(AND(_5="A-330-900",'2026'!$I$4="CA",'2026'!$I$2=BX195),'2026DATA'!$E$5,"")</f>
        <v/>
      </c>
      <c r="BY198" s="518" t="str">
        <f>IF(AND(_5="A-330-900",'2026'!$I$4="CA",'2026'!$I$2=BY195),'2026DATA'!$F$5,"")</f>
        <v/>
      </c>
      <c r="BZ198" s="518" t="str">
        <f>IF(AND(_5="A-330-900",'2026'!$I$4="CA",'2026'!$I$2=BZ195),'2026DATA'!$G$5,"")</f>
        <v/>
      </c>
      <c r="CA198" s="518" t="str">
        <f>IF(AND(_5="A-330-900",'2026'!$I$4="CA",'2026'!$I$2=CA195),'2026DATA'!$H$5,"")</f>
        <v/>
      </c>
      <c r="CB198" s="518" t="str">
        <f>IF(AND(_5="A-330-900",'2026'!$I$4="CA",'2026'!$I$2=CB195),'2026DATA'!$I$5,"")</f>
        <v/>
      </c>
      <c r="CC198" s="518" t="str">
        <f>IF(AND(_5="A-330-900",'2026'!$I$4="CA",'2026'!$I$2=CC195),'2026DATA'!$J$5,"")</f>
        <v/>
      </c>
      <c r="CD198" s="518" t="str">
        <f>IF(AND(_5="A-330-900",'2026'!$I$4="CA",'2026'!$I$2=CD195),'2026DATA'!$K$5,"")</f>
        <v/>
      </c>
      <c r="CE198" s="518" t="str">
        <f>IF(AND(_5="A-330-900",'2026'!$I$4="CA",'2026'!$I$2=CE195),'2026DATA'!$L$5,"")</f>
        <v/>
      </c>
      <c r="CF198" s="518" t="str">
        <f>IF(AND(_5="A-330-900",'2026'!$I$4="CA",'2026'!$I$2=CF195),'2026DATA'!$M$5,"")</f>
        <v/>
      </c>
      <c r="CG198" s="520" t="str">
        <f>IF(AND(_5="A-330-900",'2026'!$I$4="CA",'2026'!$I$2=CG195),'2026DATA'!$N$5,"")</f>
        <v/>
      </c>
      <c r="CH198" s="940" t="s">
        <v>65</v>
      </c>
      <c r="CI198" s="13" t="s">
        <v>61</v>
      </c>
      <c r="CJ198" s="518" t="str">
        <f>IF(AND(_6="A-330-900",'2026'!$I$4="CA",'2026'!$I$2=CJ195),'2026DATA'!$C$5,"")</f>
        <v/>
      </c>
      <c r="CK198" s="518" t="str">
        <f>IF(AND(_6="A-330-900",'2026'!$I$4="CA",'2026'!$I$2=CK195),'2026DATA'!$D$5,"")</f>
        <v/>
      </c>
      <c r="CL198" s="518" t="str">
        <f>IF(AND(_6="A-330-900",'2026'!$I$4="CA",'2026'!$I$2=CL195),'2026DATA'!$E$5,"")</f>
        <v/>
      </c>
      <c r="CM198" s="518" t="str">
        <f>IF(AND(_6="A-330-900",'2026'!$I$4="CA",'2026'!$I$2=CM195),'2026DATA'!$F$5,"")</f>
        <v/>
      </c>
      <c r="CN198" s="518" t="str">
        <f>IF(AND(_6="A-330-900",'2026'!$I$4="CA",'2026'!$I$2=CN195),'2026DATA'!$G$5,"")</f>
        <v/>
      </c>
      <c r="CO198" s="518" t="str">
        <f>IF(AND(_6="A-330-900",'2026'!$I$4="CA",'2026'!$I$2=CO195),'2026DATA'!$H$5,"")</f>
        <v/>
      </c>
      <c r="CP198" s="518" t="str">
        <f>IF(AND(_6="A-330-900",'2026'!$I$4="CA",'2026'!$I$2=CP195),'2026DATA'!$I$5,"")</f>
        <v/>
      </c>
      <c r="CQ198" s="518" t="str">
        <f>IF(AND(_6="A-330-900",'2026'!$I$4="CA",'2026'!$I$2=CQ195),'2026DATA'!$J$5,"")</f>
        <v/>
      </c>
      <c r="CR198" s="518" t="str">
        <f>IF(AND(_6="A-330-900",'2026'!$I$4="CA",'2026'!$I$2=CR195),'2026DATA'!$K$5,"")</f>
        <v/>
      </c>
      <c r="CS198" s="518" t="str">
        <f>IF(AND(_6="A-330-900",'2026'!$I$4="CA",'2026'!$I$2=CS195),'2026DATA'!$L$5,"")</f>
        <v/>
      </c>
      <c r="CT198" s="518" t="str">
        <f>IF(AND(_6="A-330-900",'2026'!$I$4="CA",'2026'!$I$2=CT195),'2026DATA'!$M$5,"")</f>
        <v/>
      </c>
      <c r="CU198" s="520" t="str">
        <f>IF(AND(_6="A-330-900",'2026'!$I$4="CA",'2026'!$I$2=CU195),'2026DATA'!$N$5,"")</f>
        <v/>
      </c>
    </row>
    <row r="199" spans="16:99" x14ac:dyDescent="0.25">
      <c r="P199" s="940"/>
      <c r="Q199" s="13" t="s">
        <v>62</v>
      </c>
      <c r="R199" s="518" t="str">
        <f>IF(AND(_1="A-330-900",'2026'!$I$4="FO",'2026'!$I$2=R195),'2026DATA'!$C$6,"")</f>
        <v/>
      </c>
      <c r="S199" s="518" t="str">
        <f>IF(AND(_1="A-330-900",'2026'!$I$4="FO",'2026'!$I$2=S195),'2026DATA'!$D$6,"")</f>
        <v/>
      </c>
      <c r="T199" s="518" t="str">
        <f>IF(AND(_1="A-330-900",'2026'!$I$4="FO",'2026'!$I$2=T195),'2026DATA'!$E$6,"")</f>
        <v/>
      </c>
      <c r="U199" s="518" t="str">
        <f>IF(AND(_1="A-330-900",'2026'!$I$4="FO",'2026'!$I$2=U195),'2026DATA'!$F$6,"")</f>
        <v/>
      </c>
      <c r="V199" s="518" t="str">
        <f>IF(AND(_1="A-330-900",'2026'!$I$4="FO",'2026'!$I$2=V195),'2026DATA'!$G$6,"")</f>
        <v/>
      </c>
      <c r="W199" s="518" t="str">
        <f>IF(AND(_1="A-330-900",'2026'!$I$4="FO",'2026'!$I$2=W195),'2026DATA'!$H$6,"")</f>
        <v/>
      </c>
      <c r="X199" s="518" t="str">
        <f>IF(AND(_1="A-330-900",'2026'!$I$4="FO",'2026'!$I$2=X195),'2026DATA'!$I$6,"")</f>
        <v/>
      </c>
      <c r="Y199" s="518" t="str">
        <f>IF(AND(_1="A-330-900",'2026'!$I$4="FO",'2026'!$I$2=Y195),'2026DATA'!$J$6,"")</f>
        <v/>
      </c>
      <c r="Z199" s="518" t="str">
        <f>IF(AND(_1="A-330-900",'2026'!$I$4="FO",'2026'!$I$2=Z195),'2026DATA'!$K$6,"")</f>
        <v/>
      </c>
      <c r="AA199" s="518" t="str">
        <f>IF(AND(_1="A-330-900",'2026'!$I$4="FO",'2026'!$I$2=AA195),'2026DATA'!$L$6,"")</f>
        <v/>
      </c>
      <c r="AB199" s="518" t="str">
        <f>IF(AND(_1="A-330-900",'2026'!$I$4="FO",'2026'!$I$2=AB195),'2026DATA'!$M$6,"")</f>
        <v/>
      </c>
      <c r="AC199" s="520" t="str">
        <f>IF(AND(_1="A-330-900",'2026'!$I$4="FO",'2026'!$I$2=AC195),'2026DATA'!$N$6,"")</f>
        <v/>
      </c>
      <c r="AD199" s="940"/>
      <c r="AE199" s="13" t="s">
        <v>62</v>
      </c>
      <c r="AF199" s="518" t="str">
        <f>IF(AND(_2="A-330-900",'2026'!$I$4="FO",'2026'!$I$2=AF195),'2026DATA'!$C$6,"")</f>
        <v/>
      </c>
      <c r="AG199" s="518" t="str">
        <f>IF(AND(_2="A-330-900",'2026'!$I$4="FO",'2026'!$I$2=AG195),'2026DATA'!$D$6,"")</f>
        <v/>
      </c>
      <c r="AH199" s="518" t="str">
        <f>IF(AND(_2="A-330-900",'2026'!$I$4="FO",'2026'!$I$2=AH195),'2026DATA'!$E$6,"")</f>
        <v/>
      </c>
      <c r="AI199" s="518" t="str">
        <f>IF(AND(_2="A-330-900",'2026'!$I$4="FO",'2026'!$I$2=AI195),'2026DATA'!$F$6,"")</f>
        <v/>
      </c>
      <c r="AJ199" s="518" t="str">
        <f>IF(AND(_2="A-330-900",'2026'!$I$4="FO",'2026'!$I$2=AJ195),'2026DATA'!$G$6,"")</f>
        <v/>
      </c>
      <c r="AK199" s="518" t="str">
        <f>IF(AND(_2="A-330-900",'2026'!$I$4="FO",'2026'!$I$2=AK195),'2026DATA'!$H$6,"")</f>
        <v/>
      </c>
      <c r="AL199" s="518" t="str">
        <f>IF(AND(_2="A-330-900",'2026'!$I$4="FO",'2026'!$I$2=AL195),'2026DATA'!$I$6,"")</f>
        <v/>
      </c>
      <c r="AM199" s="518" t="str">
        <f>IF(AND(_2="A-330-900",'2026'!$I$4="FO",'2026'!$I$2=AM195),'2026DATA'!$J$6,"")</f>
        <v/>
      </c>
      <c r="AN199" s="518" t="str">
        <f>IF(AND(_2="A-330-900",'2026'!$I$4="FO",'2026'!$I$2=AN195),'2026DATA'!$K$6,"")</f>
        <v/>
      </c>
      <c r="AO199" s="518" t="str">
        <f>IF(AND(_2="A-330-900",'2026'!$I$4="FO",'2026'!$I$2=AO195),'2026DATA'!$L$6,"")</f>
        <v/>
      </c>
      <c r="AP199" s="518" t="str">
        <f>IF(AND(_2="A-330-900",'2026'!$I$4="FO",'2026'!$I$2=AP195),'2026DATA'!$M$6,"")</f>
        <v/>
      </c>
      <c r="AQ199" s="520" t="str">
        <f>IF(AND(_2="A-330-900",'2026'!$I$4="FO",'2026'!$I$2=AQ195),'2026DATA'!$N$6,"")</f>
        <v/>
      </c>
      <c r="AR199" s="940"/>
      <c r="AS199" s="13" t="s">
        <v>62</v>
      </c>
      <c r="AT199" s="518" t="str">
        <f>IF(AND(_3="A-330-900",'2026'!$I$4="FO",'2026'!$I$2=AT195),'2026DATA'!$C$6,"")</f>
        <v/>
      </c>
      <c r="AU199" s="518" t="str">
        <f>IF(AND(_3="A-330-900",'2026'!$I$4="FO",'2026'!$I$2=AU195),'2026DATA'!$D$6,"")</f>
        <v/>
      </c>
      <c r="AV199" s="518" t="str">
        <f>IF(AND(_3="A-330-900",'2026'!$I$4="FO",'2026'!$I$2=AV195),'2026DATA'!$E$6,"")</f>
        <v/>
      </c>
      <c r="AW199" s="518" t="str">
        <f>IF(AND(_3="A-330-900",'2026'!$I$4="FO",'2026'!$I$2=AW195),'2026DATA'!$F$6,"")</f>
        <v/>
      </c>
      <c r="AX199" s="518" t="str">
        <f>IF(AND(_3="A-330-900",'2026'!$I$4="FO",'2026'!$I$2=AX195),'2026DATA'!$G$6,"")</f>
        <v/>
      </c>
      <c r="AY199" s="518" t="str">
        <f>IF(AND(_3="A-330-900",'2026'!$I$4="FO",'2026'!$I$2=AY195),'2026DATA'!$H$6,"")</f>
        <v/>
      </c>
      <c r="AZ199" s="518" t="str">
        <f>IF(AND(_3="A-330-900",'2026'!$I$4="FO",'2026'!$I$2=AZ195),'2026DATA'!$I$6,"")</f>
        <v/>
      </c>
      <c r="BA199" s="518" t="str">
        <f>IF(AND(_3="A-330-900",'2026'!$I$4="FO",'2026'!$I$2=BA195),'2026DATA'!$J$6,"")</f>
        <v/>
      </c>
      <c r="BB199" s="518" t="str">
        <f>IF(AND(_3="A-330-900",'2026'!$I$4="FO",'2026'!$I$2=BB195),'2026DATA'!$K$6,"")</f>
        <v/>
      </c>
      <c r="BC199" s="518" t="str">
        <f>IF(AND(_3="A-330-900",'2026'!$I$4="FO",'2026'!$I$2=BC195),'2026DATA'!$L$6,"")</f>
        <v/>
      </c>
      <c r="BD199" s="518" t="str">
        <f>IF(AND(_3="A-330-900",'2026'!$I$4="FO",'2026'!$I$2=BD195),'2026DATA'!$M$6,"")</f>
        <v/>
      </c>
      <c r="BE199" s="520" t="str">
        <f>IF(AND(_3="A-330-900",'2026'!$I$4="FO",'2026'!$I$2=BE195),'2026DATA'!$N$6,"")</f>
        <v/>
      </c>
      <c r="BF199" s="940"/>
      <c r="BG199" s="13" t="s">
        <v>62</v>
      </c>
      <c r="BH199" s="518" t="str">
        <f>IF(AND(_4="A-330-900",'2026'!$I$4="FO",'2026'!$I$2=BH195),'2026DATA'!$C$6,"")</f>
        <v/>
      </c>
      <c r="BI199" s="518" t="str">
        <f>IF(AND(_4="A-330-900",'2026'!$I$4="FO",'2026'!$I$2=BI195),'2026DATA'!$D$6,"")</f>
        <v/>
      </c>
      <c r="BJ199" s="518" t="str">
        <f>IF(AND(_4="A-330-900",'2026'!$I$4="FO",'2026'!$I$2=BJ195),'2026DATA'!$E$6,"")</f>
        <v/>
      </c>
      <c r="BK199" s="518" t="str">
        <f>IF(AND(_4="A-330-900",'2026'!$I$4="FO",'2026'!$I$2=BK195),'2026DATA'!$F$6,"")</f>
        <v/>
      </c>
      <c r="BL199" s="518" t="str">
        <f>IF(AND(_4="A-330-900",'2026'!$I$4="FO",'2026'!$I$2=BL195),'2026DATA'!$G$6,"")</f>
        <v/>
      </c>
      <c r="BM199" s="518" t="str">
        <f>IF(AND(_4="A-330-900",'2026'!$I$4="FO",'2026'!$I$2=BM195),'2026DATA'!$H$6,"")</f>
        <v/>
      </c>
      <c r="BN199" s="518" t="str">
        <f>IF(AND(_4="A-330-900",'2026'!$I$4="FO",'2026'!$I$2=BN195),'2026DATA'!$I$6,"")</f>
        <v/>
      </c>
      <c r="BO199" s="518" t="str">
        <f>IF(AND(_4="A-330-900",'2026'!$I$4="FO",'2026'!$I$2=BO195),'2026DATA'!$J$6,"")</f>
        <v/>
      </c>
      <c r="BP199" s="518" t="str">
        <f>IF(AND(_4="A-330-900",'2026'!$I$4="FO",'2026'!$I$2=BP195),'2026DATA'!$K$6,"")</f>
        <v/>
      </c>
      <c r="BQ199" s="518" t="str">
        <f>IF(AND(_4="A-330-900",'2026'!$I$4="FO",'2026'!$I$2=BQ195),'2026DATA'!$L$6,"")</f>
        <v/>
      </c>
      <c r="BR199" s="518" t="str">
        <f>IF(AND(_4="A-330-900",'2026'!$I$4="FO",'2026'!$I$2=BR195),'2026DATA'!$M$6,"")</f>
        <v/>
      </c>
      <c r="BS199" s="520" t="str">
        <f>IF(AND(_4="A-330-900",'2026'!$I$4="FO",'2026'!$I$2=BS195),'2026DATA'!$N$6,"")</f>
        <v/>
      </c>
      <c r="BT199" s="940"/>
      <c r="BU199" s="13" t="s">
        <v>62</v>
      </c>
      <c r="BV199" s="518" t="str">
        <f>IF(AND(_5="A-330-900",'2026'!$I$4="FO",'2026'!$I$2=BV195),'2026DATA'!$C$6,"")</f>
        <v/>
      </c>
      <c r="BW199" s="518" t="str">
        <f>IF(AND(_5="A-330-900",'2026'!$I$4="FO",'2026'!$I$2=BW195),'2026DATA'!$D$6,"")</f>
        <v/>
      </c>
      <c r="BX199" s="518" t="str">
        <f>IF(AND(_5="A-330-900",'2026'!$I$4="FO",'2026'!$I$2=BX195),'2026DATA'!$E$6,"")</f>
        <v/>
      </c>
      <c r="BY199" s="518" t="str">
        <f>IF(AND(_5="A-330-900",'2026'!$I$4="FO",'2026'!$I$2=BY195),'2026DATA'!$F$6,"")</f>
        <v/>
      </c>
      <c r="BZ199" s="518" t="str">
        <f>IF(AND(_5="A-330-900",'2026'!$I$4="FO",'2026'!$I$2=BZ195),'2026DATA'!$G$6,"")</f>
        <v/>
      </c>
      <c r="CA199" s="518" t="str">
        <f>IF(AND(_5="A-330-900",'2026'!$I$4="FO",'2026'!$I$2=CA195),'2026DATA'!$H$6,"")</f>
        <v/>
      </c>
      <c r="CB199" s="518" t="str">
        <f>IF(AND(_5="A-330-900",'2026'!$I$4="FO",'2026'!$I$2=CB195),'2026DATA'!$I$6,"")</f>
        <v/>
      </c>
      <c r="CC199" s="518" t="str">
        <f>IF(AND(_5="A-330-900",'2026'!$I$4="FO",'2026'!$I$2=CC195),'2026DATA'!$J$6,"")</f>
        <v/>
      </c>
      <c r="CD199" s="518" t="str">
        <f>IF(AND(_5="A-330-900",'2026'!$I$4="FO",'2026'!$I$2=CD195),'2026DATA'!$K$6,"")</f>
        <v/>
      </c>
      <c r="CE199" s="518" t="str">
        <f>IF(AND(_5="A-330-900",'2026'!$I$4="FO",'2026'!$I$2=CE195),'2026DATA'!$L$6,"")</f>
        <v/>
      </c>
      <c r="CF199" s="518" t="str">
        <f>IF(AND(_5="A-330-900",'2026'!$I$4="FO",'2026'!$I$2=CF195),'2026DATA'!$M$6,"")</f>
        <v/>
      </c>
      <c r="CG199" s="520" t="str">
        <f>IF(AND(_5="A-330-900",'2026'!$I$4="FO",'2026'!$I$2=CG195),'2026DATA'!$N$6,"")</f>
        <v/>
      </c>
      <c r="CH199" s="940"/>
      <c r="CI199" s="13" t="s">
        <v>62</v>
      </c>
      <c r="CJ199" s="518" t="str">
        <f>IF(AND(_6="A-330-900",'2026'!$I$4="FO",'2026'!$I$2=CJ195),'2026DATA'!$C$6,"")</f>
        <v/>
      </c>
      <c r="CK199" s="518" t="str">
        <f>IF(AND(_6="A-330-900",'2026'!$I$4="FO",'2026'!$I$2=CK195),'2026DATA'!$D$6,"")</f>
        <v/>
      </c>
      <c r="CL199" s="518" t="str">
        <f>IF(AND(_6="A-330-900",'2026'!$I$4="FO",'2026'!$I$2=CL195),'2026DATA'!$E$6,"")</f>
        <v/>
      </c>
      <c r="CM199" s="518" t="str">
        <f>IF(AND(_6="A-330-900",'2026'!$I$4="FO",'2026'!$I$2=CM195),'2026DATA'!$F$6,"")</f>
        <v/>
      </c>
      <c r="CN199" s="518" t="str">
        <f>IF(AND(_6="A-330-900",'2026'!$I$4="FO",'2026'!$I$2=CN195),'2026DATA'!$G$6,"")</f>
        <v/>
      </c>
      <c r="CO199" s="518" t="str">
        <f>IF(AND(_6="A-330-900",'2026'!$I$4="FO",'2026'!$I$2=CO195),'2026DATA'!$H$6,"")</f>
        <v/>
      </c>
      <c r="CP199" s="518" t="str">
        <f>IF(AND(_6="A-330-900",'2026'!$I$4="FO",'2026'!$I$2=CP195),'2026DATA'!$I$6,"")</f>
        <v/>
      </c>
      <c r="CQ199" s="518" t="str">
        <f>IF(AND(_6="A-330-900",'2026'!$I$4="FO",'2026'!$I$2=CQ195),'2026DATA'!$J$6,"")</f>
        <v/>
      </c>
      <c r="CR199" s="518" t="str">
        <f>IF(AND(_6="A-330-900",'2026'!$I$4="FO",'2026'!$I$2=CR195),'2026DATA'!$K$6,"")</f>
        <v/>
      </c>
      <c r="CS199" s="518" t="str">
        <f>IF(AND(_6="A-330-900",'2026'!$I$4="FO",'2026'!$I$2=CS195),'2026DATA'!$L$6,"")</f>
        <v/>
      </c>
      <c r="CT199" s="518" t="str">
        <f>IF(AND(_6="A-330-900",'2026'!$I$4="FO",'2026'!$I$2=CT195),'2026DATA'!$M$6,"")</f>
        <v/>
      </c>
      <c r="CU199" s="520" t="str">
        <f>IF(AND(_6="A-330-900",'2026'!$I$4="FO",'2026'!$I$2=CU195),'2026DATA'!$N$6,"")</f>
        <v/>
      </c>
    </row>
    <row r="200" spans="16:99" x14ac:dyDescent="0.25">
      <c r="P200" s="940" t="s">
        <v>64</v>
      </c>
      <c r="Q200" s="13" t="s">
        <v>61</v>
      </c>
      <c r="R200" s="518" t="str">
        <f>IF(AND(_1="A-330-300",'2026'!$I$4="CA",'2026'!$I$2=R195),'2026DATA'!$C$7,"")</f>
        <v/>
      </c>
      <c r="S200" s="518" t="str">
        <f>IF(AND(_1="A-330-300",'2026'!$I$4="CA",'2026'!$I$2=S195),'2026DATA'!$D$7,"")</f>
        <v/>
      </c>
      <c r="T200" s="518" t="str">
        <f>IF(AND(_1="A-330-300",'2026'!$I$4="CA",'2026'!$I$2=T195),'2026DATA'!$E$7,"")</f>
        <v/>
      </c>
      <c r="U200" s="518" t="str">
        <f>IF(AND(_1="A-330-300",'2026'!$I$4="CA",'2026'!$I$2=U195),'2026DATA'!$F$7,"")</f>
        <v/>
      </c>
      <c r="V200" s="518" t="str">
        <f>IF(AND(_1="A-330-300",'2026'!$I$4="CA",'2026'!$I$2=V195),'2026DATA'!$G$7,"")</f>
        <v/>
      </c>
      <c r="W200" s="518" t="str">
        <f>IF(AND(_1="A-330-300",'2026'!$I$4="CA",'2026'!$I$2=W195),'2026DATA'!$H$7,"")</f>
        <v/>
      </c>
      <c r="X200" s="518" t="str">
        <f>IF(AND(_1="A-330-300",'2026'!$I$4="CA",'2026'!$I$2=X195),'2026DATA'!$I$7,"")</f>
        <v/>
      </c>
      <c r="Y200" s="518" t="str">
        <f>IF(AND(_1="A-330-300",'2026'!$I$4="CA",'2026'!$I$2=Y195),'2026DATA'!$J$7,"")</f>
        <v/>
      </c>
      <c r="Z200" s="518" t="str">
        <f>IF(AND(_1="A-330-300",'2026'!$I$4="CA",'2026'!$I$2=Z195),'2026DATA'!$K$7,"")</f>
        <v/>
      </c>
      <c r="AA200" s="518" t="str">
        <f>IF(AND(_1="A-330-300",'2026'!$I$4="CA",'2026'!$I$2=AA195),'2026DATA'!$L$7,"")</f>
        <v/>
      </c>
      <c r="AB200" s="518" t="str">
        <f>IF(AND(_1="A-330-300",'2026'!$I$4="CA",'2026'!$I$2=AB195),'2026DATA'!$M$7,"")</f>
        <v/>
      </c>
      <c r="AC200" s="520" t="str">
        <f>IF(AND(_1="A-330-300",'2026'!$I$4="CA",'2026'!$I$2=AC195),'2026DATA'!$N$7,"")</f>
        <v/>
      </c>
      <c r="AD200" s="940" t="s">
        <v>64</v>
      </c>
      <c r="AE200" s="13" t="s">
        <v>61</v>
      </c>
      <c r="AF200" s="518" t="str">
        <f>IF(AND(_2="A-330-300",'2026'!$I$4="CA",'2026'!$I$2=AF195),'2026DATA'!$C$7,"")</f>
        <v/>
      </c>
      <c r="AG200" s="518" t="str">
        <f>IF(AND(_2="A-330-300",'2026'!$I$4="CA",'2026'!$I$2=AG195),'2026DATA'!$D$7,"")</f>
        <v/>
      </c>
      <c r="AH200" s="518" t="str">
        <f>IF(AND(_2="A-330-300",'2026'!$I$4="CA",'2026'!$I$2=AH195),'2026DATA'!$E$7,"")</f>
        <v/>
      </c>
      <c r="AI200" s="518" t="str">
        <f>IF(AND(_2="A-330-300",'2026'!$I$4="CA",'2026'!$I$2=AI195),'2026DATA'!$F$7,"")</f>
        <v/>
      </c>
      <c r="AJ200" s="518" t="str">
        <f>IF(AND(_2="A-330-300",'2026'!$I$4="CA",'2026'!$I$2=AJ195),'2026DATA'!$G$7,"")</f>
        <v/>
      </c>
      <c r="AK200" s="518" t="str">
        <f>IF(AND(_2="A-330-300",'2026'!$I$4="CA",'2026'!$I$2=AK195),'2026DATA'!$H$7,"")</f>
        <v/>
      </c>
      <c r="AL200" s="518" t="str">
        <f>IF(AND(_2="A-330-300",'2026'!$I$4="CA",'2026'!$I$2=AL195),'2026DATA'!$I$7,"")</f>
        <v/>
      </c>
      <c r="AM200" s="518" t="str">
        <f>IF(AND(_2="A-330-300",'2026'!$I$4="CA",'2026'!$I$2=AM195),'2026DATA'!$J$7,"")</f>
        <v/>
      </c>
      <c r="AN200" s="518" t="str">
        <f>IF(AND(_2="A-330-300",'2026'!$I$4="CA",'2026'!$I$2=AN195),'2026DATA'!$K$7,"")</f>
        <v/>
      </c>
      <c r="AO200" s="518" t="str">
        <f>IF(AND(_2="A-330-300",'2026'!$I$4="CA",'2026'!$I$2=AO195),'2026DATA'!$L$7,"")</f>
        <v/>
      </c>
      <c r="AP200" s="518" t="str">
        <f>IF(AND(_2="A-330-300",'2026'!$I$4="CA",'2026'!$I$2=AP195),'2026DATA'!$M$7,"")</f>
        <v/>
      </c>
      <c r="AQ200" s="520" t="str">
        <f>IF(AND(_2="A-330-300",'2026'!$I$4="CA",'2026'!$I$2=AQ195),'2026DATA'!$N$7,"")</f>
        <v/>
      </c>
      <c r="AR200" s="940" t="s">
        <v>64</v>
      </c>
      <c r="AS200" s="13" t="s">
        <v>61</v>
      </c>
      <c r="AT200" s="518" t="str">
        <f>IF(AND(_3="A-330-300",'2026'!$I$4="CA",'2026'!$I$2=AT195),'2026DATA'!$C$7,"")</f>
        <v/>
      </c>
      <c r="AU200" s="518" t="str">
        <f>IF(AND(_3="A-330-300",'2026'!$I$4="CA",'2026'!$I$2=AU195),'2026DATA'!$D$7,"")</f>
        <v/>
      </c>
      <c r="AV200" s="518" t="str">
        <f>IF(AND(_3="A-330-300",'2026'!$I$4="CA",'2026'!$I$2=AV195),'2026DATA'!$E$7,"")</f>
        <v/>
      </c>
      <c r="AW200" s="518" t="str">
        <f>IF(AND(_3="A-330-300",'2026'!$I$4="CA",'2026'!$I$2=AW195),'2026DATA'!$F$7,"")</f>
        <v/>
      </c>
      <c r="AX200" s="518" t="str">
        <f>IF(AND(_3="A-330-300",'2026'!$I$4="CA",'2026'!$I$2=AX195),'2026DATA'!$G$7,"")</f>
        <v/>
      </c>
      <c r="AY200" s="518" t="str">
        <f>IF(AND(_3="A-330-300",'2026'!$I$4="CA",'2026'!$I$2=AY195),'2026DATA'!$H$7,"")</f>
        <v/>
      </c>
      <c r="AZ200" s="518" t="str">
        <f>IF(AND(_3="A-330-300",'2026'!$I$4="CA",'2026'!$I$2=AZ195),'2026DATA'!$I$7,"")</f>
        <v/>
      </c>
      <c r="BA200" s="518" t="str">
        <f>IF(AND(_3="A-330-300",'2026'!$I$4="CA",'2026'!$I$2=BA195),'2026DATA'!$J$7,"")</f>
        <v/>
      </c>
      <c r="BB200" s="518" t="str">
        <f>IF(AND(_3="A-330-300",'2026'!$I$4="CA",'2026'!$I$2=BB195),'2026DATA'!$K$7,"")</f>
        <v/>
      </c>
      <c r="BC200" s="518" t="str">
        <f>IF(AND(_3="A-330-300",'2026'!$I$4="CA",'2026'!$I$2=BC195),'2026DATA'!$L$7,"")</f>
        <v/>
      </c>
      <c r="BD200" s="518" t="str">
        <f>IF(AND(_3="A-330-300",'2026'!$I$4="CA",'2026'!$I$2=BD195),'2026DATA'!$M$7,"")</f>
        <v/>
      </c>
      <c r="BE200" s="520" t="str">
        <f>IF(AND(_3="A-330-300",'2026'!$I$4="CA",'2026'!$I$2=BE195),'2026DATA'!$N$7,"")</f>
        <v/>
      </c>
      <c r="BF200" s="940" t="s">
        <v>64</v>
      </c>
      <c r="BG200" s="13" t="s">
        <v>61</v>
      </c>
      <c r="BH200" s="518" t="str">
        <f>IF(AND(_4="A-330-300",'2026'!$I$4="CA",'2026'!$I$2=BH195),'2026DATA'!$C$7,"")</f>
        <v/>
      </c>
      <c r="BI200" s="518" t="str">
        <f>IF(AND(_4="A-330-300",'2026'!$I$4="CA",'2026'!$I$2=BI195),'2026DATA'!$D$7,"")</f>
        <v/>
      </c>
      <c r="BJ200" s="518" t="str">
        <f>IF(AND(_4="A-330-300",'2026'!$I$4="CA",'2026'!$I$2=BJ195),'2026DATA'!$E$7,"")</f>
        <v/>
      </c>
      <c r="BK200" s="518" t="str">
        <f>IF(AND(_4="A-330-300",'2026'!$I$4="CA",'2026'!$I$2=BK195),'2026DATA'!$F$7,"")</f>
        <v/>
      </c>
      <c r="BL200" s="518" t="str">
        <f>IF(AND(_4="A-330-300",'2026'!$I$4="CA",'2026'!$I$2=BL195),'2026DATA'!$G$7,"")</f>
        <v/>
      </c>
      <c r="BM200" s="518" t="str">
        <f>IF(AND(_4="A-330-300",'2026'!$I$4="CA",'2026'!$I$2=BM195),'2026DATA'!$H$7,"")</f>
        <v/>
      </c>
      <c r="BN200" s="518" t="str">
        <f>IF(AND(_4="A-330-300",'2026'!$I$4="CA",'2026'!$I$2=BN195),'2026DATA'!$I$7,"")</f>
        <v/>
      </c>
      <c r="BO200" s="518" t="str">
        <f>IF(AND(_4="A-330-300",'2026'!$I$4="CA",'2026'!$I$2=BO195),'2026DATA'!$J$7,"")</f>
        <v/>
      </c>
      <c r="BP200" s="518" t="str">
        <f>IF(AND(_4="A-330-300",'2026'!$I$4="CA",'2026'!$I$2=BP195),'2026DATA'!$K$7,"")</f>
        <v/>
      </c>
      <c r="BQ200" s="518" t="str">
        <f>IF(AND(_4="A-330-300",'2026'!$I$4="CA",'2026'!$I$2=BQ195),'2026DATA'!$L$7,"")</f>
        <v/>
      </c>
      <c r="BR200" s="518" t="str">
        <f>IF(AND(_4="A-330-300",'2026'!$I$4="CA",'2026'!$I$2=BR195),'2026DATA'!$M$7,"")</f>
        <v/>
      </c>
      <c r="BS200" s="520" t="str">
        <f>IF(AND(_4="A-330-300",'2026'!$I$4="CA",'2026'!$I$2=BS195),'2026DATA'!$N$7,"")</f>
        <v/>
      </c>
      <c r="BT200" s="940" t="s">
        <v>64</v>
      </c>
      <c r="BU200" s="13" t="s">
        <v>61</v>
      </c>
      <c r="BV200" s="518" t="str">
        <f>IF(AND(_5="A-330-300",'2026'!$I$4="CA",'2026'!$I$2=BV195),'2026DATA'!$C$7,"")</f>
        <v/>
      </c>
      <c r="BW200" s="518" t="str">
        <f>IF(AND(_5="A-330-300",'2026'!$I$4="CA",'2026'!$I$2=BW195),'2026DATA'!$D$7,"")</f>
        <v/>
      </c>
      <c r="BX200" s="518" t="str">
        <f>IF(AND(_5="A-330-300",'2026'!$I$4="CA",'2026'!$I$2=BX195),'2026DATA'!$E$7,"")</f>
        <v/>
      </c>
      <c r="BY200" s="518" t="str">
        <f>IF(AND(_5="A-330-300",'2026'!$I$4="CA",'2026'!$I$2=BY195),'2026DATA'!$F$7,"")</f>
        <v/>
      </c>
      <c r="BZ200" s="518" t="str">
        <f>IF(AND(_5="A-330-300",'2026'!$I$4="CA",'2026'!$I$2=BZ195),'2026DATA'!$G$7,"")</f>
        <v/>
      </c>
      <c r="CA200" s="518" t="str">
        <f>IF(AND(_5="A-330-300",'2026'!$I$4="CA",'2026'!$I$2=CA195),'2026DATA'!$H$7,"")</f>
        <v/>
      </c>
      <c r="CB200" s="518" t="str">
        <f>IF(AND(_5="A-330-300",'2026'!$I$4="CA",'2026'!$I$2=CB195),'2026DATA'!$I$7,"")</f>
        <v/>
      </c>
      <c r="CC200" s="518" t="str">
        <f>IF(AND(_5="A-330-300",'2026'!$I$4="CA",'2026'!$I$2=CC195),'2026DATA'!$J$7,"")</f>
        <v/>
      </c>
      <c r="CD200" s="518" t="str">
        <f>IF(AND(_5="A-330-300",'2026'!$I$4="CA",'2026'!$I$2=CD195),'2026DATA'!$K$7,"")</f>
        <v/>
      </c>
      <c r="CE200" s="518" t="str">
        <f>IF(AND(_5="A-330-300",'2026'!$I$4="CA",'2026'!$I$2=CE195),'2026DATA'!$L$7,"")</f>
        <v/>
      </c>
      <c r="CF200" s="518" t="str">
        <f>IF(AND(_5="A-330-300",'2026'!$I$4="CA",'2026'!$I$2=CF195),'2026DATA'!$M$7,"")</f>
        <v/>
      </c>
      <c r="CG200" s="520" t="str">
        <f>IF(AND(_5="A-330-300",'2026'!$I$4="CA",'2026'!$I$2=CG195),'2026DATA'!$N$7,"")</f>
        <v/>
      </c>
      <c r="CH200" s="940" t="s">
        <v>64</v>
      </c>
      <c r="CI200" s="13" t="s">
        <v>61</v>
      </c>
      <c r="CJ200" s="518" t="str">
        <f>IF(AND(_6="A-330-300",'2026'!$I$4="CA",'2026'!$I$2=CJ195),'2026DATA'!$C$7,"")</f>
        <v/>
      </c>
      <c r="CK200" s="518" t="str">
        <f>IF(AND(_6="A-330-300",'2026'!$I$4="CA",'2026'!$I$2=CK195),'2026DATA'!$D$7,"")</f>
        <v/>
      </c>
      <c r="CL200" s="518" t="str">
        <f>IF(AND(_6="A-330-300",'2026'!$I$4="CA",'2026'!$I$2=CL195),'2026DATA'!$E$7,"")</f>
        <v/>
      </c>
      <c r="CM200" s="518" t="str">
        <f>IF(AND(_6="A-330-300",'2026'!$I$4="CA",'2026'!$I$2=CM195),'2026DATA'!$F$7,"")</f>
        <v/>
      </c>
      <c r="CN200" s="518" t="str">
        <f>IF(AND(_6="A-330-300",'2026'!$I$4="CA",'2026'!$I$2=CN195),'2026DATA'!$G$7,"")</f>
        <v/>
      </c>
      <c r="CO200" s="518" t="str">
        <f>IF(AND(_6="A-330-300",'2026'!$I$4="CA",'2026'!$I$2=CO195),'2026DATA'!$H$7,"")</f>
        <v/>
      </c>
      <c r="CP200" s="518" t="str">
        <f>IF(AND(_6="A-330-300",'2026'!$I$4="CA",'2026'!$I$2=CP195),'2026DATA'!$I$7,"")</f>
        <v/>
      </c>
      <c r="CQ200" s="518" t="str">
        <f>IF(AND(_6="A-330-300",'2026'!$I$4="CA",'2026'!$I$2=CQ195),'2026DATA'!$J$7,"")</f>
        <v/>
      </c>
      <c r="CR200" s="518" t="str">
        <f>IF(AND(_6="A-330-300",'2026'!$I$4="CA",'2026'!$I$2=CR195),'2026DATA'!$K$7,"")</f>
        <v/>
      </c>
      <c r="CS200" s="518" t="str">
        <f>IF(AND(_6="A-330-300",'2026'!$I$4="CA",'2026'!$I$2=CS195),'2026DATA'!$L$7,"")</f>
        <v/>
      </c>
      <c r="CT200" s="518" t="str">
        <f>IF(AND(_6="A-330-300",'2026'!$I$4="CA",'2026'!$I$2=CT195),'2026DATA'!$M$7,"")</f>
        <v/>
      </c>
      <c r="CU200" s="520" t="str">
        <f>IF(AND(_6="A-330-300",'2026'!$I$4="CA",'2026'!$I$2=CU195),'2026DATA'!$N$7,"")</f>
        <v/>
      </c>
    </row>
    <row r="201" spans="16:99" x14ac:dyDescent="0.25">
      <c r="P201" s="940"/>
      <c r="Q201" s="13" t="s">
        <v>62</v>
      </c>
      <c r="R201" s="518" t="str">
        <f>IF(AND(_1="A-330-300",'2026'!$I$4="FO",'2026'!$I$2=R195),'2026DATA'!$C$8,"")</f>
        <v/>
      </c>
      <c r="S201" s="518" t="str">
        <f>IF(AND(_1="A-330-300",'2026'!$I$4="FO",'2026'!$I$2=S195),'2026DATA'!$D$8,"")</f>
        <v/>
      </c>
      <c r="T201" s="518" t="str">
        <f>IF(AND(_1="A-330-300",'2026'!$I$4="FO",'2026'!$I$2=T195),'2026DATA'!$E$8,"")</f>
        <v/>
      </c>
      <c r="U201" s="518" t="str">
        <f>IF(AND(_1="A-330-300",'2026'!$I$4="FO",'2026'!$I$2=U195),'2026DATA'!$F$8,"")</f>
        <v/>
      </c>
      <c r="V201" s="518" t="str">
        <f>IF(AND(_1="A-330-300",'2026'!$I$4="FO",'2026'!$I$2=V195),'2026DATA'!$G$8,"")</f>
        <v/>
      </c>
      <c r="W201" s="518" t="str">
        <f>IF(AND(_1="A-330-300",'2026'!$I$4="FO",'2026'!$I$2=W195),'2026DATA'!$H$8,"")</f>
        <v/>
      </c>
      <c r="X201" s="518" t="str">
        <f>IF(AND(_1="A-330-300",'2026'!$I$4="FO",'2026'!$I$2=X195),'2026DATA'!$I$8,"")</f>
        <v/>
      </c>
      <c r="Y201" s="518" t="str">
        <f>IF(AND(_1="A-330-300",'2026'!$I$4="FO",'2026'!$I$2=Y195),'2026DATA'!$J$8,"")</f>
        <v/>
      </c>
      <c r="Z201" s="518" t="str">
        <f>IF(AND(_1="A-330-300",'2026'!$I$4="FO",'2026'!$I$2=Z195),'2026DATA'!$K$8,"")</f>
        <v/>
      </c>
      <c r="AA201" s="518" t="str">
        <f>IF(AND(_1="A-330-300",'2026'!$I$4="FO",'2026'!$I$2=AA195),'2026DATA'!$L$8,"")</f>
        <v/>
      </c>
      <c r="AB201" s="518" t="str">
        <f>IF(AND(_1="A-330-300",'2026'!$I$4="FO",'2026'!$I$2=AB195),'2026DATA'!$M$8,"")</f>
        <v/>
      </c>
      <c r="AC201" s="520" t="str">
        <f>IF(AND(_1="A-330-300",'2026'!$I$4="FO",'2026'!$I$2=AC195),'2026DATA'!$N$8,"")</f>
        <v/>
      </c>
      <c r="AD201" s="940"/>
      <c r="AE201" s="13" t="s">
        <v>62</v>
      </c>
      <c r="AF201" s="518" t="str">
        <f>IF(AND(_2="A-330-300",'2026'!$I$4="FO",'2026'!$I$2=AF195),'2026DATA'!$C$8,"")</f>
        <v/>
      </c>
      <c r="AG201" s="518" t="str">
        <f>IF(AND(_2="A-330-300",'2026'!$I$4="FO",'2026'!$I$2=AG195),'2026DATA'!$D$8,"")</f>
        <v/>
      </c>
      <c r="AH201" s="518" t="str">
        <f>IF(AND(_2="A-330-300",'2026'!$I$4="FO",'2026'!$I$2=AH195),'2026DATA'!$E$8,"")</f>
        <v/>
      </c>
      <c r="AI201" s="518" t="str">
        <f>IF(AND(_2="A-330-300",'2026'!$I$4="FO",'2026'!$I$2=AI195),'2026DATA'!$F$8,"")</f>
        <v/>
      </c>
      <c r="AJ201" s="518" t="str">
        <f>IF(AND(_2="A-330-300",'2026'!$I$4="FO",'2026'!$I$2=AJ195),'2026DATA'!$G$8,"")</f>
        <v/>
      </c>
      <c r="AK201" s="518" t="str">
        <f>IF(AND(_2="A-330-300",'2026'!$I$4="FO",'2026'!$I$2=AK195),'2026DATA'!$H$8,"")</f>
        <v/>
      </c>
      <c r="AL201" s="518" t="str">
        <f>IF(AND(_2="A-330-300",'2026'!$I$4="FO",'2026'!$I$2=AL195),'2026DATA'!$I$8,"")</f>
        <v/>
      </c>
      <c r="AM201" s="518" t="str">
        <f>IF(AND(_2="A-330-300",'2026'!$I$4="FO",'2026'!$I$2=AM195),'2026DATA'!$J$8,"")</f>
        <v/>
      </c>
      <c r="AN201" s="518" t="str">
        <f>IF(AND(_2="A-330-300",'2026'!$I$4="FO",'2026'!$I$2=AN195),'2026DATA'!$K$8,"")</f>
        <v/>
      </c>
      <c r="AO201" s="518" t="str">
        <f>IF(AND(_2="A-330-300",'2026'!$I$4="FO",'2026'!$I$2=AO195),'2026DATA'!$L$8,"")</f>
        <v/>
      </c>
      <c r="AP201" s="518" t="str">
        <f>IF(AND(_2="A-330-300",'2026'!$I$4="FO",'2026'!$I$2=AP195),'2026DATA'!$M$8,"")</f>
        <v/>
      </c>
      <c r="AQ201" s="520" t="str">
        <f>IF(AND(_2="A-330-300",'2026'!$I$4="FO",'2026'!$I$2=AQ195),'2026DATA'!$N$8,"")</f>
        <v/>
      </c>
      <c r="AR201" s="940"/>
      <c r="AS201" s="13" t="s">
        <v>62</v>
      </c>
      <c r="AT201" s="518" t="str">
        <f>IF(AND(_3="A-330-300",'2026'!$I$4="FO",'2026'!$I$2=AT195),'2026DATA'!$C$8,"")</f>
        <v/>
      </c>
      <c r="AU201" s="518" t="str">
        <f>IF(AND(_3="A-330-300",'2026'!$I$4="FO",'2026'!$I$2=AU195),'2026DATA'!$D$8,"")</f>
        <v/>
      </c>
      <c r="AV201" s="518" t="str">
        <f>IF(AND(_3="A-330-300",'2026'!$I$4="FO",'2026'!$I$2=AV195),'2026DATA'!$E$8,"")</f>
        <v/>
      </c>
      <c r="AW201" s="518" t="str">
        <f>IF(AND(_3="A-330-300",'2026'!$I$4="FO",'2026'!$I$2=AW195),'2026DATA'!$F$8,"")</f>
        <v/>
      </c>
      <c r="AX201" s="518" t="str">
        <f>IF(AND(_3="A-330-300",'2026'!$I$4="FO",'2026'!$I$2=AX195),'2026DATA'!$G$8,"")</f>
        <v/>
      </c>
      <c r="AY201" s="518" t="str">
        <f>IF(AND(_3="A-330-300",'2026'!$I$4="FO",'2026'!$I$2=AY195),'2026DATA'!$H$8,"")</f>
        <v/>
      </c>
      <c r="AZ201" s="518" t="str">
        <f>IF(AND(_3="A-330-300",'2026'!$I$4="FO",'2026'!$I$2=AZ195),'2026DATA'!$I$8,"")</f>
        <v/>
      </c>
      <c r="BA201" s="518" t="str">
        <f>IF(AND(_3="A-330-300",'2026'!$I$4="FO",'2026'!$I$2=BA195),'2026DATA'!$J$8,"")</f>
        <v/>
      </c>
      <c r="BB201" s="518" t="str">
        <f>IF(AND(_3="A-330-300",'2026'!$I$4="FO",'2026'!$I$2=BB195),'2026DATA'!$K$8,"")</f>
        <v/>
      </c>
      <c r="BC201" s="518" t="str">
        <f>IF(AND(_3="A-330-300",'2026'!$I$4="FO",'2026'!$I$2=BC195),'2026DATA'!$L$8,"")</f>
        <v/>
      </c>
      <c r="BD201" s="518" t="str">
        <f>IF(AND(_3="A-330-300",'2026'!$I$4="FO",'2026'!$I$2=BD195),'2026DATA'!$M$8,"")</f>
        <v/>
      </c>
      <c r="BE201" s="520" t="str">
        <f>IF(AND(_3="A-330-300",'2026'!$I$4="FO",'2026'!$I$2=BE195),'2026DATA'!$N$8,"")</f>
        <v/>
      </c>
      <c r="BF201" s="940"/>
      <c r="BG201" s="13" t="s">
        <v>62</v>
      </c>
      <c r="BH201" s="518" t="str">
        <f>IF(AND(_4="A-330-300",'2026'!$I$4="FO",'2026'!$I$2=BH195),'2026DATA'!$C$8,"")</f>
        <v/>
      </c>
      <c r="BI201" s="518" t="str">
        <f>IF(AND(_4="A-330-300",'2026'!$I$4="FO",'2026'!$I$2=BI195),'2026DATA'!$D$8,"")</f>
        <v/>
      </c>
      <c r="BJ201" s="518" t="str">
        <f>IF(AND(_4="A-330-300",'2026'!$I$4="FO",'2026'!$I$2=BJ195),'2026DATA'!$E$8,"")</f>
        <v/>
      </c>
      <c r="BK201" s="518" t="str">
        <f>IF(AND(_4="A-330-300",'2026'!$I$4="FO",'2026'!$I$2=BK195),'2026DATA'!$F$8,"")</f>
        <v/>
      </c>
      <c r="BL201" s="518" t="str">
        <f>IF(AND(_4="A-330-300",'2026'!$I$4="FO",'2026'!$I$2=BL195),'2026DATA'!$G$8,"")</f>
        <v/>
      </c>
      <c r="BM201" s="518" t="str">
        <f>IF(AND(_4="A-330-300",'2026'!$I$4="FO",'2026'!$I$2=BM195),'2026DATA'!$H$8,"")</f>
        <v/>
      </c>
      <c r="BN201" s="518" t="str">
        <f>IF(AND(_4="A-330-300",'2026'!$I$4="FO",'2026'!$I$2=BN195),'2026DATA'!$I$8,"")</f>
        <v/>
      </c>
      <c r="BO201" s="518" t="str">
        <f>IF(AND(_4="A-330-300",'2026'!$I$4="FO",'2026'!$I$2=BO195),'2026DATA'!$J$8,"")</f>
        <v/>
      </c>
      <c r="BP201" s="518" t="str">
        <f>IF(AND(_4="A-330-300",'2026'!$I$4="FO",'2026'!$I$2=BP195),'2026DATA'!$K$8,"")</f>
        <v/>
      </c>
      <c r="BQ201" s="518" t="str">
        <f>IF(AND(_4="A-330-300",'2026'!$I$4="FO",'2026'!$I$2=BQ195),'2026DATA'!$L$8,"")</f>
        <v/>
      </c>
      <c r="BR201" s="518" t="str">
        <f>IF(AND(_4="A-330-300",'2026'!$I$4="FO",'2026'!$I$2=BR195),'2026DATA'!$M$8,"")</f>
        <v/>
      </c>
      <c r="BS201" s="520" t="str">
        <f>IF(AND(_4="A-330-300",'2026'!$I$4="FO",'2026'!$I$2=BS195),'2026DATA'!$N$8,"")</f>
        <v/>
      </c>
      <c r="BT201" s="940"/>
      <c r="BU201" s="13" t="s">
        <v>62</v>
      </c>
      <c r="BV201" s="518" t="str">
        <f>IF(AND(_5="A-330-300",'2026'!$I$4="FO",'2026'!$I$2=BV195),'2026DATA'!$C$8,"")</f>
        <v/>
      </c>
      <c r="BW201" s="518" t="str">
        <f>IF(AND(_5="A-330-300",'2026'!$I$4="FO",'2026'!$I$2=BW195),'2026DATA'!$D$8,"")</f>
        <v/>
      </c>
      <c r="BX201" s="518" t="str">
        <f>IF(AND(_5="A-330-300",'2026'!$I$4="FO",'2026'!$I$2=BX195),'2026DATA'!$E$8,"")</f>
        <v/>
      </c>
      <c r="BY201" s="518" t="str">
        <f>IF(AND(_5="A-330-300",'2026'!$I$4="FO",'2026'!$I$2=BY195),'2026DATA'!$F$8,"")</f>
        <v/>
      </c>
      <c r="BZ201" s="518" t="str">
        <f>IF(AND(_5="A-330-300",'2026'!$I$4="FO",'2026'!$I$2=BZ195),'2026DATA'!$G$8,"")</f>
        <v/>
      </c>
      <c r="CA201" s="518" t="str">
        <f>IF(AND(_5="A-330-300",'2026'!$I$4="FO",'2026'!$I$2=CA195),'2026DATA'!$H$8,"")</f>
        <v/>
      </c>
      <c r="CB201" s="518" t="str">
        <f>IF(AND(_5="A-330-300",'2026'!$I$4="FO",'2026'!$I$2=CB195),'2026DATA'!$I$8,"")</f>
        <v/>
      </c>
      <c r="CC201" s="518" t="str">
        <f>IF(AND(_5="A-330-300",'2026'!$I$4="FO",'2026'!$I$2=CC195),'2026DATA'!$J$8,"")</f>
        <v/>
      </c>
      <c r="CD201" s="518" t="str">
        <f>IF(AND(_5="A-330-300",'2026'!$I$4="FO",'2026'!$I$2=CD195),'2026DATA'!$K$8,"")</f>
        <v/>
      </c>
      <c r="CE201" s="518" t="str">
        <f>IF(AND(_5="A-330-300",'2026'!$I$4="FO",'2026'!$I$2=CE195),'2026DATA'!$L$8,"")</f>
        <v/>
      </c>
      <c r="CF201" s="518" t="str">
        <f>IF(AND(_5="A-330-300",'2026'!$I$4="FO",'2026'!$I$2=CF195),'2026DATA'!$M$8,"")</f>
        <v/>
      </c>
      <c r="CG201" s="520" t="str">
        <f>IF(AND(_5="A-330-300",'2026'!$I$4="FO",'2026'!$I$2=CG195),'2026DATA'!$N$8,"")</f>
        <v/>
      </c>
      <c r="CH201" s="940"/>
      <c r="CI201" s="13" t="s">
        <v>62</v>
      </c>
      <c r="CJ201" s="518" t="str">
        <f>IF(AND(_6="A-330-300",'2026'!$I$4="FO",'2026'!$I$2=CJ195),'2026DATA'!$C$8,"")</f>
        <v/>
      </c>
      <c r="CK201" s="518" t="str">
        <f>IF(AND(_6="A-330-300",'2026'!$I$4="FO",'2026'!$I$2=CK195),'2026DATA'!$D$8,"")</f>
        <v/>
      </c>
      <c r="CL201" s="518" t="str">
        <f>IF(AND(_6="A-330-300",'2026'!$I$4="FO",'2026'!$I$2=CL195),'2026DATA'!$E$8,"")</f>
        <v/>
      </c>
      <c r="CM201" s="518" t="str">
        <f>IF(AND(_6="A-330-300",'2026'!$I$4="FO",'2026'!$I$2=CM195),'2026DATA'!$F$8,"")</f>
        <v/>
      </c>
      <c r="CN201" s="518" t="str">
        <f>IF(AND(_6="A-330-300",'2026'!$I$4="FO",'2026'!$I$2=CN195),'2026DATA'!$G$8,"")</f>
        <v/>
      </c>
      <c r="CO201" s="518" t="str">
        <f>IF(AND(_6="A-330-300",'2026'!$I$4="FO",'2026'!$I$2=CO195),'2026DATA'!$H$8,"")</f>
        <v/>
      </c>
      <c r="CP201" s="518" t="str">
        <f>IF(AND(_6="A-330-300",'2026'!$I$4="FO",'2026'!$I$2=CP195),'2026DATA'!$I$8,"")</f>
        <v/>
      </c>
      <c r="CQ201" s="518" t="str">
        <f>IF(AND(_6="A-330-300",'2026'!$I$4="FO",'2026'!$I$2=CQ195),'2026DATA'!$J$8,"")</f>
        <v/>
      </c>
      <c r="CR201" s="518" t="str">
        <f>IF(AND(_6="A-330-300",'2026'!$I$4="FO",'2026'!$I$2=CR195),'2026DATA'!$K$8,"")</f>
        <v/>
      </c>
      <c r="CS201" s="518" t="str">
        <f>IF(AND(_6="A-330-300",'2026'!$I$4="FO",'2026'!$I$2=CS195),'2026DATA'!$L$8,"")</f>
        <v/>
      </c>
      <c r="CT201" s="518" t="str">
        <f>IF(AND(_6="A-330-300",'2026'!$I$4="FO",'2026'!$I$2=CT195),'2026DATA'!$M$8,"")</f>
        <v/>
      </c>
      <c r="CU201" s="520" t="str">
        <f>IF(AND(_6="A-330-300",'2026'!$I$4="FO",'2026'!$I$2=CU195),'2026DATA'!$N$8,"")</f>
        <v/>
      </c>
    </row>
    <row r="202" spans="16:99" x14ac:dyDescent="0.25">
      <c r="P202" s="940" t="s">
        <v>66</v>
      </c>
      <c r="Q202" s="13" t="s">
        <v>61</v>
      </c>
      <c r="R202" s="518" t="str">
        <f>IF(AND(_1="A-330-200",'2026'!$I$4="CA",'2026'!$I$2=R195),'2026DATA'!$C$9,"")</f>
        <v/>
      </c>
      <c r="S202" s="518" t="str">
        <f>IF(AND(_1="A-330-200",'2026'!$I$4="CA",'2026'!$I$2=S195),'2026DATA'!$D$9,"")</f>
        <v/>
      </c>
      <c r="T202" s="518" t="str">
        <f>IF(AND(_1="A-330-200",'2026'!$I$4="CA",'2026'!$I$2=T195),'2026DATA'!$E$9,"")</f>
        <v/>
      </c>
      <c r="U202" s="518" t="str">
        <f>IF(AND(_1="A-330-200",'2026'!$I$4="CA",'2026'!$I$2=U195),'2026DATA'!$F$9,"")</f>
        <v/>
      </c>
      <c r="V202" s="518" t="str">
        <f>IF(AND(_1="A-330-200",'2026'!$I$4="CA",'2026'!$I$2=V195),'2026DATA'!$G$9,"")</f>
        <v/>
      </c>
      <c r="W202" s="518" t="str">
        <f>IF(AND(_1="A-330-200",'2026'!$I$4="CA",'2026'!$I$2=W195),'2026DATA'!$H$9,"")</f>
        <v/>
      </c>
      <c r="X202" s="518" t="str">
        <f>IF(AND(_1="A-330-200",'2026'!$I$4="CA",'2026'!$I$2=X195),'2026DATA'!$I$9,"")</f>
        <v/>
      </c>
      <c r="Y202" s="518" t="str">
        <f>IF(AND(_1="A-330-200",'2026'!$I$4="CA",'2026'!$I$2=Y195),'2026DATA'!$J$9,"")</f>
        <v/>
      </c>
      <c r="Z202" s="518" t="str">
        <f>IF(AND(_1="A-330-200",'2026'!$I$4="CA",'2026'!$I$2=Z195),'2026DATA'!$K$9,"")</f>
        <v/>
      </c>
      <c r="AA202" s="518" t="str">
        <f>IF(AND(_1="A-330-200",'2026'!$I$4="CA",'2026'!$I$2=AA195),'2026DATA'!$L$9,"")</f>
        <v/>
      </c>
      <c r="AB202" s="518" t="str">
        <f>IF(AND(_1="A-330-200",'2026'!$I$4="CA",'2026'!$I$2=AB195),'2026DATA'!$M$9,"")</f>
        <v/>
      </c>
      <c r="AC202" s="520" t="str">
        <f>IF(AND(_1="A-330-200",'2026'!$I$4="CA",'2026'!$I$2=AC195),'2026DATA'!$N$9,"")</f>
        <v/>
      </c>
      <c r="AD202" s="940" t="s">
        <v>66</v>
      </c>
      <c r="AE202" s="13" t="s">
        <v>61</v>
      </c>
      <c r="AF202" s="518" t="str">
        <f>IF(AND(_2="A-330-200",'2026'!$I$4="CA",'2026'!$I$2=AF195),'2026DATA'!$C$9,"")</f>
        <v/>
      </c>
      <c r="AG202" s="518" t="str">
        <f>IF(AND(_2="A-330-200",'2026'!$I$4="CA",'2026'!$I$2=AG195),'2026DATA'!$D$9,"")</f>
        <v/>
      </c>
      <c r="AH202" s="518" t="str">
        <f>IF(AND(_2="A-330-200",'2026'!$I$4="CA",'2026'!$I$2=AH195),'2026DATA'!$E$9,"")</f>
        <v/>
      </c>
      <c r="AI202" s="518" t="str">
        <f>IF(AND(_2="A-330-200",'2026'!$I$4="CA",'2026'!$I$2=AI195),'2026DATA'!$F$9,"")</f>
        <v/>
      </c>
      <c r="AJ202" s="518" t="str">
        <f>IF(AND(_2="A-330-200",'2026'!$I$4="CA",'2026'!$I$2=AJ195),'2026DATA'!$G$9,"")</f>
        <v/>
      </c>
      <c r="AK202" s="518" t="str">
        <f>IF(AND(_2="A-330-200",'2026'!$I$4="CA",'2026'!$I$2=AK195),'2026DATA'!$H$9,"")</f>
        <v/>
      </c>
      <c r="AL202" s="518" t="str">
        <f>IF(AND(_2="A-330-200",'2026'!$I$4="CA",'2026'!$I$2=AL195),'2026DATA'!$I$9,"")</f>
        <v/>
      </c>
      <c r="AM202" s="518" t="str">
        <f>IF(AND(_2="A-330-200",'2026'!$I$4="CA",'2026'!$I$2=AM195),'2026DATA'!$J$9,"")</f>
        <v/>
      </c>
      <c r="AN202" s="518" t="str">
        <f>IF(AND(_2="A-330-200",'2026'!$I$4="CA",'2026'!$I$2=AN195),'2026DATA'!$K$9,"")</f>
        <v/>
      </c>
      <c r="AO202" s="518" t="str">
        <f>IF(AND(_2="A-330-200",'2026'!$I$4="CA",'2026'!$I$2=AO195),'2026DATA'!$L$9,"")</f>
        <v/>
      </c>
      <c r="AP202" s="518" t="str">
        <f>IF(AND(_2="A-330-200",'2026'!$I$4="CA",'2026'!$I$2=AP195),'2026DATA'!$M$9,"")</f>
        <v/>
      </c>
      <c r="AQ202" s="520" t="str">
        <f>IF(AND(_2="A-330-200",'2026'!$I$4="CA",'2026'!$I$2=AQ195),'2026DATA'!$N$9,"")</f>
        <v/>
      </c>
      <c r="AR202" s="940" t="s">
        <v>66</v>
      </c>
      <c r="AS202" s="13" t="s">
        <v>61</v>
      </c>
      <c r="AT202" s="518" t="str">
        <f>IF(AND(_3="A-330-200",'2026'!$I$4="CA",'2026'!$I$2=AT195),'2026DATA'!$C$9,"")</f>
        <v/>
      </c>
      <c r="AU202" s="518" t="str">
        <f>IF(AND(_3="A-330-200",'2026'!$I$4="CA",'2026'!$I$2=AU195),'2026DATA'!$D$9,"")</f>
        <v/>
      </c>
      <c r="AV202" s="518" t="str">
        <f>IF(AND(_3="A-330-200",'2026'!$I$4="CA",'2026'!$I$2=AV195),'2026DATA'!$E$9,"")</f>
        <v/>
      </c>
      <c r="AW202" s="518" t="str">
        <f>IF(AND(_3="A-330-200",'2026'!$I$4="CA",'2026'!$I$2=AW195),'2026DATA'!$F$9,"")</f>
        <v/>
      </c>
      <c r="AX202" s="518" t="str">
        <f>IF(AND(_3="A-330-200",'2026'!$I$4="CA",'2026'!$I$2=AX195),'2026DATA'!$G$9,"")</f>
        <v/>
      </c>
      <c r="AY202" s="518" t="str">
        <f>IF(AND(_3="A-330-200",'2026'!$I$4="CA",'2026'!$I$2=AY195),'2026DATA'!$H$9,"")</f>
        <v/>
      </c>
      <c r="AZ202" s="518" t="str">
        <f>IF(AND(_3="A-330-200",'2026'!$I$4="CA",'2026'!$I$2=AZ195),'2026DATA'!$I$9,"")</f>
        <v/>
      </c>
      <c r="BA202" s="518" t="str">
        <f>IF(AND(_3="A-330-200",'2026'!$I$4="CA",'2026'!$I$2=BA195),'2026DATA'!$J$9,"")</f>
        <v/>
      </c>
      <c r="BB202" s="518" t="str">
        <f>IF(AND(_3="A-330-200",'2026'!$I$4="CA",'2026'!$I$2=BB195),'2026DATA'!$K$9,"")</f>
        <v/>
      </c>
      <c r="BC202" s="518" t="str">
        <f>IF(AND(_3="A-330-200",'2026'!$I$4="CA",'2026'!$I$2=BC195),'2026DATA'!$L$9,"")</f>
        <v/>
      </c>
      <c r="BD202" s="518" t="str">
        <f>IF(AND(_3="A-330-200",'2026'!$I$4="CA",'2026'!$I$2=BD195),'2026DATA'!$M$9,"")</f>
        <v/>
      </c>
      <c r="BE202" s="520" t="str">
        <f>IF(AND(_3="A-330-200",'2026'!$I$4="CA",'2026'!$I$2=BE195),'2026DATA'!$N$9,"")</f>
        <v/>
      </c>
      <c r="BF202" s="940" t="s">
        <v>66</v>
      </c>
      <c r="BG202" s="13" t="s">
        <v>61</v>
      </c>
      <c r="BH202" s="518" t="str">
        <f>IF(AND(_4="A-330-200",'2026'!$I$4="CA",'2026'!$I$2=BH195),'2026DATA'!$C$9,"")</f>
        <v/>
      </c>
      <c r="BI202" s="518" t="str">
        <f>IF(AND(_4="A-330-200",'2026'!$I$4="CA",'2026'!$I$2=BI195),'2026DATA'!$D$9,"")</f>
        <v/>
      </c>
      <c r="BJ202" s="518" t="str">
        <f>IF(AND(_4="A-330-200",'2026'!$I$4="CA",'2026'!$I$2=BJ195),'2026DATA'!$E$9,"")</f>
        <v/>
      </c>
      <c r="BK202" s="518" t="str">
        <f>IF(AND(_4="A-330-200",'2026'!$I$4="CA",'2026'!$I$2=BK195),'2026DATA'!$F$9,"")</f>
        <v/>
      </c>
      <c r="BL202" s="518" t="str">
        <f>IF(AND(_4="A-330-200",'2026'!$I$4="CA",'2026'!$I$2=BL195),'2026DATA'!$G$9,"")</f>
        <v/>
      </c>
      <c r="BM202" s="518" t="str">
        <f>IF(AND(_4="A-330-200",'2026'!$I$4="CA",'2026'!$I$2=BM195),'2026DATA'!$H$9,"")</f>
        <v/>
      </c>
      <c r="BN202" s="518" t="str">
        <f>IF(AND(_4="A-330-200",'2026'!$I$4="CA",'2026'!$I$2=BN195),'2026DATA'!$I$9,"")</f>
        <v/>
      </c>
      <c r="BO202" s="518" t="str">
        <f>IF(AND(_4="A-330-200",'2026'!$I$4="CA",'2026'!$I$2=BO195),'2026DATA'!$J$9,"")</f>
        <v/>
      </c>
      <c r="BP202" s="518" t="str">
        <f>IF(AND(_4="A-330-200",'2026'!$I$4="CA",'2026'!$I$2=BP195),'2026DATA'!$K$9,"")</f>
        <v/>
      </c>
      <c r="BQ202" s="518" t="str">
        <f>IF(AND(_4="A-330-200",'2026'!$I$4="CA",'2026'!$I$2=BQ195),'2026DATA'!$L$9,"")</f>
        <v/>
      </c>
      <c r="BR202" s="518" t="str">
        <f>IF(AND(_4="A-330-200",'2026'!$I$4="CA",'2026'!$I$2=BR195),'2026DATA'!$M$9,"")</f>
        <v/>
      </c>
      <c r="BS202" s="520" t="str">
        <f>IF(AND(_4="A-330-200",'2026'!$I$4="CA",'2026'!$I$2=BS195),'2026DATA'!$N$9,"")</f>
        <v/>
      </c>
      <c r="BT202" s="940" t="s">
        <v>66</v>
      </c>
      <c r="BU202" s="13" t="s">
        <v>61</v>
      </c>
      <c r="BV202" s="518" t="str">
        <f>IF(AND(_5="A-330-200",'2026'!$I$4="CA",'2026'!$I$2=BV195),'2026DATA'!$C$9,"")</f>
        <v/>
      </c>
      <c r="BW202" s="518" t="str">
        <f>IF(AND(_5="A-330-200",'2026'!$I$4="CA",'2026'!$I$2=BW195),'2026DATA'!$D$9,"")</f>
        <v/>
      </c>
      <c r="BX202" s="518" t="str">
        <f>IF(AND(_5="A-330-200",'2026'!$I$4="CA",'2026'!$I$2=BX195),'2026DATA'!$E$9,"")</f>
        <v/>
      </c>
      <c r="BY202" s="518" t="str">
        <f>IF(AND(_5="A-330-200",'2026'!$I$4="CA",'2026'!$I$2=BY195),'2026DATA'!$F$9,"")</f>
        <v/>
      </c>
      <c r="BZ202" s="518" t="str">
        <f>IF(AND(_5="A-330-200",'2026'!$I$4="CA",'2026'!$I$2=BZ195),'2026DATA'!$G$9,"")</f>
        <v/>
      </c>
      <c r="CA202" s="518" t="str">
        <f>IF(AND(_5="A-330-200",'2026'!$I$4="CA",'2026'!$I$2=CA195),'2026DATA'!$H$9,"")</f>
        <v/>
      </c>
      <c r="CB202" s="518" t="str">
        <f>IF(AND(_5="A-330-200",'2026'!$I$4="CA",'2026'!$I$2=CB195),'2026DATA'!$I$9,"")</f>
        <v/>
      </c>
      <c r="CC202" s="518" t="str">
        <f>IF(AND(_5="A-330-200",'2026'!$I$4="CA",'2026'!$I$2=CC195),'2026DATA'!$J$9,"")</f>
        <v/>
      </c>
      <c r="CD202" s="518" t="str">
        <f>IF(AND(_5="A-330-200",'2026'!$I$4="CA",'2026'!$I$2=CD195),'2026DATA'!$K$9,"")</f>
        <v/>
      </c>
      <c r="CE202" s="518" t="str">
        <f>IF(AND(_5="A-330-200",'2026'!$I$4="CA",'2026'!$I$2=CE195),'2026DATA'!$L$9,"")</f>
        <v/>
      </c>
      <c r="CF202" s="518" t="str">
        <f>IF(AND(_5="A-330-200",'2026'!$I$4="CA",'2026'!$I$2=CF195),'2026DATA'!$M$9,"")</f>
        <v/>
      </c>
      <c r="CG202" s="520" t="str">
        <f>IF(AND(_5="A-330-200",'2026'!$I$4="CA",'2026'!$I$2=CG195),'2026DATA'!$N$9,"")</f>
        <v/>
      </c>
      <c r="CH202" s="940" t="s">
        <v>66</v>
      </c>
      <c r="CI202" s="13" t="s">
        <v>61</v>
      </c>
      <c r="CJ202" s="518" t="str">
        <f>IF(AND(_6="A-330-200",'2026'!$I$4="CA",'2026'!$I$2=CJ195),'2026DATA'!$C$9,"")</f>
        <v/>
      </c>
      <c r="CK202" s="518" t="str">
        <f>IF(AND(_6="A-330-200",'2026'!$I$4="CA",'2026'!$I$2=CK195),'2026DATA'!$D$9,"")</f>
        <v/>
      </c>
      <c r="CL202" s="518" t="str">
        <f>IF(AND(_6="A-330-200",'2026'!$I$4="CA",'2026'!$I$2=CL195),'2026DATA'!$E$9,"")</f>
        <v/>
      </c>
      <c r="CM202" s="518" t="str">
        <f>IF(AND(_6="A-330-200",'2026'!$I$4="CA",'2026'!$I$2=CM195),'2026DATA'!$F$9,"")</f>
        <v/>
      </c>
      <c r="CN202" s="518" t="str">
        <f>IF(AND(_6="A-330-200",'2026'!$I$4="CA",'2026'!$I$2=CN195),'2026DATA'!$G$9,"")</f>
        <v/>
      </c>
      <c r="CO202" s="518" t="str">
        <f>IF(AND(_6="A-330-200",'2026'!$I$4="CA",'2026'!$I$2=CO195),'2026DATA'!$H$9,"")</f>
        <v/>
      </c>
      <c r="CP202" s="518" t="str">
        <f>IF(AND(_6="A-330-200",'2026'!$I$4="CA",'2026'!$I$2=CP195),'2026DATA'!$I$9,"")</f>
        <v/>
      </c>
      <c r="CQ202" s="518" t="str">
        <f>IF(AND(_6="A-330-200",'2026'!$I$4="CA",'2026'!$I$2=CQ195),'2026DATA'!$J$9,"")</f>
        <v/>
      </c>
      <c r="CR202" s="518" t="str">
        <f>IF(AND(_6="A-330-200",'2026'!$I$4="CA",'2026'!$I$2=CR195),'2026DATA'!$K$9,"")</f>
        <v/>
      </c>
      <c r="CS202" s="518" t="str">
        <f>IF(AND(_6="A-330-200",'2026'!$I$4="CA",'2026'!$I$2=CS195),'2026DATA'!$L$9,"")</f>
        <v/>
      </c>
      <c r="CT202" s="518" t="str">
        <f>IF(AND(_6="A-330-200",'2026'!$I$4="CA",'2026'!$I$2=CT195),'2026DATA'!$M$9,"")</f>
        <v/>
      </c>
      <c r="CU202" s="520" t="str">
        <f>IF(AND(_6="A-330-200",'2026'!$I$4="CA",'2026'!$I$2=CU195),'2026DATA'!$N$9,"")</f>
        <v/>
      </c>
    </row>
    <row r="203" spans="16:99" x14ac:dyDescent="0.25">
      <c r="P203" s="940"/>
      <c r="Q203" s="13" t="s">
        <v>62</v>
      </c>
      <c r="R203" s="518" t="str">
        <f>IF(AND(_1="A-330-200",'2026'!$I$4="FO",'2026'!$I$2=R195),'2026DATA'!$C$10,"")</f>
        <v/>
      </c>
      <c r="S203" s="518" t="str">
        <f>IF(AND(_1="A-330-200",'2026'!$I$4="FO",'2026'!$I$2=S195),'2026DATA'!$D$10,"")</f>
        <v/>
      </c>
      <c r="T203" s="518" t="str">
        <f>IF(AND(_1="A-330-200",'2026'!$I$4="FO",'2026'!$I$2=T195),'2026DATA'!$E$10,"")</f>
        <v/>
      </c>
      <c r="U203" s="518" t="str">
        <f>IF(AND(_1="A-330-200",'2026'!$I$4="FO",'2026'!$I$2=U195),'2026DATA'!$F$10,"")</f>
        <v/>
      </c>
      <c r="V203" s="518" t="str">
        <f>IF(AND(_1="A-330-200",'2026'!$I$4="FO",'2026'!$I$2=V195),'2026DATA'!$G$10,"")</f>
        <v/>
      </c>
      <c r="W203" s="518" t="str">
        <f>IF(AND(_1="A-330-200",'2026'!$I$4="FO",'2026'!$I$2=W195),'2026DATA'!$H$10,"")</f>
        <v/>
      </c>
      <c r="X203" s="518" t="str">
        <f>IF(AND(_1="A-330-200",'2026'!$I$4="FO",'2026'!$I$2=X195),'2026DATA'!$I$10,"")</f>
        <v/>
      </c>
      <c r="Y203" s="518" t="str">
        <f>IF(AND(_1="A-330-200",'2026'!$I$4="FO",'2026'!$I$2=Y195),'2026DATA'!$J$10,"")</f>
        <v/>
      </c>
      <c r="Z203" s="518" t="str">
        <f>IF(AND(_1="A-330-200",'2026'!$I$4="FO",'2026'!$I$2=Z195),'2026DATA'!$K$10,"")</f>
        <v/>
      </c>
      <c r="AA203" s="518" t="str">
        <f>IF(AND(_1="A-330-200",'2026'!$I$4="FO",'2026'!$I$2=AA195),'2026DATA'!$L$10,"")</f>
        <v/>
      </c>
      <c r="AB203" s="518" t="str">
        <f>IF(AND(_1="A-330-200",'2026'!$I$4="FO",'2026'!$I$2=AB195),'2026DATA'!$M$10,"")</f>
        <v/>
      </c>
      <c r="AC203" s="520" t="str">
        <f>IF(AND(_1="A-330-200",'2026'!$I$4="FO",'2026'!$I$2=AC195),'2026DATA'!$N$10,"")</f>
        <v/>
      </c>
      <c r="AD203" s="940"/>
      <c r="AE203" s="13" t="s">
        <v>62</v>
      </c>
      <c r="AF203" s="518" t="str">
        <f>IF(AND(_2="A-330-200",'2026'!$I$4="FO",'2026'!$I$2=AF195),'2026DATA'!$C$10,"")</f>
        <v/>
      </c>
      <c r="AG203" s="518" t="str">
        <f>IF(AND(_2="A-330-200",'2026'!$I$4="FO",'2026'!$I$2=AG195),'2026DATA'!$D$10,"")</f>
        <v/>
      </c>
      <c r="AH203" s="518" t="str">
        <f>IF(AND(_2="A-330-200",'2026'!$I$4="FO",'2026'!$I$2=AH195),'2026DATA'!$E$10,"")</f>
        <v/>
      </c>
      <c r="AI203" s="518" t="str">
        <f>IF(AND(_2="A-330-200",'2026'!$I$4="FO",'2026'!$I$2=AI195),'2026DATA'!$F$10,"")</f>
        <v/>
      </c>
      <c r="AJ203" s="518" t="str">
        <f>IF(AND(_2="A-330-200",'2026'!$I$4="FO",'2026'!$I$2=AJ195),'2026DATA'!$G$10,"")</f>
        <v/>
      </c>
      <c r="AK203" s="518" t="str">
        <f>IF(AND(_2="A-330-200",'2026'!$I$4="FO",'2026'!$I$2=AK195),'2026DATA'!$H$10,"")</f>
        <v/>
      </c>
      <c r="AL203" s="518" t="str">
        <f>IF(AND(_2="A-330-200",'2026'!$I$4="FO",'2026'!$I$2=AL195),'2026DATA'!$I$10,"")</f>
        <v/>
      </c>
      <c r="AM203" s="518" t="str">
        <f>IF(AND(_2="A-330-200",'2026'!$I$4="FO",'2026'!$I$2=AM195),'2026DATA'!$J$10,"")</f>
        <v/>
      </c>
      <c r="AN203" s="518" t="str">
        <f>IF(AND(_2="A-330-200",'2026'!$I$4="FO",'2026'!$I$2=AN195),'2026DATA'!$K$10,"")</f>
        <v/>
      </c>
      <c r="AO203" s="518" t="str">
        <f>IF(AND(_2="A-330-200",'2026'!$I$4="FO",'2026'!$I$2=AO195),'2026DATA'!$L$10,"")</f>
        <v/>
      </c>
      <c r="AP203" s="518" t="str">
        <f>IF(AND(_2="A-330-200",'2026'!$I$4="FO",'2026'!$I$2=AP195),'2026DATA'!$M$10,"")</f>
        <v/>
      </c>
      <c r="AQ203" s="520" t="str">
        <f>IF(AND(_2="A-330-200",'2026'!$I$4="FO",'2026'!$I$2=AQ195),'2026DATA'!$N$10,"")</f>
        <v/>
      </c>
      <c r="AR203" s="940"/>
      <c r="AS203" s="13" t="s">
        <v>62</v>
      </c>
      <c r="AT203" s="518" t="str">
        <f>IF(AND(_3="A-330-200",'2026'!$I$4="FO",'2026'!$I$2=AT195),'2026DATA'!$C$10,"")</f>
        <v/>
      </c>
      <c r="AU203" s="518" t="str">
        <f>IF(AND(_3="A-330-200",'2026'!$I$4="FO",'2026'!$I$2=AU195),'2026DATA'!$D$10,"")</f>
        <v/>
      </c>
      <c r="AV203" s="518" t="str">
        <f>IF(AND(_3="A-330-200",'2026'!$I$4="FO",'2026'!$I$2=AV195),'2026DATA'!$E$10,"")</f>
        <v/>
      </c>
      <c r="AW203" s="518" t="str">
        <f>IF(AND(_3="A-330-200",'2026'!$I$4="FO",'2026'!$I$2=AW195),'2026DATA'!$F$10,"")</f>
        <v/>
      </c>
      <c r="AX203" s="518" t="str">
        <f>IF(AND(_3="A-330-200",'2026'!$I$4="FO",'2026'!$I$2=AX195),'2026DATA'!$G$10,"")</f>
        <v/>
      </c>
      <c r="AY203" s="518" t="str">
        <f>IF(AND(_3="A-330-200",'2026'!$I$4="FO",'2026'!$I$2=AY195),'2026DATA'!$H$10,"")</f>
        <v/>
      </c>
      <c r="AZ203" s="518" t="str">
        <f>IF(AND(_3="A-330-200",'2026'!$I$4="FO",'2026'!$I$2=AZ195),'2026DATA'!$I$10,"")</f>
        <v/>
      </c>
      <c r="BA203" s="518" t="str">
        <f>IF(AND(_3="A-330-200",'2026'!$I$4="FO",'2026'!$I$2=BA195),'2026DATA'!$J$10,"")</f>
        <v/>
      </c>
      <c r="BB203" s="518" t="str">
        <f>IF(AND(_3="A-330-200",'2026'!$I$4="FO",'2026'!$I$2=BB195),'2026DATA'!$K$10,"")</f>
        <v/>
      </c>
      <c r="BC203" s="518" t="str">
        <f>IF(AND(_3="A-330-200",'2026'!$I$4="FO",'2026'!$I$2=BC195),'2026DATA'!$L$10,"")</f>
        <v/>
      </c>
      <c r="BD203" s="518" t="str">
        <f>IF(AND(_3="A-330-200",'2026'!$I$4="FO",'2026'!$I$2=BD195),'2026DATA'!$M$10,"")</f>
        <v/>
      </c>
      <c r="BE203" s="520" t="str">
        <f>IF(AND(_3="A-330-200",'2026'!$I$4="FO",'2026'!$I$2=BE195),'2026DATA'!$N$10,"")</f>
        <v/>
      </c>
      <c r="BF203" s="940"/>
      <c r="BG203" s="13" t="s">
        <v>62</v>
      </c>
      <c r="BH203" s="518" t="str">
        <f>IF(AND(_4="A-330-200",'2026'!$I$4="FO",'2026'!$I$2=BH195),'2026DATA'!$C$10,"")</f>
        <v/>
      </c>
      <c r="BI203" s="518" t="str">
        <f>IF(AND(_4="A-330-200",'2026'!$I$4="FO",'2026'!$I$2=BI195),'2026DATA'!$D$10,"")</f>
        <v/>
      </c>
      <c r="BJ203" s="518" t="str">
        <f>IF(AND(_4="A-330-200",'2026'!$I$4="FO",'2026'!$I$2=BJ195),'2026DATA'!$E$10,"")</f>
        <v/>
      </c>
      <c r="BK203" s="518" t="str">
        <f>IF(AND(_4="A-330-200",'2026'!$I$4="FO",'2026'!$I$2=BK195),'2026DATA'!$F$10,"")</f>
        <v/>
      </c>
      <c r="BL203" s="518" t="str">
        <f>IF(AND(_4="A-330-200",'2026'!$I$4="FO",'2026'!$I$2=BL195),'2026DATA'!$G$10,"")</f>
        <v/>
      </c>
      <c r="BM203" s="518" t="str">
        <f>IF(AND(_4="A-330-200",'2026'!$I$4="FO",'2026'!$I$2=BM195),'2026DATA'!$H$10,"")</f>
        <v/>
      </c>
      <c r="BN203" s="518" t="str">
        <f>IF(AND(_4="A-330-200",'2026'!$I$4="FO",'2026'!$I$2=BN195),'2026DATA'!$I$10,"")</f>
        <v/>
      </c>
      <c r="BO203" s="518" t="str">
        <f>IF(AND(_4="A-330-200",'2026'!$I$4="FO",'2026'!$I$2=BO195),'2026DATA'!$J$10,"")</f>
        <v/>
      </c>
      <c r="BP203" s="518" t="str">
        <f>IF(AND(_4="A-330-200",'2026'!$I$4="FO",'2026'!$I$2=BP195),'2026DATA'!$K$10,"")</f>
        <v/>
      </c>
      <c r="BQ203" s="518" t="str">
        <f>IF(AND(_4="A-330-200",'2026'!$I$4="FO",'2026'!$I$2=BQ195),'2026DATA'!$L$10,"")</f>
        <v/>
      </c>
      <c r="BR203" s="518" t="str">
        <f>IF(AND(_4="A-330-200",'2026'!$I$4="FO",'2026'!$I$2=BR195),'2026DATA'!$M$10,"")</f>
        <v/>
      </c>
      <c r="BS203" s="520" t="str">
        <f>IF(AND(_4="A-330-200",'2026'!$I$4="FO",'2026'!$I$2=BS195),'2026DATA'!$N$10,"")</f>
        <v/>
      </c>
      <c r="BT203" s="940"/>
      <c r="BU203" s="13" t="s">
        <v>62</v>
      </c>
      <c r="BV203" s="518" t="str">
        <f>IF(AND(_5="A-330-200",'2026'!$I$4="FO",'2026'!$I$2=BV195),'2026DATA'!$C$10,"")</f>
        <v/>
      </c>
      <c r="BW203" s="518" t="str">
        <f>IF(AND(_5="A-330-200",'2026'!$I$4="FO",'2026'!$I$2=BW195),'2026DATA'!$D$10,"")</f>
        <v/>
      </c>
      <c r="BX203" s="518" t="str">
        <f>IF(AND(_5="A-330-200",'2026'!$I$4="FO",'2026'!$I$2=BX195),'2026DATA'!$E$10,"")</f>
        <v/>
      </c>
      <c r="BY203" s="518" t="str">
        <f>IF(AND(_5="A-330-200",'2026'!$I$4="FO",'2026'!$I$2=BY195),'2026DATA'!$F$10,"")</f>
        <v/>
      </c>
      <c r="BZ203" s="518" t="str">
        <f>IF(AND(_5="A-330-200",'2026'!$I$4="FO",'2026'!$I$2=BZ195),'2026DATA'!$G$10,"")</f>
        <v/>
      </c>
      <c r="CA203" s="518" t="str">
        <f>IF(AND(_5="A-330-200",'2026'!$I$4="FO",'2026'!$I$2=CA195),'2026DATA'!$H$10,"")</f>
        <v/>
      </c>
      <c r="CB203" s="518" t="str">
        <f>IF(AND(_5="A-330-200",'2026'!$I$4="FO",'2026'!$I$2=CB195),'2026DATA'!$I$10,"")</f>
        <v/>
      </c>
      <c r="CC203" s="518" t="str">
        <f>IF(AND(_5="A-330-200",'2026'!$I$4="FO",'2026'!$I$2=CC195),'2026DATA'!$J$10,"")</f>
        <v/>
      </c>
      <c r="CD203" s="518" t="str">
        <f>IF(AND(_5="A-330-200",'2026'!$I$4="FO",'2026'!$I$2=CD195),'2026DATA'!$K$10,"")</f>
        <v/>
      </c>
      <c r="CE203" s="518" t="str">
        <f>IF(AND(_5="A-330-200",'2026'!$I$4="FO",'2026'!$I$2=CE195),'2026DATA'!$L$10,"")</f>
        <v/>
      </c>
      <c r="CF203" s="518" t="str">
        <f>IF(AND(_5="A-330-200",'2026'!$I$4="FO",'2026'!$I$2=CF195),'2026DATA'!$M$10,"")</f>
        <v/>
      </c>
      <c r="CG203" s="520" t="str">
        <f>IF(AND(_5="A-330-200",'2026'!$I$4="FO",'2026'!$I$2=CG195),'2026DATA'!$N$10,"")</f>
        <v/>
      </c>
      <c r="CH203" s="940"/>
      <c r="CI203" s="13" t="s">
        <v>62</v>
      </c>
      <c r="CJ203" s="518" t="str">
        <f>IF(AND(_6="A-330-200",'2026'!$I$4="FO",'2026'!$I$2=CJ195),'2026DATA'!$C$10,"")</f>
        <v/>
      </c>
      <c r="CK203" s="518" t="str">
        <f>IF(AND(_6="A-330-200",'2026'!$I$4="FO",'2026'!$I$2=CK195),'2026DATA'!$D$10,"")</f>
        <v/>
      </c>
      <c r="CL203" s="518" t="str">
        <f>IF(AND(_6="A-330-200",'2026'!$I$4="FO",'2026'!$I$2=CL195),'2026DATA'!$E$10,"")</f>
        <v/>
      </c>
      <c r="CM203" s="518" t="str">
        <f>IF(AND(_6="A-330-200",'2026'!$I$4="FO",'2026'!$I$2=CM195),'2026DATA'!$F$10,"")</f>
        <v/>
      </c>
      <c r="CN203" s="518" t="str">
        <f>IF(AND(_6="A-330-200",'2026'!$I$4="FO",'2026'!$I$2=CN195),'2026DATA'!$G$10,"")</f>
        <v/>
      </c>
      <c r="CO203" s="518" t="str">
        <f>IF(AND(_6="A-330-200",'2026'!$I$4="FO",'2026'!$I$2=CO195),'2026DATA'!$H$10,"")</f>
        <v/>
      </c>
      <c r="CP203" s="518" t="str">
        <f>IF(AND(_6="A-330-200",'2026'!$I$4="FO",'2026'!$I$2=CP195),'2026DATA'!$I$10,"")</f>
        <v/>
      </c>
      <c r="CQ203" s="518" t="str">
        <f>IF(AND(_6="A-330-200",'2026'!$I$4="FO",'2026'!$I$2=CQ195),'2026DATA'!$J$10,"")</f>
        <v/>
      </c>
      <c r="CR203" s="518" t="str">
        <f>IF(AND(_6="A-330-200",'2026'!$I$4="FO",'2026'!$I$2=CR195),'2026DATA'!$K$10,"")</f>
        <v/>
      </c>
      <c r="CS203" s="518" t="str">
        <f>IF(AND(_6="A-330-200",'2026'!$I$4="FO",'2026'!$I$2=CS195),'2026DATA'!$L$10,"")</f>
        <v/>
      </c>
      <c r="CT203" s="518" t="str">
        <f>IF(AND(_6="A-330-200",'2026'!$I$4="FO",'2026'!$I$2=CT195),'2026DATA'!$M$10,"")</f>
        <v/>
      </c>
      <c r="CU203" s="520" t="str">
        <f>IF(AND(_6="A-330-200",'2026'!$I$4="FO",'2026'!$I$2=CU195),'2026DATA'!$N$10,"")</f>
        <v/>
      </c>
    </row>
    <row r="204" spans="16:99" x14ac:dyDescent="0.25">
      <c r="P204" s="940" t="s">
        <v>42</v>
      </c>
      <c r="Q204" s="13" t="s">
        <v>61</v>
      </c>
      <c r="R204" s="518" t="str">
        <f>IF(AND(_1="B-767-400ER",'2026'!$I$4="CA",'2026'!$I$2=R195),'2026DATA'!$C$11,"")</f>
        <v/>
      </c>
      <c r="S204" s="518" t="str">
        <f>IF(AND(_1="B-767-400ER",'2026'!$I$4="CA",'2026'!$I$2=S195),'2026DATA'!$D$11,"")</f>
        <v/>
      </c>
      <c r="T204" s="518" t="str">
        <f>IF(AND(_1="B-767-400ER",'2026'!$I$4="CA",'2026'!$I$2=T195),'2026DATA'!$E$11,"")</f>
        <v/>
      </c>
      <c r="U204" s="518" t="str">
        <f>IF(AND(_1="B-767-400ER",'2026'!$I$4="CA",'2026'!$I$2=U195),'2026DATA'!$F$11,"")</f>
        <v/>
      </c>
      <c r="V204" s="518" t="str">
        <f>IF(AND(_1="B-767-400ER",'2026'!$I$4="CA",'2026'!$I$2=V195),'2026DATA'!$G$11,"")</f>
        <v/>
      </c>
      <c r="W204" s="518" t="str">
        <f>IF(AND(_1="B-767-400ER",'2026'!$I$4="CA",'2026'!$I$2=W195),'2026DATA'!$H$11,"")</f>
        <v/>
      </c>
      <c r="X204" s="518" t="str">
        <f>IF(AND(_1="B-767-400ER",'2026'!$I$4="CA",'2026'!$I$2=X195),'2026DATA'!$I$11,"")</f>
        <v/>
      </c>
      <c r="Y204" s="518" t="str">
        <f>IF(AND(_1="B-767-400ER",'2026'!$I$4="CA",'2026'!$I$2=Y195),'2026DATA'!$J$11,"")</f>
        <v/>
      </c>
      <c r="Z204" s="518" t="str">
        <f>IF(AND(_1="B-767-400ER",'2026'!$I$4="CA",'2026'!$I$2=Z195),'2026DATA'!$K$11,"")</f>
        <v/>
      </c>
      <c r="AA204" s="518" t="str">
        <f>IF(AND(_1="B-767-400ER",'2026'!$I$4="CA",'2026'!$I$2=AA195),'2026DATA'!$L$11,"")</f>
        <v/>
      </c>
      <c r="AB204" s="518" t="str">
        <f>IF(AND(_1="B-767-400ER",'2026'!$I$4="CA",'2026'!$I$2=AB195),'2026DATA'!$M$11,"")</f>
        <v/>
      </c>
      <c r="AC204" s="520" t="str">
        <f>IF(AND(_1="B-767-400ER",'2026'!$I$4="CA",'2026'!$I$2=AC195),'2026DATA'!$N$11,"")</f>
        <v/>
      </c>
      <c r="AD204" s="940" t="s">
        <v>42</v>
      </c>
      <c r="AE204" s="13" t="s">
        <v>61</v>
      </c>
      <c r="AF204" s="518" t="str">
        <f>IF(AND(_2="B-767-400ER",'2026'!$I$4="CA",'2026'!$I$2=AF195),'2026DATA'!$C$11,"")</f>
        <v/>
      </c>
      <c r="AG204" s="518" t="str">
        <f>IF(AND(_2="B-767-400ER",'2026'!$I$4="CA",'2026'!$I$2=AG195),'2026DATA'!$D$11,"")</f>
        <v/>
      </c>
      <c r="AH204" s="518" t="str">
        <f>IF(AND(_2="B-767-400ER",'2026'!$I$4="CA",'2026'!$I$2=AH195),'2026DATA'!$E$11,"")</f>
        <v/>
      </c>
      <c r="AI204" s="518" t="str">
        <f>IF(AND(_2="B-767-400ER",'2026'!$I$4="CA",'2026'!$I$2=AI195),'2026DATA'!$F$11,"")</f>
        <v/>
      </c>
      <c r="AJ204" s="518" t="str">
        <f>IF(AND(_2="B-767-400ER",'2026'!$I$4="CA",'2026'!$I$2=AJ195),'2026DATA'!$G$11,"")</f>
        <v/>
      </c>
      <c r="AK204" s="518" t="str">
        <f>IF(AND(_2="B-767-400ER",'2026'!$I$4="CA",'2026'!$I$2=AK195),'2026DATA'!$H$11,"")</f>
        <v/>
      </c>
      <c r="AL204" s="518" t="str">
        <f>IF(AND(_2="B-767-400ER",'2026'!$I$4="CA",'2026'!$I$2=AL195),'2026DATA'!$I$11,"")</f>
        <v/>
      </c>
      <c r="AM204" s="518" t="str">
        <f>IF(AND(_2="B-767-400ER",'2026'!$I$4="CA",'2026'!$I$2=AM195),'2026DATA'!$J$11,"")</f>
        <v/>
      </c>
      <c r="AN204" s="518" t="str">
        <f>IF(AND(_2="B-767-400ER",'2026'!$I$4="CA",'2026'!$I$2=AN195),'2026DATA'!$K$11,"")</f>
        <v/>
      </c>
      <c r="AO204" s="518" t="str">
        <f>IF(AND(_2="B-767-400ER",'2026'!$I$4="CA",'2026'!$I$2=AO195),'2026DATA'!$L$11,"")</f>
        <v/>
      </c>
      <c r="AP204" s="518" t="str">
        <f>IF(AND(_2="B-767-400ER",'2026'!$I$4="CA",'2026'!$I$2=AP195),'2026DATA'!$M$11,"")</f>
        <v/>
      </c>
      <c r="AQ204" s="520" t="str">
        <f>IF(AND(_2="B-767-400ER",'2026'!$I$4="CA",'2026'!$I$2=AQ195),'2026DATA'!$N$11,"")</f>
        <v/>
      </c>
      <c r="AR204" s="940" t="s">
        <v>42</v>
      </c>
      <c r="AS204" s="13" t="s">
        <v>61</v>
      </c>
      <c r="AT204" s="518" t="str">
        <f>IF(AND(_3="B-767-400ER",'2026'!$I$4="CA",'2026'!$I$2=AT195),'2026DATA'!$C$11,"")</f>
        <v/>
      </c>
      <c r="AU204" s="518" t="str">
        <f>IF(AND(_3="B-767-400ER",'2026'!$I$4="CA",'2026'!$I$2=AU195),'2026DATA'!$D$11,"")</f>
        <v/>
      </c>
      <c r="AV204" s="518" t="str">
        <f>IF(AND(_3="B-767-400ER",'2026'!$I$4="CA",'2026'!$I$2=AV195),'2026DATA'!$E$11,"")</f>
        <v/>
      </c>
      <c r="AW204" s="518" t="str">
        <f>IF(AND(_3="B-767-400ER",'2026'!$I$4="CA",'2026'!$I$2=AW195),'2026DATA'!$F$11,"")</f>
        <v/>
      </c>
      <c r="AX204" s="518" t="str">
        <f>IF(AND(_3="B-767-400ER",'2026'!$I$4="CA",'2026'!$I$2=AX195),'2026DATA'!$G$11,"")</f>
        <v/>
      </c>
      <c r="AY204" s="518" t="str">
        <f>IF(AND(_3="B-767-400ER",'2026'!$I$4="CA",'2026'!$I$2=AY195),'2026DATA'!$H$11,"")</f>
        <v/>
      </c>
      <c r="AZ204" s="518" t="str">
        <f>IF(AND(_3="B-767-400ER",'2026'!$I$4="CA",'2026'!$I$2=AZ195),'2026DATA'!$I$11,"")</f>
        <v/>
      </c>
      <c r="BA204" s="518" t="str">
        <f>IF(AND(_3="B-767-400ER",'2026'!$I$4="CA",'2026'!$I$2=BA195),'2026DATA'!$J$11,"")</f>
        <v/>
      </c>
      <c r="BB204" s="518" t="str">
        <f>IF(AND(_3="B-767-400ER",'2026'!$I$4="CA",'2026'!$I$2=BB195),'2026DATA'!$K$11,"")</f>
        <v/>
      </c>
      <c r="BC204" s="518" t="str">
        <f>IF(AND(_3="B-767-400ER",'2026'!$I$4="CA",'2026'!$I$2=BC195),'2026DATA'!$L$11,"")</f>
        <v/>
      </c>
      <c r="BD204" s="518" t="str">
        <f>IF(AND(_3="B-767-400ER",'2026'!$I$4="CA",'2026'!$I$2=BD195),'2026DATA'!$M$11,"")</f>
        <v/>
      </c>
      <c r="BE204" s="520" t="str">
        <f>IF(AND(_3="B-767-400ER",'2026'!$I$4="CA",'2026'!$I$2=BE195),'2026DATA'!$N$11,"")</f>
        <v/>
      </c>
      <c r="BF204" s="940" t="s">
        <v>42</v>
      </c>
      <c r="BG204" s="13" t="s">
        <v>61</v>
      </c>
      <c r="BH204" s="518" t="str">
        <f>IF(AND(_4="B-767-400ER",'2026'!$I$4="CA",'2026'!$I$2=BH195),'2026DATA'!$C$11,"")</f>
        <v/>
      </c>
      <c r="BI204" s="518" t="str">
        <f>IF(AND(_4="B-767-400ER",'2026'!$I$4="CA",'2026'!$I$2=BI195),'2026DATA'!$D$11,"")</f>
        <v/>
      </c>
      <c r="BJ204" s="518" t="str">
        <f>IF(AND(_4="B-767-400ER",'2026'!$I$4="CA",'2026'!$I$2=BJ195),'2026DATA'!$E$11,"")</f>
        <v/>
      </c>
      <c r="BK204" s="518" t="str">
        <f>IF(AND(_4="B-767-400ER",'2026'!$I$4="CA",'2026'!$I$2=BK195),'2026DATA'!$F$11,"")</f>
        <v/>
      </c>
      <c r="BL204" s="518" t="str">
        <f>IF(AND(_4="B-767-400ER",'2026'!$I$4="CA",'2026'!$I$2=BL195),'2026DATA'!$G$11,"")</f>
        <v/>
      </c>
      <c r="BM204" s="518" t="str">
        <f>IF(AND(_4="B-767-400ER",'2026'!$I$4="CA",'2026'!$I$2=BM195),'2026DATA'!$H$11,"")</f>
        <v/>
      </c>
      <c r="BN204" s="518" t="str">
        <f>IF(AND(_4="B-767-400ER",'2026'!$I$4="CA",'2026'!$I$2=BN195),'2026DATA'!$I$11,"")</f>
        <v/>
      </c>
      <c r="BO204" s="518" t="str">
        <f>IF(AND(_4="B-767-400ER",'2026'!$I$4="CA",'2026'!$I$2=BO195),'2026DATA'!$J$11,"")</f>
        <v/>
      </c>
      <c r="BP204" s="518" t="str">
        <f>IF(AND(_4="B-767-400ER",'2026'!$I$4="CA",'2026'!$I$2=BP195),'2026DATA'!$K$11,"")</f>
        <v/>
      </c>
      <c r="BQ204" s="518" t="str">
        <f>IF(AND(_4="B-767-400ER",'2026'!$I$4="CA",'2026'!$I$2=BQ195),'2026DATA'!$L$11,"")</f>
        <v/>
      </c>
      <c r="BR204" s="518" t="str">
        <f>IF(AND(_4="B-767-400ER",'2026'!$I$4="CA",'2026'!$I$2=BR195),'2026DATA'!$M$11,"")</f>
        <v/>
      </c>
      <c r="BS204" s="520" t="str">
        <f>IF(AND(_4="B-767-400ER",'2026'!$I$4="CA",'2026'!$I$2=BS195),'2026DATA'!$N$11,"")</f>
        <v/>
      </c>
      <c r="BT204" s="940" t="s">
        <v>42</v>
      </c>
      <c r="BU204" s="13" t="s">
        <v>61</v>
      </c>
      <c r="BV204" s="518" t="str">
        <f>IF(AND(_5="B-767-400ER",'2026'!$I$4="CA",'2026'!$I$2=BV195),'2026DATA'!$C$11,"")</f>
        <v/>
      </c>
      <c r="BW204" s="518" t="str">
        <f>IF(AND(_5="B-767-400ER",'2026'!$I$4="CA",'2026'!$I$2=BW195),'2026DATA'!$D$11,"")</f>
        <v/>
      </c>
      <c r="BX204" s="518" t="str">
        <f>IF(AND(_5="B-767-400ER",'2026'!$I$4="CA",'2026'!$I$2=BX195),'2026DATA'!$E$11,"")</f>
        <v/>
      </c>
      <c r="BY204" s="518" t="str">
        <f>IF(AND(_5="B-767-400ER",'2026'!$I$4="CA",'2026'!$I$2=BY195),'2026DATA'!$F$11,"")</f>
        <v/>
      </c>
      <c r="BZ204" s="518" t="str">
        <f>IF(AND(_5="B-767-400ER",'2026'!$I$4="CA",'2026'!$I$2=BZ195),'2026DATA'!$G$11,"")</f>
        <v/>
      </c>
      <c r="CA204" s="518" t="str">
        <f>IF(AND(_5="B-767-400ER",'2026'!$I$4="CA",'2026'!$I$2=CA195),'2026DATA'!$H$11,"")</f>
        <v/>
      </c>
      <c r="CB204" s="518" t="str">
        <f>IF(AND(_5="B-767-400ER",'2026'!$I$4="CA",'2026'!$I$2=CB195),'2026DATA'!$I$11,"")</f>
        <v/>
      </c>
      <c r="CC204" s="518" t="str">
        <f>IF(AND(_5="B-767-400ER",'2026'!$I$4="CA",'2026'!$I$2=CC195),'2026DATA'!$J$11,"")</f>
        <v/>
      </c>
      <c r="CD204" s="518" t="str">
        <f>IF(AND(_5="B-767-400ER",'2026'!$I$4="CA",'2026'!$I$2=CD195),'2026DATA'!$K$11,"")</f>
        <v/>
      </c>
      <c r="CE204" s="518" t="str">
        <f>IF(AND(_5="B-767-400ER",'2026'!$I$4="CA",'2026'!$I$2=CE195),'2026DATA'!$L$11,"")</f>
        <v/>
      </c>
      <c r="CF204" s="518" t="str">
        <f>IF(AND(_5="B-767-400ER",'2026'!$I$4="CA",'2026'!$I$2=CF195),'2026DATA'!$M$11,"")</f>
        <v/>
      </c>
      <c r="CG204" s="520" t="str">
        <f>IF(AND(_5="B-767-400ER",'2026'!$I$4="CA",'2026'!$I$2=CG195),'2026DATA'!$N$11,"")</f>
        <v/>
      </c>
      <c r="CH204" s="940" t="s">
        <v>42</v>
      </c>
      <c r="CI204" s="13" t="s">
        <v>61</v>
      </c>
      <c r="CJ204" s="518" t="str">
        <f>IF(AND(_6="B-767-400ER",'2026'!$I$4="CA",'2026'!$I$2=CJ195),'2026DATA'!$C$11,"")</f>
        <v/>
      </c>
      <c r="CK204" s="518" t="str">
        <f>IF(AND(_6="B-767-400ER",'2026'!$I$4="CA",'2026'!$I$2=CK195),'2026DATA'!$D$11,"")</f>
        <v/>
      </c>
      <c r="CL204" s="518" t="str">
        <f>IF(AND(_6="B-767-400ER",'2026'!$I$4="CA",'2026'!$I$2=CL195),'2026DATA'!$E$11,"")</f>
        <v/>
      </c>
      <c r="CM204" s="518" t="str">
        <f>IF(AND(_6="B-767-400ER",'2026'!$I$4="CA",'2026'!$I$2=CM195),'2026DATA'!$F$11,"")</f>
        <v/>
      </c>
      <c r="CN204" s="518" t="str">
        <f>IF(AND(_6="B-767-400ER",'2026'!$I$4="CA",'2026'!$I$2=CN195),'2026DATA'!$G$11,"")</f>
        <v/>
      </c>
      <c r="CO204" s="518" t="str">
        <f>IF(AND(_6="B-767-400ER",'2026'!$I$4="CA",'2026'!$I$2=CO195),'2026DATA'!$H$11,"")</f>
        <v/>
      </c>
      <c r="CP204" s="518" t="str">
        <f>IF(AND(_6="B-767-400ER",'2026'!$I$4="CA",'2026'!$I$2=CP195),'2026DATA'!$I$11,"")</f>
        <v/>
      </c>
      <c r="CQ204" s="518" t="str">
        <f>IF(AND(_6="B-767-400ER",'2026'!$I$4="CA",'2026'!$I$2=CQ195),'2026DATA'!$J$11,"")</f>
        <v/>
      </c>
      <c r="CR204" s="518" t="str">
        <f>IF(AND(_6="B-767-400ER",'2026'!$I$4="CA",'2026'!$I$2=CR195),'2026DATA'!$K$11,"")</f>
        <v/>
      </c>
      <c r="CS204" s="518" t="str">
        <f>IF(AND(_6="B-767-400ER",'2026'!$I$4="CA",'2026'!$I$2=CS195),'2026DATA'!$L$11,"")</f>
        <v/>
      </c>
      <c r="CT204" s="518" t="str">
        <f>IF(AND(_6="B-767-400ER",'2026'!$I$4="CA",'2026'!$I$2=CT195),'2026DATA'!$M$11,"")</f>
        <v/>
      </c>
      <c r="CU204" s="520" t="str">
        <f>IF(AND(_6="B-767-400ER",'2026'!$I$4="CA",'2026'!$I$2=CU195),'2026DATA'!$N$11,"")</f>
        <v/>
      </c>
    </row>
    <row r="205" spans="16:99" x14ac:dyDescent="0.25">
      <c r="P205" s="940"/>
      <c r="Q205" s="13" t="s">
        <v>62</v>
      </c>
      <c r="R205" s="518" t="str">
        <f>IF(AND(_1="B-767-400ER",'2026'!$I$4="FO",'2026'!$I$2=R195),'2026DATA'!$C$12,"")</f>
        <v/>
      </c>
      <c r="S205" s="518" t="str">
        <f>IF(AND(_1="B-767-400ER",'2026'!$I$4="FO",'2026'!$I$2=S195),'2026DATA'!$D$12,"")</f>
        <v/>
      </c>
      <c r="T205" s="518" t="str">
        <f>IF(AND(_1="B-767-400ER",'2026'!$I$4="FO",'2026'!$I$2=T195),'2026DATA'!$E$12,"")</f>
        <v/>
      </c>
      <c r="U205" s="518" t="str">
        <f>IF(AND(_1="B-767-400ER",'2026'!$I$4="FO",'2026'!$I$2=U195),'2026DATA'!$F$12,"")</f>
        <v/>
      </c>
      <c r="V205" s="518" t="str">
        <f>IF(AND(_1="B-767-400ER",'2026'!$I$4="FO",'2026'!$I$2=V195),'2026DATA'!$G$12,"")</f>
        <v/>
      </c>
      <c r="W205" s="518" t="str">
        <f>IF(AND(_1="B-767-400ER",'2026'!$I$4="FO",'2026'!$I$2=W195),'2026DATA'!$H$12,"")</f>
        <v/>
      </c>
      <c r="X205" s="518" t="str">
        <f>IF(AND(_1="B-767-400ER",'2026'!$I$4="FO",'2026'!$I$2=X195),'2026DATA'!$I$12,"")</f>
        <v/>
      </c>
      <c r="Y205" s="518" t="str">
        <f>IF(AND(_1="B-767-400ER",'2026'!$I$4="FO",'2026'!$I$2=Y195),'2026DATA'!$J$12,"")</f>
        <v/>
      </c>
      <c r="Z205" s="518" t="str">
        <f>IF(AND(_1="B-767-400ER",'2026'!$I$4="FO",'2026'!$I$2=Z195),'2026DATA'!$K$12,"")</f>
        <v/>
      </c>
      <c r="AA205" s="518" t="str">
        <f>IF(AND(_1="B-767-400ER",'2026'!$I$4="FO",'2026'!$I$2=AA195),'2026DATA'!$L$12,"")</f>
        <v/>
      </c>
      <c r="AB205" s="518" t="str">
        <f>IF(AND(_1="B-767-400ER",'2026'!$I$4="FO",'2026'!$I$2=AB195),'2026DATA'!$M$12,"")</f>
        <v/>
      </c>
      <c r="AC205" s="520" t="str">
        <f>IF(AND(_1="B-767-400ER",'2026'!$I$4="FO",'2026'!$I$2=AC195),'2026DATA'!$N$12,"")</f>
        <v/>
      </c>
      <c r="AD205" s="940"/>
      <c r="AE205" s="13" t="s">
        <v>62</v>
      </c>
      <c r="AF205" s="518" t="str">
        <f>IF(AND(_2="B-767-400ER",'2026'!$I$4="FO",'2026'!$I$2=AF195),'2026DATA'!$C$12,"")</f>
        <v/>
      </c>
      <c r="AG205" s="518" t="str">
        <f>IF(AND(_2="B-767-400ER",'2026'!$I$4="FO",'2026'!$I$2=AG195),'2026DATA'!$D$12,"")</f>
        <v/>
      </c>
      <c r="AH205" s="518" t="str">
        <f>IF(AND(_2="B-767-400ER",'2026'!$I$4="FO",'2026'!$I$2=AH195),'2026DATA'!$E$12,"")</f>
        <v/>
      </c>
      <c r="AI205" s="518" t="str">
        <f>IF(AND(_2="B-767-400ER",'2026'!$I$4="FO",'2026'!$I$2=AI195),'2026DATA'!$F$12,"")</f>
        <v/>
      </c>
      <c r="AJ205" s="518" t="str">
        <f>IF(AND(_2="B-767-400ER",'2026'!$I$4="FO",'2026'!$I$2=AJ195),'2026DATA'!$G$12,"")</f>
        <v/>
      </c>
      <c r="AK205" s="518" t="str">
        <f>IF(AND(_2="B-767-400ER",'2026'!$I$4="FO",'2026'!$I$2=AK195),'2026DATA'!$H$12,"")</f>
        <v/>
      </c>
      <c r="AL205" s="518" t="str">
        <f>IF(AND(_2="B-767-400ER",'2026'!$I$4="FO",'2026'!$I$2=AL195),'2026DATA'!$I$12,"")</f>
        <v/>
      </c>
      <c r="AM205" s="518" t="str">
        <f>IF(AND(_2="B-767-400ER",'2026'!$I$4="FO",'2026'!$I$2=AM195),'2026DATA'!$J$12,"")</f>
        <v/>
      </c>
      <c r="AN205" s="518" t="str">
        <f>IF(AND(_2="B-767-400ER",'2026'!$I$4="FO",'2026'!$I$2=AN195),'2026DATA'!$K$12,"")</f>
        <v/>
      </c>
      <c r="AO205" s="518" t="str">
        <f>IF(AND(_2="B-767-400ER",'2026'!$I$4="FO",'2026'!$I$2=AO195),'2026DATA'!$L$12,"")</f>
        <v/>
      </c>
      <c r="AP205" s="518" t="str">
        <f>IF(AND(_2="B-767-400ER",'2026'!$I$4="FO",'2026'!$I$2=AP195),'2026DATA'!$M$12,"")</f>
        <v/>
      </c>
      <c r="AQ205" s="520" t="str">
        <f>IF(AND(_2="B-767-400ER",'2026'!$I$4="FO",'2026'!$I$2=AQ195),'2026DATA'!$N$12,"")</f>
        <v/>
      </c>
      <c r="AR205" s="940"/>
      <c r="AS205" s="13" t="s">
        <v>62</v>
      </c>
      <c r="AT205" s="518" t="str">
        <f>IF(AND(_3="B-767-400ER",'2026'!$I$4="FO",'2026'!$I$2=AT195),'2026DATA'!$C$12,"")</f>
        <v/>
      </c>
      <c r="AU205" s="518" t="str">
        <f>IF(AND(_3="B-767-400ER",'2026'!$I$4="FO",'2026'!$I$2=AU195),'2026DATA'!$D$12,"")</f>
        <v/>
      </c>
      <c r="AV205" s="518" t="str">
        <f>IF(AND(_3="B-767-400ER",'2026'!$I$4="FO",'2026'!$I$2=AV195),'2026DATA'!$E$12,"")</f>
        <v/>
      </c>
      <c r="AW205" s="518" t="str">
        <f>IF(AND(_3="B-767-400ER",'2026'!$I$4="FO",'2026'!$I$2=AW195),'2026DATA'!$F$12,"")</f>
        <v/>
      </c>
      <c r="AX205" s="518" t="str">
        <f>IF(AND(_3="B-767-400ER",'2026'!$I$4="FO",'2026'!$I$2=AX195),'2026DATA'!$G$12,"")</f>
        <v/>
      </c>
      <c r="AY205" s="518" t="str">
        <f>IF(AND(_3="B-767-400ER",'2026'!$I$4="FO",'2026'!$I$2=AY195),'2026DATA'!$H$12,"")</f>
        <v/>
      </c>
      <c r="AZ205" s="518" t="str">
        <f>IF(AND(_3="B-767-400ER",'2026'!$I$4="FO",'2026'!$I$2=AZ195),'2026DATA'!$I$12,"")</f>
        <v/>
      </c>
      <c r="BA205" s="518" t="str">
        <f>IF(AND(_3="B-767-400ER",'2026'!$I$4="FO",'2026'!$I$2=BA195),'2026DATA'!$J$12,"")</f>
        <v/>
      </c>
      <c r="BB205" s="518" t="str">
        <f>IF(AND(_3="B-767-400ER",'2026'!$I$4="FO",'2026'!$I$2=BB195),'2026DATA'!$K$12,"")</f>
        <v/>
      </c>
      <c r="BC205" s="518" t="str">
        <f>IF(AND(_3="B-767-400ER",'2026'!$I$4="FO",'2026'!$I$2=BC195),'2026DATA'!$L$12,"")</f>
        <v/>
      </c>
      <c r="BD205" s="518" t="str">
        <f>IF(AND(_3="B-767-400ER",'2026'!$I$4="FO",'2026'!$I$2=BD195),'2026DATA'!$M$12,"")</f>
        <v/>
      </c>
      <c r="BE205" s="520" t="str">
        <f>IF(AND(_3="B-767-400ER",'2026'!$I$4="FO",'2026'!$I$2=BE195),'2026DATA'!$N$12,"")</f>
        <v/>
      </c>
      <c r="BF205" s="940"/>
      <c r="BG205" s="13" t="s">
        <v>62</v>
      </c>
      <c r="BH205" s="518" t="str">
        <f>IF(AND(_4="B-767-400ER",'2026'!$I$4="FO",'2026'!$I$2=BH195),'2026DATA'!$C$12,"")</f>
        <v/>
      </c>
      <c r="BI205" s="518" t="str">
        <f>IF(AND(_4="B-767-400ER",'2026'!$I$4="FO",'2026'!$I$2=BI195),'2026DATA'!$D$12,"")</f>
        <v/>
      </c>
      <c r="BJ205" s="518" t="str">
        <f>IF(AND(_4="B-767-400ER",'2026'!$I$4="FO",'2026'!$I$2=BJ195),'2026DATA'!$E$12,"")</f>
        <v/>
      </c>
      <c r="BK205" s="518" t="str">
        <f>IF(AND(_4="B-767-400ER",'2026'!$I$4="FO",'2026'!$I$2=BK195),'2026DATA'!$F$12,"")</f>
        <v/>
      </c>
      <c r="BL205" s="518" t="str">
        <f>IF(AND(_4="B-767-400ER",'2026'!$I$4="FO",'2026'!$I$2=BL195),'2026DATA'!$G$12,"")</f>
        <v/>
      </c>
      <c r="BM205" s="518" t="str">
        <f>IF(AND(_4="B-767-400ER",'2026'!$I$4="FO",'2026'!$I$2=BM195),'2026DATA'!$H$12,"")</f>
        <v/>
      </c>
      <c r="BN205" s="518" t="str">
        <f>IF(AND(_4="B-767-400ER",'2026'!$I$4="FO",'2026'!$I$2=BN195),'2026DATA'!$I$12,"")</f>
        <v/>
      </c>
      <c r="BO205" s="518" t="str">
        <f>IF(AND(_4="B-767-400ER",'2026'!$I$4="FO",'2026'!$I$2=BO195),'2026DATA'!$J$12,"")</f>
        <v/>
      </c>
      <c r="BP205" s="518" t="str">
        <f>IF(AND(_4="B-767-400ER",'2026'!$I$4="FO",'2026'!$I$2=BP195),'2026DATA'!$K$12,"")</f>
        <v/>
      </c>
      <c r="BQ205" s="518" t="str">
        <f>IF(AND(_4="B-767-400ER",'2026'!$I$4="FO",'2026'!$I$2=BQ195),'2026DATA'!$L$12,"")</f>
        <v/>
      </c>
      <c r="BR205" s="518" t="str">
        <f>IF(AND(_4="B-767-400ER",'2026'!$I$4="FO",'2026'!$I$2=BR195),'2026DATA'!$M$12,"")</f>
        <v/>
      </c>
      <c r="BS205" s="520" t="str">
        <f>IF(AND(_4="B-767-400ER",'2026'!$I$4="FO",'2026'!$I$2=BS195),'2026DATA'!$N$12,"")</f>
        <v/>
      </c>
      <c r="BT205" s="940"/>
      <c r="BU205" s="13" t="s">
        <v>62</v>
      </c>
      <c r="BV205" s="518" t="str">
        <f>IF(AND(_5="B-767-400ER",'2026'!$I$4="FO",'2026'!$I$2=BV195),'2026DATA'!$C$12,"")</f>
        <v/>
      </c>
      <c r="BW205" s="518" t="str">
        <f>IF(AND(_5="B-767-400ER",'2026'!$I$4="FO",'2026'!$I$2=BW195),'2026DATA'!$D$12,"")</f>
        <v/>
      </c>
      <c r="BX205" s="518" t="str">
        <f>IF(AND(_5="B-767-400ER",'2026'!$I$4="FO",'2026'!$I$2=BX195),'2026DATA'!$E$12,"")</f>
        <v/>
      </c>
      <c r="BY205" s="518" t="str">
        <f>IF(AND(_5="B-767-400ER",'2026'!$I$4="FO",'2026'!$I$2=BY195),'2026DATA'!$F$12,"")</f>
        <v/>
      </c>
      <c r="BZ205" s="518" t="str">
        <f>IF(AND(_5="B-767-400ER",'2026'!$I$4="FO",'2026'!$I$2=BZ195),'2026DATA'!$G$12,"")</f>
        <v/>
      </c>
      <c r="CA205" s="518" t="str">
        <f>IF(AND(_5="B-767-400ER",'2026'!$I$4="FO",'2026'!$I$2=CA195),'2026DATA'!$H$12,"")</f>
        <v/>
      </c>
      <c r="CB205" s="518" t="str">
        <f>IF(AND(_5="B-767-400ER",'2026'!$I$4="FO",'2026'!$I$2=CB195),'2026DATA'!$I$12,"")</f>
        <v/>
      </c>
      <c r="CC205" s="518" t="str">
        <f>IF(AND(_5="B-767-400ER",'2026'!$I$4="FO",'2026'!$I$2=CC195),'2026DATA'!$J$12,"")</f>
        <v/>
      </c>
      <c r="CD205" s="518" t="str">
        <f>IF(AND(_5="B-767-400ER",'2026'!$I$4="FO",'2026'!$I$2=CD195),'2026DATA'!$K$12,"")</f>
        <v/>
      </c>
      <c r="CE205" s="518" t="str">
        <f>IF(AND(_5="B-767-400ER",'2026'!$I$4="FO",'2026'!$I$2=CE195),'2026DATA'!$L$12,"")</f>
        <v/>
      </c>
      <c r="CF205" s="518" t="str">
        <f>IF(AND(_5="B-767-400ER",'2026'!$I$4="FO",'2026'!$I$2=CF195),'2026DATA'!$M$12,"")</f>
        <v/>
      </c>
      <c r="CG205" s="520" t="str">
        <f>IF(AND(_5="B-767-400ER",'2026'!$I$4="FO",'2026'!$I$2=CG195),'2026DATA'!$N$12,"")</f>
        <v/>
      </c>
      <c r="CH205" s="940"/>
      <c r="CI205" s="13" t="s">
        <v>62</v>
      </c>
      <c r="CJ205" s="518" t="str">
        <f>IF(AND(_6="B-767-400ER",'2026'!$I$4="FO",'2026'!$I$2=CJ195),'2026DATA'!$C$12,"")</f>
        <v/>
      </c>
      <c r="CK205" s="518" t="str">
        <f>IF(AND(_6="B-767-400ER",'2026'!$I$4="FO",'2026'!$I$2=CK195),'2026DATA'!$D$12,"")</f>
        <v/>
      </c>
      <c r="CL205" s="518" t="str">
        <f>IF(AND(_6="B-767-400ER",'2026'!$I$4="FO",'2026'!$I$2=CL195),'2026DATA'!$E$12,"")</f>
        <v/>
      </c>
      <c r="CM205" s="518" t="str">
        <f>IF(AND(_6="B-767-400ER",'2026'!$I$4="FO",'2026'!$I$2=CM195),'2026DATA'!$F$12,"")</f>
        <v/>
      </c>
      <c r="CN205" s="518" t="str">
        <f>IF(AND(_6="B-767-400ER",'2026'!$I$4="FO",'2026'!$I$2=CN195),'2026DATA'!$G$12,"")</f>
        <v/>
      </c>
      <c r="CO205" s="518" t="str">
        <f>IF(AND(_6="B-767-400ER",'2026'!$I$4="FO",'2026'!$I$2=CO195),'2026DATA'!$H$12,"")</f>
        <v/>
      </c>
      <c r="CP205" s="518" t="str">
        <f>IF(AND(_6="B-767-400ER",'2026'!$I$4="FO",'2026'!$I$2=CP195),'2026DATA'!$I$12,"")</f>
        <v/>
      </c>
      <c r="CQ205" s="518" t="str">
        <f>IF(AND(_6="B-767-400ER",'2026'!$I$4="FO",'2026'!$I$2=CQ195),'2026DATA'!$J$12,"")</f>
        <v/>
      </c>
      <c r="CR205" s="518" t="str">
        <f>IF(AND(_6="B-767-400ER",'2026'!$I$4="FO",'2026'!$I$2=CR195),'2026DATA'!$K$12,"")</f>
        <v/>
      </c>
      <c r="CS205" s="518" t="str">
        <f>IF(AND(_6="B-767-400ER",'2026'!$I$4="FO",'2026'!$I$2=CS195),'2026DATA'!$L$12,"")</f>
        <v/>
      </c>
      <c r="CT205" s="518" t="str">
        <f>IF(AND(_6="B-767-400ER",'2026'!$I$4="FO",'2026'!$I$2=CT195),'2026DATA'!$M$12,"")</f>
        <v/>
      </c>
      <c r="CU205" s="520" t="str">
        <f>IF(AND(_6="B-767-400ER",'2026'!$I$4="FO",'2026'!$I$2=CU195),'2026DATA'!$N$12,"")</f>
        <v/>
      </c>
    </row>
    <row r="206" spans="16:99" x14ac:dyDescent="0.25">
      <c r="P206" s="940" t="s">
        <v>43</v>
      </c>
      <c r="Q206" s="13" t="s">
        <v>61</v>
      </c>
      <c r="R206" s="518" t="str">
        <f>IF(AND(_1="B-767-300ER",'2026'!$I$4="CA",'2026'!$I$2=R195),'2026DATA'!$C$13,"")</f>
        <v/>
      </c>
      <c r="S206" s="518" t="str">
        <f>IF(AND(_1="B-767-300ER",'2026'!$I$4="CA",'2026'!$I$2=S195),'2026DATA'!$D$13,"")</f>
        <v/>
      </c>
      <c r="T206" s="518" t="str">
        <f>IF(AND(_1="B-767-300ER",'2026'!$I$4="CA",'2026'!$I$2=T195),'2026DATA'!$E$13,"")</f>
        <v/>
      </c>
      <c r="U206" s="518" t="str">
        <f>IF(AND(_1="B-767-300ER",'2026'!$I$4="CA",'2026'!$I$2=U195),'2026DATA'!$F$13,"")</f>
        <v/>
      </c>
      <c r="V206" s="518" t="str">
        <f>IF(AND(_1="B-767-300ER",'2026'!$I$4="CA",'2026'!$I$2=V195),'2026DATA'!$G$13,"")</f>
        <v/>
      </c>
      <c r="W206" s="518" t="str">
        <f>IF(AND(_1="B-767-300ER",'2026'!$I$4="CA",'2026'!$I$2=W195),'2026DATA'!$H$13,"")</f>
        <v/>
      </c>
      <c r="X206" s="518" t="str">
        <f>IF(AND(_1="B-767-300ER",'2026'!$I$4="CA",'2026'!$I$2=X195),'2026DATA'!$I$13,"")</f>
        <v/>
      </c>
      <c r="Y206" s="518" t="str">
        <f>IF(AND(_1="B-767-300ER",'2026'!$I$4="CA",'2026'!$I$2=Y195),'2026DATA'!$J$13,"")</f>
        <v/>
      </c>
      <c r="Z206" s="518" t="str">
        <f>IF(AND(_1="B-767-300ER",'2026'!$I$4="CA",'2026'!$I$2=Z195),'2026DATA'!$K$13,"")</f>
        <v/>
      </c>
      <c r="AA206" s="518" t="str">
        <f>IF(AND(_1="B-767-300ER",'2026'!$I$4="CA",'2026'!$I$2=AA195),'2026DATA'!$L$13,"")</f>
        <v/>
      </c>
      <c r="AB206" s="518" t="str">
        <f>IF(AND(_1="B-767-300ER",'2026'!$I$4="CA",'2026'!$I$2=AB195),'2026DATA'!$M$13,"")</f>
        <v/>
      </c>
      <c r="AC206" s="520" t="str">
        <f>IF(AND(_1="B-767-300ER",'2026'!$I$4="CA",'2026'!$I$2=AC195),'2026DATA'!$N$13,"")</f>
        <v/>
      </c>
      <c r="AD206" s="940" t="s">
        <v>43</v>
      </c>
      <c r="AE206" s="13" t="s">
        <v>61</v>
      </c>
      <c r="AF206" s="518" t="str">
        <f>IF(AND(_2="B-767-300ER",'2026'!$I$4="CA",'2026'!$I$2=AF195),'2026DATA'!$C$13,"")</f>
        <v/>
      </c>
      <c r="AG206" s="518" t="str">
        <f>IF(AND(_2="B-767-300ER",'2026'!$I$4="CA",'2026'!$I$2=AG195),'2026DATA'!$D$13,"")</f>
        <v/>
      </c>
      <c r="AH206" s="518" t="str">
        <f>IF(AND(_2="B-767-300ER",'2026'!$I$4="CA",'2026'!$I$2=AH195),'2026DATA'!$E$13,"")</f>
        <v/>
      </c>
      <c r="AI206" s="518" t="str">
        <f>IF(AND(_2="B-767-300ER",'2026'!$I$4="CA",'2026'!$I$2=AI195),'2026DATA'!$F$13,"")</f>
        <v/>
      </c>
      <c r="AJ206" s="518" t="str">
        <f>IF(AND(_2="B-767-300ER",'2026'!$I$4="CA",'2026'!$I$2=AJ195),'2026DATA'!$G$13,"")</f>
        <v/>
      </c>
      <c r="AK206" s="518" t="str">
        <f>IF(AND(_2="B-767-300ER",'2026'!$I$4="CA",'2026'!$I$2=AK195),'2026DATA'!$H$13,"")</f>
        <v/>
      </c>
      <c r="AL206" s="518" t="str">
        <f>IF(AND(_2="B-767-300ER",'2026'!$I$4="CA",'2026'!$I$2=AL195),'2026DATA'!$I$13,"")</f>
        <v/>
      </c>
      <c r="AM206" s="518" t="str">
        <f>IF(AND(_2="B-767-300ER",'2026'!$I$4="CA",'2026'!$I$2=AM195),'2026DATA'!$J$13,"")</f>
        <v/>
      </c>
      <c r="AN206" s="518" t="str">
        <f>IF(AND(_2="B-767-300ER",'2026'!$I$4="CA",'2026'!$I$2=AN195),'2026DATA'!$K$13,"")</f>
        <v/>
      </c>
      <c r="AO206" s="518" t="str">
        <f>IF(AND(_2="B-767-300ER",'2026'!$I$4="CA",'2026'!$I$2=AO195),'2026DATA'!$L$13,"")</f>
        <v/>
      </c>
      <c r="AP206" s="518" t="str">
        <f>IF(AND(_2="B-767-300ER",'2026'!$I$4="CA",'2026'!$I$2=AP195),'2026DATA'!$M$13,"")</f>
        <v/>
      </c>
      <c r="AQ206" s="520" t="str">
        <f>IF(AND(_2="B-767-300ER",'2026'!$I$4="CA",'2026'!$I$2=AQ195),'2026DATA'!$N$13,"")</f>
        <v/>
      </c>
      <c r="AR206" s="940" t="s">
        <v>43</v>
      </c>
      <c r="AS206" s="13" t="s">
        <v>61</v>
      </c>
      <c r="AT206" s="518" t="str">
        <f>IF(AND(_3="B-767-300ER",'2026'!$I$4="CA",'2026'!$I$2=AT195),'2026DATA'!$C$13,"")</f>
        <v/>
      </c>
      <c r="AU206" s="518" t="str">
        <f>IF(AND(_3="B-767-300ER",'2026'!$I$4="CA",'2026'!$I$2=AU195),'2026DATA'!$D$13,"")</f>
        <v/>
      </c>
      <c r="AV206" s="518" t="str">
        <f>IF(AND(_3="B-767-300ER",'2026'!$I$4="CA",'2026'!$I$2=AV195),'2026DATA'!$E$13,"")</f>
        <v/>
      </c>
      <c r="AW206" s="518" t="str">
        <f>IF(AND(_3="B-767-300ER",'2026'!$I$4="CA",'2026'!$I$2=AW195),'2026DATA'!$F$13,"")</f>
        <v/>
      </c>
      <c r="AX206" s="518" t="str">
        <f>IF(AND(_3="B-767-300ER",'2026'!$I$4="CA",'2026'!$I$2=AX195),'2026DATA'!$G$13,"")</f>
        <v/>
      </c>
      <c r="AY206" s="518" t="str">
        <f>IF(AND(_3="B-767-300ER",'2026'!$I$4="CA",'2026'!$I$2=AY195),'2026DATA'!$H$13,"")</f>
        <v/>
      </c>
      <c r="AZ206" s="518" t="str">
        <f>IF(AND(_3="B-767-300ER",'2026'!$I$4="CA",'2026'!$I$2=AZ195),'2026DATA'!$I$13,"")</f>
        <v/>
      </c>
      <c r="BA206" s="518" t="str">
        <f>IF(AND(_3="B-767-300ER",'2026'!$I$4="CA",'2026'!$I$2=BA195),'2026DATA'!$J$13,"")</f>
        <v/>
      </c>
      <c r="BB206" s="518" t="str">
        <f>IF(AND(_3="B-767-300ER",'2026'!$I$4="CA",'2026'!$I$2=BB195),'2026DATA'!$K$13,"")</f>
        <v/>
      </c>
      <c r="BC206" s="518" t="str">
        <f>IF(AND(_3="B-767-300ER",'2026'!$I$4="CA",'2026'!$I$2=BC195),'2026DATA'!$L$13,"")</f>
        <v/>
      </c>
      <c r="BD206" s="518" t="str">
        <f>IF(AND(_3="B-767-300ER",'2026'!$I$4="CA",'2026'!$I$2=BD195),'2026DATA'!$M$13,"")</f>
        <v/>
      </c>
      <c r="BE206" s="520" t="str">
        <f>IF(AND(_3="B-767-300ER",'2026'!$I$4="CA",'2026'!$I$2=BE195),'2026DATA'!$N$13,"")</f>
        <v/>
      </c>
      <c r="BF206" s="940" t="s">
        <v>43</v>
      </c>
      <c r="BG206" s="13" t="s">
        <v>61</v>
      </c>
      <c r="BH206" s="518" t="str">
        <f>IF(AND(_4="B-767-300ER",'2026'!$I$4="CA",'2026'!$I$2=BH195),'2026DATA'!$C$13,"")</f>
        <v/>
      </c>
      <c r="BI206" s="518" t="str">
        <f>IF(AND(_4="B-767-300ER",'2026'!$I$4="CA",'2026'!$I$2=BI195),'2026DATA'!$D$13,"")</f>
        <v/>
      </c>
      <c r="BJ206" s="518" t="str">
        <f>IF(AND(_4="B-767-300ER",'2026'!$I$4="CA",'2026'!$I$2=BJ195),'2026DATA'!$E$13,"")</f>
        <v/>
      </c>
      <c r="BK206" s="518" t="str">
        <f>IF(AND(_4="B-767-300ER",'2026'!$I$4="CA",'2026'!$I$2=BK195),'2026DATA'!$F$13,"")</f>
        <v/>
      </c>
      <c r="BL206" s="518" t="str">
        <f>IF(AND(_4="B-767-300ER",'2026'!$I$4="CA",'2026'!$I$2=BL195),'2026DATA'!$G$13,"")</f>
        <v/>
      </c>
      <c r="BM206" s="518" t="str">
        <f>IF(AND(_4="B-767-300ER",'2026'!$I$4="CA",'2026'!$I$2=BM195),'2026DATA'!$H$13,"")</f>
        <v/>
      </c>
      <c r="BN206" s="518" t="str">
        <f>IF(AND(_4="B-767-300ER",'2026'!$I$4="CA",'2026'!$I$2=BN195),'2026DATA'!$I$13,"")</f>
        <v/>
      </c>
      <c r="BO206" s="518" t="str">
        <f>IF(AND(_4="B-767-300ER",'2026'!$I$4="CA",'2026'!$I$2=BO195),'2026DATA'!$J$13,"")</f>
        <v/>
      </c>
      <c r="BP206" s="518" t="str">
        <f>IF(AND(_4="B-767-300ER",'2026'!$I$4="CA",'2026'!$I$2=BP195),'2026DATA'!$K$13,"")</f>
        <v/>
      </c>
      <c r="BQ206" s="518" t="str">
        <f>IF(AND(_4="B-767-300ER",'2026'!$I$4="CA",'2026'!$I$2=BQ195),'2026DATA'!$L$13,"")</f>
        <v/>
      </c>
      <c r="BR206" s="518" t="str">
        <f>IF(AND(_4="B-767-300ER",'2026'!$I$4="CA",'2026'!$I$2=BR195),'2026DATA'!$M$13,"")</f>
        <v/>
      </c>
      <c r="BS206" s="520" t="str">
        <f>IF(AND(_4="B-767-300ER",'2026'!$I$4="CA",'2026'!$I$2=BS195),'2026DATA'!$N$13,"")</f>
        <v/>
      </c>
      <c r="BT206" s="940" t="s">
        <v>43</v>
      </c>
      <c r="BU206" s="13" t="s">
        <v>61</v>
      </c>
      <c r="BV206" s="518" t="str">
        <f>IF(AND(_5="B-767-300ER",'2026'!$I$4="CA",'2026'!$I$2=BV195),'2026DATA'!$C$13,"")</f>
        <v/>
      </c>
      <c r="BW206" s="518" t="str">
        <f>IF(AND(_5="B-767-300ER",'2026'!$I$4="CA",'2026'!$I$2=BW195),'2026DATA'!$D$13,"")</f>
        <v/>
      </c>
      <c r="BX206" s="518" t="str">
        <f>IF(AND(_5="B-767-300ER",'2026'!$I$4="CA",'2026'!$I$2=BX195),'2026DATA'!$E$13,"")</f>
        <v/>
      </c>
      <c r="BY206" s="518" t="str">
        <f>IF(AND(_5="B-767-300ER",'2026'!$I$4="CA",'2026'!$I$2=BY195),'2026DATA'!$F$13,"")</f>
        <v/>
      </c>
      <c r="BZ206" s="518" t="str">
        <f>IF(AND(_5="B-767-300ER",'2026'!$I$4="CA",'2026'!$I$2=BZ195),'2026DATA'!$G$13,"")</f>
        <v/>
      </c>
      <c r="CA206" s="518" t="str">
        <f>IF(AND(_5="B-767-300ER",'2026'!$I$4="CA",'2026'!$I$2=CA195),'2026DATA'!$H$13,"")</f>
        <v/>
      </c>
      <c r="CB206" s="518" t="str">
        <f>IF(AND(_5="B-767-300ER",'2026'!$I$4="CA",'2026'!$I$2=CB195),'2026DATA'!$I$13,"")</f>
        <v/>
      </c>
      <c r="CC206" s="518" t="str">
        <f>IF(AND(_5="B-767-300ER",'2026'!$I$4="CA",'2026'!$I$2=CC195),'2026DATA'!$J$13,"")</f>
        <v/>
      </c>
      <c r="CD206" s="518" t="str">
        <f>IF(AND(_5="B-767-300ER",'2026'!$I$4="CA",'2026'!$I$2=CD195),'2026DATA'!$K$13,"")</f>
        <v/>
      </c>
      <c r="CE206" s="518" t="str">
        <f>IF(AND(_5="B-767-300ER",'2026'!$I$4="CA",'2026'!$I$2=CE195),'2026DATA'!$L$13,"")</f>
        <v/>
      </c>
      <c r="CF206" s="518" t="str">
        <f>IF(AND(_5="B-767-300ER",'2026'!$I$4="CA",'2026'!$I$2=CF195),'2026DATA'!$M$13,"")</f>
        <v/>
      </c>
      <c r="CG206" s="520" t="str">
        <f>IF(AND(_5="B-767-300ER",'2026'!$I$4="CA",'2026'!$I$2=CG195),'2026DATA'!$N$13,"")</f>
        <v/>
      </c>
      <c r="CH206" s="940" t="s">
        <v>43</v>
      </c>
      <c r="CI206" s="13" t="s">
        <v>61</v>
      </c>
      <c r="CJ206" s="518" t="str">
        <f>IF(AND(_6="B-767-300ER",'2026'!$I$4="CA",'2026'!$I$2=CJ195),'2026DATA'!$C$13,"")</f>
        <v/>
      </c>
      <c r="CK206" s="518" t="str">
        <f>IF(AND(_6="B-767-300ER",'2026'!$I$4="CA",'2026'!$I$2=CK195),'2026DATA'!$D$13,"")</f>
        <v/>
      </c>
      <c r="CL206" s="518" t="str">
        <f>IF(AND(_6="B-767-300ER",'2026'!$I$4="CA",'2026'!$I$2=CL195),'2026DATA'!$E$13,"")</f>
        <v/>
      </c>
      <c r="CM206" s="518" t="str">
        <f>IF(AND(_6="B-767-300ER",'2026'!$I$4="CA",'2026'!$I$2=CM195),'2026DATA'!$F$13,"")</f>
        <v/>
      </c>
      <c r="CN206" s="518" t="str">
        <f>IF(AND(_6="B-767-300ER",'2026'!$I$4="CA",'2026'!$I$2=CN195),'2026DATA'!$G$13,"")</f>
        <v/>
      </c>
      <c r="CO206" s="518" t="str">
        <f>IF(AND(_6="B-767-300ER",'2026'!$I$4="CA",'2026'!$I$2=CO195),'2026DATA'!$H$13,"")</f>
        <v/>
      </c>
      <c r="CP206" s="518" t="str">
        <f>IF(AND(_6="B-767-300ER",'2026'!$I$4="CA",'2026'!$I$2=CP195),'2026DATA'!$I$13,"")</f>
        <v/>
      </c>
      <c r="CQ206" s="518" t="str">
        <f>IF(AND(_6="B-767-300ER",'2026'!$I$4="CA",'2026'!$I$2=CQ195),'2026DATA'!$J$13,"")</f>
        <v/>
      </c>
      <c r="CR206" s="518" t="str">
        <f>IF(AND(_6="B-767-300ER",'2026'!$I$4="CA",'2026'!$I$2=CR195),'2026DATA'!$K$13,"")</f>
        <v/>
      </c>
      <c r="CS206" s="518" t="str">
        <f>IF(AND(_6="B-767-300ER",'2026'!$I$4="CA",'2026'!$I$2=CS195),'2026DATA'!$L$13,"")</f>
        <v/>
      </c>
      <c r="CT206" s="518" t="str">
        <f>IF(AND(_6="B-767-300ER",'2026'!$I$4="CA",'2026'!$I$2=CT195),'2026DATA'!$M$13,"")</f>
        <v/>
      </c>
      <c r="CU206" s="520" t="str">
        <f>IF(AND(_6="B-767-300ER",'2026'!$I$4="CA",'2026'!$I$2=CU195),'2026DATA'!$N$13,"")</f>
        <v/>
      </c>
    </row>
    <row r="207" spans="16:99" x14ac:dyDescent="0.25">
      <c r="P207" s="940"/>
      <c r="Q207" s="13" t="s">
        <v>62</v>
      </c>
      <c r="R207" s="518" t="str">
        <f>IF(AND(_1="B-767-300ER",'2026'!$I$4="FO",'2026'!$I$2=R195),'2026DATA'!$C$14,"")</f>
        <v/>
      </c>
      <c r="S207" s="518" t="str">
        <f>IF(AND(_1="B-767-300ER",'2026'!$I$4="FO",'2026'!$I$2=S195),'2026DATA'!$D$14,"")</f>
        <v/>
      </c>
      <c r="T207" s="518" t="str">
        <f>IF(AND(_1="B-767-300ER",'2026'!$I$4="FO",'2026'!$I$2=T195),'2026DATA'!$E$14,"")</f>
        <v/>
      </c>
      <c r="U207" s="518" t="str">
        <f>IF(AND(_1="B-767-300ER",'2026'!$I$4="FO",'2026'!$I$2=U195),'2026DATA'!$F$14,"")</f>
        <v/>
      </c>
      <c r="V207" s="518" t="str">
        <f>IF(AND(_1="B-767-300ER",'2026'!$I$4="FO",'2026'!$I$2=V195),'2026DATA'!$G$14,"")</f>
        <v/>
      </c>
      <c r="W207" s="518" t="str">
        <f>IF(AND(_1="B-767-300ER",'2026'!$I$4="FO",'2026'!$I$2=W195),'2026DATA'!$H$14,"")</f>
        <v/>
      </c>
      <c r="X207" s="518" t="str">
        <f>IF(AND(_1="B-767-300ER",'2026'!$I$4="FO",'2026'!$I$2=X195),'2026DATA'!$I$14,"")</f>
        <v/>
      </c>
      <c r="Y207" s="518" t="str">
        <f>IF(AND(_1="B-767-300ER",'2026'!$I$4="FO",'2026'!$I$2=Y195),'2026DATA'!$J$14,"")</f>
        <v/>
      </c>
      <c r="Z207" s="518" t="str">
        <f>IF(AND(_1="B-767-300ER",'2026'!$I$4="FO",'2026'!$I$2=Z195),'2026DATA'!$K$14,"")</f>
        <v/>
      </c>
      <c r="AA207" s="518" t="str">
        <f>IF(AND(_1="B-767-300ER",'2026'!$I$4="FO",'2026'!$I$2=AA195),'2026DATA'!$L$14,"")</f>
        <v/>
      </c>
      <c r="AB207" s="518" t="str">
        <f>IF(AND(_1="B-767-300ER",'2026'!$I$4="FO",'2026'!$I$2=AB195),'2026DATA'!$M$14,"")</f>
        <v/>
      </c>
      <c r="AC207" s="520" t="str">
        <f>IF(AND(_1="B-767-300ER",'2026'!$I$4="FO",'2026'!$I$2=AC195),'2026DATA'!$N$14,"")</f>
        <v/>
      </c>
      <c r="AD207" s="940"/>
      <c r="AE207" s="13" t="s">
        <v>62</v>
      </c>
      <c r="AF207" s="518" t="str">
        <f>IF(AND(_2="B-767-300ER",'2026'!$I$4="FO",'2026'!$I$2=AF195),'2026DATA'!$C$14,"")</f>
        <v/>
      </c>
      <c r="AG207" s="518" t="str">
        <f>IF(AND(_2="B-767-300ER",'2026'!$I$4="FO",'2026'!$I$2=AG195),'2026DATA'!$D$14,"")</f>
        <v/>
      </c>
      <c r="AH207" s="518" t="str">
        <f>IF(AND(_2="B-767-300ER",'2026'!$I$4="FO",'2026'!$I$2=AH195),'2026DATA'!$E$14,"")</f>
        <v/>
      </c>
      <c r="AI207" s="518" t="str">
        <f>IF(AND(_2="B-767-300ER",'2026'!$I$4="FO",'2026'!$I$2=AI195),'2026DATA'!$F$14,"")</f>
        <v/>
      </c>
      <c r="AJ207" s="518" t="str">
        <f>IF(AND(_2="B-767-300ER",'2026'!$I$4="FO",'2026'!$I$2=AJ195),'2026DATA'!$G$14,"")</f>
        <v/>
      </c>
      <c r="AK207" s="518" t="str">
        <f>IF(AND(_2="B-767-300ER",'2026'!$I$4="FO",'2026'!$I$2=AK195),'2026DATA'!$H$14,"")</f>
        <v/>
      </c>
      <c r="AL207" s="518" t="str">
        <f>IF(AND(_2="B-767-300ER",'2026'!$I$4="FO",'2026'!$I$2=AL195),'2026DATA'!$I$14,"")</f>
        <v/>
      </c>
      <c r="AM207" s="518" t="str">
        <f>IF(AND(_2="B-767-300ER",'2026'!$I$4="FO",'2026'!$I$2=AM195),'2026DATA'!$J$14,"")</f>
        <v/>
      </c>
      <c r="AN207" s="518" t="str">
        <f>IF(AND(_2="B-767-300ER",'2026'!$I$4="FO",'2026'!$I$2=AN195),'2026DATA'!$K$14,"")</f>
        <v/>
      </c>
      <c r="AO207" s="518" t="str">
        <f>IF(AND(_2="B-767-300ER",'2026'!$I$4="FO",'2026'!$I$2=AO195),'2026DATA'!$L$14,"")</f>
        <v/>
      </c>
      <c r="AP207" s="518" t="str">
        <f>IF(AND(_2="B-767-300ER",'2026'!$I$4="FO",'2026'!$I$2=AP195),'2026DATA'!$M$14,"")</f>
        <v/>
      </c>
      <c r="AQ207" s="520" t="str">
        <f>IF(AND(_2="B-767-300ER",'2026'!$I$4="FO",'2026'!$I$2=AQ195),'2026DATA'!$N$14,"")</f>
        <v/>
      </c>
      <c r="AR207" s="940"/>
      <c r="AS207" s="13" t="s">
        <v>62</v>
      </c>
      <c r="AT207" s="518" t="str">
        <f>IF(AND(_3="B-767-300ER",'2026'!$I$4="FO",'2026'!$I$2=AT195),'2026DATA'!$C$14,"")</f>
        <v/>
      </c>
      <c r="AU207" s="518" t="str">
        <f>IF(AND(_3="B-767-300ER",'2026'!$I$4="FO",'2026'!$I$2=AU195),'2026DATA'!$D$14,"")</f>
        <v/>
      </c>
      <c r="AV207" s="518" t="str">
        <f>IF(AND(_3="B-767-300ER",'2026'!$I$4="FO",'2026'!$I$2=AV195),'2026DATA'!$E$14,"")</f>
        <v/>
      </c>
      <c r="AW207" s="518" t="str">
        <f>IF(AND(_3="B-767-300ER",'2026'!$I$4="FO",'2026'!$I$2=AW195),'2026DATA'!$F$14,"")</f>
        <v/>
      </c>
      <c r="AX207" s="518" t="str">
        <f>IF(AND(_3="B-767-300ER",'2026'!$I$4="FO",'2026'!$I$2=AX195),'2026DATA'!$G$14,"")</f>
        <v/>
      </c>
      <c r="AY207" s="518" t="str">
        <f>IF(AND(_3="B-767-300ER",'2026'!$I$4="FO",'2026'!$I$2=AY195),'2026DATA'!$H$14,"")</f>
        <v/>
      </c>
      <c r="AZ207" s="518" t="str">
        <f>IF(AND(_3="B-767-300ER",'2026'!$I$4="FO",'2026'!$I$2=AZ195),'2026DATA'!$I$14,"")</f>
        <v/>
      </c>
      <c r="BA207" s="518" t="str">
        <f>IF(AND(_3="B-767-300ER",'2026'!$I$4="FO",'2026'!$I$2=BA195),'2026DATA'!$J$14,"")</f>
        <v/>
      </c>
      <c r="BB207" s="518" t="str">
        <f>IF(AND(_3="B-767-300ER",'2026'!$I$4="FO",'2026'!$I$2=BB195),'2026DATA'!$K$14,"")</f>
        <v/>
      </c>
      <c r="BC207" s="518" t="str">
        <f>IF(AND(_3="B-767-300ER",'2026'!$I$4="FO",'2026'!$I$2=BC195),'2026DATA'!$L$14,"")</f>
        <v/>
      </c>
      <c r="BD207" s="518" t="str">
        <f>IF(AND(_3="B-767-300ER",'2026'!$I$4="FO",'2026'!$I$2=BD195),'2026DATA'!$M$14,"")</f>
        <v/>
      </c>
      <c r="BE207" s="520" t="str">
        <f>IF(AND(_3="B-767-300ER",'2026'!$I$4="FO",'2026'!$I$2=BE195),'2026DATA'!$N$14,"")</f>
        <v/>
      </c>
      <c r="BF207" s="940"/>
      <c r="BG207" s="13" t="s">
        <v>62</v>
      </c>
      <c r="BH207" s="518" t="str">
        <f>IF(AND(_4="B-767-300ER",'2026'!$I$4="FO",'2026'!$I$2=BH195),'2026DATA'!$C$14,"")</f>
        <v/>
      </c>
      <c r="BI207" s="518" t="str">
        <f>IF(AND(_4="B-767-300ER",'2026'!$I$4="FO",'2026'!$I$2=BI195),'2026DATA'!$D$14,"")</f>
        <v/>
      </c>
      <c r="BJ207" s="518" t="str">
        <f>IF(AND(_4="B-767-300ER",'2026'!$I$4="FO",'2026'!$I$2=BJ195),'2026DATA'!$E$14,"")</f>
        <v/>
      </c>
      <c r="BK207" s="518" t="str">
        <f>IF(AND(_4="B-767-300ER",'2026'!$I$4="FO",'2026'!$I$2=BK195),'2026DATA'!$F$14,"")</f>
        <v/>
      </c>
      <c r="BL207" s="518" t="str">
        <f>IF(AND(_4="B-767-300ER",'2026'!$I$4="FO",'2026'!$I$2=BL195),'2026DATA'!$G$14,"")</f>
        <v/>
      </c>
      <c r="BM207" s="518" t="str">
        <f>IF(AND(_4="B-767-300ER",'2026'!$I$4="FO",'2026'!$I$2=BM195),'2026DATA'!$H$14,"")</f>
        <v/>
      </c>
      <c r="BN207" s="518" t="str">
        <f>IF(AND(_4="B-767-300ER",'2026'!$I$4="FO",'2026'!$I$2=BN195),'2026DATA'!$I$14,"")</f>
        <v/>
      </c>
      <c r="BO207" s="518" t="str">
        <f>IF(AND(_4="B-767-300ER",'2026'!$I$4="FO",'2026'!$I$2=BO195),'2026DATA'!$J$14,"")</f>
        <v/>
      </c>
      <c r="BP207" s="518" t="str">
        <f>IF(AND(_4="B-767-300ER",'2026'!$I$4="FO",'2026'!$I$2=BP195),'2026DATA'!$K$14,"")</f>
        <v/>
      </c>
      <c r="BQ207" s="518" t="str">
        <f>IF(AND(_4="B-767-300ER",'2026'!$I$4="FO",'2026'!$I$2=BQ195),'2026DATA'!$L$14,"")</f>
        <v/>
      </c>
      <c r="BR207" s="518" t="str">
        <f>IF(AND(_4="B-767-300ER",'2026'!$I$4="FO",'2026'!$I$2=BR195),'2026DATA'!$M$14,"")</f>
        <v/>
      </c>
      <c r="BS207" s="520" t="str">
        <f>IF(AND(_4="B-767-300ER",'2026'!$I$4="FO",'2026'!$I$2=BS195),'2026DATA'!$N$14,"")</f>
        <v/>
      </c>
      <c r="BT207" s="940"/>
      <c r="BU207" s="13" t="s">
        <v>62</v>
      </c>
      <c r="BV207" s="518" t="str">
        <f>IF(AND(_5="B-767-300ER",'2026'!$I$4="FO",'2026'!$I$2=BV195),'2026DATA'!$C$14,"")</f>
        <v/>
      </c>
      <c r="BW207" s="518" t="str">
        <f>IF(AND(_5="B-767-300ER",'2026'!$I$4="FO",'2026'!$I$2=BW195),'2026DATA'!$D$14,"")</f>
        <v/>
      </c>
      <c r="BX207" s="518" t="str">
        <f>IF(AND(_5="B-767-300ER",'2026'!$I$4="FO",'2026'!$I$2=BX195),'2026DATA'!$E$14,"")</f>
        <v/>
      </c>
      <c r="BY207" s="518" t="str">
        <f>IF(AND(_5="B-767-300ER",'2026'!$I$4="FO",'2026'!$I$2=BY195),'2026DATA'!$F$14,"")</f>
        <v/>
      </c>
      <c r="BZ207" s="518" t="str">
        <f>IF(AND(_5="B-767-300ER",'2026'!$I$4="FO",'2026'!$I$2=BZ195),'2026DATA'!$G$14,"")</f>
        <v/>
      </c>
      <c r="CA207" s="518" t="str">
        <f>IF(AND(_5="B-767-300ER",'2026'!$I$4="FO",'2026'!$I$2=CA195),'2026DATA'!$H$14,"")</f>
        <v/>
      </c>
      <c r="CB207" s="518" t="str">
        <f>IF(AND(_5="B-767-300ER",'2026'!$I$4="FO",'2026'!$I$2=CB195),'2026DATA'!$I$14,"")</f>
        <v/>
      </c>
      <c r="CC207" s="518" t="str">
        <f>IF(AND(_5="B-767-300ER",'2026'!$I$4="FO",'2026'!$I$2=CC195),'2026DATA'!$J$14,"")</f>
        <v/>
      </c>
      <c r="CD207" s="518" t="str">
        <f>IF(AND(_5="B-767-300ER",'2026'!$I$4="FO",'2026'!$I$2=CD195),'2026DATA'!$K$14,"")</f>
        <v/>
      </c>
      <c r="CE207" s="518" t="str">
        <f>IF(AND(_5="B-767-300ER",'2026'!$I$4="FO",'2026'!$I$2=CE195),'2026DATA'!$L$14,"")</f>
        <v/>
      </c>
      <c r="CF207" s="518" t="str">
        <f>IF(AND(_5="B-767-300ER",'2026'!$I$4="FO",'2026'!$I$2=CF195),'2026DATA'!$M$14,"")</f>
        <v/>
      </c>
      <c r="CG207" s="520" t="str">
        <f>IF(AND(_5="B-767-300ER",'2026'!$I$4="FO",'2026'!$I$2=CG195),'2026DATA'!$N$14,"")</f>
        <v/>
      </c>
      <c r="CH207" s="940"/>
      <c r="CI207" s="13" t="s">
        <v>62</v>
      </c>
      <c r="CJ207" s="518" t="str">
        <f>IF(AND(_6="B-767-300ER",'2026'!$I$4="FO",'2026'!$I$2=CJ195),'2026DATA'!$C$14,"")</f>
        <v/>
      </c>
      <c r="CK207" s="518" t="str">
        <f>IF(AND(_6="B-767-300ER",'2026'!$I$4="FO",'2026'!$I$2=CK195),'2026DATA'!$D$14,"")</f>
        <v/>
      </c>
      <c r="CL207" s="518" t="str">
        <f>IF(AND(_6="B-767-300ER",'2026'!$I$4="FO",'2026'!$I$2=CL195),'2026DATA'!$E$14,"")</f>
        <v/>
      </c>
      <c r="CM207" s="518" t="str">
        <f>IF(AND(_6="B-767-300ER",'2026'!$I$4="FO",'2026'!$I$2=CM195),'2026DATA'!$F$14,"")</f>
        <v/>
      </c>
      <c r="CN207" s="518" t="str">
        <f>IF(AND(_6="B-767-300ER",'2026'!$I$4="FO",'2026'!$I$2=CN195),'2026DATA'!$G$14,"")</f>
        <v/>
      </c>
      <c r="CO207" s="518" t="str">
        <f>IF(AND(_6="B-767-300ER",'2026'!$I$4="FO",'2026'!$I$2=CO195),'2026DATA'!$H$14,"")</f>
        <v/>
      </c>
      <c r="CP207" s="518" t="str">
        <f>IF(AND(_6="B-767-300ER",'2026'!$I$4="FO",'2026'!$I$2=CP195),'2026DATA'!$I$14,"")</f>
        <v/>
      </c>
      <c r="CQ207" s="518" t="str">
        <f>IF(AND(_6="B-767-300ER",'2026'!$I$4="FO",'2026'!$I$2=CQ195),'2026DATA'!$J$14,"")</f>
        <v/>
      </c>
      <c r="CR207" s="518" t="str">
        <f>IF(AND(_6="B-767-300ER",'2026'!$I$4="FO",'2026'!$I$2=CR195),'2026DATA'!$K$14,"")</f>
        <v/>
      </c>
      <c r="CS207" s="518" t="str">
        <f>IF(AND(_6="B-767-300ER",'2026'!$I$4="FO",'2026'!$I$2=CS195),'2026DATA'!$L$14,"")</f>
        <v/>
      </c>
      <c r="CT207" s="518" t="str">
        <f>IF(AND(_6="B-767-300ER",'2026'!$I$4="FO",'2026'!$I$2=CT195),'2026DATA'!$M$14,"")</f>
        <v/>
      </c>
      <c r="CU207" s="520" t="str">
        <f>IF(AND(_6="B-767-300ER",'2026'!$I$4="FO",'2026'!$I$2=CU195),'2026DATA'!$N$14,"")</f>
        <v/>
      </c>
    </row>
    <row r="208" spans="16:99" x14ac:dyDescent="0.25">
      <c r="P208" s="940" t="s">
        <v>67</v>
      </c>
      <c r="Q208" s="13" t="s">
        <v>61</v>
      </c>
      <c r="R208" s="518" t="str">
        <f>IF(AND(_1="B-767-300",'2026'!$I$4="CA",'2026'!$I$2=R195),'2026DATA'!$C$15,"")</f>
        <v/>
      </c>
      <c r="S208" s="518" t="str">
        <f>IF(AND(_1="B-767-300",'2026'!$I$4="CA",'2026'!$I$2=S195),'2026DATA'!$D$15,"")</f>
        <v/>
      </c>
      <c r="T208" s="518" t="str">
        <f>IF(AND(_1="B-767-300",'2026'!$I$4="CA",'2026'!$I$2=T195),'2026DATA'!$E$15,"")</f>
        <v/>
      </c>
      <c r="U208" s="518" t="str">
        <f>IF(AND(_1="B-767-300",'2026'!$I$4="CA",'2026'!$I$2=U195),'2026DATA'!$F$15,"")</f>
        <v/>
      </c>
      <c r="V208" s="518" t="str">
        <f>IF(AND(_1="B-767-300",'2026'!$I$4="CA",'2026'!$I$2=V195),'2026DATA'!$G$15,"")</f>
        <v/>
      </c>
      <c r="W208" s="518" t="str">
        <f>IF(AND(_1="B-767-300",'2026'!$I$4="CA",'2026'!$I$2=W195),'2026DATA'!$H$15,"")</f>
        <v/>
      </c>
      <c r="X208" s="518" t="str">
        <f>IF(AND(_1="B-767-300",'2026'!$I$4="CA",'2026'!$I$2=X195),'2026DATA'!$I$15,"")</f>
        <v/>
      </c>
      <c r="Y208" s="518" t="str">
        <f>IF(AND(_1="B-767-300",'2026'!$I$4="CA",'2026'!$I$2=Y195),'2026DATA'!$J$15,"")</f>
        <v/>
      </c>
      <c r="Z208" s="518" t="str">
        <f>IF(AND(_1="B-767-300",'2026'!$I$4="CA",'2026'!$I$2=Z195),'2026DATA'!$K$15,"")</f>
        <v/>
      </c>
      <c r="AA208" s="518" t="str">
        <f>IF(AND(_1="B-767-300",'2026'!$I$4="CA",'2026'!$I$2=AA195),'2026DATA'!$L$15,"")</f>
        <v/>
      </c>
      <c r="AB208" s="518" t="str">
        <f>IF(AND(_1="B-767-300",'2026'!$I$4="CA",'2026'!$I$2=AB195),'2026DATA'!$M$15,"")</f>
        <v/>
      </c>
      <c r="AC208" s="520" t="str">
        <f>IF(AND(_1="B-767-300",'2026'!$I$4="CA",'2026'!$I$2=AC195),'2026DATA'!$N$15,"")</f>
        <v/>
      </c>
      <c r="AD208" s="940" t="s">
        <v>67</v>
      </c>
      <c r="AE208" s="13" t="s">
        <v>61</v>
      </c>
      <c r="AF208" s="518" t="str">
        <f>IF(AND(_2="B-767-300",'2026'!$I$4="CA",'2026'!$I$2=AF195),'2026DATA'!$C$15,"")</f>
        <v/>
      </c>
      <c r="AG208" s="518" t="str">
        <f>IF(AND(_2="B-767-300",'2026'!$I$4="CA",'2026'!$I$2=AG195),'2026DATA'!$D$15,"")</f>
        <v/>
      </c>
      <c r="AH208" s="518" t="str">
        <f>IF(AND(_2="B-767-300",'2026'!$I$4="CA",'2026'!$I$2=AH195),'2026DATA'!$E$15,"")</f>
        <v/>
      </c>
      <c r="AI208" s="518" t="str">
        <f>IF(AND(_2="B-767-300",'2026'!$I$4="CA",'2026'!$I$2=AI195),'2026DATA'!$F$15,"")</f>
        <v/>
      </c>
      <c r="AJ208" s="518" t="str">
        <f>IF(AND(_2="B-767-300",'2026'!$I$4="CA",'2026'!$I$2=AJ195),'2026DATA'!$G$15,"")</f>
        <v/>
      </c>
      <c r="AK208" s="518" t="str">
        <f>IF(AND(_2="B-767-300",'2026'!$I$4="CA",'2026'!$I$2=AK195),'2026DATA'!$H$15,"")</f>
        <v/>
      </c>
      <c r="AL208" s="518" t="str">
        <f>IF(AND(_2="B-767-300",'2026'!$I$4="CA",'2026'!$I$2=AL195),'2026DATA'!$I$15,"")</f>
        <v/>
      </c>
      <c r="AM208" s="518" t="str">
        <f>IF(AND(_2="B-767-300",'2026'!$I$4="CA",'2026'!$I$2=AM195),'2026DATA'!$J$15,"")</f>
        <v/>
      </c>
      <c r="AN208" s="518" t="str">
        <f>IF(AND(_2="B-767-300",'2026'!$I$4="CA",'2026'!$I$2=AN195),'2026DATA'!$K$15,"")</f>
        <v/>
      </c>
      <c r="AO208" s="518" t="str">
        <f>IF(AND(_2="B-767-300",'2026'!$I$4="CA",'2026'!$I$2=AO195),'2026DATA'!$L$15,"")</f>
        <v/>
      </c>
      <c r="AP208" s="518" t="str">
        <f>IF(AND(_2="B-767-300",'2026'!$I$4="CA",'2026'!$I$2=AP195),'2026DATA'!$M$15,"")</f>
        <v/>
      </c>
      <c r="AQ208" s="520" t="str">
        <f>IF(AND(_2="B-767-300",'2026'!$I$4="CA",'2026'!$I$2=AQ195),'2026DATA'!$N$15,"")</f>
        <v/>
      </c>
      <c r="AR208" s="940" t="s">
        <v>67</v>
      </c>
      <c r="AS208" s="13" t="s">
        <v>61</v>
      </c>
      <c r="AT208" s="518" t="str">
        <f>IF(AND(_3="B-767-300",'2026'!$I$4="CA",'2026'!$I$2=AT195),'2026DATA'!$C$15,"")</f>
        <v/>
      </c>
      <c r="AU208" s="518" t="str">
        <f>IF(AND(_3="B-767-300",'2026'!$I$4="CA",'2026'!$I$2=AU195),'2026DATA'!$D$15,"")</f>
        <v/>
      </c>
      <c r="AV208" s="518" t="str">
        <f>IF(AND(_3="B-767-300",'2026'!$I$4="CA",'2026'!$I$2=AV195),'2026DATA'!$E$15,"")</f>
        <v/>
      </c>
      <c r="AW208" s="518" t="str">
        <f>IF(AND(_3="B-767-300",'2026'!$I$4="CA",'2026'!$I$2=AW195),'2026DATA'!$F$15,"")</f>
        <v/>
      </c>
      <c r="AX208" s="518" t="str">
        <f>IF(AND(_3="B-767-300",'2026'!$I$4="CA",'2026'!$I$2=AX195),'2026DATA'!$G$15,"")</f>
        <v/>
      </c>
      <c r="AY208" s="518" t="str">
        <f>IF(AND(_3="B-767-300",'2026'!$I$4="CA",'2026'!$I$2=AY195),'2026DATA'!$H$15,"")</f>
        <v/>
      </c>
      <c r="AZ208" s="518" t="str">
        <f>IF(AND(_3="B-767-300",'2026'!$I$4="CA",'2026'!$I$2=AZ195),'2026DATA'!$I$15,"")</f>
        <v/>
      </c>
      <c r="BA208" s="518" t="str">
        <f>IF(AND(_3="B-767-300",'2026'!$I$4="CA",'2026'!$I$2=BA195),'2026DATA'!$J$15,"")</f>
        <v/>
      </c>
      <c r="BB208" s="518" t="str">
        <f>IF(AND(_3="B-767-300",'2026'!$I$4="CA",'2026'!$I$2=BB195),'2026DATA'!$K$15,"")</f>
        <v/>
      </c>
      <c r="BC208" s="518" t="str">
        <f>IF(AND(_3="B-767-300",'2026'!$I$4="CA",'2026'!$I$2=BC195),'2026DATA'!$L$15,"")</f>
        <v/>
      </c>
      <c r="BD208" s="518" t="str">
        <f>IF(AND(_3="B-767-300",'2026'!$I$4="CA",'2026'!$I$2=BD195),'2026DATA'!$M$15,"")</f>
        <v/>
      </c>
      <c r="BE208" s="520" t="str">
        <f>IF(AND(_3="B-767-300",'2026'!$I$4="CA",'2026'!$I$2=BE195),'2026DATA'!$N$15,"")</f>
        <v/>
      </c>
      <c r="BF208" s="940" t="s">
        <v>67</v>
      </c>
      <c r="BG208" s="13" t="s">
        <v>61</v>
      </c>
      <c r="BH208" s="518" t="str">
        <f>IF(AND(_4="B-767-300",'2026'!$I$4="CA",'2026'!$I$2=BH195),'2026DATA'!$C$15,"")</f>
        <v/>
      </c>
      <c r="BI208" s="518" t="str">
        <f>IF(AND(_4="B-767-300",'2026'!$I$4="CA",'2026'!$I$2=BI195),'2026DATA'!$D$15,"")</f>
        <v/>
      </c>
      <c r="BJ208" s="518" t="str">
        <f>IF(AND(_4="B-767-300",'2026'!$I$4="CA",'2026'!$I$2=BJ195),'2026DATA'!$E$15,"")</f>
        <v/>
      </c>
      <c r="BK208" s="518" t="str">
        <f>IF(AND(_4="B-767-300",'2026'!$I$4="CA",'2026'!$I$2=BK195),'2026DATA'!$F$15,"")</f>
        <v/>
      </c>
      <c r="BL208" s="518" t="str">
        <f>IF(AND(_4="B-767-300",'2026'!$I$4="CA",'2026'!$I$2=BL195),'2026DATA'!$G$15,"")</f>
        <v/>
      </c>
      <c r="BM208" s="518" t="str">
        <f>IF(AND(_4="B-767-300",'2026'!$I$4="CA",'2026'!$I$2=BM195),'2026DATA'!$H$15,"")</f>
        <v/>
      </c>
      <c r="BN208" s="518" t="str">
        <f>IF(AND(_4="B-767-300",'2026'!$I$4="CA",'2026'!$I$2=BN195),'2026DATA'!$I$15,"")</f>
        <v/>
      </c>
      <c r="BO208" s="518" t="str">
        <f>IF(AND(_4="B-767-300",'2026'!$I$4="CA",'2026'!$I$2=BO195),'2026DATA'!$J$15,"")</f>
        <v/>
      </c>
      <c r="BP208" s="518" t="str">
        <f>IF(AND(_4="B-767-300",'2026'!$I$4="CA",'2026'!$I$2=BP195),'2026DATA'!$K$15,"")</f>
        <v/>
      </c>
      <c r="BQ208" s="518" t="str">
        <f>IF(AND(_4="B-767-300",'2026'!$I$4="CA",'2026'!$I$2=BQ195),'2026DATA'!$L$15,"")</f>
        <v/>
      </c>
      <c r="BR208" s="518" t="str">
        <f>IF(AND(_4="B-767-300",'2026'!$I$4="CA",'2026'!$I$2=BR195),'2026DATA'!$M$15,"")</f>
        <v/>
      </c>
      <c r="BS208" s="520" t="str">
        <f>IF(AND(_4="B-767-300",'2026'!$I$4="CA",'2026'!$I$2=BS195),'2026DATA'!$N$15,"")</f>
        <v/>
      </c>
      <c r="BT208" s="940" t="s">
        <v>67</v>
      </c>
      <c r="BU208" s="13" t="s">
        <v>61</v>
      </c>
      <c r="BV208" s="518" t="str">
        <f>IF(AND(_5="B-767-300",'2026'!$I$4="CA",'2026'!$I$2=BV195),'2026DATA'!$C$15,"")</f>
        <v/>
      </c>
      <c r="BW208" s="518" t="str">
        <f>IF(AND(_5="B-767-300",'2026'!$I$4="CA",'2026'!$I$2=BW195),'2026DATA'!$D$15,"")</f>
        <v/>
      </c>
      <c r="BX208" s="518" t="str">
        <f>IF(AND(_5="B-767-300",'2026'!$I$4="CA",'2026'!$I$2=BX195),'2026DATA'!$E$15,"")</f>
        <v/>
      </c>
      <c r="BY208" s="518" t="str">
        <f>IF(AND(_5="B-767-300",'2026'!$I$4="CA",'2026'!$I$2=BY195),'2026DATA'!$F$15,"")</f>
        <v/>
      </c>
      <c r="BZ208" s="518" t="str">
        <f>IF(AND(_5="B-767-300",'2026'!$I$4="CA",'2026'!$I$2=BZ195),'2026DATA'!$G$15,"")</f>
        <v/>
      </c>
      <c r="CA208" s="518" t="str">
        <f>IF(AND(_5="B-767-300",'2026'!$I$4="CA",'2026'!$I$2=CA195),'2026DATA'!$H$15,"")</f>
        <v/>
      </c>
      <c r="CB208" s="518" t="str">
        <f>IF(AND(_5="B-767-300",'2026'!$I$4="CA",'2026'!$I$2=CB195),'2026DATA'!$I$15,"")</f>
        <v/>
      </c>
      <c r="CC208" s="518" t="str">
        <f>IF(AND(_5="B-767-300",'2026'!$I$4="CA",'2026'!$I$2=CC195),'2026DATA'!$J$15,"")</f>
        <v/>
      </c>
      <c r="CD208" s="518" t="str">
        <f>IF(AND(_5="B-767-300",'2026'!$I$4="CA",'2026'!$I$2=CD195),'2026DATA'!$K$15,"")</f>
        <v/>
      </c>
      <c r="CE208" s="518" t="str">
        <f>IF(AND(_5="B-767-300",'2026'!$I$4="CA",'2026'!$I$2=CE195),'2026DATA'!$L$15,"")</f>
        <v/>
      </c>
      <c r="CF208" s="518" t="str">
        <f>IF(AND(_5="B-767-300",'2026'!$I$4="CA",'2026'!$I$2=CF195),'2026DATA'!$M$15,"")</f>
        <v/>
      </c>
      <c r="CG208" s="520" t="str">
        <f>IF(AND(_5="B-767-300",'2026'!$I$4="CA",'2026'!$I$2=CG195),'2026DATA'!$N$15,"")</f>
        <v/>
      </c>
      <c r="CH208" s="940" t="s">
        <v>67</v>
      </c>
      <c r="CI208" s="13" t="s">
        <v>61</v>
      </c>
      <c r="CJ208" s="518" t="str">
        <f>IF(AND(_6="B-767-300",'2026'!$I$4="CA",'2026'!$I$2=CJ195),'2026DATA'!$C$15,"")</f>
        <v/>
      </c>
      <c r="CK208" s="518" t="str">
        <f>IF(AND(_6="B-767-300",'2026'!$I$4="CA",'2026'!$I$2=CK195),'2026DATA'!$D$15,"")</f>
        <v/>
      </c>
      <c r="CL208" s="518" t="str">
        <f>IF(AND(_6="B-767-300",'2026'!$I$4="CA",'2026'!$I$2=CL195),'2026DATA'!$E$15,"")</f>
        <v/>
      </c>
      <c r="CM208" s="518" t="str">
        <f>IF(AND(_6="B-767-300",'2026'!$I$4="CA",'2026'!$I$2=CM195),'2026DATA'!$F$15,"")</f>
        <v/>
      </c>
      <c r="CN208" s="518" t="str">
        <f>IF(AND(_6="B-767-300",'2026'!$I$4="CA",'2026'!$I$2=CN195),'2026DATA'!$G$15,"")</f>
        <v/>
      </c>
      <c r="CO208" s="518" t="str">
        <f>IF(AND(_6="B-767-300",'2026'!$I$4="CA",'2026'!$I$2=CO195),'2026DATA'!$H$15,"")</f>
        <v/>
      </c>
      <c r="CP208" s="518" t="str">
        <f>IF(AND(_6="B-767-300",'2026'!$I$4="CA",'2026'!$I$2=CP195),'2026DATA'!$I$15,"")</f>
        <v/>
      </c>
      <c r="CQ208" s="518" t="str">
        <f>IF(AND(_6="B-767-300",'2026'!$I$4="CA",'2026'!$I$2=CQ195),'2026DATA'!$J$15,"")</f>
        <v/>
      </c>
      <c r="CR208" s="518" t="str">
        <f>IF(AND(_6="B-767-300",'2026'!$I$4="CA",'2026'!$I$2=CR195),'2026DATA'!$K$15,"")</f>
        <v/>
      </c>
      <c r="CS208" s="518" t="str">
        <f>IF(AND(_6="B-767-300",'2026'!$I$4="CA",'2026'!$I$2=CS195),'2026DATA'!$L$15,"")</f>
        <v/>
      </c>
      <c r="CT208" s="518" t="str">
        <f>IF(AND(_6="B-767-300",'2026'!$I$4="CA",'2026'!$I$2=CT195),'2026DATA'!$M$15,"")</f>
        <v/>
      </c>
      <c r="CU208" s="520" t="str">
        <f>IF(AND(_6="B-767-300",'2026'!$I$4="CA",'2026'!$I$2=CU195),'2026DATA'!$N$15,"")</f>
        <v/>
      </c>
    </row>
    <row r="209" spans="16:99" x14ac:dyDescent="0.25">
      <c r="P209" s="940"/>
      <c r="Q209" s="13" t="s">
        <v>62</v>
      </c>
      <c r="R209" s="518" t="str">
        <f>IF(AND(_1="B-767-300",'2026'!$I$4="FO",'2026'!$I$2=R195),'2026DATA'!$C$16,"")</f>
        <v/>
      </c>
      <c r="S209" s="518" t="str">
        <f>IF(AND(_1="B-767-300",'2026'!$I$4="FO",'2026'!$I$2=S195),'2026DATA'!$D$16,"")</f>
        <v/>
      </c>
      <c r="T209" s="518" t="str">
        <f>IF(AND(_1="B-767-300",'2026'!$I$4="FO",'2026'!$I$2=T195),'2026DATA'!$E$16,"")</f>
        <v/>
      </c>
      <c r="U209" s="518" t="str">
        <f>IF(AND(_1="B-767-300",'2026'!$I$4="FO",'2026'!$I$2=U195),'2026DATA'!$F$16,"")</f>
        <v/>
      </c>
      <c r="V209" s="518" t="str">
        <f>IF(AND(_1="B-767-300",'2026'!$I$4="FO",'2026'!$I$2=V195),'2026DATA'!$G$16,"")</f>
        <v/>
      </c>
      <c r="W209" s="518" t="str">
        <f>IF(AND(_1="B-767-300",'2026'!$I$4="FO",'2026'!$I$2=W195),'2026DATA'!$H$16,"")</f>
        <v/>
      </c>
      <c r="X209" s="518" t="str">
        <f>IF(AND(_1="B-767-300",'2026'!$I$4="FO",'2026'!$I$2=X195),'2026DATA'!$I$16,"")</f>
        <v/>
      </c>
      <c r="Y209" s="518" t="str">
        <f>IF(AND(_1="B-767-300",'2026'!$I$4="FO",'2026'!$I$2=Y195),'2026DATA'!$J$16,"")</f>
        <v/>
      </c>
      <c r="Z209" s="518" t="str">
        <f>IF(AND(_1="B-767-300",'2026'!$I$4="FO",'2026'!$I$2=Z195),'2026DATA'!$K$16,"")</f>
        <v/>
      </c>
      <c r="AA209" s="518" t="str">
        <f>IF(AND(_1="B-767-300",'2026'!$I$4="FO",'2026'!$I$2=AA195),'2026DATA'!$L$16,"")</f>
        <v/>
      </c>
      <c r="AB209" s="518" t="str">
        <f>IF(AND(_1="B-767-300",'2026'!$I$4="FO",'2026'!$I$2=AB195),'2026DATA'!$M$16,"")</f>
        <v/>
      </c>
      <c r="AC209" s="520" t="str">
        <f>IF(AND(_1="B-767-300",'2026'!$I$4="FO",'2026'!$I$2=AC195),'2026DATA'!$N$16,"")</f>
        <v/>
      </c>
      <c r="AD209" s="940"/>
      <c r="AE209" s="13" t="s">
        <v>62</v>
      </c>
      <c r="AF209" s="518" t="str">
        <f>IF(AND(_2="B-767-300",'2026'!$I$4="FO",'2026'!$I$2=AF195),'2026DATA'!$C$16,"")</f>
        <v/>
      </c>
      <c r="AG209" s="518" t="str">
        <f>IF(AND(_2="B-767-300",'2026'!$I$4="FO",'2026'!$I$2=AG195),'2026DATA'!$D$16,"")</f>
        <v/>
      </c>
      <c r="AH209" s="518" t="str">
        <f>IF(AND(_2="B-767-300",'2026'!$I$4="FO",'2026'!$I$2=AH195),'2026DATA'!$E$16,"")</f>
        <v/>
      </c>
      <c r="AI209" s="518" t="str">
        <f>IF(AND(_2="B-767-300",'2026'!$I$4="FO",'2026'!$I$2=AI195),'2026DATA'!$F$16,"")</f>
        <v/>
      </c>
      <c r="AJ209" s="518" t="str">
        <f>IF(AND(_2="B-767-300",'2026'!$I$4="FO",'2026'!$I$2=AJ195),'2026DATA'!$G$16,"")</f>
        <v/>
      </c>
      <c r="AK209" s="518" t="str">
        <f>IF(AND(_2="B-767-300",'2026'!$I$4="FO",'2026'!$I$2=AK195),'2026DATA'!$H$16,"")</f>
        <v/>
      </c>
      <c r="AL209" s="518" t="str">
        <f>IF(AND(_2="B-767-300",'2026'!$I$4="FO",'2026'!$I$2=AL195),'2026DATA'!$I$16,"")</f>
        <v/>
      </c>
      <c r="AM209" s="518" t="str">
        <f>IF(AND(_2="B-767-300",'2026'!$I$4="FO",'2026'!$I$2=AM195),'2026DATA'!$J$16,"")</f>
        <v/>
      </c>
      <c r="AN209" s="518" t="str">
        <f>IF(AND(_2="B-767-300",'2026'!$I$4="FO",'2026'!$I$2=AN195),'2026DATA'!$K$16,"")</f>
        <v/>
      </c>
      <c r="AO209" s="518" t="str">
        <f>IF(AND(_2="B-767-300",'2026'!$I$4="FO",'2026'!$I$2=AO195),'2026DATA'!$L$16,"")</f>
        <v/>
      </c>
      <c r="AP209" s="518" t="str">
        <f>IF(AND(_2="B-767-300",'2026'!$I$4="FO",'2026'!$I$2=AP195),'2026DATA'!$M$16,"")</f>
        <v/>
      </c>
      <c r="AQ209" s="520" t="str">
        <f>IF(AND(_2="B-767-300",'2026'!$I$4="FO",'2026'!$I$2=AQ195),'2026DATA'!$N$16,"")</f>
        <v/>
      </c>
      <c r="AR209" s="940"/>
      <c r="AS209" s="13" t="s">
        <v>62</v>
      </c>
      <c r="AT209" s="518" t="str">
        <f>IF(AND(_3="B-767-300",'2026'!$I$4="FO",'2026'!$I$2=AT195),'2026DATA'!$C$16,"")</f>
        <v/>
      </c>
      <c r="AU209" s="518" t="str">
        <f>IF(AND(_3="B-767-300",'2026'!$I$4="FO",'2026'!$I$2=AU195),'2026DATA'!$D$16,"")</f>
        <v/>
      </c>
      <c r="AV209" s="518" t="str">
        <f>IF(AND(_3="B-767-300",'2026'!$I$4="FO",'2026'!$I$2=AV195),'2026DATA'!$E$16,"")</f>
        <v/>
      </c>
      <c r="AW209" s="518" t="str">
        <f>IF(AND(_3="B-767-300",'2026'!$I$4="FO",'2026'!$I$2=AW195),'2026DATA'!$F$16,"")</f>
        <v/>
      </c>
      <c r="AX209" s="518" t="str">
        <f>IF(AND(_3="B-767-300",'2026'!$I$4="FO",'2026'!$I$2=AX195),'2026DATA'!$G$16,"")</f>
        <v/>
      </c>
      <c r="AY209" s="518" t="str">
        <f>IF(AND(_3="B-767-300",'2026'!$I$4="FO",'2026'!$I$2=AY195),'2026DATA'!$H$16,"")</f>
        <v/>
      </c>
      <c r="AZ209" s="518" t="str">
        <f>IF(AND(_3="B-767-300",'2026'!$I$4="FO",'2026'!$I$2=AZ195),'2026DATA'!$I$16,"")</f>
        <v/>
      </c>
      <c r="BA209" s="518" t="str">
        <f>IF(AND(_3="B-767-300",'2026'!$I$4="FO",'2026'!$I$2=BA195),'2026DATA'!$J$16,"")</f>
        <v/>
      </c>
      <c r="BB209" s="518" t="str">
        <f>IF(AND(_3="B-767-300",'2026'!$I$4="FO",'2026'!$I$2=BB195),'2026DATA'!$K$16,"")</f>
        <v/>
      </c>
      <c r="BC209" s="518" t="str">
        <f>IF(AND(_3="B-767-300",'2026'!$I$4="FO",'2026'!$I$2=BC195),'2026DATA'!$L$16,"")</f>
        <v/>
      </c>
      <c r="BD209" s="518" t="str">
        <f>IF(AND(_3="B-767-300",'2026'!$I$4="FO",'2026'!$I$2=BD195),'2026DATA'!$M$16,"")</f>
        <v/>
      </c>
      <c r="BE209" s="520" t="str">
        <f>IF(AND(_3="B-767-300",'2026'!$I$4="FO",'2026'!$I$2=BE195),'2026DATA'!$N$16,"")</f>
        <v/>
      </c>
      <c r="BF209" s="940"/>
      <c r="BG209" s="13" t="s">
        <v>62</v>
      </c>
      <c r="BH209" s="518" t="str">
        <f>IF(AND(_4="B-767-300",'2026'!$I$4="FO",'2026'!$I$2=BH195),'2026DATA'!$C$16,"")</f>
        <v/>
      </c>
      <c r="BI209" s="518" t="str">
        <f>IF(AND(_4="B-767-300",'2026'!$I$4="FO",'2026'!$I$2=BI195),'2026DATA'!$D$16,"")</f>
        <v/>
      </c>
      <c r="BJ209" s="518" t="str">
        <f>IF(AND(_4="B-767-300",'2026'!$I$4="FO",'2026'!$I$2=BJ195),'2026DATA'!$E$16,"")</f>
        <v/>
      </c>
      <c r="BK209" s="518" t="str">
        <f>IF(AND(_4="B-767-300",'2026'!$I$4="FO",'2026'!$I$2=BK195),'2026DATA'!$F$16,"")</f>
        <v/>
      </c>
      <c r="BL209" s="518" t="str">
        <f>IF(AND(_4="B-767-300",'2026'!$I$4="FO",'2026'!$I$2=BL195),'2026DATA'!$G$16,"")</f>
        <v/>
      </c>
      <c r="BM209" s="518" t="str">
        <f>IF(AND(_4="B-767-300",'2026'!$I$4="FO",'2026'!$I$2=BM195),'2026DATA'!$H$16,"")</f>
        <v/>
      </c>
      <c r="BN209" s="518" t="str">
        <f>IF(AND(_4="B-767-300",'2026'!$I$4="FO",'2026'!$I$2=BN195),'2026DATA'!$I$16,"")</f>
        <v/>
      </c>
      <c r="BO209" s="518" t="str">
        <f>IF(AND(_4="B-767-300",'2026'!$I$4="FO",'2026'!$I$2=BO195),'2026DATA'!$J$16,"")</f>
        <v/>
      </c>
      <c r="BP209" s="518" t="str">
        <f>IF(AND(_4="B-767-300",'2026'!$I$4="FO",'2026'!$I$2=BP195),'2026DATA'!$K$16,"")</f>
        <v/>
      </c>
      <c r="BQ209" s="518" t="str">
        <f>IF(AND(_4="B-767-300",'2026'!$I$4="FO",'2026'!$I$2=BQ195),'2026DATA'!$L$16,"")</f>
        <v/>
      </c>
      <c r="BR209" s="518" t="str">
        <f>IF(AND(_4="B-767-300",'2026'!$I$4="FO",'2026'!$I$2=BR195),'2026DATA'!$M$16,"")</f>
        <v/>
      </c>
      <c r="BS209" s="520" t="str">
        <f>IF(AND(_4="B-767-300",'2026'!$I$4="FO",'2026'!$I$2=BS195),'2026DATA'!$N$16,"")</f>
        <v/>
      </c>
      <c r="BT209" s="940"/>
      <c r="BU209" s="13" t="s">
        <v>62</v>
      </c>
      <c r="BV209" s="518" t="str">
        <f>IF(AND(_5="B-767-300",'2026'!$I$4="FO",'2026'!$I$2=BV195),'2026DATA'!$C$16,"")</f>
        <v/>
      </c>
      <c r="BW209" s="518" t="str">
        <f>IF(AND(_5="B-767-300",'2026'!$I$4="FO",'2026'!$I$2=BW195),'2026DATA'!$D$16,"")</f>
        <v/>
      </c>
      <c r="BX209" s="518" t="str">
        <f>IF(AND(_5="B-767-300",'2026'!$I$4="FO",'2026'!$I$2=BX195),'2026DATA'!$E$16,"")</f>
        <v/>
      </c>
      <c r="BY209" s="518" t="str">
        <f>IF(AND(_5="B-767-300",'2026'!$I$4="FO",'2026'!$I$2=BY195),'2026DATA'!$F$16,"")</f>
        <v/>
      </c>
      <c r="BZ209" s="518" t="str">
        <f>IF(AND(_5="B-767-300",'2026'!$I$4="FO",'2026'!$I$2=BZ195),'2026DATA'!$G$16,"")</f>
        <v/>
      </c>
      <c r="CA209" s="518" t="str">
        <f>IF(AND(_5="B-767-300",'2026'!$I$4="FO",'2026'!$I$2=CA195),'2026DATA'!$H$16,"")</f>
        <v/>
      </c>
      <c r="CB209" s="518" t="str">
        <f>IF(AND(_5="B-767-300",'2026'!$I$4="FO",'2026'!$I$2=CB195),'2026DATA'!$I$16,"")</f>
        <v/>
      </c>
      <c r="CC209" s="518" t="str">
        <f>IF(AND(_5="B-767-300",'2026'!$I$4="FO",'2026'!$I$2=CC195),'2026DATA'!$J$16,"")</f>
        <v/>
      </c>
      <c r="CD209" s="518" t="str">
        <f>IF(AND(_5="B-767-300",'2026'!$I$4="FO",'2026'!$I$2=CD195),'2026DATA'!$K$16,"")</f>
        <v/>
      </c>
      <c r="CE209" s="518" t="str">
        <f>IF(AND(_5="B-767-300",'2026'!$I$4="FO",'2026'!$I$2=CE195),'2026DATA'!$L$16,"")</f>
        <v/>
      </c>
      <c r="CF209" s="518" t="str">
        <f>IF(AND(_5="B-767-300",'2026'!$I$4="FO",'2026'!$I$2=CF195),'2026DATA'!$M$16,"")</f>
        <v/>
      </c>
      <c r="CG209" s="520" t="str">
        <f>IF(AND(_5="B-767-300",'2026'!$I$4="FO",'2026'!$I$2=CG195),'2026DATA'!$N$16,"")</f>
        <v/>
      </c>
      <c r="CH209" s="940"/>
      <c r="CI209" s="13" t="s">
        <v>62</v>
      </c>
      <c r="CJ209" s="518" t="str">
        <f>IF(AND(_6="B-767-300",'2026'!$I$4="FO",'2026'!$I$2=CJ195),'2026DATA'!$C$16,"")</f>
        <v/>
      </c>
      <c r="CK209" s="518" t="str">
        <f>IF(AND(_6="B-767-300",'2026'!$I$4="FO",'2026'!$I$2=CK195),'2026DATA'!$D$16,"")</f>
        <v/>
      </c>
      <c r="CL209" s="518" t="str">
        <f>IF(AND(_6="B-767-300",'2026'!$I$4="FO",'2026'!$I$2=CL195),'2026DATA'!$E$16,"")</f>
        <v/>
      </c>
      <c r="CM209" s="518" t="str">
        <f>IF(AND(_6="B-767-300",'2026'!$I$4="FO",'2026'!$I$2=CM195),'2026DATA'!$F$16,"")</f>
        <v/>
      </c>
      <c r="CN209" s="518" t="str">
        <f>IF(AND(_6="B-767-300",'2026'!$I$4="FO",'2026'!$I$2=CN195),'2026DATA'!$G$16,"")</f>
        <v/>
      </c>
      <c r="CO209" s="518" t="str">
        <f>IF(AND(_6="B-767-300",'2026'!$I$4="FO",'2026'!$I$2=CO195),'2026DATA'!$H$16,"")</f>
        <v/>
      </c>
      <c r="CP209" s="518" t="str">
        <f>IF(AND(_6="B-767-300",'2026'!$I$4="FO",'2026'!$I$2=CP195),'2026DATA'!$I$16,"")</f>
        <v/>
      </c>
      <c r="CQ209" s="518" t="str">
        <f>IF(AND(_6="B-767-300",'2026'!$I$4="FO",'2026'!$I$2=CQ195),'2026DATA'!$J$16,"")</f>
        <v/>
      </c>
      <c r="CR209" s="518" t="str">
        <f>IF(AND(_6="B-767-300",'2026'!$I$4="FO",'2026'!$I$2=CR195),'2026DATA'!$K$16,"")</f>
        <v/>
      </c>
      <c r="CS209" s="518" t="str">
        <f>IF(AND(_6="B-767-300",'2026'!$I$4="FO",'2026'!$I$2=CS195),'2026DATA'!$L$16,"")</f>
        <v/>
      </c>
      <c r="CT209" s="518" t="str">
        <f>IF(AND(_6="B-767-300",'2026'!$I$4="FO",'2026'!$I$2=CT195),'2026DATA'!$M$16,"")</f>
        <v/>
      </c>
      <c r="CU209" s="520" t="str">
        <f>IF(AND(_6="B-767-300",'2026'!$I$4="FO",'2026'!$I$2=CU195),'2026DATA'!$N$16,"")</f>
        <v/>
      </c>
    </row>
    <row r="210" spans="16:99" x14ac:dyDescent="0.25">
      <c r="P210" s="940" t="s">
        <v>68</v>
      </c>
      <c r="Q210" s="13" t="s">
        <v>61</v>
      </c>
      <c r="R210" s="518" t="str">
        <f>IF(AND(_1="B-767-200",'2026'!$I$4="CA",'2026'!$I$2=R195),'2026DATA'!$C$17,"")</f>
        <v/>
      </c>
      <c r="S210" s="518" t="str">
        <f>IF(AND(_1="B-767-200",'2026'!$I$4="CA",'2026'!$I$2=S195),'2026DATA'!$D$17,"")</f>
        <v/>
      </c>
      <c r="T210" s="518" t="str">
        <f>IF(AND(_1="B-767-200",'2026'!$I$4="CA",'2026'!$I$2=T195),'2026DATA'!$E$17,"")</f>
        <v/>
      </c>
      <c r="U210" s="518" t="str">
        <f>IF(AND(_1="B-767-200",'2026'!$I$4="CA",'2026'!$I$2=U195),'2026DATA'!$F$17,"")</f>
        <v/>
      </c>
      <c r="V210" s="518" t="str">
        <f>IF(AND(_1="B-767-200",'2026'!$I$4="CA",'2026'!$I$2=V195),'2026DATA'!$G$17,"")</f>
        <v/>
      </c>
      <c r="W210" s="518" t="str">
        <f>IF(AND(_1="B-767-200",'2026'!$I$4="CA",'2026'!$I$2=W195),'2026DATA'!$H$17,"")</f>
        <v/>
      </c>
      <c r="X210" s="518" t="str">
        <f>IF(AND(_1="B-767-200",'2026'!$I$4="CA",'2026'!$I$2=X195),'2026DATA'!$I$17,"")</f>
        <v/>
      </c>
      <c r="Y210" s="518" t="str">
        <f>IF(AND(_1="B-767-200",'2026'!$I$4="CA",'2026'!$I$2=Y195),'2026DATA'!$J$17,"")</f>
        <v/>
      </c>
      <c r="Z210" s="518" t="str">
        <f>IF(AND(_1="B-767-200",'2026'!$I$4="CA",'2026'!$I$2=Z195),'2026DATA'!$K$17,"")</f>
        <v/>
      </c>
      <c r="AA210" s="518" t="str">
        <f>IF(AND(_1="B-767-200",'2026'!$I$4="CA",'2026'!$I$2=AA195),'2026DATA'!$L$17,"")</f>
        <v/>
      </c>
      <c r="AB210" s="518" t="str">
        <f>IF(AND(_1="B-767-200",'2026'!$I$4="CA",'2026'!$I$2=AB195),'2026DATA'!$M$17,"")</f>
        <v/>
      </c>
      <c r="AC210" s="520" t="str">
        <f>IF(AND(_1="B-767-200",'2026'!$I$4="CA",'2026'!$I$2=AC195),'2026DATA'!$N$17,"")</f>
        <v/>
      </c>
      <c r="AD210" s="940" t="s">
        <v>68</v>
      </c>
      <c r="AE210" s="13" t="s">
        <v>61</v>
      </c>
      <c r="AF210" s="518" t="str">
        <f>IF(AND(_2="B-767-200",'2026'!$I$4="CA",'2026'!$I$2=AF195),'2026DATA'!$C$17,"")</f>
        <v/>
      </c>
      <c r="AG210" s="518" t="str">
        <f>IF(AND(_2="B-767-200",'2026'!$I$4="CA",'2026'!$I$2=AG195),'2026DATA'!$D$17,"")</f>
        <v/>
      </c>
      <c r="AH210" s="518" t="str">
        <f>IF(AND(_2="B-767-200",'2026'!$I$4="CA",'2026'!$I$2=AH195),'2026DATA'!$E$17,"")</f>
        <v/>
      </c>
      <c r="AI210" s="518" t="str">
        <f>IF(AND(_2="B-767-200",'2026'!$I$4="CA",'2026'!$I$2=AI195),'2026DATA'!$F$17,"")</f>
        <v/>
      </c>
      <c r="AJ210" s="518" t="str">
        <f>IF(AND(_2="B-767-200",'2026'!$I$4="CA",'2026'!$I$2=AJ195),'2026DATA'!$G$17,"")</f>
        <v/>
      </c>
      <c r="AK210" s="518" t="str">
        <f>IF(AND(_2="B-767-200",'2026'!$I$4="CA",'2026'!$I$2=AK195),'2026DATA'!$H$17,"")</f>
        <v/>
      </c>
      <c r="AL210" s="518" t="str">
        <f>IF(AND(_2="B-767-200",'2026'!$I$4="CA",'2026'!$I$2=AL195),'2026DATA'!$I$17,"")</f>
        <v/>
      </c>
      <c r="AM210" s="518" t="str">
        <f>IF(AND(_2="B-767-200",'2026'!$I$4="CA",'2026'!$I$2=AM195),'2026DATA'!$J$17,"")</f>
        <v/>
      </c>
      <c r="AN210" s="518" t="str">
        <f>IF(AND(_2="B-767-200",'2026'!$I$4="CA",'2026'!$I$2=AN195),'2026DATA'!$K$17,"")</f>
        <v/>
      </c>
      <c r="AO210" s="518" t="str">
        <f>IF(AND(_2="B-767-200",'2026'!$I$4="CA",'2026'!$I$2=AO195),'2026DATA'!$L$17,"")</f>
        <v/>
      </c>
      <c r="AP210" s="518" t="str">
        <f>IF(AND(_2="B-767-200",'2026'!$I$4="CA",'2026'!$I$2=AP195),'2026DATA'!$M$17,"")</f>
        <v/>
      </c>
      <c r="AQ210" s="520" t="str">
        <f>IF(AND(_2="B-767-200",'2026'!$I$4="CA",'2026'!$I$2=AQ195),'2026DATA'!$N$17,"")</f>
        <v/>
      </c>
      <c r="AR210" s="940" t="s">
        <v>68</v>
      </c>
      <c r="AS210" s="13" t="s">
        <v>61</v>
      </c>
      <c r="AT210" s="518" t="str">
        <f>IF(AND(_3="B-767-200",'2026'!$I$4="CA",'2026'!$I$2=AT195),'2026DATA'!$C$17,"")</f>
        <v/>
      </c>
      <c r="AU210" s="518" t="str">
        <f>IF(AND(_3="B-767-200",'2026'!$I$4="CA",'2026'!$I$2=AU195),'2026DATA'!$D$17,"")</f>
        <v/>
      </c>
      <c r="AV210" s="518" t="str">
        <f>IF(AND(_3="B-767-200",'2026'!$I$4="CA",'2026'!$I$2=AV195),'2026DATA'!$E$17,"")</f>
        <v/>
      </c>
      <c r="AW210" s="518" t="str">
        <f>IF(AND(_3="B-767-200",'2026'!$I$4="CA",'2026'!$I$2=AW195),'2026DATA'!$F$17,"")</f>
        <v/>
      </c>
      <c r="AX210" s="518" t="str">
        <f>IF(AND(_3="B-767-200",'2026'!$I$4="CA",'2026'!$I$2=AX195),'2026DATA'!$G$17,"")</f>
        <v/>
      </c>
      <c r="AY210" s="518" t="str">
        <f>IF(AND(_3="B-767-200",'2026'!$I$4="CA",'2026'!$I$2=AY195),'2026DATA'!$H$17,"")</f>
        <v/>
      </c>
      <c r="AZ210" s="518" t="str">
        <f>IF(AND(_3="B-767-200",'2026'!$I$4="CA",'2026'!$I$2=AZ195),'2026DATA'!$I$17,"")</f>
        <v/>
      </c>
      <c r="BA210" s="518" t="str">
        <f>IF(AND(_3="B-767-200",'2026'!$I$4="CA",'2026'!$I$2=BA195),'2026DATA'!$J$17,"")</f>
        <v/>
      </c>
      <c r="BB210" s="518" t="str">
        <f>IF(AND(_3="B-767-200",'2026'!$I$4="CA",'2026'!$I$2=BB195),'2026DATA'!$K$17,"")</f>
        <v/>
      </c>
      <c r="BC210" s="518" t="str">
        <f>IF(AND(_3="B-767-200",'2026'!$I$4="CA",'2026'!$I$2=BC195),'2026DATA'!$L$17,"")</f>
        <v/>
      </c>
      <c r="BD210" s="518" t="str">
        <f>IF(AND(_3="B-767-200",'2026'!$I$4="CA",'2026'!$I$2=BD195),'2026DATA'!$M$17,"")</f>
        <v/>
      </c>
      <c r="BE210" s="520" t="str">
        <f>IF(AND(_3="B-767-200",'2026'!$I$4="CA",'2026'!$I$2=BE195),'2026DATA'!$N$17,"")</f>
        <v/>
      </c>
      <c r="BF210" s="940" t="s">
        <v>68</v>
      </c>
      <c r="BG210" s="13" t="s">
        <v>61</v>
      </c>
      <c r="BH210" s="518" t="str">
        <f>IF(AND(_4="B-767-200",'2026'!$I$4="CA",'2026'!$I$2=BH195),'2026DATA'!$C$17,"")</f>
        <v/>
      </c>
      <c r="BI210" s="518" t="str">
        <f>IF(AND(_4="B-767-200",'2026'!$I$4="CA",'2026'!$I$2=BI195),'2026DATA'!$D$17,"")</f>
        <v/>
      </c>
      <c r="BJ210" s="518" t="str">
        <f>IF(AND(_4="B-767-200",'2026'!$I$4="CA",'2026'!$I$2=BJ195),'2026DATA'!$E$17,"")</f>
        <v/>
      </c>
      <c r="BK210" s="518" t="str">
        <f>IF(AND(_4="B-767-200",'2026'!$I$4="CA",'2026'!$I$2=BK195),'2026DATA'!$F$17,"")</f>
        <v/>
      </c>
      <c r="BL210" s="518" t="str">
        <f>IF(AND(_4="B-767-200",'2026'!$I$4="CA",'2026'!$I$2=BL195),'2026DATA'!$G$17,"")</f>
        <v/>
      </c>
      <c r="BM210" s="518" t="str">
        <f>IF(AND(_4="B-767-200",'2026'!$I$4="CA",'2026'!$I$2=BM195),'2026DATA'!$H$17,"")</f>
        <v/>
      </c>
      <c r="BN210" s="518" t="str">
        <f>IF(AND(_4="B-767-200",'2026'!$I$4="CA",'2026'!$I$2=BN195),'2026DATA'!$I$17,"")</f>
        <v/>
      </c>
      <c r="BO210" s="518" t="str">
        <f>IF(AND(_4="B-767-200",'2026'!$I$4="CA",'2026'!$I$2=BO195),'2026DATA'!$J$17,"")</f>
        <v/>
      </c>
      <c r="BP210" s="518" t="str">
        <f>IF(AND(_4="B-767-200",'2026'!$I$4="CA",'2026'!$I$2=BP195),'2026DATA'!$K$17,"")</f>
        <v/>
      </c>
      <c r="BQ210" s="518" t="str">
        <f>IF(AND(_4="B-767-200",'2026'!$I$4="CA",'2026'!$I$2=BQ195),'2026DATA'!$L$17,"")</f>
        <v/>
      </c>
      <c r="BR210" s="518" t="str">
        <f>IF(AND(_4="B-767-200",'2026'!$I$4="CA",'2026'!$I$2=BR195),'2026DATA'!$M$17,"")</f>
        <v/>
      </c>
      <c r="BS210" s="520" t="str">
        <f>IF(AND(_4="B-767-200",'2026'!$I$4="CA",'2026'!$I$2=BS195),'2026DATA'!$N$17,"")</f>
        <v/>
      </c>
      <c r="BT210" s="940" t="s">
        <v>68</v>
      </c>
      <c r="BU210" s="13" t="s">
        <v>61</v>
      </c>
      <c r="BV210" s="518" t="str">
        <f>IF(AND(_5="B-767-200",'2026'!$I$4="CA",'2026'!$I$2=BV195),'2026DATA'!$C$17,"")</f>
        <v/>
      </c>
      <c r="BW210" s="518" t="str">
        <f>IF(AND(_5="B-767-200",'2026'!$I$4="CA",'2026'!$I$2=BW195),'2026DATA'!$D$17,"")</f>
        <v/>
      </c>
      <c r="BX210" s="518" t="str">
        <f>IF(AND(_5="B-767-200",'2026'!$I$4="CA",'2026'!$I$2=BX195),'2026DATA'!$E$17,"")</f>
        <v/>
      </c>
      <c r="BY210" s="518" t="str">
        <f>IF(AND(_5="B-767-200",'2026'!$I$4="CA",'2026'!$I$2=BY195),'2026DATA'!$F$17,"")</f>
        <v/>
      </c>
      <c r="BZ210" s="518" t="str">
        <f>IF(AND(_5="B-767-200",'2026'!$I$4="CA",'2026'!$I$2=BZ195),'2026DATA'!$G$17,"")</f>
        <v/>
      </c>
      <c r="CA210" s="518" t="str">
        <f>IF(AND(_5="B-767-200",'2026'!$I$4="CA",'2026'!$I$2=CA195),'2026DATA'!$H$17,"")</f>
        <v/>
      </c>
      <c r="CB210" s="518" t="str">
        <f>IF(AND(_5="B-767-200",'2026'!$I$4="CA",'2026'!$I$2=CB195),'2026DATA'!$I$17,"")</f>
        <v/>
      </c>
      <c r="CC210" s="518" t="str">
        <f>IF(AND(_5="B-767-200",'2026'!$I$4="CA",'2026'!$I$2=CC195),'2026DATA'!$J$17,"")</f>
        <v/>
      </c>
      <c r="CD210" s="518" t="str">
        <f>IF(AND(_5="B-767-200",'2026'!$I$4="CA",'2026'!$I$2=CD195),'2026DATA'!$K$17,"")</f>
        <v/>
      </c>
      <c r="CE210" s="518" t="str">
        <f>IF(AND(_5="B-767-200",'2026'!$I$4="CA",'2026'!$I$2=CE195),'2026DATA'!$L$17,"")</f>
        <v/>
      </c>
      <c r="CF210" s="518" t="str">
        <f>IF(AND(_5="B-767-200",'2026'!$I$4="CA",'2026'!$I$2=CF195),'2026DATA'!$M$17,"")</f>
        <v/>
      </c>
      <c r="CG210" s="520" t="str">
        <f>IF(AND(_5="B-767-200",'2026'!$I$4="CA",'2026'!$I$2=CG195),'2026DATA'!$N$17,"")</f>
        <v/>
      </c>
      <c r="CH210" s="940" t="s">
        <v>68</v>
      </c>
      <c r="CI210" s="13" t="s">
        <v>61</v>
      </c>
      <c r="CJ210" s="518" t="str">
        <f>IF(AND(_6="B-767-200",'2026'!$I$4="CA",'2026'!$I$2=CJ195),'2026DATA'!$C$17,"")</f>
        <v/>
      </c>
      <c r="CK210" s="518" t="str">
        <f>IF(AND(_6="B-767-200",'2026'!$I$4="CA",'2026'!$I$2=CK195),'2026DATA'!$D$17,"")</f>
        <v/>
      </c>
      <c r="CL210" s="518" t="str">
        <f>IF(AND(_6="B-767-200",'2026'!$I$4="CA",'2026'!$I$2=CL195),'2026DATA'!$E$17,"")</f>
        <v/>
      </c>
      <c r="CM210" s="518" t="str">
        <f>IF(AND(_6="B-767-200",'2026'!$I$4="CA",'2026'!$I$2=CM195),'2026DATA'!$F$17,"")</f>
        <v/>
      </c>
      <c r="CN210" s="518" t="str">
        <f>IF(AND(_6="B-767-200",'2026'!$I$4="CA",'2026'!$I$2=CN195),'2026DATA'!$G$17,"")</f>
        <v/>
      </c>
      <c r="CO210" s="518" t="str">
        <f>IF(AND(_6="B-767-200",'2026'!$I$4="CA",'2026'!$I$2=CO195),'2026DATA'!$H$17,"")</f>
        <v/>
      </c>
      <c r="CP210" s="518" t="str">
        <f>IF(AND(_6="B-767-200",'2026'!$I$4="CA",'2026'!$I$2=CP195),'2026DATA'!$I$17,"")</f>
        <v/>
      </c>
      <c r="CQ210" s="518" t="str">
        <f>IF(AND(_6="B-767-200",'2026'!$I$4="CA",'2026'!$I$2=CQ195),'2026DATA'!$J$17,"")</f>
        <v/>
      </c>
      <c r="CR210" s="518" t="str">
        <f>IF(AND(_6="B-767-200",'2026'!$I$4="CA",'2026'!$I$2=CR195),'2026DATA'!$K$17,"")</f>
        <v/>
      </c>
      <c r="CS210" s="518" t="str">
        <f>IF(AND(_6="B-767-200",'2026'!$I$4="CA",'2026'!$I$2=CS195),'2026DATA'!$L$17,"")</f>
        <v/>
      </c>
      <c r="CT210" s="518" t="str">
        <f>IF(AND(_6="B-767-200",'2026'!$I$4="CA",'2026'!$I$2=CT195),'2026DATA'!$M$17,"")</f>
        <v/>
      </c>
      <c r="CU210" s="520" t="str">
        <f>IF(AND(_6="B-767-200",'2026'!$I$4="CA",'2026'!$I$2=CU195),'2026DATA'!$N$17,"")</f>
        <v/>
      </c>
    </row>
    <row r="211" spans="16:99" x14ac:dyDescent="0.25">
      <c r="P211" s="940"/>
      <c r="Q211" s="13" t="s">
        <v>62</v>
      </c>
      <c r="R211" s="518" t="str">
        <f>IF(AND(_1="B-767-200",'2026'!$I$4="FO",'2026'!$I$2=R195),'2026DATA'!$C$18,"")</f>
        <v/>
      </c>
      <c r="S211" s="518" t="str">
        <f>IF(AND(_1="B-767-200",'2026'!$I$4="FO",'2026'!$I$2=S195),'2026DATA'!$D$18,"")</f>
        <v/>
      </c>
      <c r="T211" s="518" t="str">
        <f>IF(AND(_1="B-767-200",'2026'!$I$4="FO",'2026'!$I$2=T195),'2026DATA'!$E$18,"")</f>
        <v/>
      </c>
      <c r="U211" s="518" t="str">
        <f>IF(AND(_1="B-767-200",'2026'!$I$4="FO",'2026'!$I$2=U195),'2026DATA'!$F$18,"")</f>
        <v/>
      </c>
      <c r="V211" s="518" t="str">
        <f>IF(AND(_1="B-767-200",'2026'!$I$4="FO",'2026'!$I$2=V195),'2026DATA'!$G$18,"")</f>
        <v/>
      </c>
      <c r="W211" s="518" t="str">
        <f>IF(AND(_1="B-767-200",'2026'!$I$4="FO",'2026'!$I$2=W195),'2026DATA'!$H$18,"")</f>
        <v/>
      </c>
      <c r="X211" s="518" t="str">
        <f>IF(AND(_1="B-767-200",'2026'!$I$4="FO",'2026'!$I$2=X195),'2026DATA'!$I$18,"")</f>
        <v/>
      </c>
      <c r="Y211" s="518" t="str">
        <f>IF(AND(_1="B-767-200",'2026'!$I$4="FO",'2026'!$I$2=Y195),'2026DATA'!$J$18,"")</f>
        <v/>
      </c>
      <c r="Z211" s="518" t="str">
        <f>IF(AND(_1="B-767-200",'2026'!$I$4="FO",'2026'!$I$2=Z195),'2026DATA'!$K$18,"")</f>
        <v/>
      </c>
      <c r="AA211" s="518" t="str">
        <f>IF(AND(_1="B-767-200",'2026'!$I$4="FO",'2026'!$I$2=AA195),'2026DATA'!$L$18,"")</f>
        <v/>
      </c>
      <c r="AB211" s="518" t="str">
        <f>IF(AND(_1="B-767-200",'2026'!$I$4="FO",'2026'!$I$2=AB195),'2026DATA'!$M$18,"")</f>
        <v/>
      </c>
      <c r="AC211" s="520" t="str">
        <f>IF(AND(_1="B-767-200",'2026'!$I$4="FO",'2026'!$I$2=AC195),'2026DATA'!$N$18,"")</f>
        <v/>
      </c>
      <c r="AD211" s="940"/>
      <c r="AE211" s="13" t="s">
        <v>62</v>
      </c>
      <c r="AF211" s="518" t="str">
        <f>IF(AND(_2="B-767-200",'2026'!$I$4="FO",'2026'!$I$2=AF195),'2026DATA'!$C$18,"")</f>
        <v/>
      </c>
      <c r="AG211" s="518" t="str">
        <f>IF(AND(_2="B-767-200",'2026'!$I$4="FO",'2026'!$I$2=AG195),'2026DATA'!$D$18,"")</f>
        <v/>
      </c>
      <c r="AH211" s="518" t="str">
        <f>IF(AND(_2="B-767-200",'2026'!$I$4="FO",'2026'!$I$2=AH195),'2026DATA'!$E$18,"")</f>
        <v/>
      </c>
      <c r="AI211" s="518" t="str">
        <f>IF(AND(_2="B-767-200",'2026'!$I$4="FO",'2026'!$I$2=AI195),'2026DATA'!$F$18,"")</f>
        <v/>
      </c>
      <c r="AJ211" s="518" t="str">
        <f>IF(AND(_2="B-767-200",'2026'!$I$4="FO",'2026'!$I$2=AJ195),'2026DATA'!$G$18,"")</f>
        <v/>
      </c>
      <c r="AK211" s="518" t="str">
        <f>IF(AND(_2="B-767-200",'2026'!$I$4="FO",'2026'!$I$2=AK195),'2026DATA'!$H$18,"")</f>
        <v/>
      </c>
      <c r="AL211" s="518" t="str">
        <f>IF(AND(_2="B-767-200",'2026'!$I$4="FO",'2026'!$I$2=AL195),'2026DATA'!$I$18,"")</f>
        <v/>
      </c>
      <c r="AM211" s="518" t="str">
        <f>IF(AND(_2="B-767-200",'2026'!$I$4="FO",'2026'!$I$2=AM195),'2026DATA'!$J$18,"")</f>
        <v/>
      </c>
      <c r="AN211" s="518" t="str">
        <f>IF(AND(_2="B-767-200",'2026'!$I$4="FO",'2026'!$I$2=AN195),'2026DATA'!$K$18,"")</f>
        <v/>
      </c>
      <c r="AO211" s="518" t="str">
        <f>IF(AND(_2="B-767-200",'2026'!$I$4="FO",'2026'!$I$2=AO195),'2026DATA'!$L$18,"")</f>
        <v/>
      </c>
      <c r="AP211" s="518" t="str">
        <f>IF(AND(_2="B-767-200",'2026'!$I$4="FO",'2026'!$I$2=AP195),'2026DATA'!$M$18,"")</f>
        <v/>
      </c>
      <c r="AQ211" s="520" t="str">
        <f>IF(AND(_2="B-767-200",'2026'!$I$4="FO",'2026'!$I$2=AQ195),'2026DATA'!$N$18,"")</f>
        <v/>
      </c>
      <c r="AR211" s="940"/>
      <c r="AS211" s="13" t="s">
        <v>62</v>
      </c>
      <c r="AT211" s="518" t="str">
        <f>IF(AND(_3="B-767-200",'2026'!$I$4="FO",'2026'!$I$2=AT195),'2026DATA'!$C$18,"")</f>
        <v/>
      </c>
      <c r="AU211" s="518" t="str">
        <f>IF(AND(_3="B-767-200",'2026'!$I$4="FO",'2026'!$I$2=AU195),'2026DATA'!$D$18,"")</f>
        <v/>
      </c>
      <c r="AV211" s="518" t="str">
        <f>IF(AND(_3="B-767-200",'2026'!$I$4="FO",'2026'!$I$2=AV195),'2026DATA'!$E$18,"")</f>
        <v/>
      </c>
      <c r="AW211" s="518" t="str">
        <f>IF(AND(_3="B-767-200",'2026'!$I$4="FO",'2026'!$I$2=AW195),'2026DATA'!$F$18,"")</f>
        <v/>
      </c>
      <c r="AX211" s="518" t="str">
        <f>IF(AND(_3="B-767-200",'2026'!$I$4="FO",'2026'!$I$2=AX195),'2026DATA'!$G$18,"")</f>
        <v/>
      </c>
      <c r="AY211" s="518" t="str">
        <f>IF(AND(_3="B-767-200",'2026'!$I$4="FO",'2026'!$I$2=AY195),'2026DATA'!$H$18,"")</f>
        <v/>
      </c>
      <c r="AZ211" s="518" t="str">
        <f>IF(AND(_3="B-767-200",'2026'!$I$4="FO",'2026'!$I$2=AZ195),'2026DATA'!$I$18,"")</f>
        <v/>
      </c>
      <c r="BA211" s="518" t="str">
        <f>IF(AND(_3="B-767-200",'2026'!$I$4="FO",'2026'!$I$2=BA195),'2026DATA'!$J$18,"")</f>
        <v/>
      </c>
      <c r="BB211" s="518" t="str">
        <f>IF(AND(_3="B-767-200",'2026'!$I$4="FO",'2026'!$I$2=BB195),'2026DATA'!$K$18,"")</f>
        <v/>
      </c>
      <c r="BC211" s="518" t="str">
        <f>IF(AND(_3="B-767-200",'2026'!$I$4="FO",'2026'!$I$2=BC195),'2026DATA'!$L$18,"")</f>
        <v/>
      </c>
      <c r="BD211" s="518" t="str">
        <f>IF(AND(_3="B-767-200",'2026'!$I$4="FO",'2026'!$I$2=BD195),'2026DATA'!$M$18,"")</f>
        <v/>
      </c>
      <c r="BE211" s="520" t="str">
        <f>IF(AND(_3="B-767-200",'2026'!$I$4="FO",'2026'!$I$2=BE195),'2026DATA'!$N$18,"")</f>
        <v/>
      </c>
      <c r="BF211" s="940"/>
      <c r="BG211" s="13" t="s">
        <v>62</v>
      </c>
      <c r="BH211" s="518" t="str">
        <f>IF(AND(_4="B-767-200",'2026'!$I$4="FO",'2026'!$I$2=BH195),'2026DATA'!$C$18,"")</f>
        <v/>
      </c>
      <c r="BI211" s="518" t="str">
        <f>IF(AND(_4="B-767-200",'2026'!$I$4="FO",'2026'!$I$2=BI195),'2026DATA'!$D$18,"")</f>
        <v/>
      </c>
      <c r="BJ211" s="518" t="str">
        <f>IF(AND(_4="B-767-200",'2026'!$I$4="FO",'2026'!$I$2=BJ195),'2026DATA'!$E$18,"")</f>
        <v/>
      </c>
      <c r="BK211" s="518" t="str">
        <f>IF(AND(_4="B-767-200",'2026'!$I$4="FO",'2026'!$I$2=BK195),'2026DATA'!$F$18,"")</f>
        <v/>
      </c>
      <c r="BL211" s="518" t="str">
        <f>IF(AND(_4="B-767-200",'2026'!$I$4="FO",'2026'!$I$2=BL195),'2026DATA'!$G$18,"")</f>
        <v/>
      </c>
      <c r="BM211" s="518" t="str">
        <f>IF(AND(_4="B-767-200",'2026'!$I$4="FO",'2026'!$I$2=BM195),'2026DATA'!$H$18,"")</f>
        <v/>
      </c>
      <c r="BN211" s="518" t="str">
        <f>IF(AND(_4="B-767-200",'2026'!$I$4="FO",'2026'!$I$2=BN195),'2026DATA'!$I$18,"")</f>
        <v/>
      </c>
      <c r="BO211" s="518" t="str">
        <f>IF(AND(_4="B-767-200",'2026'!$I$4="FO",'2026'!$I$2=BO195),'2026DATA'!$J$18,"")</f>
        <v/>
      </c>
      <c r="BP211" s="518" t="str">
        <f>IF(AND(_4="B-767-200",'2026'!$I$4="FO",'2026'!$I$2=BP195),'2026DATA'!$K$18,"")</f>
        <v/>
      </c>
      <c r="BQ211" s="518" t="str">
        <f>IF(AND(_4="B-767-200",'2026'!$I$4="FO",'2026'!$I$2=BQ195),'2026DATA'!$L$18,"")</f>
        <v/>
      </c>
      <c r="BR211" s="518" t="str">
        <f>IF(AND(_4="B-767-200",'2026'!$I$4="FO",'2026'!$I$2=BR195),'2026DATA'!$M$18,"")</f>
        <v/>
      </c>
      <c r="BS211" s="520" t="str">
        <f>IF(AND(_4="B-767-200",'2026'!$I$4="FO",'2026'!$I$2=BS195),'2026DATA'!$N$18,"")</f>
        <v/>
      </c>
      <c r="BT211" s="940"/>
      <c r="BU211" s="13" t="s">
        <v>62</v>
      </c>
      <c r="BV211" s="518" t="str">
        <f>IF(AND(_5="B-767-200",'2026'!$I$4="FO",'2026'!$I$2=BV195),'2026DATA'!$C$18,"")</f>
        <v/>
      </c>
      <c r="BW211" s="518" t="str">
        <f>IF(AND(_5="B-767-200",'2026'!$I$4="FO",'2026'!$I$2=BW195),'2026DATA'!$D$18,"")</f>
        <v/>
      </c>
      <c r="BX211" s="518" t="str">
        <f>IF(AND(_5="B-767-200",'2026'!$I$4="FO",'2026'!$I$2=BX195),'2026DATA'!$E$18,"")</f>
        <v/>
      </c>
      <c r="BY211" s="518" t="str">
        <f>IF(AND(_5="B-767-200",'2026'!$I$4="FO",'2026'!$I$2=BY195),'2026DATA'!$F$18,"")</f>
        <v/>
      </c>
      <c r="BZ211" s="518" t="str">
        <f>IF(AND(_5="B-767-200",'2026'!$I$4="FO",'2026'!$I$2=BZ195),'2026DATA'!$G$18,"")</f>
        <v/>
      </c>
      <c r="CA211" s="518" t="str">
        <f>IF(AND(_5="B-767-200",'2026'!$I$4="FO",'2026'!$I$2=CA195),'2026DATA'!$H$18,"")</f>
        <v/>
      </c>
      <c r="CB211" s="518" t="str">
        <f>IF(AND(_5="B-767-200",'2026'!$I$4="FO",'2026'!$I$2=CB195),'2026DATA'!$I$18,"")</f>
        <v/>
      </c>
      <c r="CC211" s="518" t="str">
        <f>IF(AND(_5="B-767-200",'2026'!$I$4="FO",'2026'!$I$2=CC195),'2026DATA'!$J$18,"")</f>
        <v/>
      </c>
      <c r="CD211" s="518" t="str">
        <f>IF(AND(_5="B-767-200",'2026'!$I$4="FO",'2026'!$I$2=CD195),'2026DATA'!$K$18,"")</f>
        <v/>
      </c>
      <c r="CE211" s="518" t="str">
        <f>IF(AND(_5="B-767-200",'2026'!$I$4="FO",'2026'!$I$2=CE195),'2026DATA'!$L$18,"")</f>
        <v/>
      </c>
      <c r="CF211" s="518" t="str">
        <f>IF(AND(_5="B-767-200",'2026'!$I$4="FO",'2026'!$I$2=CF195),'2026DATA'!$M$18,"")</f>
        <v/>
      </c>
      <c r="CG211" s="520" t="str">
        <f>IF(AND(_5="B-767-200",'2026'!$I$4="FO",'2026'!$I$2=CG195),'2026DATA'!$N$18,"")</f>
        <v/>
      </c>
      <c r="CH211" s="940"/>
      <c r="CI211" s="13" t="s">
        <v>62</v>
      </c>
      <c r="CJ211" s="518" t="str">
        <f>IF(AND(_6="B-767-200",'2026'!$I$4="FO",'2026'!$I$2=CJ195),'2026DATA'!$C$18,"")</f>
        <v/>
      </c>
      <c r="CK211" s="518" t="str">
        <f>IF(AND(_6="B-767-200",'2026'!$I$4="FO",'2026'!$I$2=CK195),'2026DATA'!$D$18,"")</f>
        <v/>
      </c>
      <c r="CL211" s="518" t="str">
        <f>IF(AND(_6="B-767-200",'2026'!$I$4="FO",'2026'!$I$2=CL195),'2026DATA'!$E$18,"")</f>
        <v/>
      </c>
      <c r="CM211" s="518" t="str">
        <f>IF(AND(_6="B-767-200",'2026'!$I$4="FO",'2026'!$I$2=CM195),'2026DATA'!$F$18,"")</f>
        <v/>
      </c>
      <c r="CN211" s="518" t="str">
        <f>IF(AND(_6="B-767-200",'2026'!$I$4="FO",'2026'!$I$2=CN195),'2026DATA'!$G$18,"")</f>
        <v/>
      </c>
      <c r="CO211" s="518" t="str">
        <f>IF(AND(_6="B-767-200",'2026'!$I$4="FO",'2026'!$I$2=CO195),'2026DATA'!$H$18,"")</f>
        <v/>
      </c>
      <c r="CP211" s="518" t="str">
        <f>IF(AND(_6="B-767-200",'2026'!$I$4="FO",'2026'!$I$2=CP195),'2026DATA'!$I$18,"")</f>
        <v/>
      </c>
      <c r="CQ211" s="518" t="str">
        <f>IF(AND(_6="B-767-200",'2026'!$I$4="FO",'2026'!$I$2=CQ195),'2026DATA'!$J$18,"")</f>
        <v/>
      </c>
      <c r="CR211" s="518" t="str">
        <f>IF(AND(_6="B-767-200",'2026'!$I$4="FO",'2026'!$I$2=CR195),'2026DATA'!$K$18,"")</f>
        <v/>
      </c>
      <c r="CS211" s="518" t="str">
        <f>IF(AND(_6="B-767-200",'2026'!$I$4="FO",'2026'!$I$2=CS195),'2026DATA'!$L$18,"")</f>
        <v/>
      </c>
      <c r="CT211" s="518" t="str">
        <f>IF(AND(_6="B-767-200",'2026'!$I$4="FO",'2026'!$I$2=CT195),'2026DATA'!$M$18,"")</f>
        <v/>
      </c>
      <c r="CU211" s="520" t="str">
        <f>IF(AND(_6="B-767-200",'2026'!$I$4="FO",'2026'!$I$2=CU195),'2026DATA'!$N$18,"")</f>
        <v/>
      </c>
    </row>
    <row r="212" spans="16:99" x14ac:dyDescent="0.25">
      <c r="P212" s="940" t="s">
        <v>45</v>
      </c>
      <c r="Q212" s="13" t="s">
        <v>61</v>
      </c>
      <c r="R212" s="518" t="str">
        <f>IF(AND(_1="B-757",'2026'!$I$4="CA",'2026'!$I$2=R195),'2026DATA'!$C$19,"")</f>
        <v/>
      </c>
      <c r="S212" s="518" t="str">
        <f>IF(AND(_1="B-757",'2026'!$I$4="CA",'2026'!$I$2=S195),'2026DATA'!$D$19,"")</f>
        <v/>
      </c>
      <c r="T212" s="518" t="str">
        <f>IF(AND(_1="B-757",'2026'!$I$4="CA",'2026'!$I$2=T195),'2026DATA'!$E$19,"")</f>
        <v/>
      </c>
      <c r="U212" s="518" t="str">
        <f>IF(AND(_1="B-757",'2026'!$I$4="CA",'2026'!$I$2=U195),'2026DATA'!$F$19,"")</f>
        <v/>
      </c>
      <c r="V212" s="518" t="str">
        <f>IF(AND(_1="B-757",'2026'!$I$4="CA",'2026'!$I$2=V195),'2026DATA'!$G$19,"")</f>
        <v/>
      </c>
      <c r="W212" s="518" t="str">
        <f>IF(AND(_1="B-757",'2026'!$I$4="CA",'2026'!$I$2=W195),'2026DATA'!$H$19,"")</f>
        <v/>
      </c>
      <c r="X212" s="518" t="str">
        <f>IF(AND(_1="B-757",'2026'!$I$4="CA",'2026'!$I$2=X195),'2026DATA'!$I$19,"")</f>
        <v/>
      </c>
      <c r="Y212" s="518" t="str">
        <f>IF(AND(_1="B-757",'2026'!$I$4="CA",'2026'!$I$2=Y195),'2026DATA'!$J$19,"")</f>
        <v/>
      </c>
      <c r="Z212" s="518" t="str">
        <f>IF(AND(_1="B-757",'2026'!$I$4="CA",'2026'!$I$2=Z195),'2026DATA'!$K$19,"")</f>
        <v/>
      </c>
      <c r="AA212" s="518" t="str">
        <f>IF(AND(_1="B-757",'2026'!$I$4="CA",'2026'!$I$2=AA195),'2026DATA'!$L$19,"")</f>
        <v/>
      </c>
      <c r="AB212" s="518" t="str">
        <f>IF(AND(_1="B-757",'2026'!$I$4="CA",'2026'!$I$2=AB195),'2026DATA'!$M$19,"")</f>
        <v/>
      </c>
      <c r="AC212" s="520" t="str">
        <f>IF(AND(_1="B-757",'2026'!$I$4="CA",'2026'!$I$2=AC195),'2026DATA'!$N$19,"")</f>
        <v/>
      </c>
      <c r="AD212" s="940" t="s">
        <v>45</v>
      </c>
      <c r="AE212" s="13" t="s">
        <v>61</v>
      </c>
      <c r="AF212" s="518" t="str">
        <f>IF(AND(_2="B-757",'2026'!$I$4="CA",'2026'!$I$2=AF195),'2026DATA'!$C$19,"")</f>
        <v/>
      </c>
      <c r="AG212" s="518" t="str">
        <f>IF(AND(_2="B-757",'2026'!$I$4="CA",'2026'!$I$2=AG195),'2026DATA'!$D$19,"")</f>
        <v/>
      </c>
      <c r="AH212" s="518" t="str">
        <f>IF(AND(_2="B-757",'2026'!$I$4="CA",'2026'!$I$2=AH195),'2026DATA'!$E$19,"")</f>
        <v/>
      </c>
      <c r="AI212" s="518" t="str">
        <f>IF(AND(_2="B-757",'2026'!$I$4="CA",'2026'!$I$2=AI195),'2026DATA'!$F$19,"")</f>
        <v/>
      </c>
      <c r="AJ212" s="518" t="str">
        <f>IF(AND(_2="B-757",'2026'!$I$4="CA",'2026'!$I$2=AJ195),'2026DATA'!$G$19,"")</f>
        <v/>
      </c>
      <c r="AK212" s="518" t="str">
        <f>IF(AND(_2="B-757",'2026'!$I$4="CA",'2026'!$I$2=AK195),'2026DATA'!$H$19,"")</f>
        <v/>
      </c>
      <c r="AL212" s="518" t="str">
        <f>IF(AND(_2="B-757",'2026'!$I$4="CA",'2026'!$I$2=AL195),'2026DATA'!$I$19,"")</f>
        <v/>
      </c>
      <c r="AM212" s="518" t="str">
        <f>IF(AND(_2="B-757",'2026'!$I$4="CA",'2026'!$I$2=AM195),'2026DATA'!$J$19,"")</f>
        <v/>
      </c>
      <c r="AN212" s="518" t="str">
        <f>IF(AND(_2="B-757",'2026'!$I$4="CA",'2026'!$I$2=AN195),'2026DATA'!$K$19,"")</f>
        <v/>
      </c>
      <c r="AO212" s="518" t="str">
        <f>IF(AND(_2="B-757",'2026'!$I$4="CA",'2026'!$I$2=AO195),'2026DATA'!$L$19,"")</f>
        <v/>
      </c>
      <c r="AP212" s="518" t="str">
        <f>IF(AND(_2="B-757",'2026'!$I$4="CA",'2026'!$I$2=AP195),'2026DATA'!$M$19,"")</f>
        <v/>
      </c>
      <c r="AQ212" s="520" t="str">
        <f>IF(AND(_2="B-757",'2026'!$I$4="CA",'2026'!$I$2=AQ195),'2026DATA'!$N$19,"")</f>
        <v/>
      </c>
      <c r="AR212" s="940" t="s">
        <v>45</v>
      </c>
      <c r="AS212" s="13" t="s">
        <v>61</v>
      </c>
      <c r="AT212" s="518" t="str">
        <f>IF(AND(_3="B-757",'2026'!$I$4="CA",'2026'!$I$2=AT195),'2026DATA'!$C$19,"")</f>
        <v/>
      </c>
      <c r="AU212" s="518" t="str">
        <f>IF(AND(_3="B-757",'2026'!$I$4="CA",'2026'!$I$2=AU195),'2026DATA'!$D$19,"")</f>
        <v/>
      </c>
      <c r="AV212" s="518" t="str">
        <f>IF(AND(_3="B-757",'2026'!$I$4="CA",'2026'!$I$2=AV195),'2026DATA'!$E$19,"")</f>
        <v/>
      </c>
      <c r="AW212" s="518" t="str">
        <f>IF(AND(_3="B-757",'2026'!$I$4="CA",'2026'!$I$2=AW195),'2026DATA'!$F$19,"")</f>
        <v/>
      </c>
      <c r="AX212" s="518" t="str">
        <f>IF(AND(_3="B-757",'2026'!$I$4="CA",'2026'!$I$2=AX195),'2026DATA'!$G$19,"")</f>
        <v/>
      </c>
      <c r="AY212" s="518" t="str">
        <f>IF(AND(_3="B-757",'2026'!$I$4="CA",'2026'!$I$2=AY195),'2026DATA'!$H$19,"")</f>
        <v/>
      </c>
      <c r="AZ212" s="518" t="str">
        <f>IF(AND(_3="B-757",'2026'!$I$4="CA",'2026'!$I$2=AZ195),'2026DATA'!$I$19,"")</f>
        <v/>
      </c>
      <c r="BA212" s="518" t="str">
        <f>IF(AND(_3="B-757",'2026'!$I$4="CA",'2026'!$I$2=BA195),'2026DATA'!$J$19,"")</f>
        <v/>
      </c>
      <c r="BB212" s="518" t="str">
        <f>IF(AND(_3="B-757",'2026'!$I$4="CA",'2026'!$I$2=BB195),'2026DATA'!$K$19,"")</f>
        <v/>
      </c>
      <c r="BC212" s="518" t="str">
        <f>IF(AND(_3="B-757",'2026'!$I$4="CA",'2026'!$I$2=BC195),'2026DATA'!$L$19,"")</f>
        <v/>
      </c>
      <c r="BD212" s="518" t="str">
        <f>IF(AND(_3="B-757",'2026'!$I$4="CA",'2026'!$I$2=BD195),'2026DATA'!$M$19,"")</f>
        <v/>
      </c>
      <c r="BE212" s="520" t="str">
        <f>IF(AND(_3="B-757",'2026'!$I$4="CA",'2026'!$I$2=BE195),'2026DATA'!$N$19,"")</f>
        <v/>
      </c>
      <c r="BF212" s="940" t="s">
        <v>45</v>
      </c>
      <c r="BG212" s="13" t="s">
        <v>61</v>
      </c>
      <c r="BH212" s="518" t="str">
        <f>IF(AND(_4="B-757",'2026'!$I$4="CA",'2026'!$I$2=BH195),'2026DATA'!$C$19,"")</f>
        <v/>
      </c>
      <c r="BI212" s="518" t="str">
        <f>IF(AND(_4="B-757",'2026'!$I$4="CA",'2026'!$I$2=BI195),'2026DATA'!$D$19,"")</f>
        <v/>
      </c>
      <c r="BJ212" s="518" t="str">
        <f>IF(AND(_4="B-757",'2026'!$I$4="CA",'2026'!$I$2=BJ195),'2026DATA'!$E$19,"")</f>
        <v/>
      </c>
      <c r="BK212" s="518" t="str">
        <f>IF(AND(_4="B-757",'2026'!$I$4="CA",'2026'!$I$2=BK195),'2026DATA'!$F$19,"")</f>
        <v/>
      </c>
      <c r="BL212" s="518" t="str">
        <f>IF(AND(_4="B-757",'2026'!$I$4="CA",'2026'!$I$2=BL195),'2026DATA'!$G$19,"")</f>
        <v/>
      </c>
      <c r="BM212" s="518" t="str">
        <f>IF(AND(_4="B-757",'2026'!$I$4="CA",'2026'!$I$2=BM195),'2026DATA'!$H$19,"")</f>
        <v/>
      </c>
      <c r="BN212" s="518" t="str">
        <f>IF(AND(_4="B-757",'2026'!$I$4="CA",'2026'!$I$2=BN195),'2026DATA'!$I$19,"")</f>
        <v/>
      </c>
      <c r="BO212" s="518" t="str">
        <f>IF(AND(_4="B-757",'2026'!$I$4="CA",'2026'!$I$2=BO195),'2026DATA'!$J$19,"")</f>
        <v/>
      </c>
      <c r="BP212" s="518" t="str">
        <f>IF(AND(_4="B-757",'2026'!$I$4="CA",'2026'!$I$2=BP195),'2026DATA'!$K$19,"")</f>
        <v/>
      </c>
      <c r="BQ212" s="518" t="str">
        <f>IF(AND(_4="B-757",'2026'!$I$4="CA",'2026'!$I$2=BQ195),'2026DATA'!$L$19,"")</f>
        <v/>
      </c>
      <c r="BR212" s="518" t="str">
        <f>IF(AND(_4="B-757",'2026'!$I$4="CA",'2026'!$I$2=BR195),'2026DATA'!$M$19,"")</f>
        <v/>
      </c>
      <c r="BS212" s="520" t="str">
        <f>IF(AND(_4="B-757",'2026'!$I$4="CA",'2026'!$I$2=BS195),'2026DATA'!$N$19,"")</f>
        <v/>
      </c>
      <c r="BT212" s="940" t="s">
        <v>45</v>
      </c>
      <c r="BU212" s="13" t="s">
        <v>61</v>
      </c>
      <c r="BV212" s="518" t="str">
        <f>IF(AND(_5="B-757",'2026'!$I$4="CA",'2026'!$I$2=BV195),'2026DATA'!$C$19,"")</f>
        <v/>
      </c>
      <c r="BW212" s="518" t="str">
        <f>IF(AND(_5="B-757",'2026'!$I$4="CA",'2026'!$I$2=BW195),'2026DATA'!$D$19,"")</f>
        <v/>
      </c>
      <c r="BX212" s="518" t="str">
        <f>IF(AND(_5="B-757",'2026'!$I$4="CA",'2026'!$I$2=BX195),'2026DATA'!$E$19,"")</f>
        <v/>
      </c>
      <c r="BY212" s="518" t="str">
        <f>IF(AND(_5="B-757",'2026'!$I$4="CA",'2026'!$I$2=BY195),'2026DATA'!$F$19,"")</f>
        <v/>
      </c>
      <c r="BZ212" s="518" t="str">
        <f>IF(AND(_5="B-757",'2026'!$I$4="CA",'2026'!$I$2=BZ195),'2026DATA'!$G$19,"")</f>
        <v/>
      </c>
      <c r="CA212" s="518" t="str">
        <f>IF(AND(_5="B-757",'2026'!$I$4="CA",'2026'!$I$2=CA195),'2026DATA'!$H$19,"")</f>
        <v/>
      </c>
      <c r="CB212" s="518" t="str">
        <f>IF(AND(_5="B-757",'2026'!$I$4="CA",'2026'!$I$2=CB195),'2026DATA'!$I$19,"")</f>
        <v/>
      </c>
      <c r="CC212" s="518" t="str">
        <f>IF(AND(_5="B-757",'2026'!$I$4="CA",'2026'!$I$2=CC195),'2026DATA'!$J$19,"")</f>
        <v/>
      </c>
      <c r="CD212" s="518" t="str">
        <f>IF(AND(_5="B-757",'2026'!$I$4="CA",'2026'!$I$2=CD195),'2026DATA'!$K$19,"")</f>
        <v/>
      </c>
      <c r="CE212" s="518" t="str">
        <f>IF(AND(_5="B-757",'2026'!$I$4="CA",'2026'!$I$2=CE195),'2026DATA'!$L$19,"")</f>
        <v/>
      </c>
      <c r="CF212" s="518" t="str">
        <f>IF(AND(_5="B-757",'2026'!$I$4="CA",'2026'!$I$2=CF195),'2026DATA'!$M$19,"")</f>
        <v/>
      </c>
      <c r="CG212" s="520" t="str">
        <f>IF(AND(_5="B-757",'2026'!$I$4="CA",'2026'!$I$2=CG195),'2026DATA'!$N$19,"")</f>
        <v/>
      </c>
      <c r="CH212" s="940" t="s">
        <v>45</v>
      </c>
      <c r="CI212" s="13" t="s">
        <v>61</v>
      </c>
      <c r="CJ212" s="518" t="str">
        <f>IF(AND(_6="B-757",'2026'!$I$4="CA",'2026'!$I$2=CJ195),'2026DATA'!$C$19,"")</f>
        <v/>
      </c>
      <c r="CK212" s="518" t="str">
        <f>IF(AND(_6="B-757",'2026'!$I$4="CA",'2026'!$I$2=CK195),'2026DATA'!$D$19,"")</f>
        <v/>
      </c>
      <c r="CL212" s="518" t="str">
        <f>IF(AND(_6="B-757",'2026'!$I$4="CA",'2026'!$I$2=CL195),'2026DATA'!$E$19,"")</f>
        <v/>
      </c>
      <c r="CM212" s="518" t="str">
        <f>IF(AND(_6="B-757",'2026'!$I$4="CA",'2026'!$I$2=CM195),'2026DATA'!$F$19,"")</f>
        <v/>
      </c>
      <c r="CN212" s="518" t="str">
        <f>IF(AND(_6="B-757",'2026'!$I$4="CA",'2026'!$I$2=CN195),'2026DATA'!$G$19,"")</f>
        <v/>
      </c>
      <c r="CO212" s="518" t="str">
        <f>IF(AND(_6="B-757",'2026'!$I$4="CA",'2026'!$I$2=CO195),'2026DATA'!$H$19,"")</f>
        <v/>
      </c>
      <c r="CP212" s="518" t="str">
        <f>IF(AND(_6="B-757",'2026'!$I$4="CA",'2026'!$I$2=CP195),'2026DATA'!$I$19,"")</f>
        <v/>
      </c>
      <c r="CQ212" s="518" t="str">
        <f>IF(AND(_6="B-757",'2026'!$I$4="CA",'2026'!$I$2=CQ195),'2026DATA'!$J$19,"")</f>
        <v/>
      </c>
      <c r="CR212" s="518" t="str">
        <f>IF(AND(_6="B-757",'2026'!$I$4="CA",'2026'!$I$2=CR195),'2026DATA'!$K$19,"")</f>
        <v/>
      </c>
      <c r="CS212" s="518" t="str">
        <f>IF(AND(_6="B-757",'2026'!$I$4="CA",'2026'!$I$2=CS195),'2026DATA'!$L$19,"")</f>
        <v/>
      </c>
      <c r="CT212" s="518" t="str">
        <f>IF(AND(_6="B-757",'2026'!$I$4="CA",'2026'!$I$2=CT195),'2026DATA'!$M$19,"")</f>
        <v/>
      </c>
      <c r="CU212" s="520" t="str">
        <f>IF(AND(_6="B-757",'2026'!$I$4="CA",'2026'!$I$2=CU195),'2026DATA'!$N$19,"")</f>
        <v/>
      </c>
    </row>
    <row r="213" spans="16:99" x14ac:dyDescent="0.25">
      <c r="P213" s="940"/>
      <c r="Q213" s="13" t="s">
        <v>62</v>
      </c>
      <c r="R213" s="518" t="str">
        <f>IF(AND(_1="B-757",'2026'!$I$4="FO",'2026'!$I$2=R195),'2026DATA'!$C$20,"")</f>
        <v/>
      </c>
      <c r="S213" s="518" t="str">
        <f>IF(AND(_1="B-757",'2026'!$I$4="FO",'2026'!$I$2=S195),'2026DATA'!$D$20,"")</f>
        <v/>
      </c>
      <c r="T213" s="518" t="str">
        <f>IF(AND(_1="B-757",'2026'!$I$4="FO",'2026'!$I$2=T195),'2026DATA'!$E$20,"")</f>
        <v/>
      </c>
      <c r="U213" s="518" t="str">
        <f>IF(AND(_1="B-757",'2026'!$I$4="FO",'2026'!$I$2=U195),'2026DATA'!$F$20,"")</f>
        <v/>
      </c>
      <c r="V213" s="518" t="str">
        <f>IF(AND(_1="B-757",'2026'!$I$4="FO",'2026'!$I$2=V195),'2026DATA'!$G$20,"")</f>
        <v/>
      </c>
      <c r="W213" s="518" t="str">
        <f>IF(AND(_1="B-757",'2026'!$I$4="FO",'2026'!$I$2=W195),'2026DATA'!$H$20,"")</f>
        <v/>
      </c>
      <c r="X213" s="518" t="str">
        <f>IF(AND(_1="B-757",'2026'!$I$4="FO",'2026'!$I$2=X195),'2026DATA'!$I$20,"")</f>
        <v/>
      </c>
      <c r="Y213" s="518" t="str">
        <f>IF(AND(_1="B-757",'2026'!$I$4="FO",'2026'!$I$2=Y195),'2026DATA'!$J$20,"")</f>
        <v/>
      </c>
      <c r="Z213" s="518" t="str">
        <f>IF(AND(_1="B-757",'2026'!$I$4="FO",'2026'!$I$2=Z195),'2026DATA'!$K$20,"")</f>
        <v/>
      </c>
      <c r="AA213" s="518" t="str">
        <f>IF(AND(_1="B-757",'2026'!$I$4="FO",'2026'!$I$2=AA195),'2026DATA'!$L$20,"")</f>
        <v/>
      </c>
      <c r="AB213" s="518" t="str">
        <f>IF(AND(_1="B-757",'2026'!$I$4="FO",'2026'!$I$2=AB195),'2026DATA'!$M$20,"")</f>
        <v/>
      </c>
      <c r="AC213" s="520" t="str">
        <f>IF(AND(_1="B-757",'2026'!$I$4="FO",'2026'!$I$2=AC195),'2026DATA'!$N$20,"")</f>
        <v/>
      </c>
      <c r="AD213" s="940"/>
      <c r="AE213" s="13" t="s">
        <v>62</v>
      </c>
      <c r="AF213" s="518" t="str">
        <f>IF(AND(_2="B-757",'2026'!$I$4="FO",'2026'!$I$2=AF195),'2026DATA'!$C$20,"")</f>
        <v/>
      </c>
      <c r="AG213" s="518" t="str">
        <f>IF(AND(_2="B-757",'2026'!$I$4="FO",'2026'!$I$2=AG195),'2026DATA'!$D$20,"")</f>
        <v/>
      </c>
      <c r="AH213" s="518" t="str">
        <f>IF(AND(_2="B-757",'2026'!$I$4="FO",'2026'!$I$2=AH195),'2026DATA'!$E$20,"")</f>
        <v/>
      </c>
      <c r="AI213" s="518" t="str">
        <f>IF(AND(_2="B-757",'2026'!$I$4="FO",'2026'!$I$2=AI195),'2026DATA'!$F$20,"")</f>
        <v/>
      </c>
      <c r="AJ213" s="518" t="str">
        <f>IF(AND(_2="B-757",'2026'!$I$4="FO",'2026'!$I$2=AJ195),'2026DATA'!$G$20,"")</f>
        <v/>
      </c>
      <c r="AK213" s="518" t="str">
        <f>IF(AND(_2="B-757",'2026'!$I$4="FO",'2026'!$I$2=AK195),'2026DATA'!$H$20,"")</f>
        <v/>
      </c>
      <c r="AL213" s="518" t="str">
        <f>IF(AND(_2="B-757",'2026'!$I$4="FO",'2026'!$I$2=AL195),'2026DATA'!$I$20,"")</f>
        <v/>
      </c>
      <c r="AM213" s="518" t="str">
        <f>IF(AND(_2="B-757",'2026'!$I$4="FO",'2026'!$I$2=AM195),'2026DATA'!$J$20,"")</f>
        <v/>
      </c>
      <c r="AN213" s="518" t="str">
        <f>IF(AND(_2="B-757",'2026'!$I$4="FO",'2026'!$I$2=AN195),'2026DATA'!$K$20,"")</f>
        <v/>
      </c>
      <c r="AO213" s="518" t="str">
        <f>IF(AND(_2="B-757",'2026'!$I$4="FO",'2026'!$I$2=AO195),'2026DATA'!$L$20,"")</f>
        <v/>
      </c>
      <c r="AP213" s="518" t="str">
        <f>IF(AND(_2="B-757",'2026'!$I$4="FO",'2026'!$I$2=AP195),'2026DATA'!$M$20,"")</f>
        <v/>
      </c>
      <c r="AQ213" s="520" t="str">
        <f>IF(AND(_2="B-757",'2026'!$I$4="FO",'2026'!$I$2=AQ195),'2026DATA'!$N$20,"")</f>
        <v/>
      </c>
      <c r="AR213" s="940"/>
      <c r="AS213" s="13" t="s">
        <v>62</v>
      </c>
      <c r="AT213" s="518" t="str">
        <f>IF(AND(_3="B-757",'2026'!$I$4="FO",'2026'!$I$2=AT195),'2026DATA'!$C$20,"")</f>
        <v/>
      </c>
      <c r="AU213" s="518" t="str">
        <f>IF(AND(_3="B-757",'2026'!$I$4="FO",'2026'!$I$2=AU195),'2026DATA'!$D$20,"")</f>
        <v/>
      </c>
      <c r="AV213" s="518" t="str">
        <f>IF(AND(_3="B-757",'2026'!$I$4="FO",'2026'!$I$2=AV195),'2026DATA'!$E$20,"")</f>
        <v/>
      </c>
      <c r="AW213" s="518" t="str">
        <f>IF(AND(_3="B-757",'2026'!$I$4="FO",'2026'!$I$2=AW195),'2026DATA'!$F$20,"")</f>
        <v/>
      </c>
      <c r="AX213" s="518" t="str">
        <f>IF(AND(_3="B-757",'2026'!$I$4="FO",'2026'!$I$2=AX195),'2026DATA'!$G$20,"")</f>
        <v/>
      </c>
      <c r="AY213" s="518" t="str">
        <f>IF(AND(_3="B-757",'2026'!$I$4="FO",'2026'!$I$2=AY195),'2026DATA'!$H$20,"")</f>
        <v/>
      </c>
      <c r="AZ213" s="518" t="str">
        <f>IF(AND(_3="B-757",'2026'!$I$4="FO",'2026'!$I$2=AZ195),'2026DATA'!$I$20,"")</f>
        <v/>
      </c>
      <c r="BA213" s="518" t="str">
        <f>IF(AND(_3="B-757",'2026'!$I$4="FO",'2026'!$I$2=BA195),'2026DATA'!$J$20,"")</f>
        <v/>
      </c>
      <c r="BB213" s="518" t="str">
        <f>IF(AND(_3="B-757",'2026'!$I$4="FO",'2026'!$I$2=BB195),'2026DATA'!$K$20,"")</f>
        <v/>
      </c>
      <c r="BC213" s="518" t="str">
        <f>IF(AND(_3="B-757",'2026'!$I$4="FO",'2026'!$I$2=BC195),'2026DATA'!$L$20,"")</f>
        <v/>
      </c>
      <c r="BD213" s="518" t="str">
        <f>IF(AND(_3="B-757",'2026'!$I$4="FO",'2026'!$I$2=BD195),'2026DATA'!$M$20,"")</f>
        <v/>
      </c>
      <c r="BE213" s="520" t="str">
        <f>IF(AND(_3="B-757",'2026'!$I$4="FO",'2026'!$I$2=BE195),'2026DATA'!$N$20,"")</f>
        <v/>
      </c>
      <c r="BF213" s="940"/>
      <c r="BG213" s="13" t="s">
        <v>62</v>
      </c>
      <c r="BH213" s="518" t="str">
        <f>IF(AND(_4="B-757",'2026'!$I$4="FO",'2026'!$I$2=BH195),'2026DATA'!$C$20,"")</f>
        <v/>
      </c>
      <c r="BI213" s="518" t="str">
        <f>IF(AND(_4="B-757",'2026'!$I$4="FO",'2026'!$I$2=BI195),'2026DATA'!$D$20,"")</f>
        <v/>
      </c>
      <c r="BJ213" s="518" t="str">
        <f>IF(AND(_4="B-757",'2026'!$I$4="FO",'2026'!$I$2=BJ195),'2026DATA'!$E$20,"")</f>
        <v/>
      </c>
      <c r="BK213" s="518" t="str">
        <f>IF(AND(_4="B-757",'2026'!$I$4="FO",'2026'!$I$2=BK195),'2026DATA'!$F$20,"")</f>
        <v/>
      </c>
      <c r="BL213" s="518" t="str">
        <f>IF(AND(_4="B-757",'2026'!$I$4="FO",'2026'!$I$2=BL195),'2026DATA'!$G$20,"")</f>
        <v/>
      </c>
      <c r="BM213" s="518" t="str">
        <f>IF(AND(_4="B-757",'2026'!$I$4="FO",'2026'!$I$2=BM195),'2026DATA'!$H$20,"")</f>
        <v/>
      </c>
      <c r="BN213" s="518" t="str">
        <f>IF(AND(_4="B-757",'2026'!$I$4="FO",'2026'!$I$2=BN195),'2026DATA'!$I$20,"")</f>
        <v/>
      </c>
      <c r="BO213" s="518" t="str">
        <f>IF(AND(_4="B-757",'2026'!$I$4="FO",'2026'!$I$2=BO195),'2026DATA'!$J$20,"")</f>
        <v/>
      </c>
      <c r="BP213" s="518" t="str">
        <f>IF(AND(_4="B-757",'2026'!$I$4="FO",'2026'!$I$2=BP195),'2026DATA'!$K$20,"")</f>
        <v/>
      </c>
      <c r="BQ213" s="518" t="str">
        <f>IF(AND(_4="B-757",'2026'!$I$4="FO",'2026'!$I$2=BQ195),'2026DATA'!$L$20,"")</f>
        <v/>
      </c>
      <c r="BR213" s="518" t="str">
        <f>IF(AND(_4="B-757",'2026'!$I$4="FO",'2026'!$I$2=BR195),'2026DATA'!$M$20,"")</f>
        <v/>
      </c>
      <c r="BS213" s="520" t="str">
        <f>IF(AND(_4="B-757",'2026'!$I$4="FO",'2026'!$I$2=BS195),'2026DATA'!$N$20,"")</f>
        <v/>
      </c>
      <c r="BT213" s="940"/>
      <c r="BU213" s="13" t="s">
        <v>62</v>
      </c>
      <c r="BV213" s="518" t="str">
        <f>IF(AND(_5="B-757",'2026'!$I$4="FO",'2026'!$I$2=BV195),'2026DATA'!$C$20,"")</f>
        <v/>
      </c>
      <c r="BW213" s="518" t="str">
        <f>IF(AND(_5="B-757",'2026'!$I$4="FO",'2026'!$I$2=BW195),'2026DATA'!$D$20,"")</f>
        <v/>
      </c>
      <c r="BX213" s="518" t="str">
        <f>IF(AND(_5="B-757",'2026'!$I$4="FO",'2026'!$I$2=BX195),'2026DATA'!$E$20,"")</f>
        <v/>
      </c>
      <c r="BY213" s="518" t="str">
        <f>IF(AND(_5="B-757",'2026'!$I$4="FO",'2026'!$I$2=BY195),'2026DATA'!$F$20,"")</f>
        <v/>
      </c>
      <c r="BZ213" s="518" t="str">
        <f>IF(AND(_5="B-757",'2026'!$I$4="FO",'2026'!$I$2=BZ195),'2026DATA'!$G$20,"")</f>
        <v/>
      </c>
      <c r="CA213" s="518" t="str">
        <f>IF(AND(_5="B-757",'2026'!$I$4="FO",'2026'!$I$2=CA195),'2026DATA'!$H$20,"")</f>
        <v/>
      </c>
      <c r="CB213" s="518" t="str">
        <f>IF(AND(_5="B-757",'2026'!$I$4="FO",'2026'!$I$2=CB195),'2026DATA'!$I$20,"")</f>
        <v/>
      </c>
      <c r="CC213" s="518" t="str">
        <f>IF(AND(_5="B-757",'2026'!$I$4="FO",'2026'!$I$2=CC195),'2026DATA'!$J$20,"")</f>
        <v/>
      </c>
      <c r="CD213" s="518" t="str">
        <f>IF(AND(_5="B-757",'2026'!$I$4="FO",'2026'!$I$2=CD195),'2026DATA'!$K$20,"")</f>
        <v/>
      </c>
      <c r="CE213" s="518" t="str">
        <f>IF(AND(_5="B-757",'2026'!$I$4="FO",'2026'!$I$2=CE195),'2026DATA'!$L$20,"")</f>
        <v/>
      </c>
      <c r="CF213" s="518" t="str">
        <f>IF(AND(_5="B-757",'2026'!$I$4="FO",'2026'!$I$2=CF195),'2026DATA'!$M$20,"")</f>
        <v/>
      </c>
      <c r="CG213" s="520" t="str">
        <f>IF(AND(_5="B-757",'2026'!$I$4="FO",'2026'!$I$2=CG195),'2026DATA'!$N$20,"")</f>
        <v/>
      </c>
      <c r="CH213" s="940"/>
      <c r="CI213" s="13" t="s">
        <v>62</v>
      </c>
      <c r="CJ213" s="518" t="str">
        <f>IF(AND(_6="B-757",'2026'!$I$4="FO",'2026'!$I$2=CJ195),'2026DATA'!$C$20,"")</f>
        <v/>
      </c>
      <c r="CK213" s="518" t="str">
        <f>IF(AND(_6="B-757",'2026'!$I$4="FO",'2026'!$I$2=CK195),'2026DATA'!$D$20,"")</f>
        <v/>
      </c>
      <c r="CL213" s="518" t="str">
        <f>IF(AND(_6="B-757",'2026'!$I$4="FO",'2026'!$I$2=CL195),'2026DATA'!$E$20,"")</f>
        <v/>
      </c>
      <c r="CM213" s="518" t="str">
        <f>IF(AND(_6="B-757",'2026'!$I$4="FO",'2026'!$I$2=CM195),'2026DATA'!$F$20,"")</f>
        <v/>
      </c>
      <c r="CN213" s="518" t="str">
        <f>IF(AND(_6="B-757",'2026'!$I$4="FO",'2026'!$I$2=CN195),'2026DATA'!$G$20,"")</f>
        <v/>
      </c>
      <c r="CO213" s="518" t="str">
        <f>IF(AND(_6="B-757",'2026'!$I$4="FO",'2026'!$I$2=CO195),'2026DATA'!$H$20,"")</f>
        <v/>
      </c>
      <c r="CP213" s="518" t="str">
        <f>IF(AND(_6="B-757",'2026'!$I$4="FO",'2026'!$I$2=CP195),'2026DATA'!$I$20,"")</f>
        <v/>
      </c>
      <c r="CQ213" s="518" t="str">
        <f>IF(AND(_6="B-757",'2026'!$I$4="FO",'2026'!$I$2=CQ195),'2026DATA'!$J$20,"")</f>
        <v/>
      </c>
      <c r="CR213" s="518" t="str">
        <f>IF(AND(_6="B-757",'2026'!$I$4="FO",'2026'!$I$2=CR195),'2026DATA'!$K$20,"")</f>
        <v/>
      </c>
      <c r="CS213" s="518" t="str">
        <f>IF(AND(_6="B-757",'2026'!$I$4="FO",'2026'!$I$2=CS195),'2026DATA'!$L$20,"")</f>
        <v/>
      </c>
      <c r="CT213" s="518" t="str">
        <f>IF(AND(_6="B-757",'2026'!$I$4="FO",'2026'!$I$2=CT195),'2026DATA'!$M$20,"")</f>
        <v/>
      </c>
      <c r="CU213" s="520" t="str">
        <f>IF(AND(_6="B-757",'2026'!$I$4="FO",'2026'!$I$2=CU195),'2026DATA'!$N$20,"")</f>
        <v/>
      </c>
    </row>
    <row r="214" spans="16:99" x14ac:dyDescent="0.25">
      <c r="P214" s="940" t="s">
        <v>47</v>
      </c>
      <c r="Q214" s="13" t="s">
        <v>61</v>
      </c>
      <c r="R214" s="518" t="str">
        <f>IF(AND(_1="B-737-900",'2026'!$I$4="CA",'2026'!$I$2=R195),'2026DATA'!$C$21,"")</f>
        <v/>
      </c>
      <c r="S214" s="518" t="str">
        <f>IF(AND(_1="B-737-900",'2026'!$I$4="CA",'2026'!$I$2=S195),'2026DATA'!$D$21,"")</f>
        <v/>
      </c>
      <c r="T214" s="518" t="str">
        <f>IF(AND(_1="B-737-900",'2026'!$I$4="CA",'2026'!$I$2=T195),'2026DATA'!$E$21,"")</f>
        <v/>
      </c>
      <c r="U214" s="518" t="str">
        <f>IF(AND(_1="B-737-900",'2026'!$I$4="CA",'2026'!$I$2=U195),'2026DATA'!$F$21,"")</f>
        <v/>
      </c>
      <c r="V214" s="518" t="str">
        <f>IF(AND(_1="B-737-900",'2026'!$I$4="CA",'2026'!$I$2=V195),'2026DATA'!$G$21,"")</f>
        <v/>
      </c>
      <c r="W214" s="518" t="str">
        <f>IF(AND(_1="B-737-900",'2026'!$I$4="CA",'2026'!$I$2=W195),'2026DATA'!$H$21,"")</f>
        <v/>
      </c>
      <c r="X214" s="518" t="str">
        <f>IF(AND(_1="B-737-900",'2026'!$I$4="CA",'2026'!$I$2=X195),'2026DATA'!$I$21,"")</f>
        <v/>
      </c>
      <c r="Y214" s="518" t="str">
        <f>IF(AND(_1="B-737-900",'2026'!$I$4="CA",'2026'!$I$2=Y195),'2026DATA'!$J$21,"")</f>
        <v/>
      </c>
      <c r="Z214" s="518" t="str">
        <f>IF(AND(_1="B-737-900",'2026'!$I$4="CA",'2026'!$I$2=Z195),'2026DATA'!$K$21,"")</f>
        <v/>
      </c>
      <c r="AA214" s="518" t="str">
        <f>IF(AND(_1="B-737-900",'2026'!$I$4="CA",'2026'!$I$2=AA195),'2026DATA'!$L$21,"")</f>
        <v/>
      </c>
      <c r="AB214" s="518" t="str">
        <f>IF(AND(_1="B-737-900",'2026'!$I$4="CA",'2026'!$I$2=AB195),'2026DATA'!$M$21,"")</f>
        <v/>
      </c>
      <c r="AC214" s="520" t="str">
        <f>IF(AND(_1="B-737-900",'2026'!$I$4="CA",'2026'!$I$2=AC195),'2026DATA'!$N$21,"")</f>
        <v/>
      </c>
      <c r="AD214" s="940" t="s">
        <v>47</v>
      </c>
      <c r="AE214" s="13" t="s">
        <v>61</v>
      </c>
      <c r="AF214" s="518" t="str">
        <f>IF(AND(_2="B-737-900",'2026'!$I$4="CA",'2026'!$I$2=AF195),'2026DATA'!$C$21,"")</f>
        <v/>
      </c>
      <c r="AG214" s="518" t="str">
        <f>IF(AND(_2="B-737-900",'2026'!$I$4="CA",'2026'!$I$2=AG195),'2026DATA'!$D$21,"")</f>
        <v/>
      </c>
      <c r="AH214" s="518" t="str">
        <f>IF(AND(_2="B-737-900",'2026'!$I$4="CA",'2026'!$I$2=AH195),'2026DATA'!$E$21,"")</f>
        <v/>
      </c>
      <c r="AI214" s="518" t="str">
        <f>IF(AND(_2="B-737-900",'2026'!$I$4="CA",'2026'!$I$2=AI195),'2026DATA'!$F$21,"")</f>
        <v/>
      </c>
      <c r="AJ214" s="518" t="str">
        <f>IF(AND(_2="B-737-900",'2026'!$I$4="CA",'2026'!$I$2=AJ195),'2026DATA'!$G$21,"")</f>
        <v/>
      </c>
      <c r="AK214" s="518" t="str">
        <f>IF(AND(_2="B-737-900",'2026'!$I$4="CA",'2026'!$I$2=AK195),'2026DATA'!$H$21,"")</f>
        <v/>
      </c>
      <c r="AL214" s="518" t="str">
        <f>IF(AND(_2="B-737-900",'2026'!$I$4="CA",'2026'!$I$2=AL195),'2026DATA'!$I$21,"")</f>
        <v/>
      </c>
      <c r="AM214" s="518" t="str">
        <f>IF(AND(_2="B-737-900",'2026'!$I$4="CA",'2026'!$I$2=AM195),'2026DATA'!$J$21,"")</f>
        <v/>
      </c>
      <c r="AN214" s="518" t="str">
        <f>IF(AND(_2="B-737-900",'2026'!$I$4="CA",'2026'!$I$2=AN195),'2026DATA'!$K$21,"")</f>
        <v/>
      </c>
      <c r="AO214" s="518" t="str">
        <f>IF(AND(_2="B-737-900",'2026'!$I$4="CA",'2026'!$I$2=AO195),'2026DATA'!$L$21,"")</f>
        <v/>
      </c>
      <c r="AP214" s="518" t="str">
        <f>IF(AND(_2="B-737-900",'2026'!$I$4="CA",'2026'!$I$2=AP195),'2026DATA'!$M$21,"")</f>
        <v/>
      </c>
      <c r="AQ214" s="520" t="str">
        <f>IF(AND(_2="B-737-900",'2026'!$I$4="CA",'2026'!$I$2=AQ195),'2026DATA'!$N$21,"")</f>
        <v/>
      </c>
      <c r="AR214" s="940" t="s">
        <v>47</v>
      </c>
      <c r="AS214" s="13" t="s">
        <v>61</v>
      </c>
      <c r="AT214" s="518" t="str">
        <f>IF(AND(_3="B-737-900",'2026'!$I$4="CA",'2026'!$I$2=AT195),'2026DATA'!$C$21,"")</f>
        <v/>
      </c>
      <c r="AU214" s="518" t="str">
        <f>IF(AND(_3="B-737-900",'2026'!$I$4="CA",'2026'!$I$2=AU195),'2026DATA'!$D$21,"")</f>
        <v/>
      </c>
      <c r="AV214" s="518" t="str">
        <f>IF(AND(_3="B-737-900",'2026'!$I$4="CA",'2026'!$I$2=AV195),'2026DATA'!$E$21,"")</f>
        <v/>
      </c>
      <c r="AW214" s="518" t="str">
        <f>IF(AND(_3="B-737-900",'2026'!$I$4="CA",'2026'!$I$2=AW195),'2026DATA'!$F$21,"")</f>
        <v/>
      </c>
      <c r="AX214" s="518" t="str">
        <f>IF(AND(_3="B-737-900",'2026'!$I$4="CA",'2026'!$I$2=AX195),'2026DATA'!$G$21,"")</f>
        <v/>
      </c>
      <c r="AY214" s="518" t="str">
        <f>IF(AND(_3="B-737-900",'2026'!$I$4="CA",'2026'!$I$2=AY195),'2026DATA'!$H$21,"")</f>
        <v/>
      </c>
      <c r="AZ214" s="518" t="str">
        <f>IF(AND(_3="B-737-900",'2026'!$I$4="CA",'2026'!$I$2=AZ195),'2026DATA'!$I$21,"")</f>
        <v/>
      </c>
      <c r="BA214" s="518" t="str">
        <f>IF(AND(_3="B-737-900",'2026'!$I$4="CA",'2026'!$I$2=BA195),'2026DATA'!$J$21,"")</f>
        <v/>
      </c>
      <c r="BB214" s="518" t="str">
        <f>IF(AND(_3="B-737-900",'2026'!$I$4="CA",'2026'!$I$2=BB195),'2026DATA'!$K$21,"")</f>
        <v/>
      </c>
      <c r="BC214" s="518" t="str">
        <f>IF(AND(_3="B-737-900",'2026'!$I$4="CA",'2026'!$I$2=BC195),'2026DATA'!$L$21,"")</f>
        <v/>
      </c>
      <c r="BD214" s="518" t="str">
        <f>IF(AND(_3="B-737-900",'2026'!$I$4="CA",'2026'!$I$2=BD195),'2026DATA'!$M$21,"")</f>
        <v/>
      </c>
      <c r="BE214" s="520" t="str">
        <f>IF(AND(_3="B-737-900",'2026'!$I$4="CA",'2026'!$I$2=BE195),'2026DATA'!$N$21,"")</f>
        <v/>
      </c>
      <c r="BF214" s="940" t="s">
        <v>47</v>
      </c>
      <c r="BG214" s="13" t="s">
        <v>61</v>
      </c>
      <c r="BH214" s="518" t="str">
        <f>IF(AND(_4="B-737-900",'2026'!$I$4="CA",'2026'!$I$2=BH195),'2026DATA'!$C$21,"")</f>
        <v/>
      </c>
      <c r="BI214" s="518" t="str">
        <f>IF(AND(_4="B-737-900",'2026'!$I$4="CA",'2026'!$I$2=BI195),'2026DATA'!$D$21,"")</f>
        <v/>
      </c>
      <c r="BJ214" s="518" t="str">
        <f>IF(AND(_4="B-737-900",'2026'!$I$4="CA",'2026'!$I$2=BJ195),'2026DATA'!$E$21,"")</f>
        <v/>
      </c>
      <c r="BK214" s="518" t="str">
        <f>IF(AND(_4="B-737-900",'2026'!$I$4="CA",'2026'!$I$2=BK195),'2026DATA'!$F$21,"")</f>
        <v/>
      </c>
      <c r="BL214" s="518" t="str">
        <f>IF(AND(_4="B-737-900",'2026'!$I$4="CA",'2026'!$I$2=BL195),'2026DATA'!$G$21,"")</f>
        <v/>
      </c>
      <c r="BM214" s="518" t="str">
        <f>IF(AND(_4="B-737-900",'2026'!$I$4="CA",'2026'!$I$2=BM195),'2026DATA'!$H$21,"")</f>
        <v/>
      </c>
      <c r="BN214" s="518" t="str">
        <f>IF(AND(_4="B-737-900",'2026'!$I$4="CA",'2026'!$I$2=BN195),'2026DATA'!$I$21,"")</f>
        <v/>
      </c>
      <c r="BO214" s="518" t="str">
        <f>IF(AND(_4="B-737-900",'2026'!$I$4="CA",'2026'!$I$2=BO195),'2026DATA'!$J$21,"")</f>
        <v/>
      </c>
      <c r="BP214" s="518" t="str">
        <f>IF(AND(_4="B-737-900",'2026'!$I$4="CA",'2026'!$I$2=BP195),'2026DATA'!$K$21,"")</f>
        <v/>
      </c>
      <c r="BQ214" s="518" t="str">
        <f>IF(AND(_4="B-737-900",'2026'!$I$4="CA",'2026'!$I$2=BQ195),'2026DATA'!$L$21,"")</f>
        <v/>
      </c>
      <c r="BR214" s="518" t="str">
        <f>IF(AND(_4="B-737-900",'2026'!$I$4="CA",'2026'!$I$2=BR195),'2026DATA'!$M$21,"")</f>
        <v/>
      </c>
      <c r="BS214" s="520" t="str">
        <f>IF(AND(_4="B-737-900",'2026'!$I$4="CA",'2026'!$I$2=BS195),'2026DATA'!$N$21,"")</f>
        <v/>
      </c>
      <c r="BT214" s="940" t="s">
        <v>47</v>
      </c>
      <c r="BU214" s="13" t="s">
        <v>61</v>
      </c>
      <c r="BV214" s="518" t="str">
        <f>IF(AND(_5="B-737-900",'2026'!$I$4="CA",'2026'!$I$2=BV195),'2026DATA'!$C$21,"")</f>
        <v/>
      </c>
      <c r="BW214" s="518" t="str">
        <f>IF(AND(_5="B-737-900",'2026'!$I$4="CA",'2026'!$I$2=BW195),'2026DATA'!$D$21,"")</f>
        <v/>
      </c>
      <c r="BX214" s="518" t="str">
        <f>IF(AND(_5="B-737-900",'2026'!$I$4="CA",'2026'!$I$2=BX195),'2026DATA'!$E$21,"")</f>
        <v/>
      </c>
      <c r="BY214" s="518" t="str">
        <f>IF(AND(_5="B-737-900",'2026'!$I$4="CA",'2026'!$I$2=BY195),'2026DATA'!$F$21,"")</f>
        <v/>
      </c>
      <c r="BZ214" s="518" t="str">
        <f>IF(AND(_5="B-737-900",'2026'!$I$4="CA",'2026'!$I$2=BZ195),'2026DATA'!$G$21,"")</f>
        <v/>
      </c>
      <c r="CA214" s="518" t="str">
        <f>IF(AND(_5="B-737-900",'2026'!$I$4="CA",'2026'!$I$2=CA195),'2026DATA'!$H$21,"")</f>
        <v/>
      </c>
      <c r="CB214" s="518" t="str">
        <f>IF(AND(_5="B-737-900",'2026'!$I$4="CA",'2026'!$I$2=CB195),'2026DATA'!$I$21,"")</f>
        <v/>
      </c>
      <c r="CC214" s="518" t="str">
        <f>IF(AND(_5="B-737-900",'2026'!$I$4="CA",'2026'!$I$2=CC195),'2026DATA'!$J$21,"")</f>
        <v/>
      </c>
      <c r="CD214" s="518" t="str">
        <f>IF(AND(_5="B-737-900",'2026'!$I$4="CA",'2026'!$I$2=CD195),'2026DATA'!$K$21,"")</f>
        <v/>
      </c>
      <c r="CE214" s="518" t="str">
        <f>IF(AND(_5="B-737-900",'2026'!$I$4="CA",'2026'!$I$2=CE195),'2026DATA'!$L$21,"")</f>
        <v/>
      </c>
      <c r="CF214" s="518" t="str">
        <f>IF(AND(_5="B-737-900",'2026'!$I$4="CA",'2026'!$I$2=CF195),'2026DATA'!$M$21,"")</f>
        <v/>
      </c>
      <c r="CG214" s="520" t="str">
        <f>IF(AND(_5="B-737-900",'2026'!$I$4="CA",'2026'!$I$2=CG195),'2026DATA'!$N$21,"")</f>
        <v/>
      </c>
      <c r="CH214" s="940" t="s">
        <v>47</v>
      </c>
      <c r="CI214" s="13" t="s">
        <v>61</v>
      </c>
      <c r="CJ214" s="518" t="str">
        <f>IF(AND(_6="B-737-900",'2026'!$I$4="CA",'2026'!$I$2=CJ195),'2026DATA'!$C$21,"")</f>
        <v/>
      </c>
      <c r="CK214" s="518" t="str">
        <f>IF(AND(_6="B-737-900",'2026'!$I$4="CA",'2026'!$I$2=CK195),'2026DATA'!$D$21,"")</f>
        <v/>
      </c>
      <c r="CL214" s="518" t="str">
        <f>IF(AND(_6="B-737-900",'2026'!$I$4="CA",'2026'!$I$2=CL195),'2026DATA'!$E$21,"")</f>
        <v/>
      </c>
      <c r="CM214" s="518" t="str">
        <f>IF(AND(_6="B-737-900",'2026'!$I$4="CA",'2026'!$I$2=CM195),'2026DATA'!$F$21,"")</f>
        <v/>
      </c>
      <c r="CN214" s="518" t="str">
        <f>IF(AND(_6="B-737-900",'2026'!$I$4="CA",'2026'!$I$2=CN195),'2026DATA'!$G$21,"")</f>
        <v/>
      </c>
      <c r="CO214" s="518" t="str">
        <f>IF(AND(_6="B-737-900",'2026'!$I$4="CA",'2026'!$I$2=CO195),'2026DATA'!$H$21,"")</f>
        <v/>
      </c>
      <c r="CP214" s="518" t="str">
        <f>IF(AND(_6="B-737-900",'2026'!$I$4="CA",'2026'!$I$2=CP195),'2026DATA'!$I$21,"")</f>
        <v/>
      </c>
      <c r="CQ214" s="518" t="str">
        <f>IF(AND(_6="B-737-900",'2026'!$I$4="CA",'2026'!$I$2=CQ195),'2026DATA'!$J$21,"")</f>
        <v/>
      </c>
      <c r="CR214" s="518" t="str">
        <f>IF(AND(_6="B-737-900",'2026'!$I$4="CA",'2026'!$I$2=CR195),'2026DATA'!$K$21,"")</f>
        <v/>
      </c>
      <c r="CS214" s="518" t="str">
        <f>IF(AND(_6="B-737-900",'2026'!$I$4="CA",'2026'!$I$2=CS195),'2026DATA'!$L$21,"")</f>
        <v/>
      </c>
      <c r="CT214" s="518" t="str">
        <f>IF(AND(_6="B-737-900",'2026'!$I$4="CA",'2026'!$I$2=CT195),'2026DATA'!$M$21,"")</f>
        <v/>
      </c>
      <c r="CU214" s="520" t="str">
        <f>IF(AND(_6="B-737-900",'2026'!$I$4="CA",'2026'!$I$2=CU195),'2026DATA'!$N$21,"")</f>
        <v/>
      </c>
    </row>
    <row r="215" spans="16:99" x14ac:dyDescent="0.25">
      <c r="P215" s="940"/>
      <c r="Q215" s="13" t="s">
        <v>62</v>
      </c>
      <c r="R215" s="518" t="str">
        <f>IF(AND(_1="B-737-900",'2026'!$I$4="FO",'2026'!$I$2=R195),'2026DATA'!$C$22,"")</f>
        <v/>
      </c>
      <c r="S215" s="518" t="str">
        <f>IF(AND(_1="B-737-900",'2026'!$I$4="FO",'2026'!$I$2=S195),'2026DATA'!$D$22,"")</f>
        <v/>
      </c>
      <c r="T215" s="518" t="str">
        <f>IF(AND(_1="B-737-900",'2026'!$I$4="FO",'2026'!$I$2=T195),'2026DATA'!$E$22,"")</f>
        <v/>
      </c>
      <c r="U215" s="518" t="str">
        <f>IF(AND(_1="B-737-900",'2026'!$I$4="FO",'2026'!$I$2=U195),'2026DATA'!$F$22,"")</f>
        <v/>
      </c>
      <c r="V215" s="518" t="str">
        <f>IF(AND(_1="B-737-900",'2026'!$I$4="FO",'2026'!$I$2=V195),'2026DATA'!$G$22,"")</f>
        <v/>
      </c>
      <c r="W215" s="518" t="str">
        <f>IF(AND(_1="B-737-900",'2026'!$I$4="FO",'2026'!$I$2=W195),'2026DATA'!$H$22,"")</f>
        <v/>
      </c>
      <c r="X215" s="518" t="str">
        <f>IF(AND(_1="B-737-900",'2026'!$I$4="FO",'2026'!$I$2=X195),'2026DATA'!$I$22,"")</f>
        <v/>
      </c>
      <c r="Y215" s="518" t="str">
        <f>IF(AND(_1="B-737-900",'2026'!$I$4="FO",'2026'!$I$2=Y195),'2026DATA'!$J$22,"")</f>
        <v/>
      </c>
      <c r="Z215" s="518" t="str">
        <f>IF(AND(_1="B-737-900",'2026'!$I$4="FO",'2026'!$I$2=Z195),'2026DATA'!$K$22,"")</f>
        <v/>
      </c>
      <c r="AA215" s="518" t="str">
        <f>IF(AND(_1="B-737-900",'2026'!$I$4="FO",'2026'!$I$2=AA195),'2026DATA'!$L$22,"")</f>
        <v/>
      </c>
      <c r="AB215" s="518" t="str">
        <f>IF(AND(_1="B-737-900",'2026'!$I$4="FO",'2026'!$I$2=AB195),'2026DATA'!$M$22,"")</f>
        <v/>
      </c>
      <c r="AC215" s="520" t="str">
        <f>IF(AND(_1="B-737-900",'2026'!$I$4="FO",'2026'!$I$2=AC195),'2026DATA'!$N$22,"")</f>
        <v/>
      </c>
      <c r="AD215" s="940"/>
      <c r="AE215" s="13" t="s">
        <v>62</v>
      </c>
      <c r="AF215" s="518" t="str">
        <f>IF(AND(_2="B-737-900",'2026'!$I$4="FO",'2026'!$I$2=AF195),'2026DATA'!$C$22,"")</f>
        <v/>
      </c>
      <c r="AG215" s="518" t="str">
        <f>IF(AND(_2="B-737-900",'2026'!$I$4="FO",'2026'!$I$2=AG195),'2026DATA'!$D$22,"")</f>
        <v/>
      </c>
      <c r="AH215" s="518" t="str">
        <f>IF(AND(_2="B-737-900",'2026'!$I$4="FO",'2026'!$I$2=AH195),'2026DATA'!$E$22,"")</f>
        <v/>
      </c>
      <c r="AI215" s="518" t="str">
        <f>IF(AND(_2="B-737-900",'2026'!$I$4="FO",'2026'!$I$2=AI195),'2026DATA'!$F$22,"")</f>
        <v/>
      </c>
      <c r="AJ215" s="518" t="str">
        <f>IF(AND(_2="B-737-900",'2026'!$I$4="FO",'2026'!$I$2=AJ195),'2026DATA'!$G$22,"")</f>
        <v/>
      </c>
      <c r="AK215" s="518" t="str">
        <f>IF(AND(_2="B-737-900",'2026'!$I$4="FO",'2026'!$I$2=AK195),'2026DATA'!$H$22,"")</f>
        <v/>
      </c>
      <c r="AL215" s="518" t="str">
        <f>IF(AND(_2="B-737-900",'2026'!$I$4="FO",'2026'!$I$2=AL195),'2026DATA'!$I$22,"")</f>
        <v/>
      </c>
      <c r="AM215" s="518" t="str">
        <f>IF(AND(_2="B-737-900",'2026'!$I$4="FO",'2026'!$I$2=AM195),'2026DATA'!$J$22,"")</f>
        <v/>
      </c>
      <c r="AN215" s="518" t="str">
        <f>IF(AND(_2="B-737-900",'2026'!$I$4="FO",'2026'!$I$2=AN195),'2026DATA'!$K$22,"")</f>
        <v/>
      </c>
      <c r="AO215" s="518" t="str">
        <f>IF(AND(_2="B-737-900",'2026'!$I$4="FO",'2026'!$I$2=AO195),'2026DATA'!$L$22,"")</f>
        <v/>
      </c>
      <c r="AP215" s="518" t="str">
        <f>IF(AND(_2="B-737-900",'2026'!$I$4="FO",'2026'!$I$2=AP195),'2026DATA'!$M$22,"")</f>
        <v/>
      </c>
      <c r="AQ215" s="520" t="str">
        <f>IF(AND(_2="B-737-900",'2026'!$I$4="FO",'2026'!$I$2=AQ195),'2026DATA'!$N$22,"")</f>
        <v/>
      </c>
      <c r="AR215" s="940"/>
      <c r="AS215" s="13" t="s">
        <v>62</v>
      </c>
      <c r="AT215" s="518" t="str">
        <f>IF(AND(_3="B-737-900",'2026'!$I$4="FO",'2026'!$I$2=AT195),'2026DATA'!$C$22,"")</f>
        <v/>
      </c>
      <c r="AU215" s="518" t="str">
        <f>IF(AND(_3="B-737-900",'2026'!$I$4="FO",'2026'!$I$2=AU195),'2026DATA'!$D$22,"")</f>
        <v/>
      </c>
      <c r="AV215" s="518" t="str">
        <f>IF(AND(_3="B-737-900",'2026'!$I$4="FO",'2026'!$I$2=AV195),'2026DATA'!$E$22,"")</f>
        <v/>
      </c>
      <c r="AW215" s="518" t="str">
        <f>IF(AND(_3="B-737-900",'2026'!$I$4="FO",'2026'!$I$2=AW195),'2026DATA'!$F$22,"")</f>
        <v/>
      </c>
      <c r="AX215" s="518" t="str">
        <f>IF(AND(_3="B-737-900",'2026'!$I$4="FO",'2026'!$I$2=AX195),'2026DATA'!$G$22,"")</f>
        <v/>
      </c>
      <c r="AY215" s="518" t="str">
        <f>IF(AND(_3="B-737-900",'2026'!$I$4="FO",'2026'!$I$2=AY195),'2026DATA'!$H$22,"")</f>
        <v/>
      </c>
      <c r="AZ215" s="518" t="str">
        <f>IF(AND(_3="B-737-900",'2026'!$I$4="FO",'2026'!$I$2=AZ195),'2026DATA'!$I$22,"")</f>
        <v/>
      </c>
      <c r="BA215" s="518" t="str">
        <f>IF(AND(_3="B-737-900",'2026'!$I$4="FO",'2026'!$I$2=BA195),'2026DATA'!$J$22,"")</f>
        <v/>
      </c>
      <c r="BB215" s="518" t="str">
        <f>IF(AND(_3="B-737-900",'2026'!$I$4="FO",'2026'!$I$2=BB195),'2026DATA'!$K$22,"")</f>
        <v/>
      </c>
      <c r="BC215" s="518" t="str">
        <f>IF(AND(_3="B-737-900",'2026'!$I$4="FO",'2026'!$I$2=BC195),'2026DATA'!$L$22,"")</f>
        <v/>
      </c>
      <c r="BD215" s="518" t="str">
        <f>IF(AND(_3="B-737-900",'2026'!$I$4="FO",'2026'!$I$2=BD195),'2026DATA'!$M$22,"")</f>
        <v/>
      </c>
      <c r="BE215" s="520" t="str">
        <f>IF(AND(_3="B-737-900",'2026'!$I$4="FO",'2026'!$I$2=BE195),'2026DATA'!$N$22,"")</f>
        <v/>
      </c>
      <c r="BF215" s="940"/>
      <c r="BG215" s="13" t="s">
        <v>62</v>
      </c>
      <c r="BH215" s="518" t="str">
        <f>IF(AND(_4="B-737-900",'2026'!$I$4="FO",'2026'!$I$2=BH195),'2026DATA'!$C$22,"")</f>
        <v/>
      </c>
      <c r="BI215" s="518" t="str">
        <f>IF(AND(_4="B-737-900",'2026'!$I$4="FO",'2026'!$I$2=BI195),'2026DATA'!$D$22,"")</f>
        <v/>
      </c>
      <c r="BJ215" s="518" t="str">
        <f>IF(AND(_4="B-737-900",'2026'!$I$4="FO",'2026'!$I$2=BJ195),'2026DATA'!$E$22,"")</f>
        <v/>
      </c>
      <c r="BK215" s="518" t="str">
        <f>IF(AND(_4="B-737-900",'2026'!$I$4="FO",'2026'!$I$2=BK195),'2026DATA'!$F$22,"")</f>
        <v/>
      </c>
      <c r="BL215" s="518" t="str">
        <f>IF(AND(_4="B-737-900",'2026'!$I$4="FO",'2026'!$I$2=BL195),'2026DATA'!$G$22,"")</f>
        <v/>
      </c>
      <c r="BM215" s="518" t="str">
        <f>IF(AND(_4="B-737-900",'2026'!$I$4="FO",'2026'!$I$2=BM195),'2026DATA'!$H$22,"")</f>
        <v/>
      </c>
      <c r="BN215" s="518" t="str">
        <f>IF(AND(_4="B-737-900",'2026'!$I$4="FO",'2026'!$I$2=BN195),'2026DATA'!$I$22,"")</f>
        <v/>
      </c>
      <c r="BO215" s="518" t="str">
        <f>IF(AND(_4="B-737-900",'2026'!$I$4="FO",'2026'!$I$2=BO195),'2026DATA'!$J$22,"")</f>
        <v/>
      </c>
      <c r="BP215" s="518" t="str">
        <f>IF(AND(_4="B-737-900",'2026'!$I$4="FO",'2026'!$I$2=BP195),'2026DATA'!$K$22,"")</f>
        <v/>
      </c>
      <c r="BQ215" s="518" t="str">
        <f>IF(AND(_4="B-737-900",'2026'!$I$4="FO",'2026'!$I$2=BQ195),'2026DATA'!$L$22,"")</f>
        <v/>
      </c>
      <c r="BR215" s="518" t="str">
        <f>IF(AND(_4="B-737-900",'2026'!$I$4="FO",'2026'!$I$2=BR195),'2026DATA'!$M$22,"")</f>
        <v/>
      </c>
      <c r="BS215" s="520" t="str">
        <f>IF(AND(_4="B-737-900",'2026'!$I$4="FO",'2026'!$I$2=BS195),'2026DATA'!$N$22,"")</f>
        <v/>
      </c>
      <c r="BT215" s="940"/>
      <c r="BU215" s="13" t="s">
        <v>62</v>
      </c>
      <c r="BV215" s="518" t="str">
        <f>IF(AND(_5="B-737-900",'2026'!$I$4="FO",'2026'!$I$2=BV195),'2026DATA'!$C$22,"")</f>
        <v/>
      </c>
      <c r="BW215" s="518" t="str">
        <f>IF(AND(_5="B-737-900",'2026'!$I$4="FO",'2026'!$I$2=BW195),'2026DATA'!$D$22,"")</f>
        <v/>
      </c>
      <c r="BX215" s="518" t="str">
        <f>IF(AND(_5="B-737-900",'2026'!$I$4="FO",'2026'!$I$2=BX195),'2026DATA'!$E$22,"")</f>
        <v/>
      </c>
      <c r="BY215" s="518" t="str">
        <f>IF(AND(_5="B-737-900",'2026'!$I$4="FO",'2026'!$I$2=BY195),'2026DATA'!$F$22,"")</f>
        <v/>
      </c>
      <c r="BZ215" s="518" t="str">
        <f>IF(AND(_5="B-737-900",'2026'!$I$4="FO",'2026'!$I$2=BZ195),'2026DATA'!$G$22,"")</f>
        <v/>
      </c>
      <c r="CA215" s="518" t="str">
        <f>IF(AND(_5="B-737-900",'2026'!$I$4="FO",'2026'!$I$2=CA195),'2026DATA'!$H$22,"")</f>
        <v/>
      </c>
      <c r="CB215" s="518" t="str">
        <f>IF(AND(_5="B-737-900",'2026'!$I$4="FO",'2026'!$I$2=CB195),'2026DATA'!$I$22,"")</f>
        <v/>
      </c>
      <c r="CC215" s="518" t="str">
        <f>IF(AND(_5="B-737-900",'2026'!$I$4="FO",'2026'!$I$2=CC195),'2026DATA'!$J$22,"")</f>
        <v/>
      </c>
      <c r="CD215" s="518" t="str">
        <f>IF(AND(_5="B-737-900",'2026'!$I$4="FO",'2026'!$I$2=CD195),'2026DATA'!$K$22,"")</f>
        <v/>
      </c>
      <c r="CE215" s="518" t="str">
        <f>IF(AND(_5="B-737-900",'2026'!$I$4="FO",'2026'!$I$2=CE195),'2026DATA'!$L$22,"")</f>
        <v/>
      </c>
      <c r="CF215" s="518" t="str">
        <f>IF(AND(_5="B-737-900",'2026'!$I$4="FO",'2026'!$I$2=CF195),'2026DATA'!$M$22,"")</f>
        <v/>
      </c>
      <c r="CG215" s="520" t="str">
        <f>IF(AND(_5="B-737-900",'2026'!$I$4="FO",'2026'!$I$2=CG195),'2026DATA'!$N$22,"")</f>
        <v/>
      </c>
      <c r="CH215" s="940"/>
      <c r="CI215" s="13" t="s">
        <v>62</v>
      </c>
      <c r="CJ215" s="518" t="str">
        <f>IF(AND(_6="B-737-900",'2026'!$I$4="FO",'2026'!$I$2=CJ195),'2026DATA'!$C$22,"")</f>
        <v/>
      </c>
      <c r="CK215" s="518" t="str">
        <f>IF(AND(_6="B-737-900",'2026'!$I$4="FO",'2026'!$I$2=CK195),'2026DATA'!$D$22,"")</f>
        <v/>
      </c>
      <c r="CL215" s="518" t="str">
        <f>IF(AND(_6="B-737-900",'2026'!$I$4="FO",'2026'!$I$2=CL195),'2026DATA'!$E$22,"")</f>
        <v/>
      </c>
      <c r="CM215" s="518" t="str">
        <f>IF(AND(_6="B-737-900",'2026'!$I$4="FO",'2026'!$I$2=CM195),'2026DATA'!$F$22,"")</f>
        <v/>
      </c>
      <c r="CN215" s="518" t="str">
        <f>IF(AND(_6="B-737-900",'2026'!$I$4="FO",'2026'!$I$2=CN195),'2026DATA'!$G$22,"")</f>
        <v/>
      </c>
      <c r="CO215" s="518" t="str">
        <f>IF(AND(_6="B-737-900",'2026'!$I$4="FO",'2026'!$I$2=CO195),'2026DATA'!$H$22,"")</f>
        <v/>
      </c>
      <c r="CP215" s="518" t="str">
        <f>IF(AND(_6="B-737-900",'2026'!$I$4="FO",'2026'!$I$2=CP195),'2026DATA'!$I$22,"")</f>
        <v/>
      </c>
      <c r="CQ215" s="518" t="str">
        <f>IF(AND(_6="B-737-900",'2026'!$I$4="FO",'2026'!$I$2=CQ195),'2026DATA'!$J$22,"")</f>
        <v/>
      </c>
      <c r="CR215" s="518" t="str">
        <f>IF(AND(_6="B-737-900",'2026'!$I$4="FO",'2026'!$I$2=CR195),'2026DATA'!$K$22,"")</f>
        <v/>
      </c>
      <c r="CS215" s="518" t="str">
        <f>IF(AND(_6="B-737-900",'2026'!$I$4="FO",'2026'!$I$2=CS195),'2026DATA'!$L$22,"")</f>
        <v/>
      </c>
      <c r="CT215" s="518" t="str">
        <f>IF(AND(_6="B-737-900",'2026'!$I$4="FO",'2026'!$I$2=CT195),'2026DATA'!$M$22,"")</f>
        <v/>
      </c>
      <c r="CU215" s="520" t="str">
        <f>IF(AND(_6="B-737-900",'2026'!$I$4="FO",'2026'!$I$2=CU195),'2026DATA'!$N$22,"")</f>
        <v/>
      </c>
    </row>
    <row r="216" spans="16:99" x14ac:dyDescent="0.25">
      <c r="P216" s="940" t="s">
        <v>69</v>
      </c>
      <c r="Q216" s="13" t="s">
        <v>61</v>
      </c>
      <c r="R216" s="518" t="str">
        <f>IF(AND(_1="B-737-800",'2026'!$I$4="CA",'2026'!$I$2=R195),'2026DATA'!$C$23,"")</f>
        <v/>
      </c>
      <c r="S216" s="518" t="str">
        <f>IF(AND(_1="B-737-800",'2026'!$I$4="CA",'2026'!$I$2=S195),'2026DATA'!$D$23,"")</f>
        <v/>
      </c>
      <c r="T216" s="518" t="str">
        <f>IF(AND(_1="B-737-800",'2026'!$I$4="CA",'2026'!$I$2=T195),'2026DATA'!$E$23,"")</f>
        <v/>
      </c>
      <c r="U216" s="518" t="str">
        <f>IF(AND(_1="B-737-800",'2026'!$I$4="CA",'2026'!$I$2=U195),'2026DATA'!$F$23,"")</f>
        <v/>
      </c>
      <c r="V216" s="518" t="str">
        <f>IF(AND(_1="B-737-800",'2026'!$I$4="CA",'2026'!$I$2=V195),'2026DATA'!$G$23,"")</f>
        <v/>
      </c>
      <c r="W216" s="518" t="str">
        <f>IF(AND(_1="B-737-800",'2026'!$I$4="CA",'2026'!$I$2=W195),'2026DATA'!$H$23,"")</f>
        <v/>
      </c>
      <c r="X216" s="518" t="str">
        <f>IF(AND(_1="B-737-800",'2026'!$I$4="CA",'2026'!$I$2=X195),'2026DATA'!$I$23,"")</f>
        <v/>
      </c>
      <c r="Y216" s="518" t="str">
        <f>IF(AND(_1="B-737-800",'2026'!$I$4="CA",'2026'!$I$2=Y195),'2026DATA'!$J$23,"")</f>
        <v/>
      </c>
      <c r="Z216" s="518" t="str">
        <f>IF(AND(_1="B-737-800",'2026'!$I$4="CA",'2026'!$I$2=Z195),'2026DATA'!$K$23,"")</f>
        <v/>
      </c>
      <c r="AA216" s="518" t="str">
        <f>IF(AND(_1="B-737-800",'2026'!$I$4="CA",'2026'!$I$2=AA195),'2026DATA'!$L$23,"")</f>
        <v/>
      </c>
      <c r="AB216" s="518" t="str">
        <f>IF(AND(_1="B-737-800",'2026'!$I$4="CA",'2026'!$I$2=AB195),'2026DATA'!$M$23,"")</f>
        <v/>
      </c>
      <c r="AC216" s="520" t="str">
        <f>IF(AND(_1="B-737-800",'2026'!$I$4="CA",'2026'!$I$2=AC195),'2026DATA'!$N$23,"")</f>
        <v/>
      </c>
      <c r="AD216" s="940" t="s">
        <v>69</v>
      </c>
      <c r="AE216" s="13" t="s">
        <v>61</v>
      </c>
      <c r="AF216" s="518" t="str">
        <f>IF(AND(_2="B-737-800",'2026'!$I$4="CA",'2026'!$I$2=AF195),'2026DATA'!$C$23,"")</f>
        <v/>
      </c>
      <c r="AG216" s="518" t="str">
        <f>IF(AND(_2="B-737-800",'2026'!$I$4="CA",'2026'!$I$2=AG195),'2026DATA'!$D$23,"")</f>
        <v/>
      </c>
      <c r="AH216" s="518" t="str">
        <f>IF(AND(_2="B-737-800",'2026'!$I$4="CA",'2026'!$I$2=AH195),'2026DATA'!$E$23,"")</f>
        <v/>
      </c>
      <c r="AI216" s="518" t="str">
        <f>IF(AND(_2="B-737-800",'2026'!$I$4="CA",'2026'!$I$2=AI195),'2026DATA'!$F$23,"")</f>
        <v/>
      </c>
      <c r="AJ216" s="518" t="str">
        <f>IF(AND(_2="B-737-800",'2026'!$I$4="CA",'2026'!$I$2=AJ195),'2026DATA'!$G$23,"")</f>
        <v/>
      </c>
      <c r="AK216" s="518" t="str">
        <f>IF(AND(_2="B-737-800",'2026'!$I$4="CA",'2026'!$I$2=AK195),'2026DATA'!$H$23,"")</f>
        <v/>
      </c>
      <c r="AL216" s="518" t="str">
        <f>IF(AND(_2="B-737-800",'2026'!$I$4="CA",'2026'!$I$2=AL195),'2026DATA'!$I$23,"")</f>
        <v/>
      </c>
      <c r="AM216" s="518" t="str">
        <f>IF(AND(_2="B-737-800",'2026'!$I$4="CA",'2026'!$I$2=AM195),'2026DATA'!$J$23,"")</f>
        <v/>
      </c>
      <c r="AN216" s="518" t="str">
        <f>IF(AND(_2="B-737-800",'2026'!$I$4="CA",'2026'!$I$2=AN195),'2026DATA'!$K$23,"")</f>
        <v/>
      </c>
      <c r="AO216" s="518" t="str">
        <f>IF(AND(_2="B-737-800",'2026'!$I$4="CA",'2026'!$I$2=AO195),'2026DATA'!$L$23,"")</f>
        <v/>
      </c>
      <c r="AP216" s="518" t="str">
        <f>IF(AND(_2="B-737-800",'2026'!$I$4="CA",'2026'!$I$2=AP195),'2026DATA'!$M$23,"")</f>
        <v/>
      </c>
      <c r="AQ216" s="520" t="str">
        <f>IF(AND(_2="B-737-800",'2026'!$I$4="CA",'2026'!$I$2=AQ195),'2026DATA'!$N$23,"")</f>
        <v/>
      </c>
      <c r="AR216" s="940" t="s">
        <v>69</v>
      </c>
      <c r="AS216" s="13" t="s">
        <v>61</v>
      </c>
      <c r="AT216" s="518" t="str">
        <f>IF(AND(_3="B-737-800",'2026'!$I$4="CA",'2026'!$I$2=AT195),'2026DATA'!$C$23,"")</f>
        <v/>
      </c>
      <c r="AU216" s="518" t="str">
        <f>IF(AND(_3="B-737-800",'2026'!$I$4="CA",'2026'!$I$2=AU195),'2026DATA'!$D$23,"")</f>
        <v/>
      </c>
      <c r="AV216" s="518" t="str">
        <f>IF(AND(_3="B-737-800",'2026'!$I$4="CA",'2026'!$I$2=AV195),'2026DATA'!$E$23,"")</f>
        <v/>
      </c>
      <c r="AW216" s="518" t="str">
        <f>IF(AND(_3="B-737-800",'2026'!$I$4="CA",'2026'!$I$2=AW195),'2026DATA'!$F$23,"")</f>
        <v/>
      </c>
      <c r="AX216" s="518" t="str">
        <f>IF(AND(_3="B-737-800",'2026'!$I$4="CA",'2026'!$I$2=AX195),'2026DATA'!$G$23,"")</f>
        <v/>
      </c>
      <c r="AY216" s="518" t="str">
        <f>IF(AND(_3="B-737-800",'2026'!$I$4="CA",'2026'!$I$2=AY195),'2026DATA'!$H$23,"")</f>
        <v/>
      </c>
      <c r="AZ216" s="518" t="str">
        <f>IF(AND(_3="B-737-800",'2026'!$I$4="CA",'2026'!$I$2=AZ195),'2026DATA'!$I$23,"")</f>
        <v/>
      </c>
      <c r="BA216" s="518" t="str">
        <f>IF(AND(_3="B-737-800",'2026'!$I$4="CA",'2026'!$I$2=BA195),'2026DATA'!$J$23,"")</f>
        <v/>
      </c>
      <c r="BB216" s="518" t="str">
        <f>IF(AND(_3="B-737-800",'2026'!$I$4="CA",'2026'!$I$2=BB195),'2026DATA'!$K$23,"")</f>
        <v/>
      </c>
      <c r="BC216" s="518" t="str">
        <f>IF(AND(_3="B-737-800",'2026'!$I$4="CA",'2026'!$I$2=BC195),'2026DATA'!$L$23,"")</f>
        <v/>
      </c>
      <c r="BD216" s="518" t="str">
        <f>IF(AND(_3="B-737-800",'2026'!$I$4="CA",'2026'!$I$2=BD195),'2026DATA'!$M$23,"")</f>
        <v/>
      </c>
      <c r="BE216" s="520" t="str">
        <f>IF(AND(_3="B-737-800",'2026'!$I$4="CA",'2026'!$I$2=BE195),'2026DATA'!$N$23,"")</f>
        <v/>
      </c>
      <c r="BF216" s="940" t="s">
        <v>69</v>
      </c>
      <c r="BG216" s="13" t="s">
        <v>61</v>
      </c>
      <c r="BH216" s="518" t="str">
        <f>IF(AND(_4="B-737-800",'2026'!$I$4="CA",'2026'!$I$2=BH195),'2026DATA'!$C$23,"")</f>
        <v/>
      </c>
      <c r="BI216" s="518" t="str">
        <f>IF(AND(_4="B-737-800",'2026'!$I$4="CA",'2026'!$I$2=BI195),'2026DATA'!$D$23,"")</f>
        <v/>
      </c>
      <c r="BJ216" s="518" t="str">
        <f>IF(AND(_4="B-737-800",'2026'!$I$4="CA",'2026'!$I$2=BJ195),'2026DATA'!$E$23,"")</f>
        <v/>
      </c>
      <c r="BK216" s="518" t="str">
        <f>IF(AND(_4="B-737-800",'2026'!$I$4="CA",'2026'!$I$2=BK195),'2026DATA'!$F$23,"")</f>
        <v/>
      </c>
      <c r="BL216" s="518" t="str">
        <f>IF(AND(_4="B-737-800",'2026'!$I$4="CA",'2026'!$I$2=BL195),'2026DATA'!$G$23,"")</f>
        <v/>
      </c>
      <c r="BM216" s="518" t="str">
        <f>IF(AND(_4="B-737-800",'2026'!$I$4="CA",'2026'!$I$2=BM195),'2026DATA'!$H$23,"")</f>
        <v/>
      </c>
      <c r="BN216" s="518" t="str">
        <f>IF(AND(_4="B-737-800",'2026'!$I$4="CA",'2026'!$I$2=BN195),'2026DATA'!$I$23,"")</f>
        <v/>
      </c>
      <c r="BO216" s="518" t="str">
        <f>IF(AND(_4="B-737-800",'2026'!$I$4="CA",'2026'!$I$2=BO195),'2026DATA'!$J$23,"")</f>
        <v/>
      </c>
      <c r="BP216" s="518" t="str">
        <f>IF(AND(_4="B-737-800",'2026'!$I$4="CA",'2026'!$I$2=BP195),'2026DATA'!$K$23,"")</f>
        <v/>
      </c>
      <c r="BQ216" s="518" t="str">
        <f>IF(AND(_4="B-737-800",'2026'!$I$4="CA",'2026'!$I$2=BQ195),'2026DATA'!$L$23,"")</f>
        <v/>
      </c>
      <c r="BR216" s="518" t="str">
        <f>IF(AND(_4="B-737-800",'2026'!$I$4="CA",'2026'!$I$2=BR195),'2026DATA'!$M$23,"")</f>
        <v/>
      </c>
      <c r="BS216" s="520" t="str">
        <f>IF(AND(_4="B-737-800",'2026'!$I$4="CA",'2026'!$I$2=BS195),'2026DATA'!$N$23,"")</f>
        <v/>
      </c>
      <c r="BT216" s="940" t="s">
        <v>69</v>
      </c>
      <c r="BU216" s="13" t="s">
        <v>61</v>
      </c>
      <c r="BV216" s="518" t="str">
        <f>IF(AND(_5="B-737-800",'2026'!$I$4="CA",'2026'!$I$2=BV195),'2026DATA'!$C$23,"")</f>
        <v/>
      </c>
      <c r="BW216" s="518" t="str">
        <f>IF(AND(_5="B-737-800",'2026'!$I$4="CA",'2026'!$I$2=BW195),'2026DATA'!$D$23,"")</f>
        <v/>
      </c>
      <c r="BX216" s="518" t="str">
        <f>IF(AND(_5="B-737-800",'2026'!$I$4="CA",'2026'!$I$2=BX195),'2026DATA'!$E$23,"")</f>
        <v/>
      </c>
      <c r="BY216" s="518" t="str">
        <f>IF(AND(_5="B-737-800",'2026'!$I$4="CA",'2026'!$I$2=BY195),'2026DATA'!$F$23,"")</f>
        <v/>
      </c>
      <c r="BZ216" s="518" t="str">
        <f>IF(AND(_5="B-737-800",'2026'!$I$4="CA",'2026'!$I$2=BZ195),'2026DATA'!$G$23,"")</f>
        <v/>
      </c>
      <c r="CA216" s="518" t="str">
        <f>IF(AND(_5="B-737-800",'2026'!$I$4="CA",'2026'!$I$2=CA195),'2026DATA'!$H$23,"")</f>
        <v/>
      </c>
      <c r="CB216" s="518" t="str">
        <f>IF(AND(_5="B-737-800",'2026'!$I$4="CA",'2026'!$I$2=CB195),'2026DATA'!$I$23,"")</f>
        <v/>
      </c>
      <c r="CC216" s="518" t="str">
        <f>IF(AND(_5="B-737-800",'2026'!$I$4="CA",'2026'!$I$2=CC195),'2026DATA'!$J$23,"")</f>
        <v/>
      </c>
      <c r="CD216" s="518" t="str">
        <f>IF(AND(_5="B-737-800",'2026'!$I$4="CA",'2026'!$I$2=CD195),'2026DATA'!$K$23,"")</f>
        <v/>
      </c>
      <c r="CE216" s="518" t="str">
        <f>IF(AND(_5="B-737-800",'2026'!$I$4="CA",'2026'!$I$2=CE195),'2026DATA'!$L$23,"")</f>
        <v/>
      </c>
      <c r="CF216" s="518" t="str">
        <f>IF(AND(_5="B-737-800",'2026'!$I$4="CA",'2026'!$I$2=CF195),'2026DATA'!$M$23,"")</f>
        <v/>
      </c>
      <c r="CG216" s="520" t="str">
        <f>IF(AND(_5="B-737-800",'2026'!$I$4="CA",'2026'!$I$2=CG195),'2026DATA'!$N$23,"")</f>
        <v/>
      </c>
      <c r="CH216" s="940" t="s">
        <v>69</v>
      </c>
      <c r="CI216" s="13" t="s">
        <v>61</v>
      </c>
      <c r="CJ216" s="518" t="str">
        <f>IF(AND(_6="B-737-800",'2026'!$I$4="CA",'2026'!$I$2=CJ195),'2026DATA'!$C$23,"")</f>
        <v/>
      </c>
      <c r="CK216" s="518" t="str">
        <f>IF(AND(_6="B-737-800",'2026'!$I$4="CA",'2026'!$I$2=CK195),'2026DATA'!$D$23,"")</f>
        <v/>
      </c>
      <c r="CL216" s="518" t="str">
        <f>IF(AND(_6="B-737-800",'2026'!$I$4="CA",'2026'!$I$2=CL195),'2026DATA'!$E$23,"")</f>
        <v/>
      </c>
      <c r="CM216" s="518" t="str">
        <f>IF(AND(_6="B-737-800",'2026'!$I$4="CA",'2026'!$I$2=CM195),'2026DATA'!$F$23,"")</f>
        <v/>
      </c>
      <c r="CN216" s="518" t="str">
        <f>IF(AND(_6="B-737-800",'2026'!$I$4="CA",'2026'!$I$2=CN195),'2026DATA'!$G$23,"")</f>
        <v/>
      </c>
      <c r="CO216" s="518" t="str">
        <f>IF(AND(_6="B-737-800",'2026'!$I$4="CA",'2026'!$I$2=CO195),'2026DATA'!$H$23,"")</f>
        <v/>
      </c>
      <c r="CP216" s="518" t="str">
        <f>IF(AND(_6="B-737-800",'2026'!$I$4="CA",'2026'!$I$2=CP195),'2026DATA'!$I$23,"")</f>
        <v/>
      </c>
      <c r="CQ216" s="518" t="str">
        <f>IF(AND(_6="B-737-800",'2026'!$I$4="CA",'2026'!$I$2=CQ195),'2026DATA'!$J$23,"")</f>
        <v/>
      </c>
      <c r="CR216" s="518" t="str">
        <f>IF(AND(_6="B-737-800",'2026'!$I$4="CA",'2026'!$I$2=CR195),'2026DATA'!$K$23,"")</f>
        <v/>
      </c>
      <c r="CS216" s="518" t="str">
        <f>IF(AND(_6="B-737-800",'2026'!$I$4="CA",'2026'!$I$2=CS195),'2026DATA'!$L$23,"")</f>
        <v/>
      </c>
      <c r="CT216" s="518" t="str">
        <f>IF(AND(_6="B-737-800",'2026'!$I$4="CA",'2026'!$I$2=CT195),'2026DATA'!$M$23,"")</f>
        <v/>
      </c>
      <c r="CU216" s="520" t="str">
        <f>IF(AND(_6="B-737-800",'2026'!$I$4="CA",'2026'!$I$2=CU195),'2026DATA'!$N$23,"")</f>
        <v/>
      </c>
    </row>
    <row r="217" spans="16:99" x14ac:dyDescent="0.25">
      <c r="P217" s="940"/>
      <c r="Q217" s="13" t="s">
        <v>62</v>
      </c>
      <c r="R217" s="518" t="str">
        <f>IF(AND(_1="B-737-800",'2026'!$I$4="FO",'2026'!$I$2=R195),'2026DATA'!$C$24,"")</f>
        <v/>
      </c>
      <c r="S217" s="518" t="str">
        <f>IF(AND(_1="B-737-800",'2026'!$I$4="FO",'2026'!$I$2=S195),'2026DATA'!$D$24,"")</f>
        <v/>
      </c>
      <c r="T217" s="518" t="str">
        <f>IF(AND(_1="B-737-800",'2026'!$I$4="FO",'2026'!$I$2=T195),'2026DATA'!$E$24,"")</f>
        <v/>
      </c>
      <c r="U217" s="518" t="str">
        <f>IF(AND(_1="B-737-800",'2026'!$I$4="FO",'2026'!$I$2=U195),'2026DATA'!$F$24,"")</f>
        <v/>
      </c>
      <c r="V217" s="518" t="str">
        <f>IF(AND(_1="B-737-800",'2026'!$I$4="FO",'2026'!$I$2=V195),'2026DATA'!$G$24,"")</f>
        <v/>
      </c>
      <c r="W217" s="518" t="str">
        <f>IF(AND(_1="B-737-800",'2026'!$I$4="FO",'2026'!$I$2=W195),'2026DATA'!$H$24,"")</f>
        <v/>
      </c>
      <c r="X217" s="518" t="str">
        <f>IF(AND(_1="B-737-800",'2026'!$I$4="FO",'2026'!$I$2=X195),'2026DATA'!$I$24,"")</f>
        <v/>
      </c>
      <c r="Y217" s="518" t="str">
        <f>IF(AND(_1="B-737-800",'2026'!$I$4="FO",'2026'!$I$2=Y195),'2026DATA'!$J$24,"")</f>
        <v/>
      </c>
      <c r="Z217" s="518" t="str">
        <f>IF(AND(_1="B-737-800",'2026'!$I$4="FO",'2026'!$I$2=Z195),'2026DATA'!$K$24,"")</f>
        <v/>
      </c>
      <c r="AA217" s="518" t="str">
        <f>IF(AND(_1="B-737-800",'2026'!$I$4="FO",'2026'!$I$2=AA195),'2026DATA'!$L$24,"")</f>
        <v/>
      </c>
      <c r="AB217" s="518" t="str">
        <f>IF(AND(_1="B-737-800",'2026'!$I$4="FO",'2026'!$I$2=AB195),'2026DATA'!$M$24,"")</f>
        <v/>
      </c>
      <c r="AC217" s="520" t="str">
        <f>IF(AND(_1="B-737-800",'2026'!$I$4="FO",'2026'!$I$2=AC195),'2026DATA'!$N$24,"")</f>
        <v/>
      </c>
      <c r="AD217" s="940"/>
      <c r="AE217" s="13" t="s">
        <v>62</v>
      </c>
      <c r="AF217" s="518" t="str">
        <f>IF(AND(_2="B-737-800",'2026'!$I$4="FO",'2026'!$I$2=AF195),'2026DATA'!$C$24,"")</f>
        <v/>
      </c>
      <c r="AG217" s="518" t="str">
        <f>IF(AND(_2="B-737-800",'2026'!$I$4="FO",'2026'!$I$2=AG195),'2026DATA'!$D$24,"")</f>
        <v/>
      </c>
      <c r="AH217" s="518" t="str">
        <f>IF(AND(_2="B-737-800",'2026'!$I$4="FO",'2026'!$I$2=AH195),'2026DATA'!$E$24,"")</f>
        <v/>
      </c>
      <c r="AI217" s="518" t="str">
        <f>IF(AND(_2="B-737-800",'2026'!$I$4="FO",'2026'!$I$2=AI195),'2026DATA'!$F$24,"")</f>
        <v/>
      </c>
      <c r="AJ217" s="518" t="str">
        <f>IF(AND(_2="B-737-800",'2026'!$I$4="FO",'2026'!$I$2=AJ195),'2026DATA'!$G$24,"")</f>
        <v/>
      </c>
      <c r="AK217" s="518" t="str">
        <f>IF(AND(_2="B-737-800",'2026'!$I$4="FO",'2026'!$I$2=AK195),'2026DATA'!$H$24,"")</f>
        <v/>
      </c>
      <c r="AL217" s="518" t="str">
        <f>IF(AND(_2="B-737-800",'2026'!$I$4="FO",'2026'!$I$2=AL195),'2026DATA'!$I$24,"")</f>
        <v/>
      </c>
      <c r="AM217" s="518" t="str">
        <f>IF(AND(_2="B-737-800",'2026'!$I$4="FO",'2026'!$I$2=AM195),'2026DATA'!$J$24,"")</f>
        <v/>
      </c>
      <c r="AN217" s="518" t="str">
        <f>IF(AND(_2="B-737-800",'2026'!$I$4="FO",'2026'!$I$2=AN195),'2026DATA'!$K$24,"")</f>
        <v/>
      </c>
      <c r="AO217" s="518" t="str">
        <f>IF(AND(_2="B-737-800",'2026'!$I$4="FO",'2026'!$I$2=AO195),'2026DATA'!$L$24,"")</f>
        <v/>
      </c>
      <c r="AP217" s="518" t="str">
        <f>IF(AND(_2="B-737-800",'2026'!$I$4="FO",'2026'!$I$2=AP195),'2026DATA'!$M$24,"")</f>
        <v/>
      </c>
      <c r="AQ217" s="520" t="str">
        <f>IF(AND(_2="B-737-800",'2026'!$I$4="FO",'2026'!$I$2=AQ195),'2026DATA'!$N$24,"")</f>
        <v/>
      </c>
      <c r="AR217" s="940"/>
      <c r="AS217" s="13" t="s">
        <v>62</v>
      </c>
      <c r="AT217" s="518" t="str">
        <f>IF(AND(_3="B-737-800",'2026'!$I$4="FO",'2026'!$I$2=AT195),'2026DATA'!$C$24,"")</f>
        <v/>
      </c>
      <c r="AU217" s="518" t="str">
        <f>IF(AND(_3="B-737-800",'2026'!$I$4="FO",'2026'!$I$2=AU195),'2026DATA'!$D$24,"")</f>
        <v/>
      </c>
      <c r="AV217" s="518" t="str">
        <f>IF(AND(_3="B-737-800",'2026'!$I$4="FO",'2026'!$I$2=AV195),'2026DATA'!$E$24,"")</f>
        <v/>
      </c>
      <c r="AW217" s="518" t="str">
        <f>IF(AND(_3="B-737-800",'2026'!$I$4="FO",'2026'!$I$2=AW195),'2026DATA'!$F$24,"")</f>
        <v/>
      </c>
      <c r="AX217" s="518" t="str">
        <f>IF(AND(_3="B-737-800",'2026'!$I$4="FO",'2026'!$I$2=AX195),'2026DATA'!$G$24,"")</f>
        <v/>
      </c>
      <c r="AY217" s="518" t="str">
        <f>IF(AND(_3="B-737-800",'2026'!$I$4="FO",'2026'!$I$2=AY195),'2026DATA'!$H$24,"")</f>
        <v/>
      </c>
      <c r="AZ217" s="518" t="str">
        <f>IF(AND(_3="B-737-800",'2026'!$I$4="FO",'2026'!$I$2=AZ195),'2026DATA'!$I$24,"")</f>
        <v/>
      </c>
      <c r="BA217" s="518" t="str">
        <f>IF(AND(_3="B-737-800",'2026'!$I$4="FO",'2026'!$I$2=BA195),'2026DATA'!$J$24,"")</f>
        <v/>
      </c>
      <c r="BB217" s="518" t="str">
        <f>IF(AND(_3="B-737-800",'2026'!$I$4="FO",'2026'!$I$2=BB195),'2026DATA'!$K$24,"")</f>
        <v/>
      </c>
      <c r="BC217" s="518" t="str">
        <f>IF(AND(_3="B-737-800",'2026'!$I$4="FO",'2026'!$I$2=BC195),'2026DATA'!$L$24,"")</f>
        <v/>
      </c>
      <c r="BD217" s="518" t="str">
        <f>IF(AND(_3="B-737-800",'2026'!$I$4="FO",'2026'!$I$2=BD195),'2026DATA'!$M$24,"")</f>
        <v/>
      </c>
      <c r="BE217" s="520" t="str">
        <f>IF(AND(_3="B-737-800",'2026'!$I$4="FO",'2026'!$I$2=BE195),'2026DATA'!$N$24,"")</f>
        <v/>
      </c>
      <c r="BF217" s="940"/>
      <c r="BG217" s="13" t="s">
        <v>62</v>
      </c>
      <c r="BH217" s="518" t="str">
        <f>IF(AND(_4="B-737-800",'2026'!$I$4="FO",'2026'!$I$2=BH195),'2026DATA'!$C$24,"")</f>
        <v/>
      </c>
      <c r="BI217" s="518" t="str">
        <f>IF(AND(_4="B-737-800",'2026'!$I$4="FO",'2026'!$I$2=BI195),'2026DATA'!$D$24,"")</f>
        <v/>
      </c>
      <c r="BJ217" s="518" t="str">
        <f>IF(AND(_4="B-737-800",'2026'!$I$4="FO",'2026'!$I$2=BJ195),'2026DATA'!$E$24,"")</f>
        <v/>
      </c>
      <c r="BK217" s="518" t="str">
        <f>IF(AND(_4="B-737-800",'2026'!$I$4="FO",'2026'!$I$2=BK195),'2026DATA'!$F$24,"")</f>
        <v/>
      </c>
      <c r="BL217" s="518" t="str">
        <f>IF(AND(_4="B-737-800",'2026'!$I$4="FO",'2026'!$I$2=BL195),'2026DATA'!$G$24,"")</f>
        <v/>
      </c>
      <c r="BM217" s="518" t="str">
        <f>IF(AND(_4="B-737-800",'2026'!$I$4="FO",'2026'!$I$2=BM195),'2026DATA'!$H$24,"")</f>
        <v/>
      </c>
      <c r="BN217" s="518" t="str">
        <f>IF(AND(_4="B-737-800",'2026'!$I$4="FO",'2026'!$I$2=BN195),'2026DATA'!$I$24,"")</f>
        <v/>
      </c>
      <c r="BO217" s="518" t="str">
        <f>IF(AND(_4="B-737-800",'2026'!$I$4="FO",'2026'!$I$2=BO195),'2026DATA'!$J$24,"")</f>
        <v/>
      </c>
      <c r="BP217" s="518" t="str">
        <f>IF(AND(_4="B-737-800",'2026'!$I$4="FO",'2026'!$I$2=BP195),'2026DATA'!$K$24,"")</f>
        <v/>
      </c>
      <c r="BQ217" s="518" t="str">
        <f>IF(AND(_4="B-737-800",'2026'!$I$4="FO",'2026'!$I$2=BQ195),'2026DATA'!$L$24,"")</f>
        <v/>
      </c>
      <c r="BR217" s="518" t="str">
        <f>IF(AND(_4="B-737-800",'2026'!$I$4="FO",'2026'!$I$2=BR195),'2026DATA'!$M$24,"")</f>
        <v/>
      </c>
      <c r="BS217" s="520" t="str">
        <f>IF(AND(_4="B-737-800",'2026'!$I$4="FO",'2026'!$I$2=BS195),'2026DATA'!$N$24,"")</f>
        <v/>
      </c>
      <c r="BT217" s="940"/>
      <c r="BU217" s="13" t="s">
        <v>62</v>
      </c>
      <c r="BV217" s="518" t="str">
        <f>IF(AND(_5="B-737-800",'2026'!$I$4="FO",'2026'!$I$2=BV195),'2026DATA'!$C$24,"")</f>
        <v/>
      </c>
      <c r="BW217" s="518" t="str">
        <f>IF(AND(_5="B-737-800",'2026'!$I$4="FO",'2026'!$I$2=BW195),'2026DATA'!$D$24,"")</f>
        <v/>
      </c>
      <c r="BX217" s="518" t="str">
        <f>IF(AND(_5="B-737-800",'2026'!$I$4="FO",'2026'!$I$2=BX195),'2026DATA'!$E$24,"")</f>
        <v/>
      </c>
      <c r="BY217" s="518" t="str">
        <f>IF(AND(_5="B-737-800",'2026'!$I$4="FO",'2026'!$I$2=BY195),'2026DATA'!$F$24,"")</f>
        <v/>
      </c>
      <c r="BZ217" s="518" t="str">
        <f>IF(AND(_5="B-737-800",'2026'!$I$4="FO",'2026'!$I$2=BZ195),'2026DATA'!$G$24,"")</f>
        <v/>
      </c>
      <c r="CA217" s="518" t="str">
        <f>IF(AND(_5="B-737-800",'2026'!$I$4="FO",'2026'!$I$2=CA195),'2026DATA'!$H$24,"")</f>
        <v/>
      </c>
      <c r="CB217" s="518" t="str">
        <f>IF(AND(_5="B-737-800",'2026'!$I$4="FO",'2026'!$I$2=CB195),'2026DATA'!$I$24,"")</f>
        <v/>
      </c>
      <c r="CC217" s="518" t="str">
        <f>IF(AND(_5="B-737-800",'2026'!$I$4="FO",'2026'!$I$2=CC195),'2026DATA'!$J$24,"")</f>
        <v/>
      </c>
      <c r="CD217" s="518" t="str">
        <f>IF(AND(_5="B-737-800",'2026'!$I$4="FO",'2026'!$I$2=CD195),'2026DATA'!$K$24,"")</f>
        <v/>
      </c>
      <c r="CE217" s="518" t="str">
        <f>IF(AND(_5="B-737-800",'2026'!$I$4="FO",'2026'!$I$2=CE195),'2026DATA'!$L$24,"")</f>
        <v/>
      </c>
      <c r="CF217" s="518" t="str">
        <f>IF(AND(_5="B-737-800",'2026'!$I$4="FO",'2026'!$I$2=CF195),'2026DATA'!$M$24,"")</f>
        <v/>
      </c>
      <c r="CG217" s="520" t="str">
        <f>IF(AND(_5="B-737-800",'2026'!$I$4="FO",'2026'!$I$2=CG195),'2026DATA'!$N$24,"")</f>
        <v/>
      </c>
      <c r="CH217" s="940"/>
      <c r="CI217" s="13" t="s">
        <v>62</v>
      </c>
      <c r="CJ217" s="518" t="str">
        <f>IF(AND(_6="B-737-800",'2026'!$I$4="FO",'2026'!$I$2=CJ195),'2026DATA'!$C$24,"")</f>
        <v/>
      </c>
      <c r="CK217" s="518" t="str">
        <f>IF(AND(_6="B-737-800",'2026'!$I$4="FO",'2026'!$I$2=CK195),'2026DATA'!$D$24,"")</f>
        <v/>
      </c>
      <c r="CL217" s="518" t="str">
        <f>IF(AND(_6="B-737-800",'2026'!$I$4="FO",'2026'!$I$2=CL195),'2026DATA'!$E$24,"")</f>
        <v/>
      </c>
      <c r="CM217" s="518" t="str">
        <f>IF(AND(_6="B-737-800",'2026'!$I$4="FO",'2026'!$I$2=CM195),'2026DATA'!$F$24,"")</f>
        <v/>
      </c>
      <c r="CN217" s="518" t="str">
        <f>IF(AND(_6="B-737-800",'2026'!$I$4="FO",'2026'!$I$2=CN195),'2026DATA'!$G$24,"")</f>
        <v/>
      </c>
      <c r="CO217" s="518" t="str">
        <f>IF(AND(_6="B-737-800",'2026'!$I$4="FO",'2026'!$I$2=CO195),'2026DATA'!$H$24,"")</f>
        <v/>
      </c>
      <c r="CP217" s="518" t="str">
        <f>IF(AND(_6="B-737-800",'2026'!$I$4="FO",'2026'!$I$2=CP195),'2026DATA'!$I$24,"")</f>
        <v/>
      </c>
      <c r="CQ217" s="518" t="str">
        <f>IF(AND(_6="B-737-800",'2026'!$I$4="FO",'2026'!$I$2=CQ195),'2026DATA'!$J$24,"")</f>
        <v/>
      </c>
      <c r="CR217" s="518" t="str">
        <f>IF(AND(_6="B-737-800",'2026'!$I$4="FO",'2026'!$I$2=CR195),'2026DATA'!$K$24,"")</f>
        <v/>
      </c>
      <c r="CS217" s="518" t="str">
        <f>IF(AND(_6="B-737-800",'2026'!$I$4="FO",'2026'!$I$2=CS195),'2026DATA'!$L$24,"")</f>
        <v/>
      </c>
      <c r="CT217" s="518" t="str">
        <f>IF(AND(_6="B-737-800",'2026'!$I$4="FO",'2026'!$I$2=CT195),'2026DATA'!$M$24,"")</f>
        <v/>
      </c>
      <c r="CU217" s="520" t="str">
        <f>IF(AND(_6="B-737-800",'2026'!$I$4="FO",'2026'!$I$2=CU195),'2026DATA'!$N$24,"")</f>
        <v/>
      </c>
    </row>
    <row r="218" spans="16:99" x14ac:dyDescent="0.25">
      <c r="P218" s="940" t="s">
        <v>46</v>
      </c>
      <c r="Q218" s="13" t="s">
        <v>61</v>
      </c>
      <c r="R218" s="518" t="str">
        <f>IF(AND(_1="A-321N",'2026'!$I$4="CA",'2026'!$I$2=R195),'2026DATA'!$C$25,"")</f>
        <v/>
      </c>
      <c r="S218" s="518" t="str">
        <f>IF(AND(_1="A-321N",'2026'!$I$4="CA",'2026'!$I$2=S195),'2026DATA'!$D$25,"")</f>
        <v/>
      </c>
      <c r="T218" s="518" t="str">
        <f>IF(AND(_1="A-321N",'2026'!$I$4="CA",'2026'!$I$2=T195),'2026DATA'!$E$25,"")</f>
        <v/>
      </c>
      <c r="U218" s="518" t="str">
        <f>IF(AND(_1="A-321N",'2026'!$I$4="CA",'2026'!$I$2=U195),'2026DATA'!$F$25,"")</f>
        <v/>
      </c>
      <c r="V218" s="518" t="str">
        <f>IF(AND(_1="A-321N",'2026'!$I$4="CA",'2026'!$I$2=V195),'2026DATA'!$G$25,"")</f>
        <v/>
      </c>
      <c r="W218" s="518" t="str">
        <f>IF(AND(_1="A-321N",'2026'!$I$4="CA",'2026'!$I$2=W195),'2026DATA'!$H$25,"")</f>
        <v/>
      </c>
      <c r="X218" s="518" t="str">
        <f>IF(AND(_1="A-321N",'2026'!$I$4="CA",'2026'!$I$2=X195),'2026DATA'!$I$25,"")</f>
        <v/>
      </c>
      <c r="Y218" s="518" t="str">
        <f>IF(AND(_1="A-321N",'2026'!$I$4="CA",'2026'!$I$2=Y195),'2026DATA'!$J$25,"")</f>
        <v/>
      </c>
      <c r="Z218" s="518" t="str">
        <f>IF(AND(_1="A-321N",'2026'!$I$4="CA",'2026'!$I$2=Z195),'2026DATA'!$K$25,"")</f>
        <v/>
      </c>
      <c r="AA218" s="518" t="str">
        <f>IF(AND(_1="A-321N",'2026'!$I$4="CA",'2026'!$I$2=AA195),'2026DATA'!$L$25,"")</f>
        <v/>
      </c>
      <c r="AB218" s="518" t="str">
        <f>IF(AND(_1="A-321N",'2026'!$I$4="CA",'2026'!$I$2=AB195),'2026DATA'!$M$25,"")</f>
        <v/>
      </c>
      <c r="AC218" s="520" t="str">
        <f>IF(AND(_1="A-321N",'2026'!$I$4="CA",'2026'!$I$2=AC195),'2026DATA'!$N$25,"")</f>
        <v/>
      </c>
      <c r="AD218" s="940" t="s">
        <v>46</v>
      </c>
      <c r="AE218" s="13" t="s">
        <v>61</v>
      </c>
      <c r="AF218" s="518" t="str">
        <f>IF(AND(_2="A-321N",'2026'!$I$4="CA",'2026'!$I$2=AF195),'2026DATA'!$C$25,"")</f>
        <v/>
      </c>
      <c r="AG218" s="518" t="str">
        <f>IF(AND(_2="A-321N",'2026'!$I$4="CA",'2026'!$I$2=AG195),'2026DATA'!$D$25,"")</f>
        <v/>
      </c>
      <c r="AH218" s="518" t="str">
        <f>IF(AND(_2="A-321N",'2026'!$I$4="CA",'2026'!$I$2=AH195),'2026DATA'!$E$25,"")</f>
        <v/>
      </c>
      <c r="AI218" s="518" t="str">
        <f>IF(AND(_2="A-321N",'2026'!$I$4="CA",'2026'!$I$2=AI195),'2026DATA'!$F$25,"")</f>
        <v/>
      </c>
      <c r="AJ218" s="518" t="str">
        <f>IF(AND(_2="A-321N",'2026'!$I$4="CA",'2026'!$I$2=AJ195),'2026DATA'!$G$25,"")</f>
        <v/>
      </c>
      <c r="AK218" s="518" t="str">
        <f>IF(AND(_2="A-321N",'2026'!$I$4="CA",'2026'!$I$2=AK195),'2026DATA'!$H$25,"")</f>
        <v/>
      </c>
      <c r="AL218" s="518" t="str">
        <f>IF(AND(_2="A-321N",'2026'!$I$4="CA",'2026'!$I$2=AL195),'2026DATA'!$I$25,"")</f>
        <v/>
      </c>
      <c r="AM218" s="518" t="str">
        <f>IF(AND(_2="A-321N",'2026'!$I$4="CA",'2026'!$I$2=AM195),'2026DATA'!$J$25,"")</f>
        <v/>
      </c>
      <c r="AN218" s="518" t="str">
        <f>IF(AND(_2="A-321N",'2026'!$I$4="CA",'2026'!$I$2=AN195),'2026DATA'!$K$25,"")</f>
        <v/>
      </c>
      <c r="AO218" s="518" t="str">
        <f>IF(AND(_2="A-321N",'2026'!$I$4="CA",'2026'!$I$2=AO195),'2026DATA'!$L$25,"")</f>
        <v/>
      </c>
      <c r="AP218" s="518" t="str">
        <f>IF(AND(_2="A-321N",'2026'!$I$4="CA",'2026'!$I$2=AP195),'2026DATA'!$M$25,"")</f>
        <v/>
      </c>
      <c r="AQ218" s="520" t="str">
        <f>IF(AND(_2="A-321N",'2026'!$I$4="CA",'2026'!$I$2=AQ195),'2026DATA'!$N$25,"")</f>
        <v/>
      </c>
      <c r="AR218" s="940" t="s">
        <v>46</v>
      </c>
      <c r="AS218" s="13" t="s">
        <v>61</v>
      </c>
      <c r="AT218" s="518" t="str">
        <f>IF(AND(_3="A-321N",'2026'!$I$4="CA",'2026'!$I$2=AT195),'2026DATA'!$C$25,"")</f>
        <v/>
      </c>
      <c r="AU218" s="518" t="str">
        <f>IF(AND(_3="A-321N",'2026'!$I$4="CA",'2026'!$I$2=AU195),'2026DATA'!$D$25,"")</f>
        <v/>
      </c>
      <c r="AV218" s="518" t="str">
        <f>IF(AND(_3="A-321N",'2026'!$I$4="CA",'2026'!$I$2=AV195),'2026DATA'!$E$25,"")</f>
        <v/>
      </c>
      <c r="AW218" s="518" t="str">
        <f>IF(AND(_3="A-321N",'2026'!$I$4="CA",'2026'!$I$2=AW195),'2026DATA'!$F$25,"")</f>
        <v/>
      </c>
      <c r="AX218" s="518" t="str">
        <f>IF(AND(_3="A-321N",'2026'!$I$4="CA",'2026'!$I$2=AX195),'2026DATA'!$G$25,"")</f>
        <v/>
      </c>
      <c r="AY218" s="518" t="str">
        <f>IF(AND(_3="A-321N",'2026'!$I$4="CA",'2026'!$I$2=AY195),'2026DATA'!$H$25,"")</f>
        <v/>
      </c>
      <c r="AZ218" s="518" t="str">
        <f>IF(AND(_3="A-321N",'2026'!$I$4="CA",'2026'!$I$2=AZ195),'2026DATA'!$I$25,"")</f>
        <v/>
      </c>
      <c r="BA218" s="518" t="str">
        <f>IF(AND(_3="A-321N",'2026'!$I$4="CA",'2026'!$I$2=BA195),'2026DATA'!$J$25,"")</f>
        <v/>
      </c>
      <c r="BB218" s="518" t="str">
        <f>IF(AND(_3="A-321N",'2026'!$I$4="CA",'2026'!$I$2=BB195),'2026DATA'!$K$25,"")</f>
        <v/>
      </c>
      <c r="BC218" s="518" t="str">
        <f>IF(AND(_3="A-321N",'2026'!$I$4="CA",'2026'!$I$2=BC195),'2026DATA'!$L$25,"")</f>
        <v/>
      </c>
      <c r="BD218" s="518" t="str">
        <f>IF(AND(_3="A-321N",'2026'!$I$4="CA",'2026'!$I$2=BD195),'2026DATA'!$M$25,"")</f>
        <v/>
      </c>
      <c r="BE218" s="520" t="str">
        <f>IF(AND(_3="A-321N",'2026'!$I$4="CA",'2026'!$I$2=BE195),'2026DATA'!$N$25,"")</f>
        <v/>
      </c>
      <c r="BF218" s="940" t="s">
        <v>46</v>
      </c>
      <c r="BG218" s="13" t="s">
        <v>61</v>
      </c>
      <c r="BH218" s="518" t="str">
        <f>IF(AND(_4="A-321N",'2026'!$I$4="CA",'2026'!$I$2=BH195),'2026DATA'!$C$25,"")</f>
        <v/>
      </c>
      <c r="BI218" s="518" t="str">
        <f>IF(AND(_4="A-321N",'2026'!$I$4="CA",'2026'!$I$2=BI195),'2026DATA'!$D$25,"")</f>
        <v/>
      </c>
      <c r="BJ218" s="518" t="str">
        <f>IF(AND(_4="A-321N",'2026'!$I$4="CA",'2026'!$I$2=BJ195),'2026DATA'!$E$25,"")</f>
        <v/>
      </c>
      <c r="BK218" s="518" t="str">
        <f>IF(AND(_4="A-321N",'2026'!$I$4="CA",'2026'!$I$2=BK195),'2026DATA'!$F$25,"")</f>
        <v/>
      </c>
      <c r="BL218" s="518" t="str">
        <f>IF(AND(_4="A-321N",'2026'!$I$4="CA",'2026'!$I$2=BL195),'2026DATA'!$G$25,"")</f>
        <v/>
      </c>
      <c r="BM218" s="518" t="str">
        <f>IF(AND(_4="A-321N",'2026'!$I$4="CA",'2026'!$I$2=BM195),'2026DATA'!$H$25,"")</f>
        <v/>
      </c>
      <c r="BN218" s="518" t="str">
        <f>IF(AND(_4="A-321N",'2026'!$I$4="CA",'2026'!$I$2=BN195),'2026DATA'!$I$25,"")</f>
        <v/>
      </c>
      <c r="BO218" s="518" t="str">
        <f>IF(AND(_4="A-321N",'2026'!$I$4="CA",'2026'!$I$2=BO195),'2026DATA'!$J$25,"")</f>
        <v/>
      </c>
      <c r="BP218" s="518" t="str">
        <f>IF(AND(_4="A-321N",'2026'!$I$4="CA",'2026'!$I$2=BP195),'2026DATA'!$K$25,"")</f>
        <v/>
      </c>
      <c r="BQ218" s="518" t="str">
        <f>IF(AND(_4="A-321N",'2026'!$I$4="CA",'2026'!$I$2=BQ195),'2026DATA'!$L$25,"")</f>
        <v/>
      </c>
      <c r="BR218" s="518" t="str">
        <f>IF(AND(_4="A-321N",'2026'!$I$4="CA",'2026'!$I$2=BR195),'2026DATA'!$M$25,"")</f>
        <v/>
      </c>
      <c r="BS218" s="520" t="str">
        <f>IF(AND(_4="A-321N",'2026'!$I$4="CA",'2026'!$I$2=BS195),'2026DATA'!$N$25,"")</f>
        <v/>
      </c>
      <c r="BT218" s="940" t="s">
        <v>46</v>
      </c>
      <c r="BU218" s="13" t="s">
        <v>61</v>
      </c>
      <c r="BV218" s="518" t="str">
        <f>IF(AND(_5="A-321N",'2026'!$I$4="CA",'2026'!$I$2=BV195),'2026DATA'!$C$25,"")</f>
        <v/>
      </c>
      <c r="BW218" s="518" t="str">
        <f>IF(AND(_5="A-321N",'2026'!$I$4="CA",'2026'!$I$2=BW195),'2026DATA'!$D$25,"")</f>
        <v/>
      </c>
      <c r="BX218" s="518" t="str">
        <f>IF(AND(_5="A-321N",'2026'!$I$4="CA",'2026'!$I$2=BX195),'2026DATA'!$E$25,"")</f>
        <v/>
      </c>
      <c r="BY218" s="518" t="str">
        <f>IF(AND(_5="A-321N",'2026'!$I$4="CA",'2026'!$I$2=BY195),'2026DATA'!$F$25,"")</f>
        <v/>
      </c>
      <c r="BZ218" s="518" t="str">
        <f>IF(AND(_5="A-321N",'2026'!$I$4="CA",'2026'!$I$2=BZ195),'2026DATA'!$G$25,"")</f>
        <v/>
      </c>
      <c r="CA218" s="518" t="str">
        <f>IF(AND(_5="A-321N",'2026'!$I$4="CA",'2026'!$I$2=CA195),'2026DATA'!$H$25,"")</f>
        <v/>
      </c>
      <c r="CB218" s="518" t="str">
        <f>IF(AND(_5="A-321N",'2026'!$I$4="CA",'2026'!$I$2=CB195),'2026DATA'!$I$25,"")</f>
        <v/>
      </c>
      <c r="CC218" s="518" t="str">
        <f>IF(AND(_5="A-321N",'2026'!$I$4="CA",'2026'!$I$2=CC195),'2026DATA'!$J$25,"")</f>
        <v/>
      </c>
      <c r="CD218" s="518" t="str">
        <f>IF(AND(_5="A-321N",'2026'!$I$4="CA",'2026'!$I$2=CD195),'2026DATA'!$K$25,"")</f>
        <v/>
      </c>
      <c r="CE218" s="518" t="str">
        <f>IF(AND(_5="A-321N",'2026'!$I$4="CA",'2026'!$I$2=CE195),'2026DATA'!$L$25,"")</f>
        <v/>
      </c>
      <c r="CF218" s="518" t="str">
        <f>IF(AND(_5="A-321N",'2026'!$I$4="CA",'2026'!$I$2=CF195),'2026DATA'!$M$25,"")</f>
        <v/>
      </c>
      <c r="CG218" s="520" t="str">
        <f>IF(AND(_5="A-321N",'2026'!$I$4="CA",'2026'!$I$2=CG195),'2026DATA'!$N$25,"")</f>
        <v/>
      </c>
      <c r="CH218" s="940" t="s">
        <v>46</v>
      </c>
      <c r="CI218" s="13" t="s">
        <v>61</v>
      </c>
      <c r="CJ218" s="518" t="str">
        <f>IF(AND(_6="A-321N",'2026'!$I$4="CA",'2026'!$I$2=CJ195),'2026DATA'!$C$25,"")</f>
        <v/>
      </c>
      <c r="CK218" s="518" t="str">
        <f>IF(AND(_6="A-321N",'2026'!$I$4="CA",'2026'!$I$2=CK195),'2026DATA'!$D$25,"")</f>
        <v/>
      </c>
      <c r="CL218" s="518" t="str">
        <f>IF(AND(_6="A-321N",'2026'!$I$4="CA",'2026'!$I$2=CL195),'2026DATA'!$E$25,"")</f>
        <v/>
      </c>
      <c r="CM218" s="518" t="str">
        <f>IF(AND(_6="A-321N",'2026'!$I$4="CA",'2026'!$I$2=CM195),'2026DATA'!$F$25,"")</f>
        <v/>
      </c>
      <c r="CN218" s="518" t="str">
        <f>IF(AND(_6="A-321N",'2026'!$I$4="CA",'2026'!$I$2=CN195),'2026DATA'!$G$25,"")</f>
        <v/>
      </c>
      <c r="CO218" s="518" t="str">
        <f>IF(AND(_6="A-321N",'2026'!$I$4="CA",'2026'!$I$2=CO195),'2026DATA'!$H$25,"")</f>
        <v/>
      </c>
      <c r="CP218" s="518" t="str">
        <f>IF(AND(_6="A-321N",'2026'!$I$4="CA",'2026'!$I$2=CP195),'2026DATA'!$I$25,"")</f>
        <v/>
      </c>
      <c r="CQ218" s="518" t="str">
        <f>IF(AND(_6="A-321N",'2026'!$I$4="CA",'2026'!$I$2=CQ195),'2026DATA'!$J$25,"")</f>
        <v/>
      </c>
      <c r="CR218" s="518" t="str">
        <f>IF(AND(_6="A-321N",'2026'!$I$4="CA",'2026'!$I$2=CR195),'2026DATA'!$K$25,"")</f>
        <v/>
      </c>
      <c r="CS218" s="518" t="str">
        <f>IF(AND(_6="A-321N",'2026'!$I$4="CA",'2026'!$I$2=CS195),'2026DATA'!$L$25,"")</f>
        <v/>
      </c>
      <c r="CT218" s="518" t="str">
        <f>IF(AND(_6="A-321N",'2026'!$I$4="CA",'2026'!$I$2=CT195),'2026DATA'!$M$25,"")</f>
        <v/>
      </c>
      <c r="CU218" s="520" t="str">
        <f>IF(AND(_6="A-321N",'2026'!$I$4="CA",'2026'!$I$2=CU195),'2026DATA'!$N$25,"")</f>
        <v/>
      </c>
    </row>
    <row r="219" spans="16:99" x14ac:dyDescent="0.25">
      <c r="P219" s="940"/>
      <c r="Q219" s="13" t="s">
        <v>62</v>
      </c>
      <c r="R219" s="518" t="str">
        <f>IF(AND(_1="A-321N",'2026'!$I$4="FO",'2026'!$I$2=R195),'2026DATA'!$C$26,"")</f>
        <v/>
      </c>
      <c r="S219" s="518" t="str">
        <f>IF(AND(_1="A-321N",'2026'!$I$4="FO",'2026'!$I$2=S195),'2026DATA'!$D$26,"")</f>
        <v/>
      </c>
      <c r="T219" s="518" t="str">
        <f>IF(AND(_1="A-321N",'2026'!$I$4="FO",'2026'!$I$2=T195),'2026DATA'!$E$26,"")</f>
        <v/>
      </c>
      <c r="U219" s="518" t="str">
        <f>IF(AND(_1="A-321N",'2026'!$I$4="FO",'2026'!$I$2=U195),'2026DATA'!$F$26,"")</f>
        <v/>
      </c>
      <c r="V219" s="518" t="str">
        <f>IF(AND(_1="A-321N",'2026'!$I$4="FO",'2026'!$I$2=V195),'2026DATA'!$G$26,"")</f>
        <v/>
      </c>
      <c r="W219" s="518" t="str">
        <f>IF(AND(_1="A-321N",'2026'!$I$4="FO",'2026'!$I$2=W195),'2026DATA'!$H$26,"")</f>
        <v/>
      </c>
      <c r="X219" s="518" t="str">
        <f>IF(AND(_1="A-321N",'2026'!$I$4="FO",'2026'!$I$2=X195),'2026DATA'!$I$26,"")</f>
        <v/>
      </c>
      <c r="Y219" s="518" t="str">
        <f>IF(AND(_1="A-321N",'2026'!$I$4="FO",'2026'!$I$2=Y195),'2026DATA'!$J$26,"")</f>
        <v/>
      </c>
      <c r="Z219" s="518" t="str">
        <f>IF(AND(_1="A-321N",'2026'!$I$4="FO",'2026'!$I$2=Z195),'2026DATA'!$K$26,"")</f>
        <v/>
      </c>
      <c r="AA219" s="518" t="str">
        <f>IF(AND(_1="A-321N",'2026'!$I$4="FO",'2026'!$I$2=AA195),'2026DATA'!$L$26,"")</f>
        <v/>
      </c>
      <c r="AB219" s="518" t="str">
        <f>IF(AND(_1="A-321N",'2026'!$I$4="FO",'2026'!$I$2=AB195),'2026DATA'!$M$26,"")</f>
        <v/>
      </c>
      <c r="AC219" s="520" t="str">
        <f>IF(AND(_1="A-321N",'2026'!$I$4="FO",'2026'!$I$2=AC195),'2026DATA'!$N$26,"")</f>
        <v/>
      </c>
      <c r="AD219" s="940"/>
      <c r="AE219" s="13" t="s">
        <v>62</v>
      </c>
      <c r="AF219" s="518" t="str">
        <f>IF(AND(_2="A-321N",'2026'!$I$4="FO",'2026'!$I$2=AF195),'2026DATA'!$C$26,"")</f>
        <v/>
      </c>
      <c r="AG219" s="518" t="str">
        <f>IF(AND(_2="A-321N",'2026'!$I$4="FO",'2026'!$I$2=AG195),'2026DATA'!$D$26,"")</f>
        <v/>
      </c>
      <c r="AH219" s="518" t="str">
        <f>IF(AND(_2="A-321N",'2026'!$I$4="FO",'2026'!$I$2=AH195),'2026DATA'!$E$26,"")</f>
        <v/>
      </c>
      <c r="AI219" s="518" t="str">
        <f>IF(AND(_2="A-321N",'2026'!$I$4="FO",'2026'!$I$2=AI195),'2026DATA'!$F$26,"")</f>
        <v/>
      </c>
      <c r="AJ219" s="518" t="str">
        <f>IF(AND(_2="A-321N",'2026'!$I$4="FO",'2026'!$I$2=AJ195),'2026DATA'!$G$26,"")</f>
        <v/>
      </c>
      <c r="AK219" s="518" t="str">
        <f>IF(AND(_2="A-321N",'2026'!$I$4="FO",'2026'!$I$2=AK195),'2026DATA'!$H$26,"")</f>
        <v/>
      </c>
      <c r="AL219" s="518" t="str">
        <f>IF(AND(_2="A-321N",'2026'!$I$4="FO",'2026'!$I$2=AL195),'2026DATA'!$I$26,"")</f>
        <v/>
      </c>
      <c r="AM219" s="518" t="str">
        <f>IF(AND(_2="A-321N",'2026'!$I$4="FO",'2026'!$I$2=AM195),'2026DATA'!$J$26,"")</f>
        <v/>
      </c>
      <c r="AN219" s="518" t="str">
        <f>IF(AND(_2="A-321N",'2026'!$I$4="FO",'2026'!$I$2=AN195),'2026DATA'!$K$26,"")</f>
        <v/>
      </c>
      <c r="AO219" s="518" t="str">
        <f>IF(AND(_2="A-321N",'2026'!$I$4="FO",'2026'!$I$2=AO195),'2026DATA'!$L$26,"")</f>
        <v/>
      </c>
      <c r="AP219" s="518" t="str">
        <f>IF(AND(_2="A-321N",'2026'!$I$4="FO",'2026'!$I$2=AP195),'2026DATA'!$M$26,"")</f>
        <v/>
      </c>
      <c r="AQ219" s="520" t="str">
        <f>IF(AND(_2="A-321N",'2026'!$I$4="FO",'2026'!$I$2=AQ195),'2026DATA'!$N$26,"")</f>
        <v/>
      </c>
      <c r="AR219" s="940"/>
      <c r="AS219" s="13" t="s">
        <v>62</v>
      </c>
      <c r="AT219" s="518" t="str">
        <f>IF(AND(_3="A-321N",'2026'!$I$4="FO",'2026'!$I$2=AT195),'2026DATA'!$C$26,"")</f>
        <v/>
      </c>
      <c r="AU219" s="518" t="str">
        <f>IF(AND(_3="A-321N",'2026'!$I$4="FO",'2026'!$I$2=AU195),'2026DATA'!$D$26,"")</f>
        <v/>
      </c>
      <c r="AV219" s="518" t="str">
        <f>IF(AND(_3="A-321N",'2026'!$I$4="FO",'2026'!$I$2=AV195),'2026DATA'!$E$26,"")</f>
        <v/>
      </c>
      <c r="AW219" s="518" t="str">
        <f>IF(AND(_3="A-321N",'2026'!$I$4="FO",'2026'!$I$2=AW195),'2026DATA'!$F$26,"")</f>
        <v/>
      </c>
      <c r="AX219" s="518" t="str">
        <f>IF(AND(_3="A-321N",'2026'!$I$4="FO",'2026'!$I$2=AX195),'2026DATA'!$G$26,"")</f>
        <v/>
      </c>
      <c r="AY219" s="518" t="str">
        <f>IF(AND(_3="A-321N",'2026'!$I$4="FO",'2026'!$I$2=AY195),'2026DATA'!$H$26,"")</f>
        <v/>
      </c>
      <c r="AZ219" s="518" t="str">
        <f>IF(AND(_3="A-321N",'2026'!$I$4="FO",'2026'!$I$2=AZ195),'2026DATA'!$I$26,"")</f>
        <v/>
      </c>
      <c r="BA219" s="518" t="str">
        <f>IF(AND(_3="A-321N",'2026'!$I$4="FO",'2026'!$I$2=BA195),'2026DATA'!$J$26,"")</f>
        <v/>
      </c>
      <c r="BB219" s="518" t="str">
        <f>IF(AND(_3="A-321N",'2026'!$I$4="FO",'2026'!$I$2=BB195),'2026DATA'!$K$26,"")</f>
        <v/>
      </c>
      <c r="BC219" s="518" t="str">
        <f>IF(AND(_3="A-321N",'2026'!$I$4="FO",'2026'!$I$2=BC195),'2026DATA'!$L$26,"")</f>
        <v/>
      </c>
      <c r="BD219" s="518" t="str">
        <f>IF(AND(_3="A-321N",'2026'!$I$4="FO",'2026'!$I$2=BD195),'2026DATA'!$M$26,"")</f>
        <v/>
      </c>
      <c r="BE219" s="520" t="str">
        <f>IF(AND(_3="A-321N",'2026'!$I$4="FO",'2026'!$I$2=BE195),'2026DATA'!$N$26,"")</f>
        <v/>
      </c>
      <c r="BF219" s="940"/>
      <c r="BG219" s="13" t="s">
        <v>62</v>
      </c>
      <c r="BH219" s="518" t="str">
        <f>IF(AND(_4="A-321N",'2026'!$I$4="FO",'2026'!$I$2=BH195),'2026DATA'!$C$26,"")</f>
        <v/>
      </c>
      <c r="BI219" s="518" t="str">
        <f>IF(AND(_4="A-321N",'2026'!$I$4="FO",'2026'!$I$2=BI195),'2026DATA'!$D$26,"")</f>
        <v/>
      </c>
      <c r="BJ219" s="518" t="str">
        <f>IF(AND(_4="A-321N",'2026'!$I$4="FO",'2026'!$I$2=BJ195),'2026DATA'!$E$26,"")</f>
        <v/>
      </c>
      <c r="BK219" s="518" t="str">
        <f>IF(AND(_4="A-321N",'2026'!$I$4="FO",'2026'!$I$2=BK195),'2026DATA'!$F$26,"")</f>
        <v/>
      </c>
      <c r="BL219" s="518" t="str">
        <f>IF(AND(_4="A-321N",'2026'!$I$4="FO",'2026'!$I$2=BL195),'2026DATA'!$G$26,"")</f>
        <v/>
      </c>
      <c r="BM219" s="518" t="str">
        <f>IF(AND(_4="A-321N",'2026'!$I$4="FO",'2026'!$I$2=BM195),'2026DATA'!$H$26,"")</f>
        <v/>
      </c>
      <c r="BN219" s="518" t="str">
        <f>IF(AND(_4="A-321N",'2026'!$I$4="FO",'2026'!$I$2=BN195),'2026DATA'!$I$26,"")</f>
        <v/>
      </c>
      <c r="BO219" s="518" t="str">
        <f>IF(AND(_4="A-321N",'2026'!$I$4="FO",'2026'!$I$2=BO195),'2026DATA'!$J$26,"")</f>
        <v/>
      </c>
      <c r="BP219" s="518" t="str">
        <f>IF(AND(_4="A-321N",'2026'!$I$4="FO",'2026'!$I$2=BP195),'2026DATA'!$K$26,"")</f>
        <v/>
      </c>
      <c r="BQ219" s="518" t="str">
        <f>IF(AND(_4="A-321N",'2026'!$I$4="FO",'2026'!$I$2=BQ195),'2026DATA'!$L$26,"")</f>
        <v/>
      </c>
      <c r="BR219" s="518" t="str">
        <f>IF(AND(_4="A-321N",'2026'!$I$4="FO",'2026'!$I$2=BR195),'2026DATA'!$M$26,"")</f>
        <v/>
      </c>
      <c r="BS219" s="520" t="str">
        <f>IF(AND(_4="A-321N",'2026'!$I$4="FO",'2026'!$I$2=BS195),'2026DATA'!$N$26,"")</f>
        <v/>
      </c>
      <c r="BT219" s="940"/>
      <c r="BU219" s="13" t="s">
        <v>62</v>
      </c>
      <c r="BV219" s="518" t="str">
        <f>IF(AND(_5="A-321N",'2026'!$I$4="FO",'2026'!$I$2=BV195),'2026DATA'!$C$26,"")</f>
        <v/>
      </c>
      <c r="BW219" s="518" t="str">
        <f>IF(AND(_5="A-321N",'2026'!$I$4="FO",'2026'!$I$2=BW195),'2026DATA'!$D$26,"")</f>
        <v/>
      </c>
      <c r="BX219" s="518" t="str">
        <f>IF(AND(_5="A-321N",'2026'!$I$4="FO",'2026'!$I$2=BX195),'2026DATA'!$E$26,"")</f>
        <v/>
      </c>
      <c r="BY219" s="518" t="str">
        <f>IF(AND(_5="A-321N",'2026'!$I$4="FO",'2026'!$I$2=BY195),'2026DATA'!$F$26,"")</f>
        <v/>
      </c>
      <c r="BZ219" s="518" t="str">
        <f>IF(AND(_5="A-321N",'2026'!$I$4="FO",'2026'!$I$2=BZ195),'2026DATA'!$G$26,"")</f>
        <v/>
      </c>
      <c r="CA219" s="518" t="str">
        <f>IF(AND(_5="A-321N",'2026'!$I$4="FO",'2026'!$I$2=CA195),'2026DATA'!$H$26,"")</f>
        <v/>
      </c>
      <c r="CB219" s="518" t="str">
        <f>IF(AND(_5="A-321N",'2026'!$I$4="FO",'2026'!$I$2=CB195),'2026DATA'!$I$26,"")</f>
        <v/>
      </c>
      <c r="CC219" s="518" t="str">
        <f>IF(AND(_5="A-321N",'2026'!$I$4="FO",'2026'!$I$2=CC195),'2026DATA'!$J$26,"")</f>
        <v/>
      </c>
      <c r="CD219" s="518" t="str">
        <f>IF(AND(_5="A-321N",'2026'!$I$4="FO",'2026'!$I$2=CD195),'2026DATA'!$K$26,"")</f>
        <v/>
      </c>
      <c r="CE219" s="518" t="str">
        <f>IF(AND(_5="A-321N",'2026'!$I$4="FO",'2026'!$I$2=CE195),'2026DATA'!$L$26,"")</f>
        <v/>
      </c>
      <c r="CF219" s="518" t="str">
        <f>IF(AND(_5="A-321N",'2026'!$I$4="FO",'2026'!$I$2=CF195),'2026DATA'!$M$26,"")</f>
        <v/>
      </c>
      <c r="CG219" s="520" t="str">
        <f>IF(AND(_5="A-321N",'2026'!$I$4="FO",'2026'!$I$2=CG195),'2026DATA'!$N$26,"")</f>
        <v/>
      </c>
      <c r="CH219" s="940"/>
      <c r="CI219" s="13" t="s">
        <v>62</v>
      </c>
      <c r="CJ219" s="518" t="str">
        <f>IF(AND(_6="A-321N",'2026'!$I$4="FO",'2026'!$I$2=CJ195),'2026DATA'!$C$26,"")</f>
        <v/>
      </c>
      <c r="CK219" s="518" t="str">
        <f>IF(AND(_6="A-321N",'2026'!$I$4="FO",'2026'!$I$2=CK195),'2026DATA'!$D$26,"")</f>
        <v/>
      </c>
      <c r="CL219" s="518" t="str">
        <f>IF(AND(_6="A-321N",'2026'!$I$4="FO",'2026'!$I$2=CL195),'2026DATA'!$E$26,"")</f>
        <v/>
      </c>
      <c r="CM219" s="518" t="str">
        <f>IF(AND(_6="A-321N",'2026'!$I$4="FO",'2026'!$I$2=CM195),'2026DATA'!$F$26,"")</f>
        <v/>
      </c>
      <c r="CN219" s="518" t="str">
        <f>IF(AND(_6="A-321N",'2026'!$I$4="FO",'2026'!$I$2=CN195),'2026DATA'!$G$26,"")</f>
        <v/>
      </c>
      <c r="CO219" s="518" t="str">
        <f>IF(AND(_6="A-321N",'2026'!$I$4="FO",'2026'!$I$2=CO195),'2026DATA'!$H$26,"")</f>
        <v/>
      </c>
      <c r="CP219" s="518" t="str">
        <f>IF(AND(_6="A-321N",'2026'!$I$4="FO",'2026'!$I$2=CP195),'2026DATA'!$I$26,"")</f>
        <v/>
      </c>
      <c r="CQ219" s="518" t="str">
        <f>IF(AND(_6="A-321N",'2026'!$I$4="FO",'2026'!$I$2=CQ195),'2026DATA'!$J$26,"")</f>
        <v/>
      </c>
      <c r="CR219" s="518" t="str">
        <f>IF(AND(_6="A-321N",'2026'!$I$4="FO",'2026'!$I$2=CR195),'2026DATA'!$K$26,"")</f>
        <v/>
      </c>
      <c r="CS219" s="518" t="str">
        <f>IF(AND(_6="A-321N",'2026'!$I$4="FO",'2026'!$I$2=CS195),'2026DATA'!$L$26,"")</f>
        <v/>
      </c>
      <c r="CT219" s="518" t="str">
        <f>IF(AND(_6="A-321N",'2026'!$I$4="FO",'2026'!$I$2=CT195),'2026DATA'!$M$26,"")</f>
        <v/>
      </c>
      <c r="CU219" s="520" t="str">
        <f>IF(AND(_6="A-321N",'2026'!$I$4="FO",'2026'!$I$2=CU195),'2026DATA'!$N$26,"")</f>
        <v/>
      </c>
    </row>
    <row r="220" spans="16:99" x14ac:dyDescent="0.25">
      <c r="P220" s="940" t="s">
        <v>48</v>
      </c>
      <c r="Q220" s="13" t="s">
        <v>61</v>
      </c>
      <c r="R220" s="518" t="str">
        <f>IF(AND(_1="A-321",'2026'!$I$4="CA",'2026'!$I$2=R195),'2026DATA'!$C$27,"")</f>
        <v/>
      </c>
      <c r="S220" s="518" t="str">
        <f>IF(AND(_1="A-321",'2026'!$I$4="CA",'2026'!$I$2=S195),'2026DATA'!$D$27,"")</f>
        <v/>
      </c>
      <c r="T220" s="518" t="str">
        <f>IF(AND(_1="A-321",'2026'!$I$4="CA",'2026'!$I$2=T195),'2026DATA'!$E$27,"")</f>
        <v/>
      </c>
      <c r="U220" s="518" t="str">
        <f>IF(AND(_1="A-321",'2026'!$I$4="CA",'2026'!$I$2=U195),'2026DATA'!$F$27,"")</f>
        <v/>
      </c>
      <c r="V220" s="518" t="str">
        <f>IF(AND(_1="A-321",'2026'!$I$4="CA",'2026'!$I$2=V195),'2026DATA'!$G$27,"")</f>
        <v/>
      </c>
      <c r="W220" s="518" t="str">
        <f>IF(AND(_1="A-321",'2026'!$I$4="CA",'2026'!$I$2=W195),'2026DATA'!$H$27,"")</f>
        <v/>
      </c>
      <c r="X220" s="518" t="str">
        <f>IF(AND(_1="A-321",'2026'!$I$4="CA",'2026'!$I$2=X195),'2026DATA'!$I$27,"")</f>
        <v/>
      </c>
      <c r="Y220" s="518" t="str">
        <f>IF(AND(_1="A-321",'2026'!$I$4="CA",'2026'!$I$2=Y195),'2026DATA'!$J$27,"")</f>
        <v/>
      </c>
      <c r="Z220" s="518" t="str">
        <f>IF(AND(_1="A-321",'2026'!$I$4="CA",'2026'!$I$2=Z195),'2026DATA'!$K$27,"")</f>
        <v/>
      </c>
      <c r="AA220" s="518" t="str">
        <f>IF(AND(_1="A-321",'2026'!$I$4="CA",'2026'!$I$2=AA195),'2026DATA'!$L$27,"")</f>
        <v/>
      </c>
      <c r="AB220" s="518" t="str">
        <f>IF(AND(_1="A-321",'2026'!$I$4="CA",'2026'!$I$2=AB195),'2026DATA'!$M$27,"")</f>
        <v/>
      </c>
      <c r="AC220" s="520" t="str">
        <f>IF(AND(_1="A-321",'2026'!$I$4="CA",'2026'!$I$2=AC195),'2026DATA'!$N$27,"")</f>
        <v/>
      </c>
      <c r="AD220" s="940" t="s">
        <v>48</v>
      </c>
      <c r="AE220" s="13" t="s">
        <v>61</v>
      </c>
      <c r="AF220" s="518" t="str">
        <f>IF(AND(_2="A-321",'2026'!$I$4="CA",'2026'!$I$2=AF195),'2026DATA'!$C$27,"")</f>
        <v/>
      </c>
      <c r="AG220" s="518" t="str">
        <f>IF(AND(_2="A-321",'2026'!$I$4="CA",'2026'!$I$2=AG195),'2026DATA'!$D$27,"")</f>
        <v/>
      </c>
      <c r="AH220" s="518" t="str">
        <f>IF(AND(_2="A-321",'2026'!$I$4="CA",'2026'!$I$2=AH195),'2026DATA'!$E$27,"")</f>
        <v/>
      </c>
      <c r="AI220" s="518" t="str">
        <f>IF(AND(_2="A-321",'2026'!$I$4="CA",'2026'!$I$2=AI195),'2026DATA'!$F$27,"")</f>
        <v/>
      </c>
      <c r="AJ220" s="518" t="str">
        <f>IF(AND(_2="A-321",'2026'!$I$4="CA",'2026'!$I$2=AJ195),'2026DATA'!$G$27,"")</f>
        <v/>
      </c>
      <c r="AK220" s="518" t="str">
        <f>IF(AND(_2="A-321",'2026'!$I$4="CA",'2026'!$I$2=AK195),'2026DATA'!$H$27,"")</f>
        <v/>
      </c>
      <c r="AL220" s="518" t="str">
        <f>IF(AND(_2="A-321",'2026'!$I$4="CA",'2026'!$I$2=AL195),'2026DATA'!$I$27,"")</f>
        <v/>
      </c>
      <c r="AM220" s="518" t="str">
        <f>IF(AND(_2="A-321",'2026'!$I$4="CA",'2026'!$I$2=AM195),'2026DATA'!$J$27,"")</f>
        <v/>
      </c>
      <c r="AN220" s="518" t="str">
        <f>IF(AND(_2="A-321",'2026'!$I$4="CA",'2026'!$I$2=AN195),'2026DATA'!$K$27,"")</f>
        <v/>
      </c>
      <c r="AO220" s="518" t="str">
        <f>IF(AND(_2="A-321",'2026'!$I$4="CA",'2026'!$I$2=AO195),'2026DATA'!$L$27,"")</f>
        <v/>
      </c>
      <c r="AP220" s="518" t="str">
        <f>IF(AND(_2="A-321",'2026'!$I$4="CA",'2026'!$I$2=AP195),'2026DATA'!$M$27,"")</f>
        <v/>
      </c>
      <c r="AQ220" s="520" t="str">
        <f>IF(AND(_2="A-321",'2026'!$I$4="CA",'2026'!$I$2=AQ195),'2026DATA'!$N$27,"")</f>
        <v/>
      </c>
      <c r="AR220" s="940" t="s">
        <v>48</v>
      </c>
      <c r="AS220" s="13" t="s">
        <v>61</v>
      </c>
      <c r="AT220" s="518" t="str">
        <f>IF(AND(_3="A-321",'2026'!$I$4="CA",'2026'!$I$2=AT195),'2026DATA'!$C$27,"")</f>
        <v/>
      </c>
      <c r="AU220" s="518" t="str">
        <f>IF(AND(_3="A-321",'2026'!$I$4="CA",'2026'!$I$2=AU195),'2026DATA'!$D$27,"")</f>
        <v/>
      </c>
      <c r="AV220" s="518" t="str">
        <f>IF(AND(_3="A-321",'2026'!$I$4="CA",'2026'!$I$2=AV195),'2026DATA'!$E$27,"")</f>
        <v/>
      </c>
      <c r="AW220" s="518" t="str">
        <f>IF(AND(_3="A-321",'2026'!$I$4="CA",'2026'!$I$2=AW195),'2026DATA'!$F$27,"")</f>
        <v/>
      </c>
      <c r="AX220" s="518" t="str">
        <f>IF(AND(_3="A-321",'2026'!$I$4="CA",'2026'!$I$2=AX195),'2026DATA'!$G$27,"")</f>
        <v/>
      </c>
      <c r="AY220" s="518" t="str">
        <f>IF(AND(_3="A-321",'2026'!$I$4="CA",'2026'!$I$2=AY195),'2026DATA'!$H$27,"")</f>
        <v/>
      </c>
      <c r="AZ220" s="518" t="str">
        <f>IF(AND(_3="A-321",'2026'!$I$4="CA",'2026'!$I$2=AZ195),'2026DATA'!$I$27,"")</f>
        <v/>
      </c>
      <c r="BA220" s="518" t="str">
        <f>IF(AND(_3="A-321",'2026'!$I$4="CA",'2026'!$I$2=BA195),'2026DATA'!$J$27,"")</f>
        <v/>
      </c>
      <c r="BB220" s="518" t="str">
        <f>IF(AND(_3="A-321",'2026'!$I$4="CA",'2026'!$I$2=BB195),'2026DATA'!$K$27,"")</f>
        <v/>
      </c>
      <c r="BC220" s="518" t="str">
        <f>IF(AND(_3="A-321",'2026'!$I$4="CA",'2026'!$I$2=BC195),'2026DATA'!$L$27,"")</f>
        <v/>
      </c>
      <c r="BD220" s="518" t="str">
        <f>IF(AND(_3="A-321",'2026'!$I$4="CA",'2026'!$I$2=BD195),'2026DATA'!$M$27,"")</f>
        <v/>
      </c>
      <c r="BE220" s="520" t="str">
        <f>IF(AND(_3="A-321",'2026'!$I$4="CA",'2026'!$I$2=BE195),'2026DATA'!$N$27,"")</f>
        <v/>
      </c>
      <c r="BF220" s="940" t="s">
        <v>48</v>
      </c>
      <c r="BG220" s="13" t="s">
        <v>61</v>
      </c>
      <c r="BH220" s="518" t="str">
        <f>IF(AND(_4="A-321",'2026'!$I$4="CA",'2026'!$I$2=BH195),'2026DATA'!$C$27,"")</f>
        <v/>
      </c>
      <c r="BI220" s="518" t="str">
        <f>IF(AND(_4="A-321",'2026'!$I$4="CA",'2026'!$I$2=BI195),'2026DATA'!$D$27,"")</f>
        <v/>
      </c>
      <c r="BJ220" s="518" t="str">
        <f>IF(AND(_4="A-321",'2026'!$I$4="CA",'2026'!$I$2=BJ195),'2026DATA'!$E$27,"")</f>
        <v/>
      </c>
      <c r="BK220" s="518" t="str">
        <f>IF(AND(_4="A-321",'2026'!$I$4="CA",'2026'!$I$2=BK195),'2026DATA'!$F$27,"")</f>
        <v/>
      </c>
      <c r="BL220" s="518" t="str">
        <f>IF(AND(_4="A-321",'2026'!$I$4="CA",'2026'!$I$2=BL195),'2026DATA'!$G$27,"")</f>
        <v/>
      </c>
      <c r="BM220" s="518" t="str">
        <f>IF(AND(_4="A-321",'2026'!$I$4="CA",'2026'!$I$2=BM195),'2026DATA'!$H$27,"")</f>
        <v/>
      </c>
      <c r="BN220" s="518" t="str">
        <f>IF(AND(_4="A-321",'2026'!$I$4="CA",'2026'!$I$2=BN195),'2026DATA'!$I$27,"")</f>
        <v/>
      </c>
      <c r="BO220" s="518" t="str">
        <f>IF(AND(_4="A-321",'2026'!$I$4="CA",'2026'!$I$2=BO195),'2026DATA'!$J$27,"")</f>
        <v/>
      </c>
      <c r="BP220" s="518" t="str">
        <f>IF(AND(_4="A-321",'2026'!$I$4="CA",'2026'!$I$2=BP195),'2026DATA'!$K$27,"")</f>
        <v/>
      </c>
      <c r="BQ220" s="518" t="str">
        <f>IF(AND(_4="A-321",'2026'!$I$4="CA",'2026'!$I$2=BQ195),'2026DATA'!$L$27,"")</f>
        <v/>
      </c>
      <c r="BR220" s="518" t="str">
        <f>IF(AND(_4="A-321",'2026'!$I$4="CA",'2026'!$I$2=BR195),'2026DATA'!$M$27,"")</f>
        <v/>
      </c>
      <c r="BS220" s="520" t="str">
        <f>IF(AND(_4="A-321",'2026'!$I$4="CA",'2026'!$I$2=BS195),'2026DATA'!$N$27,"")</f>
        <v/>
      </c>
      <c r="BT220" s="940" t="s">
        <v>48</v>
      </c>
      <c r="BU220" s="13" t="s">
        <v>61</v>
      </c>
      <c r="BV220" s="518" t="str">
        <f>IF(AND(_5="A-321",'2026'!$I$4="CA",'2026'!$I$2=BV195),'2026DATA'!$C$27,"")</f>
        <v/>
      </c>
      <c r="BW220" s="518" t="str">
        <f>IF(AND(_5="A-321",'2026'!$I$4="CA",'2026'!$I$2=BW195),'2026DATA'!$D$27,"")</f>
        <v/>
      </c>
      <c r="BX220" s="518" t="str">
        <f>IF(AND(_5="A-321",'2026'!$I$4="CA",'2026'!$I$2=BX195),'2026DATA'!$E$27,"")</f>
        <v/>
      </c>
      <c r="BY220" s="518" t="str">
        <f>IF(AND(_5="A-321",'2026'!$I$4="CA",'2026'!$I$2=BY195),'2026DATA'!$F$27,"")</f>
        <v/>
      </c>
      <c r="BZ220" s="518" t="str">
        <f>IF(AND(_5="A-321",'2026'!$I$4="CA",'2026'!$I$2=BZ195),'2026DATA'!$G$27,"")</f>
        <v/>
      </c>
      <c r="CA220" s="518" t="str">
        <f>IF(AND(_5="A-321",'2026'!$I$4="CA",'2026'!$I$2=CA195),'2026DATA'!$H$27,"")</f>
        <v/>
      </c>
      <c r="CB220" s="518" t="str">
        <f>IF(AND(_5="A-321",'2026'!$I$4="CA",'2026'!$I$2=CB195),'2026DATA'!$I$27,"")</f>
        <v/>
      </c>
      <c r="CC220" s="518" t="str">
        <f>IF(AND(_5="A-321",'2026'!$I$4="CA",'2026'!$I$2=CC195),'2026DATA'!$J$27,"")</f>
        <v/>
      </c>
      <c r="CD220" s="518" t="str">
        <f>IF(AND(_5="A-321",'2026'!$I$4="CA",'2026'!$I$2=CD195),'2026DATA'!$K$27,"")</f>
        <v/>
      </c>
      <c r="CE220" s="518" t="str">
        <f>IF(AND(_5="A-321",'2026'!$I$4="CA",'2026'!$I$2=CE195),'2026DATA'!$L$27,"")</f>
        <v/>
      </c>
      <c r="CF220" s="518" t="str">
        <f>IF(AND(_5="A-321",'2026'!$I$4="CA",'2026'!$I$2=CF195),'2026DATA'!$M$27,"")</f>
        <v/>
      </c>
      <c r="CG220" s="520" t="str">
        <f>IF(AND(_5="A-321",'2026'!$I$4="CA",'2026'!$I$2=CG195),'2026DATA'!$N$27,"")</f>
        <v/>
      </c>
      <c r="CH220" s="940" t="s">
        <v>48</v>
      </c>
      <c r="CI220" s="13" t="s">
        <v>61</v>
      </c>
      <c r="CJ220" s="518" t="str">
        <f>IF(AND(_6="A-321",'2026'!$I$4="CA",'2026'!$I$2=CJ195),'2026DATA'!$C$27,"")</f>
        <v/>
      </c>
      <c r="CK220" s="518" t="str">
        <f>IF(AND(_6="A-321",'2026'!$I$4="CA",'2026'!$I$2=CK195),'2026DATA'!$D$27,"")</f>
        <v/>
      </c>
      <c r="CL220" s="518" t="str">
        <f>IF(AND(_6="A-321",'2026'!$I$4="CA",'2026'!$I$2=CL195),'2026DATA'!$E$27,"")</f>
        <v/>
      </c>
      <c r="CM220" s="518" t="str">
        <f>IF(AND(_6="A-321",'2026'!$I$4="CA",'2026'!$I$2=CM195),'2026DATA'!$F$27,"")</f>
        <v/>
      </c>
      <c r="CN220" s="518" t="str">
        <f>IF(AND(_6="A-321",'2026'!$I$4="CA",'2026'!$I$2=CN195),'2026DATA'!$G$27,"")</f>
        <v/>
      </c>
      <c r="CO220" s="518" t="str">
        <f>IF(AND(_6="A-321",'2026'!$I$4="CA",'2026'!$I$2=CO195),'2026DATA'!$H$27,"")</f>
        <v/>
      </c>
      <c r="CP220" s="518" t="str">
        <f>IF(AND(_6="A-321",'2026'!$I$4="CA",'2026'!$I$2=CP195),'2026DATA'!$I$27,"")</f>
        <v/>
      </c>
      <c r="CQ220" s="518" t="str">
        <f>IF(AND(_6="A-321",'2026'!$I$4="CA",'2026'!$I$2=CQ195),'2026DATA'!$J$27,"")</f>
        <v/>
      </c>
      <c r="CR220" s="518" t="str">
        <f>IF(AND(_6="A-321",'2026'!$I$4="CA",'2026'!$I$2=CR195),'2026DATA'!$K$27,"")</f>
        <v/>
      </c>
      <c r="CS220" s="518" t="str">
        <f>IF(AND(_6="A-321",'2026'!$I$4="CA",'2026'!$I$2=CS195),'2026DATA'!$L$27,"")</f>
        <v/>
      </c>
      <c r="CT220" s="518" t="str">
        <f>IF(AND(_6="A-321",'2026'!$I$4="CA",'2026'!$I$2=CT195),'2026DATA'!$M$27,"")</f>
        <v/>
      </c>
      <c r="CU220" s="520" t="str">
        <f>IF(AND(_6="A-321",'2026'!$I$4="CA",'2026'!$I$2=CU195),'2026DATA'!$N$27,"")</f>
        <v/>
      </c>
    </row>
    <row r="221" spans="16:99" x14ac:dyDescent="0.25">
      <c r="P221" s="940"/>
      <c r="Q221" s="13" t="s">
        <v>62</v>
      </c>
      <c r="R221" s="518" t="str">
        <f>IF(AND(_1="A-321",'2026'!$I$4="FO",'2026'!$I$2=R195),'2026DATA'!$C$28,"")</f>
        <v/>
      </c>
      <c r="S221" s="518" t="str">
        <f>IF(AND(_1="A-321",'2026'!$I$4="FO",'2026'!$I$2=S195),'2026DATA'!$D$28,"")</f>
        <v/>
      </c>
      <c r="T221" s="518" t="str">
        <f>IF(AND(_1="A-321",'2026'!$I$4="FO",'2026'!$I$2=T195),'2026DATA'!$E$28,"")</f>
        <v/>
      </c>
      <c r="U221" s="518" t="str">
        <f>IF(AND(_1="A-321",'2026'!$I$4="FO",'2026'!$I$2=U195),'2026DATA'!$F$28,"")</f>
        <v/>
      </c>
      <c r="V221" s="518" t="str">
        <f>IF(AND(_1="A-321",'2026'!$I$4="FO",'2026'!$I$2=V195),'2026DATA'!$G$28,"")</f>
        <v/>
      </c>
      <c r="W221" s="518" t="str">
        <f>IF(AND(_1="A-321",'2026'!$I$4="FO",'2026'!$I$2=W195),'2026DATA'!$H$28,"")</f>
        <v/>
      </c>
      <c r="X221" s="518" t="str">
        <f>IF(AND(_1="A-321",'2026'!$I$4="FO",'2026'!$I$2=X195),'2026DATA'!$I$28,"")</f>
        <v/>
      </c>
      <c r="Y221" s="518" t="str">
        <f>IF(AND(_1="A-321",'2026'!$I$4="FO",'2026'!$I$2=Y195),'2026DATA'!$J$28,"")</f>
        <v/>
      </c>
      <c r="Z221" s="518" t="str">
        <f>IF(AND(_1="A-321",'2026'!$I$4="FO",'2026'!$I$2=Z195),'2026DATA'!$K$28,"")</f>
        <v/>
      </c>
      <c r="AA221" s="518" t="str">
        <f>IF(AND(_1="A-321",'2026'!$I$4="FO",'2026'!$I$2=AA195),'2026DATA'!$L$28,"")</f>
        <v/>
      </c>
      <c r="AB221" s="518" t="str">
        <f>IF(AND(_1="A-321",'2026'!$I$4="FO",'2026'!$I$2=AB195),'2026DATA'!$M$28,"")</f>
        <v/>
      </c>
      <c r="AC221" s="520" t="str">
        <f>IF(AND(_1="A-321",'2026'!$I$4="FO",'2026'!$I$2=AC195),'2026DATA'!$N$28,"")</f>
        <v/>
      </c>
      <c r="AD221" s="940"/>
      <c r="AE221" s="13" t="s">
        <v>62</v>
      </c>
      <c r="AF221" s="518" t="str">
        <f>IF(AND(_2="A-321",'2026'!$I$4="FO",'2026'!$I$2=AF195),'2026DATA'!$C$28,"")</f>
        <v/>
      </c>
      <c r="AG221" s="518" t="str">
        <f>IF(AND(_2="A-321",'2026'!$I$4="FO",'2026'!$I$2=AG195),'2026DATA'!$D$28,"")</f>
        <v/>
      </c>
      <c r="AH221" s="518" t="str">
        <f>IF(AND(_2="A-321",'2026'!$I$4="FO",'2026'!$I$2=AH195),'2026DATA'!$E$28,"")</f>
        <v/>
      </c>
      <c r="AI221" s="518" t="str">
        <f>IF(AND(_2="A-321",'2026'!$I$4="FO",'2026'!$I$2=AI195),'2026DATA'!$F$28,"")</f>
        <v/>
      </c>
      <c r="AJ221" s="518" t="str">
        <f>IF(AND(_2="A-321",'2026'!$I$4="FO",'2026'!$I$2=AJ195),'2026DATA'!$G$28,"")</f>
        <v/>
      </c>
      <c r="AK221" s="518" t="str">
        <f>IF(AND(_2="A-321",'2026'!$I$4="FO",'2026'!$I$2=AK195),'2026DATA'!$H$28,"")</f>
        <v/>
      </c>
      <c r="AL221" s="518" t="str">
        <f>IF(AND(_2="A-321",'2026'!$I$4="FO",'2026'!$I$2=AL195),'2026DATA'!$I$28,"")</f>
        <v/>
      </c>
      <c r="AM221" s="518" t="str">
        <f>IF(AND(_2="A-321",'2026'!$I$4="FO",'2026'!$I$2=AM195),'2026DATA'!$J$28,"")</f>
        <v/>
      </c>
      <c r="AN221" s="518" t="str">
        <f>IF(AND(_2="A-321",'2026'!$I$4="FO",'2026'!$I$2=AN195),'2026DATA'!$K$28,"")</f>
        <v/>
      </c>
      <c r="AO221" s="518" t="str">
        <f>IF(AND(_2="A-321",'2026'!$I$4="FO",'2026'!$I$2=AO195),'2026DATA'!$L$28,"")</f>
        <v/>
      </c>
      <c r="AP221" s="518" t="str">
        <f>IF(AND(_2="A-321",'2026'!$I$4="FO",'2026'!$I$2=AP195),'2026DATA'!$M$28,"")</f>
        <v/>
      </c>
      <c r="AQ221" s="520" t="str">
        <f>IF(AND(_2="A-321",'2026'!$I$4="FO",'2026'!$I$2=AQ195),'2026DATA'!$N$28,"")</f>
        <v/>
      </c>
      <c r="AR221" s="940"/>
      <c r="AS221" s="13" t="s">
        <v>62</v>
      </c>
      <c r="AT221" s="518" t="str">
        <f>IF(AND(_3="A-321",'2026'!$I$4="FO",'2026'!$I$2=AT195),'2026DATA'!$C$28,"")</f>
        <v/>
      </c>
      <c r="AU221" s="518" t="str">
        <f>IF(AND(_3="A-321",'2026'!$I$4="FO",'2026'!$I$2=AU195),'2026DATA'!$D$28,"")</f>
        <v/>
      </c>
      <c r="AV221" s="518" t="str">
        <f>IF(AND(_3="A-321",'2026'!$I$4="FO",'2026'!$I$2=AV195),'2026DATA'!$E$28,"")</f>
        <v/>
      </c>
      <c r="AW221" s="518" t="str">
        <f>IF(AND(_3="A-321",'2026'!$I$4="FO",'2026'!$I$2=AW195),'2026DATA'!$F$28,"")</f>
        <v/>
      </c>
      <c r="AX221" s="518" t="str">
        <f>IF(AND(_3="A-321",'2026'!$I$4="FO",'2026'!$I$2=AX195),'2026DATA'!$G$28,"")</f>
        <v/>
      </c>
      <c r="AY221" s="518" t="str">
        <f>IF(AND(_3="A-321",'2026'!$I$4="FO",'2026'!$I$2=AY195),'2026DATA'!$H$28,"")</f>
        <v/>
      </c>
      <c r="AZ221" s="518" t="str">
        <f>IF(AND(_3="A-321",'2026'!$I$4="FO",'2026'!$I$2=AZ195),'2026DATA'!$I$28,"")</f>
        <v/>
      </c>
      <c r="BA221" s="518" t="str">
        <f>IF(AND(_3="A-321",'2026'!$I$4="FO",'2026'!$I$2=BA195),'2026DATA'!$J$28,"")</f>
        <v/>
      </c>
      <c r="BB221" s="518" t="str">
        <f>IF(AND(_3="A-321",'2026'!$I$4="FO",'2026'!$I$2=BB195),'2026DATA'!$K$28,"")</f>
        <v/>
      </c>
      <c r="BC221" s="518" t="str">
        <f>IF(AND(_3="A-321",'2026'!$I$4="FO",'2026'!$I$2=BC195),'2026DATA'!$L$28,"")</f>
        <v/>
      </c>
      <c r="BD221" s="518" t="str">
        <f>IF(AND(_3="A-321",'2026'!$I$4="FO",'2026'!$I$2=BD195),'2026DATA'!$M$28,"")</f>
        <v/>
      </c>
      <c r="BE221" s="520" t="str">
        <f>IF(AND(_3="A-321",'2026'!$I$4="FO",'2026'!$I$2=BE195),'2026DATA'!$N$28,"")</f>
        <v/>
      </c>
      <c r="BF221" s="940"/>
      <c r="BG221" s="13" t="s">
        <v>62</v>
      </c>
      <c r="BH221" s="518" t="str">
        <f>IF(AND(_4="A-321",'2026'!$I$4="FO",'2026'!$I$2=BH195),'2026DATA'!$C$28,"")</f>
        <v/>
      </c>
      <c r="BI221" s="518" t="str">
        <f>IF(AND(_4="A-321",'2026'!$I$4="FO",'2026'!$I$2=BI195),'2026DATA'!$D$28,"")</f>
        <v/>
      </c>
      <c r="BJ221" s="518" t="str">
        <f>IF(AND(_4="A-321",'2026'!$I$4="FO",'2026'!$I$2=BJ195),'2026DATA'!$E$28,"")</f>
        <v/>
      </c>
      <c r="BK221" s="518" t="str">
        <f>IF(AND(_4="A-321",'2026'!$I$4="FO",'2026'!$I$2=BK195),'2026DATA'!$F$28,"")</f>
        <v/>
      </c>
      <c r="BL221" s="518" t="str">
        <f>IF(AND(_4="A-321",'2026'!$I$4="FO",'2026'!$I$2=BL195),'2026DATA'!$G$28,"")</f>
        <v/>
      </c>
      <c r="BM221" s="518" t="str">
        <f>IF(AND(_4="A-321",'2026'!$I$4="FO",'2026'!$I$2=BM195),'2026DATA'!$H$28,"")</f>
        <v/>
      </c>
      <c r="BN221" s="518" t="str">
        <f>IF(AND(_4="A-321",'2026'!$I$4="FO",'2026'!$I$2=BN195),'2026DATA'!$I$28,"")</f>
        <v/>
      </c>
      <c r="BO221" s="518" t="str">
        <f>IF(AND(_4="A-321",'2026'!$I$4="FO",'2026'!$I$2=BO195),'2026DATA'!$J$28,"")</f>
        <v/>
      </c>
      <c r="BP221" s="518" t="str">
        <f>IF(AND(_4="A-321",'2026'!$I$4="FO",'2026'!$I$2=BP195),'2026DATA'!$K$28,"")</f>
        <v/>
      </c>
      <c r="BQ221" s="518" t="str">
        <f>IF(AND(_4="A-321",'2026'!$I$4="FO",'2026'!$I$2=BQ195),'2026DATA'!$L$28,"")</f>
        <v/>
      </c>
      <c r="BR221" s="518" t="str">
        <f>IF(AND(_4="A-321",'2026'!$I$4="FO",'2026'!$I$2=BR195),'2026DATA'!$M$28,"")</f>
        <v/>
      </c>
      <c r="BS221" s="520" t="str">
        <f>IF(AND(_4="A-321",'2026'!$I$4="FO",'2026'!$I$2=BS195),'2026DATA'!$N$28,"")</f>
        <v/>
      </c>
      <c r="BT221" s="940"/>
      <c r="BU221" s="13" t="s">
        <v>62</v>
      </c>
      <c r="BV221" s="518" t="str">
        <f>IF(AND(_5="A-321",'2026'!$I$4="FO",'2026'!$I$2=BV195),'2026DATA'!$C$28,"")</f>
        <v/>
      </c>
      <c r="BW221" s="518" t="str">
        <f>IF(AND(_5="A-321",'2026'!$I$4="FO",'2026'!$I$2=BW195),'2026DATA'!$D$28,"")</f>
        <v/>
      </c>
      <c r="BX221" s="518" t="str">
        <f>IF(AND(_5="A-321",'2026'!$I$4="FO",'2026'!$I$2=BX195),'2026DATA'!$E$28,"")</f>
        <v/>
      </c>
      <c r="BY221" s="518" t="str">
        <f>IF(AND(_5="A-321",'2026'!$I$4="FO",'2026'!$I$2=BY195),'2026DATA'!$F$28,"")</f>
        <v/>
      </c>
      <c r="BZ221" s="518" t="str">
        <f>IF(AND(_5="A-321",'2026'!$I$4="FO",'2026'!$I$2=BZ195),'2026DATA'!$G$28,"")</f>
        <v/>
      </c>
      <c r="CA221" s="518" t="str">
        <f>IF(AND(_5="A-321",'2026'!$I$4="FO",'2026'!$I$2=CA195),'2026DATA'!$H$28,"")</f>
        <v/>
      </c>
      <c r="CB221" s="518" t="str">
        <f>IF(AND(_5="A-321",'2026'!$I$4="FO",'2026'!$I$2=CB195),'2026DATA'!$I$28,"")</f>
        <v/>
      </c>
      <c r="CC221" s="518" t="str">
        <f>IF(AND(_5="A-321",'2026'!$I$4="FO",'2026'!$I$2=CC195),'2026DATA'!$J$28,"")</f>
        <v/>
      </c>
      <c r="CD221" s="518" t="str">
        <f>IF(AND(_5="A-321",'2026'!$I$4="FO",'2026'!$I$2=CD195),'2026DATA'!$K$28,"")</f>
        <v/>
      </c>
      <c r="CE221" s="518" t="str">
        <f>IF(AND(_5="A-321",'2026'!$I$4="FO",'2026'!$I$2=CE195),'2026DATA'!$L$28,"")</f>
        <v/>
      </c>
      <c r="CF221" s="518" t="str">
        <f>IF(AND(_5="A-321",'2026'!$I$4="FO",'2026'!$I$2=CF195),'2026DATA'!$M$28,"")</f>
        <v/>
      </c>
      <c r="CG221" s="520" t="str">
        <f>IF(AND(_5="A-321",'2026'!$I$4="FO",'2026'!$I$2=CG195),'2026DATA'!$N$28,"")</f>
        <v/>
      </c>
      <c r="CH221" s="940"/>
      <c r="CI221" s="13" t="s">
        <v>62</v>
      </c>
      <c r="CJ221" s="518" t="str">
        <f>IF(AND(_6="A-321",'2026'!$I$4="FO",'2026'!$I$2=CJ195),'2026DATA'!$C$28,"")</f>
        <v/>
      </c>
      <c r="CK221" s="518" t="str">
        <f>IF(AND(_6="A-321",'2026'!$I$4="FO",'2026'!$I$2=CK195),'2026DATA'!$D$28,"")</f>
        <v/>
      </c>
      <c r="CL221" s="518" t="str">
        <f>IF(AND(_6="A-321",'2026'!$I$4="FO",'2026'!$I$2=CL195),'2026DATA'!$E$28,"")</f>
        <v/>
      </c>
      <c r="CM221" s="518" t="str">
        <f>IF(AND(_6="A-321",'2026'!$I$4="FO",'2026'!$I$2=CM195),'2026DATA'!$F$28,"")</f>
        <v/>
      </c>
      <c r="CN221" s="518" t="str">
        <f>IF(AND(_6="A-321",'2026'!$I$4="FO",'2026'!$I$2=CN195),'2026DATA'!$G$28,"")</f>
        <v/>
      </c>
      <c r="CO221" s="518" t="str">
        <f>IF(AND(_6="A-321",'2026'!$I$4="FO",'2026'!$I$2=CO195),'2026DATA'!$H$28,"")</f>
        <v/>
      </c>
      <c r="CP221" s="518" t="str">
        <f>IF(AND(_6="A-321",'2026'!$I$4="FO",'2026'!$I$2=CP195),'2026DATA'!$I$28,"")</f>
        <v/>
      </c>
      <c r="CQ221" s="518" t="str">
        <f>IF(AND(_6="A-321",'2026'!$I$4="FO",'2026'!$I$2=CQ195),'2026DATA'!$J$28,"")</f>
        <v/>
      </c>
      <c r="CR221" s="518" t="str">
        <f>IF(AND(_6="A-321",'2026'!$I$4="FO",'2026'!$I$2=CR195),'2026DATA'!$K$28,"")</f>
        <v/>
      </c>
      <c r="CS221" s="518" t="str">
        <f>IF(AND(_6="A-321",'2026'!$I$4="FO",'2026'!$I$2=CS195),'2026DATA'!$L$28,"")</f>
        <v/>
      </c>
      <c r="CT221" s="518" t="str">
        <f>IF(AND(_6="A-321",'2026'!$I$4="FO",'2026'!$I$2=CT195),'2026DATA'!$M$28,"")</f>
        <v/>
      </c>
      <c r="CU221" s="520" t="str">
        <f>IF(AND(_6="A-321",'2026'!$I$4="FO",'2026'!$I$2=CU195),'2026DATA'!$N$28,"")</f>
        <v/>
      </c>
    </row>
    <row r="222" spans="16:99" x14ac:dyDescent="0.25">
      <c r="P222" s="940" t="s">
        <v>70</v>
      </c>
      <c r="Q222" s="13" t="s">
        <v>61</v>
      </c>
      <c r="R222" s="518" t="str">
        <f>IF(AND(_1="A-320",'2026'!$I$4="CA",'2026'!$I$2=R195),'2026DATA'!$C$29,"")</f>
        <v/>
      </c>
      <c r="S222" s="518" t="str">
        <f>IF(AND(_1="A-320",'2026'!$I$4="CA",'2026'!$I$2=S195),'2026DATA'!$D$29,"")</f>
        <v/>
      </c>
      <c r="T222" s="518" t="str">
        <f>IF(AND(_1="A-320",'2026'!$I$4="CA",'2026'!$I$2=T195),'2026DATA'!$E$29,"")</f>
        <v/>
      </c>
      <c r="U222" s="518" t="str">
        <f>IF(AND(_1="A-320",'2026'!$I$4="CA",'2026'!$I$2=U195),'2026DATA'!$F$29,"")</f>
        <v/>
      </c>
      <c r="V222" s="518" t="str">
        <f>IF(AND(_1="A-320",'2026'!$I$4="CA",'2026'!$I$2=V195),'2026DATA'!$G$29,"")</f>
        <v/>
      </c>
      <c r="W222" s="518" t="str">
        <f>IF(AND(_1="A-320",'2026'!$I$4="CA",'2026'!$I$2=W195),'2026DATA'!$H$29,"")</f>
        <v/>
      </c>
      <c r="X222" s="518" t="str">
        <f>IF(AND(_1="A-320",'2026'!$I$4="CA",'2026'!$I$2=X195),'2026DATA'!$I$29,"")</f>
        <v/>
      </c>
      <c r="Y222" s="518" t="str">
        <f>IF(AND(_1="A-320",'2026'!$I$4="CA",'2026'!$I$2=Y195),'2026DATA'!$J$29,"")</f>
        <v/>
      </c>
      <c r="Z222" s="518" t="str">
        <f>IF(AND(_1="A-320",'2026'!$I$4="CA",'2026'!$I$2=Z195),'2026DATA'!$K$29,"")</f>
        <v/>
      </c>
      <c r="AA222" s="518" t="str">
        <f>IF(AND(_1="A-320",'2026'!$I$4="CA",'2026'!$I$2=AA195),'2026DATA'!$L$29,"")</f>
        <v/>
      </c>
      <c r="AB222" s="518" t="str">
        <f>IF(AND(_1="A-320",'2026'!$I$4="CA",'2026'!$I$2=AB195),'2026DATA'!$M$29,"")</f>
        <v/>
      </c>
      <c r="AC222" s="520" t="str">
        <f>IF(AND(_1="A-320",'2026'!$I$4="CA",'2026'!$I$2=AC195),'2026DATA'!$N$29,"")</f>
        <v/>
      </c>
      <c r="AD222" s="940" t="s">
        <v>70</v>
      </c>
      <c r="AE222" s="13" t="s">
        <v>61</v>
      </c>
      <c r="AF222" s="518" t="str">
        <f>IF(AND(_2="A-320",'2026'!$I$4="CA",'2026'!$I$2=AF195),'2026DATA'!$C$29,"")</f>
        <v/>
      </c>
      <c r="AG222" s="518" t="str">
        <f>IF(AND(_2="A-320",'2026'!$I$4="CA",'2026'!$I$2=AG195),'2026DATA'!$D$29,"")</f>
        <v/>
      </c>
      <c r="AH222" s="518" t="str">
        <f>IF(AND(_2="A-320",'2026'!$I$4="CA",'2026'!$I$2=AH195),'2026DATA'!$E$29,"")</f>
        <v/>
      </c>
      <c r="AI222" s="518" t="str">
        <f>IF(AND(_2="A-320",'2026'!$I$4="CA",'2026'!$I$2=AI195),'2026DATA'!$F$29,"")</f>
        <v/>
      </c>
      <c r="AJ222" s="518" t="str">
        <f>IF(AND(_2="A-320",'2026'!$I$4="CA",'2026'!$I$2=AJ195),'2026DATA'!$G$29,"")</f>
        <v/>
      </c>
      <c r="AK222" s="518" t="str">
        <f>IF(AND(_2="A-320",'2026'!$I$4="CA",'2026'!$I$2=AK195),'2026DATA'!$H$29,"")</f>
        <v/>
      </c>
      <c r="AL222" s="518" t="str">
        <f>IF(AND(_2="A-320",'2026'!$I$4="CA",'2026'!$I$2=AL195),'2026DATA'!$I$29,"")</f>
        <v/>
      </c>
      <c r="AM222" s="518" t="str">
        <f>IF(AND(_2="A-320",'2026'!$I$4="CA",'2026'!$I$2=AM195),'2026DATA'!$J$29,"")</f>
        <v/>
      </c>
      <c r="AN222" s="518" t="str">
        <f>IF(AND(_2="A-320",'2026'!$I$4="CA",'2026'!$I$2=AN195),'2026DATA'!$K$29,"")</f>
        <v/>
      </c>
      <c r="AO222" s="518" t="str">
        <f>IF(AND(_2="A-320",'2026'!$I$4="CA",'2026'!$I$2=AO195),'2026DATA'!$L$29,"")</f>
        <v/>
      </c>
      <c r="AP222" s="518" t="str">
        <f>IF(AND(_2="A-320",'2026'!$I$4="CA",'2026'!$I$2=AP195),'2026DATA'!$M$29,"")</f>
        <v/>
      </c>
      <c r="AQ222" s="520" t="str">
        <f>IF(AND(_2="A-320",'2026'!$I$4="CA",'2026'!$I$2=AQ195),'2026DATA'!$N$29,"")</f>
        <v/>
      </c>
      <c r="AR222" s="940" t="s">
        <v>70</v>
      </c>
      <c r="AS222" s="13" t="s">
        <v>61</v>
      </c>
      <c r="AT222" s="518" t="str">
        <f>IF(AND(_3="A-320",'2026'!$I$4="CA",'2026'!$I$2=AT195),'2026DATA'!$C$29,"")</f>
        <v/>
      </c>
      <c r="AU222" s="518" t="str">
        <f>IF(AND(_3="A-320",'2026'!$I$4="CA",'2026'!$I$2=AU195),'2026DATA'!$D$29,"")</f>
        <v/>
      </c>
      <c r="AV222" s="518" t="str">
        <f>IF(AND(_3="A-320",'2026'!$I$4="CA",'2026'!$I$2=AV195),'2026DATA'!$E$29,"")</f>
        <v/>
      </c>
      <c r="AW222" s="518" t="str">
        <f>IF(AND(_3="A-320",'2026'!$I$4="CA",'2026'!$I$2=AW195),'2026DATA'!$F$29,"")</f>
        <v/>
      </c>
      <c r="AX222" s="518" t="str">
        <f>IF(AND(_3="A-320",'2026'!$I$4="CA",'2026'!$I$2=AX195),'2026DATA'!$G$29,"")</f>
        <v/>
      </c>
      <c r="AY222" s="518" t="str">
        <f>IF(AND(_3="A-320",'2026'!$I$4="CA",'2026'!$I$2=AY195),'2026DATA'!$H$29,"")</f>
        <v/>
      </c>
      <c r="AZ222" s="518" t="str">
        <f>IF(AND(_3="A-320",'2026'!$I$4="CA",'2026'!$I$2=AZ195),'2026DATA'!$I$29,"")</f>
        <v/>
      </c>
      <c r="BA222" s="518" t="str">
        <f>IF(AND(_3="A-320",'2026'!$I$4="CA",'2026'!$I$2=BA195),'2026DATA'!$J$29,"")</f>
        <v/>
      </c>
      <c r="BB222" s="518" t="str">
        <f>IF(AND(_3="A-320",'2026'!$I$4="CA",'2026'!$I$2=BB195),'2026DATA'!$K$29,"")</f>
        <v/>
      </c>
      <c r="BC222" s="518" t="str">
        <f>IF(AND(_3="A-320",'2026'!$I$4="CA",'2026'!$I$2=BC195),'2026DATA'!$L$29,"")</f>
        <v/>
      </c>
      <c r="BD222" s="518" t="str">
        <f>IF(AND(_3="A-320",'2026'!$I$4="CA",'2026'!$I$2=BD195),'2026DATA'!$M$29,"")</f>
        <v/>
      </c>
      <c r="BE222" s="520" t="str">
        <f>IF(AND(_3="A-320",'2026'!$I$4="CA",'2026'!$I$2=BE195),'2026DATA'!$N$29,"")</f>
        <v/>
      </c>
      <c r="BF222" s="940" t="s">
        <v>70</v>
      </c>
      <c r="BG222" s="13" t="s">
        <v>61</v>
      </c>
      <c r="BH222" s="518" t="str">
        <f>IF(AND(_4="A-320",'2026'!$I$4="CA",'2026'!$I$2=BH195),'2026DATA'!$C$29,"")</f>
        <v/>
      </c>
      <c r="BI222" s="518" t="str">
        <f>IF(AND(_4="A-320",'2026'!$I$4="CA",'2026'!$I$2=BI195),'2026DATA'!$D$29,"")</f>
        <v/>
      </c>
      <c r="BJ222" s="518" t="str">
        <f>IF(AND(_4="A-320",'2026'!$I$4="CA",'2026'!$I$2=BJ195),'2026DATA'!$E$29,"")</f>
        <v/>
      </c>
      <c r="BK222" s="518" t="str">
        <f>IF(AND(_4="A-320",'2026'!$I$4="CA",'2026'!$I$2=BK195),'2026DATA'!$F$29,"")</f>
        <v/>
      </c>
      <c r="BL222" s="518" t="str">
        <f>IF(AND(_4="A-320",'2026'!$I$4="CA",'2026'!$I$2=BL195),'2026DATA'!$G$29,"")</f>
        <v/>
      </c>
      <c r="BM222" s="518" t="str">
        <f>IF(AND(_4="A-320",'2026'!$I$4="CA",'2026'!$I$2=BM195),'2026DATA'!$H$29,"")</f>
        <v/>
      </c>
      <c r="BN222" s="518" t="str">
        <f>IF(AND(_4="A-320",'2026'!$I$4="CA",'2026'!$I$2=BN195),'2026DATA'!$I$29,"")</f>
        <v/>
      </c>
      <c r="BO222" s="518" t="str">
        <f>IF(AND(_4="A-320",'2026'!$I$4="CA",'2026'!$I$2=BO195),'2026DATA'!$J$29,"")</f>
        <v/>
      </c>
      <c r="BP222" s="518" t="str">
        <f>IF(AND(_4="A-320",'2026'!$I$4="CA",'2026'!$I$2=BP195),'2026DATA'!$K$29,"")</f>
        <v/>
      </c>
      <c r="BQ222" s="518" t="str">
        <f>IF(AND(_4="A-320",'2026'!$I$4="CA",'2026'!$I$2=BQ195),'2026DATA'!$L$29,"")</f>
        <v/>
      </c>
      <c r="BR222" s="518" t="str">
        <f>IF(AND(_4="A-320",'2026'!$I$4="CA",'2026'!$I$2=BR195),'2026DATA'!$M$29,"")</f>
        <v/>
      </c>
      <c r="BS222" s="520" t="str">
        <f>IF(AND(_4="A-320",'2026'!$I$4="CA",'2026'!$I$2=BS195),'2026DATA'!$N$29,"")</f>
        <v/>
      </c>
      <c r="BT222" s="940" t="s">
        <v>70</v>
      </c>
      <c r="BU222" s="13" t="s">
        <v>61</v>
      </c>
      <c r="BV222" s="518" t="str">
        <f>IF(AND(_5="A-320",'2026'!$I$4="CA",'2026'!$I$2=BV195),'2026DATA'!$C$29,"")</f>
        <v/>
      </c>
      <c r="BW222" s="518" t="str">
        <f>IF(AND(_5="A-320",'2026'!$I$4="CA",'2026'!$I$2=BW195),'2026DATA'!$D$29,"")</f>
        <v/>
      </c>
      <c r="BX222" s="518" t="str">
        <f>IF(AND(_5="A-320",'2026'!$I$4="CA",'2026'!$I$2=BX195),'2026DATA'!$E$29,"")</f>
        <v/>
      </c>
      <c r="BY222" s="518" t="str">
        <f>IF(AND(_5="A-320",'2026'!$I$4="CA",'2026'!$I$2=BY195),'2026DATA'!$F$29,"")</f>
        <v/>
      </c>
      <c r="BZ222" s="518" t="str">
        <f>IF(AND(_5="A-320",'2026'!$I$4="CA",'2026'!$I$2=BZ195),'2026DATA'!$G$29,"")</f>
        <v/>
      </c>
      <c r="CA222" s="518" t="str">
        <f>IF(AND(_5="A-320",'2026'!$I$4="CA",'2026'!$I$2=CA195),'2026DATA'!$H$29,"")</f>
        <v/>
      </c>
      <c r="CB222" s="518" t="str">
        <f>IF(AND(_5="A-320",'2026'!$I$4="CA",'2026'!$I$2=CB195),'2026DATA'!$I$29,"")</f>
        <v/>
      </c>
      <c r="CC222" s="518" t="str">
        <f>IF(AND(_5="A-320",'2026'!$I$4="CA",'2026'!$I$2=CC195),'2026DATA'!$J$29,"")</f>
        <v/>
      </c>
      <c r="CD222" s="518" t="str">
        <f>IF(AND(_5="A-320",'2026'!$I$4="CA",'2026'!$I$2=CD195),'2026DATA'!$K$29,"")</f>
        <v/>
      </c>
      <c r="CE222" s="518" t="str">
        <f>IF(AND(_5="A-320",'2026'!$I$4="CA",'2026'!$I$2=CE195),'2026DATA'!$L$29,"")</f>
        <v/>
      </c>
      <c r="CF222" s="518" t="str">
        <f>IF(AND(_5="A-320",'2026'!$I$4="CA",'2026'!$I$2=CF195),'2026DATA'!$M$29,"")</f>
        <v/>
      </c>
      <c r="CG222" s="520" t="str">
        <f>IF(AND(_5="A-320",'2026'!$I$4="CA",'2026'!$I$2=CG195),'2026DATA'!$N$29,"")</f>
        <v/>
      </c>
      <c r="CH222" s="940" t="s">
        <v>70</v>
      </c>
      <c r="CI222" s="13" t="s">
        <v>61</v>
      </c>
      <c r="CJ222" s="518" t="str">
        <f>IF(AND(_6="A-320",'2026'!$I$4="CA",'2026'!$I$2=CJ195),'2026DATA'!$C$29,"")</f>
        <v/>
      </c>
      <c r="CK222" s="518" t="str">
        <f>IF(AND(_6="A-320",'2026'!$I$4="CA",'2026'!$I$2=CK195),'2026DATA'!$D$29,"")</f>
        <v/>
      </c>
      <c r="CL222" s="518" t="str">
        <f>IF(AND(_6="A-320",'2026'!$I$4="CA",'2026'!$I$2=CL195),'2026DATA'!$E$29,"")</f>
        <v/>
      </c>
      <c r="CM222" s="518" t="str">
        <f>IF(AND(_6="A-320",'2026'!$I$4="CA",'2026'!$I$2=CM195),'2026DATA'!$F$29,"")</f>
        <v/>
      </c>
      <c r="CN222" s="518" t="str">
        <f>IF(AND(_6="A-320",'2026'!$I$4="CA",'2026'!$I$2=CN195),'2026DATA'!$G$29,"")</f>
        <v/>
      </c>
      <c r="CO222" s="518" t="str">
        <f>IF(AND(_6="A-320",'2026'!$I$4="CA",'2026'!$I$2=CO195),'2026DATA'!$H$29,"")</f>
        <v/>
      </c>
      <c r="CP222" s="518" t="str">
        <f>IF(AND(_6="A-320",'2026'!$I$4="CA",'2026'!$I$2=CP195),'2026DATA'!$I$29,"")</f>
        <v/>
      </c>
      <c r="CQ222" s="518" t="str">
        <f>IF(AND(_6="A-320",'2026'!$I$4="CA",'2026'!$I$2=CQ195),'2026DATA'!$J$29,"")</f>
        <v/>
      </c>
      <c r="CR222" s="518" t="str">
        <f>IF(AND(_6="A-320",'2026'!$I$4="CA",'2026'!$I$2=CR195),'2026DATA'!$K$29,"")</f>
        <v/>
      </c>
      <c r="CS222" s="518" t="str">
        <f>IF(AND(_6="A-320",'2026'!$I$4="CA",'2026'!$I$2=CS195),'2026DATA'!$L$29,"")</f>
        <v/>
      </c>
      <c r="CT222" s="518" t="str">
        <f>IF(AND(_6="A-320",'2026'!$I$4="CA",'2026'!$I$2=CT195),'2026DATA'!$M$29,"")</f>
        <v/>
      </c>
      <c r="CU222" s="520" t="str">
        <f>IF(AND(_6="A-320",'2026'!$I$4="CA",'2026'!$I$2=CU195),'2026DATA'!$N$29,"")</f>
        <v/>
      </c>
    </row>
    <row r="223" spans="16:99" x14ac:dyDescent="0.25">
      <c r="P223" s="940"/>
      <c r="Q223" s="13" t="s">
        <v>62</v>
      </c>
      <c r="R223" s="518" t="str">
        <f>IF(AND(_1="A-320",'2026'!$I$4="FO",'2026'!$I$2=R195),'2026DATA'!$C$30,"")</f>
        <v/>
      </c>
      <c r="S223" s="518" t="str">
        <f>IF(AND(_1="A-320",'2026'!$I$4="FO",'2026'!$I$2=S195),'2026DATA'!$D$30,"")</f>
        <v/>
      </c>
      <c r="T223" s="518" t="str">
        <f>IF(AND(_1="A-320",'2026'!$I$4="FO",'2026'!$I$2=T195),'2026DATA'!$E$30,"")</f>
        <v/>
      </c>
      <c r="U223" s="518" t="str">
        <f>IF(AND(_1="A-320",'2026'!$I$4="FO",'2026'!$I$2=U195),'2026DATA'!$F$30,"")</f>
        <v/>
      </c>
      <c r="V223" s="518" t="str">
        <f>IF(AND(_1="A-320",'2026'!$I$4="FO",'2026'!$I$2=V195),'2026DATA'!$G$30,"")</f>
        <v/>
      </c>
      <c r="W223" s="518" t="str">
        <f>IF(AND(_1="A-320",'2026'!$I$4="FO",'2026'!$I$2=W195),'2026DATA'!$H$30,"")</f>
        <v/>
      </c>
      <c r="X223" s="518" t="str">
        <f>IF(AND(_1="A-320",'2026'!$I$4="FO",'2026'!$I$2=X195),'2026DATA'!$I$30,"")</f>
        <v/>
      </c>
      <c r="Y223" s="518" t="str">
        <f>IF(AND(_1="A-320",'2026'!$I$4="FO",'2026'!$I$2=Y195),'2026DATA'!$J$30,"")</f>
        <v/>
      </c>
      <c r="Z223" s="518" t="str">
        <f>IF(AND(_1="A-320",'2026'!$I$4="FO",'2026'!$I$2=Z195),'2026DATA'!$K$30,"")</f>
        <v/>
      </c>
      <c r="AA223" s="518" t="str">
        <f>IF(AND(_1="A-320",'2026'!$I$4="FO",'2026'!$I$2=AA195),'2026DATA'!$L$30,"")</f>
        <v/>
      </c>
      <c r="AB223" s="518" t="str">
        <f>IF(AND(_1="A-320",'2026'!$I$4="FO",'2026'!$I$2=AB195),'2026DATA'!$M$30,"")</f>
        <v/>
      </c>
      <c r="AC223" s="520" t="str">
        <f>IF(AND(_1="A-320",'2026'!$I$4="FO",'2026'!$I$2=AC195),'2026DATA'!$N$30,"")</f>
        <v/>
      </c>
      <c r="AD223" s="940"/>
      <c r="AE223" s="13" t="s">
        <v>62</v>
      </c>
      <c r="AF223" s="518" t="str">
        <f>IF(AND(_2="A-320",'2026'!$I$4="FO",'2026'!$I$2=AF195),'2026DATA'!$C$30,"")</f>
        <v/>
      </c>
      <c r="AG223" s="518" t="str">
        <f>IF(AND(_2="A-320",'2026'!$I$4="FO",'2026'!$I$2=AG195),'2026DATA'!$D$30,"")</f>
        <v/>
      </c>
      <c r="AH223" s="518" t="str">
        <f>IF(AND(_2="A-320",'2026'!$I$4="FO",'2026'!$I$2=AH195),'2026DATA'!$E$30,"")</f>
        <v/>
      </c>
      <c r="AI223" s="518" t="str">
        <f>IF(AND(_2="A-320",'2026'!$I$4="FO",'2026'!$I$2=AI195),'2026DATA'!$F$30,"")</f>
        <v/>
      </c>
      <c r="AJ223" s="518" t="str">
        <f>IF(AND(_2="A-320",'2026'!$I$4="FO",'2026'!$I$2=AJ195),'2026DATA'!$G$30,"")</f>
        <v/>
      </c>
      <c r="AK223" s="518" t="str">
        <f>IF(AND(_2="A-320",'2026'!$I$4="FO",'2026'!$I$2=AK195),'2026DATA'!$H$30,"")</f>
        <v/>
      </c>
      <c r="AL223" s="518" t="str">
        <f>IF(AND(_2="A-320",'2026'!$I$4="FO",'2026'!$I$2=AL195),'2026DATA'!$I$30,"")</f>
        <v/>
      </c>
      <c r="AM223" s="518" t="str">
        <f>IF(AND(_2="A-320",'2026'!$I$4="FO",'2026'!$I$2=AM195),'2026DATA'!$J$30,"")</f>
        <v/>
      </c>
      <c r="AN223" s="518" t="str">
        <f>IF(AND(_2="A-320",'2026'!$I$4="FO",'2026'!$I$2=AN195),'2026DATA'!$K$30,"")</f>
        <v/>
      </c>
      <c r="AO223" s="518" t="str">
        <f>IF(AND(_2="A-320",'2026'!$I$4="FO",'2026'!$I$2=AO195),'2026DATA'!$L$30,"")</f>
        <v/>
      </c>
      <c r="AP223" s="518" t="str">
        <f>IF(AND(_2="A-320",'2026'!$I$4="FO",'2026'!$I$2=AP195),'2026DATA'!$M$30,"")</f>
        <v/>
      </c>
      <c r="AQ223" s="520" t="str">
        <f>IF(AND(_2="A-320",'2026'!$I$4="FO",'2026'!$I$2=AQ195),'2026DATA'!$N$30,"")</f>
        <v/>
      </c>
      <c r="AR223" s="940"/>
      <c r="AS223" s="13" t="s">
        <v>62</v>
      </c>
      <c r="AT223" s="518" t="str">
        <f>IF(AND(_3="A-320",'2026'!$I$4="FO",'2026'!$I$2=AT195),'2026DATA'!$C$30,"")</f>
        <v/>
      </c>
      <c r="AU223" s="518" t="str">
        <f>IF(AND(_3="A-320",'2026'!$I$4="FO",'2026'!$I$2=AU195),'2026DATA'!$D$30,"")</f>
        <v/>
      </c>
      <c r="AV223" s="518" t="str">
        <f>IF(AND(_3="A-320",'2026'!$I$4="FO",'2026'!$I$2=AV195),'2026DATA'!$E$30,"")</f>
        <v/>
      </c>
      <c r="AW223" s="518" t="str">
        <f>IF(AND(_3="A-320",'2026'!$I$4="FO",'2026'!$I$2=AW195),'2026DATA'!$F$30,"")</f>
        <v/>
      </c>
      <c r="AX223" s="518" t="str">
        <f>IF(AND(_3="A-320",'2026'!$I$4="FO",'2026'!$I$2=AX195),'2026DATA'!$G$30,"")</f>
        <v/>
      </c>
      <c r="AY223" s="518" t="str">
        <f>IF(AND(_3="A-320",'2026'!$I$4="FO",'2026'!$I$2=AY195),'2026DATA'!$H$30,"")</f>
        <v/>
      </c>
      <c r="AZ223" s="518" t="str">
        <f>IF(AND(_3="A-320",'2026'!$I$4="FO",'2026'!$I$2=AZ195),'2026DATA'!$I$30,"")</f>
        <v/>
      </c>
      <c r="BA223" s="518" t="str">
        <f>IF(AND(_3="A-320",'2026'!$I$4="FO",'2026'!$I$2=BA195),'2026DATA'!$J$30,"")</f>
        <v/>
      </c>
      <c r="BB223" s="518" t="str">
        <f>IF(AND(_3="A-320",'2026'!$I$4="FO",'2026'!$I$2=BB195),'2026DATA'!$K$30,"")</f>
        <v/>
      </c>
      <c r="BC223" s="518" t="str">
        <f>IF(AND(_3="A-320",'2026'!$I$4="FO",'2026'!$I$2=BC195),'2026DATA'!$L$30,"")</f>
        <v/>
      </c>
      <c r="BD223" s="518" t="str">
        <f>IF(AND(_3="A-320",'2026'!$I$4="FO",'2026'!$I$2=BD195),'2026DATA'!$M$30,"")</f>
        <v/>
      </c>
      <c r="BE223" s="520" t="str">
        <f>IF(AND(_3="A-320",'2026'!$I$4="FO",'2026'!$I$2=BE195),'2026DATA'!$N$30,"")</f>
        <v/>
      </c>
      <c r="BF223" s="940"/>
      <c r="BG223" s="13" t="s">
        <v>62</v>
      </c>
      <c r="BH223" s="518" t="str">
        <f>IF(AND(_4="A-320",'2026'!$I$4="FO",'2026'!$I$2=BH195),'2026DATA'!$C$30,"")</f>
        <v/>
      </c>
      <c r="BI223" s="518" t="str">
        <f>IF(AND(_4="A-320",'2026'!$I$4="FO",'2026'!$I$2=BI195),'2026DATA'!$D$30,"")</f>
        <v/>
      </c>
      <c r="BJ223" s="518" t="str">
        <f>IF(AND(_4="A-320",'2026'!$I$4="FO",'2026'!$I$2=BJ195),'2026DATA'!$E$30,"")</f>
        <v/>
      </c>
      <c r="BK223" s="518" t="str">
        <f>IF(AND(_4="A-320",'2026'!$I$4="FO",'2026'!$I$2=BK195),'2026DATA'!$F$30,"")</f>
        <v/>
      </c>
      <c r="BL223" s="518" t="str">
        <f>IF(AND(_4="A-320",'2026'!$I$4="FO",'2026'!$I$2=BL195),'2026DATA'!$G$30,"")</f>
        <v/>
      </c>
      <c r="BM223" s="518" t="str">
        <f>IF(AND(_4="A-320",'2026'!$I$4="FO",'2026'!$I$2=BM195),'2026DATA'!$H$30,"")</f>
        <v/>
      </c>
      <c r="BN223" s="518" t="str">
        <f>IF(AND(_4="A-320",'2026'!$I$4="FO",'2026'!$I$2=BN195),'2026DATA'!$I$30,"")</f>
        <v/>
      </c>
      <c r="BO223" s="518" t="str">
        <f>IF(AND(_4="A-320",'2026'!$I$4="FO",'2026'!$I$2=BO195),'2026DATA'!$J$30,"")</f>
        <v/>
      </c>
      <c r="BP223" s="518" t="str">
        <f>IF(AND(_4="A-320",'2026'!$I$4="FO",'2026'!$I$2=BP195),'2026DATA'!$K$30,"")</f>
        <v/>
      </c>
      <c r="BQ223" s="518" t="str">
        <f>IF(AND(_4="A-320",'2026'!$I$4="FO",'2026'!$I$2=BQ195),'2026DATA'!$L$30,"")</f>
        <v/>
      </c>
      <c r="BR223" s="518" t="str">
        <f>IF(AND(_4="A-320",'2026'!$I$4="FO",'2026'!$I$2=BR195),'2026DATA'!$M$30,"")</f>
        <v/>
      </c>
      <c r="BS223" s="520" t="str">
        <f>IF(AND(_4="A-320",'2026'!$I$4="FO",'2026'!$I$2=BS195),'2026DATA'!$N$30,"")</f>
        <v/>
      </c>
      <c r="BT223" s="940"/>
      <c r="BU223" s="13" t="s">
        <v>62</v>
      </c>
      <c r="BV223" s="518" t="str">
        <f>IF(AND(_5="A-320",'2026'!$I$4="FO",'2026'!$I$2=BV195),'2026DATA'!$C$30,"")</f>
        <v/>
      </c>
      <c r="BW223" s="518" t="str">
        <f>IF(AND(_5="A-320",'2026'!$I$4="FO",'2026'!$I$2=BW195),'2026DATA'!$D$30,"")</f>
        <v/>
      </c>
      <c r="BX223" s="518" t="str">
        <f>IF(AND(_5="A-320",'2026'!$I$4="FO",'2026'!$I$2=BX195),'2026DATA'!$E$30,"")</f>
        <v/>
      </c>
      <c r="BY223" s="518" t="str">
        <f>IF(AND(_5="A-320",'2026'!$I$4="FO",'2026'!$I$2=BY195),'2026DATA'!$F$30,"")</f>
        <v/>
      </c>
      <c r="BZ223" s="518" t="str">
        <f>IF(AND(_5="A-320",'2026'!$I$4="FO",'2026'!$I$2=BZ195),'2026DATA'!$G$30,"")</f>
        <v/>
      </c>
      <c r="CA223" s="518" t="str">
        <f>IF(AND(_5="A-320",'2026'!$I$4="FO",'2026'!$I$2=CA195),'2026DATA'!$H$30,"")</f>
        <v/>
      </c>
      <c r="CB223" s="518" t="str">
        <f>IF(AND(_5="A-320",'2026'!$I$4="FO",'2026'!$I$2=CB195),'2026DATA'!$I$30,"")</f>
        <v/>
      </c>
      <c r="CC223" s="518" t="str">
        <f>IF(AND(_5="A-320",'2026'!$I$4="FO",'2026'!$I$2=CC195),'2026DATA'!$J$30,"")</f>
        <v/>
      </c>
      <c r="CD223" s="518" t="str">
        <f>IF(AND(_5="A-320",'2026'!$I$4="FO",'2026'!$I$2=CD195),'2026DATA'!$K$30,"")</f>
        <v/>
      </c>
      <c r="CE223" s="518" t="str">
        <f>IF(AND(_5="A-320",'2026'!$I$4="FO",'2026'!$I$2=CE195),'2026DATA'!$L$30,"")</f>
        <v/>
      </c>
      <c r="CF223" s="518" t="str">
        <f>IF(AND(_5="A-320",'2026'!$I$4="FO",'2026'!$I$2=CF195),'2026DATA'!$M$30,"")</f>
        <v/>
      </c>
      <c r="CG223" s="520" t="str">
        <f>IF(AND(_5="A-320",'2026'!$I$4="FO",'2026'!$I$2=CG195),'2026DATA'!$N$30,"")</f>
        <v/>
      </c>
      <c r="CH223" s="940"/>
      <c r="CI223" s="13" t="s">
        <v>62</v>
      </c>
      <c r="CJ223" s="518" t="str">
        <f>IF(AND(_6="A-320",'2026'!$I$4="FO",'2026'!$I$2=CJ195),'2026DATA'!$C$30,"")</f>
        <v/>
      </c>
      <c r="CK223" s="518" t="str">
        <f>IF(AND(_6="A-320",'2026'!$I$4="FO",'2026'!$I$2=CK195),'2026DATA'!$D$30,"")</f>
        <v/>
      </c>
      <c r="CL223" s="518" t="str">
        <f>IF(AND(_6="A-320",'2026'!$I$4="FO",'2026'!$I$2=CL195),'2026DATA'!$E$30,"")</f>
        <v/>
      </c>
      <c r="CM223" s="518" t="str">
        <f>IF(AND(_6="A-320",'2026'!$I$4="FO",'2026'!$I$2=CM195),'2026DATA'!$F$30,"")</f>
        <v/>
      </c>
      <c r="CN223" s="518" t="str">
        <f>IF(AND(_6="A-320",'2026'!$I$4="FO",'2026'!$I$2=CN195),'2026DATA'!$G$30,"")</f>
        <v/>
      </c>
      <c r="CO223" s="518" t="str">
        <f>IF(AND(_6="A-320",'2026'!$I$4="FO",'2026'!$I$2=CO195),'2026DATA'!$H$30,"")</f>
        <v/>
      </c>
      <c r="CP223" s="518" t="str">
        <f>IF(AND(_6="A-320",'2026'!$I$4="FO",'2026'!$I$2=CP195),'2026DATA'!$I$30,"")</f>
        <v/>
      </c>
      <c r="CQ223" s="518" t="str">
        <f>IF(AND(_6="A-320",'2026'!$I$4="FO",'2026'!$I$2=CQ195),'2026DATA'!$J$30,"")</f>
        <v/>
      </c>
      <c r="CR223" s="518" t="str">
        <f>IF(AND(_6="A-320",'2026'!$I$4="FO",'2026'!$I$2=CR195),'2026DATA'!$K$30,"")</f>
        <v/>
      </c>
      <c r="CS223" s="518" t="str">
        <f>IF(AND(_6="A-320",'2026'!$I$4="FO",'2026'!$I$2=CS195),'2026DATA'!$L$30,"")</f>
        <v/>
      </c>
      <c r="CT223" s="518" t="str">
        <f>IF(AND(_6="A-320",'2026'!$I$4="FO",'2026'!$I$2=CT195),'2026DATA'!$M$30,"")</f>
        <v/>
      </c>
      <c r="CU223" s="520" t="str">
        <f>IF(AND(_6="A-320",'2026'!$I$4="FO",'2026'!$I$2=CU195),'2026DATA'!$N$30,"")</f>
        <v/>
      </c>
    </row>
    <row r="224" spans="16:99" x14ac:dyDescent="0.25">
      <c r="P224" s="940" t="s">
        <v>71</v>
      </c>
      <c r="Q224" s="13" t="s">
        <v>61</v>
      </c>
      <c r="R224" s="518" t="str">
        <f>IF(AND(_1="A-319",'2026'!$I$4="CA",'2026'!$I$2=R195),'2026DATA'!$C$31,"")</f>
        <v/>
      </c>
      <c r="S224" s="518" t="str">
        <f>IF(AND(_1="A-319",'2026'!$I$4="CA",'2026'!$I$2=S195),'2026DATA'!$D$31,"")</f>
        <v/>
      </c>
      <c r="T224" s="518" t="str">
        <f>IF(AND(_1="A-319",'2026'!$I$4="CA",'2026'!$I$2=T195),'2026DATA'!$E$31,"")</f>
        <v/>
      </c>
      <c r="U224" s="518" t="str">
        <f>IF(AND(_1="A-319",'2026'!$I$4="CA",'2026'!$I$2=U195),'2026DATA'!$F$31,"")</f>
        <v/>
      </c>
      <c r="V224" s="518" t="str">
        <f>IF(AND(_1="A-319",'2026'!$I$4="CA",'2026'!$I$2=V195),'2026DATA'!$G$31,"")</f>
        <v/>
      </c>
      <c r="W224" s="518" t="str">
        <f>IF(AND(_1="A-319",'2026'!$I$4="CA",'2026'!$I$2=W195),'2026DATA'!$H$31,"")</f>
        <v/>
      </c>
      <c r="X224" s="518" t="str">
        <f>IF(AND(_1="A-319",'2026'!$I$4="CA",'2026'!$I$2=X195),'2026DATA'!$I$31,"")</f>
        <v/>
      </c>
      <c r="Y224" s="518" t="str">
        <f>IF(AND(_1="A-319",'2026'!$I$4="CA",'2026'!$I$2=Y195),'2026DATA'!$J$31,"")</f>
        <v/>
      </c>
      <c r="Z224" s="518" t="str">
        <f>IF(AND(_1="A-319",'2026'!$I$4="CA",'2026'!$I$2=Z195),'2026DATA'!$K$31,"")</f>
        <v/>
      </c>
      <c r="AA224" s="518" t="str">
        <f>IF(AND(_1="A-319",'2026'!$I$4="CA",'2026'!$I$2=AA195),'2026DATA'!$L$31,"")</f>
        <v/>
      </c>
      <c r="AB224" s="518" t="str">
        <f>IF(AND(_1="A-319",'2026'!$I$4="CA",'2026'!$I$2=AB195),'2026DATA'!$M$31,"")</f>
        <v/>
      </c>
      <c r="AC224" s="520" t="str">
        <f>IF(AND(_1="A-319",'2026'!$I$4="CA",'2026'!$I$2=AC195),'2026DATA'!$N$31,"")</f>
        <v/>
      </c>
      <c r="AD224" s="940" t="s">
        <v>71</v>
      </c>
      <c r="AE224" s="13" t="s">
        <v>61</v>
      </c>
      <c r="AF224" s="518" t="str">
        <f>IF(AND(_2="A-319",'2026'!$I$4="CA",'2026'!$I$2=AF195),'2026DATA'!$C$31,"")</f>
        <v/>
      </c>
      <c r="AG224" s="518" t="str">
        <f>IF(AND(_2="A-319",'2026'!$I$4="CA",'2026'!$I$2=AG195),'2026DATA'!$D$31,"")</f>
        <v/>
      </c>
      <c r="AH224" s="518" t="str">
        <f>IF(AND(_2="A-319",'2026'!$I$4="CA",'2026'!$I$2=AH195),'2026DATA'!$E$31,"")</f>
        <v/>
      </c>
      <c r="AI224" s="518" t="str">
        <f>IF(AND(_2="A-319",'2026'!$I$4="CA",'2026'!$I$2=AI195),'2026DATA'!$F$31,"")</f>
        <v/>
      </c>
      <c r="AJ224" s="518" t="str">
        <f>IF(AND(_2="A-319",'2026'!$I$4="CA",'2026'!$I$2=AJ195),'2026DATA'!$G$31,"")</f>
        <v/>
      </c>
      <c r="AK224" s="518" t="str">
        <f>IF(AND(_2="A-319",'2026'!$I$4="CA",'2026'!$I$2=AK195),'2026DATA'!$H$31,"")</f>
        <v/>
      </c>
      <c r="AL224" s="518" t="str">
        <f>IF(AND(_2="A-319",'2026'!$I$4="CA",'2026'!$I$2=AL195),'2026DATA'!$I$31,"")</f>
        <v/>
      </c>
      <c r="AM224" s="518" t="str">
        <f>IF(AND(_2="A-319",'2026'!$I$4="CA",'2026'!$I$2=AM195),'2026DATA'!$J$31,"")</f>
        <v/>
      </c>
      <c r="AN224" s="518" t="str">
        <f>IF(AND(_2="A-319",'2026'!$I$4="CA",'2026'!$I$2=AN195),'2026DATA'!$K$31,"")</f>
        <v/>
      </c>
      <c r="AO224" s="518" t="str">
        <f>IF(AND(_2="A-319",'2026'!$I$4="CA",'2026'!$I$2=AO195),'2026DATA'!$L$31,"")</f>
        <v/>
      </c>
      <c r="AP224" s="518" t="str">
        <f>IF(AND(_2="A-319",'2026'!$I$4="CA",'2026'!$I$2=AP195),'2026DATA'!$M$31,"")</f>
        <v/>
      </c>
      <c r="AQ224" s="520" t="str">
        <f>IF(AND(_2="A-319",'2026'!$I$4="CA",'2026'!$I$2=AQ195),'2026DATA'!$N$31,"")</f>
        <v/>
      </c>
      <c r="AR224" s="940" t="s">
        <v>71</v>
      </c>
      <c r="AS224" s="13" t="s">
        <v>61</v>
      </c>
      <c r="AT224" s="518" t="str">
        <f>IF(AND(_3="A-319",'2026'!$I$4="CA",'2026'!$I$2=AT195),'2026DATA'!$C$31,"")</f>
        <v/>
      </c>
      <c r="AU224" s="518" t="str">
        <f>IF(AND(_3="A-319",'2026'!$I$4="CA",'2026'!$I$2=AU195),'2026DATA'!$D$31,"")</f>
        <v/>
      </c>
      <c r="AV224" s="518" t="str">
        <f>IF(AND(_3="A-319",'2026'!$I$4="CA",'2026'!$I$2=AV195),'2026DATA'!$E$31,"")</f>
        <v/>
      </c>
      <c r="AW224" s="518" t="str">
        <f>IF(AND(_3="A-319",'2026'!$I$4="CA",'2026'!$I$2=AW195),'2026DATA'!$F$31,"")</f>
        <v/>
      </c>
      <c r="AX224" s="518" t="str">
        <f>IF(AND(_3="A-319",'2026'!$I$4="CA",'2026'!$I$2=AX195),'2026DATA'!$G$31,"")</f>
        <v/>
      </c>
      <c r="AY224" s="518" t="str">
        <f>IF(AND(_3="A-319",'2026'!$I$4="CA",'2026'!$I$2=AY195),'2026DATA'!$H$31,"")</f>
        <v/>
      </c>
      <c r="AZ224" s="518" t="str">
        <f>IF(AND(_3="A-319",'2026'!$I$4="CA",'2026'!$I$2=AZ195),'2026DATA'!$I$31,"")</f>
        <v/>
      </c>
      <c r="BA224" s="518" t="str">
        <f>IF(AND(_3="A-319",'2026'!$I$4="CA",'2026'!$I$2=BA195),'2026DATA'!$J$31,"")</f>
        <v/>
      </c>
      <c r="BB224" s="518" t="str">
        <f>IF(AND(_3="A-319",'2026'!$I$4="CA",'2026'!$I$2=BB195),'2026DATA'!$K$31,"")</f>
        <v/>
      </c>
      <c r="BC224" s="518" t="str">
        <f>IF(AND(_3="A-319",'2026'!$I$4="CA",'2026'!$I$2=BC195),'2026DATA'!$L$31,"")</f>
        <v/>
      </c>
      <c r="BD224" s="518" t="str">
        <f>IF(AND(_3="A-319",'2026'!$I$4="CA",'2026'!$I$2=BD195),'2026DATA'!$M$31,"")</f>
        <v/>
      </c>
      <c r="BE224" s="520" t="str">
        <f>IF(AND(_3="A-319",'2026'!$I$4="CA",'2026'!$I$2=BE195),'2026DATA'!$N$31,"")</f>
        <v/>
      </c>
      <c r="BF224" s="940" t="s">
        <v>71</v>
      </c>
      <c r="BG224" s="13" t="s">
        <v>61</v>
      </c>
      <c r="BH224" s="518" t="str">
        <f>IF(AND(_4="A-319",'2026'!$I$4="CA",'2026'!$I$2=BH195),'2026DATA'!$C$31,"")</f>
        <v/>
      </c>
      <c r="BI224" s="518" t="str">
        <f>IF(AND(_4="A-319",'2026'!$I$4="CA",'2026'!$I$2=BI195),'2026DATA'!$D$31,"")</f>
        <v/>
      </c>
      <c r="BJ224" s="518" t="str">
        <f>IF(AND(_4="A-319",'2026'!$I$4="CA",'2026'!$I$2=BJ195),'2026DATA'!$E$31,"")</f>
        <v/>
      </c>
      <c r="BK224" s="518" t="str">
        <f>IF(AND(_4="A-319",'2026'!$I$4="CA",'2026'!$I$2=BK195),'2026DATA'!$F$31,"")</f>
        <v/>
      </c>
      <c r="BL224" s="518" t="str">
        <f>IF(AND(_4="A-319",'2026'!$I$4="CA",'2026'!$I$2=BL195),'2026DATA'!$G$31,"")</f>
        <v/>
      </c>
      <c r="BM224" s="518" t="str">
        <f>IF(AND(_4="A-319",'2026'!$I$4="CA",'2026'!$I$2=BM195),'2026DATA'!$H$31,"")</f>
        <v/>
      </c>
      <c r="BN224" s="518" t="str">
        <f>IF(AND(_4="A-319",'2026'!$I$4="CA",'2026'!$I$2=BN195),'2026DATA'!$I$31,"")</f>
        <v/>
      </c>
      <c r="BO224" s="518" t="str">
        <f>IF(AND(_4="A-319",'2026'!$I$4="CA",'2026'!$I$2=BO195),'2026DATA'!$J$31,"")</f>
        <v/>
      </c>
      <c r="BP224" s="518" t="str">
        <f>IF(AND(_4="A-319",'2026'!$I$4="CA",'2026'!$I$2=BP195),'2026DATA'!$K$31,"")</f>
        <v/>
      </c>
      <c r="BQ224" s="518" t="str">
        <f>IF(AND(_4="A-319",'2026'!$I$4="CA",'2026'!$I$2=BQ195),'2026DATA'!$L$31,"")</f>
        <v/>
      </c>
      <c r="BR224" s="518" t="str">
        <f>IF(AND(_4="A-319",'2026'!$I$4="CA",'2026'!$I$2=BR195),'2026DATA'!$M$31,"")</f>
        <v/>
      </c>
      <c r="BS224" s="520" t="str">
        <f>IF(AND(_4="A-319",'2026'!$I$4="CA",'2026'!$I$2=BS195),'2026DATA'!$N$31,"")</f>
        <v/>
      </c>
      <c r="BT224" s="940" t="s">
        <v>71</v>
      </c>
      <c r="BU224" s="13" t="s">
        <v>61</v>
      </c>
      <c r="BV224" s="518" t="str">
        <f>IF(AND(_5="A-319",'2026'!$I$4="CA",'2026'!$I$2=BV195),'2026DATA'!$C$31,"")</f>
        <v/>
      </c>
      <c r="BW224" s="518" t="str">
        <f>IF(AND(_5="A-319",'2026'!$I$4="CA",'2026'!$I$2=BW195),'2026DATA'!$D$31,"")</f>
        <v/>
      </c>
      <c r="BX224" s="518" t="str">
        <f>IF(AND(_5="A-319",'2026'!$I$4="CA",'2026'!$I$2=BX195),'2026DATA'!$E$31,"")</f>
        <v/>
      </c>
      <c r="BY224" s="518" t="str">
        <f>IF(AND(_5="A-319",'2026'!$I$4="CA",'2026'!$I$2=BY195),'2026DATA'!$F$31,"")</f>
        <v/>
      </c>
      <c r="BZ224" s="518" t="str">
        <f>IF(AND(_5="A-319",'2026'!$I$4="CA",'2026'!$I$2=BZ195),'2026DATA'!$G$31,"")</f>
        <v/>
      </c>
      <c r="CA224" s="518" t="str">
        <f>IF(AND(_5="A-319",'2026'!$I$4="CA",'2026'!$I$2=CA195),'2026DATA'!$H$31,"")</f>
        <v/>
      </c>
      <c r="CB224" s="518" t="str">
        <f>IF(AND(_5="A-319",'2026'!$I$4="CA",'2026'!$I$2=CB195),'2026DATA'!$I$31,"")</f>
        <v/>
      </c>
      <c r="CC224" s="518" t="str">
        <f>IF(AND(_5="A-319",'2026'!$I$4="CA",'2026'!$I$2=CC195),'2026DATA'!$J$31,"")</f>
        <v/>
      </c>
      <c r="CD224" s="518" t="str">
        <f>IF(AND(_5="A-319",'2026'!$I$4="CA",'2026'!$I$2=CD195),'2026DATA'!$K$31,"")</f>
        <v/>
      </c>
      <c r="CE224" s="518" t="str">
        <f>IF(AND(_5="A-319",'2026'!$I$4="CA",'2026'!$I$2=CE195),'2026DATA'!$L$31,"")</f>
        <v/>
      </c>
      <c r="CF224" s="518" t="str">
        <f>IF(AND(_5="A-319",'2026'!$I$4="CA",'2026'!$I$2=CF195),'2026DATA'!$M$31,"")</f>
        <v/>
      </c>
      <c r="CG224" s="520" t="str">
        <f>IF(AND(_5="A-319",'2026'!$I$4="CA",'2026'!$I$2=CG195),'2026DATA'!$N$31,"")</f>
        <v/>
      </c>
      <c r="CH224" s="940" t="s">
        <v>71</v>
      </c>
      <c r="CI224" s="13" t="s">
        <v>61</v>
      </c>
      <c r="CJ224" s="518" t="str">
        <f>IF(AND(_6="A-319",'2026'!$I$4="CA",'2026'!$I$2=CJ195),'2026DATA'!$C$31,"")</f>
        <v/>
      </c>
      <c r="CK224" s="518" t="str">
        <f>IF(AND(_6="A-319",'2026'!$I$4="CA",'2026'!$I$2=CK195),'2026DATA'!$D$31,"")</f>
        <v/>
      </c>
      <c r="CL224" s="518" t="str">
        <f>IF(AND(_6="A-319",'2026'!$I$4="CA",'2026'!$I$2=CL195),'2026DATA'!$E$31,"")</f>
        <v/>
      </c>
      <c r="CM224" s="518" t="str">
        <f>IF(AND(_6="A-319",'2026'!$I$4="CA",'2026'!$I$2=CM195),'2026DATA'!$F$31,"")</f>
        <v/>
      </c>
      <c r="CN224" s="518" t="str">
        <f>IF(AND(_6="A-319",'2026'!$I$4="CA",'2026'!$I$2=CN195),'2026DATA'!$G$31,"")</f>
        <v/>
      </c>
      <c r="CO224" s="518" t="str">
        <f>IF(AND(_6="A-319",'2026'!$I$4="CA",'2026'!$I$2=CO195),'2026DATA'!$H$31,"")</f>
        <v/>
      </c>
      <c r="CP224" s="518" t="str">
        <f>IF(AND(_6="A-319",'2026'!$I$4="CA",'2026'!$I$2=CP195),'2026DATA'!$I$31,"")</f>
        <v/>
      </c>
      <c r="CQ224" s="518" t="str">
        <f>IF(AND(_6="A-319",'2026'!$I$4="CA",'2026'!$I$2=CQ195),'2026DATA'!$J$31,"")</f>
        <v/>
      </c>
      <c r="CR224" s="518" t="str">
        <f>IF(AND(_6="A-319",'2026'!$I$4="CA",'2026'!$I$2=CR195),'2026DATA'!$K$31,"")</f>
        <v/>
      </c>
      <c r="CS224" s="518" t="str">
        <f>IF(AND(_6="A-319",'2026'!$I$4="CA",'2026'!$I$2=CS195),'2026DATA'!$L$31,"")</f>
        <v/>
      </c>
      <c r="CT224" s="518" t="str">
        <f>IF(AND(_6="A-319",'2026'!$I$4="CA",'2026'!$I$2=CT195),'2026DATA'!$M$31,"")</f>
        <v/>
      </c>
      <c r="CU224" s="520" t="str">
        <f>IF(AND(_6="A-319",'2026'!$I$4="CA",'2026'!$I$2=CU195),'2026DATA'!$N$31,"")</f>
        <v/>
      </c>
    </row>
    <row r="225" spans="16:99" x14ac:dyDescent="0.25">
      <c r="P225" s="940"/>
      <c r="Q225" s="13" t="s">
        <v>62</v>
      </c>
      <c r="R225" s="518" t="str">
        <f>IF(AND(_1="A-319",'2026'!$I$4="FO",'2026'!$I$2=R195),'2026DATA'!$C$32,"")</f>
        <v/>
      </c>
      <c r="S225" s="518" t="str">
        <f>IF(AND(_1="A-319",'2026'!$I$4="FO",'2026'!$I$2=S195),'2026DATA'!$D$32,"")</f>
        <v/>
      </c>
      <c r="T225" s="518" t="str">
        <f>IF(AND(_1="A-319",'2026'!$I$4="FO",'2026'!$I$2=T195),'2026DATA'!$E$32,"")</f>
        <v/>
      </c>
      <c r="U225" s="518" t="str">
        <f>IF(AND(_1="A-319",'2026'!$I$4="FO",'2026'!$I$2=U195),'2026DATA'!$F$32,"")</f>
        <v/>
      </c>
      <c r="V225" s="518" t="str">
        <f>IF(AND(_1="A-319",'2026'!$I$4="FO",'2026'!$I$2=V195),'2026DATA'!$G$32,"")</f>
        <v/>
      </c>
      <c r="W225" s="518" t="str">
        <f>IF(AND(_1="A-319",'2026'!$I$4="FO",'2026'!$I$2=W195),'2026DATA'!$H$32,"")</f>
        <v/>
      </c>
      <c r="X225" s="518" t="str">
        <f>IF(AND(_1="A-319",'2026'!$I$4="FO",'2026'!$I$2=X195),'2026DATA'!$I$32,"")</f>
        <v/>
      </c>
      <c r="Y225" s="518" t="str">
        <f>IF(AND(_1="A-319",'2026'!$I$4="FO",'2026'!$I$2=Y195),'2026DATA'!$J$32,"")</f>
        <v/>
      </c>
      <c r="Z225" s="518" t="str">
        <f>IF(AND(_1="A-319",'2026'!$I$4="FO",'2026'!$I$2=Z195),'2026DATA'!$K$32,"")</f>
        <v/>
      </c>
      <c r="AA225" s="518" t="str">
        <f>IF(AND(_1="A-319",'2026'!$I$4="FO",'2026'!$I$2=AA195),'2026DATA'!$L$32,"")</f>
        <v/>
      </c>
      <c r="AB225" s="518" t="str">
        <f>IF(AND(_1="A-319",'2026'!$I$4="FO",'2026'!$I$2=AB195),'2026DATA'!$M$32,"")</f>
        <v/>
      </c>
      <c r="AC225" s="520" t="str">
        <f>IF(AND(_1="A-319",'2026'!$I$4="FO",'2026'!$I$2=AC195),'2026DATA'!$N$32,"")</f>
        <v/>
      </c>
      <c r="AD225" s="940"/>
      <c r="AE225" s="13" t="s">
        <v>62</v>
      </c>
      <c r="AF225" s="518" t="str">
        <f>IF(AND(_2="A-319",'2026'!$I$4="FO",'2026'!$I$2=AF195),'2026DATA'!$C$32,"")</f>
        <v/>
      </c>
      <c r="AG225" s="518" t="str">
        <f>IF(AND(_2="A-319",'2026'!$I$4="FO",'2026'!$I$2=AG195),'2026DATA'!$D$32,"")</f>
        <v/>
      </c>
      <c r="AH225" s="518" t="str">
        <f>IF(AND(_2="A-319",'2026'!$I$4="FO",'2026'!$I$2=AH195),'2026DATA'!$E$32,"")</f>
        <v/>
      </c>
      <c r="AI225" s="518" t="str">
        <f>IF(AND(_2="A-319",'2026'!$I$4="FO",'2026'!$I$2=AI195),'2026DATA'!$F$32,"")</f>
        <v/>
      </c>
      <c r="AJ225" s="518" t="str">
        <f>IF(AND(_2="A-319",'2026'!$I$4="FO",'2026'!$I$2=AJ195),'2026DATA'!$G$32,"")</f>
        <v/>
      </c>
      <c r="AK225" s="518" t="str">
        <f>IF(AND(_2="A-319",'2026'!$I$4="FO",'2026'!$I$2=AK195),'2026DATA'!$H$32,"")</f>
        <v/>
      </c>
      <c r="AL225" s="518" t="str">
        <f>IF(AND(_2="A-319",'2026'!$I$4="FO",'2026'!$I$2=AL195),'2026DATA'!$I$32,"")</f>
        <v/>
      </c>
      <c r="AM225" s="518" t="str">
        <f>IF(AND(_2="A-319",'2026'!$I$4="FO",'2026'!$I$2=AM195),'2026DATA'!$J$32,"")</f>
        <v/>
      </c>
      <c r="AN225" s="518" t="str">
        <f>IF(AND(_2="A-319",'2026'!$I$4="FO",'2026'!$I$2=AN195),'2026DATA'!$K$32,"")</f>
        <v/>
      </c>
      <c r="AO225" s="518" t="str">
        <f>IF(AND(_2="A-319",'2026'!$I$4="FO",'2026'!$I$2=AO195),'2026DATA'!$L$32,"")</f>
        <v/>
      </c>
      <c r="AP225" s="518" t="str">
        <f>IF(AND(_2="A-319",'2026'!$I$4="FO",'2026'!$I$2=AP195),'2026DATA'!$M$32,"")</f>
        <v/>
      </c>
      <c r="AQ225" s="520" t="str">
        <f>IF(AND(_2="A-319",'2026'!$I$4="FO",'2026'!$I$2=AQ195),'2026DATA'!$N$32,"")</f>
        <v/>
      </c>
      <c r="AR225" s="940"/>
      <c r="AS225" s="13" t="s">
        <v>62</v>
      </c>
      <c r="AT225" s="518" t="str">
        <f>IF(AND(_3="A-319",'2026'!$I$4="FO",'2026'!$I$2=AT195),'2026DATA'!$C$32,"")</f>
        <v/>
      </c>
      <c r="AU225" s="518" t="str">
        <f>IF(AND(_3="A-319",'2026'!$I$4="FO",'2026'!$I$2=AU195),'2026DATA'!$D$32,"")</f>
        <v/>
      </c>
      <c r="AV225" s="518" t="str">
        <f>IF(AND(_3="A-319",'2026'!$I$4="FO",'2026'!$I$2=AV195),'2026DATA'!$E$32,"")</f>
        <v/>
      </c>
      <c r="AW225" s="518" t="str">
        <f>IF(AND(_3="A-319",'2026'!$I$4="FO",'2026'!$I$2=AW195),'2026DATA'!$F$32,"")</f>
        <v/>
      </c>
      <c r="AX225" s="518" t="str">
        <f>IF(AND(_3="A-319",'2026'!$I$4="FO",'2026'!$I$2=AX195),'2026DATA'!$G$32,"")</f>
        <v/>
      </c>
      <c r="AY225" s="518" t="str">
        <f>IF(AND(_3="A-319",'2026'!$I$4="FO",'2026'!$I$2=AY195),'2026DATA'!$H$32,"")</f>
        <v/>
      </c>
      <c r="AZ225" s="518" t="str">
        <f>IF(AND(_3="A-319",'2026'!$I$4="FO",'2026'!$I$2=AZ195),'2026DATA'!$I$32,"")</f>
        <v/>
      </c>
      <c r="BA225" s="518" t="str">
        <f>IF(AND(_3="A-319",'2026'!$I$4="FO",'2026'!$I$2=BA195),'2026DATA'!$J$32,"")</f>
        <v/>
      </c>
      <c r="BB225" s="518" t="str">
        <f>IF(AND(_3="A-319",'2026'!$I$4="FO",'2026'!$I$2=BB195),'2026DATA'!$K$32,"")</f>
        <v/>
      </c>
      <c r="BC225" s="518" t="str">
        <f>IF(AND(_3="A-319",'2026'!$I$4="FO",'2026'!$I$2=BC195),'2026DATA'!$L$32,"")</f>
        <v/>
      </c>
      <c r="BD225" s="518" t="str">
        <f>IF(AND(_3="A-319",'2026'!$I$4="FO",'2026'!$I$2=BD195),'2026DATA'!$M$32,"")</f>
        <v/>
      </c>
      <c r="BE225" s="520" t="str">
        <f>IF(AND(_3="A-319",'2026'!$I$4="FO",'2026'!$I$2=BE195),'2026DATA'!$N$32,"")</f>
        <v/>
      </c>
      <c r="BF225" s="940"/>
      <c r="BG225" s="13" t="s">
        <v>62</v>
      </c>
      <c r="BH225" s="518" t="str">
        <f>IF(AND(_4="A-319",'2026'!$I$4="FO",'2026'!$I$2=BH195),'2026DATA'!$C$32,"")</f>
        <v/>
      </c>
      <c r="BI225" s="518" t="str">
        <f>IF(AND(_4="A-319",'2026'!$I$4="FO",'2026'!$I$2=BI195),'2026DATA'!$D$32,"")</f>
        <v/>
      </c>
      <c r="BJ225" s="518" t="str">
        <f>IF(AND(_4="A-319",'2026'!$I$4="FO",'2026'!$I$2=BJ195),'2026DATA'!$E$32,"")</f>
        <v/>
      </c>
      <c r="BK225" s="518" t="str">
        <f>IF(AND(_4="A-319",'2026'!$I$4="FO",'2026'!$I$2=BK195),'2026DATA'!$F$32,"")</f>
        <v/>
      </c>
      <c r="BL225" s="518" t="str">
        <f>IF(AND(_4="A-319",'2026'!$I$4="FO",'2026'!$I$2=BL195),'2026DATA'!$G$32,"")</f>
        <v/>
      </c>
      <c r="BM225" s="518" t="str">
        <f>IF(AND(_4="A-319",'2026'!$I$4="FO",'2026'!$I$2=BM195),'2026DATA'!$H$32,"")</f>
        <v/>
      </c>
      <c r="BN225" s="518" t="str">
        <f>IF(AND(_4="A-319",'2026'!$I$4="FO",'2026'!$I$2=BN195),'2026DATA'!$I$32,"")</f>
        <v/>
      </c>
      <c r="BO225" s="518" t="str">
        <f>IF(AND(_4="A-319",'2026'!$I$4="FO",'2026'!$I$2=BO195),'2026DATA'!$J$32,"")</f>
        <v/>
      </c>
      <c r="BP225" s="518" t="str">
        <f>IF(AND(_4="A-319",'2026'!$I$4="FO",'2026'!$I$2=BP195),'2026DATA'!$K$32,"")</f>
        <v/>
      </c>
      <c r="BQ225" s="518" t="str">
        <f>IF(AND(_4="A-319",'2026'!$I$4="FO",'2026'!$I$2=BQ195),'2026DATA'!$L$32,"")</f>
        <v/>
      </c>
      <c r="BR225" s="518" t="str">
        <f>IF(AND(_4="A-319",'2026'!$I$4="FO",'2026'!$I$2=BR195),'2026DATA'!$M$32,"")</f>
        <v/>
      </c>
      <c r="BS225" s="520" t="str">
        <f>IF(AND(_4="A-319",'2026'!$I$4="FO",'2026'!$I$2=BS195),'2026DATA'!$N$32,"")</f>
        <v/>
      </c>
      <c r="BT225" s="940"/>
      <c r="BU225" s="13" t="s">
        <v>62</v>
      </c>
      <c r="BV225" s="518" t="str">
        <f>IF(AND(_5="A-319",'2026'!$I$4="FO",'2026'!$I$2=BV195),'2026DATA'!$C$32,"")</f>
        <v/>
      </c>
      <c r="BW225" s="518" t="str">
        <f>IF(AND(_5="A-319",'2026'!$I$4="FO",'2026'!$I$2=BW195),'2026DATA'!$D$32,"")</f>
        <v/>
      </c>
      <c r="BX225" s="518" t="str">
        <f>IF(AND(_5="A-319",'2026'!$I$4="FO",'2026'!$I$2=BX195),'2026DATA'!$E$32,"")</f>
        <v/>
      </c>
      <c r="BY225" s="518" t="str">
        <f>IF(AND(_5="A-319",'2026'!$I$4="FO",'2026'!$I$2=BY195),'2026DATA'!$F$32,"")</f>
        <v/>
      </c>
      <c r="BZ225" s="518" t="str">
        <f>IF(AND(_5="A-319",'2026'!$I$4="FO",'2026'!$I$2=BZ195),'2026DATA'!$G$32,"")</f>
        <v/>
      </c>
      <c r="CA225" s="518" t="str">
        <f>IF(AND(_5="A-319",'2026'!$I$4="FO",'2026'!$I$2=CA195),'2026DATA'!$H$32,"")</f>
        <v/>
      </c>
      <c r="CB225" s="518" t="str">
        <f>IF(AND(_5="A-319",'2026'!$I$4="FO",'2026'!$I$2=CB195),'2026DATA'!$I$32,"")</f>
        <v/>
      </c>
      <c r="CC225" s="518" t="str">
        <f>IF(AND(_5="A-319",'2026'!$I$4="FO",'2026'!$I$2=CC195),'2026DATA'!$J$32,"")</f>
        <v/>
      </c>
      <c r="CD225" s="518" t="str">
        <f>IF(AND(_5="A-319",'2026'!$I$4="FO",'2026'!$I$2=CD195),'2026DATA'!$K$32,"")</f>
        <v/>
      </c>
      <c r="CE225" s="518" t="str">
        <f>IF(AND(_5="A-319",'2026'!$I$4="FO",'2026'!$I$2=CE195),'2026DATA'!$L$32,"")</f>
        <v/>
      </c>
      <c r="CF225" s="518" t="str">
        <f>IF(AND(_5="A-319",'2026'!$I$4="FO",'2026'!$I$2=CF195),'2026DATA'!$M$32,"")</f>
        <v/>
      </c>
      <c r="CG225" s="520" t="str">
        <f>IF(AND(_5="A-319",'2026'!$I$4="FO",'2026'!$I$2=CG195),'2026DATA'!$N$32,"")</f>
        <v/>
      </c>
      <c r="CH225" s="940"/>
      <c r="CI225" s="13" t="s">
        <v>62</v>
      </c>
      <c r="CJ225" s="518" t="str">
        <f>IF(AND(_6="A-319",'2026'!$I$4="FO",'2026'!$I$2=CJ195),'2026DATA'!$C$32,"")</f>
        <v/>
      </c>
      <c r="CK225" s="518" t="str">
        <f>IF(AND(_6="A-319",'2026'!$I$4="FO",'2026'!$I$2=CK195),'2026DATA'!$D$32,"")</f>
        <v/>
      </c>
      <c r="CL225" s="518" t="str">
        <f>IF(AND(_6="A-319",'2026'!$I$4="FO",'2026'!$I$2=CL195),'2026DATA'!$E$32,"")</f>
        <v/>
      </c>
      <c r="CM225" s="518" t="str">
        <f>IF(AND(_6="A-319",'2026'!$I$4="FO",'2026'!$I$2=CM195),'2026DATA'!$F$32,"")</f>
        <v/>
      </c>
      <c r="CN225" s="518" t="str">
        <f>IF(AND(_6="A-319",'2026'!$I$4="FO",'2026'!$I$2=CN195),'2026DATA'!$G$32,"")</f>
        <v/>
      </c>
      <c r="CO225" s="518" t="str">
        <f>IF(AND(_6="A-319",'2026'!$I$4="FO",'2026'!$I$2=CO195),'2026DATA'!$H$32,"")</f>
        <v/>
      </c>
      <c r="CP225" s="518" t="str">
        <f>IF(AND(_6="A-319",'2026'!$I$4="FO",'2026'!$I$2=CP195),'2026DATA'!$I$32,"")</f>
        <v/>
      </c>
      <c r="CQ225" s="518" t="str">
        <f>IF(AND(_6="A-319",'2026'!$I$4="FO",'2026'!$I$2=CQ195),'2026DATA'!$J$32,"")</f>
        <v/>
      </c>
      <c r="CR225" s="518" t="str">
        <f>IF(AND(_6="A-319",'2026'!$I$4="FO",'2026'!$I$2=CR195),'2026DATA'!$K$32,"")</f>
        <v/>
      </c>
      <c r="CS225" s="518" t="str">
        <f>IF(AND(_6="A-319",'2026'!$I$4="FO",'2026'!$I$2=CS195),'2026DATA'!$L$32,"")</f>
        <v/>
      </c>
      <c r="CT225" s="518" t="str">
        <f>IF(AND(_6="A-319",'2026'!$I$4="FO",'2026'!$I$2=CT195),'2026DATA'!$M$32,"")</f>
        <v/>
      </c>
      <c r="CU225" s="520" t="str">
        <f>IF(AND(_6="A-319",'2026'!$I$4="FO",'2026'!$I$2=CU195),'2026DATA'!$N$32,"")</f>
        <v/>
      </c>
    </row>
    <row r="226" spans="16:99" x14ac:dyDescent="0.25">
      <c r="P226" s="940" t="s">
        <v>51</v>
      </c>
      <c r="Q226" s="13" t="s">
        <v>61</v>
      </c>
      <c r="R226" s="518" t="str">
        <f>IF(AND(_1="A-220-300",'2026'!$I$4="CA",'2026'!$I$2=R195),'2026DATA'!$C$33,"")</f>
        <v/>
      </c>
      <c r="S226" s="518" t="str">
        <f>IF(AND(_1="A-220-300",'2026'!$I$4="CA",'2026'!$I$2=S195),'2026DATA'!$D$33,"")</f>
        <v/>
      </c>
      <c r="T226" s="518" t="str">
        <f>IF(AND(_1="A-220-300",'2026'!$I$4="CA",'2026'!$I$2=T195),'2026DATA'!$E$33,"")</f>
        <v/>
      </c>
      <c r="U226" s="518" t="str">
        <f>IF(AND(_1="A-220-300",'2026'!$I$4="CA",'2026'!$I$2=U195),'2026DATA'!$F$33,"")</f>
        <v/>
      </c>
      <c r="V226" s="518" t="str">
        <f>IF(AND(_1="A-220-300",'2026'!$I$4="CA",'2026'!$I$2=V195),'2026DATA'!$G$33,"")</f>
        <v/>
      </c>
      <c r="W226" s="518" t="str">
        <f>IF(AND(_1="A-220-300",'2026'!$I$4="CA",'2026'!$I$2=W195),'2026DATA'!$H$33,"")</f>
        <v/>
      </c>
      <c r="X226" s="518" t="str">
        <f>IF(AND(_1="A-220-300",'2026'!$I$4="CA",'2026'!$I$2=X195),'2026DATA'!$I$33,"")</f>
        <v/>
      </c>
      <c r="Y226" s="518" t="str">
        <f>IF(AND(_1="A-220-300",'2026'!$I$4="CA",'2026'!$I$2=Y195),'2026DATA'!$J$33,"")</f>
        <v/>
      </c>
      <c r="Z226" s="518" t="str">
        <f>IF(AND(_1="A-220-300",'2026'!$I$4="CA",'2026'!$I$2=Z195),'2026DATA'!$K$33,"")</f>
        <v/>
      </c>
      <c r="AA226" s="518" t="str">
        <f>IF(AND(_1="A-220-300",'2026'!$I$4="CA",'2026'!$I$2=AA195),'2026DATA'!$L$33,"")</f>
        <v/>
      </c>
      <c r="AB226" s="518" t="str">
        <f>IF(AND(_1="A-220-300",'2026'!$I$4="CA",'2026'!$I$2=AB195),'2026DATA'!$M$33,"")</f>
        <v/>
      </c>
      <c r="AC226" s="520" t="str">
        <f>IF(AND(_1="A-220-300",'2026'!$I$4="CA",'2026'!$I$2=AC195),'2026DATA'!$N$33,"")</f>
        <v/>
      </c>
      <c r="AD226" s="940" t="s">
        <v>51</v>
      </c>
      <c r="AE226" s="13" t="s">
        <v>61</v>
      </c>
      <c r="AF226" s="518" t="str">
        <f>IF(AND(_2="A-220-300",'2026'!$I$4="CA",'2026'!$I$2=AF195),'2026DATA'!$C$33,"")</f>
        <v/>
      </c>
      <c r="AG226" s="518" t="str">
        <f>IF(AND(_2="A-220-300",'2026'!$I$4="CA",'2026'!$I$2=AG195),'2026DATA'!$D$33,"")</f>
        <v/>
      </c>
      <c r="AH226" s="518" t="str">
        <f>IF(AND(_2="A-220-300",'2026'!$I$4="CA",'2026'!$I$2=AH195),'2026DATA'!$E$33,"")</f>
        <v/>
      </c>
      <c r="AI226" s="518" t="str">
        <f>IF(AND(_2="A-220-300",'2026'!$I$4="CA",'2026'!$I$2=AI195),'2026DATA'!$F$33,"")</f>
        <v/>
      </c>
      <c r="AJ226" s="518" t="str">
        <f>IF(AND(_2="A-220-300",'2026'!$I$4="CA",'2026'!$I$2=AJ195),'2026DATA'!$G$33,"")</f>
        <v/>
      </c>
      <c r="AK226" s="518" t="str">
        <f>IF(AND(_2="A-220-300",'2026'!$I$4="CA",'2026'!$I$2=AK195),'2026DATA'!$H$33,"")</f>
        <v/>
      </c>
      <c r="AL226" s="518" t="str">
        <f>IF(AND(_2="A-220-300",'2026'!$I$4="CA",'2026'!$I$2=AL195),'2026DATA'!$I$33,"")</f>
        <v/>
      </c>
      <c r="AM226" s="518" t="str">
        <f>IF(AND(_2="A-220-300",'2026'!$I$4="CA",'2026'!$I$2=AM195),'2026DATA'!$J$33,"")</f>
        <v/>
      </c>
      <c r="AN226" s="518" t="str">
        <f>IF(AND(_2="A-220-300",'2026'!$I$4="CA",'2026'!$I$2=AN195),'2026DATA'!$K$33,"")</f>
        <v/>
      </c>
      <c r="AO226" s="518" t="str">
        <f>IF(AND(_2="A-220-300",'2026'!$I$4="CA",'2026'!$I$2=AO195),'2026DATA'!$L$33,"")</f>
        <v/>
      </c>
      <c r="AP226" s="518" t="str">
        <f>IF(AND(_2="A-220-300",'2026'!$I$4="CA",'2026'!$I$2=AP195),'2026DATA'!$M$33,"")</f>
        <v/>
      </c>
      <c r="AQ226" s="520" t="str">
        <f>IF(AND(_2="A-220-300",'2026'!$I$4="CA",'2026'!$I$2=AQ195),'2026DATA'!$N$33,"")</f>
        <v/>
      </c>
      <c r="AR226" s="940" t="s">
        <v>51</v>
      </c>
      <c r="AS226" s="13" t="s">
        <v>61</v>
      </c>
      <c r="AT226" s="518" t="str">
        <f>IF(AND(_3="A-220-300",'2026'!$I$4="CA",'2026'!$I$2=AT195),'2026DATA'!$C$33,"")</f>
        <v/>
      </c>
      <c r="AU226" s="518" t="str">
        <f>IF(AND(_3="A-220-300",'2026'!$I$4="CA",'2026'!$I$2=AU195),'2026DATA'!$D$33,"")</f>
        <v/>
      </c>
      <c r="AV226" s="518" t="str">
        <f>IF(AND(_3="A-220-300",'2026'!$I$4="CA",'2026'!$I$2=AV195),'2026DATA'!$E$33,"")</f>
        <v/>
      </c>
      <c r="AW226" s="518" t="str">
        <f>IF(AND(_3="A-220-300",'2026'!$I$4="CA",'2026'!$I$2=AW195),'2026DATA'!$F$33,"")</f>
        <v/>
      </c>
      <c r="AX226" s="518" t="str">
        <f>IF(AND(_3="A-220-300",'2026'!$I$4="CA",'2026'!$I$2=AX195),'2026DATA'!$G$33,"")</f>
        <v/>
      </c>
      <c r="AY226" s="518" t="str">
        <f>IF(AND(_3="A-220-300",'2026'!$I$4="CA",'2026'!$I$2=AY195),'2026DATA'!$H$33,"")</f>
        <v/>
      </c>
      <c r="AZ226" s="518" t="str">
        <f>IF(AND(_3="A-220-300",'2026'!$I$4="CA",'2026'!$I$2=AZ195),'2026DATA'!$I$33,"")</f>
        <v/>
      </c>
      <c r="BA226" s="518" t="str">
        <f>IF(AND(_3="A-220-300",'2026'!$I$4="CA",'2026'!$I$2=BA195),'2026DATA'!$J$33,"")</f>
        <v/>
      </c>
      <c r="BB226" s="518" t="str">
        <f>IF(AND(_3="A-220-300",'2026'!$I$4="CA",'2026'!$I$2=BB195),'2026DATA'!$K$33,"")</f>
        <v/>
      </c>
      <c r="BC226" s="518" t="str">
        <f>IF(AND(_3="A-220-300",'2026'!$I$4="CA",'2026'!$I$2=BC195),'2026DATA'!$L$33,"")</f>
        <v/>
      </c>
      <c r="BD226" s="518" t="str">
        <f>IF(AND(_3="A-220-300",'2026'!$I$4="CA",'2026'!$I$2=BD195),'2026DATA'!$M$33,"")</f>
        <v/>
      </c>
      <c r="BE226" s="520" t="str">
        <f>IF(AND(_3="A-220-300",'2026'!$I$4="CA",'2026'!$I$2=BE195),'2026DATA'!$N$33,"")</f>
        <v/>
      </c>
      <c r="BF226" s="940" t="s">
        <v>51</v>
      </c>
      <c r="BG226" s="13" t="s">
        <v>61</v>
      </c>
      <c r="BH226" s="518" t="str">
        <f>IF(AND(_4="A-220-300",'2026'!$I$4="CA",'2026'!$I$2=BH195),'2026DATA'!$C$33,"")</f>
        <v/>
      </c>
      <c r="BI226" s="518" t="str">
        <f>IF(AND(_4="A-220-300",'2026'!$I$4="CA",'2026'!$I$2=BI195),'2026DATA'!$D$33,"")</f>
        <v/>
      </c>
      <c r="BJ226" s="518" t="str">
        <f>IF(AND(_4="A-220-300",'2026'!$I$4="CA",'2026'!$I$2=BJ195),'2026DATA'!$E$33,"")</f>
        <v/>
      </c>
      <c r="BK226" s="518" t="str">
        <f>IF(AND(_4="A-220-300",'2026'!$I$4="CA",'2026'!$I$2=BK195),'2026DATA'!$F$33,"")</f>
        <v/>
      </c>
      <c r="BL226" s="518" t="str">
        <f>IF(AND(_4="A-220-300",'2026'!$I$4="CA",'2026'!$I$2=BL195),'2026DATA'!$G$33,"")</f>
        <v/>
      </c>
      <c r="BM226" s="518" t="str">
        <f>IF(AND(_4="A-220-300",'2026'!$I$4="CA",'2026'!$I$2=BM195),'2026DATA'!$H$33,"")</f>
        <v/>
      </c>
      <c r="BN226" s="518" t="str">
        <f>IF(AND(_4="A-220-300",'2026'!$I$4="CA",'2026'!$I$2=BN195),'2026DATA'!$I$33,"")</f>
        <v/>
      </c>
      <c r="BO226" s="518" t="str">
        <f>IF(AND(_4="A-220-300",'2026'!$I$4="CA",'2026'!$I$2=BO195),'2026DATA'!$J$33,"")</f>
        <v/>
      </c>
      <c r="BP226" s="518" t="str">
        <f>IF(AND(_4="A-220-300",'2026'!$I$4="CA",'2026'!$I$2=BP195),'2026DATA'!$K$33,"")</f>
        <v/>
      </c>
      <c r="BQ226" s="518" t="str">
        <f>IF(AND(_4="A-220-300",'2026'!$I$4="CA",'2026'!$I$2=BQ195),'2026DATA'!$L$33,"")</f>
        <v/>
      </c>
      <c r="BR226" s="518" t="str">
        <f>IF(AND(_4="A-220-300",'2026'!$I$4="CA",'2026'!$I$2=BR195),'2026DATA'!$M$33,"")</f>
        <v/>
      </c>
      <c r="BS226" s="520" t="str">
        <f>IF(AND(_4="A-220-300",'2026'!$I$4="CA",'2026'!$I$2=BS195),'2026DATA'!$N$33,"")</f>
        <v/>
      </c>
      <c r="BT226" s="940" t="s">
        <v>51</v>
      </c>
      <c r="BU226" s="13" t="s">
        <v>61</v>
      </c>
      <c r="BV226" s="518" t="str">
        <f>IF(AND(_5="A-220-300",'2026'!$I$4="CA",'2026'!$I$2=BV195),'2026DATA'!$C$33,"")</f>
        <v/>
      </c>
      <c r="BW226" s="518" t="str">
        <f>IF(AND(_5="A-220-300",'2026'!$I$4="CA",'2026'!$I$2=BW195),'2026DATA'!$D$33,"")</f>
        <v/>
      </c>
      <c r="BX226" s="518" t="str">
        <f>IF(AND(_5="A-220-300",'2026'!$I$4="CA",'2026'!$I$2=BX195),'2026DATA'!$E$33,"")</f>
        <v/>
      </c>
      <c r="BY226" s="518" t="str">
        <f>IF(AND(_5="A-220-300",'2026'!$I$4="CA",'2026'!$I$2=BY195),'2026DATA'!$F$33,"")</f>
        <v/>
      </c>
      <c r="BZ226" s="518" t="str">
        <f>IF(AND(_5="A-220-300",'2026'!$I$4="CA",'2026'!$I$2=BZ195),'2026DATA'!$G$33,"")</f>
        <v/>
      </c>
      <c r="CA226" s="518" t="str">
        <f>IF(AND(_5="A-220-300",'2026'!$I$4="CA",'2026'!$I$2=CA195),'2026DATA'!$H$33,"")</f>
        <v/>
      </c>
      <c r="CB226" s="518" t="str">
        <f>IF(AND(_5="A-220-300",'2026'!$I$4="CA",'2026'!$I$2=CB195),'2026DATA'!$I$33,"")</f>
        <v/>
      </c>
      <c r="CC226" s="518" t="str">
        <f>IF(AND(_5="A-220-300",'2026'!$I$4="CA",'2026'!$I$2=CC195),'2026DATA'!$J$33,"")</f>
        <v/>
      </c>
      <c r="CD226" s="518" t="str">
        <f>IF(AND(_5="A-220-300",'2026'!$I$4="CA",'2026'!$I$2=CD195),'2026DATA'!$K$33,"")</f>
        <v/>
      </c>
      <c r="CE226" s="518" t="str">
        <f>IF(AND(_5="A-220-300",'2026'!$I$4="CA",'2026'!$I$2=CE195),'2026DATA'!$L$33,"")</f>
        <v/>
      </c>
      <c r="CF226" s="518" t="str">
        <f>IF(AND(_5="A-220-300",'2026'!$I$4="CA",'2026'!$I$2=CF195),'2026DATA'!$M$33,"")</f>
        <v/>
      </c>
      <c r="CG226" s="520" t="str">
        <f>IF(AND(_5="A-220-300",'2026'!$I$4="CA",'2026'!$I$2=CG195),'2026DATA'!$N$33,"")</f>
        <v/>
      </c>
      <c r="CH226" s="940" t="s">
        <v>51</v>
      </c>
      <c r="CI226" s="13" t="s">
        <v>61</v>
      </c>
      <c r="CJ226" s="518" t="str">
        <f>IF(AND(_6="A-220-300",'2026'!$I$4="CA",'2026'!$I$2=CJ195),'2026DATA'!$C$33,"")</f>
        <v/>
      </c>
      <c r="CK226" s="518" t="str">
        <f>IF(AND(_6="A-220-300",'2026'!$I$4="CA",'2026'!$I$2=CK195),'2026DATA'!$D$33,"")</f>
        <v/>
      </c>
      <c r="CL226" s="518" t="str">
        <f>IF(AND(_6="A-220-300",'2026'!$I$4="CA",'2026'!$I$2=CL195),'2026DATA'!$E$33,"")</f>
        <v/>
      </c>
      <c r="CM226" s="518" t="str">
        <f>IF(AND(_6="A-220-300",'2026'!$I$4="CA",'2026'!$I$2=CM195),'2026DATA'!$F$33,"")</f>
        <v/>
      </c>
      <c r="CN226" s="518" t="str">
        <f>IF(AND(_6="A-220-300",'2026'!$I$4="CA",'2026'!$I$2=CN195),'2026DATA'!$G$33,"")</f>
        <v/>
      </c>
      <c r="CO226" s="518" t="str">
        <f>IF(AND(_6="A-220-300",'2026'!$I$4="CA",'2026'!$I$2=CO195),'2026DATA'!$H$33,"")</f>
        <v/>
      </c>
      <c r="CP226" s="518" t="str">
        <f>IF(AND(_6="A-220-300",'2026'!$I$4="CA",'2026'!$I$2=CP195),'2026DATA'!$I$33,"")</f>
        <v/>
      </c>
      <c r="CQ226" s="518" t="str">
        <f>IF(AND(_6="A-220-300",'2026'!$I$4="CA",'2026'!$I$2=CQ195),'2026DATA'!$J$33,"")</f>
        <v/>
      </c>
      <c r="CR226" s="518" t="str">
        <f>IF(AND(_6="A-220-300",'2026'!$I$4="CA",'2026'!$I$2=CR195),'2026DATA'!$K$33,"")</f>
        <v/>
      </c>
      <c r="CS226" s="518" t="str">
        <f>IF(AND(_6="A-220-300",'2026'!$I$4="CA",'2026'!$I$2=CS195),'2026DATA'!$L$33,"")</f>
        <v/>
      </c>
      <c r="CT226" s="518" t="str">
        <f>IF(AND(_6="A-220-300",'2026'!$I$4="CA",'2026'!$I$2=CT195),'2026DATA'!$M$33,"")</f>
        <v/>
      </c>
      <c r="CU226" s="520" t="str">
        <f>IF(AND(_6="A-220-300",'2026'!$I$4="CA",'2026'!$I$2=CU195),'2026DATA'!$N$33,"")</f>
        <v/>
      </c>
    </row>
    <row r="227" spans="16:99" x14ac:dyDescent="0.25">
      <c r="P227" s="940"/>
      <c r="Q227" s="13" t="s">
        <v>62</v>
      </c>
      <c r="R227" s="518" t="str">
        <f>IF(AND(_1="A-220-300",'2026'!$I$4="FO",'2026'!$I$2=R195),'2026DATA'!$C$34,"")</f>
        <v/>
      </c>
      <c r="S227" s="518" t="str">
        <f>IF(AND(_1="A-220-300",'2026'!$I$4="FO",'2026'!$I$2=S195),'2026DATA'!$D$34,"")</f>
        <v/>
      </c>
      <c r="T227" s="518" t="str">
        <f>IF(AND(_1="A-220-300",'2026'!$I$4="FO",'2026'!$I$2=T195),'2026DATA'!$E$34,"")</f>
        <v/>
      </c>
      <c r="U227" s="518" t="str">
        <f>IF(AND(_1="A-220-300",'2026'!$I$4="FO",'2026'!$I$2=U195),'2026DATA'!$F$34,"")</f>
        <v/>
      </c>
      <c r="V227" s="518" t="str">
        <f>IF(AND(_1="A-220-300",'2026'!$I$4="FO",'2026'!$I$2=V195),'2026DATA'!$G$34,"")</f>
        <v/>
      </c>
      <c r="W227" s="518" t="str">
        <f>IF(AND(_1="A-220-300",'2026'!$I$4="FO",'2026'!$I$2=W195),'2026DATA'!$H$34,"")</f>
        <v/>
      </c>
      <c r="X227" s="518" t="str">
        <f>IF(AND(_1="A-220-300",'2026'!$I$4="FO",'2026'!$I$2=X195),'2026DATA'!$I$34,"")</f>
        <v/>
      </c>
      <c r="Y227" s="518" t="str">
        <f>IF(AND(_1="A-220-300",'2026'!$I$4="FO",'2026'!$I$2=Y195),'2026DATA'!$J$34,"")</f>
        <v/>
      </c>
      <c r="Z227" s="518" t="str">
        <f>IF(AND(_1="A-220-300",'2026'!$I$4="FO",'2026'!$I$2=Z195),'2026DATA'!$K$34,"")</f>
        <v/>
      </c>
      <c r="AA227" s="518" t="str">
        <f>IF(AND(_1="A-220-300",'2026'!$I$4="FO",'2026'!$I$2=AA195),'2026DATA'!$L$34,"")</f>
        <v/>
      </c>
      <c r="AB227" s="518" t="str">
        <f>IF(AND(_1="A-220-300",'2026'!$I$4="FO",'2026'!$I$2=AB195),'2026DATA'!$M$34,"")</f>
        <v/>
      </c>
      <c r="AC227" s="520" t="str">
        <f>IF(AND(_1="A-220-300",'2026'!$I$4="FO",'2026'!$I$2=AC195),'2026DATA'!$N$34,"")</f>
        <v/>
      </c>
      <c r="AD227" s="940"/>
      <c r="AE227" s="13" t="s">
        <v>62</v>
      </c>
      <c r="AF227" s="518" t="str">
        <f>IF(AND(_2="A-220-300",'2026'!$I$4="FO",'2026'!$I$2=AF195),'2026DATA'!$C$34,"")</f>
        <v/>
      </c>
      <c r="AG227" s="518" t="str">
        <f>IF(AND(_2="A-220-300",'2026'!$I$4="FO",'2026'!$I$2=AG195),'2026DATA'!$D$34,"")</f>
        <v/>
      </c>
      <c r="AH227" s="518" t="str">
        <f>IF(AND(_2="A-220-300",'2026'!$I$4="FO",'2026'!$I$2=AH195),'2026DATA'!$E$34,"")</f>
        <v/>
      </c>
      <c r="AI227" s="518" t="str">
        <f>IF(AND(_2="A-220-300",'2026'!$I$4="FO",'2026'!$I$2=AI195),'2026DATA'!$F$34,"")</f>
        <v/>
      </c>
      <c r="AJ227" s="518" t="str">
        <f>IF(AND(_2="A-220-300",'2026'!$I$4="FO",'2026'!$I$2=AJ195),'2026DATA'!$G$34,"")</f>
        <v/>
      </c>
      <c r="AK227" s="518" t="str">
        <f>IF(AND(_2="A-220-300",'2026'!$I$4="FO",'2026'!$I$2=AK195),'2026DATA'!$H$34,"")</f>
        <v/>
      </c>
      <c r="AL227" s="518" t="str">
        <f>IF(AND(_2="A-220-300",'2026'!$I$4="FO",'2026'!$I$2=AL195),'2026DATA'!$I$34,"")</f>
        <v/>
      </c>
      <c r="AM227" s="518" t="str">
        <f>IF(AND(_2="A-220-300",'2026'!$I$4="FO",'2026'!$I$2=AM195),'2026DATA'!$J$34,"")</f>
        <v/>
      </c>
      <c r="AN227" s="518" t="str">
        <f>IF(AND(_2="A-220-300",'2026'!$I$4="FO",'2026'!$I$2=AN195),'2026DATA'!$K$34,"")</f>
        <v/>
      </c>
      <c r="AO227" s="518" t="str">
        <f>IF(AND(_2="A-220-300",'2026'!$I$4="FO",'2026'!$I$2=AO195),'2026DATA'!$L$34,"")</f>
        <v/>
      </c>
      <c r="AP227" s="518" t="str">
        <f>IF(AND(_2="A-220-300",'2026'!$I$4="FO",'2026'!$I$2=AP195),'2026DATA'!$M$34,"")</f>
        <v/>
      </c>
      <c r="AQ227" s="520" t="str">
        <f>IF(AND(_2="A-220-300",'2026'!$I$4="FO",'2026'!$I$2=AQ195),'2026DATA'!$N$34,"")</f>
        <v/>
      </c>
      <c r="AR227" s="940"/>
      <c r="AS227" s="13" t="s">
        <v>62</v>
      </c>
      <c r="AT227" s="518" t="str">
        <f>IF(AND(_3="A-220-300",'2026'!$I$4="FO",'2026'!$I$2=AT195),'2026DATA'!$C$34,"")</f>
        <v/>
      </c>
      <c r="AU227" s="518" t="str">
        <f>IF(AND(_3="A-220-300",'2026'!$I$4="FO",'2026'!$I$2=AU195),'2026DATA'!$D$34,"")</f>
        <v/>
      </c>
      <c r="AV227" s="518" t="str">
        <f>IF(AND(_3="A-220-300",'2026'!$I$4="FO",'2026'!$I$2=AV195),'2026DATA'!$E$34,"")</f>
        <v/>
      </c>
      <c r="AW227" s="518" t="str">
        <f>IF(AND(_3="A-220-300",'2026'!$I$4="FO",'2026'!$I$2=AW195),'2026DATA'!$F$34,"")</f>
        <v/>
      </c>
      <c r="AX227" s="518" t="str">
        <f>IF(AND(_3="A-220-300",'2026'!$I$4="FO",'2026'!$I$2=AX195),'2026DATA'!$G$34,"")</f>
        <v/>
      </c>
      <c r="AY227" s="518" t="str">
        <f>IF(AND(_3="A-220-300",'2026'!$I$4="FO",'2026'!$I$2=AY195),'2026DATA'!$H$34,"")</f>
        <v/>
      </c>
      <c r="AZ227" s="518" t="str">
        <f>IF(AND(_3="A-220-300",'2026'!$I$4="FO",'2026'!$I$2=AZ195),'2026DATA'!$I$34,"")</f>
        <v/>
      </c>
      <c r="BA227" s="518" t="str">
        <f>IF(AND(_3="A-220-300",'2026'!$I$4="FO",'2026'!$I$2=BA195),'2026DATA'!$J$34,"")</f>
        <v/>
      </c>
      <c r="BB227" s="518" t="str">
        <f>IF(AND(_3="A-220-300",'2026'!$I$4="FO",'2026'!$I$2=BB195),'2026DATA'!$K$34,"")</f>
        <v/>
      </c>
      <c r="BC227" s="518" t="str">
        <f>IF(AND(_3="A-220-300",'2026'!$I$4="FO",'2026'!$I$2=BC195),'2026DATA'!$L$34,"")</f>
        <v/>
      </c>
      <c r="BD227" s="518" t="str">
        <f>IF(AND(_3="A-220-300",'2026'!$I$4="FO",'2026'!$I$2=BD195),'2026DATA'!$M$34,"")</f>
        <v/>
      </c>
      <c r="BE227" s="520" t="str">
        <f>IF(AND(_3="A-220-300",'2026'!$I$4="FO",'2026'!$I$2=BE195),'2026DATA'!$N$34,"")</f>
        <v/>
      </c>
      <c r="BF227" s="940"/>
      <c r="BG227" s="13" t="s">
        <v>62</v>
      </c>
      <c r="BH227" s="518" t="str">
        <f>IF(AND(_4="A-220-300",'2026'!$I$4="FO",'2026'!$I$2=BH195),'2026DATA'!$C$34,"")</f>
        <v/>
      </c>
      <c r="BI227" s="518" t="str">
        <f>IF(AND(_4="A-220-300",'2026'!$I$4="FO",'2026'!$I$2=BI195),'2026DATA'!$D$34,"")</f>
        <v/>
      </c>
      <c r="BJ227" s="518" t="str">
        <f>IF(AND(_4="A-220-300",'2026'!$I$4="FO",'2026'!$I$2=BJ195),'2026DATA'!$E$34,"")</f>
        <v/>
      </c>
      <c r="BK227" s="518" t="str">
        <f>IF(AND(_4="A-220-300",'2026'!$I$4="FO",'2026'!$I$2=BK195),'2026DATA'!$F$34,"")</f>
        <v/>
      </c>
      <c r="BL227" s="518" t="str">
        <f>IF(AND(_4="A-220-300",'2026'!$I$4="FO",'2026'!$I$2=BL195),'2026DATA'!$G$34,"")</f>
        <v/>
      </c>
      <c r="BM227" s="518" t="str">
        <f>IF(AND(_4="A-220-300",'2026'!$I$4="FO",'2026'!$I$2=BM195),'2026DATA'!$H$34,"")</f>
        <v/>
      </c>
      <c r="BN227" s="518" t="str">
        <f>IF(AND(_4="A-220-300",'2026'!$I$4="FO",'2026'!$I$2=BN195),'2026DATA'!$I$34,"")</f>
        <v/>
      </c>
      <c r="BO227" s="518" t="str">
        <f>IF(AND(_4="A-220-300",'2026'!$I$4="FO",'2026'!$I$2=BO195),'2026DATA'!$J$34,"")</f>
        <v/>
      </c>
      <c r="BP227" s="518" t="str">
        <f>IF(AND(_4="A-220-300",'2026'!$I$4="FO",'2026'!$I$2=BP195),'2026DATA'!$K$34,"")</f>
        <v/>
      </c>
      <c r="BQ227" s="518" t="str">
        <f>IF(AND(_4="A-220-300",'2026'!$I$4="FO",'2026'!$I$2=BQ195),'2026DATA'!$L$34,"")</f>
        <v/>
      </c>
      <c r="BR227" s="518" t="str">
        <f>IF(AND(_4="A-220-300",'2026'!$I$4="FO",'2026'!$I$2=BR195),'2026DATA'!$M$34,"")</f>
        <v/>
      </c>
      <c r="BS227" s="520" t="str">
        <f>IF(AND(_4="A-220-300",'2026'!$I$4="FO",'2026'!$I$2=BS195),'2026DATA'!$N$34,"")</f>
        <v/>
      </c>
      <c r="BT227" s="940"/>
      <c r="BU227" s="13" t="s">
        <v>62</v>
      </c>
      <c r="BV227" s="518" t="str">
        <f>IF(AND(_5="A-220-300",'2026'!$I$4="FO",'2026'!$I$2=BV195),'2026DATA'!$C$34,"")</f>
        <v/>
      </c>
      <c r="BW227" s="518" t="str">
        <f>IF(AND(_5="A-220-300",'2026'!$I$4="FO",'2026'!$I$2=BW195),'2026DATA'!$D$34,"")</f>
        <v/>
      </c>
      <c r="BX227" s="518" t="str">
        <f>IF(AND(_5="A-220-300",'2026'!$I$4="FO",'2026'!$I$2=BX195),'2026DATA'!$E$34,"")</f>
        <v/>
      </c>
      <c r="BY227" s="518" t="str">
        <f>IF(AND(_5="A-220-300",'2026'!$I$4="FO",'2026'!$I$2=BY195),'2026DATA'!$F$34,"")</f>
        <v/>
      </c>
      <c r="BZ227" s="518" t="str">
        <f>IF(AND(_5="A-220-300",'2026'!$I$4="FO",'2026'!$I$2=BZ195),'2026DATA'!$G$34,"")</f>
        <v/>
      </c>
      <c r="CA227" s="518" t="str">
        <f>IF(AND(_5="A-220-300",'2026'!$I$4="FO",'2026'!$I$2=CA195),'2026DATA'!$H$34,"")</f>
        <v/>
      </c>
      <c r="CB227" s="518" t="str">
        <f>IF(AND(_5="A-220-300",'2026'!$I$4="FO",'2026'!$I$2=CB195),'2026DATA'!$I$34,"")</f>
        <v/>
      </c>
      <c r="CC227" s="518" t="str">
        <f>IF(AND(_5="A-220-300",'2026'!$I$4="FO",'2026'!$I$2=CC195),'2026DATA'!$J$34,"")</f>
        <v/>
      </c>
      <c r="CD227" s="518" t="str">
        <f>IF(AND(_5="A-220-300",'2026'!$I$4="FO",'2026'!$I$2=CD195),'2026DATA'!$K$34,"")</f>
        <v/>
      </c>
      <c r="CE227" s="518" t="str">
        <f>IF(AND(_5="A-220-300",'2026'!$I$4="FO",'2026'!$I$2=CE195),'2026DATA'!$L$34,"")</f>
        <v/>
      </c>
      <c r="CF227" s="518" t="str">
        <f>IF(AND(_5="A-220-300",'2026'!$I$4="FO",'2026'!$I$2=CF195),'2026DATA'!$M$34,"")</f>
        <v/>
      </c>
      <c r="CG227" s="520" t="str">
        <f>IF(AND(_5="A-220-300",'2026'!$I$4="FO",'2026'!$I$2=CG195),'2026DATA'!$N$34,"")</f>
        <v/>
      </c>
      <c r="CH227" s="940"/>
      <c r="CI227" s="13" t="s">
        <v>62</v>
      </c>
      <c r="CJ227" s="518" t="str">
        <f>IF(AND(_6="A-220-300",'2026'!$I$4="FO",'2026'!$I$2=CJ195),'2026DATA'!$C$34,"")</f>
        <v/>
      </c>
      <c r="CK227" s="518" t="str">
        <f>IF(AND(_6="A-220-300",'2026'!$I$4="FO",'2026'!$I$2=CK195),'2026DATA'!$D$34,"")</f>
        <v/>
      </c>
      <c r="CL227" s="518" t="str">
        <f>IF(AND(_6="A-220-300",'2026'!$I$4="FO",'2026'!$I$2=CL195),'2026DATA'!$E$34,"")</f>
        <v/>
      </c>
      <c r="CM227" s="518" t="str">
        <f>IF(AND(_6="A-220-300",'2026'!$I$4="FO",'2026'!$I$2=CM195),'2026DATA'!$F$34,"")</f>
        <v/>
      </c>
      <c r="CN227" s="518" t="str">
        <f>IF(AND(_6="A-220-300",'2026'!$I$4="FO",'2026'!$I$2=CN195),'2026DATA'!$G$34,"")</f>
        <v/>
      </c>
      <c r="CO227" s="518" t="str">
        <f>IF(AND(_6="A-220-300",'2026'!$I$4="FO",'2026'!$I$2=CO195),'2026DATA'!$H$34,"")</f>
        <v/>
      </c>
      <c r="CP227" s="518" t="str">
        <f>IF(AND(_6="A-220-300",'2026'!$I$4="FO",'2026'!$I$2=CP195),'2026DATA'!$I$34,"")</f>
        <v/>
      </c>
      <c r="CQ227" s="518" t="str">
        <f>IF(AND(_6="A-220-300",'2026'!$I$4="FO",'2026'!$I$2=CQ195),'2026DATA'!$J$34,"")</f>
        <v/>
      </c>
      <c r="CR227" s="518" t="str">
        <f>IF(AND(_6="A-220-300",'2026'!$I$4="FO",'2026'!$I$2=CR195),'2026DATA'!$K$34,"")</f>
        <v/>
      </c>
      <c r="CS227" s="518" t="str">
        <f>IF(AND(_6="A-220-300",'2026'!$I$4="FO",'2026'!$I$2=CS195),'2026DATA'!$L$34,"")</f>
        <v/>
      </c>
      <c r="CT227" s="518" t="str">
        <f>IF(AND(_6="A-220-300",'2026'!$I$4="FO",'2026'!$I$2=CT195),'2026DATA'!$M$34,"")</f>
        <v/>
      </c>
      <c r="CU227" s="520" t="str">
        <f>IF(AND(_6="A-220-300",'2026'!$I$4="FO",'2026'!$I$2=CU195),'2026DATA'!$N$34,"")</f>
        <v/>
      </c>
    </row>
    <row r="228" spans="16:99" x14ac:dyDescent="0.25">
      <c r="P228" s="940" t="s">
        <v>52</v>
      </c>
      <c r="Q228" s="13" t="s">
        <v>61</v>
      </c>
      <c r="R228" s="518" t="str">
        <f>IF(AND(_1="A-220-100",'2026'!$I$4="CA",'2026'!$I$2=R195),'2026DATA'!$C$35,"")</f>
        <v/>
      </c>
      <c r="S228" s="518" t="str">
        <f>IF(AND(_1="A-220-100",'2026'!$I$4="CA",'2026'!$I$2=S195),'2026DATA'!$D$35,"")</f>
        <v/>
      </c>
      <c r="T228" s="518" t="str">
        <f>IF(AND(_1="A-220-100",'2026'!$I$4="CA",'2026'!$I$2=T195),'2026DATA'!$E$35,"")</f>
        <v/>
      </c>
      <c r="U228" s="518" t="str">
        <f>IF(AND(_1="A-220-100",'2026'!$I$4="CA",'2026'!$I$2=U195),'2026DATA'!$F$35,"")</f>
        <v/>
      </c>
      <c r="V228" s="518" t="str">
        <f>IF(AND(_1="A-220-100",'2026'!$I$4="CA",'2026'!$I$2=V195),'2026DATA'!$G$35,"")</f>
        <v/>
      </c>
      <c r="W228" s="518" t="str">
        <f>IF(AND(_1="A-220-100",'2026'!$I$4="CA",'2026'!$I$2=W195),'2026DATA'!$H$35,"")</f>
        <v/>
      </c>
      <c r="X228" s="518" t="str">
        <f>IF(AND(_1="A-220-100",'2026'!$I$4="CA",'2026'!$I$2=X195),'2026DATA'!$I$35,"")</f>
        <v/>
      </c>
      <c r="Y228" s="518" t="str">
        <f>IF(AND(_1="A-220-100",'2026'!$I$4="CA",'2026'!$I$2=Y195),'2026DATA'!$J$35,"")</f>
        <v/>
      </c>
      <c r="Z228" s="518" t="str">
        <f>IF(AND(_1="A-220-100",'2026'!$I$4="CA",'2026'!$I$2=Z195),'2026DATA'!$K$35,"")</f>
        <v/>
      </c>
      <c r="AA228" s="518" t="str">
        <f>IF(AND(_1="A-220-100",'2026'!$I$4="CA",'2026'!$I$2=AA195),'2026DATA'!$L$35,"")</f>
        <v/>
      </c>
      <c r="AB228" s="518" t="str">
        <f>IF(AND(_1="A-220-100",'2026'!$I$4="CA",'2026'!$I$2=AB195),'2026DATA'!$M$35,"")</f>
        <v/>
      </c>
      <c r="AC228" s="520" t="str">
        <f>IF(AND(_1="A-220-100",'2026'!$I$4="CA",'2026'!$I$2=AC195),'2026DATA'!$N$35,"")</f>
        <v/>
      </c>
      <c r="AD228" s="940" t="s">
        <v>52</v>
      </c>
      <c r="AE228" s="13" t="s">
        <v>61</v>
      </c>
      <c r="AF228" s="518" t="str">
        <f>IF(AND(_2="A-220-100",'2026'!$I$4="CA",'2026'!$I$2=AF195),'2026DATA'!$C$35,"")</f>
        <v/>
      </c>
      <c r="AG228" s="518" t="str">
        <f>IF(AND(_2="A-220-100",'2026'!$I$4="CA",'2026'!$I$2=AG195),'2026DATA'!$D$35,"")</f>
        <v/>
      </c>
      <c r="AH228" s="518" t="str">
        <f>IF(AND(_2="A-220-100",'2026'!$I$4="CA",'2026'!$I$2=AH195),'2026DATA'!$E$35,"")</f>
        <v/>
      </c>
      <c r="AI228" s="518" t="str">
        <f>IF(AND(_2="A-220-100",'2026'!$I$4="CA",'2026'!$I$2=AI195),'2026DATA'!$F$35,"")</f>
        <v/>
      </c>
      <c r="AJ228" s="518" t="str">
        <f>IF(AND(_2="A-220-100",'2026'!$I$4="CA",'2026'!$I$2=AJ195),'2026DATA'!$G$35,"")</f>
        <v/>
      </c>
      <c r="AK228" s="518" t="str">
        <f>IF(AND(_2="A-220-100",'2026'!$I$4="CA",'2026'!$I$2=AK195),'2026DATA'!$H$35,"")</f>
        <v/>
      </c>
      <c r="AL228" s="518" t="str">
        <f>IF(AND(_2="A-220-100",'2026'!$I$4="CA",'2026'!$I$2=AL195),'2026DATA'!$I$35,"")</f>
        <v/>
      </c>
      <c r="AM228" s="518" t="str">
        <f>IF(AND(_2="A-220-100",'2026'!$I$4="CA",'2026'!$I$2=AM195),'2026DATA'!$J$35,"")</f>
        <v/>
      </c>
      <c r="AN228" s="518" t="str">
        <f>IF(AND(_2="A-220-100",'2026'!$I$4="CA",'2026'!$I$2=AN195),'2026DATA'!$K$35,"")</f>
        <v/>
      </c>
      <c r="AO228" s="518" t="str">
        <f>IF(AND(_2="A-220-100",'2026'!$I$4="CA",'2026'!$I$2=AO195),'2026DATA'!$L$35,"")</f>
        <v/>
      </c>
      <c r="AP228" s="518" t="str">
        <f>IF(AND(_2="A-220-100",'2026'!$I$4="CA",'2026'!$I$2=AP195),'2026DATA'!$M$35,"")</f>
        <v/>
      </c>
      <c r="AQ228" s="520" t="str">
        <f>IF(AND(_2="A-220-100",'2026'!$I$4="CA",'2026'!$I$2=AQ195),'2026DATA'!$N$35,"")</f>
        <v/>
      </c>
      <c r="AR228" s="940" t="s">
        <v>52</v>
      </c>
      <c r="AS228" s="13" t="s">
        <v>61</v>
      </c>
      <c r="AT228" s="518" t="str">
        <f>IF(AND(_3="A-220-100",'2026'!$I$4="CA",'2026'!$I$2=AT195),'2026DATA'!$C$35,"")</f>
        <v/>
      </c>
      <c r="AU228" s="518" t="str">
        <f>IF(AND(_3="A-220-100",'2026'!$I$4="CA",'2026'!$I$2=AU195),'2026DATA'!$D$35,"")</f>
        <v/>
      </c>
      <c r="AV228" s="518" t="str">
        <f>IF(AND(_3="A-220-100",'2026'!$I$4="CA",'2026'!$I$2=AV195),'2026DATA'!$E$35,"")</f>
        <v/>
      </c>
      <c r="AW228" s="518" t="str">
        <f>IF(AND(_3="A-220-100",'2026'!$I$4="CA",'2026'!$I$2=AW195),'2026DATA'!$F$35,"")</f>
        <v/>
      </c>
      <c r="AX228" s="518" t="str">
        <f>IF(AND(_3="A-220-100",'2026'!$I$4="CA",'2026'!$I$2=AX195),'2026DATA'!$G$35,"")</f>
        <v/>
      </c>
      <c r="AY228" s="518" t="str">
        <f>IF(AND(_3="A-220-100",'2026'!$I$4="CA",'2026'!$I$2=AY195),'2026DATA'!$H$35,"")</f>
        <v/>
      </c>
      <c r="AZ228" s="518" t="str">
        <f>IF(AND(_3="A-220-100",'2026'!$I$4="CA",'2026'!$I$2=AZ195),'2026DATA'!$I$35,"")</f>
        <v/>
      </c>
      <c r="BA228" s="518" t="str">
        <f>IF(AND(_3="A-220-100",'2026'!$I$4="CA",'2026'!$I$2=BA195),'2026DATA'!$J$35,"")</f>
        <v/>
      </c>
      <c r="BB228" s="518" t="str">
        <f>IF(AND(_3="A-220-100",'2026'!$I$4="CA",'2026'!$I$2=BB195),'2026DATA'!$K$35,"")</f>
        <v/>
      </c>
      <c r="BC228" s="518" t="str">
        <f>IF(AND(_3="A-220-100",'2026'!$I$4="CA",'2026'!$I$2=BC195),'2026DATA'!$L$35,"")</f>
        <v/>
      </c>
      <c r="BD228" s="518" t="str">
        <f>IF(AND(_3="A-220-100",'2026'!$I$4="CA",'2026'!$I$2=BD195),'2026DATA'!$M$35,"")</f>
        <v/>
      </c>
      <c r="BE228" s="520" t="str">
        <f>IF(AND(_3="A-220-100",'2026'!$I$4="CA",'2026'!$I$2=BE195),'2026DATA'!$N$35,"")</f>
        <v/>
      </c>
      <c r="BF228" s="940" t="s">
        <v>52</v>
      </c>
      <c r="BG228" s="13" t="s">
        <v>61</v>
      </c>
      <c r="BH228" s="518" t="str">
        <f>IF(AND(_4="A-220-100",'2026'!$I$4="CA",'2026'!$I$2=BH195),'2026DATA'!$C$35,"")</f>
        <v/>
      </c>
      <c r="BI228" s="518" t="str">
        <f>IF(AND(_4="A-220-100",'2026'!$I$4="CA",'2026'!$I$2=BI195),'2026DATA'!$D$35,"")</f>
        <v/>
      </c>
      <c r="BJ228" s="518" t="str">
        <f>IF(AND(_4="A-220-100",'2026'!$I$4="CA",'2026'!$I$2=BJ195),'2026DATA'!$E$35,"")</f>
        <v/>
      </c>
      <c r="BK228" s="518" t="str">
        <f>IF(AND(_4="A-220-100",'2026'!$I$4="CA",'2026'!$I$2=BK195),'2026DATA'!$F$35,"")</f>
        <v/>
      </c>
      <c r="BL228" s="518" t="str">
        <f>IF(AND(_4="A-220-100",'2026'!$I$4="CA",'2026'!$I$2=BL195),'2026DATA'!$G$35,"")</f>
        <v/>
      </c>
      <c r="BM228" s="518" t="str">
        <f>IF(AND(_4="A-220-100",'2026'!$I$4="CA",'2026'!$I$2=BM195),'2026DATA'!$H$35,"")</f>
        <v/>
      </c>
      <c r="BN228" s="518" t="str">
        <f>IF(AND(_4="A-220-100",'2026'!$I$4="CA",'2026'!$I$2=BN195),'2026DATA'!$I$35,"")</f>
        <v/>
      </c>
      <c r="BO228" s="518" t="str">
        <f>IF(AND(_4="A-220-100",'2026'!$I$4="CA",'2026'!$I$2=BO195),'2026DATA'!$J$35,"")</f>
        <v/>
      </c>
      <c r="BP228" s="518" t="str">
        <f>IF(AND(_4="A-220-100",'2026'!$I$4="CA",'2026'!$I$2=BP195),'2026DATA'!$K$35,"")</f>
        <v/>
      </c>
      <c r="BQ228" s="518" t="str">
        <f>IF(AND(_4="A-220-100",'2026'!$I$4="CA",'2026'!$I$2=BQ195),'2026DATA'!$L$35,"")</f>
        <v/>
      </c>
      <c r="BR228" s="518" t="str">
        <f>IF(AND(_4="A-220-100",'2026'!$I$4="CA",'2026'!$I$2=BR195),'2026DATA'!$M$35,"")</f>
        <v/>
      </c>
      <c r="BS228" s="520" t="str">
        <f>IF(AND(_4="A-220-100",'2026'!$I$4="CA",'2026'!$I$2=BS195),'2026DATA'!$N$35,"")</f>
        <v/>
      </c>
      <c r="BT228" s="940" t="s">
        <v>52</v>
      </c>
      <c r="BU228" s="13" t="s">
        <v>61</v>
      </c>
      <c r="BV228" s="518" t="str">
        <f>IF(AND(_5="A-220-100",'2026'!$I$4="CA",'2026'!$I$2=BV195),'2026DATA'!$C$35,"")</f>
        <v/>
      </c>
      <c r="BW228" s="518" t="str">
        <f>IF(AND(_5="A-220-100",'2026'!$I$4="CA",'2026'!$I$2=BW195),'2026DATA'!$D$35,"")</f>
        <v/>
      </c>
      <c r="BX228" s="518" t="str">
        <f>IF(AND(_5="A-220-100",'2026'!$I$4="CA",'2026'!$I$2=BX195),'2026DATA'!$E$35,"")</f>
        <v/>
      </c>
      <c r="BY228" s="518" t="str">
        <f>IF(AND(_5="A-220-100",'2026'!$I$4="CA",'2026'!$I$2=BY195),'2026DATA'!$F$35,"")</f>
        <v/>
      </c>
      <c r="BZ228" s="518" t="str">
        <f>IF(AND(_5="A-220-100",'2026'!$I$4="CA",'2026'!$I$2=BZ195),'2026DATA'!$G$35,"")</f>
        <v/>
      </c>
      <c r="CA228" s="518" t="str">
        <f>IF(AND(_5="A-220-100",'2026'!$I$4="CA",'2026'!$I$2=CA195),'2026DATA'!$H$35,"")</f>
        <v/>
      </c>
      <c r="CB228" s="518" t="str">
        <f>IF(AND(_5="A-220-100",'2026'!$I$4="CA",'2026'!$I$2=CB195),'2026DATA'!$I$35,"")</f>
        <v/>
      </c>
      <c r="CC228" s="518" t="str">
        <f>IF(AND(_5="A-220-100",'2026'!$I$4="CA",'2026'!$I$2=CC195),'2026DATA'!$J$35,"")</f>
        <v/>
      </c>
      <c r="CD228" s="518" t="str">
        <f>IF(AND(_5="A-220-100",'2026'!$I$4="CA",'2026'!$I$2=CD195),'2026DATA'!$K$35,"")</f>
        <v/>
      </c>
      <c r="CE228" s="518" t="str">
        <f>IF(AND(_5="A-220-100",'2026'!$I$4="CA",'2026'!$I$2=CE195),'2026DATA'!$L$35,"")</f>
        <v/>
      </c>
      <c r="CF228" s="518" t="str">
        <f>IF(AND(_5="A-220-100",'2026'!$I$4="CA",'2026'!$I$2=CF195),'2026DATA'!$M$35,"")</f>
        <v/>
      </c>
      <c r="CG228" s="520" t="str">
        <f>IF(AND(_5="A-220-100",'2026'!$I$4="CA",'2026'!$I$2=CG195),'2026DATA'!$N$35,"")</f>
        <v/>
      </c>
      <c r="CH228" s="940" t="s">
        <v>52</v>
      </c>
      <c r="CI228" s="13" t="s">
        <v>61</v>
      </c>
      <c r="CJ228" s="518" t="str">
        <f>IF(AND(_6="A-220-100",'2026'!$I$4="CA",'2026'!$I$2=CJ195),'2026DATA'!$C$35,"")</f>
        <v/>
      </c>
      <c r="CK228" s="518" t="str">
        <f>IF(AND(_6="A-220-100",'2026'!$I$4="CA",'2026'!$I$2=CK195),'2026DATA'!$D$35,"")</f>
        <v/>
      </c>
      <c r="CL228" s="518" t="str">
        <f>IF(AND(_6="A-220-100",'2026'!$I$4="CA",'2026'!$I$2=CL195),'2026DATA'!$E$35,"")</f>
        <v/>
      </c>
      <c r="CM228" s="518" t="str">
        <f>IF(AND(_6="A-220-100",'2026'!$I$4="CA",'2026'!$I$2=CM195),'2026DATA'!$F$35,"")</f>
        <v/>
      </c>
      <c r="CN228" s="518" t="str">
        <f>IF(AND(_6="A-220-100",'2026'!$I$4="CA",'2026'!$I$2=CN195),'2026DATA'!$G$35,"")</f>
        <v/>
      </c>
      <c r="CO228" s="518" t="str">
        <f>IF(AND(_6="A-220-100",'2026'!$I$4="CA",'2026'!$I$2=CO195),'2026DATA'!$H$35,"")</f>
        <v/>
      </c>
      <c r="CP228" s="518" t="str">
        <f>IF(AND(_6="A-220-100",'2026'!$I$4="CA",'2026'!$I$2=CP195),'2026DATA'!$I$35,"")</f>
        <v/>
      </c>
      <c r="CQ228" s="518" t="str">
        <f>IF(AND(_6="A-220-100",'2026'!$I$4="CA",'2026'!$I$2=CQ195),'2026DATA'!$J$35,"")</f>
        <v/>
      </c>
      <c r="CR228" s="518" t="str">
        <f>IF(AND(_6="A-220-100",'2026'!$I$4="CA",'2026'!$I$2=CR195),'2026DATA'!$K$35,"")</f>
        <v/>
      </c>
      <c r="CS228" s="518" t="str">
        <f>IF(AND(_6="A-220-100",'2026'!$I$4="CA",'2026'!$I$2=CS195),'2026DATA'!$L$35,"")</f>
        <v/>
      </c>
      <c r="CT228" s="518" t="str">
        <f>IF(AND(_6="A-220-100",'2026'!$I$4="CA",'2026'!$I$2=CT195),'2026DATA'!$M$35,"")</f>
        <v/>
      </c>
      <c r="CU228" s="520" t="str">
        <f>IF(AND(_6="A-220-100",'2026'!$I$4="CA",'2026'!$I$2=CU195),'2026DATA'!$N$35,"")</f>
        <v/>
      </c>
    </row>
    <row r="229" spans="16:99" x14ac:dyDescent="0.25">
      <c r="P229" s="940"/>
      <c r="Q229" s="13" t="s">
        <v>62</v>
      </c>
      <c r="R229" s="518" t="str">
        <f>IF(AND(_1="A-220-100",'2026'!$I$4="FO",'2026'!$I$2=R195),'2026DATA'!$C$36,"")</f>
        <v/>
      </c>
      <c r="S229" s="518" t="str">
        <f>IF(AND(_1="A-220-100",'2026'!$I$4="FO",'2026'!$I$2=S195),'2026DATA'!$D$36,"")</f>
        <v/>
      </c>
      <c r="T229" s="518" t="str">
        <f>IF(AND(_1="A-220-100",'2026'!$I$4="FO",'2026'!$I$2=T195),'2026DATA'!$E$36,"")</f>
        <v/>
      </c>
      <c r="U229" s="518" t="str">
        <f>IF(AND(_1="A-220-100",'2026'!$I$4="FO",'2026'!$I$2=U195),'2026DATA'!$F$36,"")</f>
        <v/>
      </c>
      <c r="V229" s="518" t="str">
        <f>IF(AND(_1="A-220-100",'2026'!$I$4="FO",'2026'!$I$2=V195),'2026DATA'!$G$36,"")</f>
        <v/>
      </c>
      <c r="W229" s="518" t="str">
        <f>IF(AND(_1="A-220-100",'2026'!$I$4="FO",'2026'!$I$2=W195),'2026DATA'!$H$36,"")</f>
        <v/>
      </c>
      <c r="X229" s="518" t="str">
        <f>IF(AND(_1="A-220-100",'2026'!$I$4="FO",'2026'!$I$2=X195),'2026DATA'!$I$36,"")</f>
        <v/>
      </c>
      <c r="Y229" s="518" t="str">
        <f>IF(AND(_1="A-220-100",'2026'!$I$4="FO",'2026'!$I$2=Y195),'2026DATA'!$J$36,"")</f>
        <v/>
      </c>
      <c r="Z229" s="518" t="str">
        <f>IF(AND(_1="A-220-100",'2026'!$I$4="FO",'2026'!$I$2=Z195),'2026DATA'!$K$36,"")</f>
        <v/>
      </c>
      <c r="AA229" s="518" t="str">
        <f>IF(AND(_1="A-220-100",'2026'!$I$4="FO",'2026'!$I$2=AA195),'2026DATA'!$L$36,"")</f>
        <v/>
      </c>
      <c r="AB229" s="518" t="str">
        <f>IF(AND(_1="A-220-100",'2026'!$I$4="FO",'2026'!$I$2=AB195),'2026DATA'!$M$36,"")</f>
        <v/>
      </c>
      <c r="AC229" s="520" t="str">
        <f>IF(AND(_1="A-220-100",'2026'!$I$4="FO",'2026'!$I$2=AC195),'2026DATA'!$N$36,"")</f>
        <v/>
      </c>
      <c r="AD229" s="940"/>
      <c r="AE229" s="13" t="s">
        <v>62</v>
      </c>
      <c r="AF229" s="518" t="str">
        <f>IF(AND(_2="A-220-100",'2026'!$I$4="FO",'2026'!$I$2=AF195),'2026DATA'!$C$36,"")</f>
        <v/>
      </c>
      <c r="AG229" s="518" t="str">
        <f>IF(AND(_2="A-220-100",'2026'!$I$4="FO",'2026'!$I$2=AG195),'2026DATA'!$D$36,"")</f>
        <v/>
      </c>
      <c r="AH229" s="518" t="str">
        <f>IF(AND(_2="A-220-100",'2026'!$I$4="FO",'2026'!$I$2=AH195),'2026DATA'!$E$36,"")</f>
        <v/>
      </c>
      <c r="AI229" s="518" t="str">
        <f>IF(AND(_2="A-220-100",'2026'!$I$4="FO",'2026'!$I$2=AI195),'2026DATA'!$F$36,"")</f>
        <v/>
      </c>
      <c r="AJ229" s="518" t="str">
        <f>IF(AND(_2="A-220-100",'2026'!$I$4="FO",'2026'!$I$2=AJ195),'2026DATA'!$G$36,"")</f>
        <v/>
      </c>
      <c r="AK229" s="518" t="str">
        <f>IF(AND(_2="A-220-100",'2026'!$I$4="FO",'2026'!$I$2=AK195),'2026DATA'!$H$36,"")</f>
        <v/>
      </c>
      <c r="AL229" s="518" t="str">
        <f>IF(AND(_2="A-220-100",'2026'!$I$4="FO",'2026'!$I$2=AL195),'2026DATA'!$I$36,"")</f>
        <v/>
      </c>
      <c r="AM229" s="518" t="str">
        <f>IF(AND(_2="A-220-100",'2026'!$I$4="FO",'2026'!$I$2=AM195),'2026DATA'!$J$36,"")</f>
        <v/>
      </c>
      <c r="AN229" s="518" t="str">
        <f>IF(AND(_2="A-220-100",'2026'!$I$4="FO",'2026'!$I$2=AN195),'2026DATA'!$K$36,"")</f>
        <v/>
      </c>
      <c r="AO229" s="518" t="str">
        <f>IF(AND(_2="A-220-100",'2026'!$I$4="FO",'2026'!$I$2=AO195),'2026DATA'!$L$36,"")</f>
        <v/>
      </c>
      <c r="AP229" s="518" t="str">
        <f>IF(AND(_2="A-220-100",'2026'!$I$4="FO",'2026'!$I$2=AP195),'2026DATA'!$M$36,"")</f>
        <v/>
      </c>
      <c r="AQ229" s="520" t="str">
        <f>IF(AND(_2="A-220-100",'2026'!$I$4="FO",'2026'!$I$2=AQ195),'2026DATA'!$N$36,"")</f>
        <v/>
      </c>
      <c r="AR229" s="940"/>
      <c r="AS229" s="13" t="s">
        <v>62</v>
      </c>
      <c r="AT229" s="518" t="str">
        <f>IF(AND(_3="A-220-100",'2026'!$I$4="FO",'2026'!$I$2=AT195),'2026DATA'!$C$36,"")</f>
        <v/>
      </c>
      <c r="AU229" s="518" t="str">
        <f>IF(AND(_3="A-220-100",'2026'!$I$4="FO",'2026'!$I$2=AU195),'2026DATA'!$D$36,"")</f>
        <v/>
      </c>
      <c r="AV229" s="518" t="str">
        <f>IF(AND(_3="A-220-100",'2026'!$I$4="FO",'2026'!$I$2=AV195),'2026DATA'!$E$36,"")</f>
        <v/>
      </c>
      <c r="AW229" s="518" t="str">
        <f>IF(AND(_3="A-220-100",'2026'!$I$4="FO",'2026'!$I$2=AW195),'2026DATA'!$F$36,"")</f>
        <v/>
      </c>
      <c r="AX229" s="518" t="str">
        <f>IF(AND(_3="A-220-100",'2026'!$I$4="FO",'2026'!$I$2=AX195),'2026DATA'!$G$36,"")</f>
        <v/>
      </c>
      <c r="AY229" s="518" t="str">
        <f>IF(AND(_3="A-220-100",'2026'!$I$4="FO",'2026'!$I$2=AY195),'2026DATA'!$H$36,"")</f>
        <v/>
      </c>
      <c r="AZ229" s="518" t="str">
        <f>IF(AND(_3="A-220-100",'2026'!$I$4="FO",'2026'!$I$2=AZ195),'2026DATA'!$I$36,"")</f>
        <v/>
      </c>
      <c r="BA229" s="518" t="str">
        <f>IF(AND(_3="A-220-100",'2026'!$I$4="FO",'2026'!$I$2=BA195),'2026DATA'!$J$36,"")</f>
        <v/>
      </c>
      <c r="BB229" s="518" t="str">
        <f>IF(AND(_3="A-220-100",'2026'!$I$4="FO",'2026'!$I$2=BB195),'2026DATA'!$K$36,"")</f>
        <v/>
      </c>
      <c r="BC229" s="518" t="str">
        <f>IF(AND(_3="A-220-100",'2026'!$I$4="FO",'2026'!$I$2=BC195),'2026DATA'!$L$36,"")</f>
        <v/>
      </c>
      <c r="BD229" s="518" t="str">
        <f>IF(AND(_3="A-220-100",'2026'!$I$4="FO",'2026'!$I$2=BD195),'2026DATA'!$M$36,"")</f>
        <v/>
      </c>
      <c r="BE229" s="520" t="str">
        <f>IF(AND(_3="A-220-100",'2026'!$I$4="FO",'2026'!$I$2=BE195),'2026DATA'!$N$36,"")</f>
        <v/>
      </c>
      <c r="BF229" s="940"/>
      <c r="BG229" s="13" t="s">
        <v>62</v>
      </c>
      <c r="BH229" s="518" t="str">
        <f>IF(AND(_4="A-220-100",'2026'!$I$4="FO",'2026'!$I$2=BH195),'2026DATA'!$C$36,"")</f>
        <v/>
      </c>
      <c r="BI229" s="518" t="str">
        <f>IF(AND(_4="A-220-100",'2026'!$I$4="FO",'2026'!$I$2=BI195),'2026DATA'!$D$36,"")</f>
        <v/>
      </c>
      <c r="BJ229" s="518" t="str">
        <f>IF(AND(_4="A-220-100",'2026'!$I$4="FO",'2026'!$I$2=BJ195),'2026DATA'!$E$36,"")</f>
        <v/>
      </c>
      <c r="BK229" s="518" t="str">
        <f>IF(AND(_4="A-220-100",'2026'!$I$4="FO",'2026'!$I$2=BK195),'2026DATA'!$F$36,"")</f>
        <v/>
      </c>
      <c r="BL229" s="518" t="str">
        <f>IF(AND(_4="A-220-100",'2026'!$I$4="FO",'2026'!$I$2=BL195),'2026DATA'!$G$36,"")</f>
        <v/>
      </c>
      <c r="BM229" s="518" t="str">
        <f>IF(AND(_4="A-220-100",'2026'!$I$4="FO",'2026'!$I$2=BM195),'2026DATA'!$H$36,"")</f>
        <v/>
      </c>
      <c r="BN229" s="518" t="str">
        <f>IF(AND(_4="A-220-100",'2026'!$I$4="FO",'2026'!$I$2=BN195),'2026DATA'!$I$36,"")</f>
        <v/>
      </c>
      <c r="BO229" s="518" t="str">
        <f>IF(AND(_4="A-220-100",'2026'!$I$4="FO",'2026'!$I$2=BO195),'2026DATA'!$J$36,"")</f>
        <v/>
      </c>
      <c r="BP229" s="518" t="str">
        <f>IF(AND(_4="A-220-100",'2026'!$I$4="FO",'2026'!$I$2=BP195),'2026DATA'!$K$36,"")</f>
        <v/>
      </c>
      <c r="BQ229" s="518" t="str">
        <f>IF(AND(_4="A-220-100",'2026'!$I$4="FO",'2026'!$I$2=BQ195),'2026DATA'!$L$36,"")</f>
        <v/>
      </c>
      <c r="BR229" s="518" t="str">
        <f>IF(AND(_4="A-220-100",'2026'!$I$4="FO",'2026'!$I$2=BR195),'2026DATA'!$M$36,"")</f>
        <v/>
      </c>
      <c r="BS229" s="520" t="str">
        <f>IF(AND(_4="A-220-100",'2026'!$I$4="FO",'2026'!$I$2=BS195),'2026DATA'!$N$36,"")</f>
        <v/>
      </c>
      <c r="BT229" s="940"/>
      <c r="BU229" s="13" t="s">
        <v>62</v>
      </c>
      <c r="BV229" s="518" t="str">
        <f>IF(AND(_5="A-220-100",'2026'!$I$4="FO",'2026'!$I$2=BV195),'2026DATA'!$C$36,"")</f>
        <v/>
      </c>
      <c r="BW229" s="518" t="str">
        <f>IF(AND(_5="A-220-100",'2026'!$I$4="FO",'2026'!$I$2=BW195),'2026DATA'!$D$36,"")</f>
        <v/>
      </c>
      <c r="BX229" s="518" t="str">
        <f>IF(AND(_5="A-220-100",'2026'!$I$4="FO",'2026'!$I$2=BX195),'2026DATA'!$E$36,"")</f>
        <v/>
      </c>
      <c r="BY229" s="518" t="str">
        <f>IF(AND(_5="A-220-100",'2026'!$I$4="FO",'2026'!$I$2=BY195),'2026DATA'!$F$36,"")</f>
        <v/>
      </c>
      <c r="BZ229" s="518" t="str">
        <f>IF(AND(_5="A-220-100",'2026'!$I$4="FO",'2026'!$I$2=BZ195),'2026DATA'!$G$36,"")</f>
        <v/>
      </c>
      <c r="CA229" s="518" t="str">
        <f>IF(AND(_5="A-220-100",'2026'!$I$4="FO",'2026'!$I$2=CA195),'2026DATA'!$H$36,"")</f>
        <v/>
      </c>
      <c r="CB229" s="518" t="str">
        <f>IF(AND(_5="A-220-100",'2026'!$I$4="FO",'2026'!$I$2=CB195),'2026DATA'!$I$36,"")</f>
        <v/>
      </c>
      <c r="CC229" s="518" t="str">
        <f>IF(AND(_5="A-220-100",'2026'!$I$4="FO",'2026'!$I$2=CC195),'2026DATA'!$J$36,"")</f>
        <v/>
      </c>
      <c r="CD229" s="518" t="str">
        <f>IF(AND(_5="A-220-100",'2026'!$I$4="FO",'2026'!$I$2=CD195),'2026DATA'!$K$36,"")</f>
        <v/>
      </c>
      <c r="CE229" s="518" t="str">
        <f>IF(AND(_5="A-220-100",'2026'!$I$4="FO",'2026'!$I$2=CE195),'2026DATA'!$L$36,"")</f>
        <v/>
      </c>
      <c r="CF229" s="518" t="str">
        <f>IF(AND(_5="A-220-100",'2026'!$I$4="FO",'2026'!$I$2=CF195),'2026DATA'!$M$36,"")</f>
        <v/>
      </c>
      <c r="CG229" s="520" t="str">
        <f>IF(AND(_5="A-220-100",'2026'!$I$4="FO",'2026'!$I$2=CG195),'2026DATA'!$N$36,"")</f>
        <v/>
      </c>
      <c r="CH229" s="940"/>
      <c r="CI229" s="13" t="s">
        <v>62</v>
      </c>
      <c r="CJ229" s="518" t="str">
        <f>IF(AND(_6="A-220-100",'2026'!$I$4="FO",'2026'!$I$2=CJ195),'2026DATA'!$C$36,"")</f>
        <v/>
      </c>
      <c r="CK229" s="518" t="str">
        <f>IF(AND(_6="A-220-100",'2026'!$I$4="FO",'2026'!$I$2=CK195),'2026DATA'!$D$36,"")</f>
        <v/>
      </c>
      <c r="CL229" s="518" t="str">
        <f>IF(AND(_6="A-220-100",'2026'!$I$4="FO",'2026'!$I$2=CL195),'2026DATA'!$E$36,"")</f>
        <v/>
      </c>
      <c r="CM229" s="518" t="str">
        <f>IF(AND(_6="A-220-100",'2026'!$I$4="FO",'2026'!$I$2=CM195),'2026DATA'!$F$36,"")</f>
        <v/>
      </c>
      <c r="CN229" s="518" t="str">
        <f>IF(AND(_6="A-220-100",'2026'!$I$4="FO",'2026'!$I$2=CN195),'2026DATA'!$G$36,"")</f>
        <v/>
      </c>
      <c r="CO229" s="518" t="str">
        <f>IF(AND(_6="A-220-100",'2026'!$I$4="FO",'2026'!$I$2=CO195),'2026DATA'!$H$36,"")</f>
        <v/>
      </c>
      <c r="CP229" s="518" t="str">
        <f>IF(AND(_6="A-220-100",'2026'!$I$4="FO",'2026'!$I$2=CP195),'2026DATA'!$I$36,"")</f>
        <v/>
      </c>
      <c r="CQ229" s="518" t="str">
        <f>IF(AND(_6="A-220-100",'2026'!$I$4="FO",'2026'!$I$2=CQ195),'2026DATA'!$J$36,"")</f>
        <v/>
      </c>
      <c r="CR229" s="518" t="str">
        <f>IF(AND(_6="A-220-100",'2026'!$I$4="FO",'2026'!$I$2=CR195),'2026DATA'!$K$36,"")</f>
        <v/>
      </c>
      <c r="CS229" s="518" t="str">
        <f>IF(AND(_6="A-220-100",'2026'!$I$4="FO",'2026'!$I$2=CS195),'2026DATA'!$L$36,"")</f>
        <v/>
      </c>
      <c r="CT229" s="518" t="str">
        <f>IF(AND(_6="A-220-100",'2026'!$I$4="FO",'2026'!$I$2=CT195),'2026DATA'!$M$36,"")</f>
        <v/>
      </c>
      <c r="CU229" s="520" t="str">
        <f>IF(AND(_6="A-220-100",'2026'!$I$4="FO",'2026'!$I$2=CU195),'2026DATA'!$N$36,"")</f>
        <v/>
      </c>
    </row>
    <row r="230" spans="16:99" x14ac:dyDescent="0.25">
      <c r="P230" s="940" t="s">
        <v>53</v>
      </c>
      <c r="Q230" s="13" t="s">
        <v>61</v>
      </c>
      <c r="R230" s="518" t="str">
        <f>IF(AND(_1="B-717",'2026'!$I$4="CA",'2026'!$I$2=R195),'2026DATA'!$C$37,"")</f>
        <v/>
      </c>
      <c r="S230" s="518" t="str">
        <f>IF(AND(_1="B-717",'2026'!$I$4="CA",'2026'!$I$2=S195),'2026DATA'!$D$37,"")</f>
        <v/>
      </c>
      <c r="T230" s="518" t="str">
        <f>IF(AND(_1="B-717",'2026'!$I$4="CA",'2026'!$I$2=T195),'2026DATA'!$E$37,"")</f>
        <v/>
      </c>
      <c r="U230" s="518" t="str">
        <f>IF(AND(_1="B-717",'2026'!$I$4="CA",'2026'!$I$2=U195),'2026DATA'!$F$37,"")</f>
        <v/>
      </c>
      <c r="V230" s="518" t="str">
        <f>IF(AND(_1="B-717",'2026'!$I$4="CA",'2026'!$I$2=V195),'2026DATA'!$G$37,"")</f>
        <v/>
      </c>
      <c r="W230" s="518" t="str">
        <f>IF(AND(_1="B-717",'2026'!$I$4="CA",'2026'!$I$2=W195),'2026DATA'!$H$37,"")</f>
        <v/>
      </c>
      <c r="X230" s="518" t="str">
        <f>IF(AND(_1="B-717",'2026'!$I$4="CA",'2026'!$I$2=X195),'2026DATA'!$I$37,"")</f>
        <v/>
      </c>
      <c r="Y230" s="518" t="str">
        <f>IF(AND(_1="B-717",'2026'!$I$4="CA",'2026'!$I$2=Y195),'2026DATA'!$J$37,"")</f>
        <v/>
      </c>
      <c r="Z230" s="518" t="str">
        <f>IF(AND(_1="B-717",'2026'!$I$4="CA",'2026'!$I$2=Z195),'2026DATA'!$K$37,"")</f>
        <v/>
      </c>
      <c r="AA230" s="518" t="str">
        <f>IF(AND(_1="B-717",'2026'!$I$4="CA",'2026'!$I$2=AA195),'2026DATA'!$L$37,"")</f>
        <v/>
      </c>
      <c r="AB230" s="518" t="str">
        <f>IF(AND(_1="B-717",'2026'!$I$4="CA",'2026'!$I$2=AB195),'2026DATA'!$M$37,"")</f>
        <v/>
      </c>
      <c r="AC230" s="520" t="str">
        <f>IF(AND(_1="B-717",'2026'!$I$4="CA",'2026'!$I$2=AC195),'2026DATA'!$N$37,"")</f>
        <v/>
      </c>
      <c r="AD230" s="940" t="s">
        <v>53</v>
      </c>
      <c r="AE230" s="13" t="s">
        <v>61</v>
      </c>
      <c r="AF230" s="518" t="str">
        <f>IF(AND(_2="B-717",'2026'!$I$4="CA",'2026'!$I$2=AF195),'2026DATA'!$C$37,"")</f>
        <v/>
      </c>
      <c r="AG230" s="518" t="str">
        <f>IF(AND(_2="B-717",'2026'!$I$4="CA",'2026'!$I$2=AG195),'2026DATA'!$D$37,"")</f>
        <v/>
      </c>
      <c r="AH230" s="518" t="str">
        <f>IF(AND(_2="B-717",'2026'!$I$4="CA",'2026'!$I$2=AH195),'2026DATA'!$E$37,"")</f>
        <v/>
      </c>
      <c r="AI230" s="518" t="str">
        <f>IF(AND(_2="B-717",'2026'!$I$4="CA",'2026'!$I$2=AI195),'2026DATA'!$F$37,"")</f>
        <v/>
      </c>
      <c r="AJ230" s="518" t="str">
        <f>IF(AND(_2="B-717",'2026'!$I$4="CA",'2026'!$I$2=AJ195),'2026DATA'!$G$37,"")</f>
        <v/>
      </c>
      <c r="AK230" s="518" t="str">
        <f>IF(AND(_2="B-717",'2026'!$I$4="CA",'2026'!$I$2=AK195),'2026DATA'!$H$37,"")</f>
        <v/>
      </c>
      <c r="AL230" s="518" t="str">
        <f>IF(AND(_2="B-717",'2026'!$I$4="CA",'2026'!$I$2=AL195),'2026DATA'!$I$37,"")</f>
        <v/>
      </c>
      <c r="AM230" s="518" t="str">
        <f>IF(AND(_2="B-717",'2026'!$I$4="CA",'2026'!$I$2=AM195),'2026DATA'!$J$37,"")</f>
        <v/>
      </c>
      <c r="AN230" s="518" t="str">
        <f>IF(AND(_2="B-717",'2026'!$I$4="CA",'2026'!$I$2=AN195),'2026DATA'!$K$37,"")</f>
        <v/>
      </c>
      <c r="AO230" s="518" t="str">
        <f>IF(AND(_2="B-717",'2026'!$I$4="CA",'2026'!$I$2=AO195),'2026DATA'!$L$37,"")</f>
        <v/>
      </c>
      <c r="AP230" s="518" t="str">
        <f>IF(AND(_2="B-717",'2026'!$I$4="CA",'2026'!$I$2=AP195),'2026DATA'!$M$37,"")</f>
        <v/>
      </c>
      <c r="AQ230" s="520" t="str">
        <f>IF(AND(_2="B-717",'2026'!$I$4="CA",'2026'!$I$2=AQ195),'2026DATA'!$N$37,"")</f>
        <v/>
      </c>
      <c r="AR230" s="940" t="s">
        <v>53</v>
      </c>
      <c r="AS230" s="13" t="s">
        <v>61</v>
      </c>
      <c r="AT230" s="518" t="str">
        <f>IF(AND(_3="B-717",'2026'!$I$4="CA",'2026'!$I$2=AT195),'2026DATA'!$C$37,"")</f>
        <v/>
      </c>
      <c r="AU230" s="518" t="str">
        <f>IF(AND(_3="B-717",'2026'!$I$4="CA",'2026'!$I$2=AU195),'2026DATA'!$D$37,"")</f>
        <v/>
      </c>
      <c r="AV230" s="518" t="str">
        <f>IF(AND(_3="B-717",'2026'!$I$4="CA",'2026'!$I$2=AV195),'2026DATA'!$E$37,"")</f>
        <v/>
      </c>
      <c r="AW230" s="518" t="str">
        <f>IF(AND(_3="B-717",'2026'!$I$4="CA",'2026'!$I$2=AW195),'2026DATA'!$F$37,"")</f>
        <v/>
      </c>
      <c r="AX230" s="518" t="str">
        <f>IF(AND(_3="B-717",'2026'!$I$4="CA",'2026'!$I$2=AX195),'2026DATA'!$G$37,"")</f>
        <v/>
      </c>
      <c r="AY230" s="518" t="str">
        <f>IF(AND(_3="B-717",'2026'!$I$4="CA",'2026'!$I$2=AY195),'2026DATA'!$H$37,"")</f>
        <v/>
      </c>
      <c r="AZ230" s="518" t="str">
        <f>IF(AND(_3="B-717",'2026'!$I$4="CA",'2026'!$I$2=AZ195),'2026DATA'!$I$37,"")</f>
        <v/>
      </c>
      <c r="BA230" s="518" t="str">
        <f>IF(AND(_3="B-717",'2026'!$I$4="CA",'2026'!$I$2=BA195),'2026DATA'!$J$37,"")</f>
        <v/>
      </c>
      <c r="BB230" s="518" t="str">
        <f>IF(AND(_3="B-717",'2026'!$I$4="CA",'2026'!$I$2=BB195),'2026DATA'!$K$37,"")</f>
        <v/>
      </c>
      <c r="BC230" s="518" t="str">
        <f>IF(AND(_3="B-717",'2026'!$I$4="CA",'2026'!$I$2=BC195),'2026DATA'!$L$37,"")</f>
        <v/>
      </c>
      <c r="BD230" s="518" t="str">
        <f>IF(AND(_3="B-717",'2026'!$I$4="CA",'2026'!$I$2=BD195),'2026DATA'!$M$37,"")</f>
        <v/>
      </c>
      <c r="BE230" s="520" t="str">
        <f>IF(AND(_3="B-717",'2026'!$I$4="CA",'2026'!$I$2=BE195),'2026DATA'!$N$37,"")</f>
        <v/>
      </c>
      <c r="BF230" s="940" t="s">
        <v>53</v>
      </c>
      <c r="BG230" s="13" t="s">
        <v>61</v>
      </c>
      <c r="BH230" s="518" t="str">
        <f>IF(AND(_4="B-717",'2026'!$I$4="CA",'2026'!$I$2=BH195),'2026DATA'!$C$37,"")</f>
        <v/>
      </c>
      <c r="BI230" s="518" t="str">
        <f>IF(AND(_4="B-717",'2026'!$I$4="CA",'2026'!$I$2=BI195),'2026DATA'!$D$37,"")</f>
        <v/>
      </c>
      <c r="BJ230" s="518" t="str">
        <f>IF(AND(_4="B-717",'2026'!$I$4="CA",'2026'!$I$2=BJ195),'2026DATA'!$E$37,"")</f>
        <v/>
      </c>
      <c r="BK230" s="518" t="str">
        <f>IF(AND(_4="B-717",'2026'!$I$4="CA",'2026'!$I$2=BK195),'2026DATA'!$F$37,"")</f>
        <v/>
      </c>
      <c r="BL230" s="518" t="str">
        <f>IF(AND(_4="B-717",'2026'!$I$4="CA",'2026'!$I$2=BL195),'2026DATA'!$G$37,"")</f>
        <v/>
      </c>
      <c r="BM230" s="518" t="str">
        <f>IF(AND(_4="B-717",'2026'!$I$4="CA",'2026'!$I$2=BM195),'2026DATA'!$H$37,"")</f>
        <v/>
      </c>
      <c r="BN230" s="518" t="str">
        <f>IF(AND(_4="B-717",'2026'!$I$4="CA",'2026'!$I$2=BN195),'2026DATA'!$I$37,"")</f>
        <v/>
      </c>
      <c r="BO230" s="518" t="str">
        <f>IF(AND(_4="B-717",'2026'!$I$4="CA",'2026'!$I$2=BO195),'2026DATA'!$J$37,"")</f>
        <v/>
      </c>
      <c r="BP230" s="518" t="str">
        <f>IF(AND(_4="B-717",'2026'!$I$4="CA",'2026'!$I$2=BP195),'2026DATA'!$K$37,"")</f>
        <v/>
      </c>
      <c r="BQ230" s="518" t="str">
        <f>IF(AND(_4="B-717",'2026'!$I$4="CA",'2026'!$I$2=BQ195),'2026DATA'!$L$37,"")</f>
        <v/>
      </c>
      <c r="BR230" s="518" t="str">
        <f>IF(AND(_4="B-717",'2026'!$I$4="CA",'2026'!$I$2=BR195),'2026DATA'!$M$37,"")</f>
        <v/>
      </c>
      <c r="BS230" s="520" t="str">
        <f>IF(AND(_4="B-717",'2026'!$I$4="CA",'2026'!$I$2=BS195),'2026DATA'!$N$37,"")</f>
        <v/>
      </c>
      <c r="BT230" s="940" t="s">
        <v>53</v>
      </c>
      <c r="BU230" s="13" t="s">
        <v>61</v>
      </c>
      <c r="BV230" s="518" t="str">
        <f>IF(AND(_5="B-717",'2026'!$I$4="CA",'2026'!$I$2=BV195),'2026DATA'!$C$37,"")</f>
        <v/>
      </c>
      <c r="BW230" s="518" t="str">
        <f>IF(AND(_5="B-717",'2026'!$I$4="CA",'2026'!$I$2=BW195),'2026DATA'!$D$37,"")</f>
        <v/>
      </c>
      <c r="BX230" s="518" t="str">
        <f>IF(AND(_5="B-717",'2026'!$I$4="CA",'2026'!$I$2=BX195),'2026DATA'!$E$37,"")</f>
        <v/>
      </c>
      <c r="BY230" s="518" t="str">
        <f>IF(AND(_5="B-717",'2026'!$I$4="CA",'2026'!$I$2=BY195),'2026DATA'!$F$37,"")</f>
        <v/>
      </c>
      <c r="BZ230" s="518" t="str">
        <f>IF(AND(_5="B-717",'2026'!$I$4="CA",'2026'!$I$2=BZ195),'2026DATA'!$G$37,"")</f>
        <v/>
      </c>
      <c r="CA230" s="518" t="str">
        <f>IF(AND(_5="B-717",'2026'!$I$4="CA",'2026'!$I$2=CA195),'2026DATA'!$H$37,"")</f>
        <v/>
      </c>
      <c r="CB230" s="518" t="str">
        <f>IF(AND(_5="B-717",'2026'!$I$4="CA",'2026'!$I$2=CB195),'2026DATA'!$I$37,"")</f>
        <v/>
      </c>
      <c r="CC230" s="518" t="str">
        <f>IF(AND(_5="B-717",'2026'!$I$4="CA",'2026'!$I$2=CC195),'2026DATA'!$J$37,"")</f>
        <v/>
      </c>
      <c r="CD230" s="518" t="str">
        <f>IF(AND(_5="B-717",'2026'!$I$4="CA",'2026'!$I$2=CD195),'2026DATA'!$K$37,"")</f>
        <v/>
      </c>
      <c r="CE230" s="518" t="str">
        <f>IF(AND(_5="B-717",'2026'!$I$4="CA",'2026'!$I$2=CE195),'2026DATA'!$L$37,"")</f>
        <v/>
      </c>
      <c r="CF230" s="518" t="str">
        <f>IF(AND(_5="B-717",'2026'!$I$4="CA",'2026'!$I$2=CF195),'2026DATA'!$M$37,"")</f>
        <v/>
      </c>
      <c r="CG230" s="520" t="str">
        <f>IF(AND(_5="B-717",'2026'!$I$4="CA",'2026'!$I$2=CG195),'2026DATA'!$N$37,"")</f>
        <v/>
      </c>
      <c r="CH230" s="940" t="s">
        <v>53</v>
      </c>
      <c r="CI230" s="13" t="s">
        <v>61</v>
      </c>
      <c r="CJ230" s="518" t="str">
        <f>IF(AND(_6="B-717",'2026'!$I$4="CA",'2026'!$I$2=CJ195),'2026DATA'!$C$37,"")</f>
        <v/>
      </c>
      <c r="CK230" s="518" t="str">
        <f>IF(AND(_6="B-717",'2026'!$I$4="CA",'2026'!$I$2=CK195),'2026DATA'!$D$37,"")</f>
        <v/>
      </c>
      <c r="CL230" s="518" t="str">
        <f>IF(AND(_6="B-717",'2026'!$I$4="CA",'2026'!$I$2=CL195),'2026DATA'!$E$37,"")</f>
        <v/>
      </c>
      <c r="CM230" s="518" t="str">
        <f>IF(AND(_6="B-717",'2026'!$I$4="CA",'2026'!$I$2=CM195),'2026DATA'!$F$37,"")</f>
        <v/>
      </c>
      <c r="CN230" s="518" t="str">
        <f>IF(AND(_6="B-717",'2026'!$I$4="CA",'2026'!$I$2=CN195),'2026DATA'!$G$37,"")</f>
        <v/>
      </c>
      <c r="CO230" s="518" t="str">
        <f>IF(AND(_6="B-717",'2026'!$I$4="CA",'2026'!$I$2=CO195),'2026DATA'!$H$37,"")</f>
        <v/>
      </c>
      <c r="CP230" s="518" t="str">
        <f>IF(AND(_6="B-717",'2026'!$I$4="CA",'2026'!$I$2=CP195),'2026DATA'!$I$37,"")</f>
        <v/>
      </c>
      <c r="CQ230" s="518" t="str">
        <f>IF(AND(_6="B-717",'2026'!$I$4="CA",'2026'!$I$2=CQ195),'2026DATA'!$J$37,"")</f>
        <v/>
      </c>
      <c r="CR230" s="518" t="str">
        <f>IF(AND(_6="B-717",'2026'!$I$4="CA",'2026'!$I$2=CR195),'2026DATA'!$K$37,"")</f>
        <v/>
      </c>
      <c r="CS230" s="518" t="str">
        <f>IF(AND(_6="B-717",'2026'!$I$4="CA",'2026'!$I$2=CS195),'2026DATA'!$L$37,"")</f>
        <v/>
      </c>
      <c r="CT230" s="518" t="str">
        <f>IF(AND(_6="B-717",'2026'!$I$4="CA",'2026'!$I$2=CT195),'2026DATA'!$M$37,"")</f>
        <v/>
      </c>
      <c r="CU230" s="520" t="str">
        <f>IF(AND(_6="B-717",'2026'!$I$4="CA",'2026'!$I$2=CU195),'2026DATA'!$N$37,"")</f>
        <v/>
      </c>
    </row>
    <row r="231" spans="16:99" ht="15.75" thickBot="1" x14ac:dyDescent="0.3">
      <c r="P231" s="942"/>
      <c r="Q231" s="2" t="s">
        <v>62</v>
      </c>
      <c r="R231" s="518" t="str">
        <f>IF(AND(_1="B-717",'2026'!$I$4="FO",'2026'!$I$2=R195),'2026DATA'!$C$38,"")</f>
        <v/>
      </c>
      <c r="S231" s="518" t="str">
        <f>IF(AND(_1="B-717",'2026'!$I$4="FO",'2026'!$I$2=S195),'2026DATA'!$D$38,"")</f>
        <v/>
      </c>
      <c r="T231" s="518" t="str">
        <f>IF(AND(_1="B-717",'2026'!$I$4="FO",'2026'!$I$2=T195),'2026DATA'!$E$38,"")</f>
        <v/>
      </c>
      <c r="U231" s="518" t="str">
        <f>IF(AND(_1="B-717",'2026'!$I$4="FO",'2026'!$I$2=U195),'2026DATA'!$F$38,"")</f>
        <v/>
      </c>
      <c r="V231" s="518" t="str">
        <f>IF(AND(_1="B-717",'2026'!$I$4="FO",'2026'!$I$2=V195),'2026DATA'!$G$38,"")</f>
        <v/>
      </c>
      <c r="W231" s="518" t="str">
        <f>IF(AND(_1="B-717",'2026'!$I$4="FO",'2026'!$I$2=W195),'2026DATA'!$H$38,"")</f>
        <v/>
      </c>
      <c r="X231" s="518" t="str">
        <f>IF(AND(_1="B-717",'2026'!$I$4="FO",'2026'!$I$2=X195),'2026DATA'!$I$38,"")</f>
        <v/>
      </c>
      <c r="Y231" s="518" t="str">
        <f>IF(AND(_1="B-717",'2026'!$I$4="FO",'2026'!$I$2=Y195),'2026DATA'!$J$38,"")</f>
        <v/>
      </c>
      <c r="Z231" s="518" t="str">
        <f>IF(AND(_1="B-717",'2026'!$I$4="FO",'2026'!$I$2=Z195),'2026DATA'!$K$38,"")</f>
        <v/>
      </c>
      <c r="AA231" s="518" t="str">
        <f>IF(AND(_1="B-717",'2026'!$I$4="FO",'2026'!$I$2=AA195),'2026DATA'!$L$38,"")</f>
        <v/>
      </c>
      <c r="AB231" s="518" t="str">
        <f>IF(AND(_1="B-717",'2026'!$I$4="FO",'2026'!$I$2=AB195),'2026DATA'!$M$38,"")</f>
        <v/>
      </c>
      <c r="AC231" s="520" t="str">
        <f>IF(AND(_1="B-717",'2026'!$I$4="FO",'2026'!$I$2=AC195),'2026DATA'!$N$38,"")</f>
        <v/>
      </c>
      <c r="AD231" s="942"/>
      <c r="AE231" s="2" t="s">
        <v>62</v>
      </c>
      <c r="AF231" s="518" t="str">
        <f>IF(AND(_2="B-717",'2026'!$I$4="FO",'2026'!$I$2=AF195),'2026DATA'!$C$38,"")</f>
        <v/>
      </c>
      <c r="AG231" s="518" t="str">
        <f>IF(AND(_2="B-717",'2026'!$I$4="FO",'2026'!$I$2=AG195),'2026DATA'!$D$38,"")</f>
        <v/>
      </c>
      <c r="AH231" s="518" t="str">
        <f>IF(AND(_2="B-717",'2026'!$I$4="FO",'2026'!$I$2=AH195),'2026DATA'!$E$38,"")</f>
        <v/>
      </c>
      <c r="AI231" s="518" t="str">
        <f>IF(AND(_2="B-717",'2026'!$I$4="FO",'2026'!$I$2=AI195),'2026DATA'!$F$38,"")</f>
        <v/>
      </c>
      <c r="AJ231" s="518" t="str">
        <f>IF(AND(_2="B-717",'2026'!$I$4="FO",'2026'!$I$2=AJ195),'2026DATA'!$G$38,"")</f>
        <v/>
      </c>
      <c r="AK231" s="518" t="str">
        <f>IF(AND(_2="B-717",'2026'!$I$4="FO",'2026'!$I$2=AK195),'2026DATA'!$H$38,"")</f>
        <v/>
      </c>
      <c r="AL231" s="518" t="str">
        <f>IF(AND(_2="B-717",'2026'!$I$4="FO",'2026'!$I$2=AL195),'2026DATA'!$I$38,"")</f>
        <v/>
      </c>
      <c r="AM231" s="518" t="str">
        <f>IF(AND(_2="B-717",'2026'!$I$4="FO",'2026'!$I$2=AM195),'2026DATA'!$J$38,"")</f>
        <v/>
      </c>
      <c r="AN231" s="518" t="str">
        <f>IF(AND(_2="B-717",'2026'!$I$4="FO",'2026'!$I$2=AN195),'2026DATA'!$K$38,"")</f>
        <v/>
      </c>
      <c r="AO231" s="518" t="str">
        <f>IF(AND(_2="B-717",'2026'!$I$4="FO",'2026'!$I$2=AO195),'2026DATA'!$L$38,"")</f>
        <v/>
      </c>
      <c r="AP231" s="518" t="str">
        <f>IF(AND(_2="B-717",'2026'!$I$4="FO",'2026'!$I$2=AP195),'2026DATA'!$M$38,"")</f>
        <v/>
      </c>
      <c r="AQ231" s="520" t="str">
        <f>IF(AND(_2="B-717",'2026'!$I$4="FO",'2026'!$I$2=AQ195),'2026DATA'!$N$38,"")</f>
        <v/>
      </c>
      <c r="AR231" s="942"/>
      <c r="AS231" s="2" t="s">
        <v>62</v>
      </c>
      <c r="AT231" s="518" t="str">
        <f>IF(AND(_3="B-717",'2026'!$I$4="FO",'2026'!$I$2=AT195),'2026DATA'!$C$38,"")</f>
        <v/>
      </c>
      <c r="AU231" s="518" t="str">
        <f>IF(AND(_3="B-717",'2026'!$I$4="FO",'2026'!$I$2=AU195),'2026DATA'!$D$38,"")</f>
        <v/>
      </c>
      <c r="AV231" s="518" t="str">
        <f>IF(AND(_3="B-717",'2026'!$I$4="FO",'2026'!$I$2=AV195),'2026DATA'!$E$38,"")</f>
        <v/>
      </c>
      <c r="AW231" s="518" t="str">
        <f>IF(AND(_3="B-717",'2026'!$I$4="FO",'2026'!$I$2=AW195),'2026DATA'!$F$38,"")</f>
        <v/>
      </c>
      <c r="AX231" s="518" t="str">
        <f>IF(AND(_3="B-717",'2026'!$I$4="FO",'2026'!$I$2=AX195),'2026DATA'!$G$38,"")</f>
        <v/>
      </c>
      <c r="AY231" s="518" t="str">
        <f>IF(AND(_3="B-717",'2026'!$I$4="FO",'2026'!$I$2=AY195),'2026DATA'!$H$38,"")</f>
        <v/>
      </c>
      <c r="AZ231" s="518" t="str">
        <f>IF(AND(_3="B-717",'2026'!$I$4="FO",'2026'!$I$2=AZ195),'2026DATA'!$I$38,"")</f>
        <v/>
      </c>
      <c r="BA231" s="518" t="str">
        <f>IF(AND(_3="B-717",'2026'!$I$4="FO",'2026'!$I$2=BA195),'2026DATA'!$J$38,"")</f>
        <v/>
      </c>
      <c r="BB231" s="518" t="str">
        <f>IF(AND(_3="B-717",'2026'!$I$4="FO",'2026'!$I$2=BB195),'2026DATA'!$K$38,"")</f>
        <v/>
      </c>
      <c r="BC231" s="518" t="str">
        <f>IF(AND(_3="B-717",'2026'!$I$4="FO",'2026'!$I$2=BC195),'2026DATA'!$L$38,"")</f>
        <v/>
      </c>
      <c r="BD231" s="518" t="str">
        <f>IF(AND(_3="B-717",'2026'!$I$4="FO",'2026'!$I$2=BD195),'2026DATA'!$M$38,"")</f>
        <v/>
      </c>
      <c r="BE231" s="520" t="str">
        <f>IF(AND(_3="B-717",'2026'!$I$4="FO",'2026'!$I$2=BE195),'2026DATA'!$N$38,"")</f>
        <v/>
      </c>
      <c r="BF231" s="942"/>
      <c r="BG231" s="2" t="s">
        <v>62</v>
      </c>
      <c r="BH231" s="518" t="str">
        <f>IF(AND(_4="B-717",'2026'!$I$4="FO",'2026'!$I$2=BH195),'2026DATA'!$C$38,"")</f>
        <v/>
      </c>
      <c r="BI231" s="518" t="str">
        <f>IF(AND(_4="B-717",'2026'!$I$4="FO",'2026'!$I$2=BI195),'2026DATA'!$D$38,"")</f>
        <v/>
      </c>
      <c r="BJ231" s="518" t="str">
        <f>IF(AND(_4="B-717",'2026'!$I$4="FO",'2026'!$I$2=BJ195),'2026DATA'!$E$38,"")</f>
        <v/>
      </c>
      <c r="BK231" s="518" t="str">
        <f>IF(AND(_4="B-717",'2026'!$I$4="FO",'2026'!$I$2=BK195),'2026DATA'!$F$38,"")</f>
        <v/>
      </c>
      <c r="BL231" s="518" t="str">
        <f>IF(AND(_4="B-717",'2026'!$I$4="FO",'2026'!$I$2=BL195),'2026DATA'!$G$38,"")</f>
        <v/>
      </c>
      <c r="BM231" s="518" t="str">
        <f>IF(AND(_4="B-717",'2026'!$I$4="FO",'2026'!$I$2=BM195),'2026DATA'!$H$38,"")</f>
        <v/>
      </c>
      <c r="BN231" s="518" t="str">
        <f>IF(AND(_4="B-717",'2026'!$I$4="FO",'2026'!$I$2=BN195),'2026DATA'!$I$38,"")</f>
        <v/>
      </c>
      <c r="BO231" s="518" t="str">
        <f>IF(AND(_4="B-717",'2026'!$I$4="FO",'2026'!$I$2=BO195),'2026DATA'!$J$38,"")</f>
        <v/>
      </c>
      <c r="BP231" s="518" t="str">
        <f>IF(AND(_4="B-717",'2026'!$I$4="FO",'2026'!$I$2=BP195),'2026DATA'!$K$38,"")</f>
        <v/>
      </c>
      <c r="BQ231" s="518" t="str">
        <f>IF(AND(_4="B-717",'2026'!$I$4="FO",'2026'!$I$2=BQ195),'2026DATA'!$L$38,"")</f>
        <v/>
      </c>
      <c r="BR231" s="518" t="str">
        <f>IF(AND(_4="B-717",'2026'!$I$4="FO",'2026'!$I$2=BR195),'2026DATA'!$M$38,"")</f>
        <v/>
      </c>
      <c r="BS231" s="520" t="str">
        <f>IF(AND(_4="B-717",'2026'!$I$4="FO",'2026'!$I$2=BS195),'2026DATA'!$N$38,"")</f>
        <v/>
      </c>
      <c r="BT231" s="942"/>
      <c r="BU231" s="2" t="s">
        <v>62</v>
      </c>
      <c r="BV231" s="518" t="str">
        <f>IF(AND(_5="B-717",'2026'!$I$4="FO",'2026'!$I$2=BV195),'2026DATA'!$C$38,"")</f>
        <v/>
      </c>
      <c r="BW231" s="518" t="str">
        <f>IF(AND(_5="B-717",'2026'!$I$4="FO",'2026'!$I$2=BW195),'2026DATA'!$D$38,"")</f>
        <v/>
      </c>
      <c r="BX231" s="518" t="str">
        <f>IF(AND(_5="B-717",'2026'!$I$4="FO",'2026'!$I$2=BX195),'2026DATA'!$E$38,"")</f>
        <v/>
      </c>
      <c r="BY231" s="518" t="str">
        <f>IF(AND(_5="B-717",'2026'!$I$4="FO",'2026'!$I$2=BY195),'2026DATA'!$F$38,"")</f>
        <v/>
      </c>
      <c r="BZ231" s="518" t="str">
        <f>IF(AND(_5="B-717",'2026'!$I$4="FO",'2026'!$I$2=BZ195),'2026DATA'!$G$38,"")</f>
        <v/>
      </c>
      <c r="CA231" s="518" t="str">
        <f>IF(AND(_5="B-717",'2026'!$I$4="FO",'2026'!$I$2=CA195),'2026DATA'!$H$38,"")</f>
        <v/>
      </c>
      <c r="CB231" s="518" t="str">
        <f>IF(AND(_5="B-717",'2026'!$I$4="FO",'2026'!$I$2=CB195),'2026DATA'!$I$38,"")</f>
        <v/>
      </c>
      <c r="CC231" s="518" t="str">
        <f>IF(AND(_5="B-717",'2026'!$I$4="FO",'2026'!$I$2=CC195),'2026DATA'!$J$38,"")</f>
        <v/>
      </c>
      <c r="CD231" s="518" t="str">
        <f>IF(AND(_5="B-717",'2026'!$I$4="FO",'2026'!$I$2=CD195),'2026DATA'!$K$38,"")</f>
        <v/>
      </c>
      <c r="CE231" s="518" t="str">
        <f>IF(AND(_5="B-717",'2026'!$I$4="FO",'2026'!$I$2=CE195),'2026DATA'!$L$38,"")</f>
        <v/>
      </c>
      <c r="CF231" s="518" t="str">
        <f>IF(AND(_5="B-717",'2026'!$I$4="FO",'2026'!$I$2=CF195),'2026DATA'!$M$38,"")</f>
        <v/>
      </c>
      <c r="CG231" s="520" t="str">
        <f>IF(AND(_5="B-717",'2026'!$I$4="FO",'2026'!$I$2=CG195),'2026DATA'!$N$38,"")</f>
        <v/>
      </c>
      <c r="CH231" s="942"/>
      <c r="CI231" s="2" t="s">
        <v>62</v>
      </c>
      <c r="CJ231" s="518" t="str">
        <f>IF(AND(_6="B-717",'2026'!$I$4="FO",'2026'!$I$2=CJ195),'2026DATA'!$C$38,"")</f>
        <v/>
      </c>
      <c r="CK231" s="518" t="str">
        <f>IF(AND(_6="B-717",'2026'!$I$4="FO",'2026'!$I$2=CK195),'2026DATA'!$D$38,"")</f>
        <v/>
      </c>
      <c r="CL231" s="518" t="str">
        <f>IF(AND(_6="B-717",'2026'!$I$4="FO",'2026'!$I$2=CL195),'2026DATA'!$E$38,"")</f>
        <v/>
      </c>
      <c r="CM231" s="518" t="str">
        <f>IF(AND(_6="B-717",'2026'!$I$4="FO",'2026'!$I$2=CM195),'2026DATA'!$F$38,"")</f>
        <v/>
      </c>
      <c r="CN231" s="518" t="str">
        <f>IF(AND(_6="B-717",'2026'!$I$4="FO",'2026'!$I$2=CN195),'2026DATA'!$G$38,"")</f>
        <v/>
      </c>
      <c r="CO231" s="518" t="str">
        <f>IF(AND(_6="B-717",'2026'!$I$4="FO",'2026'!$I$2=CO195),'2026DATA'!$H$38,"")</f>
        <v/>
      </c>
      <c r="CP231" s="518" t="str">
        <f>IF(AND(_6="B-717",'2026'!$I$4="FO",'2026'!$I$2=CP195),'2026DATA'!$I$38,"")</f>
        <v/>
      </c>
      <c r="CQ231" s="518" t="str">
        <f>IF(AND(_6="B-717",'2026'!$I$4="FO",'2026'!$I$2=CQ195),'2026DATA'!$J$38,"")</f>
        <v/>
      </c>
      <c r="CR231" s="518" t="str">
        <f>IF(AND(_6="B-717",'2026'!$I$4="FO",'2026'!$I$2=CR195),'2026DATA'!$K$38,"")</f>
        <v/>
      </c>
      <c r="CS231" s="518" t="str">
        <f>IF(AND(_6="B-717",'2026'!$I$4="FO",'2026'!$I$2=CS195),'2026DATA'!$L$38,"")</f>
        <v/>
      </c>
      <c r="CT231" s="518" t="str">
        <f>IF(AND(_6="B-717",'2026'!$I$4="FO",'2026'!$I$2=CT195),'2026DATA'!$M$38,"")</f>
        <v/>
      </c>
      <c r="CU231" s="520" t="str">
        <f>IF(AND(_6="B-717",'2026'!$I$4="FO",'2026'!$I$2=CU195),'2026DATA'!$N$38,"")</f>
        <v/>
      </c>
    </row>
    <row r="232" spans="16:99" x14ac:dyDescent="0.25">
      <c r="P232" s="943" t="s">
        <v>128</v>
      </c>
      <c r="Q232" s="944"/>
      <c r="R232" s="944"/>
      <c r="S232" s="944"/>
      <c r="T232" s="944"/>
      <c r="U232" s="944"/>
      <c r="V232" s="944"/>
      <c r="W232" s="944"/>
      <c r="X232" s="944"/>
      <c r="Y232" s="944"/>
      <c r="Z232" s="944"/>
      <c r="AA232" s="944"/>
      <c r="AB232" s="944"/>
      <c r="AC232" s="945"/>
      <c r="AD232" s="943" t="s">
        <v>129</v>
      </c>
      <c r="AE232" s="944"/>
      <c r="AF232" s="944"/>
      <c r="AG232" s="944"/>
      <c r="AH232" s="944"/>
      <c r="AI232" s="944"/>
      <c r="AJ232" s="944"/>
      <c r="AK232" s="944"/>
      <c r="AL232" s="944"/>
      <c r="AM232" s="944"/>
      <c r="AN232" s="944"/>
      <c r="AO232" s="944"/>
      <c r="AP232" s="944"/>
      <c r="AQ232" s="945"/>
      <c r="AR232" s="943" t="s">
        <v>130</v>
      </c>
      <c r="AS232" s="944"/>
      <c r="AT232" s="944"/>
      <c r="AU232" s="944"/>
      <c r="AV232" s="944"/>
      <c r="AW232" s="944"/>
      <c r="AX232" s="944"/>
      <c r="AY232" s="944"/>
      <c r="AZ232" s="944"/>
      <c r="BA232" s="944"/>
      <c r="BB232" s="944"/>
      <c r="BC232" s="944"/>
      <c r="BD232" s="944"/>
      <c r="BE232" s="945"/>
      <c r="BF232" s="943" t="s">
        <v>131</v>
      </c>
      <c r="BG232" s="944"/>
      <c r="BH232" s="944"/>
      <c r="BI232" s="944"/>
      <c r="BJ232" s="944"/>
      <c r="BK232" s="944"/>
      <c r="BL232" s="944"/>
      <c r="BM232" s="944"/>
      <c r="BN232" s="944"/>
      <c r="BO232" s="944"/>
      <c r="BP232" s="944"/>
      <c r="BQ232" s="944"/>
      <c r="BR232" s="944"/>
      <c r="BS232" s="945"/>
      <c r="BT232" s="943" t="s">
        <v>132</v>
      </c>
      <c r="BU232" s="944"/>
      <c r="BV232" s="944"/>
      <c r="BW232" s="944"/>
      <c r="BX232" s="944"/>
      <c r="BY232" s="944"/>
      <c r="BZ232" s="944"/>
      <c r="CA232" s="944"/>
      <c r="CB232" s="944"/>
      <c r="CC232" s="944"/>
      <c r="CD232" s="944"/>
      <c r="CE232" s="944"/>
      <c r="CF232" s="944"/>
      <c r="CG232" s="945"/>
      <c r="CH232" s="943" t="s">
        <v>133</v>
      </c>
      <c r="CI232" s="944"/>
      <c r="CJ232" s="944"/>
      <c r="CK232" s="944"/>
      <c r="CL232" s="944"/>
      <c r="CM232" s="944"/>
      <c r="CN232" s="944"/>
      <c r="CO232" s="944"/>
      <c r="CP232" s="944"/>
      <c r="CQ232" s="944"/>
      <c r="CR232" s="944"/>
      <c r="CS232" s="944"/>
      <c r="CT232" s="944"/>
      <c r="CU232" s="945"/>
    </row>
    <row r="233" spans="16:99" x14ac:dyDescent="0.25">
      <c r="P233" s="565">
        <v>7</v>
      </c>
      <c r="Q233" s="565">
        <f>SUM(R234:AC269)</f>
        <v>0</v>
      </c>
      <c r="R233" s="3">
        <v>12</v>
      </c>
      <c r="S233" s="3">
        <v>11</v>
      </c>
      <c r="T233" s="3">
        <v>10</v>
      </c>
      <c r="U233" s="3">
        <v>9</v>
      </c>
      <c r="V233" s="3">
        <v>8</v>
      </c>
      <c r="W233" s="3">
        <v>7</v>
      </c>
      <c r="X233" s="3">
        <v>6</v>
      </c>
      <c r="Y233" s="3">
        <v>5</v>
      </c>
      <c r="Z233" s="3">
        <v>4</v>
      </c>
      <c r="AA233" s="3">
        <v>3</v>
      </c>
      <c r="AB233" s="3">
        <v>2</v>
      </c>
      <c r="AC233" s="519">
        <v>1</v>
      </c>
      <c r="AD233" s="565">
        <v>7</v>
      </c>
      <c r="AE233" s="565">
        <f>SUM(AF234:AQ269)</f>
        <v>0</v>
      </c>
      <c r="AF233" s="3">
        <v>12</v>
      </c>
      <c r="AG233" s="3">
        <v>11</v>
      </c>
      <c r="AH233" s="3">
        <v>10</v>
      </c>
      <c r="AI233" s="3">
        <v>9</v>
      </c>
      <c r="AJ233" s="3">
        <v>8</v>
      </c>
      <c r="AK233" s="3">
        <v>7</v>
      </c>
      <c r="AL233" s="3">
        <v>6</v>
      </c>
      <c r="AM233" s="3">
        <v>5</v>
      </c>
      <c r="AN233" s="3">
        <v>4</v>
      </c>
      <c r="AO233" s="3">
        <v>3</v>
      </c>
      <c r="AP233" s="3">
        <v>2</v>
      </c>
      <c r="AQ233" s="519">
        <v>1</v>
      </c>
      <c r="AR233" s="565">
        <v>7</v>
      </c>
      <c r="AS233" s="565">
        <f>SUM(AT234:BE269)</f>
        <v>0</v>
      </c>
      <c r="AT233" s="3">
        <v>12</v>
      </c>
      <c r="AU233" s="3">
        <v>11</v>
      </c>
      <c r="AV233" s="3">
        <v>10</v>
      </c>
      <c r="AW233" s="3">
        <v>9</v>
      </c>
      <c r="AX233" s="3">
        <v>8</v>
      </c>
      <c r="AY233" s="3">
        <v>7</v>
      </c>
      <c r="AZ233" s="3">
        <v>6</v>
      </c>
      <c r="BA233" s="3">
        <v>5</v>
      </c>
      <c r="BB233" s="3">
        <v>4</v>
      </c>
      <c r="BC233" s="3">
        <v>3</v>
      </c>
      <c r="BD233" s="3">
        <v>2</v>
      </c>
      <c r="BE233" s="519">
        <v>1</v>
      </c>
      <c r="BF233" s="565">
        <v>7</v>
      </c>
      <c r="BG233" s="565">
        <f>SUM(BH234:BS269)</f>
        <v>0</v>
      </c>
      <c r="BH233" s="3">
        <v>12</v>
      </c>
      <c r="BI233" s="3">
        <v>11</v>
      </c>
      <c r="BJ233" s="3">
        <v>10</v>
      </c>
      <c r="BK233" s="3">
        <v>9</v>
      </c>
      <c r="BL233" s="3">
        <v>8</v>
      </c>
      <c r="BM233" s="3">
        <v>7</v>
      </c>
      <c r="BN233" s="3">
        <v>6</v>
      </c>
      <c r="BO233" s="3">
        <v>5</v>
      </c>
      <c r="BP233" s="3">
        <v>4</v>
      </c>
      <c r="BQ233" s="3">
        <v>3</v>
      </c>
      <c r="BR233" s="3">
        <v>2</v>
      </c>
      <c r="BS233" s="519">
        <v>1</v>
      </c>
      <c r="BT233" s="565">
        <v>7</v>
      </c>
      <c r="BU233" s="565">
        <f>SUM(BV234:CG269)</f>
        <v>0</v>
      </c>
      <c r="BV233" s="3">
        <v>12</v>
      </c>
      <c r="BW233" s="3">
        <v>11</v>
      </c>
      <c r="BX233" s="3">
        <v>10</v>
      </c>
      <c r="BY233" s="3">
        <v>9</v>
      </c>
      <c r="BZ233" s="3">
        <v>8</v>
      </c>
      <c r="CA233" s="3">
        <v>7</v>
      </c>
      <c r="CB233" s="3">
        <v>6</v>
      </c>
      <c r="CC233" s="3">
        <v>5</v>
      </c>
      <c r="CD233" s="3">
        <v>4</v>
      </c>
      <c r="CE233" s="3">
        <v>3</v>
      </c>
      <c r="CF233" s="3">
        <v>2</v>
      </c>
      <c r="CG233" s="519">
        <v>1</v>
      </c>
      <c r="CH233" s="565">
        <v>7</v>
      </c>
      <c r="CI233" s="565">
        <f>SUM(CJ234:CU269)</f>
        <v>0</v>
      </c>
      <c r="CJ233" s="3">
        <v>12</v>
      </c>
      <c r="CK233" s="3">
        <v>11</v>
      </c>
      <c r="CL233" s="3">
        <v>10</v>
      </c>
      <c r="CM233" s="3">
        <v>9</v>
      </c>
      <c r="CN233" s="3">
        <v>8</v>
      </c>
      <c r="CO233" s="3">
        <v>7</v>
      </c>
      <c r="CP233" s="3">
        <v>6</v>
      </c>
      <c r="CQ233" s="3">
        <v>5</v>
      </c>
      <c r="CR233" s="3">
        <v>4</v>
      </c>
      <c r="CS233" s="3">
        <v>3</v>
      </c>
      <c r="CT233" s="3">
        <v>2</v>
      </c>
      <c r="CU233" s="519">
        <v>1</v>
      </c>
    </row>
    <row r="234" spans="16:99" x14ac:dyDescent="0.25">
      <c r="P234" s="940" t="s">
        <v>39</v>
      </c>
      <c r="Q234" s="13" t="s">
        <v>61</v>
      </c>
      <c r="R234" s="518" t="str">
        <f>IF(AND(_1="A-350",'2026'!$J$4="CA",'2026'!$J$2=R233),'2026DATA'!$C$3,"")</f>
        <v/>
      </c>
      <c r="S234" s="518" t="str">
        <f>IF(AND(_1="A-350",'2026'!$J$4="CA",'2026'!$J$2=S233),'2026DATA'!$D$3,"")</f>
        <v/>
      </c>
      <c r="T234" s="518" t="str">
        <f>IF(AND(_1="A-350",'2026'!$J$4="CA",'2026'!$J$2=T233),'2026DATA'!$E$3,"")</f>
        <v/>
      </c>
      <c r="U234" s="518" t="str">
        <f>IF(AND(_1="A-350",'2026'!$J$4="CA",'2026'!$J$2=U233),'2026DATA'!$F$3,"")</f>
        <v/>
      </c>
      <c r="V234" s="518" t="str">
        <f>IF(AND(_1="A-350",'2026'!$J$4="CA",'2026'!$J$2=V233),'2026DATA'!$G$3,"")</f>
        <v/>
      </c>
      <c r="W234" s="518" t="str">
        <f>IF(AND(_1="A-350",'2026'!$J$4="CA",'2026'!$J$2=W233),'2026DATA'!$H$3,"")</f>
        <v/>
      </c>
      <c r="X234" s="518" t="str">
        <f>IF(AND(_1="A-350",'2026'!$J$4="CA",'2026'!$J$2=X233),'2026DATA'!$I$3,"")</f>
        <v/>
      </c>
      <c r="Y234" s="518" t="str">
        <f>IF(AND(_1="A-350",'2026'!$J$4="CA",'2026'!$J$2=Y233),'2026DATA'!$J$3,"")</f>
        <v/>
      </c>
      <c r="Z234" s="518" t="str">
        <f>IF(AND(_1="A-350",'2026'!$J$4="CA",'2026'!$J$2=Z233),'2026DATA'!$K$3,"")</f>
        <v/>
      </c>
      <c r="AA234" s="518" t="str">
        <f>IF(AND(_1="A-350",'2026'!$J$4="CA",'2026'!$J$2=AA233),'2026DATA'!$L$3,"")</f>
        <v/>
      </c>
      <c r="AB234" s="518" t="str">
        <f>IF(AND(_1="A-350",'2026'!$J$4="CA",'2026'!$J$2=AB233),'2026DATA'!$M$3,"")</f>
        <v/>
      </c>
      <c r="AC234" s="520" t="str">
        <f>IF(AND(_1="A-350",'2026'!$J$4="CA",'2026'!$J$2=AC233),'2026DATA'!$N$3,"")</f>
        <v/>
      </c>
      <c r="AD234" s="940" t="s">
        <v>39</v>
      </c>
      <c r="AE234" s="13" t="s">
        <v>61</v>
      </c>
      <c r="AF234" s="518" t="str">
        <f>IF(AND(_2="A-350",'2026'!$J$4="CA",'2026'!$J$2=AF233),'2026DATA'!$C$3,"")</f>
        <v/>
      </c>
      <c r="AG234" s="518" t="str">
        <f>IF(AND(_2="A-350",'2026'!$J$4="CA",'2026'!$J$2=AG233),'2026DATA'!$D$3,"")</f>
        <v/>
      </c>
      <c r="AH234" s="518" t="str">
        <f>IF(AND(_2="A-350",'2026'!$J$4="CA",'2026'!$J$2=AH233),'2026DATA'!$E$3,"")</f>
        <v/>
      </c>
      <c r="AI234" s="518" t="str">
        <f>IF(AND(_2="A-350",'2026'!$J$4="CA",'2026'!$J$2=AI233),'2026DATA'!$F$3,"")</f>
        <v/>
      </c>
      <c r="AJ234" s="518" t="str">
        <f>IF(AND(_2="A-350",'2026'!$J$4="CA",'2026'!$J$2=AJ233),'2026DATA'!$G$3,"")</f>
        <v/>
      </c>
      <c r="AK234" s="518" t="str">
        <f>IF(AND(_2="A-350",'2026'!$J$4="CA",'2026'!$J$2=AK233),'2026DATA'!$H$3,"")</f>
        <v/>
      </c>
      <c r="AL234" s="518" t="str">
        <f>IF(AND(_2="A-350",'2026'!$J$4="CA",'2026'!$J$2=AL233),'2026DATA'!$I$3,"")</f>
        <v/>
      </c>
      <c r="AM234" s="518" t="str">
        <f>IF(AND(_2="A-350",'2026'!$J$4="CA",'2026'!$J$2=AM233),'2026DATA'!$J$3,"")</f>
        <v/>
      </c>
      <c r="AN234" s="518" t="str">
        <f>IF(AND(_2="A-350",'2026'!$J$4="CA",'2026'!$J$2=AN233),'2026DATA'!$K$3,"")</f>
        <v/>
      </c>
      <c r="AO234" s="518" t="str">
        <f>IF(AND(_2="A-350",'2026'!$J$4="CA",'2026'!$J$2=AO233),'2026DATA'!$L$3,"")</f>
        <v/>
      </c>
      <c r="AP234" s="518" t="str">
        <f>IF(AND(_2="A-350",'2026'!$J$4="CA",'2026'!$J$2=AP233),'2026DATA'!$M$3,"")</f>
        <v/>
      </c>
      <c r="AQ234" s="520" t="str">
        <f>IF(AND(_2="A-350",'2026'!$J$4="CA",'2026'!$J$2=AQ233),'2026DATA'!$N$3,"")</f>
        <v/>
      </c>
      <c r="AR234" s="940" t="s">
        <v>39</v>
      </c>
      <c r="AS234" s="13" t="s">
        <v>61</v>
      </c>
      <c r="AT234" s="518" t="str">
        <f>IF(AND(_3="A-350",'2026'!$J$4="CA",'2026'!$J$2=AT233),'2026DATA'!$C$3,"")</f>
        <v/>
      </c>
      <c r="AU234" s="518" t="str">
        <f>IF(AND(_3="A-350",'2026'!$J$4="CA",'2026'!$J$2=AU233),'2026DATA'!$D$3,"")</f>
        <v/>
      </c>
      <c r="AV234" s="518" t="str">
        <f>IF(AND(_3="A-350",'2026'!$J$4="CA",'2026'!$J$2=AV233),'2026DATA'!$E$3,"")</f>
        <v/>
      </c>
      <c r="AW234" s="518" t="str">
        <f>IF(AND(_3="A-350",'2026'!$J$4="CA",'2026'!$J$2=AW233),'2026DATA'!$F$3,"")</f>
        <v/>
      </c>
      <c r="AX234" s="518" t="str">
        <f>IF(AND(_3="A-350",'2026'!$J$4="CA",'2026'!$J$2=AX233),'2026DATA'!$G$3,"")</f>
        <v/>
      </c>
      <c r="AY234" s="518" t="str">
        <f>IF(AND(_3="A-350",'2026'!$J$4="CA",'2026'!$J$2=AY233),'2026DATA'!$H$3,"")</f>
        <v/>
      </c>
      <c r="AZ234" s="518" t="str">
        <f>IF(AND(_3="A-350",'2026'!$J$4="CA",'2026'!$J$2=AZ233),'2026DATA'!$I$3,"")</f>
        <v/>
      </c>
      <c r="BA234" s="518" t="str">
        <f>IF(AND(_3="A-350",'2026'!$J$4="CA",'2026'!$J$2=BA233),'2026DATA'!$J$3,"")</f>
        <v/>
      </c>
      <c r="BB234" s="518" t="str">
        <f>IF(AND(_3="A-350",'2026'!$J$4="CA",'2026'!$J$2=BB233),'2026DATA'!$K$3,"")</f>
        <v/>
      </c>
      <c r="BC234" s="518" t="str">
        <f>IF(AND(_3="A-350",'2026'!$J$4="CA",'2026'!$J$2=BC233),'2026DATA'!$L$3,"")</f>
        <v/>
      </c>
      <c r="BD234" s="518" t="str">
        <f>IF(AND(_3="A-350",'2026'!$J$4="CA",'2026'!$J$2=BD233),'2026DATA'!$M$3,"")</f>
        <v/>
      </c>
      <c r="BE234" s="520" t="str">
        <f>IF(AND(_3="A-350",'2026'!$J$4="CA",'2026'!$J$2=BE233),'2026DATA'!$N$3,"")</f>
        <v/>
      </c>
      <c r="BF234" s="940" t="s">
        <v>39</v>
      </c>
      <c r="BG234" s="13" t="s">
        <v>61</v>
      </c>
      <c r="BH234" s="518" t="str">
        <f>IF(AND(_4="A-350",'2026'!$J$4="CA",'2026'!$J$2=BH233),'2026DATA'!$C$3,"")</f>
        <v/>
      </c>
      <c r="BI234" s="518" t="str">
        <f>IF(AND(_4="A-350",'2026'!$J$4="CA",'2026'!$J$2=BI233),'2026DATA'!$D$3,"")</f>
        <v/>
      </c>
      <c r="BJ234" s="518" t="str">
        <f>IF(AND(_4="A-350",'2026'!$J$4="CA",'2026'!$J$2=BJ233),'2026DATA'!$E$3,"")</f>
        <v/>
      </c>
      <c r="BK234" s="518" t="str">
        <f>IF(AND(_4="A-350",'2026'!$J$4="CA",'2026'!$J$2=BK233),'2026DATA'!$F$3,"")</f>
        <v/>
      </c>
      <c r="BL234" s="518" t="str">
        <f>IF(AND(_4="A-350",'2026'!$J$4="CA",'2026'!$J$2=BL233),'2026DATA'!$G$3,"")</f>
        <v/>
      </c>
      <c r="BM234" s="518" t="str">
        <f>IF(AND(_4="A-350",'2026'!$J$4="CA",'2026'!$J$2=BM233),'2026DATA'!$H$3,"")</f>
        <v/>
      </c>
      <c r="BN234" s="518" t="str">
        <f>IF(AND(_4="A-350",'2026'!$J$4="CA",'2026'!$J$2=BN233),'2026DATA'!$I$3,"")</f>
        <v/>
      </c>
      <c r="BO234" s="518" t="str">
        <f>IF(AND(_4="A-350",'2026'!$J$4="CA",'2026'!$J$2=BO233),'2026DATA'!$J$3,"")</f>
        <v/>
      </c>
      <c r="BP234" s="518" t="str">
        <f>IF(AND(_4="A-350",'2026'!$J$4="CA",'2026'!$J$2=BP233),'2026DATA'!$K$3,"")</f>
        <v/>
      </c>
      <c r="BQ234" s="518" t="str">
        <f>IF(AND(_4="A-350",'2026'!$J$4="CA",'2026'!$J$2=BQ233),'2026DATA'!$L$3,"")</f>
        <v/>
      </c>
      <c r="BR234" s="518" t="str">
        <f>IF(AND(_4="A-350",'2026'!$J$4="CA",'2026'!$J$2=BR233),'2026DATA'!$M$3,"")</f>
        <v/>
      </c>
      <c r="BS234" s="520" t="str">
        <f>IF(AND(_4="A-350",'2026'!$J$4="CA",'2026'!$J$2=BS233),'2026DATA'!$N$3,"")</f>
        <v/>
      </c>
      <c r="BT234" s="940" t="s">
        <v>39</v>
      </c>
      <c r="BU234" s="13" t="s">
        <v>61</v>
      </c>
      <c r="BV234" s="518" t="str">
        <f>IF(AND(_5="A-350",'2026'!$J$4="CA",'2026'!$J$2=BV233),'2026DATA'!$C$3,"")</f>
        <v/>
      </c>
      <c r="BW234" s="518" t="str">
        <f>IF(AND(_5="A-350",'2026'!$J$4="CA",'2026'!$J$2=BW233),'2026DATA'!$D$3,"")</f>
        <v/>
      </c>
      <c r="BX234" s="518" t="str">
        <f>IF(AND(_5="A-350",'2026'!$J$4="CA",'2026'!$J$2=BX233),'2026DATA'!$E$3,"")</f>
        <v/>
      </c>
      <c r="BY234" s="518" t="str">
        <f>IF(AND(_5="A-350",'2026'!$J$4="CA",'2026'!$J$2=BY233),'2026DATA'!$F$3,"")</f>
        <v/>
      </c>
      <c r="BZ234" s="518" t="str">
        <f>IF(AND(_5="A-350",'2026'!$J$4="CA",'2026'!$J$2=BZ233),'2026DATA'!$G$3,"")</f>
        <v/>
      </c>
      <c r="CA234" s="518" t="str">
        <f>IF(AND(_5="A-350",'2026'!$J$4="CA",'2026'!$J$2=CA233),'2026DATA'!$H$3,"")</f>
        <v/>
      </c>
      <c r="CB234" s="518" t="str">
        <f>IF(AND(_5="A-350",'2026'!$J$4="CA",'2026'!$J$2=CB233),'2026DATA'!$I$3,"")</f>
        <v/>
      </c>
      <c r="CC234" s="518" t="str">
        <f>IF(AND(_5="A-350",'2026'!$J$4="CA",'2026'!$J$2=CC233),'2026DATA'!$J$3,"")</f>
        <v/>
      </c>
      <c r="CD234" s="518" t="str">
        <f>IF(AND(_5="A-350",'2026'!$J$4="CA",'2026'!$J$2=CD233),'2026DATA'!$K$3,"")</f>
        <v/>
      </c>
      <c r="CE234" s="518" t="str">
        <f>IF(AND(_5="A-350",'2026'!$J$4="CA",'2026'!$J$2=CE233),'2026DATA'!$L$3,"")</f>
        <v/>
      </c>
      <c r="CF234" s="518" t="str">
        <f>IF(AND(_5="A-350",'2026'!$J$4="CA",'2026'!$J$2=CF233),'2026DATA'!$M$3,"")</f>
        <v/>
      </c>
      <c r="CG234" s="520" t="str">
        <f>IF(AND(_5="A-350",'2026'!$J$4="CA",'2026'!$J$2=CG233),'2026DATA'!$N$3,"")</f>
        <v/>
      </c>
      <c r="CH234" s="940" t="s">
        <v>39</v>
      </c>
      <c r="CI234" s="13" t="s">
        <v>61</v>
      </c>
      <c r="CJ234" s="518" t="str">
        <f>IF(AND(_6="A-350",'2026'!$J$4="CA",'2026'!$J$2=CJ233),'2026DATA'!$C$3,"")</f>
        <v/>
      </c>
      <c r="CK234" s="518" t="str">
        <f>IF(AND(_6="A-350",'2026'!$J$4="CA",'2026'!$J$2=CK233),'2026DATA'!$D$3,"")</f>
        <v/>
      </c>
      <c r="CL234" s="518" t="str">
        <f>IF(AND(_6="A-350",'2026'!$J$4="CA",'2026'!$J$2=CL233),'2026DATA'!$E$3,"")</f>
        <v/>
      </c>
      <c r="CM234" s="518" t="str">
        <f>IF(AND(_6="A-350",'2026'!$J$4="CA",'2026'!$J$2=CM233),'2026DATA'!$F$3,"")</f>
        <v/>
      </c>
      <c r="CN234" s="518" t="str">
        <f>IF(AND(_6="A-350",'2026'!$J$4="CA",'2026'!$J$2=CN233),'2026DATA'!$G$3,"")</f>
        <v/>
      </c>
      <c r="CO234" s="518" t="str">
        <f>IF(AND(_6="A-350",'2026'!$J$4="CA",'2026'!$J$2=CO233),'2026DATA'!$H$3,"")</f>
        <v/>
      </c>
      <c r="CP234" s="518" t="str">
        <f>IF(AND(_6="A-350",'2026'!$J$4="CA",'2026'!$J$2=CP233),'2026DATA'!$I$3,"")</f>
        <v/>
      </c>
      <c r="CQ234" s="518" t="str">
        <f>IF(AND(_6="A-350",'2026'!$J$4="CA",'2026'!$J$2=CQ233),'2026DATA'!$J$3,"")</f>
        <v/>
      </c>
      <c r="CR234" s="518" t="str">
        <f>IF(AND(_6="A-350",'2026'!$J$4="CA",'2026'!$J$2=CR233),'2026DATA'!$K$3,"")</f>
        <v/>
      </c>
      <c r="CS234" s="518" t="str">
        <f>IF(AND(_6="A-350",'2026'!$J$4="CA",'2026'!$J$2=CS233),'2026DATA'!$L$3,"")</f>
        <v/>
      </c>
      <c r="CT234" s="518" t="str">
        <f>IF(AND(_6="A-350",'2026'!$J$4="CA",'2026'!$J$2=CT233),'2026DATA'!$M$3,"")</f>
        <v/>
      </c>
      <c r="CU234" s="520" t="str">
        <f>IF(AND(_6="A-350",'2026'!$J$4="CA",'2026'!$J$2=CU233),'2026DATA'!$N$3,"")</f>
        <v/>
      </c>
    </row>
    <row r="235" spans="16:99" x14ac:dyDescent="0.25">
      <c r="P235" s="940"/>
      <c r="Q235" s="13" t="s">
        <v>62</v>
      </c>
      <c r="R235" s="518" t="str">
        <f>IF(AND(_1="A-350",'2026'!$J$4="FO",'2026'!$J$2=R233),'2026DATA'!$C$4,"")</f>
        <v/>
      </c>
      <c r="S235" s="518" t="str">
        <f>IF(AND(_1="A-350",'2026'!$J$4="FO",'2026'!$J$2=S233),'2026DATA'!$D$4,"")</f>
        <v/>
      </c>
      <c r="T235" s="518" t="str">
        <f>IF(AND(_1="A-350",'2026'!$J$4="FO",'2026'!$J$2=T233),'2026DATA'!$E$4,"")</f>
        <v/>
      </c>
      <c r="U235" s="518" t="str">
        <f>IF(AND(_1="A-350",'2026'!$J$4="FO",'2026'!$J$2=U233),'2026DATA'!$F$4,"")</f>
        <v/>
      </c>
      <c r="V235" s="518" t="str">
        <f>IF(AND(_1="A-350",'2026'!$J$4="FO",'2026'!$J$2=V233),'2026DATA'!$G$4,"")</f>
        <v/>
      </c>
      <c r="W235" s="518" t="str">
        <f>IF(AND(_1="A-350",'2026'!$J$4="FO",'2026'!$J$2=W233),'2026DATA'!$H$4,"")</f>
        <v/>
      </c>
      <c r="X235" s="518" t="str">
        <f>IF(AND(_1="A-350",'2026'!$J$4="FO",'2026'!$J$2=X233),'2026DATA'!$I$4,"")</f>
        <v/>
      </c>
      <c r="Y235" s="518" t="str">
        <f>IF(AND(_1="A-350",'2026'!$J$4="FO",'2026'!$J$2=Y233),'2026DATA'!$J$4,"")</f>
        <v/>
      </c>
      <c r="Z235" s="518" t="str">
        <f>IF(AND(_1="A-350",'2026'!$J$4="FO",'2026'!$J$2=Z233),'2026DATA'!$K$4,"")</f>
        <v/>
      </c>
      <c r="AA235" s="518" t="str">
        <f>IF(AND(_1="A-350",'2026'!$J$4="FO",'2026'!$J$2=AA233),'2026DATA'!$L$4,"")</f>
        <v/>
      </c>
      <c r="AB235" s="518" t="str">
        <f>IF(AND(_1="A-350",'2026'!$J$4="FO",'2026'!$J$2=AB233),'2026DATA'!$M$4,"")</f>
        <v/>
      </c>
      <c r="AC235" s="520" t="str">
        <f>IF(AND(_1="A-350",'2026'!$J$4="FO",'2026'!$J$2=AC233),'2026DATA'!$N$4,"")</f>
        <v/>
      </c>
      <c r="AD235" s="940"/>
      <c r="AE235" s="13" t="s">
        <v>62</v>
      </c>
      <c r="AF235" s="518" t="str">
        <f>IF(AND(_2="A-350",'2026'!$J$4="FO",'2026'!$J$2=AF233),'2026DATA'!$C$4,"")</f>
        <v/>
      </c>
      <c r="AG235" s="518" t="str">
        <f>IF(AND(_2="A-350",'2026'!$J$4="FO",'2026'!$J$2=AG233),'2026DATA'!$D$4,"")</f>
        <v/>
      </c>
      <c r="AH235" s="518" t="str">
        <f>IF(AND(_2="A-350",'2026'!$J$4="FO",'2026'!$J$2=AH233),'2026DATA'!$E$4,"")</f>
        <v/>
      </c>
      <c r="AI235" s="518" t="str">
        <f>IF(AND(_2="A-350",'2026'!$J$4="FO",'2026'!$J$2=AI233),'2026DATA'!$F$4,"")</f>
        <v/>
      </c>
      <c r="AJ235" s="518" t="str">
        <f>IF(AND(_2="A-350",'2026'!$J$4="FO",'2026'!$J$2=AJ233),'2026DATA'!$G$4,"")</f>
        <v/>
      </c>
      <c r="AK235" s="518" t="str">
        <f>IF(AND(_2="A-350",'2026'!$J$4="FO",'2026'!$J$2=AK233),'2026DATA'!$H$4,"")</f>
        <v/>
      </c>
      <c r="AL235" s="518" t="str">
        <f>IF(AND(_2="A-350",'2026'!$J$4="FO",'2026'!$J$2=AL233),'2026DATA'!$I$4,"")</f>
        <v/>
      </c>
      <c r="AM235" s="518" t="str">
        <f>IF(AND(_2="A-350",'2026'!$J$4="FO",'2026'!$J$2=AM233),'2026DATA'!$J$4,"")</f>
        <v/>
      </c>
      <c r="AN235" s="518" t="str">
        <f>IF(AND(_2="A-350",'2026'!$J$4="FO",'2026'!$J$2=AN233),'2026DATA'!$K$4,"")</f>
        <v/>
      </c>
      <c r="AO235" s="518" t="str">
        <f>IF(AND(_2="A-350",'2026'!$J$4="FO",'2026'!$J$2=AO233),'2026DATA'!$L$4,"")</f>
        <v/>
      </c>
      <c r="AP235" s="518" t="str">
        <f>IF(AND(_2="A-350",'2026'!$J$4="FO",'2026'!$J$2=AP233),'2026DATA'!$M$4,"")</f>
        <v/>
      </c>
      <c r="AQ235" s="520" t="str">
        <f>IF(AND(_2="A-350",'2026'!$J$4="FO",'2026'!$J$2=AQ233),'2026DATA'!$N$4,"")</f>
        <v/>
      </c>
      <c r="AR235" s="940"/>
      <c r="AS235" s="13" t="s">
        <v>62</v>
      </c>
      <c r="AT235" s="518" t="str">
        <f>IF(AND(_3="A-350",'2026'!$J$4="FO",'2026'!$J$2=AT233),'2026DATA'!$C$4,"")</f>
        <v/>
      </c>
      <c r="AU235" s="518" t="str">
        <f>IF(AND(_3="A-350",'2026'!$J$4="FO",'2026'!$J$2=AU233),'2026DATA'!$D$4,"")</f>
        <v/>
      </c>
      <c r="AV235" s="518" t="str">
        <f>IF(AND(_3="A-350",'2026'!$J$4="FO",'2026'!$J$2=AV233),'2026DATA'!$E$4,"")</f>
        <v/>
      </c>
      <c r="AW235" s="518" t="str">
        <f>IF(AND(_3="A-350",'2026'!$J$4="FO",'2026'!$J$2=AW233),'2026DATA'!$F$4,"")</f>
        <v/>
      </c>
      <c r="AX235" s="518" t="str">
        <f>IF(AND(_3="A-350",'2026'!$J$4="FO",'2026'!$J$2=AX233),'2026DATA'!$G$4,"")</f>
        <v/>
      </c>
      <c r="AY235" s="518" t="str">
        <f>IF(AND(_3="A-350",'2026'!$J$4="FO",'2026'!$J$2=AY233),'2026DATA'!$H$4,"")</f>
        <v/>
      </c>
      <c r="AZ235" s="518" t="str">
        <f>IF(AND(_3="A-350",'2026'!$J$4="FO",'2026'!$J$2=AZ233),'2026DATA'!$I$4,"")</f>
        <v/>
      </c>
      <c r="BA235" s="518" t="str">
        <f>IF(AND(_3="A-350",'2026'!$J$4="FO",'2026'!$J$2=BA233),'2026DATA'!$J$4,"")</f>
        <v/>
      </c>
      <c r="BB235" s="518" t="str">
        <f>IF(AND(_3="A-350",'2026'!$J$4="FO",'2026'!$J$2=BB233),'2026DATA'!$K$4,"")</f>
        <v/>
      </c>
      <c r="BC235" s="518" t="str">
        <f>IF(AND(_3="A-350",'2026'!$J$4="FO",'2026'!$J$2=BC233),'2026DATA'!$L$4,"")</f>
        <v/>
      </c>
      <c r="BD235" s="518" t="str">
        <f>IF(AND(_3="A-350",'2026'!$J$4="FO",'2026'!$J$2=BD233),'2026DATA'!$M$4,"")</f>
        <v/>
      </c>
      <c r="BE235" s="520" t="str">
        <f>IF(AND(_3="A-350",'2026'!$J$4="FO",'2026'!$J$2=BE233),'2026DATA'!$N$4,"")</f>
        <v/>
      </c>
      <c r="BF235" s="940"/>
      <c r="BG235" s="13" t="s">
        <v>62</v>
      </c>
      <c r="BH235" s="518" t="str">
        <f>IF(AND(_4="A-350",'2026'!$J$4="FO",'2026'!$J$2=BH233),'2026DATA'!$C$4,"")</f>
        <v/>
      </c>
      <c r="BI235" s="518" t="str">
        <f>IF(AND(_4="A-350",'2026'!$J$4="FO",'2026'!$J$2=BI233),'2026DATA'!$D$4,"")</f>
        <v/>
      </c>
      <c r="BJ235" s="518" t="str">
        <f>IF(AND(_4="A-350",'2026'!$J$4="FO",'2026'!$J$2=BJ233),'2026DATA'!$E$4,"")</f>
        <v/>
      </c>
      <c r="BK235" s="518" t="str">
        <f>IF(AND(_4="A-350",'2026'!$J$4="FO",'2026'!$J$2=BK233),'2026DATA'!$F$4,"")</f>
        <v/>
      </c>
      <c r="BL235" s="518" t="str">
        <f>IF(AND(_4="A-350",'2026'!$J$4="FO",'2026'!$J$2=BL233),'2026DATA'!$G$4,"")</f>
        <v/>
      </c>
      <c r="BM235" s="518" t="str">
        <f>IF(AND(_4="A-350",'2026'!$J$4="FO",'2026'!$J$2=BM233),'2026DATA'!$H$4,"")</f>
        <v/>
      </c>
      <c r="BN235" s="518" t="str">
        <f>IF(AND(_4="A-350",'2026'!$J$4="FO",'2026'!$J$2=BN233),'2026DATA'!$I$4,"")</f>
        <v/>
      </c>
      <c r="BO235" s="518" t="str">
        <f>IF(AND(_4="A-350",'2026'!$J$4="FO",'2026'!$J$2=BO233),'2026DATA'!$J$4,"")</f>
        <v/>
      </c>
      <c r="BP235" s="518" t="str">
        <f>IF(AND(_4="A-350",'2026'!$J$4="FO",'2026'!$J$2=BP233),'2026DATA'!$K$4,"")</f>
        <v/>
      </c>
      <c r="BQ235" s="518" t="str">
        <f>IF(AND(_4="A-350",'2026'!$J$4="FO",'2026'!$J$2=BQ233),'2026DATA'!$L$4,"")</f>
        <v/>
      </c>
      <c r="BR235" s="518" t="str">
        <f>IF(AND(_4="A-350",'2026'!$J$4="FO",'2026'!$J$2=BR233),'2026DATA'!$M$4,"")</f>
        <v/>
      </c>
      <c r="BS235" s="520" t="str">
        <f>IF(AND(_4="A-350",'2026'!$J$4="FO",'2026'!$J$2=BS233),'2026DATA'!$N$4,"")</f>
        <v/>
      </c>
      <c r="BT235" s="940"/>
      <c r="BU235" s="13" t="s">
        <v>62</v>
      </c>
      <c r="BV235" s="518" t="str">
        <f>IF(AND(_5="A-350",'2026'!$J$4="FO",'2026'!$J$2=BV233),'2026DATA'!$C$4,"")</f>
        <v/>
      </c>
      <c r="BW235" s="518" t="str">
        <f>IF(AND(_5="A-350",'2026'!$J$4="FO",'2026'!$J$2=BW233),'2026DATA'!$D$4,"")</f>
        <v/>
      </c>
      <c r="BX235" s="518" t="str">
        <f>IF(AND(_5="A-350",'2026'!$J$4="FO",'2026'!$J$2=BX233),'2026DATA'!$E$4,"")</f>
        <v/>
      </c>
      <c r="BY235" s="518" t="str">
        <f>IF(AND(_5="A-350",'2026'!$J$4="FO",'2026'!$J$2=BY233),'2026DATA'!$F$4,"")</f>
        <v/>
      </c>
      <c r="BZ235" s="518" t="str">
        <f>IF(AND(_5="A-350",'2026'!$J$4="FO",'2026'!$J$2=BZ233),'2026DATA'!$G$4,"")</f>
        <v/>
      </c>
      <c r="CA235" s="518" t="str">
        <f>IF(AND(_5="A-350",'2026'!$J$4="FO",'2026'!$J$2=CA233),'2026DATA'!$H$4,"")</f>
        <v/>
      </c>
      <c r="CB235" s="518" t="str">
        <f>IF(AND(_5="A-350",'2026'!$J$4="FO",'2026'!$J$2=CB233),'2026DATA'!$I$4,"")</f>
        <v/>
      </c>
      <c r="CC235" s="518" t="str">
        <f>IF(AND(_5="A-350",'2026'!$J$4="FO",'2026'!$J$2=CC233),'2026DATA'!$J$4,"")</f>
        <v/>
      </c>
      <c r="CD235" s="518" t="str">
        <f>IF(AND(_5="A-350",'2026'!$J$4="FO",'2026'!$J$2=CD233),'2026DATA'!$K$4,"")</f>
        <v/>
      </c>
      <c r="CE235" s="518" t="str">
        <f>IF(AND(_5="A-350",'2026'!$J$4="FO",'2026'!$J$2=CE233),'2026DATA'!$L$4,"")</f>
        <v/>
      </c>
      <c r="CF235" s="518" t="str">
        <f>IF(AND(_5="A-350",'2026'!$J$4="FO",'2026'!$J$2=CF233),'2026DATA'!$M$4,"")</f>
        <v/>
      </c>
      <c r="CG235" s="520" t="str">
        <f>IF(AND(_5="A-350",'2026'!$J$4="FO",'2026'!$J$2=CG233),'2026DATA'!$N$4,"")</f>
        <v/>
      </c>
      <c r="CH235" s="940"/>
      <c r="CI235" s="13" t="s">
        <v>62</v>
      </c>
      <c r="CJ235" s="518" t="str">
        <f>IF(AND(_6="A-350",'2026'!$J$4="FO",'2026'!$J$2=CJ233),'2026DATA'!$C$4,"")</f>
        <v/>
      </c>
      <c r="CK235" s="518" t="str">
        <f>IF(AND(_6="A-350",'2026'!$J$4="FO",'2026'!$J$2=CK233),'2026DATA'!$D$4,"")</f>
        <v/>
      </c>
      <c r="CL235" s="518" t="str">
        <f>IF(AND(_6="A-350",'2026'!$J$4="FO",'2026'!$J$2=CL233),'2026DATA'!$E$4,"")</f>
        <v/>
      </c>
      <c r="CM235" s="518" t="str">
        <f>IF(AND(_6="A-350",'2026'!$J$4="FO",'2026'!$J$2=CM233),'2026DATA'!$F$4,"")</f>
        <v/>
      </c>
      <c r="CN235" s="518" t="str">
        <f>IF(AND(_6="A-350",'2026'!$J$4="FO",'2026'!$J$2=CN233),'2026DATA'!$G$4,"")</f>
        <v/>
      </c>
      <c r="CO235" s="518" t="str">
        <f>IF(AND(_6="A-350",'2026'!$J$4="FO",'2026'!$J$2=CO233),'2026DATA'!$H$4,"")</f>
        <v/>
      </c>
      <c r="CP235" s="518" t="str">
        <f>IF(AND(_6="A-350",'2026'!$J$4="FO",'2026'!$J$2=CP233),'2026DATA'!$I$4,"")</f>
        <v/>
      </c>
      <c r="CQ235" s="518" t="str">
        <f>IF(AND(_6="A-350",'2026'!$J$4="FO",'2026'!$J$2=CQ233),'2026DATA'!$J$4,"")</f>
        <v/>
      </c>
      <c r="CR235" s="518" t="str">
        <f>IF(AND(_6="A-350",'2026'!$J$4="FO",'2026'!$J$2=CR233),'2026DATA'!$K$4,"")</f>
        <v/>
      </c>
      <c r="CS235" s="518" t="str">
        <f>IF(AND(_6="A-350",'2026'!$J$4="FO",'2026'!$J$2=CS233),'2026DATA'!$L$4,"")</f>
        <v/>
      </c>
      <c r="CT235" s="518" t="str">
        <f>IF(AND(_6="A-350",'2026'!$J$4="FO",'2026'!$J$2=CT233),'2026DATA'!$M$4,"")</f>
        <v/>
      </c>
      <c r="CU235" s="520" t="str">
        <f>IF(AND(_6="A-350",'2026'!$J$4="FO",'2026'!$J$2=CU233),'2026DATA'!$N$4,"")</f>
        <v/>
      </c>
    </row>
    <row r="236" spans="16:99" x14ac:dyDescent="0.25">
      <c r="P236" s="940" t="s">
        <v>65</v>
      </c>
      <c r="Q236" s="13" t="s">
        <v>61</v>
      </c>
      <c r="R236" s="518" t="str">
        <f>IF(AND(_1="A-330-900",'2026'!$J$4="CA",'2026'!$J$2=R233),'2026DATA'!$C$5,"")</f>
        <v/>
      </c>
      <c r="S236" s="518" t="str">
        <f>IF(AND(_1="A-330-900",'2026'!$J$4="CA",'2026'!$J$2=S233),'2026DATA'!$D$5,"")</f>
        <v/>
      </c>
      <c r="T236" s="518" t="str">
        <f>IF(AND(_1="A-330-900",'2026'!$J$4="CA",'2026'!$J$2=T233),'2026DATA'!$E$5,"")</f>
        <v/>
      </c>
      <c r="U236" s="518" t="str">
        <f>IF(AND(_1="A-330-900",'2026'!$J$4="CA",'2026'!$J$2=U233),'2026DATA'!$F$5,"")</f>
        <v/>
      </c>
      <c r="V236" s="518" t="str">
        <f>IF(AND(_1="A-330-900",'2026'!$J$4="CA",'2026'!$J$2=V233),'2026DATA'!$G$5,"")</f>
        <v/>
      </c>
      <c r="W236" s="518" t="str">
        <f>IF(AND(_1="A-330-900",'2026'!$J$4="CA",'2026'!$J$2=W233),'2026DATA'!$H$5,"")</f>
        <v/>
      </c>
      <c r="X236" s="518" t="str">
        <f>IF(AND(_1="A-330-900",'2026'!$J$4="CA",'2026'!$J$2=X233),'2026DATA'!$I$5,"")</f>
        <v/>
      </c>
      <c r="Y236" s="518" t="str">
        <f>IF(AND(_1="A-330-900",'2026'!$J$4="CA",'2026'!$J$2=Y233),'2026DATA'!$J$5,"")</f>
        <v/>
      </c>
      <c r="Z236" s="518" t="str">
        <f>IF(AND(_1="A-330-900",'2026'!$J$4="CA",'2026'!$J$2=Z233),'2026DATA'!$K$5,"")</f>
        <v/>
      </c>
      <c r="AA236" s="518" t="str">
        <f>IF(AND(_1="A-330-900",'2026'!$J$4="CA",'2026'!$J$2=AA233),'2026DATA'!$L$5,"")</f>
        <v/>
      </c>
      <c r="AB236" s="518" t="str">
        <f>IF(AND(_1="A-330-900",'2026'!$J$4="CA",'2026'!$J$2=AB233),'2026DATA'!$M$5,"")</f>
        <v/>
      </c>
      <c r="AC236" s="520" t="str">
        <f>IF(AND(_1="A-330-900",'2026'!$J$4="CA",'2026'!$J$2=AC233),'2026DATA'!$N$5,"")</f>
        <v/>
      </c>
      <c r="AD236" s="940" t="s">
        <v>65</v>
      </c>
      <c r="AE236" s="13" t="s">
        <v>61</v>
      </c>
      <c r="AF236" s="518" t="str">
        <f>IF(AND(_2="A-330-900",'2026'!$J$4="CA",'2026'!$J$2=AF233),'2026DATA'!$C$5,"")</f>
        <v/>
      </c>
      <c r="AG236" s="518" t="str">
        <f>IF(AND(_2="A-330-900",'2026'!$J$4="CA",'2026'!$J$2=AG233),'2026DATA'!$D$5,"")</f>
        <v/>
      </c>
      <c r="AH236" s="518" t="str">
        <f>IF(AND(_2="A-330-900",'2026'!$J$4="CA",'2026'!$J$2=AH233),'2026DATA'!$E$5,"")</f>
        <v/>
      </c>
      <c r="AI236" s="518" t="str">
        <f>IF(AND(_2="A-330-900",'2026'!$J$4="CA",'2026'!$J$2=AI233),'2026DATA'!$F$5,"")</f>
        <v/>
      </c>
      <c r="AJ236" s="518" t="str">
        <f>IF(AND(_2="A-330-900",'2026'!$J$4="CA",'2026'!$J$2=AJ233),'2026DATA'!$G$5,"")</f>
        <v/>
      </c>
      <c r="AK236" s="518" t="str">
        <f>IF(AND(_2="A-330-900",'2026'!$J$4="CA",'2026'!$J$2=AK233),'2026DATA'!$H$5,"")</f>
        <v/>
      </c>
      <c r="AL236" s="518" t="str">
        <f>IF(AND(_2="A-330-900",'2026'!$J$4="CA",'2026'!$J$2=AL233),'2026DATA'!$I$5,"")</f>
        <v/>
      </c>
      <c r="AM236" s="518" t="str">
        <f>IF(AND(_2="A-330-900",'2026'!$J$4="CA",'2026'!$J$2=AM233),'2026DATA'!$J$5,"")</f>
        <v/>
      </c>
      <c r="AN236" s="518" t="str">
        <f>IF(AND(_2="A-330-900",'2026'!$J$4="CA",'2026'!$J$2=AN233),'2026DATA'!$K$5,"")</f>
        <v/>
      </c>
      <c r="AO236" s="518" t="str">
        <f>IF(AND(_2="A-330-900",'2026'!$J$4="CA",'2026'!$J$2=AO233),'2026DATA'!$L$5,"")</f>
        <v/>
      </c>
      <c r="AP236" s="518" t="str">
        <f>IF(AND(_2="A-330-900",'2026'!$J$4="CA",'2026'!$J$2=AP233),'2026DATA'!$M$5,"")</f>
        <v/>
      </c>
      <c r="AQ236" s="520" t="str">
        <f>IF(AND(_2="A-330-900",'2026'!$J$4="CA",'2026'!$J$2=AQ233),'2026DATA'!$N$5,"")</f>
        <v/>
      </c>
      <c r="AR236" s="940" t="s">
        <v>65</v>
      </c>
      <c r="AS236" s="13" t="s">
        <v>61</v>
      </c>
      <c r="AT236" s="518" t="str">
        <f>IF(AND(_3="A-330-900",'2026'!$J$4="CA",'2026'!$J$2=AT233),'2026DATA'!$C$5,"")</f>
        <v/>
      </c>
      <c r="AU236" s="518" t="str">
        <f>IF(AND(_3="A-330-900",'2026'!$J$4="CA",'2026'!$J$2=AU233),'2026DATA'!$D$5,"")</f>
        <v/>
      </c>
      <c r="AV236" s="518" t="str">
        <f>IF(AND(_3="A-330-900",'2026'!$J$4="CA",'2026'!$J$2=AV233),'2026DATA'!$E$5,"")</f>
        <v/>
      </c>
      <c r="AW236" s="518" t="str">
        <f>IF(AND(_3="A-330-900",'2026'!$J$4="CA",'2026'!$J$2=AW233),'2026DATA'!$F$5,"")</f>
        <v/>
      </c>
      <c r="AX236" s="518" t="str">
        <f>IF(AND(_3="A-330-900",'2026'!$J$4="CA",'2026'!$J$2=AX233),'2026DATA'!$G$5,"")</f>
        <v/>
      </c>
      <c r="AY236" s="518" t="str">
        <f>IF(AND(_3="A-330-900",'2026'!$J$4="CA",'2026'!$J$2=AY233),'2026DATA'!$H$5,"")</f>
        <v/>
      </c>
      <c r="AZ236" s="518" t="str">
        <f>IF(AND(_3="A-330-900",'2026'!$J$4="CA",'2026'!$J$2=AZ233),'2026DATA'!$I$5,"")</f>
        <v/>
      </c>
      <c r="BA236" s="518" t="str">
        <f>IF(AND(_3="A-330-900",'2026'!$J$4="CA",'2026'!$J$2=BA233),'2026DATA'!$J$5,"")</f>
        <v/>
      </c>
      <c r="BB236" s="518" t="str">
        <f>IF(AND(_3="A-330-900",'2026'!$J$4="CA",'2026'!$J$2=BB233),'2026DATA'!$K$5,"")</f>
        <v/>
      </c>
      <c r="BC236" s="518" t="str">
        <f>IF(AND(_3="A-330-900",'2026'!$J$4="CA",'2026'!$J$2=BC233),'2026DATA'!$L$5,"")</f>
        <v/>
      </c>
      <c r="BD236" s="518" t="str">
        <f>IF(AND(_3="A-330-900",'2026'!$J$4="CA",'2026'!$J$2=BD233),'2026DATA'!$M$5,"")</f>
        <v/>
      </c>
      <c r="BE236" s="520" t="str">
        <f>IF(AND(_3="A-330-900",'2026'!$J$4="CA",'2026'!$J$2=BE233),'2026DATA'!$N$5,"")</f>
        <v/>
      </c>
      <c r="BF236" s="940" t="s">
        <v>65</v>
      </c>
      <c r="BG236" s="13" t="s">
        <v>61</v>
      </c>
      <c r="BH236" s="518" t="str">
        <f>IF(AND(_4="A-330-900",'2026'!$J$4="CA",'2026'!$J$2=BH233),'2026DATA'!$C$5,"")</f>
        <v/>
      </c>
      <c r="BI236" s="518" t="str">
        <f>IF(AND(_4="A-330-900",'2026'!$J$4="CA",'2026'!$J$2=BI233),'2026DATA'!$D$5,"")</f>
        <v/>
      </c>
      <c r="BJ236" s="518" t="str">
        <f>IF(AND(_4="A-330-900",'2026'!$J$4="CA",'2026'!$J$2=BJ233),'2026DATA'!$E$5,"")</f>
        <v/>
      </c>
      <c r="BK236" s="518" t="str">
        <f>IF(AND(_4="A-330-900",'2026'!$J$4="CA",'2026'!$J$2=BK233),'2026DATA'!$F$5,"")</f>
        <v/>
      </c>
      <c r="BL236" s="518" t="str">
        <f>IF(AND(_4="A-330-900",'2026'!$J$4="CA",'2026'!$J$2=BL233),'2026DATA'!$G$5,"")</f>
        <v/>
      </c>
      <c r="BM236" s="518" t="str">
        <f>IF(AND(_4="A-330-900",'2026'!$J$4="CA",'2026'!$J$2=BM233),'2026DATA'!$H$5,"")</f>
        <v/>
      </c>
      <c r="BN236" s="518" t="str">
        <f>IF(AND(_4="A-330-900",'2026'!$J$4="CA",'2026'!$J$2=BN233),'2026DATA'!$I$5,"")</f>
        <v/>
      </c>
      <c r="BO236" s="518" t="str">
        <f>IF(AND(_4="A-330-900",'2026'!$J$4="CA",'2026'!$J$2=BO233),'2026DATA'!$J$5,"")</f>
        <v/>
      </c>
      <c r="BP236" s="518" t="str">
        <f>IF(AND(_4="A-330-900",'2026'!$J$4="CA",'2026'!$J$2=BP233),'2026DATA'!$K$5,"")</f>
        <v/>
      </c>
      <c r="BQ236" s="518" t="str">
        <f>IF(AND(_4="A-330-900",'2026'!$J$4="CA",'2026'!$J$2=BQ233),'2026DATA'!$L$5,"")</f>
        <v/>
      </c>
      <c r="BR236" s="518" t="str">
        <f>IF(AND(_4="A-330-900",'2026'!$J$4="CA",'2026'!$J$2=BR233),'2026DATA'!$M$5,"")</f>
        <v/>
      </c>
      <c r="BS236" s="520" t="str">
        <f>IF(AND(_4="A-330-900",'2026'!$J$4="CA",'2026'!$J$2=BS233),'2026DATA'!$N$5,"")</f>
        <v/>
      </c>
      <c r="BT236" s="940" t="s">
        <v>65</v>
      </c>
      <c r="BU236" s="13" t="s">
        <v>61</v>
      </c>
      <c r="BV236" s="518" t="str">
        <f>IF(AND(_5="A-330-900",'2026'!$J$4="CA",'2026'!$J$2=BV233),'2026DATA'!$C$5,"")</f>
        <v/>
      </c>
      <c r="BW236" s="518" t="str">
        <f>IF(AND(_5="A-330-900",'2026'!$J$4="CA",'2026'!$J$2=BW233),'2026DATA'!$D$5,"")</f>
        <v/>
      </c>
      <c r="BX236" s="518" t="str">
        <f>IF(AND(_5="A-330-900",'2026'!$J$4="CA",'2026'!$J$2=BX233),'2026DATA'!$E$5,"")</f>
        <v/>
      </c>
      <c r="BY236" s="518" t="str">
        <f>IF(AND(_5="A-330-900",'2026'!$J$4="CA",'2026'!$J$2=BY233),'2026DATA'!$F$5,"")</f>
        <v/>
      </c>
      <c r="BZ236" s="518" t="str">
        <f>IF(AND(_5="A-330-900",'2026'!$J$4="CA",'2026'!$J$2=BZ233),'2026DATA'!$G$5,"")</f>
        <v/>
      </c>
      <c r="CA236" s="518" t="str">
        <f>IF(AND(_5="A-330-900",'2026'!$J$4="CA",'2026'!$J$2=CA233),'2026DATA'!$H$5,"")</f>
        <v/>
      </c>
      <c r="CB236" s="518" t="str">
        <f>IF(AND(_5="A-330-900",'2026'!$J$4="CA",'2026'!$J$2=CB233),'2026DATA'!$I$5,"")</f>
        <v/>
      </c>
      <c r="CC236" s="518" t="str">
        <f>IF(AND(_5="A-330-900",'2026'!$J$4="CA",'2026'!$J$2=CC233),'2026DATA'!$J$5,"")</f>
        <v/>
      </c>
      <c r="CD236" s="518" t="str">
        <f>IF(AND(_5="A-330-900",'2026'!$J$4="CA",'2026'!$J$2=CD233),'2026DATA'!$K$5,"")</f>
        <v/>
      </c>
      <c r="CE236" s="518" t="str">
        <f>IF(AND(_5="A-330-900",'2026'!$J$4="CA",'2026'!$J$2=CE233),'2026DATA'!$L$5,"")</f>
        <v/>
      </c>
      <c r="CF236" s="518" t="str">
        <f>IF(AND(_5="A-330-900",'2026'!$J$4="CA",'2026'!$J$2=CF233),'2026DATA'!$M$5,"")</f>
        <v/>
      </c>
      <c r="CG236" s="520" t="str">
        <f>IF(AND(_5="A-330-900",'2026'!$J$4="CA",'2026'!$J$2=CG233),'2026DATA'!$N$5,"")</f>
        <v/>
      </c>
      <c r="CH236" s="940" t="s">
        <v>65</v>
      </c>
      <c r="CI236" s="13" t="s">
        <v>61</v>
      </c>
      <c r="CJ236" s="518" t="str">
        <f>IF(AND(_6="A-330-900",'2026'!$J$4="CA",'2026'!$J$2=CJ233),'2026DATA'!$C$5,"")</f>
        <v/>
      </c>
      <c r="CK236" s="518" t="str">
        <f>IF(AND(_6="A-330-900",'2026'!$J$4="CA",'2026'!$J$2=CK233),'2026DATA'!$D$5,"")</f>
        <v/>
      </c>
      <c r="CL236" s="518" t="str">
        <f>IF(AND(_6="A-330-900",'2026'!$J$4="CA",'2026'!$J$2=CL233),'2026DATA'!$E$5,"")</f>
        <v/>
      </c>
      <c r="CM236" s="518" t="str">
        <f>IF(AND(_6="A-330-900",'2026'!$J$4="CA",'2026'!$J$2=CM233),'2026DATA'!$F$5,"")</f>
        <v/>
      </c>
      <c r="CN236" s="518" t="str">
        <f>IF(AND(_6="A-330-900",'2026'!$J$4="CA",'2026'!$J$2=CN233),'2026DATA'!$G$5,"")</f>
        <v/>
      </c>
      <c r="CO236" s="518" t="str">
        <f>IF(AND(_6="A-330-900",'2026'!$J$4="CA",'2026'!$J$2=CO233),'2026DATA'!$H$5,"")</f>
        <v/>
      </c>
      <c r="CP236" s="518" t="str">
        <f>IF(AND(_6="A-330-900",'2026'!$J$4="CA",'2026'!$J$2=CP233),'2026DATA'!$I$5,"")</f>
        <v/>
      </c>
      <c r="CQ236" s="518" t="str">
        <f>IF(AND(_6="A-330-900",'2026'!$J$4="CA",'2026'!$J$2=CQ233),'2026DATA'!$J$5,"")</f>
        <v/>
      </c>
      <c r="CR236" s="518" t="str">
        <f>IF(AND(_6="A-330-900",'2026'!$J$4="CA",'2026'!$J$2=CR233),'2026DATA'!$K$5,"")</f>
        <v/>
      </c>
      <c r="CS236" s="518" t="str">
        <f>IF(AND(_6="A-330-900",'2026'!$J$4="CA",'2026'!$J$2=CS233),'2026DATA'!$L$5,"")</f>
        <v/>
      </c>
      <c r="CT236" s="518" t="str">
        <f>IF(AND(_6="A-330-900",'2026'!$J$4="CA",'2026'!$J$2=CT233),'2026DATA'!$M$5,"")</f>
        <v/>
      </c>
      <c r="CU236" s="520" t="str">
        <f>IF(AND(_6="A-330-900",'2026'!$J$4="CA",'2026'!$J$2=CU233),'2026DATA'!$N$5,"")</f>
        <v/>
      </c>
    </row>
    <row r="237" spans="16:99" x14ac:dyDescent="0.25">
      <c r="P237" s="940"/>
      <c r="Q237" s="13" t="s">
        <v>62</v>
      </c>
      <c r="R237" s="518" t="str">
        <f>IF(AND(_1="A-330-900",'2026'!$J$4="FO",'2026'!$J$2=R233),'2026DATA'!$C$6,"")</f>
        <v/>
      </c>
      <c r="S237" s="518" t="str">
        <f>IF(AND(_1="A-330-900",'2026'!$J$4="FO",'2026'!$J$2=S233),'2026DATA'!$D$6,"")</f>
        <v/>
      </c>
      <c r="T237" s="518" t="str">
        <f>IF(AND(_1="A-330-900",'2026'!$J$4="FO",'2026'!$J$2=T233),'2026DATA'!$E$6,"")</f>
        <v/>
      </c>
      <c r="U237" s="518" t="str">
        <f>IF(AND(_1="A-330-900",'2026'!$J$4="FO",'2026'!$J$2=U233),'2026DATA'!$F$6,"")</f>
        <v/>
      </c>
      <c r="V237" s="518" t="str">
        <f>IF(AND(_1="A-330-900",'2026'!$J$4="FO",'2026'!$J$2=V233),'2026DATA'!$G$6,"")</f>
        <v/>
      </c>
      <c r="W237" s="518" t="str">
        <f>IF(AND(_1="A-330-900",'2026'!$J$4="FO",'2026'!$J$2=W233),'2026DATA'!$H$6,"")</f>
        <v/>
      </c>
      <c r="X237" s="518" t="str">
        <f>IF(AND(_1="A-330-900",'2026'!$J$4="FO",'2026'!$J$2=X233),'2026DATA'!$I$6,"")</f>
        <v/>
      </c>
      <c r="Y237" s="518" t="str">
        <f>IF(AND(_1="A-330-900",'2026'!$J$4="FO",'2026'!$J$2=Y233),'2026DATA'!$J$6,"")</f>
        <v/>
      </c>
      <c r="Z237" s="518" t="str">
        <f>IF(AND(_1="A-330-900",'2026'!$J$4="FO",'2026'!$J$2=Z233),'2026DATA'!$K$6,"")</f>
        <v/>
      </c>
      <c r="AA237" s="518" t="str">
        <f>IF(AND(_1="A-330-900",'2026'!$J$4="FO",'2026'!$J$2=AA233),'2026DATA'!$L$6,"")</f>
        <v/>
      </c>
      <c r="AB237" s="518" t="str">
        <f>IF(AND(_1="A-330-900",'2026'!$J$4="FO",'2026'!$J$2=AB233),'2026DATA'!$M$6,"")</f>
        <v/>
      </c>
      <c r="AC237" s="520" t="str">
        <f>IF(AND(_1="A-330-900",'2026'!$J$4="FO",'2026'!$J$2=AC233),'2026DATA'!$N$6,"")</f>
        <v/>
      </c>
      <c r="AD237" s="940"/>
      <c r="AE237" s="13" t="s">
        <v>62</v>
      </c>
      <c r="AF237" s="518" t="str">
        <f>IF(AND(_2="A-330-900",'2026'!$J$4="FO",'2026'!$J$2=AF233),'2026DATA'!$C$6,"")</f>
        <v/>
      </c>
      <c r="AG237" s="518" t="str">
        <f>IF(AND(_2="A-330-900",'2026'!$J$4="FO",'2026'!$J$2=AG233),'2026DATA'!$D$6,"")</f>
        <v/>
      </c>
      <c r="AH237" s="518" t="str">
        <f>IF(AND(_2="A-330-900",'2026'!$J$4="FO",'2026'!$J$2=AH233),'2026DATA'!$E$6,"")</f>
        <v/>
      </c>
      <c r="AI237" s="518" t="str">
        <f>IF(AND(_2="A-330-900",'2026'!$J$4="FO",'2026'!$J$2=AI233),'2026DATA'!$F$6,"")</f>
        <v/>
      </c>
      <c r="AJ237" s="518" t="str">
        <f>IF(AND(_2="A-330-900",'2026'!$J$4="FO",'2026'!$J$2=AJ233),'2026DATA'!$G$6,"")</f>
        <v/>
      </c>
      <c r="AK237" s="518" t="str">
        <f>IF(AND(_2="A-330-900",'2026'!$J$4="FO",'2026'!$J$2=AK233),'2026DATA'!$H$6,"")</f>
        <v/>
      </c>
      <c r="AL237" s="518" t="str">
        <f>IF(AND(_2="A-330-900",'2026'!$J$4="FO",'2026'!$J$2=AL233),'2026DATA'!$I$6,"")</f>
        <v/>
      </c>
      <c r="AM237" s="518" t="str">
        <f>IF(AND(_2="A-330-900",'2026'!$J$4="FO",'2026'!$J$2=AM233),'2026DATA'!$J$6,"")</f>
        <v/>
      </c>
      <c r="AN237" s="518" t="str">
        <f>IF(AND(_2="A-330-900",'2026'!$J$4="FO",'2026'!$J$2=AN233),'2026DATA'!$K$6,"")</f>
        <v/>
      </c>
      <c r="AO237" s="518" t="str">
        <f>IF(AND(_2="A-330-900",'2026'!$J$4="FO",'2026'!$J$2=AO233),'2026DATA'!$L$6,"")</f>
        <v/>
      </c>
      <c r="AP237" s="518" t="str">
        <f>IF(AND(_2="A-330-900",'2026'!$J$4="FO",'2026'!$J$2=AP233),'2026DATA'!$M$6,"")</f>
        <v/>
      </c>
      <c r="AQ237" s="520" t="str">
        <f>IF(AND(_2="A-330-900",'2026'!$J$4="FO",'2026'!$J$2=AQ233),'2026DATA'!$N$6,"")</f>
        <v/>
      </c>
      <c r="AR237" s="940"/>
      <c r="AS237" s="13" t="s">
        <v>62</v>
      </c>
      <c r="AT237" s="518" t="str">
        <f>IF(AND(_3="A-330-900",'2026'!$J$4="FO",'2026'!$J$2=AT233),'2026DATA'!$C$6,"")</f>
        <v/>
      </c>
      <c r="AU237" s="518" t="str">
        <f>IF(AND(_3="A-330-900",'2026'!$J$4="FO",'2026'!$J$2=AU233),'2026DATA'!$D$6,"")</f>
        <v/>
      </c>
      <c r="AV237" s="518" t="str">
        <f>IF(AND(_3="A-330-900",'2026'!$J$4="FO",'2026'!$J$2=AV233),'2026DATA'!$E$6,"")</f>
        <v/>
      </c>
      <c r="AW237" s="518" t="str">
        <f>IF(AND(_3="A-330-900",'2026'!$J$4="FO",'2026'!$J$2=AW233),'2026DATA'!$F$6,"")</f>
        <v/>
      </c>
      <c r="AX237" s="518" t="str">
        <f>IF(AND(_3="A-330-900",'2026'!$J$4="FO",'2026'!$J$2=AX233),'2026DATA'!$G$6,"")</f>
        <v/>
      </c>
      <c r="AY237" s="518" t="str">
        <f>IF(AND(_3="A-330-900",'2026'!$J$4="FO",'2026'!$J$2=AY233),'2026DATA'!$H$6,"")</f>
        <v/>
      </c>
      <c r="AZ237" s="518" t="str">
        <f>IF(AND(_3="A-330-900",'2026'!$J$4="FO",'2026'!$J$2=AZ233),'2026DATA'!$I$6,"")</f>
        <v/>
      </c>
      <c r="BA237" s="518" t="str">
        <f>IF(AND(_3="A-330-900",'2026'!$J$4="FO",'2026'!$J$2=BA233),'2026DATA'!$J$6,"")</f>
        <v/>
      </c>
      <c r="BB237" s="518" t="str">
        <f>IF(AND(_3="A-330-900",'2026'!$J$4="FO",'2026'!$J$2=BB233),'2026DATA'!$K$6,"")</f>
        <v/>
      </c>
      <c r="BC237" s="518" t="str">
        <f>IF(AND(_3="A-330-900",'2026'!$J$4="FO",'2026'!$J$2=BC233),'2026DATA'!$L$6,"")</f>
        <v/>
      </c>
      <c r="BD237" s="518" t="str">
        <f>IF(AND(_3="A-330-900",'2026'!$J$4="FO",'2026'!$J$2=BD233),'2026DATA'!$M$6,"")</f>
        <v/>
      </c>
      <c r="BE237" s="520" t="str">
        <f>IF(AND(_3="A-330-900",'2026'!$J$4="FO",'2026'!$J$2=BE233),'2026DATA'!$N$6,"")</f>
        <v/>
      </c>
      <c r="BF237" s="940"/>
      <c r="BG237" s="13" t="s">
        <v>62</v>
      </c>
      <c r="BH237" s="518" t="str">
        <f>IF(AND(_4="A-330-900",'2026'!$J$4="FO",'2026'!$J$2=BH233),'2026DATA'!$C$6,"")</f>
        <v/>
      </c>
      <c r="BI237" s="518" t="str">
        <f>IF(AND(_4="A-330-900",'2026'!$J$4="FO",'2026'!$J$2=BI233),'2026DATA'!$D$6,"")</f>
        <v/>
      </c>
      <c r="BJ237" s="518" t="str">
        <f>IF(AND(_4="A-330-900",'2026'!$J$4="FO",'2026'!$J$2=BJ233),'2026DATA'!$E$6,"")</f>
        <v/>
      </c>
      <c r="BK237" s="518" t="str">
        <f>IF(AND(_4="A-330-900",'2026'!$J$4="FO",'2026'!$J$2=BK233),'2026DATA'!$F$6,"")</f>
        <v/>
      </c>
      <c r="BL237" s="518" t="str">
        <f>IF(AND(_4="A-330-900",'2026'!$J$4="FO",'2026'!$J$2=BL233),'2026DATA'!$G$6,"")</f>
        <v/>
      </c>
      <c r="BM237" s="518" t="str">
        <f>IF(AND(_4="A-330-900",'2026'!$J$4="FO",'2026'!$J$2=BM233),'2026DATA'!$H$6,"")</f>
        <v/>
      </c>
      <c r="BN237" s="518" t="str">
        <f>IF(AND(_4="A-330-900",'2026'!$J$4="FO",'2026'!$J$2=BN233),'2026DATA'!$I$6,"")</f>
        <v/>
      </c>
      <c r="BO237" s="518" t="str">
        <f>IF(AND(_4="A-330-900",'2026'!$J$4="FO",'2026'!$J$2=BO233),'2026DATA'!$J$6,"")</f>
        <v/>
      </c>
      <c r="BP237" s="518" t="str">
        <f>IF(AND(_4="A-330-900",'2026'!$J$4="FO",'2026'!$J$2=BP233),'2026DATA'!$K$6,"")</f>
        <v/>
      </c>
      <c r="BQ237" s="518" t="str">
        <f>IF(AND(_4="A-330-900",'2026'!$J$4="FO",'2026'!$J$2=BQ233),'2026DATA'!$L$6,"")</f>
        <v/>
      </c>
      <c r="BR237" s="518" t="str">
        <f>IF(AND(_4="A-330-900",'2026'!$J$4="FO",'2026'!$J$2=BR233),'2026DATA'!$M$6,"")</f>
        <v/>
      </c>
      <c r="BS237" s="520" t="str">
        <f>IF(AND(_4="A-330-900",'2026'!$J$4="FO",'2026'!$J$2=BS233),'2026DATA'!$N$6,"")</f>
        <v/>
      </c>
      <c r="BT237" s="940"/>
      <c r="BU237" s="13" t="s">
        <v>62</v>
      </c>
      <c r="BV237" s="518" t="str">
        <f>IF(AND(_5="A-330-900",'2026'!$J$4="FO",'2026'!$J$2=BV233),'2026DATA'!$C$6,"")</f>
        <v/>
      </c>
      <c r="BW237" s="518" t="str">
        <f>IF(AND(_5="A-330-900",'2026'!$J$4="FO",'2026'!$J$2=BW233),'2026DATA'!$D$6,"")</f>
        <v/>
      </c>
      <c r="BX237" s="518" t="str">
        <f>IF(AND(_5="A-330-900",'2026'!$J$4="FO",'2026'!$J$2=BX233),'2026DATA'!$E$6,"")</f>
        <v/>
      </c>
      <c r="BY237" s="518" t="str">
        <f>IF(AND(_5="A-330-900",'2026'!$J$4="FO",'2026'!$J$2=BY233),'2026DATA'!$F$6,"")</f>
        <v/>
      </c>
      <c r="BZ237" s="518" t="str">
        <f>IF(AND(_5="A-330-900",'2026'!$J$4="FO",'2026'!$J$2=BZ233),'2026DATA'!$G$6,"")</f>
        <v/>
      </c>
      <c r="CA237" s="518" t="str">
        <f>IF(AND(_5="A-330-900",'2026'!$J$4="FO",'2026'!$J$2=CA233),'2026DATA'!$H$6,"")</f>
        <v/>
      </c>
      <c r="CB237" s="518" t="str">
        <f>IF(AND(_5="A-330-900",'2026'!$J$4="FO",'2026'!$J$2=CB233),'2026DATA'!$I$6,"")</f>
        <v/>
      </c>
      <c r="CC237" s="518" t="str">
        <f>IF(AND(_5="A-330-900",'2026'!$J$4="FO",'2026'!$J$2=CC233),'2026DATA'!$J$6,"")</f>
        <v/>
      </c>
      <c r="CD237" s="518" t="str">
        <f>IF(AND(_5="A-330-900",'2026'!$J$4="FO",'2026'!$J$2=CD233),'2026DATA'!$K$6,"")</f>
        <v/>
      </c>
      <c r="CE237" s="518" t="str">
        <f>IF(AND(_5="A-330-900",'2026'!$J$4="FO",'2026'!$J$2=CE233),'2026DATA'!$L$6,"")</f>
        <v/>
      </c>
      <c r="CF237" s="518" t="str">
        <f>IF(AND(_5="A-330-900",'2026'!$J$4="FO",'2026'!$J$2=CF233),'2026DATA'!$M$6,"")</f>
        <v/>
      </c>
      <c r="CG237" s="520" t="str">
        <f>IF(AND(_5="A-330-900",'2026'!$J$4="FO",'2026'!$J$2=CG233),'2026DATA'!$N$6,"")</f>
        <v/>
      </c>
      <c r="CH237" s="940"/>
      <c r="CI237" s="13" t="s">
        <v>62</v>
      </c>
      <c r="CJ237" s="518" t="str">
        <f>IF(AND(_6="A-330-900",'2026'!$J$4="FO",'2026'!$J$2=CJ233),'2026DATA'!$C$6,"")</f>
        <v/>
      </c>
      <c r="CK237" s="518" t="str">
        <f>IF(AND(_6="A-330-900",'2026'!$J$4="FO",'2026'!$J$2=CK233),'2026DATA'!$D$6,"")</f>
        <v/>
      </c>
      <c r="CL237" s="518" t="str">
        <f>IF(AND(_6="A-330-900",'2026'!$J$4="FO",'2026'!$J$2=CL233),'2026DATA'!$E$6,"")</f>
        <v/>
      </c>
      <c r="CM237" s="518" t="str">
        <f>IF(AND(_6="A-330-900",'2026'!$J$4="FO",'2026'!$J$2=CM233),'2026DATA'!$F$6,"")</f>
        <v/>
      </c>
      <c r="CN237" s="518" t="str">
        <f>IF(AND(_6="A-330-900",'2026'!$J$4="FO",'2026'!$J$2=CN233),'2026DATA'!$G$6,"")</f>
        <v/>
      </c>
      <c r="CO237" s="518" t="str">
        <f>IF(AND(_6="A-330-900",'2026'!$J$4="FO",'2026'!$J$2=CO233),'2026DATA'!$H$6,"")</f>
        <v/>
      </c>
      <c r="CP237" s="518" t="str">
        <f>IF(AND(_6="A-330-900",'2026'!$J$4="FO",'2026'!$J$2=CP233),'2026DATA'!$I$6,"")</f>
        <v/>
      </c>
      <c r="CQ237" s="518" t="str">
        <f>IF(AND(_6="A-330-900",'2026'!$J$4="FO",'2026'!$J$2=CQ233),'2026DATA'!$J$6,"")</f>
        <v/>
      </c>
      <c r="CR237" s="518" t="str">
        <f>IF(AND(_6="A-330-900",'2026'!$J$4="FO",'2026'!$J$2=CR233),'2026DATA'!$K$6,"")</f>
        <v/>
      </c>
      <c r="CS237" s="518" t="str">
        <f>IF(AND(_6="A-330-900",'2026'!$J$4="FO",'2026'!$J$2=CS233),'2026DATA'!$L$6,"")</f>
        <v/>
      </c>
      <c r="CT237" s="518" t="str">
        <f>IF(AND(_6="A-330-900",'2026'!$J$4="FO",'2026'!$J$2=CT233),'2026DATA'!$M$6,"")</f>
        <v/>
      </c>
      <c r="CU237" s="520" t="str">
        <f>IF(AND(_6="A-330-900",'2026'!$J$4="FO",'2026'!$J$2=CU233),'2026DATA'!$N$6,"")</f>
        <v/>
      </c>
    </row>
    <row r="238" spans="16:99" x14ac:dyDescent="0.25">
      <c r="P238" s="940" t="s">
        <v>64</v>
      </c>
      <c r="Q238" s="13" t="s">
        <v>61</v>
      </c>
      <c r="R238" s="518" t="str">
        <f>IF(AND(_1="A-330-300",'2026'!$J$4="CA",'2026'!$J$2=R233),'2026DATA'!$C$7,"")</f>
        <v/>
      </c>
      <c r="S238" s="518" t="str">
        <f>IF(AND(_1="A-330-300",'2026'!$J$4="CA",'2026'!$J$2=S233),'2026DATA'!$D$7,"")</f>
        <v/>
      </c>
      <c r="T238" s="518" t="str">
        <f>IF(AND(_1="A-330-300",'2026'!$J$4="CA",'2026'!$J$2=T233),'2026DATA'!$E$7,"")</f>
        <v/>
      </c>
      <c r="U238" s="518" t="str">
        <f>IF(AND(_1="A-330-300",'2026'!$J$4="CA",'2026'!$J$2=U233),'2026DATA'!$F$7,"")</f>
        <v/>
      </c>
      <c r="V238" s="518" t="str">
        <f>IF(AND(_1="A-330-300",'2026'!$J$4="CA",'2026'!$J$2=V233),'2026DATA'!$G$7,"")</f>
        <v/>
      </c>
      <c r="W238" s="518" t="str">
        <f>IF(AND(_1="A-330-300",'2026'!$J$4="CA",'2026'!$J$2=W233),'2026DATA'!$H$7,"")</f>
        <v/>
      </c>
      <c r="X238" s="518" t="str">
        <f>IF(AND(_1="A-330-300",'2026'!$J$4="CA",'2026'!$J$2=X233),'2026DATA'!$I$7,"")</f>
        <v/>
      </c>
      <c r="Y238" s="518" t="str">
        <f>IF(AND(_1="A-330-300",'2026'!$J$4="CA",'2026'!$J$2=Y233),'2026DATA'!$J$7,"")</f>
        <v/>
      </c>
      <c r="Z238" s="518" t="str">
        <f>IF(AND(_1="A-330-300",'2026'!$J$4="CA",'2026'!$J$2=Z233),'2026DATA'!$K$7,"")</f>
        <v/>
      </c>
      <c r="AA238" s="518" t="str">
        <f>IF(AND(_1="A-330-300",'2026'!$J$4="CA",'2026'!$J$2=AA233),'2026DATA'!$L$7,"")</f>
        <v/>
      </c>
      <c r="AB238" s="518" t="str">
        <f>IF(AND(_1="A-330-300",'2026'!$J$4="CA",'2026'!$J$2=AB233),'2026DATA'!$M$7,"")</f>
        <v/>
      </c>
      <c r="AC238" s="520" t="str">
        <f>IF(AND(_1="A-330-300",'2026'!$J$4="CA",'2026'!$J$2=AC233),'2026DATA'!$N$7,"")</f>
        <v/>
      </c>
      <c r="AD238" s="940" t="s">
        <v>64</v>
      </c>
      <c r="AE238" s="13" t="s">
        <v>61</v>
      </c>
      <c r="AF238" s="518" t="str">
        <f>IF(AND(_2="A-330-300",'2026'!$J$4="CA",'2026'!$J$2=AF233),'2026DATA'!$C$7,"")</f>
        <v/>
      </c>
      <c r="AG238" s="518" t="str">
        <f>IF(AND(_2="A-330-300",'2026'!$J$4="CA",'2026'!$J$2=AG233),'2026DATA'!$D$7,"")</f>
        <v/>
      </c>
      <c r="AH238" s="518" t="str">
        <f>IF(AND(_2="A-330-300",'2026'!$J$4="CA",'2026'!$J$2=AH233),'2026DATA'!$E$7,"")</f>
        <v/>
      </c>
      <c r="AI238" s="518" t="str">
        <f>IF(AND(_2="A-330-300",'2026'!$J$4="CA",'2026'!$J$2=AI233),'2026DATA'!$F$7,"")</f>
        <v/>
      </c>
      <c r="AJ238" s="518" t="str">
        <f>IF(AND(_2="A-330-300",'2026'!$J$4="CA",'2026'!$J$2=AJ233),'2026DATA'!$G$7,"")</f>
        <v/>
      </c>
      <c r="AK238" s="518" t="str">
        <f>IF(AND(_2="A-330-300",'2026'!$J$4="CA",'2026'!$J$2=AK233),'2026DATA'!$H$7,"")</f>
        <v/>
      </c>
      <c r="AL238" s="518" t="str">
        <f>IF(AND(_2="A-330-300",'2026'!$J$4="CA",'2026'!$J$2=AL233),'2026DATA'!$I$7,"")</f>
        <v/>
      </c>
      <c r="AM238" s="518" t="str">
        <f>IF(AND(_2="A-330-300",'2026'!$J$4="CA",'2026'!$J$2=AM233),'2026DATA'!$J$7,"")</f>
        <v/>
      </c>
      <c r="AN238" s="518" t="str">
        <f>IF(AND(_2="A-330-300",'2026'!$J$4="CA",'2026'!$J$2=AN233),'2026DATA'!$K$7,"")</f>
        <v/>
      </c>
      <c r="AO238" s="518" t="str">
        <f>IF(AND(_2="A-330-300",'2026'!$J$4="CA",'2026'!$J$2=AO233),'2026DATA'!$L$7,"")</f>
        <v/>
      </c>
      <c r="AP238" s="518" t="str">
        <f>IF(AND(_2="A-330-300",'2026'!$J$4="CA",'2026'!$J$2=AP233),'2026DATA'!$M$7,"")</f>
        <v/>
      </c>
      <c r="AQ238" s="520" t="str">
        <f>IF(AND(_2="A-330-300",'2026'!$J$4="CA",'2026'!$J$2=AQ233),'2026DATA'!$N$7,"")</f>
        <v/>
      </c>
      <c r="AR238" s="940" t="s">
        <v>64</v>
      </c>
      <c r="AS238" s="13" t="s">
        <v>61</v>
      </c>
      <c r="AT238" s="518" t="str">
        <f>IF(AND(_3="A-330-300",'2026'!$J$4="CA",'2026'!$J$2=AT233),'2026DATA'!$C$7,"")</f>
        <v/>
      </c>
      <c r="AU238" s="518" t="str">
        <f>IF(AND(_3="A-330-300",'2026'!$J$4="CA",'2026'!$J$2=AU233),'2026DATA'!$D$7,"")</f>
        <v/>
      </c>
      <c r="AV238" s="518" t="str">
        <f>IF(AND(_3="A-330-300",'2026'!$J$4="CA",'2026'!$J$2=AV233),'2026DATA'!$E$7,"")</f>
        <v/>
      </c>
      <c r="AW238" s="518" t="str">
        <f>IF(AND(_3="A-330-300",'2026'!$J$4="CA",'2026'!$J$2=AW233),'2026DATA'!$F$7,"")</f>
        <v/>
      </c>
      <c r="AX238" s="518" t="str">
        <f>IF(AND(_3="A-330-300",'2026'!$J$4="CA",'2026'!$J$2=AX233),'2026DATA'!$G$7,"")</f>
        <v/>
      </c>
      <c r="AY238" s="518" t="str">
        <f>IF(AND(_3="A-330-300",'2026'!$J$4="CA",'2026'!$J$2=AY233),'2026DATA'!$H$7,"")</f>
        <v/>
      </c>
      <c r="AZ238" s="518" t="str">
        <f>IF(AND(_3="A-330-300",'2026'!$J$4="CA",'2026'!$J$2=AZ233),'2026DATA'!$I$7,"")</f>
        <v/>
      </c>
      <c r="BA238" s="518" t="str">
        <f>IF(AND(_3="A-330-300",'2026'!$J$4="CA",'2026'!$J$2=BA233),'2026DATA'!$J$7,"")</f>
        <v/>
      </c>
      <c r="BB238" s="518" t="str">
        <f>IF(AND(_3="A-330-300",'2026'!$J$4="CA",'2026'!$J$2=BB233),'2026DATA'!$K$7,"")</f>
        <v/>
      </c>
      <c r="BC238" s="518" t="str">
        <f>IF(AND(_3="A-330-300",'2026'!$J$4="CA",'2026'!$J$2=BC233),'2026DATA'!$L$7,"")</f>
        <v/>
      </c>
      <c r="BD238" s="518" t="str">
        <f>IF(AND(_3="A-330-300",'2026'!$J$4="CA",'2026'!$J$2=BD233),'2026DATA'!$M$7,"")</f>
        <v/>
      </c>
      <c r="BE238" s="520" t="str">
        <f>IF(AND(_3="A-330-300",'2026'!$J$4="CA",'2026'!$J$2=BE233),'2026DATA'!$N$7,"")</f>
        <v/>
      </c>
      <c r="BF238" s="940" t="s">
        <v>64</v>
      </c>
      <c r="BG238" s="13" t="s">
        <v>61</v>
      </c>
      <c r="BH238" s="518" t="str">
        <f>IF(AND(_4="A-330-300",'2026'!$J$4="CA",'2026'!$J$2=BH233),'2026DATA'!$C$7,"")</f>
        <v/>
      </c>
      <c r="BI238" s="518" t="str">
        <f>IF(AND(_4="A-330-300",'2026'!$J$4="CA",'2026'!$J$2=BI233),'2026DATA'!$D$7,"")</f>
        <v/>
      </c>
      <c r="BJ238" s="518" t="str">
        <f>IF(AND(_4="A-330-300",'2026'!$J$4="CA",'2026'!$J$2=BJ233),'2026DATA'!$E$7,"")</f>
        <v/>
      </c>
      <c r="BK238" s="518" t="str">
        <f>IF(AND(_4="A-330-300",'2026'!$J$4="CA",'2026'!$J$2=BK233),'2026DATA'!$F$7,"")</f>
        <v/>
      </c>
      <c r="BL238" s="518" t="str">
        <f>IF(AND(_4="A-330-300",'2026'!$J$4="CA",'2026'!$J$2=BL233),'2026DATA'!$G$7,"")</f>
        <v/>
      </c>
      <c r="BM238" s="518" t="str">
        <f>IF(AND(_4="A-330-300",'2026'!$J$4="CA",'2026'!$J$2=BM233),'2026DATA'!$H$7,"")</f>
        <v/>
      </c>
      <c r="BN238" s="518" t="str">
        <f>IF(AND(_4="A-330-300",'2026'!$J$4="CA",'2026'!$J$2=BN233),'2026DATA'!$I$7,"")</f>
        <v/>
      </c>
      <c r="BO238" s="518" t="str">
        <f>IF(AND(_4="A-330-300",'2026'!$J$4="CA",'2026'!$J$2=BO233),'2026DATA'!$J$7,"")</f>
        <v/>
      </c>
      <c r="BP238" s="518" t="str">
        <f>IF(AND(_4="A-330-300",'2026'!$J$4="CA",'2026'!$J$2=BP233),'2026DATA'!$K$7,"")</f>
        <v/>
      </c>
      <c r="BQ238" s="518" t="str">
        <f>IF(AND(_4="A-330-300",'2026'!$J$4="CA",'2026'!$J$2=BQ233),'2026DATA'!$L$7,"")</f>
        <v/>
      </c>
      <c r="BR238" s="518" t="str">
        <f>IF(AND(_4="A-330-300",'2026'!$J$4="CA",'2026'!$J$2=BR233),'2026DATA'!$M$7,"")</f>
        <v/>
      </c>
      <c r="BS238" s="520" t="str">
        <f>IF(AND(_4="A-330-300",'2026'!$J$4="CA",'2026'!$J$2=BS233),'2026DATA'!$N$7,"")</f>
        <v/>
      </c>
      <c r="BT238" s="940" t="s">
        <v>64</v>
      </c>
      <c r="BU238" s="13" t="s">
        <v>61</v>
      </c>
      <c r="BV238" s="518" t="str">
        <f>IF(AND(_5="A-330-300",'2026'!$J$4="CA",'2026'!$J$2=BV233),'2026DATA'!$C$7,"")</f>
        <v/>
      </c>
      <c r="BW238" s="518" t="str">
        <f>IF(AND(_5="A-330-300",'2026'!$J$4="CA",'2026'!$J$2=BW233),'2026DATA'!$D$7,"")</f>
        <v/>
      </c>
      <c r="BX238" s="518" t="str">
        <f>IF(AND(_5="A-330-300",'2026'!$J$4="CA",'2026'!$J$2=BX233),'2026DATA'!$E$7,"")</f>
        <v/>
      </c>
      <c r="BY238" s="518" t="str">
        <f>IF(AND(_5="A-330-300",'2026'!$J$4="CA",'2026'!$J$2=BY233),'2026DATA'!$F$7,"")</f>
        <v/>
      </c>
      <c r="BZ238" s="518" t="str">
        <f>IF(AND(_5="A-330-300",'2026'!$J$4="CA",'2026'!$J$2=BZ233),'2026DATA'!$G$7,"")</f>
        <v/>
      </c>
      <c r="CA238" s="518" t="str">
        <f>IF(AND(_5="A-330-300",'2026'!$J$4="CA",'2026'!$J$2=CA233),'2026DATA'!$H$7,"")</f>
        <v/>
      </c>
      <c r="CB238" s="518" t="str">
        <f>IF(AND(_5="A-330-300",'2026'!$J$4="CA",'2026'!$J$2=CB233),'2026DATA'!$I$7,"")</f>
        <v/>
      </c>
      <c r="CC238" s="518" t="str">
        <f>IF(AND(_5="A-330-300",'2026'!$J$4="CA",'2026'!$J$2=CC233),'2026DATA'!$J$7,"")</f>
        <v/>
      </c>
      <c r="CD238" s="518" t="str">
        <f>IF(AND(_5="A-330-300",'2026'!$J$4="CA",'2026'!$J$2=CD233),'2026DATA'!$K$7,"")</f>
        <v/>
      </c>
      <c r="CE238" s="518" t="str">
        <f>IF(AND(_5="A-330-300",'2026'!$J$4="CA",'2026'!$J$2=CE233),'2026DATA'!$L$7,"")</f>
        <v/>
      </c>
      <c r="CF238" s="518" t="str">
        <f>IF(AND(_5="A-330-300",'2026'!$J$4="CA",'2026'!$J$2=CF233),'2026DATA'!$M$7,"")</f>
        <v/>
      </c>
      <c r="CG238" s="520" t="str">
        <f>IF(AND(_5="A-330-300",'2026'!$J$4="CA",'2026'!$J$2=CG233),'2026DATA'!$N$7,"")</f>
        <v/>
      </c>
      <c r="CH238" s="940" t="s">
        <v>64</v>
      </c>
      <c r="CI238" s="13" t="s">
        <v>61</v>
      </c>
      <c r="CJ238" s="518" t="str">
        <f>IF(AND(_6="A-330-300",'2026'!$J$4="CA",'2026'!$J$2=CJ233),'2026DATA'!$C$7,"")</f>
        <v/>
      </c>
      <c r="CK238" s="518" t="str">
        <f>IF(AND(_6="A-330-300",'2026'!$J$4="CA",'2026'!$J$2=CK233),'2026DATA'!$D$7,"")</f>
        <v/>
      </c>
      <c r="CL238" s="518" t="str">
        <f>IF(AND(_6="A-330-300",'2026'!$J$4="CA",'2026'!$J$2=CL233),'2026DATA'!$E$7,"")</f>
        <v/>
      </c>
      <c r="CM238" s="518" t="str">
        <f>IF(AND(_6="A-330-300",'2026'!$J$4="CA",'2026'!$J$2=CM233),'2026DATA'!$F$7,"")</f>
        <v/>
      </c>
      <c r="CN238" s="518" t="str">
        <f>IF(AND(_6="A-330-300",'2026'!$J$4="CA",'2026'!$J$2=CN233),'2026DATA'!$G$7,"")</f>
        <v/>
      </c>
      <c r="CO238" s="518" t="str">
        <f>IF(AND(_6="A-330-300",'2026'!$J$4="CA",'2026'!$J$2=CO233),'2026DATA'!$H$7,"")</f>
        <v/>
      </c>
      <c r="CP238" s="518" t="str">
        <f>IF(AND(_6="A-330-300",'2026'!$J$4="CA",'2026'!$J$2=CP233),'2026DATA'!$I$7,"")</f>
        <v/>
      </c>
      <c r="CQ238" s="518" t="str">
        <f>IF(AND(_6="A-330-300",'2026'!$J$4="CA",'2026'!$J$2=CQ233),'2026DATA'!$J$7,"")</f>
        <v/>
      </c>
      <c r="CR238" s="518" t="str">
        <f>IF(AND(_6="A-330-300",'2026'!$J$4="CA",'2026'!$J$2=CR233),'2026DATA'!$K$7,"")</f>
        <v/>
      </c>
      <c r="CS238" s="518" t="str">
        <f>IF(AND(_6="A-330-300",'2026'!$J$4="CA",'2026'!$J$2=CS233),'2026DATA'!$L$7,"")</f>
        <v/>
      </c>
      <c r="CT238" s="518" t="str">
        <f>IF(AND(_6="A-330-300",'2026'!$J$4="CA",'2026'!$J$2=CT233),'2026DATA'!$M$7,"")</f>
        <v/>
      </c>
      <c r="CU238" s="520" t="str">
        <f>IF(AND(_6="A-330-300",'2026'!$J$4="CA",'2026'!$J$2=CU233),'2026DATA'!$N$7,"")</f>
        <v/>
      </c>
    </row>
    <row r="239" spans="16:99" x14ac:dyDescent="0.25">
      <c r="P239" s="940"/>
      <c r="Q239" s="13" t="s">
        <v>62</v>
      </c>
      <c r="R239" s="518" t="str">
        <f>IF(AND(_1="A-330-300",'2026'!$J$4="FO",'2026'!$J$2=R233),'2026DATA'!$C$8,"")</f>
        <v/>
      </c>
      <c r="S239" s="518" t="str">
        <f>IF(AND(_1="A-330-300",'2026'!$J$4="FO",'2026'!$J$2=S233),'2026DATA'!$D$8,"")</f>
        <v/>
      </c>
      <c r="T239" s="518" t="str">
        <f>IF(AND(_1="A-330-300",'2026'!$J$4="FO",'2026'!$J$2=T233),'2026DATA'!$E$8,"")</f>
        <v/>
      </c>
      <c r="U239" s="518" t="str">
        <f>IF(AND(_1="A-330-300",'2026'!$J$4="FO",'2026'!$J$2=U233),'2026DATA'!$F$8,"")</f>
        <v/>
      </c>
      <c r="V239" s="518" t="str">
        <f>IF(AND(_1="A-330-300",'2026'!$J$4="FO",'2026'!$J$2=V233),'2026DATA'!$G$8,"")</f>
        <v/>
      </c>
      <c r="W239" s="518" t="str">
        <f>IF(AND(_1="A-330-300",'2026'!$J$4="FO",'2026'!$J$2=W233),'2026DATA'!$H$8,"")</f>
        <v/>
      </c>
      <c r="X239" s="518" t="str">
        <f>IF(AND(_1="A-330-300",'2026'!$J$4="FO",'2026'!$J$2=X233),'2026DATA'!$I$8,"")</f>
        <v/>
      </c>
      <c r="Y239" s="518" t="str">
        <f>IF(AND(_1="A-330-300",'2026'!$J$4="FO",'2026'!$J$2=Y233),'2026DATA'!$J$8,"")</f>
        <v/>
      </c>
      <c r="Z239" s="518" t="str">
        <f>IF(AND(_1="A-330-300",'2026'!$J$4="FO",'2026'!$J$2=Z233),'2026DATA'!$K$8,"")</f>
        <v/>
      </c>
      <c r="AA239" s="518" t="str">
        <f>IF(AND(_1="A-330-300",'2026'!$J$4="FO",'2026'!$J$2=AA233),'2026DATA'!$L$8,"")</f>
        <v/>
      </c>
      <c r="AB239" s="518" t="str">
        <f>IF(AND(_1="A-330-300",'2026'!$J$4="FO",'2026'!$J$2=AB233),'2026DATA'!$M$8,"")</f>
        <v/>
      </c>
      <c r="AC239" s="520" t="str">
        <f>IF(AND(_1="A-330-300",'2026'!$J$4="FO",'2026'!$J$2=AC233),'2026DATA'!$N$8,"")</f>
        <v/>
      </c>
      <c r="AD239" s="940"/>
      <c r="AE239" s="13" t="s">
        <v>62</v>
      </c>
      <c r="AF239" s="518" t="str">
        <f>IF(AND(_2="A-330-300",'2026'!$J$4="FO",'2026'!$J$2=AF233),'2026DATA'!$C$8,"")</f>
        <v/>
      </c>
      <c r="AG239" s="518" t="str">
        <f>IF(AND(_2="A-330-300",'2026'!$J$4="FO",'2026'!$J$2=AG233),'2026DATA'!$D$8,"")</f>
        <v/>
      </c>
      <c r="AH239" s="518" t="str">
        <f>IF(AND(_2="A-330-300",'2026'!$J$4="FO",'2026'!$J$2=AH233),'2026DATA'!$E$8,"")</f>
        <v/>
      </c>
      <c r="AI239" s="518" t="str">
        <f>IF(AND(_2="A-330-300",'2026'!$J$4="FO",'2026'!$J$2=AI233),'2026DATA'!$F$8,"")</f>
        <v/>
      </c>
      <c r="AJ239" s="518" t="str">
        <f>IF(AND(_2="A-330-300",'2026'!$J$4="FO",'2026'!$J$2=AJ233),'2026DATA'!$G$8,"")</f>
        <v/>
      </c>
      <c r="AK239" s="518" t="str">
        <f>IF(AND(_2="A-330-300",'2026'!$J$4="FO",'2026'!$J$2=AK233),'2026DATA'!$H$8,"")</f>
        <v/>
      </c>
      <c r="AL239" s="518" t="str">
        <f>IF(AND(_2="A-330-300",'2026'!$J$4="FO",'2026'!$J$2=AL233),'2026DATA'!$I$8,"")</f>
        <v/>
      </c>
      <c r="AM239" s="518" t="str">
        <f>IF(AND(_2="A-330-300",'2026'!$J$4="FO",'2026'!$J$2=AM233),'2026DATA'!$J$8,"")</f>
        <v/>
      </c>
      <c r="AN239" s="518" t="str">
        <f>IF(AND(_2="A-330-300",'2026'!$J$4="FO",'2026'!$J$2=AN233),'2026DATA'!$K$8,"")</f>
        <v/>
      </c>
      <c r="AO239" s="518" t="str">
        <f>IF(AND(_2="A-330-300",'2026'!$J$4="FO",'2026'!$J$2=AO233),'2026DATA'!$L$8,"")</f>
        <v/>
      </c>
      <c r="AP239" s="518" t="str">
        <f>IF(AND(_2="A-330-300",'2026'!$J$4="FO",'2026'!$J$2=AP233),'2026DATA'!$M$8,"")</f>
        <v/>
      </c>
      <c r="AQ239" s="520" t="str">
        <f>IF(AND(_2="A-330-300",'2026'!$J$4="FO",'2026'!$J$2=AQ233),'2026DATA'!$N$8,"")</f>
        <v/>
      </c>
      <c r="AR239" s="940"/>
      <c r="AS239" s="13" t="s">
        <v>62</v>
      </c>
      <c r="AT239" s="518" t="str">
        <f>IF(AND(_3="A-330-300",'2026'!$J$4="FO",'2026'!$J$2=AT233),'2026DATA'!$C$8,"")</f>
        <v/>
      </c>
      <c r="AU239" s="518" t="str">
        <f>IF(AND(_3="A-330-300",'2026'!$J$4="FO",'2026'!$J$2=AU233),'2026DATA'!$D$8,"")</f>
        <v/>
      </c>
      <c r="AV239" s="518" t="str">
        <f>IF(AND(_3="A-330-300",'2026'!$J$4="FO",'2026'!$J$2=AV233),'2026DATA'!$E$8,"")</f>
        <v/>
      </c>
      <c r="AW239" s="518" t="str">
        <f>IF(AND(_3="A-330-300",'2026'!$J$4="FO",'2026'!$J$2=AW233),'2026DATA'!$F$8,"")</f>
        <v/>
      </c>
      <c r="AX239" s="518" t="str">
        <f>IF(AND(_3="A-330-300",'2026'!$J$4="FO",'2026'!$J$2=AX233),'2026DATA'!$G$8,"")</f>
        <v/>
      </c>
      <c r="AY239" s="518" t="str">
        <f>IF(AND(_3="A-330-300",'2026'!$J$4="FO",'2026'!$J$2=AY233),'2026DATA'!$H$8,"")</f>
        <v/>
      </c>
      <c r="AZ239" s="518" t="str">
        <f>IF(AND(_3="A-330-300",'2026'!$J$4="FO",'2026'!$J$2=AZ233),'2026DATA'!$I$8,"")</f>
        <v/>
      </c>
      <c r="BA239" s="518" t="str">
        <f>IF(AND(_3="A-330-300",'2026'!$J$4="FO",'2026'!$J$2=BA233),'2026DATA'!$J$8,"")</f>
        <v/>
      </c>
      <c r="BB239" s="518" t="str">
        <f>IF(AND(_3="A-330-300",'2026'!$J$4="FO",'2026'!$J$2=BB233),'2026DATA'!$K$8,"")</f>
        <v/>
      </c>
      <c r="BC239" s="518" t="str">
        <f>IF(AND(_3="A-330-300",'2026'!$J$4="FO",'2026'!$J$2=BC233),'2026DATA'!$L$8,"")</f>
        <v/>
      </c>
      <c r="BD239" s="518" t="str">
        <f>IF(AND(_3="A-330-300",'2026'!$J$4="FO",'2026'!$J$2=BD233),'2026DATA'!$M$8,"")</f>
        <v/>
      </c>
      <c r="BE239" s="520" t="str">
        <f>IF(AND(_3="A-330-300",'2026'!$J$4="FO",'2026'!$J$2=BE233),'2026DATA'!$N$8,"")</f>
        <v/>
      </c>
      <c r="BF239" s="940"/>
      <c r="BG239" s="13" t="s">
        <v>62</v>
      </c>
      <c r="BH239" s="518" t="str">
        <f>IF(AND(_4="A-330-300",'2026'!$J$4="FO",'2026'!$J$2=BH233),'2026DATA'!$C$8,"")</f>
        <v/>
      </c>
      <c r="BI239" s="518" t="str">
        <f>IF(AND(_4="A-330-300",'2026'!$J$4="FO",'2026'!$J$2=BI233),'2026DATA'!$D$8,"")</f>
        <v/>
      </c>
      <c r="BJ239" s="518" t="str">
        <f>IF(AND(_4="A-330-300",'2026'!$J$4="FO",'2026'!$J$2=BJ233),'2026DATA'!$E$8,"")</f>
        <v/>
      </c>
      <c r="BK239" s="518" t="str">
        <f>IF(AND(_4="A-330-300",'2026'!$J$4="FO",'2026'!$J$2=BK233),'2026DATA'!$F$8,"")</f>
        <v/>
      </c>
      <c r="BL239" s="518" t="str">
        <f>IF(AND(_4="A-330-300",'2026'!$J$4="FO",'2026'!$J$2=BL233),'2026DATA'!$G$8,"")</f>
        <v/>
      </c>
      <c r="BM239" s="518" t="str">
        <f>IF(AND(_4="A-330-300",'2026'!$J$4="FO",'2026'!$J$2=BM233),'2026DATA'!$H$8,"")</f>
        <v/>
      </c>
      <c r="BN239" s="518" t="str">
        <f>IF(AND(_4="A-330-300",'2026'!$J$4="FO",'2026'!$J$2=BN233),'2026DATA'!$I$8,"")</f>
        <v/>
      </c>
      <c r="BO239" s="518" t="str">
        <f>IF(AND(_4="A-330-300",'2026'!$J$4="FO",'2026'!$J$2=BO233),'2026DATA'!$J$8,"")</f>
        <v/>
      </c>
      <c r="BP239" s="518" t="str">
        <f>IF(AND(_4="A-330-300",'2026'!$J$4="FO",'2026'!$J$2=BP233),'2026DATA'!$K$8,"")</f>
        <v/>
      </c>
      <c r="BQ239" s="518" t="str">
        <f>IF(AND(_4="A-330-300",'2026'!$J$4="FO",'2026'!$J$2=BQ233),'2026DATA'!$L$8,"")</f>
        <v/>
      </c>
      <c r="BR239" s="518" t="str">
        <f>IF(AND(_4="A-330-300",'2026'!$J$4="FO",'2026'!$J$2=BR233),'2026DATA'!$M$8,"")</f>
        <v/>
      </c>
      <c r="BS239" s="520" t="str">
        <f>IF(AND(_4="A-330-300",'2026'!$J$4="FO",'2026'!$J$2=BS233),'2026DATA'!$N$8,"")</f>
        <v/>
      </c>
      <c r="BT239" s="940"/>
      <c r="BU239" s="13" t="s">
        <v>62</v>
      </c>
      <c r="BV239" s="518" t="str">
        <f>IF(AND(_5="A-330-300",'2026'!$J$4="FO",'2026'!$J$2=BV233),'2026DATA'!$C$8,"")</f>
        <v/>
      </c>
      <c r="BW239" s="518" t="str">
        <f>IF(AND(_5="A-330-300",'2026'!$J$4="FO",'2026'!$J$2=BW233),'2026DATA'!$D$8,"")</f>
        <v/>
      </c>
      <c r="BX239" s="518" t="str">
        <f>IF(AND(_5="A-330-300",'2026'!$J$4="FO",'2026'!$J$2=BX233),'2026DATA'!$E$8,"")</f>
        <v/>
      </c>
      <c r="BY239" s="518" t="str">
        <f>IF(AND(_5="A-330-300",'2026'!$J$4="FO",'2026'!$J$2=BY233),'2026DATA'!$F$8,"")</f>
        <v/>
      </c>
      <c r="BZ239" s="518" t="str">
        <f>IF(AND(_5="A-330-300",'2026'!$J$4="FO",'2026'!$J$2=BZ233),'2026DATA'!$G$8,"")</f>
        <v/>
      </c>
      <c r="CA239" s="518" t="str">
        <f>IF(AND(_5="A-330-300",'2026'!$J$4="FO",'2026'!$J$2=CA233),'2026DATA'!$H$8,"")</f>
        <v/>
      </c>
      <c r="CB239" s="518" t="str">
        <f>IF(AND(_5="A-330-300",'2026'!$J$4="FO",'2026'!$J$2=CB233),'2026DATA'!$I$8,"")</f>
        <v/>
      </c>
      <c r="CC239" s="518" t="str">
        <f>IF(AND(_5="A-330-300",'2026'!$J$4="FO",'2026'!$J$2=CC233),'2026DATA'!$J$8,"")</f>
        <v/>
      </c>
      <c r="CD239" s="518" t="str">
        <f>IF(AND(_5="A-330-300",'2026'!$J$4="FO",'2026'!$J$2=CD233),'2026DATA'!$K$8,"")</f>
        <v/>
      </c>
      <c r="CE239" s="518" t="str">
        <f>IF(AND(_5="A-330-300",'2026'!$J$4="FO",'2026'!$J$2=CE233),'2026DATA'!$L$8,"")</f>
        <v/>
      </c>
      <c r="CF239" s="518" t="str">
        <f>IF(AND(_5="A-330-300",'2026'!$J$4="FO",'2026'!$J$2=CF233),'2026DATA'!$M$8,"")</f>
        <v/>
      </c>
      <c r="CG239" s="520" t="str">
        <f>IF(AND(_5="A-330-300",'2026'!$J$4="FO",'2026'!$J$2=CG233),'2026DATA'!$N$8,"")</f>
        <v/>
      </c>
      <c r="CH239" s="940"/>
      <c r="CI239" s="13" t="s">
        <v>62</v>
      </c>
      <c r="CJ239" s="518" t="str">
        <f>IF(AND(_6="A-330-300",'2026'!$J$4="FO",'2026'!$J$2=CJ233),'2026DATA'!$C$8,"")</f>
        <v/>
      </c>
      <c r="CK239" s="518" t="str">
        <f>IF(AND(_6="A-330-300",'2026'!$J$4="FO",'2026'!$J$2=CK233),'2026DATA'!$D$8,"")</f>
        <v/>
      </c>
      <c r="CL239" s="518" t="str">
        <f>IF(AND(_6="A-330-300",'2026'!$J$4="FO",'2026'!$J$2=CL233),'2026DATA'!$E$8,"")</f>
        <v/>
      </c>
      <c r="CM239" s="518" t="str">
        <f>IF(AND(_6="A-330-300",'2026'!$J$4="FO",'2026'!$J$2=CM233),'2026DATA'!$F$8,"")</f>
        <v/>
      </c>
      <c r="CN239" s="518" t="str">
        <f>IF(AND(_6="A-330-300",'2026'!$J$4="FO",'2026'!$J$2=CN233),'2026DATA'!$G$8,"")</f>
        <v/>
      </c>
      <c r="CO239" s="518" t="str">
        <f>IF(AND(_6="A-330-300",'2026'!$J$4="FO",'2026'!$J$2=CO233),'2026DATA'!$H$8,"")</f>
        <v/>
      </c>
      <c r="CP239" s="518" t="str">
        <f>IF(AND(_6="A-330-300",'2026'!$J$4="FO",'2026'!$J$2=CP233),'2026DATA'!$I$8,"")</f>
        <v/>
      </c>
      <c r="CQ239" s="518" t="str">
        <f>IF(AND(_6="A-330-300",'2026'!$J$4="FO",'2026'!$J$2=CQ233),'2026DATA'!$J$8,"")</f>
        <v/>
      </c>
      <c r="CR239" s="518" t="str">
        <f>IF(AND(_6="A-330-300",'2026'!$J$4="FO",'2026'!$J$2=CR233),'2026DATA'!$K$8,"")</f>
        <v/>
      </c>
      <c r="CS239" s="518" t="str">
        <f>IF(AND(_6="A-330-300",'2026'!$J$4="FO",'2026'!$J$2=CS233),'2026DATA'!$L$8,"")</f>
        <v/>
      </c>
      <c r="CT239" s="518" t="str">
        <f>IF(AND(_6="A-330-300",'2026'!$J$4="FO",'2026'!$J$2=CT233),'2026DATA'!$M$8,"")</f>
        <v/>
      </c>
      <c r="CU239" s="520" t="str">
        <f>IF(AND(_6="A-330-300",'2026'!$J$4="FO",'2026'!$J$2=CU233),'2026DATA'!$N$8,"")</f>
        <v/>
      </c>
    </row>
    <row r="240" spans="16:99" x14ac:dyDescent="0.25">
      <c r="P240" s="940" t="s">
        <v>66</v>
      </c>
      <c r="Q240" s="13" t="s">
        <v>61</v>
      </c>
      <c r="R240" s="518" t="str">
        <f>IF(AND(_1="A-330-200",'2026'!$J$4="CA",'2026'!$J$2=R233),'2026DATA'!$C$9,"")</f>
        <v/>
      </c>
      <c r="S240" s="518" t="str">
        <f>IF(AND(_1="A-330-200",'2026'!$J$4="CA",'2026'!$J$2=S233),'2026DATA'!$D$9,"")</f>
        <v/>
      </c>
      <c r="T240" s="518" t="str">
        <f>IF(AND(_1="A-330-200",'2026'!$J$4="CA",'2026'!$J$2=T233),'2026DATA'!$E$9,"")</f>
        <v/>
      </c>
      <c r="U240" s="518" t="str">
        <f>IF(AND(_1="A-330-200",'2026'!$J$4="CA",'2026'!$J$2=U233),'2026DATA'!$F$9,"")</f>
        <v/>
      </c>
      <c r="V240" s="518" t="str">
        <f>IF(AND(_1="A-330-200",'2026'!$J$4="CA",'2026'!$J$2=V233),'2026DATA'!$G$9,"")</f>
        <v/>
      </c>
      <c r="W240" s="518" t="str">
        <f>IF(AND(_1="A-330-200",'2026'!$J$4="CA",'2026'!$J$2=W233),'2026DATA'!$H$9,"")</f>
        <v/>
      </c>
      <c r="X240" s="518" t="str">
        <f>IF(AND(_1="A-330-200",'2026'!$J$4="CA",'2026'!$J$2=X233),'2026DATA'!$I$9,"")</f>
        <v/>
      </c>
      <c r="Y240" s="518" t="str">
        <f>IF(AND(_1="A-330-200",'2026'!$J$4="CA",'2026'!$J$2=Y233),'2026DATA'!$J$9,"")</f>
        <v/>
      </c>
      <c r="Z240" s="518" t="str">
        <f>IF(AND(_1="A-330-200",'2026'!$J$4="CA",'2026'!$J$2=Z233),'2026DATA'!$K$9,"")</f>
        <v/>
      </c>
      <c r="AA240" s="518" t="str">
        <f>IF(AND(_1="A-330-200",'2026'!$J$4="CA",'2026'!$J$2=AA233),'2026DATA'!$L$9,"")</f>
        <v/>
      </c>
      <c r="AB240" s="518" t="str">
        <f>IF(AND(_1="A-330-200",'2026'!$J$4="CA",'2026'!$J$2=AB233),'2026DATA'!$M$9,"")</f>
        <v/>
      </c>
      <c r="AC240" s="520" t="str">
        <f>IF(AND(_1="A-330-200",'2026'!$J$4="CA",'2026'!$J$2=AC233),'2026DATA'!$N$9,"")</f>
        <v/>
      </c>
      <c r="AD240" s="940" t="s">
        <v>66</v>
      </c>
      <c r="AE240" s="13" t="s">
        <v>61</v>
      </c>
      <c r="AF240" s="518" t="str">
        <f>IF(AND(_2="A-330-200",'2026'!$J$4="CA",'2026'!$J$2=AF233),'2026DATA'!$C$9,"")</f>
        <v/>
      </c>
      <c r="AG240" s="518" t="str">
        <f>IF(AND(_2="A-330-200",'2026'!$J$4="CA",'2026'!$J$2=AG233),'2026DATA'!$D$9,"")</f>
        <v/>
      </c>
      <c r="AH240" s="518" t="str">
        <f>IF(AND(_2="A-330-200",'2026'!$J$4="CA",'2026'!$J$2=AH233),'2026DATA'!$E$9,"")</f>
        <v/>
      </c>
      <c r="AI240" s="518" t="str">
        <f>IF(AND(_2="A-330-200",'2026'!$J$4="CA",'2026'!$J$2=AI233),'2026DATA'!$F$9,"")</f>
        <v/>
      </c>
      <c r="AJ240" s="518" t="str">
        <f>IF(AND(_2="A-330-200",'2026'!$J$4="CA",'2026'!$J$2=AJ233),'2026DATA'!$G$9,"")</f>
        <v/>
      </c>
      <c r="AK240" s="518" t="str">
        <f>IF(AND(_2="A-330-200",'2026'!$J$4="CA",'2026'!$J$2=AK233),'2026DATA'!$H$9,"")</f>
        <v/>
      </c>
      <c r="AL240" s="518" t="str">
        <f>IF(AND(_2="A-330-200",'2026'!$J$4="CA",'2026'!$J$2=AL233),'2026DATA'!$I$9,"")</f>
        <v/>
      </c>
      <c r="AM240" s="518" t="str">
        <f>IF(AND(_2="A-330-200",'2026'!$J$4="CA",'2026'!$J$2=AM233),'2026DATA'!$J$9,"")</f>
        <v/>
      </c>
      <c r="AN240" s="518" t="str">
        <f>IF(AND(_2="A-330-200",'2026'!$J$4="CA",'2026'!$J$2=AN233),'2026DATA'!$K$9,"")</f>
        <v/>
      </c>
      <c r="AO240" s="518" t="str">
        <f>IF(AND(_2="A-330-200",'2026'!$J$4="CA",'2026'!$J$2=AO233),'2026DATA'!$L$9,"")</f>
        <v/>
      </c>
      <c r="AP240" s="518" t="str">
        <f>IF(AND(_2="A-330-200",'2026'!$J$4="CA",'2026'!$J$2=AP233),'2026DATA'!$M$9,"")</f>
        <v/>
      </c>
      <c r="AQ240" s="520" t="str">
        <f>IF(AND(_2="A-330-200",'2026'!$J$4="CA",'2026'!$J$2=AQ233),'2026DATA'!$N$9,"")</f>
        <v/>
      </c>
      <c r="AR240" s="940" t="s">
        <v>66</v>
      </c>
      <c r="AS240" s="13" t="s">
        <v>61</v>
      </c>
      <c r="AT240" s="518" t="str">
        <f>IF(AND(_3="A-330-200",'2026'!$J$4="CA",'2026'!$J$2=AT233),'2026DATA'!$C$9,"")</f>
        <v/>
      </c>
      <c r="AU240" s="518" t="str">
        <f>IF(AND(_3="A-330-200",'2026'!$J$4="CA",'2026'!$J$2=AU233),'2026DATA'!$D$9,"")</f>
        <v/>
      </c>
      <c r="AV240" s="518" t="str">
        <f>IF(AND(_3="A-330-200",'2026'!$J$4="CA",'2026'!$J$2=AV233),'2026DATA'!$E$9,"")</f>
        <v/>
      </c>
      <c r="AW240" s="518" t="str">
        <f>IF(AND(_3="A-330-200",'2026'!$J$4="CA",'2026'!$J$2=AW233),'2026DATA'!$F$9,"")</f>
        <v/>
      </c>
      <c r="AX240" s="518" t="str">
        <f>IF(AND(_3="A-330-200",'2026'!$J$4="CA",'2026'!$J$2=AX233),'2026DATA'!$G$9,"")</f>
        <v/>
      </c>
      <c r="AY240" s="518" t="str">
        <f>IF(AND(_3="A-330-200",'2026'!$J$4="CA",'2026'!$J$2=AY233),'2026DATA'!$H$9,"")</f>
        <v/>
      </c>
      <c r="AZ240" s="518" t="str">
        <f>IF(AND(_3="A-330-200",'2026'!$J$4="CA",'2026'!$J$2=AZ233),'2026DATA'!$I$9,"")</f>
        <v/>
      </c>
      <c r="BA240" s="518" t="str">
        <f>IF(AND(_3="A-330-200",'2026'!$J$4="CA",'2026'!$J$2=BA233),'2026DATA'!$J$9,"")</f>
        <v/>
      </c>
      <c r="BB240" s="518" t="str">
        <f>IF(AND(_3="A-330-200",'2026'!$J$4="CA",'2026'!$J$2=BB233),'2026DATA'!$K$9,"")</f>
        <v/>
      </c>
      <c r="BC240" s="518" t="str">
        <f>IF(AND(_3="A-330-200",'2026'!$J$4="CA",'2026'!$J$2=BC233),'2026DATA'!$L$9,"")</f>
        <v/>
      </c>
      <c r="BD240" s="518" t="str">
        <f>IF(AND(_3="A-330-200",'2026'!$J$4="CA",'2026'!$J$2=BD233),'2026DATA'!$M$9,"")</f>
        <v/>
      </c>
      <c r="BE240" s="520" t="str">
        <f>IF(AND(_3="A-330-200",'2026'!$J$4="CA",'2026'!$J$2=BE233),'2026DATA'!$N$9,"")</f>
        <v/>
      </c>
      <c r="BF240" s="940" t="s">
        <v>66</v>
      </c>
      <c r="BG240" s="13" t="s">
        <v>61</v>
      </c>
      <c r="BH240" s="518" t="str">
        <f>IF(AND(_4="A-330-200",'2026'!$J$4="CA",'2026'!$J$2=BH233),'2026DATA'!$C$9,"")</f>
        <v/>
      </c>
      <c r="BI240" s="518" t="str">
        <f>IF(AND(_4="A-330-200",'2026'!$J$4="CA",'2026'!$J$2=BI233),'2026DATA'!$D$9,"")</f>
        <v/>
      </c>
      <c r="BJ240" s="518" t="str">
        <f>IF(AND(_4="A-330-200",'2026'!$J$4="CA",'2026'!$J$2=BJ233),'2026DATA'!$E$9,"")</f>
        <v/>
      </c>
      <c r="BK240" s="518" t="str">
        <f>IF(AND(_4="A-330-200",'2026'!$J$4="CA",'2026'!$J$2=BK233),'2026DATA'!$F$9,"")</f>
        <v/>
      </c>
      <c r="BL240" s="518" t="str">
        <f>IF(AND(_4="A-330-200",'2026'!$J$4="CA",'2026'!$J$2=BL233),'2026DATA'!$G$9,"")</f>
        <v/>
      </c>
      <c r="BM240" s="518" t="str">
        <f>IF(AND(_4="A-330-200",'2026'!$J$4="CA",'2026'!$J$2=BM233),'2026DATA'!$H$9,"")</f>
        <v/>
      </c>
      <c r="BN240" s="518" t="str">
        <f>IF(AND(_4="A-330-200",'2026'!$J$4="CA",'2026'!$J$2=BN233),'2026DATA'!$I$9,"")</f>
        <v/>
      </c>
      <c r="BO240" s="518" t="str">
        <f>IF(AND(_4="A-330-200",'2026'!$J$4="CA",'2026'!$J$2=BO233),'2026DATA'!$J$9,"")</f>
        <v/>
      </c>
      <c r="BP240" s="518" t="str">
        <f>IF(AND(_4="A-330-200",'2026'!$J$4="CA",'2026'!$J$2=BP233),'2026DATA'!$K$9,"")</f>
        <v/>
      </c>
      <c r="BQ240" s="518" t="str">
        <f>IF(AND(_4="A-330-200",'2026'!$J$4="CA",'2026'!$J$2=BQ233),'2026DATA'!$L$9,"")</f>
        <v/>
      </c>
      <c r="BR240" s="518" t="str">
        <f>IF(AND(_4="A-330-200",'2026'!$J$4="CA",'2026'!$J$2=BR233),'2026DATA'!$M$9,"")</f>
        <v/>
      </c>
      <c r="BS240" s="520" t="str">
        <f>IF(AND(_4="A-330-200",'2026'!$J$4="CA",'2026'!$J$2=BS233),'2026DATA'!$N$9,"")</f>
        <v/>
      </c>
      <c r="BT240" s="940" t="s">
        <v>66</v>
      </c>
      <c r="BU240" s="13" t="s">
        <v>61</v>
      </c>
      <c r="BV240" s="518" t="str">
        <f>IF(AND(_5="A-330-200",'2026'!$J$4="CA",'2026'!$J$2=BV233),'2026DATA'!$C$9,"")</f>
        <v/>
      </c>
      <c r="BW240" s="518" t="str">
        <f>IF(AND(_5="A-330-200",'2026'!$J$4="CA",'2026'!$J$2=BW233),'2026DATA'!$D$9,"")</f>
        <v/>
      </c>
      <c r="BX240" s="518" t="str">
        <f>IF(AND(_5="A-330-200",'2026'!$J$4="CA",'2026'!$J$2=BX233),'2026DATA'!$E$9,"")</f>
        <v/>
      </c>
      <c r="BY240" s="518" t="str">
        <f>IF(AND(_5="A-330-200",'2026'!$J$4="CA",'2026'!$J$2=BY233),'2026DATA'!$F$9,"")</f>
        <v/>
      </c>
      <c r="BZ240" s="518" t="str">
        <f>IF(AND(_5="A-330-200",'2026'!$J$4="CA",'2026'!$J$2=BZ233),'2026DATA'!$G$9,"")</f>
        <v/>
      </c>
      <c r="CA240" s="518" t="str">
        <f>IF(AND(_5="A-330-200",'2026'!$J$4="CA",'2026'!$J$2=CA233),'2026DATA'!$H$9,"")</f>
        <v/>
      </c>
      <c r="CB240" s="518" t="str">
        <f>IF(AND(_5="A-330-200",'2026'!$J$4="CA",'2026'!$J$2=CB233),'2026DATA'!$I$9,"")</f>
        <v/>
      </c>
      <c r="CC240" s="518" t="str">
        <f>IF(AND(_5="A-330-200",'2026'!$J$4="CA",'2026'!$J$2=CC233),'2026DATA'!$J$9,"")</f>
        <v/>
      </c>
      <c r="CD240" s="518" t="str">
        <f>IF(AND(_5="A-330-200",'2026'!$J$4="CA",'2026'!$J$2=CD233),'2026DATA'!$K$9,"")</f>
        <v/>
      </c>
      <c r="CE240" s="518" t="str">
        <f>IF(AND(_5="A-330-200",'2026'!$J$4="CA",'2026'!$J$2=CE233),'2026DATA'!$L$9,"")</f>
        <v/>
      </c>
      <c r="CF240" s="518" t="str">
        <f>IF(AND(_5="A-330-200",'2026'!$J$4="CA",'2026'!$J$2=CF233),'2026DATA'!$M$9,"")</f>
        <v/>
      </c>
      <c r="CG240" s="520" t="str">
        <f>IF(AND(_5="A-330-200",'2026'!$J$4="CA",'2026'!$J$2=CG233),'2026DATA'!$N$9,"")</f>
        <v/>
      </c>
      <c r="CH240" s="940" t="s">
        <v>66</v>
      </c>
      <c r="CI240" s="13" t="s">
        <v>61</v>
      </c>
      <c r="CJ240" s="518" t="str">
        <f>IF(AND(_6="A-330-200",'2026'!$J$4="CA",'2026'!$J$2=CJ233),'2026DATA'!$C$9,"")</f>
        <v/>
      </c>
      <c r="CK240" s="518" t="str">
        <f>IF(AND(_6="A-330-200",'2026'!$J$4="CA",'2026'!$J$2=CK233),'2026DATA'!$D$9,"")</f>
        <v/>
      </c>
      <c r="CL240" s="518" t="str">
        <f>IF(AND(_6="A-330-200",'2026'!$J$4="CA",'2026'!$J$2=CL233),'2026DATA'!$E$9,"")</f>
        <v/>
      </c>
      <c r="CM240" s="518" t="str">
        <f>IF(AND(_6="A-330-200",'2026'!$J$4="CA",'2026'!$J$2=CM233),'2026DATA'!$F$9,"")</f>
        <v/>
      </c>
      <c r="CN240" s="518" t="str">
        <f>IF(AND(_6="A-330-200",'2026'!$J$4="CA",'2026'!$J$2=CN233),'2026DATA'!$G$9,"")</f>
        <v/>
      </c>
      <c r="CO240" s="518" t="str">
        <f>IF(AND(_6="A-330-200",'2026'!$J$4="CA",'2026'!$J$2=CO233),'2026DATA'!$H$9,"")</f>
        <v/>
      </c>
      <c r="CP240" s="518" t="str">
        <f>IF(AND(_6="A-330-200",'2026'!$J$4="CA",'2026'!$J$2=CP233),'2026DATA'!$I$9,"")</f>
        <v/>
      </c>
      <c r="CQ240" s="518" t="str">
        <f>IF(AND(_6="A-330-200",'2026'!$J$4="CA",'2026'!$J$2=CQ233),'2026DATA'!$J$9,"")</f>
        <v/>
      </c>
      <c r="CR240" s="518" t="str">
        <f>IF(AND(_6="A-330-200",'2026'!$J$4="CA",'2026'!$J$2=CR233),'2026DATA'!$K$9,"")</f>
        <v/>
      </c>
      <c r="CS240" s="518" t="str">
        <f>IF(AND(_6="A-330-200",'2026'!$J$4="CA",'2026'!$J$2=CS233),'2026DATA'!$L$9,"")</f>
        <v/>
      </c>
      <c r="CT240" s="518" t="str">
        <f>IF(AND(_6="A-330-200",'2026'!$J$4="CA",'2026'!$J$2=CT233),'2026DATA'!$M$9,"")</f>
        <v/>
      </c>
      <c r="CU240" s="520" t="str">
        <f>IF(AND(_6="A-330-200",'2026'!$J$4="CA",'2026'!$J$2=CU233),'2026DATA'!$N$9,"")</f>
        <v/>
      </c>
    </row>
    <row r="241" spans="16:99" x14ac:dyDescent="0.25">
      <c r="P241" s="940"/>
      <c r="Q241" s="13" t="s">
        <v>62</v>
      </c>
      <c r="R241" s="518" t="str">
        <f>IF(AND(_1="A-330-200",'2026'!$J$4="FO",'2026'!$J$2=R233),'2026DATA'!$C$10,"")</f>
        <v/>
      </c>
      <c r="S241" s="518" t="str">
        <f>IF(AND(_1="A-330-200",'2026'!$J$4="FO",'2026'!$J$2=S233),'2026DATA'!$D$10,"")</f>
        <v/>
      </c>
      <c r="T241" s="518" t="str">
        <f>IF(AND(_1="A-330-200",'2026'!$J$4="FO",'2026'!$J$2=T233),'2026DATA'!$E$10,"")</f>
        <v/>
      </c>
      <c r="U241" s="518" t="str">
        <f>IF(AND(_1="A-330-200",'2026'!$J$4="FO",'2026'!$J$2=U233),'2026DATA'!$F$10,"")</f>
        <v/>
      </c>
      <c r="V241" s="518" t="str">
        <f>IF(AND(_1="A-330-200",'2026'!$J$4="FO",'2026'!$J$2=V233),'2026DATA'!$G$10,"")</f>
        <v/>
      </c>
      <c r="W241" s="518" t="str">
        <f>IF(AND(_1="A-330-200",'2026'!$J$4="FO",'2026'!$J$2=W233),'2026DATA'!$H$10,"")</f>
        <v/>
      </c>
      <c r="X241" s="518" t="str">
        <f>IF(AND(_1="A-330-200",'2026'!$J$4="FO",'2026'!$J$2=X233),'2026DATA'!$I$10,"")</f>
        <v/>
      </c>
      <c r="Y241" s="518" t="str">
        <f>IF(AND(_1="A-330-200",'2026'!$J$4="FO",'2026'!$J$2=Y233),'2026DATA'!$J$10,"")</f>
        <v/>
      </c>
      <c r="Z241" s="518" t="str">
        <f>IF(AND(_1="A-330-200",'2026'!$J$4="FO",'2026'!$J$2=Z233),'2026DATA'!$K$10,"")</f>
        <v/>
      </c>
      <c r="AA241" s="518" t="str">
        <f>IF(AND(_1="A-330-200",'2026'!$J$4="FO",'2026'!$J$2=AA233),'2026DATA'!$L$10,"")</f>
        <v/>
      </c>
      <c r="AB241" s="518" t="str">
        <f>IF(AND(_1="A-330-200",'2026'!$J$4="FO",'2026'!$J$2=AB233),'2026DATA'!$M$10,"")</f>
        <v/>
      </c>
      <c r="AC241" s="520" t="str">
        <f>IF(AND(_1="A-330-200",'2026'!$J$4="FO",'2026'!$J$2=AC233),'2026DATA'!$N$10,"")</f>
        <v/>
      </c>
      <c r="AD241" s="940"/>
      <c r="AE241" s="13" t="s">
        <v>62</v>
      </c>
      <c r="AF241" s="518" t="str">
        <f>IF(AND(_2="A-330-200",'2026'!$J$4="FO",'2026'!$J$2=AF233),'2026DATA'!$C$10,"")</f>
        <v/>
      </c>
      <c r="AG241" s="518" t="str">
        <f>IF(AND(_2="A-330-200",'2026'!$J$4="FO",'2026'!$J$2=AG233),'2026DATA'!$D$10,"")</f>
        <v/>
      </c>
      <c r="AH241" s="518" t="str">
        <f>IF(AND(_2="A-330-200",'2026'!$J$4="FO",'2026'!$J$2=AH233),'2026DATA'!$E$10,"")</f>
        <v/>
      </c>
      <c r="AI241" s="518" t="str">
        <f>IF(AND(_2="A-330-200",'2026'!$J$4="FO",'2026'!$J$2=AI233),'2026DATA'!$F$10,"")</f>
        <v/>
      </c>
      <c r="AJ241" s="518" t="str">
        <f>IF(AND(_2="A-330-200",'2026'!$J$4="FO",'2026'!$J$2=AJ233),'2026DATA'!$G$10,"")</f>
        <v/>
      </c>
      <c r="AK241" s="518" t="str">
        <f>IF(AND(_2="A-330-200",'2026'!$J$4="FO",'2026'!$J$2=AK233),'2026DATA'!$H$10,"")</f>
        <v/>
      </c>
      <c r="AL241" s="518" t="str">
        <f>IF(AND(_2="A-330-200",'2026'!$J$4="FO",'2026'!$J$2=AL233),'2026DATA'!$I$10,"")</f>
        <v/>
      </c>
      <c r="AM241" s="518" t="str">
        <f>IF(AND(_2="A-330-200",'2026'!$J$4="FO",'2026'!$J$2=AM233),'2026DATA'!$J$10,"")</f>
        <v/>
      </c>
      <c r="AN241" s="518" t="str">
        <f>IF(AND(_2="A-330-200",'2026'!$J$4="FO",'2026'!$J$2=AN233),'2026DATA'!$K$10,"")</f>
        <v/>
      </c>
      <c r="AO241" s="518" t="str">
        <f>IF(AND(_2="A-330-200",'2026'!$J$4="FO",'2026'!$J$2=AO233),'2026DATA'!$L$10,"")</f>
        <v/>
      </c>
      <c r="AP241" s="518" t="str">
        <f>IF(AND(_2="A-330-200",'2026'!$J$4="FO",'2026'!$J$2=AP233),'2026DATA'!$M$10,"")</f>
        <v/>
      </c>
      <c r="AQ241" s="520" t="str">
        <f>IF(AND(_2="A-330-200",'2026'!$J$4="FO",'2026'!$J$2=AQ233),'2026DATA'!$N$10,"")</f>
        <v/>
      </c>
      <c r="AR241" s="940"/>
      <c r="AS241" s="13" t="s">
        <v>62</v>
      </c>
      <c r="AT241" s="518" t="str">
        <f>IF(AND(_3="A-330-200",'2026'!$J$4="FO",'2026'!$J$2=AT233),'2026DATA'!$C$10,"")</f>
        <v/>
      </c>
      <c r="AU241" s="518" t="str">
        <f>IF(AND(_3="A-330-200",'2026'!$J$4="FO",'2026'!$J$2=AU233),'2026DATA'!$D$10,"")</f>
        <v/>
      </c>
      <c r="AV241" s="518" t="str">
        <f>IF(AND(_3="A-330-200",'2026'!$J$4="FO",'2026'!$J$2=AV233),'2026DATA'!$E$10,"")</f>
        <v/>
      </c>
      <c r="AW241" s="518" t="str">
        <f>IF(AND(_3="A-330-200",'2026'!$J$4="FO",'2026'!$J$2=AW233),'2026DATA'!$F$10,"")</f>
        <v/>
      </c>
      <c r="AX241" s="518" t="str">
        <f>IF(AND(_3="A-330-200",'2026'!$J$4="FO",'2026'!$J$2=AX233),'2026DATA'!$G$10,"")</f>
        <v/>
      </c>
      <c r="AY241" s="518" t="str">
        <f>IF(AND(_3="A-330-200",'2026'!$J$4="FO",'2026'!$J$2=AY233),'2026DATA'!$H$10,"")</f>
        <v/>
      </c>
      <c r="AZ241" s="518" t="str">
        <f>IF(AND(_3="A-330-200",'2026'!$J$4="FO",'2026'!$J$2=AZ233),'2026DATA'!$I$10,"")</f>
        <v/>
      </c>
      <c r="BA241" s="518" t="str">
        <f>IF(AND(_3="A-330-200",'2026'!$J$4="FO",'2026'!$J$2=BA233),'2026DATA'!$J$10,"")</f>
        <v/>
      </c>
      <c r="BB241" s="518" t="str">
        <f>IF(AND(_3="A-330-200",'2026'!$J$4="FO",'2026'!$J$2=BB233),'2026DATA'!$K$10,"")</f>
        <v/>
      </c>
      <c r="BC241" s="518" t="str">
        <f>IF(AND(_3="A-330-200",'2026'!$J$4="FO",'2026'!$J$2=BC233),'2026DATA'!$L$10,"")</f>
        <v/>
      </c>
      <c r="BD241" s="518" t="str">
        <f>IF(AND(_3="A-330-200",'2026'!$J$4="FO",'2026'!$J$2=BD233),'2026DATA'!$M$10,"")</f>
        <v/>
      </c>
      <c r="BE241" s="520" t="str">
        <f>IF(AND(_3="A-330-200",'2026'!$J$4="FO",'2026'!$J$2=BE233),'2026DATA'!$N$10,"")</f>
        <v/>
      </c>
      <c r="BF241" s="940"/>
      <c r="BG241" s="13" t="s">
        <v>62</v>
      </c>
      <c r="BH241" s="518" t="str">
        <f>IF(AND(_4="A-330-200",'2026'!$J$4="FO",'2026'!$J$2=BH233),'2026DATA'!$C$10,"")</f>
        <v/>
      </c>
      <c r="BI241" s="518" t="str">
        <f>IF(AND(_4="A-330-200",'2026'!$J$4="FO",'2026'!$J$2=BI233),'2026DATA'!$D$10,"")</f>
        <v/>
      </c>
      <c r="BJ241" s="518" t="str">
        <f>IF(AND(_4="A-330-200",'2026'!$J$4="FO",'2026'!$J$2=BJ233),'2026DATA'!$E$10,"")</f>
        <v/>
      </c>
      <c r="BK241" s="518" t="str">
        <f>IF(AND(_4="A-330-200",'2026'!$J$4="FO",'2026'!$J$2=BK233),'2026DATA'!$F$10,"")</f>
        <v/>
      </c>
      <c r="BL241" s="518" t="str">
        <f>IF(AND(_4="A-330-200",'2026'!$J$4="FO",'2026'!$J$2=BL233),'2026DATA'!$G$10,"")</f>
        <v/>
      </c>
      <c r="BM241" s="518" t="str">
        <f>IF(AND(_4="A-330-200",'2026'!$J$4="FO",'2026'!$J$2=BM233),'2026DATA'!$H$10,"")</f>
        <v/>
      </c>
      <c r="BN241" s="518" t="str">
        <f>IF(AND(_4="A-330-200",'2026'!$J$4="FO",'2026'!$J$2=BN233),'2026DATA'!$I$10,"")</f>
        <v/>
      </c>
      <c r="BO241" s="518" t="str">
        <f>IF(AND(_4="A-330-200",'2026'!$J$4="FO",'2026'!$J$2=BO233),'2026DATA'!$J$10,"")</f>
        <v/>
      </c>
      <c r="BP241" s="518" t="str">
        <f>IF(AND(_4="A-330-200",'2026'!$J$4="FO",'2026'!$J$2=BP233),'2026DATA'!$K$10,"")</f>
        <v/>
      </c>
      <c r="BQ241" s="518" t="str">
        <f>IF(AND(_4="A-330-200",'2026'!$J$4="FO",'2026'!$J$2=BQ233),'2026DATA'!$L$10,"")</f>
        <v/>
      </c>
      <c r="BR241" s="518" t="str">
        <f>IF(AND(_4="A-330-200",'2026'!$J$4="FO",'2026'!$J$2=BR233),'2026DATA'!$M$10,"")</f>
        <v/>
      </c>
      <c r="BS241" s="520" t="str">
        <f>IF(AND(_4="A-330-200",'2026'!$J$4="FO",'2026'!$J$2=BS233),'2026DATA'!$N$10,"")</f>
        <v/>
      </c>
      <c r="BT241" s="940"/>
      <c r="BU241" s="13" t="s">
        <v>62</v>
      </c>
      <c r="BV241" s="518" t="str">
        <f>IF(AND(_5="A-330-200",'2026'!$J$4="FO",'2026'!$J$2=BV233),'2026DATA'!$C$10,"")</f>
        <v/>
      </c>
      <c r="BW241" s="518" t="str">
        <f>IF(AND(_5="A-330-200",'2026'!$J$4="FO",'2026'!$J$2=BW233),'2026DATA'!$D$10,"")</f>
        <v/>
      </c>
      <c r="BX241" s="518" t="str">
        <f>IF(AND(_5="A-330-200",'2026'!$J$4="FO",'2026'!$J$2=BX233),'2026DATA'!$E$10,"")</f>
        <v/>
      </c>
      <c r="BY241" s="518" t="str">
        <f>IF(AND(_5="A-330-200",'2026'!$J$4="FO",'2026'!$J$2=BY233),'2026DATA'!$F$10,"")</f>
        <v/>
      </c>
      <c r="BZ241" s="518" t="str">
        <f>IF(AND(_5="A-330-200",'2026'!$J$4="FO",'2026'!$J$2=BZ233),'2026DATA'!$G$10,"")</f>
        <v/>
      </c>
      <c r="CA241" s="518" t="str">
        <f>IF(AND(_5="A-330-200",'2026'!$J$4="FO",'2026'!$J$2=CA233),'2026DATA'!$H$10,"")</f>
        <v/>
      </c>
      <c r="CB241" s="518" t="str">
        <f>IF(AND(_5="A-330-200",'2026'!$J$4="FO",'2026'!$J$2=CB233),'2026DATA'!$I$10,"")</f>
        <v/>
      </c>
      <c r="CC241" s="518" t="str">
        <f>IF(AND(_5="A-330-200",'2026'!$J$4="FO",'2026'!$J$2=CC233),'2026DATA'!$J$10,"")</f>
        <v/>
      </c>
      <c r="CD241" s="518" t="str">
        <f>IF(AND(_5="A-330-200",'2026'!$J$4="FO",'2026'!$J$2=CD233),'2026DATA'!$K$10,"")</f>
        <v/>
      </c>
      <c r="CE241" s="518" t="str">
        <f>IF(AND(_5="A-330-200",'2026'!$J$4="FO",'2026'!$J$2=CE233),'2026DATA'!$L$10,"")</f>
        <v/>
      </c>
      <c r="CF241" s="518" t="str">
        <f>IF(AND(_5="A-330-200",'2026'!$J$4="FO",'2026'!$J$2=CF233),'2026DATA'!$M$10,"")</f>
        <v/>
      </c>
      <c r="CG241" s="520" t="str">
        <f>IF(AND(_5="A-330-200",'2026'!$J$4="FO",'2026'!$J$2=CG233),'2026DATA'!$N$10,"")</f>
        <v/>
      </c>
      <c r="CH241" s="940"/>
      <c r="CI241" s="13" t="s">
        <v>62</v>
      </c>
      <c r="CJ241" s="518" t="str">
        <f>IF(AND(_6="A-330-200",'2026'!$J$4="FO",'2026'!$J$2=CJ233),'2026DATA'!$C$10,"")</f>
        <v/>
      </c>
      <c r="CK241" s="518" t="str">
        <f>IF(AND(_6="A-330-200",'2026'!$J$4="FO",'2026'!$J$2=CK233),'2026DATA'!$D$10,"")</f>
        <v/>
      </c>
      <c r="CL241" s="518" t="str">
        <f>IF(AND(_6="A-330-200",'2026'!$J$4="FO",'2026'!$J$2=CL233),'2026DATA'!$E$10,"")</f>
        <v/>
      </c>
      <c r="CM241" s="518" t="str">
        <f>IF(AND(_6="A-330-200",'2026'!$J$4="FO",'2026'!$J$2=CM233),'2026DATA'!$F$10,"")</f>
        <v/>
      </c>
      <c r="CN241" s="518" t="str">
        <f>IF(AND(_6="A-330-200",'2026'!$J$4="FO",'2026'!$J$2=CN233),'2026DATA'!$G$10,"")</f>
        <v/>
      </c>
      <c r="CO241" s="518" t="str">
        <f>IF(AND(_6="A-330-200",'2026'!$J$4="FO",'2026'!$J$2=CO233),'2026DATA'!$H$10,"")</f>
        <v/>
      </c>
      <c r="CP241" s="518" t="str">
        <f>IF(AND(_6="A-330-200",'2026'!$J$4="FO",'2026'!$J$2=CP233),'2026DATA'!$I$10,"")</f>
        <v/>
      </c>
      <c r="CQ241" s="518" t="str">
        <f>IF(AND(_6="A-330-200",'2026'!$J$4="FO",'2026'!$J$2=CQ233),'2026DATA'!$J$10,"")</f>
        <v/>
      </c>
      <c r="CR241" s="518" t="str">
        <f>IF(AND(_6="A-330-200",'2026'!$J$4="FO",'2026'!$J$2=CR233),'2026DATA'!$K$10,"")</f>
        <v/>
      </c>
      <c r="CS241" s="518" t="str">
        <f>IF(AND(_6="A-330-200",'2026'!$J$4="FO",'2026'!$J$2=CS233),'2026DATA'!$L$10,"")</f>
        <v/>
      </c>
      <c r="CT241" s="518" t="str">
        <f>IF(AND(_6="A-330-200",'2026'!$J$4="FO",'2026'!$J$2=CT233),'2026DATA'!$M$10,"")</f>
        <v/>
      </c>
      <c r="CU241" s="520" t="str">
        <f>IF(AND(_6="A-330-200",'2026'!$J$4="FO",'2026'!$J$2=CU233),'2026DATA'!$N$10,"")</f>
        <v/>
      </c>
    </row>
    <row r="242" spans="16:99" x14ac:dyDescent="0.25">
      <c r="P242" s="940" t="s">
        <v>42</v>
      </c>
      <c r="Q242" s="13" t="s">
        <v>61</v>
      </c>
      <c r="R242" s="518" t="str">
        <f>IF(AND(_1="B-767-400ER",'2026'!$J$4="CA",'2026'!$J$2=R233),'2026DATA'!$C$11,"")</f>
        <v/>
      </c>
      <c r="S242" s="518" t="str">
        <f>IF(AND(_1="B-767-400ER",'2026'!$J$4="CA",'2026'!$J$2=S233),'2026DATA'!$D$11,"")</f>
        <v/>
      </c>
      <c r="T242" s="518" t="str">
        <f>IF(AND(_1="B-767-400ER",'2026'!$J$4="CA",'2026'!$J$2=T233),'2026DATA'!$E$11,"")</f>
        <v/>
      </c>
      <c r="U242" s="518" t="str">
        <f>IF(AND(_1="B-767-400ER",'2026'!$J$4="CA",'2026'!$J$2=U233),'2026DATA'!$F$11,"")</f>
        <v/>
      </c>
      <c r="V242" s="518" t="str">
        <f>IF(AND(_1="B-767-400ER",'2026'!$J$4="CA",'2026'!$J$2=V233),'2026DATA'!$G$11,"")</f>
        <v/>
      </c>
      <c r="W242" s="518" t="str">
        <f>IF(AND(_1="B-767-400ER",'2026'!$J$4="CA",'2026'!$J$2=W233),'2026DATA'!$H$11,"")</f>
        <v/>
      </c>
      <c r="X242" s="518" t="str">
        <f>IF(AND(_1="B-767-400ER",'2026'!$J$4="CA",'2026'!$J$2=X233),'2026DATA'!$I$11,"")</f>
        <v/>
      </c>
      <c r="Y242" s="518" t="str">
        <f>IF(AND(_1="B-767-400ER",'2026'!$J$4="CA",'2026'!$J$2=Y233),'2026DATA'!$J$11,"")</f>
        <v/>
      </c>
      <c r="Z242" s="518" t="str">
        <f>IF(AND(_1="B-767-400ER",'2026'!$J$4="CA",'2026'!$J$2=Z233),'2026DATA'!$K$11,"")</f>
        <v/>
      </c>
      <c r="AA242" s="518" t="str">
        <f>IF(AND(_1="B-767-400ER",'2026'!$J$4="CA",'2026'!$J$2=AA233),'2026DATA'!$L$11,"")</f>
        <v/>
      </c>
      <c r="AB242" s="518" t="str">
        <f>IF(AND(_1="B-767-400ER",'2026'!$J$4="CA",'2026'!$J$2=AB233),'2026DATA'!$M$11,"")</f>
        <v/>
      </c>
      <c r="AC242" s="520" t="str">
        <f>IF(AND(_1="B-767-400ER",'2026'!$J$4="CA",'2026'!$J$2=AC233),'2026DATA'!$N$11,"")</f>
        <v/>
      </c>
      <c r="AD242" s="940" t="s">
        <v>42</v>
      </c>
      <c r="AE242" s="13" t="s">
        <v>61</v>
      </c>
      <c r="AF242" s="518" t="str">
        <f>IF(AND(_2="B-767-400ER",'2026'!$J$4="CA",'2026'!$J$2=AF233),'2026DATA'!$C$11,"")</f>
        <v/>
      </c>
      <c r="AG242" s="518" t="str">
        <f>IF(AND(_2="B-767-400ER",'2026'!$J$4="CA",'2026'!$J$2=AG233),'2026DATA'!$D$11,"")</f>
        <v/>
      </c>
      <c r="AH242" s="518" t="str">
        <f>IF(AND(_2="B-767-400ER",'2026'!$J$4="CA",'2026'!$J$2=AH233),'2026DATA'!$E$11,"")</f>
        <v/>
      </c>
      <c r="AI242" s="518" t="str">
        <f>IF(AND(_2="B-767-400ER",'2026'!$J$4="CA",'2026'!$J$2=AI233),'2026DATA'!$F$11,"")</f>
        <v/>
      </c>
      <c r="AJ242" s="518" t="str">
        <f>IF(AND(_2="B-767-400ER",'2026'!$J$4="CA",'2026'!$J$2=AJ233),'2026DATA'!$G$11,"")</f>
        <v/>
      </c>
      <c r="AK242" s="518" t="str">
        <f>IF(AND(_2="B-767-400ER",'2026'!$J$4="CA",'2026'!$J$2=AK233),'2026DATA'!$H$11,"")</f>
        <v/>
      </c>
      <c r="AL242" s="518" t="str">
        <f>IF(AND(_2="B-767-400ER",'2026'!$J$4="CA",'2026'!$J$2=AL233),'2026DATA'!$I$11,"")</f>
        <v/>
      </c>
      <c r="AM242" s="518" t="str">
        <f>IF(AND(_2="B-767-400ER",'2026'!$J$4="CA",'2026'!$J$2=AM233),'2026DATA'!$J$11,"")</f>
        <v/>
      </c>
      <c r="AN242" s="518" t="str">
        <f>IF(AND(_2="B-767-400ER",'2026'!$J$4="CA",'2026'!$J$2=AN233),'2026DATA'!$K$11,"")</f>
        <v/>
      </c>
      <c r="AO242" s="518" t="str">
        <f>IF(AND(_2="B-767-400ER",'2026'!$J$4="CA",'2026'!$J$2=AO233),'2026DATA'!$L$11,"")</f>
        <v/>
      </c>
      <c r="AP242" s="518" t="str">
        <f>IF(AND(_2="B-767-400ER",'2026'!$J$4="CA",'2026'!$J$2=AP233),'2026DATA'!$M$11,"")</f>
        <v/>
      </c>
      <c r="AQ242" s="520" t="str">
        <f>IF(AND(_2="B-767-400ER",'2026'!$J$4="CA",'2026'!$J$2=AQ233),'2026DATA'!$N$11,"")</f>
        <v/>
      </c>
      <c r="AR242" s="940" t="s">
        <v>42</v>
      </c>
      <c r="AS242" s="13" t="s">
        <v>61</v>
      </c>
      <c r="AT242" s="518" t="str">
        <f>IF(AND(_3="B-767-400ER",'2026'!$J$4="CA",'2026'!$J$2=AT233),'2026DATA'!$C$11,"")</f>
        <v/>
      </c>
      <c r="AU242" s="518" t="str">
        <f>IF(AND(_3="B-767-400ER",'2026'!$J$4="CA",'2026'!$J$2=AU233),'2026DATA'!$D$11,"")</f>
        <v/>
      </c>
      <c r="AV242" s="518" t="str">
        <f>IF(AND(_3="B-767-400ER",'2026'!$J$4="CA",'2026'!$J$2=AV233),'2026DATA'!$E$11,"")</f>
        <v/>
      </c>
      <c r="AW242" s="518" t="str">
        <f>IF(AND(_3="B-767-400ER",'2026'!$J$4="CA",'2026'!$J$2=AW233),'2026DATA'!$F$11,"")</f>
        <v/>
      </c>
      <c r="AX242" s="518" t="str">
        <f>IF(AND(_3="B-767-400ER",'2026'!$J$4="CA",'2026'!$J$2=AX233),'2026DATA'!$G$11,"")</f>
        <v/>
      </c>
      <c r="AY242" s="518" t="str">
        <f>IF(AND(_3="B-767-400ER",'2026'!$J$4="CA",'2026'!$J$2=AY233),'2026DATA'!$H$11,"")</f>
        <v/>
      </c>
      <c r="AZ242" s="518" t="str">
        <f>IF(AND(_3="B-767-400ER",'2026'!$J$4="CA",'2026'!$J$2=AZ233),'2026DATA'!$I$11,"")</f>
        <v/>
      </c>
      <c r="BA242" s="518" t="str">
        <f>IF(AND(_3="B-767-400ER",'2026'!$J$4="CA",'2026'!$J$2=BA233),'2026DATA'!$J$11,"")</f>
        <v/>
      </c>
      <c r="BB242" s="518" t="str">
        <f>IF(AND(_3="B-767-400ER",'2026'!$J$4="CA",'2026'!$J$2=BB233),'2026DATA'!$K$11,"")</f>
        <v/>
      </c>
      <c r="BC242" s="518" t="str">
        <f>IF(AND(_3="B-767-400ER",'2026'!$J$4="CA",'2026'!$J$2=BC233),'2026DATA'!$L$11,"")</f>
        <v/>
      </c>
      <c r="BD242" s="518" t="str">
        <f>IF(AND(_3="B-767-400ER",'2026'!$J$4="CA",'2026'!$J$2=BD233),'2026DATA'!$M$11,"")</f>
        <v/>
      </c>
      <c r="BE242" s="520" t="str">
        <f>IF(AND(_3="B-767-400ER",'2026'!$J$4="CA",'2026'!$J$2=BE233),'2026DATA'!$N$11,"")</f>
        <v/>
      </c>
      <c r="BF242" s="940" t="s">
        <v>42</v>
      </c>
      <c r="BG242" s="13" t="s">
        <v>61</v>
      </c>
      <c r="BH242" s="518" t="str">
        <f>IF(AND(_4="B-767-400ER",'2026'!$J$4="CA",'2026'!$J$2=BH233),'2026DATA'!$C$11,"")</f>
        <v/>
      </c>
      <c r="BI242" s="518" t="str">
        <f>IF(AND(_4="B-767-400ER",'2026'!$J$4="CA",'2026'!$J$2=BI233),'2026DATA'!$D$11,"")</f>
        <v/>
      </c>
      <c r="BJ242" s="518" t="str">
        <f>IF(AND(_4="B-767-400ER",'2026'!$J$4="CA",'2026'!$J$2=BJ233),'2026DATA'!$E$11,"")</f>
        <v/>
      </c>
      <c r="BK242" s="518" t="str">
        <f>IF(AND(_4="B-767-400ER",'2026'!$J$4="CA",'2026'!$J$2=BK233),'2026DATA'!$F$11,"")</f>
        <v/>
      </c>
      <c r="BL242" s="518" t="str">
        <f>IF(AND(_4="B-767-400ER",'2026'!$J$4="CA",'2026'!$J$2=BL233),'2026DATA'!$G$11,"")</f>
        <v/>
      </c>
      <c r="BM242" s="518" t="str">
        <f>IF(AND(_4="B-767-400ER",'2026'!$J$4="CA",'2026'!$J$2=BM233),'2026DATA'!$H$11,"")</f>
        <v/>
      </c>
      <c r="BN242" s="518" t="str">
        <f>IF(AND(_4="B-767-400ER",'2026'!$J$4="CA",'2026'!$J$2=BN233),'2026DATA'!$I$11,"")</f>
        <v/>
      </c>
      <c r="BO242" s="518" t="str">
        <f>IF(AND(_4="B-767-400ER",'2026'!$J$4="CA",'2026'!$J$2=BO233),'2026DATA'!$J$11,"")</f>
        <v/>
      </c>
      <c r="BP242" s="518" t="str">
        <f>IF(AND(_4="B-767-400ER",'2026'!$J$4="CA",'2026'!$J$2=BP233),'2026DATA'!$K$11,"")</f>
        <v/>
      </c>
      <c r="BQ242" s="518" t="str">
        <f>IF(AND(_4="B-767-400ER",'2026'!$J$4="CA",'2026'!$J$2=BQ233),'2026DATA'!$L$11,"")</f>
        <v/>
      </c>
      <c r="BR242" s="518" t="str">
        <f>IF(AND(_4="B-767-400ER",'2026'!$J$4="CA",'2026'!$J$2=BR233),'2026DATA'!$M$11,"")</f>
        <v/>
      </c>
      <c r="BS242" s="520" t="str">
        <f>IF(AND(_4="B-767-400ER",'2026'!$J$4="CA",'2026'!$J$2=BS233),'2026DATA'!$N$11,"")</f>
        <v/>
      </c>
      <c r="BT242" s="940" t="s">
        <v>42</v>
      </c>
      <c r="BU242" s="13" t="s">
        <v>61</v>
      </c>
      <c r="BV242" s="518" t="str">
        <f>IF(AND(_5="B-767-400ER",'2026'!$J$4="CA",'2026'!$J$2=BV233),'2026DATA'!$C$11,"")</f>
        <v/>
      </c>
      <c r="BW242" s="518" t="str">
        <f>IF(AND(_5="B-767-400ER",'2026'!$J$4="CA",'2026'!$J$2=BW233),'2026DATA'!$D$11,"")</f>
        <v/>
      </c>
      <c r="BX242" s="518" t="str">
        <f>IF(AND(_5="B-767-400ER",'2026'!$J$4="CA",'2026'!$J$2=BX233),'2026DATA'!$E$11,"")</f>
        <v/>
      </c>
      <c r="BY242" s="518" t="str">
        <f>IF(AND(_5="B-767-400ER",'2026'!$J$4="CA",'2026'!$J$2=BY233),'2026DATA'!$F$11,"")</f>
        <v/>
      </c>
      <c r="BZ242" s="518" t="str">
        <f>IF(AND(_5="B-767-400ER",'2026'!$J$4="CA",'2026'!$J$2=BZ233),'2026DATA'!$G$11,"")</f>
        <v/>
      </c>
      <c r="CA242" s="518" t="str">
        <f>IF(AND(_5="B-767-400ER",'2026'!$J$4="CA",'2026'!$J$2=CA233),'2026DATA'!$H$11,"")</f>
        <v/>
      </c>
      <c r="CB242" s="518" t="str">
        <f>IF(AND(_5="B-767-400ER",'2026'!$J$4="CA",'2026'!$J$2=CB233),'2026DATA'!$I$11,"")</f>
        <v/>
      </c>
      <c r="CC242" s="518" t="str">
        <f>IF(AND(_5="B-767-400ER",'2026'!$J$4="CA",'2026'!$J$2=CC233),'2026DATA'!$J$11,"")</f>
        <v/>
      </c>
      <c r="CD242" s="518" t="str">
        <f>IF(AND(_5="B-767-400ER",'2026'!$J$4="CA",'2026'!$J$2=CD233),'2026DATA'!$K$11,"")</f>
        <v/>
      </c>
      <c r="CE242" s="518" t="str">
        <f>IF(AND(_5="B-767-400ER",'2026'!$J$4="CA",'2026'!$J$2=CE233),'2026DATA'!$L$11,"")</f>
        <v/>
      </c>
      <c r="CF242" s="518" t="str">
        <f>IF(AND(_5="B-767-400ER",'2026'!$J$4="CA",'2026'!$J$2=CF233),'2026DATA'!$M$11,"")</f>
        <v/>
      </c>
      <c r="CG242" s="520" t="str">
        <f>IF(AND(_5="B-767-400ER",'2026'!$J$4="CA",'2026'!$J$2=CG233),'2026DATA'!$N$11,"")</f>
        <v/>
      </c>
      <c r="CH242" s="940" t="s">
        <v>42</v>
      </c>
      <c r="CI242" s="13" t="s">
        <v>61</v>
      </c>
      <c r="CJ242" s="518" t="str">
        <f>IF(AND(_6="B-767-400ER",'2026'!$J$4="CA",'2026'!$J$2=CJ233),'2026DATA'!$C$11,"")</f>
        <v/>
      </c>
      <c r="CK242" s="518" t="str">
        <f>IF(AND(_6="B-767-400ER",'2026'!$J$4="CA",'2026'!$J$2=CK233),'2026DATA'!$D$11,"")</f>
        <v/>
      </c>
      <c r="CL242" s="518" t="str">
        <f>IF(AND(_6="B-767-400ER",'2026'!$J$4="CA",'2026'!$J$2=CL233),'2026DATA'!$E$11,"")</f>
        <v/>
      </c>
      <c r="CM242" s="518" t="str">
        <f>IF(AND(_6="B-767-400ER",'2026'!$J$4="CA",'2026'!$J$2=CM233),'2026DATA'!$F$11,"")</f>
        <v/>
      </c>
      <c r="CN242" s="518" t="str">
        <f>IF(AND(_6="B-767-400ER",'2026'!$J$4="CA",'2026'!$J$2=CN233),'2026DATA'!$G$11,"")</f>
        <v/>
      </c>
      <c r="CO242" s="518" t="str">
        <f>IF(AND(_6="B-767-400ER",'2026'!$J$4="CA",'2026'!$J$2=CO233),'2026DATA'!$H$11,"")</f>
        <v/>
      </c>
      <c r="CP242" s="518" t="str">
        <f>IF(AND(_6="B-767-400ER",'2026'!$J$4="CA",'2026'!$J$2=CP233),'2026DATA'!$I$11,"")</f>
        <v/>
      </c>
      <c r="CQ242" s="518" t="str">
        <f>IF(AND(_6="B-767-400ER",'2026'!$J$4="CA",'2026'!$J$2=CQ233),'2026DATA'!$J$11,"")</f>
        <v/>
      </c>
      <c r="CR242" s="518" t="str">
        <f>IF(AND(_6="B-767-400ER",'2026'!$J$4="CA",'2026'!$J$2=CR233),'2026DATA'!$K$11,"")</f>
        <v/>
      </c>
      <c r="CS242" s="518" t="str">
        <f>IF(AND(_6="B-767-400ER",'2026'!$J$4="CA",'2026'!$J$2=CS233),'2026DATA'!$L$11,"")</f>
        <v/>
      </c>
      <c r="CT242" s="518" t="str">
        <f>IF(AND(_6="B-767-400ER",'2026'!$J$4="CA",'2026'!$J$2=CT233),'2026DATA'!$M$11,"")</f>
        <v/>
      </c>
      <c r="CU242" s="520" t="str">
        <f>IF(AND(_6="B-767-400ER",'2026'!$J$4="CA",'2026'!$J$2=CU233),'2026DATA'!$N$11,"")</f>
        <v/>
      </c>
    </row>
    <row r="243" spans="16:99" x14ac:dyDescent="0.25">
      <c r="P243" s="940"/>
      <c r="Q243" s="13" t="s">
        <v>62</v>
      </c>
      <c r="R243" s="518" t="str">
        <f>IF(AND(_1="B-767-400ER",'2026'!$J$4="FO",'2026'!$J$2=R233),'2026DATA'!$C$12,"")</f>
        <v/>
      </c>
      <c r="S243" s="518" t="str">
        <f>IF(AND(_1="B-767-400ER",'2026'!$J$4="FO",'2026'!$J$2=S233),'2026DATA'!$D$12,"")</f>
        <v/>
      </c>
      <c r="T243" s="518" t="str">
        <f>IF(AND(_1="B-767-400ER",'2026'!$J$4="FO",'2026'!$J$2=T233),'2026DATA'!$E$12,"")</f>
        <v/>
      </c>
      <c r="U243" s="518" t="str">
        <f>IF(AND(_1="B-767-400ER",'2026'!$J$4="FO",'2026'!$J$2=U233),'2026DATA'!$F$12,"")</f>
        <v/>
      </c>
      <c r="V243" s="518" t="str">
        <f>IF(AND(_1="B-767-400ER",'2026'!$J$4="FO",'2026'!$J$2=V233),'2026DATA'!$G$12,"")</f>
        <v/>
      </c>
      <c r="W243" s="518" t="str">
        <f>IF(AND(_1="B-767-400ER",'2026'!$J$4="FO",'2026'!$J$2=W233),'2026DATA'!$H$12,"")</f>
        <v/>
      </c>
      <c r="X243" s="518" t="str">
        <f>IF(AND(_1="B-767-400ER",'2026'!$J$4="FO",'2026'!$J$2=X233),'2026DATA'!$I$12,"")</f>
        <v/>
      </c>
      <c r="Y243" s="518" t="str">
        <f>IF(AND(_1="B-767-400ER",'2026'!$J$4="FO",'2026'!$J$2=Y233),'2026DATA'!$J$12,"")</f>
        <v/>
      </c>
      <c r="Z243" s="518" t="str">
        <f>IF(AND(_1="B-767-400ER",'2026'!$J$4="FO",'2026'!$J$2=Z233),'2026DATA'!$K$12,"")</f>
        <v/>
      </c>
      <c r="AA243" s="518" t="str">
        <f>IF(AND(_1="B-767-400ER",'2026'!$J$4="FO",'2026'!$J$2=AA233),'2026DATA'!$L$12,"")</f>
        <v/>
      </c>
      <c r="AB243" s="518" t="str">
        <f>IF(AND(_1="B-767-400ER",'2026'!$J$4="FO",'2026'!$J$2=AB233),'2026DATA'!$M$12,"")</f>
        <v/>
      </c>
      <c r="AC243" s="520" t="str">
        <f>IF(AND(_1="B-767-400ER",'2026'!$J$4="FO",'2026'!$J$2=AC233),'2026DATA'!$N$12,"")</f>
        <v/>
      </c>
      <c r="AD243" s="940"/>
      <c r="AE243" s="13" t="s">
        <v>62</v>
      </c>
      <c r="AF243" s="518" t="str">
        <f>IF(AND(_2="B-767-400ER",'2026'!$J$4="FO",'2026'!$J$2=AF233),'2026DATA'!$C$12,"")</f>
        <v/>
      </c>
      <c r="AG243" s="518" t="str">
        <f>IF(AND(_2="B-767-400ER",'2026'!$J$4="FO",'2026'!$J$2=AG233),'2026DATA'!$D$12,"")</f>
        <v/>
      </c>
      <c r="AH243" s="518" t="str">
        <f>IF(AND(_2="B-767-400ER",'2026'!$J$4="FO",'2026'!$J$2=AH233),'2026DATA'!$E$12,"")</f>
        <v/>
      </c>
      <c r="AI243" s="518" t="str">
        <f>IF(AND(_2="B-767-400ER",'2026'!$J$4="FO",'2026'!$J$2=AI233),'2026DATA'!$F$12,"")</f>
        <v/>
      </c>
      <c r="AJ243" s="518" t="str">
        <f>IF(AND(_2="B-767-400ER",'2026'!$J$4="FO",'2026'!$J$2=AJ233),'2026DATA'!$G$12,"")</f>
        <v/>
      </c>
      <c r="AK243" s="518" t="str">
        <f>IF(AND(_2="B-767-400ER",'2026'!$J$4="FO",'2026'!$J$2=AK233),'2026DATA'!$H$12,"")</f>
        <v/>
      </c>
      <c r="AL243" s="518" t="str">
        <f>IF(AND(_2="B-767-400ER",'2026'!$J$4="FO",'2026'!$J$2=AL233),'2026DATA'!$I$12,"")</f>
        <v/>
      </c>
      <c r="AM243" s="518" t="str">
        <f>IF(AND(_2="B-767-400ER",'2026'!$J$4="FO",'2026'!$J$2=AM233),'2026DATA'!$J$12,"")</f>
        <v/>
      </c>
      <c r="AN243" s="518" t="str">
        <f>IF(AND(_2="B-767-400ER",'2026'!$J$4="FO",'2026'!$J$2=AN233),'2026DATA'!$K$12,"")</f>
        <v/>
      </c>
      <c r="AO243" s="518" t="str">
        <f>IF(AND(_2="B-767-400ER",'2026'!$J$4="FO",'2026'!$J$2=AO233),'2026DATA'!$L$12,"")</f>
        <v/>
      </c>
      <c r="AP243" s="518" t="str">
        <f>IF(AND(_2="B-767-400ER",'2026'!$J$4="FO",'2026'!$J$2=AP233),'2026DATA'!$M$12,"")</f>
        <v/>
      </c>
      <c r="AQ243" s="520" t="str">
        <f>IF(AND(_2="B-767-400ER",'2026'!$J$4="FO",'2026'!$J$2=AQ233),'2026DATA'!$N$12,"")</f>
        <v/>
      </c>
      <c r="AR243" s="940"/>
      <c r="AS243" s="13" t="s">
        <v>62</v>
      </c>
      <c r="AT243" s="518" t="str">
        <f>IF(AND(_3="B-767-400ER",'2026'!$J$4="FO",'2026'!$J$2=AT233),'2026DATA'!$C$12,"")</f>
        <v/>
      </c>
      <c r="AU243" s="518" t="str">
        <f>IF(AND(_3="B-767-400ER",'2026'!$J$4="FO",'2026'!$J$2=AU233),'2026DATA'!$D$12,"")</f>
        <v/>
      </c>
      <c r="AV243" s="518" t="str">
        <f>IF(AND(_3="B-767-400ER",'2026'!$J$4="FO",'2026'!$J$2=AV233),'2026DATA'!$E$12,"")</f>
        <v/>
      </c>
      <c r="AW243" s="518" t="str">
        <f>IF(AND(_3="B-767-400ER",'2026'!$J$4="FO",'2026'!$J$2=AW233),'2026DATA'!$F$12,"")</f>
        <v/>
      </c>
      <c r="AX243" s="518" t="str">
        <f>IF(AND(_3="B-767-400ER",'2026'!$J$4="FO",'2026'!$J$2=AX233),'2026DATA'!$G$12,"")</f>
        <v/>
      </c>
      <c r="AY243" s="518" t="str">
        <f>IF(AND(_3="B-767-400ER",'2026'!$J$4="FO",'2026'!$J$2=AY233),'2026DATA'!$H$12,"")</f>
        <v/>
      </c>
      <c r="AZ243" s="518" t="str">
        <f>IF(AND(_3="B-767-400ER",'2026'!$J$4="FO",'2026'!$J$2=AZ233),'2026DATA'!$I$12,"")</f>
        <v/>
      </c>
      <c r="BA243" s="518" t="str">
        <f>IF(AND(_3="B-767-400ER",'2026'!$J$4="FO",'2026'!$J$2=BA233),'2026DATA'!$J$12,"")</f>
        <v/>
      </c>
      <c r="BB243" s="518" t="str">
        <f>IF(AND(_3="B-767-400ER",'2026'!$J$4="FO",'2026'!$J$2=BB233),'2026DATA'!$K$12,"")</f>
        <v/>
      </c>
      <c r="BC243" s="518" t="str">
        <f>IF(AND(_3="B-767-400ER",'2026'!$J$4="FO",'2026'!$J$2=BC233),'2026DATA'!$L$12,"")</f>
        <v/>
      </c>
      <c r="BD243" s="518" t="str">
        <f>IF(AND(_3="B-767-400ER",'2026'!$J$4="FO",'2026'!$J$2=BD233),'2026DATA'!$M$12,"")</f>
        <v/>
      </c>
      <c r="BE243" s="520" t="str">
        <f>IF(AND(_3="B-767-400ER",'2026'!$J$4="FO",'2026'!$J$2=BE233),'2026DATA'!$N$12,"")</f>
        <v/>
      </c>
      <c r="BF243" s="940"/>
      <c r="BG243" s="13" t="s">
        <v>62</v>
      </c>
      <c r="BH243" s="518" t="str">
        <f>IF(AND(_4="B-767-400ER",'2026'!$J$4="FO",'2026'!$J$2=BH233),'2026DATA'!$C$12,"")</f>
        <v/>
      </c>
      <c r="BI243" s="518" t="str">
        <f>IF(AND(_4="B-767-400ER",'2026'!$J$4="FO",'2026'!$J$2=BI233),'2026DATA'!$D$12,"")</f>
        <v/>
      </c>
      <c r="BJ243" s="518" t="str">
        <f>IF(AND(_4="B-767-400ER",'2026'!$J$4="FO",'2026'!$J$2=BJ233),'2026DATA'!$E$12,"")</f>
        <v/>
      </c>
      <c r="BK243" s="518" t="str">
        <f>IF(AND(_4="B-767-400ER",'2026'!$J$4="FO",'2026'!$J$2=BK233),'2026DATA'!$F$12,"")</f>
        <v/>
      </c>
      <c r="BL243" s="518" t="str">
        <f>IF(AND(_4="B-767-400ER",'2026'!$J$4="FO",'2026'!$J$2=BL233),'2026DATA'!$G$12,"")</f>
        <v/>
      </c>
      <c r="BM243" s="518" t="str">
        <f>IF(AND(_4="B-767-400ER",'2026'!$J$4="FO",'2026'!$J$2=BM233),'2026DATA'!$H$12,"")</f>
        <v/>
      </c>
      <c r="BN243" s="518" t="str">
        <f>IF(AND(_4="B-767-400ER",'2026'!$J$4="FO",'2026'!$J$2=BN233),'2026DATA'!$I$12,"")</f>
        <v/>
      </c>
      <c r="BO243" s="518" t="str">
        <f>IF(AND(_4="B-767-400ER",'2026'!$J$4="FO",'2026'!$J$2=BO233),'2026DATA'!$J$12,"")</f>
        <v/>
      </c>
      <c r="BP243" s="518" t="str">
        <f>IF(AND(_4="B-767-400ER",'2026'!$J$4="FO",'2026'!$J$2=BP233),'2026DATA'!$K$12,"")</f>
        <v/>
      </c>
      <c r="BQ243" s="518" t="str">
        <f>IF(AND(_4="B-767-400ER",'2026'!$J$4="FO",'2026'!$J$2=BQ233),'2026DATA'!$L$12,"")</f>
        <v/>
      </c>
      <c r="BR243" s="518" t="str">
        <f>IF(AND(_4="B-767-400ER",'2026'!$J$4="FO",'2026'!$J$2=BR233),'2026DATA'!$M$12,"")</f>
        <v/>
      </c>
      <c r="BS243" s="520" t="str">
        <f>IF(AND(_4="B-767-400ER",'2026'!$J$4="FO",'2026'!$J$2=BS233),'2026DATA'!$N$12,"")</f>
        <v/>
      </c>
      <c r="BT243" s="940"/>
      <c r="BU243" s="13" t="s">
        <v>62</v>
      </c>
      <c r="BV243" s="518" t="str">
        <f>IF(AND(_5="B-767-400ER",'2026'!$J$4="FO",'2026'!$J$2=BV233),'2026DATA'!$C$12,"")</f>
        <v/>
      </c>
      <c r="BW243" s="518" t="str">
        <f>IF(AND(_5="B-767-400ER",'2026'!$J$4="FO",'2026'!$J$2=BW233),'2026DATA'!$D$12,"")</f>
        <v/>
      </c>
      <c r="BX243" s="518" t="str">
        <f>IF(AND(_5="B-767-400ER",'2026'!$J$4="FO",'2026'!$J$2=BX233),'2026DATA'!$E$12,"")</f>
        <v/>
      </c>
      <c r="BY243" s="518" t="str">
        <f>IF(AND(_5="B-767-400ER",'2026'!$J$4="FO",'2026'!$J$2=BY233),'2026DATA'!$F$12,"")</f>
        <v/>
      </c>
      <c r="BZ243" s="518" t="str">
        <f>IF(AND(_5="B-767-400ER",'2026'!$J$4="FO",'2026'!$J$2=BZ233),'2026DATA'!$G$12,"")</f>
        <v/>
      </c>
      <c r="CA243" s="518" t="str">
        <f>IF(AND(_5="B-767-400ER",'2026'!$J$4="FO",'2026'!$J$2=CA233),'2026DATA'!$H$12,"")</f>
        <v/>
      </c>
      <c r="CB243" s="518" t="str">
        <f>IF(AND(_5="B-767-400ER",'2026'!$J$4="FO",'2026'!$J$2=CB233),'2026DATA'!$I$12,"")</f>
        <v/>
      </c>
      <c r="CC243" s="518" t="str">
        <f>IF(AND(_5="B-767-400ER",'2026'!$J$4="FO",'2026'!$J$2=CC233),'2026DATA'!$J$12,"")</f>
        <v/>
      </c>
      <c r="CD243" s="518" t="str">
        <f>IF(AND(_5="B-767-400ER",'2026'!$J$4="FO",'2026'!$J$2=CD233),'2026DATA'!$K$12,"")</f>
        <v/>
      </c>
      <c r="CE243" s="518" t="str">
        <f>IF(AND(_5="B-767-400ER",'2026'!$J$4="FO",'2026'!$J$2=CE233),'2026DATA'!$L$12,"")</f>
        <v/>
      </c>
      <c r="CF243" s="518" t="str">
        <f>IF(AND(_5="B-767-400ER",'2026'!$J$4="FO",'2026'!$J$2=CF233),'2026DATA'!$M$12,"")</f>
        <v/>
      </c>
      <c r="CG243" s="520" t="str">
        <f>IF(AND(_5="B-767-400ER",'2026'!$J$4="FO",'2026'!$J$2=CG233),'2026DATA'!$N$12,"")</f>
        <v/>
      </c>
      <c r="CH243" s="940"/>
      <c r="CI243" s="13" t="s">
        <v>62</v>
      </c>
      <c r="CJ243" s="518" t="str">
        <f>IF(AND(_6="B-767-400ER",'2026'!$J$4="FO",'2026'!$J$2=CJ233),'2026DATA'!$C$12,"")</f>
        <v/>
      </c>
      <c r="CK243" s="518" t="str">
        <f>IF(AND(_6="B-767-400ER",'2026'!$J$4="FO",'2026'!$J$2=CK233),'2026DATA'!$D$12,"")</f>
        <v/>
      </c>
      <c r="CL243" s="518" t="str">
        <f>IF(AND(_6="B-767-400ER",'2026'!$J$4="FO",'2026'!$J$2=CL233),'2026DATA'!$E$12,"")</f>
        <v/>
      </c>
      <c r="CM243" s="518" t="str">
        <f>IF(AND(_6="B-767-400ER",'2026'!$J$4="FO",'2026'!$J$2=CM233),'2026DATA'!$F$12,"")</f>
        <v/>
      </c>
      <c r="CN243" s="518" t="str">
        <f>IF(AND(_6="B-767-400ER",'2026'!$J$4="FO",'2026'!$J$2=CN233),'2026DATA'!$G$12,"")</f>
        <v/>
      </c>
      <c r="CO243" s="518" t="str">
        <f>IF(AND(_6="B-767-400ER",'2026'!$J$4="FO",'2026'!$J$2=CO233),'2026DATA'!$H$12,"")</f>
        <v/>
      </c>
      <c r="CP243" s="518" t="str">
        <f>IF(AND(_6="B-767-400ER",'2026'!$J$4="FO",'2026'!$J$2=CP233),'2026DATA'!$I$12,"")</f>
        <v/>
      </c>
      <c r="CQ243" s="518" t="str">
        <f>IF(AND(_6="B-767-400ER",'2026'!$J$4="FO",'2026'!$J$2=CQ233),'2026DATA'!$J$12,"")</f>
        <v/>
      </c>
      <c r="CR243" s="518" t="str">
        <f>IF(AND(_6="B-767-400ER",'2026'!$J$4="FO",'2026'!$J$2=CR233),'2026DATA'!$K$12,"")</f>
        <v/>
      </c>
      <c r="CS243" s="518" t="str">
        <f>IF(AND(_6="B-767-400ER",'2026'!$J$4="FO",'2026'!$J$2=CS233),'2026DATA'!$L$12,"")</f>
        <v/>
      </c>
      <c r="CT243" s="518" t="str">
        <f>IF(AND(_6="B-767-400ER",'2026'!$J$4="FO",'2026'!$J$2=CT233),'2026DATA'!$M$12,"")</f>
        <v/>
      </c>
      <c r="CU243" s="520" t="str">
        <f>IF(AND(_6="B-767-400ER",'2026'!$J$4="FO",'2026'!$J$2=CU233),'2026DATA'!$N$12,"")</f>
        <v/>
      </c>
    </row>
    <row r="244" spans="16:99" x14ac:dyDescent="0.25">
      <c r="P244" s="940" t="s">
        <v>43</v>
      </c>
      <c r="Q244" s="13" t="s">
        <v>61</v>
      </c>
      <c r="R244" s="518" t="str">
        <f>IF(AND(_1="B-767-300ER",'2026'!$J$4="CA",'2026'!$J$2=R233),'2026DATA'!$C$13,"")</f>
        <v/>
      </c>
      <c r="S244" s="518" t="str">
        <f>IF(AND(_1="B-767-300ER",'2026'!$J$4="CA",'2026'!$J$2=S233),'2026DATA'!$D$13,"")</f>
        <v/>
      </c>
      <c r="T244" s="518" t="str">
        <f>IF(AND(_1="B-767-300ER",'2026'!$J$4="CA",'2026'!$J$2=T233),'2026DATA'!$E$13,"")</f>
        <v/>
      </c>
      <c r="U244" s="518" t="str">
        <f>IF(AND(_1="B-767-300ER",'2026'!$J$4="CA",'2026'!$J$2=U233),'2026DATA'!$F$13,"")</f>
        <v/>
      </c>
      <c r="V244" s="518" t="str">
        <f>IF(AND(_1="B-767-300ER",'2026'!$J$4="CA",'2026'!$J$2=V233),'2026DATA'!$G$13,"")</f>
        <v/>
      </c>
      <c r="W244" s="518" t="str">
        <f>IF(AND(_1="B-767-300ER",'2026'!$J$4="CA",'2026'!$J$2=W233),'2026DATA'!$H$13,"")</f>
        <v/>
      </c>
      <c r="X244" s="518" t="str">
        <f>IF(AND(_1="B-767-300ER",'2026'!$J$4="CA",'2026'!$J$2=X233),'2026DATA'!$I$13,"")</f>
        <v/>
      </c>
      <c r="Y244" s="518" t="str">
        <f>IF(AND(_1="B-767-300ER",'2026'!$J$4="CA",'2026'!$J$2=Y233),'2026DATA'!$J$13,"")</f>
        <v/>
      </c>
      <c r="Z244" s="518" t="str">
        <f>IF(AND(_1="B-767-300ER",'2026'!$J$4="CA",'2026'!$J$2=Z233),'2026DATA'!$K$13,"")</f>
        <v/>
      </c>
      <c r="AA244" s="518" t="str">
        <f>IF(AND(_1="B-767-300ER",'2026'!$J$4="CA",'2026'!$J$2=AA233),'2026DATA'!$L$13,"")</f>
        <v/>
      </c>
      <c r="AB244" s="518" t="str">
        <f>IF(AND(_1="B-767-300ER",'2026'!$J$4="CA",'2026'!$J$2=AB233),'2026DATA'!$M$13,"")</f>
        <v/>
      </c>
      <c r="AC244" s="520" t="str">
        <f>IF(AND(_1="B-767-300ER",'2026'!$J$4="CA",'2026'!$J$2=AC233),'2026DATA'!$N$13,"")</f>
        <v/>
      </c>
      <c r="AD244" s="940" t="s">
        <v>43</v>
      </c>
      <c r="AE244" s="13" t="s">
        <v>61</v>
      </c>
      <c r="AF244" s="518" t="str">
        <f>IF(AND(_2="B-767-300ER",'2026'!$J$4="CA",'2026'!$J$2=AF233),'2026DATA'!$C$13,"")</f>
        <v/>
      </c>
      <c r="AG244" s="518" t="str">
        <f>IF(AND(_2="B-767-300ER",'2026'!$J$4="CA",'2026'!$J$2=AG233),'2026DATA'!$D$13,"")</f>
        <v/>
      </c>
      <c r="AH244" s="518" t="str">
        <f>IF(AND(_2="B-767-300ER",'2026'!$J$4="CA",'2026'!$J$2=AH233),'2026DATA'!$E$13,"")</f>
        <v/>
      </c>
      <c r="AI244" s="518" t="str">
        <f>IF(AND(_2="B-767-300ER",'2026'!$J$4="CA",'2026'!$J$2=AI233),'2026DATA'!$F$13,"")</f>
        <v/>
      </c>
      <c r="AJ244" s="518" t="str">
        <f>IF(AND(_2="B-767-300ER",'2026'!$J$4="CA",'2026'!$J$2=AJ233),'2026DATA'!$G$13,"")</f>
        <v/>
      </c>
      <c r="AK244" s="518" t="str">
        <f>IF(AND(_2="B-767-300ER",'2026'!$J$4="CA",'2026'!$J$2=AK233),'2026DATA'!$H$13,"")</f>
        <v/>
      </c>
      <c r="AL244" s="518" t="str">
        <f>IF(AND(_2="B-767-300ER",'2026'!$J$4="CA",'2026'!$J$2=AL233),'2026DATA'!$I$13,"")</f>
        <v/>
      </c>
      <c r="AM244" s="518" t="str">
        <f>IF(AND(_2="B-767-300ER",'2026'!$J$4="CA",'2026'!$J$2=AM233),'2026DATA'!$J$13,"")</f>
        <v/>
      </c>
      <c r="AN244" s="518" t="str">
        <f>IF(AND(_2="B-767-300ER",'2026'!$J$4="CA",'2026'!$J$2=AN233),'2026DATA'!$K$13,"")</f>
        <v/>
      </c>
      <c r="AO244" s="518" t="str">
        <f>IF(AND(_2="B-767-300ER",'2026'!$J$4="CA",'2026'!$J$2=AO233),'2026DATA'!$L$13,"")</f>
        <v/>
      </c>
      <c r="AP244" s="518" t="str">
        <f>IF(AND(_2="B-767-300ER",'2026'!$J$4="CA",'2026'!$J$2=AP233),'2026DATA'!$M$13,"")</f>
        <v/>
      </c>
      <c r="AQ244" s="520" t="str">
        <f>IF(AND(_2="B-767-300ER",'2026'!$J$4="CA",'2026'!$J$2=AQ233),'2026DATA'!$N$13,"")</f>
        <v/>
      </c>
      <c r="AR244" s="940" t="s">
        <v>43</v>
      </c>
      <c r="AS244" s="13" t="s">
        <v>61</v>
      </c>
      <c r="AT244" s="518" t="str">
        <f>IF(AND(_3="B-767-300ER",'2026'!$J$4="CA",'2026'!$J$2=AT233),'2026DATA'!$C$13,"")</f>
        <v/>
      </c>
      <c r="AU244" s="518" t="str">
        <f>IF(AND(_3="B-767-300ER",'2026'!$J$4="CA",'2026'!$J$2=AU233),'2026DATA'!$D$13,"")</f>
        <v/>
      </c>
      <c r="AV244" s="518" t="str">
        <f>IF(AND(_3="B-767-300ER",'2026'!$J$4="CA",'2026'!$J$2=AV233),'2026DATA'!$E$13,"")</f>
        <v/>
      </c>
      <c r="AW244" s="518" t="str">
        <f>IF(AND(_3="B-767-300ER",'2026'!$J$4="CA",'2026'!$J$2=AW233),'2026DATA'!$F$13,"")</f>
        <v/>
      </c>
      <c r="AX244" s="518" t="str">
        <f>IF(AND(_3="B-767-300ER",'2026'!$J$4="CA",'2026'!$J$2=AX233),'2026DATA'!$G$13,"")</f>
        <v/>
      </c>
      <c r="AY244" s="518" t="str">
        <f>IF(AND(_3="B-767-300ER",'2026'!$J$4="CA",'2026'!$J$2=AY233),'2026DATA'!$H$13,"")</f>
        <v/>
      </c>
      <c r="AZ244" s="518" t="str">
        <f>IF(AND(_3="B-767-300ER",'2026'!$J$4="CA",'2026'!$J$2=AZ233),'2026DATA'!$I$13,"")</f>
        <v/>
      </c>
      <c r="BA244" s="518" t="str">
        <f>IF(AND(_3="B-767-300ER",'2026'!$J$4="CA",'2026'!$J$2=BA233),'2026DATA'!$J$13,"")</f>
        <v/>
      </c>
      <c r="BB244" s="518" t="str">
        <f>IF(AND(_3="B-767-300ER",'2026'!$J$4="CA",'2026'!$J$2=BB233),'2026DATA'!$K$13,"")</f>
        <v/>
      </c>
      <c r="BC244" s="518" t="str">
        <f>IF(AND(_3="B-767-300ER",'2026'!$J$4="CA",'2026'!$J$2=BC233),'2026DATA'!$L$13,"")</f>
        <v/>
      </c>
      <c r="BD244" s="518" t="str">
        <f>IF(AND(_3="B-767-300ER",'2026'!$J$4="CA",'2026'!$J$2=BD233),'2026DATA'!$M$13,"")</f>
        <v/>
      </c>
      <c r="BE244" s="520" t="str">
        <f>IF(AND(_3="B-767-300ER",'2026'!$J$4="CA",'2026'!$J$2=BE233),'2026DATA'!$N$13,"")</f>
        <v/>
      </c>
      <c r="BF244" s="940" t="s">
        <v>43</v>
      </c>
      <c r="BG244" s="13" t="s">
        <v>61</v>
      </c>
      <c r="BH244" s="518" t="str">
        <f>IF(AND(_4="B-767-300ER",'2026'!$J$4="CA",'2026'!$J$2=BH233),'2026DATA'!$C$13,"")</f>
        <v/>
      </c>
      <c r="BI244" s="518" t="str">
        <f>IF(AND(_4="B-767-300ER",'2026'!$J$4="CA",'2026'!$J$2=BI233),'2026DATA'!$D$13,"")</f>
        <v/>
      </c>
      <c r="BJ244" s="518" t="str">
        <f>IF(AND(_4="B-767-300ER",'2026'!$J$4="CA",'2026'!$J$2=BJ233),'2026DATA'!$E$13,"")</f>
        <v/>
      </c>
      <c r="BK244" s="518" t="str">
        <f>IF(AND(_4="B-767-300ER",'2026'!$J$4="CA",'2026'!$J$2=BK233),'2026DATA'!$F$13,"")</f>
        <v/>
      </c>
      <c r="BL244" s="518" t="str">
        <f>IF(AND(_4="B-767-300ER",'2026'!$J$4="CA",'2026'!$J$2=BL233),'2026DATA'!$G$13,"")</f>
        <v/>
      </c>
      <c r="BM244" s="518" t="str">
        <f>IF(AND(_4="B-767-300ER",'2026'!$J$4="CA",'2026'!$J$2=BM233),'2026DATA'!$H$13,"")</f>
        <v/>
      </c>
      <c r="BN244" s="518" t="str">
        <f>IF(AND(_4="B-767-300ER",'2026'!$J$4="CA",'2026'!$J$2=BN233),'2026DATA'!$I$13,"")</f>
        <v/>
      </c>
      <c r="BO244" s="518" t="str">
        <f>IF(AND(_4="B-767-300ER",'2026'!$J$4="CA",'2026'!$J$2=BO233),'2026DATA'!$J$13,"")</f>
        <v/>
      </c>
      <c r="BP244" s="518" t="str">
        <f>IF(AND(_4="B-767-300ER",'2026'!$J$4="CA",'2026'!$J$2=BP233),'2026DATA'!$K$13,"")</f>
        <v/>
      </c>
      <c r="BQ244" s="518" t="str">
        <f>IF(AND(_4="B-767-300ER",'2026'!$J$4="CA",'2026'!$J$2=BQ233),'2026DATA'!$L$13,"")</f>
        <v/>
      </c>
      <c r="BR244" s="518" t="str">
        <f>IF(AND(_4="B-767-300ER",'2026'!$J$4="CA",'2026'!$J$2=BR233),'2026DATA'!$M$13,"")</f>
        <v/>
      </c>
      <c r="BS244" s="520" t="str">
        <f>IF(AND(_4="B-767-300ER",'2026'!$J$4="CA",'2026'!$J$2=BS233),'2026DATA'!$N$13,"")</f>
        <v/>
      </c>
      <c r="BT244" s="940" t="s">
        <v>43</v>
      </c>
      <c r="BU244" s="13" t="s">
        <v>61</v>
      </c>
      <c r="BV244" s="518" t="str">
        <f>IF(AND(_5="B-767-300ER",'2026'!$J$4="CA",'2026'!$J$2=BV233),'2026DATA'!$C$13,"")</f>
        <v/>
      </c>
      <c r="BW244" s="518" t="str">
        <f>IF(AND(_5="B-767-300ER",'2026'!$J$4="CA",'2026'!$J$2=BW233),'2026DATA'!$D$13,"")</f>
        <v/>
      </c>
      <c r="BX244" s="518" t="str">
        <f>IF(AND(_5="B-767-300ER",'2026'!$J$4="CA",'2026'!$J$2=BX233),'2026DATA'!$E$13,"")</f>
        <v/>
      </c>
      <c r="BY244" s="518" t="str">
        <f>IF(AND(_5="B-767-300ER",'2026'!$J$4="CA",'2026'!$J$2=BY233),'2026DATA'!$F$13,"")</f>
        <v/>
      </c>
      <c r="BZ244" s="518" t="str">
        <f>IF(AND(_5="B-767-300ER",'2026'!$J$4="CA",'2026'!$J$2=BZ233),'2026DATA'!$G$13,"")</f>
        <v/>
      </c>
      <c r="CA244" s="518" t="str">
        <f>IF(AND(_5="B-767-300ER",'2026'!$J$4="CA",'2026'!$J$2=CA233),'2026DATA'!$H$13,"")</f>
        <v/>
      </c>
      <c r="CB244" s="518" t="str">
        <f>IF(AND(_5="B-767-300ER",'2026'!$J$4="CA",'2026'!$J$2=CB233),'2026DATA'!$I$13,"")</f>
        <v/>
      </c>
      <c r="CC244" s="518" t="str">
        <f>IF(AND(_5="B-767-300ER",'2026'!$J$4="CA",'2026'!$J$2=CC233),'2026DATA'!$J$13,"")</f>
        <v/>
      </c>
      <c r="CD244" s="518" t="str">
        <f>IF(AND(_5="B-767-300ER",'2026'!$J$4="CA",'2026'!$J$2=CD233),'2026DATA'!$K$13,"")</f>
        <v/>
      </c>
      <c r="CE244" s="518" t="str">
        <f>IF(AND(_5="B-767-300ER",'2026'!$J$4="CA",'2026'!$J$2=CE233),'2026DATA'!$L$13,"")</f>
        <v/>
      </c>
      <c r="CF244" s="518" t="str">
        <f>IF(AND(_5="B-767-300ER",'2026'!$J$4="CA",'2026'!$J$2=CF233),'2026DATA'!$M$13,"")</f>
        <v/>
      </c>
      <c r="CG244" s="520" t="str">
        <f>IF(AND(_5="B-767-300ER",'2026'!$J$4="CA",'2026'!$J$2=CG233),'2026DATA'!$N$13,"")</f>
        <v/>
      </c>
      <c r="CH244" s="940" t="s">
        <v>43</v>
      </c>
      <c r="CI244" s="13" t="s">
        <v>61</v>
      </c>
      <c r="CJ244" s="518" t="str">
        <f>IF(AND(_6="B-767-300ER",'2026'!$J$4="CA",'2026'!$J$2=CJ233),'2026DATA'!$C$13,"")</f>
        <v/>
      </c>
      <c r="CK244" s="518" t="str">
        <f>IF(AND(_6="B-767-300ER",'2026'!$J$4="CA",'2026'!$J$2=CK233),'2026DATA'!$D$13,"")</f>
        <v/>
      </c>
      <c r="CL244" s="518" t="str">
        <f>IF(AND(_6="B-767-300ER",'2026'!$J$4="CA",'2026'!$J$2=CL233),'2026DATA'!$E$13,"")</f>
        <v/>
      </c>
      <c r="CM244" s="518" t="str">
        <f>IF(AND(_6="B-767-300ER",'2026'!$J$4="CA",'2026'!$J$2=CM233),'2026DATA'!$F$13,"")</f>
        <v/>
      </c>
      <c r="CN244" s="518" t="str">
        <f>IF(AND(_6="B-767-300ER",'2026'!$J$4="CA",'2026'!$J$2=CN233),'2026DATA'!$G$13,"")</f>
        <v/>
      </c>
      <c r="CO244" s="518" t="str">
        <f>IF(AND(_6="B-767-300ER",'2026'!$J$4="CA",'2026'!$J$2=CO233),'2026DATA'!$H$13,"")</f>
        <v/>
      </c>
      <c r="CP244" s="518" t="str">
        <f>IF(AND(_6="B-767-300ER",'2026'!$J$4="CA",'2026'!$J$2=CP233),'2026DATA'!$I$13,"")</f>
        <v/>
      </c>
      <c r="CQ244" s="518" t="str">
        <f>IF(AND(_6="B-767-300ER",'2026'!$J$4="CA",'2026'!$J$2=CQ233),'2026DATA'!$J$13,"")</f>
        <v/>
      </c>
      <c r="CR244" s="518" t="str">
        <f>IF(AND(_6="B-767-300ER",'2026'!$J$4="CA",'2026'!$J$2=CR233),'2026DATA'!$K$13,"")</f>
        <v/>
      </c>
      <c r="CS244" s="518" t="str">
        <f>IF(AND(_6="B-767-300ER",'2026'!$J$4="CA",'2026'!$J$2=CS233),'2026DATA'!$L$13,"")</f>
        <v/>
      </c>
      <c r="CT244" s="518" t="str">
        <f>IF(AND(_6="B-767-300ER",'2026'!$J$4="CA",'2026'!$J$2=CT233),'2026DATA'!$M$13,"")</f>
        <v/>
      </c>
      <c r="CU244" s="520" t="str">
        <f>IF(AND(_6="B-767-300ER",'2026'!$J$4="CA",'2026'!$J$2=CU233),'2026DATA'!$N$13,"")</f>
        <v/>
      </c>
    </row>
    <row r="245" spans="16:99" x14ac:dyDescent="0.25">
      <c r="P245" s="940"/>
      <c r="Q245" s="13" t="s">
        <v>62</v>
      </c>
      <c r="R245" s="518" t="str">
        <f>IF(AND(_1="B-767-300ER",'2026'!$J$4="FO",'2026'!$J$2=R233),'2026DATA'!$C$14,"")</f>
        <v/>
      </c>
      <c r="S245" s="518" t="str">
        <f>IF(AND(_1="B-767-300ER",'2026'!$J$4="FO",'2026'!$J$2=S233),'2026DATA'!$D$14,"")</f>
        <v/>
      </c>
      <c r="T245" s="518" t="str">
        <f>IF(AND(_1="B-767-300ER",'2026'!$J$4="FO",'2026'!$J$2=T233),'2026DATA'!$E$14,"")</f>
        <v/>
      </c>
      <c r="U245" s="518" t="str">
        <f>IF(AND(_1="B-767-300ER",'2026'!$J$4="FO",'2026'!$J$2=U233),'2026DATA'!$F$14,"")</f>
        <v/>
      </c>
      <c r="V245" s="518" t="str">
        <f>IF(AND(_1="B-767-300ER",'2026'!$J$4="FO",'2026'!$J$2=V233),'2026DATA'!$G$14,"")</f>
        <v/>
      </c>
      <c r="W245" s="518" t="str">
        <f>IF(AND(_1="B-767-300ER",'2026'!$J$4="FO",'2026'!$J$2=W233),'2026DATA'!$H$14,"")</f>
        <v/>
      </c>
      <c r="X245" s="518" t="str">
        <f>IF(AND(_1="B-767-300ER",'2026'!$J$4="FO",'2026'!$J$2=X233),'2026DATA'!$I$14,"")</f>
        <v/>
      </c>
      <c r="Y245" s="518" t="str">
        <f>IF(AND(_1="B-767-300ER",'2026'!$J$4="FO",'2026'!$J$2=Y233),'2026DATA'!$J$14,"")</f>
        <v/>
      </c>
      <c r="Z245" s="518" t="str">
        <f>IF(AND(_1="B-767-300ER",'2026'!$J$4="FO",'2026'!$J$2=Z233),'2026DATA'!$K$14,"")</f>
        <v/>
      </c>
      <c r="AA245" s="518" t="str">
        <f>IF(AND(_1="B-767-300ER",'2026'!$J$4="FO",'2026'!$J$2=AA233),'2026DATA'!$L$14,"")</f>
        <v/>
      </c>
      <c r="AB245" s="518" t="str">
        <f>IF(AND(_1="B-767-300ER",'2026'!$J$4="FO",'2026'!$J$2=AB233),'2026DATA'!$M$14,"")</f>
        <v/>
      </c>
      <c r="AC245" s="520" t="str">
        <f>IF(AND(_1="B-767-300ER",'2026'!$J$4="FO",'2026'!$J$2=AC233),'2026DATA'!$N$14,"")</f>
        <v/>
      </c>
      <c r="AD245" s="940"/>
      <c r="AE245" s="13" t="s">
        <v>62</v>
      </c>
      <c r="AF245" s="518" t="str">
        <f>IF(AND(_2="B-767-300ER",'2026'!$J$4="FO",'2026'!$J$2=AF233),'2026DATA'!$C$14,"")</f>
        <v/>
      </c>
      <c r="AG245" s="518" t="str">
        <f>IF(AND(_2="B-767-300ER",'2026'!$J$4="FO",'2026'!$J$2=AG233),'2026DATA'!$D$14,"")</f>
        <v/>
      </c>
      <c r="AH245" s="518" t="str">
        <f>IF(AND(_2="B-767-300ER",'2026'!$J$4="FO",'2026'!$J$2=AH233),'2026DATA'!$E$14,"")</f>
        <v/>
      </c>
      <c r="AI245" s="518" t="str">
        <f>IF(AND(_2="B-767-300ER",'2026'!$J$4="FO",'2026'!$J$2=AI233),'2026DATA'!$F$14,"")</f>
        <v/>
      </c>
      <c r="AJ245" s="518" t="str">
        <f>IF(AND(_2="B-767-300ER",'2026'!$J$4="FO",'2026'!$J$2=AJ233),'2026DATA'!$G$14,"")</f>
        <v/>
      </c>
      <c r="AK245" s="518" t="str">
        <f>IF(AND(_2="B-767-300ER",'2026'!$J$4="FO",'2026'!$J$2=AK233),'2026DATA'!$H$14,"")</f>
        <v/>
      </c>
      <c r="AL245" s="518" t="str">
        <f>IF(AND(_2="B-767-300ER",'2026'!$J$4="FO",'2026'!$J$2=AL233),'2026DATA'!$I$14,"")</f>
        <v/>
      </c>
      <c r="AM245" s="518" t="str">
        <f>IF(AND(_2="B-767-300ER",'2026'!$J$4="FO",'2026'!$J$2=AM233),'2026DATA'!$J$14,"")</f>
        <v/>
      </c>
      <c r="AN245" s="518" t="str">
        <f>IF(AND(_2="B-767-300ER",'2026'!$J$4="FO",'2026'!$J$2=AN233),'2026DATA'!$K$14,"")</f>
        <v/>
      </c>
      <c r="AO245" s="518" t="str">
        <f>IF(AND(_2="B-767-300ER",'2026'!$J$4="FO",'2026'!$J$2=AO233),'2026DATA'!$L$14,"")</f>
        <v/>
      </c>
      <c r="AP245" s="518" t="str">
        <f>IF(AND(_2="B-767-300ER",'2026'!$J$4="FO",'2026'!$J$2=AP233),'2026DATA'!$M$14,"")</f>
        <v/>
      </c>
      <c r="AQ245" s="520" t="str">
        <f>IF(AND(_2="B-767-300ER",'2026'!$J$4="FO",'2026'!$J$2=AQ233),'2026DATA'!$N$14,"")</f>
        <v/>
      </c>
      <c r="AR245" s="940"/>
      <c r="AS245" s="13" t="s">
        <v>62</v>
      </c>
      <c r="AT245" s="518" t="str">
        <f>IF(AND(_3="B-767-300ER",'2026'!$J$4="FO",'2026'!$J$2=AT233),'2026DATA'!$C$14,"")</f>
        <v/>
      </c>
      <c r="AU245" s="518" t="str">
        <f>IF(AND(_3="B-767-300ER",'2026'!$J$4="FO",'2026'!$J$2=AU233),'2026DATA'!$D$14,"")</f>
        <v/>
      </c>
      <c r="AV245" s="518" t="str">
        <f>IF(AND(_3="B-767-300ER",'2026'!$J$4="FO",'2026'!$J$2=AV233),'2026DATA'!$E$14,"")</f>
        <v/>
      </c>
      <c r="AW245" s="518" t="str">
        <f>IF(AND(_3="B-767-300ER",'2026'!$J$4="FO",'2026'!$J$2=AW233),'2026DATA'!$F$14,"")</f>
        <v/>
      </c>
      <c r="AX245" s="518" t="str">
        <f>IF(AND(_3="B-767-300ER",'2026'!$J$4="FO",'2026'!$J$2=AX233),'2026DATA'!$G$14,"")</f>
        <v/>
      </c>
      <c r="AY245" s="518" t="str">
        <f>IF(AND(_3="B-767-300ER",'2026'!$J$4="FO",'2026'!$J$2=AY233),'2026DATA'!$H$14,"")</f>
        <v/>
      </c>
      <c r="AZ245" s="518" t="str">
        <f>IF(AND(_3="B-767-300ER",'2026'!$J$4="FO",'2026'!$J$2=AZ233),'2026DATA'!$I$14,"")</f>
        <v/>
      </c>
      <c r="BA245" s="518" t="str">
        <f>IF(AND(_3="B-767-300ER",'2026'!$J$4="FO",'2026'!$J$2=BA233),'2026DATA'!$J$14,"")</f>
        <v/>
      </c>
      <c r="BB245" s="518" t="str">
        <f>IF(AND(_3="B-767-300ER",'2026'!$J$4="FO",'2026'!$J$2=BB233),'2026DATA'!$K$14,"")</f>
        <v/>
      </c>
      <c r="BC245" s="518" t="str">
        <f>IF(AND(_3="B-767-300ER",'2026'!$J$4="FO",'2026'!$J$2=BC233),'2026DATA'!$L$14,"")</f>
        <v/>
      </c>
      <c r="BD245" s="518" t="str">
        <f>IF(AND(_3="B-767-300ER",'2026'!$J$4="FO",'2026'!$J$2=BD233),'2026DATA'!$M$14,"")</f>
        <v/>
      </c>
      <c r="BE245" s="520" t="str">
        <f>IF(AND(_3="B-767-300ER",'2026'!$J$4="FO",'2026'!$J$2=BE233),'2026DATA'!$N$14,"")</f>
        <v/>
      </c>
      <c r="BF245" s="940"/>
      <c r="BG245" s="13" t="s">
        <v>62</v>
      </c>
      <c r="BH245" s="518" t="str">
        <f>IF(AND(_4="B-767-300ER",'2026'!$J$4="FO",'2026'!$J$2=BH233),'2026DATA'!$C$14,"")</f>
        <v/>
      </c>
      <c r="BI245" s="518" t="str">
        <f>IF(AND(_4="B-767-300ER",'2026'!$J$4="FO",'2026'!$J$2=BI233),'2026DATA'!$D$14,"")</f>
        <v/>
      </c>
      <c r="BJ245" s="518" t="str">
        <f>IF(AND(_4="B-767-300ER",'2026'!$J$4="FO",'2026'!$J$2=BJ233),'2026DATA'!$E$14,"")</f>
        <v/>
      </c>
      <c r="BK245" s="518" t="str">
        <f>IF(AND(_4="B-767-300ER",'2026'!$J$4="FO",'2026'!$J$2=BK233),'2026DATA'!$F$14,"")</f>
        <v/>
      </c>
      <c r="BL245" s="518" t="str">
        <f>IF(AND(_4="B-767-300ER",'2026'!$J$4="FO",'2026'!$J$2=BL233),'2026DATA'!$G$14,"")</f>
        <v/>
      </c>
      <c r="BM245" s="518" t="str">
        <f>IF(AND(_4="B-767-300ER",'2026'!$J$4="FO",'2026'!$J$2=BM233),'2026DATA'!$H$14,"")</f>
        <v/>
      </c>
      <c r="BN245" s="518" t="str">
        <f>IF(AND(_4="B-767-300ER",'2026'!$J$4="FO",'2026'!$J$2=BN233),'2026DATA'!$I$14,"")</f>
        <v/>
      </c>
      <c r="BO245" s="518" t="str">
        <f>IF(AND(_4="B-767-300ER",'2026'!$J$4="FO",'2026'!$J$2=BO233),'2026DATA'!$J$14,"")</f>
        <v/>
      </c>
      <c r="BP245" s="518" t="str">
        <f>IF(AND(_4="B-767-300ER",'2026'!$J$4="FO",'2026'!$J$2=BP233),'2026DATA'!$K$14,"")</f>
        <v/>
      </c>
      <c r="BQ245" s="518" t="str">
        <f>IF(AND(_4="B-767-300ER",'2026'!$J$4="FO",'2026'!$J$2=BQ233),'2026DATA'!$L$14,"")</f>
        <v/>
      </c>
      <c r="BR245" s="518" t="str">
        <f>IF(AND(_4="B-767-300ER",'2026'!$J$4="FO",'2026'!$J$2=BR233),'2026DATA'!$M$14,"")</f>
        <v/>
      </c>
      <c r="BS245" s="520" t="str">
        <f>IF(AND(_4="B-767-300ER",'2026'!$J$4="FO",'2026'!$J$2=BS233),'2026DATA'!$N$14,"")</f>
        <v/>
      </c>
      <c r="BT245" s="940"/>
      <c r="BU245" s="13" t="s">
        <v>62</v>
      </c>
      <c r="BV245" s="518" t="str">
        <f>IF(AND(_5="B-767-300ER",'2026'!$J$4="FO",'2026'!$J$2=BV233),'2026DATA'!$C$14,"")</f>
        <v/>
      </c>
      <c r="BW245" s="518" t="str">
        <f>IF(AND(_5="B-767-300ER",'2026'!$J$4="FO",'2026'!$J$2=BW233),'2026DATA'!$D$14,"")</f>
        <v/>
      </c>
      <c r="BX245" s="518" t="str">
        <f>IF(AND(_5="B-767-300ER",'2026'!$J$4="FO",'2026'!$J$2=BX233),'2026DATA'!$E$14,"")</f>
        <v/>
      </c>
      <c r="BY245" s="518" t="str">
        <f>IF(AND(_5="B-767-300ER",'2026'!$J$4="FO",'2026'!$J$2=BY233),'2026DATA'!$F$14,"")</f>
        <v/>
      </c>
      <c r="BZ245" s="518" t="str">
        <f>IF(AND(_5="B-767-300ER",'2026'!$J$4="FO",'2026'!$J$2=BZ233),'2026DATA'!$G$14,"")</f>
        <v/>
      </c>
      <c r="CA245" s="518" t="str">
        <f>IF(AND(_5="B-767-300ER",'2026'!$J$4="FO",'2026'!$J$2=CA233),'2026DATA'!$H$14,"")</f>
        <v/>
      </c>
      <c r="CB245" s="518" t="str">
        <f>IF(AND(_5="B-767-300ER",'2026'!$J$4="FO",'2026'!$J$2=CB233),'2026DATA'!$I$14,"")</f>
        <v/>
      </c>
      <c r="CC245" s="518" t="str">
        <f>IF(AND(_5="B-767-300ER",'2026'!$J$4="FO",'2026'!$J$2=CC233),'2026DATA'!$J$14,"")</f>
        <v/>
      </c>
      <c r="CD245" s="518" t="str">
        <f>IF(AND(_5="B-767-300ER",'2026'!$J$4="FO",'2026'!$J$2=CD233),'2026DATA'!$K$14,"")</f>
        <v/>
      </c>
      <c r="CE245" s="518" t="str">
        <f>IF(AND(_5="B-767-300ER",'2026'!$J$4="FO",'2026'!$J$2=CE233),'2026DATA'!$L$14,"")</f>
        <v/>
      </c>
      <c r="CF245" s="518" t="str">
        <f>IF(AND(_5="B-767-300ER",'2026'!$J$4="FO",'2026'!$J$2=CF233),'2026DATA'!$M$14,"")</f>
        <v/>
      </c>
      <c r="CG245" s="520" t="str">
        <f>IF(AND(_5="B-767-300ER",'2026'!$J$4="FO",'2026'!$J$2=CG233),'2026DATA'!$N$14,"")</f>
        <v/>
      </c>
      <c r="CH245" s="940"/>
      <c r="CI245" s="13" t="s">
        <v>62</v>
      </c>
      <c r="CJ245" s="518" t="str">
        <f>IF(AND(_6="B-767-300ER",'2026'!$J$4="FO",'2026'!$J$2=CJ233),'2026DATA'!$C$14,"")</f>
        <v/>
      </c>
      <c r="CK245" s="518" t="str">
        <f>IF(AND(_6="B-767-300ER",'2026'!$J$4="FO",'2026'!$J$2=CK233),'2026DATA'!$D$14,"")</f>
        <v/>
      </c>
      <c r="CL245" s="518" t="str">
        <f>IF(AND(_6="B-767-300ER",'2026'!$J$4="FO",'2026'!$J$2=CL233),'2026DATA'!$E$14,"")</f>
        <v/>
      </c>
      <c r="CM245" s="518" t="str">
        <f>IF(AND(_6="B-767-300ER",'2026'!$J$4="FO",'2026'!$J$2=CM233),'2026DATA'!$F$14,"")</f>
        <v/>
      </c>
      <c r="CN245" s="518" t="str">
        <f>IF(AND(_6="B-767-300ER",'2026'!$J$4="FO",'2026'!$J$2=CN233),'2026DATA'!$G$14,"")</f>
        <v/>
      </c>
      <c r="CO245" s="518" t="str">
        <f>IF(AND(_6="B-767-300ER",'2026'!$J$4="FO",'2026'!$J$2=CO233),'2026DATA'!$H$14,"")</f>
        <v/>
      </c>
      <c r="CP245" s="518" t="str">
        <f>IF(AND(_6="B-767-300ER",'2026'!$J$4="FO",'2026'!$J$2=CP233),'2026DATA'!$I$14,"")</f>
        <v/>
      </c>
      <c r="CQ245" s="518" t="str">
        <f>IF(AND(_6="B-767-300ER",'2026'!$J$4="FO",'2026'!$J$2=CQ233),'2026DATA'!$J$14,"")</f>
        <v/>
      </c>
      <c r="CR245" s="518" t="str">
        <f>IF(AND(_6="B-767-300ER",'2026'!$J$4="FO",'2026'!$J$2=CR233),'2026DATA'!$K$14,"")</f>
        <v/>
      </c>
      <c r="CS245" s="518" t="str">
        <f>IF(AND(_6="B-767-300ER",'2026'!$J$4="FO",'2026'!$J$2=CS233),'2026DATA'!$L$14,"")</f>
        <v/>
      </c>
      <c r="CT245" s="518" t="str">
        <f>IF(AND(_6="B-767-300ER",'2026'!$J$4="FO",'2026'!$J$2=CT233),'2026DATA'!$M$14,"")</f>
        <v/>
      </c>
      <c r="CU245" s="520" t="str">
        <f>IF(AND(_6="B-767-300ER",'2026'!$J$4="FO",'2026'!$J$2=CU233),'2026DATA'!$N$14,"")</f>
        <v/>
      </c>
    </row>
    <row r="246" spans="16:99" x14ac:dyDescent="0.25">
      <c r="P246" s="940" t="s">
        <v>67</v>
      </c>
      <c r="Q246" s="13" t="s">
        <v>61</v>
      </c>
      <c r="R246" s="518" t="str">
        <f>IF(AND(_1="B-767-300",'2026'!$J$4="CA",'2026'!$J$2=R233),'2026DATA'!$C$15,"")</f>
        <v/>
      </c>
      <c r="S246" s="518" t="str">
        <f>IF(AND(_1="B-767-300",'2026'!$J$4="CA",'2026'!$J$2=S233),'2026DATA'!$D$15,"")</f>
        <v/>
      </c>
      <c r="T246" s="518" t="str">
        <f>IF(AND(_1="B-767-300",'2026'!$J$4="CA",'2026'!$J$2=T233),'2026DATA'!$E$15,"")</f>
        <v/>
      </c>
      <c r="U246" s="518" t="str">
        <f>IF(AND(_1="B-767-300",'2026'!$J$4="CA",'2026'!$J$2=U233),'2026DATA'!$F$15,"")</f>
        <v/>
      </c>
      <c r="V246" s="518" t="str">
        <f>IF(AND(_1="B-767-300",'2026'!$J$4="CA",'2026'!$J$2=V233),'2026DATA'!$G$15,"")</f>
        <v/>
      </c>
      <c r="W246" s="518" t="str">
        <f>IF(AND(_1="B-767-300",'2026'!$J$4="CA",'2026'!$J$2=W233),'2026DATA'!$H$15,"")</f>
        <v/>
      </c>
      <c r="X246" s="518" t="str">
        <f>IF(AND(_1="B-767-300",'2026'!$J$4="CA",'2026'!$J$2=X233),'2026DATA'!$I$15,"")</f>
        <v/>
      </c>
      <c r="Y246" s="518" t="str">
        <f>IF(AND(_1="B-767-300",'2026'!$J$4="CA",'2026'!$J$2=Y233),'2026DATA'!$J$15,"")</f>
        <v/>
      </c>
      <c r="Z246" s="518" t="str">
        <f>IF(AND(_1="B-767-300",'2026'!$J$4="CA",'2026'!$J$2=Z233),'2026DATA'!$K$15,"")</f>
        <v/>
      </c>
      <c r="AA246" s="518" t="str">
        <f>IF(AND(_1="B-767-300",'2026'!$J$4="CA",'2026'!$J$2=AA233),'2026DATA'!$L$15,"")</f>
        <v/>
      </c>
      <c r="AB246" s="518" t="str">
        <f>IF(AND(_1="B-767-300",'2026'!$J$4="CA",'2026'!$J$2=AB233),'2026DATA'!$M$15,"")</f>
        <v/>
      </c>
      <c r="AC246" s="520" t="str">
        <f>IF(AND(_1="B-767-300",'2026'!$J$4="CA",'2026'!$J$2=AC233),'2026DATA'!$N$15,"")</f>
        <v/>
      </c>
      <c r="AD246" s="940" t="s">
        <v>67</v>
      </c>
      <c r="AE246" s="13" t="s">
        <v>61</v>
      </c>
      <c r="AF246" s="518" t="str">
        <f>IF(AND(_2="B-767-300",'2026'!$J$4="CA",'2026'!$J$2=AF233),'2026DATA'!$C$15,"")</f>
        <v/>
      </c>
      <c r="AG246" s="518" t="str">
        <f>IF(AND(_2="B-767-300",'2026'!$J$4="CA",'2026'!$J$2=AG233),'2026DATA'!$D$15,"")</f>
        <v/>
      </c>
      <c r="AH246" s="518" t="str">
        <f>IF(AND(_2="B-767-300",'2026'!$J$4="CA",'2026'!$J$2=AH233),'2026DATA'!$E$15,"")</f>
        <v/>
      </c>
      <c r="AI246" s="518" t="str">
        <f>IF(AND(_2="B-767-300",'2026'!$J$4="CA",'2026'!$J$2=AI233),'2026DATA'!$F$15,"")</f>
        <v/>
      </c>
      <c r="AJ246" s="518" t="str">
        <f>IF(AND(_2="B-767-300",'2026'!$J$4="CA",'2026'!$J$2=AJ233),'2026DATA'!$G$15,"")</f>
        <v/>
      </c>
      <c r="AK246" s="518" t="str">
        <f>IF(AND(_2="B-767-300",'2026'!$J$4="CA",'2026'!$J$2=AK233),'2026DATA'!$H$15,"")</f>
        <v/>
      </c>
      <c r="AL246" s="518" t="str">
        <f>IF(AND(_2="B-767-300",'2026'!$J$4="CA",'2026'!$J$2=AL233),'2026DATA'!$I$15,"")</f>
        <v/>
      </c>
      <c r="AM246" s="518" t="str">
        <f>IF(AND(_2="B-767-300",'2026'!$J$4="CA",'2026'!$J$2=AM233),'2026DATA'!$J$15,"")</f>
        <v/>
      </c>
      <c r="AN246" s="518" t="str">
        <f>IF(AND(_2="B-767-300",'2026'!$J$4="CA",'2026'!$J$2=AN233),'2026DATA'!$K$15,"")</f>
        <v/>
      </c>
      <c r="AO246" s="518" t="str">
        <f>IF(AND(_2="B-767-300",'2026'!$J$4="CA",'2026'!$J$2=AO233),'2026DATA'!$L$15,"")</f>
        <v/>
      </c>
      <c r="AP246" s="518" t="str">
        <f>IF(AND(_2="B-767-300",'2026'!$J$4="CA",'2026'!$J$2=AP233),'2026DATA'!$M$15,"")</f>
        <v/>
      </c>
      <c r="AQ246" s="520" t="str">
        <f>IF(AND(_2="B-767-300",'2026'!$J$4="CA",'2026'!$J$2=AQ233),'2026DATA'!$N$15,"")</f>
        <v/>
      </c>
      <c r="AR246" s="940" t="s">
        <v>67</v>
      </c>
      <c r="AS246" s="13" t="s">
        <v>61</v>
      </c>
      <c r="AT246" s="518" t="str">
        <f>IF(AND(_3="B-767-300",'2026'!$J$4="CA",'2026'!$J$2=AT233),'2026DATA'!$C$15,"")</f>
        <v/>
      </c>
      <c r="AU246" s="518" t="str">
        <f>IF(AND(_3="B-767-300",'2026'!$J$4="CA",'2026'!$J$2=AU233),'2026DATA'!$D$15,"")</f>
        <v/>
      </c>
      <c r="AV246" s="518" t="str">
        <f>IF(AND(_3="B-767-300",'2026'!$J$4="CA",'2026'!$J$2=AV233),'2026DATA'!$E$15,"")</f>
        <v/>
      </c>
      <c r="AW246" s="518" t="str">
        <f>IF(AND(_3="B-767-300",'2026'!$J$4="CA",'2026'!$J$2=AW233),'2026DATA'!$F$15,"")</f>
        <v/>
      </c>
      <c r="AX246" s="518" t="str">
        <f>IF(AND(_3="B-767-300",'2026'!$J$4="CA",'2026'!$J$2=AX233),'2026DATA'!$G$15,"")</f>
        <v/>
      </c>
      <c r="AY246" s="518" t="str">
        <f>IF(AND(_3="B-767-300",'2026'!$J$4="CA",'2026'!$J$2=AY233),'2026DATA'!$H$15,"")</f>
        <v/>
      </c>
      <c r="AZ246" s="518" t="str">
        <f>IF(AND(_3="B-767-300",'2026'!$J$4="CA",'2026'!$J$2=AZ233),'2026DATA'!$I$15,"")</f>
        <v/>
      </c>
      <c r="BA246" s="518" t="str">
        <f>IF(AND(_3="B-767-300",'2026'!$J$4="CA",'2026'!$J$2=BA233),'2026DATA'!$J$15,"")</f>
        <v/>
      </c>
      <c r="BB246" s="518" t="str">
        <f>IF(AND(_3="B-767-300",'2026'!$J$4="CA",'2026'!$J$2=BB233),'2026DATA'!$K$15,"")</f>
        <v/>
      </c>
      <c r="BC246" s="518" t="str">
        <f>IF(AND(_3="B-767-300",'2026'!$J$4="CA",'2026'!$J$2=BC233),'2026DATA'!$L$15,"")</f>
        <v/>
      </c>
      <c r="BD246" s="518" t="str">
        <f>IF(AND(_3="B-767-300",'2026'!$J$4="CA",'2026'!$J$2=BD233),'2026DATA'!$M$15,"")</f>
        <v/>
      </c>
      <c r="BE246" s="520" t="str">
        <f>IF(AND(_3="B-767-300",'2026'!$J$4="CA",'2026'!$J$2=BE233),'2026DATA'!$N$15,"")</f>
        <v/>
      </c>
      <c r="BF246" s="940" t="s">
        <v>67</v>
      </c>
      <c r="BG246" s="13" t="s">
        <v>61</v>
      </c>
      <c r="BH246" s="518" t="str">
        <f>IF(AND(_4="B-767-300",'2026'!$J$4="CA",'2026'!$J$2=BH233),'2026DATA'!$C$15,"")</f>
        <v/>
      </c>
      <c r="BI246" s="518" t="str">
        <f>IF(AND(_4="B-767-300",'2026'!$J$4="CA",'2026'!$J$2=BI233),'2026DATA'!$D$15,"")</f>
        <v/>
      </c>
      <c r="BJ246" s="518" t="str">
        <f>IF(AND(_4="B-767-300",'2026'!$J$4="CA",'2026'!$J$2=BJ233),'2026DATA'!$E$15,"")</f>
        <v/>
      </c>
      <c r="BK246" s="518" t="str">
        <f>IF(AND(_4="B-767-300",'2026'!$J$4="CA",'2026'!$J$2=BK233),'2026DATA'!$F$15,"")</f>
        <v/>
      </c>
      <c r="BL246" s="518" t="str">
        <f>IF(AND(_4="B-767-300",'2026'!$J$4="CA",'2026'!$J$2=BL233),'2026DATA'!$G$15,"")</f>
        <v/>
      </c>
      <c r="BM246" s="518" t="str">
        <f>IF(AND(_4="B-767-300",'2026'!$J$4="CA",'2026'!$J$2=BM233),'2026DATA'!$H$15,"")</f>
        <v/>
      </c>
      <c r="BN246" s="518" t="str">
        <f>IF(AND(_4="B-767-300",'2026'!$J$4="CA",'2026'!$J$2=BN233),'2026DATA'!$I$15,"")</f>
        <v/>
      </c>
      <c r="BO246" s="518" t="str">
        <f>IF(AND(_4="B-767-300",'2026'!$J$4="CA",'2026'!$J$2=BO233),'2026DATA'!$J$15,"")</f>
        <v/>
      </c>
      <c r="BP246" s="518" t="str">
        <f>IF(AND(_4="B-767-300",'2026'!$J$4="CA",'2026'!$J$2=BP233),'2026DATA'!$K$15,"")</f>
        <v/>
      </c>
      <c r="BQ246" s="518" t="str">
        <f>IF(AND(_4="B-767-300",'2026'!$J$4="CA",'2026'!$J$2=BQ233),'2026DATA'!$L$15,"")</f>
        <v/>
      </c>
      <c r="BR246" s="518" t="str">
        <f>IF(AND(_4="B-767-300",'2026'!$J$4="CA",'2026'!$J$2=BR233),'2026DATA'!$M$15,"")</f>
        <v/>
      </c>
      <c r="BS246" s="520" t="str">
        <f>IF(AND(_4="B-767-300",'2026'!$J$4="CA",'2026'!$J$2=BS233),'2026DATA'!$N$15,"")</f>
        <v/>
      </c>
      <c r="BT246" s="940" t="s">
        <v>67</v>
      </c>
      <c r="BU246" s="13" t="s">
        <v>61</v>
      </c>
      <c r="BV246" s="518" t="str">
        <f>IF(AND(_5="B-767-300",'2026'!$J$4="CA",'2026'!$J$2=BV233),'2026DATA'!$C$15,"")</f>
        <v/>
      </c>
      <c r="BW246" s="518" t="str">
        <f>IF(AND(_5="B-767-300",'2026'!$J$4="CA",'2026'!$J$2=BW233),'2026DATA'!$D$15,"")</f>
        <v/>
      </c>
      <c r="BX246" s="518" t="str">
        <f>IF(AND(_5="B-767-300",'2026'!$J$4="CA",'2026'!$J$2=BX233),'2026DATA'!$E$15,"")</f>
        <v/>
      </c>
      <c r="BY246" s="518" t="str">
        <f>IF(AND(_5="B-767-300",'2026'!$J$4="CA",'2026'!$J$2=BY233),'2026DATA'!$F$15,"")</f>
        <v/>
      </c>
      <c r="BZ246" s="518" t="str">
        <f>IF(AND(_5="B-767-300",'2026'!$J$4="CA",'2026'!$J$2=BZ233),'2026DATA'!$G$15,"")</f>
        <v/>
      </c>
      <c r="CA246" s="518" t="str">
        <f>IF(AND(_5="B-767-300",'2026'!$J$4="CA",'2026'!$J$2=CA233),'2026DATA'!$H$15,"")</f>
        <v/>
      </c>
      <c r="CB246" s="518" t="str">
        <f>IF(AND(_5="B-767-300",'2026'!$J$4="CA",'2026'!$J$2=CB233),'2026DATA'!$I$15,"")</f>
        <v/>
      </c>
      <c r="CC246" s="518" t="str">
        <f>IF(AND(_5="B-767-300",'2026'!$J$4="CA",'2026'!$J$2=CC233),'2026DATA'!$J$15,"")</f>
        <v/>
      </c>
      <c r="CD246" s="518" t="str">
        <f>IF(AND(_5="B-767-300",'2026'!$J$4="CA",'2026'!$J$2=CD233),'2026DATA'!$K$15,"")</f>
        <v/>
      </c>
      <c r="CE246" s="518" t="str">
        <f>IF(AND(_5="B-767-300",'2026'!$J$4="CA",'2026'!$J$2=CE233),'2026DATA'!$L$15,"")</f>
        <v/>
      </c>
      <c r="CF246" s="518" t="str">
        <f>IF(AND(_5="B-767-300",'2026'!$J$4="CA",'2026'!$J$2=CF233),'2026DATA'!$M$15,"")</f>
        <v/>
      </c>
      <c r="CG246" s="520" t="str">
        <f>IF(AND(_5="B-767-300",'2026'!$J$4="CA",'2026'!$J$2=CG233),'2026DATA'!$N$15,"")</f>
        <v/>
      </c>
      <c r="CH246" s="940" t="s">
        <v>67</v>
      </c>
      <c r="CI246" s="13" t="s">
        <v>61</v>
      </c>
      <c r="CJ246" s="518" t="str">
        <f>IF(AND(_6="B-767-300",'2026'!$J$4="CA",'2026'!$J$2=CJ233),'2026DATA'!$C$15,"")</f>
        <v/>
      </c>
      <c r="CK246" s="518" t="str">
        <f>IF(AND(_6="B-767-300",'2026'!$J$4="CA",'2026'!$J$2=CK233),'2026DATA'!$D$15,"")</f>
        <v/>
      </c>
      <c r="CL246" s="518" t="str">
        <f>IF(AND(_6="B-767-300",'2026'!$J$4="CA",'2026'!$J$2=CL233),'2026DATA'!$E$15,"")</f>
        <v/>
      </c>
      <c r="CM246" s="518" t="str">
        <f>IF(AND(_6="B-767-300",'2026'!$J$4="CA",'2026'!$J$2=CM233),'2026DATA'!$F$15,"")</f>
        <v/>
      </c>
      <c r="CN246" s="518" t="str">
        <f>IF(AND(_6="B-767-300",'2026'!$J$4="CA",'2026'!$J$2=CN233),'2026DATA'!$G$15,"")</f>
        <v/>
      </c>
      <c r="CO246" s="518" t="str">
        <f>IF(AND(_6="B-767-300",'2026'!$J$4="CA",'2026'!$J$2=CO233),'2026DATA'!$H$15,"")</f>
        <v/>
      </c>
      <c r="CP246" s="518" t="str">
        <f>IF(AND(_6="B-767-300",'2026'!$J$4="CA",'2026'!$J$2=CP233),'2026DATA'!$I$15,"")</f>
        <v/>
      </c>
      <c r="CQ246" s="518" t="str">
        <f>IF(AND(_6="B-767-300",'2026'!$J$4="CA",'2026'!$J$2=CQ233),'2026DATA'!$J$15,"")</f>
        <v/>
      </c>
      <c r="CR246" s="518" t="str">
        <f>IF(AND(_6="B-767-300",'2026'!$J$4="CA",'2026'!$J$2=CR233),'2026DATA'!$K$15,"")</f>
        <v/>
      </c>
      <c r="CS246" s="518" t="str">
        <f>IF(AND(_6="B-767-300",'2026'!$J$4="CA",'2026'!$J$2=CS233),'2026DATA'!$L$15,"")</f>
        <v/>
      </c>
      <c r="CT246" s="518" t="str">
        <f>IF(AND(_6="B-767-300",'2026'!$J$4="CA",'2026'!$J$2=CT233),'2026DATA'!$M$15,"")</f>
        <v/>
      </c>
      <c r="CU246" s="520" t="str">
        <f>IF(AND(_6="B-767-300",'2026'!$J$4="CA",'2026'!$J$2=CU233),'2026DATA'!$N$15,"")</f>
        <v/>
      </c>
    </row>
    <row r="247" spans="16:99" x14ac:dyDescent="0.25">
      <c r="P247" s="940"/>
      <c r="Q247" s="13" t="s">
        <v>62</v>
      </c>
      <c r="R247" s="518" t="str">
        <f>IF(AND(_1="B-767-300",'2026'!$J$4="FO",'2026'!$J$2=R233),'2026DATA'!$C$16,"")</f>
        <v/>
      </c>
      <c r="S247" s="518" t="str">
        <f>IF(AND(_1="B-767-300",'2026'!$J$4="FO",'2026'!$J$2=S233),'2026DATA'!$D$16,"")</f>
        <v/>
      </c>
      <c r="T247" s="518" t="str">
        <f>IF(AND(_1="B-767-300",'2026'!$J$4="FO",'2026'!$J$2=T233),'2026DATA'!$E$16,"")</f>
        <v/>
      </c>
      <c r="U247" s="518" t="str">
        <f>IF(AND(_1="B-767-300",'2026'!$J$4="FO",'2026'!$J$2=U233),'2026DATA'!$F$16,"")</f>
        <v/>
      </c>
      <c r="V247" s="518" t="str">
        <f>IF(AND(_1="B-767-300",'2026'!$J$4="FO",'2026'!$J$2=V233),'2026DATA'!$G$16,"")</f>
        <v/>
      </c>
      <c r="W247" s="518" t="str">
        <f>IF(AND(_1="B-767-300",'2026'!$J$4="FO",'2026'!$J$2=W233),'2026DATA'!$H$16,"")</f>
        <v/>
      </c>
      <c r="X247" s="518" t="str">
        <f>IF(AND(_1="B-767-300",'2026'!$J$4="FO",'2026'!$J$2=X233),'2026DATA'!$I$16,"")</f>
        <v/>
      </c>
      <c r="Y247" s="518" t="str">
        <f>IF(AND(_1="B-767-300",'2026'!$J$4="FO",'2026'!$J$2=Y233),'2026DATA'!$J$16,"")</f>
        <v/>
      </c>
      <c r="Z247" s="518" t="str">
        <f>IF(AND(_1="B-767-300",'2026'!$J$4="FO",'2026'!$J$2=Z233),'2026DATA'!$K$16,"")</f>
        <v/>
      </c>
      <c r="AA247" s="518" t="str">
        <f>IF(AND(_1="B-767-300",'2026'!$J$4="FO",'2026'!$J$2=AA233),'2026DATA'!$L$16,"")</f>
        <v/>
      </c>
      <c r="AB247" s="518" t="str">
        <f>IF(AND(_1="B-767-300",'2026'!$J$4="FO",'2026'!$J$2=AB233),'2026DATA'!$M$16,"")</f>
        <v/>
      </c>
      <c r="AC247" s="520" t="str">
        <f>IF(AND(_1="B-767-300",'2026'!$J$4="FO",'2026'!$J$2=AC233),'2026DATA'!$N$16,"")</f>
        <v/>
      </c>
      <c r="AD247" s="940"/>
      <c r="AE247" s="13" t="s">
        <v>62</v>
      </c>
      <c r="AF247" s="518" t="str">
        <f>IF(AND(_2="B-767-300",'2026'!$J$4="FO",'2026'!$J$2=AF233),'2026DATA'!$C$16,"")</f>
        <v/>
      </c>
      <c r="AG247" s="518" t="str">
        <f>IF(AND(_2="B-767-300",'2026'!$J$4="FO",'2026'!$J$2=AG233),'2026DATA'!$D$16,"")</f>
        <v/>
      </c>
      <c r="AH247" s="518" t="str">
        <f>IF(AND(_2="B-767-300",'2026'!$J$4="FO",'2026'!$J$2=AH233),'2026DATA'!$E$16,"")</f>
        <v/>
      </c>
      <c r="AI247" s="518" t="str">
        <f>IF(AND(_2="B-767-300",'2026'!$J$4="FO",'2026'!$J$2=AI233),'2026DATA'!$F$16,"")</f>
        <v/>
      </c>
      <c r="AJ247" s="518" t="str">
        <f>IF(AND(_2="B-767-300",'2026'!$J$4="FO",'2026'!$J$2=AJ233),'2026DATA'!$G$16,"")</f>
        <v/>
      </c>
      <c r="AK247" s="518" t="str">
        <f>IF(AND(_2="B-767-300",'2026'!$J$4="FO",'2026'!$J$2=AK233),'2026DATA'!$H$16,"")</f>
        <v/>
      </c>
      <c r="AL247" s="518" t="str">
        <f>IF(AND(_2="B-767-300",'2026'!$J$4="FO",'2026'!$J$2=AL233),'2026DATA'!$I$16,"")</f>
        <v/>
      </c>
      <c r="AM247" s="518" t="str">
        <f>IF(AND(_2="B-767-300",'2026'!$J$4="FO",'2026'!$J$2=AM233),'2026DATA'!$J$16,"")</f>
        <v/>
      </c>
      <c r="AN247" s="518" t="str">
        <f>IF(AND(_2="B-767-300",'2026'!$J$4="FO",'2026'!$J$2=AN233),'2026DATA'!$K$16,"")</f>
        <v/>
      </c>
      <c r="AO247" s="518" t="str">
        <f>IF(AND(_2="B-767-300",'2026'!$J$4="FO",'2026'!$J$2=AO233),'2026DATA'!$L$16,"")</f>
        <v/>
      </c>
      <c r="AP247" s="518" t="str">
        <f>IF(AND(_2="B-767-300",'2026'!$J$4="FO",'2026'!$J$2=AP233),'2026DATA'!$M$16,"")</f>
        <v/>
      </c>
      <c r="AQ247" s="520" t="str">
        <f>IF(AND(_2="B-767-300",'2026'!$J$4="FO",'2026'!$J$2=AQ233),'2026DATA'!$N$16,"")</f>
        <v/>
      </c>
      <c r="AR247" s="940"/>
      <c r="AS247" s="13" t="s">
        <v>62</v>
      </c>
      <c r="AT247" s="518" t="str">
        <f>IF(AND(_3="B-767-300",'2026'!$J$4="FO",'2026'!$J$2=AT233),'2026DATA'!$C$16,"")</f>
        <v/>
      </c>
      <c r="AU247" s="518" t="str">
        <f>IF(AND(_3="B-767-300",'2026'!$J$4="FO",'2026'!$J$2=AU233),'2026DATA'!$D$16,"")</f>
        <v/>
      </c>
      <c r="AV247" s="518" t="str">
        <f>IF(AND(_3="B-767-300",'2026'!$J$4="FO",'2026'!$J$2=AV233),'2026DATA'!$E$16,"")</f>
        <v/>
      </c>
      <c r="AW247" s="518" t="str">
        <f>IF(AND(_3="B-767-300",'2026'!$J$4="FO",'2026'!$J$2=AW233),'2026DATA'!$F$16,"")</f>
        <v/>
      </c>
      <c r="AX247" s="518" t="str">
        <f>IF(AND(_3="B-767-300",'2026'!$J$4="FO",'2026'!$J$2=AX233),'2026DATA'!$G$16,"")</f>
        <v/>
      </c>
      <c r="AY247" s="518" t="str">
        <f>IF(AND(_3="B-767-300",'2026'!$J$4="FO",'2026'!$J$2=AY233),'2026DATA'!$H$16,"")</f>
        <v/>
      </c>
      <c r="AZ247" s="518" t="str">
        <f>IF(AND(_3="B-767-300",'2026'!$J$4="FO",'2026'!$J$2=AZ233),'2026DATA'!$I$16,"")</f>
        <v/>
      </c>
      <c r="BA247" s="518" t="str">
        <f>IF(AND(_3="B-767-300",'2026'!$J$4="FO",'2026'!$J$2=BA233),'2026DATA'!$J$16,"")</f>
        <v/>
      </c>
      <c r="BB247" s="518" t="str">
        <f>IF(AND(_3="B-767-300",'2026'!$J$4="FO",'2026'!$J$2=BB233),'2026DATA'!$K$16,"")</f>
        <v/>
      </c>
      <c r="BC247" s="518" t="str">
        <f>IF(AND(_3="B-767-300",'2026'!$J$4="FO",'2026'!$J$2=BC233),'2026DATA'!$L$16,"")</f>
        <v/>
      </c>
      <c r="BD247" s="518" t="str">
        <f>IF(AND(_3="B-767-300",'2026'!$J$4="FO",'2026'!$J$2=BD233),'2026DATA'!$M$16,"")</f>
        <v/>
      </c>
      <c r="BE247" s="520" t="str">
        <f>IF(AND(_3="B-767-300",'2026'!$J$4="FO",'2026'!$J$2=BE233),'2026DATA'!$N$16,"")</f>
        <v/>
      </c>
      <c r="BF247" s="940"/>
      <c r="BG247" s="13" t="s">
        <v>62</v>
      </c>
      <c r="BH247" s="518" t="str">
        <f>IF(AND(_4="B-767-300",'2026'!$J$4="FO",'2026'!$J$2=BH233),'2026DATA'!$C$16,"")</f>
        <v/>
      </c>
      <c r="BI247" s="518" t="str">
        <f>IF(AND(_4="B-767-300",'2026'!$J$4="FO",'2026'!$J$2=BI233),'2026DATA'!$D$16,"")</f>
        <v/>
      </c>
      <c r="BJ247" s="518" t="str">
        <f>IF(AND(_4="B-767-300",'2026'!$J$4="FO",'2026'!$J$2=BJ233),'2026DATA'!$E$16,"")</f>
        <v/>
      </c>
      <c r="BK247" s="518" t="str">
        <f>IF(AND(_4="B-767-300",'2026'!$J$4="FO",'2026'!$J$2=BK233),'2026DATA'!$F$16,"")</f>
        <v/>
      </c>
      <c r="BL247" s="518" t="str">
        <f>IF(AND(_4="B-767-300",'2026'!$J$4="FO",'2026'!$J$2=BL233),'2026DATA'!$G$16,"")</f>
        <v/>
      </c>
      <c r="BM247" s="518" t="str">
        <f>IF(AND(_4="B-767-300",'2026'!$J$4="FO",'2026'!$J$2=BM233),'2026DATA'!$H$16,"")</f>
        <v/>
      </c>
      <c r="BN247" s="518" t="str">
        <f>IF(AND(_4="B-767-300",'2026'!$J$4="FO",'2026'!$J$2=BN233),'2026DATA'!$I$16,"")</f>
        <v/>
      </c>
      <c r="BO247" s="518" t="str">
        <f>IF(AND(_4="B-767-300",'2026'!$J$4="FO",'2026'!$J$2=BO233),'2026DATA'!$J$16,"")</f>
        <v/>
      </c>
      <c r="BP247" s="518" t="str">
        <f>IF(AND(_4="B-767-300",'2026'!$J$4="FO",'2026'!$J$2=BP233),'2026DATA'!$K$16,"")</f>
        <v/>
      </c>
      <c r="BQ247" s="518" t="str">
        <f>IF(AND(_4="B-767-300",'2026'!$J$4="FO",'2026'!$J$2=BQ233),'2026DATA'!$L$16,"")</f>
        <v/>
      </c>
      <c r="BR247" s="518" t="str">
        <f>IF(AND(_4="B-767-300",'2026'!$J$4="FO",'2026'!$J$2=BR233),'2026DATA'!$M$16,"")</f>
        <v/>
      </c>
      <c r="BS247" s="520" t="str">
        <f>IF(AND(_4="B-767-300",'2026'!$J$4="FO",'2026'!$J$2=BS233),'2026DATA'!$N$16,"")</f>
        <v/>
      </c>
      <c r="BT247" s="940"/>
      <c r="BU247" s="13" t="s">
        <v>62</v>
      </c>
      <c r="BV247" s="518" t="str">
        <f>IF(AND(_5="B-767-300",'2026'!$J$4="FO",'2026'!$J$2=BV233),'2026DATA'!$C$16,"")</f>
        <v/>
      </c>
      <c r="BW247" s="518" t="str">
        <f>IF(AND(_5="B-767-300",'2026'!$J$4="FO",'2026'!$J$2=BW233),'2026DATA'!$D$16,"")</f>
        <v/>
      </c>
      <c r="BX247" s="518" t="str">
        <f>IF(AND(_5="B-767-300",'2026'!$J$4="FO",'2026'!$J$2=BX233),'2026DATA'!$E$16,"")</f>
        <v/>
      </c>
      <c r="BY247" s="518" t="str">
        <f>IF(AND(_5="B-767-300",'2026'!$J$4="FO",'2026'!$J$2=BY233),'2026DATA'!$F$16,"")</f>
        <v/>
      </c>
      <c r="BZ247" s="518" t="str">
        <f>IF(AND(_5="B-767-300",'2026'!$J$4="FO",'2026'!$J$2=BZ233),'2026DATA'!$G$16,"")</f>
        <v/>
      </c>
      <c r="CA247" s="518" t="str">
        <f>IF(AND(_5="B-767-300",'2026'!$J$4="FO",'2026'!$J$2=CA233),'2026DATA'!$H$16,"")</f>
        <v/>
      </c>
      <c r="CB247" s="518" t="str">
        <f>IF(AND(_5="B-767-300",'2026'!$J$4="FO",'2026'!$J$2=CB233),'2026DATA'!$I$16,"")</f>
        <v/>
      </c>
      <c r="CC247" s="518" t="str">
        <f>IF(AND(_5="B-767-300",'2026'!$J$4="FO",'2026'!$J$2=CC233),'2026DATA'!$J$16,"")</f>
        <v/>
      </c>
      <c r="CD247" s="518" t="str">
        <f>IF(AND(_5="B-767-300",'2026'!$J$4="FO",'2026'!$J$2=CD233),'2026DATA'!$K$16,"")</f>
        <v/>
      </c>
      <c r="CE247" s="518" t="str">
        <f>IF(AND(_5="B-767-300",'2026'!$J$4="FO",'2026'!$J$2=CE233),'2026DATA'!$L$16,"")</f>
        <v/>
      </c>
      <c r="CF247" s="518" t="str">
        <f>IF(AND(_5="B-767-300",'2026'!$J$4="FO",'2026'!$J$2=CF233),'2026DATA'!$M$16,"")</f>
        <v/>
      </c>
      <c r="CG247" s="520" t="str">
        <f>IF(AND(_5="B-767-300",'2026'!$J$4="FO",'2026'!$J$2=CG233),'2026DATA'!$N$16,"")</f>
        <v/>
      </c>
      <c r="CH247" s="940"/>
      <c r="CI247" s="13" t="s">
        <v>62</v>
      </c>
      <c r="CJ247" s="518" t="str">
        <f>IF(AND(_6="B-767-300",'2026'!$J$4="FO",'2026'!$J$2=CJ233),'2026DATA'!$C$16,"")</f>
        <v/>
      </c>
      <c r="CK247" s="518" t="str">
        <f>IF(AND(_6="B-767-300",'2026'!$J$4="FO",'2026'!$J$2=CK233),'2026DATA'!$D$16,"")</f>
        <v/>
      </c>
      <c r="CL247" s="518" t="str">
        <f>IF(AND(_6="B-767-300",'2026'!$J$4="FO",'2026'!$J$2=CL233),'2026DATA'!$E$16,"")</f>
        <v/>
      </c>
      <c r="CM247" s="518" t="str">
        <f>IF(AND(_6="B-767-300",'2026'!$J$4="FO",'2026'!$J$2=CM233),'2026DATA'!$F$16,"")</f>
        <v/>
      </c>
      <c r="CN247" s="518" t="str">
        <f>IF(AND(_6="B-767-300",'2026'!$J$4="FO",'2026'!$J$2=CN233),'2026DATA'!$G$16,"")</f>
        <v/>
      </c>
      <c r="CO247" s="518" t="str">
        <f>IF(AND(_6="B-767-300",'2026'!$J$4="FO",'2026'!$J$2=CO233),'2026DATA'!$H$16,"")</f>
        <v/>
      </c>
      <c r="CP247" s="518" t="str">
        <f>IF(AND(_6="B-767-300",'2026'!$J$4="FO",'2026'!$J$2=CP233),'2026DATA'!$I$16,"")</f>
        <v/>
      </c>
      <c r="CQ247" s="518" t="str">
        <f>IF(AND(_6="B-767-300",'2026'!$J$4="FO",'2026'!$J$2=CQ233),'2026DATA'!$J$16,"")</f>
        <v/>
      </c>
      <c r="CR247" s="518" t="str">
        <f>IF(AND(_6="B-767-300",'2026'!$J$4="FO",'2026'!$J$2=CR233),'2026DATA'!$K$16,"")</f>
        <v/>
      </c>
      <c r="CS247" s="518" t="str">
        <f>IF(AND(_6="B-767-300",'2026'!$J$4="FO",'2026'!$J$2=CS233),'2026DATA'!$L$16,"")</f>
        <v/>
      </c>
      <c r="CT247" s="518" t="str">
        <f>IF(AND(_6="B-767-300",'2026'!$J$4="FO",'2026'!$J$2=CT233),'2026DATA'!$M$16,"")</f>
        <v/>
      </c>
      <c r="CU247" s="520" t="str">
        <f>IF(AND(_6="B-767-300",'2026'!$J$4="FO",'2026'!$J$2=CU233),'2026DATA'!$N$16,"")</f>
        <v/>
      </c>
    </row>
    <row r="248" spans="16:99" x14ac:dyDescent="0.25">
      <c r="P248" s="940" t="s">
        <v>68</v>
      </c>
      <c r="Q248" s="13" t="s">
        <v>61</v>
      </c>
      <c r="R248" s="518" t="str">
        <f>IF(AND(_1="B-767-200",'2026'!$J$4="CA",'2026'!$J$2=R233),'2026DATA'!$C$17,"")</f>
        <v/>
      </c>
      <c r="S248" s="518" t="str">
        <f>IF(AND(_1="B-767-200",'2026'!$J$4="CA",'2026'!$J$2=S233),'2026DATA'!$D$17,"")</f>
        <v/>
      </c>
      <c r="T248" s="518" t="str">
        <f>IF(AND(_1="B-767-200",'2026'!$J$4="CA",'2026'!$J$2=T233),'2026DATA'!$E$17,"")</f>
        <v/>
      </c>
      <c r="U248" s="518" t="str">
        <f>IF(AND(_1="B-767-200",'2026'!$J$4="CA",'2026'!$J$2=U233),'2026DATA'!$F$17,"")</f>
        <v/>
      </c>
      <c r="V248" s="518" t="str">
        <f>IF(AND(_1="B-767-200",'2026'!$J$4="CA",'2026'!$J$2=V233),'2026DATA'!$G$17,"")</f>
        <v/>
      </c>
      <c r="W248" s="518" t="str">
        <f>IF(AND(_1="B-767-200",'2026'!$J$4="CA",'2026'!$J$2=W233),'2026DATA'!$H$17,"")</f>
        <v/>
      </c>
      <c r="X248" s="518" t="str">
        <f>IF(AND(_1="B-767-200",'2026'!$J$4="CA",'2026'!$J$2=X233),'2026DATA'!$I$17,"")</f>
        <v/>
      </c>
      <c r="Y248" s="518" t="str">
        <f>IF(AND(_1="B-767-200",'2026'!$J$4="CA",'2026'!$J$2=Y233),'2026DATA'!$J$17,"")</f>
        <v/>
      </c>
      <c r="Z248" s="518" t="str">
        <f>IF(AND(_1="B-767-200",'2026'!$J$4="CA",'2026'!$J$2=Z233),'2026DATA'!$K$17,"")</f>
        <v/>
      </c>
      <c r="AA248" s="518" t="str">
        <f>IF(AND(_1="B-767-200",'2026'!$J$4="CA",'2026'!$J$2=AA233),'2026DATA'!$L$17,"")</f>
        <v/>
      </c>
      <c r="AB248" s="518" t="str">
        <f>IF(AND(_1="B-767-200",'2026'!$J$4="CA",'2026'!$J$2=AB233),'2026DATA'!$M$17,"")</f>
        <v/>
      </c>
      <c r="AC248" s="520" t="str">
        <f>IF(AND(_1="B-767-200",'2026'!$J$4="CA",'2026'!$J$2=AC233),'2026DATA'!$N$17,"")</f>
        <v/>
      </c>
      <c r="AD248" s="940" t="s">
        <v>68</v>
      </c>
      <c r="AE248" s="13" t="s">
        <v>61</v>
      </c>
      <c r="AF248" s="518" t="str">
        <f>IF(AND(_2="B-767-200",'2026'!$J$4="CA",'2026'!$J$2=AF233),'2026DATA'!$C$17,"")</f>
        <v/>
      </c>
      <c r="AG248" s="518" t="str">
        <f>IF(AND(_2="B-767-200",'2026'!$J$4="CA",'2026'!$J$2=AG233),'2026DATA'!$D$17,"")</f>
        <v/>
      </c>
      <c r="AH248" s="518" t="str">
        <f>IF(AND(_2="B-767-200",'2026'!$J$4="CA",'2026'!$J$2=AH233),'2026DATA'!$E$17,"")</f>
        <v/>
      </c>
      <c r="AI248" s="518" t="str">
        <f>IF(AND(_2="B-767-200",'2026'!$J$4="CA",'2026'!$J$2=AI233),'2026DATA'!$F$17,"")</f>
        <v/>
      </c>
      <c r="AJ248" s="518" t="str">
        <f>IF(AND(_2="B-767-200",'2026'!$J$4="CA",'2026'!$J$2=AJ233),'2026DATA'!$G$17,"")</f>
        <v/>
      </c>
      <c r="AK248" s="518" t="str">
        <f>IF(AND(_2="B-767-200",'2026'!$J$4="CA",'2026'!$J$2=AK233),'2026DATA'!$H$17,"")</f>
        <v/>
      </c>
      <c r="AL248" s="518" t="str">
        <f>IF(AND(_2="B-767-200",'2026'!$J$4="CA",'2026'!$J$2=AL233),'2026DATA'!$I$17,"")</f>
        <v/>
      </c>
      <c r="AM248" s="518" t="str">
        <f>IF(AND(_2="B-767-200",'2026'!$J$4="CA",'2026'!$J$2=AM233),'2026DATA'!$J$17,"")</f>
        <v/>
      </c>
      <c r="AN248" s="518" t="str">
        <f>IF(AND(_2="B-767-200",'2026'!$J$4="CA",'2026'!$J$2=AN233),'2026DATA'!$K$17,"")</f>
        <v/>
      </c>
      <c r="AO248" s="518" t="str">
        <f>IF(AND(_2="B-767-200",'2026'!$J$4="CA",'2026'!$J$2=AO233),'2026DATA'!$L$17,"")</f>
        <v/>
      </c>
      <c r="AP248" s="518" t="str">
        <f>IF(AND(_2="B-767-200",'2026'!$J$4="CA",'2026'!$J$2=AP233),'2026DATA'!$M$17,"")</f>
        <v/>
      </c>
      <c r="AQ248" s="520" t="str">
        <f>IF(AND(_2="B-767-200",'2026'!$J$4="CA",'2026'!$J$2=AQ233),'2026DATA'!$N$17,"")</f>
        <v/>
      </c>
      <c r="AR248" s="940" t="s">
        <v>68</v>
      </c>
      <c r="AS248" s="13" t="s">
        <v>61</v>
      </c>
      <c r="AT248" s="518" t="str">
        <f>IF(AND(_3="B-767-200",'2026'!$J$4="CA",'2026'!$J$2=AT233),'2026DATA'!$C$17,"")</f>
        <v/>
      </c>
      <c r="AU248" s="518" t="str">
        <f>IF(AND(_3="B-767-200",'2026'!$J$4="CA",'2026'!$J$2=AU233),'2026DATA'!$D$17,"")</f>
        <v/>
      </c>
      <c r="AV248" s="518" t="str">
        <f>IF(AND(_3="B-767-200",'2026'!$J$4="CA",'2026'!$J$2=AV233),'2026DATA'!$E$17,"")</f>
        <v/>
      </c>
      <c r="AW248" s="518" t="str">
        <f>IF(AND(_3="B-767-200",'2026'!$J$4="CA",'2026'!$J$2=AW233),'2026DATA'!$F$17,"")</f>
        <v/>
      </c>
      <c r="AX248" s="518" t="str">
        <f>IF(AND(_3="B-767-200",'2026'!$J$4="CA",'2026'!$J$2=AX233),'2026DATA'!$G$17,"")</f>
        <v/>
      </c>
      <c r="AY248" s="518" t="str">
        <f>IF(AND(_3="B-767-200",'2026'!$J$4="CA",'2026'!$J$2=AY233),'2026DATA'!$H$17,"")</f>
        <v/>
      </c>
      <c r="AZ248" s="518" t="str">
        <f>IF(AND(_3="B-767-200",'2026'!$J$4="CA",'2026'!$J$2=AZ233),'2026DATA'!$I$17,"")</f>
        <v/>
      </c>
      <c r="BA248" s="518" t="str">
        <f>IF(AND(_3="B-767-200",'2026'!$J$4="CA",'2026'!$J$2=BA233),'2026DATA'!$J$17,"")</f>
        <v/>
      </c>
      <c r="BB248" s="518" t="str">
        <f>IF(AND(_3="B-767-200",'2026'!$J$4="CA",'2026'!$J$2=BB233),'2026DATA'!$K$17,"")</f>
        <v/>
      </c>
      <c r="BC248" s="518" t="str">
        <f>IF(AND(_3="B-767-200",'2026'!$J$4="CA",'2026'!$J$2=BC233),'2026DATA'!$L$17,"")</f>
        <v/>
      </c>
      <c r="BD248" s="518" t="str">
        <f>IF(AND(_3="B-767-200",'2026'!$J$4="CA",'2026'!$J$2=BD233),'2026DATA'!$M$17,"")</f>
        <v/>
      </c>
      <c r="BE248" s="520" t="str">
        <f>IF(AND(_3="B-767-200",'2026'!$J$4="CA",'2026'!$J$2=BE233),'2026DATA'!$N$17,"")</f>
        <v/>
      </c>
      <c r="BF248" s="940" t="s">
        <v>68</v>
      </c>
      <c r="BG248" s="13" t="s">
        <v>61</v>
      </c>
      <c r="BH248" s="518" t="str">
        <f>IF(AND(_4="B-767-200",'2026'!$J$4="CA",'2026'!$J$2=BH233),'2026DATA'!$C$17,"")</f>
        <v/>
      </c>
      <c r="BI248" s="518" t="str">
        <f>IF(AND(_4="B-767-200",'2026'!$J$4="CA",'2026'!$J$2=BI233),'2026DATA'!$D$17,"")</f>
        <v/>
      </c>
      <c r="BJ248" s="518" t="str">
        <f>IF(AND(_4="B-767-200",'2026'!$J$4="CA",'2026'!$J$2=BJ233),'2026DATA'!$E$17,"")</f>
        <v/>
      </c>
      <c r="BK248" s="518" t="str">
        <f>IF(AND(_4="B-767-200",'2026'!$J$4="CA",'2026'!$J$2=BK233),'2026DATA'!$F$17,"")</f>
        <v/>
      </c>
      <c r="BL248" s="518" t="str">
        <f>IF(AND(_4="B-767-200",'2026'!$J$4="CA",'2026'!$J$2=BL233),'2026DATA'!$G$17,"")</f>
        <v/>
      </c>
      <c r="BM248" s="518" t="str">
        <f>IF(AND(_4="B-767-200",'2026'!$J$4="CA",'2026'!$J$2=BM233),'2026DATA'!$H$17,"")</f>
        <v/>
      </c>
      <c r="BN248" s="518" t="str">
        <f>IF(AND(_4="B-767-200",'2026'!$J$4="CA",'2026'!$J$2=BN233),'2026DATA'!$I$17,"")</f>
        <v/>
      </c>
      <c r="BO248" s="518" t="str">
        <f>IF(AND(_4="B-767-200",'2026'!$J$4="CA",'2026'!$J$2=BO233),'2026DATA'!$J$17,"")</f>
        <v/>
      </c>
      <c r="BP248" s="518" t="str">
        <f>IF(AND(_4="B-767-200",'2026'!$J$4="CA",'2026'!$J$2=BP233),'2026DATA'!$K$17,"")</f>
        <v/>
      </c>
      <c r="BQ248" s="518" t="str">
        <f>IF(AND(_4="B-767-200",'2026'!$J$4="CA",'2026'!$J$2=BQ233),'2026DATA'!$L$17,"")</f>
        <v/>
      </c>
      <c r="BR248" s="518" t="str">
        <f>IF(AND(_4="B-767-200",'2026'!$J$4="CA",'2026'!$J$2=BR233),'2026DATA'!$M$17,"")</f>
        <v/>
      </c>
      <c r="BS248" s="520" t="str">
        <f>IF(AND(_4="B-767-200",'2026'!$J$4="CA",'2026'!$J$2=BS233),'2026DATA'!$N$17,"")</f>
        <v/>
      </c>
      <c r="BT248" s="940" t="s">
        <v>68</v>
      </c>
      <c r="BU248" s="13" t="s">
        <v>61</v>
      </c>
      <c r="BV248" s="518" t="str">
        <f>IF(AND(_5="B-767-200",'2026'!$J$4="CA",'2026'!$J$2=BV233),'2026DATA'!$C$17,"")</f>
        <v/>
      </c>
      <c r="BW248" s="518" t="str">
        <f>IF(AND(_5="B-767-200",'2026'!$J$4="CA",'2026'!$J$2=BW233),'2026DATA'!$D$17,"")</f>
        <v/>
      </c>
      <c r="BX248" s="518" t="str">
        <f>IF(AND(_5="B-767-200",'2026'!$J$4="CA",'2026'!$J$2=BX233),'2026DATA'!$E$17,"")</f>
        <v/>
      </c>
      <c r="BY248" s="518" t="str">
        <f>IF(AND(_5="B-767-200",'2026'!$J$4="CA",'2026'!$J$2=BY233),'2026DATA'!$F$17,"")</f>
        <v/>
      </c>
      <c r="BZ248" s="518" t="str">
        <f>IF(AND(_5="B-767-200",'2026'!$J$4="CA",'2026'!$J$2=BZ233),'2026DATA'!$G$17,"")</f>
        <v/>
      </c>
      <c r="CA248" s="518" t="str">
        <f>IF(AND(_5="B-767-200",'2026'!$J$4="CA",'2026'!$J$2=CA233),'2026DATA'!$H$17,"")</f>
        <v/>
      </c>
      <c r="CB248" s="518" t="str">
        <f>IF(AND(_5="B-767-200",'2026'!$J$4="CA",'2026'!$J$2=CB233),'2026DATA'!$I$17,"")</f>
        <v/>
      </c>
      <c r="CC248" s="518" t="str">
        <f>IF(AND(_5="B-767-200",'2026'!$J$4="CA",'2026'!$J$2=CC233),'2026DATA'!$J$17,"")</f>
        <v/>
      </c>
      <c r="CD248" s="518" t="str">
        <f>IF(AND(_5="B-767-200",'2026'!$J$4="CA",'2026'!$J$2=CD233),'2026DATA'!$K$17,"")</f>
        <v/>
      </c>
      <c r="CE248" s="518" t="str">
        <f>IF(AND(_5="B-767-200",'2026'!$J$4="CA",'2026'!$J$2=CE233),'2026DATA'!$L$17,"")</f>
        <v/>
      </c>
      <c r="CF248" s="518" t="str">
        <f>IF(AND(_5="B-767-200",'2026'!$J$4="CA",'2026'!$J$2=CF233),'2026DATA'!$M$17,"")</f>
        <v/>
      </c>
      <c r="CG248" s="520" t="str">
        <f>IF(AND(_5="B-767-200",'2026'!$J$4="CA",'2026'!$J$2=CG233),'2026DATA'!$N$17,"")</f>
        <v/>
      </c>
      <c r="CH248" s="940" t="s">
        <v>68</v>
      </c>
      <c r="CI248" s="13" t="s">
        <v>61</v>
      </c>
      <c r="CJ248" s="518" t="str">
        <f>IF(AND(_6="B-767-200",'2026'!$J$4="CA",'2026'!$J$2=CJ233),'2026DATA'!$C$17,"")</f>
        <v/>
      </c>
      <c r="CK248" s="518" t="str">
        <f>IF(AND(_6="B-767-200",'2026'!$J$4="CA",'2026'!$J$2=CK233),'2026DATA'!$D$17,"")</f>
        <v/>
      </c>
      <c r="CL248" s="518" t="str">
        <f>IF(AND(_6="B-767-200",'2026'!$J$4="CA",'2026'!$J$2=CL233),'2026DATA'!$E$17,"")</f>
        <v/>
      </c>
      <c r="CM248" s="518" t="str">
        <f>IF(AND(_6="B-767-200",'2026'!$J$4="CA",'2026'!$J$2=CM233),'2026DATA'!$F$17,"")</f>
        <v/>
      </c>
      <c r="CN248" s="518" t="str">
        <f>IF(AND(_6="B-767-200",'2026'!$J$4="CA",'2026'!$J$2=CN233),'2026DATA'!$G$17,"")</f>
        <v/>
      </c>
      <c r="CO248" s="518" t="str">
        <f>IF(AND(_6="B-767-200",'2026'!$J$4="CA",'2026'!$J$2=CO233),'2026DATA'!$H$17,"")</f>
        <v/>
      </c>
      <c r="CP248" s="518" t="str">
        <f>IF(AND(_6="B-767-200",'2026'!$J$4="CA",'2026'!$J$2=CP233),'2026DATA'!$I$17,"")</f>
        <v/>
      </c>
      <c r="CQ248" s="518" t="str">
        <f>IF(AND(_6="B-767-200",'2026'!$J$4="CA",'2026'!$J$2=CQ233),'2026DATA'!$J$17,"")</f>
        <v/>
      </c>
      <c r="CR248" s="518" t="str">
        <f>IF(AND(_6="B-767-200",'2026'!$J$4="CA",'2026'!$J$2=CR233),'2026DATA'!$K$17,"")</f>
        <v/>
      </c>
      <c r="CS248" s="518" t="str">
        <f>IF(AND(_6="B-767-200",'2026'!$J$4="CA",'2026'!$J$2=CS233),'2026DATA'!$L$17,"")</f>
        <v/>
      </c>
      <c r="CT248" s="518" t="str">
        <f>IF(AND(_6="B-767-200",'2026'!$J$4="CA",'2026'!$J$2=CT233),'2026DATA'!$M$17,"")</f>
        <v/>
      </c>
      <c r="CU248" s="520" t="str">
        <f>IF(AND(_6="B-767-200",'2026'!$J$4="CA",'2026'!$J$2=CU233),'2026DATA'!$N$17,"")</f>
        <v/>
      </c>
    </row>
    <row r="249" spans="16:99" x14ac:dyDescent="0.25">
      <c r="P249" s="940"/>
      <c r="Q249" s="13" t="s">
        <v>62</v>
      </c>
      <c r="R249" s="518" t="str">
        <f>IF(AND(_1="B-767-200",'2026'!$J$4="FO",'2026'!$J$2=R233),'2026DATA'!$C$18,"")</f>
        <v/>
      </c>
      <c r="S249" s="518" t="str">
        <f>IF(AND(_1="B-767-200",'2026'!$J$4="FO",'2026'!$J$2=S233),'2026DATA'!$D$18,"")</f>
        <v/>
      </c>
      <c r="T249" s="518" t="str">
        <f>IF(AND(_1="B-767-200",'2026'!$J$4="FO",'2026'!$J$2=T233),'2026DATA'!$E$18,"")</f>
        <v/>
      </c>
      <c r="U249" s="518" t="str">
        <f>IF(AND(_1="B-767-200",'2026'!$J$4="FO",'2026'!$J$2=U233),'2026DATA'!$F$18,"")</f>
        <v/>
      </c>
      <c r="V249" s="518" t="str">
        <f>IF(AND(_1="B-767-200",'2026'!$J$4="FO",'2026'!$J$2=V233),'2026DATA'!$G$18,"")</f>
        <v/>
      </c>
      <c r="W249" s="518" t="str">
        <f>IF(AND(_1="B-767-200",'2026'!$J$4="FO",'2026'!$J$2=W233),'2026DATA'!$H$18,"")</f>
        <v/>
      </c>
      <c r="X249" s="518" t="str">
        <f>IF(AND(_1="B-767-200",'2026'!$J$4="FO",'2026'!$J$2=X233),'2026DATA'!$I$18,"")</f>
        <v/>
      </c>
      <c r="Y249" s="518" t="str">
        <f>IF(AND(_1="B-767-200",'2026'!$J$4="FO",'2026'!$J$2=Y233),'2026DATA'!$J$18,"")</f>
        <v/>
      </c>
      <c r="Z249" s="518" t="str">
        <f>IF(AND(_1="B-767-200",'2026'!$J$4="FO",'2026'!$J$2=Z233),'2026DATA'!$K$18,"")</f>
        <v/>
      </c>
      <c r="AA249" s="518" t="str">
        <f>IF(AND(_1="B-767-200",'2026'!$J$4="FO",'2026'!$J$2=AA233),'2026DATA'!$L$18,"")</f>
        <v/>
      </c>
      <c r="AB249" s="518" t="str">
        <f>IF(AND(_1="B-767-200",'2026'!$J$4="FO",'2026'!$J$2=AB233),'2026DATA'!$M$18,"")</f>
        <v/>
      </c>
      <c r="AC249" s="520" t="str">
        <f>IF(AND(_1="B-767-200",'2026'!$J$4="FO",'2026'!$J$2=AC233),'2026DATA'!$N$18,"")</f>
        <v/>
      </c>
      <c r="AD249" s="940"/>
      <c r="AE249" s="13" t="s">
        <v>62</v>
      </c>
      <c r="AF249" s="518" t="str">
        <f>IF(AND(_2="B-767-200",'2026'!$J$4="FO",'2026'!$J$2=AF233),'2026DATA'!$C$18,"")</f>
        <v/>
      </c>
      <c r="AG249" s="518" t="str">
        <f>IF(AND(_2="B-767-200",'2026'!$J$4="FO",'2026'!$J$2=AG233),'2026DATA'!$D$18,"")</f>
        <v/>
      </c>
      <c r="AH249" s="518" t="str">
        <f>IF(AND(_2="B-767-200",'2026'!$J$4="FO",'2026'!$J$2=AH233),'2026DATA'!$E$18,"")</f>
        <v/>
      </c>
      <c r="AI249" s="518" t="str">
        <f>IF(AND(_2="B-767-200",'2026'!$J$4="FO",'2026'!$J$2=AI233),'2026DATA'!$F$18,"")</f>
        <v/>
      </c>
      <c r="AJ249" s="518" t="str">
        <f>IF(AND(_2="B-767-200",'2026'!$J$4="FO",'2026'!$J$2=AJ233),'2026DATA'!$G$18,"")</f>
        <v/>
      </c>
      <c r="AK249" s="518" t="str">
        <f>IF(AND(_2="B-767-200",'2026'!$J$4="FO",'2026'!$J$2=AK233),'2026DATA'!$H$18,"")</f>
        <v/>
      </c>
      <c r="AL249" s="518" t="str">
        <f>IF(AND(_2="B-767-200",'2026'!$J$4="FO",'2026'!$J$2=AL233),'2026DATA'!$I$18,"")</f>
        <v/>
      </c>
      <c r="AM249" s="518" t="str">
        <f>IF(AND(_2="B-767-200",'2026'!$J$4="FO",'2026'!$J$2=AM233),'2026DATA'!$J$18,"")</f>
        <v/>
      </c>
      <c r="AN249" s="518" t="str">
        <f>IF(AND(_2="B-767-200",'2026'!$J$4="FO",'2026'!$J$2=AN233),'2026DATA'!$K$18,"")</f>
        <v/>
      </c>
      <c r="AO249" s="518" t="str">
        <f>IF(AND(_2="B-767-200",'2026'!$J$4="FO",'2026'!$J$2=AO233),'2026DATA'!$L$18,"")</f>
        <v/>
      </c>
      <c r="AP249" s="518" t="str">
        <f>IF(AND(_2="B-767-200",'2026'!$J$4="FO",'2026'!$J$2=AP233),'2026DATA'!$M$18,"")</f>
        <v/>
      </c>
      <c r="AQ249" s="520" t="str">
        <f>IF(AND(_2="B-767-200",'2026'!$J$4="FO",'2026'!$J$2=AQ233),'2026DATA'!$N$18,"")</f>
        <v/>
      </c>
      <c r="AR249" s="940"/>
      <c r="AS249" s="13" t="s">
        <v>62</v>
      </c>
      <c r="AT249" s="518" t="str">
        <f>IF(AND(_3="B-767-200",'2026'!$J$4="FO",'2026'!$J$2=AT233),'2026DATA'!$C$18,"")</f>
        <v/>
      </c>
      <c r="AU249" s="518" t="str">
        <f>IF(AND(_3="B-767-200",'2026'!$J$4="FO",'2026'!$J$2=AU233),'2026DATA'!$D$18,"")</f>
        <v/>
      </c>
      <c r="AV249" s="518" t="str">
        <f>IF(AND(_3="B-767-200",'2026'!$J$4="FO",'2026'!$J$2=AV233),'2026DATA'!$E$18,"")</f>
        <v/>
      </c>
      <c r="AW249" s="518" t="str">
        <f>IF(AND(_3="B-767-200",'2026'!$J$4="FO",'2026'!$J$2=AW233),'2026DATA'!$F$18,"")</f>
        <v/>
      </c>
      <c r="AX249" s="518" t="str">
        <f>IF(AND(_3="B-767-200",'2026'!$J$4="FO",'2026'!$J$2=AX233),'2026DATA'!$G$18,"")</f>
        <v/>
      </c>
      <c r="AY249" s="518" t="str">
        <f>IF(AND(_3="B-767-200",'2026'!$J$4="FO",'2026'!$J$2=AY233),'2026DATA'!$H$18,"")</f>
        <v/>
      </c>
      <c r="AZ249" s="518" t="str">
        <f>IF(AND(_3="B-767-200",'2026'!$J$4="FO",'2026'!$J$2=AZ233),'2026DATA'!$I$18,"")</f>
        <v/>
      </c>
      <c r="BA249" s="518" t="str">
        <f>IF(AND(_3="B-767-200",'2026'!$J$4="FO",'2026'!$J$2=BA233),'2026DATA'!$J$18,"")</f>
        <v/>
      </c>
      <c r="BB249" s="518" t="str">
        <f>IF(AND(_3="B-767-200",'2026'!$J$4="FO",'2026'!$J$2=BB233),'2026DATA'!$K$18,"")</f>
        <v/>
      </c>
      <c r="BC249" s="518" t="str">
        <f>IF(AND(_3="B-767-200",'2026'!$J$4="FO",'2026'!$J$2=BC233),'2026DATA'!$L$18,"")</f>
        <v/>
      </c>
      <c r="BD249" s="518" t="str">
        <f>IF(AND(_3="B-767-200",'2026'!$J$4="FO",'2026'!$J$2=BD233),'2026DATA'!$M$18,"")</f>
        <v/>
      </c>
      <c r="BE249" s="520" t="str">
        <f>IF(AND(_3="B-767-200",'2026'!$J$4="FO",'2026'!$J$2=BE233),'2026DATA'!$N$18,"")</f>
        <v/>
      </c>
      <c r="BF249" s="940"/>
      <c r="BG249" s="13" t="s">
        <v>62</v>
      </c>
      <c r="BH249" s="518" t="str">
        <f>IF(AND(_4="B-767-200",'2026'!$J$4="FO",'2026'!$J$2=BH233),'2026DATA'!$C$18,"")</f>
        <v/>
      </c>
      <c r="BI249" s="518" t="str">
        <f>IF(AND(_4="B-767-200",'2026'!$J$4="FO",'2026'!$J$2=BI233),'2026DATA'!$D$18,"")</f>
        <v/>
      </c>
      <c r="BJ249" s="518" t="str">
        <f>IF(AND(_4="B-767-200",'2026'!$J$4="FO",'2026'!$J$2=BJ233),'2026DATA'!$E$18,"")</f>
        <v/>
      </c>
      <c r="BK249" s="518" t="str">
        <f>IF(AND(_4="B-767-200",'2026'!$J$4="FO",'2026'!$J$2=BK233),'2026DATA'!$F$18,"")</f>
        <v/>
      </c>
      <c r="BL249" s="518" t="str">
        <f>IF(AND(_4="B-767-200",'2026'!$J$4="FO",'2026'!$J$2=BL233),'2026DATA'!$G$18,"")</f>
        <v/>
      </c>
      <c r="BM249" s="518" t="str">
        <f>IF(AND(_4="B-767-200",'2026'!$J$4="FO",'2026'!$J$2=BM233),'2026DATA'!$H$18,"")</f>
        <v/>
      </c>
      <c r="BN249" s="518" t="str">
        <f>IF(AND(_4="B-767-200",'2026'!$J$4="FO",'2026'!$J$2=BN233),'2026DATA'!$I$18,"")</f>
        <v/>
      </c>
      <c r="BO249" s="518" t="str">
        <f>IF(AND(_4="B-767-200",'2026'!$J$4="FO",'2026'!$J$2=BO233),'2026DATA'!$J$18,"")</f>
        <v/>
      </c>
      <c r="BP249" s="518" t="str">
        <f>IF(AND(_4="B-767-200",'2026'!$J$4="FO",'2026'!$J$2=BP233),'2026DATA'!$K$18,"")</f>
        <v/>
      </c>
      <c r="BQ249" s="518" t="str">
        <f>IF(AND(_4="B-767-200",'2026'!$J$4="FO",'2026'!$J$2=BQ233),'2026DATA'!$L$18,"")</f>
        <v/>
      </c>
      <c r="BR249" s="518" t="str">
        <f>IF(AND(_4="B-767-200",'2026'!$J$4="FO",'2026'!$J$2=BR233),'2026DATA'!$M$18,"")</f>
        <v/>
      </c>
      <c r="BS249" s="520" t="str">
        <f>IF(AND(_4="B-767-200",'2026'!$J$4="FO",'2026'!$J$2=BS233),'2026DATA'!$N$18,"")</f>
        <v/>
      </c>
      <c r="BT249" s="940"/>
      <c r="BU249" s="13" t="s">
        <v>62</v>
      </c>
      <c r="BV249" s="518" t="str">
        <f>IF(AND(_5="B-767-200",'2026'!$J$4="FO",'2026'!$J$2=BV233),'2026DATA'!$C$18,"")</f>
        <v/>
      </c>
      <c r="BW249" s="518" t="str">
        <f>IF(AND(_5="B-767-200",'2026'!$J$4="FO",'2026'!$J$2=BW233),'2026DATA'!$D$18,"")</f>
        <v/>
      </c>
      <c r="BX249" s="518" t="str">
        <f>IF(AND(_5="B-767-200",'2026'!$J$4="FO",'2026'!$J$2=BX233),'2026DATA'!$E$18,"")</f>
        <v/>
      </c>
      <c r="BY249" s="518" t="str">
        <f>IF(AND(_5="B-767-200",'2026'!$J$4="FO",'2026'!$J$2=BY233),'2026DATA'!$F$18,"")</f>
        <v/>
      </c>
      <c r="BZ249" s="518" t="str">
        <f>IF(AND(_5="B-767-200",'2026'!$J$4="FO",'2026'!$J$2=BZ233),'2026DATA'!$G$18,"")</f>
        <v/>
      </c>
      <c r="CA249" s="518" t="str">
        <f>IF(AND(_5="B-767-200",'2026'!$J$4="FO",'2026'!$J$2=CA233),'2026DATA'!$H$18,"")</f>
        <v/>
      </c>
      <c r="CB249" s="518" t="str">
        <f>IF(AND(_5="B-767-200",'2026'!$J$4="FO",'2026'!$J$2=CB233),'2026DATA'!$I$18,"")</f>
        <v/>
      </c>
      <c r="CC249" s="518" t="str">
        <f>IF(AND(_5="B-767-200",'2026'!$J$4="FO",'2026'!$J$2=CC233),'2026DATA'!$J$18,"")</f>
        <v/>
      </c>
      <c r="CD249" s="518" t="str">
        <f>IF(AND(_5="B-767-200",'2026'!$J$4="FO",'2026'!$J$2=CD233),'2026DATA'!$K$18,"")</f>
        <v/>
      </c>
      <c r="CE249" s="518" t="str">
        <f>IF(AND(_5="B-767-200",'2026'!$J$4="FO",'2026'!$J$2=CE233),'2026DATA'!$L$18,"")</f>
        <v/>
      </c>
      <c r="CF249" s="518" t="str">
        <f>IF(AND(_5="B-767-200",'2026'!$J$4="FO",'2026'!$J$2=CF233),'2026DATA'!$M$18,"")</f>
        <v/>
      </c>
      <c r="CG249" s="520" t="str">
        <f>IF(AND(_5="B-767-200",'2026'!$J$4="FO",'2026'!$J$2=CG233),'2026DATA'!$N$18,"")</f>
        <v/>
      </c>
      <c r="CH249" s="940"/>
      <c r="CI249" s="13" t="s">
        <v>62</v>
      </c>
      <c r="CJ249" s="518" t="str">
        <f>IF(AND(_6="B-767-200",'2026'!$J$4="FO",'2026'!$J$2=CJ233),'2026DATA'!$C$18,"")</f>
        <v/>
      </c>
      <c r="CK249" s="518" t="str">
        <f>IF(AND(_6="B-767-200",'2026'!$J$4="FO",'2026'!$J$2=CK233),'2026DATA'!$D$18,"")</f>
        <v/>
      </c>
      <c r="CL249" s="518" t="str">
        <f>IF(AND(_6="B-767-200",'2026'!$J$4="FO",'2026'!$J$2=CL233),'2026DATA'!$E$18,"")</f>
        <v/>
      </c>
      <c r="CM249" s="518" t="str">
        <f>IF(AND(_6="B-767-200",'2026'!$J$4="FO",'2026'!$J$2=CM233),'2026DATA'!$F$18,"")</f>
        <v/>
      </c>
      <c r="CN249" s="518" t="str">
        <f>IF(AND(_6="B-767-200",'2026'!$J$4="FO",'2026'!$J$2=CN233),'2026DATA'!$G$18,"")</f>
        <v/>
      </c>
      <c r="CO249" s="518" t="str">
        <f>IF(AND(_6="B-767-200",'2026'!$J$4="FO",'2026'!$J$2=CO233),'2026DATA'!$H$18,"")</f>
        <v/>
      </c>
      <c r="CP249" s="518" t="str">
        <f>IF(AND(_6="B-767-200",'2026'!$J$4="FO",'2026'!$J$2=CP233),'2026DATA'!$I$18,"")</f>
        <v/>
      </c>
      <c r="CQ249" s="518" t="str">
        <f>IF(AND(_6="B-767-200",'2026'!$J$4="FO",'2026'!$J$2=CQ233),'2026DATA'!$J$18,"")</f>
        <v/>
      </c>
      <c r="CR249" s="518" t="str">
        <f>IF(AND(_6="B-767-200",'2026'!$J$4="FO",'2026'!$J$2=CR233),'2026DATA'!$K$18,"")</f>
        <v/>
      </c>
      <c r="CS249" s="518" t="str">
        <f>IF(AND(_6="B-767-200",'2026'!$J$4="FO",'2026'!$J$2=CS233),'2026DATA'!$L$18,"")</f>
        <v/>
      </c>
      <c r="CT249" s="518" t="str">
        <f>IF(AND(_6="B-767-200",'2026'!$J$4="FO",'2026'!$J$2=CT233),'2026DATA'!$M$18,"")</f>
        <v/>
      </c>
      <c r="CU249" s="520" t="str">
        <f>IF(AND(_6="B-767-200",'2026'!$J$4="FO",'2026'!$J$2=CU233),'2026DATA'!$N$18,"")</f>
        <v/>
      </c>
    </row>
    <row r="250" spans="16:99" x14ac:dyDescent="0.25">
      <c r="P250" s="940" t="s">
        <v>45</v>
      </c>
      <c r="Q250" s="13" t="s">
        <v>61</v>
      </c>
      <c r="R250" s="518" t="str">
        <f>IF(AND(_1="B-757",'2026'!$J$4="CA",'2026'!$J$2=R233),'2026DATA'!$C$19,"")</f>
        <v/>
      </c>
      <c r="S250" s="518" t="str">
        <f>IF(AND(_1="B-757",'2026'!$J$4="CA",'2026'!$J$2=S233),'2026DATA'!$D$19,"")</f>
        <v/>
      </c>
      <c r="T250" s="518" t="str">
        <f>IF(AND(_1="B-757",'2026'!$J$4="CA",'2026'!$J$2=T233),'2026DATA'!$E$19,"")</f>
        <v/>
      </c>
      <c r="U250" s="518" t="str">
        <f>IF(AND(_1="B-757",'2026'!$J$4="CA",'2026'!$J$2=U233),'2026DATA'!$F$19,"")</f>
        <v/>
      </c>
      <c r="V250" s="518" t="str">
        <f>IF(AND(_1="B-757",'2026'!$J$4="CA",'2026'!$J$2=V233),'2026DATA'!$G$19,"")</f>
        <v/>
      </c>
      <c r="W250" s="518" t="str">
        <f>IF(AND(_1="B-757",'2026'!$J$4="CA",'2026'!$J$2=W233),'2026DATA'!$H$19,"")</f>
        <v/>
      </c>
      <c r="X250" s="518" t="str">
        <f>IF(AND(_1="B-757",'2026'!$J$4="CA",'2026'!$J$2=X233),'2026DATA'!$I$19,"")</f>
        <v/>
      </c>
      <c r="Y250" s="518" t="str">
        <f>IF(AND(_1="B-757",'2026'!$J$4="CA",'2026'!$J$2=Y233),'2026DATA'!$J$19,"")</f>
        <v/>
      </c>
      <c r="Z250" s="518" t="str">
        <f>IF(AND(_1="B-757",'2026'!$J$4="CA",'2026'!$J$2=Z233),'2026DATA'!$K$19,"")</f>
        <v/>
      </c>
      <c r="AA250" s="518" t="str">
        <f>IF(AND(_1="B-757",'2026'!$J$4="CA",'2026'!$J$2=AA233),'2026DATA'!$L$19,"")</f>
        <v/>
      </c>
      <c r="AB250" s="518" t="str">
        <f>IF(AND(_1="B-757",'2026'!$J$4="CA",'2026'!$J$2=AB233),'2026DATA'!$M$19,"")</f>
        <v/>
      </c>
      <c r="AC250" s="520" t="str">
        <f>IF(AND(_1="B-757",'2026'!$J$4="CA",'2026'!$J$2=AC233),'2026DATA'!$N$19,"")</f>
        <v/>
      </c>
      <c r="AD250" s="940" t="s">
        <v>45</v>
      </c>
      <c r="AE250" s="13" t="s">
        <v>61</v>
      </c>
      <c r="AF250" s="518" t="str">
        <f>IF(AND(_2="B-757",'2026'!$J$4="CA",'2026'!$J$2=AF233),'2026DATA'!$C$19,"")</f>
        <v/>
      </c>
      <c r="AG250" s="518" t="str">
        <f>IF(AND(_2="B-757",'2026'!$J$4="CA",'2026'!$J$2=AG233),'2026DATA'!$D$19,"")</f>
        <v/>
      </c>
      <c r="AH250" s="518" t="str">
        <f>IF(AND(_2="B-757",'2026'!$J$4="CA",'2026'!$J$2=AH233),'2026DATA'!$E$19,"")</f>
        <v/>
      </c>
      <c r="AI250" s="518" t="str">
        <f>IF(AND(_2="B-757",'2026'!$J$4="CA",'2026'!$J$2=AI233),'2026DATA'!$F$19,"")</f>
        <v/>
      </c>
      <c r="AJ250" s="518" t="str">
        <f>IF(AND(_2="B-757",'2026'!$J$4="CA",'2026'!$J$2=AJ233),'2026DATA'!$G$19,"")</f>
        <v/>
      </c>
      <c r="AK250" s="518" t="str">
        <f>IF(AND(_2="B-757",'2026'!$J$4="CA",'2026'!$J$2=AK233),'2026DATA'!$H$19,"")</f>
        <v/>
      </c>
      <c r="AL250" s="518" t="str">
        <f>IF(AND(_2="B-757",'2026'!$J$4="CA",'2026'!$J$2=AL233),'2026DATA'!$I$19,"")</f>
        <v/>
      </c>
      <c r="AM250" s="518" t="str">
        <f>IF(AND(_2="B-757",'2026'!$J$4="CA",'2026'!$J$2=AM233),'2026DATA'!$J$19,"")</f>
        <v/>
      </c>
      <c r="AN250" s="518" t="str">
        <f>IF(AND(_2="B-757",'2026'!$J$4="CA",'2026'!$J$2=AN233),'2026DATA'!$K$19,"")</f>
        <v/>
      </c>
      <c r="AO250" s="518" t="str">
        <f>IF(AND(_2="B-757",'2026'!$J$4="CA",'2026'!$J$2=AO233),'2026DATA'!$L$19,"")</f>
        <v/>
      </c>
      <c r="AP250" s="518" t="str">
        <f>IF(AND(_2="B-757",'2026'!$J$4="CA",'2026'!$J$2=AP233),'2026DATA'!$M$19,"")</f>
        <v/>
      </c>
      <c r="AQ250" s="520" t="str">
        <f>IF(AND(_2="B-757",'2026'!$J$4="CA",'2026'!$J$2=AQ233),'2026DATA'!$N$19,"")</f>
        <v/>
      </c>
      <c r="AR250" s="940" t="s">
        <v>45</v>
      </c>
      <c r="AS250" s="13" t="s">
        <v>61</v>
      </c>
      <c r="AT250" s="518" t="str">
        <f>IF(AND(_3="B-757",'2026'!$J$4="CA",'2026'!$J$2=AT233),'2026DATA'!$C$19,"")</f>
        <v/>
      </c>
      <c r="AU250" s="518" t="str">
        <f>IF(AND(_3="B-757",'2026'!$J$4="CA",'2026'!$J$2=AU233),'2026DATA'!$D$19,"")</f>
        <v/>
      </c>
      <c r="AV250" s="518" t="str">
        <f>IF(AND(_3="B-757",'2026'!$J$4="CA",'2026'!$J$2=AV233),'2026DATA'!$E$19,"")</f>
        <v/>
      </c>
      <c r="AW250" s="518" t="str">
        <f>IF(AND(_3="B-757",'2026'!$J$4="CA",'2026'!$J$2=AW233),'2026DATA'!$F$19,"")</f>
        <v/>
      </c>
      <c r="AX250" s="518" t="str">
        <f>IF(AND(_3="B-757",'2026'!$J$4="CA",'2026'!$J$2=AX233),'2026DATA'!$G$19,"")</f>
        <v/>
      </c>
      <c r="AY250" s="518" t="str">
        <f>IF(AND(_3="B-757",'2026'!$J$4="CA",'2026'!$J$2=AY233),'2026DATA'!$H$19,"")</f>
        <v/>
      </c>
      <c r="AZ250" s="518" t="str">
        <f>IF(AND(_3="B-757",'2026'!$J$4="CA",'2026'!$J$2=AZ233),'2026DATA'!$I$19,"")</f>
        <v/>
      </c>
      <c r="BA250" s="518" t="str">
        <f>IF(AND(_3="B-757",'2026'!$J$4="CA",'2026'!$J$2=BA233),'2026DATA'!$J$19,"")</f>
        <v/>
      </c>
      <c r="BB250" s="518" t="str">
        <f>IF(AND(_3="B-757",'2026'!$J$4="CA",'2026'!$J$2=BB233),'2026DATA'!$K$19,"")</f>
        <v/>
      </c>
      <c r="BC250" s="518" t="str">
        <f>IF(AND(_3="B-757",'2026'!$J$4="CA",'2026'!$J$2=BC233),'2026DATA'!$L$19,"")</f>
        <v/>
      </c>
      <c r="BD250" s="518" t="str">
        <f>IF(AND(_3="B-757",'2026'!$J$4="CA",'2026'!$J$2=BD233),'2026DATA'!$M$19,"")</f>
        <v/>
      </c>
      <c r="BE250" s="520" t="str">
        <f>IF(AND(_3="B-757",'2026'!$J$4="CA",'2026'!$J$2=BE233),'2026DATA'!$N$19,"")</f>
        <v/>
      </c>
      <c r="BF250" s="940" t="s">
        <v>45</v>
      </c>
      <c r="BG250" s="13" t="s">
        <v>61</v>
      </c>
      <c r="BH250" s="518" t="str">
        <f>IF(AND(_4="B-757",'2026'!$J$4="CA",'2026'!$J$2=BH233),'2026DATA'!$C$19,"")</f>
        <v/>
      </c>
      <c r="BI250" s="518" t="str">
        <f>IF(AND(_4="B-757",'2026'!$J$4="CA",'2026'!$J$2=BI233),'2026DATA'!$D$19,"")</f>
        <v/>
      </c>
      <c r="BJ250" s="518" t="str">
        <f>IF(AND(_4="B-757",'2026'!$J$4="CA",'2026'!$J$2=BJ233),'2026DATA'!$E$19,"")</f>
        <v/>
      </c>
      <c r="BK250" s="518" t="str">
        <f>IF(AND(_4="B-757",'2026'!$J$4="CA",'2026'!$J$2=BK233),'2026DATA'!$F$19,"")</f>
        <v/>
      </c>
      <c r="BL250" s="518" t="str">
        <f>IF(AND(_4="B-757",'2026'!$J$4="CA",'2026'!$J$2=BL233),'2026DATA'!$G$19,"")</f>
        <v/>
      </c>
      <c r="BM250" s="518" t="str">
        <f>IF(AND(_4="B-757",'2026'!$J$4="CA",'2026'!$J$2=BM233),'2026DATA'!$H$19,"")</f>
        <v/>
      </c>
      <c r="BN250" s="518" t="str">
        <f>IF(AND(_4="B-757",'2026'!$J$4="CA",'2026'!$J$2=BN233),'2026DATA'!$I$19,"")</f>
        <v/>
      </c>
      <c r="BO250" s="518" t="str">
        <f>IF(AND(_4="B-757",'2026'!$J$4="CA",'2026'!$J$2=BO233),'2026DATA'!$J$19,"")</f>
        <v/>
      </c>
      <c r="BP250" s="518" t="str">
        <f>IF(AND(_4="B-757",'2026'!$J$4="CA",'2026'!$J$2=BP233),'2026DATA'!$K$19,"")</f>
        <v/>
      </c>
      <c r="BQ250" s="518" t="str">
        <f>IF(AND(_4="B-757",'2026'!$J$4="CA",'2026'!$J$2=BQ233),'2026DATA'!$L$19,"")</f>
        <v/>
      </c>
      <c r="BR250" s="518" t="str">
        <f>IF(AND(_4="B-757",'2026'!$J$4="CA",'2026'!$J$2=BR233),'2026DATA'!$M$19,"")</f>
        <v/>
      </c>
      <c r="BS250" s="520" t="str">
        <f>IF(AND(_4="B-757",'2026'!$J$4="CA",'2026'!$J$2=BS233),'2026DATA'!$N$19,"")</f>
        <v/>
      </c>
      <c r="BT250" s="940" t="s">
        <v>45</v>
      </c>
      <c r="BU250" s="13" t="s">
        <v>61</v>
      </c>
      <c r="BV250" s="518" t="str">
        <f>IF(AND(_5="B-757",'2026'!$J$4="CA",'2026'!$J$2=BV233),'2026DATA'!$C$19,"")</f>
        <v/>
      </c>
      <c r="BW250" s="518" t="str">
        <f>IF(AND(_5="B-757",'2026'!$J$4="CA",'2026'!$J$2=BW233),'2026DATA'!$D$19,"")</f>
        <v/>
      </c>
      <c r="BX250" s="518" t="str">
        <f>IF(AND(_5="B-757",'2026'!$J$4="CA",'2026'!$J$2=BX233),'2026DATA'!$E$19,"")</f>
        <v/>
      </c>
      <c r="BY250" s="518" t="str">
        <f>IF(AND(_5="B-757",'2026'!$J$4="CA",'2026'!$J$2=BY233),'2026DATA'!$F$19,"")</f>
        <v/>
      </c>
      <c r="BZ250" s="518" t="str">
        <f>IF(AND(_5="B-757",'2026'!$J$4="CA",'2026'!$J$2=BZ233),'2026DATA'!$G$19,"")</f>
        <v/>
      </c>
      <c r="CA250" s="518" t="str">
        <f>IF(AND(_5="B-757",'2026'!$J$4="CA",'2026'!$J$2=CA233),'2026DATA'!$H$19,"")</f>
        <v/>
      </c>
      <c r="CB250" s="518" t="str">
        <f>IF(AND(_5="B-757",'2026'!$J$4="CA",'2026'!$J$2=CB233),'2026DATA'!$I$19,"")</f>
        <v/>
      </c>
      <c r="CC250" s="518" t="str">
        <f>IF(AND(_5="B-757",'2026'!$J$4="CA",'2026'!$J$2=CC233),'2026DATA'!$J$19,"")</f>
        <v/>
      </c>
      <c r="CD250" s="518" t="str">
        <f>IF(AND(_5="B-757",'2026'!$J$4="CA",'2026'!$J$2=CD233),'2026DATA'!$K$19,"")</f>
        <v/>
      </c>
      <c r="CE250" s="518" t="str">
        <f>IF(AND(_5="B-757",'2026'!$J$4="CA",'2026'!$J$2=CE233),'2026DATA'!$L$19,"")</f>
        <v/>
      </c>
      <c r="CF250" s="518" t="str">
        <f>IF(AND(_5="B-757",'2026'!$J$4="CA",'2026'!$J$2=CF233),'2026DATA'!$M$19,"")</f>
        <v/>
      </c>
      <c r="CG250" s="520" t="str">
        <f>IF(AND(_5="B-757",'2026'!$J$4="CA",'2026'!$J$2=CG233),'2026DATA'!$N$19,"")</f>
        <v/>
      </c>
      <c r="CH250" s="940" t="s">
        <v>45</v>
      </c>
      <c r="CI250" s="13" t="s">
        <v>61</v>
      </c>
      <c r="CJ250" s="518" t="str">
        <f>IF(AND(_6="B-757",'2026'!$J$4="CA",'2026'!$J$2=CJ233),'2026DATA'!$C$19,"")</f>
        <v/>
      </c>
      <c r="CK250" s="518" t="str">
        <f>IF(AND(_6="B-757",'2026'!$J$4="CA",'2026'!$J$2=CK233),'2026DATA'!$D$19,"")</f>
        <v/>
      </c>
      <c r="CL250" s="518" t="str">
        <f>IF(AND(_6="B-757",'2026'!$J$4="CA",'2026'!$J$2=CL233),'2026DATA'!$E$19,"")</f>
        <v/>
      </c>
      <c r="CM250" s="518" t="str">
        <f>IF(AND(_6="B-757",'2026'!$J$4="CA",'2026'!$J$2=CM233),'2026DATA'!$F$19,"")</f>
        <v/>
      </c>
      <c r="CN250" s="518" t="str">
        <f>IF(AND(_6="B-757",'2026'!$J$4="CA",'2026'!$J$2=CN233),'2026DATA'!$G$19,"")</f>
        <v/>
      </c>
      <c r="CO250" s="518" t="str">
        <f>IF(AND(_6="B-757",'2026'!$J$4="CA",'2026'!$J$2=CO233),'2026DATA'!$H$19,"")</f>
        <v/>
      </c>
      <c r="CP250" s="518" t="str">
        <f>IF(AND(_6="B-757",'2026'!$J$4="CA",'2026'!$J$2=CP233),'2026DATA'!$I$19,"")</f>
        <v/>
      </c>
      <c r="CQ250" s="518" t="str">
        <f>IF(AND(_6="B-757",'2026'!$J$4="CA",'2026'!$J$2=CQ233),'2026DATA'!$J$19,"")</f>
        <v/>
      </c>
      <c r="CR250" s="518" t="str">
        <f>IF(AND(_6="B-757",'2026'!$J$4="CA",'2026'!$J$2=CR233),'2026DATA'!$K$19,"")</f>
        <v/>
      </c>
      <c r="CS250" s="518" t="str">
        <f>IF(AND(_6="B-757",'2026'!$J$4="CA",'2026'!$J$2=CS233),'2026DATA'!$L$19,"")</f>
        <v/>
      </c>
      <c r="CT250" s="518" t="str">
        <f>IF(AND(_6="B-757",'2026'!$J$4="CA",'2026'!$J$2=CT233),'2026DATA'!$M$19,"")</f>
        <v/>
      </c>
      <c r="CU250" s="520" t="str">
        <f>IF(AND(_6="B-757",'2026'!$J$4="CA",'2026'!$J$2=CU233),'2026DATA'!$N$19,"")</f>
        <v/>
      </c>
    </row>
    <row r="251" spans="16:99" x14ac:dyDescent="0.25">
      <c r="P251" s="940"/>
      <c r="Q251" s="13" t="s">
        <v>62</v>
      </c>
      <c r="R251" s="518" t="str">
        <f>IF(AND(_1="B-757",'2026'!$J$4="FO",'2026'!$J$2=R233),'2026DATA'!$C$20,"")</f>
        <v/>
      </c>
      <c r="S251" s="518" t="str">
        <f>IF(AND(_1="B-757",'2026'!$J$4="FO",'2026'!$J$2=S233),'2026DATA'!$D$20,"")</f>
        <v/>
      </c>
      <c r="T251" s="518" t="str">
        <f>IF(AND(_1="B-757",'2026'!$J$4="FO",'2026'!$J$2=T233),'2026DATA'!$E$20,"")</f>
        <v/>
      </c>
      <c r="U251" s="518" t="str">
        <f>IF(AND(_1="B-757",'2026'!$J$4="FO",'2026'!$J$2=U233),'2026DATA'!$F$20,"")</f>
        <v/>
      </c>
      <c r="V251" s="518" t="str">
        <f>IF(AND(_1="B-757",'2026'!$J$4="FO",'2026'!$J$2=V233),'2026DATA'!$G$20,"")</f>
        <v/>
      </c>
      <c r="W251" s="518" t="str">
        <f>IF(AND(_1="B-757",'2026'!$J$4="FO",'2026'!$J$2=W233),'2026DATA'!$H$20,"")</f>
        <v/>
      </c>
      <c r="X251" s="518" t="str">
        <f>IF(AND(_1="B-757",'2026'!$J$4="FO",'2026'!$J$2=X233),'2026DATA'!$I$20,"")</f>
        <v/>
      </c>
      <c r="Y251" s="518" t="str">
        <f>IF(AND(_1="B-757",'2026'!$J$4="FO",'2026'!$J$2=Y233),'2026DATA'!$J$20,"")</f>
        <v/>
      </c>
      <c r="Z251" s="518" t="str">
        <f>IF(AND(_1="B-757",'2026'!$J$4="FO",'2026'!$J$2=Z233),'2026DATA'!$K$20,"")</f>
        <v/>
      </c>
      <c r="AA251" s="518" t="str">
        <f>IF(AND(_1="B-757",'2026'!$J$4="FO",'2026'!$J$2=AA233),'2026DATA'!$L$20,"")</f>
        <v/>
      </c>
      <c r="AB251" s="518" t="str">
        <f>IF(AND(_1="B-757",'2026'!$J$4="FO",'2026'!$J$2=AB233),'2026DATA'!$M$20,"")</f>
        <v/>
      </c>
      <c r="AC251" s="520" t="str">
        <f>IF(AND(_1="B-757",'2026'!$J$4="FO",'2026'!$J$2=AC233),'2026DATA'!$N$20,"")</f>
        <v/>
      </c>
      <c r="AD251" s="940"/>
      <c r="AE251" s="13" t="s">
        <v>62</v>
      </c>
      <c r="AF251" s="518" t="str">
        <f>IF(AND(_2="B-757",'2026'!$J$4="FO",'2026'!$J$2=AF233),'2026DATA'!$C$20,"")</f>
        <v/>
      </c>
      <c r="AG251" s="518" t="str">
        <f>IF(AND(_2="B-757",'2026'!$J$4="FO",'2026'!$J$2=AG233),'2026DATA'!$D$20,"")</f>
        <v/>
      </c>
      <c r="AH251" s="518" t="str">
        <f>IF(AND(_2="B-757",'2026'!$J$4="FO",'2026'!$J$2=AH233),'2026DATA'!$E$20,"")</f>
        <v/>
      </c>
      <c r="AI251" s="518" t="str">
        <f>IF(AND(_2="B-757",'2026'!$J$4="FO",'2026'!$J$2=AI233),'2026DATA'!$F$20,"")</f>
        <v/>
      </c>
      <c r="AJ251" s="518" t="str">
        <f>IF(AND(_2="B-757",'2026'!$J$4="FO",'2026'!$J$2=AJ233),'2026DATA'!$G$20,"")</f>
        <v/>
      </c>
      <c r="AK251" s="518" t="str">
        <f>IF(AND(_2="B-757",'2026'!$J$4="FO",'2026'!$J$2=AK233),'2026DATA'!$H$20,"")</f>
        <v/>
      </c>
      <c r="AL251" s="518" t="str">
        <f>IF(AND(_2="B-757",'2026'!$J$4="FO",'2026'!$J$2=AL233),'2026DATA'!$I$20,"")</f>
        <v/>
      </c>
      <c r="AM251" s="518" t="str">
        <f>IF(AND(_2="B-757",'2026'!$J$4="FO",'2026'!$J$2=AM233),'2026DATA'!$J$20,"")</f>
        <v/>
      </c>
      <c r="AN251" s="518" t="str">
        <f>IF(AND(_2="B-757",'2026'!$J$4="FO",'2026'!$J$2=AN233),'2026DATA'!$K$20,"")</f>
        <v/>
      </c>
      <c r="AO251" s="518" t="str">
        <f>IF(AND(_2="B-757",'2026'!$J$4="FO",'2026'!$J$2=AO233),'2026DATA'!$L$20,"")</f>
        <v/>
      </c>
      <c r="AP251" s="518" t="str">
        <f>IF(AND(_2="B-757",'2026'!$J$4="FO",'2026'!$J$2=AP233),'2026DATA'!$M$20,"")</f>
        <v/>
      </c>
      <c r="AQ251" s="520" t="str">
        <f>IF(AND(_2="B-757",'2026'!$J$4="FO",'2026'!$J$2=AQ233),'2026DATA'!$N$20,"")</f>
        <v/>
      </c>
      <c r="AR251" s="940"/>
      <c r="AS251" s="13" t="s">
        <v>62</v>
      </c>
      <c r="AT251" s="518" t="str">
        <f>IF(AND(_3="B-757",'2026'!$J$4="FO",'2026'!$J$2=AT233),'2026DATA'!$C$20,"")</f>
        <v/>
      </c>
      <c r="AU251" s="518" t="str">
        <f>IF(AND(_3="B-757",'2026'!$J$4="FO",'2026'!$J$2=AU233),'2026DATA'!$D$20,"")</f>
        <v/>
      </c>
      <c r="AV251" s="518" t="str">
        <f>IF(AND(_3="B-757",'2026'!$J$4="FO",'2026'!$J$2=AV233),'2026DATA'!$E$20,"")</f>
        <v/>
      </c>
      <c r="AW251" s="518" t="str">
        <f>IF(AND(_3="B-757",'2026'!$J$4="FO",'2026'!$J$2=AW233),'2026DATA'!$F$20,"")</f>
        <v/>
      </c>
      <c r="AX251" s="518" t="str">
        <f>IF(AND(_3="B-757",'2026'!$J$4="FO",'2026'!$J$2=AX233),'2026DATA'!$G$20,"")</f>
        <v/>
      </c>
      <c r="AY251" s="518" t="str">
        <f>IF(AND(_3="B-757",'2026'!$J$4="FO",'2026'!$J$2=AY233),'2026DATA'!$H$20,"")</f>
        <v/>
      </c>
      <c r="AZ251" s="518" t="str">
        <f>IF(AND(_3="B-757",'2026'!$J$4="FO",'2026'!$J$2=AZ233),'2026DATA'!$I$20,"")</f>
        <v/>
      </c>
      <c r="BA251" s="518" t="str">
        <f>IF(AND(_3="B-757",'2026'!$J$4="FO",'2026'!$J$2=BA233),'2026DATA'!$J$20,"")</f>
        <v/>
      </c>
      <c r="BB251" s="518" t="str">
        <f>IF(AND(_3="B-757",'2026'!$J$4="FO",'2026'!$J$2=BB233),'2026DATA'!$K$20,"")</f>
        <v/>
      </c>
      <c r="BC251" s="518" t="str">
        <f>IF(AND(_3="B-757",'2026'!$J$4="FO",'2026'!$J$2=BC233),'2026DATA'!$L$20,"")</f>
        <v/>
      </c>
      <c r="BD251" s="518" t="str">
        <f>IF(AND(_3="B-757",'2026'!$J$4="FO",'2026'!$J$2=BD233),'2026DATA'!$M$20,"")</f>
        <v/>
      </c>
      <c r="BE251" s="520" t="str">
        <f>IF(AND(_3="B-757",'2026'!$J$4="FO",'2026'!$J$2=BE233),'2026DATA'!$N$20,"")</f>
        <v/>
      </c>
      <c r="BF251" s="940"/>
      <c r="BG251" s="13" t="s">
        <v>62</v>
      </c>
      <c r="BH251" s="518" t="str">
        <f>IF(AND(_4="B-757",'2026'!$J$4="FO",'2026'!$J$2=BH233),'2026DATA'!$C$20,"")</f>
        <v/>
      </c>
      <c r="BI251" s="518" t="str">
        <f>IF(AND(_4="B-757",'2026'!$J$4="FO",'2026'!$J$2=BI233),'2026DATA'!$D$20,"")</f>
        <v/>
      </c>
      <c r="BJ251" s="518" t="str">
        <f>IF(AND(_4="B-757",'2026'!$J$4="FO",'2026'!$J$2=BJ233),'2026DATA'!$E$20,"")</f>
        <v/>
      </c>
      <c r="BK251" s="518" t="str">
        <f>IF(AND(_4="B-757",'2026'!$J$4="FO",'2026'!$J$2=BK233),'2026DATA'!$F$20,"")</f>
        <v/>
      </c>
      <c r="BL251" s="518" t="str">
        <f>IF(AND(_4="B-757",'2026'!$J$4="FO",'2026'!$J$2=BL233),'2026DATA'!$G$20,"")</f>
        <v/>
      </c>
      <c r="BM251" s="518" t="str">
        <f>IF(AND(_4="B-757",'2026'!$J$4="FO",'2026'!$J$2=BM233),'2026DATA'!$H$20,"")</f>
        <v/>
      </c>
      <c r="BN251" s="518" t="str">
        <f>IF(AND(_4="B-757",'2026'!$J$4="FO",'2026'!$J$2=BN233),'2026DATA'!$I$20,"")</f>
        <v/>
      </c>
      <c r="BO251" s="518" t="str">
        <f>IF(AND(_4="B-757",'2026'!$J$4="FO",'2026'!$J$2=BO233),'2026DATA'!$J$20,"")</f>
        <v/>
      </c>
      <c r="BP251" s="518" t="str">
        <f>IF(AND(_4="B-757",'2026'!$J$4="FO",'2026'!$J$2=BP233),'2026DATA'!$K$20,"")</f>
        <v/>
      </c>
      <c r="BQ251" s="518" t="str">
        <f>IF(AND(_4="B-757",'2026'!$J$4="FO",'2026'!$J$2=BQ233),'2026DATA'!$L$20,"")</f>
        <v/>
      </c>
      <c r="BR251" s="518" t="str">
        <f>IF(AND(_4="B-757",'2026'!$J$4="FO",'2026'!$J$2=BR233),'2026DATA'!$M$20,"")</f>
        <v/>
      </c>
      <c r="BS251" s="520" t="str">
        <f>IF(AND(_4="B-757",'2026'!$J$4="FO",'2026'!$J$2=BS233),'2026DATA'!$N$20,"")</f>
        <v/>
      </c>
      <c r="BT251" s="940"/>
      <c r="BU251" s="13" t="s">
        <v>62</v>
      </c>
      <c r="BV251" s="518" t="str">
        <f>IF(AND(_5="B-757",'2026'!$J$4="FO",'2026'!$J$2=BV233),'2026DATA'!$C$20,"")</f>
        <v/>
      </c>
      <c r="BW251" s="518" t="str">
        <f>IF(AND(_5="B-757",'2026'!$J$4="FO",'2026'!$J$2=BW233),'2026DATA'!$D$20,"")</f>
        <v/>
      </c>
      <c r="BX251" s="518" t="str">
        <f>IF(AND(_5="B-757",'2026'!$J$4="FO",'2026'!$J$2=BX233),'2026DATA'!$E$20,"")</f>
        <v/>
      </c>
      <c r="BY251" s="518" t="str">
        <f>IF(AND(_5="B-757",'2026'!$J$4="FO",'2026'!$J$2=BY233),'2026DATA'!$F$20,"")</f>
        <v/>
      </c>
      <c r="BZ251" s="518" t="str">
        <f>IF(AND(_5="B-757",'2026'!$J$4="FO",'2026'!$J$2=BZ233),'2026DATA'!$G$20,"")</f>
        <v/>
      </c>
      <c r="CA251" s="518" t="str">
        <f>IF(AND(_5="B-757",'2026'!$J$4="FO",'2026'!$J$2=CA233),'2026DATA'!$H$20,"")</f>
        <v/>
      </c>
      <c r="CB251" s="518" t="str">
        <f>IF(AND(_5="B-757",'2026'!$J$4="FO",'2026'!$J$2=CB233),'2026DATA'!$I$20,"")</f>
        <v/>
      </c>
      <c r="CC251" s="518" t="str">
        <f>IF(AND(_5="B-757",'2026'!$J$4="FO",'2026'!$J$2=CC233),'2026DATA'!$J$20,"")</f>
        <v/>
      </c>
      <c r="CD251" s="518" t="str">
        <f>IF(AND(_5="B-757",'2026'!$J$4="FO",'2026'!$J$2=CD233),'2026DATA'!$K$20,"")</f>
        <v/>
      </c>
      <c r="CE251" s="518" t="str">
        <f>IF(AND(_5="B-757",'2026'!$J$4="FO",'2026'!$J$2=CE233),'2026DATA'!$L$20,"")</f>
        <v/>
      </c>
      <c r="CF251" s="518" t="str">
        <f>IF(AND(_5="B-757",'2026'!$J$4="FO",'2026'!$J$2=CF233),'2026DATA'!$M$20,"")</f>
        <v/>
      </c>
      <c r="CG251" s="520" t="str">
        <f>IF(AND(_5="B-757",'2026'!$J$4="FO",'2026'!$J$2=CG233),'2026DATA'!$N$20,"")</f>
        <v/>
      </c>
      <c r="CH251" s="940"/>
      <c r="CI251" s="13" t="s">
        <v>62</v>
      </c>
      <c r="CJ251" s="518" t="str">
        <f>IF(AND(_6="B-757",'2026'!$J$4="FO",'2026'!$J$2=CJ233),'2026DATA'!$C$20,"")</f>
        <v/>
      </c>
      <c r="CK251" s="518" t="str">
        <f>IF(AND(_6="B-757",'2026'!$J$4="FO",'2026'!$J$2=CK233),'2026DATA'!$D$20,"")</f>
        <v/>
      </c>
      <c r="CL251" s="518" t="str">
        <f>IF(AND(_6="B-757",'2026'!$J$4="FO",'2026'!$J$2=CL233),'2026DATA'!$E$20,"")</f>
        <v/>
      </c>
      <c r="CM251" s="518" t="str">
        <f>IF(AND(_6="B-757",'2026'!$J$4="FO",'2026'!$J$2=CM233),'2026DATA'!$F$20,"")</f>
        <v/>
      </c>
      <c r="CN251" s="518" t="str">
        <f>IF(AND(_6="B-757",'2026'!$J$4="FO",'2026'!$J$2=CN233),'2026DATA'!$G$20,"")</f>
        <v/>
      </c>
      <c r="CO251" s="518" t="str">
        <f>IF(AND(_6="B-757",'2026'!$J$4="FO",'2026'!$J$2=CO233),'2026DATA'!$H$20,"")</f>
        <v/>
      </c>
      <c r="CP251" s="518" t="str">
        <f>IF(AND(_6="B-757",'2026'!$J$4="FO",'2026'!$J$2=CP233),'2026DATA'!$I$20,"")</f>
        <v/>
      </c>
      <c r="CQ251" s="518" t="str">
        <f>IF(AND(_6="B-757",'2026'!$J$4="FO",'2026'!$J$2=CQ233),'2026DATA'!$J$20,"")</f>
        <v/>
      </c>
      <c r="CR251" s="518" t="str">
        <f>IF(AND(_6="B-757",'2026'!$J$4="FO",'2026'!$J$2=CR233),'2026DATA'!$K$20,"")</f>
        <v/>
      </c>
      <c r="CS251" s="518" t="str">
        <f>IF(AND(_6="B-757",'2026'!$J$4="FO",'2026'!$J$2=CS233),'2026DATA'!$L$20,"")</f>
        <v/>
      </c>
      <c r="CT251" s="518" t="str">
        <f>IF(AND(_6="B-757",'2026'!$J$4="FO",'2026'!$J$2=CT233),'2026DATA'!$M$20,"")</f>
        <v/>
      </c>
      <c r="CU251" s="520" t="str">
        <f>IF(AND(_6="B-757",'2026'!$J$4="FO",'2026'!$J$2=CU233),'2026DATA'!$N$20,"")</f>
        <v/>
      </c>
    </row>
    <row r="252" spans="16:99" x14ac:dyDescent="0.25">
      <c r="P252" s="940" t="s">
        <v>47</v>
      </c>
      <c r="Q252" s="13" t="s">
        <v>61</v>
      </c>
      <c r="R252" s="518" t="str">
        <f>IF(AND(_1="B-737-900",'2026'!$J$4="CA",'2026'!$J$2=R233),'2026DATA'!$C$21,"")</f>
        <v/>
      </c>
      <c r="S252" s="518" t="str">
        <f>IF(AND(_1="B-737-900",'2026'!$J$4="CA",'2026'!$J$2=S233),'2026DATA'!$D$21,"")</f>
        <v/>
      </c>
      <c r="T252" s="518" t="str">
        <f>IF(AND(_1="B-737-900",'2026'!$J$4="CA",'2026'!$J$2=T233),'2026DATA'!$E$21,"")</f>
        <v/>
      </c>
      <c r="U252" s="518" t="str">
        <f>IF(AND(_1="B-737-900",'2026'!$J$4="CA",'2026'!$J$2=U233),'2026DATA'!$F$21,"")</f>
        <v/>
      </c>
      <c r="V252" s="518" t="str">
        <f>IF(AND(_1="B-737-900",'2026'!$J$4="CA",'2026'!$J$2=V233),'2026DATA'!$G$21,"")</f>
        <v/>
      </c>
      <c r="W252" s="518" t="str">
        <f>IF(AND(_1="B-737-900",'2026'!$J$4="CA",'2026'!$J$2=W233),'2026DATA'!$H$21,"")</f>
        <v/>
      </c>
      <c r="X252" s="518" t="str">
        <f>IF(AND(_1="B-737-900",'2026'!$J$4="CA",'2026'!$J$2=X233),'2026DATA'!$I$21,"")</f>
        <v/>
      </c>
      <c r="Y252" s="518" t="str">
        <f>IF(AND(_1="B-737-900",'2026'!$J$4="CA",'2026'!$J$2=Y233),'2026DATA'!$J$21,"")</f>
        <v/>
      </c>
      <c r="Z252" s="518" t="str">
        <f>IF(AND(_1="B-737-900",'2026'!$J$4="CA",'2026'!$J$2=Z233),'2026DATA'!$K$21,"")</f>
        <v/>
      </c>
      <c r="AA252" s="518" t="str">
        <f>IF(AND(_1="B-737-900",'2026'!$J$4="CA",'2026'!$J$2=AA233),'2026DATA'!$L$21,"")</f>
        <v/>
      </c>
      <c r="AB252" s="518" t="str">
        <f>IF(AND(_1="B-737-900",'2026'!$J$4="CA",'2026'!$J$2=AB233),'2026DATA'!$M$21,"")</f>
        <v/>
      </c>
      <c r="AC252" s="520" t="str">
        <f>IF(AND(_1="B-737-900",'2026'!$J$4="CA",'2026'!$J$2=AC233),'2026DATA'!$N$21,"")</f>
        <v/>
      </c>
      <c r="AD252" s="940" t="s">
        <v>47</v>
      </c>
      <c r="AE252" s="13" t="s">
        <v>61</v>
      </c>
      <c r="AF252" s="518" t="str">
        <f>IF(AND(_2="B-737-900",'2026'!$J$4="CA",'2026'!$J$2=AF233),'2026DATA'!$C$21,"")</f>
        <v/>
      </c>
      <c r="AG252" s="518" t="str">
        <f>IF(AND(_2="B-737-900",'2026'!$J$4="CA",'2026'!$J$2=AG233),'2026DATA'!$D$21,"")</f>
        <v/>
      </c>
      <c r="AH252" s="518" t="str">
        <f>IF(AND(_2="B-737-900",'2026'!$J$4="CA",'2026'!$J$2=AH233),'2026DATA'!$E$21,"")</f>
        <v/>
      </c>
      <c r="AI252" s="518" t="str">
        <f>IF(AND(_2="B-737-900",'2026'!$J$4="CA",'2026'!$J$2=AI233),'2026DATA'!$F$21,"")</f>
        <v/>
      </c>
      <c r="AJ252" s="518" t="str">
        <f>IF(AND(_2="B-737-900",'2026'!$J$4="CA",'2026'!$J$2=AJ233),'2026DATA'!$G$21,"")</f>
        <v/>
      </c>
      <c r="AK252" s="518" t="str">
        <f>IF(AND(_2="B-737-900",'2026'!$J$4="CA",'2026'!$J$2=AK233),'2026DATA'!$H$21,"")</f>
        <v/>
      </c>
      <c r="AL252" s="518" t="str">
        <f>IF(AND(_2="B-737-900",'2026'!$J$4="CA",'2026'!$J$2=AL233),'2026DATA'!$I$21,"")</f>
        <v/>
      </c>
      <c r="AM252" s="518" t="str">
        <f>IF(AND(_2="B-737-900",'2026'!$J$4="CA",'2026'!$J$2=AM233),'2026DATA'!$J$21,"")</f>
        <v/>
      </c>
      <c r="AN252" s="518" t="str">
        <f>IF(AND(_2="B-737-900",'2026'!$J$4="CA",'2026'!$J$2=AN233),'2026DATA'!$K$21,"")</f>
        <v/>
      </c>
      <c r="AO252" s="518" t="str">
        <f>IF(AND(_2="B-737-900",'2026'!$J$4="CA",'2026'!$J$2=AO233),'2026DATA'!$L$21,"")</f>
        <v/>
      </c>
      <c r="AP252" s="518" t="str">
        <f>IF(AND(_2="B-737-900",'2026'!$J$4="CA",'2026'!$J$2=AP233),'2026DATA'!$M$21,"")</f>
        <v/>
      </c>
      <c r="AQ252" s="520" t="str">
        <f>IF(AND(_2="B-737-900",'2026'!$J$4="CA",'2026'!$J$2=AQ233),'2026DATA'!$N$21,"")</f>
        <v/>
      </c>
      <c r="AR252" s="940" t="s">
        <v>47</v>
      </c>
      <c r="AS252" s="13" t="s">
        <v>61</v>
      </c>
      <c r="AT252" s="518" t="str">
        <f>IF(AND(_3="B-737-900",'2026'!$J$4="CA",'2026'!$J$2=AT233),'2026DATA'!$C$21,"")</f>
        <v/>
      </c>
      <c r="AU252" s="518" t="str">
        <f>IF(AND(_3="B-737-900",'2026'!$J$4="CA",'2026'!$J$2=AU233),'2026DATA'!$D$21,"")</f>
        <v/>
      </c>
      <c r="AV252" s="518" t="str">
        <f>IF(AND(_3="B-737-900",'2026'!$J$4="CA",'2026'!$J$2=AV233),'2026DATA'!$E$21,"")</f>
        <v/>
      </c>
      <c r="AW252" s="518" t="str">
        <f>IF(AND(_3="B-737-900",'2026'!$J$4="CA",'2026'!$J$2=AW233),'2026DATA'!$F$21,"")</f>
        <v/>
      </c>
      <c r="AX252" s="518" t="str">
        <f>IF(AND(_3="B-737-900",'2026'!$J$4="CA",'2026'!$J$2=AX233),'2026DATA'!$G$21,"")</f>
        <v/>
      </c>
      <c r="AY252" s="518" t="str">
        <f>IF(AND(_3="B-737-900",'2026'!$J$4="CA",'2026'!$J$2=AY233),'2026DATA'!$H$21,"")</f>
        <v/>
      </c>
      <c r="AZ252" s="518" t="str">
        <f>IF(AND(_3="B-737-900",'2026'!$J$4="CA",'2026'!$J$2=AZ233),'2026DATA'!$I$21,"")</f>
        <v/>
      </c>
      <c r="BA252" s="518" t="str">
        <f>IF(AND(_3="B-737-900",'2026'!$J$4="CA",'2026'!$J$2=BA233),'2026DATA'!$J$21,"")</f>
        <v/>
      </c>
      <c r="BB252" s="518" t="str">
        <f>IF(AND(_3="B-737-900",'2026'!$J$4="CA",'2026'!$J$2=BB233),'2026DATA'!$K$21,"")</f>
        <v/>
      </c>
      <c r="BC252" s="518" t="str">
        <f>IF(AND(_3="B-737-900",'2026'!$J$4="CA",'2026'!$J$2=BC233),'2026DATA'!$L$21,"")</f>
        <v/>
      </c>
      <c r="BD252" s="518" t="str">
        <f>IF(AND(_3="B-737-900",'2026'!$J$4="CA",'2026'!$J$2=BD233),'2026DATA'!$M$21,"")</f>
        <v/>
      </c>
      <c r="BE252" s="520" t="str">
        <f>IF(AND(_3="B-737-900",'2026'!$J$4="CA",'2026'!$J$2=BE233),'2026DATA'!$N$21,"")</f>
        <v/>
      </c>
      <c r="BF252" s="940" t="s">
        <v>47</v>
      </c>
      <c r="BG252" s="13" t="s">
        <v>61</v>
      </c>
      <c r="BH252" s="518" t="str">
        <f>IF(AND(_4="B-737-900",'2026'!$J$4="CA",'2026'!$J$2=BH233),'2026DATA'!$C$21,"")</f>
        <v/>
      </c>
      <c r="BI252" s="518" t="str">
        <f>IF(AND(_4="B-737-900",'2026'!$J$4="CA",'2026'!$J$2=BI233),'2026DATA'!$D$21,"")</f>
        <v/>
      </c>
      <c r="BJ252" s="518" t="str">
        <f>IF(AND(_4="B-737-900",'2026'!$J$4="CA",'2026'!$J$2=BJ233),'2026DATA'!$E$21,"")</f>
        <v/>
      </c>
      <c r="BK252" s="518" t="str">
        <f>IF(AND(_4="B-737-900",'2026'!$J$4="CA",'2026'!$J$2=BK233),'2026DATA'!$F$21,"")</f>
        <v/>
      </c>
      <c r="BL252" s="518" t="str">
        <f>IF(AND(_4="B-737-900",'2026'!$J$4="CA",'2026'!$J$2=BL233),'2026DATA'!$G$21,"")</f>
        <v/>
      </c>
      <c r="BM252" s="518" t="str">
        <f>IF(AND(_4="B-737-900",'2026'!$J$4="CA",'2026'!$J$2=BM233),'2026DATA'!$H$21,"")</f>
        <v/>
      </c>
      <c r="BN252" s="518" t="str">
        <f>IF(AND(_4="B-737-900",'2026'!$J$4="CA",'2026'!$J$2=BN233),'2026DATA'!$I$21,"")</f>
        <v/>
      </c>
      <c r="BO252" s="518" t="str">
        <f>IF(AND(_4="B-737-900",'2026'!$J$4="CA",'2026'!$J$2=BO233),'2026DATA'!$J$21,"")</f>
        <v/>
      </c>
      <c r="BP252" s="518" t="str">
        <f>IF(AND(_4="B-737-900",'2026'!$J$4="CA",'2026'!$J$2=BP233),'2026DATA'!$K$21,"")</f>
        <v/>
      </c>
      <c r="BQ252" s="518" t="str">
        <f>IF(AND(_4="B-737-900",'2026'!$J$4="CA",'2026'!$J$2=BQ233),'2026DATA'!$L$21,"")</f>
        <v/>
      </c>
      <c r="BR252" s="518" t="str">
        <f>IF(AND(_4="B-737-900",'2026'!$J$4="CA",'2026'!$J$2=BR233),'2026DATA'!$M$21,"")</f>
        <v/>
      </c>
      <c r="BS252" s="520" t="str">
        <f>IF(AND(_4="B-737-900",'2026'!$J$4="CA",'2026'!$J$2=BS233),'2026DATA'!$N$21,"")</f>
        <v/>
      </c>
      <c r="BT252" s="940" t="s">
        <v>47</v>
      </c>
      <c r="BU252" s="13" t="s">
        <v>61</v>
      </c>
      <c r="BV252" s="518" t="str">
        <f>IF(AND(_5="B-737-900",'2026'!$J$4="CA",'2026'!$J$2=BV233),'2026DATA'!$C$21,"")</f>
        <v/>
      </c>
      <c r="BW252" s="518" t="str">
        <f>IF(AND(_5="B-737-900",'2026'!$J$4="CA",'2026'!$J$2=BW233),'2026DATA'!$D$21,"")</f>
        <v/>
      </c>
      <c r="BX252" s="518" t="str">
        <f>IF(AND(_5="B-737-900",'2026'!$J$4="CA",'2026'!$J$2=BX233),'2026DATA'!$E$21,"")</f>
        <v/>
      </c>
      <c r="BY252" s="518" t="str">
        <f>IF(AND(_5="B-737-900",'2026'!$J$4="CA",'2026'!$J$2=BY233),'2026DATA'!$F$21,"")</f>
        <v/>
      </c>
      <c r="BZ252" s="518" t="str">
        <f>IF(AND(_5="B-737-900",'2026'!$J$4="CA",'2026'!$J$2=BZ233),'2026DATA'!$G$21,"")</f>
        <v/>
      </c>
      <c r="CA252" s="518" t="str">
        <f>IF(AND(_5="B-737-900",'2026'!$J$4="CA",'2026'!$J$2=CA233),'2026DATA'!$H$21,"")</f>
        <v/>
      </c>
      <c r="CB252" s="518" t="str">
        <f>IF(AND(_5="B-737-900",'2026'!$J$4="CA",'2026'!$J$2=CB233),'2026DATA'!$I$21,"")</f>
        <v/>
      </c>
      <c r="CC252" s="518" t="str">
        <f>IF(AND(_5="B-737-900",'2026'!$J$4="CA",'2026'!$J$2=CC233),'2026DATA'!$J$21,"")</f>
        <v/>
      </c>
      <c r="CD252" s="518" t="str">
        <f>IF(AND(_5="B-737-900",'2026'!$J$4="CA",'2026'!$J$2=CD233),'2026DATA'!$K$21,"")</f>
        <v/>
      </c>
      <c r="CE252" s="518" t="str">
        <f>IF(AND(_5="B-737-900",'2026'!$J$4="CA",'2026'!$J$2=CE233),'2026DATA'!$L$21,"")</f>
        <v/>
      </c>
      <c r="CF252" s="518" t="str">
        <f>IF(AND(_5="B-737-900",'2026'!$J$4="CA",'2026'!$J$2=CF233),'2026DATA'!$M$21,"")</f>
        <v/>
      </c>
      <c r="CG252" s="520" t="str">
        <f>IF(AND(_5="B-737-900",'2026'!$J$4="CA",'2026'!$J$2=CG233),'2026DATA'!$N$21,"")</f>
        <v/>
      </c>
      <c r="CH252" s="940" t="s">
        <v>47</v>
      </c>
      <c r="CI252" s="13" t="s">
        <v>61</v>
      </c>
      <c r="CJ252" s="518" t="str">
        <f>IF(AND(_6="B-737-900",'2026'!$J$4="CA",'2026'!$J$2=CJ233),'2026DATA'!$C$21,"")</f>
        <v/>
      </c>
      <c r="CK252" s="518" t="str">
        <f>IF(AND(_6="B-737-900",'2026'!$J$4="CA",'2026'!$J$2=CK233),'2026DATA'!$D$21,"")</f>
        <v/>
      </c>
      <c r="CL252" s="518" t="str">
        <f>IF(AND(_6="B-737-900",'2026'!$J$4="CA",'2026'!$J$2=CL233),'2026DATA'!$E$21,"")</f>
        <v/>
      </c>
      <c r="CM252" s="518" t="str">
        <f>IF(AND(_6="B-737-900",'2026'!$J$4="CA",'2026'!$J$2=CM233),'2026DATA'!$F$21,"")</f>
        <v/>
      </c>
      <c r="CN252" s="518" t="str">
        <f>IF(AND(_6="B-737-900",'2026'!$J$4="CA",'2026'!$J$2=CN233),'2026DATA'!$G$21,"")</f>
        <v/>
      </c>
      <c r="CO252" s="518" t="str">
        <f>IF(AND(_6="B-737-900",'2026'!$J$4="CA",'2026'!$J$2=CO233),'2026DATA'!$H$21,"")</f>
        <v/>
      </c>
      <c r="CP252" s="518" t="str">
        <f>IF(AND(_6="B-737-900",'2026'!$J$4="CA",'2026'!$J$2=CP233),'2026DATA'!$I$21,"")</f>
        <v/>
      </c>
      <c r="CQ252" s="518" t="str">
        <f>IF(AND(_6="B-737-900",'2026'!$J$4="CA",'2026'!$J$2=CQ233),'2026DATA'!$J$21,"")</f>
        <v/>
      </c>
      <c r="CR252" s="518" t="str">
        <f>IF(AND(_6="B-737-900",'2026'!$J$4="CA",'2026'!$J$2=CR233),'2026DATA'!$K$21,"")</f>
        <v/>
      </c>
      <c r="CS252" s="518" t="str">
        <f>IF(AND(_6="B-737-900",'2026'!$J$4="CA",'2026'!$J$2=CS233),'2026DATA'!$L$21,"")</f>
        <v/>
      </c>
      <c r="CT252" s="518" t="str">
        <f>IF(AND(_6="B-737-900",'2026'!$J$4="CA",'2026'!$J$2=CT233),'2026DATA'!$M$21,"")</f>
        <v/>
      </c>
      <c r="CU252" s="520" t="str">
        <f>IF(AND(_6="B-737-900",'2026'!$J$4="CA",'2026'!$J$2=CU233),'2026DATA'!$N$21,"")</f>
        <v/>
      </c>
    </row>
    <row r="253" spans="16:99" x14ac:dyDescent="0.25">
      <c r="P253" s="940"/>
      <c r="Q253" s="13" t="s">
        <v>62</v>
      </c>
      <c r="R253" s="518" t="str">
        <f>IF(AND(_1="B-737-900",'2026'!$J$4="FO",'2026'!$J$2=R233),'2026DATA'!$C$22,"")</f>
        <v/>
      </c>
      <c r="S253" s="518" t="str">
        <f>IF(AND(_1="B-737-900",'2026'!$J$4="FO",'2026'!$J$2=S233),'2026DATA'!$D$22,"")</f>
        <v/>
      </c>
      <c r="T253" s="518" t="str">
        <f>IF(AND(_1="B-737-900",'2026'!$J$4="FO",'2026'!$J$2=T233),'2026DATA'!$E$22,"")</f>
        <v/>
      </c>
      <c r="U253" s="518" t="str">
        <f>IF(AND(_1="B-737-900",'2026'!$J$4="FO",'2026'!$J$2=U233),'2026DATA'!$F$22,"")</f>
        <v/>
      </c>
      <c r="V253" s="518" t="str">
        <f>IF(AND(_1="B-737-900",'2026'!$J$4="FO",'2026'!$J$2=V233),'2026DATA'!$G$22,"")</f>
        <v/>
      </c>
      <c r="W253" s="518" t="str">
        <f>IF(AND(_1="B-737-900",'2026'!$J$4="FO",'2026'!$J$2=W233),'2026DATA'!$H$22,"")</f>
        <v/>
      </c>
      <c r="X253" s="518" t="str">
        <f>IF(AND(_1="B-737-900",'2026'!$J$4="FO",'2026'!$J$2=X233),'2026DATA'!$I$22,"")</f>
        <v/>
      </c>
      <c r="Y253" s="518" t="str">
        <f>IF(AND(_1="B-737-900",'2026'!$J$4="FO",'2026'!$J$2=Y233),'2026DATA'!$J$22,"")</f>
        <v/>
      </c>
      <c r="Z253" s="518" t="str">
        <f>IF(AND(_1="B-737-900",'2026'!$J$4="FO",'2026'!$J$2=Z233),'2026DATA'!$K$22,"")</f>
        <v/>
      </c>
      <c r="AA253" s="518" t="str">
        <f>IF(AND(_1="B-737-900",'2026'!$J$4="FO",'2026'!$J$2=AA233),'2026DATA'!$L$22,"")</f>
        <v/>
      </c>
      <c r="AB253" s="518" t="str">
        <f>IF(AND(_1="B-737-900",'2026'!$J$4="FO",'2026'!$J$2=AB233),'2026DATA'!$M$22,"")</f>
        <v/>
      </c>
      <c r="AC253" s="520" t="str">
        <f>IF(AND(_1="B-737-900",'2026'!$J$4="FO",'2026'!$J$2=AC233),'2026DATA'!$N$22,"")</f>
        <v/>
      </c>
      <c r="AD253" s="940"/>
      <c r="AE253" s="13" t="s">
        <v>62</v>
      </c>
      <c r="AF253" s="518" t="str">
        <f>IF(AND(_2="B-737-900",'2026'!$J$4="FO",'2026'!$J$2=AF233),'2026DATA'!$C$22,"")</f>
        <v/>
      </c>
      <c r="AG253" s="518" t="str">
        <f>IF(AND(_2="B-737-900",'2026'!$J$4="FO",'2026'!$J$2=AG233),'2026DATA'!$D$22,"")</f>
        <v/>
      </c>
      <c r="AH253" s="518" t="str">
        <f>IF(AND(_2="B-737-900",'2026'!$J$4="FO",'2026'!$J$2=AH233),'2026DATA'!$E$22,"")</f>
        <v/>
      </c>
      <c r="AI253" s="518" t="str">
        <f>IF(AND(_2="B-737-900",'2026'!$J$4="FO",'2026'!$J$2=AI233),'2026DATA'!$F$22,"")</f>
        <v/>
      </c>
      <c r="AJ253" s="518" t="str">
        <f>IF(AND(_2="B-737-900",'2026'!$J$4="FO",'2026'!$J$2=AJ233),'2026DATA'!$G$22,"")</f>
        <v/>
      </c>
      <c r="AK253" s="518" t="str">
        <f>IF(AND(_2="B-737-900",'2026'!$J$4="FO",'2026'!$J$2=AK233),'2026DATA'!$H$22,"")</f>
        <v/>
      </c>
      <c r="AL253" s="518" t="str">
        <f>IF(AND(_2="B-737-900",'2026'!$J$4="FO",'2026'!$J$2=AL233),'2026DATA'!$I$22,"")</f>
        <v/>
      </c>
      <c r="AM253" s="518" t="str">
        <f>IF(AND(_2="B-737-900",'2026'!$J$4="FO",'2026'!$J$2=AM233),'2026DATA'!$J$22,"")</f>
        <v/>
      </c>
      <c r="AN253" s="518" t="str">
        <f>IF(AND(_2="B-737-900",'2026'!$J$4="FO",'2026'!$J$2=AN233),'2026DATA'!$K$22,"")</f>
        <v/>
      </c>
      <c r="AO253" s="518" t="str">
        <f>IF(AND(_2="B-737-900",'2026'!$J$4="FO",'2026'!$J$2=AO233),'2026DATA'!$L$22,"")</f>
        <v/>
      </c>
      <c r="AP253" s="518" t="str">
        <f>IF(AND(_2="B-737-900",'2026'!$J$4="FO",'2026'!$J$2=AP233),'2026DATA'!$M$22,"")</f>
        <v/>
      </c>
      <c r="AQ253" s="520" t="str">
        <f>IF(AND(_2="B-737-900",'2026'!$J$4="FO",'2026'!$J$2=AQ233),'2026DATA'!$N$22,"")</f>
        <v/>
      </c>
      <c r="AR253" s="940"/>
      <c r="AS253" s="13" t="s">
        <v>62</v>
      </c>
      <c r="AT253" s="518" t="str">
        <f>IF(AND(_3="B-737-900",'2026'!$J$4="FO",'2026'!$J$2=AT233),'2026DATA'!$C$22,"")</f>
        <v/>
      </c>
      <c r="AU253" s="518" t="str">
        <f>IF(AND(_3="B-737-900",'2026'!$J$4="FO",'2026'!$J$2=AU233),'2026DATA'!$D$22,"")</f>
        <v/>
      </c>
      <c r="AV253" s="518" t="str">
        <f>IF(AND(_3="B-737-900",'2026'!$J$4="FO",'2026'!$J$2=AV233),'2026DATA'!$E$22,"")</f>
        <v/>
      </c>
      <c r="AW253" s="518" t="str">
        <f>IF(AND(_3="B-737-900",'2026'!$J$4="FO",'2026'!$J$2=AW233),'2026DATA'!$F$22,"")</f>
        <v/>
      </c>
      <c r="AX253" s="518" t="str">
        <f>IF(AND(_3="B-737-900",'2026'!$J$4="FO",'2026'!$J$2=AX233),'2026DATA'!$G$22,"")</f>
        <v/>
      </c>
      <c r="AY253" s="518" t="str">
        <f>IF(AND(_3="B-737-900",'2026'!$J$4="FO",'2026'!$J$2=AY233),'2026DATA'!$H$22,"")</f>
        <v/>
      </c>
      <c r="AZ253" s="518" t="str">
        <f>IF(AND(_3="B-737-900",'2026'!$J$4="FO",'2026'!$J$2=AZ233),'2026DATA'!$I$22,"")</f>
        <v/>
      </c>
      <c r="BA253" s="518" t="str">
        <f>IF(AND(_3="B-737-900",'2026'!$J$4="FO",'2026'!$J$2=BA233),'2026DATA'!$J$22,"")</f>
        <v/>
      </c>
      <c r="BB253" s="518" t="str">
        <f>IF(AND(_3="B-737-900",'2026'!$J$4="FO",'2026'!$J$2=BB233),'2026DATA'!$K$22,"")</f>
        <v/>
      </c>
      <c r="BC253" s="518" t="str">
        <f>IF(AND(_3="B-737-900",'2026'!$J$4="FO",'2026'!$J$2=BC233),'2026DATA'!$L$22,"")</f>
        <v/>
      </c>
      <c r="BD253" s="518" t="str">
        <f>IF(AND(_3="B-737-900",'2026'!$J$4="FO",'2026'!$J$2=BD233),'2026DATA'!$M$22,"")</f>
        <v/>
      </c>
      <c r="BE253" s="520" t="str">
        <f>IF(AND(_3="B-737-900",'2026'!$J$4="FO",'2026'!$J$2=BE233),'2026DATA'!$N$22,"")</f>
        <v/>
      </c>
      <c r="BF253" s="940"/>
      <c r="BG253" s="13" t="s">
        <v>62</v>
      </c>
      <c r="BH253" s="518" t="str">
        <f>IF(AND(_4="B-737-900",'2026'!$J$4="FO",'2026'!$J$2=BH233),'2026DATA'!$C$22,"")</f>
        <v/>
      </c>
      <c r="BI253" s="518" t="str">
        <f>IF(AND(_4="B-737-900",'2026'!$J$4="FO",'2026'!$J$2=BI233),'2026DATA'!$D$22,"")</f>
        <v/>
      </c>
      <c r="BJ253" s="518" t="str">
        <f>IF(AND(_4="B-737-900",'2026'!$J$4="FO",'2026'!$J$2=BJ233),'2026DATA'!$E$22,"")</f>
        <v/>
      </c>
      <c r="BK253" s="518" t="str">
        <f>IF(AND(_4="B-737-900",'2026'!$J$4="FO",'2026'!$J$2=BK233),'2026DATA'!$F$22,"")</f>
        <v/>
      </c>
      <c r="BL253" s="518" t="str">
        <f>IF(AND(_4="B-737-900",'2026'!$J$4="FO",'2026'!$J$2=BL233),'2026DATA'!$G$22,"")</f>
        <v/>
      </c>
      <c r="BM253" s="518" t="str">
        <f>IF(AND(_4="B-737-900",'2026'!$J$4="FO",'2026'!$J$2=BM233),'2026DATA'!$H$22,"")</f>
        <v/>
      </c>
      <c r="BN253" s="518" t="str">
        <f>IF(AND(_4="B-737-900",'2026'!$J$4="FO",'2026'!$J$2=BN233),'2026DATA'!$I$22,"")</f>
        <v/>
      </c>
      <c r="BO253" s="518" t="str">
        <f>IF(AND(_4="B-737-900",'2026'!$J$4="FO",'2026'!$J$2=BO233),'2026DATA'!$J$22,"")</f>
        <v/>
      </c>
      <c r="BP253" s="518" t="str">
        <f>IF(AND(_4="B-737-900",'2026'!$J$4="FO",'2026'!$J$2=BP233),'2026DATA'!$K$22,"")</f>
        <v/>
      </c>
      <c r="BQ253" s="518" t="str">
        <f>IF(AND(_4="B-737-900",'2026'!$J$4="FO",'2026'!$J$2=BQ233),'2026DATA'!$L$22,"")</f>
        <v/>
      </c>
      <c r="BR253" s="518" t="str">
        <f>IF(AND(_4="B-737-900",'2026'!$J$4="FO",'2026'!$J$2=BR233),'2026DATA'!$M$22,"")</f>
        <v/>
      </c>
      <c r="BS253" s="520" t="str">
        <f>IF(AND(_4="B-737-900",'2026'!$J$4="FO",'2026'!$J$2=BS233),'2026DATA'!$N$22,"")</f>
        <v/>
      </c>
      <c r="BT253" s="940"/>
      <c r="BU253" s="13" t="s">
        <v>62</v>
      </c>
      <c r="BV253" s="518" t="str">
        <f>IF(AND(_5="B-737-900",'2026'!$J$4="FO",'2026'!$J$2=BV233),'2026DATA'!$C$22,"")</f>
        <v/>
      </c>
      <c r="BW253" s="518" t="str">
        <f>IF(AND(_5="B-737-900",'2026'!$J$4="FO",'2026'!$J$2=BW233),'2026DATA'!$D$22,"")</f>
        <v/>
      </c>
      <c r="BX253" s="518" t="str">
        <f>IF(AND(_5="B-737-900",'2026'!$J$4="FO",'2026'!$J$2=BX233),'2026DATA'!$E$22,"")</f>
        <v/>
      </c>
      <c r="BY253" s="518" t="str">
        <f>IF(AND(_5="B-737-900",'2026'!$J$4="FO",'2026'!$J$2=BY233),'2026DATA'!$F$22,"")</f>
        <v/>
      </c>
      <c r="BZ253" s="518" t="str">
        <f>IF(AND(_5="B-737-900",'2026'!$J$4="FO",'2026'!$J$2=BZ233),'2026DATA'!$G$22,"")</f>
        <v/>
      </c>
      <c r="CA253" s="518" t="str">
        <f>IF(AND(_5="B-737-900",'2026'!$J$4="FO",'2026'!$J$2=CA233),'2026DATA'!$H$22,"")</f>
        <v/>
      </c>
      <c r="CB253" s="518" t="str">
        <f>IF(AND(_5="B-737-900",'2026'!$J$4="FO",'2026'!$J$2=CB233),'2026DATA'!$I$22,"")</f>
        <v/>
      </c>
      <c r="CC253" s="518" t="str">
        <f>IF(AND(_5="B-737-900",'2026'!$J$4="FO",'2026'!$J$2=CC233),'2026DATA'!$J$22,"")</f>
        <v/>
      </c>
      <c r="CD253" s="518" t="str">
        <f>IF(AND(_5="B-737-900",'2026'!$J$4="FO",'2026'!$J$2=CD233),'2026DATA'!$K$22,"")</f>
        <v/>
      </c>
      <c r="CE253" s="518" t="str">
        <f>IF(AND(_5="B-737-900",'2026'!$J$4="FO",'2026'!$J$2=CE233),'2026DATA'!$L$22,"")</f>
        <v/>
      </c>
      <c r="CF253" s="518" t="str">
        <f>IF(AND(_5="B-737-900",'2026'!$J$4="FO",'2026'!$J$2=CF233),'2026DATA'!$M$22,"")</f>
        <v/>
      </c>
      <c r="CG253" s="520" t="str">
        <f>IF(AND(_5="B-737-900",'2026'!$J$4="FO",'2026'!$J$2=CG233),'2026DATA'!$N$22,"")</f>
        <v/>
      </c>
      <c r="CH253" s="940"/>
      <c r="CI253" s="13" t="s">
        <v>62</v>
      </c>
      <c r="CJ253" s="518" t="str">
        <f>IF(AND(_6="B-737-900",'2026'!$J$4="FO",'2026'!$J$2=CJ233),'2026DATA'!$C$22,"")</f>
        <v/>
      </c>
      <c r="CK253" s="518" t="str">
        <f>IF(AND(_6="B-737-900",'2026'!$J$4="FO",'2026'!$J$2=CK233),'2026DATA'!$D$22,"")</f>
        <v/>
      </c>
      <c r="CL253" s="518" t="str">
        <f>IF(AND(_6="B-737-900",'2026'!$J$4="FO",'2026'!$J$2=CL233),'2026DATA'!$E$22,"")</f>
        <v/>
      </c>
      <c r="CM253" s="518" t="str">
        <f>IF(AND(_6="B-737-900",'2026'!$J$4="FO",'2026'!$J$2=CM233),'2026DATA'!$F$22,"")</f>
        <v/>
      </c>
      <c r="CN253" s="518" t="str">
        <f>IF(AND(_6="B-737-900",'2026'!$J$4="FO",'2026'!$J$2=CN233),'2026DATA'!$G$22,"")</f>
        <v/>
      </c>
      <c r="CO253" s="518" t="str">
        <f>IF(AND(_6="B-737-900",'2026'!$J$4="FO",'2026'!$J$2=CO233),'2026DATA'!$H$22,"")</f>
        <v/>
      </c>
      <c r="CP253" s="518" t="str">
        <f>IF(AND(_6="B-737-900",'2026'!$J$4="FO",'2026'!$J$2=CP233),'2026DATA'!$I$22,"")</f>
        <v/>
      </c>
      <c r="CQ253" s="518" t="str">
        <f>IF(AND(_6="B-737-900",'2026'!$J$4="FO",'2026'!$J$2=CQ233),'2026DATA'!$J$22,"")</f>
        <v/>
      </c>
      <c r="CR253" s="518" t="str">
        <f>IF(AND(_6="B-737-900",'2026'!$J$4="FO",'2026'!$J$2=CR233),'2026DATA'!$K$22,"")</f>
        <v/>
      </c>
      <c r="CS253" s="518" t="str">
        <f>IF(AND(_6="B-737-900",'2026'!$J$4="FO",'2026'!$J$2=CS233),'2026DATA'!$L$22,"")</f>
        <v/>
      </c>
      <c r="CT253" s="518" t="str">
        <f>IF(AND(_6="B-737-900",'2026'!$J$4="FO",'2026'!$J$2=CT233),'2026DATA'!$M$22,"")</f>
        <v/>
      </c>
      <c r="CU253" s="520" t="str">
        <f>IF(AND(_6="B-737-900",'2026'!$J$4="FO",'2026'!$J$2=CU233),'2026DATA'!$N$22,"")</f>
        <v/>
      </c>
    </row>
    <row r="254" spans="16:99" x14ac:dyDescent="0.25">
      <c r="P254" s="940" t="s">
        <v>69</v>
      </c>
      <c r="Q254" s="13" t="s">
        <v>61</v>
      </c>
      <c r="R254" s="518" t="str">
        <f>IF(AND(_1="B-737-800",'2026'!$J$4="CA",'2026'!$J$2=R233),'2026DATA'!$C$23,"")</f>
        <v/>
      </c>
      <c r="S254" s="518" t="str">
        <f>IF(AND(_1="B-737-800",'2026'!$J$4="CA",'2026'!$J$2=S233),'2026DATA'!$D$23,"")</f>
        <v/>
      </c>
      <c r="T254" s="518" t="str">
        <f>IF(AND(_1="B-737-800",'2026'!$J$4="CA",'2026'!$J$2=T233),'2026DATA'!$E$23,"")</f>
        <v/>
      </c>
      <c r="U254" s="518" t="str">
        <f>IF(AND(_1="B-737-800",'2026'!$J$4="CA",'2026'!$J$2=U233),'2026DATA'!$F$23,"")</f>
        <v/>
      </c>
      <c r="V254" s="518" t="str">
        <f>IF(AND(_1="B-737-800",'2026'!$J$4="CA",'2026'!$J$2=V233),'2026DATA'!$G$23,"")</f>
        <v/>
      </c>
      <c r="W254" s="518" t="str">
        <f>IF(AND(_1="B-737-800",'2026'!$J$4="CA",'2026'!$J$2=W233),'2026DATA'!$H$23,"")</f>
        <v/>
      </c>
      <c r="X254" s="518" t="str">
        <f>IF(AND(_1="B-737-800",'2026'!$J$4="CA",'2026'!$J$2=X233),'2026DATA'!$I$23,"")</f>
        <v/>
      </c>
      <c r="Y254" s="518" t="str">
        <f>IF(AND(_1="B-737-800",'2026'!$J$4="CA",'2026'!$J$2=Y233),'2026DATA'!$J$23,"")</f>
        <v/>
      </c>
      <c r="Z254" s="518" t="str">
        <f>IF(AND(_1="B-737-800",'2026'!$J$4="CA",'2026'!$J$2=Z233),'2026DATA'!$K$23,"")</f>
        <v/>
      </c>
      <c r="AA254" s="518" t="str">
        <f>IF(AND(_1="B-737-800",'2026'!$J$4="CA",'2026'!$J$2=AA233),'2026DATA'!$L$23,"")</f>
        <v/>
      </c>
      <c r="AB254" s="518" t="str">
        <f>IF(AND(_1="B-737-800",'2026'!$J$4="CA",'2026'!$J$2=AB233),'2026DATA'!$M$23,"")</f>
        <v/>
      </c>
      <c r="AC254" s="520" t="str">
        <f>IF(AND(_1="B-737-800",'2026'!$J$4="CA",'2026'!$J$2=AC233),'2026DATA'!$N$23,"")</f>
        <v/>
      </c>
      <c r="AD254" s="940" t="s">
        <v>69</v>
      </c>
      <c r="AE254" s="13" t="s">
        <v>61</v>
      </c>
      <c r="AF254" s="518" t="str">
        <f>IF(AND(_2="B-737-800",'2026'!$J$4="CA",'2026'!$J$2=AF233),'2026DATA'!$C$23,"")</f>
        <v/>
      </c>
      <c r="AG254" s="518" t="str">
        <f>IF(AND(_2="B-737-800",'2026'!$J$4="CA",'2026'!$J$2=AG233),'2026DATA'!$D$23,"")</f>
        <v/>
      </c>
      <c r="AH254" s="518" t="str">
        <f>IF(AND(_2="B-737-800",'2026'!$J$4="CA",'2026'!$J$2=AH233),'2026DATA'!$E$23,"")</f>
        <v/>
      </c>
      <c r="AI254" s="518" t="str">
        <f>IF(AND(_2="B-737-800",'2026'!$J$4="CA",'2026'!$J$2=AI233),'2026DATA'!$F$23,"")</f>
        <v/>
      </c>
      <c r="AJ254" s="518" t="str">
        <f>IF(AND(_2="B-737-800",'2026'!$J$4="CA",'2026'!$J$2=AJ233),'2026DATA'!$G$23,"")</f>
        <v/>
      </c>
      <c r="AK254" s="518" t="str">
        <f>IF(AND(_2="B-737-800",'2026'!$J$4="CA",'2026'!$J$2=AK233),'2026DATA'!$H$23,"")</f>
        <v/>
      </c>
      <c r="AL254" s="518" t="str">
        <f>IF(AND(_2="B-737-800",'2026'!$J$4="CA",'2026'!$J$2=AL233),'2026DATA'!$I$23,"")</f>
        <v/>
      </c>
      <c r="AM254" s="518" t="str">
        <f>IF(AND(_2="B-737-800",'2026'!$J$4="CA",'2026'!$J$2=AM233),'2026DATA'!$J$23,"")</f>
        <v/>
      </c>
      <c r="AN254" s="518" t="str">
        <f>IF(AND(_2="B-737-800",'2026'!$J$4="CA",'2026'!$J$2=AN233),'2026DATA'!$K$23,"")</f>
        <v/>
      </c>
      <c r="AO254" s="518" t="str">
        <f>IF(AND(_2="B-737-800",'2026'!$J$4="CA",'2026'!$J$2=AO233),'2026DATA'!$L$23,"")</f>
        <v/>
      </c>
      <c r="AP254" s="518" t="str">
        <f>IF(AND(_2="B-737-800",'2026'!$J$4="CA",'2026'!$J$2=AP233),'2026DATA'!$M$23,"")</f>
        <v/>
      </c>
      <c r="AQ254" s="520" t="str">
        <f>IF(AND(_2="B-737-800",'2026'!$J$4="CA",'2026'!$J$2=AQ233),'2026DATA'!$N$23,"")</f>
        <v/>
      </c>
      <c r="AR254" s="940" t="s">
        <v>69</v>
      </c>
      <c r="AS254" s="13" t="s">
        <v>61</v>
      </c>
      <c r="AT254" s="518" t="str">
        <f>IF(AND(_3="B-737-800",'2026'!$J$4="CA",'2026'!$J$2=AT233),'2026DATA'!$C$23,"")</f>
        <v/>
      </c>
      <c r="AU254" s="518" t="str">
        <f>IF(AND(_3="B-737-800",'2026'!$J$4="CA",'2026'!$J$2=AU233),'2026DATA'!$D$23,"")</f>
        <v/>
      </c>
      <c r="AV254" s="518" t="str">
        <f>IF(AND(_3="B-737-800",'2026'!$J$4="CA",'2026'!$J$2=AV233),'2026DATA'!$E$23,"")</f>
        <v/>
      </c>
      <c r="AW254" s="518" t="str">
        <f>IF(AND(_3="B-737-800",'2026'!$J$4="CA",'2026'!$J$2=AW233),'2026DATA'!$F$23,"")</f>
        <v/>
      </c>
      <c r="AX254" s="518" t="str">
        <f>IF(AND(_3="B-737-800",'2026'!$J$4="CA",'2026'!$J$2=AX233),'2026DATA'!$G$23,"")</f>
        <v/>
      </c>
      <c r="AY254" s="518" t="str">
        <f>IF(AND(_3="B-737-800",'2026'!$J$4="CA",'2026'!$J$2=AY233),'2026DATA'!$H$23,"")</f>
        <v/>
      </c>
      <c r="AZ254" s="518" t="str">
        <f>IF(AND(_3="B-737-800",'2026'!$J$4="CA",'2026'!$J$2=AZ233),'2026DATA'!$I$23,"")</f>
        <v/>
      </c>
      <c r="BA254" s="518" t="str">
        <f>IF(AND(_3="B-737-800",'2026'!$J$4="CA",'2026'!$J$2=BA233),'2026DATA'!$J$23,"")</f>
        <v/>
      </c>
      <c r="BB254" s="518" t="str">
        <f>IF(AND(_3="B-737-800",'2026'!$J$4="CA",'2026'!$J$2=BB233),'2026DATA'!$K$23,"")</f>
        <v/>
      </c>
      <c r="BC254" s="518" t="str">
        <f>IF(AND(_3="B-737-800",'2026'!$J$4="CA",'2026'!$J$2=BC233),'2026DATA'!$L$23,"")</f>
        <v/>
      </c>
      <c r="BD254" s="518" t="str">
        <f>IF(AND(_3="B-737-800",'2026'!$J$4="CA",'2026'!$J$2=BD233),'2026DATA'!$M$23,"")</f>
        <v/>
      </c>
      <c r="BE254" s="520" t="str">
        <f>IF(AND(_3="B-737-800",'2026'!$J$4="CA",'2026'!$J$2=BE233),'2026DATA'!$N$23,"")</f>
        <v/>
      </c>
      <c r="BF254" s="940" t="s">
        <v>69</v>
      </c>
      <c r="BG254" s="13" t="s">
        <v>61</v>
      </c>
      <c r="BH254" s="518" t="str">
        <f>IF(AND(_4="B-737-800",'2026'!$J$4="CA",'2026'!$J$2=BH233),'2026DATA'!$C$23,"")</f>
        <v/>
      </c>
      <c r="BI254" s="518" t="str">
        <f>IF(AND(_4="B-737-800",'2026'!$J$4="CA",'2026'!$J$2=BI233),'2026DATA'!$D$23,"")</f>
        <v/>
      </c>
      <c r="BJ254" s="518" t="str">
        <f>IF(AND(_4="B-737-800",'2026'!$J$4="CA",'2026'!$J$2=BJ233),'2026DATA'!$E$23,"")</f>
        <v/>
      </c>
      <c r="BK254" s="518" t="str">
        <f>IF(AND(_4="B-737-800",'2026'!$J$4="CA",'2026'!$J$2=BK233),'2026DATA'!$F$23,"")</f>
        <v/>
      </c>
      <c r="BL254" s="518" t="str">
        <f>IF(AND(_4="B-737-800",'2026'!$J$4="CA",'2026'!$J$2=BL233),'2026DATA'!$G$23,"")</f>
        <v/>
      </c>
      <c r="BM254" s="518" t="str">
        <f>IF(AND(_4="B-737-800",'2026'!$J$4="CA",'2026'!$J$2=BM233),'2026DATA'!$H$23,"")</f>
        <v/>
      </c>
      <c r="BN254" s="518" t="str">
        <f>IF(AND(_4="B-737-800",'2026'!$J$4="CA",'2026'!$J$2=BN233),'2026DATA'!$I$23,"")</f>
        <v/>
      </c>
      <c r="BO254" s="518" t="str">
        <f>IF(AND(_4="B-737-800",'2026'!$J$4="CA",'2026'!$J$2=BO233),'2026DATA'!$J$23,"")</f>
        <v/>
      </c>
      <c r="BP254" s="518" t="str">
        <f>IF(AND(_4="B-737-800",'2026'!$J$4="CA",'2026'!$J$2=BP233),'2026DATA'!$K$23,"")</f>
        <v/>
      </c>
      <c r="BQ254" s="518" t="str">
        <f>IF(AND(_4="B-737-800",'2026'!$J$4="CA",'2026'!$J$2=BQ233),'2026DATA'!$L$23,"")</f>
        <v/>
      </c>
      <c r="BR254" s="518" t="str">
        <f>IF(AND(_4="B-737-800",'2026'!$J$4="CA",'2026'!$J$2=BR233),'2026DATA'!$M$23,"")</f>
        <v/>
      </c>
      <c r="BS254" s="520" t="str">
        <f>IF(AND(_4="B-737-800",'2026'!$J$4="CA",'2026'!$J$2=BS233),'2026DATA'!$N$23,"")</f>
        <v/>
      </c>
      <c r="BT254" s="940" t="s">
        <v>69</v>
      </c>
      <c r="BU254" s="13" t="s">
        <v>61</v>
      </c>
      <c r="BV254" s="518" t="str">
        <f>IF(AND(_5="B-737-800",'2026'!$J$4="CA",'2026'!$J$2=BV233),'2026DATA'!$C$23,"")</f>
        <v/>
      </c>
      <c r="BW254" s="518" t="str">
        <f>IF(AND(_5="B-737-800",'2026'!$J$4="CA",'2026'!$J$2=BW233),'2026DATA'!$D$23,"")</f>
        <v/>
      </c>
      <c r="BX254" s="518" t="str">
        <f>IF(AND(_5="B-737-800",'2026'!$J$4="CA",'2026'!$J$2=BX233),'2026DATA'!$E$23,"")</f>
        <v/>
      </c>
      <c r="BY254" s="518" t="str">
        <f>IF(AND(_5="B-737-800",'2026'!$J$4="CA",'2026'!$J$2=BY233),'2026DATA'!$F$23,"")</f>
        <v/>
      </c>
      <c r="BZ254" s="518" t="str">
        <f>IF(AND(_5="B-737-800",'2026'!$J$4="CA",'2026'!$J$2=BZ233),'2026DATA'!$G$23,"")</f>
        <v/>
      </c>
      <c r="CA254" s="518" t="str">
        <f>IF(AND(_5="B-737-800",'2026'!$J$4="CA",'2026'!$J$2=CA233),'2026DATA'!$H$23,"")</f>
        <v/>
      </c>
      <c r="CB254" s="518" t="str">
        <f>IF(AND(_5="B-737-800",'2026'!$J$4="CA",'2026'!$J$2=CB233),'2026DATA'!$I$23,"")</f>
        <v/>
      </c>
      <c r="CC254" s="518" t="str">
        <f>IF(AND(_5="B-737-800",'2026'!$J$4="CA",'2026'!$J$2=CC233),'2026DATA'!$J$23,"")</f>
        <v/>
      </c>
      <c r="CD254" s="518" t="str">
        <f>IF(AND(_5="B-737-800",'2026'!$J$4="CA",'2026'!$J$2=CD233),'2026DATA'!$K$23,"")</f>
        <v/>
      </c>
      <c r="CE254" s="518" t="str">
        <f>IF(AND(_5="B-737-800",'2026'!$J$4="CA",'2026'!$J$2=CE233),'2026DATA'!$L$23,"")</f>
        <v/>
      </c>
      <c r="CF254" s="518" t="str">
        <f>IF(AND(_5="B-737-800",'2026'!$J$4="CA",'2026'!$J$2=CF233),'2026DATA'!$M$23,"")</f>
        <v/>
      </c>
      <c r="CG254" s="520" t="str">
        <f>IF(AND(_5="B-737-800",'2026'!$J$4="CA",'2026'!$J$2=CG233),'2026DATA'!$N$23,"")</f>
        <v/>
      </c>
      <c r="CH254" s="940" t="s">
        <v>69</v>
      </c>
      <c r="CI254" s="13" t="s">
        <v>61</v>
      </c>
      <c r="CJ254" s="518" t="str">
        <f>IF(AND(_6="B-737-800",'2026'!$J$4="CA",'2026'!$J$2=CJ233),'2026DATA'!$C$23,"")</f>
        <v/>
      </c>
      <c r="CK254" s="518" t="str">
        <f>IF(AND(_6="B-737-800",'2026'!$J$4="CA",'2026'!$J$2=CK233),'2026DATA'!$D$23,"")</f>
        <v/>
      </c>
      <c r="CL254" s="518" t="str">
        <f>IF(AND(_6="B-737-800",'2026'!$J$4="CA",'2026'!$J$2=CL233),'2026DATA'!$E$23,"")</f>
        <v/>
      </c>
      <c r="CM254" s="518" t="str">
        <f>IF(AND(_6="B-737-800",'2026'!$J$4="CA",'2026'!$J$2=CM233),'2026DATA'!$F$23,"")</f>
        <v/>
      </c>
      <c r="CN254" s="518" t="str">
        <f>IF(AND(_6="B-737-800",'2026'!$J$4="CA",'2026'!$J$2=CN233),'2026DATA'!$G$23,"")</f>
        <v/>
      </c>
      <c r="CO254" s="518" t="str">
        <f>IF(AND(_6="B-737-800",'2026'!$J$4="CA",'2026'!$J$2=CO233),'2026DATA'!$H$23,"")</f>
        <v/>
      </c>
      <c r="CP254" s="518" t="str">
        <f>IF(AND(_6="B-737-800",'2026'!$J$4="CA",'2026'!$J$2=CP233),'2026DATA'!$I$23,"")</f>
        <v/>
      </c>
      <c r="CQ254" s="518" t="str">
        <f>IF(AND(_6="B-737-800",'2026'!$J$4="CA",'2026'!$J$2=CQ233),'2026DATA'!$J$23,"")</f>
        <v/>
      </c>
      <c r="CR254" s="518" t="str">
        <f>IF(AND(_6="B-737-800",'2026'!$J$4="CA",'2026'!$J$2=CR233),'2026DATA'!$K$23,"")</f>
        <v/>
      </c>
      <c r="CS254" s="518" t="str">
        <f>IF(AND(_6="B-737-800",'2026'!$J$4="CA",'2026'!$J$2=CS233),'2026DATA'!$L$23,"")</f>
        <v/>
      </c>
      <c r="CT254" s="518" t="str">
        <f>IF(AND(_6="B-737-800",'2026'!$J$4="CA",'2026'!$J$2=CT233),'2026DATA'!$M$23,"")</f>
        <v/>
      </c>
      <c r="CU254" s="520" t="str">
        <f>IF(AND(_6="B-737-800",'2026'!$J$4="CA",'2026'!$J$2=CU233),'2026DATA'!$N$23,"")</f>
        <v/>
      </c>
    </row>
    <row r="255" spans="16:99" x14ac:dyDescent="0.25">
      <c r="P255" s="940"/>
      <c r="Q255" s="13" t="s">
        <v>62</v>
      </c>
      <c r="R255" s="518" t="str">
        <f>IF(AND(_1="B-737-800",'2026'!$J$4="FO",'2026'!$J$2=R233),'2026DATA'!$C$24,"")</f>
        <v/>
      </c>
      <c r="S255" s="518" t="str">
        <f>IF(AND(_1="B-737-800",'2026'!$J$4="FO",'2026'!$J$2=S233),'2026DATA'!$D$24,"")</f>
        <v/>
      </c>
      <c r="T255" s="518" t="str">
        <f>IF(AND(_1="B-737-800",'2026'!$J$4="FO",'2026'!$J$2=T233),'2026DATA'!$E$24,"")</f>
        <v/>
      </c>
      <c r="U255" s="518" t="str">
        <f>IF(AND(_1="B-737-800",'2026'!$J$4="FO",'2026'!$J$2=U233),'2026DATA'!$F$24,"")</f>
        <v/>
      </c>
      <c r="V255" s="518" t="str">
        <f>IF(AND(_1="B-737-800",'2026'!$J$4="FO",'2026'!$J$2=V233),'2026DATA'!$G$24,"")</f>
        <v/>
      </c>
      <c r="W255" s="518" t="str">
        <f>IF(AND(_1="B-737-800",'2026'!$J$4="FO",'2026'!$J$2=W233),'2026DATA'!$H$24,"")</f>
        <v/>
      </c>
      <c r="X255" s="518" t="str">
        <f>IF(AND(_1="B-737-800",'2026'!$J$4="FO",'2026'!$J$2=X233),'2026DATA'!$I$24,"")</f>
        <v/>
      </c>
      <c r="Y255" s="518" t="str">
        <f>IF(AND(_1="B-737-800",'2026'!$J$4="FO",'2026'!$J$2=Y233),'2026DATA'!$J$24,"")</f>
        <v/>
      </c>
      <c r="Z255" s="518" t="str">
        <f>IF(AND(_1="B-737-800",'2026'!$J$4="FO",'2026'!$J$2=Z233),'2026DATA'!$K$24,"")</f>
        <v/>
      </c>
      <c r="AA255" s="518" t="str">
        <f>IF(AND(_1="B-737-800",'2026'!$J$4="FO",'2026'!$J$2=AA233),'2026DATA'!$L$24,"")</f>
        <v/>
      </c>
      <c r="AB255" s="518" t="str">
        <f>IF(AND(_1="B-737-800",'2026'!$J$4="FO",'2026'!$J$2=AB233),'2026DATA'!$M$24,"")</f>
        <v/>
      </c>
      <c r="AC255" s="520" t="str">
        <f>IF(AND(_1="B-737-800",'2026'!$J$4="FO",'2026'!$J$2=AC233),'2026DATA'!$N$24,"")</f>
        <v/>
      </c>
      <c r="AD255" s="940"/>
      <c r="AE255" s="13" t="s">
        <v>62</v>
      </c>
      <c r="AF255" s="518" t="str">
        <f>IF(AND(_2="B-737-800",'2026'!$J$4="FO",'2026'!$J$2=AF233),'2026DATA'!$C$24,"")</f>
        <v/>
      </c>
      <c r="AG255" s="518" t="str">
        <f>IF(AND(_2="B-737-800",'2026'!$J$4="FO",'2026'!$J$2=AG233),'2026DATA'!$D$24,"")</f>
        <v/>
      </c>
      <c r="AH255" s="518" t="str">
        <f>IF(AND(_2="B-737-800",'2026'!$J$4="FO",'2026'!$J$2=AH233),'2026DATA'!$E$24,"")</f>
        <v/>
      </c>
      <c r="AI255" s="518" t="str">
        <f>IF(AND(_2="B-737-800",'2026'!$J$4="FO",'2026'!$J$2=AI233),'2026DATA'!$F$24,"")</f>
        <v/>
      </c>
      <c r="AJ255" s="518" t="str">
        <f>IF(AND(_2="B-737-800",'2026'!$J$4="FO",'2026'!$J$2=AJ233),'2026DATA'!$G$24,"")</f>
        <v/>
      </c>
      <c r="AK255" s="518" t="str">
        <f>IF(AND(_2="B-737-800",'2026'!$J$4="FO",'2026'!$J$2=AK233),'2026DATA'!$H$24,"")</f>
        <v/>
      </c>
      <c r="AL255" s="518" t="str">
        <f>IF(AND(_2="B-737-800",'2026'!$J$4="FO",'2026'!$J$2=AL233),'2026DATA'!$I$24,"")</f>
        <v/>
      </c>
      <c r="AM255" s="518" t="str">
        <f>IF(AND(_2="B-737-800",'2026'!$J$4="FO",'2026'!$J$2=AM233),'2026DATA'!$J$24,"")</f>
        <v/>
      </c>
      <c r="AN255" s="518" t="str">
        <f>IF(AND(_2="B-737-800",'2026'!$J$4="FO",'2026'!$J$2=AN233),'2026DATA'!$K$24,"")</f>
        <v/>
      </c>
      <c r="AO255" s="518" t="str">
        <f>IF(AND(_2="B-737-800",'2026'!$J$4="FO",'2026'!$J$2=AO233),'2026DATA'!$L$24,"")</f>
        <v/>
      </c>
      <c r="AP255" s="518" t="str">
        <f>IF(AND(_2="B-737-800",'2026'!$J$4="FO",'2026'!$J$2=AP233),'2026DATA'!$M$24,"")</f>
        <v/>
      </c>
      <c r="AQ255" s="520" t="str">
        <f>IF(AND(_2="B-737-800",'2026'!$J$4="FO",'2026'!$J$2=AQ233),'2026DATA'!$N$24,"")</f>
        <v/>
      </c>
      <c r="AR255" s="940"/>
      <c r="AS255" s="13" t="s">
        <v>62</v>
      </c>
      <c r="AT255" s="518" t="str">
        <f>IF(AND(_3="B-737-800",'2026'!$J$4="FO",'2026'!$J$2=AT233),'2026DATA'!$C$24,"")</f>
        <v/>
      </c>
      <c r="AU255" s="518" t="str">
        <f>IF(AND(_3="B-737-800",'2026'!$J$4="FO",'2026'!$J$2=AU233),'2026DATA'!$D$24,"")</f>
        <v/>
      </c>
      <c r="AV255" s="518" t="str">
        <f>IF(AND(_3="B-737-800",'2026'!$J$4="FO",'2026'!$J$2=AV233),'2026DATA'!$E$24,"")</f>
        <v/>
      </c>
      <c r="AW255" s="518" t="str">
        <f>IF(AND(_3="B-737-800",'2026'!$J$4="FO",'2026'!$J$2=AW233),'2026DATA'!$F$24,"")</f>
        <v/>
      </c>
      <c r="AX255" s="518" t="str">
        <f>IF(AND(_3="B-737-800",'2026'!$J$4="FO",'2026'!$J$2=AX233),'2026DATA'!$G$24,"")</f>
        <v/>
      </c>
      <c r="AY255" s="518" t="str">
        <f>IF(AND(_3="B-737-800",'2026'!$J$4="FO",'2026'!$J$2=AY233),'2026DATA'!$H$24,"")</f>
        <v/>
      </c>
      <c r="AZ255" s="518" t="str">
        <f>IF(AND(_3="B-737-800",'2026'!$J$4="FO",'2026'!$J$2=AZ233),'2026DATA'!$I$24,"")</f>
        <v/>
      </c>
      <c r="BA255" s="518" t="str">
        <f>IF(AND(_3="B-737-800",'2026'!$J$4="FO",'2026'!$J$2=BA233),'2026DATA'!$J$24,"")</f>
        <v/>
      </c>
      <c r="BB255" s="518" t="str">
        <f>IF(AND(_3="B-737-800",'2026'!$J$4="FO",'2026'!$J$2=BB233),'2026DATA'!$K$24,"")</f>
        <v/>
      </c>
      <c r="BC255" s="518" t="str">
        <f>IF(AND(_3="B-737-800",'2026'!$J$4="FO",'2026'!$J$2=BC233),'2026DATA'!$L$24,"")</f>
        <v/>
      </c>
      <c r="BD255" s="518" t="str">
        <f>IF(AND(_3="B-737-800",'2026'!$J$4="FO",'2026'!$J$2=BD233),'2026DATA'!$M$24,"")</f>
        <v/>
      </c>
      <c r="BE255" s="520" t="str">
        <f>IF(AND(_3="B-737-800",'2026'!$J$4="FO",'2026'!$J$2=BE233),'2026DATA'!$N$24,"")</f>
        <v/>
      </c>
      <c r="BF255" s="940"/>
      <c r="BG255" s="13" t="s">
        <v>62</v>
      </c>
      <c r="BH255" s="518" t="str">
        <f>IF(AND(_4="B-737-800",'2026'!$J$4="FO",'2026'!$J$2=BH233),'2026DATA'!$C$24,"")</f>
        <v/>
      </c>
      <c r="BI255" s="518" t="str">
        <f>IF(AND(_4="B-737-800",'2026'!$J$4="FO",'2026'!$J$2=BI233),'2026DATA'!$D$24,"")</f>
        <v/>
      </c>
      <c r="BJ255" s="518" t="str">
        <f>IF(AND(_4="B-737-800",'2026'!$J$4="FO",'2026'!$J$2=BJ233),'2026DATA'!$E$24,"")</f>
        <v/>
      </c>
      <c r="BK255" s="518" t="str">
        <f>IF(AND(_4="B-737-800",'2026'!$J$4="FO",'2026'!$J$2=BK233),'2026DATA'!$F$24,"")</f>
        <v/>
      </c>
      <c r="BL255" s="518" t="str">
        <f>IF(AND(_4="B-737-800",'2026'!$J$4="FO",'2026'!$J$2=BL233),'2026DATA'!$G$24,"")</f>
        <v/>
      </c>
      <c r="BM255" s="518" t="str">
        <f>IF(AND(_4="B-737-800",'2026'!$J$4="FO",'2026'!$J$2=BM233),'2026DATA'!$H$24,"")</f>
        <v/>
      </c>
      <c r="BN255" s="518" t="str">
        <f>IF(AND(_4="B-737-800",'2026'!$J$4="FO",'2026'!$J$2=BN233),'2026DATA'!$I$24,"")</f>
        <v/>
      </c>
      <c r="BO255" s="518" t="str">
        <f>IF(AND(_4="B-737-800",'2026'!$J$4="FO",'2026'!$J$2=BO233),'2026DATA'!$J$24,"")</f>
        <v/>
      </c>
      <c r="BP255" s="518" t="str">
        <f>IF(AND(_4="B-737-800",'2026'!$J$4="FO",'2026'!$J$2=BP233),'2026DATA'!$K$24,"")</f>
        <v/>
      </c>
      <c r="BQ255" s="518" t="str">
        <f>IF(AND(_4="B-737-800",'2026'!$J$4="FO",'2026'!$J$2=BQ233),'2026DATA'!$L$24,"")</f>
        <v/>
      </c>
      <c r="BR255" s="518" t="str">
        <f>IF(AND(_4="B-737-800",'2026'!$J$4="FO",'2026'!$J$2=BR233),'2026DATA'!$M$24,"")</f>
        <v/>
      </c>
      <c r="BS255" s="520" t="str">
        <f>IF(AND(_4="B-737-800",'2026'!$J$4="FO",'2026'!$J$2=BS233),'2026DATA'!$N$24,"")</f>
        <v/>
      </c>
      <c r="BT255" s="940"/>
      <c r="BU255" s="13" t="s">
        <v>62</v>
      </c>
      <c r="BV255" s="518" t="str">
        <f>IF(AND(_5="B-737-800",'2026'!$J$4="FO",'2026'!$J$2=BV233),'2026DATA'!$C$24,"")</f>
        <v/>
      </c>
      <c r="BW255" s="518" t="str">
        <f>IF(AND(_5="B-737-800",'2026'!$J$4="FO",'2026'!$J$2=BW233),'2026DATA'!$D$24,"")</f>
        <v/>
      </c>
      <c r="BX255" s="518" t="str">
        <f>IF(AND(_5="B-737-800",'2026'!$J$4="FO",'2026'!$J$2=BX233),'2026DATA'!$E$24,"")</f>
        <v/>
      </c>
      <c r="BY255" s="518" t="str">
        <f>IF(AND(_5="B-737-800",'2026'!$J$4="FO",'2026'!$J$2=BY233),'2026DATA'!$F$24,"")</f>
        <v/>
      </c>
      <c r="BZ255" s="518" t="str">
        <f>IF(AND(_5="B-737-800",'2026'!$J$4="FO",'2026'!$J$2=BZ233),'2026DATA'!$G$24,"")</f>
        <v/>
      </c>
      <c r="CA255" s="518" t="str">
        <f>IF(AND(_5="B-737-800",'2026'!$J$4="FO",'2026'!$J$2=CA233),'2026DATA'!$H$24,"")</f>
        <v/>
      </c>
      <c r="CB255" s="518" t="str">
        <f>IF(AND(_5="B-737-800",'2026'!$J$4="FO",'2026'!$J$2=CB233),'2026DATA'!$I$24,"")</f>
        <v/>
      </c>
      <c r="CC255" s="518" t="str">
        <f>IF(AND(_5="B-737-800",'2026'!$J$4="FO",'2026'!$J$2=CC233),'2026DATA'!$J$24,"")</f>
        <v/>
      </c>
      <c r="CD255" s="518" t="str">
        <f>IF(AND(_5="B-737-800",'2026'!$J$4="FO",'2026'!$J$2=CD233),'2026DATA'!$K$24,"")</f>
        <v/>
      </c>
      <c r="CE255" s="518" t="str">
        <f>IF(AND(_5="B-737-800",'2026'!$J$4="FO",'2026'!$J$2=CE233),'2026DATA'!$L$24,"")</f>
        <v/>
      </c>
      <c r="CF255" s="518" t="str">
        <f>IF(AND(_5="B-737-800",'2026'!$J$4="FO",'2026'!$J$2=CF233),'2026DATA'!$M$24,"")</f>
        <v/>
      </c>
      <c r="CG255" s="520" t="str">
        <f>IF(AND(_5="B-737-800",'2026'!$J$4="FO",'2026'!$J$2=CG233),'2026DATA'!$N$24,"")</f>
        <v/>
      </c>
      <c r="CH255" s="940"/>
      <c r="CI255" s="13" t="s">
        <v>62</v>
      </c>
      <c r="CJ255" s="518" t="str">
        <f>IF(AND(_6="B-737-800",'2026'!$J$4="FO",'2026'!$J$2=CJ233),'2026DATA'!$C$24,"")</f>
        <v/>
      </c>
      <c r="CK255" s="518" t="str">
        <f>IF(AND(_6="B-737-800",'2026'!$J$4="FO",'2026'!$J$2=CK233),'2026DATA'!$D$24,"")</f>
        <v/>
      </c>
      <c r="CL255" s="518" t="str">
        <f>IF(AND(_6="B-737-800",'2026'!$J$4="FO",'2026'!$J$2=CL233),'2026DATA'!$E$24,"")</f>
        <v/>
      </c>
      <c r="CM255" s="518" t="str">
        <f>IF(AND(_6="B-737-800",'2026'!$J$4="FO",'2026'!$J$2=CM233),'2026DATA'!$F$24,"")</f>
        <v/>
      </c>
      <c r="CN255" s="518" t="str">
        <f>IF(AND(_6="B-737-800",'2026'!$J$4="FO",'2026'!$J$2=CN233),'2026DATA'!$G$24,"")</f>
        <v/>
      </c>
      <c r="CO255" s="518" t="str">
        <f>IF(AND(_6="B-737-800",'2026'!$J$4="FO",'2026'!$J$2=CO233),'2026DATA'!$H$24,"")</f>
        <v/>
      </c>
      <c r="CP255" s="518" t="str">
        <f>IF(AND(_6="B-737-800",'2026'!$J$4="FO",'2026'!$J$2=CP233),'2026DATA'!$I$24,"")</f>
        <v/>
      </c>
      <c r="CQ255" s="518" t="str">
        <f>IF(AND(_6="B-737-800",'2026'!$J$4="FO",'2026'!$J$2=CQ233),'2026DATA'!$J$24,"")</f>
        <v/>
      </c>
      <c r="CR255" s="518" t="str">
        <f>IF(AND(_6="B-737-800",'2026'!$J$4="FO",'2026'!$J$2=CR233),'2026DATA'!$K$24,"")</f>
        <v/>
      </c>
      <c r="CS255" s="518" t="str">
        <f>IF(AND(_6="B-737-800",'2026'!$J$4="FO",'2026'!$J$2=CS233),'2026DATA'!$L$24,"")</f>
        <v/>
      </c>
      <c r="CT255" s="518" t="str">
        <f>IF(AND(_6="B-737-800",'2026'!$J$4="FO",'2026'!$J$2=CT233),'2026DATA'!$M$24,"")</f>
        <v/>
      </c>
      <c r="CU255" s="520" t="str">
        <f>IF(AND(_6="B-737-800",'2026'!$J$4="FO",'2026'!$J$2=CU233),'2026DATA'!$N$24,"")</f>
        <v/>
      </c>
    </row>
    <row r="256" spans="16:99" x14ac:dyDescent="0.25">
      <c r="P256" s="940" t="s">
        <v>46</v>
      </c>
      <c r="Q256" s="13" t="s">
        <v>61</v>
      </c>
      <c r="R256" s="518" t="str">
        <f>IF(AND(_1="A-321N",'2026'!$J$4="CA",'2026'!$J$2=R233),'2026DATA'!$C$25,"")</f>
        <v/>
      </c>
      <c r="S256" s="518" t="str">
        <f>IF(AND(_1="A-321N",'2026'!$J$4="CA",'2026'!$J$2=S233),'2026DATA'!$D$25,"")</f>
        <v/>
      </c>
      <c r="T256" s="518" t="str">
        <f>IF(AND(_1="A-321N",'2026'!$J$4="CA",'2026'!$J$2=T233),'2026DATA'!$E$25,"")</f>
        <v/>
      </c>
      <c r="U256" s="518" t="str">
        <f>IF(AND(_1="A-321N",'2026'!$J$4="CA",'2026'!$J$2=U233),'2026DATA'!$F$25,"")</f>
        <v/>
      </c>
      <c r="V256" s="518" t="str">
        <f>IF(AND(_1="A-321N",'2026'!$J$4="CA",'2026'!$J$2=V233),'2026DATA'!$G$25,"")</f>
        <v/>
      </c>
      <c r="W256" s="518" t="str">
        <f>IF(AND(_1="A-321N",'2026'!$J$4="CA",'2026'!$J$2=W233),'2026DATA'!$H$25,"")</f>
        <v/>
      </c>
      <c r="X256" s="518" t="str">
        <f>IF(AND(_1="A-321N",'2026'!$J$4="CA",'2026'!$J$2=X233),'2026DATA'!$I$25,"")</f>
        <v/>
      </c>
      <c r="Y256" s="518" t="str">
        <f>IF(AND(_1="A-321N",'2026'!$J$4="CA",'2026'!$J$2=Y233),'2026DATA'!$J$25,"")</f>
        <v/>
      </c>
      <c r="Z256" s="518" t="str">
        <f>IF(AND(_1="A-321N",'2026'!$J$4="CA",'2026'!$J$2=Z233),'2026DATA'!$K$25,"")</f>
        <v/>
      </c>
      <c r="AA256" s="518" t="str">
        <f>IF(AND(_1="A-321N",'2026'!$J$4="CA",'2026'!$J$2=AA233),'2026DATA'!$L$25,"")</f>
        <v/>
      </c>
      <c r="AB256" s="518" t="str">
        <f>IF(AND(_1="A-321N",'2026'!$J$4="CA",'2026'!$J$2=AB233),'2026DATA'!$M$25,"")</f>
        <v/>
      </c>
      <c r="AC256" s="520" t="str">
        <f>IF(AND(_1="A-321N",'2026'!$J$4="CA",'2026'!$J$2=AC233),'2026DATA'!$N$25,"")</f>
        <v/>
      </c>
      <c r="AD256" s="940" t="s">
        <v>46</v>
      </c>
      <c r="AE256" s="13" t="s">
        <v>61</v>
      </c>
      <c r="AF256" s="518" t="str">
        <f>IF(AND(_2="A-321N",'2026'!$J$4="CA",'2026'!$J$2=AF233),'2026DATA'!$C$25,"")</f>
        <v/>
      </c>
      <c r="AG256" s="518" t="str">
        <f>IF(AND(_2="A-321N",'2026'!$J$4="CA",'2026'!$J$2=AG233),'2026DATA'!$D$25,"")</f>
        <v/>
      </c>
      <c r="AH256" s="518" t="str">
        <f>IF(AND(_2="A-321N",'2026'!$J$4="CA",'2026'!$J$2=AH233),'2026DATA'!$E$25,"")</f>
        <v/>
      </c>
      <c r="AI256" s="518" t="str">
        <f>IF(AND(_2="A-321N",'2026'!$J$4="CA",'2026'!$J$2=AI233),'2026DATA'!$F$25,"")</f>
        <v/>
      </c>
      <c r="AJ256" s="518" t="str">
        <f>IF(AND(_2="A-321N",'2026'!$J$4="CA",'2026'!$J$2=AJ233),'2026DATA'!$G$25,"")</f>
        <v/>
      </c>
      <c r="AK256" s="518" t="str">
        <f>IF(AND(_2="A-321N",'2026'!$J$4="CA",'2026'!$J$2=AK233),'2026DATA'!$H$25,"")</f>
        <v/>
      </c>
      <c r="AL256" s="518" t="str">
        <f>IF(AND(_2="A-321N",'2026'!$J$4="CA",'2026'!$J$2=AL233),'2026DATA'!$I$25,"")</f>
        <v/>
      </c>
      <c r="AM256" s="518" t="str">
        <f>IF(AND(_2="A-321N",'2026'!$J$4="CA",'2026'!$J$2=AM233),'2026DATA'!$J$25,"")</f>
        <v/>
      </c>
      <c r="AN256" s="518" t="str">
        <f>IF(AND(_2="A-321N",'2026'!$J$4="CA",'2026'!$J$2=AN233),'2026DATA'!$K$25,"")</f>
        <v/>
      </c>
      <c r="AO256" s="518" t="str">
        <f>IF(AND(_2="A-321N",'2026'!$J$4="CA",'2026'!$J$2=AO233),'2026DATA'!$L$25,"")</f>
        <v/>
      </c>
      <c r="AP256" s="518" t="str">
        <f>IF(AND(_2="A-321N",'2026'!$J$4="CA",'2026'!$J$2=AP233),'2026DATA'!$M$25,"")</f>
        <v/>
      </c>
      <c r="AQ256" s="520" t="str">
        <f>IF(AND(_2="A-321N",'2026'!$J$4="CA",'2026'!$J$2=AQ233),'2026DATA'!$N$25,"")</f>
        <v/>
      </c>
      <c r="AR256" s="940" t="s">
        <v>46</v>
      </c>
      <c r="AS256" s="13" t="s">
        <v>61</v>
      </c>
      <c r="AT256" s="518" t="str">
        <f>IF(AND(_3="A-321N",'2026'!$J$4="CA",'2026'!$J$2=AT233),'2026DATA'!$C$25,"")</f>
        <v/>
      </c>
      <c r="AU256" s="518" t="str">
        <f>IF(AND(_3="A-321N",'2026'!$J$4="CA",'2026'!$J$2=AU233),'2026DATA'!$D$25,"")</f>
        <v/>
      </c>
      <c r="AV256" s="518" t="str">
        <f>IF(AND(_3="A-321N",'2026'!$J$4="CA",'2026'!$J$2=AV233),'2026DATA'!$E$25,"")</f>
        <v/>
      </c>
      <c r="AW256" s="518" t="str">
        <f>IF(AND(_3="A-321N",'2026'!$J$4="CA",'2026'!$J$2=AW233),'2026DATA'!$F$25,"")</f>
        <v/>
      </c>
      <c r="AX256" s="518" t="str">
        <f>IF(AND(_3="A-321N",'2026'!$J$4="CA",'2026'!$J$2=AX233),'2026DATA'!$G$25,"")</f>
        <v/>
      </c>
      <c r="AY256" s="518" t="str">
        <f>IF(AND(_3="A-321N",'2026'!$J$4="CA",'2026'!$J$2=AY233),'2026DATA'!$H$25,"")</f>
        <v/>
      </c>
      <c r="AZ256" s="518" t="str">
        <f>IF(AND(_3="A-321N",'2026'!$J$4="CA",'2026'!$J$2=AZ233),'2026DATA'!$I$25,"")</f>
        <v/>
      </c>
      <c r="BA256" s="518" t="str">
        <f>IF(AND(_3="A-321N",'2026'!$J$4="CA",'2026'!$J$2=BA233),'2026DATA'!$J$25,"")</f>
        <v/>
      </c>
      <c r="BB256" s="518" t="str">
        <f>IF(AND(_3="A-321N",'2026'!$J$4="CA",'2026'!$J$2=BB233),'2026DATA'!$K$25,"")</f>
        <v/>
      </c>
      <c r="BC256" s="518" t="str">
        <f>IF(AND(_3="A-321N",'2026'!$J$4="CA",'2026'!$J$2=BC233),'2026DATA'!$L$25,"")</f>
        <v/>
      </c>
      <c r="BD256" s="518" t="str">
        <f>IF(AND(_3="A-321N",'2026'!$J$4="CA",'2026'!$J$2=BD233),'2026DATA'!$M$25,"")</f>
        <v/>
      </c>
      <c r="BE256" s="520" t="str">
        <f>IF(AND(_3="A-321N",'2026'!$J$4="CA",'2026'!$J$2=BE233),'2026DATA'!$N$25,"")</f>
        <v/>
      </c>
      <c r="BF256" s="940" t="s">
        <v>46</v>
      </c>
      <c r="BG256" s="13" t="s">
        <v>61</v>
      </c>
      <c r="BH256" s="518" t="str">
        <f>IF(AND(_4="A-321N",'2026'!$J$4="CA",'2026'!$J$2=BH233),'2026DATA'!$C$25,"")</f>
        <v/>
      </c>
      <c r="BI256" s="518" t="str">
        <f>IF(AND(_4="A-321N",'2026'!$J$4="CA",'2026'!$J$2=BI233),'2026DATA'!$D$25,"")</f>
        <v/>
      </c>
      <c r="BJ256" s="518" t="str">
        <f>IF(AND(_4="A-321N",'2026'!$J$4="CA",'2026'!$J$2=BJ233),'2026DATA'!$E$25,"")</f>
        <v/>
      </c>
      <c r="BK256" s="518" t="str">
        <f>IF(AND(_4="A-321N",'2026'!$J$4="CA",'2026'!$J$2=BK233),'2026DATA'!$F$25,"")</f>
        <v/>
      </c>
      <c r="BL256" s="518" t="str">
        <f>IF(AND(_4="A-321N",'2026'!$J$4="CA",'2026'!$J$2=BL233),'2026DATA'!$G$25,"")</f>
        <v/>
      </c>
      <c r="BM256" s="518" t="str">
        <f>IF(AND(_4="A-321N",'2026'!$J$4="CA",'2026'!$J$2=BM233),'2026DATA'!$H$25,"")</f>
        <v/>
      </c>
      <c r="BN256" s="518" t="str">
        <f>IF(AND(_4="A-321N",'2026'!$J$4="CA",'2026'!$J$2=BN233),'2026DATA'!$I$25,"")</f>
        <v/>
      </c>
      <c r="BO256" s="518" t="str">
        <f>IF(AND(_4="A-321N",'2026'!$J$4="CA",'2026'!$J$2=BO233),'2026DATA'!$J$25,"")</f>
        <v/>
      </c>
      <c r="BP256" s="518" t="str">
        <f>IF(AND(_4="A-321N",'2026'!$J$4="CA",'2026'!$J$2=BP233),'2026DATA'!$K$25,"")</f>
        <v/>
      </c>
      <c r="BQ256" s="518" t="str">
        <f>IF(AND(_4="A-321N",'2026'!$J$4="CA",'2026'!$J$2=BQ233),'2026DATA'!$L$25,"")</f>
        <v/>
      </c>
      <c r="BR256" s="518" t="str">
        <f>IF(AND(_4="A-321N",'2026'!$J$4="CA",'2026'!$J$2=BR233),'2026DATA'!$M$25,"")</f>
        <v/>
      </c>
      <c r="BS256" s="520" t="str">
        <f>IF(AND(_4="A-321N",'2026'!$J$4="CA",'2026'!$J$2=BS233),'2026DATA'!$N$25,"")</f>
        <v/>
      </c>
      <c r="BT256" s="940" t="s">
        <v>46</v>
      </c>
      <c r="BU256" s="13" t="s">
        <v>61</v>
      </c>
      <c r="BV256" s="518" t="str">
        <f>IF(AND(_5="A-321N",'2026'!$J$4="CA",'2026'!$J$2=BV233),'2026DATA'!$C$25,"")</f>
        <v/>
      </c>
      <c r="BW256" s="518" t="str">
        <f>IF(AND(_5="A-321N",'2026'!$J$4="CA",'2026'!$J$2=BW233),'2026DATA'!$D$25,"")</f>
        <v/>
      </c>
      <c r="BX256" s="518" t="str">
        <f>IF(AND(_5="A-321N",'2026'!$J$4="CA",'2026'!$J$2=BX233),'2026DATA'!$E$25,"")</f>
        <v/>
      </c>
      <c r="BY256" s="518" t="str">
        <f>IF(AND(_5="A-321N",'2026'!$J$4="CA",'2026'!$J$2=BY233),'2026DATA'!$F$25,"")</f>
        <v/>
      </c>
      <c r="BZ256" s="518" t="str">
        <f>IF(AND(_5="A-321N",'2026'!$J$4="CA",'2026'!$J$2=BZ233),'2026DATA'!$G$25,"")</f>
        <v/>
      </c>
      <c r="CA256" s="518" t="str">
        <f>IF(AND(_5="A-321N",'2026'!$J$4="CA",'2026'!$J$2=CA233),'2026DATA'!$H$25,"")</f>
        <v/>
      </c>
      <c r="CB256" s="518" t="str">
        <f>IF(AND(_5="A-321N",'2026'!$J$4="CA",'2026'!$J$2=CB233),'2026DATA'!$I$25,"")</f>
        <v/>
      </c>
      <c r="CC256" s="518" t="str">
        <f>IF(AND(_5="A-321N",'2026'!$J$4="CA",'2026'!$J$2=CC233),'2026DATA'!$J$25,"")</f>
        <v/>
      </c>
      <c r="CD256" s="518" t="str">
        <f>IF(AND(_5="A-321N",'2026'!$J$4="CA",'2026'!$J$2=CD233),'2026DATA'!$K$25,"")</f>
        <v/>
      </c>
      <c r="CE256" s="518" t="str">
        <f>IF(AND(_5="A-321N",'2026'!$J$4="CA",'2026'!$J$2=CE233),'2026DATA'!$L$25,"")</f>
        <v/>
      </c>
      <c r="CF256" s="518" t="str">
        <f>IF(AND(_5="A-321N",'2026'!$J$4="CA",'2026'!$J$2=CF233),'2026DATA'!$M$25,"")</f>
        <v/>
      </c>
      <c r="CG256" s="520" t="str">
        <f>IF(AND(_5="A-321N",'2026'!$J$4="CA",'2026'!$J$2=CG233),'2026DATA'!$N$25,"")</f>
        <v/>
      </c>
      <c r="CH256" s="940" t="s">
        <v>46</v>
      </c>
      <c r="CI256" s="13" t="s">
        <v>61</v>
      </c>
      <c r="CJ256" s="518" t="str">
        <f>IF(AND(_6="A-321N",'2026'!$J$4="CA",'2026'!$J$2=CJ233),'2026DATA'!$C$25,"")</f>
        <v/>
      </c>
      <c r="CK256" s="518" t="str">
        <f>IF(AND(_6="A-321N",'2026'!$J$4="CA",'2026'!$J$2=CK233),'2026DATA'!$D$25,"")</f>
        <v/>
      </c>
      <c r="CL256" s="518" t="str">
        <f>IF(AND(_6="A-321N",'2026'!$J$4="CA",'2026'!$J$2=CL233),'2026DATA'!$E$25,"")</f>
        <v/>
      </c>
      <c r="CM256" s="518" t="str">
        <f>IF(AND(_6="A-321N",'2026'!$J$4="CA",'2026'!$J$2=CM233),'2026DATA'!$F$25,"")</f>
        <v/>
      </c>
      <c r="CN256" s="518" t="str">
        <f>IF(AND(_6="A-321N",'2026'!$J$4="CA",'2026'!$J$2=CN233),'2026DATA'!$G$25,"")</f>
        <v/>
      </c>
      <c r="CO256" s="518" t="str">
        <f>IF(AND(_6="A-321N",'2026'!$J$4="CA",'2026'!$J$2=CO233),'2026DATA'!$H$25,"")</f>
        <v/>
      </c>
      <c r="CP256" s="518" t="str">
        <f>IF(AND(_6="A-321N",'2026'!$J$4="CA",'2026'!$J$2=CP233),'2026DATA'!$I$25,"")</f>
        <v/>
      </c>
      <c r="CQ256" s="518" t="str">
        <f>IF(AND(_6="A-321N",'2026'!$J$4="CA",'2026'!$J$2=CQ233),'2026DATA'!$J$25,"")</f>
        <v/>
      </c>
      <c r="CR256" s="518" t="str">
        <f>IF(AND(_6="A-321N",'2026'!$J$4="CA",'2026'!$J$2=CR233),'2026DATA'!$K$25,"")</f>
        <v/>
      </c>
      <c r="CS256" s="518" t="str">
        <f>IF(AND(_6="A-321N",'2026'!$J$4="CA",'2026'!$J$2=CS233),'2026DATA'!$L$25,"")</f>
        <v/>
      </c>
      <c r="CT256" s="518" t="str">
        <f>IF(AND(_6="A-321N",'2026'!$J$4="CA",'2026'!$J$2=CT233),'2026DATA'!$M$25,"")</f>
        <v/>
      </c>
      <c r="CU256" s="520" t="str">
        <f>IF(AND(_6="A-321N",'2026'!$J$4="CA",'2026'!$J$2=CU233),'2026DATA'!$N$25,"")</f>
        <v/>
      </c>
    </row>
    <row r="257" spans="16:99" x14ac:dyDescent="0.25">
      <c r="P257" s="940"/>
      <c r="Q257" s="13" t="s">
        <v>62</v>
      </c>
      <c r="R257" s="518" t="str">
        <f>IF(AND(_1="A-321N",'2026'!$J$4="FO",'2026'!$J$2=R233),'2026DATA'!$C$26,"")</f>
        <v/>
      </c>
      <c r="S257" s="518" t="str">
        <f>IF(AND(_1="A-321N",'2026'!$J$4="FO",'2026'!$J$2=S233),'2026DATA'!$D$26,"")</f>
        <v/>
      </c>
      <c r="T257" s="518" t="str">
        <f>IF(AND(_1="A-321N",'2026'!$J$4="FO",'2026'!$J$2=T233),'2026DATA'!$E$26,"")</f>
        <v/>
      </c>
      <c r="U257" s="518" t="str">
        <f>IF(AND(_1="A-321N",'2026'!$J$4="FO",'2026'!$J$2=U233),'2026DATA'!$F$26,"")</f>
        <v/>
      </c>
      <c r="V257" s="518" t="str">
        <f>IF(AND(_1="A-321N",'2026'!$J$4="FO",'2026'!$J$2=V233),'2026DATA'!$G$26,"")</f>
        <v/>
      </c>
      <c r="W257" s="518" t="str">
        <f>IF(AND(_1="A-321N",'2026'!$J$4="FO",'2026'!$J$2=W233),'2026DATA'!$H$26,"")</f>
        <v/>
      </c>
      <c r="X257" s="518" t="str">
        <f>IF(AND(_1="A-321N",'2026'!$J$4="FO",'2026'!$J$2=X233),'2026DATA'!$I$26,"")</f>
        <v/>
      </c>
      <c r="Y257" s="518" t="str">
        <f>IF(AND(_1="A-321N",'2026'!$J$4="FO",'2026'!$J$2=Y233),'2026DATA'!$J$26,"")</f>
        <v/>
      </c>
      <c r="Z257" s="518" t="str">
        <f>IF(AND(_1="A-321N",'2026'!$J$4="FO",'2026'!$J$2=Z233),'2026DATA'!$K$26,"")</f>
        <v/>
      </c>
      <c r="AA257" s="518" t="str">
        <f>IF(AND(_1="A-321N",'2026'!$J$4="FO",'2026'!$J$2=AA233),'2026DATA'!$L$26,"")</f>
        <v/>
      </c>
      <c r="AB257" s="518" t="str">
        <f>IF(AND(_1="A-321N",'2026'!$J$4="FO",'2026'!$J$2=AB233),'2026DATA'!$M$26,"")</f>
        <v/>
      </c>
      <c r="AC257" s="520" t="str">
        <f>IF(AND(_1="A-321N",'2026'!$J$4="FO",'2026'!$J$2=AC233),'2026DATA'!$N$26,"")</f>
        <v/>
      </c>
      <c r="AD257" s="940"/>
      <c r="AE257" s="13" t="s">
        <v>62</v>
      </c>
      <c r="AF257" s="518" t="str">
        <f>IF(AND(_2="A-321N",'2026'!$J$4="FO",'2026'!$J$2=AF233),'2026DATA'!$C$26,"")</f>
        <v/>
      </c>
      <c r="AG257" s="518" t="str">
        <f>IF(AND(_2="A-321N",'2026'!$J$4="FO",'2026'!$J$2=AG233),'2026DATA'!$D$26,"")</f>
        <v/>
      </c>
      <c r="AH257" s="518" t="str">
        <f>IF(AND(_2="A-321N",'2026'!$J$4="FO",'2026'!$J$2=AH233),'2026DATA'!$E$26,"")</f>
        <v/>
      </c>
      <c r="AI257" s="518" t="str">
        <f>IF(AND(_2="A-321N",'2026'!$J$4="FO",'2026'!$J$2=AI233),'2026DATA'!$F$26,"")</f>
        <v/>
      </c>
      <c r="AJ257" s="518" t="str">
        <f>IF(AND(_2="A-321N",'2026'!$J$4="FO",'2026'!$J$2=AJ233),'2026DATA'!$G$26,"")</f>
        <v/>
      </c>
      <c r="AK257" s="518" t="str">
        <f>IF(AND(_2="A-321N",'2026'!$J$4="FO",'2026'!$J$2=AK233),'2026DATA'!$H$26,"")</f>
        <v/>
      </c>
      <c r="AL257" s="518" t="str">
        <f>IF(AND(_2="A-321N",'2026'!$J$4="FO",'2026'!$J$2=AL233),'2026DATA'!$I$26,"")</f>
        <v/>
      </c>
      <c r="AM257" s="518" t="str">
        <f>IF(AND(_2="A-321N",'2026'!$J$4="FO",'2026'!$J$2=AM233),'2026DATA'!$J$26,"")</f>
        <v/>
      </c>
      <c r="AN257" s="518" t="str">
        <f>IF(AND(_2="A-321N",'2026'!$J$4="FO",'2026'!$J$2=AN233),'2026DATA'!$K$26,"")</f>
        <v/>
      </c>
      <c r="AO257" s="518" t="str">
        <f>IF(AND(_2="A-321N",'2026'!$J$4="FO",'2026'!$J$2=AO233),'2026DATA'!$L$26,"")</f>
        <v/>
      </c>
      <c r="AP257" s="518" t="str">
        <f>IF(AND(_2="A-321N",'2026'!$J$4="FO",'2026'!$J$2=AP233),'2026DATA'!$M$26,"")</f>
        <v/>
      </c>
      <c r="AQ257" s="520" t="str">
        <f>IF(AND(_2="A-321N",'2026'!$J$4="FO",'2026'!$J$2=AQ233),'2026DATA'!$N$26,"")</f>
        <v/>
      </c>
      <c r="AR257" s="940"/>
      <c r="AS257" s="13" t="s">
        <v>62</v>
      </c>
      <c r="AT257" s="518" t="str">
        <f>IF(AND(_3="A-321N",'2026'!$J$4="FO",'2026'!$J$2=AT233),'2026DATA'!$C$26,"")</f>
        <v/>
      </c>
      <c r="AU257" s="518" t="str">
        <f>IF(AND(_3="A-321N",'2026'!$J$4="FO",'2026'!$J$2=AU233),'2026DATA'!$D$26,"")</f>
        <v/>
      </c>
      <c r="AV257" s="518" t="str">
        <f>IF(AND(_3="A-321N",'2026'!$J$4="FO",'2026'!$J$2=AV233),'2026DATA'!$E$26,"")</f>
        <v/>
      </c>
      <c r="AW257" s="518" t="str">
        <f>IF(AND(_3="A-321N",'2026'!$J$4="FO",'2026'!$J$2=AW233),'2026DATA'!$F$26,"")</f>
        <v/>
      </c>
      <c r="AX257" s="518" t="str">
        <f>IF(AND(_3="A-321N",'2026'!$J$4="FO",'2026'!$J$2=AX233),'2026DATA'!$G$26,"")</f>
        <v/>
      </c>
      <c r="AY257" s="518" t="str">
        <f>IF(AND(_3="A-321N",'2026'!$J$4="FO",'2026'!$J$2=AY233),'2026DATA'!$H$26,"")</f>
        <v/>
      </c>
      <c r="AZ257" s="518" t="str">
        <f>IF(AND(_3="A-321N",'2026'!$J$4="FO",'2026'!$J$2=AZ233),'2026DATA'!$I$26,"")</f>
        <v/>
      </c>
      <c r="BA257" s="518" t="str">
        <f>IF(AND(_3="A-321N",'2026'!$J$4="FO",'2026'!$J$2=BA233),'2026DATA'!$J$26,"")</f>
        <v/>
      </c>
      <c r="BB257" s="518" t="str">
        <f>IF(AND(_3="A-321N",'2026'!$J$4="FO",'2026'!$J$2=BB233),'2026DATA'!$K$26,"")</f>
        <v/>
      </c>
      <c r="BC257" s="518" t="str">
        <f>IF(AND(_3="A-321N",'2026'!$J$4="FO",'2026'!$J$2=BC233),'2026DATA'!$L$26,"")</f>
        <v/>
      </c>
      <c r="BD257" s="518" t="str">
        <f>IF(AND(_3="A-321N",'2026'!$J$4="FO",'2026'!$J$2=BD233),'2026DATA'!$M$26,"")</f>
        <v/>
      </c>
      <c r="BE257" s="520" t="str">
        <f>IF(AND(_3="A-321N",'2026'!$J$4="FO",'2026'!$J$2=BE233),'2026DATA'!$N$26,"")</f>
        <v/>
      </c>
      <c r="BF257" s="940"/>
      <c r="BG257" s="13" t="s">
        <v>62</v>
      </c>
      <c r="BH257" s="518" t="str">
        <f>IF(AND(_4="A-321N",'2026'!$J$4="FO",'2026'!$J$2=BH233),'2026DATA'!$C$26,"")</f>
        <v/>
      </c>
      <c r="BI257" s="518" t="str">
        <f>IF(AND(_4="A-321N",'2026'!$J$4="FO",'2026'!$J$2=BI233),'2026DATA'!$D$26,"")</f>
        <v/>
      </c>
      <c r="BJ257" s="518" t="str">
        <f>IF(AND(_4="A-321N",'2026'!$J$4="FO",'2026'!$J$2=BJ233),'2026DATA'!$E$26,"")</f>
        <v/>
      </c>
      <c r="BK257" s="518" t="str">
        <f>IF(AND(_4="A-321N",'2026'!$J$4="FO",'2026'!$J$2=BK233),'2026DATA'!$F$26,"")</f>
        <v/>
      </c>
      <c r="BL257" s="518" t="str">
        <f>IF(AND(_4="A-321N",'2026'!$J$4="FO",'2026'!$J$2=BL233),'2026DATA'!$G$26,"")</f>
        <v/>
      </c>
      <c r="BM257" s="518" t="str">
        <f>IF(AND(_4="A-321N",'2026'!$J$4="FO",'2026'!$J$2=BM233),'2026DATA'!$H$26,"")</f>
        <v/>
      </c>
      <c r="BN257" s="518" t="str">
        <f>IF(AND(_4="A-321N",'2026'!$J$4="FO",'2026'!$J$2=BN233),'2026DATA'!$I$26,"")</f>
        <v/>
      </c>
      <c r="BO257" s="518" t="str">
        <f>IF(AND(_4="A-321N",'2026'!$J$4="FO",'2026'!$J$2=BO233),'2026DATA'!$J$26,"")</f>
        <v/>
      </c>
      <c r="BP257" s="518" t="str">
        <f>IF(AND(_4="A-321N",'2026'!$J$4="FO",'2026'!$J$2=BP233),'2026DATA'!$K$26,"")</f>
        <v/>
      </c>
      <c r="BQ257" s="518" t="str">
        <f>IF(AND(_4="A-321N",'2026'!$J$4="FO",'2026'!$J$2=BQ233),'2026DATA'!$L$26,"")</f>
        <v/>
      </c>
      <c r="BR257" s="518" t="str">
        <f>IF(AND(_4="A-321N",'2026'!$J$4="FO",'2026'!$J$2=BR233),'2026DATA'!$M$26,"")</f>
        <v/>
      </c>
      <c r="BS257" s="520" t="str">
        <f>IF(AND(_4="A-321N",'2026'!$J$4="FO",'2026'!$J$2=BS233),'2026DATA'!$N$26,"")</f>
        <v/>
      </c>
      <c r="BT257" s="940"/>
      <c r="BU257" s="13" t="s">
        <v>62</v>
      </c>
      <c r="BV257" s="518" t="str">
        <f>IF(AND(_5="A-321N",'2026'!$J$4="FO",'2026'!$J$2=BV233),'2026DATA'!$C$26,"")</f>
        <v/>
      </c>
      <c r="BW257" s="518" t="str">
        <f>IF(AND(_5="A-321N",'2026'!$J$4="FO",'2026'!$J$2=BW233),'2026DATA'!$D$26,"")</f>
        <v/>
      </c>
      <c r="BX257" s="518" t="str">
        <f>IF(AND(_5="A-321N",'2026'!$J$4="FO",'2026'!$J$2=BX233),'2026DATA'!$E$26,"")</f>
        <v/>
      </c>
      <c r="BY257" s="518" t="str">
        <f>IF(AND(_5="A-321N",'2026'!$J$4="FO",'2026'!$J$2=BY233),'2026DATA'!$F$26,"")</f>
        <v/>
      </c>
      <c r="BZ257" s="518" t="str">
        <f>IF(AND(_5="A-321N",'2026'!$J$4="FO",'2026'!$J$2=BZ233),'2026DATA'!$G$26,"")</f>
        <v/>
      </c>
      <c r="CA257" s="518" t="str">
        <f>IF(AND(_5="A-321N",'2026'!$J$4="FO",'2026'!$J$2=CA233),'2026DATA'!$H$26,"")</f>
        <v/>
      </c>
      <c r="CB257" s="518" t="str">
        <f>IF(AND(_5="A-321N",'2026'!$J$4="FO",'2026'!$J$2=CB233),'2026DATA'!$I$26,"")</f>
        <v/>
      </c>
      <c r="CC257" s="518" t="str">
        <f>IF(AND(_5="A-321N",'2026'!$J$4="FO",'2026'!$J$2=CC233),'2026DATA'!$J$26,"")</f>
        <v/>
      </c>
      <c r="CD257" s="518" t="str">
        <f>IF(AND(_5="A-321N",'2026'!$J$4="FO",'2026'!$J$2=CD233),'2026DATA'!$K$26,"")</f>
        <v/>
      </c>
      <c r="CE257" s="518" t="str">
        <f>IF(AND(_5="A-321N",'2026'!$J$4="FO",'2026'!$J$2=CE233),'2026DATA'!$L$26,"")</f>
        <v/>
      </c>
      <c r="CF257" s="518" t="str">
        <f>IF(AND(_5="A-321N",'2026'!$J$4="FO",'2026'!$J$2=CF233),'2026DATA'!$M$26,"")</f>
        <v/>
      </c>
      <c r="CG257" s="520" t="str">
        <f>IF(AND(_5="A-321N",'2026'!$J$4="FO",'2026'!$J$2=CG233),'2026DATA'!$N$26,"")</f>
        <v/>
      </c>
      <c r="CH257" s="940"/>
      <c r="CI257" s="13" t="s">
        <v>62</v>
      </c>
      <c r="CJ257" s="518" t="str">
        <f>IF(AND(_6="A-321N",'2026'!$J$4="FO",'2026'!$J$2=CJ233),'2026DATA'!$C$26,"")</f>
        <v/>
      </c>
      <c r="CK257" s="518" t="str">
        <f>IF(AND(_6="A-321N",'2026'!$J$4="FO",'2026'!$J$2=CK233),'2026DATA'!$D$26,"")</f>
        <v/>
      </c>
      <c r="CL257" s="518" t="str">
        <f>IF(AND(_6="A-321N",'2026'!$J$4="FO",'2026'!$J$2=CL233),'2026DATA'!$E$26,"")</f>
        <v/>
      </c>
      <c r="CM257" s="518" t="str">
        <f>IF(AND(_6="A-321N",'2026'!$J$4="FO",'2026'!$J$2=CM233),'2026DATA'!$F$26,"")</f>
        <v/>
      </c>
      <c r="CN257" s="518" t="str">
        <f>IF(AND(_6="A-321N",'2026'!$J$4="FO",'2026'!$J$2=CN233),'2026DATA'!$G$26,"")</f>
        <v/>
      </c>
      <c r="CO257" s="518" t="str">
        <f>IF(AND(_6="A-321N",'2026'!$J$4="FO",'2026'!$J$2=CO233),'2026DATA'!$H$26,"")</f>
        <v/>
      </c>
      <c r="CP257" s="518" t="str">
        <f>IF(AND(_6="A-321N",'2026'!$J$4="FO",'2026'!$J$2=CP233),'2026DATA'!$I$26,"")</f>
        <v/>
      </c>
      <c r="CQ257" s="518" t="str">
        <f>IF(AND(_6="A-321N",'2026'!$J$4="FO",'2026'!$J$2=CQ233),'2026DATA'!$J$26,"")</f>
        <v/>
      </c>
      <c r="CR257" s="518" t="str">
        <f>IF(AND(_6="A-321N",'2026'!$J$4="FO",'2026'!$J$2=CR233),'2026DATA'!$K$26,"")</f>
        <v/>
      </c>
      <c r="CS257" s="518" t="str">
        <f>IF(AND(_6="A-321N",'2026'!$J$4="FO",'2026'!$J$2=CS233),'2026DATA'!$L$26,"")</f>
        <v/>
      </c>
      <c r="CT257" s="518" t="str">
        <f>IF(AND(_6="A-321N",'2026'!$J$4="FO",'2026'!$J$2=CT233),'2026DATA'!$M$26,"")</f>
        <v/>
      </c>
      <c r="CU257" s="520" t="str">
        <f>IF(AND(_6="A-321N",'2026'!$J$4="FO",'2026'!$J$2=CU233),'2026DATA'!$N$26,"")</f>
        <v/>
      </c>
    </row>
    <row r="258" spans="16:99" x14ac:dyDescent="0.25">
      <c r="P258" s="940" t="s">
        <v>48</v>
      </c>
      <c r="Q258" s="13" t="s">
        <v>61</v>
      </c>
      <c r="R258" s="518" t="str">
        <f>IF(AND(_1="A-321",'2026'!$J$4="CA",'2026'!$J$2=R233),'2026DATA'!$C$27,"")</f>
        <v/>
      </c>
      <c r="S258" s="518" t="str">
        <f>IF(AND(_1="A-321",'2026'!$J$4="CA",'2026'!$J$2=S233),'2026DATA'!$D$27,"")</f>
        <v/>
      </c>
      <c r="T258" s="518" t="str">
        <f>IF(AND(_1="A-321",'2026'!$J$4="CA",'2026'!$J$2=T233),'2026DATA'!$E$27,"")</f>
        <v/>
      </c>
      <c r="U258" s="518" t="str">
        <f>IF(AND(_1="A-321",'2026'!$J$4="CA",'2026'!$J$2=U233),'2026DATA'!$F$27,"")</f>
        <v/>
      </c>
      <c r="V258" s="518" t="str">
        <f>IF(AND(_1="A-321",'2026'!$J$4="CA",'2026'!$J$2=V233),'2026DATA'!$G$27,"")</f>
        <v/>
      </c>
      <c r="W258" s="518" t="str">
        <f>IF(AND(_1="A-321",'2026'!$J$4="CA",'2026'!$J$2=W233),'2026DATA'!$H$27,"")</f>
        <v/>
      </c>
      <c r="X258" s="518" t="str">
        <f>IF(AND(_1="A-321",'2026'!$J$4="CA",'2026'!$J$2=X233),'2026DATA'!$I$27,"")</f>
        <v/>
      </c>
      <c r="Y258" s="518" t="str">
        <f>IF(AND(_1="A-321",'2026'!$J$4="CA",'2026'!$J$2=Y233),'2026DATA'!$J$27,"")</f>
        <v/>
      </c>
      <c r="Z258" s="518" t="str">
        <f>IF(AND(_1="A-321",'2026'!$J$4="CA",'2026'!$J$2=Z233),'2026DATA'!$K$27,"")</f>
        <v/>
      </c>
      <c r="AA258" s="518" t="str">
        <f>IF(AND(_1="A-321",'2026'!$J$4="CA",'2026'!$J$2=AA233),'2026DATA'!$L$27,"")</f>
        <v/>
      </c>
      <c r="AB258" s="518" t="str">
        <f>IF(AND(_1="A-321",'2026'!$J$4="CA",'2026'!$J$2=AB233),'2026DATA'!$M$27,"")</f>
        <v/>
      </c>
      <c r="AC258" s="520" t="str">
        <f>IF(AND(_1="A-321",'2026'!$J$4="CA",'2026'!$J$2=AC233),'2026DATA'!$N$27,"")</f>
        <v/>
      </c>
      <c r="AD258" s="940" t="s">
        <v>48</v>
      </c>
      <c r="AE258" s="13" t="s">
        <v>61</v>
      </c>
      <c r="AF258" s="518" t="str">
        <f>IF(AND(_2="A-321",'2026'!$J$4="CA",'2026'!$J$2=AF233),'2026DATA'!$C$27,"")</f>
        <v/>
      </c>
      <c r="AG258" s="518" t="str">
        <f>IF(AND(_2="A-321",'2026'!$J$4="CA",'2026'!$J$2=AG233),'2026DATA'!$D$27,"")</f>
        <v/>
      </c>
      <c r="AH258" s="518" t="str">
        <f>IF(AND(_2="A-321",'2026'!$J$4="CA",'2026'!$J$2=AH233),'2026DATA'!$E$27,"")</f>
        <v/>
      </c>
      <c r="AI258" s="518" t="str">
        <f>IF(AND(_2="A-321",'2026'!$J$4="CA",'2026'!$J$2=AI233),'2026DATA'!$F$27,"")</f>
        <v/>
      </c>
      <c r="AJ258" s="518" t="str">
        <f>IF(AND(_2="A-321",'2026'!$J$4="CA",'2026'!$J$2=AJ233),'2026DATA'!$G$27,"")</f>
        <v/>
      </c>
      <c r="AK258" s="518" t="str">
        <f>IF(AND(_2="A-321",'2026'!$J$4="CA",'2026'!$J$2=AK233),'2026DATA'!$H$27,"")</f>
        <v/>
      </c>
      <c r="AL258" s="518" t="str">
        <f>IF(AND(_2="A-321",'2026'!$J$4="CA",'2026'!$J$2=AL233),'2026DATA'!$I$27,"")</f>
        <v/>
      </c>
      <c r="AM258" s="518" t="str">
        <f>IF(AND(_2="A-321",'2026'!$J$4="CA",'2026'!$J$2=AM233),'2026DATA'!$J$27,"")</f>
        <v/>
      </c>
      <c r="AN258" s="518" t="str">
        <f>IF(AND(_2="A-321",'2026'!$J$4="CA",'2026'!$J$2=AN233),'2026DATA'!$K$27,"")</f>
        <v/>
      </c>
      <c r="AO258" s="518" t="str">
        <f>IF(AND(_2="A-321",'2026'!$J$4="CA",'2026'!$J$2=AO233),'2026DATA'!$L$27,"")</f>
        <v/>
      </c>
      <c r="AP258" s="518" t="str">
        <f>IF(AND(_2="A-321",'2026'!$J$4="CA",'2026'!$J$2=AP233),'2026DATA'!$M$27,"")</f>
        <v/>
      </c>
      <c r="AQ258" s="520" t="str">
        <f>IF(AND(_2="A-321",'2026'!$J$4="CA",'2026'!$J$2=AQ233),'2026DATA'!$N$27,"")</f>
        <v/>
      </c>
      <c r="AR258" s="940" t="s">
        <v>48</v>
      </c>
      <c r="AS258" s="13" t="s">
        <v>61</v>
      </c>
      <c r="AT258" s="518" t="str">
        <f>IF(AND(_3="A-321",'2026'!$J$4="CA",'2026'!$J$2=AT233),'2026DATA'!$C$27,"")</f>
        <v/>
      </c>
      <c r="AU258" s="518" t="str">
        <f>IF(AND(_3="A-321",'2026'!$J$4="CA",'2026'!$J$2=AU233),'2026DATA'!$D$27,"")</f>
        <v/>
      </c>
      <c r="AV258" s="518" t="str">
        <f>IF(AND(_3="A-321",'2026'!$J$4="CA",'2026'!$J$2=AV233),'2026DATA'!$E$27,"")</f>
        <v/>
      </c>
      <c r="AW258" s="518" t="str">
        <f>IF(AND(_3="A-321",'2026'!$J$4="CA",'2026'!$J$2=AW233),'2026DATA'!$F$27,"")</f>
        <v/>
      </c>
      <c r="AX258" s="518" t="str">
        <f>IF(AND(_3="A-321",'2026'!$J$4="CA",'2026'!$J$2=AX233),'2026DATA'!$G$27,"")</f>
        <v/>
      </c>
      <c r="AY258" s="518" t="str">
        <f>IF(AND(_3="A-321",'2026'!$J$4="CA",'2026'!$J$2=AY233),'2026DATA'!$H$27,"")</f>
        <v/>
      </c>
      <c r="AZ258" s="518" t="str">
        <f>IF(AND(_3="A-321",'2026'!$J$4="CA",'2026'!$J$2=AZ233),'2026DATA'!$I$27,"")</f>
        <v/>
      </c>
      <c r="BA258" s="518" t="str">
        <f>IF(AND(_3="A-321",'2026'!$J$4="CA",'2026'!$J$2=BA233),'2026DATA'!$J$27,"")</f>
        <v/>
      </c>
      <c r="BB258" s="518" t="str">
        <f>IF(AND(_3="A-321",'2026'!$J$4="CA",'2026'!$J$2=BB233),'2026DATA'!$K$27,"")</f>
        <v/>
      </c>
      <c r="BC258" s="518" t="str">
        <f>IF(AND(_3="A-321",'2026'!$J$4="CA",'2026'!$J$2=BC233),'2026DATA'!$L$27,"")</f>
        <v/>
      </c>
      <c r="BD258" s="518" t="str">
        <f>IF(AND(_3="A-321",'2026'!$J$4="CA",'2026'!$J$2=BD233),'2026DATA'!$M$27,"")</f>
        <v/>
      </c>
      <c r="BE258" s="520" t="str">
        <f>IF(AND(_3="A-321",'2026'!$J$4="CA",'2026'!$J$2=BE233),'2026DATA'!$N$27,"")</f>
        <v/>
      </c>
      <c r="BF258" s="940" t="s">
        <v>48</v>
      </c>
      <c r="BG258" s="13" t="s">
        <v>61</v>
      </c>
      <c r="BH258" s="518" t="str">
        <f>IF(AND(_4="A-321",'2026'!$J$4="CA",'2026'!$J$2=BH233),'2026DATA'!$C$27,"")</f>
        <v/>
      </c>
      <c r="BI258" s="518" t="str">
        <f>IF(AND(_4="A-321",'2026'!$J$4="CA",'2026'!$J$2=BI233),'2026DATA'!$D$27,"")</f>
        <v/>
      </c>
      <c r="BJ258" s="518" t="str">
        <f>IF(AND(_4="A-321",'2026'!$J$4="CA",'2026'!$J$2=BJ233),'2026DATA'!$E$27,"")</f>
        <v/>
      </c>
      <c r="BK258" s="518" t="str">
        <f>IF(AND(_4="A-321",'2026'!$J$4="CA",'2026'!$J$2=BK233),'2026DATA'!$F$27,"")</f>
        <v/>
      </c>
      <c r="BL258" s="518" t="str">
        <f>IF(AND(_4="A-321",'2026'!$J$4="CA",'2026'!$J$2=BL233),'2026DATA'!$G$27,"")</f>
        <v/>
      </c>
      <c r="BM258" s="518" t="str">
        <f>IF(AND(_4="A-321",'2026'!$J$4="CA",'2026'!$J$2=BM233),'2026DATA'!$H$27,"")</f>
        <v/>
      </c>
      <c r="BN258" s="518" t="str">
        <f>IF(AND(_4="A-321",'2026'!$J$4="CA",'2026'!$J$2=BN233),'2026DATA'!$I$27,"")</f>
        <v/>
      </c>
      <c r="BO258" s="518" t="str">
        <f>IF(AND(_4="A-321",'2026'!$J$4="CA",'2026'!$J$2=BO233),'2026DATA'!$J$27,"")</f>
        <v/>
      </c>
      <c r="BP258" s="518" t="str">
        <f>IF(AND(_4="A-321",'2026'!$J$4="CA",'2026'!$J$2=BP233),'2026DATA'!$K$27,"")</f>
        <v/>
      </c>
      <c r="BQ258" s="518" t="str">
        <f>IF(AND(_4="A-321",'2026'!$J$4="CA",'2026'!$J$2=BQ233),'2026DATA'!$L$27,"")</f>
        <v/>
      </c>
      <c r="BR258" s="518" t="str">
        <f>IF(AND(_4="A-321",'2026'!$J$4="CA",'2026'!$J$2=BR233),'2026DATA'!$M$27,"")</f>
        <v/>
      </c>
      <c r="BS258" s="520" t="str">
        <f>IF(AND(_4="A-321",'2026'!$J$4="CA",'2026'!$J$2=BS233),'2026DATA'!$N$27,"")</f>
        <v/>
      </c>
      <c r="BT258" s="940" t="s">
        <v>48</v>
      </c>
      <c r="BU258" s="13" t="s">
        <v>61</v>
      </c>
      <c r="BV258" s="518" t="str">
        <f>IF(AND(_5="A-321",'2026'!$J$4="CA",'2026'!$J$2=BV233),'2026DATA'!$C$27,"")</f>
        <v/>
      </c>
      <c r="BW258" s="518" t="str">
        <f>IF(AND(_5="A-321",'2026'!$J$4="CA",'2026'!$J$2=BW233),'2026DATA'!$D$27,"")</f>
        <v/>
      </c>
      <c r="BX258" s="518" t="str">
        <f>IF(AND(_5="A-321",'2026'!$J$4="CA",'2026'!$J$2=BX233),'2026DATA'!$E$27,"")</f>
        <v/>
      </c>
      <c r="BY258" s="518" t="str">
        <f>IF(AND(_5="A-321",'2026'!$J$4="CA",'2026'!$J$2=BY233),'2026DATA'!$F$27,"")</f>
        <v/>
      </c>
      <c r="BZ258" s="518" t="str">
        <f>IF(AND(_5="A-321",'2026'!$J$4="CA",'2026'!$J$2=BZ233),'2026DATA'!$G$27,"")</f>
        <v/>
      </c>
      <c r="CA258" s="518" t="str">
        <f>IF(AND(_5="A-321",'2026'!$J$4="CA",'2026'!$J$2=CA233),'2026DATA'!$H$27,"")</f>
        <v/>
      </c>
      <c r="CB258" s="518" t="str">
        <f>IF(AND(_5="A-321",'2026'!$J$4="CA",'2026'!$J$2=CB233),'2026DATA'!$I$27,"")</f>
        <v/>
      </c>
      <c r="CC258" s="518" t="str">
        <f>IF(AND(_5="A-321",'2026'!$J$4="CA",'2026'!$J$2=CC233),'2026DATA'!$J$27,"")</f>
        <v/>
      </c>
      <c r="CD258" s="518" t="str">
        <f>IF(AND(_5="A-321",'2026'!$J$4="CA",'2026'!$J$2=CD233),'2026DATA'!$K$27,"")</f>
        <v/>
      </c>
      <c r="CE258" s="518" t="str">
        <f>IF(AND(_5="A-321",'2026'!$J$4="CA",'2026'!$J$2=CE233),'2026DATA'!$L$27,"")</f>
        <v/>
      </c>
      <c r="CF258" s="518" t="str">
        <f>IF(AND(_5="A-321",'2026'!$J$4="CA",'2026'!$J$2=CF233),'2026DATA'!$M$27,"")</f>
        <v/>
      </c>
      <c r="CG258" s="520" t="str">
        <f>IF(AND(_5="A-321",'2026'!$J$4="CA",'2026'!$J$2=CG233),'2026DATA'!$N$27,"")</f>
        <v/>
      </c>
      <c r="CH258" s="940" t="s">
        <v>48</v>
      </c>
      <c r="CI258" s="13" t="s">
        <v>61</v>
      </c>
      <c r="CJ258" s="518" t="str">
        <f>IF(AND(_6="A-321",'2026'!$J$4="CA",'2026'!$J$2=CJ233),'2026DATA'!$C$27,"")</f>
        <v/>
      </c>
      <c r="CK258" s="518" t="str">
        <f>IF(AND(_6="A-321",'2026'!$J$4="CA",'2026'!$J$2=CK233),'2026DATA'!$D$27,"")</f>
        <v/>
      </c>
      <c r="CL258" s="518" t="str">
        <f>IF(AND(_6="A-321",'2026'!$J$4="CA",'2026'!$J$2=CL233),'2026DATA'!$E$27,"")</f>
        <v/>
      </c>
      <c r="CM258" s="518" t="str">
        <f>IF(AND(_6="A-321",'2026'!$J$4="CA",'2026'!$J$2=CM233),'2026DATA'!$F$27,"")</f>
        <v/>
      </c>
      <c r="CN258" s="518" t="str">
        <f>IF(AND(_6="A-321",'2026'!$J$4="CA",'2026'!$J$2=CN233),'2026DATA'!$G$27,"")</f>
        <v/>
      </c>
      <c r="CO258" s="518" t="str">
        <f>IF(AND(_6="A-321",'2026'!$J$4="CA",'2026'!$J$2=CO233),'2026DATA'!$H$27,"")</f>
        <v/>
      </c>
      <c r="CP258" s="518" t="str">
        <f>IF(AND(_6="A-321",'2026'!$J$4="CA",'2026'!$J$2=CP233),'2026DATA'!$I$27,"")</f>
        <v/>
      </c>
      <c r="CQ258" s="518" t="str">
        <f>IF(AND(_6="A-321",'2026'!$J$4="CA",'2026'!$J$2=CQ233),'2026DATA'!$J$27,"")</f>
        <v/>
      </c>
      <c r="CR258" s="518" t="str">
        <f>IF(AND(_6="A-321",'2026'!$J$4="CA",'2026'!$J$2=CR233),'2026DATA'!$K$27,"")</f>
        <v/>
      </c>
      <c r="CS258" s="518" t="str">
        <f>IF(AND(_6="A-321",'2026'!$J$4="CA",'2026'!$J$2=CS233),'2026DATA'!$L$27,"")</f>
        <v/>
      </c>
      <c r="CT258" s="518" t="str">
        <f>IF(AND(_6="A-321",'2026'!$J$4="CA",'2026'!$J$2=CT233),'2026DATA'!$M$27,"")</f>
        <v/>
      </c>
      <c r="CU258" s="520" t="str">
        <f>IF(AND(_6="A-321",'2026'!$J$4="CA",'2026'!$J$2=CU233),'2026DATA'!$N$27,"")</f>
        <v/>
      </c>
    </row>
    <row r="259" spans="16:99" x14ac:dyDescent="0.25">
      <c r="P259" s="940"/>
      <c r="Q259" s="13" t="s">
        <v>62</v>
      </c>
      <c r="R259" s="518" t="str">
        <f>IF(AND(_1="A-321",'2026'!$J$4="FO",'2026'!$J$2=R233),'2026DATA'!$C$28,"")</f>
        <v/>
      </c>
      <c r="S259" s="518" t="str">
        <f>IF(AND(_1="A-321",'2026'!$J$4="FO",'2026'!$J$2=S233),'2026DATA'!$D$28,"")</f>
        <v/>
      </c>
      <c r="T259" s="518" t="str">
        <f>IF(AND(_1="A-321",'2026'!$J$4="FO",'2026'!$J$2=T233),'2026DATA'!$E$28,"")</f>
        <v/>
      </c>
      <c r="U259" s="518" t="str">
        <f>IF(AND(_1="A-321",'2026'!$J$4="FO",'2026'!$J$2=U233),'2026DATA'!$F$28,"")</f>
        <v/>
      </c>
      <c r="V259" s="518" t="str">
        <f>IF(AND(_1="A-321",'2026'!$J$4="FO",'2026'!$J$2=V233),'2026DATA'!$G$28,"")</f>
        <v/>
      </c>
      <c r="W259" s="518" t="str">
        <f>IF(AND(_1="A-321",'2026'!$J$4="FO",'2026'!$J$2=W233),'2026DATA'!$H$28,"")</f>
        <v/>
      </c>
      <c r="X259" s="518" t="str">
        <f>IF(AND(_1="A-321",'2026'!$J$4="FO",'2026'!$J$2=X233),'2026DATA'!$I$28,"")</f>
        <v/>
      </c>
      <c r="Y259" s="518" t="str">
        <f>IF(AND(_1="A-321",'2026'!$J$4="FO",'2026'!$J$2=Y233),'2026DATA'!$J$28,"")</f>
        <v/>
      </c>
      <c r="Z259" s="518" t="str">
        <f>IF(AND(_1="A-321",'2026'!$J$4="FO",'2026'!$J$2=Z233),'2026DATA'!$K$28,"")</f>
        <v/>
      </c>
      <c r="AA259" s="518" t="str">
        <f>IF(AND(_1="A-321",'2026'!$J$4="FO",'2026'!$J$2=AA233),'2026DATA'!$L$28,"")</f>
        <v/>
      </c>
      <c r="AB259" s="518" t="str">
        <f>IF(AND(_1="A-321",'2026'!$J$4="FO",'2026'!$J$2=AB233),'2026DATA'!$M$28,"")</f>
        <v/>
      </c>
      <c r="AC259" s="520" t="str">
        <f>IF(AND(_1="A-321",'2026'!$J$4="FO",'2026'!$J$2=AC233),'2026DATA'!$N$28,"")</f>
        <v/>
      </c>
      <c r="AD259" s="940"/>
      <c r="AE259" s="13" t="s">
        <v>62</v>
      </c>
      <c r="AF259" s="518" t="str">
        <f>IF(AND(_2="A-321",'2026'!$J$4="FO",'2026'!$J$2=AF233),'2026DATA'!$C$28,"")</f>
        <v/>
      </c>
      <c r="AG259" s="518" t="str">
        <f>IF(AND(_2="A-321",'2026'!$J$4="FO",'2026'!$J$2=AG233),'2026DATA'!$D$28,"")</f>
        <v/>
      </c>
      <c r="AH259" s="518" t="str">
        <f>IF(AND(_2="A-321",'2026'!$J$4="FO",'2026'!$J$2=AH233),'2026DATA'!$E$28,"")</f>
        <v/>
      </c>
      <c r="AI259" s="518" t="str">
        <f>IF(AND(_2="A-321",'2026'!$J$4="FO",'2026'!$J$2=AI233),'2026DATA'!$F$28,"")</f>
        <v/>
      </c>
      <c r="AJ259" s="518" t="str">
        <f>IF(AND(_2="A-321",'2026'!$J$4="FO",'2026'!$J$2=AJ233),'2026DATA'!$G$28,"")</f>
        <v/>
      </c>
      <c r="AK259" s="518" t="str">
        <f>IF(AND(_2="A-321",'2026'!$J$4="FO",'2026'!$J$2=AK233),'2026DATA'!$H$28,"")</f>
        <v/>
      </c>
      <c r="AL259" s="518" t="str">
        <f>IF(AND(_2="A-321",'2026'!$J$4="FO",'2026'!$J$2=AL233),'2026DATA'!$I$28,"")</f>
        <v/>
      </c>
      <c r="AM259" s="518" t="str">
        <f>IF(AND(_2="A-321",'2026'!$J$4="FO",'2026'!$J$2=AM233),'2026DATA'!$J$28,"")</f>
        <v/>
      </c>
      <c r="AN259" s="518" t="str">
        <f>IF(AND(_2="A-321",'2026'!$J$4="FO",'2026'!$J$2=AN233),'2026DATA'!$K$28,"")</f>
        <v/>
      </c>
      <c r="AO259" s="518" t="str">
        <f>IF(AND(_2="A-321",'2026'!$J$4="FO",'2026'!$J$2=AO233),'2026DATA'!$L$28,"")</f>
        <v/>
      </c>
      <c r="AP259" s="518" t="str">
        <f>IF(AND(_2="A-321",'2026'!$J$4="FO",'2026'!$J$2=AP233),'2026DATA'!$M$28,"")</f>
        <v/>
      </c>
      <c r="AQ259" s="520" t="str">
        <f>IF(AND(_2="A-321",'2026'!$J$4="FO",'2026'!$J$2=AQ233),'2026DATA'!$N$28,"")</f>
        <v/>
      </c>
      <c r="AR259" s="940"/>
      <c r="AS259" s="13" t="s">
        <v>62</v>
      </c>
      <c r="AT259" s="518" t="str">
        <f>IF(AND(_3="A-321",'2026'!$J$4="FO",'2026'!$J$2=AT233),'2026DATA'!$C$28,"")</f>
        <v/>
      </c>
      <c r="AU259" s="518" t="str">
        <f>IF(AND(_3="A-321",'2026'!$J$4="FO",'2026'!$J$2=AU233),'2026DATA'!$D$28,"")</f>
        <v/>
      </c>
      <c r="AV259" s="518" t="str">
        <f>IF(AND(_3="A-321",'2026'!$J$4="FO",'2026'!$J$2=AV233),'2026DATA'!$E$28,"")</f>
        <v/>
      </c>
      <c r="AW259" s="518" t="str">
        <f>IF(AND(_3="A-321",'2026'!$J$4="FO",'2026'!$J$2=AW233),'2026DATA'!$F$28,"")</f>
        <v/>
      </c>
      <c r="AX259" s="518" t="str">
        <f>IF(AND(_3="A-321",'2026'!$J$4="FO",'2026'!$J$2=AX233),'2026DATA'!$G$28,"")</f>
        <v/>
      </c>
      <c r="AY259" s="518" t="str">
        <f>IF(AND(_3="A-321",'2026'!$J$4="FO",'2026'!$J$2=AY233),'2026DATA'!$H$28,"")</f>
        <v/>
      </c>
      <c r="AZ259" s="518" t="str">
        <f>IF(AND(_3="A-321",'2026'!$J$4="FO",'2026'!$J$2=AZ233),'2026DATA'!$I$28,"")</f>
        <v/>
      </c>
      <c r="BA259" s="518" t="str">
        <f>IF(AND(_3="A-321",'2026'!$J$4="FO",'2026'!$J$2=BA233),'2026DATA'!$J$28,"")</f>
        <v/>
      </c>
      <c r="BB259" s="518" t="str">
        <f>IF(AND(_3="A-321",'2026'!$J$4="FO",'2026'!$J$2=BB233),'2026DATA'!$K$28,"")</f>
        <v/>
      </c>
      <c r="BC259" s="518" t="str">
        <f>IF(AND(_3="A-321",'2026'!$J$4="FO",'2026'!$J$2=BC233),'2026DATA'!$L$28,"")</f>
        <v/>
      </c>
      <c r="BD259" s="518" t="str">
        <f>IF(AND(_3="A-321",'2026'!$J$4="FO",'2026'!$J$2=BD233),'2026DATA'!$M$28,"")</f>
        <v/>
      </c>
      <c r="BE259" s="520" t="str">
        <f>IF(AND(_3="A-321",'2026'!$J$4="FO",'2026'!$J$2=BE233),'2026DATA'!$N$28,"")</f>
        <v/>
      </c>
      <c r="BF259" s="940"/>
      <c r="BG259" s="13" t="s">
        <v>62</v>
      </c>
      <c r="BH259" s="518" t="str">
        <f>IF(AND(_4="A-321",'2026'!$J$4="FO",'2026'!$J$2=BH233),'2026DATA'!$C$28,"")</f>
        <v/>
      </c>
      <c r="BI259" s="518" t="str">
        <f>IF(AND(_4="A-321",'2026'!$J$4="FO",'2026'!$J$2=BI233),'2026DATA'!$D$28,"")</f>
        <v/>
      </c>
      <c r="BJ259" s="518" t="str">
        <f>IF(AND(_4="A-321",'2026'!$J$4="FO",'2026'!$J$2=BJ233),'2026DATA'!$E$28,"")</f>
        <v/>
      </c>
      <c r="BK259" s="518" t="str">
        <f>IF(AND(_4="A-321",'2026'!$J$4="FO",'2026'!$J$2=BK233),'2026DATA'!$F$28,"")</f>
        <v/>
      </c>
      <c r="BL259" s="518" t="str">
        <f>IF(AND(_4="A-321",'2026'!$J$4="FO",'2026'!$J$2=BL233),'2026DATA'!$G$28,"")</f>
        <v/>
      </c>
      <c r="BM259" s="518" t="str">
        <f>IF(AND(_4="A-321",'2026'!$J$4="FO",'2026'!$J$2=BM233),'2026DATA'!$H$28,"")</f>
        <v/>
      </c>
      <c r="BN259" s="518" t="str">
        <f>IF(AND(_4="A-321",'2026'!$J$4="FO",'2026'!$J$2=BN233),'2026DATA'!$I$28,"")</f>
        <v/>
      </c>
      <c r="BO259" s="518" t="str">
        <f>IF(AND(_4="A-321",'2026'!$J$4="FO",'2026'!$J$2=BO233),'2026DATA'!$J$28,"")</f>
        <v/>
      </c>
      <c r="BP259" s="518" t="str">
        <f>IF(AND(_4="A-321",'2026'!$J$4="FO",'2026'!$J$2=BP233),'2026DATA'!$K$28,"")</f>
        <v/>
      </c>
      <c r="BQ259" s="518" t="str">
        <f>IF(AND(_4="A-321",'2026'!$J$4="FO",'2026'!$J$2=BQ233),'2026DATA'!$L$28,"")</f>
        <v/>
      </c>
      <c r="BR259" s="518" t="str">
        <f>IF(AND(_4="A-321",'2026'!$J$4="FO",'2026'!$J$2=BR233),'2026DATA'!$M$28,"")</f>
        <v/>
      </c>
      <c r="BS259" s="520" t="str">
        <f>IF(AND(_4="A-321",'2026'!$J$4="FO",'2026'!$J$2=BS233),'2026DATA'!$N$28,"")</f>
        <v/>
      </c>
      <c r="BT259" s="940"/>
      <c r="BU259" s="13" t="s">
        <v>62</v>
      </c>
      <c r="BV259" s="518" t="str">
        <f>IF(AND(_5="A-321",'2026'!$J$4="FO",'2026'!$J$2=BV233),'2026DATA'!$C$28,"")</f>
        <v/>
      </c>
      <c r="BW259" s="518" t="str">
        <f>IF(AND(_5="A-321",'2026'!$J$4="FO",'2026'!$J$2=BW233),'2026DATA'!$D$28,"")</f>
        <v/>
      </c>
      <c r="BX259" s="518" t="str">
        <f>IF(AND(_5="A-321",'2026'!$J$4="FO",'2026'!$J$2=BX233),'2026DATA'!$E$28,"")</f>
        <v/>
      </c>
      <c r="BY259" s="518" t="str">
        <f>IF(AND(_5="A-321",'2026'!$J$4="FO",'2026'!$J$2=BY233),'2026DATA'!$F$28,"")</f>
        <v/>
      </c>
      <c r="BZ259" s="518" t="str">
        <f>IF(AND(_5="A-321",'2026'!$J$4="FO",'2026'!$J$2=BZ233),'2026DATA'!$G$28,"")</f>
        <v/>
      </c>
      <c r="CA259" s="518" t="str">
        <f>IF(AND(_5="A-321",'2026'!$J$4="FO",'2026'!$J$2=CA233),'2026DATA'!$H$28,"")</f>
        <v/>
      </c>
      <c r="CB259" s="518" t="str">
        <f>IF(AND(_5="A-321",'2026'!$J$4="FO",'2026'!$J$2=CB233),'2026DATA'!$I$28,"")</f>
        <v/>
      </c>
      <c r="CC259" s="518" t="str">
        <f>IF(AND(_5="A-321",'2026'!$J$4="FO",'2026'!$J$2=CC233),'2026DATA'!$J$28,"")</f>
        <v/>
      </c>
      <c r="CD259" s="518" t="str">
        <f>IF(AND(_5="A-321",'2026'!$J$4="FO",'2026'!$J$2=CD233),'2026DATA'!$K$28,"")</f>
        <v/>
      </c>
      <c r="CE259" s="518" t="str">
        <f>IF(AND(_5="A-321",'2026'!$J$4="FO",'2026'!$J$2=CE233),'2026DATA'!$L$28,"")</f>
        <v/>
      </c>
      <c r="CF259" s="518" t="str">
        <f>IF(AND(_5="A-321",'2026'!$J$4="FO",'2026'!$J$2=CF233),'2026DATA'!$M$28,"")</f>
        <v/>
      </c>
      <c r="CG259" s="520" t="str">
        <f>IF(AND(_5="A-321",'2026'!$J$4="FO",'2026'!$J$2=CG233),'2026DATA'!$N$28,"")</f>
        <v/>
      </c>
      <c r="CH259" s="940"/>
      <c r="CI259" s="13" t="s">
        <v>62</v>
      </c>
      <c r="CJ259" s="518" t="str">
        <f>IF(AND(_6="A-321",'2026'!$J$4="FO",'2026'!$J$2=CJ233),'2026DATA'!$C$28,"")</f>
        <v/>
      </c>
      <c r="CK259" s="518" t="str">
        <f>IF(AND(_6="A-321",'2026'!$J$4="FO",'2026'!$J$2=CK233),'2026DATA'!$D$28,"")</f>
        <v/>
      </c>
      <c r="CL259" s="518" t="str">
        <f>IF(AND(_6="A-321",'2026'!$J$4="FO",'2026'!$J$2=CL233),'2026DATA'!$E$28,"")</f>
        <v/>
      </c>
      <c r="CM259" s="518" t="str">
        <f>IF(AND(_6="A-321",'2026'!$J$4="FO",'2026'!$J$2=CM233),'2026DATA'!$F$28,"")</f>
        <v/>
      </c>
      <c r="CN259" s="518" t="str">
        <f>IF(AND(_6="A-321",'2026'!$J$4="FO",'2026'!$J$2=CN233),'2026DATA'!$G$28,"")</f>
        <v/>
      </c>
      <c r="CO259" s="518" t="str">
        <f>IF(AND(_6="A-321",'2026'!$J$4="FO",'2026'!$J$2=CO233),'2026DATA'!$H$28,"")</f>
        <v/>
      </c>
      <c r="CP259" s="518" t="str">
        <f>IF(AND(_6="A-321",'2026'!$J$4="FO",'2026'!$J$2=CP233),'2026DATA'!$I$28,"")</f>
        <v/>
      </c>
      <c r="CQ259" s="518" t="str">
        <f>IF(AND(_6="A-321",'2026'!$J$4="FO",'2026'!$J$2=CQ233),'2026DATA'!$J$28,"")</f>
        <v/>
      </c>
      <c r="CR259" s="518" t="str">
        <f>IF(AND(_6="A-321",'2026'!$J$4="FO",'2026'!$J$2=CR233),'2026DATA'!$K$28,"")</f>
        <v/>
      </c>
      <c r="CS259" s="518" t="str">
        <f>IF(AND(_6="A-321",'2026'!$J$4="FO",'2026'!$J$2=CS233),'2026DATA'!$L$28,"")</f>
        <v/>
      </c>
      <c r="CT259" s="518" t="str">
        <f>IF(AND(_6="A-321",'2026'!$J$4="FO",'2026'!$J$2=CT233),'2026DATA'!$M$28,"")</f>
        <v/>
      </c>
      <c r="CU259" s="520" t="str">
        <f>IF(AND(_6="A-321",'2026'!$J$4="FO",'2026'!$J$2=CU233),'2026DATA'!$N$28,"")</f>
        <v/>
      </c>
    </row>
    <row r="260" spans="16:99" x14ac:dyDescent="0.25">
      <c r="P260" s="940" t="s">
        <v>70</v>
      </c>
      <c r="Q260" s="13" t="s">
        <v>61</v>
      </c>
      <c r="R260" s="518" t="str">
        <f>IF(AND(_1="A-320",'2026'!$J$4="CA",'2026'!$J$2=R233),'2026DATA'!$C$29,"")</f>
        <v/>
      </c>
      <c r="S260" s="518" t="str">
        <f>IF(AND(_1="A-320",'2026'!$J$4="CA",'2026'!$J$2=S233),'2026DATA'!$D$29,"")</f>
        <v/>
      </c>
      <c r="T260" s="518" t="str">
        <f>IF(AND(_1="A-320",'2026'!$J$4="CA",'2026'!$J$2=T233),'2026DATA'!$E$29,"")</f>
        <v/>
      </c>
      <c r="U260" s="518" t="str">
        <f>IF(AND(_1="A-320",'2026'!$J$4="CA",'2026'!$J$2=U233),'2026DATA'!$F$29,"")</f>
        <v/>
      </c>
      <c r="V260" s="518" t="str">
        <f>IF(AND(_1="A-320",'2026'!$J$4="CA",'2026'!$J$2=V233),'2026DATA'!$G$29,"")</f>
        <v/>
      </c>
      <c r="W260" s="518" t="str">
        <f>IF(AND(_1="A-320",'2026'!$J$4="CA",'2026'!$J$2=W233),'2026DATA'!$H$29,"")</f>
        <v/>
      </c>
      <c r="X260" s="518" t="str">
        <f>IF(AND(_1="A-320",'2026'!$J$4="CA",'2026'!$J$2=X233),'2026DATA'!$I$29,"")</f>
        <v/>
      </c>
      <c r="Y260" s="518" t="str">
        <f>IF(AND(_1="A-320",'2026'!$J$4="CA",'2026'!$J$2=Y233),'2026DATA'!$J$29,"")</f>
        <v/>
      </c>
      <c r="Z260" s="518" t="str">
        <f>IF(AND(_1="A-320",'2026'!$J$4="CA",'2026'!$J$2=Z233),'2026DATA'!$K$29,"")</f>
        <v/>
      </c>
      <c r="AA260" s="518" t="str">
        <f>IF(AND(_1="A-320",'2026'!$J$4="CA",'2026'!$J$2=AA233),'2026DATA'!$L$29,"")</f>
        <v/>
      </c>
      <c r="AB260" s="518" t="str">
        <f>IF(AND(_1="A-320",'2026'!$J$4="CA",'2026'!$J$2=AB233),'2026DATA'!$M$29,"")</f>
        <v/>
      </c>
      <c r="AC260" s="520" t="str">
        <f>IF(AND(_1="A-320",'2026'!$J$4="CA",'2026'!$J$2=AC233),'2026DATA'!$N$29,"")</f>
        <v/>
      </c>
      <c r="AD260" s="940" t="s">
        <v>70</v>
      </c>
      <c r="AE260" s="13" t="s">
        <v>61</v>
      </c>
      <c r="AF260" s="518" t="str">
        <f>IF(AND(_2="A-320",'2026'!$J$4="CA",'2026'!$J$2=AF233),'2026DATA'!$C$29,"")</f>
        <v/>
      </c>
      <c r="AG260" s="518" t="str">
        <f>IF(AND(_2="A-320",'2026'!$J$4="CA",'2026'!$J$2=AG233),'2026DATA'!$D$29,"")</f>
        <v/>
      </c>
      <c r="AH260" s="518" t="str">
        <f>IF(AND(_2="A-320",'2026'!$J$4="CA",'2026'!$J$2=AH233),'2026DATA'!$E$29,"")</f>
        <v/>
      </c>
      <c r="AI260" s="518" t="str">
        <f>IF(AND(_2="A-320",'2026'!$J$4="CA",'2026'!$J$2=AI233),'2026DATA'!$F$29,"")</f>
        <v/>
      </c>
      <c r="AJ260" s="518" t="str">
        <f>IF(AND(_2="A-320",'2026'!$J$4="CA",'2026'!$J$2=AJ233),'2026DATA'!$G$29,"")</f>
        <v/>
      </c>
      <c r="AK260" s="518" t="str">
        <f>IF(AND(_2="A-320",'2026'!$J$4="CA",'2026'!$J$2=AK233),'2026DATA'!$H$29,"")</f>
        <v/>
      </c>
      <c r="AL260" s="518" t="str">
        <f>IF(AND(_2="A-320",'2026'!$J$4="CA",'2026'!$J$2=AL233),'2026DATA'!$I$29,"")</f>
        <v/>
      </c>
      <c r="AM260" s="518" t="str">
        <f>IF(AND(_2="A-320",'2026'!$J$4="CA",'2026'!$J$2=AM233),'2026DATA'!$J$29,"")</f>
        <v/>
      </c>
      <c r="AN260" s="518" t="str">
        <f>IF(AND(_2="A-320",'2026'!$J$4="CA",'2026'!$J$2=AN233),'2026DATA'!$K$29,"")</f>
        <v/>
      </c>
      <c r="AO260" s="518" t="str">
        <f>IF(AND(_2="A-320",'2026'!$J$4="CA",'2026'!$J$2=AO233),'2026DATA'!$L$29,"")</f>
        <v/>
      </c>
      <c r="AP260" s="518" t="str">
        <f>IF(AND(_2="A-320",'2026'!$J$4="CA",'2026'!$J$2=AP233),'2026DATA'!$M$29,"")</f>
        <v/>
      </c>
      <c r="AQ260" s="520" t="str">
        <f>IF(AND(_2="A-320",'2026'!$J$4="CA",'2026'!$J$2=AQ233),'2026DATA'!$N$29,"")</f>
        <v/>
      </c>
      <c r="AR260" s="940" t="s">
        <v>70</v>
      </c>
      <c r="AS260" s="13" t="s">
        <v>61</v>
      </c>
      <c r="AT260" s="518" t="str">
        <f>IF(AND(_3="A-320",'2026'!$J$4="CA",'2026'!$J$2=AT233),'2026DATA'!$C$29,"")</f>
        <v/>
      </c>
      <c r="AU260" s="518" t="str">
        <f>IF(AND(_3="A-320",'2026'!$J$4="CA",'2026'!$J$2=AU233),'2026DATA'!$D$29,"")</f>
        <v/>
      </c>
      <c r="AV260" s="518" t="str">
        <f>IF(AND(_3="A-320",'2026'!$J$4="CA",'2026'!$J$2=AV233),'2026DATA'!$E$29,"")</f>
        <v/>
      </c>
      <c r="AW260" s="518" t="str">
        <f>IF(AND(_3="A-320",'2026'!$J$4="CA",'2026'!$J$2=AW233),'2026DATA'!$F$29,"")</f>
        <v/>
      </c>
      <c r="AX260" s="518" t="str">
        <f>IF(AND(_3="A-320",'2026'!$J$4="CA",'2026'!$J$2=AX233),'2026DATA'!$G$29,"")</f>
        <v/>
      </c>
      <c r="AY260" s="518" t="str">
        <f>IF(AND(_3="A-320",'2026'!$J$4="CA",'2026'!$J$2=AY233),'2026DATA'!$H$29,"")</f>
        <v/>
      </c>
      <c r="AZ260" s="518" t="str">
        <f>IF(AND(_3="A-320",'2026'!$J$4="CA",'2026'!$J$2=AZ233),'2026DATA'!$I$29,"")</f>
        <v/>
      </c>
      <c r="BA260" s="518" t="str">
        <f>IF(AND(_3="A-320",'2026'!$J$4="CA",'2026'!$J$2=BA233),'2026DATA'!$J$29,"")</f>
        <v/>
      </c>
      <c r="BB260" s="518" t="str">
        <f>IF(AND(_3="A-320",'2026'!$J$4="CA",'2026'!$J$2=BB233),'2026DATA'!$K$29,"")</f>
        <v/>
      </c>
      <c r="BC260" s="518" t="str">
        <f>IF(AND(_3="A-320",'2026'!$J$4="CA",'2026'!$J$2=BC233),'2026DATA'!$L$29,"")</f>
        <v/>
      </c>
      <c r="BD260" s="518" t="str">
        <f>IF(AND(_3="A-320",'2026'!$J$4="CA",'2026'!$J$2=BD233),'2026DATA'!$M$29,"")</f>
        <v/>
      </c>
      <c r="BE260" s="520" t="str">
        <f>IF(AND(_3="A-320",'2026'!$J$4="CA",'2026'!$J$2=BE233),'2026DATA'!$N$29,"")</f>
        <v/>
      </c>
      <c r="BF260" s="940" t="s">
        <v>70</v>
      </c>
      <c r="BG260" s="13" t="s">
        <v>61</v>
      </c>
      <c r="BH260" s="518" t="str">
        <f>IF(AND(_4="A-320",'2026'!$J$4="CA",'2026'!$J$2=BH233),'2026DATA'!$C$29,"")</f>
        <v/>
      </c>
      <c r="BI260" s="518" t="str">
        <f>IF(AND(_4="A-320",'2026'!$J$4="CA",'2026'!$J$2=BI233),'2026DATA'!$D$29,"")</f>
        <v/>
      </c>
      <c r="BJ260" s="518" t="str">
        <f>IF(AND(_4="A-320",'2026'!$J$4="CA",'2026'!$J$2=BJ233),'2026DATA'!$E$29,"")</f>
        <v/>
      </c>
      <c r="BK260" s="518" t="str">
        <f>IF(AND(_4="A-320",'2026'!$J$4="CA",'2026'!$J$2=BK233),'2026DATA'!$F$29,"")</f>
        <v/>
      </c>
      <c r="BL260" s="518" t="str">
        <f>IF(AND(_4="A-320",'2026'!$J$4="CA",'2026'!$J$2=BL233),'2026DATA'!$G$29,"")</f>
        <v/>
      </c>
      <c r="BM260" s="518" t="str">
        <f>IF(AND(_4="A-320",'2026'!$J$4="CA",'2026'!$J$2=BM233),'2026DATA'!$H$29,"")</f>
        <v/>
      </c>
      <c r="BN260" s="518" t="str">
        <f>IF(AND(_4="A-320",'2026'!$J$4="CA",'2026'!$J$2=BN233),'2026DATA'!$I$29,"")</f>
        <v/>
      </c>
      <c r="BO260" s="518" t="str">
        <f>IF(AND(_4="A-320",'2026'!$J$4="CA",'2026'!$J$2=BO233),'2026DATA'!$J$29,"")</f>
        <v/>
      </c>
      <c r="BP260" s="518" t="str">
        <f>IF(AND(_4="A-320",'2026'!$J$4="CA",'2026'!$J$2=BP233),'2026DATA'!$K$29,"")</f>
        <v/>
      </c>
      <c r="BQ260" s="518" t="str">
        <f>IF(AND(_4="A-320",'2026'!$J$4="CA",'2026'!$J$2=BQ233),'2026DATA'!$L$29,"")</f>
        <v/>
      </c>
      <c r="BR260" s="518" t="str">
        <f>IF(AND(_4="A-320",'2026'!$J$4="CA",'2026'!$J$2=BR233),'2026DATA'!$M$29,"")</f>
        <v/>
      </c>
      <c r="BS260" s="520" t="str">
        <f>IF(AND(_4="A-320",'2026'!$J$4="CA",'2026'!$J$2=BS233),'2026DATA'!$N$29,"")</f>
        <v/>
      </c>
      <c r="BT260" s="940" t="s">
        <v>70</v>
      </c>
      <c r="BU260" s="13" t="s">
        <v>61</v>
      </c>
      <c r="BV260" s="518" t="str">
        <f>IF(AND(_5="A-320",'2026'!$J$4="CA",'2026'!$J$2=BV233),'2026DATA'!$C$29,"")</f>
        <v/>
      </c>
      <c r="BW260" s="518" t="str">
        <f>IF(AND(_5="A-320",'2026'!$J$4="CA",'2026'!$J$2=BW233),'2026DATA'!$D$29,"")</f>
        <v/>
      </c>
      <c r="BX260" s="518" t="str">
        <f>IF(AND(_5="A-320",'2026'!$J$4="CA",'2026'!$J$2=BX233),'2026DATA'!$E$29,"")</f>
        <v/>
      </c>
      <c r="BY260" s="518" t="str">
        <f>IF(AND(_5="A-320",'2026'!$J$4="CA",'2026'!$J$2=BY233),'2026DATA'!$F$29,"")</f>
        <v/>
      </c>
      <c r="BZ260" s="518" t="str">
        <f>IF(AND(_5="A-320",'2026'!$J$4="CA",'2026'!$J$2=BZ233),'2026DATA'!$G$29,"")</f>
        <v/>
      </c>
      <c r="CA260" s="518" t="str">
        <f>IF(AND(_5="A-320",'2026'!$J$4="CA",'2026'!$J$2=CA233),'2026DATA'!$H$29,"")</f>
        <v/>
      </c>
      <c r="CB260" s="518" t="str">
        <f>IF(AND(_5="A-320",'2026'!$J$4="CA",'2026'!$J$2=CB233),'2026DATA'!$I$29,"")</f>
        <v/>
      </c>
      <c r="CC260" s="518" t="str">
        <f>IF(AND(_5="A-320",'2026'!$J$4="CA",'2026'!$J$2=CC233),'2026DATA'!$J$29,"")</f>
        <v/>
      </c>
      <c r="CD260" s="518" t="str">
        <f>IF(AND(_5="A-320",'2026'!$J$4="CA",'2026'!$J$2=CD233),'2026DATA'!$K$29,"")</f>
        <v/>
      </c>
      <c r="CE260" s="518" t="str">
        <f>IF(AND(_5="A-320",'2026'!$J$4="CA",'2026'!$J$2=CE233),'2026DATA'!$L$29,"")</f>
        <v/>
      </c>
      <c r="CF260" s="518" t="str">
        <f>IF(AND(_5="A-320",'2026'!$J$4="CA",'2026'!$J$2=CF233),'2026DATA'!$M$29,"")</f>
        <v/>
      </c>
      <c r="CG260" s="520" t="str">
        <f>IF(AND(_5="A-320",'2026'!$J$4="CA",'2026'!$J$2=CG233),'2026DATA'!$N$29,"")</f>
        <v/>
      </c>
      <c r="CH260" s="940" t="s">
        <v>70</v>
      </c>
      <c r="CI260" s="13" t="s">
        <v>61</v>
      </c>
      <c r="CJ260" s="518" t="str">
        <f>IF(AND(_6="A-320",'2026'!$J$4="CA",'2026'!$J$2=CJ233),'2026DATA'!$C$29,"")</f>
        <v/>
      </c>
      <c r="CK260" s="518" t="str">
        <f>IF(AND(_6="A-320",'2026'!$J$4="CA",'2026'!$J$2=CK233),'2026DATA'!$D$29,"")</f>
        <v/>
      </c>
      <c r="CL260" s="518" t="str">
        <f>IF(AND(_6="A-320",'2026'!$J$4="CA",'2026'!$J$2=CL233),'2026DATA'!$E$29,"")</f>
        <v/>
      </c>
      <c r="CM260" s="518" t="str">
        <f>IF(AND(_6="A-320",'2026'!$J$4="CA",'2026'!$J$2=CM233),'2026DATA'!$F$29,"")</f>
        <v/>
      </c>
      <c r="CN260" s="518" t="str">
        <f>IF(AND(_6="A-320",'2026'!$J$4="CA",'2026'!$J$2=CN233),'2026DATA'!$G$29,"")</f>
        <v/>
      </c>
      <c r="CO260" s="518" t="str">
        <f>IF(AND(_6="A-320",'2026'!$J$4="CA",'2026'!$J$2=CO233),'2026DATA'!$H$29,"")</f>
        <v/>
      </c>
      <c r="CP260" s="518" t="str">
        <f>IF(AND(_6="A-320",'2026'!$J$4="CA",'2026'!$J$2=CP233),'2026DATA'!$I$29,"")</f>
        <v/>
      </c>
      <c r="CQ260" s="518" t="str">
        <f>IF(AND(_6="A-320",'2026'!$J$4="CA",'2026'!$J$2=CQ233),'2026DATA'!$J$29,"")</f>
        <v/>
      </c>
      <c r="CR260" s="518" t="str">
        <f>IF(AND(_6="A-320",'2026'!$J$4="CA",'2026'!$J$2=CR233),'2026DATA'!$K$29,"")</f>
        <v/>
      </c>
      <c r="CS260" s="518" t="str">
        <f>IF(AND(_6="A-320",'2026'!$J$4="CA",'2026'!$J$2=CS233),'2026DATA'!$L$29,"")</f>
        <v/>
      </c>
      <c r="CT260" s="518" t="str">
        <f>IF(AND(_6="A-320",'2026'!$J$4="CA",'2026'!$J$2=CT233),'2026DATA'!$M$29,"")</f>
        <v/>
      </c>
      <c r="CU260" s="520" t="str">
        <f>IF(AND(_6="A-320",'2026'!$J$4="CA",'2026'!$J$2=CU233),'2026DATA'!$N$29,"")</f>
        <v/>
      </c>
    </row>
    <row r="261" spans="16:99" x14ac:dyDescent="0.25">
      <c r="P261" s="940"/>
      <c r="Q261" s="13" t="s">
        <v>62</v>
      </c>
      <c r="R261" s="518" t="str">
        <f>IF(AND(_1="A-320",'2026'!$J$4="FO",'2026'!$J$2=R233),'2026DATA'!$C$30,"")</f>
        <v/>
      </c>
      <c r="S261" s="518" t="str">
        <f>IF(AND(_1="A-320",'2026'!$J$4="FO",'2026'!$J$2=S233),'2026DATA'!$D$30,"")</f>
        <v/>
      </c>
      <c r="T261" s="518" t="str">
        <f>IF(AND(_1="A-320",'2026'!$J$4="FO",'2026'!$J$2=T233),'2026DATA'!$E$30,"")</f>
        <v/>
      </c>
      <c r="U261" s="518" t="str">
        <f>IF(AND(_1="A-320",'2026'!$J$4="FO",'2026'!$J$2=U233),'2026DATA'!$F$30,"")</f>
        <v/>
      </c>
      <c r="V261" s="518" t="str">
        <f>IF(AND(_1="A-320",'2026'!$J$4="FO",'2026'!$J$2=V233),'2026DATA'!$G$30,"")</f>
        <v/>
      </c>
      <c r="W261" s="518" t="str">
        <f>IF(AND(_1="A-320",'2026'!$J$4="FO",'2026'!$J$2=W233),'2026DATA'!$H$30,"")</f>
        <v/>
      </c>
      <c r="X261" s="518" t="str">
        <f>IF(AND(_1="A-320",'2026'!$J$4="FO",'2026'!$J$2=X233),'2026DATA'!$I$30,"")</f>
        <v/>
      </c>
      <c r="Y261" s="518" t="str">
        <f>IF(AND(_1="A-320",'2026'!$J$4="FO",'2026'!$J$2=Y233),'2026DATA'!$J$30,"")</f>
        <v/>
      </c>
      <c r="Z261" s="518" t="str">
        <f>IF(AND(_1="A-320",'2026'!$J$4="FO",'2026'!$J$2=Z233),'2026DATA'!$K$30,"")</f>
        <v/>
      </c>
      <c r="AA261" s="518" t="str">
        <f>IF(AND(_1="A-320",'2026'!$J$4="FO",'2026'!$J$2=AA233),'2026DATA'!$L$30,"")</f>
        <v/>
      </c>
      <c r="AB261" s="518" t="str">
        <f>IF(AND(_1="A-320",'2026'!$J$4="FO",'2026'!$J$2=AB233),'2026DATA'!$M$30,"")</f>
        <v/>
      </c>
      <c r="AC261" s="520" t="str">
        <f>IF(AND(_1="A-320",'2026'!$J$4="FO",'2026'!$J$2=AC233),'2026DATA'!$N$30,"")</f>
        <v/>
      </c>
      <c r="AD261" s="940"/>
      <c r="AE261" s="13" t="s">
        <v>62</v>
      </c>
      <c r="AF261" s="518" t="str">
        <f>IF(AND(_2="A-320",'2026'!$J$4="FO",'2026'!$J$2=AF233),'2026DATA'!$C$30,"")</f>
        <v/>
      </c>
      <c r="AG261" s="518" t="str">
        <f>IF(AND(_2="A-320",'2026'!$J$4="FO",'2026'!$J$2=AG233),'2026DATA'!$D$30,"")</f>
        <v/>
      </c>
      <c r="AH261" s="518" t="str">
        <f>IF(AND(_2="A-320",'2026'!$J$4="FO",'2026'!$J$2=AH233),'2026DATA'!$E$30,"")</f>
        <v/>
      </c>
      <c r="AI261" s="518" t="str">
        <f>IF(AND(_2="A-320",'2026'!$J$4="FO",'2026'!$J$2=AI233),'2026DATA'!$F$30,"")</f>
        <v/>
      </c>
      <c r="AJ261" s="518" t="str">
        <f>IF(AND(_2="A-320",'2026'!$J$4="FO",'2026'!$J$2=AJ233),'2026DATA'!$G$30,"")</f>
        <v/>
      </c>
      <c r="AK261" s="518" t="str">
        <f>IF(AND(_2="A-320",'2026'!$J$4="FO",'2026'!$J$2=AK233),'2026DATA'!$H$30,"")</f>
        <v/>
      </c>
      <c r="AL261" s="518" t="str">
        <f>IF(AND(_2="A-320",'2026'!$J$4="FO",'2026'!$J$2=AL233),'2026DATA'!$I$30,"")</f>
        <v/>
      </c>
      <c r="AM261" s="518" t="str">
        <f>IF(AND(_2="A-320",'2026'!$J$4="FO",'2026'!$J$2=AM233),'2026DATA'!$J$30,"")</f>
        <v/>
      </c>
      <c r="AN261" s="518" t="str">
        <f>IF(AND(_2="A-320",'2026'!$J$4="FO",'2026'!$J$2=AN233),'2026DATA'!$K$30,"")</f>
        <v/>
      </c>
      <c r="AO261" s="518" t="str">
        <f>IF(AND(_2="A-320",'2026'!$J$4="FO",'2026'!$J$2=AO233),'2026DATA'!$L$30,"")</f>
        <v/>
      </c>
      <c r="AP261" s="518" t="str">
        <f>IF(AND(_2="A-320",'2026'!$J$4="FO",'2026'!$J$2=AP233),'2026DATA'!$M$30,"")</f>
        <v/>
      </c>
      <c r="AQ261" s="520" t="str">
        <f>IF(AND(_2="A-320",'2026'!$J$4="FO",'2026'!$J$2=AQ233),'2026DATA'!$N$30,"")</f>
        <v/>
      </c>
      <c r="AR261" s="940"/>
      <c r="AS261" s="13" t="s">
        <v>62</v>
      </c>
      <c r="AT261" s="518" t="str">
        <f>IF(AND(_3="A-320",'2026'!$J$4="FO",'2026'!$J$2=AT233),'2026DATA'!$C$30,"")</f>
        <v/>
      </c>
      <c r="AU261" s="518" t="str">
        <f>IF(AND(_3="A-320",'2026'!$J$4="FO",'2026'!$J$2=AU233),'2026DATA'!$D$30,"")</f>
        <v/>
      </c>
      <c r="AV261" s="518" t="str">
        <f>IF(AND(_3="A-320",'2026'!$J$4="FO",'2026'!$J$2=AV233),'2026DATA'!$E$30,"")</f>
        <v/>
      </c>
      <c r="AW261" s="518" t="str">
        <f>IF(AND(_3="A-320",'2026'!$J$4="FO",'2026'!$J$2=AW233),'2026DATA'!$F$30,"")</f>
        <v/>
      </c>
      <c r="AX261" s="518" t="str">
        <f>IF(AND(_3="A-320",'2026'!$J$4="FO",'2026'!$J$2=AX233),'2026DATA'!$G$30,"")</f>
        <v/>
      </c>
      <c r="AY261" s="518" t="str">
        <f>IF(AND(_3="A-320",'2026'!$J$4="FO",'2026'!$J$2=AY233),'2026DATA'!$H$30,"")</f>
        <v/>
      </c>
      <c r="AZ261" s="518" t="str">
        <f>IF(AND(_3="A-320",'2026'!$J$4="FO",'2026'!$J$2=AZ233),'2026DATA'!$I$30,"")</f>
        <v/>
      </c>
      <c r="BA261" s="518" t="str">
        <f>IF(AND(_3="A-320",'2026'!$J$4="FO",'2026'!$J$2=BA233),'2026DATA'!$J$30,"")</f>
        <v/>
      </c>
      <c r="BB261" s="518" t="str">
        <f>IF(AND(_3="A-320",'2026'!$J$4="FO",'2026'!$J$2=BB233),'2026DATA'!$K$30,"")</f>
        <v/>
      </c>
      <c r="BC261" s="518" t="str">
        <f>IF(AND(_3="A-320",'2026'!$J$4="FO",'2026'!$J$2=BC233),'2026DATA'!$L$30,"")</f>
        <v/>
      </c>
      <c r="BD261" s="518" t="str">
        <f>IF(AND(_3="A-320",'2026'!$J$4="FO",'2026'!$J$2=BD233),'2026DATA'!$M$30,"")</f>
        <v/>
      </c>
      <c r="BE261" s="520" t="str">
        <f>IF(AND(_3="A-320",'2026'!$J$4="FO",'2026'!$J$2=BE233),'2026DATA'!$N$30,"")</f>
        <v/>
      </c>
      <c r="BF261" s="940"/>
      <c r="BG261" s="13" t="s">
        <v>62</v>
      </c>
      <c r="BH261" s="518" t="str">
        <f>IF(AND(_4="A-320",'2026'!$J$4="FO",'2026'!$J$2=BH233),'2026DATA'!$C$30,"")</f>
        <v/>
      </c>
      <c r="BI261" s="518" t="str">
        <f>IF(AND(_4="A-320",'2026'!$J$4="FO",'2026'!$J$2=BI233),'2026DATA'!$D$30,"")</f>
        <v/>
      </c>
      <c r="BJ261" s="518" t="str">
        <f>IF(AND(_4="A-320",'2026'!$J$4="FO",'2026'!$J$2=BJ233),'2026DATA'!$E$30,"")</f>
        <v/>
      </c>
      <c r="BK261" s="518" t="str">
        <f>IF(AND(_4="A-320",'2026'!$J$4="FO",'2026'!$J$2=BK233),'2026DATA'!$F$30,"")</f>
        <v/>
      </c>
      <c r="BL261" s="518" t="str">
        <f>IF(AND(_4="A-320",'2026'!$J$4="FO",'2026'!$J$2=BL233),'2026DATA'!$G$30,"")</f>
        <v/>
      </c>
      <c r="BM261" s="518" t="str">
        <f>IF(AND(_4="A-320",'2026'!$J$4="FO",'2026'!$J$2=BM233),'2026DATA'!$H$30,"")</f>
        <v/>
      </c>
      <c r="BN261" s="518" t="str">
        <f>IF(AND(_4="A-320",'2026'!$J$4="FO",'2026'!$J$2=BN233),'2026DATA'!$I$30,"")</f>
        <v/>
      </c>
      <c r="BO261" s="518" t="str">
        <f>IF(AND(_4="A-320",'2026'!$J$4="FO",'2026'!$J$2=BO233),'2026DATA'!$J$30,"")</f>
        <v/>
      </c>
      <c r="BP261" s="518" t="str">
        <f>IF(AND(_4="A-320",'2026'!$J$4="FO",'2026'!$J$2=BP233),'2026DATA'!$K$30,"")</f>
        <v/>
      </c>
      <c r="BQ261" s="518" t="str">
        <f>IF(AND(_4="A-320",'2026'!$J$4="FO",'2026'!$J$2=BQ233),'2026DATA'!$L$30,"")</f>
        <v/>
      </c>
      <c r="BR261" s="518" t="str">
        <f>IF(AND(_4="A-320",'2026'!$J$4="FO",'2026'!$J$2=BR233),'2026DATA'!$M$30,"")</f>
        <v/>
      </c>
      <c r="BS261" s="520" t="str">
        <f>IF(AND(_4="A-320",'2026'!$J$4="FO",'2026'!$J$2=BS233),'2026DATA'!$N$30,"")</f>
        <v/>
      </c>
      <c r="BT261" s="940"/>
      <c r="BU261" s="13" t="s">
        <v>62</v>
      </c>
      <c r="BV261" s="518" t="str">
        <f>IF(AND(_5="A-320",'2026'!$J$4="FO",'2026'!$J$2=BV233),'2026DATA'!$C$30,"")</f>
        <v/>
      </c>
      <c r="BW261" s="518" t="str">
        <f>IF(AND(_5="A-320",'2026'!$J$4="FO",'2026'!$J$2=BW233),'2026DATA'!$D$30,"")</f>
        <v/>
      </c>
      <c r="BX261" s="518" t="str">
        <f>IF(AND(_5="A-320",'2026'!$J$4="FO",'2026'!$J$2=BX233),'2026DATA'!$E$30,"")</f>
        <v/>
      </c>
      <c r="BY261" s="518" t="str">
        <f>IF(AND(_5="A-320",'2026'!$J$4="FO",'2026'!$J$2=BY233),'2026DATA'!$F$30,"")</f>
        <v/>
      </c>
      <c r="BZ261" s="518" t="str">
        <f>IF(AND(_5="A-320",'2026'!$J$4="FO",'2026'!$J$2=BZ233),'2026DATA'!$G$30,"")</f>
        <v/>
      </c>
      <c r="CA261" s="518" t="str">
        <f>IF(AND(_5="A-320",'2026'!$J$4="FO",'2026'!$J$2=CA233),'2026DATA'!$H$30,"")</f>
        <v/>
      </c>
      <c r="CB261" s="518" t="str">
        <f>IF(AND(_5="A-320",'2026'!$J$4="FO",'2026'!$J$2=CB233),'2026DATA'!$I$30,"")</f>
        <v/>
      </c>
      <c r="CC261" s="518" t="str">
        <f>IF(AND(_5="A-320",'2026'!$J$4="FO",'2026'!$J$2=CC233),'2026DATA'!$J$30,"")</f>
        <v/>
      </c>
      <c r="CD261" s="518" t="str">
        <f>IF(AND(_5="A-320",'2026'!$J$4="FO",'2026'!$J$2=CD233),'2026DATA'!$K$30,"")</f>
        <v/>
      </c>
      <c r="CE261" s="518" t="str">
        <f>IF(AND(_5="A-320",'2026'!$J$4="FO",'2026'!$J$2=CE233),'2026DATA'!$L$30,"")</f>
        <v/>
      </c>
      <c r="CF261" s="518" t="str">
        <f>IF(AND(_5="A-320",'2026'!$J$4="FO",'2026'!$J$2=CF233),'2026DATA'!$M$30,"")</f>
        <v/>
      </c>
      <c r="CG261" s="520" t="str">
        <f>IF(AND(_5="A-320",'2026'!$J$4="FO",'2026'!$J$2=CG233),'2026DATA'!$N$30,"")</f>
        <v/>
      </c>
      <c r="CH261" s="940"/>
      <c r="CI261" s="13" t="s">
        <v>62</v>
      </c>
      <c r="CJ261" s="518" t="str">
        <f>IF(AND(_6="A-320",'2026'!$J$4="FO",'2026'!$J$2=CJ233),'2026DATA'!$C$30,"")</f>
        <v/>
      </c>
      <c r="CK261" s="518" t="str">
        <f>IF(AND(_6="A-320",'2026'!$J$4="FO",'2026'!$J$2=CK233),'2026DATA'!$D$30,"")</f>
        <v/>
      </c>
      <c r="CL261" s="518" t="str">
        <f>IF(AND(_6="A-320",'2026'!$J$4="FO",'2026'!$J$2=CL233),'2026DATA'!$E$30,"")</f>
        <v/>
      </c>
      <c r="CM261" s="518" t="str">
        <f>IF(AND(_6="A-320",'2026'!$J$4="FO",'2026'!$J$2=CM233),'2026DATA'!$F$30,"")</f>
        <v/>
      </c>
      <c r="CN261" s="518" t="str">
        <f>IF(AND(_6="A-320",'2026'!$J$4="FO",'2026'!$J$2=CN233),'2026DATA'!$G$30,"")</f>
        <v/>
      </c>
      <c r="CO261" s="518" t="str">
        <f>IF(AND(_6="A-320",'2026'!$J$4="FO",'2026'!$J$2=CO233),'2026DATA'!$H$30,"")</f>
        <v/>
      </c>
      <c r="CP261" s="518" t="str">
        <f>IF(AND(_6="A-320",'2026'!$J$4="FO",'2026'!$J$2=CP233),'2026DATA'!$I$30,"")</f>
        <v/>
      </c>
      <c r="CQ261" s="518" t="str">
        <f>IF(AND(_6="A-320",'2026'!$J$4="FO",'2026'!$J$2=CQ233),'2026DATA'!$J$30,"")</f>
        <v/>
      </c>
      <c r="CR261" s="518" t="str">
        <f>IF(AND(_6="A-320",'2026'!$J$4="FO",'2026'!$J$2=CR233),'2026DATA'!$K$30,"")</f>
        <v/>
      </c>
      <c r="CS261" s="518" t="str">
        <f>IF(AND(_6="A-320",'2026'!$J$4="FO",'2026'!$J$2=CS233),'2026DATA'!$L$30,"")</f>
        <v/>
      </c>
      <c r="CT261" s="518" t="str">
        <f>IF(AND(_6="A-320",'2026'!$J$4="FO",'2026'!$J$2=CT233),'2026DATA'!$M$30,"")</f>
        <v/>
      </c>
      <c r="CU261" s="520" t="str">
        <f>IF(AND(_6="A-320",'2026'!$J$4="FO",'2026'!$J$2=CU233),'2026DATA'!$N$30,"")</f>
        <v/>
      </c>
    </row>
    <row r="262" spans="16:99" x14ac:dyDescent="0.25">
      <c r="P262" s="940" t="s">
        <v>71</v>
      </c>
      <c r="Q262" s="13" t="s">
        <v>61</v>
      </c>
      <c r="R262" s="518" t="str">
        <f>IF(AND(_1="A-319",'2026'!$J$4="CA",'2026'!$J$2=R233),'2026DATA'!$C$31,"")</f>
        <v/>
      </c>
      <c r="S262" s="518" t="str">
        <f>IF(AND(_1="A-319",'2026'!$J$4="CA",'2026'!$J$2=S233),'2026DATA'!$D$31,"")</f>
        <v/>
      </c>
      <c r="T262" s="518" t="str">
        <f>IF(AND(_1="A-319",'2026'!$J$4="CA",'2026'!$J$2=T233),'2026DATA'!$E$31,"")</f>
        <v/>
      </c>
      <c r="U262" s="518" t="str">
        <f>IF(AND(_1="A-319",'2026'!$J$4="CA",'2026'!$J$2=U233),'2026DATA'!$F$31,"")</f>
        <v/>
      </c>
      <c r="V262" s="518" t="str">
        <f>IF(AND(_1="A-319",'2026'!$J$4="CA",'2026'!$J$2=V233),'2026DATA'!$G$31,"")</f>
        <v/>
      </c>
      <c r="W262" s="518" t="str">
        <f>IF(AND(_1="A-319",'2026'!$J$4="CA",'2026'!$J$2=W233),'2026DATA'!$H$31,"")</f>
        <v/>
      </c>
      <c r="X262" s="518" t="str">
        <f>IF(AND(_1="A-319",'2026'!$J$4="CA",'2026'!$J$2=X233),'2026DATA'!$I$31,"")</f>
        <v/>
      </c>
      <c r="Y262" s="518" t="str">
        <f>IF(AND(_1="A-319",'2026'!$J$4="CA",'2026'!$J$2=Y233),'2026DATA'!$J$31,"")</f>
        <v/>
      </c>
      <c r="Z262" s="518" t="str">
        <f>IF(AND(_1="A-319",'2026'!$J$4="CA",'2026'!$J$2=Z233),'2026DATA'!$K$31,"")</f>
        <v/>
      </c>
      <c r="AA262" s="518" t="str">
        <f>IF(AND(_1="A-319",'2026'!$J$4="CA",'2026'!$J$2=AA233),'2026DATA'!$L$31,"")</f>
        <v/>
      </c>
      <c r="AB262" s="518" t="str">
        <f>IF(AND(_1="A-319",'2026'!$J$4="CA",'2026'!$J$2=AB233),'2026DATA'!$M$31,"")</f>
        <v/>
      </c>
      <c r="AC262" s="520" t="str">
        <f>IF(AND(_1="A-319",'2026'!$J$4="CA",'2026'!$J$2=AC233),'2026DATA'!$N$31,"")</f>
        <v/>
      </c>
      <c r="AD262" s="940" t="s">
        <v>71</v>
      </c>
      <c r="AE262" s="13" t="s">
        <v>61</v>
      </c>
      <c r="AF262" s="518" t="str">
        <f>IF(AND(_2="A-319",'2026'!$J$4="CA",'2026'!$J$2=AF233),'2026DATA'!$C$31,"")</f>
        <v/>
      </c>
      <c r="AG262" s="518" t="str">
        <f>IF(AND(_2="A-319",'2026'!$J$4="CA",'2026'!$J$2=AG233),'2026DATA'!$D$31,"")</f>
        <v/>
      </c>
      <c r="AH262" s="518" t="str">
        <f>IF(AND(_2="A-319",'2026'!$J$4="CA",'2026'!$J$2=AH233),'2026DATA'!$E$31,"")</f>
        <v/>
      </c>
      <c r="AI262" s="518" t="str">
        <f>IF(AND(_2="A-319",'2026'!$J$4="CA",'2026'!$J$2=AI233),'2026DATA'!$F$31,"")</f>
        <v/>
      </c>
      <c r="AJ262" s="518" t="str">
        <f>IF(AND(_2="A-319",'2026'!$J$4="CA",'2026'!$J$2=AJ233),'2026DATA'!$G$31,"")</f>
        <v/>
      </c>
      <c r="AK262" s="518" t="str">
        <f>IF(AND(_2="A-319",'2026'!$J$4="CA",'2026'!$J$2=AK233),'2026DATA'!$H$31,"")</f>
        <v/>
      </c>
      <c r="AL262" s="518" t="str">
        <f>IF(AND(_2="A-319",'2026'!$J$4="CA",'2026'!$J$2=AL233),'2026DATA'!$I$31,"")</f>
        <v/>
      </c>
      <c r="AM262" s="518" t="str">
        <f>IF(AND(_2="A-319",'2026'!$J$4="CA",'2026'!$J$2=AM233),'2026DATA'!$J$31,"")</f>
        <v/>
      </c>
      <c r="AN262" s="518" t="str">
        <f>IF(AND(_2="A-319",'2026'!$J$4="CA",'2026'!$J$2=AN233),'2026DATA'!$K$31,"")</f>
        <v/>
      </c>
      <c r="AO262" s="518" t="str">
        <f>IF(AND(_2="A-319",'2026'!$J$4="CA",'2026'!$J$2=AO233),'2026DATA'!$L$31,"")</f>
        <v/>
      </c>
      <c r="AP262" s="518" t="str">
        <f>IF(AND(_2="A-319",'2026'!$J$4="CA",'2026'!$J$2=AP233),'2026DATA'!$M$31,"")</f>
        <v/>
      </c>
      <c r="AQ262" s="520" t="str">
        <f>IF(AND(_2="A-319",'2026'!$J$4="CA",'2026'!$J$2=AQ233),'2026DATA'!$N$31,"")</f>
        <v/>
      </c>
      <c r="AR262" s="940" t="s">
        <v>71</v>
      </c>
      <c r="AS262" s="13" t="s">
        <v>61</v>
      </c>
      <c r="AT262" s="518" t="str">
        <f>IF(AND(_3="A-319",'2026'!$J$4="CA",'2026'!$J$2=AT233),'2026DATA'!$C$31,"")</f>
        <v/>
      </c>
      <c r="AU262" s="518" t="str">
        <f>IF(AND(_3="A-319",'2026'!$J$4="CA",'2026'!$J$2=AU233),'2026DATA'!$D$31,"")</f>
        <v/>
      </c>
      <c r="AV262" s="518" t="str">
        <f>IF(AND(_3="A-319",'2026'!$J$4="CA",'2026'!$J$2=AV233),'2026DATA'!$E$31,"")</f>
        <v/>
      </c>
      <c r="AW262" s="518" t="str">
        <f>IF(AND(_3="A-319",'2026'!$J$4="CA",'2026'!$J$2=AW233),'2026DATA'!$F$31,"")</f>
        <v/>
      </c>
      <c r="AX262" s="518" t="str">
        <f>IF(AND(_3="A-319",'2026'!$J$4="CA",'2026'!$J$2=AX233),'2026DATA'!$G$31,"")</f>
        <v/>
      </c>
      <c r="AY262" s="518" t="str">
        <f>IF(AND(_3="A-319",'2026'!$J$4="CA",'2026'!$J$2=AY233),'2026DATA'!$H$31,"")</f>
        <v/>
      </c>
      <c r="AZ262" s="518" t="str">
        <f>IF(AND(_3="A-319",'2026'!$J$4="CA",'2026'!$J$2=AZ233),'2026DATA'!$I$31,"")</f>
        <v/>
      </c>
      <c r="BA262" s="518" t="str">
        <f>IF(AND(_3="A-319",'2026'!$J$4="CA",'2026'!$J$2=BA233),'2026DATA'!$J$31,"")</f>
        <v/>
      </c>
      <c r="BB262" s="518" t="str">
        <f>IF(AND(_3="A-319",'2026'!$J$4="CA",'2026'!$J$2=BB233),'2026DATA'!$K$31,"")</f>
        <v/>
      </c>
      <c r="BC262" s="518" t="str">
        <f>IF(AND(_3="A-319",'2026'!$J$4="CA",'2026'!$J$2=BC233),'2026DATA'!$L$31,"")</f>
        <v/>
      </c>
      <c r="BD262" s="518" t="str">
        <f>IF(AND(_3="A-319",'2026'!$J$4="CA",'2026'!$J$2=BD233),'2026DATA'!$M$31,"")</f>
        <v/>
      </c>
      <c r="BE262" s="520" t="str">
        <f>IF(AND(_3="A-319",'2026'!$J$4="CA",'2026'!$J$2=BE233),'2026DATA'!$N$31,"")</f>
        <v/>
      </c>
      <c r="BF262" s="940" t="s">
        <v>71</v>
      </c>
      <c r="BG262" s="13" t="s">
        <v>61</v>
      </c>
      <c r="BH262" s="518" t="str">
        <f>IF(AND(_4="A-319",'2026'!$J$4="CA",'2026'!$J$2=BH233),'2026DATA'!$C$31,"")</f>
        <v/>
      </c>
      <c r="BI262" s="518" t="str">
        <f>IF(AND(_4="A-319",'2026'!$J$4="CA",'2026'!$J$2=BI233),'2026DATA'!$D$31,"")</f>
        <v/>
      </c>
      <c r="BJ262" s="518" t="str">
        <f>IF(AND(_4="A-319",'2026'!$J$4="CA",'2026'!$J$2=BJ233),'2026DATA'!$E$31,"")</f>
        <v/>
      </c>
      <c r="BK262" s="518" t="str">
        <f>IF(AND(_4="A-319",'2026'!$J$4="CA",'2026'!$J$2=BK233),'2026DATA'!$F$31,"")</f>
        <v/>
      </c>
      <c r="BL262" s="518" t="str">
        <f>IF(AND(_4="A-319",'2026'!$J$4="CA",'2026'!$J$2=BL233),'2026DATA'!$G$31,"")</f>
        <v/>
      </c>
      <c r="BM262" s="518" t="str">
        <f>IF(AND(_4="A-319",'2026'!$J$4="CA",'2026'!$J$2=BM233),'2026DATA'!$H$31,"")</f>
        <v/>
      </c>
      <c r="BN262" s="518" t="str">
        <f>IF(AND(_4="A-319",'2026'!$J$4="CA",'2026'!$J$2=BN233),'2026DATA'!$I$31,"")</f>
        <v/>
      </c>
      <c r="BO262" s="518" t="str">
        <f>IF(AND(_4="A-319",'2026'!$J$4="CA",'2026'!$J$2=BO233),'2026DATA'!$J$31,"")</f>
        <v/>
      </c>
      <c r="BP262" s="518" t="str">
        <f>IF(AND(_4="A-319",'2026'!$J$4="CA",'2026'!$J$2=BP233),'2026DATA'!$K$31,"")</f>
        <v/>
      </c>
      <c r="BQ262" s="518" t="str">
        <f>IF(AND(_4="A-319",'2026'!$J$4="CA",'2026'!$J$2=BQ233),'2026DATA'!$L$31,"")</f>
        <v/>
      </c>
      <c r="BR262" s="518" t="str">
        <f>IF(AND(_4="A-319",'2026'!$J$4="CA",'2026'!$J$2=BR233),'2026DATA'!$M$31,"")</f>
        <v/>
      </c>
      <c r="BS262" s="520" t="str">
        <f>IF(AND(_4="A-319",'2026'!$J$4="CA",'2026'!$J$2=BS233),'2026DATA'!$N$31,"")</f>
        <v/>
      </c>
      <c r="BT262" s="940" t="s">
        <v>71</v>
      </c>
      <c r="BU262" s="13" t="s">
        <v>61</v>
      </c>
      <c r="BV262" s="518" t="str">
        <f>IF(AND(_5="A-319",'2026'!$J$4="CA",'2026'!$J$2=BV233),'2026DATA'!$C$31,"")</f>
        <v/>
      </c>
      <c r="BW262" s="518" t="str">
        <f>IF(AND(_5="A-319",'2026'!$J$4="CA",'2026'!$J$2=BW233),'2026DATA'!$D$31,"")</f>
        <v/>
      </c>
      <c r="BX262" s="518" t="str">
        <f>IF(AND(_5="A-319",'2026'!$J$4="CA",'2026'!$J$2=BX233),'2026DATA'!$E$31,"")</f>
        <v/>
      </c>
      <c r="BY262" s="518" t="str">
        <f>IF(AND(_5="A-319",'2026'!$J$4="CA",'2026'!$J$2=BY233),'2026DATA'!$F$31,"")</f>
        <v/>
      </c>
      <c r="BZ262" s="518" t="str">
        <f>IF(AND(_5="A-319",'2026'!$J$4="CA",'2026'!$J$2=BZ233),'2026DATA'!$G$31,"")</f>
        <v/>
      </c>
      <c r="CA262" s="518" t="str">
        <f>IF(AND(_5="A-319",'2026'!$J$4="CA",'2026'!$J$2=CA233),'2026DATA'!$H$31,"")</f>
        <v/>
      </c>
      <c r="CB262" s="518" t="str">
        <f>IF(AND(_5="A-319",'2026'!$J$4="CA",'2026'!$J$2=CB233),'2026DATA'!$I$31,"")</f>
        <v/>
      </c>
      <c r="CC262" s="518" t="str">
        <f>IF(AND(_5="A-319",'2026'!$J$4="CA",'2026'!$J$2=CC233),'2026DATA'!$J$31,"")</f>
        <v/>
      </c>
      <c r="CD262" s="518" t="str">
        <f>IF(AND(_5="A-319",'2026'!$J$4="CA",'2026'!$J$2=CD233),'2026DATA'!$K$31,"")</f>
        <v/>
      </c>
      <c r="CE262" s="518" t="str">
        <f>IF(AND(_5="A-319",'2026'!$J$4="CA",'2026'!$J$2=CE233),'2026DATA'!$L$31,"")</f>
        <v/>
      </c>
      <c r="CF262" s="518" t="str">
        <f>IF(AND(_5="A-319",'2026'!$J$4="CA",'2026'!$J$2=CF233),'2026DATA'!$M$31,"")</f>
        <v/>
      </c>
      <c r="CG262" s="520" t="str">
        <f>IF(AND(_5="A-319",'2026'!$J$4="CA",'2026'!$J$2=CG233),'2026DATA'!$N$31,"")</f>
        <v/>
      </c>
      <c r="CH262" s="940" t="s">
        <v>71</v>
      </c>
      <c r="CI262" s="13" t="s">
        <v>61</v>
      </c>
      <c r="CJ262" s="518" t="str">
        <f>IF(AND(_6="A-319",'2026'!$J$4="CA",'2026'!$J$2=CJ233),'2026DATA'!$C$31,"")</f>
        <v/>
      </c>
      <c r="CK262" s="518" t="str">
        <f>IF(AND(_6="A-319",'2026'!$J$4="CA",'2026'!$J$2=CK233),'2026DATA'!$D$31,"")</f>
        <v/>
      </c>
      <c r="CL262" s="518" t="str">
        <f>IF(AND(_6="A-319",'2026'!$J$4="CA",'2026'!$J$2=CL233),'2026DATA'!$E$31,"")</f>
        <v/>
      </c>
      <c r="CM262" s="518" t="str">
        <f>IF(AND(_6="A-319",'2026'!$J$4="CA",'2026'!$J$2=CM233),'2026DATA'!$F$31,"")</f>
        <v/>
      </c>
      <c r="CN262" s="518" t="str">
        <f>IF(AND(_6="A-319",'2026'!$J$4="CA",'2026'!$J$2=CN233),'2026DATA'!$G$31,"")</f>
        <v/>
      </c>
      <c r="CO262" s="518" t="str">
        <f>IF(AND(_6="A-319",'2026'!$J$4="CA",'2026'!$J$2=CO233),'2026DATA'!$H$31,"")</f>
        <v/>
      </c>
      <c r="CP262" s="518" t="str">
        <f>IF(AND(_6="A-319",'2026'!$J$4="CA",'2026'!$J$2=CP233),'2026DATA'!$I$31,"")</f>
        <v/>
      </c>
      <c r="CQ262" s="518" t="str">
        <f>IF(AND(_6="A-319",'2026'!$J$4="CA",'2026'!$J$2=CQ233),'2026DATA'!$J$31,"")</f>
        <v/>
      </c>
      <c r="CR262" s="518" t="str">
        <f>IF(AND(_6="A-319",'2026'!$J$4="CA",'2026'!$J$2=CR233),'2026DATA'!$K$31,"")</f>
        <v/>
      </c>
      <c r="CS262" s="518" t="str">
        <f>IF(AND(_6="A-319",'2026'!$J$4="CA",'2026'!$J$2=CS233),'2026DATA'!$L$31,"")</f>
        <v/>
      </c>
      <c r="CT262" s="518" t="str">
        <f>IF(AND(_6="A-319",'2026'!$J$4="CA",'2026'!$J$2=CT233),'2026DATA'!$M$31,"")</f>
        <v/>
      </c>
      <c r="CU262" s="520" t="str">
        <f>IF(AND(_6="A-319",'2026'!$J$4="CA",'2026'!$J$2=CU233),'2026DATA'!$N$31,"")</f>
        <v/>
      </c>
    </row>
    <row r="263" spans="16:99" x14ac:dyDescent="0.25">
      <c r="P263" s="940"/>
      <c r="Q263" s="13" t="s">
        <v>62</v>
      </c>
      <c r="R263" s="518" t="str">
        <f>IF(AND(_1="A-319",'2026'!$J$4="FO",'2026'!$J$2=R233),'2026DATA'!$C$32,"")</f>
        <v/>
      </c>
      <c r="S263" s="518" t="str">
        <f>IF(AND(_1="A-319",'2026'!$J$4="FO",'2026'!$J$2=S233),'2026DATA'!$D$32,"")</f>
        <v/>
      </c>
      <c r="T263" s="518" t="str">
        <f>IF(AND(_1="A-319",'2026'!$J$4="FO",'2026'!$J$2=T233),'2026DATA'!$E$32,"")</f>
        <v/>
      </c>
      <c r="U263" s="518" t="str">
        <f>IF(AND(_1="A-319",'2026'!$J$4="FO",'2026'!$J$2=U233),'2026DATA'!$F$32,"")</f>
        <v/>
      </c>
      <c r="V263" s="518" t="str">
        <f>IF(AND(_1="A-319",'2026'!$J$4="FO",'2026'!$J$2=V233),'2026DATA'!$G$32,"")</f>
        <v/>
      </c>
      <c r="W263" s="518" t="str">
        <f>IF(AND(_1="A-319",'2026'!$J$4="FO",'2026'!$J$2=W233),'2026DATA'!$H$32,"")</f>
        <v/>
      </c>
      <c r="X263" s="518" t="str">
        <f>IF(AND(_1="A-319",'2026'!$J$4="FO",'2026'!$J$2=X233),'2026DATA'!$I$32,"")</f>
        <v/>
      </c>
      <c r="Y263" s="518" t="str">
        <f>IF(AND(_1="A-319",'2026'!$J$4="FO",'2026'!$J$2=Y233),'2026DATA'!$J$32,"")</f>
        <v/>
      </c>
      <c r="Z263" s="518" t="str">
        <f>IF(AND(_1="A-319",'2026'!$J$4="FO",'2026'!$J$2=Z233),'2026DATA'!$K$32,"")</f>
        <v/>
      </c>
      <c r="AA263" s="518" t="str">
        <f>IF(AND(_1="A-319",'2026'!$J$4="FO",'2026'!$J$2=AA233),'2026DATA'!$L$32,"")</f>
        <v/>
      </c>
      <c r="AB263" s="518" t="str">
        <f>IF(AND(_1="A-319",'2026'!$J$4="FO",'2026'!$J$2=AB233),'2026DATA'!$M$32,"")</f>
        <v/>
      </c>
      <c r="AC263" s="520" t="str">
        <f>IF(AND(_1="A-319",'2026'!$J$4="FO",'2026'!$J$2=AC233),'2026DATA'!$N$32,"")</f>
        <v/>
      </c>
      <c r="AD263" s="940"/>
      <c r="AE263" s="13" t="s">
        <v>62</v>
      </c>
      <c r="AF263" s="518" t="str">
        <f>IF(AND(_2="A-319",'2026'!$J$4="FO",'2026'!$J$2=AF233),'2026DATA'!$C$32,"")</f>
        <v/>
      </c>
      <c r="AG263" s="518" t="str">
        <f>IF(AND(_2="A-319",'2026'!$J$4="FO",'2026'!$J$2=AG233),'2026DATA'!$D$32,"")</f>
        <v/>
      </c>
      <c r="AH263" s="518" t="str">
        <f>IF(AND(_2="A-319",'2026'!$J$4="FO",'2026'!$J$2=AH233),'2026DATA'!$E$32,"")</f>
        <v/>
      </c>
      <c r="AI263" s="518" t="str">
        <f>IF(AND(_2="A-319",'2026'!$J$4="FO",'2026'!$J$2=AI233),'2026DATA'!$F$32,"")</f>
        <v/>
      </c>
      <c r="AJ263" s="518" t="str">
        <f>IF(AND(_2="A-319",'2026'!$J$4="FO",'2026'!$J$2=AJ233),'2026DATA'!$G$32,"")</f>
        <v/>
      </c>
      <c r="AK263" s="518" t="str">
        <f>IF(AND(_2="A-319",'2026'!$J$4="FO",'2026'!$J$2=AK233),'2026DATA'!$H$32,"")</f>
        <v/>
      </c>
      <c r="AL263" s="518" t="str">
        <f>IF(AND(_2="A-319",'2026'!$J$4="FO",'2026'!$J$2=AL233),'2026DATA'!$I$32,"")</f>
        <v/>
      </c>
      <c r="AM263" s="518" t="str">
        <f>IF(AND(_2="A-319",'2026'!$J$4="FO",'2026'!$J$2=AM233),'2026DATA'!$J$32,"")</f>
        <v/>
      </c>
      <c r="AN263" s="518" t="str">
        <f>IF(AND(_2="A-319",'2026'!$J$4="FO",'2026'!$J$2=AN233),'2026DATA'!$K$32,"")</f>
        <v/>
      </c>
      <c r="AO263" s="518" t="str">
        <f>IF(AND(_2="A-319",'2026'!$J$4="FO",'2026'!$J$2=AO233),'2026DATA'!$L$32,"")</f>
        <v/>
      </c>
      <c r="AP263" s="518" t="str">
        <f>IF(AND(_2="A-319",'2026'!$J$4="FO",'2026'!$J$2=AP233),'2026DATA'!$M$32,"")</f>
        <v/>
      </c>
      <c r="AQ263" s="520" t="str">
        <f>IF(AND(_2="A-319",'2026'!$J$4="FO",'2026'!$J$2=AQ233),'2026DATA'!$N$32,"")</f>
        <v/>
      </c>
      <c r="AR263" s="940"/>
      <c r="AS263" s="13" t="s">
        <v>62</v>
      </c>
      <c r="AT263" s="518" t="str">
        <f>IF(AND(_3="A-319",'2026'!$J$4="FO",'2026'!$J$2=AT233),'2026DATA'!$C$32,"")</f>
        <v/>
      </c>
      <c r="AU263" s="518" t="str">
        <f>IF(AND(_3="A-319",'2026'!$J$4="FO",'2026'!$J$2=AU233),'2026DATA'!$D$32,"")</f>
        <v/>
      </c>
      <c r="AV263" s="518" t="str">
        <f>IF(AND(_3="A-319",'2026'!$J$4="FO",'2026'!$J$2=AV233),'2026DATA'!$E$32,"")</f>
        <v/>
      </c>
      <c r="AW263" s="518" t="str">
        <f>IF(AND(_3="A-319",'2026'!$J$4="FO",'2026'!$J$2=AW233),'2026DATA'!$F$32,"")</f>
        <v/>
      </c>
      <c r="AX263" s="518" t="str">
        <f>IF(AND(_3="A-319",'2026'!$J$4="FO",'2026'!$J$2=AX233),'2026DATA'!$G$32,"")</f>
        <v/>
      </c>
      <c r="AY263" s="518" t="str">
        <f>IF(AND(_3="A-319",'2026'!$J$4="FO",'2026'!$J$2=AY233),'2026DATA'!$H$32,"")</f>
        <v/>
      </c>
      <c r="AZ263" s="518" t="str">
        <f>IF(AND(_3="A-319",'2026'!$J$4="FO",'2026'!$J$2=AZ233),'2026DATA'!$I$32,"")</f>
        <v/>
      </c>
      <c r="BA263" s="518" t="str">
        <f>IF(AND(_3="A-319",'2026'!$J$4="FO",'2026'!$J$2=BA233),'2026DATA'!$J$32,"")</f>
        <v/>
      </c>
      <c r="BB263" s="518" t="str">
        <f>IF(AND(_3="A-319",'2026'!$J$4="FO",'2026'!$J$2=BB233),'2026DATA'!$K$32,"")</f>
        <v/>
      </c>
      <c r="BC263" s="518" t="str">
        <f>IF(AND(_3="A-319",'2026'!$J$4="FO",'2026'!$J$2=BC233),'2026DATA'!$L$32,"")</f>
        <v/>
      </c>
      <c r="BD263" s="518" t="str">
        <f>IF(AND(_3="A-319",'2026'!$J$4="FO",'2026'!$J$2=BD233),'2026DATA'!$M$32,"")</f>
        <v/>
      </c>
      <c r="BE263" s="520" t="str">
        <f>IF(AND(_3="A-319",'2026'!$J$4="FO",'2026'!$J$2=BE233),'2026DATA'!$N$32,"")</f>
        <v/>
      </c>
      <c r="BF263" s="940"/>
      <c r="BG263" s="13" t="s">
        <v>62</v>
      </c>
      <c r="BH263" s="518" t="str">
        <f>IF(AND(_4="A-319",'2026'!$J$4="FO",'2026'!$J$2=BH233),'2026DATA'!$C$32,"")</f>
        <v/>
      </c>
      <c r="BI263" s="518" t="str">
        <f>IF(AND(_4="A-319",'2026'!$J$4="FO",'2026'!$J$2=BI233),'2026DATA'!$D$32,"")</f>
        <v/>
      </c>
      <c r="BJ263" s="518" t="str">
        <f>IF(AND(_4="A-319",'2026'!$J$4="FO",'2026'!$J$2=BJ233),'2026DATA'!$E$32,"")</f>
        <v/>
      </c>
      <c r="BK263" s="518" t="str">
        <f>IF(AND(_4="A-319",'2026'!$J$4="FO",'2026'!$J$2=BK233),'2026DATA'!$F$32,"")</f>
        <v/>
      </c>
      <c r="BL263" s="518" t="str">
        <f>IF(AND(_4="A-319",'2026'!$J$4="FO",'2026'!$J$2=BL233),'2026DATA'!$G$32,"")</f>
        <v/>
      </c>
      <c r="BM263" s="518" t="str">
        <f>IF(AND(_4="A-319",'2026'!$J$4="FO",'2026'!$J$2=BM233),'2026DATA'!$H$32,"")</f>
        <v/>
      </c>
      <c r="BN263" s="518" t="str">
        <f>IF(AND(_4="A-319",'2026'!$J$4="FO",'2026'!$J$2=BN233),'2026DATA'!$I$32,"")</f>
        <v/>
      </c>
      <c r="BO263" s="518" t="str">
        <f>IF(AND(_4="A-319",'2026'!$J$4="FO",'2026'!$J$2=BO233),'2026DATA'!$J$32,"")</f>
        <v/>
      </c>
      <c r="BP263" s="518" t="str">
        <f>IF(AND(_4="A-319",'2026'!$J$4="FO",'2026'!$J$2=BP233),'2026DATA'!$K$32,"")</f>
        <v/>
      </c>
      <c r="BQ263" s="518" t="str">
        <f>IF(AND(_4="A-319",'2026'!$J$4="FO",'2026'!$J$2=BQ233),'2026DATA'!$L$32,"")</f>
        <v/>
      </c>
      <c r="BR263" s="518" t="str">
        <f>IF(AND(_4="A-319",'2026'!$J$4="FO",'2026'!$J$2=BR233),'2026DATA'!$M$32,"")</f>
        <v/>
      </c>
      <c r="BS263" s="520" t="str">
        <f>IF(AND(_4="A-319",'2026'!$J$4="FO",'2026'!$J$2=BS233),'2026DATA'!$N$32,"")</f>
        <v/>
      </c>
      <c r="BT263" s="940"/>
      <c r="BU263" s="13" t="s">
        <v>62</v>
      </c>
      <c r="BV263" s="518" t="str">
        <f>IF(AND(_5="A-319",'2026'!$J$4="FO",'2026'!$J$2=BV233),'2026DATA'!$C$32,"")</f>
        <v/>
      </c>
      <c r="BW263" s="518" t="str">
        <f>IF(AND(_5="A-319",'2026'!$J$4="FO",'2026'!$J$2=BW233),'2026DATA'!$D$32,"")</f>
        <v/>
      </c>
      <c r="BX263" s="518" t="str">
        <f>IF(AND(_5="A-319",'2026'!$J$4="FO",'2026'!$J$2=BX233),'2026DATA'!$E$32,"")</f>
        <v/>
      </c>
      <c r="BY263" s="518" t="str">
        <f>IF(AND(_5="A-319",'2026'!$J$4="FO",'2026'!$J$2=BY233),'2026DATA'!$F$32,"")</f>
        <v/>
      </c>
      <c r="BZ263" s="518" t="str">
        <f>IF(AND(_5="A-319",'2026'!$J$4="FO",'2026'!$J$2=BZ233),'2026DATA'!$G$32,"")</f>
        <v/>
      </c>
      <c r="CA263" s="518" t="str">
        <f>IF(AND(_5="A-319",'2026'!$J$4="FO",'2026'!$J$2=CA233),'2026DATA'!$H$32,"")</f>
        <v/>
      </c>
      <c r="CB263" s="518" t="str">
        <f>IF(AND(_5="A-319",'2026'!$J$4="FO",'2026'!$J$2=CB233),'2026DATA'!$I$32,"")</f>
        <v/>
      </c>
      <c r="CC263" s="518" t="str">
        <f>IF(AND(_5="A-319",'2026'!$J$4="FO",'2026'!$J$2=CC233),'2026DATA'!$J$32,"")</f>
        <v/>
      </c>
      <c r="CD263" s="518" t="str">
        <f>IF(AND(_5="A-319",'2026'!$J$4="FO",'2026'!$J$2=CD233),'2026DATA'!$K$32,"")</f>
        <v/>
      </c>
      <c r="CE263" s="518" t="str">
        <f>IF(AND(_5="A-319",'2026'!$J$4="FO",'2026'!$J$2=CE233),'2026DATA'!$L$32,"")</f>
        <v/>
      </c>
      <c r="CF263" s="518" t="str">
        <f>IF(AND(_5="A-319",'2026'!$J$4="FO",'2026'!$J$2=CF233),'2026DATA'!$M$32,"")</f>
        <v/>
      </c>
      <c r="CG263" s="520" t="str">
        <f>IF(AND(_5="A-319",'2026'!$J$4="FO",'2026'!$J$2=CG233),'2026DATA'!$N$32,"")</f>
        <v/>
      </c>
      <c r="CH263" s="940"/>
      <c r="CI263" s="13" t="s">
        <v>62</v>
      </c>
      <c r="CJ263" s="518" t="str">
        <f>IF(AND(_6="A-319",'2026'!$J$4="FO",'2026'!$J$2=CJ233),'2026DATA'!$C$32,"")</f>
        <v/>
      </c>
      <c r="CK263" s="518" t="str">
        <f>IF(AND(_6="A-319",'2026'!$J$4="FO",'2026'!$J$2=CK233),'2026DATA'!$D$32,"")</f>
        <v/>
      </c>
      <c r="CL263" s="518" t="str">
        <f>IF(AND(_6="A-319",'2026'!$J$4="FO",'2026'!$J$2=CL233),'2026DATA'!$E$32,"")</f>
        <v/>
      </c>
      <c r="CM263" s="518" t="str">
        <f>IF(AND(_6="A-319",'2026'!$J$4="FO",'2026'!$J$2=CM233),'2026DATA'!$F$32,"")</f>
        <v/>
      </c>
      <c r="CN263" s="518" t="str">
        <f>IF(AND(_6="A-319",'2026'!$J$4="FO",'2026'!$J$2=CN233),'2026DATA'!$G$32,"")</f>
        <v/>
      </c>
      <c r="CO263" s="518" t="str">
        <f>IF(AND(_6="A-319",'2026'!$J$4="FO",'2026'!$J$2=CO233),'2026DATA'!$H$32,"")</f>
        <v/>
      </c>
      <c r="CP263" s="518" t="str">
        <f>IF(AND(_6="A-319",'2026'!$J$4="FO",'2026'!$J$2=CP233),'2026DATA'!$I$32,"")</f>
        <v/>
      </c>
      <c r="CQ263" s="518" t="str">
        <f>IF(AND(_6="A-319",'2026'!$J$4="FO",'2026'!$J$2=CQ233),'2026DATA'!$J$32,"")</f>
        <v/>
      </c>
      <c r="CR263" s="518" t="str">
        <f>IF(AND(_6="A-319",'2026'!$J$4="FO",'2026'!$J$2=CR233),'2026DATA'!$K$32,"")</f>
        <v/>
      </c>
      <c r="CS263" s="518" t="str">
        <f>IF(AND(_6="A-319",'2026'!$J$4="FO",'2026'!$J$2=CS233),'2026DATA'!$L$32,"")</f>
        <v/>
      </c>
      <c r="CT263" s="518" t="str">
        <f>IF(AND(_6="A-319",'2026'!$J$4="FO",'2026'!$J$2=CT233),'2026DATA'!$M$32,"")</f>
        <v/>
      </c>
      <c r="CU263" s="520" t="str">
        <f>IF(AND(_6="A-319",'2026'!$J$4="FO",'2026'!$J$2=CU233),'2026DATA'!$N$32,"")</f>
        <v/>
      </c>
    </row>
    <row r="264" spans="16:99" x14ac:dyDescent="0.25">
      <c r="P264" s="940" t="s">
        <v>51</v>
      </c>
      <c r="Q264" s="13" t="s">
        <v>61</v>
      </c>
      <c r="R264" s="518" t="str">
        <f>IF(AND(_1="A-220-300",'2026'!$J$4="CA",'2026'!$J$2=R233),'2026DATA'!$C$33,"")</f>
        <v/>
      </c>
      <c r="S264" s="518" t="str">
        <f>IF(AND(_1="A-220-300",'2026'!$J$4="CA",'2026'!$J$2=S233),'2026DATA'!$D$33,"")</f>
        <v/>
      </c>
      <c r="T264" s="518" t="str">
        <f>IF(AND(_1="A-220-300",'2026'!$J$4="CA",'2026'!$J$2=T233),'2026DATA'!$E$33,"")</f>
        <v/>
      </c>
      <c r="U264" s="518" t="str">
        <f>IF(AND(_1="A-220-300",'2026'!$J$4="CA",'2026'!$J$2=U233),'2026DATA'!$F$33,"")</f>
        <v/>
      </c>
      <c r="V264" s="518" t="str">
        <f>IF(AND(_1="A-220-300",'2026'!$J$4="CA",'2026'!$J$2=V233),'2026DATA'!$G$33,"")</f>
        <v/>
      </c>
      <c r="W264" s="518" t="str">
        <f>IF(AND(_1="A-220-300",'2026'!$J$4="CA",'2026'!$J$2=W233),'2026DATA'!$H$33,"")</f>
        <v/>
      </c>
      <c r="X264" s="518" t="str">
        <f>IF(AND(_1="A-220-300",'2026'!$J$4="CA",'2026'!$J$2=X233),'2026DATA'!$I$33,"")</f>
        <v/>
      </c>
      <c r="Y264" s="518" t="str">
        <f>IF(AND(_1="A-220-300",'2026'!$J$4="CA",'2026'!$J$2=Y233),'2026DATA'!$J$33,"")</f>
        <v/>
      </c>
      <c r="Z264" s="518" t="str">
        <f>IF(AND(_1="A-220-300",'2026'!$J$4="CA",'2026'!$J$2=Z233),'2026DATA'!$K$33,"")</f>
        <v/>
      </c>
      <c r="AA264" s="518" t="str">
        <f>IF(AND(_1="A-220-300",'2026'!$J$4="CA",'2026'!$J$2=AA233),'2026DATA'!$L$33,"")</f>
        <v/>
      </c>
      <c r="AB264" s="518" t="str">
        <f>IF(AND(_1="A-220-300",'2026'!$J$4="CA",'2026'!$J$2=AB233),'2026DATA'!$M$33,"")</f>
        <v/>
      </c>
      <c r="AC264" s="520" t="str">
        <f>IF(AND(_1="A-220-300",'2026'!$J$4="CA",'2026'!$J$2=AC233),'2026DATA'!$N$33,"")</f>
        <v/>
      </c>
      <c r="AD264" s="940" t="s">
        <v>51</v>
      </c>
      <c r="AE264" s="13" t="s">
        <v>61</v>
      </c>
      <c r="AF264" s="518" t="str">
        <f>IF(AND(_2="A-220-300",'2026'!$J$4="CA",'2026'!$J$2=AF233),'2026DATA'!$C$33,"")</f>
        <v/>
      </c>
      <c r="AG264" s="518" t="str">
        <f>IF(AND(_2="A-220-300",'2026'!$J$4="CA",'2026'!$J$2=AG233),'2026DATA'!$D$33,"")</f>
        <v/>
      </c>
      <c r="AH264" s="518" t="str">
        <f>IF(AND(_2="A-220-300",'2026'!$J$4="CA",'2026'!$J$2=AH233),'2026DATA'!$E$33,"")</f>
        <v/>
      </c>
      <c r="AI264" s="518" t="str">
        <f>IF(AND(_2="A-220-300",'2026'!$J$4="CA",'2026'!$J$2=AI233),'2026DATA'!$F$33,"")</f>
        <v/>
      </c>
      <c r="AJ264" s="518" t="str">
        <f>IF(AND(_2="A-220-300",'2026'!$J$4="CA",'2026'!$J$2=AJ233),'2026DATA'!$G$33,"")</f>
        <v/>
      </c>
      <c r="AK264" s="518" t="str">
        <f>IF(AND(_2="A-220-300",'2026'!$J$4="CA",'2026'!$J$2=AK233),'2026DATA'!$H$33,"")</f>
        <v/>
      </c>
      <c r="AL264" s="518" t="str">
        <f>IF(AND(_2="A-220-300",'2026'!$J$4="CA",'2026'!$J$2=AL233),'2026DATA'!$I$33,"")</f>
        <v/>
      </c>
      <c r="AM264" s="518" t="str">
        <f>IF(AND(_2="A-220-300",'2026'!$J$4="CA",'2026'!$J$2=AM233),'2026DATA'!$J$33,"")</f>
        <v/>
      </c>
      <c r="AN264" s="518" t="str">
        <f>IF(AND(_2="A-220-300",'2026'!$J$4="CA",'2026'!$J$2=AN233),'2026DATA'!$K$33,"")</f>
        <v/>
      </c>
      <c r="AO264" s="518" t="str">
        <f>IF(AND(_2="A-220-300",'2026'!$J$4="CA",'2026'!$J$2=AO233),'2026DATA'!$L$33,"")</f>
        <v/>
      </c>
      <c r="AP264" s="518" t="str">
        <f>IF(AND(_2="A-220-300",'2026'!$J$4="CA",'2026'!$J$2=AP233),'2026DATA'!$M$33,"")</f>
        <v/>
      </c>
      <c r="AQ264" s="520" t="str">
        <f>IF(AND(_2="A-220-300",'2026'!$J$4="CA",'2026'!$J$2=AQ233),'2026DATA'!$N$33,"")</f>
        <v/>
      </c>
      <c r="AR264" s="940" t="s">
        <v>51</v>
      </c>
      <c r="AS264" s="13" t="s">
        <v>61</v>
      </c>
      <c r="AT264" s="518" t="str">
        <f>IF(AND(_3="A-220-300",'2026'!$J$4="CA",'2026'!$J$2=AT233),'2026DATA'!$C$33,"")</f>
        <v/>
      </c>
      <c r="AU264" s="518" t="str">
        <f>IF(AND(_3="A-220-300",'2026'!$J$4="CA",'2026'!$J$2=AU233),'2026DATA'!$D$33,"")</f>
        <v/>
      </c>
      <c r="AV264" s="518" t="str">
        <f>IF(AND(_3="A-220-300",'2026'!$J$4="CA",'2026'!$J$2=AV233),'2026DATA'!$E$33,"")</f>
        <v/>
      </c>
      <c r="AW264" s="518" t="str">
        <f>IF(AND(_3="A-220-300",'2026'!$J$4="CA",'2026'!$J$2=AW233),'2026DATA'!$F$33,"")</f>
        <v/>
      </c>
      <c r="AX264" s="518" t="str">
        <f>IF(AND(_3="A-220-300",'2026'!$J$4="CA",'2026'!$J$2=AX233),'2026DATA'!$G$33,"")</f>
        <v/>
      </c>
      <c r="AY264" s="518" t="str">
        <f>IF(AND(_3="A-220-300",'2026'!$J$4="CA",'2026'!$J$2=AY233),'2026DATA'!$H$33,"")</f>
        <v/>
      </c>
      <c r="AZ264" s="518" t="str">
        <f>IF(AND(_3="A-220-300",'2026'!$J$4="CA",'2026'!$J$2=AZ233),'2026DATA'!$I$33,"")</f>
        <v/>
      </c>
      <c r="BA264" s="518" t="str">
        <f>IF(AND(_3="A-220-300",'2026'!$J$4="CA",'2026'!$J$2=BA233),'2026DATA'!$J$33,"")</f>
        <v/>
      </c>
      <c r="BB264" s="518" t="str">
        <f>IF(AND(_3="A-220-300",'2026'!$J$4="CA",'2026'!$J$2=BB233),'2026DATA'!$K$33,"")</f>
        <v/>
      </c>
      <c r="BC264" s="518" t="str">
        <f>IF(AND(_3="A-220-300",'2026'!$J$4="CA",'2026'!$J$2=BC233),'2026DATA'!$L$33,"")</f>
        <v/>
      </c>
      <c r="BD264" s="518" t="str">
        <f>IF(AND(_3="A-220-300",'2026'!$J$4="CA",'2026'!$J$2=BD233),'2026DATA'!$M$33,"")</f>
        <v/>
      </c>
      <c r="BE264" s="520" t="str">
        <f>IF(AND(_3="A-220-300",'2026'!$J$4="CA",'2026'!$J$2=BE233),'2026DATA'!$N$33,"")</f>
        <v/>
      </c>
      <c r="BF264" s="940" t="s">
        <v>51</v>
      </c>
      <c r="BG264" s="13" t="s">
        <v>61</v>
      </c>
      <c r="BH264" s="518" t="str">
        <f>IF(AND(_4="A-220-300",'2026'!$J$4="CA",'2026'!$J$2=BH233),'2026DATA'!$C$33,"")</f>
        <v/>
      </c>
      <c r="BI264" s="518" t="str">
        <f>IF(AND(_4="A-220-300",'2026'!$J$4="CA",'2026'!$J$2=BI233),'2026DATA'!$D$33,"")</f>
        <v/>
      </c>
      <c r="BJ264" s="518" t="str">
        <f>IF(AND(_4="A-220-300",'2026'!$J$4="CA",'2026'!$J$2=BJ233),'2026DATA'!$E$33,"")</f>
        <v/>
      </c>
      <c r="BK264" s="518" t="str">
        <f>IF(AND(_4="A-220-300",'2026'!$J$4="CA",'2026'!$J$2=BK233),'2026DATA'!$F$33,"")</f>
        <v/>
      </c>
      <c r="BL264" s="518" t="str">
        <f>IF(AND(_4="A-220-300",'2026'!$J$4="CA",'2026'!$J$2=BL233),'2026DATA'!$G$33,"")</f>
        <v/>
      </c>
      <c r="BM264" s="518" t="str">
        <f>IF(AND(_4="A-220-300",'2026'!$J$4="CA",'2026'!$J$2=BM233),'2026DATA'!$H$33,"")</f>
        <v/>
      </c>
      <c r="BN264" s="518" t="str">
        <f>IF(AND(_4="A-220-300",'2026'!$J$4="CA",'2026'!$J$2=BN233),'2026DATA'!$I$33,"")</f>
        <v/>
      </c>
      <c r="BO264" s="518" t="str">
        <f>IF(AND(_4="A-220-300",'2026'!$J$4="CA",'2026'!$J$2=BO233),'2026DATA'!$J$33,"")</f>
        <v/>
      </c>
      <c r="BP264" s="518" t="str">
        <f>IF(AND(_4="A-220-300",'2026'!$J$4="CA",'2026'!$J$2=BP233),'2026DATA'!$K$33,"")</f>
        <v/>
      </c>
      <c r="BQ264" s="518" t="str">
        <f>IF(AND(_4="A-220-300",'2026'!$J$4="CA",'2026'!$J$2=BQ233),'2026DATA'!$L$33,"")</f>
        <v/>
      </c>
      <c r="BR264" s="518" t="str">
        <f>IF(AND(_4="A-220-300",'2026'!$J$4="CA",'2026'!$J$2=BR233),'2026DATA'!$M$33,"")</f>
        <v/>
      </c>
      <c r="BS264" s="520" t="str">
        <f>IF(AND(_4="A-220-300",'2026'!$J$4="CA",'2026'!$J$2=BS233),'2026DATA'!$N$33,"")</f>
        <v/>
      </c>
      <c r="BT264" s="940" t="s">
        <v>51</v>
      </c>
      <c r="BU264" s="13" t="s">
        <v>61</v>
      </c>
      <c r="BV264" s="518" t="str">
        <f>IF(AND(_5="A-220-300",'2026'!$J$4="CA",'2026'!$J$2=BV233),'2026DATA'!$C$33,"")</f>
        <v/>
      </c>
      <c r="BW264" s="518" t="str">
        <f>IF(AND(_5="A-220-300",'2026'!$J$4="CA",'2026'!$J$2=BW233),'2026DATA'!$D$33,"")</f>
        <v/>
      </c>
      <c r="BX264" s="518" t="str">
        <f>IF(AND(_5="A-220-300",'2026'!$J$4="CA",'2026'!$J$2=BX233),'2026DATA'!$E$33,"")</f>
        <v/>
      </c>
      <c r="BY264" s="518" t="str">
        <f>IF(AND(_5="A-220-300",'2026'!$J$4="CA",'2026'!$J$2=BY233),'2026DATA'!$F$33,"")</f>
        <v/>
      </c>
      <c r="BZ264" s="518" t="str">
        <f>IF(AND(_5="A-220-300",'2026'!$J$4="CA",'2026'!$J$2=BZ233),'2026DATA'!$G$33,"")</f>
        <v/>
      </c>
      <c r="CA264" s="518" t="str">
        <f>IF(AND(_5="A-220-300",'2026'!$J$4="CA",'2026'!$J$2=CA233),'2026DATA'!$H$33,"")</f>
        <v/>
      </c>
      <c r="CB264" s="518" t="str">
        <f>IF(AND(_5="A-220-300",'2026'!$J$4="CA",'2026'!$J$2=CB233),'2026DATA'!$I$33,"")</f>
        <v/>
      </c>
      <c r="CC264" s="518" t="str">
        <f>IF(AND(_5="A-220-300",'2026'!$J$4="CA",'2026'!$J$2=CC233),'2026DATA'!$J$33,"")</f>
        <v/>
      </c>
      <c r="CD264" s="518" t="str">
        <f>IF(AND(_5="A-220-300",'2026'!$J$4="CA",'2026'!$J$2=CD233),'2026DATA'!$K$33,"")</f>
        <v/>
      </c>
      <c r="CE264" s="518" t="str">
        <f>IF(AND(_5="A-220-300",'2026'!$J$4="CA",'2026'!$J$2=CE233),'2026DATA'!$L$33,"")</f>
        <v/>
      </c>
      <c r="CF264" s="518" t="str">
        <f>IF(AND(_5="A-220-300",'2026'!$J$4="CA",'2026'!$J$2=CF233),'2026DATA'!$M$33,"")</f>
        <v/>
      </c>
      <c r="CG264" s="520" t="str">
        <f>IF(AND(_5="A-220-300",'2026'!$J$4="CA",'2026'!$J$2=CG233),'2026DATA'!$N$33,"")</f>
        <v/>
      </c>
      <c r="CH264" s="940" t="s">
        <v>51</v>
      </c>
      <c r="CI264" s="13" t="s">
        <v>61</v>
      </c>
      <c r="CJ264" s="518" t="str">
        <f>IF(AND(_6="A-220-300",'2026'!$J$4="CA",'2026'!$J$2=CJ233),'2026DATA'!$C$33,"")</f>
        <v/>
      </c>
      <c r="CK264" s="518" t="str">
        <f>IF(AND(_6="A-220-300",'2026'!$J$4="CA",'2026'!$J$2=CK233),'2026DATA'!$D$33,"")</f>
        <v/>
      </c>
      <c r="CL264" s="518" t="str">
        <f>IF(AND(_6="A-220-300",'2026'!$J$4="CA",'2026'!$J$2=CL233),'2026DATA'!$E$33,"")</f>
        <v/>
      </c>
      <c r="CM264" s="518" t="str">
        <f>IF(AND(_6="A-220-300",'2026'!$J$4="CA",'2026'!$J$2=CM233),'2026DATA'!$F$33,"")</f>
        <v/>
      </c>
      <c r="CN264" s="518" t="str">
        <f>IF(AND(_6="A-220-300",'2026'!$J$4="CA",'2026'!$J$2=CN233),'2026DATA'!$G$33,"")</f>
        <v/>
      </c>
      <c r="CO264" s="518" t="str">
        <f>IF(AND(_6="A-220-300",'2026'!$J$4="CA",'2026'!$J$2=CO233),'2026DATA'!$H$33,"")</f>
        <v/>
      </c>
      <c r="CP264" s="518" t="str">
        <f>IF(AND(_6="A-220-300",'2026'!$J$4="CA",'2026'!$J$2=CP233),'2026DATA'!$I$33,"")</f>
        <v/>
      </c>
      <c r="CQ264" s="518" t="str">
        <f>IF(AND(_6="A-220-300",'2026'!$J$4="CA",'2026'!$J$2=CQ233),'2026DATA'!$J$33,"")</f>
        <v/>
      </c>
      <c r="CR264" s="518" t="str">
        <f>IF(AND(_6="A-220-300",'2026'!$J$4="CA",'2026'!$J$2=CR233),'2026DATA'!$K$33,"")</f>
        <v/>
      </c>
      <c r="CS264" s="518" t="str">
        <f>IF(AND(_6="A-220-300",'2026'!$J$4="CA",'2026'!$J$2=CS233),'2026DATA'!$L$33,"")</f>
        <v/>
      </c>
      <c r="CT264" s="518" t="str">
        <f>IF(AND(_6="A-220-300",'2026'!$J$4="CA",'2026'!$J$2=CT233),'2026DATA'!$M$33,"")</f>
        <v/>
      </c>
      <c r="CU264" s="520" t="str">
        <f>IF(AND(_6="A-220-300",'2026'!$J$4="CA",'2026'!$J$2=CU233),'2026DATA'!$N$33,"")</f>
        <v/>
      </c>
    </row>
    <row r="265" spans="16:99" x14ac:dyDescent="0.25">
      <c r="P265" s="940"/>
      <c r="Q265" s="13" t="s">
        <v>62</v>
      </c>
      <c r="R265" s="518" t="str">
        <f>IF(AND(_1="A-220-300",'2026'!$J$4="FO",'2026'!$J$2=R233),'2026DATA'!$C$34,"")</f>
        <v/>
      </c>
      <c r="S265" s="518" t="str">
        <f>IF(AND(_1="A-220-300",'2026'!$J$4="FO",'2026'!$J$2=S233),'2026DATA'!$D$34,"")</f>
        <v/>
      </c>
      <c r="T265" s="518" t="str">
        <f>IF(AND(_1="A-220-300",'2026'!$J$4="FO",'2026'!$J$2=T233),'2026DATA'!$E$34,"")</f>
        <v/>
      </c>
      <c r="U265" s="518" t="str">
        <f>IF(AND(_1="A-220-300",'2026'!$J$4="FO",'2026'!$J$2=U233),'2026DATA'!$F$34,"")</f>
        <v/>
      </c>
      <c r="V265" s="518" t="str">
        <f>IF(AND(_1="A-220-300",'2026'!$J$4="FO",'2026'!$J$2=V233),'2026DATA'!$G$34,"")</f>
        <v/>
      </c>
      <c r="W265" s="518" t="str">
        <f>IF(AND(_1="A-220-300",'2026'!$J$4="FO",'2026'!$J$2=W233),'2026DATA'!$H$34,"")</f>
        <v/>
      </c>
      <c r="X265" s="518" t="str">
        <f>IF(AND(_1="A-220-300",'2026'!$J$4="FO",'2026'!$J$2=X233),'2026DATA'!$I$34,"")</f>
        <v/>
      </c>
      <c r="Y265" s="518" t="str">
        <f>IF(AND(_1="A-220-300",'2026'!$J$4="FO",'2026'!$J$2=Y233),'2026DATA'!$J$34,"")</f>
        <v/>
      </c>
      <c r="Z265" s="518" t="str">
        <f>IF(AND(_1="A-220-300",'2026'!$J$4="FO",'2026'!$J$2=Z233),'2026DATA'!$K$34,"")</f>
        <v/>
      </c>
      <c r="AA265" s="518" t="str">
        <f>IF(AND(_1="A-220-300",'2026'!$J$4="FO",'2026'!$J$2=AA233),'2026DATA'!$L$34,"")</f>
        <v/>
      </c>
      <c r="AB265" s="518" t="str">
        <f>IF(AND(_1="A-220-300",'2026'!$J$4="FO",'2026'!$J$2=AB233),'2026DATA'!$M$34,"")</f>
        <v/>
      </c>
      <c r="AC265" s="520" t="str">
        <f>IF(AND(_1="A-220-300",'2026'!$J$4="FO",'2026'!$J$2=AC233),'2026DATA'!$N$34,"")</f>
        <v/>
      </c>
      <c r="AD265" s="940"/>
      <c r="AE265" s="13" t="s">
        <v>62</v>
      </c>
      <c r="AF265" s="518" t="str">
        <f>IF(AND(_2="A-220-300",'2026'!$J$4="FO",'2026'!$J$2=AF233),'2026DATA'!$C$34,"")</f>
        <v/>
      </c>
      <c r="AG265" s="518" t="str">
        <f>IF(AND(_2="A-220-300",'2026'!$J$4="FO",'2026'!$J$2=AG233),'2026DATA'!$D$34,"")</f>
        <v/>
      </c>
      <c r="AH265" s="518" t="str">
        <f>IF(AND(_2="A-220-300",'2026'!$J$4="FO",'2026'!$J$2=AH233),'2026DATA'!$E$34,"")</f>
        <v/>
      </c>
      <c r="AI265" s="518" t="str">
        <f>IF(AND(_2="A-220-300",'2026'!$J$4="FO",'2026'!$J$2=AI233),'2026DATA'!$F$34,"")</f>
        <v/>
      </c>
      <c r="AJ265" s="518" t="str">
        <f>IF(AND(_2="A-220-300",'2026'!$J$4="FO",'2026'!$J$2=AJ233),'2026DATA'!$G$34,"")</f>
        <v/>
      </c>
      <c r="AK265" s="518" t="str">
        <f>IF(AND(_2="A-220-300",'2026'!$J$4="FO",'2026'!$J$2=AK233),'2026DATA'!$H$34,"")</f>
        <v/>
      </c>
      <c r="AL265" s="518" t="str">
        <f>IF(AND(_2="A-220-300",'2026'!$J$4="FO",'2026'!$J$2=AL233),'2026DATA'!$I$34,"")</f>
        <v/>
      </c>
      <c r="AM265" s="518" t="str">
        <f>IF(AND(_2="A-220-300",'2026'!$J$4="FO",'2026'!$J$2=AM233),'2026DATA'!$J$34,"")</f>
        <v/>
      </c>
      <c r="AN265" s="518" t="str">
        <f>IF(AND(_2="A-220-300",'2026'!$J$4="FO",'2026'!$J$2=AN233),'2026DATA'!$K$34,"")</f>
        <v/>
      </c>
      <c r="AO265" s="518" t="str">
        <f>IF(AND(_2="A-220-300",'2026'!$J$4="FO",'2026'!$J$2=AO233),'2026DATA'!$L$34,"")</f>
        <v/>
      </c>
      <c r="AP265" s="518" t="str">
        <f>IF(AND(_2="A-220-300",'2026'!$J$4="FO",'2026'!$J$2=AP233),'2026DATA'!$M$34,"")</f>
        <v/>
      </c>
      <c r="AQ265" s="520" t="str">
        <f>IF(AND(_2="A-220-300",'2026'!$J$4="FO",'2026'!$J$2=AQ233),'2026DATA'!$N$34,"")</f>
        <v/>
      </c>
      <c r="AR265" s="940"/>
      <c r="AS265" s="13" t="s">
        <v>62</v>
      </c>
      <c r="AT265" s="518" t="str">
        <f>IF(AND(_3="A-220-300",'2026'!$J$4="FO",'2026'!$J$2=AT233),'2026DATA'!$C$34,"")</f>
        <v/>
      </c>
      <c r="AU265" s="518" t="str">
        <f>IF(AND(_3="A-220-300",'2026'!$J$4="FO",'2026'!$J$2=AU233),'2026DATA'!$D$34,"")</f>
        <v/>
      </c>
      <c r="AV265" s="518" t="str">
        <f>IF(AND(_3="A-220-300",'2026'!$J$4="FO",'2026'!$J$2=AV233),'2026DATA'!$E$34,"")</f>
        <v/>
      </c>
      <c r="AW265" s="518" t="str">
        <f>IF(AND(_3="A-220-300",'2026'!$J$4="FO",'2026'!$J$2=AW233),'2026DATA'!$F$34,"")</f>
        <v/>
      </c>
      <c r="AX265" s="518" t="str">
        <f>IF(AND(_3="A-220-300",'2026'!$J$4="FO",'2026'!$J$2=AX233),'2026DATA'!$G$34,"")</f>
        <v/>
      </c>
      <c r="AY265" s="518" t="str">
        <f>IF(AND(_3="A-220-300",'2026'!$J$4="FO",'2026'!$J$2=AY233),'2026DATA'!$H$34,"")</f>
        <v/>
      </c>
      <c r="AZ265" s="518" t="str">
        <f>IF(AND(_3="A-220-300",'2026'!$J$4="FO",'2026'!$J$2=AZ233),'2026DATA'!$I$34,"")</f>
        <v/>
      </c>
      <c r="BA265" s="518" t="str">
        <f>IF(AND(_3="A-220-300",'2026'!$J$4="FO",'2026'!$J$2=BA233),'2026DATA'!$J$34,"")</f>
        <v/>
      </c>
      <c r="BB265" s="518" t="str">
        <f>IF(AND(_3="A-220-300",'2026'!$J$4="FO",'2026'!$J$2=BB233),'2026DATA'!$K$34,"")</f>
        <v/>
      </c>
      <c r="BC265" s="518" t="str">
        <f>IF(AND(_3="A-220-300",'2026'!$J$4="FO",'2026'!$J$2=BC233),'2026DATA'!$L$34,"")</f>
        <v/>
      </c>
      <c r="BD265" s="518" t="str">
        <f>IF(AND(_3="A-220-300",'2026'!$J$4="FO",'2026'!$J$2=BD233),'2026DATA'!$M$34,"")</f>
        <v/>
      </c>
      <c r="BE265" s="520" t="str">
        <f>IF(AND(_3="A-220-300",'2026'!$J$4="FO",'2026'!$J$2=BE233),'2026DATA'!$N$34,"")</f>
        <v/>
      </c>
      <c r="BF265" s="940"/>
      <c r="BG265" s="13" t="s">
        <v>62</v>
      </c>
      <c r="BH265" s="518" t="str">
        <f>IF(AND(_4="A-220-300",'2026'!$J$4="FO",'2026'!$J$2=BH233),'2026DATA'!$C$34,"")</f>
        <v/>
      </c>
      <c r="BI265" s="518" t="str">
        <f>IF(AND(_4="A-220-300",'2026'!$J$4="FO",'2026'!$J$2=BI233),'2026DATA'!$D$34,"")</f>
        <v/>
      </c>
      <c r="BJ265" s="518" t="str">
        <f>IF(AND(_4="A-220-300",'2026'!$J$4="FO",'2026'!$J$2=BJ233),'2026DATA'!$E$34,"")</f>
        <v/>
      </c>
      <c r="BK265" s="518" t="str">
        <f>IF(AND(_4="A-220-300",'2026'!$J$4="FO",'2026'!$J$2=BK233),'2026DATA'!$F$34,"")</f>
        <v/>
      </c>
      <c r="BL265" s="518" t="str">
        <f>IF(AND(_4="A-220-300",'2026'!$J$4="FO",'2026'!$J$2=BL233),'2026DATA'!$G$34,"")</f>
        <v/>
      </c>
      <c r="BM265" s="518" t="str">
        <f>IF(AND(_4="A-220-300",'2026'!$J$4="FO",'2026'!$J$2=BM233),'2026DATA'!$H$34,"")</f>
        <v/>
      </c>
      <c r="BN265" s="518" t="str">
        <f>IF(AND(_4="A-220-300",'2026'!$J$4="FO",'2026'!$J$2=BN233),'2026DATA'!$I$34,"")</f>
        <v/>
      </c>
      <c r="BO265" s="518" t="str">
        <f>IF(AND(_4="A-220-300",'2026'!$J$4="FO",'2026'!$J$2=BO233),'2026DATA'!$J$34,"")</f>
        <v/>
      </c>
      <c r="BP265" s="518" t="str">
        <f>IF(AND(_4="A-220-300",'2026'!$J$4="FO",'2026'!$J$2=BP233),'2026DATA'!$K$34,"")</f>
        <v/>
      </c>
      <c r="BQ265" s="518" t="str">
        <f>IF(AND(_4="A-220-300",'2026'!$J$4="FO",'2026'!$J$2=BQ233),'2026DATA'!$L$34,"")</f>
        <v/>
      </c>
      <c r="BR265" s="518" t="str">
        <f>IF(AND(_4="A-220-300",'2026'!$J$4="FO",'2026'!$J$2=BR233),'2026DATA'!$M$34,"")</f>
        <v/>
      </c>
      <c r="BS265" s="520" t="str">
        <f>IF(AND(_4="A-220-300",'2026'!$J$4="FO",'2026'!$J$2=BS233),'2026DATA'!$N$34,"")</f>
        <v/>
      </c>
      <c r="BT265" s="940"/>
      <c r="BU265" s="13" t="s">
        <v>62</v>
      </c>
      <c r="BV265" s="518" t="str">
        <f>IF(AND(_5="A-220-300",'2026'!$J$4="FO",'2026'!$J$2=BV233),'2026DATA'!$C$34,"")</f>
        <v/>
      </c>
      <c r="BW265" s="518" t="str">
        <f>IF(AND(_5="A-220-300",'2026'!$J$4="FO",'2026'!$J$2=BW233),'2026DATA'!$D$34,"")</f>
        <v/>
      </c>
      <c r="BX265" s="518" t="str">
        <f>IF(AND(_5="A-220-300",'2026'!$J$4="FO",'2026'!$J$2=BX233),'2026DATA'!$E$34,"")</f>
        <v/>
      </c>
      <c r="BY265" s="518" t="str">
        <f>IF(AND(_5="A-220-300",'2026'!$J$4="FO",'2026'!$J$2=BY233),'2026DATA'!$F$34,"")</f>
        <v/>
      </c>
      <c r="BZ265" s="518" t="str">
        <f>IF(AND(_5="A-220-300",'2026'!$J$4="FO",'2026'!$J$2=BZ233),'2026DATA'!$G$34,"")</f>
        <v/>
      </c>
      <c r="CA265" s="518" t="str">
        <f>IF(AND(_5="A-220-300",'2026'!$J$4="FO",'2026'!$J$2=CA233),'2026DATA'!$H$34,"")</f>
        <v/>
      </c>
      <c r="CB265" s="518" t="str">
        <f>IF(AND(_5="A-220-300",'2026'!$J$4="FO",'2026'!$J$2=CB233),'2026DATA'!$I$34,"")</f>
        <v/>
      </c>
      <c r="CC265" s="518" t="str">
        <f>IF(AND(_5="A-220-300",'2026'!$J$4="FO",'2026'!$J$2=CC233),'2026DATA'!$J$34,"")</f>
        <v/>
      </c>
      <c r="CD265" s="518" t="str">
        <f>IF(AND(_5="A-220-300",'2026'!$J$4="FO",'2026'!$J$2=CD233),'2026DATA'!$K$34,"")</f>
        <v/>
      </c>
      <c r="CE265" s="518" t="str">
        <f>IF(AND(_5="A-220-300",'2026'!$J$4="FO",'2026'!$J$2=CE233),'2026DATA'!$L$34,"")</f>
        <v/>
      </c>
      <c r="CF265" s="518" t="str">
        <f>IF(AND(_5="A-220-300",'2026'!$J$4="FO",'2026'!$J$2=CF233),'2026DATA'!$M$34,"")</f>
        <v/>
      </c>
      <c r="CG265" s="520" t="str">
        <f>IF(AND(_5="A-220-300",'2026'!$J$4="FO",'2026'!$J$2=CG233),'2026DATA'!$N$34,"")</f>
        <v/>
      </c>
      <c r="CH265" s="940"/>
      <c r="CI265" s="13" t="s">
        <v>62</v>
      </c>
      <c r="CJ265" s="518" t="str">
        <f>IF(AND(_6="A-220-300",'2026'!$J$4="FO",'2026'!$J$2=CJ233),'2026DATA'!$C$34,"")</f>
        <v/>
      </c>
      <c r="CK265" s="518" t="str">
        <f>IF(AND(_6="A-220-300",'2026'!$J$4="FO",'2026'!$J$2=CK233),'2026DATA'!$D$34,"")</f>
        <v/>
      </c>
      <c r="CL265" s="518" t="str">
        <f>IF(AND(_6="A-220-300",'2026'!$J$4="FO",'2026'!$J$2=CL233),'2026DATA'!$E$34,"")</f>
        <v/>
      </c>
      <c r="CM265" s="518" t="str">
        <f>IF(AND(_6="A-220-300",'2026'!$J$4="FO",'2026'!$J$2=CM233),'2026DATA'!$F$34,"")</f>
        <v/>
      </c>
      <c r="CN265" s="518" t="str">
        <f>IF(AND(_6="A-220-300",'2026'!$J$4="FO",'2026'!$J$2=CN233),'2026DATA'!$G$34,"")</f>
        <v/>
      </c>
      <c r="CO265" s="518" t="str">
        <f>IF(AND(_6="A-220-300",'2026'!$J$4="FO",'2026'!$J$2=CO233),'2026DATA'!$H$34,"")</f>
        <v/>
      </c>
      <c r="CP265" s="518" t="str">
        <f>IF(AND(_6="A-220-300",'2026'!$J$4="FO",'2026'!$J$2=CP233),'2026DATA'!$I$34,"")</f>
        <v/>
      </c>
      <c r="CQ265" s="518" t="str">
        <f>IF(AND(_6="A-220-300",'2026'!$J$4="FO",'2026'!$J$2=CQ233),'2026DATA'!$J$34,"")</f>
        <v/>
      </c>
      <c r="CR265" s="518" t="str">
        <f>IF(AND(_6="A-220-300",'2026'!$J$4="FO",'2026'!$J$2=CR233),'2026DATA'!$K$34,"")</f>
        <v/>
      </c>
      <c r="CS265" s="518" t="str">
        <f>IF(AND(_6="A-220-300",'2026'!$J$4="FO",'2026'!$J$2=CS233),'2026DATA'!$L$34,"")</f>
        <v/>
      </c>
      <c r="CT265" s="518" t="str">
        <f>IF(AND(_6="A-220-300",'2026'!$J$4="FO",'2026'!$J$2=CT233),'2026DATA'!$M$34,"")</f>
        <v/>
      </c>
      <c r="CU265" s="520" t="str">
        <f>IF(AND(_6="A-220-300",'2026'!$J$4="FO",'2026'!$J$2=CU233),'2026DATA'!$N$34,"")</f>
        <v/>
      </c>
    </row>
    <row r="266" spans="16:99" x14ac:dyDescent="0.25">
      <c r="P266" s="940" t="s">
        <v>52</v>
      </c>
      <c r="Q266" s="13" t="s">
        <v>61</v>
      </c>
      <c r="R266" s="518" t="str">
        <f>IF(AND(_1="A-220-100",'2026'!$J$4="CA",'2026'!$J$2=R233),'2026DATA'!$C$35,"")</f>
        <v/>
      </c>
      <c r="S266" s="518" t="str">
        <f>IF(AND(_1="A-220-100",'2026'!$J$4="CA",'2026'!$J$2=S233),'2026DATA'!$D$35,"")</f>
        <v/>
      </c>
      <c r="T266" s="518" t="str">
        <f>IF(AND(_1="A-220-100",'2026'!$J$4="CA",'2026'!$J$2=T233),'2026DATA'!$E$35,"")</f>
        <v/>
      </c>
      <c r="U266" s="518" t="str">
        <f>IF(AND(_1="A-220-100",'2026'!$J$4="CA",'2026'!$J$2=U233),'2026DATA'!$F$35,"")</f>
        <v/>
      </c>
      <c r="V266" s="518" t="str">
        <f>IF(AND(_1="A-220-100",'2026'!$J$4="CA",'2026'!$J$2=V233),'2026DATA'!$G$35,"")</f>
        <v/>
      </c>
      <c r="W266" s="518" t="str">
        <f>IF(AND(_1="A-220-100",'2026'!$J$4="CA",'2026'!$J$2=W233),'2026DATA'!$H$35,"")</f>
        <v/>
      </c>
      <c r="X266" s="518" t="str">
        <f>IF(AND(_1="A-220-100",'2026'!$J$4="CA",'2026'!$J$2=X233),'2026DATA'!$I$35,"")</f>
        <v/>
      </c>
      <c r="Y266" s="518" t="str">
        <f>IF(AND(_1="A-220-100",'2026'!$J$4="CA",'2026'!$J$2=Y233),'2026DATA'!$J$35,"")</f>
        <v/>
      </c>
      <c r="Z266" s="518" t="str">
        <f>IF(AND(_1="A-220-100",'2026'!$J$4="CA",'2026'!$J$2=Z233),'2026DATA'!$K$35,"")</f>
        <v/>
      </c>
      <c r="AA266" s="518" t="str">
        <f>IF(AND(_1="A-220-100",'2026'!$J$4="CA",'2026'!$J$2=AA233),'2026DATA'!$L$35,"")</f>
        <v/>
      </c>
      <c r="AB266" s="518" t="str">
        <f>IF(AND(_1="A-220-100",'2026'!$J$4="CA",'2026'!$J$2=AB233),'2026DATA'!$M$35,"")</f>
        <v/>
      </c>
      <c r="AC266" s="520" t="str">
        <f>IF(AND(_1="A-220-100",'2026'!$J$4="CA",'2026'!$J$2=AC233),'2026DATA'!$N$35,"")</f>
        <v/>
      </c>
      <c r="AD266" s="940" t="s">
        <v>52</v>
      </c>
      <c r="AE266" s="13" t="s">
        <v>61</v>
      </c>
      <c r="AF266" s="518" t="str">
        <f>IF(AND(_2="A-220-100",'2026'!$J$4="CA",'2026'!$J$2=AF233),'2026DATA'!$C$35,"")</f>
        <v/>
      </c>
      <c r="AG266" s="518" t="str">
        <f>IF(AND(_2="A-220-100",'2026'!$J$4="CA",'2026'!$J$2=AG233),'2026DATA'!$D$35,"")</f>
        <v/>
      </c>
      <c r="AH266" s="518" t="str">
        <f>IF(AND(_2="A-220-100",'2026'!$J$4="CA",'2026'!$J$2=AH233),'2026DATA'!$E$35,"")</f>
        <v/>
      </c>
      <c r="AI266" s="518" t="str">
        <f>IF(AND(_2="A-220-100",'2026'!$J$4="CA",'2026'!$J$2=AI233),'2026DATA'!$F$35,"")</f>
        <v/>
      </c>
      <c r="AJ266" s="518" t="str">
        <f>IF(AND(_2="A-220-100",'2026'!$J$4="CA",'2026'!$J$2=AJ233),'2026DATA'!$G$35,"")</f>
        <v/>
      </c>
      <c r="AK266" s="518" t="str">
        <f>IF(AND(_2="A-220-100",'2026'!$J$4="CA",'2026'!$J$2=AK233),'2026DATA'!$H$35,"")</f>
        <v/>
      </c>
      <c r="AL266" s="518" t="str">
        <f>IF(AND(_2="A-220-100",'2026'!$J$4="CA",'2026'!$J$2=AL233),'2026DATA'!$I$35,"")</f>
        <v/>
      </c>
      <c r="AM266" s="518" t="str">
        <f>IF(AND(_2="A-220-100",'2026'!$J$4="CA",'2026'!$J$2=AM233),'2026DATA'!$J$35,"")</f>
        <v/>
      </c>
      <c r="AN266" s="518" t="str">
        <f>IF(AND(_2="A-220-100",'2026'!$J$4="CA",'2026'!$J$2=AN233),'2026DATA'!$K$35,"")</f>
        <v/>
      </c>
      <c r="AO266" s="518" t="str">
        <f>IF(AND(_2="A-220-100",'2026'!$J$4="CA",'2026'!$J$2=AO233),'2026DATA'!$L$35,"")</f>
        <v/>
      </c>
      <c r="AP266" s="518" t="str">
        <f>IF(AND(_2="A-220-100",'2026'!$J$4="CA",'2026'!$J$2=AP233),'2026DATA'!$M$35,"")</f>
        <v/>
      </c>
      <c r="AQ266" s="520" t="str">
        <f>IF(AND(_2="A-220-100",'2026'!$J$4="CA",'2026'!$J$2=AQ233),'2026DATA'!$N$35,"")</f>
        <v/>
      </c>
      <c r="AR266" s="940" t="s">
        <v>52</v>
      </c>
      <c r="AS266" s="13" t="s">
        <v>61</v>
      </c>
      <c r="AT266" s="518" t="str">
        <f>IF(AND(_3="A-220-100",'2026'!$J$4="CA",'2026'!$J$2=AT233),'2026DATA'!$C$35,"")</f>
        <v/>
      </c>
      <c r="AU266" s="518" t="str">
        <f>IF(AND(_3="A-220-100",'2026'!$J$4="CA",'2026'!$J$2=AU233),'2026DATA'!$D$35,"")</f>
        <v/>
      </c>
      <c r="AV266" s="518" t="str">
        <f>IF(AND(_3="A-220-100",'2026'!$J$4="CA",'2026'!$J$2=AV233),'2026DATA'!$E$35,"")</f>
        <v/>
      </c>
      <c r="AW266" s="518" t="str">
        <f>IF(AND(_3="A-220-100",'2026'!$J$4="CA",'2026'!$J$2=AW233),'2026DATA'!$F$35,"")</f>
        <v/>
      </c>
      <c r="AX266" s="518" t="str">
        <f>IF(AND(_3="A-220-100",'2026'!$J$4="CA",'2026'!$J$2=AX233),'2026DATA'!$G$35,"")</f>
        <v/>
      </c>
      <c r="AY266" s="518" t="str">
        <f>IF(AND(_3="A-220-100",'2026'!$J$4="CA",'2026'!$J$2=AY233),'2026DATA'!$H$35,"")</f>
        <v/>
      </c>
      <c r="AZ266" s="518" t="str">
        <f>IF(AND(_3="A-220-100",'2026'!$J$4="CA",'2026'!$J$2=AZ233),'2026DATA'!$I$35,"")</f>
        <v/>
      </c>
      <c r="BA266" s="518" t="str">
        <f>IF(AND(_3="A-220-100",'2026'!$J$4="CA",'2026'!$J$2=BA233),'2026DATA'!$J$35,"")</f>
        <v/>
      </c>
      <c r="BB266" s="518" t="str">
        <f>IF(AND(_3="A-220-100",'2026'!$J$4="CA",'2026'!$J$2=BB233),'2026DATA'!$K$35,"")</f>
        <v/>
      </c>
      <c r="BC266" s="518" t="str">
        <f>IF(AND(_3="A-220-100",'2026'!$J$4="CA",'2026'!$J$2=BC233),'2026DATA'!$L$35,"")</f>
        <v/>
      </c>
      <c r="BD266" s="518" t="str">
        <f>IF(AND(_3="A-220-100",'2026'!$J$4="CA",'2026'!$J$2=BD233),'2026DATA'!$M$35,"")</f>
        <v/>
      </c>
      <c r="BE266" s="520" t="str">
        <f>IF(AND(_3="A-220-100",'2026'!$J$4="CA",'2026'!$J$2=BE233),'2026DATA'!$N$35,"")</f>
        <v/>
      </c>
      <c r="BF266" s="940" t="s">
        <v>52</v>
      </c>
      <c r="BG266" s="13" t="s">
        <v>61</v>
      </c>
      <c r="BH266" s="518" t="str">
        <f>IF(AND(_4="A-220-100",'2026'!$J$4="CA",'2026'!$J$2=BH233),'2026DATA'!$C$35,"")</f>
        <v/>
      </c>
      <c r="BI266" s="518" t="str">
        <f>IF(AND(_4="A-220-100",'2026'!$J$4="CA",'2026'!$J$2=BI233),'2026DATA'!$D$35,"")</f>
        <v/>
      </c>
      <c r="BJ266" s="518" t="str">
        <f>IF(AND(_4="A-220-100",'2026'!$J$4="CA",'2026'!$J$2=BJ233),'2026DATA'!$E$35,"")</f>
        <v/>
      </c>
      <c r="BK266" s="518" t="str">
        <f>IF(AND(_4="A-220-100",'2026'!$J$4="CA",'2026'!$J$2=BK233),'2026DATA'!$F$35,"")</f>
        <v/>
      </c>
      <c r="BL266" s="518" t="str">
        <f>IF(AND(_4="A-220-100",'2026'!$J$4="CA",'2026'!$J$2=BL233),'2026DATA'!$G$35,"")</f>
        <v/>
      </c>
      <c r="BM266" s="518" t="str">
        <f>IF(AND(_4="A-220-100",'2026'!$J$4="CA",'2026'!$J$2=BM233),'2026DATA'!$H$35,"")</f>
        <v/>
      </c>
      <c r="BN266" s="518" t="str">
        <f>IF(AND(_4="A-220-100",'2026'!$J$4="CA",'2026'!$J$2=BN233),'2026DATA'!$I$35,"")</f>
        <v/>
      </c>
      <c r="BO266" s="518" t="str">
        <f>IF(AND(_4="A-220-100",'2026'!$J$4="CA",'2026'!$J$2=BO233),'2026DATA'!$J$35,"")</f>
        <v/>
      </c>
      <c r="BP266" s="518" t="str">
        <f>IF(AND(_4="A-220-100",'2026'!$J$4="CA",'2026'!$J$2=BP233),'2026DATA'!$K$35,"")</f>
        <v/>
      </c>
      <c r="BQ266" s="518" t="str">
        <f>IF(AND(_4="A-220-100",'2026'!$J$4="CA",'2026'!$J$2=BQ233),'2026DATA'!$L$35,"")</f>
        <v/>
      </c>
      <c r="BR266" s="518" t="str">
        <f>IF(AND(_4="A-220-100",'2026'!$J$4="CA",'2026'!$J$2=BR233),'2026DATA'!$M$35,"")</f>
        <v/>
      </c>
      <c r="BS266" s="520" t="str">
        <f>IF(AND(_4="A-220-100",'2026'!$J$4="CA",'2026'!$J$2=BS233),'2026DATA'!$N$35,"")</f>
        <v/>
      </c>
      <c r="BT266" s="940" t="s">
        <v>52</v>
      </c>
      <c r="BU266" s="13" t="s">
        <v>61</v>
      </c>
      <c r="BV266" s="518" t="str">
        <f>IF(AND(_5="A-220-100",'2026'!$J$4="CA",'2026'!$J$2=BV233),'2026DATA'!$C$35,"")</f>
        <v/>
      </c>
      <c r="BW266" s="518" t="str">
        <f>IF(AND(_5="A-220-100",'2026'!$J$4="CA",'2026'!$J$2=BW233),'2026DATA'!$D$35,"")</f>
        <v/>
      </c>
      <c r="BX266" s="518" t="str">
        <f>IF(AND(_5="A-220-100",'2026'!$J$4="CA",'2026'!$J$2=BX233),'2026DATA'!$E$35,"")</f>
        <v/>
      </c>
      <c r="BY266" s="518" t="str">
        <f>IF(AND(_5="A-220-100",'2026'!$J$4="CA",'2026'!$J$2=BY233),'2026DATA'!$F$35,"")</f>
        <v/>
      </c>
      <c r="BZ266" s="518" t="str">
        <f>IF(AND(_5="A-220-100",'2026'!$J$4="CA",'2026'!$J$2=BZ233),'2026DATA'!$G$35,"")</f>
        <v/>
      </c>
      <c r="CA266" s="518" t="str">
        <f>IF(AND(_5="A-220-100",'2026'!$J$4="CA",'2026'!$J$2=CA233),'2026DATA'!$H$35,"")</f>
        <v/>
      </c>
      <c r="CB266" s="518" t="str">
        <f>IF(AND(_5="A-220-100",'2026'!$J$4="CA",'2026'!$J$2=CB233),'2026DATA'!$I$35,"")</f>
        <v/>
      </c>
      <c r="CC266" s="518" t="str">
        <f>IF(AND(_5="A-220-100",'2026'!$J$4="CA",'2026'!$J$2=CC233),'2026DATA'!$J$35,"")</f>
        <v/>
      </c>
      <c r="CD266" s="518" t="str">
        <f>IF(AND(_5="A-220-100",'2026'!$J$4="CA",'2026'!$J$2=CD233),'2026DATA'!$K$35,"")</f>
        <v/>
      </c>
      <c r="CE266" s="518" t="str">
        <f>IF(AND(_5="A-220-100",'2026'!$J$4="CA",'2026'!$J$2=CE233),'2026DATA'!$L$35,"")</f>
        <v/>
      </c>
      <c r="CF266" s="518" t="str">
        <f>IF(AND(_5="A-220-100",'2026'!$J$4="CA",'2026'!$J$2=CF233),'2026DATA'!$M$35,"")</f>
        <v/>
      </c>
      <c r="CG266" s="520" t="str">
        <f>IF(AND(_5="A-220-100",'2026'!$J$4="CA",'2026'!$J$2=CG233),'2026DATA'!$N$35,"")</f>
        <v/>
      </c>
      <c r="CH266" s="940" t="s">
        <v>52</v>
      </c>
      <c r="CI266" s="13" t="s">
        <v>61</v>
      </c>
      <c r="CJ266" s="518" t="str">
        <f>IF(AND(_6="A-220-100",'2026'!$J$4="CA",'2026'!$J$2=CJ233),'2026DATA'!$C$35,"")</f>
        <v/>
      </c>
      <c r="CK266" s="518" t="str">
        <f>IF(AND(_6="A-220-100",'2026'!$J$4="CA",'2026'!$J$2=CK233),'2026DATA'!$D$35,"")</f>
        <v/>
      </c>
      <c r="CL266" s="518" t="str">
        <f>IF(AND(_6="A-220-100",'2026'!$J$4="CA",'2026'!$J$2=CL233),'2026DATA'!$E$35,"")</f>
        <v/>
      </c>
      <c r="CM266" s="518" t="str">
        <f>IF(AND(_6="A-220-100",'2026'!$J$4="CA",'2026'!$J$2=CM233),'2026DATA'!$F$35,"")</f>
        <v/>
      </c>
      <c r="CN266" s="518" t="str">
        <f>IF(AND(_6="A-220-100",'2026'!$J$4="CA",'2026'!$J$2=CN233),'2026DATA'!$G$35,"")</f>
        <v/>
      </c>
      <c r="CO266" s="518" t="str">
        <f>IF(AND(_6="A-220-100",'2026'!$J$4="CA",'2026'!$J$2=CO233),'2026DATA'!$H$35,"")</f>
        <v/>
      </c>
      <c r="CP266" s="518" t="str">
        <f>IF(AND(_6="A-220-100",'2026'!$J$4="CA",'2026'!$J$2=CP233),'2026DATA'!$I$35,"")</f>
        <v/>
      </c>
      <c r="CQ266" s="518" t="str">
        <f>IF(AND(_6="A-220-100",'2026'!$J$4="CA",'2026'!$J$2=CQ233),'2026DATA'!$J$35,"")</f>
        <v/>
      </c>
      <c r="CR266" s="518" t="str">
        <f>IF(AND(_6="A-220-100",'2026'!$J$4="CA",'2026'!$J$2=CR233),'2026DATA'!$K$35,"")</f>
        <v/>
      </c>
      <c r="CS266" s="518" t="str">
        <f>IF(AND(_6="A-220-100",'2026'!$J$4="CA",'2026'!$J$2=CS233),'2026DATA'!$L$35,"")</f>
        <v/>
      </c>
      <c r="CT266" s="518" t="str">
        <f>IF(AND(_6="A-220-100",'2026'!$J$4="CA",'2026'!$J$2=CT233),'2026DATA'!$M$35,"")</f>
        <v/>
      </c>
      <c r="CU266" s="520" t="str">
        <f>IF(AND(_6="A-220-100",'2026'!$J$4="CA",'2026'!$J$2=CU233),'2026DATA'!$N$35,"")</f>
        <v/>
      </c>
    </row>
    <row r="267" spans="16:99" x14ac:dyDescent="0.25">
      <c r="P267" s="940"/>
      <c r="Q267" s="13" t="s">
        <v>62</v>
      </c>
      <c r="R267" s="518" t="str">
        <f>IF(AND(_1="A-220-100",'2026'!$J$4="FO",'2026'!$J$2=R233),'2026DATA'!$C$36,"")</f>
        <v/>
      </c>
      <c r="S267" s="518" t="str">
        <f>IF(AND(_1="A-220-100",'2026'!$J$4="FO",'2026'!$J$2=S233),'2026DATA'!$D$36,"")</f>
        <v/>
      </c>
      <c r="T267" s="518" t="str">
        <f>IF(AND(_1="A-220-100",'2026'!$J$4="FO",'2026'!$J$2=T233),'2026DATA'!$E$36,"")</f>
        <v/>
      </c>
      <c r="U267" s="518" t="str">
        <f>IF(AND(_1="A-220-100",'2026'!$J$4="FO",'2026'!$J$2=U233),'2026DATA'!$F$36,"")</f>
        <v/>
      </c>
      <c r="V267" s="518" t="str">
        <f>IF(AND(_1="A-220-100",'2026'!$J$4="FO",'2026'!$J$2=V233),'2026DATA'!$G$36,"")</f>
        <v/>
      </c>
      <c r="W267" s="518" t="str">
        <f>IF(AND(_1="A-220-100",'2026'!$J$4="FO",'2026'!$J$2=W233),'2026DATA'!$H$36,"")</f>
        <v/>
      </c>
      <c r="X267" s="518" t="str">
        <f>IF(AND(_1="A-220-100",'2026'!$J$4="FO",'2026'!$J$2=X233),'2026DATA'!$I$36,"")</f>
        <v/>
      </c>
      <c r="Y267" s="518" t="str">
        <f>IF(AND(_1="A-220-100",'2026'!$J$4="FO",'2026'!$J$2=Y233),'2026DATA'!$J$36,"")</f>
        <v/>
      </c>
      <c r="Z267" s="518" t="str">
        <f>IF(AND(_1="A-220-100",'2026'!$J$4="FO",'2026'!$J$2=Z233),'2026DATA'!$K$36,"")</f>
        <v/>
      </c>
      <c r="AA267" s="518" t="str">
        <f>IF(AND(_1="A-220-100",'2026'!$J$4="FO",'2026'!$J$2=AA233),'2026DATA'!$L$36,"")</f>
        <v/>
      </c>
      <c r="AB267" s="518" t="str">
        <f>IF(AND(_1="A-220-100",'2026'!$J$4="FO",'2026'!$J$2=AB233),'2026DATA'!$M$36,"")</f>
        <v/>
      </c>
      <c r="AC267" s="520" t="str">
        <f>IF(AND(_1="A-220-100",'2026'!$J$4="FO",'2026'!$J$2=AC233),'2026DATA'!$N$36,"")</f>
        <v/>
      </c>
      <c r="AD267" s="940"/>
      <c r="AE267" s="13" t="s">
        <v>62</v>
      </c>
      <c r="AF267" s="518" t="str">
        <f>IF(AND(_2="A-220-100",'2026'!$J$4="FO",'2026'!$J$2=AF233),'2026DATA'!$C$36,"")</f>
        <v/>
      </c>
      <c r="AG267" s="518" t="str">
        <f>IF(AND(_2="A-220-100",'2026'!$J$4="FO",'2026'!$J$2=AG233),'2026DATA'!$D$36,"")</f>
        <v/>
      </c>
      <c r="AH267" s="518" t="str">
        <f>IF(AND(_2="A-220-100",'2026'!$J$4="FO",'2026'!$J$2=AH233),'2026DATA'!$E$36,"")</f>
        <v/>
      </c>
      <c r="AI267" s="518" t="str">
        <f>IF(AND(_2="A-220-100",'2026'!$J$4="FO",'2026'!$J$2=AI233),'2026DATA'!$F$36,"")</f>
        <v/>
      </c>
      <c r="AJ267" s="518" t="str">
        <f>IF(AND(_2="A-220-100",'2026'!$J$4="FO",'2026'!$J$2=AJ233),'2026DATA'!$G$36,"")</f>
        <v/>
      </c>
      <c r="AK267" s="518" t="str">
        <f>IF(AND(_2="A-220-100",'2026'!$J$4="FO",'2026'!$J$2=AK233),'2026DATA'!$H$36,"")</f>
        <v/>
      </c>
      <c r="AL267" s="518" t="str">
        <f>IF(AND(_2="A-220-100",'2026'!$J$4="FO",'2026'!$J$2=AL233),'2026DATA'!$I$36,"")</f>
        <v/>
      </c>
      <c r="AM267" s="518" t="str">
        <f>IF(AND(_2="A-220-100",'2026'!$J$4="FO",'2026'!$J$2=AM233),'2026DATA'!$J$36,"")</f>
        <v/>
      </c>
      <c r="AN267" s="518" t="str">
        <f>IF(AND(_2="A-220-100",'2026'!$J$4="FO",'2026'!$J$2=AN233),'2026DATA'!$K$36,"")</f>
        <v/>
      </c>
      <c r="AO267" s="518" t="str">
        <f>IF(AND(_2="A-220-100",'2026'!$J$4="FO",'2026'!$J$2=AO233),'2026DATA'!$L$36,"")</f>
        <v/>
      </c>
      <c r="AP267" s="518" t="str">
        <f>IF(AND(_2="A-220-100",'2026'!$J$4="FO",'2026'!$J$2=AP233),'2026DATA'!$M$36,"")</f>
        <v/>
      </c>
      <c r="AQ267" s="520" t="str">
        <f>IF(AND(_2="A-220-100",'2026'!$J$4="FO",'2026'!$J$2=AQ233),'2026DATA'!$N$36,"")</f>
        <v/>
      </c>
      <c r="AR267" s="940"/>
      <c r="AS267" s="13" t="s">
        <v>62</v>
      </c>
      <c r="AT267" s="518" t="str">
        <f>IF(AND(_3="A-220-100",'2026'!$J$4="FO",'2026'!$J$2=AT233),'2026DATA'!$C$36,"")</f>
        <v/>
      </c>
      <c r="AU267" s="518" t="str">
        <f>IF(AND(_3="A-220-100",'2026'!$J$4="FO",'2026'!$J$2=AU233),'2026DATA'!$D$36,"")</f>
        <v/>
      </c>
      <c r="AV267" s="518" t="str">
        <f>IF(AND(_3="A-220-100",'2026'!$J$4="FO",'2026'!$J$2=AV233),'2026DATA'!$E$36,"")</f>
        <v/>
      </c>
      <c r="AW267" s="518" t="str">
        <f>IF(AND(_3="A-220-100",'2026'!$J$4="FO",'2026'!$J$2=AW233),'2026DATA'!$F$36,"")</f>
        <v/>
      </c>
      <c r="AX267" s="518" t="str">
        <f>IF(AND(_3="A-220-100",'2026'!$J$4="FO",'2026'!$J$2=AX233),'2026DATA'!$G$36,"")</f>
        <v/>
      </c>
      <c r="AY267" s="518" t="str">
        <f>IF(AND(_3="A-220-100",'2026'!$J$4="FO",'2026'!$J$2=AY233),'2026DATA'!$H$36,"")</f>
        <v/>
      </c>
      <c r="AZ267" s="518" t="str">
        <f>IF(AND(_3="A-220-100",'2026'!$J$4="FO",'2026'!$J$2=AZ233),'2026DATA'!$I$36,"")</f>
        <v/>
      </c>
      <c r="BA267" s="518" t="str">
        <f>IF(AND(_3="A-220-100",'2026'!$J$4="FO",'2026'!$J$2=BA233),'2026DATA'!$J$36,"")</f>
        <v/>
      </c>
      <c r="BB267" s="518" t="str">
        <f>IF(AND(_3="A-220-100",'2026'!$J$4="FO",'2026'!$J$2=BB233),'2026DATA'!$K$36,"")</f>
        <v/>
      </c>
      <c r="BC267" s="518" t="str">
        <f>IF(AND(_3="A-220-100",'2026'!$J$4="FO",'2026'!$J$2=BC233),'2026DATA'!$L$36,"")</f>
        <v/>
      </c>
      <c r="BD267" s="518" t="str">
        <f>IF(AND(_3="A-220-100",'2026'!$J$4="FO",'2026'!$J$2=BD233),'2026DATA'!$M$36,"")</f>
        <v/>
      </c>
      <c r="BE267" s="520" t="str">
        <f>IF(AND(_3="A-220-100",'2026'!$J$4="FO",'2026'!$J$2=BE233),'2026DATA'!$N$36,"")</f>
        <v/>
      </c>
      <c r="BF267" s="940"/>
      <c r="BG267" s="13" t="s">
        <v>62</v>
      </c>
      <c r="BH267" s="518" t="str">
        <f>IF(AND(_4="A-220-100",'2026'!$J$4="FO",'2026'!$J$2=BH233),'2026DATA'!$C$36,"")</f>
        <v/>
      </c>
      <c r="BI267" s="518" t="str">
        <f>IF(AND(_4="A-220-100",'2026'!$J$4="FO",'2026'!$J$2=BI233),'2026DATA'!$D$36,"")</f>
        <v/>
      </c>
      <c r="BJ267" s="518" t="str">
        <f>IF(AND(_4="A-220-100",'2026'!$J$4="FO",'2026'!$J$2=BJ233),'2026DATA'!$E$36,"")</f>
        <v/>
      </c>
      <c r="BK267" s="518" t="str">
        <f>IF(AND(_4="A-220-100",'2026'!$J$4="FO",'2026'!$J$2=BK233),'2026DATA'!$F$36,"")</f>
        <v/>
      </c>
      <c r="BL267" s="518" t="str">
        <f>IF(AND(_4="A-220-100",'2026'!$J$4="FO",'2026'!$J$2=BL233),'2026DATA'!$G$36,"")</f>
        <v/>
      </c>
      <c r="BM267" s="518" t="str">
        <f>IF(AND(_4="A-220-100",'2026'!$J$4="FO",'2026'!$J$2=BM233),'2026DATA'!$H$36,"")</f>
        <v/>
      </c>
      <c r="BN267" s="518" t="str">
        <f>IF(AND(_4="A-220-100",'2026'!$J$4="FO",'2026'!$J$2=BN233),'2026DATA'!$I$36,"")</f>
        <v/>
      </c>
      <c r="BO267" s="518" t="str">
        <f>IF(AND(_4="A-220-100",'2026'!$J$4="FO",'2026'!$J$2=BO233),'2026DATA'!$J$36,"")</f>
        <v/>
      </c>
      <c r="BP267" s="518" t="str">
        <f>IF(AND(_4="A-220-100",'2026'!$J$4="FO",'2026'!$J$2=BP233),'2026DATA'!$K$36,"")</f>
        <v/>
      </c>
      <c r="BQ267" s="518" t="str">
        <f>IF(AND(_4="A-220-100",'2026'!$J$4="FO",'2026'!$J$2=BQ233),'2026DATA'!$L$36,"")</f>
        <v/>
      </c>
      <c r="BR267" s="518" t="str">
        <f>IF(AND(_4="A-220-100",'2026'!$J$4="FO",'2026'!$J$2=BR233),'2026DATA'!$M$36,"")</f>
        <v/>
      </c>
      <c r="BS267" s="520" t="str">
        <f>IF(AND(_4="A-220-100",'2026'!$J$4="FO",'2026'!$J$2=BS233),'2026DATA'!$N$36,"")</f>
        <v/>
      </c>
      <c r="BT267" s="940"/>
      <c r="BU267" s="13" t="s">
        <v>62</v>
      </c>
      <c r="BV267" s="518" t="str">
        <f>IF(AND(_5="A-220-100",'2026'!$J$4="FO",'2026'!$J$2=BV233),'2026DATA'!$C$36,"")</f>
        <v/>
      </c>
      <c r="BW267" s="518" t="str">
        <f>IF(AND(_5="A-220-100",'2026'!$J$4="FO",'2026'!$J$2=BW233),'2026DATA'!$D$36,"")</f>
        <v/>
      </c>
      <c r="BX267" s="518" t="str">
        <f>IF(AND(_5="A-220-100",'2026'!$J$4="FO",'2026'!$J$2=BX233),'2026DATA'!$E$36,"")</f>
        <v/>
      </c>
      <c r="BY267" s="518" t="str">
        <f>IF(AND(_5="A-220-100",'2026'!$J$4="FO",'2026'!$J$2=BY233),'2026DATA'!$F$36,"")</f>
        <v/>
      </c>
      <c r="BZ267" s="518" t="str">
        <f>IF(AND(_5="A-220-100",'2026'!$J$4="FO",'2026'!$J$2=BZ233),'2026DATA'!$G$36,"")</f>
        <v/>
      </c>
      <c r="CA267" s="518" t="str">
        <f>IF(AND(_5="A-220-100",'2026'!$J$4="FO",'2026'!$J$2=CA233),'2026DATA'!$H$36,"")</f>
        <v/>
      </c>
      <c r="CB267" s="518" t="str">
        <f>IF(AND(_5="A-220-100",'2026'!$J$4="FO",'2026'!$J$2=CB233),'2026DATA'!$I$36,"")</f>
        <v/>
      </c>
      <c r="CC267" s="518" t="str">
        <f>IF(AND(_5="A-220-100",'2026'!$J$4="FO",'2026'!$J$2=CC233),'2026DATA'!$J$36,"")</f>
        <v/>
      </c>
      <c r="CD267" s="518" t="str">
        <f>IF(AND(_5="A-220-100",'2026'!$J$4="FO",'2026'!$J$2=CD233),'2026DATA'!$K$36,"")</f>
        <v/>
      </c>
      <c r="CE267" s="518" t="str">
        <f>IF(AND(_5="A-220-100",'2026'!$J$4="FO",'2026'!$J$2=CE233),'2026DATA'!$L$36,"")</f>
        <v/>
      </c>
      <c r="CF267" s="518" t="str">
        <f>IF(AND(_5="A-220-100",'2026'!$J$4="FO",'2026'!$J$2=CF233),'2026DATA'!$M$36,"")</f>
        <v/>
      </c>
      <c r="CG267" s="520" t="str">
        <f>IF(AND(_5="A-220-100",'2026'!$J$4="FO",'2026'!$J$2=CG233),'2026DATA'!$N$36,"")</f>
        <v/>
      </c>
      <c r="CH267" s="940"/>
      <c r="CI267" s="13" t="s">
        <v>62</v>
      </c>
      <c r="CJ267" s="518" t="str">
        <f>IF(AND(_6="A-220-100",'2026'!$J$4="FO",'2026'!$J$2=CJ233),'2026DATA'!$C$36,"")</f>
        <v/>
      </c>
      <c r="CK267" s="518" t="str">
        <f>IF(AND(_6="A-220-100",'2026'!$J$4="FO",'2026'!$J$2=CK233),'2026DATA'!$D$36,"")</f>
        <v/>
      </c>
      <c r="CL267" s="518" t="str">
        <f>IF(AND(_6="A-220-100",'2026'!$J$4="FO",'2026'!$J$2=CL233),'2026DATA'!$E$36,"")</f>
        <v/>
      </c>
      <c r="CM267" s="518" t="str">
        <f>IF(AND(_6="A-220-100",'2026'!$J$4="FO",'2026'!$J$2=CM233),'2026DATA'!$F$36,"")</f>
        <v/>
      </c>
      <c r="CN267" s="518" t="str">
        <f>IF(AND(_6="A-220-100",'2026'!$J$4="FO",'2026'!$J$2=CN233),'2026DATA'!$G$36,"")</f>
        <v/>
      </c>
      <c r="CO267" s="518" t="str">
        <f>IF(AND(_6="A-220-100",'2026'!$J$4="FO",'2026'!$J$2=CO233),'2026DATA'!$H$36,"")</f>
        <v/>
      </c>
      <c r="CP267" s="518" t="str">
        <f>IF(AND(_6="A-220-100",'2026'!$J$4="FO",'2026'!$J$2=CP233),'2026DATA'!$I$36,"")</f>
        <v/>
      </c>
      <c r="CQ267" s="518" t="str">
        <f>IF(AND(_6="A-220-100",'2026'!$J$4="FO",'2026'!$J$2=CQ233),'2026DATA'!$J$36,"")</f>
        <v/>
      </c>
      <c r="CR267" s="518" t="str">
        <f>IF(AND(_6="A-220-100",'2026'!$J$4="FO",'2026'!$J$2=CR233),'2026DATA'!$K$36,"")</f>
        <v/>
      </c>
      <c r="CS267" s="518" t="str">
        <f>IF(AND(_6="A-220-100",'2026'!$J$4="FO",'2026'!$J$2=CS233),'2026DATA'!$L$36,"")</f>
        <v/>
      </c>
      <c r="CT267" s="518" t="str">
        <f>IF(AND(_6="A-220-100",'2026'!$J$4="FO",'2026'!$J$2=CT233),'2026DATA'!$M$36,"")</f>
        <v/>
      </c>
      <c r="CU267" s="520" t="str">
        <f>IF(AND(_6="A-220-100",'2026'!$J$4="FO",'2026'!$J$2=CU233),'2026DATA'!$N$36,"")</f>
        <v/>
      </c>
    </row>
    <row r="268" spans="16:99" x14ac:dyDescent="0.25">
      <c r="P268" s="940" t="s">
        <v>53</v>
      </c>
      <c r="Q268" s="13" t="s">
        <v>61</v>
      </c>
      <c r="R268" s="518" t="str">
        <f>IF(AND(_1="B-717",'2026'!$J$4="CA",'2026'!$J$2=R233),'2026DATA'!$C$37,"")</f>
        <v/>
      </c>
      <c r="S268" s="518" t="str">
        <f>IF(AND(_1="B-717",'2026'!$J$4="CA",'2026'!$J$2=S233),'2026DATA'!$D$37,"")</f>
        <v/>
      </c>
      <c r="T268" s="518" t="str">
        <f>IF(AND(_1="B-717",'2026'!$J$4="CA",'2026'!$J$2=T233),'2026DATA'!$E$37,"")</f>
        <v/>
      </c>
      <c r="U268" s="518" t="str">
        <f>IF(AND(_1="B-717",'2026'!$J$4="CA",'2026'!$J$2=U233),'2026DATA'!$F$37,"")</f>
        <v/>
      </c>
      <c r="V268" s="518" t="str">
        <f>IF(AND(_1="B-717",'2026'!$J$4="CA",'2026'!$J$2=V233),'2026DATA'!$G$37,"")</f>
        <v/>
      </c>
      <c r="W268" s="518" t="str">
        <f>IF(AND(_1="B-717",'2026'!$J$4="CA",'2026'!$J$2=W233),'2026DATA'!$H$37,"")</f>
        <v/>
      </c>
      <c r="X268" s="518" t="str">
        <f>IF(AND(_1="B-717",'2026'!$J$4="CA",'2026'!$J$2=X233),'2026DATA'!$I$37,"")</f>
        <v/>
      </c>
      <c r="Y268" s="518" t="str">
        <f>IF(AND(_1="B-717",'2026'!$J$4="CA",'2026'!$J$2=Y233),'2026DATA'!$J$37,"")</f>
        <v/>
      </c>
      <c r="Z268" s="518" t="str">
        <f>IF(AND(_1="B-717",'2026'!$J$4="CA",'2026'!$J$2=Z233),'2026DATA'!$K$37,"")</f>
        <v/>
      </c>
      <c r="AA268" s="518" t="str">
        <f>IF(AND(_1="B-717",'2026'!$J$4="CA",'2026'!$J$2=AA233),'2026DATA'!$L$37,"")</f>
        <v/>
      </c>
      <c r="AB268" s="518" t="str">
        <f>IF(AND(_1="B-717",'2026'!$J$4="CA",'2026'!$J$2=AB233),'2026DATA'!$M$37,"")</f>
        <v/>
      </c>
      <c r="AC268" s="520" t="str">
        <f>IF(AND(_1="B-717",'2026'!$J$4="CA",'2026'!$J$2=AC233),'2026DATA'!$N$37,"")</f>
        <v/>
      </c>
      <c r="AD268" s="940" t="s">
        <v>53</v>
      </c>
      <c r="AE268" s="13" t="s">
        <v>61</v>
      </c>
      <c r="AF268" s="518" t="str">
        <f>IF(AND(_2="B-717",'2026'!$J$4="CA",'2026'!$J$2=AF233),'2026DATA'!$C$37,"")</f>
        <v/>
      </c>
      <c r="AG268" s="518" t="str">
        <f>IF(AND(_2="B-717",'2026'!$J$4="CA",'2026'!$J$2=AG233),'2026DATA'!$D$37,"")</f>
        <v/>
      </c>
      <c r="AH268" s="518" t="str">
        <f>IF(AND(_2="B-717",'2026'!$J$4="CA",'2026'!$J$2=AH233),'2026DATA'!$E$37,"")</f>
        <v/>
      </c>
      <c r="AI268" s="518" t="str">
        <f>IF(AND(_2="B-717",'2026'!$J$4="CA",'2026'!$J$2=AI233),'2026DATA'!$F$37,"")</f>
        <v/>
      </c>
      <c r="AJ268" s="518" t="str">
        <f>IF(AND(_2="B-717",'2026'!$J$4="CA",'2026'!$J$2=AJ233),'2026DATA'!$G$37,"")</f>
        <v/>
      </c>
      <c r="AK268" s="518" t="str">
        <f>IF(AND(_2="B-717",'2026'!$J$4="CA",'2026'!$J$2=AK233),'2026DATA'!$H$37,"")</f>
        <v/>
      </c>
      <c r="AL268" s="518" t="str">
        <f>IF(AND(_2="B-717",'2026'!$J$4="CA",'2026'!$J$2=AL233),'2026DATA'!$I$37,"")</f>
        <v/>
      </c>
      <c r="AM268" s="518" t="str">
        <f>IF(AND(_2="B-717",'2026'!$J$4="CA",'2026'!$J$2=AM233),'2026DATA'!$J$37,"")</f>
        <v/>
      </c>
      <c r="AN268" s="518" t="str">
        <f>IF(AND(_2="B-717",'2026'!$J$4="CA",'2026'!$J$2=AN233),'2026DATA'!$K$37,"")</f>
        <v/>
      </c>
      <c r="AO268" s="518" t="str">
        <f>IF(AND(_2="B-717",'2026'!$J$4="CA",'2026'!$J$2=AO233),'2026DATA'!$L$37,"")</f>
        <v/>
      </c>
      <c r="AP268" s="518" t="str">
        <f>IF(AND(_2="B-717",'2026'!$J$4="CA",'2026'!$J$2=AP233),'2026DATA'!$M$37,"")</f>
        <v/>
      </c>
      <c r="AQ268" s="520" t="str">
        <f>IF(AND(_2="B-717",'2026'!$J$4="CA",'2026'!$J$2=AQ233),'2026DATA'!$N$37,"")</f>
        <v/>
      </c>
      <c r="AR268" s="940" t="s">
        <v>53</v>
      </c>
      <c r="AS268" s="13" t="s">
        <v>61</v>
      </c>
      <c r="AT268" s="518" t="str">
        <f>IF(AND(_3="B-717",'2026'!$J$4="CA",'2026'!$J$2=AT233),'2026DATA'!$C$37,"")</f>
        <v/>
      </c>
      <c r="AU268" s="518" t="str">
        <f>IF(AND(_3="B-717",'2026'!$J$4="CA",'2026'!$J$2=AU233),'2026DATA'!$D$37,"")</f>
        <v/>
      </c>
      <c r="AV268" s="518" t="str">
        <f>IF(AND(_3="B-717",'2026'!$J$4="CA",'2026'!$J$2=AV233),'2026DATA'!$E$37,"")</f>
        <v/>
      </c>
      <c r="AW268" s="518" t="str">
        <f>IF(AND(_3="B-717",'2026'!$J$4="CA",'2026'!$J$2=AW233),'2026DATA'!$F$37,"")</f>
        <v/>
      </c>
      <c r="AX268" s="518" t="str">
        <f>IF(AND(_3="B-717",'2026'!$J$4="CA",'2026'!$J$2=AX233),'2026DATA'!$G$37,"")</f>
        <v/>
      </c>
      <c r="AY268" s="518" t="str">
        <f>IF(AND(_3="B-717",'2026'!$J$4="CA",'2026'!$J$2=AY233),'2026DATA'!$H$37,"")</f>
        <v/>
      </c>
      <c r="AZ268" s="518" t="str">
        <f>IF(AND(_3="B-717",'2026'!$J$4="CA",'2026'!$J$2=AZ233),'2026DATA'!$I$37,"")</f>
        <v/>
      </c>
      <c r="BA268" s="518" t="str">
        <f>IF(AND(_3="B-717",'2026'!$J$4="CA",'2026'!$J$2=BA233),'2026DATA'!$J$37,"")</f>
        <v/>
      </c>
      <c r="BB268" s="518" t="str">
        <f>IF(AND(_3="B-717",'2026'!$J$4="CA",'2026'!$J$2=BB233),'2026DATA'!$K$37,"")</f>
        <v/>
      </c>
      <c r="BC268" s="518" t="str">
        <f>IF(AND(_3="B-717",'2026'!$J$4="CA",'2026'!$J$2=BC233),'2026DATA'!$L$37,"")</f>
        <v/>
      </c>
      <c r="BD268" s="518" t="str">
        <f>IF(AND(_3="B-717",'2026'!$J$4="CA",'2026'!$J$2=BD233),'2026DATA'!$M$37,"")</f>
        <v/>
      </c>
      <c r="BE268" s="520" t="str">
        <f>IF(AND(_3="B-717",'2026'!$J$4="CA",'2026'!$J$2=BE233),'2026DATA'!$N$37,"")</f>
        <v/>
      </c>
      <c r="BF268" s="940" t="s">
        <v>53</v>
      </c>
      <c r="BG268" s="13" t="s">
        <v>61</v>
      </c>
      <c r="BH268" s="518" t="str">
        <f>IF(AND(_4="B-717",'2026'!$J$4="CA",'2026'!$J$2=BH233),'2026DATA'!$C$37,"")</f>
        <v/>
      </c>
      <c r="BI268" s="518" t="str">
        <f>IF(AND(_4="B-717",'2026'!$J$4="CA",'2026'!$J$2=BI233),'2026DATA'!$D$37,"")</f>
        <v/>
      </c>
      <c r="BJ268" s="518" t="str">
        <f>IF(AND(_4="B-717",'2026'!$J$4="CA",'2026'!$J$2=BJ233),'2026DATA'!$E$37,"")</f>
        <v/>
      </c>
      <c r="BK268" s="518" t="str">
        <f>IF(AND(_4="B-717",'2026'!$J$4="CA",'2026'!$J$2=BK233),'2026DATA'!$F$37,"")</f>
        <v/>
      </c>
      <c r="BL268" s="518" t="str">
        <f>IF(AND(_4="B-717",'2026'!$J$4="CA",'2026'!$J$2=BL233),'2026DATA'!$G$37,"")</f>
        <v/>
      </c>
      <c r="BM268" s="518" t="str">
        <f>IF(AND(_4="B-717",'2026'!$J$4="CA",'2026'!$J$2=BM233),'2026DATA'!$H$37,"")</f>
        <v/>
      </c>
      <c r="BN268" s="518" t="str">
        <f>IF(AND(_4="B-717",'2026'!$J$4="CA",'2026'!$J$2=BN233),'2026DATA'!$I$37,"")</f>
        <v/>
      </c>
      <c r="BO268" s="518" t="str">
        <f>IF(AND(_4="B-717",'2026'!$J$4="CA",'2026'!$J$2=BO233),'2026DATA'!$J$37,"")</f>
        <v/>
      </c>
      <c r="BP268" s="518" t="str">
        <f>IF(AND(_4="B-717",'2026'!$J$4="CA",'2026'!$J$2=BP233),'2026DATA'!$K$37,"")</f>
        <v/>
      </c>
      <c r="BQ268" s="518" t="str">
        <f>IF(AND(_4="B-717",'2026'!$J$4="CA",'2026'!$J$2=BQ233),'2026DATA'!$L$37,"")</f>
        <v/>
      </c>
      <c r="BR268" s="518" t="str">
        <f>IF(AND(_4="B-717",'2026'!$J$4="CA",'2026'!$J$2=BR233),'2026DATA'!$M$37,"")</f>
        <v/>
      </c>
      <c r="BS268" s="520" t="str">
        <f>IF(AND(_4="B-717",'2026'!$J$4="CA",'2026'!$J$2=BS233),'2026DATA'!$N$37,"")</f>
        <v/>
      </c>
      <c r="BT268" s="940" t="s">
        <v>53</v>
      </c>
      <c r="BU268" s="13" t="s">
        <v>61</v>
      </c>
      <c r="BV268" s="518" t="str">
        <f>IF(AND(_5="B-717",'2026'!$J$4="CA",'2026'!$J$2=BV233),'2026DATA'!$C$37,"")</f>
        <v/>
      </c>
      <c r="BW268" s="518" t="str">
        <f>IF(AND(_5="B-717",'2026'!$J$4="CA",'2026'!$J$2=BW233),'2026DATA'!$D$37,"")</f>
        <v/>
      </c>
      <c r="BX268" s="518" t="str">
        <f>IF(AND(_5="B-717",'2026'!$J$4="CA",'2026'!$J$2=BX233),'2026DATA'!$E$37,"")</f>
        <v/>
      </c>
      <c r="BY268" s="518" t="str">
        <f>IF(AND(_5="B-717",'2026'!$J$4="CA",'2026'!$J$2=BY233),'2026DATA'!$F$37,"")</f>
        <v/>
      </c>
      <c r="BZ268" s="518" t="str">
        <f>IF(AND(_5="B-717",'2026'!$J$4="CA",'2026'!$J$2=BZ233),'2026DATA'!$G$37,"")</f>
        <v/>
      </c>
      <c r="CA268" s="518" t="str">
        <f>IF(AND(_5="B-717",'2026'!$J$4="CA",'2026'!$J$2=CA233),'2026DATA'!$H$37,"")</f>
        <v/>
      </c>
      <c r="CB268" s="518" t="str">
        <f>IF(AND(_5="B-717",'2026'!$J$4="CA",'2026'!$J$2=CB233),'2026DATA'!$I$37,"")</f>
        <v/>
      </c>
      <c r="CC268" s="518" t="str">
        <f>IF(AND(_5="B-717",'2026'!$J$4="CA",'2026'!$J$2=CC233),'2026DATA'!$J$37,"")</f>
        <v/>
      </c>
      <c r="CD268" s="518" t="str">
        <f>IF(AND(_5="B-717",'2026'!$J$4="CA",'2026'!$J$2=CD233),'2026DATA'!$K$37,"")</f>
        <v/>
      </c>
      <c r="CE268" s="518" t="str">
        <f>IF(AND(_5="B-717",'2026'!$J$4="CA",'2026'!$J$2=CE233),'2026DATA'!$L$37,"")</f>
        <v/>
      </c>
      <c r="CF268" s="518" t="str">
        <f>IF(AND(_5="B-717",'2026'!$J$4="CA",'2026'!$J$2=CF233),'2026DATA'!$M$37,"")</f>
        <v/>
      </c>
      <c r="CG268" s="520" t="str">
        <f>IF(AND(_5="B-717",'2026'!$J$4="CA",'2026'!$J$2=CG233),'2026DATA'!$N$37,"")</f>
        <v/>
      </c>
      <c r="CH268" s="940" t="s">
        <v>53</v>
      </c>
      <c r="CI268" s="13" t="s">
        <v>61</v>
      </c>
      <c r="CJ268" s="518" t="str">
        <f>IF(AND(_6="B-717",'2026'!$J$4="CA",'2026'!$J$2=CJ233),'2026DATA'!$C$37,"")</f>
        <v/>
      </c>
      <c r="CK268" s="518" t="str">
        <f>IF(AND(_6="B-717",'2026'!$J$4="CA",'2026'!$J$2=CK233),'2026DATA'!$D$37,"")</f>
        <v/>
      </c>
      <c r="CL268" s="518" t="str">
        <f>IF(AND(_6="B-717",'2026'!$J$4="CA",'2026'!$J$2=CL233),'2026DATA'!$E$37,"")</f>
        <v/>
      </c>
      <c r="CM268" s="518" t="str">
        <f>IF(AND(_6="B-717",'2026'!$J$4="CA",'2026'!$J$2=CM233),'2026DATA'!$F$37,"")</f>
        <v/>
      </c>
      <c r="CN268" s="518" t="str">
        <f>IF(AND(_6="B-717",'2026'!$J$4="CA",'2026'!$J$2=CN233),'2026DATA'!$G$37,"")</f>
        <v/>
      </c>
      <c r="CO268" s="518" t="str">
        <f>IF(AND(_6="B-717",'2026'!$J$4="CA",'2026'!$J$2=CO233),'2026DATA'!$H$37,"")</f>
        <v/>
      </c>
      <c r="CP268" s="518" t="str">
        <f>IF(AND(_6="B-717",'2026'!$J$4="CA",'2026'!$J$2=CP233),'2026DATA'!$I$37,"")</f>
        <v/>
      </c>
      <c r="CQ268" s="518" t="str">
        <f>IF(AND(_6="B-717",'2026'!$J$4="CA",'2026'!$J$2=CQ233),'2026DATA'!$J$37,"")</f>
        <v/>
      </c>
      <c r="CR268" s="518" t="str">
        <f>IF(AND(_6="B-717",'2026'!$J$4="CA",'2026'!$J$2=CR233),'2026DATA'!$K$37,"")</f>
        <v/>
      </c>
      <c r="CS268" s="518" t="str">
        <f>IF(AND(_6="B-717",'2026'!$J$4="CA",'2026'!$J$2=CS233),'2026DATA'!$L$37,"")</f>
        <v/>
      </c>
      <c r="CT268" s="518" t="str">
        <f>IF(AND(_6="B-717",'2026'!$J$4="CA",'2026'!$J$2=CT233),'2026DATA'!$M$37,"")</f>
        <v/>
      </c>
      <c r="CU268" s="520" t="str">
        <f>IF(AND(_6="B-717",'2026'!$J$4="CA",'2026'!$J$2=CU233),'2026DATA'!$N$37,"")</f>
        <v/>
      </c>
    </row>
    <row r="269" spans="16:99" ht="15.75" thickBot="1" x14ac:dyDescent="0.3">
      <c r="P269" s="941"/>
      <c r="Q269" s="521" t="s">
        <v>62</v>
      </c>
      <c r="R269" s="518" t="str">
        <f>IF(AND(_1="B-717",'2026'!$J$4="FO",'2026'!$J$2=R233),'2026DATA'!$C$38,"")</f>
        <v/>
      </c>
      <c r="S269" s="518" t="str">
        <f>IF(AND(_1="B-717",'2026'!$J$4="FO",'2026'!$J$2=S233),'2026DATA'!$D$38,"")</f>
        <v/>
      </c>
      <c r="T269" s="518" t="str">
        <f>IF(AND(_1="B-717",'2026'!$J$4="FO",'2026'!$J$2=T233),'2026DATA'!$E$38,"")</f>
        <v/>
      </c>
      <c r="U269" s="518" t="str">
        <f>IF(AND(_1="B-717",'2026'!$J$4="FO",'2026'!$J$2=U233),'2026DATA'!$F$38,"")</f>
        <v/>
      </c>
      <c r="V269" s="518" t="str">
        <f>IF(AND(_1="B-717",'2026'!$J$4="FO",'2026'!$J$2=V233),'2026DATA'!$G$38,"")</f>
        <v/>
      </c>
      <c r="W269" s="518" t="str">
        <f>IF(AND(_1="B-717",'2026'!$J$4="FO",'2026'!$J$2=W233),'2026DATA'!$H$38,"")</f>
        <v/>
      </c>
      <c r="X269" s="518" t="str">
        <f>IF(AND(_1="B-717",'2026'!$J$4="FO",'2026'!$J$2=X233),'2026DATA'!$I$38,"")</f>
        <v/>
      </c>
      <c r="Y269" s="518" t="str">
        <f>IF(AND(_1="B-717",'2026'!$J$4="FO",'2026'!$J$2=Y233),'2026DATA'!$J$38,"")</f>
        <v/>
      </c>
      <c r="Z269" s="518" t="str">
        <f>IF(AND(_1="B-717",'2026'!$J$4="FO",'2026'!$J$2=Z233),'2026DATA'!$K$38,"")</f>
        <v/>
      </c>
      <c r="AA269" s="518" t="str">
        <f>IF(AND(_1="B-717",'2026'!$J$4="FO",'2026'!$J$2=AA233),'2026DATA'!$L$38,"")</f>
        <v/>
      </c>
      <c r="AB269" s="518" t="str">
        <f>IF(AND(_1="B-717",'2026'!$J$4="FO",'2026'!$J$2=AB233),'2026DATA'!$M$38,"")</f>
        <v/>
      </c>
      <c r="AC269" s="520" t="str">
        <f>IF(AND(_1="B-717",'2026'!$J$4="FO",'2026'!$J$2=AC233),'2026DATA'!$N$38,"")</f>
        <v/>
      </c>
      <c r="AD269" s="941"/>
      <c r="AE269" s="521" t="s">
        <v>62</v>
      </c>
      <c r="AF269" s="518" t="str">
        <f>IF(AND(_2="B-717",'2026'!$J$4="FO",'2026'!$J$2=AF233),'2026DATA'!$C$38,"")</f>
        <v/>
      </c>
      <c r="AG269" s="518" t="str">
        <f>IF(AND(_2="B-717",'2026'!$J$4="FO",'2026'!$J$2=AG233),'2026DATA'!$D$38,"")</f>
        <v/>
      </c>
      <c r="AH269" s="518" t="str">
        <f>IF(AND(_2="B-717",'2026'!$J$4="FO",'2026'!$J$2=AH233),'2026DATA'!$E$38,"")</f>
        <v/>
      </c>
      <c r="AI269" s="518" t="str">
        <f>IF(AND(_2="B-717",'2026'!$J$4="FO",'2026'!$J$2=AI233),'2026DATA'!$F$38,"")</f>
        <v/>
      </c>
      <c r="AJ269" s="518" t="str">
        <f>IF(AND(_2="B-717",'2026'!$J$4="FO",'2026'!$J$2=AJ233),'2026DATA'!$G$38,"")</f>
        <v/>
      </c>
      <c r="AK269" s="518" t="str">
        <f>IF(AND(_2="B-717",'2026'!$J$4="FO",'2026'!$J$2=AK233),'2026DATA'!$H$38,"")</f>
        <v/>
      </c>
      <c r="AL269" s="518" t="str">
        <f>IF(AND(_2="B-717",'2026'!$J$4="FO",'2026'!$J$2=AL233),'2026DATA'!$I$38,"")</f>
        <v/>
      </c>
      <c r="AM269" s="518" t="str">
        <f>IF(AND(_2="B-717",'2026'!$J$4="FO",'2026'!$J$2=AM233),'2026DATA'!$J$38,"")</f>
        <v/>
      </c>
      <c r="AN269" s="518" t="str">
        <f>IF(AND(_2="B-717",'2026'!$J$4="FO",'2026'!$J$2=AN233),'2026DATA'!$K$38,"")</f>
        <v/>
      </c>
      <c r="AO269" s="518" t="str">
        <f>IF(AND(_2="B-717",'2026'!$J$4="FO",'2026'!$J$2=AO233),'2026DATA'!$L$38,"")</f>
        <v/>
      </c>
      <c r="AP269" s="518" t="str">
        <f>IF(AND(_2="B-717",'2026'!$J$4="FO",'2026'!$J$2=AP233),'2026DATA'!$M$38,"")</f>
        <v/>
      </c>
      <c r="AQ269" s="520" t="str">
        <f>IF(AND(_2="B-717",'2026'!$J$4="FO",'2026'!$J$2=AQ233),'2026DATA'!$N$38,"")</f>
        <v/>
      </c>
      <c r="AR269" s="941"/>
      <c r="AS269" s="521" t="s">
        <v>62</v>
      </c>
      <c r="AT269" s="518" t="str">
        <f>IF(AND(_3="B-717",'2026'!$J$4="FO",'2026'!$J$2=AT233),'2026DATA'!$C$38,"")</f>
        <v/>
      </c>
      <c r="AU269" s="518" t="str">
        <f>IF(AND(_3="B-717",'2026'!$J$4="FO",'2026'!$J$2=AU233),'2026DATA'!$D$38,"")</f>
        <v/>
      </c>
      <c r="AV269" s="518" t="str">
        <f>IF(AND(_3="B-717",'2026'!$J$4="FO",'2026'!$J$2=AV233),'2026DATA'!$E$38,"")</f>
        <v/>
      </c>
      <c r="AW269" s="518" t="str">
        <f>IF(AND(_3="B-717",'2026'!$J$4="FO",'2026'!$J$2=AW233),'2026DATA'!$F$38,"")</f>
        <v/>
      </c>
      <c r="AX269" s="518" t="str">
        <f>IF(AND(_3="B-717",'2026'!$J$4="FO",'2026'!$J$2=AX233),'2026DATA'!$G$38,"")</f>
        <v/>
      </c>
      <c r="AY269" s="518" t="str">
        <f>IF(AND(_3="B-717",'2026'!$J$4="FO",'2026'!$J$2=AY233),'2026DATA'!$H$38,"")</f>
        <v/>
      </c>
      <c r="AZ269" s="518" t="str">
        <f>IF(AND(_3="B-717",'2026'!$J$4="FO",'2026'!$J$2=AZ233),'2026DATA'!$I$38,"")</f>
        <v/>
      </c>
      <c r="BA269" s="518" t="str">
        <f>IF(AND(_3="B-717",'2026'!$J$4="FO",'2026'!$J$2=BA233),'2026DATA'!$J$38,"")</f>
        <v/>
      </c>
      <c r="BB269" s="518" t="str">
        <f>IF(AND(_3="B-717",'2026'!$J$4="FO",'2026'!$J$2=BB233),'2026DATA'!$K$38,"")</f>
        <v/>
      </c>
      <c r="BC269" s="518" t="str">
        <f>IF(AND(_3="B-717",'2026'!$J$4="FO",'2026'!$J$2=BC233),'2026DATA'!$L$38,"")</f>
        <v/>
      </c>
      <c r="BD269" s="518" t="str">
        <f>IF(AND(_3="B-717",'2026'!$J$4="FO",'2026'!$J$2=BD233),'2026DATA'!$M$38,"")</f>
        <v/>
      </c>
      <c r="BE269" s="520" t="str">
        <f>IF(AND(_3="B-717",'2026'!$J$4="FO",'2026'!$J$2=BE233),'2026DATA'!$N$38,"")</f>
        <v/>
      </c>
      <c r="BF269" s="941"/>
      <c r="BG269" s="521" t="s">
        <v>62</v>
      </c>
      <c r="BH269" s="518" t="str">
        <f>IF(AND(_4="B-717",'2026'!$J$4="FO",'2026'!$J$2=BH233),'2026DATA'!$C$38,"")</f>
        <v/>
      </c>
      <c r="BI269" s="518" t="str">
        <f>IF(AND(_4="B-717",'2026'!$J$4="FO",'2026'!$J$2=BI233),'2026DATA'!$D$38,"")</f>
        <v/>
      </c>
      <c r="BJ269" s="518" t="str">
        <f>IF(AND(_4="B-717",'2026'!$J$4="FO",'2026'!$J$2=BJ233),'2026DATA'!$E$38,"")</f>
        <v/>
      </c>
      <c r="BK269" s="518" t="str">
        <f>IF(AND(_4="B-717",'2026'!$J$4="FO",'2026'!$J$2=BK233),'2026DATA'!$F$38,"")</f>
        <v/>
      </c>
      <c r="BL269" s="518" t="str">
        <f>IF(AND(_4="B-717",'2026'!$J$4="FO",'2026'!$J$2=BL233),'2026DATA'!$G$38,"")</f>
        <v/>
      </c>
      <c r="BM269" s="518" t="str">
        <f>IF(AND(_4="B-717",'2026'!$J$4="FO",'2026'!$J$2=BM233),'2026DATA'!$H$38,"")</f>
        <v/>
      </c>
      <c r="BN269" s="518" t="str">
        <f>IF(AND(_4="B-717",'2026'!$J$4="FO",'2026'!$J$2=BN233),'2026DATA'!$I$38,"")</f>
        <v/>
      </c>
      <c r="BO269" s="518" t="str">
        <f>IF(AND(_4="B-717",'2026'!$J$4="FO",'2026'!$J$2=BO233),'2026DATA'!$J$38,"")</f>
        <v/>
      </c>
      <c r="BP269" s="518" t="str">
        <f>IF(AND(_4="B-717",'2026'!$J$4="FO",'2026'!$J$2=BP233),'2026DATA'!$K$38,"")</f>
        <v/>
      </c>
      <c r="BQ269" s="518" t="str">
        <f>IF(AND(_4="B-717",'2026'!$J$4="FO",'2026'!$J$2=BQ233),'2026DATA'!$L$38,"")</f>
        <v/>
      </c>
      <c r="BR269" s="518" t="str">
        <f>IF(AND(_4="B-717",'2026'!$J$4="FO",'2026'!$J$2=BR233),'2026DATA'!$M$38,"")</f>
        <v/>
      </c>
      <c r="BS269" s="520" t="str">
        <f>IF(AND(_4="B-717",'2026'!$J$4="FO",'2026'!$J$2=BS233),'2026DATA'!$N$38,"")</f>
        <v/>
      </c>
      <c r="BT269" s="941"/>
      <c r="BU269" s="521" t="s">
        <v>62</v>
      </c>
      <c r="BV269" s="518" t="str">
        <f>IF(AND(_5="B-717",'2026'!$J$4="FO",'2026'!$J$2=BV233),'2026DATA'!$C$38,"")</f>
        <v/>
      </c>
      <c r="BW269" s="518" t="str">
        <f>IF(AND(_5="B-717",'2026'!$J$4="FO",'2026'!$J$2=BW233),'2026DATA'!$D$38,"")</f>
        <v/>
      </c>
      <c r="BX269" s="518" t="str">
        <f>IF(AND(_5="B-717",'2026'!$J$4="FO",'2026'!$J$2=BX233),'2026DATA'!$E$38,"")</f>
        <v/>
      </c>
      <c r="BY269" s="518" t="str">
        <f>IF(AND(_5="B-717",'2026'!$J$4="FO",'2026'!$J$2=BY233),'2026DATA'!$F$38,"")</f>
        <v/>
      </c>
      <c r="BZ269" s="518" t="str">
        <f>IF(AND(_5="B-717",'2026'!$J$4="FO",'2026'!$J$2=BZ233),'2026DATA'!$G$38,"")</f>
        <v/>
      </c>
      <c r="CA269" s="518" t="str">
        <f>IF(AND(_5="B-717",'2026'!$J$4="FO",'2026'!$J$2=CA233),'2026DATA'!$H$38,"")</f>
        <v/>
      </c>
      <c r="CB269" s="518" t="str">
        <f>IF(AND(_5="B-717",'2026'!$J$4="FO",'2026'!$J$2=CB233),'2026DATA'!$I$38,"")</f>
        <v/>
      </c>
      <c r="CC269" s="518" t="str">
        <f>IF(AND(_5="B-717",'2026'!$J$4="FO",'2026'!$J$2=CC233),'2026DATA'!$J$38,"")</f>
        <v/>
      </c>
      <c r="CD269" s="518" t="str">
        <f>IF(AND(_5="B-717",'2026'!$J$4="FO",'2026'!$J$2=CD233),'2026DATA'!$K$38,"")</f>
        <v/>
      </c>
      <c r="CE269" s="518" t="str">
        <f>IF(AND(_5="B-717",'2026'!$J$4="FO",'2026'!$J$2=CE233),'2026DATA'!$L$38,"")</f>
        <v/>
      </c>
      <c r="CF269" s="518" t="str">
        <f>IF(AND(_5="B-717",'2026'!$J$4="FO",'2026'!$J$2=CF233),'2026DATA'!$M$38,"")</f>
        <v/>
      </c>
      <c r="CG269" s="520" t="str">
        <f>IF(AND(_5="B-717",'2026'!$J$4="FO",'2026'!$J$2=CG233),'2026DATA'!$N$38,"")</f>
        <v/>
      </c>
      <c r="CH269" s="941"/>
      <c r="CI269" s="521" t="s">
        <v>62</v>
      </c>
      <c r="CJ269" s="518" t="str">
        <f>IF(AND(_6="B-717",'2026'!$J$4="FO",'2026'!$J$2=CJ233),'2026DATA'!$C$38,"")</f>
        <v/>
      </c>
      <c r="CK269" s="518" t="str">
        <f>IF(AND(_6="B-717",'2026'!$J$4="FO",'2026'!$J$2=CK233),'2026DATA'!$D$38,"")</f>
        <v/>
      </c>
      <c r="CL269" s="518" t="str">
        <f>IF(AND(_6="B-717",'2026'!$J$4="FO",'2026'!$J$2=CL233),'2026DATA'!$E$38,"")</f>
        <v/>
      </c>
      <c r="CM269" s="518" t="str">
        <f>IF(AND(_6="B-717",'2026'!$J$4="FO",'2026'!$J$2=CM233),'2026DATA'!$F$38,"")</f>
        <v/>
      </c>
      <c r="CN269" s="518" t="str">
        <f>IF(AND(_6="B-717",'2026'!$J$4="FO",'2026'!$J$2=CN233),'2026DATA'!$G$38,"")</f>
        <v/>
      </c>
      <c r="CO269" s="518" t="str">
        <f>IF(AND(_6="B-717",'2026'!$J$4="FO",'2026'!$J$2=CO233),'2026DATA'!$H$38,"")</f>
        <v/>
      </c>
      <c r="CP269" s="518" t="str">
        <f>IF(AND(_6="B-717",'2026'!$J$4="FO",'2026'!$J$2=CP233),'2026DATA'!$I$38,"")</f>
        <v/>
      </c>
      <c r="CQ269" s="518" t="str">
        <f>IF(AND(_6="B-717",'2026'!$J$4="FO",'2026'!$J$2=CQ233),'2026DATA'!$J$38,"")</f>
        <v/>
      </c>
      <c r="CR269" s="518" t="str">
        <f>IF(AND(_6="B-717",'2026'!$J$4="FO",'2026'!$J$2=CR233),'2026DATA'!$K$38,"")</f>
        <v/>
      </c>
      <c r="CS269" s="518" t="str">
        <f>IF(AND(_6="B-717",'2026'!$J$4="FO",'2026'!$J$2=CS233),'2026DATA'!$L$38,"")</f>
        <v/>
      </c>
      <c r="CT269" s="518" t="str">
        <f>IF(AND(_6="B-717",'2026'!$J$4="FO",'2026'!$J$2=CT233),'2026DATA'!$M$38,"")</f>
        <v/>
      </c>
      <c r="CU269" s="520" t="str">
        <f>IF(AND(_6="B-717",'2026'!$J$4="FO",'2026'!$J$2=CU233),'2026DATA'!$N$38,"")</f>
        <v/>
      </c>
    </row>
    <row r="270" spans="16:99" x14ac:dyDescent="0.25">
      <c r="P270" s="943" t="s">
        <v>128</v>
      </c>
      <c r="Q270" s="944"/>
      <c r="R270" s="944"/>
      <c r="S270" s="944"/>
      <c r="T270" s="944"/>
      <c r="U270" s="944"/>
      <c r="V270" s="944"/>
      <c r="W270" s="944"/>
      <c r="X270" s="944"/>
      <c r="Y270" s="944"/>
      <c r="Z270" s="944"/>
      <c r="AA270" s="944"/>
      <c r="AB270" s="944"/>
      <c r="AC270" s="945"/>
      <c r="AD270" s="943" t="s">
        <v>129</v>
      </c>
      <c r="AE270" s="944"/>
      <c r="AF270" s="944"/>
      <c r="AG270" s="944"/>
      <c r="AH270" s="944"/>
      <c r="AI270" s="944"/>
      <c r="AJ270" s="944"/>
      <c r="AK270" s="944"/>
      <c r="AL270" s="944"/>
      <c r="AM270" s="944"/>
      <c r="AN270" s="944"/>
      <c r="AO270" s="944"/>
      <c r="AP270" s="944"/>
      <c r="AQ270" s="945"/>
      <c r="AR270" s="943" t="s">
        <v>130</v>
      </c>
      <c r="AS270" s="944"/>
      <c r="AT270" s="944"/>
      <c r="AU270" s="944"/>
      <c r="AV270" s="944"/>
      <c r="AW270" s="944"/>
      <c r="AX270" s="944"/>
      <c r="AY270" s="944"/>
      <c r="AZ270" s="944"/>
      <c r="BA270" s="944"/>
      <c r="BB270" s="944"/>
      <c r="BC270" s="944"/>
      <c r="BD270" s="944"/>
      <c r="BE270" s="945"/>
      <c r="BF270" s="943" t="s">
        <v>131</v>
      </c>
      <c r="BG270" s="944"/>
      <c r="BH270" s="944"/>
      <c r="BI270" s="944"/>
      <c r="BJ270" s="944"/>
      <c r="BK270" s="944"/>
      <c r="BL270" s="944"/>
      <c r="BM270" s="944"/>
      <c r="BN270" s="944"/>
      <c r="BO270" s="944"/>
      <c r="BP270" s="944"/>
      <c r="BQ270" s="944"/>
      <c r="BR270" s="944"/>
      <c r="BS270" s="945"/>
      <c r="BT270" s="943" t="s">
        <v>132</v>
      </c>
      <c r="BU270" s="944"/>
      <c r="BV270" s="944"/>
      <c r="BW270" s="944"/>
      <c r="BX270" s="944"/>
      <c r="BY270" s="944"/>
      <c r="BZ270" s="944"/>
      <c r="CA270" s="944"/>
      <c r="CB270" s="944"/>
      <c r="CC270" s="944"/>
      <c r="CD270" s="944"/>
      <c r="CE270" s="944"/>
      <c r="CF270" s="944"/>
      <c r="CG270" s="945"/>
      <c r="CH270" s="943" t="s">
        <v>133</v>
      </c>
      <c r="CI270" s="944"/>
      <c r="CJ270" s="944"/>
      <c r="CK270" s="944"/>
      <c r="CL270" s="944"/>
      <c r="CM270" s="944"/>
      <c r="CN270" s="944"/>
      <c r="CO270" s="944"/>
      <c r="CP270" s="944"/>
      <c r="CQ270" s="944"/>
      <c r="CR270" s="944"/>
      <c r="CS270" s="944"/>
      <c r="CT270" s="944"/>
      <c r="CU270" s="945"/>
    </row>
    <row r="271" spans="16:99" x14ac:dyDescent="0.25">
      <c r="P271" s="577">
        <v>8</v>
      </c>
      <c r="Q271" s="577">
        <f>SUM(R272:AC307)</f>
        <v>0</v>
      </c>
      <c r="R271" s="3">
        <v>12</v>
      </c>
      <c r="S271" s="3">
        <v>11</v>
      </c>
      <c r="T271" s="3">
        <v>10</v>
      </c>
      <c r="U271" s="3">
        <v>9</v>
      </c>
      <c r="V271" s="3">
        <v>8</v>
      </c>
      <c r="W271" s="3">
        <v>7</v>
      </c>
      <c r="X271" s="3">
        <v>6</v>
      </c>
      <c r="Y271" s="3">
        <v>5</v>
      </c>
      <c r="Z271" s="3">
        <v>4</v>
      </c>
      <c r="AA271" s="3">
        <v>3</v>
      </c>
      <c r="AB271" s="3">
        <v>2</v>
      </c>
      <c r="AC271" s="519">
        <v>1</v>
      </c>
      <c r="AD271" s="577">
        <v>8</v>
      </c>
      <c r="AE271" s="577">
        <f>SUM(AF272:AQ307)</f>
        <v>0</v>
      </c>
      <c r="AF271" s="3">
        <v>12</v>
      </c>
      <c r="AG271" s="3">
        <v>11</v>
      </c>
      <c r="AH271" s="3">
        <v>10</v>
      </c>
      <c r="AI271" s="3">
        <v>9</v>
      </c>
      <c r="AJ271" s="3">
        <v>8</v>
      </c>
      <c r="AK271" s="3">
        <v>7</v>
      </c>
      <c r="AL271" s="3">
        <v>6</v>
      </c>
      <c r="AM271" s="3">
        <v>5</v>
      </c>
      <c r="AN271" s="3">
        <v>4</v>
      </c>
      <c r="AO271" s="3">
        <v>3</v>
      </c>
      <c r="AP271" s="3">
        <v>2</v>
      </c>
      <c r="AQ271" s="519">
        <v>1</v>
      </c>
      <c r="AR271" s="577">
        <v>8</v>
      </c>
      <c r="AS271" s="577">
        <f>SUM(AT272:BE307)</f>
        <v>0</v>
      </c>
      <c r="AT271" s="3">
        <v>12</v>
      </c>
      <c r="AU271" s="3">
        <v>11</v>
      </c>
      <c r="AV271" s="3">
        <v>10</v>
      </c>
      <c r="AW271" s="3">
        <v>9</v>
      </c>
      <c r="AX271" s="3">
        <v>8</v>
      </c>
      <c r="AY271" s="3">
        <v>7</v>
      </c>
      <c r="AZ271" s="3">
        <v>6</v>
      </c>
      <c r="BA271" s="3">
        <v>5</v>
      </c>
      <c r="BB271" s="3">
        <v>4</v>
      </c>
      <c r="BC271" s="3">
        <v>3</v>
      </c>
      <c r="BD271" s="3">
        <v>2</v>
      </c>
      <c r="BE271" s="519">
        <v>1</v>
      </c>
      <c r="BF271" s="577">
        <v>8</v>
      </c>
      <c r="BG271" s="577">
        <f>SUM(BH272:BS307)</f>
        <v>0</v>
      </c>
      <c r="BH271" s="3">
        <v>12</v>
      </c>
      <c r="BI271" s="3">
        <v>11</v>
      </c>
      <c r="BJ271" s="3">
        <v>10</v>
      </c>
      <c r="BK271" s="3">
        <v>9</v>
      </c>
      <c r="BL271" s="3">
        <v>8</v>
      </c>
      <c r="BM271" s="3">
        <v>7</v>
      </c>
      <c r="BN271" s="3">
        <v>6</v>
      </c>
      <c r="BO271" s="3">
        <v>5</v>
      </c>
      <c r="BP271" s="3">
        <v>4</v>
      </c>
      <c r="BQ271" s="3">
        <v>3</v>
      </c>
      <c r="BR271" s="3">
        <v>2</v>
      </c>
      <c r="BS271" s="519">
        <v>1</v>
      </c>
      <c r="BT271" s="577">
        <v>8</v>
      </c>
      <c r="BU271" s="577">
        <f>SUM(BV272:CG307)</f>
        <v>0</v>
      </c>
      <c r="BV271" s="3">
        <v>12</v>
      </c>
      <c r="BW271" s="3">
        <v>11</v>
      </c>
      <c r="BX271" s="3">
        <v>10</v>
      </c>
      <c r="BY271" s="3">
        <v>9</v>
      </c>
      <c r="BZ271" s="3">
        <v>8</v>
      </c>
      <c r="CA271" s="3">
        <v>7</v>
      </c>
      <c r="CB271" s="3">
        <v>6</v>
      </c>
      <c r="CC271" s="3">
        <v>5</v>
      </c>
      <c r="CD271" s="3">
        <v>4</v>
      </c>
      <c r="CE271" s="3">
        <v>3</v>
      </c>
      <c r="CF271" s="3">
        <v>2</v>
      </c>
      <c r="CG271" s="519">
        <v>1</v>
      </c>
      <c r="CH271" s="577">
        <v>8</v>
      </c>
      <c r="CI271" s="577">
        <f>SUM(CJ272:CU307)</f>
        <v>0</v>
      </c>
      <c r="CJ271" s="3">
        <v>12</v>
      </c>
      <c r="CK271" s="3">
        <v>11</v>
      </c>
      <c r="CL271" s="3">
        <v>10</v>
      </c>
      <c r="CM271" s="3">
        <v>9</v>
      </c>
      <c r="CN271" s="3">
        <v>8</v>
      </c>
      <c r="CO271" s="3">
        <v>7</v>
      </c>
      <c r="CP271" s="3">
        <v>6</v>
      </c>
      <c r="CQ271" s="3">
        <v>5</v>
      </c>
      <c r="CR271" s="3">
        <v>4</v>
      </c>
      <c r="CS271" s="3">
        <v>3</v>
      </c>
      <c r="CT271" s="3">
        <v>2</v>
      </c>
      <c r="CU271" s="519">
        <v>1</v>
      </c>
    </row>
    <row r="272" spans="16:99" x14ac:dyDescent="0.25">
      <c r="P272" s="940" t="s">
        <v>39</v>
      </c>
      <c r="Q272" s="13" t="s">
        <v>61</v>
      </c>
      <c r="R272" s="518" t="str">
        <f>IF(AND(_1="A-350",'2026'!$K$4="CA",'2026'!$K$2=R271),'2026DATA'!$C$3,"")</f>
        <v/>
      </c>
      <c r="S272" s="518" t="str">
        <f>IF(AND(_1="A-350",'2026'!$K$4="CA",'2026'!$K$2=S271),'2026DATA'!$D$3,"")</f>
        <v/>
      </c>
      <c r="T272" s="518" t="str">
        <f>IF(AND(_1="A-350",'2026'!$K$4="CA",'2026'!$K$2=T271),'2026DATA'!$E$3,"")</f>
        <v/>
      </c>
      <c r="U272" s="518" t="str">
        <f>IF(AND(_1="A-350",'2026'!$K$4="CA",'2026'!$K$2=U271),'2026DATA'!$F$3,"")</f>
        <v/>
      </c>
      <c r="V272" s="518" t="str">
        <f>IF(AND(_1="A-350",'2026'!$K$4="CA",'2026'!$K$2=V271),'2026DATA'!$G$3,"")</f>
        <v/>
      </c>
      <c r="W272" s="518" t="str">
        <f>IF(AND(_1="A-350",'2026'!$K$4="CA",'2026'!$K$2=W271),'2026DATA'!$H$3,"")</f>
        <v/>
      </c>
      <c r="X272" s="518" t="str">
        <f>IF(AND(_1="A-350",'2026'!$K$4="CA",'2026'!$K$2=X271),'2026DATA'!$I$3,"")</f>
        <v/>
      </c>
      <c r="Y272" s="518" t="str">
        <f>IF(AND(_1="A-350",'2026'!$K$4="CA",'2026'!$K$2=Y271),'2026DATA'!$J$3,"")</f>
        <v/>
      </c>
      <c r="Z272" s="518" t="str">
        <f>IF(AND(_1="A-350",'2026'!$K$4="CA",'2026'!$K$2=Z271),'2026DATA'!$K$3,"")</f>
        <v/>
      </c>
      <c r="AA272" s="518" t="str">
        <f>IF(AND(_1="A-350",'2026'!$K$4="CA",'2026'!$K$2=AA271),'2026DATA'!$L$3,"")</f>
        <v/>
      </c>
      <c r="AB272" s="518" t="str">
        <f>IF(AND(_1="A-350",'2026'!$K$4="CA",'2026'!$K$2=AB271),'2026DATA'!$M$3,"")</f>
        <v/>
      </c>
      <c r="AC272" s="520" t="str">
        <f>IF(AND(_1="A-350",'2026'!$K$4="CA",'2026'!$K$2=AC271),'2026DATA'!$N$3,"")</f>
        <v/>
      </c>
      <c r="AD272" s="940" t="s">
        <v>39</v>
      </c>
      <c r="AE272" s="13" t="s">
        <v>61</v>
      </c>
      <c r="AF272" s="518" t="str">
        <f>IF(AND(_2="A-350",'2026'!$K$4="CA",'2026'!$K$2=AF271),'2026DATA'!$C$3,"")</f>
        <v/>
      </c>
      <c r="AG272" s="518" t="str">
        <f>IF(AND(_2="A-350",'2026'!$K$4="CA",'2026'!$K$2=AG271),'2026DATA'!$D$3,"")</f>
        <v/>
      </c>
      <c r="AH272" s="518" t="str">
        <f>IF(AND(_2="A-350",'2026'!$K$4="CA",'2026'!$K$2=AH271),'2026DATA'!$E$3,"")</f>
        <v/>
      </c>
      <c r="AI272" s="518" t="str">
        <f>IF(AND(_2="A-350",'2026'!$K$4="CA",'2026'!$K$2=AI271),'2026DATA'!$F$3,"")</f>
        <v/>
      </c>
      <c r="AJ272" s="518" t="str">
        <f>IF(AND(_2="A-350",'2026'!$K$4="CA",'2026'!$K$2=AJ271),'2026DATA'!$G$3,"")</f>
        <v/>
      </c>
      <c r="AK272" s="518" t="str">
        <f>IF(AND(_2="A-350",'2026'!$K$4="CA",'2026'!$K$2=AK271),'2026DATA'!$H$3,"")</f>
        <v/>
      </c>
      <c r="AL272" s="518" t="str">
        <f>IF(AND(_2="A-350",'2026'!$K$4="CA",'2026'!$K$2=AL271),'2026DATA'!$I$3,"")</f>
        <v/>
      </c>
      <c r="AM272" s="518" t="str">
        <f>IF(AND(_2="A-350",'2026'!$K$4="CA",'2026'!$K$2=AM271),'2026DATA'!$J$3,"")</f>
        <v/>
      </c>
      <c r="AN272" s="518" t="str">
        <f>IF(AND(_2="A-350",'2026'!$K$4="CA",'2026'!$K$2=AN271),'2026DATA'!$K$3,"")</f>
        <v/>
      </c>
      <c r="AO272" s="518" t="str">
        <f>IF(AND(_2="A-350",'2026'!$K$4="CA",'2026'!$K$2=AO271),'2026DATA'!$L$3,"")</f>
        <v/>
      </c>
      <c r="AP272" s="518" t="str">
        <f>IF(AND(_2="A-350",'2026'!$K$4="CA",'2026'!$K$2=AP271),'2026DATA'!$M$3,"")</f>
        <v/>
      </c>
      <c r="AQ272" s="520" t="str">
        <f>IF(AND(_2="A-350",'2026'!$K$4="CA",'2026'!$K$2=AQ271),'2026DATA'!$N$3,"")</f>
        <v/>
      </c>
      <c r="AR272" s="940" t="s">
        <v>39</v>
      </c>
      <c r="AS272" s="13" t="s">
        <v>61</v>
      </c>
      <c r="AT272" s="518" t="str">
        <f>IF(AND(_3="A-350",'2026'!$K$4="CA",'2026'!$K$2=AT271),'2026DATA'!$C$3,"")</f>
        <v/>
      </c>
      <c r="AU272" s="518" t="str">
        <f>IF(AND(_3="A-350",'2026'!$K$4="CA",'2026'!$K$2=AU271),'2026DATA'!$D$3,"")</f>
        <v/>
      </c>
      <c r="AV272" s="518" t="str">
        <f>IF(AND(_3="A-350",'2026'!$K$4="CA",'2026'!$K$2=AV271),'2026DATA'!$E$3,"")</f>
        <v/>
      </c>
      <c r="AW272" s="518" t="str">
        <f>IF(AND(_3="A-350",'2026'!$K$4="CA",'2026'!$K$2=AW271),'2026DATA'!$F$3,"")</f>
        <v/>
      </c>
      <c r="AX272" s="518" t="str">
        <f>IF(AND(_3="A-350",'2026'!$K$4="CA",'2026'!$K$2=AX271),'2026DATA'!$G$3,"")</f>
        <v/>
      </c>
      <c r="AY272" s="518" t="str">
        <f>IF(AND(_3="A-350",'2026'!$K$4="CA",'2026'!$K$2=AY271),'2026DATA'!$H$3,"")</f>
        <v/>
      </c>
      <c r="AZ272" s="518" t="str">
        <f>IF(AND(_3="A-350",'2026'!$K$4="CA",'2026'!$K$2=AZ271),'2026DATA'!$I$3,"")</f>
        <v/>
      </c>
      <c r="BA272" s="518" t="str">
        <f>IF(AND(_3="A-350",'2026'!$K$4="CA",'2026'!$K$2=BA271),'2026DATA'!$J$3,"")</f>
        <v/>
      </c>
      <c r="BB272" s="518" t="str">
        <f>IF(AND(_3="A-350",'2026'!$K$4="CA",'2026'!$K$2=BB271),'2026DATA'!$K$3,"")</f>
        <v/>
      </c>
      <c r="BC272" s="518" t="str">
        <f>IF(AND(_3="A-350",'2026'!$K$4="CA",'2026'!$K$2=BC271),'2026DATA'!$L$3,"")</f>
        <v/>
      </c>
      <c r="BD272" s="518" t="str">
        <f>IF(AND(_3="A-350",'2026'!$K$4="CA",'2026'!$K$2=BD271),'2026DATA'!$M$3,"")</f>
        <v/>
      </c>
      <c r="BE272" s="520" t="str">
        <f>IF(AND(_3="A-350",'2026'!$K$4="CA",'2026'!$K$2=BE271),'2026DATA'!$N$3,"")</f>
        <v/>
      </c>
      <c r="BF272" s="940" t="s">
        <v>39</v>
      </c>
      <c r="BG272" s="13" t="s">
        <v>61</v>
      </c>
      <c r="BH272" s="518" t="str">
        <f>IF(AND(_4="A-350",'2026'!$K$4="CA",'2026'!$K$2=BH271),'2026DATA'!$C$3,"")</f>
        <v/>
      </c>
      <c r="BI272" s="518" t="str">
        <f>IF(AND(_4="A-350",'2026'!$K$4="CA",'2026'!$K$2=BI271),'2026DATA'!$D$3,"")</f>
        <v/>
      </c>
      <c r="BJ272" s="518" t="str">
        <f>IF(AND(_4="A-350",'2026'!$K$4="CA",'2026'!$K$2=BJ271),'2026DATA'!$E$3,"")</f>
        <v/>
      </c>
      <c r="BK272" s="518" t="str">
        <f>IF(AND(_4="A-350",'2026'!$K$4="CA",'2026'!$K$2=BK271),'2026DATA'!$F$3,"")</f>
        <v/>
      </c>
      <c r="BL272" s="518" t="str">
        <f>IF(AND(_4="A-350",'2026'!$K$4="CA",'2026'!$K$2=BL271),'2026DATA'!$G$3,"")</f>
        <v/>
      </c>
      <c r="BM272" s="518" t="str">
        <f>IF(AND(_4="A-350",'2026'!$K$4="CA",'2026'!$K$2=BM271),'2026DATA'!$H$3,"")</f>
        <v/>
      </c>
      <c r="BN272" s="518" t="str">
        <f>IF(AND(_4="A-350",'2026'!$K$4="CA",'2026'!$K$2=BN271),'2026DATA'!$I$3,"")</f>
        <v/>
      </c>
      <c r="BO272" s="518" t="str">
        <f>IF(AND(_4="A-350",'2026'!$K$4="CA",'2026'!$K$2=BO271),'2026DATA'!$J$3,"")</f>
        <v/>
      </c>
      <c r="BP272" s="518" t="str">
        <f>IF(AND(_4="A-350",'2026'!$K$4="CA",'2026'!$K$2=BP271),'2026DATA'!$K$3,"")</f>
        <v/>
      </c>
      <c r="BQ272" s="518" t="str">
        <f>IF(AND(_4="A-350",'2026'!$K$4="CA",'2026'!$K$2=BQ271),'2026DATA'!$L$3,"")</f>
        <v/>
      </c>
      <c r="BR272" s="518" t="str">
        <f>IF(AND(_4="A-350",'2026'!$K$4="CA",'2026'!$K$2=BR271),'2026DATA'!$M$3,"")</f>
        <v/>
      </c>
      <c r="BS272" s="520" t="str">
        <f>IF(AND(_4="A-350",'2026'!$K$4="CA",'2026'!$K$2=BS271),'2026DATA'!$N$3,"")</f>
        <v/>
      </c>
      <c r="BT272" s="940" t="s">
        <v>39</v>
      </c>
      <c r="BU272" s="13" t="s">
        <v>61</v>
      </c>
      <c r="BV272" s="518" t="str">
        <f>IF(AND(_5="A-350",'2026'!$K$4="CA",'2026'!$K$2=BV271),'2026DATA'!$C$3,"")</f>
        <v/>
      </c>
      <c r="BW272" s="518" t="str">
        <f>IF(AND(_5="A-350",'2026'!$K$4="CA",'2026'!$K$2=BW271),'2026DATA'!$D$3,"")</f>
        <v/>
      </c>
      <c r="BX272" s="518" t="str">
        <f>IF(AND(_5="A-350",'2026'!$K$4="CA",'2026'!$K$2=BX271),'2026DATA'!$E$3,"")</f>
        <v/>
      </c>
      <c r="BY272" s="518" t="str">
        <f>IF(AND(_5="A-350",'2026'!$K$4="CA",'2026'!$K$2=BY271),'2026DATA'!$F$3,"")</f>
        <v/>
      </c>
      <c r="BZ272" s="518" t="str">
        <f>IF(AND(_5="A-350",'2026'!$K$4="CA",'2026'!$K$2=BZ271),'2026DATA'!$G$3,"")</f>
        <v/>
      </c>
      <c r="CA272" s="518" t="str">
        <f>IF(AND(_5="A-350",'2026'!$K$4="CA",'2026'!$K$2=CA271),'2026DATA'!$H$3,"")</f>
        <v/>
      </c>
      <c r="CB272" s="518" t="str">
        <f>IF(AND(_5="A-350",'2026'!$K$4="CA",'2026'!$K$2=CB271),'2026DATA'!$I$3,"")</f>
        <v/>
      </c>
      <c r="CC272" s="518" t="str">
        <f>IF(AND(_5="A-350",'2026'!$K$4="CA",'2026'!$K$2=CC271),'2026DATA'!$J$3,"")</f>
        <v/>
      </c>
      <c r="CD272" s="518" t="str">
        <f>IF(AND(_5="A-350",'2026'!$K$4="CA",'2026'!$K$2=CD271),'2026DATA'!$K$3,"")</f>
        <v/>
      </c>
      <c r="CE272" s="518" t="str">
        <f>IF(AND(_5="A-350",'2026'!$K$4="CA",'2026'!$K$2=CE271),'2026DATA'!$L$3,"")</f>
        <v/>
      </c>
      <c r="CF272" s="518" t="str">
        <f>IF(AND(_5="A-350",'2026'!$K$4="CA",'2026'!$K$2=CF271),'2026DATA'!$M$3,"")</f>
        <v/>
      </c>
      <c r="CG272" s="520" t="str">
        <f>IF(AND(_5="A-350",'2026'!$K$4="CA",'2026'!$K$2=CG271),'2026DATA'!$N$3,"")</f>
        <v/>
      </c>
      <c r="CH272" s="940" t="s">
        <v>39</v>
      </c>
      <c r="CI272" s="13" t="s">
        <v>61</v>
      </c>
      <c r="CJ272" s="518" t="str">
        <f>IF(AND(_6="A-350",'2026'!$K$4="CA",'2026'!$K$2=CJ271),'2026DATA'!$C$3,"")</f>
        <v/>
      </c>
      <c r="CK272" s="518" t="str">
        <f>IF(AND(_6="A-350",'2026'!$K$4="CA",'2026'!$K$2=CK271),'2026DATA'!$D$3,"")</f>
        <v/>
      </c>
      <c r="CL272" s="518" t="str">
        <f>IF(AND(_6="A-350",'2026'!$K$4="CA",'2026'!$K$2=CL271),'2026DATA'!$E$3,"")</f>
        <v/>
      </c>
      <c r="CM272" s="518" t="str">
        <f>IF(AND(_6="A-350",'2026'!$K$4="CA",'2026'!$K$2=CM271),'2026DATA'!$F$3,"")</f>
        <v/>
      </c>
      <c r="CN272" s="518" t="str">
        <f>IF(AND(_6="A-350",'2026'!$K$4="CA",'2026'!$K$2=CN271),'2026DATA'!$G$3,"")</f>
        <v/>
      </c>
      <c r="CO272" s="518" t="str">
        <f>IF(AND(_6="A-350",'2026'!$K$4="CA",'2026'!$K$2=CO271),'2026DATA'!$H$3,"")</f>
        <v/>
      </c>
      <c r="CP272" s="518" t="str">
        <f>IF(AND(_6="A-350",'2026'!$K$4="CA",'2026'!$K$2=CP271),'2026DATA'!$I$3,"")</f>
        <v/>
      </c>
      <c r="CQ272" s="518" t="str">
        <f>IF(AND(_6="A-350",'2026'!$K$4="CA",'2026'!$K$2=CQ271),'2026DATA'!$J$3,"")</f>
        <v/>
      </c>
      <c r="CR272" s="518" t="str">
        <f>IF(AND(_6="A-350",'2026'!$K$4="CA",'2026'!$K$2=CR271),'2026DATA'!$K$3,"")</f>
        <v/>
      </c>
      <c r="CS272" s="518" t="str">
        <f>IF(AND(_6="A-350",'2026'!$K$4="CA",'2026'!$K$2=CS271),'2026DATA'!$L$3,"")</f>
        <v/>
      </c>
      <c r="CT272" s="518" t="str">
        <f>IF(AND(_6="A-350",'2026'!$K$4="CA",'2026'!$K$2=CT271),'2026DATA'!$M$3,"")</f>
        <v/>
      </c>
      <c r="CU272" s="520" t="str">
        <f>IF(AND(_6="A-350",'2026'!$K$4="CA",'2026'!$K$2=CU271),'2026DATA'!$N$3,"")</f>
        <v/>
      </c>
    </row>
    <row r="273" spans="16:99" x14ac:dyDescent="0.25">
      <c r="P273" s="940"/>
      <c r="Q273" s="13" t="s">
        <v>62</v>
      </c>
      <c r="R273" s="518" t="str">
        <f>IF(AND(_1="A-350",'2026'!$K$4="FO",'2026'!$K$2=R271),'2026DATA'!$C$4,"")</f>
        <v/>
      </c>
      <c r="S273" s="518" t="str">
        <f>IF(AND(_1="A-350",'2026'!$K$4="FO",'2026'!$K$2=S271),'2026DATA'!$D$4,"")</f>
        <v/>
      </c>
      <c r="T273" s="518" t="str">
        <f>IF(AND(_1="A-350",'2026'!$K$4="FO",'2026'!$K$2=T271),'2026DATA'!$E$4,"")</f>
        <v/>
      </c>
      <c r="U273" s="518" t="str">
        <f>IF(AND(_1="A-350",'2026'!$K$4="FO",'2026'!$K$2=U271),'2026DATA'!$F$4,"")</f>
        <v/>
      </c>
      <c r="V273" s="518" t="str">
        <f>IF(AND(_1="A-350",'2026'!$K$4="FO",'2026'!$K$2=V271),'2026DATA'!$G$4,"")</f>
        <v/>
      </c>
      <c r="W273" s="518" t="str">
        <f>IF(AND(_1="A-350",'2026'!$K$4="FO",'2026'!$K$2=W271),'2026DATA'!$H$4,"")</f>
        <v/>
      </c>
      <c r="X273" s="518" t="str">
        <f>IF(AND(_1="A-350",'2026'!$K$4="FO",'2026'!$K$2=X271),'2026DATA'!$I$4,"")</f>
        <v/>
      </c>
      <c r="Y273" s="518" t="str">
        <f>IF(AND(_1="A-350",'2026'!$K$4="FO",'2026'!$K$2=Y271),'2026DATA'!$J$4,"")</f>
        <v/>
      </c>
      <c r="Z273" s="518" t="str">
        <f>IF(AND(_1="A-350",'2026'!$K$4="FO",'2026'!$K$2=Z271),'2026DATA'!$K$4,"")</f>
        <v/>
      </c>
      <c r="AA273" s="518" t="str">
        <f>IF(AND(_1="A-350",'2026'!$K$4="FO",'2026'!$K$2=AA271),'2026DATA'!$L$4,"")</f>
        <v/>
      </c>
      <c r="AB273" s="518" t="str">
        <f>IF(AND(_1="A-350",'2026'!$K$4="FO",'2026'!$K$2=AB271),'2026DATA'!$M$4,"")</f>
        <v/>
      </c>
      <c r="AC273" s="520" t="str">
        <f>IF(AND(_1="A-350",'2026'!$K$4="FO",'2026'!$K$2=AC271),'2026DATA'!$N$4,"")</f>
        <v/>
      </c>
      <c r="AD273" s="940"/>
      <c r="AE273" s="13" t="s">
        <v>62</v>
      </c>
      <c r="AF273" s="518" t="str">
        <f>IF(AND(_2="A-350",'2026'!$K$4="FO",'2026'!$K$2=AF271),'2026DATA'!$C$4,"")</f>
        <v/>
      </c>
      <c r="AG273" s="518" t="str">
        <f>IF(AND(_2="A-350",'2026'!$K$4="FO",'2026'!$K$2=AG271),'2026DATA'!$D$4,"")</f>
        <v/>
      </c>
      <c r="AH273" s="518" t="str">
        <f>IF(AND(_2="A-350",'2026'!$K$4="FO",'2026'!$K$2=AH271),'2026DATA'!$E$4,"")</f>
        <v/>
      </c>
      <c r="AI273" s="518" t="str">
        <f>IF(AND(_2="A-350",'2026'!$K$4="FO",'2026'!$K$2=AI271),'2026DATA'!$F$4,"")</f>
        <v/>
      </c>
      <c r="AJ273" s="518" t="str">
        <f>IF(AND(_2="A-350",'2026'!$K$4="FO",'2026'!$K$2=AJ271),'2026DATA'!$G$4,"")</f>
        <v/>
      </c>
      <c r="AK273" s="518" t="str">
        <f>IF(AND(_2="A-350",'2026'!$K$4="FO",'2026'!$K$2=AK271),'2026DATA'!$H$4,"")</f>
        <v/>
      </c>
      <c r="AL273" s="518" t="str">
        <f>IF(AND(_2="A-350",'2026'!$K$4="FO",'2026'!$K$2=AL271),'2026DATA'!$I$4,"")</f>
        <v/>
      </c>
      <c r="AM273" s="518" t="str">
        <f>IF(AND(_2="A-350",'2026'!$K$4="FO",'2026'!$K$2=AM271),'2026DATA'!$J$4,"")</f>
        <v/>
      </c>
      <c r="AN273" s="518" t="str">
        <f>IF(AND(_2="A-350",'2026'!$K$4="FO",'2026'!$K$2=AN271),'2026DATA'!$K$4,"")</f>
        <v/>
      </c>
      <c r="AO273" s="518" t="str">
        <f>IF(AND(_2="A-350",'2026'!$K$4="FO",'2026'!$K$2=AO271),'2026DATA'!$L$4,"")</f>
        <v/>
      </c>
      <c r="AP273" s="518" t="str">
        <f>IF(AND(_2="A-350",'2026'!$K$4="FO",'2026'!$K$2=AP271),'2026DATA'!$M$4,"")</f>
        <v/>
      </c>
      <c r="AQ273" s="520" t="str">
        <f>IF(AND(_2="A-350",'2026'!$K$4="FO",'2026'!$K$2=AQ271),'2026DATA'!$N$4,"")</f>
        <v/>
      </c>
      <c r="AR273" s="940"/>
      <c r="AS273" s="13" t="s">
        <v>62</v>
      </c>
      <c r="AT273" s="518" t="str">
        <f>IF(AND(_3="A-350",'2026'!$K$4="FO",'2026'!$K$2=AT271),'2026DATA'!$C$4,"")</f>
        <v/>
      </c>
      <c r="AU273" s="518" t="str">
        <f>IF(AND(_3="A-350",'2026'!$K$4="FO",'2026'!$K$2=AU271),'2026DATA'!$D$4,"")</f>
        <v/>
      </c>
      <c r="AV273" s="518" t="str">
        <f>IF(AND(_3="A-350",'2026'!$K$4="FO",'2026'!$K$2=AV271),'2026DATA'!$E$4,"")</f>
        <v/>
      </c>
      <c r="AW273" s="518" t="str">
        <f>IF(AND(_3="A-350",'2026'!$K$4="FO",'2026'!$K$2=AW271),'2026DATA'!$F$4,"")</f>
        <v/>
      </c>
      <c r="AX273" s="518" t="str">
        <f>IF(AND(_3="A-350",'2026'!$K$4="FO",'2026'!$K$2=AX271),'2026DATA'!$G$4,"")</f>
        <v/>
      </c>
      <c r="AY273" s="518" t="str">
        <f>IF(AND(_3="A-350",'2026'!$K$4="FO",'2026'!$K$2=AY271),'2026DATA'!$H$4,"")</f>
        <v/>
      </c>
      <c r="AZ273" s="518" t="str">
        <f>IF(AND(_3="A-350",'2026'!$K$4="FO",'2026'!$K$2=AZ271),'2026DATA'!$I$4,"")</f>
        <v/>
      </c>
      <c r="BA273" s="518" t="str">
        <f>IF(AND(_3="A-350",'2026'!$K$4="FO",'2026'!$K$2=BA271),'2026DATA'!$J$4,"")</f>
        <v/>
      </c>
      <c r="BB273" s="518" t="str">
        <f>IF(AND(_3="A-350",'2026'!$K$4="FO",'2026'!$K$2=BB271),'2026DATA'!$K$4,"")</f>
        <v/>
      </c>
      <c r="BC273" s="518" t="str">
        <f>IF(AND(_3="A-350",'2026'!$K$4="FO",'2026'!$K$2=BC271),'2026DATA'!$L$4,"")</f>
        <v/>
      </c>
      <c r="BD273" s="518" t="str">
        <f>IF(AND(_3="A-350",'2026'!$K$4="FO",'2026'!$K$2=BD271),'2026DATA'!$M$4,"")</f>
        <v/>
      </c>
      <c r="BE273" s="520" t="str">
        <f>IF(AND(_3="A-350",'2026'!$K$4="FO",'2026'!$K$2=BE271),'2026DATA'!$N$4,"")</f>
        <v/>
      </c>
      <c r="BF273" s="940"/>
      <c r="BG273" s="13" t="s">
        <v>62</v>
      </c>
      <c r="BH273" s="518" t="str">
        <f>IF(AND(_4="A-350",'2026'!$K$4="FO",'2026'!$K$2=BH271),'2026DATA'!$C$4,"")</f>
        <v/>
      </c>
      <c r="BI273" s="518" t="str">
        <f>IF(AND(_4="A-350",'2026'!$K$4="FO",'2026'!$K$2=BI271),'2026DATA'!$D$4,"")</f>
        <v/>
      </c>
      <c r="BJ273" s="518" t="str">
        <f>IF(AND(_4="A-350",'2026'!$K$4="FO",'2026'!$K$2=BJ271),'2026DATA'!$E$4,"")</f>
        <v/>
      </c>
      <c r="BK273" s="518" t="str">
        <f>IF(AND(_4="A-350",'2026'!$K$4="FO",'2026'!$K$2=BK271),'2026DATA'!$F$4,"")</f>
        <v/>
      </c>
      <c r="BL273" s="518" t="str">
        <f>IF(AND(_4="A-350",'2026'!$K$4="FO",'2026'!$K$2=BL271),'2026DATA'!$G$4,"")</f>
        <v/>
      </c>
      <c r="BM273" s="518" t="str">
        <f>IF(AND(_4="A-350",'2026'!$K$4="FO",'2026'!$K$2=BM271),'2026DATA'!$H$4,"")</f>
        <v/>
      </c>
      <c r="BN273" s="518" t="str">
        <f>IF(AND(_4="A-350",'2026'!$K$4="FO",'2026'!$K$2=BN271),'2026DATA'!$I$4,"")</f>
        <v/>
      </c>
      <c r="BO273" s="518" t="str">
        <f>IF(AND(_4="A-350",'2026'!$K$4="FO",'2026'!$K$2=BO271),'2026DATA'!$J$4,"")</f>
        <v/>
      </c>
      <c r="BP273" s="518" t="str">
        <f>IF(AND(_4="A-350",'2026'!$K$4="FO",'2026'!$K$2=BP271),'2026DATA'!$K$4,"")</f>
        <v/>
      </c>
      <c r="BQ273" s="518" t="str">
        <f>IF(AND(_4="A-350",'2026'!$K$4="FO",'2026'!$K$2=BQ271),'2026DATA'!$L$4,"")</f>
        <v/>
      </c>
      <c r="BR273" s="518" t="str">
        <f>IF(AND(_4="A-350",'2026'!$K$4="FO",'2026'!$K$2=BR271),'2026DATA'!$M$4,"")</f>
        <v/>
      </c>
      <c r="BS273" s="520" t="str">
        <f>IF(AND(_4="A-350",'2026'!$K$4="FO",'2026'!$K$2=BS271),'2026DATA'!$N$4,"")</f>
        <v/>
      </c>
      <c r="BT273" s="940"/>
      <c r="BU273" s="13" t="s">
        <v>62</v>
      </c>
      <c r="BV273" s="518" t="str">
        <f>IF(AND(_5="A-350",'2026'!$K$4="FO",'2026'!$K$2=BV271),'2026DATA'!$C$4,"")</f>
        <v/>
      </c>
      <c r="BW273" s="518" t="str">
        <f>IF(AND(_5="A-350",'2026'!$K$4="FO",'2026'!$K$2=BW271),'2026DATA'!$D$4,"")</f>
        <v/>
      </c>
      <c r="BX273" s="518" t="str">
        <f>IF(AND(_5="A-350",'2026'!$K$4="FO",'2026'!$K$2=BX271),'2026DATA'!$E$4,"")</f>
        <v/>
      </c>
      <c r="BY273" s="518" t="str">
        <f>IF(AND(_5="A-350",'2026'!$K$4="FO",'2026'!$K$2=BY271),'2026DATA'!$F$4,"")</f>
        <v/>
      </c>
      <c r="BZ273" s="518" t="str">
        <f>IF(AND(_5="A-350",'2026'!$K$4="FO",'2026'!$K$2=BZ271),'2026DATA'!$G$4,"")</f>
        <v/>
      </c>
      <c r="CA273" s="518" t="str">
        <f>IF(AND(_5="A-350",'2026'!$K$4="FO",'2026'!$K$2=CA271),'2026DATA'!$H$4,"")</f>
        <v/>
      </c>
      <c r="CB273" s="518" t="str">
        <f>IF(AND(_5="A-350",'2026'!$K$4="FO",'2026'!$K$2=CB271),'2026DATA'!$I$4,"")</f>
        <v/>
      </c>
      <c r="CC273" s="518" t="str">
        <f>IF(AND(_5="A-350",'2026'!$K$4="FO",'2026'!$K$2=CC271),'2026DATA'!$J$4,"")</f>
        <v/>
      </c>
      <c r="CD273" s="518" t="str">
        <f>IF(AND(_5="A-350",'2026'!$K$4="FO",'2026'!$K$2=CD271),'2026DATA'!$K$4,"")</f>
        <v/>
      </c>
      <c r="CE273" s="518" t="str">
        <f>IF(AND(_5="A-350",'2026'!$K$4="FO",'2026'!$K$2=CE271),'2026DATA'!$L$4,"")</f>
        <v/>
      </c>
      <c r="CF273" s="518" t="str">
        <f>IF(AND(_5="A-350",'2026'!$K$4="FO",'2026'!$K$2=CF271),'2026DATA'!$M$4,"")</f>
        <v/>
      </c>
      <c r="CG273" s="520" t="str">
        <f>IF(AND(_5="A-350",'2026'!$K$4="FO",'2026'!$K$2=CG271),'2026DATA'!$N$4,"")</f>
        <v/>
      </c>
      <c r="CH273" s="940"/>
      <c r="CI273" s="13" t="s">
        <v>62</v>
      </c>
      <c r="CJ273" s="518" t="str">
        <f>IF(AND(_6="A-350",'2026'!$K$4="FO",'2026'!$K$2=CJ271),'2026DATA'!$C$4,"")</f>
        <v/>
      </c>
      <c r="CK273" s="518" t="str">
        <f>IF(AND(_6="A-350",'2026'!$K$4="FO",'2026'!$K$2=CK271),'2026DATA'!$D$4,"")</f>
        <v/>
      </c>
      <c r="CL273" s="518" t="str">
        <f>IF(AND(_6="A-350",'2026'!$K$4="FO",'2026'!$K$2=CL271),'2026DATA'!$E$4,"")</f>
        <v/>
      </c>
      <c r="CM273" s="518" t="str">
        <f>IF(AND(_6="A-350",'2026'!$K$4="FO",'2026'!$K$2=CM271),'2026DATA'!$F$4,"")</f>
        <v/>
      </c>
      <c r="CN273" s="518" t="str">
        <f>IF(AND(_6="A-350",'2026'!$K$4="FO",'2026'!$K$2=CN271),'2026DATA'!$G$4,"")</f>
        <v/>
      </c>
      <c r="CO273" s="518" t="str">
        <f>IF(AND(_6="A-350",'2026'!$K$4="FO",'2026'!$K$2=CO271),'2026DATA'!$H$4,"")</f>
        <v/>
      </c>
      <c r="CP273" s="518" t="str">
        <f>IF(AND(_6="A-350",'2026'!$K$4="FO",'2026'!$K$2=CP271),'2026DATA'!$I$4,"")</f>
        <v/>
      </c>
      <c r="CQ273" s="518" t="str">
        <f>IF(AND(_6="A-350",'2026'!$K$4="FO",'2026'!$K$2=CQ271),'2026DATA'!$J$4,"")</f>
        <v/>
      </c>
      <c r="CR273" s="518" t="str">
        <f>IF(AND(_6="A-350",'2026'!$K$4="FO",'2026'!$K$2=CR271),'2026DATA'!$K$4,"")</f>
        <v/>
      </c>
      <c r="CS273" s="518" t="str">
        <f>IF(AND(_6="A-350",'2026'!$K$4="FO",'2026'!$K$2=CS271),'2026DATA'!$L$4,"")</f>
        <v/>
      </c>
      <c r="CT273" s="518" t="str">
        <f>IF(AND(_6="A-350",'2026'!$K$4="FO",'2026'!$K$2=CT271),'2026DATA'!$M$4,"")</f>
        <v/>
      </c>
      <c r="CU273" s="520" t="str">
        <f>IF(AND(_6="A-350",'2026'!$K$4="FO",'2026'!$K$2=CU271),'2026DATA'!$N$4,"")</f>
        <v/>
      </c>
    </row>
    <row r="274" spans="16:99" x14ac:dyDescent="0.25">
      <c r="P274" s="940" t="s">
        <v>65</v>
      </c>
      <c r="Q274" s="13" t="s">
        <v>61</v>
      </c>
      <c r="R274" s="518" t="str">
        <f>IF(AND(_1="A-330-900",'2026'!$K$4="CA",'2026'!$K$2=R271),'2026DATA'!$C$5,"")</f>
        <v/>
      </c>
      <c r="S274" s="518" t="str">
        <f>IF(AND(_1="A-330-900",'2026'!$K$4="CA",'2026'!$K$2=S271),'2026DATA'!$D$5,"")</f>
        <v/>
      </c>
      <c r="T274" s="518" t="str">
        <f>IF(AND(_1="A-330-900",'2026'!$K$4="CA",'2026'!$K$2=T271),'2026DATA'!$E$5,"")</f>
        <v/>
      </c>
      <c r="U274" s="518" t="str">
        <f>IF(AND(_1="A-330-900",'2026'!$K$4="CA",'2026'!$K$2=U271),'2026DATA'!$F$5,"")</f>
        <v/>
      </c>
      <c r="V274" s="518" t="str">
        <f>IF(AND(_1="A-330-900",'2026'!$K$4="CA",'2026'!$K$2=V271),'2026DATA'!$G$5,"")</f>
        <v/>
      </c>
      <c r="W274" s="518" t="str">
        <f>IF(AND(_1="A-330-900",'2026'!$K$4="CA",'2026'!$K$2=W271),'2026DATA'!$H$5,"")</f>
        <v/>
      </c>
      <c r="X274" s="518" t="str">
        <f>IF(AND(_1="A-330-900",'2026'!$K$4="CA",'2026'!$K$2=X271),'2026DATA'!$I$5,"")</f>
        <v/>
      </c>
      <c r="Y274" s="518" t="str">
        <f>IF(AND(_1="A-330-900",'2026'!$K$4="CA",'2026'!$K$2=Y271),'2026DATA'!$J$5,"")</f>
        <v/>
      </c>
      <c r="Z274" s="518" t="str">
        <f>IF(AND(_1="A-330-900",'2026'!$K$4="CA",'2026'!$K$2=Z271),'2026DATA'!$K$5,"")</f>
        <v/>
      </c>
      <c r="AA274" s="518" t="str">
        <f>IF(AND(_1="A-330-900",'2026'!$K$4="CA",'2026'!$K$2=AA271),'2026DATA'!$L$5,"")</f>
        <v/>
      </c>
      <c r="AB274" s="518" t="str">
        <f>IF(AND(_1="A-330-900",'2026'!$K$4="CA",'2026'!$K$2=AB271),'2026DATA'!$M$5,"")</f>
        <v/>
      </c>
      <c r="AC274" s="520" t="str">
        <f>IF(AND(_1="A-330-900",'2026'!$K$4="CA",'2026'!$K$2=AC271),'2026DATA'!$N$5,"")</f>
        <v/>
      </c>
      <c r="AD274" s="940" t="s">
        <v>65</v>
      </c>
      <c r="AE274" s="13" t="s">
        <v>61</v>
      </c>
      <c r="AF274" s="518" t="str">
        <f>IF(AND(_2="A-330-900",'2026'!$K$4="CA",'2026'!$K$2=AF271),'2026DATA'!$C$5,"")</f>
        <v/>
      </c>
      <c r="AG274" s="518" t="str">
        <f>IF(AND(_2="A-330-900",'2026'!$K$4="CA",'2026'!$K$2=AG271),'2026DATA'!$D$5,"")</f>
        <v/>
      </c>
      <c r="AH274" s="518" t="str">
        <f>IF(AND(_2="A-330-900",'2026'!$K$4="CA",'2026'!$K$2=AH271),'2026DATA'!$E$5,"")</f>
        <v/>
      </c>
      <c r="AI274" s="518" t="str">
        <f>IF(AND(_2="A-330-900",'2026'!$K$4="CA",'2026'!$K$2=AI271),'2026DATA'!$F$5,"")</f>
        <v/>
      </c>
      <c r="AJ274" s="518" t="str">
        <f>IF(AND(_2="A-330-900",'2026'!$K$4="CA",'2026'!$K$2=AJ271),'2026DATA'!$G$5,"")</f>
        <v/>
      </c>
      <c r="AK274" s="518" t="str">
        <f>IF(AND(_2="A-330-900",'2026'!$K$4="CA",'2026'!$K$2=AK271),'2026DATA'!$H$5,"")</f>
        <v/>
      </c>
      <c r="AL274" s="518" t="str">
        <f>IF(AND(_2="A-330-900",'2026'!$K$4="CA",'2026'!$K$2=AL271),'2026DATA'!$I$5,"")</f>
        <v/>
      </c>
      <c r="AM274" s="518" t="str">
        <f>IF(AND(_2="A-330-900",'2026'!$K$4="CA",'2026'!$K$2=AM271),'2026DATA'!$J$5,"")</f>
        <v/>
      </c>
      <c r="AN274" s="518" t="str">
        <f>IF(AND(_2="A-330-900",'2026'!$K$4="CA",'2026'!$K$2=AN271),'2026DATA'!$K$5,"")</f>
        <v/>
      </c>
      <c r="AO274" s="518" t="str">
        <f>IF(AND(_2="A-330-900",'2026'!$K$4="CA",'2026'!$K$2=AO271),'2026DATA'!$L$5,"")</f>
        <v/>
      </c>
      <c r="AP274" s="518" t="str">
        <f>IF(AND(_2="A-330-900",'2026'!$K$4="CA",'2026'!$K$2=AP271),'2026DATA'!$M$5,"")</f>
        <v/>
      </c>
      <c r="AQ274" s="520" t="str">
        <f>IF(AND(_2="A-330-900",'2026'!$K$4="CA",'2026'!$K$2=AQ271),'2026DATA'!$N$5,"")</f>
        <v/>
      </c>
      <c r="AR274" s="940" t="s">
        <v>65</v>
      </c>
      <c r="AS274" s="13" t="s">
        <v>61</v>
      </c>
      <c r="AT274" s="518" t="str">
        <f>IF(AND(_3="A-330-900",'2026'!$K$4="CA",'2026'!$K$2=AT271),'2026DATA'!$C$5,"")</f>
        <v/>
      </c>
      <c r="AU274" s="518" t="str">
        <f>IF(AND(_3="A-330-900",'2026'!$K$4="CA",'2026'!$K$2=AU271),'2026DATA'!$D$5,"")</f>
        <v/>
      </c>
      <c r="AV274" s="518" t="str">
        <f>IF(AND(_3="A-330-900",'2026'!$K$4="CA",'2026'!$K$2=AV271),'2026DATA'!$E$5,"")</f>
        <v/>
      </c>
      <c r="AW274" s="518" t="str">
        <f>IF(AND(_3="A-330-900",'2026'!$K$4="CA",'2026'!$K$2=AW271),'2026DATA'!$F$5,"")</f>
        <v/>
      </c>
      <c r="AX274" s="518" t="str">
        <f>IF(AND(_3="A-330-900",'2026'!$K$4="CA",'2026'!$K$2=AX271),'2026DATA'!$G$5,"")</f>
        <v/>
      </c>
      <c r="AY274" s="518" t="str">
        <f>IF(AND(_3="A-330-900",'2026'!$K$4="CA",'2026'!$K$2=AY271),'2026DATA'!$H$5,"")</f>
        <v/>
      </c>
      <c r="AZ274" s="518" t="str">
        <f>IF(AND(_3="A-330-900",'2026'!$K$4="CA",'2026'!$K$2=AZ271),'2026DATA'!$I$5,"")</f>
        <v/>
      </c>
      <c r="BA274" s="518" t="str">
        <f>IF(AND(_3="A-330-900",'2026'!$K$4="CA",'2026'!$K$2=BA271),'2026DATA'!$J$5,"")</f>
        <v/>
      </c>
      <c r="BB274" s="518" t="str">
        <f>IF(AND(_3="A-330-900",'2026'!$K$4="CA",'2026'!$K$2=BB271),'2026DATA'!$K$5,"")</f>
        <v/>
      </c>
      <c r="BC274" s="518" t="str">
        <f>IF(AND(_3="A-330-900",'2026'!$K$4="CA",'2026'!$K$2=BC271),'2026DATA'!$L$5,"")</f>
        <v/>
      </c>
      <c r="BD274" s="518" t="str">
        <f>IF(AND(_3="A-330-900",'2026'!$K$4="CA",'2026'!$K$2=BD271),'2026DATA'!$M$5,"")</f>
        <v/>
      </c>
      <c r="BE274" s="520" t="str">
        <f>IF(AND(_3="A-330-900",'2026'!$K$4="CA",'2026'!$K$2=BE271),'2026DATA'!$N$5,"")</f>
        <v/>
      </c>
      <c r="BF274" s="940" t="s">
        <v>65</v>
      </c>
      <c r="BG274" s="13" t="s">
        <v>61</v>
      </c>
      <c r="BH274" s="518" t="str">
        <f>IF(AND(_4="A-330-900",'2026'!$K$4="CA",'2026'!$K$2=BH271),'2026DATA'!$C$5,"")</f>
        <v/>
      </c>
      <c r="BI274" s="518" t="str">
        <f>IF(AND(_4="A-330-900",'2026'!$K$4="CA",'2026'!$K$2=BI271),'2026DATA'!$D$5,"")</f>
        <v/>
      </c>
      <c r="BJ274" s="518" t="str">
        <f>IF(AND(_4="A-330-900",'2026'!$K$4="CA",'2026'!$K$2=BJ271),'2026DATA'!$E$5,"")</f>
        <v/>
      </c>
      <c r="BK274" s="518" t="str">
        <f>IF(AND(_4="A-330-900",'2026'!$K$4="CA",'2026'!$K$2=BK271),'2026DATA'!$F$5,"")</f>
        <v/>
      </c>
      <c r="BL274" s="518" t="str">
        <f>IF(AND(_4="A-330-900",'2026'!$K$4="CA",'2026'!$K$2=BL271),'2026DATA'!$G$5,"")</f>
        <v/>
      </c>
      <c r="BM274" s="518" t="str">
        <f>IF(AND(_4="A-330-900",'2026'!$K$4="CA",'2026'!$K$2=BM271),'2026DATA'!$H$5,"")</f>
        <v/>
      </c>
      <c r="BN274" s="518" t="str">
        <f>IF(AND(_4="A-330-900",'2026'!$K$4="CA",'2026'!$K$2=BN271),'2026DATA'!$I$5,"")</f>
        <v/>
      </c>
      <c r="BO274" s="518" t="str">
        <f>IF(AND(_4="A-330-900",'2026'!$K$4="CA",'2026'!$K$2=BO271),'2026DATA'!$J$5,"")</f>
        <v/>
      </c>
      <c r="BP274" s="518" t="str">
        <f>IF(AND(_4="A-330-900",'2026'!$K$4="CA",'2026'!$K$2=BP271),'2026DATA'!$K$5,"")</f>
        <v/>
      </c>
      <c r="BQ274" s="518" t="str">
        <f>IF(AND(_4="A-330-900",'2026'!$K$4="CA",'2026'!$K$2=BQ271),'2026DATA'!$L$5,"")</f>
        <v/>
      </c>
      <c r="BR274" s="518" t="str">
        <f>IF(AND(_4="A-330-900",'2026'!$K$4="CA",'2026'!$K$2=BR271),'2026DATA'!$M$5,"")</f>
        <v/>
      </c>
      <c r="BS274" s="520" t="str">
        <f>IF(AND(_4="A-330-900",'2026'!$K$4="CA",'2026'!$K$2=BS271),'2026DATA'!$N$5,"")</f>
        <v/>
      </c>
      <c r="BT274" s="940" t="s">
        <v>65</v>
      </c>
      <c r="BU274" s="13" t="s">
        <v>61</v>
      </c>
      <c r="BV274" s="518" t="str">
        <f>IF(AND(_5="A-330-900",'2026'!$K$4="CA",'2026'!$K$2=BV271),'2026DATA'!$C$5,"")</f>
        <v/>
      </c>
      <c r="BW274" s="518" t="str">
        <f>IF(AND(_5="A-330-900",'2026'!$K$4="CA",'2026'!$K$2=BW271),'2026DATA'!$D$5,"")</f>
        <v/>
      </c>
      <c r="BX274" s="518" t="str">
        <f>IF(AND(_5="A-330-900",'2026'!$K$4="CA",'2026'!$K$2=BX271),'2026DATA'!$E$5,"")</f>
        <v/>
      </c>
      <c r="BY274" s="518" t="str">
        <f>IF(AND(_5="A-330-900",'2026'!$K$4="CA",'2026'!$K$2=BY271),'2026DATA'!$F$5,"")</f>
        <v/>
      </c>
      <c r="BZ274" s="518" t="str">
        <f>IF(AND(_5="A-330-900",'2026'!$K$4="CA",'2026'!$K$2=BZ271),'2026DATA'!$G$5,"")</f>
        <v/>
      </c>
      <c r="CA274" s="518" t="str">
        <f>IF(AND(_5="A-330-900",'2026'!$K$4="CA",'2026'!$K$2=CA271),'2026DATA'!$H$5,"")</f>
        <v/>
      </c>
      <c r="CB274" s="518" t="str">
        <f>IF(AND(_5="A-330-900",'2026'!$K$4="CA",'2026'!$K$2=CB271),'2026DATA'!$I$5,"")</f>
        <v/>
      </c>
      <c r="CC274" s="518" t="str">
        <f>IF(AND(_5="A-330-900",'2026'!$K$4="CA",'2026'!$K$2=CC271),'2026DATA'!$J$5,"")</f>
        <v/>
      </c>
      <c r="CD274" s="518" t="str">
        <f>IF(AND(_5="A-330-900",'2026'!$K$4="CA",'2026'!$K$2=CD271),'2026DATA'!$K$5,"")</f>
        <v/>
      </c>
      <c r="CE274" s="518" t="str">
        <f>IF(AND(_5="A-330-900",'2026'!$K$4="CA",'2026'!$K$2=CE271),'2026DATA'!$L$5,"")</f>
        <v/>
      </c>
      <c r="CF274" s="518" t="str">
        <f>IF(AND(_5="A-330-900",'2026'!$K$4="CA",'2026'!$K$2=CF271),'2026DATA'!$M$5,"")</f>
        <v/>
      </c>
      <c r="CG274" s="520" t="str">
        <f>IF(AND(_5="A-330-900",'2026'!$K$4="CA",'2026'!$K$2=CG271),'2026DATA'!$N$5,"")</f>
        <v/>
      </c>
      <c r="CH274" s="940" t="s">
        <v>65</v>
      </c>
      <c r="CI274" s="13" t="s">
        <v>61</v>
      </c>
      <c r="CJ274" s="518" t="str">
        <f>IF(AND(_6="A-330-900",'2026'!$K$4="CA",'2026'!$K$2=CJ271),'2026DATA'!$C$5,"")</f>
        <v/>
      </c>
      <c r="CK274" s="518" t="str">
        <f>IF(AND(_6="A-330-900",'2026'!$K$4="CA",'2026'!$K$2=CK271),'2026DATA'!$D$5,"")</f>
        <v/>
      </c>
      <c r="CL274" s="518" t="str">
        <f>IF(AND(_6="A-330-900",'2026'!$K$4="CA",'2026'!$K$2=CL271),'2026DATA'!$E$5,"")</f>
        <v/>
      </c>
      <c r="CM274" s="518" t="str">
        <f>IF(AND(_6="A-330-900",'2026'!$K$4="CA",'2026'!$K$2=CM271),'2026DATA'!$F$5,"")</f>
        <v/>
      </c>
      <c r="CN274" s="518" t="str">
        <f>IF(AND(_6="A-330-900",'2026'!$K$4="CA",'2026'!$K$2=CN271),'2026DATA'!$G$5,"")</f>
        <v/>
      </c>
      <c r="CO274" s="518" t="str">
        <f>IF(AND(_6="A-330-900",'2026'!$K$4="CA",'2026'!$K$2=CO271),'2026DATA'!$H$5,"")</f>
        <v/>
      </c>
      <c r="CP274" s="518" t="str">
        <f>IF(AND(_6="A-330-900",'2026'!$K$4="CA",'2026'!$K$2=CP271),'2026DATA'!$I$5,"")</f>
        <v/>
      </c>
      <c r="CQ274" s="518" t="str">
        <f>IF(AND(_6="A-330-900",'2026'!$K$4="CA",'2026'!$K$2=CQ271),'2026DATA'!$J$5,"")</f>
        <v/>
      </c>
      <c r="CR274" s="518" t="str">
        <f>IF(AND(_6="A-330-900",'2026'!$K$4="CA",'2026'!$K$2=CR271),'2026DATA'!$K$5,"")</f>
        <v/>
      </c>
      <c r="CS274" s="518" t="str">
        <f>IF(AND(_6="A-330-900",'2026'!$K$4="CA",'2026'!$K$2=CS271),'2026DATA'!$L$5,"")</f>
        <v/>
      </c>
      <c r="CT274" s="518" t="str">
        <f>IF(AND(_6="A-330-900",'2026'!$K$4="CA",'2026'!$K$2=CT271),'2026DATA'!$M$5,"")</f>
        <v/>
      </c>
      <c r="CU274" s="520" t="str">
        <f>IF(AND(_6="A-330-900",'2026'!$K$4="CA",'2026'!$K$2=CU271),'2026DATA'!$N$5,"")</f>
        <v/>
      </c>
    </row>
    <row r="275" spans="16:99" x14ac:dyDescent="0.25">
      <c r="P275" s="940"/>
      <c r="Q275" s="13" t="s">
        <v>62</v>
      </c>
      <c r="R275" s="518" t="str">
        <f>IF(AND(_1="A-330-900",'2026'!$K$4="FO",'2026'!$K$2=R271),'2026DATA'!$C$6,"")</f>
        <v/>
      </c>
      <c r="S275" s="518" t="str">
        <f>IF(AND(_1="A-330-900",'2026'!$K$4="FO",'2026'!$K$2=S271),'2026DATA'!$D$6,"")</f>
        <v/>
      </c>
      <c r="T275" s="518" t="str">
        <f>IF(AND(_1="A-330-900",'2026'!$K$4="FO",'2026'!$K$2=T271),'2026DATA'!$E$6,"")</f>
        <v/>
      </c>
      <c r="U275" s="518" t="str">
        <f>IF(AND(_1="A-330-900",'2026'!$K$4="FO",'2026'!$K$2=U271),'2026DATA'!$F$6,"")</f>
        <v/>
      </c>
      <c r="V275" s="518" t="str">
        <f>IF(AND(_1="A-330-900",'2026'!$K$4="FO",'2026'!$K$2=V271),'2026DATA'!$G$6,"")</f>
        <v/>
      </c>
      <c r="W275" s="518" t="str">
        <f>IF(AND(_1="A-330-900",'2026'!$K$4="FO",'2026'!$K$2=W271),'2026DATA'!$H$6,"")</f>
        <v/>
      </c>
      <c r="X275" s="518" t="str">
        <f>IF(AND(_1="A-330-900",'2026'!$K$4="FO",'2026'!$K$2=X271),'2026DATA'!$I$6,"")</f>
        <v/>
      </c>
      <c r="Y275" s="518" t="str">
        <f>IF(AND(_1="A-330-900",'2026'!$K$4="FO",'2026'!$K$2=Y271),'2026DATA'!$J$6,"")</f>
        <v/>
      </c>
      <c r="Z275" s="518" t="str">
        <f>IF(AND(_1="A-330-900",'2026'!$K$4="FO",'2026'!$K$2=Z271),'2026DATA'!$K$6,"")</f>
        <v/>
      </c>
      <c r="AA275" s="518" t="str">
        <f>IF(AND(_1="A-330-900",'2026'!$K$4="FO",'2026'!$K$2=AA271),'2026DATA'!$L$6,"")</f>
        <v/>
      </c>
      <c r="AB275" s="518" t="str">
        <f>IF(AND(_1="A-330-900",'2026'!$K$4="FO",'2026'!$K$2=AB271),'2026DATA'!$M$6,"")</f>
        <v/>
      </c>
      <c r="AC275" s="520" t="str">
        <f>IF(AND(_1="A-330-900",'2026'!$K$4="FO",'2026'!$K$2=AC271),'2026DATA'!$N$6,"")</f>
        <v/>
      </c>
      <c r="AD275" s="940"/>
      <c r="AE275" s="13" t="s">
        <v>62</v>
      </c>
      <c r="AF275" s="518" t="str">
        <f>IF(AND(_2="A-330-900",'2026'!$K$4="FO",'2026'!$K$2=AF271),'2026DATA'!$C$6,"")</f>
        <v/>
      </c>
      <c r="AG275" s="518" t="str">
        <f>IF(AND(_2="A-330-900",'2026'!$K$4="FO",'2026'!$K$2=AG271),'2026DATA'!$D$6,"")</f>
        <v/>
      </c>
      <c r="AH275" s="518" t="str">
        <f>IF(AND(_2="A-330-900",'2026'!$K$4="FO",'2026'!$K$2=AH271),'2026DATA'!$E$6,"")</f>
        <v/>
      </c>
      <c r="AI275" s="518" t="str">
        <f>IF(AND(_2="A-330-900",'2026'!$K$4="FO",'2026'!$K$2=AI271),'2026DATA'!$F$6,"")</f>
        <v/>
      </c>
      <c r="AJ275" s="518" t="str">
        <f>IF(AND(_2="A-330-900",'2026'!$K$4="FO",'2026'!$K$2=AJ271),'2026DATA'!$G$6,"")</f>
        <v/>
      </c>
      <c r="AK275" s="518" t="str">
        <f>IF(AND(_2="A-330-900",'2026'!$K$4="FO",'2026'!$K$2=AK271),'2026DATA'!$H$6,"")</f>
        <v/>
      </c>
      <c r="AL275" s="518" t="str">
        <f>IF(AND(_2="A-330-900",'2026'!$K$4="FO",'2026'!$K$2=AL271),'2026DATA'!$I$6,"")</f>
        <v/>
      </c>
      <c r="AM275" s="518" t="str">
        <f>IF(AND(_2="A-330-900",'2026'!$K$4="FO",'2026'!$K$2=AM271),'2026DATA'!$J$6,"")</f>
        <v/>
      </c>
      <c r="AN275" s="518" t="str">
        <f>IF(AND(_2="A-330-900",'2026'!$K$4="FO",'2026'!$K$2=AN271),'2026DATA'!$K$6,"")</f>
        <v/>
      </c>
      <c r="AO275" s="518" t="str">
        <f>IF(AND(_2="A-330-900",'2026'!$K$4="FO",'2026'!$K$2=AO271),'2026DATA'!$L$6,"")</f>
        <v/>
      </c>
      <c r="AP275" s="518" t="str">
        <f>IF(AND(_2="A-330-900",'2026'!$K$4="FO",'2026'!$K$2=AP271),'2026DATA'!$M$6,"")</f>
        <v/>
      </c>
      <c r="AQ275" s="520" t="str">
        <f>IF(AND(_2="A-330-900",'2026'!$K$4="FO",'2026'!$K$2=AQ271),'2026DATA'!$N$6,"")</f>
        <v/>
      </c>
      <c r="AR275" s="940"/>
      <c r="AS275" s="13" t="s">
        <v>62</v>
      </c>
      <c r="AT275" s="518" t="str">
        <f>IF(AND(_3="A-330-900",'2026'!$K$4="FO",'2026'!$K$2=AT271),'2026DATA'!$C$6,"")</f>
        <v/>
      </c>
      <c r="AU275" s="518" t="str">
        <f>IF(AND(_3="A-330-900",'2026'!$K$4="FO",'2026'!$K$2=AU271),'2026DATA'!$D$6,"")</f>
        <v/>
      </c>
      <c r="AV275" s="518" t="str">
        <f>IF(AND(_3="A-330-900",'2026'!$K$4="FO",'2026'!$K$2=AV271),'2026DATA'!$E$6,"")</f>
        <v/>
      </c>
      <c r="AW275" s="518" t="str">
        <f>IF(AND(_3="A-330-900",'2026'!$K$4="FO",'2026'!$K$2=AW271),'2026DATA'!$F$6,"")</f>
        <v/>
      </c>
      <c r="AX275" s="518" t="str">
        <f>IF(AND(_3="A-330-900",'2026'!$K$4="FO",'2026'!$K$2=AX271),'2026DATA'!$G$6,"")</f>
        <v/>
      </c>
      <c r="AY275" s="518" t="str">
        <f>IF(AND(_3="A-330-900",'2026'!$K$4="FO",'2026'!$K$2=AY271),'2026DATA'!$H$6,"")</f>
        <v/>
      </c>
      <c r="AZ275" s="518" t="str">
        <f>IF(AND(_3="A-330-900",'2026'!$K$4="FO",'2026'!$K$2=AZ271),'2026DATA'!$I$6,"")</f>
        <v/>
      </c>
      <c r="BA275" s="518" t="str">
        <f>IF(AND(_3="A-330-900",'2026'!$K$4="FO",'2026'!$K$2=BA271),'2026DATA'!$J$6,"")</f>
        <v/>
      </c>
      <c r="BB275" s="518" t="str">
        <f>IF(AND(_3="A-330-900",'2026'!$K$4="FO",'2026'!$K$2=BB271),'2026DATA'!$K$6,"")</f>
        <v/>
      </c>
      <c r="BC275" s="518" t="str">
        <f>IF(AND(_3="A-330-900",'2026'!$K$4="FO",'2026'!$K$2=BC271),'2026DATA'!$L$6,"")</f>
        <v/>
      </c>
      <c r="BD275" s="518" t="str">
        <f>IF(AND(_3="A-330-900",'2026'!$K$4="FO",'2026'!$K$2=BD271),'2026DATA'!$M$6,"")</f>
        <v/>
      </c>
      <c r="BE275" s="520" t="str">
        <f>IF(AND(_3="A-330-900",'2026'!$K$4="FO",'2026'!$K$2=BE271),'2026DATA'!$N$6,"")</f>
        <v/>
      </c>
      <c r="BF275" s="940"/>
      <c r="BG275" s="13" t="s">
        <v>62</v>
      </c>
      <c r="BH275" s="518" t="str">
        <f>IF(AND(_4="A-330-900",'2026'!$K$4="FO",'2026'!$K$2=BH271),'2026DATA'!$C$6,"")</f>
        <v/>
      </c>
      <c r="BI275" s="518" t="str">
        <f>IF(AND(_4="A-330-900",'2026'!$K$4="FO",'2026'!$K$2=BI271),'2026DATA'!$D$6,"")</f>
        <v/>
      </c>
      <c r="BJ275" s="518" t="str">
        <f>IF(AND(_4="A-330-900",'2026'!$K$4="FO",'2026'!$K$2=BJ271),'2026DATA'!$E$6,"")</f>
        <v/>
      </c>
      <c r="BK275" s="518" t="str">
        <f>IF(AND(_4="A-330-900",'2026'!$K$4="FO",'2026'!$K$2=BK271),'2026DATA'!$F$6,"")</f>
        <v/>
      </c>
      <c r="BL275" s="518" t="str">
        <f>IF(AND(_4="A-330-900",'2026'!$K$4="FO",'2026'!$K$2=BL271),'2026DATA'!$G$6,"")</f>
        <v/>
      </c>
      <c r="BM275" s="518" t="str">
        <f>IF(AND(_4="A-330-900",'2026'!$K$4="FO",'2026'!$K$2=BM271),'2026DATA'!$H$6,"")</f>
        <v/>
      </c>
      <c r="BN275" s="518" t="str">
        <f>IF(AND(_4="A-330-900",'2026'!$K$4="FO",'2026'!$K$2=BN271),'2026DATA'!$I$6,"")</f>
        <v/>
      </c>
      <c r="BO275" s="518" t="str">
        <f>IF(AND(_4="A-330-900",'2026'!$K$4="FO",'2026'!$K$2=BO271),'2026DATA'!$J$6,"")</f>
        <v/>
      </c>
      <c r="BP275" s="518" t="str">
        <f>IF(AND(_4="A-330-900",'2026'!$K$4="FO",'2026'!$K$2=BP271),'2026DATA'!$K$6,"")</f>
        <v/>
      </c>
      <c r="BQ275" s="518" t="str">
        <f>IF(AND(_4="A-330-900",'2026'!$K$4="FO",'2026'!$K$2=BQ271),'2026DATA'!$L$6,"")</f>
        <v/>
      </c>
      <c r="BR275" s="518" t="str">
        <f>IF(AND(_4="A-330-900",'2026'!$K$4="FO",'2026'!$K$2=BR271),'2026DATA'!$M$6,"")</f>
        <v/>
      </c>
      <c r="BS275" s="520" t="str">
        <f>IF(AND(_4="A-330-900",'2026'!$K$4="FO",'2026'!$K$2=BS271),'2026DATA'!$N$6,"")</f>
        <v/>
      </c>
      <c r="BT275" s="940"/>
      <c r="BU275" s="13" t="s">
        <v>62</v>
      </c>
      <c r="BV275" s="518" t="str">
        <f>IF(AND(_5="A-330-900",'2026'!$K$4="FO",'2026'!$K$2=BV271),'2026DATA'!$C$6,"")</f>
        <v/>
      </c>
      <c r="BW275" s="518" t="str">
        <f>IF(AND(_5="A-330-900",'2026'!$K$4="FO",'2026'!$K$2=BW271),'2026DATA'!$D$6,"")</f>
        <v/>
      </c>
      <c r="BX275" s="518" t="str">
        <f>IF(AND(_5="A-330-900",'2026'!$K$4="FO",'2026'!$K$2=BX271),'2026DATA'!$E$6,"")</f>
        <v/>
      </c>
      <c r="BY275" s="518" t="str">
        <f>IF(AND(_5="A-330-900",'2026'!$K$4="FO",'2026'!$K$2=BY271),'2026DATA'!$F$6,"")</f>
        <v/>
      </c>
      <c r="BZ275" s="518" t="str">
        <f>IF(AND(_5="A-330-900",'2026'!$K$4="FO",'2026'!$K$2=BZ271),'2026DATA'!$G$6,"")</f>
        <v/>
      </c>
      <c r="CA275" s="518" t="str">
        <f>IF(AND(_5="A-330-900",'2026'!$K$4="FO",'2026'!$K$2=CA271),'2026DATA'!$H$6,"")</f>
        <v/>
      </c>
      <c r="CB275" s="518" t="str">
        <f>IF(AND(_5="A-330-900",'2026'!$K$4="FO",'2026'!$K$2=CB271),'2026DATA'!$I$6,"")</f>
        <v/>
      </c>
      <c r="CC275" s="518" t="str">
        <f>IF(AND(_5="A-330-900",'2026'!$K$4="FO",'2026'!$K$2=CC271),'2026DATA'!$J$6,"")</f>
        <v/>
      </c>
      <c r="CD275" s="518" t="str">
        <f>IF(AND(_5="A-330-900",'2026'!$K$4="FO",'2026'!$K$2=CD271),'2026DATA'!$K$6,"")</f>
        <v/>
      </c>
      <c r="CE275" s="518" t="str">
        <f>IF(AND(_5="A-330-900",'2026'!$K$4="FO",'2026'!$K$2=CE271),'2026DATA'!$L$6,"")</f>
        <v/>
      </c>
      <c r="CF275" s="518" t="str">
        <f>IF(AND(_5="A-330-900",'2026'!$K$4="FO",'2026'!$K$2=CF271),'2026DATA'!$M$6,"")</f>
        <v/>
      </c>
      <c r="CG275" s="520" t="str">
        <f>IF(AND(_5="A-330-900",'2026'!$K$4="FO",'2026'!$K$2=CG271),'2026DATA'!$N$6,"")</f>
        <v/>
      </c>
      <c r="CH275" s="940"/>
      <c r="CI275" s="13" t="s">
        <v>62</v>
      </c>
      <c r="CJ275" s="518" t="str">
        <f>IF(AND(_6="A-330-900",'2026'!$K$4="FO",'2026'!$K$2=CJ271),'2026DATA'!$C$6,"")</f>
        <v/>
      </c>
      <c r="CK275" s="518" t="str">
        <f>IF(AND(_6="A-330-900",'2026'!$K$4="FO",'2026'!$K$2=CK271),'2026DATA'!$D$6,"")</f>
        <v/>
      </c>
      <c r="CL275" s="518" t="str">
        <f>IF(AND(_6="A-330-900",'2026'!$K$4="FO",'2026'!$K$2=CL271),'2026DATA'!$E$6,"")</f>
        <v/>
      </c>
      <c r="CM275" s="518" t="str">
        <f>IF(AND(_6="A-330-900",'2026'!$K$4="FO",'2026'!$K$2=CM271),'2026DATA'!$F$6,"")</f>
        <v/>
      </c>
      <c r="CN275" s="518" t="str">
        <f>IF(AND(_6="A-330-900",'2026'!$K$4="FO",'2026'!$K$2=CN271),'2026DATA'!$G$6,"")</f>
        <v/>
      </c>
      <c r="CO275" s="518" t="str">
        <f>IF(AND(_6="A-330-900",'2026'!$K$4="FO",'2026'!$K$2=CO271),'2026DATA'!$H$6,"")</f>
        <v/>
      </c>
      <c r="CP275" s="518" t="str">
        <f>IF(AND(_6="A-330-900",'2026'!$K$4="FO",'2026'!$K$2=CP271),'2026DATA'!$I$6,"")</f>
        <v/>
      </c>
      <c r="CQ275" s="518" t="str">
        <f>IF(AND(_6="A-330-900",'2026'!$K$4="FO",'2026'!$K$2=CQ271),'2026DATA'!$J$6,"")</f>
        <v/>
      </c>
      <c r="CR275" s="518" t="str">
        <f>IF(AND(_6="A-330-900",'2026'!$K$4="FO",'2026'!$K$2=CR271),'2026DATA'!$K$6,"")</f>
        <v/>
      </c>
      <c r="CS275" s="518" t="str">
        <f>IF(AND(_6="A-330-900",'2026'!$K$4="FO",'2026'!$K$2=CS271),'2026DATA'!$L$6,"")</f>
        <v/>
      </c>
      <c r="CT275" s="518" t="str">
        <f>IF(AND(_6="A-330-900",'2026'!$K$4="FO",'2026'!$K$2=CT271),'2026DATA'!$M$6,"")</f>
        <v/>
      </c>
      <c r="CU275" s="520" t="str">
        <f>IF(AND(_6="A-330-900",'2026'!$K$4="FO",'2026'!$K$2=CU271),'2026DATA'!$N$6,"")</f>
        <v/>
      </c>
    </row>
    <row r="276" spans="16:99" x14ac:dyDescent="0.25">
      <c r="P276" s="940" t="s">
        <v>64</v>
      </c>
      <c r="Q276" s="13" t="s">
        <v>61</v>
      </c>
      <c r="R276" s="518" t="str">
        <f>IF(AND(_1="A-330-300",'2026'!$K$4="CA",'2026'!$K$2=R271),'2026DATA'!$C$7,"")</f>
        <v/>
      </c>
      <c r="S276" s="518" t="str">
        <f>IF(AND(_1="A-330-300",'2026'!$K$4="CA",'2026'!$K$2=S271),'2026DATA'!$D$7,"")</f>
        <v/>
      </c>
      <c r="T276" s="518" t="str">
        <f>IF(AND(_1="A-330-300",'2026'!$K$4="CA",'2026'!$K$2=T271),'2026DATA'!$E$7,"")</f>
        <v/>
      </c>
      <c r="U276" s="518" t="str">
        <f>IF(AND(_1="A-330-300",'2026'!$K$4="CA",'2026'!$K$2=U271),'2026DATA'!$F$7,"")</f>
        <v/>
      </c>
      <c r="V276" s="518" t="str">
        <f>IF(AND(_1="A-330-300",'2026'!$K$4="CA",'2026'!$K$2=V271),'2026DATA'!$G$7,"")</f>
        <v/>
      </c>
      <c r="W276" s="518" t="str">
        <f>IF(AND(_1="A-330-300",'2026'!$K$4="CA",'2026'!$K$2=W271),'2026DATA'!$H$7,"")</f>
        <v/>
      </c>
      <c r="X276" s="518" t="str">
        <f>IF(AND(_1="A-330-300",'2026'!$K$4="CA",'2026'!$K$2=X271),'2026DATA'!$I$7,"")</f>
        <v/>
      </c>
      <c r="Y276" s="518" t="str">
        <f>IF(AND(_1="A-330-300",'2026'!$K$4="CA",'2026'!$K$2=Y271),'2026DATA'!$J$7,"")</f>
        <v/>
      </c>
      <c r="Z276" s="518" t="str">
        <f>IF(AND(_1="A-330-300",'2026'!$K$4="CA",'2026'!$K$2=Z271),'2026DATA'!$K$7,"")</f>
        <v/>
      </c>
      <c r="AA276" s="518" t="str">
        <f>IF(AND(_1="A-330-300",'2026'!$K$4="CA",'2026'!$K$2=AA271),'2026DATA'!$L$7,"")</f>
        <v/>
      </c>
      <c r="AB276" s="518" t="str">
        <f>IF(AND(_1="A-330-300",'2026'!$K$4="CA",'2026'!$K$2=AB271),'2026DATA'!$M$7,"")</f>
        <v/>
      </c>
      <c r="AC276" s="520" t="str">
        <f>IF(AND(_1="A-330-300",'2026'!$K$4="CA",'2026'!$K$2=AC271),'2026DATA'!$N$7,"")</f>
        <v/>
      </c>
      <c r="AD276" s="940" t="s">
        <v>64</v>
      </c>
      <c r="AE276" s="13" t="s">
        <v>61</v>
      </c>
      <c r="AF276" s="518" t="str">
        <f>IF(AND(_2="A-330-300",'2026'!$K$4="CA",'2026'!$K$2=AF271),'2026DATA'!$C$7,"")</f>
        <v/>
      </c>
      <c r="AG276" s="518" t="str">
        <f>IF(AND(_2="A-330-300",'2026'!$K$4="CA",'2026'!$K$2=AG271),'2026DATA'!$D$7,"")</f>
        <v/>
      </c>
      <c r="AH276" s="518" t="str">
        <f>IF(AND(_2="A-330-300",'2026'!$K$4="CA",'2026'!$K$2=AH271),'2026DATA'!$E$7,"")</f>
        <v/>
      </c>
      <c r="AI276" s="518" t="str">
        <f>IF(AND(_2="A-330-300",'2026'!$K$4="CA",'2026'!$K$2=AI271),'2026DATA'!$F$7,"")</f>
        <v/>
      </c>
      <c r="AJ276" s="518" t="str">
        <f>IF(AND(_2="A-330-300",'2026'!$K$4="CA",'2026'!$K$2=AJ271),'2026DATA'!$G$7,"")</f>
        <v/>
      </c>
      <c r="AK276" s="518" t="str">
        <f>IF(AND(_2="A-330-300",'2026'!$K$4="CA",'2026'!$K$2=AK271),'2026DATA'!$H$7,"")</f>
        <v/>
      </c>
      <c r="AL276" s="518" t="str">
        <f>IF(AND(_2="A-330-300",'2026'!$K$4="CA",'2026'!$K$2=AL271),'2026DATA'!$I$7,"")</f>
        <v/>
      </c>
      <c r="AM276" s="518" t="str">
        <f>IF(AND(_2="A-330-300",'2026'!$K$4="CA",'2026'!$K$2=AM271),'2026DATA'!$J$7,"")</f>
        <v/>
      </c>
      <c r="AN276" s="518" t="str">
        <f>IF(AND(_2="A-330-300",'2026'!$K$4="CA",'2026'!$K$2=AN271),'2026DATA'!$K$7,"")</f>
        <v/>
      </c>
      <c r="AO276" s="518" t="str">
        <f>IF(AND(_2="A-330-300",'2026'!$K$4="CA",'2026'!$K$2=AO271),'2026DATA'!$L$7,"")</f>
        <v/>
      </c>
      <c r="AP276" s="518" t="str">
        <f>IF(AND(_2="A-330-300",'2026'!$K$4="CA",'2026'!$K$2=AP271),'2026DATA'!$M$7,"")</f>
        <v/>
      </c>
      <c r="AQ276" s="520" t="str">
        <f>IF(AND(_2="A-330-300",'2026'!$K$4="CA",'2026'!$K$2=AQ271),'2026DATA'!$N$7,"")</f>
        <v/>
      </c>
      <c r="AR276" s="940" t="s">
        <v>64</v>
      </c>
      <c r="AS276" s="13" t="s">
        <v>61</v>
      </c>
      <c r="AT276" s="518" t="str">
        <f>IF(AND(_3="A-330-300",'2026'!$K$4="CA",'2026'!$K$2=AT271),'2026DATA'!$C$7,"")</f>
        <v/>
      </c>
      <c r="AU276" s="518" t="str">
        <f>IF(AND(_3="A-330-300",'2026'!$K$4="CA",'2026'!$K$2=AU271),'2026DATA'!$D$7,"")</f>
        <v/>
      </c>
      <c r="AV276" s="518" t="str">
        <f>IF(AND(_3="A-330-300",'2026'!$K$4="CA",'2026'!$K$2=AV271),'2026DATA'!$E$7,"")</f>
        <v/>
      </c>
      <c r="AW276" s="518" t="str">
        <f>IF(AND(_3="A-330-300",'2026'!$K$4="CA",'2026'!$K$2=AW271),'2026DATA'!$F$7,"")</f>
        <v/>
      </c>
      <c r="AX276" s="518" t="str">
        <f>IF(AND(_3="A-330-300",'2026'!$K$4="CA",'2026'!$K$2=AX271),'2026DATA'!$G$7,"")</f>
        <v/>
      </c>
      <c r="AY276" s="518" t="str">
        <f>IF(AND(_3="A-330-300",'2026'!$K$4="CA",'2026'!$K$2=AY271),'2026DATA'!$H$7,"")</f>
        <v/>
      </c>
      <c r="AZ276" s="518" t="str">
        <f>IF(AND(_3="A-330-300",'2026'!$K$4="CA",'2026'!$K$2=AZ271),'2026DATA'!$I$7,"")</f>
        <v/>
      </c>
      <c r="BA276" s="518" t="str">
        <f>IF(AND(_3="A-330-300",'2026'!$K$4="CA",'2026'!$K$2=BA271),'2026DATA'!$J$7,"")</f>
        <v/>
      </c>
      <c r="BB276" s="518" t="str">
        <f>IF(AND(_3="A-330-300",'2026'!$K$4="CA",'2026'!$K$2=BB271),'2026DATA'!$K$7,"")</f>
        <v/>
      </c>
      <c r="BC276" s="518" t="str">
        <f>IF(AND(_3="A-330-300",'2026'!$K$4="CA",'2026'!$K$2=BC271),'2026DATA'!$L$7,"")</f>
        <v/>
      </c>
      <c r="BD276" s="518" t="str">
        <f>IF(AND(_3="A-330-300",'2026'!$K$4="CA",'2026'!$K$2=BD271),'2026DATA'!$M$7,"")</f>
        <v/>
      </c>
      <c r="BE276" s="520" t="str">
        <f>IF(AND(_3="A-330-300",'2026'!$K$4="CA",'2026'!$K$2=BE271),'2026DATA'!$N$7,"")</f>
        <v/>
      </c>
      <c r="BF276" s="940" t="s">
        <v>64</v>
      </c>
      <c r="BG276" s="13" t="s">
        <v>61</v>
      </c>
      <c r="BH276" s="518" t="str">
        <f>IF(AND(_4="A-330-300",'2026'!$K$4="CA",'2026'!$K$2=BH271),'2026DATA'!$C$7,"")</f>
        <v/>
      </c>
      <c r="BI276" s="518" t="str">
        <f>IF(AND(_4="A-330-300",'2026'!$K$4="CA",'2026'!$K$2=BI271),'2026DATA'!$D$7,"")</f>
        <v/>
      </c>
      <c r="BJ276" s="518" t="str">
        <f>IF(AND(_4="A-330-300",'2026'!$K$4="CA",'2026'!$K$2=BJ271),'2026DATA'!$E$7,"")</f>
        <v/>
      </c>
      <c r="BK276" s="518" t="str">
        <f>IF(AND(_4="A-330-300",'2026'!$K$4="CA",'2026'!$K$2=BK271),'2026DATA'!$F$7,"")</f>
        <v/>
      </c>
      <c r="BL276" s="518" t="str">
        <f>IF(AND(_4="A-330-300",'2026'!$K$4="CA",'2026'!$K$2=BL271),'2026DATA'!$G$7,"")</f>
        <v/>
      </c>
      <c r="BM276" s="518" t="str">
        <f>IF(AND(_4="A-330-300",'2026'!$K$4="CA",'2026'!$K$2=BM271),'2026DATA'!$H$7,"")</f>
        <v/>
      </c>
      <c r="BN276" s="518" t="str">
        <f>IF(AND(_4="A-330-300",'2026'!$K$4="CA",'2026'!$K$2=BN271),'2026DATA'!$I$7,"")</f>
        <v/>
      </c>
      <c r="BO276" s="518" t="str">
        <f>IF(AND(_4="A-330-300",'2026'!$K$4="CA",'2026'!$K$2=BO271),'2026DATA'!$J$7,"")</f>
        <v/>
      </c>
      <c r="BP276" s="518" t="str">
        <f>IF(AND(_4="A-330-300",'2026'!$K$4="CA",'2026'!$K$2=BP271),'2026DATA'!$K$7,"")</f>
        <v/>
      </c>
      <c r="BQ276" s="518" t="str">
        <f>IF(AND(_4="A-330-300",'2026'!$K$4="CA",'2026'!$K$2=BQ271),'2026DATA'!$L$7,"")</f>
        <v/>
      </c>
      <c r="BR276" s="518" t="str">
        <f>IF(AND(_4="A-330-300",'2026'!$K$4="CA",'2026'!$K$2=BR271),'2026DATA'!$M$7,"")</f>
        <v/>
      </c>
      <c r="BS276" s="520" t="str">
        <f>IF(AND(_4="A-330-300",'2026'!$K$4="CA",'2026'!$K$2=BS271),'2026DATA'!$N$7,"")</f>
        <v/>
      </c>
      <c r="BT276" s="940" t="s">
        <v>64</v>
      </c>
      <c r="BU276" s="13" t="s">
        <v>61</v>
      </c>
      <c r="BV276" s="518" t="str">
        <f>IF(AND(_5="A-330-300",'2026'!$K$4="CA",'2026'!$K$2=BV271),'2026DATA'!$C$7,"")</f>
        <v/>
      </c>
      <c r="BW276" s="518" t="str">
        <f>IF(AND(_5="A-330-300",'2026'!$K$4="CA",'2026'!$K$2=BW271),'2026DATA'!$D$7,"")</f>
        <v/>
      </c>
      <c r="BX276" s="518" t="str">
        <f>IF(AND(_5="A-330-300",'2026'!$K$4="CA",'2026'!$K$2=BX271),'2026DATA'!$E$7,"")</f>
        <v/>
      </c>
      <c r="BY276" s="518" t="str">
        <f>IF(AND(_5="A-330-300",'2026'!$K$4="CA",'2026'!$K$2=BY271),'2026DATA'!$F$7,"")</f>
        <v/>
      </c>
      <c r="BZ276" s="518" t="str">
        <f>IF(AND(_5="A-330-300",'2026'!$K$4="CA",'2026'!$K$2=BZ271),'2026DATA'!$G$7,"")</f>
        <v/>
      </c>
      <c r="CA276" s="518" t="str">
        <f>IF(AND(_5="A-330-300",'2026'!$K$4="CA",'2026'!$K$2=CA271),'2026DATA'!$H$7,"")</f>
        <v/>
      </c>
      <c r="CB276" s="518" t="str">
        <f>IF(AND(_5="A-330-300",'2026'!$K$4="CA",'2026'!$K$2=CB271),'2026DATA'!$I$7,"")</f>
        <v/>
      </c>
      <c r="CC276" s="518" t="str">
        <f>IF(AND(_5="A-330-300",'2026'!$K$4="CA",'2026'!$K$2=CC271),'2026DATA'!$J$7,"")</f>
        <v/>
      </c>
      <c r="CD276" s="518" t="str">
        <f>IF(AND(_5="A-330-300",'2026'!$K$4="CA",'2026'!$K$2=CD271),'2026DATA'!$K$7,"")</f>
        <v/>
      </c>
      <c r="CE276" s="518" t="str">
        <f>IF(AND(_5="A-330-300",'2026'!$K$4="CA",'2026'!$K$2=CE271),'2026DATA'!$L$7,"")</f>
        <v/>
      </c>
      <c r="CF276" s="518" t="str">
        <f>IF(AND(_5="A-330-300",'2026'!$K$4="CA",'2026'!$K$2=CF271),'2026DATA'!$M$7,"")</f>
        <v/>
      </c>
      <c r="CG276" s="520" t="str">
        <f>IF(AND(_5="A-330-300",'2026'!$K$4="CA",'2026'!$K$2=CG271),'2026DATA'!$N$7,"")</f>
        <v/>
      </c>
      <c r="CH276" s="940" t="s">
        <v>64</v>
      </c>
      <c r="CI276" s="13" t="s">
        <v>61</v>
      </c>
      <c r="CJ276" s="518" t="str">
        <f>IF(AND(_6="A-330-300",'2026'!$K$4="CA",'2026'!$K$2=CJ271),'2026DATA'!$C$7,"")</f>
        <v/>
      </c>
      <c r="CK276" s="518" t="str">
        <f>IF(AND(_6="A-330-300",'2026'!$K$4="CA",'2026'!$K$2=CK271),'2026DATA'!$D$7,"")</f>
        <v/>
      </c>
      <c r="CL276" s="518" t="str">
        <f>IF(AND(_6="A-330-300",'2026'!$K$4="CA",'2026'!$K$2=CL271),'2026DATA'!$E$7,"")</f>
        <v/>
      </c>
      <c r="CM276" s="518" t="str">
        <f>IF(AND(_6="A-330-300",'2026'!$K$4="CA",'2026'!$K$2=CM271),'2026DATA'!$F$7,"")</f>
        <v/>
      </c>
      <c r="CN276" s="518" t="str">
        <f>IF(AND(_6="A-330-300",'2026'!$K$4="CA",'2026'!$K$2=CN271),'2026DATA'!$G$7,"")</f>
        <v/>
      </c>
      <c r="CO276" s="518" t="str">
        <f>IF(AND(_6="A-330-300",'2026'!$K$4="CA",'2026'!$K$2=CO271),'2026DATA'!$H$7,"")</f>
        <v/>
      </c>
      <c r="CP276" s="518" t="str">
        <f>IF(AND(_6="A-330-300",'2026'!$K$4="CA",'2026'!$K$2=CP271),'2026DATA'!$I$7,"")</f>
        <v/>
      </c>
      <c r="CQ276" s="518" t="str">
        <f>IF(AND(_6="A-330-300",'2026'!$K$4="CA",'2026'!$K$2=CQ271),'2026DATA'!$J$7,"")</f>
        <v/>
      </c>
      <c r="CR276" s="518" t="str">
        <f>IF(AND(_6="A-330-300",'2026'!$K$4="CA",'2026'!$K$2=CR271),'2026DATA'!$K$7,"")</f>
        <v/>
      </c>
      <c r="CS276" s="518" t="str">
        <f>IF(AND(_6="A-330-300",'2026'!$K$4="CA",'2026'!$K$2=CS271),'2026DATA'!$L$7,"")</f>
        <v/>
      </c>
      <c r="CT276" s="518" t="str">
        <f>IF(AND(_6="A-330-300",'2026'!$K$4="CA",'2026'!$K$2=CT271),'2026DATA'!$M$7,"")</f>
        <v/>
      </c>
      <c r="CU276" s="520" t="str">
        <f>IF(AND(_6="A-330-300",'2026'!$K$4="CA",'2026'!$K$2=CU271),'2026DATA'!$N$7,"")</f>
        <v/>
      </c>
    </row>
    <row r="277" spans="16:99" x14ac:dyDescent="0.25">
      <c r="P277" s="940"/>
      <c r="Q277" s="13" t="s">
        <v>62</v>
      </c>
      <c r="R277" s="518" t="str">
        <f>IF(AND(_1="A-330-300",'2026'!$K$4="FO",'2026'!$K$2=R271),'2026DATA'!$C$8,"")</f>
        <v/>
      </c>
      <c r="S277" s="518" t="str">
        <f>IF(AND(_1="A-330-300",'2026'!$K$4="FO",'2026'!$K$2=S271),'2026DATA'!$D$8,"")</f>
        <v/>
      </c>
      <c r="T277" s="518" t="str">
        <f>IF(AND(_1="A-330-300",'2026'!$K$4="FO",'2026'!$K$2=T271),'2026DATA'!$E$8,"")</f>
        <v/>
      </c>
      <c r="U277" s="518" t="str">
        <f>IF(AND(_1="A-330-300",'2026'!$K$4="FO",'2026'!$K$2=U271),'2026DATA'!$F$8,"")</f>
        <v/>
      </c>
      <c r="V277" s="518" t="str">
        <f>IF(AND(_1="A-330-300",'2026'!$K$4="FO",'2026'!$K$2=V271),'2026DATA'!$G$8,"")</f>
        <v/>
      </c>
      <c r="W277" s="518" t="str">
        <f>IF(AND(_1="A-330-300",'2026'!$K$4="FO",'2026'!$K$2=W271),'2026DATA'!$H$8,"")</f>
        <v/>
      </c>
      <c r="X277" s="518" t="str">
        <f>IF(AND(_1="A-330-300",'2026'!$K$4="FO",'2026'!$K$2=X271),'2026DATA'!$I$8,"")</f>
        <v/>
      </c>
      <c r="Y277" s="518" t="str">
        <f>IF(AND(_1="A-330-300",'2026'!$K$4="FO",'2026'!$K$2=Y271),'2026DATA'!$J$8,"")</f>
        <v/>
      </c>
      <c r="Z277" s="518" t="str">
        <f>IF(AND(_1="A-330-300",'2026'!$K$4="FO",'2026'!$K$2=Z271),'2026DATA'!$K$8,"")</f>
        <v/>
      </c>
      <c r="AA277" s="518" t="str">
        <f>IF(AND(_1="A-330-300",'2026'!$K$4="FO",'2026'!$K$2=AA271),'2026DATA'!$L$8,"")</f>
        <v/>
      </c>
      <c r="AB277" s="518" t="str">
        <f>IF(AND(_1="A-330-300",'2026'!$K$4="FO",'2026'!$K$2=AB271),'2026DATA'!$M$8,"")</f>
        <v/>
      </c>
      <c r="AC277" s="520" t="str">
        <f>IF(AND(_1="A-330-300",'2026'!$K$4="FO",'2026'!$K$2=AC271),'2026DATA'!$N$8,"")</f>
        <v/>
      </c>
      <c r="AD277" s="940"/>
      <c r="AE277" s="13" t="s">
        <v>62</v>
      </c>
      <c r="AF277" s="518" t="str">
        <f>IF(AND(_2="A-330-300",'2026'!$K$4="FO",'2026'!$K$2=AF271),'2026DATA'!$C$8,"")</f>
        <v/>
      </c>
      <c r="AG277" s="518" t="str">
        <f>IF(AND(_2="A-330-300",'2026'!$K$4="FO",'2026'!$K$2=AG271),'2026DATA'!$D$8,"")</f>
        <v/>
      </c>
      <c r="AH277" s="518" t="str">
        <f>IF(AND(_2="A-330-300",'2026'!$K$4="FO",'2026'!$K$2=AH271),'2026DATA'!$E$8,"")</f>
        <v/>
      </c>
      <c r="AI277" s="518" t="str">
        <f>IF(AND(_2="A-330-300",'2026'!$K$4="FO",'2026'!$K$2=AI271),'2026DATA'!$F$8,"")</f>
        <v/>
      </c>
      <c r="AJ277" s="518" t="str">
        <f>IF(AND(_2="A-330-300",'2026'!$K$4="FO",'2026'!$K$2=AJ271),'2026DATA'!$G$8,"")</f>
        <v/>
      </c>
      <c r="AK277" s="518" t="str">
        <f>IF(AND(_2="A-330-300",'2026'!$K$4="FO",'2026'!$K$2=AK271),'2026DATA'!$H$8,"")</f>
        <v/>
      </c>
      <c r="AL277" s="518" t="str">
        <f>IF(AND(_2="A-330-300",'2026'!$K$4="FO",'2026'!$K$2=AL271),'2026DATA'!$I$8,"")</f>
        <v/>
      </c>
      <c r="AM277" s="518" t="str">
        <f>IF(AND(_2="A-330-300",'2026'!$K$4="FO",'2026'!$K$2=AM271),'2026DATA'!$J$8,"")</f>
        <v/>
      </c>
      <c r="AN277" s="518" t="str">
        <f>IF(AND(_2="A-330-300",'2026'!$K$4="FO",'2026'!$K$2=AN271),'2026DATA'!$K$8,"")</f>
        <v/>
      </c>
      <c r="AO277" s="518" t="str">
        <f>IF(AND(_2="A-330-300",'2026'!$K$4="FO",'2026'!$K$2=AO271),'2026DATA'!$L$8,"")</f>
        <v/>
      </c>
      <c r="AP277" s="518" t="str">
        <f>IF(AND(_2="A-330-300",'2026'!$K$4="FO",'2026'!$K$2=AP271),'2026DATA'!$M$8,"")</f>
        <v/>
      </c>
      <c r="AQ277" s="520" t="str">
        <f>IF(AND(_2="A-330-300",'2026'!$K$4="FO",'2026'!$K$2=AQ271),'2026DATA'!$N$8,"")</f>
        <v/>
      </c>
      <c r="AR277" s="940"/>
      <c r="AS277" s="13" t="s">
        <v>62</v>
      </c>
      <c r="AT277" s="518" t="str">
        <f>IF(AND(_3="A-330-300",'2026'!$K$4="FO",'2026'!$K$2=AT271),'2026DATA'!$C$8,"")</f>
        <v/>
      </c>
      <c r="AU277" s="518" t="str">
        <f>IF(AND(_3="A-330-300",'2026'!$K$4="FO",'2026'!$K$2=AU271),'2026DATA'!$D$8,"")</f>
        <v/>
      </c>
      <c r="AV277" s="518" t="str">
        <f>IF(AND(_3="A-330-300",'2026'!$K$4="FO",'2026'!$K$2=AV271),'2026DATA'!$E$8,"")</f>
        <v/>
      </c>
      <c r="AW277" s="518" t="str">
        <f>IF(AND(_3="A-330-300",'2026'!$K$4="FO",'2026'!$K$2=AW271),'2026DATA'!$F$8,"")</f>
        <v/>
      </c>
      <c r="AX277" s="518" t="str">
        <f>IF(AND(_3="A-330-300",'2026'!$K$4="FO",'2026'!$K$2=AX271),'2026DATA'!$G$8,"")</f>
        <v/>
      </c>
      <c r="AY277" s="518" t="str">
        <f>IF(AND(_3="A-330-300",'2026'!$K$4="FO",'2026'!$K$2=AY271),'2026DATA'!$H$8,"")</f>
        <v/>
      </c>
      <c r="AZ277" s="518" t="str">
        <f>IF(AND(_3="A-330-300",'2026'!$K$4="FO",'2026'!$K$2=AZ271),'2026DATA'!$I$8,"")</f>
        <v/>
      </c>
      <c r="BA277" s="518" t="str">
        <f>IF(AND(_3="A-330-300",'2026'!$K$4="FO",'2026'!$K$2=BA271),'2026DATA'!$J$8,"")</f>
        <v/>
      </c>
      <c r="BB277" s="518" t="str">
        <f>IF(AND(_3="A-330-300",'2026'!$K$4="FO",'2026'!$K$2=BB271),'2026DATA'!$K$8,"")</f>
        <v/>
      </c>
      <c r="BC277" s="518" t="str">
        <f>IF(AND(_3="A-330-300",'2026'!$K$4="FO",'2026'!$K$2=BC271),'2026DATA'!$L$8,"")</f>
        <v/>
      </c>
      <c r="BD277" s="518" t="str">
        <f>IF(AND(_3="A-330-300",'2026'!$K$4="FO",'2026'!$K$2=BD271),'2026DATA'!$M$8,"")</f>
        <v/>
      </c>
      <c r="BE277" s="520" t="str">
        <f>IF(AND(_3="A-330-300",'2026'!$K$4="FO",'2026'!$K$2=BE271),'2026DATA'!$N$8,"")</f>
        <v/>
      </c>
      <c r="BF277" s="940"/>
      <c r="BG277" s="13" t="s">
        <v>62</v>
      </c>
      <c r="BH277" s="518" t="str">
        <f>IF(AND(_4="A-330-300",'2026'!$K$4="FO",'2026'!$K$2=BH271),'2026DATA'!$C$8,"")</f>
        <v/>
      </c>
      <c r="BI277" s="518" t="str">
        <f>IF(AND(_4="A-330-300",'2026'!$K$4="FO",'2026'!$K$2=BI271),'2026DATA'!$D$8,"")</f>
        <v/>
      </c>
      <c r="BJ277" s="518" t="str">
        <f>IF(AND(_4="A-330-300",'2026'!$K$4="FO",'2026'!$K$2=BJ271),'2026DATA'!$E$8,"")</f>
        <v/>
      </c>
      <c r="BK277" s="518" t="str">
        <f>IF(AND(_4="A-330-300",'2026'!$K$4="FO",'2026'!$K$2=BK271),'2026DATA'!$F$8,"")</f>
        <v/>
      </c>
      <c r="BL277" s="518" t="str">
        <f>IF(AND(_4="A-330-300",'2026'!$K$4="FO",'2026'!$K$2=BL271),'2026DATA'!$G$8,"")</f>
        <v/>
      </c>
      <c r="BM277" s="518" t="str">
        <f>IF(AND(_4="A-330-300",'2026'!$K$4="FO",'2026'!$K$2=BM271),'2026DATA'!$H$8,"")</f>
        <v/>
      </c>
      <c r="BN277" s="518" t="str">
        <f>IF(AND(_4="A-330-300",'2026'!$K$4="FO",'2026'!$K$2=BN271),'2026DATA'!$I$8,"")</f>
        <v/>
      </c>
      <c r="BO277" s="518" t="str">
        <f>IF(AND(_4="A-330-300",'2026'!$K$4="FO",'2026'!$K$2=BO271),'2026DATA'!$J$8,"")</f>
        <v/>
      </c>
      <c r="BP277" s="518" t="str">
        <f>IF(AND(_4="A-330-300",'2026'!$K$4="FO",'2026'!$K$2=BP271),'2026DATA'!$K$8,"")</f>
        <v/>
      </c>
      <c r="BQ277" s="518" t="str">
        <f>IF(AND(_4="A-330-300",'2026'!$K$4="FO",'2026'!$K$2=BQ271),'2026DATA'!$L$8,"")</f>
        <v/>
      </c>
      <c r="BR277" s="518" t="str">
        <f>IF(AND(_4="A-330-300",'2026'!$K$4="FO",'2026'!$K$2=BR271),'2026DATA'!$M$8,"")</f>
        <v/>
      </c>
      <c r="BS277" s="520" t="str">
        <f>IF(AND(_4="A-330-300",'2026'!$K$4="FO",'2026'!$K$2=BS271),'2026DATA'!$N$8,"")</f>
        <v/>
      </c>
      <c r="BT277" s="940"/>
      <c r="BU277" s="13" t="s">
        <v>62</v>
      </c>
      <c r="BV277" s="518" t="str">
        <f>IF(AND(_5="A-330-300",'2026'!$K$4="FO",'2026'!$K$2=BV271),'2026DATA'!$C$8,"")</f>
        <v/>
      </c>
      <c r="BW277" s="518" t="str">
        <f>IF(AND(_5="A-330-300",'2026'!$K$4="FO",'2026'!$K$2=BW271),'2026DATA'!$D$8,"")</f>
        <v/>
      </c>
      <c r="BX277" s="518" t="str">
        <f>IF(AND(_5="A-330-300",'2026'!$K$4="FO",'2026'!$K$2=BX271),'2026DATA'!$E$8,"")</f>
        <v/>
      </c>
      <c r="BY277" s="518" t="str">
        <f>IF(AND(_5="A-330-300",'2026'!$K$4="FO",'2026'!$K$2=BY271),'2026DATA'!$F$8,"")</f>
        <v/>
      </c>
      <c r="BZ277" s="518" t="str">
        <f>IF(AND(_5="A-330-300",'2026'!$K$4="FO",'2026'!$K$2=BZ271),'2026DATA'!$G$8,"")</f>
        <v/>
      </c>
      <c r="CA277" s="518" t="str">
        <f>IF(AND(_5="A-330-300",'2026'!$K$4="FO",'2026'!$K$2=CA271),'2026DATA'!$H$8,"")</f>
        <v/>
      </c>
      <c r="CB277" s="518" t="str">
        <f>IF(AND(_5="A-330-300",'2026'!$K$4="FO",'2026'!$K$2=CB271),'2026DATA'!$I$8,"")</f>
        <v/>
      </c>
      <c r="CC277" s="518" t="str">
        <f>IF(AND(_5="A-330-300",'2026'!$K$4="FO",'2026'!$K$2=CC271),'2026DATA'!$J$8,"")</f>
        <v/>
      </c>
      <c r="CD277" s="518" t="str">
        <f>IF(AND(_5="A-330-300",'2026'!$K$4="FO",'2026'!$K$2=CD271),'2026DATA'!$K$8,"")</f>
        <v/>
      </c>
      <c r="CE277" s="518" t="str">
        <f>IF(AND(_5="A-330-300",'2026'!$K$4="FO",'2026'!$K$2=CE271),'2026DATA'!$L$8,"")</f>
        <v/>
      </c>
      <c r="CF277" s="518" t="str">
        <f>IF(AND(_5="A-330-300",'2026'!$K$4="FO",'2026'!$K$2=CF271),'2026DATA'!$M$8,"")</f>
        <v/>
      </c>
      <c r="CG277" s="520" t="str">
        <f>IF(AND(_5="A-330-300",'2026'!$K$4="FO",'2026'!$K$2=CG271),'2026DATA'!$N$8,"")</f>
        <v/>
      </c>
      <c r="CH277" s="940"/>
      <c r="CI277" s="13" t="s">
        <v>62</v>
      </c>
      <c r="CJ277" s="518" t="str">
        <f>IF(AND(_6="A-330-300",'2026'!$K$4="FO",'2026'!$K$2=CJ271),'2026DATA'!$C$8,"")</f>
        <v/>
      </c>
      <c r="CK277" s="518" t="str">
        <f>IF(AND(_6="A-330-300",'2026'!$K$4="FO",'2026'!$K$2=CK271),'2026DATA'!$D$8,"")</f>
        <v/>
      </c>
      <c r="CL277" s="518" t="str">
        <f>IF(AND(_6="A-330-300",'2026'!$K$4="FO",'2026'!$K$2=CL271),'2026DATA'!$E$8,"")</f>
        <v/>
      </c>
      <c r="CM277" s="518" t="str">
        <f>IF(AND(_6="A-330-300",'2026'!$K$4="FO",'2026'!$K$2=CM271),'2026DATA'!$F$8,"")</f>
        <v/>
      </c>
      <c r="CN277" s="518" t="str">
        <f>IF(AND(_6="A-330-300",'2026'!$K$4="FO",'2026'!$K$2=CN271),'2026DATA'!$G$8,"")</f>
        <v/>
      </c>
      <c r="CO277" s="518" t="str">
        <f>IF(AND(_6="A-330-300",'2026'!$K$4="FO",'2026'!$K$2=CO271),'2026DATA'!$H$8,"")</f>
        <v/>
      </c>
      <c r="CP277" s="518" t="str">
        <f>IF(AND(_6="A-330-300",'2026'!$K$4="FO",'2026'!$K$2=CP271),'2026DATA'!$I$8,"")</f>
        <v/>
      </c>
      <c r="CQ277" s="518" t="str">
        <f>IF(AND(_6="A-330-300",'2026'!$K$4="FO",'2026'!$K$2=CQ271),'2026DATA'!$J$8,"")</f>
        <v/>
      </c>
      <c r="CR277" s="518" t="str">
        <f>IF(AND(_6="A-330-300",'2026'!$K$4="FO",'2026'!$K$2=CR271),'2026DATA'!$K$8,"")</f>
        <v/>
      </c>
      <c r="CS277" s="518" t="str">
        <f>IF(AND(_6="A-330-300",'2026'!$K$4="FO",'2026'!$K$2=CS271),'2026DATA'!$L$8,"")</f>
        <v/>
      </c>
      <c r="CT277" s="518" t="str">
        <f>IF(AND(_6="A-330-300",'2026'!$K$4="FO",'2026'!$K$2=CT271),'2026DATA'!$M$8,"")</f>
        <v/>
      </c>
      <c r="CU277" s="520" t="str">
        <f>IF(AND(_6="A-330-300",'2026'!$K$4="FO",'2026'!$K$2=CU271),'2026DATA'!$N$8,"")</f>
        <v/>
      </c>
    </row>
    <row r="278" spans="16:99" x14ac:dyDescent="0.25">
      <c r="P278" s="940" t="s">
        <v>66</v>
      </c>
      <c r="Q278" s="13" t="s">
        <v>61</v>
      </c>
      <c r="R278" s="518" t="str">
        <f>IF(AND(_1="A-330-200",'2026'!$K$4="CA",'2026'!$K$2=R271),'2026DATA'!$C$9,"")</f>
        <v/>
      </c>
      <c r="S278" s="518" t="str">
        <f>IF(AND(_1="A-330-200",'2026'!$K$4="CA",'2026'!$K$2=S271),'2026DATA'!$D$9,"")</f>
        <v/>
      </c>
      <c r="T278" s="518" t="str">
        <f>IF(AND(_1="A-330-200",'2026'!$K$4="CA",'2026'!$K$2=T271),'2026DATA'!$E$9,"")</f>
        <v/>
      </c>
      <c r="U278" s="518" t="str">
        <f>IF(AND(_1="A-330-200",'2026'!$K$4="CA",'2026'!$K$2=U271),'2026DATA'!$F$9,"")</f>
        <v/>
      </c>
      <c r="V278" s="518" t="str">
        <f>IF(AND(_1="A-330-200",'2026'!$K$4="CA",'2026'!$K$2=V271),'2026DATA'!$G$9,"")</f>
        <v/>
      </c>
      <c r="W278" s="518" t="str">
        <f>IF(AND(_1="A-330-200",'2026'!$K$4="CA",'2026'!$K$2=W271),'2026DATA'!$H$9,"")</f>
        <v/>
      </c>
      <c r="X278" s="518" t="str">
        <f>IF(AND(_1="A-330-200",'2026'!$K$4="CA",'2026'!$K$2=X271),'2026DATA'!$I$9,"")</f>
        <v/>
      </c>
      <c r="Y278" s="518" t="str">
        <f>IF(AND(_1="A-330-200",'2026'!$K$4="CA",'2026'!$K$2=Y271),'2026DATA'!$J$9,"")</f>
        <v/>
      </c>
      <c r="Z278" s="518" t="str">
        <f>IF(AND(_1="A-330-200",'2026'!$K$4="CA",'2026'!$K$2=Z271),'2026DATA'!$K$9,"")</f>
        <v/>
      </c>
      <c r="AA278" s="518" t="str">
        <f>IF(AND(_1="A-330-200",'2026'!$K$4="CA",'2026'!$K$2=AA271),'2026DATA'!$L$9,"")</f>
        <v/>
      </c>
      <c r="AB278" s="518" t="str">
        <f>IF(AND(_1="A-330-200",'2026'!$K$4="CA",'2026'!$K$2=AB271),'2026DATA'!$M$9,"")</f>
        <v/>
      </c>
      <c r="AC278" s="520" t="str">
        <f>IF(AND(_1="A-330-200",'2026'!$K$4="CA",'2026'!$K$2=AC271),'2026DATA'!$N$9,"")</f>
        <v/>
      </c>
      <c r="AD278" s="940" t="s">
        <v>66</v>
      </c>
      <c r="AE278" s="13" t="s">
        <v>61</v>
      </c>
      <c r="AF278" s="518" t="str">
        <f>IF(AND(_2="A-330-200",'2026'!$K$4="CA",'2026'!$K$2=AF271),'2026DATA'!$C$9,"")</f>
        <v/>
      </c>
      <c r="AG278" s="518" t="str">
        <f>IF(AND(_2="A-330-200",'2026'!$K$4="CA",'2026'!$K$2=AG271),'2026DATA'!$D$9,"")</f>
        <v/>
      </c>
      <c r="AH278" s="518" t="str">
        <f>IF(AND(_2="A-330-200",'2026'!$K$4="CA",'2026'!$K$2=AH271),'2026DATA'!$E$9,"")</f>
        <v/>
      </c>
      <c r="AI278" s="518" t="str">
        <f>IF(AND(_2="A-330-200",'2026'!$K$4="CA",'2026'!$K$2=AI271),'2026DATA'!$F$9,"")</f>
        <v/>
      </c>
      <c r="AJ278" s="518" t="str">
        <f>IF(AND(_2="A-330-200",'2026'!$K$4="CA",'2026'!$K$2=AJ271),'2026DATA'!$G$9,"")</f>
        <v/>
      </c>
      <c r="AK278" s="518" t="str">
        <f>IF(AND(_2="A-330-200",'2026'!$K$4="CA",'2026'!$K$2=AK271),'2026DATA'!$H$9,"")</f>
        <v/>
      </c>
      <c r="AL278" s="518" t="str">
        <f>IF(AND(_2="A-330-200",'2026'!$K$4="CA",'2026'!$K$2=AL271),'2026DATA'!$I$9,"")</f>
        <v/>
      </c>
      <c r="AM278" s="518" t="str">
        <f>IF(AND(_2="A-330-200",'2026'!$K$4="CA",'2026'!$K$2=AM271),'2026DATA'!$J$9,"")</f>
        <v/>
      </c>
      <c r="AN278" s="518" t="str">
        <f>IF(AND(_2="A-330-200",'2026'!$K$4="CA",'2026'!$K$2=AN271),'2026DATA'!$K$9,"")</f>
        <v/>
      </c>
      <c r="AO278" s="518" t="str">
        <f>IF(AND(_2="A-330-200",'2026'!$K$4="CA",'2026'!$K$2=AO271),'2026DATA'!$L$9,"")</f>
        <v/>
      </c>
      <c r="AP278" s="518" t="str">
        <f>IF(AND(_2="A-330-200",'2026'!$K$4="CA",'2026'!$K$2=AP271),'2026DATA'!$M$9,"")</f>
        <v/>
      </c>
      <c r="AQ278" s="520" t="str">
        <f>IF(AND(_2="A-330-200",'2026'!$K$4="CA",'2026'!$K$2=AQ271),'2026DATA'!$N$9,"")</f>
        <v/>
      </c>
      <c r="AR278" s="940" t="s">
        <v>66</v>
      </c>
      <c r="AS278" s="13" t="s">
        <v>61</v>
      </c>
      <c r="AT278" s="518" t="str">
        <f>IF(AND(_3="A-330-200",'2026'!$K$4="CA",'2026'!$K$2=AT271),'2026DATA'!$C$9,"")</f>
        <v/>
      </c>
      <c r="AU278" s="518" t="str">
        <f>IF(AND(_3="A-330-200",'2026'!$K$4="CA",'2026'!$K$2=AU271),'2026DATA'!$D$9,"")</f>
        <v/>
      </c>
      <c r="AV278" s="518" t="str">
        <f>IF(AND(_3="A-330-200",'2026'!$K$4="CA",'2026'!$K$2=AV271),'2026DATA'!$E$9,"")</f>
        <v/>
      </c>
      <c r="AW278" s="518" t="str">
        <f>IF(AND(_3="A-330-200",'2026'!$K$4="CA",'2026'!$K$2=AW271),'2026DATA'!$F$9,"")</f>
        <v/>
      </c>
      <c r="AX278" s="518" t="str">
        <f>IF(AND(_3="A-330-200",'2026'!$K$4="CA",'2026'!$K$2=AX271),'2026DATA'!$G$9,"")</f>
        <v/>
      </c>
      <c r="AY278" s="518" t="str">
        <f>IF(AND(_3="A-330-200",'2026'!$K$4="CA",'2026'!$K$2=AY271),'2026DATA'!$H$9,"")</f>
        <v/>
      </c>
      <c r="AZ278" s="518" t="str">
        <f>IF(AND(_3="A-330-200",'2026'!$K$4="CA",'2026'!$K$2=AZ271),'2026DATA'!$I$9,"")</f>
        <v/>
      </c>
      <c r="BA278" s="518" t="str">
        <f>IF(AND(_3="A-330-200",'2026'!$K$4="CA",'2026'!$K$2=BA271),'2026DATA'!$J$9,"")</f>
        <v/>
      </c>
      <c r="BB278" s="518" t="str">
        <f>IF(AND(_3="A-330-200",'2026'!$K$4="CA",'2026'!$K$2=BB271),'2026DATA'!$K$9,"")</f>
        <v/>
      </c>
      <c r="BC278" s="518" t="str">
        <f>IF(AND(_3="A-330-200",'2026'!$K$4="CA",'2026'!$K$2=BC271),'2026DATA'!$L$9,"")</f>
        <v/>
      </c>
      <c r="BD278" s="518" t="str">
        <f>IF(AND(_3="A-330-200",'2026'!$K$4="CA",'2026'!$K$2=BD271),'2026DATA'!$M$9,"")</f>
        <v/>
      </c>
      <c r="BE278" s="520" t="str">
        <f>IF(AND(_3="A-330-200",'2026'!$K$4="CA",'2026'!$K$2=BE271),'2026DATA'!$N$9,"")</f>
        <v/>
      </c>
      <c r="BF278" s="940" t="s">
        <v>66</v>
      </c>
      <c r="BG278" s="13" t="s">
        <v>61</v>
      </c>
      <c r="BH278" s="518" t="str">
        <f>IF(AND(_4="A-330-200",'2026'!$K$4="CA",'2026'!$K$2=BH271),'2026DATA'!$C$9,"")</f>
        <v/>
      </c>
      <c r="BI278" s="518" t="str">
        <f>IF(AND(_4="A-330-200",'2026'!$K$4="CA",'2026'!$K$2=BI271),'2026DATA'!$D$9,"")</f>
        <v/>
      </c>
      <c r="BJ278" s="518" t="str">
        <f>IF(AND(_4="A-330-200",'2026'!$K$4="CA",'2026'!$K$2=BJ271),'2026DATA'!$E$9,"")</f>
        <v/>
      </c>
      <c r="BK278" s="518" t="str">
        <f>IF(AND(_4="A-330-200",'2026'!$K$4="CA",'2026'!$K$2=BK271),'2026DATA'!$F$9,"")</f>
        <v/>
      </c>
      <c r="BL278" s="518" t="str">
        <f>IF(AND(_4="A-330-200",'2026'!$K$4="CA",'2026'!$K$2=BL271),'2026DATA'!$G$9,"")</f>
        <v/>
      </c>
      <c r="BM278" s="518" t="str">
        <f>IF(AND(_4="A-330-200",'2026'!$K$4="CA",'2026'!$K$2=BM271),'2026DATA'!$H$9,"")</f>
        <v/>
      </c>
      <c r="BN278" s="518" t="str">
        <f>IF(AND(_4="A-330-200",'2026'!$K$4="CA",'2026'!$K$2=BN271),'2026DATA'!$I$9,"")</f>
        <v/>
      </c>
      <c r="BO278" s="518" t="str">
        <f>IF(AND(_4="A-330-200",'2026'!$K$4="CA",'2026'!$K$2=BO271),'2026DATA'!$J$9,"")</f>
        <v/>
      </c>
      <c r="BP278" s="518" t="str">
        <f>IF(AND(_4="A-330-200",'2026'!$K$4="CA",'2026'!$K$2=BP271),'2026DATA'!$K$9,"")</f>
        <v/>
      </c>
      <c r="BQ278" s="518" t="str">
        <f>IF(AND(_4="A-330-200",'2026'!$K$4="CA",'2026'!$K$2=BQ271),'2026DATA'!$L$9,"")</f>
        <v/>
      </c>
      <c r="BR278" s="518" t="str">
        <f>IF(AND(_4="A-330-200",'2026'!$K$4="CA",'2026'!$K$2=BR271),'2026DATA'!$M$9,"")</f>
        <v/>
      </c>
      <c r="BS278" s="520" t="str">
        <f>IF(AND(_4="A-330-200",'2026'!$K$4="CA",'2026'!$K$2=BS271),'2026DATA'!$N$9,"")</f>
        <v/>
      </c>
      <c r="BT278" s="940" t="s">
        <v>66</v>
      </c>
      <c r="BU278" s="13" t="s">
        <v>61</v>
      </c>
      <c r="BV278" s="518" t="str">
        <f>IF(AND(_5="A-330-200",'2026'!$K$4="CA",'2026'!$K$2=BV271),'2026DATA'!$C$9,"")</f>
        <v/>
      </c>
      <c r="BW278" s="518" t="str">
        <f>IF(AND(_5="A-330-200",'2026'!$K$4="CA",'2026'!$K$2=BW271),'2026DATA'!$D$9,"")</f>
        <v/>
      </c>
      <c r="BX278" s="518" t="str">
        <f>IF(AND(_5="A-330-200",'2026'!$K$4="CA",'2026'!$K$2=BX271),'2026DATA'!$E$9,"")</f>
        <v/>
      </c>
      <c r="BY278" s="518" t="str">
        <f>IF(AND(_5="A-330-200",'2026'!$K$4="CA",'2026'!$K$2=BY271),'2026DATA'!$F$9,"")</f>
        <v/>
      </c>
      <c r="BZ278" s="518" t="str">
        <f>IF(AND(_5="A-330-200",'2026'!$K$4="CA",'2026'!$K$2=BZ271),'2026DATA'!$G$9,"")</f>
        <v/>
      </c>
      <c r="CA278" s="518" t="str">
        <f>IF(AND(_5="A-330-200",'2026'!$K$4="CA",'2026'!$K$2=CA271),'2026DATA'!$H$9,"")</f>
        <v/>
      </c>
      <c r="CB278" s="518" t="str">
        <f>IF(AND(_5="A-330-200",'2026'!$K$4="CA",'2026'!$K$2=CB271),'2026DATA'!$I$9,"")</f>
        <v/>
      </c>
      <c r="CC278" s="518" t="str">
        <f>IF(AND(_5="A-330-200",'2026'!$K$4="CA",'2026'!$K$2=CC271),'2026DATA'!$J$9,"")</f>
        <v/>
      </c>
      <c r="CD278" s="518" t="str">
        <f>IF(AND(_5="A-330-200",'2026'!$K$4="CA",'2026'!$K$2=CD271),'2026DATA'!$K$9,"")</f>
        <v/>
      </c>
      <c r="CE278" s="518" t="str">
        <f>IF(AND(_5="A-330-200",'2026'!$K$4="CA",'2026'!$K$2=CE271),'2026DATA'!$L$9,"")</f>
        <v/>
      </c>
      <c r="CF278" s="518" t="str">
        <f>IF(AND(_5="A-330-200",'2026'!$K$4="CA",'2026'!$K$2=CF271),'2026DATA'!$M$9,"")</f>
        <v/>
      </c>
      <c r="CG278" s="520" t="str">
        <f>IF(AND(_5="A-330-200",'2026'!$K$4="CA",'2026'!$K$2=CG271),'2026DATA'!$N$9,"")</f>
        <v/>
      </c>
      <c r="CH278" s="940" t="s">
        <v>66</v>
      </c>
      <c r="CI278" s="13" t="s">
        <v>61</v>
      </c>
      <c r="CJ278" s="518" t="str">
        <f>IF(AND(_6="A-330-200",'2026'!$K$4="CA",'2026'!$K$2=CJ271),'2026DATA'!$C$9,"")</f>
        <v/>
      </c>
      <c r="CK278" s="518" t="str">
        <f>IF(AND(_6="A-330-200",'2026'!$K$4="CA",'2026'!$K$2=CK271),'2026DATA'!$D$9,"")</f>
        <v/>
      </c>
      <c r="CL278" s="518" t="str">
        <f>IF(AND(_6="A-330-200",'2026'!$K$4="CA",'2026'!$K$2=CL271),'2026DATA'!$E$9,"")</f>
        <v/>
      </c>
      <c r="CM278" s="518" t="str">
        <f>IF(AND(_6="A-330-200",'2026'!$K$4="CA",'2026'!$K$2=CM271),'2026DATA'!$F$9,"")</f>
        <v/>
      </c>
      <c r="CN278" s="518" t="str">
        <f>IF(AND(_6="A-330-200",'2026'!$K$4="CA",'2026'!$K$2=CN271),'2026DATA'!$G$9,"")</f>
        <v/>
      </c>
      <c r="CO278" s="518" t="str">
        <f>IF(AND(_6="A-330-200",'2026'!$K$4="CA",'2026'!$K$2=CO271),'2026DATA'!$H$9,"")</f>
        <v/>
      </c>
      <c r="CP278" s="518" t="str">
        <f>IF(AND(_6="A-330-200",'2026'!$K$4="CA",'2026'!$K$2=CP271),'2026DATA'!$I$9,"")</f>
        <v/>
      </c>
      <c r="CQ278" s="518" t="str">
        <f>IF(AND(_6="A-330-200",'2026'!$K$4="CA",'2026'!$K$2=CQ271),'2026DATA'!$J$9,"")</f>
        <v/>
      </c>
      <c r="CR278" s="518" t="str">
        <f>IF(AND(_6="A-330-200",'2026'!$K$4="CA",'2026'!$K$2=CR271),'2026DATA'!$K$9,"")</f>
        <v/>
      </c>
      <c r="CS278" s="518" t="str">
        <f>IF(AND(_6="A-330-200",'2026'!$K$4="CA",'2026'!$K$2=CS271),'2026DATA'!$L$9,"")</f>
        <v/>
      </c>
      <c r="CT278" s="518" t="str">
        <f>IF(AND(_6="A-330-200",'2026'!$K$4="CA",'2026'!$K$2=CT271),'2026DATA'!$M$9,"")</f>
        <v/>
      </c>
      <c r="CU278" s="520" t="str">
        <f>IF(AND(_6="A-330-200",'2026'!$K$4="CA",'2026'!$K$2=CU271),'2026DATA'!$N$9,"")</f>
        <v/>
      </c>
    </row>
    <row r="279" spans="16:99" x14ac:dyDescent="0.25">
      <c r="P279" s="940"/>
      <c r="Q279" s="13" t="s">
        <v>62</v>
      </c>
      <c r="R279" s="518" t="str">
        <f>IF(AND(_1="A-330-200",'2026'!$K$4="FO",'2026'!$K$2=R271),'2026DATA'!$C$10,"")</f>
        <v/>
      </c>
      <c r="S279" s="518" t="str">
        <f>IF(AND(_1="A-330-200",'2026'!$K$4="FO",'2026'!$K$2=S271),'2026DATA'!$D$10,"")</f>
        <v/>
      </c>
      <c r="T279" s="518" t="str">
        <f>IF(AND(_1="A-330-200",'2026'!$K$4="FO",'2026'!$K$2=T271),'2026DATA'!$E$10,"")</f>
        <v/>
      </c>
      <c r="U279" s="518" t="str">
        <f>IF(AND(_1="A-330-200",'2026'!$K$4="FO",'2026'!$K$2=U271),'2026DATA'!$F$10,"")</f>
        <v/>
      </c>
      <c r="V279" s="518" t="str">
        <f>IF(AND(_1="A-330-200",'2026'!$K$4="FO",'2026'!$K$2=V271),'2026DATA'!$G$10,"")</f>
        <v/>
      </c>
      <c r="W279" s="518" t="str">
        <f>IF(AND(_1="A-330-200",'2026'!$K$4="FO",'2026'!$K$2=W271),'2026DATA'!$H$10,"")</f>
        <v/>
      </c>
      <c r="X279" s="518" t="str">
        <f>IF(AND(_1="A-330-200",'2026'!$K$4="FO",'2026'!$K$2=X271),'2026DATA'!$I$10,"")</f>
        <v/>
      </c>
      <c r="Y279" s="518" t="str">
        <f>IF(AND(_1="A-330-200",'2026'!$K$4="FO",'2026'!$K$2=Y271),'2026DATA'!$J$10,"")</f>
        <v/>
      </c>
      <c r="Z279" s="518" t="str">
        <f>IF(AND(_1="A-330-200",'2026'!$K$4="FO",'2026'!$K$2=Z271),'2026DATA'!$K$10,"")</f>
        <v/>
      </c>
      <c r="AA279" s="518" t="str">
        <f>IF(AND(_1="A-330-200",'2026'!$K$4="FO",'2026'!$K$2=AA271),'2026DATA'!$L$10,"")</f>
        <v/>
      </c>
      <c r="AB279" s="518" t="str">
        <f>IF(AND(_1="A-330-200",'2026'!$K$4="FO",'2026'!$K$2=AB271),'2026DATA'!$M$10,"")</f>
        <v/>
      </c>
      <c r="AC279" s="520" t="str">
        <f>IF(AND(_1="A-330-200",'2026'!$K$4="FO",'2026'!$K$2=AC271),'2026DATA'!$N$10,"")</f>
        <v/>
      </c>
      <c r="AD279" s="940"/>
      <c r="AE279" s="13" t="s">
        <v>62</v>
      </c>
      <c r="AF279" s="518" t="str">
        <f>IF(AND(_2="A-330-200",'2026'!$K$4="FO",'2026'!$K$2=AF271),'2026DATA'!$C$10,"")</f>
        <v/>
      </c>
      <c r="AG279" s="518" t="str">
        <f>IF(AND(_2="A-330-200",'2026'!$K$4="FO",'2026'!$K$2=AG271),'2026DATA'!$D$10,"")</f>
        <v/>
      </c>
      <c r="AH279" s="518" t="str">
        <f>IF(AND(_2="A-330-200",'2026'!$K$4="FO",'2026'!$K$2=AH271),'2026DATA'!$E$10,"")</f>
        <v/>
      </c>
      <c r="AI279" s="518" t="str">
        <f>IF(AND(_2="A-330-200",'2026'!$K$4="FO",'2026'!$K$2=AI271),'2026DATA'!$F$10,"")</f>
        <v/>
      </c>
      <c r="AJ279" s="518" t="str">
        <f>IF(AND(_2="A-330-200",'2026'!$K$4="FO",'2026'!$K$2=AJ271),'2026DATA'!$G$10,"")</f>
        <v/>
      </c>
      <c r="AK279" s="518" t="str">
        <f>IF(AND(_2="A-330-200",'2026'!$K$4="FO",'2026'!$K$2=AK271),'2026DATA'!$H$10,"")</f>
        <v/>
      </c>
      <c r="AL279" s="518" t="str">
        <f>IF(AND(_2="A-330-200",'2026'!$K$4="FO",'2026'!$K$2=AL271),'2026DATA'!$I$10,"")</f>
        <v/>
      </c>
      <c r="AM279" s="518" t="str">
        <f>IF(AND(_2="A-330-200",'2026'!$K$4="FO",'2026'!$K$2=AM271),'2026DATA'!$J$10,"")</f>
        <v/>
      </c>
      <c r="AN279" s="518" t="str">
        <f>IF(AND(_2="A-330-200",'2026'!$K$4="FO",'2026'!$K$2=AN271),'2026DATA'!$K$10,"")</f>
        <v/>
      </c>
      <c r="AO279" s="518" t="str">
        <f>IF(AND(_2="A-330-200",'2026'!$K$4="FO",'2026'!$K$2=AO271),'2026DATA'!$L$10,"")</f>
        <v/>
      </c>
      <c r="AP279" s="518" t="str">
        <f>IF(AND(_2="A-330-200",'2026'!$K$4="FO",'2026'!$K$2=AP271),'2026DATA'!$M$10,"")</f>
        <v/>
      </c>
      <c r="AQ279" s="520" t="str">
        <f>IF(AND(_2="A-330-200",'2026'!$K$4="FO",'2026'!$K$2=AQ271),'2026DATA'!$N$10,"")</f>
        <v/>
      </c>
      <c r="AR279" s="940"/>
      <c r="AS279" s="13" t="s">
        <v>62</v>
      </c>
      <c r="AT279" s="518" t="str">
        <f>IF(AND(_3="A-330-200",'2026'!$K$4="FO",'2026'!$K$2=AT271),'2026DATA'!$C$10,"")</f>
        <v/>
      </c>
      <c r="AU279" s="518" t="str">
        <f>IF(AND(_3="A-330-200",'2026'!$K$4="FO",'2026'!$K$2=AU271),'2026DATA'!$D$10,"")</f>
        <v/>
      </c>
      <c r="AV279" s="518" t="str">
        <f>IF(AND(_3="A-330-200",'2026'!$K$4="FO",'2026'!$K$2=AV271),'2026DATA'!$E$10,"")</f>
        <v/>
      </c>
      <c r="AW279" s="518" t="str">
        <f>IF(AND(_3="A-330-200",'2026'!$K$4="FO",'2026'!$K$2=AW271),'2026DATA'!$F$10,"")</f>
        <v/>
      </c>
      <c r="AX279" s="518" t="str">
        <f>IF(AND(_3="A-330-200",'2026'!$K$4="FO",'2026'!$K$2=AX271),'2026DATA'!$G$10,"")</f>
        <v/>
      </c>
      <c r="AY279" s="518" t="str">
        <f>IF(AND(_3="A-330-200",'2026'!$K$4="FO",'2026'!$K$2=AY271),'2026DATA'!$H$10,"")</f>
        <v/>
      </c>
      <c r="AZ279" s="518" t="str">
        <f>IF(AND(_3="A-330-200",'2026'!$K$4="FO",'2026'!$K$2=AZ271),'2026DATA'!$I$10,"")</f>
        <v/>
      </c>
      <c r="BA279" s="518" t="str">
        <f>IF(AND(_3="A-330-200",'2026'!$K$4="FO",'2026'!$K$2=BA271),'2026DATA'!$J$10,"")</f>
        <v/>
      </c>
      <c r="BB279" s="518" t="str">
        <f>IF(AND(_3="A-330-200",'2026'!$K$4="FO",'2026'!$K$2=BB271),'2026DATA'!$K$10,"")</f>
        <v/>
      </c>
      <c r="BC279" s="518" t="str">
        <f>IF(AND(_3="A-330-200",'2026'!$K$4="FO",'2026'!$K$2=BC271),'2026DATA'!$L$10,"")</f>
        <v/>
      </c>
      <c r="BD279" s="518" t="str">
        <f>IF(AND(_3="A-330-200",'2026'!$K$4="FO",'2026'!$K$2=BD271),'2026DATA'!$M$10,"")</f>
        <v/>
      </c>
      <c r="BE279" s="520" t="str">
        <f>IF(AND(_3="A-330-200",'2026'!$K$4="FO",'2026'!$K$2=BE271),'2026DATA'!$N$10,"")</f>
        <v/>
      </c>
      <c r="BF279" s="940"/>
      <c r="BG279" s="13" t="s">
        <v>62</v>
      </c>
      <c r="BH279" s="518" t="str">
        <f>IF(AND(_4="A-330-200",'2026'!$K$4="FO",'2026'!$K$2=BH271),'2026DATA'!$C$10,"")</f>
        <v/>
      </c>
      <c r="BI279" s="518" t="str">
        <f>IF(AND(_4="A-330-200",'2026'!$K$4="FO",'2026'!$K$2=BI271),'2026DATA'!$D$10,"")</f>
        <v/>
      </c>
      <c r="BJ279" s="518" t="str">
        <f>IF(AND(_4="A-330-200",'2026'!$K$4="FO",'2026'!$K$2=BJ271),'2026DATA'!$E$10,"")</f>
        <v/>
      </c>
      <c r="BK279" s="518" t="str">
        <f>IF(AND(_4="A-330-200",'2026'!$K$4="FO",'2026'!$K$2=BK271),'2026DATA'!$F$10,"")</f>
        <v/>
      </c>
      <c r="BL279" s="518" t="str">
        <f>IF(AND(_4="A-330-200",'2026'!$K$4="FO",'2026'!$K$2=BL271),'2026DATA'!$G$10,"")</f>
        <v/>
      </c>
      <c r="BM279" s="518" t="str">
        <f>IF(AND(_4="A-330-200",'2026'!$K$4="FO",'2026'!$K$2=BM271),'2026DATA'!$H$10,"")</f>
        <v/>
      </c>
      <c r="BN279" s="518" t="str">
        <f>IF(AND(_4="A-330-200",'2026'!$K$4="FO",'2026'!$K$2=BN271),'2026DATA'!$I$10,"")</f>
        <v/>
      </c>
      <c r="BO279" s="518" t="str">
        <f>IF(AND(_4="A-330-200",'2026'!$K$4="FO",'2026'!$K$2=BO271),'2026DATA'!$J$10,"")</f>
        <v/>
      </c>
      <c r="BP279" s="518" t="str">
        <f>IF(AND(_4="A-330-200",'2026'!$K$4="FO",'2026'!$K$2=BP271),'2026DATA'!$K$10,"")</f>
        <v/>
      </c>
      <c r="BQ279" s="518" t="str">
        <f>IF(AND(_4="A-330-200",'2026'!$K$4="FO",'2026'!$K$2=BQ271),'2026DATA'!$L$10,"")</f>
        <v/>
      </c>
      <c r="BR279" s="518" t="str">
        <f>IF(AND(_4="A-330-200",'2026'!$K$4="FO",'2026'!$K$2=BR271),'2026DATA'!$M$10,"")</f>
        <v/>
      </c>
      <c r="BS279" s="520" t="str">
        <f>IF(AND(_4="A-330-200",'2026'!$K$4="FO",'2026'!$K$2=BS271),'2026DATA'!$N$10,"")</f>
        <v/>
      </c>
      <c r="BT279" s="940"/>
      <c r="BU279" s="13" t="s">
        <v>62</v>
      </c>
      <c r="BV279" s="518" t="str">
        <f>IF(AND(_5="A-330-200",'2026'!$K$4="FO",'2026'!$K$2=BV271),'2026DATA'!$C$10,"")</f>
        <v/>
      </c>
      <c r="BW279" s="518" t="str">
        <f>IF(AND(_5="A-330-200",'2026'!$K$4="FO",'2026'!$K$2=BW271),'2026DATA'!$D$10,"")</f>
        <v/>
      </c>
      <c r="BX279" s="518" t="str">
        <f>IF(AND(_5="A-330-200",'2026'!$K$4="FO",'2026'!$K$2=BX271),'2026DATA'!$E$10,"")</f>
        <v/>
      </c>
      <c r="BY279" s="518" t="str">
        <f>IF(AND(_5="A-330-200",'2026'!$K$4="FO",'2026'!$K$2=BY271),'2026DATA'!$F$10,"")</f>
        <v/>
      </c>
      <c r="BZ279" s="518" t="str">
        <f>IF(AND(_5="A-330-200",'2026'!$K$4="FO",'2026'!$K$2=BZ271),'2026DATA'!$G$10,"")</f>
        <v/>
      </c>
      <c r="CA279" s="518" t="str">
        <f>IF(AND(_5="A-330-200",'2026'!$K$4="FO",'2026'!$K$2=CA271),'2026DATA'!$H$10,"")</f>
        <v/>
      </c>
      <c r="CB279" s="518" t="str">
        <f>IF(AND(_5="A-330-200",'2026'!$K$4="FO",'2026'!$K$2=CB271),'2026DATA'!$I$10,"")</f>
        <v/>
      </c>
      <c r="CC279" s="518" t="str">
        <f>IF(AND(_5="A-330-200",'2026'!$K$4="FO",'2026'!$K$2=CC271),'2026DATA'!$J$10,"")</f>
        <v/>
      </c>
      <c r="CD279" s="518" t="str">
        <f>IF(AND(_5="A-330-200",'2026'!$K$4="FO",'2026'!$K$2=CD271),'2026DATA'!$K$10,"")</f>
        <v/>
      </c>
      <c r="CE279" s="518" t="str">
        <f>IF(AND(_5="A-330-200",'2026'!$K$4="FO",'2026'!$K$2=CE271),'2026DATA'!$L$10,"")</f>
        <v/>
      </c>
      <c r="CF279" s="518" t="str">
        <f>IF(AND(_5="A-330-200",'2026'!$K$4="FO",'2026'!$K$2=CF271),'2026DATA'!$M$10,"")</f>
        <v/>
      </c>
      <c r="CG279" s="520" t="str">
        <f>IF(AND(_5="A-330-200",'2026'!$K$4="FO",'2026'!$K$2=CG271),'2026DATA'!$N$10,"")</f>
        <v/>
      </c>
      <c r="CH279" s="940"/>
      <c r="CI279" s="13" t="s">
        <v>62</v>
      </c>
      <c r="CJ279" s="518" t="str">
        <f>IF(AND(_6="A-330-200",'2026'!$K$4="FO",'2026'!$K$2=CJ271),'2026DATA'!$C$10,"")</f>
        <v/>
      </c>
      <c r="CK279" s="518" t="str">
        <f>IF(AND(_6="A-330-200",'2026'!$K$4="FO",'2026'!$K$2=CK271),'2026DATA'!$D$10,"")</f>
        <v/>
      </c>
      <c r="CL279" s="518" t="str">
        <f>IF(AND(_6="A-330-200",'2026'!$K$4="FO",'2026'!$K$2=CL271),'2026DATA'!$E$10,"")</f>
        <v/>
      </c>
      <c r="CM279" s="518" t="str">
        <f>IF(AND(_6="A-330-200",'2026'!$K$4="FO",'2026'!$K$2=CM271),'2026DATA'!$F$10,"")</f>
        <v/>
      </c>
      <c r="CN279" s="518" t="str">
        <f>IF(AND(_6="A-330-200",'2026'!$K$4="FO",'2026'!$K$2=CN271),'2026DATA'!$G$10,"")</f>
        <v/>
      </c>
      <c r="CO279" s="518" t="str">
        <f>IF(AND(_6="A-330-200",'2026'!$K$4="FO",'2026'!$K$2=CO271),'2026DATA'!$H$10,"")</f>
        <v/>
      </c>
      <c r="CP279" s="518" t="str">
        <f>IF(AND(_6="A-330-200",'2026'!$K$4="FO",'2026'!$K$2=CP271),'2026DATA'!$I$10,"")</f>
        <v/>
      </c>
      <c r="CQ279" s="518" t="str">
        <f>IF(AND(_6="A-330-200",'2026'!$K$4="FO",'2026'!$K$2=CQ271),'2026DATA'!$J$10,"")</f>
        <v/>
      </c>
      <c r="CR279" s="518" t="str">
        <f>IF(AND(_6="A-330-200",'2026'!$K$4="FO",'2026'!$K$2=CR271),'2026DATA'!$K$10,"")</f>
        <v/>
      </c>
      <c r="CS279" s="518" t="str">
        <f>IF(AND(_6="A-330-200",'2026'!$K$4="FO",'2026'!$K$2=CS271),'2026DATA'!$L$10,"")</f>
        <v/>
      </c>
      <c r="CT279" s="518" t="str">
        <f>IF(AND(_6="A-330-200",'2026'!$K$4="FO",'2026'!$K$2=CT271),'2026DATA'!$M$10,"")</f>
        <v/>
      </c>
      <c r="CU279" s="520" t="str">
        <f>IF(AND(_6="A-330-200",'2026'!$K$4="FO",'2026'!$K$2=CU271),'2026DATA'!$N$10,"")</f>
        <v/>
      </c>
    </row>
    <row r="280" spans="16:99" x14ac:dyDescent="0.25">
      <c r="P280" s="940" t="s">
        <v>42</v>
      </c>
      <c r="Q280" s="13" t="s">
        <v>61</v>
      </c>
      <c r="R280" s="518" t="str">
        <f>IF(AND(_1="B-767-400ER",'2026'!$K$4="CA",'2026'!$K$2=R271),'2026DATA'!$C$11,"")</f>
        <v/>
      </c>
      <c r="S280" s="518" t="str">
        <f>IF(AND(_1="B-767-400ER",'2026'!$K$4="CA",'2026'!$K$2=S271),'2026DATA'!$D$11,"")</f>
        <v/>
      </c>
      <c r="T280" s="518" t="str">
        <f>IF(AND(_1="B-767-400ER",'2026'!$K$4="CA",'2026'!$K$2=T271),'2026DATA'!$E$11,"")</f>
        <v/>
      </c>
      <c r="U280" s="518" t="str">
        <f>IF(AND(_1="B-767-400ER",'2026'!$K$4="CA",'2026'!$K$2=U271),'2026DATA'!$F$11,"")</f>
        <v/>
      </c>
      <c r="V280" s="518" t="str">
        <f>IF(AND(_1="B-767-400ER",'2026'!$K$4="CA",'2026'!$K$2=V271),'2026DATA'!$G$11,"")</f>
        <v/>
      </c>
      <c r="W280" s="518" t="str">
        <f>IF(AND(_1="B-767-400ER",'2026'!$K$4="CA",'2026'!$K$2=W271),'2026DATA'!$H$11,"")</f>
        <v/>
      </c>
      <c r="X280" s="518" t="str">
        <f>IF(AND(_1="B-767-400ER",'2026'!$K$4="CA",'2026'!$K$2=X271),'2026DATA'!$I$11,"")</f>
        <v/>
      </c>
      <c r="Y280" s="518" t="str">
        <f>IF(AND(_1="B-767-400ER",'2026'!$K$4="CA",'2026'!$K$2=Y271),'2026DATA'!$J$11,"")</f>
        <v/>
      </c>
      <c r="Z280" s="518" t="str">
        <f>IF(AND(_1="B-767-400ER",'2026'!$K$4="CA",'2026'!$K$2=Z271),'2026DATA'!$K$11,"")</f>
        <v/>
      </c>
      <c r="AA280" s="518" t="str">
        <f>IF(AND(_1="B-767-400ER",'2026'!$K$4="CA",'2026'!$K$2=AA271),'2026DATA'!$L$11,"")</f>
        <v/>
      </c>
      <c r="AB280" s="518" t="str">
        <f>IF(AND(_1="B-767-400ER",'2026'!$K$4="CA",'2026'!$K$2=AB271),'2026DATA'!$M$11,"")</f>
        <v/>
      </c>
      <c r="AC280" s="520" t="str">
        <f>IF(AND(_1="B-767-400ER",'2026'!$K$4="CA",'2026'!$K$2=AC271),'2026DATA'!$N$11,"")</f>
        <v/>
      </c>
      <c r="AD280" s="940" t="s">
        <v>42</v>
      </c>
      <c r="AE280" s="13" t="s">
        <v>61</v>
      </c>
      <c r="AF280" s="518" t="str">
        <f>IF(AND(_2="B-767-400ER",'2026'!$K$4="CA",'2026'!$K$2=AF271),'2026DATA'!$C$11,"")</f>
        <v/>
      </c>
      <c r="AG280" s="518" t="str">
        <f>IF(AND(_2="B-767-400ER",'2026'!$K$4="CA",'2026'!$K$2=AG271),'2026DATA'!$D$11,"")</f>
        <v/>
      </c>
      <c r="AH280" s="518" t="str">
        <f>IF(AND(_2="B-767-400ER",'2026'!$K$4="CA",'2026'!$K$2=AH271),'2026DATA'!$E$11,"")</f>
        <v/>
      </c>
      <c r="AI280" s="518" t="str">
        <f>IF(AND(_2="B-767-400ER",'2026'!$K$4="CA",'2026'!$K$2=AI271),'2026DATA'!$F$11,"")</f>
        <v/>
      </c>
      <c r="AJ280" s="518" t="str">
        <f>IF(AND(_2="B-767-400ER",'2026'!$K$4="CA",'2026'!$K$2=AJ271),'2026DATA'!$G$11,"")</f>
        <v/>
      </c>
      <c r="AK280" s="518" t="str">
        <f>IF(AND(_2="B-767-400ER",'2026'!$K$4="CA",'2026'!$K$2=AK271),'2026DATA'!$H$11,"")</f>
        <v/>
      </c>
      <c r="AL280" s="518" t="str">
        <f>IF(AND(_2="B-767-400ER",'2026'!$K$4="CA",'2026'!$K$2=AL271),'2026DATA'!$I$11,"")</f>
        <v/>
      </c>
      <c r="AM280" s="518" t="str">
        <f>IF(AND(_2="B-767-400ER",'2026'!$K$4="CA",'2026'!$K$2=AM271),'2026DATA'!$J$11,"")</f>
        <v/>
      </c>
      <c r="AN280" s="518" t="str">
        <f>IF(AND(_2="B-767-400ER",'2026'!$K$4="CA",'2026'!$K$2=AN271),'2026DATA'!$K$11,"")</f>
        <v/>
      </c>
      <c r="AO280" s="518" t="str">
        <f>IF(AND(_2="B-767-400ER",'2026'!$K$4="CA",'2026'!$K$2=AO271),'2026DATA'!$L$11,"")</f>
        <v/>
      </c>
      <c r="AP280" s="518" t="str">
        <f>IF(AND(_2="B-767-400ER",'2026'!$K$4="CA",'2026'!$K$2=AP271),'2026DATA'!$M$11,"")</f>
        <v/>
      </c>
      <c r="AQ280" s="520" t="str">
        <f>IF(AND(_2="B-767-400ER",'2026'!$K$4="CA",'2026'!$K$2=AQ271),'2026DATA'!$N$11,"")</f>
        <v/>
      </c>
      <c r="AR280" s="940" t="s">
        <v>42</v>
      </c>
      <c r="AS280" s="13" t="s">
        <v>61</v>
      </c>
      <c r="AT280" s="518" t="str">
        <f>IF(AND(_3="B-767-400ER",'2026'!$K$4="CA",'2026'!$K$2=AT271),'2026DATA'!$C$11,"")</f>
        <v/>
      </c>
      <c r="AU280" s="518" t="str">
        <f>IF(AND(_3="B-767-400ER",'2026'!$K$4="CA",'2026'!$K$2=AU271),'2026DATA'!$D$11,"")</f>
        <v/>
      </c>
      <c r="AV280" s="518" t="str">
        <f>IF(AND(_3="B-767-400ER",'2026'!$K$4="CA",'2026'!$K$2=AV271),'2026DATA'!$E$11,"")</f>
        <v/>
      </c>
      <c r="AW280" s="518" t="str">
        <f>IF(AND(_3="B-767-400ER",'2026'!$K$4="CA",'2026'!$K$2=AW271),'2026DATA'!$F$11,"")</f>
        <v/>
      </c>
      <c r="AX280" s="518" t="str">
        <f>IF(AND(_3="B-767-400ER",'2026'!$K$4="CA",'2026'!$K$2=AX271),'2026DATA'!$G$11,"")</f>
        <v/>
      </c>
      <c r="AY280" s="518" t="str">
        <f>IF(AND(_3="B-767-400ER",'2026'!$K$4="CA",'2026'!$K$2=AY271),'2026DATA'!$H$11,"")</f>
        <v/>
      </c>
      <c r="AZ280" s="518" t="str">
        <f>IF(AND(_3="B-767-400ER",'2026'!$K$4="CA",'2026'!$K$2=AZ271),'2026DATA'!$I$11,"")</f>
        <v/>
      </c>
      <c r="BA280" s="518" t="str">
        <f>IF(AND(_3="B-767-400ER",'2026'!$K$4="CA",'2026'!$K$2=BA271),'2026DATA'!$J$11,"")</f>
        <v/>
      </c>
      <c r="BB280" s="518" t="str">
        <f>IF(AND(_3="B-767-400ER",'2026'!$K$4="CA",'2026'!$K$2=BB271),'2026DATA'!$K$11,"")</f>
        <v/>
      </c>
      <c r="BC280" s="518" t="str">
        <f>IF(AND(_3="B-767-400ER",'2026'!$K$4="CA",'2026'!$K$2=BC271),'2026DATA'!$L$11,"")</f>
        <v/>
      </c>
      <c r="BD280" s="518" t="str">
        <f>IF(AND(_3="B-767-400ER",'2026'!$K$4="CA",'2026'!$K$2=BD271),'2026DATA'!$M$11,"")</f>
        <v/>
      </c>
      <c r="BE280" s="520" t="str">
        <f>IF(AND(_3="B-767-400ER",'2026'!$K$4="CA",'2026'!$K$2=BE271),'2026DATA'!$N$11,"")</f>
        <v/>
      </c>
      <c r="BF280" s="940" t="s">
        <v>42</v>
      </c>
      <c r="BG280" s="13" t="s">
        <v>61</v>
      </c>
      <c r="BH280" s="518" t="str">
        <f>IF(AND(_4="B-767-400ER",'2026'!$K$4="CA",'2026'!$K$2=BH271),'2026DATA'!$C$11,"")</f>
        <v/>
      </c>
      <c r="BI280" s="518" t="str">
        <f>IF(AND(_4="B-767-400ER",'2026'!$K$4="CA",'2026'!$K$2=BI271),'2026DATA'!$D$11,"")</f>
        <v/>
      </c>
      <c r="BJ280" s="518" t="str">
        <f>IF(AND(_4="B-767-400ER",'2026'!$K$4="CA",'2026'!$K$2=BJ271),'2026DATA'!$E$11,"")</f>
        <v/>
      </c>
      <c r="BK280" s="518" t="str">
        <f>IF(AND(_4="B-767-400ER",'2026'!$K$4="CA",'2026'!$K$2=BK271),'2026DATA'!$F$11,"")</f>
        <v/>
      </c>
      <c r="BL280" s="518" t="str">
        <f>IF(AND(_4="B-767-400ER",'2026'!$K$4="CA",'2026'!$K$2=BL271),'2026DATA'!$G$11,"")</f>
        <v/>
      </c>
      <c r="BM280" s="518" t="str">
        <f>IF(AND(_4="B-767-400ER",'2026'!$K$4="CA",'2026'!$K$2=BM271),'2026DATA'!$H$11,"")</f>
        <v/>
      </c>
      <c r="BN280" s="518" t="str">
        <f>IF(AND(_4="B-767-400ER",'2026'!$K$4="CA",'2026'!$K$2=BN271),'2026DATA'!$I$11,"")</f>
        <v/>
      </c>
      <c r="BO280" s="518" t="str">
        <f>IF(AND(_4="B-767-400ER",'2026'!$K$4="CA",'2026'!$K$2=BO271),'2026DATA'!$J$11,"")</f>
        <v/>
      </c>
      <c r="BP280" s="518" t="str">
        <f>IF(AND(_4="B-767-400ER",'2026'!$K$4="CA",'2026'!$K$2=BP271),'2026DATA'!$K$11,"")</f>
        <v/>
      </c>
      <c r="BQ280" s="518" t="str">
        <f>IF(AND(_4="B-767-400ER",'2026'!$K$4="CA",'2026'!$K$2=BQ271),'2026DATA'!$L$11,"")</f>
        <v/>
      </c>
      <c r="BR280" s="518" t="str">
        <f>IF(AND(_4="B-767-400ER",'2026'!$K$4="CA",'2026'!$K$2=BR271),'2026DATA'!$M$11,"")</f>
        <v/>
      </c>
      <c r="BS280" s="520" t="str">
        <f>IF(AND(_4="B-767-400ER",'2026'!$K$4="CA",'2026'!$K$2=BS271),'2026DATA'!$N$11,"")</f>
        <v/>
      </c>
      <c r="BT280" s="940" t="s">
        <v>42</v>
      </c>
      <c r="BU280" s="13" t="s">
        <v>61</v>
      </c>
      <c r="BV280" s="518" t="str">
        <f>IF(AND(_5="B-767-400ER",'2026'!$K$4="CA",'2026'!$K$2=BV271),'2026DATA'!$C$11,"")</f>
        <v/>
      </c>
      <c r="BW280" s="518" t="str">
        <f>IF(AND(_5="B-767-400ER",'2026'!$K$4="CA",'2026'!$K$2=BW271),'2026DATA'!$D$11,"")</f>
        <v/>
      </c>
      <c r="BX280" s="518" t="str">
        <f>IF(AND(_5="B-767-400ER",'2026'!$K$4="CA",'2026'!$K$2=BX271),'2026DATA'!$E$11,"")</f>
        <v/>
      </c>
      <c r="BY280" s="518" t="str">
        <f>IF(AND(_5="B-767-400ER",'2026'!$K$4="CA",'2026'!$K$2=BY271),'2026DATA'!$F$11,"")</f>
        <v/>
      </c>
      <c r="BZ280" s="518" t="str">
        <f>IF(AND(_5="B-767-400ER",'2026'!$K$4="CA",'2026'!$K$2=BZ271),'2026DATA'!$G$11,"")</f>
        <v/>
      </c>
      <c r="CA280" s="518" t="str">
        <f>IF(AND(_5="B-767-400ER",'2026'!$K$4="CA",'2026'!$K$2=CA271),'2026DATA'!$H$11,"")</f>
        <v/>
      </c>
      <c r="CB280" s="518" t="str">
        <f>IF(AND(_5="B-767-400ER",'2026'!$K$4="CA",'2026'!$K$2=CB271),'2026DATA'!$I$11,"")</f>
        <v/>
      </c>
      <c r="CC280" s="518" t="str">
        <f>IF(AND(_5="B-767-400ER",'2026'!$K$4="CA",'2026'!$K$2=CC271),'2026DATA'!$J$11,"")</f>
        <v/>
      </c>
      <c r="CD280" s="518" t="str">
        <f>IF(AND(_5="B-767-400ER",'2026'!$K$4="CA",'2026'!$K$2=CD271),'2026DATA'!$K$11,"")</f>
        <v/>
      </c>
      <c r="CE280" s="518" t="str">
        <f>IF(AND(_5="B-767-400ER",'2026'!$K$4="CA",'2026'!$K$2=CE271),'2026DATA'!$L$11,"")</f>
        <v/>
      </c>
      <c r="CF280" s="518" t="str">
        <f>IF(AND(_5="B-767-400ER",'2026'!$K$4="CA",'2026'!$K$2=CF271),'2026DATA'!$M$11,"")</f>
        <v/>
      </c>
      <c r="CG280" s="520" t="str">
        <f>IF(AND(_5="B-767-400ER",'2026'!$K$4="CA",'2026'!$K$2=CG271),'2026DATA'!$N$11,"")</f>
        <v/>
      </c>
      <c r="CH280" s="940" t="s">
        <v>42</v>
      </c>
      <c r="CI280" s="13" t="s">
        <v>61</v>
      </c>
      <c r="CJ280" s="518" t="str">
        <f>IF(AND(_6="B-767-400ER",'2026'!$K$4="CA",'2026'!$K$2=CJ271),'2026DATA'!$C$11,"")</f>
        <v/>
      </c>
      <c r="CK280" s="518" t="str">
        <f>IF(AND(_6="B-767-400ER",'2026'!$K$4="CA",'2026'!$K$2=CK271),'2026DATA'!$D$11,"")</f>
        <v/>
      </c>
      <c r="CL280" s="518" t="str">
        <f>IF(AND(_6="B-767-400ER",'2026'!$K$4="CA",'2026'!$K$2=CL271),'2026DATA'!$E$11,"")</f>
        <v/>
      </c>
      <c r="CM280" s="518" t="str">
        <f>IF(AND(_6="B-767-400ER",'2026'!$K$4="CA",'2026'!$K$2=CM271),'2026DATA'!$F$11,"")</f>
        <v/>
      </c>
      <c r="CN280" s="518" t="str">
        <f>IF(AND(_6="B-767-400ER",'2026'!$K$4="CA",'2026'!$K$2=CN271),'2026DATA'!$G$11,"")</f>
        <v/>
      </c>
      <c r="CO280" s="518" t="str">
        <f>IF(AND(_6="B-767-400ER",'2026'!$K$4="CA",'2026'!$K$2=CO271),'2026DATA'!$H$11,"")</f>
        <v/>
      </c>
      <c r="CP280" s="518" t="str">
        <f>IF(AND(_6="B-767-400ER",'2026'!$K$4="CA",'2026'!$K$2=CP271),'2026DATA'!$I$11,"")</f>
        <v/>
      </c>
      <c r="CQ280" s="518" t="str">
        <f>IF(AND(_6="B-767-400ER",'2026'!$K$4="CA",'2026'!$K$2=CQ271),'2026DATA'!$J$11,"")</f>
        <v/>
      </c>
      <c r="CR280" s="518" t="str">
        <f>IF(AND(_6="B-767-400ER",'2026'!$K$4="CA",'2026'!$K$2=CR271),'2026DATA'!$K$11,"")</f>
        <v/>
      </c>
      <c r="CS280" s="518" t="str">
        <f>IF(AND(_6="B-767-400ER",'2026'!$K$4="CA",'2026'!$K$2=CS271),'2026DATA'!$L$11,"")</f>
        <v/>
      </c>
      <c r="CT280" s="518" t="str">
        <f>IF(AND(_6="B-767-400ER",'2026'!$K$4="CA",'2026'!$K$2=CT271),'2026DATA'!$M$11,"")</f>
        <v/>
      </c>
      <c r="CU280" s="520" t="str">
        <f>IF(AND(_6="B-767-400ER",'2026'!$K$4="CA",'2026'!$K$2=CU271),'2026DATA'!$N$11,"")</f>
        <v/>
      </c>
    </row>
    <row r="281" spans="16:99" x14ac:dyDescent="0.25">
      <c r="P281" s="940"/>
      <c r="Q281" s="13" t="s">
        <v>62</v>
      </c>
      <c r="R281" s="518" t="str">
        <f>IF(AND(_1="B-767-400ER",'2026'!$K$4="FO",'2026'!$K$2=R271),'2026DATA'!$C$12,"")</f>
        <v/>
      </c>
      <c r="S281" s="518" t="str">
        <f>IF(AND(_1="B-767-400ER",'2026'!$K$4="FO",'2026'!$K$2=S271),'2026DATA'!$D$12,"")</f>
        <v/>
      </c>
      <c r="T281" s="518" t="str">
        <f>IF(AND(_1="B-767-400ER",'2026'!$K$4="FO",'2026'!$K$2=T271),'2026DATA'!$E$12,"")</f>
        <v/>
      </c>
      <c r="U281" s="518" t="str">
        <f>IF(AND(_1="B-767-400ER",'2026'!$K$4="FO",'2026'!$K$2=U271),'2026DATA'!$F$12,"")</f>
        <v/>
      </c>
      <c r="V281" s="518" t="str">
        <f>IF(AND(_1="B-767-400ER",'2026'!$K$4="FO",'2026'!$K$2=V271),'2026DATA'!$G$12,"")</f>
        <v/>
      </c>
      <c r="W281" s="518" t="str">
        <f>IF(AND(_1="B-767-400ER",'2026'!$K$4="FO",'2026'!$K$2=W271),'2026DATA'!$H$12,"")</f>
        <v/>
      </c>
      <c r="X281" s="518" t="str">
        <f>IF(AND(_1="B-767-400ER",'2026'!$K$4="FO",'2026'!$K$2=X271),'2026DATA'!$I$12,"")</f>
        <v/>
      </c>
      <c r="Y281" s="518" t="str">
        <f>IF(AND(_1="B-767-400ER",'2026'!$K$4="FO",'2026'!$K$2=Y271),'2026DATA'!$J$12,"")</f>
        <v/>
      </c>
      <c r="Z281" s="518" t="str">
        <f>IF(AND(_1="B-767-400ER",'2026'!$K$4="FO",'2026'!$K$2=Z271),'2026DATA'!$K$12,"")</f>
        <v/>
      </c>
      <c r="AA281" s="518" t="str">
        <f>IF(AND(_1="B-767-400ER",'2026'!$K$4="FO",'2026'!$K$2=AA271),'2026DATA'!$L$12,"")</f>
        <v/>
      </c>
      <c r="AB281" s="518" t="str">
        <f>IF(AND(_1="B-767-400ER",'2026'!$K$4="FO",'2026'!$K$2=AB271),'2026DATA'!$M$12,"")</f>
        <v/>
      </c>
      <c r="AC281" s="520" t="str">
        <f>IF(AND(_1="B-767-400ER",'2026'!$K$4="FO",'2026'!$K$2=AC271),'2026DATA'!$N$12,"")</f>
        <v/>
      </c>
      <c r="AD281" s="940"/>
      <c r="AE281" s="13" t="s">
        <v>62</v>
      </c>
      <c r="AF281" s="518" t="str">
        <f>IF(AND(_2="B-767-400ER",'2026'!$K$4="FO",'2026'!$K$2=AF271),'2026DATA'!$C$12,"")</f>
        <v/>
      </c>
      <c r="AG281" s="518" t="str">
        <f>IF(AND(_2="B-767-400ER",'2026'!$K$4="FO",'2026'!$K$2=AG271),'2026DATA'!$D$12,"")</f>
        <v/>
      </c>
      <c r="AH281" s="518" t="str">
        <f>IF(AND(_2="B-767-400ER",'2026'!$K$4="FO",'2026'!$K$2=AH271),'2026DATA'!$E$12,"")</f>
        <v/>
      </c>
      <c r="AI281" s="518" t="str">
        <f>IF(AND(_2="B-767-400ER",'2026'!$K$4="FO",'2026'!$K$2=AI271),'2026DATA'!$F$12,"")</f>
        <v/>
      </c>
      <c r="AJ281" s="518" t="str">
        <f>IF(AND(_2="B-767-400ER",'2026'!$K$4="FO",'2026'!$K$2=AJ271),'2026DATA'!$G$12,"")</f>
        <v/>
      </c>
      <c r="AK281" s="518" t="str">
        <f>IF(AND(_2="B-767-400ER",'2026'!$K$4="FO",'2026'!$K$2=AK271),'2026DATA'!$H$12,"")</f>
        <v/>
      </c>
      <c r="AL281" s="518" t="str">
        <f>IF(AND(_2="B-767-400ER",'2026'!$K$4="FO",'2026'!$K$2=AL271),'2026DATA'!$I$12,"")</f>
        <v/>
      </c>
      <c r="AM281" s="518" t="str">
        <f>IF(AND(_2="B-767-400ER",'2026'!$K$4="FO",'2026'!$K$2=AM271),'2026DATA'!$J$12,"")</f>
        <v/>
      </c>
      <c r="AN281" s="518" t="str">
        <f>IF(AND(_2="B-767-400ER",'2026'!$K$4="FO",'2026'!$K$2=AN271),'2026DATA'!$K$12,"")</f>
        <v/>
      </c>
      <c r="AO281" s="518" t="str">
        <f>IF(AND(_2="B-767-400ER",'2026'!$K$4="FO",'2026'!$K$2=AO271),'2026DATA'!$L$12,"")</f>
        <v/>
      </c>
      <c r="AP281" s="518" t="str">
        <f>IF(AND(_2="B-767-400ER",'2026'!$K$4="FO",'2026'!$K$2=AP271),'2026DATA'!$M$12,"")</f>
        <v/>
      </c>
      <c r="AQ281" s="520" t="str">
        <f>IF(AND(_2="B-767-400ER",'2026'!$K$4="FO",'2026'!$K$2=AQ271),'2026DATA'!$N$12,"")</f>
        <v/>
      </c>
      <c r="AR281" s="940"/>
      <c r="AS281" s="13" t="s">
        <v>62</v>
      </c>
      <c r="AT281" s="518" t="str">
        <f>IF(AND(_3="B-767-400ER",'2026'!$K$4="FO",'2026'!$K$2=AT271),'2026DATA'!$C$12,"")</f>
        <v/>
      </c>
      <c r="AU281" s="518" t="str">
        <f>IF(AND(_3="B-767-400ER",'2026'!$K$4="FO",'2026'!$K$2=AU271),'2026DATA'!$D$12,"")</f>
        <v/>
      </c>
      <c r="AV281" s="518" t="str">
        <f>IF(AND(_3="B-767-400ER",'2026'!$K$4="FO",'2026'!$K$2=AV271),'2026DATA'!$E$12,"")</f>
        <v/>
      </c>
      <c r="AW281" s="518" t="str">
        <f>IF(AND(_3="B-767-400ER",'2026'!$K$4="FO",'2026'!$K$2=AW271),'2026DATA'!$F$12,"")</f>
        <v/>
      </c>
      <c r="AX281" s="518" t="str">
        <f>IF(AND(_3="B-767-400ER",'2026'!$K$4="FO",'2026'!$K$2=AX271),'2026DATA'!$G$12,"")</f>
        <v/>
      </c>
      <c r="AY281" s="518" t="str">
        <f>IF(AND(_3="B-767-400ER",'2026'!$K$4="FO",'2026'!$K$2=AY271),'2026DATA'!$H$12,"")</f>
        <v/>
      </c>
      <c r="AZ281" s="518" t="str">
        <f>IF(AND(_3="B-767-400ER",'2026'!$K$4="FO",'2026'!$K$2=AZ271),'2026DATA'!$I$12,"")</f>
        <v/>
      </c>
      <c r="BA281" s="518" t="str">
        <f>IF(AND(_3="B-767-400ER",'2026'!$K$4="FO",'2026'!$K$2=BA271),'2026DATA'!$J$12,"")</f>
        <v/>
      </c>
      <c r="BB281" s="518" t="str">
        <f>IF(AND(_3="B-767-400ER",'2026'!$K$4="FO",'2026'!$K$2=BB271),'2026DATA'!$K$12,"")</f>
        <v/>
      </c>
      <c r="BC281" s="518" t="str">
        <f>IF(AND(_3="B-767-400ER",'2026'!$K$4="FO",'2026'!$K$2=BC271),'2026DATA'!$L$12,"")</f>
        <v/>
      </c>
      <c r="BD281" s="518" t="str">
        <f>IF(AND(_3="B-767-400ER",'2026'!$K$4="FO",'2026'!$K$2=BD271),'2026DATA'!$M$12,"")</f>
        <v/>
      </c>
      <c r="BE281" s="520" t="str">
        <f>IF(AND(_3="B-767-400ER",'2026'!$K$4="FO",'2026'!$K$2=BE271),'2026DATA'!$N$12,"")</f>
        <v/>
      </c>
      <c r="BF281" s="940"/>
      <c r="BG281" s="13" t="s">
        <v>62</v>
      </c>
      <c r="BH281" s="518" t="str">
        <f>IF(AND(_4="B-767-400ER",'2026'!$K$4="FO",'2026'!$K$2=BH271),'2026DATA'!$C$12,"")</f>
        <v/>
      </c>
      <c r="BI281" s="518" t="str">
        <f>IF(AND(_4="B-767-400ER",'2026'!$K$4="FO",'2026'!$K$2=BI271),'2026DATA'!$D$12,"")</f>
        <v/>
      </c>
      <c r="BJ281" s="518" t="str">
        <f>IF(AND(_4="B-767-400ER",'2026'!$K$4="FO",'2026'!$K$2=BJ271),'2026DATA'!$E$12,"")</f>
        <v/>
      </c>
      <c r="BK281" s="518" t="str">
        <f>IF(AND(_4="B-767-400ER",'2026'!$K$4="FO",'2026'!$K$2=BK271),'2026DATA'!$F$12,"")</f>
        <v/>
      </c>
      <c r="BL281" s="518" t="str">
        <f>IF(AND(_4="B-767-400ER",'2026'!$K$4="FO",'2026'!$K$2=BL271),'2026DATA'!$G$12,"")</f>
        <v/>
      </c>
      <c r="BM281" s="518" t="str">
        <f>IF(AND(_4="B-767-400ER",'2026'!$K$4="FO",'2026'!$K$2=BM271),'2026DATA'!$H$12,"")</f>
        <v/>
      </c>
      <c r="BN281" s="518" t="str">
        <f>IF(AND(_4="B-767-400ER",'2026'!$K$4="FO",'2026'!$K$2=BN271),'2026DATA'!$I$12,"")</f>
        <v/>
      </c>
      <c r="BO281" s="518" t="str">
        <f>IF(AND(_4="B-767-400ER",'2026'!$K$4="FO",'2026'!$K$2=BO271),'2026DATA'!$J$12,"")</f>
        <v/>
      </c>
      <c r="BP281" s="518" t="str">
        <f>IF(AND(_4="B-767-400ER",'2026'!$K$4="FO",'2026'!$K$2=BP271),'2026DATA'!$K$12,"")</f>
        <v/>
      </c>
      <c r="BQ281" s="518" t="str">
        <f>IF(AND(_4="B-767-400ER",'2026'!$K$4="FO",'2026'!$K$2=BQ271),'2026DATA'!$L$12,"")</f>
        <v/>
      </c>
      <c r="BR281" s="518" t="str">
        <f>IF(AND(_4="B-767-400ER",'2026'!$K$4="FO",'2026'!$K$2=BR271),'2026DATA'!$M$12,"")</f>
        <v/>
      </c>
      <c r="BS281" s="520" t="str">
        <f>IF(AND(_4="B-767-400ER",'2026'!$K$4="FO",'2026'!$K$2=BS271),'2026DATA'!$N$12,"")</f>
        <v/>
      </c>
      <c r="BT281" s="940"/>
      <c r="BU281" s="13" t="s">
        <v>62</v>
      </c>
      <c r="BV281" s="518" t="str">
        <f>IF(AND(_5="B-767-400ER",'2026'!$K$4="FO",'2026'!$K$2=BV271),'2026DATA'!$C$12,"")</f>
        <v/>
      </c>
      <c r="BW281" s="518" t="str">
        <f>IF(AND(_5="B-767-400ER",'2026'!$K$4="FO",'2026'!$K$2=BW271),'2026DATA'!$D$12,"")</f>
        <v/>
      </c>
      <c r="BX281" s="518" t="str">
        <f>IF(AND(_5="B-767-400ER",'2026'!$K$4="FO",'2026'!$K$2=BX271),'2026DATA'!$E$12,"")</f>
        <v/>
      </c>
      <c r="BY281" s="518" t="str">
        <f>IF(AND(_5="B-767-400ER",'2026'!$K$4="FO",'2026'!$K$2=BY271),'2026DATA'!$F$12,"")</f>
        <v/>
      </c>
      <c r="BZ281" s="518" t="str">
        <f>IF(AND(_5="B-767-400ER",'2026'!$K$4="FO",'2026'!$K$2=BZ271),'2026DATA'!$G$12,"")</f>
        <v/>
      </c>
      <c r="CA281" s="518" t="str">
        <f>IF(AND(_5="B-767-400ER",'2026'!$K$4="FO",'2026'!$K$2=CA271),'2026DATA'!$H$12,"")</f>
        <v/>
      </c>
      <c r="CB281" s="518" t="str">
        <f>IF(AND(_5="B-767-400ER",'2026'!$K$4="FO",'2026'!$K$2=CB271),'2026DATA'!$I$12,"")</f>
        <v/>
      </c>
      <c r="CC281" s="518" t="str">
        <f>IF(AND(_5="B-767-400ER",'2026'!$K$4="FO",'2026'!$K$2=CC271),'2026DATA'!$J$12,"")</f>
        <v/>
      </c>
      <c r="CD281" s="518" t="str">
        <f>IF(AND(_5="B-767-400ER",'2026'!$K$4="FO",'2026'!$K$2=CD271),'2026DATA'!$K$12,"")</f>
        <v/>
      </c>
      <c r="CE281" s="518" t="str">
        <f>IF(AND(_5="B-767-400ER",'2026'!$K$4="FO",'2026'!$K$2=CE271),'2026DATA'!$L$12,"")</f>
        <v/>
      </c>
      <c r="CF281" s="518" t="str">
        <f>IF(AND(_5="B-767-400ER",'2026'!$K$4="FO",'2026'!$K$2=CF271),'2026DATA'!$M$12,"")</f>
        <v/>
      </c>
      <c r="CG281" s="520" t="str">
        <f>IF(AND(_5="B-767-400ER",'2026'!$K$4="FO",'2026'!$K$2=CG271),'2026DATA'!$N$12,"")</f>
        <v/>
      </c>
      <c r="CH281" s="940"/>
      <c r="CI281" s="13" t="s">
        <v>62</v>
      </c>
      <c r="CJ281" s="518" t="str">
        <f>IF(AND(_6="B-767-400ER",'2026'!$K$4="FO",'2026'!$K$2=CJ271),'2026DATA'!$C$12,"")</f>
        <v/>
      </c>
      <c r="CK281" s="518" t="str">
        <f>IF(AND(_6="B-767-400ER",'2026'!$K$4="FO",'2026'!$K$2=CK271),'2026DATA'!$D$12,"")</f>
        <v/>
      </c>
      <c r="CL281" s="518" t="str">
        <f>IF(AND(_6="B-767-400ER",'2026'!$K$4="FO",'2026'!$K$2=CL271),'2026DATA'!$E$12,"")</f>
        <v/>
      </c>
      <c r="CM281" s="518" t="str">
        <f>IF(AND(_6="B-767-400ER",'2026'!$K$4="FO",'2026'!$K$2=CM271),'2026DATA'!$F$12,"")</f>
        <v/>
      </c>
      <c r="CN281" s="518" t="str">
        <f>IF(AND(_6="B-767-400ER",'2026'!$K$4="FO",'2026'!$K$2=CN271),'2026DATA'!$G$12,"")</f>
        <v/>
      </c>
      <c r="CO281" s="518" t="str">
        <f>IF(AND(_6="B-767-400ER",'2026'!$K$4="FO",'2026'!$K$2=CO271),'2026DATA'!$H$12,"")</f>
        <v/>
      </c>
      <c r="CP281" s="518" t="str">
        <f>IF(AND(_6="B-767-400ER",'2026'!$K$4="FO",'2026'!$K$2=CP271),'2026DATA'!$I$12,"")</f>
        <v/>
      </c>
      <c r="CQ281" s="518" t="str">
        <f>IF(AND(_6="B-767-400ER",'2026'!$K$4="FO",'2026'!$K$2=CQ271),'2026DATA'!$J$12,"")</f>
        <v/>
      </c>
      <c r="CR281" s="518" t="str">
        <f>IF(AND(_6="B-767-400ER",'2026'!$K$4="FO",'2026'!$K$2=CR271),'2026DATA'!$K$12,"")</f>
        <v/>
      </c>
      <c r="CS281" s="518" t="str">
        <f>IF(AND(_6="B-767-400ER",'2026'!$K$4="FO",'2026'!$K$2=CS271),'2026DATA'!$L$12,"")</f>
        <v/>
      </c>
      <c r="CT281" s="518" t="str">
        <f>IF(AND(_6="B-767-400ER",'2026'!$K$4="FO",'2026'!$K$2=CT271),'2026DATA'!$M$12,"")</f>
        <v/>
      </c>
      <c r="CU281" s="520" t="str">
        <f>IF(AND(_6="B-767-400ER",'2026'!$K$4="FO",'2026'!$K$2=CU271),'2026DATA'!$N$12,"")</f>
        <v/>
      </c>
    </row>
    <row r="282" spans="16:99" x14ac:dyDescent="0.25">
      <c r="P282" s="940" t="s">
        <v>43</v>
      </c>
      <c r="Q282" s="13" t="s">
        <v>61</v>
      </c>
      <c r="R282" s="518" t="str">
        <f>IF(AND(_1="B-767-300ER",'2026'!$K$4="CA",'2026'!$K$2=R271),'2026DATA'!$C$13,"")</f>
        <v/>
      </c>
      <c r="S282" s="518" t="str">
        <f>IF(AND(_1="B-767-300ER",'2026'!$K$4="CA",'2026'!$K$2=S271),'2026DATA'!$D$13,"")</f>
        <v/>
      </c>
      <c r="T282" s="518" t="str">
        <f>IF(AND(_1="B-767-300ER",'2026'!$K$4="CA",'2026'!$K$2=T271),'2026DATA'!$E$13,"")</f>
        <v/>
      </c>
      <c r="U282" s="518" t="str">
        <f>IF(AND(_1="B-767-300ER",'2026'!$K$4="CA",'2026'!$K$2=U271),'2026DATA'!$F$13,"")</f>
        <v/>
      </c>
      <c r="V282" s="518" t="str">
        <f>IF(AND(_1="B-767-300ER",'2026'!$K$4="CA",'2026'!$K$2=V271),'2026DATA'!$G$13,"")</f>
        <v/>
      </c>
      <c r="W282" s="518" t="str">
        <f>IF(AND(_1="B-767-300ER",'2026'!$K$4="CA",'2026'!$K$2=W271),'2026DATA'!$H$13,"")</f>
        <v/>
      </c>
      <c r="X282" s="518" t="str">
        <f>IF(AND(_1="B-767-300ER",'2026'!$K$4="CA",'2026'!$K$2=X271),'2026DATA'!$I$13,"")</f>
        <v/>
      </c>
      <c r="Y282" s="518" t="str">
        <f>IF(AND(_1="B-767-300ER",'2026'!$K$4="CA",'2026'!$K$2=Y271),'2026DATA'!$J$13,"")</f>
        <v/>
      </c>
      <c r="Z282" s="518" t="str">
        <f>IF(AND(_1="B-767-300ER",'2026'!$K$4="CA",'2026'!$K$2=Z271),'2026DATA'!$K$13,"")</f>
        <v/>
      </c>
      <c r="AA282" s="518" t="str">
        <f>IF(AND(_1="B-767-300ER",'2026'!$K$4="CA",'2026'!$K$2=AA271),'2026DATA'!$L$13,"")</f>
        <v/>
      </c>
      <c r="AB282" s="518" t="str">
        <f>IF(AND(_1="B-767-300ER",'2026'!$K$4="CA",'2026'!$K$2=AB271),'2026DATA'!$M$13,"")</f>
        <v/>
      </c>
      <c r="AC282" s="520" t="str">
        <f>IF(AND(_1="B-767-300ER",'2026'!$K$4="CA",'2026'!$K$2=AC271),'2026DATA'!$N$13,"")</f>
        <v/>
      </c>
      <c r="AD282" s="940" t="s">
        <v>43</v>
      </c>
      <c r="AE282" s="13" t="s">
        <v>61</v>
      </c>
      <c r="AF282" s="518" t="str">
        <f>IF(AND(_2="B-767-300ER",'2026'!$K$4="CA",'2026'!$K$2=AF271),'2026DATA'!$C$13,"")</f>
        <v/>
      </c>
      <c r="AG282" s="518" t="str">
        <f>IF(AND(_2="B-767-300ER",'2026'!$K$4="CA",'2026'!$K$2=AG271),'2026DATA'!$D$13,"")</f>
        <v/>
      </c>
      <c r="AH282" s="518" t="str">
        <f>IF(AND(_2="B-767-300ER",'2026'!$K$4="CA",'2026'!$K$2=AH271),'2026DATA'!$E$13,"")</f>
        <v/>
      </c>
      <c r="AI282" s="518" t="str">
        <f>IF(AND(_2="B-767-300ER",'2026'!$K$4="CA",'2026'!$K$2=AI271),'2026DATA'!$F$13,"")</f>
        <v/>
      </c>
      <c r="AJ282" s="518" t="str">
        <f>IF(AND(_2="B-767-300ER",'2026'!$K$4="CA",'2026'!$K$2=AJ271),'2026DATA'!$G$13,"")</f>
        <v/>
      </c>
      <c r="AK282" s="518" t="str">
        <f>IF(AND(_2="B-767-300ER",'2026'!$K$4="CA",'2026'!$K$2=AK271),'2026DATA'!$H$13,"")</f>
        <v/>
      </c>
      <c r="AL282" s="518" t="str">
        <f>IF(AND(_2="B-767-300ER",'2026'!$K$4="CA",'2026'!$K$2=AL271),'2026DATA'!$I$13,"")</f>
        <v/>
      </c>
      <c r="AM282" s="518" t="str">
        <f>IF(AND(_2="B-767-300ER",'2026'!$K$4="CA",'2026'!$K$2=AM271),'2026DATA'!$J$13,"")</f>
        <v/>
      </c>
      <c r="AN282" s="518" t="str">
        <f>IF(AND(_2="B-767-300ER",'2026'!$K$4="CA",'2026'!$K$2=AN271),'2026DATA'!$K$13,"")</f>
        <v/>
      </c>
      <c r="AO282" s="518" t="str">
        <f>IF(AND(_2="B-767-300ER",'2026'!$K$4="CA",'2026'!$K$2=AO271),'2026DATA'!$L$13,"")</f>
        <v/>
      </c>
      <c r="AP282" s="518" t="str">
        <f>IF(AND(_2="B-767-300ER",'2026'!$K$4="CA",'2026'!$K$2=AP271),'2026DATA'!$M$13,"")</f>
        <v/>
      </c>
      <c r="AQ282" s="520" t="str">
        <f>IF(AND(_2="B-767-300ER",'2026'!$K$4="CA",'2026'!$K$2=AQ271),'2026DATA'!$N$13,"")</f>
        <v/>
      </c>
      <c r="AR282" s="940" t="s">
        <v>43</v>
      </c>
      <c r="AS282" s="13" t="s">
        <v>61</v>
      </c>
      <c r="AT282" s="518" t="str">
        <f>IF(AND(_3="B-767-300ER",'2026'!$K$4="CA",'2026'!$K$2=AT271),'2026DATA'!$C$13,"")</f>
        <v/>
      </c>
      <c r="AU282" s="518" t="str">
        <f>IF(AND(_3="B-767-300ER",'2026'!$K$4="CA",'2026'!$K$2=AU271),'2026DATA'!$D$13,"")</f>
        <v/>
      </c>
      <c r="AV282" s="518" t="str">
        <f>IF(AND(_3="B-767-300ER",'2026'!$K$4="CA",'2026'!$K$2=AV271),'2026DATA'!$E$13,"")</f>
        <v/>
      </c>
      <c r="AW282" s="518" t="str">
        <f>IF(AND(_3="B-767-300ER",'2026'!$K$4="CA",'2026'!$K$2=AW271),'2026DATA'!$F$13,"")</f>
        <v/>
      </c>
      <c r="AX282" s="518" t="str">
        <f>IF(AND(_3="B-767-300ER",'2026'!$K$4="CA",'2026'!$K$2=AX271),'2026DATA'!$G$13,"")</f>
        <v/>
      </c>
      <c r="AY282" s="518" t="str">
        <f>IF(AND(_3="B-767-300ER",'2026'!$K$4="CA",'2026'!$K$2=AY271),'2026DATA'!$H$13,"")</f>
        <v/>
      </c>
      <c r="AZ282" s="518" t="str">
        <f>IF(AND(_3="B-767-300ER",'2026'!$K$4="CA",'2026'!$K$2=AZ271),'2026DATA'!$I$13,"")</f>
        <v/>
      </c>
      <c r="BA282" s="518" t="str">
        <f>IF(AND(_3="B-767-300ER",'2026'!$K$4="CA",'2026'!$K$2=BA271),'2026DATA'!$J$13,"")</f>
        <v/>
      </c>
      <c r="BB282" s="518" t="str">
        <f>IF(AND(_3="B-767-300ER",'2026'!$K$4="CA",'2026'!$K$2=BB271),'2026DATA'!$K$13,"")</f>
        <v/>
      </c>
      <c r="BC282" s="518" t="str">
        <f>IF(AND(_3="B-767-300ER",'2026'!$K$4="CA",'2026'!$K$2=BC271),'2026DATA'!$L$13,"")</f>
        <v/>
      </c>
      <c r="BD282" s="518" t="str">
        <f>IF(AND(_3="B-767-300ER",'2026'!$K$4="CA",'2026'!$K$2=BD271),'2026DATA'!$M$13,"")</f>
        <v/>
      </c>
      <c r="BE282" s="520" t="str">
        <f>IF(AND(_3="B-767-300ER",'2026'!$K$4="CA",'2026'!$K$2=BE271),'2026DATA'!$N$13,"")</f>
        <v/>
      </c>
      <c r="BF282" s="940" t="s">
        <v>43</v>
      </c>
      <c r="BG282" s="13" t="s">
        <v>61</v>
      </c>
      <c r="BH282" s="518" t="str">
        <f>IF(AND(_4="B-767-300ER",'2026'!$K$4="CA",'2026'!$K$2=BH271),'2026DATA'!$C$13,"")</f>
        <v/>
      </c>
      <c r="BI282" s="518" t="str">
        <f>IF(AND(_4="B-767-300ER",'2026'!$K$4="CA",'2026'!$K$2=BI271),'2026DATA'!$D$13,"")</f>
        <v/>
      </c>
      <c r="BJ282" s="518" t="str">
        <f>IF(AND(_4="B-767-300ER",'2026'!$K$4="CA",'2026'!$K$2=BJ271),'2026DATA'!$E$13,"")</f>
        <v/>
      </c>
      <c r="BK282" s="518" t="str">
        <f>IF(AND(_4="B-767-300ER",'2026'!$K$4="CA",'2026'!$K$2=BK271),'2026DATA'!$F$13,"")</f>
        <v/>
      </c>
      <c r="BL282" s="518" t="str">
        <f>IF(AND(_4="B-767-300ER",'2026'!$K$4="CA",'2026'!$K$2=BL271),'2026DATA'!$G$13,"")</f>
        <v/>
      </c>
      <c r="BM282" s="518" t="str">
        <f>IF(AND(_4="B-767-300ER",'2026'!$K$4="CA",'2026'!$K$2=BM271),'2026DATA'!$H$13,"")</f>
        <v/>
      </c>
      <c r="BN282" s="518" t="str">
        <f>IF(AND(_4="B-767-300ER",'2026'!$K$4="CA",'2026'!$K$2=BN271),'2026DATA'!$I$13,"")</f>
        <v/>
      </c>
      <c r="BO282" s="518" t="str">
        <f>IF(AND(_4="B-767-300ER",'2026'!$K$4="CA",'2026'!$K$2=BO271),'2026DATA'!$J$13,"")</f>
        <v/>
      </c>
      <c r="BP282" s="518" t="str">
        <f>IF(AND(_4="B-767-300ER",'2026'!$K$4="CA",'2026'!$K$2=BP271),'2026DATA'!$K$13,"")</f>
        <v/>
      </c>
      <c r="BQ282" s="518" t="str">
        <f>IF(AND(_4="B-767-300ER",'2026'!$K$4="CA",'2026'!$K$2=BQ271),'2026DATA'!$L$13,"")</f>
        <v/>
      </c>
      <c r="BR282" s="518" t="str">
        <f>IF(AND(_4="B-767-300ER",'2026'!$K$4="CA",'2026'!$K$2=BR271),'2026DATA'!$M$13,"")</f>
        <v/>
      </c>
      <c r="BS282" s="520" t="str">
        <f>IF(AND(_4="B-767-300ER",'2026'!$K$4="CA",'2026'!$K$2=BS271),'2026DATA'!$N$13,"")</f>
        <v/>
      </c>
      <c r="BT282" s="940" t="s">
        <v>43</v>
      </c>
      <c r="BU282" s="13" t="s">
        <v>61</v>
      </c>
      <c r="BV282" s="518" t="str">
        <f>IF(AND(_5="B-767-300ER",'2026'!$K$4="CA",'2026'!$K$2=BV271),'2026DATA'!$C$13,"")</f>
        <v/>
      </c>
      <c r="BW282" s="518" t="str">
        <f>IF(AND(_5="B-767-300ER",'2026'!$K$4="CA",'2026'!$K$2=BW271),'2026DATA'!$D$13,"")</f>
        <v/>
      </c>
      <c r="BX282" s="518" t="str">
        <f>IF(AND(_5="B-767-300ER",'2026'!$K$4="CA",'2026'!$K$2=BX271),'2026DATA'!$E$13,"")</f>
        <v/>
      </c>
      <c r="BY282" s="518" t="str">
        <f>IF(AND(_5="B-767-300ER",'2026'!$K$4="CA",'2026'!$K$2=BY271),'2026DATA'!$F$13,"")</f>
        <v/>
      </c>
      <c r="BZ282" s="518" t="str">
        <f>IF(AND(_5="B-767-300ER",'2026'!$K$4="CA",'2026'!$K$2=BZ271),'2026DATA'!$G$13,"")</f>
        <v/>
      </c>
      <c r="CA282" s="518" t="str">
        <f>IF(AND(_5="B-767-300ER",'2026'!$K$4="CA",'2026'!$K$2=CA271),'2026DATA'!$H$13,"")</f>
        <v/>
      </c>
      <c r="CB282" s="518" t="str">
        <f>IF(AND(_5="B-767-300ER",'2026'!$K$4="CA",'2026'!$K$2=CB271),'2026DATA'!$I$13,"")</f>
        <v/>
      </c>
      <c r="CC282" s="518" t="str">
        <f>IF(AND(_5="B-767-300ER",'2026'!$K$4="CA",'2026'!$K$2=CC271),'2026DATA'!$J$13,"")</f>
        <v/>
      </c>
      <c r="CD282" s="518" t="str">
        <f>IF(AND(_5="B-767-300ER",'2026'!$K$4="CA",'2026'!$K$2=CD271),'2026DATA'!$K$13,"")</f>
        <v/>
      </c>
      <c r="CE282" s="518" t="str">
        <f>IF(AND(_5="B-767-300ER",'2026'!$K$4="CA",'2026'!$K$2=CE271),'2026DATA'!$L$13,"")</f>
        <v/>
      </c>
      <c r="CF282" s="518" t="str">
        <f>IF(AND(_5="B-767-300ER",'2026'!$K$4="CA",'2026'!$K$2=CF271),'2026DATA'!$M$13,"")</f>
        <v/>
      </c>
      <c r="CG282" s="520" t="str">
        <f>IF(AND(_5="B-767-300ER",'2026'!$K$4="CA",'2026'!$K$2=CG271),'2026DATA'!$N$13,"")</f>
        <v/>
      </c>
      <c r="CH282" s="940" t="s">
        <v>43</v>
      </c>
      <c r="CI282" s="13" t="s">
        <v>61</v>
      </c>
      <c r="CJ282" s="518" t="str">
        <f>IF(AND(_6="B-767-300ER",'2026'!$K$4="CA",'2026'!$K$2=CJ271),'2026DATA'!$C$13,"")</f>
        <v/>
      </c>
      <c r="CK282" s="518" t="str">
        <f>IF(AND(_6="B-767-300ER",'2026'!$K$4="CA",'2026'!$K$2=CK271),'2026DATA'!$D$13,"")</f>
        <v/>
      </c>
      <c r="CL282" s="518" t="str">
        <f>IF(AND(_6="B-767-300ER",'2026'!$K$4="CA",'2026'!$K$2=CL271),'2026DATA'!$E$13,"")</f>
        <v/>
      </c>
      <c r="CM282" s="518" t="str">
        <f>IF(AND(_6="B-767-300ER",'2026'!$K$4="CA",'2026'!$K$2=CM271),'2026DATA'!$F$13,"")</f>
        <v/>
      </c>
      <c r="CN282" s="518" t="str">
        <f>IF(AND(_6="B-767-300ER",'2026'!$K$4="CA",'2026'!$K$2=CN271),'2026DATA'!$G$13,"")</f>
        <v/>
      </c>
      <c r="CO282" s="518" t="str">
        <f>IF(AND(_6="B-767-300ER",'2026'!$K$4="CA",'2026'!$K$2=CO271),'2026DATA'!$H$13,"")</f>
        <v/>
      </c>
      <c r="CP282" s="518" t="str">
        <f>IF(AND(_6="B-767-300ER",'2026'!$K$4="CA",'2026'!$K$2=CP271),'2026DATA'!$I$13,"")</f>
        <v/>
      </c>
      <c r="CQ282" s="518" t="str">
        <f>IF(AND(_6="B-767-300ER",'2026'!$K$4="CA",'2026'!$K$2=CQ271),'2026DATA'!$J$13,"")</f>
        <v/>
      </c>
      <c r="CR282" s="518" t="str">
        <f>IF(AND(_6="B-767-300ER",'2026'!$K$4="CA",'2026'!$K$2=CR271),'2026DATA'!$K$13,"")</f>
        <v/>
      </c>
      <c r="CS282" s="518" t="str">
        <f>IF(AND(_6="B-767-300ER",'2026'!$K$4="CA",'2026'!$K$2=CS271),'2026DATA'!$L$13,"")</f>
        <v/>
      </c>
      <c r="CT282" s="518" t="str">
        <f>IF(AND(_6="B-767-300ER",'2026'!$K$4="CA",'2026'!$K$2=CT271),'2026DATA'!$M$13,"")</f>
        <v/>
      </c>
      <c r="CU282" s="520" t="str">
        <f>IF(AND(_6="B-767-300ER",'2026'!$K$4="CA",'2026'!$K$2=CU271),'2026DATA'!$N$13,"")</f>
        <v/>
      </c>
    </row>
    <row r="283" spans="16:99" x14ac:dyDescent="0.25">
      <c r="P283" s="940"/>
      <c r="Q283" s="13" t="s">
        <v>62</v>
      </c>
      <c r="R283" s="518" t="str">
        <f>IF(AND(_1="B-767-300ER",'2026'!$K$4="FO",'2026'!$K$2=R271),'2026DATA'!$C$14,"")</f>
        <v/>
      </c>
      <c r="S283" s="518" t="str">
        <f>IF(AND(_1="B-767-300ER",'2026'!$K$4="FO",'2026'!$K$2=S271),'2026DATA'!$D$14,"")</f>
        <v/>
      </c>
      <c r="T283" s="518" t="str">
        <f>IF(AND(_1="B-767-300ER",'2026'!$K$4="FO",'2026'!$K$2=T271),'2026DATA'!$E$14,"")</f>
        <v/>
      </c>
      <c r="U283" s="518" t="str">
        <f>IF(AND(_1="B-767-300ER",'2026'!$K$4="FO",'2026'!$K$2=U271),'2026DATA'!$F$14,"")</f>
        <v/>
      </c>
      <c r="V283" s="518" t="str">
        <f>IF(AND(_1="B-767-300ER",'2026'!$K$4="FO",'2026'!$K$2=V271),'2026DATA'!$G$14,"")</f>
        <v/>
      </c>
      <c r="W283" s="518" t="str">
        <f>IF(AND(_1="B-767-300ER",'2026'!$K$4="FO",'2026'!$K$2=W271),'2026DATA'!$H$14,"")</f>
        <v/>
      </c>
      <c r="X283" s="518" t="str">
        <f>IF(AND(_1="B-767-300ER",'2026'!$K$4="FO",'2026'!$K$2=X271),'2026DATA'!$I$14,"")</f>
        <v/>
      </c>
      <c r="Y283" s="518" t="str">
        <f>IF(AND(_1="B-767-300ER",'2026'!$K$4="FO",'2026'!$K$2=Y271),'2026DATA'!$J$14,"")</f>
        <v/>
      </c>
      <c r="Z283" s="518" t="str">
        <f>IF(AND(_1="B-767-300ER",'2026'!$K$4="FO",'2026'!$K$2=Z271),'2026DATA'!$K$14,"")</f>
        <v/>
      </c>
      <c r="AA283" s="518" t="str">
        <f>IF(AND(_1="B-767-300ER",'2026'!$K$4="FO",'2026'!$K$2=AA271),'2026DATA'!$L$14,"")</f>
        <v/>
      </c>
      <c r="AB283" s="518" t="str">
        <f>IF(AND(_1="B-767-300ER",'2026'!$K$4="FO",'2026'!$K$2=AB271),'2026DATA'!$M$14,"")</f>
        <v/>
      </c>
      <c r="AC283" s="520" t="str">
        <f>IF(AND(_1="B-767-300ER",'2026'!$K$4="FO",'2026'!$K$2=AC271),'2026DATA'!$N$14,"")</f>
        <v/>
      </c>
      <c r="AD283" s="940"/>
      <c r="AE283" s="13" t="s">
        <v>62</v>
      </c>
      <c r="AF283" s="518" t="str">
        <f>IF(AND(_2="B-767-300ER",'2026'!$K$4="FO",'2026'!$K$2=AF271),'2026DATA'!$C$14,"")</f>
        <v/>
      </c>
      <c r="AG283" s="518" t="str">
        <f>IF(AND(_2="B-767-300ER",'2026'!$K$4="FO",'2026'!$K$2=AG271),'2026DATA'!$D$14,"")</f>
        <v/>
      </c>
      <c r="AH283" s="518" t="str">
        <f>IF(AND(_2="B-767-300ER",'2026'!$K$4="FO",'2026'!$K$2=AH271),'2026DATA'!$E$14,"")</f>
        <v/>
      </c>
      <c r="AI283" s="518" t="str">
        <f>IF(AND(_2="B-767-300ER",'2026'!$K$4="FO",'2026'!$K$2=AI271),'2026DATA'!$F$14,"")</f>
        <v/>
      </c>
      <c r="AJ283" s="518" t="str">
        <f>IF(AND(_2="B-767-300ER",'2026'!$K$4="FO",'2026'!$K$2=AJ271),'2026DATA'!$G$14,"")</f>
        <v/>
      </c>
      <c r="AK283" s="518" t="str">
        <f>IF(AND(_2="B-767-300ER",'2026'!$K$4="FO",'2026'!$K$2=AK271),'2026DATA'!$H$14,"")</f>
        <v/>
      </c>
      <c r="AL283" s="518" t="str">
        <f>IF(AND(_2="B-767-300ER",'2026'!$K$4="FO",'2026'!$K$2=AL271),'2026DATA'!$I$14,"")</f>
        <v/>
      </c>
      <c r="AM283" s="518" t="str">
        <f>IF(AND(_2="B-767-300ER",'2026'!$K$4="FO",'2026'!$K$2=AM271),'2026DATA'!$J$14,"")</f>
        <v/>
      </c>
      <c r="AN283" s="518" t="str">
        <f>IF(AND(_2="B-767-300ER",'2026'!$K$4="FO",'2026'!$K$2=AN271),'2026DATA'!$K$14,"")</f>
        <v/>
      </c>
      <c r="AO283" s="518" t="str">
        <f>IF(AND(_2="B-767-300ER",'2026'!$K$4="FO",'2026'!$K$2=AO271),'2026DATA'!$L$14,"")</f>
        <v/>
      </c>
      <c r="AP283" s="518" t="str">
        <f>IF(AND(_2="B-767-300ER",'2026'!$K$4="FO",'2026'!$K$2=AP271),'2026DATA'!$M$14,"")</f>
        <v/>
      </c>
      <c r="AQ283" s="520" t="str">
        <f>IF(AND(_2="B-767-300ER",'2026'!$K$4="FO",'2026'!$K$2=AQ271),'2026DATA'!$N$14,"")</f>
        <v/>
      </c>
      <c r="AR283" s="940"/>
      <c r="AS283" s="13" t="s">
        <v>62</v>
      </c>
      <c r="AT283" s="518" t="str">
        <f>IF(AND(_3="B-767-300ER",'2026'!$K$4="FO",'2026'!$K$2=AT271),'2026DATA'!$C$14,"")</f>
        <v/>
      </c>
      <c r="AU283" s="518" t="str">
        <f>IF(AND(_3="B-767-300ER",'2026'!$K$4="FO",'2026'!$K$2=AU271),'2026DATA'!$D$14,"")</f>
        <v/>
      </c>
      <c r="AV283" s="518" t="str">
        <f>IF(AND(_3="B-767-300ER",'2026'!$K$4="FO",'2026'!$K$2=AV271),'2026DATA'!$E$14,"")</f>
        <v/>
      </c>
      <c r="AW283" s="518" t="str">
        <f>IF(AND(_3="B-767-300ER",'2026'!$K$4="FO",'2026'!$K$2=AW271),'2026DATA'!$F$14,"")</f>
        <v/>
      </c>
      <c r="AX283" s="518" t="str">
        <f>IF(AND(_3="B-767-300ER",'2026'!$K$4="FO",'2026'!$K$2=AX271),'2026DATA'!$G$14,"")</f>
        <v/>
      </c>
      <c r="AY283" s="518" t="str">
        <f>IF(AND(_3="B-767-300ER",'2026'!$K$4="FO",'2026'!$K$2=AY271),'2026DATA'!$H$14,"")</f>
        <v/>
      </c>
      <c r="AZ283" s="518" t="str">
        <f>IF(AND(_3="B-767-300ER",'2026'!$K$4="FO",'2026'!$K$2=AZ271),'2026DATA'!$I$14,"")</f>
        <v/>
      </c>
      <c r="BA283" s="518" t="str">
        <f>IF(AND(_3="B-767-300ER",'2026'!$K$4="FO",'2026'!$K$2=BA271),'2026DATA'!$J$14,"")</f>
        <v/>
      </c>
      <c r="BB283" s="518" t="str">
        <f>IF(AND(_3="B-767-300ER",'2026'!$K$4="FO",'2026'!$K$2=BB271),'2026DATA'!$K$14,"")</f>
        <v/>
      </c>
      <c r="BC283" s="518" t="str">
        <f>IF(AND(_3="B-767-300ER",'2026'!$K$4="FO",'2026'!$K$2=BC271),'2026DATA'!$L$14,"")</f>
        <v/>
      </c>
      <c r="BD283" s="518" t="str">
        <f>IF(AND(_3="B-767-300ER",'2026'!$K$4="FO",'2026'!$K$2=BD271),'2026DATA'!$M$14,"")</f>
        <v/>
      </c>
      <c r="BE283" s="520" t="str">
        <f>IF(AND(_3="B-767-300ER",'2026'!$K$4="FO",'2026'!$K$2=BE271),'2026DATA'!$N$14,"")</f>
        <v/>
      </c>
      <c r="BF283" s="940"/>
      <c r="BG283" s="13" t="s">
        <v>62</v>
      </c>
      <c r="BH283" s="518" t="str">
        <f>IF(AND(_4="B-767-300ER",'2026'!$K$4="FO",'2026'!$K$2=BH271),'2026DATA'!$C$14,"")</f>
        <v/>
      </c>
      <c r="BI283" s="518" t="str">
        <f>IF(AND(_4="B-767-300ER",'2026'!$K$4="FO",'2026'!$K$2=BI271),'2026DATA'!$D$14,"")</f>
        <v/>
      </c>
      <c r="BJ283" s="518" t="str">
        <f>IF(AND(_4="B-767-300ER",'2026'!$K$4="FO",'2026'!$K$2=BJ271),'2026DATA'!$E$14,"")</f>
        <v/>
      </c>
      <c r="BK283" s="518" t="str">
        <f>IF(AND(_4="B-767-300ER",'2026'!$K$4="FO",'2026'!$K$2=BK271),'2026DATA'!$F$14,"")</f>
        <v/>
      </c>
      <c r="BL283" s="518" t="str">
        <f>IF(AND(_4="B-767-300ER",'2026'!$K$4="FO",'2026'!$K$2=BL271),'2026DATA'!$G$14,"")</f>
        <v/>
      </c>
      <c r="BM283" s="518" t="str">
        <f>IF(AND(_4="B-767-300ER",'2026'!$K$4="FO",'2026'!$K$2=BM271),'2026DATA'!$H$14,"")</f>
        <v/>
      </c>
      <c r="BN283" s="518" t="str">
        <f>IF(AND(_4="B-767-300ER",'2026'!$K$4="FO",'2026'!$K$2=BN271),'2026DATA'!$I$14,"")</f>
        <v/>
      </c>
      <c r="BO283" s="518" t="str">
        <f>IF(AND(_4="B-767-300ER",'2026'!$K$4="FO",'2026'!$K$2=BO271),'2026DATA'!$J$14,"")</f>
        <v/>
      </c>
      <c r="BP283" s="518" t="str">
        <f>IF(AND(_4="B-767-300ER",'2026'!$K$4="FO",'2026'!$K$2=BP271),'2026DATA'!$K$14,"")</f>
        <v/>
      </c>
      <c r="BQ283" s="518" t="str">
        <f>IF(AND(_4="B-767-300ER",'2026'!$K$4="FO",'2026'!$K$2=BQ271),'2026DATA'!$L$14,"")</f>
        <v/>
      </c>
      <c r="BR283" s="518" t="str">
        <f>IF(AND(_4="B-767-300ER",'2026'!$K$4="FO",'2026'!$K$2=BR271),'2026DATA'!$M$14,"")</f>
        <v/>
      </c>
      <c r="BS283" s="520" t="str">
        <f>IF(AND(_4="B-767-300ER",'2026'!$K$4="FO",'2026'!$K$2=BS271),'2026DATA'!$N$14,"")</f>
        <v/>
      </c>
      <c r="BT283" s="940"/>
      <c r="BU283" s="13" t="s">
        <v>62</v>
      </c>
      <c r="BV283" s="518" t="str">
        <f>IF(AND(_5="B-767-300ER",'2026'!$K$4="FO",'2026'!$K$2=BV271),'2026DATA'!$C$14,"")</f>
        <v/>
      </c>
      <c r="BW283" s="518" t="str">
        <f>IF(AND(_5="B-767-300ER",'2026'!$K$4="FO",'2026'!$K$2=BW271),'2026DATA'!$D$14,"")</f>
        <v/>
      </c>
      <c r="BX283" s="518" t="str">
        <f>IF(AND(_5="B-767-300ER",'2026'!$K$4="FO",'2026'!$K$2=BX271),'2026DATA'!$E$14,"")</f>
        <v/>
      </c>
      <c r="BY283" s="518" t="str">
        <f>IF(AND(_5="B-767-300ER",'2026'!$K$4="FO",'2026'!$K$2=BY271),'2026DATA'!$F$14,"")</f>
        <v/>
      </c>
      <c r="BZ283" s="518" t="str">
        <f>IF(AND(_5="B-767-300ER",'2026'!$K$4="FO",'2026'!$K$2=BZ271),'2026DATA'!$G$14,"")</f>
        <v/>
      </c>
      <c r="CA283" s="518" t="str">
        <f>IF(AND(_5="B-767-300ER",'2026'!$K$4="FO",'2026'!$K$2=CA271),'2026DATA'!$H$14,"")</f>
        <v/>
      </c>
      <c r="CB283" s="518" t="str">
        <f>IF(AND(_5="B-767-300ER",'2026'!$K$4="FO",'2026'!$K$2=CB271),'2026DATA'!$I$14,"")</f>
        <v/>
      </c>
      <c r="CC283" s="518" t="str">
        <f>IF(AND(_5="B-767-300ER",'2026'!$K$4="FO",'2026'!$K$2=CC271),'2026DATA'!$J$14,"")</f>
        <v/>
      </c>
      <c r="CD283" s="518" t="str">
        <f>IF(AND(_5="B-767-300ER",'2026'!$K$4="FO",'2026'!$K$2=CD271),'2026DATA'!$K$14,"")</f>
        <v/>
      </c>
      <c r="CE283" s="518" t="str">
        <f>IF(AND(_5="B-767-300ER",'2026'!$K$4="FO",'2026'!$K$2=CE271),'2026DATA'!$L$14,"")</f>
        <v/>
      </c>
      <c r="CF283" s="518" t="str">
        <f>IF(AND(_5="B-767-300ER",'2026'!$K$4="FO",'2026'!$K$2=CF271),'2026DATA'!$M$14,"")</f>
        <v/>
      </c>
      <c r="CG283" s="520" t="str">
        <f>IF(AND(_5="B-767-300ER",'2026'!$K$4="FO",'2026'!$K$2=CG271),'2026DATA'!$N$14,"")</f>
        <v/>
      </c>
      <c r="CH283" s="940"/>
      <c r="CI283" s="13" t="s">
        <v>62</v>
      </c>
      <c r="CJ283" s="518" t="str">
        <f>IF(AND(_6="B-767-300ER",'2026'!$K$4="FO",'2026'!$K$2=CJ271),'2026DATA'!$C$14,"")</f>
        <v/>
      </c>
      <c r="CK283" s="518" t="str">
        <f>IF(AND(_6="B-767-300ER",'2026'!$K$4="FO",'2026'!$K$2=CK271),'2026DATA'!$D$14,"")</f>
        <v/>
      </c>
      <c r="CL283" s="518" t="str">
        <f>IF(AND(_6="B-767-300ER",'2026'!$K$4="FO",'2026'!$K$2=CL271),'2026DATA'!$E$14,"")</f>
        <v/>
      </c>
      <c r="CM283" s="518" t="str">
        <f>IF(AND(_6="B-767-300ER",'2026'!$K$4="FO",'2026'!$K$2=CM271),'2026DATA'!$F$14,"")</f>
        <v/>
      </c>
      <c r="CN283" s="518" t="str">
        <f>IF(AND(_6="B-767-300ER",'2026'!$K$4="FO",'2026'!$K$2=CN271),'2026DATA'!$G$14,"")</f>
        <v/>
      </c>
      <c r="CO283" s="518" t="str">
        <f>IF(AND(_6="B-767-300ER",'2026'!$K$4="FO",'2026'!$K$2=CO271),'2026DATA'!$H$14,"")</f>
        <v/>
      </c>
      <c r="CP283" s="518" t="str">
        <f>IF(AND(_6="B-767-300ER",'2026'!$K$4="FO",'2026'!$K$2=CP271),'2026DATA'!$I$14,"")</f>
        <v/>
      </c>
      <c r="CQ283" s="518" t="str">
        <f>IF(AND(_6="B-767-300ER",'2026'!$K$4="FO",'2026'!$K$2=CQ271),'2026DATA'!$J$14,"")</f>
        <v/>
      </c>
      <c r="CR283" s="518" t="str">
        <f>IF(AND(_6="B-767-300ER",'2026'!$K$4="FO",'2026'!$K$2=CR271),'2026DATA'!$K$14,"")</f>
        <v/>
      </c>
      <c r="CS283" s="518" t="str">
        <f>IF(AND(_6="B-767-300ER",'2026'!$K$4="FO",'2026'!$K$2=CS271),'2026DATA'!$L$14,"")</f>
        <v/>
      </c>
      <c r="CT283" s="518" t="str">
        <f>IF(AND(_6="B-767-300ER",'2026'!$K$4="FO",'2026'!$K$2=CT271),'2026DATA'!$M$14,"")</f>
        <v/>
      </c>
      <c r="CU283" s="520" t="str">
        <f>IF(AND(_6="B-767-300ER",'2026'!$K$4="FO",'2026'!$K$2=CU271),'2026DATA'!$N$14,"")</f>
        <v/>
      </c>
    </row>
    <row r="284" spans="16:99" x14ac:dyDescent="0.25">
      <c r="P284" s="940" t="s">
        <v>67</v>
      </c>
      <c r="Q284" s="13" t="s">
        <v>61</v>
      </c>
      <c r="R284" s="518" t="str">
        <f>IF(AND(_1="B-767-300",'2026'!$K$4="CA",'2026'!$K$2=R271),'2026DATA'!$C$15,"")</f>
        <v/>
      </c>
      <c r="S284" s="518" t="str">
        <f>IF(AND(_1="B-767-300",'2026'!$K$4="CA",'2026'!$K$2=S271),'2026DATA'!$D$15,"")</f>
        <v/>
      </c>
      <c r="T284" s="518" t="str">
        <f>IF(AND(_1="B-767-300",'2026'!$K$4="CA",'2026'!$K$2=T271),'2026DATA'!$E$15,"")</f>
        <v/>
      </c>
      <c r="U284" s="518" t="str">
        <f>IF(AND(_1="B-767-300",'2026'!$K$4="CA",'2026'!$K$2=U271),'2026DATA'!$F$15,"")</f>
        <v/>
      </c>
      <c r="V284" s="518" t="str">
        <f>IF(AND(_1="B-767-300",'2026'!$K$4="CA",'2026'!$K$2=V271),'2026DATA'!$G$15,"")</f>
        <v/>
      </c>
      <c r="W284" s="518" t="str">
        <f>IF(AND(_1="B-767-300",'2026'!$K$4="CA",'2026'!$K$2=W271),'2026DATA'!$H$15,"")</f>
        <v/>
      </c>
      <c r="X284" s="518" t="str">
        <f>IF(AND(_1="B-767-300",'2026'!$K$4="CA",'2026'!$K$2=X271),'2026DATA'!$I$15,"")</f>
        <v/>
      </c>
      <c r="Y284" s="518" t="str">
        <f>IF(AND(_1="B-767-300",'2026'!$K$4="CA",'2026'!$K$2=Y271),'2026DATA'!$J$15,"")</f>
        <v/>
      </c>
      <c r="Z284" s="518" t="str">
        <f>IF(AND(_1="B-767-300",'2026'!$K$4="CA",'2026'!$K$2=Z271),'2026DATA'!$K$15,"")</f>
        <v/>
      </c>
      <c r="AA284" s="518" t="str">
        <f>IF(AND(_1="B-767-300",'2026'!$K$4="CA",'2026'!$K$2=AA271),'2026DATA'!$L$15,"")</f>
        <v/>
      </c>
      <c r="AB284" s="518" t="str">
        <f>IF(AND(_1="B-767-300",'2026'!$K$4="CA",'2026'!$K$2=AB271),'2026DATA'!$M$15,"")</f>
        <v/>
      </c>
      <c r="AC284" s="520" t="str">
        <f>IF(AND(_1="B-767-300",'2026'!$K$4="CA",'2026'!$K$2=AC271),'2026DATA'!$N$15,"")</f>
        <v/>
      </c>
      <c r="AD284" s="940" t="s">
        <v>67</v>
      </c>
      <c r="AE284" s="13" t="s">
        <v>61</v>
      </c>
      <c r="AF284" s="518" t="str">
        <f>IF(AND(_2="B-767-300",'2026'!$K$4="CA",'2026'!$K$2=AF271),'2026DATA'!$C$15,"")</f>
        <v/>
      </c>
      <c r="AG284" s="518" t="str">
        <f>IF(AND(_2="B-767-300",'2026'!$K$4="CA",'2026'!$K$2=AG271),'2026DATA'!$D$15,"")</f>
        <v/>
      </c>
      <c r="AH284" s="518" t="str">
        <f>IF(AND(_2="B-767-300",'2026'!$K$4="CA",'2026'!$K$2=AH271),'2026DATA'!$E$15,"")</f>
        <v/>
      </c>
      <c r="AI284" s="518" t="str">
        <f>IF(AND(_2="B-767-300",'2026'!$K$4="CA",'2026'!$K$2=AI271),'2026DATA'!$F$15,"")</f>
        <v/>
      </c>
      <c r="AJ284" s="518" t="str">
        <f>IF(AND(_2="B-767-300",'2026'!$K$4="CA",'2026'!$K$2=AJ271),'2026DATA'!$G$15,"")</f>
        <v/>
      </c>
      <c r="AK284" s="518" t="str">
        <f>IF(AND(_2="B-767-300",'2026'!$K$4="CA",'2026'!$K$2=AK271),'2026DATA'!$H$15,"")</f>
        <v/>
      </c>
      <c r="AL284" s="518" t="str">
        <f>IF(AND(_2="B-767-300",'2026'!$K$4="CA",'2026'!$K$2=AL271),'2026DATA'!$I$15,"")</f>
        <v/>
      </c>
      <c r="AM284" s="518" t="str">
        <f>IF(AND(_2="B-767-300",'2026'!$K$4="CA",'2026'!$K$2=AM271),'2026DATA'!$J$15,"")</f>
        <v/>
      </c>
      <c r="AN284" s="518" t="str">
        <f>IF(AND(_2="B-767-300",'2026'!$K$4="CA",'2026'!$K$2=AN271),'2026DATA'!$K$15,"")</f>
        <v/>
      </c>
      <c r="AO284" s="518" t="str">
        <f>IF(AND(_2="B-767-300",'2026'!$K$4="CA",'2026'!$K$2=AO271),'2026DATA'!$L$15,"")</f>
        <v/>
      </c>
      <c r="AP284" s="518" t="str">
        <f>IF(AND(_2="B-767-300",'2026'!$K$4="CA",'2026'!$K$2=AP271),'2026DATA'!$M$15,"")</f>
        <v/>
      </c>
      <c r="AQ284" s="520" t="str">
        <f>IF(AND(_2="B-767-300",'2026'!$K$4="CA",'2026'!$K$2=AQ271),'2026DATA'!$N$15,"")</f>
        <v/>
      </c>
      <c r="AR284" s="940" t="s">
        <v>67</v>
      </c>
      <c r="AS284" s="13" t="s">
        <v>61</v>
      </c>
      <c r="AT284" s="518" t="str">
        <f>IF(AND(_3="B-767-300",'2026'!$K$4="CA",'2026'!$K$2=AT271),'2026DATA'!$C$15,"")</f>
        <v/>
      </c>
      <c r="AU284" s="518" t="str">
        <f>IF(AND(_3="B-767-300",'2026'!$K$4="CA",'2026'!$K$2=AU271),'2026DATA'!$D$15,"")</f>
        <v/>
      </c>
      <c r="AV284" s="518" t="str">
        <f>IF(AND(_3="B-767-300",'2026'!$K$4="CA",'2026'!$K$2=AV271),'2026DATA'!$E$15,"")</f>
        <v/>
      </c>
      <c r="AW284" s="518" t="str">
        <f>IF(AND(_3="B-767-300",'2026'!$K$4="CA",'2026'!$K$2=AW271),'2026DATA'!$F$15,"")</f>
        <v/>
      </c>
      <c r="AX284" s="518" t="str">
        <f>IF(AND(_3="B-767-300",'2026'!$K$4="CA",'2026'!$K$2=AX271),'2026DATA'!$G$15,"")</f>
        <v/>
      </c>
      <c r="AY284" s="518" t="str">
        <f>IF(AND(_3="B-767-300",'2026'!$K$4="CA",'2026'!$K$2=AY271),'2026DATA'!$H$15,"")</f>
        <v/>
      </c>
      <c r="AZ284" s="518" t="str">
        <f>IF(AND(_3="B-767-300",'2026'!$K$4="CA",'2026'!$K$2=AZ271),'2026DATA'!$I$15,"")</f>
        <v/>
      </c>
      <c r="BA284" s="518" t="str">
        <f>IF(AND(_3="B-767-300",'2026'!$K$4="CA",'2026'!$K$2=BA271),'2026DATA'!$J$15,"")</f>
        <v/>
      </c>
      <c r="BB284" s="518" t="str">
        <f>IF(AND(_3="B-767-300",'2026'!$K$4="CA",'2026'!$K$2=BB271),'2026DATA'!$K$15,"")</f>
        <v/>
      </c>
      <c r="BC284" s="518" t="str">
        <f>IF(AND(_3="B-767-300",'2026'!$K$4="CA",'2026'!$K$2=BC271),'2026DATA'!$L$15,"")</f>
        <v/>
      </c>
      <c r="BD284" s="518" t="str">
        <f>IF(AND(_3="B-767-300",'2026'!$K$4="CA",'2026'!$K$2=BD271),'2026DATA'!$M$15,"")</f>
        <v/>
      </c>
      <c r="BE284" s="520" t="str">
        <f>IF(AND(_3="B-767-300",'2026'!$K$4="CA",'2026'!$K$2=BE271),'2026DATA'!$N$15,"")</f>
        <v/>
      </c>
      <c r="BF284" s="940" t="s">
        <v>67</v>
      </c>
      <c r="BG284" s="13" t="s">
        <v>61</v>
      </c>
      <c r="BH284" s="518" t="str">
        <f>IF(AND(_4="B-767-300",'2026'!$K$4="CA",'2026'!$K$2=BH271),'2026DATA'!$C$15,"")</f>
        <v/>
      </c>
      <c r="BI284" s="518" t="str">
        <f>IF(AND(_4="B-767-300",'2026'!$K$4="CA",'2026'!$K$2=BI271),'2026DATA'!$D$15,"")</f>
        <v/>
      </c>
      <c r="BJ284" s="518" t="str">
        <f>IF(AND(_4="B-767-300",'2026'!$K$4="CA",'2026'!$K$2=BJ271),'2026DATA'!$E$15,"")</f>
        <v/>
      </c>
      <c r="BK284" s="518" t="str">
        <f>IF(AND(_4="B-767-300",'2026'!$K$4="CA",'2026'!$K$2=BK271),'2026DATA'!$F$15,"")</f>
        <v/>
      </c>
      <c r="BL284" s="518" t="str">
        <f>IF(AND(_4="B-767-300",'2026'!$K$4="CA",'2026'!$K$2=BL271),'2026DATA'!$G$15,"")</f>
        <v/>
      </c>
      <c r="BM284" s="518" t="str">
        <f>IF(AND(_4="B-767-300",'2026'!$K$4="CA",'2026'!$K$2=BM271),'2026DATA'!$H$15,"")</f>
        <v/>
      </c>
      <c r="BN284" s="518" t="str">
        <f>IF(AND(_4="B-767-300",'2026'!$K$4="CA",'2026'!$K$2=BN271),'2026DATA'!$I$15,"")</f>
        <v/>
      </c>
      <c r="BO284" s="518" t="str">
        <f>IF(AND(_4="B-767-300",'2026'!$K$4="CA",'2026'!$K$2=BO271),'2026DATA'!$J$15,"")</f>
        <v/>
      </c>
      <c r="BP284" s="518" t="str">
        <f>IF(AND(_4="B-767-300",'2026'!$K$4="CA",'2026'!$K$2=BP271),'2026DATA'!$K$15,"")</f>
        <v/>
      </c>
      <c r="BQ284" s="518" t="str">
        <f>IF(AND(_4="B-767-300",'2026'!$K$4="CA",'2026'!$K$2=BQ271),'2026DATA'!$L$15,"")</f>
        <v/>
      </c>
      <c r="BR284" s="518" t="str">
        <f>IF(AND(_4="B-767-300",'2026'!$K$4="CA",'2026'!$K$2=BR271),'2026DATA'!$M$15,"")</f>
        <v/>
      </c>
      <c r="BS284" s="520" t="str">
        <f>IF(AND(_4="B-767-300",'2026'!$K$4="CA",'2026'!$K$2=BS271),'2026DATA'!$N$15,"")</f>
        <v/>
      </c>
      <c r="BT284" s="940" t="s">
        <v>67</v>
      </c>
      <c r="BU284" s="13" t="s">
        <v>61</v>
      </c>
      <c r="BV284" s="518" t="str">
        <f>IF(AND(_5="B-767-300",'2026'!$K$4="CA",'2026'!$K$2=BV271),'2026DATA'!$C$15,"")</f>
        <v/>
      </c>
      <c r="BW284" s="518" t="str">
        <f>IF(AND(_5="B-767-300",'2026'!$K$4="CA",'2026'!$K$2=BW271),'2026DATA'!$D$15,"")</f>
        <v/>
      </c>
      <c r="BX284" s="518" t="str">
        <f>IF(AND(_5="B-767-300",'2026'!$K$4="CA",'2026'!$K$2=BX271),'2026DATA'!$E$15,"")</f>
        <v/>
      </c>
      <c r="BY284" s="518" t="str">
        <f>IF(AND(_5="B-767-300",'2026'!$K$4="CA",'2026'!$K$2=BY271),'2026DATA'!$F$15,"")</f>
        <v/>
      </c>
      <c r="BZ284" s="518" t="str">
        <f>IF(AND(_5="B-767-300",'2026'!$K$4="CA",'2026'!$K$2=BZ271),'2026DATA'!$G$15,"")</f>
        <v/>
      </c>
      <c r="CA284" s="518" t="str">
        <f>IF(AND(_5="B-767-300",'2026'!$K$4="CA",'2026'!$K$2=CA271),'2026DATA'!$H$15,"")</f>
        <v/>
      </c>
      <c r="CB284" s="518" t="str">
        <f>IF(AND(_5="B-767-300",'2026'!$K$4="CA",'2026'!$K$2=CB271),'2026DATA'!$I$15,"")</f>
        <v/>
      </c>
      <c r="CC284" s="518" t="str">
        <f>IF(AND(_5="B-767-300",'2026'!$K$4="CA",'2026'!$K$2=CC271),'2026DATA'!$J$15,"")</f>
        <v/>
      </c>
      <c r="CD284" s="518" t="str">
        <f>IF(AND(_5="B-767-300",'2026'!$K$4="CA",'2026'!$K$2=CD271),'2026DATA'!$K$15,"")</f>
        <v/>
      </c>
      <c r="CE284" s="518" t="str">
        <f>IF(AND(_5="B-767-300",'2026'!$K$4="CA",'2026'!$K$2=CE271),'2026DATA'!$L$15,"")</f>
        <v/>
      </c>
      <c r="CF284" s="518" t="str">
        <f>IF(AND(_5="B-767-300",'2026'!$K$4="CA",'2026'!$K$2=CF271),'2026DATA'!$M$15,"")</f>
        <v/>
      </c>
      <c r="CG284" s="520" t="str">
        <f>IF(AND(_5="B-767-300",'2026'!$K$4="CA",'2026'!$K$2=CG271),'2026DATA'!$N$15,"")</f>
        <v/>
      </c>
      <c r="CH284" s="940" t="s">
        <v>67</v>
      </c>
      <c r="CI284" s="13" t="s">
        <v>61</v>
      </c>
      <c r="CJ284" s="518" t="str">
        <f>IF(AND(_6="B-767-300",'2026'!$K$4="CA",'2026'!$K$2=CJ271),'2026DATA'!$C$15,"")</f>
        <v/>
      </c>
      <c r="CK284" s="518" t="str">
        <f>IF(AND(_6="B-767-300",'2026'!$K$4="CA",'2026'!$K$2=CK271),'2026DATA'!$D$15,"")</f>
        <v/>
      </c>
      <c r="CL284" s="518" t="str">
        <f>IF(AND(_6="B-767-300",'2026'!$K$4="CA",'2026'!$K$2=CL271),'2026DATA'!$E$15,"")</f>
        <v/>
      </c>
      <c r="CM284" s="518" t="str">
        <f>IF(AND(_6="B-767-300",'2026'!$K$4="CA",'2026'!$K$2=CM271),'2026DATA'!$F$15,"")</f>
        <v/>
      </c>
      <c r="CN284" s="518" t="str">
        <f>IF(AND(_6="B-767-300",'2026'!$K$4="CA",'2026'!$K$2=CN271),'2026DATA'!$G$15,"")</f>
        <v/>
      </c>
      <c r="CO284" s="518" t="str">
        <f>IF(AND(_6="B-767-300",'2026'!$K$4="CA",'2026'!$K$2=CO271),'2026DATA'!$H$15,"")</f>
        <v/>
      </c>
      <c r="CP284" s="518" t="str">
        <f>IF(AND(_6="B-767-300",'2026'!$K$4="CA",'2026'!$K$2=CP271),'2026DATA'!$I$15,"")</f>
        <v/>
      </c>
      <c r="CQ284" s="518" t="str">
        <f>IF(AND(_6="B-767-300",'2026'!$K$4="CA",'2026'!$K$2=CQ271),'2026DATA'!$J$15,"")</f>
        <v/>
      </c>
      <c r="CR284" s="518" t="str">
        <f>IF(AND(_6="B-767-300",'2026'!$K$4="CA",'2026'!$K$2=CR271),'2026DATA'!$K$15,"")</f>
        <v/>
      </c>
      <c r="CS284" s="518" t="str">
        <f>IF(AND(_6="B-767-300",'2026'!$K$4="CA",'2026'!$K$2=CS271),'2026DATA'!$L$15,"")</f>
        <v/>
      </c>
      <c r="CT284" s="518" t="str">
        <f>IF(AND(_6="B-767-300",'2026'!$K$4="CA",'2026'!$K$2=CT271),'2026DATA'!$M$15,"")</f>
        <v/>
      </c>
      <c r="CU284" s="520" t="str">
        <f>IF(AND(_6="B-767-300",'2026'!$K$4="CA",'2026'!$K$2=CU271),'2026DATA'!$N$15,"")</f>
        <v/>
      </c>
    </row>
    <row r="285" spans="16:99" x14ac:dyDescent="0.25">
      <c r="P285" s="940"/>
      <c r="Q285" s="13" t="s">
        <v>62</v>
      </c>
      <c r="R285" s="518" t="str">
        <f>IF(AND(_1="B-767-300",'2026'!$K$4="FO",'2026'!$K$2=R271),'2026DATA'!$C$16,"")</f>
        <v/>
      </c>
      <c r="S285" s="518" t="str">
        <f>IF(AND(_1="B-767-300",'2026'!$K$4="FO",'2026'!$K$2=S271),'2026DATA'!$D$16,"")</f>
        <v/>
      </c>
      <c r="T285" s="518" t="str">
        <f>IF(AND(_1="B-767-300",'2026'!$K$4="FO",'2026'!$K$2=T271),'2026DATA'!$E$16,"")</f>
        <v/>
      </c>
      <c r="U285" s="518" t="str">
        <f>IF(AND(_1="B-767-300",'2026'!$K$4="FO",'2026'!$K$2=U271),'2026DATA'!$F$16,"")</f>
        <v/>
      </c>
      <c r="V285" s="518" t="str">
        <f>IF(AND(_1="B-767-300",'2026'!$K$4="FO",'2026'!$K$2=V271),'2026DATA'!$G$16,"")</f>
        <v/>
      </c>
      <c r="W285" s="518" t="str">
        <f>IF(AND(_1="B-767-300",'2026'!$K$4="FO",'2026'!$K$2=W271),'2026DATA'!$H$16,"")</f>
        <v/>
      </c>
      <c r="X285" s="518" t="str">
        <f>IF(AND(_1="B-767-300",'2026'!$K$4="FO",'2026'!$K$2=X271),'2026DATA'!$I$16,"")</f>
        <v/>
      </c>
      <c r="Y285" s="518" t="str">
        <f>IF(AND(_1="B-767-300",'2026'!$K$4="FO",'2026'!$K$2=Y271),'2026DATA'!$J$16,"")</f>
        <v/>
      </c>
      <c r="Z285" s="518" t="str">
        <f>IF(AND(_1="B-767-300",'2026'!$K$4="FO",'2026'!$K$2=Z271),'2026DATA'!$K$16,"")</f>
        <v/>
      </c>
      <c r="AA285" s="518" t="str">
        <f>IF(AND(_1="B-767-300",'2026'!$K$4="FO",'2026'!$K$2=AA271),'2026DATA'!$L$16,"")</f>
        <v/>
      </c>
      <c r="AB285" s="518" t="str">
        <f>IF(AND(_1="B-767-300",'2026'!$K$4="FO",'2026'!$K$2=AB271),'2026DATA'!$M$16,"")</f>
        <v/>
      </c>
      <c r="AC285" s="520" t="str">
        <f>IF(AND(_1="B-767-300",'2026'!$K$4="FO",'2026'!$K$2=AC271),'2026DATA'!$N$16,"")</f>
        <v/>
      </c>
      <c r="AD285" s="940"/>
      <c r="AE285" s="13" t="s">
        <v>62</v>
      </c>
      <c r="AF285" s="518" t="str">
        <f>IF(AND(_2="B-767-300",'2026'!$K$4="FO",'2026'!$K$2=AF271),'2026DATA'!$C$16,"")</f>
        <v/>
      </c>
      <c r="AG285" s="518" t="str">
        <f>IF(AND(_2="B-767-300",'2026'!$K$4="FO",'2026'!$K$2=AG271),'2026DATA'!$D$16,"")</f>
        <v/>
      </c>
      <c r="AH285" s="518" t="str">
        <f>IF(AND(_2="B-767-300",'2026'!$K$4="FO",'2026'!$K$2=AH271),'2026DATA'!$E$16,"")</f>
        <v/>
      </c>
      <c r="AI285" s="518" t="str">
        <f>IF(AND(_2="B-767-300",'2026'!$K$4="FO",'2026'!$K$2=AI271),'2026DATA'!$F$16,"")</f>
        <v/>
      </c>
      <c r="AJ285" s="518" t="str">
        <f>IF(AND(_2="B-767-300",'2026'!$K$4="FO",'2026'!$K$2=AJ271),'2026DATA'!$G$16,"")</f>
        <v/>
      </c>
      <c r="AK285" s="518" t="str">
        <f>IF(AND(_2="B-767-300",'2026'!$K$4="FO",'2026'!$K$2=AK271),'2026DATA'!$H$16,"")</f>
        <v/>
      </c>
      <c r="AL285" s="518" t="str">
        <f>IF(AND(_2="B-767-300",'2026'!$K$4="FO",'2026'!$K$2=AL271),'2026DATA'!$I$16,"")</f>
        <v/>
      </c>
      <c r="AM285" s="518" t="str">
        <f>IF(AND(_2="B-767-300",'2026'!$K$4="FO",'2026'!$K$2=AM271),'2026DATA'!$J$16,"")</f>
        <v/>
      </c>
      <c r="AN285" s="518" t="str">
        <f>IF(AND(_2="B-767-300",'2026'!$K$4="FO",'2026'!$K$2=AN271),'2026DATA'!$K$16,"")</f>
        <v/>
      </c>
      <c r="AO285" s="518" t="str">
        <f>IF(AND(_2="B-767-300",'2026'!$K$4="FO",'2026'!$K$2=AO271),'2026DATA'!$L$16,"")</f>
        <v/>
      </c>
      <c r="AP285" s="518" t="str">
        <f>IF(AND(_2="B-767-300",'2026'!$K$4="FO",'2026'!$K$2=AP271),'2026DATA'!$M$16,"")</f>
        <v/>
      </c>
      <c r="AQ285" s="520" t="str">
        <f>IF(AND(_2="B-767-300",'2026'!$K$4="FO",'2026'!$K$2=AQ271),'2026DATA'!$N$16,"")</f>
        <v/>
      </c>
      <c r="AR285" s="940"/>
      <c r="AS285" s="13" t="s">
        <v>62</v>
      </c>
      <c r="AT285" s="518" t="str">
        <f>IF(AND(_3="B-767-300",'2026'!$K$4="FO",'2026'!$K$2=AT271),'2026DATA'!$C$16,"")</f>
        <v/>
      </c>
      <c r="AU285" s="518" t="str">
        <f>IF(AND(_3="B-767-300",'2026'!$K$4="FO",'2026'!$K$2=AU271),'2026DATA'!$D$16,"")</f>
        <v/>
      </c>
      <c r="AV285" s="518" t="str">
        <f>IF(AND(_3="B-767-300",'2026'!$K$4="FO",'2026'!$K$2=AV271),'2026DATA'!$E$16,"")</f>
        <v/>
      </c>
      <c r="AW285" s="518" t="str">
        <f>IF(AND(_3="B-767-300",'2026'!$K$4="FO",'2026'!$K$2=AW271),'2026DATA'!$F$16,"")</f>
        <v/>
      </c>
      <c r="AX285" s="518" t="str">
        <f>IF(AND(_3="B-767-300",'2026'!$K$4="FO",'2026'!$K$2=AX271),'2026DATA'!$G$16,"")</f>
        <v/>
      </c>
      <c r="AY285" s="518" t="str">
        <f>IF(AND(_3="B-767-300",'2026'!$K$4="FO",'2026'!$K$2=AY271),'2026DATA'!$H$16,"")</f>
        <v/>
      </c>
      <c r="AZ285" s="518" t="str">
        <f>IF(AND(_3="B-767-300",'2026'!$K$4="FO",'2026'!$K$2=AZ271),'2026DATA'!$I$16,"")</f>
        <v/>
      </c>
      <c r="BA285" s="518" t="str">
        <f>IF(AND(_3="B-767-300",'2026'!$K$4="FO",'2026'!$K$2=BA271),'2026DATA'!$J$16,"")</f>
        <v/>
      </c>
      <c r="BB285" s="518" t="str">
        <f>IF(AND(_3="B-767-300",'2026'!$K$4="FO",'2026'!$K$2=BB271),'2026DATA'!$K$16,"")</f>
        <v/>
      </c>
      <c r="BC285" s="518" t="str">
        <f>IF(AND(_3="B-767-300",'2026'!$K$4="FO",'2026'!$K$2=BC271),'2026DATA'!$L$16,"")</f>
        <v/>
      </c>
      <c r="BD285" s="518" t="str">
        <f>IF(AND(_3="B-767-300",'2026'!$K$4="FO",'2026'!$K$2=BD271),'2026DATA'!$M$16,"")</f>
        <v/>
      </c>
      <c r="BE285" s="520" t="str">
        <f>IF(AND(_3="B-767-300",'2026'!$K$4="FO",'2026'!$K$2=BE271),'2026DATA'!$N$16,"")</f>
        <v/>
      </c>
      <c r="BF285" s="940"/>
      <c r="BG285" s="13" t="s">
        <v>62</v>
      </c>
      <c r="BH285" s="518" t="str">
        <f>IF(AND(_4="B-767-300",'2026'!$K$4="FO",'2026'!$K$2=BH271),'2026DATA'!$C$16,"")</f>
        <v/>
      </c>
      <c r="BI285" s="518" t="str">
        <f>IF(AND(_4="B-767-300",'2026'!$K$4="FO",'2026'!$K$2=BI271),'2026DATA'!$D$16,"")</f>
        <v/>
      </c>
      <c r="BJ285" s="518" t="str">
        <f>IF(AND(_4="B-767-300",'2026'!$K$4="FO",'2026'!$K$2=BJ271),'2026DATA'!$E$16,"")</f>
        <v/>
      </c>
      <c r="BK285" s="518" t="str">
        <f>IF(AND(_4="B-767-300",'2026'!$K$4="FO",'2026'!$K$2=BK271),'2026DATA'!$F$16,"")</f>
        <v/>
      </c>
      <c r="BL285" s="518" t="str">
        <f>IF(AND(_4="B-767-300",'2026'!$K$4="FO",'2026'!$K$2=BL271),'2026DATA'!$G$16,"")</f>
        <v/>
      </c>
      <c r="BM285" s="518" t="str">
        <f>IF(AND(_4="B-767-300",'2026'!$K$4="FO",'2026'!$K$2=BM271),'2026DATA'!$H$16,"")</f>
        <v/>
      </c>
      <c r="BN285" s="518" t="str">
        <f>IF(AND(_4="B-767-300",'2026'!$K$4="FO",'2026'!$K$2=BN271),'2026DATA'!$I$16,"")</f>
        <v/>
      </c>
      <c r="BO285" s="518" t="str">
        <f>IF(AND(_4="B-767-300",'2026'!$K$4="FO",'2026'!$K$2=BO271),'2026DATA'!$J$16,"")</f>
        <v/>
      </c>
      <c r="BP285" s="518" t="str">
        <f>IF(AND(_4="B-767-300",'2026'!$K$4="FO",'2026'!$K$2=BP271),'2026DATA'!$K$16,"")</f>
        <v/>
      </c>
      <c r="BQ285" s="518" t="str">
        <f>IF(AND(_4="B-767-300",'2026'!$K$4="FO",'2026'!$K$2=BQ271),'2026DATA'!$L$16,"")</f>
        <v/>
      </c>
      <c r="BR285" s="518" t="str">
        <f>IF(AND(_4="B-767-300",'2026'!$K$4="FO",'2026'!$K$2=BR271),'2026DATA'!$M$16,"")</f>
        <v/>
      </c>
      <c r="BS285" s="520" t="str">
        <f>IF(AND(_4="B-767-300",'2026'!$K$4="FO",'2026'!$K$2=BS271),'2026DATA'!$N$16,"")</f>
        <v/>
      </c>
      <c r="BT285" s="940"/>
      <c r="BU285" s="13" t="s">
        <v>62</v>
      </c>
      <c r="BV285" s="518" t="str">
        <f>IF(AND(_5="B-767-300",'2026'!$K$4="FO",'2026'!$K$2=BV271),'2026DATA'!$C$16,"")</f>
        <v/>
      </c>
      <c r="BW285" s="518" t="str">
        <f>IF(AND(_5="B-767-300",'2026'!$K$4="FO",'2026'!$K$2=BW271),'2026DATA'!$D$16,"")</f>
        <v/>
      </c>
      <c r="BX285" s="518" t="str">
        <f>IF(AND(_5="B-767-300",'2026'!$K$4="FO",'2026'!$K$2=BX271),'2026DATA'!$E$16,"")</f>
        <v/>
      </c>
      <c r="BY285" s="518" t="str">
        <f>IF(AND(_5="B-767-300",'2026'!$K$4="FO",'2026'!$K$2=BY271),'2026DATA'!$F$16,"")</f>
        <v/>
      </c>
      <c r="BZ285" s="518" t="str">
        <f>IF(AND(_5="B-767-300",'2026'!$K$4="FO",'2026'!$K$2=BZ271),'2026DATA'!$G$16,"")</f>
        <v/>
      </c>
      <c r="CA285" s="518" t="str">
        <f>IF(AND(_5="B-767-300",'2026'!$K$4="FO",'2026'!$K$2=CA271),'2026DATA'!$H$16,"")</f>
        <v/>
      </c>
      <c r="CB285" s="518" t="str">
        <f>IF(AND(_5="B-767-300",'2026'!$K$4="FO",'2026'!$K$2=CB271),'2026DATA'!$I$16,"")</f>
        <v/>
      </c>
      <c r="CC285" s="518" t="str">
        <f>IF(AND(_5="B-767-300",'2026'!$K$4="FO",'2026'!$K$2=CC271),'2026DATA'!$J$16,"")</f>
        <v/>
      </c>
      <c r="CD285" s="518" t="str">
        <f>IF(AND(_5="B-767-300",'2026'!$K$4="FO",'2026'!$K$2=CD271),'2026DATA'!$K$16,"")</f>
        <v/>
      </c>
      <c r="CE285" s="518" t="str">
        <f>IF(AND(_5="B-767-300",'2026'!$K$4="FO",'2026'!$K$2=CE271),'2026DATA'!$L$16,"")</f>
        <v/>
      </c>
      <c r="CF285" s="518" t="str">
        <f>IF(AND(_5="B-767-300",'2026'!$K$4="FO",'2026'!$K$2=CF271),'2026DATA'!$M$16,"")</f>
        <v/>
      </c>
      <c r="CG285" s="520" t="str">
        <f>IF(AND(_5="B-767-300",'2026'!$K$4="FO",'2026'!$K$2=CG271),'2026DATA'!$N$16,"")</f>
        <v/>
      </c>
      <c r="CH285" s="940"/>
      <c r="CI285" s="13" t="s">
        <v>62</v>
      </c>
      <c r="CJ285" s="518" t="str">
        <f>IF(AND(_6="B-767-300",'2026'!$K$4="FO",'2026'!$K$2=CJ271),'2026DATA'!$C$16,"")</f>
        <v/>
      </c>
      <c r="CK285" s="518" t="str">
        <f>IF(AND(_6="B-767-300",'2026'!$K$4="FO",'2026'!$K$2=CK271),'2026DATA'!$D$16,"")</f>
        <v/>
      </c>
      <c r="CL285" s="518" t="str">
        <f>IF(AND(_6="B-767-300",'2026'!$K$4="FO",'2026'!$K$2=CL271),'2026DATA'!$E$16,"")</f>
        <v/>
      </c>
      <c r="CM285" s="518" t="str">
        <f>IF(AND(_6="B-767-300",'2026'!$K$4="FO",'2026'!$K$2=CM271),'2026DATA'!$F$16,"")</f>
        <v/>
      </c>
      <c r="CN285" s="518" t="str">
        <f>IF(AND(_6="B-767-300",'2026'!$K$4="FO",'2026'!$K$2=CN271),'2026DATA'!$G$16,"")</f>
        <v/>
      </c>
      <c r="CO285" s="518" t="str">
        <f>IF(AND(_6="B-767-300",'2026'!$K$4="FO",'2026'!$K$2=CO271),'2026DATA'!$H$16,"")</f>
        <v/>
      </c>
      <c r="CP285" s="518" t="str">
        <f>IF(AND(_6="B-767-300",'2026'!$K$4="FO",'2026'!$K$2=CP271),'2026DATA'!$I$16,"")</f>
        <v/>
      </c>
      <c r="CQ285" s="518" t="str">
        <f>IF(AND(_6="B-767-300",'2026'!$K$4="FO",'2026'!$K$2=CQ271),'2026DATA'!$J$16,"")</f>
        <v/>
      </c>
      <c r="CR285" s="518" t="str">
        <f>IF(AND(_6="B-767-300",'2026'!$K$4="FO",'2026'!$K$2=CR271),'2026DATA'!$K$16,"")</f>
        <v/>
      </c>
      <c r="CS285" s="518" t="str">
        <f>IF(AND(_6="B-767-300",'2026'!$K$4="FO",'2026'!$K$2=CS271),'2026DATA'!$L$16,"")</f>
        <v/>
      </c>
      <c r="CT285" s="518" t="str">
        <f>IF(AND(_6="B-767-300",'2026'!$K$4="FO",'2026'!$K$2=CT271),'2026DATA'!$M$16,"")</f>
        <v/>
      </c>
      <c r="CU285" s="520" t="str">
        <f>IF(AND(_6="B-767-300",'2026'!$K$4="FO",'2026'!$K$2=CU271),'2026DATA'!$N$16,"")</f>
        <v/>
      </c>
    </row>
    <row r="286" spans="16:99" x14ac:dyDescent="0.25">
      <c r="P286" s="940" t="s">
        <v>68</v>
      </c>
      <c r="Q286" s="13" t="s">
        <v>61</v>
      </c>
      <c r="R286" s="518" t="str">
        <f>IF(AND(_1="B-767-200",'2026'!$K$4="CA",'2026'!$K$2=R271),'2026DATA'!$C$17,"")</f>
        <v/>
      </c>
      <c r="S286" s="518" t="str">
        <f>IF(AND(_1="B-767-200",'2026'!$K$4="CA",'2026'!$K$2=S271),'2026DATA'!$D$17,"")</f>
        <v/>
      </c>
      <c r="T286" s="518" t="str">
        <f>IF(AND(_1="B-767-200",'2026'!$K$4="CA",'2026'!$K$2=T271),'2026DATA'!$E$17,"")</f>
        <v/>
      </c>
      <c r="U286" s="518" t="str">
        <f>IF(AND(_1="B-767-200",'2026'!$K$4="CA",'2026'!$K$2=U271),'2026DATA'!$F$17,"")</f>
        <v/>
      </c>
      <c r="V286" s="518" t="str">
        <f>IF(AND(_1="B-767-200",'2026'!$K$4="CA",'2026'!$K$2=V271),'2026DATA'!$G$17,"")</f>
        <v/>
      </c>
      <c r="W286" s="518" t="str">
        <f>IF(AND(_1="B-767-200",'2026'!$K$4="CA",'2026'!$K$2=W271),'2026DATA'!$H$17,"")</f>
        <v/>
      </c>
      <c r="X286" s="518" t="str">
        <f>IF(AND(_1="B-767-200",'2026'!$K$4="CA",'2026'!$K$2=X271),'2026DATA'!$I$17,"")</f>
        <v/>
      </c>
      <c r="Y286" s="518" t="str">
        <f>IF(AND(_1="B-767-200",'2026'!$K$4="CA",'2026'!$K$2=Y271),'2026DATA'!$J$17,"")</f>
        <v/>
      </c>
      <c r="Z286" s="518" t="str">
        <f>IF(AND(_1="B-767-200",'2026'!$K$4="CA",'2026'!$K$2=Z271),'2026DATA'!$K$17,"")</f>
        <v/>
      </c>
      <c r="AA286" s="518" t="str">
        <f>IF(AND(_1="B-767-200",'2026'!$K$4="CA",'2026'!$K$2=AA271),'2026DATA'!$L$17,"")</f>
        <v/>
      </c>
      <c r="AB286" s="518" t="str">
        <f>IF(AND(_1="B-767-200",'2026'!$K$4="CA",'2026'!$K$2=AB271),'2026DATA'!$M$17,"")</f>
        <v/>
      </c>
      <c r="AC286" s="520" t="str">
        <f>IF(AND(_1="B-767-200",'2026'!$K$4="CA",'2026'!$K$2=AC271),'2026DATA'!$N$17,"")</f>
        <v/>
      </c>
      <c r="AD286" s="940" t="s">
        <v>68</v>
      </c>
      <c r="AE286" s="13" t="s">
        <v>61</v>
      </c>
      <c r="AF286" s="518" t="str">
        <f>IF(AND(_2="B-767-200",'2026'!$K$4="CA",'2026'!$K$2=AF271),'2026DATA'!$C$17,"")</f>
        <v/>
      </c>
      <c r="AG286" s="518" t="str">
        <f>IF(AND(_2="B-767-200",'2026'!$K$4="CA",'2026'!$K$2=AG271),'2026DATA'!$D$17,"")</f>
        <v/>
      </c>
      <c r="AH286" s="518" t="str">
        <f>IF(AND(_2="B-767-200",'2026'!$K$4="CA",'2026'!$K$2=AH271),'2026DATA'!$E$17,"")</f>
        <v/>
      </c>
      <c r="AI286" s="518" t="str">
        <f>IF(AND(_2="B-767-200",'2026'!$K$4="CA",'2026'!$K$2=AI271),'2026DATA'!$F$17,"")</f>
        <v/>
      </c>
      <c r="AJ286" s="518" t="str">
        <f>IF(AND(_2="B-767-200",'2026'!$K$4="CA",'2026'!$K$2=AJ271),'2026DATA'!$G$17,"")</f>
        <v/>
      </c>
      <c r="AK286" s="518" t="str">
        <f>IF(AND(_2="B-767-200",'2026'!$K$4="CA",'2026'!$K$2=AK271),'2026DATA'!$H$17,"")</f>
        <v/>
      </c>
      <c r="AL286" s="518" t="str">
        <f>IF(AND(_2="B-767-200",'2026'!$K$4="CA",'2026'!$K$2=AL271),'2026DATA'!$I$17,"")</f>
        <v/>
      </c>
      <c r="AM286" s="518" t="str">
        <f>IF(AND(_2="B-767-200",'2026'!$K$4="CA",'2026'!$K$2=AM271),'2026DATA'!$J$17,"")</f>
        <v/>
      </c>
      <c r="AN286" s="518" t="str">
        <f>IF(AND(_2="B-767-200",'2026'!$K$4="CA",'2026'!$K$2=AN271),'2026DATA'!$K$17,"")</f>
        <v/>
      </c>
      <c r="AO286" s="518" t="str">
        <f>IF(AND(_2="B-767-200",'2026'!$K$4="CA",'2026'!$K$2=AO271),'2026DATA'!$L$17,"")</f>
        <v/>
      </c>
      <c r="AP286" s="518" t="str">
        <f>IF(AND(_2="B-767-200",'2026'!$K$4="CA",'2026'!$K$2=AP271),'2026DATA'!$M$17,"")</f>
        <v/>
      </c>
      <c r="AQ286" s="520" t="str">
        <f>IF(AND(_2="B-767-200",'2026'!$K$4="CA",'2026'!$K$2=AQ271),'2026DATA'!$N$17,"")</f>
        <v/>
      </c>
      <c r="AR286" s="940" t="s">
        <v>68</v>
      </c>
      <c r="AS286" s="13" t="s">
        <v>61</v>
      </c>
      <c r="AT286" s="518" t="str">
        <f>IF(AND(_3="B-767-200",'2026'!$K$4="CA",'2026'!$K$2=AT271),'2026DATA'!$C$17,"")</f>
        <v/>
      </c>
      <c r="AU286" s="518" t="str">
        <f>IF(AND(_3="B-767-200",'2026'!$K$4="CA",'2026'!$K$2=AU271),'2026DATA'!$D$17,"")</f>
        <v/>
      </c>
      <c r="AV286" s="518" t="str">
        <f>IF(AND(_3="B-767-200",'2026'!$K$4="CA",'2026'!$K$2=AV271),'2026DATA'!$E$17,"")</f>
        <v/>
      </c>
      <c r="AW286" s="518" t="str">
        <f>IF(AND(_3="B-767-200",'2026'!$K$4="CA",'2026'!$K$2=AW271),'2026DATA'!$F$17,"")</f>
        <v/>
      </c>
      <c r="AX286" s="518" t="str">
        <f>IF(AND(_3="B-767-200",'2026'!$K$4="CA",'2026'!$K$2=AX271),'2026DATA'!$G$17,"")</f>
        <v/>
      </c>
      <c r="AY286" s="518" t="str">
        <f>IF(AND(_3="B-767-200",'2026'!$K$4="CA",'2026'!$K$2=AY271),'2026DATA'!$H$17,"")</f>
        <v/>
      </c>
      <c r="AZ286" s="518" t="str">
        <f>IF(AND(_3="B-767-200",'2026'!$K$4="CA",'2026'!$K$2=AZ271),'2026DATA'!$I$17,"")</f>
        <v/>
      </c>
      <c r="BA286" s="518" t="str">
        <f>IF(AND(_3="B-767-200",'2026'!$K$4="CA",'2026'!$K$2=BA271),'2026DATA'!$J$17,"")</f>
        <v/>
      </c>
      <c r="BB286" s="518" t="str">
        <f>IF(AND(_3="B-767-200",'2026'!$K$4="CA",'2026'!$K$2=BB271),'2026DATA'!$K$17,"")</f>
        <v/>
      </c>
      <c r="BC286" s="518" t="str">
        <f>IF(AND(_3="B-767-200",'2026'!$K$4="CA",'2026'!$K$2=BC271),'2026DATA'!$L$17,"")</f>
        <v/>
      </c>
      <c r="BD286" s="518" t="str">
        <f>IF(AND(_3="B-767-200",'2026'!$K$4="CA",'2026'!$K$2=BD271),'2026DATA'!$M$17,"")</f>
        <v/>
      </c>
      <c r="BE286" s="520" t="str">
        <f>IF(AND(_3="B-767-200",'2026'!$K$4="CA",'2026'!$K$2=BE271),'2026DATA'!$N$17,"")</f>
        <v/>
      </c>
      <c r="BF286" s="940" t="s">
        <v>68</v>
      </c>
      <c r="BG286" s="13" t="s">
        <v>61</v>
      </c>
      <c r="BH286" s="518" t="str">
        <f>IF(AND(_4="B-767-200",'2026'!$K$4="CA",'2026'!$K$2=BH271),'2026DATA'!$C$17,"")</f>
        <v/>
      </c>
      <c r="BI286" s="518" t="str">
        <f>IF(AND(_4="B-767-200",'2026'!$K$4="CA",'2026'!$K$2=BI271),'2026DATA'!$D$17,"")</f>
        <v/>
      </c>
      <c r="BJ286" s="518" t="str">
        <f>IF(AND(_4="B-767-200",'2026'!$K$4="CA",'2026'!$K$2=BJ271),'2026DATA'!$E$17,"")</f>
        <v/>
      </c>
      <c r="BK286" s="518" t="str">
        <f>IF(AND(_4="B-767-200",'2026'!$K$4="CA",'2026'!$K$2=BK271),'2026DATA'!$F$17,"")</f>
        <v/>
      </c>
      <c r="BL286" s="518" t="str">
        <f>IF(AND(_4="B-767-200",'2026'!$K$4="CA",'2026'!$K$2=BL271),'2026DATA'!$G$17,"")</f>
        <v/>
      </c>
      <c r="BM286" s="518" t="str">
        <f>IF(AND(_4="B-767-200",'2026'!$K$4="CA",'2026'!$K$2=BM271),'2026DATA'!$H$17,"")</f>
        <v/>
      </c>
      <c r="BN286" s="518" t="str">
        <f>IF(AND(_4="B-767-200",'2026'!$K$4="CA",'2026'!$K$2=BN271),'2026DATA'!$I$17,"")</f>
        <v/>
      </c>
      <c r="BO286" s="518" t="str">
        <f>IF(AND(_4="B-767-200",'2026'!$K$4="CA",'2026'!$K$2=BO271),'2026DATA'!$J$17,"")</f>
        <v/>
      </c>
      <c r="BP286" s="518" t="str">
        <f>IF(AND(_4="B-767-200",'2026'!$K$4="CA",'2026'!$K$2=BP271),'2026DATA'!$K$17,"")</f>
        <v/>
      </c>
      <c r="BQ286" s="518" t="str">
        <f>IF(AND(_4="B-767-200",'2026'!$K$4="CA",'2026'!$K$2=BQ271),'2026DATA'!$L$17,"")</f>
        <v/>
      </c>
      <c r="BR286" s="518" t="str">
        <f>IF(AND(_4="B-767-200",'2026'!$K$4="CA",'2026'!$K$2=BR271),'2026DATA'!$M$17,"")</f>
        <v/>
      </c>
      <c r="BS286" s="520" t="str">
        <f>IF(AND(_4="B-767-200",'2026'!$K$4="CA",'2026'!$K$2=BS271),'2026DATA'!$N$17,"")</f>
        <v/>
      </c>
      <c r="BT286" s="940" t="s">
        <v>68</v>
      </c>
      <c r="BU286" s="13" t="s">
        <v>61</v>
      </c>
      <c r="BV286" s="518" t="str">
        <f>IF(AND(_5="B-767-200",'2026'!$K$4="CA",'2026'!$K$2=BV271),'2026DATA'!$C$17,"")</f>
        <v/>
      </c>
      <c r="BW286" s="518" t="str">
        <f>IF(AND(_5="B-767-200",'2026'!$K$4="CA",'2026'!$K$2=BW271),'2026DATA'!$D$17,"")</f>
        <v/>
      </c>
      <c r="BX286" s="518" t="str">
        <f>IF(AND(_5="B-767-200",'2026'!$K$4="CA",'2026'!$K$2=BX271),'2026DATA'!$E$17,"")</f>
        <v/>
      </c>
      <c r="BY286" s="518" t="str">
        <f>IF(AND(_5="B-767-200",'2026'!$K$4="CA",'2026'!$K$2=BY271),'2026DATA'!$F$17,"")</f>
        <v/>
      </c>
      <c r="BZ286" s="518" t="str">
        <f>IF(AND(_5="B-767-200",'2026'!$K$4="CA",'2026'!$K$2=BZ271),'2026DATA'!$G$17,"")</f>
        <v/>
      </c>
      <c r="CA286" s="518" t="str">
        <f>IF(AND(_5="B-767-200",'2026'!$K$4="CA",'2026'!$K$2=CA271),'2026DATA'!$H$17,"")</f>
        <v/>
      </c>
      <c r="CB286" s="518" t="str">
        <f>IF(AND(_5="B-767-200",'2026'!$K$4="CA",'2026'!$K$2=CB271),'2026DATA'!$I$17,"")</f>
        <v/>
      </c>
      <c r="CC286" s="518" t="str">
        <f>IF(AND(_5="B-767-200",'2026'!$K$4="CA",'2026'!$K$2=CC271),'2026DATA'!$J$17,"")</f>
        <v/>
      </c>
      <c r="CD286" s="518" t="str">
        <f>IF(AND(_5="B-767-200",'2026'!$K$4="CA",'2026'!$K$2=CD271),'2026DATA'!$K$17,"")</f>
        <v/>
      </c>
      <c r="CE286" s="518" t="str">
        <f>IF(AND(_5="B-767-200",'2026'!$K$4="CA",'2026'!$K$2=CE271),'2026DATA'!$L$17,"")</f>
        <v/>
      </c>
      <c r="CF286" s="518" t="str">
        <f>IF(AND(_5="B-767-200",'2026'!$K$4="CA",'2026'!$K$2=CF271),'2026DATA'!$M$17,"")</f>
        <v/>
      </c>
      <c r="CG286" s="520" t="str">
        <f>IF(AND(_5="B-767-200",'2026'!$K$4="CA",'2026'!$K$2=CG271),'2026DATA'!$N$17,"")</f>
        <v/>
      </c>
      <c r="CH286" s="940" t="s">
        <v>68</v>
      </c>
      <c r="CI286" s="13" t="s">
        <v>61</v>
      </c>
      <c r="CJ286" s="518" t="str">
        <f>IF(AND(_6="B-767-200",'2026'!$K$4="CA",'2026'!$K$2=CJ271),'2026DATA'!$C$17,"")</f>
        <v/>
      </c>
      <c r="CK286" s="518" t="str">
        <f>IF(AND(_6="B-767-200",'2026'!$K$4="CA",'2026'!$K$2=CK271),'2026DATA'!$D$17,"")</f>
        <v/>
      </c>
      <c r="CL286" s="518" t="str">
        <f>IF(AND(_6="B-767-200",'2026'!$K$4="CA",'2026'!$K$2=CL271),'2026DATA'!$E$17,"")</f>
        <v/>
      </c>
      <c r="CM286" s="518" t="str">
        <f>IF(AND(_6="B-767-200",'2026'!$K$4="CA",'2026'!$K$2=CM271),'2026DATA'!$F$17,"")</f>
        <v/>
      </c>
      <c r="CN286" s="518" t="str">
        <f>IF(AND(_6="B-767-200",'2026'!$K$4="CA",'2026'!$K$2=CN271),'2026DATA'!$G$17,"")</f>
        <v/>
      </c>
      <c r="CO286" s="518" t="str">
        <f>IF(AND(_6="B-767-200",'2026'!$K$4="CA",'2026'!$K$2=CO271),'2026DATA'!$H$17,"")</f>
        <v/>
      </c>
      <c r="CP286" s="518" t="str">
        <f>IF(AND(_6="B-767-200",'2026'!$K$4="CA",'2026'!$K$2=CP271),'2026DATA'!$I$17,"")</f>
        <v/>
      </c>
      <c r="CQ286" s="518" t="str">
        <f>IF(AND(_6="B-767-200",'2026'!$K$4="CA",'2026'!$K$2=CQ271),'2026DATA'!$J$17,"")</f>
        <v/>
      </c>
      <c r="CR286" s="518" t="str">
        <f>IF(AND(_6="B-767-200",'2026'!$K$4="CA",'2026'!$K$2=CR271),'2026DATA'!$K$17,"")</f>
        <v/>
      </c>
      <c r="CS286" s="518" t="str">
        <f>IF(AND(_6="B-767-200",'2026'!$K$4="CA",'2026'!$K$2=CS271),'2026DATA'!$L$17,"")</f>
        <v/>
      </c>
      <c r="CT286" s="518" t="str">
        <f>IF(AND(_6="B-767-200",'2026'!$K$4="CA",'2026'!$K$2=CT271),'2026DATA'!$M$17,"")</f>
        <v/>
      </c>
      <c r="CU286" s="520" t="str">
        <f>IF(AND(_6="B-767-200",'2026'!$K$4="CA",'2026'!$K$2=CU271),'2026DATA'!$N$17,"")</f>
        <v/>
      </c>
    </row>
    <row r="287" spans="16:99" x14ac:dyDescent="0.25">
      <c r="P287" s="940"/>
      <c r="Q287" s="13" t="s">
        <v>62</v>
      </c>
      <c r="R287" s="518" t="str">
        <f>IF(AND(_1="B-767-200",'2026'!$K$4="FO",'2026'!$K$2=R271),'2026DATA'!$C$18,"")</f>
        <v/>
      </c>
      <c r="S287" s="518" t="str">
        <f>IF(AND(_1="B-767-200",'2026'!$K$4="FO",'2026'!$K$2=S271),'2026DATA'!$D$18,"")</f>
        <v/>
      </c>
      <c r="T287" s="518" t="str">
        <f>IF(AND(_1="B-767-200",'2026'!$K$4="FO",'2026'!$K$2=T271),'2026DATA'!$E$18,"")</f>
        <v/>
      </c>
      <c r="U287" s="518" t="str">
        <f>IF(AND(_1="B-767-200",'2026'!$K$4="FO",'2026'!$K$2=U271),'2026DATA'!$F$18,"")</f>
        <v/>
      </c>
      <c r="V287" s="518" t="str">
        <f>IF(AND(_1="B-767-200",'2026'!$K$4="FO",'2026'!$K$2=V271),'2026DATA'!$G$18,"")</f>
        <v/>
      </c>
      <c r="W287" s="518" t="str">
        <f>IF(AND(_1="B-767-200",'2026'!$K$4="FO",'2026'!$K$2=W271),'2026DATA'!$H$18,"")</f>
        <v/>
      </c>
      <c r="X287" s="518" t="str">
        <f>IF(AND(_1="B-767-200",'2026'!$K$4="FO",'2026'!$K$2=X271),'2026DATA'!$I$18,"")</f>
        <v/>
      </c>
      <c r="Y287" s="518" t="str">
        <f>IF(AND(_1="B-767-200",'2026'!$K$4="FO",'2026'!$K$2=Y271),'2026DATA'!$J$18,"")</f>
        <v/>
      </c>
      <c r="Z287" s="518" t="str">
        <f>IF(AND(_1="B-767-200",'2026'!$K$4="FO",'2026'!$K$2=Z271),'2026DATA'!$K$18,"")</f>
        <v/>
      </c>
      <c r="AA287" s="518" t="str">
        <f>IF(AND(_1="B-767-200",'2026'!$K$4="FO",'2026'!$K$2=AA271),'2026DATA'!$L$18,"")</f>
        <v/>
      </c>
      <c r="AB287" s="518" t="str">
        <f>IF(AND(_1="B-767-200",'2026'!$K$4="FO",'2026'!$K$2=AB271),'2026DATA'!$M$18,"")</f>
        <v/>
      </c>
      <c r="AC287" s="520" t="str">
        <f>IF(AND(_1="B-767-200",'2026'!$K$4="FO",'2026'!$K$2=AC271),'2026DATA'!$N$18,"")</f>
        <v/>
      </c>
      <c r="AD287" s="940"/>
      <c r="AE287" s="13" t="s">
        <v>62</v>
      </c>
      <c r="AF287" s="518" t="str">
        <f>IF(AND(_2="B-767-200",'2026'!$K$4="FO",'2026'!$K$2=AF271),'2026DATA'!$C$18,"")</f>
        <v/>
      </c>
      <c r="AG287" s="518" t="str">
        <f>IF(AND(_2="B-767-200",'2026'!$K$4="FO",'2026'!$K$2=AG271),'2026DATA'!$D$18,"")</f>
        <v/>
      </c>
      <c r="AH287" s="518" t="str">
        <f>IF(AND(_2="B-767-200",'2026'!$K$4="FO",'2026'!$K$2=AH271),'2026DATA'!$E$18,"")</f>
        <v/>
      </c>
      <c r="AI287" s="518" t="str">
        <f>IF(AND(_2="B-767-200",'2026'!$K$4="FO",'2026'!$K$2=AI271),'2026DATA'!$F$18,"")</f>
        <v/>
      </c>
      <c r="AJ287" s="518" t="str">
        <f>IF(AND(_2="B-767-200",'2026'!$K$4="FO",'2026'!$K$2=AJ271),'2026DATA'!$G$18,"")</f>
        <v/>
      </c>
      <c r="AK287" s="518" t="str">
        <f>IF(AND(_2="B-767-200",'2026'!$K$4="FO",'2026'!$K$2=AK271),'2026DATA'!$H$18,"")</f>
        <v/>
      </c>
      <c r="AL287" s="518" t="str">
        <f>IF(AND(_2="B-767-200",'2026'!$K$4="FO",'2026'!$K$2=AL271),'2026DATA'!$I$18,"")</f>
        <v/>
      </c>
      <c r="AM287" s="518" t="str">
        <f>IF(AND(_2="B-767-200",'2026'!$K$4="FO",'2026'!$K$2=AM271),'2026DATA'!$J$18,"")</f>
        <v/>
      </c>
      <c r="AN287" s="518" t="str">
        <f>IF(AND(_2="B-767-200",'2026'!$K$4="FO",'2026'!$K$2=AN271),'2026DATA'!$K$18,"")</f>
        <v/>
      </c>
      <c r="AO287" s="518" t="str">
        <f>IF(AND(_2="B-767-200",'2026'!$K$4="FO",'2026'!$K$2=AO271),'2026DATA'!$L$18,"")</f>
        <v/>
      </c>
      <c r="AP287" s="518" t="str">
        <f>IF(AND(_2="B-767-200",'2026'!$K$4="FO",'2026'!$K$2=AP271),'2026DATA'!$M$18,"")</f>
        <v/>
      </c>
      <c r="AQ287" s="520" t="str">
        <f>IF(AND(_2="B-767-200",'2026'!$K$4="FO",'2026'!$K$2=AQ271),'2026DATA'!$N$18,"")</f>
        <v/>
      </c>
      <c r="AR287" s="940"/>
      <c r="AS287" s="13" t="s">
        <v>62</v>
      </c>
      <c r="AT287" s="518" t="str">
        <f>IF(AND(_3="B-767-200",'2026'!$K$4="FO",'2026'!$K$2=AT271),'2026DATA'!$C$18,"")</f>
        <v/>
      </c>
      <c r="AU287" s="518" t="str">
        <f>IF(AND(_3="B-767-200",'2026'!$K$4="FO",'2026'!$K$2=AU271),'2026DATA'!$D$18,"")</f>
        <v/>
      </c>
      <c r="AV287" s="518" t="str">
        <f>IF(AND(_3="B-767-200",'2026'!$K$4="FO",'2026'!$K$2=AV271),'2026DATA'!$E$18,"")</f>
        <v/>
      </c>
      <c r="AW287" s="518" t="str">
        <f>IF(AND(_3="B-767-200",'2026'!$K$4="FO",'2026'!$K$2=AW271),'2026DATA'!$F$18,"")</f>
        <v/>
      </c>
      <c r="AX287" s="518" t="str">
        <f>IF(AND(_3="B-767-200",'2026'!$K$4="FO",'2026'!$K$2=AX271),'2026DATA'!$G$18,"")</f>
        <v/>
      </c>
      <c r="AY287" s="518" t="str">
        <f>IF(AND(_3="B-767-200",'2026'!$K$4="FO",'2026'!$K$2=AY271),'2026DATA'!$H$18,"")</f>
        <v/>
      </c>
      <c r="AZ287" s="518" t="str">
        <f>IF(AND(_3="B-767-200",'2026'!$K$4="FO",'2026'!$K$2=AZ271),'2026DATA'!$I$18,"")</f>
        <v/>
      </c>
      <c r="BA287" s="518" t="str">
        <f>IF(AND(_3="B-767-200",'2026'!$K$4="FO",'2026'!$K$2=BA271),'2026DATA'!$J$18,"")</f>
        <v/>
      </c>
      <c r="BB287" s="518" t="str">
        <f>IF(AND(_3="B-767-200",'2026'!$K$4="FO",'2026'!$K$2=BB271),'2026DATA'!$K$18,"")</f>
        <v/>
      </c>
      <c r="BC287" s="518" t="str">
        <f>IF(AND(_3="B-767-200",'2026'!$K$4="FO",'2026'!$K$2=BC271),'2026DATA'!$L$18,"")</f>
        <v/>
      </c>
      <c r="BD287" s="518" t="str">
        <f>IF(AND(_3="B-767-200",'2026'!$K$4="FO",'2026'!$K$2=BD271),'2026DATA'!$M$18,"")</f>
        <v/>
      </c>
      <c r="BE287" s="520" t="str">
        <f>IF(AND(_3="B-767-200",'2026'!$K$4="FO",'2026'!$K$2=BE271),'2026DATA'!$N$18,"")</f>
        <v/>
      </c>
      <c r="BF287" s="940"/>
      <c r="BG287" s="13" t="s">
        <v>62</v>
      </c>
      <c r="BH287" s="518" t="str">
        <f>IF(AND(_4="B-767-200",'2026'!$K$4="FO",'2026'!$K$2=BH271),'2026DATA'!$C$18,"")</f>
        <v/>
      </c>
      <c r="BI287" s="518" t="str">
        <f>IF(AND(_4="B-767-200",'2026'!$K$4="FO",'2026'!$K$2=BI271),'2026DATA'!$D$18,"")</f>
        <v/>
      </c>
      <c r="BJ287" s="518" t="str">
        <f>IF(AND(_4="B-767-200",'2026'!$K$4="FO",'2026'!$K$2=BJ271),'2026DATA'!$E$18,"")</f>
        <v/>
      </c>
      <c r="BK287" s="518" t="str">
        <f>IF(AND(_4="B-767-200",'2026'!$K$4="FO",'2026'!$K$2=BK271),'2026DATA'!$F$18,"")</f>
        <v/>
      </c>
      <c r="BL287" s="518" t="str">
        <f>IF(AND(_4="B-767-200",'2026'!$K$4="FO",'2026'!$K$2=BL271),'2026DATA'!$G$18,"")</f>
        <v/>
      </c>
      <c r="BM287" s="518" t="str">
        <f>IF(AND(_4="B-767-200",'2026'!$K$4="FO",'2026'!$K$2=BM271),'2026DATA'!$H$18,"")</f>
        <v/>
      </c>
      <c r="BN287" s="518" t="str">
        <f>IF(AND(_4="B-767-200",'2026'!$K$4="FO",'2026'!$K$2=BN271),'2026DATA'!$I$18,"")</f>
        <v/>
      </c>
      <c r="BO287" s="518" t="str">
        <f>IF(AND(_4="B-767-200",'2026'!$K$4="FO",'2026'!$K$2=BO271),'2026DATA'!$J$18,"")</f>
        <v/>
      </c>
      <c r="BP287" s="518" t="str">
        <f>IF(AND(_4="B-767-200",'2026'!$K$4="FO",'2026'!$K$2=BP271),'2026DATA'!$K$18,"")</f>
        <v/>
      </c>
      <c r="BQ287" s="518" t="str">
        <f>IF(AND(_4="B-767-200",'2026'!$K$4="FO",'2026'!$K$2=BQ271),'2026DATA'!$L$18,"")</f>
        <v/>
      </c>
      <c r="BR287" s="518" t="str">
        <f>IF(AND(_4="B-767-200",'2026'!$K$4="FO",'2026'!$K$2=BR271),'2026DATA'!$M$18,"")</f>
        <v/>
      </c>
      <c r="BS287" s="520" t="str">
        <f>IF(AND(_4="B-767-200",'2026'!$K$4="FO",'2026'!$K$2=BS271),'2026DATA'!$N$18,"")</f>
        <v/>
      </c>
      <c r="BT287" s="940"/>
      <c r="BU287" s="13" t="s">
        <v>62</v>
      </c>
      <c r="BV287" s="518" t="str">
        <f>IF(AND(_5="B-767-200",'2026'!$K$4="FO",'2026'!$K$2=BV271),'2026DATA'!$C$18,"")</f>
        <v/>
      </c>
      <c r="BW287" s="518" t="str">
        <f>IF(AND(_5="B-767-200",'2026'!$K$4="FO",'2026'!$K$2=BW271),'2026DATA'!$D$18,"")</f>
        <v/>
      </c>
      <c r="BX287" s="518" t="str">
        <f>IF(AND(_5="B-767-200",'2026'!$K$4="FO",'2026'!$K$2=BX271),'2026DATA'!$E$18,"")</f>
        <v/>
      </c>
      <c r="BY287" s="518" t="str">
        <f>IF(AND(_5="B-767-200",'2026'!$K$4="FO",'2026'!$K$2=BY271),'2026DATA'!$F$18,"")</f>
        <v/>
      </c>
      <c r="BZ287" s="518" t="str">
        <f>IF(AND(_5="B-767-200",'2026'!$K$4="FO",'2026'!$K$2=BZ271),'2026DATA'!$G$18,"")</f>
        <v/>
      </c>
      <c r="CA287" s="518" t="str">
        <f>IF(AND(_5="B-767-200",'2026'!$K$4="FO",'2026'!$K$2=CA271),'2026DATA'!$H$18,"")</f>
        <v/>
      </c>
      <c r="CB287" s="518" t="str">
        <f>IF(AND(_5="B-767-200",'2026'!$K$4="FO",'2026'!$K$2=CB271),'2026DATA'!$I$18,"")</f>
        <v/>
      </c>
      <c r="CC287" s="518" t="str">
        <f>IF(AND(_5="B-767-200",'2026'!$K$4="FO",'2026'!$K$2=CC271),'2026DATA'!$J$18,"")</f>
        <v/>
      </c>
      <c r="CD287" s="518" t="str">
        <f>IF(AND(_5="B-767-200",'2026'!$K$4="FO",'2026'!$K$2=CD271),'2026DATA'!$K$18,"")</f>
        <v/>
      </c>
      <c r="CE287" s="518" t="str">
        <f>IF(AND(_5="B-767-200",'2026'!$K$4="FO",'2026'!$K$2=CE271),'2026DATA'!$L$18,"")</f>
        <v/>
      </c>
      <c r="CF287" s="518" t="str">
        <f>IF(AND(_5="B-767-200",'2026'!$K$4="FO",'2026'!$K$2=CF271),'2026DATA'!$M$18,"")</f>
        <v/>
      </c>
      <c r="CG287" s="520" t="str">
        <f>IF(AND(_5="B-767-200",'2026'!$K$4="FO",'2026'!$K$2=CG271),'2026DATA'!$N$18,"")</f>
        <v/>
      </c>
      <c r="CH287" s="940"/>
      <c r="CI287" s="13" t="s">
        <v>62</v>
      </c>
      <c r="CJ287" s="518" t="str">
        <f>IF(AND(_6="B-767-200",'2026'!$K$4="FO",'2026'!$K$2=CJ271),'2026DATA'!$C$18,"")</f>
        <v/>
      </c>
      <c r="CK287" s="518" t="str">
        <f>IF(AND(_6="B-767-200",'2026'!$K$4="FO",'2026'!$K$2=CK271),'2026DATA'!$D$18,"")</f>
        <v/>
      </c>
      <c r="CL287" s="518" t="str">
        <f>IF(AND(_6="B-767-200",'2026'!$K$4="FO",'2026'!$K$2=CL271),'2026DATA'!$E$18,"")</f>
        <v/>
      </c>
      <c r="CM287" s="518" t="str">
        <f>IF(AND(_6="B-767-200",'2026'!$K$4="FO",'2026'!$K$2=CM271),'2026DATA'!$F$18,"")</f>
        <v/>
      </c>
      <c r="CN287" s="518" t="str">
        <f>IF(AND(_6="B-767-200",'2026'!$K$4="FO",'2026'!$K$2=CN271),'2026DATA'!$G$18,"")</f>
        <v/>
      </c>
      <c r="CO287" s="518" t="str">
        <f>IF(AND(_6="B-767-200",'2026'!$K$4="FO",'2026'!$K$2=CO271),'2026DATA'!$H$18,"")</f>
        <v/>
      </c>
      <c r="CP287" s="518" t="str">
        <f>IF(AND(_6="B-767-200",'2026'!$K$4="FO",'2026'!$K$2=CP271),'2026DATA'!$I$18,"")</f>
        <v/>
      </c>
      <c r="CQ287" s="518" t="str">
        <f>IF(AND(_6="B-767-200",'2026'!$K$4="FO",'2026'!$K$2=CQ271),'2026DATA'!$J$18,"")</f>
        <v/>
      </c>
      <c r="CR287" s="518" t="str">
        <f>IF(AND(_6="B-767-200",'2026'!$K$4="FO",'2026'!$K$2=CR271),'2026DATA'!$K$18,"")</f>
        <v/>
      </c>
      <c r="CS287" s="518" t="str">
        <f>IF(AND(_6="B-767-200",'2026'!$K$4="FO",'2026'!$K$2=CS271),'2026DATA'!$L$18,"")</f>
        <v/>
      </c>
      <c r="CT287" s="518" t="str">
        <f>IF(AND(_6="B-767-200",'2026'!$K$4="FO",'2026'!$K$2=CT271),'2026DATA'!$M$18,"")</f>
        <v/>
      </c>
      <c r="CU287" s="520" t="str">
        <f>IF(AND(_6="B-767-200",'2026'!$K$4="FO",'2026'!$K$2=CU271),'2026DATA'!$N$18,"")</f>
        <v/>
      </c>
    </row>
    <row r="288" spans="16:99" x14ac:dyDescent="0.25">
      <c r="P288" s="940" t="s">
        <v>45</v>
      </c>
      <c r="Q288" s="13" t="s">
        <v>61</v>
      </c>
      <c r="R288" s="518" t="str">
        <f>IF(AND(_1="B-757",'2026'!$K$4="CA",'2026'!$K$2=R271),'2026DATA'!$C$19,"")</f>
        <v/>
      </c>
      <c r="S288" s="518" t="str">
        <f>IF(AND(_1="B-757",'2026'!$K$4="CA",'2026'!$K$2=S271),'2026DATA'!$D$19,"")</f>
        <v/>
      </c>
      <c r="T288" s="518" t="str">
        <f>IF(AND(_1="B-757",'2026'!$K$4="CA",'2026'!$K$2=T271),'2026DATA'!$E$19,"")</f>
        <v/>
      </c>
      <c r="U288" s="518" t="str">
        <f>IF(AND(_1="B-757",'2026'!$K$4="CA",'2026'!$K$2=U271),'2026DATA'!$F$19,"")</f>
        <v/>
      </c>
      <c r="V288" s="518" t="str">
        <f>IF(AND(_1="B-757",'2026'!$K$4="CA",'2026'!$K$2=V271),'2026DATA'!$G$19,"")</f>
        <v/>
      </c>
      <c r="W288" s="518" t="str">
        <f>IF(AND(_1="B-757",'2026'!$K$4="CA",'2026'!$K$2=W271),'2026DATA'!$H$19,"")</f>
        <v/>
      </c>
      <c r="X288" s="518" t="str">
        <f>IF(AND(_1="B-757",'2026'!$K$4="CA",'2026'!$K$2=X271),'2026DATA'!$I$19,"")</f>
        <v/>
      </c>
      <c r="Y288" s="518" t="str">
        <f>IF(AND(_1="B-757",'2026'!$K$4="CA",'2026'!$K$2=Y271),'2026DATA'!$J$19,"")</f>
        <v/>
      </c>
      <c r="Z288" s="518" t="str">
        <f>IF(AND(_1="B-757",'2026'!$K$4="CA",'2026'!$K$2=Z271),'2026DATA'!$K$19,"")</f>
        <v/>
      </c>
      <c r="AA288" s="518" t="str">
        <f>IF(AND(_1="B-757",'2026'!$K$4="CA",'2026'!$K$2=AA271),'2026DATA'!$L$19,"")</f>
        <v/>
      </c>
      <c r="AB288" s="518" t="str">
        <f>IF(AND(_1="B-757",'2026'!$K$4="CA",'2026'!$K$2=AB271),'2026DATA'!$M$19,"")</f>
        <v/>
      </c>
      <c r="AC288" s="520" t="str">
        <f>IF(AND(_1="B-757",'2026'!$K$4="CA",'2026'!$K$2=AC271),'2026DATA'!$N$19,"")</f>
        <v/>
      </c>
      <c r="AD288" s="940" t="s">
        <v>45</v>
      </c>
      <c r="AE288" s="13" t="s">
        <v>61</v>
      </c>
      <c r="AF288" s="518" t="str">
        <f>IF(AND(_2="B-757",'2026'!$K$4="CA",'2026'!$K$2=AF271),'2026DATA'!$C$19,"")</f>
        <v/>
      </c>
      <c r="AG288" s="518" t="str">
        <f>IF(AND(_2="B-757",'2026'!$K$4="CA",'2026'!$K$2=AG271),'2026DATA'!$D$19,"")</f>
        <v/>
      </c>
      <c r="AH288" s="518" t="str">
        <f>IF(AND(_2="B-757",'2026'!$K$4="CA",'2026'!$K$2=AH271),'2026DATA'!$E$19,"")</f>
        <v/>
      </c>
      <c r="AI288" s="518" t="str">
        <f>IF(AND(_2="B-757",'2026'!$K$4="CA",'2026'!$K$2=AI271),'2026DATA'!$F$19,"")</f>
        <v/>
      </c>
      <c r="AJ288" s="518" t="str">
        <f>IF(AND(_2="B-757",'2026'!$K$4="CA",'2026'!$K$2=AJ271),'2026DATA'!$G$19,"")</f>
        <v/>
      </c>
      <c r="AK288" s="518" t="str">
        <f>IF(AND(_2="B-757",'2026'!$K$4="CA",'2026'!$K$2=AK271),'2026DATA'!$H$19,"")</f>
        <v/>
      </c>
      <c r="AL288" s="518" t="str">
        <f>IF(AND(_2="B-757",'2026'!$K$4="CA",'2026'!$K$2=AL271),'2026DATA'!$I$19,"")</f>
        <v/>
      </c>
      <c r="AM288" s="518" t="str">
        <f>IF(AND(_2="B-757",'2026'!$K$4="CA",'2026'!$K$2=AM271),'2026DATA'!$J$19,"")</f>
        <v/>
      </c>
      <c r="AN288" s="518" t="str">
        <f>IF(AND(_2="B-757",'2026'!$K$4="CA",'2026'!$K$2=AN271),'2026DATA'!$K$19,"")</f>
        <v/>
      </c>
      <c r="AO288" s="518" t="str">
        <f>IF(AND(_2="B-757",'2026'!$K$4="CA",'2026'!$K$2=AO271),'2026DATA'!$L$19,"")</f>
        <v/>
      </c>
      <c r="AP288" s="518" t="str">
        <f>IF(AND(_2="B-757",'2026'!$K$4="CA",'2026'!$K$2=AP271),'2026DATA'!$M$19,"")</f>
        <v/>
      </c>
      <c r="AQ288" s="520" t="str">
        <f>IF(AND(_2="B-757",'2026'!$K$4="CA",'2026'!$K$2=AQ271),'2026DATA'!$N$19,"")</f>
        <v/>
      </c>
      <c r="AR288" s="940" t="s">
        <v>45</v>
      </c>
      <c r="AS288" s="13" t="s">
        <v>61</v>
      </c>
      <c r="AT288" s="518" t="str">
        <f>IF(AND(_3="B-757",'2026'!$K$4="CA",'2026'!$K$2=AT271),'2026DATA'!$C$19,"")</f>
        <v/>
      </c>
      <c r="AU288" s="518" t="str">
        <f>IF(AND(_3="B-757",'2026'!$K$4="CA",'2026'!$K$2=AU271),'2026DATA'!$D$19,"")</f>
        <v/>
      </c>
      <c r="AV288" s="518" t="str">
        <f>IF(AND(_3="B-757",'2026'!$K$4="CA",'2026'!$K$2=AV271),'2026DATA'!$E$19,"")</f>
        <v/>
      </c>
      <c r="AW288" s="518" t="str">
        <f>IF(AND(_3="B-757",'2026'!$K$4="CA",'2026'!$K$2=AW271),'2026DATA'!$F$19,"")</f>
        <v/>
      </c>
      <c r="AX288" s="518" t="str">
        <f>IF(AND(_3="B-757",'2026'!$K$4="CA",'2026'!$K$2=AX271),'2026DATA'!$G$19,"")</f>
        <v/>
      </c>
      <c r="AY288" s="518" t="str">
        <f>IF(AND(_3="B-757",'2026'!$K$4="CA",'2026'!$K$2=AY271),'2026DATA'!$H$19,"")</f>
        <v/>
      </c>
      <c r="AZ288" s="518" t="str">
        <f>IF(AND(_3="B-757",'2026'!$K$4="CA",'2026'!$K$2=AZ271),'2026DATA'!$I$19,"")</f>
        <v/>
      </c>
      <c r="BA288" s="518" t="str">
        <f>IF(AND(_3="B-757",'2026'!$K$4="CA",'2026'!$K$2=BA271),'2026DATA'!$J$19,"")</f>
        <v/>
      </c>
      <c r="BB288" s="518" t="str">
        <f>IF(AND(_3="B-757",'2026'!$K$4="CA",'2026'!$K$2=BB271),'2026DATA'!$K$19,"")</f>
        <v/>
      </c>
      <c r="BC288" s="518" t="str">
        <f>IF(AND(_3="B-757",'2026'!$K$4="CA",'2026'!$K$2=BC271),'2026DATA'!$L$19,"")</f>
        <v/>
      </c>
      <c r="BD288" s="518" t="str">
        <f>IF(AND(_3="B-757",'2026'!$K$4="CA",'2026'!$K$2=BD271),'2026DATA'!$M$19,"")</f>
        <v/>
      </c>
      <c r="BE288" s="520" t="str">
        <f>IF(AND(_3="B-757",'2026'!$K$4="CA",'2026'!$K$2=BE271),'2026DATA'!$N$19,"")</f>
        <v/>
      </c>
      <c r="BF288" s="940" t="s">
        <v>45</v>
      </c>
      <c r="BG288" s="13" t="s">
        <v>61</v>
      </c>
      <c r="BH288" s="518" t="str">
        <f>IF(AND(_4="B-757",'2026'!$K$4="CA",'2026'!$K$2=BH271),'2026DATA'!$C$19,"")</f>
        <v/>
      </c>
      <c r="BI288" s="518" t="str">
        <f>IF(AND(_4="B-757",'2026'!$K$4="CA",'2026'!$K$2=BI271),'2026DATA'!$D$19,"")</f>
        <v/>
      </c>
      <c r="BJ288" s="518" t="str">
        <f>IF(AND(_4="B-757",'2026'!$K$4="CA",'2026'!$K$2=BJ271),'2026DATA'!$E$19,"")</f>
        <v/>
      </c>
      <c r="BK288" s="518" t="str">
        <f>IF(AND(_4="B-757",'2026'!$K$4="CA",'2026'!$K$2=BK271),'2026DATA'!$F$19,"")</f>
        <v/>
      </c>
      <c r="BL288" s="518" t="str">
        <f>IF(AND(_4="B-757",'2026'!$K$4="CA",'2026'!$K$2=BL271),'2026DATA'!$G$19,"")</f>
        <v/>
      </c>
      <c r="BM288" s="518" t="str">
        <f>IF(AND(_4="B-757",'2026'!$K$4="CA",'2026'!$K$2=BM271),'2026DATA'!$H$19,"")</f>
        <v/>
      </c>
      <c r="BN288" s="518" t="str">
        <f>IF(AND(_4="B-757",'2026'!$K$4="CA",'2026'!$K$2=BN271),'2026DATA'!$I$19,"")</f>
        <v/>
      </c>
      <c r="BO288" s="518" t="str">
        <f>IF(AND(_4="B-757",'2026'!$K$4="CA",'2026'!$K$2=BO271),'2026DATA'!$J$19,"")</f>
        <v/>
      </c>
      <c r="BP288" s="518" t="str">
        <f>IF(AND(_4="B-757",'2026'!$K$4="CA",'2026'!$K$2=BP271),'2026DATA'!$K$19,"")</f>
        <v/>
      </c>
      <c r="BQ288" s="518" t="str">
        <f>IF(AND(_4="B-757",'2026'!$K$4="CA",'2026'!$K$2=BQ271),'2026DATA'!$L$19,"")</f>
        <v/>
      </c>
      <c r="BR288" s="518" t="str">
        <f>IF(AND(_4="B-757",'2026'!$K$4="CA",'2026'!$K$2=BR271),'2026DATA'!$M$19,"")</f>
        <v/>
      </c>
      <c r="BS288" s="520" t="str">
        <f>IF(AND(_4="B-757",'2026'!$K$4="CA",'2026'!$K$2=BS271),'2026DATA'!$N$19,"")</f>
        <v/>
      </c>
      <c r="BT288" s="940" t="s">
        <v>45</v>
      </c>
      <c r="BU288" s="13" t="s">
        <v>61</v>
      </c>
      <c r="BV288" s="518" t="str">
        <f>IF(AND(_5="B-757",'2026'!$K$4="CA",'2026'!$K$2=BV271),'2026DATA'!$C$19,"")</f>
        <v/>
      </c>
      <c r="BW288" s="518" t="str">
        <f>IF(AND(_5="B-757",'2026'!$K$4="CA",'2026'!$K$2=BW271),'2026DATA'!$D$19,"")</f>
        <v/>
      </c>
      <c r="BX288" s="518" t="str">
        <f>IF(AND(_5="B-757",'2026'!$K$4="CA",'2026'!$K$2=BX271),'2026DATA'!$E$19,"")</f>
        <v/>
      </c>
      <c r="BY288" s="518" t="str">
        <f>IF(AND(_5="B-757",'2026'!$K$4="CA",'2026'!$K$2=BY271),'2026DATA'!$F$19,"")</f>
        <v/>
      </c>
      <c r="BZ288" s="518" t="str">
        <f>IF(AND(_5="B-757",'2026'!$K$4="CA",'2026'!$K$2=BZ271),'2026DATA'!$G$19,"")</f>
        <v/>
      </c>
      <c r="CA288" s="518" t="str">
        <f>IF(AND(_5="B-757",'2026'!$K$4="CA",'2026'!$K$2=CA271),'2026DATA'!$H$19,"")</f>
        <v/>
      </c>
      <c r="CB288" s="518" t="str">
        <f>IF(AND(_5="B-757",'2026'!$K$4="CA",'2026'!$K$2=CB271),'2026DATA'!$I$19,"")</f>
        <v/>
      </c>
      <c r="CC288" s="518" t="str">
        <f>IF(AND(_5="B-757",'2026'!$K$4="CA",'2026'!$K$2=CC271),'2026DATA'!$J$19,"")</f>
        <v/>
      </c>
      <c r="CD288" s="518" t="str">
        <f>IF(AND(_5="B-757",'2026'!$K$4="CA",'2026'!$K$2=CD271),'2026DATA'!$K$19,"")</f>
        <v/>
      </c>
      <c r="CE288" s="518" t="str">
        <f>IF(AND(_5="B-757",'2026'!$K$4="CA",'2026'!$K$2=CE271),'2026DATA'!$L$19,"")</f>
        <v/>
      </c>
      <c r="CF288" s="518" t="str">
        <f>IF(AND(_5="B-757",'2026'!$K$4="CA",'2026'!$K$2=CF271),'2026DATA'!$M$19,"")</f>
        <v/>
      </c>
      <c r="CG288" s="520" t="str">
        <f>IF(AND(_5="B-757",'2026'!$K$4="CA",'2026'!$K$2=CG271),'2026DATA'!$N$19,"")</f>
        <v/>
      </c>
      <c r="CH288" s="940" t="s">
        <v>45</v>
      </c>
      <c r="CI288" s="13" t="s">
        <v>61</v>
      </c>
      <c r="CJ288" s="518" t="str">
        <f>IF(AND(_6="B-757",'2026'!$K$4="CA",'2026'!$K$2=CJ271),'2026DATA'!$C$19,"")</f>
        <v/>
      </c>
      <c r="CK288" s="518" t="str">
        <f>IF(AND(_6="B-757",'2026'!$K$4="CA",'2026'!$K$2=CK271),'2026DATA'!$D$19,"")</f>
        <v/>
      </c>
      <c r="CL288" s="518" t="str">
        <f>IF(AND(_6="B-757",'2026'!$K$4="CA",'2026'!$K$2=CL271),'2026DATA'!$E$19,"")</f>
        <v/>
      </c>
      <c r="CM288" s="518" t="str">
        <f>IF(AND(_6="B-757",'2026'!$K$4="CA",'2026'!$K$2=CM271),'2026DATA'!$F$19,"")</f>
        <v/>
      </c>
      <c r="CN288" s="518" t="str">
        <f>IF(AND(_6="B-757",'2026'!$K$4="CA",'2026'!$K$2=CN271),'2026DATA'!$G$19,"")</f>
        <v/>
      </c>
      <c r="CO288" s="518" t="str">
        <f>IF(AND(_6="B-757",'2026'!$K$4="CA",'2026'!$K$2=CO271),'2026DATA'!$H$19,"")</f>
        <v/>
      </c>
      <c r="CP288" s="518" t="str">
        <f>IF(AND(_6="B-757",'2026'!$K$4="CA",'2026'!$K$2=CP271),'2026DATA'!$I$19,"")</f>
        <v/>
      </c>
      <c r="CQ288" s="518" t="str">
        <f>IF(AND(_6="B-757",'2026'!$K$4="CA",'2026'!$K$2=CQ271),'2026DATA'!$J$19,"")</f>
        <v/>
      </c>
      <c r="CR288" s="518" t="str">
        <f>IF(AND(_6="B-757",'2026'!$K$4="CA",'2026'!$K$2=CR271),'2026DATA'!$K$19,"")</f>
        <v/>
      </c>
      <c r="CS288" s="518" t="str">
        <f>IF(AND(_6="B-757",'2026'!$K$4="CA",'2026'!$K$2=CS271),'2026DATA'!$L$19,"")</f>
        <v/>
      </c>
      <c r="CT288" s="518" t="str">
        <f>IF(AND(_6="B-757",'2026'!$K$4="CA",'2026'!$K$2=CT271),'2026DATA'!$M$19,"")</f>
        <v/>
      </c>
      <c r="CU288" s="520" t="str">
        <f>IF(AND(_6="B-757",'2026'!$K$4="CA",'2026'!$K$2=CU271),'2026DATA'!$N$19,"")</f>
        <v/>
      </c>
    </row>
    <row r="289" spans="16:99" x14ac:dyDescent="0.25">
      <c r="P289" s="940"/>
      <c r="Q289" s="13" t="s">
        <v>62</v>
      </c>
      <c r="R289" s="518" t="str">
        <f>IF(AND(_1="B-757",'2026'!$K$4="FO",'2026'!$K$2=R271),'2026DATA'!$C$20,"")</f>
        <v/>
      </c>
      <c r="S289" s="518" t="str">
        <f>IF(AND(_1="B-757",'2026'!$K$4="FO",'2026'!$K$2=S271),'2026DATA'!$D$20,"")</f>
        <v/>
      </c>
      <c r="T289" s="518" t="str">
        <f>IF(AND(_1="B-757",'2026'!$K$4="FO",'2026'!$K$2=T271),'2026DATA'!$E$20,"")</f>
        <v/>
      </c>
      <c r="U289" s="518" t="str">
        <f>IF(AND(_1="B-757",'2026'!$K$4="FO",'2026'!$K$2=U271),'2026DATA'!$F$20,"")</f>
        <v/>
      </c>
      <c r="V289" s="518" t="str">
        <f>IF(AND(_1="B-757",'2026'!$K$4="FO",'2026'!$K$2=V271),'2026DATA'!$G$20,"")</f>
        <v/>
      </c>
      <c r="W289" s="518" t="str">
        <f>IF(AND(_1="B-757",'2026'!$K$4="FO",'2026'!$K$2=W271),'2026DATA'!$H$20,"")</f>
        <v/>
      </c>
      <c r="X289" s="518" t="str">
        <f>IF(AND(_1="B-757",'2026'!$K$4="FO",'2026'!$K$2=X271),'2026DATA'!$I$20,"")</f>
        <v/>
      </c>
      <c r="Y289" s="518" t="str">
        <f>IF(AND(_1="B-757",'2026'!$K$4="FO",'2026'!$K$2=Y271),'2026DATA'!$J$20,"")</f>
        <v/>
      </c>
      <c r="Z289" s="518" t="str">
        <f>IF(AND(_1="B-757",'2026'!$K$4="FO",'2026'!$K$2=Z271),'2026DATA'!$K$20,"")</f>
        <v/>
      </c>
      <c r="AA289" s="518" t="str">
        <f>IF(AND(_1="B-757",'2026'!$K$4="FO",'2026'!$K$2=AA271),'2026DATA'!$L$20,"")</f>
        <v/>
      </c>
      <c r="AB289" s="518" t="str">
        <f>IF(AND(_1="B-757",'2026'!$K$4="FO",'2026'!$K$2=AB271),'2026DATA'!$M$20,"")</f>
        <v/>
      </c>
      <c r="AC289" s="520" t="str">
        <f>IF(AND(_1="B-757",'2026'!$K$4="FO",'2026'!$K$2=AC271),'2026DATA'!$N$20,"")</f>
        <v/>
      </c>
      <c r="AD289" s="940"/>
      <c r="AE289" s="13" t="s">
        <v>62</v>
      </c>
      <c r="AF289" s="518" t="str">
        <f>IF(AND(_2="B-757",'2026'!$K$4="FO",'2026'!$K$2=AF271),'2026DATA'!$C$20,"")</f>
        <v/>
      </c>
      <c r="AG289" s="518" t="str">
        <f>IF(AND(_2="B-757",'2026'!$K$4="FO",'2026'!$K$2=AG271),'2026DATA'!$D$20,"")</f>
        <v/>
      </c>
      <c r="AH289" s="518" t="str">
        <f>IF(AND(_2="B-757",'2026'!$K$4="FO",'2026'!$K$2=AH271),'2026DATA'!$E$20,"")</f>
        <v/>
      </c>
      <c r="AI289" s="518" t="str">
        <f>IF(AND(_2="B-757",'2026'!$K$4="FO",'2026'!$K$2=AI271),'2026DATA'!$F$20,"")</f>
        <v/>
      </c>
      <c r="AJ289" s="518" t="str">
        <f>IF(AND(_2="B-757",'2026'!$K$4="FO",'2026'!$K$2=AJ271),'2026DATA'!$G$20,"")</f>
        <v/>
      </c>
      <c r="AK289" s="518" t="str">
        <f>IF(AND(_2="B-757",'2026'!$K$4="FO",'2026'!$K$2=AK271),'2026DATA'!$H$20,"")</f>
        <v/>
      </c>
      <c r="AL289" s="518" t="str">
        <f>IF(AND(_2="B-757",'2026'!$K$4="FO",'2026'!$K$2=AL271),'2026DATA'!$I$20,"")</f>
        <v/>
      </c>
      <c r="AM289" s="518" t="str">
        <f>IF(AND(_2="B-757",'2026'!$K$4="FO",'2026'!$K$2=AM271),'2026DATA'!$J$20,"")</f>
        <v/>
      </c>
      <c r="AN289" s="518" t="str">
        <f>IF(AND(_2="B-757",'2026'!$K$4="FO",'2026'!$K$2=AN271),'2026DATA'!$K$20,"")</f>
        <v/>
      </c>
      <c r="AO289" s="518" t="str">
        <f>IF(AND(_2="B-757",'2026'!$K$4="FO",'2026'!$K$2=AO271),'2026DATA'!$L$20,"")</f>
        <v/>
      </c>
      <c r="AP289" s="518" t="str">
        <f>IF(AND(_2="B-757",'2026'!$K$4="FO",'2026'!$K$2=AP271),'2026DATA'!$M$20,"")</f>
        <v/>
      </c>
      <c r="AQ289" s="520" t="str">
        <f>IF(AND(_2="B-757",'2026'!$K$4="FO",'2026'!$K$2=AQ271),'2026DATA'!$N$20,"")</f>
        <v/>
      </c>
      <c r="AR289" s="940"/>
      <c r="AS289" s="13" t="s">
        <v>62</v>
      </c>
      <c r="AT289" s="518" t="str">
        <f>IF(AND(_3="B-757",'2026'!$K$4="FO",'2026'!$K$2=AT271),'2026DATA'!$C$20,"")</f>
        <v/>
      </c>
      <c r="AU289" s="518" t="str">
        <f>IF(AND(_3="B-757",'2026'!$K$4="FO",'2026'!$K$2=AU271),'2026DATA'!$D$20,"")</f>
        <v/>
      </c>
      <c r="AV289" s="518" t="str">
        <f>IF(AND(_3="B-757",'2026'!$K$4="FO",'2026'!$K$2=AV271),'2026DATA'!$E$20,"")</f>
        <v/>
      </c>
      <c r="AW289" s="518" t="str">
        <f>IF(AND(_3="B-757",'2026'!$K$4="FO",'2026'!$K$2=AW271),'2026DATA'!$F$20,"")</f>
        <v/>
      </c>
      <c r="AX289" s="518" t="str">
        <f>IF(AND(_3="B-757",'2026'!$K$4="FO",'2026'!$K$2=AX271),'2026DATA'!$G$20,"")</f>
        <v/>
      </c>
      <c r="AY289" s="518" t="str">
        <f>IF(AND(_3="B-757",'2026'!$K$4="FO",'2026'!$K$2=AY271),'2026DATA'!$H$20,"")</f>
        <v/>
      </c>
      <c r="AZ289" s="518" t="str">
        <f>IF(AND(_3="B-757",'2026'!$K$4="FO",'2026'!$K$2=AZ271),'2026DATA'!$I$20,"")</f>
        <v/>
      </c>
      <c r="BA289" s="518" t="str">
        <f>IF(AND(_3="B-757",'2026'!$K$4="FO",'2026'!$K$2=BA271),'2026DATA'!$J$20,"")</f>
        <v/>
      </c>
      <c r="BB289" s="518" t="str">
        <f>IF(AND(_3="B-757",'2026'!$K$4="FO",'2026'!$K$2=BB271),'2026DATA'!$K$20,"")</f>
        <v/>
      </c>
      <c r="BC289" s="518" t="str">
        <f>IF(AND(_3="B-757",'2026'!$K$4="FO",'2026'!$K$2=BC271),'2026DATA'!$L$20,"")</f>
        <v/>
      </c>
      <c r="BD289" s="518" t="str">
        <f>IF(AND(_3="B-757",'2026'!$K$4="FO",'2026'!$K$2=BD271),'2026DATA'!$M$20,"")</f>
        <v/>
      </c>
      <c r="BE289" s="520" t="str">
        <f>IF(AND(_3="B-757",'2026'!$K$4="FO",'2026'!$K$2=BE271),'2026DATA'!$N$20,"")</f>
        <v/>
      </c>
      <c r="BF289" s="940"/>
      <c r="BG289" s="13" t="s">
        <v>62</v>
      </c>
      <c r="BH289" s="518" t="str">
        <f>IF(AND(_4="B-757",'2026'!$K$4="FO",'2026'!$K$2=BH271),'2026DATA'!$C$20,"")</f>
        <v/>
      </c>
      <c r="BI289" s="518" t="str">
        <f>IF(AND(_4="B-757",'2026'!$K$4="FO",'2026'!$K$2=BI271),'2026DATA'!$D$20,"")</f>
        <v/>
      </c>
      <c r="BJ289" s="518" t="str">
        <f>IF(AND(_4="B-757",'2026'!$K$4="FO",'2026'!$K$2=BJ271),'2026DATA'!$E$20,"")</f>
        <v/>
      </c>
      <c r="BK289" s="518" t="str">
        <f>IF(AND(_4="B-757",'2026'!$K$4="FO",'2026'!$K$2=BK271),'2026DATA'!$F$20,"")</f>
        <v/>
      </c>
      <c r="BL289" s="518" t="str">
        <f>IF(AND(_4="B-757",'2026'!$K$4="FO",'2026'!$K$2=BL271),'2026DATA'!$G$20,"")</f>
        <v/>
      </c>
      <c r="BM289" s="518" t="str">
        <f>IF(AND(_4="B-757",'2026'!$K$4="FO",'2026'!$K$2=BM271),'2026DATA'!$H$20,"")</f>
        <v/>
      </c>
      <c r="BN289" s="518" t="str">
        <f>IF(AND(_4="B-757",'2026'!$K$4="FO",'2026'!$K$2=BN271),'2026DATA'!$I$20,"")</f>
        <v/>
      </c>
      <c r="BO289" s="518" t="str">
        <f>IF(AND(_4="B-757",'2026'!$K$4="FO",'2026'!$K$2=BO271),'2026DATA'!$J$20,"")</f>
        <v/>
      </c>
      <c r="BP289" s="518" t="str">
        <f>IF(AND(_4="B-757",'2026'!$K$4="FO",'2026'!$K$2=BP271),'2026DATA'!$K$20,"")</f>
        <v/>
      </c>
      <c r="BQ289" s="518" t="str">
        <f>IF(AND(_4="B-757",'2026'!$K$4="FO",'2026'!$K$2=BQ271),'2026DATA'!$L$20,"")</f>
        <v/>
      </c>
      <c r="BR289" s="518" t="str">
        <f>IF(AND(_4="B-757",'2026'!$K$4="FO",'2026'!$K$2=BR271),'2026DATA'!$M$20,"")</f>
        <v/>
      </c>
      <c r="BS289" s="520" t="str">
        <f>IF(AND(_4="B-757",'2026'!$K$4="FO",'2026'!$K$2=BS271),'2026DATA'!$N$20,"")</f>
        <v/>
      </c>
      <c r="BT289" s="940"/>
      <c r="BU289" s="13" t="s">
        <v>62</v>
      </c>
      <c r="BV289" s="518" t="str">
        <f>IF(AND(_5="B-757",'2026'!$K$4="FO",'2026'!$K$2=BV271),'2026DATA'!$C$20,"")</f>
        <v/>
      </c>
      <c r="BW289" s="518" t="str">
        <f>IF(AND(_5="B-757",'2026'!$K$4="FO",'2026'!$K$2=BW271),'2026DATA'!$D$20,"")</f>
        <v/>
      </c>
      <c r="BX289" s="518" t="str">
        <f>IF(AND(_5="B-757",'2026'!$K$4="FO",'2026'!$K$2=BX271),'2026DATA'!$E$20,"")</f>
        <v/>
      </c>
      <c r="BY289" s="518" t="str">
        <f>IF(AND(_5="B-757",'2026'!$K$4="FO",'2026'!$K$2=BY271),'2026DATA'!$F$20,"")</f>
        <v/>
      </c>
      <c r="BZ289" s="518" t="str">
        <f>IF(AND(_5="B-757",'2026'!$K$4="FO",'2026'!$K$2=BZ271),'2026DATA'!$G$20,"")</f>
        <v/>
      </c>
      <c r="CA289" s="518" t="str">
        <f>IF(AND(_5="B-757",'2026'!$K$4="FO",'2026'!$K$2=CA271),'2026DATA'!$H$20,"")</f>
        <v/>
      </c>
      <c r="CB289" s="518" t="str">
        <f>IF(AND(_5="B-757",'2026'!$K$4="FO",'2026'!$K$2=CB271),'2026DATA'!$I$20,"")</f>
        <v/>
      </c>
      <c r="CC289" s="518" t="str">
        <f>IF(AND(_5="B-757",'2026'!$K$4="FO",'2026'!$K$2=CC271),'2026DATA'!$J$20,"")</f>
        <v/>
      </c>
      <c r="CD289" s="518" t="str">
        <f>IF(AND(_5="B-757",'2026'!$K$4="FO",'2026'!$K$2=CD271),'2026DATA'!$K$20,"")</f>
        <v/>
      </c>
      <c r="CE289" s="518" t="str">
        <f>IF(AND(_5="B-757",'2026'!$K$4="FO",'2026'!$K$2=CE271),'2026DATA'!$L$20,"")</f>
        <v/>
      </c>
      <c r="CF289" s="518" t="str">
        <f>IF(AND(_5="B-757",'2026'!$K$4="FO",'2026'!$K$2=CF271),'2026DATA'!$M$20,"")</f>
        <v/>
      </c>
      <c r="CG289" s="520" t="str">
        <f>IF(AND(_5="B-757",'2026'!$K$4="FO",'2026'!$K$2=CG271),'2026DATA'!$N$20,"")</f>
        <v/>
      </c>
      <c r="CH289" s="940"/>
      <c r="CI289" s="13" t="s">
        <v>62</v>
      </c>
      <c r="CJ289" s="518" t="str">
        <f>IF(AND(_6="B-757",'2026'!$K$4="FO",'2026'!$K$2=CJ271),'2026DATA'!$C$20,"")</f>
        <v/>
      </c>
      <c r="CK289" s="518" t="str">
        <f>IF(AND(_6="B-757",'2026'!$K$4="FO",'2026'!$K$2=CK271),'2026DATA'!$D$20,"")</f>
        <v/>
      </c>
      <c r="CL289" s="518" t="str">
        <f>IF(AND(_6="B-757",'2026'!$K$4="FO",'2026'!$K$2=CL271),'2026DATA'!$E$20,"")</f>
        <v/>
      </c>
      <c r="CM289" s="518" t="str">
        <f>IF(AND(_6="B-757",'2026'!$K$4="FO",'2026'!$K$2=CM271),'2026DATA'!$F$20,"")</f>
        <v/>
      </c>
      <c r="CN289" s="518" t="str">
        <f>IF(AND(_6="B-757",'2026'!$K$4="FO",'2026'!$K$2=CN271),'2026DATA'!$G$20,"")</f>
        <v/>
      </c>
      <c r="CO289" s="518" t="str">
        <f>IF(AND(_6="B-757",'2026'!$K$4="FO",'2026'!$K$2=CO271),'2026DATA'!$H$20,"")</f>
        <v/>
      </c>
      <c r="CP289" s="518" t="str">
        <f>IF(AND(_6="B-757",'2026'!$K$4="FO",'2026'!$K$2=CP271),'2026DATA'!$I$20,"")</f>
        <v/>
      </c>
      <c r="CQ289" s="518" t="str">
        <f>IF(AND(_6="B-757",'2026'!$K$4="FO",'2026'!$K$2=CQ271),'2026DATA'!$J$20,"")</f>
        <v/>
      </c>
      <c r="CR289" s="518" t="str">
        <f>IF(AND(_6="B-757",'2026'!$K$4="FO",'2026'!$K$2=CR271),'2026DATA'!$K$20,"")</f>
        <v/>
      </c>
      <c r="CS289" s="518" t="str">
        <f>IF(AND(_6="B-757",'2026'!$K$4="FO",'2026'!$K$2=CS271),'2026DATA'!$L$20,"")</f>
        <v/>
      </c>
      <c r="CT289" s="518" t="str">
        <f>IF(AND(_6="B-757",'2026'!$K$4="FO",'2026'!$K$2=CT271),'2026DATA'!$M$20,"")</f>
        <v/>
      </c>
      <c r="CU289" s="520" t="str">
        <f>IF(AND(_6="B-757",'2026'!$K$4="FO",'2026'!$K$2=CU271),'2026DATA'!$N$20,"")</f>
        <v/>
      </c>
    </row>
    <row r="290" spans="16:99" x14ac:dyDescent="0.25">
      <c r="P290" s="940" t="s">
        <v>47</v>
      </c>
      <c r="Q290" s="13" t="s">
        <v>61</v>
      </c>
      <c r="R290" s="518" t="str">
        <f>IF(AND(_1="B-737-900",'2026'!$K$4="CA",'2026'!$K$2=R271),'2026DATA'!$C$21,"")</f>
        <v/>
      </c>
      <c r="S290" s="518" t="str">
        <f>IF(AND(_1="B-737-900",'2026'!$K$4="CA",'2026'!$K$2=S271),'2026DATA'!$D$21,"")</f>
        <v/>
      </c>
      <c r="T290" s="518" t="str">
        <f>IF(AND(_1="B-737-900",'2026'!$K$4="CA",'2026'!$K$2=T271),'2026DATA'!$E$21,"")</f>
        <v/>
      </c>
      <c r="U290" s="518" t="str">
        <f>IF(AND(_1="B-737-900",'2026'!$K$4="CA",'2026'!$K$2=U271),'2026DATA'!$F$21,"")</f>
        <v/>
      </c>
      <c r="V290" s="518" t="str">
        <f>IF(AND(_1="B-737-900",'2026'!$K$4="CA",'2026'!$K$2=V271),'2026DATA'!$G$21,"")</f>
        <v/>
      </c>
      <c r="W290" s="518" t="str">
        <f>IF(AND(_1="B-737-900",'2026'!$K$4="CA",'2026'!$K$2=W271),'2026DATA'!$H$21,"")</f>
        <v/>
      </c>
      <c r="X290" s="518" t="str">
        <f>IF(AND(_1="B-737-900",'2026'!$K$4="CA",'2026'!$K$2=X271),'2026DATA'!$I$21,"")</f>
        <v/>
      </c>
      <c r="Y290" s="518" t="str">
        <f>IF(AND(_1="B-737-900",'2026'!$K$4="CA",'2026'!$K$2=Y271),'2026DATA'!$J$21,"")</f>
        <v/>
      </c>
      <c r="Z290" s="518" t="str">
        <f>IF(AND(_1="B-737-900",'2026'!$K$4="CA",'2026'!$K$2=Z271),'2026DATA'!$K$21,"")</f>
        <v/>
      </c>
      <c r="AA290" s="518" t="str">
        <f>IF(AND(_1="B-737-900",'2026'!$K$4="CA",'2026'!$K$2=AA271),'2026DATA'!$L$21,"")</f>
        <v/>
      </c>
      <c r="AB290" s="518" t="str">
        <f>IF(AND(_1="B-737-900",'2026'!$K$4="CA",'2026'!$K$2=AB271),'2026DATA'!$M$21,"")</f>
        <v/>
      </c>
      <c r="AC290" s="520" t="str">
        <f>IF(AND(_1="B-737-900",'2026'!$K$4="CA",'2026'!$K$2=AC271),'2026DATA'!$N$21,"")</f>
        <v/>
      </c>
      <c r="AD290" s="940" t="s">
        <v>47</v>
      </c>
      <c r="AE290" s="13" t="s">
        <v>61</v>
      </c>
      <c r="AF290" s="518" t="str">
        <f>IF(AND(_2="B-737-900",'2026'!$K$4="CA",'2026'!$K$2=AF271),'2026DATA'!$C$21,"")</f>
        <v/>
      </c>
      <c r="AG290" s="518" t="str">
        <f>IF(AND(_2="B-737-900",'2026'!$K$4="CA",'2026'!$K$2=AG271),'2026DATA'!$D$21,"")</f>
        <v/>
      </c>
      <c r="AH290" s="518" t="str">
        <f>IF(AND(_2="B-737-900",'2026'!$K$4="CA",'2026'!$K$2=AH271),'2026DATA'!$E$21,"")</f>
        <v/>
      </c>
      <c r="AI290" s="518" t="str">
        <f>IF(AND(_2="B-737-900",'2026'!$K$4="CA",'2026'!$K$2=AI271),'2026DATA'!$F$21,"")</f>
        <v/>
      </c>
      <c r="AJ290" s="518" t="str">
        <f>IF(AND(_2="B-737-900",'2026'!$K$4="CA",'2026'!$K$2=AJ271),'2026DATA'!$G$21,"")</f>
        <v/>
      </c>
      <c r="AK290" s="518" t="str">
        <f>IF(AND(_2="B-737-900",'2026'!$K$4="CA",'2026'!$K$2=AK271),'2026DATA'!$H$21,"")</f>
        <v/>
      </c>
      <c r="AL290" s="518" t="str">
        <f>IF(AND(_2="B-737-900",'2026'!$K$4="CA",'2026'!$K$2=AL271),'2026DATA'!$I$21,"")</f>
        <v/>
      </c>
      <c r="AM290" s="518" t="str">
        <f>IF(AND(_2="B-737-900",'2026'!$K$4="CA",'2026'!$K$2=AM271),'2026DATA'!$J$21,"")</f>
        <v/>
      </c>
      <c r="AN290" s="518" t="str">
        <f>IF(AND(_2="B-737-900",'2026'!$K$4="CA",'2026'!$K$2=AN271),'2026DATA'!$K$21,"")</f>
        <v/>
      </c>
      <c r="AO290" s="518" t="str">
        <f>IF(AND(_2="B-737-900",'2026'!$K$4="CA",'2026'!$K$2=AO271),'2026DATA'!$L$21,"")</f>
        <v/>
      </c>
      <c r="AP290" s="518" t="str">
        <f>IF(AND(_2="B-737-900",'2026'!$K$4="CA",'2026'!$K$2=AP271),'2026DATA'!$M$21,"")</f>
        <v/>
      </c>
      <c r="AQ290" s="520" t="str">
        <f>IF(AND(_2="B-737-900",'2026'!$K$4="CA",'2026'!$K$2=AQ271),'2026DATA'!$N$21,"")</f>
        <v/>
      </c>
      <c r="AR290" s="940" t="s">
        <v>47</v>
      </c>
      <c r="AS290" s="13" t="s">
        <v>61</v>
      </c>
      <c r="AT290" s="518" t="str">
        <f>IF(AND(_3="B-737-900",'2026'!$K$4="CA",'2026'!$K$2=AT271),'2026DATA'!$C$21,"")</f>
        <v/>
      </c>
      <c r="AU290" s="518" t="str">
        <f>IF(AND(_3="B-737-900",'2026'!$K$4="CA",'2026'!$K$2=AU271),'2026DATA'!$D$21,"")</f>
        <v/>
      </c>
      <c r="AV290" s="518" t="str">
        <f>IF(AND(_3="B-737-900",'2026'!$K$4="CA",'2026'!$K$2=AV271),'2026DATA'!$E$21,"")</f>
        <v/>
      </c>
      <c r="AW290" s="518" t="str">
        <f>IF(AND(_3="B-737-900",'2026'!$K$4="CA",'2026'!$K$2=AW271),'2026DATA'!$F$21,"")</f>
        <v/>
      </c>
      <c r="AX290" s="518" t="str">
        <f>IF(AND(_3="B-737-900",'2026'!$K$4="CA",'2026'!$K$2=AX271),'2026DATA'!$G$21,"")</f>
        <v/>
      </c>
      <c r="AY290" s="518" t="str">
        <f>IF(AND(_3="B-737-900",'2026'!$K$4="CA",'2026'!$K$2=AY271),'2026DATA'!$H$21,"")</f>
        <v/>
      </c>
      <c r="AZ290" s="518" t="str">
        <f>IF(AND(_3="B-737-900",'2026'!$K$4="CA",'2026'!$K$2=AZ271),'2026DATA'!$I$21,"")</f>
        <v/>
      </c>
      <c r="BA290" s="518" t="str">
        <f>IF(AND(_3="B-737-900",'2026'!$K$4="CA",'2026'!$K$2=BA271),'2026DATA'!$J$21,"")</f>
        <v/>
      </c>
      <c r="BB290" s="518" t="str">
        <f>IF(AND(_3="B-737-900",'2026'!$K$4="CA",'2026'!$K$2=BB271),'2026DATA'!$K$21,"")</f>
        <v/>
      </c>
      <c r="BC290" s="518" t="str">
        <f>IF(AND(_3="B-737-900",'2026'!$K$4="CA",'2026'!$K$2=BC271),'2026DATA'!$L$21,"")</f>
        <v/>
      </c>
      <c r="BD290" s="518" t="str">
        <f>IF(AND(_3="B-737-900",'2026'!$K$4="CA",'2026'!$K$2=BD271),'2026DATA'!$M$21,"")</f>
        <v/>
      </c>
      <c r="BE290" s="520" t="str">
        <f>IF(AND(_3="B-737-900",'2026'!$K$4="CA",'2026'!$K$2=BE271),'2026DATA'!$N$21,"")</f>
        <v/>
      </c>
      <c r="BF290" s="940" t="s">
        <v>47</v>
      </c>
      <c r="BG290" s="13" t="s">
        <v>61</v>
      </c>
      <c r="BH290" s="518" t="str">
        <f>IF(AND(_4="B-737-900",'2026'!$K$4="CA",'2026'!$K$2=BH271),'2026DATA'!$C$21,"")</f>
        <v/>
      </c>
      <c r="BI290" s="518" t="str">
        <f>IF(AND(_4="B-737-900",'2026'!$K$4="CA",'2026'!$K$2=BI271),'2026DATA'!$D$21,"")</f>
        <v/>
      </c>
      <c r="BJ290" s="518" t="str">
        <f>IF(AND(_4="B-737-900",'2026'!$K$4="CA",'2026'!$K$2=BJ271),'2026DATA'!$E$21,"")</f>
        <v/>
      </c>
      <c r="BK290" s="518" t="str">
        <f>IF(AND(_4="B-737-900",'2026'!$K$4="CA",'2026'!$K$2=BK271),'2026DATA'!$F$21,"")</f>
        <v/>
      </c>
      <c r="BL290" s="518" t="str">
        <f>IF(AND(_4="B-737-900",'2026'!$K$4="CA",'2026'!$K$2=BL271),'2026DATA'!$G$21,"")</f>
        <v/>
      </c>
      <c r="BM290" s="518" t="str">
        <f>IF(AND(_4="B-737-900",'2026'!$K$4="CA",'2026'!$K$2=BM271),'2026DATA'!$H$21,"")</f>
        <v/>
      </c>
      <c r="BN290" s="518" t="str">
        <f>IF(AND(_4="B-737-900",'2026'!$K$4="CA",'2026'!$K$2=BN271),'2026DATA'!$I$21,"")</f>
        <v/>
      </c>
      <c r="BO290" s="518" t="str">
        <f>IF(AND(_4="B-737-900",'2026'!$K$4="CA",'2026'!$K$2=BO271),'2026DATA'!$J$21,"")</f>
        <v/>
      </c>
      <c r="BP290" s="518" t="str">
        <f>IF(AND(_4="B-737-900",'2026'!$K$4="CA",'2026'!$K$2=BP271),'2026DATA'!$K$21,"")</f>
        <v/>
      </c>
      <c r="BQ290" s="518" t="str">
        <f>IF(AND(_4="B-737-900",'2026'!$K$4="CA",'2026'!$K$2=BQ271),'2026DATA'!$L$21,"")</f>
        <v/>
      </c>
      <c r="BR290" s="518" t="str">
        <f>IF(AND(_4="B-737-900",'2026'!$K$4="CA",'2026'!$K$2=BR271),'2026DATA'!$M$21,"")</f>
        <v/>
      </c>
      <c r="BS290" s="520" t="str">
        <f>IF(AND(_4="B-737-900",'2026'!$K$4="CA",'2026'!$K$2=BS271),'2026DATA'!$N$21,"")</f>
        <v/>
      </c>
      <c r="BT290" s="940" t="s">
        <v>47</v>
      </c>
      <c r="BU290" s="13" t="s">
        <v>61</v>
      </c>
      <c r="BV290" s="518" t="str">
        <f>IF(AND(_5="B-737-900",'2026'!$K$4="CA",'2026'!$K$2=BV271),'2026DATA'!$C$21,"")</f>
        <v/>
      </c>
      <c r="BW290" s="518" t="str">
        <f>IF(AND(_5="B-737-900",'2026'!$K$4="CA",'2026'!$K$2=BW271),'2026DATA'!$D$21,"")</f>
        <v/>
      </c>
      <c r="BX290" s="518" t="str">
        <f>IF(AND(_5="B-737-900",'2026'!$K$4="CA",'2026'!$K$2=BX271),'2026DATA'!$E$21,"")</f>
        <v/>
      </c>
      <c r="BY290" s="518" t="str">
        <f>IF(AND(_5="B-737-900",'2026'!$K$4="CA",'2026'!$K$2=BY271),'2026DATA'!$F$21,"")</f>
        <v/>
      </c>
      <c r="BZ290" s="518" t="str">
        <f>IF(AND(_5="B-737-900",'2026'!$K$4="CA",'2026'!$K$2=BZ271),'2026DATA'!$G$21,"")</f>
        <v/>
      </c>
      <c r="CA290" s="518" t="str">
        <f>IF(AND(_5="B-737-900",'2026'!$K$4="CA",'2026'!$K$2=CA271),'2026DATA'!$H$21,"")</f>
        <v/>
      </c>
      <c r="CB290" s="518" t="str">
        <f>IF(AND(_5="B-737-900",'2026'!$K$4="CA",'2026'!$K$2=CB271),'2026DATA'!$I$21,"")</f>
        <v/>
      </c>
      <c r="CC290" s="518" t="str">
        <f>IF(AND(_5="B-737-900",'2026'!$K$4="CA",'2026'!$K$2=CC271),'2026DATA'!$J$21,"")</f>
        <v/>
      </c>
      <c r="CD290" s="518" t="str">
        <f>IF(AND(_5="B-737-900",'2026'!$K$4="CA",'2026'!$K$2=CD271),'2026DATA'!$K$21,"")</f>
        <v/>
      </c>
      <c r="CE290" s="518" t="str">
        <f>IF(AND(_5="B-737-900",'2026'!$K$4="CA",'2026'!$K$2=CE271),'2026DATA'!$L$21,"")</f>
        <v/>
      </c>
      <c r="CF290" s="518" t="str">
        <f>IF(AND(_5="B-737-900",'2026'!$K$4="CA",'2026'!$K$2=CF271),'2026DATA'!$M$21,"")</f>
        <v/>
      </c>
      <c r="CG290" s="520" t="str">
        <f>IF(AND(_5="B-737-900",'2026'!$K$4="CA",'2026'!$K$2=CG271),'2026DATA'!$N$21,"")</f>
        <v/>
      </c>
      <c r="CH290" s="940" t="s">
        <v>47</v>
      </c>
      <c r="CI290" s="13" t="s">
        <v>61</v>
      </c>
      <c r="CJ290" s="518" t="str">
        <f>IF(AND(_6="B-737-900",'2026'!$K$4="CA",'2026'!$K$2=CJ271),'2026DATA'!$C$21,"")</f>
        <v/>
      </c>
      <c r="CK290" s="518" t="str">
        <f>IF(AND(_6="B-737-900",'2026'!$K$4="CA",'2026'!$K$2=CK271),'2026DATA'!$D$21,"")</f>
        <v/>
      </c>
      <c r="CL290" s="518" t="str">
        <f>IF(AND(_6="B-737-900",'2026'!$K$4="CA",'2026'!$K$2=CL271),'2026DATA'!$E$21,"")</f>
        <v/>
      </c>
      <c r="CM290" s="518" t="str">
        <f>IF(AND(_6="B-737-900",'2026'!$K$4="CA",'2026'!$K$2=CM271),'2026DATA'!$F$21,"")</f>
        <v/>
      </c>
      <c r="CN290" s="518" t="str">
        <f>IF(AND(_6="B-737-900",'2026'!$K$4="CA",'2026'!$K$2=CN271),'2026DATA'!$G$21,"")</f>
        <v/>
      </c>
      <c r="CO290" s="518" t="str">
        <f>IF(AND(_6="B-737-900",'2026'!$K$4="CA",'2026'!$K$2=CO271),'2026DATA'!$H$21,"")</f>
        <v/>
      </c>
      <c r="CP290" s="518" t="str">
        <f>IF(AND(_6="B-737-900",'2026'!$K$4="CA",'2026'!$K$2=CP271),'2026DATA'!$I$21,"")</f>
        <v/>
      </c>
      <c r="CQ290" s="518" t="str">
        <f>IF(AND(_6="B-737-900",'2026'!$K$4="CA",'2026'!$K$2=CQ271),'2026DATA'!$J$21,"")</f>
        <v/>
      </c>
      <c r="CR290" s="518" t="str">
        <f>IF(AND(_6="B-737-900",'2026'!$K$4="CA",'2026'!$K$2=CR271),'2026DATA'!$K$21,"")</f>
        <v/>
      </c>
      <c r="CS290" s="518" t="str">
        <f>IF(AND(_6="B-737-900",'2026'!$K$4="CA",'2026'!$K$2=CS271),'2026DATA'!$L$21,"")</f>
        <v/>
      </c>
      <c r="CT290" s="518" t="str">
        <f>IF(AND(_6="B-737-900",'2026'!$K$4="CA",'2026'!$K$2=CT271),'2026DATA'!$M$21,"")</f>
        <v/>
      </c>
      <c r="CU290" s="520" t="str">
        <f>IF(AND(_6="B-737-900",'2026'!$K$4="CA",'2026'!$K$2=CU271),'2026DATA'!$N$21,"")</f>
        <v/>
      </c>
    </row>
    <row r="291" spans="16:99" x14ac:dyDescent="0.25">
      <c r="P291" s="940"/>
      <c r="Q291" s="13" t="s">
        <v>62</v>
      </c>
      <c r="R291" s="518" t="str">
        <f>IF(AND(_1="B-737-900",'2026'!$K$4="FO",'2026'!$K$2=R271),'2026DATA'!$C$22,"")</f>
        <v/>
      </c>
      <c r="S291" s="518" t="str">
        <f>IF(AND(_1="B-737-900",'2026'!$K$4="FO",'2026'!$K$2=S271),'2026DATA'!$D$22,"")</f>
        <v/>
      </c>
      <c r="T291" s="518" t="str">
        <f>IF(AND(_1="B-737-900",'2026'!$K$4="FO",'2026'!$K$2=T271),'2026DATA'!$E$22,"")</f>
        <v/>
      </c>
      <c r="U291" s="518" t="str">
        <f>IF(AND(_1="B-737-900",'2026'!$K$4="FO",'2026'!$K$2=U271),'2026DATA'!$F$22,"")</f>
        <v/>
      </c>
      <c r="V291" s="518" t="str">
        <f>IF(AND(_1="B-737-900",'2026'!$K$4="FO",'2026'!$K$2=V271),'2026DATA'!$G$22,"")</f>
        <v/>
      </c>
      <c r="W291" s="518" t="str">
        <f>IF(AND(_1="B-737-900",'2026'!$K$4="FO",'2026'!$K$2=W271),'2026DATA'!$H$22,"")</f>
        <v/>
      </c>
      <c r="X291" s="518" t="str">
        <f>IF(AND(_1="B-737-900",'2026'!$K$4="FO",'2026'!$K$2=X271),'2026DATA'!$I$22,"")</f>
        <v/>
      </c>
      <c r="Y291" s="518" t="str">
        <f>IF(AND(_1="B-737-900",'2026'!$K$4="FO",'2026'!$K$2=Y271),'2026DATA'!$J$22,"")</f>
        <v/>
      </c>
      <c r="Z291" s="518" t="str">
        <f>IF(AND(_1="B-737-900",'2026'!$K$4="FO",'2026'!$K$2=Z271),'2026DATA'!$K$22,"")</f>
        <v/>
      </c>
      <c r="AA291" s="518" t="str">
        <f>IF(AND(_1="B-737-900",'2026'!$K$4="FO",'2026'!$K$2=AA271),'2026DATA'!$L$22,"")</f>
        <v/>
      </c>
      <c r="AB291" s="518" t="str">
        <f>IF(AND(_1="B-737-900",'2026'!$K$4="FO",'2026'!$K$2=AB271),'2026DATA'!$M$22,"")</f>
        <v/>
      </c>
      <c r="AC291" s="520" t="str">
        <f>IF(AND(_1="B-737-900",'2026'!$K$4="FO",'2026'!$K$2=AC271),'2026DATA'!$N$22,"")</f>
        <v/>
      </c>
      <c r="AD291" s="940"/>
      <c r="AE291" s="13" t="s">
        <v>62</v>
      </c>
      <c r="AF291" s="518" t="str">
        <f>IF(AND(_2="B-737-900",'2026'!$K$4="FO",'2026'!$K$2=AF271),'2026DATA'!$C$22,"")</f>
        <v/>
      </c>
      <c r="AG291" s="518" t="str">
        <f>IF(AND(_2="B-737-900",'2026'!$K$4="FO",'2026'!$K$2=AG271),'2026DATA'!$D$22,"")</f>
        <v/>
      </c>
      <c r="AH291" s="518" t="str">
        <f>IF(AND(_2="B-737-900",'2026'!$K$4="FO",'2026'!$K$2=AH271),'2026DATA'!$E$22,"")</f>
        <v/>
      </c>
      <c r="AI291" s="518" t="str">
        <f>IF(AND(_2="B-737-900",'2026'!$K$4="FO",'2026'!$K$2=AI271),'2026DATA'!$F$22,"")</f>
        <v/>
      </c>
      <c r="AJ291" s="518" t="str">
        <f>IF(AND(_2="B-737-900",'2026'!$K$4="FO",'2026'!$K$2=AJ271),'2026DATA'!$G$22,"")</f>
        <v/>
      </c>
      <c r="AK291" s="518" t="str">
        <f>IF(AND(_2="B-737-900",'2026'!$K$4="FO",'2026'!$K$2=AK271),'2026DATA'!$H$22,"")</f>
        <v/>
      </c>
      <c r="AL291" s="518" t="str">
        <f>IF(AND(_2="B-737-900",'2026'!$K$4="FO",'2026'!$K$2=AL271),'2026DATA'!$I$22,"")</f>
        <v/>
      </c>
      <c r="AM291" s="518" t="str">
        <f>IF(AND(_2="B-737-900",'2026'!$K$4="FO",'2026'!$K$2=AM271),'2026DATA'!$J$22,"")</f>
        <v/>
      </c>
      <c r="AN291" s="518" t="str">
        <f>IF(AND(_2="B-737-900",'2026'!$K$4="FO",'2026'!$K$2=AN271),'2026DATA'!$K$22,"")</f>
        <v/>
      </c>
      <c r="AO291" s="518" t="str">
        <f>IF(AND(_2="B-737-900",'2026'!$K$4="FO",'2026'!$K$2=AO271),'2026DATA'!$L$22,"")</f>
        <v/>
      </c>
      <c r="AP291" s="518" t="str">
        <f>IF(AND(_2="B-737-900",'2026'!$K$4="FO",'2026'!$K$2=AP271),'2026DATA'!$M$22,"")</f>
        <v/>
      </c>
      <c r="AQ291" s="520" t="str">
        <f>IF(AND(_2="B-737-900",'2026'!$K$4="FO",'2026'!$K$2=AQ271),'2026DATA'!$N$22,"")</f>
        <v/>
      </c>
      <c r="AR291" s="940"/>
      <c r="AS291" s="13" t="s">
        <v>62</v>
      </c>
      <c r="AT291" s="518" t="str">
        <f>IF(AND(_3="B-737-900",'2026'!$K$4="FO",'2026'!$K$2=AT271),'2026DATA'!$C$22,"")</f>
        <v/>
      </c>
      <c r="AU291" s="518" t="str">
        <f>IF(AND(_3="B-737-900",'2026'!$K$4="FO",'2026'!$K$2=AU271),'2026DATA'!$D$22,"")</f>
        <v/>
      </c>
      <c r="AV291" s="518" t="str">
        <f>IF(AND(_3="B-737-900",'2026'!$K$4="FO",'2026'!$K$2=AV271),'2026DATA'!$E$22,"")</f>
        <v/>
      </c>
      <c r="AW291" s="518" t="str">
        <f>IF(AND(_3="B-737-900",'2026'!$K$4="FO",'2026'!$K$2=AW271),'2026DATA'!$F$22,"")</f>
        <v/>
      </c>
      <c r="AX291" s="518" t="str">
        <f>IF(AND(_3="B-737-900",'2026'!$K$4="FO",'2026'!$K$2=AX271),'2026DATA'!$G$22,"")</f>
        <v/>
      </c>
      <c r="AY291" s="518" t="str">
        <f>IF(AND(_3="B-737-900",'2026'!$K$4="FO",'2026'!$K$2=AY271),'2026DATA'!$H$22,"")</f>
        <v/>
      </c>
      <c r="AZ291" s="518" t="str">
        <f>IF(AND(_3="B-737-900",'2026'!$K$4="FO",'2026'!$K$2=AZ271),'2026DATA'!$I$22,"")</f>
        <v/>
      </c>
      <c r="BA291" s="518" t="str">
        <f>IF(AND(_3="B-737-900",'2026'!$K$4="FO",'2026'!$K$2=BA271),'2026DATA'!$J$22,"")</f>
        <v/>
      </c>
      <c r="BB291" s="518" t="str">
        <f>IF(AND(_3="B-737-900",'2026'!$K$4="FO",'2026'!$K$2=BB271),'2026DATA'!$K$22,"")</f>
        <v/>
      </c>
      <c r="BC291" s="518" t="str">
        <f>IF(AND(_3="B-737-900",'2026'!$K$4="FO",'2026'!$K$2=BC271),'2026DATA'!$L$22,"")</f>
        <v/>
      </c>
      <c r="BD291" s="518" t="str">
        <f>IF(AND(_3="B-737-900",'2026'!$K$4="FO",'2026'!$K$2=BD271),'2026DATA'!$M$22,"")</f>
        <v/>
      </c>
      <c r="BE291" s="520" t="str">
        <f>IF(AND(_3="B-737-900",'2026'!$K$4="FO",'2026'!$K$2=BE271),'2026DATA'!$N$22,"")</f>
        <v/>
      </c>
      <c r="BF291" s="940"/>
      <c r="BG291" s="13" t="s">
        <v>62</v>
      </c>
      <c r="BH291" s="518" t="str">
        <f>IF(AND(_4="B-737-900",'2026'!$K$4="FO",'2026'!$K$2=BH271),'2026DATA'!$C$22,"")</f>
        <v/>
      </c>
      <c r="BI291" s="518" t="str">
        <f>IF(AND(_4="B-737-900",'2026'!$K$4="FO",'2026'!$K$2=BI271),'2026DATA'!$D$22,"")</f>
        <v/>
      </c>
      <c r="BJ291" s="518" t="str">
        <f>IF(AND(_4="B-737-900",'2026'!$K$4="FO",'2026'!$K$2=BJ271),'2026DATA'!$E$22,"")</f>
        <v/>
      </c>
      <c r="BK291" s="518" t="str">
        <f>IF(AND(_4="B-737-900",'2026'!$K$4="FO",'2026'!$K$2=BK271),'2026DATA'!$F$22,"")</f>
        <v/>
      </c>
      <c r="BL291" s="518" t="str">
        <f>IF(AND(_4="B-737-900",'2026'!$K$4="FO",'2026'!$K$2=BL271),'2026DATA'!$G$22,"")</f>
        <v/>
      </c>
      <c r="BM291" s="518" t="str">
        <f>IF(AND(_4="B-737-900",'2026'!$K$4="FO",'2026'!$K$2=BM271),'2026DATA'!$H$22,"")</f>
        <v/>
      </c>
      <c r="BN291" s="518" t="str">
        <f>IF(AND(_4="B-737-900",'2026'!$K$4="FO",'2026'!$K$2=BN271),'2026DATA'!$I$22,"")</f>
        <v/>
      </c>
      <c r="BO291" s="518" t="str">
        <f>IF(AND(_4="B-737-900",'2026'!$K$4="FO",'2026'!$K$2=BO271),'2026DATA'!$J$22,"")</f>
        <v/>
      </c>
      <c r="BP291" s="518" t="str">
        <f>IF(AND(_4="B-737-900",'2026'!$K$4="FO",'2026'!$K$2=BP271),'2026DATA'!$K$22,"")</f>
        <v/>
      </c>
      <c r="BQ291" s="518" t="str">
        <f>IF(AND(_4="B-737-900",'2026'!$K$4="FO",'2026'!$K$2=BQ271),'2026DATA'!$L$22,"")</f>
        <v/>
      </c>
      <c r="BR291" s="518" t="str">
        <f>IF(AND(_4="B-737-900",'2026'!$K$4="FO",'2026'!$K$2=BR271),'2026DATA'!$M$22,"")</f>
        <v/>
      </c>
      <c r="BS291" s="520" t="str">
        <f>IF(AND(_4="B-737-900",'2026'!$K$4="FO",'2026'!$K$2=BS271),'2026DATA'!$N$22,"")</f>
        <v/>
      </c>
      <c r="BT291" s="940"/>
      <c r="BU291" s="13" t="s">
        <v>62</v>
      </c>
      <c r="BV291" s="518" t="str">
        <f>IF(AND(_5="B-737-900",'2026'!$K$4="FO",'2026'!$K$2=BV271),'2026DATA'!$C$22,"")</f>
        <v/>
      </c>
      <c r="BW291" s="518" t="str">
        <f>IF(AND(_5="B-737-900",'2026'!$K$4="FO",'2026'!$K$2=BW271),'2026DATA'!$D$22,"")</f>
        <v/>
      </c>
      <c r="BX291" s="518" t="str">
        <f>IF(AND(_5="B-737-900",'2026'!$K$4="FO",'2026'!$K$2=BX271),'2026DATA'!$E$22,"")</f>
        <v/>
      </c>
      <c r="BY291" s="518" t="str">
        <f>IF(AND(_5="B-737-900",'2026'!$K$4="FO",'2026'!$K$2=BY271),'2026DATA'!$F$22,"")</f>
        <v/>
      </c>
      <c r="BZ291" s="518" t="str">
        <f>IF(AND(_5="B-737-900",'2026'!$K$4="FO",'2026'!$K$2=BZ271),'2026DATA'!$G$22,"")</f>
        <v/>
      </c>
      <c r="CA291" s="518" t="str">
        <f>IF(AND(_5="B-737-900",'2026'!$K$4="FO",'2026'!$K$2=CA271),'2026DATA'!$H$22,"")</f>
        <v/>
      </c>
      <c r="CB291" s="518" t="str">
        <f>IF(AND(_5="B-737-900",'2026'!$K$4="FO",'2026'!$K$2=CB271),'2026DATA'!$I$22,"")</f>
        <v/>
      </c>
      <c r="CC291" s="518" t="str">
        <f>IF(AND(_5="B-737-900",'2026'!$K$4="FO",'2026'!$K$2=CC271),'2026DATA'!$J$22,"")</f>
        <v/>
      </c>
      <c r="CD291" s="518" t="str">
        <f>IF(AND(_5="B-737-900",'2026'!$K$4="FO",'2026'!$K$2=CD271),'2026DATA'!$K$22,"")</f>
        <v/>
      </c>
      <c r="CE291" s="518" t="str">
        <f>IF(AND(_5="B-737-900",'2026'!$K$4="FO",'2026'!$K$2=CE271),'2026DATA'!$L$22,"")</f>
        <v/>
      </c>
      <c r="CF291" s="518" t="str">
        <f>IF(AND(_5="B-737-900",'2026'!$K$4="FO",'2026'!$K$2=CF271),'2026DATA'!$M$22,"")</f>
        <v/>
      </c>
      <c r="CG291" s="520" t="str">
        <f>IF(AND(_5="B-737-900",'2026'!$K$4="FO",'2026'!$K$2=CG271),'2026DATA'!$N$22,"")</f>
        <v/>
      </c>
      <c r="CH291" s="940"/>
      <c r="CI291" s="13" t="s">
        <v>62</v>
      </c>
      <c r="CJ291" s="518" t="str">
        <f>IF(AND(_6="B-737-900",'2026'!$K$4="FO",'2026'!$K$2=CJ271),'2026DATA'!$C$22,"")</f>
        <v/>
      </c>
      <c r="CK291" s="518" t="str">
        <f>IF(AND(_6="B-737-900",'2026'!$K$4="FO",'2026'!$K$2=CK271),'2026DATA'!$D$22,"")</f>
        <v/>
      </c>
      <c r="CL291" s="518" t="str">
        <f>IF(AND(_6="B-737-900",'2026'!$K$4="FO",'2026'!$K$2=CL271),'2026DATA'!$E$22,"")</f>
        <v/>
      </c>
      <c r="CM291" s="518" t="str">
        <f>IF(AND(_6="B-737-900",'2026'!$K$4="FO",'2026'!$K$2=CM271),'2026DATA'!$F$22,"")</f>
        <v/>
      </c>
      <c r="CN291" s="518" t="str">
        <f>IF(AND(_6="B-737-900",'2026'!$K$4="FO",'2026'!$K$2=CN271),'2026DATA'!$G$22,"")</f>
        <v/>
      </c>
      <c r="CO291" s="518" t="str">
        <f>IF(AND(_6="B-737-900",'2026'!$K$4="FO",'2026'!$K$2=CO271),'2026DATA'!$H$22,"")</f>
        <v/>
      </c>
      <c r="CP291" s="518" t="str">
        <f>IF(AND(_6="B-737-900",'2026'!$K$4="FO",'2026'!$K$2=CP271),'2026DATA'!$I$22,"")</f>
        <v/>
      </c>
      <c r="CQ291" s="518" t="str">
        <f>IF(AND(_6="B-737-900",'2026'!$K$4="FO",'2026'!$K$2=CQ271),'2026DATA'!$J$22,"")</f>
        <v/>
      </c>
      <c r="CR291" s="518" t="str">
        <f>IF(AND(_6="B-737-900",'2026'!$K$4="FO",'2026'!$K$2=CR271),'2026DATA'!$K$22,"")</f>
        <v/>
      </c>
      <c r="CS291" s="518" t="str">
        <f>IF(AND(_6="B-737-900",'2026'!$K$4="FO",'2026'!$K$2=CS271),'2026DATA'!$L$22,"")</f>
        <v/>
      </c>
      <c r="CT291" s="518" t="str">
        <f>IF(AND(_6="B-737-900",'2026'!$K$4="FO",'2026'!$K$2=CT271),'2026DATA'!$M$22,"")</f>
        <v/>
      </c>
      <c r="CU291" s="520" t="str">
        <f>IF(AND(_6="B-737-900",'2026'!$K$4="FO",'2026'!$K$2=CU271),'2026DATA'!$N$22,"")</f>
        <v/>
      </c>
    </row>
    <row r="292" spans="16:99" x14ac:dyDescent="0.25">
      <c r="P292" s="940" t="s">
        <v>69</v>
      </c>
      <c r="Q292" s="13" t="s">
        <v>61</v>
      </c>
      <c r="R292" s="518" t="str">
        <f>IF(AND(_1="B-737-800",'2026'!$K$4="CA",'2026'!$K$2=R271),'2026DATA'!$C$23,"")</f>
        <v/>
      </c>
      <c r="S292" s="518" t="str">
        <f>IF(AND(_1="B-737-800",'2026'!$K$4="CA",'2026'!$K$2=S271),'2026DATA'!$D$23,"")</f>
        <v/>
      </c>
      <c r="T292" s="518" t="str">
        <f>IF(AND(_1="B-737-800",'2026'!$K$4="CA",'2026'!$K$2=T271),'2026DATA'!$E$23,"")</f>
        <v/>
      </c>
      <c r="U292" s="518" t="str">
        <f>IF(AND(_1="B-737-800",'2026'!$K$4="CA",'2026'!$K$2=U271),'2026DATA'!$F$23,"")</f>
        <v/>
      </c>
      <c r="V292" s="518" t="str">
        <f>IF(AND(_1="B-737-800",'2026'!$K$4="CA",'2026'!$K$2=V271),'2026DATA'!$G$23,"")</f>
        <v/>
      </c>
      <c r="W292" s="518" t="str">
        <f>IF(AND(_1="B-737-800",'2026'!$K$4="CA",'2026'!$K$2=W271),'2026DATA'!$H$23,"")</f>
        <v/>
      </c>
      <c r="X292" s="518" t="str">
        <f>IF(AND(_1="B-737-800",'2026'!$K$4="CA",'2026'!$K$2=X271),'2026DATA'!$I$23,"")</f>
        <v/>
      </c>
      <c r="Y292" s="518" t="str">
        <f>IF(AND(_1="B-737-800",'2026'!$K$4="CA",'2026'!$K$2=Y271),'2026DATA'!$J$23,"")</f>
        <v/>
      </c>
      <c r="Z292" s="518" t="str">
        <f>IF(AND(_1="B-737-800",'2026'!$K$4="CA",'2026'!$K$2=Z271),'2026DATA'!$K$23,"")</f>
        <v/>
      </c>
      <c r="AA292" s="518" t="str">
        <f>IF(AND(_1="B-737-800",'2026'!$K$4="CA",'2026'!$K$2=AA271),'2026DATA'!$L$23,"")</f>
        <v/>
      </c>
      <c r="AB292" s="518" t="str">
        <f>IF(AND(_1="B-737-800",'2026'!$K$4="CA",'2026'!$K$2=AB271),'2026DATA'!$M$23,"")</f>
        <v/>
      </c>
      <c r="AC292" s="520" t="str">
        <f>IF(AND(_1="B-737-800",'2026'!$K$4="CA",'2026'!$K$2=AC271),'2026DATA'!$N$23,"")</f>
        <v/>
      </c>
      <c r="AD292" s="940" t="s">
        <v>69</v>
      </c>
      <c r="AE292" s="13" t="s">
        <v>61</v>
      </c>
      <c r="AF292" s="518" t="str">
        <f>IF(AND(_2="B-737-800",'2026'!$K$4="CA",'2026'!$K$2=AF271),'2026DATA'!$C$23,"")</f>
        <v/>
      </c>
      <c r="AG292" s="518" t="str">
        <f>IF(AND(_2="B-737-800",'2026'!$K$4="CA",'2026'!$K$2=AG271),'2026DATA'!$D$23,"")</f>
        <v/>
      </c>
      <c r="AH292" s="518" t="str">
        <f>IF(AND(_2="B-737-800",'2026'!$K$4="CA",'2026'!$K$2=AH271),'2026DATA'!$E$23,"")</f>
        <v/>
      </c>
      <c r="AI292" s="518" t="str">
        <f>IF(AND(_2="B-737-800",'2026'!$K$4="CA",'2026'!$K$2=AI271),'2026DATA'!$F$23,"")</f>
        <v/>
      </c>
      <c r="AJ292" s="518" t="str">
        <f>IF(AND(_2="B-737-800",'2026'!$K$4="CA",'2026'!$K$2=AJ271),'2026DATA'!$G$23,"")</f>
        <v/>
      </c>
      <c r="AK292" s="518" t="str">
        <f>IF(AND(_2="B-737-800",'2026'!$K$4="CA",'2026'!$K$2=AK271),'2026DATA'!$H$23,"")</f>
        <v/>
      </c>
      <c r="AL292" s="518" t="str">
        <f>IF(AND(_2="B-737-800",'2026'!$K$4="CA",'2026'!$K$2=AL271),'2026DATA'!$I$23,"")</f>
        <v/>
      </c>
      <c r="AM292" s="518" t="str">
        <f>IF(AND(_2="B-737-800",'2026'!$K$4="CA",'2026'!$K$2=AM271),'2026DATA'!$J$23,"")</f>
        <v/>
      </c>
      <c r="AN292" s="518" t="str">
        <f>IF(AND(_2="B-737-800",'2026'!$K$4="CA",'2026'!$K$2=AN271),'2026DATA'!$K$23,"")</f>
        <v/>
      </c>
      <c r="AO292" s="518" t="str">
        <f>IF(AND(_2="B-737-800",'2026'!$K$4="CA",'2026'!$K$2=AO271),'2026DATA'!$L$23,"")</f>
        <v/>
      </c>
      <c r="AP292" s="518" t="str">
        <f>IF(AND(_2="B-737-800",'2026'!$K$4="CA",'2026'!$K$2=AP271),'2026DATA'!$M$23,"")</f>
        <v/>
      </c>
      <c r="AQ292" s="520" t="str">
        <f>IF(AND(_2="B-737-800",'2026'!$K$4="CA",'2026'!$K$2=AQ271),'2026DATA'!$N$23,"")</f>
        <v/>
      </c>
      <c r="AR292" s="940" t="s">
        <v>69</v>
      </c>
      <c r="AS292" s="13" t="s">
        <v>61</v>
      </c>
      <c r="AT292" s="518" t="str">
        <f>IF(AND(_3="B-737-800",'2026'!$K$4="CA",'2026'!$K$2=AT271),'2026DATA'!$C$23,"")</f>
        <v/>
      </c>
      <c r="AU292" s="518" t="str">
        <f>IF(AND(_3="B-737-800",'2026'!$K$4="CA",'2026'!$K$2=AU271),'2026DATA'!$D$23,"")</f>
        <v/>
      </c>
      <c r="AV292" s="518" t="str">
        <f>IF(AND(_3="B-737-800",'2026'!$K$4="CA",'2026'!$K$2=AV271),'2026DATA'!$E$23,"")</f>
        <v/>
      </c>
      <c r="AW292" s="518" t="str">
        <f>IF(AND(_3="B-737-800",'2026'!$K$4="CA",'2026'!$K$2=AW271),'2026DATA'!$F$23,"")</f>
        <v/>
      </c>
      <c r="AX292" s="518" t="str">
        <f>IF(AND(_3="B-737-800",'2026'!$K$4="CA",'2026'!$K$2=AX271),'2026DATA'!$G$23,"")</f>
        <v/>
      </c>
      <c r="AY292" s="518" t="str">
        <f>IF(AND(_3="B-737-800",'2026'!$K$4="CA",'2026'!$K$2=AY271),'2026DATA'!$H$23,"")</f>
        <v/>
      </c>
      <c r="AZ292" s="518" t="str">
        <f>IF(AND(_3="B-737-800",'2026'!$K$4="CA",'2026'!$K$2=AZ271),'2026DATA'!$I$23,"")</f>
        <v/>
      </c>
      <c r="BA292" s="518" t="str">
        <f>IF(AND(_3="B-737-800",'2026'!$K$4="CA",'2026'!$K$2=BA271),'2026DATA'!$J$23,"")</f>
        <v/>
      </c>
      <c r="BB292" s="518" t="str">
        <f>IF(AND(_3="B-737-800",'2026'!$K$4="CA",'2026'!$K$2=BB271),'2026DATA'!$K$23,"")</f>
        <v/>
      </c>
      <c r="BC292" s="518" t="str">
        <f>IF(AND(_3="B-737-800",'2026'!$K$4="CA",'2026'!$K$2=BC271),'2026DATA'!$L$23,"")</f>
        <v/>
      </c>
      <c r="BD292" s="518" t="str">
        <f>IF(AND(_3="B-737-800",'2026'!$K$4="CA",'2026'!$K$2=BD271),'2026DATA'!$M$23,"")</f>
        <v/>
      </c>
      <c r="BE292" s="520" t="str">
        <f>IF(AND(_3="B-737-800",'2026'!$K$4="CA",'2026'!$K$2=BE271),'2026DATA'!$N$23,"")</f>
        <v/>
      </c>
      <c r="BF292" s="940" t="s">
        <v>69</v>
      </c>
      <c r="BG292" s="13" t="s">
        <v>61</v>
      </c>
      <c r="BH292" s="518" t="str">
        <f>IF(AND(_4="B-737-800",'2026'!$K$4="CA",'2026'!$K$2=BH271),'2026DATA'!$C$23,"")</f>
        <v/>
      </c>
      <c r="BI292" s="518" t="str">
        <f>IF(AND(_4="B-737-800",'2026'!$K$4="CA",'2026'!$K$2=BI271),'2026DATA'!$D$23,"")</f>
        <v/>
      </c>
      <c r="BJ292" s="518" t="str">
        <f>IF(AND(_4="B-737-800",'2026'!$K$4="CA",'2026'!$K$2=BJ271),'2026DATA'!$E$23,"")</f>
        <v/>
      </c>
      <c r="BK292" s="518" t="str">
        <f>IF(AND(_4="B-737-800",'2026'!$K$4="CA",'2026'!$K$2=BK271),'2026DATA'!$F$23,"")</f>
        <v/>
      </c>
      <c r="BL292" s="518" t="str">
        <f>IF(AND(_4="B-737-800",'2026'!$K$4="CA",'2026'!$K$2=BL271),'2026DATA'!$G$23,"")</f>
        <v/>
      </c>
      <c r="BM292" s="518" t="str">
        <f>IF(AND(_4="B-737-800",'2026'!$K$4="CA",'2026'!$K$2=BM271),'2026DATA'!$H$23,"")</f>
        <v/>
      </c>
      <c r="BN292" s="518" t="str">
        <f>IF(AND(_4="B-737-800",'2026'!$K$4="CA",'2026'!$K$2=BN271),'2026DATA'!$I$23,"")</f>
        <v/>
      </c>
      <c r="BO292" s="518" t="str">
        <f>IF(AND(_4="B-737-800",'2026'!$K$4="CA",'2026'!$K$2=BO271),'2026DATA'!$J$23,"")</f>
        <v/>
      </c>
      <c r="BP292" s="518" t="str">
        <f>IF(AND(_4="B-737-800",'2026'!$K$4="CA",'2026'!$K$2=BP271),'2026DATA'!$K$23,"")</f>
        <v/>
      </c>
      <c r="BQ292" s="518" t="str">
        <f>IF(AND(_4="B-737-800",'2026'!$K$4="CA",'2026'!$K$2=BQ271),'2026DATA'!$L$23,"")</f>
        <v/>
      </c>
      <c r="BR292" s="518" t="str">
        <f>IF(AND(_4="B-737-800",'2026'!$K$4="CA",'2026'!$K$2=BR271),'2026DATA'!$M$23,"")</f>
        <v/>
      </c>
      <c r="BS292" s="520" t="str">
        <f>IF(AND(_4="B-737-800",'2026'!$K$4="CA",'2026'!$K$2=BS271),'2026DATA'!$N$23,"")</f>
        <v/>
      </c>
      <c r="BT292" s="940" t="s">
        <v>69</v>
      </c>
      <c r="BU292" s="13" t="s">
        <v>61</v>
      </c>
      <c r="BV292" s="518" t="str">
        <f>IF(AND(_5="B-737-800",'2026'!$K$4="CA",'2026'!$K$2=BV271),'2026DATA'!$C$23,"")</f>
        <v/>
      </c>
      <c r="BW292" s="518" t="str">
        <f>IF(AND(_5="B-737-800",'2026'!$K$4="CA",'2026'!$K$2=BW271),'2026DATA'!$D$23,"")</f>
        <v/>
      </c>
      <c r="BX292" s="518" t="str">
        <f>IF(AND(_5="B-737-800",'2026'!$K$4="CA",'2026'!$K$2=BX271),'2026DATA'!$E$23,"")</f>
        <v/>
      </c>
      <c r="BY292" s="518" t="str">
        <f>IF(AND(_5="B-737-800",'2026'!$K$4="CA",'2026'!$K$2=BY271),'2026DATA'!$F$23,"")</f>
        <v/>
      </c>
      <c r="BZ292" s="518" t="str">
        <f>IF(AND(_5="B-737-800",'2026'!$K$4="CA",'2026'!$K$2=BZ271),'2026DATA'!$G$23,"")</f>
        <v/>
      </c>
      <c r="CA292" s="518" t="str">
        <f>IF(AND(_5="B-737-800",'2026'!$K$4="CA",'2026'!$K$2=CA271),'2026DATA'!$H$23,"")</f>
        <v/>
      </c>
      <c r="CB292" s="518" t="str">
        <f>IF(AND(_5="B-737-800",'2026'!$K$4="CA",'2026'!$K$2=CB271),'2026DATA'!$I$23,"")</f>
        <v/>
      </c>
      <c r="CC292" s="518" t="str">
        <f>IF(AND(_5="B-737-800",'2026'!$K$4="CA",'2026'!$K$2=CC271),'2026DATA'!$J$23,"")</f>
        <v/>
      </c>
      <c r="CD292" s="518" t="str">
        <f>IF(AND(_5="B-737-800",'2026'!$K$4="CA",'2026'!$K$2=CD271),'2026DATA'!$K$23,"")</f>
        <v/>
      </c>
      <c r="CE292" s="518" t="str">
        <f>IF(AND(_5="B-737-800",'2026'!$K$4="CA",'2026'!$K$2=CE271),'2026DATA'!$L$23,"")</f>
        <v/>
      </c>
      <c r="CF292" s="518" t="str">
        <f>IF(AND(_5="B-737-800",'2026'!$K$4="CA",'2026'!$K$2=CF271),'2026DATA'!$M$23,"")</f>
        <v/>
      </c>
      <c r="CG292" s="520" t="str">
        <f>IF(AND(_5="B-737-800",'2026'!$K$4="CA",'2026'!$K$2=CG271),'2026DATA'!$N$23,"")</f>
        <v/>
      </c>
      <c r="CH292" s="940" t="s">
        <v>69</v>
      </c>
      <c r="CI292" s="13" t="s">
        <v>61</v>
      </c>
      <c r="CJ292" s="518" t="str">
        <f>IF(AND(_6="B-737-800",'2026'!$K$4="CA",'2026'!$K$2=CJ271),'2026DATA'!$C$23,"")</f>
        <v/>
      </c>
      <c r="CK292" s="518" t="str">
        <f>IF(AND(_6="B-737-800",'2026'!$K$4="CA",'2026'!$K$2=CK271),'2026DATA'!$D$23,"")</f>
        <v/>
      </c>
      <c r="CL292" s="518" t="str">
        <f>IF(AND(_6="B-737-800",'2026'!$K$4="CA",'2026'!$K$2=CL271),'2026DATA'!$E$23,"")</f>
        <v/>
      </c>
      <c r="CM292" s="518" t="str">
        <f>IF(AND(_6="B-737-800",'2026'!$K$4="CA",'2026'!$K$2=CM271),'2026DATA'!$F$23,"")</f>
        <v/>
      </c>
      <c r="CN292" s="518" t="str">
        <f>IF(AND(_6="B-737-800",'2026'!$K$4="CA",'2026'!$K$2=CN271),'2026DATA'!$G$23,"")</f>
        <v/>
      </c>
      <c r="CO292" s="518" t="str">
        <f>IF(AND(_6="B-737-800",'2026'!$K$4="CA",'2026'!$K$2=CO271),'2026DATA'!$H$23,"")</f>
        <v/>
      </c>
      <c r="CP292" s="518" t="str">
        <f>IF(AND(_6="B-737-800",'2026'!$K$4="CA",'2026'!$K$2=CP271),'2026DATA'!$I$23,"")</f>
        <v/>
      </c>
      <c r="CQ292" s="518" t="str">
        <f>IF(AND(_6="B-737-800",'2026'!$K$4="CA",'2026'!$K$2=CQ271),'2026DATA'!$J$23,"")</f>
        <v/>
      </c>
      <c r="CR292" s="518" t="str">
        <f>IF(AND(_6="B-737-800",'2026'!$K$4="CA",'2026'!$K$2=CR271),'2026DATA'!$K$23,"")</f>
        <v/>
      </c>
      <c r="CS292" s="518" t="str">
        <f>IF(AND(_6="B-737-800",'2026'!$K$4="CA",'2026'!$K$2=CS271),'2026DATA'!$L$23,"")</f>
        <v/>
      </c>
      <c r="CT292" s="518" t="str">
        <f>IF(AND(_6="B-737-800",'2026'!$K$4="CA",'2026'!$K$2=CT271),'2026DATA'!$M$23,"")</f>
        <v/>
      </c>
      <c r="CU292" s="520" t="str">
        <f>IF(AND(_6="B-737-800",'2026'!$K$4="CA",'2026'!$K$2=CU271),'2026DATA'!$N$23,"")</f>
        <v/>
      </c>
    </row>
    <row r="293" spans="16:99" x14ac:dyDescent="0.25">
      <c r="P293" s="940"/>
      <c r="Q293" s="13" t="s">
        <v>62</v>
      </c>
      <c r="R293" s="518" t="str">
        <f>IF(AND(_1="B-737-800",'2026'!$K$4="FO",'2026'!$K$2=R271),'2026DATA'!$C$24,"")</f>
        <v/>
      </c>
      <c r="S293" s="518" t="str">
        <f>IF(AND(_1="B-737-800",'2026'!$K$4="FO",'2026'!$K$2=S271),'2026DATA'!$D$24,"")</f>
        <v/>
      </c>
      <c r="T293" s="518" t="str">
        <f>IF(AND(_1="B-737-800",'2026'!$K$4="FO",'2026'!$K$2=T271),'2026DATA'!$E$24,"")</f>
        <v/>
      </c>
      <c r="U293" s="518" t="str">
        <f>IF(AND(_1="B-737-800",'2026'!$K$4="FO",'2026'!$K$2=U271),'2026DATA'!$F$24,"")</f>
        <v/>
      </c>
      <c r="V293" s="518" t="str">
        <f>IF(AND(_1="B-737-800",'2026'!$K$4="FO",'2026'!$K$2=V271),'2026DATA'!$G$24,"")</f>
        <v/>
      </c>
      <c r="W293" s="518" t="str">
        <f>IF(AND(_1="B-737-800",'2026'!$K$4="FO",'2026'!$K$2=W271),'2026DATA'!$H$24,"")</f>
        <v/>
      </c>
      <c r="X293" s="518" t="str">
        <f>IF(AND(_1="B-737-800",'2026'!$K$4="FO",'2026'!$K$2=X271),'2026DATA'!$I$24,"")</f>
        <v/>
      </c>
      <c r="Y293" s="518" t="str">
        <f>IF(AND(_1="B-737-800",'2026'!$K$4="FO",'2026'!$K$2=Y271),'2026DATA'!$J$24,"")</f>
        <v/>
      </c>
      <c r="Z293" s="518" t="str">
        <f>IF(AND(_1="B-737-800",'2026'!$K$4="FO",'2026'!$K$2=Z271),'2026DATA'!$K$24,"")</f>
        <v/>
      </c>
      <c r="AA293" s="518" t="str">
        <f>IF(AND(_1="B-737-800",'2026'!$K$4="FO",'2026'!$K$2=AA271),'2026DATA'!$L$24,"")</f>
        <v/>
      </c>
      <c r="AB293" s="518" t="str">
        <f>IF(AND(_1="B-737-800",'2026'!$K$4="FO",'2026'!$K$2=AB271),'2026DATA'!$M$24,"")</f>
        <v/>
      </c>
      <c r="AC293" s="520" t="str">
        <f>IF(AND(_1="B-737-800",'2026'!$K$4="FO",'2026'!$K$2=AC271),'2026DATA'!$N$24,"")</f>
        <v/>
      </c>
      <c r="AD293" s="940"/>
      <c r="AE293" s="13" t="s">
        <v>62</v>
      </c>
      <c r="AF293" s="518" t="str">
        <f>IF(AND(_2="B-737-800",'2026'!$K$4="FO",'2026'!$K$2=AF271),'2026DATA'!$C$24,"")</f>
        <v/>
      </c>
      <c r="AG293" s="518" t="str">
        <f>IF(AND(_2="B-737-800",'2026'!$K$4="FO",'2026'!$K$2=AG271),'2026DATA'!$D$24,"")</f>
        <v/>
      </c>
      <c r="AH293" s="518" t="str">
        <f>IF(AND(_2="B-737-800",'2026'!$K$4="FO",'2026'!$K$2=AH271),'2026DATA'!$E$24,"")</f>
        <v/>
      </c>
      <c r="AI293" s="518" t="str">
        <f>IF(AND(_2="B-737-800",'2026'!$K$4="FO",'2026'!$K$2=AI271),'2026DATA'!$F$24,"")</f>
        <v/>
      </c>
      <c r="AJ293" s="518" t="str">
        <f>IF(AND(_2="B-737-800",'2026'!$K$4="FO",'2026'!$K$2=AJ271),'2026DATA'!$G$24,"")</f>
        <v/>
      </c>
      <c r="AK293" s="518" t="str">
        <f>IF(AND(_2="B-737-800",'2026'!$K$4="FO",'2026'!$K$2=AK271),'2026DATA'!$H$24,"")</f>
        <v/>
      </c>
      <c r="AL293" s="518" t="str">
        <f>IF(AND(_2="B-737-800",'2026'!$K$4="FO",'2026'!$K$2=AL271),'2026DATA'!$I$24,"")</f>
        <v/>
      </c>
      <c r="AM293" s="518" t="str">
        <f>IF(AND(_2="B-737-800",'2026'!$K$4="FO",'2026'!$K$2=AM271),'2026DATA'!$J$24,"")</f>
        <v/>
      </c>
      <c r="AN293" s="518" t="str">
        <f>IF(AND(_2="B-737-800",'2026'!$K$4="FO",'2026'!$K$2=AN271),'2026DATA'!$K$24,"")</f>
        <v/>
      </c>
      <c r="AO293" s="518" t="str">
        <f>IF(AND(_2="B-737-800",'2026'!$K$4="FO",'2026'!$K$2=AO271),'2026DATA'!$L$24,"")</f>
        <v/>
      </c>
      <c r="AP293" s="518" t="str">
        <f>IF(AND(_2="B-737-800",'2026'!$K$4="FO",'2026'!$K$2=AP271),'2026DATA'!$M$24,"")</f>
        <v/>
      </c>
      <c r="AQ293" s="520" t="str">
        <f>IF(AND(_2="B-737-800",'2026'!$K$4="FO",'2026'!$K$2=AQ271),'2026DATA'!$N$24,"")</f>
        <v/>
      </c>
      <c r="AR293" s="940"/>
      <c r="AS293" s="13" t="s">
        <v>62</v>
      </c>
      <c r="AT293" s="518" t="str">
        <f>IF(AND(_3="B-737-800",'2026'!$K$4="FO",'2026'!$K$2=AT271),'2026DATA'!$C$24,"")</f>
        <v/>
      </c>
      <c r="AU293" s="518" t="str">
        <f>IF(AND(_3="B-737-800",'2026'!$K$4="FO",'2026'!$K$2=AU271),'2026DATA'!$D$24,"")</f>
        <v/>
      </c>
      <c r="AV293" s="518" t="str">
        <f>IF(AND(_3="B-737-800",'2026'!$K$4="FO",'2026'!$K$2=AV271),'2026DATA'!$E$24,"")</f>
        <v/>
      </c>
      <c r="AW293" s="518" t="str">
        <f>IF(AND(_3="B-737-800",'2026'!$K$4="FO",'2026'!$K$2=AW271),'2026DATA'!$F$24,"")</f>
        <v/>
      </c>
      <c r="AX293" s="518" t="str">
        <f>IF(AND(_3="B-737-800",'2026'!$K$4="FO",'2026'!$K$2=AX271),'2026DATA'!$G$24,"")</f>
        <v/>
      </c>
      <c r="AY293" s="518" t="str">
        <f>IF(AND(_3="B-737-800",'2026'!$K$4="FO",'2026'!$K$2=AY271),'2026DATA'!$H$24,"")</f>
        <v/>
      </c>
      <c r="AZ293" s="518" t="str">
        <f>IF(AND(_3="B-737-800",'2026'!$K$4="FO",'2026'!$K$2=AZ271),'2026DATA'!$I$24,"")</f>
        <v/>
      </c>
      <c r="BA293" s="518" t="str">
        <f>IF(AND(_3="B-737-800",'2026'!$K$4="FO",'2026'!$K$2=BA271),'2026DATA'!$J$24,"")</f>
        <v/>
      </c>
      <c r="BB293" s="518" t="str">
        <f>IF(AND(_3="B-737-800",'2026'!$K$4="FO",'2026'!$K$2=BB271),'2026DATA'!$K$24,"")</f>
        <v/>
      </c>
      <c r="BC293" s="518" t="str">
        <f>IF(AND(_3="B-737-800",'2026'!$K$4="FO",'2026'!$K$2=BC271),'2026DATA'!$L$24,"")</f>
        <v/>
      </c>
      <c r="BD293" s="518" t="str">
        <f>IF(AND(_3="B-737-800",'2026'!$K$4="FO",'2026'!$K$2=BD271),'2026DATA'!$M$24,"")</f>
        <v/>
      </c>
      <c r="BE293" s="520" t="str">
        <f>IF(AND(_3="B-737-800",'2026'!$K$4="FO",'2026'!$K$2=BE271),'2026DATA'!$N$24,"")</f>
        <v/>
      </c>
      <c r="BF293" s="940"/>
      <c r="BG293" s="13" t="s">
        <v>62</v>
      </c>
      <c r="BH293" s="518" t="str">
        <f>IF(AND(_4="B-737-800",'2026'!$K$4="FO",'2026'!$K$2=BH271),'2026DATA'!$C$24,"")</f>
        <v/>
      </c>
      <c r="BI293" s="518" t="str">
        <f>IF(AND(_4="B-737-800",'2026'!$K$4="FO",'2026'!$K$2=BI271),'2026DATA'!$D$24,"")</f>
        <v/>
      </c>
      <c r="BJ293" s="518" t="str">
        <f>IF(AND(_4="B-737-800",'2026'!$K$4="FO",'2026'!$K$2=BJ271),'2026DATA'!$E$24,"")</f>
        <v/>
      </c>
      <c r="BK293" s="518" t="str">
        <f>IF(AND(_4="B-737-800",'2026'!$K$4="FO",'2026'!$K$2=BK271),'2026DATA'!$F$24,"")</f>
        <v/>
      </c>
      <c r="BL293" s="518" t="str">
        <f>IF(AND(_4="B-737-800",'2026'!$K$4="FO",'2026'!$K$2=BL271),'2026DATA'!$G$24,"")</f>
        <v/>
      </c>
      <c r="BM293" s="518" t="str">
        <f>IF(AND(_4="B-737-800",'2026'!$K$4="FO",'2026'!$K$2=BM271),'2026DATA'!$H$24,"")</f>
        <v/>
      </c>
      <c r="BN293" s="518" t="str">
        <f>IF(AND(_4="B-737-800",'2026'!$K$4="FO",'2026'!$K$2=BN271),'2026DATA'!$I$24,"")</f>
        <v/>
      </c>
      <c r="BO293" s="518" t="str">
        <f>IF(AND(_4="B-737-800",'2026'!$K$4="FO",'2026'!$K$2=BO271),'2026DATA'!$J$24,"")</f>
        <v/>
      </c>
      <c r="BP293" s="518" t="str">
        <f>IF(AND(_4="B-737-800",'2026'!$K$4="FO",'2026'!$K$2=BP271),'2026DATA'!$K$24,"")</f>
        <v/>
      </c>
      <c r="BQ293" s="518" t="str">
        <f>IF(AND(_4="B-737-800",'2026'!$K$4="FO",'2026'!$K$2=BQ271),'2026DATA'!$L$24,"")</f>
        <v/>
      </c>
      <c r="BR293" s="518" t="str">
        <f>IF(AND(_4="B-737-800",'2026'!$K$4="FO",'2026'!$K$2=BR271),'2026DATA'!$M$24,"")</f>
        <v/>
      </c>
      <c r="BS293" s="520" t="str">
        <f>IF(AND(_4="B-737-800",'2026'!$K$4="FO",'2026'!$K$2=BS271),'2026DATA'!$N$24,"")</f>
        <v/>
      </c>
      <c r="BT293" s="940"/>
      <c r="BU293" s="13" t="s">
        <v>62</v>
      </c>
      <c r="BV293" s="518" t="str">
        <f>IF(AND(_5="B-737-800",'2026'!$K$4="FO",'2026'!$K$2=BV271),'2026DATA'!$C$24,"")</f>
        <v/>
      </c>
      <c r="BW293" s="518" t="str">
        <f>IF(AND(_5="B-737-800",'2026'!$K$4="FO",'2026'!$K$2=BW271),'2026DATA'!$D$24,"")</f>
        <v/>
      </c>
      <c r="BX293" s="518" t="str">
        <f>IF(AND(_5="B-737-800",'2026'!$K$4="FO",'2026'!$K$2=BX271),'2026DATA'!$E$24,"")</f>
        <v/>
      </c>
      <c r="BY293" s="518" t="str">
        <f>IF(AND(_5="B-737-800",'2026'!$K$4="FO",'2026'!$K$2=BY271),'2026DATA'!$F$24,"")</f>
        <v/>
      </c>
      <c r="BZ293" s="518" t="str">
        <f>IF(AND(_5="B-737-800",'2026'!$K$4="FO",'2026'!$K$2=BZ271),'2026DATA'!$G$24,"")</f>
        <v/>
      </c>
      <c r="CA293" s="518" t="str">
        <f>IF(AND(_5="B-737-800",'2026'!$K$4="FO",'2026'!$K$2=CA271),'2026DATA'!$H$24,"")</f>
        <v/>
      </c>
      <c r="CB293" s="518" t="str">
        <f>IF(AND(_5="B-737-800",'2026'!$K$4="FO",'2026'!$K$2=CB271),'2026DATA'!$I$24,"")</f>
        <v/>
      </c>
      <c r="CC293" s="518" t="str">
        <f>IF(AND(_5="B-737-800",'2026'!$K$4="FO",'2026'!$K$2=CC271),'2026DATA'!$J$24,"")</f>
        <v/>
      </c>
      <c r="CD293" s="518" t="str">
        <f>IF(AND(_5="B-737-800",'2026'!$K$4="FO",'2026'!$K$2=CD271),'2026DATA'!$K$24,"")</f>
        <v/>
      </c>
      <c r="CE293" s="518" t="str">
        <f>IF(AND(_5="B-737-800",'2026'!$K$4="FO",'2026'!$K$2=CE271),'2026DATA'!$L$24,"")</f>
        <v/>
      </c>
      <c r="CF293" s="518" t="str">
        <f>IF(AND(_5="B-737-800",'2026'!$K$4="FO",'2026'!$K$2=CF271),'2026DATA'!$M$24,"")</f>
        <v/>
      </c>
      <c r="CG293" s="520" t="str">
        <f>IF(AND(_5="B-737-800",'2026'!$K$4="FO",'2026'!$K$2=CG271),'2026DATA'!$N$24,"")</f>
        <v/>
      </c>
      <c r="CH293" s="940"/>
      <c r="CI293" s="13" t="s">
        <v>62</v>
      </c>
      <c r="CJ293" s="518" t="str">
        <f>IF(AND(_6="B-737-800",'2026'!$K$4="FO",'2026'!$K$2=CJ271),'2026DATA'!$C$24,"")</f>
        <v/>
      </c>
      <c r="CK293" s="518" t="str">
        <f>IF(AND(_6="B-737-800",'2026'!$K$4="FO",'2026'!$K$2=CK271),'2026DATA'!$D$24,"")</f>
        <v/>
      </c>
      <c r="CL293" s="518" t="str">
        <f>IF(AND(_6="B-737-800",'2026'!$K$4="FO",'2026'!$K$2=CL271),'2026DATA'!$E$24,"")</f>
        <v/>
      </c>
      <c r="CM293" s="518" t="str">
        <f>IF(AND(_6="B-737-800",'2026'!$K$4="FO",'2026'!$K$2=CM271),'2026DATA'!$F$24,"")</f>
        <v/>
      </c>
      <c r="CN293" s="518" t="str">
        <f>IF(AND(_6="B-737-800",'2026'!$K$4="FO",'2026'!$K$2=CN271),'2026DATA'!$G$24,"")</f>
        <v/>
      </c>
      <c r="CO293" s="518" t="str">
        <f>IF(AND(_6="B-737-800",'2026'!$K$4="FO",'2026'!$K$2=CO271),'2026DATA'!$H$24,"")</f>
        <v/>
      </c>
      <c r="CP293" s="518" t="str">
        <f>IF(AND(_6="B-737-800",'2026'!$K$4="FO",'2026'!$K$2=CP271),'2026DATA'!$I$24,"")</f>
        <v/>
      </c>
      <c r="CQ293" s="518" t="str">
        <f>IF(AND(_6="B-737-800",'2026'!$K$4="FO",'2026'!$K$2=CQ271),'2026DATA'!$J$24,"")</f>
        <v/>
      </c>
      <c r="CR293" s="518" t="str">
        <f>IF(AND(_6="B-737-800",'2026'!$K$4="FO",'2026'!$K$2=CR271),'2026DATA'!$K$24,"")</f>
        <v/>
      </c>
      <c r="CS293" s="518" t="str">
        <f>IF(AND(_6="B-737-800",'2026'!$K$4="FO",'2026'!$K$2=CS271),'2026DATA'!$L$24,"")</f>
        <v/>
      </c>
      <c r="CT293" s="518" t="str">
        <f>IF(AND(_6="B-737-800",'2026'!$K$4="FO",'2026'!$K$2=CT271),'2026DATA'!$M$24,"")</f>
        <v/>
      </c>
      <c r="CU293" s="520" t="str">
        <f>IF(AND(_6="B-737-800",'2026'!$K$4="FO",'2026'!$K$2=CU271),'2026DATA'!$N$24,"")</f>
        <v/>
      </c>
    </row>
    <row r="294" spans="16:99" x14ac:dyDescent="0.25">
      <c r="P294" s="940" t="s">
        <v>46</v>
      </c>
      <c r="Q294" s="13" t="s">
        <v>61</v>
      </c>
      <c r="R294" s="518" t="str">
        <f>IF(AND(_1="A-321N",'2026'!$K$4="CA",'2026'!$K$2=R271),'2026DATA'!$C$25,"")</f>
        <v/>
      </c>
      <c r="S294" s="518" t="str">
        <f>IF(AND(_1="A-321N",'2026'!$K$4="CA",'2026'!$K$2=S271),'2026DATA'!$D$25,"")</f>
        <v/>
      </c>
      <c r="T294" s="518" t="str">
        <f>IF(AND(_1="A-321N",'2026'!$K$4="CA",'2026'!$K$2=T271),'2026DATA'!$E$25,"")</f>
        <v/>
      </c>
      <c r="U294" s="518" t="str">
        <f>IF(AND(_1="A-321N",'2026'!$K$4="CA",'2026'!$K$2=U271),'2026DATA'!$F$25,"")</f>
        <v/>
      </c>
      <c r="V294" s="518" t="str">
        <f>IF(AND(_1="A-321N",'2026'!$K$4="CA",'2026'!$K$2=V271),'2026DATA'!$G$25,"")</f>
        <v/>
      </c>
      <c r="W294" s="518" t="str">
        <f>IF(AND(_1="A-321N",'2026'!$K$4="CA",'2026'!$K$2=W271),'2026DATA'!$H$25,"")</f>
        <v/>
      </c>
      <c r="X294" s="518" t="str">
        <f>IF(AND(_1="A-321N",'2026'!$K$4="CA",'2026'!$K$2=X271),'2026DATA'!$I$25,"")</f>
        <v/>
      </c>
      <c r="Y294" s="518" t="str">
        <f>IF(AND(_1="A-321N",'2026'!$K$4="CA",'2026'!$K$2=Y271),'2026DATA'!$J$25,"")</f>
        <v/>
      </c>
      <c r="Z294" s="518" t="str">
        <f>IF(AND(_1="A-321N",'2026'!$K$4="CA",'2026'!$K$2=Z271),'2026DATA'!$K$25,"")</f>
        <v/>
      </c>
      <c r="AA294" s="518" t="str">
        <f>IF(AND(_1="A-321N",'2026'!$K$4="CA",'2026'!$K$2=AA271),'2026DATA'!$L$25,"")</f>
        <v/>
      </c>
      <c r="AB294" s="518" t="str">
        <f>IF(AND(_1="A-321N",'2026'!$K$4="CA",'2026'!$K$2=AB271),'2026DATA'!$M$25,"")</f>
        <v/>
      </c>
      <c r="AC294" s="520" t="str">
        <f>IF(AND(_1="A-321N",'2026'!$K$4="CA",'2026'!$K$2=AC271),'2026DATA'!$N$25,"")</f>
        <v/>
      </c>
      <c r="AD294" s="940" t="s">
        <v>46</v>
      </c>
      <c r="AE294" s="13" t="s">
        <v>61</v>
      </c>
      <c r="AF294" s="518" t="str">
        <f>IF(AND(_2="A-321N",'2026'!$K$4="CA",'2026'!$K$2=AF271),'2026DATA'!$C$25,"")</f>
        <v/>
      </c>
      <c r="AG294" s="518" t="str">
        <f>IF(AND(_2="A-321N",'2026'!$K$4="CA",'2026'!$K$2=AG271),'2026DATA'!$D$25,"")</f>
        <v/>
      </c>
      <c r="AH294" s="518" t="str">
        <f>IF(AND(_2="A-321N",'2026'!$K$4="CA",'2026'!$K$2=AH271),'2026DATA'!$E$25,"")</f>
        <v/>
      </c>
      <c r="AI294" s="518" t="str">
        <f>IF(AND(_2="A-321N",'2026'!$K$4="CA",'2026'!$K$2=AI271),'2026DATA'!$F$25,"")</f>
        <v/>
      </c>
      <c r="AJ294" s="518" t="str">
        <f>IF(AND(_2="A-321N",'2026'!$K$4="CA",'2026'!$K$2=AJ271),'2026DATA'!$G$25,"")</f>
        <v/>
      </c>
      <c r="AK294" s="518" t="str">
        <f>IF(AND(_2="A-321N",'2026'!$K$4="CA",'2026'!$K$2=AK271),'2026DATA'!$H$25,"")</f>
        <v/>
      </c>
      <c r="AL294" s="518" t="str">
        <f>IF(AND(_2="A-321N",'2026'!$K$4="CA",'2026'!$K$2=AL271),'2026DATA'!$I$25,"")</f>
        <v/>
      </c>
      <c r="AM294" s="518" t="str">
        <f>IF(AND(_2="A-321N",'2026'!$K$4="CA",'2026'!$K$2=AM271),'2026DATA'!$J$25,"")</f>
        <v/>
      </c>
      <c r="AN294" s="518" t="str">
        <f>IF(AND(_2="A-321N",'2026'!$K$4="CA",'2026'!$K$2=AN271),'2026DATA'!$K$25,"")</f>
        <v/>
      </c>
      <c r="AO294" s="518" t="str">
        <f>IF(AND(_2="A-321N",'2026'!$K$4="CA",'2026'!$K$2=AO271),'2026DATA'!$L$25,"")</f>
        <v/>
      </c>
      <c r="AP294" s="518" t="str">
        <f>IF(AND(_2="A-321N",'2026'!$K$4="CA",'2026'!$K$2=AP271),'2026DATA'!$M$25,"")</f>
        <v/>
      </c>
      <c r="AQ294" s="520" t="str">
        <f>IF(AND(_2="A-321N",'2026'!$K$4="CA",'2026'!$K$2=AQ271),'2026DATA'!$N$25,"")</f>
        <v/>
      </c>
      <c r="AR294" s="940" t="s">
        <v>46</v>
      </c>
      <c r="AS294" s="13" t="s">
        <v>61</v>
      </c>
      <c r="AT294" s="518" t="str">
        <f>IF(AND(_3="A-321N",'2026'!$K$4="CA",'2026'!$K$2=AT271),'2026DATA'!$C$25,"")</f>
        <v/>
      </c>
      <c r="AU294" s="518" t="str">
        <f>IF(AND(_3="A-321N",'2026'!$K$4="CA",'2026'!$K$2=AU271),'2026DATA'!$D$25,"")</f>
        <v/>
      </c>
      <c r="AV294" s="518" t="str">
        <f>IF(AND(_3="A-321N",'2026'!$K$4="CA",'2026'!$K$2=AV271),'2026DATA'!$E$25,"")</f>
        <v/>
      </c>
      <c r="AW294" s="518" t="str">
        <f>IF(AND(_3="A-321N",'2026'!$K$4="CA",'2026'!$K$2=AW271),'2026DATA'!$F$25,"")</f>
        <v/>
      </c>
      <c r="AX294" s="518" t="str">
        <f>IF(AND(_3="A-321N",'2026'!$K$4="CA",'2026'!$K$2=AX271),'2026DATA'!$G$25,"")</f>
        <v/>
      </c>
      <c r="AY294" s="518" t="str">
        <f>IF(AND(_3="A-321N",'2026'!$K$4="CA",'2026'!$K$2=AY271),'2026DATA'!$H$25,"")</f>
        <v/>
      </c>
      <c r="AZ294" s="518" t="str">
        <f>IF(AND(_3="A-321N",'2026'!$K$4="CA",'2026'!$K$2=AZ271),'2026DATA'!$I$25,"")</f>
        <v/>
      </c>
      <c r="BA294" s="518" t="str">
        <f>IF(AND(_3="A-321N",'2026'!$K$4="CA",'2026'!$K$2=BA271),'2026DATA'!$J$25,"")</f>
        <v/>
      </c>
      <c r="BB294" s="518" t="str">
        <f>IF(AND(_3="A-321N",'2026'!$K$4="CA",'2026'!$K$2=BB271),'2026DATA'!$K$25,"")</f>
        <v/>
      </c>
      <c r="BC294" s="518" t="str">
        <f>IF(AND(_3="A-321N",'2026'!$K$4="CA",'2026'!$K$2=BC271),'2026DATA'!$L$25,"")</f>
        <v/>
      </c>
      <c r="BD294" s="518" t="str">
        <f>IF(AND(_3="A-321N",'2026'!$K$4="CA",'2026'!$K$2=BD271),'2026DATA'!$M$25,"")</f>
        <v/>
      </c>
      <c r="BE294" s="520" t="str">
        <f>IF(AND(_3="A-321N",'2026'!$K$4="CA",'2026'!$K$2=BE271),'2026DATA'!$N$25,"")</f>
        <v/>
      </c>
      <c r="BF294" s="940" t="s">
        <v>46</v>
      </c>
      <c r="BG294" s="13" t="s">
        <v>61</v>
      </c>
      <c r="BH294" s="518" t="str">
        <f>IF(AND(_4="A-321N",'2026'!$K$4="CA",'2026'!$K$2=BH271),'2026DATA'!$C$25,"")</f>
        <v/>
      </c>
      <c r="BI294" s="518" t="str">
        <f>IF(AND(_4="A-321N",'2026'!$K$4="CA",'2026'!$K$2=BI271),'2026DATA'!$D$25,"")</f>
        <v/>
      </c>
      <c r="BJ294" s="518" t="str">
        <f>IF(AND(_4="A-321N",'2026'!$K$4="CA",'2026'!$K$2=BJ271),'2026DATA'!$E$25,"")</f>
        <v/>
      </c>
      <c r="BK294" s="518" t="str">
        <f>IF(AND(_4="A-321N",'2026'!$K$4="CA",'2026'!$K$2=BK271),'2026DATA'!$F$25,"")</f>
        <v/>
      </c>
      <c r="BL294" s="518" t="str">
        <f>IF(AND(_4="A-321N",'2026'!$K$4="CA",'2026'!$K$2=BL271),'2026DATA'!$G$25,"")</f>
        <v/>
      </c>
      <c r="BM294" s="518" t="str">
        <f>IF(AND(_4="A-321N",'2026'!$K$4="CA",'2026'!$K$2=BM271),'2026DATA'!$H$25,"")</f>
        <v/>
      </c>
      <c r="BN294" s="518" t="str">
        <f>IF(AND(_4="A-321N",'2026'!$K$4="CA",'2026'!$K$2=BN271),'2026DATA'!$I$25,"")</f>
        <v/>
      </c>
      <c r="BO294" s="518" t="str">
        <f>IF(AND(_4="A-321N",'2026'!$K$4="CA",'2026'!$K$2=BO271),'2026DATA'!$J$25,"")</f>
        <v/>
      </c>
      <c r="BP294" s="518" t="str">
        <f>IF(AND(_4="A-321N",'2026'!$K$4="CA",'2026'!$K$2=BP271),'2026DATA'!$K$25,"")</f>
        <v/>
      </c>
      <c r="BQ294" s="518" t="str">
        <f>IF(AND(_4="A-321N",'2026'!$K$4="CA",'2026'!$K$2=BQ271),'2026DATA'!$L$25,"")</f>
        <v/>
      </c>
      <c r="BR294" s="518" t="str">
        <f>IF(AND(_4="A-321N",'2026'!$K$4="CA",'2026'!$K$2=BR271),'2026DATA'!$M$25,"")</f>
        <v/>
      </c>
      <c r="BS294" s="520" t="str">
        <f>IF(AND(_4="A-321N",'2026'!$K$4="CA",'2026'!$K$2=BS271),'2026DATA'!$N$25,"")</f>
        <v/>
      </c>
      <c r="BT294" s="940" t="s">
        <v>46</v>
      </c>
      <c r="BU294" s="13" t="s">
        <v>61</v>
      </c>
      <c r="BV294" s="518" t="str">
        <f>IF(AND(_5="A-321N",'2026'!$K$4="CA",'2026'!$K$2=BV271),'2026DATA'!$C$25,"")</f>
        <v/>
      </c>
      <c r="BW294" s="518" t="str">
        <f>IF(AND(_5="A-321N",'2026'!$K$4="CA",'2026'!$K$2=BW271),'2026DATA'!$D$25,"")</f>
        <v/>
      </c>
      <c r="BX294" s="518" t="str">
        <f>IF(AND(_5="A-321N",'2026'!$K$4="CA",'2026'!$K$2=BX271),'2026DATA'!$E$25,"")</f>
        <v/>
      </c>
      <c r="BY294" s="518" t="str">
        <f>IF(AND(_5="A-321N",'2026'!$K$4="CA",'2026'!$K$2=BY271),'2026DATA'!$F$25,"")</f>
        <v/>
      </c>
      <c r="BZ294" s="518" t="str">
        <f>IF(AND(_5="A-321N",'2026'!$K$4="CA",'2026'!$K$2=BZ271),'2026DATA'!$G$25,"")</f>
        <v/>
      </c>
      <c r="CA294" s="518" t="str">
        <f>IF(AND(_5="A-321N",'2026'!$K$4="CA",'2026'!$K$2=CA271),'2026DATA'!$H$25,"")</f>
        <v/>
      </c>
      <c r="CB294" s="518" t="str">
        <f>IF(AND(_5="A-321N",'2026'!$K$4="CA",'2026'!$K$2=CB271),'2026DATA'!$I$25,"")</f>
        <v/>
      </c>
      <c r="CC294" s="518" t="str">
        <f>IF(AND(_5="A-321N",'2026'!$K$4="CA",'2026'!$K$2=CC271),'2026DATA'!$J$25,"")</f>
        <v/>
      </c>
      <c r="CD294" s="518" t="str">
        <f>IF(AND(_5="A-321N",'2026'!$K$4="CA",'2026'!$K$2=CD271),'2026DATA'!$K$25,"")</f>
        <v/>
      </c>
      <c r="CE294" s="518" t="str">
        <f>IF(AND(_5="A-321N",'2026'!$K$4="CA",'2026'!$K$2=CE271),'2026DATA'!$L$25,"")</f>
        <v/>
      </c>
      <c r="CF294" s="518" t="str">
        <f>IF(AND(_5="A-321N",'2026'!$K$4="CA",'2026'!$K$2=CF271),'2026DATA'!$M$25,"")</f>
        <v/>
      </c>
      <c r="CG294" s="520" t="str">
        <f>IF(AND(_5="A-321N",'2026'!$K$4="CA",'2026'!$K$2=CG271),'2026DATA'!$N$25,"")</f>
        <v/>
      </c>
      <c r="CH294" s="940" t="s">
        <v>46</v>
      </c>
      <c r="CI294" s="13" t="s">
        <v>61</v>
      </c>
      <c r="CJ294" s="518" t="str">
        <f>IF(AND(_6="A-321N",'2026'!$K$4="CA",'2026'!$K$2=CJ271),'2026DATA'!$C$25,"")</f>
        <v/>
      </c>
      <c r="CK294" s="518" t="str">
        <f>IF(AND(_6="A-321N",'2026'!$K$4="CA",'2026'!$K$2=CK271),'2026DATA'!$D$25,"")</f>
        <v/>
      </c>
      <c r="CL294" s="518" t="str">
        <f>IF(AND(_6="A-321N",'2026'!$K$4="CA",'2026'!$K$2=CL271),'2026DATA'!$E$25,"")</f>
        <v/>
      </c>
      <c r="CM294" s="518" t="str">
        <f>IF(AND(_6="A-321N",'2026'!$K$4="CA",'2026'!$K$2=CM271),'2026DATA'!$F$25,"")</f>
        <v/>
      </c>
      <c r="CN294" s="518" t="str">
        <f>IF(AND(_6="A-321N",'2026'!$K$4="CA",'2026'!$K$2=CN271),'2026DATA'!$G$25,"")</f>
        <v/>
      </c>
      <c r="CO294" s="518" t="str">
        <f>IF(AND(_6="A-321N",'2026'!$K$4="CA",'2026'!$K$2=CO271),'2026DATA'!$H$25,"")</f>
        <v/>
      </c>
      <c r="CP294" s="518" t="str">
        <f>IF(AND(_6="A-321N",'2026'!$K$4="CA",'2026'!$K$2=CP271),'2026DATA'!$I$25,"")</f>
        <v/>
      </c>
      <c r="CQ294" s="518" t="str">
        <f>IF(AND(_6="A-321N",'2026'!$K$4="CA",'2026'!$K$2=CQ271),'2026DATA'!$J$25,"")</f>
        <v/>
      </c>
      <c r="CR294" s="518" t="str">
        <f>IF(AND(_6="A-321N",'2026'!$K$4="CA",'2026'!$K$2=CR271),'2026DATA'!$K$25,"")</f>
        <v/>
      </c>
      <c r="CS294" s="518" t="str">
        <f>IF(AND(_6="A-321N",'2026'!$K$4="CA",'2026'!$K$2=CS271),'2026DATA'!$L$25,"")</f>
        <v/>
      </c>
      <c r="CT294" s="518" t="str">
        <f>IF(AND(_6="A-321N",'2026'!$K$4="CA",'2026'!$K$2=CT271),'2026DATA'!$M$25,"")</f>
        <v/>
      </c>
      <c r="CU294" s="520" t="str">
        <f>IF(AND(_6="A-321N",'2026'!$K$4="CA",'2026'!$K$2=CU271),'2026DATA'!$N$25,"")</f>
        <v/>
      </c>
    </row>
    <row r="295" spans="16:99" x14ac:dyDescent="0.25">
      <c r="P295" s="940"/>
      <c r="Q295" s="13" t="s">
        <v>62</v>
      </c>
      <c r="R295" s="518" t="str">
        <f>IF(AND(_1="A-321N",'2026'!$K$4="FO",'2026'!$K$2=R271),'2026DATA'!$C$26,"")</f>
        <v/>
      </c>
      <c r="S295" s="518" t="str">
        <f>IF(AND(_1="A-321N",'2026'!$K$4="FO",'2026'!$K$2=S271),'2026DATA'!$D$26,"")</f>
        <v/>
      </c>
      <c r="T295" s="518" t="str">
        <f>IF(AND(_1="A-321N",'2026'!$K$4="FO",'2026'!$K$2=T271),'2026DATA'!$E$26,"")</f>
        <v/>
      </c>
      <c r="U295" s="518" t="str">
        <f>IF(AND(_1="A-321N",'2026'!$K$4="FO",'2026'!$K$2=U271),'2026DATA'!$F$26,"")</f>
        <v/>
      </c>
      <c r="V295" s="518" t="str">
        <f>IF(AND(_1="A-321N",'2026'!$K$4="FO",'2026'!$K$2=V271),'2026DATA'!$G$26,"")</f>
        <v/>
      </c>
      <c r="W295" s="518" t="str">
        <f>IF(AND(_1="A-321N",'2026'!$K$4="FO",'2026'!$K$2=W271),'2026DATA'!$H$26,"")</f>
        <v/>
      </c>
      <c r="X295" s="518" t="str">
        <f>IF(AND(_1="A-321N",'2026'!$K$4="FO",'2026'!$K$2=X271),'2026DATA'!$I$26,"")</f>
        <v/>
      </c>
      <c r="Y295" s="518" t="str">
        <f>IF(AND(_1="A-321N",'2026'!$K$4="FO",'2026'!$K$2=Y271),'2026DATA'!$J$26,"")</f>
        <v/>
      </c>
      <c r="Z295" s="518" t="str">
        <f>IF(AND(_1="A-321N",'2026'!$K$4="FO",'2026'!$K$2=Z271),'2026DATA'!$K$26,"")</f>
        <v/>
      </c>
      <c r="AA295" s="518" t="str">
        <f>IF(AND(_1="A-321N",'2026'!$K$4="FO",'2026'!$K$2=AA271),'2026DATA'!$L$26,"")</f>
        <v/>
      </c>
      <c r="AB295" s="518" t="str">
        <f>IF(AND(_1="A-321N",'2026'!$K$4="FO",'2026'!$K$2=AB271),'2026DATA'!$M$26,"")</f>
        <v/>
      </c>
      <c r="AC295" s="520" t="str">
        <f>IF(AND(_1="A-321N",'2026'!$K$4="FO",'2026'!$K$2=AC271),'2026DATA'!$N$26,"")</f>
        <v/>
      </c>
      <c r="AD295" s="940"/>
      <c r="AE295" s="13" t="s">
        <v>62</v>
      </c>
      <c r="AF295" s="518" t="str">
        <f>IF(AND(_2="A-321N",'2026'!$K$4="FO",'2026'!$K$2=AF271),'2026DATA'!$C$26,"")</f>
        <v/>
      </c>
      <c r="AG295" s="518" t="str">
        <f>IF(AND(_2="A-321N",'2026'!$K$4="FO",'2026'!$K$2=AG271),'2026DATA'!$D$26,"")</f>
        <v/>
      </c>
      <c r="AH295" s="518" t="str">
        <f>IF(AND(_2="A-321N",'2026'!$K$4="FO",'2026'!$K$2=AH271),'2026DATA'!$E$26,"")</f>
        <v/>
      </c>
      <c r="AI295" s="518" t="str">
        <f>IF(AND(_2="A-321N",'2026'!$K$4="FO",'2026'!$K$2=AI271),'2026DATA'!$F$26,"")</f>
        <v/>
      </c>
      <c r="AJ295" s="518" t="str">
        <f>IF(AND(_2="A-321N",'2026'!$K$4="FO",'2026'!$K$2=AJ271),'2026DATA'!$G$26,"")</f>
        <v/>
      </c>
      <c r="AK295" s="518" t="str">
        <f>IF(AND(_2="A-321N",'2026'!$K$4="FO",'2026'!$K$2=AK271),'2026DATA'!$H$26,"")</f>
        <v/>
      </c>
      <c r="AL295" s="518" t="str">
        <f>IF(AND(_2="A-321N",'2026'!$K$4="FO",'2026'!$K$2=AL271),'2026DATA'!$I$26,"")</f>
        <v/>
      </c>
      <c r="AM295" s="518" t="str">
        <f>IF(AND(_2="A-321N",'2026'!$K$4="FO",'2026'!$K$2=AM271),'2026DATA'!$J$26,"")</f>
        <v/>
      </c>
      <c r="AN295" s="518" t="str">
        <f>IF(AND(_2="A-321N",'2026'!$K$4="FO",'2026'!$K$2=AN271),'2026DATA'!$K$26,"")</f>
        <v/>
      </c>
      <c r="AO295" s="518" t="str">
        <f>IF(AND(_2="A-321N",'2026'!$K$4="FO",'2026'!$K$2=AO271),'2026DATA'!$L$26,"")</f>
        <v/>
      </c>
      <c r="AP295" s="518" t="str">
        <f>IF(AND(_2="A-321N",'2026'!$K$4="FO",'2026'!$K$2=AP271),'2026DATA'!$M$26,"")</f>
        <v/>
      </c>
      <c r="AQ295" s="520" t="str">
        <f>IF(AND(_2="A-321N",'2026'!$K$4="FO",'2026'!$K$2=AQ271),'2026DATA'!$N$26,"")</f>
        <v/>
      </c>
      <c r="AR295" s="940"/>
      <c r="AS295" s="13" t="s">
        <v>62</v>
      </c>
      <c r="AT295" s="518" t="str">
        <f>IF(AND(_3="A-321N",'2026'!$K$4="FO",'2026'!$K$2=AT271),'2026DATA'!$C$26,"")</f>
        <v/>
      </c>
      <c r="AU295" s="518" t="str">
        <f>IF(AND(_3="A-321N",'2026'!$K$4="FO",'2026'!$K$2=AU271),'2026DATA'!$D$26,"")</f>
        <v/>
      </c>
      <c r="AV295" s="518" t="str">
        <f>IF(AND(_3="A-321N",'2026'!$K$4="FO",'2026'!$K$2=AV271),'2026DATA'!$E$26,"")</f>
        <v/>
      </c>
      <c r="AW295" s="518" t="str">
        <f>IF(AND(_3="A-321N",'2026'!$K$4="FO",'2026'!$K$2=AW271),'2026DATA'!$F$26,"")</f>
        <v/>
      </c>
      <c r="AX295" s="518" t="str">
        <f>IF(AND(_3="A-321N",'2026'!$K$4="FO",'2026'!$K$2=AX271),'2026DATA'!$G$26,"")</f>
        <v/>
      </c>
      <c r="AY295" s="518" t="str">
        <f>IF(AND(_3="A-321N",'2026'!$K$4="FO",'2026'!$K$2=AY271),'2026DATA'!$H$26,"")</f>
        <v/>
      </c>
      <c r="AZ295" s="518" t="str">
        <f>IF(AND(_3="A-321N",'2026'!$K$4="FO",'2026'!$K$2=AZ271),'2026DATA'!$I$26,"")</f>
        <v/>
      </c>
      <c r="BA295" s="518" t="str">
        <f>IF(AND(_3="A-321N",'2026'!$K$4="FO",'2026'!$K$2=BA271),'2026DATA'!$J$26,"")</f>
        <v/>
      </c>
      <c r="BB295" s="518" t="str">
        <f>IF(AND(_3="A-321N",'2026'!$K$4="FO",'2026'!$K$2=BB271),'2026DATA'!$K$26,"")</f>
        <v/>
      </c>
      <c r="BC295" s="518" t="str">
        <f>IF(AND(_3="A-321N",'2026'!$K$4="FO",'2026'!$K$2=BC271),'2026DATA'!$L$26,"")</f>
        <v/>
      </c>
      <c r="BD295" s="518" t="str">
        <f>IF(AND(_3="A-321N",'2026'!$K$4="FO",'2026'!$K$2=BD271),'2026DATA'!$M$26,"")</f>
        <v/>
      </c>
      <c r="BE295" s="520" t="str">
        <f>IF(AND(_3="A-321N",'2026'!$K$4="FO",'2026'!$K$2=BE271),'2026DATA'!$N$26,"")</f>
        <v/>
      </c>
      <c r="BF295" s="940"/>
      <c r="BG295" s="13" t="s">
        <v>62</v>
      </c>
      <c r="BH295" s="518" t="str">
        <f>IF(AND(_4="A-321N",'2026'!$K$4="FO",'2026'!$K$2=BH271),'2026DATA'!$C$26,"")</f>
        <v/>
      </c>
      <c r="BI295" s="518" t="str">
        <f>IF(AND(_4="A-321N",'2026'!$K$4="FO",'2026'!$K$2=BI271),'2026DATA'!$D$26,"")</f>
        <v/>
      </c>
      <c r="BJ295" s="518" t="str">
        <f>IF(AND(_4="A-321N",'2026'!$K$4="FO",'2026'!$K$2=BJ271),'2026DATA'!$E$26,"")</f>
        <v/>
      </c>
      <c r="BK295" s="518" t="str">
        <f>IF(AND(_4="A-321N",'2026'!$K$4="FO",'2026'!$K$2=BK271),'2026DATA'!$F$26,"")</f>
        <v/>
      </c>
      <c r="BL295" s="518" t="str">
        <f>IF(AND(_4="A-321N",'2026'!$K$4="FO",'2026'!$K$2=BL271),'2026DATA'!$G$26,"")</f>
        <v/>
      </c>
      <c r="BM295" s="518" t="str">
        <f>IF(AND(_4="A-321N",'2026'!$K$4="FO",'2026'!$K$2=BM271),'2026DATA'!$H$26,"")</f>
        <v/>
      </c>
      <c r="BN295" s="518" t="str">
        <f>IF(AND(_4="A-321N",'2026'!$K$4="FO",'2026'!$K$2=BN271),'2026DATA'!$I$26,"")</f>
        <v/>
      </c>
      <c r="BO295" s="518" t="str">
        <f>IF(AND(_4="A-321N",'2026'!$K$4="FO",'2026'!$K$2=BO271),'2026DATA'!$J$26,"")</f>
        <v/>
      </c>
      <c r="BP295" s="518" t="str">
        <f>IF(AND(_4="A-321N",'2026'!$K$4="FO",'2026'!$K$2=BP271),'2026DATA'!$K$26,"")</f>
        <v/>
      </c>
      <c r="BQ295" s="518" t="str">
        <f>IF(AND(_4="A-321N",'2026'!$K$4="FO",'2026'!$K$2=BQ271),'2026DATA'!$L$26,"")</f>
        <v/>
      </c>
      <c r="BR295" s="518" t="str">
        <f>IF(AND(_4="A-321N",'2026'!$K$4="FO",'2026'!$K$2=BR271),'2026DATA'!$M$26,"")</f>
        <v/>
      </c>
      <c r="BS295" s="520" t="str">
        <f>IF(AND(_4="A-321N",'2026'!$K$4="FO",'2026'!$K$2=BS271),'2026DATA'!$N$26,"")</f>
        <v/>
      </c>
      <c r="BT295" s="940"/>
      <c r="BU295" s="13" t="s">
        <v>62</v>
      </c>
      <c r="BV295" s="518" t="str">
        <f>IF(AND(_5="A-321N",'2026'!$K$4="FO",'2026'!$K$2=BV271),'2026DATA'!$C$26,"")</f>
        <v/>
      </c>
      <c r="BW295" s="518" t="str">
        <f>IF(AND(_5="A-321N",'2026'!$K$4="FO",'2026'!$K$2=BW271),'2026DATA'!$D$26,"")</f>
        <v/>
      </c>
      <c r="BX295" s="518" t="str">
        <f>IF(AND(_5="A-321N",'2026'!$K$4="FO",'2026'!$K$2=BX271),'2026DATA'!$E$26,"")</f>
        <v/>
      </c>
      <c r="BY295" s="518" t="str">
        <f>IF(AND(_5="A-321N",'2026'!$K$4="FO",'2026'!$K$2=BY271),'2026DATA'!$F$26,"")</f>
        <v/>
      </c>
      <c r="BZ295" s="518" t="str">
        <f>IF(AND(_5="A-321N",'2026'!$K$4="FO",'2026'!$K$2=BZ271),'2026DATA'!$G$26,"")</f>
        <v/>
      </c>
      <c r="CA295" s="518" t="str">
        <f>IF(AND(_5="A-321N",'2026'!$K$4="FO",'2026'!$K$2=CA271),'2026DATA'!$H$26,"")</f>
        <v/>
      </c>
      <c r="CB295" s="518" t="str">
        <f>IF(AND(_5="A-321N",'2026'!$K$4="FO",'2026'!$K$2=CB271),'2026DATA'!$I$26,"")</f>
        <v/>
      </c>
      <c r="CC295" s="518" t="str">
        <f>IF(AND(_5="A-321N",'2026'!$K$4="FO",'2026'!$K$2=CC271),'2026DATA'!$J$26,"")</f>
        <v/>
      </c>
      <c r="CD295" s="518" t="str">
        <f>IF(AND(_5="A-321N",'2026'!$K$4="FO",'2026'!$K$2=CD271),'2026DATA'!$K$26,"")</f>
        <v/>
      </c>
      <c r="CE295" s="518" t="str">
        <f>IF(AND(_5="A-321N",'2026'!$K$4="FO",'2026'!$K$2=CE271),'2026DATA'!$L$26,"")</f>
        <v/>
      </c>
      <c r="CF295" s="518" t="str">
        <f>IF(AND(_5="A-321N",'2026'!$K$4="FO",'2026'!$K$2=CF271),'2026DATA'!$M$26,"")</f>
        <v/>
      </c>
      <c r="CG295" s="520" t="str">
        <f>IF(AND(_5="A-321N",'2026'!$K$4="FO",'2026'!$K$2=CG271),'2026DATA'!$N$26,"")</f>
        <v/>
      </c>
      <c r="CH295" s="940"/>
      <c r="CI295" s="13" t="s">
        <v>62</v>
      </c>
      <c r="CJ295" s="518" t="str">
        <f>IF(AND(_6="A-321N",'2026'!$K$4="FO",'2026'!$K$2=CJ271),'2026DATA'!$C$26,"")</f>
        <v/>
      </c>
      <c r="CK295" s="518" t="str">
        <f>IF(AND(_6="A-321N",'2026'!$K$4="FO",'2026'!$K$2=CK271),'2026DATA'!$D$26,"")</f>
        <v/>
      </c>
      <c r="CL295" s="518" t="str">
        <f>IF(AND(_6="A-321N",'2026'!$K$4="FO",'2026'!$K$2=CL271),'2026DATA'!$E$26,"")</f>
        <v/>
      </c>
      <c r="CM295" s="518" t="str">
        <f>IF(AND(_6="A-321N",'2026'!$K$4="FO",'2026'!$K$2=CM271),'2026DATA'!$F$26,"")</f>
        <v/>
      </c>
      <c r="CN295" s="518" t="str">
        <f>IF(AND(_6="A-321N",'2026'!$K$4="FO",'2026'!$K$2=CN271),'2026DATA'!$G$26,"")</f>
        <v/>
      </c>
      <c r="CO295" s="518" t="str">
        <f>IF(AND(_6="A-321N",'2026'!$K$4="FO",'2026'!$K$2=CO271),'2026DATA'!$H$26,"")</f>
        <v/>
      </c>
      <c r="CP295" s="518" t="str">
        <f>IF(AND(_6="A-321N",'2026'!$K$4="FO",'2026'!$K$2=CP271),'2026DATA'!$I$26,"")</f>
        <v/>
      </c>
      <c r="CQ295" s="518" t="str">
        <f>IF(AND(_6="A-321N",'2026'!$K$4="FO",'2026'!$K$2=CQ271),'2026DATA'!$J$26,"")</f>
        <v/>
      </c>
      <c r="CR295" s="518" t="str">
        <f>IF(AND(_6="A-321N",'2026'!$K$4="FO",'2026'!$K$2=CR271),'2026DATA'!$K$26,"")</f>
        <v/>
      </c>
      <c r="CS295" s="518" t="str">
        <f>IF(AND(_6="A-321N",'2026'!$K$4="FO",'2026'!$K$2=CS271),'2026DATA'!$L$26,"")</f>
        <v/>
      </c>
      <c r="CT295" s="518" t="str">
        <f>IF(AND(_6="A-321N",'2026'!$K$4="FO",'2026'!$K$2=CT271),'2026DATA'!$M$26,"")</f>
        <v/>
      </c>
      <c r="CU295" s="520" t="str">
        <f>IF(AND(_6="A-321N",'2026'!$K$4="FO",'2026'!$K$2=CU271),'2026DATA'!$N$26,"")</f>
        <v/>
      </c>
    </row>
    <row r="296" spans="16:99" x14ac:dyDescent="0.25">
      <c r="P296" s="940" t="s">
        <v>48</v>
      </c>
      <c r="Q296" s="13" t="s">
        <v>61</v>
      </c>
      <c r="R296" s="518" t="str">
        <f>IF(AND(_1="A-321",'2026'!$K$4="CA",'2026'!$K$2=R271),'2026DATA'!$C$27,"")</f>
        <v/>
      </c>
      <c r="S296" s="518" t="str">
        <f>IF(AND(_1="A-321",'2026'!$K$4="CA",'2026'!$K$2=S271),'2026DATA'!$D$27,"")</f>
        <v/>
      </c>
      <c r="T296" s="518" t="str">
        <f>IF(AND(_1="A-321",'2026'!$K$4="CA",'2026'!$K$2=T271),'2026DATA'!$E$27,"")</f>
        <v/>
      </c>
      <c r="U296" s="518" t="str">
        <f>IF(AND(_1="A-321",'2026'!$K$4="CA",'2026'!$K$2=U271),'2026DATA'!$F$27,"")</f>
        <v/>
      </c>
      <c r="V296" s="518" t="str">
        <f>IF(AND(_1="A-321",'2026'!$K$4="CA",'2026'!$K$2=V271),'2026DATA'!$G$27,"")</f>
        <v/>
      </c>
      <c r="W296" s="518" t="str">
        <f>IF(AND(_1="A-321",'2026'!$K$4="CA",'2026'!$K$2=W271),'2026DATA'!$H$27,"")</f>
        <v/>
      </c>
      <c r="X296" s="518" t="str">
        <f>IF(AND(_1="A-321",'2026'!$K$4="CA",'2026'!$K$2=X271),'2026DATA'!$I$27,"")</f>
        <v/>
      </c>
      <c r="Y296" s="518" t="str">
        <f>IF(AND(_1="A-321",'2026'!$K$4="CA",'2026'!$K$2=Y271),'2026DATA'!$J$27,"")</f>
        <v/>
      </c>
      <c r="Z296" s="518" t="str">
        <f>IF(AND(_1="A-321",'2026'!$K$4="CA",'2026'!$K$2=Z271),'2026DATA'!$K$27,"")</f>
        <v/>
      </c>
      <c r="AA296" s="518" t="str">
        <f>IF(AND(_1="A-321",'2026'!$K$4="CA",'2026'!$K$2=AA271),'2026DATA'!$L$27,"")</f>
        <v/>
      </c>
      <c r="AB296" s="518" t="str">
        <f>IF(AND(_1="A-321",'2026'!$K$4="CA",'2026'!$K$2=AB271),'2026DATA'!$M$27,"")</f>
        <v/>
      </c>
      <c r="AC296" s="520" t="str">
        <f>IF(AND(_1="A-321",'2026'!$K$4="CA",'2026'!$K$2=AC271),'2026DATA'!$N$27,"")</f>
        <v/>
      </c>
      <c r="AD296" s="940" t="s">
        <v>48</v>
      </c>
      <c r="AE296" s="13" t="s">
        <v>61</v>
      </c>
      <c r="AF296" s="518" t="str">
        <f>IF(AND(_2="A-321",'2026'!$K$4="CA",'2026'!$K$2=AF271),'2026DATA'!$C$27,"")</f>
        <v/>
      </c>
      <c r="AG296" s="518" t="str">
        <f>IF(AND(_2="A-321",'2026'!$K$4="CA",'2026'!$K$2=AG271),'2026DATA'!$D$27,"")</f>
        <v/>
      </c>
      <c r="AH296" s="518" t="str">
        <f>IF(AND(_2="A-321",'2026'!$K$4="CA",'2026'!$K$2=AH271),'2026DATA'!$E$27,"")</f>
        <v/>
      </c>
      <c r="AI296" s="518" t="str">
        <f>IF(AND(_2="A-321",'2026'!$K$4="CA",'2026'!$K$2=AI271),'2026DATA'!$F$27,"")</f>
        <v/>
      </c>
      <c r="AJ296" s="518" t="str">
        <f>IF(AND(_2="A-321",'2026'!$K$4="CA",'2026'!$K$2=AJ271),'2026DATA'!$G$27,"")</f>
        <v/>
      </c>
      <c r="AK296" s="518" t="str">
        <f>IF(AND(_2="A-321",'2026'!$K$4="CA",'2026'!$K$2=AK271),'2026DATA'!$H$27,"")</f>
        <v/>
      </c>
      <c r="AL296" s="518" t="str">
        <f>IF(AND(_2="A-321",'2026'!$K$4="CA",'2026'!$K$2=AL271),'2026DATA'!$I$27,"")</f>
        <v/>
      </c>
      <c r="AM296" s="518" t="str">
        <f>IF(AND(_2="A-321",'2026'!$K$4="CA",'2026'!$K$2=AM271),'2026DATA'!$J$27,"")</f>
        <v/>
      </c>
      <c r="AN296" s="518" t="str">
        <f>IF(AND(_2="A-321",'2026'!$K$4="CA",'2026'!$K$2=AN271),'2026DATA'!$K$27,"")</f>
        <v/>
      </c>
      <c r="AO296" s="518" t="str">
        <f>IF(AND(_2="A-321",'2026'!$K$4="CA",'2026'!$K$2=AO271),'2026DATA'!$L$27,"")</f>
        <v/>
      </c>
      <c r="AP296" s="518" t="str">
        <f>IF(AND(_2="A-321",'2026'!$K$4="CA",'2026'!$K$2=AP271),'2026DATA'!$M$27,"")</f>
        <v/>
      </c>
      <c r="AQ296" s="520" t="str">
        <f>IF(AND(_2="A-321",'2026'!$K$4="CA",'2026'!$K$2=AQ271),'2026DATA'!$N$27,"")</f>
        <v/>
      </c>
      <c r="AR296" s="940" t="s">
        <v>48</v>
      </c>
      <c r="AS296" s="13" t="s">
        <v>61</v>
      </c>
      <c r="AT296" s="518" t="str">
        <f>IF(AND(_3="A-321",'2026'!$K$4="CA",'2026'!$K$2=AT271),'2026DATA'!$C$27,"")</f>
        <v/>
      </c>
      <c r="AU296" s="518" t="str">
        <f>IF(AND(_3="A-321",'2026'!$K$4="CA",'2026'!$K$2=AU271),'2026DATA'!$D$27,"")</f>
        <v/>
      </c>
      <c r="AV296" s="518" t="str">
        <f>IF(AND(_3="A-321",'2026'!$K$4="CA",'2026'!$K$2=AV271),'2026DATA'!$E$27,"")</f>
        <v/>
      </c>
      <c r="AW296" s="518" t="str">
        <f>IF(AND(_3="A-321",'2026'!$K$4="CA",'2026'!$K$2=AW271),'2026DATA'!$F$27,"")</f>
        <v/>
      </c>
      <c r="AX296" s="518" t="str">
        <f>IF(AND(_3="A-321",'2026'!$K$4="CA",'2026'!$K$2=AX271),'2026DATA'!$G$27,"")</f>
        <v/>
      </c>
      <c r="AY296" s="518" t="str">
        <f>IF(AND(_3="A-321",'2026'!$K$4="CA",'2026'!$K$2=AY271),'2026DATA'!$H$27,"")</f>
        <v/>
      </c>
      <c r="AZ296" s="518" t="str">
        <f>IF(AND(_3="A-321",'2026'!$K$4="CA",'2026'!$K$2=AZ271),'2026DATA'!$I$27,"")</f>
        <v/>
      </c>
      <c r="BA296" s="518" t="str">
        <f>IF(AND(_3="A-321",'2026'!$K$4="CA",'2026'!$K$2=BA271),'2026DATA'!$J$27,"")</f>
        <v/>
      </c>
      <c r="BB296" s="518" t="str">
        <f>IF(AND(_3="A-321",'2026'!$K$4="CA",'2026'!$K$2=BB271),'2026DATA'!$K$27,"")</f>
        <v/>
      </c>
      <c r="BC296" s="518" t="str">
        <f>IF(AND(_3="A-321",'2026'!$K$4="CA",'2026'!$K$2=BC271),'2026DATA'!$L$27,"")</f>
        <v/>
      </c>
      <c r="BD296" s="518" t="str">
        <f>IF(AND(_3="A-321",'2026'!$K$4="CA",'2026'!$K$2=BD271),'2026DATA'!$M$27,"")</f>
        <v/>
      </c>
      <c r="BE296" s="520" t="str">
        <f>IF(AND(_3="A-321",'2026'!$K$4="CA",'2026'!$K$2=BE271),'2026DATA'!$N$27,"")</f>
        <v/>
      </c>
      <c r="BF296" s="940" t="s">
        <v>48</v>
      </c>
      <c r="BG296" s="13" t="s">
        <v>61</v>
      </c>
      <c r="BH296" s="518" t="str">
        <f>IF(AND(_4="A-321",'2026'!$K$4="CA",'2026'!$K$2=BH271),'2026DATA'!$C$27,"")</f>
        <v/>
      </c>
      <c r="BI296" s="518" t="str">
        <f>IF(AND(_4="A-321",'2026'!$K$4="CA",'2026'!$K$2=BI271),'2026DATA'!$D$27,"")</f>
        <v/>
      </c>
      <c r="BJ296" s="518" t="str">
        <f>IF(AND(_4="A-321",'2026'!$K$4="CA",'2026'!$K$2=BJ271),'2026DATA'!$E$27,"")</f>
        <v/>
      </c>
      <c r="BK296" s="518" t="str">
        <f>IF(AND(_4="A-321",'2026'!$K$4="CA",'2026'!$K$2=BK271),'2026DATA'!$F$27,"")</f>
        <v/>
      </c>
      <c r="BL296" s="518" t="str">
        <f>IF(AND(_4="A-321",'2026'!$K$4="CA",'2026'!$K$2=BL271),'2026DATA'!$G$27,"")</f>
        <v/>
      </c>
      <c r="BM296" s="518" t="str">
        <f>IF(AND(_4="A-321",'2026'!$K$4="CA",'2026'!$K$2=BM271),'2026DATA'!$H$27,"")</f>
        <v/>
      </c>
      <c r="BN296" s="518" t="str">
        <f>IF(AND(_4="A-321",'2026'!$K$4="CA",'2026'!$K$2=BN271),'2026DATA'!$I$27,"")</f>
        <v/>
      </c>
      <c r="BO296" s="518" t="str">
        <f>IF(AND(_4="A-321",'2026'!$K$4="CA",'2026'!$K$2=BO271),'2026DATA'!$J$27,"")</f>
        <v/>
      </c>
      <c r="BP296" s="518" t="str">
        <f>IF(AND(_4="A-321",'2026'!$K$4="CA",'2026'!$K$2=BP271),'2026DATA'!$K$27,"")</f>
        <v/>
      </c>
      <c r="BQ296" s="518" t="str">
        <f>IF(AND(_4="A-321",'2026'!$K$4="CA",'2026'!$K$2=BQ271),'2026DATA'!$L$27,"")</f>
        <v/>
      </c>
      <c r="BR296" s="518" t="str">
        <f>IF(AND(_4="A-321",'2026'!$K$4="CA",'2026'!$K$2=BR271),'2026DATA'!$M$27,"")</f>
        <v/>
      </c>
      <c r="BS296" s="520" t="str">
        <f>IF(AND(_4="A-321",'2026'!$K$4="CA",'2026'!$K$2=BS271),'2026DATA'!$N$27,"")</f>
        <v/>
      </c>
      <c r="BT296" s="940" t="s">
        <v>48</v>
      </c>
      <c r="BU296" s="13" t="s">
        <v>61</v>
      </c>
      <c r="BV296" s="518" t="str">
        <f>IF(AND(_5="A-321",'2026'!$K$4="CA",'2026'!$K$2=BV271),'2026DATA'!$C$27,"")</f>
        <v/>
      </c>
      <c r="BW296" s="518" t="str">
        <f>IF(AND(_5="A-321",'2026'!$K$4="CA",'2026'!$K$2=BW271),'2026DATA'!$D$27,"")</f>
        <v/>
      </c>
      <c r="BX296" s="518" t="str">
        <f>IF(AND(_5="A-321",'2026'!$K$4="CA",'2026'!$K$2=BX271),'2026DATA'!$E$27,"")</f>
        <v/>
      </c>
      <c r="BY296" s="518" t="str">
        <f>IF(AND(_5="A-321",'2026'!$K$4="CA",'2026'!$K$2=BY271),'2026DATA'!$F$27,"")</f>
        <v/>
      </c>
      <c r="BZ296" s="518" t="str">
        <f>IF(AND(_5="A-321",'2026'!$K$4="CA",'2026'!$K$2=BZ271),'2026DATA'!$G$27,"")</f>
        <v/>
      </c>
      <c r="CA296" s="518" t="str">
        <f>IF(AND(_5="A-321",'2026'!$K$4="CA",'2026'!$K$2=CA271),'2026DATA'!$H$27,"")</f>
        <v/>
      </c>
      <c r="CB296" s="518" t="str">
        <f>IF(AND(_5="A-321",'2026'!$K$4="CA",'2026'!$K$2=CB271),'2026DATA'!$I$27,"")</f>
        <v/>
      </c>
      <c r="CC296" s="518" t="str">
        <f>IF(AND(_5="A-321",'2026'!$K$4="CA",'2026'!$K$2=CC271),'2026DATA'!$J$27,"")</f>
        <v/>
      </c>
      <c r="CD296" s="518" t="str">
        <f>IF(AND(_5="A-321",'2026'!$K$4="CA",'2026'!$K$2=CD271),'2026DATA'!$K$27,"")</f>
        <v/>
      </c>
      <c r="CE296" s="518" t="str">
        <f>IF(AND(_5="A-321",'2026'!$K$4="CA",'2026'!$K$2=CE271),'2026DATA'!$L$27,"")</f>
        <v/>
      </c>
      <c r="CF296" s="518" t="str">
        <f>IF(AND(_5="A-321",'2026'!$K$4="CA",'2026'!$K$2=CF271),'2026DATA'!$M$27,"")</f>
        <v/>
      </c>
      <c r="CG296" s="520" t="str">
        <f>IF(AND(_5="A-321",'2026'!$K$4="CA",'2026'!$K$2=CG271),'2026DATA'!$N$27,"")</f>
        <v/>
      </c>
      <c r="CH296" s="940" t="s">
        <v>48</v>
      </c>
      <c r="CI296" s="13" t="s">
        <v>61</v>
      </c>
      <c r="CJ296" s="518" t="str">
        <f>IF(AND(_6="A-321",'2026'!$K$4="CA",'2026'!$K$2=CJ271),'2026DATA'!$C$27,"")</f>
        <v/>
      </c>
      <c r="CK296" s="518" t="str">
        <f>IF(AND(_6="A-321",'2026'!$K$4="CA",'2026'!$K$2=CK271),'2026DATA'!$D$27,"")</f>
        <v/>
      </c>
      <c r="CL296" s="518" t="str">
        <f>IF(AND(_6="A-321",'2026'!$K$4="CA",'2026'!$K$2=CL271),'2026DATA'!$E$27,"")</f>
        <v/>
      </c>
      <c r="CM296" s="518" t="str">
        <f>IF(AND(_6="A-321",'2026'!$K$4="CA",'2026'!$K$2=CM271),'2026DATA'!$F$27,"")</f>
        <v/>
      </c>
      <c r="CN296" s="518" t="str">
        <f>IF(AND(_6="A-321",'2026'!$K$4="CA",'2026'!$K$2=CN271),'2026DATA'!$G$27,"")</f>
        <v/>
      </c>
      <c r="CO296" s="518" t="str">
        <f>IF(AND(_6="A-321",'2026'!$K$4="CA",'2026'!$K$2=CO271),'2026DATA'!$H$27,"")</f>
        <v/>
      </c>
      <c r="CP296" s="518" t="str">
        <f>IF(AND(_6="A-321",'2026'!$K$4="CA",'2026'!$K$2=CP271),'2026DATA'!$I$27,"")</f>
        <v/>
      </c>
      <c r="CQ296" s="518" t="str">
        <f>IF(AND(_6="A-321",'2026'!$K$4="CA",'2026'!$K$2=CQ271),'2026DATA'!$J$27,"")</f>
        <v/>
      </c>
      <c r="CR296" s="518" t="str">
        <f>IF(AND(_6="A-321",'2026'!$K$4="CA",'2026'!$K$2=CR271),'2026DATA'!$K$27,"")</f>
        <v/>
      </c>
      <c r="CS296" s="518" t="str">
        <f>IF(AND(_6="A-321",'2026'!$K$4="CA",'2026'!$K$2=CS271),'2026DATA'!$L$27,"")</f>
        <v/>
      </c>
      <c r="CT296" s="518" t="str">
        <f>IF(AND(_6="A-321",'2026'!$K$4="CA",'2026'!$K$2=CT271),'2026DATA'!$M$27,"")</f>
        <v/>
      </c>
      <c r="CU296" s="520" t="str">
        <f>IF(AND(_6="A-321",'2026'!$K$4="CA",'2026'!$K$2=CU271),'2026DATA'!$N$27,"")</f>
        <v/>
      </c>
    </row>
    <row r="297" spans="16:99" x14ac:dyDescent="0.25">
      <c r="P297" s="940"/>
      <c r="Q297" s="13" t="s">
        <v>62</v>
      </c>
      <c r="R297" s="518" t="str">
        <f>IF(AND(_1="A-321",'2026'!$K$4="FO",'2026'!$K$2=R271),'2026DATA'!$C$28,"")</f>
        <v/>
      </c>
      <c r="S297" s="518" t="str">
        <f>IF(AND(_1="A-321",'2026'!$K$4="FO",'2026'!$K$2=S271),'2026DATA'!$D$28,"")</f>
        <v/>
      </c>
      <c r="T297" s="518" t="str">
        <f>IF(AND(_1="A-321",'2026'!$K$4="FO",'2026'!$K$2=T271),'2026DATA'!$E$28,"")</f>
        <v/>
      </c>
      <c r="U297" s="518" t="str">
        <f>IF(AND(_1="A-321",'2026'!$K$4="FO",'2026'!$K$2=U271),'2026DATA'!$F$28,"")</f>
        <v/>
      </c>
      <c r="V297" s="518" t="str">
        <f>IF(AND(_1="A-321",'2026'!$K$4="FO",'2026'!$K$2=V271),'2026DATA'!$G$28,"")</f>
        <v/>
      </c>
      <c r="W297" s="518" t="str">
        <f>IF(AND(_1="A-321",'2026'!$K$4="FO",'2026'!$K$2=W271),'2026DATA'!$H$28,"")</f>
        <v/>
      </c>
      <c r="X297" s="518" t="str">
        <f>IF(AND(_1="A-321",'2026'!$K$4="FO",'2026'!$K$2=X271),'2026DATA'!$I$28,"")</f>
        <v/>
      </c>
      <c r="Y297" s="518" t="str">
        <f>IF(AND(_1="A-321",'2026'!$K$4="FO",'2026'!$K$2=Y271),'2026DATA'!$J$28,"")</f>
        <v/>
      </c>
      <c r="Z297" s="518" t="str">
        <f>IF(AND(_1="A-321",'2026'!$K$4="FO",'2026'!$K$2=Z271),'2026DATA'!$K$28,"")</f>
        <v/>
      </c>
      <c r="AA297" s="518" t="str">
        <f>IF(AND(_1="A-321",'2026'!$K$4="FO",'2026'!$K$2=AA271),'2026DATA'!$L$28,"")</f>
        <v/>
      </c>
      <c r="AB297" s="518" t="str">
        <f>IF(AND(_1="A-321",'2026'!$K$4="FO",'2026'!$K$2=AB271),'2026DATA'!$M$28,"")</f>
        <v/>
      </c>
      <c r="AC297" s="520" t="str">
        <f>IF(AND(_1="A-321",'2026'!$K$4="FO",'2026'!$K$2=AC271),'2026DATA'!$N$28,"")</f>
        <v/>
      </c>
      <c r="AD297" s="940"/>
      <c r="AE297" s="13" t="s">
        <v>62</v>
      </c>
      <c r="AF297" s="518" t="str">
        <f>IF(AND(_2="A-321",'2026'!$K$4="FO",'2026'!$K$2=AF271),'2026DATA'!$C$28,"")</f>
        <v/>
      </c>
      <c r="AG297" s="518" t="str">
        <f>IF(AND(_2="A-321",'2026'!$K$4="FO",'2026'!$K$2=AG271),'2026DATA'!$D$28,"")</f>
        <v/>
      </c>
      <c r="AH297" s="518" t="str">
        <f>IF(AND(_2="A-321",'2026'!$K$4="FO",'2026'!$K$2=AH271),'2026DATA'!$E$28,"")</f>
        <v/>
      </c>
      <c r="AI297" s="518" t="str">
        <f>IF(AND(_2="A-321",'2026'!$K$4="FO",'2026'!$K$2=AI271),'2026DATA'!$F$28,"")</f>
        <v/>
      </c>
      <c r="AJ297" s="518" t="str">
        <f>IF(AND(_2="A-321",'2026'!$K$4="FO",'2026'!$K$2=AJ271),'2026DATA'!$G$28,"")</f>
        <v/>
      </c>
      <c r="AK297" s="518" t="str">
        <f>IF(AND(_2="A-321",'2026'!$K$4="FO",'2026'!$K$2=AK271),'2026DATA'!$H$28,"")</f>
        <v/>
      </c>
      <c r="AL297" s="518" t="str">
        <f>IF(AND(_2="A-321",'2026'!$K$4="FO",'2026'!$K$2=AL271),'2026DATA'!$I$28,"")</f>
        <v/>
      </c>
      <c r="AM297" s="518" t="str">
        <f>IF(AND(_2="A-321",'2026'!$K$4="FO",'2026'!$K$2=AM271),'2026DATA'!$J$28,"")</f>
        <v/>
      </c>
      <c r="AN297" s="518" t="str">
        <f>IF(AND(_2="A-321",'2026'!$K$4="FO",'2026'!$K$2=AN271),'2026DATA'!$K$28,"")</f>
        <v/>
      </c>
      <c r="AO297" s="518" t="str">
        <f>IF(AND(_2="A-321",'2026'!$K$4="FO",'2026'!$K$2=AO271),'2026DATA'!$L$28,"")</f>
        <v/>
      </c>
      <c r="AP297" s="518" t="str">
        <f>IF(AND(_2="A-321",'2026'!$K$4="FO",'2026'!$K$2=AP271),'2026DATA'!$M$28,"")</f>
        <v/>
      </c>
      <c r="AQ297" s="520" t="str">
        <f>IF(AND(_2="A-321",'2026'!$K$4="FO",'2026'!$K$2=AQ271),'2026DATA'!$N$28,"")</f>
        <v/>
      </c>
      <c r="AR297" s="940"/>
      <c r="AS297" s="13" t="s">
        <v>62</v>
      </c>
      <c r="AT297" s="518" t="str">
        <f>IF(AND(_3="A-321",'2026'!$K$4="FO",'2026'!$K$2=AT271),'2026DATA'!$C$28,"")</f>
        <v/>
      </c>
      <c r="AU297" s="518" t="str">
        <f>IF(AND(_3="A-321",'2026'!$K$4="FO",'2026'!$K$2=AU271),'2026DATA'!$D$28,"")</f>
        <v/>
      </c>
      <c r="AV297" s="518" t="str">
        <f>IF(AND(_3="A-321",'2026'!$K$4="FO",'2026'!$K$2=AV271),'2026DATA'!$E$28,"")</f>
        <v/>
      </c>
      <c r="AW297" s="518" t="str">
        <f>IF(AND(_3="A-321",'2026'!$K$4="FO",'2026'!$K$2=AW271),'2026DATA'!$F$28,"")</f>
        <v/>
      </c>
      <c r="AX297" s="518" t="str">
        <f>IF(AND(_3="A-321",'2026'!$K$4="FO",'2026'!$K$2=AX271),'2026DATA'!$G$28,"")</f>
        <v/>
      </c>
      <c r="AY297" s="518" t="str">
        <f>IF(AND(_3="A-321",'2026'!$K$4="FO",'2026'!$K$2=AY271),'2026DATA'!$H$28,"")</f>
        <v/>
      </c>
      <c r="AZ297" s="518" t="str">
        <f>IF(AND(_3="A-321",'2026'!$K$4="FO",'2026'!$K$2=AZ271),'2026DATA'!$I$28,"")</f>
        <v/>
      </c>
      <c r="BA297" s="518" t="str">
        <f>IF(AND(_3="A-321",'2026'!$K$4="FO",'2026'!$K$2=BA271),'2026DATA'!$J$28,"")</f>
        <v/>
      </c>
      <c r="BB297" s="518" t="str">
        <f>IF(AND(_3="A-321",'2026'!$K$4="FO",'2026'!$K$2=BB271),'2026DATA'!$K$28,"")</f>
        <v/>
      </c>
      <c r="BC297" s="518" t="str">
        <f>IF(AND(_3="A-321",'2026'!$K$4="FO",'2026'!$K$2=BC271),'2026DATA'!$L$28,"")</f>
        <v/>
      </c>
      <c r="BD297" s="518" t="str">
        <f>IF(AND(_3="A-321",'2026'!$K$4="FO",'2026'!$K$2=BD271),'2026DATA'!$M$28,"")</f>
        <v/>
      </c>
      <c r="BE297" s="520" t="str">
        <f>IF(AND(_3="A-321",'2026'!$K$4="FO",'2026'!$K$2=BE271),'2026DATA'!$N$28,"")</f>
        <v/>
      </c>
      <c r="BF297" s="940"/>
      <c r="BG297" s="13" t="s">
        <v>62</v>
      </c>
      <c r="BH297" s="518" t="str">
        <f>IF(AND(_4="A-321",'2026'!$K$4="FO",'2026'!$K$2=BH271),'2026DATA'!$C$28,"")</f>
        <v/>
      </c>
      <c r="BI297" s="518" t="str">
        <f>IF(AND(_4="A-321",'2026'!$K$4="FO",'2026'!$K$2=BI271),'2026DATA'!$D$28,"")</f>
        <v/>
      </c>
      <c r="BJ297" s="518" t="str">
        <f>IF(AND(_4="A-321",'2026'!$K$4="FO",'2026'!$K$2=BJ271),'2026DATA'!$E$28,"")</f>
        <v/>
      </c>
      <c r="BK297" s="518" t="str">
        <f>IF(AND(_4="A-321",'2026'!$K$4="FO",'2026'!$K$2=BK271),'2026DATA'!$F$28,"")</f>
        <v/>
      </c>
      <c r="BL297" s="518" t="str">
        <f>IF(AND(_4="A-321",'2026'!$K$4="FO",'2026'!$K$2=BL271),'2026DATA'!$G$28,"")</f>
        <v/>
      </c>
      <c r="BM297" s="518" t="str">
        <f>IF(AND(_4="A-321",'2026'!$K$4="FO",'2026'!$K$2=BM271),'2026DATA'!$H$28,"")</f>
        <v/>
      </c>
      <c r="BN297" s="518" t="str">
        <f>IF(AND(_4="A-321",'2026'!$K$4="FO",'2026'!$K$2=BN271),'2026DATA'!$I$28,"")</f>
        <v/>
      </c>
      <c r="BO297" s="518" t="str">
        <f>IF(AND(_4="A-321",'2026'!$K$4="FO",'2026'!$K$2=BO271),'2026DATA'!$J$28,"")</f>
        <v/>
      </c>
      <c r="BP297" s="518" t="str">
        <f>IF(AND(_4="A-321",'2026'!$K$4="FO",'2026'!$K$2=BP271),'2026DATA'!$K$28,"")</f>
        <v/>
      </c>
      <c r="BQ297" s="518" t="str">
        <f>IF(AND(_4="A-321",'2026'!$K$4="FO",'2026'!$K$2=BQ271),'2026DATA'!$L$28,"")</f>
        <v/>
      </c>
      <c r="BR297" s="518" t="str">
        <f>IF(AND(_4="A-321",'2026'!$K$4="FO",'2026'!$K$2=BR271),'2026DATA'!$M$28,"")</f>
        <v/>
      </c>
      <c r="BS297" s="520" t="str">
        <f>IF(AND(_4="A-321",'2026'!$K$4="FO",'2026'!$K$2=BS271),'2026DATA'!$N$28,"")</f>
        <v/>
      </c>
      <c r="BT297" s="940"/>
      <c r="BU297" s="13" t="s">
        <v>62</v>
      </c>
      <c r="BV297" s="518" t="str">
        <f>IF(AND(_5="A-321",'2026'!$K$4="FO",'2026'!$K$2=BV271),'2026DATA'!$C$28,"")</f>
        <v/>
      </c>
      <c r="BW297" s="518" t="str">
        <f>IF(AND(_5="A-321",'2026'!$K$4="FO",'2026'!$K$2=BW271),'2026DATA'!$D$28,"")</f>
        <v/>
      </c>
      <c r="BX297" s="518" t="str">
        <f>IF(AND(_5="A-321",'2026'!$K$4="FO",'2026'!$K$2=BX271),'2026DATA'!$E$28,"")</f>
        <v/>
      </c>
      <c r="BY297" s="518" t="str">
        <f>IF(AND(_5="A-321",'2026'!$K$4="FO",'2026'!$K$2=BY271),'2026DATA'!$F$28,"")</f>
        <v/>
      </c>
      <c r="BZ297" s="518" t="str">
        <f>IF(AND(_5="A-321",'2026'!$K$4="FO",'2026'!$K$2=BZ271),'2026DATA'!$G$28,"")</f>
        <v/>
      </c>
      <c r="CA297" s="518" t="str">
        <f>IF(AND(_5="A-321",'2026'!$K$4="FO",'2026'!$K$2=CA271),'2026DATA'!$H$28,"")</f>
        <v/>
      </c>
      <c r="CB297" s="518" t="str">
        <f>IF(AND(_5="A-321",'2026'!$K$4="FO",'2026'!$K$2=CB271),'2026DATA'!$I$28,"")</f>
        <v/>
      </c>
      <c r="CC297" s="518" t="str">
        <f>IF(AND(_5="A-321",'2026'!$K$4="FO",'2026'!$K$2=CC271),'2026DATA'!$J$28,"")</f>
        <v/>
      </c>
      <c r="CD297" s="518" t="str">
        <f>IF(AND(_5="A-321",'2026'!$K$4="FO",'2026'!$K$2=CD271),'2026DATA'!$K$28,"")</f>
        <v/>
      </c>
      <c r="CE297" s="518" t="str">
        <f>IF(AND(_5="A-321",'2026'!$K$4="FO",'2026'!$K$2=CE271),'2026DATA'!$L$28,"")</f>
        <v/>
      </c>
      <c r="CF297" s="518" t="str">
        <f>IF(AND(_5="A-321",'2026'!$K$4="FO",'2026'!$K$2=CF271),'2026DATA'!$M$28,"")</f>
        <v/>
      </c>
      <c r="CG297" s="520" t="str">
        <f>IF(AND(_5="A-321",'2026'!$K$4="FO",'2026'!$K$2=CG271),'2026DATA'!$N$28,"")</f>
        <v/>
      </c>
      <c r="CH297" s="940"/>
      <c r="CI297" s="13" t="s">
        <v>62</v>
      </c>
      <c r="CJ297" s="518" t="str">
        <f>IF(AND(_6="A-321",'2026'!$K$4="FO",'2026'!$K$2=CJ271),'2026DATA'!$C$28,"")</f>
        <v/>
      </c>
      <c r="CK297" s="518" t="str">
        <f>IF(AND(_6="A-321",'2026'!$K$4="FO",'2026'!$K$2=CK271),'2026DATA'!$D$28,"")</f>
        <v/>
      </c>
      <c r="CL297" s="518" t="str">
        <f>IF(AND(_6="A-321",'2026'!$K$4="FO",'2026'!$K$2=CL271),'2026DATA'!$E$28,"")</f>
        <v/>
      </c>
      <c r="CM297" s="518" t="str">
        <f>IF(AND(_6="A-321",'2026'!$K$4="FO",'2026'!$K$2=CM271),'2026DATA'!$F$28,"")</f>
        <v/>
      </c>
      <c r="CN297" s="518" t="str">
        <f>IF(AND(_6="A-321",'2026'!$K$4="FO",'2026'!$K$2=CN271),'2026DATA'!$G$28,"")</f>
        <v/>
      </c>
      <c r="CO297" s="518" t="str">
        <f>IF(AND(_6="A-321",'2026'!$K$4="FO",'2026'!$K$2=CO271),'2026DATA'!$H$28,"")</f>
        <v/>
      </c>
      <c r="CP297" s="518" t="str">
        <f>IF(AND(_6="A-321",'2026'!$K$4="FO",'2026'!$K$2=CP271),'2026DATA'!$I$28,"")</f>
        <v/>
      </c>
      <c r="CQ297" s="518" t="str">
        <f>IF(AND(_6="A-321",'2026'!$K$4="FO",'2026'!$K$2=CQ271),'2026DATA'!$J$28,"")</f>
        <v/>
      </c>
      <c r="CR297" s="518" t="str">
        <f>IF(AND(_6="A-321",'2026'!$K$4="FO",'2026'!$K$2=CR271),'2026DATA'!$K$28,"")</f>
        <v/>
      </c>
      <c r="CS297" s="518" t="str">
        <f>IF(AND(_6="A-321",'2026'!$K$4="FO",'2026'!$K$2=CS271),'2026DATA'!$L$28,"")</f>
        <v/>
      </c>
      <c r="CT297" s="518" t="str">
        <f>IF(AND(_6="A-321",'2026'!$K$4="FO",'2026'!$K$2=CT271),'2026DATA'!$M$28,"")</f>
        <v/>
      </c>
      <c r="CU297" s="520" t="str">
        <f>IF(AND(_6="A-321",'2026'!$K$4="FO",'2026'!$K$2=CU271),'2026DATA'!$N$28,"")</f>
        <v/>
      </c>
    </row>
    <row r="298" spans="16:99" x14ac:dyDescent="0.25">
      <c r="P298" s="940" t="s">
        <v>70</v>
      </c>
      <c r="Q298" s="13" t="s">
        <v>61</v>
      </c>
      <c r="R298" s="518" t="str">
        <f>IF(AND(_1="A-320",'2026'!$K$4="CA",'2026'!$K$2=R271),'2026DATA'!$C$29,"")</f>
        <v/>
      </c>
      <c r="S298" s="518" t="str">
        <f>IF(AND(_1="A-320",'2026'!$K$4="CA",'2026'!$K$2=S271),'2026DATA'!$D$29,"")</f>
        <v/>
      </c>
      <c r="T298" s="518" t="str">
        <f>IF(AND(_1="A-320",'2026'!$K$4="CA",'2026'!$K$2=T271),'2026DATA'!$E$29,"")</f>
        <v/>
      </c>
      <c r="U298" s="518" t="str">
        <f>IF(AND(_1="A-320",'2026'!$K$4="CA",'2026'!$K$2=U271),'2026DATA'!$F$29,"")</f>
        <v/>
      </c>
      <c r="V298" s="518" t="str">
        <f>IF(AND(_1="A-320",'2026'!$K$4="CA",'2026'!$K$2=V271),'2026DATA'!$G$29,"")</f>
        <v/>
      </c>
      <c r="W298" s="518" t="str">
        <f>IF(AND(_1="A-320",'2026'!$K$4="CA",'2026'!$K$2=W271),'2026DATA'!$H$29,"")</f>
        <v/>
      </c>
      <c r="X298" s="518" t="str">
        <f>IF(AND(_1="A-320",'2026'!$K$4="CA",'2026'!$K$2=X271),'2026DATA'!$I$29,"")</f>
        <v/>
      </c>
      <c r="Y298" s="518" t="str">
        <f>IF(AND(_1="A-320",'2026'!$K$4="CA",'2026'!$K$2=Y271),'2026DATA'!$J$29,"")</f>
        <v/>
      </c>
      <c r="Z298" s="518" t="str">
        <f>IF(AND(_1="A-320",'2026'!$K$4="CA",'2026'!$K$2=Z271),'2026DATA'!$K$29,"")</f>
        <v/>
      </c>
      <c r="AA298" s="518" t="str">
        <f>IF(AND(_1="A-320",'2026'!$K$4="CA",'2026'!$K$2=AA271),'2026DATA'!$L$29,"")</f>
        <v/>
      </c>
      <c r="AB298" s="518" t="str">
        <f>IF(AND(_1="A-320",'2026'!$K$4="CA",'2026'!$K$2=AB271),'2026DATA'!$M$29,"")</f>
        <v/>
      </c>
      <c r="AC298" s="520" t="str">
        <f>IF(AND(_1="A-320",'2026'!$K$4="CA",'2026'!$K$2=AC271),'2026DATA'!$N$29,"")</f>
        <v/>
      </c>
      <c r="AD298" s="940" t="s">
        <v>70</v>
      </c>
      <c r="AE298" s="13" t="s">
        <v>61</v>
      </c>
      <c r="AF298" s="518" t="str">
        <f>IF(AND(_2="A-320",'2026'!$K$4="CA",'2026'!$K$2=AF271),'2026DATA'!$C$29,"")</f>
        <v/>
      </c>
      <c r="AG298" s="518" t="str">
        <f>IF(AND(_2="A-320",'2026'!$K$4="CA",'2026'!$K$2=AG271),'2026DATA'!$D$29,"")</f>
        <v/>
      </c>
      <c r="AH298" s="518" t="str">
        <f>IF(AND(_2="A-320",'2026'!$K$4="CA",'2026'!$K$2=AH271),'2026DATA'!$E$29,"")</f>
        <v/>
      </c>
      <c r="AI298" s="518" t="str">
        <f>IF(AND(_2="A-320",'2026'!$K$4="CA",'2026'!$K$2=AI271),'2026DATA'!$F$29,"")</f>
        <v/>
      </c>
      <c r="AJ298" s="518" t="str">
        <f>IF(AND(_2="A-320",'2026'!$K$4="CA",'2026'!$K$2=AJ271),'2026DATA'!$G$29,"")</f>
        <v/>
      </c>
      <c r="AK298" s="518" t="str">
        <f>IF(AND(_2="A-320",'2026'!$K$4="CA",'2026'!$K$2=AK271),'2026DATA'!$H$29,"")</f>
        <v/>
      </c>
      <c r="AL298" s="518" t="str">
        <f>IF(AND(_2="A-320",'2026'!$K$4="CA",'2026'!$K$2=AL271),'2026DATA'!$I$29,"")</f>
        <v/>
      </c>
      <c r="AM298" s="518" t="str">
        <f>IF(AND(_2="A-320",'2026'!$K$4="CA",'2026'!$K$2=AM271),'2026DATA'!$J$29,"")</f>
        <v/>
      </c>
      <c r="AN298" s="518" t="str">
        <f>IF(AND(_2="A-320",'2026'!$K$4="CA",'2026'!$K$2=AN271),'2026DATA'!$K$29,"")</f>
        <v/>
      </c>
      <c r="AO298" s="518" t="str">
        <f>IF(AND(_2="A-320",'2026'!$K$4="CA",'2026'!$K$2=AO271),'2026DATA'!$L$29,"")</f>
        <v/>
      </c>
      <c r="AP298" s="518" t="str">
        <f>IF(AND(_2="A-320",'2026'!$K$4="CA",'2026'!$K$2=AP271),'2026DATA'!$M$29,"")</f>
        <v/>
      </c>
      <c r="AQ298" s="520" t="str">
        <f>IF(AND(_2="A-320",'2026'!$K$4="CA",'2026'!$K$2=AQ271),'2026DATA'!$N$29,"")</f>
        <v/>
      </c>
      <c r="AR298" s="940" t="s">
        <v>70</v>
      </c>
      <c r="AS298" s="13" t="s">
        <v>61</v>
      </c>
      <c r="AT298" s="518" t="str">
        <f>IF(AND(_3="A-320",'2026'!$K$4="CA",'2026'!$K$2=AT271),'2026DATA'!$C$29,"")</f>
        <v/>
      </c>
      <c r="AU298" s="518" t="str">
        <f>IF(AND(_3="A-320",'2026'!$K$4="CA",'2026'!$K$2=AU271),'2026DATA'!$D$29,"")</f>
        <v/>
      </c>
      <c r="AV298" s="518" t="str">
        <f>IF(AND(_3="A-320",'2026'!$K$4="CA",'2026'!$K$2=AV271),'2026DATA'!$E$29,"")</f>
        <v/>
      </c>
      <c r="AW298" s="518" t="str">
        <f>IF(AND(_3="A-320",'2026'!$K$4="CA",'2026'!$K$2=AW271),'2026DATA'!$F$29,"")</f>
        <v/>
      </c>
      <c r="AX298" s="518" t="str">
        <f>IF(AND(_3="A-320",'2026'!$K$4="CA",'2026'!$K$2=AX271),'2026DATA'!$G$29,"")</f>
        <v/>
      </c>
      <c r="AY298" s="518" t="str">
        <f>IF(AND(_3="A-320",'2026'!$K$4="CA",'2026'!$K$2=AY271),'2026DATA'!$H$29,"")</f>
        <v/>
      </c>
      <c r="AZ298" s="518" t="str">
        <f>IF(AND(_3="A-320",'2026'!$K$4="CA",'2026'!$K$2=AZ271),'2026DATA'!$I$29,"")</f>
        <v/>
      </c>
      <c r="BA298" s="518" t="str">
        <f>IF(AND(_3="A-320",'2026'!$K$4="CA",'2026'!$K$2=BA271),'2026DATA'!$J$29,"")</f>
        <v/>
      </c>
      <c r="BB298" s="518" t="str">
        <f>IF(AND(_3="A-320",'2026'!$K$4="CA",'2026'!$K$2=BB271),'2026DATA'!$K$29,"")</f>
        <v/>
      </c>
      <c r="BC298" s="518" t="str">
        <f>IF(AND(_3="A-320",'2026'!$K$4="CA",'2026'!$K$2=BC271),'2026DATA'!$L$29,"")</f>
        <v/>
      </c>
      <c r="BD298" s="518" t="str">
        <f>IF(AND(_3="A-320",'2026'!$K$4="CA",'2026'!$K$2=BD271),'2026DATA'!$M$29,"")</f>
        <v/>
      </c>
      <c r="BE298" s="520" t="str">
        <f>IF(AND(_3="A-320",'2026'!$K$4="CA",'2026'!$K$2=BE271),'2026DATA'!$N$29,"")</f>
        <v/>
      </c>
      <c r="BF298" s="940" t="s">
        <v>70</v>
      </c>
      <c r="BG298" s="13" t="s">
        <v>61</v>
      </c>
      <c r="BH298" s="518" t="str">
        <f>IF(AND(_4="A-320",'2026'!$K$4="CA",'2026'!$K$2=BH271),'2026DATA'!$C$29,"")</f>
        <v/>
      </c>
      <c r="BI298" s="518" t="str">
        <f>IF(AND(_4="A-320",'2026'!$K$4="CA",'2026'!$K$2=BI271),'2026DATA'!$D$29,"")</f>
        <v/>
      </c>
      <c r="BJ298" s="518" t="str">
        <f>IF(AND(_4="A-320",'2026'!$K$4="CA",'2026'!$K$2=BJ271),'2026DATA'!$E$29,"")</f>
        <v/>
      </c>
      <c r="BK298" s="518" t="str">
        <f>IF(AND(_4="A-320",'2026'!$K$4="CA",'2026'!$K$2=BK271),'2026DATA'!$F$29,"")</f>
        <v/>
      </c>
      <c r="BL298" s="518" t="str">
        <f>IF(AND(_4="A-320",'2026'!$K$4="CA",'2026'!$K$2=BL271),'2026DATA'!$G$29,"")</f>
        <v/>
      </c>
      <c r="BM298" s="518" t="str">
        <f>IF(AND(_4="A-320",'2026'!$K$4="CA",'2026'!$K$2=BM271),'2026DATA'!$H$29,"")</f>
        <v/>
      </c>
      <c r="BN298" s="518" t="str">
        <f>IF(AND(_4="A-320",'2026'!$K$4="CA",'2026'!$K$2=BN271),'2026DATA'!$I$29,"")</f>
        <v/>
      </c>
      <c r="BO298" s="518" t="str">
        <f>IF(AND(_4="A-320",'2026'!$K$4="CA",'2026'!$K$2=BO271),'2026DATA'!$J$29,"")</f>
        <v/>
      </c>
      <c r="BP298" s="518" t="str">
        <f>IF(AND(_4="A-320",'2026'!$K$4="CA",'2026'!$K$2=BP271),'2026DATA'!$K$29,"")</f>
        <v/>
      </c>
      <c r="BQ298" s="518" t="str">
        <f>IF(AND(_4="A-320",'2026'!$K$4="CA",'2026'!$K$2=BQ271),'2026DATA'!$L$29,"")</f>
        <v/>
      </c>
      <c r="BR298" s="518" t="str">
        <f>IF(AND(_4="A-320",'2026'!$K$4="CA",'2026'!$K$2=BR271),'2026DATA'!$M$29,"")</f>
        <v/>
      </c>
      <c r="BS298" s="520" t="str">
        <f>IF(AND(_4="A-320",'2026'!$K$4="CA",'2026'!$K$2=BS271),'2026DATA'!$N$29,"")</f>
        <v/>
      </c>
      <c r="BT298" s="940" t="s">
        <v>70</v>
      </c>
      <c r="BU298" s="13" t="s">
        <v>61</v>
      </c>
      <c r="BV298" s="518" t="str">
        <f>IF(AND(_5="A-320",'2026'!$K$4="CA",'2026'!$K$2=BV271),'2026DATA'!$C$29,"")</f>
        <v/>
      </c>
      <c r="BW298" s="518" t="str">
        <f>IF(AND(_5="A-320",'2026'!$K$4="CA",'2026'!$K$2=BW271),'2026DATA'!$D$29,"")</f>
        <v/>
      </c>
      <c r="BX298" s="518" t="str">
        <f>IF(AND(_5="A-320",'2026'!$K$4="CA",'2026'!$K$2=BX271),'2026DATA'!$E$29,"")</f>
        <v/>
      </c>
      <c r="BY298" s="518" t="str">
        <f>IF(AND(_5="A-320",'2026'!$K$4="CA",'2026'!$K$2=BY271),'2026DATA'!$F$29,"")</f>
        <v/>
      </c>
      <c r="BZ298" s="518" t="str">
        <f>IF(AND(_5="A-320",'2026'!$K$4="CA",'2026'!$K$2=BZ271),'2026DATA'!$G$29,"")</f>
        <v/>
      </c>
      <c r="CA298" s="518" t="str">
        <f>IF(AND(_5="A-320",'2026'!$K$4="CA",'2026'!$K$2=CA271),'2026DATA'!$H$29,"")</f>
        <v/>
      </c>
      <c r="CB298" s="518" t="str">
        <f>IF(AND(_5="A-320",'2026'!$K$4="CA",'2026'!$K$2=CB271),'2026DATA'!$I$29,"")</f>
        <v/>
      </c>
      <c r="CC298" s="518" t="str">
        <f>IF(AND(_5="A-320",'2026'!$K$4="CA",'2026'!$K$2=CC271),'2026DATA'!$J$29,"")</f>
        <v/>
      </c>
      <c r="CD298" s="518" t="str">
        <f>IF(AND(_5="A-320",'2026'!$K$4="CA",'2026'!$K$2=CD271),'2026DATA'!$K$29,"")</f>
        <v/>
      </c>
      <c r="CE298" s="518" t="str">
        <f>IF(AND(_5="A-320",'2026'!$K$4="CA",'2026'!$K$2=CE271),'2026DATA'!$L$29,"")</f>
        <v/>
      </c>
      <c r="CF298" s="518" t="str">
        <f>IF(AND(_5="A-320",'2026'!$K$4="CA",'2026'!$K$2=CF271),'2026DATA'!$M$29,"")</f>
        <v/>
      </c>
      <c r="CG298" s="520" t="str">
        <f>IF(AND(_5="A-320",'2026'!$K$4="CA",'2026'!$K$2=CG271),'2026DATA'!$N$29,"")</f>
        <v/>
      </c>
      <c r="CH298" s="940" t="s">
        <v>70</v>
      </c>
      <c r="CI298" s="13" t="s">
        <v>61</v>
      </c>
      <c r="CJ298" s="518" t="str">
        <f>IF(AND(_6="A-320",'2026'!$K$4="CA",'2026'!$K$2=CJ271),'2026DATA'!$C$29,"")</f>
        <v/>
      </c>
      <c r="CK298" s="518" t="str">
        <f>IF(AND(_6="A-320",'2026'!$K$4="CA",'2026'!$K$2=CK271),'2026DATA'!$D$29,"")</f>
        <v/>
      </c>
      <c r="CL298" s="518" t="str">
        <f>IF(AND(_6="A-320",'2026'!$K$4="CA",'2026'!$K$2=CL271),'2026DATA'!$E$29,"")</f>
        <v/>
      </c>
      <c r="CM298" s="518" t="str">
        <f>IF(AND(_6="A-320",'2026'!$K$4="CA",'2026'!$K$2=CM271),'2026DATA'!$F$29,"")</f>
        <v/>
      </c>
      <c r="CN298" s="518" t="str">
        <f>IF(AND(_6="A-320",'2026'!$K$4="CA",'2026'!$K$2=CN271),'2026DATA'!$G$29,"")</f>
        <v/>
      </c>
      <c r="CO298" s="518" t="str">
        <f>IF(AND(_6="A-320",'2026'!$K$4="CA",'2026'!$K$2=CO271),'2026DATA'!$H$29,"")</f>
        <v/>
      </c>
      <c r="CP298" s="518" t="str">
        <f>IF(AND(_6="A-320",'2026'!$K$4="CA",'2026'!$K$2=CP271),'2026DATA'!$I$29,"")</f>
        <v/>
      </c>
      <c r="CQ298" s="518" t="str">
        <f>IF(AND(_6="A-320",'2026'!$K$4="CA",'2026'!$K$2=CQ271),'2026DATA'!$J$29,"")</f>
        <v/>
      </c>
      <c r="CR298" s="518" t="str">
        <f>IF(AND(_6="A-320",'2026'!$K$4="CA",'2026'!$K$2=CR271),'2026DATA'!$K$29,"")</f>
        <v/>
      </c>
      <c r="CS298" s="518" t="str">
        <f>IF(AND(_6="A-320",'2026'!$K$4="CA",'2026'!$K$2=CS271),'2026DATA'!$L$29,"")</f>
        <v/>
      </c>
      <c r="CT298" s="518" t="str">
        <f>IF(AND(_6="A-320",'2026'!$K$4="CA",'2026'!$K$2=CT271),'2026DATA'!$M$29,"")</f>
        <v/>
      </c>
      <c r="CU298" s="520" t="str">
        <f>IF(AND(_6="A-320",'2026'!$K$4="CA",'2026'!$K$2=CU271),'2026DATA'!$N$29,"")</f>
        <v/>
      </c>
    </row>
    <row r="299" spans="16:99" x14ac:dyDescent="0.25">
      <c r="P299" s="940"/>
      <c r="Q299" s="13" t="s">
        <v>62</v>
      </c>
      <c r="R299" s="518" t="str">
        <f>IF(AND(_1="A-320",'2026'!$K$4="FO",'2026'!$K$2=R271),'2026DATA'!$C$30,"")</f>
        <v/>
      </c>
      <c r="S299" s="518" t="str">
        <f>IF(AND(_1="A-320",'2026'!$K$4="FO",'2026'!$K$2=S271),'2026DATA'!$D$30,"")</f>
        <v/>
      </c>
      <c r="T299" s="518" t="str">
        <f>IF(AND(_1="A-320",'2026'!$K$4="FO",'2026'!$K$2=T271),'2026DATA'!$E$30,"")</f>
        <v/>
      </c>
      <c r="U299" s="518" t="str">
        <f>IF(AND(_1="A-320",'2026'!$K$4="FO",'2026'!$K$2=U271),'2026DATA'!$F$30,"")</f>
        <v/>
      </c>
      <c r="V299" s="518" t="str">
        <f>IF(AND(_1="A-320",'2026'!$K$4="FO",'2026'!$K$2=V271),'2026DATA'!$G$30,"")</f>
        <v/>
      </c>
      <c r="W299" s="518" t="str">
        <f>IF(AND(_1="A-320",'2026'!$K$4="FO",'2026'!$K$2=W271),'2026DATA'!$H$30,"")</f>
        <v/>
      </c>
      <c r="X299" s="518" t="str">
        <f>IF(AND(_1="A-320",'2026'!$K$4="FO",'2026'!$K$2=X271),'2026DATA'!$I$30,"")</f>
        <v/>
      </c>
      <c r="Y299" s="518" t="str">
        <f>IF(AND(_1="A-320",'2026'!$K$4="FO",'2026'!$K$2=Y271),'2026DATA'!$J$30,"")</f>
        <v/>
      </c>
      <c r="Z299" s="518" t="str">
        <f>IF(AND(_1="A-320",'2026'!$K$4="FO",'2026'!$K$2=Z271),'2026DATA'!$K$30,"")</f>
        <v/>
      </c>
      <c r="AA299" s="518" t="str">
        <f>IF(AND(_1="A-320",'2026'!$K$4="FO",'2026'!$K$2=AA271),'2026DATA'!$L$30,"")</f>
        <v/>
      </c>
      <c r="AB299" s="518" t="str">
        <f>IF(AND(_1="A-320",'2026'!$K$4="FO",'2026'!$K$2=AB271),'2026DATA'!$M$30,"")</f>
        <v/>
      </c>
      <c r="AC299" s="520" t="str">
        <f>IF(AND(_1="A-320",'2026'!$K$4="FO",'2026'!$K$2=AC271),'2026DATA'!$N$30,"")</f>
        <v/>
      </c>
      <c r="AD299" s="940"/>
      <c r="AE299" s="13" t="s">
        <v>62</v>
      </c>
      <c r="AF299" s="518" t="str">
        <f>IF(AND(_2="A-320",'2026'!$K$4="FO",'2026'!$K$2=AF271),'2026DATA'!$C$30,"")</f>
        <v/>
      </c>
      <c r="AG299" s="518" t="str">
        <f>IF(AND(_2="A-320",'2026'!$K$4="FO",'2026'!$K$2=AG271),'2026DATA'!$D$30,"")</f>
        <v/>
      </c>
      <c r="AH299" s="518" t="str">
        <f>IF(AND(_2="A-320",'2026'!$K$4="FO",'2026'!$K$2=AH271),'2026DATA'!$E$30,"")</f>
        <v/>
      </c>
      <c r="AI299" s="518" t="str">
        <f>IF(AND(_2="A-320",'2026'!$K$4="FO",'2026'!$K$2=AI271),'2026DATA'!$F$30,"")</f>
        <v/>
      </c>
      <c r="AJ299" s="518" t="str">
        <f>IF(AND(_2="A-320",'2026'!$K$4="FO",'2026'!$K$2=AJ271),'2026DATA'!$G$30,"")</f>
        <v/>
      </c>
      <c r="AK299" s="518" t="str">
        <f>IF(AND(_2="A-320",'2026'!$K$4="FO",'2026'!$K$2=AK271),'2026DATA'!$H$30,"")</f>
        <v/>
      </c>
      <c r="AL299" s="518" t="str">
        <f>IF(AND(_2="A-320",'2026'!$K$4="FO",'2026'!$K$2=AL271),'2026DATA'!$I$30,"")</f>
        <v/>
      </c>
      <c r="AM299" s="518" t="str">
        <f>IF(AND(_2="A-320",'2026'!$K$4="FO",'2026'!$K$2=AM271),'2026DATA'!$J$30,"")</f>
        <v/>
      </c>
      <c r="AN299" s="518" t="str">
        <f>IF(AND(_2="A-320",'2026'!$K$4="FO",'2026'!$K$2=AN271),'2026DATA'!$K$30,"")</f>
        <v/>
      </c>
      <c r="AO299" s="518" t="str">
        <f>IF(AND(_2="A-320",'2026'!$K$4="FO",'2026'!$K$2=AO271),'2026DATA'!$L$30,"")</f>
        <v/>
      </c>
      <c r="AP299" s="518" t="str">
        <f>IF(AND(_2="A-320",'2026'!$K$4="FO",'2026'!$K$2=AP271),'2026DATA'!$M$30,"")</f>
        <v/>
      </c>
      <c r="AQ299" s="520" t="str">
        <f>IF(AND(_2="A-320",'2026'!$K$4="FO",'2026'!$K$2=AQ271),'2026DATA'!$N$30,"")</f>
        <v/>
      </c>
      <c r="AR299" s="940"/>
      <c r="AS299" s="13" t="s">
        <v>62</v>
      </c>
      <c r="AT299" s="518" t="str">
        <f>IF(AND(_3="A-320",'2026'!$K$4="FO",'2026'!$K$2=AT271),'2026DATA'!$C$30,"")</f>
        <v/>
      </c>
      <c r="AU299" s="518" t="str">
        <f>IF(AND(_3="A-320",'2026'!$K$4="FO",'2026'!$K$2=AU271),'2026DATA'!$D$30,"")</f>
        <v/>
      </c>
      <c r="AV299" s="518" t="str">
        <f>IF(AND(_3="A-320",'2026'!$K$4="FO",'2026'!$K$2=AV271),'2026DATA'!$E$30,"")</f>
        <v/>
      </c>
      <c r="AW299" s="518" t="str">
        <f>IF(AND(_3="A-320",'2026'!$K$4="FO",'2026'!$K$2=AW271),'2026DATA'!$F$30,"")</f>
        <v/>
      </c>
      <c r="AX299" s="518" t="str">
        <f>IF(AND(_3="A-320",'2026'!$K$4="FO",'2026'!$K$2=AX271),'2026DATA'!$G$30,"")</f>
        <v/>
      </c>
      <c r="AY299" s="518" t="str">
        <f>IF(AND(_3="A-320",'2026'!$K$4="FO",'2026'!$K$2=AY271),'2026DATA'!$H$30,"")</f>
        <v/>
      </c>
      <c r="AZ299" s="518" t="str">
        <f>IF(AND(_3="A-320",'2026'!$K$4="FO",'2026'!$K$2=AZ271),'2026DATA'!$I$30,"")</f>
        <v/>
      </c>
      <c r="BA299" s="518" t="str">
        <f>IF(AND(_3="A-320",'2026'!$K$4="FO",'2026'!$K$2=BA271),'2026DATA'!$J$30,"")</f>
        <v/>
      </c>
      <c r="BB299" s="518" t="str">
        <f>IF(AND(_3="A-320",'2026'!$K$4="FO",'2026'!$K$2=BB271),'2026DATA'!$K$30,"")</f>
        <v/>
      </c>
      <c r="BC299" s="518" t="str">
        <f>IF(AND(_3="A-320",'2026'!$K$4="FO",'2026'!$K$2=BC271),'2026DATA'!$L$30,"")</f>
        <v/>
      </c>
      <c r="BD299" s="518" t="str">
        <f>IF(AND(_3="A-320",'2026'!$K$4="FO",'2026'!$K$2=BD271),'2026DATA'!$M$30,"")</f>
        <v/>
      </c>
      <c r="BE299" s="520" t="str">
        <f>IF(AND(_3="A-320",'2026'!$K$4="FO",'2026'!$K$2=BE271),'2026DATA'!$N$30,"")</f>
        <v/>
      </c>
      <c r="BF299" s="940"/>
      <c r="BG299" s="13" t="s">
        <v>62</v>
      </c>
      <c r="BH299" s="518" t="str">
        <f>IF(AND(_4="A-320",'2026'!$K$4="FO",'2026'!$K$2=BH271),'2026DATA'!$C$30,"")</f>
        <v/>
      </c>
      <c r="BI299" s="518" t="str">
        <f>IF(AND(_4="A-320",'2026'!$K$4="FO",'2026'!$K$2=BI271),'2026DATA'!$D$30,"")</f>
        <v/>
      </c>
      <c r="BJ299" s="518" t="str">
        <f>IF(AND(_4="A-320",'2026'!$K$4="FO",'2026'!$K$2=BJ271),'2026DATA'!$E$30,"")</f>
        <v/>
      </c>
      <c r="BK299" s="518" t="str">
        <f>IF(AND(_4="A-320",'2026'!$K$4="FO",'2026'!$K$2=BK271),'2026DATA'!$F$30,"")</f>
        <v/>
      </c>
      <c r="BL299" s="518" t="str">
        <f>IF(AND(_4="A-320",'2026'!$K$4="FO",'2026'!$K$2=BL271),'2026DATA'!$G$30,"")</f>
        <v/>
      </c>
      <c r="BM299" s="518" t="str">
        <f>IF(AND(_4="A-320",'2026'!$K$4="FO",'2026'!$K$2=BM271),'2026DATA'!$H$30,"")</f>
        <v/>
      </c>
      <c r="BN299" s="518" t="str">
        <f>IF(AND(_4="A-320",'2026'!$K$4="FO",'2026'!$K$2=BN271),'2026DATA'!$I$30,"")</f>
        <v/>
      </c>
      <c r="BO299" s="518" t="str">
        <f>IF(AND(_4="A-320",'2026'!$K$4="FO",'2026'!$K$2=BO271),'2026DATA'!$J$30,"")</f>
        <v/>
      </c>
      <c r="BP299" s="518" t="str">
        <f>IF(AND(_4="A-320",'2026'!$K$4="FO",'2026'!$K$2=BP271),'2026DATA'!$K$30,"")</f>
        <v/>
      </c>
      <c r="BQ299" s="518" t="str">
        <f>IF(AND(_4="A-320",'2026'!$K$4="FO",'2026'!$K$2=BQ271),'2026DATA'!$L$30,"")</f>
        <v/>
      </c>
      <c r="BR299" s="518" t="str">
        <f>IF(AND(_4="A-320",'2026'!$K$4="FO",'2026'!$K$2=BR271),'2026DATA'!$M$30,"")</f>
        <v/>
      </c>
      <c r="BS299" s="520" t="str">
        <f>IF(AND(_4="A-320",'2026'!$K$4="FO",'2026'!$K$2=BS271),'2026DATA'!$N$30,"")</f>
        <v/>
      </c>
      <c r="BT299" s="940"/>
      <c r="BU299" s="13" t="s">
        <v>62</v>
      </c>
      <c r="BV299" s="518" t="str">
        <f>IF(AND(_5="A-320",'2026'!$K$4="FO",'2026'!$K$2=BV271),'2026DATA'!$C$30,"")</f>
        <v/>
      </c>
      <c r="BW299" s="518" t="str">
        <f>IF(AND(_5="A-320",'2026'!$K$4="FO",'2026'!$K$2=BW271),'2026DATA'!$D$30,"")</f>
        <v/>
      </c>
      <c r="BX299" s="518" t="str">
        <f>IF(AND(_5="A-320",'2026'!$K$4="FO",'2026'!$K$2=BX271),'2026DATA'!$E$30,"")</f>
        <v/>
      </c>
      <c r="BY299" s="518" t="str">
        <f>IF(AND(_5="A-320",'2026'!$K$4="FO",'2026'!$K$2=BY271),'2026DATA'!$F$30,"")</f>
        <v/>
      </c>
      <c r="BZ299" s="518" t="str">
        <f>IF(AND(_5="A-320",'2026'!$K$4="FO",'2026'!$K$2=BZ271),'2026DATA'!$G$30,"")</f>
        <v/>
      </c>
      <c r="CA299" s="518" t="str">
        <f>IF(AND(_5="A-320",'2026'!$K$4="FO",'2026'!$K$2=CA271),'2026DATA'!$H$30,"")</f>
        <v/>
      </c>
      <c r="CB299" s="518" t="str">
        <f>IF(AND(_5="A-320",'2026'!$K$4="FO",'2026'!$K$2=CB271),'2026DATA'!$I$30,"")</f>
        <v/>
      </c>
      <c r="CC299" s="518" t="str">
        <f>IF(AND(_5="A-320",'2026'!$K$4="FO",'2026'!$K$2=CC271),'2026DATA'!$J$30,"")</f>
        <v/>
      </c>
      <c r="CD299" s="518" t="str">
        <f>IF(AND(_5="A-320",'2026'!$K$4="FO",'2026'!$K$2=CD271),'2026DATA'!$K$30,"")</f>
        <v/>
      </c>
      <c r="CE299" s="518" t="str">
        <f>IF(AND(_5="A-320",'2026'!$K$4="FO",'2026'!$K$2=CE271),'2026DATA'!$L$30,"")</f>
        <v/>
      </c>
      <c r="CF299" s="518" t="str">
        <f>IF(AND(_5="A-320",'2026'!$K$4="FO",'2026'!$K$2=CF271),'2026DATA'!$M$30,"")</f>
        <v/>
      </c>
      <c r="CG299" s="520" t="str">
        <f>IF(AND(_5="A-320",'2026'!$K$4="FO",'2026'!$K$2=CG271),'2026DATA'!$N$30,"")</f>
        <v/>
      </c>
      <c r="CH299" s="940"/>
      <c r="CI299" s="13" t="s">
        <v>62</v>
      </c>
      <c r="CJ299" s="518" t="str">
        <f>IF(AND(_6="A-320",'2026'!$K$4="FO",'2026'!$K$2=CJ271),'2026DATA'!$C$30,"")</f>
        <v/>
      </c>
      <c r="CK299" s="518" t="str">
        <f>IF(AND(_6="A-320",'2026'!$K$4="FO",'2026'!$K$2=CK271),'2026DATA'!$D$30,"")</f>
        <v/>
      </c>
      <c r="CL299" s="518" t="str">
        <f>IF(AND(_6="A-320",'2026'!$K$4="FO",'2026'!$K$2=CL271),'2026DATA'!$E$30,"")</f>
        <v/>
      </c>
      <c r="CM299" s="518" t="str">
        <f>IF(AND(_6="A-320",'2026'!$K$4="FO",'2026'!$K$2=CM271),'2026DATA'!$F$30,"")</f>
        <v/>
      </c>
      <c r="CN299" s="518" t="str">
        <f>IF(AND(_6="A-320",'2026'!$K$4="FO",'2026'!$K$2=CN271),'2026DATA'!$G$30,"")</f>
        <v/>
      </c>
      <c r="CO299" s="518" t="str">
        <f>IF(AND(_6="A-320",'2026'!$K$4="FO",'2026'!$K$2=CO271),'2026DATA'!$H$30,"")</f>
        <v/>
      </c>
      <c r="CP299" s="518" t="str">
        <f>IF(AND(_6="A-320",'2026'!$K$4="FO",'2026'!$K$2=CP271),'2026DATA'!$I$30,"")</f>
        <v/>
      </c>
      <c r="CQ299" s="518" t="str">
        <f>IF(AND(_6="A-320",'2026'!$K$4="FO",'2026'!$K$2=CQ271),'2026DATA'!$J$30,"")</f>
        <v/>
      </c>
      <c r="CR299" s="518" t="str">
        <f>IF(AND(_6="A-320",'2026'!$K$4="FO",'2026'!$K$2=CR271),'2026DATA'!$K$30,"")</f>
        <v/>
      </c>
      <c r="CS299" s="518" t="str">
        <f>IF(AND(_6="A-320",'2026'!$K$4="FO",'2026'!$K$2=CS271),'2026DATA'!$L$30,"")</f>
        <v/>
      </c>
      <c r="CT299" s="518" t="str">
        <f>IF(AND(_6="A-320",'2026'!$K$4="FO",'2026'!$K$2=CT271),'2026DATA'!$M$30,"")</f>
        <v/>
      </c>
      <c r="CU299" s="520" t="str">
        <f>IF(AND(_6="A-320",'2026'!$K$4="FO",'2026'!$K$2=CU271),'2026DATA'!$N$30,"")</f>
        <v/>
      </c>
    </row>
    <row r="300" spans="16:99" x14ac:dyDescent="0.25">
      <c r="P300" s="940" t="s">
        <v>71</v>
      </c>
      <c r="Q300" s="13" t="s">
        <v>61</v>
      </c>
      <c r="R300" s="518" t="str">
        <f>IF(AND(_1="A-319",'2026'!$K$4="CA",'2026'!$K$2=R271),'2026DATA'!$C$31,"")</f>
        <v/>
      </c>
      <c r="S300" s="518" t="str">
        <f>IF(AND(_1="A-319",'2026'!$K$4="CA",'2026'!$K$2=S271),'2026DATA'!$D$31,"")</f>
        <v/>
      </c>
      <c r="T300" s="518" t="str">
        <f>IF(AND(_1="A-319",'2026'!$K$4="CA",'2026'!$K$2=T271),'2026DATA'!$E$31,"")</f>
        <v/>
      </c>
      <c r="U300" s="518" t="str">
        <f>IF(AND(_1="A-319",'2026'!$K$4="CA",'2026'!$K$2=U271),'2026DATA'!$F$31,"")</f>
        <v/>
      </c>
      <c r="V300" s="518" t="str">
        <f>IF(AND(_1="A-319",'2026'!$K$4="CA",'2026'!$K$2=V271),'2026DATA'!$G$31,"")</f>
        <v/>
      </c>
      <c r="W300" s="518" t="str">
        <f>IF(AND(_1="A-319",'2026'!$K$4="CA",'2026'!$K$2=W271),'2026DATA'!$H$31,"")</f>
        <v/>
      </c>
      <c r="X300" s="518" t="str">
        <f>IF(AND(_1="A-319",'2026'!$K$4="CA",'2026'!$K$2=X271),'2026DATA'!$I$31,"")</f>
        <v/>
      </c>
      <c r="Y300" s="518" t="str">
        <f>IF(AND(_1="A-319",'2026'!$K$4="CA",'2026'!$K$2=Y271),'2026DATA'!$J$31,"")</f>
        <v/>
      </c>
      <c r="Z300" s="518" t="str">
        <f>IF(AND(_1="A-319",'2026'!$K$4="CA",'2026'!$K$2=Z271),'2026DATA'!$K$31,"")</f>
        <v/>
      </c>
      <c r="AA300" s="518" t="str">
        <f>IF(AND(_1="A-319",'2026'!$K$4="CA",'2026'!$K$2=AA271),'2026DATA'!$L$31,"")</f>
        <v/>
      </c>
      <c r="AB300" s="518" t="str">
        <f>IF(AND(_1="A-319",'2026'!$K$4="CA",'2026'!$K$2=AB271),'2026DATA'!$M$31,"")</f>
        <v/>
      </c>
      <c r="AC300" s="520" t="str">
        <f>IF(AND(_1="A-319",'2026'!$K$4="CA",'2026'!$K$2=AC271),'2026DATA'!$N$31,"")</f>
        <v/>
      </c>
      <c r="AD300" s="940" t="s">
        <v>71</v>
      </c>
      <c r="AE300" s="13" t="s">
        <v>61</v>
      </c>
      <c r="AF300" s="518" t="str">
        <f>IF(AND(_2="A-319",'2026'!$K$4="CA",'2026'!$K$2=AF271),'2026DATA'!$C$31,"")</f>
        <v/>
      </c>
      <c r="AG300" s="518" t="str">
        <f>IF(AND(_2="A-319",'2026'!$K$4="CA",'2026'!$K$2=AG271),'2026DATA'!$D$31,"")</f>
        <v/>
      </c>
      <c r="AH300" s="518" t="str">
        <f>IF(AND(_2="A-319",'2026'!$K$4="CA",'2026'!$K$2=AH271),'2026DATA'!$E$31,"")</f>
        <v/>
      </c>
      <c r="AI300" s="518" t="str">
        <f>IF(AND(_2="A-319",'2026'!$K$4="CA",'2026'!$K$2=AI271),'2026DATA'!$F$31,"")</f>
        <v/>
      </c>
      <c r="AJ300" s="518" t="str">
        <f>IF(AND(_2="A-319",'2026'!$K$4="CA",'2026'!$K$2=AJ271),'2026DATA'!$G$31,"")</f>
        <v/>
      </c>
      <c r="AK300" s="518" t="str">
        <f>IF(AND(_2="A-319",'2026'!$K$4="CA",'2026'!$K$2=AK271),'2026DATA'!$H$31,"")</f>
        <v/>
      </c>
      <c r="AL300" s="518" t="str">
        <f>IF(AND(_2="A-319",'2026'!$K$4="CA",'2026'!$K$2=AL271),'2026DATA'!$I$31,"")</f>
        <v/>
      </c>
      <c r="AM300" s="518" t="str">
        <f>IF(AND(_2="A-319",'2026'!$K$4="CA",'2026'!$K$2=AM271),'2026DATA'!$J$31,"")</f>
        <v/>
      </c>
      <c r="AN300" s="518" t="str">
        <f>IF(AND(_2="A-319",'2026'!$K$4="CA",'2026'!$K$2=AN271),'2026DATA'!$K$31,"")</f>
        <v/>
      </c>
      <c r="AO300" s="518" t="str">
        <f>IF(AND(_2="A-319",'2026'!$K$4="CA",'2026'!$K$2=AO271),'2026DATA'!$L$31,"")</f>
        <v/>
      </c>
      <c r="AP300" s="518" t="str">
        <f>IF(AND(_2="A-319",'2026'!$K$4="CA",'2026'!$K$2=AP271),'2026DATA'!$M$31,"")</f>
        <v/>
      </c>
      <c r="AQ300" s="520" t="str">
        <f>IF(AND(_2="A-319",'2026'!$K$4="CA",'2026'!$K$2=AQ271),'2026DATA'!$N$31,"")</f>
        <v/>
      </c>
      <c r="AR300" s="940" t="s">
        <v>71</v>
      </c>
      <c r="AS300" s="13" t="s">
        <v>61</v>
      </c>
      <c r="AT300" s="518" t="str">
        <f>IF(AND(_3="A-319",'2026'!$K$4="CA",'2026'!$K$2=AT271),'2026DATA'!$C$31,"")</f>
        <v/>
      </c>
      <c r="AU300" s="518" t="str">
        <f>IF(AND(_3="A-319",'2026'!$K$4="CA",'2026'!$K$2=AU271),'2026DATA'!$D$31,"")</f>
        <v/>
      </c>
      <c r="AV300" s="518" t="str">
        <f>IF(AND(_3="A-319",'2026'!$K$4="CA",'2026'!$K$2=AV271),'2026DATA'!$E$31,"")</f>
        <v/>
      </c>
      <c r="AW300" s="518" t="str">
        <f>IF(AND(_3="A-319",'2026'!$K$4="CA",'2026'!$K$2=AW271),'2026DATA'!$F$31,"")</f>
        <v/>
      </c>
      <c r="AX300" s="518" t="str">
        <f>IF(AND(_3="A-319",'2026'!$K$4="CA",'2026'!$K$2=AX271),'2026DATA'!$G$31,"")</f>
        <v/>
      </c>
      <c r="AY300" s="518" t="str">
        <f>IF(AND(_3="A-319",'2026'!$K$4="CA",'2026'!$K$2=AY271),'2026DATA'!$H$31,"")</f>
        <v/>
      </c>
      <c r="AZ300" s="518" t="str">
        <f>IF(AND(_3="A-319",'2026'!$K$4="CA",'2026'!$K$2=AZ271),'2026DATA'!$I$31,"")</f>
        <v/>
      </c>
      <c r="BA300" s="518" t="str">
        <f>IF(AND(_3="A-319",'2026'!$K$4="CA",'2026'!$K$2=BA271),'2026DATA'!$J$31,"")</f>
        <v/>
      </c>
      <c r="BB300" s="518" t="str">
        <f>IF(AND(_3="A-319",'2026'!$K$4="CA",'2026'!$K$2=BB271),'2026DATA'!$K$31,"")</f>
        <v/>
      </c>
      <c r="BC300" s="518" t="str">
        <f>IF(AND(_3="A-319",'2026'!$K$4="CA",'2026'!$K$2=BC271),'2026DATA'!$L$31,"")</f>
        <v/>
      </c>
      <c r="BD300" s="518" t="str">
        <f>IF(AND(_3="A-319",'2026'!$K$4="CA",'2026'!$K$2=BD271),'2026DATA'!$M$31,"")</f>
        <v/>
      </c>
      <c r="BE300" s="520" t="str">
        <f>IF(AND(_3="A-319",'2026'!$K$4="CA",'2026'!$K$2=BE271),'2026DATA'!$N$31,"")</f>
        <v/>
      </c>
      <c r="BF300" s="940" t="s">
        <v>71</v>
      </c>
      <c r="BG300" s="13" t="s">
        <v>61</v>
      </c>
      <c r="BH300" s="518" t="str">
        <f>IF(AND(_4="A-319",'2026'!$K$4="CA",'2026'!$K$2=BH271),'2026DATA'!$C$31,"")</f>
        <v/>
      </c>
      <c r="BI300" s="518" t="str">
        <f>IF(AND(_4="A-319",'2026'!$K$4="CA",'2026'!$K$2=BI271),'2026DATA'!$D$31,"")</f>
        <v/>
      </c>
      <c r="BJ300" s="518" t="str">
        <f>IF(AND(_4="A-319",'2026'!$K$4="CA",'2026'!$K$2=BJ271),'2026DATA'!$E$31,"")</f>
        <v/>
      </c>
      <c r="BK300" s="518" t="str">
        <f>IF(AND(_4="A-319",'2026'!$K$4="CA",'2026'!$K$2=BK271),'2026DATA'!$F$31,"")</f>
        <v/>
      </c>
      <c r="BL300" s="518" t="str">
        <f>IF(AND(_4="A-319",'2026'!$K$4="CA",'2026'!$K$2=BL271),'2026DATA'!$G$31,"")</f>
        <v/>
      </c>
      <c r="BM300" s="518" t="str">
        <f>IF(AND(_4="A-319",'2026'!$K$4="CA",'2026'!$K$2=BM271),'2026DATA'!$H$31,"")</f>
        <v/>
      </c>
      <c r="BN300" s="518" t="str">
        <f>IF(AND(_4="A-319",'2026'!$K$4="CA",'2026'!$K$2=BN271),'2026DATA'!$I$31,"")</f>
        <v/>
      </c>
      <c r="BO300" s="518" t="str">
        <f>IF(AND(_4="A-319",'2026'!$K$4="CA",'2026'!$K$2=BO271),'2026DATA'!$J$31,"")</f>
        <v/>
      </c>
      <c r="BP300" s="518" t="str">
        <f>IF(AND(_4="A-319",'2026'!$K$4="CA",'2026'!$K$2=BP271),'2026DATA'!$K$31,"")</f>
        <v/>
      </c>
      <c r="BQ300" s="518" t="str">
        <f>IF(AND(_4="A-319",'2026'!$K$4="CA",'2026'!$K$2=BQ271),'2026DATA'!$L$31,"")</f>
        <v/>
      </c>
      <c r="BR300" s="518" t="str">
        <f>IF(AND(_4="A-319",'2026'!$K$4="CA",'2026'!$K$2=BR271),'2026DATA'!$M$31,"")</f>
        <v/>
      </c>
      <c r="BS300" s="520" t="str">
        <f>IF(AND(_4="A-319",'2026'!$K$4="CA",'2026'!$K$2=BS271),'2026DATA'!$N$31,"")</f>
        <v/>
      </c>
      <c r="BT300" s="940" t="s">
        <v>71</v>
      </c>
      <c r="BU300" s="13" t="s">
        <v>61</v>
      </c>
      <c r="BV300" s="518" t="str">
        <f>IF(AND(_5="A-319",'2026'!$K$4="CA",'2026'!$K$2=BV271),'2026DATA'!$C$31,"")</f>
        <v/>
      </c>
      <c r="BW300" s="518" t="str">
        <f>IF(AND(_5="A-319",'2026'!$K$4="CA",'2026'!$K$2=BW271),'2026DATA'!$D$31,"")</f>
        <v/>
      </c>
      <c r="BX300" s="518" t="str">
        <f>IF(AND(_5="A-319",'2026'!$K$4="CA",'2026'!$K$2=BX271),'2026DATA'!$E$31,"")</f>
        <v/>
      </c>
      <c r="BY300" s="518" t="str">
        <f>IF(AND(_5="A-319",'2026'!$K$4="CA",'2026'!$K$2=BY271),'2026DATA'!$F$31,"")</f>
        <v/>
      </c>
      <c r="BZ300" s="518" t="str">
        <f>IF(AND(_5="A-319",'2026'!$K$4="CA",'2026'!$K$2=BZ271),'2026DATA'!$G$31,"")</f>
        <v/>
      </c>
      <c r="CA300" s="518" t="str">
        <f>IF(AND(_5="A-319",'2026'!$K$4="CA",'2026'!$K$2=CA271),'2026DATA'!$H$31,"")</f>
        <v/>
      </c>
      <c r="CB300" s="518" t="str">
        <f>IF(AND(_5="A-319",'2026'!$K$4="CA",'2026'!$K$2=CB271),'2026DATA'!$I$31,"")</f>
        <v/>
      </c>
      <c r="CC300" s="518" t="str">
        <f>IF(AND(_5="A-319",'2026'!$K$4="CA",'2026'!$K$2=CC271),'2026DATA'!$J$31,"")</f>
        <v/>
      </c>
      <c r="CD300" s="518" t="str">
        <f>IF(AND(_5="A-319",'2026'!$K$4="CA",'2026'!$K$2=CD271),'2026DATA'!$K$31,"")</f>
        <v/>
      </c>
      <c r="CE300" s="518" t="str">
        <f>IF(AND(_5="A-319",'2026'!$K$4="CA",'2026'!$K$2=CE271),'2026DATA'!$L$31,"")</f>
        <v/>
      </c>
      <c r="CF300" s="518" t="str">
        <f>IF(AND(_5="A-319",'2026'!$K$4="CA",'2026'!$K$2=CF271),'2026DATA'!$M$31,"")</f>
        <v/>
      </c>
      <c r="CG300" s="520" t="str">
        <f>IF(AND(_5="A-319",'2026'!$K$4="CA",'2026'!$K$2=CG271),'2026DATA'!$N$31,"")</f>
        <v/>
      </c>
      <c r="CH300" s="940" t="s">
        <v>71</v>
      </c>
      <c r="CI300" s="13" t="s">
        <v>61</v>
      </c>
      <c r="CJ300" s="518" t="str">
        <f>IF(AND(_6="A-319",'2026'!$K$4="CA",'2026'!$K$2=CJ271),'2026DATA'!$C$31,"")</f>
        <v/>
      </c>
      <c r="CK300" s="518" t="str">
        <f>IF(AND(_6="A-319",'2026'!$K$4="CA",'2026'!$K$2=CK271),'2026DATA'!$D$31,"")</f>
        <v/>
      </c>
      <c r="CL300" s="518" t="str">
        <f>IF(AND(_6="A-319",'2026'!$K$4="CA",'2026'!$K$2=CL271),'2026DATA'!$E$31,"")</f>
        <v/>
      </c>
      <c r="CM300" s="518" t="str">
        <f>IF(AND(_6="A-319",'2026'!$K$4="CA",'2026'!$K$2=CM271),'2026DATA'!$F$31,"")</f>
        <v/>
      </c>
      <c r="CN300" s="518" t="str">
        <f>IF(AND(_6="A-319",'2026'!$K$4="CA",'2026'!$K$2=CN271),'2026DATA'!$G$31,"")</f>
        <v/>
      </c>
      <c r="CO300" s="518" t="str">
        <f>IF(AND(_6="A-319",'2026'!$K$4="CA",'2026'!$K$2=CO271),'2026DATA'!$H$31,"")</f>
        <v/>
      </c>
      <c r="CP300" s="518" t="str">
        <f>IF(AND(_6="A-319",'2026'!$K$4="CA",'2026'!$K$2=CP271),'2026DATA'!$I$31,"")</f>
        <v/>
      </c>
      <c r="CQ300" s="518" t="str">
        <f>IF(AND(_6="A-319",'2026'!$K$4="CA",'2026'!$K$2=CQ271),'2026DATA'!$J$31,"")</f>
        <v/>
      </c>
      <c r="CR300" s="518" t="str">
        <f>IF(AND(_6="A-319",'2026'!$K$4="CA",'2026'!$K$2=CR271),'2026DATA'!$K$31,"")</f>
        <v/>
      </c>
      <c r="CS300" s="518" t="str">
        <f>IF(AND(_6="A-319",'2026'!$K$4="CA",'2026'!$K$2=CS271),'2026DATA'!$L$31,"")</f>
        <v/>
      </c>
      <c r="CT300" s="518" t="str">
        <f>IF(AND(_6="A-319",'2026'!$K$4="CA",'2026'!$K$2=CT271),'2026DATA'!$M$31,"")</f>
        <v/>
      </c>
      <c r="CU300" s="520" t="str">
        <f>IF(AND(_6="A-319",'2026'!$K$4="CA",'2026'!$K$2=CU271),'2026DATA'!$N$31,"")</f>
        <v/>
      </c>
    </row>
    <row r="301" spans="16:99" x14ac:dyDescent="0.25">
      <c r="P301" s="940"/>
      <c r="Q301" s="13" t="s">
        <v>62</v>
      </c>
      <c r="R301" s="518" t="str">
        <f>IF(AND(_1="A-319",'2026'!$K$4="FO",'2026'!$K$2=R271),'2026DATA'!$C$32,"")</f>
        <v/>
      </c>
      <c r="S301" s="518" t="str">
        <f>IF(AND(_1="A-319",'2026'!$K$4="FO",'2026'!$K$2=S271),'2026DATA'!$D$32,"")</f>
        <v/>
      </c>
      <c r="T301" s="518" t="str">
        <f>IF(AND(_1="A-319",'2026'!$K$4="FO",'2026'!$K$2=T271),'2026DATA'!$E$32,"")</f>
        <v/>
      </c>
      <c r="U301" s="518" t="str">
        <f>IF(AND(_1="A-319",'2026'!$K$4="FO",'2026'!$K$2=U271),'2026DATA'!$F$32,"")</f>
        <v/>
      </c>
      <c r="V301" s="518" t="str">
        <f>IF(AND(_1="A-319",'2026'!$K$4="FO",'2026'!$K$2=V271),'2026DATA'!$G$32,"")</f>
        <v/>
      </c>
      <c r="W301" s="518" t="str">
        <f>IF(AND(_1="A-319",'2026'!$K$4="FO",'2026'!$K$2=W271),'2026DATA'!$H$32,"")</f>
        <v/>
      </c>
      <c r="X301" s="518" t="str">
        <f>IF(AND(_1="A-319",'2026'!$K$4="FO",'2026'!$K$2=X271),'2026DATA'!$I$32,"")</f>
        <v/>
      </c>
      <c r="Y301" s="518" t="str">
        <f>IF(AND(_1="A-319",'2026'!$K$4="FO",'2026'!$K$2=Y271),'2026DATA'!$J$32,"")</f>
        <v/>
      </c>
      <c r="Z301" s="518" t="str">
        <f>IF(AND(_1="A-319",'2026'!$K$4="FO",'2026'!$K$2=Z271),'2026DATA'!$K$32,"")</f>
        <v/>
      </c>
      <c r="AA301" s="518" t="str">
        <f>IF(AND(_1="A-319",'2026'!$K$4="FO",'2026'!$K$2=AA271),'2026DATA'!$L$32,"")</f>
        <v/>
      </c>
      <c r="AB301" s="518" t="str">
        <f>IF(AND(_1="A-319",'2026'!$K$4="FO",'2026'!$K$2=AB271),'2026DATA'!$M$32,"")</f>
        <v/>
      </c>
      <c r="AC301" s="520" t="str">
        <f>IF(AND(_1="A-319",'2026'!$K$4="FO",'2026'!$K$2=AC271),'2026DATA'!$N$32,"")</f>
        <v/>
      </c>
      <c r="AD301" s="940"/>
      <c r="AE301" s="13" t="s">
        <v>62</v>
      </c>
      <c r="AF301" s="518" t="str">
        <f>IF(AND(_2="A-319",'2026'!$K$4="FO",'2026'!$K$2=AF271),'2026DATA'!$C$32,"")</f>
        <v/>
      </c>
      <c r="AG301" s="518" t="str">
        <f>IF(AND(_2="A-319",'2026'!$K$4="FO",'2026'!$K$2=AG271),'2026DATA'!$D$32,"")</f>
        <v/>
      </c>
      <c r="AH301" s="518" t="str">
        <f>IF(AND(_2="A-319",'2026'!$K$4="FO",'2026'!$K$2=AH271),'2026DATA'!$E$32,"")</f>
        <v/>
      </c>
      <c r="AI301" s="518" t="str">
        <f>IF(AND(_2="A-319",'2026'!$K$4="FO",'2026'!$K$2=AI271),'2026DATA'!$F$32,"")</f>
        <v/>
      </c>
      <c r="AJ301" s="518" t="str">
        <f>IF(AND(_2="A-319",'2026'!$K$4="FO",'2026'!$K$2=AJ271),'2026DATA'!$G$32,"")</f>
        <v/>
      </c>
      <c r="AK301" s="518" t="str">
        <f>IF(AND(_2="A-319",'2026'!$K$4="FO",'2026'!$K$2=AK271),'2026DATA'!$H$32,"")</f>
        <v/>
      </c>
      <c r="AL301" s="518" t="str">
        <f>IF(AND(_2="A-319",'2026'!$K$4="FO",'2026'!$K$2=AL271),'2026DATA'!$I$32,"")</f>
        <v/>
      </c>
      <c r="AM301" s="518" t="str">
        <f>IF(AND(_2="A-319",'2026'!$K$4="FO",'2026'!$K$2=AM271),'2026DATA'!$J$32,"")</f>
        <v/>
      </c>
      <c r="AN301" s="518" t="str">
        <f>IF(AND(_2="A-319",'2026'!$K$4="FO",'2026'!$K$2=AN271),'2026DATA'!$K$32,"")</f>
        <v/>
      </c>
      <c r="AO301" s="518" t="str">
        <f>IF(AND(_2="A-319",'2026'!$K$4="FO",'2026'!$K$2=AO271),'2026DATA'!$L$32,"")</f>
        <v/>
      </c>
      <c r="AP301" s="518" t="str">
        <f>IF(AND(_2="A-319",'2026'!$K$4="FO",'2026'!$K$2=AP271),'2026DATA'!$M$32,"")</f>
        <v/>
      </c>
      <c r="AQ301" s="520" t="str">
        <f>IF(AND(_2="A-319",'2026'!$K$4="FO",'2026'!$K$2=AQ271),'2026DATA'!$N$32,"")</f>
        <v/>
      </c>
      <c r="AR301" s="940"/>
      <c r="AS301" s="13" t="s">
        <v>62</v>
      </c>
      <c r="AT301" s="518" t="str">
        <f>IF(AND(_3="A-319",'2026'!$K$4="FO",'2026'!$K$2=AT271),'2026DATA'!$C$32,"")</f>
        <v/>
      </c>
      <c r="AU301" s="518" t="str">
        <f>IF(AND(_3="A-319",'2026'!$K$4="FO",'2026'!$K$2=AU271),'2026DATA'!$D$32,"")</f>
        <v/>
      </c>
      <c r="AV301" s="518" t="str">
        <f>IF(AND(_3="A-319",'2026'!$K$4="FO",'2026'!$K$2=AV271),'2026DATA'!$E$32,"")</f>
        <v/>
      </c>
      <c r="AW301" s="518" t="str">
        <f>IF(AND(_3="A-319",'2026'!$K$4="FO",'2026'!$K$2=AW271),'2026DATA'!$F$32,"")</f>
        <v/>
      </c>
      <c r="AX301" s="518" t="str">
        <f>IF(AND(_3="A-319",'2026'!$K$4="FO",'2026'!$K$2=AX271),'2026DATA'!$G$32,"")</f>
        <v/>
      </c>
      <c r="AY301" s="518" t="str">
        <f>IF(AND(_3="A-319",'2026'!$K$4="FO",'2026'!$K$2=AY271),'2026DATA'!$H$32,"")</f>
        <v/>
      </c>
      <c r="AZ301" s="518" t="str">
        <f>IF(AND(_3="A-319",'2026'!$K$4="FO",'2026'!$K$2=AZ271),'2026DATA'!$I$32,"")</f>
        <v/>
      </c>
      <c r="BA301" s="518" t="str">
        <f>IF(AND(_3="A-319",'2026'!$K$4="FO",'2026'!$K$2=BA271),'2026DATA'!$J$32,"")</f>
        <v/>
      </c>
      <c r="BB301" s="518" t="str">
        <f>IF(AND(_3="A-319",'2026'!$K$4="FO",'2026'!$K$2=BB271),'2026DATA'!$K$32,"")</f>
        <v/>
      </c>
      <c r="BC301" s="518" t="str">
        <f>IF(AND(_3="A-319",'2026'!$K$4="FO",'2026'!$K$2=BC271),'2026DATA'!$L$32,"")</f>
        <v/>
      </c>
      <c r="BD301" s="518" t="str">
        <f>IF(AND(_3="A-319",'2026'!$K$4="FO",'2026'!$K$2=BD271),'2026DATA'!$M$32,"")</f>
        <v/>
      </c>
      <c r="BE301" s="520" t="str">
        <f>IF(AND(_3="A-319",'2026'!$K$4="FO",'2026'!$K$2=BE271),'2026DATA'!$N$32,"")</f>
        <v/>
      </c>
      <c r="BF301" s="940"/>
      <c r="BG301" s="13" t="s">
        <v>62</v>
      </c>
      <c r="BH301" s="518" t="str">
        <f>IF(AND(_4="A-319",'2026'!$K$4="FO",'2026'!$K$2=BH271),'2026DATA'!$C$32,"")</f>
        <v/>
      </c>
      <c r="BI301" s="518" t="str">
        <f>IF(AND(_4="A-319",'2026'!$K$4="FO",'2026'!$K$2=BI271),'2026DATA'!$D$32,"")</f>
        <v/>
      </c>
      <c r="BJ301" s="518" t="str">
        <f>IF(AND(_4="A-319",'2026'!$K$4="FO",'2026'!$K$2=BJ271),'2026DATA'!$E$32,"")</f>
        <v/>
      </c>
      <c r="BK301" s="518" t="str">
        <f>IF(AND(_4="A-319",'2026'!$K$4="FO",'2026'!$K$2=BK271),'2026DATA'!$F$32,"")</f>
        <v/>
      </c>
      <c r="BL301" s="518" t="str">
        <f>IF(AND(_4="A-319",'2026'!$K$4="FO",'2026'!$K$2=BL271),'2026DATA'!$G$32,"")</f>
        <v/>
      </c>
      <c r="BM301" s="518" t="str">
        <f>IF(AND(_4="A-319",'2026'!$K$4="FO",'2026'!$K$2=BM271),'2026DATA'!$H$32,"")</f>
        <v/>
      </c>
      <c r="BN301" s="518" t="str">
        <f>IF(AND(_4="A-319",'2026'!$K$4="FO",'2026'!$K$2=BN271),'2026DATA'!$I$32,"")</f>
        <v/>
      </c>
      <c r="BO301" s="518" t="str">
        <f>IF(AND(_4="A-319",'2026'!$K$4="FO",'2026'!$K$2=BO271),'2026DATA'!$J$32,"")</f>
        <v/>
      </c>
      <c r="BP301" s="518" t="str">
        <f>IF(AND(_4="A-319",'2026'!$K$4="FO",'2026'!$K$2=BP271),'2026DATA'!$K$32,"")</f>
        <v/>
      </c>
      <c r="BQ301" s="518" t="str">
        <f>IF(AND(_4="A-319",'2026'!$K$4="FO",'2026'!$K$2=BQ271),'2026DATA'!$L$32,"")</f>
        <v/>
      </c>
      <c r="BR301" s="518" t="str">
        <f>IF(AND(_4="A-319",'2026'!$K$4="FO",'2026'!$K$2=BR271),'2026DATA'!$M$32,"")</f>
        <v/>
      </c>
      <c r="BS301" s="520" t="str">
        <f>IF(AND(_4="A-319",'2026'!$K$4="FO",'2026'!$K$2=BS271),'2026DATA'!$N$32,"")</f>
        <v/>
      </c>
      <c r="BT301" s="940"/>
      <c r="BU301" s="13" t="s">
        <v>62</v>
      </c>
      <c r="BV301" s="518" t="str">
        <f>IF(AND(_5="A-319",'2026'!$K$4="FO",'2026'!$K$2=BV271),'2026DATA'!$C$32,"")</f>
        <v/>
      </c>
      <c r="BW301" s="518" t="str">
        <f>IF(AND(_5="A-319",'2026'!$K$4="FO",'2026'!$K$2=BW271),'2026DATA'!$D$32,"")</f>
        <v/>
      </c>
      <c r="BX301" s="518" t="str">
        <f>IF(AND(_5="A-319",'2026'!$K$4="FO",'2026'!$K$2=BX271),'2026DATA'!$E$32,"")</f>
        <v/>
      </c>
      <c r="BY301" s="518" t="str">
        <f>IF(AND(_5="A-319",'2026'!$K$4="FO",'2026'!$K$2=BY271),'2026DATA'!$F$32,"")</f>
        <v/>
      </c>
      <c r="BZ301" s="518" t="str">
        <f>IF(AND(_5="A-319",'2026'!$K$4="FO",'2026'!$K$2=BZ271),'2026DATA'!$G$32,"")</f>
        <v/>
      </c>
      <c r="CA301" s="518" t="str">
        <f>IF(AND(_5="A-319",'2026'!$K$4="FO",'2026'!$K$2=CA271),'2026DATA'!$H$32,"")</f>
        <v/>
      </c>
      <c r="CB301" s="518" t="str">
        <f>IF(AND(_5="A-319",'2026'!$K$4="FO",'2026'!$K$2=CB271),'2026DATA'!$I$32,"")</f>
        <v/>
      </c>
      <c r="CC301" s="518" t="str">
        <f>IF(AND(_5="A-319",'2026'!$K$4="FO",'2026'!$K$2=CC271),'2026DATA'!$J$32,"")</f>
        <v/>
      </c>
      <c r="CD301" s="518" t="str">
        <f>IF(AND(_5="A-319",'2026'!$K$4="FO",'2026'!$K$2=CD271),'2026DATA'!$K$32,"")</f>
        <v/>
      </c>
      <c r="CE301" s="518" t="str">
        <f>IF(AND(_5="A-319",'2026'!$K$4="FO",'2026'!$K$2=CE271),'2026DATA'!$L$32,"")</f>
        <v/>
      </c>
      <c r="CF301" s="518" t="str">
        <f>IF(AND(_5="A-319",'2026'!$K$4="FO",'2026'!$K$2=CF271),'2026DATA'!$M$32,"")</f>
        <v/>
      </c>
      <c r="CG301" s="520" t="str">
        <f>IF(AND(_5="A-319",'2026'!$K$4="FO",'2026'!$K$2=CG271),'2026DATA'!$N$32,"")</f>
        <v/>
      </c>
      <c r="CH301" s="940"/>
      <c r="CI301" s="13" t="s">
        <v>62</v>
      </c>
      <c r="CJ301" s="518" t="str">
        <f>IF(AND(_6="A-319",'2026'!$K$4="FO",'2026'!$K$2=CJ271),'2026DATA'!$C$32,"")</f>
        <v/>
      </c>
      <c r="CK301" s="518" t="str">
        <f>IF(AND(_6="A-319",'2026'!$K$4="FO",'2026'!$K$2=CK271),'2026DATA'!$D$32,"")</f>
        <v/>
      </c>
      <c r="CL301" s="518" t="str">
        <f>IF(AND(_6="A-319",'2026'!$K$4="FO",'2026'!$K$2=CL271),'2026DATA'!$E$32,"")</f>
        <v/>
      </c>
      <c r="CM301" s="518" t="str">
        <f>IF(AND(_6="A-319",'2026'!$K$4="FO",'2026'!$K$2=CM271),'2026DATA'!$F$32,"")</f>
        <v/>
      </c>
      <c r="CN301" s="518" t="str">
        <f>IF(AND(_6="A-319",'2026'!$K$4="FO",'2026'!$K$2=CN271),'2026DATA'!$G$32,"")</f>
        <v/>
      </c>
      <c r="CO301" s="518" t="str">
        <f>IF(AND(_6="A-319",'2026'!$K$4="FO",'2026'!$K$2=CO271),'2026DATA'!$H$32,"")</f>
        <v/>
      </c>
      <c r="CP301" s="518" t="str">
        <f>IF(AND(_6="A-319",'2026'!$K$4="FO",'2026'!$K$2=CP271),'2026DATA'!$I$32,"")</f>
        <v/>
      </c>
      <c r="CQ301" s="518" t="str">
        <f>IF(AND(_6="A-319",'2026'!$K$4="FO",'2026'!$K$2=CQ271),'2026DATA'!$J$32,"")</f>
        <v/>
      </c>
      <c r="CR301" s="518" t="str">
        <f>IF(AND(_6="A-319",'2026'!$K$4="FO",'2026'!$K$2=CR271),'2026DATA'!$K$32,"")</f>
        <v/>
      </c>
      <c r="CS301" s="518" t="str">
        <f>IF(AND(_6="A-319",'2026'!$K$4="FO",'2026'!$K$2=CS271),'2026DATA'!$L$32,"")</f>
        <v/>
      </c>
      <c r="CT301" s="518" t="str">
        <f>IF(AND(_6="A-319",'2026'!$K$4="FO",'2026'!$K$2=CT271),'2026DATA'!$M$32,"")</f>
        <v/>
      </c>
      <c r="CU301" s="520" t="str">
        <f>IF(AND(_6="A-319",'2026'!$K$4="FO",'2026'!$K$2=CU271),'2026DATA'!$N$32,"")</f>
        <v/>
      </c>
    </row>
    <row r="302" spans="16:99" x14ac:dyDescent="0.25">
      <c r="P302" s="940" t="s">
        <v>51</v>
      </c>
      <c r="Q302" s="13" t="s">
        <v>61</v>
      </c>
      <c r="R302" s="518" t="str">
        <f>IF(AND(_1="A-220-300",'2026'!$K$4="CA",'2026'!$K$2=R271),'2026DATA'!$C$33,"")</f>
        <v/>
      </c>
      <c r="S302" s="518" t="str">
        <f>IF(AND(_1="A-220-300",'2026'!$K$4="CA",'2026'!$K$2=S271),'2026DATA'!$D$33,"")</f>
        <v/>
      </c>
      <c r="T302" s="518" t="str">
        <f>IF(AND(_1="A-220-300",'2026'!$K$4="CA",'2026'!$K$2=T271),'2026DATA'!$E$33,"")</f>
        <v/>
      </c>
      <c r="U302" s="518" t="str">
        <f>IF(AND(_1="A-220-300",'2026'!$K$4="CA",'2026'!$K$2=U271),'2026DATA'!$F$33,"")</f>
        <v/>
      </c>
      <c r="V302" s="518" t="str">
        <f>IF(AND(_1="A-220-300",'2026'!$K$4="CA",'2026'!$K$2=V271),'2026DATA'!$G$33,"")</f>
        <v/>
      </c>
      <c r="W302" s="518" t="str">
        <f>IF(AND(_1="A-220-300",'2026'!$K$4="CA",'2026'!$K$2=W271),'2026DATA'!$H$33,"")</f>
        <v/>
      </c>
      <c r="X302" s="518" t="str">
        <f>IF(AND(_1="A-220-300",'2026'!$K$4="CA",'2026'!$K$2=X271),'2026DATA'!$I$33,"")</f>
        <v/>
      </c>
      <c r="Y302" s="518" t="str">
        <f>IF(AND(_1="A-220-300",'2026'!$K$4="CA",'2026'!$K$2=Y271),'2026DATA'!$J$33,"")</f>
        <v/>
      </c>
      <c r="Z302" s="518" t="str">
        <f>IF(AND(_1="A-220-300",'2026'!$K$4="CA",'2026'!$K$2=Z271),'2026DATA'!$K$33,"")</f>
        <v/>
      </c>
      <c r="AA302" s="518" t="str">
        <f>IF(AND(_1="A-220-300",'2026'!$K$4="CA",'2026'!$K$2=AA271),'2026DATA'!$L$33,"")</f>
        <v/>
      </c>
      <c r="AB302" s="518" t="str">
        <f>IF(AND(_1="A-220-300",'2026'!$K$4="CA",'2026'!$K$2=AB271),'2026DATA'!$M$33,"")</f>
        <v/>
      </c>
      <c r="AC302" s="520" t="str">
        <f>IF(AND(_1="A-220-300",'2026'!$K$4="CA",'2026'!$K$2=AC271),'2026DATA'!$N$33,"")</f>
        <v/>
      </c>
      <c r="AD302" s="940" t="s">
        <v>51</v>
      </c>
      <c r="AE302" s="13" t="s">
        <v>61</v>
      </c>
      <c r="AF302" s="518" t="str">
        <f>IF(AND(_2="A-220-300",'2026'!$K$4="CA",'2026'!$K$2=AF271),'2026DATA'!$C$33,"")</f>
        <v/>
      </c>
      <c r="AG302" s="518" t="str">
        <f>IF(AND(_2="A-220-300",'2026'!$K$4="CA",'2026'!$K$2=AG271),'2026DATA'!$D$33,"")</f>
        <v/>
      </c>
      <c r="AH302" s="518" t="str">
        <f>IF(AND(_2="A-220-300",'2026'!$K$4="CA",'2026'!$K$2=AH271),'2026DATA'!$E$33,"")</f>
        <v/>
      </c>
      <c r="AI302" s="518" t="str">
        <f>IF(AND(_2="A-220-300",'2026'!$K$4="CA",'2026'!$K$2=AI271),'2026DATA'!$F$33,"")</f>
        <v/>
      </c>
      <c r="AJ302" s="518" t="str">
        <f>IF(AND(_2="A-220-300",'2026'!$K$4="CA",'2026'!$K$2=AJ271),'2026DATA'!$G$33,"")</f>
        <v/>
      </c>
      <c r="AK302" s="518" t="str">
        <f>IF(AND(_2="A-220-300",'2026'!$K$4="CA",'2026'!$K$2=AK271),'2026DATA'!$H$33,"")</f>
        <v/>
      </c>
      <c r="AL302" s="518" t="str">
        <f>IF(AND(_2="A-220-300",'2026'!$K$4="CA",'2026'!$K$2=AL271),'2026DATA'!$I$33,"")</f>
        <v/>
      </c>
      <c r="AM302" s="518" t="str">
        <f>IF(AND(_2="A-220-300",'2026'!$K$4="CA",'2026'!$K$2=AM271),'2026DATA'!$J$33,"")</f>
        <v/>
      </c>
      <c r="AN302" s="518" t="str">
        <f>IF(AND(_2="A-220-300",'2026'!$K$4="CA",'2026'!$K$2=AN271),'2026DATA'!$K$33,"")</f>
        <v/>
      </c>
      <c r="AO302" s="518" t="str">
        <f>IF(AND(_2="A-220-300",'2026'!$K$4="CA",'2026'!$K$2=AO271),'2026DATA'!$L$33,"")</f>
        <v/>
      </c>
      <c r="AP302" s="518" t="str">
        <f>IF(AND(_2="A-220-300",'2026'!$K$4="CA",'2026'!$K$2=AP271),'2026DATA'!$M$33,"")</f>
        <v/>
      </c>
      <c r="AQ302" s="520" t="str">
        <f>IF(AND(_2="A-220-300",'2026'!$K$4="CA",'2026'!$K$2=AQ271),'2026DATA'!$N$33,"")</f>
        <v/>
      </c>
      <c r="AR302" s="940" t="s">
        <v>51</v>
      </c>
      <c r="AS302" s="13" t="s">
        <v>61</v>
      </c>
      <c r="AT302" s="518" t="str">
        <f>IF(AND(_3="A-220-300",'2026'!$K$4="CA",'2026'!$K$2=AT271),'2026DATA'!$C$33,"")</f>
        <v/>
      </c>
      <c r="AU302" s="518" t="str">
        <f>IF(AND(_3="A-220-300",'2026'!$K$4="CA",'2026'!$K$2=AU271),'2026DATA'!$D$33,"")</f>
        <v/>
      </c>
      <c r="AV302" s="518" t="str">
        <f>IF(AND(_3="A-220-300",'2026'!$K$4="CA",'2026'!$K$2=AV271),'2026DATA'!$E$33,"")</f>
        <v/>
      </c>
      <c r="AW302" s="518" t="str">
        <f>IF(AND(_3="A-220-300",'2026'!$K$4="CA",'2026'!$K$2=AW271),'2026DATA'!$F$33,"")</f>
        <v/>
      </c>
      <c r="AX302" s="518" t="str">
        <f>IF(AND(_3="A-220-300",'2026'!$K$4="CA",'2026'!$K$2=AX271),'2026DATA'!$G$33,"")</f>
        <v/>
      </c>
      <c r="AY302" s="518" t="str">
        <f>IF(AND(_3="A-220-300",'2026'!$K$4="CA",'2026'!$K$2=AY271),'2026DATA'!$H$33,"")</f>
        <v/>
      </c>
      <c r="AZ302" s="518" t="str">
        <f>IF(AND(_3="A-220-300",'2026'!$K$4="CA",'2026'!$K$2=AZ271),'2026DATA'!$I$33,"")</f>
        <v/>
      </c>
      <c r="BA302" s="518" t="str">
        <f>IF(AND(_3="A-220-300",'2026'!$K$4="CA",'2026'!$K$2=BA271),'2026DATA'!$J$33,"")</f>
        <v/>
      </c>
      <c r="BB302" s="518" t="str">
        <f>IF(AND(_3="A-220-300",'2026'!$K$4="CA",'2026'!$K$2=BB271),'2026DATA'!$K$33,"")</f>
        <v/>
      </c>
      <c r="BC302" s="518" t="str">
        <f>IF(AND(_3="A-220-300",'2026'!$K$4="CA",'2026'!$K$2=BC271),'2026DATA'!$L$33,"")</f>
        <v/>
      </c>
      <c r="BD302" s="518" t="str">
        <f>IF(AND(_3="A-220-300",'2026'!$K$4="CA",'2026'!$K$2=BD271),'2026DATA'!$M$33,"")</f>
        <v/>
      </c>
      <c r="BE302" s="520" t="str">
        <f>IF(AND(_3="A-220-300",'2026'!$K$4="CA",'2026'!$K$2=BE271),'2026DATA'!$N$33,"")</f>
        <v/>
      </c>
      <c r="BF302" s="940" t="s">
        <v>51</v>
      </c>
      <c r="BG302" s="13" t="s">
        <v>61</v>
      </c>
      <c r="BH302" s="518" t="str">
        <f>IF(AND(_4="A-220-300",'2026'!$K$4="CA",'2026'!$K$2=BH271),'2026DATA'!$C$33,"")</f>
        <v/>
      </c>
      <c r="BI302" s="518" t="str">
        <f>IF(AND(_4="A-220-300",'2026'!$K$4="CA",'2026'!$K$2=BI271),'2026DATA'!$D$33,"")</f>
        <v/>
      </c>
      <c r="BJ302" s="518" t="str">
        <f>IF(AND(_4="A-220-300",'2026'!$K$4="CA",'2026'!$K$2=BJ271),'2026DATA'!$E$33,"")</f>
        <v/>
      </c>
      <c r="BK302" s="518" t="str">
        <f>IF(AND(_4="A-220-300",'2026'!$K$4="CA",'2026'!$K$2=BK271),'2026DATA'!$F$33,"")</f>
        <v/>
      </c>
      <c r="BL302" s="518" t="str">
        <f>IF(AND(_4="A-220-300",'2026'!$K$4="CA",'2026'!$K$2=BL271),'2026DATA'!$G$33,"")</f>
        <v/>
      </c>
      <c r="BM302" s="518" t="str">
        <f>IF(AND(_4="A-220-300",'2026'!$K$4="CA",'2026'!$K$2=BM271),'2026DATA'!$H$33,"")</f>
        <v/>
      </c>
      <c r="BN302" s="518" t="str">
        <f>IF(AND(_4="A-220-300",'2026'!$K$4="CA",'2026'!$K$2=BN271),'2026DATA'!$I$33,"")</f>
        <v/>
      </c>
      <c r="BO302" s="518" t="str">
        <f>IF(AND(_4="A-220-300",'2026'!$K$4="CA",'2026'!$K$2=BO271),'2026DATA'!$J$33,"")</f>
        <v/>
      </c>
      <c r="BP302" s="518" t="str">
        <f>IF(AND(_4="A-220-300",'2026'!$K$4="CA",'2026'!$K$2=BP271),'2026DATA'!$K$33,"")</f>
        <v/>
      </c>
      <c r="BQ302" s="518" t="str">
        <f>IF(AND(_4="A-220-300",'2026'!$K$4="CA",'2026'!$K$2=BQ271),'2026DATA'!$L$33,"")</f>
        <v/>
      </c>
      <c r="BR302" s="518" t="str">
        <f>IF(AND(_4="A-220-300",'2026'!$K$4="CA",'2026'!$K$2=BR271),'2026DATA'!$M$33,"")</f>
        <v/>
      </c>
      <c r="BS302" s="520" t="str">
        <f>IF(AND(_4="A-220-300",'2026'!$K$4="CA",'2026'!$K$2=BS271),'2026DATA'!$N$33,"")</f>
        <v/>
      </c>
      <c r="BT302" s="940" t="s">
        <v>51</v>
      </c>
      <c r="BU302" s="13" t="s">
        <v>61</v>
      </c>
      <c r="BV302" s="518" t="str">
        <f>IF(AND(_5="A-220-300",'2026'!$K$4="CA",'2026'!$K$2=BV271),'2026DATA'!$C$33,"")</f>
        <v/>
      </c>
      <c r="BW302" s="518" t="str">
        <f>IF(AND(_5="A-220-300",'2026'!$K$4="CA",'2026'!$K$2=BW271),'2026DATA'!$D$33,"")</f>
        <v/>
      </c>
      <c r="BX302" s="518" t="str">
        <f>IF(AND(_5="A-220-300",'2026'!$K$4="CA",'2026'!$K$2=BX271),'2026DATA'!$E$33,"")</f>
        <v/>
      </c>
      <c r="BY302" s="518" t="str">
        <f>IF(AND(_5="A-220-300",'2026'!$K$4="CA",'2026'!$K$2=BY271),'2026DATA'!$F$33,"")</f>
        <v/>
      </c>
      <c r="BZ302" s="518" t="str">
        <f>IF(AND(_5="A-220-300",'2026'!$K$4="CA",'2026'!$K$2=BZ271),'2026DATA'!$G$33,"")</f>
        <v/>
      </c>
      <c r="CA302" s="518" t="str">
        <f>IF(AND(_5="A-220-300",'2026'!$K$4="CA",'2026'!$K$2=CA271),'2026DATA'!$H$33,"")</f>
        <v/>
      </c>
      <c r="CB302" s="518" t="str">
        <f>IF(AND(_5="A-220-300",'2026'!$K$4="CA",'2026'!$K$2=CB271),'2026DATA'!$I$33,"")</f>
        <v/>
      </c>
      <c r="CC302" s="518" t="str">
        <f>IF(AND(_5="A-220-300",'2026'!$K$4="CA",'2026'!$K$2=CC271),'2026DATA'!$J$33,"")</f>
        <v/>
      </c>
      <c r="CD302" s="518" t="str">
        <f>IF(AND(_5="A-220-300",'2026'!$K$4="CA",'2026'!$K$2=CD271),'2026DATA'!$K$33,"")</f>
        <v/>
      </c>
      <c r="CE302" s="518" t="str">
        <f>IF(AND(_5="A-220-300",'2026'!$K$4="CA",'2026'!$K$2=CE271),'2026DATA'!$L$33,"")</f>
        <v/>
      </c>
      <c r="CF302" s="518" t="str">
        <f>IF(AND(_5="A-220-300",'2026'!$K$4="CA",'2026'!$K$2=CF271),'2026DATA'!$M$33,"")</f>
        <v/>
      </c>
      <c r="CG302" s="520" t="str">
        <f>IF(AND(_5="A-220-300",'2026'!$K$4="CA",'2026'!$K$2=CG271),'2026DATA'!$N$33,"")</f>
        <v/>
      </c>
      <c r="CH302" s="940" t="s">
        <v>51</v>
      </c>
      <c r="CI302" s="13" t="s">
        <v>61</v>
      </c>
      <c r="CJ302" s="518" t="str">
        <f>IF(AND(_6="A-220-300",'2026'!$K$4="CA",'2026'!$K$2=CJ271),'2026DATA'!$C$33,"")</f>
        <v/>
      </c>
      <c r="CK302" s="518" t="str">
        <f>IF(AND(_6="A-220-300",'2026'!$K$4="CA",'2026'!$K$2=CK271),'2026DATA'!$D$33,"")</f>
        <v/>
      </c>
      <c r="CL302" s="518" t="str">
        <f>IF(AND(_6="A-220-300",'2026'!$K$4="CA",'2026'!$K$2=CL271),'2026DATA'!$E$33,"")</f>
        <v/>
      </c>
      <c r="CM302" s="518" t="str">
        <f>IF(AND(_6="A-220-300",'2026'!$K$4="CA",'2026'!$K$2=CM271),'2026DATA'!$F$33,"")</f>
        <v/>
      </c>
      <c r="CN302" s="518" t="str">
        <f>IF(AND(_6="A-220-300",'2026'!$K$4="CA",'2026'!$K$2=CN271),'2026DATA'!$G$33,"")</f>
        <v/>
      </c>
      <c r="CO302" s="518" t="str">
        <f>IF(AND(_6="A-220-300",'2026'!$K$4="CA",'2026'!$K$2=CO271),'2026DATA'!$H$33,"")</f>
        <v/>
      </c>
      <c r="CP302" s="518" t="str">
        <f>IF(AND(_6="A-220-300",'2026'!$K$4="CA",'2026'!$K$2=CP271),'2026DATA'!$I$33,"")</f>
        <v/>
      </c>
      <c r="CQ302" s="518" t="str">
        <f>IF(AND(_6="A-220-300",'2026'!$K$4="CA",'2026'!$K$2=CQ271),'2026DATA'!$J$33,"")</f>
        <v/>
      </c>
      <c r="CR302" s="518" t="str">
        <f>IF(AND(_6="A-220-300",'2026'!$K$4="CA",'2026'!$K$2=CR271),'2026DATA'!$K$33,"")</f>
        <v/>
      </c>
      <c r="CS302" s="518" t="str">
        <f>IF(AND(_6="A-220-300",'2026'!$K$4="CA",'2026'!$K$2=CS271),'2026DATA'!$L$33,"")</f>
        <v/>
      </c>
      <c r="CT302" s="518" t="str">
        <f>IF(AND(_6="A-220-300",'2026'!$K$4="CA",'2026'!$K$2=CT271),'2026DATA'!$M$33,"")</f>
        <v/>
      </c>
      <c r="CU302" s="520" t="str">
        <f>IF(AND(_6="A-220-300",'2026'!$K$4="CA",'2026'!$K$2=CU271),'2026DATA'!$N$33,"")</f>
        <v/>
      </c>
    </row>
    <row r="303" spans="16:99" x14ac:dyDescent="0.25">
      <c r="P303" s="940"/>
      <c r="Q303" s="13" t="s">
        <v>62</v>
      </c>
      <c r="R303" s="518" t="str">
        <f>IF(AND(_1="A-220-300",'2026'!$K$4="FO",'2026'!$K$2=R271),'2026DATA'!$C$34,"")</f>
        <v/>
      </c>
      <c r="S303" s="518" t="str">
        <f>IF(AND(_1="A-220-300",'2026'!$K$4="FO",'2026'!$K$2=S271),'2026DATA'!$D$34,"")</f>
        <v/>
      </c>
      <c r="T303" s="518" t="str">
        <f>IF(AND(_1="A-220-300",'2026'!$K$4="FO",'2026'!$K$2=T271),'2026DATA'!$E$34,"")</f>
        <v/>
      </c>
      <c r="U303" s="518" t="str">
        <f>IF(AND(_1="A-220-300",'2026'!$K$4="FO",'2026'!$K$2=U271),'2026DATA'!$F$34,"")</f>
        <v/>
      </c>
      <c r="V303" s="518" t="str">
        <f>IF(AND(_1="A-220-300",'2026'!$K$4="FO",'2026'!$K$2=V271),'2026DATA'!$G$34,"")</f>
        <v/>
      </c>
      <c r="W303" s="518" t="str">
        <f>IF(AND(_1="A-220-300",'2026'!$K$4="FO",'2026'!$K$2=W271),'2026DATA'!$H$34,"")</f>
        <v/>
      </c>
      <c r="X303" s="518" t="str">
        <f>IF(AND(_1="A-220-300",'2026'!$K$4="FO",'2026'!$K$2=X271),'2026DATA'!$I$34,"")</f>
        <v/>
      </c>
      <c r="Y303" s="518" t="str">
        <f>IF(AND(_1="A-220-300",'2026'!$K$4="FO",'2026'!$K$2=Y271),'2026DATA'!$J$34,"")</f>
        <v/>
      </c>
      <c r="Z303" s="518" t="str">
        <f>IF(AND(_1="A-220-300",'2026'!$K$4="FO",'2026'!$K$2=Z271),'2026DATA'!$K$34,"")</f>
        <v/>
      </c>
      <c r="AA303" s="518" t="str">
        <f>IF(AND(_1="A-220-300",'2026'!$K$4="FO",'2026'!$K$2=AA271),'2026DATA'!$L$34,"")</f>
        <v/>
      </c>
      <c r="AB303" s="518" t="str">
        <f>IF(AND(_1="A-220-300",'2026'!$K$4="FO",'2026'!$K$2=AB271),'2026DATA'!$M$34,"")</f>
        <v/>
      </c>
      <c r="AC303" s="520" t="str">
        <f>IF(AND(_1="A-220-300",'2026'!$K$4="FO",'2026'!$K$2=AC271),'2026DATA'!$N$34,"")</f>
        <v/>
      </c>
      <c r="AD303" s="940"/>
      <c r="AE303" s="13" t="s">
        <v>62</v>
      </c>
      <c r="AF303" s="518" t="str">
        <f>IF(AND(_2="A-220-300",'2026'!$K$4="FO",'2026'!$K$2=AF271),'2026DATA'!$C$34,"")</f>
        <v/>
      </c>
      <c r="AG303" s="518" t="str">
        <f>IF(AND(_2="A-220-300",'2026'!$K$4="FO",'2026'!$K$2=AG271),'2026DATA'!$D$34,"")</f>
        <v/>
      </c>
      <c r="AH303" s="518" t="str">
        <f>IF(AND(_2="A-220-300",'2026'!$K$4="FO",'2026'!$K$2=AH271),'2026DATA'!$E$34,"")</f>
        <v/>
      </c>
      <c r="AI303" s="518" t="str">
        <f>IF(AND(_2="A-220-300",'2026'!$K$4="FO",'2026'!$K$2=AI271),'2026DATA'!$F$34,"")</f>
        <v/>
      </c>
      <c r="AJ303" s="518" t="str">
        <f>IF(AND(_2="A-220-300",'2026'!$K$4="FO",'2026'!$K$2=AJ271),'2026DATA'!$G$34,"")</f>
        <v/>
      </c>
      <c r="AK303" s="518" t="str">
        <f>IF(AND(_2="A-220-300",'2026'!$K$4="FO",'2026'!$K$2=AK271),'2026DATA'!$H$34,"")</f>
        <v/>
      </c>
      <c r="AL303" s="518" t="str">
        <f>IF(AND(_2="A-220-300",'2026'!$K$4="FO",'2026'!$K$2=AL271),'2026DATA'!$I$34,"")</f>
        <v/>
      </c>
      <c r="AM303" s="518" t="str">
        <f>IF(AND(_2="A-220-300",'2026'!$K$4="FO",'2026'!$K$2=AM271),'2026DATA'!$J$34,"")</f>
        <v/>
      </c>
      <c r="AN303" s="518" t="str">
        <f>IF(AND(_2="A-220-300",'2026'!$K$4="FO",'2026'!$K$2=AN271),'2026DATA'!$K$34,"")</f>
        <v/>
      </c>
      <c r="AO303" s="518" t="str">
        <f>IF(AND(_2="A-220-300",'2026'!$K$4="FO",'2026'!$K$2=AO271),'2026DATA'!$L$34,"")</f>
        <v/>
      </c>
      <c r="AP303" s="518" t="str">
        <f>IF(AND(_2="A-220-300",'2026'!$K$4="FO",'2026'!$K$2=AP271),'2026DATA'!$M$34,"")</f>
        <v/>
      </c>
      <c r="AQ303" s="520" t="str">
        <f>IF(AND(_2="A-220-300",'2026'!$K$4="FO",'2026'!$K$2=AQ271),'2026DATA'!$N$34,"")</f>
        <v/>
      </c>
      <c r="AR303" s="940"/>
      <c r="AS303" s="13" t="s">
        <v>62</v>
      </c>
      <c r="AT303" s="518" t="str">
        <f>IF(AND(_3="A-220-300",'2026'!$K$4="FO",'2026'!$K$2=AT271),'2026DATA'!$C$34,"")</f>
        <v/>
      </c>
      <c r="AU303" s="518" t="str">
        <f>IF(AND(_3="A-220-300",'2026'!$K$4="FO",'2026'!$K$2=AU271),'2026DATA'!$D$34,"")</f>
        <v/>
      </c>
      <c r="AV303" s="518" t="str">
        <f>IF(AND(_3="A-220-300",'2026'!$K$4="FO",'2026'!$K$2=AV271),'2026DATA'!$E$34,"")</f>
        <v/>
      </c>
      <c r="AW303" s="518" t="str">
        <f>IF(AND(_3="A-220-300",'2026'!$K$4="FO",'2026'!$K$2=AW271),'2026DATA'!$F$34,"")</f>
        <v/>
      </c>
      <c r="AX303" s="518" t="str">
        <f>IF(AND(_3="A-220-300",'2026'!$K$4="FO",'2026'!$K$2=AX271),'2026DATA'!$G$34,"")</f>
        <v/>
      </c>
      <c r="AY303" s="518" t="str">
        <f>IF(AND(_3="A-220-300",'2026'!$K$4="FO",'2026'!$K$2=AY271),'2026DATA'!$H$34,"")</f>
        <v/>
      </c>
      <c r="AZ303" s="518" t="str">
        <f>IF(AND(_3="A-220-300",'2026'!$K$4="FO",'2026'!$K$2=AZ271),'2026DATA'!$I$34,"")</f>
        <v/>
      </c>
      <c r="BA303" s="518" t="str">
        <f>IF(AND(_3="A-220-300",'2026'!$K$4="FO",'2026'!$K$2=BA271),'2026DATA'!$J$34,"")</f>
        <v/>
      </c>
      <c r="BB303" s="518" t="str">
        <f>IF(AND(_3="A-220-300",'2026'!$K$4="FO",'2026'!$K$2=BB271),'2026DATA'!$K$34,"")</f>
        <v/>
      </c>
      <c r="BC303" s="518" t="str">
        <f>IF(AND(_3="A-220-300",'2026'!$K$4="FO",'2026'!$K$2=BC271),'2026DATA'!$L$34,"")</f>
        <v/>
      </c>
      <c r="BD303" s="518" t="str">
        <f>IF(AND(_3="A-220-300",'2026'!$K$4="FO",'2026'!$K$2=BD271),'2026DATA'!$M$34,"")</f>
        <v/>
      </c>
      <c r="BE303" s="520" t="str">
        <f>IF(AND(_3="A-220-300",'2026'!$K$4="FO",'2026'!$K$2=BE271),'2026DATA'!$N$34,"")</f>
        <v/>
      </c>
      <c r="BF303" s="940"/>
      <c r="BG303" s="13" t="s">
        <v>62</v>
      </c>
      <c r="BH303" s="518" t="str">
        <f>IF(AND(_4="A-220-300",'2026'!$K$4="FO",'2026'!$K$2=BH271),'2026DATA'!$C$34,"")</f>
        <v/>
      </c>
      <c r="BI303" s="518" t="str">
        <f>IF(AND(_4="A-220-300",'2026'!$K$4="FO",'2026'!$K$2=BI271),'2026DATA'!$D$34,"")</f>
        <v/>
      </c>
      <c r="BJ303" s="518" t="str">
        <f>IF(AND(_4="A-220-300",'2026'!$K$4="FO",'2026'!$K$2=BJ271),'2026DATA'!$E$34,"")</f>
        <v/>
      </c>
      <c r="BK303" s="518" t="str">
        <f>IF(AND(_4="A-220-300",'2026'!$K$4="FO",'2026'!$K$2=BK271),'2026DATA'!$F$34,"")</f>
        <v/>
      </c>
      <c r="BL303" s="518" t="str">
        <f>IF(AND(_4="A-220-300",'2026'!$K$4="FO",'2026'!$K$2=BL271),'2026DATA'!$G$34,"")</f>
        <v/>
      </c>
      <c r="BM303" s="518" t="str">
        <f>IF(AND(_4="A-220-300",'2026'!$K$4="FO",'2026'!$K$2=BM271),'2026DATA'!$H$34,"")</f>
        <v/>
      </c>
      <c r="BN303" s="518" t="str">
        <f>IF(AND(_4="A-220-300",'2026'!$K$4="FO",'2026'!$K$2=BN271),'2026DATA'!$I$34,"")</f>
        <v/>
      </c>
      <c r="BO303" s="518" t="str">
        <f>IF(AND(_4="A-220-300",'2026'!$K$4="FO",'2026'!$K$2=BO271),'2026DATA'!$J$34,"")</f>
        <v/>
      </c>
      <c r="BP303" s="518" t="str">
        <f>IF(AND(_4="A-220-300",'2026'!$K$4="FO",'2026'!$K$2=BP271),'2026DATA'!$K$34,"")</f>
        <v/>
      </c>
      <c r="BQ303" s="518" t="str">
        <f>IF(AND(_4="A-220-300",'2026'!$K$4="FO",'2026'!$K$2=BQ271),'2026DATA'!$L$34,"")</f>
        <v/>
      </c>
      <c r="BR303" s="518" t="str">
        <f>IF(AND(_4="A-220-300",'2026'!$K$4="FO",'2026'!$K$2=BR271),'2026DATA'!$M$34,"")</f>
        <v/>
      </c>
      <c r="BS303" s="520" t="str">
        <f>IF(AND(_4="A-220-300",'2026'!$K$4="FO",'2026'!$K$2=BS271),'2026DATA'!$N$34,"")</f>
        <v/>
      </c>
      <c r="BT303" s="940"/>
      <c r="BU303" s="13" t="s">
        <v>62</v>
      </c>
      <c r="BV303" s="518" t="str">
        <f>IF(AND(_5="A-220-300",'2026'!$K$4="FO",'2026'!$K$2=BV271),'2026DATA'!$C$34,"")</f>
        <v/>
      </c>
      <c r="BW303" s="518" t="str">
        <f>IF(AND(_5="A-220-300",'2026'!$K$4="FO",'2026'!$K$2=BW271),'2026DATA'!$D$34,"")</f>
        <v/>
      </c>
      <c r="BX303" s="518" t="str">
        <f>IF(AND(_5="A-220-300",'2026'!$K$4="FO",'2026'!$K$2=BX271),'2026DATA'!$E$34,"")</f>
        <v/>
      </c>
      <c r="BY303" s="518" t="str">
        <f>IF(AND(_5="A-220-300",'2026'!$K$4="FO",'2026'!$K$2=BY271),'2026DATA'!$F$34,"")</f>
        <v/>
      </c>
      <c r="BZ303" s="518" t="str">
        <f>IF(AND(_5="A-220-300",'2026'!$K$4="FO",'2026'!$K$2=BZ271),'2026DATA'!$G$34,"")</f>
        <v/>
      </c>
      <c r="CA303" s="518" t="str">
        <f>IF(AND(_5="A-220-300",'2026'!$K$4="FO",'2026'!$K$2=CA271),'2026DATA'!$H$34,"")</f>
        <v/>
      </c>
      <c r="CB303" s="518" t="str">
        <f>IF(AND(_5="A-220-300",'2026'!$K$4="FO",'2026'!$K$2=CB271),'2026DATA'!$I$34,"")</f>
        <v/>
      </c>
      <c r="CC303" s="518" t="str">
        <f>IF(AND(_5="A-220-300",'2026'!$K$4="FO",'2026'!$K$2=CC271),'2026DATA'!$J$34,"")</f>
        <v/>
      </c>
      <c r="CD303" s="518" t="str">
        <f>IF(AND(_5="A-220-300",'2026'!$K$4="FO",'2026'!$K$2=CD271),'2026DATA'!$K$34,"")</f>
        <v/>
      </c>
      <c r="CE303" s="518" t="str">
        <f>IF(AND(_5="A-220-300",'2026'!$K$4="FO",'2026'!$K$2=CE271),'2026DATA'!$L$34,"")</f>
        <v/>
      </c>
      <c r="CF303" s="518" t="str">
        <f>IF(AND(_5="A-220-300",'2026'!$K$4="FO",'2026'!$K$2=CF271),'2026DATA'!$M$34,"")</f>
        <v/>
      </c>
      <c r="CG303" s="520" t="str">
        <f>IF(AND(_5="A-220-300",'2026'!$K$4="FO",'2026'!$K$2=CG271),'2026DATA'!$N$34,"")</f>
        <v/>
      </c>
      <c r="CH303" s="940"/>
      <c r="CI303" s="13" t="s">
        <v>62</v>
      </c>
      <c r="CJ303" s="518" t="str">
        <f>IF(AND(_6="A-220-300",'2026'!$K$4="FO",'2026'!$K$2=CJ271),'2026DATA'!$C$34,"")</f>
        <v/>
      </c>
      <c r="CK303" s="518" t="str">
        <f>IF(AND(_6="A-220-300",'2026'!$K$4="FO",'2026'!$K$2=CK271),'2026DATA'!$D$34,"")</f>
        <v/>
      </c>
      <c r="CL303" s="518" t="str">
        <f>IF(AND(_6="A-220-300",'2026'!$K$4="FO",'2026'!$K$2=CL271),'2026DATA'!$E$34,"")</f>
        <v/>
      </c>
      <c r="CM303" s="518" t="str">
        <f>IF(AND(_6="A-220-300",'2026'!$K$4="FO",'2026'!$K$2=CM271),'2026DATA'!$F$34,"")</f>
        <v/>
      </c>
      <c r="CN303" s="518" t="str">
        <f>IF(AND(_6="A-220-300",'2026'!$K$4="FO",'2026'!$K$2=CN271),'2026DATA'!$G$34,"")</f>
        <v/>
      </c>
      <c r="CO303" s="518" t="str">
        <f>IF(AND(_6="A-220-300",'2026'!$K$4="FO",'2026'!$K$2=CO271),'2026DATA'!$H$34,"")</f>
        <v/>
      </c>
      <c r="CP303" s="518" t="str">
        <f>IF(AND(_6="A-220-300",'2026'!$K$4="FO",'2026'!$K$2=CP271),'2026DATA'!$I$34,"")</f>
        <v/>
      </c>
      <c r="CQ303" s="518" t="str">
        <f>IF(AND(_6="A-220-300",'2026'!$K$4="FO",'2026'!$K$2=CQ271),'2026DATA'!$J$34,"")</f>
        <v/>
      </c>
      <c r="CR303" s="518" t="str">
        <f>IF(AND(_6="A-220-300",'2026'!$K$4="FO",'2026'!$K$2=CR271),'2026DATA'!$K$34,"")</f>
        <v/>
      </c>
      <c r="CS303" s="518" t="str">
        <f>IF(AND(_6="A-220-300",'2026'!$K$4="FO",'2026'!$K$2=CS271),'2026DATA'!$L$34,"")</f>
        <v/>
      </c>
      <c r="CT303" s="518" t="str">
        <f>IF(AND(_6="A-220-300",'2026'!$K$4="FO",'2026'!$K$2=CT271),'2026DATA'!$M$34,"")</f>
        <v/>
      </c>
      <c r="CU303" s="520" t="str">
        <f>IF(AND(_6="A-220-300",'2026'!$K$4="FO",'2026'!$K$2=CU271),'2026DATA'!$N$34,"")</f>
        <v/>
      </c>
    </row>
    <row r="304" spans="16:99" x14ac:dyDescent="0.25">
      <c r="P304" s="940" t="s">
        <v>52</v>
      </c>
      <c r="Q304" s="13" t="s">
        <v>61</v>
      </c>
      <c r="R304" s="518" t="str">
        <f>IF(AND(_1="A-220-100",'2026'!$K$4="CA",'2026'!$K$2=R271),'2026DATA'!$C$35,"")</f>
        <v/>
      </c>
      <c r="S304" s="518" t="str">
        <f>IF(AND(_1="A-220-100",'2026'!$K$4="CA",'2026'!$K$2=S271),'2026DATA'!$D$35,"")</f>
        <v/>
      </c>
      <c r="T304" s="518" t="str">
        <f>IF(AND(_1="A-220-100",'2026'!$K$4="CA",'2026'!$K$2=T271),'2026DATA'!$E$35,"")</f>
        <v/>
      </c>
      <c r="U304" s="518" t="str">
        <f>IF(AND(_1="A-220-100",'2026'!$K$4="CA",'2026'!$K$2=U271),'2026DATA'!$F$35,"")</f>
        <v/>
      </c>
      <c r="V304" s="518" t="str">
        <f>IF(AND(_1="A-220-100",'2026'!$K$4="CA",'2026'!$K$2=V271),'2026DATA'!$G$35,"")</f>
        <v/>
      </c>
      <c r="W304" s="518" t="str">
        <f>IF(AND(_1="A-220-100",'2026'!$K$4="CA",'2026'!$K$2=W271),'2026DATA'!$H$35,"")</f>
        <v/>
      </c>
      <c r="X304" s="518" t="str">
        <f>IF(AND(_1="A-220-100",'2026'!$K$4="CA",'2026'!$K$2=X271),'2026DATA'!$I$35,"")</f>
        <v/>
      </c>
      <c r="Y304" s="518" t="str">
        <f>IF(AND(_1="A-220-100",'2026'!$K$4="CA",'2026'!$K$2=Y271),'2026DATA'!$J$35,"")</f>
        <v/>
      </c>
      <c r="Z304" s="518" t="str">
        <f>IF(AND(_1="A-220-100",'2026'!$K$4="CA",'2026'!$K$2=Z271),'2026DATA'!$K$35,"")</f>
        <v/>
      </c>
      <c r="AA304" s="518" t="str">
        <f>IF(AND(_1="A-220-100",'2026'!$K$4="CA",'2026'!$K$2=AA271),'2026DATA'!$L$35,"")</f>
        <v/>
      </c>
      <c r="AB304" s="518" t="str">
        <f>IF(AND(_1="A-220-100",'2026'!$K$4="CA",'2026'!$K$2=AB271),'2026DATA'!$M$35,"")</f>
        <v/>
      </c>
      <c r="AC304" s="520" t="str">
        <f>IF(AND(_1="A-220-100",'2026'!$K$4="CA",'2026'!$K$2=AC271),'2026DATA'!$N$35,"")</f>
        <v/>
      </c>
      <c r="AD304" s="940" t="s">
        <v>52</v>
      </c>
      <c r="AE304" s="13" t="s">
        <v>61</v>
      </c>
      <c r="AF304" s="518" t="str">
        <f>IF(AND(_2="A-220-100",'2026'!$K$4="CA",'2026'!$K$2=AF271),'2026DATA'!$C$35,"")</f>
        <v/>
      </c>
      <c r="AG304" s="518" t="str">
        <f>IF(AND(_2="A-220-100",'2026'!$K$4="CA",'2026'!$K$2=AG271),'2026DATA'!$D$35,"")</f>
        <v/>
      </c>
      <c r="AH304" s="518" t="str">
        <f>IF(AND(_2="A-220-100",'2026'!$K$4="CA",'2026'!$K$2=AH271),'2026DATA'!$E$35,"")</f>
        <v/>
      </c>
      <c r="AI304" s="518" t="str">
        <f>IF(AND(_2="A-220-100",'2026'!$K$4="CA",'2026'!$K$2=AI271),'2026DATA'!$F$35,"")</f>
        <v/>
      </c>
      <c r="AJ304" s="518" t="str">
        <f>IF(AND(_2="A-220-100",'2026'!$K$4="CA",'2026'!$K$2=AJ271),'2026DATA'!$G$35,"")</f>
        <v/>
      </c>
      <c r="AK304" s="518" t="str">
        <f>IF(AND(_2="A-220-100",'2026'!$K$4="CA",'2026'!$K$2=AK271),'2026DATA'!$H$35,"")</f>
        <v/>
      </c>
      <c r="AL304" s="518" t="str">
        <f>IF(AND(_2="A-220-100",'2026'!$K$4="CA",'2026'!$K$2=AL271),'2026DATA'!$I$35,"")</f>
        <v/>
      </c>
      <c r="AM304" s="518" t="str">
        <f>IF(AND(_2="A-220-100",'2026'!$K$4="CA",'2026'!$K$2=AM271),'2026DATA'!$J$35,"")</f>
        <v/>
      </c>
      <c r="AN304" s="518" t="str">
        <f>IF(AND(_2="A-220-100",'2026'!$K$4="CA",'2026'!$K$2=AN271),'2026DATA'!$K$35,"")</f>
        <v/>
      </c>
      <c r="AO304" s="518" t="str">
        <f>IF(AND(_2="A-220-100",'2026'!$K$4="CA",'2026'!$K$2=AO271),'2026DATA'!$L$35,"")</f>
        <v/>
      </c>
      <c r="AP304" s="518" t="str">
        <f>IF(AND(_2="A-220-100",'2026'!$K$4="CA",'2026'!$K$2=AP271),'2026DATA'!$M$35,"")</f>
        <v/>
      </c>
      <c r="AQ304" s="520" t="str">
        <f>IF(AND(_2="A-220-100",'2026'!$K$4="CA",'2026'!$K$2=AQ271),'2026DATA'!$N$35,"")</f>
        <v/>
      </c>
      <c r="AR304" s="940" t="s">
        <v>52</v>
      </c>
      <c r="AS304" s="13" t="s">
        <v>61</v>
      </c>
      <c r="AT304" s="518" t="str">
        <f>IF(AND(_3="A-220-100",'2026'!$K$4="CA",'2026'!$K$2=AT271),'2026DATA'!$C$35,"")</f>
        <v/>
      </c>
      <c r="AU304" s="518" t="str">
        <f>IF(AND(_3="A-220-100",'2026'!$K$4="CA",'2026'!$K$2=AU271),'2026DATA'!$D$35,"")</f>
        <v/>
      </c>
      <c r="AV304" s="518" t="str">
        <f>IF(AND(_3="A-220-100",'2026'!$K$4="CA",'2026'!$K$2=AV271),'2026DATA'!$E$35,"")</f>
        <v/>
      </c>
      <c r="AW304" s="518" t="str">
        <f>IF(AND(_3="A-220-100",'2026'!$K$4="CA",'2026'!$K$2=AW271),'2026DATA'!$F$35,"")</f>
        <v/>
      </c>
      <c r="AX304" s="518" t="str">
        <f>IF(AND(_3="A-220-100",'2026'!$K$4="CA",'2026'!$K$2=AX271),'2026DATA'!$G$35,"")</f>
        <v/>
      </c>
      <c r="AY304" s="518" t="str">
        <f>IF(AND(_3="A-220-100",'2026'!$K$4="CA",'2026'!$K$2=AY271),'2026DATA'!$H$35,"")</f>
        <v/>
      </c>
      <c r="AZ304" s="518" t="str">
        <f>IF(AND(_3="A-220-100",'2026'!$K$4="CA",'2026'!$K$2=AZ271),'2026DATA'!$I$35,"")</f>
        <v/>
      </c>
      <c r="BA304" s="518" t="str">
        <f>IF(AND(_3="A-220-100",'2026'!$K$4="CA",'2026'!$K$2=BA271),'2026DATA'!$J$35,"")</f>
        <v/>
      </c>
      <c r="BB304" s="518" t="str">
        <f>IF(AND(_3="A-220-100",'2026'!$K$4="CA",'2026'!$K$2=BB271),'2026DATA'!$K$35,"")</f>
        <v/>
      </c>
      <c r="BC304" s="518" t="str">
        <f>IF(AND(_3="A-220-100",'2026'!$K$4="CA",'2026'!$K$2=BC271),'2026DATA'!$L$35,"")</f>
        <v/>
      </c>
      <c r="BD304" s="518" t="str">
        <f>IF(AND(_3="A-220-100",'2026'!$K$4="CA",'2026'!$K$2=BD271),'2026DATA'!$M$35,"")</f>
        <v/>
      </c>
      <c r="BE304" s="520" t="str">
        <f>IF(AND(_3="A-220-100",'2026'!$K$4="CA",'2026'!$K$2=BE271),'2026DATA'!$N$35,"")</f>
        <v/>
      </c>
      <c r="BF304" s="940" t="s">
        <v>52</v>
      </c>
      <c r="BG304" s="13" t="s">
        <v>61</v>
      </c>
      <c r="BH304" s="518" t="str">
        <f>IF(AND(_4="A-220-100",'2026'!$K$4="CA",'2026'!$K$2=BH271),'2026DATA'!$C$35,"")</f>
        <v/>
      </c>
      <c r="BI304" s="518" t="str">
        <f>IF(AND(_4="A-220-100",'2026'!$K$4="CA",'2026'!$K$2=BI271),'2026DATA'!$D$35,"")</f>
        <v/>
      </c>
      <c r="BJ304" s="518" t="str">
        <f>IF(AND(_4="A-220-100",'2026'!$K$4="CA",'2026'!$K$2=BJ271),'2026DATA'!$E$35,"")</f>
        <v/>
      </c>
      <c r="BK304" s="518" t="str">
        <f>IF(AND(_4="A-220-100",'2026'!$K$4="CA",'2026'!$K$2=BK271),'2026DATA'!$F$35,"")</f>
        <v/>
      </c>
      <c r="BL304" s="518" t="str">
        <f>IF(AND(_4="A-220-100",'2026'!$K$4="CA",'2026'!$K$2=BL271),'2026DATA'!$G$35,"")</f>
        <v/>
      </c>
      <c r="BM304" s="518" t="str">
        <f>IF(AND(_4="A-220-100",'2026'!$K$4="CA",'2026'!$K$2=BM271),'2026DATA'!$H$35,"")</f>
        <v/>
      </c>
      <c r="BN304" s="518" t="str">
        <f>IF(AND(_4="A-220-100",'2026'!$K$4="CA",'2026'!$K$2=BN271),'2026DATA'!$I$35,"")</f>
        <v/>
      </c>
      <c r="BO304" s="518" t="str">
        <f>IF(AND(_4="A-220-100",'2026'!$K$4="CA",'2026'!$K$2=BO271),'2026DATA'!$J$35,"")</f>
        <v/>
      </c>
      <c r="BP304" s="518" t="str">
        <f>IF(AND(_4="A-220-100",'2026'!$K$4="CA",'2026'!$K$2=BP271),'2026DATA'!$K$35,"")</f>
        <v/>
      </c>
      <c r="BQ304" s="518" t="str">
        <f>IF(AND(_4="A-220-100",'2026'!$K$4="CA",'2026'!$K$2=BQ271),'2026DATA'!$L$35,"")</f>
        <v/>
      </c>
      <c r="BR304" s="518" t="str">
        <f>IF(AND(_4="A-220-100",'2026'!$K$4="CA",'2026'!$K$2=BR271),'2026DATA'!$M$35,"")</f>
        <v/>
      </c>
      <c r="BS304" s="520" t="str">
        <f>IF(AND(_4="A-220-100",'2026'!$K$4="CA",'2026'!$K$2=BS271),'2026DATA'!$N$35,"")</f>
        <v/>
      </c>
      <c r="BT304" s="940" t="s">
        <v>52</v>
      </c>
      <c r="BU304" s="13" t="s">
        <v>61</v>
      </c>
      <c r="BV304" s="518" t="str">
        <f>IF(AND(_5="A-220-100",'2026'!$K$4="CA",'2026'!$K$2=BV271),'2026DATA'!$C$35,"")</f>
        <v/>
      </c>
      <c r="BW304" s="518" t="str">
        <f>IF(AND(_5="A-220-100",'2026'!$K$4="CA",'2026'!$K$2=BW271),'2026DATA'!$D$35,"")</f>
        <v/>
      </c>
      <c r="BX304" s="518" t="str">
        <f>IF(AND(_5="A-220-100",'2026'!$K$4="CA",'2026'!$K$2=BX271),'2026DATA'!$E$35,"")</f>
        <v/>
      </c>
      <c r="BY304" s="518" t="str">
        <f>IF(AND(_5="A-220-100",'2026'!$K$4="CA",'2026'!$K$2=BY271),'2026DATA'!$F$35,"")</f>
        <v/>
      </c>
      <c r="BZ304" s="518" t="str">
        <f>IF(AND(_5="A-220-100",'2026'!$K$4="CA",'2026'!$K$2=BZ271),'2026DATA'!$G$35,"")</f>
        <v/>
      </c>
      <c r="CA304" s="518" t="str">
        <f>IF(AND(_5="A-220-100",'2026'!$K$4="CA",'2026'!$K$2=CA271),'2026DATA'!$H$35,"")</f>
        <v/>
      </c>
      <c r="CB304" s="518" t="str">
        <f>IF(AND(_5="A-220-100",'2026'!$K$4="CA",'2026'!$K$2=CB271),'2026DATA'!$I$35,"")</f>
        <v/>
      </c>
      <c r="CC304" s="518" t="str">
        <f>IF(AND(_5="A-220-100",'2026'!$K$4="CA",'2026'!$K$2=CC271),'2026DATA'!$J$35,"")</f>
        <v/>
      </c>
      <c r="CD304" s="518" t="str">
        <f>IF(AND(_5="A-220-100",'2026'!$K$4="CA",'2026'!$K$2=CD271),'2026DATA'!$K$35,"")</f>
        <v/>
      </c>
      <c r="CE304" s="518" t="str">
        <f>IF(AND(_5="A-220-100",'2026'!$K$4="CA",'2026'!$K$2=CE271),'2026DATA'!$L$35,"")</f>
        <v/>
      </c>
      <c r="CF304" s="518" t="str">
        <f>IF(AND(_5="A-220-100",'2026'!$K$4="CA",'2026'!$K$2=CF271),'2026DATA'!$M$35,"")</f>
        <v/>
      </c>
      <c r="CG304" s="520" t="str">
        <f>IF(AND(_5="A-220-100",'2026'!$K$4="CA",'2026'!$K$2=CG271),'2026DATA'!$N$35,"")</f>
        <v/>
      </c>
      <c r="CH304" s="940" t="s">
        <v>52</v>
      </c>
      <c r="CI304" s="13" t="s">
        <v>61</v>
      </c>
      <c r="CJ304" s="518" t="str">
        <f>IF(AND(_6="A-220-100",'2026'!$K$4="CA",'2026'!$K$2=CJ271),'2026DATA'!$C$35,"")</f>
        <v/>
      </c>
      <c r="CK304" s="518" t="str">
        <f>IF(AND(_6="A-220-100",'2026'!$K$4="CA",'2026'!$K$2=CK271),'2026DATA'!$D$35,"")</f>
        <v/>
      </c>
      <c r="CL304" s="518" t="str">
        <f>IF(AND(_6="A-220-100",'2026'!$K$4="CA",'2026'!$K$2=CL271),'2026DATA'!$E$35,"")</f>
        <v/>
      </c>
      <c r="CM304" s="518" t="str">
        <f>IF(AND(_6="A-220-100",'2026'!$K$4="CA",'2026'!$K$2=CM271),'2026DATA'!$F$35,"")</f>
        <v/>
      </c>
      <c r="CN304" s="518" t="str">
        <f>IF(AND(_6="A-220-100",'2026'!$K$4="CA",'2026'!$K$2=CN271),'2026DATA'!$G$35,"")</f>
        <v/>
      </c>
      <c r="CO304" s="518" t="str">
        <f>IF(AND(_6="A-220-100",'2026'!$K$4="CA",'2026'!$K$2=CO271),'2026DATA'!$H$35,"")</f>
        <v/>
      </c>
      <c r="CP304" s="518" t="str">
        <f>IF(AND(_6="A-220-100",'2026'!$K$4="CA",'2026'!$K$2=CP271),'2026DATA'!$I$35,"")</f>
        <v/>
      </c>
      <c r="CQ304" s="518" t="str">
        <f>IF(AND(_6="A-220-100",'2026'!$K$4="CA",'2026'!$K$2=CQ271),'2026DATA'!$J$35,"")</f>
        <v/>
      </c>
      <c r="CR304" s="518" t="str">
        <f>IF(AND(_6="A-220-100",'2026'!$K$4="CA",'2026'!$K$2=CR271),'2026DATA'!$K$35,"")</f>
        <v/>
      </c>
      <c r="CS304" s="518" t="str">
        <f>IF(AND(_6="A-220-100",'2026'!$K$4="CA",'2026'!$K$2=CS271),'2026DATA'!$L$35,"")</f>
        <v/>
      </c>
      <c r="CT304" s="518" t="str">
        <f>IF(AND(_6="A-220-100",'2026'!$K$4="CA",'2026'!$K$2=CT271),'2026DATA'!$M$35,"")</f>
        <v/>
      </c>
      <c r="CU304" s="520" t="str">
        <f>IF(AND(_6="A-220-100",'2026'!$K$4="CA",'2026'!$K$2=CU271),'2026DATA'!$N$35,"")</f>
        <v/>
      </c>
    </row>
    <row r="305" spans="16:99" x14ac:dyDescent="0.25">
      <c r="P305" s="940"/>
      <c r="Q305" s="13" t="s">
        <v>62</v>
      </c>
      <c r="R305" s="518" t="str">
        <f>IF(AND(_1="A-220-100",'2026'!$K$4="FO",'2026'!$K$2=R271),'2026DATA'!$C$36,"")</f>
        <v/>
      </c>
      <c r="S305" s="518" t="str">
        <f>IF(AND(_1="A-220-100",'2026'!$K$4="FO",'2026'!$K$2=S271),'2026DATA'!$D$36,"")</f>
        <v/>
      </c>
      <c r="T305" s="518" t="str">
        <f>IF(AND(_1="A-220-100",'2026'!$K$4="FO",'2026'!$K$2=T271),'2026DATA'!$E$36,"")</f>
        <v/>
      </c>
      <c r="U305" s="518" t="str">
        <f>IF(AND(_1="A-220-100",'2026'!$K$4="FO",'2026'!$K$2=U271),'2026DATA'!$F$36,"")</f>
        <v/>
      </c>
      <c r="V305" s="518" t="str">
        <f>IF(AND(_1="A-220-100",'2026'!$K$4="FO",'2026'!$K$2=V271),'2026DATA'!$G$36,"")</f>
        <v/>
      </c>
      <c r="W305" s="518" t="str">
        <f>IF(AND(_1="A-220-100",'2026'!$K$4="FO",'2026'!$K$2=W271),'2026DATA'!$H$36,"")</f>
        <v/>
      </c>
      <c r="X305" s="518" t="str">
        <f>IF(AND(_1="A-220-100",'2026'!$K$4="FO",'2026'!$K$2=X271),'2026DATA'!$I$36,"")</f>
        <v/>
      </c>
      <c r="Y305" s="518" t="str">
        <f>IF(AND(_1="A-220-100",'2026'!$K$4="FO",'2026'!$K$2=Y271),'2026DATA'!$J$36,"")</f>
        <v/>
      </c>
      <c r="Z305" s="518" t="str">
        <f>IF(AND(_1="A-220-100",'2026'!$K$4="FO",'2026'!$K$2=Z271),'2026DATA'!$K$36,"")</f>
        <v/>
      </c>
      <c r="AA305" s="518" t="str">
        <f>IF(AND(_1="A-220-100",'2026'!$K$4="FO",'2026'!$K$2=AA271),'2026DATA'!$L$36,"")</f>
        <v/>
      </c>
      <c r="AB305" s="518" t="str">
        <f>IF(AND(_1="A-220-100",'2026'!$K$4="FO",'2026'!$K$2=AB271),'2026DATA'!$M$36,"")</f>
        <v/>
      </c>
      <c r="AC305" s="520" t="str">
        <f>IF(AND(_1="A-220-100",'2026'!$K$4="FO",'2026'!$K$2=AC271),'2026DATA'!$N$36,"")</f>
        <v/>
      </c>
      <c r="AD305" s="940"/>
      <c r="AE305" s="13" t="s">
        <v>62</v>
      </c>
      <c r="AF305" s="518" t="str">
        <f>IF(AND(_2="A-220-100",'2026'!$K$4="FO",'2026'!$K$2=AF271),'2026DATA'!$C$36,"")</f>
        <v/>
      </c>
      <c r="AG305" s="518" t="str">
        <f>IF(AND(_2="A-220-100",'2026'!$K$4="FO",'2026'!$K$2=AG271),'2026DATA'!$D$36,"")</f>
        <v/>
      </c>
      <c r="AH305" s="518" t="str">
        <f>IF(AND(_2="A-220-100",'2026'!$K$4="FO",'2026'!$K$2=AH271),'2026DATA'!$E$36,"")</f>
        <v/>
      </c>
      <c r="AI305" s="518" t="str">
        <f>IF(AND(_2="A-220-100",'2026'!$K$4="FO",'2026'!$K$2=AI271),'2026DATA'!$F$36,"")</f>
        <v/>
      </c>
      <c r="AJ305" s="518" t="str">
        <f>IF(AND(_2="A-220-100",'2026'!$K$4="FO",'2026'!$K$2=AJ271),'2026DATA'!$G$36,"")</f>
        <v/>
      </c>
      <c r="AK305" s="518" t="str">
        <f>IF(AND(_2="A-220-100",'2026'!$K$4="FO",'2026'!$K$2=AK271),'2026DATA'!$H$36,"")</f>
        <v/>
      </c>
      <c r="AL305" s="518" t="str">
        <f>IF(AND(_2="A-220-100",'2026'!$K$4="FO",'2026'!$K$2=AL271),'2026DATA'!$I$36,"")</f>
        <v/>
      </c>
      <c r="AM305" s="518" t="str">
        <f>IF(AND(_2="A-220-100",'2026'!$K$4="FO",'2026'!$K$2=AM271),'2026DATA'!$J$36,"")</f>
        <v/>
      </c>
      <c r="AN305" s="518" t="str">
        <f>IF(AND(_2="A-220-100",'2026'!$K$4="FO",'2026'!$K$2=AN271),'2026DATA'!$K$36,"")</f>
        <v/>
      </c>
      <c r="AO305" s="518" t="str">
        <f>IF(AND(_2="A-220-100",'2026'!$K$4="FO",'2026'!$K$2=AO271),'2026DATA'!$L$36,"")</f>
        <v/>
      </c>
      <c r="AP305" s="518" t="str">
        <f>IF(AND(_2="A-220-100",'2026'!$K$4="FO",'2026'!$K$2=AP271),'2026DATA'!$M$36,"")</f>
        <v/>
      </c>
      <c r="AQ305" s="520" t="str">
        <f>IF(AND(_2="A-220-100",'2026'!$K$4="FO",'2026'!$K$2=AQ271),'2026DATA'!$N$36,"")</f>
        <v/>
      </c>
      <c r="AR305" s="940"/>
      <c r="AS305" s="13" t="s">
        <v>62</v>
      </c>
      <c r="AT305" s="518" t="str">
        <f>IF(AND(_3="A-220-100",'2026'!$K$4="FO",'2026'!$K$2=AT271),'2026DATA'!$C$36,"")</f>
        <v/>
      </c>
      <c r="AU305" s="518" t="str">
        <f>IF(AND(_3="A-220-100",'2026'!$K$4="FO",'2026'!$K$2=AU271),'2026DATA'!$D$36,"")</f>
        <v/>
      </c>
      <c r="AV305" s="518" t="str">
        <f>IF(AND(_3="A-220-100",'2026'!$K$4="FO",'2026'!$K$2=AV271),'2026DATA'!$E$36,"")</f>
        <v/>
      </c>
      <c r="AW305" s="518" t="str">
        <f>IF(AND(_3="A-220-100",'2026'!$K$4="FO",'2026'!$K$2=AW271),'2026DATA'!$F$36,"")</f>
        <v/>
      </c>
      <c r="AX305" s="518" t="str">
        <f>IF(AND(_3="A-220-100",'2026'!$K$4="FO",'2026'!$K$2=AX271),'2026DATA'!$G$36,"")</f>
        <v/>
      </c>
      <c r="AY305" s="518" t="str">
        <f>IF(AND(_3="A-220-100",'2026'!$K$4="FO",'2026'!$K$2=AY271),'2026DATA'!$H$36,"")</f>
        <v/>
      </c>
      <c r="AZ305" s="518" t="str">
        <f>IF(AND(_3="A-220-100",'2026'!$K$4="FO",'2026'!$K$2=AZ271),'2026DATA'!$I$36,"")</f>
        <v/>
      </c>
      <c r="BA305" s="518" t="str">
        <f>IF(AND(_3="A-220-100",'2026'!$K$4="FO",'2026'!$K$2=BA271),'2026DATA'!$J$36,"")</f>
        <v/>
      </c>
      <c r="BB305" s="518" t="str">
        <f>IF(AND(_3="A-220-100",'2026'!$K$4="FO",'2026'!$K$2=BB271),'2026DATA'!$K$36,"")</f>
        <v/>
      </c>
      <c r="BC305" s="518" t="str">
        <f>IF(AND(_3="A-220-100",'2026'!$K$4="FO",'2026'!$K$2=BC271),'2026DATA'!$L$36,"")</f>
        <v/>
      </c>
      <c r="BD305" s="518" t="str">
        <f>IF(AND(_3="A-220-100",'2026'!$K$4="FO",'2026'!$K$2=BD271),'2026DATA'!$M$36,"")</f>
        <v/>
      </c>
      <c r="BE305" s="520" t="str">
        <f>IF(AND(_3="A-220-100",'2026'!$K$4="FO",'2026'!$K$2=BE271),'2026DATA'!$N$36,"")</f>
        <v/>
      </c>
      <c r="BF305" s="940"/>
      <c r="BG305" s="13" t="s">
        <v>62</v>
      </c>
      <c r="BH305" s="518" t="str">
        <f>IF(AND(_4="A-220-100",'2026'!$K$4="FO",'2026'!$K$2=BH271),'2026DATA'!$C$36,"")</f>
        <v/>
      </c>
      <c r="BI305" s="518" t="str">
        <f>IF(AND(_4="A-220-100",'2026'!$K$4="FO",'2026'!$K$2=BI271),'2026DATA'!$D$36,"")</f>
        <v/>
      </c>
      <c r="BJ305" s="518" t="str">
        <f>IF(AND(_4="A-220-100",'2026'!$K$4="FO",'2026'!$K$2=BJ271),'2026DATA'!$E$36,"")</f>
        <v/>
      </c>
      <c r="BK305" s="518" t="str">
        <f>IF(AND(_4="A-220-100",'2026'!$K$4="FO",'2026'!$K$2=BK271),'2026DATA'!$F$36,"")</f>
        <v/>
      </c>
      <c r="BL305" s="518" t="str">
        <f>IF(AND(_4="A-220-100",'2026'!$K$4="FO",'2026'!$K$2=BL271),'2026DATA'!$G$36,"")</f>
        <v/>
      </c>
      <c r="BM305" s="518" t="str">
        <f>IF(AND(_4="A-220-100",'2026'!$K$4="FO",'2026'!$K$2=BM271),'2026DATA'!$H$36,"")</f>
        <v/>
      </c>
      <c r="BN305" s="518" t="str">
        <f>IF(AND(_4="A-220-100",'2026'!$K$4="FO",'2026'!$K$2=BN271),'2026DATA'!$I$36,"")</f>
        <v/>
      </c>
      <c r="BO305" s="518" t="str">
        <f>IF(AND(_4="A-220-100",'2026'!$K$4="FO",'2026'!$K$2=BO271),'2026DATA'!$J$36,"")</f>
        <v/>
      </c>
      <c r="BP305" s="518" t="str">
        <f>IF(AND(_4="A-220-100",'2026'!$K$4="FO",'2026'!$K$2=BP271),'2026DATA'!$K$36,"")</f>
        <v/>
      </c>
      <c r="BQ305" s="518" t="str">
        <f>IF(AND(_4="A-220-100",'2026'!$K$4="FO",'2026'!$K$2=BQ271),'2026DATA'!$L$36,"")</f>
        <v/>
      </c>
      <c r="BR305" s="518" t="str">
        <f>IF(AND(_4="A-220-100",'2026'!$K$4="FO",'2026'!$K$2=BR271),'2026DATA'!$M$36,"")</f>
        <v/>
      </c>
      <c r="BS305" s="520" t="str">
        <f>IF(AND(_4="A-220-100",'2026'!$K$4="FO",'2026'!$K$2=BS271),'2026DATA'!$N$36,"")</f>
        <v/>
      </c>
      <c r="BT305" s="940"/>
      <c r="BU305" s="13" t="s">
        <v>62</v>
      </c>
      <c r="BV305" s="518" t="str">
        <f>IF(AND(_5="A-220-100",'2026'!$K$4="FO",'2026'!$K$2=BV271),'2026DATA'!$C$36,"")</f>
        <v/>
      </c>
      <c r="BW305" s="518" t="str">
        <f>IF(AND(_5="A-220-100",'2026'!$K$4="FO",'2026'!$K$2=BW271),'2026DATA'!$D$36,"")</f>
        <v/>
      </c>
      <c r="BX305" s="518" t="str">
        <f>IF(AND(_5="A-220-100",'2026'!$K$4="FO",'2026'!$K$2=BX271),'2026DATA'!$E$36,"")</f>
        <v/>
      </c>
      <c r="BY305" s="518" t="str">
        <f>IF(AND(_5="A-220-100",'2026'!$K$4="FO",'2026'!$K$2=BY271),'2026DATA'!$F$36,"")</f>
        <v/>
      </c>
      <c r="BZ305" s="518" t="str">
        <f>IF(AND(_5="A-220-100",'2026'!$K$4="FO",'2026'!$K$2=BZ271),'2026DATA'!$G$36,"")</f>
        <v/>
      </c>
      <c r="CA305" s="518" t="str">
        <f>IF(AND(_5="A-220-100",'2026'!$K$4="FO",'2026'!$K$2=CA271),'2026DATA'!$H$36,"")</f>
        <v/>
      </c>
      <c r="CB305" s="518" t="str">
        <f>IF(AND(_5="A-220-100",'2026'!$K$4="FO",'2026'!$K$2=CB271),'2026DATA'!$I$36,"")</f>
        <v/>
      </c>
      <c r="CC305" s="518" t="str">
        <f>IF(AND(_5="A-220-100",'2026'!$K$4="FO",'2026'!$K$2=CC271),'2026DATA'!$J$36,"")</f>
        <v/>
      </c>
      <c r="CD305" s="518" t="str">
        <f>IF(AND(_5="A-220-100",'2026'!$K$4="FO",'2026'!$K$2=CD271),'2026DATA'!$K$36,"")</f>
        <v/>
      </c>
      <c r="CE305" s="518" t="str">
        <f>IF(AND(_5="A-220-100",'2026'!$K$4="FO",'2026'!$K$2=CE271),'2026DATA'!$L$36,"")</f>
        <v/>
      </c>
      <c r="CF305" s="518" t="str">
        <f>IF(AND(_5="A-220-100",'2026'!$K$4="FO",'2026'!$K$2=CF271),'2026DATA'!$M$36,"")</f>
        <v/>
      </c>
      <c r="CG305" s="520" t="str">
        <f>IF(AND(_5="A-220-100",'2026'!$K$4="FO",'2026'!$K$2=CG271),'2026DATA'!$N$36,"")</f>
        <v/>
      </c>
      <c r="CH305" s="940"/>
      <c r="CI305" s="13" t="s">
        <v>62</v>
      </c>
      <c r="CJ305" s="518" t="str">
        <f>IF(AND(_6="A-220-100",'2026'!$K$4="FO",'2026'!$K$2=CJ271),'2026DATA'!$C$36,"")</f>
        <v/>
      </c>
      <c r="CK305" s="518" t="str">
        <f>IF(AND(_6="A-220-100",'2026'!$K$4="FO",'2026'!$K$2=CK271),'2026DATA'!$D$36,"")</f>
        <v/>
      </c>
      <c r="CL305" s="518" t="str">
        <f>IF(AND(_6="A-220-100",'2026'!$K$4="FO",'2026'!$K$2=CL271),'2026DATA'!$E$36,"")</f>
        <v/>
      </c>
      <c r="CM305" s="518" t="str">
        <f>IF(AND(_6="A-220-100",'2026'!$K$4="FO",'2026'!$K$2=CM271),'2026DATA'!$F$36,"")</f>
        <v/>
      </c>
      <c r="CN305" s="518" t="str">
        <f>IF(AND(_6="A-220-100",'2026'!$K$4="FO",'2026'!$K$2=CN271),'2026DATA'!$G$36,"")</f>
        <v/>
      </c>
      <c r="CO305" s="518" t="str">
        <f>IF(AND(_6="A-220-100",'2026'!$K$4="FO",'2026'!$K$2=CO271),'2026DATA'!$H$36,"")</f>
        <v/>
      </c>
      <c r="CP305" s="518" t="str">
        <f>IF(AND(_6="A-220-100",'2026'!$K$4="FO",'2026'!$K$2=CP271),'2026DATA'!$I$36,"")</f>
        <v/>
      </c>
      <c r="CQ305" s="518" t="str">
        <f>IF(AND(_6="A-220-100",'2026'!$K$4="FO",'2026'!$K$2=CQ271),'2026DATA'!$J$36,"")</f>
        <v/>
      </c>
      <c r="CR305" s="518" t="str">
        <f>IF(AND(_6="A-220-100",'2026'!$K$4="FO",'2026'!$K$2=CR271),'2026DATA'!$K$36,"")</f>
        <v/>
      </c>
      <c r="CS305" s="518" t="str">
        <f>IF(AND(_6="A-220-100",'2026'!$K$4="FO",'2026'!$K$2=CS271),'2026DATA'!$L$36,"")</f>
        <v/>
      </c>
      <c r="CT305" s="518" t="str">
        <f>IF(AND(_6="A-220-100",'2026'!$K$4="FO",'2026'!$K$2=CT271),'2026DATA'!$M$36,"")</f>
        <v/>
      </c>
      <c r="CU305" s="520" t="str">
        <f>IF(AND(_6="A-220-100",'2026'!$K$4="FO",'2026'!$K$2=CU271),'2026DATA'!$N$36,"")</f>
        <v/>
      </c>
    </row>
    <row r="306" spans="16:99" x14ac:dyDescent="0.25">
      <c r="P306" s="940" t="s">
        <v>53</v>
      </c>
      <c r="Q306" s="13" t="s">
        <v>61</v>
      </c>
      <c r="R306" s="518" t="str">
        <f>IF(AND(_1="B-717",'2026'!$K$4="CA",'2026'!$K$2=R271),'2026DATA'!$C$37,"")</f>
        <v/>
      </c>
      <c r="S306" s="518" t="str">
        <f>IF(AND(_1="B-717",'2026'!$K$4="CA",'2026'!$K$2=S271),'2026DATA'!$D$37,"")</f>
        <v/>
      </c>
      <c r="T306" s="518" t="str">
        <f>IF(AND(_1="B-717",'2026'!$K$4="CA",'2026'!$K$2=T271),'2026DATA'!$E$37,"")</f>
        <v/>
      </c>
      <c r="U306" s="518" t="str">
        <f>IF(AND(_1="B-717",'2026'!$K$4="CA",'2026'!$K$2=U271),'2026DATA'!$F$37,"")</f>
        <v/>
      </c>
      <c r="V306" s="518" t="str">
        <f>IF(AND(_1="B-717",'2026'!$K$4="CA",'2026'!$K$2=V271),'2026DATA'!$G$37,"")</f>
        <v/>
      </c>
      <c r="W306" s="518" t="str">
        <f>IF(AND(_1="B-717",'2026'!$K$4="CA",'2026'!$K$2=W271),'2026DATA'!$H$37,"")</f>
        <v/>
      </c>
      <c r="X306" s="518" t="str">
        <f>IF(AND(_1="B-717",'2026'!$K$4="CA",'2026'!$K$2=X271),'2026DATA'!$I$37,"")</f>
        <v/>
      </c>
      <c r="Y306" s="518" t="str">
        <f>IF(AND(_1="B-717",'2026'!$K$4="CA",'2026'!$K$2=Y271),'2026DATA'!$J$37,"")</f>
        <v/>
      </c>
      <c r="Z306" s="518" t="str">
        <f>IF(AND(_1="B-717",'2026'!$K$4="CA",'2026'!$K$2=Z271),'2026DATA'!$K$37,"")</f>
        <v/>
      </c>
      <c r="AA306" s="518" t="str">
        <f>IF(AND(_1="B-717",'2026'!$K$4="CA",'2026'!$K$2=AA271),'2026DATA'!$L$37,"")</f>
        <v/>
      </c>
      <c r="AB306" s="518" t="str">
        <f>IF(AND(_1="B-717",'2026'!$K$4="CA",'2026'!$K$2=AB271),'2026DATA'!$M$37,"")</f>
        <v/>
      </c>
      <c r="AC306" s="520" t="str">
        <f>IF(AND(_1="B-717",'2026'!$K$4="CA",'2026'!$K$2=AC271),'2026DATA'!$N$37,"")</f>
        <v/>
      </c>
      <c r="AD306" s="940" t="s">
        <v>53</v>
      </c>
      <c r="AE306" s="13" t="s">
        <v>61</v>
      </c>
      <c r="AF306" s="518" t="str">
        <f>IF(AND(_2="B-717",'2026'!$K$4="CA",'2026'!$K$2=AF271),'2026DATA'!$C$37,"")</f>
        <v/>
      </c>
      <c r="AG306" s="518" t="str">
        <f>IF(AND(_2="B-717",'2026'!$K$4="CA",'2026'!$K$2=AG271),'2026DATA'!$D$37,"")</f>
        <v/>
      </c>
      <c r="AH306" s="518" t="str">
        <f>IF(AND(_2="B-717",'2026'!$K$4="CA",'2026'!$K$2=AH271),'2026DATA'!$E$37,"")</f>
        <v/>
      </c>
      <c r="AI306" s="518" t="str">
        <f>IF(AND(_2="B-717",'2026'!$K$4="CA",'2026'!$K$2=AI271),'2026DATA'!$F$37,"")</f>
        <v/>
      </c>
      <c r="AJ306" s="518" t="str">
        <f>IF(AND(_2="B-717",'2026'!$K$4="CA",'2026'!$K$2=AJ271),'2026DATA'!$G$37,"")</f>
        <v/>
      </c>
      <c r="AK306" s="518" t="str">
        <f>IF(AND(_2="B-717",'2026'!$K$4="CA",'2026'!$K$2=AK271),'2026DATA'!$H$37,"")</f>
        <v/>
      </c>
      <c r="AL306" s="518" t="str">
        <f>IF(AND(_2="B-717",'2026'!$K$4="CA",'2026'!$K$2=AL271),'2026DATA'!$I$37,"")</f>
        <v/>
      </c>
      <c r="AM306" s="518" t="str">
        <f>IF(AND(_2="B-717",'2026'!$K$4="CA",'2026'!$K$2=AM271),'2026DATA'!$J$37,"")</f>
        <v/>
      </c>
      <c r="AN306" s="518" t="str">
        <f>IF(AND(_2="B-717",'2026'!$K$4="CA",'2026'!$K$2=AN271),'2026DATA'!$K$37,"")</f>
        <v/>
      </c>
      <c r="AO306" s="518" t="str">
        <f>IF(AND(_2="B-717",'2026'!$K$4="CA",'2026'!$K$2=AO271),'2026DATA'!$L$37,"")</f>
        <v/>
      </c>
      <c r="AP306" s="518" t="str">
        <f>IF(AND(_2="B-717",'2026'!$K$4="CA",'2026'!$K$2=AP271),'2026DATA'!$M$37,"")</f>
        <v/>
      </c>
      <c r="AQ306" s="520" t="str">
        <f>IF(AND(_2="B-717",'2026'!$K$4="CA",'2026'!$K$2=AQ271),'2026DATA'!$N$37,"")</f>
        <v/>
      </c>
      <c r="AR306" s="940" t="s">
        <v>53</v>
      </c>
      <c r="AS306" s="13" t="s">
        <v>61</v>
      </c>
      <c r="AT306" s="518" t="str">
        <f>IF(AND(_3="B-717",'2026'!$K$4="CA",'2026'!$K$2=AT271),'2026DATA'!$C$37,"")</f>
        <v/>
      </c>
      <c r="AU306" s="518" t="str">
        <f>IF(AND(_3="B-717",'2026'!$K$4="CA",'2026'!$K$2=AU271),'2026DATA'!$D$37,"")</f>
        <v/>
      </c>
      <c r="AV306" s="518" t="str">
        <f>IF(AND(_3="B-717",'2026'!$K$4="CA",'2026'!$K$2=AV271),'2026DATA'!$E$37,"")</f>
        <v/>
      </c>
      <c r="AW306" s="518" t="str">
        <f>IF(AND(_3="B-717",'2026'!$K$4="CA",'2026'!$K$2=AW271),'2026DATA'!$F$37,"")</f>
        <v/>
      </c>
      <c r="AX306" s="518" t="str">
        <f>IF(AND(_3="B-717",'2026'!$K$4="CA",'2026'!$K$2=AX271),'2026DATA'!$G$37,"")</f>
        <v/>
      </c>
      <c r="AY306" s="518" t="str">
        <f>IF(AND(_3="B-717",'2026'!$K$4="CA",'2026'!$K$2=AY271),'2026DATA'!$H$37,"")</f>
        <v/>
      </c>
      <c r="AZ306" s="518" t="str">
        <f>IF(AND(_3="B-717",'2026'!$K$4="CA",'2026'!$K$2=AZ271),'2026DATA'!$I$37,"")</f>
        <v/>
      </c>
      <c r="BA306" s="518" t="str">
        <f>IF(AND(_3="B-717",'2026'!$K$4="CA",'2026'!$K$2=BA271),'2026DATA'!$J$37,"")</f>
        <v/>
      </c>
      <c r="BB306" s="518" t="str">
        <f>IF(AND(_3="B-717",'2026'!$K$4="CA",'2026'!$K$2=BB271),'2026DATA'!$K$37,"")</f>
        <v/>
      </c>
      <c r="BC306" s="518" t="str">
        <f>IF(AND(_3="B-717",'2026'!$K$4="CA",'2026'!$K$2=BC271),'2026DATA'!$L$37,"")</f>
        <v/>
      </c>
      <c r="BD306" s="518" t="str">
        <f>IF(AND(_3="B-717",'2026'!$K$4="CA",'2026'!$K$2=BD271),'2026DATA'!$M$37,"")</f>
        <v/>
      </c>
      <c r="BE306" s="520" t="str">
        <f>IF(AND(_3="B-717",'2026'!$K$4="CA",'2026'!$K$2=BE271),'2026DATA'!$N$37,"")</f>
        <v/>
      </c>
      <c r="BF306" s="940" t="s">
        <v>53</v>
      </c>
      <c r="BG306" s="13" t="s">
        <v>61</v>
      </c>
      <c r="BH306" s="518" t="str">
        <f>IF(AND(_4="B-717",'2026'!$K$4="CA",'2026'!$K$2=BH271),'2026DATA'!$C$37,"")</f>
        <v/>
      </c>
      <c r="BI306" s="518" t="str">
        <f>IF(AND(_4="B-717",'2026'!$K$4="CA",'2026'!$K$2=BI271),'2026DATA'!$D$37,"")</f>
        <v/>
      </c>
      <c r="BJ306" s="518" t="str">
        <f>IF(AND(_4="B-717",'2026'!$K$4="CA",'2026'!$K$2=BJ271),'2026DATA'!$E$37,"")</f>
        <v/>
      </c>
      <c r="BK306" s="518" t="str">
        <f>IF(AND(_4="B-717",'2026'!$K$4="CA",'2026'!$K$2=BK271),'2026DATA'!$F$37,"")</f>
        <v/>
      </c>
      <c r="BL306" s="518" t="str">
        <f>IF(AND(_4="B-717",'2026'!$K$4="CA",'2026'!$K$2=BL271),'2026DATA'!$G$37,"")</f>
        <v/>
      </c>
      <c r="BM306" s="518" t="str">
        <f>IF(AND(_4="B-717",'2026'!$K$4="CA",'2026'!$K$2=BM271),'2026DATA'!$H$37,"")</f>
        <v/>
      </c>
      <c r="BN306" s="518" t="str">
        <f>IF(AND(_4="B-717",'2026'!$K$4="CA",'2026'!$K$2=BN271),'2026DATA'!$I$37,"")</f>
        <v/>
      </c>
      <c r="BO306" s="518" t="str">
        <f>IF(AND(_4="B-717",'2026'!$K$4="CA",'2026'!$K$2=BO271),'2026DATA'!$J$37,"")</f>
        <v/>
      </c>
      <c r="BP306" s="518" t="str">
        <f>IF(AND(_4="B-717",'2026'!$K$4="CA",'2026'!$K$2=BP271),'2026DATA'!$K$37,"")</f>
        <v/>
      </c>
      <c r="BQ306" s="518" t="str">
        <f>IF(AND(_4="B-717",'2026'!$K$4="CA",'2026'!$K$2=BQ271),'2026DATA'!$L$37,"")</f>
        <v/>
      </c>
      <c r="BR306" s="518" t="str">
        <f>IF(AND(_4="B-717",'2026'!$K$4="CA",'2026'!$K$2=BR271),'2026DATA'!$M$37,"")</f>
        <v/>
      </c>
      <c r="BS306" s="520" t="str">
        <f>IF(AND(_4="B-717",'2026'!$K$4="CA",'2026'!$K$2=BS271),'2026DATA'!$N$37,"")</f>
        <v/>
      </c>
      <c r="BT306" s="940" t="s">
        <v>53</v>
      </c>
      <c r="BU306" s="13" t="s">
        <v>61</v>
      </c>
      <c r="BV306" s="518" t="str">
        <f>IF(AND(_5="B-717",'2026'!$K$4="CA",'2026'!$K$2=BV271),'2026DATA'!$C$37,"")</f>
        <v/>
      </c>
      <c r="BW306" s="518" t="str">
        <f>IF(AND(_5="B-717",'2026'!$K$4="CA",'2026'!$K$2=BW271),'2026DATA'!$D$37,"")</f>
        <v/>
      </c>
      <c r="BX306" s="518" t="str">
        <f>IF(AND(_5="B-717",'2026'!$K$4="CA",'2026'!$K$2=BX271),'2026DATA'!$E$37,"")</f>
        <v/>
      </c>
      <c r="BY306" s="518" t="str">
        <f>IF(AND(_5="B-717",'2026'!$K$4="CA",'2026'!$K$2=BY271),'2026DATA'!$F$37,"")</f>
        <v/>
      </c>
      <c r="BZ306" s="518" t="str">
        <f>IF(AND(_5="B-717",'2026'!$K$4="CA",'2026'!$K$2=BZ271),'2026DATA'!$G$37,"")</f>
        <v/>
      </c>
      <c r="CA306" s="518" t="str">
        <f>IF(AND(_5="B-717",'2026'!$K$4="CA",'2026'!$K$2=CA271),'2026DATA'!$H$37,"")</f>
        <v/>
      </c>
      <c r="CB306" s="518" t="str">
        <f>IF(AND(_5="B-717",'2026'!$K$4="CA",'2026'!$K$2=CB271),'2026DATA'!$I$37,"")</f>
        <v/>
      </c>
      <c r="CC306" s="518" t="str">
        <f>IF(AND(_5="B-717",'2026'!$K$4="CA",'2026'!$K$2=CC271),'2026DATA'!$J$37,"")</f>
        <v/>
      </c>
      <c r="CD306" s="518" t="str">
        <f>IF(AND(_5="B-717",'2026'!$K$4="CA",'2026'!$K$2=CD271),'2026DATA'!$K$37,"")</f>
        <v/>
      </c>
      <c r="CE306" s="518" t="str">
        <f>IF(AND(_5="B-717",'2026'!$K$4="CA",'2026'!$K$2=CE271),'2026DATA'!$L$37,"")</f>
        <v/>
      </c>
      <c r="CF306" s="518" t="str">
        <f>IF(AND(_5="B-717",'2026'!$K$4="CA",'2026'!$K$2=CF271),'2026DATA'!$M$37,"")</f>
        <v/>
      </c>
      <c r="CG306" s="520" t="str">
        <f>IF(AND(_5="B-717",'2026'!$K$4="CA",'2026'!$K$2=CG271),'2026DATA'!$N$37,"")</f>
        <v/>
      </c>
      <c r="CH306" s="940" t="s">
        <v>53</v>
      </c>
      <c r="CI306" s="13" t="s">
        <v>61</v>
      </c>
      <c r="CJ306" s="518" t="str">
        <f>IF(AND(_6="B-717",'2026'!$K$4="CA",'2026'!$K$2=CJ271),'2026DATA'!$C$37,"")</f>
        <v/>
      </c>
      <c r="CK306" s="518" t="str">
        <f>IF(AND(_6="B-717",'2026'!$K$4="CA",'2026'!$K$2=CK271),'2026DATA'!$D$37,"")</f>
        <v/>
      </c>
      <c r="CL306" s="518" t="str">
        <f>IF(AND(_6="B-717",'2026'!$K$4="CA",'2026'!$K$2=CL271),'2026DATA'!$E$37,"")</f>
        <v/>
      </c>
      <c r="CM306" s="518" t="str">
        <f>IF(AND(_6="B-717",'2026'!$K$4="CA",'2026'!$K$2=CM271),'2026DATA'!$F$37,"")</f>
        <v/>
      </c>
      <c r="CN306" s="518" t="str">
        <f>IF(AND(_6="B-717",'2026'!$K$4="CA",'2026'!$K$2=CN271),'2026DATA'!$G$37,"")</f>
        <v/>
      </c>
      <c r="CO306" s="518" t="str">
        <f>IF(AND(_6="B-717",'2026'!$K$4="CA",'2026'!$K$2=CO271),'2026DATA'!$H$37,"")</f>
        <v/>
      </c>
      <c r="CP306" s="518" t="str">
        <f>IF(AND(_6="B-717",'2026'!$K$4="CA",'2026'!$K$2=CP271),'2026DATA'!$I$37,"")</f>
        <v/>
      </c>
      <c r="CQ306" s="518" t="str">
        <f>IF(AND(_6="B-717",'2026'!$K$4="CA",'2026'!$K$2=CQ271),'2026DATA'!$J$37,"")</f>
        <v/>
      </c>
      <c r="CR306" s="518" t="str">
        <f>IF(AND(_6="B-717",'2026'!$K$4="CA",'2026'!$K$2=CR271),'2026DATA'!$K$37,"")</f>
        <v/>
      </c>
      <c r="CS306" s="518" t="str">
        <f>IF(AND(_6="B-717",'2026'!$K$4="CA",'2026'!$K$2=CS271),'2026DATA'!$L$37,"")</f>
        <v/>
      </c>
      <c r="CT306" s="518" t="str">
        <f>IF(AND(_6="B-717",'2026'!$K$4="CA",'2026'!$K$2=CT271),'2026DATA'!$M$37,"")</f>
        <v/>
      </c>
      <c r="CU306" s="520" t="str">
        <f>IF(AND(_6="B-717",'2026'!$K$4="CA",'2026'!$K$2=CU271),'2026DATA'!$N$37,"")</f>
        <v/>
      </c>
    </row>
    <row r="307" spans="16:99" ht="15.75" thickBot="1" x14ac:dyDescent="0.3">
      <c r="P307" s="942"/>
      <c r="Q307" s="2" t="s">
        <v>62</v>
      </c>
      <c r="R307" s="518" t="str">
        <f>IF(AND(_1="B-717",'2026'!$K$4="FO",'2026'!$K$2=R271),'2026DATA'!$C$38,"")</f>
        <v/>
      </c>
      <c r="S307" s="518" t="str">
        <f>IF(AND(_1="B-717",'2026'!$K$4="FO",'2026'!$K$2=S271),'2026DATA'!$D$38,"")</f>
        <v/>
      </c>
      <c r="T307" s="518" t="str">
        <f>IF(AND(_1="B-717",'2026'!$K$4="FO",'2026'!$K$2=T271),'2026DATA'!$E$38,"")</f>
        <v/>
      </c>
      <c r="U307" s="518" t="str">
        <f>IF(AND(_1="B-717",'2026'!$K$4="FO",'2026'!$K$2=U271),'2026DATA'!$F$38,"")</f>
        <v/>
      </c>
      <c r="V307" s="518" t="str">
        <f>IF(AND(_1="B-717",'2026'!$K$4="FO",'2026'!$K$2=V271),'2026DATA'!$G$38,"")</f>
        <v/>
      </c>
      <c r="W307" s="518" t="str">
        <f>IF(AND(_1="B-717",'2026'!$K$4="FO",'2026'!$K$2=W271),'2026DATA'!$H$38,"")</f>
        <v/>
      </c>
      <c r="X307" s="518" t="str">
        <f>IF(AND(_1="B-717",'2026'!$K$4="FO",'2026'!$K$2=X271),'2026DATA'!$I$38,"")</f>
        <v/>
      </c>
      <c r="Y307" s="518" t="str">
        <f>IF(AND(_1="B-717",'2026'!$K$4="FO",'2026'!$K$2=Y271),'2026DATA'!$J$38,"")</f>
        <v/>
      </c>
      <c r="Z307" s="518" t="str">
        <f>IF(AND(_1="B-717",'2026'!$K$4="FO",'2026'!$K$2=Z271),'2026DATA'!$K$38,"")</f>
        <v/>
      </c>
      <c r="AA307" s="518" t="str">
        <f>IF(AND(_1="B-717",'2026'!$K$4="FO",'2026'!$K$2=AA271),'2026DATA'!$L$38,"")</f>
        <v/>
      </c>
      <c r="AB307" s="518" t="str">
        <f>IF(AND(_1="B-717",'2026'!$K$4="FO",'2026'!$K$2=AB271),'2026DATA'!$M$38,"")</f>
        <v/>
      </c>
      <c r="AC307" s="520" t="str">
        <f>IF(AND(_1="B-717",'2026'!$K$4="FO",'2026'!$K$2=AC271),'2026DATA'!$N$38,"")</f>
        <v/>
      </c>
      <c r="AD307" s="942"/>
      <c r="AE307" s="2" t="s">
        <v>62</v>
      </c>
      <c r="AF307" s="518" t="str">
        <f>IF(AND(_2="B-717",'2026'!$K$4="FO",'2026'!$K$2=AF271),'2026DATA'!$C$38,"")</f>
        <v/>
      </c>
      <c r="AG307" s="518" t="str">
        <f>IF(AND(_2="B-717",'2026'!$K$4="FO",'2026'!$K$2=AG271),'2026DATA'!$D$38,"")</f>
        <v/>
      </c>
      <c r="AH307" s="518" t="str">
        <f>IF(AND(_2="B-717",'2026'!$K$4="FO",'2026'!$K$2=AH271),'2026DATA'!$E$38,"")</f>
        <v/>
      </c>
      <c r="AI307" s="518" t="str">
        <f>IF(AND(_2="B-717",'2026'!$K$4="FO",'2026'!$K$2=AI271),'2026DATA'!$F$38,"")</f>
        <v/>
      </c>
      <c r="AJ307" s="518" t="str">
        <f>IF(AND(_2="B-717",'2026'!$K$4="FO",'2026'!$K$2=AJ271),'2026DATA'!$G$38,"")</f>
        <v/>
      </c>
      <c r="AK307" s="518" t="str">
        <f>IF(AND(_2="B-717",'2026'!$K$4="FO",'2026'!$K$2=AK271),'2026DATA'!$H$38,"")</f>
        <v/>
      </c>
      <c r="AL307" s="518" t="str">
        <f>IF(AND(_2="B-717",'2026'!$K$4="FO",'2026'!$K$2=AL271),'2026DATA'!$I$38,"")</f>
        <v/>
      </c>
      <c r="AM307" s="518" t="str">
        <f>IF(AND(_2="B-717",'2026'!$K$4="FO",'2026'!$K$2=AM271),'2026DATA'!$J$38,"")</f>
        <v/>
      </c>
      <c r="AN307" s="518" t="str">
        <f>IF(AND(_2="B-717",'2026'!$K$4="FO",'2026'!$K$2=AN271),'2026DATA'!$K$38,"")</f>
        <v/>
      </c>
      <c r="AO307" s="518" t="str">
        <f>IF(AND(_2="B-717",'2026'!$K$4="FO",'2026'!$K$2=AO271),'2026DATA'!$L$38,"")</f>
        <v/>
      </c>
      <c r="AP307" s="518" t="str">
        <f>IF(AND(_2="B-717",'2026'!$K$4="FO",'2026'!$K$2=AP271),'2026DATA'!$M$38,"")</f>
        <v/>
      </c>
      <c r="AQ307" s="520" t="str">
        <f>IF(AND(_2="B-717",'2026'!$K$4="FO",'2026'!$K$2=AQ271),'2026DATA'!$N$38,"")</f>
        <v/>
      </c>
      <c r="AR307" s="942"/>
      <c r="AS307" s="2" t="s">
        <v>62</v>
      </c>
      <c r="AT307" s="518" t="str">
        <f>IF(AND(_3="B-717",'2026'!$K$4="FO",'2026'!$K$2=AT271),'2026DATA'!$C$38,"")</f>
        <v/>
      </c>
      <c r="AU307" s="518" t="str">
        <f>IF(AND(_3="B-717",'2026'!$K$4="FO",'2026'!$K$2=AU271),'2026DATA'!$D$38,"")</f>
        <v/>
      </c>
      <c r="AV307" s="518" t="str">
        <f>IF(AND(_3="B-717",'2026'!$K$4="FO",'2026'!$K$2=AV271),'2026DATA'!$E$38,"")</f>
        <v/>
      </c>
      <c r="AW307" s="518" t="str">
        <f>IF(AND(_3="B-717",'2026'!$K$4="FO",'2026'!$K$2=AW271),'2026DATA'!$F$38,"")</f>
        <v/>
      </c>
      <c r="AX307" s="518" t="str">
        <f>IF(AND(_3="B-717",'2026'!$K$4="FO",'2026'!$K$2=AX271),'2026DATA'!$G$38,"")</f>
        <v/>
      </c>
      <c r="AY307" s="518" t="str">
        <f>IF(AND(_3="B-717",'2026'!$K$4="FO",'2026'!$K$2=AY271),'2026DATA'!$H$38,"")</f>
        <v/>
      </c>
      <c r="AZ307" s="518" t="str">
        <f>IF(AND(_3="B-717",'2026'!$K$4="FO",'2026'!$K$2=AZ271),'2026DATA'!$I$38,"")</f>
        <v/>
      </c>
      <c r="BA307" s="518" t="str">
        <f>IF(AND(_3="B-717",'2026'!$K$4="FO",'2026'!$K$2=BA271),'2026DATA'!$J$38,"")</f>
        <v/>
      </c>
      <c r="BB307" s="518" t="str">
        <f>IF(AND(_3="B-717",'2026'!$K$4="FO",'2026'!$K$2=BB271),'2026DATA'!$K$38,"")</f>
        <v/>
      </c>
      <c r="BC307" s="518" t="str">
        <f>IF(AND(_3="B-717",'2026'!$K$4="FO",'2026'!$K$2=BC271),'2026DATA'!$L$38,"")</f>
        <v/>
      </c>
      <c r="BD307" s="518" t="str">
        <f>IF(AND(_3="B-717",'2026'!$K$4="FO",'2026'!$K$2=BD271),'2026DATA'!$M$38,"")</f>
        <v/>
      </c>
      <c r="BE307" s="520" t="str">
        <f>IF(AND(_3="B-717",'2026'!$K$4="FO",'2026'!$K$2=BE271),'2026DATA'!$N$38,"")</f>
        <v/>
      </c>
      <c r="BF307" s="942"/>
      <c r="BG307" s="2" t="s">
        <v>62</v>
      </c>
      <c r="BH307" s="518" t="str">
        <f>IF(AND(_4="B-717",'2026'!$K$4="FO",'2026'!$K$2=BH271),'2026DATA'!$C$38,"")</f>
        <v/>
      </c>
      <c r="BI307" s="518" t="str">
        <f>IF(AND(_4="B-717",'2026'!$K$4="FO",'2026'!$K$2=BI271),'2026DATA'!$D$38,"")</f>
        <v/>
      </c>
      <c r="BJ307" s="518" t="str">
        <f>IF(AND(_4="B-717",'2026'!$K$4="FO",'2026'!$K$2=BJ271),'2026DATA'!$E$38,"")</f>
        <v/>
      </c>
      <c r="BK307" s="518" t="str">
        <f>IF(AND(_4="B-717",'2026'!$K$4="FO",'2026'!$K$2=BK271),'2026DATA'!$F$38,"")</f>
        <v/>
      </c>
      <c r="BL307" s="518" t="str">
        <f>IF(AND(_4="B-717",'2026'!$K$4="FO",'2026'!$K$2=BL271),'2026DATA'!$G$38,"")</f>
        <v/>
      </c>
      <c r="BM307" s="518" t="str">
        <f>IF(AND(_4="B-717",'2026'!$K$4="FO",'2026'!$K$2=BM271),'2026DATA'!$H$38,"")</f>
        <v/>
      </c>
      <c r="BN307" s="518" t="str">
        <f>IF(AND(_4="B-717",'2026'!$K$4="FO",'2026'!$K$2=BN271),'2026DATA'!$I$38,"")</f>
        <v/>
      </c>
      <c r="BO307" s="518" t="str">
        <f>IF(AND(_4="B-717",'2026'!$K$4="FO",'2026'!$K$2=BO271),'2026DATA'!$J$38,"")</f>
        <v/>
      </c>
      <c r="BP307" s="518" t="str">
        <f>IF(AND(_4="B-717",'2026'!$K$4="FO",'2026'!$K$2=BP271),'2026DATA'!$K$38,"")</f>
        <v/>
      </c>
      <c r="BQ307" s="518" t="str">
        <f>IF(AND(_4="B-717",'2026'!$K$4="FO",'2026'!$K$2=BQ271),'2026DATA'!$L$38,"")</f>
        <v/>
      </c>
      <c r="BR307" s="518" t="str">
        <f>IF(AND(_4="B-717",'2026'!$K$4="FO",'2026'!$K$2=BR271),'2026DATA'!$M$38,"")</f>
        <v/>
      </c>
      <c r="BS307" s="520" t="str">
        <f>IF(AND(_4="B-717",'2026'!$K$4="FO",'2026'!$K$2=BS271),'2026DATA'!$N$38,"")</f>
        <v/>
      </c>
      <c r="BT307" s="942"/>
      <c r="BU307" s="2" t="s">
        <v>62</v>
      </c>
      <c r="BV307" s="518" t="str">
        <f>IF(AND(_5="B-717",'2026'!$K$4="FO",'2026'!$K$2=BV271),'2026DATA'!$C$38,"")</f>
        <v/>
      </c>
      <c r="BW307" s="518" t="str">
        <f>IF(AND(_5="B-717",'2026'!$K$4="FO",'2026'!$K$2=BW271),'2026DATA'!$D$38,"")</f>
        <v/>
      </c>
      <c r="BX307" s="518" t="str">
        <f>IF(AND(_5="B-717",'2026'!$K$4="FO",'2026'!$K$2=BX271),'2026DATA'!$E$38,"")</f>
        <v/>
      </c>
      <c r="BY307" s="518" t="str">
        <f>IF(AND(_5="B-717",'2026'!$K$4="FO",'2026'!$K$2=BY271),'2026DATA'!$F$38,"")</f>
        <v/>
      </c>
      <c r="BZ307" s="518" t="str">
        <f>IF(AND(_5="B-717",'2026'!$K$4="FO",'2026'!$K$2=BZ271),'2026DATA'!$G$38,"")</f>
        <v/>
      </c>
      <c r="CA307" s="518" t="str">
        <f>IF(AND(_5="B-717",'2026'!$K$4="FO",'2026'!$K$2=CA271),'2026DATA'!$H$38,"")</f>
        <v/>
      </c>
      <c r="CB307" s="518" t="str">
        <f>IF(AND(_5="B-717",'2026'!$K$4="FO",'2026'!$K$2=CB271),'2026DATA'!$I$38,"")</f>
        <v/>
      </c>
      <c r="CC307" s="518" t="str">
        <f>IF(AND(_5="B-717",'2026'!$K$4="FO",'2026'!$K$2=CC271),'2026DATA'!$J$38,"")</f>
        <v/>
      </c>
      <c r="CD307" s="518" t="str">
        <f>IF(AND(_5="B-717",'2026'!$K$4="FO",'2026'!$K$2=CD271),'2026DATA'!$K$38,"")</f>
        <v/>
      </c>
      <c r="CE307" s="518" t="str">
        <f>IF(AND(_5="B-717",'2026'!$K$4="FO",'2026'!$K$2=CE271),'2026DATA'!$L$38,"")</f>
        <v/>
      </c>
      <c r="CF307" s="518" t="str">
        <f>IF(AND(_5="B-717",'2026'!$K$4="FO",'2026'!$K$2=CF271),'2026DATA'!$M$38,"")</f>
        <v/>
      </c>
      <c r="CG307" s="520" t="str">
        <f>IF(AND(_5="B-717",'2026'!$K$4="FO",'2026'!$K$2=CG271),'2026DATA'!$N$38,"")</f>
        <v/>
      </c>
      <c r="CH307" s="942"/>
      <c r="CI307" s="2" t="s">
        <v>62</v>
      </c>
      <c r="CJ307" s="518" t="str">
        <f>IF(AND(_6="B-717",'2026'!$K$4="FO",'2026'!$K$2=CJ271),'2026DATA'!$C$38,"")</f>
        <v/>
      </c>
      <c r="CK307" s="518" t="str">
        <f>IF(AND(_6="B-717",'2026'!$K$4="FO",'2026'!$K$2=CK271),'2026DATA'!$D$38,"")</f>
        <v/>
      </c>
      <c r="CL307" s="518" t="str">
        <f>IF(AND(_6="B-717",'2026'!$K$4="FO",'2026'!$K$2=CL271),'2026DATA'!$E$38,"")</f>
        <v/>
      </c>
      <c r="CM307" s="518" t="str">
        <f>IF(AND(_6="B-717",'2026'!$K$4="FO",'2026'!$K$2=CM271),'2026DATA'!$F$38,"")</f>
        <v/>
      </c>
      <c r="CN307" s="518" t="str">
        <f>IF(AND(_6="B-717",'2026'!$K$4="FO",'2026'!$K$2=CN271),'2026DATA'!$G$38,"")</f>
        <v/>
      </c>
      <c r="CO307" s="518" t="str">
        <f>IF(AND(_6="B-717",'2026'!$K$4="FO",'2026'!$K$2=CO271),'2026DATA'!$H$38,"")</f>
        <v/>
      </c>
      <c r="CP307" s="518" t="str">
        <f>IF(AND(_6="B-717",'2026'!$K$4="FO",'2026'!$K$2=CP271),'2026DATA'!$I$38,"")</f>
        <v/>
      </c>
      <c r="CQ307" s="518" t="str">
        <f>IF(AND(_6="B-717",'2026'!$K$4="FO",'2026'!$K$2=CQ271),'2026DATA'!$J$38,"")</f>
        <v/>
      </c>
      <c r="CR307" s="518" t="str">
        <f>IF(AND(_6="B-717",'2026'!$K$4="FO",'2026'!$K$2=CR271),'2026DATA'!$K$38,"")</f>
        <v/>
      </c>
      <c r="CS307" s="518" t="str">
        <f>IF(AND(_6="B-717",'2026'!$K$4="FO",'2026'!$K$2=CS271),'2026DATA'!$L$38,"")</f>
        <v/>
      </c>
      <c r="CT307" s="518" t="str">
        <f>IF(AND(_6="B-717",'2026'!$K$4="FO",'2026'!$K$2=CT271),'2026DATA'!$M$38,"")</f>
        <v/>
      </c>
      <c r="CU307" s="520" t="str">
        <f>IF(AND(_6="B-717",'2026'!$K$4="FO",'2026'!$K$2=CU271),'2026DATA'!$N$38,"")</f>
        <v/>
      </c>
    </row>
    <row r="308" spans="16:99" x14ac:dyDescent="0.25">
      <c r="P308" s="943" t="s">
        <v>128</v>
      </c>
      <c r="Q308" s="944"/>
      <c r="R308" s="944"/>
      <c r="S308" s="944"/>
      <c r="T308" s="944"/>
      <c r="U308" s="944"/>
      <c r="V308" s="944"/>
      <c r="W308" s="944"/>
      <c r="X308" s="944"/>
      <c r="Y308" s="944"/>
      <c r="Z308" s="944"/>
      <c r="AA308" s="944"/>
      <c r="AB308" s="944"/>
      <c r="AC308" s="945"/>
      <c r="AD308" s="943" t="s">
        <v>129</v>
      </c>
      <c r="AE308" s="944"/>
      <c r="AF308" s="944"/>
      <c r="AG308" s="944"/>
      <c r="AH308" s="944"/>
      <c r="AI308" s="944"/>
      <c r="AJ308" s="944"/>
      <c r="AK308" s="944"/>
      <c r="AL308" s="944"/>
      <c r="AM308" s="944"/>
      <c r="AN308" s="944"/>
      <c r="AO308" s="944"/>
      <c r="AP308" s="944"/>
      <c r="AQ308" s="945"/>
      <c r="AR308" s="943" t="s">
        <v>130</v>
      </c>
      <c r="AS308" s="944"/>
      <c r="AT308" s="944"/>
      <c r="AU308" s="944"/>
      <c r="AV308" s="944"/>
      <c r="AW308" s="944"/>
      <c r="AX308" s="944"/>
      <c r="AY308" s="944"/>
      <c r="AZ308" s="944"/>
      <c r="BA308" s="944"/>
      <c r="BB308" s="944"/>
      <c r="BC308" s="944"/>
      <c r="BD308" s="944"/>
      <c r="BE308" s="945"/>
      <c r="BF308" s="943" t="s">
        <v>131</v>
      </c>
      <c r="BG308" s="944"/>
      <c r="BH308" s="944"/>
      <c r="BI308" s="944"/>
      <c r="BJ308" s="944"/>
      <c r="BK308" s="944"/>
      <c r="BL308" s="944"/>
      <c r="BM308" s="944"/>
      <c r="BN308" s="944"/>
      <c r="BO308" s="944"/>
      <c r="BP308" s="944"/>
      <c r="BQ308" s="944"/>
      <c r="BR308" s="944"/>
      <c r="BS308" s="945"/>
      <c r="BT308" s="943" t="s">
        <v>132</v>
      </c>
      <c r="BU308" s="944"/>
      <c r="BV308" s="944"/>
      <c r="BW308" s="944"/>
      <c r="BX308" s="944"/>
      <c r="BY308" s="944"/>
      <c r="BZ308" s="944"/>
      <c r="CA308" s="944"/>
      <c r="CB308" s="944"/>
      <c r="CC308" s="944"/>
      <c r="CD308" s="944"/>
      <c r="CE308" s="944"/>
      <c r="CF308" s="944"/>
      <c r="CG308" s="945"/>
      <c r="CH308" s="943" t="s">
        <v>133</v>
      </c>
      <c r="CI308" s="944"/>
      <c r="CJ308" s="944"/>
      <c r="CK308" s="944"/>
      <c r="CL308" s="944"/>
      <c r="CM308" s="944"/>
      <c r="CN308" s="944"/>
      <c r="CO308" s="944"/>
      <c r="CP308" s="944"/>
      <c r="CQ308" s="944"/>
      <c r="CR308" s="944"/>
      <c r="CS308" s="944"/>
      <c r="CT308" s="944"/>
      <c r="CU308" s="945"/>
    </row>
    <row r="309" spans="16:99" x14ac:dyDescent="0.25">
      <c r="P309" s="567">
        <v>9</v>
      </c>
      <c r="Q309" s="567">
        <f>SUM(R310:AC345)</f>
        <v>0</v>
      </c>
      <c r="R309" s="3">
        <v>12</v>
      </c>
      <c r="S309" s="3">
        <v>11</v>
      </c>
      <c r="T309" s="3">
        <v>10</v>
      </c>
      <c r="U309" s="3">
        <v>9</v>
      </c>
      <c r="V309" s="3">
        <v>8</v>
      </c>
      <c r="W309" s="3">
        <v>7</v>
      </c>
      <c r="X309" s="3">
        <v>6</v>
      </c>
      <c r="Y309" s="3">
        <v>5</v>
      </c>
      <c r="Z309" s="3">
        <v>4</v>
      </c>
      <c r="AA309" s="3">
        <v>3</v>
      </c>
      <c r="AB309" s="3">
        <v>2</v>
      </c>
      <c r="AC309" s="519">
        <v>1</v>
      </c>
      <c r="AD309" s="567">
        <v>9</v>
      </c>
      <c r="AE309" s="567">
        <f>SUM(AF310:AQ345)</f>
        <v>0</v>
      </c>
      <c r="AF309" s="3">
        <v>12</v>
      </c>
      <c r="AG309" s="3">
        <v>11</v>
      </c>
      <c r="AH309" s="3">
        <v>10</v>
      </c>
      <c r="AI309" s="3">
        <v>9</v>
      </c>
      <c r="AJ309" s="3">
        <v>8</v>
      </c>
      <c r="AK309" s="3">
        <v>7</v>
      </c>
      <c r="AL309" s="3">
        <v>6</v>
      </c>
      <c r="AM309" s="3">
        <v>5</v>
      </c>
      <c r="AN309" s="3">
        <v>4</v>
      </c>
      <c r="AO309" s="3">
        <v>3</v>
      </c>
      <c r="AP309" s="3">
        <v>2</v>
      </c>
      <c r="AQ309" s="519">
        <v>1</v>
      </c>
      <c r="AR309" s="567">
        <v>9</v>
      </c>
      <c r="AS309" s="567">
        <f>SUM(AT310:BE345)</f>
        <v>0</v>
      </c>
      <c r="AT309" s="3">
        <v>12</v>
      </c>
      <c r="AU309" s="3">
        <v>11</v>
      </c>
      <c r="AV309" s="3">
        <v>10</v>
      </c>
      <c r="AW309" s="3">
        <v>9</v>
      </c>
      <c r="AX309" s="3">
        <v>8</v>
      </c>
      <c r="AY309" s="3">
        <v>7</v>
      </c>
      <c r="AZ309" s="3">
        <v>6</v>
      </c>
      <c r="BA309" s="3">
        <v>5</v>
      </c>
      <c r="BB309" s="3">
        <v>4</v>
      </c>
      <c r="BC309" s="3">
        <v>3</v>
      </c>
      <c r="BD309" s="3">
        <v>2</v>
      </c>
      <c r="BE309" s="519">
        <v>1</v>
      </c>
      <c r="BF309" s="567">
        <v>9</v>
      </c>
      <c r="BG309" s="567">
        <f>SUM(BH310:BS345)</f>
        <v>0</v>
      </c>
      <c r="BH309" s="3">
        <v>12</v>
      </c>
      <c r="BI309" s="3">
        <v>11</v>
      </c>
      <c r="BJ309" s="3">
        <v>10</v>
      </c>
      <c r="BK309" s="3">
        <v>9</v>
      </c>
      <c r="BL309" s="3">
        <v>8</v>
      </c>
      <c r="BM309" s="3">
        <v>7</v>
      </c>
      <c r="BN309" s="3">
        <v>6</v>
      </c>
      <c r="BO309" s="3">
        <v>5</v>
      </c>
      <c r="BP309" s="3">
        <v>4</v>
      </c>
      <c r="BQ309" s="3">
        <v>3</v>
      </c>
      <c r="BR309" s="3">
        <v>2</v>
      </c>
      <c r="BS309" s="519">
        <v>1</v>
      </c>
      <c r="BT309" s="567">
        <v>9</v>
      </c>
      <c r="BU309" s="567">
        <f>SUM(BV310:CG345)</f>
        <v>0</v>
      </c>
      <c r="BV309" s="3">
        <v>12</v>
      </c>
      <c r="BW309" s="3">
        <v>11</v>
      </c>
      <c r="BX309" s="3">
        <v>10</v>
      </c>
      <c r="BY309" s="3">
        <v>9</v>
      </c>
      <c r="BZ309" s="3">
        <v>8</v>
      </c>
      <c r="CA309" s="3">
        <v>7</v>
      </c>
      <c r="CB309" s="3">
        <v>6</v>
      </c>
      <c r="CC309" s="3">
        <v>5</v>
      </c>
      <c r="CD309" s="3">
        <v>4</v>
      </c>
      <c r="CE309" s="3">
        <v>3</v>
      </c>
      <c r="CF309" s="3">
        <v>2</v>
      </c>
      <c r="CG309" s="519">
        <v>1</v>
      </c>
      <c r="CH309" s="567">
        <v>9</v>
      </c>
      <c r="CI309" s="567">
        <f>SUM(CJ310:CU345)</f>
        <v>0</v>
      </c>
      <c r="CJ309" s="3">
        <v>12</v>
      </c>
      <c r="CK309" s="3">
        <v>11</v>
      </c>
      <c r="CL309" s="3">
        <v>10</v>
      </c>
      <c r="CM309" s="3">
        <v>9</v>
      </c>
      <c r="CN309" s="3">
        <v>8</v>
      </c>
      <c r="CO309" s="3">
        <v>7</v>
      </c>
      <c r="CP309" s="3">
        <v>6</v>
      </c>
      <c r="CQ309" s="3">
        <v>5</v>
      </c>
      <c r="CR309" s="3">
        <v>4</v>
      </c>
      <c r="CS309" s="3">
        <v>3</v>
      </c>
      <c r="CT309" s="3">
        <v>2</v>
      </c>
      <c r="CU309" s="519">
        <v>1</v>
      </c>
    </row>
    <row r="310" spans="16:99" x14ac:dyDescent="0.25">
      <c r="P310" s="940" t="s">
        <v>39</v>
      </c>
      <c r="Q310" s="13" t="s">
        <v>61</v>
      </c>
      <c r="R310" s="518" t="str">
        <f>IF(AND(_1="A-350",'2026'!$L$4="CA",'2026'!$L$2=R309),'2026DATA'!$C$3,"")</f>
        <v/>
      </c>
      <c r="S310" s="518" t="str">
        <f>IF(AND(_1="A-350",'2026'!$L$4="CA",'2026'!$L$2=S309),'2026DATA'!$D$3,"")</f>
        <v/>
      </c>
      <c r="T310" s="518" t="str">
        <f>IF(AND(_1="A-350",'2026'!$L$4="CA",'2026'!$L$2=T309),'2026DATA'!$E$3,"")</f>
        <v/>
      </c>
      <c r="U310" s="518" t="str">
        <f>IF(AND(_1="A-350",'2026'!$L$4="CA",'2026'!$L$2=U309),'2026DATA'!$F$3,"")</f>
        <v/>
      </c>
      <c r="V310" s="518" t="str">
        <f>IF(AND(_1="A-350",'2026'!$L$4="CA",'2026'!$L$2=V309),'2026DATA'!$G$3,"")</f>
        <v/>
      </c>
      <c r="W310" s="518" t="str">
        <f>IF(AND(_1="A-350",'2026'!$L$4="CA",'2026'!$L$2=W309),'2026DATA'!$H$3,"")</f>
        <v/>
      </c>
      <c r="X310" s="518" t="str">
        <f>IF(AND(_1="A-350",'2026'!$L$4="CA",'2026'!$L$2=X309),'2026DATA'!$I$3,"")</f>
        <v/>
      </c>
      <c r="Y310" s="518" t="str">
        <f>IF(AND(_1="A-350",'2026'!$L$4="CA",'2026'!$L$2=Y309),'2026DATA'!$J$3,"")</f>
        <v/>
      </c>
      <c r="Z310" s="518" t="str">
        <f>IF(AND(_1="A-350",'2026'!$L$4="CA",'2026'!$L$2=Z309),'2026DATA'!$K$3,"")</f>
        <v/>
      </c>
      <c r="AA310" s="518" t="str">
        <f>IF(AND(_1="A-350",'2026'!$L$4="CA",'2026'!$L$2=AA309),'2026DATA'!$L$3,"")</f>
        <v/>
      </c>
      <c r="AB310" s="518" t="str">
        <f>IF(AND(_1="A-350",'2026'!$L$4="CA",'2026'!$L$2=AB309),'2026DATA'!$M$3,"")</f>
        <v/>
      </c>
      <c r="AC310" s="520" t="str">
        <f>IF(AND(_1="A-350",'2026'!$L$4="CA",'2026'!$L$2=AC309),'2026DATA'!$N$3,"")</f>
        <v/>
      </c>
      <c r="AD310" s="940" t="s">
        <v>39</v>
      </c>
      <c r="AE310" s="13" t="s">
        <v>61</v>
      </c>
      <c r="AF310" s="518" t="str">
        <f>IF(AND(_2="A-350",'2026'!$L$4="CA",'2026'!$L$2=AF309),'2026DATA'!$C$3,"")</f>
        <v/>
      </c>
      <c r="AG310" s="518" t="str">
        <f>IF(AND(_2="A-350",'2026'!$L$4="CA",'2026'!$L$2=AG309),'2026DATA'!$D$3,"")</f>
        <v/>
      </c>
      <c r="AH310" s="518" t="str">
        <f>IF(AND(_2="A-350",'2026'!$L$4="CA",'2026'!$L$2=AH309),'2026DATA'!$E$3,"")</f>
        <v/>
      </c>
      <c r="AI310" s="518" t="str">
        <f>IF(AND(_2="A-350",'2026'!$L$4="CA",'2026'!$L$2=AI309),'2026DATA'!$F$3,"")</f>
        <v/>
      </c>
      <c r="AJ310" s="518" t="str">
        <f>IF(AND(_2="A-350",'2026'!$L$4="CA",'2026'!$L$2=AJ309),'2026DATA'!$G$3,"")</f>
        <v/>
      </c>
      <c r="AK310" s="518" t="str">
        <f>IF(AND(_2="A-350",'2026'!$L$4="CA",'2026'!$L$2=AK309),'2026DATA'!$H$3,"")</f>
        <v/>
      </c>
      <c r="AL310" s="518" t="str">
        <f>IF(AND(_2="A-350",'2026'!$L$4="CA",'2026'!$L$2=AL309),'2026DATA'!$I$3,"")</f>
        <v/>
      </c>
      <c r="AM310" s="518" t="str">
        <f>IF(AND(_2="A-350",'2026'!$L$4="CA",'2026'!$L$2=AM309),'2026DATA'!$J$3,"")</f>
        <v/>
      </c>
      <c r="AN310" s="518" t="str">
        <f>IF(AND(_2="A-350",'2026'!$L$4="CA",'2026'!$L$2=AN309),'2026DATA'!$K$3,"")</f>
        <v/>
      </c>
      <c r="AO310" s="518" t="str">
        <f>IF(AND(_2="A-350",'2026'!$L$4="CA",'2026'!$L$2=AO309),'2026DATA'!$L$3,"")</f>
        <v/>
      </c>
      <c r="AP310" s="518" t="str">
        <f>IF(AND(_2="A-350",'2026'!$L$4="CA",'2026'!$L$2=AP309),'2026DATA'!$M$3,"")</f>
        <v/>
      </c>
      <c r="AQ310" s="520" t="str">
        <f>IF(AND(_2="A-350",'2026'!$L$4="CA",'2026'!$L$2=AQ309),'2026DATA'!$N$3,"")</f>
        <v/>
      </c>
      <c r="AR310" s="940" t="s">
        <v>39</v>
      </c>
      <c r="AS310" s="13" t="s">
        <v>61</v>
      </c>
      <c r="AT310" s="518" t="str">
        <f>IF(AND(_3="A-350",'2026'!$L$4="CA",'2026'!$L$2=AT309),'2026DATA'!$C$3,"")</f>
        <v/>
      </c>
      <c r="AU310" s="518" t="str">
        <f>IF(AND(_3="A-350",'2026'!$L$4="CA",'2026'!$L$2=AU309),'2026DATA'!$D$3,"")</f>
        <v/>
      </c>
      <c r="AV310" s="518" t="str">
        <f>IF(AND(_3="A-350",'2026'!$L$4="CA",'2026'!$L$2=AV309),'2026DATA'!$E$3,"")</f>
        <v/>
      </c>
      <c r="AW310" s="518" t="str">
        <f>IF(AND(_3="A-350",'2026'!$L$4="CA",'2026'!$L$2=AW309),'2026DATA'!$F$3,"")</f>
        <v/>
      </c>
      <c r="AX310" s="518" t="str">
        <f>IF(AND(_3="A-350",'2026'!$L$4="CA",'2026'!$L$2=AX309),'2026DATA'!$G$3,"")</f>
        <v/>
      </c>
      <c r="AY310" s="518" t="str">
        <f>IF(AND(_3="A-350",'2026'!$L$4="CA",'2026'!$L$2=AY309),'2026DATA'!$H$3,"")</f>
        <v/>
      </c>
      <c r="AZ310" s="518" t="str">
        <f>IF(AND(_3="A-350",'2026'!$L$4="CA",'2026'!$L$2=AZ309),'2026DATA'!$I$3,"")</f>
        <v/>
      </c>
      <c r="BA310" s="518" t="str">
        <f>IF(AND(_3="A-350",'2026'!$L$4="CA",'2026'!$L$2=BA309),'2026DATA'!$J$3,"")</f>
        <v/>
      </c>
      <c r="BB310" s="518" t="str">
        <f>IF(AND(_3="A-350",'2026'!$L$4="CA",'2026'!$L$2=BB309),'2026DATA'!$K$3,"")</f>
        <v/>
      </c>
      <c r="BC310" s="518" t="str">
        <f>IF(AND(_3="A-350",'2026'!$L$4="CA",'2026'!$L$2=BC309),'2026DATA'!$L$3,"")</f>
        <v/>
      </c>
      <c r="BD310" s="518" t="str">
        <f>IF(AND(_3="A-350",'2026'!$L$4="CA",'2026'!$L$2=BD309),'2026DATA'!$M$3,"")</f>
        <v/>
      </c>
      <c r="BE310" s="520" t="str">
        <f>IF(AND(_3="A-350",'2026'!$L$4="CA",'2026'!$L$2=BE309),'2026DATA'!$N$3,"")</f>
        <v/>
      </c>
      <c r="BF310" s="940" t="s">
        <v>39</v>
      </c>
      <c r="BG310" s="13" t="s">
        <v>61</v>
      </c>
      <c r="BH310" s="518" t="str">
        <f>IF(AND(_4="A-350",'2026'!$L$4="CA",'2026'!$L$2=BH309),'2026DATA'!$C$3,"")</f>
        <v/>
      </c>
      <c r="BI310" s="518" t="str">
        <f>IF(AND(_4="A-350",'2026'!$L$4="CA",'2026'!$L$2=BI309),'2026DATA'!$D$3,"")</f>
        <v/>
      </c>
      <c r="BJ310" s="518" t="str">
        <f>IF(AND(_4="A-350",'2026'!$L$4="CA",'2026'!$L$2=BJ309),'2026DATA'!$E$3,"")</f>
        <v/>
      </c>
      <c r="BK310" s="518" t="str">
        <f>IF(AND(_4="A-350",'2026'!$L$4="CA",'2026'!$L$2=BK309),'2026DATA'!$F$3,"")</f>
        <v/>
      </c>
      <c r="BL310" s="518" t="str">
        <f>IF(AND(_4="A-350",'2026'!$L$4="CA",'2026'!$L$2=BL309),'2026DATA'!$G$3,"")</f>
        <v/>
      </c>
      <c r="BM310" s="518" t="str">
        <f>IF(AND(_4="A-350",'2026'!$L$4="CA",'2026'!$L$2=BM309),'2026DATA'!$H$3,"")</f>
        <v/>
      </c>
      <c r="BN310" s="518" t="str">
        <f>IF(AND(_4="A-350",'2026'!$L$4="CA",'2026'!$L$2=BN309),'2026DATA'!$I$3,"")</f>
        <v/>
      </c>
      <c r="BO310" s="518" t="str">
        <f>IF(AND(_4="A-350",'2026'!$L$4="CA",'2026'!$L$2=BO309),'2026DATA'!$J$3,"")</f>
        <v/>
      </c>
      <c r="BP310" s="518" t="str">
        <f>IF(AND(_4="A-350",'2026'!$L$4="CA",'2026'!$L$2=BP309),'2026DATA'!$K$3,"")</f>
        <v/>
      </c>
      <c r="BQ310" s="518" t="str">
        <f>IF(AND(_4="A-350",'2026'!$L$4="CA",'2026'!$L$2=BQ309),'2026DATA'!$L$3,"")</f>
        <v/>
      </c>
      <c r="BR310" s="518" t="str">
        <f>IF(AND(_4="A-350",'2026'!$L$4="CA",'2026'!$L$2=BR309),'2026DATA'!$M$3,"")</f>
        <v/>
      </c>
      <c r="BS310" s="520" t="str">
        <f>IF(AND(_4="A-350",'2026'!$L$4="CA",'2026'!$L$2=BS309),'2026DATA'!$N$3,"")</f>
        <v/>
      </c>
      <c r="BT310" s="940" t="s">
        <v>39</v>
      </c>
      <c r="BU310" s="13" t="s">
        <v>61</v>
      </c>
      <c r="BV310" s="518" t="str">
        <f>IF(AND(_5="A-350",'2026'!$L$4="CA",'2026'!$L$2=BV309),'2026DATA'!$C$3,"")</f>
        <v/>
      </c>
      <c r="BW310" s="518" t="str">
        <f>IF(AND(_5="A-350",'2026'!$L$4="CA",'2026'!$L$2=BW309),'2026DATA'!$D$3,"")</f>
        <v/>
      </c>
      <c r="BX310" s="518" t="str">
        <f>IF(AND(_5="A-350",'2026'!$L$4="CA",'2026'!$L$2=BX309),'2026DATA'!$E$3,"")</f>
        <v/>
      </c>
      <c r="BY310" s="518" t="str">
        <f>IF(AND(_5="A-350",'2026'!$L$4="CA",'2026'!$L$2=BY309),'2026DATA'!$F$3,"")</f>
        <v/>
      </c>
      <c r="BZ310" s="518" t="str">
        <f>IF(AND(_5="A-350",'2026'!$L$4="CA",'2026'!$L$2=BZ309),'2026DATA'!$G$3,"")</f>
        <v/>
      </c>
      <c r="CA310" s="518" t="str">
        <f>IF(AND(_5="A-350",'2026'!$L$4="CA",'2026'!$L$2=CA309),'2026DATA'!$H$3,"")</f>
        <v/>
      </c>
      <c r="CB310" s="518" t="str">
        <f>IF(AND(_5="A-350",'2026'!$L$4="CA",'2026'!$L$2=CB309),'2026DATA'!$I$3,"")</f>
        <v/>
      </c>
      <c r="CC310" s="518" t="str">
        <f>IF(AND(_5="A-350",'2026'!$L$4="CA",'2026'!$L$2=CC309),'2026DATA'!$J$3,"")</f>
        <v/>
      </c>
      <c r="CD310" s="518" t="str">
        <f>IF(AND(_5="A-350",'2026'!$L$4="CA",'2026'!$L$2=CD309),'2026DATA'!$K$3,"")</f>
        <v/>
      </c>
      <c r="CE310" s="518" t="str">
        <f>IF(AND(_5="A-350",'2026'!$L$4="CA",'2026'!$L$2=CE309),'2026DATA'!$L$3,"")</f>
        <v/>
      </c>
      <c r="CF310" s="518" t="str">
        <f>IF(AND(_5="A-350",'2026'!$L$4="CA",'2026'!$L$2=CF309),'2026DATA'!$M$3,"")</f>
        <v/>
      </c>
      <c r="CG310" s="520" t="str">
        <f>IF(AND(_5="A-350",'2026'!$L$4="CA",'2026'!$L$2=CG309),'2026DATA'!$N$3,"")</f>
        <v/>
      </c>
      <c r="CH310" s="940" t="s">
        <v>39</v>
      </c>
      <c r="CI310" s="13" t="s">
        <v>61</v>
      </c>
      <c r="CJ310" s="518" t="str">
        <f>IF(AND(_6="A-350",'2026'!$L$4="CA",'2026'!$L$2=CJ309),'2026DATA'!$C$3,"")</f>
        <v/>
      </c>
      <c r="CK310" s="518" t="str">
        <f>IF(AND(_6="A-350",'2026'!$L$4="CA",'2026'!$L$2=CK309),'2026DATA'!$D$3,"")</f>
        <v/>
      </c>
      <c r="CL310" s="518" t="str">
        <f>IF(AND(_6="A-350",'2026'!$L$4="CA",'2026'!$L$2=CL309),'2026DATA'!$E$3,"")</f>
        <v/>
      </c>
      <c r="CM310" s="518" t="str">
        <f>IF(AND(_6="A-350",'2026'!$L$4="CA",'2026'!$L$2=CM309),'2026DATA'!$F$3,"")</f>
        <v/>
      </c>
      <c r="CN310" s="518" t="str">
        <f>IF(AND(_6="A-350",'2026'!$L$4="CA",'2026'!$L$2=CN309),'2026DATA'!$G$3,"")</f>
        <v/>
      </c>
      <c r="CO310" s="518" t="str">
        <f>IF(AND(_6="A-350",'2026'!$L$4="CA",'2026'!$L$2=CO309),'2026DATA'!$H$3,"")</f>
        <v/>
      </c>
      <c r="CP310" s="518" t="str">
        <f>IF(AND(_6="A-350",'2026'!$L$4="CA",'2026'!$L$2=CP309),'2026DATA'!$I$3,"")</f>
        <v/>
      </c>
      <c r="CQ310" s="518" t="str">
        <f>IF(AND(_6="A-350",'2026'!$L$4="CA",'2026'!$L$2=CQ309),'2026DATA'!$J$3,"")</f>
        <v/>
      </c>
      <c r="CR310" s="518" t="str">
        <f>IF(AND(_6="A-350",'2026'!$L$4="CA",'2026'!$L$2=CR309),'2026DATA'!$K$3,"")</f>
        <v/>
      </c>
      <c r="CS310" s="518" t="str">
        <f>IF(AND(_6="A-350",'2026'!$L$4="CA",'2026'!$L$2=CS309),'2026DATA'!$L$3,"")</f>
        <v/>
      </c>
      <c r="CT310" s="518" t="str">
        <f>IF(AND(_6="A-350",'2026'!$L$4="CA",'2026'!$L$2=CT309),'2026DATA'!$M$3,"")</f>
        <v/>
      </c>
      <c r="CU310" s="520" t="str">
        <f>IF(AND(_6="A-350",'2026'!$L$4="CA",'2026'!$L$2=CU309),'2026DATA'!$N$3,"")</f>
        <v/>
      </c>
    </row>
    <row r="311" spans="16:99" x14ac:dyDescent="0.25">
      <c r="P311" s="940"/>
      <c r="Q311" s="13" t="s">
        <v>62</v>
      </c>
      <c r="R311" s="518" t="str">
        <f>IF(AND(_1="A-350",'2026'!$L$4="FO",'2026'!$L$2=R309),'2026DATA'!$C$4,"")</f>
        <v/>
      </c>
      <c r="S311" s="518" t="str">
        <f>IF(AND(_1="A-350",'2026'!$L$4="FO",'2026'!$L$2=S309),'2026DATA'!$D$4,"")</f>
        <v/>
      </c>
      <c r="T311" s="518" t="str">
        <f>IF(AND(_1="A-350",'2026'!$L$4="FO",'2026'!$L$2=T309),'2026DATA'!$E$4,"")</f>
        <v/>
      </c>
      <c r="U311" s="518" t="str">
        <f>IF(AND(_1="A-350",'2026'!$L$4="FO",'2026'!$L$2=U309),'2026DATA'!$F$4,"")</f>
        <v/>
      </c>
      <c r="V311" s="518" t="str">
        <f>IF(AND(_1="A-350",'2026'!$L$4="FO",'2026'!$L$2=V309),'2026DATA'!$G$4,"")</f>
        <v/>
      </c>
      <c r="W311" s="518" t="str">
        <f>IF(AND(_1="A-350",'2026'!$L$4="FO",'2026'!$L$2=W309),'2026DATA'!$H$4,"")</f>
        <v/>
      </c>
      <c r="X311" s="518" t="str">
        <f>IF(AND(_1="A-350",'2026'!$L$4="FO",'2026'!$L$2=X309),'2026DATA'!$I$4,"")</f>
        <v/>
      </c>
      <c r="Y311" s="518" t="str">
        <f>IF(AND(_1="A-350",'2026'!$L$4="FO",'2026'!$L$2=Y309),'2026DATA'!$J$4,"")</f>
        <v/>
      </c>
      <c r="Z311" s="518" t="str">
        <f>IF(AND(_1="A-350",'2026'!$L$4="FO",'2026'!$L$2=Z309),'2026DATA'!$K$4,"")</f>
        <v/>
      </c>
      <c r="AA311" s="518" t="str">
        <f>IF(AND(_1="A-350",'2026'!$L$4="FO",'2026'!$L$2=AA309),'2026DATA'!$L$4,"")</f>
        <v/>
      </c>
      <c r="AB311" s="518" t="str">
        <f>IF(AND(_1="A-350",'2026'!$L$4="FO",'2026'!$L$2=AB309),'2026DATA'!$M$4,"")</f>
        <v/>
      </c>
      <c r="AC311" s="520" t="str">
        <f>IF(AND(_1="A-350",'2026'!$L$4="FO",'2026'!$L$2=AC309),'2026DATA'!$N$4,"")</f>
        <v/>
      </c>
      <c r="AD311" s="940"/>
      <c r="AE311" s="13" t="s">
        <v>62</v>
      </c>
      <c r="AF311" s="518" t="str">
        <f>IF(AND(_2="A-350",'2026'!$L$4="FO",'2026'!$L$2=AF309),'2026DATA'!$C$4,"")</f>
        <v/>
      </c>
      <c r="AG311" s="518" t="str">
        <f>IF(AND(_2="A-350",'2026'!$L$4="FO",'2026'!$L$2=AG309),'2026DATA'!$D$4,"")</f>
        <v/>
      </c>
      <c r="AH311" s="518" t="str">
        <f>IF(AND(_2="A-350",'2026'!$L$4="FO",'2026'!$L$2=AH309),'2026DATA'!$E$4,"")</f>
        <v/>
      </c>
      <c r="AI311" s="518" t="str">
        <f>IF(AND(_2="A-350",'2026'!$L$4="FO",'2026'!$L$2=AI309),'2026DATA'!$F$4,"")</f>
        <v/>
      </c>
      <c r="AJ311" s="518" t="str">
        <f>IF(AND(_2="A-350",'2026'!$L$4="FO",'2026'!$L$2=AJ309),'2026DATA'!$G$4,"")</f>
        <v/>
      </c>
      <c r="AK311" s="518" t="str">
        <f>IF(AND(_2="A-350",'2026'!$L$4="FO",'2026'!$L$2=AK309),'2026DATA'!$H$4,"")</f>
        <v/>
      </c>
      <c r="AL311" s="518" t="str">
        <f>IF(AND(_2="A-350",'2026'!$L$4="FO",'2026'!$L$2=AL309),'2026DATA'!$I$4,"")</f>
        <v/>
      </c>
      <c r="AM311" s="518" t="str">
        <f>IF(AND(_2="A-350",'2026'!$L$4="FO",'2026'!$L$2=AM309),'2026DATA'!$J$4,"")</f>
        <v/>
      </c>
      <c r="AN311" s="518" t="str">
        <f>IF(AND(_2="A-350",'2026'!$L$4="FO",'2026'!$L$2=AN309),'2026DATA'!$K$4,"")</f>
        <v/>
      </c>
      <c r="AO311" s="518" t="str">
        <f>IF(AND(_2="A-350",'2026'!$L$4="FO",'2026'!$L$2=AO309),'2026DATA'!$L$4,"")</f>
        <v/>
      </c>
      <c r="AP311" s="518" t="str">
        <f>IF(AND(_2="A-350",'2026'!$L$4="FO",'2026'!$L$2=AP309),'2026DATA'!$M$4,"")</f>
        <v/>
      </c>
      <c r="AQ311" s="520" t="str">
        <f>IF(AND(_2="A-350",'2026'!$L$4="FO",'2026'!$L$2=AQ309),'2026DATA'!$N$4,"")</f>
        <v/>
      </c>
      <c r="AR311" s="940"/>
      <c r="AS311" s="13" t="s">
        <v>62</v>
      </c>
      <c r="AT311" s="518" t="str">
        <f>IF(AND(_3="A-350",'2026'!$L$4="FO",'2026'!$L$2=AT309),'2026DATA'!$C$4,"")</f>
        <v/>
      </c>
      <c r="AU311" s="518" t="str">
        <f>IF(AND(_3="A-350",'2026'!$L$4="FO",'2026'!$L$2=AU309),'2026DATA'!$D$4,"")</f>
        <v/>
      </c>
      <c r="AV311" s="518" t="str">
        <f>IF(AND(_3="A-350",'2026'!$L$4="FO",'2026'!$L$2=AV309),'2026DATA'!$E$4,"")</f>
        <v/>
      </c>
      <c r="AW311" s="518" t="str">
        <f>IF(AND(_3="A-350",'2026'!$L$4="FO",'2026'!$L$2=AW309),'2026DATA'!$F$4,"")</f>
        <v/>
      </c>
      <c r="AX311" s="518" t="str">
        <f>IF(AND(_3="A-350",'2026'!$L$4="FO",'2026'!$L$2=AX309),'2026DATA'!$G$4,"")</f>
        <v/>
      </c>
      <c r="AY311" s="518" t="str">
        <f>IF(AND(_3="A-350",'2026'!$L$4="FO",'2026'!$L$2=AY309),'2026DATA'!$H$4,"")</f>
        <v/>
      </c>
      <c r="AZ311" s="518" t="str">
        <f>IF(AND(_3="A-350",'2026'!$L$4="FO",'2026'!$L$2=AZ309),'2026DATA'!$I$4,"")</f>
        <v/>
      </c>
      <c r="BA311" s="518" t="str">
        <f>IF(AND(_3="A-350",'2026'!$L$4="FO",'2026'!$L$2=BA309),'2026DATA'!$J$4,"")</f>
        <v/>
      </c>
      <c r="BB311" s="518" t="str">
        <f>IF(AND(_3="A-350",'2026'!$L$4="FO",'2026'!$L$2=BB309),'2026DATA'!$K$4,"")</f>
        <v/>
      </c>
      <c r="BC311" s="518" t="str">
        <f>IF(AND(_3="A-350",'2026'!$L$4="FO",'2026'!$L$2=BC309),'2026DATA'!$L$4,"")</f>
        <v/>
      </c>
      <c r="BD311" s="518" t="str">
        <f>IF(AND(_3="A-350",'2026'!$L$4="FO",'2026'!$L$2=BD309),'2026DATA'!$M$4,"")</f>
        <v/>
      </c>
      <c r="BE311" s="520" t="str">
        <f>IF(AND(_3="A-350",'2026'!$L$4="FO",'2026'!$L$2=BE309),'2026DATA'!$N$4,"")</f>
        <v/>
      </c>
      <c r="BF311" s="940"/>
      <c r="BG311" s="13" t="s">
        <v>62</v>
      </c>
      <c r="BH311" s="518" t="str">
        <f>IF(AND(_4="A-350",'2026'!$L$4="FO",'2026'!$L$2=BH309),'2026DATA'!$C$4,"")</f>
        <v/>
      </c>
      <c r="BI311" s="518" t="str">
        <f>IF(AND(_4="A-350",'2026'!$L$4="FO",'2026'!$L$2=BI309),'2026DATA'!$D$4,"")</f>
        <v/>
      </c>
      <c r="BJ311" s="518" t="str">
        <f>IF(AND(_4="A-350",'2026'!$L$4="FO",'2026'!$L$2=BJ309),'2026DATA'!$E$4,"")</f>
        <v/>
      </c>
      <c r="BK311" s="518" t="str">
        <f>IF(AND(_4="A-350",'2026'!$L$4="FO",'2026'!$L$2=BK309),'2026DATA'!$F$4,"")</f>
        <v/>
      </c>
      <c r="BL311" s="518" t="str">
        <f>IF(AND(_4="A-350",'2026'!$L$4="FO",'2026'!$L$2=BL309),'2026DATA'!$G$4,"")</f>
        <v/>
      </c>
      <c r="BM311" s="518" t="str">
        <f>IF(AND(_4="A-350",'2026'!$L$4="FO",'2026'!$L$2=BM309),'2026DATA'!$H$4,"")</f>
        <v/>
      </c>
      <c r="BN311" s="518" t="str">
        <f>IF(AND(_4="A-350",'2026'!$L$4="FO",'2026'!$L$2=BN309),'2026DATA'!$I$4,"")</f>
        <v/>
      </c>
      <c r="BO311" s="518" t="str">
        <f>IF(AND(_4="A-350",'2026'!$L$4="FO",'2026'!$L$2=BO309),'2026DATA'!$J$4,"")</f>
        <v/>
      </c>
      <c r="BP311" s="518" t="str">
        <f>IF(AND(_4="A-350",'2026'!$L$4="FO",'2026'!$L$2=BP309),'2026DATA'!$K$4,"")</f>
        <v/>
      </c>
      <c r="BQ311" s="518" t="str">
        <f>IF(AND(_4="A-350",'2026'!$L$4="FO",'2026'!$L$2=BQ309),'2026DATA'!$L$4,"")</f>
        <v/>
      </c>
      <c r="BR311" s="518" t="str">
        <f>IF(AND(_4="A-350",'2026'!$L$4="FO",'2026'!$L$2=BR309),'2026DATA'!$M$4,"")</f>
        <v/>
      </c>
      <c r="BS311" s="520" t="str">
        <f>IF(AND(_4="A-350",'2026'!$L$4="FO",'2026'!$L$2=BS309),'2026DATA'!$N$4,"")</f>
        <v/>
      </c>
      <c r="BT311" s="940"/>
      <c r="BU311" s="13" t="s">
        <v>62</v>
      </c>
      <c r="BV311" s="518" t="str">
        <f>IF(AND(_5="A-350",'2026'!$L$4="FO",'2026'!$L$2=BV309),'2026DATA'!$C$4,"")</f>
        <v/>
      </c>
      <c r="BW311" s="518" t="str">
        <f>IF(AND(_5="A-350",'2026'!$L$4="FO",'2026'!$L$2=BW309),'2026DATA'!$D$4,"")</f>
        <v/>
      </c>
      <c r="BX311" s="518" t="str">
        <f>IF(AND(_5="A-350",'2026'!$L$4="FO",'2026'!$L$2=BX309),'2026DATA'!$E$4,"")</f>
        <v/>
      </c>
      <c r="BY311" s="518" t="str">
        <f>IF(AND(_5="A-350",'2026'!$L$4="FO",'2026'!$L$2=BY309),'2026DATA'!$F$4,"")</f>
        <v/>
      </c>
      <c r="BZ311" s="518" t="str">
        <f>IF(AND(_5="A-350",'2026'!$L$4="FO",'2026'!$L$2=BZ309),'2026DATA'!$G$4,"")</f>
        <v/>
      </c>
      <c r="CA311" s="518" t="str">
        <f>IF(AND(_5="A-350",'2026'!$L$4="FO",'2026'!$L$2=CA309),'2026DATA'!$H$4,"")</f>
        <v/>
      </c>
      <c r="CB311" s="518" t="str">
        <f>IF(AND(_5="A-350",'2026'!$L$4="FO",'2026'!$L$2=CB309),'2026DATA'!$I$4,"")</f>
        <v/>
      </c>
      <c r="CC311" s="518" t="str">
        <f>IF(AND(_5="A-350",'2026'!$L$4="FO",'2026'!$L$2=CC309),'2026DATA'!$J$4,"")</f>
        <v/>
      </c>
      <c r="CD311" s="518" t="str">
        <f>IF(AND(_5="A-350",'2026'!$L$4="FO",'2026'!$L$2=CD309),'2026DATA'!$K$4,"")</f>
        <v/>
      </c>
      <c r="CE311" s="518" t="str">
        <f>IF(AND(_5="A-350",'2026'!$L$4="FO",'2026'!$L$2=CE309),'2026DATA'!$L$4,"")</f>
        <v/>
      </c>
      <c r="CF311" s="518" t="str">
        <f>IF(AND(_5="A-350",'2026'!$L$4="FO",'2026'!$L$2=CF309),'2026DATA'!$M$4,"")</f>
        <v/>
      </c>
      <c r="CG311" s="520" t="str">
        <f>IF(AND(_5="A-350",'2026'!$L$4="FO",'2026'!$L$2=CG309),'2026DATA'!$N$4,"")</f>
        <v/>
      </c>
      <c r="CH311" s="940"/>
      <c r="CI311" s="13" t="s">
        <v>62</v>
      </c>
      <c r="CJ311" s="518" t="str">
        <f>IF(AND(_6="A-350",'2026'!$L$4="FO",'2026'!$L$2=CJ309),'2026DATA'!$C$4,"")</f>
        <v/>
      </c>
      <c r="CK311" s="518" t="str">
        <f>IF(AND(_6="A-350",'2026'!$L$4="FO",'2026'!$L$2=CK309),'2026DATA'!$D$4,"")</f>
        <v/>
      </c>
      <c r="CL311" s="518" t="str">
        <f>IF(AND(_6="A-350",'2026'!$L$4="FO",'2026'!$L$2=CL309),'2026DATA'!$E$4,"")</f>
        <v/>
      </c>
      <c r="CM311" s="518" t="str">
        <f>IF(AND(_6="A-350",'2026'!$L$4="FO",'2026'!$L$2=CM309),'2026DATA'!$F$4,"")</f>
        <v/>
      </c>
      <c r="CN311" s="518" t="str">
        <f>IF(AND(_6="A-350",'2026'!$L$4="FO",'2026'!$L$2=CN309),'2026DATA'!$G$4,"")</f>
        <v/>
      </c>
      <c r="CO311" s="518" t="str">
        <f>IF(AND(_6="A-350",'2026'!$L$4="FO",'2026'!$L$2=CO309),'2026DATA'!$H$4,"")</f>
        <v/>
      </c>
      <c r="CP311" s="518" t="str">
        <f>IF(AND(_6="A-350",'2026'!$L$4="FO",'2026'!$L$2=CP309),'2026DATA'!$I$4,"")</f>
        <v/>
      </c>
      <c r="CQ311" s="518" t="str">
        <f>IF(AND(_6="A-350",'2026'!$L$4="FO",'2026'!$L$2=CQ309),'2026DATA'!$J$4,"")</f>
        <v/>
      </c>
      <c r="CR311" s="518" t="str">
        <f>IF(AND(_6="A-350",'2026'!$L$4="FO",'2026'!$L$2=CR309),'2026DATA'!$K$4,"")</f>
        <v/>
      </c>
      <c r="CS311" s="518" t="str">
        <f>IF(AND(_6="A-350",'2026'!$L$4="FO",'2026'!$L$2=CS309),'2026DATA'!$L$4,"")</f>
        <v/>
      </c>
      <c r="CT311" s="518" t="str">
        <f>IF(AND(_6="A-350",'2026'!$L$4="FO",'2026'!$L$2=CT309),'2026DATA'!$M$4,"")</f>
        <v/>
      </c>
      <c r="CU311" s="520" t="str">
        <f>IF(AND(_6="A-350",'2026'!$L$4="FO",'2026'!$L$2=CU309),'2026DATA'!$N$4,"")</f>
        <v/>
      </c>
    </row>
    <row r="312" spans="16:99" x14ac:dyDescent="0.25">
      <c r="P312" s="940" t="s">
        <v>65</v>
      </c>
      <c r="Q312" s="13" t="s">
        <v>61</v>
      </c>
      <c r="R312" s="518" t="str">
        <f>IF(AND(_1="A-330-900",'2026'!$L$4="CA",'2026'!$L$2=R309),'2026DATA'!$C$5,"")</f>
        <v/>
      </c>
      <c r="S312" s="518" t="str">
        <f>IF(AND(_1="A-330-900",'2026'!$L$4="CA",'2026'!$L$2=S309),'2026DATA'!$D$5,"")</f>
        <v/>
      </c>
      <c r="T312" s="518" t="str">
        <f>IF(AND(_1="A-330-900",'2026'!$L$4="CA",'2026'!$L$2=T309),'2026DATA'!$E$5,"")</f>
        <v/>
      </c>
      <c r="U312" s="518" t="str">
        <f>IF(AND(_1="A-330-900",'2026'!$L$4="CA",'2026'!$L$2=U309),'2026DATA'!$F$5,"")</f>
        <v/>
      </c>
      <c r="V312" s="518" t="str">
        <f>IF(AND(_1="A-330-900",'2026'!$L$4="CA",'2026'!$L$2=V309),'2026DATA'!$G$5,"")</f>
        <v/>
      </c>
      <c r="W312" s="518" t="str">
        <f>IF(AND(_1="A-330-900",'2026'!$L$4="CA",'2026'!$L$2=W309),'2026DATA'!$H$5,"")</f>
        <v/>
      </c>
      <c r="X312" s="518" t="str">
        <f>IF(AND(_1="A-330-900",'2026'!$L$4="CA",'2026'!$L$2=X309),'2026DATA'!$I$5,"")</f>
        <v/>
      </c>
      <c r="Y312" s="518" t="str">
        <f>IF(AND(_1="A-330-900",'2026'!$L$4="CA",'2026'!$L$2=Y309),'2026DATA'!$J$5,"")</f>
        <v/>
      </c>
      <c r="Z312" s="518" t="str">
        <f>IF(AND(_1="A-330-900",'2026'!$L$4="CA",'2026'!$L$2=Z309),'2026DATA'!$K$5,"")</f>
        <v/>
      </c>
      <c r="AA312" s="518" t="str">
        <f>IF(AND(_1="A-330-900",'2026'!$L$4="CA",'2026'!$L$2=AA309),'2026DATA'!$L$5,"")</f>
        <v/>
      </c>
      <c r="AB312" s="518" t="str">
        <f>IF(AND(_1="A-330-900",'2026'!$L$4="CA",'2026'!$L$2=AB309),'2026DATA'!$M$5,"")</f>
        <v/>
      </c>
      <c r="AC312" s="520" t="str">
        <f>IF(AND(_1="A-330-900",'2026'!$L$4="CA",'2026'!$L$2=AC309),'2026DATA'!$N$5,"")</f>
        <v/>
      </c>
      <c r="AD312" s="940" t="s">
        <v>65</v>
      </c>
      <c r="AE312" s="13" t="s">
        <v>61</v>
      </c>
      <c r="AF312" s="518" t="str">
        <f>IF(AND(_2="A-330-900",'2026'!$L$4="CA",'2026'!$L$2=AF309),'2026DATA'!$C$5,"")</f>
        <v/>
      </c>
      <c r="AG312" s="518" t="str">
        <f>IF(AND(_2="A-330-900",'2026'!$L$4="CA",'2026'!$L$2=AG309),'2026DATA'!$D$5,"")</f>
        <v/>
      </c>
      <c r="AH312" s="518" t="str">
        <f>IF(AND(_2="A-330-900",'2026'!$L$4="CA",'2026'!$L$2=AH309),'2026DATA'!$E$5,"")</f>
        <v/>
      </c>
      <c r="AI312" s="518" t="str">
        <f>IF(AND(_2="A-330-900",'2026'!$L$4="CA",'2026'!$L$2=AI309),'2026DATA'!$F$5,"")</f>
        <v/>
      </c>
      <c r="AJ312" s="518" t="str">
        <f>IF(AND(_2="A-330-900",'2026'!$L$4="CA",'2026'!$L$2=AJ309),'2026DATA'!$G$5,"")</f>
        <v/>
      </c>
      <c r="AK312" s="518" t="str">
        <f>IF(AND(_2="A-330-900",'2026'!$L$4="CA",'2026'!$L$2=AK309),'2026DATA'!$H$5,"")</f>
        <v/>
      </c>
      <c r="AL312" s="518" t="str">
        <f>IF(AND(_2="A-330-900",'2026'!$L$4="CA",'2026'!$L$2=AL309),'2026DATA'!$I$5,"")</f>
        <v/>
      </c>
      <c r="AM312" s="518" t="str">
        <f>IF(AND(_2="A-330-900",'2026'!$L$4="CA",'2026'!$L$2=AM309),'2026DATA'!$J$5,"")</f>
        <v/>
      </c>
      <c r="AN312" s="518" t="str">
        <f>IF(AND(_2="A-330-900",'2026'!$L$4="CA",'2026'!$L$2=AN309),'2026DATA'!$K$5,"")</f>
        <v/>
      </c>
      <c r="AO312" s="518" t="str">
        <f>IF(AND(_2="A-330-900",'2026'!$L$4="CA",'2026'!$L$2=AO309),'2026DATA'!$L$5,"")</f>
        <v/>
      </c>
      <c r="AP312" s="518" t="str">
        <f>IF(AND(_2="A-330-900",'2026'!$L$4="CA",'2026'!$L$2=AP309),'2026DATA'!$M$5,"")</f>
        <v/>
      </c>
      <c r="AQ312" s="520" t="str">
        <f>IF(AND(_2="A-330-900",'2026'!$L$4="CA",'2026'!$L$2=AQ309),'2026DATA'!$N$5,"")</f>
        <v/>
      </c>
      <c r="AR312" s="940" t="s">
        <v>65</v>
      </c>
      <c r="AS312" s="13" t="s">
        <v>61</v>
      </c>
      <c r="AT312" s="518" t="str">
        <f>IF(AND(_3="A-330-900",'2026'!$L$4="CA",'2026'!$L$2=AT309),'2026DATA'!$C$5,"")</f>
        <v/>
      </c>
      <c r="AU312" s="518" t="str">
        <f>IF(AND(_3="A-330-900",'2026'!$L$4="CA",'2026'!$L$2=AU309),'2026DATA'!$D$5,"")</f>
        <v/>
      </c>
      <c r="AV312" s="518" t="str">
        <f>IF(AND(_3="A-330-900",'2026'!$L$4="CA",'2026'!$L$2=AV309),'2026DATA'!$E$5,"")</f>
        <v/>
      </c>
      <c r="AW312" s="518" t="str">
        <f>IF(AND(_3="A-330-900",'2026'!$L$4="CA",'2026'!$L$2=AW309),'2026DATA'!$F$5,"")</f>
        <v/>
      </c>
      <c r="AX312" s="518" t="str">
        <f>IF(AND(_3="A-330-900",'2026'!$L$4="CA",'2026'!$L$2=AX309),'2026DATA'!$G$5,"")</f>
        <v/>
      </c>
      <c r="AY312" s="518" t="str">
        <f>IF(AND(_3="A-330-900",'2026'!$L$4="CA",'2026'!$L$2=AY309),'2026DATA'!$H$5,"")</f>
        <v/>
      </c>
      <c r="AZ312" s="518" t="str">
        <f>IF(AND(_3="A-330-900",'2026'!$L$4="CA",'2026'!$L$2=AZ309),'2026DATA'!$I$5,"")</f>
        <v/>
      </c>
      <c r="BA312" s="518" t="str">
        <f>IF(AND(_3="A-330-900",'2026'!$L$4="CA",'2026'!$L$2=BA309),'2026DATA'!$J$5,"")</f>
        <v/>
      </c>
      <c r="BB312" s="518" t="str">
        <f>IF(AND(_3="A-330-900",'2026'!$L$4="CA",'2026'!$L$2=BB309),'2026DATA'!$K$5,"")</f>
        <v/>
      </c>
      <c r="BC312" s="518" t="str">
        <f>IF(AND(_3="A-330-900",'2026'!$L$4="CA",'2026'!$L$2=BC309),'2026DATA'!$L$5,"")</f>
        <v/>
      </c>
      <c r="BD312" s="518" t="str">
        <f>IF(AND(_3="A-330-900",'2026'!$L$4="CA",'2026'!$L$2=BD309),'2026DATA'!$M$5,"")</f>
        <v/>
      </c>
      <c r="BE312" s="520" t="str">
        <f>IF(AND(_3="A-330-900",'2026'!$L$4="CA",'2026'!$L$2=BE309),'2026DATA'!$N$5,"")</f>
        <v/>
      </c>
      <c r="BF312" s="940" t="s">
        <v>65</v>
      </c>
      <c r="BG312" s="13" t="s">
        <v>61</v>
      </c>
      <c r="BH312" s="518" t="str">
        <f>IF(AND(_4="A-330-900",'2026'!$L$4="CA",'2026'!$L$2=BH309),'2026DATA'!$C$5,"")</f>
        <v/>
      </c>
      <c r="BI312" s="518" t="str">
        <f>IF(AND(_4="A-330-900",'2026'!$L$4="CA",'2026'!$L$2=BI309),'2026DATA'!$D$5,"")</f>
        <v/>
      </c>
      <c r="BJ312" s="518" t="str">
        <f>IF(AND(_4="A-330-900",'2026'!$L$4="CA",'2026'!$L$2=BJ309),'2026DATA'!$E$5,"")</f>
        <v/>
      </c>
      <c r="BK312" s="518" t="str">
        <f>IF(AND(_4="A-330-900",'2026'!$L$4="CA",'2026'!$L$2=BK309),'2026DATA'!$F$5,"")</f>
        <v/>
      </c>
      <c r="BL312" s="518" t="str">
        <f>IF(AND(_4="A-330-900",'2026'!$L$4="CA",'2026'!$L$2=BL309),'2026DATA'!$G$5,"")</f>
        <v/>
      </c>
      <c r="BM312" s="518" t="str">
        <f>IF(AND(_4="A-330-900",'2026'!$L$4="CA",'2026'!$L$2=BM309),'2026DATA'!$H$5,"")</f>
        <v/>
      </c>
      <c r="BN312" s="518" t="str">
        <f>IF(AND(_4="A-330-900",'2026'!$L$4="CA",'2026'!$L$2=BN309),'2026DATA'!$I$5,"")</f>
        <v/>
      </c>
      <c r="BO312" s="518" t="str">
        <f>IF(AND(_4="A-330-900",'2026'!$L$4="CA",'2026'!$L$2=BO309),'2026DATA'!$J$5,"")</f>
        <v/>
      </c>
      <c r="BP312" s="518" t="str">
        <f>IF(AND(_4="A-330-900",'2026'!$L$4="CA",'2026'!$L$2=BP309),'2026DATA'!$K$5,"")</f>
        <v/>
      </c>
      <c r="BQ312" s="518" t="str">
        <f>IF(AND(_4="A-330-900",'2026'!$L$4="CA",'2026'!$L$2=BQ309),'2026DATA'!$L$5,"")</f>
        <v/>
      </c>
      <c r="BR312" s="518" t="str">
        <f>IF(AND(_4="A-330-900",'2026'!$L$4="CA",'2026'!$L$2=BR309),'2026DATA'!$M$5,"")</f>
        <v/>
      </c>
      <c r="BS312" s="520" t="str">
        <f>IF(AND(_4="A-330-900",'2026'!$L$4="CA",'2026'!$L$2=BS309),'2026DATA'!$N$5,"")</f>
        <v/>
      </c>
      <c r="BT312" s="940" t="s">
        <v>65</v>
      </c>
      <c r="BU312" s="13" t="s">
        <v>61</v>
      </c>
      <c r="BV312" s="518" t="str">
        <f>IF(AND(_5="A-330-900",'2026'!$L$4="CA",'2026'!$L$2=BV309),'2026DATA'!$C$5,"")</f>
        <v/>
      </c>
      <c r="BW312" s="518" t="str">
        <f>IF(AND(_5="A-330-900",'2026'!$L$4="CA",'2026'!$L$2=BW309),'2026DATA'!$D$5,"")</f>
        <v/>
      </c>
      <c r="BX312" s="518" t="str">
        <f>IF(AND(_5="A-330-900",'2026'!$L$4="CA",'2026'!$L$2=BX309),'2026DATA'!$E$5,"")</f>
        <v/>
      </c>
      <c r="BY312" s="518" t="str">
        <f>IF(AND(_5="A-330-900",'2026'!$L$4="CA",'2026'!$L$2=BY309),'2026DATA'!$F$5,"")</f>
        <v/>
      </c>
      <c r="BZ312" s="518" t="str">
        <f>IF(AND(_5="A-330-900",'2026'!$L$4="CA",'2026'!$L$2=BZ309),'2026DATA'!$G$5,"")</f>
        <v/>
      </c>
      <c r="CA312" s="518" t="str">
        <f>IF(AND(_5="A-330-900",'2026'!$L$4="CA",'2026'!$L$2=CA309),'2026DATA'!$H$5,"")</f>
        <v/>
      </c>
      <c r="CB312" s="518" t="str">
        <f>IF(AND(_5="A-330-900",'2026'!$L$4="CA",'2026'!$L$2=CB309),'2026DATA'!$I$5,"")</f>
        <v/>
      </c>
      <c r="CC312" s="518" t="str">
        <f>IF(AND(_5="A-330-900",'2026'!$L$4="CA",'2026'!$L$2=CC309),'2026DATA'!$J$5,"")</f>
        <v/>
      </c>
      <c r="CD312" s="518" t="str">
        <f>IF(AND(_5="A-330-900",'2026'!$L$4="CA",'2026'!$L$2=CD309),'2026DATA'!$K$5,"")</f>
        <v/>
      </c>
      <c r="CE312" s="518" t="str">
        <f>IF(AND(_5="A-330-900",'2026'!$L$4="CA",'2026'!$L$2=CE309),'2026DATA'!$L$5,"")</f>
        <v/>
      </c>
      <c r="CF312" s="518" t="str">
        <f>IF(AND(_5="A-330-900",'2026'!$L$4="CA",'2026'!$L$2=CF309),'2026DATA'!$M$5,"")</f>
        <v/>
      </c>
      <c r="CG312" s="520" t="str">
        <f>IF(AND(_5="A-330-900",'2026'!$L$4="CA",'2026'!$L$2=CG309),'2026DATA'!$N$5,"")</f>
        <v/>
      </c>
      <c r="CH312" s="940" t="s">
        <v>65</v>
      </c>
      <c r="CI312" s="13" t="s">
        <v>61</v>
      </c>
      <c r="CJ312" s="518" t="str">
        <f>IF(AND(_6="A-330-900",'2026'!$L$4="CA",'2026'!$L$2=CJ309),'2026DATA'!$C$5,"")</f>
        <v/>
      </c>
      <c r="CK312" s="518" t="str">
        <f>IF(AND(_6="A-330-900",'2026'!$L$4="CA",'2026'!$L$2=CK309),'2026DATA'!$D$5,"")</f>
        <v/>
      </c>
      <c r="CL312" s="518" t="str">
        <f>IF(AND(_6="A-330-900",'2026'!$L$4="CA",'2026'!$L$2=CL309),'2026DATA'!$E$5,"")</f>
        <v/>
      </c>
      <c r="CM312" s="518" t="str">
        <f>IF(AND(_6="A-330-900",'2026'!$L$4="CA",'2026'!$L$2=CM309),'2026DATA'!$F$5,"")</f>
        <v/>
      </c>
      <c r="CN312" s="518" t="str">
        <f>IF(AND(_6="A-330-900",'2026'!$L$4="CA",'2026'!$L$2=CN309),'2026DATA'!$G$5,"")</f>
        <v/>
      </c>
      <c r="CO312" s="518" t="str">
        <f>IF(AND(_6="A-330-900",'2026'!$L$4="CA",'2026'!$L$2=CO309),'2026DATA'!$H$5,"")</f>
        <v/>
      </c>
      <c r="CP312" s="518" t="str">
        <f>IF(AND(_6="A-330-900",'2026'!$L$4="CA",'2026'!$L$2=CP309),'2026DATA'!$I$5,"")</f>
        <v/>
      </c>
      <c r="CQ312" s="518" t="str">
        <f>IF(AND(_6="A-330-900",'2026'!$L$4="CA",'2026'!$L$2=CQ309),'2026DATA'!$J$5,"")</f>
        <v/>
      </c>
      <c r="CR312" s="518" t="str">
        <f>IF(AND(_6="A-330-900",'2026'!$L$4="CA",'2026'!$L$2=CR309),'2026DATA'!$K$5,"")</f>
        <v/>
      </c>
      <c r="CS312" s="518" t="str">
        <f>IF(AND(_6="A-330-900",'2026'!$L$4="CA",'2026'!$L$2=CS309),'2026DATA'!$L$5,"")</f>
        <v/>
      </c>
      <c r="CT312" s="518" t="str">
        <f>IF(AND(_6="A-330-900",'2026'!$L$4="CA",'2026'!$L$2=CT309),'2026DATA'!$M$5,"")</f>
        <v/>
      </c>
      <c r="CU312" s="520" t="str">
        <f>IF(AND(_6="A-330-900",'2026'!$L$4="CA",'2026'!$L$2=CU309),'2026DATA'!$N$5,"")</f>
        <v/>
      </c>
    </row>
    <row r="313" spans="16:99" x14ac:dyDescent="0.25">
      <c r="P313" s="940"/>
      <c r="Q313" s="13" t="s">
        <v>62</v>
      </c>
      <c r="R313" s="518" t="str">
        <f>IF(AND(_1="A-330-900",'2026'!$L$4="FO",'2026'!$L$2=R309),'2026DATA'!$C$6,"")</f>
        <v/>
      </c>
      <c r="S313" s="518" t="str">
        <f>IF(AND(_1="A-330-900",'2026'!$L$4="FO",'2026'!$L$2=S309),'2026DATA'!$D$6,"")</f>
        <v/>
      </c>
      <c r="T313" s="518" t="str">
        <f>IF(AND(_1="A-330-900",'2026'!$L$4="FO",'2026'!$L$2=T309),'2026DATA'!$E$6,"")</f>
        <v/>
      </c>
      <c r="U313" s="518" t="str">
        <f>IF(AND(_1="A-330-900",'2026'!$L$4="FO",'2026'!$L$2=U309),'2026DATA'!$F$6,"")</f>
        <v/>
      </c>
      <c r="V313" s="518" t="str">
        <f>IF(AND(_1="A-330-900",'2026'!$L$4="FO",'2026'!$L$2=V309),'2026DATA'!$G$6,"")</f>
        <v/>
      </c>
      <c r="W313" s="518" t="str">
        <f>IF(AND(_1="A-330-900",'2026'!$L$4="FO",'2026'!$L$2=W309),'2026DATA'!$H$6,"")</f>
        <v/>
      </c>
      <c r="X313" s="518" t="str">
        <f>IF(AND(_1="A-330-900",'2026'!$L$4="FO",'2026'!$L$2=X309),'2026DATA'!$I$6,"")</f>
        <v/>
      </c>
      <c r="Y313" s="518" t="str">
        <f>IF(AND(_1="A-330-900",'2026'!$L$4="FO",'2026'!$L$2=Y309),'2026DATA'!$J$6,"")</f>
        <v/>
      </c>
      <c r="Z313" s="518" t="str">
        <f>IF(AND(_1="A-330-900",'2026'!$L$4="FO",'2026'!$L$2=Z309),'2026DATA'!$K$6,"")</f>
        <v/>
      </c>
      <c r="AA313" s="518" t="str">
        <f>IF(AND(_1="A-330-900",'2026'!$L$4="FO",'2026'!$L$2=AA309),'2026DATA'!$L$6,"")</f>
        <v/>
      </c>
      <c r="AB313" s="518" t="str">
        <f>IF(AND(_1="A-330-900",'2026'!$L$4="FO",'2026'!$L$2=AB309),'2026DATA'!$M$6,"")</f>
        <v/>
      </c>
      <c r="AC313" s="520" t="str">
        <f>IF(AND(_1="A-330-900",'2026'!$L$4="FO",'2026'!$L$2=AC309),'2026DATA'!$N$6,"")</f>
        <v/>
      </c>
      <c r="AD313" s="940"/>
      <c r="AE313" s="13" t="s">
        <v>62</v>
      </c>
      <c r="AF313" s="518" t="str">
        <f>IF(AND(_2="A-330-900",'2026'!$L$4="FO",'2026'!$L$2=AF309),'2026DATA'!$C$6,"")</f>
        <v/>
      </c>
      <c r="AG313" s="518" t="str">
        <f>IF(AND(_2="A-330-900",'2026'!$L$4="FO",'2026'!$L$2=AG309),'2026DATA'!$D$6,"")</f>
        <v/>
      </c>
      <c r="AH313" s="518" t="str">
        <f>IF(AND(_2="A-330-900",'2026'!$L$4="FO",'2026'!$L$2=AH309),'2026DATA'!$E$6,"")</f>
        <v/>
      </c>
      <c r="AI313" s="518" t="str">
        <f>IF(AND(_2="A-330-900",'2026'!$L$4="FO",'2026'!$L$2=AI309),'2026DATA'!$F$6,"")</f>
        <v/>
      </c>
      <c r="AJ313" s="518" t="str">
        <f>IF(AND(_2="A-330-900",'2026'!$L$4="FO",'2026'!$L$2=AJ309),'2026DATA'!$G$6,"")</f>
        <v/>
      </c>
      <c r="AK313" s="518" t="str">
        <f>IF(AND(_2="A-330-900",'2026'!$L$4="FO",'2026'!$L$2=AK309),'2026DATA'!$H$6,"")</f>
        <v/>
      </c>
      <c r="AL313" s="518" t="str">
        <f>IF(AND(_2="A-330-900",'2026'!$L$4="FO",'2026'!$L$2=AL309),'2026DATA'!$I$6,"")</f>
        <v/>
      </c>
      <c r="AM313" s="518" t="str">
        <f>IF(AND(_2="A-330-900",'2026'!$L$4="FO",'2026'!$L$2=AM309),'2026DATA'!$J$6,"")</f>
        <v/>
      </c>
      <c r="AN313" s="518" t="str">
        <f>IF(AND(_2="A-330-900",'2026'!$L$4="FO",'2026'!$L$2=AN309),'2026DATA'!$K$6,"")</f>
        <v/>
      </c>
      <c r="AO313" s="518" t="str">
        <f>IF(AND(_2="A-330-900",'2026'!$L$4="FO",'2026'!$L$2=AO309),'2026DATA'!$L$6,"")</f>
        <v/>
      </c>
      <c r="AP313" s="518" t="str">
        <f>IF(AND(_2="A-330-900",'2026'!$L$4="FO",'2026'!$L$2=AP309),'2026DATA'!$M$6,"")</f>
        <v/>
      </c>
      <c r="AQ313" s="520" t="str">
        <f>IF(AND(_2="A-330-900",'2026'!$L$4="FO",'2026'!$L$2=AQ309),'2026DATA'!$N$6,"")</f>
        <v/>
      </c>
      <c r="AR313" s="940"/>
      <c r="AS313" s="13" t="s">
        <v>62</v>
      </c>
      <c r="AT313" s="518" t="str">
        <f>IF(AND(_3="A-330-900",'2026'!$L$4="FO",'2026'!$L$2=AT309),'2026DATA'!$C$6,"")</f>
        <v/>
      </c>
      <c r="AU313" s="518" t="str">
        <f>IF(AND(_3="A-330-900",'2026'!$L$4="FO",'2026'!$L$2=AU309),'2026DATA'!$D$6,"")</f>
        <v/>
      </c>
      <c r="AV313" s="518" t="str">
        <f>IF(AND(_3="A-330-900",'2026'!$L$4="FO",'2026'!$L$2=AV309),'2026DATA'!$E$6,"")</f>
        <v/>
      </c>
      <c r="AW313" s="518" t="str">
        <f>IF(AND(_3="A-330-900",'2026'!$L$4="FO",'2026'!$L$2=AW309),'2026DATA'!$F$6,"")</f>
        <v/>
      </c>
      <c r="AX313" s="518" t="str">
        <f>IF(AND(_3="A-330-900",'2026'!$L$4="FO",'2026'!$L$2=AX309),'2026DATA'!$G$6,"")</f>
        <v/>
      </c>
      <c r="AY313" s="518" t="str">
        <f>IF(AND(_3="A-330-900",'2026'!$L$4="FO",'2026'!$L$2=AY309),'2026DATA'!$H$6,"")</f>
        <v/>
      </c>
      <c r="AZ313" s="518" t="str">
        <f>IF(AND(_3="A-330-900",'2026'!$L$4="FO",'2026'!$L$2=AZ309),'2026DATA'!$I$6,"")</f>
        <v/>
      </c>
      <c r="BA313" s="518" t="str">
        <f>IF(AND(_3="A-330-900",'2026'!$L$4="FO",'2026'!$L$2=BA309),'2026DATA'!$J$6,"")</f>
        <v/>
      </c>
      <c r="BB313" s="518" t="str">
        <f>IF(AND(_3="A-330-900",'2026'!$L$4="FO",'2026'!$L$2=BB309),'2026DATA'!$K$6,"")</f>
        <v/>
      </c>
      <c r="BC313" s="518" t="str">
        <f>IF(AND(_3="A-330-900",'2026'!$L$4="FO",'2026'!$L$2=BC309),'2026DATA'!$L$6,"")</f>
        <v/>
      </c>
      <c r="BD313" s="518" t="str">
        <f>IF(AND(_3="A-330-900",'2026'!$L$4="FO",'2026'!$L$2=BD309),'2026DATA'!$M$6,"")</f>
        <v/>
      </c>
      <c r="BE313" s="520" t="str">
        <f>IF(AND(_3="A-330-900",'2026'!$L$4="FO",'2026'!$L$2=BE309),'2026DATA'!$N$6,"")</f>
        <v/>
      </c>
      <c r="BF313" s="940"/>
      <c r="BG313" s="13" t="s">
        <v>62</v>
      </c>
      <c r="BH313" s="518" t="str">
        <f>IF(AND(_4="A-330-900",'2026'!$L$4="FO",'2026'!$L$2=BH309),'2026DATA'!$C$6,"")</f>
        <v/>
      </c>
      <c r="BI313" s="518" t="str">
        <f>IF(AND(_4="A-330-900",'2026'!$L$4="FO",'2026'!$L$2=BI309),'2026DATA'!$D$6,"")</f>
        <v/>
      </c>
      <c r="BJ313" s="518" t="str">
        <f>IF(AND(_4="A-330-900",'2026'!$L$4="FO",'2026'!$L$2=BJ309),'2026DATA'!$E$6,"")</f>
        <v/>
      </c>
      <c r="BK313" s="518" t="str">
        <f>IF(AND(_4="A-330-900",'2026'!$L$4="FO",'2026'!$L$2=BK309),'2026DATA'!$F$6,"")</f>
        <v/>
      </c>
      <c r="BL313" s="518" t="str">
        <f>IF(AND(_4="A-330-900",'2026'!$L$4="FO",'2026'!$L$2=BL309),'2026DATA'!$G$6,"")</f>
        <v/>
      </c>
      <c r="BM313" s="518" t="str">
        <f>IF(AND(_4="A-330-900",'2026'!$L$4="FO",'2026'!$L$2=BM309),'2026DATA'!$H$6,"")</f>
        <v/>
      </c>
      <c r="BN313" s="518" t="str">
        <f>IF(AND(_4="A-330-900",'2026'!$L$4="FO",'2026'!$L$2=BN309),'2026DATA'!$I$6,"")</f>
        <v/>
      </c>
      <c r="BO313" s="518" t="str">
        <f>IF(AND(_4="A-330-900",'2026'!$L$4="FO",'2026'!$L$2=BO309),'2026DATA'!$J$6,"")</f>
        <v/>
      </c>
      <c r="BP313" s="518" t="str">
        <f>IF(AND(_4="A-330-900",'2026'!$L$4="FO",'2026'!$L$2=BP309),'2026DATA'!$K$6,"")</f>
        <v/>
      </c>
      <c r="BQ313" s="518" t="str">
        <f>IF(AND(_4="A-330-900",'2026'!$L$4="FO",'2026'!$L$2=BQ309),'2026DATA'!$L$6,"")</f>
        <v/>
      </c>
      <c r="BR313" s="518" t="str">
        <f>IF(AND(_4="A-330-900",'2026'!$L$4="FO",'2026'!$L$2=BR309),'2026DATA'!$M$6,"")</f>
        <v/>
      </c>
      <c r="BS313" s="520" t="str">
        <f>IF(AND(_4="A-330-900",'2026'!$L$4="FO",'2026'!$L$2=BS309),'2026DATA'!$N$6,"")</f>
        <v/>
      </c>
      <c r="BT313" s="940"/>
      <c r="BU313" s="13" t="s">
        <v>62</v>
      </c>
      <c r="BV313" s="518" t="str">
        <f>IF(AND(_5="A-330-900",'2026'!$L$4="FO",'2026'!$L$2=BV309),'2026DATA'!$C$6,"")</f>
        <v/>
      </c>
      <c r="BW313" s="518" t="str">
        <f>IF(AND(_5="A-330-900",'2026'!$L$4="FO",'2026'!$L$2=BW309),'2026DATA'!$D$6,"")</f>
        <v/>
      </c>
      <c r="BX313" s="518" t="str">
        <f>IF(AND(_5="A-330-900",'2026'!$L$4="FO",'2026'!$L$2=BX309),'2026DATA'!$E$6,"")</f>
        <v/>
      </c>
      <c r="BY313" s="518" t="str">
        <f>IF(AND(_5="A-330-900",'2026'!$L$4="FO",'2026'!$L$2=BY309),'2026DATA'!$F$6,"")</f>
        <v/>
      </c>
      <c r="BZ313" s="518" t="str">
        <f>IF(AND(_5="A-330-900",'2026'!$L$4="FO",'2026'!$L$2=BZ309),'2026DATA'!$G$6,"")</f>
        <v/>
      </c>
      <c r="CA313" s="518" t="str">
        <f>IF(AND(_5="A-330-900",'2026'!$L$4="FO",'2026'!$L$2=CA309),'2026DATA'!$H$6,"")</f>
        <v/>
      </c>
      <c r="CB313" s="518" t="str">
        <f>IF(AND(_5="A-330-900",'2026'!$L$4="FO",'2026'!$L$2=CB309),'2026DATA'!$I$6,"")</f>
        <v/>
      </c>
      <c r="CC313" s="518" t="str">
        <f>IF(AND(_5="A-330-900",'2026'!$L$4="FO",'2026'!$L$2=CC309),'2026DATA'!$J$6,"")</f>
        <v/>
      </c>
      <c r="CD313" s="518" t="str">
        <f>IF(AND(_5="A-330-900",'2026'!$L$4="FO",'2026'!$L$2=CD309),'2026DATA'!$K$6,"")</f>
        <v/>
      </c>
      <c r="CE313" s="518" t="str">
        <f>IF(AND(_5="A-330-900",'2026'!$L$4="FO",'2026'!$L$2=CE309),'2026DATA'!$L$6,"")</f>
        <v/>
      </c>
      <c r="CF313" s="518" t="str">
        <f>IF(AND(_5="A-330-900",'2026'!$L$4="FO",'2026'!$L$2=CF309),'2026DATA'!$M$6,"")</f>
        <v/>
      </c>
      <c r="CG313" s="520" t="str">
        <f>IF(AND(_5="A-330-900",'2026'!$L$4="FO",'2026'!$L$2=CG309),'2026DATA'!$N$6,"")</f>
        <v/>
      </c>
      <c r="CH313" s="940"/>
      <c r="CI313" s="13" t="s">
        <v>62</v>
      </c>
      <c r="CJ313" s="518" t="str">
        <f>IF(AND(_6="A-330-900",'2026'!$L$4="FO",'2026'!$L$2=CJ309),'2026DATA'!$C$6,"")</f>
        <v/>
      </c>
      <c r="CK313" s="518" t="str">
        <f>IF(AND(_6="A-330-900",'2026'!$L$4="FO",'2026'!$L$2=CK309),'2026DATA'!$D$6,"")</f>
        <v/>
      </c>
      <c r="CL313" s="518" t="str">
        <f>IF(AND(_6="A-330-900",'2026'!$L$4="FO",'2026'!$L$2=CL309),'2026DATA'!$E$6,"")</f>
        <v/>
      </c>
      <c r="CM313" s="518" t="str">
        <f>IF(AND(_6="A-330-900",'2026'!$L$4="FO",'2026'!$L$2=CM309),'2026DATA'!$F$6,"")</f>
        <v/>
      </c>
      <c r="CN313" s="518" t="str">
        <f>IF(AND(_6="A-330-900",'2026'!$L$4="FO",'2026'!$L$2=CN309),'2026DATA'!$G$6,"")</f>
        <v/>
      </c>
      <c r="CO313" s="518" t="str">
        <f>IF(AND(_6="A-330-900",'2026'!$L$4="FO",'2026'!$L$2=CO309),'2026DATA'!$H$6,"")</f>
        <v/>
      </c>
      <c r="CP313" s="518" t="str">
        <f>IF(AND(_6="A-330-900",'2026'!$L$4="FO",'2026'!$L$2=CP309),'2026DATA'!$I$6,"")</f>
        <v/>
      </c>
      <c r="CQ313" s="518" t="str">
        <f>IF(AND(_6="A-330-900",'2026'!$L$4="FO",'2026'!$L$2=CQ309),'2026DATA'!$J$6,"")</f>
        <v/>
      </c>
      <c r="CR313" s="518" t="str">
        <f>IF(AND(_6="A-330-900",'2026'!$L$4="FO",'2026'!$L$2=CR309),'2026DATA'!$K$6,"")</f>
        <v/>
      </c>
      <c r="CS313" s="518" t="str">
        <f>IF(AND(_6="A-330-900",'2026'!$L$4="FO",'2026'!$L$2=CS309),'2026DATA'!$L$6,"")</f>
        <v/>
      </c>
      <c r="CT313" s="518" t="str">
        <f>IF(AND(_6="A-330-900",'2026'!$L$4="FO",'2026'!$L$2=CT309),'2026DATA'!$M$6,"")</f>
        <v/>
      </c>
      <c r="CU313" s="520" t="str">
        <f>IF(AND(_6="A-330-900",'2026'!$L$4="FO",'2026'!$L$2=CU309),'2026DATA'!$N$6,"")</f>
        <v/>
      </c>
    </row>
    <row r="314" spans="16:99" x14ac:dyDescent="0.25">
      <c r="P314" s="940" t="s">
        <v>64</v>
      </c>
      <c r="Q314" s="13" t="s">
        <v>61</v>
      </c>
      <c r="R314" s="518" t="str">
        <f>IF(AND(_1="A-330-300",'2026'!$L$4="CA",'2026'!$L$2=R309),'2026DATA'!$C$7,"")</f>
        <v/>
      </c>
      <c r="S314" s="518" t="str">
        <f>IF(AND(_1="A-330-300",'2026'!$L$4="CA",'2026'!$L$2=S309),'2026DATA'!$D$7,"")</f>
        <v/>
      </c>
      <c r="T314" s="518" t="str">
        <f>IF(AND(_1="A-330-300",'2026'!$L$4="CA",'2026'!$L$2=T309),'2026DATA'!$E$7,"")</f>
        <v/>
      </c>
      <c r="U314" s="518" t="str">
        <f>IF(AND(_1="A-330-300",'2026'!$L$4="CA",'2026'!$L$2=U309),'2026DATA'!$F$7,"")</f>
        <v/>
      </c>
      <c r="V314" s="518" t="str">
        <f>IF(AND(_1="A-330-300",'2026'!$L$4="CA",'2026'!$L$2=V309),'2026DATA'!$G$7,"")</f>
        <v/>
      </c>
      <c r="W314" s="518" t="str">
        <f>IF(AND(_1="A-330-300",'2026'!$L$4="CA",'2026'!$L$2=W309),'2026DATA'!$H$7,"")</f>
        <v/>
      </c>
      <c r="X314" s="518" t="str">
        <f>IF(AND(_1="A-330-300",'2026'!$L$4="CA",'2026'!$L$2=X309),'2026DATA'!$I$7,"")</f>
        <v/>
      </c>
      <c r="Y314" s="518" t="str">
        <f>IF(AND(_1="A-330-300",'2026'!$L$4="CA",'2026'!$L$2=Y309),'2026DATA'!$J$7,"")</f>
        <v/>
      </c>
      <c r="Z314" s="518" t="str">
        <f>IF(AND(_1="A-330-300",'2026'!$L$4="CA",'2026'!$L$2=Z309),'2026DATA'!$K$7,"")</f>
        <v/>
      </c>
      <c r="AA314" s="518" t="str">
        <f>IF(AND(_1="A-330-300",'2026'!$L$4="CA",'2026'!$L$2=AA309),'2026DATA'!$L$7,"")</f>
        <v/>
      </c>
      <c r="AB314" s="518" t="str">
        <f>IF(AND(_1="A-330-300",'2026'!$L$4="CA",'2026'!$L$2=AB309),'2026DATA'!$M$7,"")</f>
        <v/>
      </c>
      <c r="AC314" s="520" t="str">
        <f>IF(AND(_1="A-330-300",'2026'!$L$4="CA",'2026'!$L$2=AC309),'2026DATA'!$N$7,"")</f>
        <v/>
      </c>
      <c r="AD314" s="940" t="s">
        <v>64</v>
      </c>
      <c r="AE314" s="13" t="s">
        <v>61</v>
      </c>
      <c r="AF314" s="518" t="str">
        <f>IF(AND(_2="A-330-300",'2026'!$L$4="CA",'2026'!$L$2=AF309),'2026DATA'!$C$7,"")</f>
        <v/>
      </c>
      <c r="AG314" s="518" t="str">
        <f>IF(AND(_2="A-330-300",'2026'!$L$4="CA",'2026'!$L$2=AG309),'2026DATA'!$D$7,"")</f>
        <v/>
      </c>
      <c r="AH314" s="518" t="str">
        <f>IF(AND(_2="A-330-300",'2026'!$L$4="CA",'2026'!$L$2=AH309),'2026DATA'!$E$7,"")</f>
        <v/>
      </c>
      <c r="AI314" s="518" t="str">
        <f>IF(AND(_2="A-330-300",'2026'!$L$4="CA",'2026'!$L$2=AI309),'2026DATA'!$F$7,"")</f>
        <v/>
      </c>
      <c r="AJ314" s="518" t="str">
        <f>IF(AND(_2="A-330-300",'2026'!$L$4="CA",'2026'!$L$2=AJ309),'2026DATA'!$G$7,"")</f>
        <v/>
      </c>
      <c r="AK314" s="518" t="str">
        <f>IF(AND(_2="A-330-300",'2026'!$L$4="CA",'2026'!$L$2=AK309),'2026DATA'!$H$7,"")</f>
        <v/>
      </c>
      <c r="AL314" s="518" t="str">
        <f>IF(AND(_2="A-330-300",'2026'!$L$4="CA",'2026'!$L$2=AL309),'2026DATA'!$I$7,"")</f>
        <v/>
      </c>
      <c r="AM314" s="518" t="str">
        <f>IF(AND(_2="A-330-300",'2026'!$L$4="CA",'2026'!$L$2=AM309),'2026DATA'!$J$7,"")</f>
        <v/>
      </c>
      <c r="AN314" s="518" t="str">
        <f>IF(AND(_2="A-330-300",'2026'!$L$4="CA",'2026'!$L$2=AN309),'2026DATA'!$K$7,"")</f>
        <v/>
      </c>
      <c r="AO314" s="518" t="str">
        <f>IF(AND(_2="A-330-300",'2026'!$L$4="CA",'2026'!$L$2=AO309),'2026DATA'!$L$7,"")</f>
        <v/>
      </c>
      <c r="AP314" s="518" t="str">
        <f>IF(AND(_2="A-330-300",'2026'!$L$4="CA",'2026'!$L$2=AP309),'2026DATA'!$M$7,"")</f>
        <v/>
      </c>
      <c r="AQ314" s="520" t="str">
        <f>IF(AND(_2="A-330-300",'2026'!$L$4="CA",'2026'!$L$2=AQ309),'2026DATA'!$N$7,"")</f>
        <v/>
      </c>
      <c r="AR314" s="940" t="s">
        <v>64</v>
      </c>
      <c r="AS314" s="13" t="s">
        <v>61</v>
      </c>
      <c r="AT314" s="518" t="str">
        <f>IF(AND(_3="A-330-300",'2026'!$L$4="CA",'2026'!$L$2=AT309),'2026DATA'!$C$7,"")</f>
        <v/>
      </c>
      <c r="AU314" s="518" t="str">
        <f>IF(AND(_3="A-330-300",'2026'!$L$4="CA",'2026'!$L$2=AU309),'2026DATA'!$D$7,"")</f>
        <v/>
      </c>
      <c r="AV314" s="518" t="str">
        <f>IF(AND(_3="A-330-300",'2026'!$L$4="CA",'2026'!$L$2=AV309),'2026DATA'!$E$7,"")</f>
        <v/>
      </c>
      <c r="AW314" s="518" t="str">
        <f>IF(AND(_3="A-330-300",'2026'!$L$4="CA",'2026'!$L$2=AW309),'2026DATA'!$F$7,"")</f>
        <v/>
      </c>
      <c r="AX314" s="518" t="str">
        <f>IF(AND(_3="A-330-300",'2026'!$L$4="CA",'2026'!$L$2=AX309),'2026DATA'!$G$7,"")</f>
        <v/>
      </c>
      <c r="AY314" s="518" t="str">
        <f>IF(AND(_3="A-330-300",'2026'!$L$4="CA",'2026'!$L$2=AY309),'2026DATA'!$H$7,"")</f>
        <v/>
      </c>
      <c r="AZ314" s="518" t="str">
        <f>IF(AND(_3="A-330-300",'2026'!$L$4="CA",'2026'!$L$2=AZ309),'2026DATA'!$I$7,"")</f>
        <v/>
      </c>
      <c r="BA314" s="518" t="str">
        <f>IF(AND(_3="A-330-300",'2026'!$L$4="CA",'2026'!$L$2=BA309),'2026DATA'!$J$7,"")</f>
        <v/>
      </c>
      <c r="BB314" s="518" t="str">
        <f>IF(AND(_3="A-330-300",'2026'!$L$4="CA",'2026'!$L$2=BB309),'2026DATA'!$K$7,"")</f>
        <v/>
      </c>
      <c r="BC314" s="518" t="str">
        <f>IF(AND(_3="A-330-300",'2026'!$L$4="CA",'2026'!$L$2=BC309),'2026DATA'!$L$7,"")</f>
        <v/>
      </c>
      <c r="BD314" s="518" t="str">
        <f>IF(AND(_3="A-330-300",'2026'!$L$4="CA",'2026'!$L$2=BD309),'2026DATA'!$M$7,"")</f>
        <v/>
      </c>
      <c r="BE314" s="520" t="str">
        <f>IF(AND(_3="A-330-300",'2026'!$L$4="CA",'2026'!$L$2=BE309),'2026DATA'!$N$7,"")</f>
        <v/>
      </c>
      <c r="BF314" s="940" t="s">
        <v>64</v>
      </c>
      <c r="BG314" s="13" t="s">
        <v>61</v>
      </c>
      <c r="BH314" s="518" t="str">
        <f>IF(AND(_4="A-330-300",'2026'!$L$4="CA",'2026'!$L$2=BH309),'2026DATA'!$C$7,"")</f>
        <v/>
      </c>
      <c r="BI314" s="518" t="str">
        <f>IF(AND(_4="A-330-300",'2026'!$L$4="CA",'2026'!$L$2=BI309),'2026DATA'!$D$7,"")</f>
        <v/>
      </c>
      <c r="BJ314" s="518" t="str">
        <f>IF(AND(_4="A-330-300",'2026'!$L$4="CA",'2026'!$L$2=BJ309),'2026DATA'!$E$7,"")</f>
        <v/>
      </c>
      <c r="BK314" s="518" t="str">
        <f>IF(AND(_4="A-330-300",'2026'!$L$4="CA",'2026'!$L$2=BK309),'2026DATA'!$F$7,"")</f>
        <v/>
      </c>
      <c r="BL314" s="518" t="str">
        <f>IF(AND(_4="A-330-300",'2026'!$L$4="CA",'2026'!$L$2=BL309),'2026DATA'!$G$7,"")</f>
        <v/>
      </c>
      <c r="BM314" s="518" t="str">
        <f>IF(AND(_4="A-330-300",'2026'!$L$4="CA",'2026'!$L$2=BM309),'2026DATA'!$H$7,"")</f>
        <v/>
      </c>
      <c r="BN314" s="518" t="str">
        <f>IF(AND(_4="A-330-300",'2026'!$L$4="CA",'2026'!$L$2=BN309),'2026DATA'!$I$7,"")</f>
        <v/>
      </c>
      <c r="BO314" s="518" t="str">
        <f>IF(AND(_4="A-330-300",'2026'!$L$4="CA",'2026'!$L$2=BO309),'2026DATA'!$J$7,"")</f>
        <v/>
      </c>
      <c r="BP314" s="518" t="str">
        <f>IF(AND(_4="A-330-300",'2026'!$L$4="CA",'2026'!$L$2=BP309),'2026DATA'!$K$7,"")</f>
        <v/>
      </c>
      <c r="BQ314" s="518" t="str">
        <f>IF(AND(_4="A-330-300",'2026'!$L$4="CA",'2026'!$L$2=BQ309),'2026DATA'!$L$7,"")</f>
        <v/>
      </c>
      <c r="BR314" s="518" t="str">
        <f>IF(AND(_4="A-330-300",'2026'!$L$4="CA",'2026'!$L$2=BR309),'2026DATA'!$M$7,"")</f>
        <v/>
      </c>
      <c r="BS314" s="520" t="str">
        <f>IF(AND(_4="A-330-300",'2026'!$L$4="CA",'2026'!$L$2=BS309),'2026DATA'!$N$7,"")</f>
        <v/>
      </c>
      <c r="BT314" s="940" t="s">
        <v>64</v>
      </c>
      <c r="BU314" s="13" t="s">
        <v>61</v>
      </c>
      <c r="BV314" s="518" t="str">
        <f>IF(AND(_5="A-330-300",'2026'!$L$4="CA",'2026'!$L$2=BV309),'2026DATA'!$C$7,"")</f>
        <v/>
      </c>
      <c r="BW314" s="518" t="str">
        <f>IF(AND(_5="A-330-300",'2026'!$L$4="CA",'2026'!$L$2=BW309),'2026DATA'!$D$7,"")</f>
        <v/>
      </c>
      <c r="BX314" s="518" t="str">
        <f>IF(AND(_5="A-330-300",'2026'!$L$4="CA",'2026'!$L$2=BX309),'2026DATA'!$E$7,"")</f>
        <v/>
      </c>
      <c r="BY314" s="518" t="str">
        <f>IF(AND(_5="A-330-300",'2026'!$L$4="CA",'2026'!$L$2=BY309),'2026DATA'!$F$7,"")</f>
        <v/>
      </c>
      <c r="BZ314" s="518" t="str">
        <f>IF(AND(_5="A-330-300",'2026'!$L$4="CA",'2026'!$L$2=BZ309),'2026DATA'!$G$7,"")</f>
        <v/>
      </c>
      <c r="CA314" s="518" t="str">
        <f>IF(AND(_5="A-330-300",'2026'!$L$4="CA",'2026'!$L$2=CA309),'2026DATA'!$H$7,"")</f>
        <v/>
      </c>
      <c r="CB314" s="518" t="str">
        <f>IF(AND(_5="A-330-300",'2026'!$L$4="CA",'2026'!$L$2=CB309),'2026DATA'!$I$7,"")</f>
        <v/>
      </c>
      <c r="CC314" s="518" t="str">
        <f>IF(AND(_5="A-330-300",'2026'!$L$4="CA",'2026'!$L$2=CC309),'2026DATA'!$J$7,"")</f>
        <v/>
      </c>
      <c r="CD314" s="518" t="str">
        <f>IF(AND(_5="A-330-300",'2026'!$L$4="CA",'2026'!$L$2=CD309),'2026DATA'!$K$7,"")</f>
        <v/>
      </c>
      <c r="CE314" s="518" t="str">
        <f>IF(AND(_5="A-330-300",'2026'!$L$4="CA",'2026'!$L$2=CE309),'2026DATA'!$L$7,"")</f>
        <v/>
      </c>
      <c r="CF314" s="518" t="str">
        <f>IF(AND(_5="A-330-300",'2026'!$L$4="CA",'2026'!$L$2=CF309),'2026DATA'!$M$7,"")</f>
        <v/>
      </c>
      <c r="CG314" s="520" t="str">
        <f>IF(AND(_5="A-330-300",'2026'!$L$4="CA",'2026'!$L$2=CG309),'2026DATA'!$N$7,"")</f>
        <v/>
      </c>
      <c r="CH314" s="940" t="s">
        <v>64</v>
      </c>
      <c r="CI314" s="13" t="s">
        <v>61</v>
      </c>
      <c r="CJ314" s="518" t="str">
        <f>IF(AND(_6="A-330-300",'2026'!$L$4="CA",'2026'!$L$2=CJ309),'2026DATA'!$C$7,"")</f>
        <v/>
      </c>
      <c r="CK314" s="518" t="str">
        <f>IF(AND(_6="A-330-300",'2026'!$L$4="CA",'2026'!$L$2=CK309),'2026DATA'!$D$7,"")</f>
        <v/>
      </c>
      <c r="CL314" s="518" t="str">
        <f>IF(AND(_6="A-330-300",'2026'!$L$4="CA",'2026'!$L$2=CL309),'2026DATA'!$E$7,"")</f>
        <v/>
      </c>
      <c r="CM314" s="518" t="str">
        <f>IF(AND(_6="A-330-300",'2026'!$L$4="CA",'2026'!$L$2=CM309),'2026DATA'!$F$7,"")</f>
        <v/>
      </c>
      <c r="CN314" s="518" t="str">
        <f>IF(AND(_6="A-330-300",'2026'!$L$4="CA",'2026'!$L$2=CN309),'2026DATA'!$G$7,"")</f>
        <v/>
      </c>
      <c r="CO314" s="518" t="str">
        <f>IF(AND(_6="A-330-300",'2026'!$L$4="CA",'2026'!$L$2=CO309),'2026DATA'!$H$7,"")</f>
        <v/>
      </c>
      <c r="CP314" s="518" t="str">
        <f>IF(AND(_6="A-330-300",'2026'!$L$4="CA",'2026'!$L$2=CP309),'2026DATA'!$I$7,"")</f>
        <v/>
      </c>
      <c r="CQ314" s="518" t="str">
        <f>IF(AND(_6="A-330-300",'2026'!$L$4="CA",'2026'!$L$2=CQ309),'2026DATA'!$J$7,"")</f>
        <v/>
      </c>
      <c r="CR314" s="518" t="str">
        <f>IF(AND(_6="A-330-300",'2026'!$L$4="CA",'2026'!$L$2=CR309),'2026DATA'!$K$7,"")</f>
        <v/>
      </c>
      <c r="CS314" s="518" t="str">
        <f>IF(AND(_6="A-330-300",'2026'!$L$4="CA",'2026'!$L$2=CS309),'2026DATA'!$L$7,"")</f>
        <v/>
      </c>
      <c r="CT314" s="518" t="str">
        <f>IF(AND(_6="A-330-300",'2026'!$L$4="CA",'2026'!$L$2=CT309),'2026DATA'!$M$7,"")</f>
        <v/>
      </c>
      <c r="CU314" s="520" t="str">
        <f>IF(AND(_6="A-330-300",'2026'!$L$4="CA",'2026'!$L$2=CU309),'2026DATA'!$N$7,"")</f>
        <v/>
      </c>
    </row>
    <row r="315" spans="16:99" x14ac:dyDescent="0.25">
      <c r="P315" s="940"/>
      <c r="Q315" s="13" t="s">
        <v>62</v>
      </c>
      <c r="R315" s="518" t="str">
        <f>IF(AND(_1="A-330-300",'2026'!$L$4="FO",'2026'!$L$2=R309),'2026DATA'!$C$8,"")</f>
        <v/>
      </c>
      <c r="S315" s="518" t="str">
        <f>IF(AND(_1="A-330-300",'2026'!$L$4="FO",'2026'!$L$2=S309),'2026DATA'!$D$8,"")</f>
        <v/>
      </c>
      <c r="T315" s="518" t="str">
        <f>IF(AND(_1="A-330-300",'2026'!$L$4="FO",'2026'!$L$2=T309),'2026DATA'!$E$8,"")</f>
        <v/>
      </c>
      <c r="U315" s="518" t="str">
        <f>IF(AND(_1="A-330-300",'2026'!$L$4="FO",'2026'!$L$2=U309),'2026DATA'!$F$8,"")</f>
        <v/>
      </c>
      <c r="V315" s="518" t="str">
        <f>IF(AND(_1="A-330-300",'2026'!$L$4="FO",'2026'!$L$2=V309),'2026DATA'!$G$8,"")</f>
        <v/>
      </c>
      <c r="W315" s="518" t="str">
        <f>IF(AND(_1="A-330-300",'2026'!$L$4="FO",'2026'!$L$2=W309),'2026DATA'!$H$8,"")</f>
        <v/>
      </c>
      <c r="X315" s="518" t="str">
        <f>IF(AND(_1="A-330-300",'2026'!$L$4="FO",'2026'!$L$2=X309),'2026DATA'!$I$8,"")</f>
        <v/>
      </c>
      <c r="Y315" s="518" t="str">
        <f>IF(AND(_1="A-330-300",'2026'!$L$4="FO",'2026'!$L$2=Y309),'2026DATA'!$J$8,"")</f>
        <v/>
      </c>
      <c r="Z315" s="518" t="str">
        <f>IF(AND(_1="A-330-300",'2026'!$L$4="FO",'2026'!$L$2=Z309),'2026DATA'!$K$8,"")</f>
        <v/>
      </c>
      <c r="AA315" s="518" t="str">
        <f>IF(AND(_1="A-330-300",'2026'!$L$4="FO",'2026'!$L$2=AA309),'2026DATA'!$L$8,"")</f>
        <v/>
      </c>
      <c r="AB315" s="518" t="str">
        <f>IF(AND(_1="A-330-300",'2026'!$L$4="FO",'2026'!$L$2=AB309),'2026DATA'!$M$8,"")</f>
        <v/>
      </c>
      <c r="AC315" s="520" t="str">
        <f>IF(AND(_1="A-330-300",'2026'!$L$4="FO",'2026'!$L$2=AC309),'2026DATA'!$N$8,"")</f>
        <v/>
      </c>
      <c r="AD315" s="940"/>
      <c r="AE315" s="13" t="s">
        <v>62</v>
      </c>
      <c r="AF315" s="518" t="str">
        <f>IF(AND(_2="A-330-300",'2026'!$L$4="FO",'2026'!$L$2=AF309),'2026DATA'!$C$8,"")</f>
        <v/>
      </c>
      <c r="AG315" s="518" t="str">
        <f>IF(AND(_2="A-330-300",'2026'!$L$4="FO",'2026'!$L$2=AG309),'2026DATA'!$D$8,"")</f>
        <v/>
      </c>
      <c r="AH315" s="518" t="str">
        <f>IF(AND(_2="A-330-300",'2026'!$L$4="FO",'2026'!$L$2=AH309),'2026DATA'!$E$8,"")</f>
        <v/>
      </c>
      <c r="AI315" s="518" t="str">
        <f>IF(AND(_2="A-330-300",'2026'!$L$4="FO",'2026'!$L$2=AI309),'2026DATA'!$F$8,"")</f>
        <v/>
      </c>
      <c r="AJ315" s="518" t="str">
        <f>IF(AND(_2="A-330-300",'2026'!$L$4="FO",'2026'!$L$2=AJ309),'2026DATA'!$G$8,"")</f>
        <v/>
      </c>
      <c r="AK315" s="518" t="str">
        <f>IF(AND(_2="A-330-300",'2026'!$L$4="FO",'2026'!$L$2=AK309),'2026DATA'!$H$8,"")</f>
        <v/>
      </c>
      <c r="AL315" s="518" t="str">
        <f>IF(AND(_2="A-330-300",'2026'!$L$4="FO",'2026'!$L$2=AL309),'2026DATA'!$I$8,"")</f>
        <v/>
      </c>
      <c r="AM315" s="518" t="str">
        <f>IF(AND(_2="A-330-300",'2026'!$L$4="FO",'2026'!$L$2=AM309),'2026DATA'!$J$8,"")</f>
        <v/>
      </c>
      <c r="AN315" s="518" t="str">
        <f>IF(AND(_2="A-330-300",'2026'!$L$4="FO",'2026'!$L$2=AN309),'2026DATA'!$K$8,"")</f>
        <v/>
      </c>
      <c r="AO315" s="518" t="str">
        <f>IF(AND(_2="A-330-300",'2026'!$L$4="FO",'2026'!$L$2=AO309),'2026DATA'!$L$8,"")</f>
        <v/>
      </c>
      <c r="AP315" s="518" t="str">
        <f>IF(AND(_2="A-330-300",'2026'!$L$4="FO",'2026'!$L$2=AP309),'2026DATA'!$M$8,"")</f>
        <v/>
      </c>
      <c r="AQ315" s="520" t="str">
        <f>IF(AND(_2="A-330-300",'2026'!$L$4="FO",'2026'!$L$2=AQ309),'2026DATA'!$N$8,"")</f>
        <v/>
      </c>
      <c r="AR315" s="940"/>
      <c r="AS315" s="13" t="s">
        <v>62</v>
      </c>
      <c r="AT315" s="518" t="str">
        <f>IF(AND(_3="A-330-300",'2026'!$L$4="FO",'2026'!$L$2=AT309),'2026DATA'!$C$8,"")</f>
        <v/>
      </c>
      <c r="AU315" s="518" t="str">
        <f>IF(AND(_3="A-330-300",'2026'!$L$4="FO",'2026'!$L$2=AU309),'2026DATA'!$D$8,"")</f>
        <v/>
      </c>
      <c r="AV315" s="518" t="str">
        <f>IF(AND(_3="A-330-300",'2026'!$L$4="FO",'2026'!$L$2=AV309),'2026DATA'!$E$8,"")</f>
        <v/>
      </c>
      <c r="AW315" s="518" t="str">
        <f>IF(AND(_3="A-330-300",'2026'!$L$4="FO",'2026'!$L$2=AW309),'2026DATA'!$F$8,"")</f>
        <v/>
      </c>
      <c r="AX315" s="518" t="str">
        <f>IF(AND(_3="A-330-300",'2026'!$L$4="FO",'2026'!$L$2=AX309),'2026DATA'!$G$8,"")</f>
        <v/>
      </c>
      <c r="AY315" s="518" t="str">
        <f>IF(AND(_3="A-330-300",'2026'!$L$4="FO",'2026'!$L$2=AY309),'2026DATA'!$H$8,"")</f>
        <v/>
      </c>
      <c r="AZ315" s="518" t="str">
        <f>IF(AND(_3="A-330-300",'2026'!$L$4="FO",'2026'!$L$2=AZ309),'2026DATA'!$I$8,"")</f>
        <v/>
      </c>
      <c r="BA315" s="518" t="str">
        <f>IF(AND(_3="A-330-300",'2026'!$L$4="FO",'2026'!$L$2=BA309),'2026DATA'!$J$8,"")</f>
        <v/>
      </c>
      <c r="BB315" s="518" t="str">
        <f>IF(AND(_3="A-330-300",'2026'!$L$4="FO",'2026'!$L$2=BB309),'2026DATA'!$K$8,"")</f>
        <v/>
      </c>
      <c r="BC315" s="518" t="str">
        <f>IF(AND(_3="A-330-300",'2026'!$L$4="FO",'2026'!$L$2=BC309),'2026DATA'!$L$8,"")</f>
        <v/>
      </c>
      <c r="BD315" s="518" t="str">
        <f>IF(AND(_3="A-330-300",'2026'!$L$4="FO",'2026'!$L$2=BD309),'2026DATA'!$M$8,"")</f>
        <v/>
      </c>
      <c r="BE315" s="520" t="str">
        <f>IF(AND(_3="A-330-300",'2026'!$L$4="FO",'2026'!$L$2=BE309),'2026DATA'!$N$8,"")</f>
        <v/>
      </c>
      <c r="BF315" s="940"/>
      <c r="BG315" s="13" t="s">
        <v>62</v>
      </c>
      <c r="BH315" s="518" t="str">
        <f>IF(AND(_4="A-330-300",'2026'!$L$4="FO",'2026'!$L$2=BH309),'2026DATA'!$C$8,"")</f>
        <v/>
      </c>
      <c r="BI315" s="518" t="str">
        <f>IF(AND(_4="A-330-300",'2026'!$L$4="FO",'2026'!$L$2=BI309),'2026DATA'!$D$8,"")</f>
        <v/>
      </c>
      <c r="BJ315" s="518" t="str">
        <f>IF(AND(_4="A-330-300",'2026'!$L$4="FO",'2026'!$L$2=BJ309),'2026DATA'!$E$8,"")</f>
        <v/>
      </c>
      <c r="BK315" s="518" t="str">
        <f>IF(AND(_4="A-330-300",'2026'!$L$4="FO",'2026'!$L$2=BK309),'2026DATA'!$F$8,"")</f>
        <v/>
      </c>
      <c r="BL315" s="518" t="str">
        <f>IF(AND(_4="A-330-300",'2026'!$L$4="FO",'2026'!$L$2=BL309),'2026DATA'!$G$8,"")</f>
        <v/>
      </c>
      <c r="BM315" s="518" t="str">
        <f>IF(AND(_4="A-330-300",'2026'!$L$4="FO",'2026'!$L$2=BM309),'2026DATA'!$H$8,"")</f>
        <v/>
      </c>
      <c r="BN315" s="518" t="str">
        <f>IF(AND(_4="A-330-300",'2026'!$L$4="FO",'2026'!$L$2=BN309),'2026DATA'!$I$8,"")</f>
        <v/>
      </c>
      <c r="BO315" s="518" t="str">
        <f>IF(AND(_4="A-330-300",'2026'!$L$4="FO",'2026'!$L$2=BO309),'2026DATA'!$J$8,"")</f>
        <v/>
      </c>
      <c r="BP315" s="518" t="str">
        <f>IF(AND(_4="A-330-300",'2026'!$L$4="FO",'2026'!$L$2=BP309),'2026DATA'!$K$8,"")</f>
        <v/>
      </c>
      <c r="BQ315" s="518" t="str">
        <f>IF(AND(_4="A-330-300",'2026'!$L$4="FO",'2026'!$L$2=BQ309),'2026DATA'!$L$8,"")</f>
        <v/>
      </c>
      <c r="BR315" s="518" t="str">
        <f>IF(AND(_4="A-330-300",'2026'!$L$4="FO",'2026'!$L$2=BR309),'2026DATA'!$M$8,"")</f>
        <v/>
      </c>
      <c r="BS315" s="520" t="str">
        <f>IF(AND(_4="A-330-300",'2026'!$L$4="FO",'2026'!$L$2=BS309),'2026DATA'!$N$8,"")</f>
        <v/>
      </c>
      <c r="BT315" s="940"/>
      <c r="BU315" s="13" t="s">
        <v>62</v>
      </c>
      <c r="BV315" s="518" t="str">
        <f>IF(AND(_5="A-330-300",'2026'!$L$4="FO",'2026'!$L$2=BV309),'2026DATA'!$C$8,"")</f>
        <v/>
      </c>
      <c r="BW315" s="518" t="str">
        <f>IF(AND(_5="A-330-300",'2026'!$L$4="FO",'2026'!$L$2=BW309),'2026DATA'!$D$8,"")</f>
        <v/>
      </c>
      <c r="BX315" s="518" t="str">
        <f>IF(AND(_5="A-330-300",'2026'!$L$4="FO",'2026'!$L$2=BX309),'2026DATA'!$E$8,"")</f>
        <v/>
      </c>
      <c r="BY315" s="518" t="str">
        <f>IF(AND(_5="A-330-300",'2026'!$L$4="FO",'2026'!$L$2=BY309),'2026DATA'!$F$8,"")</f>
        <v/>
      </c>
      <c r="BZ315" s="518" t="str">
        <f>IF(AND(_5="A-330-300",'2026'!$L$4="FO",'2026'!$L$2=BZ309),'2026DATA'!$G$8,"")</f>
        <v/>
      </c>
      <c r="CA315" s="518" t="str">
        <f>IF(AND(_5="A-330-300",'2026'!$L$4="FO",'2026'!$L$2=CA309),'2026DATA'!$H$8,"")</f>
        <v/>
      </c>
      <c r="CB315" s="518" t="str">
        <f>IF(AND(_5="A-330-300",'2026'!$L$4="FO",'2026'!$L$2=CB309),'2026DATA'!$I$8,"")</f>
        <v/>
      </c>
      <c r="CC315" s="518" t="str">
        <f>IF(AND(_5="A-330-300",'2026'!$L$4="FO",'2026'!$L$2=CC309),'2026DATA'!$J$8,"")</f>
        <v/>
      </c>
      <c r="CD315" s="518" t="str">
        <f>IF(AND(_5="A-330-300",'2026'!$L$4="FO",'2026'!$L$2=CD309),'2026DATA'!$K$8,"")</f>
        <v/>
      </c>
      <c r="CE315" s="518" t="str">
        <f>IF(AND(_5="A-330-300",'2026'!$L$4="FO",'2026'!$L$2=CE309),'2026DATA'!$L$8,"")</f>
        <v/>
      </c>
      <c r="CF315" s="518" t="str">
        <f>IF(AND(_5="A-330-300",'2026'!$L$4="FO",'2026'!$L$2=CF309),'2026DATA'!$M$8,"")</f>
        <v/>
      </c>
      <c r="CG315" s="520" t="str">
        <f>IF(AND(_5="A-330-300",'2026'!$L$4="FO",'2026'!$L$2=CG309),'2026DATA'!$N$8,"")</f>
        <v/>
      </c>
      <c r="CH315" s="940"/>
      <c r="CI315" s="13" t="s">
        <v>62</v>
      </c>
      <c r="CJ315" s="518" t="str">
        <f>IF(AND(_6="A-330-300",'2026'!$L$4="FO",'2026'!$L$2=CJ309),'2026DATA'!$C$8,"")</f>
        <v/>
      </c>
      <c r="CK315" s="518" t="str">
        <f>IF(AND(_6="A-330-300",'2026'!$L$4="FO",'2026'!$L$2=CK309),'2026DATA'!$D$8,"")</f>
        <v/>
      </c>
      <c r="CL315" s="518" t="str">
        <f>IF(AND(_6="A-330-300",'2026'!$L$4="FO",'2026'!$L$2=CL309),'2026DATA'!$E$8,"")</f>
        <v/>
      </c>
      <c r="CM315" s="518" t="str">
        <f>IF(AND(_6="A-330-300",'2026'!$L$4="FO",'2026'!$L$2=CM309),'2026DATA'!$F$8,"")</f>
        <v/>
      </c>
      <c r="CN315" s="518" t="str">
        <f>IF(AND(_6="A-330-300",'2026'!$L$4="FO",'2026'!$L$2=CN309),'2026DATA'!$G$8,"")</f>
        <v/>
      </c>
      <c r="CO315" s="518" t="str">
        <f>IF(AND(_6="A-330-300",'2026'!$L$4="FO",'2026'!$L$2=CO309),'2026DATA'!$H$8,"")</f>
        <v/>
      </c>
      <c r="CP315" s="518" t="str">
        <f>IF(AND(_6="A-330-300",'2026'!$L$4="FO",'2026'!$L$2=CP309),'2026DATA'!$I$8,"")</f>
        <v/>
      </c>
      <c r="CQ315" s="518" t="str">
        <f>IF(AND(_6="A-330-300",'2026'!$L$4="FO",'2026'!$L$2=CQ309),'2026DATA'!$J$8,"")</f>
        <v/>
      </c>
      <c r="CR315" s="518" t="str">
        <f>IF(AND(_6="A-330-300",'2026'!$L$4="FO",'2026'!$L$2=CR309),'2026DATA'!$K$8,"")</f>
        <v/>
      </c>
      <c r="CS315" s="518" t="str">
        <f>IF(AND(_6="A-330-300",'2026'!$L$4="FO",'2026'!$L$2=CS309),'2026DATA'!$L$8,"")</f>
        <v/>
      </c>
      <c r="CT315" s="518" t="str">
        <f>IF(AND(_6="A-330-300",'2026'!$L$4="FO",'2026'!$L$2=CT309),'2026DATA'!$M$8,"")</f>
        <v/>
      </c>
      <c r="CU315" s="520" t="str">
        <f>IF(AND(_6="A-330-300",'2026'!$L$4="FO",'2026'!$L$2=CU309),'2026DATA'!$N$8,"")</f>
        <v/>
      </c>
    </row>
    <row r="316" spans="16:99" x14ac:dyDescent="0.25">
      <c r="P316" s="940" t="s">
        <v>66</v>
      </c>
      <c r="Q316" s="13" t="s">
        <v>61</v>
      </c>
      <c r="R316" s="518" t="str">
        <f>IF(AND(_1="A-330-200",'2026'!$L$4="CA",'2026'!$L$2=R309),'2026DATA'!$C$9,"")</f>
        <v/>
      </c>
      <c r="S316" s="518" t="str">
        <f>IF(AND(_1="A-330-200",'2026'!$L$4="CA",'2026'!$L$2=S309),'2026DATA'!$D$9,"")</f>
        <v/>
      </c>
      <c r="T316" s="518" t="str">
        <f>IF(AND(_1="A-330-200",'2026'!$L$4="CA",'2026'!$L$2=T309),'2026DATA'!$E$9,"")</f>
        <v/>
      </c>
      <c r="U316" s="518" t="str">
        <f>IF(AND(_1="A-330-200",'2026'!$L$4="CA",'2026'!$L$2=U309),'2026DATA'!$F$9,"")</f>
        <v/>
      </c>
      <c r="V316" s="518" t="str">
        <f>IF(AND(_1="A-330-200",'2026'!$L$4="CA",'2026'!$L$2=V309),'2026DATA'!$G$9,"")</f>
        <v/>
      </c>
      <c r="W316" s="518" t="str">
        <f>IF(AND(_1="A-330-200",'2026'!$L$4="CA",'2026'!$L$2=W309),'2026DATA'!$H$9,"")</f>
        <v/>
      </c>
      <c r="X316" s="518" t="str">
        <f>IF(AND(_1="A-330-200",'2026'!$L$4="CA",'2026'!$L$2=X309),'2026DATA'!$I$9,"")</f>
        <v/>
      </c>
      <c r="Y316" s="518" t="str">
        <f>IF(AND(_1="A-330-200",'2026'!$L$4="CA",'2026'!$L$2=Y309),'2026DATA'!$J$9,"")</f>
        <v/>
      </c>
      <c r="Z316" s="518" t="str">
        <f>IF(AND(_1="A-330-200",'2026'!$L$4="CA",'2026'!$L$2=Z309),'2026DATA'!$K$9,"")</f>
        <v/>
      </c>
      <c r="AA316" s="518" t="str">
        <f>IF(AND(_1="A-330-200",'2026'!$L$4="CA",'2026'!$L$2=AA309),'2026DATA'!$L$9,"")</f>
        <v/>
      </c>
      <c r="AB316" s="518" t="str">
        <f>IF(AND(_1="A-330-200",'2026'!$L$4="CA",'2026'!$L$2=AB309),'2026DATA'!$M$9,"")</f>
        <v/>
      </c>
      <c r="AC316" s="520" t="str">
        <f>IF(AND(_1="A-330-200",'2026'!$L$4="CA",'2026'!$L$2=AC309),'2026DATA'!$N$9,"")</f>
        <v/>
      </c>
      <c r="AD316" s="940" t="s">
        <v>66</v>
      </c>
      <c r="AE316" s="13" t="s">
        <v>61</v>
      </c>
      <c r="AF316" s="518" t="str">
        <f>IF(AND(_2="A-330-200",'2026'!$L$4="CA",'2026'!$L$2=AF309),'2026DATA'!$C$9,"")</f>
        <v/>
      </c>
      <c r="AG316" s="518" t="str">
        <f>IF(AND(_2="A-330-200",'2026'!$L$4="CA",'2026'!$L$2=AG309),'2026DATA'!$D$9,"")</f>
        <v/>
      </c>
      <c r="AH316" s="518" t="str">
        <f>IF(AND(_2="A-330-200",'2026'!$L$4="CA",'2026'!$L$2=AH309),'2026DATA'!$E$9,"")</f>
        <v/>
      </c>
      <c r="AI316" s="518" t="str">
        <f>IF(AND(_2="A-330-200",'2026'!$L$4="CA",'2026'!$L$2=AI309),'2026DATA'!$F$9,"")</f>
        <v/>
      </c>
      <c r="AJ316" s="518" t="str">
        <f>IF(AND(_2="A-330-200",'2026'!$L$4="CA",'2026'!$L$2=AJ309),'2026DATA'!$G$9,"")</f>
        <v/>
      </c>
      <c r="AK316" s="518" t="str">
        <f>IF(AND(_2="A-330-200",'2026'!$L$4="CA",'2026'!$L$2=AK309),'2026DATA'!$H$9,"")</f>
        <v/>
      </c>
      <c r="AL316" s="518" t="str">
        <f>IF(AND(_2="A-330-200",'2026'!$L$4="CA",'2026'!$L$2=AL309),'2026DATA'!$I$9,"")</f>
        <v/>
      </c>
      <c r="AM316" s="518" t="str">
        <f>IF(AND(_2="A-330-200",'2026'!$L$4="CA",'2026'!$L$2=AM309),'2026DATA'!$J$9,"")</f>
        <v/>
      </c>
      <c r="AN316" s="518" t="str">
        <f>IF(AND(_2="A-330-200",'2026'!$L$4="CA",'2026'!$L$2=AN309),'2026DATA'!$K$9,"")</f>
        <v/>
      </c>
      <c r="AO316" s="518" t="str">
        <f>IF(AND(_2="A-330-200",'2026'!$L$4="CA",'2026'!$L$2=AO309),'2026DATA'!$L$9,"")</f>
        <v/>
      </c>
      <c r="AP316" s="518" t="str">
        <f>IF(AND(_2="A-330-200",'2026'!$L$4="CA",'2026'!$L$2=AP309),'2026DATA'!$M$9,"")</f>
        <v/>
      </c>
      <c r="AQ316" s="520" t="str">
        <f>IF(AND(_2="A-330-200",'2026'!$L$4="CA",'2026'!$L$2=AQ309),'2026DATA'!$N$9,"")</f>
        <v/>
      </c>
      <c r="AR316" s="940" t="s">
        <v>66</v>
      </c>
      <c r="AS316" s="13" t="s">
        <v>61</v>
      </c>
      <c r="AT316" s="518" t="str">
        <f>IF(AND(_3="A-330-200",'2026'!$L$4="CA",'2026'!$L$2=AT309),'2026DATA'!$C$9,"")</f>
        <v/>
      </c>
      <c r="AU316" s="518" t="str">
        <f>IF(AND(_3="A-330-200",'2026'!$L$4="CA",'2026'!$L$2=AU309),'2026DATA'!$D$9,"")</f>
        <v/>
      </c>
      <c r="AV316" s="518" t="str">
        <f>IF(AND(_3="A-330-200",'2026'!$L$4="CA",'2026'!$L$2=AV309),'2026DATA'!$E$9,"")</f>
        <v/>
      </c>
      <c r="AW316" s="518" t="str">
        <f>IF(AND(_3="A-330-200",'2026'!$L$4="CA",'2026'!$L$2=AW309),'2026DATA'!$F$9,"")</f>
        <v/>
      </c>
      <c r="AX316" s="518" t="str">
        <f>IF(AND(_3="A-330-200",'2026'!$L$4="CA",'2026'!$L$2=AX309),'2026DATA'!$G$9,"")</f>
        <v/>
      </c>
      <c r="AY316" s="518" t="str">
        <f>IF(AND(_3="A-330-200",'2026'!$L$4="CA",'2026'!$L$2=AY309),'2026DATA'!$H$9,"")</f>
        <v/>
      </c>
      <c r="AZ316" s="518" t="str">
        <f>IF(AND(_3="A-330-200",'2026'!$L$4="CA",'2026'!$L$2=AZ309),'2026DATA'!$I$9,"")</f>
        <v/>
      </c>
      <c r="BA316" s="518" t="str">
        <f>IF(AND(_3="A-330-200",'2026'!$L$4="CA",'2026'!$L$2=BA309),'2026DATA'!$J$9,"")</f>
        <v/>
      </c>
      <c r="BB316" s="518" t="str">
        <f>IF(AND(_3="A-330-200",'2026'!$L$4="CA",'2026'!$L$2=BB309),'2026DATA'!$K$9,"")</f>
        <v/>
      </c>
      <c r="BC316" s="518" t="str">
        <f>IF(AND(_3="A-330-200",'2026'!$L$4="CA",'2026'!$L$2=BC309),'2026DATA'!$L$9,"")</f>
        <v/>
      </c>
      <c r="BD316" s="518" t="str">
        <f>IF(AND(_3="A-330-200",'2026'!$L$4="CA",'2026'!$L$2=BD309),'2026DATA'!$M$9,"")</f>
        <v/>
      </c>
      <c r="BE316" s="520" t="str">
        <f>IF(AND(_3="A-330-200",'2026'!$L$4="CA",'2026'!$L$2=BE309),'2026DATA'!$N$9,"")</f>
        <v/>
      </c>
      <c r="BF316" s="940" t="s">
        <v>66</v>
      </c>
      <c r="BG316" s="13" t="s">
        <v>61</v>
      </c>
      <c r="BH316" s="518" t="str">
        <f>IF(AND(_4="A-330-200",'2026'!$L$4="CA",'2026'!$L$2=BH309),'2026DATA'!$C$9,"")</f>
        <v/>
      </c>
      <c r="BI316" s="518" t="str">
        <f>IF(AND(_4="A-330-200",'2026'!$L$4="CA",'2026'!$L$2=BI309),'2026DATA'!$D$9,"")</f>
        <v/>
      </c>
      <c r="BJ316" s="518" t="str">
        <f>IF(AND(_4="A-330-200",'2026'!$L$4="CA",'2026'!$L$2=BJ309),'2026DATA'!$E$9,"")</f>
        <v/>
      </c>
      <c r="BK316" s="518" t="str">
        <f>IF(AND(_4="A-330-200",'2026'!$L$4="CA",'2026'!$L$2=BK309),'2026DATA'!$F$9,"")</f>
        <v/>
      </c>
      <c r="BL316" s="518" t="str">
        <f>IF(AND(_4="A-330-200",'2026'!$L$4="CA",'2026'!$L$2=BL309),'2026DATA'!$G$9,"")</f>
        <v/>
      </c>
      <c r="BM316" s="518" t="str">
        <f>IF(AND(_4="A-330-200",'2026'!$L$4="CA",'2026'!$L$2=BM309),'2026DATA'!$H$9,"")</f>
        <v/>
      </c>
      <c r="BN316" s="518" t="str">
        <f>IF(AND(_4="A-330-200",'2026'!$L$4="CA",'2026'!$L$2=BN309),'2026DATA'!$I$9,"")</f>
        <v/>
      </c>
      <c r="BO316" s="518" t="str">
        <f>IF(AND(_4="A-330-200",'2026'!$L$4="CA",'2026'!$L$2=BO309),'2026DATA'!$J$9,"")</f>
        <v/>
      </c>
      <c r="BP316" s="518" t="str">
        <f>IF(AND(_4="A-330-200",'2026'!$L$4="CA",'2026'!$L$2=BP309),'2026DATA'!$K$9,"")</f>
        <v/>
      </c>
      <c r="BQ316" s="518" t="str">
        <f>IF(AND(_4="A-330-200",'2026'!$L$4="CA",'2026'!$L$2=BQ309),'2026DATA'!$L$9,"")</f>
        <v/>
      </c>
      <c r="BR316" s="518" t="str">
        <f>IF(AND(_4="A-330-200",'2026'!$L$4="CA",'2026'!$L$2=BR309),'2026DATA'!$M$9,"")</f>
        <v/>
      </c>
      <c r="BS316" s="520" t="str">
        <f>IF(AND(_4="A-330-200",'2026'!$L$4="CA",'2026'!$L$2=BS309),'2026DATA'!$N$9,"")</f>
        <v/>
      </c>
      <c r="BT316" s="940" t="s">
        <v>66</v>
      </c>
      <c r="BU316" s="13" t="s">
        <v>61</v>
      </c>
      <c r="BV316" s="518" t="str">
        <f>IF(AND(_5="A-330-200",'2026'!$L$4="CA",'2026'!$L$2=BV309),'2026DATA'!$C$9,"")</f>
        <v/>
      </c>
      <c r="BW316" s="518" t="str">
        <f>IF(AND(_5="A-330-200",'2026'!$L$4="CA",'2026'!$L$2=BW309),'2026DATA'!$D$9,"")</f>
        <v/>
      </c>
      <c r="BX316" s="518" t="str">
        <f>IF(AND(_5="A-330-200",'2026'!$L$4="CA",'2026'!$L$2=BX309),'2026DATA'!$E$9,"")</f>
        <v/>
      </c>
      <c r="BY316" s="518" t="str">
        <f>IF(AND(_5="A-330-200",'2026'!$L$4="CA",'2026'!$L$2=BY309),'2026DATA'!$F$9,"")</f>
        <v/>
      </c>
      <c r="BZ316" s="518" t="str">
        <f>IF(AND(_5="A-330-200",'2026'!$L$4="CA",'2026'!$L$2=BZ309),'2026DATA'!$G$9,"")</f>
        <v/>
      </c>
      <c r="CA316" s="518" t="str">
        <f>IF(AND(_5="A-330-200",'2026'!$L$4="CA",'2026'!$L$2=CA309),'2026DATA'!$H$9,"")</f>
        <v/>
      </c>
      <c r="CB316" s="518" t="str">
        <f>IF(AND(_5="A-330-200",'2026'!$L$4="CA",'2026'!$L$2=CB309),'2026DATA'!$I$9,"")</f>
        <v/>
      </c>
      <c r="CC316" s="518" t="str">
        <f>IF(AND(_5="A-330-200",'2026'!$L$4="CA",'2026'!$L$2=CC309),'2026DATA'!$J$9,"")</f>
        <v/>
      </c>
      <c r="CD316" s="518" t="str">
        <f>IF(AND(_5="A-330-200",'2026'!$L$4="CA",'2026'!$L$2=CD309),'2026DATA'!$K$9,"")</f>
        <v/>
      </c>
      <c r="CE316" s="518" t="str">
        <f>IF(AND(_5="A-330-200",'2026'!$L$4="CA",'2026'!$L$2=CE309),'2026DATA'!$L$9,"")</f>
        <v/>
      </c>
      <c r="CF316" s="518" t="str">
        <f>IF(AND(_5="A-330-200",'2026'!$L$4="CA",'2026'!$L$2=CF309),'2026DATA'!$M$9,"")</f>
        <v/>
      </c>
      <c r="CG316" s="520" t="str">
        <f>IF(AND(_5="A-330-200",'2026'!$L$4="CA",'2026'!$L$2=CG309),'2026DATA'!$N$9,"")</f>
        <v/>
      </c>
      <c r="CH316" s="940" t="s">
        <v>66</v>
      </c>
      <c r="CI316" s="13" t="s">
        <v>61</v>
      </c>
      <c r="CJ316" s="518" t="str">
        <f>IF(AND(_6="A-330-200",'2026'!$L$4="CA",'2026'!$L$2=CJ309),'2026DATA'!$C$9,"")</f>
        <v/>
      </c>
      <c r="CK316" s="518" t="str">
        <f>IF(AND(_6="A-330-200",'2026'!$L$4="CA",'2026'!$L$2=CK309),'2026DATA'!$D$9,"")</f>
        <v/>
      </c>
      <c r="CL316" s="518" t="str">
        <f>IF(AND(_6="A-330-200",'2026'!$L$4="CA",'2026'!$L$2=CL309),'2026DATA'!$E$9,"")</f>
        <v/>
      </c>
      <c r="CM316" s="518" t="str">
        <f>IF(AND(_6="A-330-200",'2026'!$L$4="CA",'2026'!$L$2=CM309),'2026DATA'!$F$9,"")</f>
        <v/>
      </c>
      <c r="CN316" s="518" t="str">
        <f>IF(AND(_6="A-330-200",'2026'!$L$4="CA",'2026'!$L$2=CN309),'2026DATA'!$G$9,"")</f>
        <v/>
      </c>
      <c r="CO316" s="518" t="str">
        <f>IF(AND(_6="A-330-200",'2026'!$L$4="CA",'2026'!$L$2=CO309),'2026DATA'!$H$9,"")</f>
        <v/>
      </c>
      <c r="CP316" s="518" t="str">
        <f>IF(AND(_6="A-330-200",'2026'!$L$4="CA",'2026'!$L$2=CP309),'2026DATA'!$I$9,"")</f>
        <v/>
      </c>
      <c r="CQ316" s="518" t="str">
        <f>IF(AND(_6="A-330-200",'2026'!$L$4="CA",'2026'!$L$2=CQ309),'2026DATA'!$J$9,"")</f>
        <v/>
      </c>
      <c r="CR316" s="518" t="str">
        <f>IF(AND(_6="A-330-200",'2026'!$L$4="CA",'2026'!$L$2=CR309),'2026DATA'!$K$9,"")</f>
        <v/>
      </c>
      <c r="CS316" s="518" t="str">
        <f>IF(AND(_6="A-330-200",'2026'!$L$4="CA",'2026'!$L$2=CS309),'2026DATA'!$L$9,"")</f>
        <v/>
      </c>
      <c r="CT316" s="518" t="str">
        <f>IF(AND(_6="A-330-200",'2026'!$L$4="CA",'2026'!$L$2=CT309),'2026DATA'!$M$9,"")</f>
        <v/>
      </c>
      <c r="CU316" s="520" t="str">
        <f>IF(AND(_6="A-330-200",'2026'!$L$4="CA",'2026'!$L$2=CU309),'2026DATA'!$N$9,"")</f>
        <v/>
      </c>
    </row>
    <row r="317" spans="16:99" x14ac:dyDescent="0.25">
      <c r="P317" s="940"/>
      <c r="Q317" s="13" t="s">
        <v>62</v>
      </c>
      <c r="R317" s="518" t="str">
        <f>IF(AND(_1="A-330-200",'2026'!$L$4="FO",'2026'!$L$2=R309),'2026DATA'!$C$10,"")</f>
        <v/>
      </c>
      <c r="S317" s="518" t="str">
        <f>IF(AND(_1="A-330-200",'2026'!$L$4="FO",'2026'!$L$2=S309),'2026DATA'!$D$10,"")</f>
        <v/>
      </c>
      <c r="T317" s="518" t="str">
        <f>IF(AND(_1="A-330-200",'2026'!$L$4="FO",'2026'!$L$2=T309),'2026DATA'!$E$10,"")</f>
        <v/>
      </c>
      <c r="U317" s="518" t="str">
        <f>IF(AND(_1="A-330-200",'2026'!$L$4="FO",'2026'!$L$2=U309),'2026DATA'!$F$10,"")</f>
        <v/>
      </c>
      <c r="V317" s="518" t="str">
        <f>IF(AND(_1="A-330-200",'2026'!$L$4="FO",'2026'!$L$2=V309),'2026DATA'!$G$10,"")</f>
        <v/>
      </c>
      <c r="W317" s="518" t="str">
        <f>IF(AND(_1="A-330-200",'2026'!$L$4="FO",'2026'!$L$2=W309),'2026DATA'!$H$10,"")</f>
        <v/>
      </c>
      <c r="X317" s="518" t="str">
        <f>IF(AND(_1="A-330-200",'2026'!$L$4="FO",'2026'!$L$2=X309),'2026DATA'!$I$10,"")</f>
        <v/>
      </c>
      <c r="Y317" s="518" t="str">
        <f>IF(AND(_1="A-330-200",'2026'!$L$4="FO",'2026'!$L$2=Y309),'2026DATA'!$J$10,"")</f>
        <v/>
      </c>
      <c r="Z317" s="518" t="str">
        <f>IF(AND(_1="A-330-200",'2026'!$L$4="FO",'2026'!$L$2=Z309),'2026DATA'!$K$10,"")</f>
        <v/>
      </c>
      <c r="AA317" s="518" t="str">
        <f>IF(AND(_1="A-330-200",'2026'!$L$4="FO",'2026'!$L$2=AA309),'2026DATA'!$L$10,"")</f>
        <v/>
      </c>
      <c r="AB317" s="518" t="str">
        <f>IF(AND(_1="A-330-200",'2026'!$L$4="FO",'2026'!$L$2=AB309),'2026DATA'!$M$10,"")</f>
        <v/>
      </c>
      <c r="AC317" s="520" t="str">
        <f>IF(AND(_1="A-330-200",'2026'!$L$4="FO",'2026'!$L$2=AC309),'2026DATA'!$N$10,"")</f>
        <v/>
      </c>
      <c r="AD317" s="940"/>
      <c r="AE317" s="13" t="s">
        <v>62</v>
      </c>
      <c r="AF317" s="518" t="str">
        <f>IF(AND(_2="A-330-200",'2026'!$L$4="FO",'2026'!$L$2=AF309),'2026DATA'!$C$10,"")</f>
        <v/>
      </c>
      <c r="AG317" s="518" t="str">
        <f>IF(AND(_2="A-330-200",'2026'!$L$4="FO",'2026'!$L$2=AG309),'2026DATA'!$D$10,"")</f>
        <v/>
      </c>
      <c r="AH317" s="518" t="str">
        <f>IF(AND(_2="A-330-200",'2026'!$L$4="FO",'2026'!$L$2=AH309),'2026DATA'!$E$10,"")</f>
        <v/>
      </c>
      <c r="AI317" s="518" t="str">
        <f>IF(AND(_2="A-330-200",'2026'!$L$4="FO",'2026'!$L$2=AI309),'2026DATA'!$F$10,"")</f>
        <v/>
      </c>
      <c r="AJ317" s="518" t="str">
        <f>IF(AND(_2="A-330-200",'2026'!$L$4="FO",'2026'!$L$2=AJ309),'2026DATA'!$G$10,"")</f>
        <v/>
      </c>
      <c r="AK317" s="518" t="str">
        <f>IF(AND(_2="A-330-200",'2026'!$L$4="FO",'2026'!$L$2=AK309),'2026DATA'!$H$10,"")</f>
        <v/>
      </c>
      <c r="AL317" s="518" t="str">
        <f>IF(AND(_2="A-330-200",'2026'!$L$4="FO",'2026'!$L$2=AL309),'2026DATA'!$I$10,"")</f>
        <v/>
      </c>
      <c r="AM317" s="518" t="str">
        <f>IF(AND(_2="A-330-200",'2026'!$L$4="FO",'2026'!$L$2=AM309),'2026DATA'!$J$10,"")</f>
        <v/>
      </c>
      <c r="AN317" s="518" t="str">
        <f>IF(AND(_2="A-330-200",'2026'!$L$4="FO",'2026'!$L$2=AN309),'2026DATA'!$K$10,"")</f>
        <v/>
      </c>
      <c r="AO317" s="518" t="str">
        <f>IF(AND(_2="A-330-200",'2026'!$L$4="FO",'2026'!$L$2=AO309),'2026DATA'!$L$10,"")</f>
        <v/>
      </c>
      <c r="AP317" s="518" t="str">
        <f>IF(AND(_2="A-330-200",'2026'!$L$4="FO",'2026'!$L$2=AP309),'2026DATA'!$M$10,"")</f>
        <v/>
      </c>
      <c r="AQ317" s="520" t="str">
        <f>IF(AND(_2="A-330-200",'2026'!$L$4="FO",'2026'!$L$2=AQ309),'2026DATA'!$N$10,"")</f>
        <v/>
      </c>
      <c r="AR317" s="940"/>
      <c r="AS317" s="13" t="s">
        <v>62</v>
      </c>
      <c r="AT317" s="518" t="str">
        <f>IF(AND(_3="A-330-200",'2026'!$L$4="FO",'2026'!$L$2=AT309),'2026DATA'!$C$10,"")</f>
        <v/>
      </c>
      <c r="AU317" s="518" t="str">
        <f>IF(AND(_3="A-330-200",'2026'!$L$4="FO",'2026'!$L$2=AU309),'2026DATA'!$D$10,"")</f>
        <v/>
      </c>
      <c r="AV317" s="518" t="str">
        <f>IF(AND(_3="A-330-200",'2026'!$L$4="FO",'2026'!$L$2=AV309),'2026DATA'!$E$10,"")</f>
        <v/>
      </c>
      <c r="AW317" s="518" t="str">
        <f>IF(AND(_3="A-330-200",'2026'!$L$4="FO",'2026'!$L$2=AW309),'2026DATA'!$F$10,"")</f>
        <v/>
      </c>
      <c r="AX317" s="518" t="str">
        <f>IF(AND(_3="A-330-200",'2026'!$L$4="FO",'2026'!$L$2=AX309),'2026DATA'!$G$10,"")</f>
        <v/>
      </c>
      <c r="AY317" s="518" t="str">
        <f>IF(AND(_3="A-330-200",'2026'!$L$4="FO",'2026'!$L$2=AY309),'2026DATA'!$H$10,"")</f>
        <v/>
      </c>
      <c r="AZ317" s="518" t="str">
        <f>IF(AND(_3="A-330-200",'2026'!$L$4="FO",'2026'!$L$2=AZ309),'2026DATA'!$I$10,"")</f>
        <v/>
      </c>
      <c r="BA317" s="518" t="str">
        <f>IF(AND(_3="A-330-200",'2026'!$L$4="FO",'2026'!$L$2=BA309),'2026DATA'!$J$10,"")</f>
        <v/>
      </c>
      <c r="BB317" s="518" t="str">
        <f>IF(AND(_3="A-330-200",'2026'!$L$4="FO",'2026'!$L$2=BB309),'2026DATA'!$K$10,"")</f>
        <v/>
      </c>
      <c r="BC317" s="518" t="str">
        <f>IF(AND(_3="A-330-200",'2026'!$L$4="FO",'2026'!$L$2=BC309),'2026DATA'!$L$10,"")</f>
        <v/>
      </c>
      <c r="BD317" s="518" t="str">
        <f>IF(AND(_3="A-330-200",'2026'!$L$4="FO",'2026'!$L$2=BD309),'2026DATA'!$M$10,"")</f>
        <v/>
      </c>
      <c r="BE317" s="520" t="str">
        <f>IF(AND(_3="A-330-200",'2026'!$L$4="FO",'2026'!$L$2=BE309),'2026DATA'!$N$10,"")</f>
        <v/>
      </c>
      <c r="BF317" s="940"/>
      <c r="BG317" s="13" t="s">
        <v>62</v>
      </c>
      <c r="BH317" s="518" t="str">
        <f>IF(AND(_4="A-330-200",'2026'!$L$4="FO",'2026'!$L$2=BH309),'2026DATA'!$C$10,"")</f>
        <v/>
      </c>
      <c r="BI317" s="518" t="str">
        <f>IF(AND(_4="A-330-200",'2026'!$L$4="FO",'2026'!$L$2=BI309),'2026DATA'!$D$10,"")</f>
        <v/>
      </c>
      <c r="BJ317" s="518" t="str">
        <f>IF(AND(_4="A-330-200",'2026'!$L$4="FO",'2026'!$L$2=BJ309),'2026DATA'!$E$10,"")</f>
        <v/>
      </c>
      <c r="BK317" s="518" t="str">
        <f>IF(AND(_4="A-330-200",'2026'!$L$4="FO",'2026'!$L$2=BK309),'2026DATA'!$F$10,"")</f>
        <v/>
      </c>
      <c r="BL317" s="518" t="str">
        <f>IF(AND(_4="A-330-200",'2026'!$L$4="FO",'2026'!$L$2=BL309),'2026DATA'!$G$10,"")</f>
        <v/>
      </c>
      <c r="BM317" s="518" t="str">
        <f>IF(AND(_4="A-330-200",'2026'!$L$4="FO",'2026'!$L$2=BM309),'2026DATA'!$H$10,"")</f>
        <v/>
      </c>
      <c r="BN317" s="518" t="str">
        <f>IF(AND(_4="A-330-200",'2026'!$L$4="FO",'2026'!$L$2=BN309),'2026DATA'!$I$10,"")</f>
        <v/>
      </c>
      <c r="BO317" s="518" t="str">
        <f>IF(AND(_4="A-330-200",'2026'!$L$4="FO",'2026'!$L$2=BO309),'2026DATA'!$J$10,"")</f>
        <v/>
      </c>
      <c r="BP317" s="518" t="str">
        <f>IF(AND(_4="A-330-200",'2026'!$L$4="FO",'2026'!$L$2=BP309),'2026DATA'!$K$10,"")</f>
        <v/>
      </c>
      <c r="BQ317" s="518" t="str">
        <f>IF(AND(_4="A-330-200",'2026'!$L$4="FO",'2026'!$L$2=BQ309),'2026DATA'!$L$10,"")</f>
        <v/>
      </c>
      <c r="BR317" s="518" t="str">
        <f>IF(AND(_4="A-330-200",'2026'!$L$4="FO",'2026'!$L$2=BR309),'2026DATA'!$M$10,"")</f>
        <v/>
      </c>
      <c r="BS317" s="520" t="str">
        <f>IF(AND(_4="A-330-200",'2026'!$L$4="FO",'2026'!$L$2=BS309),'2026DATA'!$N$10,"")</f>
        <v/>
      </c>
      <c r="BT317" s="940"/>
      <c r="BU317" s="13" t="s">
        <v>62</v>
      </c>
      <c r="BV317" s="518" t="str">
        <f>IF(AND(_5="A-330-200",'2026'!$L$4="FO",'2026'!$L$2=BV309),'2026DATA'!$C$10,"")</f>
        <v/>
      </c>
      <c r="BW317" s="518" t="str">
        <f>IF(AND(_5="A-330-200",'2026'!$L$4="FO",'2026'!$L$2=BW309),'2026DATA'!$D$10,"")</f>
        <v/>
      </c>
      <c r="BX317" s="518" t="str">
        <f>IF(AND(_5="A-330-200",'2026'!$L$4="FO",'2026'!$L$2=BX309),'2026DATA'!$E$10,"")</f>
        <v/>
      </c>
      <c r="BY317" s="518" t="str">
        <f>IF(AND(_5="A-330-200",'2026'!$L$4="FO",'2026'!$L$2=BY309),'2026DATA'!$F$10,"")</f>
        <v/>
      </c>
      <c r="BZ317" s="518" t="str">
        <f>IF(AND(_5="A-330-200",'2026'!$L$4="FO",'2026'!$L$2=BZ309),'2026DATA'!$G$10,"")</f>
        <v/>
      </c>
      <c r="CA317" s="518" t="str">
        <f>IF(AND(_5="A-330-200",'2026'!$L$4="FO",'2026'!$L$2=CA309),'2026DATA'!$H$10,"")</f>
        <v/>
      </c>
      <c r="CB317" s="518" t="str">
        <f>IF(AND(_5="A-330-200",'2026'!$L$4="FO",'2026'!$L$2=CB309),'2026DATA'!$I$10,"")</f>
        <v/>
      </c>
      <c r="CC317" s="518" t="str">
        <f>IF(AND(_5="A-330-200",'2026'!$L$4="FO",'2026'!$L$2=CC309),'2026DATA'!$J$10,"")</f>
        <v/>
      </c>
      <c r="CD317" s="518" t="str">
        <f>IF(AND(_5="A-330-200",'2026'!$L$4="FO",'2026'!$L$2=CD309),'2026DATA'!$K$10,"")</f>
        <v/>
      </c>
      <c r="CE317" s="518" t="str">
        <f>IF(AND(_5="A-330-200",'2026'!$L$4="FO",'2026'!$L$2=CE309),'2026DATA'!$L$10,"")</f>
        <v/>
      </c>
      <c r="CF317" s="518" t="str">
        <f>IF(AND(_5="A-330-200",'2026'!$L$4="FO",'2026'!$L$2=CF309),'2026DATA'!$M$10,"")</f>
        <v/>
      </c>
      <c r="CG317" s="520" t="str">
        <f>IF(AND(_5="A-330-200",'2026'!$L$4="FO",'2026'!$L$2=CG309),'2026DATA'!$N$10,"")</f>
        <v/>
      </c>
      <c r="CH317" s="940"/>
      <c r="CI317" s="13" t="s">
        <v>62</v>
      </c>
      <c r="CJ317" s="518" t="str">
        <f>IF(AND(_6="A-330-200",'2026'!$L$4="FO",'2026'!$L$2=CJ309),'2026DATA'!$C$10,"")</f>
        <v/>
      </c>
      <c r="CK317" s="518" t="str">
        <f>IF(AND(_6="A-330-200",'2026'!$L$4="FO",'2026'!$L$2=CK309),'2026DATA'!$D$10,"")</f>
        <v/>
      </c>
      <c r="CL317" s="518" t="str">
        <f>IF(AND(_6="A-330-200",'2026'!$L$4="FO",'2026'!$L$2=CL309),'2026DATA'!$E$10,"")</f>
        <v/>
      </c>
      <c r="CM317" s="518" t="str">
        <f>IF(AND(_6="A-330-200",'2026'!$L$4="FO",'2026'!$L$2=CM309),'2026DATA'!$F$10,"")</f>
        <v/>
      </c>
      <c r="CN317" s="518" t="str">
        <f>IF(AND(_6="A-330-200",'2026'!$L$4="FO",'2026'!$L$2=CN309),'2026DATA'!$G$10,"")</f>
        <v/>
      </c>
      <c r="CO317" s="518" t="str">
        <f>IF(AND(_6="A-330-200",'2026'!$L$4="FO",'2026'!$L$2=CO309),'2026DATA'!$H$10,"")</f>
        <v/>
      </c>
      <c r="CP317" s="518" t="str">
        <f>IF(AND(_6="A-330-200",'2026'!$L$4="FO",'2026'!$L$2=CP309),'2026DATA'!$I$10,"")</f>
        <v/>
      </c>
      <c r="CQ317" s="518" t="str">
        <f>IF(AND(_6="A-330-200",'2026'!$L$4="FO",'2026'!$L$2=CQ309),'2026DATA'!$J$10,"")</f>
        <v/>
      </c>
      <c r="CR317" s="518" t="str">
        <f>IF(AND(_6="A-330-200",'2026'!$L$4="FO",'2026'!$L$2=CR309),'2026DATA'!$K$10,"")</f>
        <v/>
      </c>
      <c r="CS317" s="518" t="str">
        <f>IF(AND(_6="A-330-200",'2026'!$L$4="FO",'2026'!$L$2=CS309),'2026DATA'!$L$10,"")</f>
        <v/>
      </c>
      <c r="CT317" s="518" t="str">
        <f>IF(AND(_6="A-330-200",'2026'!$L$4="FO",'2026'!$L$2=CT309),'2026DATA'!$M$10,"")</f>
        <v/>
      </c>
      <c r="CU317" s="520" t="str">
        <f>IF(AND(_6="A-330-200",'2026'!$L$4="FO",'2026'!$L$2=CU309),'2026DATA'!$N$10,"")</f>
        <v/>
      </c>
    </row>
    <row r="318" spans="16:99" x14ac:dyDescent="0.25">
      <c r="P318" s="940" t="s">
        <v>42</v>
      </c>
      <c r="Q318" s="13" t="s">
        <v>61</v>
      </c>
      <c r="R318" s="518" t="str">
        <f>IF(AND(_1="B-767-400ER",'2026'!$L$4="CA",'2026'!$L$2=R309),'2026DATA'!$C$11,"")</f>
        <v/>
      </c>
      <c r="S318" s="518" t="str">
        <f>IF(AND(_1="B-767-400ER",'2026'!$L$4="CA",'2026'!$L$2=S309),'2026DATA'!$D$11,"")</f>
        <v/>
      </c>
      <c r="T318" s="518" t="str">
        <f>IF(AND(_1="B-767-400ER",'2026'!$L$4="CA",'2026'!$L$2=T309),'2026DATA'!$E$11,"")</f>
        <v/>
      </c>
      <c r="U318" s="518" t="str">
        <f>IF(AND(_1="B-767-400ER",'2026'!$L$4="CA",'2026'!$L$2=U309),'2026DATA'!$F$11,"")</f>
        <v/>
      </c>
      <c r="V318" s="518" t="str">
        <f>IF(AND(_1="B-767-400ER",'2026'!$L$4="CA",'2026'!$L$2=V309),'2026DATA'!$G$11,"")</f>
        <v/>
      </c>
      <c r="W318" s="518" t="str">
        <f>IF(AND(_1="B-767-400ER",'2026'!$L$4="CA",'2026'!$L$2=W309),'2026DATA'!$H$11,"")</f>
        <v/>
      </c>
      <c r="X318" s="518" t="str">
        <f>IF(AND(_1="B-767-400ER",'2026'!$L$4="CA",'2026'!$L$2=X309),'2026DATA'!$I$11,"")</f>
        <v/>
      </c>
      <c r="Y318" s="518" t="str">
        <f>IF(AND(_1="B-767-400ER",'2026'!$L$4="CA",'2026'!$L$2=Y309),'2026DATA'!$J$11,"")</f>
        <v/>
      </c>
      <c r="Z318" s="518" t="str">
        <f>IF(AND(_1="B-767-400ER",'2026'!$L$4="CA",'2026'!$L$2=Z309),'2026DATA'!$K$11,"")</f>
        <v/>
      </c>
      <c r="AA318" s="518" t="str">
        <f>IF(AND(_1="B-767-400ER",'2026'!$L$4="CA",'2026'!$L$2=AA309),'2026DATA'!$L$11,"")</f>
        <v/>
      </c>
      <c r="AB318" s="518" t="str">
        <f>IF(AND(_1="B-767-400ER",'2026'!$L$4="CA",'2026'!$L$2=AB309),'2026DATA'!$M$11,"")</f>
        <v/>
      </c>
      <c r="AC318" s="520" t="str">
        <f>IF(AND(_1="B-767-400ER",'2026'!$L$4="CA",'2026'!$L$2=AC309),'2026DATA'!$N$11,"")</f>
        <v/>
      </c>
      <c r="AD318" s="940" t="s">
        <v>42</v>
      </c>
      <c r="AE318" s="13" t="s">
        <v>61</v>
      </c>
      <c r="AF318" s="518" t="str">
        <f>IF(AND(_2="B-767-400ER",'2026'!$L$4="CA",'2026'!$L$2=AF309),'2026DATA'!$C$11,"")</f>
        <v/>
      </c>
      <c r="AG318" s="518" t="str">
        <f>IF(AND(_2="B-767-400ER",'2026'!$L$4="CA",'2026'!$L$2=AG309),'2026DATA'!$D$11,"")</f>
        <v/>
      </c>
      <c r="AH318" s="518" t="str">
        <f>IF(AND(_2="B-767-400ER",'2026'!$L$4="CA",'2026'!$L$2=AH309),'2026DATA'!$E$11,"")</f>
        <v/>
      </c>
      <c r="AI318" s="518" t="str">
        <f>IF(AND(_2="B-767-400ER",'2026'!$L$4="CA",'2026'!$L$2=AI309),'2026DATA'!$F$11,"")</f>
        <v/>
      </c>
      <c r="AJ318" s="518" t="str">
        <f>IF(AND(_2="B-767-400ER",'2026'!$L$4="CA",'2026'!$L$2=AJ309),'2026DATA'!$G$11,"")</f>
        <v/>
      </c>
      <c r="AK318" s="518" t="str">
        <f>IF(AND(_2="B-767-400ER",'2026'!$L$4="CA",'2026'!$L$2=AK309),'2026DATA'!$H$11,"")</f>
        <v/>
      </c>
      <c r="AL318" s="518" t="str">
        <f>IF(AND(_2="B-767-400ER",'2026'!$L$4="CA",'2026'!$L$2=AL309),'2026DATA'!$I$11,"")</f>
        <v/>
      </c>
      <c r="AM318" s="518" t="str">
        <f>IF(AND(_2="B-767-400ER",'2026'!$L$4="CA",'2026'!$L$2=AM309),'2026DATA'!$J$11,"")</f>
        <v/>
      </c>
      <c r="AN318" s="518" t="str">
        <f>IF(AND(_2="B-767-400ER",'2026'!$L$4="CA",'2026'!$L$2=AN309),'2026DATA'!$K$11,"")</f>
        <v/>
      </c>
      <c r="AO318" s="518" t="str">
        <f>IF(AND(_2="B-767-400ER",'2026'!$L$4="CA",'2026'!$L$2=AO309),'2026DATA'!$L$11,"")</f>
        <v/>
      </c>
      <c r="AP318" s="518" t="str">
        <f>IF(AND(_2="B-767-400ER",'2026'!$L$4="CA",'2026'!$L$2=AP309),'2026DATA'!$M$11,"")</f>
        <v/>
      </c>
      <c r="AQ318" s="520" t="str">
        <f>IF(AND(_2="B-767-400ER",'2026'!$L$4="CA",'2026'!$L$2=AQ309),'2026DATA'!$N$11,"")</f>
        <v/>
      </c>
      <c r="AR318" s="940" t="s">
        <v>42</v>
      </c>
      <c r="AS318" s="13" t="s">
        <v>61</v>
      </c>
      <c r="AT318" s="518" t="str">
        <f>IF(AND(_3="B-767-400ER",'2026'!$L$4="CA",'2026'!$L$2=AT309),'2026DATA'!$C$11,"")</f>
        <v/>
      </c>
      <c r="AU318" s="518" t="str">
        <f>IF(AND(_3="B-767-400ER",'2026'!$L$4="CA",'2026'!$L$2=AU309),'2026DATA'!$D$11,"")</f>
        <v/>
      </c>
      <c r="AV318" s="518" t="str">
        <f>IF(AND(_3="B-767-400ER",'2026'!$L$4="CA",'2026'!$L$2=AV309),'2026DATA'!$E$11,"")</f>
        <v/>
      </c>
      <c r="AW318" s="518" t="str">
        <f>IF(AND(_3="B-767-400ER",'2026'!$L$4="CA",'2026'!$L$2=AW309),'2026DATA'!$F$11,"")</f>
        <v/>
      </c>
      <c r="AX318" s="518" t="str">
        <f>IF(AND(_3="B-767-400ER",'2026'!$L$4="CA",'2026'!$L$2=AX309),'2026DATA'!$G$11,"")</f>
        <v/>
      </c>
      <c r="AY318" s="518" t="str">
        <f>IF(AND(_3="B-767-400ER",'2026'!$L$4="CA",'2026'!$L$2=AY309),'2026DATA'!$H$11,"")</f>
        <v/>
      </c>
      <c r="AZ318" s="518" t="str">
        <f>IF(AND(_3="B-767-400ER",'2026'!$L$4="CA",'2026'!$L$2=AZ309),'2026DATA'!$I$11,"")</f>
        <v/>
      </c>
      <c r="BA318" s="518" t="str">
        <f>IF(AND(_3="B-767-400ER",'2026'!$L$4="CA",'2026'!$L$2=BA309),'2026DATA'!$J$11,"")</f>
        <v/>
      </c>
      <c r="BB318" s="518" t="str">
        <f>IF(AND(_3="B-767-400ER",'2026'!$L$4="CA",'2026'!$L$2=BB309),'2026DATA'!$K$11,"")</f>
        <v/>
      </c>
      <c r="BC318" s="518" t="str">
        <f>IF(AND(_3="B-767-400ER",'2026'!$L$4="CA",'2026'!$L$2=BC309),'2026DATA'!$L$11,"")</f>
        <v/>
      </c>
      <c r="BD318" s="518" t="str">
        <f>IF(AND(_3="B-767-400ER",'2026'!$L$4="CA",'2026'!$L$2=BD309),'2026DATA'!$M$11,"")</f>
        <v/>
      </c>
      <c r="BE318" s="520" t="str">
        <f>IF(AND(_3="B-767-400ER",'2026'!$L$4="CA",'2026'!$L$2=BE309),'2026DATA'!$N$11,"")</f>
        <v/>
      </c>
      <c r="BF318" s="940" t="s">
        <v>42</v>
      </c>
      <c r="BG318" s="13" t="s">
        <v>61</v>
      </c>
      <c r="BH318" s="518" t="str">
        <f>IF(AND(_4="B-767-400ER",'2026'!$L$4="CA",'2026'!$L$2=BH309),'2026DATA'!$C$11,"")</f>
        <v/>
      </c>
      <c r="BI318" s="518" t="str">
        <f>IF(AND(_4="B-767-400ER",'2026'!$L$4="CA",'2026'!$L$2=BI309),'2026DATA'!$D$11,"")</f>
        <v/>
      </c>
      <c r="BJ318" s="518" t="str">
        <f>IF(AND(_4="B-767-400ER",'2026'!$L$4="CA",'2026'!$L$2=BJ309),'2026DATA'!$E$11,"")</f>
        <v/>
      </c>
      <c r="BK318" s="518" t="str">
        <f>IF(AND(_4="B-767-400ER",'2026'!$L$4="CA",'2026'!$L$2=BK309),'2026DATA'!$F$11,"")</f>
        <v/>
      </c>
      <c r="BL318" s="518" t="str">
        <f>IF(AND(_4="B-767-400ER",'2026'!$L$4="CA",'2026'!$L$2=BL309),'2026DATA'!$G$11,"")</f>
        <v/>
      </c>
      <c r="BM318" s="518" t="str">
        <f>IF(AND(_4="B-767-400ER",'2026'!$L$4="CA",'2026'!$L$2=BM309),'2026DATA'!$H$11,"")</f>
        <v/>
      </c>
      <c r="BN318" s="518" t="str">
        <f>IF(AND(_4="B-767-400ER",'2026'!$L$4="CA",'2026'!$L$2=BN309),'2026DATA'!$I$11,"")</f>
        <v/>
      </c>
      <c r="BO318" s="518" t="str">
        <f>IF(AND(_4="B-767-400ER",'2026'!$L$4="CA",'2026'!$L$2=BO309),'2026DATA'!$J$11,"")</f>
        <v/>
      </c>
      <c r="BP318" s="518" t="str">
        <f>IF(AND(_4="B-767-400ER",'2026'!$L$4="CA",'2026'!$L$2=BP309),'2026DATA'!$K$11,"")</f>
        <v/>
      </c>
      <c r="BQ318" s="518" t="str">
        <f>IF(AND(_4="B-767-400ER",'2026'!$L$4="CA",'2026'!$L$2=BQ309),'2026DATA'!$L$11,"")</f>
        <v/>
      </c>
      <c r="BR318" s="518" t="str">
        <f>IF(AND(_4="B-767-400ER",'2026'!$L$4="CA",'2026'!$L$2=BR309),'2026DATA'!$M$11,"")</f>
        <v/>
      </c>
      <c r="BS318" s="520" t="str">
        <f>IF(AND(_4="B-767-400ER",'2026'!$L$4="CA",'2026'!$L$2=BS309),'2026DATA'!$N$11,"")</f>
        <v/>
      </c>
      <c r="BT318" s="940" t="s">
        <v>42</v>
      </c>
      <c r="BU318" s="13" t="s">
        <v>61</v>
      </c>
      <c r="BV318" s="518" t="str">
        <f>IF(AND(_5="B-767-400ER",'2026'!$L$4="CA",'2026'!$L$2=BV309),'2026DATA'!$C$11,"")</f>
        <v/>
      </c>
      <c r="BW318" s="518" t="str">
        <f>IF(AND(_5="B-767-400ER",'2026'!$L$4="CA",'2026'!$L$2=BW309),'2026DATA'!$D$11,"")</f>
        <v/>
      </c>
      <c r="BX318" s="518" t="str">
        <f>IF(AND(_5="B-767-400ER",'2026'!$L$4="CA",'2026'!$L$2=BX309),'2026DATA'!$E$11,"")</f>
        <v/>
      </c>
      <c r="BY318" s="518" t="str">
        <f>IF(AND(_5="B-767-400ER",'2026'!$L$4="CA",'2026'!$L$2=BY309),'2026DATA'!$F$11,"")</f>
        <v/>
      </c>
      <c r="BZ318" s="518" t="str">
        <f>IF(AND(_5="B-767-400ER",'2026'!$L$4="CA",'2026'!$L$2=BZ309),'2026DATA'!$G$11,"")</f>
        <v/>
      </c>
      <c r="CA318" s="518" t="str">
        <f>IF(AND(_5="B-767-400ER",'2026'!$L$4="CA",'2026'!$L$2=CA309),'2026DATA'!$H$11,"")</f>
        <v/>
      </c>
      <c r="CB318" s="518" t="str">
        <f>IF(AND(_5="B-767-400ER",'2026'!$L$4="CA",'2026'!$L$2=CB309),'2026DATA'!$I$11,"")</f>
        <v/>
      </c>
      <c r="CC318" s="518" t="str">
        <f>IF(AND(_5="B-767-400ER",'2026'!$L$4="CA",'2026'!$L$2=CC309),'2026DATA'!$J$11,"")</f>
        <v/>
      </c>
      <c r="CD318" s="518" t="str">
        <f>IF(AND(_5="B-767-400ER",'2026'!$L$4="CA",'2026'!$L$2=CD309),'2026DATA'!$K$11,"")</f>
        <v/>
      </c>
      <c r="CE318" s="518" t="str">
        <f>IF(AND(_5="B-767-400ER",'2026'!$L$4="CA",'2026'!$L$2=CE309),'2026DATA'!$L$11,"")</f>
        <v/>
      </c>
      <c r="CF318" s="518" t="str">
        <f>IF(AND(_5="B-767-400ER",'2026'!$L$4="CA",'2026'!$L$2=CF309),'2026DATA'!$M$11,"")</f>
        <v/>
      </c>
      <c r="CG318" s="520" t="str">
        <f>IF(AND(_5="B-767-400ER",'2026'!$L$4="CA",'2026'!$L$2=CG309),'2026DATA'!$N$11,"")</f>
        <v/>
      </c>
      <c r="CH318" s="940" t="s">
        <v>42</v>
      </c>
      <c r="CI318" s="13" t="s">
        <v>61</v>
      </c>
      <c r="CJ318" s="518" t="str">
        <f>IF(AND(_6="B-767-400ER",'2026'!$L$4="CA",'2026'!$L$2=CJ309),'2026DATA'!$C$11,"")</f>
        <v/>
      </c>
      <c r="CK318" s="518" t="str">
        <f>IF(AND(_6="B-767-400ER",'2026'!$L$4="CA",'2026'!$L$2=CK309),'2026DATA'!$D$11,"")</f>
        <v/>
      </c>
      <c r="CL318" s="518" t="str">
        <f>IF(AND(_6="B-767-400ER",'2026'!$L$4="CA",'2026'!$L$2=CL309),'2026DATA'!$E$11,"")</f>
        <v/>
      </c>
      <c r="CM318" s="518" t="str">
        <f>IF(AND(_6="B-767-400ER",'2026'!$L$4="CA",'2026'!$L$2=CM309),'2026DATA'!$F$11,"")</f>
        <v/>
      </c>
      <c r="CN318" s="518" t="str">
        <f>IF(AND(_6="B-767-400ER",'2026'!$L$4="CA",'2026'!$L$2=CN309),'2026DATA'!$G$11,"")</f>
        <v/>
      </c>
      <c r="CO318" s="518" t="str">
        <f>IF(AND(_6="B-767-400ER",'2026'!$L$4="CA",'2026'!$L$2=CO309),'2026DATA'!$H$11,"")</f>
        <v/>
      </c>
      <c r="CP318" s="518" t="str">
        <f>IF(AND(_6="B-767-400ER",'2026'!$L$4="CA",'2026'!$L$2=CP309),'2026DATA'!$I$11,"")</f>
        <v/>
      </c>
      <c r="CQ318" s="518" t="str">
        <f>IF(AND(_6="B-767-400ER",'2026'!$L$4="CA",'2026'!$L$2=CQ309),'2026DATA'!$J$11,"")</f>
        <v/>
      </c>
      <c r="CR318" s="518" t="str">
        <f>IF(AND(_6="B-767-400ER",'2026'!$L$4="CA",'2026'!$L$2=CR309),'2026DATA'!$K$11,"")</f>
        <v/>
      </c>
      <c r="CS318" s="518" t="str">
        <f>IF(AND(_6="B-767-400ER",'2026'!$L$4="CA",'2026'!$L$2=CS309),'2026DATA'!$L$11,"")</f>
        <v/>
      </c>
      <c r="CT318" s="518" t="str">
        <f>IF(AND(_6="B-767-400ER",'2026'!$L$4="CA",'2026'!$L$2=CT309),'2026DATA'!$M$11,"")</f>
        <v/>
      </c>
      <c r="CU318" s="520" t="str">
        <f>IF(AND(_6="B-767-400ER",'2026'!$L$4="CA",'2026'!$L$2=CU309),'2026DATA'!$N$11,"")</f>
        <v/>
      </c>
    </row>
    <row r="319" spans="16:99" x14ac:dyDescent="0.25">
      <c r="P319" s="940"/>
      <c r="Q319" s="13" t="s">
        <v>62</v>
      </c>
      <c r="R319" s="518" t="str">
        <f>IF(AND(_1="B-767-400ER",'2026'!$L$4="FO",'2026'!$L$2=R309),'2026DATA'!$C$12,"")</f>
        <v/>
      </c>
      <c r="S319" s="518" t="str">
        <f>IF(AND(_1="B-767-400ER",'2026'!$L$4="FO",'2026'!$L$2=S309),'2026DATA'!$D$12,"")</f>
        <v/>
      </c>
      <c r="T319" s="518" t="str">
        <f>IF(AND(_1="B-767-400ER",'2026'!$L$4="FO",'2026'!$L$2=T309),'2026DATA'!$E$12,"")</f>
        <v/>
      </c>
      <c r="U319" s="518" t="str">
        <f>IF(AND(_1="B-767-400ER",'2026'!$L$4="FO",'2026'!$L$2=U309),'2026DATA'!$F$12,"")</f>
        <v/>
      </c>
      <c r="V319" s="518" t="str">
        <f>IF(AND(_1="B-767-400ER",'2026'!$L$4="FO",'2026'!$L$2=V309),'2026DATA'!$G$12,"")</f>
        <v/>
      </c>
      <c r="W319" s="518" t="str">
        <f>IF(AND(_1="B-767-400ER",'2026'!$L$4="FO",'2026'!$L$2=W309),'2026DATA'!$H$12,"")</f>
        <v/>
      </c>
      <c r="X319" s="518" t="str">
        <f>IF(AND(_1="B-767-400ER",'2026'!$L$4="FO",'2026'!$L$2=X309),'2026DATA'!$I$12,"")</f>
        <v/>
      </c>
      <c r="Y319" s="518" t="str">
        <f>IF(AND(_1="B-767-400ER",'2026'!$L$4="FO",'2026'!$L$2=Y309),'2026DATA'!$J$12,"")</f>
        <v/>
      </c>
      <c r="Z319" s="518" t="str">
        <f>IF(AND(_1="B-767-400ER",'2026'!$L$4="FO",'2026'!$L$2=Z309),'2026DATA'!$K$12,"")</f>
        <v/>
      </c>
      <c r="AA319" s="518" t="str">
        <f>IF(AND(_1="B-767-400ER",'2026'!$L$4="FO",'2026'!$L$2=AA309),'2026DATA'!$L$12,"")</f>
        <v/>
      </c>
      <c r="AB319" s="518" t="str">
        <f>IF(AND(_1="B-767-400ER",'2026'!$L$4="FO",'2026'!$L$2=AB309),'2026DATA'!$M$12,"")</f>
        <v/>
      </c>
      <c r="AC319" s="520" t="str">
        <f>IF(AND(_1="B-767-400ER",'2026'!$L$4="FO",'2026'!$L$2=AC309),'2026DATA'!$N$12,"")</f>
        <v/>
      </c>
      <c r="AD319" s="940"/>
      <c r="AE319" s="13" t="s">
        <v>62</v>
      </c>
      <c r="AF319" s="518" t="str">
        <f>IF(AND(_2="B-767-400ER",'2026'!$L$4="FO",'2026'!$L$2=AF309),'2026DATA'!$C$12,"")</f>
        <v/>
      </c>
      <c r="AG319" s="518" t="str">
        <f>IF(AND(_2="B-767-400ER",'2026'!$L$4="FO",'2026'!$L$2=AG309),'2026DATA'!$D$12,"")</f>
        <v/>
      </c>
      <c r="AH319" s="518" t="str">
        <f>IF(AND(_2="B-767-400ER",'2026'!$L$4="FO",'2026'!$L$2=AH309),'2026DATA'!$E$12,"")</f>
        <v/>
      </c>
      <c r="AI319" s="518" t="str">
        <f>IF(AND(_2="B-767-400ER",'2026'!$L$4="FO",'2026'!$L$2=AI309),'2026DATA'!$F$12,"")</f>
        <v/>
      </c>
      <c r="AJ319" s="518" t="str">
        <f>IF(AND(_2="B-767-400ER",'2026'!$L$4="FO",'2026'!$L$2=AJ309),'2026DATA'!$G$12,"")</f>
        <v/>
      </c>
      <c r="AK319" s="518" t="str">
        <f>IF(AND(_2="B-767-400ER",'2026'!$L$4="FO",'2026'!$L$2=AK309),'2026DATA'!$H$12,"")</f>
        <v/>
      </c>
      <c r="AL319" s="518" t="str">
        <f>IF(AND(_2="B-767-400ER",'2026'!$L$4="FO",'2026'!$L$2=AL309),'2026DATA'!$I$12,"")</f>
        <v/>
      </c>
      <c r="AM319" s="518" t="str">
        <f>IF(AND(_2="B-767-400ER",'2026'!$L$4="FO",'2026'!$L$2=AM309),'2026DATA'!$J$12,"")</f>
        <v/>
      </c>
      <c r="AN319" s="518" t="str">
        <f>IF(AND(_2="B-767-400ER",'2026'!$L$4="FO",'2026'!$L$2=AN309),'2026DATA'!$K$12,"")</f>
        <v/>
      </c>
      <c r="AO319" s="518" t="str">
        <f>IF(AND(_2="B-767-400ER",'2026'!$L$4="FO",'2026'!$L$2=AO309),'2026DATA'!$L$12,"")</f>
        <v/>
      </c>
      <c r="AP319" s="518" t="str">
        <f>IF(AND(_2="B-767-400ER",'2026'!$L$4="FO",'2026'!$L$2=AP309),'2026DATA'!$M$12,"")</f>
        <v/>
      </c>
      <c r="AQ319" s="520" t="str">
        <f>IF(AND(_2="B-767-400ER",'2026'!$L$4="FO",'2026'!$L$2=AQ309),'2026DATA'!$N$12,"")</f>
        <v/>
      </c>
      <c r="AR319" s="940"/>
      <c r="AS319" s="13" t="s">
        <v>62</v>
      </c>
      <c r="AT319" s="518" t="str">
        <f>IF(AND(_3="B-767-400ER",'2026'!$L$4="FO",'2026'!$L$2=AT309),'2026DATA'!$C$12,"")</f>
        <v/>
      </c>
      <c r="AU319" s="518" t="str">
        <f>IF(AND(_3="B-767-400ER",'2026'!$L$4="FO",'2026'!$L$2=AU309),'2026DATA'!$D$12,"")</f>
        <v/>
      </c>
      <c r="AV319" s="518" t="str">
        <f>IF(AND(_3="B-767-400ER",'2026'!$L$4="FO",'2026'!$L$2=AV309),'2026DATA'!$E$12,"")</f>
        <v/>
      </c>
      <c r="AW319" s="518" t="str">
        <f>IF(AND(_3="B-767-400ER",'2026'!$L$4="FO",'2026'!$L$2=AW309),'2026DATA'!$F$12,"")</f>
        <v/>
      </c>
      <c r="AX319" s="518" t="str">
        <f>IF(AND(_3="B-767-400ER",'2026'!$L$4="FO",'2026'!$L$2=AX309),'2026DATA'!$G$12,"")</f>
        <v/>
      </c>
      <c r="AY319" s="518" t="str">
        <f>IF(AND(_3="B-767-400ER",'2026'!$L$4="FO",'2026'!$L$2=AY309),'2026DATA'!$H$12,"")</f>
        <v/>
      </c>
      <c r="AZ319" s="518" t="str">
        <f>IF(AND(_3="B-767-400ER",'2026'!$L$4="FO",'2026'!$L$2=AZ309),'2026DATA'!$I$12,"")</f>
        <v/>
      </c>
      <c r="BA319" s="518" t="str">
        <f>IF(AND(_3="B-767-400ER",'2026'!$L$4="FO",'2026'!$L$2=BA309),'2026DATA'!$J$12,"")</f>
        <v/>
      </c>
      <c r="BB319" s="518" t="str">
        <f>IF(AND(_3="B-767-400ER",'2026'!$L$4="FO",'2026'!$L$2=BB309),'2026DATA'!$K$12,"")</f>
        <v/>
      </c>
      <c r="BC319" s="518" t="str">
        <f>IF(AND(_3="B-767-400ER",'2026'!$L$4="FO",'2026'!$L$2=BC309),'2026DATA'!$L$12,"")</f>
        <v/>
      </c>
      <c r="BD319" s="518" t="str">
        <f>IF(AND(_3="B-767-400ER",'2026'!$L$4="FO",'2026'!$L$2=BD309),'2026DATA'!$M$12,"")</f>
        <v/>
      </c>
      <c r="BE319" s="520" t="str">
        <f>IF(AND(_3="B-767-400ER",'2026'!$L$4="FO",'2026'!$L$2=BE309),'2026DATA'!$N$12,"")</f>
        <v/>
      </c>
      <c r="BF319" s="940"/>
      <c r="BG319" s="13" t="s">
        <v>62</v>
      </c>
      <c r="BH319" s="518" t="str">
        <f>IF(AND(_4="B-767-400ER",'2026'!$L$4="FO",'2026'!$L$2=BH309),'2026DATA'!$C$12,"")</f>
        <v/>
      </c>
      <c r="BI319" s="518" t="str">
        <f>IF(AND(_4="B-767-400ER",'2026'!$L$4="FO",'2026'!$L$2=BI309),'2026DATA'!$D$12,"")</f>
        <v/>
      </c>
      <c r="BJ319" s="518" t="str">
        <f>IF(AND(_4="B-767-400ER",'2026'!$L$4="FO",'2026'!$L$2=BJ309),'2026DATA'!$E$12,"")</f>
        <v/>
      </c>
      <c r="BK319" s="518" t="str">
        <f>IF(AND(_4="B-767-400ER",'2026'!$L$4="FO",'2026'!$L$2=BK309),'2026DATA'!$F$12,"")</f>
        <v/>
      </c>
      <c r="BL319" s="518" t="str">
        <f>IF(AND(_4="B-767-400ER",'2026'!$L$4="FO",'2026'!$L$2=BL309),'2026DATA'!$G$12,"")</f>
        <v/>
      </c>
      <c r="BM319" s="518" t="str">
        <f>IF(AND(_4="B-767-400ER",'2026'!$L$4="FO",'2026'!$L$2=BM309),'2026DATA'!$H$12,"")</f>
        <v/>
      </c>
      <c r="BN319" s="518" t="str">
        <f>IF(AND(_4="B-767-400ER",'2026'!$L$4="FO",'2026'!$L$2=BN309),'2026DATA'!$I$12,"")</f>
        <v/>
      </c>
      <c r="BO319" s="518" t="str">
        <f>IF(AND(_4="B-767-400ER",'2026'!$L$4="FO",'2026'!$L$2=BO309),'2026DATA'!$J$12,"")</f>
        <v/>
      </c>
      <c r="BP319" s="518" t="str">
        <f>IF(AND(_4="B-767-400ER",'2026'!$L$4="FO",'2026'!$L$2=BP309),'2026DATA'!$K$12,"")</f>
        <v/>
      </c>
      <c r="BQ319" s="518" t="str">
        <f>IF(AND(_4="B-767-400ER",'2026'!$L$4="FO",'2026'!$L$2=BQ309),'2026DATA'!$L$12,"")</f>
        <v/>
      </c>
      <c r="BR319" s="518" t="str">
        <f>IF(AND(_4="B-767-400ER",'2026'!$L$4="FO",'2026'!$L$2=BR309),'2026DATA'!$M$12,"")</f>
        <v/>
      </c>
      <c r="BS319" s="520" t="str">
        <f>IF(AND(_4="B-767-400ER",'2026'!$L$4="FO",'2026'!$L$2=BS309),'2026DATA'!$N$12,"")</f>
        <v/>
      </c>
      <c r="BT319" s="940"/>
      <c r="BU319" s="13" t="s">
        <v>62</v>
      </c>
      <c r="BV319" s="518" t="str">
        <f>IF(AND(_5="B-767-400ER",'2026'!$L$4="FO",'2026'!$L$2=BV309),'2026DATA'!$C$12,"")</f>
        <v/>
      </c>
      <c r="BW319" s="518" t="str">
        <f>IF(AND(_5="B-767-400ER",'2026'!$L$4="FO",'2026'!$L$2=BW309),'2026DATA'!$D$12,"")</f>
        <v/>
      </c>
      <c r="BX319" s="518" t="str">
        <f>IF(AND(_5="B-767-400ER",'2026'!$L$4="FO",'2026'!$L$2=BX309),'2026DATA'!$E$12,"")</f>
        <v/>
      </c>
      <c r="BY319" s="518" t="str">
        <f>IF(AND(_5="B-767-400ER",'2026'!$L$4="FO",'2026'!$L$2=BY309),'2026DATA'!$F$12,"")</f>
        <v/>
      </c>
      <c r="BZ319" s="518" t="str">
        <f>IF(AND(_5="B-767-400ER",'2026'!$L$4="FO",'2026'!$L$2=BZ309),'2026DATA'!$G$12,"")</f>
        <v/>
      </c>
      <c r="CA319" s="518" t="str">
        <f>IF(AND(_5="B-767-400ER",'2026'!$L$4="FO",'2026'!$L$2=CA309),'2026DATA'!$H$12,"")</f>
        <v/>
      </c>
      <c r="CB319" s="518" t="str">
        <f>IF(AND(_5="B-767-400ER",'2026'!$L$4="FO",'2026'!$L$2=CB309),'2026DATA'!$I$12,"")</f>
        <v/>
      </c>
      <c r="CC319" s="518" t="str">
        <f>IF(AND(_5="B-767-400ER",'2026'!$L$4="FO",'2026'!$L$2=CC309),'2026DATA'!$J$12,"")</f>
        <v/>
      </c>
      <c r="CD319" s="518" t="str">
        <f>IF(AND(_5="B-767-400ER",'2026'!$L$4="FO",'2026'!$L$2=CD309),'2026DATA'!$K$12,"")</f>
        <v/>
      </c>
      <c r="CE319" s="518" t="str">
        <f>IF(AND(_5="B-767-400ER",'2026'!$L$4="FO",'2026'!$L$2=CE309),'2026DATA'!$L$12,"")</f>
        <v/>
      </c>
      <c r="CF319" s="518" t="str">
        <f>IF(AND(_5="B-767-400ER",'2026'!$L$4="FO",'2026'!$L$2=CF309),'2026DATA'!$M$12,"")</f>
        <v/>
      </c>
      <c r="CG319" s="520" t="str">
        <f>IF(AND(_5="B-767-400ER",'2026'!$L$4="FO",'2026'!$L$2=CG309),'2026DATA'!$N$12,"")</f>
        <v/>
      </c>
      <c r="CH319" s="940"/>
      <c r="CI319" s="13" t="s">
        <v>62</v>
      </c>
      <c r="CJ319" s="518" t="str">
        <f>IF(AND(_6="B-767-400ER",'2026'!$L$4="FO",'2026'!$L$2=CJ309),'2026DATA'!$C$12,"")</f>
        <v/>
      </c>
      <c r="CK319" s="518" t="str">
        <f>IF(AND(_6="B-767-400ER",'2026'!$L$4="FO",'2026'!$L$2=CK309),'2026DATA'!$D$12,"")</f>
        <v/>
      </c>
      <c r="CL319" s="518" t="str">
        <f>IF(AND(_6="B-767-400ER",'2026'!$L$4="FO",'2026'!$L$2=CL309),'2026DATA'!$E$12,"")</f>
        <v/>
      </c>
      <c r="CM319" s="518" t="str">
        <f>IF(AND(_6="B-767-400ER",'2026'!$L$4="FO",'2026'!$L$2=CM309),'2026DATA'!$F$12,"")</f>
        <v/>
      </c>
      <c r="CN319" s="518" t="str">
        <f>IF(AND(_6="B-767-400ER",'2026'!$L$4="FO",'2026'!$L$2=CN309),'2026DATA'!$G$12,"")</f>
        <v/>
      </c>
      <c r="CO319" s="518" t="str">
        <f>IF(AND(_6="B-767-400ER",'2026'!$L$4="FO",'2026'!$L$2=CO309),'2026DATA'!$H$12,"")</f>
        <v/>
      </c>
      <c r="CP319" s="518" t="str">
        <f>IF(AND(_6="B-767-400ER",'2026'!$L$4="FO",'2026'!$L$2=CP309),'2026DATA'!$I$12,"")</f>
        <v/>
      </c>
      <c r="CQ319" s="518" t="str">
        <f>IF(AND(_6="B-767-400ER",'2026'!$L$4="FO",'2026'!$L$2=CQ309),'2026DATA'!$J$12,"")</f>
        <v/>
      </c>
      <c r="CR319" s="518" t="str">
        <f>IF(AND(_6="B-767-400ER",'2026'!$L$4="FO",'2026'!$L$2=CR309),'2026DATA'!$K$12,"")</f>
        <v/>
      </c>
      <c r="CS319" s="518" t="str">
        <f>IF(AND(_6="B-767-400ER",'2026'!$L$4="FO",'2026'!$L$2=CS309),'2026DATA'!$L$12,"")</f>
        <v/>
      </c>
      <c r="CT319" s="518" t="str">
        <f>IF(AND(_6="B-767-400ER",'2026'!$L$4="FO",'2026'!$L$2=CT309),'2026DATA'!$M$12,"")</f>
        <v/>
      </c>
      <c r="CU319" s="520" t="str">
        <f>IF(AND(_6="B-767-400ER",'2026'!$L$4="FO",'2026'!$L$2=CU309),'2026DATA'!$N$12,"")</f>
        <v/>
      </c>
    </row>
    <row r="320" spans="16:99" x14ac:dyDescent="0.25">
      <c r="P320" s="940" t="s">
        <v>43</v>
      </c>
      <c r="Q320" s="13" t="s">
        <v>61</v>
      </c>
      <c r="R320" s="518" t="str">
        <f>IF(AND(_1="B-767-300ER",'2026'!$L$4="CA",'2026'!$L$2=R309),'2026DATA'!$C$13,"")</f>
        <v/>
      </c>
      <c r="S320" s="518" t="str">
        <f>IF(AND(_1="B-767-300ER",'2026'!$L$4="CA",'2026'!$L$2=S309),'2026DATA'!$D$13,"")</f>
        <v/>
      </c>
      <c r="T320" s="518" t="str">
        <f>IF(AND(_1="B-767-300ER",'2026'!$L$4="CA",'2026'!$L$2=T309),'2026DATA'!$E$13,"")</f>
        <v/>
      </c>
      <c r="U320" s="518" t="str">
        <f>IF(AND(_1="B-767-300ER",'2026'!$L$4="CA",'2026'!$L$2=U309),'2026DATA'!$F$13,"")</f>
        <v/>
      </c>
      <c r="V320" s="518" t="str">
        <f>IF(AND(_1="B-767-300ER",'2026'!$L$4="CA",'2026'!$L$2=V309),'2026DATA'!$G$13,"")</f>
        <v/>
      </c>
      <c r="W320" s="518" t="str">
        <f>IF(AND(_1="B-767-300ER",'2026'!$L$4="CA",'2026'!$L$2=W309),'2026DATA'!$H$13,"")</f>
        <v/>
      </c>
      <c r="X320" s="518" t="str">
        <f>IF(AND(_1="B-767-300ER",'2026'!$L$4="CA",'2026'!$L$2=X309),'2026DATA'!$I$13,"")</f>
        <v/>
      </c>
      <c r="Y320" s="518" t="str">
        <f>IF(AND(_1="B-767-300ER",'2026'!$L$4="CA",'2026'!$L$2=Y309),'2026DATA'!$J$13,"")</f>
        <v/>
      </c>
      <c r="Z320" s="518" t="str">
        <f>IF(AND(_1="B-767-300ER",'2026'!$L$4="CA",'2026'!$L$2=Z309),'2026DATA'!$K$13,"")</f>
        <v/>
      </c>
      <c r="AA320" s="518" t="str">
        <f>IF(AND(_1="B-767-300ER",'2026'!$L$4="CA",'2026'!$L$2=AA309),'2026DATA'!$L$13,"")</f>
        <v/>
      </c>
      <c r="AB320" s="518" t="str">
        <f>IF(AND(_1="B-767-300ER",'2026'!$L$4="CA",'2026'!$L$2=AB309),'2026DATA'!$M$13,"")</f>
        <v/>
      </c>
      <c r="AC320" s="520" t="str">
        <f>IF(AND(_1="B-767-300ER",'2026'!$L$4="CA",'2026'!$L$2=AC309),'2026DATA'!$N$13,"")</f>
        <v/>
      </c>
      <c r="AD320" s="940" t="s">
        <v>43</v>
      </c>
      <c r="AE320" s="13" t="s">
        <v>61</v>
      </c>
      <c r="AF320" s="518" t="str">
        <f>IF(AND(_2="B-767-300ER",'2026'!$L$4="CA",'2026'!$L$2=AF309),'2026DATA'!$C$13,"")</f>
        <v/>
      </c>
      <c r="AG320" s="518" t="str">
        <f>IF(AND(_2="B-767-300ER",'2026'!$L$4="CA",'2026'!$L$2=AG309),'2026DATA'!$D$13,"")</f>
        <v/>
      </c>
      <c r="AH320" s="518" t="str">
        <f>IF(AND(_2="B-767-300ER",'2026'!$L$4="CA",'2026'!$L$2=AH309),'2026DATA'!$E$13,"")</f>
        <v/>
      </c>
      <c r="AI320" s="518" t="str">
        <f>IF(AND(_2="B-767-300ER",'2026'!$L$4="CA",'2026'!$L$2=AI309),'2026DATA'!$F$13,"")</f>
        <v/>
      </c>
      <c r="AJ320" s="518" t="str">
        <f>IF(AND(_2="B-767-300ER",'2026'!$L$4="CA",'2026'!$L$2=AJ309),'2026DATA'!$G$13,"")</f>
        <v/>
      </c>
      <c r="AK320" s="518" t="str">
        <f>IF(AND(_2="B-767-300ER",'2026'!$L$4="CA",'2026'!$L$2=AK309),'2026DATA'!$H$13,"")</f>
        <v/>
      </c>
      <c r="AL320" s="518" t="str">
        <f>IF(AND(_2="B-767-300ER",'2026'!$L$4="CA",'2026'!$L$2=AL309),'2026DATA'!$I$13,"")</f>
        <v/>
      </c>
      <c r="AM320" s="518" t="str">
        <f>IF(AND(_2="B-767-300ER",'2026'!$L$4="CA",'2026'!$L$2=AM309),'2026DATA'!$J$13,"")</f>
        <v/>
      </c>
      <c r="AN320" s="518" t="str">
        <f>IF(AND(_2="B-767-300ER",'2026'!$L$4="CA",'2026'!$L$2=AN309),'2026DATA'!$K$13,"")</f>
        <v/>
      </c>
      <c r="AO320" s="518" t="str">
        <f>IF(AND(_2="B-767-300ER",'2026'!$L$4="CA",'2026'!$L$2=AO309),'2026DATA'!$L$13,"")</f>
        <v/>
      </c>
      <c r="AP320" s="518" t="str">
        <f>IF(AND(_2="B-767-300ER",'2026'!$L$4="CA",'2026'!$L$2=AP309),'2026DATA'!$M$13,"")</f>
        <v/>
      </c>
      <c r="AQ320" s="520" t="str">
        <f>IF(AND(_2="B-767-300ER",'2026'!$L$4="CA",'2026'!$L$2=AQ309),'2026DATA'!$N$13,"")</f>
        <v/>
      </c>
      <c r="AR320" s="940" t="s">
        <v>43</v>
      </c>
      <c r="AS320" s="13" t="s">
        <v>61</v>
      </c>
      <c r="AT320" s="518" t="str">
        <f>IF(AND(_3="B-767-300ER",'2026'!$L$4="CA",'2026'!$L$2=AT309),'2026DATA'!$C$13,"")</f>
        <v/>
      </c>
      <c r="AU320" s="518" t="str">
        <f>IF(AND(_3="B-767-300ER",'2026'!$L$4="CA",'2026'!$L$2=AU309),'2026DATA'!$D$13,"")</f>
        <v/>
      </c>
      <c r="AV320" s="518" t="str">
        <f>IF(AND(_3="B-767-300ER",'2026'!$L$4="CA",'2026'!$L$2=AV309),'2026DATA'!$E$13,"")</f>
        <v/>
      </c>
      <c r="AW320" s="518" t="str">
        <f>IF(AND(_3="B-767-300ER",'2026'!$L$4="CA",'2026'!$L$2=AW309),'2026DATA'!$F$13,"")</f>
        <v/>
      </c>
      <c r="AX320" s="518" t="str">
        <f>IF(AND(_3="B-767-300ER",'2026'!$L$4="CA",'2026'!$L$2=AX309),'2026DATA'!$G$13,"")</f>
        <v/>
      </c>
      <c r="AY320" s="518" t="str">
        <f>IF(AND(_3="B-767-300ER",'2026'!$L$4="CA",'2026'!$L$2=AY309),'2026DATA'!$H$13,"")</f>
        <v/>
      </c>
      <c r="AZ320" s="518" t="str">
        <f>IF(AND(_3="B-767-300ER",'2026'!$L$4="CA",'2026'!$L$2=AZ309),'2026DATA'!$I$13,"")</f>
        <v/>
      </c>
      <c r="BA320" s="518" t="str">
        <f>IF(AND(_3="B-767-300ER",'2026'!$L$4="CA",'2026'!$L$2=BA309),'2026DATA'!$J$13,"")</f>
        <v/>
      </c>
      <c r="BB320" s="518" t="str">
        <f>IF(AND(_3="B-767-300ER",'2026'!$L$4="CA",'2026'!$L$2=BB309),'2026DATA'!$K$13,"")</f>
        <v/>
      </c>
      <c r="BC320" s="518" t="str">
        <f>IF(AND(_3="B-767-300ER",'2026'!$L$4="CA",'2026'!$L$2=BC309),'2026DATA'!$L$13,"")</f>
        <v/>
      </c>
      <c r="BD320" s="518" t="str">
        <f>IF(AND(_3="B-767-300ER",'2026'!$L$4="CA",'2026'!$L$2=BD309),'2026DATA'!$M$13,"")</f>
        <v/>
      </c>
      <c r="BE320" s="520" t="str">
        <f>IF(AND(_3="B-767-300ER",'2026'!$L$4="CA",'2026'!$L$2=BE309),'2026DATA'!$N$13,"")</f>
        <v/>
      </c>
      <c r="BF320" s="940" t="s">
        <v>43</v>
      </c>
      <c r="BG320" s="13" t="s">
        <v>61</v>
      </c>
      <c r="BH320" s="518" t="str">
        <f>IF(AND(_4="B-767-300ER",'2026'!$L$4="CA",'2026'!$L$2=BH309),'2026DATA'!$C$13,"")</f>
        <v/>
      </c>
      <c r="BI320" s="518" t="str">
        <f>IF(AND(_4="B-767-300ER",'2026'!$L$4="CA",'2026'!$L$2=BI309),'2026DATA'!$D$13,"")</f>
        <v/>
      </c>
      <c r="BJ320" s="518" t="str">
        <f>IF(AND(_4="B-767-300ER",'2026'!$L$4="CA",'2026'!$L$2=BJ309),'2026DATA'!$E$13,"")</f>
        <v/>
      </c>
      <c r="BK320" s="518" t="str">
        <f>IF(AND(_4="B-767-300ER",'2026'!$L$4="CA",'2026'!$L$2=BK309),'2026DATA'!$F$13,"")</f>
        <v/>
      </c>
      <c r="BL320" s="518" t="str">
        <f>IF(AND(_4="B-767-300ER",'2026'!$L$4="CA",'2026'!$L$2=BL309),'2026DATA'!$G$13,"")</f>
        <v/>
      </c>
      <c r="BM320" s="518" t="str">
        <f>IF(AND(_4="B-767-300ER",'2026'!$L$4="CA",'2026'!$L$2=BM309),'2026DATA'!$H$13,"")</f>
        <v/>
      </c>
      <c r="BN320" s="518" t="str">
        <f>IF(AND(_4="B-767-300ER",'2026'!$L$4="CA",'2026'!$L$2=BN309),'2026DATA'!$I$13,"")</f>
        <v/>
      </c>
      <c r="BO320" s="518" t="str">
        <f>IF(AND(_4="B-767-300ER",'2026'!$L$4="CA",'2026'!$L$2=BO309),'2026DATA'!$J$13,"")</f>
        <v/>
      </c>
      <c r="BP320" s="518" t="str">
        <f>IF(AND(_4="B-767-300ER",'2026'!$L$4="CA",'2026'!$L$2=BP309),'2026DATA'!$K$13,"")</f>
        <v/>
      </c>
      <c r="BQ320" s="518" t="str">
        <f>IF(AND(_4="B-767-300ER",'2026'!$L$4="CA",'2026'!$L$2=BQ309),'2026DATA'!$L$13,"")</f>
        <v/>
      </c>
      <c r="BR320" s="518" t="str">
        <f>IF(AND(_4="B-767-300ER",'2026'!$L$4="CA",'2026'!$L$2=BR309),'2026DATA'!$M$13,"")</f>
        <v/>
      </c>
      <c r="BS320" s="520" t="str">
        <f>IF(AND(_4="B-767-300ER",'2026'!$L$4="CA",'2026'!$L$2=BS309),'2026DATA'!$N$13,"")</f>
        <v/>
      </c>
      <c r="BT320" s="940" t="s">
        <v>43</v>
      </c>
      <c r="BU320" s="13" t="s">
        <v>61</v>
      </c>
      <c r="BV320" s="518" t="str">
        <f>IF(AND(_5="B-767-300ER",'2026'!$L$4="CA",'2026'!$L$2=BV309),'2026DATA'!$C$13,"")</f>
        <v/>
      </c>
      <c r="BW320" s="518" t="str">
        <f>IF(AND(_5="B-767-300ER",'2026'!$L$4="CA",'2026'!$L$2=BW309),'2026DATA'!$D$13,"")</f>
        <v/>
      </c>
      <c r="BX320" s="518" t="str">
        <f>IF(AND(_5="B-767-300ER",'2026'!$L$4="CA",'2026'!$L$2=BX309),'2026DATA'!$E$13,"")</f>
        <v/>
      </c>
      <c r="BY320" s="518" t="str">
        <f>IF(AND(_5="B-767-300ER",'2026'!$L$4="CA",'2026'!$L$2=BY309),'2026DATA'!$F$13,"")</f>
        <v/>
      </c>
      <c r="BZ320" s="518" t="str">
        <f>IF(AND(_5="B-767-300ER",'2026'!$L$4="CA",'2026'!$L$2=BZ309),'2026DATA'!$G$13,"")</f>
        <v/>
      </c>
      <c r="CA320" s="518" t="str">
        <f>IF(AND(_5="B-767-300ER",'2026'!$L$4="CA",'2026'!$L$2=CA309),'2026DATA'!$H$13,"")</f>
        <v/>
      </c>
      <c r="CB320" s="518" t="str">
        <f>IF(AND(_5="B-767-300ER",'2026'!$L$4="CA",'2026'!$L$2=CB309),'2026DATA'!$I$13,"")</f>
        <v/>
      </c>
      <c r="CC320" s="518" t="str">
        <f>IF(AND(_5="B-767-300ER",'2026'!$L$4="CA",'2026'!$L$2=CC309),'2026DATA'!$J$13,"")</f>
        <v/>
      </c>
      <c r="CD320" s="518" t="str">
        <f>IF(AND(_5="B-767-300ER",'2026'!$L$4="CA",'2026'!$L$2=CD309),'2026DATA'!$K$13,"")</f>
        <v/>
      </c>
      <c r="CE320" s="518" t="str">
        <f>IF(AND(_5="B-767-300ER",'2026'!$L$4="CA",'2026'!$L$2=CE309),'2026DATA'!$L$13,"")</f>
        <v/>
      </c>
      <c r="CF320" s="518" t="str">
        <f>IF(AND(_5="B-767-300ER",'2026'!$L$4="CA",'2026'!$L$2=CF309),'2026DATA'!$M$13,"")</f>
        <v/>
      </c>
      <c r="CG320" s="520" t="str">
        <f>IF(AND(_5="B-767-300ER",'2026'!$L$4="CA",'2026'!$L$2=CG309),'2026DATA'!$N$13,"")</f>
        <v/>
      </c>
      <c r="CH320" s="940" t="s">
        <v>43</v>
      </c>
      <c r="CI320" s="13" t="s">
        <v>61</v>
      </c>
      <c r="CJ320" s="518" t="str">
        <f>IF(AND(_6="B-767-300ER",'2026'!$L$4="CA",'2026'!$L$2=CJ309),'2026DATA'!$C$13,"")</f>
        <v/>
      </c>
      <c r="CK320" s="518" t="str">
        <f>IF(AND(_6="B-767-300ER",'2026'!$L$4="CA",'2026'!$L$2=CK309),'2026DATA'!$D$13,"")</f>
        <v/>
      </c>
      <c r="CL320" s="518" t="str">
        <f>IF(AND(_6="B-767-300ER",'2026'!$L$4="CA",'2026'!$L$2=CL309),'2026DATA'!$E$13,"")</f>
        <v/>
      </c>
      <c r="CM320" s="518" t="str">
        <f>IF(AND(_6="B-767-300ER",'2026'!$L$4="CA",'2026'!$L$2=CM309),'2026DATA'!$F$13,"")</f>
        <v/>
      </c>
      <c r="CN320" s="518" t="str">
        <f>IF(AND(_6="B-767-300ER",'2026'!$L$4="CA",'2026'!$L$2=CN309),'2026DATA'!$G$13,"")</f>
        <v/>
      </c>
      <c r="CO320" s="518" t="str">
        <f>IF(AND(_6="B-767-300ER",'2026'!$L$4="CA",'2026'!$L$2=CO309),'2026DATA'!$H$13,"")</f>
        <v/>
      </c>
      <c r="CP320" s="518" t="str">
        <f>IF(AND(_6="B-767-300ER",'2026'!$L$4="CA",'2026'!$L$2=CP309),'2026DATA'!$I$13,"")</f>
        <v/>
      </c>
      <c r="CQ320" s="518" t="str">
        <f>IF(AND(_6="B-767-300ER",'2026'!$L$4="CA",'2026'!$L$2=CQ309),'2026DATA'!$J$13,"")</f>
        <v/>
      </c>
      <c r="CR320" s="518" t="str">
        <f>IF(AND(_6="B-767-300ER",'2026'!$L$4="CA",'2026'!$L$2=CR309),'2026DATA'!$K$13,"")</f>
        <v/>
      </c>
      <c r="CS320" s="518" t="str">
        <f>IF(AND(_6="B-767-300ER",'2026'!$L$4="CA",'2026'!$L$2=CS309),'2026DATA'!$L$13,"")</f>
        <v/>
      </c>
      <c r="CT320" s="518" t="str">
        <f>IF(AND(_6="B-767-300ER",'2026'!$L$4="CA",'2026'!$L$2=CT309),'2026DATA'!$M$13,"")</f>
        <v/>
      </c>
      <c r="CU320" s="520" t="str">
        <f>IF(AND(_6="B-767-300ER",'2026'!$L$4="CA",'2026'!$L$2=CU309),'2026DATA'!$N$13,"")</f>
        <v/>
      </c>
    </row>
    <row r="321" spans="16:99" x14ac:dyDescent="0.25">
      <c r="P321" s="940"/>
      <c r="Q321" s="13" t="s">
        <v>62</v>
      </c>
      <c r="R321" s="518" t="str">
        <f>IF(AND(_1="B-767-300ER",'2026'!$L$4="FO",'2026'!$L$2=R309),'2026DATA'!$C$14,"")</f>
        <v/>
      </c>
      <c r="S321" s="518" t="str">
        <f>IF(AND(_1="B-767-300ER",'2026'!$L$4="FO",'2026'!$L$2=S309),'2026DATA'!$D$14,"")</f>
        <v/>
      </c>
      <c r="T321" s="518" t="str">
        <f>IF(AND(_1="B-767-300ER",'2026'!$L$4="FO",'2026'!$L$2=T309),'2026DATA'!$E$14,"")</f>
        <v/>
      </c>
      <c r="U321" s="518" t="str">
        <f>IF(AND(_1="B-767-300ER",'2026'!$L$4="FO",'2026'!$L$2=U309),'2026DATA'!$F$14,"")</f>
        <v/>
      </c>
      <c r="V321" s="518" t="str">
        <f>IF(AND(_1="B-767-300ER",'2026'!$L$4="FO",'2026'!$L$2=V309),'2026DATA'!$G$14,"")</f>
        <v/>
      </c>
      <c r="W321" s="518" t="str">
        <f>IF(AND(_1="B-767-300ER",'2026'!$L$4="FO",'2026'!$L$2=W309),'2026DATA'!$H$14,"")</f>
        <v/>
      </c>
      <c r="X321" s="518" t="str">
        <f>IF(AND(_1="B-767-300ER",'2026'!$L$4="FO",'2026'!$L$2=X309),'2026DATA'!$I$14,"")</f>
        <v/>
      </c>
      <c r="Y321" s="518" t="str">
        <f>IF(AND(_1="B-767-300ER",'2026'!$L$4="FO",'2026'!$L$2=Y309),'2026DATA'!$J$14,"")</f>
        <v/>
      </c>
      <c r="Z321" s="518" t="str">
        <f>IF(AND(_1="B-767-300ER",'2026'!$L$4="FO",'2026'!$L$2=Z309),'2026DATA'!$K$14,"")</f>
        <v/>
      </c>
      <c r="AA321" s="518" t="str">
        <f>IF(AND(_1="B-767-300ER",'2026'!$L$4="FO",'2026'!$L$2=AA309),'2026DATA'!$L$14,"")</f>
        <v/>
      </c>
      <c r="AB321" s="518" t="str">
        <f>IF(AND(_1="B-767-300ER",'2026'!$L$4="FO",'2026'!$L$2=AB309),'2026DATA'!$M$14,"")</f>
        <v/>
      </c>
      <c r="AC321" s="520" t="str">
        <f>IF(AND(_1="B-767-300ER",'2026'!$L$4="FO",'2026'!$L$2=AC309),'2026DATA'!$N$14,"")</f>
        <v/>
      </c>
      <c r="AD321" s="940"/>
      <c r="AE321" s="13" t="s">
        <v>62</v>
      </c>
      <c r="AF321" s="518" t="str">
        <f>IF(AND(_2="B-767-300ER",'2026'!$L$4="FO",'2026'!$L$2=AF309),'2026DATA'!$C$14,"")</f>
        <v/>
      </c>
      <c r="AG321" s="518" t="str">
        <f>IF(AND(_2="B-767-300ER",'2026'!$L$4="FO",'2026'!$L$2=AG309),'2026DATA'!$D$14,"")</f>
        <v/>
      </c>
      <c r="AH321" s="518" t="str">
        <f>IF(AND(_2="B-767-300ER",'2026'!$L$4="FO",'2026'!$L$2=AH309),'2026DATA'!$E$14,"")</f>
        <v/>
      </c>
      <c r="AI321" s="518" t="str">
        <f>IF(AND(_2="B-767-300ER",'2026'!$L$4="FO",'2026'!$L$2=AI309),'2026DATA'!$F$14,"")</f>
        <v/>
      </c>
      <c r="AJ321" s="518" t="str">
        <f>IF(AND(_2="B-767-300ER",'2026'!$L$4="FO",'2026'!$L$2=AJ309),'2026DATA'!$G$14,"")</f>
        <v/>
      </c>
      <c r="AK321" s="518" t="str">
        <f>IF(AND(_2="B-767-300ER",'2026'!$L$4="FO",'2026'!$L$2=AK309),'2026DATA'!$H$14,"")</f>
        <v/>
      </c>
      <c r="AL321" s="518" t="str">
        <f>IF(AND(_2="B-767-300ER",'2026'!$L$4="FO",'2026'!$L$2=AL309),'2026DATA'!$I$14,"")</f>
        <v/>
      </c>
      <c r="AM321" s="518" t="str">
        <f>IF(AND(_2="B-767-300ER",'2026'!$L$4="FO",'2026'!$L$2=AM309),'2026DATA'!$J$14,"")</f>
        <v/>
      </c>
      <c r="AN321" s="518" t="str">
        <f>IF(AND(_2="B-767-300ER",'2026'!$L$4="FO",'2026'!$L$2=AN309),'2026DATA'!$K$14,"")</f>
        <v/>
      </c>
      <c r="AO321" s="518" t="str">
        <f>IF(AND(_2="B-767-300ER",'2026'!$L$4="FO",'2026'!$L$2=AO309),'2026DATA'!$L$14,"")</f>
        <v/>
      </c>
      <c r="AP321" s="518" t="str">
        <f>IF(AND(_2="B-767-300ER",'2026'!$L$4="FO",'2026'!$L$2=AP309),'2026DATA'!$M$14,"")</f>
        <v/>
      </c>
      <c r="AQ321" s="520" t="str">
        <f>IF(AND(_2="B-767-300ER",'2026'!$L$4="FO",'2026'!$L$2=AQ309),'2026DATA'!$N$14,"")</f>
        <v/>
      </c>
      <c r="AR321" s="940"/>
      <c r="AS321" s="13" t="s">
        <v>62</v>
      </c>
      <c r="AT321" s="518" t="str">
        <f>IF(AND(_3="B-767-300ER",'2026'!$L$4="FO",'2026'!$L$2=AT309),'2026DATA'!$C$14,"")</f>
        <v/>
      </c>
      <c r="AU321" s="518" t="str">
        <f>IF(AND(_3="B-767-300ER",'2026'!$L$4="FO",'2026'!$L$2=AU309),'2026DATA'!$D$14,"")</f>
        <v/>
      </c>
      <c r="AV321" s="518" t="str">
        <f>IF(AND(_3="B-767-300ER",'2026'!$L$4="FO",'2026'!$L$2=AV309),'2026DATA'!$E$14,"")</f>
        <v/>
      </c>
      <c r="AW321" s="518" t="str">
        <f>IF(AND(_3="B-767-300ER",'2026'!$L$4="FO",'2026'!$L$2=AW309),'2026DATA'!$F$14,"")</f>
        <v/>
      </c>
      <c r="AX321" s="518" t="str">
        <f>IF(AND(_3="B-767-300ER",'2026'!$L$4="FO",'2026'!$L$2=AX309),'2026DATA'!$G$14,"")</f>
        <v/>
      </c>
      <c r="AY321" s="518" t="str">
        <f>IF(AND(_3="B-767-300ER",'2026'!$L$4="FO",'2026'!$L$2=AY309),'2026DATA'!$H$14,"")</f>
        <v/>
      </c>
      <c r="AZ321" s="518" t="str">
        <f>IF(AND(_3="B-767-300ER",'2026'!$L$4="FO",'2026'!$L$2=AZ309),'2026DATA'!$I$14,"")</f>
        <v/>
      </c>
      <c r="BA321" s="518" t="str">
        <f>IF(AND(_3="B-767-300ER",'2026'!$L$4="FO",'2026'!$L$2=BA309),'2026DATA'!$J$14,"")</f>
        <v/>
      </c>
      <c r="BB321" s="518" t="str">
        <f>IF(AND(_3="B-767-300ER",'2026'!$L$4="FO",'2026'!$L$2=BB309),'2026DATA'!$K$14,"")</f>
        <v/>
      </c>
      <c r="BC321" s="518" t="str">
        <f>IF(AND(_3="B-767-300ER",'2026'!$L$4="FO",'2026'!$L$2=BC309),'2026DATA'!$L$14,"")</f>
        <v/>
      </c>
      <c r="BD321" s="518" t="str">
        <f>IF(AND(_3="B-767-300ER",'2026'!$L$4="FO",'2026'!$L$2=BD309),'2026DATA'!$M$14,"")</f>
        <v/>
      </c>
      <c r="BE321" s="520" t="str">
        <f>IF(AND(_3="B-767-300ER",'2026'!$L$4="FO",'2026'!$L$2=BE309),'2026DATA'!$N$14,"")</f>
        <v/>
      </c>
      <c r="BF321" s="940"/>
      <c r="BG321" s="13" t="s">
        <v>62</v>
      </c>
      <c r="BH321" s="518" t="str">
        <f>IF(AND(_4="B-767-300ER",'2026'!$L$4="FO",'2026'!$L$2=BH309),'2026DATA'!$C$14,"")</f>
        <v/>
      </c>
      <c r="BI321" s="518" t="str">
        <f>IF(AND(_4="B-767-300ER",'2026'!$L$4="FO",'2026'!$L$2=BI309),'2026DATA'!$D$14,"")</f>
        <v/>
      </c>
      <c r="BJ321" s="518" t="str">
        <f>IF(AND(_4="B-767-300ER",'2026'!$L$4="FO",'2026'!$L$2=BJ309),'2026DATA'!$E$14,"")</f>
        <v/>
      </c>
      <c r="BK321" s="518" t="str">
        <f>IF(AND(_4="B-767-300ER",'2026'!$L$4="FO",'2026'!$L$2=BK309),'2026DATA'!$F$14,"")</f>
        <v/>
      </c>
      <c r="BL321" s="518" t="str">
        <f>IF(AND(_4="B-767-300ER",'2026'!$L$4="FO",'2026'!$L$2=BL309),'2026DATA'!$G$14,"")</f>
        <v/>
      </c>
      <c r="BM321" s="518" t="str">
        <f>IF(AND(_4="B-767-300ER",'2026'!$L$4="FO",'2026'!$L$2=BM309),'2026DATA'!$H$14,"")</f>
        <v/>
      </c>
      <c r="BN321" s="518" t="str">
        <f>IF(AND(_4="B-767-300ER",'2026'!$L$4="FO",'2026'!$L$2=BN309),'2026DATA'!$I$14,"")</f>
        <v/>
      </c>
      <c r="BO321" s="518" t="str">
        <f>IF(AND(_4="B-767-300ER",'2026'!$L$4="FO",'2026'!$L$2=BO309),'2026DATA'!$J$14,"")</f>
        <v/>
      </c>
      <c r="BP321" s="518" t="str">
        <f>IF(AND(_4="B-767-300ER",'2026'!$L$4="FO",'2026'!$L$2=BP309),'2026DATA'!$K$14,"")</f>
        <v/>
      </c>
      <c r="BQ321" s="518" t="str">
        <f>IF(AND(_4="B-767-300ER",'2026'!$L$4="FO",'2026'!$L$2=BQ309),'2026DATA'!$L$14,"")</f>
        <v/>
      </c>
      <c r="BR321" s="518" t="str">
        <f>IF(AND(_4="B-767-300ER",'2026'!$L$4="FO",'2026'!$L$2=BR309),'2026DATA'!$M$14,"")</f>
        <v/>
      </c>
      <c r="BS321" s="520" t="str">
        <f>IF(AND(_4="B-767-300ER",'2026'!$L$4="FO",'2026'!$L$2=BS309),'2026DATA'!$N$14,"")</f>
        <v/>
      </c>
      <c r="BT321" s="940"/>
      <c r="BU321" s="13" t="s">
        <v>62</v>
      </c>
      <c r="BV321" s="518" t="str">
        <f>IF(AND(_5="B-767-300ER",'2026'!$L$4="FO",'2026'!$L$2=BV309),'2026DATA'!$C$14,"")</f>
        <v/>
      </c>
      <c r="BW321" s="518" t="str">
        <f>IF(AND(_5="B-767-300ER",'2026'!$L$4="FO",'2026'!$L$2=BW309),'2026DATA'!$D$14,"")</f>
        <v/>
      </c>
      <c r="BX321" s="518" t="str">
        <f>IF(AND(_5="B-767-300ER",'2026'!$L$4="FO",'2026'!$L$2=BX309),'2026DATA'!$E$14,"")</f>
        <v/>
      </c>
      <c r="BY321" s="518" t="str">
        <f>IF(AND(_5="B-767-300ER",'2026'!$L$4="FO",'2026'!$L$2=BY309),'2026DATA'!$F$14,"")</f>
        <v/>
      </c>
      <c r="BZ321" s="518" t="str">
        <f>IF(AND(_5="B-767-300ER",'2026'!$L$4="FO",'2026'!$L$2=BZ309),'2026DATA'!$G$14,"")</f>
        <v/>
      </c>
      <c r="CA321" s="518" t="str">
        <f>IF(AND(_5="B-767-300ER",'2026'!$L$4="FO",'2026'!$L$2=CA309),'2026DATA'!$H$14,"")</f>
        <v/>
      </c>
      <c r="CB321" s="518" t="str">
        <f>IF(AND(_5="B-767-300ER",'2026'!$L$4="FO",'2026'!$L$2=CB309),'2026DATA'!$I$14,"")</f>
        <v/>
      </c>
      <c r="CC321" s="518" t="str">
        <f>IF(AND(_5="B-767-300ER",'2026'!$L$4="FO",'2026'!$L$2=CC309),'2026DATA'!$J$14,"")</f>
        <v/>
      </c>
      <c r="CD321" s="518" t="str">
        <f>IF(AND(_5="B-767-300ER",'2026'!$L$4="FO",'2026'!$L$2=CD309),'2026DATA'!$K$14,"")</f>
        <v/>
      </c>
      <c r="CE321" s="518" t="str">
        <f>IF(AND(_5="B-767-300ER",'2026'!$L$4="FO",'2026'!$L$2=CE309),'2026DATA'!$L$14,"")</f>
        <v/>
      </c>
      <c r="CF321" s="518" t="str">
        <f>IF(AND(_5="B-767-300ER",'2026'!$L$4="FO",'2026'!$L$2=CF309),'2026DATA'!$M$14,"")</f>
        <v/>
      </c>
      <c r="CG321" s="520" t="str">
        <f>IF(AND(_5="B-767-300ER",'2026'!$L$4="FO",'2026'!$L$2=CG309),'2026DATA'!$N$14,"")</f>
        <v/>
      </c>
      <c r="CH321" s="940"/>
      <c r="CI321" s="13" t="s">
        <v>62</v>
      </c>
      <c r="CJ321" s="518" t="str">
        <f>IF(AND(_6="B-767-300ER",'2026'!$L$4="FO",'2026'!$L$2=CJ309),'2026DATA'!$C$14,"")</f>
        <v/>
      </c>
      <c r="CK321" s="518" t="str">
        <f>IF(AND(_6="B-767-300ER",'2026'!$L$4="FO",'2026'!$L$2=CK309),'2026DATA'!$D$14,"")</f>
        <v/>
      </c>
      <c r="CL321" s="518" t="str">
        <f>IF(AND(_6="B-767-300ER",'2026'!$L$4="FO",'2026'!$L$2=CL309),'2026DATA'!$E$14,"")</f>
        <v/>
      </c>
      <c r="CM321" s="518" t="str">
        <f>IF(AND(_6="B-767-300ER",'2026'!$L$4="FO",'2026'!$L$2=CM309),'2026DATA'!$F$14,"")</f>
        <v/>
      </c>
      <c r="CN321" s="518" t="str">
        <f>IF(AND(_6="B-767-300ER",'2026'!$L$4="FO",'2026'!$L$2=CN309),'2026DATA'!$G$14,"")</f>
        <v/>
      </c>
      <c r="CO321" s="518" t="str">
        <f>IF(AND(_6="B-767-300ER",'2026'!$L$4="FO",'2026'!$L$2=CO309),'2026DATA'!$H$14,"")</f>
        <v/>
      </c>
      <c r="CP321" s="518" t="str">
        <f>IF(AND(_6="B-767-300ER",'2026'!$L$4="FO",'2026'!$L$2=CP309),'2026DATA'!$I$14,"")</f>
        <v/>
      </c>
      <c r="CQ321" s="518" t="str">
        <f>IF(AND(_6="B-767-300ER",'2026'!$L$4="FO",'2026'!$L$2=CQ309),'2026DATA'!$J$14,"")</f>
        <v/>
      </c>
      <c r="CR321" s="518" t="str">
        <f>IF(AND(_6="B-767-300ER",'2026'!$L$4="FO",'2026'!$L$2=CR309),'2026DATA'!$K$14,"")</f>
        <v/>
      </c>
      <c r="CS321" s="518" t="str">
        <f>IF(AND(_6="B-767-300ER",'2026'!$L$4="FO",'2026'!$L$2=CS309),'2026DATA'!$L$14,"")</f>
        <v/>
      </c>
      <c r="CT321" s="518" t="str">
        <f>IF(AND(_6="B-767-300ER",'2026'!$L$4="FO",'2026'!$L$2=CT309),'2026DATA'!$M$14,"")</f>
        <v/>
      </c>
      <c r="CU321" s="520" t="str">
        <f>IF(AND(_6="B-767-300ER",'2026'!$L$4="FO",'2026'!$L$2=CU309),'2026DATA'!$N$14,"")</f>
        <v/>
      </c>
    </row>
    <row r="322" spans="16:99" x14ac:dyDescent="0.25">
      <c r="P322" s="940" t="s">
        <v>67</v>
      </c>
      <c r="Q322" s="13" t="s">
        <v>61</v>
      </c>
      <c r="R322" s="518" t="str">
        <f>IF(AND(_1="B-767-300",'2026'!$L$4="CA",'2026'!$L$2=R309),'2026DATA'!$C$15,"")</f>
        <v/>
      </c>
      <c r="S322" s="518" t="str">
        <f>IF(AND(_1="B-767-300",'2026'!$L$4="CA",'2026'!$L$2=S309),'2026DATA'!$D$15,"")</f>
        <v/>
      </c>
      <c r="T322" s="518" t="str">
        <f>IF(AND(_1="B-767-300",'2026'!$L$4="CA",'2026'!$L$2=T309),'2026DATA'!$E$15,"")</f>
        <v/>
      </c>
      <c r="U322" s="518" t="str">
        <f>IF(AND(_1="B-767-300",'2026'!$L$4="CA",'2026'!$L$2=U309),'2026DATA'!$F$15,"")</f>
        <v/>
      </c>
      <c r="V322" s="518" t="str">
        <f>IF(AND(_1="B-767-300",'2026'!$L$4="CA",'2026'!$L$2=V309),'2026DATA'!$G$15,"")</f>
        <v/>
      </c>
      <c r="W322" s="518" t="str">
        <f>IF(AND(_1="B-767-300",'2026'!$L$4="CA",'2026'!$L$2=W309),'2026DATA'!$H$15,"")</f>
        <v/>
      </c>
      <c r="X322" s="518" t="str">
        <f>IF(AND(_1="B-767-300",'2026'!$L$4="CA",'2026'!$L$2=X309),'2026DATA'!$I$15,"")</f>
        <v/>
      </c>
      <c r="Y322" s="518" t="str">
        <f>IF(AND(_1="B-767-300",'2026'!$L$4="CA",'2026'!$L$2=Y309),'2026DATA'!$J$15,"")</f>
        <v/>
      </c>
      <c r="Z322" s="518" t="str">
        <f>IF(AND(_1="B-767-300",'2026'!$L$4="CA",'2026'!$L$2=Z309),'2026DATA'!$K$15,"")</f>
        <v/>
      </c>
      <c r="AA322" s="518" t="str">
        <f>IF(AND(_1="B-767-300",'2026'!$L$4="CA",'2026'!$L$2=AA309),'2026DATA'!$L$15,"")</f>
        <v/>
      </c>
      <c r="AB322" s="518" t="str">
        <f>IF(AND(_1="B-767-300",'2026'!$L$4="CA",'2026'!$L$2=AB309),'2026DATA'!$M$15,"")</f>
        <v/>
      </c>
      <c r="AC322" s="520" t="str">
        <f>IF(AND(_1="B-767-300",'2026'!$L$4="CA",'2026'!$L$2=AC309),'2026DATA'!$N$15,"")</f>
        <v/>
      </c>
      <c r="AD322" s="940" t="s">
        <v>67</v>
      </c>
      <c r="AE322" s="13" t="s">
        <v>61</v>
      </c>
      <c r="AF322" s="518" t="str">
        <f>IF(AND(_2="B-767-300",'2026'!$L$4="CA",'2026'!$L$2=AF309),'2026DATA'!$C$15,"")</f>
        <v/>
      </c>
      <c r="AG322" s="518" t="str">
        <f>IF(AND(_2="B-767-300",'2026'!$L$4="CA",'2026'!$L$2=AG309),'2026DATA'!$D$15,"")</f>
        <v/>
      </c>
      <c r="AH322" s="518" t="str">
        <f>IF(AND(_2="B-767-300",'2026'!$L$4="CA",'2026'!$L$2=AH309),'2026DATA'!$E$15,"")</f>
        <v/>
      </c>
      <c r="AI322" s="518" t="str">
        <f>IF(AND(_2="B-767-300",'2026'!$L$4="CA",'2026'!$L$2=AI309),'2026DATA'!$F$15,"")</f>
        <v/>
      </c>
      <c r="AJ322" s="518" t="str">
        <f>IF(AND(_2="B-767-300",'2026'!$L$4="CA",'2026'!$L$2=AJ309),'2026DATA'!$G$15,"")</f>
        <v/>
      </c>
      <c r="AK322" s="518" t="str">
        <f>IF(AND(_2="B-767-300",'2026'!$L$4="CA",'2026'!$L$2=AK309),'2026DATA'!$H$15,"")</f>
        <v/>
      </c>
      <c r="AL322" s="518" t="str">
        <f>IF(AND(_2="B-767-300",'2026'!$L$4="CA",'2026'!$L$2=AL309),'2026DATA'!$I$15,"")</f>
        <v/>
      </c>
      <c r="AM322" s="518" t="str">
        <f>IF(AND(_2="B-767-300",'2026'!$L$4="CA",'2026'!$L$2=AM309),'2026DATA'!$J$15,"")</f>
        <v/>
      </c>
      <c r="AN322" s="518" t="str">
        <f>IF(AND(_2="B-767-300",'2026'!$L$4="CA",'2026'!$L$2=AN309),'2026DATA'!$K$15,"")</f>
        <v/>
      </c>
      <c r="AO322" s="518" t="str">
        <f>IF(AND(_2="B-767-300",'2026'!$L$4="CA",'2026'!$L$2=AO309),'2026DATA'!$L$15,"")</f>
        <v/>
      </c>
      <c r="AP322" s="518" t="str">
        <f>IF(AND(_2="B-767-300",'2026'!$L$4="CA",'2026'!$L$2=AP309),'2026DATA'!$M$15,"")</f>
        <v/>
      </c>
      <c r="AQ322" s="520" t="str">
        <f>IF(AND(_2="B-767-300",'2026'!$L$4="CA",'2026'!$L$2=AQ309),'2026DATA'!$N$15,"")</f>
        <v/>
      </c>
      <c r="AR322" s="940" t="s">
        <v>67</v>
      </c>
      <c r="AS322" s="13" t="s">
        <v>61</v>
      </c>
      <c r="AT322" s="518" t="str">
        <f>IF(AND(_3="B-767-300",'2026'!$L$4="CA",'2026'!$L$2=AT309),'2026DATA'!$C$15,"")</f>
        <v/>
      </c>
      <c r="AU322" s="518" t="str">
        <f>IF(AND(_3="B-767-300",'2026'!$L$4="CA",'2026'!$L$2=AU309),'2026DATA'!$D$15,"")</f>
        <v/>
      </c>
      <c r="AV322" s="518" t="str">
        <f>IF(AND(_3="B-767-300",'2026'!$L$4="CA",'2026'!$L$2=AV309),'2026DATA'!$E$15,"")</f>
        <v/>
      </c>
      <c r="AW322" s="518" t="str">
        <f>IF(AND(_3="B-767-300",'2026'!$L$4="CA",'2026'!$L$2=AW309),'2026DATA'!$F$15,"")</f>
        <v/>
      </c>
      <c r="AX322" s="518" t="str">
        <f>IF(AND(_3="B-767-300",'2026'!$L$4="CA",'2026'!$L$2=AX309),'2026DATA'!$G$15,"")</f>
        <v/>
      </c>
      <c r="AY322" s="518" t="str">
        <f>IF(AND(_3="B-767-300",'2026'!$L$4="CA",'2026'!$L$2=AY309),'2026DATA'!$H$15,"")</f>
        <v/>
      </c>
      <c r="AZ322" s="518" t="str">
        <f>IF(AND(_3="B-767-300",'2026'!$L$4="CA",'2026'!$L$2=AZ309),'2026DATA'!$I$15,"")</f>
        <v/>
      </c>
      <c r="BA322" s="518" t="str">
        <f>IF(AND(_3="B-767-300",'2026'!$L$4="CA",'2026'!$L$2=BA309),'2026DATA'!$J$15,"")</f>
        <v/>
      </c>
      <c r="BB322" s="518" t="str">
        <f>IF(AND(_3="B-767-300",'2026'!$L$4="CA",'2026'!$L$2=BB309),'2026DATA'!$K$15,"")</f>
        <v/>
      </c>
      <c r="BC322" s="518" t="str">
        <f>IF(AND(_3="B-767-300",'2026'!$L$4="CA",'2026'!$L$2=BC309),'2026DATA'!$L$15,"")</f>
        <v/>
      </c>
      <c r="BD322" s="518" t="str">
        <f>IF(AND(_3="B-767-300",'2026'!$L$4="CA",'2026'!$L$2=BD309),'2026DATA'!$M$15,"")</f>
        <v/>
      </c>
      <c r="BE322" s="520" t="str">
        <f>IF(AND(_3="B-767-300",'2026'!$L$4="CA",'2026'!$L$2=BE309),'2026DATA'!$N$15,"")</f>
        <v/>
      </c>
      <c r="BF322" s="940" t="s">
        <v>67</v>
      </c>
      <c r="BG322" s="13" t="s">
        <v>61</v>
      </c>
      <c r="BH322" s="518" t="str">
        <f>IF(AND(_4="B-767-300",'2026'!$L$4="CA",'2026'!$L$2=BH309),'2026DATA'!$C$15,"")</f>
        <v/>
      </c>
      <c r="BI322" s="518" t="str">
        <f>IF(AND(_4="B-767-300",'2026'!$L$4="CA",'2026'!$L$2=BI309),'2026DATA'!$D$15,"")</f>
        <v/>
      </c>
      <c r="BJ322" s="518" t="str">
        <f>IF(AND(_4="B-767-300",'2026'!$L$4="CA",'2026'!$L$2=BJ309),'2026DATA'!$E$15,"")</f>
        <v/>
      </c>
      <c r="BK322" s="518" t="str">
        <f>IF(AND(_4="B-767-300",'2026'!$L$4="CA",'2026'!$L$2=BK309),'2026DATA'!$F$15,"")</f>
        <v/>
      </c>
      <c r="BL322" s="518" t="str">
        <f>IF(AND(_4="B-767-300",'2026'!$L$4="CA",'2026'!$L$2=BL309),'2026DATA'!$G$15,"")</f>
        <v/>
      </c>
      <c r="BM322" s="518" t="str">
        <f>IF(AND(_4="B-767-300",'2026'!$L$4="CA",'2026'!$L$2=BM309),'2026DATA'!$H$15,"")</f>
        <v/>
      </c>
      <c r="BN322" s="518" t="str">
        <f>IF(AND(_4="B-767-300",'2026'!$L$4="CA",'2026'!$L$2=BN309),'2026DATA'!$I$15,"")</f>
        <v/>
      </c>
      <c r="BO322" s="518" t="str">
        <f>IF(AND(_4="B-767-300",'2026'!$L$4="CA",'2026'!$L$2=BO309),'2026DATA'!$J$15,"")</f>
        <v/>
      </c>
      <c r="BP322" s="518" t="str">
        <f>IF(AND(_4="B-767-300",'2026'!$L$4="CA",'2026'!$L$2=BP309),'2026DATA'!$K$15,"")</f>
        <v/>
      </c>
      <c r="BQ322" s="518" t="str">
        <f>IF(AND(_4="B-767-300",'2026'!$L$4="CA",'2026'!$L$2=BQ309),'2026DATA'!$L$15,"")</f>
        <v/>
      </c>
      <c r="BR322" s="518" t="str">
        <f>IF(AND(_4="B-767-300",'2026'!$L$4="CA",'2026'!$L$2=BR309),'2026DATA'!$M$15,"")</f>
        <v/>
      </c>
      <c r="BS322" s="520" t="str">
        <f>IF(AND(_4="B-767-300",'2026'!$L$4="CA",'2026'!$L$2=BS309),'2026DATA'!$N$15,"")</f>
        <v/>
      </c>
      <c r="BT322" s="940" t="s">
        <v>67</v>
      </c>
      <c r="BU322" s="13" t="s">
        <v>61</v>
      </c>
      <c r="BV322" s="518" t="str">
        <f>IF(AND(_5="B-767-300",'2026'!$L$4="CA",'2026'!$L$2=BV309),'2026DATA'!$C$15,"")</f>
        <v/>
      </c>
      <c r="BW322" s="518" t="str">
        <f>IF(AND(_5="B-767-300",'2026'!$L$4="CA",'2026'!$L$2=BW309),'2026DATA'!$D$15,"")</f>
        <v/>
      </c>
      <c r="BX322" s="518" t="str">
        <f>IF(AND(_5="B-767-300",'2026'!$L$4="CA",'2026'!$L$2=BX309),'2026DATA'!$E$15,"")</f>
        <v/>
      </c>
      <c r="BY322" s="518" t="str">
        <f>IF(AND(_5="B-767-300",'2026'!$L$4="CA",'2026'!$L$2=BY309),'2026DATA'!$F$15,"")</f>
        <v/>
      </c>
      <c r="BZ322" s="518" t="str">
        <f>IF(AND(_5="B-767-300",'2026'!$L$4="CA",'2026'!$L$2=BZ309),'2026DATA'!$G$15,"")</f>
        <v/>
      </c>
      <c r="CA322" s="518" t="str">
        <f>IF(AND(_5="B-767-300",'2026'!$L$4="CA",'2026'!$L$2=CA309),'2026DATA'!$H$15,"")</f>
        <v/>
      </c>
      <c r="CB322" s="518" t="str">
        <f>IF(AND(_5="B-767-300",'2026'!$L$4="CA",'2026'!$L$2=CB309),'2026DATA'!$I$15,"")</f>
        <v/>
      </c>
      <c r="CC322" s="518" t="str">
        <f>IF(AND(_5="B-767-300",'2026'!$L$4="CA",'2026'!$L$2=CC309),'2026DATA'!$J$15,"")</f>
        <v/>
      </c>
      <c r="CD322" s="518" t="str">
        <f>IF(AND(_5="B-767-300",'2026'!$L$4="CA",'2026'!$L$2=CD309),'2026DATA'!$K$15,"")</f>
        <v/>
      </c>
      <c r="CE322" s="518" t="str">
        <f>IF(AND(_5="B-767-300",'2026'!$L$4="CA",'2026'!$L$2=CE309),'2026DATA'!$L$15,"")</f>
        <v/>
      </c>
      <c r="CF322" s="518" t="str">
        <f>IF(AND(_5="B-767-300",'2026'!$L$4="CA",'2026'!$L$2=CF309),'2026DATA'!$M$15,"")</f>
        <v/>
      </c>
      <c r="CG322" s="520" t="str">
        <f>IF(AND(_5="B-767-300",'2026'!$L$4="CA",'2026'!$L$2=CG309),'2026DATA'!$N$15,"")</f>
        <v/>
      </c>
      <c r="CH322" s="940" t="s">
        <v>67</v>
      </c>
      <c r="CI322" s="13" t="s">
        <v>61</v>
      </c>
      <c r="CJ322" s="518" t="str">
        <f>IF(AND(_6="B-767-300",'2026'!$L$4="CA",'2026'!$L$2=CJ309),'2026DATA'!$C$15,"")</f>
        <v/>
      </c>
      <c r="CK322" s="518" t="str">
        <f>IF(AND(_6="B-767-300",'2026'!$L$4="CA",'2026'!$L$2=CK309),'2026DATA'!$D$15,"")</f>
        <v/>
      </c>
      <c r="CL322" s="518" t="str">
        <f>IF(AND(_6="B-767-300",'2026'!$L$4="CA",'2026'!$L$2=CL309),'2026DATA'!$E$15,"")</f>
        <v/>
      </c>
      <c r="CM322" s="518" t="str">
        <f>IF(AND(_6="B-767-300",'2026'!$L$4="CA",'2026'!$L$2=CM309),'2026DATA'!$F$15,"")</f>
        <v/>
      </c>
      <c r="CN322" s="518" t="str">
        <f>IF(AND(_6="B-767-300",'2026'!$L$4="CA",'2026'!$L$2=CN309),'2026DATA'!$G$15,"")</f>
        <v/>
      </c>
      <c r="CO322" s="518" t="str">
        <f>IF(AND(_6="B-767-300",'2026'!$L$4="CA",'2026'!$L$2=CO309),'2026DATA'!$H$15,"")</f>
        <v/>
      </c>
      <c r="CP322" s="518" t="str">
        <f>IF(AND(_6="B-767-300",'2026'!$L$4="CA",'2026'!$L$2=CP309),'2026DATA'!$I$15,"")</f>
        <v/>
      </c>
      <c r="CQ322" s="518" t="str">
        <f>IF(AND(_6="B-767-300",'2026'!$L$4="CA",'2026'!$L$2=CQ309),'2026DATA'!$J$15,"")</f>
        <v/>
      </c>
      <c r="CR322" s="518" t="str">
        <f>IF(AND(_6="B-767-300",'2026'!$L$4="CA",'2026'!$L$2=CR309),'2026DATA'!$K$15,"")</f>
        <v/>
      </c>
      <c r="CS322" s="518" t="str">
        <f>IF(AND(_6="B-767-300",'2026'!$L$4="CA",'2026'!$L$2=CS309),'2026DATA'!$L$15,"")</f>
        <v/>
      </c>
      <c r="CT322" s="518" t="str">
        <f>IF(AND(_6="B-767-300",'2026'!$L$4="CA",'2026'!$L$2=CT309),'2026DATA'!$M$15,"")</f>
        <v/>
      </c>
      <c r="CU322" s="520" t="str">
        <f>IF(AND(_6="B-767-300",'2026'!$L$4="CA",'2026'!$L$2=CU309),'2026DATA'!$N$15,"")</f>
        <v/>
      </c>
    </row>
    <row r="323" spans="16:99" x14ac:dyDescent="0.25">
      <c r="P323" s="940"/>
      <c r="Q323" s="13" t="s">
        <v>62</v>
      </c>
      <c r="R323" s="518" t="str">
        <f>IF(AND(_1="B-767-300",'2026'!$L$4="FO",'2026'!$L$2=R309),'2026DATA'!$C$16,"")</f>
        <v/>
      </c>
      <c r="S323" s="518" t="str">
        <f>IF(AND(_1="B-767-300",'2026'!$L$4="FO",'2026'!$L$2=S309),'2026DATA'!$D$16,"")</f>
        <v/>
      </c>
      <c r="T323" s="518" t="str">
        <f>IF(AND(_1="B-767-300",'2026'!$L$4="FO",'2026'!$L$2=T309),'2026DATA'!$E$16,"")</f>
        <v/>
      </c>
      <c r="U323" s="518" t="str">
        <f>IF(AND(_1="B-767-300",'2026'!$L$4="FO",'2026'!$L$2=U309),'2026DATA'!$F$16,"")</f>
        <v/>
      </c>
      <c r="V323" s="518" t="str">
        <f>IF(AND(_1="B-767-300",'2026'!$L$4="FO",'2026'!$L$2=V309),'2026DATA'!$G$16,"")</f>
        <v/>
      </c>
      <c r="W323" s="518" t="str">
        <f>IF(AND(_1="B-767-300",'2026'!$L$4="FO",'2026'!$L$2=W309),'2026DATA'!$H$16,"")</f>
        <v/>
      </c>
      <c r="X323" s="518" t="str">
        <f>IF(AND(_1="B-767-300",'2026'!$L$4="FO",'2026'!$L$2=X309),'2026DATA'!$I$16,"")</f>
        <v/>
      </c>
      <c r="Y323" s="518" t="str">
        <f>IF(AND(_1="B-767-300",'2026'!$L$4="FO",'2026'!$L$2=Y309),'2026DATA'!$J$16,"")</f>
        <v/>
      </c>
      <c r="Z323" s="518" t="str">
        <f>IF(AND(_1="B-767-300",'2026'!$L$4="FO",'2026'!$L$2=Z309),'2026DATA'!$K$16,"")</f>
        <v/>
      </c>
      <c r="AA323" s="518" t="str">
        <f>IF(AND(_1="B-767-300",'2026'!$L$4="FO",'2026'!$L$2=AA309),'2026DATA'!$L$16,"")</f>
        <v/>
      </c>
      <c r="AB323" s="518" t="str">
        <f>IF(AND(_1="B-767-300",'2026'!$L$4="FO",'2026'!$L$2=AB309),'2026DATA'!$M$16,"")</f>
        <v/>
      </c>
      <c r="AC323" s="520" t="str">
        <f>IF(AND(_1="B-767-300",'2026'!$L$4="FO",'2026'!$L$2=AC309),'2026DATA'!$N$16,"")</f>
        <v/>
      </c>
      <c r="AD323" s="940"/>
      <c r="AE323" s="13" t="s">
        <v>62</v>
      </c>
      <c r="AF323" s="518" t="str">
        <f>IF(AND(_2="B-767-300",'2026'!$L$4="FO",'2026'!$L$2=AF309),'2026DATA'!$C$16,"")</f>
        <v/>
      </c>
      <c r="AG323" s="518" t="str">
        <f>IF(AND(_2="B-767-300",'2026'!$L$4="FO",'2026'!$L$2=AG309),'2026DATA'!$D$16,"")</f>
        <v/>
      </c>
      <c r="AH323" s="518" t="str">
        <f>IF(AND(_2="B-767-300",'2026'!$L$4="FO",'2026'!$L$2=AH309),'2026DATA'!$E$16,"")</f>
        <v/>
      </c>
      <c r="AI323" s="518" t="str">
        <f>IF(AND(_2="B-767-300",'2026'!$L$4="FO",'2026'!$L$2=AI309),'2026DATA'!$F$16,"")</f>
        <v/>
      </c>
      <c r="AJ323" s="518" t="str">
        <f>IF(AND(_2="B-767-300",'2026'!$L$4="FO",'2026'!$L$2=AJ309),'2026DATA'!$G$16,"")</f>
        <v/>
      </c>
      <c r="AK323" s="518" t="str">
        <f>IF(AND(_2="B-767-300",'2026'!$L$4="FO",'2026'!$L$2=AK309),'2026DATA'!$H$16,"")</f>
        <v/>
      </c>
      <c r="AL323" s="518" t="str">
        <f>IF(AND(_2="B-767-300",'2026'!$L$4="FO",'2026'!$L$2=AL309),'2026DATA'!$I$16,"")</f>
        <v/>
      </c>
      <c r="AM323" s="518" t="str">
        <f>IF(AND(_2="B-767-300",'2026'!$L$4="FO",'2026'!$L$2=AM309),'2026DATA'!$J$16,"")</f>
        <v/>
      </c>
      <c r="AN323" s="518" t="str">
        <f>IF(AND(_2="B-767-300",'2026'!$L$4="FO",'2026'!$L$2=AN309),'2026DATA'!$K$16,"")</f>
        <v/>
      </c>
      <c r="AO323" s="518" t="str">
        <f>IF(AND(_2="B-767-300",'2026'!$L$4="FO",'2026'!$L$2=AO309),'2026DATA'!$L$16,"")</f>
        <v/>
      </c>
      <c r="AP323" s="518" t="str">
        <f>IF(AND(_2="B-767-300",'2026'!$L$4="FO",'2026'!$L$2=AP309),'2026DATA'!$M$16,"")</f>
        <v/>
      </c>
      <c r="AQ323" s="520" t="str">
        <f>IF(AND(_2="B-767-300",'2026'!$L$4="FO",'2026'!$L$2=AQ309),'2026DATA'!$N$16,"")</f>
        <v/>
      </c>
      <c r="AR323" s="940"/>
      <c r="AS323" s="13" t="s">
        <v>62</v>
      </c>
      <c r="AT323" s="518" t="str">
        <f>IF(AND(_3="B-767-300",'2026'!$L$4="FO",'2026'!$L$2=AT309),'2026DATA'!$C$16,"")</f>
        <v/>
      </c>
      <c r="AU323" s="518" t="str">
        <f>IF(AND(_3="B-767-300",'2026'!$L$4="FO",'2026'!$L$2=AU309),'2026DATA'!$D$16,"")</f>
        <v/>
      </c>
      <c r="AV323" s="518" t="str">
        <f>IF(AND(_3="B-767-300",'2026'!$L$4="FO",'2026'!$L$2=AV309),'2026DATA'!$E$16,"")</f>
        <v/>
      </c>
      <c r="AW323" s="518" t="str">
        <f>IF(AND(_3="B-767-300",'2026'!$L$4="FO",'2026'!$L$2=AW309),'2026DATA'!$F$16,"")</f>
        <v/>
      </c>
      <c r="AX323" s="518" t="str">
        <f>IF(AND(_3="B-767-300",'2026'!$L$4="FO",'2026'!$L$2=AX309),'2026DATA'!$G$16,"")</f>
        <v/>
      </c>
      <c r="AY323" s="518" t="str">
        <f>IF(AND(_3="B-767-300",'2026'!$L$4="FO",'2026'!$L$2=AY309),'2026DATA'!$H$16,"")</f>
        <v/>
      </c>
      <c r="AZ323" s="518" t="str">
        <f>IF(AND(_3="B-767-300",'2026'!$L$4="FO",'2026'!$L$2=AZ309),'2026DATA'!$I$16,"")</f>
        <v/>
      </c>
      <c r="BA323" s="518" t="str">
        <f>IF(AND(_3="B-767-300",'2026'!$L$4="FO",'2026'!$L$2=BA309),'2026DATA'!$J$16,"")</f>
        <v/>
      </c>
      <c r="BB323" s="518" t="str">
        <f>IF(AND(_3="B-767-300",'2026'!$L$4="FO",'2026'!$L$2=BB309),'2026DATA'!$K$16,"")</f>
        <v/>
      </c>
      <c r="BC323" s="518" t="str">
        <f>IF(AND(_3="B-767-300",'2026'!$L$4="FO",'2026'!$L$2=BC309),'2026DATA'!$L$16,"")</f>
        <v/>
      </c>
      <c r="BD323" s="518" t="str">
        <f>IF(AND(_3="B-767-300",'2026'!$L$4="FO",'2026'!$L$2=BD309),'2026DATA'!$M$16,"")</f>
        <v/>
      </c>
      <c r="BE323" s="520" t="str">
        <f>IF(AND(_3="B-767-300",'2026'!$L$4="FO",'2026'!$L$2=BE309),'2026DATA'!$N$16,"")</f>
        <v/>
      </c>
      <c r="BF323" s="940"/>
      <c r="BG323" s="13" t="s">
        <v>62</v>
      </c>
      <c r="BH323" s="518" t="str">
        <f>IF(AND(_4="B-767-300",'2026'!$L$4="FO",'2026'!$L$2=BH309),'2026DATA'!$C$16,"")</f>
        <v/>
      </c>
      <c r="BI323" s="518" t="str">
        <f>IF(AND(_4="B-767-300",'2026'!$L$4="FO",'2026'!$L$2=BI309),'2026DATA'!$D$16,"")</f>
        <v/>
      </c>
      <c r="BJ323" s="518" t="str">
        <f>IF(AND(_4="B-767-300",'2026'!$L$4="FO",'2026'!$L$2=BJ309),'2026DATA'!$E$16,"")</f>
        <v/>
      </c>
      <c r="BK323" s="518" t="str">
        <f>IF(AND(_4="B-767-300",'2026'!$L$4="FO",'2026'!$L$2=BK309),'2026DATA'!$F$16,"")</f>
        <v/>
      </c>
      <c r="BL323" s="518" t="str">
        <f>IF(AND(_4="B-767-300",'2026'!$L$4="FO",'2026'!$L$2=BL309),'2026DATA'!$G$16,"")</f>
        <v/>
      </c>
      <c r="BM323" s="518" t="str">
        <f>IF(AND(_4="B-767-300",'2026'!$L$4="FO",'2026'!$L$2=BM309),'2026DATA'!$H$16,"")</f>
        <v/>
      </c>
      <c r="BN323" s="518" t="str">
        <f>IF(AND(_4="B-767-300",'2026'!$L$4="FO",'2026'!$L$2=BN309),'2026DATA'!$I$16,"")</f>
        <v/>
      </c>
      <c r="BO323" s="518" t="str">
        <f>IF(AND(_4="B-767-300",'2026'!$L$4="FO",'2026'!$L$2=BO309),'2026DATA'!$J$16,"")</f>
        <v/>
      </c>
      <c r="BP323" s="518" t="str">
        <f>IF(AND(_4="B-767-300",'2026'!$L$4="FO",'2026'!$L$2=BP309),'2026DATA'!$K$16,"")</f>
        <v/>
      </c>
      <c r="BQ323" s="518" t="str">
        <f>IF(AND(_4="B-767-300",'2026'!$L$4="FO",'2026'!$L$2=BQ309),'2026DATA'!$L$16,"")</f>
        <v/>
      </c>
      <c r="BR323" s="518" t="str">
        <f>IF(AND(_4="B-767-300",'2026'!$L$4="FO",'2026'!$L$2=BR309),'2026DATA'!$M$16,"")</f>
        <v/>
      </c>
      <c r="BS323" s="520" t="str">
        <f>IF(AND(_4="B-767-300",'2026'!$L$4="FO",'2026'!$L$2=BS309),'2026DATA'!$N$16,"")</f>
        <v/>
      </c>
      <c r="BT323" s="940"/>
      <c r="BU323" s="13" t="s">
        <v>62</v>
      </c>
      <c r="BV323" s="518" t="str">
        <f>IF(AND(_5="B-767-300",'2026'!$L$4="FO",'2026'!$L$2=BV309),'2026DATA'!$C$16,"")</f>
        <v/>
      </c>
      <c r="BW323" s="518" t="str">
        <f>IF(AND(_5="B-767-300",'2026'!$L$4="FO",'2026'!$L$2=BW309),'2026DATA'!$D$16,"")</f>
        <v/>
      </c>
      <c r="BX323" s="518" t="str">
        <f>IF(AND(_5="B-767-300",'2026'!$L$4="FO",'2026'!$L$2=BX309),'2026DATA'!$E$16,"")</f>
        <v/>
      </c>
      <c r="BY323" s="518" t="str">
        <f>IF(AND(_5="B-767-300",'2026'!$L$4="FO",'2026'!$L$2=BY309),'2026DATA'!$F$16,"")</f>
        <v/>
      </c>
      <c r="BZ323" s="518" t="str">
        <f>IF(AND(_5="B-767-300",'2026'!$L$4="FO",'2026'!$L$2=BZ309),'2026DATA'!$G$16,"")</f>
        <v/>
      </c>
      <c r="CA323" s="518" t="str">
        <f>IF(AND(_5="B-767-300",'2026'!$L$4="FO",'2026'!$L$2=CA309),'2026DATA'!$H$16,"")</f>
        <v/>
      </c>
      <c r="CB323" s="518" t="str">
        <f>IF(AND(_5="B-767-300",'2026'!$L$4="FO",'2026'!$L$2=CB309),'2026DATA'!$I$16,"")</f>
        <v/>
      </c>
      <c r="CC323" s="518" t="str">
        <f>IF(AND(_5="B-767-300",'2026'!$L$4="FO",'2026'!$L$2=CC309),'2026DATA'!$J$16,"")</f>
        <v/>
      </c>
      <c r="CD323" s="518" t="str">
        <f>IF(AND(_5="B-767-300",'2026'!$L$4="FO",'2026'!$L$2=CD309),'2026DATA'!$K$16,"")</f>
        <v/>
      </c>
      <c r="CE323" s="518" t="str">
        <f>IF(AND(_5="B-767-300",'2026'!$L$4="FO",'2026'!$L$2=CE309),'2026DATA'!$L$16,"")</f>
        <v/>
      </c>
      <c r="CF323" s="518" t="str">
        <f>IF(AND(_5="B-767-300",'2026'!$L$4="FO",'2026'!$L$2=CF309),'2026DATA'!$M$16,"")</f>
        <v/>
      </c>
      <c r="CG323" s="520" t="str">
        <f>IF(AND(_5="B-767-300",'2026'!$L$4="FO",'2026'!$L$2=CG309),'2026DATA'!$N$16,"")</f>
        <v/>
      </c>
      <c r="CH323" s="940"/>
      <c r="CI323" s="13" t="s">
        <v>62</v>
      </c>
      <c r="CJ323" s="518" t="str">
        <f>IF(AND(_6="B-767-300",'2026'!$L$4="FO",'2026'!$L$2=CJ309),'2026DATA'!$C$16,"")</f>
        <v/>
      </c>
      <c r="CK323" s="518" t="str">
        <f>IF(AND(_6="B-767-300",'2026'!$L$4="FO",'2026'!$L$2=CK309),'2026DATA'!$D$16,"")</f>
        <v/>
      </c>
      <c r="CL323" s="518" t="str">
        <f>IF(AND(_6="B-767-300",'2026'!$L$4="FO",'2026'!$L$2=CL309),'2026DATA'!$E$16,"")</f>
        <v/>
      </c>
      <c r="CM323" s="518" t="str">
        <f>IF(AND(_6="B-767-300",'2026'!$L$4="FO",'2026'!$L$2=CM309),'2026DATA'!$F$16,"")</f>
        <v/>
      </c>
      <c r="CN323" s="518" t="str">
        <f>IF(AND(_6="B-767-300",'2026'!$L$4="FO",'2026'!$L$2=CN309),'2026DATA'!$G$16,"")</f>
        <v/>
      </c>
      <c r="CO323" s="518" t="str">
        <f>IF(AND(_6="B-767-300",'2026'!$L$4="FO",'2026'!$L$2=CO309),'2026DATA'!$H$16,"")</f>
        <v/>
      </c>
      <c r="CP323" s="518" t="str">
        <f>IF(AND(_6="B-767-300",'2026'!$L$4="FO",'2026'!$L$2=CP309),'2026DATA'!$I$16,"")</f>
        <v/>
      </c>
      <c r="CQ323" s="518" t="str">
        <f>IF(AND(_6="B-767-300",'2026'!$L$4="FO",'2026'!$L$2=CQ309),'2026DATA'!$J$16,"")</f>
        <v/>
      </c>
      <c r="CR323" s="518" t="str">
        <f>IF(AND(_6="B-767-300",'2026'!$L$4="FO",'2026'!$L$2=CR309),'2026DATA'!$K$16,"")</f>
        <v/>
      </c>
      <c r="CS323" s="518" t="str">
        <f>IF(AND(_6="B-767-300",'2026'!$L$4="FO",'2026'!$L$2=CS309),'2026DATA'!$L$16,"")</f>
        <v/>
      </c>
      <c r="CT323" s="518" t="str">
        <f>IF(AND(_6="B-767-300",'2026'!$L$4="FO",'2026'!$L$2=CT309),'2026DATA'!$M$16,"")</f>
        <v/>
      </c>
      <c r="CU323" s="520" t="str">
        <f>IF(AND(_6="B-767-300",'2026'!$L$4="FO",'2026'!$L$2=CU309),'2026DATA'!$N$16,"")</f>
        <v/>
      </c>
    </row>
    <row r="324" spans="16:99" x14ac:dyDescent="0.25">
      <c r="P324" s="940" t="s">
        <v>68</v>
      </c>
      <c r="Q324" s="13" t="s">
        <v>61</v>
      </c>
      <c r="R324" s="518" t="str">
        <f>IF(AND(_1="B-767-200",'2026'!$L$4="CA",'2026'!$L$2=R309),'2026DATA'!$C$17,"")</f>
        <v/>
      </c>
      <c r="S324" s="518" t="str">
        <f>IF(AND(_1="B-767-200",'2026'!$L$4="CA",'2026'!$L$2=S309),'2026DATA'!$D$17,"")</f>
        <v/>
      </c>
      <c r="T324" s="518" t="str">
        <f>IF(AND(_1="B-767-200",'2026'!$L$4="CA",'2026'!$L$2=T309),'2026DATA'!$E$17,"")</f>
        <v/>
      </c>
      <c r="U324" s="518" t="str">
        <f>IF(AND(_1="B-767-200",'2026'!$L$4="CA",'2026'!$L$2=U309),'2026DATA'!$F$17,"")</f>
        <v/>
      </c>
      <c r="V324" s="518" t="str">
        <f>IF(AND(_1="B-767-200",'2026'!$L$4="CA",'2026'!$L$2=V309),'2026DATA'!$G$17,"")</f>
        <v/>
      </c>
      <c r="W324" s="518" t="str">
        <f>IF(AND(_1="B-767-200",'2026'!$L$4="CA",'2026'!$L$2=W309),'2026DATA'!$H$17,"")</f>
        <v/>
      </c>
      <c r="X324" s="518" t="str">
        <f>IF(AND(_1="B-767-200",'2026'!$L$4="CA",'2026'!$L$2=X309),'2026DATA'!$I$17,"")</f>
        <v/>
      </c>
      <c r="Y324" s="518" t="str">
        <f>IF(AND(_1="B-767-200",'2026'!$L$4="CA",'2026'!$L$2=Y309),'2026DATA'!$J$17,"")</f>
        <v/>
      </c>
      <c r="Z324" s="518" t="str">
        <f>IF(AND(_1="B-767-200",'2026'!$L$4="CA",'2026'!$L$2=Z309),'2026DATA'!$K$17,"")</f>
        <v/>
      </c>
      <c r="AA324" s="518" t="str">
        <f>IF(AND(_1="B-767-200",'2026'!$L$4="CA",'2026'!$L$2=AA309),'2026DATA'!$L$17,"")</f>
        <v/>
      </c>
      <c r="AB324" s="518" t="str">
        <f>IF(AND(_1="B-767-200",'2026'!$L$4="CA",'2026'!$L$2=AB309),'2026DATA'!$M$17,"")</f>
        <v/>
      </c>
      <c r="AC324" s="520" t="str">
        <f>IF(AND(_1="B-767-200",'2026'!$L$4="CA",'2026'!$L$2=AC309),'2026DATA'!$N$17,"")</f>
        <v/>
      </c>
      <c r="AD324" s="940" t="s">
        <v>68</v>
      </c>
      <c r="AE324" s="13" t="s">
        <v>61</v>
      </c>
      <c r="AF324" s="518" t="str">
        <f>IF(AND(_2="B-767-200",'2026'!$L$4="CA",'2026'!$L$2=AF309),'2026DATA'!$C$17,"")</f>
        <v/>
      </c>
      <c r="AG324" s="518" t="str">
        <f>IF(AND(_2="B-767-200",'2026'!$L$4="CA",'2026'!$L$2=AG309),'2026DATA'!$D$17,"")</f>
        <v/>
      </c>
      <c r="AH324" s="518" t="str">
        <f>IF(AND(_2="B-767-200",'2026'!$L$4="CA",'2026'!$L$2=AH309),'2026DATA'!$E$17,"")</f>
        <v/>
      </c>
      <c r="AI324" s="518" t="str">
        <f>IF(AND(_2="B-767-200",'2026'!$L$4="CA",'2026'!$L$2=AI309),'2026DATA'!$F$17,"")</f>
        <v/>
      </c>
      <c r="AJ324" s="518" t="str">
        <f>IF(AND(_2="B-767-200",'2026'!$L$4="CA",'2026'!$L$2=AJ309),'2026DATA'!$G$17,"")</f>
        <v/>
      </c>
      <c r="AK324" s="518" t="str">
        <f>IF(AND(_2="B-767-200",'2026'!$L$4="CA",'2026'!$L$2=AK309),'2026DATA'!$H$17,"")</f>
        <v/>
      </c>
      <c r="AL324" s="518" t="str">
        <f>IF(AND(_2="B-767-200",'2026'!$L$4="CA",'2026'!$L$2=AL309),'2026DATA'!$I$17,"")</f>
        <v/>
      </c>
      <c r="AM324" s="518" t="str">
        <f>IF(AND(_2="B-767-200",'2026'!$L$4="CA",'2026'!$L$2=AM309),'2026DATA'!$J$17,"")</f>
        <v/>
      </c>
      <c r="AN324" s="518" t="str">
        <f>IF(AND(_2="B-767-200",'2026'!$L$4="CA",'2026'!$L$2=AN309),'2026DATA'!$K$17,"")</f>
        <v/>
      </c>
      <c r="AO324" s="518" t="str">
        <f>IF(AND(_2="B-767-200",'2026'!$L$4="CA",'2026'!$L$2=AO309),'2026DATA'!$L$17,"")</f>
        <v/>
      </c>
      <c r="AP324" s="518" t="str">
        <f>IF(AND(_2="B-767-200",'2026'!$L$4="CA",'2026'!$L$2=AP309),'2026DATA'!$M$17,"")</f>
        <v/>
      </c>
      <c r="AQ324" s="520" t="str">
        <f>IF(AND(_2="B-767-200",'2026'!$L$4="CA",'2026'!$L$2=AQ309),'2026DATA'!$N$17,"")</f>
        <v/>
      </c>
      <c r="AR324" s="940" t="s">
        <v>68</v>
      </c>
      <c r="AS324" s="13" t="s">
        <v>61</v>
      </c>
      <c r="AT324" s="518" t="str">
        <f>IF(AND(_3="B-767-200",'2026'!$L$4="CA",'2026'!$L$2=AT309),'2026DATA'!$C$17,"")</f>
        <v/>
      </c>
      <c r="AU324" s="518" t="str">
        <f>IF(AND(_3="B-767-200",'2026'!$L$4="CA",'2026'!$L$2=AU309),'2026DATA'!$D$17,"")</f>
        <v/>
      </c>
      <c r="AV324" s="518" t="str">
        <f>IF(AND(_3="B-767-200",'2026'!$L$4="CA",'2026'!$L$2=AV309),'2026DATA'!$E$17,"")</f>
        <v/>
      </c>
      <c r="AW324" s="518" t="str">
        <f>IF(AND(_3="B-767-200",'2026'!$L$4="CA",'2026'!$L$2=AW309),'2026DATA'!$F$17,"")</f>
        <v/>
      </c>
      <c r="AX324" s="518" t="str">
        <f>IF(AND(_3="B-767-200",'2026'!$L$4="CA",'2026'!$L$2=AX309),'2026DATA'!$G$17,"")</f>
        <v/>
      </c>
      <c r="AY324" s="518" t="str">
        <f>IF(AND(_3="B-767-200",'2026'!$L$4="CA",'2026'!$L$2=AY309),'2026DATA'!$H$17,"")</f>
        <v/>
      </c>
      <c r="AZ324" s="518" t="str">
        <f>IF(AND(_3="B-767-200",'2026'!$L$4="CA",'2026'!$L$2=AZ309),'2026DATA'!$I$17,"")</f>
        <v/>
      </c>
      <c r="BA324" s="518" t="str">
        <f>IF(AND(_3="B-767-200",'2026'!$L$4="CA",'2026'!$L$2=BA309),'2026DATA'!$J$17,"")</f>
        <v/>
      </c>
      <c r="BB324" s="518" t="str">
        <f>IF(AND(_3="B-767-200",'2026'!$L$4="CA",'2026'!$L$2=BB309),'2026DATA'!$K$17,"")</f>
        <v/>
      </c>
      <c r="BC324" s="518" t="str">
        <f>IF(AND(_3="B-767-200",'2026'!$L$4="CA",'2026'!$L$2=BC309),'2026DATA'!$L$17,"")</f>
        <v/>
      </c>
      <c r="BD324" s="518" t="str">
        <f>IF(AND(_3="B-767-200",'2026'!$L$4="CA",'2026'!$L$2=BD309),'2026DATA'!$M$17,"")</f>
        <v/>
      </c>
      <c r="BE324" s="520" t="str">
        <f>IF(AND(_3="B-767-200",'2026'!$L$4="CA",'2026'!$L$2=BE309),'2026DATA'!$N$17,"")</f>
        <v/>
      </c>
      <c r="BF324" s="940" t="s">
        <v>68</v>
      </c>
      <c r="BG324" s="13" t="s">
        <v>61</v>
      </c>
      <c r="BH324" s="518" t="str">
        <f>IF(AND(_4="B-767-200",'2026'!$L$4="CA",'2026'!$L$2=BH309),'2026DATA'!$C$17,"")</f>
        <v/>
      </c>
      <c r="BI324" s="518" t="str">
        <f>IF(AND(_4="B-767-200",'2026'!$L$4="CA",'2026'!$L$2=BI309),'2026DATA'!$D$17,"")</f>
        <v/>
      </c>
      <c r="BJ324" s="518" t="str">
        <f>IF(AND(_4="B-767-200",'2026'!$L$4="CA",'2026'!$L$2=BJ309),'2026DATA'!$E$17,"")</f>
        <v/>
      </c>
      <c r="BK324" s="518" t="str">
        <f>IF(AND(_4="B-767-200",'2026'!$L$4="CA",'2026'!$L$2=BK309),'2026DATA'!$F$17,"")</f>
        <v/>
      </c>
      <c r="BL324" s="518" t="str">
        <f>IF(AND(_4="B-767-200",'2026'!$L$4="CA",'2026'!$L$2=BL309),'2026DATA'!$G$17,"")</f>
        <v/>
      </c>
      <c r="BM324" s="518" t="str">
        <f>IF(AND(_4="B-767-200",'2026'!$L$4="CA",'2026'!$L$2=BM309),'2026DATA'!$H$17,"")</f>
        <v/>
      </c>
      <c r="BN324" s="518" t="str">
        <f>IF(AND(_4="B-767-200",'2026'!$L$4="CA",'2026'!$L$2=BN309),'2026DATA'!$I$17,"")</f>
        <v/>
      </c>
      <c r="BO324" s="518" t="str">
        <f>IF(AND(_4="B-767-200",'2026'!$L$4="CA",'2026'!$L$2=BO309),'2026DATA'!$J$17,"")</f>
        <v/>
      </c>
      <c r="BP324" s="518" t="str">
        <f>IF(AND(_4="B-767-200",'2026'!$L$4="CA",'2026'!$L$2=BP309),'2026DATA'!$K$17,"")</f>
        <v/>
      </c>
      <c r="BQ324" s="518" t="str">
        <f>IF(AND(_4="B-767-200",'2026'!$L$4="CA",'2026'!$L$2=BQ309),'2026DATA'!$L$17,"")</f>
        <v/>
      </c>
      <c r="BR324" s="518" t="str">
        <f>IF(AND(_4="B-767-200",'2026'!$L$4="CA",'2026'!$L$2=BR309),'2026DATA'!$M$17,"")</f>
        <v/>
      </c>
      <c r="BS324" s="520" t="str">
        <f>IF(AND(_4="B-767-200",'2026'!$L$4="CA",'2026'!$L$2=BS309),'2026DATA'!$N$17,"")</f>
        <v/>
      </c>
      <c r="BT324" s="940" t="s">
        <v>68</v>
      </c>
      <c r="BU324" s="13" t="s">
        <v>61</v>
      </c>
      <c r="BV324" s="518" t="str">
        <f>IF(AND(_5="B-767-200",'2026'!$L$4="CA",'2026'!$L$2=BV309),'2026DATA'!$C$17,"")</f>
        <v/>
      </c>
      <c r="BW324" s="518" t="str">
        <f>IF(AND(_5="B-767-200",'2026'!$L$4="CA",'2026'!$L$2=BW309),'2026DATA'!$D$17,"")</f>
        <v/>
      </c>
      <c r="BX324" s="518" t="str">
        <f>IF(AND(_5="B-767-200",'2026'!$L$4="CA",'2026'!$L$2=BX309),'2026DATA'!$E$17,"")</f>
        <v/>
      </c>
      <c r="BY324" s="518" t="str">
        <f>IF(AND(_5="B-767-200",'2026'!$L$4="CA",'2026'!$L$2=BY309),'2026DATA'!$F$17,"")</f>
        <v/>
      </c>
      <c r="BZ324" s="518" t="str">
        <f>IF(AND(_5="B-767-200",'2026'!$L$4="CA",'2026'!$L$2=BZ309),'2026DATA'!$G$17,"")</f>
        <v/>
      </c>
      <c r="CA324" s="518" t="str">
        <f>IF(AND(_5="B-767-200",'2026'!$L$4="CA",'2026'!$L$2=CA309),'2026DATA'!$H$17,"")</f>
        <v/>
      </c>
      <c r="CB324" s="518" t="str">
        <f>IF(AND(_5="B-767-200",'2026'!$L$4="CA",'2026'!$L$2=CB309),'2026DATA'!$I$17,"")</f>
        <v/>
      </c>
      <c r="CC324" s="518" t="str">
        <f>IF(AND(_5="B-767-200",'2026'!$L$4="CA",'2026'!$L$2=CC309),'2026DATA'!$J$17,"")</f>
        <v/>
      </c>
      <c r="CD324" s="518" t="str">
        <f>IF(AND(_5="B-767-200",'2026'!$L$4="CA",'2026'!$L$2=CD309),'2026DATA'!$K$17,"")</f>
        <v/>
      </c>
      <c r="CE324" s="518" t="str">
        <f>IF(AND(_5="B-767-200",'2026'!$L$4="CA",'2026'!$L$2=CE309),'2026DATA'!$L$17,"")</f>
        <v/>
      </c>
      <c r="CF324" s="518" t="str">
        <f>IF(AND(_5="B-767-200",'2026'!$L$4="CA",'2026'!$L$2=CF309),'2026DATA'!$M$17,"")</f>
        <v/>
      </c>
      <c r="CG324" s="520" t="str">
        <f>IF(AND(_5="B-767-200",'2026'!$L$4="CA",'2026'!$L$2=CG309),'2026DATA'!$N$17,"")</f>
        <v/>
      </c>
      <c r="CH324" s="940" t="s">
        <v>68</v>
      </c>
      <c r="CI324" s="13" t="s">
        <v>61</v>
      </c>
      <c r="CJ324" s="518" t="str">
        <f>IF(AND(_6="B-767-200",'2026'!$L$4="CA",'2026'!$L$2=CJ309),'2026DATA'!$C$17,"")</f>
        <v/>
      </c>
      <c r="CK324" s="518" t="str">
        <f>IF(AND(_6="B-767-200",'2026'!$L$4="CA",'2026'!$L$2=CK309),'2026DATA'!$D$17,"")</f>
        <v/>
      </c>
      <c r="CL324" s="518" t="str">
        <f>IF(AND(_6="B-767-200",'2026'!$L$4="CA",'2026'!$L$2=CL309),'2026DATA'!$E$17,"")</f>
        <v/>
      </c>
      <c r="CM324" s="518" t="str">
        <f>IF(AND(_6="B-767-200",'2026'!$L$4="CA",'2026'!$L$2=CM309),'2026DATA'!$F$17,"")</f>
        <v/>
      </c>
      <c r="CN324" s="518" t="str">
        <f>IF(AND(_6="B-767-200",'2026'!$L$4="CA",'2026'!$L$2=CN309),'2026DATA'!$G$17,"")</f>
        <v/>
      </c>
      <c r="CO324" s="518" t="str">
        <f>IF(AND(_6="B-767-200",'2026'!$L$4="CA",'2026'!$L$2=CO309),'2026DATA'!$H$17,"")</f>
        <v/>
      </c>
      <c r="CP324" s="518" t="str">
        <f>IF(AND(_6="B-767-200",'2026'!$L$4="CA",'2026'!$L$2=CP309),'2026DATA'!$I$17,"")</f>
        <v/>
      </c>
      <c r="CQ324" s="518" t="str">
        <f>IF(AND(_6="B-767-200",'2026'!$L$4="CA",'2026'!$L$2=CQ309),'2026DATA'!$J$17,"")</f>
        <v/>
      </c>
      <c r="CR324" s="518" t="str">
        <f>IF(AND(_6="B-767-200",'2026'!$L$4="CA",'2026'!$L$2=CR309),'2026DATA'!$K$17,"")</f>
        <v/>
      </c>
      <c r="CS324" s="518" t="str">
        <f>IF(AND(_6="B-767-200",'2026'!$L$4="CA",'2026'!$L$2=CS309),'2026DATA'!$L$17,"")</f>
        <v/>
      </c>
      <c r="CT324" s="518" t="str">
        <f>IF(AND(_6="B-767-200",'2026'!$L$4="CA",'2026'!$L$2=CT309),'2026DATA'!$M$17,"")</f>
        <v/>
      </c>
      <c r="CU324" s="520" t="str">
        <f>IF(AND(_6="B-767-200",'2026'!$L$4="CA",'2026'!$L$2=CU309),'2026DATA'!$N$17,"")</f>
        <v/>
      </c>
    </row>
    <row r="325" spans="16:99" x14ac:dyDescent="0.25">
      <c r="P325" s="940"/>
      <c r="Q325" s="13" t="s">
        <v>62</v>
      </c>
      <c r="R325" s="518" t="str">
        <f>IF(AND(_1="B-767-200",'2026'!$L$4="FO",'2026'!$L$2=R309),'2026DATA'!$C$18,"")</f>
        <v/>
      </c>
      <c r="S325" s="518" t="str">
        <f>IF(AND(_1="B-767-200",'2026'!$L$4="FO",'2026'!$L$2=S309),'2026DATA'!$D$18,"")</f>
        <v/>
      </c>
      <c r="T325" s="518" t="str">
        <f>IF(AND(_1="B-767-200",'2026'!$L$4="FO",'2026'!$L$2=T309),'2026DATA'!$E$18,"")</f>
        <v/>
      </c>
      <c r="U325" s="518" t="str">
        <f>IF(AND(_1="B-767-200",'2026'!$L$4="FO",'2026'!$L$2=U309),'2026DATA'!$F$18,"")</f>
        <v/>
      </c>
      <c r="V325" s="518" t="str">
        <f>IF(AND(_1="B-767-200",'2026'!$L$4="FO",'2026'!$L$2=V309),'2026DATA'!$G$18,"")</f>
        <v/>
      </c>
      <c r="W325" s="518" t="str">
        <f>IF(AND(_1="B-767-200",'2026'!$L$4="FO",'2026'!$L$2=W309),'2026DATA'!$H$18,"")</f>
        <v/>
      </c>
      <c r="X325" s="518" t="str">
        <f>IF(AND(_1="B-767-200",'2026'!$L$4="FO",'2026'!$L$2=X309),'2026DATA'!$I$18,"")</f>
        <v/>
      </c>
      <c r="Y325" s="518" t="str">
        <f>IF(AND(_1="B-767-200",'2026'!$L$4="FO",'2026'!$L$2=Y309),'2026DATA'!$J$18,"")</f>
        <v/>
      </c>
      <c r="Z325" s="518" t="str">
        <f>IF(AND(_1="B-767-200",'2026'!$L$4="FO",'2026'!$L$2=Z309),'2026DATA'!$K$18,"")</f>
        <v/>
      </c>
      <c r="AA325" s="518" t="str">
        <f>IF(AND(_1="B-767-200",'2026'!$L$4="FO",'2026'!$L$2=AA309),'2026DATA'!$L$18,"")</f>
        <v/>
      </c>
      <c r="AB325" s="518" t="str">
        <f>IF(AND(_1="B-767-200",'2026'!$L$4="FO",'2026'!$L$2=AB309),'2026DATA'!$M$18,"")</f>
        <v/>
      </c>
      <c r="AC325" s="520" t="str">
        <f>IF(AND(_1="B-767-200",'2026'!$L$4="FO",'2026'!$L$2=AC309),'2026DATA'!$N$18,"")</f>
        <v/>
      </c>
      <c r="AD325" s="940"/>
      <c r="AE325" s="13" t="s">
        <v>62</v>
      </c>
      <c r="AF325" s="518" t="str">
        <f>IF(AND(_2="B-767-200",'2026'!$L$4="FO",'2026'!$L$2=AF309),'2026DATA'!$C$18,"")</f>
        <v/>
      </c>
      <c r="AG325" s="518" t="str">
        <f>IF(AND(_2="B-767-200",'2026'!$L$4="FO",'2026'!$L$2=AG309),'2026DATA'!$D$18,"")</f>
        <v/>
      </c>
      <c r="AH325" s="518" t="str">
        <f>IF(AND(_2="B-767-200",'2026'!$L$4="FO",'2026'!$L$2=AH309),'2026DATA'!$E$18,"")</f>
        <v/>
      </c>
      <c r="AI325" s="518" t="str">
        <f>IF(AND(_2="B-767-200",'2026'!$L$4="FO",'2026'!$L$2=AI309),'2026DATA'!$F$18,"")</f>
        <v/>
      </c>
      <c r="AJ325" s="518" t="str">
        <f>IF(AND(_2="B-767-200",'2026'!$L$4="FO",'2026'!$L$2=AJ309),'2026DATA'!$G$18,"")</f>
        <v/>
      </c>
      <c r="AK325" s="518" t="str">
        <f>IF(AND(_2="B-767-200",'2026'!$L$4="FO",'2026'!$L$2=AK309),'2026DATA'!$H$18,"")</f>
        <v/>
      </c>
      <c r="AL325" s="518" t="str">
        <f>IF(AND(_2="B-767-200",'2026'!$L$4="FO",'2026'!$L$2=AL309),'2026DATA'!$I$18,"")</f>
        <v/>
      </c>
      <c r="AM325" s="518" t="str">
        <f>IF(AND(_2="B-767-200",'2026'!$L$4="FO",'2026'!$L$2=AM309),'2026DATA'!$J$18,"")</f>
        <v/>
      </c>
      <c r="AN325" s="518" t="str">
        <f>IF(AND(_2="B-767-200",'2026'!$L$4="FO",'2026'!$L$2=AN309),'2026DATA'!$K$18,"")</f>
        <v/>
      </c>
      <c r="AO325" s="518" t="str">
        <f>IF(AND(_2="B-767-200",'2026'!$L$4="FO",'2026'!$L$2=AO309),'2026DATA'!$L$18,"")</f>
        <v/>
      </c>
      <c r="AP325" s="518" t="str">
        <f>IF(AND(_2="B-767-200",'2026'!$L$4="FO",'2026'!$L$2=AP309),'2026DATA'!$M$18,"")</f>
        <v/>
      </c>
      <c r="AQ325" s="520" t="str">
        <f>IF(AND(_2="B-767-200",'2026'!$L$4="FO",'2026'!$L$2=AQ309),'2026DATA'!$N$18,"")</f>
        <v/>
      </c>
      <c r="AR325" s="940"/>
      <c r="AS325" s="13" t="s">
        <v>62</v>
      </c>
      <c r="AT325" s="518" t="str">
        <f>IF(AND(_3="B-767-200",'2026'!$L$4="FO",'2026'!$L$2=AT309),'2026DATA'!$C$18,"")</f>
        <v/>
      </c>
      <c r="AU325" s="518" t="str">
        <f>IF(AND(_3="B-767-200",'2026'!$L$4="FO",'2026'!$L$2=AU309),'2026DATA'!$D$18,"")</f>
        <v/>
      </c>
      <c r="AV325" s="518" t="str">
        <f>IF(AND(_3="B-767-200",'2026'!$L$4="FO",'2026'!$L$2=AV309),'2026DATA'!$E$18,"")</f>
        <v/>
      </c>
      <c r="AW325" s="518" t="str">
        <f>IF(AND(_3="B-767-200",'2026'!$L$4="FO",'2026'!$L$2=AW309),'2026DATA'!$F$18,"")</f>
        <v/>
      </c>
      <c r="AX325" s="518" t="str">
        <f>IF(AND(_3="B-767-200",'2026'!$L$4="FO",'2026'!$L$2=AX309),'2026DATA'!$G$18,"")</f>
        <v/>
      </c>
      <c r="AY325" s="518" t="str">
        <f>IF(AND(_3="B-767-200",'2026'!$L$4="FO",'2026'!$L$2=AY309),'2026DATA'!$H$18,"")</f>
        <v/>
      </c>
      <c r="AZ325" s="518" t="str">
        <f>IF(AND(_3="B-767-200",'2026'!$L$4="FO",'2026'!$L$2=AZ309),'2026DATA'!$I$18,"")</f>
        <v/>
      </c>
      <c r="BA325" s="518" t="str">
        <f>IF(AND(_3="B-767-200",'2026'!$L$4="FO",'2026'!$L$2=BA309),'2026DATA'!$J$18,"")</f>
        <v/>
      </c>
      <c r="BB325" s="518" t="str">
        <f>IF(AND(_3="B-767-200",'2026'!$L$4="FO",'2026'!$L$2=BB309),'2026DATA'!$K$18,"")</f>
        <v/>
      </c>
      <c r="BC325" s="518" t="str">
        <f>IF(AND(_3="B-767-200",'2026'!$L$4="FO",'2026'!$L$2=BC309),'2026DATA'!$L$18,"")</f>
        <v/>
      </c>
      <c r="BD325" s="518" t="str">
        <f>IF(AND(_3="B-767-200",'2026'!$L$4="FO",'2026'!$L$2=BD309),'2026DATA'!$M$18,"")</f>
        <v/>
      </c>
      <c r="BE325" s="520" t="str">
        <f>IF(AND(_3="B-767-200",'2026'!$L$4="FO",'2026'!$L$2=BE309),'2026DATA'!$N$18,"")</f>
        <v/>
      </c>
      <c r="BF325" s="940"/>
      <c r="BG325" s="13" t="s">
        <v>62</v>
      </c>
      <c r="BH325" s="518" t="str">
        <f>IF(AND(_4="B-767-200",'2026'!$L$4="FO",'2026'!$L$2=BH309),'2026DATA'!$C$18,"")</f>
        <v/>
      </c>
      <c r="BI325" s="518" t="str">
        <f>IF(AND(_4="B-767-200",'2026'!$L$4="FO",'2026'!$L$2=BI309),'2026DATA'!$D$18,"")</f>
        <v/>
      </c>
      <c r="BJ325" s="518" t="str">
        <f>IF(AND(_4="B-767-200",'2026'!$L$4="FO",'2026'!$L$2=BJ309),'2026DATA'!$E$18,"")</f>
        <v/>
      </c>
      <c r="BK325" s="518" t="str">
        <f>IF(AND(_4="B-767-200",'2026'!$L$4="FO",'2026'!$L$2=BK309),'2026DATA'!$F$18,"")</f>
        <v/>
      </c>
      <c r="BL325" s="518" t="str">
        <f>IF(AND(_4="B-767-200",'2026'!$L$4="FO",'2026'!$L$2=BL309),'2026DATA'!$G$18,"")</f>
        <v/>
      </c>
      <c r="BM325" s="518" t="str">
        <f>IF(AND(_4="B-767-200",'2026'!$L$4="FO",'2026'!$L$2=BM309),'2026DATA'!$H$18,"")</f>
        <v/>
      </c>
      <c r="BN325" s="518" t="str">
        <f>IF(AND(_4="B-767-200",'2026'!$L$4="FO",'2026'!$L$2=BN309),'2026DATA'!$I$18,"")</f>
        <v/>
      </c>
      <c r="BO325" s="518" t="str">
        <f>IF(AND(_4="B-767-200",'2026'!$L$4="FO",'2026'!$L$2=BO309),'2026DATA'!$J$18,"")</f>
        <v/>
      </c>
      <c r="BP325" s="518" t="str">
        <f>IF(AND(_4="B-767-200",'2026'!$L$4="FO",'2026'!$L$2=BP309),'2026DATA'!$K$18,"")</f>
        <v/>
      </c>
      <c r="BQ325" s="518" t="str">
        <f>IF(AND(_4="B-767-200",'2026'!$L$4="FO",'2026'!$L$2=BQ309),'2026DATA'!$L$18,"")</f>
        <v/>
      </c>
      <c r="BR325" s="518" t="str">
        <f>IF(AND(_4="B-767-200",'2026'!$L$4="FO",'2026'!$L$2=BR309),'2026DATA'!$M$18,"")</f>
        <v/>
      </c>
      <c r="BS325" s="520" t="str">
        <f>IF(AND(_4="B-767-200",'2026'!$L$4="FO",'2026'!$L$2=BS309),'2026DATA'!$N$18,"")</f>
        <v/>
      </c>
      <c r="BT325" s="940"/>
      <c r="BU325" s="13" t="s">
        <v>62</v>
      </c>
      <c r="BV325" s="518" t="str">
        <f>IF(AND(_5="B-767-200",'2026'!$L$4="FO",'2026'!$L$2=BV309),'2026DATA'!$C$18,"")</f>
        <v/>
      </c>
      <c r="BW325" s="518" t="str">
        <f>IF(AND(_5="B-767-200",'2026'!$L$4="FO",'2026'!$L$2=BW309),'2026DATA'!$D$18,"")</f>
        <v/>
      </c>
      <c r="BX325" s="518" t="str">
        <f>IF(AND(_5="B-767-200",'2026'!$L$4="FO",'2026'!$L$2=BX309),'2026DATA'!$E$18,"")</f>
        <v/>
      </c>
      <c r="BY325" s="518" t="str">
        <f>IF(AND(_5="B-767-200",'2026'!$L$4="FO",'2026'!$L$2=BY309),'2026DATA'!$F$18,"")</f>
        <v/>
      </c>
      <c r="BZ325" s="518" t="str">
        <f>IF(AND(_5="B-767-200",'2026'!$L$4="FO",'2026'!$L$2=BZ309),'2026DATA'!$G$18,"")</f>
        <v/>
      </c>
      <c r="CA325" s="518" t="str">
        <f>IF(AND(_5="B-767-200",'2026'!$L$4="FO",'2026'!$L$2=CA309),'2026DATA'!$H$18,"")</f>
        <v/>
      </c>
      <c r="CB325" s="518" t="str">
        <f>IF(AND(_5="B-767-200",'2026'!$L$4="FO",'2026'!$L$2=CB309),'2026DATA'!$I$18,"")</f>
        <v/>
      </c>
      <c r="CC325" s="518" t="str">
        <f>IF(AND(_5="B-767-200",'2026'!$L$4="FO",'2026'!$L$2=CC309),'2026DATA'!$J$18,"")</f>
        <v/>
      </c>
      <c r="CD325" s="518" t="str">
        <f>IF(AND(_5="B-767-200",'2026'!$L$4="FO",'2026'!$L$2=CD309),'2026DATA'!$K$18,"")</f>
        <v/>
      </c>
      <c r="CE325" s="518" t="str">
        <f>IF(AND(_5="B-767-200",'2026'!$L$4="FO",'2026'!$L$2=CE309),'2026DATA'!$L$18,"")</f>
        <v/>
      </c>
      <c r="CF325" s="518" t="str">
        <f>IF(AND(_5="B-767-200",'2026'!$L$4="FO",'2026'!$L$2=CF309),'2026DATA'!$M$18,"")</f>
        <v/>
      </c>
      <c r="CG325" s="520" t="str">
        <f>IF(AND(_5="B-767-200",'2026'!$L$4="FO",'2026'!$L$2=CG309),'2026DATA'!$N$18,"")</f>
        <v/>
      </c>
      <c r="CH325" s="940"/>
      <c r="CI325" s="13" t="s">
        <v>62</v>
      </c>
      <c r="CJ325" s="518" t="str">
        <f>IF(AND(_6="B-767-200",'2026'!$L$4="FO",'2026'!$L$2=CJ309),'2026DATA'!$C$18,"")</f>
        <v/>
      </c>
      <c r="CK325" s="518" t="str">
        <f>IF(AND(_6="B-767-200",'2026'!$L$4="FO",'2026'!$L$2=CK309),'2026DATA'!$D$18,"")</f>
        <v/>
      </c>
      <c r="CL325" s="518" t="str">
        <f>IF(AND(_6="B-767-200",'2026'!$L$4="FO",'2026'!$L$2=CL309),'2026DATA'!$E$18,"")</f>
        <v/>
      </c>
      <c r="CM325" s="518" t="str">
        <f>IF(AND(_6="B-767-200",'2026'!$L$4="FO",'2026'!$L$2=CM309),'2026DATA'!$F$18,"")</f>
        <v/>
      </c>
      <c r="CN325" s="518" t="str">
        <f>IF(AND(_6="B-767-200",'2026'!$L$4="FO",'2026'!$L$2=CN309),'2026DATA'!$G$18,"")</f>
        <v/>
      </c>
      <c r="CO325" s="518" t="str">
        <f>IF(AND(_6="B-767-200",'2026'!$L$4="FO",'2026'!$L$2=CO309),'2026DATA'!$H$18,"")</f>
        <v/>
      </c>
      <c r="CP325" s="518" t="str">
        <f>IF(AND(_6="B-767-200",'2026'!$L$4="FO",'2026'!$L$2=CP309),'2026DATA'!$I$18,"")</f>
        <v/>
      </c>
      <c r="CQ325" s="518" t="str">
        <f>IF(AND(_6="B-767-200",'2026'!$L$4="FO",'2026'!$L$2=CQ309),'2026DATA'!$J$18,"")</f>
        <v/>
      </c>
      <c r="CR325" s="518" t="str">
        <f>IF(AND(_6="B-767-200",'2026'!$L$4="FO",'2026'!$L$2=CR309),'2026DATA'!$K$18,"")</f>
        <v/>
      </c>
      <c r="CS325" s="518" t="str">
        <f>IF(AND(_6="B-767-200",'2026'!$L$4="FO",'2026'!$L$2=CS309),'2026DATA'!$L$18,"")</f>
        <v/>
      </c>
      <c r="CT325" s="518" t="str">
        <f>IF(AND(_6="B-767-200",'2026'!$L$4="FO",'2026'!$L$2=CT309),'2026DATA'!$M$18,"")</f>
        <v/>
      </c>
      <c r="CU325" s="520" t="str">
        <f>IF(AND(_6="B-767-200",'2026'!$L$4="FO",'2026'!$L$2=CU309),'2026DATA'!$N$18,"")</f>
        <v/>
      </c>
    </row>
    <row r="326" spans="16:99" x14ac:dyDescent="0.25">
      <c r="P326" s="940" t="s">
        <v>45</v>
      </c>
      <c r="Q326" s="13" t="s">
        <v>61</v>
      </c>
      <c r="R326" s="518" t="str">
        <f>IF(AND(_1="B-757",'2026'!$L$4="CA",'2026'!$L$2=R309),'2026DATA'!$C$19,"")</f>
        <v/>
      </c>
      <c r="S326" s="518" t="str">
        <f>IF(AND(_1="B-757",'2026'!$L$4="CA",'2026'!$L$2=S309),'2026DATA'!$D$19,"")</f>
        <v/>
      </c>
      <c r="T326" s="518" t="str">
        <f>IF(AND(_1="B-757",'2026'!$L$4="CA",'2026'!$L$2=T309),'2026DATA'!$E$19,"")</f>
        <v/>
      </c>
      <c r="U326" s="518" t="str">
        <f>IF(AND(_1="B-757",'2026'!$L$4="CA",'2026'!$L$2=U309),'2026DATA'!$F$19,"")</f>
        <v/>
      </c>
      <c r="V326" s="518" t="str">
        <f>IF(AND(_1="B-757",'2026'!$L$4="CA",'2026'!$L$2=V309),'2026DATA'!$G$19,"")</f>
        <v/>
      </c>
      <c r="W326" s="518" t="str">
        <f>IF(AND(_1="B-757",'2026'!$L$4="CA",'2026'!$L$2=W309),'2026DATA'!$H$19,"")</f>
        <v/>
      </c>
      <c r="X326" s="518" t="str">
        <f>IF(AND(_1="B-757",'2026'!$L$4="CA",'2026'!$L$2=X309),'2026DATA'!$I$19,"")</f>
        <v/>
      </c>
      <c r="Y326" s="518" t="str">
        <f>IF(AND(_1="B-757",'2026'!$L$4="CA",'2026'!$L$2=Y309),'2026DATA'!$J$19,"")</f>
        <v/>
      </c>
      <c r="Z326" s="518" t="str">
        <f>IF(AND(_1="B-757",'2026'!$L$4="CA",'2026'!$L$2=Z309),'2026DATA'!$K$19,"")</f>
        <v/>
      </c>
      <c r="AA326" s="518" t="str">
        <f>IF(AND(_1="B-757",'2026'!$L$4="CA",'2026'!$L$2=AA309),'2026DATA'!$L$19,"")</f>
        <v/>
      </c>
      <c r="AB326" s="518" t="str">
        <f>IF(AND(_1="B-757",'2026'!$L$4="CA",'2026'!$L$2=AB309),'2026DATA'!$M$19,"")</f>
        <v/>
      </c>
      <c r="AC326" s="520" t="str">
        <f>IF(AND(_1="B-757",'2026'!$L$4="CA",'2026'!$L$2=AC309),'2026DATA'!$N$19,"")</f>
        <v/>
      </c>
      <c r="AD326" s="940" t="s">
        <v>45</v>
      </c>
      <c r="AE326" s="13" t="s">
        <v>61</v>
      </c>
      <c r="AF326" s="518" t="str">
        <f>IF(AND(_2="B-757",'2026'!$L$4="CA",'2026'!$L$2=AF309),'2026DATA'!$C$19,"")</f>
        <v/>
      </c>
      <c r="AG326" s="518" t="str">
        <f>IF(AND(_2="B-757",'2026'!$L$4="CA",'2026'!$L$2=AG309),'2026DATA'!$D$19,"")</f>
        <v/>
      </c>
      <c r="AH326" s="518" t="str">
        <f>IF(AND(_2="B-757",'2026'!$L$4="CA",'2026'!$L$2=AH309),'2026DATA'!$E$19,"")</f>
        <v/>
      </c>
      <c r="AI326" s="518" t="str">
        <f>IF(AND(_2="B-757",'2026'!$L$4="CA",'2026'!$L$2=AI309),'2026DATA'!$F$19,"")</f>
        <v/>
      </c>
      <c r="AJ326" s="518" t="str">
        <f>IF(AND(_2="B-757",'2026'!$L$4="CA",'2026'!$L$2=AJ309),'2026DATA'!$G$19,"")</f>
        <v/>
      </c>
      <c r="AK326" s="518" t="str">
        <f>IF(AND(_2="B-757",'2026'!$L$4="CA",'2026'!$L$2=AK309),'2026DATA'!$H$19,"")</f>
        <v/>
      </c>
      <c r="AL326" s="518" t="str">
        <f>IF(AND(_2="B-757",'2026'!$L$4="CA",'2026'!$L$2=AL309),'2026DATA'!$I$19,"")</f>
        <v/>
      </c>
      <c r="AM326" s="518" t="str">
        <f>IF(AND(_2="B-757",'2026'!$L$4="CA",'2026'!$L$2=AM309),'2026DATA'!$J$19,"")</f>
        <v/>
      </c>
      <c r="AN326" s="518" t="str">
        <f>IF(AND(_2="B-757",'2026'!$L$4="CA",'2026'!$L$2=AN309),'2026DATA'!$K$19,"")</f>
        <v/>
      </c>
      <c r="AO326" s="518" t="str">
        <f>IF(AND(_2="B-757",'2026'!$L$4="CA",'2026'!$L$2=AO309),'2026DATA'!$L$19,"")</f>
        <v/>
      </c>
      <c r="AP326" s="518" t="str">
        <f>IF(AND(_2="B-757",'2026'!$L$4="CA",'2026'!$L$2=AP309),'2026DATA'!$M$19,"")</f>
        <v/>
      </c>
      <c r="AQ326" s="520" t="str">
        <f>IF(AND(_2="B-757",'2026'!$L$4="CA",'2026'!$L$2=AQ309),'2026DATA'!$N$19,"")</f>
        <v/>
      </c>
      <c r="AR326" s="940" t="s">
        <v>45</v>
      </c>
      <c r="AS326" s="13" t="s">
        <v>61</v>
      </c>
      <c r="AT326" s="518" t="str">
        <f>IF(AND(_3="B-757",'2026'!$L$4="CA",'2026'!$L$2=AT309),'2026DATA'!$C$19,"")</f>
        <v/>
      </c>
      <c r="AU326" s="518" t="str">
        <f>IF(AND(_3="B-757",'2026'!$L$4="CA",'2026'!$L$2=AU309),'2026DATA'!$D$19,"")</f>
        <v/>
      </c>
      <c r="AV326" s="518" t="str">
        <f>IF(AND(_3="B-757",'2026'!$L$4="CA",'2026'!$L$2=AV309),'2026DATA'!$E$19,"")</f>
        <v/>
      </c>
      <c r="AW326" s="518" t="str">
        <f>IF(AND(_3="B-757",'2026'!$L$4="CA",'2026'!$L$2=AW309),'2026DATA'!$F$19,"")</f>
        <v/>
      </c>
      <c r="AX326" s="518" t="str">
        <f>IF(AND(_3="B-757",'2026'!$L$4="CA",'2026'!$L$2=AX309),'2026DATA'!$G$19,"")</f>
        <v/>
      </c>
      <c r="AY326" s="518" t="str">
        <f>IF(AND(_3="B-757",'2026'!$L$4="CA",'2026'!$L$2=AY309),'2026DATA'!$H$19,"")</f>
        <v/>
      </c>
      <c r="AZ326" s="518" t="str">
        <f>IF(AND(_3="B-757",'2026'!$L$4="CA",'2026'!$L$2=AZ309),'2026DATA'!$I$19,"")</f>
        <v/>
      </c>
      <c r="BA326" s="518" t="str">
        <f>IF(AND(_3="B-757",'2026'!$L$4="CA",'2026'!$L$2=BA309),'2026DATA'!$J$19,"")</f>
        <v/>
      </c>
      <c r="BB326" s="518" t="str">
        <f>IF(AND(_3="B-757",'2026'!$L$4="CA",'2026'!$L$2=BB309),'2026DATA'!$K$19,"")</f>
        <v/>
      </c>
      <c r="BC326" s="518" t="str">
        <f>IF(AND(_3="B-757",'2026'!$L$4="CA",'2026'!$L$2=BC309),'2026DATA'!$L$19,"")</f>
        <v/>
      </c>
      <c r="BD326" s="518" t="str">
        <f>IF(AND(_3="B-757",'2026'!$L$4="CA",'2026'!$L$2=BD309),'2026DATA'!$M$19,"")</f>
        <v/>
      </c>
      <c r="BE326" s="520" t="str">
        <f>IF(AND(_3="B-757",'2026'!$L$4="CA",'2026'!$L$2=BE309),'2026DATA'!$N$19,"")</f>
        <v/>
      </c>
      <c r="BF326" s="940" t="s">
        <v>45</v>
      </c>
      <c r="BG326" s="13" t="s">
        <v>61</v>
      </c>
      <c r="BH326" s="518" t="str">
        <f>IF(AND(_4="B-757",'2026'!$L$4="CA",'2026'!$L$2=BH309),'2026DATA'!$C$19,"")</f>
        <v/>
      </c>
      <c r="BI326" s="518" t="str">
        <f>IF(AND(_4="B-757",'2026'!$L$4="CA",'2026'!$L$2=BI309),'2026DATA'!$D$19,"")</f>
        <v/>
      </c>
      <c r="BJ326" s="518" t="str">
        <f>IF(AND(_4="B-757",'2026'!$L$4="CA",'2026'!$L$2=BJ309),'2026DATA'!$E$19,"")</f>
        <v/>
      </c>
      <c r="BK326" s="518" t="str">
        <f>IF(AND(_4="B-757",'2026'!$L$4="CA",'2026'!$L$2=BK309),'2026DATA'!$F$19,"")</f>
        <v/>
      </c>
      <c r="BL326" s="518" t="str">
        <f>IF(AND(_4="B-757",'2026'!$L$4="CA",'2026'!$L$2=BL309),'2026DATA'!$G$19,"")</f>
        <v/>
      </c>
      <c r="BM326" s="518" t="str">
        <f>IF(AND(_4="B-757",'2026'!$L$4="CA",'2026'!$L$2=BM309),'2026DATA'!$H$19,"")</f>
        <v/>
      </c>
      <c r="BN326" s="518" t="str">
        <f>IF(AND(_4="B-757",'2026'!$L$4="CA",'2026'!$L$2=BN309),'2026DATA'!$I$19,"")</f>
        <v/>
      </c>
      <c r="BO326" s="518" t="str">
        <f>IF(AND(_4="B-757",'2026'!$L$4="CA",'2026'!$L$2=BO309),'2026DATA'!$J$19,"")</f>
        <v/>
      </c>
      <c r="BP326" s="518" t="str">
        <f>IF(AND(_4="B-757",'2026'!$L$4="CA",'2026'!$L$2=BP309),'2026DATA'!$K$19,"")</f>
        <v/>
      </c>
      <c r="BQ326" s="518" t="str">
        <f>IF(AND(_4="B-757",'2026'!$L$4="CA",'2026'!$L$2=BQ309),'2026DATA'!$L$19,"")</f>
        <v/>
      </c>
      <c r="BR326" s="518" t="str">
        <f>IF(AND(_4="B-757",'2026'!$L$4="CA",'2026'!$L$2=BR309),'2026DATA'!$M$19,"")</f>
        <v/>
      </c>
      <c r="BS326" s="520" t="str">
        <f>IF(AND(_4="B-757",'2026'!$L$4="CA",'2026'!$L$2=BS309),'2026DATA'!$N$19,"")</f>
        <v/>
      </c>
      <c r="BT326" s="940" t="s">
        <v>45</v>
      </c>
      <c r="BU326" s="13" t="s">
        <v>61</v>
      </c>
      <c r="BV326" s="518" t="str">
        <f>IF(AND(_5="B-757",'2026'!$L$4="CA",'2026'!$L$2=BV309),'2026DATA'!$C$19,"")</f>
        <v/>
      </c>
      <c r="BW326" s="518" t="str">
        <f>IF(AND(_5="B-757",'2026'!$L$4="CA",'2026'!$L$2=BW309),'2026DATA'!$D$19,"")</f>
        <v/>
      </c>
      <c r="BX326" s="518" t="str">
        <f>IF(AND(_5="B-757",'2026'!$L$4="CA",'2026'!$L$2=BX309),'2026DATA'!$E$19,"")</f>
        <v/>
      </c>
      <c r="BY326" s="518" t="str">
        <f>IF(AND(_5="B-757",'2026'!$L$4="CA",'2026'!$L$2=BY309),'2026DATA'!$F$19,"")</f>
        <v/>
      </c>
      <c r="BZ326" s="518" t="str">
        <f>IF(AND(_5="B-757",'2026'!$L$4="CA",'2026'!$L$2=BZ309),'2026DATA'!$G$19,"")</f>
        <v/>
      </c>
      <c r="CA326" s="518" t="str">
        <f>IF(AND(_5="B-757",'2026'!$L$4="CA",'2026'!$L$2=CA309),'2026DATA'!$H$19,"")</f>
        <v/>
      </c>
      <c r="CB326" s="518" t="str">
        <f>IF(AND(_5="B-757",'2026'!$L$4="CA",'2026'!$L$2=CB309),'2026DATA'!$I$19,"")</f>
        <v/>
      </c>
      <c r="CC326" s="518" t="str">
        <f>IF(AND(_5="B-757",'2026'!$L$4="CA",'2026'!$L$2=CC309),'2026DATA'!$J$19,"")</f>
        <v/>
      </c>
      <c r="CD326" s="518" t="str">
        <f>IF(AND(_5="B-757",'2026'!$L$4="CA",'2026'!$L$2=CD309),'2026DATA'!$K$19,"")</f>
        <v/>
      </c>
      <c r="CE326" s="518" t="str">
        <f>IF(AND(_5="B-757",'2026'!$L$4="CA",'2026'!$L$2=CE309),'2026DATA'!$L$19,"")</f>
        <v/>
      </c>
      <c r="CF326" s="518" t="str">
        <f>IF(AND(_5="B-757",'2026'!$L$4="CA",'2026'!$L$2=CF309),'2026DATA'!$M$19,"")</f>
        <v/>
      </c>
      <c r="CG326" s="520" t="str">
        <f>IF(AND(_5="B-757",'2026'!$L$4="CA",'2026'!$L$2=CG309),'2026DATA'!$N$19,"")</f>
        <v/>
      </c>
      <c r="CH326" s="940" t="s">
        <v>45</v>
      </c>
      <c r="CI326" s="13" t="s">
        <v>61</v>
      </c>
      <c r="CJ326" s="518" t="str">
        <f>IF(AND(_6="B-757",'2026'!$L$4="CA",'2026'!$L$2=CJ309),'2026DATA'!$C$19,"")</f>
        <v/>
      </c>
      <c r="CK326" s="518" t="str">
        <f>IF(AND(_6="B-757",'2026'!$L$4="CA",'2026'!$L$2=CK309),'2026DATA'!$D$19,"")</f>
        <v/>
      </c>
      <c r="CL326" s="518" t="str">
        <f>IF(AND(_6="B-757",'2026'!$L$4="CA",'2026'!$L$2=CL309),'2026DATA'!$E$19,"")</f>
        <v/>
      </c>
      <c r="CM326" s="518" t="str">
        <f>IF(AND(_6="B-757",'2026'!$L$4="CA",'2026'!$L$2=CM309),'2026DATA'!$F$19,"")</f>
        <v/>
      </c>
      <c r="CN326" s="518" t="str">
        <f>IF(AND(_6="B-757",'2026'!$L$4="CA",'2026'!$L$2=CN309),'2026DATA'!$G$19,"")</f>
        <v/>
      </c>
      <c r="CO326" s="518" t="str">
        <f>IF(AND(_6="B-757",'2026'!$L$4="CA",'2026'!$L$2=CO309),'2026DATA'!$H$19,"")</f>
        <v/>
      </c>
      <c r="CP326" s="518" t="str">
        <f>IF(AND(_6="B-757",'2026'!$L$4="CA",'2026'!$L$2=CP309),'2026DATA'!$I$19,"")</f>
        <v/>
      </c>
      <c r="CQ326" s="518" t="str">
        <f>IF(AND(_6="B-757",'2026'!$L$4="CA",'2026'!$L$2=CQ309),'2026DATA'!$J$19,"")</f>
        <v/>
      </c>
      <c r="CR326" s="518" t="str">
        <f>IF(AND(_6="B-757",'2026'!$L$4="CA",'2026'!$L$2=CR309),'2026DATA'!$K$19,"")</f>
        <v/>
      </c>
      <c r="CS326" s="518" t="str">
        <f>IF(AND(_6="B-757",'2026'!$L$4="CA",'2026'!$L$2=CS309),'2026DATA'!$L$19,"")</f>
        <v/>
      </c>
      <c r="CT326" s="518" t="str">
        <f>IF(AND(_6="B-757",'2026'!$L$4="CA",'2026'!$L$2=CT309),'2026DATA'!$M$19,"")</f>
        <v/>
      </c>
      <c r="CU326" s="520" t="str">
        <f>IF(AND(_6="B-757",'2026'!$L$4="CA",'2026'!$L$2=CU309),'2026DATA'!$N$19,"")</f>
        <v/>
      </c>
    </row>
    <row r="327" spans="16:99" x14ac:dyDescent="0.25">
      <c r="P327" s="940"/>
      <c r="Q327" s="13" t="s">
        <v>62</v>
      </c>
      <c r="R327" s="518" t="str">
        <f>IF(AND(_1="B-757",'2026'!$L$4="FO",'2026'!$L$2=R309),'2026DATA'!$C$20,"")</f>
        <v/>
      </c>
      <c r="S327" s="518" t="str">
        <f>IF(AND(_1="B-757",'2026'!$L$4="FO",'2026'!$L$2=S309),'2026DATA'!$D$20,"")</f>
        <v/>
      </c>
      <c r="T327" s="518" t="str">
        <f>IF(AND(_1="B-757",'2026'!$L$4="FO",'2026'!$L$2=T309),'2026DATA'!$E$20,"")</f>
        <v/>
      </c>
      <c r="U327" s="518" t="str">
        <f>IF(AND(_1="B-757",'2026'!$L$4="FO",'2026'!$L$2=U309),'2026DATA'!$F$20,"")</f>
        <v/>
      </c>
      <c r="V327" s="518" t="str">
        <f>IF(AND(_1="B-757",'2026'!$L$4="FO",'2026'!$L$2=V309),'2026DATA'!$G$20,"")</f>
        <v/>
      </c>
      <c r="W327" s="518" t="str">
        <f>IF(AND(_1="B-757",'2026'!$L$4="FO",'2026'!$L$2=W309),'2026DATA'!$H$20,"")</f>
        <v/>
      </c>
      <c r="X327" s="518" t="str">
        <f>IF(AND(_1="B-757",'2026'!$L$4="FO",'2026'!$L$2=X309),'2026DATA'!$I$20,"")</f>
        <v/>
      </c>
      <c r="Y327" s="518" t="str">
        <f>IF(AND(_1="B-757",'2026'!$L$4="FO",'2026'!$L$2=Y309),'2026DATA'!$J$20,"")</f>
        <v/>
      </c>
      <c r="Z327" s="518" t="str">
        <f>IF(AND(_1="B-757",'2026'!$L$4="FO",'2026'!$L$2=Z309),'2026DATA'!$K$20,"")</f>
        <v/>
      </c>
      <c r="AA327" s="518" t="str">
        <f>IF(AND(_1="B-757",'2026'!$L$4="FO",'2026'!$L$2=AA309),'2026DATA'!$L$20,"")</f>
        <v/>
      </c>
      <c r="AB327" s="518" t="str">
        <f>IF(AND(_1="B-757",'2026'!$L$4="FO",'2026'!$L$2=AB309),'2026DATA'!$M$20,"")</f>
        <v/>
      </c>
      <c r="AC327" s="520" t="str">
        <f>IF(AND(_1="B-757",'2026'!$L$4="FO",'2026'!$L$2=AC309),'2026DATA'!$N$20,"")</f>
        <v/>
      </c>
      <c r="AD327" s="940"/>
      <c r="AE327" s="13" t="s">
        <v>62</v>
      </c>
      <c r="AF327" s="518" t="str">
        <f>IF(AND(_2="B-757",'2026'!$L$4="FO",'2026'!$L$2=AF309),'2026DATA'!$C$20,"")</f>
        <v/>
      </c>
      <c r="AG327" s="518" t="str">
        <f>IF(AND(_2="B-757",'2026'!$L$4="FO",'2026'!$L$2=AG309),'2026DATA'!$D$20,"")</f>
        <v/>
      </c>
      <c r="AH327" s="518" t="str">
        <f>IF(AND(_2="B-757",'2026'!$L$4="FO",'2026'!$L$2=AH309),'2026DATA'!$E$20,"")</f>
        <v/>
      </c>
      <c r="AI327" s="518" t="str">
        <f>IF(AND(_2="B-757",'2026'!$L$4="FO",'2026'!$L$2=AI309),'2026DATA'!$F$20,"")</f>
        <v/>
      </c>
      <c r="AJ327" s="518" t="str">
        <f>IF(AND(_2="B-757",'2026'!$L$4="FO",'2026'!$L$2=AJ309),'2026DATA'!$G$20,"")</f>
        <v/>
      </c>
      <c r="AK327" s="518" t="str">
        <f>IF(AND(_2="B-757",'2026'!$L$4="FO",'2026'!$L$2=AK309),'2026DATA'!$H$20,"")</f>
        <v/>
      </c>
      <c r="AL327" s="518" t="str">
        <f>IF(AND(_2="B-757",'2026'!$L$4="FO",'2026'!$L$2=AL309),'2026DATA'!$I$20,"")</f>
        <v/>
      </c>
      <c r="AM327" s="518" t="str">
        <f>IF(AND(_2="B-757",'2026'!$L$4="FO",'2026'!$L$2=AM309),'2026DATA'!$J$20,"")</f>
        <v/>
      </c>
      <c r="AN327" s="518" t="str">
        <f>IF(AND(_2="B-757",'2026'!$L$4="FO",'2026'!$L$2=AN309),'2026DATA'!$K$20,"")</f>
        <v/>
      </c>
      <c r="AO327" s="518" t="str">
        <f>IF(AND(_2="B-757",'2026'!$L$4="FO",'2026'!$L$2=AO309),'2026DATA'!$L$20,"")</f>
        <v/>
      </c>
      <c r="AP327" s="518" t="str">
        <f>IF(AND(_2="B-757",'2026'!$L$4="FO",'2026'!$L$2=AP309),'2026DATA'!$M$20,"")</f>
        <v/>
      </c>
      <c r="AQ327" s="520" t="str">
        <f>IF(AND(_2="B-757",'2026'!$L$4="FO",'2026'!$L$2=AQ309),'2026DATA'!$N$20,"")</f>
        <v/>
      </c>
      <c r="AR327" s="940"/>
      <c r="AS327" s="13" t="s">
        <v>62</v>
      </c>
      <c r="AT327" s="518" t="str">
        <f>IF(AND(_3="B-757",'2026'!$L$4="FO",'2026'!$L$2=AT309),'2026DATA'!$C$20,"")</f>
        <v/>
      </c>
      <c r="AU327" s="518" t="str">
        <f>IF(AND(_3="B-757",'2026'!$L$4="FO",'2026'!$L$2=AU309),'2026DATA'!$D$20,"")</f>
        <v/>
      </c>
      <c r="AV327" s="518" t="str">
        <f>IF(AND(_3="B-757",'2026'!$L$4="FO",'2026'!$L$2=AV309),'2026DATA'!$E$20,"")</f>
        <v/>
      </c>
      <c r="AW327" s="518" t="str">
        <f>IF(AND(_3="B-757",'2026'!$L$4="FO",'2026'!$L$2=AW309),'2026DATA'!$F$20,"")</f>
        <v/>
      </c>
      <c r="AX327" s="518" t="str">
        <f>IF(AND(_3="B-757",'2026'!$L$4="FO",'2026'!$L$2=AX309),'2026DATA'!$G$20,"")</f>
        <v/>
      </c>
      <c r="AY327" s="518" t="str">
        <f>IF(AND(_3="B-757",'2026'!$L$4="FO",'2026'!$L$2=AY309),'2026DATA'!$H$20,"")</f>
        <v/>
      </c>
      <c r="AZ327" s="518" t="str">
        <f>IF(AND(_3="B-757",'2026'!$L$4="FO",'2026'!$L$2=AZ309),'2026DATA'!$I$20,"")</f>
        <v/>
      </c>
      <c r="BA327" s="518" t="str">
        <f>IF(AND(_3="B-757",'2026'!$L$4="FO",'2026'!$L$2=BA309),'2026DATA'!$J$20,"")</f>
        <v/>
      </c>
      <c r="BB327" s="518" t="str">
        <f>IF(AND(_3="B-757",'2026'!$L$4="FO",'2026'!$L$2=BB309),'2026DATA'!$K$20,"")</f>
        <v/>
      </c>
      <c r="BC327" s="518" t="str">
        <f>IF(AND(_3="B-757",'2026'!$L$4="FO",'2026'!$L$2=BC309),'2026DATA'!$L$20,"")</f>
        <v/>
      </c>
      <c r="BD327" s="518" t="str">
        <f>IF(AND(_3="B-757",'2026'!$L$4="FO",'2026'!$L$2=BD309),'2026DATA'!$M$20,"")</f>
        <v/>
      </c>
      <c r="BE327" s="520" t="str">
        <f>IF(AND(_3="B-757",'2026'!$L$4="FO",'2026'!$L$2=BE309),'2026DATA'!$N$20,"")</f>
        <v/>
      </c>
      <c r="BF327" s="940"/>
      <c r="BG327" s="13" t="s">
        <v>62</v>
      </c>
      <c r="BH327" s="518" t="str">
        <f>IF(AND(_4="B-757",'2026'!$L$4="FO",'2026'!$L$2=BH309),'2026DATA'!$C$20,"")</f>
        <v/>
      </c>
      <c r="BI327" s="518" t="str">
        <f>IF(AND(_4="B-757",'2026'!$L$4="FO",'2026'!$L$2=BI309),'2026DATA'!$D$20,"")</f>
        <v/>
      </c>
      <c r="BJ327" s="518" t="str">
        <f>IF(AND(_4="B-757",'2026'!$L$4="FO",'2026'!$L$2=BJ309),'2026DATA'!$E$20,"")</f>
        <v/>
      </c>
      <c r="BK327" s="518" t="str">
        <f>IF(AND(_4="B-757",'2026'!$L$4="FO",'2026'!$L$2=BK309),'2026DATA'!$F$20,"")</f>
        <v/>
      </c>
      <c r="BL327" s="518" t="str">
        <f>IF(AND(_4="B-757",'2026'!$L$4="FO",'2026'!$L$2=BL309),'2026DATA'!$G$20,"")</f>
        <v/>
      </c>
      <c r="BM327" s="518" t="str">
        <f>IF(AND(_4="B-757",'2026'!$L$4="FO",'2026'!$L$2=BM309),'2026DATA'!$H$20,"")</f>
        <v/>
      </c>
      <c r="BN327" s="518" t="str">
        <f>IF(AND(_4="B-757",'2026'!$L$4="FO",'2026'!$L$2=BN309),'2026DATA'!$I$20,"")</f>
        <v/>
      </c>
      <c r="BO327" s="518" t="str">
        <f>IF(AND(_4="B-757",'2026'!$L$4="FO",'2026'!$L$2=BO309),'2026DATA'!$J$20,"")</f>
        <v/>
      </c>
      <c r="BP327" s="518" t="str">
        <f>IF(AND(_4="B-757",'2026'!$L$4="FO",'2026'!$L$2=BP309),'2026DATA'!$K$20,"")</f>
        <v/>
      </c>
      <c r="BQ327" s="518" t="str">
        <f>IF(AND(_4="B-757",'2026'!$L$4="FO",'2026'!$L$2=BQ309),'2026DATA'!$L$20,"")</f>
        <v/>
      </c>
      <c r="BR327" s="518" t="str">
        <f>IF(AND(_4="B-757",'2026'!$L$4="FO",'2026'!$L$2=BR309),'2026DATA'!$M$20,"")</f>
        <v/>
      </c>
      <c r="BS327" s="520" t="str">
        <f>IF(AND(_4="B-757",'2026'!$L$4="FO",'2026'!$L$2=BS309),'2026DATA'!$N$20,"")</f>
        <v/>
      </c>
      <c r="BT327" s="940"/>
      <c r="BU327" s="13" t="s">
        <v>62</v>
      </c>
      <c r="BV327" s="518" t="str">
        <f>IF(AND(_5="B-757",'2026'!$L$4="FO",'2026'!$L$2=BV309),'2026DATA'!$C$20,"")</f>
        <v/>
      </c>
      <c r="BW327" s="518" t="str">
        <f>IF(AND(_5="B-757",'2026'!$L$4="FO",'2026'!$L$2=BW309),'2026DATA'!$D$20,"")</f>
        <v/>
      </c>
      <c r="BX327" s="518" t="str">
        <f>IF(AND(_5="B-757",'2026'!$L$4="FO",'2026'!$L$2=BX309),'2026DATA'!$E$20,"")</f>
        <v/>
      </c>
      <c r="BY327" s="518" t="str">
        <f>IF(AND(_5="B-757",'2026'!$L$4="FO",'2026'!$L$2=BY309),'2026DATA'!$F$20,"")</f>
        <v/>
      </c>
      <c r="BZ327" s="518" t="str">
        <f>IF(AND(_5="B-757",'2026'!$L$4="FO",'2026'!$L$2=BZ309),'2026DATA'!$G$20,"")</f>
        <v/>
      </c>
      <c r="CA327" s="518" t="str">
        <f>IF(AND(_5="B-757",'2026'!$L$4="FO",'2026'!$L$2=CA309),'2026DATA'!$H$20,"")</f>
        <v/>
      </c>
      <c r="CB327" s="518" t="str">
        <f>IF(AND(_5="B-757",'2026'!$L$4="FO",'2026'!$L$2=CB309),'2026DATA'!$I$20,"")</f>
        <v/>
      </c>
      <c r="CC327" s="518" t="str">
        <f>IF(AND(_5="B-757",'2026'!$L$4="FO",'2026'!$L$2=CC309),'2026DATA'!$J$20,"")</f>
        <v/>
      </c>
      <c r="CD327" s="518" t="str">
        <f>IF(AND(_5="B-757",'2026'!$L$4="FO",'2026'!$L$2=CD309),'2026DATA'!$K$20,"")</f>
        <v/>
      </c>
      <c r="CE327" s="518" t="str">
        <f>IF(AND(_5="B-757",'2026'!$L$4="FO",'2026'!$L$2=CE309),'2026DATA'!$L$20,"")</f>
        <v/>
      </c>
      <c r="CF327" s="518" t="str">
        <f>IF(AND(_5="B-757",'2026'!$L$4="FO",'2026'!$L$2=CF309),'2026DATA'!$M$20,"")</f>
        <v/>
      </c>
      <c r="CG327" s="520" t="str">
        <f>IF(AND(_5="B-757",'2026'!$L$4="FO",'2026'!$L$2=CG309),'2026DATA'!$N$20,"")</f>
        <v/>
      </c>
      <c r="CH327" s="940"/>
      <c r="CI327" s="13" t="s">
        <v>62</v>
      </c>
      <c r="CJ327" s="518" t="str">
        <f>IF(AND(_6="B-757",'2026'!$L$4="FO",'2026'!$L$2=CJ309),'2026DATA'!$C$20,"")</f>
        <v/>
      </c>
      <c r="CK327" s="518" t="str">
        <f>IF(AND(_6="B-757",'2026'!$L$4="FO",'2026'!$L$2=CK309),'2026DATA'!$D$20,"")</f>
        <v/>
      </c>
      <c r="CL327" s="518" t="str">
        <f>IF(AND(_6="B-757",'2026'!$L$4="FO",'2026'!$L$2=CL309),'2026DATA'!$E$20,"")</f>
        <v/>
      </c>
      <c r="CM327" s="518" t="str">
        <f>IF(AND(_6="B-757",'2026'!$L$4="FO",'2026'!$L$2=CM309),'2026DATA'!$F$20,"")</f>
        <v/>
      </c>
      <c r="CN327" s="518" t="str">
        <f>IF(AND(_6="B-757",'2026'!$L$4="FO",'2026'!$L$2=CN309),'2026DATA'!$G$20,"")</f>
        <v/>
      </c>
      <c r="CO327" s="518" t="str">
        <f>IF(AND(_6="B-757",'2026'!$L$4="FO",'2026'!$L$2=CO309),'2026DATA'!$H$20,"")</f>
        <v/>
      </c>
      <c r="CP327" s="518" t="str">
        <f>IF(AND(_6="B-757",'2026'!$L$4="FO",'2026'!$L$2=CP309),'2026DATA'!$I$20,"")</f>
        <v/>
      </c>
      <c r="CQ327" s="518" t="str">
        <f>IF(AND(_6="B-757",'2026'!$L$4="FO",'2026'!$L$2=CQ309),'2026DATA'!$J$20,"")</f>
        <v/>
      </c>
      <c r="CR327" s="518" t="str">
        <f>IF(AND(_6="B-757",'2026'!$L$4="FO",'2026'!$L$2=CR309),'2026DATA'!$K$20,"")</f>
        <v/>
      </c>
      <c r="CS327" s="518" t="str">
        <f>IF(AND(_6="B-757",'2026'!$L$4="FO",'2026'!$L$2=CS309),'2026DATA'!$L$20,"")</f>
        <v/>
      </c>
      <c r="CT327" s="518" t="str">
        <f>IF(AND(_6="B-757",'2026'!$L$4="FO",'2026'!$L$2=CT309),'2026DATA'!$M$20,"")</f>
        <v/>
      </c>
      <c r="CU327" s="520" t="str">
        <f>IF(AND(_6="B-757",'2026'!$L$4="FO",'2026'!$L$2=CU309),'2026DATA'!$N$20,"")</f>
        <v/>
      </c>
    </row>
    <row r="328" spans="16:99" x14ac:dyDescent="0.25">
      <c r="P328" s="940" t="s">
        <v>47</v>
      </c>
      <c r="Q328" s="13" t="s">
        <v>61</v>
      </c>
      <c r="R328" s="518" t="str">
        <f>IF(AND(_1="B-737-900",'2026'!$L$4="CA",'2026'!$L$2=R309),'2026DATA'!$C$21,"")</f>
        <v/>
      </c>
      <c r="S328" s="518" t="str">
        <f>IF(AND(_1="B-737-900",'2026'!$L$4="CA",'2026'!$L$2=S309),'2026DATA'!$D$21,"")</f>
        <v/>
      </c>
      <c r="T328" s="518" t="str">
        <f>IF(AND(_1="B-737-900",'2026'!$L$4="CA",'2026'!$L$2=T309),'2026DATA'!$E$21,"")</f>
        <v/>
      </c>
      <c r="U328" s="518" t="str">
        <f>IF(AND(_1="B-737-900",'2026'!$L$4="CA",'2026'!$L$2=U309),'2026DATA'!$F$21,"")</f>
        <v/>
      </c>
      <c r="V328" s="518" t="str">
        <f>IF(AND(_1="B-737-900",'2026'!$L$4="CA",'2026'!$L$2=V309),'2026DATA'!$G$21,"")</f>
        <v/>
      </c>
      <c r="W328" s="518" t="str">
        <f>IF(AND(_1="B-737-900",'2026'!$L$4="CA",'2026'!$L$2=W309),'2026DATA'!$H$21,"")</f>
        <v/>
      </c>
      <c r="X328" s="518" t="str">
        <f>IF(AND(_1="B-737-900",'2026'!$L$4="CA",'2026'!$L$2=X309),'2026DATA'!$I$21,"")</f>
        <v/>
      </c>
      <c r="Y328" s="518" t="str">
        <f>IF(AND(_1="B-737-900",'2026'!$L$4="CA",'2026'!$L$2=Y309),'2026DATA'!$J$21,"")</f>
        <v/>
      </c>
      <c r="Z328" s="518" t="str">
        <f>IF(AND(_1="B-737-900",'2026'!$L$4="CA",'2026'!$L$2=Z309),'2026DATA'!$K$21,"")</f>
        <v/>
      </c>
      <c r="AA328" s="518" t="str">
        <f>IF(AND(_1="B-737-900",'2026'!$L$4="CA",'2026'!$L$2=AA309),'2026DATA'!$L$21,"")</f>
        <v/>
      </c>
      <c r="AB328" s="518" t="str">
        <f>IF(AND(_1="B-737-900",'2026'!$L$4="CA",'2026'!$L$2=AB309),'2026DATA'!$M$21,"")</f>
        <v/>
      </c>
      <c r="AC328" s="520" t="str">
        <f>IF(AND(_1="B-737-900",'2026'!$L$4="CA",'2026'!$L$2=AC309),'2026DATA'!$N$21,"")</f>
        <v/>
      </c>
      <c r="AD328" s="940" t="s">
        <v>47</v>
      </c>
      <c r="AE328" s="13" t="s">
        <v>61</v>
      </c>
      <c r="AF328" s="518" t="str">
        <f>IF(AND(_2="B-737-900",'2026'!$L$4="CA",'2026'!$L$2=AF309),'2026DATA'!$C$21,"")</f>
        <v/>
      </c>
      <c r="AG328" s="518" t="str">
        <f>IF(AND(_2="B-737-900",'2026'!$L$4="CA",'2026'!$L$2=AG309),'2026DATA'!$D$21,"")</f>
        <v/>
      </c>
      <c r="AH328" s="518" t="str">
        <f>IF(AND(_2="B-737-900",'2026'!$L$4="CA",'2026'!$L$2=AH309),'2026DATA'!$E$21,"")</f>
        <v/>
      </c>
      <c r="AI328" s="518" t="str">
        <f>IF(AND(_2="B-737-900",'2026'!$L$4="CA",'2026'!$L$2=AI309),'2026DATA'!$F$21,"")</f>
        <v/>
      </c>
      <c r="AJ328" s="518" t="str">
        <f>IF(AND(_2="B-737-900",'2026'!$L$4="CA",'2026'!$L$2=AJ309),'2026DATA'!$G$21,"")</f>
        <v/>
      </c>
      <c r="AK328" s="518" t="str">
        <f>IF(AND(_2="B-737-900",'2026'!$L$4="CA",'2026'!$L$2=AK309),'2026DATA'!$H$21,"")</f>
        <v/>
      </c>
      <c r="AL328" s="518" t="str">
        <f>IF(AND(_2="B-737-900",'2026'!$L$4="CA",'2026'!$L$2=AL309),'2026DATA'!$I$21,"")</f>
        <v/>
      </c>
      <c r="AM328" s="518" t="str">
        <f>IF(AND(_2="B-737-900",'2026'!$L$4="CA",'2026'!$L$2=AM309),'2026DATA'!$J$21,"")</f>
        <v/>
      </c>
      <c r="AN328" s="518" t="str">
        <f>IF(AND(_2="B-737-900",'2026'!$L$4="CA",'2026'!$L$2=AN309),'2026DATA'!$K$21,"")</f>
        <v/>
      </c>
      <c r="AO328" s="518" t="str">
        <f>IF(AND(_2="B-737-900",'2026'!$L$4="CA",'2026'!$L$2=AO309),'2026DATA'!$L$21,"")</f>
        <v/>
      </c>
      <c r="AP328" s="518" t="str">
        <f>IF(AND(_2="B-737-900",'2026'!$L$4="CA",'2026'!$L$2=AP309),'2026DATA'!$M$21,"")</f>
        <v/>
      </c>
      <c r="AQ328" s="520" t="str">
        <f>IF(AND(_2="B-737-900",'2026'!$L$4="CA",'2026'!$L$2=AQ309),'2026DATA'!$N$21,"")</f>
        <v/>
      </c>
      <c r="AR328" s="940" t="s">
        <v>47</v>
      </c>
      <c r="AS328" s="13" t="s">
        <v>61</v>
      </c>
      <c r="AT328" s="518" t="str">
        <f>IF(AND(_3="B-737-900",'2026'!$L$4="CA",'2026'!$L$2=AT309),'2026DATA'!$C$21,"")</f>
        <v/>
      </c>
      <c r="AU328" s="518" t="str">
        <f>IF(AND(_3="B-737-900",'2026'!$L$4="CA",'2026'!$L$2=AU309),'2026DATA'!$D$21,"")</f>
        <v/>
      </c>
      <c r="AV328" s="518" t="str">
        <f>IF(AND(_3="B-737-900",'2026'!$L$4="CA",'2026'!$L$2=AV309),'2026DATA'!$E$21,"")</f>
        <v/>
      </c>
      <c r="AW328" s="518" t="str">
        <f>IF(AND(_3="B-737-900",'2026'!$L$4="CA",'2026'!$L$2=AW309),'2026DATA'!$F$21,"")</f>
        <v/>
      </c>
      <c r="AX328" s="518" t="str">
        <f>IF(AND(_3="B-737-900",'2026'!$L$4="CA",'2026'!$L$2=AX309),'2026DATA'!$G$21,"")</f>
        <v/>
      </c>
      <c r="AY328" s="518" t="str">
        <f>IF(AND(_3="B-737-900",'2026'!$L$4="CA",'2026'!$L$2=AY309),'2026DATA'!$H$21,"")</f>
        <v/>
      </c>
      <c r="AZ328" s="518" t="str">
        <f>IF(AND(_3="B-737-900",'2026'!$L$4="CA",'2026'!$L$2=AZ309),'2026DATA'!$I$21,"")</f>
        <v/>
      </c>
      <c r="BA328" s="518" t="str">
        <f>IF(AND(_3="B-737-900",'2026'!$L$4="CA",'2026'!$L$2=BA309),'2026DATA'!$J$21,"")</f>
        <v/>
      </c>
      <c r="BB328" s="518" t="str">
        <f>IF(AND(_3="B-737-900",'2026'!$L$4="CA",'2026'!$L$2=BB309),'2026DATA'!$K$21,"")</f>
        <v/>
      </c>
      <c r="BC328" s="518" t="str">
        <f>IF(AND(_3="B-737-900",'2026'!$L$4="CA",'2026'!$L$2=BC309),'2026DATA'!$L$21,"")</f>
        <v/>
      </c>
      <c r="BD328" s="518" t="str">
        <f>IF(AND(_3="B-737-900",'2026'!$L$4="CA",'2026'!$L$2=BD309),'2026DATA'!$M$21,"")</f>
        <v/>
      </c>
      <c r="BE328" s="520" t="str">
        <f>IF(AND(_3="B-737-900",'2026'!$L$4="CA",'2026'!$L$2=BE309),'2026DATA'!$N$21,"")</f>
        <v/>
      </c>
      <c r="BF328" s="940" t="s">
        <v>47</v>
      </c>
      <c r="BG328" s="13" t="s">
        <v>61</v>
      </c>
      <c r="BH328" s="518" t="str">
        <f>IF(AND(_4="B-737-900",'2026'!$L$4="CA",'2026'!$L$2=BH309),'2026DATA'!$C$21,"")</f>
        <v/>
      </c>
      <c r="BI328" s="518" t="str">
        <f>IF(AND(_4="B-737-900",'2026'!$L$4="CA",'2026'!$L$2=BI309),'2026DATA'!$D$21,"")</f>
        <v/>
      </c>
      <c r="BJ328" s="518" t="str">
        <f>IF(AND(_4="B-737-900",'2026'!$L$4="CA",'2026'!$L$2=BJ309),'2026DATA'!$E$21,"")</f>
        <v/>
      </c>
      <c r="BK328" s="518" t="str">
        <f>IF(AND(_4="B-737-900",'2026'!$L$4="CA",'2026'!$L$2=BK309),'2026DATA'!$F$21,"")</f>
        <v/>
      </c>
      <c r="BL328" s="518" t="str">
        <f>IF(AND(_4="B-737-900",'2026'!$L$4="CA",'2026'!$L$2=BL309),'2026DATA'!$G$21,"")</f>
        <v/>
      </c>
      <c r="BM328" s="518" t="str">
        <f>IF(AND(_4="B-737-900",'2026'!$L$4="CA",'2026'!$L$2=BM309),'2026DATA'!$H$21,"")</f>
        <v/>
      </c>
      <c r="BN328" s="518" t="str">
        <f>IF(AND(_4="B-737-900",'2026'!$L$4="CA",'2026'!$L$2=BN309),'2026DATA'!$I$21,"")</f>
        <v/>
      </c>
      <c r="BO328" s="518" t="str">
        <f>IF(AND(_4="B-737-900",'2026'!$L$4="CA",'2026'!$L$2=BO309),'2026DATA'!$J$21,"")</f>
        <v/>
      </c>
      <c r="BP328" s="518" t="str">
        <f>IF(AND(_4="B-737-900",'2026'!$L$4="CA",'2026'!$L$2=BP309),'2026DATA'!$K$21,"")</f>
        <v/>
      </c>
      <c r="BQ328" s="518" t="str">
        <f>IF(AND(_4="B-737-900",'2026'!$L$4="CA",'2026'!$L$2=BQ309),'2026DATA'!$L$21,"")</f>
        <v/>
      </c>
      <c r="BR328" s="518" t="str">
        <f>IF(AND(_4="B-737-900",'2026'!$L$4="CA",'2026'!$L$2=BR309),'2026DATA'!$M$21,"")</f>
        <v/>
      </c>
      <c r="BS328" s="520" t="str">
        <f>IF(AND(_4="B-737-900",'2026'!$L$4="CA",'2026'!$L$2=BS309),'2026DATA'!$N$21,"")</f>
        <v/>
      </c>
      <c r="BT328" s="940" t="s">
        <v>47</v>
      </c>
      <c r="BU328" s="13" t="s">
        <v>61</v>
      </c>
      <c r="BV328" s="518" t="str">
        <f>IF(AND(_5="B-737-900",'2026'!$L$4="CA",'2026'!$L$2=BV309),'2026DATA'!$C$21,"")</f>
        <v/>
      </c>
      <c r="BW328" s="518" t="str">
        <f>IF(AND(_5="B-737-900",'2026'!$L$4="CA",'2026'!$L$2=BW309),'2026DATA'!$D$21,"")</f>
        <v/>
      </c>
      <c r="BX328" s="518" t="str">
        <f>IF(AND(_5="B-737-900",'2026'!$L$4="CA",'2026'!$L$2=BX309),'2026DATA'!$E$21,"")</f>
        <v/>
      </c>
      <c r="BY328" s="518" t="str">
        <f>IF(AND(_5="B-737-900",'2026'!$L$4="CA",'2026'!$L$2=BY309),'2026DATA'!$F$21,"")</f>
        <v/>
      </c>
      <c r="BZ328" s="518" t="str">
        <f>IF(AND(_5="B-737-900",'2026'!$L$4="CA",'2026'!$L$2=BZ309),'2026DATA'!$G$21,"")</f>
        <v/>
      </c>
      <c r="CA328" s="518" t="str">
        <f>IF(AND(_5="B-737-900",'2026'!$L$4="CA",'2026'!$L$2=CA309),'2026DATA'!$H$21,"")</f>
        <v/>
      </c>
      <c r="CB328" s="518" t="str">
        <f>IF(AND(_5="B-737-900",'2026'!$L$4="CA",'2026'!$L$2=CB309),'2026DATA'!$I$21,"")</f>
        <v/>
      </c>
      <c r="CC328" s="518" t="str">
        <f>IF(AND(_5="B-737-900",'2026'!$L$4="CA",'2026'!$L$2=CC309),'2026DATA'!$J$21,"")</f>
        <v/>
      </c>
      <c r="CD328" s="518" t="str">
        <f>IF(AND(_5="B-737-900",'2026'!$L$4="CA",'2026'!$L$2=CD309),'2026DATA'!$K$21,"")</f>
        <v/>
      </c>
      <c r="CE328" s="518" t="str">
        <f>IF(AND(_5="B-737-900",'2026'!$L$4="CA",'2026'!$L$2=CE309),'2026DATA'!$L$21,"")</f>
        <v/>
      </c>
      <c r="CF328" s="518" t="str">
        <f>IF(AND(_5="B-737-900",'2026'!$L$4="CA",'2026'!$L$2=CF309),'2026DATA'!$M$21,"")</f>
        <v/>
      </c>
      <c r="CG328" s="520" t="str">
        <f>IF(AND(_5="B-737-900",'2026'!$L$4="CA",'2026'!$L$2=CG309),'2026DATA'!$N$21,"")</f>
        <v/>
      </c>
      <c r="CH328" s="940" t="s">
        <v>47</v>
      </c>
      <c r="CI328" s="13" t="s">
        <v>61</v>
      </c>
      <c r="CJ328" s="518" t="str">
        <f>IF(AND(_6="B-737-900",'2026'!$L$4="CA",'2026'!$L$2=CJ309),'2026DATA'!$C$21,"")</f>
        <v/>
      </c>
      <c r="CK328" s="518" t="str">
        <f>IF(AND(_6="B-737-900",'2026'!$L$4="CA",'2026'!$L$2=CK309),'2026DATA'!$D$21,"")</f>
        <v/>
      </c>
      <c r="CL328" s="518" t="str">
        <f>IF(AND(_6="B-737-900",'2026'!$L$4="CA",'2026'!$L$2=CL309),'2026DATA'!$E$21,"")</f>
        <v/>
      </c>
      <c r="CM328" s="518" t="str">
        <f>IF(AND(_6="B-737-900",'2026'!$L$4="CA",'2026'!$L$2=CM309),'2026DATA'!$F$21,"")</f>
        <v/>
      </c>
      <c r="CN328" s="518" t="str">
        <f>IF(AND(_6="B-737-900",'2026'!$L$4="CA",'2026'!$L$2=CN309),'2026DATA'!$G$21,"")</f>
        <v/>
      </c>
      <c r="CO328" s="518" t="str">
        <f>IF(AND(_6="B-737-900",'2026'!$L$4="CA",'2026'!$L$2=CO309),'2026DATA'!$H$21,"")</f>
        <v/>
      </c>
      <c r="CP328" s="518" t="str">
        <f>IF(AND(_6="B-737-900",'2026'!$L$4="CA",'2026'!$L$2=CP309),'2026DATA'!$I$21,"")</f>
        <v/>
      </c>
      <c r="CQ328" s="518" t="str">
        <f>IF(AND(_6="B-737-900",'2026'!$L$4="CA",'2026'!$L$2=CQ309),'2026DATA'!$J$21,"")</f>
        <v/>
      </c>
      <c r="CR328" s="518" t="str">
        <f>IF(AND(_6="B-737-900",'2026'!$L$4="CA",'2026'!$L$2=CR309),'2026DATA'!$K$21,"")</f>
        <v/>
      </c>
      <c r="CS328" s="518" t="str">
        <f>IF(AND(_6="B-737-900",'2026'!$L$4="CA",'2026'!$L$2=CS309),'2026DATA'!$L$21,"")</f>
        <v/>
      </c>
      <c r="CT328" s="518" t="str">
        <f>IF(AND(_6="B-737-900",'2026'!$L$4="CA",'2026'!$L$2=CT309),'2026DATA'!$M$21,"")</f>
        <v/>
      </c>
      <c r="CU328" s="520" t="str">
        <f>IF(AND(_6="B-737-900",'2026'!$L$4="CA",'2026'!$L$2=CU309),'2026DATA'!$N$21,"")</f>
        <v/>
      </c>
    </row>
    <row r="329" spans="16:99" x14ac:dyDescent="0.25">
      <c r="P329" s="940"/>
      <c r="Q329" s="13" t="s">
        <v>62</v>
      </c>
      <c r="R329" s="518" t="str">
        <f>IF(AND(_1="B-737-900",'2026'!$L$4="FO",'2026'!$L$2=R309),'2026DATA'!$C$22,"")</f>
        <v/>
      </c>
      <c r="S329" s="518" t="str">
        <f>IF(AND(_1="B-737-900",'2026'!$L$4="FO",'2026'!$L$2=S309),'2026DATA'!$D$22,"")</f>
        <v/>
      </c>
      <c r="T329" s="518" t="str">
        <f>IF(AND(_1="B-737-900",'2026'!$L$4="FO",'2026'!$L$2=T309),'2026DATA'!$E$22,"")</f>
        <v/>
      </c>
      <c r="U329" s="518" t="str">
        <f>IF(AND(_1="B-737-900",'2026'!$L$4="FO",'2026'!$L$2=U309),'2026DATA'!$F$22,"")</f>
        <v/>
      </c>
      <c r="V329" s="518" t="str">
        <f>IF(AND(_1="B-737-900",'2026'!$L$4="FO",'2026'!$L$2=V309),'2026DATA'!$G$22,"")</f>
        <v/>
      </c>
      <c r="W329" s="518" t="str">
        <f>IF(AND(_1="B-737-900",'2026'!$L$4="FO",'2026'!$L$2=W309),'2026DATA'!$H$22,"")</f>
        <v/>
      </c>
      <c r="X329" s="518" t="str">
        <f>IF(AND(_1="B-737-900",'2026'!$L$4="FO",'2026'!$L$2=X309),'2026DATA'!$I$22,"")</f>
        <v/>
      </c>
      <c r="Y329" s="518" t="str">
        <f>IF(AND(_1="B-737-900",'2026'!$L$4="FO",'2026'!$L$2=Y309),'2026DATA'!$J$22,"")</f>
        <v/>
      </c>
      <c r="Z329" s="518" t="str">
        <f>IF(AND(_1="B-737-900",'2026'!$L$4="FO",'2026'!$L$2=Z309),'2026DATA'!$K$22,"")</f>
        <v/>
      </c>
      <c r="AA329" s="518" t="str">
        <f>IF(AND(_1="B-737-900",'2026'!$L$4="FO",'2026'!$L$2=AA309),'2026DATA'!$L$22,"")</f>
        <v/>
      </c>
      <c r="AB329" s="518" t="str">
        <f>IF(AND(_1="B-737-900",'2026'!$L$4="FO",'2026'!$L$2=AB309),'2026DATA'!$M$22,"")</f>
        <v/>
      </c>
      <c r="AC329" s="520" t="str">
        <f>IF(AND(_1="B-737-900",'2026'!$L$4="FO",'2026'!$L$2=AC309),'2026DATA'!$N$22,"")</f>
        <v/>
      </c>
      <c r="AD329" s="940"/>
      <c r="AE329" s="13" t="s">
        <v>62</v>
      </c>
      <c r="AF329" s="518" t="str">
        <f>IF(AND(_2="B-737-900",'2026'!$L$4="FO",'2026'!$L$2=AF309),'2026DATA'!$C$22,"")</f>
        <v/>
      </c>
      <c r="AG329" s="518" t="str">
        <f>IF(AND(_2="B-737-900",'2026'!$L$4="FO",'2026'!$L$2=AG309),'2026DATA'!$D$22,"")</f>
        <v/>
      </c>
      <c r="AH329" s="518" t="str">
        <f>IF(AND(_2="B-737-900",'2026'!$L$4="FO",'2026'!$L$2=AH309),'2026DATA'!$E$22,"")</f>
        <v/>
      </c>
      <c r="AI329" s="518" t="str">
        <f>IF(AND(_2="B-737-900",'2026'!$L$4="FO",'2026'!$L$2=AI309),'2026DATA'!$F$22,"")</f>
        <v/>
      </c>
      <c r="AJ329" s="518" t="str">
        <f>IF(AND(_2="B-737-900",'2026'!$L$4="FO",'2026'!$L$2=AJ309),'2026DATA'!$G$22,"")</f>
        <v/>
      </c>
      <c r="AK329" s="518" t="str">
        <f>IF(AND(_2="B-737-900",'2026'!$L$4="FO",'2026'!$L$2=AK309),'2026DATA'!$H$22,"")</f>
        <v/>
      </c>
      <c r="AL329" s="518" t="str">
        <f>IF(AND(_2="B-737-900",'2026'!$L$4="FO",'2026'!$L$2=AL309),'2026DATA'!$I$22,"")</f>
        <v/>
      </c>
      <c r="AM329" s="518" t="str">
        <f>IF(AND(_2="B-737-900",'2026'!$L$4="FO",'2026'!$L$2=AM309),'2026DATA'!$J$22,"")</f>
        <v/>
      </c>
      <c r="AN329" s="518" t="str">
        <f>IF(AND(_2="B-737-900",'2026'!$L$4="FO",'2026'!$L$2=AN309),'2026DATA'!$K$22,"")</f>
        <v/>
      </c>
      <c r="AO329" s="518" t="str">
        <f>IF(AND(_2="B-737-900",'2026'!$L$4="FO",'2026'!$L$2=AO309),'2026DATA'!$L$22,"")</f>
        <v/>
      </c>
      <c r="AP329" s="518" t="str">
        <f>IF(AND(_2="B-737-900",'2026'!$L$4="FO",'2026'!$L$2=AP309),'2026DATA'!$M$22,"")</f>
        <v/>
      </c>
      <c r="AQ329" s="520" t="str">
        <f>IF(AND(_2="B-737-900",'2026'!$L$4="FO",'2026'!$L$2=AQ309),'2026DATA'!$N$22,"")</f>
        <v/>
      </c>
      <c r="AR329" s="940"/>
      <c r="AS329" s="13" t="s">
        <v>62</v>
      </c>
      <c r="AT329" s="518" t="str">
        <f>IF(AND(_3="B-737-900",'2026'!$L$4="FO",'2026'!$L$2=AT309),'2026DATA'!$C$22,"")</f>
        <v/>
      </c>
      <c r="AU329" s="518" t="str">
        <f>IF(AND(_3="B-737-900",'2026'!$L$4="FO",'2026'!$L$2=AU309),'2026DATA'!$D$22,"")</f>
        <v/>
      </c>
      <c r="AV329" s="518" t="str">
        <f>IF(AND(_3="B-737-900",'2026'!$L$4="FO",'2026'!$L$2=AV309),'2026DATA'!$E$22,"")</f>
        <v/>
      </c>
      <c r="AW329" s="518" t="str">
        <f>IF(AND(_3="B-737-900",'2026'!$L$4="FO",'2026'!$L$2=AW309),'2026DATA'!$F$22,"")</f>
        <v/>
      </c>
      <c r="AX329" s="518" t="str">
        <f>IF(AND(_3="B-737-900",'2026'!$L$4="FO",'2026'!$L$2=AX309),'2026DATA'!$G$22,"")</f>
        <v/>
      </c>
      <c r="AY329" s="518" t="str">
        <f>IF(AND(_3="B-737-900",'2026'!$L$4="FO",'2026'!$L$2=AY309),'2026DATA'!$H$22,"")</f>
        <v/>
      </c>
      <c r="AZ329" s="518" t="str">
        <f>IF(AND(_3="B-737-900",'2026'!$L$4="FO",'2026'!$L$2=AZ309),'2026DATA'!$I$22,"")</f>
        <v/>
      </c>
      <c r="BA329" s="518" t="str">
        <f>IF(AND(_3="B-737-900",'2026'!$L$4="FO",'2026'!$L$2=BA309),'2026DATA'!$J$22,"")</f>
        <v/>
      </c>
      <c r="BB329" s="518" t="str">
        <f>IF(AND(_3="B-737-900",'2026'!$L$4="FO",'2026'!$L$2=BB309),'2026DATA'!$K$22,"")</f>
        <v/>
      </c>
      <c r="BC329" s="518" t="str">
        <f>IF(AND(_3="B-737-900",'2026'!$L$4="FO",'2026'!$L$2=BC309),'2026DATA'!$L$22,"")</f>
        <v/>
      </c>
      <c r="BD329" s="518" t="str">
        <f>IF(AND(_3="B-737-900",'2026'!$L$4="FO",'2026'!$L$2=BD309),'2026DATA'!$M$22,"")</f>
        <v/>
      </c>
      <c r="BE329" s="520" t="str">
        <f>IF(AND(_3="B-737-900",'2026'!$L$4="FO",'2026'!$L$2=BE309),'2026DATA'!$N$22,"")</f>
        <v/>
      </c>
      <c r="BF329" s="940"/>
      <c r="BG329" s="13" t="s">
        <v>62</v>
      </c>
      <c r="BH329" s="518" t="str">
        <f>IF(AND(_4="B-737-900",'2026'!$L$4="FO",'2026'!$L$2=BH309),'2026DATA'!$C$22,"")</f>
        <v/>
      </c>
      <c r="BI329" s="518" t="str">
        <f>IF(AND(_4="B-737-900",'2026'!$L$4="FO",'2026'!$L$2=BI309),'2026DATA'!$D$22,"")</f>
        <v/>
      </c>
      <c r="BJ329" s="518" t="str">
        <f>IF(AND(_4="B-737-900",'2026'!$L$4="FO",'2026'!$L$2=BJ309),'2026DATA'!$E$22,"")</f>
        <v/>
      </c>
      <c r="BK329" s="518" t="str">
        <f>IF(AND(_4="B-737-900",'2026'!$L$4="FO",'2026'!$L$2=BK309),'2026DATA'!$F$22,"")</f>
        <v/>
      </c>
      <c r="BL329" s="518" t="str">
        <f>IF(AND(_4="B-737-900",'2026'!$L$4="FO",'2026'!$L$2=BL309),'2026DATA'!$G$22,"")</f>
        <v/>
      </c>
      <c r="BM329" s="518" t="str">
        <f>IF(AND(_4="B-737-900",'2026'!$L$4="FO",'2026'!$L$2=BM309),'2026DATA'!$H$22,"")</f>
        <v/>
      </c>
      <c r="BN329" s="518" t="str">
        <f>IF(AND(_4="B-737-900",'2026'!$L$4="FO",'2026'!$L$2=BN309),'2026DATA'!$I$22,"")</f>
        <v/>
      </c>
      <c r="BO329" s="518" t="str">
        <f>IF(AND(_4="B-737-900",'2026'!$L$4="FO",'2026'!$L$2=BO309),'2026DATA'!$J$22,"")</f>
        <v/>
      </c>
      <c r="BP329" s="518" t="str">
        <f>IF(AND(_4="B-737-900",'2026'!$L$4="FO",'2026'!$L$2=BP309),'2026DATA'!$K$22,"")</f>
        <v/>
      </c>
      <c r="BQ329" s="518" t="str">
        <f>IF(AND(_4="B-737-900",'2026'!$L$4="FO",'2026'!$L$2=BQ309),'2026DATA'!$L$22,"")</f>
        <v/>
      </c>
      <c r="BR329" s="518" t="str">
        <f>IF(AND(_4="B-737-900",'2026'!$L$4="FO",'2026'!$L$2=BR309),'2026DATA'!$M$22,"")</f>
        <v/>
      </c>
      <c r="BS329" s="520" t="str">
        <f>IF(AND(_4="B-737-900",'2026'!$L$4="FO",'2026'!$L$2=BS309),'2026DATA'!$N$22,"")</f>
        <v/>
      </c>
      <c r="BT329" s="940"/>
      <c r="BU329" s="13" t="s">
        <v>62</v>
      </c>
      <c r="BV329" s="518" t="str">
        <f>IF(AND(_5="B-737-900",'2026'!$L$4="FO",'2026'!$L$2=BV309),'2026DATA'!$C$22,"")</f>
        <v/>
      </c>
      <c r="BW329" s="518" t="str">
        <f>IF(AND(_5="B-737-900",'2026'!$L$4="FO",'2026'!$L$2=BW309),'2026DATA'!$D$22,"")</f>
        <v/>
      </c>
      <c r="BX329" s="518" t="str">
        <f>IF(AND(_5="B-737-900",'2026'!$L$4="FO",'2026'!$L$2=BX309),'2026DATA'!$E$22,"")</f>
        <v/>
      </c>
      <c r="BY329" s="518" t="str">
        <f>IF(AND(_5="B-737-900",'2026'!$L$4="FO",'2026'!$L$2=BY309),'2026DATA'!$F$22,"")</f>
        <v/>
      </c>
      <c r="BZ329" s="518" t="str">
        <f>IF(AND(_5="B-737-900",'2026'!$L$4="FO",'2026'!$L$2=BZ309),'2026DATA'!$G$22,"")</f>
        <v/>
      </c>
      <c r="CA329" s="518" t="str">
        <f>IF(AND(_5="B-737-900",'2026'!$L$4="FO",'2026'!$L$2=CA309),'2026DATA'!$H$22,"")</f>
        <v/>
      </c>
      <c r="CB329" s="518" t="str">
        <f>IF(AND(_5="B-737-900",'2026'!$L$4="FO",'2026'!$L$2=CB309),'2026DATA'!$I$22,"")</f>
        <v/>
      </c>
      <c r="CC329" s="518" t="str">
        <f>IF(AND(_5="B-737-900",'2026'!$L$4="FO",'2026'!$L$2=CC309),'2026DATA'!$J$22,"")</f>
        <v/>
      </c>
      <c r="CD329" s="518" t="str">
        <f>IF(AND(_5="B-737-900",'2026'!$L$4="FO",'2026'!$L$2=CD309),'2026DATA'!$K$22,"")</f>
        <v/>
      </c>
      <c r="CE329" s="518" t="str">
        <f>IF(AND(_5="B-737-900",'2026'!$L$4="FO",'2026'!$L$2=CE309),'2026DATA'!$L$22,"")</f>
        <v/>
      </c>
      <c r="CF329" s="518" t="str">
        <f>IF(AND(_5="B-737-900",'2026'!$L$4="FO",'2026'!$L$2=CF309),'2026DATA'!$M$22,"")</f>
        <v/>
      </c>
      <c r="CG329" s="520" t="str">
        <f>IF(AND(_5="B-737-900",'2026'!$L$4="FO",'2026'!$L$2=CG309),'2026DATA'!$N$22,"")</f>
        <v/>
      </c>
      <c r="CH329" s="940"/>
      <c r="CI329" s="13" t="s">
        <v>62</v>
      </c>
      <c r="CJ329" s="518" t="str">
        <f>IF(AND(_6="B-737-900",'2026'!$L$4="FO",'2026'!$L$2=CJ309),'2026DATA'!$C$22,"")</f>
        <v/>
      </c>
      <c r="CK329" s="518" t="str">
        <f>IF(AND(_6="B-737-900",'2026'!$L$4="FO",'2026'!$L$2=CK309),'2026DATA'!$D$22,"")</f>
        <v/>
      </c>
      <c r="CL329" s="518" t="str">
        <f>IF(AND(_6="B-737-900",'2026'!$L$4="FO",'2026'!$L$2=CL309),'2026DATA'!$E$22,"")</f>
        <v/>
      </c>
      <c r="CM329" s="518" t="str">
        <f>IF(AND(_6="B-737-900",'2026'!$L$4="FO",'2026'!$L$2=CM309),'2026DATA'!$F$22,"")</f>
        <v/>
      </c>
      <c r="CN329" s="518" t="str">
        <f>IF(AND(_6="B-737-900",'2026'!$L$4="FO",'2026'!$L$2=CN309),'2026DATA'!$G$22,"")</f>
        <v/>
      </c>
      <c r="CO329" s="518" t="str">
        <f>IF(AND(_6="B-737-900",'2026'!$L$4="FO",'2026'!$L$2=CO309),'2026DATA'!$H$22,"")</f>
        <v/>
      </c>
      <c r="CP329" s="518" t="str">
        <f>IF(AND(_6="B-737-900",'2026'!$L$4="FO",'2026'!$L$2=CP309),'2026DATA'!$I$22,"")</f>
        <v/>
      </c>
      <c r="CQ329" s="518" t="str">
        <f>IF(AND(_6="B-737-900",'2026'!$L$4="FO",'2026'!$L$2=CQ309),'2026DATA'!$J$22,"")</f>
        <v/>
      </c>
      <c r="CR329" s="518" t="str">
        <f>IF(AND(_6="B-737-900",'2026'!$L$4="FO",'2026'!$L$2=CR309),'2026DATA'!$K$22,"")</f>
        <v/>
      </c>
      <c r="CS329" s="518" t="str">
        <f>IF(AND(_6="B-737-900",'2026'!$L$4="FO",'2026'!$L$2=CS309),'2026DATA'!$L$22,"")</f>
        <v/>
      </c>
      <c r="CT329" s="518" t="str">
        <f>IF(AND(_6="B-737-900",'2026'!$L$4="FO",'2026'!$L$2=CT309),'2026DATA'!$M$22,"")</f>
        <v/>
      </c>
      <c r="CU329" s="520" t="str">
        <f>IF(AND(_6="B-737-900",'2026'!$L$4="FO",'2026'!$L$2=CU309),'2026DATA'!$N$22,"")</f>
        <v/>
      </c>
    </row>
    <row r="330" spans="16:99" x14ac:dyDescent="0.25">
      <c r="P330" s="940" t="s">
        <v>69</v>
      </c>
      <c r="Q330" s="13" t="s">
        <v>61</v>
      </c>
      <c r="R330" s="518" t="str">
        <f>IF(AND(_1="B-737-800",'2026'!$L$4="CA",'2026'!$L$2=R309),'2026DATA'!$C$23,"")</f>
        <v/>
      </c>
      <c r="S330" s="518" t="str">
        <f>IF(AND(_1="B-737-800",'2026'!$L$4="CA",'2026'!$L$2=S309),'2026DATA'!$D$23,"")</f>
        <v/>
      </c>
      <c r="T330" s="518" t="str">
        <f>IF(AND(_1="B-737-800",'2026'!$L$4="CA",'2026'!$L$2=T309),'2026DATA'!$E$23,"")</f>
        <v/>
      </c>
      <c r="U330" s="518" t="str">
        <f>IF(AND(_1="B-737-800",'2026'!$L$4="CA",'2026'!$L$2=U309),'2026DATA'!$F$23,"")</f>
        <v/>
      </c>
      <c r="V330" s="518" t="str">
        <f>IF(AND(_1="B-737-800",'2026'!$L$4="CA",'2026'!$L$2=V309),'2026DATA'!$G$23,"")</f>
        <v/>
      </c>
      <c r="W330" s="518" t="str">
        <f>IF(AND(_1="B-737-800",'2026'!$L$4="CA",'2026'!$L$2=W309),'2026DATA'!$H$23,"")</f>
        <v/>
      </c>
      <c r="X330" s="518" t="str">
        <f>IF(AND(_1="B-737-800",'2026'!$L$4="CA",'2026'!$L$2=X309),'2026DATA'!$I$23,"")</f>
        <v/>
      </c>
      <c r="Y330" s="518" t="str">
        <f>IF(AND(_1="B-737-800",'2026'!$L$4="CA",'2026'!$L$2=Y309),'2026DATA'!$J$23,"")</f>
        <v/>
      </c>
      <c r="Z330" s="518" t="str">
        <f>IF(AND(_1="B-737-800",'2026'!$L$4="CA",'2026'!$L$2=Z309),'2026DATA'!$K$23,"")</f>
        <v/>
      </c>
      <c r="AA330" s="518" t="str">
        <f>IF(AND(_1="B-737-800",'2026'!$L$4="CA",'2026'!$L$2=AA309),'2026DATA'!$L$23,"")</f>
        <v/>
      </c>
      <c r="AB330" s="518" t="str">
        <f>IF(AND(_1="B-737-800",'2026'!$L$4="CA",'2026'!$L$2=AB309),'2026DATA'!$M$23,"")</f>
        <v/>
      </c>
      <c r="AC330" s="520" t="str">
        <f>IF(AND(_1="B-737-800",'2026'!$L$4="CA",'2026'!$L$2=AC309),'2026DATA'!$N$23,"")</f>
        <v/>
      </c>
      <c r="AD330" s="940" t="s">
        <v>69</v>
      </c>
      <c r="AE330" s="13" t="s">
        <v>61</v>
      </c>
      <c r="AF330" s="518" t="str">
        <f>IF(AND(_2="B-737-800",'2026'!$L$4="CA",'2026'!$L$2=AF309),'2026DATA'!$C$23,"")</f>
        <v/>
      </c>
      <c r="AG330" s="518" t="str">
        <f>IF(AND(_2="B-737-800",'2026'!$L$4="CA",'2026'!$L$2=AG309),'2026DATA'!$D$23,"")</f>
        <v/>
      </c>
      <c r="AH330" s="518" t="str">
        <f>IF(AND(_2="B-737-800",'2026'!$L$4="CA",'2026'!$L$2=AH309),'2026DATA'!$E$23,"")</f>
        <v/>
      </c>
      <c r="AI330" s="518" t="str">
        <f>IF(AND(_2="B-737-800",'2026'!$L$4="CA",'2026'!$L$2=AI309),'2026DATA'!$F$23,"")</f>
        <v/>
      </c>
      <c r="AJ330" s="518" t="str">
        <f>IF(AND(_2="B-737-800",'2026'!$L$4="CA",'2026'!$L$2=AJ309),'2026DATA'!$G$23,"")</f>
        <v/>
      </c>
      <c r="AK330" s="518" t="str">
        <f>IF(AND(_2="B-737-800",'2026'!$L$4="CA",'2026'!$L$2=AK309),'2026DATA'!$H$23,"")</f>
        <v/>
      </c>
      <c r="AL330" s="518" t="str">
        <f>IF(AND(_2="B-737-800",'2026'!$L$4="CA",'2026'!$L$2=AL309),'2026DATA'!$I$23,"")</f>
        <v/>
      </c>
      <c r="AM330" s="518" t="str">
        <f>IF(AND(_2="B-737-800",'2026'!$L$4="CA",'2026'!$L$2=AM309),'2026DATA'!$J$23,"")</f>
        <v/>
      </c>
      <c r="AN330" s="518" t="str">
        <f>IF(AND(_2="B-737-800",'2026'!$L$4="CA",'2026'!$L$2=AN309),'2026DATA'!$K$23,"")</f>
        <v/>
      </c>
      <c r="AO330" s="518" t="str">
        <f>IF(AND(_2="B-737-800",'2026'!$L$4="CA",'2026'!$L$2=AO309),'2026DATA'!$L$23,"")</f>
        <v/>
      </c>
      <c r="AP330" s="518" t="str">
        <f>IF(AND(_2="B-737-800",'2026'!$L$4="CA",'2026'!$L$2=AP309),'2026DATA'!$M$23,"")</f>
        <v/>
      </c>
      <c r="AQ330" s="520" t="str">
        <f>IF(AND(_2="B-737-800",'2026'!$L$4="CA",'2026'!$L$2=AQ309),'2026DATA'!$N$23,"")</f>
        <v/>
      </c>
      <c r="AR330" s="940" t="s">
        <v>69</v>
      </c>
      <c r="AS330" s="13" t="s">
        <v>61</v>
      </c>
      <c r="AT330" s="518" t="str">
        <f>IF(AND(_3="B-737-800",'2026'!$L$4="CA",'2026'!$L$2=AT309),'2026DATA'!$C$23,"")</f>
        <v/>
      </c>
      <c r="AU330" s="518" t="str">
        <f>IF(AND(_3="B-737-800",'2026'!$L$4="CA",'2026'!$L$2=AU309),'2026DATA'!$D$23,"")</f>
        <v/>
      </c>
      <c r="AV330" s="518" t="str">
        <f>IF(AND(_3="B-737-800",'2026'!$L$4="CA",'2026'!$L$2=AV309),'2026DATA'!$E$23,"")</f>
        <v/>
      </c>
      <c r="AW330" s="518" t="str">
        <f>IF(AND(_3="B-737-800",'2026'!$L$4="CA",'2026'!$L$2=AW309),'2026DATA'!$F$23,"")</f>
        <v/>
      </c>
      <c r="AX330" s="518" t="str">
        <f>IF(AND(_3="B-737-800",'2026'!$L$4="CA",'2026'!$L$2=AX309),'2026DATA'!$G$23,"")</f>
        <v/>
      </c>
      <c r="AY330" s="518" t="str">
        <f>IF(AND(_3="B-737-800",'2026'!$L$4="CA",'2026'!$L$2=AY309),'2026DATA'!$H$23,"")</f>
        <v/>
      </c>
      <c r="AZ330" s="518" t="str">
        <f>IF(AND(_3="B-737-800",'2026'!$L$4="CA",'2026'!$L$2=AZ309),'2026DATA'!$I$23,"")</f>
        <v/>
      </c>
      <c r="BA330" s="518" t="str">
        <f>IF(AND(_3="B-737-800",'2026'!$L$4="CA",'2026'!$L$2=BA309),'2026DATA'!$J$23,"")</f>
        <v/>
      </c>
      <c r="BB330" s="518" t="str">
        <f>IF(AND(_3="B-737-800",'2026'!$L$4="CA",'2026'!$L$2=BB309),'2026DATA'!$K$23,"")</f>
        <v/>
      </c>
      <c r="BC330" s="518" t="str">
        <f>IF(AND(_3="B-737-800",'2026'!$L$4="CA",'2026'!$L$2=BC309),'2026DATA'!$L$23,"")</f>
        <v/>
      </c>
      <c r="BD330" s="518" t="str">
        <f>IF(AND(_3="B-737-800",'2026'!$L$4="CA",'2026'!$L$2=BD309),'2026DATA'!$M$23,"")</f>
        <v/>
      </c>
      <c r="BE330" s="520" t="str">
        <f>IF(AND(_3="B-737-800",'2026'!$L$4="CA",'2026'!$L$2=BE309),'2026DATA'!$N$23,"")</f>
        <v/>
      </c>
      <c r="BF330" s="940" t="s">
        <v>69</v>
      </c>
      <c r="BG330" s="13" t="s">
        <v>61</v>
      </c>
      <c r="BH330" s="518" t="str">
        <f>IF(AND(_4="B-737-800",'2026'!$L$4="CA",'2026'!$L$2=BH309),'2026DATA'!$C$23,"")</f>
        <v/>
      </c>
      <c r="BI330" s="518" t="str">
        <f>IF(AND(_4="B-737-800",'2026'!$L$4="CA",'2026'!$L$2=BI309),'2026DATA'!$D$23,"")</f>
        <v/>
      </c>
      <c r="BJ330" s="518" t="str">
        <f>IF(AND(_4="B-737-800",'2026'!$L$4="CA",'2026'!$L$2=BJ309),'2026DATA'!$E$23,"")</f>
        <v/>
      </c>
      <c r="BK330" s="518" t="str">
        <f>IF(AND(_4="B-737-800",'2026'!$L$4="CA",'2026'!$L$2=BK309),'2026DATA'!$F$23,"")</f>
        <v/>
      </c>
      <c r="BL330" s="518" t="str">
        <f>IF(AND(_4="B-737-800",'2026'!$L$4="CA",'2026'!$L$2=BL309),'2026DATA'!$G$23,"")</f>
        <v/>
      </c>
      <c r="BM330" s="518" t="str">
        <f>IF(AND(_4="B-737-800",'2026'!$L$4="CA",'2026'!$L$2=BM309),'2026DATA'!$H$23,"")</f>
        <v/>
      </c>
      <c r="BN330" s="518" t="str">
        <f>IF(AND(_4="B-737-800",'2026'!$L$4="CA",'2026'!$L$2=BN309),'2026DATA'!$I$23,"")</f>
        <v/>
      </c>
      <c r="BO330" s="518" t="str">
        <f>IF(AND(_4="B-737-800",'2026'!$L$4="CA",'2026'!$L$2=BO309),'2026DATA'!$J$23,"")</f>
        <v/>
      </c>
      <c r="BP330" s="518" t="str">
        <f>IF(AND(_4="B-737-800",'2026'!$L$4="CA",'2026'!$L$2=BP309),'2026DATA'!$K$23,"")</f>
        <v/>
      </c>
      <c r="BQ330" s="518" t="str">
        <f>IF(AND(_4="B-737-800",'2026'!$L$4="CA",'2026'!$L$2=BQ309),'2026DATA'!$L$23,"")</f>
        <v/>
      </c>
      <c r="BR330" s="518" t="str">
        <f>IF(AND(_4="B-737-800",'2026'!$L$4="CA",'2026'!$L$2=BR309),'2026DATA'!$M$23,"")</f>
        <v/>
      </c>
      <c r="BS330" s="520" t="str">
        <f>IF(AND(_4="B-737-800",'2026'!$L$4="CA",'2026'!$L$2=BS309),'2026DATA'!$N$23,"")</f>
        <v/>
      </c>
      <c r="BT330" s="940" t="s">
        <v>69</v>
      </c>
      <c r="BU330" s="13" t="s">
        <v>61</v>
      </c>
      <c r="BV330" s="518" t="str">
        <f>IF(AND(_5="B-737-800",'2026'!$L$4="CA",'2026'!$L$2=BV309),'2026DATA'!$C$23,"")</f>
        <v/>
      </c>
      <c r="BW330" s="518" t="str">
        <f>IF(AND(_5="B-737-800",'2026'!$L$4="CA",'2026'!$L$2=BW309),'2026DATA'!$D$23,"")</f>
        <v/>
      </c>
      <c r="BX330" s="518" t="str">
        <f>IF(AND(_5="B-737-800",'2026'!$L$4="CA",'2026'!$L$2=BX309),'2026DATA'!$E$23,"")</f>
        <v/>
      </c>
      <c r="BY330" s="518" t="str">
        <f>IF(AND(_5="B-737-800",'2026'!$L$4="CA",'2026'!$L$2=BY309),'2026DATA'!$F$23,"")</f>
        <v/>
      </c>
      <c r="BZ330" s="518" t="str">
        <f>IF(AND(_5="B-737-800",'2026'!$L$4="CA",'2026'!$L$2=BZ309),'2026DATA'!$G$23,"")</f>
        <v/>
      </c>
      <c r="CA330" s="518" t="str">
        <f>IF(AND(_5="B-737-800",'2026'!$L$4="CA",'2026'!$L$2=CA309),'2026DATA'!$H$23,"")</f>
        <v/>
      </c>
      <c r="CB330" s="518" t="str">
        <f>IF(AND(_5="B-737-800",'2026'!$L$4="CA",'2026'!$L$2=CB309),'2026DATA'!$I$23,"")</f>
        <v/>
      </c>
      <c r="CC330" s="518" t="str">
        <f>IF(AND(_5="B-737-800",'2026'!$L$4="CA",'2026'!$L$2=CC309),'2026DATA'!$J$23,"")</f>
        <v/>
      </c>
      <c r="CD330" s="518" t="str">
        <f>IF(AND(_5="B-737-800",'2026'!$L$4="CA",'2026'!$L$2=CD309),'2026DATA'!$K$23,"")</f>
        <v/>
      </c>
      <c r="CE330" s="518" t="str">
        <f>IF(AND(_5="B-737-800",'2026'!$L$4="CA",'2026'!$L$2=CE309),'2026DATA'!$L$23,"")</f>
        <v/>
      </c>
      <c r="CF330" s="518" t="str">
        <f>IF(AND(_5="B-737-800",'2026'!$L$4="CA",'2026'!$L$2=CF309),'2026DATA'!$M$23,"")</f>
        <v/>
      </c>
      <c r="CG330" s="520" t="str">
        <f>IF(AND(_5="B-737-800",'2026'!$L$4="CA",'2026'!$L$2=CG309),'2026DATA'!$N$23,"")</f>
        <v/>
      </c>
      <c r="CH330" s="940" t="s">
        <v>69</v>
      </c>
      <c r="CI330" s="13" t="s">
        <v>61</v>
      </c>
      <c r="CJ330" s="518" t="str">
        <f>IF(AND(_6="B-737-800",'2026'!$L$4="CA",'2026'!$L$2=CJ309),'2026DATA'!$C$23,"")</f>
        <v/>
      </c>
      <c r="CK330" s="518" t="str">
        <f>IF(AND(_6="B-737-800",'2026'!$L$4="CA",'2026'!$L$2=CK309),'2026DATA'!$D$23,"")</f>
        <v/>
      </c>
      <c r="CL330" s="518" t="str">
        <f>IF(AND(_6="B-737-800",'2026'!$L$4="CA",'2026'!$L$2=CL309),'2026DATA'!$E$23,"")</f>
        <v/>
      </c>
      <c r="CM330" s="518" t="str">
        <f>IF(AND(_6="B-737-800",'2026'!$L$4="CA",'2026'!$L$2=CM309),'2026DATA'!$F$23,"")</f>
        <v/>
      </c>
      <c r="CN330" s="518" t="str">
        <f>IF(AND(_6="B-737-800",'2026'!$L$4="CA",'2026'!$L$2=CN309),'2026DATA'!$G$23,"")</f>
        <v/>
      </c>
      <c r="CO330" s="518" t="str">
        <f>IF(AND(_6="B-737-800",'2026'!$L$4="CA",'2026'!$L$2=CO309),'2026DATA'!$H$23,"")</f>
        <v/>
      </c>
      <c r="CP330" s="518" t="str">
        <f>IF(AND(_6="B-737-800",'2026'!$L$4="CA",'2026'!$L$2=CP309),'2026DATA'!$I$23,"")</f>
        <v/>
      </c>
      <c r="CQ330" s="518" t="str">
        <f>IF(AND(_6="B-737-800",'2026'!$L$4="CA",'2026'!$L$2=CQ309),'2026DATA'!$J$23,"")</f>
        <v/>
      </c>
      <c r="CR330" s="518" t="str">
        <f>IF(AND(_6="B-737-800",'2026'!$L$4="CA",'2026'!$L$2=CR309),'2026DATA'!$K$23,"")</f>
        <v/>
      </c>
      <c r="CS330" s="518" t="str">
        <f>IF(AND(_6="B-737-800",'2026'!$L$4="CA",'2026'!$L$2=CS309),'2026DATA'!$L$23,"")</f>
        <v/>
      </c>
      <c r="CT330" s="518" t="str">
        <f>IF(AND(_6="B-737-800",'2026'!$L$4="CA",'2026'!$L$2=CT309),'2026DATA'!$M$23,"")</f>
        <v/>
      </c>
      <c r="CU330" s="520" t="str">
        <f>IF(AND(_6="B-737-800",'2026'!$L$4="CA",'2026'!$L$2=CU309),'2026DATA'!$N$23,"")</f>
        <v/>
      </c>
    </row>
    <row r="331" spans="16:99" x14ac:dyDescent="0.25">
      <c r="P331" s="940"/>
      <c r="Q331" s="13" t="s">
        <v>62</v>
      </c>
      <c r="R331" s="518" t="str">
        <f>IF(AND(_1="B-737-800",'2026'!$L$4="FO",'2026'!$L$2=R309),'2026DATA'!$C$24,"")</f>
        <v/>
      </c>
      <c r="S331" s="518" t="str">
        <f>IF(AND(_1="B-737-800",'2026'!$L$4="FO",'2026'!$L$2=S309),'2026DATA'!$D$24,"")</f>
        <v/>
      </c>
      <c r="T331" s="518" t="str">
        <f>IF(AND(_1="B-737-800",'2026'!$L$4="FO",'2026'!$L$2=T309),'2026DATA'!$E$24,"")</f>
        <v/>
      </c>
      <c r="U331" s="518" t="str">
        <f>IF(AND(_1="B-737-800",'2026'!$L$4="FO",'2026'!$L$2=U309),'2026DATA'!$F$24,"")</f>
        <v/>
      </c>
      <c r="V331" s="518" t="str">
        <f>IF(AND(_1="B-737-800",'2026'!$L$4="FO",'2026'!$L$2=V309),'2026DATA'!$G$24,"")</f>
        <v/>
      </c>
      <c r="W331" s="518" t="str">
        <f>IF(AND(_1="B-737-800",'2026'!$L$4="FO",'2026'!$L$2=W309),'2026DATA'!$H$24,"")</f>
        <v/>
      </c>
      <c r="X331" s="518" t="str">
        <f>IF(AND(_1="B-737-800",'2026'!$L$4="FO",'2026'!$L$2=X309),'2026DATA'!$I$24,"")</f>
        <v/>
      </c>
      <c r="Y331" s="518" t="str">
        <f>IF(AND(_1="B-737-800",'2026'!$L$4="FO",'2026'!$L$2=Y309),'2026DATA'!$J$24,"")</f>
        <v/>
      </c>
      <c r="Z331" s="518" t="str">
        <f>IF(AND(_1="B-737-800",'2026'!$L$4="FO",'2026'!$L$2=Z309),'2026DATA'!$K$24,"")</f>
        <v/>
      </c>
      <c r="AA331" s="518" t="str">
        <f>IF(AND(_1="B-737-800",'2026'!$L$4="FO",'2026'!$L$2=AA309),'2026DATA'!$L$24,"")</f>
        <v/>
      </c>
      <c r="AB331" s="518" t="str">
        <f>IF(AND(_1="B-737-800",'2026'!$L$4="FO",'2026'!$L$2=AB309),'2026DATA'!$M$24,"")</f>
        <v/>
      </c>
      <c r="AC331" s="520" t="str">
        <f>IF(AND(_1="B-737-800",'2026'!$L$4="FO",'2026'!$L$2=AC309),'2026DATA'!$N$24,"")</f>
        <v/>
      </c>
      <c r="AD331" s="940"/>
      <c r="AE331" s="13" t="s">
        <v>62</v>
      </c>
      <c r="AF331" s="518" t="str">
        <f>IF(AND(_2="B-737-800",'2026'!$L$4="FO",'2026'!$L$2=AF309),'2026DATA'!$C$24,"")</f>
        <v/>
      </c>
      <c r="AG331" s="518" t="str">
        <f>IF(AND(_2="B-737-800",'2026'!$L$4="FO",'2026'!$L$2=AG309),'2026DATA'!$D$24,"")</f>
        <v/>
      </c>
      <c r="AH331" s="518" t="str">
        <f>IF(AND(_2="B-737-800",'2026'!$L$4="FO",'2026'!$L$2=AH309),'2026DATA'!$E$24,"")</f>
        <v/>
      </c>
      <c r="AI331" s="518" t="str">
        <f>IF(AND(_2="B-737-800",'2026'!$L$4="FO",'2026'!$L$2=AI309),'2026DATA'!$F$24,"")</f>
        <v/>
      </c>
      <c r="AJ331" s="518" t="str">
        <f>IF(AND(_2="B-737-800",'2026'!$L$4="FO",'2026'!$L$2=AJ309),'2026DATA'!$G$24,"")</f>
        <v/>
      </c>
      <c r="AK331" s="518" t="str">
        <f>IF(AND(_2="B-737-800",'2026'!$L$4="FO",'2026'!$L$2=AK309),'2026DATA'!$H$24,"")</f>
        <v/>
      </c>
      <c r="AL331" s="518" t="str">
        <f>IF(AND(_2="B-737-800",'2026'!$L$4="FO",'2026'!$L$2=AL309),'2026DATA'!$I$24,"")</f>
        <v/>
      </c>
      <c r="AM331" s="518" t="str">
        <f>IF(AND(_2="B-737-800",'2026'!$L$4="FO",'2026'!$L$2=AM309),'2026DATA'!$J$24,"")</f>
        <v/>
      </c>
      <c r="AN331" s="518" t="str">
        <f>IF(AND(_2="B-737-800",'2026'!$L$4="FO",'2026'!$L$2=AN309),'2026DATA'!$K$24,"")</f>
        <v/>
      </c>
      <c r="AO331" s="518" t="str">
        <f>IF(AND(_2="B-737-800",'2026'!$L$4="FO",'2026'!$L$2=AO309),'2026DATA'!$L$24,"")</f>
        <v/>
      </c>
      <c r="AP331" s="518" t="str">
        <f>IF(AND(_2="B-737-800",'2026'!$L$4="FO",'2026'!$L$2=AP309),'2026DATA'!$M$24,"")</f>
        <v/>
      </c>
      <c r="AQ331" s="520" t="str">
        <f>IF(AND(_2="B-737-800",'2026'!$L$4="FO",'2026'!$L$2=AQ309),'2026DATA'!$N$24,"")</f>
        <v/>
      </c>
      <c r="AR331" s="940"/>
      <c r="AS331" s="13" t="s">
        <v>62</v>
      </c>
      <c r="AT331" s="518" t="str">
        <f>IF(AND(_3="B-737-800",'2026'!$L$4="FO",'2026'!$L$2=AT309),'2026DATA'!$C$24,"")</f>
        <v/>
      </c>
      <c r="AU331" s="518" t="str">
        <f>IF(AND(_3="B-737-800",'2026'!$L$4="FO",'2026'!$L$2=AU309),'2026DATA'!$D$24,"")</f>
        <v/>
      </c>
      <c r="AV331" s="518" t="str">
        <f>IF(AND(_3="B-737-800",'2026'!$L$4="FO",'2026'!$L$2=AV309),'2026DATA'!$E$24,"")</f>
        <v/>
      </c>
      <c r="AW331" s="518" t="str">
        <f>IF(AND(_3="B-737-800",'2026'!$L$4="FO",'2026'!$L$2=AW309),'2026DATA'!$F$24,"")</f>
        <v/>
      </c>
      <c r="AX331" s="518" t="str">
        <f>IF(AND(_3="B-737-800",'2026'!$L$4="FO",'2026'!$L$2=AX309),'2026DATA'!$G$24,"")</f>
        <v/>
      </c>
      <c r="AY331" s="518" t="str">
        <f>IF(AND(_3="B-737-800",'2026'!$L$4="FO",'2026'!$L$2=AY309),'2026DATA'!$H$24,"")</f>
        <v/>
      </c>
      <c r="AZ331" s="518" t="str">
        <f>IF(AND(_3="B-737-800",'2026'!$L$4="FO",'2026'!$L$2=AZ309),'2026DATA'!$I$24,"")</f>
        <v/>
      </c>
      <c r="BA331" s="518" t="str">
        <f>IF(AND(_3="B-737-800",'2026'!$L$4="FO",'2026'!$L$2=BA309),'2026DATA'!$J$24,"")</f>
        <v/>
      </c>
      <c r="BB331" s="518" t="str">
        <f>IF(AND(_3="B-737-800",'2026'!$L$4="FO",'2026'!$L$2=BB309),'2026DATA'!$K$24,"")</f>
        <v/>
      </c>
      <c r="BC331" s="518" t="str">
        <f>IF(AND(_3="B-737-800",'2026'!$L$4="FO",'2026'!$L$2=BC309),'2026DATA'!$L$24,"")</f>
        <v/>
      </c>
      <c r="BD331" s="518" t="str">
        <f>IF(AND(_3="B-737-800",'2026'!$L$4="FO",'2026'!$L$2=BD309),'2026DATA'!$M$24,"")</f>
        <v/>
      </c>
      <c r="BE331" s="520" t="str">
        <f>IF(AND(_3="B-737-800",'2026'!$L$4="FO",'2026'!$L$2=BE309),'2026DATA'!$N$24,"")</f>
        <v/>
      </c>
      <c r="BF331" s="940"/>
      <c r="BG331" s="13" t="s">
        <v>62</v>
      </c>
      <c r="BH331" s="518" t="str">
        <f>IF(AND(_4="B-737-800",'2026'!$L$4="FO",'2026'!$L$2=BH309),'2026DATA'!$C$24,"")</f>
        <v/>
      </c>
      <c r="BI331" s="518" t="str">
        <f>IF(AND(_4="B-737-800",'2026'!$L$4="FO",'2026'!$L$2=BI309),'2026DATA'!$D$24,"")</f>
        <v/>
      </c>
      <c r="BJ331" s="518" t="str">
        <f>IF(AND(_4="B-737-800",'2026'!$L$4="FO",'2026'!$L$2=BJ309),'2026DATA'!$E$24,"")</f>
        <v/>
      </c>
      <c r="BK331" s="518" t="str">
        <f>IF(AND(_4="B-737-800",'2026'!$L$4="FO",'2026'!$L$2=BK309),'2026DATA'!$F$24,"")</f>
        <v/>
      </c>
      <c r="BL331" s="518" t="str">
        <f>IF(AND(_4="B-737-800",'2026'!$L$4="FO",'2026'!$L$2=BL309),'2026DATA'!$G$24,"")</f>
        <v/>
      </c>
      <c r="BM331" s="518" t="str">
        <f>IF(AND(_4="B-737-800",'2026'!$L$4="FO",'2026'!$L$2=BM309),'2026DATA'!$H$24,"")</f>
        <v/>
      </c>
      <c r="BN331" s="518" t="str">
        <f>IF(AND(_4="B-737-800",'2026'!$L$4="FO",'2026'!$L$2=BN309),'2026DATA'!$I$24,"")</f>
        <v/>
      </c>
      <c r="BO331" s="518" t="str">
        <f>IF(AND(_4="B-737-800",'2026'!$L$4="FO",'2026'!$L$2=BO309),'2026DATA'!$J$24,"")</f>
        <v/>
      </c>
      <c r="BP331" s="518" t="str">
        <f>IF(AND(_4="B-737-800",'2026'!$L$4="FO",'2026'!$L$2=BP309),'2026DATA'!$K$24,"")</f>
        <v/>
      </c>
      <c r="BQ331" s="518" t="str">
        <f>IF(AND(_4="B-737-800",'2026'!$L$4="FO",'2026'!$L$2=BQ309),'2026DATA'!$L$24,"")</f>
        <v/>
      </c>
      <c r="BR331" s="518" t="str">
        <f>IF(AND(_4="B-737-800",'2026'!$L$4="FO",'2026'!$L$2=BR309),'2026DATA'!$M$24,"")</f>
        <v/>
      </c>
      <c r="BS331" s="520" t="str">
        <f>IF(AND(_4="B-737-800",'2026'!$L$4="FO",'2026'!$L$2=BS309),'2026DATA'!$N$24,"")</f>
        <v/>
      </c>
      <c r="BT331" s="940"/>
      <c r="BU331" s="13" t="s">
        <v>62</v>
      </c>
      <c r="BV331" s="518" t="str">
        <f>IF(AND(_5="B-737-800",'2026'!$L$4="FO",'2026'!$L$2=BV309),'2026DATA'!$C$24,"")</f>
        <v/>
      </c>
      <c r="BW331" s="518" t="str">
        <f>IF(AND(_5="B-737-800",'2026'!$L$4="FO",'2026'!$L$2=BW309),'2026DATA'!$D$24,"")</f>
        <v/>
      </c>
      <c r="BX331" s="518" t="str">
        <f>IF(AND(_5="B-737-800",'2026'!$L$4="FO",'2026'!$L$2=BX309),'2026DATA'!$E$24,"")</f>
        <v/>
      </c>
      <c r="BY331" s="518" t="str">
        <f>IF(AND(_5="B-737-800",'2026'!$L$4="FO",'2026'!$L$2=BY309),'2026DATA'!$F$24,"")</f>
        <v/>
      </c>
      <c r="BZ331" s="518" t="str">
        <f>IF(AND(_5="B-737-800",'2026'!$L$4="FO",'2026'!$L$2=BZ309),'2026DATA'!$G$24,"")</f>
        <v/>
      </c>
      <c r="CA331" s="518" t="str">
        <f>IF(AND(_5="B-737-800",'2026'!$L$4="FO",'2026'!$L$2=CA309),'2026DATA'!$H$24,"")</f>
        <v/>
      </c>
      <c r="CB331" s="518" t="str">
        <f>IF(AND(_5="B-737-800",'2026'!$L$4="FO",'2026'!$L$2=CB309),'2026DATA'!$I$24,"")</f>
        <v/>
      </c>
      <c r="CC331" s="518" t="str">
        <f>IF(AND(_5="B-737-800",'2026'!$L$4="FO",'2026'!$L$2=CC309),'2026DATA'!$J$24,"")</f>
        <v/>
      </c>
      <c r="CD331" s="518" t="str">
        <f>IF(AND(_5="B-737-800",'2026'!$L$4="FO",'2026'!$L$2=CD309),'2026DATA'!$K$24,"")</f>
        <v/>
      </c>
      <c r="CE331" s="518" t="str">
        <f>IF(AND(_5="B-737-800",'2026'!$L$4="FO",'2026'!$L$2=CE309),'2026DATA'!$L$24,"")</f>
        <v/>
      </c>
      <c r="CF331" s="518" t="str">
        <f>IF(AND(_5="B-737-800",'2026'!$L$4="FO",'2026'!$L$2=CF309),'2026DATA'!$M$24,"")</f>
        <v/>
      </c>
      <c r="CG331" s="520" t="str">
        <f>IF(AND(_5="B-737-800",'2026'!$L$4="FO",'2026'!$L$2=CG309),'2026DATA'!$N$24,"")</f>
        <v/>
      </c>
      <c r="CH331" s="940"/>
      <c r="CI331" s="13" t="s">
        <v>62</v>
      </c>
      <c r="CJ331" s="518" t="str">
        <f>IF(AND(_6="B-737-800",'2026'!$L$4="FO",'2026'!$L$2=CJ309),'2026DATA'!$C$24,"")</f>
        <v/>
      </c>
      <c r="CK331" s="518" t="str">
        <f>IF(AND(_6="B-737-800",'2026'!$L$4="FO",'2026'!$L$2=CK309),'2026DATA'!$D$24,"")</f>
        <v/>
      </c>
      <c r="CL331" s="518" t="str">
        <f>IF(AND(_6="B-737-800",'2026'!$L$4="FO",'2026'!$L$2=CL309),'2026DATA'!$E$24,"")</f>
        <v/>
      </c>
      <c r="CM331" s="518" t="str">
        <f>IF(AND(_6="B-737-800",'2026'!$L$4="FO",'2026'!$L$2=CM309),'2026DATA'!$F$24,"")</f>
        <v/>
      </c>
      <c r="CN331" s="518" t="str">
        <f>IF(AND(_6="B-737-800",'2026'!$L$4="FO",'2026'!$L$2=CN309),'2026DATA'!$G$24,"")</f>
        <v/>
      </c>
      <c r="CO331" s="518" t="str">
        <f>IF(AND(_6="B-737-800",'2026'!$L$4="FO",'2026'!$L$2=CO309),'2026DATA'!$H$24,"")</f>
        <v/>
      </c>
      <c r="CP331" s="518" t="str">
        <f>IF(AND(_6="B-737-800",'2026'!$L$4="FO",'2026'!$L$2=CP309),'2026DATA'!$I$24,"")</f>
        <v/>
      </c>
      <c r="CQ331" s="518" t="str">
        <f>IF(AND(_6="B-737-800",'2026'!$L$4="FO",'2026'!$L$2=CQ309),'2026DATA'!$J$24,"")</f>
        <v/>
      </c>
      <c r="CR331" s="518" t="str">
        <f>IF(AND(_6="B-737-800",'2026'!$L$4="FO",'2026'!$L$2=CR309),'2026DATA'!$K$24,"")</f>
        <v/>
      </c>
      <c r="CS331" s="518" t="str">
        <f>IF(AND(_6="B-737-800",'2026'!$L$4="FO",'2026'!$L$2=CS309),'2026DATA'!$L$24,"")</f>
        <v/>
      </c>
      <c r="CT331" s="518" t="str">
        <f>IF(AND(_6="B-737-800",'2026'!$L$4="FO",'2026'!$L$2=CT309),'2026DATA'!$M$24,"")</f>
        <v/>
      </c>
      <c r="CU331" s="520" t="str">
        <f>IF(AND(_6="B-737-800",'2026'!$L$4="FO",'2026'!$L$2=CU309),'2026DATA'!$N$24,"")</f>
        <v/>
      </c>
    </row>
    <row r="332" spans="16:99" x14ac:dyDescent="0.25">
      <c r="P332" s="940" t="s">
        <v>46</v>
      </c>
      <c r="Q332" s="13" t="s">
        <v>61</v>
      </c>
      <c r="R332" s="518" t="str">
        <f>IF(AND(_1="A-321N",'2026'!$L$4="CA",'2026'!$L$2=R309),'2026DATA'!$C$25,"")</f>
        <v/>
      </c>
      <c r="S332" s="518" t="str">
        <f>IF(AND(_1="A-321N",'2026'!$L$4="CA",'2026'!$L$2=S309),'2026DATA'!$D$25,"")</f>
        <v/>
      </c>
      <c r="T332" s="518" t="str">
        <f>IF(AND(_1="A-321N",'2026'!$L$4="CA",'2026'!$L$2=T309),'2026DATA'!$E$25,"")</f>
        <v/>
      </c>
      <c r="U332" s="518" t="str">
        <f>IF(AND(_1="A-321N",'2026'!$L$4="CA",'2026'!$L$2=U309),'2026DATA'!$F$25,"")</f>
        <v/>
      </c>
      <c r="V332" s="518" t="str">
        <f>IF(AND(_1="A-321N",'2026'!$L$4="CA",'2026'!$L$2=V309),'2026DATA'!$G$25,"")</f>
        <v/>
      </c>
      <c r="W332" s="518" t="str">
        <f>IF(AND(_1="A-321N",'2026'!$L$4="CA",'2026'!$L$2=W309),'2026DATA'!$H$25,"")</f>
        <v/>
      </c>
      <c r="X332" s="518" t="str">
        <f>IF(AND(_1="A-321N",'2026'!$L$4="CA",'2026'!$L$2=X309),'2026DATA'!$I$25,"")</f>
        <v/>
      </c>
      <c r="Y332" s="518" t="str">
        <f>IF(AND(_1="A-321N",'2026'!$L$4="CA",'2026'!$L$2=Y309),'2026DATA'!$J$25,"")</f>
        <v/>
      </c>
      <c r="Z332" s="518" t="str">
        <f>IF(AND(_1="A-321N",'2026'!$L$4="CA",'2026'!$L$2=Z309),'2026DATA'!$K$25,"")</f>
        <v/>
      </c>
      <c r="AA332" s="518" t="str">
        <f>IF(AND(_1="A-321N",'2026'!$L$4="CA",'2026'!$L$2=AA309),'2026DATA'!$L$25,"")</f>
        <v/>
      </c>
      <c r="AB332" s="518" t="str">
        <f>IF(AND(_1="A-321N",'2026'!$L$4="CA",'2026'!$L$2=AB309),'2026DATA'!$M$25,"")</f>
        <v/>
      </c>
      <c r="AC332" s="520" t="str">
        <f>IF(AND(_1="A-321N",'2026'!$L$4="CA",'2026'!$L$2=AC309),'2026DATA'!$N$25,"")</f>
        <v/>
      </c>
      <c r="AD332" s="940" t="s">
        <v>46</v>
      </c>
      <c r="AE332" s="13" t="s">
        <v>61</v>
      </c>
      <c r="AF332" s="518" t="str">
        <f>IF(AND(_2="A-321N",'2026'!$L$4="CA",'2026'!$L$2=AF309),'2026DATA'!$C$25,"")</f>
        <v/>
      </c>
      <c r="AG332" s="518" t="str">
        <f>IF(AND(_2="A-321N",'2026'!$L$4="CA",'2026'!$L$2=AG309),'2026DATA'!$D$25,"")</f>
        <v/>
      </c>
      <c r="AH332" s="518" t="str">
        <f>IF(AND(_2="A-321N",'2026'!$L$4="CA",'2026'!$L$2=AH309),'2026DATA'!$E$25,"")</f>
        <v/>
      </c>
      <c r="AI332" s="518" t="str">
        <f>IF(AND(_2="A-321N",'2026'!$L$4="CA",'2026'!$L$2=AI309),'2026DATA'!$F$25,"")</f>
        <v/>
      </c>
      <c r="AJ332" s="518" t="str">
        <f>IF(AND(_2="A-321N",'2026'!$L$4="CA",'2026'!$L$2=AJ309),'2026DATA'!$G$25,"")</f>
        <v/>
      </c>
      <c r="AK332" s="518" t="str">
        <f>IF(AND(_2="A-321N",'2026'!$L$4="CA",'2026'!$L$2=AK309),'2026DATA'!$H$25,"")</f>
        <v/>
      </c>
      <c r="AL332" s="518" t="str">
        <f>IF(AND(_2="A-321N",'2026'!$L$4="CA",'2026'!$L$2=AL309),'2026DATA'!$I$25,"")</f>
        <v/>
      </c>
      <c r="AM332" s="518" t="str">
        <f>IF(AND(_2="A-321N",'2026'!$L$4="CA",'2026'!$L$2=AM309),'2026DATA'!$J$25,"")</f>
        <v/>
      </c>
      <c r="AN332" s="518" t="str">
        <f>IF(AND(_2="A-321N",'2026'!$L$4="CA",'2026'!$L$2=AN309),'2026DATA'!$K$25,"")</f>
        <v/>
      </c>
      <c r="AO332" s="518" t="str">
        <f>IF(AND(_2="A-321N",'2026'!$L$4="CA",'2026'!$L$2=AO309),'2026DATA'!$L$25,"")</f>
        <v/>
      </c>
      <c r="AP332" s="518" t="str">
        <f>IF(AND(_2="A-321N",'2026'!$L$4="CA",'2026'!$L$2=AP309),'2026DATA'!$M$25,"")</f>
        <v/>
      </c>
      <c r="AQ332" s="520" t="str">
        <f>IF(AND(_2="A-321N",'2026'!$L$4="CA",'2026'!$L$2=AQ309),'2026DATA'!$N$25,"")</f>
        <v/>
      </c>
      <c r="AR332" s="940" t="s">
        <v>46</v>
      </c>
      <c r="AS332" s="13" t="s">
        <v>61</v>
      </c>
      <c r="AT332" s="518" t="str">
        <f>IF(AND(_3="A-321N",'2026'!$L$4="CA",'2026'!$L$2=AT309),'2026DATA'!$C$25,"")</f>
        <v/>
      </c>
      <c r="AU332" s="518" t="str">
        <f>IF(AND(_3="A-321N",'2026'!$L$4="CA",'2026'!$L$2=AU309),'2026DATA'!$D$25,"")</f>
        <v/>
      </c>
      <c r="AV332" s="518" t="str">
        <f>IF(AND(_3="A-321N",'2026'!$L$4="CA",'2026'!$L$2=AV309),'2026DATA'!$E$25,"")</f>
        <v/>
      </c>
      <c r="AW332" s="518" t="str">
        <f>IF(AND(_3="A-321N",'2026'!$L$4="CA",'2026'!$L$2=AW309),'2026DATA'!$F$25,"")</f>
        <v/>
      </c>
      <c r="AX332" s="518" t="str">
        <f>IF(AND(_3="A-321N",'2026'!$L$4="CA",'2026'!$L$2=AX309),'2026DATA'!$G$25,"")</f>
        <v/>
      </c>
      <c r="AY332" s="518" t="str">
        <f>IF(AND(_3="A-321N",'2026'!$L$4="CA",'2026'!$L$2=AY309),'2026DATA'!$H$25,"")</f>
        <v/>
      </c>
      <c r="AZ332" s="518" t="str">
        <f>IF(AND(_3="A-321N",'2026'!$L$4="CA",'2026'!$L$2=AZ309),'2026DATA'!$I$25,"")</f>
        <v/>
      </c>
      <c r="BA332" s="518" t="str">
        <f>IF(AND(_3="A-321N",'2026'!$L$4="CA",'2026'!$L$2=BA309),'2026DATA'!$J$25,"")</f>
        <v/>
      </c>
      <c r="BB332" s="518" t="str">
        <f>IF(AND(_3="A-321N",'2026'!$L$4="CA",'2026'!$L$2=BB309),'2026DATA'!$K$25,"")</f>
        <v/>
      </c>
      <c r="BC332" s="518" t="str">
        <f>IF(AND(_3="A-321N",'2026'!$L$4="CA",'2026'!$L$2=BC309),'2026DATA'!$L$25,"")</f>
        <v/>
      </c>
      <c r="BD332" s="518" t="str">
        <f>IF(AND(_3="A-321N",'2026'!$L$4="CA",'2026'!$L$2=BD309),'2026DATA'!$M$25,"")</f>
        <v/>
      </c>
      <c r="BE332" s="520" t="str">
        <f>IF(AND(_3="A-321N",'2026'!$L$4="CA",'2026'!$L$2=BE309),'2026DATA'!$N$25,"")</f>
        <v/>
      </c>
      <c r="BF332" s="940" t="s">
        <v>46</v>
      </c>
      <c r="BG332" s="13" t="s">
        <v>61</v>
      </c>
      <c r="BH332" s="518" t="str">
        <f>IF(AND(_4="A-321N",'2026'!$L$4="CA",'2026'!$L$2=BH309),'2026DATA'!$C$25,"")</f>
        <v/>
      </c>
      <c r="BI332" s="518" t="str">
        <f>IF(AND(_4="A-321N",'2026'!$L$4="CA",'2026'!$L$2=BI309),'2026DATA'!$D$25,"")</f>
        <v/>
      </c>
      <c r="BJ332" s="518" t="str">
        <f>IF(AND(_4="A-321N",'2026'!$L$4="CA",'2026'!$L$2=BJ309),'2026DATA'!$E$25,"")</f>
        <v/>
      </c>
      <c r="BK332" s="518" t="str">
        <f>IF(AND(_4="A-321N",'2026'!$L$4="CA",'2026'!$L$2=BK309),'2026DATA'!$F$25,"")</f>
        <v/>
      </c>
      <c r="BL332" s="518" t="str">
        <f>IF(AND(_4="A-321N",'2026'!$L$4="CA",'2026'!$L$2=BL309),'2026DATA'!$G$25,"")</f>
        <v/>
      </c>
      <c r="BM332" s="518" t="str">
        <f>IF(AND(_4="A-321N",'2026'!$L$4="CA",'2026'!$L$2=BM309),'2026DATA'!$H$25,"")</f>
        <v/>
      </c>
      <c r="BN332" s="518" t="str">
        <f>IF(AND(_4="A-321N",'2026'!$L$4="CA",'2026'!$L$2=BN309),'2026DATA'!$I$25,"")</f>
        <v/>
      </c>
      <c r="BO332" s="518" t="str">
        <f>IF(AND(_4="A-321N",'2026'!$L$4="CA",'2026'!$L$2=BO309),'2026DATA'!$J$25,"")</f>
        <v/>
      </c>
      <c r="BP332" s="518" t="str">
        <f>IF(AND(_4="A-321N",'2026'!$L$4="CA",'2026'!$L$2=BP309),'2026DATA'!$K$25,"")</f>
        <v/>
      </c>
      <c r="BQ332" s="518" t="str">
        <f>IF(AND(_4="A-321N",'2026'!$L$4="CA",'2026'!$L$2=BQ309),'2026DATA'!$L$25,"")</f>
        <v/>
      </c>
      <c r="BR332" s="518" t="str">
        <f>IF(AND(_4="A-321N",'2026'!$L$4="CA",'2026'!$L$2=BR309),'2026DATA'!$M$25,"")</f>
        <v/>
      </c>
      <c r="BS332" s="520" t="str">
        <f>IF(AND(_4="A-321N",'2026'!$L$4="CA",'2026'!$L$2=BS309),'2026DATA'!$N$25,"")</f>
        <v/>
      </c>
      <c r="BT332" s="940" t="s">
        <v>46</v>
      </c>
      <c r="BU332" s="13" t="s">
        <v>61</v>
      </c>
      <c r="BV332" s="518" t="str">
        <f>IF(AND(_5="A-321N",'2026'!$L$4="CA",'2026'!$L$2=BV309),'2026DATA'!$C$25,"")</f>
        <v/>
      </c>
      <c r="BW332" s="518" t="str">
        <f>IF(AND(_5="A-321N",'2026'!$L$4="CA",'2026'!$L$2=BW309),'2026DATA'!$D$25,"")</f>
        <v/>
      </c>
      <c r="BX332" s="518" t="str">
        <f>IF(AND(_5="A-321N",'2026'!$L$4="CA",'2026'!$L$2=BX309),'2026DATA'!$E$25,"")</f>
        <v/>
      </c>
      <c r="BY332" s="518" t="str">
        <f>IF(AND(_5="A-321N",'2026'!$L$4="CA",'2026'!$L$2=BY309),'2026DATA'!$F$25,"")</f>
        <v/>
      </c>
      <c r="BZ332" s="518" t="str">
        <f>IF(AND(_5="A-321N",'2026'!$L$4="CA",'2026'!$L$2=BZ309),'2026DATA'!$G$25,"")</f>
        <v/>
      </c>
      <c r="CA332" s="518" t="str">
        <f>IF(AND(_5="A-321N",'2026'!$L$4="CA",'2026'!$L$2=CA309),'2026DATA'!$H$25,"")</f>
        <v/>
      </c>
      <c r="CB332" s="518" t="str">
        <f>IF(AND(_5="A-321N",'2026'!$L$4="CA",'2026'!$L$2=CB309),'2026DATA'!$I$25,"")</f>
        <v/>
      </c>
      <c r="CC332" s="518" t="str">
        <f>IF(AND(_5="A-321N",'2026'!$L$4="CA",'2026'!$L$2=CC309),'2026DATA'!$J$25,"")</f>
        <v/>
      </c>
      <c r="CD332" s="518" t="str">
        <f>IF(AND(_5="A-321N",'2026'!$L$4="CA",'2026'!$L$2=CD309),'2026DATA'!$K$25,"")</f>
        <v/>
      </c>
      <c r="CE332" s="518" t="str">
        <f>IF(AND(_5="A-321N",'2026'!$L$4="CA",'2026'!$L$2=CE309),'2026DATA'!$L$25,"")</f>
        <v/>
      </c>
      <c r="CF332" s="518" t="str">
        <f>IF(AND(_5="A-321N",'2026'!$L$4="CA",'2026'!$L$2=CF309),'2026DATA'!$M$25,"")</f>
        <v/>
      </c>
      <c r="CG332" s="520" t="str">
        <f>IF(AND(_5="A-321N",'2026'!$L$4="CA",'2026'!$L$2=CG309),'2026DATA'!$N$25,"")</f>
        <v/>
      </c>
      <c r="CH332" s="940" t="s">
        <v>46</v>
      </c>
      <c r="CI332" s="13" t="s">
        <v>61</v>
      </c>
      <c r="CJ332" s="518" t="str">
        <f>IF(AND(_6="A-321N",'2026'!$L$4="CA",'2026'!$L$2=CJ309),'2026DATA'!$C$25,"")</f>
        <v/>
      </c>
      <c r="CK332" s="518" t="str">
        <f>IF(AND(_6="A-321N",'2026'!$L$4="CA",'2026'!$L$2=CK309),'2026DATA'!$D$25,"")</f>
        <v/>
      </c>
      <c r="CL332" s="518" t="str">
        <f>IF(AND(_6="A-321N",'2026'!$L$4="CA",'2026'!$L$2=CL309),'2026DATA'!$E$25,"")</f>
        <v/>
      </c>
      <c r="CM332" s="518" t="str">
        <f>IF(AND(_6="A-321N",'2026'!$L$4="CA",'2026'!$L$2=CM309),'2026DATA'!$F$25,"")</f>
        <v/>
      </c>
      <c r="CN332" s="518" t="str">
        <f>IF(AND(_6="A-321N",'2026'!$L$4="CA",'2026'!$L$2=CN309),'2026DATA'!$G$25,"")</f>
        <v/>
      </c>
      <c r="CO332" s="518" t="str">
        <f>IF(AND(_6="A-321N",'2026'!$L$4="CA",'2026'!$L$2=CO309),'2026DATA'!$H$25,"")</f>
        <v/>
      </c>
      <c r="CP332" s="518" t="str">
        <f>IF(AND(_6="A-321N",'2026'!$L$4="CA",'2026'!$L$2=CP309),'2026DATA'!$I$25,"")</f>
        <v/>
      </c>
      <c r="CQ332" s="518" t="str">
        <f>IF(AND(_6="A-321N",'2026'!$L$4="CA",'2026'!$L$2=CQ309),'2026DATA'!$J$25,"")</f>
        <v/>
      </c>
      <c r="CR332" s="518" t="str">
        <f>IF(AND(_6="A-321N",'2026'!$L$4="CA",'2026'!$L$2=CR309),'2026DATA'!$K$25,"")</f>
        <v/>
      </c>
      <c r="CS332" s="518" t="str">
        <f>IF(AND(_6="A-321N",'2026'!$L$4="CA",'2026'!$L$2=CS309),'2026DATA'!$L$25,"")</f>
        <v/>
      </c>
      <c r="CT332" s="518" t="str">
        <f>IF(AND(_6="A-321N",'2026'!$L$4="CA",'2026'!$L$2=CT309),'2026DATA'!$M$25,"")</f>
        <v/>
      </c>
      <c r="CU332" s="520" t="str">
        <f>IF(AND(_6="A-321N",'2026'!$L$4="CA",'2026'!$L$2=CU309),'2026DATA'!$N$25,"")</f>
        <v/>
      </c>
    </row>
    <row r="333" spans="16:99" x14ac:dyDescent="0.25">
      <c r="P333" s="940"/>
      <c r="Q333" s="13" t="s">
        <v>62</v>
      </c>
      <c r="R333" s="518" t="str">
        <f>IF(AND(_1="A-321N",'2026'!$L$4="FO",'2026'!$L$2=R309),'2026DATA'!$C$26,"")</f>
        <v/>
      </c>
      <c r="S333" s="518" t="str">
        <f>IF(AND(_1="A-321N",'2026'!$L$4="FO",'2026'!$L$2=S309),'2026DATA'!$D$26,"")</f>
        <v/>
      </c>
      <c r="T333" s="518" t="str">
        <f>IF(AND(_1="A-321N",'2026'!$L$4="FO",'2026'!$L$2=T309),'2026DATA'!$E$26,"")</f>
        <v/>
      </c>
      <c r="U333" s="518" t="str">
        <f>IF(AND(_1="A-321N",'2026'!$L$4="FO",'2026'!$L$2=U309),'2026DATA'!$F$26,"")</f>
        <v/>
      </c>
      <c r="V333" s="518" t="str">
        <f>IF(AND(_1="A-321N",'2026'!$L$4="FO",'2026'!$L$2=V309),'2026DATA'!$G$26,"")</f>
        <v/>
      </c>
      <c r="W333" s="518" t="str">
        <f>IF(AND(_1="A-321N",'2026'!$L$4="FO",'2026'!$L$2=W309),'2026DATA'!$H$26,"")</f>
        <v/>
      </c>
      <c r="X333" s="518" t="str">
        <f>IF(AND(_1="A-321N",'2026'!$L$4="FO",'2026'!$L$2=X309),'2026DATA'!$I$26,"")</f>
        <v/>
      </c>
      <c r="Y333" s="518" t="str">
        <f>IF(AND(_1="A-321N",'2026'!$L$4="FO",'2026'!$L$2=Y309),'2026DATA'!$J$26,"")</f>
        <v/>
      </c>
      <c r="Z333" s="518" t="str">
        <f>IF(AND(_1="A-321N",'2026'!$L$4="FO",'2026'!$L$2=Z309),'2026DATA'!$K$26,"")</f>
        <v/>
      </c>
      <c r="AA333" s="518" t="str">
        <f>IF(AND(_1="A-321N",'2026'!$L$4="FO",'2026'!$L$2=AA309),'2026DATA'!$L$26,"")</f>
        <v/>
      </c>
      <c r="AB333" s="518" t="str">
        <f>IF(AND(_1="A-321N",'2026'!$L$4="FO",'2026'!$L$2=AB309),'2026DATA'!$M$26,"")</f>
        <v/>
      </c>
      <c r="AC333" s="520" t="str">
        <f>IF(AND(_1="A-321N",'2026'!$L$4="FO",'2026'!$L$2=AC309),'2026DATA'!$N$26,"")</f>
        <v/>
      </c>
      <c r="AD333" s="940"/>
      <c r="AE333" s="13" t="s">
        <v>62</v>
      </c>
      <c r="AF333" s="518" t="str">
        <f>IF(AND(_2="A-321N",'2026'!$L$4="FO",'2026'!$L$2=AF309),'2026DATA'!$C$26,"")</f>
        <v/>
      </c>
      <c r="AG333" s="518" t="str">
        <f>IF(AND(_2="A-321N",'2026'!$L$4="FO",'2026'!$L$2=AG309),'2026DATA'!$D$26,"")</f>
        <v/>
      </c>
      <c r="AH333" s="518" t="str">
        <f>IF(AND(_2="A-321N",'2026'!$L$4="FO",'2026'!$L$2=AH309),'2026DATA'!$E$26,"")</f>
        <v/>
      </c>
      <c r="AI333" s="518" t="str">
        <f>IF(AND(_2="A-321N",'2026'!$L$4="FO",'2026'!$L$2=AI309),'2026DATA'!$F$26,"")</f>
        <v/>
      </c>
      <c r="AJ333" s="518" t="str">
        <f>IF(AND(_2="A-321N",'2026'!$L$4="FO",'2026'!$L$2=AJ309),'2026DATA'!$G$26,"")</f>
        <v/>
      </c>
      <c r="AK333" s="518" t="str">
        <f>IF(AND(_2="A-321N",'2026'!$L$4="FO",'2026'!$L$2=AK309),'2026DATA'!$H$26,"")</f>
        <v/>
      </c>
      <c r="AL333" s="518" t="str">
        <f>IF(AND(_2="A-321N",'2026'!$L$4="FO",'2026'!$L$2=AL309),'2026DATA'!$I$26,"")</f>
        <v/>
      </c>
      <c r="AM333" s="518" t="str">
        <f>IF(AND(_2="A-321N",'2026'!$L$4="FO",'2026'!$L$2=AM309),'2026DATA'!$J$26,"")</f>
        <v/>
      </c>
      <c r="AN333" s="518" t="str">
        <f>IF(AND(_2="A-321N",'2026'!$L$4="FO",'2026'!$L$2=AN309),'2026DATA'!$K$26,"")</f>
        <v/>
      </c>
      <c r="AO333" s="518" t="str">
        <f>IF(AND(_2="A-321N",'2026'!$L$4="FO",'2026'!$L$2=AO309),'2026DATA'!$L$26,"")</f>
        <v/>
      </c>
      <c r="AP333" s="518" t="str">
        <f>IF(AND(_2="A-321N",'2026'!$L$4="FO",'2026'!$L$2=AP309),'2026DATA'!$M$26,"")</f>
        <v/>
      </c>
      <c r="AQ333" s="520" t="str">
        <f>IF(AND(_2="A-321N",'2026'!$L$4="FO",'2026'!$L$2=AQ309),'2026DATA'!$N$26,"")</f>
        <v/>
      </c>
      <c r="AR333" s="940"/>
      <c r="AS333" s="13" t="s">
        <v>62</v>
      </c>
      <c r="AT333" s="518" t="str">
        <f>IF(AND(_3="A-321N",'2026'!$L$4="FO",'2026'!$L$2=AT309),'2026DATA'!$C$26,"")</f>
        <v/>
      </c>
      <c r="AU333" s="518" t="str">
        <f>IF(AND(_3="A-321N",'2026'!$L$4="FO",'2026'!$L$2=AU309),'2026DATA'!$D$26,"")</f>
        <v/>
      </c>
      <c r="AV333" s="518" t="str">
        <f>IF(AND(_3="A-321N",'2026'!$L$4="FO",'2026'!$L$2=AV309),'2026DATA'!$E$26,"")</f>
        <v/>
      </c>
      <c r="AW333" s="518" t="str">
        <f>IF(AND(_3="A-321N",'2026'!$L$4="FO",'2026'!$L$2=AW309),'2026DATA'!$F$26,"")</f>
        <v/>
      </c>
      <c r="AX333" s="518" t="str">
        <f>IF(AND(_3="A-321N",'2026'!$L$4="FO",'2026'!$L$2=AX309),'2026DATA'!$G$26,"")</f>
        <v/>
      </c>
      <c r="AY333" s="518" t="str">
        <f>IF(AND(_3="A-321N",'2026'!$L$4="FO",'2026'!$L$2=AY309),'2026DATA'!$H$26,"")</f>
        <v/>
      </c>
      <c r="AZ333" s="518" t="str">
        <f>IF(AND(_3="A-321N",'2026'!$L$4="FO",'2026'!$L$2=AZ309),'2026DATA'!$I$26,"")</f>
        <v/>
      </c>
      <c r="BA333" s="518" t="str">
        <f>IF(AND(_3="A-321N",'2026'!$L$4="FO",'2026'!$L$2=BA309),'2026DATA'!$J$26,"")</f>
        <v/>
      </c>
      <c r="BB333" s="518" t="str">
        <f>IF(AND(_3="A-321N",'2026'!$L$4="FO",'2026'!$L$2=BB309),'2026DATA'!$K$26,"")</f>
        <v/>
      </c>
      <c r="BC333" s="518" t="str">
        <f>IF(AND(_3="A-321N",'2026'!$L$4="FO",'2026'!$L$2=BC309),'2026DATA'!$L$26,"")</f>
        <v/>
      </c>
      <c r="BD333" s="518" t="str">
        <f>IF(AND(_3="A-321N",'2026'!$L$4="FO",'2026'!$L$2=BD309),'2026DATA'!$M$26,"")</f>
        <v/>
      </c>
      <c r="BE333" s="520" t="str">
        <f>IF(AND(_3="A-321N",'2026'!$L$4="FO",'2026'!$L$2=BE309),'2026DATA'!$N$26,"")</f>
        <v/>
      </c>
      <c r="BF333" s="940"/>
      <c r="BG333" s="13" t="s">
        <v>62</v>
      </c>
      <c r="BH333" s="518" t="str">
        <f>IF(AND(_4="A-321N",'2026'!$L$4="FO",'2026'!$L$2=BH309),'2026DATA'!$C$26,"")</f>
        <v/>
      </c>
      <c r="BI333" s="518" t="str">
        <f>IF(AND(_4="A-321N",'2026'!$L$4="FO",'2026'!$L$2=BI309),'2026DATA'!$D$26,"")</f>
        <v/>
      </c>
      <c r="BJ333" s="518" t="str">
        <f>IF(AND(_4="A-321N",'2026'!$L$4="FO",'2026'!$L$2=BJ309),'2026DATA'!$E$26,"")</f>
        <v/>
      </c>
      <c r="BK333" s="518" t="str">
        <f>IF(AND(_4="A-321N",'2026'!$L$4="FO",'2026'!$L$2=BK309),'2026DATA'!$F$26,"")</f>
        <v/>
      </c>
      <c r="BL333" s="518" t="str">
        <f>IF(AND(_4="A-321N",'2026'!$L$4="FO",'2026'!$L$2=BL309),'2026DATA'!$G$26,"")</f>
        <v/>
      </c>
      <c r="BM333" s="518" t="str">
        <f>IF(AND(_4="A-321N",'2026'!$L$4="FO",'2026'!$L$2=BM309),'2026DATA'!$H$26,"")</f>
        <v/>
      </c>
      <c r="BN333" s="518" t="str">
        <f>IF(AND(_4="A-321N",'2026'!$L$4="FO",'2026'!$L$2=BN309),'2026DATA'!$I$26,"")</f>
        <v/>
      </c>
      <c r="BO333" s="518" t="str">
        <f>IF(AND(_4="A-321N",'2026'!$L$4="FO",'2026'!$L$2=BO309),'2026DATA'!$J$26,"")</f>
        <v/>
      </c>
      <c r="BP333" s="518" t="str">
        <f>IF(AND(_4="A-321N",'2026'!$L$4="FO",'2026'!$L$2=BP309),'2026DATA'!$K$26,"")</f>
        <v/>
      </c>
      <c r="BQ333" s="518" t="str">
        <f>IF(AND(_4="A-321N",'2026'!$L$4="FO",'2026'!$L$2=BQ309),'2026DATA'!$L$26,"")</f>
        <v/>
      </c>
      <c r="BR333" s="518" t="str">
        <f>IF(AND(_4="A-321N",'2026'!$L$4="FO",'2026'!$L$2=BR309),'2026DATA'!$M$26,"")</f>
        <v/>
      </c>
      <c r="BS333" s="520" t="str">
        <f>IF(AND(_4="A-321N",'2026'!$L$4="FO",'2026'!$L$2=BS309),'2026DATA'!$N$26,"")</f>
        <v/>
      </c>
      <c r="BT333" s="940"/>
      <c r="BU333" s="13" t="s">
        <v>62</v>
      </c>
      <c r="BV333" s="518" t="str">
        <f>IF(AND(_5="A-321N",'2026'!$L$4="FO",'2026'!$L$2=BV309),'2026DATA'!$C$26,"")</f>
        <v/>
      </c>
      <c r="BW333" s="518" t="str">
        <f>IF(AND(_5="A-321N",'2026'!$L$4="FO",'2026'!$L$2=BW309),'2026DATA'!$D$26,"")</f>
        <v/>
      </c>
      <c r="BX333" s="518" t="str">
        <f>IF(AND(_5="A-321N",'2026'!$L$4="FO",'2026'!$L$2=BX309),'2026DATA'!$E$26,"")</f>
        <v/>
      </c>
      <c r="BY333" s="518" t="str">
        <f>IF(AND(_5="A-321N",'2026'!$L$4="FO",'2026'!$L$2=BY309),'2026DATA'!$F$26,"")</f>
        <v/>
      </c>
      <c r="BZ333" s="518" t="str">
        <f>IF(AND(_5="A-321N",'2026'!$L$4="FO",'2026'!$L$2=BZ309),'2026DATA'!$G$26,"")</f>
        <v/>
      </c>
      <c r="CA333" s="518" t="str">
        <f>IF(AND(_5="A-321N",'2026'!$L$4="FO",'2026'!$L$2=CA309),'2026DATA'!$H$26,"")</f>
        <v/>
      </c>
      <c r="CB333" s="518" t="str">
        <f>IF(AND(_5="A-321N",'2026'!$L$4="FO",'2026'!$L$2=CB309),'2026DATA'!$I$26,"")</f>
        <v/>
      </c>
      <c r="CC333" s="518" t="str">
        <f>IF(AND(_5="A-321N",'2026'!$L$4="FO",'2026'!$L$2=CC309),'2026DATA'!$J$26,"")</f>
        <v/>
      </c>
      <c r="CD333" s="518" t="str">
        <f>IF(AND(_5="A-321N",'2026'!$L$4="FO",'2026'!$L$2=CD309),'2026DATA'!$K$26,"")</f>
        <v/>
      </c>
      <c r="CE333" s="518" t="str">
        <f>IF(AND(_5="A-321N",'2026'!$L$4="FO",'2026'!$L$2=CE309),'2026DATA'!$L$26,"")</f>
        <v/>
      </c>
      <c r="CF333" s="518" t="str">
        <f>IF(AND(_5="A-321N",'2026'!$L$4="FO",'2026'!$L$2=CF309),'2026DATA'!$M$26,"")</f>
        <v/>
      </c>
      <c r="CG333" s="520" t="str">
        <f>IF(AND(_5="A-321N",'2026'!$L$4="FO",'2026'!$L$2=CG309),'2026DATA'!$N$26,"")</f>
        <v/>
      </c>
      <c r="CH333" s="940"/>
      <c r="CI333" s="13" t="s">
        <v>62</v>
      </c>
      <c r="CJ333" s="518" t="str">
        <f>IF(AND(_6="A-321N",'2026'!$L$4="FO",'2026'!$L$2=CJ309),'2026DATA'!$C$26,"")</f>
        <v/>
      </c>
      <c r="CK333" s="518" t="str">
        <f>IF(AND(_6="A-321N",'2026'!$L$4="FO",'2026'!$L$2=CK309),'2026DATA'!$D$26,"")</f>
        <v/>
      </c>
      <c r="CL333" s="518" t="str">
        <f>IF(AND(_6="A-321N",'2026'!$L$4="FO",'2026'!$L$2=CL309),'2026DATA'!$E$26,"")</f>
        <v/>
      </c>
      <c r="CM333" s="518" t="str">
        <f>IF(AND(_6="A-321N",'2026'!$L$4="FO",'2026'!$L$2=CM309),'2026DATA'!$F$26,"")</f>
        <v/>
      </c>
      <c r="CN333" s="518" t="str">
        <f>IF(AND(_6="A-321N",'2026'!$L$4="FO",'2026'!$L$2=CN309),'2026DATA'!$G$26,"")</f>
        <v/>
      </c>
      <c r="CO333" s="518" t="str">
        <f>IF(AND(_6="A-321N",'2026'!$L$4="FO",'2026'!$L$2=CO309),'2026DATA'!$H$26,"")</f>
        <v/>
      </c>
      <c r="CP333" s="518" t="str">
        <f>IF(AND(_6="A-321N",'2026'!$L$4="FO",'2026'!$L$2=CP309),'2026DATA'!$I$26,"")</f>
        <v/>
      </c>
      <c r="CQ333" s="518" t="str">
        <f>IF(AND(_6="A-321N",'2026'!$L$4="FO",'2026'!$L$2=CQ309),'2026DATA'!$J$26,"")</f>
        <v/>
      </c>
      <c r="CR333" s="518" t="str">
        <f>IF(AND(_6="A-321N",'2026'!$L$4="FO",'2026'!$L$2=CR309),'2026DATA'!$K$26,"")</f>
        <v/>
      </c>
      <c r="CS333" s="518" t="str">
        <f>IF(AND(_6="A-321N",'2026'!$L$4="FO",'2026'!$L$2=CS309),'2026DATA'!$L$26,"")</f>
        <v/>
      </c>
      <c r="CT333" s="518" t="str">
        <f>IF(AND(_6="A-321N",'2026'!$L$4="FO",'2026'!$L$2=CT309),'2026DATA'!$M$26,"")</f>
        <v/>
      </c>
      <c r="CU333" s="520" t="str">
        <f>IF(AND(_6="A-321N",'2026'!$L$4="FO",'2026'!$L$2=CU309),'2026DATA'!$N$26,"")</f>
        <v/>
      </c>
    </row>
    <row r="334" spans="16:99" x14ac:dyDescent="0.25">
      <c r="P334" s="940" t="s">
        <v>48</v>
      </c>
      <c r="Q334" s="13" t="s">
        <v>61</v>
      </c>
      <c r="R334" s="518" t="str">
        <f>IF(AND(_1="A-321",'2026'!$L$4="CA",'2026'!$L$2=R309),'2026DATA'!$C$27,"")</f>
        <v/>
      </c>
      <c r="S334" s="518" t="str">
        <f>IF(AND(_1="A-321",'2026'!$L$4="CA",'2026'!$L$2=S309),'2026DATA'!$D$27,"")</f>
        <v/>
      </c>
      <c r="T334" s="518" t="str">
        <f>IF(AND(_1="A-321",'2026'!$L$4="CA",'2026'!$L$2=T309),'2026DATA'!$E$27,"")</f>
        <v/>
      </c>
      <c r="U334" s="518" t="str">
        <f>IF(AND(_1="A-321",'2026'!$L$4="CA",'2026'!$L$2=U309),'2026DATA'!$F$27,"")</f>
        <v/>
      </c>
      <c r="V334" s="518" t="str">
        <f>IF(AND(_1="A-321",'2026'!$L$4="CA",'2026'!$L$2=V309),'2026DATA'!$G$27,"")</f>
        <v/>
      </c>
      <c r="W334" s="518" t="str">
        <f>IF(AND(_1="A-321",'2026'!$L$4="CA",'2026'!$L$2=W309),'2026DATA'!$H$27,"")</f>
        <v/>
      </c>
      <c r="X334" s="518" t="str">
        <f>IF(AND(_1="A-321",'2026'!$L$4="CA",'2026'!$L$2=X309),'2026DATA'!$I$27,"")</f>
        <v/>
      </c>
      <c r="Y334" s="518" t="str">
        <f>IF(AND(_1="A-321",'2026'!$L$4="CA",'2026'!$L$2=Y309),'2026DATA'!$J$27,"")</f>
        <v/>
      </c>
      <c r="Z334" s="518" t="str">
        <f>IF(AND(_1="A-321",'2026'!$L$4="CA",'2026'!$L$2=Z309),'2026DATA'!$K$27,"")</f>
        <v/>
      </c>
      <c r="AA334" s="518" t="str">
        <f>IF(AND(_1="A-321",'2026'!$L$4="CA",'2026'!$L$2=AA309),'2026DATA'!$L$27,"")</f>
        <v/>
      </c>
      <c r="AB334" s="518" t="str">
        <f>IF(AND(_1="A-321",'2026'!$L$4="CA",'2026'!$L$2=AB309),'2026DATA'!$M$27,"")</f>
        <v/>
      </c>
      <c r="AC334" s="520" t="str">
        <f>IF(AND(_1="A-321",'2026'!$L$4="CA",'2026'!$L$2=AC309),'2026DATA'!$N$27,"")</f>
        <v/>
      </c>
      <c r="AD334" s="940" t="s">
        <v>48</v>
      </c>
      <c r="AE334" s="13" t="s">
        <v>61</v>
      </c>
      <c r="AF334" s="518" t="str">
        <f>IF(AND(_2="A-321",'2026'!$L$4="CA",'2026'!$L$2=AF309),'2026DATA'!$C$27,"")</f>
        <v/>
      </c>
      <c r="AG334" s="518" t="str">
        <f>IF(AND(_2="A-321",'2026'!$L$4="CA",'2026'!$L$2=AG309),'2026DATA'!$D$27,"")</f>
        <v/>
      </c>
      <c r="AH334" s="518" t="str">
        <f>IF(AND(_2="A-321",'2026'!$L$4="CA",'2026'!$L$2=AH309),'2026DATA'!$E$27,"")</f>
        <v/>
      </c>
      <c r="AI334" s="518" t="str">
        <f>IF(AND(_2="A-321",'2026'!$L$4="CA",'2026'!$L$2=AI309),'2026DATA'!$F$27,"")</f>
        <v/>
      </c>
      <c r="AJ334" s="518" t="str">
        <f>IF(AND(_2="A-321",'2026'!$L$4="CA",'2026'!$L$2=AJ309),'2026DATA'!$G$27,"")</f>
        <v/>
      </c>
      <c r="AK334" s="518" t="str">
        <f>IF(AND(_2="A-321",'2026'!$L$4="CA",'2026'!$L$2=AK309),'2026DATA'!$H$27,"")</f>
        <v/>
      </c>
      <c r="AL334" s="518" t="str">
        <f>IF(AND(_2="A-321",'2026'!$L$4="CA",'2026'!$L$2=AL309),'2026DATA'!$I$27,"")</f>
        <v/>
      </c>
      <c r="AM334" s="518" t="str">
        <f>IF(AND(_2="A-321",'2026'!$L$4="CA",'2026'!$L$2=AM309),'2026DATA'!$J$27,"")</f>
        <v/>
      </c>
      <c r="AN334" s="518" t="str">
        <f>IF(AND(_2="A-321",'2026'!$L$4="CA",'2026'!$L$2=AN309),'2026DATA'!$K$27,"")</f>
        <v/>
      </c>
      <c r="AO334" s="518" t="str">
        <f>IF(AND(_2="A-321",'2026'!$L$4="CA",'2026'!$L$2=AO309),'2026DATA'!$L$27,"")</f>
        <v/>
      </c>
      <c r="AP334" s="518" t="str">
        <f>IF(AND(_2="A-321",'2026'!$L$4="CA",'2026'!$L$2=AP309),'2026DATA'!$M$27,"")</f>
        <v/>
      </c>
      <c r="AQ334" s="520" t="str">
        <f>IF(AND(_2="A-321",'2026'!$L$4="CA",'2026'!$L$2=AQ309),'2026DATA'!$N$27,"")</f>
        <v/>
      </c>
      <c r="AR334" s="940" t="s">
        <v>48</v>
      </c>
      <c r="AS334" s="13" t="s">
        <v>61</v>
      </c>
      <c r="AT334" s="518" t="str">
        <f>IF(AND(_3="A-321",'2026'!$L$4="CA",'2026'!$L$2=AT309),'2026DATA'!$C$27,"")</f>
        <v/>
      </c>
      <c r="AU334" s="518" t="str">
        <f>IF(AND(_3="A-321",'2026'!$L$4="CA",'2026'!$L$2=AU309),'2026DATA'!$D$27,"")</f>
        <v/>
      </c>
      <c r="AV334" s="518" t="str">
        <f>IF(AND(_3="A-321",'2026'!$L$4="CA",'2026'!$L$2=AV309),'2026DATA'!$E$27,"")</f>
        <v/>
      </c>
      <c r="AW334" s="518" t="str">
        <f>IF(AND(_3="A-321",'2026'!$L$4="CA",'2026'!$L$2=AW309),'2026DATA'!$F$27,"")</f>
        <v/>
      </c>
      <c r="AX334" s="518" t="str">
        <f>IF(AND(_3="A-321",'2026'!$L$4="CA",'2026'!$L$2=AX309),'2026DATA'!$G$27,"")</f>
        <v/>
      </c>
      <c r="AY334" s="518" t="str">
        <f>IF(AND(_3="A-321",'2026'!$L$4="CA",'2026'!$L$2=AY309),'2026DATA'!$H$27,"")</f>
        <v/>
      </c>
      <c r="AZ334" s="518" t="str">
        <f>IF(AND(_3="A-321",'2026'!$L$4="CA",'2026'!$L$2=AZ309),'2026DATA'!$I$27,"")</f>
        <v/>
      </c>
      <c r="BA334" s="518" t="str">
        <f>IF(AND(_3="A-321",'2026'!$L$4="CA",'2026'!$L$2=BA309),'2026DATA'!$J$27,"")</f>
        <v/>
      </c>
      <c r="BB334" s="518" t="str">
        <f>IF(AND(_3="A-321",'2026'!$L$4="CA",'2026'!$L$2=BB309),'2026DATA'!$K$27,"")</f>
        <v/>
      </c>
      <c r="BC334" s="518" t="str">
        <f>IF(AND(_3="A-321",'2026'!$L$4="CA",'2026'!$L$2=BC309),'2026DATA'!$L$27,"")</f>
        <v/>
      </c>
      <c r="BD334" s="518" t="str">
        <f>IF(AND(_3="A-321",'2026'!$L$4="CA",'2026'!$L$2=BD309),'2026DATA'!$M$27,"")</f>
        <v/>
      </c>
      <c r="BE334" s="520" t="str">
        <f>IF(AND(_3="A-321",'2026'!$L$4="CA",'2026'!$L$2=BE309),'2026DATA'!$N$27,"")</f>
        <v/>
      </c>
      <c r="BF334" s="940" t="s">
        <v>48</v>
      </c>
      <c r="BG334" s="13" t="s">
        <v>61</v>
      </c>
      <c r="BH334" s="518" t="str">
        <f>IF(AND(_4="A-321",'2026'!$L$4="CA",'2026'!$L$2=BH309),'2026DATA'!$C$27,"")</f>
        <v/>
      </c>
      <c r="BI334" s="518" t="str">
        <f>IF(AND(_4="A-321",'2026'!$L$4="CA",'2026'!$L$2=BI309),'2026DATA'!$D$27,"")</f>
        <v/>
      </c>
      <c r="BJ334" s="518" t="str">
        <f>IF(AND(_4="A-321",'2026'!$L$4="CA",'2026'!$L$2=BJ309),'2026DATA'!$E$27,"")</f>
        <v/>
      </c>
      <c r="BK334" s="518" t="str">
        <f>IF(AND(_4="A-321",'2026'!$L$4="CA",'2026'!$L$2=BK309),'2026DATA'!$F$27,"")</f>
        <v/>
      </c>
      <c r="BL334" s="518" t="str">
        <f>IF(AND(_4="A-321",'2026'!$L$4="CA",'2026'!$L$2=BL309),'2026DATA'!$G$27,"")</f>
        <v/>
      </c>
      <c r="BM334" s="518" t="str">
        <f>IF(AND(_4="A-321",'2026'!$L$4="CA",'2026'!$L$2=BM309),'2026DATA'!$H$27,"")</f>
        <v/>
      </c>
      <c r="BN334" s="518" t="str">
        <f>IF(AND(_4="A-321",'2026'!$L$4="CA",'2026'!$L$2=BN309),'2026DATA'!$I$27,"")</f>
        <v/>
      </c>
      <c r="BO334" s="518" t="str">
        <f>IF(AND(_4="A-321",'2026'!$L$4="CA",'2026'!$L$2=BO309),'2026DATA'!$J$27,"")</f>
        <v/>
      </c>
      <c r="BP334" s="518" t="str">
        <f>IF(AND(_4="A-321",'2026'!$L$4="CA",'2026'!$L$2=BP309),'2026DATA'!$K$27,"")</f>
        <v/>
      </c>
      <c r="BQ334" s="518" t="str">
        <f>IF(AND(_4="A-321",'2026'!$L$4="CA",'2026'!$L$2=BQ309),'2026DATA'!$L$27,"")</f>
        <v/>
      </c>
      <c r="BR334" s="518" t="str">
        <f>IF(AND(_4="A-321",'2026'!$L$4="CA",'2026'!$L$2=BR309),'2026DATA'!$M$27,"")</f>
        <v/>
      </c>
      <c r="BS334" s="520" t="str">
        <f>IF(AND(_4="A-321",'2026'!$L$4="CA",'2026'!$L$2=BS309),'2026DATA'!$N$27,"")</f>
        <v/>
      </c>
      <c r="BT334" s="940" t="s">
        <v>48</v>
      </c>
      <c r="BU334" s="13" t="s">
        <v>61</v>
      </c>
      <c r="BV334" s="518" t="str">
        <f>IF(AND(_5="A-321",'2026'!$L$4="CA",'2026'!$L$2=BV309),'2026DATA'!$C$27,"")</f>
        <v/>
      </c>
      <c r="BW334" s="518" t="str">
        <f>IF(AND(_5="A-321",'2026'!$L$4="CA",'2026'!$L$2=BW309),'2026DATA'!$D$27,"")</f>
        <v/>
      </c>
      <c r="BX334" s="518" t="str">
        <f>IF(AND(_5="A-321",'2026'!$L$4="CA",'2026'!$L$2=BX309),'2026DATA'!$E$27,"")</f>
        <v/>
      </c>
      <c r="BY334" s="518" t="str">
        <f>IF(AND(_5="A-321",'2026'!$L$4="CA",'2026'!$L$2=BY309),'2026DATA'!$F$27,"")</f>
        <v/>
      </c>
      <c r="BZ334" s="518" t="str">
        <f>IF(AND(_5="A-321",'2026'!$L$4="CA",'2026'!$L$2=BZ309),'2026DATA'!$G$27,"")</f>
        <v/>
      </c>
      <c r="CA334" s="518" t="str">
        <f>IF(AND(_5="A-321",'2026'!$L$4="CA",'2026'!$L$2=CA309),'2026DATA'!$H$27,"")</f>
        <v/>
      </c>
      <c r="CB334" s="518" t="str">
        <f>IF(AND(_5="A-321",'2026'!$L$4="CA",'2026'!$L$2=CB309),'2026DATA'!$I$27,"")</f>
        <v/>
      </c>
      <c r="CC334" s="518" t="str">
        <f>IF(AND(_5="A-321",'2026'!$L$4="CA",'2026'!$L$2=CC309),'2026DATA'!$J$27,"")</f>
        <v/>
      </c>
      <c r="CD334" s="518" t="str">
        <f>IF(AND(_5="A-321",'2026'!$L$4="CA",'2026'!$L$2=CD309),'2026DATA'!$K$27,"")</f>
        <v/>
      </c>
      <c r="CE334" s="518" t="str">
        <f>IF(AND(_5="A-321",'2026'!$L$4="CA",'2026'!$L$2=CE309),'2026DATA'!$L$27,"")</f>
        <v/>
      </c>
      <c r="CF334" s="518" t="str">
        <f>IF(AND(_5="A-321",'2026'!$L$4="CA",'2026'!$L$2=CF309),'2026DATA'!$M$27,"")</f>
        <v/>
      </c>
      <c r="CG334" s="520" t="str">
        <f>IF(AND(_5="A-321",'2026'!$L$4="CA",'2026'!$L$2=CG309),'2026DATA'!$N$27,"")</f>
        <v/>
      </c>
      <c r="CH334" s="940" t="s">
        <v>48</v>
      </c>
      <c r="CI334" s="13" t="s">
        <v>61</v>
      </c>
      <c r="CJ334" s="518" t="str">
        <f>IF(AND(_6="A-321",'2026'!$L$4="CA",'2026'!$L$2=CJ309),'2026DATA'!$C$27,"")</f>
        <v/>
      </c>
      <c r="CK334" s="518" t="str">
        <f>IF(AND(_6="A-321",'2026'!$L$4="CA",'2026'!$L$2=CK309),'2026DATA'!$D$27,"")</f>
        <v/>
      </c>
      <c r="CL334" s="518" t="str">
        <f>IF(AND(_6="A-321",'2026'!$L$4="CA",'2026'!$L$2=CL309),'2026DATA'!$E$27,"")</f>
        <v/>
      </c>
      <c r="CM334" s="518" t="str">
        <f>IF(AND(_6="A-321",'2026'!$L$4="CA",'2026'!$L$2=CM309),'2026DATA'!$F$27,"")</f>
        <v/>
      </c>
      <c r="CN334" s="518" t="str">
        <f>IF(AND(_6="A-321",'2026'!$L$4="CA",'2026'!$L$2=CN309),'2026DATA'!$G$27,"")</f>
        <v/>
      </c>
      <c r="CO334" s="518" t="str">
        <f>IF(AND(_6="A-321",'2026'!$L$4="CA",'2026'!$L$2=CO309),'2026DATA'!$H$27,"")</f>
        <v/>
      </c>
      <c r="CP334" s="518" t="str">
        <f>IF(AND(_6="A-321",'2026'!$L$4="CA",'2026'!$L$2=CP309),'2026DATA'!$I$27,"")</f>
        <v/>
      </c>
      <c r="CQ334" s="518" t="str">
        <f>IF(AND(_6="A-321",'2026'!$L$4="CA",'2026'!$L$2=CQ309),'2026DATA'!$J$27,"")</f>
        <v/>
      </c>
      <c r="CR334" s="518" t="str">
        <f>IF(AND(_6="A-321",'2026'!$L$4="CA",'2026'!$L$2=CR309),'2026DATA'!$K$27,"")</f>
        <v/>
      </c>
      <c r="CS334" s="518" t="str">
        <f>IF(AND(_6="A-321",'2026'!$L$4="CA",'2026'!$L$2=CS309),'2026DATA'!$L$27,"")</f>
        <v/>
      </c>
      <c r="CT334" s="518" t="str">
        <f>IF(AND(_6="A-321",'2026'!$L$4="CA",'2026'!$L$2=CT309),'2026DATA'!$M$27,"")</f>
        <v/>
      </c>
      <c r="CU334" s="520" t="str">
        <f>IF(AND(_6="A-321",'2026'!$L$4="CA",'2026'!$L$2=CU309),'2026DATA'!$N$27,"")</f>
        <v/>
      </c>
    </row>
    <row r="335" spans="16:99" x14ac:dyDescent="0.25">
      <c r="P335" s="940"/>
      <c r="Q335" s="13" t="s">
        <v>62</v>
      </c>
      <c r="R335" s="518" t="str">
        <f>IF(AND(_1="A-321",'2026'!$L$4="FO",'2026'!$L$2=R309),'2026DATA'!$C$28,"")</f>
        <v/>
      </c>
      <c r="S335" s="518" t="str">
        <f>IF(AND(_1="A-321",'2026'!$L$4="FO",'2026'!$L$2=S309),'2026DATA'!$D$28,"")</f>
        <v/>
      </c>
      <c r="T335" s="518" t="str">
        <f>IF(AND(_1="A-321",'2026'!$L$4="FO",'2026'!$L$2=T309),'2026DATA'!$E$28,"")</f>
        <v/>
      </c>
      <c r="U335" s="518" t="str">
        <f>IF(AND(_1="A-321",'2026'!$L$4="FO",'2026'!$L$2=U309),'2026DATA'!$F$28,"")</f>
        <v/>
      </c>
      <c r="V335" s="518" t="str">
        <f>IF(AND(_1="A-321",'2026'!$L$4="FO",'2026'!$L$2=V309),'2026DATA'!$G$28,"")</f>
        <v/>
      </c>
      <c r="W335" s="518" t="str">
        <f>IF(AND(_1="A-321",'2026'!$L$4="FO",'2026'!$L$2=W309),'2026DATA'!$H$28,"")</f>
        <v/>
      </c>
      <c r="X335" s="518" t="str">
        <f>IF(AND(_1="A-321",'2026'!$L$4="FO",'2026'!$L$2=X309),'2026DATA'!$I$28,"")</f>
        <v/>
      </c>
      <c r="Y335" s="518" t="str">
        <f>IF(AND(_1="A-321",'2026'!$L$4="FO",'2026'!$L$2=Y309),'2026DATA'!$J$28,"")</f>
        <v/>
      </c>
      <c r="Z335" s="518" t="str">
        <f>IF(AND(_1="A-321",'2026'!$L$4="FO",'2026'!$L$2=Z309),'2026DATA'!$K$28,"")</f>
        <v/>
      </c>
      <c r="AA335" s="518" t="str">
        <f>IF(AND(_1="A-321",'2026'!$L$4="FO",'2026'!$L$2=AA309),'2026DATA'!$L$28,"")</f>
        <v/>
      </c>
      <c r="AB335" s="518" t="str">
        <f>IF(AND(_1="A-321",'2026'!$L$4="FO",'2026'!$L$2=AB309),'2026DATA'!$M$28,"")</f>
        <v/>
      </c>
      <c r="AC335" s="520" t="str">
        <f>IF(AND(_1="A-321",'2026'!$L$4="FO",'2026'!$L$2=AC309),'2026DATA'!$N$28,"")</f>
        <v/>
      </c>
      <c r="AD335" s="940"/>
      <c r="AE335" s="13" t="s">
        <v>62</v>
      </c>
      <c r="AF335" s="518" t="str">
        <f>IF(AND(_2="A-321",'2026'!$L$4="FO",'2026'!$L$2=AF309),'2026DATA'!$C$28,"")</f>
        <v/>
      </c>
      <c r="AG335" s="518" t="str">
        <f>IF(AND(_2="A-321",'2026'!$L$4="FO",'2026'!$L$2=AG309),'2026DATA'!$D$28,"")</f>
        <v/>
      </c>
      <c r="AH335" s="518" t="str">
        <f>IF(AND(_2="A-321",'2026'!$L$4="FO",'2026'!$L$2=AH309),'2026DATA'!$E$28,"")</f>
        <v/>
      </c>
      <c r="AI335" s="518" t="str">
        <f>IF(AND(_2="A-321",'2026'!$L$4="FO",'2026'!$L$2=AI309),'2026DATA'!$F$28,"")</f>
        <v/>
      </c>
      <c r="AJ335" s="518" t="str">
        <f>IF(AND(_2="A-321",'2026'!$L$4="FO",'2026'!$L$2=AJ309),'2026DATA'!$G$28,"")</f>
        <v/>
      </c>
      <c r="AK335" s="518" t="str">
        <f>IF(AND(_2="A-321",'2026'!$L$4="FO",'2026'!$L$2=AK309),'2026DATA'!$H$28,"")</f>
        <v/>
      </c>
      <c r="AL335" s="518" t="str">
        <f>IF(AND(_2="A-321",'2026'!$L$4="FO",'2026'!$L$2=AL309),'2026DATA'!$I$28,"")</f>
        <v/>
      </c>
      <c r="AM335" s="518" t="str">
        <f>IF(AND(_2="A-321",'2026'!$L$4="FO",'2026'!$L$2=AM309),'2026DATA'!$J$28,"")</f>
        <v/>
      </c>
      <c r="AN335" s="518" t="str">
        <f>IF(AND(_2="A-321",'2026'!$L$4="FO",'2026'!$L$2=AN309),'2026DATA'!$K$28,"")</f>
        <v/>
      </c>
      <c r="AO335" s="518" t="str">
        <f>IF(AND(_2="A-321",'2026'!$L$4="FO",'2026'!$L$2=AO309),'2026DATA'!$L$28,"")</f>
        <v/>
      </c>
      <c r="AP335" s="518" t="str">
        <f>IF(AND(_2="A-321",'2026'!$L$4="FO",'2026'!$L$2=AP309),'2026DATA'!$M$28,"")</f>
        <v/>
      </c>
      <c r="AQ335" s="520" t="str">
        <f>IF(AND(_2="A-321",'2026'!$L$4="FO",'2026'!$L$2=AQ309),'2026DATA'!$N$28,"")</f>
        <v/>
      </c>
      <c r="AR335" s="940"/>
      <c r="AS335" s="13" t="s">
        <v>62</v>
      </c>
      <c r="AT335" s="518" t="str">
        <f>IF(AND(_3="A-321",'2026'!$L$4="FO",'2026'!$L$2=AT309),'2026DATA'!$C$28,"")</f>
        <v/>
      </c>
      <c r="AU335" s="518" t="str">
        <f>IF(AND(_3="A-321",'2026'!$L$4="FO",'2026'!$L$2=AU309),'2026DATA'!$D$28,"")</f>
        <v/>
      </c>
      <c r="AV335" s="518" t="str">
        <f>IF(AND(_3="A-321",'2026'!$L$4="FO",'2026'!$L$2=AV309),'2026DATA'!$E$28,"")</f>
        <v/>
      </c>
      <c r="AW335" s="518" t="str">
        <f>IF(AND(_3="A-321",'2026'!$L$4="FO",'2026'!$L$2=AW309),'2026DATA'!$F$28,"")</f>
        <v/>
      </c>
      <c r="AX335" s="518" t="str">
        <f>IF(AND(_3="A-321",'2026'!$L$4="FO",'2026'!$L$2=AX309),'2026DATA'!$G$28,"")</f>
        <v/>
      </c>
      <c r="AY335" s="518" t="str">
        <f>IF(AND(_3="A-321",'2026'!$L$4="FO",'2026'!$L$2=AY309),'2026DATA'!$H$28,"")</f>
        <v/>
      </c>
      <c r="AZ335" s="518" t="str">
        <f>IF(AND(_3="A-321",'2026'!$L$4="FO",'2026'!$L$2=AZ309),'2026DATA'!$I$28,"")</f>
        <v/>
      </c>
      <c r="BA335" s="518" t="str">
        <f>IF(AND(_3="A-321",'2026'!$L$4="FO",'2026'!$L$2=BA309),'2026DATA'!$J$28,"")</f>
        <v/>
      </c>
      <c r="BB335" s="518" t="str">
        <f>IF(AND(_3="A-321",'2026'!$L$4="FO",'2026'!$L$2=BB309),'2026DATA'!$K$28,"")</f>
        <v/>
      </c>
      <c r="BC335" s="518" t="str">
        <f>IF(AND(_3="A-321",'2026'!$L$4="FO",'2026'!$L$2=BC309),'2026DATA'!$L$28,"")</f>
        <v/>
      </c>
      <c r="BD335" s="518" t="str">
        <f>IF(AND(_3="A-321",'2026'!$L$4="FO",'2026'!$L$2=BD309),'2026DATA'!$M$28,"")</f>
        <v/>
      </c>
      <c r="BE335" s="520" t="str">
        <f>IF(AND(_3="A-321",'2026'!$L$4="FO",'2026'!$L$2=BE309),'2026DATA'!$N$28,"")</f>
        <v/>
      </c>
      <c r="BF335" s="940"/>
      <c r="BG335" s="13" t="s">
        <v>62</v>
      </c>
      <c r="BH335" s="518" t="str">
        <f>IF(AND(_4="A-321",'2026'!$L$4="FO",'2026'!$L$2=BH309),'2026DATA'!$C$28,"")</f>
        <v/>
      </c>
      <c r="BI335" s="518" t="str">
        <f>IF(AND(_4="A-321",'2026'!$L$4="FO",'2026'!$L$2=BI309),'2026DATA'!$D$28,"")</f>
        <v/>
      </c>
      <c r="BJ335" s="518" t="str">
        <f>IF(AND(_4="A-321",'2026'!$L$4="FO",'2026'!$L$2=BJ309),'2026DATA'!$E$28,"")</f>
        <v/>
      </c>
      <c r="BK335" s="518" t="str">
        <f>IF(AND(_4="A-321",'2026'!$L$4="FO",'2026'!$L$2=BK309),'2026DATA'!$F$28,"")</f>
        <v/>
      </c>
      <c r="BL335" s="518" t="str">
        <f>IF(AND(_4="A-321",'2026'!$L$4="FO",'2026'!$L$2=BL309),'2026DATA'!$G$28,"")</f>
        <v/>
      </c>
      <c r="BM335" s="518" t="str">
        <f>IF(AND(_4="A-321",'2026'!$L$4="FO",'2026'!$L$2=BM309),'2026DATA'!$H$28,"")</f>
        <v/>
      </c>
      <c r="BN335" s="518" t="str">
        <f>IF(AND(_4="A-321",'2026'!$L$4="FO",'2026'!$L$2=BN309),'2026DATA'!$I$28,"")</f>
        <v/>
      </c>
      <c r="BO335" s="518" t="str">
        <f>IF(AND(_4="A-321",'2026'!$L$4="FO",'2026'!$L$2=BO309),'2026DATA'!$J$28,"")</f>
        <v/>
      </c>
      <c r="BP335" s="518" t="str">
        <f>IF(AND(_4="A-321",'2026'!$L$4="FO",'2026'!$L$2=BP309),'2026DATA'!$K$28,"")</f>
        <v/>
      </c>
      <c r="BQ335" s="518" t="str">
        <f>IF(AND(_4="A-321",'2026'!$L$4="FO",'2026'!$L$2=BQ309),'2026DATA'!$L$28,"")</f>
        <v/>
      </c>
      <c r="BR335" s="518" t="str">
        <f>IF(AND(_4="A-321",'2026'!$L$4="FO",'2026'!$L$2=BR309),'2026DATA'!$M$28,"")</f>
        <v/>
      </c>
      <c r="BS335" s="520" t="str">
        <f>IF(AND(_4="A-321",'2026'!$L$4="FO",'2026'!$L$2=BS309),'2026DATA'!$N$28,"")</f>
        <v/>
      </c>
      <c r="BT335" s="940"/>
      <c r="BU335" s="13" t="s">
        <v>62</v>
      </c>
      <c r="BV335" s="518" t="str">
        <f>IF(AND(_5="A-321",'2026'!$L$4="FO",'2026'!$L$2=BV309),'2026DATA'!$C$28,"")</f>
        <v/>
      </c>
      <c r="BW335" s="518" t="str">
        <f>IF(AND(_5="A-321",'2026'!$L$4="FO",'2026'!$L$2=BW309),'2026DATA'!$D$28,"")</f>
        <v/>
      </c>
      <c r="BX335" s="518" t="str">
        <f>IF(AND(_5="A-321",'2026'!$L$4="FO",'2026'!$L$2=BX309),'2026DATA'!$E$28,"")</f>
        <v/>
      </c>
      <c r="BY335" s="518" t="str">
        <f>IF(AND(_5="A-321",'2026'!$L$4="FO",'2026'!$L$2=BY309),'2026DATA'!$F$28,"")</f>
        <v/>
      </c>
      <c r="BZ335" s="518" t="str">
        <f>IF(AND(_5="A-321",'2026'!$L$4="FO",'2026'!$L$2=BZ309),'2026DATA'!$G$28,"")</f>
        <v/>
      </c>
      <c r="CA335" s="518" t="str">
        <f>IF(AND(_5="A-321",'2026'!$L$4="FO",'2026'!$L$2=CA309),'2026DATA'!$H$28,"")</f>
        <v/>
      </c>
      <c r="CB335" s="518" t="str">
        <f>IF(AND(_5="A-321",'2026'!$L$4="FO",'2026'!$L$2=CB309),'2026DATA'!$I$28,"")</f>
        <v/>
      </c>
      <c r="CC335" s="518" t="str">
        <f>IF(AND(_5="A-321",'2026'!$L$4="FO",'2026'!$L$2=CC309),'2026DATA'!$J$28,"")</f>
        <v/>
      </c>
      <c r="CD335" s="518" t="str">
        <f>IF(AND(_5="A-321",'2026'!$L$4="FO",'2026'!$L$2=CD309),'2026DATA'!$K$28,"")</f>
        <v/>
      </c>
      <c r="CE335" s="518" t="str">
        <f>IF(AND(_5="A-321",'2026'!$L$4="FO",'2026'!$L$2=CE309),'2026DATA'!$L$28,"")</f>
        <v/>
      </c>
      <c r="CF335" s="518" t="str">
        <f>IF(AND(_5="A-321",'2026'!$L$4="FO",'2026'!$L$2=CF309),'2026DATA'!$M$28,"")</f>
        <v/>
      </c>
      <c r="CG335" s="520" t="str">
        <f>IF(AND(_5="A-321",'2026'!$L$4="FO",'2026'!$L$2=CG309),'2026DATA'!$N$28,"")</f>
        <v/>
      </c>
      <c r="CH335" s="940"/>
      <c r="CI335" s="13" t="s">
        <v>62</v>
      </c>
      <c r="CJ335" s="518" t="str">
        <f>IF(AND(_6="A-321",'2026'!$L$4="FO",'2026'!$L$2=CJ309),'2026DATA'!$C$28,"")</f>
        <v/>
      </c>
      <c r="CK335" s="518" t="str">
        <f>IF(AND(_6="A-321",'2026'!$L$4="FO",'2026'!$L$2=CK309),'2026DATA'!$D$28,"")</f>
        <v/>
      </c>
      <c r="CL335" s="518" t="str">
        <f>IF(AND(_6="A-321",'2026'!$L$4="FO",'2026'!$L$2=CL309),'2026DATA'!$E$28,"")</f>
        <v/>
      </c>
      <c r="CM335" s="518" t="str">
        <f>IF(AND(_6="A-321",'2026'!$L$4="FO",'2026'!$L$2=CM309),'2026DATA'!$F$28,"")</f>
        <v/>
      </c>
      <c r="CN335" s="518" t="str">
        <f>IF(AND(_6="A-321",'2026'!$L$4="FO",'2026'!$L$2=CN309),'2026DATA'!$G$28,"")</f>
        <v/>
      </c>
      <c r="CO335" s="518" t="str">
        <f>IF(AND(_6="A-321",'2026'!$L$4="FO",'2026'!$L$2=CO309),'2026DATA'!$H$28,"")</f>
        <v/>
      </c>
      <c r="CP335" s="518" t="str">
        <f>IF(AND(_6="A-321",'2026'!$L$4="FO",'2026'!$L$2=CP309),'2026DATA'!$I$28,"")</f>
        <v/>
      </c>
      <c r="CQ335" s="518" t="str">
        <f>IF(AND(_6="A-321",'2026'!$L$4="FO",'2026'!$L$2=CQ309),'2026DATA'!$J$28,"")</f>
        <v/>
      </c>
      <c r="CR335" s="518" t="str">
        <f>IF(AND(_6="A-321",'2026'!$L$4="FO",'2026'!$L$2=CR309),'2026DATA'!$K$28,"")</f>
        <v/>
      </c>
      <c r="CS335" s="518" t="str">
        <f>IF(AND(_6="A-321",'2026'!$L$4="FO",'2026'!$L$2=CS309),'2026DATA'!$L$28,"")</f>
        <v/>
      </c>
      <c r="CT335" s="518" t="str">
        <f>IF(AND(_6="A-321",'2026'!$L$4="FO",'2026'!$L$2=CT309),'2026DATA'!$M$28,"")</f>
        <v/>
      </c>
      <c r="CU335" s="520" t="str">
        <f>IF(AND(_6="A-321",'2026'!$L$4="FO",'2026'!$L$2=CU309),'2026DATA'!$N$28,"")</f>
        <v/>
      </c>
    </row>
    <row r="336" spans="16:99" x14ac:dyDescent="0.25">
      <c r="P336" s="940" t="s">
        <v>70</v>
      </c>
      <c r="Q336" s="13" t="s">
        <v>61</v>
      </c>
      <c r="R336" s="518" t="str">
        <f>IF(AND(_1="A-320",'2026'!$L$4="CA",'2026'!$L$2=R309),'2026DATA'!$C$29,"")</f>
        <v/>
      </c>
      <c r="S336" s="518" t="str">
        <f>IF(AND(_1="A-320",'2026'!$L$4="CA",'2026'!$L$2=S309),'2026DATA'!$D$29,"")</f>
        <v/>
      </c>
      <c r="T336" s="518" t="str">
        <f>IF(AND(_1="A-320",'2026'!$L$4="CA",'2026'!$L$2=T309),'2026DATA'!$E$29,"")</f>
        <v/>
      </c>
      <c r="U336" s="518" t="str">
        <f>IF(AND(_1="A-320",'2026'!$L$4="CA",'2026'!$L$2=U309),'2026DATA'!$F$29,"")</f>
        <v/>
      </c>
      <c r="V336" s="518" t="str">
        <f>IF(AND(_1="A-320",'2026'!$L$4="CA",'2026'!$L$2=V309),'2026DATA'!$G$29,"")</f>
        <v/>
      </c>
      <c r="W336" s="518" t="str">
        <f>IF(AND(_1="A-320",'2026'!$L$4="CA",'2026'!$L$2=W309),'2026DATA'!$H$29,"")</f>
        <v/>
      </c>
      <c r="X336" s="518" t="str">
        <f>IF(AND(_1="A-320",'2026'!$L$4="CA",'2026'!$L$2=X309),'2026DATA'!$I$29,"")</f>
        <v/>
      </c>
      <c r="Y336" s="518" t="str">
        <f>IF(AND(_1="A-320",'2026'!$L$4="CA",'2026'!$L$2=Y309),'2026DATA'!$J$29,"")</f>
        <v/>
      </c>
      <c r="Z336" s="518" t="str">
        <f>IF(AND(_1="A-320",'2026'!$L$4="CA",'2026'!$L$2=Z309),'2026DATA'!$K$29,"")</f>
        <v/>
      </c>
      <c r="AA336" s="518" t="str">
        <f>IF(AND(_1="A-320",'2026'!$L$4="CA",'2026'!$L$2=AA309),'2026DATA'!$L$29,"")</f>
        <v/>
      </c>
      <c r="AB336" s="518" t="str">
        <f>IF(AND(_1="A-320",'2026'!$L$4="CA",'2026'!$L$2=AB309),'2026DATA'!$M$29,"")</f>
        <v/>
      </c>
      <c r="AC336" s="520" t="str">
        <f>IF(AND(_1="A-320",'2026'!$L$4="CA",'2026'!$L$2=AC309),'2026DATA'!$N$29,"")</f>
        <v/>
      </c>
      <c r="AD336" s="940" t="s">
        <v>70</v>
      </c>
      <c r="AE336" s="13" t="s">
        <v>61</v>
      </c>
      <c r="AF336" s="518" t="str">
        <f>IF(AND(_2="A-320",'2026'!$L$4="CA",'2026'!$L$2=AF309),'2026DATA'!$C$29,"")</f>
        <v/>
      </c>
      <c r="AG336" s="518" t="str">
        <f>IF(AND(_2="A-320",'2026'!$L$4="CA",'2026'!$L$2=AG309),'2026DATA'!$D$29,"")</f>
        <v/>
      </c>
      <c r="AH336" s="518" t="str">
        <f>IF(AND(_2="A-320",'2026'!$L$4="CA",'2026'!$L$2=AH309),'2026DATA'!$E$29,"")</f>
        <v/>
      </c>
      <c r="AI336" s="518" t="str">
        <f>IF(AND(_2="A-320",'2026'!$L$4="CA",'2026'!$L$2=AI309),'2026DATA'!$F$29,"")</f>
        <v/>
      </c>
      <c r="AJ336" s="518" t="str">
        <f>IF(AND(_2="A-320",'2026'!$L$4="CA",'2026'!$L$2=AJ309),'2026DATA'!$G$29,"")</f>
        <v/>
      </c>
      <c r="AK336" s="518" t="str">
        <f>IF(AND(_2="A-320",'2026'!$L$4="CA",'2026'!$L$2=AK309),'2026DATA'!$H$29,"")</f>
        <v/>
      </c>
      <c r="AL336" s="518" t="str">
        <f>IF(AND(_2="A-320",'2026'!$L$4="CA",'2026'!$L$2=AL309),'2026DATA'!$I$29,"")</f>
        <v/>
      </c>
      <c r="AM336" s="518" t="str">
        <f>IF(AND(_2="A-320",'2026'!$L$4="CA",'2026'!$L$2=AM309),'2026DATA'!$J$29,"")</f>
        <v/>
      </c>
      <c r="AN336" s="518" t="str">
        <f>IF(AND(_2="A-320",'2026'!$L$4="CA",'2026'!$L$2=AN309),'2026DATA'!$K$29,"")</f>
        <v/>
      </c>
      <c r="AO336" s="518" t="str">
        <f>IF(AND(_2="A-320",'2026'!$L$4="CA",'2026'!$L$2=AO309),'2026DATA'!$L$29,"")</f>
        <v/>
      </c>
      <c r="AP336" s="518" t="str">
        <f>IF(AND(_2="A-320",'2026'!$L$4="CA",'2026'!$L$2=AP309),'2026DATA'!$M$29,"")</f>
        <v/>
      </c>
      <c r="AQ336" s="520" t="str">
        <f>IF(AND(_2="A-320",'2026'!$L$4="CA",'2026'!$L$2=AQ309),'2026DATA'!$N$29,"")</f>
        <v/>
      </c>
      <c r="AR336" s="940" t="s">
        <v>70</v>
      </c>
      <c r="AS336" s="13" t="s">
        <v>61</v>
      </c>
      <c r="AT336" s="518" t="str">
        <f>IF(AND(_3="A-320",'2026'!$L$4="CA",'2026'!$L$2=AT309),'2026DATA'!$C$29,"")</f>
        <v/>
      </c>
      <c r="AU336" s="518" t="str">
        <f>IF(AND(_3="A-320",'2026'!$L$4="CA",'2026'!$L$2=AU309),'2026DATA'!$D$29,"")</f>
        <v/>
      </c>
      <c r="AV336" s="518" t="str">
        <f>IF(AND(_3="A-320",'2026'!$L$4="CA",'2026'!$L$2=AV309),'2026DATA'!$E$29,"")</f>
        <v/>
      </c>
      <c r="AW336" s="518" t="str">
        <f>IF(AND(_3="A-320",'2026'!$L$4="CA",'2026'!$L$2=AW309),'2026DATA'!$F$29,"")</f>
        <v/>
      </c>
      <c r="AX336" s="518" t="str">
        <f>IF(AND(_3="A-320",'2026'!$L$4="CA",'2026'!$L$2=AX309),'2026DATA'!$G$29,"")</f>
        <v/>
      </c>
      <c r="AY336" s="518" t="str">
        <f>IF(AND(_3="A-320",'2026'!$L$4="CA",'2026'!$L$2=AY309),'2026DATA'!$H$29,"")</f>
        <v/>
      </c>
      <c r="AZ336" s="518" t="str">
        <f>IF(AND(_3="A-320",'2026'!$L$4="CA",'2026'!$L$2=AZ309),'2026DATA'!$I$29,"")</f>
        <v/>
      </c>
      <c r="BA336" s="518" t="str">
        <f>IF(AND(_3="A-320",'2026'!$L$4="CA",'2026'!$L$2=BA309),'2026DATA'!$J$29,"")</f>
        <v/>
      </c>
      <c r="BB336" s="518" t="str">
        <f>IF(AND(_3="A-320",'2026'!$L$4="CA",'2026'!$L$2=BB309),'2026DATA'!$K$29,"")</f>
        <v/>
      </c>
      <c r="BC336" s="518" t="str">
        <f>IF(AND(_3="A-320",'2026'!$L$4="CA",'2026'!$L$2=BC309),'2026DATA'!$L$29,"")</f>
        <v/>
      </c>
      <c r="BD336" s="518" t="str">
        <f>IF(AND(_3="A-320",'2026'!$L$4="CA",'2026'!$L$2=BD309),'2026DATA'!$M$29,"")</f>
        <v/>
      </c>
      <c r="BE336" s="520" t="str">
        <f>IF(AND(_3="A-320",'2026'!$L$4="CA",'2026'!$L$2=BE309),'2026DATA'!$N$29,"")</f>
        <v/>
      </c>
      <c r="BF336" s="940" t="s">
        <v>70</v>
      </c>
      <c r="BG336" s="13" t="s">
        <v>61</v>
      </c>
      <c r="BH336" s="518" t="str">
        <f>IF(AND(_4="A-320",'2026'!$L$4="CA",'2026'!$L$2=BH309),'2026DATA'!$C$29,"")</f>
        <v/>
      </c>
      <c r="BI336" s="518" t="str">
        <f>IF(AND(_4="A-320",'2026'!$L$4="CA",'2026'!$L$2=BI309),'2026DATA'!$D$29,"")</f>
        <v/>
      </c>
      <c r="BJ336" s="518" t="str">
        <f>IF(AND(_4="A-320",'2026'!$L$4="CA",'2026'!$L$2=BJ309),'2026DATA'!$E$29,"")</f>
        <v/>
      </c>
      <c r="BK336" s="518" t="str">
        <f>IF(AND(_4="A-320",'2026'!$L$4="CA",'2026'!$L$2=BK309),'2026DATA'!$F$29,"")</f>
        <v/>
      </c>
      <c r="BL336" s="518" t="str">
        <f>IF(AND(_4="A-320",'2026'!$L$4="CA",'2026'!$L$2=BL309),'2026DATA'!$G$29,"")</f>
        <v/>
      </c>
      <c r="BM336" s="518" t="str">
        <f>IF(AND(_4="A-320",'2026'!$L$4="CA",'2026'!$L$2=BM309),'2026DATA'!$H$29,"")</f>
        <v/>
      </c>
      <c r="BN336" s="518" t="str">
        <f>IF(AND(_4="A-320",'2026'!$L$4="CA",'2026'!$L$2=BN309),'2026DATA'!$I$29,"")</f>
        <v/>
      </c>
      <c r="BO336" s="518" t="str">
        <f>IF(AND(_4="A-320",'2026'!$L$4="CA",'2026'!$L$2=BO309),'2026DATA'!$J$29,"")</f>
        <v/>
      </c>
      <c r="BP336" s="518" t="str">
        <f>IF(AND(_4="A-320",'2026'!$L$4="CA",'2026'!$L$2=BP309),'2026DATA'!$K$29,"")</f>
        <v/>
      </c>
      <c r="BQ336" s="518" t="str">
        <f>IF(AND(_4="A-320",'2026'!$L$4="CA",'2026'!$L$2=BQ309),'2026DATA'!$L$29,"")</f>
        <v/>
      </c>
      <c r="BR336" s="518" t="str">
        <f>IF(AND(_4="A-320",'2026'!$L$4="CA",'2026'!$L$2=BR309),'2026DATA'!$M$29,"")</f>
        <v/>
      </c>
      <c r="BS336" s="520" t="str">
        <f>IF(AND(_4="A-320",'2026'!$L$4="CA",'2026'!$L$2=BS309),'2026DATA'!$N$29,"")</f>
        <v/>
      </c>
      <c r="BT336" s="940" t="s">
        <v>70</v>
      </c>
      <c r="BU336" s="13" t="s">
        <v>61</v>
      </c>
      <c r="BV336" s="518" t="str">
        <f>IF(AND(_5="A-320",'2026'!$L$4="CA",'2026'!$L$2=BV309),'2026DATA'!$C$29,"")</f>
        <v/>
      </c>
      <c r="BW336" s="518" t="str">
        <f>IF(AND(_5="A-320",'2026'!$L$4="CA",'2026'!$L$2=BW309),'2026DATA'!$D$29,"")</f>
        <v/>
      </c>
      <c r="BX336" s="518" t="str">
        <f>IF(AND(_5="A-320",'2026'!$L$4="CA",'2026'!$L$2=BX309),'2026DATA'!$E$29,"")</f>
        <v/>
      </c>
      <c r="BY336" s="518" t="str">
        <f>IF(AND(_5="A-320",'2026'!$L$4="CA",'2026'!$L$2=BY309),'2026DATA'!$F$29,"")</f>
        <v/>
      </c>
      <c r="BZ336" s="518" t="str">
        <f>IF(AND(_5="A-320",'2026'!$L$4="CA",'2026'!$L$2=BZ309),'2026DATA'!$G$29,"")</f>
        <v/>
      </c>
      <c r="CA336" s="518" t="str">
        <f>IF(AND(_5="A-320",'2026'!$L$4="CA",'2026'!$L$2=CA309),'2026DATA'!$H$29,"")</f>
        <v/>
      </c>
      <c r="CB336" s="518" t="str">
        <f>IF(AND(_5="A-320",'2026'!$L$4="CA",'2026'!$L$2=CB309),'2026DATA'!$I$29,"")</f>
        <v/>
      </c>
      <c r="CC336" s="518" t="str">
        <f>IF(AND(_5="A-320",'2026'!$L$4="CA",'2026'!$L$2=CC309),'2026DATA'!$J$29,"")</f>
        <v/>
      </c>
      <c r="CD336" s="518" t="str">
        <f>IF(AND(_5="A-320",'2026'!$L$4="CA",'2026'!$L$2=CD309),'2026DATA'!$K$29,"")</f>
        <v/>
      </c>
      <c r="CE336" s="518" t="str">
        <f>IF(AND(_5="A-320",'2026'!$L$4="CA",'2026'!$L$2=CE309),'2026DATA'!$L$29,"")</f>
        <v/>
      </c>
      <c r="CF336" s="518" t="str">
        <f>IF(AND(_5="A-320",'2026'!$L$4="CA",'2026'!$L$2=CF309),'2026DATA'!$M$29,"")</f>
        <v/>
      </c>
      <c r="CG336" s="520" t="str">
        <f>IF(AND(_5="A-320",'2026'!$L$4="CA",'2026'!$L$2=CG309),'2026DATA'!$N$29,"")</f>
        <v/>
      </c>
      <c r="CH336" s="940" t="s">
        <v>70</v>
      </c>
      <c r="CI336" s="13" t="s">
        <v>61</v>
      </c>
      <c r="CJ336" s="518" t="str">
        <f>IF(AND(_6="A-320",'2026'!$L$4="CA",'2026'!$L$2=CJ309),'2026DATA'!$C$29,"")</f>
        <v/>
      </c>
      <c r="CK336" s="518" t="str">
        <f>IF(AND(_6="A-320",'2026'!$L$4="CA",'2026'!$L$2=CK309),'2026DATA'!$D$29,"")</f>
        <v/>
      </c>
      <c r="CL336" s="518" t="str">
        <f>IF(AND(_6="A-320",'2026'!$L$4="CA",'2026'!$L$2=CL309),'2026DATA'!$E$29,"")</f>
        <v/>
      </c>
      <c r="CM336" s="518" t="str">
        <f>IF(AND(_6="A-320",'2026'!$L$4="CA",'2026'!$L$2=CM309),'2026DATA'!$F$29,"")</f>
        <v/>
      </c>
      <c r="CN336" s="518" t="str">
        <f>IF(AND(_6="A-320",'2026'!$L$4="CA",'2026'!$L$2=CN309),'2026DATA'!$G$29,"")</f>
        <v/>
      </c>
      <c r="CO336" s="518" t="str">
        <f>IF(AND(_6="A-320",'2026'!$L$4="CA",'2026'!$L$2=CO309),'2026DATA'!$H$29,"")</f>
        <v/>
      </c>
      <c r="CP336" s="518" t="str">
        <f>IF(AND(_6="A-320",'2026'!$L$4="CA",'2026'!$L$2=CP309),'2026DATA'!$I$29,"")</f>
        <v/>
      </c>
      <c r="CQ336" s="518" t="str">
        <f>IF(AND(_6="A-320",'2026'!$L$4="CA",'2026'!$L$2=CQ309),'2026DATA'!$J$29,"")</f>
        <v/>
      </c>
      <c r="CR336" s="518" t="str">
        <f>IF(AND(_6="A-320",'2026'!$L$4="CA",'2026'!$L$2=CR309),'2026DATA'!$K$29,"")</f>
        <v/>
      </c>
      <c r="CS336" s="518" t="str">
        <f>IF(AND(_6="A-320",'2026'!$L$4="CA",'2026'!$L$2=CS309),'2026DATA'!$L$29,"")</f>
        <v/>
      </c>
      <c r="CT336" s="518" t="str">
        <f>IF(AND(_6="A-320",'2026'!$L$4="CA",'2026'!$L$2=CT309),'2026DATA'!$M$29,"")</f>
        <v/>
      </c>
      <c r="CU336" s="520" t="str">
        <f>IF(AND(_6="A-320",'2026'!$L$4="CA",'2026'!$L$2=CU309),'2026DATA'!$N$29,"")</f>
        <v/>
      </c>
    </row>
    <row r="337" spans="16:99" x14ac:dyDescent="0.25">
      <c r="P337" s="940"/>
      <c r="Q337" s="13" t="s">
        <v>62</v>
      </c>
      <c r="R337" s="518" t="str">
        <f>IF(AND(_1="A-320",'2026'!$L$4="FO",'2026'!$L$2=R309),'2026DATA'!$C$30,"")</f>
        <v/>
      </c>
      <c r="S337" s="518" t="str">
        <f>IF(AND(_1="A-320",'2026'!$L$4="FO",'2026'!$L$2=S309),'2026DATA'!$D$30,"")</f>
        <v/>
      </c>
      <c r="T337" s="518" t="str">
        <f>IF(AND(_1="A-320",'2026'!$L$4="FO",'2026'!$L$2=T309),'2026DATA'!$E$30,"")</f>
        <v/>
      </c>
      <c r="U337" s="518" t="str">
        <f>IF(AND(_1="A-320",'2026'!$L$4="FO",'2026'!$L$2=U309),'2026DATA'!$F$30,"")</f>
        <v/>
      </c>
      <c r="V337" s="518" t="str">
        <f>IF(AND(_1="A-320",'2026'!$L$4="FO",'2026'!$L$2=V309),'2026DATA'!$G$30,"")</f>
        <v/>
      </c>
      <c r="W337" s="518" t="str">
        <f>IF(AND(_1="A-320",'2026'!$L$4="FO",'2026'!$L$2=W309),'2026DATA'!$H$30,"")</f>
        <v/>
      </c>
      <c r="X337" s="518" t="str">
        <f>IF(AND(_1="A-320",'2026'!$L$4="FO",'2026'!$L$2=X309),'2026DATA'!$I$30,"")</f>
        <v/>
      </c>
      <c r="Y337" s="518" t="str">
        <f>IF(AND(_1="A-320",'2026'!$L$4="FO",'2026'!$L$2=Y309),'2026DATA'!$J$30,"")</f>
        <v/>
      </c>
      <c r="Z337" s="518" t="str">
        <f>IF(AND(_1="A-320",'2026'!$L$4="FO",'2026'!$L$2=Z309),'2026DATA'!$K$30,"")</f>
        <v/>
      </c>
      <c r="AA337" s="518" t="str">
        <f>IF(AND(_1="A-320",'2026'!$L$4="FO",'2026'!$L$2=AA309),'2026DATA'!$L$30,"")</f>
        <v/>
      </c>
      <c r="AB337" s="518" t="str">
        <f>IF(AND(_1="A-320",'2026'!$L$4="FO",'2026'!$L$2=AB309),'2026DATA'!$M$30,"")</f>
        <v/>
      </c>
      <c r="AC337" s="520" t="str">
        <f>IF(AND(_1="A-320",'2026'!$L$4="FO",'2026'!$L$2=AC309),'2026DATA'!$N$30,"")</f>
        <v/>
      </c>
      <c r="AD337" s="940"/>
      <c r="AE337" s="13" t="s">
        <v>62</v>
      </c>
      <c r="AF337" s="518" t="str">
        <f>IF(AND(_2="A-320",'2026'!$L$4="FO",'2026'!$L$2=AF309),'2026DATA'!$C$30,"")</f>
        <v/>
      </c>
      <c r="AG337" s="518" t="str">
        <f>IF(AND(_2="A-320",'2026'!$L$4="FO",'2026'!$L$2=AG309),'2026DATA'!$D$30,"")</f>
        <v/>
      </c>
      <c r="AH337" s="518" t="str">
        <f>IF(AND(_2="A-320",'2026'!$L$4="FO",'2026'!$L$2=AH309),'2026DATA'!$E$30,"")</f>
        <v/>
      </c>
      <c r="AI337" s="518" t="str">
        <f>IF(AND(_2="A-320",'2026'!$L$4="FO",'2026'!$L$2=AI309),'2026DATA'!$F$30,"")</f>
        <v/>
      </c>
      <c r="AJ337" s="518" t="str">
        <f>IF(AND(_2="A-320",'2026'!$L$4="FO",'2026'!$L$2=AJ309),'2026DATA'!$G$30,"")</f>
        <v/>
      </c>
      <c r="AK337" s="518" t="str">
        <f>IF(AND(_2="A-320",'2026'!$L$4="FO",'2026'!$L$2=AK309),'2026DATA'!$H$30,"")</f>
        <v/>
      </c>
      <c r="AL337" s="518" t="str">
        <f>IF(AND(_2="A-320",'2026'!$L$4="FO",'2026'!$L$2=AL309),'2026DATA'!$I$30,"")</f>
        <v/>
      </c>
      <c r="AM337" s="518" t="str">
        <f>IF(AND(_2="A-320",'2026'!$L$4="FO",'2026'!$L$2=AM309),'2026DATA'!$J$30,"")</f>
        <v/>
      </c>
      <c r="AN337" s="518" t="str">
        <f>IF(AND(_2="A-320",'2026'!$L$4="FO",'2026'!$L$2=AN309),'2026DATA'!$K$30,"")</f>
        <v/>
      </c>
      <c r="AO337" s="518" t="str">
        <f>IF(AND(_2="A-320",'2026'!$L$4="FO",'2026'!$L$2=AO309),'2026DATA'!$L$30,"")</f>
        <v/>
      </c>
      <c r="AP337" s="518" t="str">
        <f>IF(AND(_2="A-320",'2026'!$L$4="FO",'2026'!$L$2=AP309),'2026DATA'!$M$30,"")</f>
        <v/>
      </c>
      <c r="AQ337" s="520" t="str">
        <f>IF(AND(_2="A-320",'2026'!$L$4="FO",'2026'!$L$2=AQ309),'2026DATA'!$N$30,"")</f>
        <v/>
      </c>
      <c r="AR337" s="940"/>
      <c r="AS337" s="13" t="s">
        <v>62</v>
      </c>
      <c r="AT337" s="518" t="str">
        <f>IF(AND(_3="A-320",'2026'!$L$4="FO",'2026'!$L$2=AT309),'2026DATA'!$C$30,"")</f>
        <v/>
      </c>
      <c r="AU337" s="518" t="str">
        <f>IF(AND(_3="A-320",'2026'!$L$4="FO",'2026'!$L$2=AU309),'2026DATA'!$D$30,"")</f>
        <v/>
      </c>
      <c r="AV337" s="518" t="str">
        <f>IF(AND(_3="A-320",'2026'!$L$4="FO",'2026'!$L$2=AV309),'2026DATA'!$E$30,"")</f>
        <v/>
      </c>
      <c r="AW337" s="518" t="str">
        <f>IF(AND(_3="A-320",'2026'!$L$4="FO",'2026'!$L$2=AW309),'2026DATA'!$F$30,"")</f>
        <v/>
      </c>
      <c r="AX337" s="518" t="str">
        <f>IF(AND(_3="A-320",'2026'!$L$4="FO",'2026'!$L$2=AX309),'2026DATA'!$G$30,"")</f>
        <v/>
      </c>
      <c r="AY337" s="518" t="str">
        <f>IF(AND(_3="A-320",'2026'!$L$4="FO",'2026'!$L$2=AY309),'2026DATA'!$H$30,"")</f>
        <v/>
      </c>
      <c r="AZ337" s="518" t="str">
        <f>IF(AND(_3="A-320",'2026'!$L$4="FO",'2026'!$L$2=AZ309),'2026DATA'!$I$30,"")</f>
        <v/>
      </c>
      <c r="BA337" s="518" t="str">
        <f>IF(AND(_3="A-320",'2026'!$L$4="FO",'2026'!$L$2=BA309),'2026DATA'!$J$30,"")</f>
        <v/>
      </c>
      <c r="BB337" s="518" t="str">
        <f>IF(AND(_3="A-320",'2026'!$L$4="FO",'2026'!$L$2=BB309),'2026DATA'!$K$30,"")</f>
        <v/>
      </c>
      <c r="BC337" s="518" t="str">
        <f>IF(AND(_3="A-320",'2026'!$L$4="FO",'2026'!$L$2=BC309),'2026DATA'!$L$30,"")</f>
        <v/>
      </c>
      <c r="BD337" s="518" t="str">
        <f>IF(AND(_3="A-320",'2026'!$L$4="FO",'2026'!$L$2=BD309),'2026DATA'!$M$30,"")</f>
        <v/>
      </c>
      <c r="BE337" s="520" t="str">
        <f>IF(AND(_3="A-320",'2026'!$L$4="FO",'2026'!$L$2=BE309),'2026DATA'!$N$30,"")</f>
        <v/>
      </c>
      <c r="BF337" s="940"/>
      <c r="BG337" s="13" t="s">
        <v>62</v>
      </c>
      <c r="BH337" s="518" t="str">
        <f>IF(AND(_4="A-320",'2026'!$L$4="FO",'2026'!$L$2=BH309),'2026DATA'!$C$30,"")</f>
        <v/>
      </c>
      <c r="BI337" s="518" t="str">
        <f>IF(AND(_4="A-320",'2026'!$L$4="FO",'2026'!$L$2=BI309),'2026DATA'!$D$30,"")</f>
        <v/>
      </c>
      <c r="BJ337" s="518" t="str">
        <f>IF(AND(_4="A-320",'2026'!$L$4="FO",'2026'!$L$2=BJ309),'2026DATA'!$E$30,"")</f>
        <v/>
      </c>
      <c r="BK337" s="518" t="str">
        <f>IF(AND(_4="A-320",'2026'!$L$4="FO",'2026'!$L$2=BK309),'2026DATA'!$F$30,"")</f>
        <v/>
      </c>
      <c r="BL337" s="518" t="str">
        <f>IF(AND(_4="A-320",'2026'!$L$4="FO",'2026'!$L$2=BL309),'2026DATA'!$G$30,"")</f>
        <v/>
      </c>
      <c r="BM337" s="518" t="str">
        <f>IF(AND(_4="A-320",'2026'!$L$4="FO",'2026'!$L$2=BM309),'2026DATA'!$H$30,"")</f>
        <v/>
      </c>
      <c r="BN337" s="518" t="str">
        <f>IF(AND(_4="A-320",'2026'!$L$4="FO",'2026'!$L$2=BN309),'2026DATA'!$I$30,"")</f>
        <v/>
      </c>
      <c r="BO337" s="518" t="str">
        <f>IF(AND(_4="A-320",'2026'!$L$4="FO",'2026'!$L$2=BO309),'2026DATA'!$J$30,"")</f>
        <v/>
      </c>
      <c r="BP337" s="518" t="str">
        <f>IF(AND(_4="A-320",'2026'!$L$4="FO",'2026'!$L$2=BP309),'2026DATA'!$K$30,"")</f>
        <v/>
      </c>
      <c r="BQ337" s="518" t="str">
        <f>IF(AND(_4="A-320",'2026'!$L$4="FO",'2026'!$L$2=BQ309),'2026DATA'!$L$30,"")</f>
        <v/>
      </c>
      <c r="BR337" s="518" t="str">
        <f>IF(AND(_4="A-320",'2026'!$L$4="FO",'2026'!$L$2=BR309),'2026DATA'!$M$30,"")</f>
        <v/>
      </c>
      <c r="BS337" s="520" t="str">
        <f>IF(AND(_4="A-320",'2026'!$L$4="FO",'2026'!$L$2=BS309),'2026DATA'!$N$30,"")</f>
        <v/>
      </c>
      <c r="BT337" s="940"/>
      <c r="BU337" s="13" t="s">
        <v>62</v>
      </c>
      <c r="BV337" s="518" t="str">
        <f>IF(AND(_5="A-320",'2026'!$L$4="FO",'2026'!$L$2=BV309),'2026DATA'!$C$30,"")</f>
        <v/>
      </c>
      <c r="BW337" s="518" t="str">
        <f>IF(AND(_5="A-320",'2026'!$L$4="FO",'2026'!$L$2=BW309),'2026DATA'!$D$30,"")</f>
        <v/>
      </c>
      <c r="BX337" s="518" t="str">
        <f>IF(AND(_5="A-320",'2026'!$L$4="FO",'2026'!$L$2=BX309),'2026DATA'!$E$30,"")</f>
        <v/>
      </c>
      <c r="BY337" s="518" t="str">
        <f>IF(AND(_5="A-320",'2026'!$L$4="FO",'2026'!$L$2=BY309),'2026DATA'!$F$30,"")</f>
        <v/>
      </c>
      <c r="BZ337" s="518" t="str">
        <f>IF(AND(_5="A-320",'2026'!$L$4="FO",'2026'!$L$2=BZ309),'2026DATA'!$G$30,"")</f>
        <v/>
      </c>
      <c r="CA337" s="518" t="str">
        <f>IF(AND(_5="A-320",'2026'!$L$4="FO",'2026'!$L$2=CA309),'2026DATA'!$H$30,"")</f>
        <v/>
      </c>
      <c r="CB337" s="518" t="str">
        <f>IF(AND(_5="A-320",'2026'!$L$4="FO",'2026'!$L$2=CB309),'2026DATA'!$I$30,"")</f>
        <v/>
      </c>
      <c r="CC337" s="518" t="str">
        <f>IF(AND(_5="A-320",'2026'!$L$4="FO",'2026'!$L$2=CC309),'2026DATA'!$J$30,"")</f>
        <v/>
      </c>
      <c r="CD337" s="518" t="str">
        <f>IF(AND(_5="A-320",'2026'!$L$4="FO",'2026'!$L$2=CD309),'2026DATA'!$K$30,"")</f>
        <v/>
      </c>
      <c r="CE337" s="518" t="str">
        <f>IF(AND(_5="A-320",'2026'!$L$4="FO",'2026'!$L$2=CE309),'2026DATA'!$L$30,"")</f>
        <v/>
      </c>
      <c r="CF337" s="518" t="str">
        <f>IF(AND(_5="A-320",'2026'!$L$4="FO",'2026'!$L$2=CF309),'2026DATA'!$M$30,"")</f>
        <v/>
      </c>
      <c r="CG337" s="520" t="str">
        <f>IF(AND(_5="A-320",'2026'!$L$4="FO",'2026'!$L$2=CG309),'2026DATA'!$N$30,"")</f>
        <v/>
      </c>
      <c r="CH337" s="940"/>
      <c r="CI337" s="13" t="s">
        <v>62</v>
      </c>
      <c r="CJ337" s="518" t="str">
        <f>IF(AND(_6="A-320",'2026'!$L$4="FO",'2026'!$L$2=CJ309),'2026DATA'!$C$30,"")</f>
        <v/>
      </c>
      <c r="CK337" s="518" t="str">
        <f>IF(AND(_6="A-320",'2026'!$L$4="FO",'2026'!$L$2=CK309),'2026DATA'!$D$30,"")</f>
        <v/>
      </c>
      <c r="CL337" s="518" t="str">
        <f>IF(AND(_6="A-320",'2026'!$L$4="FO",'2026'!$L$2=CL309),'2026DATA'!$E$30,"")</f>
        <v/>
      </c>
      <c r="CM337" s="518" t="str">
        <f>IF(AND(_6="A-320",'2026'!$L$4="FO",'2026'!$L$2=CM309),'2026DATA'!$F$30,"")</f>
        <v/>
      </c>
      <c r="CN337" s="518" t="str">
        <f>IF(AND(_6="A-320",'2026'!$L$4="FO",'2026'!$L$2=CN309),'2026DATA'!$G$30,"")</f>
        <v/>
      </c>
      <c r="CO337" s="518" t="str">
        <f>IF(AND(_6="A-320",'2026'!$L$4="FO",'2026'!$L$2=CO309),'2026DATA'!$H$30,"")</f>
        <v/>
      </c>
      <c r="CP337" s="518" t="str">
        <f>IF(AND(_6="A-320",'2026'!$L$4="FO",'2026'!$L$2=CP309),'2026DATA'!$I$30,"")</f>
        <v/>
      </c>
      <c r="CQ337" s="518" t="str">
        <f>IF(AND(_6="A-320",'2026'!$L$4="FO",'2026'!$L$2=CQ309),'2026DATA'!$J$30,"")</f>
        <v/>
      </c>
      <c r="CR337" s="518" t="str">
        <f>IF(AND(_6="A-320",'2026'!$L$4="FO",'2026'!$L$2=CR309),'2026DATA'!$K$30,"")</f>
        <v/>
      </c>
      <c r="CS337" s="518" t="str">
        <f>IF(AND(_6="A-320",'2026'!$L$4="FO",'2026'!$L$2=CS309),'2026DATA'!$L$30,"")</f>
        <v/>
      </c>
      <c r="CT337" s="518" t="str">
        <f>IF(AND(_6="A-320",'2026'!$L$4="FO",'2026'!$L$2=CT309),'2026DATA'!$M$30,"")</f>
        <v/>
      </c>
      <c r="CU337" s="520" t="str">
        <f>IF(AND(_6="A-320",'2026'!$L$4="FO",'2026'!$L$2=CU309),'2026DATA'!$N$30,"")</f>
        <v/>
      </c>
    </row>
    <row r="338" spans="16:99" x14ac:dyDescent="0.25">
      <c r="P338" s="940" t="s">
        <v>71</v>
      </c>
      <c r="Q338" s="13" t="s">
        <v>61</v>
      </c>
      <c r="R338" s="518" t="str">
        <f>IF(AND(_1="A-319",'2026'!$L$4="CA",'2026'!$L$2=R309),'2026DATA'!$C$31,"")</f>
        <v/>
      </c>
      <c r="S338" s="518" t="str">
        <f>IF(AND(_1="A-319",'2026'!$L$4="CA",'2026'!$L$2=S309),'2026DATA'!$D$31,"")</f>
        <v/>
      </c>
      <c r="T338" s="518" t="str">
        <f>IF(AND(_1="A-319",'2026'!$L$4="CA",'2026'!$L$2=T309),'2026DATA'!$E$31,"")</f>
        <v/>
      </c>
      <c r="U338" s="518" t="str">
        <f>IF(AND(_1="A-319",'2026'!$L$4="CA",'2026'!$L$2=U309),'2026DATA'!$F$31,"")</f>
        <v/>
      </c>
      <c r="V338" s="518" t="str">
        <f>IF(AND(_1="A-319",'2026'!$L$4="CA",'2026'!$L$2=V309),'2026DATA'!$G$31,"")</f>
        <v/>
      </c>
      <c r="W338" s="518" t="str">
        <f>IF(AND(_1="A-319",'2026'!$L$4="CA",'2026'!$L$2=W309),'2026DATA'!$H$31,"")</f>
        <v/>
      </c>
      <c r="X338" s="518" t="str">
        <f>IF(AND(_1="A-319",'2026'!$L$4="CA",'2026'!$L$2=X309),'2026DATA'!$I$31,"")</f>
        <v/>
      </c>
      <c r="Y338" s="518" t="str">
        <f>IF(AND(_1="A-319",'2026'!$L$4="CA",'2026'!$L$2=Y309),'2026DATA'!$J$31,"")</f>
        <v/>
      </c>
      <c r="Z338" s="518" t="str">
        <f>IF(AND(_1="A-319",'2026'!$L$4="CA",'2026'!$L$2=Z309),'2026DATA'!$K$31,"")</f>
        <v/>
      </c>
      <c r="AA338" s="518" t="str">
        <f>IF(AND(_1="A-319",'2026'!$L$4="CA",'2026'!$L$2=AA309),'2026DATA'!$L$31,"")</f>
        <v/>
      </c>
      <c r="AB338" s="518" t="str">
        <f>IF(AND(_1="A-319",'2026'!$L$4="CA",'2026'!$L$2=AB309),'2026DATA'!$M$31,"")</f>
        <v/>
      </c>
      <c r="AC338" s="520" t="str">
        <f>IF(AND(_1="A-319",'2026'!$L$4="CA",'2026'!$L$2=AC309),'2026DATA'!$N$31,"")</f>
        <v/>
      </c>
      <c r="AD338" s="940" t="s">
        <v>71</v>
      </c>
      <c r="AE338" s="13" t="s">
        <v>61</v>
      </c>
      <c r="AF338" s="518" t="str">
        <f>IF(AND(_2="A-319",'2026'!$L$4="CA",'2026'!$L$2=AF309),'2026DATA'!$C$31,"")</f>
        <v/>
      </c>
      <c r="AG338" s="518" t="str">
        <f>IF(AND(_2="A-319",'2026'!$L$4="CA",'2026'!$L$2=AG309),'2026DATA'!$D$31,"")</f>
        <v/>
      </c>
      <c r="AH338" s="518" t="str">
        <f>IF(AND(_2="A-319",'2026'!$L$4="CA",'2026'!$L$2=AH309),'2026DATA'!$E$31,"")</f>
        <v/>
      </c>
      <c r="AI338" s="518" t="str">
        <f>IF(AND(_2="A-319",'2026'!$L$4="CA",'2026'!$L$2=AI309),'2026DATA'!$F$31,"")</f>
        <v/>
      </c>
      <c r="AJ338" s="518" t="str">
        <f>IF(AND(_2="A-319",'2026'!$L$4="CA",'2026'!$L$2=AJ309),'2026DATA'!$G$31,"")</f>
        <v/>
      </c>
      <c r="AK338" s="518" t="str">
        <f>IF(AND(_2="A-319",'2026'!$L$4="CA",'2026'!$L$2=AK309),'2026DATA'!$H$31,"")</f>
        <v/>
      </c>
      <c r="AL338" s="518" t="str">
        <f>IF(AND(_2="A-319",'2026'!$L$4="CA",'2026'!$L$2=AL309),'2026DATA'!$I$31,"")</f>
        <v/>
      </c>
      <c r="AM338" s="518" t="str">
        <f>IF(AND(_2="A-319",'2026'!$L$4="CA",'2026'!$L$2=AM309),'2026DATA'!$J$31,"")</f>
        <v/>
      </c>
      <c r="AN338" s="518" t="str">
        <f>IF(AND(_2="A-319",'2026'!$L$4="CA",'2026'!$L$2=AN309),'2026DATA'!$K$31,"")</f>
        <v/>
      </c>
      <c r="AO338" s="518" t="str">
        <f>IF(AND(_2="A-319",'2026'!$L$4="CA",'2026'!$L$2=AO309),'2026DATA'!$L$31,"")</f>
        <v/>
      </c>
      <c r="AP338" s="518" t="str">
        <f>IF(AND(_2="A-319",'2026'!$L$4="CA",'2026'!$L$2=AP309),'2026DATA'!$M$31,"")</f>
        <v/>
      </c>
      <c r="AQ338" s="520" t="str">
        <f>IF(AND(_2="A-319",'2026'!$L$4="CA",'2026'!$L$2=AQ309),'2026DATA'!$N$31,"")</f>
        <v/>
      </c>
      <c r="AR338" s="940" t="s">
        <v>71</v>
      </c>
      <c r="AS338" s="13" t="s">
        <v>61</v>
      </c>
      <c r="AT338" s="518" t="str">
        <f>IF(AND(_3="A-319",'2026'!$L$4="CA",'2026'!$L$2=AT309),'2026DATA'!$C$31,"")</f>
        <v/>
      </c>
      <c r="AU338" s="518" t="str">
        <f>IF(AND(_3="A-319",'2026'!$L$4="CA",'2026'!$L$2=AU309),'2026DATA'!$D$31,"")</f>
        <v/>
      </c>
      <c r="AV338" s="518" t="str">
        <f>IF(AND(_3="A-319",'2026'!$L$4="CA",'2026'!$L$2=AV309),'2026DATA'!$E$31,"")</f>
        <v/>
      </c>
      <c r="AW338" s="518" t="str">
        <f>IF(AND(_3="A-319",'2026'!$L$4="CA",'2026'!$L$2=AW309),'2026DATA'!$F$31,"")</f>
        <v/>
      </c>
      <c r="AX338" s="518" t="str">
        <f>IF(AND(_3="A-319",'2026'!$L$4="CA",'2026'!$L$2=AX309),'2026DATA'!$G$31,"")</f>
        <v/>
      </c>
      <c r="AY338" s="518" t="str">
        <f>IF(AND(_3="A-319",'2026'!$L$4="CA",'2026'!$L$2=AY309),'2026DATA'!$H$31,"")</f>
        <v/>
      </c>
      <c r="AZ338" s="518" t="str">
        <f>IF(AND(_3="A-319",'2026'!$L$4="CA",'2026'!$L$2=AZ309),'2026DATA'!$I$31,"")</f>
        <v/>
      </c>
      <c r="BA338" s="518" t="str">
        <f>IF(AND(_3="A-319",'2026'!$L$4="CA",'2026'!$L$2=BA309),'2026DATA'!$J$31,"")</f>
        <v/>
      </c>
      <c r="BB338" s="518" t="str">
        <f>IF(AND(_3="A-319",'2026'!$L$4="CA",'2026'!$L$2=BB309),'2026DATA'!$K$31,"")</f>
        <v/>
      </c>
      <c r="BC338" s="518" t="str">
        <f>IF(AND(_3="A-319",'2026'!$L$4="CA",'2026'!$L$2=BC309),'2026DATA'!$L$31,"")</f>
        <v/>
      </c>
      <c r="BD338" s="518" t="str">
        <f>IF(AND(_3="A-319",'2026'!$L$4="CA",'2026'!$L$2=BD309),'2026DATA'!$M$31,"")</f>
        <v/>
      </c>
      <c r="BE338" s="520" t="str">
        <f>IF(AND(_3="A-319",'2026'!$L$4="CA",'2026'!$L$2=BE309),'2026DATA'!$N$31,"")</f>
        <v/>
      </c>
      <c r="BF338" s="940" t="s">
        <v>71</v>
      </c>
      <c r="BG338" s="13" t="s">
        <v>61</v>
      </c>
      <c r="BH338" s="518" t="str">
        <f>IF(AND(_4="A-319",'2026'!$L$4="CA",'2026'!$L$2=BH309),'2026DATA'!$C$31,"")</f>
        <v/>
      </c>
      <c r="BI338" s="518" t="str">
        <f>IF(AND(_4="A-319",'2026'!$L$4="CA",'2026'!$L$2=BI309),'2026DATA'!$D$31,"")</f>
        <v/>
      </c>
      <c r="BJ338" s="518" t="str">
        <f>IF(AND(_4="A-319",'2026'!$L$4="CA",'2026'!$L$2=BJ309),'2026DATA'!$E$31,"")</f>
        <v/>
      </c>
      <c r="BK338" s="518" t="str">
        <f>IF(AND(_4="A-319",'2026'!$L$4="CA",'2026'!$L$2=BK309),'2026DATA'!$F$31,"")</f>
        <v/>
      </c>
      <c r="BL338" s="518" t="str">
        <f>IF(AND(_4="A-319",'2026'!$L$4="CA",'2026'!$L$2=BL309),'2026DATA'!$G$31,"")</f>
        <v/>
      </c>
      <c r="BM338" s="518" t="str">
        <f>IF(AND(_4="A-319",'2026'!$L$4="CA",'2026'!$L$2=BM309),'2026DATA'!$H$31,"")</f>
        <v/>
      </c>
      <c r="BN338" s="518" t="str">
        <f>IF(AND(_4="A-319",'2026'!$L$4="CA",'2026'!$L$2=BN309),'2026DATA'!$I$31,"")</f>
        <v/>
      </c>
      <c r="BO338" s="518" t="str">
        <f>IF(AND(_4="A-319",'2026'!$L$4="CA",'2026'!$L$2=BO309),'2026DATA'!$J$31,"")</f>
        <v/>
      </c>
      <c r="BP338" s="518" t="str">
        <f>IF(AND(_4="A-319",'2026'!$L$4="CA",'2026'!$L$2=BP309),'2026DATA'!$K$31,"")</f>
        <v/>
      </c>
      <c r="BQ338" s="518" t="str">
        <f>IF(AND(_4="A-319",'2026'!$L$4="CA",'2026'!$L$2=BQ309),'2026DATA'!$L$31,"")</f>
        <v/>
      </c>
      <c r="BR338" s="518" t="str">
        <f>IF(AND(_4="A-319",'2026'!$L$4="CA",'2026'!$L$2=BR309),'2026DATA'!$M$31,"")</f>
        <v/>
      </c>
      <c r="BS338" s="520" t="str">
        <f>IF(AND(_4="A-319",'2026'!$L$4="CA",'2026'!$L$2=BS309),'2026DATA'!$N$31,"")</f>
        <v/>
      </c>
      <c r="BT338" s="940" t="s">
        <v>71</v>
      </c>
      <c r="BU338" s="13" t="s">
        <v>61</v>
      </c>
      <c r="BV338" s="518" t="str">
        <f>IF(AND(_5="A-319",'2026'!$L$4="CA",'2026'!$L$2=BV309),'2026DATA'!$C$31,"")</f>
        <v/>
      </c>
      <c r="BW338" s="518" t="str">
        <f>IF(AND(_5="A-319",'2026'!$L$4="CA",'2026'!$L$2=BW309),'2026DATA'!$D$31,"")</f>
        <v/>
      </c>
      <c r="BX338" s="518" t="str">
        <f>IF(AND(_5="A-319",'2026'!$L$4="CA",'2026'!$L$2=BX309),'2026DATA'!$E$31,"")</f>
        <v/>
      </c>
      <c r="BY338" s="518" t="str">
        <f>IF(AND(_5="A-319",'2026'!$L$4="CA",'2026'!$L$2=BY309),'2026DATA'!$F$31,"")</f>
        <v/>
      </c>
      <c r="BZ338" s="518" t="str">
        <f>IF(AND(_5="A-319",'2026'!$L$4="CA",'2026'!$L$2=BZ309),'2026DATA'!$G$31,"")</f>
        <v/>
      </c>
      <c r="CA338" s="518" t="str">
        <f>IF(AND(_5="A-319",'2026'!$L$4="CA",'2026'!$L$2=CA309),'2026DATA'!$H$31,"")</f>
        <v/>
      </c>
      <c r="CB338" s="518" t="str">
        <f>IF(AND(_5="A-319",'2026'!$L$4="CA",'2026'!$L$2=CB309),'2026DATA'!$I$31,"")</f>
        <v/>
      </c>
      <c r="CC338" s="518" t="str">
        <f>IF(AND(_5="A-319",'2026'!$L$4="CA",'2026'!$L$2=CC309),'2026DATA'!$J$31,"")</f>
        <v/>
      </c>
      <c r="CD338" s="518" t="str">
        <f>IF(AND(_5="A-319",'2026'!$L$4="CA",'2026'!$L$2=CD309),'2026DATA'!$K$31,"")</f>
        <v/>
      </c>
      <c r="CE338" s="518" t="str">
        <f>IF(AND(_5="A-319",'2026'!$L$4="CA",'2026'!$L$2=CE309),'2026DATA'!$L$31,"")</f>
        <v/>
      </c>
      <c r="CF338" s="518" t="str">
        <f>IF(AND(_5="A-319",'2026'!$L$4="CA",'2026'!$L$2=CF309),'2026DATA'!$M$31,"")</f>
        <v/>
      </c>
      <c r="CG338" s="520" t="str">
        <f>IF(AND(_5="A-319",'2026'!$L$4="CA",'2026'!$L$2=CG309),'2026DATA'!$N$31,"")</f>
        <v/>
      </c>
      <c r="CH338" s="940" t="s">
        <v>71</v>
      </c>
      <c r="CI338" s="13" t="s">
        <v>61</v>
      </c>
      <c r="CJ338" s="518" t="str">
        <f>IF(AND(_6="A-319",'2026'!$L$4="CA",'2026'!$L$2=CJ309),'2026DATA'!$C$31,"")</f>
        <v/>
      </c>
      <c r="CK338" s="518" t="str">
        <f>IF(AND(_6="A-319",'2026'!$L$4="CA",'2026'!$L$2=CK309),'2026DATA'!$D$31,"")</f>
        <v/>
      </c>
      <c r="CL338" s="518" t="str">
        <f>IF(AND(_6="A-319",'2026'!$L$4="CA",'2026'!$L$2=CL309),'2026DATA'!$E$31,"")</f>
        <v/>
      </c>
      <c r="CM338" s="518" t="str">
        <f>IF(AND(_6="A-319",'2026'!$L$4="CA",'2026'!$L$2=CM309),'2026DATA'!$F$31,"")</f>
        <v/>
      </c>
      <c r="CN338" s="518" t="str">
        <f>IF(AND(_6="A-319",'2026'!$L$4="CA",'2026'!$L$2=CN309),'2026DATA'!$G$31,"")</f>
        <v/>
      </c>
      <c r="CO338" s="518" t="str">
        <f>IF(AND(_6="A-319",'2026'!$L$4="CA",'2026'!$L$2=CO309),'2026DATA'!$H$31,"")</f>
        <v/>
      </c>
      <c r="CP338" s="518" t="str">
        <f>IF(AND(_6="A-319",'2026'!$L$4="CA",'2026'!$L$2=CP309),'2026DATA'!$I$31,"")</f>
        <v/>
      </c>
      <c r="CQ338" s="518" t="str">
        <f>IF(AND(_6="A-319",'2026'!$L$4="CA",'2026'!$L$2=CQ309),'2026DATA'!$J$31,"")</f>
        <v/>
      </c>
      <c r="CR338" s="518" t="str">
        <f>IF(AND(_6="A-319",'2026'!$L$4="CA",'2026'!$L$2=CR309),'2026DATA'!$K$31,"")</f>
        <v/>
      </c>
      <c r="CS338" s="518" t="str">
        <f>IF(AND(_6="A-319",'2026'!$L$4="CA",'2026'!$L$2=CS309),'2026DATA'!$L$31,"")</f>
        <v/>
      </c>
      <c r="CT338" s="518" t="str">
        <f>IF(AND(_6="A-319",'2026'!$L$4="CA",'2026'!$L$2=CT309),'2026DATA'!$M$31,"")</f>
        <v/>
      </c>
      <c r="CU338" s="520" t="str">
        <f>IF(AND(_6="A-319",'2026'!$L$4="CA",'2026'!$L$2=CU309),'2026DATA'!$N$31,"")</f>
        <v/>
      </c>
    </row>
    <row r="339" spans="16:99" x14ac:dyDescent="0.25">
      <c r="P339" s="940"/>
      <c r="Q339" s="13" t="s">
        <v>62</v>
      </c>
      <c r="R339" s="518" t="str">
        <f>IF(AND(_1="A-319",'2026'!$L$4="FO",'2026'!$L$2=R309),'2026DATA'!$C$32,"")</f>
        <v/>
      </c>
      <c r="S339" s="518" t="str">
        <f>IF(AND(_1="A-319",'2026'!$L$4="FO",'2026'!$L$2=S309),'2026DATA'!$D$32,"")</f>
        <v/>
      </c>
      <c r="T339" s="518" t="str">
        <f>IF(AND(_1="A-319",'2026'!$L$4="FO",'2026'!$L$2=T309),'2026DATA'!$E$32,"")</f>
        <v/>
      </c>
      <c r="U339" s="518" t="str">
        <f>IF(AND(_1="A-319",'2026'!$L$4="FO",'2026'!$L$2=U309),'2026DATA'!$F$32,"")</f>
        <v/>
      </c>
      <c r="V339" s="518" t="str">
        <f>IF(AND(_1="A-319",'2026'!$L$4="FO",'2026'!$L$2=V309),'2026DATA'!$G$32,"")</f>
        <v/>
      </c>
      <c r="W339" s="518" t="str">
        <f>IF(AND(_1="A-319",'2026'!$L$4="FO",'2026'!$L$2=W309),'2026DATA'!$H$32,"")</f>
        <v/>
      </c>
      <c r="X339" s="518" t="str">
        <f>IF(AND(_1="A-319",'2026'!$L$4="FO",'2026'!$L$2=X309),'2026DATA'!$I$32,"")</f>
        <v/>
      </c>
      <c r="Y339" s="518" t="str">
        <f>IF(AND(_1="A-319",'2026'!$L$4="FO",'2026'!$L$2=Y309),'2026DATA'!$J$32,"")</f>
        <v/>
      </c>
      <c r="Z339" s="518" t="str">
        <f>IF(AND(_1="A-319",'2026'!$L$4="FO",'2026'!$L$2=Z309),'2026DATA'!$K$32,"")</f>
        <v/>
      </c>
      <c r="AA339" s="518" t="str">
        <f>IF(AND(_1="A-319",'2026'!$L$4="FO",'2026'!$L$2=AA309),'2026DATA'!$L$32,"")</f>
        <v/>
      </c>
      <c r="AB339" s="518" t="str">
        <f>IF(AND(_1="A-319",'2026'!$L$4="FO",'2026'!$L$2=AB309),'2026DATA'!$M$32,"")</f>
        <v/>
      </c>
      <c r="AC339" s="520" t="str">
        <f>IF(AND(_1="A-319",'2026'!$L$4="FO",'2026'!$L$2=AC309),'2026DATA'!$N$32,"")</f>
        <v/>
      </c>
      <c r="AD339" s="940"/>
      <c r="AE339" s="13" t="s">
        <v>62</v>
      </c>
      <c r="AF339" s="518" t="str">
        <f>IF(AND(_2="A-319",'2026'!$L$4="FO",'2026'!$L$2=AF309),'2026DATA'!$C$32,"")</f>
        <v/>
      </c>
      <c r="AG339" s="518" t="str">
        <f>IF(AND(_2="A-319",'2026'!$L$4="FO",'2026'!$L$2=AG309),'2026DATA'!$D$32,"")</f>
        <v/>
      </c>
      <c r="AH339" s="518" t="str">
        <f>IF(AND(_2="A-319",'2026'!$L$4="FO",'2026'!$L$2=AH309),'2026DATA'!$E$32,"")</f>
        <v/>
      </c>
      <c r="AI339" s="518" t="str">
        <f>IF(AND(_2="A-319",'2026'!$L$4="FO",'2026'!$L$2=AI309),'2026DATA'!$F$32,"")</f>
        <v/>
      </c>
      <c r="AJ339" s="518" t="str">
        <f>IF(AND(_2="A-319",'2026'!$L$4="FO",'2026'!$L$2=AJ309),'2026DATA'!$G$32,"")</f>
        <v/>
      </c>
      <c r="AK339" s="518" t="str">
        <f>IF(AND(_2="A-319",'2026'!$L$4="FO",'2026'!$L$2=AK309),'2026DATA'!$H$32,"")</f>
        <v/>
      </c>
      <c r="AL339" s="518" t="str">
        <f>IF(AND(_2="A-319",'2026'!$L$4="FO",'2026'!$L$2=AL309),'2026DATA'!$I$32,"")</f>
        <v/>
      </c>
      <c r="AM339" s="518" t="str">
        <f>IF(AND(_2="A-319",'2026'!$L$4="FO",'2026'!$L$2=AM309),'2026DATA'!$J$32,"")</f>
        <v/>
      </c>
      <c r="AN339" s="518" t="str">
        <f>IF(AND(_2="A-319",'2026'!$L$4="FO",'2026'!$L$2=AN309),'2026DATA'!$K$32,"")</f>
        <v/>
      </c>
      <c r="AO339" s="518" t="str">
        <f>IF(AND(_2="A-319",'2026'!$L$4="FO",'2026'!$L$2=AO309),'2026DATA'!$L$32,"")</f>
        <v/>
      </c>
      <c r="AP339" s="518" t="str">
        <f>IF(AND(_2="A-319",'2026'!$L$4="FO",'2026'!$L$2=AP309),'2026DATA'!$M$32,"")</f>
        <v/>
      </c>
      <c r="AQ339" s="520" t="str">
        <f>IF(AND(_2="A-319",'2026'!$L$4="FO",'2026'!$L$2=AQ309),'2026DATA'!$N$32,"")</f>
        <v/>
      </c>
      <c r="AR339" s="940"/>
      <c r="AS339" s="13" t="s">
        <v>62</v>
      </c>
      <c r="AT339" s="518" t="str">
        <f>IF(AND(_3="A-319",'2026'!$L$4="FO",'2026'!$L$2=AT309),'2026DATA'!$C$32,"")</f>
        <v/>
      </c>
      <c r="AU339" s="518" t="str">
        <f>IF(AND(_3="A-319",'2026'!$L$4="FO",'2026'!$L$2=AU309),'2026DATA'!$D$32,"")</f>
        <v/>
      </c>
      <c r="AV339" s="518" t="str">
        <f>IF(AND(_3="A-319",'2026'!$L$4="FO",'2026'!$L$2=AV309),'2026DATA'!$E$32,"")</f>
        <v/>
      </c>
      <c r="AW339" s="518" t="str">
        <f>IF(AND(_3="A-319",'2026'!$L$4="FO",'2026'!$L$2=AW309),'2026DATA'!$F$32,"")</f>
        <v/>
      </c>
      <c r="AX339" s="518" t="str">
        <f>IF(AND(_3="A-319",'2026'!$L$4="FO",'2026'!$L$2=AX309),'2026DATA'!$G$32,"")</f>
        <v/>
      </c>
      <c r="AY339" s="518" t="str">
        <f>IF(AND(_3="A-319",'2026'!$L$4="FO",'2026'!$L$2=AY309),'2026DATA'!$H$32,"")</f>
        <v/>
      </c>
      <c r="AZ339" s="518" t="str">
        <f>IF(AND(_3="A-319",'2026'!$L$4="FO",'2026'!$L$2=AZ309),'2026DATA'!$I$32,"")</f>
        <v/>
      </c>
      <c r="BA339" s="518" t="str">
        <f>IF(AND(_3="A-319",'2026'!$L$4="FO",'2026'!$L$2=BA309),'2026DATA'!$J$32,"")</f>
        <v/>
      </c>
      <c r="BB339" s="518" t="str">
        <f>IF(AND(_3="A-319",'2026'!$L$4="FO",'2026'!$L$2=BB309),'2026DATA'!$K$32,"")</f>
        <v/>
      </c>
      <c r="BC339" s="518" t="str">
        <f>IF(AND(_3="A-319",'2026'!$L$4="FO",'2026'!$L$2=BC309),'2026DATA'!$L$32,"")</f>
        <v/>
      </c>
      <c r="BD339" s="518" t="str">
        <f>IF(AND(_3="A-319",'2026'!$L$4="FO",'2026'!$L$2=BD309),'2026DATA'!$M$32,"")</f>
        <v/>
      </c>
      <c r="BE339" s="520" t="str">
        <f>IF(AND(_3="A-319",'2026'!$L$4="FO",'2026'!$L$2=BE309),'2026DATA'!$N$32,"")</f>
        <v/>
      </c>
      <c r="BF339" s="940"/>
      <c r="BG339" s="13" t="s">
        <v>62</v>
      </c>
      <c r="BH339" s="518" t="str">
        <f>IF(AND(_4="A-319",'2026'!$L$4="FO",'2026'!$L$2=BH309),'2026DATA'!$C$32,"")</f>
        <v/>
      </c>
      <c r="BI339" s="518" t="str">
        <f>IF(AND(_4="A-319",'2026'!$L$4="FO",'2026'!$L$2=BI309),'2026DATA'!$D$32,"")</f>
        <v/>
      </c>
      <c r="BJ339" s="518" t="str">
        <f>IF(AND(_4="A-319",'2026'!$L$4="FO",'2026'!$L$2=BJ309),'2026DATA'!$E$32,"")</f>
        <v/>
      </c>
      <c r="BK339" s="518" t="str">
        <f>IF(AND(_4="A-319",'2026'!$L$4="FO",'2026'!$L$2=BK309),'2026DATA'!$F$32,"")</f>
        <v/>
      </c>
      <c r="BL339" s="518" t="str">
        <f>IF(AND(_4="A-319",'2026'!$L$4="FO",'2026'!$L$2=BL309),'2026DATA'!$G$32,"")</f>
        <v/>
      </c>
      <c r="BM339" s="518" t="str">
        <f>IF(AND(_4="A-319",'2026'!$L$4="FO",'2026'!$L$2=BM309),'2026DATA'!$H$32,"")</f>
        <v/>
      </c>
      <c r="BN339" s="518" t="str">
        <f>IF(AND(_4="A-319",'2026'!$L$4="FO",'2026'!$L$2=BN309),'2026DATA'!$I$32,"")</f>
        <v/>
      </c>
      <c r="BO339" s="518" t="str">
        <f>IF(AND(_4="A-319",'2026'!$L$4="FO",'2026'!$L$2=BO309),'2026DATA'!$J$32,"")</f>
        <v/>
      </c>
      <c r="BP339" s="518" t="str">
        <f>IF(AND(_4="A-319",'2026'!$L$4="FO",'2026'!$L$2=BP309),'2026DATA'!$K$32,"")</f>
        <v/>
      </c>
      <c r="BQ339" s="518" t="str">
        <f>IF(AND(_4="A-319",'2026'!$L$4="FO",'2026'!$L$2=BQ309),'2026DATA'!$L$32,"")</f>
        <v/>
      </c>
      <c r="BR339" s="518" t="str">
        <f>IF(AND(_4="A-319",'2026'!$L$4="FO",'2026'!$L$2=BR309),'2026DATA'!$M$32,"")</f>
        <v/>
      </c>
      <c r="BS339" s="520" t="str">
        <f>IF(AND(_4="A-319",'2026'!$L$4="FO",'2026'!$L$2=BS309),'2026DATA'!$N$32,"")</f>
        <v/>
      </c>
      <c r="BT339" s="940"/>
      <c r="BU339" s="13" t="s">
        <v>62</v>
      </c>
      <c r="BV339" s="518" t="str">
        <f>IF(AND(_5="A-319",'2026'!$L$4="FO",'2026'!$L$2=BV309),'2026DATA'!$C$32,"")</f>
        <v/>
      </c>
      <c r="BW339" s="518" t="str">
        <f>IF(AND(_5="A-319",'2026'!$L$4="FO",'2026'!$L$2=BW309),'2026DATA'!$D$32,"")</f>
        <v/>
      </c>
      <c r="BX339" s="518" t="str">
        <f>IF(AND(_5="A-319",'2026'!$L$4="FO",'2026'!$L$2=BX309),'2026DATA'!$E$32,"")</f>
        <v/>
      </c>
      <c r="BY339" s="518" t="str">
        <f>IF(AND(_5="A-319",'2026'!$L$4="FO",'2026'!$L$2=BY309),'2026DATA'!$F$32,"")</f>
        <v/>
      </c>
      <c r="BZ339" s="518" t="str">
        <f>IF(AND(_5="A-319",'2026'!$L$4="FO",'2026'!$L$2=BZ309),'2026DATA'!$G$32,"")</f>
        <v/>
      </c>
      <c r="CA339" s="518" t="str">
        <f>IF(AND(_5="A-319",'2026'!$L$4="FO",'2026'!$L$2=CA309),'2026DATA'!$H$32,"")</f>
        <v/>
      </c>
      <c r="CB339" s="518" t="str">
        <f>IF(AND(_5="A-319",'2026'!$L$4="FO",'2026'!$L$2=CB309),'2026DATA'!$I$32,"")</f>
        <v/>
      </c>
      <c r="CC339" s="518" t="str">
        <f>IF(AND(_5="A-319",'2026'!$L$4="FO",'2026'!$L$2=CC309),'2026DATA'!$J$32,"")</f>
        <v/>
      </c>
      <c r="CD339" s="518" t="str">
        <f>IF(AND(_5="A-319",'2026'!$L$4="FO",'2026'!$L$2=CD309),'2026DATA'!$K$32,"")</f>
        <v/>
      </c>
      <c r="CE339" s="518" t="str">
        <f>IF(AND(_5="A-319",'2026'!$L$4="FO",'2026'!$L$2=CE309),'2026DATA'!$L$32,"")</f>
        <v/>
      </c>
      <c r="CF339" s="518" t="str">
        <f>IF(AND(_5="A-319",'2026'!$L$4="FO",'2026'!$L$2=CF309),'2026DATA'!$M$32,"")</f>
        <v/>
      </c>
      <c r="CG339" s="520" t="str">
        <f>IF(AND(_5="A-319",'2026'!$L$4="FO",'2026'!$L$2=CG309),'2026DATA'!$N$32,"")</f>
        <v/>
      </c>
      <c r="CH339" s="940"/>
      <c r="CI339" s="13" t="s">
        <v>62</v>
      </c>
      <c r="CJ339" s="518" t="str">
        <f>IF(AND(_6="A-319",'2026'!$L$4="FO",'2026'!$L$2=CJ309),'2026DATA'!$C$32,"")</f>
        <v/>
      </c>
      <c r="CK339" s="518" t="str">
        <f>IF(AND(_6="A-319",'2026'!$L$4="FO",'2026'!$L$2=CK309),'2026DATA'!$D$32,"")</f>
        <v/>
      </c>
      <c r="CL339" s="518" t="str">
        <f>IF(AND(_6="A-319",'2026'!$L$4="FO",'2026'!$L$2=CL309),'2026DATA'!$E$32,"")</f>
        <v/>
      </c>
      <c r="CM339" s="518" t="str">
        <f>IF(AND(_6="A-319",'2026'!$L$4="FO",'2026'!$L$2=CM309),'2026DATA'!$F$32,"")</f>
        <v/>
      </c>
      <c r="CN339" s="518" t="str">
        <f>IF(AND(_6="A-319",'2026'!$L$4="FO",'2026'!$L$2=CN309),'2026DATA'!$G$32,"")</f>
        <v/>
      </c>
      <c r="CO339" s="518" t="str">
        <f>IF(AND(_6="A-319",'2026'!$L$4="FO",'2026'!$L$2=CO309),'2026DATA'!$H$32,"")</f>
        <v/>
      </c>
      <c r="CP339" s="518" t="str">
        <f>IF(AND(_6="A-319",'2026'!$L$4="FO",'2026'!$L$2=CP309),'2026DATA'!$I$32,"")</f>
        <v/>
      </c>
      <c r="CQ339" s="518" t="str">
        <f>IF(AND(_6="A-319",'2026'!$L$4="FO",'2026'!$L$2=CQ309),'2026DATA'!$J$32,"")</f>
        <v/>
      </c>
      <c r="CR339" s="518" t="str">
        <f>IF(AND(_6="A-319",'2026'!$L$4="FO",'2026'!$L$2=CR309),'2026DATA'!$K$32,"")</f>
        <v/>
      </c>
      <c r="CS339" s="518" t="str">
        <f>IF(AND(_6="A-319",'2026'!$L$4="FO",'2026'!$L$2=CS309),'2026DATA'!$L$32,"")</f>
        <v/>
      </c>
      <c r="CT339" s="518" t="str">
        <f>IF(AND(_6="A-319",'2026'!$L$4="FO",'2026'!$L$2=CT309),'2026DATA'!$M$32,"")</f>
        <v/>
      </c>
      <c r="CU339" s="520" t="str">
        <f>IF(AND(_6="A-319",'2026'!$L$4="FO",'2026'!$L$2=CU309),'2026DATA'!$N$32,"")</f>
        <v/>
      </c>
    </row>
    <row r="340" spans="16:99" x14ac:dyDescent="0.25">
      <c r="P340" s="940" t="s">
        <v>51</v>
      </c>
      <c r="Q340" s="13" t="s">
        <v>61</v>
      </c>
      <c r="R340" s="518" t="str">
        <f>IF(AND(_1="A-220-300",'2026'!$L$4="CA",'2026'!$L$2=R309),'2026DATA'!$C$33,"")</f>
        <v/>
      </c>
      <c r="S340" s="518" t="str">
        <f>IF(AND(_1="A-220-300",'2026'!$L$4="CA",'2026'!$L$2=S309),'2026DATA'!$D$33,"")</f>
        <v/>
      </c>
      <c r="T340" s="518" t="str">
        <f>IF(AND(_1="A-220-300",'2026'!$L$4="CA",'2026'!$L$2=T309),'2026DATA'!$E$33,"")</f>
        <v/>
      </c>
      <c r="U340" s="518" t="str">
        <f>IF(AND(_1="A-220-300",'2026'!$L$4="CA",'2026'!$L$2=U309),'2026DATA'!$F$33,"")</f>
        <v/>
      </c>
      <c r="V340" s="518" t="str">
        <f>IF(AND(_1="A-220-300",'2026'!$L$4="CA",'2026'!$L$2=V309),'2026DATA'!$G$33,"")</f>
        <v/>
      </c>
      <c r="W340" s="518" t="str">
        <f>IF(AND(_1="A-220-300",'2026'!$L$4="CA",'2026'!$L$2=W309),'2026DATA'!$H$33,"")</f>
        <v/>
      </c>
      <c r="X340" s="518" t="str">
        <f>IF(AND(_1="A-220-300",'2026'!$L$4="CA",'2026'!$L$2=X309),'2026DATA'!$I$33,"")</f>
        <v/>
      </c>
      <c r="Y340" s="518" t="str">
        <f>IF(AND(_1="A-220-300",'2026'!$L$4="CA",'2026'!$L$2=Y309),'2026DATA'!$J$33,"")</f>
        <v/>
      </c>
      <c r="Z340" s="518" t="str">
        <f>IF(AND(_1="A-220-300",'2026'!$L$4="CA",'2026'!$L$2=Z309),'2026DATA'!$K$33,"")</f>
        <v/>
      </c>
      <c r="AA340" s="518" t="str">
        <f>IF(AND(_1="A-220-300",'2026'!$L$4="CA",'2026'!$L$2=AA309),'2026DATA'!$L$33,"")</f>
        <v/>
      </c>
      <c r="AB340" s="518" t="str">
        <f>IF(AND(_1="A-220-300",'2026'!$L$4="CA",'2026'!$L$2=AB309),'2026DATA'!$M$33,"")</f>
        <v/>
      </c>
      <c r="AC340" s="520" t="str">
        <f>IF(AND(_1="A-220-300",'2026'!$L$4="CA",'2026'!$L$2=AC309),'2026DATA'!$N$33,"")</f>
        <v/>
      </c>
      <c r="AD340" s="940" t="s">
        <v>51</v>
      </c>
      <c r="AE340" s="13" t="s">
        <v>61</v>
      </c>
      <c r="AF340" s="518" t="str">
        <f>IF(AND(_2="A-220-300",'2026'!$L$4="CA",'2026'!$L$2=AF309),'2026DATA'!$C$33,"")</f>
        <v/>
      </c>
      <c r="AG340" s="518" t="str">
        <f>IF(AND(_2="A-220-300",'2026'!$L$4="CA",'2026'!$L$2=AG309),'2026DATA'!$D$33,"")</f>
        <v/>
      </c>
      <c r="AH340" s="518" t="str">
        <f>IF(AND(_2="A-220-300",'2026'!$L$4="CA",'2026'!$L$2=AH309),'2026DATA'!$E$33,"")</f>
        <v/>
      </c>
      <c r="AI340" s="518" t="str">
        <f>IF(AND(_2="A-220-300",'2026'!$L$4="CA",'2026'!$L$2=AI309),'2026DATA'!$F$33,"")</f>
        <v/>
      </c>
      <c r="AJ340" s="518" t="str">
        <f>IF(AND(_2="A-220-300",'2026'!$L$4="CA",'2026'!$L$2=AJ309),'2026DATA'!$G$33,"")</f>
        <v/>
      </c>
      <c r="AK340" s="518" t="str">
        <f>IF(AND(_2="A-220-300",'2026'!$L$4="CA",'2026'!$L$2=AK309),'2026DATA'!$H$33,"")</f>
        <v/>
      </c>
      <c r="AL340" s="518" t="str">
        <f>IF(AND(_2="A-220-300",'2026'!$L$4="CA",'2026'!$L$2=AL309),'2026DATA'!$I$33,"")</f>
        <v/>
      </c>
      <c r="AM340" s="518" t="str">
        <f>IF(AND(_2="A-220-300",'2026'!$L$4="CA",'2026'!$L$2=AM309),'2026DATA'!$J$33,"")</f>
        <v/>
      </c>
      <c r="AN340" s="518" t="str">
        <f>IF(AND(_2="A-220-300",'2026'!$L$4="CA",'2026'!$L$2=AN309),'2026DATA'!$K$33,"")</f>
        <v/>
      </c>
      <c r="AO340" s="518" t="str">
        <f>IF(AND(_2="A-220-300",'2026'!$L$4="CA",'2026'!$L$2=AO309),'2026DATA'!$L$33,"")</f>
        <v/>
      </c>
      <c r="AP340" s="518" t="str">
        <f>IF(AND(_2="A-220-300",'2026'!$L$4="CA",'2026'!$L$2=AP309),'2026DATA'!$M$33,"")</f>
        <v/>
      </c>
      <c r="AQ340" s="520" t="str">
        <f>IF(AND(_2="A-220-300",'2026'!$L$4="CA",'2026'!$L$2=AQ309),'2026DATA'!$N$33,"")</f>
        <v/>
      </c>
      <c r="AR340" s="940" t="s">
        <v>51</v>
      </c>
      <c r="AS340" s="13" t="s">
        <v>61</v>
      </c>
      <c r="AT340" s="518" t="str">
        <f>IF(AND(_3="A-220-300",'2026'!$L$4="CA",'2026'!$L$2=AT309),'2026DATA'!$C$33,"")</f>
        <v/>
      </c>
      <c r="AU340" s="518" t="str">
        <f>IF(AND(_3="A-220-300",'2026'!$L$4="CA",'2026'!$L$2=AU309),'2026DATA'!$D$33,"")</f>
        <v/>
      </c>
      <c r="AV340" s="518" t="str">
        <f>IF(AND(_3="A-220-300",'2026'!$L$4="CA",'2026'!$L$2=AV309),'2026DATA'!$E$33,"")</f>
        <v/>
      </c>
      <c r="AW340" s="518" t="str">
        <f>IF(AND(_3="A-220-300",'2026'!$L$4="CA",'2026'!$L$2=AW309),'2026DATA'!$F$33,"")</f>
        <v/>
      </c>
      <c r="AX340" s="518" t="str">
        <f>IF(AND(_3="A-220-300",'2026'!$L$4="CA",'2026'!$L$2=AX309),'2026DATA'!$G$33,"")</f>
        <v/>
      </c>
      <c r="AY340" s="518" t="str">
        <f>IF(AND(_3="A-220-300",'2026'!$L$4="CA",'2026'!$L$2=AY309),'2026DATA'!$H$33,"")</f>
        <v/>
      </c>
      <c r="AZ340" s="518" t="str">
        <f>IF(AND(_3="A-220-300",'2026'!$L$4="CA",'2026'!$L$2=AZ309),'2026DATA'!$I$33,"")</f>
        <v/>
      </c>
      <c r="BA340" s="518" t="str">
        <f>IF(AND(_3="A-220-300",'2026'!$L$4="CA",'2026'!$L$2=BA309),'2026DATA'!$J$33,"")</f>
        <v/>
      </c>
      <c r="BB340" s="518" t="str">
        <f>IF(AND(_3="A-220-300",'2026'!$L$4="CA",'2026'!$L$2=BB309),'2026DATA'!$K$33,"")</f>
        <v/>
      </c>
      <c r="BC340" s="518" t="str">
        <f>IF(AND(_3="A-220-300",'2026'!$L$4="CA",'2026'!$L$2=BC309),'2026DATA'!$L$33,"")</f>
        <v/>
      </c>
      <c r="BD340" s="518" t="str">
        <f>IF(AND(_3="A-220-300",'2026'!$L$4="CA",'2026'!$L$2=BD309),'2026DATA'!$M$33,"")</f>
        <v/>
      </c>
      <c r="BE340" s="520" t="str">
        <f>IF(AND(_3="A-220-300",'2026'!$L$4="CA",'2026'!$L$2=BE309),'2026DATA'!$N$33,"")</f>
        <v/>
      </c>
      <c r="BF340" s="940" t="s">
        <v>51</v>
      </c>
      <c r="BG340" s="13" t="s">
        <v>61</v>
      </c>
      <c r="BH340" s="518" t="str">
        <f>IF(AND(_4="A-220-300",'2026'!$L$4="CA",'2026'!$L$2=BH309),'2026DATA'!$C$33,"")</f>
        <v/>
      </c>
      <c r="BI340" s="518" t="str">
        <f>IF(AND(_4="A-220-300",'2026'!$L$4="CA",'2026'!$L$2=BI309),'2026DATA'!$D$33,"")</f>
        <v/>
      </c>
      <c r="BJ340" s="518" t="str">
        <f>IF(AND(_4="A-220-300",'2026'!$L$4="CA",'2026'!$L$2=BJ309),'2026DATA'!$E$33,"")</f>
        <v/>
      </c>
      <c r="BK340" s="518" t="str">
        <f>IF(AND(_4="A-220-300",'2026'!$L$4="CA",'2026'!$L$2=BK309),'2026DATA'!$F$33,"")</f>
        <v/>
      </c>
      <c r="BL340" s="518" t="str">
        <f>IF(AND(_4="A-220-300",'2026'!$L$4="CA",'2026'!$L$2=BL309),'2026DATA'!$G$33,"")</f>
        <v/>
      </c>
      <c r="BM340" s="518" t="str">
        <f>IF(AND(_4="A-220-300",'2026'!$L$4="CA",'2026'!$L$2=BM309),'2026DATA'!$H$33,"")</f>
        <v/>
      </c>
      <c r="BN340" s="518" t="str">
        <f>IF(AND(_4="A-220-300",'2026'!$L$4="CA",'2026'!$L$2=BN309),'2026DATA'!$I$33,"")</f>
        <v/>
      </c>
      <c r="BO340" s="518" t="str">
        <f>IF(AND(_4="A-220-300",'2026'!$L$4="CA",'2026'!$L$2=BO309),'2026DATA'!$J$33,"")</f>
        <v/>
      </c>
      <c r="BP340" s="518" t="str">
        <f>IF(AND(_4="A-220-300",'2026'!$L$4="CA",'2026'!$L$2=BP309),'2026DATA'!$K$33,"")</f>
        <v/>
      </c>
      <c r="BQ340" s="518" t="str">
        <f>IF(AND(_4="A-220-300",'2026'!$L$4="CA",'2026'!$L$2=BQ309),'2026DATA'!$L$33,"")</f>
        <v/>
      </c>
      <c r="BR340" s="518" t="str">
        <f>IF(AND(_4="A-220-300",'2026'!$L$4="CA",'2026'!$L$2=BR309),'2026DATA'!$M$33,"")</f>
        <v/>
      </c>
      <c r="BS340" s="520" t="str">
        <f>IF(AND(_4="A-220-300",'2026'!$L$4="CA",'2026'!$L$2=BS309),'2026DATA'!$N$33,"")</f>
        <v/>
      </c>
      <c r="BT340" s="940" t="s">
        <v>51</v>
      </c>
      <c r="BU340" s="13" t="s">
        <v>61</v>
      </c>
      <c r="BV340" s="518" t="str">
        <f>IF(AND(_5="A-220-300",'2026'!$L$4="CA",'2026'!$L$2=BV309),'2026DATA'!$C$33,"")</f>
        <v/>
      </c>
      <c r="BW340" s="518" t="str">
        <f>IF(AND(_5="A-220-300",'2026'!$L$4="CA",'2026'!$L$2=BW309),'2026DATA'!$D$33,"")</f>
        <v/>
      </c>
      <c r="BX340" s="518" t="str">
        <f>IF(AND(_5="A-220-300",'2026'!$L$4="CA",'2026'!$L$2=BX309),'2026DATA'!$E$33,"")</f>
        <v/>
      </c>
      <c r="BY340" s="518" t="str">
        <f>IF(AND(_5="A-220-300",'2026'!$L$4="CA",'2026'!$L$2=BY309),'2026DATA'!$F$33,"")</f>
        <v/>
      </c>
      <c r="BZ340" s="518" t="str">
        <f>IF(AND(_5="A-220-300",'2026'!$L$4="CA",'2026'!$L$2=BZ309),'2026DATA'!$G$33,"")</f>
        <v/>
      </c>
      <c r="CA340" s="518" t="str">
        <f>IF(AND(_5="A-220-300",'2026'!$L$4="CA",'2026'!$L$2=CA309),'2026DATA'!$H$33,"")</f>
        <v/>
      </c>
      <c r="CB340" s="518" t="str">
        <f>IF(AND(_5="A-220-300",'2026'!$L$4="CA",'2026'!$L$2=CB309),'2026DATA'!$I$33,"")</f>
        <v/>
      </c>
      <c r="CC340" s="518" t="str">
        <f>IF(AND(_5="A-220-300",'2026'!$L$4="CA",'2026'!$L$2=CC309),'2026DATA'!$J$33,"")</f>
        <v/>
      </c>
      <c r="CD340" s="518" t="str">
        <f>IF(AND(_5="A-220-300",'2026'!$L$4="CA",'2026'!$L$2=CD309),'2026DATA'!$K$33,"")</f>
        <v/>
      </c>
      <c r="CE340" s="518" t="str">
        <f>IF(AND(_5="A-220-300",'2026'!$L$4="CA",'2026'!$L$2=CE309),'2026DATA'!$L$33,"")</f>
        <v/>
      </c>
      <c r="CF340" s="518" t="str">
        <f>IF(AND(_5="A-220-300",'2026'!$L$4="CA",'2026'!$L$2=CF309),'2026DATA'!$M$33,"")</f>
        <v/>
      </c>
      <c r="CG340" s="520" t="str">
        <f>IF(AND(_5="A-220-300",'2026'!$L$4="CA",'2026'!$L$2=CG309),'2026DATA'!$N$33,"")</f>
        <v/>
      </c>
      <c r="CH340" s="940" t="s">
        <v>51</v>
      </c>
      <c r="CI340" s="13" t="s">
        <v>61</v>
      </c>
      <c r="CJ340" s="518" t="str">
        <f>IF(AND(_6="A-220-300",'2026'!$L$4="CA",'2026'!$L$2=CJ309),'2026DATA'!$C$33,"")</f>
        <v/>
      </c>
      <c r="CK340" s="518" t="str">
        <f>IF(AND(_6="A-220-300",'2026'!$L$4="CA",'2026'!$L$2=CK309),'2026DATA'!$D$33,"")</f>
        <v/>
      </c>
      <c r="CL340" s="518" t="str">
        <f>IF(AND(_6="A-220-300",'2026'!$L$4="CA",'2026'!$L$2=CL309),'2026DATA'!$E$33,"")</f>
        <v/>
      </c>
      <c r="CM340" s="518" t="str">
        <f>IF(AND(_6="A-220-300",'2026'!$L$4="CA",'2026'!$L$2=CM309),'2026DATA'!$F$33,"")</f>
        <v/>
      </c>
      <c r="CN340" s="518" t="str">
        <f>IF(AND(_6="A-220-300",'2026'!$L$4="CA",'2026'!$L$2=CN309),'2026DATA'!$G$33,"")</f>
        <v/>
      </c>
      <c r="CO340" s="518" t="str">
        <f>IF(AND(_6="A-220-300",'2026'!$L$4="CA",'2026'!$L$2=CO309),'2026DATA'!$H$33,"")</f>
        <v/>
      </c>
      <c r="CP340" s="518" t="str">
        <f>IF(AND(_6="A-220-300",'2026'!$L$4="CA",'2026'!$L$2=CP309),'2026DATA'!$I$33,"")</f>
        <v/>
      </c>
      <c r="CQ340" s="518" t="str">
        <f>IF(AND(_6="A-220-300",'2026'!$L$4="CA",'2026'!$L$2=CQ309),'2026DATA'!$J$33,"")</f>
        <v/>
      </c>
      <c r="CR340" s="518" t="str">
        <f>IF(AND(_6="A-220-300",'2026'!$L$4="CA",'2026'!$L$2=CR309),'2026DATA'!$K$33,"")</f>
        <v/>
      </c>
      <c r="CS340" s="518" t="str">
        <f>IF(AND(_6="A-220-300",'2026'!$L$4="CA",'2026'!$L$2=CS309),'2026DATA'!$L$33,"")</f>
        <v/>
      </c>
      <c r="CT340" s="518" t="str">
        <f>IF(AND(_6="A-220-300",'2026'!$L$4="CA",'2026'!$L$2=CT309),'2026DATA'!$M$33,"")</f>
        <v/>
      </c>
      <c r="CU340" s="520" t="str">
        <f>IF(AND(_6="A-220-300",'2026'!$L$4="CA",'2026'!$L$2=CU309),'2026DATA'!$N$33,"")</f>
        <v/>
      </c>
    </row>
    <row r="341" spans="16:99" x14ac:dyDescent="0.25">
      <c r="P341" s="940"/>
      <c r="Q341" s="13" t="s">
        <v>62</v>
      </c>
      <c r="R341" s="518" t="str">
        <f>IF(AND(_1="A-220-300",'2026'!$L$4="FO",'2026'!$L$2=R309),'2026DATA'!$C$34,"")</f>
        <v/>
      </c>
      <c r="S341" s="518" t="str">
        <f>IF(AND(_1="A-220-300",'2026'!$L$4="FO",'2026'!$L$2=S309),'2026DATA'!$D$34,"")</f>
        <v/>
      </c>
      <c r="T341" s="518" t="str">
        <f>IF(AND(_1="A-220-300",'2026'!$L$4="FO",'2026'!$L$2=T309),'2026DATA'!$E$34,"")</f>
        <v/>
      </c>
      <c r="U341" s="518" t="str">
        <f>IF(AND(_1="A-220-300",'2026'!$L$4="FO",'2026'!$L$2=U309),'2026DATA'!$F$34,"")</f>
        <v/>
      </c>
      <c r="V341" s="518" t="str">
        <f>IF(AND(_1="A-220-300",'2026'!$L$4="FO",'2026'!$L$2=V309),'2026DATA'!$G$34,"")</f>
        <v/>
      </c>
      <c r="W341" s="518" t="str">
        <f>IF(AND(_1="A-220-300",'2026'!$L$4="FO",'2026'!$L$2=W309),'2026DATA'!$H$34,"")</f>
        <v/>
      </c>
      <c r="X341" s="518" t="str">
        <f>IF(AND(_1="A-220-300",'2026'!$L$4="FO",'2026'!$L$2=X309),'2026DATA'!$I$34,"")</f>
        <v/>
      </c>
      <c r="Y341" s="518" t="str">
        <f>IF(AND(_1="A-220-300",'2026'!$L$4="FO",'2026'!$L$2=Y309),'2026DATA'!$J$34,"")</f>
        <v/>
      </c>
      <c r="Z341" s="518" t="str">
        <f>IF(AND(_1="A-220-300",'2026'!$L$4="FO",'2026'!$L$2=Z309),'2026DATA'!$K$34,"")</f>
        <v/>
      </c>
      <c r="AA341" s="518" t="str">
        <f>IF(AND(_1="A-220-300",'2026'!$L$4="FO",'2026'!$L$2=AA309),'2026DATA'!$L$34,"")</f>
        <v/>
      </c>
      <c r="AB341" s="518" t="str">
        <f>IF(AND(_1="A-220-300",'2026'!$L$4="FO",'2026'!$L$2=AB309),'2026DATA'!$M$34,"")</f>
        <v/>
      </c>
      <c r="AC341" s="520" t="str">
        <f>IF(AND(_1="A-220-300",'2026'!$L$4="FO",'2026'!$L$2=AC309),'2026DATA'!$N$34,"")</f>
        <v/>
      </c>
      <c r="AD341" s="940"/>
      <c r="AE341" s="13" t="s">
        <v>62</v>
      </c>
      <c r="AF341" s="518" t="str">
        <f>IF(AND(_2="A-220-300",'2026'!$L$4="FO",'2026'!$L$2=AF309),'2026DATA'!$C$34,"")</f>
        <v/>
      </c>
      <c r="AG341" s="518" t="str">
        <f>IF(AND(_2="A-220-300",'2026'!$L$4="FO",'2026'!$L$2=AG309),'2026DATA'!$D$34,"")</f>
        <v/>
      </c>
      <c r="AH341" s="518" t="str">
        <f>IF(AND(_2="A-220-300",'2026'!$L$4="FO",'2026'!$L$2=AH309),'2026DATA'!$E$34,"")</f>
        <v/>
      </c>
      <c r="AI341" s="518" t="str">
        <f>IF(AND(_2="A-220-300",'2026'!$L$4="FO",'2026'!$L$2=AI309),'2026DATA'!$F$34,"")</f>
        <v/>
      </c>
      <c r="AJ341" s="518" t="str">
        <f>IF(AND(_2="A-220-300",'2026'!$L$4="FO",'2026'!$L$2=AJ309),'2026DATA'!$G$34,"")</f>
        <v/>
      </c>
      <c r="AK341" s="518" t="str">
        <f>IF(AND(_2="A-220-300",'2026'!$L$4="FO",'2026'!$L$2=AK309),'2026DATA'!$H$34,"")</f>
        <v/>
      </c>
      <c r="AL341" s="518" t="str">
        <f>IF(AND(_2="A-220-300",'2026'!$L$4="FO",'2026'!$L$2=AL309),'2026DATA'!$I$34,"")</f>
        <v/>
      </c>
      <c r="AM341" s="518" t="str">
        <f>IF(AND(_2="A-220-300",'2026'!$L$4="FO",'2026'!$L$2=AM309),'2026DATA'!$J$34,"")</f>
        <v/>
      </c>
      <c r="AN341" s="518" t="str">
        <f>IF(AND(_2="A-220-300",'2026'!$L$4="FO",'2026'!$L$2=AN309),'2026DATA'!$K$34,"")</f>
        <v/>
      </c>
      <c r="AO341" s="518" t="str">
        <f>IF(AND(_2="A-220-300",'2026'!$L$4="FO",'2026'!$L$2=AO309),'2026DATA'!$L$34,"")</f>
        <v/>
      </c>
      <c r="AP341" s="518" t="str">
        <f>IF(AND(_2="A-220-300",'2026'!$L$4="FO",'2026'!$L$2=AP309),'2026DATA'!$M$34,"")</f>
        <v/>
      </c>
      <c r="AQ341" s="520" t="str">
        <f>IF(AND(_2="A-220-300",'2026'!$L$4="FO",'2026'!$L$2=AQ309),'2026DATA'!$N$34,"")</f>
        <v/>
      </c>
      <c r="AR341" s="940"/>
      <c r="AS341" s="13" t="s">
        <v>62</v>
      </c>
      <c r="AT341" s="518" t="str">
        <f>IF(AND(_3="A-220-300",'2026'!$L$4="FO",'2026'!$L$2=AT309),'2026DATA'!$C$34,"")</f>
        <v/>
      </c>
      <c r="AU341" s="518" t="str">
        <f>IF(AND(_3="A-220-300",'2026'!$L$4="FO",'2026'!$L$2=AU309),'2026DATA'!$D$34,"")</f>
        <v/>
      </c>
      <c r="AV341" s="518" t="str">
        <f>IF(AND(_3="A-220-300",'2026'!$L$4="FO",'2026'!$L$2=AV309),'2026DATA'!$E$34,"")</f>
        <v/>
      </c>
      <c r="AW341" s="518" t="str">
        <f>IF(AND(_3="A-220-300",'2026'!$L$4="FO",'2026'!$L$2=AW309),'2026DATA'!$F$34,"")</f>
        <v/>
      </c>
      <c r="AX341" s="518" t="str">
        <f>IF(AND(_3="A-220-300",'2026'!$L$4="FO",'2026'!$L$2=AX309),'2026DATA'!$G$34,"")</f>
        <v/>
      </c>
      <c r="AY341" s="518" t="str">
        <f>IF(AND(_3="A-220-300",'2026'!$L$4="FO",'2026'!$L$2=AY309),'2026DATA'!$H$34,"")</f>
        <v/>
      </c>
      <c r="AZ341" s="518" t="str">
        <f>IF(AND(_3="A-220-300",'2026'!$L$4="FO",'2026'!$L$2=AZ309),'2026DATA'!$I$34,"")</f>
        <v/>
      </c>
      <c r="BA341" s="518" t="str">
        <f>IF(AND(_3="A-220-300",'2026'!$L$4="FO",'2026'!$L$2=BA309),'2026DATA'!$J$34,"")</f>
        <v/>
      </c>
      <c r="BB341" s="518" t="str">
        <f>IF(AND(_3="A-220-300",'2026'!$L$4="FO",'2026'!$L$2=BB309),'2026DATA'!$K$34,"")</f>
        <v/>
      </c>
      <c r="BC341" s="518" t="str">
        <f>IF(AND(_3="A-220-300",'2026'!$L$4="FO",'2026'!$L$2=BC309),'2026DATA'!$L$34,"")</f>
        <v/>
      </c>
      <c r="BD341" s="518" t="str">
        <f>IF(AND(_3="A-220-300",'2026'!$L$4="FO",'2026'!$L$2=BD309),'2026DATA'!$M$34,"")</f>
        <v/>
      </c>
      <c r="BE341" s="520" t="str">
        <f>IF(AND(_3="A-220-300",'2026'!$L$4="FO",'2026'!$L$2=BE309),'2026DATA'!$N$34,"")</f>
        <v/>
      </c>
      <c r="BF341" s="940"/>
      <c r="BG341" s="13" t="s">
        <v>62</v>
      </c>
      <c r="BH341" s="518" t="str">
        <f>IF(AND(_4="A-220-300",'2026'!$L$4="FO",'2026'!$L$2=BH309),'2026DATA'!$C$34,"")</f>
        <v/>
      </c>
      <c r="BI341" s="518" t="str">
        <f>IF(AND(_4="A-220-300",'2026'!$L$4="FO",'2026'!$L$2=BI309),'2026DATA'!$D$34,"")</f>
        <v/>
      </c>
      <c r="BJ341" s="518" t="str">
        <f>IF(AND(_4="A-220-300",'2026'!$L$4="FO",'2026'!$L$2=BJ309),'2026DATA'!$E$34,"")</f>
        <v/>
      </c>
      <c r="BK341" s="518" t="str">
        <f>IF(AND(_4="A-220-300",'2026'!$L$4="FO",'2026'!$L$2=BK309),'2026DATA'!$F$34,"")</f>
        <v/>
      </c>
      <c r="BL341" s="518" t="str">
        <f>IF(AND(_4="A-220-300",'2026'!$L$4="FO",'2026'!$L$2=BL309),'2026DATA'!$G$34,"")</f>
        <v/>
      </c>
      <c r="BM341" s="518" t="str">
        <f>IF(AND(_4="A-220-300",'2026'!$L$4="FO",'2026'!$L$2=BM309),'2026DATA'!$H$34,"")</f>
        <v/>
      </c>
      <c r="BN341" s="518" t="str">
        <f>IF(AND(_4="A-220-300",'2026'!$L$4="FO",'2026'!$L$2=BN309),'2026DATA'!$I$34,"")</f>
        <v/>
      </c>
      <c r="BO341" s="518" t="str">
        <f>IF(AND(_4="A-220-300",'2026'!$L$4="FO",'2026'!$L$2=BO309),'2026DATA'!$J$34,"")</f>
        <v/>
      </c>
      <c r="BP341" s="518" t="str">
        <f>IF(AND(_4="A-220-300",'2026'!$L$4="FO",'2026'!$L$2=BP309),'2026DATA'!$K$34,"")</f>
        <v/>
      </c>
      <c r="BQ341" s="518" t="str">
        <f>IF(AND(_4="A-220-300",'2026'!$L$4="FO",'2026'!$L$2=BQ309),'2026DATA'!$L$34,"")</f>
        <v/>
      </c>
      <c r="BR341" s="518" t="str">
        <f>IF(AND(_4="A-220-300",'2026'!$L$4="FO",'2026'!$L$2=BR309),'2026DATA'!$M$34,"")</f>
        <v/>
      </c>
      <c r="BS341" s="520" t="str">
        <f>IF(AND(_4="A-220-300",'2026'!$L$4="FO",'2026'!$L$2=BS309),'2026DATA'!$N$34,"")</f>
        <v/>
      </c>
      <c r="BT341" s="940"/>
      <c r="BU341" s="13" t="s">
        <v>62</v>
      </c>
      <c r="BV341" s="518" t="str">
        <f>IF(AND(_5="A-220-300",'2026'!$L$4="FO",'2026'!$L$2=BV309),'2026DATA'!$C$34,"")</f>
        <v/>
      </c>
      <c r="BW341" s="518" t="str">
        <f>IF(AND(_5="A-220-300",'2026'!$L$4="FO",'2026'!$L$2=BW309),'2026DATA'!$D$34,"")</f>
        <v/>
      </c>
      <c r="BX341" s="518" t="str">
        <f>IF(AND(_5="A-220-300",'2026'!$L$4="FO",'2026'!$L$2=BX309),'2026DATA'!$E$34,"")</f>
        <v/>
      </c>
      <c r="BY341" s="518" t="str">
        <f>IF(AND(_5="A-220-300",'2026'!$L$4="FO",'2026'!$L$2=BY309),'2026DATA'!$F$34,"")</f>
        <v/>
      </c>
      <c r="BZ341" s="518" t="str">
        <f>IF(AND(_5="A-220-300",'2026'!$L$4="FO",'2026'!$L$2=BZ309),'2026DATA'!$G$34,"")</f>
        <v/>
      </c>
      <c r="CA341" s="518" t="str">
        <f>IF(AND(_5="A-220-300",'2026'!$L$4="FO",'2026'!$L$2=CA309),'2026DATA'!$H$34,"")</f>
        <v/>
      </c>
      <c r="CB341" s="518" t="str">
        <f>IF(AND(_5="A-220-300",'2026'!$L$4="FO",'2026'!$L$2=CB309),'2026DATA'!$I$34,"")</f>
        <v/>
      </c>
      <c r="CC341" s="518" t="str">
        <f>IF(AND(_5="A-220-300",'2026'!$L$4="FO",'2026'!$L$2=CC309),'2026DATA'!$J$34,"")</f>
        <v/>
      </c>
      <c r="CD341" s="518" t="str">
        <f>IF(AND(_5="A-220-300",'2026'!$L$4="FO",'2026'!$L$2=CD309),'2026DATA'!$K$34,"")</f>
        <v/>
      </c>
      <c r="CE341" s="518" t="str">
        <f>IF(AND(_5="A-220-300",'2026'!$L$4="FO",'2026'!$L$2=CE309),'2026DATA'!$L$34,"")</f>
        <v/>
      </c>
      <c r="CF341" s="518" t="str">
        <f>IF(AND(_5="A-220-300",'2026'!$L$4="FO",'2026'!$L$2=CF309),'2026DATA'!$M$34,"")</f>
        <v/>
      </c>
      <c r="CG341" s="520" t="str">
        <f>IF(AND(_5="A-220-300",'2026'!$L$4="FO",'2026'!$L$2=CG309),'2026DATA'!$N$34,"")</f>
        <v/>
      </c>
      <c r="CH341" s="940"/>
      <c r="CI341" s="13" t="s">
        <v>62</v>
      </c>
      <c r="CJ341" s="518" t="str">
        <f>IF(AND(_6="A-220-300",'2026'!$L$4="FO",'2026'!$L$2=CJ309),'2026DATA'!$C$34,"")</f>
        <v/>
      </c>
      <c r="CK341" s="518" t="str">
        <f>IF(AND(_6="A-220-300",'2026'!$L$4="FO",'2026'!$L$2=CK309),'2026DATA'!$D$34,"")</f>
        <v/>
      </c>
      <c r="CL341" s="518" t="str">
        <f>IF(AND(_6="A-220-300",'2026'!$L$4="FO",'2026'!$L$2=CL309),'2026DATA'!$E$34,"")</f>
        <v/>
      </c>
      <c r="CM341" s="518" t="str">
        <f>IF(AND(_6="A-220-300",'2026'!$L$4="FO",'2026'!$L$2=CM309),'2026DATA'!$F$34,"")</f>
        <v/>
      </c>
      <c r="CN341" s="518" t="str">
        <f>IF(AND(_6="A-220-300",'2026'!$L$4="FO",'2026'!$L$2=CN309),'2026DATA'!$G$34,"")</f>
        <v/>
      </c>
      <c r="CO341" s="518" t="str">
        <f>IF(AND(_6="A-220-300",'2026'!$L$4="FO",'2026'!$L$2=CO309),'2026DATA'!$H$34,"")</f>
        <v/>
      </c>
      <c r="CP341" s="518" t="str">
        <f>IF(AND(_6="A-220-300",'2026'!$L$4="FO",'2026'!$L$2=CP309),'2026DATA'!$I$34,"")</f>
        <v/>
      </c>
      <c r="CQ341" s="518" t="str">
        <f>IF(AND(_6="A-220-300",'2026'!$L$4="FO",'2026'!$L$2=CQ309),'2026DATA'!$J$34,"")</f>
        <v/>
      </c>
      <c r="CR341" s="518" t="str">
        <f>IF(AND(_6="A-220-300",'2026'!$L$4="FO",'2026'!$L$2=CR309),'2026DATA'!$K$34,"")</f>
        <v/>
      </c>
      <c r="CS341" s="518" t="str">
        <f>IF(AND(_6="A-220-300",'2026'!$L$4="FO",'2026'!$L$2=CS309),'2026DATA'!$L$34,"")</f>
        <v/>
      </c>
      <c r="CT341" s="518" t="str">
        <f>IF(AND(_6="A-220-300",'2026'!$L$4="FO",'2026'!$L$2=CT309),'2026DATA'!$M$34,"")</f>
        <v/>
      </c>
      <c r="CU341" s="520" t="str">
        <f>IF(AND(_6="A-220-300",'2026'!$L$4="FO",'2026'!$L$2=CU309),'2026DATA'!$N$34,"")</f>
        <v/>
      </c>
    </row>
    <row r="342" spans="16:99" x14ac:dyDescent="0.25">
      <c r="P342" s="940" t="s">
        <v>52</v>
      </c>
      <c r="Q342" s="13" t="s">
        <v>61</v>
      </c>
      <c r="R342" s="518" t="str">
        <f>IF(AND(_1="A-220-100",'2026'!$L$4="CA",'2026'!$L$2=R309),'2026DATA'!$C$35,"")</f>
        <v/>
      </c>
      <c r="S342" s="518" t="str">
        <f>IF(AND(_1="A-220-100",'2026'!$L$4="CA",'2026'!$L$2=S309),'2026DATA'!$D$35,"")</f>
        <v/>
      </c>
      <c r="T342" s="518" t="str">
        <f>IF(AND(_1="A-220-100",'2026'!$L$4="CA",'2026'!$L$2=T309),'2026DATA'!$E$35,"")</f>
        <v/>
      </c>
      <c r="U342" s="518" t="str">
        <f>IF(AND(_1="A-220-100",'2026'!$L$4="CA",'2026'!$L$2=U309),'2026DATA'!$F$35,"")</f>
        <v/>
      </c>
      <c r="V342" s="518" t="str">
        <f>IF(AND(_1="A-220-100",'2026'!$L$4="CA",'2026'!$L$2=V309),'2026DATA'!$G$35,"")</f>
        <v/>
      </c>
      <c r="W342" s="518" t="str">
        <f>IF(AND(_1="A-220-100",'2026'!$L$4="CA",'2026'!$L$2=W309),'2026DATA'!$H$35,"")</f>
        <v/>
      </c>
      <c r="X342" s="518" t="str">
        <f>IF(AND(_1="A-220-100",'2026'!$L$4="CA",'2026'!$L$2=X309),'2026DATA'!$I$35,"")</f>
        <v/>
      </c>
      <c r="Y342" s="518" t="str">
        <f>IF(AND(_1="A-220-100",'2026'!$L$4="CA",'2026'!$L$2=Y309),'2026DATA'!$J$35,"")</f>
        <v/>
      </c>
      <c r="Z342" s="518" t="str">
        <f>IF(AND(_1="A-220-100",'2026'!$L$4="CA",'2026'!$L$2=Z309),'2026DATA'!$K$35,"")</f>
        <v/>
      </c>
      <c r="AA342" s="518" t="str">
        <f>IF(AND(_1="A-220-100",'2026'!$L$4="CA",'2026'!$L$2=AA309),'2026DATA'!$L$35,"")</f>
        <v/>
      </c>
      <c r="AB342" s="518" t="str">
        <f>IF(AND(_1="A-220-100",'2026'!$L$4="CA",'2026'!$L$2=AB309),'2026DATA'!$M$35,"")</f>
        <v/>
      </c>
      <c r="AC342" s="520" t="str">
        <f>IF(AND(_1="A-220-100",'2026'!$L$4="CA",'2026'!$L$2=AC309),'2026DATA'!$N$35,"")</f>
        <v/>
      </c>
      <c r="AD342" s="940" t="s">
        <v>52</v>
      </c>
      <c r="AE342" s="13" t="s">
        <v>61</v>
      </c>
      <c r="AF342" s="518" t="str">
        <f>IF(AND(_2="A-220-100",'2026'!$L$4="CA",'2026'!$L$2=AF309),'2026DATA'!$C$35,"")</f>
        <v/>
      </c>
      <c r="AG342" s="518" t="str">
        <f>IF(AND(_2="A-220-100",'2026'!$L$4="CA",'2026'!$L$2=AG309),'2026DATA'!$D$35,"")</f>
        <v/>
      </c>
      <c r="AH342" s="518" t="str">
        <f>IF(AND(_2="A-220-100",'2026'!$L$4="CA",'2026'!$L$2=AH309),'2026DATA'!$E$35,"")</f>
        <v/>
      </c>
      <c r="AI342" s="518" t="str">
        <f>IF(AND(_2="A-220-100",'2026'!$L$4="CA",'2026'!$L$2=AI309),'2026DATA'!$F$35,"")</f>
        <v/>
      </c>
      <c r="AJ342" s="518" t="str">
        <f>IF(AND(_2="A-220-100",'2026'!$L$4="CA",'2026'!$L$2=AJ309),'2026DATA'!$G$35,"")</f>
        <v/>
      </c>
      <c r="AK342" s="518" t="str">
        <f>IF(AND(_2="A-220-100",'2026'!$L$4="CA",'2026'!$L$2=AK309),'2026DATA'!$H$35,"")</f>
        <v/>
      </c>
      <c r="AL342" s="518" t="str">
        <f>IF(AND(_2="A-220-100",'2026'!$L$4="CA",'2026'!$L$2=AL309),'2026DATA'!$I$35,"")</f>
        <v/>
      </c>
      <c r="AM342" s="518" t="str">
        <f>IF(AND(_2="A-220-100",'2026'!$L$4="CA",'2026'!$L$2=AM309),'2026DATA'!$J$35,"")</f>
        <v/>
      </c>
      <c r="AN342" s="518" t="str">
        <f>IF(AND(_2="A-220-100",'2026'!$L$4="CA",'2026'!$L$2=AN309),'2026DATA'!$K$35,"")</f>
        <v/>
      </c>
      <c r="AO342" s="518" t="str">
        <f>IF(AND(_2="A-220-100",'2026'!$L$4="CA",'2026'!$L$2=AO309),'2026DATA'!$L$35,"")</f>
        <v/>
      </c>
      <c r="AP342" s="518" t="str">
        <f>IF(AND(_2="A-220-100",'2026'!$L$4="CA",'2026'!$L$2=AP309),'2026DATA'!$M$35,"")</f>
        <v/>
      </c>
      <c r="AQ342" s="520" t="str">
        <f>IF(AND(_2="A-220-100",'2026'!$L$4="CA",'2026'!$L$2=AQ309),'2026DATA'!$N$35,"")</f>
        <v/>
      </c>
      <c r="AR342" s="940" t="s">
        <v>52</v>
      </c>
      <c r="AS342" s="13" t="s">
        <v>61</v>
      </c>
      <c r="AT342" s="518" t="str">
        <f>IF(AND(_3="A-220-100",'2026'!$L$4="CA",'2026'!$L$2=AT309),'2026DATA'!$C$35,"")</f>
        <v/>
      </c>
      <c r="AU342" s="518" t="str">
        <f>IF(AND(_3="A-220-100",'2026'!$L$4="CA",'2026'!$L$2=AU309),'2026DATA'!$D$35,"")</f>
        <v/>
      </c>
      <c r="AV342" s="518" t="str">
        <f>IF(AND(_3="A-220-100",'2026'!$L$4="CA",'2026'!$L$2=AV309),'2026DATA'!$E$35,"")</f>
        <v/>
      </c>
      <c r="AW342" s="518" t="str">
        <f>IF(AND(_3="A-220-100",'2026'!$L$4="CA",'2026'!$L$2=AW309),'2026DATA'!$F$35,"")</f>
        <v/>
      </c>
      <c r="AX342" s="518" t="str">
        <f>IF(AND(_3="A-220-100",'2026'!$L$4="CA",'2026'!$L$2=AX309),'2026DATA'!$G$35,"")</f>
        <v/>
      </c>
      <c r="AY342" s="518" t="str">
        <f>IF(AND(_3="A-220-100",'2026'!$L$4="CA",'2026'!$L$2=AY309),'2026DATA'!$H$35,"")</f>
        <v/>
      </c>
      <c r="AZ342" s="518" t="str">
        <f>IF(AND(_3="A-220-100",'2026'!$L$4="CA",'2026'!$L$2=AZ309),'2026DATA'!$I$35,"")</f>
        <v/>
      </c>
      <c r="BA342" s="518" t="str">
        <f>IF(AND(_3="A-220-100",'2026'!$L$4="CA",'2026'!$L$2=BA309),'2026DATA'!$J$35,"")</f>
        <v/>
      </c>
      <c r="BB342" s="518" t="str">
        <f>IF(AND(_3="A-220-100",'2026'!$L$4="CA",'2026'!$L$2=BB309),'2026DATA'!$K$35,"")</f>
        <v/>
      </c>
      <c r="BC342" s="518" t="str">
        <f>IF(AND(_3="A-220-100",'2026'!$L$4="CA",'2026'!$L$2=BC309),'2026DATA'!$L$35,"")</f>
        <v/>
      </c>
      <c r="BD342" s="518" t="str">
        <f>IF(AND(_3="A-220-100",'2026'!$L$4="CA",'2026'!$L$2=BD309),'2026DATA'!$M$35,"")</f>
        <v/>
      </c>
      <c r="BE342" s="520" t="str">
        <f>IF(AND(_3="A-220-100",'2026'!$L$4="CA",'2026'!$L$2=BE309),'2026DATA'!$N$35,"")</f>
        <v/>
      </c>
      <c r="BF342" s="940" t="s">
        <v>52</v>
      </c>
      <c r="BG342" s="13" t="s">
        <v>61</v>
      </c>
      <c r="BH342" s="518" t="str">
        <f>IF(AND(_4="A-220-100",'2026'!$L$4="CA",'2026'!$L$2=BH309),'2026DATA'!$C$35,"")</f>
        <v/>
      </c>
      <c r="BI342" s="518" t="str">
        <f>IF(AND(_4="A-220-100",'2026'!$L$4="CA",'2026'!$L$2=BI309),'2026DATA'!$D$35,"")</f>
        <v/>
      </c>
      <c r="BJ342" s="518" t="str">
        <f>IF(AND(_4="A-220-100",'2026'!$L$4="CA",'2026'!$L$2=BJ309),'2026DATA'!$E$35,"")</f>
        <v/>
      </c>
      <c r="BK342" s="518" t="str">
        <f>IF(AND(_4="A-220-100",'2026'!$L$4="CA",'2026'!$L$2=BK309),'2026DATA'!$F$35,"")</f>
        <v/>
      </c>
      <c r="BL342" s="518" t="str">
        <f>IF(AND(_4="A-220-100",'2026'!$L$4="CA",'2026'!$L$2=BL309),'2026DATA'!$G$35,"")</f>
        <v/>
      </c>
      <c r="BM342" s="518" t="str">
        <f>IF(AND(_4="A-220-100",'2026'!$L$4="CA",'2026'!$L$2=BM309),'2026DATA'!$H$35,"")</f>
        <v/>
      </c>
      <c r="BN342" s="518" t="str">
        <f>IF(AND(_4="A-220-100",'2026'!$L$4="CA",'2026'!$L$2=BN309),'2026DATA'!$I$35,"")</f>
        <v/>
      </c>
      <c r="BO342" s="518" t="str">
        <f>IF(AND(_4="A-220-100",'2026'!$L$4="CA",'2026'!$L$2=BO309),'2026DATA'!$J$35,"")</f>
        <v/>
      </c>
      <c r="BP342" s="518" t="str">
        <f>IF(AND(_4="A-220-100",'2026'!$L$4="CA",'2026'!$L$2=BP309),'2026DATA'!$K$35,"")</f>
        <v/>
      </c>
      <c r="BQ342" s="518" t="str">
        <f>IF(AND(_4="A-220-100",'2026'!$L$4="CA",'2026'!$L$2=BQ309),'2026DATA'!$L$35,"")</f>
        <v/>
      </c>
      <c r="BR342" s="518" t="str">
        <f>IF(AND(_4="A-220-100",'2026'!$L$4="CA",'2026'!$L$2=BR309),'2026DATA'!$M$35,"")</f>
        <v/>
      </c>
      <c r="BS342" s="520" t="str">
        <f>IF(AND(_4="A-220-100",'2026'!$L$4="CA",'2026'!$L$2=BS309),'2026DATA'!$N$35,"")</f>
        <v/>
      </c>
      <c r="BT342" s="940" t="s">
        <v>52</v>
      </c>
      <c r="BU342" s="13" t="s">
        <v>61</v>
      </c>
      <c r="BV342" s="518" t="str">
        <f>IF(AND(_5="A-220-100",'2026'!$L$4="CA",'2026'!$L$2=BV309),'2026DATA'!$C$35,"")</f>
        <v/>
      </c>
      <c r="BW342" s="518" t="str">
        <f>IF(AND(_5="A-220-100",'2026'!$L$4="CA",'2026'!$L$2=BW309),'2026DATA'!$D$35,"")</f>
        <v/>
      </c>
      <c r="BX342" s="518" t="str">
        <f>IF(AND(_5="A-220-100",'2026'!$L$4="CA",'2026'!$L$2=BX309),'2026DATA'!$E$35,"")</f>
        <v/>
      </c>
      <c r="BY342" s="518" t="str">
        <f>IF(AND(_5="A-220-100",'2026'!$L$4="CA",'2026'!$L$2=BY309),'2026DATA'!$F$35,"")</f>
        <v/>
      </c>
      <c r="BZ342" s="518" t="str">
        <f>IF(AND(_5="A-220-100",'2026'!$L$4="CA",'2026'!$L$2=BZ309),'2026DATA'!$G$35,"")</f>
        <v/>
      </c>
      <c r="CA342" s="518" t="str">
        <f>IF(AND(_5="A-220-100",'2026'!$L$4="CA",'2026'!$L$2=CA309),'2026DATA'!$H$35,"")</f>
        <v/>
      </c>
      <c r="CB342" s="518" t="str">
        <f>IF(AND(_5="A-220-100",'2026'!$L$4="CA",'2026'!$L$2=CB309),'2026DATA'!$I$35,"")</f>
        <v/>
      </c>
      <c r="CC342" s="518" t="str">
        <f>IF(AND(_5="A-220-100",'2026'!$L$4="CA",'2026'!$L$2=CC309),'2026DATA'!$J$35,"")</f>
        <v/>
      </c>
      <c r="CD342" s="518" t="str">
        <f>IF(AND(_5="A-220-100",'2026'!$L$4="CA",'2026'!$L$2=CD309),'2026DATA'!$K$35,"")</f>
        <v/>
      </c>
      <c r="CE342" s="518" t="str">
        <f>IF(AND(_5="A-220-100",'2026'!$L$4="CA",'2026'!$L$2=CE309),'2026DATA'!$L$35,"")</f>
        <v/>
      </c>
      <c r="CF342" s="518" t="str">
        <f>IF(AND(_5="A-220-100",'2026'!$L$4="CA",'2026'!$L$2=CF309),'2026DATA'!$M$35,"")</f>
        <v/>
      </c>
      <c r="CG342" s="520" t="str">
        <f>IF(AND(_5="A-220-100",'2026'!$L$4="CA",'2026'!$L$2=CG309),'2026DATA'!$N$35,"")</f>
        <v/>
      </c>
      <c r="CH342" s="940" t="s">
        <v>52</v>
      </c>
      <c r="CI342" s="13" t="s">
        <v>61</v>
      </c>
      <c r="CJ342" s="518" t="str">
        <f>IF(AND(_6="A-220-100",'2026'!$L$4="CA",'2026'!$L$2=CJ309),'2026DATA'!$C$35,"")</f>
        <v/>
      </c>
      <c r="CK342" s="518" t="str">
        <f>IF(AND(_6="A-220-100",'2026'!$L$4="CA",'2026'!$L$2=CK309),'2026DATA'!$D$35,"")</f>
        <v/>
      </c>
      <c r="CL342" s="518" t="str">
        <f>IF(AND(_6="A-220-100",'2026'!$L$4="CA",'2026'!$L$2=CL309),'2026DATA'!$E$35,"")</f>
        <v/>
      </c>
      <c r="CM342" s="518" t="str">
        <f>IF(AND(_6="A-220-100",'2026'!$L$4="CA",'2026'!$L$2=CM309),'2026DATA'!$F$35,"")</f>
        <v/>
      </c>
      <c r="CN342" s="518" t="str">
        <f>IF(AND(_6="A-220-100",'2026'!$L$4="CA",'2026'!$L$2=CN309),'2026DATA'!$G$35,"")</f>
        <v/>
      </c>
      <c r="CO342" s="518" t="str">
        <f>IF(AND(_6="A-220-100",'2026'!$L$4="CA",'2026'!$L$2=CO309),'2026DATA'!$H$35,"")</f>
        <v/>
      </c>
      <c r="CP342" s="518" t="str">
        <f>IF(AND(_6="A-220-100",'2026'!$L$4="CA",'2026'!$L$2=CP309),'2026DATA'!$I$35,"")</f>
        <v/>
      </c>
      <c r="CQ342" s="518" t="str">
        <f>IF(AND(_6="A-220-100",'2026'!$L$4="CA",'2026'!$L$2=CQ309),'2026DATA'!$J$35,"")</f>
        <v/>
      </c>
      <c r="CR342" s="518" t="str">
        <f>IF(AND(_6="A-220-100",'2026'!$L$4="CA",'2026'!$L$2=CR309),'2026DATA'!$K$35,"")</f>
        <v/>
      </c>
      <c r="CS342" s="518" t="str">
        <f>IF(AND(_6="A-220-100",'2026'!$L$4="CA",'2026'!$L$2=CS309),'2026DATA'!$L$35,"")</f>
        <v/>
      </c>
      <c r="CT342" s="518" t="str">
        <f>IF(AND(_6="A-220-100",'2026'!$L$4="CA",'2026'!$L$2=CT309),'2026DATA'!$M$35,"")</f>
        <v/>
      </c>
      <c r="CU342" s="520" t="str">
        <f>IF(AND(_6="A-220-100",'2026'!$L$4="CA",'2026'!$L$2=CU309),'2026DATA'!$N$35,"")</f>
        <v/>
      </c>
    </row>
    <row r="343" spans="16:99" x14ac:dyDescent="0.25">
      <c r="P343" s="940"/>
      <c r="Q343" s="13" t="s">
        <v>62</v>
      </c>
      <c r="R343" s="518" t="str">
        <f>IF(AND(_1="A-220-100",'2026'!$L$4="FO",'2026'!$L$2=R309),'2026DATA'!$C$36,"")</f>
        <v/>
      </c>
      <c r="S343" s="518" t="str">
        <f>IF(AND(_1="A-220-100",'2026'!$L$4="FO",'2026'!$L$2=S309),'2026DATA'!$D$36,"")</f>
        <v/>
      </c>
      <c r="T343" s="518" t="str">
        <f>IF(AND(_1="A-220-100",'2026'!$L$4="FO",'2026'!$L$2=T309),'2026DATA'!$E$36,"")</f>
        <v/>
      </c>
      <c r="U343" s="518" t="str">
        <f>IF(AND(_1="A-220-100",'2026'!$L$4="FO",'2026'!$L$2=U309),'2026DATA'!$F$36,"")</f>
        <v/>
      </c>
      <c r="V343" s="518" t="str">
        <f>IF(AND(_1="A-220-100",'2026'!$L$4="FO",'2026'!$L$2=V309),'2026DATA'!$G$36,"")</f>
        <v/>
      </c>
      <c r="W343" s="518" t="str">
        <f>IF(AND(_1="A-220-100",'2026'!$L$4="FO",'2026'!$L$2=W309),'2026DATA'!$H$36,"")</f>
        <v/>
      </c>
      <c r="X343" s="518" t="str">
        <f>IF(AND(_1="A-220-100",'2026'!$L$4="FO",'2026'!$L$2=X309),'2026DATA'!$I$36,"")</f>
        <v/>
      </c>
      <c r="Y343" s="518" t="str">
        <f>IF(AND(_1="A-220-100",'2026'!$L$4="FO",'2026'!$L$2=Y309),'2026DATA'!$J$36,"")</f>
        <v/>
      </c>
      <c r="Z343" s="518" t="str">
        <f>IF(AND(_1="A-220-100",'2026'!$L$4="FO",'2026'!$L$2=Z309),'2026DATA'!$K$36,"")</f>
        <v/>
      </c>
      <c r="AA343" s="518" t="str">
        <f>IF(AND(_1="A-220-100",'2026'!$L$4="FO",'2026'!$L$2=AA309),'2026DATA'!$L$36,"")</f>
        <v/>
      </c>
      <c r="AB343" s="518" t="str">
        <f>IF(AND(_1="A-220-100",'2026'!$L$4="FO",'2026'!$L$2=AB309),'2026DATA'!$M$36,"")</f>
        <v/>
      </c>
      <c r="AC343" s="520" t="str">
        <f>IF(AND(_1="A-220-100",'2026'!$L$4="FO",'2026'!$L$2=AC309),'2026DATA'!$N$36,"")</f>
        <v/>
      </c>
      <c r="AD343" s="940"/>
      <c r="AE343" s="13" t="s">
        <v>62</v>
      </c>
      <c r="AF343" s="518" t="str">
        <f>IF(AND(_2="A-220-100",'2026'!$L$4="FO",'2026'!$L$2=AF309),'2026DATA'!$C$36,"")</f>
        <v/>
      </c>
      <c r="AG343" s="518" t="str">
        <f>IF(AND(_2="A-220-100",'2026'!$L$4="FO",'2026'!$L$2=AG309),'2026DATA'!$D$36,"")</f>
        <v/>
      </c>
      <c r="AH343" s="518" t="str">
        <f>IF(AND(_2="A-220-100",'2026'!$L$4="FO",'2026'!$L$2=AH309),'2026DATA'!$E$36,"")</f>
        <v/>
      </c>
      <c r="AI343" s="518" t="str">
        <f>IF(AND(_2="A-220-100",'2026'!$L$4="FO",'2026'!$L$2=AI309),'2026DATA'!$F$36,"")</f>
        <v/>
      </c>
      <c r="AJ343" s="518" t="str">
        <f>IF(AND(_2="A-220-100",'2026'!$L$4="FO",'2026'!$L$2=AJ309),'2026DATA'!$G$36,"")</f>
        <v/>
      </c>
      <c r="AK343" s="518" t="str">
        <f>IF(AND(_2="A-220-100",'2026'!$L$4="FO",'2026'!$L$2=AK309),'2026DATA'!$H$36,"")</f>
        <v/>
      </c>
      <c r="AL343" s="518" t="str">
        <f>IF(AND(_2="A-220-100",'2026'!$L$4="FO",'2026'!$L$2=AL309),'2026DATA'!$I$36,"")</f>
        <v/>
      </c>
      <c r="AM343" s="518" t="str">
        <f>IF(AND(_2="A-220-100",'2026'!$L$4="FO",'2026'!$L$2=AM309),'2026DATA'!$J$36,"")</f>
        <v/>
      </c>
      <c r="AN343" s="518" t="str">
        <f>IF(AND(_2="A-220-100",'2026'!$L$4="FO",'2026'!$L$2=AN309),'2026DATA'!$K$36,"")</f>
        <v/>
      </c>
      <c r="AO343" s="518" t="str">
        <f>IF(AND(_2="A-220-100",'2026'!$L$4="FO",'2026'!$L$2=AO309),'2026DATA'!$L$36,"")</f>
        <v/>
      </c>
      <c r="AP343" s="518" t="str">
        <f>IF(AND(_2="A-220-100",'2026'!$L$4="FO",'2026'!$L$2=AP309),'2026DATA'!$M$36,"")</f>
        <v/>
      </c>
      <c r="AQ343" s="520" t="str">
        <f>IF(AND(_2="A-220-100",'2026'!$L$4="FO",'2026'!$L$2=AQ309),'2026DATA'!$N$36,"")</f>
        <v/>
      </c>
      <c r="AR343" s="940"/>
      <c r="AS343" s="13" t="s">
        <v>62</v>
      </c>
      <c r="AT343" s="518" t="str">
        <f>IF(AND(_3="A-220-100",'2026'!$L$4="FO",'2026'!$L$2=AT309),'2026DATA'!$C$36,"")</f>
        <v/>
      </c>
      <c r="AU343" s="518" t="str">
        <f>IF(AND(_3="A-220-100",'2026'!$L$4="FO",'2026'!$L$2=AU309),'2026DATA'!$D$36,"")</f>
        <v/>
      </c>
      <c r="AV343" s="518" t="str">
        <f>IF(AND(_3="A-220-100",'2026'!$L$4="FO",'2026'!$L$2=AV309),'2026DATA'!$E$36,"")</f>
        <v/>
      </c>
      <c r="AW343" s="518" t="str">
        <f>IF(AND(_3="A-220-100",'2026'!$L$4="FO",'2026'!$L$2=AW309),'2026DATA'!$F$36,"")</f>
        <v/>
      </c>
      <c r="AX343" s="518" t="str">
        <f>IF(AND(_3="A-220-100",'2026'!$L$4="FO",'2026'!$L$2=AX309),'2026DATA'!$G$36,"")</f>
        <v/>
      </c>
      <c r="AY343" s="518" t="str">
        <f>IF(AND(_3="A-220-100",'2026'!$L$4="FO",'2026'!$L$2=AY309),'2026DATA'!$H$36,"")</f>
        <v/>
      </c>
      <c r="AZ343" s="518" t="str">
        <f>IF(AND(_3="A-220-100",'2026'!$L$4="FO",'2026'!$L$2=AZ309),'2026DATA'!$I$36,"")</f>
        <v/>
      </c>
      <c r="BA343" s="518" t="str">
        <f>IF(AND(_3="A-220-100",'2026'!$L$4="FO",'2026'!$L$2=BA309),'2026DATA'!$J$36,"")</f>
        <v/>
      </c>
      <c r="BB343" s="518" t="str">
        <f>IF(AND(_3="A-220-100",'2026'!$L$4="FO",'2026'!$L$2=BB309),'2026DATA'!$K$36,"")</f>
        <v/>
      </c>
      <c r="BC343" s="518" t="str">
        <f>IF(AND(_3="A-220-100",'2026'!$L$4="FO",'2026'!$L$2=BC309),'2026DATA'!$L$36,"")</f>
        <v/>
      </c>
      <c r="BD343" s="518" t="str">
        <f>IF(AND(_3="A-220-100",'2026'!$L$4="FO",'2026'!$L$2=BD309),'2026DATA'!$M$36,"")</f>
        <v/>
      </c>
      <c r="BE343" s="520" t="str">
        <f>IF(AND(_3="A-220-100",'2026'!$L$4="FO",'2026'!$L$2=BE309),'2026DATA'!$N$36,"")</f>
        <v/>
      </c>
      <c r="BF343" s="940"/>
      <c r="BG343" s="13" t="s">
        <v>62</v>
      </c>
      <c r="BH343" s="518" t="str">
        <f>IF(AND(_4="A-220-100",'2026'!$L$4="FO",'2026'!$L$2=BH309),'2026DATA'!$C$36,"")</f>
        <v/>
      </c>
      <c r="BI343" s="518" t="str">
        <f>IF(AND(_4="A-220-100",'2026'!$L$4="FO",'2026'!$L$2=BI309),'2026DATA'!$D$36,"")</f>
        <v/>
      </c>
      <c r="BJ343" s="518" t="str">
        <f>IF(AND(_4="A-220-100",'2026'!$L$4="FO",'2026'!$L$2=BJ309),'2026DATA'!$E$36,"")</f>
        <v/>
      </c>
      <c r="BK343" s="518" t="str">
        <f>IF(AND(_4="A-220-100",'2026'!$L$4="FO",'2026'!$L$2=BK309),'2026DATA'!$F$36,"")</f>
        <v/>
      </c>
      <c r="BL343" s="518" t="str">
        <f>IF(AND(_4="A-220-100",'2026'!$L$4="FO",'2026'!$L$2=BL309),'2026DATA'!$G$36,"")</f>
        <v/>
      </c>
      <c r="BM343" s="518" t="str">
        <f>IF(AND(_4="A-220-100",'2026'!$L$4="FO",'2026'!$L$2=BM309),'2026DATA'!$H$36,"")</f>
        <v/>
      </c>
      <c r="BN343" s="518" t="str">
        <f>IF(AND(_4="A-220-100",'2026'!$L$4="FO",'2026'!$L$2=BN309),'2026DATA'!$I$36,"")</f>
        <v/>
      </c>
      <c r="BO343" s="518" t="str">
        <f>IF(AND(_4="A-220-100",'2026'!$L$4="FO",'2026'!$L$2=BO309),'2026DATA'!$J$36,"")</f>
        <v/>
      </c>
      <c r="BP343" s="518" t="str">
        <f>IF(AND(_4="A-220-100",'2026'!$L$4="FO",'2026'!$L$2=BP309),'2026DATA'!$K$36,"")</f>
        <v/>
      </c>
      <c r="BQ343" s="518" t="str">
        <f>IF(AND(_4="A-220-100",'2026'!$L$4="FO",'2026'!$L$2=BQ309),'2026DATA'!$L$36,"")</f>
        <v/>
      </c>
      <c r="BR343" s="518" t="str">
        <f>IF(AND(_4="A-220-100",'2026'!$L$4="FO",'2026'!$L$2=BR309),'2026DATA'!$M$36,"")</f>
        <v/>
      </c>
      <c r="BS343" s="520" t="str">
        <f>IF(AND(_4="A-220-100",'2026'!$L$4="FO",'2026'!$L$2=BS309),'2026DATA'!$N$36,"")</f>
        <v/>
      </c>
      <c r="BT343" s="940"/>
      <c r="BU343" s="13" t="s">
        <v>62</v>
      </c>
      <c r="BV343" s="518" t="str">
        <f>IF(AND(_5="A-220-100",'2026'!$L$4="FO",'2026'!$L$2=BV309),'2026DATA'!$C$36,"")</f>
        <v/>
      </c>
      <c r="BW343" s="518" t="str">
        <f>IF(AND(_5="A-220-100",'2026'!$L$4="FO",'2026'!$L$2=BW309),'2026DATA'!$D$36,"")</f>
        <v/>
      </c>
      <c r="BX343" s="518" t="str">
        <f>IF(AND(_5="A-220-100",'2026'!$L$4="FO",'2026'!$L$2=BX309),'2026DATA'!$E$36,"")</f>
        <v/>
      </c>
      <c r="BY343" s="518" t="str">
        <f>IF(AND(_5="A-220-100",'2026'!$L$4="FO",'2026'!$L$2=BY309),'2026DATA'!$F$36,"")</f>
        <v/>
      </c>
      <c r="BZ343" s="518" t="str">
        <f>IF(AND(_5="A-220-100",'2026'!$L$4="FO",'2026'!$L$2=BZ309),'2026DATA'!$G$36,"")</f>
        <v/>
      </c>
      <c r="CA343" s="518" t="str">
        <f>IF(AND(_5="A-220-100",'2026'!$L$4="FO",'2026'!$L$2=CA309),'2026DATA'!$H$36,"")</f>
        <v/>
      </c>
      <c r="CB343" s="518" t="str">
        <f>IF(AND(_5="A-220-100",'2026'!$L$4="FO",'2026'!$L$2=CB309),'2026DATA'!$I$36,"")</f>
        <v/>
      </c>
      <c r="CC343" s="518" t="str">
        <f>IF(AND(_5="A-220-100",'2026'!$L$4="FO",'2026'!$L$2=CC309),'2026DATA'!$J$36,"")</f>
        <v/>
      </c>
      <c r="CD343" s="518" t="str">
        <f>IF(AND(_5="A-220-100",'2026'!$L$4="FO",'2026'!$L$2=CD309),'2026DATA'!$K$36,"")</f>
        <v/>
      </c>
      <c r="CE343" s="518" t="str">
        <f>IF(AND(_5="A-220-100",'2026'!$L$4="FO",'2026'!$L$2=CE309),'2026DATA'!$L$36,"")</f>
        <v/>
      </c>
      <c r="CF343" s="518" t="str">
        <f>IF(AND(_5="A-220-100",'2026'!$L$4="FO",'2026'!$L$2=CF309),'2026DATA'!$M$36,"")</f>
        <v/>
      </c>
      <c r="CG343" s="520" t="str">
        <f>IF(AND(_5="A-220-100",'2026'!$L$4="FO",'2026'!$L$2=CG309),'2026DATA'!$N$36,"")</f>
        <v/>
      </c>
      <c r="CH343" s="940"/>
      <c r="CI343" s="13" t="s">
        <v>62</v>
      </c>
      <c r="CJ343" s="518" t="str">
        <f>IF(AND(_6="A-220-100",'2026'!$L$4="FO",'2026'!$L$2=CJ309),'2026DATA'!$C$36,"")</f>
        <v/>
      </c>
      <c r="CK343" s="518" t="str">
        <f>IF(AND(_6="A-220-100",'2026'!$L$4="FO",'2026'!$L$2=CK309),'2026DATA'!$D$36,"")</f>
        <v/>
      </c>
      <c r="CL343" s="518" t="str">
        <f>IF(AND(_6="A-220-100",'2026'!$L$4="FO",'2026'!$L$2=CL309),'2026DATA'!$E$36,"")</f>
        <v/>
      </c>
      <c r="CM343" s="518" t="str">
        <f>IF(AND(_6="A-220-100",'2026'!$L$4="FO",'2026'!$L$2=CM309),'2026DATA'!$F$36,"")</f>
        <v/>
      </c>
      <c r="CN343" s="518" t="str">
        <f>IF(AND(_6="A-220-100",'2026'!$L$4="FO",'2026'!$L$2=CN309),'2026DATA'!$G$36,"")</f>
        <v/>
      </c>
      <c r="CO343" s="518" t="str">
        <f>IF(AND(_6="A-220-100",'2026'!$L$4="FO",'2026'!$L$2=CO309),'2026DATA'!$H$36,"")</f>
        <v/>
      </c>
      <c r="CP343" s="518" t="str">
        <f>IF(AND(_6="A-220-100",'2026'!$L$4="FO",'2026'!$L$2=CP309),'2026DATA'!$I$36,"")</f>
        <v/>
      </c>
      <c r="CQ343" s="518" t="str">
        <f>IF(AND(_6="A-220-100",'2026'!$L$4="FO",'2026'!$L$2=CQ309),'2026DATA'!$J$36,"")</f>
        <v/>
      </c>
      <c r="CR343" s="518" t="str">
        <f>IF(AND(_6="A-220-100",'2026'!$L$4="FO",'2026'!$L$2=CR309),'2026DATA'!$K$36,"")</f>
        <v/>
      </c>
      <c r="CS343" s="518" t="str">
        <f>IF(AND(_6="A-220-100",'2026'!$L$4="FO",'2026'!$L$2=CS309),'2026DATA'!$L$36,"")</f>
        <v/>
      </c>
      <c r="CT343" s="518" t="str">
        <f>IF(AND(_6="A-220-100",'2026'!$L$4="FO",'2026'!$L$2=CT309),'2026DATA'!$M$36,"")</f>
        <v/>
      </c>
      <c r="CU343" s="520" t="str">
        <f>IF(AND(_6="A-220-100",'2026'!$L$4="FO",'2026'!$L$2=CU309),'2026DATA'!$N$36,"")</f>
        <v/>
      </c>
    </row>
    <row r="344" spans="16:99" x14ac:dyDescent="0.25">
      <c r="P344" s="940" t="s">
        <v>53</v>
      </c>
      <c r="Q344" s="13" t="s">
        <v>61</v>
      </c>
      <c r="R344" s="518" t="str">
        <f>IF(AND(_1="B-717",'2026'!$L$4="CA",'2026'!$L$2=R309),'2026DATA'!$C$37,"")</f>
        <v/>
      </c>
      <c r="S344" s="518" t="str">
        <f>IF(AND(_1="B-717",'2026'!$L$4="CA",'2026'!$L$2=S309),'2026DATA'!$D$37,"")</f>
        <v/>
      </c>
      <c r="T344" s="518" t="str">
        <f>IF(AND(_1="B-717",'2026'!$L$4="CA",'2026'!$L$2=T309),'2026DATA'!$E$37,"")</f>
        <v/>
      </c>
      <c r="U344" s="518" t="str">
        <f>IF(AND(_1="B-717",'2026'!$L$4="CA",'2026'!$L$2=U309),'2026DATA'!$F$37,"")</f>
        <v/>
      </c>
      <c r="V344" s="518" t="str">
        <f>IF(AND(_1="B-717",'2026'!$L$4="CA",'2026'!$L$2=V309),'2026DATA'!$G$37,"")</f>
        <v/>
      </c>
      <c r="W344" s="518" t="str">
        <f>IF(AND(_1="B-717",'2026'!$L$4="CA",'2026'!$L$2=W309),'2026DATA'!$H$37,"")</f>
        <v/>
      </c>
      <c r="X344" s="518" t="str">
        <f>IF(AND(_1="B-717",'2026'!$L$4="CA",'2026'!$L$2=X309),'2026DATA'!$I$37,"")</f>
        <v/>
      </c>
      <c r="Y344" s="518" t="str">
        <f>IF(AND(_1="B-717",'2026'!$L$4="CA",'2026'!$L$2=Y309),'2026DATA'!$J$37,"")</f>
        <v/>
      </c>
      <c r="Z344" s="518" t="str">
        <f>IF(AND(_1="B-717",'2026'!$L$4="CA",'2026'!$L$2=Z309),'2026DATA'!$K$37,"")</f>
        <v/>
      </c>
      <c r="AA344" s="518" t="str">
        <f>IF(AND(_1="B-717",'2026'!$L$4="CA",'2026'!$L$2=AA309),'2026DATA'!$L$37,"")</f>
        <v/>
      </c>
      <c r="AB344" s="518" t="str">
        <f>IF(AND(_1="B-717",'2026'!$L$4="CA",'2026'!$L$2=AB309),'2026DATA'!$M$37,"")</f>
        <v/>
      </c>
      <c r="AC344" s="520" t="str">
        <f>IF(AND(_1="B-717",'2026'!$L$4="CA",'2026'!$L$2=AC309),'2026DATA'!$N$37,"")</f>
        <v/>
      </c>
      <c r="AD344" s="940" t="s">
        <v>53</v>
      </c>
      <c r="AE344" s="13" t="s">
        <v>61</v>
      </c>
      <c r="AF344" s="518" t="str">
        <f>IF(AND(_2="B-717",'2026'!$L$4="CA",'2026'!$L$2=AF309),'2026DATA'!$C$37,"")</f>
        <v/>
      </c>
      <c r="AG344" s="518" t="str">
        <f>IF(AND(_2="B-717",'2026'!$L$4="CA",'2026'!$L$2=AG309),'2026DATA'!$D$37,"")</f>
        <v/>
      </c>
      <c r="AH344" s="518" t="str">
        <f>IF(AND(_2="B-717",'2026'!$L$4="CA",'2026'!$L$2=AH309),'2026DATA'!$E$37,"")</f>
        <v/>
      </c>
      <c r="AI344" s="518" t="str">
        <f>IF(AND(_2="B-717",'2026'!$L$4="CA",'2026'!$L$2=AI309),'2026DATA'!$F$37,"")</f>
        <v/>
      </c>
      <c r="AJ344" s="518" t="str">
        <f>IF(AND(_2="B-717",'2026'!$L$4="CA",'2026'!$L$2=AJ309),'2026DATA'!$G$37,"")</f>
        <v/>
      </c>
      <c r="AK344" s="518" t="str">
        <f>IF(AND(_2="B-717",'2026'!$L$4="CA",'2026'!$L$2=AK309),'2026DATA'!$H$37,"")</f>
        <v/>
      </c>
      <c r="AL344" s="518" t="str">
        <f>IF(AND(_2="B-717",'2026'!$L$4="CA",'2026'!$L$2=AL309),'2026DATA'!$I$37,"")</f>
        <v/>
      </c>
      <c r="AM344" s="518" t="str">
        <f>IF(AND(_2="B-717",'2026'!$L$4="CA",'2026'!$L$2=AM309),'2026DATA'!$J$37,"")</f>
        <v/>
      </c>
      <c r="AN344" s="518" t="str">
        <f>IF(AND(_2="B-717",'2026'!$L$4="CA",'2026'!$L$2=AN309),'2026DATA'!$K$37,"")</f>
        <v/>
      </c>
      <c r="AO344" s="518" t="str">
        <f>IF(AND(_2="B-717",'2026'!$L$4="CA",'2026'!$L$2=AO309),'2026DATA'!$L$37,"")</f>
        <v/>
      </c>
      <c r="AP344" s="518" t="str">
        <f>IF(AND(_2="B-717",'2026'!$L$4="CA",'2026'!$L$2=AP309),'2026DATA'!$M$37,"")</f>
        <v/>
      </c>
      <c r="AQ344" s="520" t="str">
        <f>IF(AND(_2="B-717",'2026'!$L$4="CA",'2026'!$L$2=AQ309),'2026DATA'!$N$37,"")</f>
        <v/>
      </c>
      <c r="AR344" s="940" t="s">
        <v>53</v>
      </c>
      <c r="AS344" s="13" t="s">
        <v>61</v>
      </c>
      <c r="AT344" s="518" t="str">
        <f>IF(AND(_3="B-717",'2026'!$L$4="CA",'2026'!$L$2=AT309),'2026DATA'!$C$37,"")</f>
        <v/>
      </c>
      <c r="AU344" s="518" t="str">
        <f>IF(AND(_3="B-717",'2026'!$L$4="CA",'2026'!$L$2=AU309),'2026DATA'!$D$37,"")</f>
        <v/>
      </c>
      <c r="AV344" s="518" t="str">
        <f>IF(AND(_3="B-717",'2026'!$L$4="CA",'2026'!$L$2=AV309),'2026DATA'!$E$37,"")</f>
        <v/>
      </c>
      <c r="AW344" s="518" t="str">
        <f>IF(AND(_3="B-717",'2026'!$L$4="CA",'2026'!$L$2=AW309),'2026DATA'!$F$37,"")</f>
        <v/>
      </c>
      <c r="AX344" s="518" t="str">
        <f>IF(AND(_3="B-717",'2026'!$L$4="CA",'2026'!$L$2=AX309),'2026DATA'!$G$37,"")</f>
        <v/>
      </c>
      <c r="AY344" s="518" t="str">
        <f>IF(AND(_3="B-717",'2026'!$L$4="CA",'2026'!$L$2=AY309),'2026DATA'!$H$37,"")</f>
        <v/>
      </c>
      <c r="AZ344" s="518" t="str">
        <f>IF(AND(_3="B-717",'2026'!$L$4="CA",'2026'!$L$2=AZ309),'2026DATA'!$I$37,"")</f>
        <v/>
      </c>
      <c r="BA344" s="518" t="str">
        <f>IF(AND(_3="B-717",'2026'!$L$4="CA",'2026'!$L$2=BA309),'2026DATA'!$J$37,"")</f>
        <v/>
      </c>
      <c r="BB344" s="518" t="str">
        <f>IF(AND(_3="B-717",'2026'!$L$4="CA",'2026'!$L$2=BB309),'2026DATA'!$K$37,"")</f>
        <v/>
      </c>
      <c r="BC344" s="518" t="str">
        <f>IF(AND(_3="B-717",'2026'!$L$4="CA",'2026'!$L$2=BC309),'2026DATA'!$L$37,"")</f>
        <v/>
      </c>
      <c r="BD344" s="518" t="str">
        <f>IF(AND(_3="B-717",'2026'!$L$4="CA",'2026'!$L$2=BD309),'2026DATA'!$M$37,"")</f>
        <v/>
      </c>
      <c r="BE344" s="520" t="str">
        <f>IF(AND(_3="B-717",'2026'!$L$4="CA",'2026'!$L$2=BE309),'2026DATA'!$N$37,"")</f>
        <v/>
      </c>
      <c r="BF344" s="940" t="s">
        <v>53</v>
      </c>
      <c r="BG344" s="13" t="s">
        <v>61</v>
      </c>
      <c r="BH344" s="518" t="str">
        <f>IF(AND(_4="B-717",'2026'!$L$4="CA",'2026'!$L$2=BH309),'2026DATA'!$C$37,"")</f>
        <v/>
      </c>
      <c r="BI344" s="518" t="str">
        <f>IF(AND(_4="B-717",'2026'!$L$4="CA",'2026'!$L$2=BI309),'2026DATA'!$D$37,"")</f>
        <v/>
      </c>
      <c r="BJ344" s="518" t="str">
        <f>IF(AND(_4="B-717",'2026'!$L$4="CA",'2026'!$L$2=BJ309),'2026DATA'!$E$37,"")</f>
        <v/>
      </c>
      <c r="BK344" s="518" t="str">
        <f>IF(AND(_4="B-717",'2026'!$L$4="CA",'2026'!$L$2=BK309),'2026DATA'!$F$37,"")</f>
        <v/>
      </c>
      <c r="BL344" s="518" t="str">
        <f>IF(AND(_4="B-717",'2026'!$L$4="CA",'2026'!$L$2=BL309),'2026DATA'!$G$37,"")</f>
        <v/>
      </c>
      <c r="BM344" s="518" t="str">
        <f>IF(AND(_4="B-717",'2026'!$L$4="CA",'2026'!$L$2=BM309),'2026DATA'!$H$37,"")</f>
        <v/>
      </c>
      <c r="BN344" s="518" t="str">
        <f>IF(AND(_4="B-717",'2026'!$L$4="CA",'2026'!$L$2=BN309),'2026DATA'!$I$37,"")</f>
        <v/>
      </c>
      <c r="BO344" s="518" t="str">
        <f>IF(AND(_4="B-717",'2026'!$L$4="CA",'2026'!$L$2=BO309),'2026DATA'!$J$37,"")</f>
        <v/>
      </c>
      <c r="BP344" s="518" t="str">
        <f>IF(AND(_4="B-717",'2026'!$L$4="CA",'2026'!$L$2=BP309),'2026DATA'!$K$37,"")</f>
        <v/>
      </c>
      <c r="BQ344" s="518" t="str">
        <f>IF(AND(_4="B-717",'2026'!$L$4="CA",'2026'!$L$2=BQ309),'2026DATA'!$L$37,"")</f>
        <v/>
      </c>
      <c r="BR344" s="518" t="str">
        <f>IF(AND(_4="B-717",'2026'!$L$4="CA",'2026'!$L$2=BR309),'2026DATA'!$M$37,"")</f>
        <v/>
      </c>
      <c r="BS344" s="520" t="str">
        <f>IF(AND(_4="B-717",'2026'!$L$4="CA",'2026'!$L$2=BS309),'2026DATA'!$N$37,"")</f>
        <v/>
      </c>
      <c r="BT344" s="940" t="s">
        <v>53</v>
      </c>
      <c r="BU344" s="13" t="s">
        <v>61</v>
      </c>
      <c r="BV344" s="518" t="str">
        <f>IF(AND(_5="B-717",'2026'!$L$4="CA",'2026'!$L$2=BV309),'2026DATA'!$C$37,"")</f>
        <v/>
      </c>
      <c r="BW344" s="518" t="str">
        <f>IF(AND(_5="B-717",'2026'!$L$4="CA",'2026'!$L$2=BW309),'2026DATA'!$D$37,"")</f>
        <v/>
      </c>
      <c r="BX344" s="518" t="str">
        <f>IF(AND(_5="B-717",'2026'!$L$4="CA",'2026'!$L$2=BX309),'2026DATA'!$E$37,"")</f>
        <v/>
      </c>
      <c r="BY344" s="518" t="str">
        <f>IF(AND(_5="B-717",'2026'!$L$4="CA",'2026'!$L$2=BY309),'2026DATA'!$F$37,"")</f>
        <v/>
      </c>
      <c r="BZ344" s="518" t="str">
        <f>IF(AND(_5="B-717",'2026'!$L$4="CA",'2026'!$L$2=BZ309),'2026DATA'!$G$37,"")</f>
        <v/>
      </c>
      <c r="CA344" s="518" t="str">
        <f>IF(AND(_5="B-717",'2026'!$L$4="CA",'2026'!$L$2=CA309),'2026DATA'!$H$37,"")</f>
        <v/>
      </c>
      <c r="CB344" s="518" t="str">
        <f>IF(AND(_5="B-717",'2026'!$L$4="CA",'2026'!$L$2=CB309),'2026DATA'!$I$37,"")</f>
        <v/>
      </c>
      <c r="CC344" s="518" t="str">
        <f>IF(AND(_5="B-717",'2026'!$L$4="CA",'2026'!$L$2=CC309),'2026DATA'!$J$37,"")</f>
        <v/>
      </c>
      <c r="CD344" s="518" t="str">
        <f>IF(AND(_5="B-717",'2026'!$L$4="CA",'2026'!$L$2=CD309),'2026DATA'!$K$37,"")</f>
        <v/>
      </c>
      <c r="CE344" s="518" t="str">
        <f>IF(AND(_5="B-717",'2026'!$L$4="CA",'2026'!$L$2=CE309),'2026DATA'!$L$37,"")</f>
        <v/>
      </c>
      <c r="CF344" s="518" t="str">
        <f>IF(AND(_5="B-717",'2026'!$L$4="CA",'2026'!$L$2=CF309),'2026DATA'!$M$37,"")</f>
        <v/>
      </c>
      <c r="CG344" s="520" t="str">
        <f>IF(AND(_5="B-717",'2026'!$L$4="CA",'2026'!$L$2=CG309),'2026DATA'!$N$37,"")</f>
        <v/>
      </c>
      <c r="CH344" s="940" t="s">
        <v>53</v>
      </c>
      <c r="CI344" s="13" t="s">
        <v>61</v>
      </c>
      <c r="CJ344" s="518" t="str">
        <f>IF(AND(_6="B-717",'2026'!$L$4="CA",'2026'!$L$2=CJ309),'2026DATA'!$C$37,"")</f>
        <v/>
      </c>
      <c r="CK344" s="518" t="str">
        <f>IF(AND(_6="B-717",'2026'!$L$4="CA",'2026'!$L$2=CK309),'2026DATA'!$D$37,"")</f>
        <v/>
      </c>
      <c r="CL344" s="518" t="str">
        <f>IF(AND(_6="B-717",'2026'!$L$4="CA",'2026'!$L$2=CL309),'2026DATA'!$E$37,"")</f>
        <v/>
      </c>
      <c r="CM344" s="518" t="str">
        <f>IF(AND(_6="B-717",'2026'!$L$4="CA",'2026'!$L$2=CM309),'2026DATA'!$F$37,"")</f>
        <v/>
      </c>
      <c r="CN344" s="518" t="str">
        <f>IF(AND(_6="B-717",'2026'!$L$4="CA",'2026'!$L$2=CN309),'2026DATA'!$G$37,"")</f>
        <v/>
      </c>
      <c r="CO344" s="518" t="str">
        <f>IF(AND(_6="B-717",'2026'!$L$4="CA",'2026'!$L$2=CO309),'2026DATA'!$H$37,"")</f>
        <v/>
      </c>
      <c r="CP344" s="518" t="str">
        <f>IF(AND(_6="B-717",'2026'!$L$4="CA",'2026'!$L$2=CP309),'2026DATA'!$I$37,"")</f>
        <v/>
      </c>
      <c r="CQ344" s="518" t="str">
        <f>IF(AND(_6="B-717",'2026'!$L$4="CA",'2026'!$L$2=CQ309),'2026DATA'!$J$37,"")</f>
        <v/>
      </c>
      <c r="CR344" s="518" t="str">
        <f>IF(AND(_6="B-717",'2026'!$L$4="CA",'2026'!$L$2=CR309),'2026DATA'!$K$37,"")</f>
        <v/>
      </c>
      <c r="CS344" s="518" t="str">
        <f>IF(AND(_6="B-717",'2026'!$L$4="CA",'2026'!$L$2=CS309),'2026DATA'!$L$37,"")</f>
        <v/>
      </c>
      <c r="CT344" s="518" t="str">
        <f>IF(AND(_6="B-717",'2026'!$L$4="CA",'2026'!$L$2=CT309),'2026DATA'!$M$37,"")</f>
        <v/>
      </c>
      <c r="CU344" s="520" t="str">
        <f>IF(AND(_6="B-717",'2026'!$L$4="CA",'2026'!$L$2=CU309),'2026DATA'!$N$37,"")</f>
        <v/>
      </c>
    </row>
    <row r="345" spans="16:99" ht="15.75" thickBot="1" x14ac:dyDescent="0.3">
      <c r="P345" s="941"/>
      <c r="Q345" s="521" t="s">
        <v>62</v>
      </c>
      <c r="R345" s="518" t="str">
        <f>IF(AND(_1="B-717",'2026'!$L$4="FO",'2026'!$L$2=R309),'2026DATA'!$C$38,"")</f>
        <v/>
      </c>
      <c r="S345" s="518" t="str">
        <f>IF(AND(_1="B-717",'2026'!$L$4="FO",'2026'!$L$2=S309),'2026DATA'!$D$38,"")</f>
        <v/>
      </c>
      <c r="T345" s="518" t="str">
        <f>IF(AND(_1="B-717",'2026'!$L$4="FO",'2026'!$L$2=T309),'2026DATA'!$E$38,"")</f>
        <v/>
      </c>
      <c r="U345" s="518" t="str">
        <f>IF(AND(_1="B-717",'2026'!$L$4="FO",'2026'!$L$2=U309),'2026DATA'!$F$38,"")</f>
        <v/>
      </c>
      <c r="V345" s="518" t="str">
        <f>IF(AND(_1="B-717",'2026'!$L$4="FO",'2026'!$L$2=V309),'2026DATA'!$G$38,"")</f>
        <v/>
      </c>
      <c r="W345" s="518" t="str">
        <f>IF(AND(_1="B-717",'2026'!$L$4="FO",'2026'!$L$2=W309),'2026DATA'!$H$38,"")</f>
        <v/>
      </c>
      <c r="X345" s="518" t="str">
        <f>IF(AND(_1="B-717",'2026'!$L$4="FO",'2026'!$L$2=X309),'2026DATA'!$I$38,"")</f>
        <v/>
      </c>
      <c r="Y345" s="518" t="str">
        <f>IF(AND(_1="B-717",'2026'!$L$4="FO",'2026'!$L$2=Y309),'2026DATA'!$J$38,"")</f>
        <v/>
      </c>
      <c r="Z345" s="518" t="str">
        <f>IF(AND(_1="B-717",'2026'!$L$4="FO",'2026'!$L$2=Z309),'2026DATA'!$K$38,"")</f>
        <v/>
      </c>
      <c r="AA345" s="518" t="str">
        <f>IF(AND(_1="B-717",'2026'!$L$4="FO",'2026'!$L$2=AA309),'2026DATA'!$L$38,"")</f>
        <v/>
      </c>
      <c r="AB345" s="518" t="str">
        <f>IF(AND(_1="B-717",'2026'!$L$4="FO",'2026'!$L$2=AB309),'2026DATA'!$M$38,"")</f>
        <v/>
      </c>
      <c r="AC345" s="520" t="str">
        <f>IF(AND(_1="B-717",'2026'!$L$4="FO",'2026'!$L$2=AC309),'2026DATA'!$N$38,"")</f>
        <v/>
      </c>
      <c r="AD345" s="941"/>
      <c r="AE345" s="521" t="s">
        <v>62</v>
      </c>
      <c r="AF345" s="518" t="str">
        <f>IF(AND(_2="B-717",'2026'!$L$4="FO",'2026'!$L$2=AF309),'2026DATA'!$C$38,"")</f>
        <v/>
      </c>
      <c r="AG345" s="518" t="str">
        <f>IF(AND(_2="B-717",'2026'!$L$4="FO",'2026'!$L$2=AG309),'2026DATA'!$D$38,"")</f>
        <v/>
      </c>
      <c r="AH345" s="518" t="str">
        <f>IF(AND(_2="B-717",'2026'!$L$4="FO",'2026'!$L$2=AH309),'2026DATA'!$E$38,"")</f>
        <v/>
      </c>
      <c r="AI345" s="518" t="str">
        <f>IF(AND(_2="B-717",'2026'!$L$4="FO",'2026'!$L$2=AI309),'2026DATA'!$F$38,"")</f>
        <v/>
      </c>
      <c r="AJ345" s="518" t="str">
        <f>IF(AND(_2="B-717",'2026'!$L$4="FO",'2026'!$L$2=AJ309),'2026DATA'!$G$38,"")</f>
        <v/>
      </c>
      <c r="AK345" s="518" t="str">
        <f>IF(AND(_2="B-717",'2026'!$L$4="FO",'2026'!$L$2=AK309),'2026DATA'!$H$38,"")</f>
        <v/>
      </c>
      <c r="AL345" s="518" t="str">
        <f>IF(AND(_2="B-717",'2026'!$L$4="FO",'2026'!$L$2=AL309),'2026DATA'!$I$38,"")</f>
        <v/>
      </c>
      <c r="AM345" s="518" t="str">
        <f>IF(AND(_2="B-717",'2026'!$L$4="FO",'2026'!$L$2=AM309),'2026DATA'!$J$38,"")</f>
        <v/>
      </c>
      <c r="AN345" s="518" t="str">
        <f>IF(AND(_2="B-717",'2026'!$L$4="FO",'2026'!$L$2=AN309),'2026DATA'!$K$38,"")</f>
        <v/>
      </c>
      <c r="AO345" s="518" t="str">
        <f>IF(AND(_2="B-717",'2026'!$L$4="FO",'2026'!$L$2=AO309),'2026DATA'!$L$38,"")</f>
        <v/>
      </c>
      <c r="AP345" s="518" t="str">
        <f>IF(AND(_2="B-717",'2026'!$L$4="FO",'2026'!$L$2=AP309),'2026DATA'!$M$38,"")</f>
        <v/>
      </c>
      <c r="AQ345" s="520" t="str">
        <f>IF(AND(_2="B-717",'2026'!$L$4="FO",'2026'!$L$2=AQ309),'2026DATA'!$N$38,"")</f>
        <v/>
      </c>
      <c r="AR345" s="941"/>
      <c r="AS345" s="521" t="s">
        <v>62</v>
      </c>
      <c r="AT345" s="518" t="str">
        <f>IF(AND(_3="B-717",'2026'!$L$4="FO",'2026'!$L$2=AT309),'2026DATA'!$C$38,"")</f>
        <v/>
      </c>
      <c r="AU345" s="518" t="str">
        <f>IF(AND(_3="B-717",'2026'!$L$4="FO",'2026'!$L$2=AU309),'2026DATA'!$D$38,"")</f>
        <v/>
      </c>
      <c r="AV345" s="518" t="str">
        <f>IF(AND(_3="B-717",'2026'!$L$4="FO",'2026'!$L$2=AV309),'2026DATA'!$E$38,"")</f>
        <v/>
      </c>
      <c r="AW345" s="518" t="str">
        <f>IF(AND(_3="B-717",'2026'!$L$4="FO",'2026'!$L$2=AW309),'2026DATA'!$F$38,"")</f>
        <v/>
      </c>
      <c r="AX345" s="518" t="str">
        <f>IF(AND(_3="B-717",'2026'!$L$4="FO",'2026'!$L$2=AX309),'2026DATA'!$G$38,"")</f>
        <v/>
      </c>
      <c r="AY345" s="518" t="str">
        <f>IF(AND(_3="B-717",'2026'!$L$4="FO",'2026'!$L$2=AY309),'2026DATA'!$H$38,"")</f>
        <v/>
      </c>
      <c r="AZ345" s="518" t="str">
        <f>IF(AND(_3="B-717",'2026'!$L$4="FO",'2026'!$L$2=AZ309),'2026DATA'!$I$38,"")</f>
        <v/>
      </c>
      <c r="BA345" s="518" t="str">
        <f>IF(AND(_3="B-717",'2026'!$L$4="FO",'2026'!$L$2=BA309),'2026DATA'!$J$38,"")</f>
        <v/>
      </c>
      <c r="BB345" s="518" t="str">
        <f>IF(AND(_3="B-717",'2026'!$L$4="FO",'2026'!$L$2=BB309),'2026DATA'!$K$38,"")</f>
        <v/>
      </c>
      <c r="BC345" s="518" t="str">
        <f>IF(AND(_3="B-717",'2026'!$L$4="FO",'2026'!$L$2=BC309),'2026DATA'!$L$38,"")</f>
        <v/>
      </c>
      <c r="BD345" s="518" t="str">
        <f>IF(AND(_3="B-717",'2026'!$L$4="FO",'2026'!$L$2=BD309),'2026DATA'!$M$38,"")</f>
        <v/>
      </c>
      <c r="BE345" s="520" t="str">
        <f>IF(AND(_3="B-717",'2026'!$L$4="FO",'2026'!$L$2=BE309),'2026DATA'!$N$38,"")</f>
        <v/>
      </c>
      <c r="BF345" s="941"/>
      <c r="BG345" s="521" t="s">
        <v>62</v>
      </c>
      <c r="BH345" s="518" t="str">
        <f>IF(AND(_4="B-717",'2026'!$L$4="FO",'2026'!$L$2=BH309),'2026DATA'!$C$38,"")</f>
        <v/>
      </c>
      <c r="BI345" s="518" t="str">
        <f>IF(AND(_4="B-717",'2026'!$L$4="FO",'2026'!$L$2=BI309),'2026DATA'!$D$38,"")</f>
        <v/>
      </c>
      <c r="BJ345" s="518" t="str">
        <f>IF(AND(_4="B-717",'2026'!$L$4="FO",'2026'!$L$2=BJ309),'2026DATA'!$E$38,"")</f>
        <v/>
      </c>
      <c r="BK345" s="518" t="str">
        <f>IF(AND(_4="B-717",'2026'!$L$4="FO",'2026'!$L$2=BK309),'2026DATA'!$F$38,"")</f>
        <v/>
      </c>
      <c r="BL345" s="518" t="str">
        <f>IF(AND(_4="B-717",'2026'!$L$4="FO",'2026'!$L$2=BL309),'2026DATA'!$G$38,"")</f>
        <v/>
      </c>
      <c r="BM345" s="518" t="str">
        <f>IF(AND(_4="B-717",'2026'!$L$4="FO",'2026'!$L$2=BM309),'2026DATA'!$H$38,"")</f>
        <v/>
      </c>
      <c r="BN345" s="518" t="str">
        <f>IF(AND(_4="B-717",'2026'!$L$4="FO",'2026'!$L$2=BN309),'2026DATA'!$I$38,"")</f>
        <v/>
      </c>
      <c r="BO345" s="518" t="str">
        <f>IF(AND(_4="B-717",'2026'!$L$4="FO",'2026'!$L$2=BO309),'2026DATA'!$J$38,"")</f>
        <v/>
      </c>
      <c r="BP345" s="518" t="str">
        <f>IF(AND(_4="B-717",'2026'!$L$4="FO",'2026'!$L$2=BP309),'2026DATA'!$K$38,"")</f>
        <v/>
      </c>
      <c r="BQ345" s="518" t="str">
        <f>IF(AND(_4="B-717",'2026'!$L$4="FO",'2026'!$L$2=BQ309),'2026DATA'!$L$38,"")</f>
        <v/>
      </c>
      <c r="BR345" s="518" t="str">
        <f>IF(AND(_4="B-717",'2026'!$L$4="FO",'2026'!$L$2=BR309),'2026DATA'!$M$38,"")</f>
        <v/>
      </c>
      <c r="BS345" s="520" t="str">
        <f>IF(AND(_4="B-717",'2026'!$L$4="FO",'2026'!$L$2=BS309),'2026DATA'!$N$38,"")</f>
        <v/>
      </c>
      <c r="BT345" s="941"/>
      <c r="BU345" s="521" t="s">
        <v>62</v>
      </c>
      <c r="BV345" s="518" t="str">
        <f>IF(AND(_5="B-717",'2026'!$L$4="FO",'2026'!$L$2=BV309),'2026DATA'!$C$38,"")</f>
        <v/>
      </c>
      <c r="BW345" s="518" t="str">
        <f>IF(AND(_5="B-717",'2026'!$L$4="FO",'2026'!$L$2=BW309),'2026DATA'!$D$38,"")</f>
        <v/>
      </c>
      <c r="BX345" s="518" t="str">
        <f>IF(AND(_5="B-717",'2026'!$L$4="FO",'2026'!$L$2=BX309),'2026DATA'!$E$38,"")</f>
        <v/>
      </c>
      <c r="BY345" s="518" t="str">
        <f>IF(AND(_5="B-717",'2026'!$L$4="FO",'2026'!$L$2=BY309),'2026DATA'!$F$38,"")</f>
        <v/>
      </c>
      <c r="BZ345" s="518" t="str">
        <f>IF(AND(_5="B-717",'2026'!$L$4="FO",'2026'!$L$2=BZ309),'2026DATA'!$G$38,"")</f>
        <v/>
      </c>
      <c r="CA345" s="518" t="str">
        <f>IF(AND(_5="B-717",'2026'!$L$4="FO",'2026'!$L$2=CA309),'2026DATA'!$H$38,"")</f>
        <v/>
      </c>
      <c r="CB345" s="518" t="str">
        <f>IF(AND(_5="B-717",'2026'!$L$4="FO",'2026'!$L$2=CB309),'2026DATA'!$I$38,"")</f>
        <v/>
      </c>
      <c r="CC345" s="518" t="str">
        <f>IF(AND(_5="B-717",'2026'!$L$4="FO",'2026'!$L$2=CC309),'2026DATA'!$J$38,"")</f>
        <v/>
      </c>
      <c r="CD345" s="518" t="str">
        <f>IF(AND(_5="B-717",'2026'!$L$4="FO",'2026'!$L$2=CD309),'2026DATA'!$K$38,"")</f>
        <v/>
      </c>
      <c r="CE345" s="518" t="str">
        <f>IF(AND(_5="B-717",'2026'!$L$4="FO",'2026'!$L$2=CE309),'2026DATA'!$L$38,"")</f>
        <v/>
      </c>
      <c r="CF345" s="518" t="str">
        <f>IF(AND(_5="B-717",'2026'!$L$4="FO",'2026'!$L$2=CF309),'2026DATA'!$M$38,"")</f>
        <v/>
      </c>
      <c r="CG345" s="520" t="str">
        <f>IF(AND(_5="B-717",'2026'!$L$4="FO",'2026'!$L$2=CG309),'2026DATA'!$N$38,"")</f>
        <v/>
      </c>
      <c r="CH345" s="941"/>
      <c r="CI345" s="521" t="s">
        <v>62</v>
      </c>
      <c r="CJ345" s="518" t="str">
        <f>IF(AND(_6="B-717",'2026'!$L$4="FO",'2026'!$L$2=CJ309),'2026DATA'!$C$38,"")</f>
        <v/>
      </c>
      <c r="CK345" s="518" t="str">
        <f>IF(AND(_6="B-717",'2026'!$L$4="FO",'2026'!$L$2=CK309),'2026DATA'!$D$38,"")</f>
        <v/>
      </c>
      <c r="CL345" s="518" t="str">
        <f>IF(AND(_6="B-717",'2026'!$L$4="FO",'2026'!$L$2=CL309),'2026DATA'!$E$38,"")</f>
        <v/>
      </c>
      <c r="CM345" s="518" t="str">
        <f>IF(AND(_6="B-717",'2026'!$L$4="FO",'2026'!$L$2=CM309),'2026DATA'!$F$38,"")</f>
        <v/>
      </c>
      <c r="CN345" s="518" t="str">
        <f>IF(AND(_6="B-717",'2026'!$L$4="FO",'2026'!$L$2=CN309),'2026DATA'!$G$38,"")</f>
        <v/>
      </c>
      <c r="CO345" s="518" t="str">
        <f>IF(AND(_6="B-717",'2026'!$L$4="FO",'2026'!$L$2=CO309),'2026DATA'!$H$38,"")</f>
        <v/>
      </c>
      <c r="CP345" s="518" t="str">
        <f>IF(AND(_6="B-717",'2026'!$L$4="FO",'2026'!$L$2=CP309),'2026DATA'!$I$38,"")</f>
        <v/>
      </c>
      <c r="CQ345" s="518" t="str">
        <f>IF(AND(_6="B-717",'2026'!$L$4="FO",'2026'!$L$2=CQ309),'2026DATA'!$J$38,"")</f>
        <v/>
      </c>
      <c r="CR345" s="518" t="str">
        <f>IF(AND(_6="B-717",'2026'!$L$4="FO",'2026'!$L$2=CR309),'2026DATA'!$K$38,"")</f>
        <v/>
      </c>
      <c r="CS345" s="518" t="str">
        <f>IF(AND(_6="B-717",'2026'!$L$4="FO",'2026'!$L$2=CS309),'2026DATA'!$L$38,"")</f>
        <v/>
      </c>
      <c r="CT345" s="518" t="str">
        <f>IF(AND(_6="B-717",'2026'!$L$4="FO",'2026'!$L$2=CT309),'2026DATA'!$M$38,"")</f>
        <v/>
      </c>
      <c r="CU345" s="520" t="str">
        <f>IF(AND(_6="B-717",'2026'!$L$4="FO",'2026'!$L$2=CU309),'2026DATA'!$N$38,"")</f>
        <v/>
      </c>
    </row>
    <row r="346" spans="16:99" x14ac:dyDescent="0.25">
      <c r="P346" s="943" t="s">
        <v>128</v>
      </c>
      <c r="Q346" s="944"/>
      <c r="R346" s="944"/>
      <c r="S346" s="944"/>
      <c r="T346" s="944"/>
      <c r="U346" s="944"/>
      <c r="V346" s="944"/>
      <c r="W346" s="944"/>
      <c r="X346" s="944"/>
      <c r="Y346" s="944"/>
      <c r="Z346" s="944"/>
      <c r="AA346" s="944"/>
      <c r="AB346" s="944"/>
      <c r="AC346" s="945"/>
      <c r="AD346" s="943" t="s">
        <v>129</v>
      </c>
      <c r="AE346" s="944"/>
      <c r="AF346" s="944"/>
      <c r="AG346" s="944"/>
      <c r="AH346" s="944"/>
      <c r="AI346" s="944"/>
      <c r="AJ346" s="944"/>
      <c r="AK346" s="944"/>
      <c r="AL346" s="944"/>
      <c r="AM346" s="944"/>
      <c r="AN346" s="944"/>
      <c r="AO346" s="944"/>
      <c r="AP346" s="944"/>
      <c r="AQ346" s="945"/>
      <c r="AR346" s="943" t="s">
        <v>130</v>
      </c>
      <c r="AS346" s="944"/>
      <c r="AT346" s="944"/>
      <c r="AU346" s="944"/>
      <c r="AV346" s="944"/>
      <c r="AW346" s="944"/>
      <c r="AX346" s="944"/>
      <c r="AY346" s="944"/>
      <c r="AZ346" s="944"/>
      <c r="BA346" s="944"/>
      <c r="BB346" s="944"/>
      <c r="BC346" s="944"/>
      <c r="BD346" s="944"/>
      <c r="BE346" s="945"/>
      <c r="BF346" s="943" t="s">
        <v>131</v>
      </c>
      <c r="BG346" s="944"/>
      <c r="BH346" s="944"/>
      <c r="BI346" s="944"/>
      <c r="BJ346" s="944"/>
      <c r="BK346" s="944"/>
      <c r="BL346" s="944"/>
      <c r="BM346" s="944"/>
      <c r="BN346" s="944"/>
      <c r="BO346" s="944"/>
      <c r="BP346" s="944"/>
      <c r="BQ346" s="944"/>
      <c r="BR346" s="944"/>
      <c r="BS346" s="945"/>
      <c r="BT346" s="943" t="s">
        <v>132</v>
      </c>
      <c r="BU346" s="944"/>
      <c r="BV346" s="944"/>
      <c r="BW346" s="944"/>
      <c r="BX346" s="944"/>
      <c r="BY346" s="944"/>
      <c r="BZ346" s="944"/>
      <c r="CA346" s="944"/>
      <c r="CB346" s="944"/>
      <c r="CC346" s="944"/>
      <c r="CD346" s="944"/>
      <c r="CE346" s="944"/>
      <c r="CF346" s="944"/>
      <c r="CG346" s="945"/>
      <c r="CH346" s="943" t="s">
        <v>133</v>
      </c>
      <c r="CI346" s="944"/>
      <c r="CJ346" s="944"/>
      <c r="CK346" s="944"/>
      <c r="CL346" s="944"/>
      <c r="CM346" s="944"/>
      <c r="CN346" s="944"/>
      <c r="CO346" s="944"/>
      <c r="CP346" s="944"/>
      <c r="CQ346" s="944"/>
      <c r="CR346" s="944"/>
      <c r="CS346" s="944"/>
      <c r="CT346" s="944"/>
      <c r="CU346" s="945"/>
    </row>
    <row r="347" spans="16:99" x14ac:dyDescent="0.25">
      <c r="P347" s="569">
        <v>10</v>
      </c>
      <c r="Q347" s="569">
        <f>SUM(R348:AC383)</f>
        <v>0</v>
      </c>
      <c r="R347" s="3">
        <v>12</v>
      </c>
      <c r="S347" s="3">
        <v>11</v>
      </c>
      <c r="T347" s="3">
        <v>10</v>
      </c>
      <c r="U347" s="3">
        <v>9</v>
      </c>
      <c r="V347" s="3">
        <v>8</v>
      </c>
      <c r="W347" s="3">
        <v>7</v>
      </c>
      <c r="X347" s="3">
        <v>6</v>
      </c>
      <c r="Y347" s="3">
        <v>5</v>
      </c>
      <c r="Z347" s="3">
        <v>4</v>
      </c>
      <c r="AA347" s="3">
        <v>3</v>
      </c>
      <c r="AB347" s="3">
        <v>2</v>
      </c>
      <c r="AC347" s="519">
        <v>1</v>
      </c>
      <c r="AD347" s="569">
        <v>10</v>
      </c>
      <c r="AE347" s="569">
        <f>SUM(AF348:AQ383)</f>
        <v>0</v>
      </c>
      <c r="AF347" s="3">
        <v>12</v>
      </c>
      <c r="AG347" s="3">
        <v>11</v>
      </c>
      <c r="AH347" s="3">
        <v>10</v>
      </c>
      <c r="AI347" s="3">
        <v>9</v>
      </c>
      <c r="AJ347" s="3">
        <v>8</v>
      </c>
      <c r="AK347" s="3">
        <v>7</v>
      </c>
      <c r="AL347" s="3">
        <v>6</v>
      </c>
      <c r="AM347" s="3">
        <v>5</v>
      </c>
      <c r="AN347" s="3">
        <v>4</v>
      </c>
      <c r="AO347" s="3">
        <v>3</v>
      </c>
      <c r="AP347" s="3">
        <v>2</v>
      </c>
      <c r="AQ347" s="519">
        <v>1</v>
      </c>
      <c r="AR347" s="569">
        <v>10</v>
      </c>
      <c r="AS347" s="569">
        <f>SUM(AT348:BE383)</f>
        <v>0</v>
      </c>
      <c r="AT347" s="3">
        <v>12</v>
      </c>
      <c r="AU347" s="3">
        <v>11</v>
      </c>
      <c r="AV347" s="3">
        <v>10</v>
      </c>
      <c r="AW347" s="3">
        <v>9</v>
      </c>
      <c r="AX347" s="3">
        <v>8</v>
      </c>
      <c r="AY347" s="3">
        <v>7</v>
      </c>
      <c r="AZ347" s="3">
        <v>6</v>
      </c>
      <c r="BA347" s="3">
        <v>5</v>
      </c>
      <c r="BB347" s="3">
        <v>4</v>
      </c>
      <c r="BC347" s="3">
        <v>3</v>
      </c>
      <c r="BD347" s="3">
        <v>2</v>
      </c>
      <c r="BE347" s="519">
        <v>1</v>
      </c>
      <c r="BF347" s="569">
        <v>10</v>
      </c>
      <c r="BG347" s="569">
        <f>SUM(BH348:BS383)</f>
        <v>0</v>
      </c>
      <c r="BH347" s="3">
        <v>12</v>
      </c>
      <c r="BI347" s="3">
        <v>11</v>
      </c>
      <c r="BJ347" s="3">
        <v>10</v>
      </c>
      <c r="BK347" s="3">
        <v>9</v>
      </c>
      <c r="BL347" s="3">
        <v>8</v>
      </c>
      <c r="BM347" s="3">
        <v>7</v>
      </c>
      <c r="BN347" s="3">
        <v>6</v>
      </c>
      <c r="BO347" s="3">
        <v>5</v>
      </c>
      <c r="BP347" s="3">
        <v>4</v>
      </c>
      <c r="BQ347" s="3">
        <v>3</v>
      </c>
      <c r="BR347" s="3">
        <v>2</v>
      </c>
      <c r="BS347" s="519">
        <v>1</v>
      </c>
      <c r="BT347" s="569">
        <v>10</v>
      </c>
      <c r="BU347" s="569">
        <f>SUM(BV348:CG383)</f>
        <v>0</v>
      </c>
      <c r="BV347" s="3">
        <v>12</v>
      </c>
      <c r="BW347" s="3">
        <v>11</v>
      </c>
      <c r="BX347" s="3">
        <v>10</v>
      </c>
      <c r="BY347" s="3">
        <v>9</v>
      </c>
      <c r="BZ347" s="3">
        <v>8</v>
      </c>
      <c r="CA347" s="3">
        <v>7</v>
      </c>
      <c r="CB347" s="3">
        <v>6</v>
      </c>
      <c r="CC347" s="3">
        <v>5</v>
      </c>
      <c r="CD347" s="3">
        <v>4</v>
      </c>
      <c r="CE347" s="3">
        <v>3</v>
      </c>
      <c r="CF347" s="3">
        <v>2</v>
      </c>
      <c r="CG347" s="519">
        <v>1</v>
      </c>
      <c r="CH347" s="569">
        <v>10</v>
      </c>
      <c r="CI347" s="569">
        <f>SUM(CJ348:CU383)</f>
        <v>0</v>
      </c>
      <c r="CJ347" s="3">
        <v>12</v>
      </c>
      <c r="CK347" s="3">
        <v>11</v>
      </c>
      <c r="CL347" s="3">
        <v>10</v>
      </c>
      <c r="CM347" s="3">
        <v>9</v>
      </c>
      <c r="CN347" s="3">
        <v>8</v>
      </c>
      <c r="CO347" s="3">
        <v>7</v>
      </c>
      <c r="CP347" s="3">
        <v>6</v>
      </c>
      <c r="CQ347" s="3">
        <v>5</v>
      </c>
      <c r="CR347" s="3">
        <v>4</v>
      </c>
      <c r="CS347" s="3">
        <v>3</v>
      </c>
      <c r="CT347" s="3">
        <v>2</v>
      </c>
      <c r="CU347" s="519">
        <v>1</v>
      </c>
    </row>
    <row r="348" spans="16:99" x14ac:dyDescent="0.25">
      <c r="P348" s="940" t="s">
        <v>39</v>
      </c>
      <c r="Q348" s="13" t="s">
        <v>61</v>
      </c>
      <c r="R348" s="518" t="str">
        <f>IF(AND(_1="A-350",'2026'!$M$4="CA",'2026'!$M$2=R347),'2026DATA'!$C$3,"")</f>
        <v/>
      </c>
      <c r="S348" s="518" t="str">
        <f>IF(AND(_1="A-350",'2026'!$M$4="CA",'2026'!$M$2=S347),'2026DATA'!$D$3,"")</f>
        <v/>
      </c>
      <c r="T348" s="518" t="str">
        <f>IF(AND(_1="A-350",'2026'!$M$4="CA",'2026'!$M$2=T347),'2026DATA'!$E$3,"")</f>
        <v/>
      </c>
      <c r="U348" s="518" t="str">
        <f>IF(AND(_1="A-350",'2026'!$M$4="CA",'2026'!$M$2=U347),'2026DATA'!$F$3,"")</f>
        <v/>
      </c>
      <c r="V348" s="518" t="str">
        <f>IF(AND(_1="A-350",'2026'!$M$4="CA",'2026'!$M$2=V347),'2026DATA'!$G$3,"")</f>
        <v/>
      </c>
      <c r="W348" s="518" t="str">
        <f>IF(AND(_1="A-350",'2026'!$M$4="CA",'2026'!$M$2=W347),'2026DATA'!$H$3,"")</f>
        <v/>
      </c>
      <c r="X348" s="518" t="str">
        <f>IF(AND(_1="A-350",'2026'!$M$4="CA",'2026'!$M$2=X347),'2026DATA'!$I$3,"")</f>
        <v/>
      </c>
      <c r="Y348" s="518" t="str">
        <f>IF(AND(_1="A-350",'2026'!$M$4="CA",'2026'!$M$2=Y347),'2026DATA'!$J$3,"")</f>
        <v/>
      </c>
      <c r="Z348" s="518" t="str">
        <f>IF(AND(_1="A-350",'2026'!$M$4="CA",'2026'!$M$2=Z347),'2026DATA'!$K$3,"")</f>
        <v/>
      </c>
      <c r="AA348" s="518" t="str">
        <f>IF(AND(_1="A-350",'2026'!$M$4="CA",'2026'!$M$2=AA347),'2026DATA'!$L$3,"")</f>
        <v/>
      </c>
      <c r="AB348" s="518" t="str">
        <f>IF(AND(_1="A-350",'2026'!$M$4="CA",'2026'!$M$2=AB347),'2026DATA'!$M$3,"")</f>
        <v/>
      </c>
      <c r="AC348" s="520" t="str">
        <f>IF(AND(_1="A-350",'2026'!$M$4="CA",'2026'!$M$2=AC347),'2026DATA'!$N$3,"")</f>
        <v/>
      </c>
      <c r="AD348" s="940" t="s">
        <v>39</v>
      </c>
      <c r="AE348" s="13" t="s">
        <v>61</v>
      </c>
      <c r="AF348" s="518" t="str">
        <f>IF(AND(_2="A-350",'2026'!$M$4="CA",'2026'!$M$2=AF347),'2026DATA'!$C$3,"")</f>
        <v/>
      </c>
      <c r="AG348" s="518" t="str">
        <f>IF(AND(_2="A-350",'2026'!$M$4="CA",'2026'!$M$2=AG347),'2026DATA'!$D$3,"")</f>
        <v/>
      </c>
      <c r="AH348" s="518" t="str">
        <f>IF(AND(_2="A-350",'2026'!$M$4="CA",'2026'!$M$2=AH347),'2026DATA'!$E$3,"")</f>
        <v/>
      </c>
      <c r="AI348" s="518" t="str">
        <f>IF(AND(_2="A-350",'2026'!$M$4="CA",'2026'!$M$2=AI347),'2026DATA'!$F$3,"")</f>
        <v/>
      </c>
      <c r="AJ348" s="518" t="str">
        <f>IF(AND(_2="A-350",'2026'!$M$4="CA",'2026'!$M$2=AJ347),'2026DATA'!$G$3,"")</f>
        <v/>
      </c>
      <c r="AK348" s="518" t="str">
        <f>IF(AND(_2="A-350",'2026'!$M$4="CA",'2026'!$M$2=AK347),'2026DATA'!$H$3,"")</f>
        <v/>
      </c>
      <c r="AL348" s="518" t="str">
        <f>IF(AND(_2="A-350",'2026'!$M$4="CA",'2026'!$M$2=AL347),'2026DATA'!$I$3,"")</f>
        <v/>
      </c>
      <c r="AM348" s="518" t="str">
        <f>IF(AND(_2="A-350",'2026'!$M$4="CA",'2026'!$M$2=AM347),'2026DATA'!$J$3,"")</f>
        <v/>
      </c>
      <c r="AN348" s="518" t="str">
        <f>IF(AND(_2="A-350",'2026'!$M$4="CA",'2026'!$M$2=AN347),'2026DATA'!$K$3,"")</f>
        <v/>
      </c>
      <c r="AO348" s="518" t="str">
        <f>IF(AND(_2="A-350",'2026'!$M$4="CA",'2026'!$M$2=AO347),'2026DATA'!$L$3,"")</f>
        <v/>
      </c>
      <c r="AP348" s="518" t="str">
        <f>IF(AND(_2="A-350",'2026'!$M$4="CA",'2026'!$M$2=AP347),'2026DATA'!$M$3,"")</f>
        <v/>
      </c>
      <c r="AQ348" s="520" t="str">
        <f>IF(AND(_2="A-350",'2026'!$M$4="CA",'2026'!$M$2=AQ347),'2026DATA'!$N$3,"")</f>
        <v/>
      </c>
      <c r="AR348" s="940" t="s">
        <v>39</v>
      </c>
      <c r="AS348" s="13" t="s">
        <v>61</v>
      </c>
      <c r="AT348" s="518" t="str">
        <f>IF(AND(_3="A-350",'2026'!$M$4="CA",'2026'!$M$2=AT347),'2026DATA'!$C$3,"")</f>
        <v/>
      </c>
      <c r="AU348" s="518" t="str">
        <f>IF(AND(_3="A-350",'2026'!$M$4="CA",'2026'!$M$2=AU347),'2026DATA'!$D$3,"")</f>
        <v/>
      </c>
      <c r="AV348" s="518" t="str">
        <f>IF(AND(_3="A-350",'2026'!$M$4="CA",'2026'!$M$2=AV347),'2026DATA'!$E$3,"")</f>
        <v/>
      </c>
      <c r="AW348" s="518" t="str">
        <f>IF(AND(_3="A-350",'2026'!$M$4="CA",'2026'!$M$2=AW347),'2026DATA'!$F$3,"")</f>
        <v/>
      </c>
      <c r="AX348" s="518" t="str">
        <f>IF(AND(_3="A-350",'2026'!$M$4="CA",'2026'!$M$2=AX347),'2026DATA'!$G$3,"")</f>
        <v/>
      </c>
      <c r="AY348" s="518" t="str">
        <f>IF(AND(_3="A-350",'2026'!$M$4="CA",'2026'!$M$2=AY347),'2026DATA'!$H$3,"")</f>
        <v/>
      </c>
      <c r="AZ348" s="518" t="str">
        <f>IF(AND(_3="A-350",'2026'!$M$4="CA",'2026'!$M$2=AZ347),'2026DATA'!$I$3,"")</f>
        <v/>
      </c>
      <c r="BA348" s="518" t="str">
        <f>IF(AND(_3="A-350",'2026'!$M$4="CA",'2026'!$M$2=BA347),'2026DATA'!$J$3,"")</f>
        <v/>
      </c>
      <c r="BB348" s="518" t="str">
        <f>IF(AND(_3="A-350",'2026'!$M$4="CA",'2026'!$M$2=BB347),'2026DATA'!$K$3,"")</f>
        <v/>
      </c>
      <c r="BC348" s="518" t="str">
        <f>IF(AND(_3="A-350",'2026'!$M$4="CA",'2026'!$M$2=BC347),'2026DATA'!$L$3,"")</f>
        <v/>
      </c>
      <c r="BD348" s="518" t="str">
        <f>IF(AND(_3="A-350",'2026'!$M$4="CA",'2026'!$M$2=BD347),'2026DATA'!$M$3,"")</f>
        <v/>
      </c>
      <c r="BE348" s="520" t="str">
        <f>IF(AND(_3="A-350",'2026'!$M$4="CA",'2026'!$M$2=BE347),'2026DATA'!$N$3,"")</f>
        <v/>
      </c>
      <c r="BF348" s="940" t="s">
        <v>39</v>
      </c>
      <c r="BG348" s="13" t="s">
        <v>61</v>
      </c>
      <c r="BH348" s="518" t="str">
        <f>IF(AND(_4="A-350",'2026'!$M$4="CA",'2026'!$M$2=BH347),'2026DATA'!$C$3,"")</f>
        <v/>
      </c>
      <c r="BI348" s="518" t="str">
        <f>IF(AND(_4="A-350",'2026'!$M$4="CA",'2026'!$M$2=BI347),'2026DATA'!$D$3,"")</f>
        <v/>
      </c>
      <c r="BJ348" s="518" t="str">
        <f>IF(AND(_4="A-350",'2026'!$M$4="CA",'2026'!$M$2=BJ347),'2026DATA'!$E$3,"")</f>
        <v/>
      </c>
      <c r="BK348" s="518" t="str">
        <f>IF(AND(_4="A-350",'2026'!$M$4="CA",'2026'!$M$2=BK347),'2026DATA'!$F$3,"")</f>
        <v/>
      </c>
      <c r="BL348" s="518" t="str">
        <f>IF(AND(_4="A-350",'2026'!$M$4="CA",'2026'!$M$2=BL347),'2026DATA'!$G$3,"")</f>
        <v/>
      </c>
      <c r="BM348" s="518" t="str">
        <f>IF(AND(_4="A-350",'2026'!$M$4="CA",'2026'!$M$2=BM347),'2026DATA'!$H$3,"")</f>
        <v/>
      </c>
      <c r="BN348" s="518" t="str">
        <f>IF(AND(_4="A-350",'2026'!$M$4="CA",'2026'!$M$2=BN347),'2026DATA'!$I$3,"")</f>
        <v/>
      </c>
      <c r="BO348" s="518" t="str">
        <f>IF(AND(_4="A-350",'2026'!$M$4="CA",'2026'!$M$2=BO347),'2026DATA'!$J$3,"")</f>
        <v/>
      </c>
      <c r="BP348" s="518" t="str">
        <f>IF(AND(_4="A-350",'2026'!$M$4="CA",'2026'!$M$2=BP347),'2026DATA'!$K$3,"")</f>
        <v/>
      </c>
      <c r="BQ348" s="518" t="str">
        <f>IF(AND(_4="A-350",'2026'!$M$4="CA",'2026'!$M$2=BQ347),'2026DATA'!$L$3,"")</f>
        <v/>
      </c>
      <c r="BR348" s="518" t="str">
        <f>IF(AND(_4="A-350",'2026'!$M$4="CA",'2026'!$M$2=BR347),'2026DATA'!$M$3,"")</f>
        <v/>
      </c>
      <c r="BS348" s="520" t="str">
        <f>IF(AND(_4="A-350",'2026'!$M$4="CA",'2026'!$M$2=BS347),'2026DATA'!$N$3,"")</f>
        <v/>
      </c>
      <c r="BT348" s="940" t="s">
        <v>39</v>
      </c>
      <c r="BU348" s="13" t="s">
        <v>61</v>
      </c>
      <c r="BV348" s="518" t="str">
        <f>IF(AND(_5="A-350",'2026'!$M$4="CA",'2026'!$M$2=BV347),'2026DATA'!$C$3,"")</f>
        <v/>
      </c>
      <c r="BW348" s="518" t="str">
        <f>IF(AND(_5="A-350",'2026'!$M$4="CA",'2026'!$M$2=BW347),'2026DATA'!$D$3,"")</f>
        <v/>
      </c>
      <c r="BX348" s="518" t="str">
        <f>IF(AND(_5="A-350",'2026'!$M$4="CA",'2026'!$M$2=BX347),'2026DATA'!$E$3,"")</f>
        <v/>
      </c>
      <c r="BY348" s="518" t="str">
        <f>IF(AND(_5="A-350",'2026'!$M$4="CA",'2026'!$M$2=BY347),'2026DATA'!$F$3,"")</f>
        <v/>
      </c>
      <c r="BZ348" s="518" t="str">
        <f>IF(AND(_5="A-350",'2026'!$M$4="CA",'2026'!$M$2=BZ347),'2026DATA'!$G$3,"")</f>
        <v/>
      </c>
      <c r="CA348" s="518" t="str">
        <f>IF(AND(_5="A-350",'2026'!$M$4="CA",'2026'!$M$2=CA347),'2026DATA'!$H$3,"")</f>
        <v/>
      </c>
      <c r="CB348" s="518" t="str">
        <f>IF(AND(_5="A-350",'2026'!$M$4="CA",'2026'!$M$2=CB347),'2026DATA'!$I$3,"")</f>
        <v/>
      </c>
      <c r="CC348" s="518" t="str">
        <f>IF(AND(_5="A-350",'2026'!$M$4="CA",'2026'!$M$2=CC347),'2026DATA'!$J$3,"")</f>
        <v/>
      </c>
      <c r="CD348" s="518" t="str">
        <f>IF(AND(_5="A-350",'2026'!$M$4="CA",'2026'!$M$2=CD347),'2026DATA'!$K$3,"")</f>
        <v/>
      </c>
      <c r="CE348" s="518" t="str">
        <f>IF(AND(_5="A-350",'2026'!$M$4="CA",'2026'!$M$2=CE347),'2026DATA'!$L$3,"")</f>
        <v/>
      </c>
      <c r="CF348" s="518" t="str">
        <f>IF(AND(_5="A-350",'2026'!$M$4="CA",'2026'!$M$2=CF347),'2026DATA'!$M$3,"")</f>
        <v/>
      </c>
      <c r="CG348" s="520" t="str">
        <f>IF(AND(_5="A-350",'2026'!$M$4="CA",'2026'!$M$2=CG347),'2026DATA'!$N$3,"")</f>
        <v/>
      </c>
      <c r="CH348" s="940" t="s">
        <v>39</v>
      </c>
      <c r="CI348" s="13" t="s">
        <v>61</v>
      </c>
      <c r="CJ348" s="518" t="str">
        <f>IF(AND(_6="A-350",'2026'!$M$4="CA",'2026'!$M$2=CJ347),'2026DATA'!$C$3,"")</f>
        <v/>
      </c>
      <c r="CK348" s="518" t="str">
        <f>IF(AND(_6="A-350",'2026'!$M$4="CA",'2026'!$M$2=CK347),'2026DATA'!$D$3,"")</f>
        <v/>
      </c>
      <c r="CL348" s="518" t="str">
        <f>IF(AND(_6="A-350",'2026'!$M$4="CA",'2026'!$M$2=CL347),'2026DATA'!$E$3,"")</f>
        <v/>
      </c>
      <c r="CM348" s="518" t="str">
        <f>IF(AND(_6="A-350",'2026'!$M$4="CA",'2026'!$M$2=CM347),'2026DATA'!$F$3,"")</f>
        <v/>
      </c>
      <c r="CN348" s="518" t="str">
        <f>IF(AND(_6="A-350",'2026'!$M$4="CA",'2026'!$M$2=CN347),'2026DATA'!$G$3,"")</f>
        <v/>
      </c>
      <c r="CO348" s="518" t="str">
        <f>IF(AND(_6="A-350",'2026'!$M$4="CA",'2026'!$M$2=CO347),'2026DATA'!$H$3,"")</f>
        <v/>
      </c>
      <c r="CP348" s="518" t="str">
        <f>IF(AND(_6="A-350",'2026'!$M$4="CA",'2026'!$M$2=CP347),'2026DATA'!$I$3,"")</f>
        <v/>
      </c>
      <c r="CQ348" s="518" t="str">
        <f>IF(AND(_6="A-350",'2026'!$M$4="CA",'2026'!$M$2=CQ347),'2026DATA'!$J$3,"")</f>
        <v/>
      </c>
      <c r="CR348" s="518" t="str">
        <f>IF(AND(_6="A-350",'2026'!$M$4="CA",'2026'!$M$2=CR347),'2026DATA'!$K$3,"")</f>
        <v/>
      </c>
      <c r="CS348" s="518" t="str">
        <f>IF(AND(_6="A-350",'2026'!$M$4="CA",'2026'!$M$2=CS347),'2026DATA'!$L$3,"")</f>
        <v/>
      </c>
      <c r="CT348" s="518" t="str">
        <f>IF(AND(_6="A-350",'2026'!$M$4="CA",'2026'!$M$2=CT347),'2026DATA'!$M$3,"")</f>
        <v/>
      </c>
      <c r="CU348" s="520" t="str">
        <f>IF(AND(_6="A-350",'2026'!$M$4="CA",'2026'!$M$2=CU347),'2026DATA'!$N$3,"")</f>
        <v/>
      </c>
    </row>
    <row r="349" spans="16:99" x14ac:dyDescent="0.25">
      <c r="P349" s="940"/>
      <c r="Q349" s="13" t="s">
        <v>62</v>
      </c>
      <c r="R349" s="518" t="str">
        <f>IF(AND(_1="A-350",'2026'!$M$4="FO",'2026'!$M$2=R347),'2026DATA'!$C$4,"")</f>
        <v/>
      </c>
      <c r="S349" s="518" t="str">
        <f>IF(AND(_1="A-350",'2026'!$M$4="FO",'2026'!$M$2=S347),'2026DATA'!$D$4,"")</f>
        <v/>
      </c>
      <c r="T349" s="518" t="str">
        <f>IF(AND(_1="A-350",'2026'!$M$4="FO",'2026'!$M$2=T347),'2026DATA'!$E$4,"")</f>
        <v/>
      </c>
      <c r="U349" s="518" t="str">
        <f>IF(AND(_1="A-350",'2026'!$M$4="FO",'2026'!$M$2=U347),'2026DATA'!$F$4,"")</f>
        <v/>
      </c>
      <c r="V349" s="518" t="str">
        <f>IF(AND(_1="A-350",'2026'!$M$4="FO",'2026'!$M$2=V347),'2026DATA'!$G$4,"")</f>
        <v/>
      </c>
      <c r="W349" s="518" t="str">
        <f>IF(AND(_1="A-350",'2026'!$M$4="FO",'2026'!$M$2=W347),'2026DATA'!$H$4,"")</f>
        <v/>
      </c>
      <c r="X349" s="518" t="str">
        <f>IF(AND(_1="A-350",'2026'!$M$4="FO",'2026'!$M$2=X347),'2026DATA'!$I$4,"")</f>
        <v/>
      </c>
      <c r="Y349" s="518" t="str">
        <f>IF(AND(_1="A-350",'2026'!$M$4="FO",'2026'!$M$2=Y347),'2026DATA'!$J$4,"")</f>
        <v/>
      </c>
      <c r="Z349" s="518" t="str">
        <f>IF(AND(_1="A-350",'2026'!$M$4="FO",'2026'!$M$2=Z347),'2026DATA'!$K$4,"")</f>
        <v/>
      </c>
      <c r="AA349" s="518" t="str">
        <f>IF(AND(_1="A-350",'2026'!$M$4="FO",'2026'!$M$2=AA347),'2026DATA'!$L$4,"")</f>
        <v/>
      </c>
      <c r="AB349" s="518" t="str">
        <f>IF(AND(_1="A-350",'2026'!$M$4="FO",'2026'!$M$2=AB347),'2026DATA'!$M$4,"")</f>
        <v/>
      </c>
      <c r="AC349" s="520" t="str">
        <f>IF(AND(_1="A-350",'2026'!$M$4="FO",'2026'!$M$2=AC347),'2026DATA'!$N$4,"")</f>
        <v/>
      </c>
      <c r="AD349" s="940"/>
      <c r="AE349" s="13" t="s">
        <v>62</v>
      </c>
      <c r="AF349" s="518" t="str">
        <f>IF(AND(_2="A-350",'2026'!$M$4="FO",'2026'!$M$2=AF347),'2026DATA'!$C$4,"")</f>
        <v/>
      </c>
      <c r="AG349" s="518" t="str">
        <f>IF(AND(_2="A-350",'2026'!$M$4="FO",'2026'!$M$2=AG347),'2026DATA'!$D$4,"")</f>
        <v/>
      </c>
      <c r="AH349" s="518" t="str">
        <f>IF(AND(_2="A-350",'2026'!$M$4="FO",'2026'!$M$2=AH347),'2026DATA'!$E$4,"")</f>
        <v/>
      </c>
      <c r="AI349" s="518" t="str">
        <f>IF(AND(_2="A-350",'2026'!$M$4="FO",'2026'!$M$2=AI347),'2026DATA'!$F$4,"")</f>
        <v/>
      </c>
      <c r="AJ349" s="518" t="str">
        <f>IF(AND(_2="A-350",'2026'!$M$4="FO",'2026'!$M$2=AJ347),'2026DATA'!$G$4,"")</f>
        <v/>
      </c>
      <c r="AK349" s="518" t="str">
        <f>IF(AND(_2="A-350",'2026'!$M$4="FO",'2026'!$M$2=AK347),'2026DATA'!$H$4,"")</f>
        <v/>
      </c>
      <c r="AL349" s="518" t="str">
        <f>IF(AND(_2="A-350",'2026'!$M$4="FO",'2026'!$M$2=AL347),'2026DATA'!$I$4,"")</f>
        <v/>
      </c>
      <c r="AM349" s="518" t="str">
        <f>IF(AND(_2="A-350",'2026'!$M$4="FO",'2026'!$M$2=AM347),'2026DATA'!$J$4,"")</f>
        <v/>
      </c>
      <c r="AN349" s="518" t="str">
        <f>IF(AND(_2="A-350",'2026'!$M$4="FO",'2026'!$M$2=AN347),'2026DATA'!$K$4,"")</f>
        <v/>
      </c>
      <c r="AO349" s="518" t="str">
        <f>IF(AND(_2="A-350",'2026'!$M$4="FO",'2026'!$M$2=AO347),'2026DATA'!$L$4,"")</f>
        <v/>
      </c>
      <c r="AP349" s="518" t="str">
        <f>IF(AND(_2="A-350",'2026'!$M$4="FO",'2026'!$M$2=AP347),'2026DATA'!$M$4,"")</f>
        <v/>
      </c>
      <c r="AQ349" s="520" t="str">
        <f>IF(AND(_2="A-350",'2026'!$M$4="FO",'2026'!$M$2=AQ347),'2026DATA'!$N$4,"")</f>
        <v/>
      </c>
      <c r="AR349" s="940"/>
      <c r="AS349" s="13" t="s">
        <v>62</v>
      </c>
      <c r="AT349" s="518" t="str">
        <f>IF(AND(_3="A-350",'2026'!$M$4="FO",'2026'!$M$2=AT347),'2026DATA'!$C$4,"")</f>
        <v/>
      </c>
      <c r="AU349" s="518" t="str">
        <f>IF(AND(_3="A-350",'2026'!$M$4="FO",'2026'!$M$2=AU347),'2026DATA'!$D$4,"")</f>
        <v/>
      </c>
      <c r="AV349" s="518" t="str">
        <f>IF(AND(_3="A-350",'2026'!$M$4="FO",'2026'!$M$2=AV347),'2026DATA'!$E$4,"")</f>
        <v/>
      </c>
      <c r="AW349" s="518" t="str">
        <f>IF(AND(_3="A-350",'2026'!$M$4="FO",'2026'!$M$2=AW347),'2026DATA'!$F$4,"")</f>
        <v/>
      </c>
      <c r="AX349" s="518" t="str">
        <f>IF(AND(_3="A-350",'2026'!$M$4="FO",'2026'!$M$2=AX347),'2026DATA'!$G$4,"")</f>
        <v/>
      </c>
      <c r="AY349" s="518" t="str">
        <f>IF(AND(_3="A-350",'2026'!$M$4="FO",'2026'!$M$2=AY347),'2026DATA'!$H$4,"")</f>
        <v/>
      </c>
      <c r="AZ349" s="518" t="str">
        <f>IF(AND(_3="A-350",'2026'!$M$4="FO",'2026'!$M$2=AZ347),'2026DATA'!$I$4,"")</f>
        <v/>
      </c>
      <c r="BA349" s="518" t="str">
        <f>IF(AND(_3="A-350",'2026'!$M$4="FO",'2026'!$M$2=BA347),'2026DATA'!$J$4,"")</f>
        <v/>
      </c>
      <c r="BB349" s="518" t="str">
        <f>IF(AND(_3="A-350",'2026'!$M$4="FO",'2026'!$M$2=BB347),'2026DATA'!$K$4,"")</f>
        <v/>
      </c>
      <c r="BC349" s="518" t="str">
        <f>IF(AND(_3="A-350",'2026'!$M$4="FO",'2026'!$M$2=BC347),'2026DATA'!$L$4,"")</f>
        <v/>
      </c>
      <c r="BD349" s="518" t="str">
        <f>IF(AND(_3="A-350",'2026'!$M$4="FO",'2026'!$M$2=BD347),'2026DATA'!$M$4,"")</f>
        <v/>
      </c>
      <c r="BE349" s="520" t="str">
        <f>IF(AND(_3="A-350",'2026'!$M$4="FO",'2026'!$M$2=BE347),'2026DATA'!$N$4,"")</f>
        <v/>
      </c>
      <c r="BF349" s="940"/>
      <c r="BG349" s="13" t="s">
        <v>62</v>
      </c>
      <c r="BH349" s="518" t="str">
        <f>IF(AND(_4="A-350",'2026'!$M$4="FO",'2026'!$M$2=BH347),'2026DATA'!$C$4,"")</f>
        <v/>
      </c>
      <c r="BI349" s="518" t="str">
        <f>IF(AND(_4="A-350",'2026'!$M$4="FO",'2026'!$M$2=BI347),'2026DATA'!$D$4,"")</f>
        <v/>
      </c>
      <c r="BJ349" s="518" t="str">
        <f>IF(AND(_4="A-350",'2026'!$M$4="FO",'2026'!$M$2=BJ347),'2026DATA'!$E$4,"")</f>
        <v/>
      </c>
      <c r="BK349" s="518" t="str">
        <f>IF(AND(_4="A-350",'2026'!$M$4="FO",'2026'!$M$2=BK347),'2026DATA'!$F$4,"")</f>
        <v/>
      </c>
      <c r="BL349" s="518" t="str">
        <f>IF(AND(_4="A-350",'2026'!$M$4="FO",'2026'!$M$2=BL347),'2026DATA'!$G$4,"")</f>
        <v/>
      </c>
      <c r="BM349" s="518" t="str">
        <f>IF(AND(_4="A-350",'2026'!$M$4="FO",'2026'!$M$2=BM347),'2026DATA'!$H$4,"")</f>
        <v/>
      </c>
      <c r="BN349" s="518" t="str">
        <f>IF(AND(_4="A-350",'2026'!$M$4="FO",'2026'!$M$2=BN347),'2026DATA'!$I$4,"")</f>
        <v/>
      </c>
      <c r="BO349" s="518" t="str">
        <f>IF(AND(_4="A-350",'2026'!$M$4="FO",'2026'!$M$2=BO347),'2026DATA'!$J$4,"")</f>
        <v/>
      </c>
      <c r="BP349" s="518" t="str">
        <f>IF(AND(_4="A-350",'2026'!$M$4="FO",'2026'!$M$2=BP347),'2026DATA'!$K$4,"")</f>
        <v/>
      </c>
      <c r="BQ349" s="518" t="str">
        <f>IF(AND(_4="A-350",'2026'!$M$4="FO",'2026'!$M$2=BQ347),'2026DATA'!$L$4,"")</f>
        <v/>
      </c>
      <c r="BR349" s="518" t="str">
        <f>IF(AND(_4="A-350",'2026'!$M$4="FO",'2026'!$M$2=BR347),'2026DATA'!$M$4,"")</f>
        <v/>
      </c>
      <c r="BS349" s="520" t="str">
        <f>IF(AND(_4="A-350",'2026'!$M$4="FO",'2026'!$M$2=BS347),'2026DATA'!$N$4,"")</f>
        <v/>
      </c>
      <c r="BT349" s="940"/>
      <c r="BU349" s="13" t="s">
        <v>62</v>
      </c>
      <c r="BV349" s="518" t="str">
        <f>IF(AND(_5="A-350",'2026'!$M$4="FO",'2026'!$M$2=BV347),'2026DATA'!$C$4,"")</f>
        <v/>
      </c>
      <c r="BW349" s="518" t="str">
        <f>IF(AND(_5="A-350",'2026'!$M$4="FO",'2026'!$M$2=BW347),'2026DATA'!$D$4,"")</f>
        <v/>
      </c>
      <c r="BX349" s="518" t="str">
        <f>IF(AND(_5="A-350",'2026'!$M$4="FO",'2026'!$M$2=BX347),'2026DATA'!$E$4,"")</f>
        <v/>
      </c>
      <c r="BY349" s="518" t="str">
        <f>IF(AND(_5="A-350",'2026'!$M$4="FO",'2026'!$M$2=BY347),'2026DATA'!$F$4,"")</f>
        <v/>
      </c>
      <c r="BZ349" s="518" t="str">
        <f>IF(AND(_5="A-350",'2026'!$M$4="FO",'2026'!$M$2=BZ347),'2026DATA'!$G$4,"")</f>
        <v/>
      </c>
      <c r="CA349" s="518" t="str">
        <f>IF(AND(_5="A-350",'2026'!$M$4="FO",'2026'!$M$2=CA347),'2026DATA'!$H$4,"")</f>
        <v/>
      </c>
      <c r="CB349" s="518" t="str">
        <f>IF(AND(_5="A-350",'2026'!$M$4="FO",'2026'!$M$2=CB347),'2026DATA'!$I$4,"")</f>
        <v/>
      </c>
      <c r="CC349" s="518" t="str">
        <f>IF(AND(_5="A-350",'2026'!$M$4="FO",'2026'!$M$2=CC347),'2026DATA'!$J$4,"")</f>
        <v/>
      </c>
      <c r="CD349" s="518" t="str">
        <f>IF(AND(_5="A-350",'2026'!$M$4="FO",'2026'!$M$2=CD347),'2026DATA'!$K$4,"")</f>
        <v/>
      </c>
      <c r="CE349" s="518" t="str">
        <f>IF(AND(_5="A-350",'2026'!$M$4="FO",'2026'!$M$2=CE347),'2026DATA'!$L$4,"")</f>
        <v/>
      </c>
      <c r="CF349" s="518" t="str">
        <f>IF(AND(_5="A-350",'2026'!$M$4="FO",'2026'!$M$2=CF347),'2026DATA'!$M$4,"")</f>
        <v/>
      </c>
      <c r="CG349" s="520" t="str">
        <f>IF(AND(_5="A-350",'2026'!$M$4="FO",'2026'!$M$2=CG347),'2026DATA'!$N$4,"")</f>
        <v/>
      </c>
      <c r="CH349" s="940"/>
      <c r="CI349" s="13" t="s">
        <v>62</v>
      </c>
      <c r="CJ349" s="518" t="str">
        <f>IF(AND(_6="A-350",'2026'!$M$4="FO",'2026'!$M$2=CJ347),'2026DATA'!$C$4,"")</f>
        <v/>
      </c>
      <c r="CK349" s="518" t="str">
        <f>IF(AND(_6="A-350",'2026'!$M$4="FO",'2026'!$M$2=CK347),'2026DATA'!$D$4,"")</f>
        <v/>
      </c>
      <c r="CL349" s="518" t="str">
        <f>IF(AND(_6="A-350",'2026'!$M$4="FO",'2026'!$M$2=CL347),'2026DATA'!$E$4,"")</f>
        <v/>
      </c>
      <c r="CM349" s="518" t="str">
        <f>IF(AND(_6="A-350",'2026'!$M$4="FO",'2026'!$M$2=CM347),'2026DATA'!$F$4,"")</f>
        <v/>
      </c>
      <c r="CN349" s="518" t="str">
        <f>IF(AND(_6="A-350",'2026'!$M$4="FO",'2026'!$M$2=CN347),'2026DATA'!$G$4,"")</f>
        <v/>
      </c>
      <c r="CO349" s="518" t="str">
        <f>IF(AND(_6="A-350",'2026'!$M$4="FO",'2026'!$M$2=CO347),'2026DATA'!$H$4,"")</f>
        <v/>
      </c>
      <c r="CP349" s="518" t="str">
        <f>IF(AND(_6="A-350",'2026'!$M$4="FO",'2026'!$M$2=CP347),'2026DATA'!$I$4,"")</f>
        <v/>
      </c>
      <c r="CQ349" s="518" t="str">
        <f>IF(AND(_6="A-350",'2026'!$M$4="FO",'2026'!$M$2=CQ347),'2026DATA'!$J$4,"")</f>
        <v/>
      </c>
      <c r="CR349" s="518" t="str">
        <f>IF(AND(_6="A-350",'2026'!$M$4="FO",'2026'!$M$2=CR347),'2026DATA'!$K$4,"")</f>
        <v/>
      </c>
      <c r="CS349" s="518" t="str">
        <f>IF(AND(_6="A-350",'2026'!$M$4="FO",'2026'!$M$2=CS347),'2026DATA'!$L$4,"")</f>
        <v/>
      </c>
      <c r="CT349" s="518" t="str">
        <f>IF(AND(_6="A-350",'2026'!$M$4="FO",'2026'!$M$2=CT347),'2026DATA'!$M$4,"")</f>
        <v/>
      </c>
      <c r="CU349" s="520" t="str">
        <f>IF(AND(_6="A-350",'2026'!$M$4="FO",'2026'!$M$2=CU347),'2026DATA'!$N$4,"")</f>
        <v/>
      </c>
    </row>
    <row r="350" spans="16:99" x14ac:dyDescent="0.25">
      <c r="P350" s="940" t="s">
        <v>65</v>
      </c>
      <c r="Q350" s="13" t="s">
        <v>61</v>
      </c>
      <c r="R350" s="518" t="str">
        <f>IF(AND(_1="A-330-900",'2026'!$M$4="CA",'2026'!$M$2=R347),'2026DATA'!$C$5,"")</f>
        <v/>
      </c>
      <c r="S350" s="518" t="str">
        <f>IF(AND(_1="A-330-900",'2026'!$M$4="CA",'2026'!$M$2=S347),'2026DATA'!$D$5,"")</f>
        <v/>
      </c>
      <c r="T350" s="518" t="str">
        <f>IF(AND(_1="A-330-900",'2026'!$M$4="CA",'2026'!$M$2=T347),'2026DATA'!$E$5,"")</f>
        <v/>
      </c>
      <c r="U350" s="518" t="str">
        <f>IF(AND(_1="A-330-900",'2026'!$M$4="CA",'2026'!$M$2=U347),'2026DATA'!$F$5,"")</f>
        <v/>
      </c>
      <c r="V350" s="518" t="str">
        <f>IF(AND(_1="A-330-900",'2026'!$M$4="CA",'2026'!$M$2=V347),'2026DATA'!$G$5,"")</f>
        <v/>
      </c>
      <c r="W350" s="518" t="str">
        <f>IF(AND(_1="A-330-900",'2026'!$M$4="CA",'2026'!$M$2=W347),'2026DATA'!$H$5,"")</f>
        <v/>
      </c>
      <c r="X350" s="518" t="str">
        <f>IF(AND(_1="A-330-900",'2026'!$M$4="CA",'2026'!$M$2=X347),'2026DATA'!$I$5,"")</f>
        <v/>
      </c>
      <c r="Y350" s="518" t="str">
        <f>IF(AND(_1="A-330-900",'2026'!$M$4="CA",'2026'!$M$2=Y347),'2026DATA'!$J$5,"")</f>
        <v/>
      </c>
      <c r="Z350" s="518" t="str">
        <f>IF(AND(_1="A-330-900",'2026'!$M$4="CA",'2026'!$M$2=Z347),'2026DATA'!$K$5,"")</f>
        <v/>
      </c>
      <c r="AA350" s="518" t="str">
        <f>IF(AND(_1="A-330-900",'2026'!$M$4="CA",'2026'!$M$2=AA347),'2026DATA'!$L$5,"")</f>
        <v/>
      </c>
      <c r="AB350" s="518" t="str">
        <f>IF(AND(_1="A-330-900",'2026'!$M$4="CA",'2026'!$M$2=AB347),'2026DATA'!$M$5,"")</f>
        <v/>
      </c>
      <c r="AC350" s="520" t="str">
        <f>IF(AND(_1="A-330-900",'2026'!$M$4="CA",'2026'!$M$2=AC347),'2026DATA'!$N$5,"")</f>
        <v/>
      </c>
      <c r="AD350" s="940" t="s">
        <v>65</v>
      </c>
      <c r="AE350" s="13" t="s">
        <v>61</v>
      </c>
      <c r="AF350" s="518" t="str">
        <f>IF(AND(_2="A-330-900",'2026'!$M$4="CA",'2026'!$M$2=AF347),'2026DATA'!$C$5,"")</f>
        <v/>
      </c>
      <c r="AG350" s="518" t="str">
        <f>IF(AND(_2="A-330-900",'2026'!$M$4="CA",'2026'!$M$2=AG347),'2026DATA'!$D$5,"")</f>
        <v/>
      </c>
      <c r="AH350" s="518" t="str">
        <f>IF(AND(_2="A-330-900",'2026'!$M$4="CA",'2026'!$M$2=AH347),'2026DATA'!$E$5,"")</f>
        <v/>
      </c>
      <c r="AI350" s="518" t="str">
        <f>IF(AND(_2="A-330-900",'2026'!$M$4="CA",'2026'!$M$2=AI347),'2026DATA'!$F$5,"")</f>
        <v/>
      </c>
      <c r="AJ350" s="518" t="str">
        <f>IF(AND(_2="A-330-900",'2026'!$M$4="CA",'2026'!$M$2=AJ347),'2026DATA'!$G$5,"")</f>
        <v/>
      </c>
      <c r="AK350" s="518" t="str">
        <f>IF(AND(_2="A-330-900",'2026'!$M$4="CA",'2026'!$M$2=AK347),'2026DATA'!$H$5,"")</f>
        <v/>
      </c>
      <c r="AL350" s="518" t="str">
        <f>IF(AND(_2="A-330-900",'2026'!$M$4="CA",'2026'!$M$2=AL347),'2026DATA'!$I$5,"")</f>
        <v/>
      </c>
      <c r="AM350" s="518" t="str">
        <f>IF(AND(_2="A-330-900",'2026'!$M$4="CA",'2026'!$M$2=AM347),'2026DATA'!$J$5,"")</f>
        <v/>
      </c>
      <c r="AN350" s="518" t="str">
        <f>IF(AND(_2="A-330-900",'2026'!$M$4="CA",'2026'!$M$2=AN347),'2026DATA'!$K$5,"")</f>
        <v/>
      </c>
      <c r="AO350" s="518" t="str">
        <f>IF(AND(_2="A-330-900",'2026'!$M$4="CA",'2026'!$M$2=AO347),'2026DATA'!$L$5,"")</f>
        <v/>
      </c>
      <c r="AP350" s="518" t="str">
        <f>IF(AND(_2="A-330-900",'2026'!$M$4="CA",'2026'!$M$2=AP347),'2026DATA'!$M$5,"")</f>
        <v/>
      </c>
      <c r="AQ350" s="520" t="str">
        <f>IF(AND(_2="A-330-900",'2026'!$M$4="CA",'2026'!$M$2=AQ347),'2026DATA'!$N$5,"")</f>
        <v/>
      </c>
      <c r="AR350" s="940" t="s">
        <v>65</v>
      </c>
      <c r="AS350" s="13" t="s">
        <v>61</v>
      </c>
      <c r="AT350" s="518" t="str">
        <f>IF(AND(_3="A-330-900",'2026'!$M$4="CA",'2026'!$M$2=AT347),'2026DATA'!$C$5,"")</f>
        <v/>
      </c>
      <c r="AU350" s="518" t="str">
        <f>IF(AND(_3="A-330-900",'2026'!$M$4="CA",'2026'!$M$2=AU347),'2026DATA'!$D$5,"")</f>
        <v/>
      </c>
      <c r="AV350" s="518" t="str">
        <f>IF(AND(_3="A-330-900",'2026'!$M$4="CA",'2026'!$M$2=AV347),'2026DATA'!$E$5,"")</f>
        <v/>
      </c>
      <c r="AW350" s="518" t="str">
        <f>IF(AND(_3="A-330-900",'2026'!$M$4="CA",'2026'!$M$2=AW347),'2026DATA'!$F$5,"")</f>
        <v/>
      </c>
      <c r="AX350" s="518" t="str">
        <f>IF(AND(_3="A-330-900",'2026'!$M$4="CA",'2026'!$M$2=AX347),'2026DATA'!$G$5,"")</f>
        <v/>
      </c>
      <c r="AY350" s="518" t="str">
        <f>IF(AND(_3="A-330-900",'2026'!$M$4="CA",'2026'!$M$2=AY347),'2026DATA'!$H$5,"")</f>
        <v/>
      </c>
      <c r="AZ350" s="518" t="str">
        <f>IF(AND(_3="A-330-900",'2026'!$M$4="CA",'2026'!$M$2=AZ347),'2026DATA'!$I$5,"")</f>
        <v/>
      </c>
      <c r="BA350" s="518" t="str">
        <f>IF(AND(_3="A-330-900",'2026'!$M$4="CA",'2026'!$M$2=BA347),'2026DATA'!$J$5,"")</f>
        <v/>
      </c>
      <c r="BB350" s="518" t="str">
        <f>IF(AND(_3="A-330-900",'2026'!$M$4="CA",'2026'!$M$2=BB347),'2026DATA'!$K$5,"")</f>
        <v/>
      </c>
      <c r="BC350" s="518" t="str">
        <f>IF(AND(_3="A-330-900",'2026'!$M$4="CA",'2026'!$M$2=BC347),'2026DATA'!$L$5,"")</f>
        <v/>
      </c>
      <c r="BD350" s="518" t="str">
        <f>IF(AND(_3="A-330-900",'2026'!$M$4="CA",'2026'!$M$2=BD347),'2026DATA'!$M$5,"")</f>
        <v/>
      </c>
      <c r="BE350" s="520" t="str">
        <f>IF(AND(_3="A-330-900",'2026'!$M$4="CA",'2026'!$M$2=BE347),'2026DATA'!$N$5,"")</f>
        <v/>
      </c>
      <c r="BF350" s="940" t="s">
        <v>65</v>
      </c>
      <c r="BG350" s="13" t="s">
        <v>61</v>
      </c>
      <c r="BH350" s="518" t="str">
        <f>IF(AND(_4="A-330-900",'2026'!$M$4="CA",'2026'!$M$2=BH347),'2026DATA'!$C$5,"")</f>
        <v/>
      </c>
      <c r="BI350" s="518" t="str">
        <f>IF(AND(_4="A-330-900",'2026'!$M$4="CA",'2026'!$M$2=BI347),'2026DATA'!$D$5,"")</f>
        <v/>
      </c>
      <c r="BJ350" s="518" t="str">
        <f>IF(AND(_4="A-330-900",'2026'!$M$4="CA",'2026'!$M$2=BJ347),'2026DATA'!$E$5,"")</f>
        <v/>
      </c>
      <c r="BK350" s="518" t="str">
        <f>IF(AND(_4="A-330-900",'2026'!$M$4="CA",'2026'!$M$2=BK347),'2026DATA'!$F$5,"")</f>
        <v/>
      </c>
      <c r="BL350" s="518" t="str">
        <f>IF(AND(_4="A-330-900",'2026'!$M$4="CA",'2026'!$M$2=BL347),'2026DATA'!$G$5,"")</f>
        <v/>
      </c>
      <c r="BM350" s="518" t="str">
        <f>IF(AND(_4="A-330-900",'2026'!$M$4="CA",'2026'!$M$2=BM347),'2026DATA'!$H$5,"")</f>
        <v/>
      </c>
      <c r="BN350" s="518" t="str">
        <f>IF(AND(_4="A-330-900",'2026'!$M$4="CA",'2026'!$M$2=BN347),'2026DATA'!$I$5,"")</f>
        <v/>
      </c>
      <c r="BO350" s="518" t="str">
        <f>IF(AND(_4="A-330-900",'2026'!$M$4="CA",'2026'!$M$2=BO347),'2026DATA'!$J$5,"")</f>
        <v/>
      </c>
      <c r="BP350" s="518" t="str">
        <f>IF(AND(_4="A-330-900",'2026'!$M$4="CA",'2026'!$M$2=BP347),'2026DATA'!$K$5,"")</f>
        <v/>
      </c>
      <c r="BQ350" s="518" t="str">
        <f>IF(AND(_4="A-330-900",'2026'!$M$4="CA",'2026'!$M$2=BQ347),'2026DATA'!$L$5,"")</f>
        <v/>
      </c>
      <c r="BR350" s="518" t="str">
        <f>IF(AND(_4="A-330-900",'2026'!$M$4="CA",'2026'!$M$2=BR347),'2026DATA'!$M$5,"")</f>
        <v/>
      </c>
      <c r="BS350" s="520" t="str">
        <f>IF(AND(_4="A-330-900",'2026'!$M$4="CA",'2026'!$M$2=BS347),'2026DATA'!$N$5,"")</f>
        <v/>
      </c>
      <c r="BT350" s="940" t="s">
        <v>65</v>
      </c>
      <c r="BU350" s="13" t="s">
        <v>61</v>
      </c>
      <c r="BV350" s="518" t="str">
        <f>IF(AND(_5="A-330-900",'2026'!$M$4="CA",'2026'!$M$2=BV347),'2026DATA'!$C$5,"")</f>
        <v/>
      </c>
      <c r="BW350" s="518" t="str">
        <f>IF(AND(_5="A-330-900",'2026'!$M$4="CA",'2026'!$M$2=BW347),'2026DATA'!$D$5,"")</f>
        <v/>
      </c>
      <c r="BX350" s="518" t="str">
        <f>IF(AND(_5="A-330-900",'2026'!$M$4="CA",'2026'!$M$2=BX347),'2026DATA'!$E$5,"")</f>
        <v/>
      </c>
      <c r="BY350" s="518" t="str">
        <f>IF(AND(_5="A-330-900",'2026'!$M$4="CA",'2026'!$M$2=BY347),'2026DATA'!$F$5,"")</f>
        <v/>
      </c>
      <c r="BZ350" s="518" t="str">
        <f>IF(AND(_5="A-330-900",'2026'!$M$4="CA",'2026'!$M$2=BZ347),'2026DATA'!$G$5,"")</f>
        <v/>
      </c>
      <c r="CA350" s="518" t="str">
        <f>IF(AND(_5="A-330-900",'2026'!$M$4="CA",'2026'!$M$2=CA347),'2026DATA'!$H$5,"")</f>
        <v/>
      </c>
      <c r="CB350" s="518" t="str">
        <f>IF(AND(_5="A-330-900",'2026'!$M$4="CA",'2026'!$M$2=CB347),'2026DATA'!$I$5,"")</f>
        <v/>
      </c>
      <c r="CC350" s="518" t="str">
        <f>IF(AND(_5="A-330-900",'2026'!$M$4="CA",'2026'!$M$2=CC347),'2026DATA'!$J$5,"")</f>
        <v/>
      </c>
      <c r="CD350" s="518" t="str">
        <f>IF(AND(_5="A-330-900",'2026'!$M$4="CA",'2026'!$M$2=CD347),'2026DATA'!$K$5,"")</f>
        <v/>
      </c>
      <c r="CE350" s="518" t="str">
        <f>IF(AND(_5="A-330-900",'2026'!$M$4="CA",'2026'!$M$2=CE347),'2026DATA'!$L$5,"")</f>
        <v/>
      </c>
      <c r="CF350" s="518" t="str">
        <f>IF(AND(_5="A-330-900",'2026'!$M$4="CA",'2026'!$M$2=CF347),'2026DATA'!$M$5,"")</f>
        <v/>
      </c>
      <c r="CG350" s="520" t="str">
        <f>IF(AND(_5="A-330-900",'2026'!$M$4="CA",'2026'!$M$2=CG347),'2026DATA'!$N$5,"")</f>
        <v/>
      </c>
      <c r="CH350" s="940" t="s">
        <v>65</v>
      </c>
      <c r="CI350" s="13" t="s">
        <v>61</v>
      </c>
      <c r="CJ350" s="518" t="str">
        <f>IF(AND(_6="A-330-900",'2026'!$M$4="CA",'2026'!$M$2=CJ347),'2026DATA'!$C$5,"")</f>
        <v/>
      </c>
      <c r="CK350" s="518" t="str">
        <f>IF(AND(_6="A-330-900",'2026'!$M$4="CA",'2026'!$M$2=CK347),'2026DATA'!$D$5,"")</f>
        <v/>
      </c>
      <c r="CL350" s="518" t="str">
        <f>IF(AND(_6="A-330-900",'2026'!$M$4="CA",'2026'!$M$2=CL347),'2026DATA'!$E$5,"")</f>
        <v/>
      </c>
      <c r="CM350" s="518" t="str">
        <f>IF(AND(_6="A-330-900",'2026'!$M$4="CA",'2026'!$M$2=CM347),'2026DATA'!$F$5,"")</f>
        <v/>
      </c>
      <c r="CN350" s="518" t="str">
        <f>IF(AND(_6="A-330-900",'2026'!$M$4="CA",'2026'!$M$2=CN347),'2026DATA'!$G$5,"")</f>
        <v/>
      </c>
      <c r="CO350" s="518" t="str">
        <f>IF(AND(_6="A-330-900",'2026'!$M$4="CA",'2026'!$M$2=CO347),'2026DATA'!$H$5,"")</f>
        <v/>
      </c>
      <c r="CP350" s="518" t="str">
        <f>IF(AND(_6="A-330-900",'2026'!$M$4="CA",'2026'!$M$2=CP347),'2026DATA'!$I$5,"")</f>
        <v/>
      </c>
      <c r="CQ350" s="518" t="str">
        <f>IF(AND(_6="A-330-900",'2026'!$M$4="CA",'2026'!$M$2=CQ347),'2026DATA'!$J$5,"")</f>
        <v/>
      </c>
      <c r="CR350" s="518" t="str">
        <f>IF(AND(_6="A-330-900",'2026'!$M$4="CA",'2026'!$M$2=CR347),'2026DATA'!$K$5,"")</f>
        <v/>
      </c>
      <c r="CS350" s="518" t="str">
        <f>IF(AND(_6="A-330-900",'2026'!$M$4="CA",'2026'!$M$2=CS347),'2026DATA'!$L$5,"")</f>
        <v/>
      </c>
      <c r="CT350" s="518" t="str">
        <f>IF(AND(_6="A-330-900",'2026'!$M$4="CA",'2026'!$M$2=CT347),'2026DATA'!$M$5,"")</f>
        <v/>
      </c>
      <c r="CU350" s="520" t="str">
        <f>IF(AND(_6="A-330-900",'2026'!$M$4="CA",'2026'!$M$2=CU347),'2026DATA'!$N$5,"")</f>
        <v/>
      </c>
    </row>
    <row r="351" spans="16:99" x14ac:dyDescent="0.25">
      <c r="P351" s="940"/>
      <c r="Q351" s="13" t="s">
        <v>62</v>
      </c>
      <c r="R351" s="518" t="str">
        <f>IF(AND(_1="A-330-900",'2026'!$M$4="FO",'2026'!$M$2=R347),'2026DATA'!$C$6,"")</f>
        <v/>
      </c>
      <c r="S351" s="518" t="str">
        <f>IF(AND(_1="A-330-900",'2026'!$M$4="FO",'2026'!$M$2=S347),'2026DATA'!$D$6,"")</f>
        <v/>
      </c>
      <c r="T351" s="518" t="str">
        <f>IF(AND(_1="A-330-900",'2026'!$M$4="FO",'2026'!$M$2=T347),'2026DATA'!$E$6,"")</f>
        <v/>
      </c>
      <c r="U351" s="518" t="str">
        <f>IF(AND(_1="A-330-900",'2026'!$M$4="FO",'2026'!$M$2=U347),'2026DATA'!$F$6,"")</f>
        <v/>
      </c>
      <c r="V351" s="518" t="str">
        <f>IF(AND(_1="A-330-900",'2026'!$M$4="FO",'2026'!$M$2=V347),'2026DATA'!$G$6,"")</f>
        <v/>
      </c>
      <c r="W351" s="518" t="str">
        <f>IF(AND(_1="A-330-900",'2026'!$M$4="FO",'2026'!$M$2=W347),'2026DATA'!$H$6,"")</f>
        <v/>
      </c>
      <c r="X351" s="518" t="str">
        <f>IF(AND(_1="A-330-900",'2026'!$M$4="FO",'2026'!$M$2=X347),'2026DATA'!$I$6,"")</f>
        <v/>
      </c>
      <c r="Y351" s="518" t="str">
        <f>IF(AND(_1="A-330-900",'2026'!$M$4="FO",'2026'!$M$2=Y347),'2026DATA'!$J$6,"")</f>
        <v/>
      </c>
      <c r="Z351" s="518" t="str">
        <f>IF(AND(_1="A-330-900",'2026'!$M$4="FO",'2026'!$M$2=Z347),'2026DATA'!$K$6,"")</f>
        <v/>
      </c>
      <c r="AA351" s="518" t="str">
        <f>IF(AND(_1="A-330-900",'2026'!$M$4="FO",'2026'!$M$2=AA347),'2026DATA'!$L$6,"")</f>
        <v/>
      </c>
      <c r="AB351" s="518" t="str">
        <f>IF(AND(_1="A-330-900",'2026'!$M$4="FO",'2026'!$M$2=AB347),'2026DATA'!$M$6,"")</f>
        <v/>
      </c>
      <c r="AC351" s="520" t="str">
        <f>IF(AND(_1="A-330-900",'2026'!$M$4="FO",'2026'!$M$2=AC347),'2026DATA'!$N$6,"")</f>
        <v/>
      </c>
      <c r="AD351" s="940"/>
      <c r="AE351" s="13" t="s">
        <v>62</v>
      </c>
      <c r="AF351" s="518" t="str">
        <f>IF(AND(_2="A-330-900",'2026'!$M$4="FO",'2026'!$M$2=AF347),'2026DATA'!$C$6,"")</f>
        <v/>
      </c>
      <c r="AG351" s="518" t="str">
        <f>IF(AND(_2="A-330-900",'2026'!$M$4="FO",'2026'!$M$2=AG347),'2026DATA'!$D$6,"")</f>
        <v/>
      </c>
      <c r="AH351" s="518" t="str">
        <f>IF(AND(_2="A-330-900",'2026'!$M$4="FO",'2026'!$M$2=AH347),'2026DATA'!$E$6,"")</f>
        <v/>
      </c>
      <c r="AI351" s="518" t="str">
        <f>IF(AND(_2="A-330-900",'2026'!$M$4="FO",'2026'!$M$2=AI347),'2026DATA'!$F$6,"")</f>
        <v/>
      </c>
      <c r="AJ351" s="518" t="str">
        <f>IF(AND(_2="A-330-900",'2026'!$M$4="FO",'2026'!$M$2=AJ347),'2026DATA'!$G$6,"")</f>
        <v/>
      </c>
      <c r="AK351" s="518" t="str">
        <f>IF(AND(_2="A-330-900",'2026'!$M$4="FO",'2026'!$M$2=AK347),'2026DATA'!$H$6,"")</f>
        <v/>
      </c>
      <c r="AL351" s="518" t="str">
        <f>IF(AND(_2="A-330-900",'2026'!$M$4="FO",'2026'!$M$2=AL347),'2026DATA'!$I$6,"")</f>
        <v/>
      </c>
      <c r="AM351" s="518" t="str">
        <f>IF(AND(_2="A-330-900",'2026'!$M$4="FO",'2026'!$M$2=AM347),'2026DATA'!$J$6,"")</f>
        <v/>
      </c>
      <c r="AN351" s="518" t="str">
        <f>IF(AND(_2="A-330-900",'2026'!$M$4="FO",'2026'!$M$2=AN347),'2026DATA'!$K$6,"")</f>
        <v/>
      </c>
      <c r="AO351" s="518" t="str">
        <f>IF(AND(_2="A-330-900",'2026'!$M$4="FO",'2026'!$M$2=AO347),'2026DATA'!$L$6,"")</f>
        <v/>
      </c>
      <c r="AP351" s="518" t="str">
        <f>IF(AND(_2="A-330-900",'2026'!$M$4="FO",'2026'!$M$2=AP347),'2026DATA'!$M$6,"")</f>
        <v/>
      </c>
      <c r="AQ351" s="520" t="str">
        <f>IF(AND(_2="A-330-900",'2026'!$M$4="FO",'2026'!$M$2=AQ347),'2026DATA'!$N$6,"")</f>
        <v/>
      </c>
      <c r="AR351" s="940"/>
      <c r="AS351" s="13" t="s">
        <v>62</v>
      </c>
      <c r="AT351" s="518" t="str">
        <f>IF(AND(_3="A-330-900",'2026'!$M$4="FO",'2026'!$M$2=AT347),'2026DATA'!$C$6,"")</f>
        <v/>
      </c>
      <c r="AU351" s="518" t="str">
        <f>IF(AND(_3="A-330-900",'2026'!$M$4="FO",'2026'!$M$2=AU347),'2026DATA'!$D$6,"")</f>
        <v/>
      </c>
      <c r="AV351" s="518" t="str">
        <f>IF(AND(_3="A-330-900",'2026'!$M$4="FO",'2026'!$M$2=AV347),'2026DATA'!$E$6,"")</f>
        <v/>
      </c>
      <c r="AW351" s="518" t="str">
        <f>IF(AND(_3="A-330-900",'2026'!$M$4="FO",'2026'!$M$2=AW347),'2026DATA'!$F$6,"")</f>
        <v/>
      </c>
      <c r="AX351" s="518" t="str">
        <f>IF(AND(_3="A-330-900",'2026'!$M$4="FO",'2026'!$M$2=AX347),'2026DATA'!$G$6,"")</f>
        <v/>
      </c>
      <c r="AY351" s="518" t="str">
        <f>IF(AND(_3="A-330-900",'2026'!$M$4="FO",'2026'!$M$2=AY347),'2026DATA'!$H$6,"")</f>
        <v/>
      </c>
      <c r="AZ351" s="518" t="str">
        <f>IF(AND(_3="A-330-900",'2026'!$M$4="FO",'2026'!$M$2=AZ347),'2026DATA'!$I$6,"")</f>
        <v/>
      </c>
      <c r="BA351" s="518" t="str">
        <f>IF(AND(_3="A-330-900",'2026'!$M$4="FO",'2026'!$M$2=BA347),'2026DATA'!$J$6,"")</f>
        <v/>
      </c>
      <c r="BB351" s="518" t="str">
        <f>IF(AND(_3="A-330-900",'2026'!$M$4="FO",'2026'!$M$2=BB347),'2026DATA'!$K$6,"")</f>
        <v/>
      </c>
      <c r="BC351" s="518" t="str">
        <f>IF(AND(_3="A-330-900",'2026'!$M$4="FO",'2026'!$M$2=BC347),'2026DATA'!$L$6,"")</f>
        <v/>
      </c>
      <c r="BD351" s="518" t="str">
        <f>IF(AND(_3="A-330-900",'2026'!$M$4="FO",'2026'!$M$2=BD347),'2026DATA'!$M$6,"")</f>
        <v/>
      </c>
      <c r="BE351" s="520" t="str">
        <f>IF(AND(_3="A-330-900",'2026'!$M$4="FO",'2026'!$M$2=BE347),'2026DATA'!$N$6,"")</f>
        <v/>
      </c>
      <c r="BF351" s="940"/>
      <c r="BG351" s="13" t="s">
        <v>62</v>
      </c>
      <c r="BH351" s="518" t="str">
        <f>IF(AND(_4="A-330-900",'2026'!$M$4="FO",'2026'!$M$2=BH347),'2026DATA'!$C$6,"")</f>
        <v/>
      </c>
      <c r="BI351" s="518" t="str">
        <f>IF(AND(_4="A-330-900",'2026'!$M$4="FO",'2026'!$M$2=BI347),'2026DATA'!$D$6,"")</f>
        <v/>
      </c>
      <c r="BJ351" s="518" t="str">
        <f>IF(AND(_4="A-330-900",'2026'!$M$4="FO",'2026'!$M$2=BJ347),'2026DATA'!$E$6,"")</f>
        <v/>
      </c>
      <c r="BK351" s="518" t="str">
        <f>IF(AND(_4="A-330-900",'2026'!$M$4="FO",'2026'!$M$2=BK347),'2026DATA'!$F$6,"")</f>
        <v/>
      </c>
      <c r="BL351" s="518" t="str">
        <f>IF(AND(_4="A-330-900",'2026'!$M$4="FO",'2026'!$M$2=BL347),'2026DATA'!$G$6,"")</f>
        <v/>
      </c>
      <c r="BM351" s="518" t="str">
        <f>IF(AND(_4="A-330-900",'2026'!$M$4="FO",'2026'!$M$2=BM347),'2026DATA'!$H$6,"")</f>
        <v/>
      </c>
      <c r="BN351" s="518" t="str">
        <f>IF(AND(_4="A-330-900",'2026'!$M$4="FO",'2026'!$M$2=BN347),'2026DATA'!$I$6,"")</f>
        <v/>
      </c>
      <c r="BO351" s="518" t="str">
        <f>IF(AND(_4="A-330-900",'2026'!$M$4="FO",'2026'!$M$2=BO347),'2026DATA'!$J$6,"")</f>
        <v/>
      </c>
      <c r="BP351" s="518" t="str">
        <f>IF(AND(_4="A-330-900",'2026'!$M$4="FO",'2026'!$M$2=BP347),'2026DATA'!$K$6,"")</f>
        <v/>
      </c>
      <c r="BQ351" s="518" t="str">
        <f>IF(AND(_4="A-330-900",'2026'!$M$4="FO",'2026'!$M$2=BQ347),'2026DATA'!$L$6,"")</f>
        <v/>
      </c>
      <c r="BR351" s="518" t="str">
        <f>IF(AND(_4="A-330-900",'2026'!$M$4="FO",'2026'!$M$2=BR347),'2026DATA'!$M$6,"")</f>
        <v/>
      </c>
      <c r="BS351" s="520" t="str">
        <f>IF(AND(_4="A-330-900",'2026'!$M$4="FO",'2026'!$M$2=BS347),'2026DATA'!$N$6,"")</f>
        <v/>
      </c>
      <c r="BT351" s="940"/>
      <c r="BU351" s="13" t="s">
        <v>62</v>
      </c>
      <c r="BV351" s="518" t="str">
        <f>IF(AND(_5="A-330-900",'2026'!$M$4="FO",'2026'!$M$2=BV347),'2026DATA'!$C$6,"")</f>
        <v/>
      </c>
      <c r="BW351" s="518" t="str">
        <f>IF(AND(_5="A-330-900",'2026'!$M$4="FO",'2026'!$M$2=BW347),'2026DATA'!$D$6,"")</f>
        <v/>
      </c>
      <c r="BX351" s="518" t="str">
        <f>IF(AND(_5="A-330-900",'2026'!$M$4="FO",'2026'!$M$2=BX347),'2026DATA'!$E$6,"")</f>
        <v/>
      </c>
      <c r="BY351" s="518" t="str">
        <f>IF(AND(_5="A-330-900",'2026'!$M$4="FO",'2026'!$M$2=BY347),'2026DATA'!$F$6,"")</f>
        <v/>
      </c>
      <c r="BZ351" s="518" t="str">
        <f>IF(AND(_5="A-330-900",'2026'!$M$4="FO",'2026'!$M$2=BZ347),'2026DATA'!$G$6,"")</f>
        <v/>
      </c>
      <c r="CA351" s="518" t="str">
        <f>IF(AND(_5="A-330-900",'2026'!$M$4="FO",'2026'!$M$2=CA347),'2026DATA'!$H$6,"")</f>
        <v/>
      </c>
      <c r="CB351" s="518" t="str">
        <f>IF(AND(_5="A-330-900",'2026'!$M$4="FO",'2026'!$M$2=CB347),'2026DATA'!$I$6,"")</f>
        <v/>
      </c>
      <c r="CC351" s="518" t="str">
        <f>IF(AND(_5="A-330-900",'2026'!$M$4="FO",'2026'!$M$2=CC347),'2026DATA'!$J$6,"")</f>
        <v/>
      </c>
      <c r="CD351" s="518" t="str">
        <f>IF(AND(_5="A-330-900",'2026'!$M$4="FO",'2026'!$M$2=CD347),'2026DATA'!$K$6,"")</f>
        <v/>
      </c>
      <c r="CE351" s="518" t="str">
        <f>IF(AND(_5="A-330-900",'2026'!$M$4="FO",'2026'!$M$2=CE347),'2026DATA'!$L$6,"")</f>
        <v/>
      </c>
      <c r="CF351" s="518" t="str">
        <f>IF(AND(_5="A-330-900",'2026'!$M$4="FO",'2026'!$M$2=CF347),'2026DATA'!$M$6,"")</f>
        <v/>
      </c>
      <c r="CG351" s="520" t="str">
        <f>IF(AND(_5="A-330-900",'2026'!$M$4="FO",'2026'!$M$2=CG347),'2026DATA'!$N$6,"")</f>
        <v/>
      </c>
      <c r="CH351" s="940"/>
      <c r="CI351" s="13" t="s">
        <v>62</v>
      </c>
      <c r="CJ351" s="518" t="str">
        <f>IF(AND(_6="A-330-900",'2026'!$M$4="FO",'2026'!$M$2=CJ347),'2026DATA'!$C$6,"")</f>
        <v/>
      </c>
      <c r="CK351" s="518" t="str">
        <f>IF(AND(_6="A-330-900",'2026'!$M$4="FO",'2026'!$M$2=CK347),'2026DATA'!$D$6,"")</f>
        <v/>
      </c>
      <c r="CL351" s="518" t="str">
        <f>IF(AND(_6="A-330-900",'2026'!$M$4="FO",'2026'!$M$2=CL347),'2026DATA'!$E$6,"")</f>
        <v/>
      </c>
      <c r="CM351" s="518" t="str">
        <f>IF(AND(_6="A-330-900",'2026'!$M$4="FO",'2026'!$M$2=CM347),'2026DATA'!$F$6,"")</f>
        <v/>
      </c>
      <c r="CN351" s="518" t="str">
        <f>IF(AND(_6="A-330-900",'2026'!$M$4="FO",'2026'!$M$2=CN347),'2026DATA'!$G$6,"")</f>
        <v/>
      </c>
      <c r="CO351" s="518" t="str">
        <f>IF(AND(_6="A-330-900",'2026'!$M$4="FO",'2026'!$M$2=CO347),'2026DATA'!$H$6,"")</f>
        <v/>
      </c>
      <c r="CP351" s="518" t="str">
        <f>IF(AND(_6="A-330-900",'2026'!$M$4="FO",'2026'!$M$2=CP347),'2026DATA'!$I$6,"")</f>
        <v/>
      </c>
      <c r="CQ351" s="518" t="str">
        <f>IF(AND(_6="A-330-900",'2026'!$M$4="FO",'2026'!$M$2=CQ347),'2026DATA'!$J$6,"")</f>
        <v/>
      </c>
      <c r="CR351" s="518" t="str">
        <f>IF(AND(_6="A-330-900",'2026'!$M$4="FO",'2026'!$M$2=CR347),'2026DATA'!$K$6,"")</f>
        <v/>
      </c>
      <c r="CS351" s="518" t="str">
        <f>IF(AND(_6="A-330-900",'2026'!$M$4="FO",'2026'!$M$2=CS347),'2026DATA'!$L$6,"")</f>
        <v/>
      </c>
      <c r="CT351" s="518" t="str">
        <f>IF(AND(_6="A-330-900",'2026'!$M$4="FO",'2026'!$M$2=CT347),'2026DATA'!$M$6,"")</f>
        <v/>
      </c>
      <c r="CU351" s="520" t="str">
        <f>IF(AND(_6="A-330-900",'2026'!$M$4="FO",'2026'!$M$2=CU347),'2026DATA'!$N$6,"")</f>
        <v/>
      </c>
    </row>
    <row r="352" spans="16:99" x14ac:dyDescent="0.25">
      <c r="P352" s="940" t="s">
        <v>64</v>
      </c>
      <c r="Q352" s="13" t="s">
        <v>61</v>
      </c>
      <c r="R352" s="518" t="str">
        <f>IF(AND(_1="A-330-300",'2026'!$M$4="CA",'2026'!$M$2=R347),'2026DATA'!$C$7,"")</f>
        <v/>
      </c>
      <c r="S352" s="518" t="str">
        <f>IF(AND(_1="A-330-300",'2026'!$M$4="CA",'2026'!$M$2=S347),'2026DATA'!$D$7,"")</f>
        <v/>
      </c>
      <c r="T352" s="518" t="str">
        <f>IF(AND(_1="A-330-300",'2026'!$M$4="CA",'2026'!$M$2=T347),'2026DATA'!$E$7,"")</f>
        <v/>
      </c>
      <c r="U352" s="518" t="str">
        <f>IF(AND(_1="A-330-300",'2026'!$M$4="CA",'2026'!$M$2=U347),'2026DATA'!$F$7,"")</f>
        <v/>
      </c>
      <c r="V352" s="518" t="str">
        <f>IF(AND(_1="A-330-300",'2026'!$M$4="CA",'2026'!$M$2=V347),'2026DATA'!$G$7,"")</f>
        <v/>
      </c>
      <c r="W352" s="518" t="str">
        <f>IF(AND(_1="A-330-300",'2026'!$M$4="CA",'2026'!$M$2=W347),'2026DATA'!$H$7,"")</f>
        <v/>
      </c>
      <c r="X352" s="518" t="str">
        <f>IF(AND(_1="A-330-300",'2026'!$M$4="CA",'2026'!$M$2=X347),'2026DATA'!$I$7,"")</f>
        <v/>
      </c>
      <c r="Y352" s="518" t="str">
        <f>IF(AND(_1="A-330-300",'2026'!$M$4="CA",'2026'!$M$2=Y347),'2026DATA'!$J$7,"")</f>
        <v/>
      </c>
      <c r="Z352" s="518" t="str">
        <f>IF(AND(_1="A-330-300",'2026'!$M$4="CA",'2026'!$M$2=Z347),'2026DATA'!$K$7,"")</f>
        <v/>
      </c>
      <c r="AA352" s="518" t="str">
        <f>IF(AND(_1="A-330-300",'2026'!$M$4="CA",'2026'!$M$2=AA347),'2026DATA'!$L$7,"")</f>
        <v/>
      </c>
      <c r="AB352" s="518" t="str">
        <f>IF(AND(_1="A-330-300",'2026'!$M$4="CA",'2026'!$M$2=AB347),'2026DATA'!$M$7,"")</f>
        <v/>
      </c>
      <c r="AC352" s="520" t="str">
        <f>IF(AND(_1="A-330-300",'2026'!$M$4="CA",'2026'!$M$2=AC347),'2026DATA'!$N$7,"")</f>
        <v/>
      </c>
      <c r="AD352" s="940" t="s">
        <v>64</v>
      </c>
      <c r="AE352" s="13" t="s">
        <v>61</v>
      </c>
      <c r="AF352" s="518" t="str">
        <f>IF(AND(_2="A-330-300",'2026'!$M$4="CA",'2026'!$M$2=AF347),'2026DATA'!$C$7,"")</f>
        <v/>
      </c>
      <c r="AG352" s="518" t="str">
        <f>IF(AND(_2="A-330-300",'2026'!$M$4="CA",'2026'!$M$2=AG347),'2026DATA'!$D$7,"")</f>
        <v/>
      </c>
      <c r="AH352" s="518" t="str">
        <f>IF(AND(_2="A-330-300",'2026'!$M$4="CA",'2026'!$M$2=AH347),'2026DATA'!$E$7,"")</f>
        <v/>
      </c>
      <c r="AI352" s="518" t="str">
        <f>IF(AND(_2="A-330-300",'2026'!$M$4="CA",'2026'!$M$2=AI347),'2026DATA'!$F$7,"")</f>
        <v/>
      </c>
      <c r="AJ352" s="518" t="str">
        <f>IF(AND(_2="A-330-300",'2026'!$M$4="CA",'2026'!$M$2=AJ347),'2026DATA'!$G$7,"")</f>
        <v/>
      </c>
      <c r="AK352" s="518" t="str">
        <f>IF(AND(_2="A-330-300",'2026'!$M$4="CA",'2026'!$M$2=AK347),'2026DATA'!$H$7,"")</f>
        <v/>
      </c>
      <c r="AL352" s="518" t="str">
        <f>IF(AND(_2="A-330-300",'2026'!$M$4="CA",'2026'!$M$2=AL347),'2026DATA'!$I$7,"")</f>
        <v/>
      </c>
      <c r="AM352" s="518" t="str">
        <f>IF(AND(_2="A-330-300",'2026'!$M$4="CA",'2026'!$M$2=AM347),'2026DATA'!$J$7,"")</f>
        <v/>
      </c>
      <c r="AN352" s="518" t="str">
        <f>IF(AND(_2="A-330-300",'2026'!$M$4="CA",'2026'!$M$2=AN347),'2026DATA'!$K$7,"")</f>
        <v/>
      </c>
      <c r="AO352" s="518" t="str">
        <f>IF(AND(_2="A-330-300",'2026'!$M$4="CA",'2026'!$M$2=AO347),'2026DATA'!$L$7,"")</f>
        <v/>
      </c>
      <c r="AP352" s="518" t="str">
        <f>IF(AND(_2="A-330-300",'2026'!$M$4="CA",'2026'!$M$2=AP347),'2026DATA'!$M$7,"")</f>
        <v/>
      </c>
      <c r="AQ352" s="520" t="str">
        <f>IF(AND(_2="A-330-300",'2026'!$M$4="CA",'2026'!$M$2=AQ347),'2026DATA'!$N$7,"")</f>
        <v/>
      </c>
      <c r="AR352" s="940" t="s">
        <v>64</v>
      </c>
      <c r="AS352" s="13" t="s">
        <v>61</v>
      </c>
      <c r="AT352" s="518" t="str">
        <f>IF(AND(_3="A-330-300",'2026'!$M$4="CA",'2026'!$M$2=AT347),'2026DATA'!$C$7,"")</f>
        <v/>
      </c>
      <c r="AU352" s="518" t="str">
        <f>IF(AND(_3="A-330-300",'2026'!$M$4="CA",'2026'!$M$2=AU347),'2026DATA'!$D$7,"")</f>
        <v/>
      </c>
      <c r="AV352" s="518" t="str">
        <f>IF(AND(_3="A-330-300",'2026'!$M$4="CA",'2026'!$M$2=AV347),'2026DATA'!$E$7,"")</f>
        <v/>
      </c>
      <c r="AW352" s="518" t="str">
        <f>IF(AND(_3="A-330-300",'2026'!$M$4="CA",'2026'!$M$2=AW347),'2026DATA'!$F$7,"")</f>
        <v/>
      </c>
      <c r="AX352" s="518" t="str">
        <f>IF(AND(_3="A-330-300",'2026'!$M$4="CA",'2026'!$M$2=AX347),'2026DATA'!$G$7,"")</f>
        <v/>
      </c>
      <c r="AY352" s="518" t="str">
        <f>IF(AND(_3="A-330-300",'2026'!$M$4="CA",'2026'!$M$2=AY347),'2026DATA'!$H$7,"")</f>
        <v/>
      </c>
      <c r="AZ352" s="518" t="str">
        <f>IF(AND(_3="A-330-300",'2026'!$M$4="CA",'2026'!$M$2=AZ347),'2026DATA'!$I$7,"")</f>
        <v/>
      </c>
      <c r="BA352" s="518" t="str">
        <f>IF(AND(_3="A-330-300",'2026'!$M$4="CA",'2026'!$M$2=BA347),'2026DATA'!$J$7,"")</f>
        <v/>
      </c>
      <c r="BB352" s="518" t="str">
        <f>IF(AND(_3="A-330-300",'2026'!$M$4="CA",'2026'!$M$2=BB347),'2026DATA'!$K$7,"")</f>
        <v/>
      </c>
      <c r="BC352" s="518" t="str">
        <f>IF(AND(_3="A-330-300",'2026'!$M$4="CA",'2026'!$M$2=BC347),'2026DATA'!$L$7,"")</f>
        <v/>
      </c>
      <c r="BD352" s="518" t="str">
        <f>IF(AND(_3="A-330-300",'2026'!$M$4="CA",'2026'!$M$2=BD347),'2026DATA'!$M$7,"")</f>
        <v/>
      </c>
      <c r="BE352" s="520" t="str">
        <f>IF(AND(_3="A-330-300",'2026'!$M$4="CA",'2026'!$M$2=BE347),'2026DATA'!$N$7,"")</f>
        <v/>
      </c>
      <c r="BF352" s="940" t="s">
        <v>64</v>
      </c>
      <c r="BG352" s="13" t="s">
        <v>61</v>
      </c>
      <c r="BH352" s="518" t="str">
        <f>IF(AND(_4="A-330-300",'2026'!$M$4="CA",'2026'!$M$2=BH347),'2026DATA'!$C$7,"")</f>
        <v/>
      </c>
      <c r="BI352" s="518" t="str">
        <f>IF(AND(_4="A-330-300",'2026'!$M$4="CA",'2026'!$M$2=BI347),'2026DATA'!$D$7,"")</f>
        <v/>
      </c>
      <c r="BJ352" s="518" t="str">
        <f>IF(AND(_4="A-330-300",'2026'!$M$4="CA",'2026'!$M$2=BJ347),'2026DATA'!$E$7,"")</f>
        <v/>
      </c>
      <c r="BK352" s="518" t="str">
        <f>IF(AND(_4="A-330-300",'2026'!$M$4="CA",'2026'!$M$2=BK347),'2026DATA'!$F$7,"")</f>
        <v/>
      </c>
      <c r="BL352" s="518" t="str">
        <f>IF(AND(_4="A-330-300",'2026'!$M$4="CA",'2026'!$M$2=BL347),'2026DATA'!$G$7,"")</f>
        <v/>
      </c>
      <c r="BM352" s="518" t="str">
        <f>IF(AND(_4="A-330-300",'2026'!$M$4="CA",'2026'!$M$2=BM347),'2026DATA'!$H$7,"")</f>
        <v/>
      </c>
      <c r="BN352" s="518" t="str">
        <f>IF(AND(_4="A-330-300",'2026'!$M$4="CA",'2026'!$M$2=BN347),'2026DATA'!$I$7,"")</f>
        <v/>
      </c>
      <c r="BO352" s="518" t="str">
        <f>IF(AND(_4="A-330-300",'2026'!$M$4="CA",'2026'!$M$2=BO347),'2026DATA'!$J$7,"")</f>
        <v/>
      </c>
      <c r="BP352" s="518" t="str">
        <f>IF(AND(_4="A-330-300",'2026'!$M$4="CA",'2026'!$M$2=BP347),'2026DATA'!$K$7,"")</f>
        <v/>
      </c>
      <c r="BQ352" s="518" t="str">
        <f>IF(AND(_4="A-330-300",'2026'!$M$4="CA",'2026'!$M$2=BQ347),'2026DATA'!$L$7,"")</f>
        <v/>
      </c>
      <c r="BR352" s="518" t="str">
        <f>IF(AND(_4="A-330-300",'2026'!$M$4="CA",'2026'!$M$2=BR347),'2026DATA'!$M$7,"")</f>
        <v/>
      </c>
      <c r="BS352" s="520" t="str">
        <f>IF(AND(_4="A-330-300",'2026'!$M$4="CA",'2026'!$M$2=BS347),'2026DATA'!$N$7,"")</f>
        <v/>
      </c>
      <c r="BT352" s="940" t="s">
        <v>64</v>
      </c>
      <c r="BU352" s="13" t="s">
        <v>61</v>
      </c>
      <c r="BV352" s="518" t="str">
        <f>IF(AND(_5="A-330-300",'2026'!$M$4="CA",'2026'!$M$2=BV347),'2026DATA'!$C$7,"")</f>
        <v/>
      </c>
      <c r="BW352" s="518" t="str">
        <f>IF(AND(_5="A-330-300",'2026'!$M$4="CA",'2026'!$M$2=BW347),'2026DATA'!$D$7,"")</f>
        <v/>
      </c>
      <c r="BX352" s="518" t="str">
        <f>IF(AND(_5="A-330-300",'2026'!$M$4="CA",'2026'!$M$2=BX347),'2026DATA'!$E$7,"")</f>
        <v/>
      </c>
      <c r="BY352" s="518" t="str">
        <f>IF(AND(_5="A-330-300",'2026'!$M$4="CA",'2026'!$M$2=BY347),'2026DATA'!$F$7,"")</f>
        <v/>
      </c>
      <c r="BZ352" s="518" t="str">
        <f>IF(AND(_5="A-330-300",'2026'!$M$4="CA",'2026'!$M$2=BZ347),'2026DATA'!$G$7,"")</f>
        <v/>
      </c>
      <c r="CA352" s="518" t="str">
        <f>IF(AND(_5="A-330-300",'2026'!$M$4="CA",'2026'!$M$2=CA347),'2026DATA'!$H$7,"")</f>
        <v/>
      </c>
      <c r="CB352" s="518" t="str">
        <f>IF(AND(_5="A-330-300",'2026'!$M$4="CA",'2026'!$M$2=CB347),'2026DATA'!$I$7,"")</f>
        <v/>
      </c>
      <c r="CC352" s="518" t="str">
        <f>IF(AND(_5="A-330-300",'2026'!$M$4="CA",'2026'!$M$2=CC347),'2026DATA'!$J$7,"")</f>
        <v/>
      </c>
      <c r="CD352" s="518" t="str">
        <f>IF(AND(_5="A-330-300",'2026'!$M$4="CA",'2026'!$M$2=CD347),'2026DATA'!$K$7,"")</f>
        <v/>
      </c>
      <c r="CE352" s="518" t="str">
        <f>IF(AND(_5="A-330-300",'2026'!$M$4="CA",'2026'!$M$2=CE347),'2026DATA'!$L$7,"")</f>
        <v/>
      </c>
      <c r="CF352" s="518" t="str">
        <f>IF(AND(_5="A-330-300",'2026'!$M$4="CA",'2026'!$M$2=CF347),'2026DATA'!$M$7,"")</f>
        <v/>
      </c>
      <c r="CG352" s="520" t="str">
        <f>IF(AND(_5="A-330-300",'2026'!$M$4="CA",'2026'!$M$2=CG347),'2026DATA'!$N$7,"")</f>
        <v/>
      </c>
      <c r="CH352" s="940" t="s">
        <v>64</v>
      </c>
      <c r="CI352" s="13" t="s">
        <v>61</v>
      </c>
      <c r="CJ352" s="518" t="str">
        <f>IF(AND(_6="A-330-300",'2026'!$M$4="CA",'2026'!$M$2=CJ347),'2026DATA'!$C$7,"")</f>
        <v/>
      </c>
      <c r="CK352" s="518" t="str">
        <f>IF(AND(_6="A-330-300",'2026'!$M$4="CA",'2026'!$M$2=CK347),'2026DATA'!$D$7,"")</f>
        <v/>
      </c>
      <c r="CL352" s="518" t="str">
        <f>IF(AND(_6="A-330-300",'2026'!$M$4="CA",'2026'!$M$2=CL347),'2026DATA'!$E$7,"")</f>
        <v/>
      </c>
      <c r="CM352" s="518" t="str">
        <f>IF(AND(_6="A-330-300",'2026'!$M$4="CA",'2026'!$M$2=CM347),'2026DATA'!$F$7,"")</f>
        <v/>
      </c>
      <c r="CN352" s="518" t="str">
        <f>IF(AND(_6="A-330-300",'2026'!$M$4="CA",'2026'!$M$2=CN347),'2026DATA'!$G$7,"")</f>
        <v/>
      </c>
      <c r="CO352" s="518" t="str">
        <f>IF(AND(_6="A-330-300",'2026'!$M$4="CA",'2026'!$M$2=CO347),'2026DATA'!$H$7,"")</f>
        <v/>
      </c>
      <c r="CP352" s="518" t="str">
        <f>IF(AND(_6="A-330-300",'2026'!$M$4="CA",'2026'!$M$2=CP347),'2026DATA'!$I$7,"")</f>
        <v/>
      </c>
      <c r="CQ352" s="518" t="str">
        <f>IF(AND(_6="A-330-300",'2026'!$M$4="CA",'2026'!$M$2=CQ347),'2026DATA'!$J$7,"")</f>
        <v/>
      </c>
      <c r="CR352" s="518" t="str">
        <f>IF(AND(_6="A-330-300",'2026'!$M$4="CA",'2026'!$M$2=CR347),'2026DATA'!$K$7,"")</f>
        <v/>
      </c>
      <c r="CS352" s="518" t="str">
        <f>IF(AND(_6="A-330-300",'2026'!$M$4="CA",'2026'!$M$2=CS347),'2026DATA'!$L$7,"")</f>
        <v/>
      </c>
      <c r="CT352" s="518" t="str">
        <f>IF(AND(_6="A-330-300",'2026'!$M$4="CA",'2026'!$M$2=CT347),'2026DATA'!$M$7,"")</f>
        <v/>
      </c>
      <c r="CU352" s="520" t="str">
        <f>IF(AND(_6="A-330-300",'2026'!$M$4="CA",'2026'!$M$2=CU347),'2026DATA'!$N$7,"")</f>
        <v/>
      </c>
    </row>
    <row r="353" spans="16:99" x14ac:dyDescent="0.25">
      <c r="P353" s="940"/>
      <c r="Q353" s="13" t="s">
        <v>62</v>
      </c>
      <c r="R353" s="518" t="str">
        <f>IF(AND(_1="A-330-300",'2026'!$M$4="FO",'2026'!$M$2=R347),'2026DATA'!$C$8,"")</f>
        <v/>
      </c>
      <c r="S353" s="518" t="str">
        <f>IF(AND(_1="A-330-300",'2026'!$M$4="FO",'2026'!$M$2=S347),'2026DATA'!$D$8,"")</f>
        <v/>
      </c>
      <c r="T353" s="518" t="str">
        <f>IF(AND(_1="A-330-300",'2026'!$M$4="FO",'2026'!$M$2=T347),'2026DATA'!$E$8,"")</f>
        <v/>
      </c>
      <c r="U353" s="518" t="str">
        <f>IF(AND(_1="A-330-300",'2026'!$M$4="FO",'2026'!$M$2=U347),'2026DATA'!$F$8,"")</f>
        <v/>
      </c>
      <c r="V353" s="518" t="str">
        <f>IF(AND(_1="A-330-300",'2026'!$M$4="FO",'2026'!$M$2=V347),'2026DATA'!$G$8,"")</f>
        <v/>
      </c>
      <c r="W353" s="518" t="str">
        <f>IF(AND(_1="A-330-300",'2026'!$M$4="FO",'2026'!$M$2=W347),'2026DATA'!$H$8,"")</f>
        <v/>
      </c>
      <c r="X353" s="518" t="str">
        <f>IF(AND(_1="A-330-300",'2026'!$M$4="FO",'2026'!$M$2=X347),'2026DATA'!$I$8,"")</f>
        <v/>
      </c>
      <c r="Y353" s="518" t="str">
        <f>IF(AND(_1="A-330-300",'2026'!$M$4="FO",'2026'!$M$2=Y347),'2026DATA'!$J$8,"")</f>
        <v/>
      </c>
      <c r="Z353" s="518" t="str">
        <f>IF(AND(_1="A-330-300",'2026'!$M$4="FO",'2026'!$M$2=Z347),'2026DATA'!$K$8,"")</f>
        <v/>
      </c>
      <c r="AA353" s="518" t="str">
        <f>IF(AND(_1="A-330-300",'2026'!$M$4="FO",'2026'!$M$2=AA347),'2026DATA'!$L$8,"")</f>
        <v/>
      </c>
      <c r="AB353" s="518" t="str">
        <f>IF(AND(_1="A-330-300",'2026'!$M$4="FO",'2026'!$M$2=AB347),'2026DATA'!$M$8,"")</f>
        <v/>
      </c>
      <c r="AC353" s="520" t="str">
        <f>IF(AND(_1="A-330-300",'2026'!$M$4="FO",'2026'!$M$2=AC347),'2026DATA'!$N$8,"")</f>
        <v/>
      </c>
      <c r="AD353" s="940"/>
      <c r="AE353" s="13" t="s">
        <v>62</v>
      </c>
      <c r="AF353" s="518" t="str">
        <f>IF(AND(_2="A-330-300",'2026'!$M$4="FO",'2026'!$M$2=AF347),'2026DATA'!$C$8,"")</f>
        <v/>
      </c>
      <c r="AG353" s="518" t="str">
        <f>IF(AND(_2="A-330-300",'2026'!$M$4="FO",'2026'!$M$2=AG347),'2026DATA'!$D$8,"")</f>
        <v/>
      </c>
      <c r="AH353" s="518" t="str">
        <f>IF(AND(_2="A-330-300",'2026'!$M$4="FO",'2026'!$M$2=AH347),'2026DATA'!$E$8,"")</f>
        <v/>
      </c>
      <c r="AI353" s="518" t="str">
        <f>IF(AND(_2="A-330-300",'2026'!$M$4="FO",'2026'!$M$2=AI347),'2026DATA'!$F$8,"")</f>
        <v/>
      </c>
      <c r="AJ353" s="518" t="str">
        <f>IF(AND(_2="A-330-300",'2026'!$M$4="FO",'2026'!$M$2=AJ347),'2026DATA'!$G$8,"")</f>
        <v/>
      </c>
      <c r="AK353" s="518" t="str">
        <f>IF(AND(_2="A-330-300",'2026'!$M$4="FO",'2026'!$M$2=AK347),'2026DATA'!$H$8,"")</f>
        <v/>
      </c>
      <c r="AL353" s="518" t="str">
        <f>IF(AND(_2="A-330-300",'2026'!$M$4="FO",'2026'!$M$2=AL347),'2026DATA'!$I$8,"")</f>
        <v/>
      </c>
      <c r="AM353" s="518" t="str">
        <f>IF(AND(_2="A-330-300",'2026'!$M$4="FO",'2026'!$M$2=AM347),'2026DATA'!$J$8,"")</f>
        <v/>
      </c>
      <c r="AN353" s="518" t="str">
        <f>IF(AND(_2="A-330-300",'2026'!$M$4="FO",'2026'!$M$2=AN347),'2026DATA'!$K$8,"")</f>
        <v/>
      </c>
      <c r="AO353" s="518" t="str">
        <f>IF(AND(_2="A-330-300",'2026'!$M$4="FO",'2026'!$M$2=AO347),'2026DATA'!$L$8,"")</f>
        <v/>
      </c>
      <c r="AP353" s="518" t="str">
        <f>IF(AND(_2="A-330-300",'2026'!$M$4="FO",'2026'!$M$2=AP347),'2026DATA'!$M$8,"")</f>
        <v/>
      </c>
      <c r="AQ353" s="520" t="str">
        <f>IF(AND(_2="A-330-300",'2026'!$M$4="FO",'2026'!$M$2=AQ347),'2026DATA'!$N$8,"")</f>
        <v/>
      </c>
      <c r="AR353" s="940"/>
      <c r="AS353" s="13" t="s">
        <v>62</v>
      </c>
      <c r="AT353" s="518" t="str">
        <f>IF(AND(_3="A-330-300",'2026'!$M$4="FO",'2026'!$M$2=AT347),'2026DATA'!$C$8,"")</f>
        <v/>
      </c>
      <c r="AU353" s="518" t="str">
        <f>IF(AND(_3="A-330-300",'2026'!$M$4="FO",'2026'!$M$2=AU347),'2026DATA'!$D$8,"")</f>
        <v/>
      </c>
      <c r="AV353" s="518" t="str">
        <f>IF(AND(_3="A-330-300",'2026'!$M$4="FO",'2026'!$M$2=AV347),'2026DATA'!$E$8,"")</f>
        <v/>
      </c>
      <c r="AW353" s="518" t="str">
        <f>IF(AND(_3="A-330-300",'2026'!$M$4="FO",'2026'!$M$2=AW347),'2026DATA'!$F$8,"")</f>
        <v/>
      </c>
      <c r="AX353" s="518" t="str">
        <f>IF(AND(_3="A-330-300",'2026'!$M$4="FO",'2026'!$M$2=AX347),'2026DATA'!$G$8,"")</f>
        <v/>
      </c>
      <c r="AY353" s="518" t="str">
        <f>IF(AND(_3="A-330-300",'2026'!$M$4="FO",'2026'!$M$2=AY347),'2026DATA'!$H$8,"")</f>
        <v/>
      </c>
      <c r="AZ353" s="518" t="str">
        <f>IF(AND(_3="A-330-300",'2026'!$M$4="FO",'2026'!$M$2=AZ347),'2026DATA'!$I$8,"")</f>
        <v/>
      </c>
      <c r="BA353" s="518" t="str">
        <f>IF(AND(_3="A-330-300",'2026'!$M$4="FO",'2026'!$M$2=BA347),'2026DATA'!$J$8,"")</f>
        <v/>
      </c>
      <c r="BB353" s="518" t="str">
        <f>IF(AND(_3="A-330-300",'2026'!$M$4="FO",'2026'!$M$2=BB347),'2026DATA'!$K$8,"")</f>
        <v/>
      </c>
      <c r="BC353" s="518" t="str">
        <f>IF(AND(_3="A-330-300",'2026'!$M$4="FO",'2026'!$M$2=BC347),'2026DATA'!$L$8,"")</f>
        <v/>
      </c>
      <c r="BD353" s="518" t="str">
        <f>IF(AND(_3="A-330-300",'2026'!$M$4="FO",'2026'!$M$2=BD347),'2026DATA'!$M$8,"")</f>
        <v/>
      </c>
      <c r="BE353" s="520" t="str">
        <f>IF(AND(_3="A-330-300",'2026'!$M$4="FO",'2026'!$M$2=BE347),'2026DATA'!$N$8,"")</f>
        <v/>
      </c>
      <c r="BF353" s="940"/>
      <c r="BG353" s="13" t="s">
        <v>62</v>
      </c>
      <c r="BH353" s="518" t="str">
        <f>IF(AND(_4="A-330-300",'2026'!$M$4="FO",'2026'!$M$2=BH347),'2026DATA'!$C$8,"")</f>
        <v/>
      </c>
      <c r="BI353" s="518" t="str">
        <f>IF(AND(_4="A-330-300",'2026'!$M$4="FO",'2026'!$M$2=BI347),'2026DATA'!$D$8,"")</f>
        <v/>
      </c>
      <c r="BJ353" s="518" t="str">
        <f>IF(AND(_4="A-330-300",'2026'!$M$4="FO",'2026'!$M$2=BJ347),'2026DATA'!$E$8,"")</f>
        <v/>
      </c>
      <c r="BK353" s="518" t="str">
        <f>IF(AND(_4="A-330-300",'2026'!$M$4="FO",'2026'!$M$2=BK347),'2026DATA'!$F$8,"")</f>
        <v/>
      </c>
      <c r="BL353" s="518" t="str">
        <f>IF(AND(_4="A-330-300",'2026'!$M$4="FO",'2026'!$M$2=BL347),'2026DATA'!$G$8,"")</f>
        <v/>
      </c>
      <c r="BM353" s="518" t="str">
        <f>IF(AND(_4="A-330-300",'2026'!$M$4="FO",'2026'!$M$2=BM347),'2026DATA'!$H$8,"")</f>
        <v/>
      </c>
      <c r="BN353" s="518" t="str">
        <f>IF(AND(_4="A-330-300",'2026'!$M$4="FO",'2026'!$M$2=BN347),'2026DATA'!$I$8,"")</f>
        <v/>
      </c>
      <c r="BO353" s="518" t="str">
        <f>IF(AND(_4="A-330-300",'2026'!$M$4="FO",'2026'!$M$2=BO347),'2026DATA'!$J$8,"")</f>
        <v/>
      </c>
      <c r="BP353" s="518" t="str">
        <f>IF(AND(_4="A-330-300",'2026'!$M$4="FO",'2026'!$M$2=BP347),'2026DATA'!$K$8,"")</f>
        <v/>
      </c>
      <c r="BQ353" s="518" t="str">
        <f>IF(AND(_4="A-330-300",'2026'!$M$4="FO",'2026'!$M$2=BQ347),'2026DATA'!$L$8,"")</f>
        <v/>
      </c>
      <c r="BR353" s="518" t="str">
        <f>IF(AND(_4="A-330-300",'2026'!$M$4="FO",'2026'!$M$2=BR347),'2026DATA'!$M$8,"")</f>
        <v/>
      </c>
      <c r="BS353" s="520" t="str">
        <f>IF(AND(_4="A-330-300",'2026'!$M$4="FO",'2026'!$M$2=BS347),'2026DATA'!$N$8,"")</f>
        <v/>
      </c>
      <c r="BT353" s="940"/>
      <c r="BU353" s="13" t="s">
        <v>62</v>
      </c>
      <c r="BV353" s="518" t="str">
        <f>IF(AND(_5="A-330-300",'2026'!$M$4="FO",'2026'!$M$2=BV347),'2026DATA'!$C$8,"")</f>
        <v/>
      </c>
      <c r="BW353" s="518" t="str">
        <f>IF(AND(_5="A-330-300",'2026'!$M$4="FO",'2026'!$M$2=BW347),'2026DATA'!$D$8,"")</f>
        <v/>
      </c>
      <c r="BX353" s="518" t="str">
        <f>IF(AND(_5="A-330-300",'2026'!$M$4="FO",'2026'!$M$2=BX347),'2026DATA'!$E$8,"")</f>
        <v/>
      </c>
      <c r="BY353" s="518" t="str">
        <f>IF(AND(_5="A-330-300",'2026'!$M$4="FO",'2026'!$M$2=BY347),'2026DATA'!$F$8,"")</f>
        <v/>
      </c>
      <c r="BZ353" s="518" t="str">
        <f>IF(AND(_5="A-330-300",'2026'!$M$4="FO",'2026'!$M$2=BZ347),'2026DATA'!$G$8,"")</f>
        <v/>
      </c>
      <c r="CA353" s="518" t="str">
        <f>IF(AND(_5="A-330-300",'2026'!$M$4="FO",'2026'!$M$2=CA347),'2026DATA'!$H$8,"")</f>
        <v/>
      </c>
      <c r="CB353" s="518" t="str">
        <f>IF(AND(_5="A-330-300",'2026'!$M$4="FO",'2026'!$M$2=CB347),'2026DATA'!$I$8,"")</f>
        <v/>
      </c>
      <c r="CC353" s="518" t="str">
        <f>IF(AND(_5="A-330-300",'2026'!$M$4="FO",'2026'!$M$2=CC347),'2026DATA'!$J$8,"")</f>
        <v/>
      </c>
      <c r="CD353" s="518" t="str">
        <f>IF(AND(_5="A-330-300",'2026'!$M$4="FO",'2026'!$M$2=CD347),'2026DATA'!$K$8,"")</f>
        <v/>
      </c>
      <c r="CE353" s="518" t="str">
        <f>IF(AND(_5="A-330-300",'2026'!$M$4="FO",'2026'!$M$2=CE347),'2026DATA'!$L$8,"")</f>
        <v/>
      </c>
      <c r="CF353" s="518" t="str">
        <f>IF(AND(_5="A-330-300",'2026'!$M$4="FO",'2026'!$M$2=CF347),'2026DATA'!$M$8,"")</f>
        <v/>
      </c>
      <c r="CG353" s="520" t="str">
        <f>IF(AND(_5="A-330-300",'2026'!$M$4="FO",'2026'!$M$2=CG347),'2026DATA'!$N$8,"")</f>
        <v/>
      </c>
      <c r="CH353" s="940"/>
      <c r="CI353" s="13" t="s">
        <v>62</v>
      </c>
      <c r="CJ353" s="518" t="str">
        <f>IF(AND(_6="A-330-300",'2026'!$M$4="FO",'2026'!$M$2=CJ347),'2026DATA'!$C$8,"")</f>
        <v/>
      </c>
      <c r="CK353" s="518" t="str">
        <f>IF(AND(_6="A-330-300",'2026'!$M$4="FO",'2026'!$M$2=CK347),'2026DATA'!$D$8,"")</f>
        <v/>
      </c>
      <c r="CL353" s="518" t="str">
        <f>IF(AND(_6="A-330-300",'2026'!$M$4="FO",'2026'!$M$2=CL347),'2026DATA'!$E$8,"")</f>
        <v/>
      </c>
      <c r="CM353" s="518" t="str">
        <f>IF(AND(_6="A-330-300",'2026'!$M$4="FO",'2026'!$M$2=CM347),'2026DATA'!$F$8,"")</f>
        <v/>
      </c>
      <c r="CN353" s="518" t="str">
        <f>IF(AND(_6="A-330-300",'2026'!$M$4="FO",'2026'!$M$2=CN347),'2026DATA'!$G$8,"")</f>
        <v/>
      </c>
      <c r="CO353" s="518" t="str">
        <f>IF(AND(_6="A-330-300",'2026'!$M$4="FO",'2026'!$M$2=CO347),'2026DATA'!$H$8,"")</f>
        <v/>
      </c>
      <c r="CP353" s="518" t="str">
        <f>IF(AND(_6="A-330-300",'2026'!$M$4="FO",'2026'!$M$2=CP347),'2026DATA'!$I$8,"")</f>
        <v/>
      </c>
      <c r="CQ353" s="518" t="str">
        <f>IF(AND(_6="A-330-300",'2026'!$M$4="FO",'2026'!$M$2=CQ347),'2026DATA'!$J$8,"")</f>
        <v/>
      </c>
      <c r="CR353" s="518" t="str">
        <f>IF(AND(_6="A-330-300",'2026'!$M$4="FO",'2026'!$M$2=CR347),'2026DATA'!$K$8,"")</f>
        <v/>
      </c>
      <c r="CS353" s="518" t="str">
        <f>IF(AND(_6="A-330-300",'2026'!$M$4="FO",'2026'!$M$2=CS347),'2026DATA'!$L$8,"")</f>
        <v/>
      </c>
      <c r="CT353" s="518" t="str">
        <f>IF(AND(_6="A-330-300",'2026'!$M$4="FO",'2026'!$M$2=CT347),'2026DATA'!$M$8,"")</f>
        <v/>
      </c>
      <c r="CU353" s="520" t="str">
        <f>IF(AND(_6="A-330-300",'2026'!$M$4="FO",'2026'!$M$2=CU347),'2026DATA'!$N$8,"")</f>
        <v/>
      </c>
    </row>
    <row r="354" spans="16:99" x14ac:dyDescent="0.25">
      <c r="P354" s="940" t="s">
        <v>66</v>
      </c>
      <c r="Q354" s="13" t="s">
        <v>61</v>
      </c>
      <c r="R354" s="518" t="str">
        <f>IF(AND(_1="A-330-200",'2026'!$M$4="CA",'2026'!$M$2=R347),'2026DATA'!$C$9,"")</f>
        <v/>
      </c>
      <c r="S354" s="518" t="str">
        <f>IF(AND(_1="A-330-200",'2026'!$M$4="CA",'2026'!$M$2=S347),'2026DATA'!$D$9,"")</f>
        <v/>
      </c>
      <c r="T354" s="518" t="str">
        <f>IF(AND(_1="A-330-200",'2026'!$M$4="CA",'2026'!$M$2=T347),'2026DATA'!$E$9,"")</f>
        <v/>
      </c>
      <c r="U354" s="518" t="str">
        <f>IF(AND(_1="A-330-200",'2026'!$M$4="CA",'2026'!$M$2=U347),'2026DATA'!$F$9,"")</f>
        <v/>
      </c>
      <c r="V354" s="518" t="str">
        <f>IF(AND(_1="A-330-200",'2026'!$M$4="CA",'2026'!$M$2=V347),'2026DATA'!$G$9,"")</f>
        <v/>
      </c>
      <c r="W354" s="518" t="str">
        <f>IF(AND(_1="A-330-200",'2026'!$M$4="CA",'2026'!$M$2=W347),'2026DATA'!$H$9,"")</f>
        <v/>
      </c>
      <c r="X354" s="518" t="str">
        <f>IF(AND(_1="A-330-200",'2026'!$M$4="CA",'2026'!$M$2=X347),'2026DATA'!$I$9,"")</f>
        <v/>
      </c>
      <c r="Y354" s="518" t="str">
        <f>IF(AND(_1="A-330-200",'2026'!$M$4="CA",'2026'!$M$2=Y347),'2026DATA'!$J$9,"")</f>
        <v/>
      </c>
      <c r="Z354" s="518" t="str">
        <f>IF(AND(_1="A-330-200",'2026'!$M$4="CA",'2026'!$M$2=Z347),'2026DATA'!$K$9,"")</f>
        <v/>
      </c>
      <c r="AA354" s="518" t="str">
        <f>IF(AND(_1="A-330-200",'2026'!$M$4="CA",'2026'!$M$2=AA347),'2026DATA'!$L$9,"")</f>
        <v/>
      </c>
      <c r="AB354" s="518" t="str">
        <f>IF(AND(_1="A-330-200",'2026'!$M$4="CA",'2026'!$M$2=AB347),'2026DATA'!$M$9,"")</f>
        <v/>
      </c>
      <c r="AC354" s="520" t="str">
        <f>IF(AND(_1="A-330-200",'2026'!$M$4="CA",'2026'!$M$2=AC347),'2026DATA'!$N$9,"")</f>
        <v/>
      </c>
      <c r="AD354" s="940" t="s">
        <v>66</v>
      </c>
      <c r="AE354" s="13" t="s">
        <v>61</v>
      </c>
      <c r="AF354" s="518" t="str">
        <f>IF(AND(_2="A-330-200",'2026'!$M$4="CA",'2026'!$M$2=AF347),'2026DATA'!$C$9,"")</f>
        <v/>
      </c>
      <c r="AG354" s="518" t="str">
        <f>IF(AND(_2="A-330-200",'2026'!$M$4="CA",'2026'!$M$2=AG347),'2026DATA'!$D$9,"")</f>
        <v/>
      </c>
      <c r="AH354" s="518" t="str">
        <f>IF(AND(_2="A-330-200",'2026'!$M$4="CA",'2026'!$M$2=AH347),'2026DATA'!$E$9,"")</f>
        <v/>
      </c>
      <c r="AI354" s="518" t="str">
        <f>IF(AND(_2="A-330-200",'2026'!$M$4="CA",'2026'!$M$2=AI347),'2026DATA'!$F$9,"")</f>
        <v/>
      </c>
      <c r="AJ354" s="518" t="str">
        <f>IF(AND(_2="A-330-200",'2026'!$M$4="CA",'2026'!$M$2=AJ347),'2026DATA'!$G$9,"")</f>
        <v/>
      </c>
      <c r="AK354" s="518" t="str">
        <f>IF(AND(_2="A-330-200",'2026'!$M$4="CA",'2026'!$M$2=AK347),'2026DATA'!$H$9,"")</f>
        <v/>
      </c>
      <c r="AL354" s="518" t="str">
        <f>IF(AND(_2="A-330-200",'2026'!$M$4="CA",'2026'!$M$2=AL347),'2026DATA'!$I$9,"")</f>
        <v/>
      </c>
      <c r="AM354" s="518" t="str">
        <f>IF(AND(_2="A-330-200",'2026'!$M$4="CA",'2026'!$M$2=AM347),'2026DATA'!$J$9,"")</f>
        <v/>
      </c>
      <c r="AN354" s="518" t="str">
        <f>IF(AND(_2="A-330-200",'2026'!$M$4="CA",'2026'!$M$2=AN347),'2026DATA'!$K$9,"")</f>
        <v/>
      </c>
      <c r="AO354" s="518" t="str">
        <f>IF(AND(_2="A-330-200",'2026'!$M$4="CA",'2026'!$M$2=AO347),'2026DATA'!$L$9,"")</f>
        <v/>
      </c>
      <c r="AP354" s="518" t="str">
        <f>IF(AND(_2="A-330-200",'2026'!$M$4="CA",'2026'!$M$2=AP347),'2026DATA'!$M$9,"")</f>
        <v/>
      </c>
      <c r="AQ354" s="520" t="str">
        <f>IF(AND(_2="A-330-200",'2026'!$M$4="CA",'2026'!$M$2=AQ347),'2026DATA'!$N$9,"")</f>
        <v/>
      </c>
      <c r="AR354" s="940" t="s">
        <v>66</v>
      </c>
      <c r="AS354" s="13" t="s">
        <v>61</v>
      </c>
      <c r="AT354" s="518" t="str">
        <f>IF(AND(_3="A-330-200",'2026'!$M$4="CA",'2026'!$M$2=AT347),'2026DATA'!$C$9,"")</f>
        <v/>
      </c>
      <c r="AU354" s="518" t="str">
        <f>IF(AND(_3="A-330-200",'2026'!$M$4="CA",'2026'!$M$2=AU347),'2026DATA'!$D$9,"")</f>
        <v/>
      </c>
      <c r="AV354" s="518" t="str">
        <f>IF(AND(_3="A-330-200",'2026'!$M$4="CA",'2026'!$M$2=AV347),'2026DATA'!$E$9,"")</f>
        <v/>
      </c>
      <c r="AW354" s="518" t="str">
        <f>IF(AND(_3="A-330-200",'2026'!$M$4="CA",'2026'!$M$2=AW347),'2026DATA'!$F$9,"")</f>
        <v/>
      </c>
      <c r="AX354" s="518" t="str">
        <f>IF(AND(_3="A-330-200",'2026'!$M$4="CA",'2026'!$M$2=AX347),'2026DATA'!$G$9,"")</f>
        <v/>
      </c>
      <c r="AY354" s="518" t="str">
        <f>IF(AND(_3="A-330-200",'2026'!$M$4="CA",'2026'!$M$2=AY347),'2026DATA'!$H$9,"")</f>
        <v/>
      </c>
      <c r="AZ354" s="518" t="str">
        <f>IF(AND(_3="A-330-200",'2026'!$M$4="CA",'2026'!$M$2=AZ347),'2026DATA'!$I$9,"")</f>
        <v/>
      </c>
      <c r="BA354" s="518" t="str">
        <f>IF(AND(_3="A-330-200",'2026'!$M$4="CA",'2026'!$M$2=BA347),'2026DATA'!$J$9,"")</f>
        <v/>
      </c>
      <c r="BB354" s="518" t="str">
        <f>IF(AND(_3="A-330-200",'2026'!$M$4="CA",'2026'!$M$2=BB347),'2026DATA'!$K$9,"")</f>
        <v/>
      </c>
      <c r="BC354" s="518" t="str">
        <f>IF(AND(_3="A-330-200",'2026'!$M$4="CA",'2026'!$M$2=BC347),'2026DATA'!$L$9,"")</f>
        <v/>
      </c>
      <c r="BD354" s="518" t="str">
        <f>IF(AND(_3="A-330-200",'2026'!$M$4="CA",'2026'!$M$2=BD347),'2026DATA'!$M$9,"")</f>
        <v/>
      </c>
      <c r="BE354" s="520" t="str">
        <f>IF(AND(_3="A-330-200",'2026'!$M$4="CA",'2026'!$M$2=BE347),'2026DATA'!$N$9,"")</f>
        <v/>
      </c>
      <c r="BF354" s="940" t="s">
        <v>66</v>
      </c>
      <c r="BG354" s="13" t="s">
        <v>61</v>
      </c>
      <c r="BH354" s="518" t="str">
        <f>IF(AND(_4="A-330-200",'2026'!$M$4="CA",'2026'!$M$2=BH347),'2026DATA'!$C$9,"")</f>
        <v/>
      </c>
      <c r="BI354" s="518" t="str">
        <f>IF(AND(_4="A-330-200",'2026'!$M$4="CA",'2026'!$M$2=BI347),'2026DATA'!$D$9,"")</f>
        <v/>
      </c>
      <c r="BJ354" s="518" t="str">
        <f>IF(AND(_4="A-330-200",'2026'!$M$4="CA",'2026'!$M$2=BJ347),'2026DATA'!$E$9,"")</f>
        <v/>
      </c>
      <c r="BK354" s="518" t="str">
        <f>IF(AND(_4="A-330-200",'2026'!$M$4="CA",'2026'!$M$2=BK347),'2026DATA'!$F$9,"")</f>
        <v/>
      </c>
      <c r="BL354" s="518" t="str">
        <f>IF(AND(_4="A-330-200",'2026'!$M$4="CA",'2026'!$M$2=BL347),'2026DATA'!$G$9,"")</f>
        <v/>
      </c>
      <c r="BM354" s="518" t="str">
        <f>IF(AND(_4="A-330-200",'2026'!$M$4="CA",'2026'!$M$2=BM347),'2026DATA'!$H$9,"")</f>
        <v/>
      </c>
      <c r="BN354" s="518" t="str">
        <f>IF(AND(_4="A-330-200",'2026'!$M$4="CA",'2026'!$M$2=BN347),'2026DATA'!$I$9,"")</f>
        <v/>
      </c>
      <c r="BO354" s="518" t="str">
        <f>IF(AND(_4="A-330-200",'2026'!$M$4="CA",'2026'!$M$2=BO347),'2026DATA'!$J$9,"")</f>
        <v/>
      </c>
      <c r="BP354" s="518" t="str">
        <f>IF(AND(_4="A-330-200",'2026'!$M$4="CA",'2026'!$M$2=BP347),'2026DATA'!$K$9,"")</f>
        <v/>
      </c>
      <c r="BQ354" s="518" t="str">
        <f>IF(AND(_4="A-330-200",'2026'!$M$4="CA",'2026'!$M$2=BQ347),'2026DATA'!$L$9,"")</f>
        <v/>
      </c>
      <c r="BR354" s="518" t="str">
        <f>IF(AND(_4="A-330-200",'2026'!$M$4="CA",'2026'!$M$2=BR347),'2026DATA'!$M$9,"")</f>
        <v/>
      </c>
      <c r="BS354" s="520" t="str">
        <f>IF(AND(_4="A-330-200",'2026'!$M$4="CA",'2026'!$M$2=BS347),'2026DATA'!$N$9,"")</f>
        <v/>
      </c>
      <c r="BT354" s="940" t="s">
        <v>66</v>
      </c>
      <c r="BU354" s="13" t="s">
        <v>61</v>
      </c>
      <c r="BV354" s="518" t="str">
        <f>IF(AND(_5="A-330-200",'2026'!$M$4="CA",'2026'!$M$2=BV347),'2026DATA'!$C$9,"")</f>
        <v/>
      </c>
      <c r="BW354" s="518" t="str">
        <f>IF(AND(_5="A-330-200",'2026'!$M$4="CA",'2026'!$M$2=BW347),'2026DATA'!$D$9,"")</f>
        <v/>
      </c>
      <c r="BX354" s="518" t="str">
        <f>IF(AND(_5="A-330-200",'2026'!$M$4="CA",'2026'!$M$2=BX347),'2026DATA'!$E$9,"")</f>
        <v/>
      </c>
      <c r="BY354" s="518" t="str">
        <f>IF(AND(_5="A-330-200",'2026'!$M$4="CA",'2026'!$M$2=BY347),'2026DATA'!$F$9,"")</f>
        <v/>
      </c>
      <c r="BZ354" s="518" t="str">
        <f>IF(AND(_5="A-330-200",'2026'!$M$4="CA",'2026'!$M$2=BZ347),'2026DATA'!$G$9,"")</f>
        <v/>
      </c>
      <c r="CA354" s="518" t="str">
        <f>IF(AND(_5="A-330-200",'2026'!$M$4="CA",'2026'!$M$2=CA347),'2026DATA'!$H$9,"")</f>
        <v/>
      </c>
      <c r="CB354" s="518" t="str">
        <f>IF(AND(_5="A-330-200",'2026'!$M$4="CA",'2026'!$M$2=CB347),'2026DATA'!$I$9,"")</f>
        <v/>
      </c>
      <c r="CC354" s="518" t="str">
        <f>IF(AND(_5="A-330-200",'2026'!$M$4="CA",'2026'!$M$2=CC347),'2026DATA'!$J$9,"")</f>
        <v/>
      </c>
      <c r="CD354" s="518" t="str">
        <f>IF(AND(_5="A-330-200",'2026'!$M$4="CA",'2026'!$M$2=CD347),'2026DATA'!$K$9,"")</f>
        <v/>
      </c>
      <c r="CE354" s="518" t="str">
        <f>IF(AND(_5="A-330-200",'2026'!$M$4="CA",'2026'!$M$2=CE347),'2026DATA'!$L$9,"")</f>
        <v/>
      </c>
      <c r="CF354" s="518" t="str">
        <f>IF(AND(_5="A-330-200",'2026'!$M$4="CA",'2026'!$M$2=CF347),'2026DATA'!$M$9,"")</f>
        <v/>
      </c>
      <c r="CG354" s="520" t="str">
        <f>IF(AND(_5="A-330-200",'2026'!$M$4="CA",'2026'!$M$2=CG347),'2026DATA'!$N$9,"")</f>
        <v/>
      </c>
      <c r="CH354" s="940" t="s">
        <v>66</v>
      </c>
      <c r="CI354" s="13" t="s">
        <v>61</v>
      </c>
      <c r="CJ354" s="518" t="str">
        <f>IF(AND(_6="A-330-200",'2026'!$M$4="CA",'2026'!$M$2=CJ347),'2026DATA'!$C$9,"")</f>
        <v/>
      </c>
      <c r="CK354" s="518" t="str">
        <f>IF(AND(_6="A-330-200",'2026'!$M$4="CA",'2026'!$M$2=CK347),'2026DATA'!$D$9,"")</f>
        <v/>
      </c>
      <c r="CL354" s="518" t="str">
        <f>IF(AND(_6="A-330-200",'2026'!$M$4="CA",'2026'!$M$2=CL347),'2026DATA'!$E$9,"")</f>
        <v/>
      </c>
      <c r="CM354" s="518" t="str">
        <f>IF(AND(_6="A-330-200",'2026'!$M$4="CA",'2026'!$M$2=CM347),'2026DATA'!$F$9,"")</f>
        <v/>
      </c>
      <c r="CN354" s="518" t="str">
        <f>IF(AND(_6="A-330-200",'2026'!$M$4="CA",'2026'!$M$2=CN347),'2026DATA'!$G$9,"")</f>
        <v/>
      </c>
      <c r="CO354" s="518" t="str">
        <f>IF(AND(_6="A-330-200",'2026'!$M$4="CA",'2026'!$M$2=CO347),'2026DATA'!$H$9,"")</f>
        <v/>
      </c>
      <c r="CP354" s="518" t="str">
        <f>IF(AND(_6="A-330-200",'2026'!$M$4="CA",'2026'!$M$2=CP347),'2026DATA'!$I$9,"")</f>
        <v/>
      </c>
      <c r="CQ354" s="518" t="str">
        <f>IF(AND(_6="A-330-200",'2026'!$M$4="CA",'2026'!$M$2=CQ347),'2026DATA'!$J$9,"")</f>
        <v/>
      </c>
      <c r="CR354" s="518" t="str">
        <f>IF(AND(_6="A-330-200",'2026'!$M$4="CA",'2026'!$M$2=CR347),'2026DATA'!$K$9,"")</f>
        <v/>
      </c>
      <c r="CS354" s="518" t="str">
        <f>IF(AND(_6="A-330-200",'2026'!$M$4="CA",'2026'!$M$2=CS347),'2026DATA'!$L$9,"")</f>
        <v/>
      </c>
      <c r="CT354" s="518" t="str">
        <f>IF(AND(_6="A-330-200",'2026'!$M$4="CA",'2026'!$M$2=CT347),'2026DATA'!$M$9,"")</f>
        <v/>
      </c>
      <c r="CU354" s="520" t="str">
        <f>IF(AND(_6="A-330-200",'2026'!$M$4="CA",'2026'!$M$2=CU347),'2026DATA'!$N$9,"")</f>
        <v/>
      </c>
    </row>
    <row r="355" spans="16:99" x14ac:dyDescent="0.25">
      <c r="P355" s="940"/>
      <c r="Q355" s="13" t="s">
        <v>62</v>
      </c>
      <c r="R355" s="518" t="str">
        <f>IF(AND(_1="A-330-200",'2026'!$M$4="FO",'2026'!$M$2=R347),'2026DATA'!$C$10,"")</f>
        <v/>
      </c>
      <c r="S355" s="518" t="str">
        <f>IF(AND(_1="A-330-200",'2026'!$M$4="FO",'2026'!$M$2=S347),'2026DATA'!$D$10,"")</f>
        <v/>
      </c>
      <c r="T355" s="518" t="str">
        <f>IF(AND(_1="A-330-200",'2026'!$M$4="FO",'2026'!$M$2=T347),'2026DATA'!$E$10,"")</f>
        <v/>
      </c>
      <c r="U355" s="518" t="str">
        <f>IF(AND(_1="A-330-200",'2026'!$M$4="FO",'2026'!$M$2=U347),'2026DATA'!$F$10,"")</f>
        <v/>
      </c>
      <c r="V355" s="518" t="str">
        <f>IF(AND(_1="A-330-200",'2026'!$M$4="FO",'2026'!$M$2=V347),'2026DATA'!$G$10,"")</f>
        <v/>
      </c>
      <c r="W355" s="518" t="str">
        <f>IF(AND(_1="A-330-200",'2026'!$M$4="FO",'2026'!$M$2=W347),'2026DATA'!$H$10,"")</f>
        <v/>
      </c>
      <c r="X355" s="518" t="str">
        <f>IF(AND(_1="A-330-200",'2026'!$M$4="FO",'2026'!$M$2=X347),'2026DATA'!$I$10,"")</f>
        <v/>
      </c>
      <c r="Y355" s="518" t="str">
        <f>IF(AND(_1="A-330-200",'2026'!$M$4="FO",'2026'!$M$2=Y347),'2026DATA'!$J$10,"")</f>
        <v/>
      </c>
      <c r="Z355" s="518" t="str">
        <f>IF(AND(_1="A-330-200",'2026'!$M$4="FO",'2026'!$M$2=Z347),'2026DATA'!$K$10,"")</f>
        <v/>
      </c>
      <c r="AA355" s="518" t="str">
        <f>IF(AND(_1="A-330-200",'2026'!$M$4="FO",'2026'!$M$2=AA347),'2026DATA'!$L$10,"")</f>
        <v/>
      </c>
      <c r="AB355" s="518" t="str">
        <f>IF(AND(_1="A-330-200",'2026'!$M$4="FO",'2026'!$M$2=AB347),'2026DATA'!$M$10,"")</f>
        <v/>
      </c>
      <c r="AC355" s="520" t="str">
        <f>IF(AND(_1="A-330-200",'2026'!$M$4="FO",'2026'!$M$2=AC347),'2026DATA'!$N$10,"")</f>
        <v/>
      </c>
      <c r="AD355" s="940"/>
      <c r="AE355" s="13" t="s">
        <v>62</v>
      </c>
      <c r="AF355" s="518" t="str">
        <f>IF(AND(_2="A-330-200",'2026'!$M$4="FO",'2026'!$M$2=AF347),'2026DATA'!$C$10,"")</f>
        <v/>
      </c>
      <c r="AG355" s="518" t="str">
        <f>IF(AND(_2="A-330-200",'2026'!$M$4="FO",'2026'!$M$2=AG347),'2026DATA'!$D$10,"")</f>
        <v/>
      </c>
      <c r="AH355" s="518" t="str">
        <f>IF(AND(_2="A-330-200",'2026'!$M$4="FO",'2026'!$M$2=AH347),'2026DATA'!$E$10,"")</f>
        <v/>
      </c>
      <c r="AI355" s="518" t="str">
        <f>IF(AND(_2="A-330-200",'2026'!$M$4="FO",'2026'!$M$2=AI347),'2026DATA'!$F$10,"")</f>
        <v/>
      </c>
      <c r="AJ355" s="518" t="str">
        <f>IF(AND(_2="A-330-200",'2026'!$M$4="FO",'2026'!$M$2=AJ347),'2026DATA'!$G$10,"")</f>
        <v/>
      </c>
      <c r="AK355" s="518" t="str">
        <f>IF(AND(_2="A-330-200",'2026'!$M$4="FO",'2026'!$M$2=AK347),'2026DATA'!$H$10,"")</f>
        <v/>
      </c>
      <c r="AL355" s="518" t="str">
        <f>IF(AND(_2="A-330-200",'2026'!$M$4="FO",'2026'!$M$2=AL347),'2026DATA'!$I$10,"")</f>
        <v/>
      </c>
      <c r="AM355" s="518" t="str">
        <f>IF(AND(_2="A-330-200",'2026'!$M$4="FO",'2026'!$M$2=AM347),'2026DATA'!$J$10,"")</f>
        <v/>
      </c>
      <c r="AN355" s="518" t="str">
        <f>IF(AND(_2="A-330-200",'2026'!$M$4="FO",'2026'!$M$2=AN347),'2026DATA'!$K$10,"")</f>
        <v/>
      </c>
      <c r="AO355" s="518" t="str">
        <f>IF(AND(_2="A-330-200",'2026'!$M$4="FO",'2026'!$M$2=AO347),'2026DATA'!$L$10,"")</f>
        <v/>
      </c>
      <c r="AP355" s="518" t="str">
        <f>IF(AND(_2="A-330-200",'2026'!$M$4="FO",'2026'!$M$2=AP347),'2026DATA'!$M$10,"")</f>
        <v/>
      </c>
      <c r="AQ355" s="520" t="str">
        <f>IF(AND(_2="A-330-200",'2026'!$M$4="FO",'2026'!$M$2=AQ347),'2026DATA'!$N$10,"")</f>
        <v/>
      </c>
      <c r="AR355" s="940"/>
      <c r="AS355" s="13" t="s">
        <v>62</v>
      </c>
      <c r="AT355" s="518" t="str">
        <f>IF(AND(_3="A-330-200",'2026'!$M$4="FO",'2026'!$M$2=AT347),'2026DATA'!$C$10,"")</f>
        <v/>
      </c>
      <c r="AU355" s="518" t="str">
        <f>IF(AND(_3="A-330-200",'2026'!$M$4="FO",'2026'!$M$2=AU347),'2026DATA'!$D$10,"")</f>
        <v/>
      </c>
      <c r="AV355" s="518" t="str">
        <f>IF(AND(_3="A-330-200",'2026'!$M$4="FO",'2026'!$M$2=AV347),'2026DATA'!$E$10,"")</f>
        <v/>
      </c>
      <c r="AW355" s="518" t="str">
        <f>IF(AND(_3="A-330-200",'2026'!$M$4="FO",'2026'!$M$2=AW347),'2026DATA'!$F$10,"")</f>
        <v/>
      </c>
      <c r="AX355" s="518" t="str">
        <f>IF(AND(_3="A-330-200",'2026'!$M$4="FO",'2026'!$M$2=AX347),'2026DATA'!$G$10,"")</f>
        <v/>
      </c>
      <c r="AY355" s="518" t="str">
        <f>IF(AND(_3="A-330-200",'2026'!$M$4="FO",'2026'!$M$2=AY347),'2026DATA'!$H$10,"")</f>
        <v/>
      </c>
      <c r="AZ355" s="518" t="str">
        <f>IF(AND(_3="A-330-200",'2026'!$M$4="FO",'2026'!$M$2=AZ347),'2026DATA'!$I$10,"")</f>
        <v/>
      </c>
      <c r="BA355" s="518" t="str">
        <f>IF(AND(_3="A-330-200",'2026'!$M$4="FO",'2026'!$M$2=BA347),'2026DATA'!$J$10,"")</f>
        <v/>
      </c>
      <c r="BB355" s="518" t="str">
        <f>IF(AND(_3="A-330-200",'2026'!$M$4="FO",'2026'!$M$2=BB347),'2026DATA'!$K$10,"")</f>
        <v/>
      </c>
      <c r="BC355" s="518" t="str">
        <f>IF(AND(_3="A-330-200",'2026'!$M$4="FO",'2026'!$M$2=BC347),'2026DATA'!$L$10,"")</f>
        <v/>
      </c>
      <c r="BD355" s="518" t="str">
        <f>IF(AND(_3="A-330-200",'2026'!$M$4="FO",'2026'!$M$2=BD347),'2026DATA'!$M$10,"")</f>
        <v/>
      </c>
      <c r="BE355" s="520" t="str">
        <f>IF(AND(_3="A-330-200",'2026'!$M$4="FO",'2026'!$M$2=BE347),'2026DATA'!$N$10,"")</f>
        <v/>
      </c>
      <c r="BF355" s="940"/>
      <c r="BG355" s="13" t="s">
        <v>62</v>
      </c>
      <c r="BH355" s="518" t="str">
        <f>IF(AND(_4="A-330-200",'2026'!$M$4="FO",'2026'!$M$2=BH347),'2026DATA'!$C$10,"")</f>
        <v/>
      </c>
      <c r="BI355" s="518" t="str">
        <f>IF(AND(_4="A-330-200",'2026'!$M$4="FO",'2026'!$M$2=BI347),'2026DATA'!$D$10,"")</f>
        <v/>
      </c>
      <c r="BJ355" s="518" t="str">
        <f>IF(AND(_4="A-330-200",'2026'!$M$4="FO",'2026'!$M$2=BJ347),'2026DATA'!$E$10,"")</f>
        <v/>
      </c>
      <c r="BK355" s="518" t="str">
        <f>IF(AND(_4="A-330-200",'2026'!$M$4="FO",'2026'!$M$2=BK347),'2026DATA'!$F$10,"")</f>
        <v/>
      </c>
      <c r="BL355" s="518" t="str">
        <f>IF(AND(_4="A-330-200",'2026'!$M$4="FO",'2026'!$M$2=BL347),'2026DATA'!$G$10,"")</f>
        <v/>
      </c>
      <c r="BM355" s="518" t="str">
        <f>IF(AND(_4="A-330-200",'2026'!$M$4="FO",'2026'!$M$2=BM347),'2026DATA'!$H$10,"")</f>
        <v/>
      </c>
      <c r="BN355" s="518" t="str">
        <f>IF(AND(_4="A-330-200",'2026'!$M$4="FO",'2026'!$M$2=BN347),'2026DATA'!$I$10,"")</f>
        <v/>
      </c>
      <c r="BO355" s="518" t="str">
        <f>IF(AND(_4="A-330-200",'2026'!$M$4="FO",'2026'!$M$2=BO347),'2026DATA'!$J$10,"")</f>
        <v/>
      </c>
      <c r="BP355" s="518" t="str">
        <f>IF(AND(_4="A-330-200",'2026'!$M$4="FO",'2026'!$M$2=BP347),'2026DATA'!$K$10,"")</f>
        <v/>
      </c>
      <c r="BQ355" s="518" t="str">
        <f>IF(AND(_4="A-330-200",'2026'!$M$4="FO",'2026'!$M$2=BQ347),'2026DATA'!$L$10,"")</f>
        <v/>
      </c>
      <c r="BR355" s="518" t="str">
        <f>IF(AND(_4="A-330-200",'2026'!$M$4="FO",'2026'!$M$2=BR347),'2026DATA'!$M$10,"")</f>
        <v/>
      </c>
      <c r="BS355" s="520" t="str">
        <f>IF(AND(_4="A-330-200",'2026'!$M$4="FO",'2026'!$M$2=BS347),'2026DATA'!$N$10,"")</f>
        <v/>
      </c>
      <c r="BT355" s="940"/>
      <c r="BU355" s="13" t="s">
        <v>62</v>
      </c>
      <c r="BV355" s="518" t="str">
        <f>IF(AND(_5="A-330-200",'2026'!$M$4="FO",'2026'!$M$2=BV347),'2026DATA'!$C$10,"")</f>
        <v/>
      </c>
      <c r="BW355" s="518" t="str">
        <f>IF(AND(_5="A-330-200",'2026'!$M$4="FO",'2026'!$M$2=BW347),'2026DATA'!$D$10,"")</f>
        <v/>
      </c>
      <c r="BX355" s="518" t="str">
        <f>IF(AND(_5="A-330-200",'2026'!$M$4="FO",'2026'!$M$2=BX347),'2026DATA'!$E$10,"")</f>
        <v/>
      </c>
      <c r="BY355" s="518" t="str">
        <f>IF(AND(_5="A-330-200",'2026'!$M$4="FO",'2026'!$M$2=BY347),'2026DATA'!$F$10,"")</f>
        <v/>
      </c>
      <c r="BZ355" s="518" t="str">
        <f>IF(AND(_5="A-330-200",'2026'!$M$4="FO",'2026'!$M$2=BZ347),'2026DATA'!$G$10,"")</f>
        <v/>
      </c>
      <c r="CA355" s="518" t="str">
        <f>IF(AND(_5="A-330-200",'2026'!$M$4="FO",'2026'!$M$2=CA347),'2026DATA'!$H$10,"")</f>
        <v/>
      </c>
      <c r="CB355" s="518" t="str">
        <f>IF(AND(_5="A-330-200",'2026'!$M$4="FO",'2026'!$M$2=CB347),'2026DATA'!$I$10,"")</f>
        <v/>
      </c>
      <c r="CC355" s="518" t="str">
        <f>IF(AND(_5="A-330-200",'2026'!$M$4="FO",'2026'!$M$2=CC347),'2026DATA'!$J$10,"")</f>
        <v/>
      </c>
      <c r="CD355" s="518" t="str">
        <f>IF(AND(_5="A-330-200",'2026'!$M$4="FO",'2026'!$M$2=CD347),'2026DATA'!$K$10,"")</f>
        <v/>
      </c>
      <c r="CE355" s="518" t="str">
        <f>IF(AND(_5="A-330-200",'2026'!$M$4="FO",'2026'!$M$2=CE347),'2026DATA'!$L$10,"")</f>
        <v/>
      </c>
      <c r="CF355" s="518" t="str">
        <f>IF(AND(_5="A-330-200",'2026'!$M$4="FO",'2026'!$M$2=CF347),'2026DATA'!$M$10,"")</f>
        <v/>
      </c>
      <c r="CG355" s="520" t="str">
        <f>IF(AND(_5="A-330-200",'2026'!$M$4="FO",'2026'!$M$2=CG347),'2026DATA'!$N$10,"")</f>
        <v/>
      </c>
      <c r="CH355" s="940"/>
      <c r="CI355" s="13" t="s">
        <v>62</v>
      </c>
      <c r="CJ355" s="518" t="str">
        <f>IF(AND(_6="A-330-200",'2026'!$M$4="FO",'2026'!$M$2=CJ347),'2026DATA'!$C$10,"")</f>
        <v/>
      </c>
      <c r="CK355" s="518" t="str">
        <f>IF(AND(_6="A-330-200",'2026'!$M$4="FO",'2026'!$M$2=CK347),'2026DATA'!$D$10,"")</f>
        <v/>
      </c>
      <c r="CL355" s="518" t="str">
        <f>IF(AND(_6="A-330-200",'2026'!$M$4="FO",'2026'!$M$2=CL347),'2026DATA'!$E$10,"")</f>
        <v/>
      </c>
      <c r="CM355" s="518" t="str">
        <f>IF(AND(_6="A-330-200",'2026'!$M$4="FO",'2026'!$M$2=CM347),'2026DATA'!$F$10,"")</f>
        <v/>
      </c>
      <c r="CN355" s="518" t="str">
        <f>IF(AND(_6="A-330-200",'2026'!$M$4="FO",'2026'!$M$2=CN347),'2026DATA'!$G$10,"")</f>
        <v/>
      </c>
      <c r="CO355" s="518" t="str">
        <f>IF(AND(_6="A-330-200",'2026'!$M$4="FO",'2026'!$M$2=CO347),'2026DATA'!$H$10,"")</f>
        <v/>
      </c>
      <c r="CP355" s="518" t="str">
        <f>IF(AND(_6="A-330-200",'2026'!$M$4="FO",'2026'!$M$2=CP347),'2026DATA'!$I$10,"")</f>
        <v/>
      </c>
      <c r="CQ355" s="518" t="str">
        <f>IF(AND(_6="A-330-200",'2026'!$M$4="FO",'2026'!$M$2=CQ347),'2026DATA'!$J$10,"")</f>
        <v/>
      </c>
      <c r="CR355" s="518" t="str">
        <f>IF(AND(_6="A-330-200",'2026'!$M$4="FO",'2026'!$M$2=CR347),'2026DATA'!$K$10,"")</f>
        <v/>
      </c>
      <c r="CS355" s="518" t="str">
        <f>IF(AND(_6="A-330-200",'2026'!$M$4="FO",'2026'!$M$2=CS347),'2026DATA'!$L$10,"")</f>
        <v/>
      </c>
      <c r="CT355" s="518" t="str">
        <f>IF(AND(_6="A-330-200",'2026'!$M$4="FO",'2026'!$M$2=CT347),'2026DATA'!$M$10,"")</f>
        <v/>
      </c>
      <c r="CU355" s="520" t="str">
        <f>IF(AND(_6="A-330-200",'2026'!$M$4="FO",'2026'!$M$2=CU347),'2026DATA'!$N$10,"")</f>
        <v/>
      </c>
    </row>
    <row r="356" spans="16:99" x14ac:dyDescent="0.25">
      <c r="P356" s="940" t="s">
        <v>42</v>
      </c>
      <c r="Q356" s="13" t="s">
        <v>61</v>
      </c>
      <c r="R356" s="518" t="str">
        <f>IF(AND(_1="B-767-400ER",'2026'!$M$4="CA",'2026'!$M$2=R347),'2026DATA'!$C$11,"")</f>
        <v/>
      </c>
      <c r="S356" s="518" t="str">
        <f>IF(AND(_1="B-767-400ER",'2026'!$M$4="CA",'2026'!$M$2=S347),'2026DATA'!$D$11,"")</f>
        <v/>
      </c>
      <c r="T356" s="518" t="str">
        <f>IF(AND(_1="B-767-400ER",'2026'!$M$4="CA",'2026'!$M$2=T347),'2026DATA'!$E$11,"")</f>
        <v/>
      </c>
      <c r="U356" s="518" t="str">
        <f>IF(AND(_1="B-767-400ER",'2026'!$M$4="CA",'2026'!$M$2=U347),'2026DATA'!$F$11,"")</f>
        <v/>
      </c>
      <c r="V356" s="518" t="str">
        <f>IF(AND(_1="B-767-400ER",'2026'!$M$4="CA",'2026'!$M$2=V347),'2026DATA'!$G$11,"")</f>
        <v/>
      </c>
      <c r="W356" s="518" t="str">
        <f>IF(AND(_1="B-767-400ER",'2026'!$M$4="CA",'2026'!$M$2=W347),'2026DATA'!$H$11,"")</f>
        <v/>
      </c>
      <c r="X356" s="518" t="str">
        <f>IF(AND(_1="B-767-400ER",'2026'!$M$4="CA",'2026'!$M$2=X347),'2026DATA'!$I$11,"")</f>
        <v/>
      </c>
      <c r="Y356" s="518" t="str">
        <f>IF(AND(_1="B-767-400ER",'2026'!$M$4="CA",'2026'!$M$2=Y347),'2026DATA'!$J$11,"")</f>
        <v/>
      </c>
      <c r="Z356" s="518" t="str">
        <f>IF(AND(_1="B-767-400ER",'2026'!$M$4="CA",'2026'!$M$2=Z347),'2026DATA'!$K$11,"")</f>
        <v/>
      </c>
      <c r="AA356" s="518" t="str">
        <f>IF(AND(_1="B-767-400ER",'2026'!$M$4="CA",'2026'!$M$2=AA347),'2026DATA'!$L$11,"")</f>
        <v/>
      </c>
      <c r="AB356" s="518" t="str">
        <f>IF(AND(_1="B-767-400ER",'2026'!$M$4="CA",'2026'!$M$2=AB347),'2026DATA'!$M$11,"")</f>
        <v/>
      </c>
      <c r="AC356" s="520" t="str">
        <f>IF(AND(_1="B-767-400ER",'2026'!$M$4="CA",'2026'!$M$2=AC347),'2026DATA'!$N$11,"")</f>
        <v/>
      </c>
      <c r="AD356" s="940" t="s">
        <v>42</v>
      </c>
      <c r="AE356" s="13" t="s">
        <v>61</v>
      </c>
      <c r="AF356" s="518" t="str">
        <f>IF(AND(_2="B-767-400ER",'2026'!$M$4="CA",'2026'!$M$2=AF347),'2026DATA'!$C$11,"")</f>
        <v/>
      </c>
      <c r="AG356" s="518" t="str">
        <f>IF(AND(_2="B-767-400ER",'2026'!$M$4="CA",'2026'!$M$2=AG347),'2026DATA'!$D$11,"")</f>
        <v/>
      </c>
      <c r="AH356" s="518" t="str">
        <f>IF(AND(_2="B-767-400ER",'2026'!$M$4="CA",'2026'!$M$2=AH347),'2026DATA'!$E$11,"")</f>
        <v/>
      </c>
      <c r="AI356" s="518" t="str">
        <f>IF(AND(_2="B-767-400ER",'2026'!$M$4="CA",'2026'!$M$2=AI347),'2026DATA'!$F$11,"")</f>
        <v/>
      </c>
      <c r="AJ356" s="518" t="str">
        <f>IF(AND(_2="B-767-400ER",'2026'!$M$4="CA",'2026'!$M$2=AJ347),'2026DATA'!$G$11,"")</f>
        <v/>
      </c>
      <c r="AK356" s="518" t="str">
        <f>IF(AND(_2="B-767-400ER",'2026'!$M$4="CA",'2026'!$M$2=AK347),'2026DATA'!$H$11,"")</f>
        <v/>
      </c>
      <c r="AL356" s="518" t="str">
        <f>IF(AND(_2="B-767-400ER",'2026'!$M$4="CA",'2026'!$M$2=AL347),'2026DATA'!$I$11,"")</f>
        <v/>
      </c>
      <c r="AM356" s="518" t="str">
        <f>IF(AND(_2="B-767-400ER",'2026'!$M$4="CA",'2026'!$M$2=AM347),'2026DATA'!$J$11,"")</f>
        <v/>
      </c>
      <c r="AN356" s="518" t="str">
        <f>IF(AND(_2="B-767-400ER",'2026'!$M$4="CA",'2026'!$M$2=AN347),'2026DATA'!$K$11,"")</f>
        <v/>
      </c>
      <c r="AO356" s="518" t="str">
        <f>IF(AND(_2="B-767-400ER",'2026'!$M$4="CA",'2026'!$M$2=AO347),'2026DATA'!$L$11,"")</f>
        <v/>
      </c>
      <c r="AP356" s="518" t="str">
        <f>IF(AND(_2="B-767-400ER",'2026'!$M$4="CA",'2026'!$M$2=AP347),'2026DATA'!$M$11,"")</f>
        <v/>
      </c>
      <c r="AQ356" s="520" t="str">
        <f>IF(AND(_2="B-767-400ER",'2026'!$M$4="CA",'2026'!$M$2=AQ347),'2026DATA'!$N$11,"")</f>
        <v/>
      </c>
      <c r="AR356" s="940" t="s">
        <v>42</v>
      </c>
      <c r="AS356" s="13" t="s">
        <v>61</v>
      </c>
      <c r="AT356" s="518" t="str">
        <f>IF(AND(_3="B-767-400ER",'2026'!$M$4="CA",'2026'!$M$2=AT347),'2026DATA'!$C$11,"")</f>
        <v/>
      </c>
      <c r="AU356" s="518" t="str">
        <f>IF(AND(_3="B-767-400ER",'2026'!$M$4="CA",'2026'!$M$2=AU347),'2026DATA'!$D$11,"")</f>
        <v/>
      </c>
      <c r="AV356" s="518" t="str">
        <f>IF(AND(_3="B-767-400ER",'2026'!$M$4="CA",'2026'!$M$2=AV347),'2026DATA'!$E$11,"")</f>
        <v/>
      </c>
      <c r="AW356" s="518" t="str">
        <f>IF(AND(_3="B-767-400ER",'2026'!$M$4="CA",'2026'!$M$2=AW347),'2026DATA'!$F$11,"")</f>
        <v/>
      </c>
      <c r="AX356" s="518" t="str">
        <f>IF(AND(_3="B-767-400ER",'2026'!$M$4="CA",'2026'!$M$2=AX347),'2026DATA'!$G$11,"")</f>
        <v/>
      </c>
      <c r="AY356" s="518" t="str">
        <f>IF(AND(_3="B-767-400ER",'2026'!$M$4="CA",'2026'!$M$2=AY347),'2026DATA'!$H$11,"")</f>
        <v/>
      </c>
      <c r="AZ356" s="518" t="str">
        <f>IF(AND(_3="B-767-400ER",'2026'!$M$4="CA",'2026'!$M$2=AZ347),'2026DATA'!$I$11,"")</f>
        <v/>
      </c>
      <c r="BA356" s="518" t="str">
        <f>IF(AND(_3="B-767-400ER",'2026'!$M$4="CA",'2026'!$M$2=BA347),'2026DATA'!$J$11,"")</f>
        <v/>
      </c>
      <c r="BB356" s="518" t="str">
        <f>IF(AND(_3="B-767-400ER",'2026'!$M$4="CA",'2026'!$M$2=BB347),'2026DATA'!$K$11,"")</f>
        <v/>
      </c>
      <c r="BC356" s="518" t="str">
        <f>IF(AND(_3="B-767-400ER",'2026'!$M$4="CA",'2026'!$M$2=BC347),'2026DATA'!$L$11,"")</f>
        <v/>
      </c>
      <c r="BD356" s="518" t="str">
        <f>IF(AND(_3="B-767-400ER",'2026'!$M$4="CA",'2026'!$M$2=BD347),'2026DATA'!$M$11,"")</f>
        <v/>
      </c>
      <c r="BE356" s="520" t="str">
        <f>IF(AND(_3="B-767-400ER",'2026'!$M$4="CA",'2026'!$M$2=BE347),'2026DATA'!$N$11,"")</f>
        <v/>
      </c>
      <c r="BF356" s="940" t="s">
        <v>42</v>
      </c>
      <c r="BG356" s="13" t="s">
        <v>61</v>
      </c>
      <c r="BH356" s="518" t="str">
        <f>IF(AND(_4="B-767-400ER",'2026'!$M$4="CA",'2026'!$M$2=BH347),'2026DATA'!$C$11,"")</f>
        <v/>
      </c>
      <c r="BI356" s="518" t="str">
        <f>IF(AND(_4="B-767-400ER",'2026'!$M$4="CA",'2026'!$M$2=BI347),'2026DATA'!$D$11,"")</f>
        <v/>
      </c>
      <c r="BJ356" s="518" t="str">
        <f>IF(AND(_4="B-767-400ER",'2026'!$M$4="CA",'2026'!$M$2=BJ347),'2026DATA'!$E$11,"")</f>
        <v/>
      </c>
      <c r="BK356" s="518" t="str">
        <f>IF(AND(_4="B-767-400ER",'2026'!$M$4="CA",'2026'!$M$2=BK347),'2026DATA'!$F$11,"")</f>
        <v/>
      </c>
      <c r="BL356" s="518" t="str">
        <f>IF(AND(_4="B-767-400ER",'2026'!$M$4="CA",'2026'!$M$2=BL347),'2026DATA'!$G$11,"")</f>
        <v/>
      </c>
      <c r="BM356" s="518" t="str">
        <f>IF(AND(_4="B-767-400ER",'2026'!$M$4="CA",'2026'!$M$2=BM347),'2026DATA'!$H$11,"")</f>
        <v/>
      </c>
      <c r="BN356" s="518" t="str">
        <f>IF(AND(_4="B-767-400ER",'2026'!$M$4="CA",'2026'!$M$2=BN347),'2026DATA'!$I$11,"")</f>
        <v/>
      </c>
      <c r="BO356" s="518" t="str">
        <f>IF(AND(_4="B-767-400ER",'2026'!$M$4="CA",'2026'!$M$2=BO347),'2026DATA'!$J$11,"")</f>
        <v/>
      </c>
      <c r="BP356" s="518" t="str">
        <f>IF(AND(_4="B-767-400ER",'2026'!$M$4="CA",'2026'!$M$2=BP347),'2026DATA'!$K$11,"")</f>
        <v/>
      </c>
      <c r="BQ356" s="518" t="str">
        <f>IF(AND(_4="B-767-400ER",'2026'!$M$4="CA",'2026'!$M$2=BQ347),'2026DATA'!$L$11,"")</f>
        <v/>
      </c>
      <c r="BR356" s="518" t="str">
        <f>IF(AND(_4="B-767-400ER",'2026'!$M$4="CA",'2026'!$M$2=BR347),'2026DATA'!$M$11,"")</f>
        <v/>
      </c>
      <c r="BS356" s="520" t="str">
        <f>IF(AND(_4="B-767-400ER",'2026'!$M$4="CA",'2026'!$M$2=BS347),'2026DATA'!$N$11,"")</f>
        <v/>
      </c>
      <c r="BT356" s="940" t="s">
        <v>42</v>
      </c>
      <c r="BU356" s="13" t="s">
        <v>61</v>
      </c>
      <c r="BV356" s="518" t="str">
        <f>IF(AND(_5="B-767-400ER",'2026'!$M$4="CA",'2026'!$M$2=BV347),'2026DATA'!$C$11,"")</f>
        <v/>
      </c>
      <c r="BW356" s="518" t="str">
        <f>IF(AND(_5="B-767-400ER",'2026'!$M$4="CA",'2026'!$M$2=BW347),'2026DATA'!$D$11,"")</f>
        <v/>
      </c>
      <c r="BX356" s="518" t="str">
        <f>IF(AND(_5="B-767-400ER",'2026'!$M$4="CA",'2026'!$M$2=BX347),'2026DATA'!$E$11,"")</f>
        <v/>
      </c>
      <c r="BY356" s="518" t="str">
        <f>IF(AND(_5="B-767-400ER",'2026'!$M$4="CA",'2026'!$M$2=BY347),'2026DATA'!$F$11,"")</f>
        <v/>
      </c>
      <c r="BZ356" s="518" t="str">
        <f>IF(AND(_5="B-767-400ER",'2026'!$M$4="CA",'2026'!$M$2=BZ347),'2026DATA'!$G$11,"")</f>
        <v/>
      </c>
      <c r="CA356" s="518" t="str">
        <f>IF(AND(_5="B-767-400ER",'2026'!$M$4="CA",'2026'!$M$2=CA347),'2026DATA'!$H$11,"")</f>
        <v/>
      </c>
      <c r="CB356" s="518" t="str">
        <f>IF(AND(_5="B-767-400ER",'2026'!$M$4="CA",'2026'!$M$2=CB347),'2026DATA'!$I$11,"")</f>
        <v/>
      </c>
      <c r="CC356" s="518" t="str">
        <f>IF(AND(_5="B-767-400ER",'2026'!$M$4="CA",'2026'!$M$2=CC347),'2026DATA'!$J$11,"")</f>
        <v/>
      </c>
      <c r="CD356" s="518" t="str">
        <f>IF(AND(_5="B-767-400ER",'2026'!$M$4="CA",'2026'!$M$2=CD347),'2026DATA'!$K$11,"")</f>
        <v/>
      </c>
      <c r="CE356" s="518" t="str">
        <f>IF(AND(_5="B-767-400ER",'2026'!$M$4="CA",'2026'!$M$2=CE347),'2026DATA'!$L$11,"")</f>
        <v/>
      </c>
      <c r="CF356" s="518" t="str">
        <f>IF(AND(_5="B-767-400ER",'2026'!$M$4="CA",'2026'!$M$2=CF347),'2026DATA'!$M$11,"")</f>
        <v/>
      </c>
      <c r="CG356" s="520" t="str">
        <f>IF(AND(_5="B-767-400ER",'2026'!$M$4="CA",'2026'!$M$2=CG347),'2026DATA'!$N$11,"")</f>
        <v/>
      </c>
      <c r="CH356" s="940" t="s">
        <v>42</v>
      </c>
      <c r="CI356" s="13" t="s">
        <v>61</v>
      </c>
      <c r="CJ356" s="518" t="str">
        <f>IF(AND(_6="B-767-400ER",'2026'!$M$4="CA",'2026'!$M$2=CJ347),'2026DATA'!$C$11,"")</f>
        <v/>
      </c>
      <c r="CK356" s="518" t="str">
        <f>IF(AND(_6="B-767-400ER",'2026'!$M$4="CA",'2026'!$M$2=CK347),'2026DATA'!$D$11,"")</f>
        <v/>
      </c>
      <c r="CL356" s="518" t="str">
        <f>IF(AND(_6="B-767-400ER",'2026'!$M$4="CA",'2026'!$M$2=CL347),'2026DATA'!$E$11,"")</f>
        <v/>
      </c>
      <c r="CM356" s="518" t="str">
        <f>IF(AND(_6="B-767-400ER",'2026'!$M$4="CA",'2026'!$M$2=CM347),'2026DATA'!$F$11,"")</f>
        <v/>
      </c>
      <c r="CN356" s="518" t="str">
        <f>IF(AND(_6="B-767-400ER",'2026'!$M$4="CA",'2026'!$M$2=CN347),'2026DATA'!$G$11,"")</f>
        <v/>
      </c>
      <c r="CO356" s="518" t="str">
        <f>IF(AND(_6="B-767-400ER",'2026'!$M$4="CA",'2026'!$M$2=CO347),'2026DATA'!$H$11,"")</f>
        <v/>
      </c>
      <c r="CP356" s="518" t="str">
        <f>IF(AND(_6="B-767-400ER",'2026'!$M$4="CA",'2026'!$M$2=CP347),'2026DATA'!$I$11,"")</f>
        <v/>
      </c>
      <c r="CQ356" s="518" t="str">
        <f>IF(AND(_6="B-767-400ER",'2026'!$M$4="CA",'2026'!$M$2=CQ347),'2026DATA'!$J$11,"")</f>
        <v/>
      </c>
      <c r="CR356" s="518" t="str">
        <f>IF(AND(_6="B-767-400ER",'2026'!$M$4="CA",'2026'!$M$2=CR347),'2026DATA'!$K$11,"")</f>
        <v/>
      </c>
      <c r="CS356" s="518" t="str">
        <f>IF(AND(_6="B-767-400ER",'2026'!$M$4="CA",'2026'!$M$2=CS347),'2026DATA'!$L$11,"")</f>
        <v/>
      </c>
      <c r="CT356" s="518" t="str">
        <f>IF(AND(_6="B-767-400ER",'2026'!$M$4="CA",'2026'!$M$2=CT347),'2026DATA'!$M$11,"")</f>
        <v/>
      </c>
      <c r="CU356" s="520" t="str">
        <f>IF(AND(_6="B-767-400ER",'2026'!$M$4="CA",'2026'!$M$2=CU347),'2026DATA'!$N$11,"")</f>
        <v/>
      </c>
    </row>
    <row r="357" spans="16:99" x14ac:dyDescent="0.25">
      <c r="P357" s="940"/>
      <c r="Q357" s="13" t="s">
        <v>62</v>
      </c>
      <c r="R357" s="518" t="str">
        <f>IF(AND(_1="B-767-400ER",'2026'!$M$4="FO",'2026'!$M$2=R347),'2026DATA'!$C$12,"")</f>
        <v/>
      </c>
      <c r="S357" s="518" t="str">
        <f>IF(AND(_1="B-767-400ER",'2026'!$M$4="FO",'2026'!$M$2=S347),'2026DATA'!$D$12,"")</f>
        <v/>
      </c>
      <c r="T357" s="518" t="str">
        <f>IF(AND(_1="B-767-400ER",'2026'!$M$4="FO",'2026'!$M$2=T347),'2026DATA'!$E$12,"")</f>
        <v/>
      </c>
      <c r="U357" s="518" t="str">
        <f>IF(AND(_1="B-767-400ER",'2026'!$M$4="FO",'2026'!$M$2=U347),'2026DATA'!$F$12,"")</f>
        <v/>
      </c>
      <c r="V357" s="518" t="str">
        <f>IF(AND(_1="B-767-400ER",'2026'!$M$4="FO",'2026'!$M$2=V347),'2026DATA'!$G$12,"")</f>
        <v/>
      </c>
      <c r="W357" s="518" t="str">
        <f>IF(AND(_1="B-767-400ER",'2026'!$M$4="FO",'2026'!$M$2=W347),'2026DATA'!$H$12,"")</f>
        <v/>
      </c>
      <c r="X357" s="518" t="str">
        <f>IF(AND(_1="B-767-400ER",'2026'!$M$4="FO",'2026'!$M$2=X347),'2026DATA'!$I$12,"")</f>
        <v/>
      </c>
      <c r="Y357" s="518" t="str">
        <f>IF(AND(_1="B-767-400ER",'2026'!$M$4="FO",'2026'!$M$2=Y347),'2026DATA'!$J$12,"")</f>
        <v/>
      </c>
      <c r="Z357" s="518" t="str">
        <f>IF(AND(_1="B-767-400ER",'2026'!$M$4="FO",'2026'!$M$2=Z347),'2026DATA'!$K$12,"")</f>
        <v/>
      </c>
      <c r="AA357" s="518" t="str">
        <f>IF(AND(_1="B-767-400ER",'2026'!$M$4="FO",'2026'!$M$2=AA347),'2026DATA'!$L$12,"")</f>
        <v/>
      </c>
      <c r="AB357" s="518" t="str">
        <f>IF(AND(_1="B-767-400ER",'2026'!$M$4="FO",'2026'!$M$2=AB347),'2026DATA'!$M$12,"")</f>
        <v/>
      </c>
      <c r="AC357" s="520" t="str">
        <f>IF(AND(_1="B-767-400ER",'2026'!$M$4="FO",'2026'!$M$2=AC347),'2026DATA'!$N$12,"")</f>
        <v/>
      </c>
      <c r="AD357" s="940"/>
      <c r="AE357" s="13" t="s">
        <v>62</v>
      </c>
      <c r="AF357" s="518" t="str">
        <f>IF(AND(_2="B-767-400ER",'2026'!$M$4="FO",'2026'!$M$2=AF347),'2026DATA'!$C$12,"")</f>
        <v/>
      </c>
      <c r="AG357" s="518" t="str">
        <f>IF(AND(_2="B-767-400ER",'2026'!$M$4="FO",'2026'!$M$2=AG347),'2026DATA'!$D$12,"")</f>
        <v/>
      </c>
      <c r="AH357" s="518" t="str">
        <f>IF(AND(_2="B-767-400ER",'2026'!$M$4="FO",'2026'!$M$2=AH347),'2026DATA'!$E$12,"")</f>
        <v/>
      </c>
      <c r="AI357" s="518" t="str">
        <f>IF(AND(_2="B-767-400ER",'2026'!$M$4="FO",'2026'!$M$2=AI347),'2026DATA'!$F$12,"")</f>
        <v/>
      </c>
      <c r="AJ357" s="518" t="str">
        <f>IF(AND(_2="B-767-400ER",'2026'!$M$4="FO",'2026'!$M$2=AJ347),'2026DATA'!$G$12,"")</f>
        <v/>
      </c>
      <c r="AK357" s="518" t="str">
        <f>IF(AND(_2="B-767-400ER",'2026'!$M$4="FO",'2026'!$M$2=AK347),'2026DATA'!$H$12,"")</f>
        <v/>
      </c>
      <c r="AL357" s="518" t="str">
        <f>IF(AND(_2="B-767-400ER",'2026'!$M$4="FO",'2026'!$M$2=AL347),'2026DATA'!$I$12,"")</f>
        <v/>
      </c>
      <c r="AM357" s="518" t="str">
        <f>IF(AND(_2="B-767-400ER",'2026'!$M$4="FO",'2026'!$M$2=AM347),'2026DATA'!$J$12,"")</f>
        <v/>
      </c>
      <c r="AN357" s="518" t="str">
        <f>IF(AND(_2="B-767-400ER",'2026'!$M$4="FO",'2026'!$M$2=AN347),'2026DATA'!$K$12,"")</f>
        <v/>
      </c>
      <c r="AO357" s="518" t="str">
        <f>IF(AND(_2="B-767-400ER",'2026'!$M$4="FO",'2026'!$M$2=AO347),'2026DATA'!$L$12,"")</f>
        <v/>
      </c>
      <c r="AP357" s="518" t="str">
        <f>IF(AND(_2="B-767-400ER",'2026'!$M$4="FO",'2026'!$M$2=AP347),'2026DATA'!$M$12,"")</f>
        <v/>
      </c>
      <c r="AQ357" s="520" t="str">
        <f>IF(AND(_2="B-767-400ER",'2026'!$M$4="FO",'2026'!$M$2=AQ347),'2026DATA'!$N$12,"")</f>
        <v/>
      </c>
      <c r="AR357" s="940"/>
      <c r="AS357" s="13" t="s">
        <v>62</v>
      </c>
      <c r="AT357" s="518" t="str">
        <f>IF(AND(_3="B-767-400ER",'2026'!$M$4="FO",'2026'!$M$2=AT347),'2026DATA'!$C$12,"")</f>
        <v/>
      </c>
      <c r="AU357" s="518" t="str">
        <f>IF(AND(_3="B-767-400ER",'2026'!$M$4="FO",'2026'!$M$2=AU347),'2026DATA'!$D$12,"")</f>
        <v/>
      </c>
      <c r="AV357" s="518" t="str">
        <f>IF(AND(_3="B-767-400ER",'2026'!$M$4="FO",'2026'!$M$2=AV347),'2026DATA'!$E$12,"")</f>
        <v/>
      </c>
      <c r="AW357" s="518" t="str">
        <f>IF(AND(_3="B-767-400ER",'2026'!$M$4="FO",'2026'!$M$2=AW347),'2026DATA'!$F$12,"")</f>
        <v/>
      </c>
      <c r="AX357" s="518" t="str">
        <f>IF(AND(_3="B-767-400ER",'2026'!$M$4="FO",'2026'!$M$2=AX347),'2026DATA'!$G$12,"")</f>
        <v/>
      </c>
      <c r="AY357" s="518" t="str">
        <f>IF(AND(_3="B-767-400ER",'2026'!$M$4="FO",'2026'!$M$2=AY347),'2026DATA'!$H$12,"")</f>
        <v/>
      </c>
      <c r="AZ357" s="518" t="str">
        <f>IF(AND(_3="B-767-400ER",'2026'!$M$4="FO",'2026'!$M$2=AZ347),'2026DATA'!$I$12,"")</f>
        <v/>
      </c>
      <c r="BA357" s="518" t="str">
        <f>IF(AND(_3="B-767-400ER",'2026'!$M$4="FO",'2026'!$M$2=BA347),'2026DATA'!$J$12,"")</f>
        <v/>
      </c>
      <c r="BB357" s="518" t="str">
        <f>IF(AND(_3="B-767-400ER",'2026'!$M$4="FO",'2026'!$M$2=BB347),'2026DATA'!$K$12,"")</f>
        <v/>
      </c>
      <c r="BC357" s="518" t="str">
        <f>IF(AND(_3="B-767-400ER",'2026'!$M$4="FO",'2026'!$M$2=BC347),'2026DATA'!$L$12,"")</f>
        <v/>
      </c>
      <c r="BD357" s="518" t="str">
        <f>IF(AND(_3="B-767-400ER",'2026'!$M$4="FO",'2026'!$M$2=BD347),'2026DATA'!$M$12,"")</f>
        <v/>
      </c>
      <c r="BE357" s="520" t="str">
        <f>IF(AND(_3="B-767-400ER",'2026'!$M$4="FO",'2026'!$M$2=BE347),'2026DATA'!$N$12,"")</f>
        <v/>
      </c>
      <c r="BF357" s="940"/>
      <c r="BG357" s="13" t="s">
        <v>62</v>
      </c>
      <c r="BH357" s="518" t="str">
        <f>IF(AND(_4="B-767-400ER",'2026'!$M$4="FO",'2026'!$M$2=BH347),'2026DATA'!$C$12,"")</f>
        <v/>
      </c>
      <c r="BI357" s="518" t="str">
        <f>IF(AND(_4="B-767-400ER",'2026'!$M$4="FO",'2026'!$M$2=BI347),'2026DATA'!$D$12,"")</f>
        <v/>
      </c>
      <c r="BJ357" s="518" t="str">
        <f>IF(AND(_4="B-767-400ER",'2026'!$M$4="FO",'2026'!$M$2=BJ347),'2026DATA'!$E$12,"")</f>
        <v/>
      </c>
      <c r="BK357" s="518" t="str">
        <f>IF(AND(_4="B-767-400ER",'2026'!$M$4="FO",'2026'!$M$2=BK347),'2026DATA'!$F$12,"")</f>
        <v/>
      </c>
      <c r="BL357" s="518" t="str">
        <f>IF(AND(_4="B-767-400ER",'2026'!$M$4="FO",'2026'!$M$2=BL347),'2026DATA'!$G$12,"")</f>
        <v/>
      </c>
      <c r="BM357" s="518" t="str">
        <f>IF(AND(_4="B-767-400ER",'2026'!$M$4="FO",'2026'!$M$2=BM347),'2026DATA'!$H$12,"")</f>
        <v/>
      </c>
      <c r="BN357" s="518" t="str">
        <f>IF(AND(_4="B-767-400ER",'2026'!$M$4="FO",'2026'!$M$2=BN347),'2026DATA'!$I$12,"")</f>
        <v/>
      </c>
      <c r="BO357" s="518" t="str">
        <f>IF(AND(_4="B-767-400ER",'2026'!$M$4="FO",'2026'!$M$2=BO347),'2026DATA'!$J$12,"")</f>
        <v/>
      </c>
      <c r="BP357" s="518" t="str">
        <f>IF(AND(_4="B-767-400ER",'2026'!$M$4="FO",'2026'!$M$2=BP347),'2026DATA'!$K$12,"")</f>
        <v/>
      </c>
      <c r="BQ357" s="518" t="str">
        <f>IF(AND(_4="B-767-400ER",'2026'!$M$4="FO",'2026'!$M$2=BQ347),'2026DATA'!$L$12,"")</f>
        <v/>
      </c>
      <c r="BR357" s="518" t="str">
        <f>IF(AND(_4="B-767-400ER",'2026'!$M$4="FO",'2026'!$M$2=BR347),'2026DATA'!$M$12,"")</f>
        <v/>
      </c>
      <c r="BS357" s="520" t="str">
        <f>IF(AND(_4="B-767-400ER",'2026'!$M$4="FO",'2026'!$M$2=BS347),'2026DATA'!$N$12,"")</f>
        <v/>
      </c>
      <c r="BT357" s="940"/>
      <c r="BU357" s="13" t="s">
        <v>62</v>
      </c>
      <c r="BV357" s="518" t="str">
        <f>IF(AND(_5="B-767-400ER",'2026'!$M$4="FO",'2026'!$M$2=BV347),'2026DATA'!$C$12,"")</f>
        <v/>
      </c>
      <c r="BW357" s="518" t="str">
        <f>IF(AND(_5="B-767-400ER",'2026'!$M$4="FO",'2026'!$M$2=BW347),'2026DATA'!$D$12,"")</f>
        <v/>
      </c>
      <c r="BX357" s="518" t="str">
        <f>IF(AND(_5="B-767-400ER",'2026'!$M$4="FO",'2026'!$M$2=BX347),'2026DATA'!$E$12,"")</f>
        <v/>
      </c>
      <c r="BY357" s="518" t="str">
        <f>IF(AND(_5="B-767-400ER",'2026'!$M$4="FO",'2026'!$M$2=BY347),'2026DATA'!$F$12,"")</f>
        <v/>
      </c>
      <c r="BZ357" s="518" t="str">
        <f>IF(AND(_5="B-767-400ER",'2026'!$M$4="FO",'2026'!$M$2=BZ347),'2026DATA'!$G$12,"")</f>
        <v/>
      </c>
      <c r="CA357" s="518" t="str">
        <f>IF(AND(_5="B-767-400ER",'2026'!$M$4="FO",'2026'!$M$2=CA347),'2026DATA'!$H$12,"")</f>
        <v/>
      </c>
      <c r="CB357" s="518" t="str">
        <f>IF(AND(_5="B-767-400ER",'2026'!$M$4="FO",'2026'!$M$2=CB347),'2026DATA'!$I$12,"")</f>
        <v/>
      </c>
      <c r="CC357" s="518" t="str">
        <f>IF(AND(_5="B-767-400ER",'2026'!$M$4="FO",'2026'!$M$2=CC347),'2026DATA'!$J$12,"")</f>
        <v/>
      </c>
      <c r="CD357" s="518" t="str">
        <f>IF(AND(_5="B-767-400ER",'2026'!$M$4="FO",'2026'!$M$2=CD347),'2026DATA'!$K$12,"")</f>
        <v/>
      </c>
      <c r="CE357" s="518" t="str">
        <f>IF(AND(_5="B-767-400ER",'2026'!$M$4="FO",'2026'!$M$2=CE347),'2026DATA'!$L$12,"")</f>
        <v/>
      </c>
      <c r="CF357" s="518" t="str">
        <f>IF(AND(_5="B-767-400ER",'2026'!$M$4="FO",'2026'!$M$2=CF347),'2026DATA'!$M$12,"")</f>
        <v/>
      </c>
      <c r="CG357" s="520" t="str">
        <f>IF(AND(_5="B-767-400ER",'2026'!$M$4="FO",'2026'!$M$2=CG347),'2026DATA'!$N$12,"")</f>
        <v/>
      </c>
      <c r="CH357" s="940"/>
      <c r="CI357" s="13" t="s">
        <v>62</v>
      </c>
      <c r="CJ357" s="518" t="str">
        <f>IF(AND(_6="B-767-400ER",'2026'!$M$4="FO",'2026'!$M$2=CJ347),'2026DATA'!$C$12,"")</f>
        <v/>
      </c>
      <c r="CK357" s="518" t="str">
        <f>IF(AND(_6="B-767-400ER",'2026'!$M$4="FO",'2026'!$M$2=CK347),'2026DATA'!$D$12,"")</f>
        <v/>
      </c>
      <c r="CL357" s="518" t="str">
        <f>IF(AND(_6="B-767-400ER",'2026'!$M$4="FO",'2026'!$M$2=CL347),'2026DATA'!$E$12,"")</f>
        <v/>
      </c>
      <c r="CM357" s="518" t="str">
        <f>IF(AND(_6="B-767-400ER",'2026'!$M$4="FO",'2026'!$M$2=CM347),'2026DATA'!$F$12,"")</f>
        <v/>
      </c>
      <c r="CN357" s="518" t="str">
        <f>IF(AND(_6="B-767-400ER",'2026'!$M$4="FO",'2026'!$M$2=CN347),'2026DATA'!$G$12,"")</f>
        <v/>
      </c>
      <c r="CO357" s="518" t="str">
        <f>IF(AND(_6="B-767-400ER",'2026'!$M$4="FO",'2026'!$M$2=CO347),'2026DATA'!$H$12,"")</f>
        <v/>
      </c>
      <c r="CP357" s="518" t="str">
        <f>IF(AND(_6="B-767-400ER",'2026'!$M$4="FO",'2026'!$M$2=CP347),'2026DATA'!$I$12,"")</f>
        <v/>
      </c>
      <c r="CQ357" s="518" t="str">
        <f>IF(AND(_6="B-767-400ER",'2026'!$M$4="FO",'2026'!$M$2=CQ347),'2026DATA'!$J$12,"")</f>
        <v/>
      </c>
      <c r="CR357" s="518" t="str">
        <f>IF(AND(_6="B-767-400ER",'2026'!$M$4="FO",'2026'!$M$2=CR347),'2026DATA'!$K$12,"")</f>
        <v/>
      </c>
      <c r="CS357" s="518" t="str">
        <f>IF(AND(_6="B-767-400ER",'2026'!$M$4="FO",'2026'!$M$2=CS347),'2026DATA'!$L$12,"")</f>
        <v/>
      </c>
      <c r="CT357" s="518" t="str">
        <f>IF(AND(_6="B-767-400ER",'2026'!$M$4="FO",'2026'!$M$2=CT347),'2026DATA'!$M$12,"")</f>
        <v/>
      </c>
      <c r="CU357" s="520" t="str">
        <f>IF(AND(_6="B-767-400ER",'2026'!$M$4="FO",'2026'!$M$2=CU347),'2026DATA'!$N$12,"")</f>
        <v/>
      </c>
    </row>
    <row r="358" spans="16:99" x14ac:dyDescent="0.25">
      <c r="P358" s="940" t="s">
        <v>43</v>
      </c>
      <c r="Q358" s="13" t="s">
        <v>61</v>
      </c>
      <c r="R358" s="518" t="str">
        <f>IF(AND(_1="B-767-300ER",'2026'!$M$4="CA",'2026'!$M$2=R347),'2026DATA'!$C$13,"")</f>
        <v/>
      </c>
      <c r="S358" s="518" t="str">
        <f>IF(AND(_1="B-767-300ER",'2026'!$M$4="CA",'2026'!$M$2=S347),'2026DATA'!$D$13,"")</f>
        <v/>
      </c>
      <c r="T358" s="518" t="str">
        <f>IF(AND(_1="B-767-300ER",'2026'!$M$4="CA",'2026'!$M$2=T347),'2026DATA'!$E$13,"")</f>
        <v/>
      </c>
      <c r="U358" s="518" t="str">
        <f>IF(AND(_1="B-767-300ER",'2026'!$M$4="CA",'2026'!$M$2=U347),'2026DATA'!$F$13,"")</f>
        <v/>
      </c>
      <c r="V358" s="518" t="str">
        <f>IF(AND(_1="B-767-300ER",'2026'!$M$4="CA",'2026'!$M$2=V347),'2026DATA'!$G$13,"")</f>
        <v/>
      </c>
      <c r="W358" s="518" t="str">
        <f>IF(AND(_1="B-767-300ER",'2026'!$M$4="CA",'2026'!$M$2=W347),'2026DATA'!$H$13,"")</f>
        <v/>
      </c>
      <c r="X358" s="518" t="str">
        <f>IF(AND(_1="B-767-300ER",'2026'!$M$4="CA",'2026'!$M$2=X347),'2026DATA'!$I$13,"")</f>
        <v/>
      </c>
      <c r="Y358" s="518" t="str">
        <f>IF(AND(_1="B-767-300ER",'2026'!$M$4="CA",'2026'!$M$2=Y347),'2026DATA'!$J$13,"")</f>
        <v/>
      </c>
      <c r="Z358" s="518" t="str">
        <f>IF(AND(_1="B-767-300ER",'2026'!$M$4="CA",'2026'!$M$2=Z347),'2026DATA'!$K$13,"")</f>
        <v/>
      </c>
      <c r="AA358" s="518" t="str">
        <f>IF(AND(_1="B-767-300ER",'2026'!$M$4="CA",'2026'!$M$2=AA347),'2026DATA'!$L$13,"")</f>
        <v/>
      </c>
      <c r="AB358" s="518" t="str">
        <f>IF(AND(_1="B-767-300ER",'2026'!$M$4="CA",'2026'!$M$2=AB347),'2026DATA'!$M$13,"")</f>
        <v/>
      </c>
      <c r="AC358" s="520" t="str">
        <f>IF(AND(_1="B-767-300ER",'2026'!$M$4="CA",'2026'!$M$2=AC347),'2026DATA'!$N$13,"")</f>
        <v/>
      </c>
      <c r="AD358" s="940" t="s">
        <v>43</v>
      </c>
      <c r="AE358" s="13" t="s">
        <v>61</v>
      </c>
      <c r="AF358" s="518" t="str">
        <f>IF(AND(_2="B-767-300ER",'2026'!$M$4="CA",'2026'!$M$2=AF347),'2026DATA'!$C$13,"")</f>
        <v/>
      </c>
      <c r="AG358" s="518" t="str">
        <f>IF(AND(_2="B-767-300ER",'2026'!$M$4="CA",'2026'!$M$2=AG347),'2026DATA'!$D$13,"")</f>
        <v/>
      </c>
      <c r="AH358" s="518" t="str">
        <f>IF(AND(_2="B-767-300ER",'2026'!$M$4="CA",'2026'!$M$2=AH347),'2026DATA'!$E$13,"")</f>
        <v/>
      </c>
      <c r="AI358" s="518" t="str">
        <f>IF(AND(_2="B-767-300ER",'2026'!$M$4="CA",'2026'!$M$2=AI347),'2026DATA'!$F$13,"")</f>
        <v/>
      </c>
      <c r="AJ358" s="518" t="str">
        <f>IF(AND(_2="B-767-300ER",'2026'!$M$4="CA",'2026'!$M$2=AJ347),'2026DATA'!$G$13,"")</f>
        <v/>
      </c>
      <c r="AK358" s="518" t="str">
        <f>IF(AND(_2="B-767-300ER",'2026'!$M$4="CA",'2026'!$M$2=AK347),'2026DATA'!$H$13,"")</f>
        <v/>
      </c>
      <c r="AL358" s="518" t="str">
        <f>IF(AND(_2="B-767-300ER",'2026'!$M$4="CA",'2026'!$M$2=AL347),'2026DATA'!$I$13,"")</f>
        <v/>
      </c>
      <c r="AM358" s="518" t="str">
        <f>IF(AND(_2="B-767-300ER",'2026'!$M$4="CA",'2026'!$M$2=AM347),'2026DATA'!$J$13,"")</f>
        <v/>
      </c>
      <c r="AN358" s="518" t="str">
        <f>IF(AND(_2="B-767-300ER",'2026'!$M$4="CA",'2026'!$M$2=AN347),'2026DATA'!$K$13,"")</f>
        <v/>
      </c>
      <c r="AO358" s="518" t="str">
        <f>IF(AND(_2="B-767-300ER",'2026'!$M$4="CA",'2026'!$M$2=AO347),'2026DATA'!$L$13,"")</f>
        <v/>
      </c>
      <c r="AP358" s="518" t="str">
        <f>IF(AND(_2="B-767-300ER",'2026'!$M$4="CA",'2026'!$M$2=AP347),'2026DATA'!$M$13,"")</f>
        <v/>
      </c>
      <c r="AQ358" s="520" t="str">
        <f>IF(AND(_2="B-767-300ER",'2026'!$M$4="CA",'2026'!$M$2=AQ347),'2026DATA'!$N$13,"")</f>
        <v/>
      </c>
      <c r="AR358" s="940" t="s">
        <v>43</v>
      </c>
      <c r="AS358" s="13" t="s">
        <v>61</v>
      </c>
      <c r="AT358" s="518" t="str">
        <f>IF(AND(_3="B-767-300ER",'2026'!$M$4="CA",'2026'!$M$2=AT347),'2026DATA'!$C$13,"")</f>
        <v/>
      </c>
      <c r="AU358" s="518" t="str">
        <f>IF(AND(_3="B-767-300ER",'2026'!$M$4="CA",'2026'!$M$2=AU347),'2026DATA'!$D$13,"")</f>
        <v/>
      </c>
      <c r="AV358" s="518" t="str">
        <f>IF(AND(_3="B-767-300ER",'2026'!$M$4="CA",'2026'!$M$2=AV347),'2026DATA'!$E$13,"")</f>
        <v/>
      </c>
      <c r="AW358" s="518" t="str">
        <f>IF(AND(_3="B-767-300ER",'2026'!$M$4="CA",'2026'!$M$2=AW347),'2026DATA'!$F$13,"")</f>
        <v/>
      </c>
      <c r="AX358" s="518" t="str">
        <f>IF(AND(_3="B-767-300ER",'2026'!$M$4="CA",'2026'!$M$2=AX347),'2026DATA'!$G$13,"")</f>
        <v/>
      </c>
      <c r="AY358" s="518" t="str">
        <f>IF(AND(_3="B-767-300ER",'2026'!$M$4="CA",'2026'!$M$2=AY347),'2026DATA'!$H$13,"")</f>
        <v/>
      </c>
      <c r="AZ358" s="518" t="str">
        <f>IF(AND(_3="B-767-300ER",'2026'!$M$4="CA",'2026'!$M$2=AZ347),'2026DATA'!$I$13,"")</f>
        <v/>
      </c>
      <c r="BA358" s="518" t="str">
        <f>IF(AND(_3="B-767-300ER",'2026'!$M$4="CA",'2026'!$M$2=BA347),'2026DATA'!$J$13,"")</f>
        <v/>
      </c>
      <c r="BB358" s="518" t="str">
        <f>IF(AND(_3="B-767-300ER",'2026'!$M$4="CA",'2026'!$M$2=BB347),'2026DATA'!$K$13,"")</f>
        <v/>
      </c>
      <c r="BC358" s="518" t="str">
        <f>IF(AND(_3="B-767-300ER",'2026'!$M$4="CA",'2026'!$M$2=BC347),'2026DATA'!$L$13,"")</f>
        <v/>
      </c>
      <c r="BD358" s="518" t="str">
        <f>IF(AND(_3="B-767-300ER",'2026'!$M$4="CA",'2026'!$M$2=BD347),'2026DATA'!$M$13,"")</f>
        <v/>
      </c>
      <c r="BE358" s="520" t="str">
        <f>IF(AND(_3="B-767-300ER",'2026'!$M$4="CA",'2026'!$M$2=BE347),'2026DATA'!$N$13,"")</f>
        <v/>
      </c>
      <c r="BF358" s="940" t="s">
        <v>43</v>
      </c>
      <c r="BG358" s="13" t="s">
        <v>61</v>
      </c>
      <c r="BH358" s="518" t="str">
        <f>IF(AND(_4="B-767-300ER",'2026'!$M$4="CA",'2026'!$M$2=BH347),'2026DATA'!$C$13,"")</f>
        <v/>
      </c>
      <c r="BI358" s="518" t="str">
        <f>IF(AND(_4="B-767-300ER",'2026'!$M$4="CA",'2026'!$M$2=BI347),'2026DATA'!$D$13,"")</f>
        <v/>
      </c>
      <c r="BJ358" s="518" t="str">
        <f>IF(AND(_4="B-767-300ER",'2026'!$M$4="CA",'2026'!$M$2=BJ347),'2026DATA'!$E$13,"")</f>
        <v/>
      </c>
      <c r="BK358" s="518" t="str">
        <f>IF(AND(_4="B-767-300ER",'2026'!$M$4="CA",'2026'!$M$2=BK347),'2026DATA'!$F$13,"")</f>
        <v/>
      </c>
      <c r="BL358" s="518" t="str">
        <f>IF(AND(_4="B-767-300ER",'2026'!$M$4="CA",'2026'!$M$2=BL347),'2026DATA'!$G$13,"")</f>
        <v/>
      </c>
      <c r="BM358" s="518" t="str">
        <f>IF(AND(_4="B-767-300ER",'2026'!$M$4="CA",'2026'!$M$2=BM347),'2026DATA'!$H$13,"")</f>
        <v/>
      </c>
      <c r="BN358" s="518" t="str">
        <f>IF(AND(_4="B-767-300ER",'2026'!$M$4="CA",'2026'!$M$2=BN347),'2026DATA'!$I$13,"")</f>
        <v/>
      </c>
      <c r="BO358" s="518" t="str">
        <f>IF(AND(_4="B-767-300ER",'2026'!$M$4="CA",'2026'!$M$2=BO347),'2026DATA'!$J$13,"")</f>
        <v/>
      </c>
      <c r="BP358" s="518" t="str">
        <f>IF(AND(_4="B-767-300ER",'2026'!$M$4="CA",'2026'!$M$2=BP347),'2026DATA'!$K$13,"")</f>
        <v/>
      </c>
      <c r="BQ358" s="518" t="str">
        <f>IF(AND(_4="B-767-300ER",'2026'!$M$4="CA",'2026'!$M$2=BQ347),'2026DATA'!$L$13,"")</f>
        <v/>
      </c>
      <c r="BR358" s="518" t="str">
        <f>IF(AND(_4="B-767-300ER",'2026'!$M$4="CA",'2026'!$M$2=BR347),'2026DATA'!$M$13,"")</f>
        <v/>
      </c>
      <c r="BS358" s="520" t="str">
        <f>IF(AND(_4="B-767-300ER",'2026'!$M$4="CA",'2026'!$M$2=BS347),'2026DATA'!$N$13,"")</f>
        <v/>
      </c>
      <c r="BT358" s="940" t="s">
        <v>43</v>
      </c>
      <c r="BU358" s="13" t="s">
        <v>61</v>
      </c>
      <c r="BV358" s="518" t="str">
        <f>IF(AND(_5="B-767-300ER",'2026'!$M$4="CA",'2026'!$M$2=BV347),'2026DATA'!$C$13,"")</f>
        <v/>
      </c>
      <c r="BW358" s="518" t="str">
        <f>IF(AND(_5="B-767-300ER",'2026'!$M$4="CA",'2026'!$M$2=BW347),'2026DATA'!$D$13,"")</f>
        <v/>
      </c>
      <c r="BX358" s="518" t="str">
        <f>IF(AND(_5="B-767-300ER",'2026'!$M$4="CA",'2026'!$M$2=BX347),'2026DATA'!$E$13,"")</f>
        <v/>
      </c>
      <c r="BY358" s="518" t="str">
        <f>IF(AND(_5="B-767-300ER",'2026'!$M$4="CA",'2026'!$M$2=BY347),'2026DATA'!$F$13,"")</f>
        <v/>
      </c>
      <c r="BZ358" s="518" t="str">
        <f>IF(AND(_5="B-767-300ER",'2026'!$M$4="CA",'2026'!$M$2=BZ347),'2026DATA'!$G$13,"")</f>
        <v/>
      </c>
      <c r="CA358" s="518" t="str">
        <f>IF(AND(_5="B-767-300ER",'2026'!$M$4="CA",'2026'!$M$2=CA347),'2026DATA'!$H$13,"")</f>
        <v/>
      </c>
      <c r="CB358" s="518" t="str">
        <f>IF(AND(_5="B-767-300ER",'2026'!$M$4="CA",'2026'!$M$2=CB347),'2026DATA'!$I$13,"")</f>
        <v/>
      </c>
      <c r="CC358" s="518" t="str">
        <f>IF(AND(_5="B-767-300ER",'2026'!$M$4="CA",'2026'!$M$2=CC347),'2026DATA'!$J$13,"")</f>
        <v/>
      </c>
      <c r="CD358" s="518" t="str">
        <f>IF(AND(_5="B-767-300ER",'2026'!$M$4="CA",'2026'!$M$2=CD347),'2026DATA'!$K$13,"")</f>
        <v/>
      </c>
      <c r="CE358" s="518" t="str">
        <f>IF(AND(_5="B-767-300ER",'2026'!$M$4="CA",'2026'!$M$2=CE347),'2026DATA'!$L$13,"")</f>
        <v/>
      </c>
      <c r="CF358" s="518" t="str">
        <f>IF(AND(_5="B-767-300ER",'2026'!$M$4="CA",'2026'!$M$2=CF347),'2026DATA'!$M$13,"")</f>
        <v/>
      </c>
      <c r="CG358" s="520" t="str">
        <f>IF(AND(_5="B-767-300ER",'2026'!$M$4="CA",'2026'!$M$2=CG347),'2026DATA'!$N$13,"")</f>
        <v/>
      </c>
      <c r="CH358" s="940" t="s">
        <v>43</v>
      </c>
      <c r="CI358" s="13" t="s">
        <v>61</v>
      </c>
      <c r="CJ358" s="518" t="str">
        <f>IF(AND(_6="B-767-300ER",'2026'!$M$4="CA",'2026'!$M$2=CJ347),'2026DATA'!$C$13,"")</f>
        <v/>
      </c>
      <c r="CK358" s="518" t="str">
        <f>IF(AND(_6="B-767-300ER",'2026'!$M$4="CA",'2026'!$M$2=CK347),'2026DATA'!$D$13,"")</f>
        <v/>
      </c>
      <c r="CL358" s="518" t="str">
        <f>IF(AND(_6="B-767-300ER",'2026'!$M$4="CA",'2026'!$M$2=CL347),'2026DATA'!$E$13,"")</f>
        <v/>
      </c>
      <c r="CM358" s="518" t="str">
        <f>IF(AND(_6="B-767-300ER",'2026'!$M$4="CA",'2026'!$M$2=CM347),'2026DATA'!$F$13,"")</f>
        <v/>
      </c>
      <c r="CN358" s="518" t="str">
        <f>IF(AND(_6="B-767-300ER",'2026'!$M$4="CA",'2026'!$M$2=CN347),'2026DATA'!$G$13,"")</f>
        <v/>
      </c>
      <c r="CO358" s="518" t="str">
        <f>IF(AND(_6="B-767-300ER",'2026'!$M$4="CA",'2026'!$M$2=CO347),'2026DATA'!$H$13,"")</f>
        <v/>
      </c>
      <c r="CP358" s="518" t="str">
        <f>IF(AND(_6="B-767-300ER",'2026'!$M$4="CA",'2026'!$M$2=CP347),'2026DATA'!$I$13,"")</f>
        <v/>
      </c>
      <c r="CQ358" s="518" t="str">
        <f>IF(AND(_6="B-767-300ER",'2026'!$M$4="CA",'2026'!$M$2=CQ347),'2026DATA'!$J$13,"")</f>
        <v/>
      </c>
      <c r="CR358" s="518" t="str">
        <f>IF(AND(_6="B-767-300ER",'2026'!$M$4="CA",'2026'!$M$2=CR347),'2026DATA'!$K$13,"")</f>
        <v/>
      </c>
      <c r="CS358" s="518" t="str">
        <f>IF(AND(_6="B-767-300ER",'2026'!$M$4="CA",'2026'!$M$2=CS347),'2026DATA'!$L$13,"")</f>
        <v/>
      </c>
      <c r="CT358" s="518" t="str">
        <f>IF(AND(_6="B-767-300ER",'2026'!$M$4="CA",'2026'!$M$2=CT347),'2026DATA'!$M$13,"")</f>
        <v/>
      </c>
      <c r="CU358" s="520" t="str">
        <f>IF(AND(_6="B-767-300ER",'2026'!$M$4="CA",'2026'!$M$2=CU347),'2026DATA'!$N$13,"")</f>
        <v/>
      </c>
    </row>
    <row r="359" spans="16:99" x14ac:dyDescent="0.25">
      <c r="P359" s="940"/>
      <c r="Q359" s="13" t="s">
        <v>62</v>
      </c>
      <c r="R359" s="518" t="str">
        <f>IF(AND(_1="B-767-300ER",'2026'!$M$4="FO",'2026'!$M$2=R347),'2026DATA'!$C$14,"")</f>
        <v/>
      </c>
      <c r="S359" s="518" t="str">
        <f>IF(AND(_1="B-767-300ER",'2026'!$M$4="FO",'2026'!$M$2=S347),'2026DATA'!$D$14,"")</f>
        <v/>
      </c>
      <c r="T359" s="518" t="str">
        <f>IF(AND(_1="B-767-300ER",'2026'!$M$4="FO",'2026'!$M$2=T347),'2026DATA'!$E$14,"")</f>
        <v/>
      </c>
      <c r="U359" s="518" t="str">
        <f>IF(AND(_1="B-767-300ER",'2026'!$M$4="FO",'2026'!$M$2=U347),'2026DATA'!$F$14,"")</f>
        <v/>
      </c>
      <c r="V359" s="518" t="str">
        <f>IF(AND(_1="B-767-300ER",'2026'!$M$4="FO",'2026'!$M$2=V347),'2026DATA'!$G$14,"")</f>
        <v/>
      </c>
      <c r="W359" s="518" t="str">
        <f>IF(AND(_1="B-767-300ER",'2026'!$M$4="FO",'2026'!$M$2=W347),'2026DATA'!$H$14,"")</f>
        <v/>
      </c>
      <c r="X359" s="518" t="str">
        <f>IF(AND(_1="B-767-300ER",'2026'!$M$4="FO",'2026'!$M$2=X347),'2026DATA'!$I$14,"")</f>
        <v/>
      </c>
      <c r="Y359" s="518" t="str">
        <f>IF(AND(_1="B-767-300ER",'2026'!$M$4="FO",'2026'!$M$2=Y347),'2026DATA'!$J$14,"")</f>
        <v/>
      </c>
      <c r="Z359" s="518" t="str">
        <f>IF(AND(_1="B-767-300ER",'2026'!$M$4="FO",'2026'!$M$2=Z347),'2026DATA'!$K$14,"")</f>
        <v/>
      </c>
      <c r="AA359" s="518" t="str">
        <f>IF(AND(_1="B-767-300ER",'2026'!$M$4="FO",'2026'!$M$2=AA347),'2026DATA'!$L$14,"")</f>
        <v/>
      </c>
      <c r="AB359" s="518" t="str">
        <f>IF(AND(_1="B-767-300ER",'2026'!$M$4="FO",'2026'!$M$2=AB347),'2026DATA'!$M$14,"")</f>
        <v/>
      </c>
      <c r="AC359" s="520" t="str">
        <f>IF(AND(_1="B-767-300ER",'2026'!$M$4="FO",'2026'!$M$2=AC347),'2026DATA'!$N$14,"")</f>
        <v/>
      </c>
      <c r="AD359" s="940"/>
      <c r="AE359" s="13" t="s">
        <v>62</v>
      </c>
      <c r="AF359" s="518" t="str">
        <f>IF(AND(_2="B-767-300ER",'2026'!$M$4="FO",'2026'!$M$2=AF347),'2026DATA'!$C$14,"")</f>
        <v/>
      </c>
      <c r="AG359" s="518" t="str">
        <f>IF(AND(_2="B-767-300ER",'2026'!$M$4="FO",'2026'!$M$2=AG347),'2026DATA'!$D$14,"")</f>
        <v/>
      </c>
      <c r="AH359" s="518" t="str">
        <f>IF(AND(_2="B-767-300ER",'2026'!$M$4="FO",'2026'!$M$2=AH347),'2026DATA'!$E$14,"")</f>
        <v/>
      </c>
      <c r="AI359" s="518" t="str">
        <f>IF(AND(_2="B-767-300ER",'2026'!$M$4="FO",'2026'!$M$2=AI347),'2026DATA'!$F$14,"")</f>
        <v/>
      </c>
      <c r="AJ359" s="518" t="str">
        <f>IF(AND(_2="B-767-300ER",'2026'!$M$4="FO",'2026'!$M$2=AJ347),'2026DATA'!$G$14,"")</f>
        <v/>
      </c>
      <c r="AK359" s="518" t="str">
        <f>IF(AND(_2="B-767-300ER",'2026'!$M$4="FO",'2026'!$M$2=AK347),'2026DATA'!$H$14,"")</f>
        <v/>
      </c>
      <c r="AL359" s="518" t="str">
        <f>IF(AND(_2="B-767-300ER",'2026'!$M$4="FO",'2026'!$M$2=AL347),'2026DATA'!$I$14,"")</f>
        <v/>
      </c>
      <c r="AM359" s="518" t="str">
        <f>IF(AND(_2="B-767-300ER",'2026'!$M$4="FO",'2026'!$M$2=AM347),'2026DATA'!$J$14,"")</f>
        <v/>
      </c>
      <c r="AN359" s="518" t="str">
        <f>IF(AND(_2="B-767-300ER",'2026'!$M$4="FO",'2026'!$M$2=AN347),'2026DATA'!$K$14,"")</f>
        <v/>
      </c>
      <c r="AO359" s="518" t="str">
        <f>IF(AND(_2="B-767-300ER",'2026'!$M$4="FO",'2026'!$M$2=AO347),'2026DATA'!$L$14,"")</f>
        <v/>
      </c>
      <c r="AP359" s="518" t="str">
        <f>IF(AND(_2="B-767-300ER",'2026'!$M$4="FO",'2026'!$M$2=AP347),'2026DATA'!$M$14,"")</f>
        <v/>
      </c>
      <c r="AQ359" s="520" t="str">
        <f>IF(AND(_2="B-767-300ER",'2026'!$M$4="FO",'2026'!$M$2=AQ347),'2026DATA'!$N$14,"")</f>
        <v/>
      </c>
      <c r="AR359" s="940"/>
      <c r="AS359" s="13" t="s">
        <v>62</v>
      </c>
      <c r="AT359" s="518" t="str">
        <f>IF(AND(_3="B-767-300ER",'2026'!$M$4="FO",'2026'!$M$2=AT347),'2026DATA'!$C$14,"")</f>
        <v/>
      </c>
      <c r="AU359" s="518" t="str">
        <f>IF(AND(_3="B-767-300ER",'2026'!$M$4="FO",'2026'!$M$2=AU347),'2026DATA'!$D$14,"")</f>
        <v/>
      </c>
      <c r="AV359" s="518" t="str">
        <f>IF(AND(_3="B-767-300ER",'2026'!$M$4="FO",'2026'!$M$2=AV347),'2026DATA'!$E$14,"")</f>
        <v/>
      </c>
      <c r="AW359" s="518" t="str">
        <f>IF(AND(_3="B-767-300ER",'2026'!$M$4="FO",'2026'!$M$2=AW347),'2026DATA'!$F$14,"")</f>
        <v/>
      </c>
      <c r="AX359" s="518" t="str">
        <f>IF(AND(_3="B-767-300ER",'2026'!$M$4="FO",'2026'!$M$2=AX347),'2026DATA'!$G$14,"")</f>
        <v/>
      </c>
      <c r="AY359" s="518" t="str">
        <f>IF(AND(_3="B-767-300ER",'2026'!$M$4="FO",'2026'!$M$2=AY347),'2026DATA'!$H$14,"")</f>
        <v/>
      </c>
      <c r="AZ359" s="518" t="str">
        <f>IF(AND(_3="B-767-300ER",'2026'!$M$4="FO",'2026'!$M$2=AZ347),'2026DATA'!$I$14,"")</f>
        <v/>
      </c>
      <c r="BA359" s="518" t="str">
        <f>IF(AND(_3="B-767-300ER",'2026'!$M$4="FO",'2026'!$M$2=BA347),'2026DATA'!$J$14,"")</f>
        <v/>
      </c>
      <c r="BB359" s="518" t="str">
        <f>IF(AND(_3="B-767-300ER",'2026'!$M$4="FO",'2026'!$M$2=BB347),'2026DATA'!$K$14,"")</f>
        <v/>
      </c>
      <c r="BC359" s="518" t="str">
        <f>IF(AND(_3="B-767-300ER",'2026'!$M$4="FO",'2026'!$M$2=BC347),'2026DATA'!$L$14,"")</f>
        <v/>
      </c>
      <c r="BD359" s="518" t="str">
        <f>IF(AND(_3="B-767-300ER",'2026'!$M$4="FO",'2026'!$M$2=BD347),'2026DATA'!$M$14,"")</f>
        <v/>
      </c>
      <c r="BE359" s="520" t="str">
        <f>IF(AND(_3="B-767-300ER",'2026'!$M$4="FO",'2026'!$M$2=BE347),'2026DATA'!$N$14,"")</f>
        <v/>
      </c>
      <c r="BF359" s="940"/>
      <c r="BG359" s="13" t="s">
        <v>62</v>
      </c>
      <c r="BH359" s="518" t="str">
        <f>IF(AND(_4="B-767-300ER",'2026'!$M$4="FO",'2026'!$M$2=BH347),'2026DATA'!$C$14,"")</f>
        <v/>
      </c>
      <c r="BI359" s="518" t="str">
        <f>IF(AND(_4="B-767-300ER",'2026'!$M$4="FO",'2026'!$M$2=BI347),'2026DATA'!$D$14,"")</f>
        <v/>
      </c>
      <c r="BJ359" s="518" t="str">
        <f>IF(AND(_4="B-767-300ER",'2026'!$M$4="FO",'2026'!$M$2=BJ347),'2026DATA'!$E$14,"")</f>
        <v/>
      </c>
      <c r="BK359" s="518" t="str">
        <f>IF(AND(_4="B-767-300ER",'2026'!$M$4="FO",'2026'!$M$2=BK347),'2026DATA'!$F$14,"")</f>
        <v/>
      </c>
      <c r="BL359" s="518" t="str">
        <f>IF(AND(_4="B-767-300ER",'2026'!$M$4="FO",'2026'!$M$2=BL347),'2026DATA'!$G$14,"")</f>
        <v/>
      </c>
      <c r="BM359" s="518" t="str">
        <f>IF(AND(_4="B-767-300ER",'2026'!$M$4="FO",'2026'!$M$2=BM347),'2026DATA'!$H$14,"")</f>
        <v/>
      </c>
      <c r="BN359" s="518" t="str">
        <f>IF(AND(_4="B-767-300ER",'2026'!$M$4="FO",'2026'!$M$2=BN347),'2026DATA'!$I$14,"")</f>
        <v/>
      </c>
      <c r="BO359" s="518" t="str">
        <f>IF(AND(_4="B-767-300ER",'2026'!$M$4="FO",'2026'!$M$2=BO347),'2026DATA'!$J$14,"")</f>
        <v/>
      </c>
      <c r="BP359" s="518" t="str">
        <f>IF(AND(_4="B-767-300ER",'2026'!$M$4="FO",'2026'!$M$2=BP347),'2026DATA'!$K$14,"")</f>
        <v/>
      </c>
      <c r="BQ359" s="518" t="str">
        <f>IF(AND(_4="B-767-300ER",'2026'!$M$4="FO",'2026'!$M$2=BQ347),'2026DATA'!$L$14,"")</f>
        <v/>
      </c>
      <c r="BR359" s="518" t="str">
        <f>IF(AND(_4="B-767-300ER",'2026'!$M$4="FO",'2026'!$M$2=BR347),'2026DATA'!$M$14,"")</f>
        <v/>
      </c>
      <c r="BS359" s="520" t="str">
        <f>IF(AND(_4="B-767-300ER",'2026'!$M$4="FO",'2026'!$M$2=BS347),'2026DATA'!$N$14,"")</f>
        <v/>
      </c>
      <c r="BT359" s="940"/>
      <c r="BU359" s="13" t="s">
        <v>62</v>
      </c>
      <c r="BV359" s="518" t="str">
        <f>IF(AND(_5="B-767-300ER",'2026'!$M$4="FO",'2026'!$M$2=BV347),'2026DATA'!$C$14,"")</f>
        <v/>
      </c>
      <c r="BW359" s="518" t="str">
        <f>IF(AND(_5="B-767-300ER",'2026'!$M$4="FO",'2026'!$M$2=BW347),'2026DATA'!$D$14,"")</f>
        <v/>
      </c>
      <c r="BX359" s="518" t="str">
        <f>IF(AND(_5="B-767-300ER",'2026'!$M$4="FO",'2026'!$M$2=BX347),'2026DATA'!$E$14,"")</f>
        <v/>
      </c>
      <c r="BY359" s="518" t="str">
        <f>IF(AND(_5="B-767-300ER",'2026'!$M$4="FO",'2026'!$M$2=BY347),'2026DATA'!$F$14,"")</f>
        <v/>
      </c>
      <c r="BZ359" s="518" t="str">
        <f>IF(AND(_5="B-767-300ER",'2026'!$M$4="FO",'2026'!$M$2=BZ347),'2026DATA'!$G$14,"")</f>
        <v/>
      </c>
      <c r="CA359" s="518" t="str">
        <f>IF(AND(_5="B-767-300ER",'2026'!$M$4="FO",'2026'!$M$2=CA347),'2026DATA'!$H$14,"")</f>
        <v/>
      </c>
      <c r="CB359" s="518" t="str">
        <f>IF(AND(_5="B-767-300ER",'2026'!$M$4="FO",'2026'!$M$2=CB347),'2026DATA'!$I$14,"")</f>
        <v/>
      </c>
      <c r="CC359" s="518" t="str">
        <f>IF(AND(_5="B-767-300ER",'2026'!$M$4="FO",'2026'!$M$2=CC347),'2026DATA'!$J$14,"")</f>
        <v/>
      </c>
      <c r="CD359" s="518" t="str">
        <f>IF(AND(_5="B-767-300ER",'2026'!$M$4="FO",'2026'!$M$2=CD347),'2026DATA'!$K$14,"")</f>
        <v/>
      </c>
      <c r="CE359" s="518" t="str">
        <f>IF(AND(_5="B-767-300ER",'2026'!$M$4="FO",'2026'!$M$2=CE347),'2026DATA'!$L$14,"")</f>
        <v/>
      </c>
      <c r="CF359" s="518" t="str">
        <f>IF(AND(_5="B-767-300ER",'2026'!$M$4="FO",'2026'!$M$2=CF347),'2026DATA'!$M$14,"")</f>
        <v/>
      </c>
      <c r="CG359" s="520" t="str">
        <f>IF(AND(_5="B-767-300ER",'2026'!$M$4="FO",'2026'!$M$2=CG347),'2026DATA'!$N$14,"")</f>
        <v/>
      </c>
      <c r="CH359" s="940"/>
      <c r="CI359" s="13" t="s">
        <v>62</v>
      </c>
      <c r="CJ359" s="518" t="str">
        <f>IF(AND(_6="B-767-300ER",'2026'!$M$4="FO",'2026'!$M$2=CJ347),'2026DATA'!$C$14,"")</f>
        <v/>
      </c>
      <c r="CK359" s="518" t="str">
        <f>IF(AND(_6="B-767-300ER",'2026'!$M$4="FO",'2026'!$M$2=CK347),'2026DATA'!$D$14,"")</f>
        <v/>
      </c>
      <c r="CL359" s="518" t="str">
        <f>IF(AND(_6="B-767-300ER",'2026'!$M$4="FO",'2026'!$M$2=CL347),'2026DATA'!$E$14,"")</f>
        <v/>
      </c>
      <c r="CM359" s="518" t="str">
        <f>IF(AND(_6="B-767-300ER",'2026'!$M$4="FO",'2026'!$M$2=CM347),'2026DATA'!$F$14,"")</f>
        <v/>
      </c>
      <c r="CN359" s="518" t="str">
        <f>IF(AND(_6="B-767-300ER",'2026'!$M$4="FO",'2026'!$M$2=CN347),'2026DATA'!$G$14,"")</f>
        <v/>
      </c>
      <c r="CO359" s="518" t="str">
        <f>IF(AND(_6="B-767-300ER",'2026'!$M$4="FO",'2026'!$M$2=CO347),'2026DATA'!$H$14,"")</f>
        <v/>
      </c>
      <c r="CP359" s="518" t="str">
        <f>IF(AND(_6="B-767-300ER",'2026'!$M$4="FO",'2026'!$M$2=CP347),'2026DATA'!$I$14,"")</f>
        <v/>
      </c>
      <c r="CQ359" s="518" t="str">
        <f>IF(AND(_6="B-767-300ER",'2026'!$M$4="FO",'2026'!$M$2=CQ347),'2026DATA'!$J$14,"")</f>
        <v/>
      </c>
      <c r="CR359" s="518" t="str">
        <f>IF(AND(_6="B-767-300ER",'2026'!$M$4="FO",'2026'!$M$2=CR347),'2026DATA'!$K$14,"")</f>
        <v/>
      </c>
      <c r="CS359" s="518" t="str">
        <f>IF(AND(_6="B-767-300ER",'2026'!$M$4="FO",'2026'!$M$2=CS347),'2026DATA'!$L$14,"")</f>
        <v/>
      </c>
      <c r="CT359" s="518" t="str">
        <f>IF(AND(_6="B-767-300ER",'2026'!$M$4="FO",'2026'!$M$2=CT347),'2026DATA'!$M$14,"")</f>
        <v/>
      </c>
      <c r="CU359" s="520" t="str">
        <f>IF(AND(_6="B-767-300ER",'2026'!$M$4="FO",'2026'!$M$2=CU347),'2026DATA'!$N$14,"")</f>
        <v/>
      </c>
    </row>
    <row r="360" spans="16:99" x14ac:dyDescent="0.25">
      <c r="P360" s="940" t="s">
        <v>67</v>
      </c>
      <c r="Q360" s="13" t="s">
        <v>61</v>
      </c>
      <c r="R360" s="518" t="str">
        <f>IF(AND(_1="B-767-300",'2026'!$M$4="CA",'2026'!$M$2=R347),'2026DATA'!$C$15,"")</f>
        <v/>
      </c>
      <c r="S360" s="518" t="str">
        <f>IF(AND(_1="B-767-300",'2026'!$M$4="CA",'2026'!$M$2=S347),'2026DATA'!$D$15,"")</f>
        <v/>
      </c>
      <c r="T360" s="518" t="str">
        <f>IF(AND(_1="B-767-300",'2026'!$M$4="CA",'2026'!$M$2=T347),'2026DATA'!$E$15,"")</f>
        <v/>
      </c>
      <c r="U360" s="518" t="str">
        <f>IF(AND(_1="B-767-300",'2026'!$M$4="CA",'2026'!$M$2=U347),'2026DATA'!$F$15,"")</f>
        <v/>
      </c>
      <c r="V360" s="518" t="str">
        <f>IF(AND(_1="B-767-300",'2026'!$M$4="CA",'2026'!$M$2=V347),'2026DATA'!$G$15,"")</f>
        <v/>
      </c>
      <c r="W360" s="518" t="str">
        <f>IF(AND(_1="B-767-300",'2026'!$M$4="CA",'2026'!$M$2=W347),'2026DATA'!$H$15,"")</f>
        <v/>
      </c>
      <c r="X360" s="518" t="str">
        <f>IF(AND(_1="B-767-300",'2026'!$M$4="CA",'2026'!$M$2=X347),'2026DATA'!$I$15,"")</f>
        <v/>
      </c>
      <c r="Y360" s="518" t="str">
        <f>IF(AND(_1="B-767-300",'2026'!$M$4="CA",'2026'!$M$2=Y347),'2026DATA'!$J$15,"")</f>
        <v/>
      </c>
      <c r="Z360" s="518" t="str">
        <f>IF(AND(_1="B-767-300",'2026'!$M$4="CA",'2026'!$M$2=Z347),'2026DATA'!$K$15,"")</f>
        <v/>
      </c>
      <c r="AA360" s="518" t="str">
        <f>IF(AND(_1="B-767-300",'2026'!$M$4="CA",'2026'!$M$2=AA347),'2026DATA'!$L$15,"")</f>
        <v/>
      </c>
      <c r="AB360" s="518" t="str">
        <f>IF(AND(_1="B-767-300",'2026'!$M$4="CA",'2026'!$M$2=AB347),'2026DATA'!$M$15,"")</f>
        <v/>
      </c>
      <c r="AC360" s="520" t="str">
        <f>IF(AND(_1="B-767-300",'2026'!$M$4="CA",'2026'!$M$2=AC347),'2026DATA'!$N$15,"")</f>
        <v/>
      </c>
      <c r="AD360" s="940" t="s">
        <v>67</v>
      </c>
      <c r="AE360" s="13" t="s">
        <v>61</v>
      </c>
      <c r="AF360" s="518" t="str">
        <f>IF(AND(_2="B-767-300",'2026'!$M$4="CA",'2026'!$M$2=AF347),'2026DATA'!$C$15,"")</f>
        <v/>
      </c>
      <c r="AG360" s="518" t="str">
        <f>IF(AND(_2="B-767-300",'2026'!$M$4="CA",'2026'!$M$2=AG347),'2026DATA'!$D$15,"")</f>
        <v/>
      </c>
      <c r="AH360" s="518" t="str">
        <f>IF(AND(_2="B-767-300",'2026'!$M$4="CA",'2026'!$M$2=AH347),'2026DATA'!$E$15,"")</f>
        <v/>
      </c>
      <c r="AI360" s="518" t="str">
        <f>IF(AND(_2="B-767-300",'2026'!$M$4="CA",'2026'!$M$2=AI347),'2026DATA'!$F$15,"")</f>
        <v/>
      </c>
      <c r="AJ360" s="518" t="str">
        <f>IF(AND(_2="B-767-300",'2026'!$M$4="CA",'2026'!$M$2=AJ347),'2026DATA'!$G$15,"")</f>
        <v/>
      </c>
      <c r="AK360" s="518" t="str">
        <f>IF(AND(_2="B-767-300",'2026'!$M$4="CA",'2026'!$M$2=AK347),'2026DATA'!$H$15,"")</f>
        <v/>
      </c>
      <c r="AL360" s="518" t="str">
        <f>IF(AND(_2="B-767-300",'2026'!$M$4="CA",'2026'!$M$2=AL347),'2026DATA'!$I$15,"")</f>
        <v/>
      </c>
      <c r="AM360" s="518" t="str">
        <f>IF(AND(_2="B-767-300",'2026'!$M$4="CA",'2026'!$M$2=AM347),'2026DATA'!$J$15,"")</f>
        <v/>
      </c>
      <c r="AN360" s="518" t="str">
        <f>IF(AND(_2="B-767-300",'2026'!$M$4="CA",'2026'!$M$2=AN347),'2026DATA'!$K$15,"")</f>
        <v/>
      </c>
      <c r="AO360" s="518" t="str">
        <f>IF(AND(_2="B-767-300",'2026'!$M$4="CA",'2026'!$M$2=AO347),'2026DATA'!$L$15,"")</f>
        <v/>
      </c>
      <c r="AP360" s="518" t="str">
        <f>IF(AND(_2="B-767-300",'2026'!$M$4="CA",'2026'!$M$2=AP347),'2026DATA'!$M$15,"")</f>
        <v/>
      </c>
      <c r="AQ360" s="520" t="str">
        <f>IF(AND(_2="B-767-300",'2026'!$M$4="CA",'2026'!$M$2=AQ347),'2026DATA'!$N$15,"")</f>
        <v/>
      </c>
      <c r="AR360" s="940" t="s">
        <v>67</v>
      </c>
      <c r="AS360" s="13" t="s">
        <v>61</v>
      </c>
      <c r="AT360" s="518" t="str">
        <f>IF(AND(_3="B-767-300",'2026'!$M$4="CA",'2026'!$M$2=AT347),'2026DATA'!$C$15,"")</f>
        <v/>
      </c>
      <c r="AU360" s="518" t="str">
        <f>IF(AND(_3="B-767-300",'2026'!$M$4="CA",'2026'!$M$2=AU347),'2026DATA'!$D$15,"")</f>
        <v/>
      </c>
      <c r="AV360" s="518" t="str">
        <f>IF(AND(_3="B-767-300",'2026'!$M$4="CA",'2026'!$M$2=AV347),'2026DATA'!$E$15,"")</f>
        <v/>
      </c>
      <c r="AW360" s="518" t="str">
        <f>IF(AND(_3="B-767-300",'2026'!$M$4="CA",'2026'!$M$2=AW347),'2026DATA'!$F$15,"")</f>
        <v/>
      </c>
      <c r="AX360" s="518" t="str">
        <f>IF(AND(_3="B-767-300",'2026'!$M$4="CA",'2026'!$M$2=AX347),'2026DATA'!$G$15,"")</f>
        <v/>
      </c>
      <c r="AY360" s="518" t="str">
        <f>IF(AND(_3="B-767-300",'2026'!$M$4="CA",'2026'!$M$2=AY347),'2026DATA'!$H$15,"")</f>
        <v/>
      </c>
      <c r="AZ360" s="518" t="str">
        <f>IF(AND(_3="B-767-300",'2026'!$M$4="CA",'2026'!$M$2=AZ347),'2026DATA'!$I$15,"")</f>
        <v/>
      </c>
      <c r="BA360" s="518" t="str">
        <f>IF(AND(_3="B-767-300",'2026'!$M$4="CA",'2026'!$M$2=BA347),'2026DATA'!$J$15,"")</f>
        <v/>
      </c>
      <c r="BB360" s="518" t="str">
        <f>IF(AND(_3="B-767-300",'2026'!$M$4="CA",'2026'!$M$2=BB347),'2026DATA'!$K$15,"")</f>
        <v/>
      </c>
      <c r="BC360" s="518" t="str">
        <f>IF(AND(_3="B-767-300",'2026'!$M$4="CA",'2026'!$M$2=BC347),'2026DATA'!$L$15,"")</f>
        <v/>
      </c>
      <c r="BD360" s="518" t="str">
        <f>IF(AND(_3="B-767-300",'2026'!$M$4="CA",'2026'!$M$2=BD347),'2026DATA'!$M$15,"")</f>
        <v/>
      </c>
      <c r="BE360" s="520" t="str">
        <f>IF(AND(_3="B-767-300",'2026'!$M$4="CA",'2026'!$M$2=BE347),'2026DATA'!$N$15,"")</f>
        <v/>
      </c>
      <c r="BF360" s="940" t="s">
        <v>67</v>
      </c>
      <c r="BG360" s="13" t="s">
        <v>61</v>
      </c>
      <c r="BH360" s="518" t="str">
        <f>IF(AND(_4="B-767-300",'2026'!$M$4="CA",'2026'!$M$2=BH347),'2026DATA'!$C$15,"")</f>
        <v/>
      </c>
      <c r="BI360" s="518" t="str">
        <f>IF(AND(_4="B-767-300",'2026'!$M$4="CA",'2026'!$M$2=BI347),'2026DATA'!$D$15,"")</f>
        <v/>
      </c>
      <c r="BJ360" s="518" t="str">
        <f>IF(AND(_4="B-767-300",'2026'!$M$4="CA",'2026'!$M$2=BJ347),'2026DATA'!$E$15,"")</f>
        <v/>
      </c>
      <c r="BK360" s="518" t="str">
        <f>IF(AND(_4="B-767-300",'2026'!$M$4="CA",'2026'!$M$2=BK347),'2026DATA'!$F$15,"")</f>
        <v/>
      </c>
      <c r="BL360" s="518" t="str">
        <f>IF(AND(_4="B-767-300",'2026'!$M$4="CA",'2026'!$M$2=BL347),'2026DATA'!$G$15,"")</f>
        <v/>
      </c>
      <c r="BM360" s="518" t="str">
        <f>IF(AND(_4="B-767-300",'2026'!$M$4="CA",'2026'!$M$2=BM347),'2026DATA'!$H$15,"")</f>
        <v/>
      </c>
      <c r="BN360" s="518" t="str">
        <f>IF(AND(_4="B-767-300",'2026'!$M$4="CA",'2026'!$M$2=BN347),'2026DATA'!$I$15,"")</f>
        <v/>
      </c>
      <c r="BO360" s="518" t="str">
        <f>IF(AND(_4="B-767-300",'2026'!$M$4="CA",'2026'!$M$2=BO347),'2026DATA'!$J$15,"")</f>
        <v/>
      </c>
      <c r="BP360" s="518" t="str">
        <f>IF(AND(_4="B-767-300",'2026'!$M$4="CA",'2026'!$M$2=BP347),'2026DATA'!$K$15,"")</f>
        <v/>
      </c>
      <c r="BQ360" s="518" t="str">
        <f>IF(AND(_4="B-767-300",'2026'!$M$4="CA",'2026'!$M$2=BQ347),'2026DATA'!$L$15,"")</f>
        <v/>
      </c>
      <c r="BR360" s="518" t="str">
        <f>IF(AND(_4="B-767-300",'2026'!$M$4="CA",'2026'!$M$2=BR347),'2026DATA'!$M$15,"")</f>
        <v/>
      </c>
      <c r="BS360" s="520" t="str">
        <f>IF(AND(_4="B-767-300",'2026'!$M$4="CA",'2026'!$M$2=BS347),'2026DATA'!$N$15,"")</f>
        <v/>
      </c>
      <c r="BT360" s="940" t="s">
        <v>67</v>
      </c>
      <c r="BU360" s="13" t="s">
        <v>61</v>
      </c>
      <c r="BV360" s="518" t="str">
        <f>IF(AND(_5="B-767-300",'2026'!$M$4="CA",'2026'!$M$2=BV347),'2026DATA'!$C$15,"")</f>
        <v/>
      </c>
      <c r="BW360" s="518" t="str">
        <f>IF(AND(_5="B-767-300",'2026'!$M$4="CA",'2026'!$M$2=BW347),'2026DATA'!$D$15,"")</f>
        <v/>
      </c>
      <c r="BX360" s="518" t="str">
        <f>IF(AND(_5="B-767-300",'2026'!$M$4="CA",'2026'!$M$2=BX347),'2026DATA'!$E$15,"")</f>
        <v/>
      </c>
      <c r="BY360" s="518" t="str">
        <f>IF(AND(_5="B-767-300",'2026'!$M$4="CA",'2026'!$M$2=BY347),'2026DATA'!$F$15,"")</f>
        <v/>
      </c>
      <c r="BZ360" s="518" t="str">
        <f>IF(AND(_5="B-767-300",'2026'!$M$4="CA",'2026'!$M$2=BZ347),'2026DATA'!$G$15,"")</f>
        <v/>
      </c>
      <c r="CA360" s="518" t="str">
        <f>IF(AND(_5="B-767-300",'2026'!$M$4="CA",'2026'!$M$2=CA347),'2026DATA'!$H$15,"")</f>
        <v/>
      </c>
      <c r="CB360" s="518" t="str">
        <f>IF(AND(_5="B-767-300",'2026'!$M$4="CA",'2026'!$M$2=CB347),'2026DATA'!$I$15,"")</f>
        <v/>
      </c>
      <c r="CC360" s="518" t="str">
        <f>IF(AND(_5="B-767-300",'2026'!$M$4="CA",'2026'!$M$2=CC347),'2026DATA'!$J$15,"")</f>
        <v/>
      </c>
      <c r="CD360" s="518" t="str">
        <f>IF(AND(_5="B-767-300",'2026'!$M$4="CA",'2026'!$M$2=CD347),'2026DATA'!$K$15,"")</f>
        <v/>
      </c>
      <c r="CE360" s="518" t="str">
        <f>IF(AND(_5="B-767-300",'2026'!$M$4="CA",'2026'!$M$2=CE347),'2026DATA'!$L$15,"")</f>
        <v/>
      </c>
      <c r="CF360" s="518" t="str">
        <f>IF(AND(_5="B-767-300",'2026'!$M$4="CA",'2026'!$M$2=CF347),'2026DATA'!$M$15,"")</f>
        <v/>
      </c>
      <c r="CG360" s="520" t="str">
        <f>IF(AND(_5="B-767-300",'2026'!$M$4="CA",'2026'!$M$2=CG347),'2026DATA'!$N$15,"")</f>
        <v/>
      </c>
      <c r="CH360" s="940" t="s">
        <v>67</v>
      </c>
      <c r="CI360" s="13" t="s">
        <v>61</v>
      </c>
      <c r="CJ360" s="518" t="str">
        <f>IF(AND(_6="B-767-300",'2026'!$M$4="CA",'2026'!$M$2=CJ347),'2026DATA'!$C$15,"")</f>
        <v/>
      </c>
      <c r="CK360" s="518" t="str">
        <f>IF(AND(_6="B-767-300",'2026'!$M$4="CA",'2026'!$M$2=CK347),'2026DATA'!$D$15,"")</f>
        <v/>
      </c>
      <c r="CL360" s="518" t="str">
        <f>IF(AND(_6="B-767-300",'2026'!$M$4="CA",'2026'!$M$2=CL347),'2026DATA'!$E$15,"")</f>
        <v/>
      </c>
      <c r="CM360" s="518" t="str">
        <f>IF(AND(_6="B-767-300",'2026'!$M$4="CA",'2026'!$M$2=CM347),'2026DATA'!$F$15,"")</f>
        <v/>
      </c>
      <c r="CN360" s="518" t="str">
        <f>IF(AND(_6="B-767-300",'2026'!$M$4="CA",'2026'!$M$2=CN347),'2026DATA'!$G$15,"")</f>
        <v/>
      </c>
      <c r="CO360" s="518" t="str">
        <f>IF(AND(_6="B-767-300",'2026'!$M$4="CA",'2026'!$M$2=CO347),'2026DATA'!$H$15,"")</f>
        <v/>
      </c>
      <c r="CP360" s="518" t="str">
        <f>IF(AND(_6="B-767-300",'2026'!$M$4="CA",'2026'!$M$2=CP347),'2026DATA'!$I$15,"")</f>
        <v/>
      </c>
      <c r="CQ360" s="518" t="str">
        <f>IF(AND(_6="B-767-300",'2026'!$M$4="CA",'2026'!$M$2=CQ347),'2026DATA'!$J$15,"")</f>
        <v/>
      </c>
      <c r="CR360" s="518" t="str">
        <f>IF(AND(_6="B-767-300",'2026'!$M$4="CA",'2026'!$M$2=CR347),'2026DATA'!$K$15,"")</f>
        <v/>
      </c>
      <c r="CS360" s="518" t="str">
        <f>IF(AND(_6="B-767-300",'2026'!$M$4="CA",'2026'!$M$2=CS347),'2026DATA'!$L$15,"")</f>
        <v/>
      </c>
      <c r="CT360" s="518" t="str">
        <f>IF(AND(_6="B-767-300",'2026'!$M$4="CA",'2026'!$M$2=CT347),'2026DATA'!$M$15,"")</f>
        <v/>
      </c>
      <c r="CU360" s="520" t="str">
        <f>IF(AND(_6="B-767-300",'2026'!$M$4="CA",'2026'!$M$2=CU347),'2026DATA'!$N$15,"")</f>
        <v/>
      </c>
    </row>
    <row r="361" spans="16:99" x14ac:dyDescent="0.25">
      <c r="P361" s="940"/>
      <c r="Q361" s="13" t="s">
        <v>62</v>
      </c>
      <c r="R361" s="518" t="str">
        <f>IF(AND(_1="B-767-300",'2026'!$M$4="FO",'2026'!$M$2=R347),'2026DATA'!$C$16,"")</f>
        <v/>
      </c>
      <c r="S361" s="518" t="str">
        <f>IF(AND(_1="B-767-300",'2026'!$M$4="FO",'2026'!$M$2=S347),'2026DATA'!$D$16,"")</f>
        <v/>
      </c>
      <c r="T361" s="518" t="str">
        <f>IF(AND(_1="B-767-300",'2026'!$M$4="FO",'2026'!$M$2=T347),'2026DATA'!$E$16,"")</f>
        <v/>
      </c>
      <c r="U361" s="518" t="str">
        <f>IF(AND(_1="B-767-300",'2026'!$M$4="FO",'2026'!$M$2=U347),'2026DATA'!$F$16,"")</f>
        <v/>
      </c>
      <c r="V361" s="518" t="str">
        <f>IF(AND(_1="B-767-300",'2026'!$M$4="FO",'2026'!$M$2=V347),'2026DATA'!$G$16,"")</f>
        <v/>
      </c>
      <c r="W361" s="518" t="str">
        <f>IF(AND(_1="B-767-300",'2026'!$M$4="FO",'2026'!$M$2=W347),'2026DATA'!$H$16,"")</f>
        <v/>
      </c>
      <c r="X361" s="518" t="str">
        <f>IF(AND(_1="B-767-300",'2026'!$M$4="FO",'2026'!$M$2=X347),'2026DATA'!$I$16,"")</f>
        <v/>
      </c>
      <c r="Y361" s="518" t="str">
        <f>IF(AND(_1="B-767-300",'2026'!$M$4="FO",'2026'!$M$2=Y347),'2026DATA'!$J$16,"")</f>
        <v/>
      </c>
      <c r="Z361" s="518" t="str">
        <f>IF(AND(_1="B-767-300",'2026'!$M$4="FO",'2026'!$M$2=Z347),'2026DATA'!$K$16,"")</f>
        <v/>
      </c>
      <c r="AA361" s="518" t="str">
        <f>IF(AND(_1="B-767-300",'2026'!$M$4="FO",'2026'!$M$2=AA347),'2026DATA'!$L$16,"")</f>
        <v/>
      </c>
      <c r="AB361" s="518" t="str">
        <f>IF(AND(_1="B-767-300",'2026'!$M$4="FO",'2026'!$M$2=AB347),'2026DATA'!$M$16,"")</f>
        <v/>
      </c>
      <c r="AC361" s="520" t="str">
        <f>IF(AND(_1="B-767-300",'2026'!$M$4="FO",'2026'!$M$2=AC347),'2026DATA'!$N$16,"")</f>
        <v/>
      </c>
      <c r="AD361" s="940"/>
      <c r="AE361" s="13" t="s">
        <v>62</v>
      </c>
      <c r="AF361" s="518" t="str">
        <f>IF(AND(_2="B-767-300",'2026'!$M$4="FO",'2026'!$M$2=AF347),'2026DATA'!$C$16,"")</f>
        <v/>
      </c>
      <c r="AG361" s="518" t="str">
        <f>IF(AND(_2="B-767-300",'2026'!$M$4="FO",'2026'!$M$2=AG347),'2026DATA'!$D$16,"")</f>
        <v/>
      </c>
      <c r="AH361" s="518" t="str">
        <f>IF(AND(_2="B-767-300",'2026'!$M$4="FO",'2026'!$M$2=AH347),'2026DATA'!$E$16,"")</f>
        <v/>
      </c>
      <c r="AI361" s="518" t="str">
        <f>IF(AND(_2="B-767-300",'2026'!$M$4="FO",'2026'!$M$2=AI347),'2026DATA'!$F$16,"")</f>
        <v/>
      </c>
      <c r="AJ361" s="518" t="str">
        <f>IF(AND(_2="B-767-300",'2026'!$M$4="FO",'2026'!$M$2=AJ347),'2026DATA'!$G$16,"")</f>
        <v/>
      </c>
      <c r="AK361" s="518" t="str">
        <f>IF(AND(_2="B-767-300",'2026'!$M$4="FO",'2026'!$M$2=AK347),'2026DATA'!$H$16,"")</f>
        <v/>
      </c>
      <c r="AL361" s="518" t="str">
        <f>IF(AND(_2="B-767-300",'2026'!$M$4="FO",'2026'!$M$2=AL347),'2026DATA'!$I$16,"")</f>
        <v/>
      </c>
      <c r="AM361" s="518" t="str">
        <f>IF(AND(_2="B-767-300",'2026'!$M$4="FO",'2026'!$M$2=AM347),'2026DATA'!$J$16,"")</f>
        <v/>
      </c>
      <c r="AN361" s="518" t="str">
        <f>IF(AND(_2="B-767-300",'2026'!$M$4="FO",'2026'!$M$2=AN347),'2026DATA'!$K$16,"")</f>
        <v/>
      </c>
      <c r="AO361" s="518" t="str">
        <f>IF(AND(_2="B-767-300",'2026'!$M$4="FO",'2026'!$M$2=AO347),'2026DATA'!$L$16,"")</f>
        <v/>
      </c>
      <c r="AP361" s="518" t="str">
        <f>IF(AND(_2="B-767-300",'2026'!$M$4="FO",'2026'!$M$2=AP347),'2026DATA'!$M$16,"")</f>
        <v/>
      </c>
      <c r="AQ361" s="520" t="str">
        <f>IF(AND(_2="B-767-300",'2026'!$M$4="FO",'2026'!$M$2=AQ347),'2026DATA'!$N$16,"")</f>
        <v/>
      </c>
      <c r="AR361" s="940"/>
      <c r="AS361" s="13" t="s">
        <v>62</v>
      </c>
      <c r="AT361" s="518" t="str">
        <f>IF(AND(_3="B-767-300",'2026'!$M$4="FO",'2026'!$M$2=AT347),'2026DATA'!$C$16,"")</f>
        <v/>
      </c>
      <c r="AU361" s="518" t="str">
        <f>IF(AND(_3="B-767-300",'2026'!$M$4="FO",'2026'!$M$2=AU347),'2026DATA'!$D$16,"")</f>
        <v/>
      </c>
      <c r="AV361" s="518" t="str">
        <f>IF(AND(_3="B-767-300",'2026'!$M$4="FO",'2026'!$M$2=AV347),'2026DATA'!$E$16,"")</f>
        <v/>
      </c>
      <c r="AW361" s="518" t="str">
        <f>IF(AND(_3="B-767-300",'2026'!$M$4="FO",'2026'!$M$2=AW347),'2026DATA'!$F$16,"")</f>
        <v/>
      </c>
      <c r="AX361" s="518" t="str">
        <f>IF(AND(_3="B-767-300",'2026'!$M$4="FO",'2026'!$M$2=AX347),'2026DATA'!$G$16,"")</f>
        <v/>
      </c>
      <c r="AY361" s="518" t="str">
        <f>IF(AND(_3="B-767-300",'2026'!$M$4="FO",'2026'!$M$2=AY347),'2026DATA'!$H$16,"")</f>
        <v/>
      </c>
      <c r="AZ361" s="518" t="str">
        <f>IF(AND(_3="B-767-300",'2026'!$M$4="FO",'2026'!$M$2=AZ347),'2026DATA'!$I$16,"")</f>
        <v/>
      </c>
      <c r="BA361" s="518" t="str">
        <f>IF(AND(_3="B-767-300",'2026'!$M$4="FO",'2026'!$M$2=BA347),'2026DATA'!$J$16,"")</f>
        <v/>
      </c>
      <c r="BB361" s="518" t="str">
        <f>IF(AND(_3="B-767-300",'2026'!$M$4="FO",'2026'!$M$2=BB347),'2026DATA'!$K$16,"")</f>
        <v/>
      </c>
      <c r="BC361" s="518" t="str">
        <f>IF(AND(_3="B-767-300",'2026'!$M$4="FO",'2026'!$M$2=BC347),'2026DATA'!$L$16,"")</f>
        <v/>
      </c>
      <c r="BD361" s="518" t="str">
        <f>IF(AND(_3="B-767-300",'2026'!$M$4="FO",'2026'!$M$2=BD347),'2026DATA'!$M$16,"")</f>
        <v/>
      </c>
      <c r="BE361" s="520" t="str">
        <f>IF(AND(_3="B-767-300",'2026'!$M$4="FO",'2026'!$M$2=BE347),'2026DATA'!$N$16,"")</f>
        <v/>
      </c>
      <c r="BF361" s="940"/>
      <c r="BG361" s="13" t="s">
        <v>62</v>
      </c>
      <c r="BH361" s="518" t="str">
        <f>IF(AND(_4="B-767-300",'2026'!$M$4="FO",'2026'!$M$2=BH347),'2026DATA'!$C$16,"")</f>
        <v/>
      </c>
      <c r="BI361" s="518" t="str">
        <f>IF(AND(_4="B-767-300",'2026'!$M$4="FO",'2026'!$M$2=BI347),'2026DATA'!$D$16,"")</f>
        <v/>
      </c>
      <c r="BJ361" s="518" t="str">
        <f>IF(AND(_4="B-767-300",'2026'!$M$4="FO",'2026'!$M$2=BJ347),'2026DATA'!$E$16,"")</f>
        <v/>
      </c>
      <c r="BK361" s="518" t="str">
        <f>IF(AND(_4="B-767-300",'2026'!$M$4="FO",'2026'!$M$2=BK347),'2026DATA'!$F$16,"")</f>
        <v/>
      </c>
      <c r="BL361" s="518" t="str">
        <f>IF(AND(_4="B-767-300",'2026'!$M$4="FO",'2026'!$M$2=BL347),'2026DATA'!$G$16,"")</f>
        <v/>
      </c>
      <c r="BM361" s="518" t="str">
        <f>IF(AND(_4="B-767-300",'2026'!$M$4="FO",'2026'!$M$2=BM347),'2026DATA'!$H$16,"")</f>
        <v/>
      </c>
      <c r="BN361" s="518" t="str">
        <f>IF(AND(_4="B-767-300",'2026'!$M$4="FO",'2026'!$M$2=BN347),'2026DATA'!$I$16,"")</f>
        <v/>
      </c>
      <c r="BO361" s="518" t="str">
        <f>IF(AND(_4="B-767-300",'2026'!$M$4="FO",'2026'!$M$2=BO347),'2026DATA'!$J$16,"")</f>
        <v/>
      </c>
      <c r="BP361" s="518" t="str">
        <f>IF(AND(_4="B-767-300",'2026'!$M$4="FO",'2026'!$M$2=BP347),'2026DATA'!$K$16,"")</f>
        <v/>
      </c>
      <c r="BQ361" s="518" t="str">
        <f>IF(AND(_4="B-767-300",'2026'!$M$4="FO",'2026'!$M$2=BQ347),'2026DATA'!$L$16,"")</f>
        <v/>
      </c>
      <c r="BR361" s="518" t="str">
        <f>IF(AND(_4="B-767-300",'2026'!$M$4="FO",'2026'!$M$2=BR347),'2026DATA'!$M$16,"")</f>
        <v/>
      </c>
      <c r="BS361" s="520" t="str">
        <f>IF(AND(_4="B-767-300",'2026'!$M$4="FO",'2026'!$M$2=BS347),'2026DATA'!$N$16,"")</f>
        <v/>
      </c>
      <c r="BT361" s="940"/>
      <c r="BU361" s="13" t="s">
        <v>62</v>
      </c>
      <c r="BV361" s="518" t="str">
        <f>IF(AND(_5="B-767-300",'2026'!$M$4="FO",'2026'!$M$2=BV347),'2026DATA'!$C$16,"")</f>
        <v/>
      </c>
      <c r="BW361" s="518" t="str">
        <f>IF(AND(_5="B-767-300",'2026'!$M$4="FO",'2026'!$M$2=BW347),'2026DATA'!$D$16,"")</f>
        <v/>
      </c>
      <c r="BX361" s="518" t="str">
        <f>IF(AND(_5="B-767-300",'2026'!$M$4="FO",'2026'!$M$2=BX347),'2026DATA'!$E$16,"")</f>
        <v/>
      </c>
      <c r="BY361" s="518" t="str">
        <f>IF(AND(_5="B-767-300",'2026'!$M$4="FO",'2026'!$M$2=BY347),'2026DATA'!$F$16,"")</f>
        <v/>
      </c>
      <c r="BZ361" s="518" t="str">
        <f>IF(AND(_5="B-767-300",'2026'!$M$4="FO",'2026'!$M$2=BZ347),'2026DATA'!$G$16,"")</f>
        <v/>
      </c>
      <c r="CA361" s="518" t="str">
        <f>IF(AND(_5="B-767-300",'2026'!$M$4="FO",'2026'!$M$2=CA347),'2026DATA'!$H$16,"")</f>
        <v/>
      </c>
      <c r="CB361" s="518" t="str">
        <f>IF(AND(_5="B-767-300",'2026'!$M$4="FO",'2026'!$M$2=CB347),'2026DATA'!$I$16,"")</f>
        <v/>
      </c>
      <c r="CC361" s="518" t="str">
        <f>IF(AND(_5="B-767-300",'2026'!$M$4="FO",'2026'!$M$2=CC347),'2026DATA'!$J$16,"")</f>
        <v/>
      </c>
      <c r="CD361" s="518" t="str">
        <f>IF(AND(_5="B-767-300",'2026'!$M$4="FO",'2026'!$M$2=CD347),'2026DATA'!$K$16,"")</f>
        <v/>
      </c>
      <c r="CE361" s="518" t="str">
        <f>IF(AND(_5="B-767-300",'2026'!$M$4="FO",'2026'!$M$2=CE347),'2026DATA'!$L$16,"")</f>
        <v/>
      </c>
      <c r="CF361" s="518" t="str">
        <f>IF(AND(_5="B-767-300",'2026'!$M$4="FO",'2026'!$M$2=CF347),'2026DATA'!$M$16,"")</f>
        <v/>
      </c>
      <c r="CG361" s="520" t="str">
        <f>IF(AND(_5="B-767-300",'2026'!$M$4="FO",'2026'!$M$2=CG347),'2026DATA'!$N$16,"")</f>
        <v/>
      </c>
      <c r="CH361" s="940"/>
      <c r="CI361" s="13" t="s">
        <v>62</v>
      </c>
      <c r="CJ361" s="518" t="str">
        <f>IF(AND(_6="B-767-300",'2026'!$M$4="FO",'2026'!$M$2=CJ347),'2026DATA'!$C$16,"")</f>
        <v/>
      </c>
      <c r="CK361" s="518" t="str">
        <f>IF(AND(_6="B-767-300",'2026'!$M$4="FO",'2026'!$M$2=CK347),'2026DATA'!$D$16,"")</f>
        <v/>
      </c>
      <c r="CL361" s="518" t="str">
        <f>IF(AND(_6="B-767-300",'2026'!$M$4="FO",'2026'!$M$2=CL347),'2026DATA'!$E$16,"")</f>
        <v/>
      </c>
      <c r="CM361" s="518" t="str">
        <f>IF(AND(_6="B-767-300",'2026'!$M$4="FO",'2026'!$M$2=CM347),'2026DATA'!$F$16,"")</f>
        <v/>
      </c>
      <c r="CN361" s="518" t="str">
        <f>IF(AND(_6="B-767-300",'2026'!$M$4="FO",'2026'!$M$2=CN347),'2026DATA'!$G$16,"")</f>
        <v/>
      </c>
      <c r="CO361" s="518" t="str">
        <f>IF(AND(_6="B-767-300",'2026'!$M$4="FO",'2026'!$M$2=CO347),'2026DATA'!$H$16,"")</f>
        <v/>
      </c>
      <c r="CP361" s="518" t="str">
        <f>IF(AND(_6="B-767-300",'2026'!$M$4="FO",'2026'!$M$2=CP347),'2026DATA'!$I$16,"")</f>
        <v/>
      </c>
      <c r="CQ361" s="518" t="str">
        <f>IF(AND(_6="B-767-300",'2026'!$M$4="FO",'2026'!$M$2=CQ347),'2026DATA'!$J$16,"")</f>
        <v/>
      </c>
      <c r="CR361" s="518" t="str">
        <f>IF(AND(_6="B-767-300",'2026'!$M$4="FO",'2026'!$M$2=CR347),'2026DATA'!$K$16,"")</f>
        <v/>
      </c>
      <c r="CS361" s="518" t="str">
        <f>IF(AND(_6="B-767-300",'2026'!$M$4="FO",'2026'!$M$2=CS347),'2026DATA'!$L$16,"")</f>
        <v/>
      </c>
      <c r="CT361" s="518" t="str">
        <f>IF(AND(_6="B-767-300",'2026'!$M$4="FO",'2026'!$M$2=CT347),'2026DATA'!$M$16,"")</f>
        <v/>
      </c>
      <c r="CU361" s="520" t="str">
        <f>IF(AND(_6="B-767-300",'2026'!$M$4="FO",'2026'!$M$2=CU347),'2026DATA'!$N$16,"")</f>
        <v/>
      </c>
    </row>
    <row r="362" spans="16:99" x14ac:dyDescent="0.25">
      <c r="P362" s="940" t="s">
        <v>68</v>
      </c>
      <c r="Q362" s="13" t="s">
        <v>61</v>
      </c>
      <c r="R362" s="518" t="str">
        <f>IF(AND(_1="B-767-200",'2026'!$M$4="CA",'2026'!$M$2=R347),'2026DATA'!$C$17,"")</f>
        <v/>
      </c>
      <c r="S362" s="518" t="str">
        <f>IF(AND(_1="B-767-200",'2026'!$M$4="CA",'2026'!$M$2=S347),'2026DATA'!$D$17,"")</f>
        <v/>
      </c>
      <c r="T362" s="518" t="str">
        <f>IF(AND(_1="B-767-200",'2026'!$M$4="CA",'2026'!$M$2=T347),'2026DATA'!$E$17,"")</f>
        <v/>
      </c>
      <c r="U362" s="518" t="str">
        <f>IF(AND(_1="B-767-200",'2026'!$M$4="CA",'2026'!$M$2=U347),'2026DATA'!$F$17,"")</f>
        <v/>
      </c>
      <c r="V362" s="518" t="str">
        <f>IF(AND(_1="B-767-200",'2026'!$M$4="CA",'2026'!$M$2=V347),'2026DATA'!$G$17,"")</f>
        <v/>
      </c>
      <c r="W362" s="518" t="str">
        <f>IF(AND(_1="B-767-200",'2026'!$M$4="CA",'2026'!$M$2=W347),'2026DATA'!$H$17,"")</f>
        <v/>
      </c>
      <c r="X362" s="518" t="str">
        <f>IF(AND(_1="B-767-200",'2026'!$M$4="CA",'2026'!$M$2=X347),'2026DATA'!$I$17,"")</f>
        <v/>
      </c>
      <c r="Y362" s="518" t="str">
        <f>IF(AND(_1="B-767-200",'2026'!$M$4="CA",'2026'!$M$2=Y347),'2026DATA'!$J$17,"")</f>
        <v/>
      </c>
      <c r="Z362" s="518" t="str">
        <f>IF(AND(_1="B-767-200",'2026'!$M$4="CA",'2026'!$M$2=Z347),'2026DATA'!$K$17,"")</f>
        <v/>
      </c>
      <c r="AA362" s="518" t="str">
        <f>IF(AND(_1="B-767-200",'2026'!$M$4="CA",'2026'!$M$2=AA347),'2026DATA'!$L$17,"")</f>
        <v/>
      </c>
      <c r="AB362" s="518" t="str">
        <f>IF(AND(_1="B-767-200",'2026'!$M$4="CA",'2026'!$M$2=AB347),'2026DATA'!$M$17,"")</f>
        <v/>
      </c>
      <c r="AC362" s="520" t="str">
        <f>IF(AND(_1="B-767-200",'2026'!$M$4="CA",'2026'!$M$2=AC347),'2026DATA'!$N$17,"")</f>
        <v/>
      </c>
      <c r="AD362" s="940" t="s">
        <v>68</v>
      </c>
      <c r="AE362" s="13" t="s">
        <v>61</v>
      </c>
      <c r="AF362" s="518" t="str">
        <f>IF(AND(_2="B-767-200",'2026'!$M$4="CA",'2026'!$M$2=AF347),'2026DATA'!$C$17,"")</f>
        <v/>
      </c>
      <c r="AG362" s="518" t="str">
        <f>IF(AND(_2="B-767-200",'2026'!$M$4="CA",'2026'!$M$2=AG347),'2026DATA'!$D$17,"")</f>
        <v/>
      </c>
      <c r="AH362" s="518" t="str">
        <f>IF(AND(_2="B-767-200",'2026'!$M$4="CA",'2026'!$M$2=AH347),'2026DATA'!$E$17,"")</f>
        <v/>
      </c>
      <c r="AI362" s="518" t="str">
        <f>IF(AND(_2="B-767-200",'2026'!$M$4="CA",'2026'!$M$2=AI347),'2026DATA'!$F$17,"")</f>
        <v/>
      </c>
      <c r="AJ362" s="518" t="str">
        <f>IF(AND(_2="B-767-200",'2026'!$M$4="CA",'2026'!$M$2=AJ347),'2026DATA'!$G$17,"")</f>
        <v/>
      </c>
      <c r="AK362" s="518" t="str">
        <f>IF(AND(_2="B-767-200",'2026'!$M$4="CA",'2026'!$M$2=AK347),'2026DATA'!$H$17,"")</f>
        <v/>
      </c>
      <c r="AL362" s="518" t="str">
        <f>IF(AND(_2="B-767-200",'2026'!$M$4="CA",'2026'!$M$2=AL347),'2026DATA'!$I$17,"")</f>
        <v/>
      </c>
      <c r="AM362" s="518" t="str">
        <f>IF(AND(_2="B-767-200",'2026'!$M$4="CA",'2026'!$M$2=AM347),'2026DATA'!$J$17,"")</f>
        <v/>
      </c>
      <c r="AN362" s="518" t="str">
        <f>IF(AND(_2="B-767-200",'2026'!$M$4="CA",'2026'!$M$2=AN347),'2026DATA'!$K$17,"")</f>
        <v/>
      </c>
      <c r="AO362" s="518" t="str">
        <f>IF(AND(_2="B-767-200",'2026'!$M$4="CA",'2026'!$M$2=AO347),'2026DATA'!$L$17,"")</f>
        <v/>
      </c>
      <c r="AP362" s="518" t="str">
        <f>IF(AND(_2="B-767-200",'2026'!$M$4="CA",'2026'!$M$2=AP347),'2026DATA'!$M$17,"")</f>
        <v/>
      </c>
      <c r="AQ362" s="520" t="str">
        <f>IF(AND(_2="B-767-200",'2026'!$M$4="CA",'2026'!$M$2=AQ347),'2026DATA'!$N$17,"")</f>
        <v/>
      </c>
      <c r="AR362" s="940" t="s">
        <v>68</v>
      </c>
      <c r="AS362" s="13" t="s">
        <v>61</v>
      </c>
      <c r="AT362" s="518" t="str">
        <f>IF(AND(_3="B-767-200",'2026'!$M$4="CA",'2026'!$M$2=AT347),'2026DATA'!$C$17,"")</f>
        <v/>
      </c>
      <c r="AU362" s="518" t="str">
        <f>IF(AND(_3="B-767-200",'2026'!$M$4="CA",'2026'!$M$2=AU347),'2026DATA'!$D$17,"")</f>
        <v/>
      </c>
      <c r="AV362" s="518" t="str">
        <f>IF(AND(_3="B-767-200",'2026'!$M$4="CA",'2026'!$M$2=AV347),'2026DATA'!$E$17,"")</f>
        <v/>
      </c>
      <c r="AW362" s="518" t="str">
        <f>IF(AND(_3="B-767-200",'2026'!$M$4="CA",'2026'!$M$2=AW347),'2026DATA'!$F$17,"")</f>
        <v/>
      </c>
      <c r="AX362" s="518" t="str">
        <f>IF(AND(_3="B-767-200",'2026'!$M$4="CA",'2026'!$M$2=AX347),'2026DATA'!$G$17,"")</f>
        <v/>
      </c>
      <c r="AY362" s="518" t="str">
        <f>IF(AND(_3="B-767-200",'2026'!$M$4="CA",'2026'!$M$2=AY347),'2026DATA'!$H$17,"")</f>
        <v/>
      </c>
      <c r="AZ362" s="518" t="str">
        <f>IF(AND(_3="B-767-200",'2026'!$M$4="CA",'2026'!$M$2=AZ347),'2026DATA'!$I$17,"")</f>
        <v/>
      </c>
      <c r="BA362" s="518" t="str">
        <f>IF(AND(_3="B-767-200",'2026'!$M$4="CA",'2026'!$M$2=BA347),'2026DATA'!$J$17,"")</f>
        <v/>
      </c>
      <c r="BB362" s="518" t="str">
        <f>IF(AND(_3="B-767-200",'2026'!$M$4="CA",'2026'!$M$2=BB347),'2026DATA'!$K$17,"")</f>
        <v/>
      </c>
      <c r="BC362" s="518" t="str">
        <f>IF(AND(_3="B-767-200",'2026'!$M$4="CA",'2026'!$M$2=BC347),'2026DATA'!$L$17,"")</f>
        <v/>
      </c>
      <c r="BD362" s="518" t="str">
        <f>IF(AND(_3="B-767-200",'2026'!$M$4="CA",'2026'!$M$2=BD347),'2026DATA'!$M$17,"")</f>
        <v/>
      </c>
      <c r="BE362" s="520" t="str">
        <f>IF(AND(_3="B-767-200",'2026'!$M$4="CA",'2026'!$M$2=BE347),'2026DATA'!$N$17,"")</f>
        <v/>
      </c>
      <c r="BF362" s="940" t="s">
        <v>68</v>
      </c>
      <c r="BG362" s="13" t="s">
        <v>61</v>
      </c>
      <c r="BH362" s="518" t="str">
        <f>IF(AND(_4="B-767-200",'2026'!$M$4="CA",'2026'!$M$2=BH347),'2026DATA'!$C$17,"")</f>
        <v/>
      </c>
      <c r="BI362" s="518" t="str">
        <f>IF(AND(_4="B-767-200",'2026'!$M$4="CA",'2026'!$M$2=BI347),'2026DATA'!$D$17,"")</f>
        <v/>
      </c>
      <c r="BJ362" s="518" t="str">
        <f>IF(AND(_4="B-767-200",'2026'!$M$4="CA",'2026'!$M$2=BJ347),'2026DATA'!$E$17,"")</f>
        <v/>
      </c>
      <c r="BK362" s="518" t="str">
        <f>IF(AND(_4="B-767-200",'2026'!$M$4="CA",'2026'!$M$2=BK347),'2026DATA'!$F$17,"")</f>
        <v/>
      </c>
      <c r="BL362" s="518" t="str">
        <f>IF(AND(_4="B-767-200",'2026'!$M$4="CA",'2026'!$M$2=BL347),'2026DATA'!$G$17,"")</f>
        <v/>
      </c>
      <c r="BM362" s="518" t="str">
        <f>IF(AND(_4="B-767-200",'2026'!$M$4="CA",'2026'!$M$2=BM347),'2026DATA'!$H$17,"")</f>
        <v/>
      </c>
      <c r="BN362" s="518" t="str">
        <f>IF(AND(_4="B-767-200",'2026'!$M$4="CA",'2026'!$M$2=BN347),'2026DATA'!$I$17,"")</f>
        <v/>
      </c>
      <c r="BO362" s="518" t="str">
        <f>IF(AND(_4="B-767-200",'2026'!$M$4="CA",'2026'!$M$2=BO347),'2026DATA'!$J$17,"")</f>
        <v/>
      </c>
      <c r="BP362" s="518" t="str">
        <f>IF(AND(_4="B-767-200",'2026'!$M$4="CA",'2026'!$M$2=BP347),'2026DATA'!$K$17,"")</f>
        <v/>
      </c>
      <c r="BQ362" s="518" t="str">
        <f>IF(AND(_4="B-767-200",'2026'!$M$4="CA",'2026'!$M$2=BQ347),'2026DATA'!$L$17,"")</f>
        <v/>
      </c>
      <c r="BR362" s="518" t="str">
        <f>IF(AND(_4="B-767-200",'2026'!$M$4="CA",'2026'!$M$2=BR347),'2026DATA'!$M$17,"")</f>
        <v/>
      </c>
      <c r="BS362" s="520" t="str">
        <f>IF(AND(_4="B-767-200",'2026'!$M$4="CA",'2026'!$M$2=BS347),'2026DATA'!$N$17,"")</f>
        <v/>
      </c>
      <c r="BT362" s="940" t="s">
        <v>68</v>
      </c>
      <c r="BU362" s="13" t="s">
        <v>61</v>
      </c>
      <c r="BV362" s="518" t="str">
        <f>IF(AND(_5="B-767-200",'2026'!$M$4="CA",'2026'!$M$2=BV347),'2026DATA'!$C$17,"")</f>
        <v/>
      </c>
      <c r="BW362" s="518" t="str">
        <f>IF(AND(_5="B-767-200",'2026'!$M$4="CA",'2026'!$M$2=BW347),'2026DATA'!$D$17,"")</f>
        <v/>
      </c>
      <c r="BX362" s="518" t="str">
        <f>IF(AND(_5="B-767-200",'2026'!$M$4="CA",'2026'!$M$2=BX347),'2026DATA'!$E$17,"")</f>
        <v/>
      </c>
      <c r="BY362" s="518" t="str">
        <f>IF(AND(_5="B-767-200",'2026'!$M$4="CA",'2026'!$M$2=BY347),'2026DATA'!$F$17,"")</f>
        <v/>
      </c>
      <c r="BZ362" s="518" t="str">
        <f>IF(AND(_5="B-767-200",'2026'!$M$4="CA",'2026'!$M$2=BZ347),'2026DATA'!$G$17,"")</f>
        <v/>
      </c>
      <c r="CA362" s="518" t="str">
        <f>IF(AND(_5="B-767-200",'2026'!$M$4="CA",'2026'!$M$2=CA347),'2026DATA'!$H$17,"")</f>
        <v/>
      </c>
      <c r="CB362" s="518" t="str">
        <f>IF(AND(_5="B-767-200",'2026'!$M$4="CA",'2026'!$M$2=CB347),'2026DATA'!$I$17,"")</f>
        <v/>
      </c>
      <c r="CC362" s="518" t="str">
        <f>IF(AND(_5="B-767-200",'2026'!$M$4="CA",'2026'!$M$2=CC347),'2026DATA'!$J$17,"")</f>
        <v/>
      </c>
      <c r="CD362" s="518" t="str">
        <f>IF(AND(_5="B-767-200",'2026'!$M$4="CA",'2026'!$M$2=CD347),'2026DATA'!$K$17,"")</f>
        <v/>
      </c>
      <c r="CE362" s="518" t="str">
        <f>IF(AND(_5="B-767-200",'2026'!$M$4="CA",'2026'!$M$2=CE347),'2026DATA'!$L$17,"")</f>
        <v/>
      </c>
      <c r="CF362" s="518" t="str">
        <f>IF(AND(_5="B-767-200",'2026'!$M$4="CA",'2026'!$M$2=CF347),'2026DATA'!$M$17,"")</f>
        <v/>
      </c>
      <c r="CG362" s="520" t="str">
        <f>IF(AND(_5="B-767-200",'2026'!$M$4="CA",'2026'!$M$2=CG347),'2026DATA'!$N$17,"")</f>
        <v/>
      </c>
      <c r="CH362" s="940" t="s">
        <v>68</v>
      </c>
      <c r="CI362" s="13" t="s">
        <v>61</v>
      </c>
      <c r="CJ362" s="518" t="str">
        <f>IF(AND(_6="B-767-200",'2026'!$M$4="CA",'2026'!$M$2=CJ347),'2026DATA'!$C$17,"")</f>
        <v/>
      </c>
      <c r="CK362" s="518" t="str">
        <f>IF(AND(_6="B-767-200",'2026'!$M$4="CA",'2026'!$M$2=CK347),'2026DATA'!$D$17,"")</f>
        <v/>
      </c>
      <c r="CL362" s="518" t="str">
        <f>IF(AND(_6="B-767-200",'2026'!$M$4="CA",'2026'!$M$2=CL347),'2026DATA'!$E$17,"")</f>
        <v/>
      </c>
      <c r="CM362" s="518" t="str">
        <f>IF(AND(_6="B-767-200",'2026'!$M$4="CA",'2026'!$M$2=CM347),'2026DATA'!$F$17,"")</f>
        <v/>
      </c>
      <c r="CN362" s="518" t="str">
        <f>IF(AND(_6="B-767-200",'2026'!$M$4="CA",'2026'!$M$2=CN347),'2026DATA'!$G$17,"")</f>
        <v/>
      </c>
      <c r="CO362" s="518" t="str">
        <f>IF(AND(_6="B-767-200",'2026'!$M$4="CA",'2026'!$M$2=CO347),'2026DATA'!$H$17,"")</f>
        <v/>
      </c>
      <c r="CP362" s="518" t="str">
        <f>IF(AND(_6="B-767-200",'2026'!$M$4="CA",'2026'!$M$2=CP347),'2026DATA'!$I$17,"")</f>
        <v/>
      </c>
      <c r="CQ362" s="518" t="str">
        <f>IF(AND(_6="B-767-200",'2026'!$M$4="CA",'2026'!$M$2=CQ347),'2026DATA'!$J$17,"")</f>
        <v/>
      </c>
      <c r="CR362" s="518" t="str">
        <f>IF(AND(_6="B-767-200",'2026'!$M$4="CA",'2026'!$M$2=CR347),'2026DATA'!$K$17,"")</f>
        <v/>
      </c>
      <c r="CS362" s="518" t="str">
        <f>IF(AND(_6="B-767-200",'2026'!$M$4="CA",'2026'!$M$2=CS347),'2026DATA'!$L$17,"")</f>
        <v/>
      </c>
      <c r="CT362" s="518" t="str">
        <f>IF(AND(_6="B-767-200",'2026'!$M$4="CA",'2026'!$M$2=CT347),'2026DATA'!$M$17,"")</f>
        <v/>
      </c>
      <c r="CU362" s="520" t="str">
        <f>IF(AND(_6="B-767-200",'2026'!$M$4="CA",'2026'!$M$2=CU347),'2026DATA'!$N$17,"")</f>
        <v/>
      </c>
    </row>
    <row r="363" spans="16:99" x14ac:dyDescent="0.25">
      <c r="P363" s="940"/>
      <c r="Q363" s="13" t="s">
        <v>62</v>
      </c>
      <c r="R363" s="518" t="str">
        <f>IF(AND(_1="B-767-200",'2026'!$M$4="FO",'2026'!$M$2=R347),'2026DATA'!$C$18,"")</f>
        <v/>
      </c>
      <c r="S363" s="518" t="str">
        <f>IF(AND(_1="B-767-200",'2026'!$M$4="FO",'2026'!$M$2=S347),'2026DATA'!$D$18,"")</f>
        <v/>
      </c>
      <c r="T363" s="518" t="str">
        <f>IF(AND(_1="B-767-200",'2026'!$M$4="FO",'2026'!$M$2=T347),'2026DATA'!$E$18,"")</f>
        <v/>
      </c>
      <c r="U363" s="518" t="str">
        <f>IF(AND(_1="B-767-200",'2026'!$M$4="FO",'2026'!$M$2=U347),'2026DATA'!$F$18,"")</f>
        <v/>
      </c>
      <c r="V363" s="518" t="str">
        <f>IF(AND(_1="B-767-200",'2026'!$M$4="FO",'2026'!$M$2=V347),'2026DATA'!$G$18,"")</f>
        <v/>
      </c>
      <c r="W363" s="518" t="str">
        <f>IF(AND(_1="B-767-200",'2026'!$M$4="FO",'2026'!$M$2=W347),'2026DATA'!$H$18,"")</f>
        <v/>
      </c>
      <c r="X363" s="518" t="str">
        <f>IF(AND(_1="B-767-200",'2026'!$M$4="FO",'2026'!$M$2=X347),'2026DATA'!$I$18,"")</f>
        <v/>
      </c>
      <c r="Y363" s="518" t="str">
        <f>IF(AND(_1="B-767-200",'2026'!$M$4="FO",'2026'!$M$2=Y347),'2026DATA'!$J$18,"")</f>
        <v/>
      </c>
      <c r="Z363" s="518" t="str">
        <f>IF(AND(_1="B-767-200",'2026'!$M$4="FO",'2026'!$M$2=Z347),'2026DATA'!$K$18,"")</f>
        <v/>
      </c>
      <c r="AA363" s="518" t="str">
        <f>IF(AND(_1="B-767-200",'2026'!$M$4="FO",'2026'!$M$2=AA347),'2026DATA'!$L$18,"")</f>
        <v/>
      </c>
      <c r="AB363" s="518" t="str">
        <f>IF(AND(_1="B-767-200",'2026'!$M$4="FO",'2026'!$M$2=AB347),'2026DATA'!$M$18,"")</f>
        <v/>
      </c>
      <c r="AC363" s="520" t="str">
        <f>IF(AND(_1="B-767-200",'2026'!$M$4="FO",'2026'!$M$2=AC347),'2026DATA'!$N$18,"")</f>
        <v/>
      </c>
      <c r="AD363" s="940"/>
      <c r="AE363" s="13" t="s">
        <v>62</v>
      </c>
      <c r="AF363" s="518" t="str">
        <f>IF(AND(_2="B-767-200",'2026'!$M$4="FO",'2026'!$M$2=AF347),'2026DATA'!$C$18,"")</f>
        <v/>
      </c>
      <c r="AG363" s="518" t="str">
        <f>IF(AND(_2="B-767-200",'2026'!$M$4="FO",'2026'!$M$2=AG347),'2026DATA'!$D$18,"")</f>
        <v/>
      </c>
      <c r="AH363" s="518" t="str">
        <f>IF(AND(_2="B-767-200",'2026'!$M$4="FO",'2026'!$M$2=AH347),'2026DATA'!$E$18,"")</f>
        <v/>
      </c>
      <c r="AI363" s="518" t="str">
        <f>IF(AND(_2="B-767-200",'2026'!$M$4="FO",'2026'!$M$2=AI347),'2026DATA'!$F$18,"")</f>
        <v/>
      </c>
      <c r="AJ363" s="518" t="str">
        <f>IF(AND(_2="B-767-200",'2026'!$M$4="FO",'2026'!$M$2=AJ347),'2026DATA'!$G$18,"")</f>
        <v/>
      </c>
      <c r="AK363" s="518" t="str">
        <f>IF(AND(_2="B-767-200",'2026'!$M$4="FO",'2026'!$M$2=AK347),'2026DATA'!$H$18,"")</f>
        <v/>
      </c>
      <c r="AL363" s="518" t="str">
        <f>IF(AND(_2="B-767-200",'2026'!$M$4="FO",'2026'!$M$2=AL347),'2026DATA'!$I$18,"")</f>
        <v/>
      </c>
      <c r="AM363" s="518" t="str">
        <f>IF(AND(_2="B-767-200",'2026'!$M$4="FO",'2026'!$M$2=AM347),'2026DATA'!$J$18,"")</f>
        <v/>
      </c>
      <c r="AN363" s="518" t="str">
        <f>IF(AND(_2="B-767-200",'2026'!$M$4="FO",'2026'!$M$2=AN347),'2026DATA'!$K$18,"")</f>
        <v/>
      </c>
      <c r="AO363" s="518" t="str">
        <f>IF(AND(_2="B-767-200",'2026'!$M$4="FO",'2026'!$M$2=AO347),'2026DATA'!$L$18,"")</f>
        <v/>
      </c>
      <c r="AP363" s="518" t="str">
        <f>IF(AND(_2="B-767-200",'2026'!$M$4="FO",'2026'!$M$2=AP347),'2026DATA'!$M$18,"")</f>
        <v/>
      </c>
      <c r="AQ363" s="520" t="str">
        <f>IF(AND(_2="B-767-200",'2026'!$M$4="FO",'2026'!$M$2=AQ347),'2026DATA'!$N$18,"")</f>
        <v/>
      </c>
      <c r="AR363" s="940"/>
      <c r="AS363" s="13" t="s">
        <v>62</v>
      </c>
      <c r="AT363" s="518" t="str">
        <f>IF(AND(_3="B-767-200",'2026'!$M$4="FO",'2026'!$M$2=AT347),'2026DATA'!$C$18,"")</f>
        <v/>
      </c>
      <c r="AU363" s="518" t="str">
        <f>IF(AND(_3="B-767-200",'2026'!$M$4="FO",'2026'!$M$2=AU347),'2026DATA'!$D$18,"")</f>
        <v/>
      </c>
      <c r="AV363" s="518" t="str">
        <f>IF(AND(_3="B-767-200",'2026'!$M$4="FO",'2026'!$M$2=AV347),'2026DATA'!$E$18,"")</f>
        <v/>
      </c>
      <c r="AW363" s="518" t="str">
        <f>IF(AND(_3="B-767-200",'2026'!$M$4="FO",'2026'!$M$2=AW347),'2026DATA'!$F$18,"")</f>
        <v/>
      </c>
      <c r="AX363" s="518" t="str">
        <f>IF(AND(_3="B-767-200",'2026'!$M$4="FO",'2026'!$M$2=AX347),'2026DATA'!$G$18,"")</f>
        <v/>
      </c>
      <c r="AY363" s="518" t="str">
        <f>IF(AND(_3="B-767-200",'2026'!$M$4="FO",'2026'!$M$2=AY347),'2026DATA'!$H$18,"")</f>
        <v/>
      </c>
      <c r="AZ363" s="518" t="str">
        <f>IF(AND(_3="B-767-200",'2026'!$M$4="FO",'2026'!$M$2=AZ347),'2026DATA'!$I$18,"")</f>
        <v/>
      </c>
      <c r="BA363" s="518" t="str">
        <f>IF(AND(_3="B-767-200",'2026'!$M$4="FO",'2026'!$M$2=BA347),'2026DATA'!$J$18,"")</f>
        <v/>
      </c>
      <c r="BB363" s="518" t="str">
        <f>IF(AND(_3="B-767-200",'2026'!$M$4="FO",'2026'!$M$2=BB347),'2026DATA'!$K$18,"")</f>
        <v/>
      </c>
      <c r="BC363" s="518" t="str">
        <f>IF(AND(_3="B-767-200",'2026'!$M$4="FO",'2026'!$M$2=BC347),'2026DATA'!$L$18,"")</f>
        <v/>
      </c>
      <c r="BD363" s="518" t="str">
        <f>IF(AND(_3="B-767-200",'2026'!$M$4="FO",'2026'!$M$2=BD347),'2026DATA'!$M$18,"")</f>
        <v/>
      </c>
      <c r="BE363" s="520" t="str">
        <f>IF(AND(_3="B-767-200",'2026'!$M$4="FO",'2026'!$M$2=BE347),'2026DATA'!$N$18,"")</f>
        <v/>
      </c>
      <c r="BF363" s="940"/>
      <c r="BG363" s="13" t="s">
        <v>62</v>
      </c>
      <c r="BH363" s="518" t="str">
        <f>IF(AND(_4="B-767-200",'2026'!$M$4="FO",'2026'!$M$2=BH347),'2026DATA'!$C$18,"")</f>
        <v/>
      </c>
      <c r="BI363" s="518" t="str">
        <f>IF(AND(_4="B-767-200",'2026'!$M$4="FO",'2026'!$M$2=BI347),'2026DATA'!$D$18,"")</f>
        <v/>
      </c>
      <c r="BJ363" s="518" t="str">
        <f>IF(AND(_4="B-767-200",'2026'!$M$4="FO",'2026'!$M$2=BJ347),'2026DATA'!$E$18,"")</f>
        <v/>
      </c>
      <c r="BK363" s="518" t="str">
        <f>IF(AND(_4="B-767-200",'2026'!$M$4="FO",'2026'!$M$2=BK347),'2026DATA'!$F$18,"")</f>
        <v/>
      </c>
      <c r="BL363" s="518" t="str">
        <f>IF(AND(_4="B-767-200",'2026'!$M$4="FO",'2026'!$M$2=BL347),'2026DATA'!$G$18,"")</f>
        <v/>
      </c>
      <c r="BM363" s="518" t="str">
        <f>IF(AND(_4="B-767-200",'2026'!$M$4="FO",'2026'!$M$2=BM347),'2026DATA'!$H$18,"")</f>
        <v/>
      </c>
      <c r="BN363" s="518" t="str">
        <f>IF(AND(_4="B-767-200",'2026'!$M$4="FO",'2026'!$M$2=BN347),'2026DATA'!$I$18,"")</f>
        <v/>
      </c>
      <c r="BO363" s="518" t="str">
        <f>IF(AND(_4="B-767-200",'2026'!$M$4="FO",'2026'!$M$2=BO347),'2026DATA'!$J$18,"")</f>
        <v/>
      </c>
      <c r="BP363" s="518" t="str">
        <f>IF(AND(_4="B-767-200",'2026'!$M$4="FO",'2026'!$M$2=BP347),'2026DATA'!$K$18,"")</f>
        <v/>
      </c>
      <c r="BQ363" s="518" t="str">
        <f>IF(AND(_4="B-767-200",'2026'!$M$4="FO",'2026'!$M$2=BQ347),'2026DATA'!$L$18,"")</f>
        <v/>
      </c>
      <c r="BR363" s="518" t="str">
        <f>IF(AND(_4="B-767-200",'2026'!$M$4="FO",'2026'!$M$2=BR347),'2026DATA'!$M$18,"")</f>
        <v/>
      </c>
      <c r="BS363" s="520" t="str">
        <f>IF(AND(_4="B-767-200",'2026'!$M$4="FO",'2026'!$M$2=BS347),'2026DATA'!$N$18,"")</f>
        <v/>
      </c>
      <c r="BT363" s="940"/>
      <c r="BU363" s="13" t="s">
        <v>62</v>
      </c>
      <c r="BV363" s="518" t="str">
        <f>IF(AND(_5="B-767-200",'2026'!$M$4="FO",'2026'!$M$2=BV347),'2026DATA'!$C$18,"")</f>
        <v/>
      </c>
      <c r="BW363" s="518" t="str">
        <f>IF(AND(_5="B-767-200",'2026'!$M$4="FO",'2026'!$M$2=BW347),'2026DATA'!$D$18,"")</f>
        <v/>
      </c>
      <c r="BX363" s="518" t="str">
        <f>IF(AND(_5="B-767-200",'2026'!$M$4="FO",'2026'!$M$2=BX347),'2026DATA'!$E$18,"")</f>
        <v/>
      </c>
      <c r="BY363" s="518" t="str">
        <f>IF(AND(_5="B-767-200",'2026'!$M$4="FO",'2026'!$M$2=BY347),'2026DATA'!$F$18,"")</f>
        <v/>
      </c>
      <c r="BZ363" s="518" t="str">
        <f>IF(AND(_5="B-767-200",'2026'!$M$4="FO",'2026'!$M$2=BZ347),'2026DATA'!$G$18,"")</f>
        <v/>
      </c>
      <c r="CA363" s="518" t="str">
        <f>IF(AND(_5="B-767-200",'2026'!$M$4="FO",'2026'!$M$2=CA347),'2026DATA'!$H$18,"")</f>
        <v/>
      </c>
      <c r="CB363" s="518" t="str">
        <f>IF(AND(_5="B-767-200",'2026'!$M$4="FO",'2026'!$M$2=CB347),'2026DATA'!$I$18,"")</f>
        <v/>
      </c>
      <c r="CC363" s="518" t="str">
        <f>IF(AND(_5="B-767-200",'2026'!$M$4="FO",'2026'!$M$2=CC347),'2026DATA'!$J$18,"")</f>
        <v/>
      </c>
      <c r="CD363" s="518" t="str">
        <f>IF(AND(_5="B-767-200",'2026'!$M$4="FO",'2026'!$M$2=CD347),'2026DATA'!$K$18,"")</f>
        <v/>
      </c>
      <c r="CE363" s="518" t="str">
        <f>IF(AND(_5="B-767-200",'2026'!$M$4="FO",'2026'!$M$2=CE347),'2026DATA'!$L$18,"")</f>
        <v/>
      </c>
      <c r="CF363" s="518" t="str">
        <f>IF(AND(_5="B-767-200",'2026'!$M$4="FO",'2026'!$M$2=CF347),'2026DATA'!$M$18,"")</f>
        <v/>
      </c>
      <c r="CG363" s="520" t="str">
        <f>IF(AND(_5="B-767-200",'2026'!$M$4="FO",'2026'!$M$2=CG347),'2026DATA'!$N$18,"")</f>
        <v/>
      </c>
      <c r="CH363" s="940"/>
      <c r="CI363" s="13" t="s">
        <v>62</v>
      </c>
      <c r="CJ363" s="518" t="str">
        <f>IF(AND(_6="B-767-200",'2026'!$M$4="FO",'2026'!$M$2=CJ347),'2026DATA'!$C$18,"")</f>
        <v/>
      </c>
      <c r="CK363" s="518" t="str">
        <f>IF(AND(_6="B-767-200",'2026'!$M$4="FO",'2026'!$M$2=CK347),'2026DATA'!$D$18,"")</f>
        <v/>
      </c>
      <c r="CL363" s="518" t="str">
        <f>IF(AND(_6="B-767-200",'2026'!$M$4="FO",'2026'!$M$2=CL347),'2026DATA'!$E$18,"")</f>
        <v/>
      </c>
      <c r="CM363" s="518" t="str">
        <f>IF(AND(_6="B-767-200",'2026'!$M$4="FO",'2026'!$M$2=CM347),'2026DATA'!$F$18,"")</f>
        <v/>
      </c>
      <c r="CN363" s="518" t="str">
        <f>IF(AND(_6="B-767-200",'2026'!$M$4="FO",'2026'!$M$2=CN347),'2026DATA'!$G$18,"")</f>
        <v/>
      </c>
      <c r="CO363" s="518" t="str">
        <f>IF(AND(_6="B-767-200",'2026'!$M$4="FO",'2026'!$M$2=CO347),'2026DATA'!$H$18,"")</f>
        <v/>
      </c>
      <c r="CP363" s="518" t="str">
        <f>IF(AND(_6="B-767-200",'2026'!$M$4="FO",'2026'!$M$2=CP347),'2026DATA'!$I$18,"")</f>
        <v/>
      </c>
      <c r="CQ363" s="518" t="str">
        <f>IF(AND(_6="B-767-200",'2026'!$M$4="FO",'2026'!$M$2=CQ347),'2026DATA'!$J$18,"")</f>
        <v/>
      </c>
      <c r="CR363" s="518" t="str">
        <f>IF(AND(_6="B-767-200",'2026'!$M$4="FO",'2026'!$M$2=CR347),'2026DATA'!$K$18,"")</f>
        <v/>
      </c>
      <c r="CS363" s="518" t="str">
        <f>IF(AND(_6="B-767-200",'2026'!$M$4="FO",'2026'!$M$2=CS347),'2026DATA'!$L$18,"")</f>
        <v/>
      </c>
      <c r="CT363" s="518" t="str">
        <f>IF(AND(_6="B-767-200",'2026'!$M$4="FO",'2026'!$M$2=CT347),'2026DATA'!$M$18,"")</f>
        <v/>
      </c>
      <c r="CU363" s="520" t="str">
        <f>IF(AND(_6="B-767-200",'2026'!$M$4="FO",'2026'!$M$2=CU347),'2026DATA'!$N$18,"")</f>
        <v/>
      </c>
    </row>
    <row r="364" spans="16:99" x14ac:dyDescent="0.25">
      <c r="P364" s="940" t="s">
        <v>45</v>
      </c>
      <c r="Q364" s="13" t="s">
        <v>61</v>
      </c>
      <c r="R364" s="518" t="str">
        <f>IF(AND(_1="B-757",'2026'!$M$4="CA",'2026'!$M$2=R347),'2026DATA'!$C$19,"")</f>
        <v/>
      </c>
      <c r="S364" s="518" t="str">
        <f>IF(AND(_1="B-757",'2026'!$M$4="CA",'2026'!$M$2=S347),'2026DATA'!$D$19,"")</f>
        <v/>
      </c>
      <c r="T364" s="518" t="str">
        <f>IF(AND(_1="B-757",'2026'!$M$4="CA",'2026'!$M$2=T347),'2026DATA'!$E$19,"")</f>
        <v/>
      </c>
      <c r="U364" s="518" t="str">
        <f>IF(AND(_1="B-757",'2026'!$M$4="CA",'2026'!$M$2=U347),'2026DATA'!$F$19,"")</f>
        <v/>
      </c>
      <c r="V364" s="518" t="str">
        <f>IF(AND(_1="B-757",'2026'!$M$4="CA",'2026'!$M$2=V347),'2026DATA'!$G$19,"")</f>
        <v/>
      </c>
      <c r="W364" s="518" t="str">
        <f>IF(AND(_1="B-757",'2026'!$M$4="CA",'2026'!$M$2=W347),'2026DATA'!$H$19,"")</f>
        <v/>
      </c>
      <c r="X364" s="518" t="str">
        <f>IF(AND(_1="B-757",'2026'!$M$4="CA",'2026'!$M$2=X347),'2026DATA'!$I$19,"")</f>
        <v/>
      </c>
      <c r="Y364" s="518" t="str">
        <f>IF(AND(_1="B-757",'2026'!$M$4="CA",'2026'!$M$2=Y347),'2026DATA'!$J$19,"")</f>
        <v/>
      </c>
      <c r="Z364" s="518" t="str">
        <f>IF(AND(_1="B-757",'2026'!$M$4="CA",'2026'!$M$2=Z347),'2026DATA'!$K$19,"")</f>
        <v/>
      </c>
      <c r="AA364" s="518" t="str">
        <f>IF(AND(_1="B-757",'2026'!$M$4="CA",'2026'!$M$2=AA347),'2026DATA'!$L$19,"")</f>
        <v/>
      </c>
      <c r="AB364" s="518" t="str">
        <f>IF(AND(_1="B-757",'2026'!$M$4="CA",'2026'!$M$2=AB347),'2026DATA'!$M$19,"")</f>
        <v/>
      </c>
      <c r="AC364" s="520" t="str">
        <f>IF(AND(_1="B-757",'2026'!$M$4="CA",'2026'!$M$2=AC347),'2026DATA'!$N$19,"")</f>
        <v/>
      </c>
      <c r="AD364" s="940" t="s">
        <v>45</v>
      </c>
      <c r="AE364" s="13" t="s">
        <v>61</v>
      </c>
      <c r="AF364" s="518" t="str">
        <f>IF(AND(_2="B-757",'2026'!$M$4="CA",'2026'!$M$2=AF347),'2026DATA'!$C$19,"")</f>
        <v/>
      </c>
      <c r="AG364" s="518" t="str">
        <f>IF(AND(_2="B-757",'2026'!$M$4="CA",'2026'!$M$2=AG347),'2026DATA'!$D$19,"")</f>
        <v/>
      </c>
      <c r="AH364" s="518" t="str">
        <f>IF(AND(_2="B-757",'2026'!$M$4="CA",'2026'!$M$2=AH347),'2026DATA'!$E$19,"")</f>
        <v/>
      </c>
      <c r="AI364" s="518" t="str">
        <f>IF(AND(_2="B-757",'2026'!$M$4="CA",'2026'!$M$2=AI347),'2026DATA'!$F$19,"")</f>
        <v/>
      </c>
      <c r="AJ364" s="518" t="str">
        <f>IF(AND(_2="B-757",'2026'!$M$4="CA",'2026'!$M$2=AJ347),'2026DATA'!$G$19,"")</f>
        <v/>
      </c>
      <c r="AK364" s="518" t="str">
        <f>IF(AND(_2="B-757",'2026'!$M$4="CA",'2026'!$M$2=AK347),'2026DATA'!$H$19,"")</f>
        <v/>
      </c>
      <c r="AL364" s="518" t="str">
        <f>IF(AND(_2="B-757",'2026'!$M$4="CA",'2026'!$M$2=AL347),'2026DATA'!$I$19,"")</f>
        <v/>
      </c>
      <c r="AM364" s="518" t="str">
        <f>IF(AND(_2="B-757",'2026'!$M$4="CA",'2026'!$M$2=AM347),'2026DATA'!$J$19,"")</f>
        <v/>
      </c>
      <c r="AN364" s="518" t="str">
        <f>IF(AND(_2="B-757",'2026'!$M$4="CA",'2026'!$M$2=AN347),'2026DATA'!$K$19,"")</f>
        <v/>
      </c>
      <c r="AO364" s="518" t="str">
        <f>IF(AND(_2="B-757",'2026'!$M$4="CA",'2026'!$M$2=AO347),'2026DATA'!$L$19,"")</f>
        <v/>
      </c>
      <c r="AP364" s="518" t="str">
        <f>IF(AND(_2="B-757",'2026'!$M$4="CA",'2026'!$M$2=AP347),'2026DATA'!$M$19,"")</f>
        <v/>
      </c>
      <c r="AQ364" s="520" t="str">
        <f>IF(AND(_2="B-757",'2026'!$M$4="CA",'2026'!$M$2=AQ347),'2026DATA'!$N$19,"")</f>
        <v/>
      </c>
      <c r="AR364" s="940" t="s">
        <v>45</v>
      </c>
      <c r="AS364" s="13" t="s">
        <v>61</v>
      </c>
      <c r="AT364" s="518" t="str">
        <f>IF(AND(_3="B-757",'2026'!$M$4="CA",'2026'!$M$2=AT347),'2026DATA'!$C$19,"")</f>
        <v/>
      </c>
      <c r="AU364" s="518" t="str">
        <f>IF(AND(_3="B-757",'2026'!$M$4="CA",'2026'!$M$2=AU347),'2026DATA'!$D$19,"")</f>
        <v/>
      </c>
      <c r="AV364" s="518" t="str">
        <f>IF(AND(_3="B-757",'2026'!$M$4="CA",'2026'!$M$2=AV347),'2026DATA'!$E$19,"")</f>
        <v/>
      </c>
      <c r="AW364" s="518" t="str">
        <f>IF(AND(_3="B-757",'2026'!$M$4="CA",'2026'!$M$2=AW347),'2026DATA'!$F$19,"")</f>
        <v/>
      </c>
      <c r="AX364" s="518" t="str">
        <f>IF(AND(_3="B-757",'2026'!$M$4="CA",'2026'!$M$2=AX347),'2026DATA'!$G$19,"")</f>
        <v/>
      </c>
      <c r="AY364" s="518" t="str">
        <f>IF(AND(_3="B-757",'2026'!$M$4="CA",'2026'!$M$2=AY347),'2026DATA'!$H$19,"")</f>
        <v/>
      </c>
      <c r="AZ364" s="518" t="str">
        <f>IF(AND(_3="B-757",'2026'!$M$4="CA",'2026'!$M$2=AZ347),'2026DATA'!$I$19,"")</f>
        <v/>
      </c>
      <c r="BA364" s="518" t="str">
        <f>IF(AND(_3="B-757",'2026'!$M$4="CA",'2026'!$M$2=BA347),'2026DATA'!$J$19,"")</f>
        <v/>
      </c>
      <c r="BB364" s="518" t="str">
        <f>IF(AND(_3="B-757",'2026'!$M$4="CA",'2026'!$M$2=BB347),'2026DATA'!$K$19,"")</f>
        <v/>
      </c>
      <c r="BC364" s="518" t="str">
        <f>IF(AND(_3="B-757",'2026'!$M$4="CA",'2026'!$M$2=BC347),'2026DATA'!$L$19,"")</f>
        <v/>
      </c>
      <c r="BD364" s="518" t="str">
        <f>IF(AND(_3="B-757",'2026'!$M$4="CA",'2026'!$M$2=BD347),'2026DATA'!$M$19,"")</f>
        <v/>
      </c>
      <c r="BE364" s="520" t="str">
        <f>IF(AND(_3="B-757",'2026'!$M$4="CA",'2026'!$M$2=BE347),'2026DATA'!$N$19,"")</f>
        <v/>
      </c>
      <c r="BF364" s="940" t="s">
        <v>45</v>
      </c>
      <c r="BG364" s="13" t="s">
        <v>61</v>
      </c>
      <c r="BH364" s="518" t="str">
        <f>IF(AND(_4="B-757",'2026'!$M$4="CA",'2026'!$M$2=BH347),'2026DATA'!$C$19,"")</f>
        <v/>
      </c>
      <c r="BI364" s="518" t="str">
        <f>IF(AND(_4="B-757",'2026'!$M$4="CA",'2026'!$M$2=BI347),'2026DATA'!$D$19,"")</f>
        <v/>
      </c>
      <c r="BJ364" s="518" t="str">
        <f>IF(AND(_4="B-757",'2026'!$M$4="CA",'2026'!$M$2=BJ347),'2026DATA'!$E$19,"")</f>
        <v/>
      </c>
      <c r="BK364" s="518" t="str">
        <f>IF(AND(_4="B-757",'2026'!$M$4="CA",'2026'!$M$2=BK347),'2026DATA'!$F$19,"")</f>
        <v/>
      </c>
      <c r="BL364" s="518" t="str">
        <f>IF(AND(_4="B-757",'2026'!$M$4="CA",'2026'!$M$2=BL347),'2026DATA'!$G$19,"")</f>
        <v/>
      </c>
      <c r="BM364" s="518" t="str">
        <f>IF(AND(_4="B-757",'2026'!$M$4="CA",'2026'!$M$2=BM347),'2026DATA'!$H$19,"")</f>
        <v/>
      </c>
      <c r="BN364" s="518" t="str">
        <f>IF(AND(_4="B-757",'2026'!$M$4="CA",'2026'!$M$2=BN347),'2026DATA'!$I$19,"")</f>
        <v/>
      </c>
      <c r="BO364" s="518" t="str">
        <f>IF(AND(_4="B-757",'2026'!$M$4="CA",'2026'!$M$2=BO347),'2026DATA'!$J$19,"")</f>
        <v/>
      </c>
      <c r="BP364" s="518" t="str">
        <f>IF(AND(_4="B-757",'2026'!$M$4="CA",'2026'!$M$2=BP347),'2026DATA'!$K$19,"")</f>
        <v/>
      </c>
      <c r="BQ364" s="518" t="str">
        <f>IF(AND(_4="B-757",'2026'!$M$4="CA",'2026'!$M$2=BQ347),'2026DATA'!$L$19,"")</f>
        <v/>
      </c>
      <c r="BR364" s="518" t="str">
        <f>IF(AND(_4="B-757",'2026'!$M$4="CA",'2026'!$M$2=BR347),'2026DATA'!$M$19,"")</f>
        <v/>
      </c>
      <c r="BS364" s="520" t="str">
        <f>IF(AND(_4="B-757",'2026'!$M$4="CA",'2026'!$M$2=BS347),'2026DATA'!$N$19,"")</f>
        <v/>
      </c>
      <c r="BT364" s="940" t="s">
        <v>45</v>
      </c>
      <c r="BU364" s="13" t="s">
        <v>61</v>
      </c>
      <c r="BV364" s="518" t="str">
        <f>IF(AND(_5="B-757",'2026'!$M$4="CA",'2026'!$M$2=BV347),'2026DATA'!$C$19,"")</f>
        <v/>
      </c>
      <c r="BW364" s="518" t="str">
        <f>IF(AND(_5="B-757",'2026'!$M$4="CA",'2026'!$M$2=BW347),'2026DATA'!$D$19,"")</f>
        <v/>
      </c>
      <c r="BX364" s="518" t="str">
        <f>IF(AND(_5="B-757",'2026'!$M$4="CA",'2026'!$M$2=BX347),'2026DATA'!$E$19,"")</f>
        <v/>
      </c>
      <c r="BY364" s="518" t="str">
        <f>IF(AND(_5="B-757",'2026'!$M$4="CA",'2026'!$M$2=BY347),'2026DATA'!$F$19,"")</f>
        <v/>
      </c>
      <c r="BZ364" s="518" t="str">
        <f>IF(AND(_5="B-757",'2026'!$M$4="CA",'2026'!$M$2=BZ347),'2026DATA'!$G$19,"")</f>
        <v/>
      </c>
      <c r="CA364" s="518" t="str">
        <f>IF(AND(_5="B-757",'2026'!$M$4="CA",'2026'!$M$2=CA347),'2026DATA'!$H$19,"")</f>
        <v/>
      </c>
      <c r="CB364" s="518" t="str">
        <f>IF(AND(_5="B-757",'2026'!$M$4="CA",'2026'!$M$2=CB347),'2026DATA'!$I$19,"")</f>
        <v/>
      </c>
      <c r="CC364" s="518" t="str">
        <f>IF(AND(_5="B-757",'2026'!$M$4="CA",'2026'!$M$2=CC347),'2026DATA'!$J$19,"")</f>
        <v/>
      </c>
      <c r="CD364" s="518" t="str">
        <f>IF(AND(_5="B-757",'2026'!$M$4="CA",'2026'!$M$2=CD347),'2026DATA'!$K$19,"")</f>
        <v/>
      </c>
      <c r="CE364" s="518" t="str">
        <f>IF(AND(_5="B-757",'2026'!$M$4="CA",'2026'!$M$2=CE347),'2026DATA'!$L$19,"")</f>
        <v/>
      </c>
      <c r="CF364" s="518" t="str">
        <f>IF(AND(_5="B-757",'2026'!$M$4="CA",'2026'!$M$2=CF347),'2026DATA'!$M$19,"")</f>
        <v/>
      </c>
      <c r="CG364" s="520" t="str">
        <f>IF(AND(_5="B-757",'2026'!$M$4="CA",'2026'!$M$2=CG347),'2026DATA'!$N$19,"")</f>
        <v/>
      </c>
      <c r="CH364" s="940" t="s">
        <v>45</v>
      </c>
      <c r="CI364" s="13" t="s">
        <v>61</v>
      </c>
      <c r="CJ364" s="518" t="str">
        <f>IF(AND(_6="B-757",'2026'!$M$4="CA",'2026'!$M$2=CJ347),'2026DATA'!$C$19,"")</f>
        <v/>
      </c>
      <c r="CK364" s="518" t="str">
        <f>IF(AND(_6="B-757",'2026'!$M$4="CA",'2026'!$M$2=CK347),'2026DATA'!$D$19,"")</f>
        <v/>
      </c>
      <c r="CL364" s="518" t="str">
        <f>IF(AND(_6="B-757",'2026'!$M$4="CA",'2026'!$M$2=CL347),'2026DATA'!$E$19,"")</f>
        <v/>
      </c>
      <c r="CM364" s="518" t="str">
        <f>IF(AND(_6="B-757",'2026'!$M$4="CA",'2026'!$M$2=CM347),'2026DATA'!$F$19,"")</f>
        <v/>
      </c>
      <c r="CN364" s="518" t="str">
        <f>IF(AND(_6="B-757",'2026'!$M$4="CA",'2026'!$M$2=CN347),'2026DATA'!$G$19,"")</f>
        <v/>
      </c>
      <c r="CO364" s="518" t="str">
        <f>IF(AND(_6="B-757",'2026'!$M$4="CA",'2026'!$M$2=CO347),'2026DATA'!$H$19,"")</f>
        <v/>
      </c>
      <c r="CP364" s="518" t="str">
        <f>IF(AND(_6="B-757",'2026'!$M$4="CA",'2026'!$M$2=CP347),'2026DATA'!$I$19,"")</f>
        <v/>
      </c>
      <c r="CQ364" s="518" t="str">
        <f>IF(AND(_6="B-757",'2026'!$M$4="CA",'2026'!$M$2=CQ347),'2026DATA'!$J$19,"")</f>
        <v/>
      </c>
      <c r="CR364" s="518" t="str">
        <f>IF(AND(_6="B-757",'2026'!$M$4="CA",'2026'!$M$2=CR347),'2026DATA'!$K$19,"")</f>
        <v/>
      </c>
      <c r="CS364" s="518" t="str">
        <f>IF(AND(_6="B-757",'2026'!$M$4="CA",'2026'!$M$2=CS347),'2026DATA'!$L$19,"")</f>
        <v/>
      </c>
      <c r="CT364" s="518" t="str">
        <f>IF(AND(_6="B-757",'2026'!$M$4="CA",'2026'!$M$2=CT347),'2026DATA'!$M$19,"")</f>
        <v/>
      </c>
      <c r="CU364" s="520" t="str">
        <f>IF(AND(_6="B-757",'2026'!$M$4="CA",'2026'!$M$2=CU347),'2026DATA'!$N$19,"")</f>
        <v/>
      </c>
    </row>
    <row r="365" spans="16:99" x14ac:dyDescent="0.25">
      <c r="P365" s="940"/>
      <c r="Q365" s="13" t="s">
        <v>62</v>
      </c>
      <c r="R365" s="518" t="str">
        <f>IF(AND(_1="B-757",'2026'!$M$4="FO",'2026'!$M$2=R347),'2026DATA'!$C$20,"")</f>
        <v/>
      </c>
      <c r="S365" s="518" t="str">
        <f>IF(AND(_1="B-757",'2026'!$M$4="FO",'2026'!$M$2=S347),'2026DATA'!$D$20,"")</f>
        <v/>
      </c>
      <c r="T365" s="518" t="str">
        <f>IF(AND(_1="B-757",'2026'!$M$4="FO",'2026'!$M$2=T347),'2026DATA'!$E$20,"")</f>
        <v/>
      </c>
      <c r="U365" s="518" t="str">
        <f>IF(AND(_1="B-757",'2026'!$M$4="FO",'2026'!$M$2=U347),'2026DATA'!$F$20,"")</f>
        <v/>
      </c>
      <c r="V365" s="518" t="str">
        <f>IF(AND(_1="B-757",'2026'!$M$4="FO",'2026'!$M$2=V347),'2026DATA'!$G$20,"")</f>
        <v/>
      </c>
      <c r="W365" s="518" t="str">
        <f>IF(AND(_1="B-757",'2026'!$M$4="FO",'2026'!$M$2=W347),'2026DATA'!$H$20,"")</f>
        <v/>
      </c>
      <c r="X365" s="518" t="str">
        <f>IF(AND(_1="B-757",'2026'!$M$4="FO",'2026'!$M$2=X347),'2026DATA'!$I$20,"")</f>
        <v/>
      </c>
      <c r="Y365" s="518" t="str">
        <f>IF(AND(_1="B-757",'2026'!$M$4="FO",'2026'!$M$2=Y347),'2026DATA'!$J$20,"")</f>
        <v/>
      </c>
      <c r="Z365" s="518" t="str">
        <f>IF(AND(_1="B-757",'2026'!$M$4="FO",'2026'!$M$2=Z347),'2026DATA'!$K$20,"")</f>
        <v/>
      </c>
      <c r="AA365" s="518" t="str">
        <f>IF(AND(_1="B-757",'2026'!$M$4="FO",'2026'!$M$2=AA347),'2026DATA'!$L$20,"")</f>
        <v/>
      </c>
      <c r="AB365" s="518" t="str">
        <f>IF(AND(_1="B-757",'2026'!$M$4="FO",'2026'!$M$2=AB347),'2026DATA'!$M$20,"")</f>
        <v/>
      </c>
      <c r="AC365" s="520" t="str">
        <f>IF(AND(_1="B-757",'2026'!$M$4="FO",'2026'!$M$2=AC347),'2026DATA'!$N$20,"")</f>
        <v/>
      </c>
      <c r="AD365" s="940"/>
      <c r="AE365" s="13" t="s">
        <v>62</v>
      </c>
      <c r="AF365" s="518" t="str">
        <f>IF(AND(_2="B-757",'2026'!$M$4="FO",'2026'!$M$2=AF347),'2026DATA'!$C$20,"")</f>
        <v/>
      </c>
      <c r="AG365" s="518" t="str">
        <f>IF(AND(_2="B-757",'2026'!$M$4="FO",'2026'!$M$2=AG347),'2026DATA'!$D$20,"")</f>
        <v/>
      </c>
      <c r="AH365" s="518" t="str">
        <f>IF(AND(_2="B-757",'2026'!$M$4="FO",'2026'!$M$2=AH347),'2026DATA'!$E$20,"")</f>
        <v/>
      </c>
      <c r="AI365" s="518" t="str">
        <f>IF(AND(_2="B-757",'2026'!$M$4="FO",'2026'!$M$2=AI347),'2026DATA'!$F$20,"")</f>
        <v/>
      </c>
      <c r="AJ365" s="518" t="str">
        <f>IF(AND(_2="B-757",'2026'!$M$4="FO",'2026'!$M$2=AJ347),'2026DATA'!$G$20,"")</f>
        <v/>
      </c>
      <c r="AK365" s="518" t="str">
        <f>IF(AND(_2="B-757",'2026'!$M$4="FO",'2026'!$M$2=AK347),'2026DATA'!$H$20,"")</f>
        <v/>
      </c>
      <c r="AL365" s="518" t="str">
        <f>IF(AND(_2="B-757",'2026'!$M$4="FO",'2026'!$M$2=AL347),'2026DATA'!$I$20,"")</f>
        <v/>
      </c>
      <c r="AM365" s="518" t="str">
        <f>IF(AND(_2="B-757",'2026'!$M$4="FO",'2026'!$M$2=AM347),'2026DATA'!$J$20,"")</f>
        <v/>
      </c>
      <c r="AN365" s="518" t="str">
        <f>IF(AND(_2="B-757",'2026'!$M$4="FO",'2026'!$M$2=AN347),'2026DATA'!$K$20,"")</f>
        <v/>
      </c>
      <c r="AO365" s="518" t="str">
        <f>IF(AND(_2="B-757",'2026'!$M$4="FO",'2026'!$M$2=AO347),'2026DATA'!$L$20,"")</f>
        <v/>
      </c>
      <c r="AP365" s="518" t="str">
        <f>IF(AND(_2="B-757",'2026'!$M$4="FO",'2026'!$M$2=AP347),'2026DATA'!$M$20,"")</f>
        <v/>
      </c>
      <c r="AQ365" s="520" t="str">
        <f>IF(AND(_2="B-757",'2026'!$M$4="FO",'2026'!$M$2=AQ347),'2026DATA'!$N$20,"")</f>
        <v/>
      </c>
      <c r="AR365" s="940"/>
      <c r="AS365" s="13" t="s">
        <v>62</v>
      </c>
      <c r="AT365" s="518" t="str">
        <f>IF(AND(_3="B-757",'2026'!$M$4="FO",'2026'!$M$2=AT347),'2026DATA'!$C$20,"")</f>
        <v/>
      </c>
      <c r="AU365" s="518" t="str">
        <f>IF(AND(_3="B-757",'2026'!$M$4="FO",'2026'!$M$2=AU347),'2026DATA'!$D$20,"")</f>
        <v/>
      </c>
      <c r="AV365" s="518" t="str">
        <f>IF(AND(_3="B-757",'2026'!$M$4="FO",'2026'!$M$2=AV347),'2026DATA'!$E$20,"")</f>
        <v/>
      </c>
      <c r="AW365" s="518" t="str">
        <f>IF(AND(_3="B-757",'2026'!$M$4="FO",'2026'!$M$2=AW347),'2026DATA'!$F$20,"")</f>
        <v/>
      </c>
      <c r="AX365" s="518" t="str">
        <f>IF(AND(_3="B-757",'2026'!$M$4="FO",'2026'!$M$2=AX347),'2026DATA'!$G$20,"")</f>
        <v/>
      </c>
      <c r="AY365" s="518" t="str">
        <f>IF(AND(_3="B-757",'2026'!$M$4="FO",'2026'!$M$2=AY347),'2026DATA'!$H$20,"")</f>
        <v/>
      </c>
      <c r="AZ365" s="518" t="str">
        <f>IF(AND(_3="B-757",'2026'!$M$4="FO",'2026'!$M$2=AZ347),'2026DATA'!$I$20,"")</f>
        <v/>
      </c>
      <c r="BA365" s="518" t="str">
        <f>IF(AND(_3="B-757",'2026'!$M$4="FO",'2026'!$M$2=BA347),'2026DATA'!$J$20,"")</f>
        <v/>
      </c>
      <c r="BB365" s="518" t="str">
        <f>IF(AND(_3="B-757",'2026'!$M$4="FO",'2026'!$M$2=BB347),'2026DATA'!$K$20,"")</f>
        <v/>
      </c>
      <c r="BC365" s="518" t="str">
        <f>IF(AND(_3="B-757",'2026'!$M$4="FO",'2026'!$M$2=BC347),'2026DATA'!$L$20,"")</f>
        <v/>
      </c>
      <c r="BD365" s="518" t="str">
        <f>IF(AND(_3="B-757",'2026'!$M$4="FO",'2026'!$M$2=BD347),'2026DATA'!$M$20,"")</f>
        <v/>
      </c>
      <c r="BE365" s="520" t="str">
        <f>IF(AND(_3="B-757",'2026'!$M$4="FO",'2026'!$M$2=BE347),'2026DATA'!$N$20,"")</f>
        <v/>
      </c>
      <c r="BF365" s="940"/>
      <c r="BG365" s="13" t="s">
        <v>62</v>
      </c>
      <c r="BH365" s="518" t="str">
        <f>IF(AND(_4="B-757",'2026'!$M$4="FO",'2026'!$M$2=BH347),'2026DATA'!$C$20,"")</f>
        <v/>
      </c>
      <c r="BI365" s="518" t="str">
        <f>IF(AND(_4="B-757",'2026'!$M$4="FO",'2026'!$M$2=BI347),'2026DATA'!$D$20,"")</f>
        <v/>
      </c>
      <c r="BJ365" s="518" t="str">
        <f>IF(AND(_4="B-757",'2026'!$M$4="FO",'2026'!$M$2=BJ347),'2026DATA'!$E$20,"")</f>
        <v/>
      </c>
      <c r="BK365" s="518" t="str">
        <f>IF(AND(_4="B-757",'2026'!$M$4="FO",'2026'!$M$2=BK347),'2026DATA'!$F$20,"")</f>
        <v/>
      </c>
      <c r="BL365" s="518" t="str">
        <f>IF(AND(_4="B-757",'2026'!$M$4="FO",'2026'!$M$2=BL347),'2026DATA'!$G$20,"")</f>
        <v/>
      </c>
      <c r="BM365" s="518" t="str">
        <f>IF(AND(_4="B-757",'2026'!$M$4="FO",'2026'!$M$2=BM347),'2026DATA'!$H$20,"")</f>
        <v/>
      </c>
      <c r="BN365" s="518" t="str">
        <f>IF(AND(_4="B-757",'2026'!$M$4="FO",'2026'!$M$2=BN347),'2026DATA'!$I$20,"")</f>
        <v/>
      </c>
      <c r="BO365" s="518" t="str">
        <f>IF(AND(_4="B-757",'2026'!$M$4="FO",'2026'!$M$2=BO347),'2026DATA'!$J$20,"")</f>
        <v/>
      </c>
      <c r="BP365" s="518" t="str">
        <f>IF(AND(_4="B-757",'2026'!$M$4="FO",'2026'!$M$2=BP347),'2026DATA'!$K$20,"")</f>
        <v/>
      </c>
      <c r="BQ365" s="518" t="str">
        <f>IF(AND(_4="B-757",'2026'!$M$4="FO",'2026'!$M$2=BQ347),'2026DATA'!$L$20,"")</f>
        <v/>
      </c>
      <c r="BR365" s="518" t="str">
        <f>IF(AND(_4="B-757",'2026'!$M$4="FO",'2026'!$M$2=BR347),'2026DATA'!$M$20,"")</f>
        <v/>
      </c>
      <c r="BS365" s="520" t="str">
        <f>IF(AND(_4="B-757",'2026'!$M$4="FO",'2026'!$M$2=BS347),'2026DATA'!$N$20,"")</f>
        <v/>
      </c>
      <c r="BT365" s="940"/>
      <c r="BU365" s="13" t="s">
        <v>62</v>
      </c>
      <c r="BV365" s="518" t="str">
        <f>IF(AND(_5="B-757",'2026'!$M$4="FO",'2026'!$M$2=BV347),'2026DATA'!$C$20,"")</f>
        <v/>
      </c>
      <c r="BW365" s="518" t="str">
        <f>IF(AND(_5="B-757",'2026'!$M$4="FO",'2026'!$M$2=BW347),'2026DATA'!$D$20,"")</f>
        <v/>
      </c>
      <c r="BX365" s="518" t="str">
        <f>IF(AND(_5="B-757",'2026'!$M$4="FO",'2026'!$M$2=BX347),'2026DATA'!$E$20,"")</f>
        <v/>
      </c>
      <c r="BY365" s="518" t="str">
        <f>IF(AND(_5="B-757",'2026'!$M$4="FO",'2026'!$M$2=BY347),'2026DATA'!$F$20,"")</f>
        <v/>
      </c>
      <c r="BZ365" s="518" t="str">
        <f>IF(AND(_5="B-757",'2026'!$M$4="FO",'2026'!$M$2=BZ347),'2026DATA'!$G$20,"")</f>
        <v/>
      </c>
      <c r="CA365" s="518" t="str">
        <f>IF(AND(_5="B-757",'2026'!$M$4="FO",'2026'!$M$2=CA347),'2026DATA'!$H$20,"")</f>
        <v/>
      </c>
      <c r="CB365" s="518" t="str">
        <f>IF(AND(_5="B-757",'2026'!$M$4="FO",'2026'!$M$2=CB347),'2026DATA'!$I$20,"")</f>
        <v/>
      </c>
      <c r="CC365" s="518" t="str">
        <f>IF(AND(_5="B-757",'2026'!$M$4="FO",'2026'!$M$2=CC347),'2026DATA'!$J$20,"")</f>
        <v/>
      </c>
      <c r="CD365" s="518" t="str">
        <f>IF(AND(_5="B-757",'2026'!$M$4="FO",'2026'!$M$2=CD347),'2026DATA'!$K$20,"")</f>
        <v/>
      </c>
      <c r="CE365" s="518" t="str">
        <f>IF(AND(_5="B-757",'2026'!$M$4="FO",'2026'!$M$2=CE347),'2026DATA'!$L$20,"")</f>
        <v/>
      </c>
      <c r="CF365" s="518" t="str">
        <f>IF(AND(_5="B-757",'2026'!$M$4="FO",'2026'!$M$2=CF347),'2026DATA'!$M$20,"")</f>
        <v/>
      </c>
      <c r="CG365" s="520" t="str">
        <f>IF(AND(_5="B-757",'2026'!$M$4="FO",'2026'!$M$2=CG347),'2026DATA'!$N$20,"")</f>
        <v/>
      </c>
      <c r="CH365" s="940"/>
      <c r="CI365" s="13" t="s">
        <v>62</v>
      </c>
      <c r="CJ365" s="518" t="str">
        <f>IF(AND(_6="B-757",'2026'!$M$4="FO",'2026'!$M$2=CJ347),'2026DATA'!$C$20,"")</f>
        <v/>
      </c>
      <c r="CK365" s="518" t="str">
        <f>IF(AND(_6="B-757",'2026'!$M$4="FO",'2026'!$M$2=CK347),'2026DATA'!$D$20,"")</f>
        <v/>
      </c>
      <c r="CL365" s="518" t="str">
        <f>IF(AND(_6="B-757",'2026'!$M$4="FO",'2026'!$M$2=CL347),'2026DATA'!$E$20,"")</f>
        <v/>
      </c>
      <c r="CM365" s="518" t="str">
        <f>IF(AND(_6="B-757",'2026'!$M$4="FO",'2026'!$M$2=CM347),'2026DATA'!$F$20,"")</f>
        <v/>
      </c>
      <c r="CN365" s="518" t="str">
        <f>IF(AND(_6="B-757",'2026'!$M$4="FO",'2026'!$M$2=CN347),'2026DATA'!$G$20,"")</f>
        <v/>
      </c>
      <c r="CO365" s="518" t="str">
        <f>IF(AND(_6="B-757",'2026'!$M$4="FO",'2026'!$M$2=CO347),'2026DATA'!$H$20,"")</f>
        <v/>
      </c>
      <c r="CP365" s="518" t="str">
        <f>IF(AND(_6="B-757",'2026'!$M$4="FO",'2026'!$M$2=CP347),'2026DATA'!$I$20,"")</f>
        <v/>
      </c>
      <c r="CQ365" s="518" t="str">
        <f>IF(AND(_6="B-757",'2026'!$M$4="FO",'2026'!$M$2=CQ347),'2026DATA'!$J$20,"")</f>
        <v/>
      </c>
      <c r="CR365" s="518" t="str">
        <f>IF(AND(_6="B-757",'2026'!$M$4="FO",'2026'!$M$2=CR347),'2026DATA'!$K$20,"")</f>
        <v/>
      </c>
      <c r="CS365" s="518" t="str">
        <f>IF(AND(_6="B-757",'2026'!$M$4="FO",'2026'!$M$2=CS347),'2026DATA'!$L$20,"")</f>
        <v/>
      </c>
      <c r="CT365" s="518" t="str">
        <f>IF(AND(_6="B-757",'2026'!$M$4="FO",'2026'!$M$2=CT347),'2026DATA'!$M$20,"")</f>
        <v/>
      </c>
      <c r="CU365" s="520" t="str">
        <f>IF(AND(_6="B-757",'2026'!$M$4="FO",'2026'!$M$2=CU347),'2026DATA'!$N$20,"")</f>
        <v/>
      </c>
    </row>
    <row r="366" spans="16:99" x14ac:dyDescent="0.25">
      <c r="P366" s="940" t="s">
        <v>47</v>
      </c>
      <c r="Q366" s="13" t="s">
        <v>61</v>
      </c>
      <c r="R366" s="518" t="str">
        <f>IF(AND(_1="B-737-900",'2026'!$M$4="CA",'2026'!$M$2=R347),'2026DATA'!$C$21,"")</f>
        <v/>
      </c>
      <c r="S366" s="518" t="str">
        <f>IF(AND(_1="B-737-900",'2026'!$M$4="CA",'2026'!$M$2=S347),'2026DATA'!$D$21,"")</f>
        <v/>
      </c>
      <c r="T366" s="518" t="str">
        <f>IF(AND(_1="B-737-900",'2026'!$M$4="CA",'2026'!$M$2=T347),'2026DATA'!$E$21,"")</f>
        <v/>
      </c>
      <c r="U366" s="518" t="str">
        <f>IF(AND(_1="B-737-900",'2026'!$M$4="CA",'2026'!$M$2=U347),'2026DATA'!$F$21,"")</f>
        <v/>
      </c>
      <c r="V366" s="518" t="str">
        <f>IF(AND(_1="B-737-900",'2026'!$M$4="CA",'2026'!$M$2=V347),'2026DATA'!$G$21,"")</f>
        <v/>
      </c>
      <c r="W366" s="518" t="str">
        <f>IF(AND(_1="B-737-900",'2026'!$M$4="CA",'2026'!$M$2=W347),'2026DATA'!$H$21,"")</f>
        <v/>
      </c>
      <c r="X366" s="518" t="str">
        <f>IF(AND(_1="B-737-900",'2026'!$M$4="CA",'2026'!$M$2=X347),'2026DATA'!$I$21,"")</f>
        <v/>
      </c>
      <c r="Y366" s="518" t="str">
        <f>IF(AND(_1="B-737-900",'2026'!$M$4="CA",'2026'!$M$2=Y347),'2026DATA'!$J$21,"")</f>
        <v/>
      </c>
      <c r="Z366" s="518" t="str">
        <f>IF(AND(_1="B-737-900",'2026'!$M$4="CA",'2026'!$M$2=Z347),'2026DATA'!$K$21,"")</f>
        <v/>
      </c>
      <c r="AA366" s="518" t="str">
        <f>IF(AND(_1="B-737-900",'2026'!$M$4="CA",'2026'!$M$2=AA347),'2026DATA'!$L$21,"")</f>
        <v/>
      </c>
      <c r="AB366" s="518" t="str">
        <f>IF(AND(_1="B-737-900",'2026'!$M$4="CA",'2026'!$M$2=AB347),'2026DATA'!$M$21,"")</f>
        <v/>
      </c>
      <c r="AC366" s="520" t="str">
        <f>IF(AND(_1="B-737-900",'2026'!$M$4="CA",'2026'!$M$2=AC347),'2026DATA'!$N$21,"")</f>
        <v/>
      </c>
      <c r="AD366" s="940" t="s">
        <v>47</v>
      </c>
      <c r="AE366" s="13" t="s">
        <v>61</v>
      </c>
      <c r="AF366" s="518" t="str">
        <f>IF(AND(_2="B-737-900",'2026'!$M$4="CA",'2026'!$M$2=AF347),'2026DATA'!$C$21,"")</f>
        <v/>
      </c>
      <c r="AG366" s="518" t="str">
        <f>IF(AND(_2="B-737-900",'2026'!$M$4="CA",'2026'!$M$2=AG347),'2026DATA'!$D$21,"")</f>
        <v/>
      </c>
      <c r="AH366" s="518" t="str">
        <f>IF(AND(_2="B-737-900",'2026'!$M$4="CA",'2026'!$M$2=AH347),'2026DATA'!$E$21,"")</f>
        <v/>
      </c>
      <c r="AI366" s="518" t="str">
        <f>IF(AND(_2="B-737-900",'2026'!$M$4="CA",'2026'!$M$2=AI347),'2026DATA'!$F$21,"")</f>
        <v/>
      </c>
      <c r="AJ366" s="518" t="str">
        <f>IF(AND(_2="B-737-900",'2026'!$M$4="CA",'2026'!$M$2=AJ347),'2026DATA'!$G$21,"")</f>
        <v/>
      </c>
      <c r="AK366" s="518" t="str">
        <f>IF(AND(_2="B-737-900",'2026'!$M$4="CA",'2026'!$M$2=AK347),'2026DATA'!$H$21,"")</f>
        <v/>
      </c>
      <c r="AL366" s="518" t="str">
        <f>IF(AND(_2="B-737-900",'2026'!$M$4="CA",'2026'!$M$2=AL347),'2026DATA'!$I$21,"")</f>
        <v/>
      </c>
      <c r="AM366" s="518" t="str">
        <f>IF(AND(_2="B-737-900",'2026'!$M$4="CA",'2026'!$M$2=AM347),'2026DATA'!$J$21,"")</f>
        <v/>
      </c>
      <c r="AN366" s="518" t="str">
        <f>IF(AND(_2="B-737-900",'2026'!$M$4="CA",'2026'!$M$2=AN347),'2026DATA'!$K$21,"")</f>
        <v/>
      </c>
      <c r="AO366" s="518" t="str">
        <f>IF(AND(_2="B-737-900",'2026'!$M$4="CA",'2026'!$M$2=AO347),'2026DATA'!$L$21,"")</f>
        <v/>
      </c>
      <c r="AP366" s="518" t="str">
        <f>IF(AND(_2="B-737-900",'2026'!$M$4="CA",'2026'!$M$2=AP347),'2026DATA'!$M$21,"")</f>
        <v/>
      </c>
      <c r="AQ366" s="520" t="str">
        <f>IF(AND(_2="B-737-900",'2026'!$M$4="CA",'2026'!$M$2=AQ347),'2026DATA'!$N$21,"")</f>
        <v/>
      </c>
      <c r="AR366" s="940" t="s">
        <v>47</v>
      </c>
      <c r="AS366" s="13" t="s">
        <v>61</v>
      </c>
      <c r="AT366" s="518" t="str">
        <f>IF(AND(_3="B-737-900",'2026'!$M$4="CA",'2026'!$M$2=AT347),'2026DATA'!$C$21,"")</f>
        <v/>
      </c>
      <c r="AU366" s="518" t="str">
        <f>IF(AND(_3="B-737-900",'2026'!$M$4="CA",'2026'!$M$2=AU347),'2026DATA'!$D$21,"")</f>
        <v/>
      </c>
      <c r="AV366" s="518" t="str">
        <f>IF(AND(_3="B-737-900",'2026'!$M$4="CA",'2026'!$M$2=AV347),'2026DATA'!$E$21,"")</f>
        <v/>
      </c>
      <c r="AW366" s="518" t="str">
        <f>IF(AND(_3="B-737-900",'2026'!$M$4="CA",'2026'!$M$2=AW347),'2026DATA'!$F$21,"")</f>
        <v/>
      </c>
      <c r="AX366" s="518" t="str">
        <f>IF(AND(_3="B-737-900",'2026'!$M$4="CA",'2026'!$M$2=AX347),'2026DATA'!$G$21,"")</f>
        <v/>
      </c>
      <c r="AY366" s="518" t="str">
        <f>IF(AND(_3="B-737-900",'2026'!$M$4="CA",'2026'!$M$2=AY347),'2026DATA'!$H$21,"")</f>
        <v/>
      </c>
      <c r="AZ366" s="518" t="str">
        <f>IF(AND(_3="B-737-900",'2026'!$M$4="CA",'2026'!$M$2=AZ347),'2026DATA'!$I$21,"")</f>
        <v/>
      </c>
      <c r="BA366" s="518" t="str">
        <f>IF(AND(_3="B-737-900",'2026'!$M$4="CA",'2026'!$M$2=BA347),'2026DATA'!$J$21,"")</f>
        <v/>
      </c>
      <c r="BB366" s="518" t="str">
        <f>IF(AND(_3="B-737-900",'2026'!$M$4="CA",'2026'!$M$2=BB347),'2026DATA'!$K$21,"")</f>
        <v/>
      </c>
      <c r="BC366" s="518" t="str">
        <f>IF(AND(_3="B-737-900",'2026'!$M$4="CA",'2026'!$M$2=BC347),'2026DATA'!$L$21,"")</f>
        <v/>
      </c>
      <c r="BD366" s="518" t="str">
        <f>IF(AND(_3="B-737-900",'2026'!$M$4="CA",'2026'!$M$2=BD347),'2026DATA'!$M$21,"")</f>
        <v/>
      </c>
      <c r="BE366" s="520" t="str">
        <f>IF(AND(_3="B-737-900",'2026'!$M$4="CA",'2026'!$M$2=BE347),'2026DATA'!$N$21,"")</f>
        <v/>
      </c>
      <c r="BF366" s="940" t="s">
        <v>47</v>
      </c>
      <c r="BG366" s="13" t="s">
        <v>61</v>
      </c>
      <c r="BH366" s="518" t="str">
        <f>IF(AND(_4="B-737-900",'2026'!$M$4="CA",'2026'!$M$2=BH347),'2026DATA'!$C$21,"")</f>
        <v/>
      </c>
      <c r="BI366" s="518" t="str">
        <f>IF(AND(_4="B-737-900",'2026'!$M$4="CA",'2026'!$M$2=BI347),'2026DATA'!$D$21,"")</f>
        <v/>
      </c>
      <c r="BJ366" s="518" t="str">
        <f>IF(AND(_4="B-737-900",'2026'!$M$4="CA",'2026'!$M$2=BJ347),'2026DATA'!$E$21,"")</f>
        <v/>
      </c>
      <c r="BK366" s="518" t="str">
        <f>IF(AND(_4="B-737-900",'2026'!$M$4="CA",'2026'!$M$2=BK347),'2026DATA'!$F$21,"")</f>
        <v/>
      </c>
      <c r="BL366" s="518" t="str">
        <f>IF(AND(_4="B-737-900",'2026'!$M$4="CA",'2026'!$M$2=BL347),'2026DATA'!$G$21,"")</f>
        <v/>
      </c>
      <c r="BM366" s="518" t="str">
        <f>IF(AND(_4="B-737-900",'2026'!$M$4="CA",'2026'!$M$2=BM347),'2026DATA'!$H$21,"")</f>
        <v/>
      </c>
      <c r="BN366" s="518" t="str">
        <f>IF(AND(_4="B-737-900",'2026'!$M$4="CA",'2026'!$M$2=BN347),'2026DATA'!$I$21,"")</f>
        <v/>
      </c>
      <c r="BO366" s="518" t="str">
        <f>IF(AND(_4="B-737-900",'2026'!$M$4="CA",'2026'!$M$2=BO347),'2026DATA'!$J$21,"")</f>
        <v/>
      </c>
      <c r="BP366" s="518" t="str">
        <f>IF(AND(_4="B-737-900",'2026'!$M$4="CA",'2026'!$M$2=BP347),'2026DATA'!$K$21,"")</f>
        <v/>
      </c>
      <c r="BQ366" s="518" t="str">
        <f>IF(AND(_4="B-737-900",'2026'!$M$4="CA",'2026'!$M$2=BQ347),'2026DATA'!$L$21,"")</f>
        <v/>
      </c>
      <c r="BR366" s="518" t="str">
        <f>IF(AND(_4="B-737-900",'2026'!$M$4="CA",'2026'!$M$2=BR347),'2026DATA'!$M$21,"")</f>
        <v/>
      </c>
      <c r="BS366" s="520" t="str">
        <f>IF(AND(_4="B-737-900",'2026'!$M$4="CA",'2026'!$M$2=BS347),'2026DATA'!$N$21,"")</f>
        <v/>
      </c>
      <c r="BT366" s="940" t="s">
        <v>47</v>
      </c>
      <c r="BU366" s="13" t="s">
        <v>61</v>
      </c>
      <c r="BV366" s="518" t="str">
        <f>IF(AND(_5="B-737-900",'2026'!$M$4="CA",'2026'!$M$2=BV347),'2026DATA'!$C$21,"")</f>
        <v/>
      </c>
      <c r="BW366" s="518" t="str">
        <f>IF(AND(_5="B-737-900",'2026'!$M$4="CA",'2026'!$M$2=BW347),'2026DATA'!$D$21,"")</f>
        <v/>
      </c>
      <c r="BX366" s="518" t="str">
        <f>IF(AND(_5="B-737-900",'2026'!$M$4="CA",'2026'!$M$2=BX347),'2026DATA'!$E$21,"")</f>
        <v/>
      </c>
      <c r="BY366" s="518" t="str">
        <f>IF(AND(_5="B-737-900",'2026'!$M$4="CA",'2026'!$M$2=BY347),'2026DATA'!$F$21,"")</f>
        <v/>
      </c>
      <c r="BZ366" s="518" t="str">
        <f>IF(AND(_5="B-737-900",'2026'!$M$4="CA",'2026'!$M$2=BZ347),'2026DATA'!$G$21,"")</f>
        <v/>
      </c>
      <c r="CA366" s="518" t="str">
        <f>IF(AND(_5="B-737-900",'2026'!$M$4="CA",'2026'!$M$2=CA347),'2026DATA'!$H$21,"")</f>
        <v/>
      </c>
      <c r="CB366" s="518" t="str">
        <f>IF(AND(_5="B-737-900",'2026'!$M$4="CA",'2026'!$M$2=CB347),'2026DATA'!$I$21,"")</f>
        <v/>
      </c>
      <c r="CC366" s="518" t="str">
        <f>IF(AND(_5="B-737-900",'2026'!$M$4="CA",'2026'!$M$2=CC347),'2026DATA'!$J$21,"")</f>
        <v/>
      </c>
      <c r="CD366" s="518" t="str">
        <f>IF(AND(_5="B-737-900",'2026'!$M$4="CA",'2026'!$M$2=CD347),'2026DATA'!$K$21,"")</f>
        <v/>
      </c>
      <c r="CE366" s="518" t="str">
        <f>IF(AND(_5="B-737-900",'2026'!$M$4="CA",'2026'!$M$2=CE347),'2026DATA'!$L$21,"")</f>
        <v/>
      </c>
      <c r="CF366" s="518" t="str">
        <f>IF(AND(_5="B-737-900",'2026'!$M$4="CA",'2026'!$M$2=CF347),'2026DATA'!$M$21,"")</f>
        <v/>
      </c>
      <c r="CG366" s="520" t="str">
        <f>IF(AND(_5="B-737-900",'2026'!$M$4="CA",'2026'!$M$2=CG347),'2026DATA'!$N$21,"")</f>
        <v/>
      </c>
      <c r="CH366" s="940" t="s">
        <v>47</v>
      </c>
      <c r="CI366" s="13" t="s">
        <v>61</v>
      </c>
      <c r="CJ366" s="518" t="str">
        <f>IF(AND(_6="B-737-900",'2026'!$M$4="CA",'2026'!$M$2=CJ347),'2026DATA'!$C$21,"")</f>
        <v/>
      </c>
      <c r="CK366" s="518" t="str">
        <f>IF(AND(_6="B-737-900",'2026'!$M$4="CA",'2026'!$M$2=CK347),'2026DATA'!$D$21,"")</f>
        <v/>
      </c>
      <c r="CL366" s="518" t="str">
        <f>IF(AND(_6="B-737-900",'2026'!$M$4="CA",'2026'!$M$2=CL347),'2026DATA'!$E$21,"")</f>
        <v/>
      </c>
      <c r="CM366" s="518" t="str">
        <f>IF(AND(_6="B-737-900",'2026'!$M$4="CA",'2026'!$M$2=CM347),'2026DATA'!$F$21,"")</f>
        <v/>
      </c>
      <c r="CN366" s="518" t="str">
        <f>IF(AND(_6="B-737-900",'2026'!$M$4="CA",'2026'!$M$2=CN347),'2026DATA'!$G$21,"")</f>
        <v/>
      </c>
      <c r="CO366" s="518" t="str">
        <f>IF(AND(_6="B-737-900",'2026'!$M$4="CA",'2026'!$M$2=CO347),'2026DATA'!$H$21,"")</f>
        <v/>
      </c>
      <c r="CP366" s="518" t="str">
        <f>IF(AND(_6="B-737-900",'2026'!$M$4="CA",'2026'!$M$2=CP347),'2026DATA'!$I$21,"")</f>
        <v/>
      </c>
      <c r="CQ366" s="518" t="str">
        <f>IF(AND(_6="B-737-900",'2026'!$M$4="CA",'2026'!$M$2=CQ347),'2026DATA'!$J$21,"")</f>
        <v/>
      </c>
      <c r="CR366" s="518" t="str">
        <f>IF(AND(_6="B-737-900",'2026'!$M$4="CA",'2026'!$M$2=CR347),'2026DATA'!$K$21,"")</f>
        <v/>
      </c>
      <c r="CS366" s="518" t="str">
        <f>IF(AND(_6="B-737-900",'2026'!$M$4="CA",'2026'!$M$2=CS347),'2026DATA'!$L$21,"")</f>
        <v/>
      </c>
      <c r="CT366" s="518" t="str">
        <f>IF(AND(_6="B-737-900",'2026'!$M$4="CA",'2026'!$M$2=CT347),'2026DATA'!$M$21,"")</f>
        <v/>
      </c>
      <c r="CU366" s="520" t="str">
        <f>IF(AND(_6="B-737-900",'2026'!$M$4="CA",'2026'!$M$2=CU347),'2026DATA'!$N$21,"")</f>
        <v/>
      </c>
    </row>
    <row r="367" spans="16:99" x14ac:dyDescent="0.25">
      <c r="P367" s="940"/>
      <c r="Q367" s="13" t="s">
        <v>62</v>
      </c>
      <c r="R367" s="518" t="str">
        <f>IF(AND(_1="B-737-900",'2026'!$M$4="FO",'2026'!$M$2=R347),'2026DATA'!$C$22,"")</f>
        <v/>
      </c>
      <c r="S367" s="518" t="str">
        <f>IF(AND(_1="B-737-900",'2026'!$M$4="FO",'2026'!$M$2=S347),'2026DATA'!$D$22,"")</f>
        <v/>
      </c>
      <c r="T367" s="518" t="str">
        <f>IF(AND(_1="B-737-900",'2026'!$M$4="FO",'2026'!$M$2=T347),'2026DATA'!$E$22,"")</f>
        <v/>
      </c>
      <c r="U367" s="518" t="str">
        <f>IF(AND(_1="B-737-900",'2026'!$M$4="FO",'2026'!$M$2=U347),'2026DATA'!$F$22,"")</f>
        <v/>
      </c>
      <c r="V367" s="518" t="str">
        <f>IF(AND(_1="B-737-900",'2026'!$M$4="FO",'2026'!$M$2=V347),'2026DATA'!$G$22,"")</f>
        <v/>
      </c>
      <c r="W367" s="518" t="str">
        <f>IF(AND(_1="B-737-900",'2026'!$M$4="FO",'2026'!$M$2=W347),'2026DATA'!$H$22,"")</f>
        <v/>
      </c>
      <c r="X367" s="518" t="str">
        <f>IF(AND(_1="B-737-900",'2026'!$M$4="FO",'2026'!$M$2=X347),'2026DATA'!$I$22,"")</f>
        <v/>
      </c>
      <c r="Y367" s="518" t="str">
        <f>IF(AND(_1="B-737-900",'2026'!$M$4="FO",'2026'!$M$2=Y347),'2026DATA'!$J$22,"")</f>
        <v/>
      </c>
      <c r="Z367" s="518" t="str">
        <f>IF(AND(_1="B-737-900",'2026'!$M$4="FO",'2026'!$M$2=Z347),'2026DATA'!$K$22,"")</f>
        <v/>
      </c>
      <c r="AA367" s="518" t="str">
        <f>IF(AND(_1="B-737-900",'2026'!$M$4="FO",'2026'!$M$2=AA347),'2026DATA'!$L$22,"")</f>
        <v/>
      </c>
      <c r="AB367" s="518" t="str">
        <f>IF(AND(_1="B-737-900",'2026'!$M$4="FO",'2026'!$M$2=AB347),'2026DATA'!$M$22,"")</f>
        <v/>
      </c>
      <c r="AC367" s="520" t="str">
        <f>IF(AND(_1="B-737-900",'2026'!$M$4="FO",'2026'!$M$2=AC347),'2026DATA'!$N$22,"")</f>
        <v/>
      </c>
      <c r="AD367" s="940"/>
      <c r="AE367" s="13" t="s">
        <v>62</v>
      </c>
      <c r="AF367" s="518" t="str">
        <f>IF(AND(_2="B-737-900",'2026'!$M$4="FO",'2026'!$M$2=AF347),'2026DATA'!$C$22,"")</f>
        <v/>
      </c>
      <c r="AG367" s="518" t="str">
        <f>IF(AND(_2="B-737-900",'2026'!$M$4="FO",'2026'!$M$2=AG347),'2026DATA'!$D$22,"")</f>
        <v/>
      </c>
      <c r="AH367" s="518" t="str">
        <f>IF(AND(_2="B-737-900",'2026'!$M$4="FO",'2026'!$M$2=AH347),'2026DATA'!$E$22,"")</f>
        <v/>
      </c>
      <c r="AI367" s="518" t="str">
        <f>IF(AND(_2="B-737-900",'2026'!$M$4="FO",'2026'!$M$2=AI347),'2026DATA'!$F$22,"")</f>
        <v/>
      </c>
      <c r="AJ367" s="518" t="str">
        <f>IF(AND(_2="B-737-900",'2026'!$M$4="FO",'2026'!$M$2=AJ347),'2026DATA'!$G$22,"")</f>
        <v/>
      </c>
      <c r="AK367" s="518" t="str">
        <f>IF(AND(_2="B-737-900",'2026'!$M$4="FO",'2026'!$M$2=AK347),'2026DATA'!$H$22,"")</f>
        <v/>
      </c>
      <c r="AL367" s="518" t="str">
        <f>IF(AND(_2="B-737-900",'2026'!$M$4="FO",'2026'!$M$2=AL347),'2026DATA'!$I$22,"")</f>
        <v/>
      </c>
      <c r="AM367" s="518" t="str">
        <f>IF(AND(_2="B-737-900",'2026'!$M$4="FO",'2026'!$M$2=AM347),'2026DATA'!$J$22,"")</f>
        <v/>
      </c>
      <c r="AN367" s="518" t="str">
        <f>IF(AND(_2="B-737-900",'2026'!$M$4="FO",'2026'!$M$2=AN347),'2026DATA'!$K$22,"")</f>
        <v/>
      </c>
      <c r="AO367" s="518" t="str">
        <f>IF(AND(_2="B-737-900",'2026'!$M$4="FO",'2026'!$M$2=AO347),'2026DATA'!$L$22,"")</f>
        <v/>
      </c>
      <c r="AP367" s="518" t="str">
        <f>IF(AND(_2="B-737-900",'2026'!$M$4="FO",'2026'!$M$2=AP347),'2026DATA'!$M$22,"")</f>
        <v/>
      </c>
      <c r="AQ367" s="520" t="str">
        <f>IF(AND(_2="B-737-900",'2026'!$M$4="FO",'2026'!$M$2=AQ347),'2026DATA'!$N$22,"")</f>
        <v/>
      </c>
      <c r="AR367" s="940"/>
      <c r="AS367" s="13" t="s">
        <v>62</v>
      </c>
      <c r="AT367" s="518" t="str">
        <f>IF(AND(_3="B-737-900",'2026'!$M$4="FO",'2026'!$M$2=AT347),'2026DATA'!$C$22,"")</f>
        <v/>
      </c>
      <c r="AU367" s="518" t="str">
        <f>IF(AND(_3="B-737-900",'2026'!$M$4="FO",'2026'!$M$2=AU347),'2026DATA'!$D$22,"")</f>
        <v/>
      </c>
      <c r="AV367" s="518" t="str">
        <f>IF(AND(_3="B-737-900",'2026'!$M$4="FO",'2026'!$M$2=AV347),'2026DATA'!$E$22,"")</f>
        <v/>
      </c>
      <c r="AW367" s="518" t="str">
        <f>IF(AND(_3="B-737-900",'2026'!$M$4="FO",'2026'!$M$2=AW347),'2026DATA'!$F$22,"")</f>
        <v/>
      </c>
      <c r="AX367" s="518" t="str">
        <f>IF(AND(_3="B-737-900",'2026'!$M$4="FO",'2026'!$M$2=AX347),'2026DATA'!$G$22,"")</f>
        <v/>
      </c>
      <c r="AY367" s="518" t="str">
        <f>IF(AND(_3="B-737-900",'2026'!$M$4="FO",'2026'!$M$2=AY347),'2026DATA'!$H$22,"")</f>
        <v/>
      </c>
      <c r="AZ367" s="518" t="str">
        <f>IF(AND(_3="B-737-900",'2026'!$M$4="FO",'2026'!$M$2=AZ347),'2026DATA'!$I$22,"")</f>
        <v/>
      </c>
      <c r="BA367" s="518" t="str">
        <f>IF(AND(_3="B-737-900",'2026'!$M$4="FO",'2026'!$M$2=BA347),'2026DATA'!$J$22,"")</f>
        <v/>
      </c>
      <c r="BB367" s="518" t="str">
        <f>IF(AND(_3="B-737-900",'2026'!$M$4="FO",'2026'!$M$2=BB347),'2026DATA'!$K$22,"")</f>
        <v/>
      </c>
      <c r="BC367" s="518" t="str">
        <f>IF(AND(_3="B-737-900",'2026'!$M$4="FO",'2026'!$M$2=BC347),'2026DATA'!$L$22,"")</f>
        <v/>
      </c>
      <c r="BD367" s="518" t="str">
        <f>IF(AND(_3="B-737-900",'2026'!$M$4="FO",'2026'!$M$2=BD347),'2026DATA'!$M$22,"")</f>
        <v/>
      </c>
      <c r="BE367" s="520" t="str">
        <f>IF(AND(_3="B-737-900",'2026'!$M$4="FO",'2026'!$M$2=BE347),'2026DATA'!$N$22,"")</f>
        <v/>
      </c>
      <c r="BF367" s="940"/>
      <c r="BG367" s="13" t="s">
        <v>62</v>
      </c>
      <c r="BH367" s="518" t="str">
        <f>IF(AND(_4="B-737-900",'2026'!$M$4="FO",'2026'!$M$2=BH347),'2026DATA'!$C$22,"")</f>
        <v/>
      </c>
      <c r="BI367" s="518" t="str">
        <f>IF(AND(_4="B-737-900",'2026'!$M$4="FO",'2026'!$M$2=BI347),'2026DATA'!$D$22,"")</f>
        <v/>
      </c>
      <c r="BJ367" s="518" t="str">
        <f>IF(AND(_4="B-737-900",'2026'!$M$4="FO",'2026'!$M$2=BJ347),'2026DATA'!$E$22,"")</f>
        <v/>
      </c>
      <c r="BK367" s="518" t="str">
        <f>IF(AND(_4="B-737-900",'2026'!$M$4="FO",'2026'!$M$2=BK347),'2026DATA'!$F$22,"")</f>
        <v/>
      </c>
      <c r="BL367" s="518" t="str">
        <f>IF(AND(_4="B-737-900",'2026'!$M$4="FO",'2026'!$M$2=BL347),'2026DATA'!$G$22,"")</f>
        <v/>
      </c>
      <c r="BM367" s="518" t="str">
        <f>IF(AND(_4="B-737-900",'2026'!$M$4="FO",'2026'!$M$2=BM347),'2026DATA'!$H$22,"")</f>
        <v/>
      </c>
      <c r="BN367" s="518" t="str">
        <f>IF(AND(_4="B-737-900",'2026'!$M$4="FO",'2026'!$M$2=BN347),'2026DATA'!$I$22,"")</f>
        <v/>
      </c>
      <c r="BO367" s="518" t="str">
        <f>IF(AND(_4="B-737-900",'2026'!$M$4="FO",'2026'!$M$2=BO347),'2026DATA'!$J$22,"")</f>
        <v/>
      </c>
      <c r="BP367" s="518" t="str">
        <f>IF(AND(_4="B-737-900",'2026'!$M$4="FO",'2026'!$M$2=BP347),'2026DATA'!$K$22,"")</f>
        <v/>
      </c>
      <c r="BQ367" s="518" t="str">
        <f>IF(AND(_4="B-737-900",'2026'!$M$4="FO",'2026'!$M$2=BQ347),'2026DATA'!$L$22,"")</f>
        <v/>
      </c>
      <c r="BR367" s="518" t="str">
        <f>IF(AND(_4="B-737-900",'2026'!$M$4="FO",'2026'!$M$2=BR347),'2026DATA'!$M$22,"")</f>
        <v/>
      </c>
      <c r="BS367" s="520" t="str">
        <f>IF(AND(_4="B-737-900",'2026'!$M$4="FO",'2026'!$M$2=BS347),'2026DATA'!$N$22,"")</f>
        <v/>
      </c>
      <c r="BT367" s="940"/>
      <c r="BU367" s="13" t="s">
        <v>62</v>
      </c>
      <c r="BV367" s="518" t="str">
        <f>IF(AND(_5="B-737-900",'2026'!$M$4="FO",'2026'!$M$2=BV347),'2026DATA'!$C$22,"")</f>
        <v/>
      </c>
      <c r="BW367" s="518" t="str">
        <f>IF(AND(_5="B-737-900",'2026'!$M$4="FO",'2026'!$M$2=BW347),'2026DATA'!$D$22,"")</f>
        <v/>
      </c>
      <c r="BX367" s="518" t="str">
        <f>IF(AND(_5="B-737-900",'2026'!$M$4="FO",'2026'!$M$2=BX347),'2026DATA'!$E$22,"")</f>
        <v/>
      </c>
      <c r="BY367" s="518" t="str">
        <f>IF(AND(_5="B-737-900",'2026'!$M$4="FO",'2026'!$M$2=BY347),'2026DATA'!$F$22,"")</f>
        <v/>
      </c>
      <c r="BZ367" s="518" t="str">
        <f>IF(AND(_5="B-737-900",'2026'!$M$4="FO",'2026'!$M$2=BZ347),'2026DATA'!$G$22,"")</f>
        <v/>
      </c>
      <c r="CA367" s="518" t="str">
        <f>IF(AND(_5="B-737-900",'2026'!$M$4="FO",'2026'!$M$2=CA347),'2026DATA'!$H$22,"")</f>
        <v/>
      </c>
      <c r="CB367" s="518" t="str">
        <f>IF(AND(_5="B-737-900",'2026'!$M$4="FO",'2026'!$M$2=CB347),'2026DATA'!$I$22,"")</f>
        <v/>
      </c>
      <c r="CC367" s="518" t="str">
        <f>IF(AND(_5="B-737-900",'2026'!$M$4="FO",'2026'!$M$2=CC347),'2026DATA'!$J$22,"")</f>
        <v/>
      </c>
      <c r="CD367" s="518" t="str">
        <f>IF(AND(_5="B-737-900",'2026'!$M$4="FO",'2026'!$M$2=CD347),'2026DATA'!$K$22,"")</f>
        <v/>
      </c>
      <c r="CE367" s="518" t="str">
        <f>IF(AND(_5="B-737-900",'2026'!$M$4="FO",'2026'!$M$2=CE347),'2026DATA'!$L$22,"")</f>
        <v/>
      </c>
      <c r="CF367" s="518" t="str">
        <f>IF(AND(_5="B-737-900",'2026'!$M$4="FO",'2026'!$M$2=CF347),'2026DATA'!$M$22,"")</f>
        <v/>
      </c>
      <c r="CG367" s="520" t="str">
        <f>IF(AND(_5="B-737-900",'2026'!$M$4="FO",'2026'!$M$2=CG347),'2026DATA'!$N$22,"")</f>
        <v/>
      </c>
      <c r="CH367" s="940"/>
      <c r="CI367" s="13" t="s">
        <v>62</v>
      </c>
      <c r="CJ367" s="518" t="str">
        <f>IF(AND(_6="B-737-900",'2026'!$M$4="FO",'2026'!$M$2=CJ347),'2026DATA'!$C$22,"")</f>
        <v/>
      </c>
      <c r="CK367" s="518" t="str">
        <f>IF(AND(_6="B-737-900",'2026'!$M$4="FO",'2026'!$M$2=CK347),'2026DATA'!$D$22,"")</f>
        <v/>
      </c>
      <c r="CL367" s="518" t="str">
        <f>IF(AND(_6="B-737-900",'2026'!$M$4="FO",'2026'!$M$2=CL347),'2026DATA'!$E$22,"")</f>
        <v/>
      </c>
      <c r="CM367" s="518" t="str">
        <f>IF(AND(_6="B-737-900",'2026'!$M$4="FO",'2026'!$M$2=CM347),'2026DATA'!$F$22,"")</f>
        <v/>
      </c>
      <c r="CN367" s="518" t="str">
        <f>IF(AND(_6="B-737-900",'2026'!$M$4="FO",'2026'!$M$2=CN347),'2026DATA'!$G$22,"")</f>
        <v/>
      </c>
      <c r="CO367" s="518" t="str">
        <f>IF(AND(_6="B-737-900",'2026'!$M$4="FO",'2026'!$M$2=CO347),'2026DATA'!$H$22,"")</f>
        <v/>
      </c>
      <c r="CP367" s="518" t="str">
        <f>IF(AND(_6="B-737-900",'2026'!$M$4="FO",'2026'!$M$2=CP347),'2026DATA'!$I$22,"")</f>
        <v/>
      </c>
      <c r="CQ367" s="518" t="str">
        <f>IF(AND(_6="B-737-900",'2026'!$M$4="FO",'2026'!$M$2=CQ347),'2026DATA'!$J$22,"")</f>
        <v/>
      </c>
      <c r="CR367" s="518" t="str">
        <f>IF(AND(_6="B-737-900",'2026'!$M$4="FO",'2026'!$M$2=CR347),'2026DATA'!$K$22,"")</f>
        <v/>
      </c>
      <c r="CS367" s="518" t="str">
        <f>IF(AND(_6="B-737-900",'2026'!$M$4="FO",'2026'!$M$2=CS347),'2026DATA'!$L$22,"")</f>
        <v/>
      </c>
      <c r="CT367" s="518" t="str">
        <f>IF(AND(_6="B-737-900",'2026'!$M$4="FO",'2026'!$M$2=CT347),'2026DATA'!$M$22,"")</f>
        <v/>
      </c>
      <c r="CU367" s="520" t="str">
        <f>IF(AND(_6="B-737-900",'2026'!$M$4="FO",'2026'!$M$2=CU347),'2026DATA'!$N$22,"")</f>
        <v/>
      </c>
    </row>
    <row r="368" spans="16:99" x14ac:dyDescent="0.25">
      <c r="P368" s="940" t="s">
        <v>69</v>
      </c>
      <c r="Q368" s="13" t="s">
        <v>61</v>
      </c>
      <c r="R368" s="518" t="str">
        <f>IF(AND(_1="B-737-800",'2026'!$M$4="CA",'2026'!$M$2=R347),'2026DATA'!$C$23,"")</f>
        <v/>
      </c>
      <c r="S368" s="518" t="str">
        <f>IF(AND(_1="B-737-800",'2026'!$M$4="CA",'2026'!$M$2=S347),'2026DATA'!$D$23,"")</f>
        <v/>
      </c>
      <c r="T368" s="518" t="str">
        <f>IF(AND(_1="B-737-800",'2026'!$M$4="CA",'2026'!$M$2=T347),'2026DATA'!$E$23,"")</f>
        <v/>
      </c>
      <c r="U368" s="518" t="str">
        <f>IF(AND(_1="B-737-800",'2026'!$M$4="CA",'2026'!$M$2=U347),'2026DATA'!$F$23,"")</f>
        <v/>
      </c>
      <c r="V368" s="518" t="str">
        <f>IF(AND(_1="B-737-800",'2026'!$M$4="CA",'2026'!$M$2=V347),'2026DATA'!$G$23,"")</f>
        <v/>
      </c>
      <c r="W368" s="518" t="str">
        <f>IF(AND(_1="B-737-800",'2026'!$M$4="CA",'2026'!$M$2=W347),'2026DATA'!$H$23,"")</f>
        <v/>
      </c>
      <c r="X368" s="518" t="str">
        <f>IF(AND(_1="B-737-800",'2026'!$M$4="CA",'2026'!$M$2=X347),'2026DATA'!$I$23,"")</f>
        <v/>
      </c>
      <c r="Y368" s="518" t="str">
        <f>IF(AND(_1="B-737-800",'2026'!$M$4="CA",'2026'!$M$2=Y347),'2026DATA'!$J$23,"")</f>
        <v/>
      </c>
      <c r="Z368" s="518" t="str">
        <f>IF(AND(_1="B-737-800",'2026'!$M$4="CA",'2026'!$M$2=Z347),'2026DATA'!$K$23,"")</f>
        <v/>
      </c>
      <c r="AA368" s="518" t="str">
        <f>IF(AND(_1="B-737-800",'2026'!$M$4="CA",'2026'!$M$2=AA347),'2026DATA'!$L$23,"")</f>
        <v/>
      </c>
      <c r="AB368" s="518" t="str">
        <f>IF(AND(_1="B-737-800",'2026'!$M$4="CA",'2026'!$M$2=AB347),'2026DATA'!$M$23,"")</f>
        <v/>
      </c>
      <c r="AC368" s="520" t="str">
        <f>IF(AND(_1="B-737-800",'2026'!$M$4="CA",'2026'!$M$2=AC347),'2026DATA'!$N$23,"")</f>
        <v/>
      </c>
      <c r="AD368" s="940" t="s">
        <v>69</v>
      </c>
      <c r="AE368" s="13" t="s">
        <v>61</v>
      </c>
      <c r="AF368" s="518" t="str">
        <f>IF(AND(_2="B-737-800",'2026'!$M$4="CA",'2026'!$M$2=AF347),'2026DATA'!$C$23,"")</f>
        <v/>
      </c>
      <c r="AG368" s="518" t="str">
        <f>IF(AND(_2="B-737-800",'2026'!$M$4="CA",'2026'!$M$2=AG347),'2026DATA'!$D$23,"")</f>
        <v/>
      </c>
      <c r="AH368" s="518" t="str">
        <f>IF(AND(_2="B-737-800",'2026'!$M$4="CA",'2026'!$M$2=AH347),'2026DATA'!$E$23,"")</f>
        <v/>
      </c>
      <c r="AI368" s="518" t="str">
        <f>IF(AND(_2="B-737-800",'2026'!$M$4="CA",'2026'!$M$2=AI347),'2026DATA'!$F$23,"")</f>
        <v/>
      </c>
      <c r="AJ368" s="518" t="str">
        <f>IF(AND(_2="B-737-800",'2026'!$M$4="CA",'2026'!$M$2=AJ347),'2026DATA'!$G$23,"")</f>
        <v/>
      </c>
      <c r="AK368" s="518" t="str">
        <f>IF(AND(_2="B-737-800",'2026'!$M$4="CA",'2026'!$M$2=AK347),'2026DATA'!$H$23,"")</f>
        <v/>
      </c>
      <c r="AL368" s="518" t="str">
        <f>IF(AND(_2="B-737-800",'2026'!$M$4="CA",'2026'!$M$2=AL347),'2026DATA'!$I$23,"")</f>
        <v/>
      </c>
      <c r="AM368" s="518" t="str">
        <f>IF(AND(_2="B-737-800",'2026'!$M$4="CA",'2026'!$M$2=AM347),'2026DATA'!$J$23,"")</f>
        <v/>
      </c>
      <c r="AN368" s="518" t="str">
        <f>IF(AND(_2="B-737-800",'2026'!$M$4="CA",'2026'!$M$2=AN347),'2026DATA'!$K$23,"")</f>
        <v/>
      </c>
      <c r="AO368" s="518" t="str">
        <f>IF(AND(_2="B-737-800",'2026'!$M$4="CA",'2026'!$M$2=AO347),'2026DATA'!$L$23,"")</f>
        <v/>
      </c>
      <c r="AP368" s="518" t="str">
        <f>IF(AND(_2="B-737-800",'2026'!$M$4="CA",'2026'!$M$2=AP347),'2026DATA'!$M$23,"")</f>
        <v/>
      </c>
      <c r="AQ368" s="520" t="str">
        <f>IF(AND(_2="B-737-800",'2026'!$M$4="CA",'2026'!$M$2=AQ347),'2026DATA'!$N$23,"")</f>
        <v/>
      </c>
      <c r="AR368" s="940" t="s">
        <v>69</v>
      </c>
      <c r="AS368" s="13" t="s">
        <v>61</v>
      </c>
      <c r="AT368" s="518" t="str">
        <f>IF(AND(_3="B-737-800",'2026'!$M$4="CA",'2026'!$M$2=AT347),'2026DATA'!$C$23,"")</f>
        <v/>
      </c>
      <c r="AU368" s="518" t="str">
        <f>IF(AND(_3="B-737-800",'2026'!$M$4="CA",'2026'!$M$2=AU347),'2026DATA'!$D$23,"")</f>
        <v/>
      </c>
      <c r="AV368" s="518" t="str">
        <f>IF(AND(_3="B-737-800",'2026'!$M$4="CA",'2026'!$M$2=AV347),'2026DATA'!$E$23,"")</f>
        <v/>
      </c>
      <c r="AW368" s="518" t="str">
        <f>IF(AND(_3="B-737-800",'2026'!$M$4="CA",'2026'!$M$2=AW347),'2026DATA'!$F$23,"")</f>
        <v/>
      </c>
      <c r="AX368" s="518" t="str">
        <f>IF(AND(_3="B-737-800",'2026'!$M$4="CA",'2026'!$M$2=AX347),'2026DATA'!$G$23,"")</f>
        <v/>
      </c>
      <c r="AY368" s="518" t="str">
        <f>IF(AND(_3="B-737-800",'2026'!$M$4="CA",'2026'!$M$2=AY347),'2026DATA'!$H$23,"")</f>
        <v/>
      </c>
      <c r="AZ368" s="518" t="str">
        <f>IF(AND(_3="B-737-800",'2026'!$M$4="CA",'2026'!$M$2=AZ347),'2026DATA'!$I$23,"")</f>
        <v/>
      </c>
      <c r="BA368" s="518" t="str">
        <f>IF(AND(_3="B-737-800",'2026'!$M$4="CA",'2026'!$M$2=BA347),'2026DATA'!$J$23,"")</f>
        <v/>
      </c>
      <c r="BB368" s="518" t="str">
        <f>IF(AND(_3="B-737-800",'2026'!$M$4="CA",'2026'!$M$2=BB347),'2026DATA'!$K$23,"")</f>
        <v/>
      </c>
      <c r="BC368" s="518" t="str">
        <f>IF(AND(_3="B-737-800",'2026'!$M$4="CA",'2026'!$M$2=BC347),'2026DATA'!$L$23,"")</f>
        <v/>
      </c>
      <c r="BD368" s="518" t="str">
        <f>IF(AND(_3="B-737-800",'2026'!$M$4="CA",'2026'!$M$2=BD347),'2026DATA'!$M$23,"")</f>
        <v/>
      </c>
      <c r="BE368" s="520" t="str">
        <f>IF(AND(_3="B-737-800",'2026'!$M$4="CA",'2026'!$M$2=BE347),'2026DATA'!$N$23,"")</f>
        <v/>
      </c>
      <c r="BF368" s="940" t="s">
        <v>69</v>
      </c>
      <c r="BG368" s="13" t="s">
        <v>61</v>
      </c>
      <c r="BH368" s="518" t="str">
        <f>IF(AND(_4="B-737-800",'2026'!$M$4="CA",'2026'!$M$2=BH347),'2026DATA'!$C$23,"")</f>
        <v/>
      </c>
      <c r="BI368" s="518" t="str">
        <f>IF(AND(_4="B-737-800",'2026'!$M$4="CA",'2026'!$M$2=BI347),'2026DATA'!$D$23,"")</f>
        <v/>
      </c>
      <c r="BJ368" s="518" t="str">
        <f>IF(AND(_4="B-737-800",'2026'!$M$4="CA",'2026'!$M$2=BJ347),'2026DATA'!$E$23,"")</f>
        <v/>
      </c>
      <c r="BK368" s="518" t="str">
        <f>IF(AND(_4="B-737-800",'2026'!$M$4="CA",'2026'!$M$2=BK347),'2026DATA'!$F$23,"")</f>
        <v/>
      </c>
      <c r="BL368" s="518" t="str">
        <f>IF(AND(_4="B-737-800",'2026'!$M$4="CA",'2026'!$M$2=BL347),'2026DATA'!$G$23,"")</f>
        <v/>
      </c>
      <c r="BM368" s="518" t="str">
        <f>IF(AND(_4="B-737-800",'2026'!$M$4="CA",'2026'!$M$2=BM347),'2026DATA'!$H$23,"")</f>
        <v/>
      </c>
      <c r="BN368" s="518" t="str">
        <f>IF(AND(_4="B-737-800",'2026'!$M$4="CA",'2026'!$M$2=BN347),'2026DATA'!$I$23,"")</f>
        <v/>
      </c>
      <c r="BO368" s="518" t="str">
        <f>IF(AND(_4="B-737-800",'2026'!$M$4="CA",'2026'!$M$2=BO347),'2026DATA'!$J$23,"")</f>
        <v/>
      </c>
      <c r="BP368" s="518" t="str">
        <f>IF(AND(_4="B-737-800",'2026'!$M$4="CA",'2026'!$M$2=BP347),'2026DATA'!$K$23,"")</f>
        <v/>
      </c>
      <c r="BQ368" s="518" t="str">
        <f>IF(AND(_4="B-737-800",'2026'!$M$4="CA",'2026'!$M$2=BQ347),'2026DATA'!$L$23,"")</f>
        <v/>
      </c>
      <c r="BR368" s="518" t="str">
        <f>IF(AND(_4="B-737-800",'2026'!$M$4="CA",'2026'!$M$2=BR347),'2026DATA'!$M$23,"")</f>
        <v/>
      </c>
      <c r="BS368" s="520" t="str">
        <f>IF(AND(_4="B-737-800",'2026'!$M$4="CA",'2026'!$M$2=BS347),'2026DATA'!$N$23,"")</f>
        <v/>
      </c>
      <c r="BT368" s="940" t="s">
        <v>69</v>
      </c>
      <c r="BU368" s="13" t="s">
        <v>61</v>
      </c>
      <c r="BV368" s="518" t="str">
        <f>IF(AND(_5="B-737-800",'2026'!$M$4="CA",'2026'!$M$2=BV347),'2026DATA'!$C$23,"")</f>
        <v/>
      </c>
      <c r="BW368" s="518" t="str">
        <f>IF(AND(_5="B-737-800",'2026'!$M$4="CA",'2026'!$M$2=BW347),'2026DATA'!$D$23,"")</f>
        <v/>
      </c>
      <c r="BX368" s="518" t="str">
        <f>IF(AND(_5="B-737-800",'2026'!$M$4="CA",'2026'!$M$2=BX347),'2026DATA'!$E$23,"")</f>
        <v/>
      </c>
      <c r="BY368" s="518" t="str">
        <f>IF(AND(_5="B-737-800",'2026'!$M$4="CA",'2026'!$M$2=BY347),'2026DATA'!$F$23,"")</f>
        <v/>
      </c>
      <c r="BZ368" s="518" t="str">
        <f>IF(AND(_5="B-737-800",'2026'!$M$4="CA",'2026'!$M$2=BZ347),'2026DATA'!$G$23,"")</f>
        <v/>
      </c>
      <c r="CA368" s="518" t="str">
        <f>IF(AND(_5="B-737-800",'2026'!$M$4="CA",'2026'!$M$2=CA347),'2026DATA'!$H$23,"")</f>
        <v/>
      </c>
      <c r="CB368" s="518" t="str">
        <f>IF(AND(_5="B-737-800",'2026'!$M$4="CA",'2026'!$M$2=CB347),'2026DATA'!$I$23,"")</f>
        <v/>
      </c>
      <c r="CC368" s="518" t="str">
        <f>IF(AND(_5="B-737-800",'2026'!$M$4="CA",'2026'!$M$2=CC347),'2026DATA'!$J$23,"")</f>
        <v/>
      </c>
      <c r="CD368" s="518" t="str">
        <f>IF(AND(_5="B-737-800",'2026'!$M$4="CA",'2026'!$M$2=CD347),'2026DATA'!$K$23,"")</f>
        <v/>
      </c>
      <c r="CE368" s="518" t="str">
        <f>IF(AND(_5="B-737-800",'2026'!$M$4="CA",'2026'!$M$2=CE347),'2026DATA'!$L$23,"")</f>
        <v/>
      </c>
      <c r="CF368" s="518" t="str">
        <f>IF(AND(_5="B-737-800",'2026'!$M$4="CA",'2026'!$M$2=CF347),'2026DATA'!$M$23,"")</f>
        <v/>
      </c>
      <c r="CG368" s="520" t="str">
        <f>IF(AND(_5="B-737-800",'2026'!$M$4="CA",'2026'!$M$2=CG347),'2026DATA'!$N$23,"")</f>
        <v/>
      </c>
      <c r="CH368" s="940" t="s">
        <v>69</v>
      </c>
      <c r="CI368" s="13" t="s">
        <v>61</v>
      </c>
      <c r="CJ368" s="518" t="str">
        <f>IF(AND(_6="B-737-800",'2026'!$M$4="CA",'2026'!$M$2=CJ347),'2026DATA'!$C$23,"")</f>
        <v/>
      </c>
      <c r="CK368" s="518" t="str">
        <f>IF(AND(_6="B-737-800",'2026'!$M$4="CA",'2026'!$M$2=CK347),'2026DATA'!$D$23,"")</f>
        <v/>
      </c>
      <c r="CL368" s="518" t="str">
        <f>IF(AND(_6="B-737-800",'2026'!$M$4="CA",'2026'!$M$2=CL347),'2026DATA'!$E$23,"")</f>
        <v/>
      </c>
      <c r="CM368" s="518" t="str">
        <f>IF(AND(_6="B-737-800",'2026'!$M$4="CA",'2026'!$M$2=CM347),'2026DATA'!$F$23,"")</f>
        <v/>
      </c>
      <c r="CN368" s="518" t="str">
        <f>IF(AND(_6="B-737-800",'2026'!$M$4="CA",'2026'!$M$2=CN347),'2026DATA'!$G$23,"")</f>
        <v/>
      </c>
      <c r="CO368" s="518" t="str">
        <f>IF(AND(_6="B-737-800",'2026'!$M$4="CA",'2026'!$M$2=CO347),'2026DATA'!$H$23,"")</f>
        <v/>
      </c>
      <c r="CP368" s="518" t="str">
        <f>IF(AND(_6="B-737-800",'2026'!$M$4="CA",'2026'!$M$2=CP347),'2026DATA'!$I$23,"")</f>
        <v/>
      </c>
      <c r="CQ368" s="518" t="str">
        <f>IF(AND(_6="B-737-800",'2026'!$M$4="CA",'2026'!$M$2=CQ347),'2026DATA'!$J$23,"")</f>
        <v/>
      </c>
      <c r="CR368" s="518" t="str">
        <f>IF(AND(_6="B-737-800",'2026'!$M$4="CA",'2026'!$M$2=CR347),'2026DATA'!$K$23,"")</f>
        <v/>
      </c>
      <c r="CS368" s="518" t="str">
        <f>IF(AND(_6="B-737-800",'2026'!$M$4="CA",'2026'!$M$2=CS347),'2026DATA'!$L$23,"")</f>
        <v/>
      </c>
      <c r="CT368" s="518" t="str">
        <f>IF(AND(_6="B-737-800",'2026'!$M$4="CA",'2026'!$M$2=CT347),'2026DATA'!$M$23,"")</f>
        <v/>
      </c>
      <c r="CU368" s="520" t="str">
        <f>IF(AND(_6="B-737-800",'2026'!$M$4="CA",'2026'!$M$2=CU347),'2026DATA'!$N$23,"")</f>
        <v/>
      </c>
    </row>
    <row r="369" spans="16:99" x14ac:dyDescent="0.25">
      <c r="P369" s="940"/>
      <c r="Q369" s="13" t="s">
        <v>62</v>
      </c>
      <c r="R369" s="518" t="str">
        <f>IF(AND(_1="B-737-800",'2026'!$M$4="FO",'2026'!$M$2=R347),'2026DATA'!$C$24,"")</f>
        <v/>
      </c>
      <c r="S369" s="518" t="str">
        <f>IF(AND(_1="B-737-800",'2026'!$M$4="FO",'2026'!$M$2=S347),'2026DATA'!$D$24,"")</f>
        <v/>
      </c>
      <c r="T369" s="518" t="str">
        <f>IF(AND(_1="B-737-800",'2026'!$M$4="FO",'2026'!$M$2=T347),'2026DATA'!$E$24,"")</f>
        <v/>
      </c>
      <c r="U369" s="518" t="str">
        <f>IF(AND(_1="B-737-800",'2026'!$M$4="FO",'2026'!$M$2=U347),'2026DATA'!$F$24,"")</f>
        <v/>
      </c>
      <c r="V369" s="518" t="str">
        <f>IF(AND(_1="B-737-800",'2026'!$M$4="FO",'2026'!$M$2=V347),'2026DATA'!$G$24,"")</f>
        <v/>
      </c>
      <c r="W369" s="518" t="str">
        <f>IF(AND(_1="B-737-800",'2026'!$M$4="FO",'2026'!$M$2=W347),'2026DATA'!$H$24,"")</f>
        <v/>
      </c>
      <c r="X369" s="518" t="str">
        <f>IF(AND(_1="B-737-800",'2026'!$M$4="FO",'2026'!$M$2=X347),'2026DATA'!$I$24,"")</f>
        <v/>
      </c>
      <c r="Y369" s="518" t="str">
        <f>IF(AND(_1="B-737-800",'2026'!$M$4="FO",'2026'!$M$2=Y347),'2026DATA'!$J$24,"")</f>
        <v/>
      </c>
      <c r="Z369" s="518" t="str">
        <f>IF(AND(_1="B-737-800",'2026'!$M$4="FO",'2026'!$M$2=Z347),'2026DATA'!$K$24,"")</f>
        <v/>
      </c>
      <c r="AA369" s="518" t="str">
        <f>IF(AND(_1="B-737-800",'2026'!$M$4="FO",'2026'!$M$2=AA347),'2026DATA'!$L$24,"")</f>
        <v/>
      </c>
      <c r="AB369" s="518" t="str">
        <f>IF(AND(_1="B-737-800",'2026'!$M$4="FO",'2026'!$M$2=AB347),'2026DATA'!$M$24,"")</f>
        <v/>
      </c>
      <c r="AC369" s="520" t="str">
        <f>IF(AND(_1="B-737-800",'2026'!$M$4="FO",'2026'!$M$2=AC347),'2026DATA'!$N$24,"")</f>
        <v/>
      </c>
      <c r="AD369" s="940"/>
      <c r="AE369" s="13" t="s">
        <v>62</v>
      </c>
      <c r="AF369" s="518" t="str">
        <f>IF(AND(_2="B-737-800",'2026'!$M$4="FO",'2026'!$M$2=AF347),'2026DATA'!$C$24,"")</f>
        <v/>
      </c>
      <c r="AG369" s="518" t="str">
        <f>IF(AND(_2="B-737-800",'2026'!$M$4="FO",'2026'!$M$2=AG347),'2026DATA'!$D$24,"")</f>
        <v/>
      </c>
      <c r="AH369" s="518" t="str">
        <f>IF(AND(_2="B-737-800",'2026'!$M$4="FO",'2026'!$M$2=AH347),'2026DATA'!$E$24,"")</f>
        <v/>
      </c>
      <c r="AI369" s="518" t="str">
        <f>IF(AND(_2="B-737-800",'2026'!$M$4="FO",'2026'!$M$2=AI347),'2026DATA'!$F$24,"")</f>
        <v/>
      </c>
      <c r="AJ369" s="518" t="str">
        <f>IF(AND(_2="B-737-800",'2026'!$M$4="FO",'2026'!$M$2=AJ347),'2026DATA'!$G$24,"")</f>
        <v/>
      </c>
      <c r="AK369" s="518" t="str">
        <f>IF(AND(_2="B-737-800",'2026'!$M$4="FO",'2026'!$M$2=AK347),'2026DATA'!$H$24,"")</f>
        <v/>
      </c>
      <c r="AL369" s="518" t="str">
        <f>IF(AND(_2="B-737-800",'2026'!$M$4="FO",'2026'!$M$2=AL347),'2026DATA'!$I$24,"")</f>
        <v/>
      </c>
      <c r="AM369" s="518" t="str">
        <f>IF(AND(_2="B-737-800",'2026'!$M$4="FO",'2026'!$M$2=AM347),'2026DATA'!$J$24,"")</f>
        <v/>
      </c>
      <c r="AN369" s="518" t="str">
        <f>IF(AND(_2="B-737-800",'2026'!$M$4="FO",'2026'!$M$2=AN347),'2026DATA'!$K$24,"")</f>
        <v/>
      </c>
      <c r="AO369" s="518" t="str">
        <f>IF(AND(_2="B-737-800",'2026'!$M$4="FO",'2026'!$M$2=AO347),'2026DATA'!$L$24,"")</f>
        <v/>
      </c>
      <c r="AP369" s="518" t="str">
        <f>IF(AND(_2="B-737-800",'2026'!$M$4="FO",'2026'!$M$2=AP347),'2026DATA'!$M$24,"")</f>
        <v/>
      </c>
      <c r="AQ369" s="520" t="str">
        <f>IF(AND(_2="B-737-800",'2026'!$M$4="FO",'2026'!$M$2=AQ347),'2026DATA'!$N$24,"")</f>
        <v/>
      </c>
      <c r="AR369" s="940"/>
      <c r="AS369" s="13" t="s">
        <v>62</v>
      </c>
      <c r="AT369" s="518" t="str">
        <f>IF(AND(_3="B-737-800",'2026'!$M$4="FO",'2026'!$M$2=AT347),'2026DATA'!$C$24,"")</f>
        <v/>
      </c>
      <c r="AU369" s="518" t="str">
        <f>IF(AND(_3="B-737-800",'2026'!$M$4="FO",'2026'!$M$2=AU347),'2026DATA'!$D$24,"")</f>
        <v/>
      </c>
      <c r="AV369" s="518" t="str">
        <f>IF(AND(_3="B-737-800",'2026'!$M$4="FO",'2026'!$M$2=AV347),'2026DATA'!$E$24,"")</f>
        <v/>
      </c>
      <c r="AW369" s="518" t="str">
        <f>IF(AND(_3="B-737-800",'2026'!$M$4="FO",'2026'!$M$2=AW347),'2026DATA'!$F$24,"")</f>
        <v/>
      </c>
      <c r="AX369" s="518" t="str">
        <f>IF(AND(_3="B-737-800",'2026'!$M$4="FO",'2026'!$M$2=AX347),'2026DATA'!$G$24,"")</f>
        <v/>
      </c>
      <c r="AY369" s="518" t="str">
        <f>IF(AND(_3="B-737-800",'2026'!$M$4="FO",'2026'!$M$2=AY347),'2026DATA'!$H$24,"")</f>
        <v/>
      </c>
      <c r="AZ369" s="518" t="str">
        <f>IF(AND(_3="B-737-800",'2026'!$M$4="FO",'2026'!$M$2=AZ347),'2026DATA'!$I$24,"")</f>
        <v/>
      </c>
      <c r="BA369" s="518" t="str">
        <f>IF(AND(_3="B-737-800",'2026'!$M$4="FO",'2026'!$M$2=BA347),'2026DATA'!$J$24,"")</f>
        <v/>
      </c>
      <c r="BB369" s="518" t="str">
        <f>IF(AND(_3="B-737-800",'2026'!$M$4="FO",'2026'!$M$2=BB347),'2026DATA'!$K$24,"")</f>
        <v/>
      </c>
      <c r="BC369" s="518" t="str">
        <f>IF(AND(_3="B-737-800",'2026'!$M$4="FO",'2026'!$M$2=BC347),'2026DATA'!$L$24,"")</f>
        <v/>
      </c>
      <c r="BD369" s="518" t="str">
        <f>IF(AND(_3="B-737-800",'2026'!$M$4="FO",'2026'!$M$2=BD347),'2026DATA'!$M$24,"")</f>
        <v/>
      </c>
      <c r="BE369" s="520" t="str">
        <f>IF(AND(_3="B-737-800",'2026'!$M$4="FO",'2026'!$M$2=BE347),'2026DATA'!$N$24,"")</f>
        <v/>
      </c>
      <c r="BF369" s="940"/>
      <c r="BG369" s="13" t="s">
        <v>62</v>
      </c>
      <c r="BH369" s="518" t="str">
        <f>IF(AND(_4="B-737-800",'2026'!$M$4="FO",'2026'!$M$2=BH347),'2026DATA'!$C$24,"")</f>
        <v/>
      </c>
      <c r="BI369" s="518" t="str">
        <f>IF(AND(_4="B-737-800",'2026'!$M$4="FO",'2026'!$M$2=BI347),'2026DATA'!$D$24,"")</f>
        <v/>
      </c>
      <c r="BJ369" s="518" t="str">
        <f>IF(AND(_4="B-737-800",'2026'!$M$4="FO",'2026'!$M$2=BJ347),'2026DATA'!$E$24,"")</f>
        <v/>
      </c>
      <c r="BK369" s="518" t="str">
        <f>IF(AND(_4="B-737-800",'2026'!$M$4="FO",'2026'!$M$2=BK347),'2026DATA'!$F$24,"")</f>
        <v/>
      </c>
      <c r="BL369" s="518" t="str">
        <f>IF(AND(_4="B-737-800",'2026'!$M$4="FO",'2026'!$M$2=BL347),'2026DATA'!$G$24,"")</f>
        <v/>
      </c>
      <c r="BM369" s="518" t="str">
        <f>IF(AND(_4="B-737-800",'2026'!$M$4="FO",'2026'!$M$2=BM347),'2026DATA'!$H$24,"")</f>
        <v/>
      </c>
      <c r="BN369" s="518" t="str">
        <f>IF(AND(_4="B-737-800",'2026'!$M$4="FO",'2026'!$M$2=BN347),'2026DATA'!$I$24,"")</f>
        <v/>
      </c>
      <c r="BO369" s="518" t="str">
        <f>IF(AND(_4="B-737-800",'2026'!$M$4="FO",'2026'!$M$2=BO347),'2026DATA'!$J$24,"")</f>
        <v/>
      </c>
      <c r="BP369" s="518" t="str">
        <f>IF(AND(_4="B-737-800",'2026'!$M$4="FO",'2026'!$M$2=BP347),'2026DATA'!$K$24,"")</f>
        <v/>
      </c>
      <c r="BQ369" s="518" t="str">
        <f>IF(AND(_4="B-737-800",'2026'!$M$4="FO",'2026'!$M$2=BQ347),'2026DATA'!$L$24,"")</f>
        <v/>
      </c>
      <c r="BR369" s="518" t="str">
        <f>IF(AND(_4="B-737-800",'2026'!$M$4="FO",'2026'!$M$2=BR347),'2026DATA'!$M$24,"")</f>
        <v/>
      </c>
      <c r="BS369" s="520" t="str">
        <f>IF(AND(_4="B-737-800",'2026'!$M$4="FO",'2026'!$M$2=BS347),'2026DATA'!$N$24,"")</f>
        <v/>
      </c>
      <c r="BT369" s="940"/>
      <c r="BU369" s="13" t="s">
        <v>62</v>
      </c>
      <c r="BV369" s="518" t="str">
        <f>IF(AND(_5="B-737-800",'2026'!$M$4="FO",'2026'!$M$2=BV347),'2026DATA'!$C$24,"")</f>
        <v/>
      </c>
      <c r="BW369" s="518" t="str">
        <f>IF(AND(_5="B-737-800",'2026'!$M$4="FO",'2026'!$M$2=BW347),'2026DATA'!$D$24,"")</f>
        <v/>
      </c>
      <c r="BX369" s="518" t="str">
        <f>IF(AND(_5="B-737-800",'2026'!$M$4="FO",'2026'!$M$2=BX347),'2026DATA'!$E$24,"")</f>
        <v/>
      </c>
      <c r="BY369" s="518" t="str">
        <f>IF(AND(_5="B-737-800",'2026'!$M$4="FO",'2026'!$M$2=BY347),'2026DATA'!$F$24,"")</f>
        <v/>
      </c>
      <c r="BZ369" s="518" t="str">
        <f>IF(AND(_5="B-737-800",'2026'!$M$4="FO",'2026'!$M$2=BZ347),'2026DATA'!$G$24,"")</f>
        <v/>
      </c>
      <c r="CA369" s="518" t="str">
        <f>IF(AND(_5="B-737-800",'2026'!$M$4="FO",'2026'!$M$2=CA347),'2026DATA'!$H$24,"")</f>
        <v/>
      </c>
      <c r="CB369" s="518" t="str">
        <f>IF(AND(_5="B-737-800",'2026'!$M$4="FO",'2026'!$M$2=CB347),'2026DATA'!$I$24,"")</f>
        <v/>
      </c>
      <c r="CC369" s="518" t="str">
        <f>IF(AND(_5="B-737-800",'2026'!$M$4="FO",'2026'!$M$2=CC347),'2026DATA'!$J$24,"")</f>
        <v/>
      </c>
      <c r="CD369" s="518" t="str">
        <f>IF(AND(_5="B-737-800",'2026'!$M$4="FO",'2026'!$M$2=CD347),'2026DATA'!$K$24,"")</f>
        <v/>
      </c>
      <c r="CE369" s="518" t="str">
        <f>IF(AND(_5="B-737-800",'2026'!$M$4="FO",'2026'!$M$2=CE347),'2026DATA'!$L$24,"")</f>
        <v/>
      </c>
      <c r="CF369" s="518" t="str">
        <f>IF(AND(_5="B-737-800",'2026'!$M$4="FO",'2026'!$M$2=CF347),'2026DATA'!$M$24,"")</f>
        <v/>
      </c>
      <c r="CG369" s="520" t="str">
        <f>IF(AND(_5="B-737-800",'2026'!$M$4="FO",'2026'!$M$2=CG347),'2026DATA'!$N$24,"")</f>
        <v/>
      </c>
      <c r="CH369" s="940"/>
      <c r="CI369" s="13" t="s">
        <v>62</v>
      </c>
      <c r="CJ369" s="518" t="str">
        <f>IF(AND(_6="B-737-800",'2026'!$M$4="FO",'2026'!$M$2=CJ347),'2026DATA'!$C$24,"")</f>
        <v/>
      </c>
      <c r="CK369" s="518" t="str">
        <f>IF(AND(_6="B-737-800",'2026'!$M$4="FO",'2026'!$M$2=CK347),'2026DATA'!$D$24,"")</f>
        <v/>
      </c>
      <c r="CL369" s="518" t="str">
        <f>IF(AND(_6="B-737-800",'2026'!$M$4="FO",'2026'!$M$2=CL347),'2026DATA'!$E$24,"")</f>
        <v/>
      </c>
      <c r="CM369" s="518" t="str">
        <f>IF(AND(_6="B-737-800",'2026'!$M$4="FO",'2026'!$M$2=CM347),'2026DATA'!$F$24,"")</f>
        <v/>
      </c>
      <c r="CN369" s="518" t="str">
        <f>IF(AND(_6="B-737-800",'2026'!$M$4="FO",'2026'!$M$2=CN347),'2026DATA'!$G$24,"")</f>
        <v/>
      </c>
      <c r="CO369" s="518" t="str">
        <f>IF(AND(_6="B-737-800",'2026'!$M$4="FO",'2026'!$M$2=CO347),'2026DATA'!$H$24,"")</f>
        <v/>
      </c>
      <c r="CP369" s="518" t="str">
        <f>IF(AND(_6="B-737-800",'2026'!$M$4="FO",'2026'!$M$2=CP347),'2026DATA'!$I$24,"")</f>
        <v/>
      </c>
      <c r="CQ369" s="518" t="str">
        <f>IF(AND(_6="B-737-800",'2026'!$M$4="FO",'2026'!$M$2=CQ347),'2026DATA'!$J$24,"")</f>
        <v/>
      </c>
      <c r="CR369" s="518" t="str">
        <f>IF(AND(_6="B-737-800",'2026'!$M$4="FO",'2026'!$M$2=CR347),'2026DATA'!$K$24,"")</f>
        <v/>
      </c>
      <c r="CS369" s="518" t="str">
        <f>IF(AND(_6="B-737-800",'2026'!$M$4="FO",'2026'!$M$2=CS347),'2026DATA'!$L$24,"")</f>
        <v/>
      </c>
      <c r="CT369" s="518" t="str">
        <f>IF(AND(_6="B-737-800",'2026'!$M$4="FO",'2026'!$M$2=CT347),'2026DATA'!$M$24,"")</f>
        <v/>
      </c>
      <c r="CU369" s="520" t="str">
        <f>IF(AND(_6="B-737-800",'2026'!$M$4="FO",'2026'!$M$2=CU347),'2026DATA'!$N$24,"")</f>
        <v/>
      </c>
    </row>
    <row r="370" spans="16:99" x14ac:dyDescent="0.25">
      <c r="P370" s="940" t="s">
        <v>46</v>
      </c>
      <c r="Q370" s="13" t="s">
        <v>61</v>
      </c>
      <c r="R370" s="518" t="str">
        <f>IF(AND(_1="A-321N",'2026'!$M$4="CA",'2026'!$M$2=R347),'2026DATA'!$C$25,"")</f>
        <v/>
      </c>
      <c r="S370" s="518" t="str">
        <f>IF(AND(_1="A-321N",'2026'!$M$4="CA",'2026'!$M$2=S347),'2026DATA'!$D$25,"")</f>
        <v/>
      </c>
      <c r="T370" s="518" t="str">
        <f>IF(AND(_1="A-321N",'2026'!$M$4="CA",'2026'!$M$2=T347),'2026DATA'!$E$25,"")</f>
        <v/>
      </c>
      <c r="U370" s="518" t="str">
        <f>IF(AND(_1="A-321N",'2026'!$M$4="CA",'2026'!$M$2=U347),'2026DATA'!$F$25,"")</f>
        <v/>
      </c>
      <c r="V370" s="518" t="str">
        <f>IF(AND(_1="A-321N",'2026'!$M$4="CA",'2026'!$M$2=V347),'2026DATA'!$G$25,"")</f>
        <v/>
      </c>
      <c r="W370" s="518" t="str">
        <f>IF(AND(_1="A-321N",'2026'!$M$4="CA",'2026'!$M$2=W347),'2026DATA'!$H$25,"")</f>
        <v/>
      </c>
      <c r="X370" s="518" t="str">
        <f>IF(AND(_1="A-321N",'2026'!$M$4="CA",'2026'!$M$2=X347),'2026DATA'!$I$25,"")</f>
        <v/>
      </c>
      <c r="Y370" s="518" t="str">
        <f>IF(AND(_1="A-321N",'2026'!$M$4="CA",'2026'!$M$2=Y347),'2026DATA'!$J$25,"")</f>
        <v/>
      </c>
      <c r="Z370" s="518" t="str">
        <f>IF(AND(_1="A-321N",'2026'!$M$4="CA",'2026'!$M$2=Z347),'2026DATA'!$K$25,"")</f>
        <v/>
      </c>
      <c r="AA370" s="518" t="str">
        <f>IF(AND(_1="A-321N",'2026'!$M$4="CA",'2026'!$M$2=AA347),'2026DATA'!$L$25,"")</f>
        <v/>
      </c>
      <c r="AB370" s="518" t="str">
        <f>IF(AND(_1="A-321N",'2026'!$M$4="CA",'2026'!$M$2=AB347),'2026DATA'!$M$25,"")</f>
        <v/>
      </c>
      <c r="AC370" s="520" t="str">
        <f>IF(AND(_1="A-321N",'2026'!$M$4="CA",'2026'!$M$2=AC347),'2026DATA'!$N$25,"")</f>
        <v/>
      </c>
      <c r="AD370" s="940" t="s">
        <v>46</v>
      </c>
      <c r="AE370" s="13" t="s">
        <v>61</v>
      </c>
      <c r="AF370" s="518" t="str">
        <f>IF(AND(_2="A-321N",'2026'!$M$4="CA",'2026'!$M$2=AF347),'2026DATA'!$C$25,"")</f>
        <v/>
      </c>
      <c r="AG370" s="518" t="str">
        <f>IF(AND(_2="A-321N",'2026'!$M$4="CA",'2026'!$M$2=AG347),'2026DATA'!$D$25,"")</f>
        <v/>
      </c>
      <c r="AH370" s="518" t="str">
        <f>IF(AND(_2="A-321N",'2026'!$M$4="CA",'2026'!$M$2=AH347),'2026DATA'!$E$25,"")</f>
        <v/>
      </c>
      <c r="AI370" s="518" t="str">
        <f>IF(AND(_2="A-321N",'2026'!$M$4="CA",'2026'!$M$2=AI347),'2026DATA'!$F$25,"")</f>
        <v/>
      </c>
      <c r="AJ370" s="518" t="str">
        <f>IF(AND(_2="A-321N",'2026'!$M$4="CA",'2026'!$M$2=AJ347),'2026DATA'!$G$25,"")</f>
        <v/>
      </c>
      <c r="AK370" s="518" t="str">
        <f>IF(AND(_2="A-321N",'2026'!$M$4="CA",'2026'!$M$2=AK347),'2026DATA'!$H$25,"")</f>
        <v/>
      </c>
      <c r="AL370" s="518" t="str">
        <f>IF(AND(_2="A-321N",'2026'!$M$4="CA",'2026'!$M$2=AL347),'2026DATA'!$I$25,"")</f>
        <v/>
      </c>
      <c r="AM370" s="518" t="str">
        <f>IF(AND(_2="A-321N",'2026'!$M$4="CA",'2026'!$M$2=AM347),'2026DATA'!$J$25,"")</f>
        <v/>
      </c>
      <c r="AN370" s="518" t="str">
        <f>IF(AND(_2="A-321N",'2026'!$M$4="CA",'2026'!$M$2=AN347),'2026DATA'!$K$25,"")</f>
        <v/>
      </c>
      <c r="AO370" s="518" t="str">
        <f>IF(AND(_2="A-321N",'2026'!$M$4="CA",'2026'!$M$2=AO347),'2026DATA'!$L$25,"")</f>
        <v/>
      </c>
      <c r="AP370" s="518" t="str">
        <f>IF(AND(_2="A-321N",'2026'!$M$4="CA",'2026'!$M$2=AP347),'2026DATA'!$M$25,"")</f>
        <v/>
      </c>
      <c r="AQ370" s="520" t="str">
        <f>IF(AND(_2="A-321N",'2026'!$M$4="CA",'2026'!$M$2=AQ347),'2026DATA'!$N$25,"")</f>
        <v/>
      </c>
      <c r="AR370" s="940" t="s">
        <v>46</v>
      </c>
      <c r="AS370" s="13" t="s">
        <v>61</v>
      </c>
      <c r="AT370" s="518" t="str">
        <f>IF(AND(_3="A-321N",'2026'!$M$4="CA",'2026'!$M$2=AT347),'2026DATA'!$C$25,"")</f>
        <v/>
      </c>
      <c r="AU370" s="518" t="str">
        <f>IF(AND(_3="A-321N",'2026'!$M$4="CA",'2026'!$M$2=AU347),'2026DATA'!$D$25,"")</f>
        <v/>
      </c>
      <c r="AV370" s="518" t="str">
        <f>IF(AND(_3="A-321N",'2026'!$M$4="CA",'2026'!$M$2=AV347),'2026DATA'!$E$25,"")</f>
        <v/>
      </c>
      <c r="AW370" s="518" t="str">
        <f>IF(AND(_3="A-321N",'2026'!$M$4="CA",'2026'!$M$2=AW347),'2026DATA'!$F$25,"")</f>
        <v/>
      </c>
      <c r="AX370" s="518" t="str">
        <f>IF(AND(_3="A-321N",'2026'!$M$4="CA",'2026'!$M$2=AX347),'2026DATA'!$G$25,"")</f>
        <v/>
      </c>
      <c r="AY370" s="518" t="str">
        <f>IF(AND(_3="A-321N",'2026'!$M$4="CA",'2026'!$M$2=AY347),'2026DATA'!$H$25,"")</f>
        <v/>
      </c>
      <c r="AZ370" s="518" t="str">
        <f>IF(AND(_3="A-321N",'2026'!$M$4="CA",'2026'!$M$2=AZ347),'2026DATA'!$I$25,"")</f>
        <v/>
      </c>
      <c r="BA370" s="518" t="str">
        <f>IF(AND(_3="A-321N",'2026'!$M$4="CA",'2026'!$M$2=BA347),'2026DATA'!$J$25,"")</f>
        <v/>
      </c>
      <c r="BB370" s="518" t="str">
        <f>IF(AND(_3="A-321N",'2026'!$M$4="CA",'2026'!$M$2=BB347),'2026DATA'!$K$25,"")</f>
        <v/>
      </c>
      <c r="BC370" s="518" t="str">
        <f>IF(AND(_3="A-321N",'2026'!$M$4="CA",'2026'!$M$2=BC347),'2026DATA'!$L$25,"")</f>
        <v/>
      </c>
      <c r="BD370" s="518" t="str">
        <f>IF(AND(_3="A-321N",'2026'!$M$4="CA",'2026'!$M$2=BD347),'2026DATA'!$M$25,"")</f>
        <v/>
      </c>
      <c r="BE370" s="520" t="str">
        <f>IF(AND(_3="A-321N",'2026'!$M$4="CA",'2026'!$M$2=BE347),'2026DATA'!$N$25,"")</f>
        <v/>
      </c>
      <c r="BF370" s="940" t="s">
        <v>46</v>
      </c>
      <c r="BG370" s="13" t="s">
        <v>61</v>
      </c>
      <c r="BH370" s="518" t="str">
        <f>IF(AND(_4="A-321N",'2026'!$M$4="CA",'2026'!$M$2=BH347),'2026DATA'!$C$25,"")</f>
        <v/>
      </c>
      <c r="BI370" s="518" t="str">
        <f>IF(AND(_4="A-321N",'2026'!$M$4="CA",'2026'!$M$2=BI347),'2026DATA'!$D$25,"")</f>
        <v/>
      </c>
      <c r="BJ370" s="518" t="str">
        <f>IF(AND(_4="A-321N",'2026'!$M$4="CA",'2026'!$M$2=BJ347),'2026DATA'!$E$25,"")</f>
        <v/>
      </c>
      <c r="BK370" s="518" t="str">
        <f>IF(AND(_4="A-321N",'2026'!$M$4="CA",'2026'!$M$2=BK347),'2026DATA'!$F$25,"")</f>
        <v/>
      </c>
      <c r="BL370" s="518" t="str">
        <f>IF(AND(_4="A-321N",'2026'!$M$4="CA",'2026'!$M$2=BL347),'2026DATA'!$G$25,"")</f>
        <v/>
      </c>
      <c r="BM370" s="518" t="str">
        <f>IF(AND(_4="A-321N",'2026'!$M$4="CA",'2026'!$M$2=BM347),'2026DATA'!$H$25,"")</f>
        <v/>
      </c>
      <c r="BN370" s="518" t="str">
        <f>IF(AND(_4="A-321N",'2026'!$M$4="CA",'2026'!$M$2=BN347),'2026DATA'!$I$25,"")</f>
        <v/>
      </c>
      <c r="BO370" s="518" t="str">
        <f>IF(AND(_4="A-321N",'2026'!$M$4="CA",'2026'!$M$2=BO347),'2026DATA'!$J$25,"")</f>
        <v/>
      </c>
      <c r="BP370" s="518" t="str">
        <f>IF(AND(_4="A-321N",'2026'!$M$4="CA",'2026'!$M$2=BP347),'2026DATA'!$K$25,"")</f>
        <v/>
      </c>
      <c r="BQ370" s="518" t="str">
        <f>IF(AND(_4="A-321N",'2026'!$M$4="CA",'2026'!$M$2=BQ347),'2026DATA'!$L$25,"")</f>
        <v/>
      </c>
      <c r="BR370" s="518" t="str">
        <f>IF(AND(_4="A-321N",'2026'!$M$4="CA",'2026'!$M$2=BR347),'2026DATA'!$M$25,"")</f>
        <v/>
      </c>
      <c r="BS370" s="520" t="str">
        <f>IF(AND(_4="A-321N",'2026'!$M$4="CA",'2026'!$M$2=BS347),'2026DATA'!$N$25,"")</f>
        <v/>
      </c>
      <c r="BT370" s="940" t="s">
        <v>46</v>
      </c>
      <c r="BU370" s="13" t="s">
        <v>61</v>
      </c>
      <c r="BV370" s="518" t="str">
        <f>IF(AND(_5="A-321N",'2026'!$M$4="CA",'2026'!$M$2=BV347),'2026DATA'!$C$25,"")</f>
        <v/>
      </c>
      <c r="BW370" s="518" t="str">
        <f>IF(AND(_5="A-321N",'2026'!$M$4="CA",'2026'!$M$2=BW347),'2026DATA'!$D$25,"")</f>
        <v/>
      </c>
      <c r="BX370" s="518" t="str">
        <f>IF(AND(_5="A-321N",'2026'!$M$4="CA",'2026'!$M$2=BX347),'2026DATA'!$E$25,"")</f>
        <v/>
      </c>
      <c r="BY370" s="518" t="str">
        <f>IF(AND(_5="A-321N",'2026'!$M$4="CA",'2026'!$M$2=BY347),'2026DATA'!$F$25,"")</f>
        <v/>
      </c>
      <c r="BZ370" s="518" t="str">
        <f>IF(AND(_5="A-321N",'2026'!$M$4="CA",'2026'!$M$2=BZ347),'2026DATA'!$G$25,"")</f>
        <v/>
      </c>
      <c r="CA370" s="518" t="str">
        <f>IF(AND(_5="A-321N",'2026'!$M$4="CA",'2026'!$M$2=CA347),'2026DATA'!$H$25,"")</f>
        <v/>
      </c>
      <c r="CB370" s="518" t="str">
        <f>IF(AND(_5="A-321N",'2026'!$M$4="CA",'2026'!$M$2=CB347),'2026DATA'!$I$25,"")</f>
        <v/>
      </c>
      <c r="CC370" s="518" t="str">
        <f>IF(AND(_5="A-321N",'2026'!$M$4="CA",'2026'!$M$2=CC347),'2026DATA'!$J$25,"")</f>
        <v/>
      </c>
      <c r="CD370" s="518" t="str">
        <f>IF(AND(_5="A-321N",'2026'!$M$4="CA",'2026'!$M$2=CD347),'2026DATA'!$K$25,"")</f>
        <v/>
      </c>
      <c r="CE370" s="518" t="str">
        <f>IF(AND(_5="A-321N",'2026'!$M$4="CA",'2026'!$M$2=CE347),'2026DATA'!$L$25,"")</f>
        <v/>
      </c>
      <c r="CF370" s="518" t="str">
        <f>IF(AND(_5="A-321N",'2026'!$M$4="CA",'2026'!$M$2=CF347),'2026DATA'!$M$25,"")</f>
        <v/>
      </c>
      <c r="CG370" s="520" t="str">
        <f>IF(AND(_5="A-321N",'2026'!$M$4="CA",'2026'!$M$2=CG347),'2026DATA'!$N$25,"")</f>
        <v/>
      </c>
      <c r="CH370" s="940" t="s">
        <v>46</v>
      </c>
      <c r="CI370" s="13" t="s">
        <v>61</v>
      </c>
      <c r="CJ370" s="518" t="str">
        <f>IF(AND(_6="A-321N",'2026'!$M$4="CA",'2026'!$M$2=CJ347),'2026DATA'!$C$25,"")</f>
        <v/>
      </c>
      <c r="CK370" s="518" t="str">
        <f>IF(AND(_6="A-321N",'2026'!$M$4="CA",'2026'!$M$2=CK347),'2026DATA'!$D$25,"")</f>
        <v/>
      </c>
      <c r="CL370" s="518" t="str">
        <f>IF(AND(_6="A-321N",'2026'!$M$4="CA",'2026'!$M$2=CL347),'2026DATA'!$E$25,"")</f>
        <v/>
      </c>
      <c r="CM370" s="518" t="str">
        <f>IF(AND(_6="A-321N",'2026'!$M$4="CA",'2026'!$M$2=CM347),'2026DATA'!$F$25,"")</f>
        <v/>
      </c>
      <c r="CN370" s="518" t="str">
        <f>IF(AND(_6="A-321N",'2026'!$M$4="CA",'2026'!$M$2=CN347),'2026DATA'!$G$25,"")</f>
        <v/>
      </c>
      <c r="CO370" s="518" t="str">
        <f>IF(AND(_6="A-321N",'2026'!$M$4="CA",'2026'!$M$2=CO347),'2026DATA'!$H$25,"")</f>
        <v/>
      </c>
      <c r="CP370" s="518" t="str">
        <f>IF(AND(_6="A-321N",'2026'!$M$4="CA",'2026'!$M$2=CP347),'2026DATA'!$I$25,"")</f>
        <v/>
      </c>
      <c r="CQ370" s="518" t="str">
        <f>IF(AND(_6="A-321N",'2026'!$M$4="CA",'2026'!$M$2=CQ347),'2026DATA'!$J$25,"")</f>
        <v/>
      </c>
      <c r="CR370" s="518" t="str">
        <f>IF(AND(_6="A-321N",'2026'!$M$4="CA",'2026'!$M$2=CR347),'2026DATA'!$K$25,"")</f>
        <v/>
      </c>
      <c r="CS370" s="518" t="str">
        <f>IF(AND(_6="A-321N",'2026'!$M$4="CA",'2026'!$M$2=CS347),'2026DATA'!$L$25,"")</f>
        <v/>
      </c>
      <c r="CT370" s="518" t="str">
        <f>IF(AND(_6="A-321N",'2026'!$M$4="CA",'2026'!$M$2=CT347),'2026DATA'!$M$25,"")</f>
        <v/>
      </c>
      <c r="CU370" s="520" t="str">
        <f>IF(AND(_6="A-321N",'2026'!$M$4="CA",'2026'!$M$2=CU347),'2026DATA'!$N$25,"")</f>
        <v/>
      </c>
    </row>
    <row r="371" spans="16:99" x14ac:dyDescent="0.25">
      <c r="P371" s="940"/>
      <c r="Q371" s="13" t="s">
        <v>62</v>
      </c>
      <c r="R371" s="518" t="str">
        <f>IF(AND(_1="A-321N",'2026'!$M$4="FO",'2026'!$M$2=R347),'2026DATA'!$C$26,"")</f>
        <v/>
      </c>
      <c r="S371" s="518" t="str">
        <f>IF(AND(_1="A-321N",'2026'!$M$4="FO",'2026'!$M$2=S347),'2026DATA'!$D$26,"")</f>
        <v/>
      </c>
      <c r="T371" s="518" t="str">
        <f>IF(AND(_1="A-321N",'2026'!$M$4="FO",'2026'!$M$2=T347),'2026DATA'!$E$26,"")</f>
        <v/>
      </c>
      <c r="U371" s="518" t="str">
        <f>IF(AND(_1="A-321N",'2026'!$M$4="FO",'2026'!$M$2=U347),'2026DATA'!$F$26,"")</f>
        <v/>
      </c>
      <c r="V371" s="518" t="str">
        <f>IF(AND(_1="A-321N",'2026'!$M$4="FO",'2026'!$M$2=V347),'2026DATA'!$G$26,"")</f>
        <v/>
      </c>
      <c r="W371" s="518" t="str">
        <f>IF(AND(_1="A-321N",'2026'!$M$4="FO",'2026'!$M$2=W347),'2026DATA'!$H$26,"")</f>
        <v/>
      </c>
      <c r="X371" s="518" t="str">
        <f>IF(AND(_1="A-321N",'2026'!$M$4="FO",'2026'!$M$2=X347),'2026DATA'!$I$26,"")</f>
        <v/>
      </c>
      <c r="Y371" s="518" t="str">
        <f>IF(AND(_1="A-321N",'2026'!$M$4="FO",'2026'!$M$2=Y347),'2026DATA'!$J$26,"")</f>
        <v/>
      </c>
      <c r="Z371" s="518" t="str">
        <f>IF(AND(_1="A-321N",'2026'!$M$4="FO",'2026'!$M$2=Z347),'2026DATA'!$K$26,"")</f>
        <v/>
      </c>
      <c r="AA371" s="518" t="str">
        <f>IF(AND(_1="A-321N",'2026'!$M$4="FO",'2026'!$M$2=AA347),'2026DATA'!$L$26,"")</f>
        <v/>
      </c>
      <c r="AB371" s="518" t="str">
        <f>IF(AND(_1="A-321N",'2026'!$M$4="FO",'2026'!$M$2=AB347),'2026DATA'!$M$26,"")</f>
        <v/>
      </c>
      <c r="AC371" s="520" t="str">
        <f>IF(AND(_1="A-321N",'2026'!$M$4="FO",'2026'!$M$2=AC347),'2026DATA'!$N$26,"")</f>
        <v/>
      </c>
      <c r="AD371" s="940"/>
      <c r="AE371" s="13" t="s">
        <v>62</v>
      </c>
      <c r="AF371" s="518" t="str">
        <f>IF(AND(_2="A-321N",'2026'!$M$4="FO",'2026'!$M$2=AF347),'2026DATA'!$C$26,"")</f>
        <v/>
      </c>
      <c r="AG371" s="518" t="str">
        <f>IF(AND(_2="A-321N",'2026'!$M$4="FO",'2026'!$M$2=AG347),'2026DATA'!$D$26,"")</f>
        <v/>
      </c>
      <c r="AH371" s="518" t="str">
        <f>IF(AND(_2="A-321N",'2026'!$M$4="FO",'2026'!$M$2=AH347),'2026DATA'!$E$26,"")</f>
        <v/>
      </c>
      <c r="AI371" s="518" t="str">
        <f>IF(AND(_2="A-321N",'2026'!$M$4="FO",'2026'!$M$2=AI347),'2026DATA'!$F$26,"")</f>
        <v/>
      </c>
      <c r="AJ371" s="518" t="str">
        <f>IF(AND(_2="A-321N",'2026'!$M$4="FO",'2026'!$M$2=AJ347),'2026DATA'!$G$26,"")</f>
        <v/>
      </c>
      <c r="AK371" s="518" t="str">
        <f>IF(AND(_2="A-321N",'2026'!$M$4="FO",'2026'!$M$2=AK347),'2026DATA'!$H$26,"")</f>
        <v/>
      </c>
      <c r="AL371" s="518" t="str">
        <f>IF(AND(_2="A-321N",'2026'!$M$4="FO",'2026'!$M$2=AL347),'2026DATA'!$I$26,"")</f>
        <v/>
      </c>
      <c r="AM371" s="518" t="str">
        <f>IF(AND(_2="A-321N",'2026'!$M$4="FO",'2026'!$M$2=AM347),'2026DATA'!$J$26,"")</f>
        <v/>
      </c>
      <c r="AN371" s="518" t="str">
        <f>IF(AND(_2="A-321N",'2026'!$M$4="FO",'2026'!$M$2=AN347),'2026DATA'!$K$26,"")</f>
        <v/>
      </c>
      <c r="AO371" s="518" t="str">
        <f>IF(AND(_2="A-321N",'2026'!$M$4="FO",'2026'!$M$2=AO347),'2026DATA'!$L$26,"")</f>
        <v/>
      </c>
      <c r="AP371" s="518" t="str">
        <f>IF(AND(_2="A-321N",'2026'!$M$4="FO",'2026'!$M$2=AP347),'2026DATA'!$M$26,"")</f>
        <v/>
      </c>
      <c r="AQ371" s="520" t="str">
        <f>IF(AND(_2="A-321N",'2026'!$M$4="FO",'2026'!$M$2=AQ347),'2026DATA'!$N$26,"")</f>
        <v/>
      </c>
      <c r="AR371" s="940"/>
      <c r="AS371" s="13" t="s">
        <v>62</v>
      </c>
      <c r="AT371" s="518" t="str">
        <f>IF(AND(_3="A-321N",'2026'!$M$4="FO",'2026'!$M$2=AT347),'2026DATA'!$C$26,"")</f>
        <v/>
      </c>
      <c r="AU371" s="518" t="str">
        <f>IF(AND(_3="A-321N",'2026'!$M$4="FO",'2026'!$M$2=AU347),'2026DATA'!$D$26,"")</f>
        <v/>
      </c>
      <c r="AV371" s="518" t="str">
        <f>IF(AND(_3="A-321N",'2026'!$M$4="FO",'2026'!$M$2=AV347),'2026DATA'!$E$26,"")</f>
        <v/>
      </c>
      <c r="AW371" s="518" t="str">
        <f>IF(AND(_3="A-321N",'2026'!$M$4="FO",'2026'!$M$2=AW347),'2026DATA'!$F$26,"")</f>
        <v/>
      </c>
      <c r="AX371" s="518" t="str">
        <f>IF(AND(_3="A-321N",'2026'!$M$4="FO",'2026'!$M$2=AX347),'2026DATA'!$G$26,"")</f>
        <v/>
      </c>
      <c r="AY371" s="518" t="str">
        <f>IF(AND(_3="A-321N",'2026'!$M$4="FO",'2026'!$M$2=AY347),'2026DATA'!$H$26,"")</f>
        <v/>
      </c>
      <c r="AZ371" s="518" t="str">
        <f>IF(AND(_3="A-321N",'2026'!$M$4="FO",'2026'!$M$2=AZ347),'2026DATA'!$I$26,"")</f>
        <v/>
      </c>
      <c r="BA371" s="518" t="str">
        <f>IF(AND(_3="A-321N",'2026'!$M$4="FO",'2026'!$M$2=BA347),'2026DATA'!$J$26,"")</f>
        <v/>
      </c>
      <c r="BB371" s="518" t="str">
        <f>IF(AND(_3="A-321N",'2026'!$M$4="FO",'2026'!$M$2=BB347),'2026DATA'!$K$26,"")</f>
        <v/>
      </c>
      <c r="BC371" s="518" t="str">
        <f>IF(AND(_3="A-321N",'2026'!$M$4="FO",'2026'!$M$2=BC347),'2026DATA'!$L$26,"")</f>
        <v/>
      </c>
      <c r="BD371" s="518" t="str">
        <f>IF(AND(_3="A-321N",'2026'!$M$4="FO",'2026'!$M$2=BD347),'2026DATA'!$M$26,"")</f>
        <v/>
      </c>
      <c r="BE371" s="520" t="str">
        <f>IF(AND(_3="A-321N",'2026'!$M$4="FO",'2026'!$M$2=BE347),'2026DATA'!$N$26,"")</f>
        <v/>
      </c>
      <c r="BF371" s="940"/>
      <c r="BG371" s="13" t="s">
        <v>62</v>
      </c>
      <c r="BH371" s="518" t="str">
        <f>IF(AND(_4="A-321N",'2026'!$M$4="FO",'2026'!$M$2=BH347),'2026DATA'!$C$26,"")</f>
        <v/>
      </c>
      <c r="BI371" s="518" t="str">
        <f>IF(AND(_4="A-321N",'2026'!$M$4="FO",'2026'!$M$2=BI347),'2026DATA'!$D$26,"")</f>
        <v/>
      </c>
      <c r="BJ371" s="518" t="str">
        <f>IF(AND(_4="A-321N",'2026'!$M$4="FO",'2026'!$M$2=BJ347),'2026DATA'!$E$26,"")</f>
        <v/>
      </c>
      <c r="BK371" s="518" t="str">
        <f>IF(AND(_4="A-321N",'2026'!$M$4="FO",'2026'!$M$2=BK347),'2026DATA'!$F$26,"")</f>
        <v/>
      </c>
      <c r="BL371" s="518" t="str">
        <f>IF(AND(_4="A-321N",'2026'!$M$4="FO",'2026'!$M$2=BL347),'2026DATA'!$G$26,"")</f>
        <v/>
      </c>
      <c r="BM371" s="518" t="str">
        <f>IF(AND(_4="A-321N",'2026'!$M$4="FO",'2026'!$M$2=BM347),'2026DATA'!$H$26,"")</f>
        <v/>
      </c>
      <c r="BN371" s="518" t="str">
        <f>IF(AND(_4="A-321N",'2026'!$M$4="FO",'2026'!$M$2=BN347),'2026DATA'!$I$26,"")</f>
        <v/>
      </c>
      <c r="BO371" s="518" t="str">
        <f>IF(AND(_4="A-321N",'2026'!$M$4="FO",'2026'!$M$2=BO347),'2026DATA'!$J$26,"")</f>
        <v/>
      </c>
      <c r="BP371" s="518" t="str">
        <f>IF(AND(_4="A-321N",'2026'!$M$4="FO",'2026'!$M$2=BP347),'2026DATA'!$K$26,"")</f>
        <v/>
      </c>
      <c r="BQ371" s="518" t="str">
        <f>IF(AND(_4="A-321N",'2026'!$M$4="FO",'2026'!$M$2=BQ347),'2026DATA'!$L$26,"")</f>
        <v/>
      </c>
      <c r="BR371" s="518" t="str">
        <f>IF(AND(_4="A-321N",'2026'!$M$4="FO",'2026'!$M$2=BR347),'2026DATA'!$M$26,"")</f>
        <v/>
      </c>
      <c r="BS371" s="520" t="str">
        <f>IF(AND(_4="A-321N",'2026'!$M$4="FO",'2026'!$M$2=BS347),'2026DATA'!$N$26,"")</f>
        <v/>
      </c>
      <c r="BT371" s="940"/>
      <c r="BU371" s="13" t="s">
        <v>62</v>
      </c>
      <c r="BV371" s="518" t="str">
        <f>IF(AND(_5="A-321N",'2026'!$M$4="FO",'2026'!$M$2=BV347),'2026DATA'!$C$26,"")</f>
        <v/>
      </c>
      <c r="BW371" s="518" t="str">
        <f>IF(AND(_5="A-321N",'2026'!$M$4="FO",'2026'!$M$2=BW347),'2026DATA'!$D$26,"")</f>
        <v/>
      </c>
      <c r="BX371" s="518" t="str">
        <f>IF(AND(_5="A-321N",'2026'!$M$4="FO",'2026'!$M$2=BX347),'2026DATA'!$E$26,"")</f>
        <v/>
      </c>
      <c r="BY371" s="518" t="str">
        <f>IF(AND(_5="A-321N",'2026'!$M$4="FO",'2026'!$M$2=BY347),'2026DATA'!$F$26,"")</f>
        <v/>
      </c>
      <c r="BZ371" s="518" t="str">
        <f>IF(AND(_5="A-321N",'2026'!$M$4="FO",'2026'!$M$2=BZ347),'2026DATA'!$G$26,"")</f>
        <v/>
      </c>
      <c r="CA371" s="518" t="str">
        <f>IF(AND(_5="A-321N",'2026'!$M$4="FO",'2026'!$M$2=CA347),'2026DATA'!$H$26,"")</f>
        <v/>
      </c>
      <c r="CB371" s="518" t="str">
        <f>IF(AND(_5="A-321N",'2026'!$M$4="FO",'2026'!$M$2=CB347),'2026DATA'!$I$26,"")</f>
        <v/>
      </c>
      <c r="CC371" s="518" t="str">
        <f>IF(AND(_5="A-321N",'2026'!$M$4="FO",'2026'!$M$2=CC347),'2026DATA'!$J$26,"")</f>
        <v/>
      </c>
      <c r="CD371" s="518" t="str">
        <f>IF(AND(_5="A-321N",'2026'!$M$4="FO",'2026'!$M$2=CD347),'2026DATA'!$K$26,"")</f>
        <v/>
      </c>
      <c r="CE371" s="518" t="str">
        <f>IF(AND(_5="A-321N",'2026'!$M$4="FO",'2026'!$M$2=CE347),'2026DATA'!$L$26,"")</f>
        <v/>
      </c>
      <c r="CF371" s="518" t="str">
        <f>IF(AND(_5="A-321N",'2026'!$M$4="FO",'2026'!$M$2=CF347),'2026DATA'!$M$26,"")</f>
        <v/>
      </c>
      <c r="CG371" s="520" t="str">
        <f>IF(AND(_5="A-321N",'2026'!$M$4="FO",'2026'!$M$2=CG347),'2026DATA'!$N$26,"")</f>
        <v/>
      </c>
      <c r="CH371" s="940"/>
      <c r="CI371" s="13" t="s">
        <v>62</v>
      </c>
      <c r="CJ371" s="518" t="str">
        <f>IF(AND(_6="A-321N",'2026'!$M$4="FO",'2026'!$M$2=CJ347),'2026DATA'!$C$26,"")</f>
        <v/>
      </c>
      <c r="CK371" s="518" t="str">
        <f>IF(AND(_6="A-321N",'2026'!$M$4="FO",'2026'!$M$2=CK347),'2026DATA'!$D$26,"")</f>
        <v/>
      </c>
      <c r="CL371" s="518" t="str">
        <f>IF(AND(_6="A-321N",'2026'!$M$4="FO",'2026'!$M$2=CL347),'2026DATA'!$E$26,"")</f>
        <v/>
      </c>
      <c r="CM371" s="518" t="str">
        <f>IF(AND(_6="A-321N",'2026'!$M$4="FO",'2026'!$M$2=CM347),'2026DATA'!$F$26,"")</f>
        <v/>
      </c>
      <c r="CN371" s="518" t="str">
        <f>IF(AND(_6="A-321N",'2026'!$M$4="FO",'2026'!$M$2=CN347),'2026DATA'!$G$26,"")</f>
        <v/>
      </c>
      <c r="CO371" s="518" t="str">
        <f>IF(AND(_6="A-321N",'2026'!$M$4="FO",'2026'!$M$2=CO347),'2026DATA'!$H$26,"")</f>
        <v/>
      </c>
      <c r="CP371" s="518" t="str">
        <f>IF(AND(_6="A-321N",'2026'!$M$4="FO",'2026'!$M$2=CP347),'2026DATA'!$I$26,"")</f>
        <v/>
      </c>
      <c r="CQ371" s="518" t="str">
        <f>IF(AND(_6="A-321N",'2026'!$M$4="FO",'2026'!$M$2=CQ347),'2026DATA'!$J$26,"")</f>
        <v/>
      </c>
      <c r="CR371" s="518" t="str">
        <f>IF(AND(_6="A-321N",'2026'!$M$4="FO",'2026'!$M$2=CR347),'2026DATA'!$K$26,"")</f>
        <v/>
      </c>
      <c r="CS371" s="518" t="str">
        <f>IF(AND(_6="A-321N",'2026'!$M$4="FO",'2026'!$M$2=CS347),'2026DATA'!$L$26,"")</f>
        <v/>
      </c>
      <c r="CT371" s="518" t="str">
        <f>IF(AND(_6="A-321N",'2026'!$M$4="FO",'2026'!$M$2=CT347),'2026DATA'!$M$26,"")</f>
        <v/>
      </c>
      <c r="CU371" s="520" t="str">
        <f>IF(AND(_6="A-321N",'2026'!$M$4="FO",'2026'!$M$2=CU347),'2026DATA'!$N$26,"")</f>
        <v/>
      </c>
    </row>
    <row r="372" spans="16:99" x14ac:dyDescent="0.25">
      <c r="P372" s="940" t="s">
        <v>48</v>
      </c>
      <c r="Q372" s="13" t="s">
        <v>61</v>
      </c>
      <c r="R372" s="518" t="str">
        <f>IF(AND(_1="A-321",'2026'!$M$4="CA",'2026'!$M$2=R347),'2026DATA'!$C$27,"")</f>
        <v/>
      </c>
      <c r="S372" s="518" t="str">
        <f>IF(AND(_1="A-321",'2026'!$M$4="CA",'2026'!$M$2=S347),'2026DATA'!$D$27,"")</f>
        <v/>
      </c>
      <c r="T372" s="518" t="str">
        <f>IF(AND(_1="A-321",'2026'!$M$4="CA",'2026'!$M$2=T347),'2026DATA'!$E$27,"")</f>
        <v/>
      </c>
      <c r="U372" s="518" t="str">
        <f>IF(AND(_1="A-321",'2026'!$M$4="CA",'2026'!$M$2=U347),'2026DATA'!$F$27,"")</f>
        <v/>
      </c>
      <c r="V372" s="518" t="str">
        <f>IF(AND(_1="A-321",'2026'!$M$4="CA",'2026'!$M$2=V347),'2026DATA'!$G$27,"")</f>
        <v/>
      </c>
      <c r="W372" s="518" t="str">
        <f>IF(AND(_1="A-321",'2026'!$M$4="CA",'2026'!$M$2=W347),'2026DATA'!$H$27,"")</f>
        <v/>
      </c>
      <c r="X372" s="518" t="str">
        <f>IF(AND(_1="A-321",'2026'!$M$4="CA",'2026'!$M$2=X347),'2026DATA'!$I$27,"")</f>
        <v/>
      </c>
      <c r="Y372" s="518" t="str">
        <f>IF(AND(_1="A-321",'2026'!$M$4="CA",'2026'!$M$2=Y347),'2026DATA'!$J$27,"")</f>
        <v/>
      </c>
      <c r="Z372" s="518" t="str">
        <f>IF(AND(_1="A-321",'2026'!$M$4="CA",'2026'!$M$2=Z347),'2026DATA'!$K$27,"")</f>
        <v/>
      </c>
      <c r="AA372" s="518" t="str">
        <f>IF(AND(_1="A-321",'2026'!$M$4="CA",'2026'!$M$2=AA347),'2026DATA'!$L$27,"")</f>
        <v/>
      </c>
      <c r="AB372" s="518" t="str">
        <f>IF(AND(_1="A-321",'2026'!$M$4="CA",'2026'!$M$2=AB347),'2026DATA'!$M$27,"")</f>
        <v/>
      </c>
      <c r="AC372" s="520" t="str">
        <f>IF(AND(_1="A-321",'2026'!$M$4="CA",'2026'!$M$2=AC347),'2026DATA'!$N$27,"")</f>
        <v/>
      </c>
      <c r="AD372" s="940" t="s">
        <v>48</v>
      </c>
      <c r="AE372" s="13" t="s">
        <v>61</v>
      </c>
      <c r="AF372" s="518" t="str">
        <f>IF(AND(_2="A-321",'2026'!$M$4="CA",'2026'!$M$2=AF347),'2026DATA'!$C$27,"")</f>
        <v/>
      </c>
      <c r="AG372" s="518" t="str">
        <f>IF(AND(_2="A-321",'2026'!$M$4="CA",'2026'!$M$2=AG347),'2026DATA'!$D$27,"")</f>
        <v/>
      </c>
      <c r="AH372" s="518" t="str">
        <f>IF(AND(_2="A-321",'2026'!$M$4="CA",'2026'!$M$2=AH347),'2026DATA'!$E$27,"")</f>
        <v/>
      </c>
      <c r="AI372" s="518" t="str">
        <f>IF(AND(_2="A-321",'2026'!$M$4="CA",'2026'!$M$2=AI347),'2026DATA'!$F$27,"")</f>
        <v/>
      </c>
      <c r="AJ372" s="518" t="str">
        <f>IF(AND(_2="A-321",'2026'!$M$4="CA",'2026'!$M$2=AJ347),'2026DATA'!$G$27,"")</f>
        <v/>
      </c>
      <c r="AK372" s="518" t="str">
        <f>IF(AND(_2="A-321",'2026'!$M$4="CA",'2026'!$M$2=AK347),'2026DATA'!$H$27,"")</f>
        <v/>
      </c>
      <c r="AL372" s="518" t="str">
        <f>IF(AND(_2="A-321",'2026'!$M$4="CA",'2026'!$M$2=AL347),'2026DATA'!$I$27,"")</f>
        <v/>
      </c>
      <c r="AM372" s="518" t="str">
        <f>IF(AND(_2="A-321",'2026'!$M$4="CA",'2026'!$M$2=AM347),'2026DATA'!$J$27,"")</f>
        <v/>
      </c>
      <c r="AN372" s="518" t="str">
        <f>IF(AND(_2="A-321",'2026'!$M$4="CA",'2026'!$M$2=AN347),'2026DATA'!$K$27,"")</f>
        <v/>
      </c>
      <c r="AO372" s="518" t="str">
        <f>IF(AND(_2="A-321",'2026'!$M$4="CA",'2026'!$M$2=AO347),'2026DATA'!$L$27,"")</f>
        <v/>
      </c>
      <c r="AP372" s="518" t="str">
        <f>IF(AND(_2="A-321",'2026'!$M$4="CA",'2026'!$M$2=AP347),'2026DATA'!$M$27,"")</f>
        <v/>
      </c>
      <c r="AQ372" s="520" t="str">
        <f>IF(AND(_2="A-321",'2026'!$M$4="CA",'2026'!$M$2=AQ347),'2026DATA'!$N$27,"")</f>
        <v/>
      </c>
      <c r="AR372" s="940" t="s">
        <v>48</v>
      </c>
      <c r="AS372" s="13" t="s">
        <v>61</v>
      </c>
      <c r="AT372" s="518" t="str">
        <f>IF(AND(_3="A-321",'2026'!$M$4="CA",'2026'!$M$2=AT347),'2026DATA'!$C$27,"")</f>
        <v/>
      </c>
      <c r="AU372" s="518" t="str">
        <f>IF(AND(_3="A-321",'2026'!$M$4="CA",'2026'!$M$2=AU347),'2026DATA'!$D$27,"")</f>
        <v/>
      </c>
      <c r="AV372" s="518" t="str">
        <f>IF(AND(_3="A-321",'2026'!$M$4="CA",'2026'!$M$2=AV347),'2026DATA'!$E$27,"")</f>
        <v/>
      </c>
      <c r="AW372" s="518" t="str">
        <f>IF(AND(_3="A-321",'2026'!$M$4="CA",'2026'!$M$2=AW347),'2026DATA'!$F$27,"")</f>
        <v/>
      </c>
      <c r="AX372" s="518" t="str">
        <f>IF(AND(_3="A-321",'2026'!$M$4="CA",'2026'!$M$2=AX347),'2026DATA'!$G$27,"")</f>
        <v/>
      </c>
      <c r="AY372" s="518" t="str">
        <f>IF(AND(_3="A-321",'2026'!$M$4="CA",'2026'!$M$2=AY347),'2026DATA'!$H$27,"")</f>
        <v/>
      </c>
      <c r="AZ372" s="518" t="str">
        <f>IF(AND(_3="A-321",'2026'!$M$4="CA",'2026'!$M$2=AZ347),'2026DATA'!$I$27,"")</f>
        <v/>
      </c>
      <c r="BA372" s="518" t="str">
        <f>IF(AND(_3="A-321",'2026'!$M$4="CA",'2026'!$M$2=BA347),'2026DATA'!$J$27,"")</f>
        <v/>
      </c>
      <c r="BB372" s="518" t="str">
        <f>IF(AND(_3="A-321",'2026'!$M$4="CA",'2026'!$M$2=BB347),'2026DATA'!$K$27,"")</f>
        <v/>
      </c>
      <c r="BC372" s="518" t="str">
        <f>IF(AND(_3="A-321",'2026'!$M$4="CA",'2026'!$M$2=BC347),'2026DATA'!$L$27,"")</f>
        <v/>
      </c>
      <c r="BD372" s="518" t="str">
        <f>IF(AND(_3="A-321",'2026'!$M$4="CA",'2026'!$M$2=BD347),'2026DATA'!$M$27,"")</f>
        <v/>
      </c>
      <c r="BE372" s="520" t="str">
        <f>IF(AND(_3="A-321",'2026'!$M$4="CA",'2026'!$M$2=BE347),'2026DATA'!$N$27,"")</f>
        <v/>
      </c>
      <c r="BF372" s="940" t="s">
        <v>48</v>
      </c>
      <c r="BG372" s="13" t="s">
        <v>61</v>
      </c>
      <c r="BH372" s="518" t="str">
        <f>IF(AND(_4="A-321",'2026'!$M$4="CA",'2026'!$M$2=BH347),'2026DATA'!$C$27,"")</f>
        <v/>
      </c>
      <c r="BI372" s="518" t="str">
        <f>IF(AND(_4="A-321",'2026'!$M$4="CA",'2026'!$M$2=BI347),'2026DATA'!$D$27,"")</f>
        <v/>
      </c>
      <c r="BJ372" s="518" t="str">
        <f>IF(AND(_4="A-321",'2026'!$M$4="CA",'2026'!$M$2=BJ347),'2026DATA'!$E$27,"")</f>
        <v/>
      </c>
      <c r="BK372" s="518" t="str">
        <f>IF(AND(_4="A-321",'2026'!$M$4="CA",'2026'!$M$2=BK347),'2026DATA'!$F$27,"")</f>
        <v/>
      </c>
      <c r="BL372" s="518" t="str">
        <f>IF(AND(_4="A-321",'2026'!$M$4="CA",'2026'!$M$2=BL347),'2026DATA'!$G$27,"")</f>
        <v/>
      </c>
      <c r="BM372" s="518" t="str">
        <f>IF(AND(_4="A-321",'2026'!$M$4="CA",'2026'!$M$2=BM347),'2026DATA'!$H$27,"")</f>
        <v/>
      </c>
      <c r="BN372" s="518" t="str">
        <f>IF(AND(_4="A-321",'2026'!$M$4="CA",'2026'!$M$2=BN347),'2026DATA'!$I$27,"")</f>
        <v/>
      </c>
      <c r="BO372" s="518" t="str">
        <f>IF(AND(_4="A-321",'2026'!$M$4="CA",'2026'!$M$2=BO347),'2026DATA'!$J$27,"")</f>
        <v/>
      </c>
      <c r="BP372" s="518" t="str">
        <f>IF(AND(_4="A-321",'2026'!$M$4="CA",'2026'!$M$2=BP347),'2026DATA'!$K$27,"")</f>
        <v/>
      </c>
      <c r="BQ372" s="518" t="str">
        <f>IF(AND(_4="A-321",'2026'!$M$4="CA",'2026'!$M$2=BQ347),'2026DATA'!$L$27,"")</f>
        <v/>
      </c>
      <c r="BR372" s="518" t="str">
        <f>IF(AND(_4="A-321",'2026'!$M$4="CA",'2026'!$M$2=BR347),'2026DATA'!$M$27,"")</f>
        <v/>
      </c>
      <c r="BS372" s="520" t="str">
        <f>IF(AND(_4="A-321",'2026'!$M$4="CA",'2026'!$M$2=BS347),'2026DATA'!$N$27,"")</f>
        <v/>
      </c>
      <c r="BT372" s="940" t="s">
        <v>48</v>
      </c>
      <c r="BU372" s="13" t="s">
        <v>61</v>
      </c>
      <c r="BV372" s="518" t="str">
        <f>IF(AND(_5="A-321",'2026'!$M$4="CA",'2026'!$M$2=BV347),'2026DATA'!$C$27,"")</f>
        <v/>
      </c>
      <c r="BW372" s="518" t="str">
        <f>IF(AND(_5="A-321",'2026'!$M$4="CA",'2026'!$M$2=BW347),'2026DATA'!$D$27,"")</f>
        <v/>
      </c>
      <c r="BX372" s="518" t="str">
        <f>IF(AND(_5="A-321",'2026'!$M$4="CA",'2026'!$M$2=BX347),'2026DATA'!$E$27,"")</f>
        <v/>
      </c>
      <c r="BY372" s="518" t="str">
        <f>IF(AND(_5="A-321",'2026'!$M$4="CA",'2026'!$M$2=BY347),'2026DATA'!$F$27,"")</f>
        <v/>
      </c>
      <c r="BZ372" s="518" t="str">
        <f>IF(AND(_5="A-321",'2026'!$M$4="CA",'2026'!$M$2=BZ347),'2026DATA'!$G$27,"")</f>
        <v/>
      </c>
      <c r="CA372" s="518" t="str">
        <f>IF(AND(_5="A-321",'2026'!$M$4="CA",'2026'!$M$2=CA347),'2026DATA'!$H$27,"")</f>
        <v/>
      </c>
      <c r="CB372" s="518" t="str">
        <f>IF(AND(_5="A-321",'2026'!$M$4="CA",'2026'!$M$2=CB347),'2026DATA'!$I$27,"")</f>
        <v/>
      </c>
      <c r="CC372" s="518" t="str">
        <f>IF(AND(_5="A-321",'2026'!$M$4="CA",'2026'!$M$2=CC347),'2026DATA'!$J$27,"")</f>
        <v/>
      </c>
      <c r="CD372" s="518" t="str">
        <f>IF(AND(_5="A-321",'2026'!$M$4="CA",'2026'!$M$2=CD347),'2026DATA'!$K$27,"")</f>
        <v/>
      </c>
      <c r="CE372" s="518" t="str">
        <f>IF(AND(_5="A-321",'2026'!$M$4="CA",'2026'!$M$2=CE347),'2026DATA'!$L$27,"")</f>
        <v/>
      </c>
      <c r="CF372" s="518" t="str">
        <f>IF(AND(_5="A-321",'2026'!$M$4="CA",'2026'!$M$2=CF347),'2026DATA'!$M$27,"")</f>
        <v/>
      </c>
      <c r="CG372" s="520" t="str">
        <f>IF(AND(_5="A-321",'2026'!$M$4="CA",'2026'!$M$2=CG347),'2026DATA'!$N$27,"")</f>
        <v/>
      </c>
      <c r="CH372" s="940" t="s">
        <v>48</v>
      </c>
      <c r="CI372" s="13" t="s">
        <v>61</v>
      </c>
      <c r="CJ372" s="518" t="str">
        <f>IF(AND(_6="A-321",'2026'!$M$4="CA",'2026'!$M$2=CJ347),'2026DATA'!$C$27,"")</f>
        <v/>
      </c>
      <c r="CK372" s="518" t="str">
        <f>IF(AND(_6="A-321",'2026'!$M$4="CA",'2026'!$M$2=CK347),'2026DATA'!$D$27,"")</f>
        <v/>
      </c>
      <c r="CL372" s="518" t="str">
        <f>IF(AND(_6="A-321",'2026'!$M$4="CA",'2026'!$M$2=CL347),'2026DATA'!$E$27,"")</f>
        <v/>
      </c>
      <c r="CM372" s="518" t="str">
        <f>IF(AND(_6="A-321",'2026'!$M$4="CA",'2026'!$M$2=CM347),'2026DATA'!$F$27,"")</f>
        <v/>
      </c>
      <c r="CN372" s="518" t="str">
        <f>IF(AND(_6="A-321",'2026'!$M$4="CA",'2026'!$M$2=CN347),'2026DATA'!$G$27,"")</f>
        <v/>
      </c>
      <c r="CO372" s="518" t="str">
        <f>IF(AND(_6="A-321",'2026'!$M$4="CA",'2026'!$M$2=CO347),'2026DATA'!$H$27,"")</f>
        <v/>
      </c>
      <c r="CP372" s="518" t="str">
        <f>IF(AND(_6="A-321",'2026'!$M$4="CA",'2026'!$M$2=CP347),'2026DATA'!$I$27,"")</f>
        <v/>
      </c>
      <c r="CQ372" s="518" t="str">
        <f>IF(AND(_6="A-321",'2026'!$M$4="CA",'2026'!$M$2=CQ347),'2026DATA'!$J$27,"")</f>
        <v/>
      </c>
      <c r="CR372" s="518" t="str">
        <f>IF(AND(_6="A-321",'2026'!$M$4="CA",'2026'!$M$2=CR347),'2026DATA'!$K$27,"")</f>
        <v/>
      </c>
      <c r="CS372" s="518" t="str">
        <f>IF(AND(_6="A-321",'2026'!$M$4="CA",'2026'!$M$2=CS347),'2026DATA'!$L$27,"")</f>
        <v/>
      </c>
      <c r="CT372" s="518" t="str">
        <f>IF(AND(_6="A-321",'2026'!$M$4="CA",'2026'!$M$2=CT347),'2026DATA'!$M$27,"")</f>
        <v/>
      </c>
      <c r="CU372" s="520" t="str">
        <f>IF(AND(_6="A-321",'2026'!$M$4="CA",'2026'!$M$2=CU347),'2026DATA'!$N$27,"")</f>
        <v/>
      </c>
    </row>
    <row r="373" spans="16:99" x14ac:dyDescent="0.25">
      <c r="P373" s="940"/>
      <c r="Q373" s="13" t="s">
        <v>62</v>
      </c>
      <c r="R373" s="518" t="str">
        <f>IF(AND(_1="A-321",'2026'!$M$4="FO",'2026'!$M$2=R347),'2026DATA'!$C$28,"")</f>
        <v/>
      </c>
      <c r="S373" s="518" t="str">
        <f>IF(AND(_1="A-321",'2026'!$M$4="FO",'2026'!$M$2=S347),'2026DATA'!$D$28,"")</f>
        <v/>
      </c>
      <c r="T373" s="518" t="str">
        <f>IF(AND(_1="A-321",'2026'!$M$4="FO",'2026'!$M$2=T347),'2026DATA'!$E$28,"")</f>
        <v/>
      </c>
      <c r="U373" s="518" t="str">
        <f>IF(AND(_1="A-321",'2026'!$M$4="FO",'2026'!$M$2=U347),'2026DATA'!$F$28,"")</f>
        <v/>
      </c>
      <c r="V373" s="518" t="str">
        <f>IF(AND(_1="A-321",'2026'!$M$4="FO",'2026'!$M$2=V347),'2026DATA'!$G$28,"")</f>
        <v/>
      </c>
      <c r="W373" s="518" t="str">
        <f>IF(AND(_1="A-321",'2026'!$M$4="FO",'2026'!$M$2=W347),'2026DATA'!$H$28,"")</f>
        <v/>
      </c>
      <c r="X373" s="518" t="str">
        <f>IF(AND(_1="A-321",'2026'!$M$4="FO",'2026'!$M$2=X347),'2026DATA'!$I$28,"")</f>
        <v/>
      </c>
      <c r="Y373" s="518" t="str">
        <f>IF(AND(_1="A-321",'2026'!$M$4="FO",'2026'!$M$2=Y347),'2026DATA'!$J$28,"")</f>
        <v/>
      </c>
      <c r="Z373" s="518" t="str">
        <f>IF(AND(_1="A-321",'2026'!$M$4="FO",'2026'!$M$2=Z347),'2026DATA'!$K$28,"")</f>
        <v/>
      </c>
      <c r="AA373" s="518" t="str">
        <f>IF(AND(_1="A-321",'2026'!$M$4="FO",'2026'!$M$2=AA347),'2026DATA'!$L$28,"")</f>
        <v/>
      </c>
      <c r="AB373" s="518" t="str">
        <f>IF(AND(_1="A-321",'2026'!$M$4="FO",'2026'!$M$2=AB347),'2026DATA'!$M$28,"")</f>
        <v/>
      </c>
      <c r="AC373" s="520" t="str">
        <f>IF(AND(_1="A-321",'2026'!$M$4="FO",'2026'!$M$2=AC347),'2026DATA'!$N$28,"")</f>
        <v/>
      </c>
      <c r="AD373" s="940"/>
      <c r="AE373" s="13" t="s">
        <v>62</v>
      </c>
      <c r="AF373" s="518" t="str">
        <f>IF(AND(_2="A-321",'2026'!$M$4="FO",'2026'!$M$2=AF347),'2026DATA'!$C$28,"")</f>
        <v/>
      </c>
      <c r="AG373" s="518" t="str">
        <f>IF(AND(_2="A-321",'2026'!$M$4="FO",'2026'!$M$2=AG347),'2026DATA'!$D$28,"")</f>
        <v/>
      </c>
      <c r="AH373" s="518" t="str">
        <f>IF(AND(_2="A-321",'2026'!$M$4="FO",'2026'!$M$2=AH347),'2026DATA'!$E$28,"")</f>
        <v/>
      </c>
      <c r="AI373" s="518" t="str">
        <f>IF(AND(_2="A-321",'2026'!$M$4="FO",'2026'!$M$2=AI347),'2026DATA'!$F$28,"")</f>
        <v/>
      </c>
      <c r="AJ373" s="518" t="str">
        <f>IF(AND(_2="A-321",'2026'!$M$4="FO",'2026'!$M$2=AJ347),'2026DATA'!$G$28,"")</f>
        <v/>
      </c>
      <c r="AK373" s="518" t="str">
        <f>IF(AND(_2="A-321",'2026'!$M$4="FO",'2026'!$M$2=AK347),'2026DATA'!$H$28,"")</f>
        <v/>
      </c>
      <c r="AL373" s="518" t="str">
        <f>IF(AND(_2="A-321",'2026'!$M$4="FO",'2026'!$M$2=AL347),'2026DATA'!$I$28,"")</f>
        <v/>
      </c>
      <c r="AM373" s="518" t="str">
        <f>IF(AND(_2="A-321",'2026'!$M$4="FO",'2026'!$M$2=AM347),'2026DATA'!$J$28,"")</f>
        <v/>
      </c>
      <c r="AN373" s="518" t="str">
        <f>IF(AND(_2="A-321",'2026'!$M$4="FO",'2026'!$M$2=AN347),'2026DATA'!$K$28,"")</f>
        <v/>
      </c>
      <c r="AO373" s="518" t="str">
        <f>IF(AND(_2="A-321",'2026'!$M$4="FO",'2026'!$M$2=AO347),'2026DATA'!$L$28,"")</f>
        <v/>
      </c>
      <c r="AP373" s="518" t="str">
        <f>IF(AND(_2="A-321",'2026'!$M$4="FO",'2026'!$M$2=AP347),'2026DATA'!$M$28,"")</f>
        <v/>
      </c>
      <c r="AQ373" s="520" t="str">
        <f>IF(AND(_2="A-321",'2026'!$M$4="FO",'2026'!$M$2=AQ347),'2026DATA'!$N$28,"")</f>
        <v/>
      </c>
      <c r="AR373" s="940"/>
      <c r="AS373" s="13" t="s">
        <v>62</v>
      </c>
      <c r="AT373" s="518" t="str">
        <f>IF(AND(_3="A-321",'2026'!$M$4="FO",'2026'!$M$2=AT347),'2026DATA'!$C$28,"")</f>
        <v/>
      </c>
      <c r="AU373" s="518" t="str">
        <f>IF(AND(_3="A-321",'2026'!$M$4="FO",'2026'!$M$2=AU347),'2026DATA'!$D$28,"")</f>
        <v/>
      </c>
      <c r="AV373" s="518" t="str">
        <f>IF(AND(_3="A-321",'2026'!$M$4="FO",'2026'!$M$2=AV347),'2026DATA'!$E$28,"")</f>
        <v/>
      </c>
      <c r="AW373" s="518" t="str">
        <f>IF(AND(_3="A-321",'2026'!$M$4="FO",'2026'!$M$2=AW347),'2026DATA'!$F$28,"")</f>
        <v/>
      </c>
      <c r="AX373" s="518" t="str">
        <f>IF(AND(_3="A-321",'2026'!$M$4="FO",'2026'!$M$2=AX347),'2026DATA'!$G$28,"")</f>
        <v/>
      </c>
      <c r="AY373" s="518" t="str">
        <f>IF(AND(_3="A-321",'2026'!$M$4="FO",'2026'!$M$2=AY347),'2026DATA'!$H$28,"")</f>
        <v/>
      </c>
      <c r="AZ373" s="518" t="str">
        <f>IF(AND(_3="A-321",'2026'!$M$4="FO",'2026'!$M$2=AZ347),'2026DATA'!$I$28,"")</f>
        <v/>
      </c>
      <c r="BA373" s="518" t="str">
        <f>IF(AND(_3="A-321",'2026'!$M$4="FO",'2026'!$M$2=BA347),'2026DATA'!$J$28,"")</f>
        <v/>
      </c>
      <c r="BB373" s="518" t="str">
        <f>IF(AND(_3="A-321",'2026'!$M$4="FO",'2026'!$M$2=BB347),'2026DATA'!$K$28,"")</f>
        <v/>
      </c>
      <c r="BC373" s="518" t="str">
        <f>IF(AND(_3="A-321",'2026'!$M$4="FO",'2026'!$M$2=BC347),'2026DATA'!$L$28,"")</f>
        <v/>
      </c>
      <c r="BD373" s="518" t="str">
        <f>IF(AND(_3="A-321",'2026'!$M$4="FO",'2026'!$M$2=BD347),'2026DATA'!$M$28,"")</f>
        <v/>
      </c>
      <c r="BE373" s="520" t="str">
        <f>IF(AND(_3="A-321",'2026'!$M$4="FO",'2026'!$M$2=BE347),'2026DATA'!$N$28,"")</f>
        <v/>
      </c>
      <c r="BF373" s="940"/>
      <c r="BG373" s="13" t="s">
        <v>62</v>
      </c>
      <c r="BH373" s="518" t="str">
        <f>IF(AND(_4="A-321",'2026'!$M$4="FO",'2026'!$M$2=BH347),'2026DATA'!$C$28,"")</f>
        <v/>
      </c>
      <c r="BI373" s="518" t="str">
        <f>IF(AND(_4="A-321",'2026'!$M$4="FO",'2026'!$M$2=BI347),'2026DATA'!$D$28,"")</f>
        <v/>
      </c>
      <c r="BJ373" s="518" t="str">
        <f>IF(AND(_4="A-321",'2026'!$M$4="FO",'2026'!$M$2=BJ347),'2026DATA'!$E$28,"")</f>
        <v/>
      </c>
      <c r="BK373" s="518" t="str">
        <f>IF(AND(_4="A-321",'2026'!$M$4="FO",'2026'!$M$2=BK347),'2026DATA'!$F$28,"")</f>
        <v/>
      </c>
      <c r="BL373" s="518" t="str">
        <f>IF(AND(_4="A-321",'2026'!$M$4="FO",'2026'!$M$2=BL347),'2026DATA'!$G$28,"")</f>
        <v/>
      </c>
      <c r="BM373" s="518" t="str">
        <f>IF(AND(_4="A-321",'2026'!$M$4="FO",'2026'!$M$2=BM347),'2026DATA'!$H$28,"")</f>
        <v/>
      </c>
      <c r="BN373" s="518" t="str">
        <f>IF(AND(_4="A-321",'2026'!$M$4="FO",'2026'!$M$2=BN347),'2026DATA'!$I$28,"")</f>
        <v/>
      </c>
      <c r="BO373" s="518" t="str">
        <f>IF(AND(_4="A-321",'2026'!$M$4="FO",'2026'!$M$2=BO347),'2026DATA'!$J$28,"")</f>
        <v/>
      </c>
      <c r="BP373" s="518" t="str">
        <f>IF(AND(_4="A-321",'2026'!$M$4="FO",'2026'!$M$2=BP347),'2026DATA'!$K$28,"")</f>
        <v/>
      </c>
      <c r="BQ373" s="518" t="str">
        <f>IF(AND(_4="A-321",'2026'!$M$4="FO",'2026'!$M$2=BQ347),'2026DATA'!$L$28,"")</f>
        <v/>
      </c>
      <c r="BR373" s="518" t="str">
        <f>IF(AND(_4="A-321",'2026'!$M$4="FO",'2026'!$M$2=BR347),'2026DATA'!$M$28,"")</f>
        <v/>
      </c>
      <c r="BS373" s="520" t="str">
        <f>IF(AND(_4="A-321",'2026'!$M$4="FO",'2026'!$M$2=BS347),'2026DATA'!$N$28,"")</f>
        <v/>
      </c>
      <c r="BT373" s="940"/>
      <c r="BU373" s="13" t="s">
        <v>62</v>
      </c>
      <c r="BV373" s="518" t="str">
        <f>IF(AND(_5="A-321",'2026'!$M$4="FO",'2026'!$M$2=BV347),'2026DATA'!$C$28,"")</f>
        <v/>
      </c>
      <c r="BW373" s="518" t="str">
        <f>IF(AND(_5="A-321",'2026'!$M$4="FO",'2026'!$M$2=BW347),'2026DATA'!$D$28,"")</f>
        <v/>
      </c>
      <c r="BX373" s="518" t="str">
        <f>IF(AND(_5="A-321",'2026'!$M$4="FO",'2026'!$M$2=BX347),'2026DATA'!$E$28,"")</f>
        <v/>
      </c>
      <c r="BY373" s="518" t="str">
        <f>IF(AND(_5="A-321",'2026'!$M$4="FO",'2026'!$M$2=BY347),'2026DATA'!$F$28,"")</f>
        <v/>
      </c>
      <c r="BZ373" s="518" t="str">
        <f>IF(AND(_5="A-321",'2026'!$M$4="FO",'2026'!$M$2=BZ347),'2026DATA'!$G$28,"")</f>
        <v/>
      </c>
      <c r="CA373" s="518" t="str">
        <f>IF(AND(_5="A-321",'2026'!$M$4="FO",'2026'!$M$2=CA347),'2026DATA'!$H$28,"")</f>
        <v/>
      </c>
      <c r="CB373" s="518" t="str">
        <f>IF(AND(_5="A-321",'2026'!$M$4="FO",'2026'!$M$2=CB347),'2026DATA'!$I$28,"")</f>
        <v/>
      </c>
      <c r="CC373" s="518" t="str">
        <f>IF(AND(_5="A-321",'2026'!$M$4="FO",'2026'!$M$2=CC347),'2026DATA'!$J$28,"")</f>
        <v/>
      </c>
      <c r="CD373" s="518" t="str">
        <f>IF(AND(_5="A-321",'2026'!$M$4="FO",'2026'!$M$2=CD347),'2026DATA'!$K$28,"")</f>
        <v/>
      </c>
      <c r="CE373" s="518" t="str">
        <f>IF(AND(_5="A-321",'2026'!$M$4="FO",'2026'!$M$2=CE347),'2026DATA'!$L$28,"")</f>
        <v/>
      </c>
      <c r="CF373" s="518" t="str">
        <f>IF(AND(_5="A-321",'2026'!$M$4="FO",'2026'!$M$2=CF347),'2026DATA'!$M$28,"")</f>
        <v/>
      </c>
      <c r="CG373" s="520" t="str">
        <f>IF(AND(_5="A-321",'2026'!$M$4="FO",'2026'!$M$2=CG347),'2026DATA'!$N$28,"")</f>
        <v/>
      </c>
      <c r="CH373" s="940"/>
      <c r="CI373" s="13" t="s">
        <v>62</v>
      </c>
      <c r="CJ373" s="518" t="str">
        <f>IF(AND(_6="A-321",'2026'!$M$4="FO",'2026'!$M$2=CJ347),'2026DATA'!$C$28,"")</f>
        <v/>
      </c>
      <c r="CK373" s="518" t="str">
        <f>IF(AND(_6="A-321",'2026'!$M$4="FO",'2026'!$M$2=CK347),'2026DATA'!$D$28,"")</f>
        <v/>
      </c>
      <c r="CL373" s="518" t="str">
        <f>IF(AND(_6="A-321",'2026'!$M$4="FO",'2026'!$M$2=CL347),'2026DATA'!$E$28,"")</f>
        <v/>
      </c>
      <c r="CM373" s="518" t="str">
        <f>IF(AND(_6="A-321",'2026'!$M$4="FO",'2026'!$M$2=CM347),'2026DATA'!$F$28,"")</f>
        <v/>
      </c>
      <c r="CN373" s="518" t="str">
        <f>IF(AND(_6="A-321",'2026'!$M$4="FO",'2026'!$M$2=CN347),'2026DATA'!$G$28,"")</f>
        <v/>
      </c>
      <c r="CO373" s="518" t="str">
        <f>IF(AND(_6="A-321",'2026'!$M$4="FO",'2026'!$M$2=CO347),'2026DATA'!$H$28,"")</f>
        <v/>
      </c>
      <c r="CP373" s="518" t="str">
        <f>IF(AND(_6="A-321",'2026'!$M$4="FO",'2026'!$M$2=CP347),'2026DATA'!$I$28,"")</f>
        <v/>
      </c>
      <c r="CQ373" s="518" t="str">
        <f>IF(AND(_6="A-321",'2026'!$M$4="FO",'2026'!$M$2=CQ347),'2026DATA'!$J$28,"")</f>
        <v/>
      </c>
      <c r="CR373" s="518" t="str">
        <f>IF(AND(_6="A-321",'2026'!$M$4="FO",'2026'!$M$2=CR347),'2026DATA'!$K$28,"")</f>
        <v/>
      </c>
      <c r="CS373" s="518" t="str">
        <f>IF(AND(_6="A-321",'2026'!$M$4="FO",'2026'!$M$2=CS347),'2026DATA'!$L$28,"")</f>
        <v/>
      </c>
      <c r="CT373" s="518" t="str">
        <f>IF(AND(_6="A-321",'2026'!$M$4="FO",'2026'!$M$2=CT347),'2026DATA'!$M$28,"")</f>
        <v/>
      </c>
      <c r="CU373" s="520" t="str">
        <f>IF(AND(_6="A-321",'2026'!$M$4="FO",'2026'!$M$2=CU347),'2026DATA'!$N$28,"")</f>
        <v/>
      </c>
    </row>
    <row r="374" spans="16:99" x14ac:dyDescent="0.25">
      <c r="P374" s="940" t="s">
        <v>70</v>
      </c>
      <c r="Q374" s="13" t="s">
        <v>61</v>
      </c>
      <c r="R374" s="518" t="str">
        <f>IF(AND(_1="A-320",'2026'!$M$4="CA",'2026'!$M$2=R347),'2026DATA'!$C$29,"")</f>
        <v/>
      </c>
      <c r="S374" s="518" t="str">
        <f>IF(AND(_1="A-320",'2026'!$M$4="CA",'2026'!$M$2=S347),'2026DATA'!$D$29,"")</f>
        <v/>
      </c>
      <c r="T374" s="518" t="str">
        <f>IF(AND(_1="A-320",'2026'!$M$4="CA",'2026'!$M$2=T347),'2026DATA'!$E$29,"")</f>
        <v/>
      </c>
      <c r="U374" s="518" t="str">
        <f>IF(AND(_1="A-320",'2026'!$M$4="CA",'2026'!$M$2=U347),'2026DATA'!$F$29,"")</f>
        <v/>
      </c>
      <c r="V374" s="518" t="str">
        <f>IF(AND(_1="A-320",'2026'!$M$4="CA",'2026'!$M$2=V347),'2026DATA'!$G$29,"")</f>
        <v/>
      </c>
      <c r="W374" s="518" t="str">
        <f>IF(AND(_1="A-320",'2026'!$M$4="CA",'2026'!$M$2=W347),'2026DATA'!$H$29,"")</f>
        <v/>
      </c>
      <c r="X374" s="518" t="str">
        <f>IF(AND(_1="A-320",'2026'!$M$4="CA",'2026'!$M$2=X347),'2026DATA'!$I$29,"")</f>
        <v/>
      </c>
      <c r="Y374" s="518" t="str">
        <f>IF(AND(_1="A-320",'2026'!$M$4="CA",'2026'!$M$2=Y347),'2026DATA'!$J$29,"")</f>
        <v/>
      </c>
      <c r="Z374" s="518" t="str">
        <f>IF(AND(_1="A-320",'2026'!$M$4="CA",'2026'!$M$2=Z347),'2026DATA'!$K$29,"")</f>
        <v/>
      </c>
      <c r="AA374" s="518" t="str">
        <f>IF(AND(_1="A-320",'2026'!$M$4="CA",'2026'!$M$2=AA347),'2026DATA'!$L$29,"")</f>
        <v/>
      </c>
      <c r="AB374" s="518" t="str">
        <f>IF(AND(_1="A-320",'2026'!$M$4="CA",'2026'!$M$2=AB347),'2026DATA'!$M$29,"")</f>
        <v/>
      </c>
      <c r="AC374" s="520" t="str">
        <f>IF(AND(_1="A-320",'2026'!$M$4="CA",'2026'!$M$2=AC347),'2026DATA'!$N$29,"")</f>
        <v/>
      </c>
      <c r="AD374" s="940" t="s">
        <v>70</v>
      </c>
      <c r="AE374" s="13" t="s">
        <v>61</v>
      </c>
      <c r="AF374" s="518" t="str">
        <f>IF(AND(_2="A-320",'2026'!$M$4="CA",'2026'!$M$2=AF347),'2026DATA'!$C$29,"")</f>
        <v/>
      </c>
      <c r="AG374" s="518" t="str">
        <f>IF(AND(_2="A-320",'2026'!$M$4="CA",'2026'!$M$2=AG347),'2026DATA'!$D$29,"")</f>
        <v/>
      </c>
      <c r="AH374" s="518" t="str">
        <f>IF(AND(_2="A-320",'2026'!$M$4="CA",'2026'!$M$2=AH347),'2026DATA'!$E$29,"")</f>
        <v/>
      </c>
      <c r="AI374" s="518" t="str">
        <f>IF(AND(_2="A-320",'2026'!$M$4="CA",'2026'!$M$2=AI347),'2026DATA'!$F$29,"")</f>
        <v/>
      </c>
      <c r="AJ374" s="518" t="str">
        <f>IF(AND(_2="A-320",'2026'!$M$4="CA",'2026'!$M$2=AJ347),'2026DATA'!$G$29,"")</f>
        <v/>
      </c>
      <c r="AK374" s="518" t="str">
        <f>IF(AND(_2="A-320",'2026'!$M$4="CA",'2026'!$M$2=AK347),'2026DATA'!$H$29,"")</f>
        <v/>
      </c>
      <c r="AL374" s="518" t="str">
        <f>IF(AND(_2="A-320",'2026'!$M$4="CA",'2026'!$M$2=AL347),'2026DATA'!$I$29,"")</f>
        <v/>
      </c>
      <c r="AM374" s="518" t="str">
        <f>IF(AND(_2="A-320",'2026'!$M$4="CA",'2026'!$M$2=AM347),'2026DATA'!$J$29,"")</f>
        <v/>
      </c>
      <c r="AN374" s="518" t="str">
        <f>IF(AND(_2="A-320",'2026'!$M$4="CA",'2026'!$M$2=AN347),'2026DATA'!$K$29,"")</f>
        <v/>
      </c>
      <c r="AO374" s="518" t="str">
        <f>IF(AND(_2="A-320",'2026'!$M$4="CA",'2026'!$M$2=AO347),'2026DATA'!$L$29,"")</f>
        <v/>
      </c>
      <c r="AP374" s="518" t="str">
        <f>IF(AND(_2="A-320",'2026'!$M$4="CA",'2026'!$M$2=AP347),'2026DATA'!$M$29,"")</f>
        <v/>
      </c>
      <c r="AQ374" s="520" t="str">
        <f>IF(AND(_2="A-320",'2026'!$M$4="CA",'2026'!$M$2=AQ347),'2026DATA'!$N$29,"")</f>
        <v/>
      </c>
      <c r="AR374" s="940" t="s">
        <v>70</v>
      </c>
      <c r="AS374" s="13" t="s">
        <v>61</v>
      </c>
      <c r="AT374" s="518" t="str">
        <f>IF(AND(_3="A-320",'2026'!$M$4="CA",'2026'!$M$2=AT347),'2026DATA'!$C$29,"")</f>
        <v/>
      </c>
      <c r="AU374" s="518" t="str">
        <f>IF(AND(_3="A-320",'2026'!$M$4="CA",'2026'!$M$2=AU347),'2026DATA'!$D$29,"")</f>
        <v/>
      </c>
      <c r="AV374" s="518" t="str">
        <f>IF(AND(_3="A-320",'2026'!$M$4="CA",'2026'!$M$2=AV347),'2026DATA'!$E$29,"")</f>
        <v/>
      </c>
      <c r="AW374" s="518" t="str">
        <f>IF(AND(_3="A-320",'2026'!$M$4="CA",'2026'!$M$2=AW347),'2026DATA'!$F$29,"")</f>
        <v/>
      </c>
      <c r="AX374" s="518" t="str">
        <f>IF(AND(_3="A-320",'2026'!$M$4="CA",'2026'!$M$2=AX347),'2026DATA'!$G$29,"")</f>
        <v/>
      </c>
      <c r="AY374" s="518" t="str">
        <f>IF(AND(_3="A-320",'2026'!$M$4="CA",'2026'!$M$2=AY347),'2026DATA'!$H$29,"")</f>
        <v/>
      </c>
      <c r="AZ374" s="518" t="str">
        <f>IF(AND(_3="A-320",'2026'!$M$4="CA",'2026'!$M$2=AZ347),'2026DATA'!$I$29,"")</f>
        <v/>
      </c>
      <c r="BA374" s="518" t="str">
        <f>IF(AND(_3="A-320",'2026'!$M$4="CA",'2026'!$M$2=BA347),'2026DATA'!$J$29,"")</f>
        <v/>
      </c>
      <c r="BB374" s="518" t="str">
        <f>IF(AND(_3="A-320",'2026'!$M$4="CA",'2026'!$M$2=BB347),'2026DATA'!$K$29,"")</f>
        <v/>
      </c>
      <c r="BC374" s="518" t="str">
        <f>IF(AND(_3="A-320",'2026'!$M$4="CA",'2026'!$M$2=BC347),'2026DATA'!$L$29,"")</f>
        <v/>
      </c>
      <c r="BD374" s="518" t="str">
        <f>IF(AND(_3="A-320",'2026'!$M$4="CA",'2026'!$M$2=BD347),'2026DATA'!$M$29,"")</f>
        <v/>
      </c>
      <c r="BE374" s="520" t="str">
        <f>IF(AND(_3="A-320",'2026'!$M$4="CA",'2026'!$M$2=BE347),'2026DATA'!$N$29,"")</f>
        <v/>
      </c>
      <c r="BF374" s="940" t="s">
        <v>70</v>
      </c>
      <c r="BG374" s="13" t="s">
        <v>61</v>
      </c>
      <c r="BH374" s="518" t="str">
        <f>IF(AND(_4="A-320",'2026'!$M$4="CA",'2026'!$M$2=BH347),'2026DATA'!$C$29,"")</f>
        <v/>
      </c>
      <c r="BI374" s="518" t="str">
        <f>IF(AND(_4="A-320",'2026'!$M$4="CA",'2026'!$M$2=BI347),'2026DATA'!$D$29,"")</f>
        <v/>
      </c>
      <c r="BJ374" s="518" t="str">
        <f>IF(AND(_4="A-320",'2026'!$M$4="CA",'2026'!$M$2=BJ347),'2026DATA'!$E$29,"")</f>
        <v/>
      </c>
      <c r="BK374" s="518" t="str">
        <f>IF(AND(_4="A-320",'2026'!$M$4="CA",'2026'!$M$2=BK347),'2026DATA'!$F$29,"")</f>
        <v/>
      </c>
      <c r="BL374" s="518" t="str">
        <f>IF(AND(_4="A-320",'2026'!$M$4="CA",'2026'!$M$2=BL347),'2026DATA'!$G$29,"")</f>
        <v/>
      </c>
      <c r="BM374" s="518" t="str">
        <f>IF(AND(_4="A-320",'2026'!$M$4="CA",'2026'!$M$2=BM347),'2026DATA'!$H$29,"")</f>
        <v/>
      </c>
      <c r="BN374" s="518" t="str">
        <f>IF(AND(_4="A-320",'2026'!$M$4="CA",'2026'!$M$2=BN347),'2026DATA'!$I$29,"")</f>
        <v/>
      </c>
      <c r="BO374" s="518" t="str">
        <f>IF(AND(_4="A-320",'2026'!$M$4="CA",'2026'!$M$2=BO347),'2026DATA'!$J$29,"")</f>
        <v/>
      </c>
      <c r="BP374" s="518" t="str">
        <f>IF(AND(_4="A-320",'2026'!$M$4="CA",'2026'!$M$2=BP347),'2026DATA'!$K$29,"")</f>
        <v/>
      </c>
      <c r="BQ374" s="518" t="str">
        <f>IF(AND(_4="A-320",'2026'!$M$4="CA",'2026'!$M$2=BQ347),'2026DATA'!$L$29,"")</f>
        <v/>
      </c>
      <c r="BR374" s="518" t="str">
        <f>IF(AND(_4="A-320",'2026'!$M$4="CA",'2026'!$M$2=BR347),'2026DATA'!$M$29,"")</f>
        <v/>
      </c>
      <c r="BS374" s="520" t="str">
        <f>IF(AND(_4="A-320",'2026'!$M$4="CA",'2026'!$M$2=BS347),'2026DATA'!$N$29,"")</f>
        <v/>
      </c>
      <c r="BT374" s="940" t="s">
        <v>70</v>
      </c>
      <c r="BU374" s="13" t="s">
        <v>61</v>
      </c>
      <c r="BV374" s="518" t="str">
        <f>IF(AND(_5="A-320",'2026'!$M$4="CA",'2026'!$M$2=BV347),'2026DATA'!$C$29,"")</f>
        <v/>
      </c>
      <c r="BW374" s="518" t="str">
        <f>IF(AND(_5="A-320",'2026'!$M$4="CA",'2026'!$M$2=BW347),'2026DATA'!$D$29,"")</f>
        <v/>
      </c>
      <c r="BX374" s="518" t="str">
        <f>IF(AND(_5="A-320",'2026'!$M$4="CA",'2026'!$M$2=BX347),'2026DATA'!$E$29,"")</f>
        <v/>
      </c>
      <c r="BY374" s="518" t="str">
        <f>IF(AND(_5="A-320",'2026'!$M$4="CA",'2026'!$M$2=BY347),'2026DATA'!$F$29,"")</f>
        <v/>
      </c>
      <c r="BZ374" s="518" t="str">
        <f>IF(AND(_5="A-320",'2026'!$M$4="CA",'2026'!$M$2=BZ347),'2026DATA'!$G$29,"")</f>
        <v/>
      </c>
      <c r="CA374" s="518" t="str">
        <f>IF(AND(_5="A-320",'2026'!$M$4="CA",'2026'!$M$2=CA347),'2026DATA'!$H$29,"")</f>
        <v/>
      </c>
      <c r="CB374" s="518" t="str">
        <f>IF(AND(_5="A-320",'2026'!$M$4="CA",'2026'!$M$2=CB347),'2026DATA'!$I$29,"")</f>
        <v/>
      </c>
      <c r="CC374" s="518" t="str">
        <f>IF(AND(_5="A-320",'2026'!$M$4="CA",'2026'!$M$2=CC347),'2026DATA'!$J$29,"")</f>
        <v/>
      </c>
      <c r="CD374" s="518" t="str">
        <f>IF(AND(_5="A-320",'2026'!$M$4="CA",'2026'!$M$2=CD347),'2026DATA'!$K$29,"")</f>
        <v/>
      </c>
      <c r="CE374" s="518" t="str">
        <f>IF(AND(_5="A-320",'2026'!$M$4="CA",'2026'!$M$2=CE347),'2026DATA'!$L$29,"")</f>
        <v/>
      </c>
      <c r="CF374" s="518" t="str">
        <f>IF(AND(_5="A-320",'2026'!$M$4="CA",'2026'!$M$2=CF347),'2026DATA'!$M$29,"")</f>
        <v/>
      </c>
      <c r="CG374" s="520" t="str">
        <f>IF(AND(_5="A-320",'2026'!$M$4="CA",'2026'!$M$2=CG347),'2026DATA'!$N$29,"")</f>
        <v/>
      </c>
      <c r="CH374" s="940" t="s">
        <v>70</v>
      </c>
      <c r="CI374" s="13" t="s">
        <v>61</v>
      </c>
      <c r="CJ374" s="518" t="str">
        <f>IF(AND(_6="A-320",'2026'!$M$4="CA",'2026'!$M$2=CJ347),'2026DATA'!$C$29,"")</f>
        <v/>
      </c>
      <c r="CK374" s="518" t="str">
        <f>IF(AND(_6="A-320",'2026'!$M$4="CA",'2026'!$M$2=CK347),'2026DATA'!$D$29,"")</f>
        <v/>
      </c>
      <c r="CL374" s="518" t="str">
        <f>IF(AND(_6="A-320",'2026'!$M$4="CA",'2026'!$M$2=CL347),'2026DATA'!$E$29,"")</f>
        <v/>
      </c>
      <c r="CM374" s="518" t="str">
        <f>IF(AND(_6="A-320",'2026'!$M$4="CA",'2026'!$M$2=CM347),'2026DATA'!$F$29,"")</f>
        <v/>
      </c>
      <c r="CN374" s="518" t="str">
        <f>IF(AND(_6="A-320",'2026'!$M$4="CA",'2026'!$M$2=CN347),'2026DATA'!$G$29,"")</f>
        <v/>
      </c>
      <c r="CO374" s="518" t="str">
        <f>IF(AND(_6="A-320",'2026'!$M$4="CA",'2026'!$M$2=CO347),'2026DATA'!$H$29,"")</f>
        <v/>
      </c>
      <c r="CP374" s="518" t="str">
        <f>IF(AND(_6="A-320",'2026'!$M$4="CA",'2026'!$M$2=CP347),'2026DATA'!$I$29,"")</f>
        <v/>
      </c>
      <c r="CQ374" s="518" t="str">
        <f>IF(AND(_6="A-320",'2026'!$M$4="CA",'2026'!$M$2=CQ347),'2026DATA'!$J$29,"")</f>
        <v/>
      </c>
      <c r="CR374" s="518" t="str">
        <f>IF(AND(_6="A-320",'2026'!$M$4="CA",'2026'!$M$2=CR347),'2026DATA'!$K$29,"")</f>
        <v/>
      </c>
      <c r="CS374" s="518" t="str">
        <f>IF(AND(_6="A-320",'2026'!$M$4="CA",'2026'!$M$2=CS347),'2026DATA'!$L$29,"")</f>
        <v/>
      </c>
      <c r="CT374" s="518" t="str">
        <f>IF(AND(_6="A-320",'2026'!$M$4="CA",'2026'!$M$2=CT347),'2026DATA'!$M$29,"")</f>
        <v/>
      </c>
      <c r="CU374" s="520" t="str">
        <f>IF(AND(_6="A-320",'2026'!$M$4="CA",'2026'!$M$2=CU347),'2026DATA'!$N$29,"")</f>
        <v/>
      </c>
    </row>
    <row r="375" spans="16:99" x14ac:dyDescent="0.25">
      <c r="P375" s="940"/>
      <c r="Q375" s="13" t="s">
        <v>62</v>
      </c>
      <c r="R375" s="518" t="str">
        <f>IF(AND(_1="A-320",'2026'!$M$4="FO",'2026'!$M$2=R347),'2026DATA'!$C$30,"")</f>
        <v/>
      </c>
      <c r="S375" s="518" t="str">
        <f>IF(AND(_1="A-320",'2026'!$M$4="FO",'2026'!$M$2=S347),'2026DATA'!$D$30,"")</f>
        <v/>
      </c>
      <c r="T375" s="518" t="str">
        <f>IF(AND(_1="A-320",'2026'!$M$4="FO",'2026'!$M$2=T347),'2026DATA'!$E$30,"")</f>
        <v/>
      </c>
      <c r="U375" s="518" t="str">
        <f>IF(AND(_1="A-320",'2026'!$M$4="FO",'2026'!$M$2=U347),'2026DATA'!$F$30,"")</f>
        <v/>
      </c>
      <c r="V375" s="518" t="str">
        <f>IF(AND(_1="A-320",'2026'!$M$4="FO",'2026'!$M$2=V347),'2026DATA'!$G$30,"")</f>
        <v/>
      </c>
      <c r="W375" s="518" t="str">
        <f>IF(AND(_1="A-320",'2026'!$M$4="FO",'2026'!$M$2=W347),'2026DATA'!$H$30,"")</f>
        <v/>
      </c>
      <c r="X375" s="518" t="str">
        <f>IF(AND(_1="A-320",'2026'!$M$4="FO",'2026'!$M$2=X347),'2026DATA'!$I$30,"")</f>
        <v/>
      </c>
      <c r="Y375" s="518" t="str">
        <f>IF(AND(_1="A-320",'2026'!$M$4="FO",'2026'!$M$2=Y347),'2026DATA'!$J$30,"")</f>
        <v/>
      </c>
      <c r="Z375" s="518" t="str">
        <f>IF(AND(_1="A-320",'2026'!$M$4="FO",'2026'!$M$2=Z347),'2026DATA'!$K$30,"")</f>
        <v/>
      </c>
      <c r="AA375" s="518" t="str">
        <f>IF(AND(_1="A-320",'2026'!$M$4="FO",'2026'!$M$2=AA347),'2026DATA'!$L$30,"")</f>
        <v/>
      </c>
      <c r="AB375" s="518" t="str">
        <f>IF(AND(_1="A-320",'2026'!$M$4="FO",'2026'!$M$2=AB347),'2026DATA'!$M$30,"")</f>
        <v/>
      </c>
      <c r="AC375" s="520" t="str">
        <f>IF(AND(_1="A-320",'2026'!$M$4="FO",'2026'!$M$2=AC347),'2026DATA'!$N$30,"")</f>
        <v/>
      </c>
      <c r="AD375" s="940"/>
      <c r="AE375" s="13" t="s">
        <v>62</v>
      </c>
      <c r="AF375" s="518" t="str">
        <f>IF(AND(_2="A-320",'2026'!$M$4="FO",'2026'!$M$2=AF347),'2026DATA'!$C$30,"")</f>
        <v/>
      </c>
      <c r="AG375" s="518" t="str">
        <f>IF(AND(_2="A-320",'2026'!$M$4="FO",'2026'!$M$2=AG347),'2026DATA'!$D$30,"")</f>
        <v/>
      </c>
      <c r="AH375" s="518" t="str">
        <f>IF(AND(_2="A-320",'2026'!$M$4="FO",'2026'!$M$2=AH347),'2026DATA'!$E$30,"")</f>
        <v/>
      </c>
      <c r="AI375" s="518" t="str">
        <f>IF(AND(_2="A-320",'2026'!$M$4="FO",'2026'!$M$2=AI347),'2026DATA'!$F$30,"")</f>
        <v/>
      </c>
      <c r="AJ375" s="518" t="str">
        <f>IF(AND(_2="A-320",'2026'!$M$4="FO",'2026'!$M$2=AJ347),'2026DATA'!$G$30,"")</f>
        <v/>
      </c>
      <c r="AK375" s="518" t="str">
        <f>IF(AND(_2="A-320",'2026'!$M$4="FO",'2026'!$M$2=AK347),'2026DATA'!$H$30,"")</f>
        <v/>
      </c>
      <c r="AL375" s="518" t="str">
        <f>IF(AND(_2="A-320",'2026'!$M$4="FO",'2026'!$M$2=AL347),'2026DATA'!$I$30,"")</f>
        <v/>
      </c>
      <c r="AM375" s="518" t="str">
        <f>IF(AND(_2="A-320",'2026'!$M$4="FO",'2026'!$M$2=AM347),'2026DATA'!$J$30,"")</f>
        <v/>
      </c>
      <c r="AN375" s="518" t="str">
        <f>IF(AND(_2="A-320",'2026'!$M$4="FO",'2026'!$M$2=AN347),'2026DATA'!$K$30,"")</f>
        <v/>
      </c>
      <c r="AO375" s="518" t="str">
        <f>IF(AND(_2="A-320",'2026'!$M$4="FO",'2026'!$M$2=AO347),'2026DATA'!$L$30,"")</f>
        <v/>
      </c>
      <c r="AP375" s="518" t="str">
        <f>IF(AND(_2="A-320",'2026'!$M$4="FO",'2026'!$M$2=AP347),'2026DATA'!$M$30,"")</f>
        <v/>
      </c>
      <c r="AQ375" s="520" t="str">
        <f>IF(AND(_2="A-320",'2026'!$M$4="FO",'2026'!$M$2=AQ347),'2026DATA'!$N$30,"")</f>
        <v/>
      </c>
      <c r="AR375" s="940"/>
      <c r="AS375" s="13" t="s">
        <v>62</v>
      </c>
      <c r="AT375" s="518" t="str">
        <f>IF(AND(_3="A-320",'2026'!$M$4="FO",'2026'!$M$2=AT347),'2026DATA'!$C$30,"")</f>
        <v/>
      </c>
      <c r="AU375" s="518" t="str">
        <f>IF(AND(_3="A-320",'2026'!$M$4="FO",'2026'!$M$2=AU347),'2026DATA'!$D$30,"")</f>
        <v/>
      </c>
      <c r="AV375" s="518" t="str">
        <f>IF(AND(_3="A-320",'2026'!$M$4="FO",'2026'!$M$2=AV347),'2026DATA'!$E$30,"")</f>
        <v/>
      </c>
      <c r="AW375" s="518" t="str">
        <f>IF(AND(_3="A-320",'2026'!$M$4="FO",'2026'!$M$2=AW347),'2026DATA'!$F$30,"")</f>
        <v/>
      </c>
      <c r="AX375" s="518" t="str">
        <f>IF(AND(_3="A-320",'2026'!$M$4="FO",'2026'!$M$2=AX347),'2026DATA'!$G$30,"")</f>
        <v/>
      </c>
      <c r="AY375" s="518" t="str">
        <f>IF(AND(_3="A-320",'2026'!$M$4="FO",'2026'!$M$2=AY347),'2026DATA'!$H$30,"")</f>
        <v/>
      </c>
      <c r="AZ375" s="518" t="str">
        <f>IF(AND(_3="A-320",'2026'!$M$4="FO",'2026'!$M$2=AZ347),'2026DATA'!$I$30,"")</f>
        <v/>
      </c>
      <c r="BA375" s="518" t="str">
        <f>IF(AND(_3="A-320",'2026'!$M$4="FO",'2026'!$M$2=BA347),'2026DATA'!$J$30,"")</f>
        <v/>
      </c>
      <c r="BB375" s="518" t="str">
        <f>IF(AND(_3="A-320",'2026'!$M$4="FO",'2026'!$M$2=BB347),'2026DATA'!$K$30,"")</f>
        <v/>
      </c>
      <c r="BC375" s="518" t="str">
        <f>IF(AND(_3="A-320",'2026'!$M$4="FO",'2026'!$M$2=BC347),'2026DATA'!$L$30,"")</f>
        <v/>
      </c>
      <c r="BD375" s="518" t="str">
        <f>IF(AND(_3="A-320",'2026'!$M$4="FO",'2026'!$M$2=BD347),'2026DATA'!$M$30,"")</f>
        <v/>
      </c>
      <c r="BE375" s="520" t="str">
        <f>IF(AND(_3="A-320",'2026'!$M$4="FO",'2026'!$M$2=BE347),'2026DATA'!$N$30,"")</f>
        <v/>
      </c>
      <c r="BF375" s="940"/>
      <c r="BG375" s="13" t="s">
        <v>62</v>
      </c>
      <c r="BH375" s="518" t="str">
        <f>IF(AND(_4="A-320",'2026'!$M$4="FO",'2026'!$M$2=BH347),'2026DATA'!$C$30,"")</f>
        <v/>
      </c>
      <c r="BI375" s="518" t="str">
        <f>IF(AND(_4="A-320",'2026'!$M$4="FO",'2026'!$M$2=BI347),'2026DATA'!$D$30,"")</f>
        <v/>
      </c>
      <c r="BJ375" s="518" t="str">
        <f>IF(AND(_4="A-320",'2026'!$M$4="FO",'2026'!$M$2=BJ347),'2026DATA'!$E$30,"")</f>
        <v/>
      </c>
      <c r="BK375" s="518" t="str">
        <f>IF(AND(_4="A-320",'2026'!$M$4="FO",'2026'!$M$2=BK347),'2026DATA'!$F$30,"")</f>
        <v/>
      </c>
      <c r="BL375" s="518" t="str">
        <f>IF(AND(_4="A-320",'2026'!$M$4="FO",'2026'!$M$2=BL347),'2026DATA'!$G$30,"")</f>
        <v/>
      </c>
      <c r="BM375" s="518" t="str">
        <f>IF(AND(_4="A-320",'2026'!$M$4="FO",'2026'!$M$2=BM347),'2026DATA'!$H$30,"")</f>
        <v/>
      </c>
      <c r="BN375" s="518" t="str">
        <f>IF(AND(_4="A-320",'2026'!$M$4="FO",'2026'!$M$2=BN347),'2026DATA'!$I$30,"")</f>
        <v/>
      </c>
      <c r="BO375" s="518" t="str">
        <f>IF(AND(_4="A-320",'2026'!$M$4="FO",'2026'!$M$2=BO347),'2026DATA'!$J$30,"")</f>
        <v/>
      </c>
      <c r="BP375" s="518" t="str">
        <f>IF(AND(_4="A-320",'2026'!$M$4="FO",'2026'!$M$2=BP347),'2026DATA'!$K$30,"")</f>
        <v/>
      </c>
      <c r="BQ375" s="518" t="str">
        <f>IF(AND(_4="A-320",'2026'!$M$4="FO",'2026'!$M$2=BQ347),'2026DATA'!$L$30,"")</f>
        <v/>
      </c>
      <c r="BR375" s="518" t="str">
        <f>IF(AND(_4="A-320",'2026'!$M$4="FO",'2026'!$M$2=BR347),'2026DATA'!$M$30,"")</f>
        <v/>
      </c>
      <c r="BS375" s="520" t="str">
        <f>IF(AND(_4="A-320",'2026'!$M$4="FO",'2026'!$M$2=BS347),'2026DATA'!$N$30,"")</f>
        <v/>
      </c>
      <c r="BT375" s="940"/>
      <c r="BU375" s="13" t="s">
        <v>62</v>
      </c>
      <c r="BV375" s="518" t="str">
        <f>IF(AND(_5="A-320",'2026'!$M$4="FO",'2026'!$M$2=BV347),'2026DATA'!$C$30,"")</f>
        <v/>
      </c>
      <c r="BW375" s="518" t="str">
        <f>IF(AND(_5="A-320",'2026'!$M$4="FO",'2026'!$M$2=BW347),'2026DATA'!$D$30,"")</f>
        <v/>
      </c>
      <c r="BX375" s="518" t="str">
        <f>IF(AND(_5="A-320",'2026'!$M$4="FO",'2026'!$M$2=BX347),'2026DATA'!$E$30,"")</f>
        <v/>
      </c>
      <c r="BY375" s="518" t="str">
        <f>IF(AND(_5="A-320",'2026'!$M$4="FO",'2026'!$M$2=BY347),'2026DATA'!$F$30,"")</f>
        <v/>
      </c>
      <c r="BZ375" s="518" t="str">
        <f>IF(AND(_5="A-320",'2026'!$M$4="FO",'2026'!$M$2=BZ347),'2026DATA'!$G$30,"")</f>
        <v/>
      </c>
      <c r="CA375" s="518" t="str">
        <f>IF(AND(_5="A-320",'2026'!$M$4="FO",'2026'!$M$2=CA347),'2026DATA'!$H$30,"")</f>
        <v/>
      </c>
      <c r="CB375" s="518" t="str">
        <f>IF(AND(_5="A-320",'2026'!$M$4="FO",'2026'!$M$2=CB347),'2026DATA'!$I$30,"")</f>
        <v/>
      </c>
      <c r="CC375" s="518" t="str">
        <f>IF(AND(_5="A-320",'2026'!$M$4="FO",'2026'!$M$2=CC347),'2026DATA'!$J$30,"")</f>
        <v/>
      </c>
      <c r="CD375" s="518" t="str">
        <f>IF(AND(_5="A-320",'2026'!$M$4="FO",'2026'!$M$2=CD347),'2026DATA'!$K$30,"")</f>
        <v/>
      </c>
      <c r="CE375" s="518" t="str">
        <f>IF(AND(_5="A-320",'2026'!$M$4="FO",'2026'!$M$2=CE347),'2026DATA'!$L$30,"")</f>
        <v/>
      </c>
      <c r="CF375" s="518" t="str">
        <f>IF(AND(_5="A-320",'2026'!$M$4="FO",'2026'!$M$2=CF347),'2026DATA'!$M$30,"")</f>
        <v/>
      </c>
      <c r="CG375" s="520" t="str">
        <f>IF(AND(_5="A-320",'2026'!$M$4="FO",'2026'!$M$2=CG347),'2026DATA'!$N$30,"")</f>
        <v/>
      </c>
      <c r="CH375" s="940"/>
      <c r="CI375" s="13" t="s">
        <v>62</v>
      </c>
      <c r="CJ375" s="518" t="str">
        <f>IF(AND(_6="A-320",'2026'!$M$4="FO",'2026'!$M$2=CJ347),'2026DATA'!$C$30,"")</f>
        <v/>
      </c>
      <c r="CK375" s="518" t="str">
        <f>IF(AND(_6="A-320",'2026'!$M$4="FO",'2026'!$M$2=CK347),'2026DATA'!$D$30,"")</f>
        <v/>
      </c>
      <c r="CL375" s="518" t="str">
        <f>IF(AND(_6="A-320",'2026'!$M$4="FO",'2026'!$M$2=CL347),'2026DATA'!$E$30,"")</f>
        <v/>
      </c>
      <c r="CM375" s="518" t="str">
        <f>IF(AND(_6="A-320",'2026'!$M$4="FO",'2026'!$M$2=CM347),'2026DATA'!$F$30,"")</f>
        <v/>
      </c>
      <c r="CN375" s="518" t="str">
        <f>IF(AND(_6="A-320",'2026'!$M$4="FO",'2026'!$M$2=CN347),'2026DATA'!$G$30,"")</f>
        <v/>
      </c>
      <c r="CO375" s="518" t="str">
        <f>IF(AND(_6="A-320",'2026'!$M$4="FO",'2026'!$M$2=CO347),'2026DATA'!$H$30,"")</f>
        <v/>
      </c>
      <c r="CP375" s="518" t="str">
        <f>IF(AND(_6="A-320",'2026'!$M$4="FO",'2026'!$M$2=CP347),'2026DATA'!$I$30,"")</f>
        <v/>
      </c>
      <c r="CQ375" s="518" t="str">
        <f>IF(AND(_6="A-320",'2026'!$M$4="FO",'2026'!$M$2=CQ347),'2026DATA'!$J$30,"")</f>
        <v/>
      </c>
      <c r="CR375" s="518" t="str">
        <f>IF(AND(_6="A-320",'2026'!$M$4="FO",'2026'!$M$2=CR347),'2026DATA'!$K$30,"")</f>
        <v/>
      </c>
      <c r="CS375" s="518" t="str">
        <f>IF(AND(_6="A-320",'2026'!$M$4="FO",'2026'!$M$2=CS347),'2026DATA'!$L$30,"")</f>
        <v/>
      </c>
      <c r="CT375" s="518" t="str">
        <f>IF(AND(_6="A-320",'2026'!$M$4="FO",'2026'!$M$2=CT347),'2026DATA'!$M$30,"")</f>
        <v/>
      </c>
      <c r="CU375" s="520" t="str">
        <f>IF(AND(_6="A-320",'2026'!$M$4="FO",'2026'!$M$2=CU347),'2026DATA'!$N$30,"")</f>
        <v/>
      </c>
    </row>
    <row r="376" spans="16:99" x14ac:dyDescent="0.25">
      <c r="P376" s="940" t="s">
        <v>71</v>
      </c>
      <c r="Q376" s="13" t="s">
        <v>61</v>
      </c>
      <c r="R376" s="518" t="str">
        <f>IF(AND(_1="A-319",'2026'!$M$4="CA",'2026'!$M$2=R347),'2026DATA'!$C$31,"")</f>
        <v/>
      </c>
      <c r="S376" s="518" t="str">
        <f>IF(AND(_1="A-319",'2026'!$M$4="CA",'2026'!$M$2=S347),'2026DATA'!$D$31,"")</f>
        <v/>
      </c>
      <c r="T376" s="518" t="str">
        <f>IF(AND(_1="A-319",'2026'!$M$4="CA",'2026'!$M$2=T347),'2026DATA'!$E$31,"")</f>
        <v/>
      </c>
      <c r="U376" s="518" t="str">
        <f>IF(AND(_1="A-319",'2026'!$M$4="CA",'2026'!$M$2=U347),'2026DATA'!$F$31,"")</f>
        <v/>
      </c>
      <c r="V376" s="518" t="str">
        <f>IF(AND(_1="A-319",'2026'!$M$4="CA",'2026'!$M$2=V347),'2026DATA'!$G$31,"")</f>
        <v/>
      </c>
      <c r="W376" s="518" t="str">
        <f>IF(AND(_1="A-319",'2026'!$M$4="CA",'2026'!$M$2=W347),'2026DATA'!$H$31,"")</f>
        <v/>
      </c>
      <c r="X376" s="518" t="str">
        <f>IF(AND(_1="A-319",'2026'!$M$4="CA",'2026'!$M$2=X347),'2026DATA'!$I$31,"")</f>
        <v/>
      </c>
      <c r="Y376" s="518" t="str">
        <f>IF(AND(_1="A-319",'2026'!$M$4="CA",'2026'!$M$2=Y347),'2026DATA'!$J$31,"")</f>
        <v/>
      </c>
      <c r="Z376" s="518" t="str">
        <f>IF(AND(_1="A-319",'2026'!$M$4="CA",'2026'!$M$2=Z347),'2026DATA'!$K$31,"")</f>
        <v/>
      </c>
      <c r="AA376" s="518" t="str">
        <f>IF(AND(_1="A-319",'2026'!$M$4="CA",'2026'!$M$2=AA347),'2026DATA'!$L$31,"")</f>
        <v/>
      </c>
      <c r="AB376" s="518" t="str">
        <f>IF(AND(_1="A-319",'2026'!$M$4="CA",'2026'!$M$2=AB347),'2026DATA'!$M$31,"")</f>
        <v/>
      </c>
      <c r="AC376" s="520" t="str">
        <f>IF(AND(_1="A-319",'2026'!$M$4="CA",'2026'!$M$2=AC347),'2026DATA'!$N$31,"")</f>
        <v/>
      </c>
      <c r="AD376" s="940" t="s">
        <v>71</v>
      </c>
      <c r="AE376" s="13" t="s">
        <v>61</v>
      </c>
      <c r="AF376" s="518" t="str">
        <f>IF(AND(_2="A-319",'2026'!$M$4="CA",'2026'!$M$2=AF347),'2026DATA'!$C$31,"")</f>
        <v/>
      </c>
      <c r="AG376" s="518" t="str">
        <f>IF(AND(_2="A-319",'2026'!$M$4="CA",'2026'!$M$2=AG347),'2026DATA'!$D$31,"")</f>
        <v/>
      </c>
      <c r="AH376" s="518" t="str">
        <f>IF(AND(_2="A-319",'2026'!$M$4="CA",'2026'!$M$2=AH347),'2026DATA'!$E$31,"")</f>
        <v/>
      </c>
      <c r="AI376" s="518" t="str">
        <f>IF(AND(_2="A-319",'2026'!$M$4="CA",'2026'!$M$2=AI347),'2026DATA'!$F$31,"")</f>
        <v/>
      </c>
      <c r="AJ376" s="518" t="str">
        <f>IF(AND(_2="A-319",'2026'!$M$4="CA",'2026'!$M$2=AJ347),'2026DATA'!$G$31,"")</f>
        <v/>
      </c>
      <c r="AK376" s="518" t="str">
        <f>IF(AND(_2="A-319",'2026'!$M$4="CA",'2026'!$M$2=AK347),'2026DATA'!$H$31,"")</f>
        <v/>
      </c>
      <c r="AL376" s="518" t="str">
        <f>IF(AND(_2="A-319",'2026'!$M$4="CA",'2026'!$M$2=AL347),'2026DATA'!$I$31,"")</f>
        <v/>
      </c>
      <c r="AM376" s="518" t="str">
        <f>IF(AND(_2="A-319",'2026'!$M$4="CA",'2026'!$M$2=AM347),'2026DATA'!$J$31,"")</f>
        <v/>
      </c>
      <c r="AN376" s="518" t="str">
        <f>IF(AND(_2="A-319",'2026'!$M$4="CA",'2026'!$M$2=AN347),'2026DATA'!$K$31,"")</f>
        <v/>
      </c>
      <c r="AO376" s="518" t="str">
        <f>IF(AND(_2="A-319",'2026'!$M$4="CA",'2026'!$M$2=AO347),'2026DATA'!$L$31,"")</f>
        <v/>
      </c>
      <c r="AP376" s="518" t="str">
        <f>IF(AND(_2="A-319",'2026'!$M$4="CA",'2026'!$M$2=AP347),'2026DATA'!$M$31,"")</f>
        <v/>
      </c>
      <c r="AQ376" s="520" t="str">
        <f>IF(AND(_2="A-319",'2026'!$M$4="CA",'2026'!$M$2=AQ347),'2026DATA'!$N$31,"")</f>
        <v/>
      </c>
      <c r="AR376" s="940" t="s">
        <v>71</v>
      </c>
      <c r="AS376" s="13" t="s">
        <v>61</v>
      </c>
      <c r="AT376" s="518" t="str">
        <f>IF(AND(_3="A-319",'2026'!$M$4="CA",'2026'!$M$2=AT347),'2026DATA'!$C$31,"")</f>
        <v/>
      </c>
      <c r="AU376" s="518" t="str">
        <f>IF(AND(_3="A-319",'2026'!$M$4="CA",'2026'!$M$2=AU347),'2026DATA'!$D$31,"")</f>
        <v/>
      </c>
      <c r="AV376" s="518" t="str">
        <f>IF(AND(_3="A-319",'2026'!$M$4="CA",'2026'!$M$2=AV347),'2026DATA'!$E$31,"")</f>
        <v/>
      </c>
      <c r="AW376" s="518" t="str">
        <f>IF(AND(_3="A-319",'2026'!$M$4="CA",'2026'!$M$2=AW347),'2026DATA'!$F$31,"")</f>
        <v/>
      </c>
      <c r="AX376" s="518" t="str">
        <f>IF(AND(_3="A-319",'2026'!$M$4="CA",'2026'!$M$2=AX347),'2026DATA'!$G$31,"")</f>
        <v/>
      </c>
      <c r="AY376" s="518" t="str">
        <f>IF(AND(_3="A-319",'2026'!$M$4="CA",'2026'!$M$2=AY347),'2026DATA'!$H$31,"")</f>
        <v/>
      </c>
      <c r="AZ376" s="518" t="str">
        <f>IF(AND(_3="A-319",'2026'!$M$4="CA",'2026'!$M$2=AZ347),'2026DATA'!$I$31,"")</f>
        <v/>
      </c>
      <c r="BA376" s="518" t="str">
        <f>IF(AND(_3="A-319",'2026'!$M$4="CA",'2026'!$M$2=BA347),'2026DATA'!$J$31,"")</f>
        <v/>
      </c>
      <c r="BB376" s="518" t="str">
        <f>IF(AND(_3="A-319",'2026'!$M$4="CA",'2026'!$M$2=BB347),'2026DATA'!$K$31,"")</f>
        <v/>
      </c>
      <c r="BC376" s="518" t="str">
        <f>IF(AND(_3="A-319",'2026'!$M$4="CA",'2026'!$M$2=BC347),'2026DATA'!$L$31,"")</f>
        <v/>
      </c>
      <c r="BD376" s="518" t="str">
        <f>IF(AND(_3="A-319",'2026'!$M$4="CA",'2026'!$M$2=BD347),'2026DATA'!$M$31,"")</f>
        <v/>
      </c>
      <c r="BE376" s="520" t="str">
        <f>IF(AND(_3="A-319",'2026'!$M$4="CA",'2026'!$M$2=BE347),'2026DATA'!$N$31,"")</f>
        <v/>
      </c>
      <c r="BF376" s="940" t="s">
        <v>71</v>
      </c>
      <c r="BG376" s="13" t="s">
        <v>61</v>
      </c>
      <c r="BH376" s="518" t="str">
        <f>IF(AND(_4="A-319",'2026'!$M$4="CA",'2026'!$M$2=BH347),'2026DATA'!$C$31,"")</f>
        <v/>
      </c>
      <c r="BI376" s="518" t="str">
        <f>IF(AND(_4="A-319",'2026'!$M$4="CA",'2026'!$M$2=BI347),'2026DATA'!$D$31,"")</f>
        <v/>
      </c>
      <c r="BJ376" s="518" t="str">
        <f>IF(AND(_4="A-319",'2026'!$M$4="CA",'2026'!$M$2=BJ347),'2026DATA'!$E$31,"")</f>
        <v/>
      </c>
      <c r="BK376" s="518" t="str">
        <f>IF(AND(_4="A-319",'2026'!$M$4="CA",'2026'!$M$2=BK347),'2026DATA'!$F$31,"")</f>
        <v/>
      </c>
      <c r="BL376" s="518" t="str">
        <f>IF(AND(_4="A-319",'2026'!$M$4="CA",'2026'!$M$2=BL347),'2026DATA'!$G$31,"")</f>
        <v/>
      </c>
      <c r="BM376" s="518" t="str">
        <f>IF(AND(_4="A-319",'2026'!$M$4="CA",'2026'!$M$2=BM347),'2026DATA'!$H$31,"")</f>
        <v/>
      </c>
      <c r="BN376" s="518" t="str">
        <f>IF(AND(_4="A-319",'2026'!$M$4="CA",'2026'!$M$2=BN347),'2026DATA'!$I$31,"")</f>
        <v/>
      </c>
      <c r="BO376" s="518" t="str">
        <f>IF(AND(_4="A-319",'2026'!$M$4="CA",'2026'!$M$2=BO347),'2026DATA'!$J$31,"")</f>
        <v/>
      </c>
      <c r="BP376" s="518" t="str">
        <f>IF(AND(_4="A-319",'2026'!$M$4="CA",'2026'!$M$2=BP347),'2026DATA'!$K$31,"")</f>
        <v/>
      </c>
      <c r="BQ376" s="518" t="str">
        <f>IF(AND(_4="A-319",'2026'!$M$4="CA",'2026'!$M$2=BQ347),'2026DATA'!$L$31,"")</f>
        <v/>
      </c>
      <c r="BR376" s="518" t="str">
        <f>IF(AND(_4="A-319",'2026'!$M$4="CA",'2026'!$M$2=BR347),'2026DATA'!$M$31,"")</f>
        <v/>
      </c>
      <c r="BS376" s="520" t="str">
        <f>IF(AND(_4="A-319",'2026'!$M$4="CA",'2026'!$M$2=BS347),'2026DATA'!$N$31,"")</f>
        <v/>
      </c>
      <c r="BT376" s="940" t="s">
        <v>71</v>
      </c>
      <c r="BU376" s="13" t="s">
        <v>61</v>
      </c>
      <c r="BV376" s="518" t="str">
        <f>IF(AND(_5="A-319",'2026'!$M$4="CA",'2026'!$M$2=BV347),'2026DATA'!$C$31,"")</f>
        <v/>
      </c>
      <c r="BW376" s="518" t="str">
        <f>IF(AND(_5="A-319",'2026'!$M$4="CA",'2026'!$M$2=BW347),'2026DATA'!$D$31,"")</f>
        <v/>
      </c>
      <c r="BX376" s="518" t="str">
        <f>IF(AND(_5="A-319",'2026'!$M$4="CA",'2026'!$M$2=BX347),'2026DATA'!$E$31,"")</f>
        <v/>
      </c>
      <c r="BY376" s="518" t="str">
        <f>IF(AND(_5="A-319",'2026'!$M$4="CA",'2026'!$M$2=BY347),'2026DATA'!$F$31,"")</f>
        <v/>
      </c>
      <c r="BZ376" s="518" t="str">
        <f>IF(AND(_5="A-319",'2026'!$M$4="CA",'2026'!$M$2=BZ347),'2026DATA'!$G$31,"")</f>
        <v/>
      </c>
      <c r="CA376" s="518" t="str">
        <f>IF(AND(_5="A-319",'2026'!$M$4="CA",'2026'!$M$2=CA347),'2026DATA'!$H$31,"")</f>
        <v/>
      </c>
      <c r="CB376" s="518" t="str">
        <f>IF(AND(_5="A-319",'2026'!$M$4="CA",'2026'!$M$2=CB347),'2026DATA'!$I$31,"")</f>
        <v/>
      </c>
      <c r="CC376" s="518" t="str">
        <f>IF(AND(_5="A-319",'2026'!$M$4="CA",'2026'!$M$2=CC347),'2026DATA'!$J$31,"")</f>
        <v/>
      </c>
      <c r="CD376" s="518" t="str">
        <f>IF(AND(_5="A-319",'2026'!$M$4="CA",'2026'!$M$2=CD347),'2026DATA'!$K$31,"")</f>
        <v/>
      </c>
      <c r="CE376" s="518" t="str">
        <f>IF(AND(_5="A-319",'2026'!$M$4="CA",'2026'!$M$2=CE347),'2026DATA'!$L$31,"")</f>
        <v/>
      </c>
      <c r="CF376" s="518" t="str">
        <f>IF(AND(_5="A-319",'2026'!$M$4="CA",'2026'!$M$2=CF347),'2026DATA'!$M$31,"")</f>
        <v/>
      </c>
      <c r="CG376" s="520" t="str">
        <f>IF(AND(_5="A-319",'2026'!$M$4="CA",'2026'!$M$2=CG347),'2026DATA'!$N$31,"")</f>
        <v/>
      </c>
      <c r="CH376" s="940" t="s">
        <v>71</v>
      </c>
      <c r="CI376" s="13" t="s">
        <v>61</v>
      </c>
      <c r="CJ376" s="518" t="str">
        <f>IF(AND(_6="A-319",'2026'!$M$4="CA",'2026'!$M$2=CJ347),'2026DATA'!$C$31,"")</f>
        <v/>
      </c>
      <c r="CK376" s="518" t="str">
        <f>IF(AND(_6="A-319",'2026'!$M$4="CA",'2026'!$M$2=CK347),'2026DATA'!$D$31,"")</f>
        <v/>
      </c>
      <c r="CL376" s="518" t="str">
        <f>IF(AND(_6="A-319",'2026'!$M$4="CA",'2026'!$M$2=CL347),'2026DATA'!$E$31,"")</f>
        <v/>
      </c>
      <c r="CM376" s="518" t="str">
        <f>IF(AND(_6="A-319",'2026'!$M$4="CA",'2026'!$M$2=CM347),'2026DATA'!$F$31,"")</f>
        <v/>
      </c>
      <c r="CN376" s="518" t="str">
        <f>IF(AND(_6="A-319",'2026'!$M$4="CA",'2026'!$M$2=CN347),'2026DATA'!$G$31,"")</f>
        <v/>
      </c>
      <c r="CO376" s="518" t="str">
        <f>IF(AND(_6="A-319",'2026'!$M$4="CA",'2026'!$M$2=CO347),'2026DATA'!$H$31,"")</f>
        <v/>
      </c>
      <c r="CP376" s="518" t="str">
        <f>IF(AND(_6="A-319",'2026'!$M$4="CA",'2026'!$M$2=CP347),'2026DATA'!$I$31,"")</f>
        <v/>
      </c>
      <c r="CQ376" s="518" t="str">
        <f>IF(AND(_6="A-319",'2026'!$M$4="CA",'2026'!$M$2=CQ347),'2026DATA'!$J$31,"")</f>
        <v/>
      </c>
      <c r="CR376" s="518" t="str">
        <f>IF(AND(_6="A-319",'2026'!$M$4="CA",'2026'!$M$2=CR347),'2026DATA'!$K$31,"")</f>
        <v/>
      </c>
      <c r="CS376" s="518" t="str">
        <f>IF(AND(_6="A-319",'2026'!$M$4="CA",'2026'!$M$2=CS347),'2026DATA'!$L$31,"")</f>
        <v/>
      </c>
      <c r="CT376" s="518" t="str">
        <f>IF(AND(_6="A-319",'2026'!$M$4="CA",'2026'!$M$2=CT347),'2026DATA'!$M$31,"")</f>
        <v/>
      </c>
      <c r="CU376" s="520" t="str">
        <f>IF(AND(_6="A-319",'2026'!$M$4="CA",'2026'!$M$2=CU347),'2026DATA'!$N$31,"")</f>
        <v/>
      </c>
    </row>
    <row r="377" spans="16:99" x14ac:dyDescent="0.25">
      <c r="P377" s="940"/>
      <c r="Q377" s="13" t="s">
        <v>62</v>
      </c>
      <c r="R377" s="518" t="str">
        <f>IF(AND(_1="A-319",'2026'!$M$4="FO",'2026'!$M$2=R347),'2026DATA'!$C$32,"")</f>
        <v/>
      </c>
      <c r="S377" s="518" t="str">
        <f>IF(AND(_1="A-319",'2026'!$M$4="FO",'2026'!$M$2=S347),'2026DATA'!$D$32,"")</f>
        <v/>
      </c>
      <c r="T377" s="518" t="str">
        <f>IF(AND(_1="A-319",'2026'!$M$4="FO",'2026'!$M$2=T347),'2026DATA'!$E$32,"")</f>
        <v/>
      </c>
      <c r="U377" s="518" t="str">
        <f>IF(AND(_1="A-319",'2026'!$M$4="FO",'2026'!$M$2=U347),'2026DATA'!$F$32,"")</f>
        <v/>
      </c>
      <c r="V377" s="518" t="str">
        <f>IF(AND(_1="A-319",'2026'!$M$4="FO",'2026'!$M$2=V347),'2026DATA'!$G$32,"")</f>
        <v/>
      </c>
      <c r="W377" s="518" t="str">
        <f>IF(AND(_1="A-319",'2026'!$M$4="FO",'2026'!$M$2=W347),'2026DATA'!$H$32,"")</f>
        <v/>
      </c>
      <c r="X377" s="518" t="str">
        <f>IF(AND(_1="A-319",'2026'!$M$4="FO",'2026'!$M$2=X347),'2026DATA'!$I$32,"")</f>
        <v/>
      </c>
      <c r="Y377" s="518" t="str">
        <f>IF(AND(_1="A-319",'2026'!$M$4="FO",'2026'!$M$2=Y347),'2026DATA'!$J$32,"")</f>
        <v/>
      </c>
      <c r="Z377" s="518" t="str">
        <f>IF(AND(_1="A-319",'2026'!$M$4="FO",'2026'!$M$2=Z347),'2026DATA'!$K$32,"")</f>
        <v/>
      </c>
      <c r="AA377" s="518" t="str">
        <f>IF(AND(_1="A-319",'2026'!$M$4="FO",'2026'!$M$2=AA347),'2026DATA'!$L$32,"")</f>
        <v/>
      </c>
      <c r="AB377" s="518" t="str">
        <f>IF(AND(_1="A-319",'2026'!$M$4="FO",'2026'!$M$2=AB347),'2026DATA'!$M$32,"")</f>
        <v/>
      </c>
      <c r="AC377" s="520" t="str">
        <f>IF(AND(_1="A-319",'2026'!$M$4="FO",'2026'!$M$2=AC347),'2026DATA'!$N$32,"")</f>
        <v/>
      </c>
      <c r="AD377" s="940"/>
      <c r="AE377" s="13" t="s">
        <v>62</v>
      </c>
      <c r="AF377" s="518" t="str">
        <f>IF(AND(_2="A-319",'2026'!$M$4="FO",'2026'!$M$2=AF347),'2026DATA'!$C$32,"")</f>
        <v/>
      </c>
      <c r="AG377" s="518" t="str">
        <f>IF(AND(_2="A-319",'2026'!$M$4="FO",'2026'!$M$2=AG347),'2026DATA'!$D$32,"")</f>
        <v/>
      </c>
      <c r="AH377" s="518" t="str">
        <f>IF(AND(_2="A-319",'2026'!$M$4="FO",'2026'!$M$2=AH347),'2026DATA'!$E$32,"")</f>
        <v/>
      </c>
      <c r="AI377" s="518" t="str">
        <f>IF(AND(_2="A-319",'2026'!$M$4="FO",'2026'!$M$2=AI347),'2026DATA'!$F$32,"")</f>
        <v/>
      </c>
      <c r="AJ377" s="518" t="str">
        <f>IF(AND(_2="A-319",'2026'!$M$4="FO",'2026'!$M$2=AJ347),'2026DATA'!$G$32,"")</f>
        <v/>
      </c>
      <c r="AK377" s="518" t="str">
        <f>IF(AND(_2="A-319",'2026'!$M$4="FO",'2026'!$M$2=AK347),'2026DATA'!$H$32,"")</f>
        <v/>
      </c>
      <c r="AL377" s="518" t="str">
        <f>IF(AND(_2="A-319",'2026'!$M$4="FO",'2026'!$M$2=AL347),'2026DATA'!$I$32,"")</f>
        <v/>
      </c>
      <c r="AM377" s="518" t="str">
        <f>IF(AND(_2="A-319",'2026'!$M$4="FO",'2026'!$M$2=AM347),'2026DATA'!$J$32,"")</f>
        <v/>
      </c>
      <c r="AN377" s="518" t="str">
        <f>IF(AND(_2="A-319",'2026'!$M$4="FO",'2026'!$M$2=AN347),'2026DATA'!$K$32,"")</f>
        <v/>
      </c>
      <c r="AO377" s="518" t="str">
        <f>IF(AND(_2="A-319",'2026'!$M$4="FO",'2026'!$M$2=AO347),'2026DATA'!$L$32,"")</f>
        <v/>
      </c>
      <c r="AP377" s="518" t="str">
        <f>IF(AND(_2="A-319",'2026'!$M$4="FO",'2026'!$M$2=AP347),'2026DATA'!$M$32,"")</f>
        <v/>
      </c>
      <c r="AQ377" s="520" t="str">
        <f>IF(AND(_2="A-319",'2026'!$M$4="FO",'2026'!$M$2=AQ347),'2026DATA'!$N$32,"")</f>
        <v/>
      </c>
      <c r="AR377" s="940"/>
      <c r="AS377" s="13" t="s">
        <v>62</v>
      </c>
      <c r="AT377" s="518" t="str">
        <f>IF(AND(_3="A-319",'2026'!$M$4="FO",'2026'!$M$2=AT347),'2026DATA'!$C$32,"")</f>
        <v/>
      </c>
      <c r="AU377" s="518" t="str">
        <f>IF(AND(_3="A-319",'2026'!$M$4="FO",'2026'!$M$2=AU347),'2026DATA'!$D$32,"")</f>
        <v/>
      </c>
      <c r="AV377" s="518" t="str">
        <f>IF(AND(_3="A-319",'2026'!$M$4="FO",'2026'!$M$2=AV347),'2026DATA'!$E$32,"")</f>
        <v/>
      </c>
      <c r="AW377" s="518" t="str">
        <f>IF(AND(_3="A-319",'2026'!$M$4="FO",'2026'!$M$2=AW347),'2026DATA'!$F$32,"")</f>
        <v/>
      </c>
      <c r="AX377" s="518" t="str">
        <f>IF(AND(_3="A-319",'2026'!$M$4="FO",'2026'!$M$2=AX347),'2026DATA'!$G$32,"")</f>
        <v/>
      </c>
      <c r="AY377" s="518" t="str">
        <f>IF(AND(_3="A-319",'2026'!$M$4="FO",'2026'!$M$2=AY347),'2026DATA'!$H$32,"")</f>
        <v/>
      </c>
      <c r="AZ377" s="518" t="str">
        <f>IF(AND(_3="A-319",'2026'!$M$4="FO",'2026'!$M$2=AZ347),'2026DATA'!$I$32,"")</f>
        <v/>
      </c>
      <c r="BA377" s="518" t="str">
        <f>IF(AND(_3="A-319",'2026'!$M$4="FO",'2026'!$M$2=BA347),'2026DATA'!$J$32,"")</f>
        <v/>
      </c>
      <c r="BB377" s="518" t="str">
        <f>IF(AND(_3="A-319",'2026'!$M$4="FO",'2026'!$M$2=BB347),'2026DATA'!$K$32,"")</f>
        <v/>
      </c>
      <c r="BC377" s="518" t="str">
        <f>IF(AND(_3="A-319",'2026'!$M$4="FO",'2026'!$M$2=BC347),'2026DATA'!$L$32,"")</f>
        <v/>
      </c>
      <c r="BD377" s="518" t="str">
        <f>IF(AND(_3="A-319",'2026'!$M$4="FO",'2026'!$M$2=BD347),'2026DATA'!$M$32,"")</f>
        <v/>
      </c>
      <c r="BE377" s="520" t="str">
        <f>IF(AND(_3="A-319",'2026'!$M$4="FO",'2026'!$M$2=BE347),'2026DATA'!$N$32,"")</f>
        <v/>
      </c>
      <c r="BF377" s="940"/>
      <c r="BG377" s="13" t="s">
        <v>62</v>
      </c>
      <c r="BH377" s="518" t="str">
        <f>IF(AND(_4="A-319",'2026'!$M$4="FO",'2026'!$M$2=BH347),'2026DATA'!$C$32,"")</f>
        <v/>
      </c>
      <c r="BI377" s="518" t="str">
        <f>IF(AND(_4="A-319",'2026'!$M$4="FO",'2026'!$M$2=BI347),'2026DATA'!$D$32,"")</f>
        <v/>
      </c>
      <c r="BJ377" s="518" t="str">
        <f>IF(AND(_4="A-319",'2026'!$M$4="FO",'2026'!$M$2=BJ347),'2026DATA'!$E$32,"")</f>
        <v/>
      </c>
      <c r="BK377" s="518" t="str">
        <f>IF(AND(_4="A-319",'2026'!$M$4="FO",'2026'!$M$2=BK347),'2026DATA'!$F$32,"")</f>
        <v/>
      </c>
      <c r="BL377" s="518" t="str">
        <f>IF(AND(_4="A-319",'2026'!$M$4="FO",'2026'!$M$2=BL347),'2026DATA'!$G$32,"")</f>
        <v/>
      </c>
      <c r="BM377" s="518" t="str">
        <f>IF(AND(_4="A-319",'2026'!$M$4="FO",'2026'!$M$2=BM347),'2026DATA'!$H$32,"")</f>
        <v/>
      </c>
      <c r="BN377" s="518" t="str">
        <f>IF(AND(_4="A-319",'2026'!$M$4="FO",'2026'!$M$2=BN347),'2026DATA'!$I$32,"")</f>
        <v/>
      </c>
      <c r="BO377" s="518" t="str">
        <f>IF(AND(_4="A-319",'2026'!$M$4="FO",'2026'!$M$2=BO347),'2026DATA'!$J$32,"")</f>
        <v/>
      </c>
      <c r="BP377" s="518" t="str">
        <f>IF(AND(_4="A-319",'2026'!$M$4="FO",'2026'!$M$2=BP347),'2026DATA'!$K$32,"")</f>
        <v/>
      </c>
      <c r="BQ377" s="518" t="str">
        <f>IF(AND(_4="A-319",'2026'!$M$4="FO",'2026'!$M$2=BQ347),'2026DATA'!$L$32,"")</f>
        <v/>
      </c>
      <c r="BR377" s="518" t="str">
        <f>IF(AND(_4="A-319",'2026'!$M$4="FO",'2026'!$M$2=BR347),'2026DATA'!$M$32,"")</f>
        <v/>
      </c>
      <c r="BS377" s="520" t="str">
        <f>IF(AND(_4="A-319",'2026'!$M$4="FO",'2026'!$M$2=BS347),'2026DATA'!$N$32,"")</f>
        <v/>
      </c>
      <c r="BT377" s="940"/>
      <c r="BU377" s="13" t="s">
        <v>62</v>
      </c>
      <c r="BV377" s="518" t="str">
        <f>IF(AND(_5="A-319",'2026'!$M$4="FO",'2026'!$M$2=BV347),'2026DATA'!$C$32,"")</f>
        <v/>
      </c>
      <c r="BW377" s="518" t="str">
        <f>IF(AND(_5="A-319",'2026'!$M$4="FO",'2026'!$M$2=BW347),'2026DATA'!$D$32,"")</f>
        <v/>
      </c>
      <c r="BX377" s="518" t="str">
        <f>IF(AND(_5="A-319",'2026'!$M$4="FO",'2026'!$M$2=BX347),'2026DATA'!$E$32,"")</f>
        <v/>
      </c>
      <c r="BY377" s="518" t="str">
        <f>IF(AND(_5="A-319",'2026'!$M$4="FO",'2026'!$M$2=BY347),'2026DATA'!$F$32,"")</f>
        <v/>
      </c>
      <c r="BZ377" s="518" t="str">
        <f>IF(AND(_5="A-319",'2026'!$M$4="FO",'2026'!$M$2=BZ347),'2026DATA'!$G$32,"")</f>
        <v/>
      </c>
      <c r="CA377" s="518" t="str">
        <f>IF(AND(_5="A-319",'2026'!$M$4="FO",'2026'!$M$2=CA347),'2026DATA'!$H$32,"")</f>
        <v/>
      </c>
      <c r="CB377" s="518" t="str">
        <f>IF(AND(_5="A-319",'2026'!$M$4="FO",'2026'!$M$2=CB347),'2026DATA'!$I$32,"")</f>
        <v/>
      </c>
      <c r="CC377" s="518" t="str">
        <f>IF(AND(_5="A-319",'2026'!$M$4="FO",'2026'!$M$2=CC347),'2026DATA'!$J$32,"")</f>
        <v/>
      </c>
      <c r="CD377" s="518" t="str">
        <f>IF(AND(_5="A-319",'2026'!$M$4="FO",'2026'!$M$2=CD347),'2026DATA'!$K$32,"")</f>
        <v/>
      </c>
      <c r="CE377" s="518" t="str">
        <f>IF(AND(_5="A-319",'2026'!$M$4="FO",'2026'!$M$2=CE347),'2026DATA'!$L$32,"")</f>
        <v/>
      </c>
      <c r="CF377" s="518" t="str">
        <f>IF(AND(_5="A-319",'2026'!$M$4="FO",'2026'!$M$2=CF347),'2026DATA'!$M$32,"")</f>
        <v/>
      </c>
      <c r="CG377" s="520" t="str">
        <f>IF(AND(_5="A-319",'2026'!$M$4="FO",'2026'!$M$2=CG347),'2026DATA'!$N$32,"")</f>
        <v/>
      </c>
      <c r="CH377" s="940"/>
      <c r="CI377" s="13" t="s">
        <v>62</v>
      </c>
      <c r="CJ377" s="518" t="str">
        <f>IF(AND(_6="A-319",'2026'!$M$4="FO",'2026'!$M$2=CJ347),'2026DATA'!$C$32,"")</f>
        <v/>
      </c>
      <c r="CK377" s="518" t="str">
        <f>IF(AND(_6="A-319",'2026'!$M$4="FO",'2026'!$M$2=CK347),'2026DATA'!$D$32,"")</f>
        <v/>
      </c>
      <c r="CL377" s="518" t="str">
        <f>IF(AND(_6="A-319",'2026'!$M$4="FO",'2026'!$M$2=CL347),'2026DATA'!$E$32,"")</f>
        <v/>
      </c>
      <c r="CM377" s="518" t="str">
        <f>IF(AND(_6="A-319",'2026'!$M$4="FO",'2026'!$M$2=CM347),'2026DATA'!$F$32,"")</f>
        <v/>
      </c>
      <c r="CN377" s="518" t="str">
        <f>IF(AND(_6="A-319",'2026'!$M$4="FO",'2026'!$M$2=CN347),'2026DATA'!$G$32,"")</f>
        <v/>
      </c>
      <c r="CO377" s="518" t="str">
        <f>IF(AND(_6="A-319",'2026'!$M$4="FO",'2026'!$M$2=CO347),'2026DATA'!$H$32,"")</f>
        <v/>
      </c>
      <c r="CP377" s="518" t="str">
        <f>IF(AND(_6="A-319",'2026'!$M$4="FO",'2026'!$M$2=CP347),'2026DATA'!$I$32,"")</f>
        <v/>
      </c>
      <c r="CQ377" s="518" t="str">
        <f>IF(AND(_6="A-319",'2026'!$M$4="FO",'2026'!$M$2=CQ347),'2026DATA'!$J$32,"")</f>
        <v/>
      </c>
      <c r="CR377" s="518" t="str">
        <f>IF(AND(_6="A-319",'2026'!$M$4="FO",'2026'!$M$2=CR347),'2026DATA'!$K$32,"")</f>
        <v/>
      </c>
      <c r="CS377" s="518" t="str">
        <f>IF(AND(_6="A-319",'2026'!$M$4="FO",'2026'!$M$2=CS347),'2026DATA'!$L$32,"")</f>
        <v/>
      </c>
      <c r="CT377" s="518" t="str">
        <f>IF(AND(_6="A-319",'2026'!$M$4="FO",'2026'!$M$2=CT347),'2026DATA'!$M$32,"")</f>
        <v/>
      </c>
      <c r="CU377" s="520" t="str">
        <f>IF(AND(_6="A-319",'2026'!$M$4="FO",'2026'!$M$2=CU347),'2026DATA'!$N$32,"")</f>
        <v/>
      </c>
    </row>
    <row r="378" spans="16:99" x14ac:dyDescent="0.25">
      <c r="P378" s="940" t="s">
        <v>51</v>
      </c>
      <c r="Q378" s="13" t="s">
        <v>61</v>
      </c>
      <c r="R378" s="518" t="str">
        <f>IF(AND(_1="A-220-300",'2026'!$M$4="CA",'2026'!$M$2=R347),'2026DATA'!$C$33,"")</f>
        <v/>
      </c>
      <c r="S378" s="518" t="str">
        <f>IF(AND(_1="A-220-300",'2026'!$M$4="CA",'2026'!$M$2=S347),'2026DATA'!$D$33,"")</f>
        <v/>
      </c>
      <c r="T378" s="518" t="str">
        <f>IF(AND(_1="A-220-300",'2026'!$M$4="CA",'2026'!$M$2=T347),'2026DATA'!$E$33,"")</f>
        <v/>
      </c>
      <c r="U378" s="518" t="str">
        <f>IF(AND(_1="A-220-300",'2026'!$M$4="CA",'2026'!$M$2=U347),'2026DATA'!$F$33,"")</f>
        <v/>
      </c>
      <c r="V378" s="518" t="str">
        <f>IF(AND(_1="A-220-300",'2026'!$M$4="CA",'2026'!$M$2=V347),'2026DATA'!$G$33,"")</f>
        <v/>
      </c>
      <c r="W378" s="518" t="str">
        <f>IF(AND(_1="A-220-300",'2026'!$M$4="CA",'2026'!$M$2=W347),'2026DATA'!$H$33,"")</f>
        <v/>
      </c>
      <c r="X378" s="518" t="str">
        <f>IF(AND(_1="A-220-300",'2026'!$M$4="CA",'2026'!$M$2=X347),'2026DATA'!$I$33,"")</f>
        <v/>
      </c>
      <c r="Y378" s="518" t="str">
        <f>IF(AND(_1="A-220-300",'2026'!$M$4="CA",'2026'!$M$2=Y347),'2026DATA'!$J$33,"")</f>
        <v/>
      </c>
      <c r="Z378" s="518" t="str">
        <f>IF(AND(_1="A-220-300",'2026'!$M$4="CA",'2026'!$M$2=Z347),'2026DATA'!$K$33,"")</f>
        <v/>
      </c>
      <c r="AA378" s="518" t="str">
        <f>IF(AND(_1="A-220-300",'2026'!$M$4="CA",'2026'!$M$2=AA347),'2026DATA'!$L$33,"")</f>
        <v/>
      </c>
      <c r="AB378" s="518" t="str">
        <f>IF(AND(_1="A-220-300",'2026'!$M$4="CA",'2026'!$M$2=AB347),'2026DATA'!$M$33,"")</f>
        <v/>
      </c>
      <c r="AC378" s="520" t="str">
        <f>IF(AND(_1="A-220-300",'2026'!$M$4="CA",'2026'!$M$2=AC347),'2026DATA'!$N$33,"")</f>
        <v/>
      </c>
      <c r="AD378" s="940" t="s">
        <v>51</v>
      </c>
      <c r="AE378" s="13" t="s">
        <v>61</v>
      </c>
      <c r="AF378" s="518" t="str">
        <f>IF(AND(_2="A-220-300",'2026'!$M$4="CA",'2026'!$M$2=AF347),'2026DATA'!$C$33,"")</f>
        <v/>
      </c>
      <c r="AG378" s="518" t="str">
        <f>IF(AND(_2="A-220-300",'2026'!$M$4="CA",'2026'!$M$2=AG347),'2026DATA'!$D$33,"")</f>
        <v/>
      </c>
      <c r="AH378" s="518" t="str">
        <f>IF(AND(_2="A-220-300",'2026'!$M$4="CA",'2026'!$M$2=AH347),'2026DATA'!$E$33,"")</f>
        <v/>
      </c>
      <c r="AI378" s="518" t="str">
        <f>IF(AND(_2="A-220-300",'2026'!$M$4="CA",'2026'!$M$2=AI347),'2026DATA'!$F$33,"")</f>
        <v/>
      </c>
      <c r="AJ378" s="518" t="str">
        <f>IF(AND(_2="A-220-300",'2026'!$M$4="CA",'2026'!$M$2=AJ347),'2026DATA'!$G$33,"")</f>
        <v/>
      </c>
      <c r="AK378" s="518" t="str">
        <f>IF(AND(_2="A-220-300",'2026'!$M$4="CA",'2026'!$M$2=AK347),'2026DATA'!$H$33,"")</f>
        <v/>
      </c>
      <c r="AL378" s="518" t="str">
        <f>IF(AND(_2="A-220-300",'2026'!$M$4="CA",'2026'!$M$2=AL347),'2026DATA'!$I$33,"")</f>
        <v/>
      </c>
      <c r="AM378" s="518" t="str">
        <f>IF(AND(_2="A-220-300",'2026'!$M$4="CA",'2026'!$M$2=AM347),'2026DATA'!$J$33,"")</f>
        <v/>
      </c>
      <c r="AN378" s="518" t="str">
        <f>IF(AND(_2="A-220-300",'2026'!$M$4="CA",'2026'!$M$2=AN347),'2026DATA'!$K$33,"")</f>
        <v/>
      </c>
      <c r="AO378" s="518" t="str">
        <f>IF(AND(_2="A-220-300",'2026'!$M$4="CA",'2026'!$M$2=AO347),'2026DATA'!$L$33,"")</f>
        <v/>
      </c>
      <c r="AP378" s="518" t="str">
        <f>IF(AND(_2="A-220-300",'2026'!$M$4="CA",'2026'!$M$2=AP347),'2026DATA'!$M$33,"")</f>
        <v/>
      </c>
      <c r="AQ378" s="520" t="str">
        <f>IF(AND(_2="A-220-300",'2026'!$M$4="CA",'2026'!$M$2=AQ347),'2026DATA'!$N$33,"")</f>
        <v/>
      </c>
      <c r="AR378" s="940" t="s">
        <v>51</v>
      </c>
      <c r="AS378" s="13" t="s">
        <v>61</v>
      </c>
      <c r="AT378" s="518" t="str">
        <f>IF(AND(_3="A-220-300",'2026'!$M$4="CA",'2026'!$M$2=AT347),'2026DATA'!$C$33,"")</f>
        <v/>
      </c>
      <c r="AU378" s="518" t="str">
        <f>IF(AND(_3="A-220-300",'2026'!$M$4="CA",'2026'!$M$2=AU347),'2026DATA'!$D$33,"")</f>
        <v/>
      </c>
      <c r="AV378" s="518" t="str">
        <f>IF(AND(_3="A-220-300",'2026'!$M$4="CA",'2026'!$M$2=AV347),'2026DATA'!$E$33,"")</f>
        <v/>
      </c>
      <c r="AW378" s="518" t="str">
        <f>IF(AND(_3="A-220-300",'2026'!$M$4="CA",'2026'!$M$2=AW347),'2026DATA'!$F$33,"")</f>
        <v/>
      </c>
      <c r="AX378" s="518" t="str">
        <f>IF(AND(_3="A-220-300",'2026'!$M$4="CA",'2026'!$M$2=AX347),'2026DATA'!$G$33,"")</f>
        <v/>
      </c>
      <c r="AY378" s="518" t="str">
        <f>IF(AND(_3="A-220-300",'2026'!$M$4="CA",'2026'!$M$2=AY347),'2026DATA'!$H$33,"")</f>
        <v/>
      </c>
      <c r="AZ378" s="518" t="str">
        <f>IF(AND(_3="A-220-300",'2026'!$M$4="CA",'2026'!$M$2=AZ347),'2026DATA'!$I$33,"")</f>
        <v/>
      </c>
      <c r="BA378" s="518" t="str">
        <f>IF(AND(_3="A-220-300",'2026'!$M$4="CA",'2026'!$M$2=BA347),'2026DATA'!$J$33,"")</f>
        <v/>
      </c>
      <c r="BB378" s="518" t="str">
        <f>IF(AND(_3="A-220-300",'2026'!$M$4="CA",'2026'!$M$2=BB347),'2026DATA'!$K$33,"")</f>
        <v/>
      </c>
      <c r="BC378" s="518" t="str">
        <f>IF(AND(_3="A-220-300",'2026'!$M$4="CA",'2026'!$M$2=BC347),'2026DATA'!$L$33,"")</f>
        <v/>
      </c>
      <c r="BD378" s="518" t="str">
        <f>IF(AND(_3="A-220-300",'2026'!$M$4="CA",'2026'!$M$2=BD347),'2026DATA'!$M$33,"")</f>
        <v/>
      </c>
      <c r="BE378" s="520" t="str">
        <f>IF(AND(_3="A-220-300",'2026'!$M$4="CA",'2026'!$M$2=BE347),'2026DATA'!$N$33,"")</f>
        <v/>
      </c>
      <c r="BF378" s="940" t="s">
        <v>51</v>
      </c>
      <c r="BG378" s="13" t="s">
        <v>61</v>
      </c>
      <c r="BH378" s="518" t="str">
        <f>IF(AND(_4="A-220-300",'2026'!$M$4="CA",'2026'!$M$2=BH347),'2026DATA'!$C$33,"")</f>
        <v/>
      </c>
      <c r="BI378" s="518" t="str">
        <f>IF(AND(_4="A-220-300",'2026'!$M$4="CA",'2026'!$M$2=BI347),'2026DATA'!$D$33,"")</f>
        <v/>
      </c>
      <c r="BJ378" s="518" t="str">
        <f>IF(AND(_4="A-220-300",'2026'!$M$4="CA",'2026'!$M$2=BJ347),'2026DATA'!$E$33,"")</f>
        <v/>
      </c>
      <c r="BK378" s="518" t="str">
        <f>IF(AND(_4="A-220-300",'2026'!$M$4="CA",'2026'!$M$2=BK347),'2026DATA'!$F$33,"")</f>
        <v/>
      </c>
      <c r="BL378" s="518" t="str">
        <f>IF(AND(_4="A-220-300",'2026'!$M$4="CA",'2026'!$M$2=BL347),'2026DATA'!$G$33,"")</f>
        <v/>
      </c>
      <c r="BM378" s="518" t="str">
        <f>IF(AND(_4="A-220-300",'2026'!$M$4="CA",'2026'!$M$2=BM347),'2026DATA'!$H$33,"")</f>
        <v/>
      </c>
      <c r="BN378" s="518" t="str">
        <f>IF(AND(_4="A-220-300",'2026'!$M$4="CA",'2026'!$M$2=BN347),'2026DATA'!$I$33,"")</f>
        <v/>
      </c>
      <c r="BO378" s="518" t="str">
        <f>IF(AND(_4="A-220-300",'2026'!$M$4="CA",'2026'!$M$2=BO347),'2026DATA'!$J$33,"")</f>
        <v/>
      </c>
      <c r="BP378" s="518" t="str">
        <f>IF(AND(_4="A-220-300",'2026'!$M$4="CA",'2026'!$M$2=BP347),'2026DATA'!$K$33,"")</f>
        <v/>
      </c>
      <c r="BQ378" s="518" t="str">
        <f>IF(AND(_4="A-220-300",'2026'!$M$4="CA",'2026'!$M$2=BQ347),'2026DATA'!$L$33,"")</f>
        <v/>
      </c>
      <c r="BR378" s="518" t="str">
        <f>IF(AND(_4="A-220-300",'2026'!$M$4="CA",'2026'!$M$2=BR347),'2026DATA'!$M$33,"")</f>
        <v/>
      </c>
      <c r="BS378" s="520" t="str">
        <f>IF(AND(_4="A-220-300",'2026'!$M$4="CA",'2026'!$M$2=BS347),'2026DATA'!$N$33,"")</f>
        <v/>
      </c>
      <c r="BT378" s="940" t="s">
        <v>51</v>
      </c>
      <c r="BU378" s="13" t="s">
        <v>61</v>
      </c>
      <c r="BV378" s="518" t="str">
        <f>IF(AND(_5="A-220-300",'2026'!$M$4="CA",'2026'!$M$2=BV347),'2026DATA'!$C$33,"")</f>
        <v/>
      </c>
      <c r="BW378" s="518" t="str">
        <f>IF(AND(_5="A-220-300",'2026'!$M$4="CA",'2026'!$M$2=BW347),'2026DATA'!$D$33,"")</f>
        <v/>
      </c>
      <c r="BX378" s="518" t="str">
        <f>IF(AND(_5="A-220-300",'2026'!$M$4="CA",'2026'!$M$2=BX347),'2026DATA'!$E$33,"")</f>
        <v/>
      </c>
      <c r="BY378" s="518" t="str">
        <f>IF(AND(_5="A-220-300",'2026'!$M$4="CA",'2026'!$M$2=BY347),'2026DATA'!$F$33,"")</f>
        <v/>
      </c>
      <c r="BZ378" s="518" t="str">
        <f>IF(AND(_5="A-220-300",'2026'!$M$4="CA",'2026'!$M$2=BZ347),'2026DATA'!$G$33,"")</f>
        <v/>
      </c>
      <c r="CA378" s="518" t="str">
        <f>IF(AND(_5="A-220-300",'2026'!$M$4="CA",'2026'!$M$2=CA347),'2026DATA'!$H$33,"")</f>
        <v/>
      </c>
      <c r="CB378" s="518" t="str">
        <f>IF(AND(_5="A-220-300",'2026'!$M$4="CA",'2026'!$M$2=CB347),'2026DATA'!$I$33,"")</f>
        <v/>
      </c>
      <c r="CC378" s="518" t="str">
        <f>IF(AND(_5="A-220-300",'2026'!$M$4="CA",'2026'!$M$2=CC347),'2026DATA'!$J$33,"")</f>
        <v/>
      </c>
      <c r="CD378" s="518" t="str">
        <f>IF(AND(_5="A-220-300",'2026'!$M$4="CA",'2026'!$M$2=CD347),'2026DATA'!$K$33,"")</f>
        <v/>
      </c>
      <c r="CE378" s="518" t="str">
        <f>IF(AND(_5="A-220-300",'2026'!$M$4="CA",'2026'!$M$2=CE347),'2026DATA'!$L$33,"")</f>
        <v/>
      </c>
      <c r="CF378" s="518" t="str">
        <f>IF(AND(_5="A-220-300",'2026'!$M$4="CA",'2026'!$M$2=CF347),'2026DATA'!$M$33,"")</f>
        <v/>
      </c>
      <c r="CG378" s="520" t="str">
        <f>IF(AND(_5="A-220-300",'2026'!$M$4="CA",'2026'!$M$2=CG347),'2026DATA'!$N$33,"")</f>
        <v/>
      </c>
      <c r="CH378" s="940" t="s">
        <v>51</v>
      </c>
      <c r="CI378" s="13" t="s">
        <v>61</v>
      </c>
      <c r="CJ378" s="518" t="str">
        <f>IF(AND(_6="A-220-300",'2026'!$M$4="CA",'2026'!$M$2=CJ347),'2026DATA'!$C$33,"")</f>
        <v/>
      </c>
      <c r="CK378" s="518" t="str">
        <f>IF(AND(_6="A-220-300",'2026'!$M$4="CA",'2026'!$M$2=CK347),'2026DATA'!$D$33,"")</f>
        <v/>
      </c>
      <c r="CL378" s="518" t="str">
        <f>IF(AND(_6="A-220-300",'2026'!$M$4="CA",'2026'!$M$2=CL347),'2026DATA'!$E$33,"")</f>
        <v/>
      </c>
      <c r="CM378" s="518" t="str">
        <f>IF(AND(_6="A-220-300",'2026'!$M$4="CA",'2026'!$M$2=CM347),'2026DATA'!$F$33,"")</f>
        <v/>
      </c>
      <c r="CN378" s="518" t="str">
        <f>IF(AND(_6="A-220-300",'2026'!$M$4="CA",'2026'!$M$2=CN347),'2026DATA'!$G$33,"")</f>
        <v/>
      </c>
      <c r="CO378" s="518" t="str">
        <f>IF(AND(_6="A-220-300",'2026'!$M$4="CA",'2026'!$M$2=CO347),'2026DATA'!$H$33,"")</f>
        <v/>
      </c>
      <c r="CP378" s="518" t="str">
        <f>IF(AND(_6="A-220-300",'2026'!$M$4="CA",'2026'!$M$2=CP347),'2026DATA'!$I$33,"")</f>
        <v/>
      </c>
      <c r="CQ378" s="518" t="str">
        <f>IF(AND(_6="A-220-300",'2026'!$M$4="CA",'2026'!$M$2=CQ347),'2026DATA'!$J$33,"")</f>
        <v/>
      </c>
      <c r="CR378" s="518" t="str">
        <f>IF(AND(_6="A-220-300",'2026'!$M$4="CA",'2026'!$M$2=CR347),'2026DATA'!$K$33,"")</f>
        <v/>
      </c>
      <c r="CS378" s="518" t="str">
        <f>IF(AND(_6="A-220-300",'2026'!$M$4="CA",'2026'!$M$2=CS347),'2026DATA'!$L$33,"")</f>
        <v/>
      </c>
      <c r="CT378" s="518" t="str">
        <f>IF(AND(_6="A-220-300",'2026'!$M$4="CA",'2026'!$M$2=CT347),'2026DATA'!$M$33,"")</f>
        <v/>
      </c>
      <c r="CU378" s="520" t="str">
        <f>IF(AND(_6="A-220-300",'2026'!$M$4="CA",'2026'!$M$2=CU347),'2026DATA'!$N$33,"")</f>
        <v/>
      </c>
    </row>
    <row r="379" spans="16:99" x14ac:dyDescent="0.25">
      <c r="P379" s="940"/>
      <c r="Q379" s="13" t="s">
        <v>62</v>
      </c>
      <c r="R379" s="518" t="str">
        <f>IF(AND(_1="A-220-300",'2026'!$M$4="FO",'2026'!$M$2=R347),'2026DATA'!$C$34,"")</f>
        <v/>
      </c>
      <c r="S379" s="518" t="str">
        <f>IF(AND(_1="A-220-300",'2026'!$M$4="FO",'2026'!$M$2=S347),'2026DATA'!$D$34,"")</f>
        <v/>
      </c>
      <c r="T379" s="518" t="str">
        <f>IF(AND(_1="A-220-300",'2026'!$M$4="FO",'2026'!$M$2=T347),'2026DATA'!$E$34,"")</f>
        <v/>
      </c>
      <c r="U379" s="518" t="str">
        <f>IF(AND(_1="A-220-300",'2026'!$M$4="FO",'2026'!$M$2=U347),'2026DATA'!$F$34,"")</f>
        <v/>
      </c>
      <c r="V379" s="518" t="str">
        <f>IF(AND(_1="A-220-300",'2026'!$M$4="FO",'2026'!$M$2=V347),'2026DATA'!$G$34,"")</f>
        <v/>
      </c>
      <c r="W379" s="518" t="str">
        <f>IF(AND(_1="A-220-300",'2026'!$M$4="FO",'2026'!$M$2=W347),'2026DATA'!$H$34,"")</f>
        <v/>
      </c>
      <c r="X379" s="518" t="str">
        <f>IF(AND(_1="A-220-300",'2026'!$M$4="FO",'2026'!$M$2=X347),'2026DATA'!$I$34,"")</f>
        <v/>
      </c>
      <c r="Y379" s="518" t="str">
        <f>IF(AND(_1="A-220-300",'2026'!$M$4="FO",'2026'!$M$2=Y347),'2026DATA'!$J$34,"")</f>
        <v/>
      </c>
      <c r="Z379" s="518" t="str">
        <f>IF(AND(_1="A-220-300",'2026'!$M$4="FO",'2026'!$M$2=Z347),'2026DATA'!$K$34,"")</f>
        <v/>
      </c>
      <c r="AA379" s="518" t="str">
        <f>IF(AND(_1="A-220-300",'2026'!$M$4="FO",'2026'!$M$2=AA347),'2026DATA'!$L$34,"")</f>
        <v/>
      </c>
      <c r="AB379" s="518" t="str">
        <f>IF(AND(_1="A-220-300",'2026'!$M$4="FO",'2026'!$M$2=AB347),'2026DATA'!$M$34,"")</f>
        <v/>
      </c>
      <c r="AC379" s="520" t="str">
        <f>IF(AND(_1="A-220-300",'2026'!$M$4="FO",'2026'!$M$2=AC347),'2026DATA'!$N$34,"")</f>
        <v/>
      </c>
      <c r="AD379" s="940"/>
      <c r="AE379" s="13" t="s">
        <v>62</v>
      </c>
      <c r="AF379" s="518" t="str">
        <f>IF(AND(_2="A-220-300",'2026'!$M$4="FO",'2026'!$M$2=AF347),'2026DATA'!$C$34,"")</f>
        <v/>
      </c>
      <c r="AG379" s="518" t="str">
        <f>IF(AND(_2="A-220-300",'2026'!$M$4="FO",'2026'!$M$2=AG347),'2026DATA'!$D$34,"")</f>
        <v/>
      </c>
      <c r="AH379" s="518" t="str">
        <f>IF(AND(_2="A-220-300",'2026'!$M$4="FO",'2026'!$M$2=AH347),'2026DATA'!$E$34,"")</f>
        <v/>
      </c>
      <c r="AI379" s="518" t="str">
        <f>IF(AND(_2="A-220-300",'2026'!$M$4="FO",'2026'!$M$2=AI347),'2026DATA'!$F$34,"")</f>
        <v/>
      </c>
      <c r="AJ379" s="518" t="str">
        <f>IF(AND(_2="A-220-300",'2026'!$M$4="FO",'2026'!$M$2=AJ347),'2026DATA'!$G$34,"")</f>
        <v/>
      </c>
      <c r="AK379" s="518" t="str">
        <f>IF(AND(_2="A-220-300",'2026'!$M$4="FO",'2026'!$M$2=AK347),'2026DATA'!$H$34,"")</f>
        <v/>
      </c>
      <c r="AL379" s="518" t="str">
        <f>IF(AND(_2="A-220-300",'2026'!$M$4="FO",'2026'!$M$2=AL347),'2026DATA'!$I$34,"")</f>
        <v/>
      </c>
      <c r="AM379" s="518" t="str">
        <f>IF(AND(_2="A-220-300",'2026'!$M$4="FO",'2026'!$M$2=AM347),'2026DATA'!$J$34,"")</f>
        <v/>
      </c>
      <c r="AN379" s="518" t="str">
        <f>IF(AND(_2="A-220-300",'2026'!$M$4="FO",'2026'!$M$2=AN347),'2026DATA'!$K$34,"")</f>
        <v/>
      </c>
      <c r="AO379" s="518" t="str">
        <f>IF(AND(_2="A-220-300",'2026'!$M$4="FO",'2026'!$M$2=AO347),'2026DATA'!$L$34,"")</f>
        <v/>
      </c>
      <c r="AP379" s="518" t="str">
        <f>IF(AND(_2="A-220-300",'2026'!$M$4="FO",'2026'!$M$2=AP347),'2026DATA'!$M$34,"")</f>
        <v/>
      </c>
      <c r="AQ379" s="520" t="str">
        <f>IF(AND(_2="A-220-300",'2026'!$M$4="FO",'2026'!$M$2=AQ347),'2026DATA'!$N$34,"")</f>
        <v/>
      </c>
      <c r="AR379" s="940"/>
      <c r="AS379" s="13" t="s">
        <v>62</v>
      </c>
      <c r="AT379" s="518" t="str">
        <f>IF(AND(_3="A-220-300",'2026'!$M$4="FO",'2026'!$M$2=AT347),'2026DATA'!$C$34,"")</f>
        <v/>
      </c>
      <c r="AU379" s="518" t="str">
        <f>IF(AND(_3="A-220-300",'2026'!$M$4="FO",'2026'!$M$2=AU347),'2026DATA'!$D$34,"")</f>
        <v/>
      </c>
      <c r="AV379" s="518" t="str">
        <f>IF(AND(_3="A-220-300",'2026'!$M$4="FO",'2026'!$M$2=AV347),'2026DATA'!$E$34,"")</f>
        <v/>
      </c>
      <c r="AW379" s="518" t="str">
        <f>IF(AND(_3="A-220-300",'2026'!$M$4="FO",'2026'!$M$2=AW347),'2026DATA'!$F$34,"")</f>
        <v/>
      </c>
      <c r="AX379" s="518" t="str">
        <f>IF(AND(_3="A-220-300",'2026'!$M$4="FO",'2026'!$M$2=AX347),'2026DATA'!$G$34,"")</f>
        <v/>
      </c>
      <c r="AY379" s="518" t="str">
        <f>IF(AND(_3="A-220-300",'2026'!$M$4="FO",'2026'!$M$2=AY347),'2026DATA'!$H$34,"")</f>
        <v/>
      </c>
      <c r="AZ379" s="518" t="str">
        <f>IF(AND(_3="A-220-300",'2026'!$M$4="FO",'2026'!$M$2=AZ347),'2026DATA'!$I$34,"")</f>
        <v/>
      </c>
      <c r="BA379" s="518" t="str">
        <f>IF(AND(_3="A-220-300",'2026'!$M$4="FO",'2026'!$M$2=BA347),'2026DATA'!$J$34,"")</f>
        <v/>
      </c>
      <c r="BB379" s="518" t="str">
        <f>IF(AND(_3="A-220-300",'2026'!$M$4="FO",'2026'!$M$2=BB347),'2026DATA'!$K$34,"")</f>
        <v/>
      </c>
      <c r="BC379" s="518" t="str">
        <f>IF(AND(_3="A-220-300",'2026'!$M$4="FO",'2026'!$M$2=BC347),'2026DATA'!$L$34,"")</f>
        <v/>
      </c>
      <c r="BD379" s="518" t="str">
        <f>IF(AND(_3="A-220-300",'2026'!$M$4="FO",'2026'!$M$2=BD347),'2026DATA'!$M$34,"")</f>
        <v/>
      </c>
      <c r="BE379" s="520" t="str">
        <f>IF(AND(_3="A-220-300",'2026'!$M$4="FO",'2026'!$M$2=BE347),'2026DATA'!$N$34,"")</f>
        <v/>
      </c>
      <c r="BF379" s="940"/>
      <c r="BG379" s="13" t="s">
        <v>62</v>
      </c>
      <c r="BH379" s="518" t="str">
        <f>IF(AND(_4="A-220-300",'2026'!$M$4="FO",'2026'!$M$2=BH347),'2026DATA'!$C$34,"")</f>
        <v/>
      </c>
      <c r="BI379" s="518" t="str">
        <f>IF(AND(_4="A-220-300",'2026'!$M$4="FO",'2026'!$M$2=BI347),'2026DATA'!$D$34,"")</f>
        <v/>
      </c>
      <c r="BJ379" s="518" t="str">
        <f>IF(AND(_4="A-220-300",'2026'!$M$4="FO",'2026'!$M$2=BJ347),'2026DATA'!$E$34,"")</f>
        <v/>
      </c>
      <c r="BK379" s="518" t="str">
        <f>IF(AND(_4="A-220-300",'2026'!$M$4="FO",'2026'!$M$2=BK347),'2026DATA'!$F$34,"")</f>
        <v/>
      </c>
      <c r="BL379" s="518" t="str">
        <f>IF(AND(_4="A-220-300",'2026'!$M$4="FO",'2026'!$M$2=BL347),'2026DATA'!$G$34,"")</f>
        <v/>
      </c>
      <c r="BM379" s="518" t="str">
        <f>IF(AND(_4="A-220-300",'2026'!$M$4="FO",'2026'!$M$2=BM347),'2026DATA'!$H$34,"")</f>
        <v/>
      </c>
      <c r="BN379" s="518" t="str">
        <f>IF(AND(_4="A-220-300",'2026'!$M$4="FO",'2026'!$M$2=BN347),'2026DATA'!$I$34,"")</f>
        <v/>
      </c>
      <c r="BO379" s="518" t="str">
        <f>IF(AND(_4="A-220-300",'2026'!$M$4="FO",'2026'!$M$2=BO347),'2026DATA'!$J$34,"")</f>
        <v/>
      </c>
      <c r="BP379" s="518" t="str">
        <f>IF(AND(_4="A-220-300",'2026'!$M$4="FO",'2026'!$M$2=BP347),'2026DATA'!$K$34,"")</f>
        <v/>
      </c>
      <c r="BQ379" s="518" t="str">
        <f>IF(AND(_4="A-220-300",'2026'!$M$4="FO",'2026'!$M$2=BQ347),'2026DATA'!$L$34,"")</f>
        <v/>
      </c>
      <c r="BR379" s="518" t="str">
        <f>IF(AND(_4="A-220-300",'2026'!$M$4="FO",'2026'!$M$2=BR347),'2026DATA'!$M$34,"")</f>
        <v/>
      </c>
      <c r="BS379" s="520" t="str">
        <f>IF(AND(_4="A-220-300",'2026'!$M$4="FO",'2026'!$M$2=BS347),'2026DATA'!$N$34,"")</f>
        <v/>
      </c>
      <c r="BT379" s="940"/>
      <c r="BU379" s="13" t="s">
        <v>62</v>
      </c>
      <c r="BV379" s="518" t="str">
        <f>IF(AND(_5="A-220-300",'2026'!$M$4="FO",'2026'!$M$2=BV347),'2026DATA'!$C$34,"")</f>
        <v/>
      </c>
      <c r="BW379" s="518" t="str">
        <f>IF(AND(_5="A-220-300",'2026'!$M$4="FO",'2026'!$M$2=BW347),'2026DATA'!$D$34,"")</f>
        <v/>
      </c>
      <c r="BX379" s="518" t="str">
        <f>IF(AND(_5="A-220-300",'2026'!$M$4="FO",'2026'!$M$2=BX347),'2026DATA'!$E$34,"")</f>
        <v/>
      </c>
      <c r="BY379" s="518" t="str">
        <f>IF(AND(_5="A-220-300",'2026'!$M$4="FO",'2026'!$M$2=BY347),'2026DATA'!$F$34,"")</f>
        <v/>
      </c>
      <c r="BZ379" s="518" t="str">
        <f>IF(AND(_5="A-220-300",'2026'!$M$4="FO",'2026'!$M$2=BZ347),'2026DATA'!$G$34,"")</f>
        <v/>
      </c>
      <c r="CA379" s="518" t="str">
        <f>IF(AND(_5="A-220-300",'2026'!$M$4="FO",'2026'!$M$2=CA347),'2026DATA'!$H$34,"")</f>
        <v/>
      </c>
      <c r="CB379" s="518" t="str">
        <f>IF(AND(_5="A-220-300",'2026'!$M$4="FO",'2026'!$M$2=CB347),'2026DATA'!$I$34,"")</f>
        <v/>
      </c>
      <c r="CC379" s="518" t="str">
        <f>IF(AND(_5="A-220-300",'2026'!$M$4="FO",'2026'!$M$2=CC347),'2026DATA'!$J$34,"")</f>
        <v/>
      </c>
      <c r="CD379" s="518" t="str">
        <f>IF(AND(_5="A-220-300",'2026'!$M$4="FO",'2026'!$M$2=CD347),'2026DATA'!$K$34,"")</f>
        <v/>
      </c>
      <c r="CE379" s="518" t="str">
        <f>IF(AND(_5="A-220-300",'2026'!$M$4="FO",'2026'!$M$2=CE347),'2026DATA'!$L$34,"")</f>
        <v/>
      </c>
      <c r="CF379" s="518" t="str">
        <f>IF(AND(_5="A-220-300",'2026'!$M$4="FO",'2026'!$M$2=CF347),'2026DATA'!$M$34,"")</f>
        <v/>
      </c>
      <c r="CG379" s="520" t="str">
        <f>IF(AND(_5="A-220-300",'2026'!$M$4="FO",'2026'!$M$2=CG347),'2026DATA'!$N$34,"")</f>
        <v/>
      </c>
      <c r="CH379" s="940"/>
      <c r="CI379" s="13" t="s">
        <v>62</v>
      </c>
      <c r="CJ379" s="518" t="str">
        <f>IF(AND(_6="A-220-300",'2026'!$M$4="FO",'2026'!$M$2=CJ347),'2026DATA'!$C$34,"")</f>
        <v/>
      </c>
      <c r="CK379" s="518" t="str">
        <f>IF(AND(_6="A-220-300",'2026'!$M$4="FO",'2026'!$M$2=CK347),'2026DATA'!$D$34,"")</f>
        <v/>
      </c>
      <c r="CL379" s="518" t="str">
        <f>IF(AND(_6="A-220-300",'2026'!$M$4="FO",'2026'!$M$2=CL347),'2026DATA'!$E$34,"")</f>
        <v/>
      </c>
      <c r="CM379" s="518" t="str">
        <f>IF(AND(_6="A-220-300",'2026'!$M$4="FO",'2026'!$M$2=CM347),'2026DATA'!$F$34,"")</f>
        <v/>
      </c>
      <c r="CN379" s="518" t="str">
        <f>IF(AND(_6="A-220-300",'2026'!$M$4="FO",'2026'!$M$2=CN347),'2026DATA'!$G$34,"")</f>
        <v/>
      </c>
      <c r="CO379" s="518" t="str">
        <f>IF(AND(_6="A-220-300",'2026'!$M$4="FO",'2026'!$M$2=CO347),'2026DATA'!$H$34,"")</f>
        <v/>
      </c>
      <c r="CP379" s="518" t="str">
        <f>IF(AND(_6="A-220-300",'2026'!$M$4="FO",'2026'!$M$2=CP347),'2026DATA'!$I$34,"")</f>
        <v/>
      </c>
      <c r="CQ379" s="518" t="str">
        <f>IF(AND(_6="A-220-300",'2026'!$M$4="FO",'2026'!$M$2=CQ347),'2026DATA'!$J$34,"")</f>
        <v/>
      </c>
      <c r="CR379" s="518" t="str">
        <f>IF(AND(_6="A-220-300",'2026'!$M$4="FO",'2026'!$M$2=CR347),'2026DATA'!$K$34,"")</f>
        <v/>
      </c>
      <c r="CS379" s="518" t="str">
        <f>IF(AND(_6="A-220-300",'2026'!$M$4="FO",'2026'!$M$2=CS347),'2026DATA'!$L$34,"")</f>
        <v/>
      </c>
      <c r="CT379" s="518" t="str">
        <f>IF(AND(_6="A-220-300",'2026'!$M$4="FO",'2026'!$M$2=CT347),'2026DATA'!$M$34,"")</f>
        <v/>
      </c>
      <c r="CU379" s="520" t="str">
        <f>IF(AND(_6="A-220-300",'2026'!$M$4="FO",'2026'!$M$2=CU347),'2026DATA'!$N$34,"")</f>
        <v/>
      </c>
    </row>
    <row r="380" spans="16:99" x14ac:dyDescent="0.25">
      <c r="P380" s="940" t="s">
        <v>52</v>
      </c>
      <c r="Q380" s="13" t="s">
        <v>61</v>
      </c>
      <c r="R380" s="518" t="str">
        <f>IF(AND(_1="A-220-100",'2026'!$M$4="CA",'2026'!$M$2=R347),'2026DATA'!$C$35,"")</f>
        <v/>
      </c>
      <c r="S380" s="518" t="str">
        <f>IF(AND(_1="A-220-100",'2026'!$M$4="CA",'2026'!$M$2=S347),'2026DATA'!$D$35,"")</f>
        <v/>
      </c>
      <c r="T380" s="518" t="str">
        <f>IF(AND(_1="A-220-100",'2026'!$M$4="CA",'2026'!$M$2=T347),'2026DATA'!$E$35,"")</f>
        <v/>
      </c>
      <c r="U380" s="518" t="str">
        <f>IF(AND(_1="A-220-100",'2026'!$M$4="CA",'2026'!$M$2=U347),'2026DATA'!$F$35,"")</f>
        <v/>
      </c>
      <c r="V380" s="518" t="str">
        <f>IF(AND(_1="A-220-100",'2026'!$M$4="CA",'2026'!$M$2=V347),'2026DATA'!$G$35,"")</f>
        <v/>
      </c>
      <c r="W380" s="518" t="str">
        <f>IF(AND(_1="A-220-100",'2026'!$M$4="CA",'2026'!$M$2=W347),'2026DATA'!$H$35,"")</f>
        <v/>
      </c>
      <c r="X380" s="518" t="str">
        <f>IF(AND(_1="A-220-100",'2026'!$M$4="CA",'2026'!$M$2=X347),'2026DATA'!$I$35,"")</f>
        <v/>
      </c>
      <c r="Y380" s="518" t="str">
        <f>IF(AND(_1="A-220-100",'2026'!$M$4="CA",'2026'!$M$2=Y347),'2026DATA'!$J$35,"")</f>
        <v/>
      </c>
      <c r="Z380" s="518" t="str">
        <f>IF(AND(_1="A-220-100",'2026'!$M$4="CA",'2026'!$M$2=Z347),'2026DATA'!$K$35,"")</f>
        <v/>
      </c>
      <c r="AA380" s="518" t="str">
        <f>IF(AND(_1="A-220-100",'2026'!$M$4="CA",'2026'!$M$2=AA347),'2026DATA'!$L$35,"")</f>
        <v/>
      </c>
      <c r="AB380" s="518" t="str">
        <f>IF(AND(_1="A-220-100",'2026'!$M$4="CA",'2026'!$M$2=AB347),'2026DATA'!$M$35,"")</f>
        <v/>
      </c>
      <c r="AC380" s="520" t="str">
        <f>IF(AND(_1="A-220-100",'2026'!$M$4="CA",'2026'!$M$2=AC347),'2026DATA'!$N$35,"")</f>
        <v/>
      </c>
      <c r="AD380" s="940" t="s">
        <v>52</v>
      </c>
      <c r="AE380" s="13" t="s">
        <v>61</v>
      </c>
      <c r="AF380" s="518" t="str">
        <f>IF(AND(_2="A-220-100",'2026'!$M$4="CA",'2026'!$M$2=AF347),'2026DATA'!$C$35,"")</f>
        <v/>
      </c>
      <c r="AG380" s="518" t="str">
        <f>IF(AND(_2="A-220-100",'2026'!$M$4="CA",'2026'!$M$2=AG347),'2026DATA'!$D$35,"")</f>
        <v/>
      </c>
      <c r="AH380" s="518" t="str">
        <f>IF(AND(_2="A-220-100",'2026'!$M$4="CA",'2026'!$M$2=AH347),'2026DATA'!$E$35,"")</f>
        <v/>
      </c>
      <c r="AI380" s="518" t="str">
        <f>IF(AND(_2="A-220-100",'2026'!$M$4="CA",'2026'!$M$2=AI347),'2026DATA'!$F$35,"")</f>
        <v/>
      </c>
      <c r="AJ380" s="518" t="str">
        <f>IF(AND(_2="A-220-100",'2026'!$M$4="CA",'2026'!$M$2=AJ347),'2026DATA'!$G$35,"")</f>
        <v/>
      </c>
      <c r="AK380" s="518" t="str">
        <f>IF(AND(_2="A-220-100",'2026'!$M$4="CA",'2026'!$M$2=AK347),'2026DATA'!$H$35,"")</f>
        <v/>
      </c>
      <c r="AL380" s="518" t="str">
        <f>IF(AND(_2="A-220-100",'2026'!$M$4="CA",'2026'!$M$2=AL347),'2026DATA'!$I$35,"")</f>
        <v/>
      </c>
      <c r="AM380" s="518" t="str">
        <f>IF(AND(_2="A-220-100",'2026'!$M$4="CA",'2026'!$M$2=AM347),'2026DATA'!$J$35,"")</f>
        <v/>
      </c>
      <c r="AN380" s="518" t="str">
        <f>IF(AND(_2="A-220-100",'2026'!$M$4="CA",'2026'!$M$2=AN347),'2026DATA'!$K$35,"")</f>
        <v/>
      </c>
      <c r="AO380" s="518" t="str">
        <f>IF(AND(_2="A-220-100",'2026'!$M$4="CA",'2026'!$M$2=AO347),'2026DATA'!$L$35,"")</f>
        <v/>
      </c>
      <c r="AP380" s="518" t="str">
        <f>IF(AND(_2="A-220-100",'2026'!$M$4="CA",'2026'!$M$2=AP347),'2026DATA'!$M$35,"")</f>
        <v/>
      </c>
      <c r="AQ380" s="520" t="str">
        <f>IF(AND(_2="A-220-100",'2026'!$M$4="CA",'2026'!$M$2=AQ347),'2026DATA'!$N$35,"")</f>
        <v/>
      </c>
      <c r="AR380" s="940" t="s">
        <v>52</v>
      </c>
      <c r="AS380" s="13" t="s">
        <v>61</v>
      </c>
      <c r="AT380" s="518" t="str">
        <f>IF(AND(_3="A-220-100",'2026'!$M$4="CA",'2026'!$M$2=AT347),'2026DATA'!$C$35,"")</f>
        <v/>
      </c>
      <c r="AU380" s="518" t="str">
        <f>IF(AND(_3="A-220-100",'2026'!$M$4="CA",'2026'!$M$2=AU347),'2026DATA'!$D$35,"")</f>
        <v/>
      </c>
      <c r="AV380" s="518" t="str">
        <f>IF(AND(_3="A-220-100",'2026'!$M$4="CA",'2026'!$M$2=AV347),'2026DATA'!$E$35,"")</f>
        <v/>
      </c>
      <c r="AW380" s="518" t="str">
        <f>IF(AND(_3="A-220-100",'2026'!$M$4="CA",'2026'!$M$2=AW347),'2026DATA'!$F$35,"")</f>
        <v/>
      </c>
      <c r="AX380" s="518" t="str">
        <f>IF(AND(_3="A-220-100",'2026'!$M$4="CA",'2026'!$M$2=AX347),'2026DATA'!$G$35,"")</f>
        <v/>
      </c>
      <c r="AY380" s="518" t="str">
        <f>IF(AND(_3="A-220-100",'2026'!$M$4="CA",'2026'!$M$2=AY347),'2026DATA'!$H$35,"")</f>
        <v/>
      </c>
      <c r="AZ380" s="518" t="str">
        <f>IF(AND(_3="A-220-100",'2026'!$M$4="CA",'2026'!$M$2=AZ347),'2026DATA'!$I$35,"")</f>
        <v/>
      </c>
      <c r="BA380" s="518" t="str">
        <f>IF(AND(_3="A-220-100",'2026'!$M$4="CA",'2026'!$M$2=BA347),'2026DATA'!$J$35,"")</f>
        <v/>
      </c>
      <c r="BB380" s="518" t="str">
        <f>IF(AND(_3="A-220-100",'2026'!$M$4="CA",'2026'!$M$2=BB347),'2026DATA'!$K$35,"")</f>
        <v/>
      </c>
      <c r="BC380" s="518" t="str">
        <f>IF(AND(_3="A-220-100",'2026'!$M$4="CA",'2026'!$M$2=BC347),'2026DATA'!$L$35,"")</f>
        <v/>
      </c>
      <c r="BD380" s="518" t="str">
        <f>IF(AND(_3="A-220-100",'2026'!$M$4="CA",'2026'!$M$2=BD347),'2026DATA'!$M$35,"")</f>
        <v/>
      </c>
      <c r="BE380" s="520" t="str">
        <f>IF(AND(_3="A-220-100",'2026'!$M$4="CA",'2026'!$M$2=BE347),'2026DATA'!$N$35,"")</f>
        <v/>
      </c>
      <c r="BF380" s="940" t="s">
        <v>52</v>
      </c>
      <c r="BG380" s="13" t="s">
        <v>61</v>
      </c>
      <c r="BH380" s="518" t="str">
        <f>IF(AND(_4="A-220-100",'2026'!$M$4="CA",'2026'!$M$2=BH347),'2026DATA'!$C$35,"")</f>
        <v/>
      </c>
      <c r="BI380" s="518" t="str">
        <f>IF(AND(_4="A-220-100",'2026'!$M$4="CA",'2026'!$M$2=BI347),'2026DATA'!$D$35,"")</f>
        <v/>
      </c>
      <c r="BJ380" s="518" t="str">
        <f>IF(AND(_4="A-220-100",'2026'!$M$4="CA",'2026'!$M$2=BJ347),'2026DATA'!$E$35,"")</f>
        <v/>
      </c>
      <c r="BK380" s="518" t="str">
        <f>IF(AND(_4="A-220-100",'2026'!$M$4="CA",'2026'!$M$2=BK347),'2026DATA'!$F$35,"")</f>
        <v/>
      </c>
      <c r="BL380" s="518" t="str">
        <f>IF(AND(_4="A-220-100",'2026'!$M$4="CA",'2026'!$M$2=BL347),'2026DATA'!$G$35,"")</f>
        <v/>
      </c>
      <c r="BM380" s="518" t="str">
        <f>IF(AND(_4="A-220-100",'2026'!$M$4="CA",'2026'!$M$2=BM347),'2026DATA'!$H$35,"")</f>
        <v/>
      </c>
      <c r="BN380" s="518" t="str">
        <f>IF(AND(_4="A-220-100",'2026'!$M$4="CA",'2026'!$M$2=BN347),'2026DATA'!$I$35,"")</f>
        <v/>
      </c>
      <c r="BO380" s="518" t="str">
        <f>IF(AND(_4="A-220-100",'2026'!$M$4="CA",'2026'!$M$2=BO347),'2026DATA'!$J$35,"")</f>
        <v/>
      </c>
      <c r="BP380" s="518" t="str">
        <f>IF(AND(_4="A-220-100",'2026'!$M$4="CA",'2026'!$M$2=BP347),'2026DATA'!$K$35,"")</f>
        <v/>
      </c>
      <c r="BQ380" s="518" t="str">
        <f>IF(AND(_4="A-220-100",'2026'!$M$4="CA",'2026'!$M$2=BQ347),'2026DATA'!$L$35,"")</f>
        <v/>
      </c>
      <c r="BR380" s="518" t="str">
        <f>IF(AND(_4="A-220-100",'2026'!$M$4="CA",'2026'!$M$2=BR347),'2026DATA'!$M$35,"")</f>
        <v/>
      </c>
      <c r="BS380" s="520" t="str">
        <f>IF(AND(_4="A-220-100",'2026'!$M$4="CA",'2026'!$M$2=BS347),'2026DATA'!$N$35,"")</f>
        <v/>
      </c>
      <c r="BT380" s="940" t="s">
        <v>52</v>
      </c>
      <c r="BU380" s="13" t="s">
        <v>61</v>
      </c>
      <c r="BV380" s="518" t="str">
        <f>IF(AND(_5="A-220-100",'2026'!$M$4="CA",'2026'!$M$2=BV347),'2026DATA'!$C$35,"")</f>
        <v/>
      </c>
      <c r="BW380" s="518" t="str">
        <f>IF(AND(_5="A-220-100",'2026'!$M$4="CA",'2026'!$M$2=BW347),'2026DATA'!$D$35,"")</f>
        <v/>
      </c>
      <c r="BX380" s="518" t="str">
        <f>IF(AND(_5="A-220-100",'2026'!$M$4="CA",'2026'!$M$2=BX347),'2026DATA'!$E$35,"")</f>
        <v/>
      </c>
      <c r="BY380" s="518" t="str">
        <f>IF(AND(_5="A-220-100",'2026'!$M$4="CA",'2026'!$M$2=BY347),'2026DATA'!$F$35,"")</f>
        <v/>
      </c>
      <c r="BZ380" s="518" t="str">
        <f>IF(AND(_5="A-220-100",'2026'!$M$4="CA",'2026'!$M$2=BZ347),'2026DATA'!$G$35,"")</f>
        <v/>
      </c>
      <c r="CA380" s="518" t="str">
        <f>IF(AND(_5="A-220-100",'2026'!$M$4="CA",'2026'!$M$2=CA347),'2026DATA'!$H$35,"")</f>
        <v/>
      </c>
      <c r="CB380" s="518" t="str">
        <f>IF(AND(_5="A-220-100",'2026'!$M$4="CA",'2026'!$M$2=CB347),'2026DATA'!$I$35,"")</f>
        <v/>
      </c>
      <c r="CC380" s="518" t="str">
        <f>IF(AND(_5="A-220-100",'2026'!$M$4="CA",'2026'!$M$2=CC347),'2026DATA'!$J$35,"")</f>
        <v/>
      </c>
      <c r="CD380" s="518" t="str">
        <f>IF(AND(_5="A-220-100",'2026'!$M$4="CA",'2026'!$M$2=CD347),'2026DATA'!$K$35,"")</f>
        <v/>
      </c>
      <c r="CE380" s="518" t="str">
        <f>IF(AND(_5="A-220-100",'2026'!$M$4="CA",'2026'!$M$2=CE347),'2026DATA'!$L$35,"")</f>
        <v/>
      </c>
      <c r="CF380" s="518" t="str">
        <f>IF(AND(_5="A-220-100",'2026'!$M$4="CA",'2026'!$M$2=CF347),'2026DATA'!$M$35,"")</f>
        <v/>
      </c>
      <c r="CG380" s="520" t="str">
        <f>IF(AND(_5="A-220-100",'2026'!$M$4="CA",'2026'!$M$2=CG347),'2026DATA'!$N$35,"")</f>
        <v/>
      </c>
      <c r="CH380" s="940" t="s">
        <v>52</v>
      </c>
      <c r="CI380" s="13" t="s">
        <v>61</v>
      </c>
      <c r="CJ380" s="518" t="str">
        <f>IF(AND(_6="A-220-100",'2026'!$M$4="CA",'2026'!$M$2=CJ347),'2026DATA'!$C$35,"")</f>
        <v/>
      </c>
      <c r="CK380" s="518" t="str">
        <f>IF(AND(_6="A-220-100",'2026'!$M$4="CA",'2026'!$M$2=CK347),'2026DATA'!$D$35,"")</f>
        <v/>
      </c>
      <c r="CL380" s="518" t="str">
        <f>IF(AND(_6="A-220-100",'2026'!$M$4="CA",'2026'!$M$2=CL347),'2026DATA'!$E$35,"")</f>
        <v/>
      </c>
      <c r="CM380" s="518" t="str">
        <f>IF(AND(_6="A-220-100",'2026'!$M$4="CA",'2026'!$M$2=CM347),'2026DATA'!$F$35,"")</f>
        <v/>
      </c>
      <c r="CN380" s="518" t="str">
        <f>IF(AND(_6="A-220-100",'2026'!$M$4="CA",'2026'!$M$2=CN347),'2026DATA'!$G$35,"")</f>
        <v/>
      </c>
      <c r="CO380" s="518" t="str">
        <f>IF(AND(_6="A-220-100",'2026'!$M$4="CA",'2026'!$M$2=CO347),'2026DATA'!$H$35,"")</f>
        <v/>
      </c>
      <c r="CP380" s="518" t="str">
        <f>IF(AND(_6="A-220-100",'2026'!$M$4="CA",'2026'!$M$2=CP347),'2026DATA'!$I$35,"")</f>
        <v/>
      </c>
      <c r="CQ380" s="518" t="str">
        <f>IF(AND(_6="A-220-100",'2026'!$M$4="CA",'2026'!$M$2=CQ347),'2026DATA'!$J$35,"")</f>
        <v/>
      </c>
      <c r="CR380" s="518" t="str">
        <f>IF(AND(_6="A-220-100",'2026'!$M$4="CA",'2026'!$M$2=CR347),'2026DATA'!$K$35,"")</f>
        <v/>
      </c>
      <c r="CS380" s="518" t="str">
        <f>IF(AND(_6="A-220-100",'2026'!$M$4="CA",'2026'!$M$2=CS347),'2026DATA'!$L$35,"")</f>
        <v/>
      </c>
      <c r="CT380" s="518" t="str">
        <f>IF(AND(_6="A-220-100",'2026'!$M$4="CA",'2026'!$M$2=CT347),'2026DATA'!$M$35,"")</f>
        <v/>
      </c>
      <c r="CU380" s="520" t="str">
        <f>IF(AND(_6="A-220-100",'2026'!$M$4="CA",'2026'!$M$2=CU347),'2026DATA'!$N$35,"")</f>
        <v/>
      </c>
    </row>
    <row r="381" spans="16:99" x14ac:dyDescent="0.25">
      <c r="P381" s="940"/>
      <c r="Q381" s="13" t="s">
        <v>62</v>
      </c>
      <c r="R381" s="518" t="str">
        <f>IF(AND(_1="A-220-100",'2026'!$M$4="FO",'2026'!$M$2=R347),'2026DATA'!$C$36,"")</f>
        <v/>
      </c>
      <c r="S381" s="518" t="str">
        <f>IF(AND(_1="A-220-100",'2026'!$M$4="FO",'2026'!$M$2=S347),'2026DATA'!$D$36,"")</f>
        <v/>
      </c>
      <c r="T381" s="518" t="str">
        <f>IF(AND(_1="A-220-100",'2026'!$M$4="FO",'2026'!$M$2=T347),'2026DATA'!$E$36,"")</f>
        <v/>
      </c>
      <c r="U381" s="518" t="str">
        <f>IF(AND(_1="A-220-100",'2026'!$M$4="FO",'2026'!$M$2=U347),'2026DATA'!$F$36,"")</f>
        <v/>
      </c>
      <c r="V381" s="518" t="str">
        <f>IF(AND(_1="A-220-100",'2026'!$M$4="FO",'2026'!$M$2=V347),'2026DATA'!$G$36,"")</f>
        <v/>
      </c>
      <c r="W381" s="518" t="str">
        <f>IF(AND(_1="A-220-100",'2026'!$M$4="FO",'2026'!$M$2=W347),'2026DATA'!$H$36,"")</f>
        <v/>
      </c>
      <c r="X381" s="518" t="str">
        <f>IF(AND(_1="A-220-100",'2026'!$M$4="FO",'2026'!$M$2=X347),'2026DATA'!$I$36,"")</f>
        <v/>
      </c>
      <c r="Y381" s="518" t="str">
        <f>IF(AND(_1="A-220-100",'2026'!$M$4="FO",'2026'!$M$2=Y347),'2026DATA'!$J$36,"")</f>
        <v/>
      </c>
      <c r="Z381" s="518" t="str">
        <f>IF(AND(_1="A-220-100",'2026'!$M$4="FO",'2026'!$M$2=Z347),'2026DATA'!$K$36,"")</f>
        <v/>
      </c>
      <c r="AA381" s="518" t="str">
        <f>IF(AND(_1="A-220-100",'2026'!$M$4="FO",'2026'!$M$2=AA347),'2026DATA'!$L$36,"")</f>
        <v/>
      </c>
      <c r="AB381" s="518" t="str">
        <f>IF(AND(_1="A-220-100",'2026'!$M$4="FO",'2026'!$M$2=AB347),'2026DATA'!$M$36,"")</f>
        <v/>
      </c>
      <c r="AC381" s="520" t="str">
        <f>IF(AND(_1="A-220-100",'2026'!$M$4="FO",'2026'!$M$2=AC347),'2026DATA'!$N$36,"")</f>
        <v/>
      </c>
      <c r="AD381" s="940"/>
      <c r="AE381" s="13" t="s">
        <v>62</v>
      </c>
      <c r="AF381" s="518" t="str">
        <f>IF(AND(_2="A-220-100",'2026'!$M$4="FO",'2026'!$M$2=AF347),'2026DATA'!$C$36,"")</f>
        <v/>
      </c>
      <c r="AG381" s="518" t="str">
        <f>IF(AND(_2="A-220-100",'2026'!$M$4="FO",'2026'!$M$2=AG347),'2026DATA'!$D$36,"")</f>
        <v/>
      </c>
      <c r="AH381" s="518" t="str">
        <f>IF(AND(_2="A-220-100",'2026'!$M$4="FO",'2026'!$M$2=AH347),'2026DATA'!$E$36,"")</f>
        <v/>
      </c>
      <c r="AI381" s="518" t="str">
        <f>IF(AND(_2="A-220-100",'2026'!$M$4="FO",'2026'!$M$2=AI347),'2026DATA'!$F$36,"")</f>
        <v/>
      </c>
      <c r="AJ381" s="518" t="str">
        <f>IF(AND(_2="A-220-100",'2026'!$M$4="FO",'2026'!$M$2=AJ347),'2026DATA'!$G$36,"")</f>
        <v/>
      </c>
      <c r="AK381" s="518" t="str">
        <f>IF(AND(_2="A-220-100",'2026'!$M$4="FO",'2026'!$M$2=AK347),'2026DATA'!$H$36,"")</f>
        <v/>
      </c>
      <c r="AL381" s="518" t="str">
        <f>IF(AND(_2="A-220-100",'2026'!$M$4="FO",'2026'!$M$2=AL347),'2026DATA'!$I$36,"")</f>
        <v/>
      </c>
      <c r="AM381" s="518" t="str">
        <f>IF(AND(_2="A-220-100",'2026'!$M$4="FO",'2026'!$M$2=AM347),'2026DATA'!$J$36,"")</f>
        <v/>
      </c>
      <c r="AN381" s="518" t="str">
        <f>IF(AND(_2="A-220-100",'2026'!$M$4="FO",'2026'!$M$2=AN347),'2026DATA'!$K$36,"")</f>
        <v/>
      </c>
      <c r="AO381" s="518" t="str">
        <f>IF(AND(_2="A-220-100",'2026'!$M$4="FO",'2026'!$M$2=AO347),'2026DATA'!$L$36,"")</f>
        <v/>
      </c>
      <c r="AP381" s="518" t="str">
        <f>IF(AND(_2="A-220-100",'2026'!$M$4="FO",'2026'!$M$2=AP347),'2026DATA'!$M$36,"")</f>
        <v/>
      </c>
      <c r="AQ381" s="520" t="str">
        <f>IF(AND(_2="A-220-100",'2026'!$M$4="FO",'2026'!$M$2=AQ347),'2026DATA'!$N$36,"")</f>
        <v/>
      </c>
      <c r="AR381" s="940"/>
      <c r="AS381" s="13" t="s">
        <v>62</v>
      </c>
      <c r="AT381" s="518" t="str">
        <f>IF(AND(_3="A-220-100",'2026'!$M$4="FO",'2026'!$M$2=AT347),'2026DATA'!$C$36,"")</f>
        <v/>
      </c>
      <c r="AU381" s="518" t="str">
        <f>IF(AND(_3="A-220-100",'2026'!$M$4="FO",'2026'!$M$2=AU347),'2026DATA'!$D$36,"")</f>
        <v/>
      </c>
      <c r="AV381" s="518" t="str">
        <f>IF(AND(_3="A-220-100",'2026'!$M$4="FO",'2026'!$M$2=AV347),'2026DATA'!$E$36,"")</f>
        <v/>
      </c>
      <c r="AW381" s="518" t="str">
        <f>IF(AND(_3="A-220-100",'2026'!$M$4="FO",'2026'!$M$2=AW347),'2026DATA'!$F$36,"")</f>
        <v/>
      </c>
      <c r="AX381" s="518" t="str">
        <f>IF(AND(_3="A-220-100",'2026'!$M$4="FO",'2026'!$M$2=AX347),'2026DATA'!$G$36,"")</f>
        <v/>
      </c>
      <c r="AY381" s="518" t="str">
        <f>IF(AND(_3="A-220-100",'2026'!$M$4="FO",'2026'!$M$2=AY347),'2026DATA'!$H$36,"")</f>
        <v/>
      </c>
      <c r="AZ381" s="518" t="str">
        <f>IF(AND(_3="A-220-100",'2026'!$M$4="FO",'2026'!$M$2=AZ347),'2026DATA'!$I$36,"")</f>
        <v/>
      </c>
      <c r="BA381" s="518" t="str">
        <f>IF(AND(_3="A-220-100",'2026'!$M$4="FO",'2026'!$M$2=BA347),'2026DATA'!$J$36,"")</f>
        <v/>
      </c>
      <c r="BB381" s="518" t="str">
        <f>IF(AND(_3="A-220-100",'2026'!$M$4="FO",'2026'!$M$2=BB347),'2026DATA'!$K$36,"")</f>
        <v/>
      </c>
      <c r="BC381" s="518" t="str">
        <f>IF(AND(_3="A-220-100",'2026'!$M$4="FO",'2026'!$M$2=BC347),'2026DATA'!$L$36,"")</f>
        <v/>
      </c>
      <c r="BD381" s="518" t="str">
        <f>IF(AND(_3="A-220-100",'2026'!$M$4="FO",'2026'!$M$2=BD347),'2026DATA'!$M$36,"")</f>
        <v/>
      </c>
      <c r="BE381" s="520" t="str">
        <f>IF(AND(_3="A-220-100",'2026'!$M$4="FO",'2026'!$M$2=BE347),'2026DATA'!$N$36,"")</f>
        <v/>
      </c>
      <c r="BF381" s="940"/>
      <c r="BG381" s="13" t="s">
        <v>62</v>
      </c>
      <c r="BH381" s="518" t="str">
        <f>IF(AND(_4="A-220-100",'2026'!$M$4="FO",'2026'!$M$2=BH347),'2026DATA'!$C$36,"")</f>
        <v/>
      </c>
      <c r="BI381" s="518" t="str">
        <f>IF(AND(_4="A-220-100",'2026'!$M$4="FO",'2026'!$M$2=BI347),'2026DATA'!$D$36,"")</f>
        <v/>
      </c>
      <c r="BJ381" s="518" t="str">
        <f>IF(AND(_4="A-220-100",'2026'!$M$4="FO",'2026'!$M$2=BJ347),'2026DATA'!$E$36,"")</f>
        <v/>
      </c>
      <c r="BK381" s="518" t="str">
        <f>IF(AND(_4="A-220-100",'2026'!$M$4="FO",'2026'!$M$2=BK347),'2026DATA'!$F$36,"")</f>
        <v/>
      </c>
      <c r="BL381" s="518" t="str">
        <f>IF(AND(_4="A-220-100",'2026'!$M$4="FO",'2026'!$M$2=BL347),'2026DATA'!$G$36,"")</f>
        <v/>
      </c>
      <c r="BM381" s="518" t="str">
        <f>IF(AND(_4="A-220-100",'2026'!$M$4="FO",'2026'!$M$2=BM347),'2026DATA'!$H$36,"")</f>
        <v/>
      </c>
      <c r="BN381" s="518" t="str">
        <f>IF(AND(_4="A-220-100",'2026'!$M$4="FO",'2026'!$M$2=BN347),'2026DATA'!$I$36,"")</f>
        <v/>
      </c>
      <c r="BO381" s="518" t="str">
        <f>IF(AND(_4="A-220-100",'2026'!$M$4="FO",'2026'!$M$2=BO347),'2026DATA'!$J$36,"")</f>
        <v/>
      </c>
      <c r="BP381" s="518" t="str">
        <f>IF(AND(_4="A-220-100",'2026'!$M$4="FO",'2026'!$M$2=BP347),'2026DATA'!$K$36,"")</f>
        <v/>
      </c>
      <c r="BQ381" s="518" t="str">
        <f>IF(AND(_4="A-220-100",'2026'!$M$4="FO",'2026'!$M$2=BQ347),'2026DATA'!$L$36,"")</f>
        <v/>
      </c>
      <c r="BR381" s="518" t="str">
        <f>IF(AND(_4="A-220-100",'2026'!$M$4="FO",'2026'!$M$2=BR347),'2026DATA'!$M$36,"")</f>
        <v/>
      </c>
      <c r="BS381" s="520" t="str">
        <f>IF(AND(_4="A-220-100",'2026'!$M$4="FO",'2026'!$M$2=BS347),'2026DATA'!$N$36,"")</f>
        <v/>
      </c>
      <c r="BT381" s="940"/>
      <c r="BU381" s="13" t="s">
        <v>62</v>
      </c>
      <c r="BV381" s="518" t="str">
        <f>IF(AND(_5="A-220-100",'2026'!$M$4="FO",'2026'!$M$2=BV347),'2026DATA'!$C$36,"")</f>
        <v/>
      </c>
      <c r="BW381" s="518" t="str">
        <f>IF(AND(_5="A-220-100",'2026'!$M$4="FO",'2026'!$M$2=BW347),'2026DATA'!$D$36,"")</f>
        <v/>
      </c>
      <c r="BX381" s="518" t="str">
        <f>IF(AND(_5="A-220-100",'2026'!$M$4="FO",'2026'!$M$2=BX347),'2026DATA'!$E$36,"")</f>
        <v/>
      </c>
      <c r="BY381" s="518" t="str">
        <f>IF(AND(_5="A-220-100",'2026'!$M$4="FO",'2026'!$M$2=BY347),'2026DATA'!$F$36,"")</f>
        <v/>
      </c>
      <c r="BZ381" s="518" t="str">
        <f>IF(AND(_5="A-220-100",'2026'!$M$4="FO",'2026'!$M$2=BZ347),'2026DATA'!$G$36,"")</f>
        <v/>
      </c>
      <c r="CA381" s="518" t="str">
        <f>IF(AND(_5="A-220-100",'2026'!$M$4="FO",'2026'!$M$2=CA347),'2026DATA'!$H$36,"")</f>
        <v/>
      </c>
      <c r="CB381" s="518" t="str">
        <f>IF(AND(_5="A-220-100",'2026'!$M$4="FO",'2026'!$M$2=CB347),'2026DATA'!$I$36,"")</f>
        <v/>
      </c>
      <c r="CC381" s="518" t="str">
        <f>IF(AND(_5="A-220-100",'2026'!$M$4="FO",'2026'!$M$2=CC347),'2026DATA'!$J$36,"")</f>
        <v/>
      </c>
      <c r="CD381" s="518" t="str">
        <f>IF(AND(_5="A-220-100",'2026'!$M$4="FO",'2026'!$M$2=CD347),'2026DATA'!$K$36,"")</f>
        <v/>
      </c>
      <c r="CE381" s="518" t="str">
        <f>IF(AND(_5="A-220-100",'2026'!$M$4="FO",'2026'!$M$2=CE347),'2026DATA'!$L$36,"")</f>
        <v/>
      </c>
      <c r="CF381" s="518" t="str">
        <f>IF(AND(_5="A-220-100",'2026'!$M$4="FO",'2026'!$M$2=CF347),'2026DATA'!$M$36,"")</f>
        <v/>
      </c>
      <c r="CG381" s="520" t="str">
        <f>IF(AND(_5="A-220-100",'2026'!$M$4="FO",'2026'!$M$2=CG347),'2026DATA'!$N$36,"")</f>
        <v/>
      </c>
      <c r="CH381" s="940"/>
      <c r="CI381" s="13" t="s">
        <v>62</v>
      </c>
      <c r="CJ381" s="518" t="str">
        <f>IF(AND(_6="A-220-100",'2026'!$M$4="FO",'2026'!$M$2=CJ347),'2026DATA'!$C$36,"")</f>
        <v/>
      </c>
      <c r="CK381" s="518" t="str">
        <f>IF(AND(_6="A-220-100",'2026'!$M$4="FO",'2026'!$M$2=CK347),'2026DATA'!$D$36,"")</f>
        <v/>
      </c>
      <c r="CL381" s="518" t="str">
        <f>IF(AND(_6="A-220-100",'2026'!$M$4="FO",'2026'!$M$2=CL347),'2026DATA'!$E$36,"")</f>
        <v/>
      </c>
      <c r="CM381" s="518" t="str">
        <f>IF(AND(_6="A-220-100",'2026'!$M$4="FO",'2026'!$M$2=CM347),'2026DATA'!$F$36,"")</f>
        <v/>
      </c>
      <c r="CN381" s="518" t="str">
        <f>IF(AND(_6="A-220-100",'2026'!$M$4="FO",'2026'!$M$2=CN347),'2026DATA'!$G$36,"")</f>
        <v/>
      </c>
      <c r="CO381" s="518" t="str">
        <f>IF(AND(_6="A-220-100",'2026'!$M$4="FO",'2026'!$M$2=CO347),'2026DATA'!$H$36,"")</f>
        <v/>
      </c>
      <c r="CP381" s="518" t="str">
        <f>IF(AND(_6="A-220-100",'2026'!$M$4="FO",'2026'!$M$2=CP347),'2026DATA'!$I$36,"")</f>
        <v/>
      </c>
      <c r="CQ381" s="518" t="str">
        <f>IF(AND(_6="A-220-100",'2026'!$M$4="FO",'2026'!$M$2=CQ347),'2026DATA'!$J$36,"")</f>
        <v/>
      </c>
      <c r="CR381" s="518" t="str">
        <f>IF(AND(_6="A-220-100",'2026'!$M$4="FO",'2026'!$M$2=CR347),'2026DATA'!$K$36,"")</f>
        <v/>
      </c>
      <c r="CS381" s="518" t="str">
        <f>IF(AND(_6="A-220-100",'2026'!$M$4="FO",'2026'!$M$2=CS347),'2026DATA'!$L$36,"")</f>
        <v/>
      </c>
      <c r="CT381" s="518" t="str">
        <f>IF(AND(_6="A-220-100",'2026'!$M$4="FO",'2026'!$M$2=CT347),'2026DATA'!$M$36,"")</f>
        <v/>
      </c>
      <c r="CU381" s="520" t="str">
        <f>IF(AND(_6="A-220-100",'2026'!$M$4="FO",'2026'!$M$2=CU347),'2026DATA'!$N$36,"")</f>
        <v/>
      </c>
    </row>
    <row r="382" spans="16:99" x14ac:dyDescent="0.25">
      <c r="P382" s="940" t="s">
        <v>53</v>
      </c>
      <c r="Q382" s="13" t="s">
        <v>61</v>
      </c>
      <c r="R382" s="518" t="str">
        <f>IF(AND(_1="B-717",'2026'!$M$4="CA",'2026'!$M$2=R347),'2026DATA'!$C$37,"")</f>
        <v/>
      </c>
      <c r="S382" s="518" t="str">
        <f>IF(AND(_1="B-717",'2026'!$M$4="CA",'2026'!$M$2=S347),'2026DATA'!$D$37,"")</f>
        <v/>
      </c>
      <c r="T382" s="518" t="str">
        <f>IF(AND(_1="B-717",'2026'!$M$4="CA",'2026'!$M$2=T347),'2026DATA'!$E$37,"")</f>
        <v/>
      </c>
      <c r="U382" s="518" t="str">
        <f>IF(AND(_1="B-717",'2026'!$M$4="CA",'2026'!$M$2=U347),'2026DATA'!$F$37,"")</f>
        <v/>
      </c>
      <c r="V382" s="518" t="str">
        <f>IF(AND(_1="B-717",'2026'!$M$4="CA",'2026'!$M$2=V347),'2026DATA'!$G$37,"")</f>
        <v/>
      </c>
      <c r="W382" s="518" t="str">
        <f>IF(AND(_1="B-717",'2026'!$M$4="CA",'2026'!$M$2=W347),'2026DATA'!$H$37,"")</f>
        <v/>
      </c>
      <c r="X382" s="518" t="str">
        <f>IF(AND(_1="B-717",'2026'!$M$4="CA",'2026'!$M$2=X347),'2026DATA'!$I$37,"")</f>
        <v/>
      </c>
      <c r="Y382" s="518" t="str">
        <f>IF(AND(_1="B-717",'2026'!$M$4="CA",'2026'!$M$2=Y347),'2026DATA'!$J$37,"")</f>
        <v/>
      </c>
      <c r="Z382" s="518" t="str">
        <f>IF(AND(_1="B-717",'2026'!$M$4="CA",'2026'!$M$2=Z347),'2026DATA'!$K$37,"")</f>
        <v/>
      </c>
      <c r="AA382" s="518" t="str">
        <f>IF(AND(_1="B-717",'2026'!$M$4="CA",'2026'!$M$2=AA347),'2026DATA'!$L$37,"")</f>
        <v/>
      </c>
      <c r="AB382" s="518" t="str">
        <f>IF(AND(_1="B-717",'2026'!$M$4="CA",'2026'!$M$2=AB347),'2026DATA'!$M$37,"")</f>
        <v/>
      </c>
      <c r="AC382" s="520" t="str">
        <f>IF(AND(_1="B-717",'2026'!$M$4="CA",'2026'!$M$2=AC347),'2026DATA'!$N$37,"")</f>
        <v/>
      </c>
      <c r="AD382" s="940" t="s">
        <v>53</v>
      </c>
      <c r="AE382" s="13" t="s">
        <v>61</v>
      </c>
      <c r="AF382" s="518" t="str">
        <f>IF(AND(_2="B-717",'2026'!$M$4="CA",'2026'!$M$2=AF347),'2026DATA'!$C$37,"")</f>
        <v/>
      </c>
      <c r="AG382" s="518" t="str">
        <f>IF(AND(_2="B-717",'2026'!$M$4="CA",'2026'!$M$2=AG347),'2026DATA'!$D$37,"")</f>
        <v/>
      </c>
      <c r="AH382" s="518" t="str">
        <f>IF(AND(_2="B-717",'2026'!$M$4="CA",'2026'!$M$2=AH347),'2026DATA'!$E$37,"")</f>
        <v/>
      </c>
      <c r="AI382" s="518" t="str">
        <f>IF(AND(_2="B-717",'2026'!$M$4="CA",'2026'!$M$2=AI347),'2026DATA'!$F$37,"")</f>
        <v/>
      </c>
      <c r="AJ382" s="518" t="str">
        <f>IF(AND(_2="B-717",'2026'!$M$4="CA",'2026'!$M$2=AJ347),'2026DATA'!$G$37,"")</f>
        <v/>
      </c>
      <c r="AK382" s="518" t="str">
        <f>IF(AND(_2="B-717",'2026'!$M$4="CA",'2026'!$M$2=AK347),'2026DATA'!$H$37,"")</f>
        <v/>
      </c>
      <c r="AL382" s="518" t="str">
        <f>IF(AND(_2="B-717",'2026'!$M$4="CA",'2026'!$M$2=AL347),'2026DATA'!$I$37,"")</f>
        <v/>
      </c>
      <c r="AM382" s="518" t="str">
        <f>IF(AND(_2="B-717",'2026'!$M$4="CA",'2026'!$M$2=AM347),'2026DATA'!$J$37,"")</f>
        <v/>
      </c>
      <c r="AN382" s="518" t="str">
        <f>IF(AND(_2="B-717",'2026'!$M$4="CA",'2026'!$M$2=AN347),'2026DATA'!$K$37,"")</f>
        <v/>
      </c>
      <c r="AO382" s="518" t="str">
        <f>IF(AND(_2="B-717",'2026'!$M$4="CA",'2026'!$M$2=AO347),'2026DATA'!$L$37,"")</f>
        <v/>
      </c>
      <c r="AP382" s="518" t="str">
        <f>IF(AND(_2="B-717",'2026'!$M$4="CA",'2026'!$M$2=AP347),'2026DATA'!$M$37,"")</f>
        <v/>
      </c>
      <c r="AQ382" s="520" t="str">
        <f>IF(AND(_2="B-717",'2026'!$M$4="CA",'2026'!$M$2=AQ347),'2026DATA'!$N$37,"")</f>
        <v/>
      </c>
      <c r="AR382" s="940" t="s">
        <v>53</v>
      </c>
      <c r="AS382" s="13" t="s">
        <v>61</v>
      </c>
      <c r="AT382" s="518" t="str">
        <f>IF(AND(_3="B-717",'2026'!$M$4="CA",'2026'!$M$2=AT347),'2026DATA'!$C$37,"")</f>
        <v/>
      </c>
      <c r="AU382" s="518" t="str">
        <f>IF(AND(_3="B-717",'2026'!$M$4="CA",'2026'!$M$2=AU347),'2026DATA'!$D$37,"")</f>
        <v/>
      </c>
      <c r="AV382" s="518" t="str">
        <f>IF(AND(_3="B-717",'2026'!$M$4="CA",'2026'!$M$2=AV347),'2026DATA'!$E$37,"")</f>
        <v/>
      </c>
      <c r="AW382" s="518" t="str">
        <f>IF(AND(_3="B-717",'2026'!$M$4="CA",'2026'!$M$2=AW347),'2026DATA'!$F$37,"")</f>
        <v/>
      </c>
      <c r="AX382" s="518" t="str">
        <f>IF(AND(_3="B-717",'2026'!$M$4="CA",'2026'!$M$2=AX347),'2026DATA'!$G$37,"")</f>
        <v/>
      </c>
      <c r="AY382" s="518" t="str">
        <f>IF(AND(_3="B-717",'2026'!$M$4="CA",'2026'!$M$2=AY347),'2026DATA'!$H$37,"")</f>
        <v/>
      </c>
      <c r="AZ382" s="518" t="str">
        <f>IF(AND(_3="B-717",'2026'!$M$4="CA",'2026'!$M$2=AZ347),'2026DATA'!$I$37,"")</f>
        <v/>
      </c>
      <c r="BA382" s="518" t="str">
        <f>IF(AND(_3="B-717",'2026'!$M$4="CA",'2026'!$M$2=BA347),'2026DATA'!$J$37,"")</f>
        <v/>
      </c>
      <c r="BB382" s="518" t="str">
        <f>IF(AND(_3="B-717",'2026'!$M$4="CA",'2026'!$M$2=BB347),'2026DATA'!$K$37,"")</f>
        <v/>
      </c>
      <c r="BC382" s="518" t="str">
        <f>IF(AND(_3="B-717",'2026'!$M$4="CA",'2026'!$M$2=BC347),'2026DATA'!$L$37,"")</f>
        <v/>
      </c>
      <c r="BD382" s="518" t="str">
        <f>IF(AND(_3="B-717",'2026'!$M$4="CA",'2026'!$M$2=BD347),'2026DATA'!$M$37,"")</f>
        <v/>
      </c>
      <c r="BE382" s="520" t="str">
        <f>IF(AND(_3="B-717",'2026'!$M$4="CA",'2026'!$M$2=BE347),'2026DATA'!$N$37,"")</f>
        <v/>
      </c>
      <c r="BF382" s="940" t="s">
        <v>53</v>
      </c>
      <c r="BG382" s="13" t="s">
        <v>61</v>
      </c>
      <c r="BH382" s="518" t="str">
        <f>IF(AND(_4="B-717",'2026'!$M$4="CA",'2026'!$M$2=BH347),'2026DATA'!$C$37,"")</f>
        <v/>
      </c>
      <c r="BI382" s="518" t="str">
        <f>IF(AND(_4="B-717",'2026'!$M$4="CA",'2026'!$M$2=BI347),'2026DATA'!$D$37,"")</f>
        <v/>
      </c>
      <c r="BJ382" s="518" t="str">
        <f>IF(AND(_4="B-717",'2026'!$M$4="CA",'2026'!$M$2=BJ347),'2026DATA'!$E$37,"")</f>
        <v/>
      </c>
      <c r="BK382" s="518" t="str">
        <f>IF(AND(_4="B-717",'2026'!$M$4="CA",'2026'!$M$2=BK347),'2026DATA'!$F$37,"")</f>
        <v/>
      </c>
      <c r="BL382" s="518" t="str">
        <f>IF(AND(_4="B-717",'2026'!$M$4="CA",'2026'!$M$2=BL347),'2026DATA'!$G$37,"")</f>
        <v/>
      </c>
      <c r="BM382" s="518" t="str">
        <f>IF(AND(_4="B-717",'2026'!$M$4="CA",'2026'!$M$2=BM347),'2026DATA'!$H$37,"")</f>
        <v/>
      </c>
      <c r="BN382" s="518" t="str">
        <f>IF(AND(_4="B-717",'2026'!$M$4="CA",'2026'!$M$2=BN347),'2026DATA'!$I$37,"")</f>
        <v/>
      </c>
      <c r="BO382" s="518" t="str">
        <f>IF(AND(_4="B-717",'2026'!$M$4="CA",'2026'!$M$2=BO347),'2026DATA'!$J$37,"")</f>
        <v/>
      </c>
      <c r="BP382" s="518" t="str">
        <f>IF(AND(_4="B-717",'2026'!$M$4="CA",'2026'!$M$2=BP347),'2026DATA'!$K$37,"")</f>
        <v/>
      </c>
      <c r="BQ382" s="518" t="str">
        <f>IF(AND(_4="B-717",'2026'!$M$4="CA",'2026'!$M$2=BQ347),'2026DATA'!$L$37,"")</f>
        <v/>
      </c>
      <c r="BR382" s="518" t="str">
        <f>IF(AND(_4="B-717",'2026'!$M$4="CA",'2026'!$M$2=BR347),'2026DATA'!$M$37,"")</f>
        <v/>
      </c>
      <c r="BS382" s="520" t="str">
        <f>IF(AND(_4="B-717",'2026'!$M$4="CA",'2026'!$M$2=BS347),'2026DATA'!$N$37,"")</f>
        <v/>
      </c>
      <c r="BT382" s="940" t="s">
        <v>53</v>
      </c>
      <c r="BU382" s="13" t="s">
        <v>61</v>
      </c>
      <c r="BV382" s="518" t="str">
        <f>IF(AND(_5="B-717",'2026'!$M$4="CA",'2026'!$M$2=BV347),'2026DATA'!$C$37,"")</f>
        <v/>
      </c>
      <c r="BW382" s="518" t="str">
        <f>IF(AND(_5="B-717",'2026'!$M$4="CA",'2026'!$M$2=BW347),'2026DATA'!$D$37,"")</f>
        <v/>
      </c>
      <c r="BX382" s="518" t="str">
        <f>IF(AND(_5="B-717",'2026'!$M$4="CA",'2026'!$M$2=BX347),'2026DATA'!$E$37,"")</f>
        <v/>
      </c>
      <c r="BY382" s="518" t="str">
        <f>IF(AND(_5="B-717",'2026'!$M$4="CA",'2026'!$M$2=BY347),'2026DATA'!$F$37,"")</f>
        <v/>
      </c>
      <c r="BZ382" s="518" t="str">
        <f>IF(AND(_5="B-717",'2026'!$M$4="CA",'2026'!$M$2=BZ347),'2026DATA'!$G$37,"")</f>
        <v/>
      </c>
      <c r="CA382" s="518" t="str">
        <f>IF(AND(_5="B-717",'2026'!$M$4="CA",'2026'!$M$2=CA347),'2026DATA'!$H$37,"")</f>
        <v/>
      </c>
      <c r="CB382" s="518" t="str">
        <f>IF(AND(_5="B-717",'2026'!$M$4="CA",'2026'!$M$2=CB347),'2026DATA'!$I$37,"")</f>
        <v/>
      </c>
      <c r="CC382" s="518" t="str">
        <f>IF(AND(_5="B-717",'2026'!$M$4="CA",'2026'!$M$2=CC347),'2026DATA'!$J$37,"")</f>
        <v/>
      </c>
      <c r="CD382" s="518" t="str">
        <f>IF(AND(_5="B-717",'2026'!$M$4="CA",'2026'!$M$2=CD347),'2026DATA'!$K$37,"")</f>
        <v/>
      </c>
      <c r="CE382" s="518" t="str">
        <f>IF(AND(_5="B-717",'2026'!$M$4="CA",'2026'!$M$2=CE347),'2026DATA'!$L$37,"")</f>
        <v/>
      </c>
      <c r="CF382" s="518" t="str">
        <f>IF(AND(_5="B-717",'2026'!$M$4="CA",'2026'!$M$2=CF347),'2026DATA'!$M$37,"")</f>
        <v/>
      </c>
      <c r="CG382" s="520" t="str">
        <f>IF(AND(_5="B-717",'2026'!$M$4="CA",'2026'!$M$2=CG347),'2026DATA'!$N$37,"")</f>
        <v/>
      </c>
      <c r="CH382" s="940" t="s">
        <v>53</v>
      </c>
      <c r="CI382" s="13" t="s">
        <v>61</v>
      </c>
      <c r="CJ382" s="518" t="str">
        <f>IF(AND(_6="B-717",'2026'!$M$4="CA",'2026'!$M$2=CJ347),'2026DATA'!$C$37,"")</f>
        <v/>
      </c>
      <c r="CK382" s="518" t="str">
        <f>IF(AND(_6="B-717",'2026'!$M$4="CA",'2026'!$M$2=CK347),'2026DATA'!$D$37,"")</f>
        <v/>
      </c>
      <c r="CL382" s="518" t="str">
        <f>IF(AND(_6="B-717",'2026'!$M$4="CA",'2026'!$M$2=CL347),'2026DATA'!$E$37,"")</f>
        <v/>
      </c>
      <c r="CM382" s="518" t="str">
        <f>IF(AND(_6="B-717",'2026'!$M$4="CA",'2026'!$M$2=CM347),'2026DATA'!$F$37,"")</f>
        <v/>
      </c>
      <c r="CN382" s="518" t="str">
        <f>IF(AND(_6="B-717",'2026'!$M$4="CA",'2026'!$M$2=CN347),'2026DATA'!$G$37,"")</f>
        <v/>
      </c>
      <c r="CO382" s="518" t="str">
        <f>IF(AND(_6="B-717",'2026'!$M$4="CA",'2026'!$M$2=CO347),'2026DATA'!$H$37,"")</f>
        <v/>
      </c>
      <c r="CP382" s="518" t="str">
        <f>IF(AND(_6="B-717",'2026'!$M$4="CA",'2026'!$M$2=CP347),'2026DATA'!$I$37,"")</f>
        <v/>
      </c>
      <c r="CQ382" s="518" t="str">
        <f>IF(AND(_6="B-717",'2026'!$M$4="CA",'2026'!$M$2=CQ347),'2026DATA'!$J$37,"")</f>
        <v/>
      </c>
      <c r="CR382" s="518" t="str">
        <f>IF(AND(_6="B-717",'2026'!$M$4="CA",'2026'!$M$2=CR347),'2026DATA'!$K$37,"")</f>
        <v/>
      </c>
      <c r="CS382" s="518" t="str">
        <f>IF(AND(_6="B-717",'2026'!$M$4="CA",'2026'!$M$2=CS347),'2026DATA'!$L$37,"")</f>
        <v/>
      </c>
      <c r="CT382" s="518" t="str">
        <f>IF(AND(_6="B-717",'2026'!$M$4="CA",'2026'!$M$2=CT347),'2026DATA'!$M$37,"")</f>
        <v/>
      </c>
      <c r="CU382" s="520" t="str">
        <f>IF(AND(_6="B-717",'2026'!$M$4="CA",'2026'!$M$2=CU347),'2026DATA'!$N$37,"")</f>
        <v/>
      </c>
    </row>
    <row r="383" spans="16:99" ht="15.75" thickBot="1" x14ac:dyDescent="0.3">
      <c r="P383" s="942"/>
      <c r="Q383" s="2" t="s">
        <v>62</v>
      </c>
      <c r="R383" s="518" t="str">
        <f>IF(AND(_1="B-717",'2026'!$M$4="FO",'2026'!$M$2=R347),'2026DATA'!$C$38,"")</f>
        <v/>
      </c>
      <c r="S383" s="518" t="str">
        <f>IF(AND(_1="B-717",'2026'!$M$4="FO",'2026'!$M$2=S347),'2026DATA'!$D$38,"")</f>
        <v/>
      </c>
      <c r="T383" s="518" t="str">
        <f>IF(AND(_1="B-717",'2026'!$M$4="FO",'2026'!$M$2=T347),'2026DATA'!$E$38,"")</f>
        <v/>
      </c>
      <c r="U383" s="518" t="str">
        <f>IF(AND(_1="B-717",'2026'!$M$4="FO",'2026'!$M$2=U347),'2026DATA'!$F$38,"")</f>
        <v/>
      </c>
      <c r="V383" s="518" t="str">
        <f>IF(AND(_1="B-717",'2026'!$M$4="FO",'2026'!$M$2=V347),'2026DATA'!$G$38,"")</f>
        <v/>
      </c>
      <c r="W383" s="518" t="str">
        <f>IF(AND(_1="B-717",'2026'!$M$4="FO",'2026'!$M$2=W347),'2026DATA'!$H$38,"")</f>
        <v/>
      </c>
      <c r="X383" s="518" t="str">
        <f>IF(AND(_1="B-717",'2026'!$M$4="FO",'2026'!$M$2=X347),'2026DATA'!$I$38,"")</f>
        <v/>
      </c>
      <c r="Y383" s="518" t="str">
        <f>IF(AND(_1="B-717",'2026'!$M$4="FO",'2026'!$M$2=Y347),'2026DATA'!$J$38,"")</f>
        <v/>
      </c>
      <c r="Z383" s="518" t="str">
        <f>IF(AND(_1="B-717",'2026'!$M$4="FO",'2026'!$M$2=Z347),'2026DATA'!$K$38,"")</f>
        <v/>
      </c>
      <c r="AA383" s="518" t="str">
        <f>IF(AND(_1="B-717",'2026'!$M$4="FO",'2026'!$M$2=AA347),'2026DATA'!$L$38,"")</f>
        <v/>
      </c>
      <c r="AB383" s="518" t="str">
        <f>IF(AND(_1="B-717",'2026'!$M$4="FO",'2026'!$M$2=AB347),'2026DATA'!$M$38,"")</f>
        <v/>
      </c>
      <c r="AC383" s="520" t="str">
        <f>IF(AND(_1="B-717",'2026'!$M$4="FO",'2026'!$M$2=AC347),'2026DATA'!$N$38,"")</f>
        <v/>
      </c>
      <c r="AD383" s="942"/>
      <c r="AE383" s="2" t="s">
        <v>62</v>
      </c>
      <c r="AF383" s="518" t="str">
        <f>IF(AND(_2="B-717",'2026'!$M$4="FO",'2026'!$M$2=AF347),'2026DATA'!$C$38,"")</f>
        <v/>
      </c>
      <c r="AG383" s="518" t="str">
        <f>IF(AND(_2="B-717",'2026'!$M$4="FO",'2026'!$M$2=AG347),'2026DATA'!$D$38,"")</f>
        <v/>
      </c>
      <c r="AH383" s="518" t="str">
        <f>IF(AND(_2="B-717",'2026'!$M$4="FO",'2026'!$M$2=AH347),'2026DATA'!$E$38,"")</f>
        <v/>
      </c>
      <c r="AI383" s="518" t="str">
        <f>IF(AND(_2="B-717",'2026'!$M$4="FO",'2026'!$M$2=AI347),'2026DATA'!$F$38,"")</f>
        <v/>
      </c>
      <c r="AJ383" s="518" t="str">
        <f>IF(AND(_2="B-717",'2026'!$M$4="FO",'2026'!$M$2=AJ347),'2026DATA'!$G$38,"")</f>
        <v/>
      </c>
      <c r="AK383" s="518" t="str">
        <f>IF(AND(_2="B-717",'2026'!$M$4="FO",'2026'!$M$2=AK347),'2026DATA'!$H$38,"")</f>
        <v/>
      </c>
      <c r="AL383" s="518" t="str">
        <f>IF(AND(_2="B-717",'2026'!$M$4="FO",'2026'!$M$2=AL347),'2026DATA'!$I$38,"")</f>
        <v/>
      </c>
      <c r="AM383" s="518" t="str">
        <f>IF(AND(_2="B-717",'2026'!$M$4="FO",'2026'!$M$2=AM347),'2026DATA'!$J$38,"")</f>
        <v/>
      </c>
      <c r="AN383" s="518" t="str">
        <f>IF(AND(_2="B-717",'2026'!$M$4="FO",'2026'!$M$2=AN347),'2026DATA'!$K$38,"")</f>
        <v/>
      </c>
      <c r="AO383" s="518" t="str">
        <f>IF(AND(_2="B-717",'2026'!$M$4="FO",'2026'!$M$2=AO347),'2026DATA'!$L$38,"")</f>
        <v/>
      </c>
      <c r="AP383" s="518" t="str">
        <f>IF(AND(_2="B-717",'2026'!$M$4="FO",'2026'!$M$2=AP347),'2026DATA'!$M$38,"")</f>
        <v/>
      </c>
      <c r="AQ383" s="520" t="str">
        <f>IF(AND(_2="B-717",'2026'!$M$4="FO",'2026'!$M$2=AQ347),'2026DATA'!$N$38,"")</f>
        <v/>
      </c>
      <c r="AR383" s="942"/>
      <c r="AS383" s="2" t="s">
        <v>62</v>
      </c>
      <c r="AT383" s="518" t="str">
        <f>IF(AND(_3="B-717",'2026'!$M$4="FO",'2026'!$M$2=AT347),'2026DATA'!$C$38,"")</f>
        <v/>
      </c>
      <c r="AU383" s="518" t="str">
        <f>IF(AND(_3="B-717",'2026'!$M$4="FO",'2026'!$M$2=AU347),'2026DATA'!$D$38,"")</f>
        <v/>
      </c>
      <c r="AV383" s="518" t="str">
        <f>IF(AND(_3="B-717",'2026'!$M$4="FO",'2026'!$M$2=AV347),'2026DATA'!$E$38,"")</f>
        <v/>
      </c>
      <c r="AW383" s="518" t="str">
        <f>IF(AND(_3="B-717",'2026'!$M$4="FO",'2026'!$M$2=AW347),'2026DATA'!$F$38,"")</f>
        <v/>
      </c>
      <c r="AX383" s="518" t="str">
        <f>IF(AND(_3="B-717",'2026'!$M$4="FO",'2026'!$M$2=AX347),'2026DATA'!$G$38,"")</f>
        <v/>
      </c>
      <c r="AY383" s="518" t="str">
        <f>IF(AND(_3="B-717",'2026'!$M$4="FO",'2026'!$M$2=AY347),'2026DATA'!$H$38,"")</f>
        <v/>
      </c>
      <c r="AZ383" s="518" t="str">
        <f>IF(AND(_3="B-717",'2026'!$M$4="FO",'2026'!$M$2=AZ347),'2026DATA'!$I$38,"")</f>
        <v/>
      </c>
      <c r="BA383" s="518" t="str">
        <f>IF(AND(_3="B-717",'2026'!$M$4="FO",'2026'!$M$2=BA347),'2026DATA'!$J$38,"")</f>
        <v/>
      </c>
      <c r="BB383" s="518" t="str">
        <f>IF(AND(_3="B-717",'2026'!$M$4="FO",'2026'!$M$2=BB347),'2026DATA'!$K$38,"")</f>
        <v/>
      </c>
      <c r="BC383" s="518" t="str">
        <f>IF(AND(_3="B-717",'2026'!$M$4="FO",'2026'!$M$2=BC347),'2026DATA'!$L$38,"")</f>
        <v/>
      </c>
      <c r="BD383" s="518" t="str">
        <f>IF(AND(_3="B-717",'2026'!$M$4="FO",'2026'!$M$2=BD347),'2026DATA'!$M$38,"")</f>
        <v/>
      </c>
      <c r="BE383" s="520" t="str">
        <f>IF(AND(_3="B-717",'2026'!$M$4="FO",'2026'!$M$2=BE347),'2026DATA'!$N$38,"")</f>
        <v/>
      </c>
      <c r="BF383" s="942"/>
      <c r="BG383" s="2" t="s">
        <v>62</v>
      </c>
      <c r="BH383" s="518" t="str">
        <f>IF(AND(_4="B-717",'2026'!$M$4="FO",'2026'!$M$2=BH347),'2026DATA'!$C$38,"")</f>
        <v/>
      </c>
      <c r="BI383" s="518" t="str">
        <f>IF(AND(_4="B-717",'2026'!$M$4="FO",'2026'!$M$2=BI347),'2026DATA'!$D$38,"")</f>
        <v/>
      </c>
      <c r="BJ383" s="518" t="str">
        <f>IF(AND(_4="B-717",'2026'!$M$4="FO",'2026'!$M$2=BJ347),'2026DATA'!$E$38,"")</f>
        <v/>
      </c>
      <c r="BK383" s="518" t="str">
        <f>IF(AND(_4="B-717",'2026'!$M$4="FO",'2026'!$M$2=BK347),'2026DATA'!$F$38,"")</f>
        <v/>
      </c>
      <c r="BL383" s="518" t="str">
        <f>IF(AND(_4="B-717",'2026'!$M$4="FO",'2026'!$M$2=BL347),'2026DATA'!$G$38,"")</f>
        <v/>
      </c>
      <c r="BM383" s="518" t="str">
        <f>IF(AND(_4="B-717",'2026'!$M$4="FO",'2026'!$M$2=BM347),'2026DATA'!$H$38,"")</f>
        <v/>
      </c>
      <c r="BN383" s="518" t="str">
        <f>IF(AND(_4="B-717",'2026'!$M$4="FO",'2026'!$M$2=BN347),'2026DATA'!$I$38,"")</f>
        <v/>
      </c>
      <c r="BO383" s="518" t="str">
        <f>IF(AND(_4="B-717",'2026'!$M$4="FO",'2026'!$M$2=BO347),'2026DATA'!$J$38,"")</f>
        <v/>
      </c>
      <c r="BP383" s="518" t="str">
        <f>IF(AND(_4="B-717",'2026'!$M$4="FO",'2026'!$M$2=BP347),'2026DATA'!$K$38,"")</f>
        <v/>
      </c>
      <c r="BQ383" s="518" t="str">
        <f>IF(AND(_4="B-717",'2026'!$M$4="FO",'2026'!$M$2=BQ347),'2026DATA'!$L$38,"")</f>
        <v/>
      </c>
      <c r="BR383" s="518" t="str">
        <f>IF(AND(_4="B-717",'2026'!$M$4="FO",'2026'!$M$2=BR347),'2026DATA'!$M$38,"")</f>
        <v/>
      </c>
      <c r="BS383" s="520" t="str">
        <f>IF(AND(_4="B-717",'2026'!$M$4="FO",'2026'!$M$2=BS347),'2026DATA'!$N$38,"")</f>
        <v/>
      </c>
      <c r="BT383" s="942"/>
      <c r="BU383" s="2" t="s">
        <v>62</v>
      </c>
      <c r="BV383" s="518" t="str">
        <f>IF(AND(_5="B-717",'2026'!$M$4="FO",'2026'!$M$2=BV347),'2026DATA'!$C$38,"")</f>
        <v/>
      </c>
      <c r="BW383" s="518" t="str">
        <f>IF(AND(_5="B-717",'2026'!$M$4="FO",'2026'!$M$2=BW347),'2026DATA'!$D$38,"")</f>
        <v/>
      </c>
      <c r="BX383" s="518" t="str">
        <f>IF(AND(_5="B-717",'2026'!$M$4="FO",'2026'!$M$2=BX347),'2026DATA'!$E$38,"")</f>
        <v/>
      </c>
      <c r="BY383" s="518" t="str">
        <f>IF(AND(_5="B-717",'2026'!$M$4="FO",'2026'!$M$2=BY347),'2026DATA'!$F$38,"")</f>
        <v/>
      </c>
      <c r="BZ383" s="518" t="str">
        <f>IF(AND(_5="B-717",'2026'!$M$4="FO",'2026'!$M$2=BZ347),'2026DATA'!$G$38,"")</f>
        <v/>
      </c>
      <c r="CA383" s="518" t="str">
        <f>IF(AND(_5="B-717",'2026'!$M$4="FO",'2026'!$M$2=CA347),'2026DATA'!$H$38,"")</f>
        <v/>
      </c>
      <c r="CB383" s="518" t="str">
        <f>IF(AND(_5="B-717",'2026'!$M$4="FO",'2026'!$M$2=CB347),'2026DATA'!$I$38,"")</f>
        <v/>
      </c>
      <c r="CC383" s="518" t="str">
        <f>IF(AND(_5="B-717",'2026'!$M$4="FO",'2026'!$M$2=CC347),'2026DATA'!$J$38,"")</f>
        <v/>
      </c>
      <c r="CD383" s="518" t="str">
        <f>IF(AND(_5="B-717",'2026'!$M$4="FO",'2026'!$M$2=CD347),'2026DATA'!$K$38,"")</f>
        <v/>
      </c>
      <c r="CE383" s="518" t="str">
        <f>IF(AND(_5="B-717",'2026'!$M$4="FO",'2026'!$M$2=CE347),'2026DATA'!$L$38,"")</f>
        <v/>
      </c>
      <c r="CF383" s="518" t="str">
        <f>IF(AND(_5="B-717",'2026'!$M$4="FO",'2026'!$M$2=CF347),'2026DATA'!$M$38,"")</f>
        <v/>
      </c>
      <c r="CG383" s="520" t="str">
        <f>IF(AND(_5="B-717",'2026'!$M$4="FO",'2026'!$M$2=CG347),'2026DATA'!$N$38,"")</f>
        <v/>
      </c>
      <c r="CH383" s="942"/>
      <c r="CI383" s="2" t="s">
        <v>62</v>
      </c>
      <c r="CJ383" s="518" t="str">
        <f>IF(AND(_6="B-717",'2026'!$M$4="FO",'2026'!$M$2=CJ347),'2026DATA'!$C$38,"")</f>
        <v/>
      </c>
      <c r="CK383" s="518" t="str">
        <f>IF(AND(_6="B-717",'2026'!$M$4="FO",'2026'!$M$2=CK347),'2026DATA'!$D$38,"")</f>
        <v/>
      </c>
      <c r="CL383" s="518" t="str">
        <f>IF(AND(_6="B-717",'2026'!$M$4="FO",'2026'!$M$2=CL347),'2026DATA'!$E$38,"")</f>
        <v/>
      </c>
      <c r="CM383" s="518" t="str">
        <f>IF(AND(_6="B-717",'2026'!$M$4="FO",'2026'!$M$2=CM347),'2026DATA'!$F$38,"")</f>
        <v/>
      </c>
      <c r="CN383" s="518" t="str">
        <f>IF(AND(_6="B-717",'2026'!$M$4="FO",'2026'!$M$2=CN347),'2026DATA'!$G$38,"")</f>
        <v/>
      </c>
      <c r="CO383" s="518" t="str">
        <f>IF(AND(_6="B-717",'2026'!$M$4="FO",'2026'!$M$2=CO347),'2026DATA'!$H$38,"")</f>
        <v/>
      </c>
      <c r="CP383" s="518" t="str">
        <f>IF(AND(_6="B-717",'2026'!$M$4="FO",'2026'!$M$2=CP347),'2026DATA'!$I$38,"")</f>
        <v/>
      </c>
      <c r="CQ383" s="518" t="str">
        <f>IF(AND(_6="B-717",'2026'!$M$4="FO",'2026'!$M$2=CQ347),'2026DATA'!$J$38,"")</f>
        <v/>
      </c>
      <c r="CR383" s="518" t="str">
        <f>IF(AND(_6="B-717",'2026'!$M$4="FO",'2026'!$M$2=CR347),'2026DATA'!$K$38,"")</f>
        <v/>
      </c>
      <c r="CS383" s="518" t="str">
        <f>IF(AND(_6="B-717",'2026'!$M$4="FO",'2026'!$M$2=CS347),'2026DATA'!$L$38,"")</f>
        <v/>
      </c>
      <c r="CT383" s="518" t="str">
        <f>IF(AND(_6="B-717",'2026'!$M$4="FO",'2026'!$M$2=CT347),'2026DATA'!$M$38,"")</f>
        <v/>
      </c>
      <c r="CU383" s="520" t="str">
        <f>IF(AND(_6="B-717",'2026'!$M$4="FO",'2026'!$M$2=CU347),'2026DATA'!$N$38,"")</f>
        <v/>
      </c>
    </row>
    <row r="384" spans="16:99" x14ac:dyDescent="0.25">
      <c r="P384" s="943" t="s">
        <v>128</v>
      </c>
      <c r="Q384" s="944"/>
      <c r="R384" s="944"/>
      <c r="S384" s="944"/>
      <c r="T384" s="944"/>
      <c r="U384" s="944"/>
      <c r="V384" s="944"/>
      <c r="W384" s="944"/>
      <c r="X384" s="944"/>
      <c r="Y384" s="944"/>
      <c r="Z384" s="944"/>
      <c r="AA384" s="944"/>
      <c r="AB384" s="944"/>
      <c r="AC384" s="945"/>
      <c r="AD384" s="943" t="s">
        <v>129</v>
      </c>
      <c r="AE384" s="944"/>
      <c r="AF384" s="944"/>
      <c r="AG384" s="944"/>
      <c r="AH384" s="944"/>
      <c r="AI384" s="944"/>
      <c r="AJ384" s="944"/>
      <c r="AK384" s="944"/>
      <c r="AL384" s="944"/>
      <c r="AM384" s="944"/>
      <c r="AN384" s="944"/>
      <c r="AO384" s="944"/>
      <c r="AP384" s="944"/>
      <c r="AQ384" s="945"/>
      <c r="AR384" s="943" t="s">
        <v>130</v>
      </c>
      <c r="AS384" s="944"/>
      <c r="AT384" s="944"/>
      <c r="AU384" s="944"/>
      <c r="AV384" s="944"/>
      <c r="AW384" s="944"/>
      <c r="AX384" s="944"/>
      <c r="AY384" s="944"/>
      <c r="AZ384" s="944"/>
      <c r="BA384" s="944"/>
      <c r="BB384" s="944"/>
      <c r="BC384" s="944"/>
      <c r="BD384" s="944"/>
      <c r="BE384" s="945"/>
      <c r="BF384" s="943" t="s">
        <v>131</v>
      </c>
      <c r="BG384" s="944"/>
      <c r="BH384" s="944"/>
      <c r="BI384" s="944"/>
      <c r="BJ384" s="944"/>
      <c r="BK384" s="944"/>
      <c r="BL384" s="944"/>
      <c r="BM384" s="944"/>
      <c r="BN384" s="944"/>
      <c r="BO384" s="944"/>
      <c r="BP384" s="944"/>
      <c r="BQ384" s="944"/>
      <c r="BR384" s="944"/>
      <c r="BS384" s="945"/>
      <c r="BT384" s="943" t="s">
        <v>132</v>
      </c>
      <c r="BU384" s="944"/>
      <c r="BV384" s="944"/>
      <c r="BW384" s="944"/>
      <c r="BX384" s="944"/>
      <c r="BY384" s="944"/>
      <c r="BZ384" s="944"/>
      <c r="CA384" s="944"/>
      <c r="CB384" s="944"/>
      <c r="CC384" s="944"/>
      <c r="CD384" s="944"/>
      <c r="CE384" s="944"/>
      <c r="CF384" s="944"/>
      <c r="CG384" s="945"/>
      <c r="CH384" s="943" t="s">
        <v>133</v>
      </c>
      <c r="CI384" s="944"/>
      <c r="CJ384" s="944"/>
      <c r="CK384" s="944"/>
      <c r="CL384" s="944"/>
      <c r="CM384" s="944"/>
      <c r="CN384" s="944"/>
      <c r="CO384" s="944"/>
      <c r="CP384" s="944"/>
      <c r="CQ384" s="944"/>
      <c r="CR384" s="944"/>
      <c r="CS384" s="944"/>
      <c r="CT384" s="944"/>
      <c r="CU384" s="945"/>
    </row>
    <row r="385" spans="16:99" x14ac:dyDescent="0.25">
      <c r="P385" s="575">
        <v>11</v>
      </c>
      <c r="Q385" s="575">
        <f>SUM(R386:AC421)</f>
        <v>0</v>
      </c>
      <c r="R385" s="3">
        <v>12</v>
      </c>
      <c r="S385" s="3">
        <v>11</v>
      </c>
      <c r="T385" s="3">
        <v>10</v>
      </c>
      <c r="U385" s="3">
        <v>9</v>
      </c>
      <c r="V385" s="3">
        <v>8</v>
      </c>
      <c r="W385" s="3">
        <v>7</v>
      </c>
      <c r="X385" s="3">
        <v>6</v>
      </c>
      <c r="Y385" s="3">
        <v>5</v>
      </c>
      <c r="Z385" s="3">
        <v>4</v>
      </c>
      <c r="AA385" s="3">
        <v>3</v>
      </c>
      <c r="AB385" s="3">
        <v>2</v>
      </c>
      <c r="AC385" s="519">
        <v>1</v>
      </c>
      <c r="AD385" s="575">
        <v>11</v>
      </c>
      <c r="AE385" s="575">
        <f>SUM(AF386:AQ421)</f>
        <v>0</v>
      </c>
      <c r="AF385" s="3">
        <v>12</v>
      </c>
      <c r="AG385" s="3">
        <v>11</v>
      </c>
      <c r="AH385" s="3">
        <v>10</v>
      </c>
      <c r="AI385" s="3">
        <v>9</v>
      </c>
      <c r="AJ385" s="3">
        <v>8</v>
      </c>
      <c r="AK385" s="3">
        <v>7</v>
      </c>
      <c r="AL385" s="3">
        <v>6</v>
      </c>
      <c r="AM385" s="3">
        <v>5</v>
      </c>
      <c r="AN385" s="3">
        <v>4</v>
      </c>
      <c r="AO385" s="3">
        <v>3</v>
      </c>
      <c r="AP385" s="3">
        <v>2</v>
      </c>
      <c r="AQ385" s="519">
        <v>1</v>
      </c>
      <c r="AR385" s="575">
        <v>11</v>
      </c>
      <c r="AS385" s="575">
        <f>SUM(AT386:BE421)</f>
        <v>0</v>
      </c>
      <c r="AT385" s="3">
        <v>12</v>
      </c>
      <c r="AU385" s="3">
        <v>11</v>
      </c>
      <c r="AV385" s="3">
        <v>10</v>
      </c>
      <c r="AW385" s="3">
        <v>9</v>
      </c>
      <c r="AX385" s="3">
        <v>8</v>
      </c>
      <c r="AY385" s="3">
        <v>7</v>
      </c>
      <c r="AZ385" s="3">
        <v>6</v>
      </c>
      <c r="BA385" s="3">
        <v>5</v>
      </c>
      <c r="BB385" s="3">
        <v>4</v>
      </c>
      <c r="BC385" s="3">
        <v>3</v>
      </c>
      <c r="BD385" s="3">
        <v>2</v>
      </c>
      <c r="BE385" s="519">
        <v>1</v>
      </c>
      <c r="BF385" s="575">
        <v>11</v>
      </c>
      <c r="BG385" s="575">
        <f>SUM(BH386:BS421)</f>
        <v>0</v>
      </c>
      <c r="BH385" s="3">
        <v>12</v>
      </c>
      <c r="BI385" s="3">
        <v>11</v>
      </c>
      <c r="BJ385" s="3">
        <v>10</v>
      </c>
      <c r="BK385" s="3">
        <v>9</v>
      </c>
      <c r="BL385" s="3">
        <v>8</v>
      </c>
      <c r="BM385" s="3">
        <v>7</v>
      </c>
      <c r="BN385" s="3">
        <v>6</v>
      </c>
      <c r="BO385" s="3">
        <v>5</v>
      </c>
      <c r="BP385" s="3">
        <v>4</v>
      </c>
      <c r="BQ385" s="3">
        <v>3</v>
      </c>
      <c r="BR385" s="3">
        <v>2</v>
      </c>
      <c r="BS385" s="519">
        <v>1</v>
      </c>
      <c r="BT385" s="575">
        <v>11</v>
      </c>
      <c r="BU385" s="575">
        <f>SUM(BV386:CG421)</f>
        <v>0</v>
      </c>
      <c r="BV385" s="3">
        <v>12</v>
      </c>
      <c r="BW385" s="3">
        <v>11</v>
      </c>
      <c r="BX385" s="3">
        <v>10</v>
      </c>
      <c r="BY385" s="3">
        <v>9</v>
      </c>
      <c r="BZ385" s="3">
        <v>8</v>
      </c>
      <c r="CA385" s="3">
        <v>7</v>
      </c>
      <c r="CB385" s="3">
        <v>6</v>
      </c>
      <c r="CC385" s="3">
        <v>5</v>
      </c>
      <c r="CD385" s="3">
        <v>4</v>
      </c>
      <c r="CE385" s="3">
        <v>3</v>
      </c>
      <c r="CF385" s="3">
        <v>2</v>
      </c>
      <c r="CG385" s="519">
        <v>1</v>
      </c>
      <c r="CH385" s="575">
        <v>11</v>
      </c>
      <c r="CI385" s="575">
        <f>SUM(CJ386:CU421)</f>
        <v>0</v>
      </c>
      <c r="CJ385" s="3">
        <v>12</v>
      </c>
      <c r="CK385" s="3">
        <v>11</v>
      </c>
      <c r="CL385" s="3">
        <v>10</v>
      </c>
      <c r="CM385" s="3">
        <v>9</v>
      </c>
      <c r="CN385" s="3">
        <v>8</v>
      </c>
      <c r="CO385" s="3">
        <v>7</v>
      </c>
      <c r="CP385" s="3">
        <v>6</v>
      </c>
      <c r="CQ385" s="3">
        <v>5</v>
      </c>
      <c r="CR385" s="3">
        <v>4</v>
      </c>
      <c r="CS385" s="3">
        <v>3</v>
      </c>
      <c r="CT385" s="3">
        <v>2</v>
      </c>
      <c r="CU385" s="519">
        <v>1</v>
      </c>
    </row>
    <row r="386" spans="16:99" x14ac:dyDescent="0.25">
      <c r="P386" s="940" t="s">
        <v>39</v>
      </c>
      <c r="Q386" s="13" t="s">
        <v>61</v>
      </c>
      <c r="R386" s="518" t="str">
        <f>IF(AND(_1="A-350",'2026'!$N$4="CA",'2026'!$N$2=R385),'2026DATA'!$C$3,"")</f>
        <v/>
      </c>
      <c r="S386" s="518" t="str">
        <f>IF(AND(_1="A-350",'2026'!$N$4="CA",'2026'!$N$2=S385),'2026DATA'!$D$3,"")</f>
        <v/>
      </c>
      <c r="T386" s="518" t="str">
        <f>IF(AND(_1="A-350",'2026'!$N$4="CA",'2026'!$N$2=T385),'2026DATA'!$E$3,"")</f>
        <v/>
      </c>
      <c r="U386" s="518" t="str">
        <f>IF(AND(_1="A-350",'2026'!$N$4="CA",'2026'!$N$2=U385),'2026DATA'!$F$3,"")</f>
        <v/>
      </c>
      <c r="V386" s="518" t="str">
        <f>IF(AND(_1="A-350",'2026'!$N$4="CA",'2026'!$N$2=V385),'2026DATA'!$G$3,"")</f>
        <v/>
      </c>
      <c r="W386" s="518" t="str">
        <f>IF(AND(_1="A-350",'2026'!$N$4="CA",'2026'!$N$2=W385),'2026DATA'!$H$3,"")</f>
        <v/>
      </c>
      <c r="X386" s="518" t="str">
        <f>IF(AND(_1="A-350",'2026'!$N$4="CA",'2026'!$N$2=X385),'2026DATA'!$I$3,"")</f>
        <v/>
      </c>
      <c r="Y386" s="518" t="str">
        <f>IF(AND(_1="A-350",'2026'!$N$4="CA",'2026'!$N$2=Y385),'2026DATA'!$J$3,"")</f>
        <v/>
      </c>
      <c r="Z386" s="518" t="str">
        <f>IF(AND(_1="A-350",'2026'!$N$4="CA",'2026'!$N$2=Z385),'2026DATA'!$K$3,"")</f>
        <v/>
      </c>
      <c r="AA386" s="518" t="str">
        <f>IF(AND(_1="A-350",'2026'!$N$4="CA",'2026'!$N$2=AA385),'2026DATA'!$L$3,"")</f>
        <v/>
      </c>
      <c r="AB386" s="518" t="str">
        <f>IF(AND(_1="A-350",'2026'!$N$4="CA",'2026'!$N$2=AB385),'2026DATA'!$M$3,"")</f>
        <v/>
      </c>
      <c r="AC386" s="520" t="str">
        <f>IF(AND(_1="A-350",'2026'!$N$4="CA",'2026'!$N$2=AC385),'2026DATA'!$N$3,"")</f>
        <v/>
      </c>
      <c r="AD386" s="940" t="s">
        <v>39</v>
      </c>
      <c r="AE386" s="13" t="s">
        <v>61</v>
      </c>
      <c r="AF386" s="518" t="str">
        <f>IF(AND(_2="A-350",'2026'!$N$4="CA",'2026'!$N$2=AF385),'2026DATA'!$C$3,"")</f>
        <v/>
      </c>
      <c r="AG386" s="518" t="str">
        <f>IF(AND(_2="A-350",'2026'!$N$4="CA",'2026'!$N$2=AG385),'2026DATA'!$D$3,"")</f>
        <v/>
      </c>
      <c r="AH386" s="518" t="str">
        <f>IF(AND(_2="A-350",'2026'!$N$4="CA",'2026'!$N$2=AH385),'2026DATA'!$E$3,"")</f>
        <v/>
      </c>
      <c r="AI386" s="518" t="str">
        <f>IF(AND(_2="A-350",'2026'!$N$4="CA",'2026'!$N$2=AI385),'2026DATA'!$F$3,"")</f>
        <v/>
      </c>
      <c r="AJ386" s="518" t="str">
        <f>IF(AND(_2="A-350",'2026'!$N$4="CA",'2026'!$N$2=AJ385),'2026DATA'!$G$3,"")</f>
        <v/>
      </c>
      <c r="AK386" s="518" t="str">
        <f>IF(AND(_2="A-350",'2026'!$N$4="CA",'2026'!$N$2=AK385),'2026DATA'!$H$3,"")</f>
        <v/>
      </c>
      <c r="AL386" s="518" t="str">
        <f>IF(AND(_2="A-350",'2026'!$N$4="CA",'2026'!$N$2=AL385),'2026DATA'!$I$3,"")</f>
        <v/>
      </c>
      <c r="AM386" s="518" t="str">
        <f>IF(AND(_2="A-350",'2026'!$N$4="CA",'2026'!$N$2=AM385),'2026DATA'!$J$3,"")</f>
        <v/>
      </c>
      <c r="AN386" s="518" t="str">
        <f>IF(AND(_2="A-350",'2026'!$N$4="CA",'2026'!$N$2=AN385),'2026DATA'!$K$3,"")</f>
        <v/>
      </c>
      <c r="AO386" s="518" t="str">
        <f>IF(AND(_2="A-350",'2026'!$N$4="CA",'2026'!$N$2=AO385),'2026DATA'!$L$3,"")</f>
        <v/>
      </c>
      <c r="AP386" s="518" t="str">
        <f>IF(AND(_2="A-350",'2026'!$N$4="CA",'2026'!$N$2=AP385),'2026DATA'!$M$3,"")</f>
        <v/>
      </c>
      <c r="AQ386" s="520" t="str">
        <f>IF(AND(_2="A-350",'2026'!$N$4="CA",'2026'!$N$2=AQ385),'2026DATA'!$N$3,"")</f>
        <v/>
      </c>
      <c r="AR386" s="940" t="s">
        <v>39</v>
      </c>
      <c r="AS386" s="13" t="s">
        <v>61</v>
      </c>
      <c r="AT386" s="518" t="str">
        <f>IF(AND(_3="A-350",'2026'!$N$4="CA",'2026'!$N$2=AT385),'2026DATA'!$C$3,"")</f>
        <v/>
      </c>
      <c r="AU386" s="518" t="str">
        <f>IF(AND(_3="A-350",'2026'!$N$4="CA",'2026'!$N$2=AU385),'2026DATA'!$D$3,"")</f>
        <v/>
      </c>
      <c r="AV386" s="518" t="str">
        <f>IF(AND(_3="A-350",'2026'!$N$4="CA",'2026'!$N$2=AV385),'2026DATA'!$E$3,"")</f>
        <v/>
      </c>
      <c r="AW386" s="518" t="str">
        <f>IF(AND(_3="A-350",'2026'!$N$4="CA",'2026'!$N$2=AW385),'2026DATA'!$F$3,"")</f>
        <v/>
      </c>
      <c r="AX386" s="518" t="str">
        <f>IF(AND(_3="A-350",'2026'!$N$4="CA",'2026'!$N$2=AX385),'2026DATA'!$G$3,"")</f>
        <v/>
      </c>
      <c r="AY386" s="518" t="str">
        <f>IF(AND(_3="A-350",'2026'!$N$4="CA",'2026'!$N$2=AY385),'2026DATA'!$H$3,"")</f>
        <v/>
      </c>
      <c r="AZ386" s="518" t="str">
        <f>IF(AND(_3="A-350",'2026'!$N$4="CA",'2026'!$N$2=AZ385),'2026DATA'!$I$3,"")</f>
        <v/>
      </c>
      <c r="BA386" s="518" t="str">
        <f>IF(AND(_3="A-350",'2026'!$N$4="CA",'2026'!$N$2=BA385),'2026DATA'!$J$3,"")</f>
        <v/>
      </c>
      <c r="BB386" s="518" t="str">
        <f>IF(AND(_3="A-350",'2026'!$N$4="CA",'2026'!$N$2=BB385),'2026DATA'!$K$3,"")</f>
        <v/>
      </c>
      <c r="BC386" s="518" t="str">
        <f>IF(AND(_3="A-350",'2026'!$N$4="CA",'2026'!$N$2=BC385),'2026DATA'!$L$3,"")</f>
        <v/>
      </c>
      <c r="BD386" s="518" t="str">
        <f>IF(AND(_3="A-350",'2026'!$N$4="CA",'2026'!$N$2=BD385),'2026DATA'!$M$3,"")</f>
        <v/>
      </c>
      <c r="BE386" s="520" t="str">
        <f>IF(AND(_3="A-350",'2026'!$N$4="CA",'2026'!$N$2=BE385),'2026DATA'!$N$3,"")</f>
        <v/>
      </c>
      <c r="BF386" s="940" t="s">
        <v>39</v>
      </c>
      <c r="BG386" s="13" t="s">
        <v>61</v>
      </c>
      <c r="BH386" s="518" t="str">
        <f>IF(AND(_4="A-350",'2026'!$N$4="CA",'2026'!$N$2=BH385),'2026DATA'!$C$3,"")</f>
        <v/>
      </c>
      <c r="BI386" s="518" t="str">
        <f>IF(AND(_4="A-350",'2026'!$N$4="CA",'2026'!$N$2=BI385),'2026DATA'!$D$3,"")</f>
        <v/>
      </c>
      <c r="BJ386" s="518" t="str">
        <f>IF(AND(_4="A-350",'2026'!$N$4="CA",'2026'!$N$2=BJ385),'2026DATA'!$E$3,"")</f>
        <v/>
      </c>
      <c r="BK386" s="518" t="str">
        <f>IF(AND(_4="A-350",'2026'!$N$4="CA",'2026'!$N$2=BK385),'2026DATA'!$F$3,"")</f>
        <v/>
      </c>
      <c r="BL386" s="518" t="str">
        <f>IF(AND(_4="A-350",'2026'!$N$4="CA",'2026'!$N$2=BL385),'2026DATA'!$G$3,"")</f>
        <v/>
      </c>
      <c r="BM386" s="518" t="str">
        <f>IF(AND(_4="A-350",'2026'!$N$4="CA",'2026'!$N$2=BM385),'2026DATA'!$H$3,"")</f>
        <v/>
      </c>
      <c r="BN386" s="518" t="str">
        <f>IF(AND(_4="A-350",'2026'!$N$4="CA",'2026'!$N$2=BN385),'2026DATA'!$I$3,"")</f>
        <v/>
      </c>
      <c r="BO386" s="518" t="str">
        <f>IF(AND(_4="A-350",'2026'!$N$4="CA",'2026'!$N$2=BO385),'2026DATA'!$J$3,"")</f>
        <v/>
      </c>
      <c r="BP386" s="518" t="str">
        <f>IF(AND(_4="A-350",'2026'!$N$4="CA",'2026'!$N$2=BP385),'2026DATA'!$K$3,"")</f>
        <v/>
      </c>
      <c r="BQ386" s="518" t="str">
        <f>IF(AND(_4="A-350",'2026'!$N$4="CA",'2026'!$N$2=BQ385),'2026DATA'!$L$3,"")</f>
        <v/>
      </c>
      <c r="BR386" s="518" t="str">
        <f>IF(AND(_4="A-350",'2026'!$N$4="CA",'2026'!$N$2=BR385),'2026DATA'!$M$3,"")</f>
        <v/>
      </c>
      <c r="BS386" s="520" t="str">
        <f>IF(AND(_4="A-350",'2026'!$N$4="CA",'2026'!$N$2=BS385),'2026DATA'!$N$3,"")</f>
        <v/>
      </c>
      <c r="BT386" s="940" t="s">
        <v>39</v>
      </c>
      <c r="BU386" s="13" t="s">
        <v>61</v>
      </c>
      <c r="BV386" s="518" t="str">
        <f>IF(AND(_5="A-350",'2026'!$N$4="CA",'2026'!$N$2=BV385),'2026DATA'!$C$3,"")</f>
        <v/>
      </c>
      <c r="BW386" s="518" t="str">
        <f>IF(AND(_5="A-350",'2026'!$N$4="CA",'2026'!$N$2=BW385),'2026DATA'!$D$3,"")</f>
        <v/>
      </c>
      <c r="BX386" s="518" t="str">
        <f>IF(AND(_5="A-350",'2026'!$N$4="CA",'2026'!$N$2=BX385),'2026DATA'!$E$3,"")</f>
        <v/>
      </c>
      <c r="BY386" s="518" t="str">
        <f>IF(AND(_5="A-350",'2026'!$N$4="CA",'2026'!$N$2=BY385),'2026DATA'!$F$3,"")</f>
        <v/>
      </c>
      <c r="BZ386" s="518" t="str">
        <f>IF(AND(_5="A-350",'2026'!$N$4="CA",'2026'!$N$2=BZ385),'2026DATA'!$G$3,"")</f>
        <v/>
      </c>
      <c r="CA386" s="518" t="str">
        <f>IF(AND(_5="A-350",'2026'!$N$4="CA",'2026'!$N$2=CA385),'2026DATA'!$H$3,"")</f>
        <v/>
      </c>
      <c r="CB386" s="518" t="str">
        <f>IF(AND(_5="A-350",'2026'!$N$4="CA",'2026'!$N$2=CB385),'2026DATA'!$I$3,"")</f>
        <v/>
      </c>
      <c r="CC386" s="518" t="str">
        <f>IF(AND(_5="A-350",'2026'!$N$4="CA",'2026'!$N$2=CC385),'2026DATA'!$J$3,"")</f>
        <v/>
      </c>
      <c r="CD386" s="518" t="str">
        <f>IF(AND(_5="A-350",'2026'!$N$4="CA",'2026'!$N$2=CD385),'2026DATA'!$K$3,"")</f>
        <v/>
      </c>
      <c r="CE386" s="518" t="str">
        <f>IF(AND(_5="A-350",'2026'!$N$4="CA",'2026'!$N$2=CE385),'2026DATA'!$L$3,"")</f>
        <v/>
      </c>
      <c r="CF386" s="518" t="str">
        <f>IF(AND(_5="A-350",'2026'!$N$4="CA",'2026'!$N$2=CF385),'2026DATA'!$M$3,"")</f>
        <v/>
      </c>
      <c r="CG386" s="520" t="str">
        <f>IF(AND(_5="A-350",'2026'!$N$4="CA",'2026'!$N$2=CG385),'2026DATA'!$N$3,"")</f>
        <v/>
      </c>
      <c r="CH386" s="940" t="s">
        <v>39</v>
      </c>
      <c r="CI386" s="13" t="s">
        <v>61</v>
      </c>
      <c r="CJ386" s="518" t="str">
        <f>IF(AND(_6="A-350",'2026'!$N$4="CA",'2026'!$N$2=CJ385),'2026DATA'!$C$3,"")</f>
        <v/>
      </c>
      <c r="CK386" s="518" t="str">
        <f>IF(AND(_6="A-350",'2026'!$N$4="CA",'2026'!$N$2=CK385),'2026DATA'!$D$3,"")</f>
        <v/>
      </c>
      <c r="CL386" s="518" t="str">
        <f>IF(AND(_6="A-350",'2026'!$N$4="CA",'2026'!$N$2=CL385),'2026DATA'!$E$3,"")</f>
        <v/>
      </c>
      <c r="CM386" s="518" t="str">
        <f>IF(AND(_6="A-350",'2026'!$N$4="CA",'2026'!$N$2=CM385),'2026DATA'!$F$3,"")</f>
        <v/>
      </c>
      <c r="CN386" s="518" t="str">
        <f>IF(AND(_6="A-350",'2026'!$N$4="CA",'2026'!$N$2=CN385),'2026DATA'!$G$3,"")</f>
        <v/>
      </c>
      <c r="CO386" s="518" t="str">
        <f>IF(AND(_6="A-350",'2026'!$N$4="CA",'2026'!$N$2=CO385),'2026DATA'!$H$3,"")</f>
        <v/>
      </c>
      <c r="CP386" s="518" t="str">
        <f>IF(AND(_6="A-350",'2026'!$N$4="CA",'2026'!$N$2=CP385),'2026DATA'!$I$3,"")</f>
        <v/>
      </c>
      <c r="CQ386" s="518" t="str">
        <f>IF(AND(_6="A-350",'2026'!$N$4="CA",'2026'!$N$2=CQ385),'2026DATA'!$J$3,"")</f>
        <v/>
      </c>
      <c r="CR386" s="518" t="str">
        <f>IF(AND(_6="A-350",'2026'!$N$4="CA",'2026'!$N$2=CR385),'2026DATA'!$K$3,"")</f>
        <v/>
      </c>
      <c r="CS386" s="518" t="str">
        <f>IF(AND(_6="A-350",'2026'!$N$4="CA",'2026'!$N$2=CS385),'2026DATA'!$L$3,"")</f>
        <v/>
      </c>
      <c r="CT386" s="518" t="str">
        <f>IF(AND(_6="A-350",'2026'!$N$4="CA",'2026'!$N$2=CT385),'2026DATA'!$M$3,"")</f>
        <v/>
      </c>
      <c r="CU386" s="520" t="str">
        <f>IF(AND(_6="A-350",'2026'!$N$4="CA",'2026'!$N$2=CU385),'2026DATA'!$N$3,"")</f>
        <v/>
      </c>
    </row>
    <row r="387" spans="16:99" x14ac:dyDescent="0.25">
      <c r="P387" s="940"/>
      <c r="Q387" s="13" t="s">
        <v>62</v>
      </c>
      <c r="R387" s="518" t="str">
        <f>IF(AND(_1="A-350",'2026'!$N$4="FO",'2026'!$N$2=R385),'2026DATA'!$C$4,"")</f>
        <v/>
      </c>
      <c r="S387" s="518" t="str">
        <f>IF(AND(_1="A-350",'2026'!$N$4="FO",'2026'!$N$2=S385),'2026DATA'!$D$4,"")</f>
        <v/>
      </c>
      <c r="T387" s="518" t="str">
        <f>IF(AND(_1="A-350",'2026'!$N$4="FO",'2026'!$N$2=T385),'2026DATA'!$E$4,"")</f>
        <v/>
      </c>
      <c r="U387" s="518" t="str">
        <f>IF(AND(_1="A-350",'2026'!$N$4="FO",'2026'!$N$2=U385),'2026DATA'!$F$4,"")</f>
        <v/>
      </c>
      <c r="V387" s="518" t="str">
        <f>IF(AND(_1="A-350",'2026'!$N$4="FO",'2026'!$N$2=V385),'2026DATA'!$G$4,"")</f>
        <v/>
      </c>
      <c r="W387" s="518" t="str">
        <f>IF(AND(_1="A-350",'2026'!$N$4="FO",'2026'!$N$2=W385),'2026DATA'!$H$4,"")</f>
        <v/>
      </c>
      <c r="X387" s="518" t="str">
        <f>IF(AND(_1="A-350",'2026'!$N$4="FO",'2026'!$N$2=X385),'2026DATA'!$I$4,"")</f>
        <v/>
      </c>
      <c r="Y387" s="518" t="str">
        <f>IF(AND(_1="A-350",'2026'!$N$4="FO",'2026'!$N$2=Y385),'2026DATA'!$J$4,"")</f>
        <v/>
      </c>
      <c r="Z387" s="518" t="str">
        <f>IF(AND(_1="A-350",'2026'!$N$4="FO",'2026'!$N$2=Z385),'2026DATA'!$K$4,"")</f>
        <v/>
      </c>
      <c r="AA387" s="518" t="str">
        <f>IF(AND(_1="A-350",'2026'!$N$4="FO",'2026'!$N$2=AA385),'2026DATA'!$L$4,"")</f>
        <v/>
      </c>
      <c r="AB387" s="518" t="str">
        <f>IF(AND(_1="A-350",'2026'!$N$4="FO",'2026'!$N$2=AB385),'2026DATA'!$M$4,"")</f>
        <v/>
      </c>
      <c r="AC387" s="520" t="str">
        <f>IF(AND(_1="A-350",'2026'!$N$4="FO",'2026'!$N$2=AC385),'2026DATA'!$N$4,"")</f>
        <v/>
      </c>
      <c r="AD387" s="940"/>
      <c r="AE387" s="13" t="s">
        <v>62</v>
      </c>
      <c r="AF387" s="518" t="str">
        <f>IF(AND(_2="A-350",'2026'!$N$4="FO",'2026'!$N$2=AF385),'2026DATA'!$C$4,"")</f>
        <v/>
      </c>
      <c r="AG387" s="518" t="str">
        <f>IF(AND(_2="A-350",'2026'!$N$4="FO",'2026'!$N$2=AG385),'2026DATA'!$D$4,"")</f>
        <v/>
      </c>
      <c r="AH387" s="518" t="str">
        <f>IF(AND(_2="A-350",'2026'!$N$4="FO",'2026'!$N$2=AH385),'2026DATA'!$E$4,"")</f>
        <v/>
      </c>
      <c r="AI387" s="518" t="str">
        <f>IF(AND(_2="A-350",'2026'!$N$4="FO",'2026'!$N$2=AI385),'2026DATA'!$F$4,"")</f>
        <v/>
      </c>
      <c r="AJ387" s="518" t="str">
        <f>IF(AND(_2="A-350",'2026'!$N$4="FO",'2026'!$N$2=AJ385),'2026DATA'!$G$4,"")</f>
        <v/>
      </c>
      <c r="AK387" s="518" t="str">
        <f>IF(AND(_2="A-350",'2026'!$N$4="FO",'2026'!$N$2=AK385),'2026DATA'!$H$4,"")</f>
        <v/>
      </c>
      <c r="AL387" s="518" t="str">
        <f>IF(AND(_2="A-350",'2026'!$N$4="FO",'2026'!$N$2=AL385),'2026DATA'!$I$4,"")</f>
        <v/>
      </c>
      <c r="AM387" s="518" t="str">
        <f>IF(AND(_2="A-350",'2026'!$N$4="FO",'2026'!$N$2=AM385),'2026DATA'!$J$4,"")</f>
        <v/>
      </c>
      <c r="AN387" s="518" t="str">
        <f>IF(AND(_2="A-350",'2026'!$N$4="FO",'2026'!$N$2=AN385),'2026DATA'!$K$4,"")</f>
        <v/>
      </c>
      <c r="AO387" s="518" t="str">
        <f>IF(AND(_2="A-350",'2026'!$N$4="FO",'2026'!$N$2=AO385),'2026DATA'!$L$4,"")</f>
        <v/>
      </c>
      <c r="AP387" s="518" t="str">
        <f>IF(AND(_2="A-350",'2026'!$N$4="FO",'2026'!$N$2=AP385),'2026DATA'!$M$4,"")</f>
        <v/>
      </c>
      <c r="AQ387" s="520" t="str">
        <f>IF(AND(_2="A-350",'2026'!$N$4="FO",'2026'!$N$2=AQ385),'2026DATA'!$N$4,"")</f>
        <v/>
      </c>
      <c r="AR387" s="940"/>
      <c r="AS387" s="13" t="s">
        <v>62</v>
      </c>
      <c r="AT387" s="518" t="str">
        <f>IF(AND(_3="A-350",'2026'!$N$4="FO",'2026'!$N$2=AT385),'2026DATA'!$C$4,"")</f>
        <v/>
      </c>
      <c r="AU387" s="518" t="str">
        <f>IF(AND(_3="A-350",'2026'!$N$4="FO",'2026'!$N$2=AU385),'2026DATA'!$D$4,"")</f>
        <v/>
      </c>
      <c r="AV387" s="518" t="str">
        <f>IF(AND(_3="A-350",'2026'!$N$4="FO",'2026'!$N$2=AV385),'2026DATA'!$E$4,"")</f>
        <v/>
      </c>
      <c r="AW387" s="518" t="str">
        <f>IF(AND(_3="A-350",'2026'!$N$4="FO",'2026'!$N$2=AW385),'2026DATA'!$F$4,"")</f>
        <v/>
      </c>
      <c r="AX387" s="518" t="str">
        <f>IF(AND(_3="A-350",'2026'!$N$4="FO",'2026'!$N$2=AX385),'2026DATA'!$G$4,"")</f>
        <v/>
      </c>
      <c r="AY387" s="518" t="str">
        <f>IF(AND(_3="A-350",'2026'!$N$4="FO",'2026'!$N$2=AY385),'2026DATA'!$H$4,"")</f>
        <v/>
      </c>
      <c r="AZ387" s="518" t="str">
        <f>IF(AND(_3="A-350",'2026'!$N$4="FO",'2026'!$N$2=AZ385),'2026DATA'!$I$4,"")</f>
        <v/>
      </c>
      <c r="BA387" s="518" t="str">
        <f>IF(AND(_3="A-350",'2026'!$N$4="FO",'2026'!$N$2=BA385),'2026DATA'!$J$4,"")</f>
        <v/>
      </c>
      <c r="BB387" s="518" t="str">
        <f>IF(AND(_3="A-350",'2026'!$N$4="FO",'2026'!$N$2=BB385),'2026DATA'!$K$4,"")</f>
        <v/>
      </c>
      <c r="BC387" s="518" t="str">
        <f>IF(AND(_3="A-350",'2026'!$N$4="FO",'2026'!$N$2=BC385),'2026DATA'!$L$4,"")</f>
        <v/>
      </c>
      <c r="BD387" s="518" t="str">
        <f>IF(AND(_3="A-350",'2026'!$N$4="FO",'2026'!$N$2=BD385),'2026DATA'!$M$4,"")</f>
        <v/>
      </c>
      <c r="BE387" s="520" t="str">
        <f>IF(AND(_3="A-350",'2026'!$N$4="FO",'2026'!$N$2=BE385),'2026DATA'!$N$4,"")</f>
        <v/>
      </c>
      <c r="BF387" s="940"/>
      <c r="BG387" s="13" t="s">
        <v>62</v>
      </c>
      <c r="BH387" s="518" t="str">
        <f>IF(AND(_4="A-350",'2026'!$N$4="FO",'2026'!$N$2=BH385),'2026DATA'!$C$4,"")</f>
        <v/>
      </c>
      <c r="BI387" s="518" t="str">
        <f>IF(AND(_4="A-350",'2026'!$N$4="FO",'2026'!$N$2=BI385),'2026DATA'!$D$4,"")</f>
        <v/>
      </c>
      <c r="BJ387" s="518" t="str">
        <f>IF(AND(_4="A-350",'2026'!$N$4="FO",'2026'!$N$2=BJ385),'2026DATA'!$E$4,"")</f>
        <v/>
      </c>
      <c r="BK387" s="518" t="str">
        <f>IF(AND(_4="A-350",'2026'!$N$4="FO",'2026'!$N$2=BK385),'2026DATA'!$F$4,"")</f>
        <v/>
      </c>
      <c r="BL387" s="518" t="str">
        <f>IF(AND(_4="A-350",'2026'!$N$4="FO",'2026'!$N$2=BL385),'2026DATA'!$G$4,"")</f>
        <v/>
      </c>
      <c r="BM387" s="518" t="str">
        <f>IF(AND(_4="A-350",'2026'!$N$4="FO",'2026'!$N$2=BM385),'2026DATA'!$H$4,"")</f>
        <v/>
      </c>
      <c r="BN387" s="518" t="str">
        <f>IF(AND(_4="A-350",'2026'!$N$4="FO",'2026'!$N$2=BN385),'2026DATA'!$I$4,"")</f>
        <v/>
      </c>
      <c r="BO387" s="518" t="str">
        <f>IF(AND(_4="A-350",'2026'!$N$4="FO",'2026'!$N$2=BO385),'2026DATA'!$J$4,"")</f>
        <v/>
      </c>
      <c r="BP387" s="518" t="str">
        <f>IF(AND(_4="A-350",'2026'!$N$4="FO",'2026'!$N$2=BP385),'2026DATA'!$K$4,"")</f>
        <v/>
      </c>
      <c r="BQ387" s="518" t="str">
        <f>IF(AND(_4="A-350",'2026'!$N$4="FO",'2026'!$N$2=BQ385),'2026DATA'!$L$4,"")</f>
        <v/>
      </c>
      <c r="BR387" s="518" t="str">
        <f>IF(AND(_4="A-350",'2026'!$N$4="FO",'2026'!$N$2=BR385),'2026DATA'!$M$4,"")</f>
        <v/>
      </c>
      <c r="BS387" s="520" t="str">
        <f>IF(AND(_4="A-350",'2026'!$N$4="FO",'2026'!$N$2=BS385),'2026DATA'!$N$4,"")</f>
        <v/>
      </c>
      <c r="BT387" s="940"/>
      <c r="BU387" s="13" t="s">
        <v>62</v>
      </c>
      <c r="BV387" s="518" t="str">
        <f>IF(AND(_5="A-350",'2026'!$N$4="FO",'2026'!$N$2=BV385),'2026DATA'!$C$4,"")</f>
        <v/>
      </c>
      <c r="BW387" s="518" t="str">
        <f>IF(AND(_5="A-350",'2026'!$N$4="FO",'2026'!$N$2=BW385),'2026DATA'!$D$4,"")</f>
        <v/>
      </c>
      <c r="BX387" s="518" t="str">
        <f>IF(AND(_5="A-350",'2026'!$N$4="FO",'2026'!$N$2=BX385),'2026DATA'!$E$4,"")</f>
        <v/>
      </c>
      <c r="BY387" s="518" t="str">
        <f>IF(AND(_5="A-350",'2026'!$N$4="FO",'2026'!$N$2=BY385),'2026DATA'!$F$4,"")</f>
        <v/>
      </c>
      <c r="BZ387" s="518" t="str">
        <f>IF(AND(_5="A-350",'2026'!$N$4="FO",'2026'!$N$2=BZ385),'2026DATA'!$G$4,"")</f>
        <v/>
      </c>
      <c r="CA387" s="518" t="str">
        <f>IF(AND(_5="A-350",'2026'!$N$4="FO",'2026'!$N$2=CA385),'2026DATA'!$H$4,"")</f>
        <v/>
      </c>
      <c r="CB387" s="518" t="str">
        <f>IF(AND(_5="A-350",'2026'!$N$4="FO",'2026'!$N$2=CB385),'2026DATA'!$I$4,"")</f>
        <v/>
      </c>
      <c r="CC387" s="518" t="str">
        <f>IF(AND(_5="A-350",'2026'!$N$4="FO",'2026'!$N$2=CC385),'2026DATA'!$J$4,"")</f>
        <v/>
      </c>
      <c r="CD387" s="518" t="str">
        <f>IF(AND(_5="A-350",'2026'!$N$4="FO",'2026'!$N$2=CD385),'2026DATA'!$K$4,"")</f>
        <v/>
      </c>
      <c r="CE387" s="518" t="str">
        <f>IF(AND(_5="A-350",'2026'!$N$4="FO",'2026'!$N$2=CE385),'2026DATA'!$L$4,"")</f>
        <v/>
      </c>
      <c r="CF387" s="518" t="str">
        <f>IF(AND(_5="A-350",'2026'!$N$4="FO",'2026'!$N$2=CF385),'2026DATA'!$M$4,"")</f>
        <v/>
      </c>
      <c r="CG387" s="520" t="str">
        <f>IF(AND(_5="A-350",'2026'!$N$4="FO",'2026'!$N$2=CG385),'2026DATA'!$N$4,"")</f>
        <v/>
      </c>
      <c r="CH387" s="940"/>
      <c r="CI387" s="13" t="s">
        <v>62</v>
      </c>
      <c r="CJ387" s="518" t="str">
        <f>IF(AND(_6="A-350",'2026'!$N$4="FO",'2026'!$N$2=CJ385),'2026DATA'!$C$4,"")</f>
        <v/>
      </c>
      <c r="CK387" s="518" t="str">
        <f>IF(AND(_6="A-350",'2026'!$N$4="FO",'2026'!$N$2=CK385),'2026DATA'!$D$4,"")</f>
        <v/>
      </c>
      <c r="CL387" s="518" t="str">
        <f>IF(AND(_6="A-350",'2026'!$N$4="FO",'2026'!$N$2=CL385),'2026DATA'!$E$4,"")</f>
        <v/>
      </c>
      <c r="CM387" s="518" t="str">
        <f>IF(AND(_6="A-350",'2026'!$N$4="FO",'2026'!$N$2=CM385),'2026DATA'!$F$4,"")</f>
        <v/>
      </c>
      <c r="CN387" s="518" t="str">
        <f>IF(AND(_6="A-350",'2026'!$N$4="FO",'2026'!$N$2=CN385),'2026DATA'!$G$4,"")</f>
        <v/>
      </c>
      <c r="CO387" s="518" t="str">
        <f>IF(AND(_6="A-350",'2026'!$N$4="FO",'2026'!$N$2=CO385),'2026DATA'!$H$4,"")</f>
        <v/>
      </c>
      <c r="CP387" s="518" t="str">
        <f>IF(AND(_6="A-350",'2026'!$N$4="FO",'2026'!$N$2=CP385),'2026DATA'!$I$4,"")</f>
        <v/>
      </c>
      <c r="CQ387" s="518" t="str">
        <f>IF(AND(_6="A-350",'2026'!$N$4="FO",'2026'!$N$2=CQ385),'2026DATA'!$J$4,"")</f>
        <v/>
      </c>
      <c r="CR387" s="518" t="str">
        <f>IF(AND(_6="A-350",'2026'!$N$4="FO",'2026'!$N$2=CR385),'2026DATA'!$K$4,"")</f>
        <v/>
      </c>
      <c r="CS387" s="518" t="str">
        <f>IF(AND(_6="A-350",'2026'!$N$4="FO",'2026'!$N$2=CS385),'2026DATA'!$L$4,"")</f>
        <v/>
      </c>
      <c r="CT387" s="518" t="str">
        <f>IF(AND(_6="A-350",'2026'!$N$4="FO",'2026'!$N$2=CT385),'2026DATA'!$M$4,"")</f>
        <v/>
      </c>
      <c r="CU387" s="520" t="str">
        <f>IF(AND(_6="A-350",'2026'!$N$4="FO",'2026'!$N$2=CU385),'2026DATA'!$N$4,"")</f>
        <v/>
      </c>
    </row>
    <row r="388" spans="16:99" x14ac:dyDescent="0.25">
      <c r="P388" s="940" t="s">
        <v>65</v>
      </c>
      <c r="Q388" s="13" t="s">
        <v>61</v>
      </c>
      <c r="R388" s="518" t="str">
        <f>IF(AND(_1="A-330-900",'2026'!$N$4="CA",'2026'!$N$2=R385),'2026DATA'!$C$5,"")</f>
        <v/>
      </c>
      <c r="S388" s="518" t="str">
        <f>IF(AND(_1="A-330-900",'2026'!$N$4="CA",'2026'!$N$2=S385),'2026DATA'!$D$5,"")</f>
        <v/>
      </c>
      <c r="T388" s="518" t="str">
        <f>IF(AND(_1="A-330-900",'2026'!$N$4="CA",'2026'!$N$2=T385),'2026DATA'!$E$5,"")</f>
        <v/>
      </c>
      <c r="U388" s="518" t="str">
        <f>IF(AND(_1="A-330-900",'2026'!$N$4="CA",'2026'!$N$2=U385),'2026DATA'!$F$5,"")</f>
        <v/>
      </c>
      <c r="V388" s="518" t="str">
        <f>IF(AND(_1="A-330-900",'2026'!$N$4="CA",'2026'!$N$2=V385),'2026DATA'!$G$5,"")</f>
        <v/>
      </c>
      <c r="W388" s="518" t="str">
        <f>IF(AND(_1="A-330-900",'2026'!$N$4="CA",'2026'!$N$2=W385),'2026DATA'!$H$5,"")</f>
        <v/>
      </c>
      <c r="X388" s="518" t="str">
        <f>IF(AND(_1="A-330-900",'2026'!$N$4="CA",'2026'!$N$2=X385),'2026DATA'!$I$5,"")</f>
        <v/>
      </c>
      <c r="Y388" s="518" t="str">
        <f>IF(AND(_1="A-330-900",'2026'!$N$4="CA",'2026'!$N$2=Y385),'2026DATA'!$J$5,"")</f>
        <v/>
      </c>
      <c r="Z388" s="518" t="str">
        <f>IF(AND(_1="A-330-900",'2026'!$N$4="CA",'2026'!$N$2=Z385),'2026DATA'!$K$5,"")</f>
        <v/>
      </c>
      <c r="AA388" s="518" t="str">
        <f>IF(AND(_1="A-330-900",'2026'!$N$4="CA",'2026'!$N$2=AA385),'2026DATA'!$L$5,"")</f>
        <v/>
      </c>
      <c r="AB388" s="518" t="str">
        <f>IF(AND(_1="A-330-900",'2026'!$N$4="CA",'2026'!$N$2=AB385),'2026DATA'!$M$5,"")</f>
        <v/>
      </c>
      <c r="AC388" s="520" t="str">
        <f>IF(AND(_1="A-330-900",'2026'!$N$4="CA",'2026'!$N$2=AC385),'2026DATA'!$N$5,"")</f>
        <v/>
      </c>
      <c r="AD388" s="940" t="s">
        <v>65</v>
      </c>
      <c r="AE388" s="13" t="s">
        <v>61</v>
      </c>
      <c r="AF388" s="518" t="str">
        <f>IF(AND(_2="A-330-900",'2026'!$N$4="CA",'2026'!$N$2=AF385),'2026DATA'!$C$5,"")</f>
        <v/>
      </c>
      <c r="AG388" s="518" t="str">
        <f>IF(AND(_2="A-330-900",'2026'!$N$4="CA",'2026'!$N$2=AG385),'2026DATA'!$D$5,"")</f>
        <v/>
      </c>
      <c r="AH388" s="518" t="str">
        <f>IF(AND(_2="A-330-900",'2026'!$N$4="CA",'2026'!$N$2=AH385),'2026DATA'!$E$5,"")</f>
        <v/>
      </c>
      <c r="AI388" s="518" t="str">
        <f>IF(AND(_2="A-330-900",'2026'!$N$4="CA",'2026'!$N$2=AI385),'2026DATA'!$F$5,"")</f>
        <v/>
      </c>
      <c r="AJ388" s="518" t="str">
        <f>IF(AND(_2="A-330-900",'2026'!$N$4="CA",'2026'!$N$2=AJ385),'2026DATA'!$G$5,"")</f>
        <v/>
      </c>
      <c r="AK388" s="518" t="str">
        <f>IF(AND(_2="A-330-900",'2026'!$N$4="CA",'2026'!$N$2=AK385),'2026DATA'!$H$5,"")</f>
        <v/>
      </c>
      <c r="AL388" s="518" t="str">
        <f>IF(AND(_2="A-330-900",'2026'!$N$4="CA",'2026'!$N$2=AL385),'2026DATA'!$I$5,"")</f>
        <v/>
      </c>
      <c r="AM388" s="518" t="str">
        <f>IF(AND(_2="A-330-900",'2026'!$N$4="CA",'2026'!$N$2=AM385),'2026DATA'!$J$5,"")</f>
        <v/>
      </c>
      <c r="AN388" s="518" t="str">
        <f>IF(AND(_2="A-330-900",'2026'!$N$4="CA",'2026'!$N$2=AN385),'2026DATA'!$K$5,"")</f>
        <v/>
      </c>
      <c r="AO388" s="518" t="str">
        <f>IF(AND(_2="A-330-900",'2026'!$N$4="CA",'2026'!$N$2=AO385),'2026DATA'!$L$5,"")</f>
        <v/>
      </c>
      <c r="AP388" s="518" t="str">
        <f>IF(AND(_2="A-330-900",'2026'!$N$4="CA",'2026'!$N$2=AP385),'2026DATA'!$M$5,"")</f>
        <v/>
      </c>
      <c r="AQ388" s="520" t="str">
        <f>IF(AND(_2="A-330-900",'2026'!$N$4="CA",'2026'!$N$2=AQ385),'2026DATA'!$N$5,"")</f>
        <v/>
      </c>
      <c r="AR388" s="940" t="s">
        <v>65</v>
      </c>
      <c r="AS388" s="13" t="s">
        <v>61</v>
      </c>
      <c r="AT388" s="518" t="str">
        <f>IF(AND(_3="A-330-900",'2026'!$N$4="CA",'2026'!$N$2=AT385),'2026DATA'!$C$5,"")</f>
        <v/>
      </c>
      <c r="AU388" s="518" t="str">
        <f>IF(AND(_3="A-330-900",'2026'!$N$4="CA",'2026'!$N$2=AU385),'2026DATA'!$D$5,"")</f>
        <v/>
      </c>
      <c r="AV388" s="518" t="str">
        <f>IF(AND(_3="A-330-900",'2026'!$N$4="CA",'2026'!$N$2=AV385),'2026DATA'!$E$5,"")</f>
        <v/>
      </c>
      <c r="AW388" s="518" t="str">
        <f>IF(AND(_3="A-330-900",'2026'!$N$4="CA",'2026'!$N$2=AW385),'2026DATA'!$F$5,"")</f>
        <v/>
      </c>
      <c r="AX388" s="518" t="str">
        <f>IF(AND(_3="A-330-900",'2026'!$N$4="CA",'2026'!$N$2=AX385),'2026DATA'!$G$5,"")</f>
        <v/>
      </c>
      <c r="AY388" s="518" t="str">
        <f>IF(AND(_3="A-330-900",'2026'!$N$4="CA",'2026'!$N$2=AY385),'2026DATA'!$H$5,"")</f>
        <v/>
      </c>
      <c r="AZ388" s="518" t="str">
        <f>IF(AND(_3="A-330-900",'2026'!$N$4="CA",'2026'!$N$2=AZ385),'2026DATA'!$I$5,"")</f>
        <v/>
      </c>
      <c r="BA388" s="518" t="str">
        <f>IF(AND(_3="A-330-900",'2026'!$N$4="CA",'2026'!$N$2=BA385),'2026DATA'!$J$5,"")</f>
        <v/>
      </c>
      <c r="BB388" s="518" t="str">
        <f>IF(AND(_3="A-330-900",'2026'!$N$4="CA",'2026'!$N$2=BB385),'2026DATA'!$K$5,"")</f>
        <v/>
      </c>
      <c r="BC388" s="518" t="str">
        <f>IF(AND(_3="A-330-900",'2026'!$N$4="CA",'2026'!$N$2=BC385),'2026DATA'!$L$5,"")</f>
        <v/>
      </c>
      <c r="BD388" s="518" t="str">
        <f>IF(AND(_3="A-330-900",'2026'!$N$4="CA",'2026'!$N$2=BD385),'2026DATA'!$M$5,"")</f>
        <v/>
      </c>
      <c r="BE388" s="520" t="str">
        <f>IF(AND(_3="A-330-900",'2026'!$N$4="CA",'2026'!$N$2=BE385),'2026DATA'!$N$5,"")</f>
        <v/>
      </c>
      <c r="BF388" s="940" t="s">
        <v>65</v>
      </c>
      <c r="BG388" s="13" t="s">
        <v>61</v>
      </c>
      <c r="BH388" s="518" t="str">
        <f>IF(AND(_4="A-330-900",'2026'!$N$4="CA",'2026'!$N$2=BH385),'2026DATA'!$C$5,"")</f>
        <v/>
      </c>
      <c r="BI388" s="518" t="str">
        <f>IF(AND(_4="A-330-900",'2026'!$N$4="CA",'2026'!$N$2=BI385),'2026DATA'!$D$5,"")</f>
        <v/>
      </c>
      <c r="BJ388" s="518" t="str">
        <f>IF(AND(_4="A-330-900",'2026'!$N$4="CA",'2026'!$N$2=BJ385),'2026DATA'!$E$5,"")</f>
        <v/>
      </c>
      <c r="BK388" s="518" t="str">
        <f>IF(AND(_4="A-330-900",'2026'!$N$4="CA",'2026'!$N$2=BK385),'2026DATA'!$F$5,"")</f>
        <v/>
      </c>
      <c r="BL388" s="518" t="str">
        <f>IF(AND(_4="A-330-900",'2026'!$N$4="CA",'2026'!$N$2=BL385),'2026DATA'!$G$5,"")</f>
        <v/>
      </c>
      <c r="BM388" s="518" t="str">
        <f>IF(AND(_4="A-330-900",'2026'!$N$4="CA",'2026'!$N$2=BM385),'2026DATA'!$H$5,"")</f>
        <v/>
      </c>
      <c r="BN388" s="518" t="str">
        <f>IF(AND(_4="A-330-900",'2026'!$N$4="CA",'2026'!$N$2=BN385),'2026DATA'!$I$5,"")</f>
        <v/>
      </c>
      <c r="BO388" s="518" t="str">
        <f>IF(AND(_4="A-330-900",'2026'!$N$4="CA",'2026'!$N$2=BO385),'2026DATA'!$J$5,"")</f>
        <v/>
      </c>
      <c r="BP388" s="518" t="str">
        <f>IF(AND(_4="A-330-900",'2026'!$N$4="CA",'2026'!$N$2=BP385),'2026DATA'!$K$5,"")</f>
        <v/>
      </c>
      <c r="BQ388" s="518" t="str">
        <f>IF(AND(_4="A-330-900",'2026'!$N$4="CA",'2026'!$N$2=BQ385),'2026DATA'!$L$5,"")</f>
        <v/>
      </c>
      <c r="BR388" s="518" t="str">
        <f>IF(AND(_4="A-330-900",'2026'!$N$4="CA",'2026'!$N$2=BR385),'2026DATA'!$M$5,"")</f>
        <v/>
      </c>
      <c r="BS388" s="520" t="str">
        <f>IF(AND(_4="A-330-900",'2026'!$N$4="CA",'2026'!$N$2=BS385),'2026DATA'!$N$5,"")</f>
        <v/>
      </c>
      <c r="BT388" s="940" t="s">
        <v>65</v>
      </c>
      <c r="BU388" s="13" t="s">
        <v>61</v>
      </c>
      <c r="BV388" s="518" t="str">
        <f>IF(AND(_5="A-330-900",'2026'!$N$4="CA",'2026'!$N$2=BV385),'2026DATA'!$C$5,"")</f>
        <v/>
      </c>
      <c r="BW388" s="518" t="str">
        <f>IF(AND(_5="A-330-900",'2026'!$N$4="CA",'2026'!$N$2=BW385),'2026DATA'!$D$5,"")</f>
        <v/>
      </c>
      <c r="BX388" s="518" t="str">
        <f>IF(AND(_5="A-330-900",'2026'!$N$4="CA",'2026'!$N$2=BX385),'2026DATA'!$E$5,"")</f>
        <v/>
      </c>
      <c r="BY388" s="518" t="str">
        <f>IF(AND(_5="A-330-900",'2026'!$N$4="CA",'2026'!$N$2=BY385),'2026DATA'!$F$5,"")</f>
        <v/>
      </c>
      <c r="BZ388" s="518" t="str">
        <f>IF(AND(_5="A-330-900",'2026'!$N$4="CA",'2026'!$N$2=BZ385),'2026DATA'!$G$5,"")</f>
        <v/>
      </c>
      <c r="CA388" s="518" t="str">
        <f>IF(AND(_5="A-330-900",'2026'!$N$4="CA",'2026'!$N$2=CA385),'2026DATA'!$H$5,"")</f>
        <v/>
      </c>
      <c r="CB388" s="518" t="str">
        <f>IF(AND(_5="A-330-900",'2026'!$N$4="CA",'2026'!$N$2=CB385),'2026DATA'!$I$5,"")</f>
        <v/>
      </c>
      <c r="CC388" s="518" t="str">
        <f>IF(AND(_5="A-330-900",'2026'!$N$4="CA",'2026'!$N$2=CC385),'2026DATA'!$J$5,"")</f>
        <v/>
      </c>
      <c r="CD388" s="518" t="str">
        <f>IF(AND(_5="A-330-900",'2026'!$N$4="CA",'2026'!$N$2=CD385),'2026DATA'!$K$5,"")</f>
        <v/>
      </c>
      <c r="CE388" s="518" t="str">
        <f>IF(AND(_5="A-330-900",'2026'!$N$4="CA",'2026'!$N$2=CE385),'2026DATA'!$L$5,"")</f>
        <v/>
      </c>
      <c r="CF388" s="518" t="str">
        <f>IF(AND(_5="A-330-900",'2026'!$N$4="CA",'2026'!$N$2=CF385),'2026DATA'!$M$5,"")</f>
        <v/>
      </c>
      <c r="CG388" s="520" t="str">
        <f>IF(AND(_5="A-330-900",'2026'!$N$4="CA",'2026'!$N$2=CG385),'2026DATA'!$N$5,"")</f>
        <v/>
      </c>
      <c r="CH388" s="940" t="s">
        <v>65</v>
      </c>
      <c r="CI388" s="13" t="s">
        <v>61</v>
      </c>
      <c r="CJ388" s="518" t="str">
        <f>IF(AND(_6="A-330-900",'2026'!$N$4="CA",'2026'!$N$2=CJ385),'2026DATA'!$C$5,"")</f>
        <v/>
      </c>
      <c r="CK388" s="518" t="str">
        <f>IF(AND(_6="A-330-900",'2026'!$N$4="CA",'2026'!$N$2=CK385),'2026DATA'!$D$5,"")</f>
        <v/>
      </c>
      <c r="CL388" s="518" t="str">
        <f>IF(AND(_6="A-330-900",'2026'!$N$4="CA",'2026'!$N$2=CL385),'2026DATA'!$E$5,"")</f>
        <v/>
      </c>
      <c r="CM388" s="518" t="str">
        <f>IF(AND(_6="A-330-900",'2026'!$N$4="CA",'2026'!$N$2=CM385),'2026DATA'!$F$5,"")</f>
        <v/>
      </c>
      <c r="CN388" s="518" t="str">
        <f>IF(AND(_6="A-330-900",'2026'!$N$4="CA",'2026'!$N$2=CN385),'2026DATA'!$G$5,"")</f>
        <v/>
      </c>
      <c r="CO388" s="518" t="str">
        <f>IF(AND(_6="A-330-900",'2026'!$N$4="CA",'2026'!$N$2=CO385),'2026DATA'!$H$5,"")</f>
        <v/>
      </c>
      <c r="CP388" s="518" t="str">
        <f>IF(AND(_6="A-330-900",'2026'!$N$4="CA",'2026'!$N$2=CP385),'2026DATA'!$I$5,"")</f>
        <v/>
      </c>
      <c r="CQ388" s="518" t="str">
        <f>IF(AND(_6="A-330-900",'2026'!$N$4="CA",'2026'!$N$2=CQ385),'2026DATA'!$J$5,"")</f>
        <v/>
      </c>
      <c r="CR388" s="518" t="str">
        <f>IF(AND(_6="A-330-900",'2026'!$N$4="CA",'2026'!$N$2=CR385),'2026DATA'!$K$5,"")</f>
        <v/>
      </c>
      <c r="CS388" s="518" t="str">
        <f>IF(AND(_6="A-330-900",'2026'!$N$4="CA",'2026'!$N$2=CS385),'2026DATA'!$L$5,"")</f>
        <v/>
      </c>
      <c r="CT388" s="518" t="str">
        <f>IF(AND(_6="A-330-900",'2026'!$N$4="CA",'2026'!$N$2=CT385),'2026DATA'!$M$5,"")</f>
        <v/>
      </c>
      <c r="CU388" s="520" t="str">
        <f>IF(AND(_6="A-330-900",'2026'!$N$4="CA",'2026'!$N$2=CU385),'2026DATA'!$N$5,"")</f>
        <v/>
      </c>
    </row>
    <row r="389" spans="16:99" x14ac:dyDescent="0.25">
      <c r="P389" s="940"/>
      <c r="Q389" s="13" t="s">
        <v>62</v>
      </c>
      <c r="R389" s="518" t="str">
        <f>IF(AND(_1="A-330-900",'2026'!$N$4="FO",'2026'!$N$2=R385),'2026DATA'!$C$6,"")</f>
        <v/>
      </c>
      <c r="S389" s="518" t="str">
        <f>IF(AND(_1="A-330-900",'2026'!$N$4="FO",'2026'!$N$2=S385),'2026DATA'!$D$6,"")</f>
        <v/>
      </c>
      <c r="T389" s="518" t="str">
        <f>IF(AND(_1="A-330-900",'2026'!$N$4="FO",'2026'!$N$2=T385),'2026DATA'!$E$6,"")</f>
        <v/>
      </c>
      <c r="U389" s="518" t="str">
        <f>IF(AND(_1="A-330-900",'2026'!$N$4="FO",'2026'!$N$2=U385),'2026DATA'!$F$6,"")</f>
        <v/>
      </c>
      <c r="V389" s="518" t="str">
        <f>IF(AND(_1="A-330-900",'2026'!$N$4="FO",'2026'!$N$2=V385),'2026DATA'!$G$6,"")</f>
        <v/>
      </c>
      <c r="W389" s="518" t="str">
        <f>IF(AND(_1="A-330-900",'2026'!$N$4="FO",'2026'!$N$2=W385),'2026DATA'!$H$6,"")</f>
        <v/>
      </c>
      <c r="X389" s="518" t="str">
        <f>IF(AND(_1="A-330-900",'2026'!$N$4="FO",'2026'!$N$2=X385),'2026DATA'!$I$6,"")</f>
        <v/>
      </c>
      <c r="Y389" s="518" t="str">
        <f>IF(AND(_1="A-330-900",'2026'!$N$4="FO",'2026'!$N$2=Y385),'2026DATA'!$J$6,"")</f>
        <v/>
      </c>
      <c r="Z389" s="518" t="str">
        <f>IF(AND(_1="A-330-900",'2026'!$N$4="FO",'2026'!$N$2=Z385),'2026DATA'!$K$6,"")</f>
        <v/>
      </c>
      <c r="AA389" s="518" t="str">
        <f>IF(AND(_1="A-330-900",'2026'!$N$4="FO",'2026'!$N$2=AA385),'2026DATA'!$L$6,"")</f>
        <v/>
      </c>
      <c r="AB389" s="518" t="str">
        <f>IF(AND(_1="A-330-900",'2026'!$N$4="FO",'2026'!$N$2=AB385),'2026DATA'!$M$6,"")</f>
        <v/>
      </c>
      <c r="AC389" s="520" t="str">
        <f>IF(AND(_1="A-330-900",'2026'!$N$4="FO",'2026'!$N$2=AC385),'2026DATA'!$N$6,"")</f>
        <v/>
      </c>
      <c r="AD389" s="940"/>
      <c r="AE389" s="13" t="s">
        <v>62</v>
      </c>
      <c r="AF389" s="518" t="str">
        <f>IF(AND(_2="A-330-900",'2026'!$N$4="FO",'2026'!$N$2=AF385),'2026DATA'!$C$6,"")</f>
        <v/>
      </c>
      <c r="AG389" s="518" t="str">
        <f>IF(AND(_2="A-330-900",'2026'!$N$4="FO",'2026'!$N$2=AG385),'2026DATA'!$D$6,"")</f>
        <v/>
      </c>
      <c r="AH389" s="518" t="str">
        <f>IF(AND(_2="A-330-900",'2026'!$N$4="FO",'2026'!$N$2=AH385),'2026DATA'!$E$6,"")</f>
        <v/>
      </c>
      <c r="AI389" s="518" t="str">
        <f>IF(AND(_2="A-330-900",'2026'!$N$4="FO",'2026'!$N$2=AI385),'2026DATA'!$F$6,"")</f>
        <v/>
      </c>
      <c r="AJ389" s="518" t="str">
        <f>IF(AND(_2="A-330-900",'2026'!$N$4="FO",'2026'!$N$2=AJ385),'2026DATA'!$G$6,"")</f>
        <v/>
      </c>
      <c r="AK389" s="518" t="str">
        <f>IF(AND(_2="A-330-900",'2026'!$N$4="FO",'2026'!$N$2=AK385),'2026DATA'!$H$6,"")</f>
        <v/>
      </c>
      <c r="AL389" s="518" t="str">
        <f>IF(AND(_2="A-330-900",'2026'!$N$4="FO",'2026'!$N$2=AL385),'2026DATA'!$I$6,"")</f>
        <v/>
      </c>
      <c r="AM389" s="518" t="str">
        <f>IF(AND(_2="A-330-900",'2026'!$N$4="FO",'2026'!$N$2=AM385),'2026DATA'!$J$6,"")</f>
        <v/>
      </c>
      <c r="AN389" s="518" t="str">
        <f>IF(AND(_2="A-330-900",'2026'!$N$4="FO",'2026'!$N$2=AN385),'2026DATA'!$K$6,"")</f>
        <v/>
      </c>
      <c r="AO389" s="518" t="str">
        <f>IF(AND(_2="A-330-900",'2026'!$N$4="FO",'2026'!$N$2=AO385),'2026DATA'!$L$6,"")</f>
        <v/>
      </c>
      <c r="AP389" s="518" t="str">
        <f>IF(AND(_2="A-330-900",'2026'!$N$4="FO",'2026'!$N$2=AP385),'2026DATA'!$M$6,"")</f>
        <v/>
      </c>
      <c r="AQ389" s="520" t="str">
        <f>IF(AND(_2="A-330-900",'2026'!$N$4="FO",'2026'!$N$2=AQ385),'2026DATA'!$N$6,"")</f>
        <v/>
      </c>
      <c r="AR389" s="940"/>
      <c r="AS389" s="13" t="s">
        <v>62</v>
      </c>
      <c r="AT389" s="518" t="str">
        <f>IF(AND(_3="A-330-900",'2026'!$N$4="FO",'2026'!$N$2=AT385),'2026DATA'!$C$6,"")</f>
        <v/>
      </c>
      <c r="AU389" s="518" t="str">
        <f>IF(AND(_3="A-330-900",'2026'!$N$4="FO",'2026'!$N$2=AU385),'2026DATA'!$D$6,"")</f>
        <v/>
      </c>
      <c r="AV389" s="518" t="str">
        <f>IF(AND(_3="A-330-900",'2026'!$N$4="FO",'2026'!$N$2=AV385),'2026DATA'!$E$6,"")</f>
        <v/>
      </c>
      <c r="AW389" s="518" t="str">
        <f>IF(AND(_3="A-330-900",'2026'!$N$4="FO",'2026'!$N$2=AW385),'2026DATA'!$F$6,"")</f>
        <v/>
      </c>
      <c r="AX389" s="518" t="str">
        <f>IF(AND(_3="A-330-900",'2026'!$N$4="FO",'2026'!$N$2=AX385),'2026DATA'!$G$6,"")</f>
        <v/>
      </c>
      <c r="AY389" s="518" t="str">
        <f>IF(AND(_3="A-330-900",'2026'!$N$4="FO",'2026'!$N$2=AY385),'2026DATA'!$H$6,"")</f>
        <v/>
      </c>
      <c r="AZ389" s="518" t="str">
        <f>IF(AND(_3="A-330-900",'2026'!$N$4="FO",'2026'!$N$2=AZ385),'2026DATA'!$I$6,"")</f>
        <v/>
      </c>
      <c r="BA389" s="518" t="str">
        <f>IF(AND(_3="A-330-900",'2026'!$N$4="FO",'2026'!$N$2=BA385),'2026DATA'!$J$6,"")</f>
        <v/>
      </c>
      <c r="BB389" s="518" t="str">
        <f>IF(AND(_3="A-330-900",'2026'!$N$4="FO",'2026'!$N$2=BB385),'2026DATA'!$K$6,"")</f>
        <v/>
      </c>
      <c r="BC389" s="518" t="str">
        <f>IF(AND(_3="A-330-900",'2026'!$N$4="FO",'2026'!$N$2=BC385),'2026DATA'!$L$6,"")</f>
        <v/>
      </c>
      <c r="BD389" s="518" t="str">
        <f>IF(AND(_3="A-330-900",'2026'!$N$4="FO",'2026'!$N$2=BD385),'2026DATA'!$M$6,"")</f>
        <v/>
      </c>
      <c r="BE389" s="520" t="str">
        <f>IF(AND(_3="A-330-900",'2026'!$N$4="FO",'2026'!$N$2=BE385),'2026DATA'!$N$6,"")</f>
        <v/>
      </c>
      <c r="BF389" s="940"/>
      <c r="BG389" s="13" t="s">
        <v>62</v>
      </c>
      <c r="BH389" s="518" t="str">
        <f>IF(AND(_4="A-330-900",'2026'!$N$4="FO",'2026'!$N$2=BH385),'2026DATA'!$C$6,"")</f>
        <v/>
      </c>
      <c r="BI389" s="518" t="str">
        <f>IF(AND(_4="A-330-900",'2026'!$N$4="FO",'2026'!$N$2=BI385),'2026DATA'!$D$6,"")</f>
        <v/>
      </c>
      <c r="BJ389" s="518" t="str">
        <f>IF(AND(_4="A-330-900",'2026'!$N$4="FO",'2026'!$N$2=BJ385),'2026DATA'!$E$6,"")</f>
        <v/>
      </c>
      <c r="BK389" s="518" t="str">
        <f>IF(AND(_4="A-330-900",'2026'!$N$4="FO",'2026'!$N$2=BK385),'2026DATA'!$F$6,"")</f>
        <v/>
      </c>
      <c r="BL389" s="518" t="str">
        <f>IF(AND(_4="A-330-900",'2026'!$N$4="FO",'2026'!$N$2=BL385),'2026DATA'!$G$6,"")</f>
        <v/>
      </c>
      <c r="BM389" s="518" t="str">
        <f>IF(AND(_4="A-330-900",'2026'!$N$4="FO",'2026'!$N$2=BM385),'2026DATA'!$H$6,"")</f>
        <v/>
      </c>
      <c r="BN389" s="518" t="str">
        <f>IF(AND(_4="A-330-900",'2026'!$N$4="FO",'2026'!$N$2=BN385),'2026DATA'!$I$6,"")</f>
        <v/>
      </c>
      <c r="BO389" s="518" t="str">
        <f>IF(AND(_4="A-330-900",'2026'!$N$4="FO",'2026'!$N$2=BO385),'2026DATA'!$J$6,"")</f>
        <v/>
      </c>
      <c r="BP389" s="518" t="str">
        <f>IF(AND(_4="A-330-900",'2026'!$N$4="FO",'2026'!$N$2=BP385),'2026DATA'!$K$6,"")</f>
        <v/>
      </c>
      <c r="BQ389" s="518" t="str">
        <f>IF(AND(_4="A-330-900",'2026'!$N$4="FO",'2026'!$N$2=BQ385),'2026DATA'!$L$6,"")</f>
        <v/>
      </c>
      <c r="BR389" s="518" t="str">
        <f>IF(AND(_4="A-330-900",'2026'!$N$4="FO",'2026'!$N$2=BR385),'2026DATA'!$M$6,"")</f>
        <v/>
      </c>
      <c r="BS389" s="520" t="str">
        <f>IF(AND(_4="A-330-900",'2026'!$N$4="FO",'2026'!$N$2=BS385),'2026DATA'!$N$6,"")</f>
        <v/>
      </c>
      <c r="BT389" s="940"/>
      <c r="BU389" s="13" t="s">
        <v>62</v>
      </c>
      <c r="BV389" s="518" t="str">
        <f>IF(AND(_5="A-330-900",'2026'!$N$4="FO",'2026'!$N$2=BV385),'2026DATA'!$C$6,"")</f>
        <v/>
      </c>
      <c r="BW389" s="518" t="str">
        <f>IF(AND(_5="A-330-900",'2026'!$N$4="FO",'2026'!$N$2=BW385),'2026DATA'!$D$6,"")</f>
        <v/>
      </c>
      <c r="BX389" s="518" t="str">
        <f>IF(AND(_5="A-330-900",'2026'!$N$4="FO",'2026'!$N$2=BX385),'2026DATA'!$E$6,"")</f>
        <v/>
      </c>
      <c r="BY389" s="518" t="str">
        <f>IF(AND(_5="A-330-900",'2026'!$N$4="FO",'2026'!$N$2=BY385),'2026DATA'!$F$6,"")</f>
        <v/>
      </c>
      <c r="BZ389" s="518" t="str">
        <f>IF(AND(_5="A-330-900",'2026'!$N$4="FO",'2026'!$N$2=BZ385),'2026DATA'!$G$6,"")</f>
        <v/>
      </c>
      <c r="CA389" s="518" t="str">
        <f>IF(AND(_5="A-330-900",'2026'!$N$4="FO",'2026'!$N$2=CA385),'2026DATA'!$H$6,"")</f>
        <v/>
      </c>
      <c r="CB389" s="518" t="str">
        <f>IF(AND(_5="A-330-900",'2026'!$N$4="FO",'2026'!$N$2=CB385),'2026DATA'!$I$6,"")</f>
        <v/>
      </c>
      <c r="CC389" s="518" t="str">
        <f>IF(AND(_5="A-330-900",'2026'!$N$4="FO",'2026'!$N$2=CC385),'2026DATA'!$J$6,"")</f>
        <v/>
      </c>
      <c r="CD389" s="518" t="str">
        <f>IF(AND(_5="A-330-900",'2026'!$N$4="FO",'2026'!$N$2=CD385),'2026DATA'!$K$6,"")</f>
        <v/>
      </c>
      <c r="CE389" s="518" t="str">
        <f>IF(AND(_5="A-330-900",'2026'!$N$4="FO",'2026'!$N$2=CE385),'2026DATA'!$L$6,"")</f>
        <v/>
      </c>
      <c r="CF389" s="518" t="str">
        <f>IF(AND(_5="A-330-900",'2026'!$N$4="FO",'2026'!$N$2=CF385),'2026DATA'!$M$6,"")</f>
        <v/>
      </c>
      <c r="CG389" s="520" t="str">
        <f>IF(AND(_5="A-330-900",'2026'!$N$4="FO",'2026'!$N$2=CG385),'2026DATA'!$N$6,"")</f>
        <v/>
      </c>
      <c r="CH389" s="940"/>
      <c r="CI389" s="13" t="s">
        <v>62</v>
      </c>
      <c r="CJ389" s="518" t="str">
        <f>IF(AND(_6="A-330-900",'2026'!$N$4="FO",'2026'!$N$2=CJ385),'2026DATA'!$C$6,"")</f>
        <v/>
      </c>
      <c r="CK389" s="518" t="str">
        <f>IF(AND(_6="A-330-900",'2026'!$N$4="FO",'2026'!$N$2=CK385),'2026DATA'!$D$6,"")</f>
        <v/>
      </c>
      <c r="CL389" s="518" t="str">
        <f>IF(AND(_6="A-330-900",'2026'!$N$4="FO",'2026'!$N$2=CL385),'2026DATA'!$E$6,"")</f>
        <v/>
      </c>
      <c r="CM389" s="518" t="str">
        <f>IF(AND(_6="A-330-900",'2026'!$N$4="FO",'2026'!$N$2=CM385),'2026DATA'!$F$6,"")</f>
        <v/>
      </c>
      <c r="CN389" s="518" t="str">
        <f>IF(AND(_6="A-330-900",'2026'!$N$4="FO",'2026'!$N$2=CN385),'2026DATA'!$G$6,"")</f>
        <v/>
      </c>
      <c r="CO389" s="518" t="str">
        <f>IF(AND(_6="A-330-900",'2026'!$N$4="FO",'2026'!$N$2=CO385),'2026DATA'!$H$6,"")</f>
        <v/>
      </c>
      <c r="CP389" s="518" t="str">
        <f>IF(AND(_6="A-330-900",'2026'!$N$4="FO",'2026'!$N$2=CP385),'2026DATA'!$I$6,"")</f>
        <v/>
      </c>
      <c r="CQ389" s="518" t="str">
        <f>IF(AND(_6="A-330-900",'2026'!$N$4="FO",'2026'!$N$2=CQ385),'2026DATA'!$J$6,"")</f>
        <v/>
      </c>
      <c r="CR389" s="518" t="str">
        <f>IF(AND(_6="A-330-900",'2026'!$N$4="FO",'2026'!$N$2=CR385),'2026DATA'!$K$6,"")</f>
        <v/>
      </c>
      <c r="CS389" s="518" t="str">
        <f>IF(AND(_6="A-330-900",'2026'!$N$4="FO",'2026'!$N$2=CS385),'2026DATA'!$L$6,"")</f>
        <v/>
      </c>
      <c r="CT389" s="518" t="str">
        <f>IF(AND(_6="A-330-900",'2026'!$N$4="FO",'2026'!$N$2=CT385),'2026DATA'!$M$6,"")</f>
        <v/>
      </c>
      <c r="CU389" s="520" t="str">
        <f>IF(AND(_6="A-330-900",'2026'!$N$4="FO",'2026'!$N$2=CU385),'2026DATA'!$N$6,"")</f>
        <v/>
      </c>
    </row>
    <row r="390" spans="16:99" x14ac:dyDescent="0.25">
      <c r="P390" s="940" t="s">
        <v>64</v>
      </c>
      <c r="Q390" s="13" t="s">
        <v>61</v>
      </c>
      <c r="R390" s="518" t="str">
        <f>IF(AND(_1="A-330-300",'2026'!$N$4="CA",'2026'!$N$2=R385),'2026DATA'!$C$7,"")</f>
        <v/>
      </c>
      <c r="S390" s="518" t="str">
        <f>IF(AND(_1="A-330-300",'2026'!$N$4="CA",'2026'!$N$2=S385),'2026DATA'!$D$7,"")</f>
        <v/>
      </c>
      <c r="T390" s="518" t="str">
        <f>IF(AND(_1="A-330-300",'2026'!$N$4="CA",'2026'!$N$2=T385),'2026DATA'!$E$7,"")</f>
        <v/>
      </c>
      <c r="U390" s="518" t="str">
        <f>IF(AND(_1="A-330-300",'2026'!$N$4="CA",'2026'!$N$2=U385),'2026DATA'!$F$7,"")</f>
        <v/>
      </c>
      <c r="V390" s="518" t="str">
        <f>IF(AND(_1="A-330-300",'2026'!$N$4="CA",'2026'!$N$2=V385),'2026DATA'!$G$7,"")</f>
        <v/>
      </c>
      <c r="W390" s="518" t="str">
        <f>IF(AND(_1="A-330-300",'2026'!$N$4="CA",'2026'!$N$2=W385),'2026DATA'!$H$7,"")</f>
        <v/>
      </c>
      <c r="X390" s="518" t="str">
        <f>IF(AND(_1="A-330-300",'2026'!$N$4="CA",'2026'!$N$2=X385),'2026DATA'!$I$7,"")</f>
        <v/>
      </c>
      <c r="Y390" s="518" t="str">
        <f>IF(AND(_1="A-330-300",'2026'!$N$4="CA",'2026'!$N$2=Y385),'2026DATA'!$J$7,"")</f>
        <v/>
      </c>
      <c r="Z390" s="518" t="str">
        <f>IF(AND(_1="A-330-300",'2026'!$N$4="CA",'2026'!$N$2=Z385),'2026DATA'!$K$7,"")</f>
        <v/>
      </c>
      <c r="AA390" s="518" t="str">
        <f>IF(AND(_1="A-330-300",'2026'!$N$4="CA",'2026'!$N$2=AA385),'2026DATA'!$L$7,"")</f>
        <v/>
      </c>
      <c r="AB390" s="518" t="str">
        <f>IF(AND(_1="A-330-300",'2026'!$N$4="CA",'2026'!$N$2=AB385),'2026DATA'!$M$7,"")</f>
        <v/>
      </c>
      <c r="AC390" s="520" t="str">
        <f>IF(AND(_1="A-330-300",'2026'!$N$4="CA",'2026'!$N$2=AC385),'2026DATA'!$N$7,"")</f>
        <v/>
      </c>
      <c r="AD390" s="940" t="s">
        <v>64</v>
      </c>
      <c r="AE390" s="13" t="s">
        <v>61</v>
      </c>
      <c r="AF390" s="518" t="str">
        <f>IF(AND(_2="A-330-300",'2026'!$N$4="CA",'2026'!$N$2=AF385),'2026DATA'!$C$7,"")</f>
        <v/>
      </c>
      <c r="AG390" s="518" t="str">
        <f>IF(AND(_2="A-330-300",'2026'!$N$4="CA",'2026'!$N$2=AG385),'2026DATA'!$D$7,"")</f>
        <v/>
      </c>
      <c r="AH390" s="518" t="str">
        <f>IF(AND(_2="A-330-300",'2026'!$N$4="CA",'2026'!$N$2=AH385),'2026DATA'!$E$7,"")</f>
        <v/>
      </c>
      <c r="AI390" s="518" t="str">
        <f>IF(AND(_2="A-330-300",'2026'!$N$4="CA",'2026'!$N$2=AI385),'2026DATA'!$F$7,"")</f>
        <v/>
      </c>
      <c r="AJ390" s="518" t="str">
        <f>IF(AND(_2="A-330-300",'2026'!$N$4="CA",'2026'!$N$2=AJ385),'2026DATA'!$G$7,"")</f>
        <v/>
      </c>
      <c r="AK390" s="518" t="str">
        <f>IF(AND(_2="A-330-300",'2026'!$N$4="CA",'2026'!$N$2=AK385),'2026DATA'!$H$7,"")</f>
        <v/>
      </c>
      <c r="AL390" s="518" t="str">
        <f>IF(AND(_2="A-330-300",'2026'!$N$4="CA",'2026'!$N$2=AL385),'2026DATA'!$I$7,"")</f>
        <v/>
      </c>
      <c r="AM390" s="518" t="str">
        <f>IF(AND(_2="A-330-300",'2026'!$N$4="CA",'2026'!$N$2=AM385),'2026DATA'!$J$7,"")</f>
        <v/>
      </c>
      <c r="AN390" s="518" t="str">
        <f>IF(AND(_2="A-330-300",'2026'!$N$4="CA",'2026'!$N$2=AN385),'2026DATA'!$K$7,"")</f>
        <v/>
      </c>
      <c r="AO390" s="518" t="str">
        <f>IF(AND(_2="A-330-300",'2026'!$N$4="CA",'2026'!$N$2=AO385),'2026DATA'!$L$7,"")</f>
        <v/>
      </c>
      <c r="AP390" s="518" t="str">
        <f>IF(AND(_2="A-330-300",'2026'!$N$4="CA",'2026'!$N$2=AP385),'2026DATA'!$M$7,"")</f>
        <v/>
      </c>
      <c r="AQ390" s="520" t="str">
        <f>IF(AND(_2="A-330-300",'2026'!$N$4="CA",'2026'!$N$2=AQ385),'2026DATA'!$N$7,"")</f>
        <v/>
      </c>
      <c r="AR390" s="940" t="s">
        <v>64</v>
      </c>
      <c r="AS390" s="13" t="s">
        <v>61</v>
      </c>
      <c r="AT390" s="518" t="str">
        <f>IF(AND(_3="A-330-300",'2026'!$N$4="CA",'2026'!$N$2=AT385),'2026DATA'!$C$7,"")</f>
        <v/>
      </c>
      <c r="AU390" s="518" t="str">
        <f>IF(AND(_3="A-330-300",'2026'!$N$4="CA",'2026'!$N$2=AU385),'2026DATA'!$D$7,"")</f>
        <v/>
      </c>
      <c r="AV390" s="518" t="str">
        <f>IF(AND(_3="A-330-300",'2026'!$N$4="CA",'2026'!$N$2=AV385),'2026DATA'!$E$7,"")</f>
        <v/>
      </c>
      <c r="AW390" s="518" t="str">
        <f>IF(AND(_3="A-330-300",'2026'!$N$4="CA",'2026'!$N$2=AW385),'2026DATA'!$F$7,"")</f>
        <v/>
      </c>
      <c r="AX390" s="518" t="str">
        <f>IF(AND(_3="A-330-300",'2026'!$N$4="CA",'2026'!$N$2=AX385),'2026DATA'!$G$7,"")</f>
        <v/>
      </c>
      <c r="AY390" s="518" t="str">
        <f>IF(AND(_3="A-330-300",'2026'!$N$4="CA",'2026'!$N$2=AY385),'2026DATA'!$H$7,"")</f>
        <v/>
      </c>
      <c r="AZ390" s="518" t="str">
        <f>IF(AND(_3="A-330-300",'2026'!$N$4="CA",'2026'!$N$2=AZ385),'2026DATA'!$I$7,"")</f>
        <v/>
      </c>
      <c r="BA390" s="518" t="str">
        <f>IF(AND(_3="A-330-300",'2026'!$N$4="CA",'2026'!$N$2=BA385),'2026DATA'!$J$7,"")</f>
        <v/>
      </c>
      <c r="BB390" s="518" t="str">
        <f>IF(AND(_3="A-330-300",'2026'!$N$4="CA",'2026'!$N$2=BB385),'2026DATA'!$K$7,"")</f>
        <v/>
      </c>
      <c r="BC390" s="518" t="str">
        <f>IF(AND(_3="A-330-300",'2026'!$N$4="CA",'2026'!$N$2=BC385),'2026DATA'!$L$7,"")</f>
        <v/>
      </c>
      <c r="BD390" s="518" t="str">
        <f>IF(AND(_3="A-330-300",'2026'!$N$4="CA",'2026'!$N$2=BD385),'2026DATA'!$M$7,"")</f>
        <v/>
      </c>
      <c r="BE390" s="520" t="str">
        <f>IF(AND(_3="A-330-300",'2026'!$N$4="CA",'2026'!$N$2=BE385),'2026DATA'!$N$7,"")</f>
        <v/>
      </c>
      <c r="BF390" s="940" t="s">
        <v>64</v>
      </c>
      <c r="BG390" s="13" t="s">
        <v>61</v>
      </c>
      <c r="BH390" s="518" t="str">
        <f>IF(AND(_4="A-330-300",'2026'!$N$4="CA",'2026'!$N$2=BH385),'2026DATA'!$C$7,"")</f>
        <v/>
      </c>
      <c r="BI390" s="518" t="str">
        <f>IF(AND(_4="A-330-300",'2026'!$N$4="CA",'2026'!$N$2=BI385),'2026DATA'!$D$7,"")</f>
        <v/>
      </c>
      <c r="BJ390" s="518" t="str">
        <f>IF(AND(_4="A-330-300",'2026'!$N$4="CA",'2026'!$N$2=BJ385),'2026DATA'!$E$7,"")</f>
        <v/>
      </c>
      <c r="BK390" s="518" t="str">
        <f>IF(AND(_4="A-330-300",'2026'!$N$4="CA",'2026'!$N$2=BK385),'2026DATA'!$F$7,"")</f>
        <v/>
      </c>
      <c r="BL390" s="518" t="str">
        <f>IF(AND(_4="A-330-300",'2026'!$N$4="CA",'2026'!$N$2=BL385),'2026DATA'!$G$7,"")</f>
        <v/>
      </c>
      <c r="BM390" s="518" t="str">
        <f>IF(AND(_4="A-330-300",'2026'!$N$4="CA",'2026'!$N$2=BM385),'2026DATA'!$H$7,"")</f>
        <v/>
      </c>
      <c r="BN390" s="518" t="str">
        <f>IF(AND(_4="A-330-300",'2026'!$N$4="CA",'2026'!$N$2=BN385),'2026DATA'!$I$7,"")</f>
        <v/>
      </c>
      <c r="BO390" s="518" t="str">
        <f>IF(AND(_4="A-330-300",'2026'!$N$4="CA",'2026'!$N$2=BO385),'2026DATA'!$J$7,"")</f>
        <v/>
      </c>
      <c r="BP390" s="518" t="str">
        <f>IF(AND(_4="A-330-300",'2026'!$N$4="CA",'2026'!$N$2=BP385),'2026DATA'!$K$7,"")</f>
        <v/>
      </c>
      <c r="BQ390" s="518" t="str">
        <f>IF(AND(_4="A-330-300",'2026'!$N$4="CA",'2026'!$N$2=BQ385),'2026DATA'!$L$7,"")</f>
        <v/>
      </c>
      <c r="BR390" s="518" t="str">
        <f>IF(AND(_4="A-330-300",'2026'!$N$4="CA",'2026'!$N$2=BR385),'2026DATA'!$M$7,"")</f>
        <v/>
      </c>
      <c r="BS390" s="520" t="str">
        <f>IF(AND(_4="A-330-300",'2026'!$N$4="CA",'2026'!$N$2=BS385),'2026DATA'!$N$7,"")</f>
        <v/>
      </c>
      <c r="BT390" s="940" t="s">
        <v>64</v>
      </c>
      <c r="BU390" s="13" t="s">
        <v>61</v>
      </c>
      <c r="BV390" s="518" t="str">
        <f>IF(AND(_5="A-330-300",'2026'!$N$4="CA",'2026'!$N$2=BV385),'2026DATA'!$C$7,"")</f>
        <v/>
      </c>
      <c r="BW390" s="518" t="str">
        <f>IF(AND(_5="A-330-300",'2026'!$N$4="CA",'2026'!$N$2=BW385),'2026DATA'!$D$7,"")</f>
        <v/>
      </c>
      <c r="BX390" s="518" t="str">
        <f>IF(AND(_5="A-330-300",'2026'!$N$4="CA",'2026'!$N$2=BX385),'2026DATA'!$E$7,"")</f>
        <v/>
      </c>
      <c r="BY390" s="518" t="str">
        <f>IF(AND(_5="A-330-300",'2026'!$N$4="CA",'2026'!$N$2=BY385),'2026DATA'!$F$7,"")</f>
        <v/>
      </c>
      <c r="BZ390" s="518" t="str">
        <f>IF(AND(_5="A-330-300",'2026'!$N$4="CA",'2026'!$N$2=BZ385),'2026DATA'!$G$7,"")</f>
        <v/>
      </c>
      <c r="CA390" s="518" t="str">
        <f>IF(AND(_5="A-330-300",'2026'!$N$4="CA",'2026'!$N$2=CA385),'2026DATA'!$H$7,"")</f>
        <v/>
      </c>
      <c r="CB390" s="518" t="str">
        <f>IF(AND(_5="A-330-300",'2026'!$N$4="CA",'2026'!$N$2=CB385),'2026DATA'!$I$7,"")</f>
        <v/>
      </c>
      <c r="CC390" s="518" t="str">
        <f>IF(AND(_5="A-330-300",'2026'!$N$4="CA",'2026'!$N$2=CC385),'2026DATA'!$J$7,"")</f>
        <v/>
      </c>
      <c r="CD390" s="518" t="str">
        <f>IF(AND(_5="A-330-300",'2026'!$N$4="CA",'2026'!$N$2=CD385),'2026DATA'!$K$7,"")</f>
        <v/>
      </c>
      <c r="CE390" s="518" t="str">
        <f>IF(AND(_5="A-330-300",'2026'!$N$4="CA",'2026'!$N$2=CE385),'2026DATA'!$L$7,"")</f>
        <v/>
      </c>
      <c r="CF390" s="518" t="str">
        <f>IF(AND(_5="A-330-300",'2026'!$N$4="CA",'2026'!$N$2=CF385),'2026DATA'!$M$7,"")</f>
        <v/>
      </c>
      <c r="CG390" s="520" t="str">
        <f>IF(AND(_5="A-330-300",'2026'!$N$4="CA",'2026'!$N$2=CG385),'2026DATA'!$N$7,"")</f>
        <v/>
      </c>
      <c r="CH390" s="940" t="s">
        <v>64</v>
      </c>
      <c r="CI390" s="13" t="s">
        <v>61</v>
      </c>
      <c r="CJ390" s="518" t="str">
        <f>IF(AND(_6="A-330-300",'2026'!$N$4="CA",'2026'!$N$2=CJ385),'2026DATA'!$C$7,"")</f>
        <v/>
      </c>
      <c r="CK390" s="518" t="str">
        <f>IF(AND(_6="A-330-300",'2026'!$N$4="CA",'2026'!$N$2=CK385),'2026DATA'!$D$7,"")</f>
        <v/>
      </c>
      <c r="CL390" s="518" t="str">
        <f>IF(AND(_6="A-330-300",'2026'!$N$4="CA",'2026'!$N$2=CL385),'2026DATA'!$E$7,"")</f>
        <v/>
      </c>
      <c r="CM390" s="518" t="str">
        <f>IF(AND(_6="A-330-300",'2026'!$N$4="CA",'2026'!$N$2=CM385),'2026DATA'!$F$7,"")</f>
        <v/>
      </c>
      <c r="CN390" s="518" t="str">
        <f>IF(AND(_6="A-330-300",'2026'!$N$4="CA",'2026'!$N$2=CN385),'2026DATA'!$G$7,"")</f>
        <v/>
      </c>
      <c r="CO390" s="518" t="str">
        <f>IF(AND(_6="A-330-300",'2026'!$N$4="CA",'2026'!$N$2=CO385),'2026DATA'!$H$7,"")</f>
        <v/>
      </c>
      <c r="CP390" s="518" t="str">
        <f>IF(AND(_6="A-330-300",'2026'!$N$4="CA",'2026'!$N$2=CP385),'2026DATA'!$I$7,"")</f>
        <v/>
      </c>
      <c r="CQ390" s="518" t="str">
        <f>IF(AND(_6="A-330-300",'2026'!$N$4="CA",'2026'!$N$2=CQ385),'2026DATA'!$J$7,"")</f>
        <v/>
      </c>
      <c r="CR390" s="518" t="str">
        <f>IF(AND(_6="A-330-300",'2026'!$N$4="CA",'2026'!$N$2=CR385),'2026DATA'!$K$7,"")</f>
        <v/>
      </c>
      <c r="CS390" s="518" t="str">
        <f>IF(AND(_6="A-330-300",'2026'!$N$4="CA",'2026'!$N$2=CS385),'2026DATA'!$L$7,"")</f>
        <v/>
      </c>
      <c r="CT390" s="518" t="str">
        <f>IF(AND(_6="A-330-300",'2026'!$N$4="CA",'2026'!$N$2=CT385),'2026DATA'!$M$7,"")</f>
        <v/>
      </c>
      <c r="CU390" s="520" t="str">
        <f>IF(AND(_6="A-330-300",'2026'!$N$4="CA",'2026'!$N$2=CU385),'2026DATA'!$N$7,"")</f>
        <v/>
      </c>
    </row>
    <row r="391" spans="16:99" x14ac:dyDescent="0.25">
      <c r="P391" s="940"/>
      <c r="Q391" s="13" t="s">
        <v>62</v>
      </c>
      <c r="R391" s="518" t="str">
        <f>IF(AND(_1="A-330-300",'2026'!$N$4="FO",'2026'!$N$2=R385),'2026DATA'!$C$8,"")</f>
        <v/>
      </c>
      <c r="S391" s="518" t="str">
        <f>IF(AND(_1="A-330-300",'2026'!$N$4="FO",'2026'!$N$2=S385),'2026DATA'!$D$8,"")</f>
        <v/>
      </c>
      <c r="T391" s="518" t="str">
        <f>IF(AND(_1="A-330-300",'2026'!$N$4="FO",'2026'!$N$2=T385),'2026DATA'!$E$8,"")</f>
        <v/>
      </c>
      <c r="U391" s="518" t="str">
        <f>IF(AND(_1="A-330-300",'2026'!$N$4="FO",'2026'!$N$2=U385),'2026DATA'!$F$8,"")</f>
        <v/>
      </c>
      <c r="V391" s="518" t="str">
        <f>IF(AND(_1="A-330-300",'2026'!$N$4="FO",'2026'!$N$2=V385),'2026DATA'!$G$8,"")</f>
        <v/>
      </c>
      <c r="W391" s="518" t="str">
        <f>IF(AND(_1="A-330-300",'2026'!$N$4="FO",'2026'!$N$2=W385),'2026DATA'!$H$8,"")</f>
        <v/>
      </c>
      <c r="X391" s="518" t="str">
        <f>IF(AND(_1="A-330-300",'2026'!$N$4="FO",'2026'!$N$2=X385),'2026DATA'!$I$8,"")</f>
        <v/>
      </c>
      <c r="Y391" s="518" t="str">
        <f>IF(AND(_1="A-330-300",'2026'!$N$4="FO",'2026'!$N$2=Y385),'2026DATA'!$J$8,"")</f>
        <v/>
      </c>
      <c r="Z391" s="518" t="str">
        <f>IF(AND(_1="A-330-300",'2026'!$N$4="FO",'2026'!$N$2=Z385),'2026DATA'!$K$8,"")</f>
        <v/>
      </c>
      <c r="AA391" s="518" t="str">
        <f>IF(AND(_1="A-330-300",'2026'!$N$4="FO",'2026'!$N$2=AA385),'2026DATA'!$L$8,"")</f>
        <v/>
      </c>
      <c r="AB391" s="518" t="str">
        <f>IF(AND(_1="A-330-300",'2026'!$N$4="FO",'2026'!$N$2=AB385),'2026DATA'!$M$8,"")</f>
        <v/>
      </c>
      <c r="AC391" s="520" t="str">
        <f>IF(AND(_1="A-330-300",'2026'!$N$4="FO",'2026'!$N$2=AC385),'2026DATA'!$N$8,"")</f>
        <v/>
      </c>
      <c r="AD391" s="940"/>
      <c r="AE391" s="13" t="s">
        <v>62</v>
      </c>
      <c r="AF391" s="518" t="str">
        <f>IF(AND(_2="A-330-300",'2026'!$N$4="FO",'2026'!$N$2=AF385),'2026DATA'!$C$8,"")</f>
        <v/>
      </c>
      <c r="AG391" s="518" t="str">
        <f>IF(AND(_2="A-330-300",'2026'!$N$4="FO",'2026'!$N$2=AG385),'2026DATA'!$D$8,"")</f>
        <v/>
      </c>
      <c r="AH391" s="518" t="str">
        <f>IF(AND(_2="A-330-300",'2026'!$N$4="FO",'2026'!$N$2=AH385),'2026DATA'!$E$8,"")</f>
        <v/>
      </c>
      <c r="AI391" s="518" t="str">
        <f>IF(AND(_2="A-330-300",'2026'!$N$4="FO",'2026'!$N$2=AI385),'2026DATA'!$F$8,"")</f>
        <v/>
      </c>
      <c r="AJ391" s="518" t="str">
        <f>IF(AND(_2="A-330-300",'2026'!$N$4="FO",'2026'!$N$2=AJ385),'2026DATA'!$G$8,"")</f>
        <v/>
      </c>
      <c r="AK391" s="518" t="str">
        <f>IF(AND(_2="A-330-300",'2026'!$N$4="FO",'2026'!$N$2=AK385),'2026DATA'!$H$8,"")</f>
        <v/>
      </c>
      <c r="AL391" s="518" t="str">
        <f>IF(AND(_2="A-330-300",'2026'!$N$4="FO",'2026'!$N$2=AL385),'2026DATA'!$I$8,"")</f>
        <v/>
      </c>
      <c r="AM391" s="518" t="str">
        <f>IF(AND(_2="A-330-300",'2026'!$N$4="FO",'2026'!$N$2=AM385),'2026DATA'!$J$8,"")</f>
        <v/>
      </c>
      <c r="AN391" s="518" t="str">
        <f>IF(AND(_2="A-330-300",'2026'!$N$4="FO",'2026'!$N$2=AN385),'2026DATA'!$K$8,"")</f>
        <v/>
      </c>
      <c r="AO391" s="518" t="str">
        <f>IF(AND(_2="A-330-300",'2026'!$N$4="FO",'2026'!$N$2=AO385),'2026DATA'!$L$8,"")</f>
        <v/>
      </c>
      <c r="AP391" s="518" t="str">
        <f>IF(AND(_2="A-330-300",'2026'!$N$4="FO",'2026'!$N$2=AP385),'2026DATA'!$M$8,"")</f>
        <v/>
      </c>
      <c r="AQ391" s="520" t="str">
        <f>IF(AND(_2="A-330-300",'2026'!$N$4="FO",'2026'!$N$2=AQ385),'2026DATA'!$N$8,"")</f>
        <v/>
      </c>
      <c r="AR391" s="940"/>
      <c r="AS391" s="13" t="s">
        <v>62</v>
      </c>
      <c r="AT391" s="518" t="str">
        <f>IF(AND(_3="A-330-300",'2026'!$N$4="FO",'2026'!$N$2=AT385),'2026DATA'!$C$8,"")</f>
        <v/>
      </c>
      <c r="AU391" s="518" t="str">
        <f>IF(AND(_3="A-330-300",'2026'!$N$4="FO",'2026'!$N$2=AU385),'2026DATA'!$D$8,"")</f>
        <v/>
      </c>
      <c r="AV391" s="518" t="str">
        <f>IF(AND(_3="A-330-300",'2026'!$N$4="FO",'2026'!$N$2=AV385),'2026DATA'!$E$8,"")</f>
        <v/>
      </c>
      <c r="AW391" s="518" t="str">
        <f>IF(AND(_3="A-330-300",'2026'!$N$4="FO",'2026'!$N$2=AW385),'2026DATA'!$F$8,"")</f>
        <v/>
      </c>
      <c r="AX391" s="518" t="str">
        <f>IF(AND(_3="A-330-300",'2026'!$N$4="FO",'2026'!$N$2=AX385),'2026DATA'!$G$8,"")</f>
        <v/>
      </c>
      <c r="AY391" s="518" t="str">
        <f>IF(AND(_3="A-330-300",'2026'!$N$4="FO",'2026'!$N$2=AY385),'2026DATA'!$H$8,"")</f>
        <v/>
      </c>
      <c r="AZ391" s="518" t="str">
        <f>IF(AND(_3="A-330-300",'2026'!$N$4="FO",'2026'!$N$2=AZ385),'2026DATA'!$I$8,"")</f>
        <v/>
      </c>
      <c r="BA391" s="518" t="str">
        <f>IF(AND(_3="A-330-300",'2026'!$N$4="FO",'2026'!$N$2=BA385),'2026DATA'!$J$8,"")</f>
        <v/>
      </c>
      <c r="BB391" s="518" t="str">
        <f>IF(AND(_3="A-330-300",'2026'!$N$4="FO",'2026'!$N$2=BB385),'2026DATA'!$K$8,"")</f>
        <v/>
      </c>
      <c r="BC391" s="518" t="str">
        <f>IF(AND(_3="A-330-300",'2026'!$N$4="FO",'2026'!$N$2=BC385),'2026DATA'!$L$8,"")</f>
        <v/>
      </c>
      <c r="BD391" s="518" t="str">
        <f>IF(AND(_3="A-330-300",'2026'!$N$4="FO",'2026'!$N$2=BD385),'2026DATA'!$M$8,"")</f>
        <v/>
      </c>
      <c r="BE391" s="520" t="str">
        <f>IF(AND(_3="A-330-300",'2026'!$N$4="FO",'2026'!$N$2=BE385),'2026DATA'!$N$8,"")</f>
        <v/>
      </c>
      <c r="BF391" s="940"/>
      <c r="BG391" s="13" t="s">
        <v>62</v>
      </c>
      <c r="BH391" s="518" t="str">
        <f>IF(AND(_4="A-330-300",'2026'!$N$4="FO",'2026'!$N$2=BH385),'2026DATA'!$C$8,"")</f>
        <v/>
      </c>
      <c r="BI391" s="518" t="str">
        <f>IF(AND(_4="A-330-300",'2026'!$N$4="FO",'2026'!$N$2=BI385),'2026DATA'!$D$8,"")</f>
        <v/>
      </c>
      <c r="BJ391" s="518" t="str">
        <f>IF(AND(_4="A-330-300",'2026'!$N$4="FO",'2026'!$N$2=BJ385),'2026DATA'!$E$8,"")</f>
        <v/>
      </c>
      <c r="BK391" s="518" t="str">
        <f>IF(AND(_4="A-330-300",'2026'!$N$4="FO",'2026'!$N$2=BK385),'2026DATA'!$F$8,"")</f>
        <v/>
      </c>
      <c r="BL391" s="518" t="str">
        <f>IF(AND(_4="A-330-300",'2026'!$N$4="FO",'2026'!$N$2=BL385),'2026DATA'!$G$8,"")</f>
        <v/>
      </c>
      <c r="BM391" s="518" t="str">
        <f>IF(AND(_4="A-330-300",'2026'!$N$4="FO",'2026'!$N$2=BM385),'2026DATA'!$H$8,"")</f>
        <v/>
      </c>
      <c r="BN391" s="518" t="str">
        <f>IF(AND(_4="A-330-300",'2026'!$N$4="FO",'2026'!$N$2=BN385),'2026DATA'!$I$8,"")</f>
        <v/>
      </c>
      <c r="BO391" s="518" t="str">
        <f>IF(AND(_4="A-330-300",'2026'!$N$4="FO",'2026'!$N$2=BO385),'2026DATA'!$J$8,"")</f>
        <v/>
      </c>
      <c r="BP391" s="518" t="str">
        <f>IF(AND(_4="A-330-300",'2026'!$N$4="FO",'2026'!$N$2=BP385),'2026DATA'!$K$8,"")</f>
        <v/>
      </c>
      <c r="BQ391" s="518" t="str">
        <f>IF(AND(_4="A-330-300",'2026'!$N$4="FO",'2026'!$N$2=BQ385),'2026DATA'!$L$8,"")</f>
        <v/>
      </c>
      <c r="BR391" s="518" t="str">
        <f>IF(AND(_4="A-330-300",'2026'!$N$4="FO",'2026'!$N$2=BR385),'2026DATA'!$M$8,"")</f>
        <v/>
      </c>
      <c r="BS391" s="520" t="str">
        <f>IF(AND(_4="A-330-300",'2026'!$N$4="FO",'2026'!$N$2=BS385),'2026DATA'!$N$8,"")</f>
        <v/>
      </c>
      <c r="BT391" s="940"/>
      <c r="BU391" s="13" t="s">
        <v>62</v>
      </c>
      <c r="BV391" s="518" t="str">
        <f>IF(AND(_5="A-330-300",'2026'!$N$4="FO",'2026'!$N$2=BV385),'2026DATA'!$C$8,"")</f>
        <v/>
      </c>
      <c r="BW391" s="518" t="str">
        <f>IF(AND(_5="A-330-300",'2026'!$N$4="FO",'2026'!$N$2=BW385),'2026DATA'!$D$8,"")</f>
        <v/>
      </c>
      <c r="BX391" s="518" t="str">
        <f>IF(AND(_5="A-330-300",'2026'!$N$4="FO",'2026'!$N$2=BX385),'2026DATA'!$E$8,"")</f>
        <v/>
      </c>
      <c r="BY391" s="518" t="str">
        <f>IF(AND(_5="A-330-300",'2026'!$N$4="FO",'2026'!$N$2=BY385),'2026DATA'!$F$8,"")</f>
        <v/>
      </c>
      <c r="BZ391" s="518" t="str">
        <f>IF(AND(_5="A-330-300",'2026'!$N$4="FO",'2026'!$N$2=BZ385),'2026DATA'!$G$8,"")</f>
        <v/>
      </c>
      <c r="CA391" s="518" t="str">
        <f>IF(AND(_5="A-330-300",'2026'!$N$4="FO",'2026'!$N$2=CA385),'2026DATA'!$H$8,"")</f>
        <v/>
      </c>
      <c r="CB391" s="518" t="str">
        <f>IF(AND(_5="A-330-300",'2026'!$N$4="FO",'2026'!$N$2=CB385),'2026DATA'!$I$8,"")</f>
        <v/>
      </c>
      <c r="CC391" s="518" t="str">
        <f>IF(AND(_5="A-330-300",'2026'!$N$4="FO",'2026'!$N$2=CC385),'2026DATA'!$J$8,"")</f>
        <v/>
      </c>
      <c r="CD391" s="518" t="str">
        <f>IF(AND(_5="A-330-300",'2026'!$N$4="FO",'2026'!$N$2=CD385),'2026DATA'!$K$8,"")</f>
        <v/>
      </c>
      <c r="CE391" s="518" t="str">
        <f>IF(AND(_5="A-330-300",'2026'!$N$4="FO",'2026'!$N$2=CE385),'2026DATA'!$L$8,"")</f>
        <v/>
      </c>
      <c r="CF391" s="518" t="str">
        <f>IF(AND(_5="A-330-300",'2026'!$N$4="FO",'2026'!$N$2=CF385),'2026DATA'!$M$8,"")</f>
        <v/>
      </c>
      <c r="CG391" s="520" t="str">
        <f>IF(AND(_5="A-330-300",'2026'!$N$4="FO",'2026'!$N$2=CG385),'2026DATA'!$N$8,"")</f>
        <v/>
      </c>
      <c r="CH391" s="940"/>
      <c r="CI391" s="13" t="s">
        <v>62</v>
      </c>
      <c r="CJ391" s="518" t="str">
        <f>IF(AND(_6="A-330-300",'2026'!$N$4="FO",'2026'!$N$2=CJ385),'2026DATA'!$C$8,"")</f>
        <v/>
      </c>
      <c r="CK391" s="518" t="str">
        <f>IF(AND(_6="A-330-300",'2026'!$N$4="FO",'2026'!$N$2=CK385),'2026DATA'!$D$8,"")</f>
        <v/>
      </c>
      <c r="CL391" s="518" t="str">
        <f>IF(AND(_6="A-330-300",'2026'!$N$4="FO",'2026'!$N$2=CL385),'2026DATA'!$E$8,"")</f>
        <v/>
      </c>
      <c r="CM391" s="518" t="str">
        <f>IF(AND(_6="A-330-300",'2026'!$N$4="FO",'2026'!$N$2=CM385),'2026DATA'!$F$8,"")</f>
        <v/>
      </c>
      <c r="CN391" s="518" t="str">
        <f>IF(AND(_6="A-330-300",'2026'!$N$4="FO",'2026'!$N$2=CN385),'2026DATA'!$G$8,"")</f>
        <v/>
      </c>
      <c r="CO391" s="518" t="str">
        <f>IF(AND(_6="A-330-300",'2026'!$N$4="FO",'2026'!$N$2=CO385),'2026DATA'!$H$8,"")</f>
        <v/>
      </c>
      <c r="CP391" s="518" t="str">
        <f>IF(AND(_6="A-330-300",'2026'!$N$4="FO",'2026'!$N$2=CP385),'2026DATA'!$I$8,"")</f>
        <v/>
      </c>
      <c r="CQ391" s="518" t="str">
        <f>IF(AND(_6="A-330-300",'2026'!$N$4="FO",'2026'!$N$2=CQ385),'2026DATA'!$J$8,"")</f>
        <v/>
      </c>
      <c r="CR391" s="518" t="str">
        <f>IF(AND(_6="A-330-300",'2026'!$N$4="FO",'2026'!$N$2=CR385),'2026DATA'!$K$8,"")</f>
        <v/>
      </c>
      <c r="CS391" s="518" t="str">
        <f>IF(AND(_6="A-330-300",'2026'!$N$4="FO",'2026'!$N$2=CS385),'2026DATA'!$L$8,"")</f>
        <v/>
      </c>
      <c r="CT391" s="518" t="str">
        <f>IF(AND(_6="A-330-300",'2026'!$N$4="FO",'2026'!$N$2=CT385),'2026DATA'!$M$8,"")</f>
        <v/>
      </c>
      <c r="CU391" s="520" t="str">
        <f>IF(AND(_6="A-330-300",'2026'!$N$4="FO",'2026'!$N$2=CU385),'2026DATA'!$N$8,"")</f>
        <v/>
      </c>
    </row>
    <row r="392" spans="16:99" x14ac:dyDescent="0.25">
      <c r="P392" s="940" t="s">
        <v>66</v>
      </c>
      <c r="Q392" s="13" t="s">
        <v>61</v>
      </c>
      <c r="R392" s="518" t="str">
        <f>IF(AND(_1="A-330-200",'2026'!$N$4="CA",'2026'!$N$2=R385),'2026DATA'!$C$9,"")</f>
        <v/>
      </c>
      <c r="S392" s="518" t="str">
        <f>IF(AND(_1="A-330-200",'2026'!$N$4="CA",'2026'!$N$2=S385),'2026DATA'!$D$9,"")</f>
        <v/>
      </c>
      <c r="T392" s="518" t="str">
        <f>IF(AND(_1="A-330-200",'2026'!$N$4="CA",'2026'!$N$2=T385),'2026DATA'!$E$9,"")</f>
        <v/>
      </c>
      <c r="U392" s="518" t="str">
        <f>IF(AND(_1="A-330-200",'2026'!$N$4="CA",'2026'!$N$2=U385),'2026DATA'!$F$9,"")</f>
        <v/>
      </c>
      <c r="V392" s="518" t="str">
        <f>IF(AND(_1="A-330-200",'2026'!$N$4="CA",'2026'!$N$2=V385),'2026DATA'!$G$9,"")</f>
        <v/>
      </c>
      <c r="W392" s="518" t="str">
        <f>IF(AND(_1="A-330-200",'2026'!$N$4="CA",'2026'!$N$2=W385),'2026DATA'!$H$9,"")</f>
        <v/>
      </c>
      <c r="X392" s="518" t="str">
        <f>IF(AND(_1="A-330-200",'2026'!$N$4="CA",'2026'!$N$2=X385),'2026DATA'!$I$9,"")</f>
        <v/>
      </c>
      <c r="Y392" s="518" t="str">
        <f>IF(AND(_1="A-330-200",'2026'!$N$4="CA",'2026'!$N$2=Y385),'2026DATA'!$J$9,"")</f>
        <v/>
      </c>
      <c r="Z392" s="518" t="str">
        <f>IF(AND(_1="A-330-200",'2026'!$N$4="CA",'2026'!$N$2=Z385),'2026DATA'!$K$9,"")</f>
        <v/>
      </c>
      <c r="AA392" s="518" t="str">
        <f>IF(AND(_1="A-330-200",'2026'!$N$4="CA",'2026'!$N$2=AA385),'2026DATA'!$L$9,"")</f>
        <v/>
      </c>
      <c r="AB392" s="518" t="str">
        <f>IF(AND(_1="A-330-200",'2026'!$N$4="CA",'2026'!$N$2=AB385),'2026DATA'!$M$9,"")</f>
        <v/>
      </c>
      <c r="AC392" s="520" t="str">
        <f>IF(AND(_1="A-330-200",'2026'!$N$4="CA",'2026'!$N$2=AC385),'2026DATA'!$N$9,"")</f>
        <v/>
      </c>
      <c r="AD392" s="940" t="s">
        <v>66</v>
      </c>
      <c r="AE392" s="13" t="s">
        <v>61</v>
      </c>
      <c r="AF392" s="518" t="str">
        <f>IF(AND(_2="A-330-200",'2026'!$N$4="CA",'2026'!$N$2=AF385),'2026DATA'!$C$9,"")</f>
        <v/>
      </c>
      <c r="AG392" s="518" t="str">
        <f>IF(AND(_2="A-330-200",'2026'!$N$4="CA",'2026'!$N$2=AG385),'2026DATA'!$D$9,"")</f>
        <v/>
      </c>
      <c r="AH392" s="518" t="str">
        <f>IF(AND(_2="A-330-200",'2026'!$N$4="CA",'2026'!$N$2=AH385),'2026DATA'!$E$9,"")</f>
        <v/>
      </c>
      <c r="AI392" s="518" t="str">
        <f>IF(AND(_2="A-330-200",'2026'!$N$4="CA",'2026'!$N$2=AI385),'2026DATA'!$F$9,"")</f>
        <v/>
      </c>
      <c r="AJ392" s="518" t="str">
        <f>IF(AND(_2="A-330-200",'2026'!$N$4="CA",'2026'!$N$2=AJ385),'2026DATA'!$G$9,"")</f>
        <v/>
      </c>
      <c r="AK392" s="518" t="str">
        <f>IF(AND(_2="A-330-200",'2026'!$N$4="CA",'2026'!$N$2=AK385),'2026DATA'!$H$9,"")</f>
        <v/>
      </c>
      <c r="AL392" s="518" t="str">
        <f>IF(AND(_2="A-330-200",'2026'!$N$4="CA",'2026'!$N$2=AL385),'2026DATA'!$I$9,"")</f>
        <v/>
      </c>
      <c r="AM392" s="518" t="str">
        <f>IF(AND(_2="A-330-200",'2026'!$N$4="CA",'2026'!$N$2=AM385),'2026DATA'!$J$9,"")</f>
        <v/>
      </c>
      <c r="AN392" s="518" t="str">
        <f>IF(AND(_2="A-330-200",'2026'!$N$4="CA",'2026'!$N$2=AN385),'2026DATA'!$K$9,"")</f>
        <v/>
      </c>
      <c r="AO392" s="518" t="str">
        <f>IF(AND(_2="A-330-200",'2026'!$N$4="CA",'2026'!$N$2=AO385),'2026DATA'!$L$9,"")</f>
        <v/>
      </c>
      <c r="AP392" s="518" t="str">
        <f>IF(AND(_2="A-330-200",'2026'!$N$4="CA",'2026'!$N$2=AP385),'2026DATA'!$M$9,"")</f>
        <v/>
      </c>
      <c r="AQ392" s="520" t="str">
        <f>IF(AND(_2="A-330-200",'2026'!$N$4="CA",'2026'!$N$2=AQ385),'2026DATA'!$N$9,"")</f>
        <v/>
      </c>
      <c r="AR392" s="940" t="s">
        <v>66</v>
      </c>
      <c r="AS392" s="13" t="s">
        <v>61</v>
      </c>
      <c r="AT392" s="518" t="str">
        <f>IF(AND(_3="A-330-200",'2026'!$N$4="CA",'2026'!$N$2=AT385),'2026DATA'!$C$9,"")</f>
        <v/>
      </c>
      <c r="AU392" s="518" t="str">
        <f>IF(AND(_3="A-330-200",'2026'!$N$4="CA",'2026'!$N$2=AU385),'2026DATA'!$D$9,"")</f>
        <v/>
      </c>
      <c r="AV392" s="518" t="str">
        <f>IF(AND(_3="A-330-200",'2026'!$N$4="CA",'2026'!$N$2=AV385),'2026DATA'!$E$9,"")</f>
        <v/>
      </c>
      <c r="AW392" s="518" t="str">
        <f>IF(AND(_3="A-330-200",'2026'!$N$4="CA",'2026'!$N$2=AW385),'2026DATA'!$F$9,"")</f>
        <v/>
      </c>
      <c r="AX392" s="518" t="str">
        <f>IF(AND(_3="A-330-200",'2026'!$N$4="CA",'2026'!$N$2=AX385),'2026DATA'!$G$9,"")</f>
        <v/>
      </c>
      <c r="AY392" s="518" t="str">
        <f>IF(AND(_3="A-330-200",'2026'!$N$4="CA",'2026'!$N$2=AY385),'2026DATA'!$H$9,"")</f>
        <v/>
      </c>
      <c r="AZ392" s="518" t="str">
        <f>IF(AND(_3="A-330-200",'2026'!$N$4="CA",'2026'!$N$2=AZ385),'2026DATA'!$I$9,"")</f>
        <v/>
      </c>
      <c r="BA392" s="518" t="str">
        <f>IF(AND(_3="A-330-200",'2026'!$N$4="CA",'2026'!$N$2=BA385),'2026DATA'!$J$9,"")</f>
        <v/>
      </c>
      <c r="BB392" s="518" t="str">
        <f>IF(AND(_3="A-330-200",'2026'!$N$4="CA",'2026'!$N$2=BB385),'2026DATA'!$K$9,"")</f>
        <v/>
      </c>
      <c r="BC392" s="518" t="str">
        <f>IF(AND(_3="A-330-200",'2026'!$N$4="CA",'2026'!$N$2=BC385),'2026DATA'!$L$9,"")</f>
        <v/>
      </c>
      <c r="BD392" s="518" t="str">
        <f>IF(AND(_3="A-330-200",'2026'!$N$4="CA",'2026'!$N$2=BD385),'2026DATA'!$M$9,"")</f>
        <v/>
      </c>
      <c r="BE392" s="520" t="str">
        <f>IF(AND(_3="A-330-200",'2026'!$N$4="CA",'2026'!$N$2=BE385),'2026DATA'!$N$9,"")</f>
        <v/>
      </c>
      <c r="BF392" s="940" t="s">
        <v>66</v>
      </c>
      <c r="BG392" s="13" t="s">
        <v>61</v>
      </c>
      <c r="BH392" s="518" t="str">
        <f>IF(AND(_4="A-330-200",'2026'!$N$4="CA",'2026'!$N$2=BH385),'2026DATA'!$C$9,"")</f>
        <v/>
      </c>
      <c r="BI392" s="518" t="str">
        <f>IF(AND(_4="A-330-200",'2026'!$N$4="CA",'2026'!$N$2=BI385),'2026DATA'!$D$9,"")</f>
        <v/>
      </c>
      <c r="BJ392" s="518" t="str">
        <f>IF(AND(_4="A-330-200",'2026'!$N$4="CA",'2026'!$N$2=BJ385),'2026DATA'!$E$9,"")</f>
        <v/>
      </c>
      <c r="BK392" s="518" t="str">
        <f>IF(AND(_4="A-330-200",'2026'!$N$4="CA",'2026'!$N$2=BK385),'2026DATA'!$F$9,"")</f>
        <v/>
      </c>
      <c r="BL392" s="518" t="str">
        <f>IF(AND(_4="A-330-200",'2026'!$N$4="CA",'2026'!$N$2=BL385),'2026DATA'!$G$9,"")</f>
        <v/>
      </c>
      <c r="BM392" s="518" t="str">
        <f>IF(AND(_4="A-330-200",'2026'!$N$4="CA",'2026'!$N$2=BM385),'2026DATA'!$H$9,"")</f>
        <v/>
      </c>
      <c r="BN392" s="518" t="str">
        <f>IF(AND(_4="A-330-200",'2026'!$N$4="CA",'2026'!$N$2=BN385),'2026DATA'!$I$9,"")</f>
        <v/>
      </c>
      <c r="BO392" s="518" t="str">
        <f>IF(AND(_4="A-330-200",'2026'!$N$4="CA",'2026'!$N$2=BO385),'2026DATA'!$J$9,"")</f>
        <v/>
      </c>
      <c r="BP392" s="518" t="str">
        <f>IF(AND(_4="A-330-200",'2026'!$N$4="CA",'2026'!$N$2=BP385),'2026DATA'!$K$9,"")</f>
        <v/>
      </c>
      <c r="BQ392" s="518" t="str">
        <f>IF(AND(_4="A-330-200",'2026'!$N$4="CA",'2026'!$N$2=BQ385),'2026DATA'!$L$9,"")</f>
        <v/>
      </c>
      <c r="BR392" s="518" t="str">
        <f>IF(AND(_4="A-330-200",'2026'!$N$4="CA",'2026'!$N$2=BR385),'2026DATA'!$M$9,"")</f>
        <v/>
      </c>
      <c r="BS392" s="520" t="str">
        <f>IF(AND(_4="A-330-200",'2026'!$N$4="CA",'2026'!$N$2=BS385),'2026DATA'!$N$9,"")</f>
        <v/>
      </c>
      <c r="BT392" s="940" t="s">
        <v>66</v>
      </c>
      <c r="BU392" s="13" t="s">
        <v>61</v>
      </c>
      <c r="BV392" s="518" t="str">
        <f>IF(AND(_5="A-330-200",'2026'!$N$4="CA",'2026'!$N$2=BV385),'2026DATA'!$C$9,"")</f>
        <v/>
      </c>
      <c r="BW392" s="518" t="str">
        <f>IF(AND(_5="A-330-200",'2026'!$N$4="CA",'2026'!$N$2=BW385),'2026DATA'!$D$9,"")</f>
        <v/>
      </c>
      <c r="BX392" s="518" t="str">
        <f>IF(AND(_5="A-330-200",'2026'!$N$4="CA",'2026'!$N$2=BX385),'2026DATA'!$E$9,"")</f>
        <v/>
      </c>
      <c r="BY392" s="518" t="str">
        <f>IF(AND(_5="A-330-200",'2026'!$N$4="CA",'2026'!$N$2=BY385),'2026DATA'!$F$9,"")</f>
        <v/>
      </c>
      <c r="BZ392" s="518" t="str">
        <f>IF(AND(_5="A-330-200",'2026'!$N$4="CA",'2026'!$N$2=BZ385),'2026DATA'!$G$9,"")</f>
        <v/>
      </c>
      <c r="CA392" s="518" t="str">
        <f>IF(AND(_5="A-330-200",'2026'!$N$4="CA",'2026'!$N$2=CA385),'2026DATA'!$H$9,"")</f>
        <v/>
      </c>
      <c r="CB392" s="518" t="str">
        <f>IF(AND(_5="A-330-200",'2026'!$N$4="CA",'2026'!$N$2=CB385),'2026DATA'!$I$9,"")</f>
        <v/>
      </c>
      <c r="CC392" s="518" t="str">
        <f>IF(AND(_5="A-330-200",'2026'!$N$4="CA",'2026'!$N$2=CC385),'2026DATA'!$J$9,"")</f>
        <v/>
      </c>
      <c r="CD392" s="518" t="str">
        <f>IF(AND(_5="A-330-200",'2026'!$N$4="CA",'2026'!$N$2=CD385),'2026DATA'!$K$9,"")</f>
        <v/>
      </c>
      <c r="CE392" s="518" t="str">
        <f>IF(AND(_5="A-330-200",'2026'!$N$4="CA",'2026'!$N$2=CE385),'2026DATA'!$L$9,"")</f>
        <v/>
      </c>
      <c r="CF392" s="518" t="str">
        <f>IF(AND(_5="A-330-200",'2026'!$N$4="CA",'2026'!$N$2=CF385),'2026DATA'!$M$9,"")</f>
        <v/>
      </c>
      <c r="CG392" s="520" t="str">
        <f>IF(AND(_5="A-330-200",'2026'!$N$4="CA",'2026'!$N$2=CG385),'2026DATA'!$N$9,"")</f>
        <v/>
      </c>
      <c r="CH392" s="940" t="s">
        <v>66</v>
      </c>
      <c r="CI392" s="13" t="s">
        <v>61</v>
      </c>
      <c r="CJ392" s="518" t="str">
        <f>IF(AND(_6="A-330-200",'2026'!$N$4="CA",'2026'!$N$2=CJ385),'2026DATA'!$C$9,"")</f>
        <v/>
      </c>
      <c r="CK392" s="518" t="str">
        <f>IF(AND(_6="A-330-200",'2026'!$N$4="CA",'2026'!$N$2=CK385),'2026DATA'!$D$9,"")</f>
        <v/>
      </c>
      <c r="CL392" s="518" t="str">
        <f>IF(AND(_6="A-330-200",'2026'!$N$4="CA",'2026'!$N$2=CL385),'2026DATA'!$E$9,"")</f>
        <v/>
      </c>
      <c r="CM392" s="518" t="str">
        <f>IF(AND(_6="A-330-200",'2026'!$N$4="CA",'2026'!$N$2=CM385),'2026DATA'!$F$9,"")</f>
        <v/>
      </c>
      <c r="CN392" s="518" t="str">
        <f>IF(AND(_6="A-330-200",'2026'!$N$4="CA",'2026'!$N$2=CN385),'2026DATA'!$G$9,"")</f>
        <v/>
      </c>
      <c r="CO392" s="518" t="str">
        <f>IF(AND(_6="A-330-200",'2026'!$N$4="CA",'2026'!$N$2=CO385),'2026DATA'!$H$9,"")</f>
        <v/>
      </c>
      <c r="CP392" s="518" t="str">
        <f>IF(AND(_6="A-330-200",'2026'!$N$4="CA",'2026'!$N$2=CP385),'2026DATA'!$I$9,"")</f>
        <v/>
      </c>
      <c r="CQ392" s="518" t="str">
        <f>IF(AND(_6="A-330-200",'2026'!$N$4="CA",'2026'!$N$2=CQ385),'2026DATA'!$J$9,"")</f>
        <v/>
      </c>
      <c r="CR392" s="518" t="str">
        <f>IF(AND(_6="A-330-200",'2026'!$N$4="CA",'2026'!$N$2=CR385),'2026DATA'!$K$9,"")</f>
        <v/>
      </c>
      <c r="CS392" s="518" t="str">
        <f>IF(AND(_6="A-330-200",'2026'!$N$4="CA",'2026'!$N$2=CS385),'2026DATA'!$L$9,"")</f>
        <v/>
      </c>
      <c r="CT392" s="518" t="str">
        <f>IF(AND(_6="A-330-200",'2026'!$N$4="CA",'2026'!$N$2=CT385),'2026DATA'!$M$9,"")</f>
        <v/>
      </c>
      <c r="CU392" s="520" t="str">
        <f>IF(AND(_6="A-330-200",'2026'!$N$4="CA",'2026'!$N$2=CU385),'2026DATA'!$N$9,"")</f>
        <v/>
      </c>
    </row>
    <row r="393" spans="16:99" x14ac:dyDescent="0.25">
      <c r="P393" s="940"/>
      <c r="Q393" s="13" t="s">
        <v>62</v>
      </c>
      <c r="R393" s="518" t="str">
        <f>IF(AND(_1="A-330-200",'2026'!$N$4="FO",'2026'!$N$2=R385),'2026DATA'!$C$10,"")</f>
        <v/>
      </c>
      <c r="S393" s="518" t="str">
        <f>IF(AND(_1="A-330-200",'2026'!$N$4="FO",'2026'!$N$2=S385),'2026DATA'!$D$10,"")</f>
        <v/>
      </c>
      <c r="T393" s="518" t="str">
        <f>IF(AND(_1="A-330-200",'2026'!$N$4="FO",'2026'!$N$2=T385),'2026DATA'!$E$10,"")</f>
        <v/>
      </c>
      <c r="U393" s="518" t="str">
        <f>IF(AND(_1="A-330-200",'2026'!$N$4="FO",'2026'!$N$2=U385),'2026DATA'!$F$10,"")</f>
        <v/>
      </c>
      <c r="V393" s="518" t="str">
        <f>IF(AND(_1="A-330-200",'2026'!$N$4="FO",'2026'!$N$2=V385),'2026DATA'!$G$10,"")</f>
        <v/>
      </c>
      <c r="W393" s="518" t="str">
        <f>IF(AND(_1="A-330-200",'2026'!$N$4="FO",'2026'!$N$2=W385),'2026DATA'!$H$10,"")</f>
        <v/>
      </c>
      <c r="X393" s="518" t="str">
        <f>IF(AND(_1="A-330-200",'2026'!$N$4="FO",'2026'!$N$2=X385),'2026DATA'!$I$10,"")</f>
        <v/>
      </c>
      <c r="Y393" s="518" t="str">
        <f>IF(AND(_1="A-330-200",'2026'!$N$4="FO",'2026'!$N$2=Y385),'2026DATA'!$J$10,"")</f>
        <v/>
      </c>
      <c r="Z393" s="518" t="str">
        <f>IF(AND(_1="A-330-200",'2026'!$N$4="FO",'2026'!$N$2=Z385),'2026DATA'!$K$10,"")</f>
        <v/>
      </c>
      <c r="AA393" s="518" t="str">
        <f>IF(AND(_1="A-330-200",'2026'!$N$4="FO",'2026'!$N$2=AA385),'2026DATA'!$L$10,"")</f>
        <v/>
      </c>
      <c r="AB393" s="518" t="str">
        <f>IF(AND(_1="A-330-200",'2026'!$N$4="FO",'2026'!$N$2=AB385),'2026DATA'!$M$10,"")</f>
        <v/>
      </c>
      <c r="AC393" s="520" t="str">
        <f>IF(AND(_1="A-330-200",'2026'!$N$4="FO",'2026'!$N$2=AC385),'2026DATA'!$N$10,"")</f>
        <v/>
      </c>
      <c r="AD393" s="940"/>
      <c r="AE393" s="13" t="s">
        <v>62</v>
      </c>
      <c r="AF393" s="518" t="str">
        <f>IF(AND(_2="A-330-200",'2026'!$N$4="FO",'2026'!$N$2=AF385),'2026DATA'!$C$10,"")</f>
        <v/>
      </c>
      <c r="AG393" s="518" t="str">
        <f>IF(AND(_2="A-330-200",'2026'!$N$4="FO",'2026'!$N$2=AG385),'2026DATA'!$D$10,"")</f>
        <v/>
      </c>
      <c r="AH393" s="518" t="str">
        <f>IF(AND(_2="A-330-200",'2026'!$N$4="FO",'2026'!$N$2=AH385),'2026DATA'!$E$10,"")</f>
        <v/>
      </c>
      <c r="AI393" s="518" t="str">
        <f>IF(AND(_2="A-330-200",'2026'!$N$4="FO",'2026'!$N$2=AI385),'2026DATA'!$F$10,"")</f>
        <v/>
      </c>
      <c r="AJ393" s="518" t="str">
        <f>IF(AND(_2="A-330-200",'2026'!$N$4="FO",'2026'!$N$2=AJ385),'2026DATA'!$G$10,"")</f>
        <v/>
      </c>
      <c r="AK393" s="518" t="str">
        <f>IF(AND(_2="A-330-200",'2026'!$N$4="FO",'2026'!$N$2=AK385),'2026DATA'!$H$10,"")</f>
        <v/>
      </c>
      <c r="AL393" s="518" t="str">
        <f>IF(AND(_2="A-330-200",'2026'!$N$4="FO",'2026'!$N$2=AL385),'2026DATA'!$I$10,"")</f>
        <v/>
      </c>
      <c r="AM393" s="518" t="str">
        <f>IF(AND(_2="A-330-200",'2026'!$N$4="FO",'2026'!$N$2=AM385),'2026DATA'!$J$10,"")</f>
        <v/>
      </c>
      <c r="AN393" s="518" t="str">
        <f>IF(AND(_2="A-330-200",'2026'!$N$4="FO",'2026'!$N$2=AN385),'2026DATA'!$K$10,"")</f>
        <v/>
      </c>
      <c r="AO393" s="518" t="str">
        <f>IF(AND(_2="A-330-200",'2026'!$N$4="FO",'2026'!$N$2=AO385),'2026DATA'!$L$10,"")</f>
        <v/>
      </c>
      <c r="AP393" s="518" t="str">
        <f>IF(AND(_2="A-330-200",'2026'!$N$4="FO",'2026'!$N$2=AP385),'2026DATA'!$M$10,"")</f>
        <v/>
      </c>
      <c r="AQ393" s="520" t="str">
        <f>IF(AND(_2="A-330-200",'2026'!$N$4="FO",'2026'!$N$2=AQ385),'2026DATA'!$N$10,"")</f>
        <v/>
      </c>
      <c r="AR393" s="940"/>
      <c r="AS393" s="13" t="s">
        <v>62</v>
      </c>
      <c r="AT393" s="518" t="str">
        <f>IF(AND(_3="A-330-200",'2026'!$N$4="FO",'2026'!$N$2=AT385),'2026DATA'!$C$10,"")</f>
        <v/>
      </c>
      <c r="AU393" s="518" t="str">
        <f>IF(AND(_3="A-330-200",'2026'!$N$4="FO",'2026'!$N$2=AU385),'2026DATA'!$D$10,"")</f>
        <v/>
      </c>
      <c r="AV393" s="518" t="str">
        <f>IF(AND(_3="A-330-200",'2026'!$N$4="FO",'2026'!$N$2=AV385),'2026DATA'!$E$10,"")</f>
        <v/>
      </c>
      <c r="AW393" s="518" t="str">
        <f>IF(AND(_3="A-330-200",'2026'!$N$4="FO",'2026'!$N$2=AW385),'2026DATA'!$F$10,"")</f>
        <v/>
      </c>
      <c r="AX393" s="518" t="str">
        <f>IF(AND(_3="A-330-200",'2026'!$N$4="FO",'2026'!$N$2=AX385),'2026DATA'!$G$10,"")</f>
        <v/>
      </c>
      <c r="AY393" s="518" t="str">
        <f>IF(AND(_3="A-330-200",'2026'!$N$4="FO",'2026'!$N$2=AY385),'2026DATA'!$H$10,"")</f>
        <v/>
      </c>
      <c r="AZ393" s="518" t="str">
        <f>IF(AND(_3="A-330-200",'2026'!$N$4="FO",'2026'!$N$2=AZ385),'2026DATA'!$I$10,"")</f>
        <v/>
      </c>
      <c r="BA393" s="518" t="str">
        <f>IF(AND(_3="A-330-200",'2026'!$N$4="FO",'2026'!$N$2=BA385),'2026DATA'!$J$10,"")</f>
        <v/>
      </c>
      <c r="BB393" s="518" t="str">
        <f>IF(AND(_3="A-330-200",'2026'!$N$4="FO",'2026'!$N$2=BB385),'2026DATA'!$K$10,"")</f>
        <v/>
      </c>
      <c r="BC393" s="518" t="str">
        <f>IF(AND(_3="A-330-200",'2026'!$N$4="FO",'2026'!$N$2=BC385),'2026DATA'!$L$10,"")</f>
        <v/>
      </c>
      <c r="BD393" s="518" t="str">
        <f>IF(AND(_3="A-330-200",'2026'!$N$4="FO",'2026'!$N$2=BD385),'2026DATA'!$M$10,"")</f>
        <v/>
      </c>
      <c r="BE393" s="520" t="str">
        <f>IF(AND(_3="A-330-200",'2026'!$N$4="FO",'2026'!$N$2=BE385),'2026DATA'!$N$10,"")</f>
        <v/>
      </c>
      <c r="BF393" s="940"/>
      <c r="BG393" s="13" t="s">
        <v>62</v>
      </c>
      <c r="BH393" s="518" t="str">
        <f>IF(AND(_4="A-330-200",'2026'!$N$4="FO",'2026'!$N$2=BH385),'2026DATA'!$C$10,"")</f>
        <v/>
      </c>
      <c r="BI393" s="518" t="str">
        <f>IF(AND(_4="A-330-200",'2026'!$N$4="FO",'2026'!$N$2=BI385),'2026DATA'!$D$10,"")</f>
        <v/>
      </c>
      <c r="BJ393" s="518" t="str">
        <f>IF(AND(_4="A-330-200",'2026'!$N$4="FO",'2026'!$N$2=BJ385),'2026DATA'!$E$10,"")</f>
        <v/>
      </c>
      <c r="BK393" s="518" t="str">
        <f>IF(AND(_4="A-330-200",'2026'!$N$4="FO",'2026'!$N$2=BK385),'2026DATA'!$F$10,"")</f>
        <v/>
      </c>
      <c r="BL393" s="518" t="str">
        <f>IF(AND(_4="A-330-200",'2026'!$N$4="FO",'2026'!$N$2=BL385),'2026DATA'!$G$10,"")</f>
        <v/>
      </c>
      <c r="BM393" s="518" t="str">
        <f>IF(AND(_4="A-330-200",'2026'!$N$4="FO",'2026'!$N$2=BM385),'2026DATA'!$H$10,"")</f>
        <v/>
      </c>
      <c r="BN393" s="518" t="str">
        <f>IF(AND(_4="A-330-200",'2026'!$N$4="FO",'2026'!$N$2=BN385),'2026DATA'!$I$10,"")</f>
        <v/>
      </c>
      <c r="BO393" s="518" t="str">
        <f>IF(AND(_4="A-330-200",'2026'!$N$4="FO",'2026'!$N$2=BO385),'2026DATA'!$J$10,"")</f>
        <v/>
      </c>
      <c r="BP393" s="518" t="str">
        <f>IF(AND(_4="A-330-200",'2026'!$N$4="FO",'2026'!$N$2=BP385),'2026DATA'!$K$10,"")</f>
        <v/>
      </c>
      <c r="BQ393" s="518" t="str">
        <f>IF(AND(_4="A-330-200",'2026'!$N$4="FO",'2026'!$N$2=BQ385),'2026DATA'!$L$10,"")</f>
        <v/>
      </c>
      <c r="BR393" s="518" t="str">
        <f>IF(AND(_4="A-330-200",'2026'!$N$4="FO",'2026'!$N$2=BR385),'2026DATA'!$M$10,"")</f>
        <v/>
      </c>
      <c r="BS393" s="520" t="str">
        <f>IF(AND(_4="A-330-200",'2026'!$N$4="FO",'2026'!$N$2=BS385),'2026DATA'!$N$10,"")</f>
        <v/>
      </c>
      <c r="BT393" s="940"/>
      <c r="BU393" s="13" t="s">
        <v>62</v>
      </c>
      <c r="BV393" s="518" t="str">
        <f>IF(AND(_5="A-330-200",'2026'!$N$4="FO",'2026'!$N$2=BV385),'2026DATA'!$C$10,"")</f>
        <v/>
      </c>
      <c r="BW393" s="518" t="str">
        <f>IF(AND(_5="A-330-200",'2026'!$N$4="FO",'2026'!$N$2=BW385),'2026DATA'!$D$10,"")</f>
        <v/>
      </c>
      <c r="BX393" s="518" t="str">
        <f>IF(AND(_5="A-330-200",'2026'!$N$4="FO",'2026'!$N$2=BX385),'2026DATA'!$E$10,"")</f>
        <v/>
      </c>
      <c r="BY393" s="518" t="str">
        <f>IF(AND(_5="A-330-200",'2026'!$N$4="FO",'2026'!$N$2=BY385),'2026DATA'!$F$10,"")</f>
        <v/>
      </c>
      <c r="BZ393" s="518" t="str">
        <f>IF(AND(_5="A-330-200",'2026'!$N$4="FO",'2026'!$N$2=BZ385),'2026DATA'!$G$10,"")</f>
        <v/>
      </c>
      <c r="CA393" s="518" t="str">
        <f>IF(AND(_5="A-330-200",'2026'!$N$4="FO",'2026'!$N$2=CA385),'2026DATA'!$H$10,"")</f>
        <v/>
      </c>
      <c r="CB393" s="518" t="str">
        <f>IF(AND(_5="A-330-200",'2026'!$N$4="FO",'2026'!$N$2=CB385),'2026DATA'!$I$10,"")</f>
        <v/>
      </c>
      <c r="CC393" s="518" t="str">
        <f>IF(AND(_5="A-330-200",'2026'!$N$4="FO",'2026'!$N$2=CC385),'2026DATA'!$J$10,"")</f>
        <v/>
      </c>
      <c r="CD393" s="518" t="str">
        <f>IF(AND(_5="A-330-200",'2026'!$N$4="FO",'2026'!$N$2=CD385),'2026DATA'!$K$10,"")</f>
        <v/>
      </c>
      <c r="CE393" s="518" t="str">
        <f>IF(AND(_5="A-330-200",'2026'!$N$4="FO",'2026'!$N$2=CE385),'2026DATA'!$L$10,"")</f>
        <v/>
      </c>
      <c r="CF393" s="518" t="str">
        <f>IF(AND(_5="A-330-200",'2026'!$N$4="FO",'2026'!$N$2=CF385),'2026DATA'!$M$10,"")</f>
        <v/>
      </c>
      <c r="CG393" s="520" t="str">
        <f>IF(AND(_5="A-330-200",'2026'!$N$4="FO",'2026'!$N$2=CG385),'2026DATA'!$N$10,"")</f>
        <v/>
      </c>
      <c r="CH393" s="940"/>
      <c r="CI393" s="13" t="s">
        <v>62</v>
      </c>
      <c r="CJ393" s="518" t="str">
        <f>IF(AND(_6="A-330-200",'2026'!$N$4="FO",'2026'!$N$2=CJ385),'2026DATA'!$C$10,"")</f>
        <v/>
      </c>
      <c r="CK393" s="518" t="str">
        <f>IF(AND(_6="A-330-200",'2026'!$N$4="FO",'2026'!$N$2=CK385),'2026DATA'!$D$10,"")</f>
        <v/>
      </c>
      <c r="CL393" s="518" t="str">
        <f>IF(AND(_6="A-330-200",'2026'!$N$4="FO",'2026'!$N$2=CL385),'2026DATA'!$E$10,"")</f>
        <v/>
      </c>
      <c r="CM393" s="518" t="str">
        <f>IF(AND(_6="A-330-200",'2026'!$N$4="FO",'2026'!$N$2=CM385),'2026DATA'!$F$10,"")</f>
        <v/>
      </c>
      <c r="CN393" s="518" t="str">
        <f>IF(AND(_6="A-330-200",'2026'!$N$4="FO",'2026'!$N$2=CN385),'2026DATA'!$G$10,"")</f>
        <v/>
      </c>
      <c r="CO393" s="518" t="str">
        <f>IF(AND(_6="A-330-200",'2026'!$N$4="FO",'2026'!$N$2=CO385),'2026DATA'!$H$10,"")</f>
        <v/>
      </c>
      <c r="CP393" s="518" t="str">
        <f>IF(AND(_6="A-330-200",'2026'!$N$4="FO",'2026'!$N$2=CP385),'2026DATA'!$I$10,"")</f>
        <v/>
      </c>
      <c r="CQ393" s="518" t="str">
        <f>IF(AND(_6="A-330-200",'2026'!$N$4="FO",'2026'!$N$2=CQ385),'2026DATA'!$J$10,"")</f>
        <v/>
      </c>
      <c r="CR393" s="518" t="str">
        <f>IF(AND(_6="A-330-200",'2026'!$N$4="FO",'2026'!$N$2=CR385),'2026DATA'!$K$10,"")</f>
        <v/>
      </c>
      <c r="CS393" s="518" t="str">
        <f>IF(AND(_6="A-330-200",'2026'!$N$4="FO",'2026'!$N$2=CS385),'2026DATA'!$L$10,"")</f>
        <v/>
      </c>
      <c r="CT393" s="518" t="str">
        <f>IF(AND(_6="A-330-200",'2026'!$N$4="FO",'2026'!$N$2=CT385),'2026DATA'!$M$10,"")</f>
        <v/>
      </c>
      <c r="CU393" s="520" t="str">
        <f>IF(AND(_6="A-330-200",'2026'!$N$4="FO",'2026'!$N$2=CU385),'2026DATA'!$N$10,"")</f>
        <v/>
      </c>
    </row>
    <row r="394" spans="16:99" x14ac:dyDescent="0.25">
      <c r="P394" s="940" t="s">
        <v>42</v>
      </c>
      <c r="Q394" s="13" t="s">
        <v>61</v>
      </c>
      <c r="R394" s="518" t="str">
        <f>IF(AND(_1="B-767-400ER",'2026'!$N$4="CA",'2026'!$N$2=R385),'2026DATA'!$C$11,"")</f>
        <v/>
      </c>
      <c r="S394" s="518" t="str">
        <f>IF(AND(_1="B-767-400ER",'2026'!$N$4="CA",'2026'!$N$2=S385),'2026DATA'!$D$11,"")</f>
        <v/>
      </c>
      <c r="T394" s="518" t="str">
        <f>IF(AND(_1="B-767-400ER",'2026'!$N$4="CA",'2026'!$N$2=T385),'2026DATA'!$E$11,"")</f>
        <v/>
      </c>
      <c r="U394" s="518" t="str">
        <f>IF(AND(_1="B-767-400ER",'2026'!$N$4="CA",'2026'!$N$2=U385),'2026DATA'!$F$11,"")</f>
        <v/>
      </c>
      <c r="V394" s="518" t="str">
        <f>IF(AND(_1="B-767-400ER",'2026'!$N$4="CA",'2026'!$N$2=V385),'2026DATA'!$G$11,"")</f>
        <v/>
      </c>
      <c r="W394" s="518" t="str">
        <f>IF(AND(_1="B-767-400ER",'2026'!$N$4="CA",'2026'!$N$2=W385),'2026DATA'!$H$11,"")</f>
        <v/>
      </c>
      <c r="X394" s="518" t="str">
        <f>IF(AND(_1="B-767-400ER",'2026'!$N$4="CA",'2026'!$N$2=X385),'2026DATA'!$I$11,"")</f>
        <v/>
      </c>
      <c r="Y394" s="518" t="str">
        <f>IF(AND(_1="B-767-400ER",'2026'!$N$4="CA",'2026'!$N$2=Y385),'2026DATA'!$J$11,"")</f>
        <v/>
      </c>
      <c r="Z394" s="518" t="str">
        <f>IF(AND(_1="B-767-400ER",'2026'!$N$4="CA",'2026'!$N$2=Z385),'2026DATA'!$K$11,"")</f>
        <v/>
      </c>
      <c r="AA394" s="518" t="str">
        <f>IF(AND(_1="B-767-400ER",'2026'!$N$4="CA",'2026'!$N$2=AA385),'2026DATA'!$L$11,"")</f>
        <v/>
      </c>
      <c r="AB394" s="518" t="str">
        <f>IF(AND(_1="B-767-400ER",'2026'!$N$4="CA",'2026'!$N$2=AB385),'2026DATA'!$M$11,"")</f>
        <v/>
      </c>
      <c r="AC394" s="520" t="str">
        <f>IF(AND(_1="B-767-400ER",'2026'!$N$4="CA",'2026'!$N$2=AC385),'2026DATA'!$N$11,"")</f>
        <v/>
      </c>
      <c r="AD394" s="940" t="s">
        <v>42</v>
      </c>
      <c r="AE394" s="13" t="s">
        <v>61</v>
      </c>
      <c r="AF394" s="518" t="str">
        <f>IF(AND(_2="B-767-400ER",'2026'!$N$4="CA",'2026'!$N$2=AF385),'2026DATA'!$C$11,"")</f>
        <v/>
      </c>
      <c r="AG394" s="518" t="str">
        <f>IF(AND(_2="B-767-400ER",'2026'!$N$4="CA",'2026'!$N$2=AG385),'2026DATA'!$D$11,"")</f>
        <v/>
      </c>
      <c r="AH394" s="518" t="str">
        <f>IF(AND(_2="B-767-400ER",'2026'!$N$4="CA",'2026'!$N$2=AH385),'2026DATA'!$E$11,"")</f>
        <v/>
      </c>
      <c r="AI394" s="518" t="str">
        <f>IF(AND(_2="B-767-400ER",'2026'!$N$4="CA",'2026'!$N$2=AI385),'2026DATA'!$F$11,"")</f>
        <v/>
      </c>
      <c r="AJ394" s="518" t="str">
        <f>IF(AND(_2="B-767-400ER",'2026'!$N$4="CA",'2026'!$N$2=AJ385),'2026DATA'!$G$11,"")</f>
        <v/>
      </c>
      <c r="AK394" s="518" t="str">
        <f>IF(AND(_2="B-767-400ER",'2026'!$N$4="CA",'2026'!$N$2=AK385),'2026DATA'!$H$11,"")</f>
        <v/>
      </c>
      <c r="AL394" s="518" t="str">
        <f>IF(AND(_2="B-767-400ER",'2026'!$N$4="CA",'2026'!$N$2=AL385),'2026DATA'!$I$11,"")</f>
        <v/>
      </c>
      <c r="AM394" s="518" t="str">
        <f>IF(AND(_2="B-767-400ER",'2026'!$N$4="CA",'2026'!$N$2=AM385),'2026DATA'!$J$11,"")</f>
        <v/>
      </c>
      <c r="AN394" s="518" t="str">
        <f>IF(AND(_2="B-767-400ER",'2026'!$N$4="CA",'2026'!$N$2=AN385),'2026DATA'!$K$11,"")</f>
        <v/>
      </c>
      <c r="AO394" s="518" t="str">
        <f>IF(AND(_2="B-767-400ER",'2026'!$N$4="CA",'2026'!$N$2=AO385),'2026DATA'!$L$11,"")</f>
        <v/>
      </c>
      <c r="AP394" s="518" t="str">
        <f>IF(AND(_2="B-767-400ER",'2026'!$N$4="CA",'2026'!$N$2=AP385),'2026DATA'!$M$11,"")</f>
        <v/>
      </c>
      <c r="AQ394" s="520" t="str">
        <f>IF(AND(_2="B-767-400ER",'2026'!$N$4="CA",'2026'!$N$2=AQ385),'2026DATA'!$N$11,"")</f>
        <v/>
      </c>
      <c r="AR394" s="940" t="s">
        <v>42</v>
      </c>
      <c r="AS394" s="13" t="s">
        <v>61</v>
      </c>
      <c r="AT394" s="518" t="str">
        <f>IF(AND(_3="B-767-400ER",'2026'!$N$4="CA",'2026'!$N$2=AT385),'2026DATA'!$C$11,"")</f>
        <v/>
      </c>
      <c r="AU394" s="518" t="str">
        <f>IF(AND(_3="B-767-400ER",'2026'!$N$4="CA",'2026'!$N$2=AU385),'2026DATA'!$D$11,"")</f>
        <v/>
      </c>
      <c r="AV394" s="518" t="str">
        <f>IF(AND(_3="B-767-400ER",'2026'!$N$4="CA",'2026'!$N$2=AV385),'2026DATA'!$E$11,"")</f>
        <v/>
      </c>
      <c r="AW394" s="518" t="str">
        <f>IF(AND(_3="B-767-400ER",'2026'!$N$4="CA",'2026'!$N$2=AW385),'2026DATA'!$F$11,"")</f>
        <v/>
      </c>
      <c r="AX394" s="518" t="str">
        <f>IF(AND(_3="B-767-400ER",'2026'!$N$4="CA",'2026'!$N$2=AX385),'2026DATA'!$G$11,"")</f>
        <v/>
      </c>
      <c r="AY394" s="518" t="str">
        <f>IF(AND(_3="B-767-400ER",'2026'!$N$4="CA",'2026'!$N$2=AY385),'2026DATA'!$H$11,"")</f>
        <v/>
      </c>
      <c r="AZ394" s="518" t="str">
        <f>IF(AND(_3="B-767-400ER",'2026'!$N$4="CA",'2026'!$N$2=AZ385),'2026DATA'!$I$11,"")</f>
        <v/>
      </c>
      <c r="BA394" s="518" t="str">
        <f>IF(AND(_3="B-767-400ER",'2026'!$N$4="CA",'2026'!$N$2=BA385),'2026DATA'!$J$11,"")</f>
        <v/>
      </c>
      <c r="BB394" s="518" t="str">
        <f>IF(AND(_3="B-767-400ER",'2026'!$N$4="CA",'2026'!$N$2=BB385),'2026DATA'!$K$11,"")</f>
        <v/>
      </c>
      <c r="BC394" s="518" t="str">
        <f>IF(AND(_3="B-767-400ER",'2026'!$N$4="CA",'2026'!$N$2=BC385),'2026DATA'!$L$11,"")</f>
        <v/>
      </c>
      <c r="BD394" s="518" t="str">
        <f>IF(AND(_3="B-767-400ER",'2026'!$N$4="CA",'2026'!$N$2=BD385),'2026DATA'!$M$11,"")</f>
        <v/>
      </c>
      <c r="BE394" s="520" t="str">
        <f>IF(AND(_3="B-767-400ER",'2026'!$N$4="CA",'2026'!$N$2=BE385),'2026DATA'!$N$11,"")</f>
        <v/>
      </c>
      <c r="BF394" s="940" t="s">
        <v>42</v>
      </c>
      <c r="BG394" s="13" t="s">
        <v>61</v>
      </c>
      <c r="BH394" s="518" t="str">
        <f>IF(AND(_4="B-767-400ER",'2026'!$N$4="CA",'2026'!$N$2=BH385),'2026DATA'!$C$11,"")</f>
        <v/>
      </c>
      <c r="BI394" s="518" t="str">
        <f>IF(AND(_4="B-767-400ER",'2026'!$N$4="CA",'2026'!$N$2=BI385),'2026DATA'!$D$11,"")</f>
        <v/>
      </c>
      <c r="BJ394" s="518" t="str">
        <f>IF(AND(_4="B-767-400ER",'2026'!$N$4="CA",'2026'!$N$2=BJ385),'2026DATA'!$E$11,"")</f>
        <v/>
      </c>
      <c r="BK394" s="518" t="str">
        <f>IF(AND(_4="B-767-400ER",'2026'!$N$4="CA",'2026'!$N$2=BK385),'2026DATA'!$F$11,"")</f>
        <v/>
      </c>
      <c r="BL394" s="518" t="str">
        <f>IF(AND(_4="B-767-400ER",'2026'!$N$4="CA",'2026'!$N$2=BL385),'2026DATA'!$G$11,"")</f>
        <v/>
      </c>
      <c r="BM394" s="518" t="str">
        <f>IF(AND(_4="B-767-400ER",'2026'!$N$4="CA",'2026'!$N$2=BM385),'2026DATA'!$H$11,"")</f>
        <v/>
      </c>
      <c r="BN394" s="518" t="str">
        <f>IF(AND(_4="B-767-400ER",'2026'!$N$4="CA",'2026'!$N$2=BN385),'2026DATA'!$I$11,"")</f>
        <v/>
      </c>
      <c r="BO394" s="518" t="str">
        <f>IF(AND(_4="B-767-400ER",'2026'!$N$4="CA",'2026'!$N$2=BO385),'2026DATA'!$J$11,"")</f>
        <v/>
      </c>
      <c r="BP394" s="518" t="str">
        <f>IF(AND(_4="B-767-400ER",'2026'!$N$4="CA",'2026'!$N$2=BP385),'2026DATA'!$K$11,"")</f>
        <v/>
      </c>
      <c r="BQ394" s="518" t="str">
        <f>IF(AND(_4="B-767-400ER",'2026'!$N$4="CA",'2026'!$N$2=BQ385),'2026DATA'!$L$11,"")</f>
        <v/>
      </c>
      <c r="BR394" s="518" t="str">
        <f>IF(AND(_4="B-767-400ER",'2026'!$N$4="CA",'2026'!$N$2=BR385),'2026DATA'!$M$11,"")</f>
        <v/>
      </c>
      <c r="BS394" s="520" t="str">
        <f>IF(AND(_4="B-767-400ER",'2026'!$N$4="CA",'2026'!$N$2=BS385),'2026DATA'!$N$11,"")</f>
        <v/>
      </c>
      <c r="BT394" s="940" t="s">
        <v>42</v>
      </c>
      <c r="BU394" s="13" t="s">
        <v>61</v>
      </c>
      <c r="BV394" s="518" t="str">
        <f>IF(AND(_5="B-767-400ER",'2026'!$N$4="CA",'2026'!$N$2=BV385),'2026DATA'!$C$11,"")</f>
        <v/>
      </c>
      <c r="BW394" s="518" t="str">
        <f>IF(AND(_5="B-767-400ER",'2026'!$N$4="CA",'2026'!$N$2=BW385),'2026DATA'!$D$11,"")</f>
        <v/>
      </c>
      <c r="BX394" s="518" t="str">
        <f>IF(AND(_5="B-767-400ER",'2026'!$N$4="CA",'2026'!$N$2=BX385),'2026DATA'!$E$11,"")</f>
        <v/>
      </c>
      <c r="BY394" s="518" t="str">
        <f>IF(AND(_5="B-767-400ER",'2026'!$N$4="CA",'2026'!$N$2=BY385),'2026DATA'!$F$11,"")</f>
        <v/>
      </c>
      <c r="BZ394" s="518" t="str">
        <f>IF(AND(_5="B-767-400ER",'2026'!$N$4="CA",'2026'!$N$2=BZ385),'2026DATA'!$G$11,"")</f>
        <v/>
      </c>
      <c r="CA394" s="518" t="str">
        <f>IF(AND(_5="B-767-400ER",'2026'!$N$4="CA",'2026'!$N$2=CA385),'2026DATA'!$H$11,"")</f>
        <v/>
      </c>
      <c r="CB394" s="518" t="str">
        <f>IF(AND(_5="B-767-400ER",'2026'!$N$4="CA",'2026'!$N$2=CB385),'2026DATA'!$I$11,"")</f>
        <v/>
      </c>
      <c r="CC394" s="518" t="str">
        <f>IF(AND(_5="B-767-400ER",'2026'!$N$4="CA",'2026'!$N$2=CC385),'2026DATA'!$J$11,"")</f>
        <v/>
      </c>
      <c r="CD394" s="518" t="str">
        <f>IF(AND(_5="B-767-400ER",'2026'!$N$4="CA",'2026'!$N$2=CD385),'2026DATA'!$K$11,"")</f>
        <v/>
      </c>
      <c r="CE394" s="518" t="str">
        <f>IF(AND(_5="B-767-400ER",'2026'!$N$4="CA",'2026'!$N$2=CE385),'2026DATA'!$L$11,"")</f>
        <v/>
      </c>
      <c r="CF394" s="518" t="str">
        <f>IF(AND(_5="B-767-400ER",'2026'!$N$4="CA",'2026'!$N$2=CF385),'2026DATA'!$M$11,"")</f>
        <v/>
      </c>
      <c r="CG394" s="520" t="str">
        <f>IF(AND(_5="B-767-400ER",'2026'!$N$4="CA",'2026'!$N$2=CG385),'2026DATA'!$N$11,"")</f>
        <v/>
      </c>
      <c r="CH394" s="940" t="s">
        <v>42</v>
      </c>
      <c r="CI394" s="13" t="s">
        <v>61</v>
      </c>
      <c r="CJ394" s="518" t="str">
        <f>IF(AND(_6="B-767-400ER",'2026'!$N$4="CA",'2026'!$N$2=CJ385),'2026DATA'!$C$11,"")</f>
        <v/>
      </c>
      <c r="CK394" s="518" t="str">
        <f>IF(AND(_6="B-767-400ER",'2026'!$N$4="CA",'2026'!$N$2=CK385),'2026DATA'!$D$11,"")</f>
        <v/>
      </c>
      <c r="CL394" s="518" t="str">
        <f>IF(AND(_6="B-767-400ER",'2026'!$N$4="CA",'2026'!$N$2=CL385),'2026DATA'!$E$11,"")</f>
        <v/>
      </c>
      <c r="CM394" s="518" t="str">
        <f>IF(AND(_6="B-767-400ER",'2026'!$N$4="CA",'2026'!$N$2=CM385),'2026DATA'!$F$11,"")</f>
        <v/>
      </c>
      <c r="CN394" s="518" t="str">
        <f>IF(AND(_6="B-767-400ER",'2026'!$N$4="CA",'2026'!$N$2=CN385),'2026DATA'!$G$11,"")</f>
        <v/>
      </c>
      <c r="CO394" s="518" t="str">
        <f>IF(AND(_6="B-767-400ER",'2026'!$N$4="CA",'2026'!$N$2=CO385),'2026DATA'!$H$11,"")</f>
        <v/>
      </c>
      <c r="CP394" s="518" t="str">
        <f>IF(AND(_6="B-767-400ER",'2026'!$N$4="CA",'2026'!$N$2=CP385),'2026DATA'!$I$11,"")</f>
        <v/>
      </c>
      <c r="CQ394" s="518" t="str">
        <f>IF(AND(_6="B-767-400ER",'2026'!$N$4="CA",'2026'!$N$2=CQ385),'2026DATA'!$J$11,"")</f>
        <v/>
      </c>
      <c r="CR394" s="518" t="str">
        <f>IF(AND(_6="B-767-400ER",'2026'!$N$4="CA",'2026'!$N$2=CR385),'2026DATA'!$K$11,"")</f>
        <v/>
      </c>
      <c r="CS394" s="518" t="str">
        <f>IF(AND(_6="B-767-400ER",'2026'!$N$4="CA",'2026'!$N$2=CS385),'2026DATA'!$L$11,"")</f>
        <v/>
      </c>
      <c r="CT394" s="518" t="str">
        <f>IF(AND(_6="B-767-400ER",'2026'!$N$4="CA",'2026'!$N$2=CT385),'2026DATA'!$M$11,"")</f>
        <v/>
      </c>
      <c r="CU394" s="520" t="str">
        <f>IF(AND(_6="B-767-400ER",'2026'!$N$4="CA",'2026'!$N$2=CU385),'2026DATA'!$N$11,"")</f>
        <v/>
      </c>
    </row>
    <row r="395" spans="16:99" x14ac:dyDescent="0.25">
      <c r="P395" s="940"/>
      <c r="Q395" s="13" t="s">
        <v>62</v>
      </c>
      <c r="R395" s="518" t="str">
        <f>IF(AND(_1="B-767-400ER",'2026'!$N$4="FO",'2026'!$N$2=R385),'2026DATA'!$C$12,"")</f>
        <v/>
      </c>
      <c r="S395" s="518" t="str">
        <f>IF(AND(_1="B-767-400ER",'2026'!$N$4="FO",'2026'!$N$2=S385),'2026DATA'!$D$12,"")</f>
        <v/>
      </c>
      <c r="T395" s="518" t="str">
        <f>IF(AND(_1="B-767-400ER",'2026'!$N$4="FO",'2026'!$N$2=T385),'2026DATA'!$E$12,"")</f>
        <v/>
      </c>
      <c r="U395" s="518" t="str">
        <f>IF(AND(_1="B-767-400ER",'2026'!$N$4="FO",'2026'!$N$2=U385),'2026DATA'!$F$12,"")</f>
        <v/>
      </c>
      <c r="V395" s="518" t="str">
        <f>IF(AND(_1="B-767-400ER",'2026'!$N$4="FO",'2026'!$N$2=V385),'2026DATA'!$G$12,"")</f>
        <v/>
      </c>
      <c r="W395" s="518" t="str">
        <f>IF(AND(_1="B-767-400ER",'2026'!$N$4="FO",'2026'!$N$2=W385),'2026DATA'!$H$12,"")</f>
        <v/>
      </c>
      <c r="X395" s="518" t="str">
        <f>IF(AND(_1="B-767-400ER",'2026'!$N$4="FO",'2026'!$N$2=X385),'2026DATA'!$I$12,"")</f>
        <v/>
      </c>
      <c r="Y395" s="518" t="str">
        <f>IF(AND(_1="B-767-400ER",'2026'!$N$4="FO",'2026'!$N$2=Y385),'2026DATA'!$J$12,"")</f>
        <v/>
      </c>
      <c r="Z395" s="518" t="str">
        <f>IF(AND(_1="B-767-400ER",'2026'!$N$4="FO",'2026'!$N$2=Z385),'2026DATA'!$K$12,"")</f>
        <v/>
      </c>
      <c r="AA395" s="518" t="str">
        <f>IF(AND(_1="B-767-400ER",'2026'!$N$4="FO",'2026'!$N$2=AA385),'2026DATA'!$L$12,"")</f>
        <v/>
      </c>
      <c r="AB395" s="518" t="str">
        <f>IF(AND(_1="B-767-400ER",'2026'!$N$4="FO",'2026'!$N$2=AB385),'2026DATA'!$M$12,"")</f>
        <v/>
      </c>
      <c r="AC395" s="520" t="str">
        <f>IF(AND(_1="B-767-400ER",'2026'!$N$4="FO",'2026'!$N$2=AC385),'2026DATA'!$N$12,"")</f>
        <v/>
      </c>
      <c r="AD395" s="940"/>
      <c r="AE395" s="13" t="s">
        <v>62</v>
      </c>
      <c r="AF395" s="518" t="str">
        <f>IF(AND(_2="B-767-400ER",'2026'!$N$4="FO",'2026'!$N$2=AF385),'2026DATA'!$C$12,"")</f>
        <v/>
      </c>
      <c r="AG395" s="518" t="str">
        <f>IF(AND(_2="B-767-400ER",'2026'!$N$4="FO",'2026'!$N$2=AG385),'2026DATA'!$D$12,"")</f>
        <v/>
      </c>
      <c r="AH395" s="518" t="str">
        <f>IF(AND(_2="B-767-400ER",'2026'!$N$4="FO",'2026'!$N$2=AH385),'2026DATA'!$E$12,"")</f>
        <v/>
      </c>
      <c r="AI395" s="518" t="str">
        <f>IF(AND(_2="B-767-400ER",'2026'!$N$4="FO",'2026'!$N$2=AI385),'2026DATA'!$F$12,"")</f>
        <v/>
      </c>
      <c r="AJ395" s="518" t="str">
        <f>IF(AND(_2="B-767-400ER",'2026'!$N$4="FO",'2026'!$N$2=AJ385),'2026DATA'!$G$12,"")</f>
        <v/>
      </c>
      <c r="AK395" s="518" t="str">
        <f>IF(AND(_2="B-767-400ER",'2026'!$N$4="FO",'2026'!$N$2=AK385),'2026DATA'!$H$12,"")</f>
        <v/>
      </c>
      <c r="AL395" s="518" t="str">
        <f>IF(AND(_2="B-767-400ER",'2026'!$N$4="FO",'2026'!$N$2=AL385),'2026DATA'!$I$12,"")</f>
        <v/>
      </c>
      <c r="AM395" s="518" t="str">
        <f>IF(AND(_2="B-767-400ER",'2026'!$N$4="FO",'2026'!$N$2=AM385),'2026DATA'!$J$12,"")</f>
        <v/>
      </c>
      <c r="AN395" s="518" t="str">
        <f>IF(AND(_2="B-767-400ER",'2026'!$N$4="FO",'2026'!$N$2=AN385),'2026DATA'!$K$12,"")</f>
        <v/>
      </c>
      <c r="AO395" s="518" t="str">
        <f>IF(AND(_2="B-767-400ER",'2026'!$N$4="FO",'2026'!$N$2=AO385),'2026DATA'!$L$12,"")</f>
        <v/>
      </c>
      <c r="AP395" s="518" t="str">
        <f>IF(AND(_2="B-767-400ER",'2026'!$N$4="FO",'2026'!$N$2=AP385),'2026DATA'!$M$12,"")</f>
        <v/>
      </c>
      <c r="AQ395" s="520" t="str">
        <f>IF(AND(_2="B-767-400ER",'2026'!$N$4="FO",'2026'!$N$2=AQ385),'2026DATA'!$N$12,"")</f>
        <v/>
      </c>
      <c r="AR395" s="940"/>
      <c r="AS395" s="13" t="s">
        <v>62</v>
      </c>
      <c r="AT395" s="518" t="str">
        <f>IF(AND(_3="B-767-400ER",'2026'!$N$4="FO",'2026'!$N$2=AT385),'2026DATA'!$C$12,"")</f>
        <v/>
      </c>
      <c r="AU395" s="518" t="str">
        <f>IF(AND(_3="B-767-400ER",'2026'!$N$4="FO",'2026'!$N$2=AU385),'2026DATA'!$D$12,"")</f>
        <v/>
      </c>
      <c r="AV395" s="518" t="str">
        <f>IF(AND(_3="B-767-400ER",'2026'!$N$4="FO",'2026'!$N$2=AV385),'2026DATA'!$E$12,"")</f>
        <v/>
      </c>
      <c r="AW395" s="518" t="str">
        <f>IF(AND(_3="B-767-400ER",'2026'!$N$4="FO",'2026'!$N$2=AW385),'2026DATA'!$F$12,"")</f>
        <v/>
      </c>
      <c r="AX395" s="518" t="str">
        <f>IF(AND(_3="B-767-400ER",'2026'!$N$4="FO",'2026'!$N$2=AX385),'2026DATA'!$G$12,"")</f>
        <v/>
      </c>
      <c r="AY395" s="518" t="str">
        <f>IF(AND(_3="B-767-400ER",'2026'!$N$4="FO",'2026'!$N$2=AY385),'2026DATA'!$H$12,"")</f>
        <v/>
      </c>
      <c r="AZ395" s="518" t="str">
        <f>IF(AND(_3="B-767-400ER",'2026'!$N$4="FO",'2026'!$N$2=AZ385),'2026DATA'!$I$12,"")</f>
        <v/>
      </c>
      <c r="BA395" s="518" t="str">
        <f>IF(AND(_3="B-767-400ER",'2026'!$N$4="FO",'2026'!$N$2=BA385),'2026DATA'!$J$12,"")</f>
        <v/>
      </c>
      <c r="BB395" s="518" t="str">
        <f>IF(AND(_3="B-767-400ER",'2026'!$N$4="FO",'2026'!$N$2=BB385),'2026DATA'!$K$12,"")</f>
        <v/>
      </c>
      <c r="BC395" s="518" t="str">
        <f>IF(AND(_3="B-767-400ER",'2026'!$N$4="FO",'2026'!$N$2=BC385),'2026DATA'!$L$12,"")</f>
        <v/>
      </c>
      <c r="BD395" s="518" t="str">
        <f>IF(AND(_3="B-767-400ER",'2026'!$N$4="FO",'2026'!$N$2=BD385),'2026DATA'!$M$12,"")</f>
        <v/>
      </c>
      <c r="BE395" s="520" t="str">
        <f>IF(AND(_3="B-767-400ER",'2026'!$N$4="FO",'2026'!$N$2=BE385),'2026DATA'!$N$12,"")</f>
        <v/>
      </c>
      <c r="BF395" s="940"/>
      <c r="BG395" s="13" t="s">
        <v>62</v>
      </c>
      <c r="BH395" s="518" t="str">
        <f>IF(AND(_4="B-767-400ER",'2026'!$N$4="FO",'2026'!$N$2=BH385),'2026DATA'!$C$12,"")</f>
        <v/>
      </c>
      <c r="BI395" s="518" t="str">
        <f>IF(AND(_4="B-767-400ER",'2026'!$N$4="FO",'2026'!$N$2=BI385),'2026DATA'!$D$12,"")</f>
        <v/>
      </c>
      <c r="BJ395" s="518" t="str">
        <f>IF(AND(_4="B-767-400ER",'2026'!$N$4="FO",'2026'!$N$2=BJ385),'2026DATA'!$E$12,"")</f>
        <v/>
      </c>
      <c r="BK395" s="518" t="str">
        <f>IF(AND(_4="B-767-400ER",'2026'!$N$4="FO",'2026'!$N$2=BK385),'2026DATA'!$F$12,"")</f>
        <v/>
      </c>
      <c r="BL395" s="518" t="str">
        <f>IF(AND(_4="B-767-400ER",'2026'!$N$4="FO",'2026'!$N$2=BL385),'2026DATA'!$G$12,"")</f>
        <v/>
      </c>
      <c r="BM395" s="518" t="str">
        <f>IF(AND(_4="B-767-400ER",'2026'!$N$4="FO",'2026'!$N$2=BM385),'2026DATA'!$H$12,"")</f>
        <v/>
      </c>
      <c r="BN395" s="518" t="str">
        <f>IF(AND(_4="B-767-400ER",'2026'!$N$4="FO",'2026'!$N$2=BN385),'2026DATA'!$I$12,"")</f>
        <v/>
      </c>
      <c r="BO395" s="518" t="str">
        <f>IF(AND(_4="B-767-400ER",'2026'!$N$4="FO",'2026'!$N$2=BO385),'2026DATA'!$J$12,"")</f>
        <v/>
      </c>
      <c r="BP395" s="518" t="str">
        <f>IF(AND(_4="B-767-400ER",'2026'!$N$4="FO",'2026'!$N$2=BP385),'2026DATA'!$K$12,"")</f>
        <v/>
      </c>
      <c r="BQ395" s="518" t="str">
        <f>IF(AND(_4="B-767-400ER",'2026'!$N$4="FO",'2026'!$N$2=BQ385),'2026DATA'!$L$12,"")</f>
        <v/>
      </c>
      <c r="BR395" s="518" t="str">
        <f>IF(AND(_4="B-767-400ER",'2026'!$N$4="FO",'2026'!$N$2=BR385),'2026DATA'!$M$12,"")</f>
        <v/>
      </c>
      <c r="BS395" s="520" t="str">
        <f>IF(AND(_4="B-767-400ER",'2026'!$N$4="FO",'2026'!$N$2=BS385),'2026DATA'!$N$12,"")</f>
        <v/>
      </c>
      <c r="BT395" s="940"/>
      <c r="BU395" s="13" t="s">
        <v>62</v>
      </c>
      <c r="BV395" s="518" t="str">
        <f>IF(AND(_5="B-767-400ER",'2026'!$N$4="FO",'2026'!$N$2=BV385),'2026DATA'!$C$12,"")</f>
        <v/>
      </c>
      <c r="BW395" s="518" t="str">
        <f>IF(AND(_5="B-767-400ER",'2026'!$N$4="FO",'2026'!$N$2=BW385),'2026DATA'!$D$12,"")</f>
        <v/>
      </c>
      <c r="BX395" s="518" t="str">
        <f>IF(AND(_5="B-767-400ER",'2026'!$N$4="FO",'2026'!$N$2=BX385),'2026DATA'!$E$12,"")</f>
        <v/>
      </c>
      <c r="BY395" s="518" t="str">
        <f>IF(AND(_5="B-767-400ER",'2026'!$N$4="FO",'2026'!$N$2=BY385),'2026DATA'!$F$12,"")</f>
        <v/>
      </c>
      <c r="BZ395" s="518" t="str">
        <f>IF(AND(_5="B-767-400ER",'2026'!$N$4="FO",'2026'!$N$2=BZ385),'2026DATA'!$G$12,"")</f>
        <v/>
      </c>
      <c r="CA395" s="518" t="str">
        <f>IF(AND(_5="B-767-400ER",'2026'!$N$4="FO",'2026'!$N$2=CA385),'2026DATA'!$H$12,"")</f>
        <v/>
      </c>
      <c r="CB395" s="518" t="str">
        <f>IF(AND(_5="B-767-400ER",'2026'!$N$4="FO",'2026'!$N$2=CB385),'2026DATA'!$I$12,"")</f>
        <v/>
      </c>
      <c r="CC395" s="518" t="str">
        <f>IF(AND(_5="B-767-400ER",'2026'!$N$4="FO",'2026'!$N$2=CC385),'2026DATA'!$J$12,"")</f>
        <v/>
      </c>
      <c r="CD395" s="518" t="str">
        <f>IF(AND(_5="B-767-400ER",'2026'!$N$4="FO",'2026'!$N$2=CD385),'2026DATA'!$K$12,"")</f>
        <v/>
      </c>
      <c r="CE395" s="518" t="str">
        <f>IF(AND(_5="B-767-400ER",'2026'!$N$4="FO",'2026'!$N$2=CE385),'2026DATA'!$L$12,"")</f>
        <v/>
      </c>
      <c r="CF395" s="518" t="str">
        <f>IF(AND(_5="B-767-400ER",'2026'!$N$4="FO",'2026'!$N$2=CF385),'2026DATA'!$M$12,"")</f>
        <v/>
      </c>
      <c r="CG395" s="520" t="str">
        <f>IF(AND(_5="B-767-400ER",'2026'!$N$4="FO",'2026'!$N$2=CG385),'2026DATA'!$N$12,"")</f>
        <v/>
      </c>
      <c r="CH395" s="940"/>
      <c r="CI395" s="13" t="s">
        <v>62</v>
      </c>
      <c r="CJ395" s="518" t="str">
        <f>IF(AND(_6="B-767-400ER",'2026'!$N$4="FO",'2026'!$N$2=CJ385),'2026DATA'!$C$12,"")</f>
        <v/>
      </c>
      <c r="CK395" s="518" t="str">
        <f>IF(AND(_6="B-767-400ER",'2026'!$N$4="FO",'2026'!$N$2=CK385),'2026DATA'!$D$12,"")</f>
        <v/>
      </c>
      <c r="CL395" s="518" t="str">
        <f>IF(AND(_6="B-767-400ER",'2026'!$N$4="FO",'2026'!$N$2=CL385),'2026DATA'!$E$12,"")</f>
        <v/>
      </c>
      <c r="CM395" s="518" t="str">
        <f>IF(AND(_6="B-767-400ER",'2026'!$N$4="FO",'2026'!$N$2=CM385),'2026DATA'!$F$12,"")</f>
        <v/>
      </c>
      <c r="CN395" s="518" t="str">
        <f>IF(AND(_6="B-767-400ER",'2026'!$N$4="FO",'2026'!$N$2=CN385),'2026DATA'!$G$12,"")</f>
        <v/>
      </c>
      <c r="CO395" s="518" t="str">
        <f>IF(AND(_6="B-767-400ER",'2026'!$N$4="FO",'2026'!$N$2=CO385),'2026DATA'!$H$12,"")</f>
        <v/>
      </c>
      <c r="CP395" s="518" t="str">
        <f>IF(AND(_6="B-767-400ER",'2026'!$N$4="FO",'2026'!$N$2=CP385),'2026DATA'!$I$12,"")</f>
        <v/>
      </c>
      <c r="CQ395" s="518" t="str">
        <f>IF(AND(_6="B-767-400ER",'2026'!$N$4="FO",'2026'!$N$2=CQ385),'2026DATA'!$J$12,"")</f>
        <v/>
      </c>
      <c r="CR395" s="518" t="str">
        <f>IF(AND(_6="B-767-400ER",'2026'!$N$4="FO",'2026'!$N$2=CR385),'2026DATA'!$K$12,"")</f>
        <v/>
      </c>
      <c r="CS395" s="518" t="str">
        <f>IF(AND(_6="B-767-400ER",'2026'!$N$4="FO",'2026'!$N$2=CS385),'2026DATA'!$L$12,"")</f>
        <v/>
      </c>
      <c r="CT395" s="518" t="str">
        <f>IF(AND(_6="B-767-400ER",'2026'!$N$4="FO",'2026'!$N$2=CT385),'2026DATA'!$M$12,"")</f>
        <v/>
      </c>
      <c r="CU395" s="520" t="str">
        <f>IF(AND(_6="B-767-400ER",'2026'!$N$4="FO",'2026'!$N$2=CU385),'2026DATA'!$N$12,"")</f>
        <v/>
      </c>
    </row>
    <row r="396" spans="16:99" x14ac:dyDescent="0.25">
      <c r="P396" s="940" t="s">
        <v>43</v>
      </c>
      <c r="Q396" s="13" t="s">
        <v>61</v>
      </c>
      <c r="R396" s="518" t="str">
        <f>IF(AND(_1="B-767-300ER",'2026'!$N$4="CA",'2026'!$N$2=R385),'2026DATA'!$C$13,"")</f>
        <v/>
      </c>
      <c r="S396" s="518" t="str">
        <f>IF(AND(_1="B-767-300ER",'2026'!$N$4="CA",'2026'!$N$2=S385),'2026DATA'!$D$13,"")</f>
        <v/>
      </c>
      <c r="T396" s="518" t="str">
        <f>IF(AND(_1="B-767-300ER",'2026'!$N$4="CA",'2026'!$N$2=T385),'2026DATA'!$E$13,"")</f>
        <v/>
      </c>
      <c r="U396" s="518" t="str">
        <f>IF(AND(_1="B-767-300ER",'2026'!$N$4="CA",'2026'!$N$2=U385),'2026DATA'!$F$13,"")</f>
        <v/>
      </c>
      <c r="V396" s="518" t="str">
        <f>IF(AND(_1="B-767-300ER",'2026'!$N$4="CA",'2026'!$N$2=V385),'2026DATA'!$G$13,"")</f>
        <v/>
      </c>
      <c r="W396" s="518" t="str">
        <f>IF(AND(_1="B-767-300ER",'2026'!$N$4="CA",'2026'!$N$2=W385),'2026DATA'!$H$13,"")</f>
        <v/>
      </c>
      <c r="X396" s="518" t="str">
        <f>IF(AND(_1="B-767-300ER",'2026'!$N$4="CA",'2026'!$N$2=X385),'2026DATA'!$I$13,"")</f>
        <v/>
      </c>
      <c r="Y396" s="518" t="str">
        <f>IF(AND(_1="B-767-300ER",'2026'!$N$4="CA",'2026'!$N$2=Y385),'2026DATA'!$J$13,"")</f>
        <v/>
      </c>
      <c r="Z396" s="518" t="str">
        <f>IF(AND(_1="B-767-300ER",'2026'!$N$4="CA",'2026'!$N$2=Z385),'2026DATA'!$K$13,"")</f>
        <v/>
      </c>
      <c r="AA396" s="518" t="str">
        <f>IF(AND(_1="B-767-300ER",'2026'!$N$4="CA",'2026'!$N$2=AA385),'2026DATA'!$L$13,"")</f>
        <v/>
      </c>
      <c r="AB396" s="518" t="str">
        <f>IF(AND(_1="B-767-300ER",'2026'!$N$4="CA",'2026'!$N$2=AB385),'2026DATA'!$M$13,"")</f>
        <v/>
      </c>
      <c r="AC396" s="520" t="str">
        <f>IF(AND(_1="B-767-300ER",'2026'!$N$4="CA",'2026'!$N$2=AC385),'2026DATA'!$N$13,"")</f>
        <v/>
      </c>
      <c r="AD396" s="940" t="s">
        <v>43</v>
      </c>
      <c r="AE396" s="13" t="s">
        <v>61</v>
      </c>
      <c r="AF396" s="518" t="str">
        <f>IF(AND(_2="B-767-300ER",'2026'!$N$4="CA",'2026'!$N$2=AF385),'2026DATA'!$C$13,"")</f>
        <v/>
      </c>
      <c r="AG396" s="518" t="str">
        <f>IF(AND(_2="B-767-300ER",'2026'!$N$4="CA",'2026'!$N$2=AG385),'2026DATA'!$D$13,"")</f>
        <v/>
      </c>
      <c r="AH396" s="518" t="str">
        <f>IF(AND(_2="B-767-300ER",'2026'!$N$4="CA",'2026'!$N$2=AH385),'2026DATA'!$E$13,"")</f>
        <v/>
      </c>
      <c r="AI396" s="518" t="str">
        <f>IF(AND(_2="B-767-300ER",'2026'!$N$4="CA",'2026'!$N$2=AI385),'2026DATA'!$F$13,"")</f>
        <v/>
      </c>
      <c r="AJ396" s="518" t="str">
        <f>IF(AND(_2="B-767-300ER",'2026'!$N$4="CA",'2026'!$N$2=AJ385),'2026DATA'!$G$13,"")</f>
        <v/>
      </c>
      <c r="AK396" s="518" t="str">
        <f>IF(AND(_2="B-767-300ER",'2026'!$N$4="CA",'2026'!$N$2=AK385),'2026DATA'!$H$13,"")</f>
        <v/>
      </c>
      <c r="AL396" s="518" t="str">
        <f>IF(AND(_2="B-767-300ER",'2026'!$N$4="CA",'2026'!$N$2=AL385),'2026DATA'!$I$13,"")</f>
        <v/>
      </c>
      <c r="AM396" s="518" t="str">
        <f>IF(AND(_2="B-767-300ER",'2026'!$N$4="CA",'2026'!$N$2=AM385),'2026DATA'!$J$13,"")</f>
        <v/>
      </c>
      <c r="AN396" s="518" t="str">
        <f>IF(AND(_2="B-767-300ER",'2026'!$N$4="CA",'2026'!$N$2=AN385),'2026DATA'!$K$13,"")</f>
        <v/>
      </c>
      <c r="AO396" s="518" t="str">
        <f>IF(AND(_2="B-767-300ER",'2026'!$N$4="CA",'2026'!$N$2=AO385),'2026DATA'!$L$13,"")</f>
        <v/>
      </c>
      <c r="AP396" s="518" t="str">
        <f>IF(AND(_2="B-767-300ER",'2026'!$N$4="CA",'2026'!$N$2=AP385),'2026DATA'!$M$13,"")</f>
        <v/>
      </c>
      <c r="AQ396" s="520" t="str">
        <f>IF(AND(_2="B-767-300ER",'2026'!$N$4="CA",'2026'!$N$2=AQ385),'2026DATA'!$N$13,"")</f>
        <v/>
      </c>
      <c r="AR396" s="940" t="s">
        <v>43</v>
      </c>
      <c r="AS396" s="13" t="s">
        <v>61</v>
      </c>
      <c r="AT396" s="518" t="str">
        <f>IF(AND(_3="B-767-300ER",'2026'!$N$4="CA",'2026'!$N$2=AT385),'2026DATA'!$C$13,"")</f>
        <v/>
      </c>
      <c r="AU396" s="518" t="str">
        <f>IF(AND(_3="B-767-300ER",'2026'!$N$4="CA",'2026'!$N$2=AU385),'2026DATA'!$D$13,"")</f>
        <v/>
      </c>
      <c r="AV396" s="518" t="str">
        <f>IF(AND(_3="B-767-300ER",'2026'!$N$4="CA",'2026'!$N$2=AV385),'2026DATA'!$E$13,"")</f>
        <v/>
      </c>
      <c r="AW396" s="518" t="str">
        <f>IF(AND(_3="B-767-300ER",'2026'!$N$4="CA",'2026'!$N$2=AW385),'2026DATA'!$F$13,"")</f>
        <v/>
      </c>
      <c r="AX396" s="518" t="str">
        <f>IF(AND(_3="B-767-300ER",'2026'!$N$4="CA",'2026'!$N$2=AX385),'2026DATA'!$G$13,"")</f>
        <v/>
      </c>
      <c r="AY396" s="518" t="str">
        <f>IF(AND(_3="B-767-300ER",'2026'!$N$4="CA",'2026'!$N$2=AY385),'2026DATA'!$H$13,"")</f>
        <v/>
      </c>
      <c r="AZ396" s="518" t="str">
        <f>IF(AND(_3="B-767-300ER",'2026'!$N$4="CA",'2026'!$N$2=AZ385),'2026DATA'!$I$13,"")</f>
        <v/>
      </c>
      <c r="BA396" s="518" t="str">
        <f>IF(AND(_3="B-767-300ER",'2026'!$N$4="CA",'2026'!$N$2=BA385),'2026DATA'!$J$13,"")</f>
        <v/>
      </c>
      <c r="BB396" s="518" t="str">
        <f>IF(AND(_3="B-767-300ER",'2026'!$N$4="CA",'2026'!$N$2=BB385),'2026DATA'!$K$13,"")</f>
        <v/>
      </c>
      <c r="BC396" s="518" t="str">
        <f>IF(AND(_3="B-767-300ER",'2026'!$N$4="CA",'2026'!$N$2=BC385),'2026DATA'!$L$13,"")</f>
        <v/>
      </c>
      <c r="BD396" s="518" t="str">
        <f>IF(AND(_3="B-767-300ER",'2026'!$N$4="CA",'2026'!$N$2=BD385),'2026DATA'!$M$13,"")</f>
        <v/>
      </c>
      <c r="BE396" s="520" t="str">
        <f>IF(AND(_3="B-767-300ER",'2026'!$N$4="CA",'2026'!$N$2=BE385),'2026DATA'!$N$13,"")</f>
        <v/>
      </c>
      <c r="BF396" s="940" t="s">
        <v>43</v>
      </c>
      <c r="BG396" s="13" t="s">
        <v>61</v>
      </c>
      <c r="BH396" s="518" t="str">
        <f>IF(AND(_4="B-767-300ER",'2026'!$N$4="CA",'2026'!$N$2=BH385),'2026DATA'!$C$13,"")</f>
        <v/>
      </c>
      <c r="BI396" s="518" t="str">
        <f>IF(AND(_4="B-767-300ER",'2026'!$N$4="CA",'2026'!$N$2=BI385),'2026DATA'!$D$13,"")</f>
        <v/>
      </c>
      <c r="BJ396" s="518" t="str">
        <f>IF(AND(_4="B-767-300ER",'2026'!$N$4="CA",'2026'!$N$2=BJ385),'2026DATA'!$E$13,"")</f>
        <v/>
      </c>
      <c r="BK396" s="518" t="str">
        <f>IF(AND(_4="B-767-300ER",'2026'!$N$4="CA",'2026'!$N$2=BK385),'2026DATA'!$F$13,"")</f>
        <v/>
      </c>
      <c r="BL396" s="518" t="str">
        <f>IF(AND(_4="B-767-300ER",'2026'!$N$4="CA",'2026'!$N$2=BL385),'2026DATA'!$G$13,"")</f>
        <v/>
      </c>
      <c r="BM396" s="518" t="str">
        <f>IF(AND(_4="B-767-300ER",'2026'!$N$4="CA",'2026'!$N$2=BM385),'2026DATA'!$H$13,"")</f>
        <v/>
      </c>
      <c r="BN396" s="518" t="str">
        <f>IF(AND(_4="B-767-300ER",'2026'!$N$4="CA",'2026'!$N$2=BN385),'2026DATA'!$I$13,"")</f>
        <v/>
      </c>
      <c r="BO396" s="518" t="str">
        <f>IF(AND(_4="B-767-300ER",'2026'!$N$4="CA",'2026'!$N$2=BO385),'2026DATA'!$J$13,"")</f>
        <v/>
      </c>
      <c r="BP396" s="518" t="str">
        <f>IF(AND(_4="B-767-300ER",'2026'!$N$4="CA",'2026'!$N$2=BP385),'2026DATA'!$K$13,"")</f>
        <v/>
      </c>
      <c r="BQ396" s="518" t="str">
        <f>IF(AND(_4="B-767-300ER",'2026'!$N$4="CA",'2026'!$N$2=BQ385),'2026DATA'!$L$13,"")</f>
        <v/>
      </c>
      <c r="BR396" s="518" t="str">
        <f>IF(AND(_4="B-767-300ER",'2026'!$N$4="CA",'2026'!$N$2=BR385),'2026DATA'!$M$13,"")</f>
        <v/>
      </c>
      <c r="BS396" s="520" t="str">
        <f>IF(AND(_4="B-767-300ER",'2026'!$N$4="CA",'2026'!$N$2=BS385),'2026DATA'!$N$13,"")</f>
        <v/>
      </c>
      <c r="BT396" s="940" t="s">
        <v>43</v>
      </c>
      <c r="BU396" s="13" t="s">
        <v>61</v>
      </c>
      <c r="BV396" s="518" t="str">
        <f>IF(AND(_5="B-767-300ER",'2026'!$N$4="CA",'2026'!$N$2=BV385),'2026DATA'!$C$13,"")</f>
        <v/>
      </c>
      <c r="BW396" s="518" t="str">
        <f>IF(AND(_5="B-767-300ER",'2026'!$N$4="CA",'2026'!$N$2=BW385),'2026DATA'!$D$13,"")</f>
        <v/>
      </c>
      <c r="BX396" s="518" t="str">
        <f>IF(AND(_5="B-767-300ER",'2026'!$N$4="CA",'2026'!$N$2=BX385),'2026DATA'!$E$13,"")</f>
        <v/>
      </c>
      <c r="BY396" s="518" t="str">
        <f>IF(AND(_5="B-767-300ER",'2026'!$N$4="CA",'2026'!$N$2=BY385),'2026DATA'!$F$13,"")</f>
        <v/>
      </c>
      <c r="BZ396" s="518" t="str">
        <f>IF(AND(_5="B-767-300ER",'2026'!$N$4="CA",'2026'!$N$2=BZ385),'2026DATA'!$G$13,"")</f>
        <v/>
      </c>
      <c r="CA396" s="518" t="str">
        <f>IF(AND(_5="B-767-300ER",'2026'!$N$4="CA",'2026'!$N$2=CA385),'2026DATA'!$H$13,"")</f>
        <v/>
      </c>
      <c r="CB396" s="518" t="str">
        <f>IF(AND(_5="B-767-300ER",'2026'!$N$4="CA",'2026'!$N$2=CB385),'2026DATA'!$I$13,"")</f>
        <v/>
      </c>
      <c r="CC396" s="518" t="str">
        <f>IF(AND(_5="B-767-300ER",'2026'!$N$4="CA",'2026'!$N$2=CC385),'2026DATA'!$J$13,"")</f>
        <v/>
      </c>
      <c r="CD396" s="518" t="str">
        <f>IF(AND(_5="B-767-300ER",'2026'!$N$4="CA",'2026'!$N$2=CD385),'2026DATA'!$K$13,"")</f>
        <v/>
      </c>
      <c r="CE396" s="518" t="str">
        <f>IF(AND(_5="B-767-300ER",'2026'!$N$4="CA",'2026'!$N$2=CE385),'2026DATA'!$L$13,"")</f>
        <v/>
      </c>
      <c r="CF396" s="518" t="str">
        <f>IF(AND(_5="B-767-300ER",'2026'!$N$4="CA",'2026'!$N$2=CF385),'2026DATA'!$M$13,"")</f>
        <v/>
      </c>
      <c r="CG396" s="520" t="str">
        <f>IF(AND(_5="B-767-300ER",'2026'!$N$4="CA",'2026'!$N$2=CG385),'2026DATA'!$N$13,"")</f>
        <v/>
      </c>
      <c r="CH396" s="940" t="s">
        <v>43</v>
      </c>
      <c r="CI396" s="13" t="s">
        <v>61</v>
      </c>
      <c r="CJ396" s="518" t="str">
        <f>IF(AND(_6="B-767-300ER",'2026'!$N$4="CA",'2026'!$N$2=CJ385),'2026DATA'!$C$13,"")</f>
        <v/>
      </c>
      <c r="CK396" s="518" t="str">
        <f>IF(AND(_6="B-767-300ER",'2026'!$N$4="CA",'2026'!$N$2=CK385),'2026DATA'!$D$13,"")</f>
        <v/>
      </c>
      <c r="CL396" s="518" t="str">
        <f>IF(AND(_6="B-767-300ER",'2026'!$N$4="CA",'2026'!$N$2=CL385),'2026DATA'!$E$13,"")</f>
        <v/>
      </c>
      <c r="CM396" s="518" t="str">
        <f>IF(AND(_6="B-767-300ER",'2026'!$N$4="CA",'2026'!$N$2=CM385),'2026DATA'!$F$13,"")</f>
        <v/>
      </c>
      <c r="CN396" s="518" t="str">
        <f>IF(AND(_6="B-767-300ER",'2026'!$N$4="CA",'2026'!$N$2=CN385),'2026DATA'!$G$13,"")</f>
        <v/>
      </c>
      <c r="CO396" s="518" t="str">
        <f>IF(AND(_6="B-767-300ER",'2026'!$N$4="CA",'2026'!$N$2=CO385),'2026DATA'!$H$13,"")</f>
        <v/>
      </c>
      <c r="CP396" s="518" t="str">
        <f>IF(AND(_6="B-767-300ER",'2026'!$N$4="CA",'2026'!$N$2=CP385),'2026DATA'!$I$13,"")</f>
        <v/>
      </c>
      <c r="CQ396" s="518" t="str">
        <f>IF(AND(_6="B-767-300ER",'2026'!$N$4="CA",'2026'!$N$2=CQ385),'2026DATA'!$J$13,"")</f>
        <v/>
      </c>
      <c r="CR396" s="518" t="str">
        <f>IF(AND(_6="B-767-300ER",'2026'!$N$4="CA",'2026'!$N$2=CR385),'2026DATA'!$K$13,"")</f>
        <v/>
      </c>
      <c r="CS396" s="518" t="str">
        <f>IF(AND(_6="B-767-300ER",'2026'!$N$4="CA",'2026'!$N$2=CS385),'2026DATA'!$L$13,"")</f>
        <v/>
      </c>
      <c r="CT396" s="518" t="str">
        <f>IF(AND(_6="B-767-300ER",'2026'!$N$4="CA",'2026'!$N$2=CT385),'2026DATA'!$M$13,"")</f>
        <v/>
      </c>
      <c r="CU396" s="520" t="str">
        <f>IF(AND(_6="B-767-300ER",'2026'!$N$4="CA",'2026'!$N$2=CU385),'2026DATA'!$N$13,"")</f>
        <v/>
      </c>
    </row>
    <row r="397" spans="16:99" x14ac:dyDescent="0.25">
      <c r="P397" s="940"/>
      <c r="Q397" s="13" t="s">
        <v>62</v>
      </c>
      <c r="R397" s="518" t="str">
        <f>IF(AND(_1="B-767-300ER",'2026'!$N$4="FO",'2026'!$N$2=R385),'2026DATA'!$C$14,"")</f>
        <v/>
      </c>
      <c r="S397" s="518" t="str">
        <f>IF(AND(_1="B-767-300ER",'2026'!$N$4="FO",'2026'!$N$2=S385),'2026DATA'!$D$14,"")</f>
        <v/>
      </c>
      <c r="T397" s="518" t="str">
        <f>IF(AND(_1="B-767-300ER",'2026'!$N$4="FO",'2026'!$N$2=T385),'2026DATA'!$E$14,"")</f>
        <v/>
      </c>
      <c r="U397" s="518" t="str">
        <f>IF(AND(_1="B-767-300ER",'2026'!$N$4="FO",'2026'!$N$2=U385),'2026DATA'!$F$14,"")</f>
        <v/>
      </c>
      <c r="V397" s="518" t="str">
        <f>IF(AND(_1="B-767-300ER",'2026'!$N$4="FO",'2026'!$N$2=V385),'2026DATA'!$G$14,"")</f>
        <v/>
      </c>
      <c r="W397" s="518" t="str">
        <f>IF(AND(_1="B-767-300ER",'2026'!$N$4="FO",'2026'!$N$2=W385),'2026DATA'!$H$14,"")</f>
        <v/>
      </c>
      <c r="X397" s="518" t="str">
        <f>IF(AND(_1="B-767-300ER",'2026'!$N$4="FO",'2026'!$N$2=X385),'2026DATA'!$I$14,"")</f>
        <v/>
      </c>
      <c r="Y397" s="518" t="str">
        <f>IF(AND(_1="B-767-300ER",'2026'!$N$4="FO",'2026'!$N$2=Y385),'2026DATA'!$J$14,"")</f>
        <v/>
      </c>
      <c r="Z397" s="518" t="str">
        <f>IF(AND(_1="B-767-300ER",'2026'!$N$4="FO",'2026'!$N$2=Z385),'2026DATA'!$K$14,"")</f>
        <v/>
      </c>
      <c r="AA397" s="518" t="str">
        <f>IF(AND(_1="B-767-300ER",'2026'!$N$4="FO",'2026'!$N$2=AA385),'2026DATA'!$L$14,"")</f>
        <v/>
      </c>
      <c r="AB397" s="518" t="str">
        <f>IF(AND(_1="B-767-300ER",'2026'!$N$4="FO",'2026'!$N$2=AB385),'2026DATA'!$M$14,"")</f>
        <v/>
      </c>
      <c r="AC397" s="520" t="str">
        <f>IF(AND(_1="B-767-300ER",'2026'!$N$4="FO",'2026'!$N$2=AC385),'2026DATA'!$N$14,"")</f>
        <v/>
      </c>
      <c r="AD397" s="940"/>
      <c r="AE397" s="13" t="s">
        <v>62</v>
      </c>
      <c r="AF397" s="518" t="str">
        <f>IF(AND(_2="B-767-300ER",'2026'!$N$4="FO",'2026'!$N$2=AF385),'2026DATA'!$C$14,"")</f>
        <v/>
      </c>
      <c r="AG397" s="518" t="str">
        <f>IF(AND(_2="B-767-300ER",'2026'!$N$4="FO",'2026'!$N$2=AG385),'2026DATA'!$D$14,"")</f>
        <v/>
      </c>
      <c r="AH397" s="518" t="str">
        <f>IF(AND(_2="B-767-300ER",'2026'!$N$4="FO",'2026'!$N$2=AH385),'2026DATA'!$E$14,"")</f>
        <v/>
      </c>
      <c r="AI397" s="518" t="str">
        <f>IF(AND(_2="B-767-300ER",'2026'!$N$4="FO",'2026'!$N$2=AI385),'2026DATA'!$F$14,"")</f>
        <v/>
      </c>
      <c r="AJ397" s="518" t="str">
        <f>IF(AND(_2="B-767-300ER",'2026'!$N$4="FO",'2026'!$N$2=AJ385),'2026DATA'!$G$14,"")</f>
        <v/>
      </c>
      <c r="AK397" s="518" t="str">
        <f>IF(AND(_2="B-767-300ER",'2026'!$N$4="FO",'2026'!$N$2=AK385),'2026DATA'!$H$14,"")</f>
        <v/>
      </c>
      <c r="AL397" s="518" t="str">
        <f>IF(AND(_2="B-767-300ER",'2026'!$N$4="FO",'2026'!$N$2=AL385),'2026DATA'!$I$14,"")</f>
        <v/>
      </c>
      <c r="AM397" s="518" t="str">
        <f>IF(AND(_2="B-767-300ER",'2026'!$N$4="FO",'2026'!$N$2=AM385),'2026DATA'!$J$14,"")</f>
        <v/>
      </c>
      <c r="AN397" s="518" t="str">
        <f>IF(AND(_2="B-767-300ER",'2026'!$N$4="FO",'2026'!$N$2=AN385),'2026DATA'!$K$14,"")</f>
        <v/>
      </c>
      <c r="AO397" s="518" t="str">
        <f>IF(AND(_2="B-767-300ER",'2026'!$N$4="FO",'2026'!$N$2=AO385),'2026DATA'!$L$14,"")</f>
        <v/>
      </c>
      <c r="AP397" s="518" t="str">
        <f>IF(AND(_2="B-767-300ER",'2026'!$N$4="FO",'2026'!$N$2=AP385),'2026DATA'!$M$14,"")</f>
        <v/>
      </c>
      <c r="AQ397" s="520" t="str">
        <f>IF(AND(_2="B-767-300ER",'2026'!$N$4="FO",'2026'!$N$2=AQ385),'2026DATA'!$N$14,"")</f>
        <v/>
      </c>
      <c r="AR397" s="940"/>
      <c r="AS397" s="13" t="s">
        <v>62</v>
      </c>
      <c r="AT397" s="518" t="str">
        <f>IF(AND(_3="B-767-300ER",'2026'!$N$4="FO",'2026'!$N$2=AT385),'2026DATA'!$C$14,"")</f>
        <v/>
      </c>
      <c r="AU397" s="518" t="str">
        <f>IF(AND(_3="B-767-300ER",'2026'!$N$4="FO",'2026'!$N$2=AU385),'2026DATA'!$D$14,"")</f>
        <v/>
      </c>
      <c r="AV397" s="518" t="str">
        <f>IF(AND(_3="B-767-300ER",'2026'!$N$4="FO",'2026'!$N$2=AV385),'2026DATA'!$E$14,"")</f>
        <v/>
      </c>
      <c r="AW397" s="518" t="str">
        <f>IF(AND(_3="B-767-300ER",'2026'!$N$4="FO",'2026'!$N$2=AW385),'2026DATA'!$F$14,"")</f>
        <v/>
      </c>
      <c r="AX397" s="518" t="str">
        <f>IF(AND(_3="B-767-300ER",'2026'!$N$4="FO",'2026'!$N$2=AX385),'2026DATA'!$G$14,"")</f>
        <v/>
      </c>
      <c r="AY397" s="518" t="str">
        <f>IF(AND(_3="B-767-300ER",'2026'!$N$4="FO",'2026'!$N$2=AY385),'2026DATA'!$H$14,"")</f>
        <v/>
      </c>
      <c r="AZ397" s="518" t="str">
        <f>IF(AND(_3="B-767-300ER",'2026'!$N$4="FO",'2026'!$N$2=AZ385),'2026DATA'!$I$14,"")</f>
        <v/>
      </c>
      <c r="BA397" s="518" t="str">
        <f>IF(AND(_3="B-767-300ER",'2026'!$N$4="FO",'2026'!$N$2=BA385),'2026DATA'!$J$14,"")</f>
        <v/>
      </c>
      <c r="BB397" s="518" t="str">
        <f>IF(AND(_3="B-767-300ER",'2026'!$N$4="FO",'2026'!$N$2=BB385),'2026DATA'!$K$14,"")</f>
        <v/>
      </c>
      <c r="BC397" s="518" t="str">
        <f>IF(AND(_3="B-767-300ER",'2026'!$N$4="FO",'2026'!$N$2=BC385),'2026DATA'!$L$14,"")</f>
        <v/>
      </c>
      <c r="BD397" s="518" t="str">
        <f>IF(AND(_3="B-767-300ER",'2026'!$N$4="FO",'2026'!$N$2=BD385),'2026DATA'!$M$14,"")</f>
        <v/>
      </c>
      <c r="BE397" s="520" t="str">
        <f>IF(AND(_3="B-767-300ER",'2026'!$N$4="FO",'2026'!$N$2=BE385),'2026DATA'!$N$14,"")</f>
        <v/>
      </c>
      <c r="BF397" s="940"/>
      <c r="BG397" s="13" t="s">
        <v>62</v>
      </c>
      <c r="BH397" s="518" t="str">
        <f>IF(AND(_4="B-767-300ER",'2026'!$N$4="FO",'2026'!$N$2=BH385),'2026DATA'!$C$14,"")</f>
        <v/>
      </c>
      <c r="BI397" s="518" t="str">
        <f>IF(AND(_4="B-767-300ER",'2026'!$N$4="FO",'2026'!$N$2=BI385),'2026DATA'!$D$14,"")</f>
        <v/>
      </c>
      <c r="BJ397" s="518" t="str">
        <f>IF(AND(_4="B-767-300ER",'2026'!$N$4="FO",'2026'!$N$2=BJ385),'2026DATA'!$E$14,"")</f>
        <v/>
      </c>
      <c r="BK397" s="518" t="str">
        <f>IF(AND(_4="B-767-300ER",'2026'!$N$4="FO",'2026'!$N$2=BK385),'2026DATA'!$F$14,"")</f>
        <v/>
      </c>
      <c r="BL397" s="518" t="str">
        <f>IF(AND(_4="B-767-300ER",'2026'!$N$4="FO",'2026'!$N$2=BL385),'2026DATA'!$G$14,"")</f>
        <v/>
      </c>
      <c r="BM397" s="518" t="str">
        <f>IF(AND(_4="B-767-300ER",'2026'!$N$4="FO",'2026'!$N$2=BM385),'2026DATA'!$H$14,"")</f>
        <v/>
      </c>
      <c r="BN397" s="518" t="str">
        <f>IF(AND(_4="B-767-300ER",'2026'!$N$4="FO",'2026'!$N$2=BN385),'2026DATA'!$I$14,"")</f>
        <v/>
      </c>
      <c r="BO397" s="518" t="str">
        <f>IF(AND(_4="B-767-300ER",'2026'!$N$4="FO",'2026'!$N$2=BO385),'2026DATA'!$J$14,"")</f>
        <v/>
      </c>
      <c r="BP397" s="518" t="str">
        <f>IF(AND(_4="B-767-300ER",'2026'!$N$4="FO",'2026'!$N$2=BP385),'2026DATA'!$K$14,"")</f>
        <v/>
      </c>
      <c r="BQ397" s="518" t="str">
        <f>IF(AND(_4="B-767-300ER",'2026'!$N$4="FO",'2026'!$N$2=BQ385),'2026DATA'!$L$14,"")</f>
        <v/>
      </c>
      <c r="BR397" s="518" t="str">
        <f>IF(AND(_4="B-767-300ER",'2026'!$N$4="FO",'2026'!$N$2=BR385),'2026DATA'!$M$14,"")</f>
        <v/>
      </c>
      <c r="BS397" s="520" t="str">
        <f>IF(AND(_4="B-767-300ER",'2026'!$N$4="FO",'2026'!$N$2=BS385),'2026DATA'!$N$14,"")</f>
        <v/>
      </c>
      <c r="BT397" s="940"/>
      <c r="BU397" s="13" t="s">
        <v>62</v>
      </c>
      <c r="BV397" s="518" t="str">
        <f>IF(AND(_5="B-767-300ER",'2026'!$N$4="FO",'2026'!$N$2=BV385),'2026DATA'!$C$14,"")</f>
        <v/>
      </c>
      <c r="BW397" s="518" t="str">
        <f>IF(AND(_5="B-767-300ER",'2026'!$N$4="FO",'2026'!$N$2=BW385),'2026DATA'!$D$14,"")</f>
        <v/>
      </c>
      <c r="BX397" s="518" t="str">
        <f>IF(AND(_5="B-767-300ER",'2026'!$N$4="FO",'2026'!$N$2=BX385),'2026DATA'!$E$14,"")</f>
        <v/>
      </c>
      <c r="BY397" s="518" t="str">
        <f>IF(AND(_5="B-767-300ER",'2026'!$N$4="FO",'2026'!$N$2=BY385),'2026DATA'!$F$14,"")</f>
        <v/>
      </c>
      <c r="BZ397" s="518" t="str">
        <f>IF(AND(_5="B-767-300ER",'2026'!$N$4="FO",'2026'!$N$2=BZ385),'2026DATA'!$G$14,"")</f>
        <v/>
      </c>
      <c r="CA397" s="518" t="str">
        <f>IF(AND(_5="B-767-300ER",'2026'!$N$4="FO",'2026'!$N$2=CA385),'2026DATA'!$H$14,"")</f>
        <v/>
      </c>
      <c r="CB397" s="518" t="str">
        <f>IF(AND(_5="B-767-300ER",'2026'!$N$4="FO",'2026'!$N$2=CB385),'2026DATA'!$I$14,"")</f>
        <v/>
      </c>
      <c r="CC397" s="518" t="str">
        <f>IF(AND(_5="B-767-300ER",'2026'!$N$4="FO",'2026'!$N$2=CC385),'2026DATA'!$J$14,"")</f>
        <v/>
      </c>
      <c r="CD397" s="518" t="str">
        <f>IF(AND(_5="B-767-300ER",'2026'!$N$4="FO",'2026'!$N$2=CD385),'2026DATA'!$K$14,"")</f>
        <v/>
      </c>
      <c r="CE397" s="518" t="str">
        <f>IF(AND(_5="B-767-300ER",'2026'!$N$4="FO",'2026'!$N$2=CE385),'2026DATA'!$L$14,"")</f>
        <v/>
      </c>
      <c r="CF397" s="518" t="str">
        <f>IF(AND(_5="B-767-300ER",'2026'!$N$4="FO",'2026'!$N$2=CF385),'2026DATA'!$M$14,"")</f>
        <v/>
      </c>
      <c r="CG397" s="520" t="str">
        <f>IF(AND(_5="B-767-300ER",'2026'!$N$4="FO",'2026'!$N$2=CG385),'2026DATA'!$N$14,"")</f>
        <v/>
      </c>
      <c r="CH397" s="940"/>
      <c r="CI397" s="13" t="s">
        <v>62</v>
      </c>
      <c r="CJ397" s="518" t="str">
        <f>IF(AND(_6="B-767-300ER",'2026'!$N$4="FO",'2026'!$N$2=CJ385),'2026DATA'!$C$14,"")</f>
        <v/>
      </c>
      <c r="CK397" s="518" t="str">
        <f>IF(AND(_6="B-767-300ER",'2026'!$N$4="FO",'2026'!$N$2=CK385),'2026DATA'!$D$14,"")</f>
        <v/>
      </c>
      <c r="CL397" s="518" t="str">
        <f>IF(AND(_6="B-767-300ER",'2026'!$N$4="FO",'2026'!$N$2=CL385),'2026DATA'!$E$14,"")</f>
        <v/>
      </c>
      <c r="CM397" s="518" t="str">
        <f>IF(AND(_6="B-767-300ER",'2026'!$N$4="FO",'2026'!$N$2=CM385),'2026DATA'!$F$14,"")</f>
        <v/>
      </c>
      <c r="CN397" s="518" t="str">
        <f>IF(AND(_6="B-767-300ER",'2026'!$N$4="FO",'2026'!$N$2=CN385),'2026DATA'!$G$14,"")</f>
        <v/>
      </c>
      <c r="CO397" s="518" t="str">
        <f>IF(AND(_6="B-767-300ER",'2026'!$N$4="FO",'2026'!$N$2=CO385),'2026DATA'!$H$14,"")</f>
        <v/>
      </c>
      <c r="CP397" s="518" t="str">
        <f>IF(AND(_6="B-767-300ER",'2026'!$N$4="FO",'2026'!$N$2=CP385),'2026DATA'!$I$14,"")</f>
        <v/>
      </c>
      <c r="CQ397" s="518" t="str">
        <f>IF(AND(_6="B-767-300ER",'2026'!$N$4="FO",'2026'!$N$2=CQ385),'2026DATA'!$J$14,"")</f>
        <v/>
      </c>
      <c r="CR397" s="518" t="str">
        <f>IF(AND(_6="B-767-300ER",'2026'!$N$4="FO",'2026'!$N$2=CR385),'2026DATA'!$K$14,"")</f>
        <v/>
      </c>
      <c r="CS397" s="518" t="str">
        <f>IF(AND(_6="B-767-300ER",'2026'!$N$4="FO",'2026'!$N$2=CS385),'2026DATA'!$L$14,"")</f>
        <v/>
      </c>
      <c r="CT397" s="518" t="str">
        <f>IF(AND(_6="B-767-300ER",'2026'!$N$4="FO",'2026'!$N$2=CT385),'2026DATA'!$M$14,"")</f>
        <v/>
      </c>
      <c r="CU397" s="520" t="str">
        <f>IF(AND(_6="B-767-300ER",'2026'!$N$4="FO",'2026'!$N$2=CU385),'2026DATA'!$N$14,"")</f>
        <v/>
      </c>
    </row>
    <row r="398" spans="16:99" x14ac:dyDescent="0.25">
      <c r="P398" s="940" t="s">
        <v>67</v>
      </c>
      <c r="Q398" s="13" t="s">
        <v>61</v>
      </c>
      <c r="R398" s="518" t="str">
        <f>IF(AND(_1="B-767-300",'2026'!$N$4="CA",'2026'!$N$2=R385),'2026DATA'!$C$15,"")</f>
        <v/>
      </c>
      <c r="S398" s="518" t="str">
        <f>IF(AND(_1="B-767-300",'2026'!$N$4="CA",'2026'!$N$2=S385),'2026DATA'!$D$15,"")</f>
        <v/>
      </c>
      <c r="T398" s="518" t="str">
        <f>IF(AND(_1="B-767-300",'2026'!$N$4="CA",'2026'!$N$2=T385),'2026DATA'!$E$15,"")</f>
        <v/>
      </c>
      <c r="U398" s="518" t="str">
        <f>IF(AND(_1="B-767-300",'2026'!$N$4="CA",'2026'!$N$2=U385),'2026DATA'!$F$15,"")</f>
        <v/>
      </c>
      <c r="V398" s="518" t="str">
        <f>IF(AND(_1="B-767-300",'2026'!$N$4="CA",'2026'!$N$2=V385),'2026DATA'!$G$15,"")</f>
        <v/>
      </c>
      <c r="W398" s="518" t="str">
        <f>IF(AND(_1="B-767-300",'2026'!$N$4="CA",'2026'!$N$2=W385),'2026DATA'!$H$15,"")</f>
        <v/>
      </c>
      <c r="X398" s="518" t="str">
        <f>IF(AND(_1="B-767-300",'2026'!$N$4="CA",'2026'!$N$2=X385),'2026DATA'!$I$15,"")</f>
        <v/>
      </c>
      <c r="Y398" s="518" t="str">
        <f>IF(AND(_1="B-767-300",'2026'!$N$4="CA",'2026'!$N$2=Y385),'2026DATA'!$J$15,"")</f>
        <v/>
      </c>
      <c r="Z398" s="518" t="str">
        <f>IF(AND(_1="B-767-300",'2026'!$N$4="CA",'2026'!$N$2=Z385),'2026DATA'!$K$15,"")</f>
        <v/>
      </c>
      <c r="AA398" s="518" t="str">
        <f>IF(AND(_1="B-767-300",'2026'!$N$4="CA",'2026'!$N$2=AA385),'2026DATA'!$L$15,"")</f>
        <v/>
      </c>
      <c r="AB398" s="518" t="str">
        <f>IF(AND(_1="B-767-300",'2026'!$N$4="CA",'2026'!$N$2=AB385),'2026DATA'!$M$15,"")</f>
        <v/>
      </c>
      <c r="AC398" s="520" t="str">
        <f>IF(AND(_1="B-767-300",'2026'!$N$4="CA",'2026'!$N$2=AC385),'2026DATA'!$N$15,"")</f>
        <v/>
      </c>
      <c r="AD398" s="940" t="s">
        <v>67</v>
      </c>
      <c r="AE398" s="13" t="s">
        <v>61</v>
      </c>
      <c r="AF398" s="518" t="str">
        <f>IF(AND(_2="B-767-300",'2026'!$N$4="CA",'2026'!$N$2=AF385),'2026DATA'!$C$15,"")</f>
        <v/>
      </c>
      <c r="AG398" s="518" t="str">
        <f>IF(AND(_2="B-767-300",'2026'!$N$4="CA",'2026'!$N$2=AG385),'2026DATA'!$D$15,"")</f>
        <v/>
      </c>
      <c r="AH398" s="518" t="str">
        <f>IF(AND(_2="B-767-300",'2026'!$N$4="CA",'2026'!$N$2=AH385),'2026DATA'!$E$15,"")</f>
        <v/>
      </c>
      <c r="AI398" s="518" t="str">
        <f>IF(AND(_2="B-767-300",'2026'!$N$4="CA",'2026'!$N$2=AI385),'2026DATA'!$F$15,"")</f>
        <v/>
      </c>
      <c r="AJ398" s="518" t="str">
        <f>IF(AND(_2="B-767-300",'2026'!$N$4="CA",'2026'!$N$2=AJ385),'2026DATA'!$G$15,"")</f>
        <v/>
      </c>
      <c r="AK398" s="518" t="str">
        <f>IF(AND(_2="B-767-300",'2026'!$N$4="CA",'2026'!$N$2=AK385),'2026DATA'!$H$15,"")</f>
        <v/>
      </c>
      <c r="AL398" s="518" t="str">
        <f>IF(AND(_2="B-767-300",'2026'!$N$4="CA",'2026'!$N$2=AL385),'2026DATA'!$I$15,"")</f>
        <v/>
      </c>
      <c r="AM398" s="518" t="str">
        <f>IF(AND(_2="B-767-300",'2026'!$N$4="CA",'2026'!$N$2=AM385),'2026DATA'!$J$15,"")</f>
        <v/>
      </c>
      <c r="AN398" s="518" t="str">
        <f>IF(AND(_2="B-767-300",'2026'!$N$4="CA",'2026'!$N$2=AN385),'2026DATA'!$K$15,"")</f>
        <v/>
      </c>
      <c r="AO398" s="518" t="str">
        <f>IF(AND(_2="B-767-300",'2026'!$N$4="CA",'2026'!$N$2=AO385),'2026DATA'!$L$15,"")</f>
        <v/>
      </c>
      <c r="AP398" s="518" t="str">
        <f>IF(AND(_2="B-767-300",'2026'!$N$4="CA",'2026'!$N$2=AP385),'2026DATA'!$M$15,"")</f>
        <v/>
      </c>
      <c r="AQ398" s="520" t="str">
        <f>IF(AND(_2="B-767-300",'2026'!$N$4="CA",'2026'!$N$2=AQ385),'2026DATA'!$N$15,"")</f>
        <v/>
      </c>
      <c r="AR398" s="940" t="s">
        <v>67</v>
      </c>
      <c r="AS398" s="13" t="s">
        <v>61</v>
      </c>
      <c r="AT398" s="518" t="str">
        <f>IF(AND(_3="B-767-300",'2026'!$N$4="CA",'2026'!$N$2=AT385),'2026DATA'!$C$15,"")</f>
        <v/>
      </c>
      <c r="AU398" s="518" t="str">
        <f>IF(AND(_3="B-767-300",'2026'!$N$4="CA",'2026'!$N$2=AU385),'2026DATA'!$D$15,"")</f>
        <v/>
      </c>
      <c r="AV398" s="518" t="str">
        <f>IF(AND(_3="B-767-300",'2026'!$N$4="CA",'2026'!$N$2=AV385),'2026DATA'!$E$15,"")</f>
        <v/>
      </c>
      <c r="AW398" s="518" t="str">
        <f>IF(AND(_3="B-767-300",'2026'!$N$4="CA",'2026'!$N$2=AW385),'2026DATA'!$F$15,"")</f>
        <v/>
      </c>
      <c r="AX398" s="518" t="str">
        <f>IF(AND(_3="B-767-300",'2026'!$N$4="CA",'2026'!$N$2=AX385),'2026DATA'!$G$15,"")</f>
        <v/>
      </c>
      <c r="AY398" s="518" t="str">
        <f>IF(AND(_3="B-767-300",'2026'!$N$4="CA",'2026'!$N$2=AY385),'2026DATA'!$H$15,"")</f>
        <v/>
      </c>
      <c r="AZ398" s="518" t="str">
        <f>IF(AND(_3="B-767-300",'2026'!$N$4="CA",'2026'!$N$2=AZ385),'2026DATA'!$I$15,"")</f>
        <v/>
      </c>
      <c r="BA398" s="518" t="str">
        <f>IF(AND(_3="B-767-300",'2026'!$N$4="CA",'2026'!$N$2=BA385),'2026DATA'!$J$15,"")</f>
        <v/>
      </c>
      <c r="BB398" s="518" t="str">
        <f>IF(AND(_3="B-767-300",'2026'!$N$4="CA",'2026'!$N$2=BB385),'2026DATA'!$K$15,"")</f>
        <v/>
      </c>
      <c r="BC398" s="518" t="str">
        <f>IF(AND(_3="B-767-300",'2026'!$N$4="CA",'2026'!$N$2=BC385),'2026DATA'!$L$15,"")</f>
        <v/>
      </c>
      <c r="BD398" s="518" t="str">
        <f>IF(AND(_3="B-767-300",'2026'!$N$4="CA",'2026'!$N$2=BD385),'2026DATA'!$M$15,"")</f>
        <v/>
      </c>
      <c r="BE398" s="520" t="str">
        <f>IF(AND(_3="B-767-300",'2026'!$N$4="CA",'2026'!$N$2=BE385),'2026DATA'!$N$15,"")</f>
        <v/>
      </c>
      <c r="BF398" s="940" t="s">
        <v>67</v>
      </c>
      <c r="BG398" s="13" t="s">
        <v>61</v>
      </c>
      <c r="BH398" s="518" t="str">
        <f>IF(AND(_4="B-767-300",'2026'!$N$4="CA",'2026'!$N$2=BH385),'2026DATA'!$C$15,"")</f>
        <v/>
      </c>
      <c r="BI398" s="518" t="str">
        <f>IF(AND(_4="B-767-300",'2026'!$N$4="CA",'2026'!$N$2=BI385),'2026DATA'!$D$15,"")</f>
        <v/>
      </c>
      <c r="BJ398" s="518" t="str">
        <f>IF(AND(_4="B-767-300",'2026'!$N$4="CA",'2026'!$N$2=BJ385),'2026DATA'!$E$15,"")</f>
        <v/>
      </c>
      <c r="BK398" s="518" t="str">
        <f>IF(AND(_4="B-767-300",'2026'!$N$4="CA",'2026'!$N$2=BK385),'2026DATA'!$F$15,"")</f>
        <v/>
      </c>
      <c r="BL398" s="518" t="str">
        <f>IF(AND(_4="B-767-300",'2026'!$N$4="CA",'2026'!$N$2=BL385),'2026DATA'!$G$15,"")</f>
        <v/>
      </c>
      <c r="BM398" s="518" t="str">
        <f>IF(AND(_4="B-767-300",'2026'!$N$4="CA",'2026'!$N$2=BM385),'2026DATA'!$H$15,"")</f>
        <v/>
      </c>
      <c r="BN398" s="518" t="str">
        <f>IF(AND(_4="B-767-300",'2026'!$N$4="CA",'2026'!$N$2=BN385),'2026DATA'!$I$15,"")</f>
        <v/>
      </c>
      <c r="BO398" s="518" t="str">
        <f>IF(AND(_4="B-767-300",'2026'!$N$4="CA",'2026'!$N$2=BO385),'2026DATA'!$J$15,"")</f>
        <v/>
      </c>
      <c r="BP398" s="518" t="str">
        <f>IF(AND(_4="B-767-300",'2026'!$N$4="CA",'2026'!$N$2=BP385),'2026DATA'!$K$15,"")</f>
        <v/>
      </c>
      <c r="BQ398" s="518" t="str">
        <f>IF(AND(_4="B-767-300",'2026'!$N$4="CA",'2026'!$N$2=BQ385),'2026DATA'!$L$15,"")</f>
        <v/>
      </c>
      <c r="BR398" s="518" t="str">
        <f>IF(AND(_4="B-767-300",'2026'!$N$4="CA",'2026'!$N$2=BR385),'2026DATA'!$M$15,"")</f>
        <v/>
      </c>
      <c r="BS398" s="520" t="str">
        <f>IF(AND(_4="B-767-300",'2026'!$N$4="CA",'2026'!$N$2=BS385),'2026DATA'!$N$15,"")</f>
        <v/>
      </c>
      <c r="BT398" s="940" t="s">
        <v>67</v>
      </c>
      <c r="BU398" s="13" t="s">
        <v>61</v>
      </c>
      <c r="BV398" s="518" t="str">
        <f>IF(AND(_5="B-767-300",'2026'!$N$4="CA",'2026'!$N$2=BV385),'2026DATA'!$C$15,"")</f>
        <v/>
      </c>
      <c r="BW398" s="518" t="str">
        <f>IF(AND(_5="B-767-300",'2026'!$N$4="CA",'2026'!$N$2=BW385),'2026DATA'!$D$15,"")</f>
        <v/>
      </c>
      <c r="BX398" s="518" t="str">
        <f>IF(AND(_5="B-767-300",'2026'!$N$4="CA",'2026'!$N$2=BX385),'2026DATA'!$E$15,"")</f>
        <v/>
      </c>
      <c r="BY398" s="518" t="str">
        <f>IF(AND(_5="B-767-300",'2026'!$N$4="CA",'2026'!$N$2=BY385),'2026DATA'!$F$15,"")</f>
        <v/>
      </c>
      <c r="BZ398" s="518" t="str">
        <f>IF(AND(_5="B-767-300",'2026'!$N$4="CA",'2026'!$N$2=BZ385),'2026DATA'!$G$15,"")</f>
        <v/>
      </c>
      <c r="CA398" s="518" t="str">
        <f>IF(AND(_5="B-767-300",'2026'!$N$4="CA",'2026'!$N$2=CA385),'2026DATA'!$H$15,"")</f>
        <v/>
      </c>
      <c r="CB398" s="518" t="str">
        <f>IF(AND(_5="B-767-300",'2026'!$N$4="CA",'2026'!$N$2=CB385),'2026DATA'!$I$15,"")</f>
        <v/>
      </c>
      <c r="CC398" s="518" t="str">
        <f>IF(AND(_5="B-767-300",'2026'!$N$4="CA",'2026'!$N$2=CC385),'2026DATA'!$J$15,"")</f>
        <v/>
      </c>
      <c r="CD398" s="518" t="str">
        <f>IF(AND(_5="B-767-300",'2026'!$N$4="CA",'2026'!$N$2=CD385),'2026DATA'!$K$15,"")</f>
        <v/>
      </c>
      <c r="CE398" s="518" t="str">
        <f>IF(AND(_5="B-767-300",'2026'!$N$4="CA",'2026'!$N$2=CE385),'2026DATA'!$L$15,"")</f>
        <v/>
      </c>
      <c r="CF398" s="518" t="str">
        <f>IF(AND(_5="B-767-300",'2026'!$N$4="CA",'2026'!$N$2=CF385),'2026DATA'!$M$15,"")</f>
        <v/>
      </c>
      <c r="CG398" s="520" t="str">
        <f>IF(AND(_5="B-767-300",'2026'!$N$4="CA",'2026'!$N$2=CG385),'2026DATA'!$N$15,"")</f>
        <v/>
      </c>
      <c r="CH398" s="940" t="s">
        <v>67</v>
      </c>
      <c r="CI398" s="13" t="s">
        <v>61</v>
      </c>
      <c r="CJ398" s="518" t="str">
        <f>IF(AND(_6="B-767-300",'2026'!$N$4="CA",'2026'!$N$2=CJ385),'2026DATA'!$C$15,"")</f>
        <v/>
      </c>
      <c r="CK398" s="518" t="str">
        <f>IF(AND(_6="B-767-300",'2026'!$N$4="CA",'2026'!$N$2=CK385),'2026DATA'!$D$15,"")</f>
        <v/>
      </c>
      <c r="CL398" s="518" t="str">
        <f>IF(AND(_6="B-767-300",'2026'!$N$4="CA",'2026'!$N$2=CL385),'2026DATA'!$E$15,"")</f>
        <v/>
      </c>
      <c r="CM398" s="518" t="str">
        <f>IF(AND(_6="B-767-300",'2026'!$N$4="CA",'2026'!$N$2=CM385),'2026DATA'!$F$15,"")</f>
        <v/>
      </c>
      <c r="CN398" s="518" t="str">
        <f>IF(AND(_6="B-767-300",'2026'!$N$4="CA",'2026'!$N$2=CN385),'2026DATA'!$G$15,"")</f>
        <v/>
      </c>
      <c r="CO398" s="518" t="str">
        <f>IF(AND(_6="B-767-300",'2026'!$N$4="CA",'2026'!$N$2=CO385),'2026DATA'!$H$15,"")</f>
        <v/>
      </c>
      <c r="CP398" s="518" t="str">
        <f>IF(AND(_6="B-767-300",'2026'!$N$4="CA",'2026'!$N$2=CP385),'2026DATA'!$I$15,"")</f>
        <v/>
      </c>
      <c r="CQ398" s="518" t="str">
        <f>IF(AND(_6="B-767-300",'2026'!$N$4="CA",'2026'!$N$2=CQ385),'2026DATA'!$J$15,"")</f>
        <v/>
      </c>
      <c r="CR398" s="518" t="str">
        <f>IF(AND(_6="B-767-300",'2026'!$N$4="CA",'2026'!$N$2=CR385),'2026DATA'!$K$15,"")</f>
        <v/>
      </c>
      <c r="CS398" s="518" t="str">
        <f>IF(AND(_6="B-767-300",'2026'!$N$4="CA",'2026'!$N$2=CS385),'2026DATA'!$L$15,"")</f>
        <v/>
      </c>
      <c r="CT398" s="518" t="str">
        <f>IF(AND(_6="B-767-300",'2026'!$N$4="CA",'2026'!$N$2=CT385),'2026DATA'!$M$15,"")</f>
        <v/>
      </c>
      <c r="CU398" s="520" t="str">
        <f>IF(AND(_6="B-767-300",'2026'!$N$4="CA",'2026'!$N$2=CU385),'2026DATA'!$N$15,"")</f>
        <v/>
      </c>
    </row>
    <row r="399" spans="16:99" x14ac:dyDescent="0.25">
      <c r="P399" s="940"/>
      <c r="Q399" s="13" t="s">
        <v>62</v>
      </c>
      <c r="R399" s="518" t="str">
        <f>IF(AND(_1="B-767-300",'2026'!$N$4="FO",'2026'!$N$2=R385),'2026DATA'!$C$16,"")</f>
        <v/>
      </c>
      <c r="S399" s="518" t="str">
        <f>IF(AND(_1="B-767-300",'2026'!$N$4="FO",'2026'!$N$2=S385),'2026DATA'!$D$16,"")</f>
        <v/>
      </c>
      <c r="T399" s="518" t="str">
        <f>IF(AND(_1="B-767-300",'2026'!$N$4="FO",'2026'!$N$2=T385),'2026DATA'!$E$16,"")</f>
        <v/>
      </c>
      <c r="U399" s="518" t="str">
        <f>IF(AND(_1="B-767-300",'2026'!$N$4="FO",'2026'!$N$2=U385),'2026DATA'!$F$16,"")</f>
        <v/>
      </c>
      <c r="V399" s="518" t="str">
        <f>IF(AND(_1="B-767-300",'2026'!$N$4="FO",'2026'!$N$2=V385),'2026DATA'!$G$16,"")</f>
        <v/>
      </c>
      <c r="W399" s="518" t="str">
        <f>IF(AND(_1="B-767-300",'2026'!$N$4="FO",'2026'!$N$2=W385),'2026DATA'!$H$16,"")</f>
        <v/>
      </c>
      <c r="X399" s="518" t="str">
        <f>IF(AND(_1="B-767-300",'2026'!$N$4="FO",'2026'!$N$2=X385),'2026DATA'!$I$16,"")</f>
        <v/>
      </c>
      <c r="Y399" s="518" t="str">
        <f>IF(AND(_1="B-767-300",'2026'!$N$4="FO",'2026'!$N$2=Y385),'2026DATA'!$J$16,"")</f>
        <v/>
      </c>
      <c r="Z399" s="518" t="str">
        <f>IF(AND(_1="B-767-300",'2026'!$N$4="FO",'2026'!$N$2=Z385),'2026DATA'!$K$16,"")</f>
        <v/>
      </c>
      <c r="AA399" s="518" t="str">
        <f>IF(AND(_1="B-767-300",'2026'!$N$4="FO",'2026'!$N$2=AA385),'2026DATA'!$L$16,"")</f>
        <v/>
      </c>
      <c r="AB399" s="518" t="str">
        <f>IF(AND(_1="B-767-300",'2026'!$N$4="FO",'2026'!$N$2=AB385),'2026DATA'!$M$16,"")</f>
        <v/>
      </c>
      <c r="AC399" s="520" t="str">
        <f>IF(AND(_1="B-767-300",'2026'!$N$4="FO",'2026'!$N$2=AC385),'2026DATA'!$N$16,"")</f>
        <v/>
      </c>
      <c r="AD399" s="940"/>
      <c r="AE399" s="13" t="s">
        <v>62</v>
      </c>
      <c r="AF399" s="518" t="str">
        <f>IF(AND(_2="B-767-300",'2026'!$N$4="FO",'2026'!$N$2=AF385),'2026DATA'!$C$16,"")</f>
        <v/>
      </c>
      <c r="AG399" s="518" t="str">
        <f>IF(AND(_2="B-767-300",'2026'!$N$4="FO",'2026'!$N$2=AG385),'2026DATA'!$D$16,"")</f>
        <v/>
      </c>
      <c r="AH399" s="518" t="str">
        <f>IF(AND(_2="B-767-300",'2026'!$N$4="FO",'2026'!$N$2=AH385),'2026DATA'!$E$16,"")</f>
        <v/>
      </c>
      <c r="AI399" s="518" t="str">
        <f>IF(AND(_2="B-767-300",'2026'!$N$4="FO",'2026'!$N$2=AI385),'2026DATA'!$F$16,"")</f>
        <v/>
      </c>
      <c r="AJ399" s="518" t="str">
        <f>IF(AND(_2="B-767-300",'2026'!$N$4="FO",'2026'!$N$2=AJ385),'2026DATA'!$G$16,"")</f>
        <v/>
      </c>
      <c r="AK399" s="518" t="str">
        <f>IF(AND(_2="B-767-300",'2026'!$N$4="FO",'2026'!$N$2=AK385),'2026DATA'!$H$16,"")</f>
        <v/>
      </c>
      <c r="AL399" s="518" t="str">
        <f>IF(AND(_2="B-767-300",'2026'!$N$4="FO",'2026'!$N$2=AL385),'2026DATA'!$I$16,"")</f>
        <v/>
      </c>
      <c r="AM399" s="518" t="str">
        <f>IF(AND(_2="B-767-300",'2026'!$N$4="FO",'2026'!$N$2=AM385),'2026DATA'!$J$16,"")</f>
        <v/>
      </c>
      <c r="AN399" s="518" t="str">
        <f>IF(AND(_2="B-767-300",'2026'!$N$4="FO",'2026'!$N$2=AN385),'2026DATA'!$K$16,"")</f>
        <v/>
      </c>
      <c r="AO399" s="518" t="str">
        <f>IF(AND(_2="B-767-300",'2026'!$N$4="FO",'2026'!$N$2=AO385),'2026DATA'!$L$16,"")</f>
        <v/>
      </c>
      <c r="AP399" s="518" t="str">
        <f>IF(AND(_2="B-767-300",'2026'!$N$4="FO",'2026'!$N$2=AP385),'2026DATA'!$M$16,"")</f>
        <v/>
      </c>
      <c r="AQ399" s="520" t="str">
        <f>IF(AND(_2="B-767-300",'2026'!$N$4="FO",'2026'!$N$2=AQ385),'2026DATA'!$N$16,"")</f>
        <v/>
      </c>
      <c r="AR399" s="940"/>
      <c r="AS399" s="13" t="s">
        <v>62</v>
      </c>
      <c r="AT399" s="518" t="str">
        <f>IF(AND(_3="B-767-300",'2026'!$N$4="FO",'2026'!$N$2=AT385),'2026DATA'!$C$16,"")</f>
        <v/>
      </c>
      <c r="AU399" s="518" t="str">
        <f>IF(AND(_3="B-767-300",'2026'!$N$4="FO",'2026'!$N$2=AU385),'2026DATA'!$D$16,"")</f>
        <v/>
      </c>
      <c r="AV399" s="518" t="str">
        <f>IF(AND(_3="B-767-300",'2026'!$N$4="FO",'2026'!$N$2=AV385),'2026DATA'!$E$16,"")</f>
        <v/>
      </c>
      <c r="AW399" s="518" t="str">
        <f>IF(AND(_3="B-767-300",'2026'!$N$4="FO",'2026'!$N$2=AW385),'2026DATA'!$F$16,"")</f>
        <v/>
      </c>
      <c r="AX399" s="518" t="str">
        <f>IF(AND(_3="B-767-300",'2026'!$N$4="FO",'2026'!$N$2=AX385),'2026DATA'!$G$16,"")</f>
        <v/>
      </c>
      <c r="AY399" s="518" t="str">
        <f>IF(AND(_3="B-767-300",'2026'!$N$4="FO",'2026'!$N$2=AY385),'2026DATA'!$H$16,"")</f>
        <v/>
      </c>
      <c r="AZ399" s="518" t="str">
        <f>IF(AND(_3="B-767-300",'2026'!$N$4="FO",'2026'!$N$2=AZ385),'2026DATA'!$I$16,"")</f>
        <v/>
      </c>
      <c r="BA399" s="518" t="str">
        <f>IF(AND(_3="B-767-300",'2026'!$N$4="FO",'2026'!$N$2=BA385),'2026DATA'!$J$16,"")</f>
        <v/>
      </c>
      <c r="BB399" s="518" t="str">
        <f>IF(AND(_3="B-767-300",'2026'!$N$4="FO",'2026'!$N$2=BB385),'2026DATA'!$K$16,"")</f>
        <v/>
      </c>
      <c r="BC399" s="518" t="str">
        <f>IF(AND(_3="B-767-300",'2026'!$N$4="FO",'2026'!$N$2=BC385),'2026DATA'!$L$16,"")</f>
        <v/>
      </c>
      <c r="BD399" s="518" t="str">
        <f>IF(AND(_3="B-767-300",'2026'!$N$4="FO",'2026'!$N$2=BD385),'2026DATA'!$M$16,"")</f>
        <v/>
      </c>
      <c r="BE399" s="520" t="str">
        <f>IF(AND(_3="B-767-300",'2026'!$N$4="FO",'2026'!$N$2=BE385),'2026DATA'!$N$16,"")</f>
        <v/>
      </c>
      <c r="BF399" s="940"/>
      <c r="BG399" s="13" t="s">
        <v>62</v>
      </c>
      <c r="BH399" s="518" t="str">
        <f>IF(AND(_4="B-767-300",'2026'!$N$4="FO",'2026'!$N$2=BH385),'2026DATA'!$C$16,"")</f>
        <v/>
      </c>
      <c r="BI399" s="518" t="str">
        <f>IF(AND(_4="B-767-300",'2026'!$N$4="FO",'2026'!$N$2=BI385),'2026DATA'!$D$16,"")</f>
        <v/>
      </c>
      <c r="BJ399" s="518" t="str">
        <f>IF(AND(_4="B-767-300",'2026'!$N$4="FO",'2026'!$N$2=BJ385),'2026DATA'!$E$16,"")</f>
        <v/>
      </c>
      <c r="BK399" s="518" t="str">
        <f>IF(AND(_4="B-767-300",'2026'!$N$4="FO",'2026'!$N$2=BK385),'2026DATA'!$F$16,"")</f>
        <v/>
      </c>
      <c r="BL399" s="518" t="str">
        <f>IF(AND(_4="B-767-300",'2026'!$N$4="FO",'2026'!$N$2=BL385),'2026DATA'!$G$16,"")</f>
        <v/>
      </c>
      <c r="BM399" s="518" t="str">
        <f>IF(AND(_4="B-767-300",'2026'!$N$4="FO",'2026'!$N$2=BM385),'2026DATA'!$H$16,"")</f>
        <v/>
      </c>
      <c r="BN399" s="518" t="str">
        <f>IF(AND(_4="B-767-300",'2026'!$N$4="FO",'2026'!$N$2=BN385),'2026DATA'!$I$16,"")</f>
        <v/>
      </c>
      <c r="BO399" s="518" t="str">
        <f>IF(AND(_4="B-767-300",'2026'!$N$4="FO",'2026'!$N$2=BO385),'2026DATA'!$J$16,"")</f>
        <v/>
      </c>
      <c r="BP399" s="518" t="str">
        <f>IF(AND(_4="B-767-300",'2026'!$N$4="FO",'2026'!$N$2=BP385),'2026DATA'!$K$16,"")</f>
        <v/>
      </c>
      <c r="BQ399" s="518" t="str">
        <f>IF(AND(_4="B-767-300",'2026'!$N$4="FO",'2026'!$N$2=BQ385),'2026DATA'!$L$16,"")</f>
        <v/>
      </c>
      <c r="BR399" s="518" t="str">
        <f>IF(AND(_4="B-767-300",'2026'!$N$4="FO",'2026'!$N$2=BR385),'2026DATA'!$M$16,"")</f>
        <v/>
      </c>
      <c r="BS399" s="520" t="str">
        <f>IF(AND(_4="B-767-300",'2026'!$N$4="FO",'2026'!$N$2=BS385),'2026DATA'!$N$16,"")</f>
        <v/>
      </c>
      <c r="BT399" s="940"/>
      <c r="BU399" s="13" t="s">
        <v>62</v>
      </c>
      <c r="BV399" s="518" t="str">
        <f>IF(AND(_5="B-767-300",'2026'!$N$4="FO",'2026'!$N$2=BV385),'2026DATA'!$C$16,"")</f>
        <v/>
      </c>
      <c r="BW399" s="518" t="str">
        <f>IF(AND(_5="B-767-300",'2026'!$N$4="FO",'2026'!$N$2=BW385),'2026DATA'!$D$16,"")</f>
        <v/>
      </c>
      <c r="BX399" s="518" t="str">
        <f>IF(AND(_5="B-767-300",'2026'!$N$4="FO",'2026'!$N$2=BX385),'2026DATA'!$E$16,"")</f>
        <v/>
      </c>
      <c r="BY399" s="518" t="str">
        <f>IF(AND(_5="B-767-300",'2026'!$N$4="FO",'2026'!$N$2=BY385),'2026DATA'!$F$16,"")</f>
        <v/>
      </c>
      <c r="BZ399" s="518" t="str">
        <f>IF(AND(_5="B-767-300",'2026'!$N$4="FO",'2026'!$N$2=BZ385),'2026DATA'!$G$16,"")</f>
        <v/>
      </c>
      <c r="CA399" s="518" t="str">
        <f>IF(AND(_5="B-767-300",'2026'!$N$4="FO",'2026'!$N$2=CA385),'2026DATA'!$H$16,"")</f>
        <v/>
      </c>
      <c r="CB399" s="518" t="str">
        <f>IF(AND(_5="B-767-300",'2026'!$N$4="FO",'2026'!$N$2=CB385),'2026DATA'!$I$16,"")</f>
        <v/>
      </c>
      <c r="CC399" s="518" t="str">
        <f>IF(AND(_5="B-767-300",'2026'!$N$4="FO",'2026'!$N$2=CC385),'2026DATA'!$J$16,"")</f>
        <v/>
      </c>
      <c r="CD399" s="518" t="str">
        <f>IF(AND(_5="B-767-300",'2026'!$N$4="FO",'2026'!$N$2=CD385),'2026DATA'!$K$16,"")</f>
        <v/>
      </c>
      <c r="CE399" s="518" t="str">
        <f>IF(AND(_5="B-767-300",'2026'!$N$4="FO",'2026'!$N$2=CE385),'2026DATA'!$L$16,"")</f>
        <v/>
      </c>
      <c r="CF399" s="518" t="str">
        <f>IF(AND(_5="B-767-300",'2026'!$N$4="FO",'2026'!$N$2=CF385),'2026DATA'!$M$16,"")</f>
        <v/>
      </c>
      <c r="CG399" s="520" t="str">
        <f>IF(AND(_5="B-767-300",'2026'!$N$4="FO",'2026'!$N$2=CG385),'2026DATA'!$N$16,"")</f>
        <v/>
      </c>
      <c r="CH399" s="940"/>
      <c r="CI399" s="13" t="s">
        <v>62</v>
      </c>
      <c r="CJ399" s="518" t="str">
        <f>IF(AND(_6="B-767-300",'2026'!$N$4="FO",'2026'!$N$2=CJ385),'2026DATA'!$C$16,"")</f>
        <v/>
      </c>
      <c r="CK399" s="518" t="str">
        <f>IF(AND(_6="B-767-300",'2026'!$N$4="FO",'2026'!$N$2=CK385),'2026DATA'!$D$16,"")</f>
        <v/>
      </c>
      <c r="CL399" s="518" t="str">
        <f>IF(AND(_6="B-767-300",'2026'!$N$4="FO",'2026'!$N$2=CL385),'2026DATA'!$E$16,"")</f>
        <v/>
      </c>
      <c r="CM399" s="518" t="str">
        <f>IF(AND(_6="B-767-300",'2026'!$N$4="FO",'2026'!$N$2=CM385),'2026DATA'!$F$16,"")</f>
        <v/>
      </c>
      <c r="CN399" s="518" t="str">
        <f>IF(AND(_6="B-767-300",'2026'!$N$4="FO",'2026'!$N$2=CN385),'2026DATA'!$G$16,"")</f>
        <v/>
      </c>
      <c r="CO399" s="518" t="str">
        <f>IF(AND(_6="B-767-300",'2026'!$N$4="FO",'2026'!$N$2=CO385),'2026DATA'!$H$16,"")</f>
        <v/>
      </c>
      <c r="CP399" s="518" t="str">
        <f>IF(AND(_6="B-767-300",'2026'!$N$4="FO",'2026'!$N$2=CP385),'2026DATA'!$I$16,"")</f>
        <v/>
      </c>
      <c r="CQ399" s="518" t="str">
        <f>IF(AND(_6="B-767-300",'2026'!$N$4="FO",'2026'!$N$2=CQ385),'2026DATA'!$J$16,"")</f>
        <v/>
      </c>
      <c r="CR399" s="518" t="str">
        <f>IF(AND(_6="B-767-300",'2026'!$N$4="FO",'2026'!$N$2=CR385),'2026DATA'!$K$16,"")</f>
        <v/>
      </c>
      <c r="CS399" s="518" t="str">
        <f>IF(AND(_6="B-767-300",'2026'!$N$4="FO",'2026'!$N$2=CS385),'2026DATA'!$L$16,"")</f>
        <v/>
      </c>
      <c r="CT399" s="518" t="str">
        <f>IF(AND(_6="B-767-300",'2026'!$N$4="FO",'2026'!$N$2=CT385),'2026DATA'!$M$16,"")</f>
        <v/>
      </c>
      <c r="CU399" s="520" t="str">
        <f>IF(AND(_6="B-767-300",'2026'!$N$4="FO",'2026'!$N$2=CU385),'2026DATA'!$N$16,"")</f>
        <v/>
      </c>
    </row>
    <row r="400" spans="16:99" x14ac:dyDescent="0.25">
      <c r="P400" s="940" t="s">
        <v>68</v>
      </c>
      <c r="Q400" s="13" t="s">
        <v>61</v>
      </c>
      <c r="R400" s="518" t="str">
        <f>IF(AND(_1="B-767-200",'2026'!$N$4="CA",'2026'!$N$2=R385),'2026DATA'!$C$17,"")</f>
        <v/>
      </c>
      <c r="S400" s="518" t="str">
        <f>IF(AND(_1="B-767-200",'2026'!$N$4="CA",'2026'!$N$2=S385),'2026DATA'!$D$17,"")</f>
        <v/>
      </c>
      <c r="T400" s="518" t="str">
        <f>IF(AND(_1="B-767-200",'2026'!$N$4="CA",'2026'!$N$2=T385),'2026DATA'!$E$17,"")</f>
        <v/>
      </c>
      <c r="U400" s="518" t="str">
        <f>IF(AND(_1="B-767-200",'2026'!$N$4="CA",'2026'!$N$2=U385),'2026DATA'!$F$17,"")</f>
        <v/>
      </c>
      <c r="V400" s="518" t="str">
        <f>IF(AND(_1="B-767-200",'2026'!$N$4="CA",'2026'!$N$2=V385),'2026DATA'!$G$17,"")</f>
        <v/>
      </c>
      <c r="W400" s="518" t="str">
        <f>IF(AND(_1="B-767-200",'2026'!$N$4="CA",'2026'!$N$2=W385),'2026DATA'!$H$17,"")</f>
        <v/>
      </c>
      <c r="X400" s="518" t="str">
        <f>IF(AND(_1="B-767-200",'2026'!$N$4="CA",'2026'!$N$2=X385),'2026DATA'!$I$17,"")</f>
        <v/>
      </c>
      <c r="Y400" s="518" t="str">
        <f>IF(AND(_1="B-767-200",'2026'!$N$4="CA",'2026'!$N$2=Y385),'2026DATA'!$J$17,"")</f>
        <v/>
      </c>
      <c r="Z400" s="518" t="str">
        <f>IF(AND(_1="B-767-200",'2026'!$N$4="CA",'2026'!$N$2=Z385),'2026DATA'!$K$17,"")</f>
        <v/>
      </c>
      <c r="AA400" s="518" t="str">
        <f>IF(AND(_1="B-767-200",'2026'!$N$4="CA",'2026'!$N$2=AA385),'2026DATA'!$L$17,"")</f>
        <v/>
      </c>
      <c r="AB400" s="518" t="str">
        <f>IF(AND(_1="B-767-200",'2026'!$N$4="CA",'2026'!$N$2=AB385),'2026DATA'!$M$17,"")</f>
        <v/>
      </c>
      <c r="AC400" s="520" t="str">
        <f>IF(AND(_1="B-767-200",'2026'!$N$4="CA",'2026'!$N$2=AC385),'2026DATA'!$N$17,"")</f>
        <v/>
      </c>
      <c r="AD400" s="940" t="s">
        <v>68</v>
      </c>
      <c r="AE400" s="13" t="s">
        <v>61</v>
      </c>
      <c r="AF400" s="518" t="str">
        <f>IF(AND(_2="B-767-200",'2026'!$N$4="CA",'2026'!$N$2=AF385),'2026DATA'!$C$17,"")</f>
        <v/>
      </c>
      <c r="AG400" s="518" t="str">
        <f>IF(AND(_2="B-767-200",'2026'!$N$4="CA",'2026'!$N$2=AG385),'2026DATA'!$D$17,"")</f>
        <v/>
      </c>
      <c r="AH400" s="518" t="str">
        <f>IF(AND(_2="B-767-200",'2026'!$N$4="CA",'2026'!$N$2=AH385),'2026DATA'!$E$17,"")</f>
        <v/>
      </c>
      <c r="AI400" s="518" t="str">
        <f>IF(AND(_2="B-767-200",'2026'!$N$4="CA",'2026'!$N$2=AI385),'2026DATA'!$F$17,"")</f>
        <v/>
      </c>
      <c r="AJ400" s="518" t="str">
        <f>IF(AND(_2="B-767-200",'2026'!$N$4="CA",'2026'!$N$2=AJ385),'2026DATA'!$G$17,"")</f>
        <v/>
      </c>
      <c r="AK400" s="518" t="str">
        <f>IF(AND(_2="B-767-200",'2026'!$N$4="CA",'2026'!$N$2=AK385),'2026DATA'!$H$17,"")</f>
        <v/>
      </c>
      <c r="AL400" s="518" t="str">
        <f>IF(AND(_2="B-767-200",'2026'!$N$4="CA",'2026'!$N$2=AL385),'2026DATA'!$I$17,"")</f>
        <v/>
      </c>
      <c r="AM400" s="518" t="str">
        <f>IF(AND(_2="B-767-200",'2026'!$N$4="CA",'2026'!$N$2=AM385),'2026DATA'!$J$17,"")</f>
        <v/>
      </c>
      <c r="AN400" s="518" t="str">
        <f>IF(AND(_2="B-767-200",'2026'!$N$4="CA",'2026'!$N$2=AN385),'2026DATA'!$K$17,"")</f>
        <v/>
      </c>
      <c r="AO400" s="518" t="str">
        <f>IF(AND(_2="B-767-200",'2026'!$N$4="CA",'2026'!$N$2=AO385),'2026DATA'!$L$17,"")</f>
        <v/>
      </c>
      <c r="AP400" s="518" t="str">
        <f>IF(AND(_2="B-767-200",'2026'!$N$4="CA",'2026'!$N$2=AP385),'2026DATA'!$M$17,"")</f>
        <v/>
      </c>
      <c r="AQ400" s="520" t="str">
        <f>IF(AND(_2="B-767-200",'2026'!$N$4="CA",'2026'!$N$2=AQ385),'2026DATA'!$N$17,"")</f>
        <v/>
      </c>
      <c r="AR400" s="940" t="s">
        <v>68</v>
      </c>
      <c r="AS400" s="13" t="s">
        <v>61</v>
      </c>
      <c r="AT400" s="518" t="str">
        <f>IF(AND(_3="B-767-200",'2026'!$N$4="CA",'2026'!$N$2=AT385),'2026DATA'!$C$17,"")</f>
        <v/>
      </c>
      <c r="AU400" s="518" t="str">
        <f>IF(AND(_3="B-767-200",'2026'!$N$4="CA",'2026'!$N$2=AU385),'2026DATA'!$D$17,"")</f>
        <v/>
      </c>
      <c r="AV400" s="518" t="str">
        <f>IF(AND(_3="B-767-200",'2026'!$N$4="CA",'2026'!$N$2=AV385),'2026DATA'!$E$17,"")</f>
        <v/>
      </c>
      <c r="AW400" s="518" t="str">
        <f>IF(AND(_3="B-767-200",'2026'!$N$4="CA",'2026'!$N$2=AW385),'2026DATA'!$F$17,"")</f>
        <v/>
      </c>
      <c r="AX400" s="518" t="str">
        <f>IF(AND(_3="B-767-200",'2026'!$N$4="CA",'2026'!$N$2=AX385),'2026DATA'!$G$17,"")</f>
        <v/>
      </c>
      <c r="AY400" s="518" t="str">
        <f>IF(AND(_3="B-767-200",'2026'!$N$4="CA",'2026'!$N$2=AY385),'2026DATA'!$H$17,"")</f>
        <v/>
      </c>
      <c r="AZ400" s="518" t="str">
        <f>IF(AND(_3="B-767-200",'2026'!$N$4="CA",'2026'!$N$2=AZ385),'2026DATA'!$I$17,"")</f>
        <v/>
      </c>
      <c r="BA400" s="518" t="str">
        <f>IF(AND(_3="B-767-200",'2026'!$N$4="CA",'2026'!$N$2=BA385),'2026DATA'!$J$17,"")</f>
        <v/>
      </c>
      <c r="BB400" s="518" t="str">
        <f>IF(AND(_3="B-767-200",'2026'!$N$4="CA",'2026'!$N$2=BB385),'2026DATA'!$K$17,"")</f>
        <v/>
      </c>
      <c r="BC400" s="518" t="str">
        <f>IF(AND(_3="B-767-200",'2026'!$N$4="CA",'2026'!$N$2=BC385),'2026DATA'!$L$17,"")</f>
        <v/>
      </c>
      <c r="BD400" s="518" t="str">
        <f>IF(AND(_3="B-767-200",'2026'!$N$4="CA",'2026'!$N$2=BD385),'2026DATA'!$M$17,"")</f>
        <v/>
      </c>
      <c r="BE400" s="520" t="str">
        <f>IF(AND(_3="B-767-200",'2026'!$N$4="CA",'2026'!$N$2=BE385),'2026DATA'!$N$17,"")</f>
        <v/>
      </c>
      <c r="BF400" s="940" t="s">
        <v>68</v>
      </c>
      <c r="BG400" s="13" t="s">
        <v>61</v>
      </c>
      <c r="BH400" s="518" t="str">
        <f>IF(AND(_4="B-767-200",'2026'!$N$4="CA",'2026'!$N$2=BH385),'2026DATA'!$C$17,"")</f>
        <v/>
      </c>
      <c r="BI400" s="518" t="str">
        <f>IF(AND(_4="B-767-200",'2026'!$N$4="CA",'2026'!$N$2=BI385),'2026DATA'!$D$17,"")</f>
        <v/>
      </c>
      <c r="BJ400" s="518" t="str">
        <f>IF(AND(_4="B-767-200",'2026'!$N$4="CA",'2026'!$N$2=BJ385),'2026DATA'!$E$17,"")</f>
        <v/>
      </c>
      <c r="BK400" s="518" t="str">
        <f>IF(AND(_4="B-767-200",'2026'!$N$4="CA",'2026'!$N$2=BK385),'2026DATA'!$F$17,"")</f>
        <v/>
      </c>
      <c r="BL400" s="518" t="str">
        <f>IF(AND(_4="B-767-200",'2026'!$N$4="CA",'2026'!$N$2=BL385),'2026DATA'!$G$17,"")</f>
        <v/>
      </c>
      <c r="BM400" s="518" t="str">
        <f>IF(AND(_4="B-767-200",'2026'!$N$4="CA",'2026'!$N$2=BM385),'2026DATA'!$H$17,"")</f>
        <v/>
      </c>
      <c r="BN400" s="518" t="str">
        <f>IF(AND(_4="B-767-200",'2026'!$N$4="CA",'2026'!$N$2=BN385),'2026DATA'!$I$17,"")</f>
        <v/>
      </c>
      <c r="BO400" s="518" t="str">
        <f>IF(AND(_4="B-767-200",'2026'!$N$4="CA",'2026'!$N$2=BO385),'2026DATA'!$J$17,"")</f>
        <v/>
      </c>
      <c r="BP400" s="518" t="str">
        <f>IF(AND(_4="B-767-200",'2026'!$N$4="CA",'2026'!$N$2=BP385),'2026DATA'!$K$17,"")</f>
        <v/>
      </c>
      <c r="BQ400" s="518" t="str">
        <f>IF(AND(_4="B-767-200",'2026'!$N$4="CA",'2026'!$N$2=BQ385),'2026DATA'!$L$17,"")</f>
        <v/>
      </c>
      <c r="BR400" s="518" t="str">
        <f>IF(AND(_4="B-767-200",'2026'!$N$4="CA",'2026'!$N$2=BR385),'2026DATA'!$M$17,"")</f>
        <v/>
      </c>
      <c r="BS400" s="520" t="str">
        <f>IF(AND(_4="B-767-200",'2026'!$N$4="CA",'2026'!$N$2=BS385),'2026DATA'!$N$17,"")</f>
        <v/>
      </c>
      <c r="BT400" s="940" t="s">
        <v>68</v>
      </c>
      <c r="BU400" s="13" t="s">
        <v>61</v>
      </c>
      <c r="BV400" s="518" t="str">
        <f>IF(AND(_5="B-767-200",'2026'!$N$4="CA",'2026'!$N$2=BV385),'2026DATA'!$C$17,"")</f>
        <v/>
      </c>
      <c r="BW400" s="518" t="str">
        <f>IF(AND(_5="B-767-200",'2026'!$N$4="CA",'2026'!$N$2=BW385),'2026DATA'!$D$17,"")</f>
        <v/>
      </c>
      <c r="BX400" s="518" t="str">
        <f>IF(AND(_5="B-767-200",'2026'!$N$4="CA",'2026'!$N$2=BX385),'2026DATA'!$E$17,"")</f>
        <v/>
      </c>
      <c r="BY400" s="518" t="str">
        <f>IF(AND(_5="B-767-200",'2026'!$N$4="CA",'2026'!$N$2=BY385),'2026DATA'!$F$17,"")</f>
        <v/>
      </c>
      <c r="BZ400" s="518" t="str">
        <f>IF(AND(_5="B-767-200",'2026'!$N$4="CA",'2026'!$N$2=BZ385),'2026DATA'!$G$17,"")</f>
        <v/>
      </c>
      <c r="CA400" s="518" t="str">
        <f>IF(AND(_5="B-767-200",'2026'!$N$4="CA",'2026'!$N$2=CA385),'2026DATA'!$H$17,"")</f>
        <v/>
      </c>
      <c r="CB400" s="518" t="str">
        <f>IF(AND(_5="B-767-200",'2026'!$N$4="CA",'2026'!$N$2=CB385),'2026DATA'!$I$17,"")</f>
        <v/>
      </c>
      <c r="CC400" s="518" t="str">
        <f>IF(AND(_5="B-767-200",'2026'!$N$4="CA",'2026'!$N$2=CC385),'2026DATA'!$J$17,"")</f>
        <v/>
      </c>
      <c r="CD400" s="518" t="str">
        <f>IF(AND(_5="B-767-200",'2026'!$N$4="CA",'2026'!$N$2=CD385),'2026DATA'!$K$17,"")</f>
        <v/>
      </c>
      <c r="CE400" s="518" t="str">
        <f>IF(AND(_5="B-767-200",'2026'!$N$4="CA",'2026'!$N$2=CE385),'2026DATA'!$L$17,"")</f>
        <v/>
      </c>
      <c r="CF400" s="518" t="str">
        <f>IF(AND(_5="B-767-200",'2026'!$N$4="CA",'2026'!$N$2=CF385),'2026DATA'!$M$17,"")</f>
        <v/>
      </c>
      <c r="CG400" s="520" t="str">
        <f>IF(AND(_5="B-767-200",'2026'!$N$4="CA",'2026'!$N$2=CG385),'2026DATA'!$N$17,"")</f>
        <v/>
      </c>
      <c r="CH400" s="940" t="s">
        <v>68</v>
      </c>
      <c r="CI400" s="13" t="s">
        <v>61</v>
      </c>
      <c r="CJ400" s="518" t="str">
        <f>IF(AND(_6="B-767-200",'2026'!$N$4="CA",'2026'!$N$2=CJ385),'2026DATA'!$C$17,"")</f>
        <v/>
      </c>
      <c r="CK400" s="518" t="str">
        <f>IF(AND(_6="B-767-200",'2026'!$N$4="CA",'2026'!$N$2=CK385),'2026DATA'!$D$17,"")</f>
        <v/>
      </c>
      <c r="CL400" s="518" t="str">
        <f>IF(AND(_6="B-767-200",'2026'!$N$4="CA",'2026'!$N$2=CL385),'2026DATA'!$E$17,"")</f>
        <v/>
      </c>
      <c r="CM400" s="518" t="str">
        <f>IF(AND(_6="B-767-200",'2026'!$N$4="CA",'2026'!$N$2=CM385),'2026DATA'!$F$17,"")</f>
        <v/>
      </c>
      <c r="CN400" s="518" t="str">
        <f>IF(AND(_6="B-767-200",'2026'!$N$4="CA",'2026'!$N$2=CN385),'2026DATA'!$G$17,"")</f>
        <v/>
      </c>
      <c r="CO400" s="518" t="str">
        <f>IF(AND(_6="B-767-200",'2026'!$N$4="CA",'2026'!$N$2=CO385),'2026DATA'!$H$17,"")</f>
        <v/>
      </c>
      <c r="CP400" s="518" t="str">
        <f>IF(AND(_6="B-767-200",'2026'!$N$4="CA",'2026'!$N$2=CP385),'2026DATA'!$I$17,"")</f>
        <v/>
      </c>
      <c r="CQ400" s="518" t="str">
        <f>IF(AND(_6="B-767-200",'2026'!$N$4="CA",'2026'!$N$2=CQ385),'2026DATA'!$J$17,"")</f>
        <v/>
      </c>
      <c r="CR400" s="518" t="str">
        <f>IF(AND(_6="B-767-200",'2026'!$N$4="CA",'2026'!$N$2=CR385),'2026DATA'!$K$17,"")</f>
        <v/>
      </c>
      <c r="CS400" s="518" t="str">
        <f>IF(AND(_6="B-767-200",'2026'!$N$4="CA",'2026'!$N$2=CS385),'2026DATA'!$L$17,"")</f>
        <v/>
      </c>
      <c r="CT400" s="518" t="str">
        <f>IF(AND(_6="B-767-200",'2026'!$N$4="CA",'2026'!$N$2=CT385),'2026DATA'!$M$17,"")</f>
        <v/>
      </c>
      <c r="CU400" s="520" t="str">
        <f>IF(AND(_6="B-767-200",'2026'!$N$4="CA",'2026'!$N$2=CU385),'2026DATA'!$N$17,"")</f>
        <v/>
      </c>
    </row>
    <row r="401" spans="16:99" x14ac:dyDescent="0.25">
      <c r="P401" s="940"/>
      <c r="Q401" s="13" t="s">
        <v>62</v>
      </c>
      <c r="R401" s="518" t="str">
        <f>IF(AND(_1="B-767-200",'2026'!$N$4="FO",'2026'!$N$2=R385),'2026DATA'!$C$18,"")</f>
        <v/>
      </c>
      <c r="S401" s="518" t="str">
        <f>IF(AND(_1="B-767-200",'2026'!$N$4="FO",'2026'!$N$2=S385),'2026DATA'!$D$18,"")</f>
        <v/>
      </c>
      <c r="T401" s="518" t="str">
        <f>IF(AND(_1="B-767-200",'2026'!$N$4="FO",'2026'!$N$2=T385),'2026DATA'!$E$18,"")</f>
        <v/>
      </c>
      <c r="U401" s="518" t="str">
        <f>IF(AND(_1="B-767-200",'2026'!$N$4="FO",'2026'!$N$2=U385),'2026DATA'!$F$18,"")</f>
        <v/>
      </c>
      <c r="V401" s="518" t="str">
        <f>IF(AND(_1="B-767-200",'2026'!$N$4="FO",'2026'!$N$2=V385),'2026DATA'!$G$18,"")</f>
        <v/>
      </c>
      <c r="W401" s="518" t="str">
        <f>IF(AND(_1="B-767-200",'2026'!$N$4="FO",'2026'!$N$2=W385),'2026DATA'!$H$18,"")</f>
        <v/>
      </c>
      <c r="X401" s="518" t="str">
        <f>IF(AND(_1="B-767-200",'2026'!$N$4="FO",'2026'!$N$2=X385),'2026DATA'!$I$18,"")</f>
        <v/>
      </c>
      <c r="Y401" s="518" t="str">
        <f>IF(AND(_1="B-767-200",'2026'!$N$4="FO",'2026'!$N$2=Y385),'2026DATA'!$J$18,"")</f>
        <v/>
      </c>
      <c r="Z401" s="518" t="str">
        <f>IF(AND(_1="B-767-200",'2026'!$N$4="FO",'2026'!$N$2=Z385),'2026DATA'!$K$18,"")</f>
        <v/>
      </c>
      <c r="AA401" s="518" t="str">
        <f>IF(AND(_1="B-767-200",'2026'!$N$4="FO",'2026'!$N$2=AA385),'2026DATA'!$L$18,"")</f>
        <v/>
      </c>
      <c r="AB401" s="518" t="str">
        <f>IF(AND(_1="B-767-200",'2026'!$N$4="FO",'2026'!$N$2=AB385),'2026DATA'!$M$18,"")</f>
        <v/>
      </c>
      <c r="AC401" s="520" t="str">
        <f>IF(AND(_1="B-767-200",'2026'!$N$4="FO",'2026'!$N$2=AC385),'2026DATA'!$N$18,"")</f>
        <v/>
      </c>
      <c r="AD401" s="940"/>
      <c r="AE401" s="13" t="s">
        <v>62</v>
      </c>
      <c r="AF401" s="518" t="str">
        <f>IF(AND(_2="B-767-200",'2026'!$N$4="FO",'2026'!$N$2=AF385),'2026DATA'!$C$18,"")</f>
        <v/>
      </c>
      <c r="AG401" s="518" t="str">
        <f>IF(AND(_2="B-767-200",'2026'!$N$4="FO",'2026'!$N$2=AG385),'2026DATA'!$D$18,"")</f>
        <v/>
      </c>
      <c r="AH401" s="518" t="str">
        <f>IF(AND(_2="B-767-200",'2026'!$N$4="FO",'2026'!$N$2=AH385),'2026DATA'!$E$18,"")</f>
        <v/>
      </c>
      <c r="AI401" s="518" t="str">
        <f>IF(AND(_2="B-767-200",'2026'!$N$4="FO",'2026'!$N$2=AI385),'2026DATA'!$F$18,"")</f>
        <v/>
      </c>
      <c r="AJ401" s="518" t="str">
        <f>IF(AND(_2="B-767-200",'2026'!$N$4="FO",'2026'!$N$2=AJ385),'2026DATA'!$G$18,"")</f>
        <v/>
      </c>
      <c r="AK401" s="518" t="str">
        <f>IF(AND(_2="B-767-200",'2026'!$N$4="FO",'2026'!$N$2=AK385),'2026DATA'!$H$18,"")</f>
        <v/>
      </c>
      <c r="AL401" s="518" t="str">
        <f>IF(AND(_2="B-767-200",'2026'!$N$4="FO",'2026'!$N$2=AL385),'2026DATA'!$I$18,"")</f>
        <v/>
      </c>
      <c r="AM401" s="518" t="str">
        <f>IF(AND(_2="B-767-200",'2026'!$N$4="FO",'2026'!$N$2=AM385),'2026DATA'!$J$18,"")</f>
        <v/>
      </c>
      <c r="AN401" s="518" t="str">
        <f>IF(AND(_2="B-767-200",'2026'!$N$4="FO",'2026'!$N$2=AN385),'2026DATA'!$K$18,"")</f>
        <v/>
      </c>
      <c r="AO401" s="518" t="str">
        <f>IF(AND(_2="B-767-200",'2026'!$N$4="FO",'2026'!$N$2=AO385),'2026DATA'!$L$18,"")</f>
        <v/>
      </c>
      <c r="AP401" s="518" t="str">
        <f>IF(AND(_2="B-767-200",'2026'!$N$4="FO",'2026'!$N$2=AP385),'2026DATA'!$M$18,"")</f>
        <v/>
      </c>
      <c r="AQ401" s="520" t="str">
        <f>IF(AND(_2="B-767-200",'2026'!$N$4="FO",'2026'!$N$2=AQ385),'2026DATA'!$N$18,"")</f>
        <v/>
      </c>
      <c r="AR401" s="940"/>
      <c r="AS401" s="13" t="s">
        <v>62</v>
      </c>
      <c r="AT401" s="518" t="str">
        <f>IF(AND(_3="B-767-200",'2026'!$N$4="FO",'2026'!$N$2=AT385),'2026DATA'!$C$18,"")</f>
        <v/>
      </c>
      <c r="AU401" s="518" t="str">
        <f>IF(AND(_3="B-767-200",'2026'!$N$4="FO",'2026'!$N$2=AU385),'2026DATA'!$D$18,"")</f>
        <v/>
      </c>
      <c r="AV401" s="518" t="str">
        <f>IF(AND(_3="B-767-200",'2026'!$N$4="FO",'2026'!$N$2=AV385),'2026DATA'!$E$18,"")</f>
        <v/>
      </c>
      <c r="AW401" s="518" t="str">
        <f>IF(AND(_3="B-767-200",'2026'!$N$4="FO",'2026'!$N$2=AW385),'2026DATA'!$F$18,"")</f>
        <v/>
      </c>
      <c r="AX401" s="518" t="str">
        <f>IF(AND(_3="B-767-200",'2026'!$N$4="FO",'2026'!$N$2=AX385),'2026DATA'!$G$18,"")</f>
        <v/>
      </c>
      <c r="AY401" s="518" t="str">
        <f>IF(AND(_3="B-767-200",'2026'!$N$4="FO",'2026'!$N$2=AY385),'2026DATA'!$H$18,"")</f>
        <v/>
      </c>
      <c r="AZ401" s="518" t="str">
        <f>IF(AND(_3="B-767-200",'2026'!$N$4="FO",'2026'!$N$2=AZ385),'2026DATA'!$I$18,"")</f>
        <v/>
      </c>
      <c r="BA401" s="518" t="str">
        <f>IF(AND(_3="B-767-200",'2026'!$N$4="FO",'2026'!$N$2=BA385),'2026DATA'!$J$18,"")</f>
        <v/>
      </c>
      <c r="BB401" s="518" t="str">
        <f>IF(AND(_3="B-767-200",'2026'!$N$4="FO",'2026'!$N$2=BB385),'2026DATA'!$K$18,"")</f>
        <v/>
      </c>
      <c r="BC401" s="518" t="str">
        <f>IF(AND(_3="B-767-200",'2026'!$N$4="FO",'2026'!$N$2=BC385),'2026DATA'!$L$18,"")</f>
        <v/>
      </c>
      <c r="BD401" s="518" t="str">
        <f>IF(AND(_3="B-767-200",'2026'!$N$4="FO",'2026'!$N$2=BD385),'2026DATA'!$M$18,"")</f>
        <v/>
      </c>
      <c r="BE401" s="520" t="str">
        <f>IF(AND(_3="B-767-200",'2026'!$N$4="FO",'2026'!$N$2=BE385),'2026DATA'!$N$18,"")</f>
        <v/>
      </c>
      <c r="BF401" s="940"/>
      <c r="BG401" s="13" t="s">
        <v>62</v>
      </c>
      <c r="BH401" s="518" t="str">
        <f>IF(AND(_4="B-767-200",'2026'!$N$4="FO",'2026'!$N$2=BH385),'2026DATA'!$C$18,"")</f>
        <v/>
      </c>
      <c r="BI401" s="518" t="str">
        <f>IF(AND(_4="B-767-200",'2026'!$N$4="FO",'2026'!$N$2=BI385),'2026DATA'!$D$18,"")</f>
        <v/>
      </c>
      <c r="BJ401" s="518" t="str">
        <f>IF(AND(_4="B-767-200",'2026'!$N$4="FO",'2026'!$N$2=BJ385),'2026DATA'!$E$18,"")</f>
        <v/>
      </c>
      <c r="BK401" s="518" t="str">
        <f>IF(AND(_4="B-767-200",'2026'!$N$4="FO",'2026'!$N$2=BK385),'2026DATA'!$F$18,"")</f>
        <v/>
      </c>
      <c r="BL401" s="518" t="str">
        <f>IF(AND(_4="B-767-200",'2026'!$N$4="FO",'2026'!$N$2=BL385),'2026DATA'!$G$18,"")</f>
        <v/>
      </c>
      <c r="BM401" s="518" t="str">
        <f>IF(AND(_4="B-767-200",'2026'!$N$4="FO",'2026'!$N$2=BM385),'2026DATA'!$H$18,"")</f>
        <v/>
      </c>
      <c r="BN401" s="518" t="str">
        <f>IF(AND(_4="B-767-200",'2026'!$N$4="FO",'2026'!$N$2=BN385),'2026DATA'!$I$18,"")</f>
        <v/>
      </c>
      <c r="BO401" s="518" t="str">
        <f>IF(AND(_4="B-767-200",'2026'!$N$4="FO",'2026'!$N$2=BO385),'2026DATA'!$J$18,"")</f>
        <v/>
      </c>
      <c r="BP401" s="518" t="str">
        <f>IF(AND(_4="B-767-200",'2026'!$N$4="FO",'2026'!$N$2=BP385),'2026DATA'!$K$18,"")</f>
        <v/>
      </c>
      <c r="BQ401" s="518" t="str">
        <f>IF(AND(_4="B-767-200",'2026'!$N$4="FO",'2026'!$N$2=BQ385),'2026DATA'!$L$18,"")</f>
        <v/>
      </c>
      <c r="BR401" s="518" t="str">
        <f>IF(AND(_4="B-767-200",'2026'!$N$4="FO",'2026'!$N$2=BR385),'2026DATA'!$M$18,"")</f>
        <v/>
      </c>
      <c r="BS401" s="520" t="str">
        <f>IF(AND(_4="B-767-200",'2026'!$N$4="FO",'2026'!$N$2=BS385),'2026DATA'!$N$18,"")</f>
        <v/>
      </c>
      <c r="BT401" s="940"/>
      <c r="BU401" s="13" t="s">
        <v>62</v>
      </c>
      <c r="BV401" s="518" t="str">
        <f>IF(AND(_5="B-767-200",'2026'!$N$4="FO",'2026'!$N$2=BV385),'2026DATA'!$C$18,"")</f>
        <v/>
      </c>
      <c r="BW401" s="518" t="str">
        <f>IF(AND(_5="B-767-200",'2026'!$N$4="FO",'2026'!$N$2=BW385),'2026DATA'!$D$18,"")</f>
        <v/>
      </c>
      <c r="BX401" s="518" t="str">
        <f>IF(AND(_5="B-767-200",'2026'!$N$4="FO",'2026'!$N$2=BX385),'2026DATA'!$E$18,"")</f>
        <v/>
      </c>
      <c r="BY401" s="518" t="str">
        <f>IF(AND(_5="B-767-200",'2026'!$N$4="FO",'2026'!$N$2=BY385),'2026DATA'!$F$18,"")</f>
        <v/>
      </c>
      <c r="BZ401" s="518" t="str">
        <f>IF(AND(_5="B-767-200",'2026'!$N$4="FO",'2026'!$N$2=BZ385),'2026DATA'!$G$18,"")</f>
        <v/>
      </c>
      <c r="CA401" s="518" t="str">
        <f>IF(AND(_5="B-767-200",'2026'!$N$4="FO",'2026'!$N$2=CA385),'2026DATA'!$H$18,"")</f>
        <v/>
      </c>
      <c r="CB401" s="518" t="str">
        <f>IF(AND(_5="B-767-200",'2026'!$N$4="FO",'2026'!$N$2=CB385),'2026DATA'!$I$18,"")</f>
        <v/>
      </c>
      <c r="CC401" s="518" t="str">
        <f>IF(AND(_5="B-767-200",'2026'!$N$4="FO",'2026'!$N$2=CC385),'2026DATA'!$J$18,"")</f>
        <v/>
      </c>
      <c r="CD401" s="518" t="str">
        <f>IF(AND(_5="B-767-200",'2026'!$N$4="FO",'2026'!$N$2=CD385),'2026DATA'!$K$18,"")</f>
        <v/>
      </c>
      <c r="CE401" s="518" t="str">
        <f>IF(AND(_5="B-767-200",'2026'!$N$4="FO",'2026'!$N$2=CE385),'2026DATA'!$L$18,"")</f>
        <v/>
      </c>
      <c r="CF401" s="518" t="str">
        <f>IF(AND(_5="B-767-200",'2026'!$N$4="FO",'2026'!$N$2=CF385),'2026DATA'!$M$18,"")</f>
        <v/>
      </c>
      <c r="CG401" s="520" t="str">
        <f>IF(AND(_5="B-767-200",'2026'!$N$4="FO",'2026'!$N$2=CG385),'2026DATA'!$N$18,"")</f>
        <v/>
      </c>
      <c r="CH401" s="940"/>
      <c r="CI401" s="13" t="s">
        <v>62</v>
      </c>
      <c r="CJ401" s="518" t="str">
        <f>IF(AND(_6="B-767-200",'2026'!$N$4="FO",'2026'!$N$2=CJ385),'2026DATA'!$C$18,"")</f>
        <v/>
      </c>
      <c r="CK401" s="518" t="str">
        <f>IF(AND(_6="B-767-200",'2026'!$N$4="FO",'2026'!$N$2=CK385),'2026DATA'!$D$18,"")</f>
        <v/>
      </c>
      <c r="CL401" s="518" t="str">
        <f>IF(AND(_6="B-767-200",'2026'!$N$4="FO",'2026'!$N$2=CL385),'2026DATA'!$E$18,"")</f>
        <v/>
      </c>
      <c r="CM401" s="518" t="str">
        <f>IF(AND(_6="B-767-200",'2026'!$N$4="FO",'2026'!$N$2=CM385),'2026DATA'!$F$18,"")</f>
        <v/>
      </c>
      <c r="CN401" s="518" t="str">
        <f>IF(AND(_6="B-767-200",'2026'!$N$4="FO",'2026'!$N$2=CN385),'2026DATA'!$G$18,"")</f>
        <v/>
      </c>
      <c r="CO401" s="518" t="str">
        <f>IF(AND(_6="B-767-200",'2026'!$N$4="FO",'2026'!$N$2=CO385),'2026DATA'!$H$18,"")</f>
        <v/>
      </c>
      <c r="CP401" s="518" t="str">
        <f>IF(AND(_6="B-767-200",'2026'!$N$4="FO",'2026'!$N$2=CP385),'2026DATA'!$I$18,"")</f>
        <v/>
      </c>
      <c r="CQ401" s="518" t="str">
        <f>IF(AND(_6="B-767-200",'2026'!$N$4="FO",'2026'!$N$2=CQ385),'2026DATA'!$J$18,"")</f>
        <v/>
      </c>
      <c r="CR401" s="518" t="str">
        <f>IF(AND(_6="B-767-200",'2026'!$N$4="FO",'2026'!$N$2=CR385),'2026DATA'!$K$18,"")</f>
        <v/>
      </c>
      <c r="CS401" s="518" t="str">
        <f>IF(AND(_6="B-767-200",'2026'!$N$4="FO",'2026'!$N$2=CS385),'2026DATA'!$L$18,"")</f>
        <v/>
      </c>
      <c r="CT401" s="518" t="str">
        <f>IF(AND(_6="B-767-200",'2026'!$N$4="FO",'2026'!$N$2=CT385),'2026DATA'!$M$18,"")</f>
        <v/>
      </c>
      <c r="CU401" s="520" t="str">
        <f>IF(AND(_6="B-767-200",'2026'!$N$4="FO",'2026'!$N$2=CU385),'2026DATA'!$N$18,"")</f>
        <v/>
      </c>
    </row>
    <row r="402" spans="16:99" x14ac:dyDescent="0.25">
      <c r="P402" s="940" t="s">
        <v>45</v>
      </c>
      <c r="Q402" s="13" t="s">
        <v>61</v>
      </c>
      <c r="R402" s="518" t="str">
        <f>IF(AND(_1="B-757",'2026'!$N$4="CA",'2026'!$N$2=R385),'2026DATA'!$C$19,"")</f>
        <v/>
      </c>
      <c r="S402" s="518" t="str">
        <f>IF(AND(_1="B-757",'2026'!$N$4="CA",'2026'!$N$2=S385),'2026DATA'!$D$19,"")</f>
        <v/>
      </c>
      <c r="T402" s="518" t="str">
        <f>IF(AND(_1="B-757",'2026'!$N$4="CA",'2026'!$N$2=T385),'2026DATA'!$E$19,"")</f>
        <v/>
      </c>
      <c r="U402" s="518" t="str">
        <f>IF(AND(_1="B-757",'2026'!$N$4="CA",'2026'!$N$2=U385),'2026DATA'!$F$19,"")</f>
        <v/>
      </c>
      <c r="V402" s="518" t="str">
        <f>IF(AND(_1="B-757",'2026'!$N$4="CA",'2026'!$N$2=V385),'2026DATA'!$G$19,"")</f>
        <v/>
      </c>
      <c r="W402" s="518" t="str">
        <f>IF(AND(_1="B-757",'2026'!$N$4="CA",'2026'!$N$2=W385),'2026DATA'!$H$19,"")</f>
        <v/>
      </c>
      <c r="X402" s="518" t="str">
        <f>IF(AND(_1="B-757",'2026'!$N$4="CA",'2026'!$N$2=X385),'2026DATA'!$I$19,"")</f>
        <v/>
      </c>
      <c r="Y402" s="518" t="str">
        <f>IF(AND(_1="B-757",'2026'!$N$4="CA",'2026'!$N$2=Y385),'2026DATA'!$J$19,"")</f>
        <v/>
      </c>
      <c r="Z402" s="518" t="str">
        <f>IF(AND(_1="B-757",'2026'!$N$4="CA",'2026'!$N$2=Z385),'2026DATA'!$K$19,"")</f>
        <v/>
      </c>
      <c r="AA402" s="518" t="str">
        <f>IF(AND(_1="B-757",'2026'!$N$4="CA",'2026'!$N$2=AA385),'2026DATA'!$L$19,"")</f>
        <v/>
      </c>
      <c r="AB402" s="518" t="str">
        <f>IF(AND(_1="B-757",'2026'!$N$4="CA",'2026'!$N$2=AB385),'2026DATA'!$M$19,"")</f>
        <v/>
      </c>
      <c r="AC402" s="520" t="str">
        <f>IF(AND(_1="B-757",'2026'!$N$4="CA",'2026'!$N$2=AC385),'2026DATA'!$N$19,"")</f>
        <v/>
      </c>
      <c r="AD402" s="940" t="s">
        <v>45</v>
      </c>
      <c r="AE402" s="13" t="s">
        <v>61</v>
      </c>
      <c r="AF402" s="518" t="str">
        <f>IF(AND(_2="B-757",'2026'!$N$4="CA",'2026'!$N$2=AF385),'2026DATA'!$C$19,"")</f>
        <v/>
      </c>
      <c r="AG402" s="518" t="str">
        <f>IF(AND(_2="B-757",'2026'!$N$4="CA",'2026'!$N$2=AG385),'2026DATA'!$D$19,"")</f>
        <v/>
      </c>
      <c r="AH402" s="518" t="str">
        <f>IF(AND(_2="B-757",'2026'!$N$4="CA",'2026'!$N$2=AH385),'2026DATA'!$E$19,"")</f>
        <v/>
      </c>
      <c r="AI402" s="518" t="str">
        <f>IF(AND(_2="B-757",'2026'!$N$4="CA",'2026'!$N$2=AI385),'2026DATA'!$F$19,"")</f>
        <v/>
      </c>
      <c r="AJ402" s="518" t="str">
        <f>IF(AND(_2="B-757",'2026'!$N$4="CA",'2026'!$N$2=AJ385),'2026DATA'!$G$19,"")</f>
        <v/>
      </c>
      <c r="AK402" s="518" t="str">
        <f>IF(AND(_2="B-757",'2026'!$N$4="CA",'2026'!$N$2=AK385),'2026DATA'!$H$19,"")</f>
        <v/>
      </c>
      <c r="AL402" s="518" t="str">
        <f>IF(AND(_2="B-757",'2026'!$N$4="CA",'2026'!$N$2=AL385),'2026DATA'!$I$19,"")</f>
        <v/>
      </c>
      <c r="AM402" s="518" t="str">
        <f>IF(AND(_2="B-757",'2026'!$N$4="CA",'2026'!$N$2=AM385),'2026DATA'!$J$19,"")</f>
        <v/>
      </c>
      <c r="AN402" s="518" t="str">
        <f>IF(AND(_2="B-757",'2026'!$N$4="CA",'2026'!$N$2=AN385),'2026DATA'!$K$19,"")</f>
        <v/>
      </c>
      <c r="AO402" s="518" t="str">
        <f>IF(AND(_2="B-757",'2026'!$N$4="CA",'2026'!$N$2=AO385),'2026DATA'!$L$19,"")</f>
        <v/>
      </c>
      <c r="AP402" s="518" t="str">
        <f>IF(AND(_2="B-757",'2026'!$N$4="CA",'2026'!$N$2=AP385),'2026DATA'!$M$19,"")</f>
        <v/>
      </c>
      <c r="AQ402" s="520" t="str">
        <f>IF(AND(_2="B-757",'2026'!$N$4="CA",'2026'!$N$2=AQ385),'2026DATA'!$N$19,"")</f>
        <v/>
      </c>
      <c r="AR402" s="940" t="s">
        <v>45</v>
      </c>
      <c r="AS402" s="13" t="s">
        <v>61</v>
      </c>
      <c r="AT402" s="518" t="str">
        <f>IF(AND(_3="B-757",'2026'!$N$4="CA",'2026'!$N$2=AT385),'2026DATA'!$C$19,"")</f>
        <v/>
      </c>
      <c r="AU402" s="518" t="str">
        <f>IF(AND(_3="B-757",'2026'!$N$4="CA",'2026'!$N$2=AU385),'2026DATA'!$D$19,"")</f>
        <v/>
      </c>
      <c r="AV402" s="518" t="str">
        <f>IF(AND(_3="B-757",'2026'!$N$4="CA",'2026'!$N$2=AV385),'2026DATA'!$E$19,"")</f>
        <v/>
      </c>
      <c r="AW402" s="518" t="str">
        <f>IF(AND(_3="B-757",'2026'!$N$4="CA",'2026'!$N$2=AW385),'2026DATA'!$F$19,"")</f>
        <v/>
      </c>
      <c r="AX402" s="518" t="str">
        <f>IF(AND(_3="B-757",'2026'!$N$4="CA",'2026'!$N$2=AX385),'2026DATA'!$G$19,"")</f>
        <v/>
      </c>
      <c r="AY402" s="518" t="str">
        <f>IF(AND(_3="B-757",'2026'!$N$4="CA",'2026'!$N$2=AY385),'2026DATA'!$H$19,"")</f>
        <v/>
      </c>
      <c r="AZ402" s="518" t="str">
        <f>IF(AND(_3="B-757",'2026'!$N$4="CA",'2026'!$N$2=AZ385),'2026DATA'!$I$19,"")</f>
        <v/>
      </c>
      <c r="BA402" s="518" t="str">
        <f>IF(AND(_3="B-757",'2026'!$N$4="CA",'2026'!$N$2=BA385),'2026DATA'!$J$19,"")</f>
        <v/>
      </c>
      <c r="BB402" s="518" t="str">
        <f>IF(AND(_3="B-757",'2026'!$N$4="CA",'2026'!$N$2=BB385),'2026DATA'!$K$19,"")</f>
        <v/>
      </c>
      <c r="BC402" s="518" t="str">
        <f>IF(AND(_3="B-757",'2026'!$N$4="CA",'2026'!$N$2=BC385),'2026DATA'!$L$19,"")</f>
        <v/>
      </c>
      <c r="BD402" s="518" t="str">
        <f>IF(AND(_3="B-757",'2026'!$N$4="CA",'2026'!$N$2=BD385),'2026DATA'!$M$19,"")</f>
        <v/>
      </c>
      <c r="BE402" s="520" t="str">
        <f>IF(AND(_3="B-757",'2026'!$N$4="CA",'2026'!$N$2=BE385),'2026DATA'!$N$19,"")</f>
        <v/>
      </c>
      <c r="BF402" s="940" t="s">
        <v>45</v>
      </c>
      <c r="BG402" s="13" t="s">
        <v>61</v>
      </c>
      <c r="BH402" s="518" t="str">
        <f>IF(AND(_4="B-757",'2026'!$N$4="CA",'2026'!$N$2=BH385),'2026DATA'!$C$19,"")</f>
        <v/>
      </c>
      <c r="BI402" s="518" t="str">
        <f>IF(AND(_4="B-757",'2026'!$N$4="CA",'2026'!$N$2=BI385),'2026DATA'!$D$19,"")</f>
        <v/>
      </c>
      <c r="BJ402" s="518" t="str">
        <f>IF(AND(_4="B-757",'2026'!$N$4="CA",'2026'!$N$2=BJ385),'2026DATA'!$E$19,"")</f>
        <v/>
      </c>
      <c r="BK402" s="518" t="str">
        <f>IF(AND(_4="B-757",'2026'!$N$4="CA",'2026'!$N$2=BK385),'2026DATA'!$F$19,"")</f>
        <v/>
      </c>
      <c r="BL402" s="518" t="str">
        <f>IF(AND(_4="B-757",'2026'!$N$4="CA",'2026'!$N$2=BL385),'2026DATA'!$G$19,"")</f>
        <v/>
      </c>
      <c r="BM402" s="518" t="str">
        <f>IF(AND(_4="B-757",'2026'!$N$4="CA",'2026'!$N$2=BM385),'2026DATA'!$H$19,"")</f>
        <v/>
      </c>
      <c r="BN402" s="518" t="str">
        <f>IF(AND(_4="B-757",'2026'!$N$4="CA",'2026'!$N$2=BN385),'2026DATA'!$I$19,"")</f>
        <v/>
      </c>
      <c r="BO402" s="518" t="str">
        <f>IF(AND(_4="B-757",'2026'!$N$4="CA",'2026'!$N$2=BO385),'2026DATA'!$J$19,"")</f>
        <v/>
      </c>
      <c r="BP402" s="518" t="str">
        <f>IF(AND(_4="B-757",'2026'!$N$4="CA",'2026'!$N$2=BP385),'2026DATA'!$K$19,"")</f>
        <v/>
      </c>
      <c r="BQ402" s="518" t="str">
        <f>IF(AND(_4="B-757",'2026'!$N$4="CA",'2026'!$N$2=BQ385),'2026DATA'!$L$19,"")</f>
        <v/>
      </c>
      <c r="BR402" s="518" t="str">
        <f>IF(AND(_4="B-757",'2026'!$N$4="CA",'2026'!$N$2=BR385),'2026DATA'!$M$19,"")</f>
        <v/>
      </c>
      <c r="BS402" s="520" t="str">
        <f>IF(AND(_4="B-757",'2026'!$N$4="CA",'2026'!$N$2=BS385),'2026DATA'!$N$19,"")</f>
        <v/>
      </c>
      <c r="BT402" s="940" t="s">
        <v>45</v>
      </c>
      <c r="BU402" s="13" t="s">
        <v>61</v>
      </c>
      <c r="BV402" s="518" t="str">
        <f>IF(AND(_5="B-757",'2026'!$N$4="CA",'2026'!$N$2=BV385),'2026DATA'!$C$19,"")</f>
        <v/>
      </c>
      <c r="BW402" s="518" t="str">
        <f>IF(AND(_5="B-757",'2026'!$N$4="CA",'2026'!$N$2=BW385),'2026DATA'!$D$19,"")</f>
        <v/>
      </c>
      <c r="BX402" s="518" t="str">
        <f>IF(AND(_5="B-757",'2026'!$N$4="CA",'2026'!$N$2=BX385),'2026DATA'!$E$19,"")</f>
        <v/>
      </c>
      <c r="BY402" s="518" t="str">
        <f>IF(AND(_5="B-757",'2026'!$N$4="CA",'2026'!$N$2=BY385),'2026DATA'!$F$19,"")</f>
        <v/>
      </c>
      <c r="BZ402" s="518" t="str">
        <f>IF(AND(_5="B-757",'2026'!$N$4="CA",'2026'!$N$2=BZ385),'2026DATA'!$G$19,"")</f>
        <v/>
      </c>
      <c r="CA402" s="518" t="str">
        <f>IF(AND(_5="B-757",'2026'!$N$4="CA",'2026'!$N$2=CA385),'2026DATA'!$H$19,"")</f>
        <v/>
      </c>
      <c r="CB402" s="518" t="str">
        <f>IF(AND(_5="B-757",'2026'!$N$4="CA",'2026'!$N$2=CB385),'2026DATA'!$I$19,"")</f>
        <v/>
      </c>
      <c r="CC402" s="518" t="str">
        <f>IF(AND(_5="B-757",'2026'!$N$4="CA",'2026'!$N$2=CC385),'2026DATA'!$J$19,"")</f>
        <v/>
      </c>
      <c r="CD402" s="518" t="str">
        <f>IF(AND(_5="B-757",'2026'!$N$4="CA",'2026'!$N$2=CD385),'2026DATA'!$K$19,"")</f>
        <v/>
      </c>
      <c r="CE402" s="518" t="str">
        <f>IF(AND(_5="B-757",'2026'!$N$4="CA",'2026'!$N$2=CE385),'2026DATA'!$L$19,"")</f>
        <v/>
      </c>
      <c r="CF402" s="518" t="str">
        <f>IF(AND(_5="B-757",'2026'!$N$4="CA",'2026'!$N$2=CF385),'2026DATA'!$M$19,"")</f>
        <v/>
      </c>
      <c r="CG402" s="520" t="str">
        <f>IF(AND(_5="B-757",'2026'!$N$4="CA",'2026'!$N$2=CG385),'2026DATA'!$N$19,"")</f>
        <v/>
      </c>
      <c r="CH402" s="940" t="s">
        <v>45</v>
      </c>
      <c r="CI402" s="13" t="s">
        <v>61</v>
      </c>
      <c r="CJ402" s="518" t="str">
        <f>IF(AND(_6="B-757",'2026'!$N$4="CA",'2026'!$N$2=CJ385),'2026DATA'!$C$19,"")</f>
        <v/>
      </c>
      <c r="CK402" s="518" t="str">
        <f>IF(AND(_6="B-757",'2026'!$N$4="CA",'2026'!$N$2=CK385),'2026DATA'!$D$19,"")</f>
        <v/>
      </c>
      <c r="CL402" s="518" t="str">
        <f>IF(AND(_6="B-757",'2026'!$N$4="CA",'2026'!$N$2=CL385),'2026DATA'!$E$19,"")</f>
        <v/>
      </c>
      <c r="CM402" s="518" t="str">
        <f>IF(AND(_6="B-757",'2026'!$N$4="CA",'2026'!$N$2=CM385),'2026DATA'!$F$19,"")</f>
        <v/>
      </c>
      <c r="CN402" s="518" t="str">
        <f>IF(AND(_6="B-757",'2026'!$N$4="CA",'2026'!$N$2=CN385),'2026DATA'!$G$19,"")</f>
        <v/>
      </c>
      <c r="CO402" s="518" t="str">
        <f>IF(AND(_6="B-757",'2026'!$N$4="CA",'2026'!$N$2=CO385),'2026DATA'!$H$19,"")</f>
        <v/>
      </c>
      <c r="CP402" s="518" t="str">
        <f>IF(AND(_6="B-757",'2026'!$N$4="CA",'2026'!$N$2=CP385),'2026DATA'!$I$19,"")</f>
        <v/>
      </c>
      <c r="CQ402" s="518" t="str">
        <f>IF(AND(_6="B-757",'2026'!$N$4="CA",'2026'!$N$2=CQ385),'2026DATA'!$J$19,"")</f>
        <v/>
      </c>
      <c r="CR402" s="518" t="str">
        <f>IF(AND(_6="B-757",'2026'!$N$4="CA",'2026'!$N$2=CR385),'2026DATA'!$K$19,"")</f>
        <v/>
      </c>
      <c r="CS402" s="518" t="str">
        <f>IF(AND(_6="B-757",'2026'!$N$4="CA",'2026'!$N$2=CS385),'2026DATA'!$L$19,"")</f>
        <v/>
      </c>
      <c r="CT402" s="518" t="str">
        <f>IF(AND(_6="B-757",'2026'!$N$4="CA",'2026'!$N$2=CT385),'2026DATA'!$M$19,"")</f>
        <v/>
      </c>
      <c r="CU402" s="520" t="str">
        <f>IF(AND(_6="B-757",'2026'!$N$4="CA",'2026'!$N$2=CU385),'2026DATA'!$N$19,"")</f>
        <v/>
      </c>
    </row>
    <row r="403" spans="16:99" x14ac:dyDescent="0.25">
      <c r="P403" s="940"/>
      <c r="Q403" s="13" t="s">
        <v>62</v>
      </c>
      <c r="R403" s="518" t="str">
        <f>IF(AND(_1="B-757",'2026'!$N$4="FO",'2026'!$N$2=R385),'2026DATA'!$C$20,"")</f>
        <v/>
      </c>
      <c r="S403" s="518" t="str">
        <f>IF(AND(_1="B-757",'2026'!$N$4="FO",'2026'!$N$2=S385),'2026DATA'!$D$20,"")</f>
        <v/>
      </c>
      <c r="T403" s="518" t="str">
        <f>IF(AND(_1="B-757",'2026'!$N$4="FO",'2026'!$N$2=T385),'2026DATA'!$E$20,"")</f>
        <v/>
      </c>
      <c r="U403" s="518" t="str">
        <f>IF(AND(_1="B-757",'2026'!$N$4="FO",'2026'!$N$2=U385),'2026DATA'!$F$20,"")</f>
        <v/>
      </c>
      <c r="V403" s="518" t="str">
        <f>IF(AND(_1="B-757",'2026'!$N$4="FO",'2026'!$N$2=V385),'2026DATA'!$G$20,"")</f>
        <v/>
      </c>
      <c r="W403" s="518" t="str">
        <f>IF(AND(_1="B-757",'2026'!$N$4="FO",'2026'!$N$2=W385),'2026DATA'!$H$20,"")</f>
        <v/>
      </c>
      <c r="X403" s="518" t="str">
        <f>IF(AND(_1="B-757",'2026'!$N$4="FO",'2026'!$N$2=X385),'2026DATA'!$I$20,"")</f>
        <v/>
      </c>
      <c r="Y403" s="518" t="str">
        <f>IF(AND(_1="B-757",'2026'!$N$4="FO",'2026'!$N$2=Y385),'2026DATA'!$J$20,"")</f>
        <v/>
      </c>
      <c r="Z403" s="518" t="str">
        <f>IF(AND(_1="B-757",'2026'!$N$4="FO",'2026'!$N$2=Z385),'2026DATA'!$K$20,"")</f>
        <v/>
      </c>
      <c r="AA403" s="518" t="str">
        <f>IF(AND(_1="B-757",'2026'!$N$4="FO",'2026'!$N$2=AA385),'2026DATA'!$L$20,"")</f>
        <v/>
      </c>
      <c r="AB403" s="518" t="str">
        <f>IF(AND(_1="B-757",'2026'!$N$4="FO",'2026'!$N$2=AB385),'2026DATA'!$M$20,"")</f>
        <v/>
      </c>
      <c r="AC403" s="520" t="str">
        <f>IF(AND(_1="B-757",'2026'!$N$4="FO",'2026'!$N$2=AC385),'2026DATA'!$N$20,"")</f>
        <v/>
      </c>
      <c r="AD403" s="940"/>
      <c r="AE403" s="13" t="s">
        <v>62</v>
      </c>
      <c r="AF403" s="518" t="str">
        <f>IF(AND(_2="B-757",'2026'!$N$4="FO",'2026'!$N$2=AF385),'2026DATA'!$C$20,"")</f>
        <v/>
      </c>
      <c r="AG403" s="518" t="str">
        <f>IF(AND(_2="B-757",'2026'!$N$4="FO",'2026'!$N$2=AG385),'2026DATA'!$D$20,"")</f>
        <v/>
      </c>
      <c r="AH403" s="518" t="str">
        <f>IF(AND(_2="B-757",'2026'!$N$4="FO",'2026'!$N$2=AH385),'2026DATA'!$E$20,"")</f>
        <v/>
      </c>
      <c r="AI403" s="518" t="str">
        <f>IF(AND(_2="B-757",'2026'!$N$4="FO",'2026'!$N$2=AI385),'2026DATA'!$F$20,"")</f>
        <v/>
      </c>
      <c r="AJ403" s="518" t="str">
        <f>IF(AND(_2="B-757",'2026'!$N$4="FO",'2026'!$N$2=AJ385),'2026DATA'!$G$20,"")</f>
        <v/>
      </c>
      <c r="AK403" s="518" t="str">
        <f>IF(AND(_2="B-757",'2026'!$N$4="FO",'2026'!$N$2=AK385),'2026DATA'!$H$20,"")</f>
        <v/>
      </c>
      <c r="AL403" s="518" t="str">
        <f>IF(AND(_2="B-757",'2026'!$N$4="FO",'2026'!$N$2=AL385),'2026DATA'!$I$20,"")</f>
        <v/>
      </c>
      <c r="AM403" s="518" t="str">
        <f>IF(AND(_2="B-757",'2026'!$N$4="FO",'2026'!$N$2=AM385),'2026DATA'!$J$20,"")</f>
        <v/>
      </c>
      <c r="AN403" s="518" t="str">
        <f>IF(AND(_2="B-757",'2026'!$N$4="FO",'2026'!$N$2=AN385),'2026DATA'!$K$20,"")</f>
        <v/>
      </c>
      <c r="AO403" s="518" t="str">
        <f>IF(AND(_2="B-757",'2026'!$N$4="FO",'2026'!$N$2=AO385),'2026DATA'!$L$20,"")</f>
        <v/>
      </c>
      <c r="AP403" s="518" t="str">
        <f>IF(AND(_2="B-757",'2026'!$N$4="FO",'2026'!$N$2=AP385),'2026DATA'!$M$20,"")</f>
        <v/>
      </c>
      <c r="AQ403" s="520" t="str">
        <f>IF(AND(_2="B-757",'2026'!$N$4="FO",'2026'!$N$2=AQ385),'2026DATA'!$N$20,"")</f>
        <v/>
      </c>
      <c r="AR403" s="940"/>
      <c r="AS403" s="13" t="s">
        <v>62</v>
      </c>
      <c r="AT403" s="518" t="str">
        <f>IF(AND(_3="B-757",'2026'!$N$4="FO",'2026'!$N$2=AT385),'2026DATA'!$C$20,"")</f>
        <v/>
      </c>
      <c r="AU403" s="518" t="str">
        <f>IF(AND(_3="B-757",'2026'!$N$4="FO",'2026'!$N$2=AU385),'2026DATA'!$D$20,"")</f>
        <v/>
      </c>
      <c r="AV403" s="518" t="str">
        <f>IF(AND(_3="B-757",'2026'!$N$4="FO",'2026'!$N$2=AV385),'2026DATA'!$E$20,"")</f>
        <v/>
      </c>
      <c r="AW403" s="518" t="str">
        <f>IF(AND(_3="B-757",'2026'!$N$4="FO",'2026'!$N$2=AW385),'2026DATA'!$F$20,"")</f>
        <v/>
      </c>
      <c r="AX403" s="518" t="str">
        <f>IF(AND(_3="B-757",'2026'!$N$4="FO",'2026'!$N$2=AX385),'2026DATA'!$G$20,"")</f>
        <v/>
      </c>
      <c r="AY403" s="518" t="str">
        <f>IF(AND(_3="B-757",'2026'!$N$4="FO",'2026'!$N$2=AY385),'2026DATA'!$H$20,"")</f>
        <v/>
      </c>
      <c r="AZ403" s="518" t="str">
        <f>IF(AND(_3="B-757",'2026'!$N$4="FO",'2026'!$N$2=AZ385),'2026DATA'!$I$20,"")</f>
        <v/>
      </c>
      <c r="BA403" s="518" t="str">
        <f>IF(AND(_3="B-757",'2026'!$N$4="FO",'2026'!$N$2=BA385),'2026DATA'!$J$20,"")</f>
        <v/>
      </c>
      <c r="BB403" s="518" t="str">
        <f>IF(AND(_3="B-757",'2026'!$N$4="FO",'2026'!$N$2=BB385),'2026DATA'!$K$20,"")</f>
        <v/>
      </c>
      <c r="BC403" s="518" t="str">
        <f>IF(AND(_3="B-757",'2026'!$N$4="FO",'2026'!$N$2=BC385),'2026DATA'!$L$20,"")</f>
        <v/>
      </c>
      <c r="BD403" s="518" t="str">
        <f>IF(AND(_3="B-757",'2026'!$N$4="FO",'2026'!$N$2=BD385),'2026DATA'!$M$20,"")</f>
        <v/>
      </c>
      <c r="BE403" s="520" t="str">
        <f>IF(AND(_3="B-757",'2026'!$N$4="FO",'2026'!$N$2=BE385),'2026DATA'!$N$20,"")</f>
        <v/>
      </c>
      <c r="BF403" s="940"/>
      <c r="BG403" s="13" t="s">
        <v>62</v>
      </c>
      <c r="BH403" s="518" t="str">
        <f>IF(AND(_4="B-757",'2026'!$N$4="FO",'2026'!$N$2=BH385),'2026DATA'!$C$20,"")</f>
        <v/>
      </c>
      <c r="BI403" s="518" t="str">
        <f>IF(AND(_4="B-757",'2026'!$N$4="FO",'2026'!$N$2=BI385),'2026DATA'!$D$20,"")</f>
        <v/>
      </c>
      <c r="BJ403" s="518" t="str">
        <f>IF(AND(_4="B-757",'2026'!$N$4="FO",'2026'!$N$2=BJ385),'2026DATA'!$E$20,"")</f>
        <v/>
      </c>
      <c r="BK403" s="518" t="str">
        <f>IF(AND(_4="B-757",'2026'!$N$4="FO",'2026'!$N$2=BK385),'2026DATA'!$F$20,"")</f>
        <v/>
      </c>
      <c r="BL403" s="518" t="str">
        <f>IF(AND(_4="B-757",'2026'!$N$4="FO",'2026'!$N$2=BL385),'2026DATA'!$G$20,"")</f>
        <v/>
      </c>
      <c r="BM403" s="518" t="str">
        <f>IF(AND(_4="B-757",'2026'!$N$4="FO",'2026'!$N$2=BM385),'2026DATA'!$H$20,"")</f>
        <v/>
      </c>
      <c r="BN403" s="518" t="str">
        <f>IF(AND(_4="B-757",'2026'!$N$4="FO",'2026'!$N$2=BN385),'2026DATA'!$I$20,"")</f>
        <v/>
      </c>
      <c r="BO403" s="518" t="str">
        <f>IF(AND(_4="B-757",'2026'!$N$4="FO",'2026'!$N$2=BO385),'2026DATA'!$J$20,"")</f>
        <v/>
      </c>
      <c r="BP403" s="518" t="str">
        <f>IF(AND(_4="B-757",'2026'!$N$4="FO",'2026'!$N$2=BP385),'2026DATA'!$K$20,"")</f>
        <v/>
      </c>
      <c r="BQ403" s="518" t="str">
        <f>IF(AND(_4="B-757",'2026'!$N$4="FO",'2026'!$N$2=BQ385),'2026DATA'!$L$20,"")</f>
        <v/>
      </c>
      <c r="BR403" s="518" t="str">
        <f>IF(AND(_4="B-757",'2026'!$N$4="FO",'2026'!$N$2=BR385),'2026DATA'!$M$20,"")</f>
        <v/>
      </c>
      <c r="BS403" s="520" t="str">
        <f>IF(AND(_4="B-757",'2026'!$N$4="FO",'2026'!$N$2=BS385),'2026DATA'!$N$20,"")</f>
        <v/>
      </c>
      <c r="BT403" s="940"/>
      <c r="BU403" s="13" t="s">
        <v>62</v>
      </c>
      <c r="BV403" s="518" t="str">
        <f>IF(AND(_5="B-757",'2026'!$N$4="FO",'2026'!$N$2=BV385),'2026DATA'!$C$20,"")</f>
        <v/>
      </c>
      <c r="BW403" s="518" t="str">
        <f>IF(AND(_5="B-757",'2026'!$N$4="FO",'2026'!$N$2=BW385),'2026DATA'!$D$20,"")</f>
        <v/>
      </c>
      <c r="BX403" s="518" t="str">
        <f>IF(AND(_5="B-757",'2026'!$N$4="FO",'2026'!$N$2=BX385),'2026DATA'!$E$20,"")</f>
        <v/>
      </c>
      <c r="BY403" s="518" t="str">
        <f>IF(AND(_5="B-757",'2026'!$N$4="FO",'2026'!$N$2=BY385),'2026DATA'!$F$20,"")</f>
        <v/>
      </c>
      <c r="BZ403" s="518" t="str">
        <f>IF(AND(_5="B-757",'2026'!$N$4="FO",'2026'!$N$2=BZ385),'2026DATA'!$G$20,"")</f>
        <v/>
      </c>
      <c r="CA403" s="518" t="str">
        <f>IF(AND(_5="B-757",'2026'!$N$4="FO",'2026'!$N$2=CA385),'2026DATA'!$H$20,"")</f>
        <v/>
      </c>
      <c r="CB403" s="518" t="str">
        <f>IF(AND(_5="B-757",'2026'!$N$4="FO",'2026'!$N$2=CB385),'2026DATA'!$I$20,"")</f>
        <v/>
      </c>
      <c r="CC403" s="518" t="str">
        <f>IF(AND(_5="B-757",'2026'!$N$4="FO",'2026'!$N$2=CC385),'2026DATA'!$J$20,"")</f>
        <v/>
      </c>
      <c r="CD403" s="518" t="str">
        <f>IF(AND(_5="B-757",'2026'!$N$4="FO",'2026'!$N$2=CD385),'2026DATA'!$K$20,"")</f>
        <v/>
      </c>
      <c r="CE403" s="518" t="str">
        <f>IF(AND(_5="B-757",'2026'!$N$4="FO",'2026'!$N$2=CE385),'2026DATA'!$L$20,"")</f>
        <v/>
      </c>
      <c r="CF403" s="518" t="str">
        <f>IF(AND(_5="B-757",'2026'!$N$4="FO",'2026'!$N$2=CF385),'2026DATA'!$M$20,"")</f>
        <v/>
      </c>
      <c r="CG403" s="520" t="str">
        <f>IF(AND(_5="B-757",'2026'!$N$4="FO",'2026'!$N$2=CG385),'2026DATA'!$N$20,"")</f>
        <v/>
      </c>
      <c r="CH403" s="940"/>
      <c r="CI403" s="13" t="s">
        <v>62</v>
      </c>
      <c r="CJ403" s="518" t="str">
        <f>IF(AND(_6="B-757",'2026'!$N$4="FO",'2026'!$N$2=CJ385),'2026DATA'!$C$20,"")</f>
        <v/>
      </c>
      <c r="CK403" s="518" t="str">
        <f>IF(AND(_6="B-757",'2026'!$N$4="FO",'2026'!$N$2=CK385),'2026DATA'!$D$20,"")</f>
        <v/>
      </c>
      <c r="CL403" s="518" t="str">
        <f>IF(AND(_6="B-757",'2026'!$N$4="FO",'2026'!$N$2=CL385),'2026DATA'!$E$20,"")</f>
        <v/>
      </c>
      <c r="CM403" s="518" t="str">
        <f>IF(AND(_6="B-757",'2026'!$N$4="FO",'2026'!$N$2=CM385),'2026DATA'!$F$20,"")</f>
        <v/>
      </c>
      <c r="CN403" s="518" t="str">
        <f>IF(AND(_6="B-757",'2026'!$N$4="FO",'2026'!$N$2=CN385),'2026DATA'!$G$20,"")</f>
        <v/>
      </c>
      <c r="CO403" s="518" t="str">
        <f>IF(AND(_6="B-757",'2026'!$N$4="FO",'2026'!$N$2=CO385),'2026DATA'!$H$20,"")</f>
        <v/>
      </c>
      <c r="CP403" s="518" t="str">
        <f>IF(AND(_6="B-757",'2026'!$N$4="FO",'2026'!$N$2=CP385),'2026DATA'!$I$20,"")</f>
        <v/>
      </c>
      <c r="CQ403" s="518" t="str">
        <f>IF(AND(_6="B-757",'2026'!$N$4="FO",'2026'!$N$2=CQ385),'2026DATA'!$J$20,"")</f>
        <v/>
      </c>
      <c r="CR403" s="518" t="str">
        <f>IF(AND(_6="B-757",'2026'!$N$4="FO",'2026'!$N$2=CR385),'2026DATA'!$K$20,"")</f>
        <v/>
      </c>
      <c r="CS403" s="518" t="str">
        <f>IF(AND(_6="B-757",'2026'!$N$4="FO",'2026'!$N$2=CS385),'2026DATA'!$L$20,"")</f>
        <v/>
      </c>
      <c r="CT403" s="518" t="str">
        <f>IF(AND(_6="B-757",'2026'!$N$4="FO",'2026'!$N$2=CT385),'2026DATA'!$M$20,"")</f>
        <v/>
      </c>
      <c r="CU403" s="520" t="str">
        <f>IF(AND(_6="B-757",'2026'!$N$4="FO",'2026'!$N$2=CU385),'2026DATA'!$N$20,"")</f>
        <v/>
      </c>
    </row>
    <row r="404" spans="16:99" x14ac:dyDescent="0.25">
      <c r="P404" s="940" t="s">
        <v>47</v>
      </c>
      <c r="Q404" s="13" t="s">
        <v>61</v>
      </c>
      <c r="R404" s="518" t="str">
        <f>IF(AND(_1="B-737-900",'2026'!$N$4="CA",'2026'!$N$2=R385),'2026DATA'!$C$21,"")</f>
        <v/>
      </c>
      <c r="S404" s="518" t="str">
        <f>IF(AND(_1="B-737-900",'2026'!$N$4="CA",'2026'!$N$2=S385),'2026DATA'!$D$21,"")</f>
        <v/>
      </c>
      <c r="T404" s="518" t="str">
        <f>IF(AND(_1="B-737-900",'2026'!$N$4="CA",'2026'!$N$2=T385),'2026DATA'!$E$21,"")</f>
        <v/>
      </c>
      <c r="U404" s="518" t="str">
        <f>IF(AND(_1="B-737-900",'2026'!$N$4="CA",'2026'!$N$2=U385),'2026DATA'!$F$21,"")</f>
        <v/>
      </c>
      <c r="V404" s="518" t="str">
        <f>IF(AND(_1="B-737-900",'2026'!$N$4="CA",'2026'!$N$2=V385),'2026DATA'!$G$21,"")</f>
        <v/>
      </c>
      <c r="W404" s="518" t="str">
        <f>IF(AND(_1="B-737-900",'2026'!$N$4="CA",'2026'!$N$2=W385),'2026DATA'!$H$21,"")</f>
        <v/>
      </c>
      <c r="X404" s="518" t="str">
        <f>IF(AND(_1="B-737-900",'2026'!$N$4="CA",'2026'!$N$2=X385),'2026DATA'!$I$21,"")</f>
        <v/>
      </c>
      <c r="Y404" s="518" t="str">
        <f>IF(AND(_1="B-737-900",'2026'!$N$4="CA",'2026'!$N$2=Y385),'2026DATA'!$J$21,"")</f>
        <v/>
      </c>
      <c r="Z404" s="518" t="str">
        <f>IF(AND(_1="B-737-900",'2026'!$N$4="CA",'2026'!$N$2=Z385),'2026DATA'!$K$21,"")</f>
        <v/>
      </c>
      <c r="AA404" s="518" t="str">
        <f>IF(AND(_1="B-737-900",'2026'!$N$4="CA",'2026'!$N$2=AA385),'2026DATA'!$L$21,"")</f>
        <v/>
      </c>
      <c r="AB404" s="518" t="str">
        <f>IF(AND(_1="B-737-900",'2026'!$N$4="CA",'2026'!$N$2=AB385),'2026DATA'!$M$21,"")</f>
        <v/>
      </c>
      <c r="AC404" s="520" t="str">
        <f>IF(AND(_1="B-737-900",'2026'!$N$4="CA",'2026'!$N$2=AC385),'2026DATA'!$N$21,"")</f>
        <v/>
      </c>
      <c r="AD404" s="940" t="s">
        <v>47</v>
      </c>
      <c r="AE404" s="13" t="s">
        <v>61</v>
      </c>
      <c r="AF404" s="518" t="str">
        <f>IF(AND(_2="B-737-900",'2026'!$N$4="CA",'2026'!$N$2=AF385),'2026DATA'!$C$21,"")</f>
        <v/>
      </c>
      <c r="AG404" s="518" t="str">
        <f>IF(AND(_2="B-737-900",'2026'!$N$4="CA",'2026'!$N$2=AG385),'2026DATA'!$D$21,"")</f>
        <v/>
      </c>
      <c r="AH404" s="518" t="str">
        <f>IF(AND(_2="B-737-900",'2026'!$N$4="CA",'2026'!$N$2=AH385),'2026DATA'!$E$21,"")</f>
        <v/>
      </c>
      <c r="AI404" s="518" t="str">
        <f>IF(AND(_2="B-737-900",'2026'!$N$4="CA",'2026'!$N$2=AI385),'2026DATA'!$F$21,"")</f>
        <v/>
      </c>
      <c r="AJ404" s="518" t="str">
        <f>IF(AND(_2="B-737-900",'2026'!$N$4="CA",'2026'!$N$2=AJ385),'2026DATA'!$G$21,"")</f>
        <v/>
      </c>
      <c r="AK404" s="518" t="str">
        <f>IF(AND(_2="B-737-900",'2026'!$N$4="CA",'2026'!$N$2=AK385),'2026DATA'!$H$21,"")</f>
        <v/>
      </c>
      <c r="AL404" s="518" t="str">
        <f>IF(AND(_2="B-737-900",'2026'!$N$4="CA",'2026'!$N$2=AL385),'2026DATA'!$I$21,"")</f>
        <v/>
      </c>
      <c r="AM404" s="518" t="str">
        <f>IF(AND(_2="B-737-900",'2026'!$N$4="CA",'2026'!$N$2=AM385),'2026DATA'!$J$21,"")</f>
        <v/>
      </c>
      <c r="AN404" s="518" t="str">
        <f>IF(AND(_2="B-737-900",'2026'!$N$4="CA",'2026'!$N$2=AN385),'2026DATA'!$K$21,"")</f>
        <v/>
      </c>
      <c r="AO404" s="518" t="str">
        <f>IF(AND(_2="B-737-900",'2026'!$N$4="CA",'2026'!$N$2=AO385),'2026DATA'!$L$21,"")</f>
        <v/>
      </c>
      <c r="AP404" s="518" t="str">
        <f>IF(AND(_2="B-737-900",'2026'!$N$4="CA",'2026'!$N$2=AP385),'2026DATA'!$M$21,"")</f>
        <v/>
      </c>
      <c r="AQ404" s="520" t="str">
        <f>IF(AND(_2="B-737-900",'2026'!$N$4="CA",'2026'!$N$2=AQ385),'2026DATA'!$N$21,"")</f>
        <v/>
      </c>
      <c r="AR404" s="940" t="s">
        <v>47</v>
      </c>
      <c r="AS404" s="13" t="s">
        <v>61</v>
      </c>
      <c r="AT404" s="518" t="str">
        <f>IF(AND(_3="B-737-900",'2026'!$N$4="CA",'2026'!$N$2=AT385),'2026DATA'!$C$21,"")</f>
        <v/>
      </c>
      <c r="AU404" s="518" t="str">
        <f>IF(AND(_3="B-737-900",'2026'!$N$4="CA",'2026'!$N$2=AU385),'2026DATA'!$D$21,"")</f>
        <v/>
      </c>
      <c r="AV404" s="518" t="str">
        <f>IF(AND(_3="B-737-900",'2026'!$N$4="CA",'2026'!$N$2=AV385),'2026DATA'!$E$21,"")</f>
        <v/>
      </c>
      <c r="AW404" s="518" t="str">
        <f>IF(AND(_3="B-737-900",'2026'!$N$4="CA",'2026'!$N$2=AW385),'2026DATA'!$F$21,"")</f>
        <v/>
      </c>
      <c r="AX404" s="518" t="str">
        <f>IF(AND(_3="B-737-900",'2026'!$N$4="CA",'2026'!$N$2=AX385),'2026DATA'!$G$21,"")</f>
        <v/>
      </c>
      <c r="AY404" s="518" t="str">
        <f>IF(AND(_3="B-737-900",'2026'!$N$4="CA",'2026'!$N$2=AY385),'2026DATA'!$H$21,"")</f>
        <v/>
      </c>
      <c r="AZ404" s="518" t="str">
        <f>IF(AND(_3="B-737-900",'2026'!$N$4="CA",'2026'!$N$2=AZ385),'2026DATA'!$I$21,"")</f>
        <v/>
      </c>
      <c r="BA404" s="518" t="str">
        <f>IF(AND(_3="B-737-900",'2026'!$N$4="CA",'2026'!$N$2=BA385),'2026DATA'!$J$21,"")</f>
        <v/>
      </c>
      <c r="BB404" s="518" t="str">
        <f>IF(AND(_3="B-737-900",'2026'!$N$4="CA",'2026'!$N$2=BB385),'2026DATA'!$K$21,"")</f>
        <v/>
      </c>
      <c r="BC404" s="518" t="str">
        <f>IF(AND(_3="B-737-900",'2026'!$N$4="CA",'2026'!$N$2=BC385),'2026DATA'!$L$21,"")</f>
        <v/>
      </c>
      <c r="BD404" s="518" t="str">
        <f>IF(AND(_3="B-737-900",'2026'!$N$4="CA",'2026'!$N$2=BD385),'2026DATA'!$M$21,"")</f>
        <v/>
      </c>
      <c r="BE404" s="520" t="str">
        <f>IF(AND(_3="B-737-900",'2026'!$N$4="CA",'2026'!$N$2=BE385),'2026DATA'!$N$21,"")</f>
        <v/>
      </c>
      <c r="BF404" s="940" t="s">
        <v>47</v>
      </c>
      <c r="BG404" s="13" t="s">
        <v>61</v>
      </c>
      <c r="BH404" s="518" t="str">
        <f>IF(AND(_4="B-737-900",'2026'!$N$4="CA",'2026'!$N$2=BH385),'2026DATA'!$C$21,"")</f>
        <v/>
      </c>
      <c r="BI404" s="518" t="str">
        <f>IF(AND(_4="B-737-900",'2026'!$N$4="CA",'2026'!$N$2=BI385),'2026DATA'!$D$21,"")</f>
        <v/>
      </c>
      <c r="BJ404" s="518" t="str">
        <f>IF(AND(_4="B-737-900",'2026'!$N$4="CA",'2026'!$N$2=BJ385),'2026DATA'!$E$21,"")</f>
        <v/>
      </c>
      <c r="BK404" s="518" t="str">
        <f>IF(AND(_4="B-737-900",'2026'!$N$4="CA",'2026'!$N$2=BK385),'2026DATA'!$F$21,"")</f>
        <v/>
      </c>
      <c r="BL404" s="518" t="str">
        <f>IF(AND(_4="B-737-900",'2026'!$N$4="CA",'2026'!$N$2=BL385),'2026DATA'!$G$21,"")</f>
        <v/>
      </c>
      <c r="BM404" s="518" t="str">
        <f>IF(AND(_4="B-737-900",'2026'!$N$4="CA",'2026'!$N$2=BM385),'2026DATA'!$H$21,"")</f>
        <v/>
      </c>
      <c r="BN404" s="518" t="str">
        <f>IF(AND(_4="B-737-900",'2026'!$N$4="CA",'2026'!$N$2=BN385),'2026DATA'!$I$21,"")</f>
        <v/>
      </c>
      <c r="BO404" s="518" t="str">
        <f>IF(AND(_4="B-737-900",'2026'!$N$4="CA",'2026'!$N$2=BO385),'2026DATA'!$J$21,"")</f>
        <v/>
      </c>
      <c r="BP404" s="518" t="str">
        <f>IF(AND(_4="B-737-900",'2026'!$N$4="CA",'2026'!$N$2=BP385),'2026DATA'!$K$21,"")</f>
        <v/>
      </c>
      <c r="BQ404" s="518" t="str">
        <f>IF(AND(_4="B-737-900",'2026'!$N$4="CA",'2026'!$N$2=BQ385),'2026DATA'!$L$21,"")</f>
        <v/>
      </c>
      <c r="BR404" s="518" t="str">
        <f>IF(AND(_4="B-737-900",'2026'!$N$4="CA",'2026'!$N$2=BR385),'2026DATA'!$M$21,"")</f>
        <v/>
      </c>
      <c r="BS404" s="520" t="str">
        <f>IF(AND(_4="B-737-900",'2026'!$N$4="CA",'2026'!$N$2=BS385),'2026DATA'!$N$21,"")</f>
        <v/>
      </c>
      <c r="BT404" s="940" t="s">
        <v>47</v>
      </c>
      <c r="BU404" s="13" t="s">
        <v>61</v>
      </c>
      <c r="BV404" s="518" t="str">
        <f>IF(AND(_5="B-737-900",'2026'!$N$4="CA",'2026'!$N$2=BV385),'2026DATA'!$C$21,"")</f>
        <v/>
      </c>
      <c r="BW404" s="518" t="str">
        <f>IF(AND(_5="B-737-900",'2026'!$N$4="CA",'2026'!$N$2=BW385),'2026DATA'!$D$21,"")</f>
        <v/>
      </c>
      <c r="BX404" s="518" t="str">
        <f>IF(AND(_5="B-737-900",'2026'!$N$4="CA",'2026'!$N$2=BX385),'2026DATA'!$E$21,"")</f>
        <v/>
      </c>
      <c r="BY404" s="518" t="str">
        <f>IF(AND(_5="B-737-900",'2026'!$N$4="CA",'2026'!$N$2=BY385),'2026DATA'!$F$21,"")</f>
        <v/>
      </c>
      <c r="BZ404" s="518" t="str">
        <f>IF(AND(_5="B-737-900",'2026'!$N$4="CA",'2026'!$N$2=BZ385),'2026DATA'!$G$21,"")</f>
        <v/>
      </c>
      <c r="CA404" s="518" t="str">
        <f>IF(AND(_5="B-737-900",'2026'!$N$4="CA",'2026'!$N$2=CA385),'2026DATA'!$H$21,"")</f>
        <v/>
      </c>
      <c r="CB404" s="518" t="str">
        <f>IF(AND(_5="B-737-900",'2026'!$N$4="CA",'2026'!$N$2=CB385),'2026DATA'!$I$21,"")</f>
        <v/>
      </c>
      <c r="CC404" s="518" t="str">
        <f>IF(AND(_5="B-737-900",'2026'!$N$4="CA",'2026'!$N$2=CC385),'2026DATA'!$J$21,"")</f>
        <v/>
      </c>
      <c r="CD404" s="518" t="str">
        <f>IF(AND(_5="B-737-900",'2026'!$N$4="CA",'2026'!$N$2=CD385),'2026DATA'!$K$21,"")</f>
        <v/>
      </c>
      <c r="CE404" s="518" t="str">
        <f>IF(AND(_5="B-737-900",'2026'!$N$4="CA",'2026'!$N$2=CE385),'2026DATA'!$L$21,"")</f>
        <v/>
      </c>
      <c r="CF404" s="518" t="str">
        <f>IF(AND(_5="B-737-900",'2026'!$N$4="CA",'2026'!$N$2=CF385),'2026DATA'!$M$21,"")</f>
        <v/>
      </c>
      <c r="CG404" s="520" t="str">
        <f>IF(AND(_5="B-737-900",'2026'!$N$4="CA",'2026'!$N$2=CG385),'2026DATA'!$N$21,"")</f>
        <v/>
      </c>
      <c r="CH404" s="940" t="s">
        <v>47</v>
      </c>
      <c r="CI404" s="13" t="s">
        <v>61</v>
      </c>
      <c r="CJ404" s="518" t="str">
        <f>IF(AND(_6="B-737-900",'2026'!$N$4="CA",'2026'!$N$2=CJ385),'2026DATA'!$C$21,"")</f>
        <v/>
      </c>
      <c r="CK404" s="518" t="str">
        <f>IF(AND(_6="B-737-900",'2026'!$N$4="CA",'2026'!$N$2=CK385),'2026DATA'!$D$21,"")</f>
        <v/>
      </c>
      <c r="CL404" s="518" t="str">
        <f>IF(AND(_6="B-737-900",'2026'!$N$4="CA",'2026'!$N$2=CL385),'2026DATA'!$E$21,"")</f>
        <v/>
      </c>
      <c r="CM404" s="518" t="str">
        <f>IF(AND(_6="B-737-900",'2026'!$N$4="CA",'2026'!$N$2=CM385),'2026DATA'!$F$21,"")</f>
        <v/>
      </c>
      <c r="CN404" s="518" t="str">
        <f>IF(AND(_6="B-737-900",'2026'!$N$4="CA",'2026'!$N$2=CN385),'2026DATA'!$G$21,"")</f>
        <v/>
      </c>
      <c r="CO404" s="518" t="str">
        <f>IF(AND(_6="B-737-900",'2026'!$N$4="CA",'2026'!$N$2=CO385),'2026DATA'!$H$21,"")</f>
        <v/>
      </c>
      <c r="CP404" s="518" t="str">
        <f>IF(AND(_6="B-737-900",'2026'!$N$4="CA",'2026'!$N$2=CP385),'2026DATA'!$I$21,"")</f>
        <v/>
      </c>
      <c r="CQ404" s="518" t="str">
        <f>IF(AND(_6="B-737-900",'2026'!$N$4="CA",'2026'!$N$2=CQ385),'2026DATA'!$J$21,"")</f>
        <v/>
      </c>
      <c r="CR404" s="518" t="str">
        <f>IF(AND(_6="B-737-900",'2026'!$N$4="CA",'2026'!$N$2=CR385),'2026DATA'!$K$21,"")</f>
        <v/>
      </c>
      <c r="CS404" s="518" t="str">
        <f>IF(AND(_6="B-737-900",'2026'!$N$4="CA",'2026'!$N$2=CS385),'2026DATA'!$L$21,"")</f>
        <v/>
      </c>
      <c r="CT404" s="518" t="str">
        <f>IF(AND(_6="B-737-900",'2026'!$N$4="CA",'2026'!$N$2=CT385),'2026DATA'!$M$21,"")</f>
        <v/>
      </c>
      <c r="CU404" s="520" t="str">
        <f>IF(AND(_6="B-737-900",'2026'!$N$4="CA",'2026'!$N$2=CU385),'2026DATA'!$N$21,"")</f>
        <v/>
      </c>
    </row>
    <row r="405" spans="16:99" x14ac:dyDescent="0.25">
      <c r="P405" s="940"/>
      <c r="Q405" s="13" t="s">
        <v>62</v>
      </c>
      <c r="R405" s="518" t="str">
        <f>IF(AND(_1="B-737-900",'2026'!$N$4="FO",'2026'!$N$2=R385),'2026DATA'!$C$22,"")</f>
        <v/>
      </c>
      <c r="S405" s="518" t="str">
        <f>IF(AND(_1="B-737-900",'2026'!$N$4="FO",'2026'!$N$2=S385),'2026DATA'!$D$22,"")</f>
        <v/>
      </c>
      <c r="T405" s="518" t="str">
        <f>IF(AND(_1="B-737-900",'2026'!$N$4="FO",'2026'!$N$2=T385),'2026DATA'!$E$22,"")</f>
        <v/>
      </c>
      <c r="U405" s="518" t="str">
        <f>IF(AND(_1="B-737-900",'2026'!$N$4="FO",'2026'!$N$2=U385),'2026DATA'!$F$22,"")</f>
        <v/>
      </c>
      <c r="V405" s="518" t="str">
        <f>IF(AND(_1="B-737-900",'2026'!$N$4="FO",'2026'!$N$2=V385),'2026DATA'!$G$22,"")</f>
        <v/>
      </c>
      <c r="W405" s="518" t="str">
        <f>IF(AND(_1="B-737-900",'2026'!$N$4="FO",'2026'!$N$2=W385),'2026DATA'!$H$22,"")</f>
        <v/>
      </c>
      <c r="X405" s="518" t="str">
        <f>IF(AND(_1="B-737-900",'2026'!$N$4="FO",'2026'!$N$2=X385),'2026DATA'!$I$22,"")</f>
        <v/>
      </c>
      <c r="Y405" s="518" t="str">
        <f>IF(AND(_1="B-737-900",'2026'!$N$4="FO",'2026'!$N$2=Y385),'2026DATA'!$J$22,"")</f>
        <v/>
      </c>
      <c r="Z405" s="518" t="str">
        <f>IF(AND(_1="B-737-900",'2026'!$N$4="FO",'2026'!$N$2=Z385),'2026DATA'!$K$22,"")</f>
        <v/>
      </c>
      <c r="AA405" s="518" t="str">
        <f>IF(AND(_1="B-737-900",'2026'!$N$4="FO",'2026'!$N$2=AA385),'2026DATA'!$L$22,"")</f>
        <v/>
      </c>
      <c r="AB405" s="518" t="str">
        <f>IF(AND(_1="B-737-900",'2026'!$N$4="FO",'2026'!$N$2=AB385),'2026DATA'!$M$22,"")</f>
        <v/>
      </c>
      <c r="AC405" s="520" t="str">
        <f>IF(AND(_1="B-737-900",'2026'!$N$4="FO",'2026'!$N$2=AC385),'2026DATA'!$N$22,"")</f>
        <v/>
      </c>
      <c r="AD405" s="940"/>
      <c r="AE405" s="13" t="s">
        <v>62</v>
      </c>
      <c r="AF405" s="518" t="str">
        <f>IF(AND(_2="B-737-900",'2026'!$N$4="FO",'2026'!$N$2=AF385),'2026DATA'!$C$22,"")</f>
        <v/>
      </c>
      <c r="AG405" s="518" t="str">
        <f>IF(AND(_2="B-737-900",'2026'!$N$4="FO",'2026'!$N$2=AG385),'2026DATA'!$D$22,"")</f>
        <v/>
      </c>
      <c r="AH405" s="518" t="str">
        <f>IF(AND(_2="B-737-900",'2026'!$N$4="FO",'2026'!$N$2=AH385),'2026DATA'!$E$22,"")</f>
        <v/>
      </c>
      <c r="AI405" s="518" t="str">
        <f>IF(AND(_2="B-737-900",'2026'!$N$4="FO",'2026'!$N$2=AI385),'2026DATA'!$F$22,"")</f>
        <v/>
      </c>
      <c r="AJ405" s="518" t="str">
        <f>IF(AND(_2="B-737-900",'2026'!$N$4="FO",'2026'!$N$2=AJ385),'2026DATA'!$G$22,"")</f>
        <v/>
      </c>
      <c r="AK405" s="518" t="str">
        <f>IF(AND(_2="B-737-900",'2026'!$N$4="FO",'2026'!$N$2=AK385),'2026DATA'!$H$22,"")</f>
        <v/>
      </c>
      <c r="AL405" s="518" t="str">
        <f>IF(AND(_2="B-737-900",'2026'!$N$4="FO",'2026'!$N$2=AL385),'2026DATA'!$I$22,"")</f>
        <v/>
      </c>
      <c r="AM405" s="518" t="str">
        <f>IF(AND(_2="B-737-900",'2026'!$N$4="FO",'2026'!$N$2=AM385),'2026DATA'!$J$22,"")</f>
        <v/>
      </c>
      <c r="AN405" s="518" t="str">
        <f>IF(AND(_2="B-737-900",'2026'!$N$4="FO",'2026'!$N$2=AN385),'2026DATA'!$K$22,"")</f>
        <v/>
      </c>
      <c r="AO405" s="518" t="str">
        <f>IF(AND(_2="B-737-900",'2026'!$N$4="FO",'2026'!$N$2=AO385),'2026DATA'!$L$22,"")</f>
        <v/>
      </c>
      <c r="AP405" s="518" t="str">
        <f>IF(AND(_2="B-737-900",'2026'!$N$4="FO",'2026'!$N$2=AP385),'2026DATA'!$M$22,"")</f>
        <v/>
      </c>
      <c r="AQ405" s="520" t="str">
        <f>IF(AND(_2="B-737-900",'2026'!$N$4="FO",'2026'!$N$2=AQ385),'2026DATA'!$N$22,"")</f>
        <v/>
      </c>
      <c r="AR405" s="940"/>
      <c r="AS405" s="13" t="s">
        <v>62</v>
      </c>
      <c r="AT405" s="518" t="str">
        <f>IF(AND(_3="B-737-900",'2026'!$N$4="FO",'2026'!$N$2=AT385),'2026DATA'!$C$22,"")</f>
        <v/>
      </c>
      <c r="AU405" s="518" t="str">
        <f>IF(AND(_3="B-737-900",'2026'!$N$4="FO",'2026'!$N$2=AU385),'2026DATA'!$D$22,"")</f>
        <v/>
      </c>
      <c r="AV405" s="518" t="str">
        <f>IF(AND(_3="B-737-900",'2026'!$N$4="FO",'2026'!$N$2=AV385),'2026DATA'!$E$22,"")</f>
        <v/>
      </c>
      <c r="AW405" s="518" t="str">
        <f>IF(AND(_3="B-737-900",'2026'!$N$4="FO",'2026'!$N$2=AW385),'2026DATA'!$F$22,"")</f>
        <v/>
      </c>
      <c r="AX405" s="518" t="str">
        <f>IF(AND(_3="B-737-900",'2026'!$N$4="FO",'2026'!$N$2=AX385),'2026DATA'!$G$22,"")</f>
        <v/>
      </c>
      <c r="AY405" s="518" t="str">
        <f>IF(AND(_3="B-737-900",'2026'!$N$4="FO",'2026'!$N$2=AY385),'2026DATA'!$H$22,"")</f>
        <v/>
      </c>
      <c r="AZ405" s="518" t="str">
        <f>IF(AND(_3="B-737-900",'2026'!$N$4="FO",'2026'!$N$2=AZ385),'2026DATA'!$I$22,"")</f>
        <v/>
      </c>
      <c r="BA405" s="518" t="str">
        <f>IF(AND(_3="B-737-900",'2026'!$N$4="FO",'2026'!$N$2=BA385),'2026DATA'!$J$22,"")</f>
        <v/>
      </c>
      <c r="BB405" s="518" t="str">
        <f>IF(AND(_3="B-737-900",'2026'!$N$4="FO",'2026'!$N$2=BB385),'2026DATA'!$K$22,"")</f>
        <v/>
      </c>
      <c r="BC405" s="518" t="str">
        <f>IF(AND(_3="B-737-900",'2026'!$N$4="FO",'2026'!$N$2=BC385),'2026DATA'!$L$22,"")</f>
        <v/>
      </c>
      <c r="BD405" s="518" t="str">
        <f>IF(AND(_3="B-737-900",'2026'!$N$4="FO",'2026'!$N$2=BD385),'2026DATA'!$M$22,"")</f>
        <v/>
      </c>
      <c r="BE405" s="520" t="str">
        <f>IF(AND(_3="B-737-900",'2026'!$N$4="FO",'2026'!$N$2=BE385),'2026DATA'!$N$22,"")</f>
        <v/>
      </c>
      <c r="BF405" s="940"/>
      <c r="BG405" s="13" t="s">
        <v>62</v>
      </c>
      <c r="BH405" s="518" t="str">
        <f>IF(AND(_4="B-737-900",'2026'!$N$4="FO",'2026'!$N$2=BH385),'2026DATA'!$C$22,"")</f>
        <v/>
      </c>
      <c r="BI405" s="518" t="str">
        <f>IF(AND(_4="B-737-900",'2026'!$N$4="FO",'2026'!$N$2=BI385),'2026DATA'!$D$22,"")</f>
        <v/>
      </c>
      <c r="BJ405" s="518" t="str">
        <f>IF(AND(_4="B-737-900",'2026'!$N$4="FO",'2026'!$N$2=BJ385),'2026DATA'!$E$22,"")</f>
        <v/>
      </c>
      <c r="BK405" s="518" t="str">
        <f>IF(AND(_4="B-737-900",'2026'!$N$4="FO",'2026'!$N$2=BK385),'2026DATA'!$F$22,"")</f>
        <v/>
      </c>
      <c r="BL405" s="518" t="str">
        <f>IF(AND(_4="B-737-900",'2026'!$N$4="FO",'2026'!$N$2=BL385),'2026DATA'!$G$22,"")</f>
        <v/>
      </c>
      <c r="BM405" s="518" t="str">
        <f>IF(AND(_4="B-737-900",'2026'!$N$4="FO",'2026'!$N$2=BM385),'2026DATA'!$H$22,"")</f>
        <v/>
      </c>
      <c r="BN405" s="518" t="str">
        <f>IF(AND(_4="B-737-900",'2026'!$N$4="FO",'2026'!$N$2=BN385),'2026DATA'!$I$22,"")</f>
        <v/>
      </c>
      <c r="BO405" s="518" t="str">
        <f>IF(AND(_4="B-737-900",'2026'!$N$4="FO",'2026'!$N$2=BO385),'2026DATA'!$J$22,"")</f>
        <v/>
      </c>
      <c r="BP405" s="518" t="str">
        <f>IF(AND(_4="B-737-900",'2026'!$N$4="FO",'2026'!$N$2=BP385),'2026DATA'!$K$22,"")</f>
        <v/>
      </c>
      <c r="BQ405" s="518" t="str">
        <f>IF(AND(_4="B-737-900",'2026'!$N$4="FO",'2026'!$N$2=BQ385),'2026DATA'!$L$22,"")</f>
        <v/>
      </c>
      <c r="BR405" s="518" t="str">
        <f>IF(AND(_4="B-737-900",'2026'!$N$4="FO",'2026'!$N$2=BR385),'2026DATA'!$M$22,"")</f>
        <v/>
      </c>
      <c r="BS405" s="520" t="str">
        <f>IF(AND(_4="B-737-900",'2026'!$N$4="FO",'2026'!$N$2=BS385),'2026DATA'!$N$22,"")</f>
        <v/>
      </c>
      <c r="BT405" s="940"/>
      <c r="BU405" s="13" t="s">
        <v>62</v>
      </c>
      <c r="BV405" s="518" t="str">
        <f>IF(AND(_5="B-737-900",'2026'!$N$4="FO",'2026'!$N$2=BV385),'2026DATA'!$C$22,"")</f>
        <v/>
      </c>
      <c r="BW405" s="518" t="str">
        <f>IF(AND(_5="B-737-900",'2026'!$N$4="FO",'2026'!$N$2=BW385),'2026DATA'!$D$22,"")</f>
        <v/>
      </c>
      <c r="BX405" s="518" t="str">
        <f>IF(AND(_5="B-737-900",'2026'!$N$4="FO",'2026'!$N$2=BX385),'2026DATA'!$E$22,"")</f>
        <v/>
      </c>
      <c r="BY405" s="518" t="str">
        <f>IF(AND(_5="B-737-900",'2026'!$N$4="FO",'2026'!$N$2=BY385),'2026DATA'!$F$22,"")</f>
        <v/>
      </c>
      <c r="BZ405" s="518" t="str">
        <f>IF(AND(_5="B-737-900",'2026'!$N$4="FO",'2026'!$N$2=BZ385),'2026DATA'!$G$22,"")</f>
        <v/>
      </c>
      <c r="CA405" s="518" t="str">
        <f>IF(AND(_5="B-737-900",'2026'!$N$4="FO",'2026'!$N$2=CA385),'2026DATA'!$H$22,"")</f>
        <v/>
      </c>
      <c r="CB405" s="518" t="str">
        <f>IF(AND(_5="B-737-900",'2026'!$N$4="FO",'2026'!$N$2=CB385),'2026DATA'!$I$22,"")</f>
        <v/>
      </c>
      <c r="CC405" s="518" t="str">
        <f>IF(AND(_5="B-737-900",'2026'!$N$4="FO",'2026'!$N$2=CC385),'2026DATA'!$J$22,"")</f>
        <v/>
      </c>
      <c r="CD405" s="518" t="str">
        <f>IF(AND(_5="B-737-900",'2026'!$N$4="FO",'2026'!$N$2=CD385),'2026DATA'!$K$22,"")</f>
        <v/>
      </c>
      <c r="CE405" s="518" t="str">
        <f>IF(AND(_5="B-737-900",'2026'!$N$4="FO",'2026'!$N$2=CE385),'2026DATA'!$L$22,"")</f>
        <v/>
      </c>
      <c r="CF405" s="518" t="str">
        <f>IF(AND(_5="B-737-900",'2026'!$N$4="FO",'2026'!$N$2=CF385),'2026DATA'!$M$22,"")</f>
        <v/>
      </c>
      <c r="CG405" s="520" t="str">
        <f>IF(AND(_5="B-737-900",'2026'!$N$4="FO",'2026'!$N$2=CG385),'2026DATA'!$N$22,"")</f>
        <v/>
      </c>
      <c r="CH405" s="940"/>
      <c r="CI405" s="13" t="s">
        <v>62</v>
      </c>
      <c r="CJ405" s="518" t="str">
        <f>IF(AND(_6="B-737-900",'2026'!$N$4="FO",'2026'!$N$2=CJ385),'2026DATA'!$C$22,"")</f>
        <v/>
      </c>
      <c r="CK405" s="518" t="str">
        <f>IF(AND(_6="B-737-900",'2026'!$N$4="FO",'2026'!$N$2=CK385),'2026DATA'!$D$22,"")</f>
        <v/>
      </c>
      <c r="CL405" s="518" t="str">
        <f>IF(AND(_6="B-737-900",'2026'!$N$4="FO",'2026'!$N$2=CL385),'2026DATA'!$E$22,"")</f>
        <v/>
      </c>
      <c r="CM405" s="518" t="str">
        <f>IF(AND(_6="B-737-900",'2026'!$N$4="FO",'2026'!$N$2=CM385),'2026DATA'!$F$22,"")</f>
        <v/>
      </c>
      <c r="CN405" s="518" t="str">
        <f>IF(AND(_6="B-737-900",'2026'!$N$4="FO",'2026'!$N$2=CN385),'2026DATA'!$G$22,"")</f>
        <v/>
      </c>
      <c r="CO405" s="518" t="str">
        <f>IF(AND(_6="B-737-900",'2026'!$N$4="FO",'2026'!$N$2=CO385),'2026DATA'!$H$22,"")</f>
        <v/>
      </c>
      <c r="CP405" s="518" t="str">
        <f>IF(AND(_6="B-737-900",'2026'!$N$4="FO",'2026'!$N$2=CP385),'2026DATA'!$I$22,"")</f>
        <v/>
      </c>
      <c r="CQ405" s="518" t="str">
        <f>IF(AND(_6="B-737-900",'2026'!$N$4="FO",'2026'!$N$2=CQ385),'2026DATA'!$J$22,"")</f>
        <v/>
      </c>
      <c r="CR405" s="518" t="str">
        <f>IF(AND(_6="B-737-900",'2026'!$N$4="FO",'2026'!$N$2=CR385),'2026DATA'!$K$22,"")</f>
        <v/>
      </c>
      <c r="CS405" s="518" t="str">
        <f>IF(AND(_6="B-737-900",'2026'!$N$4="FO",'2026'!$N$2=CS385),'2026DATA'!$L$22,"")</f>
        <v/>
      </c>
      <c r="CT405" s="518" t="str">
        <f>IF(AND(_6="B-737-900",'2026'!$N$4="FO",'2026'!$N$2=CT385),'2026DATA'!$M$22,"")</f>
        <v/>
      </c>
      <c r="CU405" s="520" t="str">
        <f>IF(AND(_6="B-737-900",'2026'!$N$4="FO",'2026'!$N$2=CU385),'2026DATA'!$N$22,"")</f>
        <v/>
      </c>
    </row>
    <row r="406" spans="16:99" x14ac:dyDescent="0.25">
      <c r="P406" s="940" t="s">
        <v>69</v>
      </c>
      <c r="Q406" s="13" t="s">
        <v>61</v>
      </c>
      <c r="R406" s="518" t="str">
        <f>IF(AND(_1="B-737-800",'2026'!$N$4="CA",'2026'!$N$2=R385),'2026DATA'!$C$23,"")</f>
        <v/>
      </c>
      <c r="S406" s="518" t="str">
        <f>IF(AND(_1="B-737-800",'2026'!$N$4="CA",'2026'!$N$2=S385),'2026DATA'!$D$23,"")</f>
        <v/>
      </c>
      <c r="T406" s="518" t="str">
        <f>IF(AND(_1="B-737-800",'2026'!$N$4="CA",'2026'!$N$2=T385),'2026DATA'!$E$23,"")</f>
        <v/>
      </c>
      <c r="U406" s="518" t="str">
        <f>IF(AND(_1="B-737-800",'2026'!$N$4="CA",'2026'!$N$2=U385),'2026DATA'!$F$23,"")</f>
        <v/>
      </c>
      <c r="V406" s="518" t="str">
        <f>IF(AND(_1="B-737-800",'2026'!$N$4="CA",'2026'!$N$2=V385),'2026DATA'!$G$23,"")</f>
        <v/>
      </c>
      <c r="W406" s="518" t="str">
        <f>IF(AND(_1="B-737-800",'2026'!$N$4="CA",'2026'!$N$2=W385),'2026DATA'!$H$23,"")</f>
        <v/>
      </c>
      <c r="X406" s="518" t="str">
        <f>IF(AND(_1="B-737-800",'2026'!$N$4="CA",'2026'!$N$2=X385),'2026DATA'!$I$23,"")</f>
        <v/>
      </c>
      <c r="Y406" s="518" t="str">
        <f>IF(AND(_1="B-737-800",'2026'!$N$4="CA",'2026'!$N$2=Y385),'2026DATA'!$J$23,"")</f>
        <v/>
      </c>
      <c r="Z406" s="518" t="str">
        <f>IF(AND(_1="B-737-800",'2026'!$N$4="CA",'2026'!$N$2=Z385),'2026DATA'!$K$23,"")</f>
        <v/>
      </c>
      <c r="AA406" s="518" t="str">
        <f>IF(AND(_1="B-737-800",'2026'!$N$4="CA",'2026'!$N$2=AA385),'2026DATA'!$L$23,"")</f>
        <v/>
      </c>
      <c r="AB406" s="518" t="str">
        <f>IF(AND(_1="B-737-800",'2026'!$N$4="CA",'2026'!$N$2=AB385),'2026DATA'!$M$23,"")</f>
        <v/>
      </c>
      <c r="AC406" s="520" t="str">
        <f>IF(AND(_1="B-737-800",'2026'!$N$4="CA",'2026'!$N$2=AC385),'2026DATA'!$N$23,"")</f>
        <v/>
      </c>
      <c r="AD406" s="940" t="s">
        <v>69</v>
      </c>
      <c r="AE406" s="13" t="s">
        <v>61</v>
      </c>
      <c r="AF406" s="518" t="str">
        <f>IF(AND(_2="B-737-800",'2026'!$N$4="CA",'2026'!$N$2=AF385),'2026DATA'!$C$23,"")</f>
        <v/>
      </c>
      <c r="AG406" s="518" t="str">
        <f>IF(AND(_2="B-737-800",'2026'!$N$4="CA",'2026'!$N$2=AG385),'2026DATA'!$D$23,"")</f>
        <v/>
      </c>
      <c r="AH406" s="518" t="str">
        <f>IF(AND(_2="B-737-800",'2026'!$N$4="CA",'2026'!$N$2=AH385),'2026DATA'!$E$23,"")</f>
        <v/>
      </c>
      <c r="AI406" s="518" t="str">
        <f>IF(AND(_2="B-737-800",'2026'!$N$4="CA",'2026'!$N$2=AI385),'2026DATA'!$F$23,"")</f>
        <v/>
      </c>
      <c r="AJ406" s="518" t="str">
        <f>IF(AND(_2="B-737-800",'2026'!$N$4="CA",'2026'!$N$2=AJ385),'2026DATA'!$G$23,"")</f>
        <v/>
      </c>
      <c r="AK406" s="518" t="str">
        <f>IF(AND(_2="B-737-800",'2026'!$N$4="CA",'2026'!$N$2=AK385),'2026DATA'!$H$23,"")</f>
        <v/>
      </c>
      <c r="AL406" s="518" t="str">
        <f>IF(AND(_2="B-737-800",'2026'!$N$4="CA",'2026'!$N$2=AL385),'2026DATA'!$I$23,"")</f>
        <v/>
      </c>
      <c r="AM406" s="518" t="str">
        <f>IF(AND(_2="B-737-800",'2026'!$N$4="CA",'2026'!$N$2=AM385),'2026DATA'!$J$23,"")</f>
        <v/>
      </c>
      <c r="AN406" s="518" t="str">
        <f>IF(AND(_2="B-737-800",'2026'!$N$4="CA",'2026'!$N$2=AN385),'2026DATA'!$K$23,"")</f>
        <v/>
      </c>
      <c r="AO406" s="518" t="str">
        <f>IF(AND(_2="B-737-800",'2026'!$N$4="CA",'2026'!$N$2=AO385),'2026DATA'!$L$23,"")</f>
        <v/>
      </c>
      <c r="AP406" s="518" t="str">
        <f>IF(AND(_2="B-737-800",'2026'!$N$4="CA",'2026'!$N$2=AP385),'2026DATA'!$M$23,"")</f>
        <v/>
      </c>
      <c r="AQ406" s="520" t="str">
        <f>IF(AND(_2="B-737-800",'2026'!$N$4="CA",'2026'!$N$2=AQ385),'2026DATA'!$N$23,"")</f>
        <v/>
      </c>
      <c r="AR406" s="940" t="s">
        <v>69</v>
      </c>
      <c r="AS406" s="13" t="s">
        <v>61</v>
      </c>
      <c r="AT406" s="518" t="str">
        <f>IF(AND(_3="B-737-800",'2026'!$N$4="CA",'2026'!$N$2=AT385),'2026DATA'!$C$23,"")</f>
        <v/>
      </c>
      <c r="AU406" s="518" t="str">
        <f>IF(AND(_3="B-737-800",'2026'!$N$4="CA",'2026'!$N$2=AU385),'2026DATA'!$D$23,"")</f>
        <v/>
      </c>
      <c r="AV406" s="518" t="str">
        <f>IF(AND(_3="B-737-800",'2026'!$N$4="CA",'2026'!$N$2=AV385),'2026DATA'!$E$23,"")</f>
        <v/>
      </c>
      <c r="AW406" s="518" t="str">
        <f>IF(AND(_3="B-737-800",'2026'!$N$4="CA",'2026'!$N$2=AW385),'2026DATA'!$F$23,"")</f>
        <v/>
      </c>
      <c r="AX406" s="518" t="str">
        <f>IF(AND(_3="B-737-800",'2026'!$N$4="CA",'2026'!$N$2=AX385),'2026DATA'!$G$23,"")</f>
        <v/>
      </c>
      <c r="AY406" s="518" t="str">
        <f>IF(AND(_3="B-737-800",'2026'!$N$4="CA",'2026'!$N$2=AY385),'2026DATA'!$H$23,"")</f>
        <v/>
      </c>
      <c r="AZ406" s="518" t="str">
        <f>IF(AND(_3="B-737-800",'2026'!$N$4="CA",'2026'!$N$2=AZ385),'2026DATA'!$I$23,"")</f>
        <v/>
      </c>
      <c r="BA406" s="518" t="str">
        <f>IF(AND(_3="B-737-800",'2026'!$N$4="CA",'2026'!$N$2=BA385),'2026DATA'!$J$23,"")</f>
        <v/>
      </c>
      <c r="BB406" s="518" t="str">
        <f>IF(AND(_3="B-737-800",'2026'!$N$4="CA",'2026'!$N$2=BB385),'2026DATA'!$K$23,"")</f>
        <v/>
      </c>
      <c r="BC406" s="518" t="str">
        <f>IF(AND(_3="B-737-800",'2026'!$N$4="CA",'2026'!$N$2=BC385),'2026DATA'!$L$23,"")</f>
        <v/>
      </c>
      <c r="BD406" s="518" t="str">
        <f>IF(AND(_3="B-737-800",'2026'!$N$4="CA",'2026'!$N$2=BD385),'2026DATA'!$M$23,"")</f>
        <v/>
      </c>
      <c r="BE406" s="520" t="str">
        <f>IF(AND(_3="B-737-800",'2026'!$N$4="CA",'2026'!$N$2=BE385),'2026DATA'!$N$23,"")</f>
        <v/>
      </c>
      <c r="BF406" s="940" t="s">
        <v>69</v>
      </c>
      <c r="BG406" s="13" t="s">
        <v>61</v>
      </c>
      <c r="BH406" s="518" t="str">
        <f>IF(AND(_4="B-737-800",'2026'!$N$4="CA",'2026'!$N$2=BH385),'2026DATA'!$C$23,"")</f>
        <v/>
      </c>
      <c r="BI406" s="518" t="str">
        <f>IF(AND(_4="B-737-800",'2026'!$N$4="CA",'2026'!$N$2=BI385),'2026DATA'!$D$23,"")</f>
        <v/>
      </c>
      <c r="BJ406" s="518" t="str">
        <f>IF(AND(_4="B-737-800",'2026'!$N$4="CA",'2026'!$N$2=BJ385),'2026DATA'!$E$23,"")</f>
        <v/>
      </c>
      <c r="BK406" s="518" t="str">
        <f>IF(AND(_4="B-737-800",'2026'!$N$4="CA",'2026'!$N$2=BK385),'2026DATA'!$F$23,"")</f>
        <v/>
      </c>
      <c r="BL406" s="518" t="str">
        <f>IF(AND(_4="B-737-800",'2026'!$N$4="CA",'2026'!$N$2=BL385),'2026DATA'!$G$23,"")</f>
        <v/>
      </c>
      <c r="BM406" s="518" t="str">
        <f>IF(AND(_4="B-737-800",'2026'!$N$4="CA",'2026'!$N$2=BM385),'2026DATA'!$H$23,"")</f>
        <v/>
      </c>
      <c r="BN406" s="518" t="str">
        <f>IF(AND(_4="B-737-800",'2026'!$N$4="CA",'2026'!$N$2=BN385),'2026DATA'!$I$23,"")</f>
        <v/>
      </c>
      <c r="BO406" s="518" t="str">
        <f>IF(AND(_4="B-737-800",'2026'!$N$4="CA",'2026'!$N$2=BO385),'2026DATA'!$J$23,"")</f>
        <v/>
      </c>
      <c r="BP406" s="518" t="str">
        <f>IF(AND(_4="B-737-800",'2026'!$N$4="CA",'2026'!$N$2=BP385),'2026DATA'!$K$23,"")</f>
        <v/>
      </c>
      <c r="BQ406" s="518" t="str">
        <f>IF(AND(_4="B-737-800",'2026'!$N$4="CA",'2026'!$N$2=BQ385),'2026DATA'!$L$23,"")</f>
        <v/>
      </c>
      <c r="BR406" s="518" t="str">
        <f>IF(AND(_4="B-737-800",'2026'!$N$4="CA",'2026'!$N$2=BR385),'2026DATA'!$M$23,"")</f>
        <v/>
      </c>
      <c r="BS406" s="520" t="str">
        <f>IF(AND(_4="B-737-800",'2026'!$N$4="CA",'2026'!$N$2=BS385),'2026DATA'!$N$23,"")</f>
        <v/>
      </c>
      <c r="BT406" s="940" t="s">
        <v>69</v>
      </c>
      <c r="BU406" s="13" t="s">
        <v>61</v>
      </c>
      <c r="BV406" s="518" t="str">
        <f>IF(AND(_5="B-737-800",'2026'!$N$4="CA",'2026'!$N$2=BV385),'2026DATA'!$C$23,"")</f>
        <v/>
      </c>
      <c r="BW406" s="518" t="str">
        <f>IF(AND(_5="B-737-800",'2026'!$N$4="CA",'2026'!$N$2=BW385),'2026DATA'!$D$23,"")</f>
        <v/>
      </c>
      <c r="BX406" s="518" t="str">
        <f>IF(AND(_5="B-737-800",'2026'!$N$4="CA",'2026'!$N$2=BX385),'2026DATA'!$E$23,"")</f>
        <v/>
      </c>
      <c r="BY406" s="518" t="str">
        <f>IF(AND(_5="B-737-800",'2026'!$N$4="CA",'2026'!$N$2=BY385),'2026DATA'!$F$23,"")</f>
        <v/>
      </c>
      <c r="BZ406" s="518" t="str">
        <f>IF(AND(_5="B-737-800",'2026'!$N$4="CA",'2026'!$N$2=BZ385),'2026DATA'!$G$23,"")</f>
        <v/>
      </c>
      <c r="CA406" s="518" t="str">
        <f>IF(AND(_5="B-737-800",'2026'!$N$4="CA",'2026'!$N$2=CA385),'2026DATA'!$H$23,"")</f>
        <v/>
      </c>
      <c r="CB406" s="518" t="str">
        <f>IF(AND(_5="B-737-800",'2026'!$N$4="CA",'2026'!$N$2=CB385),'2026DATA'!$I$23,"")</f>
        <v/>
      </c>
      <c r="CC406" s="518" t="str">
        <f>IF(AND(_5="B-737-800",'2026'!$N$4="CA",'2026'!$N$2=CC385),'2026DATA'!$J$23,"")</f>
        <v/>
      </c>
      <c r="CD406" s="518" t="str">
        <f>IF(AND(_5="B-737-800",'2026'!$N$4="CA",'2026'!$N$2=CD385),'2026DATA'!$K$23,"")</f>
        <v/>
      </c>
      <c r="CE406" s="518" t="str">
        <f>IF(AND(_5="B-737-800",'2026'!$N$4="CA",'2026'!$N$2=CE385),'2026DATA'!$L$23,"")</f>
        <v/>
      </c>
      <c r="CF406" s="518" t="str">
        <f>IF(AND(_5="B-737-800",'2026'!$N$4="CA",'2026'!$N$2=CF385),'2026DATA'!$M$23,"")</f>
        <v/>
      </c>
      <c r="CG406" s="520" t="str">
        <f>IF(AND(_5="B-737-800",'2026'!$N$4="CA",'2026'!$N$2=CG385),'2026DATA'!$N$23,"")</f>
        <v/>
      </c>
      <c r="CH406" s="940" t="s">
        <v>69</v>
      </c>
      <c r="CI406" s="13" t="s">
        <v>61</v>
      </c>
      <c r="CJ406" s="518" t="str">
        <f>IF(AND(_6="B-737-800",'2026'!$N$4="CA",'2026'!$N$2=CJ385),'2026DATA'!$C$23,"")</f>
        <v/>
      </c>
      <c r="CK406" s="518" t="str">
        <f>IF(AND(_6="B-737-800",'2026'!$N$4="CA",'2026'!$N$2=CK385),'2026DATA'!$D$23,"")</f>
        <v/>
      </c>
      <c r="CL406" s="518" t="str">
        <f>IF(AND(_6="B-737-800",'2026'!$N$4="CA",'2026'!$N$2=CL385),'2026DATA'!$E$23,"")</f>
        <v/>
      </c>
      <c r="CM406" s="518" t="str">
        <f>IF(AND(_6="B-737-800",'2026'!$N$4="CA",'2026'!$N$2=CM385),'2026DATA'!$F$23,"")</f>
        <v/>
      </c>
      <c r="CN406" s="518" t="str">
        <f>IF(AND(_6="B-737-800",'2026'!$N$4="CA",'2026'!$N$2=CN385),'2026DATA'!$G$23,"")</f>
        <v/>
      </c>
      <c r="CO406" s="518" t="str">
        <f>IF(AND(_6="B-737-800",'2026'!$N$4="CA",'2026'!$N$2=CO385),'2026DATA'!$H$23,"")</f>
        <v/>
      </c>
      <c r="CP406" s="518" t="str">
        <f>IF(AND(_6="B-737-800",'2026'!$N$4="CA",'2026'!$N$2=CP385),'2026DATA'!$I$23,"")</f>
        <v/>
      </c>
      <c r="CQ406" s="518" t="str">
        <f>IF(AND(_6="B-737-800",'2026'!$N$4="CA",'2026'!$N$2=CQ385),'2026DATA'!$J$23,"")</f>
        <v/>
      </c>
      <c r="CR406" s="518" t="str">
        <f>IF(AND(_6="B-737-800",'2026'!$N$4="CA",'2026'!$N$2=CR385),'2026DATA'!$K$23,"")</f>
        <v/>
      </c>
      <c r="CS406" s="518" t="str">
        <f>IF(AND(_6="B-737-800",'2026'!$N$4="CA",'2026'!$N$2=CS385),'2026DATA'!$L$23,"")</f>
        <v/>
      </c>
      <c r="CT406" s="518" t="str">
        <f>IF(AND(_6="B-737-800",'2026'!$N$4="CA",'2026'!$N$2=CT385),'2026DATA'!$M$23,"")</f>
        <v/>
      </c>
      <c r="CU406" s="520" t="str">
        <f>IF(AND(_6="B-737-800",'2026'!$N$4="CA",'2026'!$N$2=CU385),'2026DATA'!$N$23,"")</f>
        <v/>
      </c>
    </row>
    <row r="407" spans="16:99" x14ac:dyDescent="0.25">
      <c r="P407" s="940"/>
      <c r="Q407" s="13" t="s">
        <v>62</v>
      </c>
      <c r="R407" s="518" t="str">
        <f>IF(AND(_1="B-737-800",'2026'!$N$4="FO",'2026'!$N$2=R385),'2026DATA'!$C$24,"")</f>
        <v/>
      </c>
      <c r="S407" s="518" t="str">
        <f>IF(AND(_1="B-737-800",'2026'!$N$4="FO",'2026'!$N$2=S385),'2026DATA'!$D$24,"")</f>
        <v/>
      </c>
      <c r="T407" s="518" t="str">
        <f>IF(AND(_1="B-737-800",'2026'!$N$4="FO",'2026'!$N$2=T385),'2026DATA'!$E$24,"")</f>
        <v/>
      </c>
      <c r="U407" s="518" t="str">
        <f>IF(AND(_1="B-737-800",'2026'!$N$4="FO",'2026'!$N$2=U385),'2026DATA'!$F$24,"")</f>
        <v/>
      </c>
      <c r="V407" s="518" t="str">
        <f>IF(AND(_1="B-737-800",'2026'!$N$4="FO",'2026'!$N$2=V385),'2026DATA'!$G$24,"")</f>
        <v/>
      </c>
      <c r="W407" s="518" t="str">
        <f>IF(AND(_1="B-737-800",'2026'!$N$4="FO",'2026'!$N$2=W385),'2026DATA'!$H$24,"")</f>
        <v/>
      </c>
      <c r="X407" s="518" t="str">
        <f>IF(AND(_1="B-737-800",'2026'!$N$4="FO",'2026'!$N$2=X385),'2026DATA'!$I$24,"")</f>
        <v/>
      </c>
      <c r="Y407" s="518" t="str">
        <f>IF(AND(_1="B-737-800",'2026'!$N$4="FO",'2026'!$N$2=Y385),'2026DATA'!$J$24,"")</f>
        <v/>
      </c>
      <c r="Z407" s="518" t="str">
        <f>IF(AND(_1="B-737-800",'2026'!$N$4="FO",'2026'!$N$2=Z385),'2026DATA'!$K$24,"")</f>
        <v/>
      </c>
      <c r="AA407" s="518" t="str">
        <f>IF(AND(_1="B-737-800",'2026'!$N$4="FO",'2026'!$N$2=AA385),'2026DATA'!$L$24,"")</f>
        <v/>
      </c>
      <c r="AB407" s="518" t="str">
        <f>IF(AND(_1="B-737-800",'2026'!$N$4="FO",'2026'!$N$2=AB385),'2026DATA'!$M$24,"")</f>
        <v/>
      </c>
      <c r="AC407" s="520" t="str">
        <f>IF(AND(_1="B-737-800",'2026'!$N$4="FO",'2026'!$N$2=AC385),'2026DATA'!$N$24,"")</f>
        <v/>
      </c>
      <c r="AD407" s="940"/>
      <c r="AE407" s="13" t="s">
        <v>62</v>
      </c>
      <c r="AF407" s="518" t="str">
        <f>IF(AND(_2="B-737-800",'2026'!$N$4="FO",'2026'!$N$2=AF385),'2026DATA'!$C$24,"")</f>
        <v/>
      </c>
      <c r="AG407" s="518" t="str">
        <f>IF(AND(_2="B-737-800",'2026'!$N$4="FO",'2026'!$N$2=AG385),'2026DATA'!$D$24,"")</f>
        <v/>
      </c>
      <c r="AH407" s="518" t="str">
        <f>IF(AND(_2="B-737-800",'2026'!$N$4="FO",'2026'!$N$2=AH385),'2026DATA'!$E$24,"")</f>
        <v/>
      </c>
      <c r="AI407" s="518" t="str">
        <f>IF(AND(_2="B-737-800",'2026'!$N$4="FO",'2026'!$N$2=AI385),'2026DATA'!$F$24,"")</f>
        <v/>
      </c>
      <c r="AJ407" s="518" t="str">
        <f>IF(AND(_2="B-737-800",'2026'!$N$4="FO",'2026'!$N$2=AJ385),'2026DATA'!$G$24,"")</f>
        <v/>
      </c>
      <c r="AK407" s="518" t="str">
        <f>IF(AND(_2="B-737-800",'2026'!$N$4="FO",'2026'!$N$2=AK385),'2026DATA'!$H$24,"")</f>
        <v/>
      </c>
      <c r="AL407" s="518" t="str">
        <f>IF(AND(_2="B-737-800",'2026'!$N$4="FO",'2026'!$N$2=AL385),'2026DATA'!$I$24,"")</f>
        <v/>
      </c>
      <c r="AM407" s="518" t="str">
        <f>IF(AND(_2="B-737-800",'2026'!$N$4="FO",'2026'!$N$2=AM385),'2026DATA'!$J$24,"")</f>
        <v/>
      </c>
      <c r="AN407" s="518" t="str">
        <f>IF(AND(_2="B-737-800",'2026'!$N$4="FO",'2026'!$N$2=AN385),'2026DATA'!$K$24,"")</f>
        <v/>
      </c>
      <c r="AO407" s="518" t="str">
        <f>IF(AND(_2="B-737-800",'2026'!$N$4="FO",'2026'!$N$2=AO385),'2026DATA'!$L$24,"")</f>
        <v/>
      </c>
      <c r="AP407" s="518" t="str">
        <f>IF(AND(_2="B-737-800",'2026'!$N$4="FO",'2026'!$N$2=AP385),'2026DATA'!$M$24,"")</f>
        <v/>
      </c>
      <c r="AQ407" s="520" t="str">
        <f>IF(AND(_2="B-737-800",'2026'!$N$4="FO",'2026'!$N$2=AQ385),'2026DATA'!$N$24,"")</f>
        <v/>
      </c>
      <c r="AR407" s="940"/>
      <c r="AS407" s="13" t="s">
        <v>62</v>
      </c>
      <c r="AT407" s="518" t="str">
        <f>IF(AND(_3="B-737-800",'2026'!$N$4="FO",'2026'!$N$2=AT385),'2026DATA'!$C$24,"")</f>
        <v/>
      </c>
      <c r="AU407" s="518" t="str">
        <f>IF(AND(_3="B-737-800",'2026'!$N$4="FO",'2026'!$N$2=AU385),'2026DATA'!$D$24,"")</f>
        <v/>
      </c>
      <c r="AV407" s="518" t="str">
        <f>IF(AND(_3="B-737-800",'2026'!$N$4="FO",'2026'!$N$2=AV385),'2026DATA'!$E$24,"")</f>
        <v/>
      </c>
      <c r="AW407" s="518" t="str">
        <f>IF(AND(_3="B-737-800",'2026'!$N$4="FO",'2026'!$N$2=AW385),'2026DATA'!$F$24,"")</f>
        <v/>
      </c>
      <c r="AX407" s="518" t="str">
        <f>IF(AND(_3="B-737-800",'2026'!$N$4="FO",'2026'!$N$2=AX385),'2026DATA'!$G$24,"")</f>
        <v/>
      </c>
      <c r="AY407" s="518" t="str">
        <f>IF(AND(_3="B-737-800",'2026'!$N$4="FO",'2026'!$N$2=AY385),'2026DATA'!$H$24,"")</f>
        <v/>
      </c>
      <c r="AZ407" s="518" t="str">
        <f>IF(AND(_3="B-737-800",'2026'!$N$4="FO",'2026'!$N$2=AZ385),'2026DATA'!$I$24,"")</f>
        <v/>
      </c>
      <c r="BA407" s="518" t="str">
        <f>IF(AND(_3="B-737-800",'2026'!$N$4="FO",'2026'!$N$2=BA385),'2026DATA'!$J$24,"")</f>
        <v/>
      </c>
      <c r="BB407" s="518" t="str">
        <f>IF(AND(_3="B-737-800",'2026'!$N$4="FO",'2026'!$N$2=BB385),'2026DATA'!$K$24,"")</f>
        <v/>
      </c>
      <c r="BC407" s="518" t="str">
        <f>IF(AND(_3="B-737-800",'2026'!$N$4="FO",'2026'!$N$2=BC385),'2026DATA'!$L$24,"")</f>
        <v/>
      </c>
      <c r="BD407" s="518" t="str">
        <f>IF(AND(_3="B-737-800",'2026'!$N$4="FO",'2026'!$N$2=BD385),'2026DATA'!$M$24,"")</f>
        <v/>
      </c>
      <c r="BE407" s="520" t="str">
        <f>IF(AND(_3="B-737-800",'2026'!$N$4="FO",'2026'!$N$2=BE385),'2026DATA'!$N$24,"")</f>
        <v/>
      </c>
      <c r="BF407" s="940"/>
      <c r="BG407" s="13" t="s">
        <v>62</v>
      </c>
      <c r="BH407" s="518" t="str">
        <f>IF(AND(_4="B-737-800",'2026'!$N$4="FO",'2026'!$N$2=BH385),'2026DATA'!$C$24,"")</f>
        <v/>
      </c>
      <c r="BI407" s="518" t="str">
        <f>IF(AND(_4="B-737-800",'2026'!$N$4="FO",'2026'!$N$2=BI385),'2026DATA'!$D$24,"")</f>
        <v/>
      </c>
      <c r="BJ407" s="518" t="str">
        <f>IF(AND(_4="B-737-800",'2026'!$N$4="FO",'2026'!$N$2=BJ385),'2026DATA'!$E$24,"")</f>
        <v/>
      </c>
      <c r="BK407" s="518" t="str">
        <f>IF(AND(_4="B-737-800",'2026'!$N$4="FO",'2026'!$N$2=BK385),'2026DATA'!$F$24,"")</f>
        <v/>
      </c>
      <c r="BL407" s="518" t="str">
        <f>IF(AND(_4="B-737-800",'2026'!$N$4="FO",'2026'!$N$2=BL385),'2026DATA'!$G$24,"")</f>
        <v/>
      </c>
      <c r="BM407" s="518" t="str">
        <f>IF(AND(_4="B-737-800",'2026'!$N$4="FO",'2026'!$N$2=BM385),'2026DATA'!$H$24,"")</f>
        <v/>
      </c>
      <c r="BN407" s="518" t="str">
        <f>IF(AND(_4="B-737-800",'2026'!$N$4="FO",'2026'!$N$2=BN385),'2026DATA'!$I$24,"")</f>
        <v/>
      </c>
      <c r="BO407" s="518" t="str">
        <f>IF(AND(_4="B-737-800",'2026'!$N$4="FO",'2026'!$N$2=BO385),'2026DATA'!$J$24,"")</f>
        <v/>
      </c>
      <c r="BP407" s="518" t="str">
        <f>IF(AND(_4="B-737-800",'2026'!$N$4="FO",'2026'!$N$2=BP385),'2026DATA'!$K$24,"")</f>
        <v/>
      </c>
      <c r="BQ407" s="518" t="str">
        <f>IF(AND(_4="B-737-800",'2026'!$N$4="FO",'2026'!$N$2=BQ385),'2026DATA'!$L$24,"")</f>
        <v/>
      </c>
      <c r="BR407" s="518" t="str">
        <f>IF(AND(_4="B-737-800",'2026'!$N$4="FO",'2026'!$N$2=BR385),'2026DATA'!$M$24,"")</f>
        <v/>
      </c>
      <c r="BS407" s="520" t="str">
        <f>IF(AND(_4="B-737-800",'2026'!$N$4="FO",'2026'!$N$2=BS385),'2026DATA'!$N$24,"")</f>
        <v/>
      </c>
      <c r="BT407" s="940"/>
      <c r="BU407" s="13" t="s">
        <v>62</v>
      </c>
      <c r="BV407" s="518" t="str">
        <f>IF(AND(_5="B-737-800",'2026'!$N$4="FO",'2026'!$N$2=BV385),'2026DATA'!$C$24,"")</f>
        <v/>
      </c>
      <c r="BW407" s="518" t="str">
        <f>IF(AND(_5="B-737-800",'2026'!$N$4="FO",'2026'!$N$2=BW385),'2026DATA'!$D$24,"")</f>
        <v/>
      </c>
      <c r="BX407" s="518" t="str">
        <f>IF(AND(_5="B-737-800",'2026'!$N$4="FO",'2026'!$N$2=BX385),'2026DATA'!$E$24,"")</f>
        <v/>
      </c>
      <c r="BY407" s="518" t="str">
        <f>IF(AND(_5="B-737-800",'2026'!$N$4="FO",'2026'!$N$2=BY385),'2026DATA'!$F$24,"")</f>
        <v/>
      </c>
      <c r="BZ407" s="518" t="str">
        <f>IF(AND(_5="B-737-800",'2026'!$N$4="FO",'2026'!$N$2=BZ385),'2026DATA'!$G$24,"")</f>
        <v/>
      </c>
      <c r="CA407" s="518" t="str">
        <f>IF(AND(_5="B-737-800",'2026'!$N$4="FO",'2026'!$N$2=CA385),'2026DATA'!$H$24,"")</f>
        <v/>
      </c>
      <c r="CB407" s="518" t="str">
        <f>IF(AND(_5="B-737-800",'2026'!$N$4="FO",'2026'!$N$2=CB385),'2026DATA'!$I$24,"")</f>
        <v/>
      </c>
      <c r="CC407" s="518" t="str">
        <f>IF(AND(_5="B-737-800",'2026'!$N$4="FO",'2026'!$N$2=CC385),'2026DATA'!$J$24,"")</f>
        <v/>
      </c>
      <c r="CD407" s="518" t="str">
        <f>IF(AND(_5="B-737-800",'2026'!$N$4="FO",'2026'!$N$2=CD385),'2026DATA'!$K$24,"")</f>
        <v/>
      </c>
      <c r="CE407" s="518" t="str">
        <f>IF(AND(_5="B-737-800",'2026'!$N$4="FO",'2026'!$N$2=CE385),'2026DATA'!$L$24,"")</f>
        <v/>
      </c>
      <c r="CF407" s="518" t="str">
        <f>IF(AND(_5="B-737-800",'2026'!$N$4="FO",'2026'!$N$2=CF385),'2026DATA'!$M$24,"")</f>
        <v/>
      </c>
      <c r="CG407" s="520" t="str">
        <f>IF(AND(_5="B-737-800",'2026'!$N$4="FO",'2026'!$N$2=CG385),'2026DATA'!$N$24,"")</f>
        <v/>
      </c>
      <c r="CH407" s="940"/>
      <c r="CI407" s="13" t="s">
        <v>62</v>
      </c>
      <c r="CJ407" s="518" t="str">
        <f>IF(AND(_6="B-737-800",'2026'!$N$4="FO",'2026'!$N$2=CJ385),'2026DATA'!$C$24,"")</f>
        <v/>
      </c>
      <c r="CK407" s="518" t="str">
        <f>IF(AND(_6="B-737-800",'2026'!$N$4="FO",'2026'!$N$2=CK385),'2026DATA'!$D$24,"")</f>
        <v/>
      </c>
      <c r="CL407" s="518" t="str">
        <f>IF(AND(_6="B-737-800",'2026'!$N$4="FO",'2026'!$N$2=CL385),'2026DATA'!$E$24,"")</f>
        <v/>
      </c>
      <c r="CM407" s="518" t="str">
        <f>IF(AND(_6="B-737-800",'2026'!$N$4="FO",'2026'!$N$2=CM385),'2026DATA'!$F$24,"")</f>
        <v/>
      </c>
      <c r="CN407" s="518" t="str">
        <f>IF(AND(_6="B-737-800",'2026'!$N$4="FO",'2026'!$N$2=CN385),'2026DATA'!$G$24,"")</f>
        <v/>
      </c>
      <c r="CO407" s="518" t="str">
        <f>IF(AND(_6="B-737-800",'2026'!$N$4="FO",'2026'!$N$2=CO385),'2026DATA'!$H$24,"")</f>
        <v/>
      </c>
      <c r="CP407" s="518" t="str">
        <f>IF(AND(_6="B-737-800",'2026'!$N$4="FO",'2026'!$N$2=CP385),'2026DATA'!$I$24,"")</f>
        <v/>
      </c>
      <c r="CQ407" s="518" t="str">
        <f>IF(AND(_6="B-737-800",'2026'!$N$4="FO",'2026'!$N$2=CQ385),'2026DATA'!$J$24,"")</f>
        <v/>
      </c>
      <c r="CR407" s="518" t="str">
        <f>IF(AND(_6="B-737-800",'2026'!$N$4="FO",'2026'!$N$2=CR385),'2026DATA'!$K$24,"")</f>
        <v/>
      </c>
      <c r="CS407" s="518" t="str">
        <f>IF(AND(_6="B-737-800",'2026'!$N$4="FO",'2026'!$N$2=CS385),'2026DATA'!$L$24,"")</f>
        <v/>
      </c>
      <c r="CT407" s="518" t="str">
        <f>IF(AND(_6="B-737-800",'2026'!$N$4="FO",'2026'!$N$2=CT385),'2026DATA'!$M$24,"")</f>
        <v/>
      </c>
      <c r="CU407" s="520" t="str">
        <f>IF(AND(_6="B-737-800",'2026'!$N$4="FO",'2026'!$N$2=CU385),'2026DATA'!$N$24,"")</f>
        <v/>
      </c>
    </row>
    <row r="408" spans="16:99" x14ac:dyDescent="0.25">
      <c r="P408" s="940" t="s">
        <v>46</v>
      </c>
      <c r="Q408" s="13" t="s">
        <v>61</v>
      </c>
      <c r="R408" s="518" t="str">
        <f>IF(AND(_1="A-321N",'2026'!$N$4="CA",'2026'!$N$2=R385),'2026DATA'!$C$25,"")</f>
        <v/>
      </c>
      <c r="S408" s="518" t="str">
        <f>IF(AND(_1="A-321N",'2026'!$N$4="CA",'2026'!$N$2=S385),'2026DATA'!$D$25,"")</f>
        <v/>
      </c>
      <c r="T408" s="518" t="str">
        <f>IF(AND(_1="A-321N",'2026'!$N$4="CA",'2026'!$N$2=T385),'2026DATA'!$E$25,"")</f>
        <v/>
      </c>
      <c r="U408" s="518" t="str">
        <f>IF(AND(_1="A-321N",'2026'!$N$4="CA",'2026'!$N$2=U385),'2026DATA'!$F$25,"")</f>
        <v/>
      </c>
      <c r="V408" s="518" t="str">
        <f>IF(AND(_1="A-321N",'2026'!$N$4="CA",'2026'!$N$2=V385),'2026DATA'!$G$25,"")</f>
        <v/>
      </c>
      <c r="W408" s="518" t="str">
        <f>IF(AND(_1="A-321N",'2026'!$N$4="CA",'2026'!$N$2=W385),'2026DATA'!$H$25,"")</f>
        <v/>
      </c>
      <c r="X408" s="518" t="str">
        <f>IF(AND(_1="A-321N",'2026'!$N$4="CA",'2026'!$N$2=X385),'2026DATA'!$I$25,"")</f>
        <v/>
      </c>
      <c r="Y408" s="518" t="str">
        <f>IF(AND(_1="A-321N",'2026'!$N$4="CA",'2026'!$N$2=Y385),'2026DATA'!$J$25,"")</f>
        <v/>
      </c>
      <c r="Z408" s="518" t="str">
        <f>IF(AND(_1="A-321N",'2026'!$N$4="CA",'2026'!$N$2=Z385),'2026DATA'!$K$25,"")</f>
        <v/>
      </c>
      <c r="AA408" s="518" t="str">
        <f>IF(AND(_1="A-321N",'2026'!$N$4="CA",'2026'!$N$2=AA385),'2026DATA'!$L$25,"")</f>
        <v/>
      </c>
      <c r="AB408" s="518" t="str">
        <f>IF(AND(_1="A-321N",'2026'!$N$4="CA",'2026'!$N$2=AB385),'2026DATA'!$M$25,"")</f>
        <v/>
      </c>
      <c r="AC408" s="520" t="str">
        <f>IF(AND(_1="A-321N",'2026'!$N$4="CA",'2026'!$N$2=AC385),'2026DATA'!$N$25,"")</f>
        <v/>
      </c>
      <c r="AD408" s="940" t="s">
        <v>46</v>
      </c>
      <c r="AE408" s="13" t="s">
        <v>61</v>
      </c>
      <c r="AF408" s="518" t="str">
        <f>IF(AND(_2="A-321N",'2026'!$N$4="CA",'2026'!$N$2=AF385),'2026DATA'!$C$25,"")</f>
        <v/>
      </c>
      <c r="AG408" s="518" t="str">
        <f>IF(AND(_2="A-321N",'2026'!$N$4="CA",'2026'!$N$2=AG385),'2026DATA'!$D$25,"")</f>
        <v/>
      </c>
      <c r="AH408" s="518" t="str">
        <f>IF(AND(_2="A-321N",'2026'!$N$4="CA",'2026'!$N$2=AH385),'2026DATA'!$E$25,"")</f>
        <v/>
      </c>
      <c r="AI408" s="518" t="str">
        <f>IF(AND(_2="A-321N",'2026'!$N$4="CA",'2026'!$N$2=AI385),'2026DATA'!$F$25,"")</f>
        <v/>
      </c>
      <c r="AJ408" s="518" t="str">
        <f>IF(AND(_2="A-321N",'2026'!$N$4="CA",'2026'!$N$2=AJ385),'2026DATA'!$G$25,"")</f>
        <v/>
      </c>
      <c r="AK408" s="518" t="str">
        <f>IF(AND(_2="A-321N",'2026'!$N$4="CA",'2026'!$N$2=AK385),'2026DATA'!$H$25,"")</f>
        <v/>
      </c>
      <c r="AL408" s="518" t="str">
        <f>IF(AND(_2="A-321N",'2026'!$N$4="CA",'2026'!$N$2=AL385),'2026DATA'!$I$25,"")</f>
        <v/>
      </c>
      <c r="AM408" s="518" t="str">
        <f>IF(AND(_2="A-321N",'2026'!$N$4="CA",'2026'!$N$2=AM385),'2026DATA'!$J$25,"")</f>
        <v/>
      </c>
      <c r="AN408" s="518" t="str">
        <f>IF(AND(_2="A-321N",'2026'!$N$4="CA",'2026'!$N$2=AN385),'2026DATA'!$K$25,"")</f>
        <v/>
      </c>
      <c r="AO408" s="518" t="str">
        <f>IF(AND(_2="A-321N",'2026'!$N$4="CA",'2026'!$N$2=AO385),'2026DATA'!$L$25,"")</f>
        <v/>
      </c>
      <c r="AP408" s="518" t="str">
        <f>IF(AND(_2="A-321N",'2026'!$N$4="CA",'2026'!$N$2=AP385),'2026DATA'!$M$25,"")</f>
        <v/>
      </c>
      <c r="AQ408" s="520" t="str">
        <f>IF(AND(_2="A-321N",'2026'!$N$4="CA",'2026'!$N$2=AQ385),'2026DATA'!$N$25,"")</f>
        <v/>
      </c>
      <c r="AR408" s="940" t="s">
        <v>46</v>
      </c>
      <c r="AS408" s="13" t="s">
        <v>61</v>
      </c>
      <c r="AT408" s="518" t="str">
        <f>IF(AND(_3="A-321N",'2026'!$N$4="CA",'2026'!$N$2=AT385),'2026DATA'!$C$25,"")</f>
        <v/>
      </c>
      <c r="AU408" s="518" t="str">
        <f>IF(AND(_3="A-321N",'2026'!$N$4="CA",'2026'!$N$2=AU385),'2026DATA'!$D$25,"")</f>
        <v/>
      </c>
      <c r="AV408" s="518" t="str">
        <f>IF(AND(_3="A-321N",'2026'!$N$4="CA",'2026'!$N$2=AV385),'2026DATA'!$E$25,"")</f>
        <v/>
      </c>
      <c r="AW408" s="518" t="str">
        <f>IF(AND(_3="A-321N",'2026'!$N$4="CA",'2026'!$N$2=AW385),'2026DATA'!$F$25,"")</f>
        <v/>
      </c>
      <c r="AX408" s="518" t="str">
        <f>IF(AND(_3="A-321N",'2026'!$N$4="CA",'2026'!$N$2=AX385),'2026DATA'!$G$25,"")</f>
        <v/>
      </c>
      <c r="AY408" s="518" t="str">
        <f>IF(AND(_3="A-321N",'2026'!$N$4="CA",'2026'!$N$2=AY385),'2026DATA'!$H$25,"")</f>
        <v/>
      </c>
      <c r="AZ408" s="518" t="str">
        <f>IF(AND(_3="A-321N",'2026'!$N$4="CA",'2026'!$N$2=AZ385),'2026DATA'!$I$25,"")</f>
        <v/>
      </c>
      <c r="BA408" s="518" t="str">
        <f>IF(AND(_3="A-321N",'2026'!$N$4="CA",'2026'!$N$2=BA385),'2026DATA'!$J$25,"")</f>
        <v/>
      </c>
      <c r="BB408" s="518" t="str">
        <f>IF(AND(_3="A-321N",'2026'!$N$4="CA",'2026'!$N$2=BB385),'2026DATA'!$K$25,"")</f>
        <v/>
      </c>
      <c r="BC408" s="518" t="str">
        <f>IF(AND(_3="A-321N",'2026'!$N$4="CA",'2026'!$N$2=BC385),'2026DATA'!$L$25,"")</f>
        <v/>
      </c>
      <c r="BD408" s="518" t="str">
        <f>IF(AND(_3="A-321N",'2026'!$N$4="CA",'2026'!$N$2=BD385),'2026DATA'!$M$25,"")</f>
        <v/>
      </c>
      <c r="BE408" s="520" t="str">
        <f>IF(AND(_3="A-321N",'2026'!$N$4="CA",'2026'!$N$2=BE385),'2026DATA'!$N$25,"")</f>
        <v/>
      </c>
      <c r="BF408" s="940" t="s">
        <v>46</v>
      </c>
      <c r="BG408" s="13" t="s">
        <v>61</v>
      </c>
      <c r="BH408" s="518" t="str">
        <f>IF(AND(_4="A-321N",'2026'!$N$4="CA",'2026'!$N$2=BH385),'2026DATA'!$C$25,"")</f>
        <v/>
      </c>
      <c r="BI408" s="518" t="str">
        <f>IF(AND(_4="A-321N",'2026'!$N$4="CA",'2026'!$N$2=BI385),'2026DATA'!$D$25,"")</f>
        <v/>
      </c>
      <c r="BJ408" s="518" t="str">
        <f>IF(AND(_4="A-321N",'2026'!$N$4="CA",'2026'!$N$2=BJ385),'2026DATA'!$E$25,"")</f>
        <v/>
      </c>
      <c r="BK408" s="518" t="str">
        <f>IF(AND(_4="A-321N",'2026'!$N$4="CA",'2026'!$N$2=BK385),'2026DATA'!$F$25,"")</f>
        <v/>
      </c>
      <c r="BL408" s="518" t="str">
        <f>IF(AND(_4="A-321N",'2026'!$N$4="CA",'2026'!$N$2=BL385),'2026DATA'!$G$25,"")</f>
        <v/>
      </c>
      <c r="BM408" s="518" t="str">
        <f>IF(AND(_4="A-321N",'2026'!$N$4="CA",'2026'!$N$2=BM385),'2026DATA'!$H$25,"")</f>
        <v/>
      </c>
      <c r="BN408" s="518" t="str">
        <f>IF(AND(_4="A-321N",'2026'!$N$4="CA",'2026'!$N$2=BN385),'2026DATA'!$I$25,"")</f>
        <v/>
      </c>
      <c r="BO408" s="518" t="str">
        <f>IF(AND(_4="A-321N",'2026'!$N$4="CA",'2026'!$N$2=BO385),'2026DATA'!$J$25,"")</f>
        <v/>
      </c>
      <c r="BP408" s="518" t="str">
        <f>IF(AND(_4="A-321N",'2026'!$N$4="CA",'2026'!$N$2=BP385),'2026DATA'!$K$25,"")</f>
        <v/>
      </c>
      <c r="BQ408" s="518" t="str">
        <f>IF(AND(_4="A-321N",'2026'!$N$4="CA",'2026'!$N$2=BQ385),'2026DATA'!$L$25,"")</f>
        <v/>
      </c>
      <c r="BR408" s="518" t="str">
        <f>IF(AND(_4="A-321N",'2026'!$N$4="CA",'2026'!$N$2=BR385),'2026DATA'!$M$25,"")</f>
        <v/>
      </c>
      <c r="BS408" s="520" t="str">
        <f>IF(AND(_4="A-321N",'2026'!$N$4="CA",'2026'!$N$2=BS385),'2026DATA'!$N$25,"")</f>
        <v/>
      </c>
      <c r="BT408" s="940" t="s">
        <v>46</v>
      </c>
      <c r="BU408" s="13" t="s">
        <v>61</v>
      </c>
      <c r="BV408" s="518" t="str">
        <f>IF(AND(_5="A-321N",'2026'!$N$4="CA",'2026'!$N$2=BV385),'2026DATA'!$C$25,"")</f>
        <v/>
      </c>
      <c r="BW408" s="518" t="str">
        <f>IF(AND(_5="A-321N",'2026'!$N$4="CA",'2026'!$N$2=BW385),'2026DATA'!$D$25,"")</f>
        <v/>
      </c>
      <c r="BX408" s="518" t="str">
        <f>IF(AND(_5="A-321N",'2026'!$N$4="CA",'2026'!$N$2=BX385),'2026DATA'!$E$25,"")</f>
        <v/>
      </c>
      <c r="BY408" s="518" t="str">
        <f>IF(AND(_5="A-321N",'2026'!$N$4="CA",'2026'!$N$2=BY385),'2026DATA'!$F$25,"")</f>
        <v/>
      </c>
      <c r="BZ408" s="518" t="str">
        <f>IF(AND(_5="A-321N",'2026'!$N$4="CA",'2026'!$N$2=BZ385),'2026DATA'!$G$25,"")</f>
        <v/>
      </c>
      <c r="CA408" s="518" t="str">
        <f>IF(AND(_5="A-321N",'2026'!$N$4="CA",'2026'!$N$2=CA385),'2026DATA'!$H$25,"")</f>
        <v/>
      </c>
      <c r="CB408" s="518" t="str">
        <f>IF(AND(_5="A-321N",'2026'!$N$4="CA",'2026'!$N$2=CB385),'2026DATA'!$I$25,"")</f>
        <v/>
      </c>
      <c r="CC408" s="518" t="str">
        <f>IF(AND(_5="A-321N",'2026'!$N$4="CA",'2026'!$N$2=CC385),'2026DATA'!$J$25,"")</f>
        <v/>
      </c>
      <c r="CD408" s="518" t="str">
        <f>IF(AND(_5="A-321N",'2026'!$N$4="CA",'2026'!$N$2=CD385),'2026DATA'!$K$25,"")</f>
        <v/>
      </c>
      <c r="CE408" s="518" t="str">
        <f>IF(AND(_5="A-321N",'2026'!$N$4="CA",'2026'!$N$2=CE385),'2026DATA'!$L$25,"")</f>
        <v/>
      </c>
      <c r="CF408" s="518" t="str">
        <f>IF(AND(_5="A-321N",'2026'!$N$4="CA",'2026'!$N$2=CF385),'2026DATA'!$M$25,"")</f>
        <v/>
      </c>
      <c r="CG408" s="520" t="str">
        <f>IF(AND(_5="A-321N",'2026'!$N$4="CA",'2026'!$N$2=CG385),'2026DATA'!$N$25,"")</f>
        <v/>
      </c>
      <c r="CH408" s="940" t="s">
        <v>46</v>
      </c>
      <c r="CI408" s="13" t="s">
        <v>61</v>
      </c>
      <c r="CJ408" s="518" t="str">
        <f>IF(AND(_6="A-321N",'2026'!$N$4="CA",'2026'!$N$2=CJ385),'2026DATA'!$C$25,"")</f>
        <v/>
      </c>
      <c r="CK408" s="518" t="str">
        <f>IF(AND(_6="A-321N",'2026'!$N$4="CA",'2026'!$N$2=CK385),'2026DATA'!$D$25,"")</f>
        <v/>
      </c>
      <c r="CL408" s="518" t="str">
        <f>IF(AND(_6="A-321N",'2026'!$N$4="CA",'2026'!$N$2=CL385),'2026DATA'!$E$25,"")</f>
        <v/>
      </c>
      <c r="CM408" s="518" t="str">
        <f>IF(AND(_6="A-321N",'2026'!$N$4="CA",'2026'!$N$2=CM385),'2026DATA'!$F$25,"")</f>
        <v/>
      </c>
      <c r="CN408" s="518" t="str">
        <f>IF(AND(_6="A-321N",'2026'!$N$4="CA",'2026'!$N$2=CN385),'2026DATA'!$G$25,"")</f>
        <v/>
      </c>
      <c r="CO408" s="518" t="str">
        <f>IF(AND(_6="A-321N",'2026'!$N$4="CA",'2026'!$N$2=CO385),'2026DATA'!$H$25,"")</f>
        <v/>
      </c>
      <c r="CP408" s="518" t="str">
        <f>IF(AND(_6="A-321N",'2026'!$N$4="CA",'2026'!$N$2=CP385),'2026DATA'!$I$25,"")</f>
        <v/>
      </c>
      <c r="CQ408" s="518" t="str">
        <f>IF(AND(_6="A-321N",'2026'!$N$4="CA",'2026'!$N$2=CQ385),'2026DATA'!$J$25,"")</f>
        <v/>
      </c>
      <c r="CR408" s="518" t="str">
        <f>IF(AND(_6="A-321N",'2026'!$N$4="CA",'2026'!$N$2=CR385),'2026DATA'!$K$25,"")</f>
        <v/>
      </c>
      <c r="CS408" s="518" t="str">
        <f>IF(AND(_6="A-321N",'2026'!$N$4="CA",'2026'!$N$2=CS385),'2026DATA'!$L$25,"")</f>
        <v/>
      </c>
      <c r="CT408" s="518" t="str">
        <f>IF(AND(_6="A-321N",'2026'!$N$4="CA",'2026'!$N$2=CT385),'2026DATA'!$M$25,"")</f>
        <v/>
      </c>
      <c r="CU408" s="520" t="str">
        <f>IF(AND(_6="A-321N",'2026'!$N$4="CA",'2026'!$N$2=CU385),'2026DATA'!$N$25,"")</f>
        <v/>
      </c>
    </row>
    <row r="409" spans="16:99" x14ac:dyDescent="0.25">
      <c r="P409" s="940"/>
      <c r="Q409" s="13" t="s">
        <v>62</v>
      </c>
      <c r="R409" s="518" t="str">
        <f>IF(AND(_1="A-321N",'2026'!$N$4="FO",'2026'!$N$2=R385),'2026DATA'!$C$26,"")</f>
        <v/>
      </c>
      <c r="S409" s="518" t="str">
        <f>IF(AND(_1="A-321N",'2026'!$N$4="FO",'2026'!$N$2=S385),'2026DATA'!$D$26,"")</f>
        <v/>
      </c>
      <c r="T409" s="518" t="str">
        <f>IF(AND(_1="A-321N",'2026'!$N$4="FO",'2026'!$N$2=T385),'2026DATA'!$E$26,"")</f>
        <v/>
      </c>
      <c r="U409" s="518" t="str">
        <f>IF(AND(_1="A-321N",'2026'!$N$4="FO",'2026'!$N$2=U385),'2026DATA'!$F$26,"")</f>
        <v/>
      </c>
      <c r="V409" s="518" t="str">
        <f>IF(AND(_1="A-321N",'2026'!$N$4="FO",'2026'!$N$2=V385),'2026DATA'!$G$26,"")</f>
        <v/>
      </c>
      <c r="W409" s="518" t="str">
        <f>IF(AND(_1="A-321N",'2026'!$N$4="FO",'2026'!$N$2=W385),'2026DATA'!$H$26,"")</f>
        <v/>
      </c>
      <c r="X409" s="518" t="str">
        <f>IF(AND(_1="A-321N",'2026'!$N$4="FO",'2026'!$N$2=X385),'2026DATA'!$I$26,"")</f>
        <v/>
      </c>
      <c r="Y409" s="518" t="str">
        <f>IF(AND(_1="A-321N",'2026'!$N$4="FO",'2026'!$N$2=Y385),'2026DATA'!$J$26,"")</f>
        <v/>
      </c>
      <c r="Z409" s="518" t="str">
        <f>IF(AND(_1="A-321N",'2026'!$N$4="FO",'2026'!$N$2=Z385),'2026DATA'!$K$26,"")</f>
        <v/>
      </c>
      <c r="AA409" s="518" t="str">
        <f>IF(AND(_1="A-321N",'2026'!$N$4="FO",'2026'!$N$2=AA385),'2026DATA'!$L$26,"")</f>
        <v/>
      </c>
      <c r="AB409" s="518" t="str">
        <f>IF(AND(_1="A-321N",'2026'!$N$4="FO",'2026'!$N$2=AB385),'2026DATA'!$M$26,"")</f>
        <v/>
      </c>
      <c r="AC409" s="520" t="str">
        <f>IF(AND(_1="A-321N",'2026'!$N$4="FO",'2026'!$N$2=AC385),'2026DATA'!$N$26,"")</f>
        <v/>
      </c>
      <c r="AD409" s="940"/>
      <c r="AE409" s="13" t="s">
        <v>62</v>
      </c>
      <c r="AF409" s="518" t="str">
        <f>IF(AND(_2="A-321N",'2026'!$N$4="FO",'2026'!$N$2=AF385),'2026DATA'!$C$26,"")</f>
        <v/>
      </c>
      <c r="AG409" s="518" t="str">
        <f>IF(AND(_2="A-321N",'2026'!$N$4="FO",'2026'!$N$2=AG385),'2026DATA'!$D$26,"")</f>
        <v/>
      </c>
      <c r="AH409" s="518" t="str">
        <f>IF(AND(_2="A-321N",'2026'!$N$4="FO",'2026'!$N$2=AH385),'2026DATA'!$E$26,"")</f>
        <v/>
      </c>
      <c r="AI409" s="518" t="str">
        <f>IF(AND(_2="A-321N",'2026'!$N$4="FO",'2026'!$N$2=AI385),'2026DATA'!$F$26,"")</f>
        <v/>
      </c>
      <c r="AJ409" s="518" t="str">
        <f>IF(AND(_2="A-321N",'2026'!$N$4="FO",'2026'!$N$2=AJ385),'2026DATA'!$G$26,"")</f>
        <v/>
      </c>
      <c r="AK409" s="518" t="str">
        <f>IF(AND(_2="A-321N",'2026'!$N$4="FO",'2026'!$N$2=AK385),'2026DATA'!$H$26,"")</f>
        <v/>
      </c>
      <c r="AL409" s="518" t="str">
        <f>IF(AND(_2="A-321N",'2026'!$N$4="FO",'2026'!$N$2=AL385),'2026DATA'!$I$26,"")</f>
        <v/>
      </c>
      <c r="AM409" s="518" t="str">
        <f>IF(AND(_2="A-321N",'2026'!$N$4="FO",'2026'!$N$2=AM385),'2026DATA'!$J$26,"")</f>
        <v/>
      </c>
      <c r="AN409" s="518" t="str">
        <f>IF(AND(_2="A-321N",'2026'!$N$4="FO",'2026'!$N$2=AN385),'2026DATA'!$K$26,"")</f>
        <v/>
      </c>
      <c r="AO409" s="518" t="str">
        <f>IF(AND(_2="A-321N",'2026'!$N$4="FO",'2026'!$N$2=AO385),'2026DATA'!$L$26,"")</f>
        <v/>
      </c>
      <c r="AP409" s="518" t="str">
        <f>IF(AND(_2="A-321N",'2026'!$N$4="FO",'2026'!$N$2=AP385),'2026DATA'!$M$26,"")</f>
        <v/>
      </c>
      <c r="AQ409" s="520" t="str">
        <f>IF(AND(_2="A-321N",'2026'!$N$4="FO",'2026'!$N$2=AQ385),'2026DATA'!$N$26,"")</f>
        <v/>
      </c>
      <c r="AR409" s="940"/>
      <c r="AS409" s="13" t="s">
        <v>62</v>
      </c>
      <c r="AT409" s="518" t="str">
        <f>IF(AND(_3="A-321N",'2026'!$N$4="FO",'2026'!$N$2=AT385),'2026DATA'!$C$26,"")</f>
        <v/>
      </c>
      <c r="AU409" s="518" t="str">
        <f>IF(AND(_3="A-321N",'2026'!$N$4="FO",'2026'!$N$2=AU385),'2026DATA'!$D$26,"")</f>
        <v/>
      </c>
      <c r="AV409" s="518" t="str">
        <f>IF(AND(_3="A-321N",'2026'!$N$4="FO",'2026'!$N$2=AV385),'2026DATA'!$E$26,"")</f>
        <v/>
      </c>
      <c r="AW409" s="518" t="str">
        <f>IF(AND(_3="A-321N",'2026'!$N$4="FO",'2026'!$N$2=AW385),'2026DATA'!$F$26,"")</f>
        <v/>
      </c>
      <c r="AX409" s="518" t="str">
        <f>IF(AND(_3="A-321N",'2026'!$N$4="FO",'2026'!$N$2=AX385),'2026DATA'!$G$26,"")</f>
        <v/>
      </c>
      <c r="AY409" s="518" t="str">
        <f>IF(AND(_3="A-321N",'2026'!$N$4="FO",'2026'!$N$2=AY385),'2026DATA'!$H$26,"")</f>
        <v/>
      </c>
      <c r="AZ409" s="518" t="str">
        <f>IF(AND(_3="A-321N",'2026'!$N$4="FO",'2026'!$N$2=AZ385),'2026DATA'!$I$26,"")</f>
        <v/>
      </c>
      <c r="BA409" s="518" t="str">
        <f>IF(AND(_3="A-321N",'2026'!$N$4="FO",'2026'!$N$2=BA385),'2026DATA'!$J$26,"")</f>
        <v/>
      </c>
      <c r="BB409" s="518" t="str">
        <f>IF(AND(_3="A-321N",'2026'!$N$4="FO",'2026'!$N$2=BB385),'2026DATA'!$K$26,"")</f>
        <v/>
      </c>
      <c r="BC409" s="518" t="str">
        <f>IF(AND(_3="A-321N",'2026'!$N$4="FO",'2026'!$N$2=BC385),'2026DATA'!$L$26,"")</f>
        <v/>
      </c>
      <c r="BD409" s="518" t="str">
        <f>IF(AND(_3="A-321N",'2026'!$N$4="FO",'2026'!$N$2=BD385),'2026DATA'!$M$26,"")</f>
        <v/>
      </c>
      <c r="BE409" s="520" t="str">
        <f>IF(AND(_3="A-321N",'2026'!$N$4="FO",'2026'!$N$2=BE385),'2026DATA'!$N$26,"")</f>
        <v/>
      </c>
      <c r="BF409" s="940"/>
      <c r="BG409" s="13" t="s">
        <v>62</v>
      </c>
      <c r="BH409" s="518" t="str">
        <f>IF(AND(_4="A-321N",'2026'!$N$4="FO",'2026'!$N$2=BH385),'2026DATA'!$C$26,"")</f>
        <v/>
      </c>
      <c r="BI409" s="518" t="str">
        <f>IF(AND(_4="A-321N",'2026'!$N$4="FO",'2026'!$N$2=BI385),'2026DATA'!$D$26,"")</f>
        <v/>
      </c>
      <c r="BJ409" s="518" t="str">
        <f>IF(AND(_4="A-321N",'2026'!$N$4="FO",'2026'!$N$2=BJ385),'2026DATA'!$E$26,"")</f>
        <v/>
      </c>
      <c r="BK409" s="518" t="str">
        <f>IF(AND(_4="A-321N",'2026'!$N$4="FO",'2026'!$N$2=BK385),'2026DATA'!$F$26,"")</f>
        <v/>
      </c>
      <c r="BL409" s="518" t="str">
        <f>IF(AND(_4="A-321N",'2026'!$N$4="FO",'2026'!$N$2=BL385),'2026DATA'!$G$26,"")</f>
        <v/>
      </c>
      <c r="BM409" s="518" t="str">
        <f>IF(AND(_4="A-321N",'2026'!$N$4="FO",'2026'!$N$2=BM385),'2026DATA'!$H$26,"")</f>
        <v/>
      </c>
      <c r="BN409" s="518" t="str">
        <f>IF(AND(_4="A-321N",'2026'!$N$4="FO",'2026'!$N$2=BN385),'2026DATA'!$I$26,"")</f>
        <v/>
      </c>
      <c r="BO409" s="518" t="str">
        <f>IF(AND(_4="A-321N",'2026'!$N$4="FO",'2026'!$N$2=BO385),'2026DATA'!$J$26,"")</f>
        <v/>
      </c>
      <c r="BP409" s="518" t="str">
        <f>IF(AND(_4="A-321N",'2026'!$N$4="FO",'2026'!$N$2=BP385),'2026DATA'!$K$26,"")</f>
        <v/>
      </c>
      <c r="BQ409" s="518" t="str">
        <f>IF(AND(_4="A-321N",'2026'!$N$4="FO",'2026'!$N$2=BQ385),'2026DATA'!$L$26,"")</f>
        <v/>
      </c>
      <c r="BR409" s="518" t="str">
        <f>IF(AND(_4="A-321N",'2026'!$N$4="FO",'2026'!$N$2=BR385),'2026DATA'!$M$26,"")</f>
        <v/>
      </c>
      <c r="BS409" s="520" t="str">
        <f>IF(AND(_4="A-321N",'2026'!$N$4="FO",'2026'!$N$2=BS385),'2026DATA'!$N$26,"")</f>
        <v/>
      </c>
      <c r="BT409" s="940"/>
      <c r="BU409" s="13" t="s">
        <v>62</v>
      </c>
      <c r="BV409" s="518" t="str">
        <f>IF(AND(_5="A-321N",'2026'!$N$4="FO",'2026'!$N$2=BV385),'2026DATA'!$C$26,"")</f>
        <v/>
      </c>
      <c r="BW409" s="518" t="str">
        <f>IF(AND(_5="A-321N",'2026'!$N$4="FO",'2026'!$N$2=BW385),'2026DATA'!$D$26,"")</f>
        <v/>
      </c>
      <c r="BX409" s="518" t="str">
        <f>IF(AND(_5="A-321N",'2026'!$N$4="FO",'2026'!$N$2=BX385),'2026DATA'!$E$26,"")</f>
        <v/>
      </c>
      <c r="BY409" s="518" t="str">
        <f>IF(AND(_5="A-321N",'2026'!$N$4="FO",'2026'!$N$2=BY385),'2026DATA'!$F$26,"")</f>
        <v/>
      </c>
      <c r="BZ409" s="518" t="str">
        <f>IF(AND(_5="A-321N",'2026'!$N$4="FO",'2026'!$N$2=BZ385),'2026DATA'!$G$26,"")</f>
        <v/>
      </c>
      <c r="CA409" s="518" t="str">
        <f>IF(AND(_5="A-321N",'2026'!$N$4="FO",'2026'!$N$2=CA385),'2026DATA'!$H$26,"")</f>
        <v/>
      </c>
      <c r="CB409" s="518" t="str">
        <f>IF(AND(_5="A-321N",'2026'!$N$4="FO",'2026'!$N$2=CB385),'2026DATA'!$I$26,"")</f>
        <v/>
      </c>
      <c r="CC409" s="518" t="str">
        <f>IF(AND(_5="A-321N",'2026'!$N$4="FO",'2026'!$N$2=CC385),'2026DATA'!$J$26,"")</f>
        <v/>
      </c>
      <c r="CD409" s="518" t="str">
        <f>IF(AND(_5="A-321N",'2026'!$N$4="FO",'2026'!$N$2=CD385),'2026DATA'!$K$26,"")</f>
        <v/>
      </c>
      <c r="CE409" s="518" t="str">
        <f>IF(AND(_5="A-321N",'2026'!$N$4="FO",'2026'!$N$2=CE385),'2026DATA'!$L$26,"")</f>
        <v/>
      </c>
      <c r="CF409" s="518" t="str">
        <f>IF(AND(_5="A-321N",'2026'!$N$4="FO",'2026'!$N$2=CF385),'2026DATA'!$M$26,"")</f>
        <v/>
      </c>
      <c r="CG409" s="520" t="str">
        <f>IF(AND(_5="A-321N",'2026'!$N$4="FO",'2026'!$N$2=CG385),'2026DATA'!$N$26,"")</f>
        <v/>
      </c>
      <c r="CH409" s="940"/>
      <c r="CI409" s="13" t="s">
        <v>62</v>
      </c>
      <c r="CJ409" s="518" t="str">
        <f>IF(AND(_6="A-321N",'2026'!$N$4="FO",'2026'!$N$2=CJ385),'2026DATA'!$C$26,"")</f>
        <v/>
      </c>
      <c r="CK409" s="518" t="str">
        <f>IF(AND(_6="A-321N",'2026'!$N$4="FO",'2026'!$N$2=CK385),'2026DATA'!$D$26,"")</f>
        <v/>
      </c>
      <c r="CL409" s="518" t="str">
        <f>IF(AND(_6="A-321N",'2026'!$N$4="FO",'2026'!$N$2=CL385),'2026DATA'!$E$26,"")</f>
        <v/>
      </c>
      <c r="CM409" s="518" t="str">
        <f>IF(AND(_6="A-321N",'2026'!$N$4="FO",'2026'!$N$2=CM385),'2026DATA'!$F$26,"")</f>
        <v/>
      </c>
      <c r="CN409" s="518" t="str">
        <f>IF(AND(_6="A-321N",'2026'!$N$4="FO",'2026'!$N$2=CN385),'2026DATA'!$G$26,"")</f>
        <v/>
      </c>
      <c r="CO409" s="518" t="str">
        <f>IF(AND(_6="A-321N",'2026'!$N$4="FO",'2026'!$N$2=CO385),'2026DATA'!$H$26,"")</f>
        <v/>
      </c>
      <c r="CP409" s="518" t="str">
        <f>IF(AND(_6="A-321N",'2026'!$N$4="FO",'2026'!$N$2=CP385),'2026DATA'!$I$26,"")</f>
        <v/>
      </c>
      <c r="CQ409" s="518" t="str">
        <f>IF(AND(_6="A-321N",'2026'!$N$4="FO",'2026'!$N$2=CQ385),'2026DATA'!$J$26,"")</f>
        <v/>
      </c>
      <c r="CR409" s="518" t="str">
        <f>IF(AND(_6="A-321N",'2026'!$N$4="FO",'2026'!$N$2=CR385),'2026DATA'!$K$26,"")</f>
        <v/>
      </c>
      <c r="CS409" s="518" t="str">
        <f>IF(AND(_6="A-321N",'2026'!$N$4="FO",'2026'!$N$2=CS385),'2026DATA'!$L$26,"")</f>
        <v/>
      </c>
      <c r="CT409" s="518" t="str">
        <f>IF(AND(_6="A-321N",'2026'!$N$4="FO",'2026'!$N$2=CT385),'2026DATA'!$M$26,"")</f>
        <v/>
      </c>
      <c r="CU409" s="520" t="str">
        <f>IF(AND(_6="A-321N",'2026'!$N$4="FO",'2026'!$N$2=CU385),'2026DATA'!$N$26,"")</f>
        <v/>
      </c>
    </row>
    <row r="410" spans="16:99" x14ac:dyDescent="0.25">
      <c r="P410" s="940" t="s">
        <v>48</v>
      </c>
      <c r="Q410" s="13" t="s">
        <v>61</v>
      </c>
      <c r="R410" s="518" t="str">
        <f>IF(AND(_1="A-321",'2026'!$N$4="CA",'2026'!$N$2=R385),'2026DATA'!$C$27,"")</f>
        <v/>
      </c>
      <c r="S410" s="518" t="str">
        <f>IF(AND(_1="A-321",'2026'!$N$4="CA",'2026'!$N$2=S385),'2026DATA'!$D$27,"")</f>
        <v/>
      </c>
      <c r="T410" s="518" t="str">
        <f>IF(AND(_1="A-321",'2026'!$N$4="CA",'2026'!$N$2=T385),'2026DATA'!$E$27,"")</f>
        <v/>
      </c>
      <c r="U410" s="518" t="str">
        <f>IF(AND(_1="A-321",'2026'!$N$4="CA",'2026'!$N$2=U385),'2026DATA'!$F$27,"")</f>
        <v/>
      </c>
      <c r="V410" s="518" t="str">
        <f>IF(AND(_1="A-321",'2026'!$N$4="CA",'2026'!$N$2=V385),'2026DATA'!$G$27,"")</f>
        <v/>
      </c>
      <c r="W410" s="518" t="str">
        <f>IF(AND(_1="A-321",'2026'!$N$4="CA",'2026'!$N$2=W385),'2026DATA'!$H$27,"")</f>
        <v/>
      </c>
      <c r="X410" s="518" t="str">
        <f>IF(AND(_1="A-321",'2026'!$N$4="CA",'2026'!$N$2=X385),'2026DATA'!$I$27,"")</f>
        <v/>
      </c>
      <c r="Y410" s="518" t="str">
        <f>IF(AND(_1="A-321",'2026'!$N$4="CA",'2026'!$N$2=Y385),'2026DATA'!$J$27,"")</f>
        <v/>
      </c>
      <c r="Z410" s="518" t="str">
        <f>IF(AND(_1="A-321",'2026'!$N$4="CA",'2026'!$N$2=Z385),'2026DATA'!$K$27,"")</f>
        <v/>
      </c>
      <c r="AA410" s="518" t="str">
        <f>IF(AND(_1="A-321",'2026'!$N$4="CA",'2026'!$N$2=AA385),'2026DATA'!$L$27,"")</f>
        <v/>
      </c>
      <c r="AB410" s="518" t="str">
        <f>IF(AND(_1="A-321",'2026'!$N$4="CA",'2026'!$N$2=AB385),'2026DATA'!$M$27,"")</f>
        <v/>
      </c>
      <c r="AC410" s="520" t="str">
        <f>IF(AND(_1="A-321",'2026'!$N$4="CA",'2026'!$N$2=AC385),'2026DATA'!$N$27,"")</f>
        <v/>
      </c>
      <c r="AD410" s="940" t="s">
        <v>48</v>
      </c>
      <c r="AE410" s="13" t="s">
        <v>61</v>
      </c>
      <c r="AF410" s="518" t="str">
        <f>IF(AND(_2="A-321",'2026'!$N$4="CA",'2026'!$N$2=AF385),'2026DATA'!$C$27,"")</f>
        <v/>
      </c>
      <c r="AG410" s="518" t="str">
        <f>IF(AND(_2="A-321",'2026'!$N$4="CA",'2026'!$N$2=AG385),'2026DATA'!$D$27,"")</f>
        <v/>
      </c>
      <c r="AH410" s="518" t="str">
        <f>IF(AND(_2="A-321",'2026'!$N$4="CA",'2026'!$N$2=AH385),'2026DATA'!$E$27,"")</f>
        <v/>
      </c>
      <c r="AI410" s="518" t="str">
        <f>IF(AND(_2="A-321",'2026'!$N$4="CA",'2026'!$N$2=AI385),'2026DATA'!$F$27,"")</f>
        <v/>
      </c>
      <c r="AJ410" s="518" t="str">
        <f>IF(AND(_2="A-321",'2026'!$N$4="CA",'2026'!$N$2=AJ385),'2026DATA'!$G$27,"")</f>
        <v/>
      </c>
      <c r="AK410" s="518" t="str">
        <f>IF(AND(_2="A-321",'2026'!$N$4="CA",'2026'!$N$2=AK385),'2026DATA'!$H$27,"")</f>
        <v/>
      </c>
      <c r="AL410" s="518" t="str">
        <f>IF(AND(_2="A-321",'2026'!$N$4="CA",'2026'!$N$2=AL385),'2026DATA'!$I$27,"")</f>
        <v/>
      </c>
      <c r="AM410" s="518" t="str">
        <f>IF(AND(_2="A-321",'2026'!$N$4="CA",'2026'!$N$2=AM385),'2026DATA'!$J$27,"")</f>
        <v/>
      </c>
      <c r="AN410" s="518" t="str">
        <f>IF(AND(_2="A-321",'2026'!$N$4="CA",'2026'!$N$2=AN385),'2026DATA'!$K$27,"")</f>
        <v/>
      </c>
      <c r="AO410" s="518" t="str">
        <f>IF(AND(_2="A-321",'2026'!$N$4="CA",'2026'!$N$2=AO385),'2026DATA'!$L$27,"")</f>
        <v/>
      </c>
      <c r="AP410" s="518" t="str">
        <f>IF(AND(_2="A-321",'2026'!$N$4="CA",'2026'!$N$2=AP385),'2026DATA'!$M$27,"")</f>
        <v/>
      </c>
      <c r="AQ410" s="520" t="str">
        <f>IF(AND(_2="A-321",'2026'!$N$4="CA",'2026'!$N$2=AQ385),'2026DATA'!$N$27,"")</f>
        <v/>
      </c>
      <c r="AR410" s="940" t="s">
        <v>48</v>
      </c>
      <c r="AS410" s="13" t="s">
        <v>61</v>
      </c>
      <c r="AT410" s="518" t="str">
        <f>IF(AND(_3="A-321",'2026'!$N$4="CA",'2026'!$N$2=AT385),'2026DATA'!$C$27,"")</f>
        <v/>
      </c>
      <c r="AU410" s="518" t="str">
        <f>IF(AND(_3="A-321",'2026'!$N$4="CA",'2026'!$N$2=AU385),'2026DATA'!$D$27,"")</f>
        <v/>
      </c>
      <c r="AV410" s="518" t="str">
        <f>IF(AND(_3="A-321",'2026'!$N$4="CA",'2026'!$N$2=AV385),'2026DATA'!$E$27,"")</f>
        <v/>
      </c>
      <c r="AW410" s="518" t="str">
        <f>IF(AND(_3="A-321",'2026'!$N$4="CA",'2026'!$N$2=AW385),'2026DATA'!$F$27,"")</f>
        <v/>
      </c>
      <c r="AX410" s="518" t="str">
        <f>IF(AND(_3="A-321",'2026'!$N$4="CA",'2026'!$N$2=AX385),'2026DATA'!$G$27,"")</f>
        <v/>
      </c>
      <c r="AY410" s="518" t="str">
        <f>IF(AND(_3="A-321",'2026'!$N$4="CA",'2026'!$N$2=AY385),'2026DATA'!$H$27,"")</f>
        <v/>
      </c>
      <c r="AZ410" s="518" t="str">
        <f>IF(AND(_3="A-321",'2026'!$N$4="CA",'2026'!$N$2=AZ385),'2026DATA'!$I$27,"")</f>
        <v/>
      </c>
      <c r="BA410" s="518" t="str">
        <f>IF(AND(_3="A-321",'2026'!$N$4="CA",'2026'!$N$2=BA385),'2026DATA'!$J$27,"")</f>
        <v/>
      </c>
      <c r="BB410" s="518" t="str">
        <f>IF(AND(_3="A-321",'2026'!$N$4="CA",'2026'!$N$2=BB385),'2026DATA'!$K$27,"")</f>
        <v/>
      </c>
      <c r="BC410" s="518" t="str">
        <f>IF(AND(_3="A-321",'2026'!$N$4="CA",'2026'!$N$2=BC385),'2026DATA'!$L$27,"")</f>
        <v/>
      </c>
      <c r="BD410" s="518" t="str">
        <f>IF(AND(_3="A-321",'2026'!$N$4="CA",'2026'!$N$2=BD385),'2026DATA'!$M$27,"")</f>
        <v/>
      </c>
      <c r="BE410" s="520" t="str">
        <f>IF(AND(_3="A-321",'2026'!$N$4="CA",'2026'!$N$2=BE385),'2026DATA'!$N$27,"")</f>
        <v/>
      </c>
      <c r="BF410" s="940" t="s">
        <v>48</v>
      </c>
      <c r="BG410" s="13" t="s">
        <v>61</v>
      </c>
      <c r="BH410" s="518" t="str">
        <f>IF(AND(_4="A-321",'2026'!$N$4="CA",'2026'!$N$2=BH385),'2026DATA'!$C$27,"")</f>
        <v/>
      </c>
      <c r="BI410" s="518" t="str">
        <f>IF(AND(_4="A-321",'2026'!$N$4="CA",'2026'!$N$2=BI385),'2026DATA'!$D$27,"")</f>
        <v/>
      </c>
      <c r="BJ410" s="518" t="str">
        <f>IF(AND(_4="A-321",'2026'!$N$4="CA",'2026'!$N$2=BJ385),'2026DATA'!$E$27,"")</f>
        <v/>
      </c>
      <c r="BK410" s="518" t="str">
        <f>IF(AND(_4="A-321",'2026'!$N$4="CA",'2026'!$N$2=BK385),'2026DATA'!$F$27,"")</f>
        <v/>
      </c>
      <c r="BL410" s="518" t="str">
        <f>IF(AND(_4="A-321",'2026'!$N$4="CA",'2026'!$N$2=BL385),'2026DATA'!$G$27,"")</f>
        <v/>
      </c>
      <c r="BM410" s="518" t="str">
        <f>IF(AND(_4="A-321",'2026'!$N$4="CA",'2026'!$N$2=BM385),'2026DATA'!$H$27,"")</f>
        <v/>
      </c>
      <c r="BN410" s="518" t="str">
        <f>IF(AND(_4="A-321",'2026'!$N$4="CA",'2026'!$N$2=BN385),'2026DATA'!$I$27,"")</f>
        <v/>
      </c>
      <c r="BO410" s="518" t="str">
        <f>IF(AND(_4="A-321",'2026'!$N$4="CA",'2026'!$N$2=BO385),'2026DATA'!$J$27,"")</f>
        <v/>
      </c>
      <c r="BP410" s="518" t="str">
        <f>IF(AND(_4="A-321",'2026'!$N$4="CA",'2026'!$N$2=BP385),'2026DATA'!$K$27,"")</f>
        <v/>
      </c>
      <c r="BQ410" s="518" t="str">
        <f>IF(AND(_4="A-321",'2026'!$N$4="CA",'2026'!$N$2=BQ385),'2026DATA'!$L$27,"")</f>
        <v/>
      </c>
      <c r="BR410" s="518" t="str">
        <f>IF(AND(_4="A-321",'2026'!$N$4="CA",'2026'!$N$2=BR385),'2026DATA'!$M$27,"")</f>
        <v/>
      </c>
      <c r="BS410" s="520" t="str">
        <f>IF(AND(_4="A-321",'2026'!$N$4="CA",'2026'!$N$2=BS385),'2026DATA'!$N$27,"")</f>
        <v/>
      </c>
      <c r="BT410" s="940" t="s">
        <v>48</v>
      </c>
      <c r="BU410" s="13" t="s">
        <v>61</v>
      </c>
      <c r="BV410" s="518" t="str">
        <f>IF(AND(_5="A-321",'2026'!$N$4="CA",'2026'!$N$2=BV385),'2026DATA'!$C$27,"")</f>
        <v/>
      </c>
      <c r="BW410" s="518" t="str">
        <f>IF(AND(_5="A-321",'2026'!$N$4="CA",'2026'!$N$2=BW385),'2026DATA'!$D$27,"")</f>
        <v/>
      </c>
      <c r="BX410" s="518" t="str">
        <f>IF(AND(_5="A-321",'2026'!$N$4="CA",'2026'!$N$2=BX385),'2026DATA'!$E$27,"")</f>
        <v/>
      </c>
      <c r="BY410" s="518" t="str">
        <f>IF(AND(_5="A-321",'2026'!$N$4="CA",'2026'!$N$2=BY385),'2026DATA'!$F$27,"")</f>
        <v/>
      </c>
      <c r="BZ410" s="518" t="str">
        <f>IF(AND(_5="A-321",'2026'!$N$4="CA",'2026'!$N$2=BZ385),'2026DATA'!$G$27,"")</f>
        <v/>
      </c>
      <c r="CA410" s="518" t="str">
        <f>IF(AND(_5="A-321",'2026'!$N$4="CA",'2026'!$N$2=CA385),'2026DATA'!$H$27,"")</f>
        <v/>
      </c>
      <c r="CB410" s="518" t="str">
        <f>IF(AND(_5="A-321",'2026'!$N$4="CA",'2026'!$N$2=CB385),'2026DATA'!$I$27,"")</f>
        <v/>
      </c>
      <c r="CC410" s="518" t="str">
        <f>IF(AND(_5="A-321",'2026'!$N$4="CA",'2026'!$N$2=CC385),'2026DATA'!$J$27,"")</f>
        <v/>
      </c>
      <c r="CD410" s="518" t="str">
        <f>IF(AND(_5="A-321",'2026'!$N$4="CA",'2026'!$N$2=CD385),'2026DATA'!$K$27,"")</f>
        <v/>
      </c>
      <c r="CE410" s="518" t="str">
        <f>IF(AND(_5="A-321",'2026'!$N$4="CA",'2026'!$N$2=CE385),'2026DATA'!$L$27,"")</f>
        <v/>
      </c>
      <c r="CF410" s="518" t="str">
        <f>IF(AND(_5="A-321",'2026'!$N$4="CA",'2026'!$N$2=CF385),'2026DATA'!$M$27,"")</f>
        <v/>
      </c>
      <c r="CG410" s="520" t="str">
        <f>IF(AND(_5="A-321",'2026'!$N$4="CA",'2026'!$N$2=CG385),'2026DATA'!$N$27,"")</f>
        <v/>
      </c>
      <c r="CH410" s="940" t="s">
        <v>48</v>
      </c>
      <c r="CI410" s="13" t="s">
        <v>61</v>
      </c>
      <c r="CJ410" s="518" t="str">
        <f>IF(AND(_6="A-321",'2026'!$N$4="CA",'2026'!$N$2=CJ385),'2026DATA'!$C$27,"")</f>
        <v/>
      </c>
      <c r="CK410" s="518" t="str">
        <f>IF(AND(_6="A-321",'2026'!$N$4="CA",'2026'!$N$2=CK385),'2026DATA'!$D$27,"")</f>
        <v/>
      </c>
      <c r="CL410" s="518" t="str">
        <f>IF(AND(_6="A-321",'2026'!$N$4="CA",'2026'!$N$2=CL385),'2026DATA'!$E$27,"")</f>
        <v/>
      </c>
      <c r="CM410" s="518" t="str">
        <f>IF(AND(_6="A-321",'2026'!$N$4="CA",'2026'!$N$2=CM385),'2026DATA'!$F$27,"")</f>
        <v/>
      </c>
      <c r="CN410" s="518" t="str">
        <f>IF(AND(_6="A-321",'2026'!$N$4="CA",'2026'!$N$2=CN385),'2026DATA'!$G$27,"")</f>
        <v/>
      </c>
      <c r="CO410" s="518" t="str">
        <f>IF(AND(_6="A-321",'2026'!$N$4="CA",'2026'!$N$2=CO385),'2026DATA'!$H$27,"")</f>
        <v/>
      </c>
      <c r="CP410" s="518" t="str">
        <f>IF(AND(_6="A-321",'2026'!$N$4="CA",'2026'!$N$2=CP385),'2026DATA'!$I$27,"")</f>
        <v/>
      </c>
      <c r="CQ410" s="518" t="str">
        <f>IF(AND(_6="A-321",'2026'!$N$4="CA",'2026'!$N$2=CQ385),'2026DATA'!$J$27,"")</f>
        <v/>
      </c>
      <c r="CR410" s="518" t="str">
        <f>IF(AND(_6="A-321",'2026'!$N$4="CA",'2026'!$N$2=CR385),'2026DATA'!$K$27,"")</f>
        <v/>
      </c>
      <c r="CS410" s="518" t="str">
        <f>IF(AND(_6="A-321",'2026'!$N$4="CA",'2026'!$N$2=CS385),'2026DATA'!$L$27,"")</f>
        <v/>
      </c>
      <c r="CT410" s="518" t="str">
        <f>IF(AND(_6="A-321",'2026'!$N$4="CA",'2026'!$N$2=CT385),'2026DATA'!$M$27,"")</f>
        <v/>
      </c>
      <c r="CU410" s="520" t="str">
        <f>IF(AND(_6="A-321",'2026'!$N$4="CA",'2026'!$N$2=CU385),'2026DATA'!$N$27,"")</f>
        <v/>
      </c>
    </row>
    <row r="411" spans="16:99" x14ac:dyDescent="0.25">
      <c r="P411" s="940"/>
      <c r="Q411" s="13" t="s">
        <v>62</v>
      </c>
      <c r="R411" s="518" t="str">
        <f>IF(AND(_1="A-321",'2026'!$N$4="FO",'2026'!$N$2=R385),'2026DATA'!$C$28,"")</f>
        <v/>
      </c>
      <c r="S411" s="518" t="str">
        <f>IF(AND(_1="A-321",'2026'!$N$4="FO",'2026'!$N$2=S385),'2026DATA'!$D$28,"")</f>
        <v/>
      </c>
      <c r="T411" s="518" t="str">
        <f>IF(AND(_1="A-321",'2026'!$N$4="FO",'2026'!$N$2=T385),'2026DATA'!$E$28,"")</f>
        <v/>
      </c>
      <c r="U411" s="518" t="str">
        <f>IF(AND(_1="A-321",'2026'!$N$4="FO",'2026'!$N$2=U385),'2026DATA'!$F$28,"")</f>
        <v/>
      </c>
      <c r="V411" s="518" t="str">
        <f>IF(AND(_1="A-321",'2026'!$N$4="FO",'2026'!$N$2=V385),'2026DATA'!$G$28,"")</f>
        <v/>
      </c>
      <c r="W411" s="518" t="str">
        <f>IF(AND(_1="A-321",'2026'!$N$4="FO",'2026'!$N$2=W385),'2026DATA'!$H$28,"")</f>
        <v/>
      </c>
      <c r="X411" s="518" t="str">
        <f>IF(AND(_1="A-321",'2026'!$N$4="FO",'2026'!$N$2=X385),'2026DATA'!$I$28,"")</f>
        <v/>
      </c>
      <c r="Y411" s="518" t="str">
        <f>IF(AND(_1="A-321",'2026'!$N$4="FO",'2026'!$N$2=Y385),'2026DATA'!$J$28,"")</f>
        <v/>
      </c>
      <c r="Z411" s="518" t="str">
        <f>IF(AND(_1="A-321",'2026'!$N$4="FO",'2026'!$N$2=Z385),'2026DATA'!$K$28,"")</f>
        <v/>
      </c>
      <c r="AA411" s="518" t="str">
        <f>IF(AND(_1="A-321",'2026'!$N$4="FO",'2026'!$N$2=AA385),'2026DATA'!$L$28,"")</f>
        <v/>
      </c>
      <c r="AB411" s="518" t="str">
        <f>IF(AND(_1="A-321",'2026'!$N$4="FO",'2026'!$N$2=AB385),'2026DATA'!$M$28,"")</f>
        <v/>
      </c>
      <c r="AC411" s="520" t="str">
        <f>IF(AND(_1="A-321",'2026'!$N$4="FO",'2026'!$N$2=AC385),'2026DATA'!$N$28,"")</f>
        <v/>
      </c>
      <c r="AD411" s="940"/>
      <c r="AE411" s="13" t="s">
        <v>62</v>
      </c>
      <c r="AF411" s="518" t="str">
        <f>IF(AND(_2="A-321",'2026'!$N$4="FO",'2026'!$N$2=AF385),'2026DATA'!$C$28,"")</f>
        <v/>
      </c>
      <c r="AG411" s="518" t="str">
        <f>IF(AND(_2="A-321",'2026'!$N$4="FO",'2026'!$N$2=AG385),'2026DATA'!$D$28,"")</f>
        <v/>
      </c>
      <c r="AH411" s="518" t="str">
        <f>IF(AND(_2="A-321",'2026'!$N$4="FO",'2026'!$N$2=AH385),'2026DATA'!$E$28,"")</f>
        <v/>
      </c>
      <c r="AI411" s="518" t="str">
        <f>IF(AND(_2="A-321",'2026'!$N$4="FO",'2026'!$N$2=AI385),'2026DATA'!$F$28,"")</f>
        <v/>
      </c>
      <c r="AJ411" s="518" t="str">
        <f>IF(AND(_2="A-321",'2026'!$N$4="FO",'2026'!$N$2=AJ385),'2026DATA'!$G$28,"")</f>
        <v/>
      </c>
      <c r="AK411" s="518" t="str">
        <f>IF(AND(_2="A-321",'2026'!$N$4="FO",'2026'!$N$2=AK385),'2026DATA'!$H$28,"")</f>
        <v/>
      </c>
      <c r="AL411" s="518" t="str">
        <f>IF(AND(_2="A-321",'2026'!$N$4="FO",'2026'!$N$2=AL385),'2026DATA'!$I$28,"")</f>
        <v/>
      </c>
      <c r="AM411" s="518" t="str">
        <f>IF(AND(_2="A-321",'2026'!$N$4="FO",'2026'!$N$2=AM385),'2026DATA'!$J$28,"")</f>
        <v/>
      </c>
      <c r="AN411" s="518" t="str">
        <f>IF(AND(_2="A-321",'2026'!$N$4="FO",'2026'!$N$2=AN385),'2026DATA'!$K$28,"")</f>
        <v/>
      </c>
      <c r="AO411" s="518" t="str">
        <f>IF(AND(_2="A-321",'2026'!$N$4="FO",'2026'!$N$2=AO385),'2026DATA'!$L$28,"")</f>
        <v/>
      </c>
      <c r="AP411" s="518" t="str">
        <f>IF(AND(_2="A-321",'2026'!$N$4="FO",'2026'!$N$2=AP385),'2026DATA'!$M$28,"")</f>
        <v/>
      </c>
      <c r="AQ411" s="520" t="str">
        <f>IF(AND(_2="A-321",'2026'!$N$4="FO",'2026'!$N$2=AQ385),'2026DATA'!$N$28,"")</f>
        <v/>
      </c>
      <c r="AR411" s="940"/>
      <c r="AS411" s="13" t="s">
        <v>62</v>
      </c>
      <c r="AT411" s="518" t="str">
        <f>IF(AND(_3="A-321",'2026'!$N$4="FO",'2026'!$N$2=AT385),'2026DATA'!$C$28,"")</f>
        <v/>
      </c>
      <c r="AU411" s="518" t="str">
        <f>IF(AND(_3="A-321",'2026'!$N$4="FO",'2026'!$N$2=AU385),'2026DATA'!$D$28,"")</f>
        <v/>
      </c>
      <c r="AV411" s="518" t="str">
        <f>IF(AND(_3="A-321",'2026'!$N$4="FO",'2026'!$N$2=AV385),'2026DATA'!$E$28,"")</f>
        <v/>
      </c>
      <c r="AW411" s="518" t="str">
        <f>IF(AND(_3="A-321",'2026'!$N$4="FO",'2026'!$N$2=AW385),'2026DATA'!$F$28,"")</f>
        <v/>
      </c>
      <c r="AX411" s="518" t="str">
        <f>IF(AND(_3="A-321",'2026'!$N$4="FO",'2026'!$N$2=AX385),'2026DATA'!$G$28,"")</f>
        <v/>
      </c>
      <c r="AY411" s="518" t="str">
        <f>IF(AND(_3="A-321",'2026'!$N$4="FO",'2026'!$N$2=AY385),'2026DATA'!$H$28,"")</f>
        <v/>
      </c>
      <c r="AZ411" s="518" t="str">
        <f>IF(AND(_3="A-321",'2026'!$N$4="FO",'2026'!$N$2=AZ385),'2026DATA'!$I$28,"")</f>
        <v/>
      </c>
      <c r="BA411" s="518" t="str">
        <f>IF(AND(_3="A-321",'2026'!$N$4="FO",'2026'!$N$2=BA385),'2026DATA'!$J$28,"")</f>
        <v/>
      </c>
      <c r="BB411" s="518" t="str">
        <f>IF(AND(_3="A-321",'2026'!$N$4="FO",'2026'!$N$2=BB385),'2026DATA'!$K$28,"")</f>
        <v/>
      </c>
      <c r="BC411" s="518" t="str">
        <f>IF(AND(_3="A-321",'2026'!$N$4="FO",'2026'!$N$2=BC385),'2026DATA'!$L$28,"")</f>
        <v/>
      </c>
      <c r="BD411" s="518" t="str">
        <f>IF(AND(_3="A-321",'2026'!$N$4="FO",'2026'!$N$2=BD385),'2026DATA'!$M$28,"")</f>
        <v/>
      </c>
      <c r="BE411" s="520" t="str">
        <f>IF(AND(_3="A-321",'2026'!$N$4="FO",'2026'!$N$2=BE385),'2026DATA'!$N$28,"")</f>
        <v/>
      </c>
      <c r="BF411" s="940"/>
      <c r="BG411" s="13" t="s">
        <v>62</v>
      </c>
      <c r="BH411" s="518" t="str">
        <f>IF(AND(_4="A-321",'2026'!$N$4="FO",'2026'!$N$2=BH385),'2026DATA'!$C$28,"")</f>
        <v/>
      </c>
      <c r="BI411" s="518" t="str">
        <f>IF(AND(_4="A-321",'2026'!$N$4="FO",'2026'!$N$2=BI385),'2026DATA'!$D$28,"")</f>
        <v/>
      </c>
      <c r="BJ411" s="518" t="str">
        <f>IF(AND(_4="A-321",'2026'!$N$4="FO",'2026'!$N$2=BJ385),'2026DATA'!$E$28,"")</f>
        <v/>
      </c>
      <c r="BK411" s="518" t="str">
        <f>IF(AND(_4="A-321",'2026'!$N$4="FO",'2026'!$N$2=BK385),'2026DATA'!$F$28,"")</f>
        <v/>
      </c>
      <c r="BL411" s="518" t="str">
        <f>IF(AND(_4="A-321",'2026'!$N$4="FO",'2026'!$N$2=BL385),'2026DATA'!$G$28,"")</f>
        <v/>
      </c>
      <c r="BM411" s="518" t="str">
        <f>IF(AND(_4="A-321",'2026'!$N$4="FO",'2026'!$N$2=BM385),'2026DATA'!$H$28,"")</f>
        <v/>
      </c>
      <c r="BN411" s="518" t="str">
        <f>IF(AND(_4="A-321",'2026'!$N$4="FO",'2026'!$N$2=BN385),'2026DATA'!$I$28,"")</f>
        <v/>
      </c>
      <c r="BO411" s="518" t="str">
        <f>IF(AND(_4="A-321",'2026'!$N$4="FO",'2026'!$N$2=BO385),'2026DATA'!$J$28,"")</f>
        <v/>
      </c>
      <c r="BP411" s="518" t="str">
        <f>IF(AND(_4="A-321",'2026'!$N$4="FO",'2026'!$N$2=BP385),'2026DATA'!$K$28,"")</f>
        <v/>
      </c>
      <c r="BQ411" s="518" t="str">
        <f>IF(AND(_4="A-321",'2026'!$N$4="FO",'2026'!$N$2=BQ385),'2026DATA'!$L$28,"")</f>
        <v/>
      </c>
      <c r="BR411" s="518" t="str">
        <f>IF(AND(_4="A-321",'2026'!$N$4="FO",'2026'!$N$2=BR385),'2026DATA'!$M$28,"")</f>
        <v/>
      </c>
      <c r="BS411" s="520" t="str">
        <f>IF(AND(_4="A-321",'2026'!$N$4="FO",'2026'!$N$2=BS385),'2026DATA'!$N$28,"")</f>
        <v/>
      </c>
      <c r="BT411" s="940"/>
      <c r="BU411" s="13" t="s">
        <v>62</v>
      </c>
      <c r="BV411" s="518" t="str">
        <f>IF(AND(_5="A-321",'2026'!$N$4="FO",'2026'!$N$2=BV385),'2026DATA'!$C$28,"")</f>
        <v/>
      </c>
      <c r="BW411" s="518" t="str">
        <f>IF(AND(_5="A-321",'2026'!$N$4="FO",'2026'!$N$2=BW385),'2026DATA'!$D$28,"")</f>
        <v/>
      </c>
      <c r="BX411" s="518" t="str">
        <f>IF(AND(_5="A-321",'2026'!$N$4="FO",'2026'!$N$2=BX385),'2026DATA'!$E$28,"")</f>
        <v/>
      </c>
      <c r="BY411" s="518" t="str">
        <f>IF(AND(_5="A-321",'2026'!$N$4="FO",'2026'!$N$2=BY385),'2026DATA'!$F$28,"")</f>
        <v/>
      </c>
      <c r="BZ411" s="518" t="str">
        <f>IF(AND(_5="A-321",'2026'!$N$4="FO",'2026'!$N$2=BZ385),'2026DATA'!$G$28,"")</f>
        <v/>
      </c>
      <c r="CA411" s="518" t="str">
        <f>IF(AND(_5="A-321",'2026'!$N$4="FO",'2026'!$N$2=CA385),'2026DATA'!$H$28,"")</f>
        <v/>
      </c>
      <c r="CB411" s="518" t="str">
        <f>IF(AND(_5="A-321",'2026'!$N$4="FO",'2026'!$N$2=CB385),'2026DATA'!$I$28,"")</f>
        <v/>
      </c>
      <c r="CC411" s="518" t="str">
        <f>IF(AND(_5="A-321",'2026'!$N$4="FO",'2026'!$N$2=CC385),'2026DATA'!$J$28,"")</f>
        <v/>
      </c>
      <c r="CD411" s="518" t="str">
        <f>IF(AND(_5="A-321",'2026'!$N$4="FO",'2026'!$N$2=CD385),'2026DATA'!$K$28,"")</f>
        <v/>
      </c>
      <c r="CE411" s="518" t="str">
        <f>IF(AND(_5="A-321",'2026'!$N$4="FO",'2026'!$N$2=CE385),'2026DATA'!$L$28,"")</f>
        <v/>
      </c>
      <c r="CF411" s="518" t="str">
        <f>IF(AND(_5="A-321",'2026'!$N$4="FO",'2026'!$N$2=CF385),'2026DATA'!$M$28,"")</f>
        <v/>
      </c>
      <c r="CG411" s="520" t="str">
        <f>IF(AND(_5="A-321",'2026'!$N$4="FO",'2026'!$N$2=CG385),'2026DATA'!$N$28,"")</f>
        <v/>
      </c>
      <c r="CH411" s="940"/>
      <c r="CI411" s="13" t="s">
        <v>62</v>
      </c>
      <c r="CJ411" s="518" t="str">
        <f>IF(AND(_6="A-321",'2026'!$N$4="FO",'2026'!$N$2=CJ385),'2026DATA'!$C$28,"")</f>
        <v/>
      </c>
      <c r="CK411" s="518" t="str">
        <f>IF(AND(_6="A-321",'2026'!$N$4="FO",'2026'!$N$2=CK385),'2026DATA'!$D$28,"")</f>
        <v/>
      </c>
      <c r="CL411" s="518" t="str">
        <f>IF(AND(_6="A-321",'2026'!$N$4="FO",'2026'!$N$2=CL385),'2026DATA'!$E$28,"")</f>
        <v/>
      </c>
      <c r="CM411" s="518" t="str">
        <f>IF(AND(_6="A-321",'2026'!$N$4="FO",'2026'!$N$2=CM385),'2026DATA'!$F$28,"")</f>
        <v/>
      </c>
      <c r="CN411" s="518" t="str">
        <f>IF(AND(_6="A-321",'2026'!$N$4="FO",'2026'!$N$2=CN385),'2026DATA'!$G$28,"")</f>
        <v/>
      </c>
      <c r="CO411" s="518" t="str">
        <f>IF(AND(_6="A-321",'2026'!$N$4="FO",'2026'!$N$2=CO385),'2026DATA'!$H$28,"")</f>
        <v/>
      </c>
      <c r="CP411" s="518" t="str">
        <f>IF(AND(_6="A-321",'2026'!$N$4="FO",'2026'!$N$2=CP385),'2026DATA'!$I$28,"")</f>
        <v/>
      </c>
      <c r="CQ411" s="518" t="str">
        <f>IF(AND(_6="A-321",'2026'!$N$4="FO",'2026'!$N$2=CQ385),'2026DATA'!$J$28,"")</f>
        <v/>
      </c>
      <c r="CR411" s="518" t="str">
        <f>IF(AND(_6="A-321",'2026'!$N$4="FO",'2026'!$N$2=CR385),'2026DATA'!$K$28,"")</f>
        <v/>
      </c>
      <c r="CS411" s="518" t="str">
        <f>IF(AND(_6="A-321",'2026'!$N$4="FO",'2026'!$N$2=CS385),'2026DATA'!$L$28,"")</f>
        <v/>
      </c>
      <c r="CT411" s="518" t="str">
        <f>IF(AND(_6="A-321",'2026'!$N$4="FO",'2026'!$N$2=CT385),'2026DATA'!$M$28,"")</f>
        <v/>
      </c>
      <c r="CU411" s="520" t="str">
        <f>IF(AND(_6="A-321",'2026'!$N$4="FO",'2026'!$N$2=CU385),'2026DATA'!$N$28,"")</f>
        <v/>
      </c>
    </row>
    <row r="412" spans="16:99" x14ac:dyDescent="0.25">
      <c r="P412" s="940" t="s">
        <v>70</v>
      </c>
      <c r="Q412" s="13" t="s">
        <v>61</v>
      </c>
      <c r="R412" s="518" t="str">
        <f>IF(AND(_1="A-320",'2026'!$N$4="CA",'2026'!$N$2=R385),'2026DATA'!$C$29,"")</f>
        <v/>
      </c>
      <c r="S412" s="518" t="str">
        <f>IF(AND(_1="A-320",'2026'!$N$4="CA",'2026'!$N$2=S385),'2026DATA'!$D$29,"")</f>
        <v/>
      </c>
      <c r="T412" s="518" t="str">
        <f>IF(AND(_1="A-320",'2026'!$N$4="CA",'2026'!$N$2=T385),'2026DATA'!$E$29,"")</f>
        <v/>
      </c>
      <c r="U412" s="518" t="str">
        <f>IF(AND(_1="A-320",'2026'!$N$4="CA",'2026'!$N$2=U385),'2026DATA'!$F$29,"")</f>
        <v/>
      </c>
      <c r="V412" s="518" t="str">
        <f>IF(AND(_1="A-320",'2026'!$N$4="CA",'2026'!$N$2=V385),'2026DATA'!$G$29,"")</f>
        <v/>
      </c>
      <c r="W412" s="518" t="str">
        <f>IF(AND(_1="A-320",'2026'!$N$4="CA",'2026'!$N$2=W385),'2026DATA'!$H$29,"")</f>
        <v/>
      </c>
      <c r="X412" s="518" t="str">
        <f>IF(AND(_1="A-320",'2026'!$N$4="CA",'2026'!$N$2=X385),'2026DATA'!$I$29,"")</f>
        <v/>
      </c>
      <c r="Y412" s="518" t="str">
        <f>IF(AND(_1="A-320",'2026'!$N$4="CA",'2026'!$N$2=Y385),'2026DATA'!$J$29,"")</f>
        <v/>
      </c>
      <c r="Z412" s="518" t="str">
        <f>IF(AND(_1="A-320",'2026'!$N$4="CA",'2026'!$N$2=Z385),'2026DATA'!$K$29,"")</f>
        <v/>
      </c>
      <c r="AA412" s="518" t="str">
        <f>IF(AND(_1="A-320",'2026'!$N$4="CA",'2026'!$N$2=AA385),'2026DATA'!$L$29,"")</f>
        <v/>
      </c>
      <c r="AB412" s="518" t="str">
        <f>IF(AND(_1="A-320",'2026'!$N$4="CA",'2026'!$N$2=AB385),'2026DATA'!$M$29,"")</f>
        <v/>
      </c>
      <c r="AC412" s="520" t="str">
        <f>IF(AND(_1="A-320",'2026'!$N$4="CA",'2026'!$N$2=AC385),'2026DATA'!$N$29,"")</f>
        <v/>
      </c>
      <c r="AD412" s="940" t="s">
        <v>70</v>
      </c>
      <c r="AE412" s="13" t="s">
        <v>61</v>
      </c>
      <c r="AF412" s="518" t="str">
        <f>IF(AND(_2="A-320",'2026'!$N$4="CA",'2026'!$N$2=AF385),'2026DATA'!$C$29,"")</f>
        <v/>
      </c>
      <c r="AG412" s="518" t="str">
        <f>IF(AND(_2="A-320",'2026'!$N$4="CA",'2026'!$N$2=AG385),'2026DATA'!$D$29,"")</f>
        <v/>
      </c>
      <c r="AH412" s="518" t="str">
        <f>IF(AND(_2="A-320",'2026'!$N$4="CA",'2026'!$N$2=AH385),'2026DATA'!$E$29,"")</f>
        <v/>
      </c>
      <c r="AI412" s="518" t="str">
        <f>IF(AND(_2="A-320",'2026'!$N$4="CA",'2026'!$N$2=AI385),'2026DATA'!$F$29,"")</f>
        <v/>
      </c>
      <c r="AJ412" s="518" t="str">
        <f>IF(AND(_2="A-320",'2026'!$N$4="CA",'2026'!$N$2=AJ385),'2026DATA'!$G$29,"")</f>
        <v/>
      </c>
      <c r="AK412" s="518" t="str">
        <f>IF(AND(_2="A-320",'2026'!$N$4="CA",'2026'!$N$2=AK385),'2026DATA'!$H$29,"")</f>
        <v/>
      </c>
      <c r="AL412" s="518" t="str">
        <f>IF(AND(_2="A-320",'2026'!$N$4="CA",'2026'!$N$2=AL385),'2026DATA'!$I$29,"")</f>
        <v/>
      </c>
      <c r="AM412" s="518" t="str">
        <f>IF(AND(_2="A-320",'2026'!$N$4="CA",'2026'!$N$2=AM385),'2026DATA'!$J$29,"")</f>
        <v/>
      </c>
      <c r="AN412" s="518" t="str">
        <f>IF(AND(_2="A-320",'2026'!$N$4="CA",'2026'!$N$2=AN385),'2026DATA'!$K$29,"")</f>
        <v/>
      </c>
      <c r="AO412" s="518" t="str">
        <f>IF(AND(_2="A-320",'2026'!$N$4="CA",'2026'!$N$2=AO385),'2026DATA'!$L$29,"")</f>
        <v/>
      </c>
      <c r="AP412" s="518" t="str">
        <f>IF(AND(_2="A-320",'2026'!$N$4="CA",'2026'!$N$2=AP385),'2026DATA'!$M$29,"")</f>
        <v/>
      </c>
      <c r="AQ412" s="520" t="str">
        <f>IF(AND(_2="A-320",'2026'!$N$4="CA",'2026'!$N$2=AQ385),'2026DATA'!$N$29,"")</f>
        <v/>
      </c>
      <c r="AR412" s="940" t="s">
        <v>70</v>
      </c>
      <c r="AS412" s="13" t="s">
        <v>61</v>
      </c>
      <c r="AT412" s="518" t="str">
        <f>IF(AND(_3="A-320",'2026'!$N$4="CA",'2026'!$N$2=AT385),'2026DATA'!$C$29,"")</f>
        <v/>
      </c>
      <c r="AU412" s="518" t="str">
        <f>IF(AND(_3="A-320",'2026'!$N$4="CA",'2026'!$N$2=AU385),'2026DATA'!$D$29,"")</f>
        <v/>
      </c>
      <c r="AV412" s="518" t="str">
        <f>IF(AND(_3="A-320",'2026'!$N$4="CA",'2026'!$N$2=AV385),'2026DATA'!$E$29,"")</f>
        <v/>
      </c>
      <c r="AW412" s="518" t="str">
        <f>IF(AND(_3="A-320",'2026'!$N$4="CA",'2026'!$N$2=AW385),'2026DATA'!$F$29,"")</f>
        <v/>
      </c>
      <c r="AX412" s="518" t="str">
        <f>IF(AND(_3="A-320",'2026'!$N$4="CA",'2026'!$N$2=AX385),'2026DATA'!$G$29,"")</f>
        <v/>
      </c>
      <c r="AY412" s="518" t="str">
        <f>IF(AND(_3="A-320",'2026'!$N$4="CA",'2026'!$N$2=AY385),'2026DATA'!$H$29,"")</f>
        <v/>
      </c>
      <c r="AZ412" s="518" t="str">
        <f>IF(AND(_3="A-320",'2026'!$N$4="CA",'2026'!$N$2=AZ385),'2026DATA'!$I$29,"")</f>
        <v/>
      </c>
      <c r="BA412" s="518" t="str">
        <f>IF(AND(_3="A-320",'2026'!$N$4="CA",'2026'!$N$2=BA385),'2026DATA'!$J$29,"")</f>
        <v/>
      </c>
      <c r="BB412" s="518" t="str">
        <f>IF(AND(_3="A-320",'2026'!$N$4="CA",'2026'!$N$2=BB385),'2026DATA'!$K$29,"")</f>
        <v/>
      </c>
      <c r="BC412" s="518" t="str">
        <f>IF(AND(_3="A-320",'2026'!$N$4="CA",'2026'!$N$2=BC385),'2026DATA'!$L$29,"")</f>
        <v/>
      </c>
      <c r="BD412" s="518" t="str">
        <f>IF(AND(_3="A-320",'2026'!$N$4="CA",'2026'!$N$2=BD385),'2026DATA'!$M$29,"")</f>
        <v/>
      </c>
      <c r="BE412" s="520" t="str">
        <f>IF(AND(_3="A-320",'2026'!$N$4="CA",'2026'!$N$2=BE385),'2026DATA'!$N$29,"")</f>
        <v/>
      </c>
      <c r="BF412" s="940" t="s">
        <v>70</v>
      </c>
      <c r="BG412" s="13" t="s">
        <v>61</v>
      </c>
      <c r="BH412" s="518" t="str">
        <f>IF(AND(_4="A-320",'2026'!$N$4="CA",'2026'!$N$2=BH385),'2026DATA'!$C$29,"")</f>
        <v/>
      </c>
      <c r="BI412" s="518" t="str">
        <f>IF(AND(_4="A-320",'2026'!$N$4="CA",'2026'!$N$2=BI385),'2026DATA'!$D$29,"")</f>
        <v/>
      </c>
      <c r="BJ412" s="518" t="str">
        <f>IF(AND(_4="A-320",'2026'!$N$4="CA",'2026'!$N$2=BJ385),'2026DATA'!$E$29,"")</f>
        <v/>
      </c>
      <c r="BK412" s="518" t="str">
        <f>IF(AND(_4="A-320",'2026'!$N$4="CA",'2026'!$N$2=BK385),'2026DATA'!$F$29,"")</f>
        <v/>
      </c>
      <c r="BL412" s="518" t="str">
        <f>IF(AND(_4="A-320",'2026'!$N$4="CA",'2026'!$N$2=BL385),'2026DATA'!$G$29,"")</f>
        <v/>
      </c>
      <c r="BM412" s="518" t="str">
        <f>IF(AND(_4="A-320",'2026'!$N$4="CA",'2026'!$N$2=BM385),'2026DATA'!$H$29,"")</f>
        <v/>
      </c>
      <c r="BN412" s="518" t="str">
        <f>IF(AND(_4="A-320",'2026'!$N$4="CA",'2026'!$N$2=BN385),'2026DATA'!$I$29,"")</f>
        <v/>
      </c>
      <c r="BO412" s="518" t="str">
        <f>IF(AND(_4="A-320",'2026'!$N$4="CA",'2026'!$N$2=BO385),'2026DATA'!$J$29,"")</f>
        <v/>
      </c>
      <c r="BP412" s="518" t="str">
        <f>IF(AND(_4="A-320",'2026'!$N$4="CA",'2026'!$N$2=BP385),'2026DATA'!$K$29,"")</f>
        <v/>
      </c>
      <c r="BQ412" s="518" t="str">
        <f>IF(AND(_4="A-320",'2026'!$N$4="CA",'2026'!$N$2=BQ385),'2026DATA'!$L$29,"")</f>
        <v/>
      </c>
      <c r="BR412" s="518" t="str">
        <f>IF(AND(_4="A-320",'2026'!$N$4="CA",'2026'!$N$2=BR385),'2026DATA'!$M$29,"")</f>
        <v/>
      </c>
      <c r="BS412" s="520" t="str">
        <f>IF(AND(_4="A-320",'2026'!$N$4="CA",'2026'!$N$2=BS385),'2026DATA'!$N$29,"")</f>
        <v/>
      </c>
      <c r="BT412" s="940" t="s">
        <v>70</v>
      </c>
      <c r="BU412" s="13" t="s">
        <v>61</v>
      </c>
      <c r="BV412" s="518" t="str">
        <f>IF(AND(_5="A-320",'2026'!$N$4="CA",'2026'!$N$2=BV385),'2026DATA'!$C$29,"")</f>
        <v/>
      </c>
      <c r="BW412" s="518" t="str">
        <f>IF(AND(_5="A-320",'2026'!$N$4="CA",'2026'!$N$2=BW385),'2026DATA'!$D$29,"")</f>
        <v/>
      </c>
      <c r="BX412" s="518" t="str">
        <f>IF(AND(_5="A-320",'2026'!$N$4="CA",'2026'!$N$2=BX385),'2026DATA'!$E$29,"")</f>
        <v/>
      </c>
      <c r="BY412" s="518" t="str">
        <f>IF(AND(_5="A-320",'2026'!$N$4="CA",'2026'!$N$2=BY385),'2026DATA'!$F$29,"")</f>
        <v/>
      </c>
      <c r="BZ412" s="518" t="str">
        <f>IF(AND(_5="A-320",'2026'!$N$4="CA",'2026'!$N$2=BZ385),'2026DATA'!$G$29,"")</f>
        <v/>
      </c>
      <c r="CA412" s="518" t="str">
        <f>IF(AND(_5="A-320",'2026'!$N$4="CA",'2026'!$N$2=CA385),'2026DATA'!$H$29,"")</f>
        <v/>
      </c>
      <c r="CB412" s="518" t="str">
        <f>IF(AND(_5="A-320",'2026'!$N$4="CA",'2026'!$N$2=CB385),'2026DATA'!$I$29,"")</f>
        <v/>
      </c>
      <c r="CC412" s="518" t="str">
        <f>IF(AND(_5="A-320",'2026'!$N$4="CA",'2026'!$N$2=CC385),'2026DATA'!$J$29,"")</f>
        <v/>
      </c>
      <c r="CD412" s="518" t="str">
        <f>IF(AND(_5="A-320",'2026'!$N$4="CA",'2026'!$N$2=CD385),'2026DATA'!$K$29,"")</f>
        <v/>
      </c>
      <c r="CE412" s="518" t="str">
        <f>IF(AND(_5="A-320",'2026'!$N$4="CA",'2026'!$N$2=CE385),'2026DATA'!$L$29,"")</f>
        <v/>
      </c>
      <c r="CF412" s="518" t="str">
        <f>IF(AND(_5="A-320",'2026'!$N$4="CA",'2026'!$N$2=CF385),'2026DATA'!$M$29,"")</f>
        <v/>
      </c>
      <c r="CG412" s="520" t="str">
        <f>IF(AND(_5="A-320",'2026'!$N$4="CA",'2026'!$N$2=CG385),'2026DATA'!$N$29,"")</f>
        <v/>
      </c>
      <c r="CH412" s="940" t="s">
        <v>70</v>
      </c>
      <c r="CI412" s="13" t="s">
        <v>61</v>
      </c>
      <c r="CJ412" s="518" t="str">
        <f>IF(AND(_6="A-320",'2026'!$N$4="CA",'2026'!$N$2=CJ385),'2026DATA'!$C$29,"")</f>
        <v/>
      </c>
      <c r="CK412" s="518" t="str">
        <f>IF(AND(_6="A-320",'2026'!$N$4="CA",'2026'!$N$2=CK385),'2026DATA'!$D$29,"")</f>
        <v/>
      </c>
      <c r="CL412" s="518" t="str">
        <f>IF(AND(_6="A-320",'2026'!$N$4="CA",'2026'!$N$2=CL385),'2026DATA'!$E$29,"")</f>
        <v/>
      </c>
      <c r="CM412" s="518" t="str">
        <f>IF(AND(_6="A-320",'2026'!$N$4="CA",'2026'!$N$2=CM385),'2026DATA'!$F$29,"")</f>
        <v/>
      </c>
      <c r="CN412" s="518" t="str">
        <f>IF(AND(_6="A-320",'2026'!$N$4="CA",'2026'!$N$2=CN385),'2026DATA'!$G$29,"")</f>
        <v/>
      </c>
      <c r="CO412" s="518" t="str">
        <f>IF(AND(_6="A-320",'2026'!$N$4="CA",'2026'!$N$2=CO385),'2026DATA'!$H$29,"")</f>
        <v/>
      </c>
      <c r="CP412" s="518" t="str">
        <f>IF(AND(_6="A-320",'2026'!$N$4="CA",'2026'!$N$2=CP385),'2026DATA'!$I$29,"")</f>
        <v/>
      </c>
      <c r="CQ412" s="518" t="str">
        <f>IF(AND(_6="A-320",'2026'!$N$4="CA",'2026'!$N$2=CQ385),'2026DATA'!$J$29,"")</f>
        <v/>
      </c>
      <c r="CR412" s="518" t="str">
        <f>IF(AND(_6="A-320",'2026'!$N$4="CA",'2026'!$N$2=CR385),'2026DATA'!$K$29,"")</f>
        <v/>
      </c>
      <c r="CS412" s="518" t="str">
        <f>IF(AND(_6="A-320",'2026'!$N$4="CA",'2026'!$N$2=CS385),'2026DATA'!$L$29,"")</f>
        <v/>
      </c>
      <c r="CT412" s="518" t="str">
        <f>IF(AND(_6="A-320",'2026'!$N$4="CA",'2026'!$N$2=CT385),'2026DATA'!$M$29,"")</f>
        <v/>
      </c>
      <c r="CU412" s="520" t="str">
        <f>IF(AND(_6="A-320",'2026'!$N$4="CA",'2026'!$N$2=CU385),'2026DATA'!$N$29,"")</f>
        <v/>
      </c>
    </row>
    <row r="413" spans="16:99" x14ac:dyDescent="0.25">
      <c r="P413" s="940"/>
      <c r="Q413" s="13" t="s">
        <v>62</v>
      </c>
      <c r="R413" s="518" t="str">
        <f>IF(AND(_1="A-320",'2026'!$N$4="FO",'2026'!$N$2=R385),'2026DATA'!$C$30,"")</f>
        <v/>
      </c>
      <c r="S413" s="518" t="str">
        <f>IF(AND(_1="A-320",'2026'!$N$4="FO",'2026'!$N$2=S385),'2026DATA'!$D$30,"")</f>
        <v/>
      </c>
      <c r="T413" s="518" t="str">
        <f>IF(AND(_1="A-320",'2026'!$N$4="FO",'2026'!$N$2=T385),'2026DATA'!$E$30,"")</f>
        <v/>
      </c>
      <c r="U413" s="518" t="str">
        <f>IF(AND(_1="A-320",'2026'!$N$4="FO",'2026'!$N$2=U385),'2026DATA'!$F$30,"")</f>
        <v/>
      </c>
      <c r="V413" s="518" t="str">
        <f>IF(AND(_1="A-320",'2026'!$N$4="FO",'2026'!$N$2=V385),'2026DATA'!$G$30,"")</f>
        <v/>
      </c>
      <c r="W413" s="518" t="str">
        <f>IF(AND(_1="A-320",'2026'!$N$4="FO",'2026'!$N$2=W385),'2026DATA'!$H$30,"")</f>
        <v/>
      </c>
      <c r="X413" s="518" t="str">
        <f>IF(AND(_1="A-320",'2026'!$N$4="FO",'2026'!$N$2=X385),'2026DATA'!$I$30,"")</f>
        <v/>
      </c>
      <c r="Y413" s="518" t="str">
        <f>IF(AND(_1="A-320",'2026'!$N$4="FO",'2026'!$N$2=Y385),'2026DATA'!$J$30,"")</f>
        <v/>
      </c>
      <c r="Z413" s="518" t="str">
        <f>IF(AND(_1="A-320",'2026'!$N$4="FO",'2026'!$N$2=Z385),'2026DATA'!$K$30,"")</f>
        <v/>
      </c>
      <c r="AA413" s="518" t="str">
        <f>IF(AND(_1="A-320",'2026'!$N$4="FO",'2026'!$N$2=AA385),'2026DATA'!$L$30,"")</f>
        <v/>
      </c>
      <c r="AB413" s="518" t="str">
        <f>IF(AND(_1="A-320",'2026'!$N$4="FO",'2026'!$N$2=AB385),'2026DATA'!$M$30,"")</f>
        <v/>
      </c>
      <c r="AC413" s="520" t="str">
        <f>IF(AND(_1="A-320",'2026'!$N$4="FO",'2026'!$N$2=AC385),'2026DATA'!$N$30,"")</f>
        <v/>
      </c>
      <c r="AD413" s="940"/>
      <c r="AE413" s="13" t="s">
        <v>62</v>
      </c>
      <c r="AF413" s="518" t="str">
        <f>IF(AND(_2="A-320",'2026'!$N$4="FO",'2026'!$N$2=AF385),'2026DATA'!$C$30,"")</f>
        <v/>
      </c>
      <c r="AG413" s="518" t="str">
        <f>IF(AND(_2="A-320",'2026'!$N$4="FO",'2026'!$N$2=AG385),'2026DATA'!$D$30,"")</f>
        <v/>
      </c>
      <c r="AH413" s="518" t="str">
        <f>IF(AND(_2="A-320",'2026'!$N$4="FO",'2026'!$N$2=AH385),'2026DATA'!$E$30,"")</f>
        <v/>
      </c>
      <c r="AI413" s="518" t="str">
        <f>IF(AND(_2="A-320",'2026'!$N$4="FO",'2026'!$N$2=AI385),'2026DATA'!$F$30,"")</f>
        <v/>
      </c>
      <c r="AJ413" s="518" t="str">
        <f>IF(AND(_2="A-320",'2026'!$N$4="FO",'2026'!$N$2=AJ385),'2026DATA'!$G$30,"")</f>
        <v/>
      </c>
      <c r="AK413" s="518" t="str">
        <f>IF(AND(_2="A-320",'2026'!$N$4="FO",'2026'!$N$2=AK385),'2026DATA'!$H$30,"")</f>
        <v/>
      </c>
      <c r="AL413" s="518" t="str">
        <f>IF(AND(_2="A-320",'2026'!$N$4="FO",'2026'!$N$2=AL385),'2026DATA'!$I$30,"")</f>
        <v/>
      </c>
      <c r="AM413" s="518" t="str">
        <f>IF(AND(_2="A-320",'2026'!$N$4="FO",'2026'!$N$2=AM385),'2026DATA'!$J$30,"")</f>
        <v/>
      </c>
      <c r="AN413" s="518" t="str">
        <f>IF(AND(_2="A-320",'2026'!$N$4="FO",'2026'!$N$2=AN385),'2026DATA'!$K$30,"")</f>
        <v/>
      </c>
      <c r="AO413" s="518" t="str">
        <f>IF(AND(_2="A-320",'2026'!$N$4="FO",'2026'!$N$2=AO385),'2026DATA'!$L$30,"")</f>
        <v/>
      </c>
      <c r="AP413" s="518" t="str">
        <f>IF(AND(_2="A-320",'2026'!$N$4="FO",'2026'!$N$2=AP385),'2026DATA'!$M$30,"")</f>
        <v/>
      </c>
      <c r="AQ413" s="520" t="str">
        <f>IF(AND(_2="A-320",'2026'!$N$4="FO",'2026'!$N$2=AQ385),'2026DATA'!$N$30,"")</f>
        <v/>
      </c>
      <c r="AR413" s="940"/>
      <c r="AS413" s="13" t="s">
        <v>62</v>
      </c>
      <c r="AT413" s="518" t="str">
        <f>IF(AND(_3="A-320",'2026'!$N$4="FO",'2026'!$N$2=AT385),'2026DATA'!$C$30,"")</f>
        <v/>
      </c>
      <c r="AU413" s="518" t="str">
        <f>IF(AND(_3="A-320",'2026'!$N$4="FO",'2026'!$N$2=AU385),'2026DATA'!$D$30,"")</f>
        <v/>
      </c>
      <c r="AV413" s="518" t="str">
        <f>IF(AND(_3="A-320",'2026'!$N$4="FO",'2026'!$N$2=AV385),'2026DATA'!$E$30,"")</f>
        <v/>
      </c>
      <c r="AW413" s="518" t="str">
        <f>IF(AND(_3="A-320",'2026'!$N$4="FO",'2026'!$N$2=AW385),'2026DATA'!$F$30,"")</f>
        <v/>
      </c>
      <c r="AX413" s="518" t="str">
        <f>IF(AND(_3="A-320",'2026'!$N$4="FO",'2026'!$N$2=AX385),'2026DATA'!$G$30,"")</f>
        <v/>
      </c>
      <c r="AY413" s="518" t="str">
        <f>IF(AND(_3="A-320",'2026'!$N$4="FO",'2026'!$N$2=AY385),'2026DATA'!$H$30,"")</f>
        <v/>
      </c>
      <c r="AZ413" s="518" t="str">
        <f>IF(AND(_3="A-320",'2026'!$N$4="FO",'2026'!$N$2=AZ385),'2026DATA'!$I$30,"")</f>
        <v/>
      </c>
      <c r="BA413" s="518" t="str">
        <f>IF(AND(_3="A-320",'2026'!$N$4="FO",'2026'!$N$2=BA385),'2026DATA'!$J$30,"")</f>
        <v/>
      </c>
      <c r="BB413" s="518" t="str">
        <f>IF(AND(_3="A-320",'2026'!$N$4="FO",'2026'!$N$2=BB385),'2026DATA'!$K$30,"")</f>
        <v/>
      </c>
      <c r="BC413" s="518" t="str">
        <f>IF(AND(_3="A-320",'2026'!$N$4="FO",'2026'!$N$2=BC385),'2026DATA'!$L$30,"")</f>
        <v/>
      </c>
      <c r="BD413" s="518" t="str">
        <f>IF(AND(_3="A-320",'2026'!$N$4="FO",'2026'!$N$2=BD385),'2026DATA'!$M$30,"")</f>
        <v/>
      </c>
      <c r="BE413" s="520" t="str">
        <f>IF(AND(_3="A-320",'2026'!$N$4="FO",'2026'!$N$2=BE385),'2026DATA'!$N$30,"")</f>
        <v/>
      </c>
      <c r="BF413" s="940"/>
      <c r="BG413" s="13" t="s">
        <v>62</v>
      </c>
      <c r="BH413" s="518" t="str">
        <f>IF(AND(_4="A-320",'2026'!$N$4="FO",'2026'!$N$2=BH385),'2026DATA'!$C$30,"")</f>
        <v/>
      </c>
      <c r="BI413" s="518" t="str">
        <f>IF(AND(_4="A-320",'2026'!$N$4="FO",'2026'!$N$2=BI385),'2026DATA'!$D$30,"")</f>
        <v/>
      </c>
      <c r="BJ413" s="518" t="str">
        <f>IF(AND(_4="A-320",'2026'!$N$4="FO",'2026'!$N$2=BJ385),'2026DATA'!$E$30,"")</f>
        <v/>
      </c>
      <c r="BK413" s="518" t="str">
        <f>IF(AND(_4="A-320",'2026'!$N$4="FO",'2026'!$N$2=BK385),'2026DATA'!$F$30,"")</f>
        <v/>
      </c>
      <c r="BL413" s="518" t="str">
        <f>IF(AND(_4="A-320",'2026'!$N$4="FO",'2026'!$N$2=BL385),'2026DATA'!$G$30,"")</f>
        <v/>
      </c>
      <c r="BM413" s="518" t="str">
        <f>IF(AND(_4="A-320",'2026'!$N$4="FO",'2026'!$N$2=BM385),'2026DATA'!$H$30,"")</f>
        <v/>
      </c>
      <c r="BN413" s="518" t="str">
        <f>IF(AND(_4="A-320",'2026'!$N$4="FO",'2026'!$N$2=BN385),'2026DATA'!$I$30,"")</f>
        <v/>
      </c>
      <c r="BO413" s="518" t="str">
        <f>IF(AND(_4="A-320",'2026'!$N$4="FO",'2026'!$N$2=BO385),'2026DATA'!$J$30,"")</f>
        <v/>
      </c>
      <c r="BP413" s="518" t="str">
        <f>IF(AND(_4="A-320",'2026'!$N$4="FO",'2026'!$N$2=BP385),'2026DATA'!$K$30,"")</f>
        <v/>
      </c>
      <c r="BQ413" s="518" t="str">
        <f>IF(AND(_4="A-320",'2026'!$N$4="FO",'2026'!$N$2=BQ385),'2026DATA'!$L$30,"")</f>
        <v/>
      </c>
      <c r="BR413" s="518" t="str">
        <f>IF(AND(_4="A-320",'2026'!$N$4="FO",'2026'!$N$2=BR385),'2026DATA'!$M$30,"")</f>
        <v/>
      </c>
      <c r="BS413" s="520" t="str">
        <f>IF(AND(_4="A-320",'2026'!$N$4="FO",'2026'!$N$2=BS385),'2026DATA'!$N$30,"")</f>
        <v/>
      </c>
      <c r="BT413" s="940"/>
      <c r="BU413" s="13" t="s">
        <v>62</v>
      </c>
      <c r="BV413" s="518" t="str">
        <f>IF(AND(_5="A-320",'2026'!$N$4="FO",'2026'!$N$2=BV385),'2026DATA'!$C$30,"")</f>
        <v/>
      </c>
      <c r="BW413" s="518" t="str">
        <f>IF(AND(_5="A-320",'2026'!$N$4="FO",'2026'!$N$2=BW385),'2026DATA'!$D$30,"")</f>
        <v/>
      </c>
      <c r="BX413" s="518" t="str">
        <f>IF(AND(_5="A-320",'2026'!$N$4="FO",'2026'!$N$2=BX385),'2026DATA'!$E$30,"")</f>
        <v/>
      </c>
      <c r="BY413" s="518" t="str">
        <f>IF(AND(_5="A-320",'2026'!$N$4="FO",'2026'!$N$2=BY385),'2026DATA'!$F$30,"")</f>
        <v/>
      </c>
      <c r="BZ413" s="518" t="str">
        <f>IF(AND(_5="A-320",'2026'!$N$4="FO",'2026'!$N$2=BZ385),'2026DATA'!$G$30,"")</f>
        <v/>
      </c>
      <c r="CA413" s="518" t="str">
        <f>IF(AND(_5="A-320",'2026'!$N$4="FO",'2026'!$N$2=CA385),'2026DATA'!$H$30,"")</f>
        <v/>
      </c>
      <c r="CB413" s="518" t="str">
        <f>IF(AND(_5="A-320",'2026'!$N$4="FO",'2026'!$N$2=CB385),'2026DATA'!$I$30,"")</f>
        <v/>
      </c>
      <c r="CC413" s="518" t="str">
        <f>IF(AND(_5="A-320",'2026'!$N$4="FO",'2026'!$N$2=CC385),'2026DATA'!$J$30,"")</f>
        <v/>
      </c>
      <c r="CD413" s="518" t="str">
        <f>IF(AND(_5="A-320",'2026'!$N$4="FO",'2026'!$N$2=CD385),'2026DATA'!$K$30,"")</f>
        <v/>
      </c>
      <c r="CE413" s="518" t="str">
        <f>IF(AND(_5="A-320",'2026'!$N$4="FO",'2026'!$N$2=CE385),'2026DATA'!$L$30,"")</f>
        <v/>
      </c>
      <c r="CF413" s="518" t="str">
        <f>IF(AND(_5="A-320",'2026'!$N$4="FO",'2026'!$N$2=CF385),'2026DATA'!$M$30,"")</f>
        <v/>
      </c>
      <c r="CG413" s="520" t="str">
        <f>IF(AND(_5="A-320",'2026'!$N$4="FO",'2026'!$N$2=CG385),'2026DATA'!$N$30,"")</f>
        <v/>
      </c>
      <c r="CH413" s="940"/>
      <c r="CI413" s="13" t="s">
        <v>62</v>
      </c>
      <c r="CJ413" s="518" t="str">
        <f>IF(AND(_6="A-320",'2026'!$N$4="FO",'2026'!$N$2=CJ385),'2026DATA'!$C$30,"")</f>
        <v/>
      </c>
      <c r="CK413" s="518" t="str">
        <f>IF(AND(_6="A-320",'2026'!$N$4="FO",'2026'!$N$2=CK385),'2026DATA'!$D$30,"")</f>
        <v/>
      </c>
      <c r="CL413" s="518" t="str">
        <f>IF(AND(_6="A-320",'2026'!$N$4="FO",'2026'!$N$2=CL385),'2026DATA'!$E$30,"")</f>
        <v/>
      </c>
      <c r="CM413" s="518" t="str">
        <f>IF(AND(_6="A-320",'2026'!$N$4="FO",'2026'!$N$2=CM385),'2026DATA'!$F$30,"")</f>
        <v/>
      </c>
      <c r="CN413" s="518" t="str">
        <f>IF(AND(_6="A-320",'2026'!$N$4="FO",'2026'!$N$2=CN385),'2026DATA'!$G$30,"")</f>
        <v/>
      </c>
      <c r="CO413" s="518" t="str">
        <f>IF(AND(_6="A-320",'2026'!$N$4="FO",'2026'!$N$2=CO385),'2026DATA'!$H$30,"")</f>
        <v/>
      </c>
      <c r="CP413" s="518" t="str">
        <f>IF(AND(_6="A-320",'2026'!$N$4="FO",'2026'!$N$2=CP385),'2026DATA'!$I$30,"")</f>
        <v/>
      </c>
      <c r="CQ413" s="518" t="str">
        <f>IF(AND(_6="A-320",'2026'!$N$4="FO",'2026'!$N$2=CQ385),'2026DATA'!$J$30,"")</f>
        <v/>
      </c>
      <c r="CR413" s="518" t="str">
        <f>IF(AND(_6="A-320",'2026'!$N$4="FO",'2026'!$N$2=CR385),'2026DATA'!$K$30,"")</f>
        <v/>
      </c>
      <c r="CS413" s="518" t="str">
        <f>IF(AND(_6="A-320",'2026'!$N$4="FO",'2026'!$N$2=CS385),'2026DATA'!$L$30,"")</f>
        <v/>
      </c>
      <c r="CT413" s="518" t="str">
        <f>IF(AND(_6="A-320",'2026'!$N$4="FO",'2026'!$N$2=CT385),'2026DATA'!$M$30,"")</f>
        <v/>
      </c>
      <c r="CU413" s="520" t="str">
        <f>IF(AND(_6="A-320",'2026'!$N$4="FO",'2026'!$N$2=CU385),'2026DATA'!$N$30,"")</f>
        <v/>
      </c>
    </row>
    <row r="414" spans="16:99" x14ac:dyDescent="0.25">
      <c r="P414" s="940" t="s">
        <v>71</v>
      </c>
      <c r="Q414" s="13" t="s">
        <v>61</v>
      </c>
      <c r="R414" s="518" t="str">
        <f>IF(AND(_1="A-319",'2026'!$N$4="CA",'2026'!$N$2=R385),'2026DATA'!$C$31,"")</f>
        <v/>
      </c>
      <c r="S414" s="518" t="str">
        <f>IF(AND(_1="A-319",'2026'!$N$4="CA",'2026'!$N$2=S385),'2026DATA'!$D$31,"")</f>
        <v/>
      </c>
      <c r="T414" s="518" t="str">
        <f>IF(AND(_1="A-319",'2026'!$N$4="CA",'2026'!$N$2=T385),'2026DATA'!$E$31,"")</f>
        <v/>
      </c>
      <c r="U414" s="518" t="str">
        <f>IF(AND(_1="A-319",'2026'!$N$4="CA",'2026'!$N$2=U385),'2026DATA'!$F$31,"")</f>
        <v/>
      </c>
      <c r="V414" s="518" t="str">
        <f>IF(AND(_1="A-319",'2026'!$N$4="CA",'2026'!$N$2=V385),'2026DATA'!$G$31,"")</f>
        <v/>
      </c>
      <c r="W414" s="518" t="str">
        <f>IF(AND(_1="A-319",'2026'!$N$4="CA",'2026'!$N$2=W385),'2026DATA'!$H$31,"")</f>
        <v/>
      </c>
      <c r="X414" s="518" t="str">
        <f>IF(AND(_1="A-319",'2026'!$N$4="CA",'2026'!$N$2=X385),'2026DATA'!$I$31,"")</f>
        <v/>
      </c>
      <c r="Y414" s="518" t="str">
        <f>IF(AND(_1="A-319",'2026'!$N$4="CA",'2026'!$N$2=Y385),'2026DATA'!$J$31,"")</f>
        <v/>
      </c>
      <c r="Z414" s="518" t="str">
        <f>IF(AND(_1="A-319",'2026'!$N$4="CA",'2026'!$N$2=Z385),'2026DATA'!$K$31,"")</f>
        <v/>
      </c>
      <c r="AA414" s="518" t="str">
        <f>IF(AND(_1="A-319",'2026'!$N$4="CA",'2026'!$N$2=AA385),'2026DATA'!$L$31,"")</f>
        <v/>
      </c>
      <c r="AB414" s="518" t="str">
        <f>IF(AND(_1="A-319",'2026'!$N$4="CA",'2026'!$N$2=AB385),'2026DATA'!$M$31,"")</f>
        <v/>
      </c>
      <c r="AC414" s="520" t="str">
        <f>IF(AND(_1="A-319",'2026'!$N$4="CA",'2026'!$N$2=AC385),'2026DATA'!$N$31,"")</f>
        <v/>
      </c>
      <c r="AD414" s="940" t="s">
        <v>71</v>
      </c>
      <c r="AE414" s="13" t="s">
        <v>61</v>
      </c>
      <c r="AF414" s="518" t="str">
        <f>IF(AND(_2="A-319",'2026'!$N$4="CA",'2026'!$N$2=AF385),'2026DATA'!$C$31,"")</f>
        <v/>
      </c>
      <c r="AG414" s="518" t="str">
        <f>IF(AND(_2="A-319",'2026'!$N$4="CA",'2026'!$N$2=AG385),'2026DATA'!$D$31,"")</f>
        <v/>
      </c>
      <c r="AH414" s="518" t="str">
        <f>IF(AND(_2="A-319",'2026'!$N$4="CA",'2026'!$N$2=AH385),'2026DATA'!$E$31,"")</f>
        <v/>
      </c>
      <c r="AI414" s="518" t="str">
        <f>IF(AND(_2="A-319",'2026'!$N$4="CA",'2026'!$N$2=AI385),'2026DATA'!$F$31,"")</f>
        <v/>
      </c>
      <c r="AJ414" s="518" t="str">
        <f>IF(AND(_2="A-319",'2026'!$N$4="CA",'2026'!$N$2=AJ385),'2026DATA'!$G$31,"")</f>
        <v/>
      </c>
      <c r="AK414" s="518" t="str">
        <f>IF(AND(_2="A-319",'2026'!$N$4="CA",'2026'!$N$2=AK385),'2026DATA'!$H$31,"")</f>
        <v/>
      </c>
      <c r="AL414" s="518" t="str">
        <f>IF(AND(_2="A-319",'2026'!$N$4="CA",'2026'!$N$2=AL385),'2026DATA'!$I$31,"")</f>
        <v/>
      </c>
      <c r="AM414" s="518" t="str">
        <f>IF(AND(_2="A-319",'2026'!$N$4="CA",'2026'!$N$2=AM385),'2026DATA'!$J$31,"")</f>
        <v/>
      </c>
      <c r="AN414" s="518" t="str">
        <f>IF(AND(_2="A-319",'2026'!$N$4="CA",'2026'!$N$2=AN385),'2026DATA'!$K$31,"")</f>
        <v/>
      </c>
      <c r="AO414" s="518" t="str">
        <f>IF(AND(_2="A-319",'2026'!$N$4="CA",'2026'!$N$2=AO385),'2026DATA'!$L$31,"")</f>
        <v/>
      </c>
      <c r="AP414" s="518" t="str">
        <f>IF(AND(_2="A-319",'2026'!$N$4="CA",'2026'!$N$2=AP385),'2026DATA'!$M$31,"")</f>
        <v/>
      </c>
      <c r="AQ414" s="520" t="str">
        <f>IF(AND(_2="A-319",'2026'!$N$4="CA",'2026'!$N$2=AQ385),'2026DATA'!$N$31,"")</f>
        <v/>
      </c>
      <c r="AR414" s="940" t="s">
        <v>71</v>
      </c>
      <c r="AS414" s="13" t="s">
        <v>61</v>
      </c>
      <c r="AT414" s="518" t="str">
        <f>IF(AND(_3="A-319",'2026'!$N$4="CA",'2026'!$N$2=AT385),'2026DATA'!$C$31,"")</f>
        <v/>
      </c>
      <c r="AU414" s="518" t="str">
        <f>IF(AND(_3="A-319",'2026'!$N$4="CA",'2026'!$N$2=AU385),'2026DATA'!$D$31,"")</f>
        <v/>
      </c>
      <c r="AV414" s="518" t="str">
        <f>IF(AND(_3="A-319",'2026'!$N$4="CA",'2026'!$N$2=AV385),'2026DATA'!$E$31,"")</f>
        <v/>
      </c>
      <c r="AW414" s="518" t="str">
        <f>IF(AND(_3="A-319",'2026'!$N$4="CA",'2026'!$N$2=AW385),'2026DATA'!$F$31,"")</f>
        <v/>
      </c>
      <c r="AX414" s="518" t="str">
        <f>IF(AND(_3="A-319",'2026'!$N$4="CA",'2026'!$N$2=AX385),'2026DATA'!$G$31,"")</f>
        <v/>
      </c>
      <c r="AY414" s="518" t="str">
        <f>IF(AND(_3="A-319",'2026'!$N$4="CA",'2026'!$N$2=AY385),'2026DATA'!$H$31,"")</f>
        <v/>
      </c>
      <c r="AZ414" s="518" t="str">
        <f>IF(AND(_3="A-319",'2026'!$N$4="CA",'2026'!$N$2=AZ385),'2026DATA'!$I$31,"")</f>
        <v/>
      </c>
      <c r="BA414" s="518" t="str">
        <f>IF(AND(_3="A-319",'2026'!$N$4="CA",'2026'!$N$2=BA385),'2026DATA'!$J$31,"")</f>
        <v/>
      </c>
      <c r="BB414" s="518" t="str">
        <f>IF(AND(_3="A-319",'2026'!$N$4="CA",'2026'!$N$2=BB385),'2026DATA'!$K$31,"")</f>
        <v/>
      </c>
      <c r="BC414" s="518" t="str">
        <f>IF(AND(_3="A-319",'2026'!$N$4="CA",'2026'!$N$2=BC385),'2026DATA'!$L$31,"")</f>
        <v/>
      </c>
      <c r="BD414" s="518" t="str">
        <f>IF(AND(_3="A-319",'2026'!$N$4="CA",'2026'!$N$2=BD385),'2026DATA'!$M$31,"")</f>
        <v/>
      </c>
      <c r="BE414" s="520" t="str">
        <f>IF(AND(_3="A-319",'2026'!$N$4="CA",'2026'!$N$2=BE385),'2026DATA'!$N$31,"")</f>
        <v/>
      </c>
      <c r="BF414" s="940" t="s">
        <v>71</v>
      </c>
      <c r="BG414" s="13" t="s">
        <v>61</v>
      </c>
      <c r="BH414" s="518" t="str">
        <f>IF(AND(_4="A-319",'2026'!$N$4="CA",'2026'!$N$2=BH385),'2026DATA'!$C$31,"")</f>
        <v/>
      </c>
      <c r="BI414" s="518" t="str">
        <f>IF(AND(_4="A-319",'2026'!$N$4="CA",'2026'!$N$2=BI385),'2026DATA'!$D$31,"")</f>
        <v/>
      </c>
      <c r="BJ414" s="518" t="str">
        <f>IF(AND(_4="A-319",'2026'!$N$4="CA",'2026'!$N$2=BJ385),'2026DATA'!$E$31,"")</f>
        <v/>
      </c>
      <c r="BK414" s="518" t="str">
        <f>IF(AND(_4="A-319",'2026'!$N$4="CA",'2026'!$N$2=BK385),'2026DATA'!$F$31,"")</f>
        <v/>
      </c>
      <c r="BL414" s="518" t="str">
        <f>IF(AND(_4="A-319",'2026'!$N$4="CA",'2026'!$N$2=BL385),'2026DATA'!$G$31,"")</f>
        <v/>
      </c>
      <c r="BM414" s="518" t="str">
        <f>IF(AND(_4="A-319",'2026'!$N$4="CA",'2026'!$N$2=BM385),'2026DATA'!$H$31,"")</f>
        <v/>
      </c>
      <c r="BN414" s="518" t="str">
        <f>IF(AND(_4="A-319",'2026'!$N$4="CA",'2026'!$N$2=BN385),'2026DATA'!$I$31,"")</f>
        <v/>
      </c>
      <c r="BO414" s="518" t="str">
        <f>IF(AND(_4="A-319",'2026'!$N$4="CA",'2026'!$N$2=BO385),'2026DATA'!$J$31,"")</f>
        <v/>
      </c>
      <c r="BP414" s="518" t="str">
        <f>IF(AND(_4="A-319",'2026'!$N$4="CA",'2026'!$N$2=BP385),'2026DATA'!$K$31,"")</f>
        <v/>
      </c>
      <c r="BQ414" s="518" t="str">
        <f>IF(AND(_4="A-319",'2026'!$N$4="CA",'2026'!$N$2=BQ385),'2026DATA'!$L$31,"")</f>
        <v/>
      </c>
      <c r="BR414" s="518" t="str">
        <f>IF(AND(_4="A-319",'2026'!$N$4="CA",'2026'!$N$2=BR385),'2026DATA'!$M$31,"")</f>
        <v/>
      </c>
      <c r="BS414" s="520" t="str">
        <f>IF(AND(_4="A-319",'2026'!$N$4="CA",'2026'!$N$2=BS385),'2026DATA'!$N$31,"")</f>
        <v/>
      </c>
      <c r="BT414" s="940" t="s">
        <v>71</v>
      </c>
      <c r="BU414" s="13" t="s">
        <v>61</v>
      </c>
      <c r="BV414" s="518" t="str">
        <f>IF(AND(_5="A-319",'2026'!$N$4="CA",'2026'!$N$2=BV385),'2026DATA'!$C$31,"")</f>
        <v/>
      </c>
      <c r="BW414" s="518" t="str">
        <f>IF(AND(_5="A-319",'2026'!$N$4="CA",'2026'!$N$2=BW385),'2026DATA'!$D$31,"")</f>
        <v/>
      </c>
      <c r="BX414" s="518" t="str">
        <f>IF(AND(_5="A-319",'2026'!$N$4="CA",'2026'!$N$2=BX385),'2026DATA'!$E$31,"")</f>
        <v/>
      </c>
      <c r="BY414" s="518" t="str">
        <f>IF(AND(_5="A-319",'2026'!$N$4="CA",'2026'!$N$2=BY385),'2026DATA'!$F$31,"")</f>
        <v/>
      </c>
      <c r="BZ414" s="518" t="str">
        <f>IF(AND(_5="A-319",'2026'!$N$4="CA",'2026'!$N$2=BZ385),'2026DATA'!$G$31,"")</f>
        <v/>
      </c>
      <c r="CA414" s="518" t="str">
        <f>IF(AND(_5="A-319",'2026'!$N$4="CA",'2026'!$N$2=CA385),'2026DATA'!$H$31,"")</f>
        <v/>
      </c>
      <c r="CB414" s="518" t="str">
        <f>IF(AND(_5="A-319",'2026'!$N$4="CA",'2026'!$N$2=CB385),'2026DATA'!$I$31,"")</f>
        <v/>
      </c>
      <c r="CC414" s="518" t="str">
        <f>IF(AND(_5="A-319",'2026'!$N$4="CA",'2026'!$N$2=CC385),'2026DATA'!$J$31,"")</f>
        <v/>
      </c>
      <c r="CD414" s="518" t="str">
        <f>IF(AND(_5="A-319",'2026'!$N$4="CA",'2026'!$N$2=CD385),'2026DATA'!$K$31,"")</f>
        <v/>
      </c>
      <c r="CE414" s="518" t="str">
        <f>IF(AND(_5="A-319",'2026'!$N$4="CA",'2026'!$N$2=CE385),'2026DATA'!$L$31,"")</f>
        <v/>
      </c>
      <c r="CF414" s="518" t="str">
        <f>IF(AND(_5="A-319",'2026'!$N$4="CA",'2026'!$N$2=CF385),'2026DATA'!$M$31,"")</f>
        <v/>
      </c>
      <c r="CG414" s="520" t="str">
        <f>IF(AND(_5="A-319",'2026'!$N$4="CA",'2026'!$N$2=CG385),'2026DATA'!$N$31,"")</f>
        <v/>
      </c>
      <c r="CH414" s="940" t="s">
        <v>71</v>
      </c>
      <c r="CI414" s="13" t="s">
        <v>61</v>
      </c>
      <c r="CJ414" s="518" t="str">
        <f>IF(AND(_6="A-319",'2026'!$N$4="CA",'2026'!$N$2=CJ385),'2026DATA'!$C$31,"")</f>
        <v/>
      </c>
      <c r="CK414" s="518" t="str">
        <f>IF(AND(_6="A-319",'2026'!$N$4="CA",'2026'!$N$2=CK385),'2026DATA'!$D$31,"")</f>
        <v/>
      </c>
      <c r="CL414" s="518" t="str">
        <f>IF(AND(_6="A-319",'2026'!$N$4="CA",'2026'!$N$2=CL385),'2026DATA'!$E$31,"")</f>
        <v/>
      </c>
      <c r="CM414" s="518" t="str">
        <f>IF(AND(_6="A-319",'2026'!$N$4="CA",'2026'!$N$2=CM385),'2026DATA'!$F$31,"")</f>
        <v/>
      </c>
      <c r="CN414" s="518" t="str">
        <f>IF(AND(_6="A-319",'2026'!$N$4="CA",'2026'!$N$2=CN385),'2026DATA'!$G$31,"")</f>
        <v/>
      </c>
      <c r="CO414" s="518" t="str">
        <f>IF(AND(_6="A-319",'2026'!$N$4="CA",'2026'!$N$2=CO385),'2026DATA'!$H$31,"")</f>
        <v/>
      </c>
      <c r="CP414" s="518" t="str">
        <f>IF(AND(_6="A-319",'2026'!$N$4="CA",'2026'!$N$2=CP385),'2026DATA'!$I$31,"")</f>
        <v/>
      </c>
      <c r="CQ414" s="518" t="str">
        <f>IF(AND(_6="A-319",'2026'!$N$4="CA",'2026'!$N$2=CQ385),'2026DATA'!$J$31,"")</f>
        <v/>
      </c>
      <c r="CR414" s="518" t="str">
        <f>IF(AND(_6="A-319",'2026'!$N$4="CA",'2026'!$N$2=CR385),'2026DATA'!$K$31,"")</f>
        <v/>
      </c>
      <c r="CS414" s="518" t="str">
        <f>IF(AND(_6="A-319",'2026'!$N$4="CA",'2026'!$N$2=CS385),'2026DATA'!$L$31,"")</f>
        <v/>
      </c>
      <c r="CT414" s="518" t="str">
        <f>IF(AND(_6="A-319",'2026'!$N$4="CA",'2026'!$N$2=CT385),'2026DATA'!$M$31,"")</f>
        <v/>
      </c>
      <c r="CU414" s="520" t="str">
        <f>IF(AND(_6="A-319",'2026'!$N$4="CA",'2026'!$N$2=CU385),'2026DATA'!$N$31,"")</f>
        <v/>
      </c>
    </row>
    <row r="415" spans="16:99" x14ac:dyDescent="0.25">
      <c r="P415" s="940"/>
      <c r="Q415" s="13" t="s">
        <v>62</v>
      </c>
      <c r="R415" s="518" t="str">
        <f>IF(AND(_1="A-319",'2026'!$N$4="FO",'2026'!$N$2=R385),'2026DATA'!$C$32,"")</f>
        <v/>
      </c>
      <c r="S415" s="518" t="str">
        <f>IF(AND(_1="A-319",'2026'!$N$4="FO",'2026'!$N$2=S385),'2026DATA'!$D$32,"")</f>
        <v/>
      </c>
      <c r="T415" s="518" t="str">
        <f>IF(AND(_1="A-319",'2026'!$N$4="FO",'2026'!$N$2=T385),'2026DATA'!$E$32,"")</f>
        <v/>
      </c>
      <c r="U415" s="518" t="str">
        <f>IF(AND(_1="A-319",'2026'!$N$4="FO",'2026'!$N$2=U385),'2026DATA'!$F$32,"")</f>
        <v/>
      </c>
      <c r="V415" s="518" t="str">
        <f>IF(AND(_1="A-319",'2026'!$N$4="FO",'2026'!$N$2=V385),'2026DATA'!$G$32,"")</f>
        <v/>
      </c>
      <c r="W415" s="518" t="str">
        <f>IF(AND(_1="A-319",'2026'!$N$4="FO",'2026'!$N$2=W385),'2026DATA'!$H$32,"")</f>
        <v/>
      </c>
      <c r="X415" s="518" t="str">
        <f>IF(AND(_1="A-319",'2026'!$N$4="FO",'2026'!$N$2=X385),'2026DATA'!$I$32,"")</f>
        <v/>
      </c>
      <c r="Y415" s="518" t="str">
        <f>IF(AND(_1="A-319",'2026'!$N$4="FO",'2026'!$N$2=Y385),'2026DATA'!$J$32,"")</f>
        <v/>
      </c>
      <c r="Z415" s="518" t="str">
        <f>IF(AND(_1="A-319",'2026'!$N$4="FO",'2026'!$N$2=Z385),'2026DATA'!$K$32,"")</f>
        <v/>
      </c>
      <c r="AA415" s="518" t="str">
        <f>IF(AND(_1="A-319",'2026'!$N$4="FO",'2026'!$N$2=AA385),'2026DATA'!$L$32,"")</f>
        <v/>
      </c>
      <c r="AB415" s="518" t="str">
        <f>IF(AND(_1="A-319",'2026'!$N$4="FO",'2026'!$N$2=AB385),'2026DATA'!$M$32,"")</f>
        <v/>
      </c>
      <c r="AC415" s="520" t="str">
        <f>IF(AND(_1="A-319",'2026'!$N$4="FO",'2026'!$N$2=AC385),'2026DATA'!$N$32,"")</f>
        <v/>
      </c>
      <c r="AD415" s="940"/>
      <c r="AE415" s="13" t="s">
        <v>62</v>
      </c>
      <c r="AF415" s="518" t="str">
        <f>IF(AND(_2="A-319",'2026'!$N$4="FO",'2026'!$N$2=AF385),'2026DATA'!$C$32,"")</f>
        <v/>
      </c>
      <c r="AG415" s="518" t="str">
        <f>IF(AND(_2="A-319",'2026'!$N$4="FO",'2026'!$N$2=AG385),'2026DATA'!$D$32,"")</f>
        <v/>
      </c>
      <c r="AH415" s="518" t="str">
        <f>IF(AND(_2="A-319",'2026'!$N$4="FO",'2026'!$N$2=AH385),'2026DATA'!$E$32,"")</f>
        <v/>
      </c>
      <c r="AI415" s="518" t="str">
        <f>IF(AND(_2="A-319",'2026'!$N$4="FO",'2026'!$N$2=AI385),'2026DATA'!$F$32,"")</f>
        <v/>
      </c>
      <c r="AJ415" s="518" t="str">
        <f>IF(AND(_2="A-319",'2026'!$N$4="FO",'2026'!$N$2=AJ385),'2026DATA'!$G$32,"")</f>
        <v/>
      </c>
      <c r="AK415" s="518" t="str">
        <f>IF(AND(_2="A-319",'2026'!$N$4="FO",'2026'!$N$2=AK385),'2026DATA'!$H$32,"")</f>
        <v/>
      </c>
      <c r="AL415" s="518" t="str">
        <f>IF(AND(_2="A-319",'2026'!$N$4="FO",'2026'!$N$2=AL385),'2026DATA'!$I$32,"")</f>
        <v/>
      </c>
      <c r="AM415" s="518" t="str">
        <f>IF(AND(_2="A-319",'2026'!$N$4="FO",'2026'!$N$2=AM385),'2026DATA'!$J$32,"")</f>
        <v/>
      </c>
      <c r="AN415" s="518" t="str">
        <f>IF(AND(_2="A-319",'2026'!$N$4="FO",'2026'!$N$2=AN385),'2026DATA'!$K$32,"")</f>
        <v/>
      </c>
      <c r="AO415" s="518" t="str">
        <f>IF(AND(_2="A-319",'2026'!$N$4="FO",'2026'!$N$2=AO385),'2026DATA'!$L$32,"")</f>
        <v/>
      </c>
      <c r="AP415" s="518" t="str">
        <f>IF(AND(_2="A-319",'2026'!$N$4="FO",'2026'!$N$2=AP385),'2026DATA'!$M$32,"")</f>
        <v/>
      </c>
      <c r="AQ415" s="520" t="str">
        <f>IF(AND(_2="A-319",'2026'!$N$4="FO",'2026'!$N$2=AQ385),'2026DATA'!$N$32,"")</f>
        <v/>
      </c>
      <c r="AR415" s="940"/>
      <c r="AS415" s="13" t="s">
        <v>62</v>
      </c>
      <c r="AT415" s="518" t="str">
        <f>IF(AND(_3="A-319",'2026'!$N$4="FO",'2026'!$N$2=AT385),'2026DATA'!$C$32,"")</f>
        <v/>
      </c>
      <c r="AU415" s="518" t="str">
        <f>IF(AND(_3="A-319",'2026'!$N$4="FO",'2026'!$N$2=AU385),'2026DATA'!$D$32,"")</f>
        <v/>
      </c>
      <c r="AV415" s="518" t="str">
        <f>IF(AND(_3="A-319",'2026'!$N$4="FO",'2026'!$N$2=AV385),'2026DATA'!$E$32,"")</f>
        <v/>
      </c>
      <c r="AW415" s="518" t="str">
        <f>IF(AND(_3="A-319",'2026'!$N$4="FO",'2026'!$N$2=AW385),'2026DATA'!$F$32,"")</f>
        <v/>
      </c>
      <c r="AX415" s="518" t="str">
        <f>IF(AND(_3="A-319",'2026'!$N$4="FO",'2026'!$N$2=AX385),'2026DATA'!$G$32,"")</f>
        <v/>
      </c>
      <c r="AY415" s="518" t="str">
        <f>IF(AND(_3="A-319",'2026'!$N$4="FO",'2026'!$N$2=AY385),'2026DATA'!$H$32,"")</f>
        <v/>
      </c>
      <c r="AZ415" s="518" t="str">
        <f>IF(AND(_3="A-319",'2026'!$N$4="FO",'2026'!$N$2=AZ385),'2026DATA'!$I$32,"")</f>
        <v/>
      </c>
      <c r="BA415" s="518" t="str">
        <f>IF(AND(_3="A-319",'2026'!$N$4="FO",'2026'!$N$2=BA385),'2026DATA'!$J$32,"")</f>
        <v/>
      </c>
      <c r="BB415" s="518" t="str">
        <f>IF(AND(_3="A-319",'2026'!$N$4="FO",'2026'!$N$2=BB385),'2026DATA'!$K$32,"")</f>
        <v/>
      </c>
      <c r="BC415" s="518" t="str">
        <f>IF(AND(_3="A-319",'2026'!$N$4="FO",'2026'!$N$2=BC385),'2026DATA'!$L$32,"")</f>
        <v/>
      </c>
      <c r="BD415" s="518" t="str">
        <f>IF(AND(_3="A-319",'2026'!$N$4="FO",'2026'!$N$2=BD385),'2026DATA'!$M$32,"")</f>
        <v/>
      </c>
      <c r="BE415" s="520" t="str">
        <f>IF(AND(_3="A-319",'2026'!$N$4="FO",'2026'!$N$2=BE385),'2026DATA'!$N$32,"")</f>
        <v/>
      </c>
      <c r="BF415" s="940"/>
      <c r="BG415" s="13" t="s">
        <v>62</v>
      </c>
      <c r="BH415" s="518" t="str">
        <f>IF(AND(_4="A-319",'2026'!$N$4="FO",'2026'!$N$2=BH385),'2026DATA'!$C$32,"")</f>
        <v/>
      </c>
      <c r="BI415" s="518" t="str">
        <f>IF(AND(_4="A-319",'2026'!$N$4="FO",'2026'!$N$2=BI385),'2026DATA'!$D$32,"")</f>
        <v/>
      </c>
      <c r="BJ415" s="518" t="str">
        <f>IF(AND(_4="A-319",'2026'!$N$4="FO",'2026'!$N$2=BJ385),'2026DATA'!$E$32,"")</f>
        <v/>
      </c>
      <c r="BK415" s="518" t="str">
        <f>IF(AND(_4="A-319",'2026'!$N$4="FO",'2026'!$N$2=BK385),'2026DATA'!$F$32,"")</f>
        <v/>
      </c>
      <c r="BL415" s="518" t="str">
        <f>IF(AND(_4="A-319",'2026'!$N$4="FO",'2026'!$N$2=BL385),'2026DATA'!$G$32,"")</f>
        <v/>
      </c>
      <c r="BM415" s="518" t="str">
        <f>IF(AND(_4="A-319",'2026'!$N$4="FO",'2026'!$N$2=BM385),'2026DATA'!$H$32,"")</f>
        <v/>
      </c>
      <c r="BN415" s="518" t="str">
        <f>IF(AND(_4="A-319",'2026'!$N$4="FO",'2026'!$N$2=BN385),'2026DATA'!$I$32,"")</f>
        <v/>
      </c>
      <c r="BO415" s="518" t="str">
        <f>IF(AND(_4="A-319",'2026'!$N$4="FO",'2026'!$N$2=BO385),'2026DATA'!$J$32,"")</f>
        <v/>
      </c>
      <c r="BP415" s="518" t="str">
        <f>IF(AND(_4="A-319",'2026'!$N$4="FO",'2026'!$N$2=BP385),'2026DATA'!$K$32,"")</f>
        <v/>
      </c>
      <c r="BQ415" s="518" t="str">
        <f>IF(AND(_4="A-319",'2026'!$N$4="FO",'2026'!$N$2=BQ385),'2026DATA'!$L$32,"")</f>
        <v/>
      </c>
      <c r="BR415" s="518" t="str">
        <f>IF(AND(_4="A-319",'2026'!$N$4="FO",'2026'!$N$2=BR385),'2026DATA'!$M$32,"")</f>
        <v/>
      </c>
      <c r="BS415" s="520" t="str">
        <f>IF(AND(_4="A-319",'2026'!$N$4="FO",'2026'!$N$2=BS385),'2026DATA'!$N$32,"")</f>
        <v/>
      </c>
      <c r="BT415" s="940"/>
      <c r="BU415" s="13" t="s">
        <v>62</v>
      </c>
      <c r="BV415" s="518" t="str">
        <f>IF(AND(_5="A-319",'2026'!$N$4="FO",'2026'!$N$2=BV385),'2026DATA'!$C$32,"")</f>
        <v/>
      </c>
      <c r="BW415" s="518" t="str">
        <f>IF(AND(_5="A-319",'2026'!$N$4="FO",'2026'!$N$2=BW385),'2026DATA'!$D$32,"")</f>
        <v/>
      </c>
      <c r="BX415" s="518" t="str">
        <f>IF(AND(_5="A-319",'2026'!$N$4="FO",'2026'!$N$2=BX385),'2026DATA'!$E$32,"")</f>
        <v/>
      </c>
      <c r="BY415" s="518" t="str">
        <f>IF(AND(_5="A-319",'2026'!$N$4="FO",'2026'!$N$2=BY385),'2026DATA'!$F$32,"")</f>
        <v/>
      </c>
      <c r="BZ415" s="518" t="str">
        <f>IF(AND(_5="A-319",'2026'!$N$4="FO",'2026'!$N$2=BZ385),'2026DATA'!$G$32,"")</f>
        <v/>
      </c>
      <c r="CA415" s="518" t="str">
        <f>IF(AND(_5="A-319",'2026'!$N$4="FO",'2026'!$N$2=CA385),'2026DATA'!$H$32,"")</f>
        <v/>
      </c>
      <c r="CB415" s="518" t="str">
        <f>IF(AND(_5="A-319",'2026'!$N$4="FO",'2026'!$N$2=CB385),'2026DATA'!$I$32,"")</f>
        <v/>
      </c>
      <c r="CC415" s="518" t="str">
        <f>IF(AND(_5="A-319",'2026'!$N$4="FO",'2026'!$N$2=CC385),'2026DATA'!$J$32,"")</f>
        <v/>
      </c>
      <c r="CD415" s="518" t="str">
        <f>IF(AND(_5="A-319",'2026'!$N$4="FO",'2026'!$N$2=CD385),'2026DATA'!$K$32,"")</f>
        <v/>
      </c>
      <c r="CE415" s="518" t="str">
        <f>IF(AND(_5="A-319",'2026'!$N$4="FO",'2026'!$N$2=CE385),'2026DATA'!$L$32,"")</f>
        <v/>
      </c>
      <c r="CF415" s="518" t="str">
        <f>IF(AND(_5="A-319",'2026'!$N$4="FO",'2026'!$N$2=CF385),'2026DATA'!$M$32,"")</f>
        <v/>
      </c>
      <c r="CG415" s="520" t="str">
        <f>IF(AND(_5="A-319",'2026'!$N$4="FO",'2026'!$N$2=CG385),'2026DATA'!$N$32,"")</f>
        <v/>
      </c>
      <c r="CH415" s="940"/>
      <c r="CI415" s="13" t="s">
        <v>62</v>
      </c>
      <c r="CJ415" s="518" t="str">
        <f>IF(AND(_6="A-319",'2026'!$N$4="FO",'2026'!$N$2=CJ385),'2026DATA'!$C$32,"")</f>
        <v/>
      </c>
      <c r="CK415" s="518" t="str">
        <f>IF(AND(_6="A-319",'2026'!$N$4="FO",'2026'!$N$2=CK385),'2026DATA'!$D$32,"")</f>
        <v/>
      </c>
      <c r="CL415" s="518" t="str">
        <f>IF(AND(_6="A-319",'2026'!$N$4="FO",'2026'!$N$2=CL385),'2026DATA'!$E$32,"")</f>
        <v/>
      </c>
      <c r="CM415" s="518" t="str">
        <f>IF(AND(_6="A-319",'2026'!$N$4="FO",'2026'!$N$2=CM385),'2026DATA'!$F$32,"")</f>
        <v/>
      </c>
      <c r="CN415" s="518" t="str">
        <f>IF(AND(_6="A-319",'2026'!$N$4="FO",'2026'!$N$2=CN385),'2026DATA'!$G$32,"")</f>
        <v/>
      </c>
      <c r="CO415" s="518" t="str">
        <f>IF(AND(_6="A-319",'2026'!$N$4="FO",'2026'!$N$2=CO385),'2026DATA'!$H$32,"")</f>
        <v/>
      </c>
      <c r="CP415" s="518" t="str">
        <f>IF(AND(_6="A-319",'2026'!$N$4="FO",'2026'!$N$2=CP385),'2026DATA'!$I$32,"")</f>
        <v/>
      </c>
      <c r="CQ415" s="518" t="str">
        <f>IF(AND(_6="A-319",'2026'!$N$4="FO",'2026'!$N$2=CQ385),'2026DATA'!$J$32,"")</f>
        <v/>
      </c>
      <c r="CR415" s="518" t="str">
        <f>IF(AND(_6="A-319",'2026'!$N$4="FO",'2026'!$N$2=CR385),'2026DATA'!$K$32,"")</f>
        <v/>
      </c>
      <c r="CS415" s="518" t="str">
        <f>IF(AND(_6="A-319",'2026'!$N$4="FO",'2026'!$N$2=CS385),'2026DATA'!$L$32,"")</f>
        <v/>
      </c>
      <c r="CT415" s="518" t="str">
        <f>IF(AND(_6="A-319",'2026'!$N$4="FO",'2026'!$N$2=CT385),'2026DATA'!$M$32,"")</f>
        <v/>
      </c>
      <c r="CU415" s="520" t="str">
        <f>IF(AND(_6="A-319",'2026'!$N$4="FO",'2026'!$N$2=CU385),'2026DATA'!$N$32,"")</f>
        <v/>
      </c>
    </row>
    <row r="416" spans="16:99" x14ac:dyDescent="0.25">
      <c r="P416" s="940" t="s">
        <v>51</v>
      </c>
      <c r="Q416" s="13" t="s">
        <v>61</v>
      </c>
      <c r="R416" s="518" t="str">
        <f>IF(AND(_1="A-220-300",'2026'!$N$4="CA",'2026'!$N$2=R385),'2026DATA'!$C$33,"")</f>
        <v/>
      </c>
      <c r="S416" s="518" t="str">
        <f>IF(AND(_1="A-220-300",'2026'!$N$4="CA",'2026'!$N$2=S385),'2026DATA'!$D$33,"")</f>
        <v/>
      </c>
      <c r="T416" s="518" t="str">
        <f>IF(AND(_1="A-220-300",'2026'!$N$4="CA",'2026'!$N$2=T385),'2026DATA'!$E$33,"")</f>
        <v/>
      </c>
      <c r="U416" s="518" t="str">
        <f>IF(AND(_1="A-220-300",'2026'!$N$4="CA",'2026'!$N$2=U385),'2026DATA'!$F$33,"")</f>
        <v/>
      </c>
      <c r="V416" s="518" t="str">
        <f>IF(AND(_1="A-220-300",'2026'!$N$4="CA",'2026'!$N$2=V385),'2026DATA'!$G$33,"")</f>
        <v/>
      </c>
      <c r="W416" s="518" t="str">
        <f>IF(AND(_1="A-220-300",'2026'!$N$4="CA",'2026'!$N$2=W385),'2026DATA'!$H$33,"")</f>
        <v/>
      </c>
      <c r="X416" s="518" t="str">
        <f>IF(AND(_1="A-220-300",'2026'!$N$4="CA",'2026'!$N$2=X385),'2026DATA'!$I$33,"")</f>
        <v/>
      </c>
      <c r="Y416" s="518" t="str">
        <f>IF(AND(_1="A-220-300",'2026'!$N$4="CA",'2026'!$N$2=Y385),'2026DATA'!$J$33,"")</f>
        <v/>
      </c>
      <c r="Z416" s="518" t="str">
        <f>IF(AND(_1="A-220-300",'2026'!$N$4="CA",'2026'!$N$2=Z385),'2026DATA'!$K$33,"")</f>
        <v/>
      </c>
      <c r="AA416" s="518" t="str">
        <f>IF(AND(_1="A-220-300",'2026'!$N$4="CA",'2026'!$N$2=AA385),'2026DATA'!$L$33,"")</f>
        <v/>
      </c>
      <c r="AB416" s="518" t="str">
        <f>IF(AND(_1="A-220-300",'2026'!$N$4="CA",'2026'!$N$2=AB385),'2026DATA'!$M$33,"")</f>
        <v/>
      </c>
      <c r="AC416" s="520" t="str">
        <f>IF(AND(_1="A-220-300",'2026'!$N$4="CA",'2026'!$N$2=AC385),'2026DATA'!$N$33,"")</f>
        <v/>
      </c>
      <c r="AD416" s="940" t="s">
        <v>51</v>
      </c>
      <c r="AE416" s="13" t="s">
        <v>61</v>
      </c>
      <c r="AF416" s="518" t="str">
        <f>IF(AND(_2="A-220-300",'2026'!$N$4="CA",'2026'!$N$2=AF385),'2026DATA'!$C$33,"")</f>
        <v/>
      </c>
      <c r="AG416" s="518" t="str">
        <f>IF(AND(_2="A-220-300",'2026'!$N$4="CA",'2026'!$N$2=AG385),'2026DATA'!$D$33,"")</f>
        <v/>
      </c>
      <c r="AH416" s="518" t="str">
        <f>IF(AND(_2="A-220-300",'2026'!$N$4="CA",'2026'!$N$2=AH385),'2026DATA'!$E$33,"")</f>
        <v/>
      </c>
      <c r="AI416" s="518" t="str">
        <f>IF(AND(_2="A-220-300",'2026'!$N$4="CA",'2026'!$N$2=AI385),'2026DATA'!$F$33,"")</f>
        <v/>
      </c>
      <c r="AJ416" s="518" t="str">
        <f>IF(AND(_2="A-220-300",'2026'!$N$4="CA",'2026'!$N$2=AJ385),'2026DATA'!$G$33,"")</f>
        <v/>
      </c>
      <c r="AK416" s="518" t="str">
        <f>IF(AND(_2="A-220-300",'2026'!$N$4="CA",'2026'!$N$2=AK385),'2026DATA'!$H$33,"")</f>
        <v/>
      </c>
      <c r="AL416" s="518" t="str">
        <f>IF(AND(_2="A-220-300",'2026'!$N$4="CA",'2026'!$N$2=AL385),'2026DATA'!$I$33,"")</f>
        <v/>
      </c>
      <c r="AM416" s="518" t="str">
        <f>IF(AND(_2="A-220-300",'2026'!$N$4="CA",'2026'!$N$2=AM385),'2026DATA'!$J$33,"")</f>
        <v/>
      </c>
      <c r="AN416" s="518" t="str">
        <f>IF(AND(_2="A-220-300",'2026'!$N$4="CA",'2026'!$N$2=AN385),'2026DATA'!$K$33,"")</f>
        <v/>
      </c>
      <c r="AO416" s="518" t="str">
        <f>IF(AND(_2="A-220-300",'2026'!$N$4="CA",'2026'!$N$2=AO385),'2026DATA'!$L$33,"")</f>
        <v/>
      </c>
      <c r="AP416" s="518" t="str">
        <f>IF(AND(_2="A-220-300",'2026'!$N$4="CA",'2026'!$N$2=AP385),'2026DATA'!$M$33,"")</f>
        <v/>
      </c>
      <c r="AQ416" s="520" t="str">
        <f>IF(AND(_2="A-220-300",'2026'!$N$4="CA",'2026'!$N$2=AQ385),'2026DATA'!$N$33,"")</f>
        <v/>
      </c>
      <c r="AR416" s="940" t="s">
        <v>51</v>
      </c>
      <c r="AS416" s="13" t="s">
        <v>61</v>
      </c>
      <c r="AT416" s="518" t="str">
        <f>IF(AND(_3="A-220-300",'2026'!$N$4="CA",'2026'!$N$2=AT385),'2026DATA'!$C$33,"")</f>
        <v/>
      </c>
      <c r="AU416" s="518" t="str">
        <f>IF(AND(_3="A-220-300",'2026'!$N$4="CA",'2026'!$N$2=AU385),'2026DATA'!$D$33,"")</f>
        <v/>
      </c>
      <c r="AV416" s="518" t="str">
        <f>IF(AND(_3="A-220-300",'2026'!$N$4="CA",'2026'!$N$2=AV385),'2026DATA'!$E$33,"")</f>
        <v/>
      </c>
      <c r="AW416" s="518" t="str">
        <f>IF(AND(_3="A-220-300",'2026'!$N$4="CA",'2026'!$N$2=AW385),'2026DATA'!$F$33,"")</f>
        <v/>
      </c>
      <c r="AX416" s="518" t="str">
        <f>IF(AND(_3="A-220-300",'2026'!$N$4="CA",'2026'!$N$2=AX385),'2026DATA'!$G$33,"")</f>
        <v/>
      </c>
      <c r="AY416" s="518" t="str">
        <f>IF(AND(_3="A-220-300",'2026'!$N$4="CA",'2026'!$N$2=AY385),'2026DATA'!$H$33,"")</f>
        <v/>
      </c>
      <c r="AZ416" s="518" t="str">
        <f>IF(AND(_3="A-220-300",'2026'!$N$4="CA",'2026'!$N$2=AZ385),'2026DATA'!$I$33,"")</f>
        <v/>
      </c>
      <c r="BA416" s="518" t="str">
        <f>IF(AND(_3="A-220-300",'2026'!$N$4="CA",'2026'!$N$2=BA385),'2026DATA'!$J$33,"")</f>
        <v/>
      </c>
      <c r="BB416" s="518" t="str">
        <f>IF(AND(_3="A-220-300",'2026'!$N$4="CA",'2026'!$N$2=BB385),'2026DATA'!$K$33,"")</f>
        <v/>
      </c>
      <c r="BC416" s="518" t="str">
        <f>IF(AND(_3="A-220-300",'2026'!$N$4="CA",'2026'!$N$2=BC385),'2026DATA'!$L$33,"")</f>
        <v/>
      </c>
      <c r="BD416" s="518" t="str">
        <f>IF(AND(_3="A-220-300",'2026'!$N$4="CA",'2026'!$N$2=BD385),'2026DATA'!$M$33,"")</f>
        <v/>
      </c>
      <c r="BE416" s="520" t="str">
        <f>IF(AND(_3="A-220-300",'2026'!$N$4="CA",'2026'!$N$2=BE385),'2026DATA'!$N$33,"")</f>
        <v/>
      </c>
      <c r="BF416" s="940" t="s">
        <v>51</v>
      </c>
      <c r="BG416" s="13" t="s">
        <v>61</v>
      </c>
      <c r="BH416" s="518" t="str">
        <f>IF(AND(_4="A-220-300",'2026'!$N$4="CA",'2026'!$N$2=BH385),'2026DATA'!$C$33,"")</f>
        <v/>
      </c>
      <c r="BI416" s="518" t="str">
        <f>IF(AND(_4="A-220-300",'2026'!$N$4="CA",'2026'!$N$2=BI385),'2026DATA'!$D$33,"")</f>
        <v/>
      </c>
      <c r="BJ416" s="518" t="str">
        <f>IF(AND(_4="A-220-300",'2026'!$N$4="CA",'2026'!$N$2=BJ385),'2026DATA'!$E$33,"")</f>
        <v/>
      </c>
      <c r="BK416" s="518" t="str">
        <f>IF(AND(_4="A-220-300",'2026'!$N$4="CA",'2026'!$N$2=BK385),'2026DATA'!$F$33,"")</f>
        <v/>
      </c>
      <c r="BL416" s="518" t="str">
        <f>IF(AND(_4="A-220-300",'2026'!$N$4="CA",'2026'!$N$2=BL385),'2026DATA'!$G$33,"")</f>
        <v/>
      </c>
      <c r="BM416" s="518" t="str">
        <f>IF(AND(_4="A-220-300",'2026'!$N$4="CA",'2026'!$N$2=BM385),'2026DATA'!$H$33,"")</f>
        <v/>
      </c>
      <c r="BN416" s="518" t="str">
        <f>IF(AND(_4="A-220-300",'2026'!$N$4="CA",'2026'!$N$2=BN385),'2026DATA'!$I$33,"")</f>
        <v/>
      </c>
      <c r="BO416" s="518" t="str">
        <f>IF(AND(_4="A-220-300",'2026'!$N$4="CA",'2026'!$N$2=BO385),'2026DATA'!$J$33,"")</f>
        <v/>
      </c>
      <c r="BP416" s="518" t="str">
        <f>IF(AND(_4="A-220-300",'2026'!$N$4="CA",'2026'!$N$2=BP385),'2026DATA'!$K$33,"")</f>
        <v/>
      </c>
      <c r="BQ416" s="518" t="str">
        <f>IF(AND(_4="A-220-300",'2026'!$N$4="CA",'2026'!$N$2=BQ385),'2026DATA'!$L$33,"")</f>
        <v/>
      </c>
      <c r="BR416" s="518" t="str">
        <f>IF(AND(_4="A-220-300",'2026'!$N$4="CA",'2026'!$N$2=BR385),'2026DATA'!$M$33,"")</f>
        <v/>
      </c>
      <c r="BS416" s="520" t="str">
        <f>IF(AND(_4="A-220-300",'2026'!$N$4="CA",'2026'!$N$2=BS385),'2026DATA'!$N$33,"")</f>
        <v/>
      </c>
      <c r="BT416" s="940" t="s">
        <v>51</v>
      </c>
      <c r="BU416" s="13" t="s">
        <v>61</v>
      </c>
      <c r="BV416" s="518" t="str">
        <f>IF(AND(_5="A-220-300",'2026'!$N$4="CA",'2026'!$N$2=BV385),'2026DATA'!$C$33,"")</f>
        <v/>
      </c>
      <c r="BW416" s="518" t="str">
        <f>IF(AND(_5="A-220-300",'2026'!$N$4="CA",'2026'!$N$2=BW385),'2026DATA'!$D$33,"")</f>
        <v/>
      </c>
      <c r="BX416" s="518" t="str">
        <f>IF(AND(_5="A-220-300",'2026'!$N$4="CA",'2026'!$N$2=BX385),'2026DATA'!$E$33,"")</f>
        <v/>
      </c>
      <c r="BY416" s="518" t="str">
        <f>IF(AND(_5="A-220-300",'2026'!$N$4="CA",'2026'!$N$2=BY385),'2026DATA'!$F$33,"")</f>
        <v/>
      </c>
      <c r="BZ416" s="518" t="str">
        <f>IF(AND(_5="A-220-300",'2026'!$N$4="CA",'2026'!$N$2=BZ385),'2026DATA'!$G$33,"")</f>
        <v/>
      </c>
      <c r="CA416" s="518" t="str">
        <f>IF(AND(_5="A-220-300",'2026'!$N$4="CA",'2026'!$N$2=CA385),'2026DATA'!$H$33,"")</f>
        <v/>
      </c>
      <c r="CB416" s="518" t="str">
        <f>IF(AND(_5="A-220-300",'2026'!$N$4="CA",'2026'!$N$2=CB385),'2026DATA'!$I$33,"")</f>
        <v/>
      </c>
      <c r="CC416" s="518" t="str">
        <f>IF(AND(_5="A-220-300",'2026'!$N$4="CA",'2026'!$N$2=CC385),'2026DATA'!$J$33,"")</f>
        <v/>
      </c>
      <c r="CD416" s="518" t="str">
        <f>IF(AND(_5="A-220-300",'2026'!$N$4="CA",'2026'!$N$2=CD385),'2026DATA'!$K$33,"")</f>
        <v/>
      </c>
      <c r="CE416" s="518" t="str">
        <f>IF(AND(_5="A-220-300",'2026'!$N$4="CA",'2026'!$N$2=CE385),'2026DATA'!$L$33,"")</f>
        <v/>
      </c>
      <c r="CF416" s="518" t="str">
        <f>IF(AND(_5="A-220-300",'2026'!$N$4="CA",'2026'!$N$2=CF385),'2026DATA'!$M$33,"")</f>
        <v/>
      </c>
      <c r="CG416" s="520" t="str">
        <f>IF(AND(_5="A-220-300",'2026'!$N$4="CA",'2026'!$N$2=CG385),'2026DATA'!$N$33,"")</f>
        <v/>
      </c>
      <c r="CH416" s="940" t="s">
        <v>51</v>
      </c>
      <c r="CI416" s="13" t="s">
        <v>61</v>
      </c>
      <c r="CJ416" s="518" t="str">
        <f>IF(AND(_6="A-220-300",'2026'!$N$4="CA",'2026'!$N$2=CJ385),'2026DATA'!$C$33,"")</f>
        <v/>
      </c>
      <c r="CK416" s="518" t="str">
        <f>IF(AND(_6="A-220-300",'2026'!$N$4="CA",'2026'!$N$2=CK385),'2026DATA'!$D$33,"")</f>
        <v/>
      </c>
      <c r="CL416" s="518" t="str">
        <f>IF(AND(_6="A-220-300",'2026'!$N$4="CA",'2026'!$N$2=CL385),'2026DATA'!$E$33,"")</f>
        <v/>
      </c>
      <c r="CM416" s="518" t="str">
        <f>IF(AND(_6="A-220-300",'2026'!$N$4="CA",'2026'!$N$2=CM385),'2026DATA'!$F$33,"")</f>
        <v/>
      </c>
      <c r="CN416" s="518" t="str">
        <f>IF(AND(_6="A-220-300",'2026'!$N$4="CA",'2026'!$N$2=CN385),'2026DATA'!$G$33,"")</f>
        <v/>
      </c>
      <c r="CO416" s="518" t="str">
        <f>IF(AND(_6="A-220-300",'2026'!$N$4="CA",'2026'!$N$2=CO385),'2026DATA'!$H$33,"")</f>
        <v/>
      </c>
      <c r="CP416" s="518" t="str">
        <f>IF(AND(_6="A-220-300",'2026'!$N$4="CA",'2026'!$N$2=CP385),'2026DATA'!$I$33,"")</f>
        <v/>
      </c>
      <c r="CQ416" s="518" t="str">
        <f>IF(AND(_6="A-220-300",'2026'!$N$4="CA",'2026'!$N$2=CQ385),'2026DATA'!$J$33,"")</f>
        <v/>
      </c>
      <c r="CR416" s="518" t="str">
        <f>IF(AND(_6="A-220-300",'2026'!$N$4="CA",'2026'!$N$2=CR385),'2026DATA'!$K$33,"")</f>
        <v/>
      </c>
      <c r="CS416" s="518" t="str">
        <f>IF(AND(_6="A-220-300",'2026'!$N$4="CA",'2026'!$N$2=CS385),'2026DATA'!$L$33,"")</f>
        <v/>
      </c>
      <c r="CT416" s="518" t="str">
        <f>IF(AND(_6="A-220-300",'2026'!$N$4="CA",'2026'!$N$2=CT385),'2026DATA'!$M$33,"")</f>
        <v/>
      </c>
      <c r="CU416" s="520" t="str">
        <f>IF(AND(_6="A-220-300",'2026'!$N$4="CA",'2026'!$N$2=CU385),'2026DATA'!$N$33,"")</f>
        <v/>
      </c>
    </row>
    <row r="417" spans="16:99" x14ac:dyDescent="0.25">
      <c r="P417" s="940"/>
      <c r="Q417" s="13" t="s">
        <v>62</v>
      </c>
      <c r="R417" s="518" t="str">
        <f>IF(AND(_1="A-220-300",'2026'!$N$4="FO",'2026'!$N$2=R385),'2026DATA'!$C$34,"")</f>
        <v/>
      </c>
      <c r="S417" s="518" t="str">
        <f>IF(AND(_1="A-220-300",'2026'!$N$4="FO",'2026'!$N$2=S385),'2026DATA'!$D$34,"")</f>
        <v/>
      </c>
      <c r="T417" s="518" t="str">
        <f>IF(AND(_1="A-220-300",'2026'!$N$4="FO",'2026'!$N$2=T385),'2026DATA'!$E$34,"")</f>
        <v/>
      </c>
      <c r="U417" s="518" t="str">
        <f>IF(AND(_1="A-220-300",'2026'!$N$4="FO",'2026'!$N$2=U385),'2026DATA'!$F$34,"")</f>
        <v/>
      </c>
      <c r="V417" s="518" t="str">
        <f>IF(AND(_1="A-220-300",'2026'!$N$4="FO",'2026'!$N$2=V385),'2026DATA'!$G$34,"")</f>
        <v/>
      </c>
      <c r="W417" s="518" t="str">
        <f>IF(AND(_1="A-220-300",'2026'!$N$4="FO",'2026'!$N$2=W385),'2026DATA'!$H$34,"")</f>
        <v/>
      </c>
      <c r="X417" s="518" t="str">
        <f>IF(AND(_1="A-220-300",'2026'!$N$4="FO",'2026'!$N$2=X385),'2026DATA'!$I$34,"")</f>
        <v/>
      </c>
      <c r="Y417" s="518" t="str">
        <f>IF(AND(_1="A-220-300",'2026'!$N$4="FO",'2026'!$N$2=Y385),'2026DATA'!$J$34,"")</f>
        <v/>
      </c>
      <c r="Z417" s="518" t="str">
        <f>IF(AND(_1="A-220-300",'2026'!$N$4="FO",'2026'!$N$2=Z385),'2026DATA'!$K$34,"")</f>
        <v/>
      </c>
      <c r="AA417" s="518" t="str">
        <f>IF(AND(_1="A-220-300",'2026'!$N$4="FO",'2026'!$N$2=AA385),'2026DATA'!$L$34,"")</f>
        <v/>
      </c>
      <c r="AB417" s="518" t="str">
        <f>IF(AND(_1="A-220-300",'2026'!$N$4="FO",'2026'!$N$2=AB385),'2026DATA'!$M$34,"")</f>
        <v/>
      </c>
      <c r="AC417" s="520" t="str">
        <f>IF(AND(_1="A-220-300",'2026'!$N$4="FO",'2026'!$N$2=AC385),'2026DATA'!$N$34,"")</f>
        <v/>
      </c>
      <c r="AD417" s="940"/>
      <c r="AE417" s="13" t="s">
        <v>62</v>
      </c>
      <c r="AF417" s="518" t="str">
        <f>IF(AND(_2="A-220-300",'2026'!$N$4="FO",'2026'!$N$2=AF385),'2026DATA'!$C$34,"")</f>
        <v/>
      </c>
      <c r="AG417" s="518" t="str">
        <f>IF(AND(_2="A-220-300",'2026'!$N$4="FO",'2026'!$N$2=AG385),'2026DATA'!$D$34,"")</f>
        <v/>
      </c>
      <c r="AH417" s="518" t="str">
        <f>IF(AND(_2="A-220-300",'2026'!$N$4="FO",'2026'!$N$2=AH385),'2026DATA'!$E$34,"")</f>
        <v/>
      </c>
      <c r="AI417" s="518" t="str">
        <f>IF(AND(_2="A-220-300",'2026'!$N$4="FO",'2026'!$N$2=AI385),'2026DATA'!$F$34,"")</f>
        <v/>
      </c>
      <c r="AJ417" s="518" t="str">
        <f>IF(AND(_2="A-220-300",'2026'!$N$4="FO",'2026'!$N$2=AJ385),'2026DATA'!$G$34,"")</f>
        <v/>
      </c>
      <c r="AK417" s="518" t="str">
        <f>IF(AND(_2="A-220-300",'2026'!$N$4="FO",'2026'!$N$2=AK385),'2026DATA'!$H$34,"")</f>
        <v/>
      </c>
      <c r="AL417" s="518" t="str">
        <f>IF(AND(_2="A-220-300",'2026'!$N$4="FO",'2026'!$N$2=AL385),'2026DATA'!$I$34,"")</f>
        <v/>
      </c>
      <c r="AM417" s="518" t="str">
        <f>IF(AND(_2="A-220-300",'2026'!$N$4="FO",'2026'!$N$2=AM385),'2026DATA'!$J$34,"")</f>
        <v/>
      </c>
      <c r="AN417" s="518" t="str">
        <f>IF(AND(_2="A-220-300",'2026'!$N$4="FO",'2026'!$N$2=AN385),'2026DATA'!$K$34,"")</f>
        <v/>
      </c>
      <c r="AO417" s="518" t="str">
        <f>IF(AND(_2="A-220-300",'2026'!$N$4="FO",'2026'!$N$2=AO385),'2026DATA'!$L$34,"")</f>
        <v/>
      </c>
      <c r="AP417" s="518" t="str">
        <f>IF(AND(_2="A-220-300",'2026'!$N$4="FO",'2026'!$N$2=AP385),'2026DATA'!$M$34,"")</f>
        <v/>
      </c>
      <c r="AQ417" s="520" t="str">
        <f>IF(AND(_2="A-220-300",'2026'!$N$4="FO",'2026'!$N$2=AQ385),'2026DATA'!$N$34,"")</f>
        <v/>
      </c>
      <c r="AR417" s="940"/>
      <c r="AS417" s="13" t="s">
        <v>62</v>
      </c>
      <c r="AT417" s="518" t="str">
        <f>IF(AND(_3="A-220-300",'2026'!$N$4="FO",'2026'!$N$2=AT385),'2026DATA'!$C$34,"")</f>
        <v/>
      </c>
      <c r="AU417" s="518" t="str">
        <f>IF(AND(_3="A-220-300",'2026'!$N$4="FO",'2026'!$N$2=AU385),'2026DATA'!$D$34,"")</f>
        <v/>
      </c>
      <c r="AV417" s="518" t="str">
        <f>IF(AND(_3="A-220-300",'2026'!$N$4="FO",'2026'!$N$2=AV385),'2026DATA'!$E$34,"")</f>
        <v/>
      </c>
      <c r="AW417" s="518" t="str">
        <f>IF(AND(_3="A-220-300",'2026'!$N$4="FO",'2026'!$N$2=AW385),'2026DATA'!$F$34,"")</f>
        <v/>
      </c>
      <c r="AX417" s="518" t="str">
        <f>IF(AND(_3="A-220-300",'2026'!$N$4="FO",'2026'!$N$2=AX385),'2026DATA'!$G$34,"")</f>
        <v/>
      </c>
      <c r="AY417" s="518" t="str">
        <f>IF(AND(_3="A-220-300",'2026'!$N$4="FO",'2026'!$N$2=AY385),'2026DATA'!$H$34,"")</f>
        <v/>
      </c>
      <c r="AZ417" s="518" t="str">
        <f>IF(AND(_3="A-220-300",'2026'!$N$4="FO",'2026'!$N$2=AZ385),'2026DATA'!$I$34,"")</f>
        <v/>
      </c>
      <c r="BA417" s="518" t="str">
        <f>IF(AND(_3="A-220-300",'2026'!$N$4="FO",'2026'!$N$2=BA385),'2026DATA'!$J$34,"")</f>
        <v/>
      </c>
      <c r="BB417" s="518" t="str">
        <f>IF(AND(_3="A-220-300",'2026'!$N$4="FO",'2026'!$N$2=BB385),'2026DATA'!$K$34,"")</f>
        <v/>
      </c>
      <c r="BC417" s="518" t="str">
        <f>IF(AND(_3="A-220-300",'2026'!$N$4="FO",'2026'!$N$2=BC385),'2026DATA'!$L$34,"")</f>
        <v/>
      </c>
      <c r="BD417" s="518" t="str">
        <f>IF(AND(_3="A-220-300",'2026'!$N$4="FO",'2026'!$N$2=BD385),'2026DATA'!$M$34,"")</f>
        <v/>
      </c>
      <c r="BE417" s="520" t="str">
        <f>IF(AND(_3="A-220-300",'2026'!$N$4="FO",'2026'!$N$2=BE385),'2026DATA'!$N$34,"")</f>
        <v/>
      </c>
      <c r="BF417" s="940"/>
      <c r="BG417" s="13" t="s">
        <v>62</v>
      </c>
      <c r="BH417" s="518" t="str">
        <f>IF(AND(_4="A-220-300",'2026'!$N$4="FO",'2026'!$N$2=BH385),'2026DATA'!$C$34,"")</f>
        <v/>
      </c>
      <c r="BI417" s="518" t="str">
        <f>IF(AND(_4="A-220-300",'2026'!$N$4="FO",'2026'!$N$2=BI385),'2026DATA'!$D$34,"")</f>
        <v/>
      </c>
      <c r="BJ417" s="518" t="str">
        <f>IF(AND(_4="A-220-300",'2026'!$N$4="FO",'2026'!$N$2=BJ385),'2026DATA'!$E$34,"")</f>
        <v/>
      </c>
      <c r="BK417" s="518" t="str">
        <f>IF(AND(_4="A-220-300",'2026'!$N$4="FO",'2026'!$N$2=BK385),'2026DATA'!$F$34,"")</f>
        <v/>
      </c>
      <c r="BL417" s="518" t="str">
        <f>IF(AND(_4="A-220-300",'2026'!$N$4="FO",'2026'!$N$2=BL385),'2026DATA'!$G$34,"")</f>
        <v/>
      </c>
      <c r="BM417" s="518" t="str">
        <f>IF(AND(_4="A-220-300",'2026'!$N$4="FO",'2026'!$N$2=BM385),'2026DATA'!$H$34,"")</f>
        <v/>
      </c>
      <c r="BN417" s="518" t="str">
        <f>IF(AND(_4="A-220-300",'2026'!$N$4="FO",'2026'!$N$2=BN385),'2026DATA'!$I$34,"")</f>
        <v/>
      </c>
      <c r="BO417" s="518" t="str">
        <f>IF(AND(_4="A-220-300",'2026'!$N$4="FO",'2026'!$N$2=BO385),'2026DATA'!$J$34,"")</f>
        <v/>
      </c>
      <c r="BP417" s="518" t="str">
        <f>IF(AND(_4="A-220-300",'2026'!$N$4="FO",'2026'!$N$2=BP385),'2026DATA'!$K$34,"")</f>
        <v/>
      </c>
      <c r="BQ417" s="518" t="str">
        <f>IF(AND(_4="A-220-300",'2026'!$N$4="FO",'2026'!$N$2=BQ385),'2026DATA'!$L$34,"")</f>
        <v/>
      </c>
      <c r="BR417" s="518" t="str">
        <f>IF(AND(_4="A-220-300",'2026'!$N$4="FO",'2026'!$N$2=BR385),'2026DATA'!$M$34,"")</f>
        <v/>
      </c>
      <c r="BS417" s="520" t="str">
        <f>IF(AND(_4="A-220-300",'2026'!$N$4="FO",'2026'!$N$2=BS385),'2026DATA'!$N$34,"")</f>
        <v/>
      </c>
      <c r="BT417" s="940"/>
      <c r="BU417" s="13" t="s">
        <v>62</v>
      </c>
      <c r="BV417" s="518" t="str">
        <f>IF(AND(_5="A-220-300",'2026'!$N$4="FO",'2026'!$N$2=BV385),'2026DATA'!$C$34,"")</f>
        <v/>
      </c>
      <c r="BW417" s="518" t="str">
        <f>IF(AND(_5="A-220-300",'2026'!$N$4="FO",'2026'!$N$2=BW385),'2026DATA'!$D$34,"")</f>
        <v/>
      </c>
      <c r="BX417" s="518" t="str">
        <f>IF(AND(_5="A-220-300",'2026'!$N$4="FO",'2026'!$N$2=BX385),'2026DATA'!$E$34,"")</f>
        <v/>
      </c>
      <c r="BY417" s="518" t="str">
        <f>IF(AND(_5="A-220-300",'2026'!$N$4="FO",'2026'!$N$2=BY385),'2026DATA'!$F$34,"")</f>
        <v/>
      </c>
      <c r="BZ417" s="518" t="str">
        <f>IF(AND(_5="A-220-300",'2026'!$N$4="FO",'2026'!$N$2=BZ385),'2026DATA'!$G$34,"")</f>
        <v/>
      </c>
      <c r="CA417" s="518" t="str">
        <f>IF(AND(_5="A-220-300",'2026'!$N$4="FO",'2026'!$N$2=CA385),'2026DATA'!$H$34,"")</f>
        <v/>
      </c>
      <c r="CB417" s="518" t="str">
        <f>IF(AND(_5="A-220-300",'2026'!$N$4="FO",'2026'!$N$2=CB385),'2026DATA'!$I$34,"")</f>
        <v/>
      </c>
      <c r="CC417" s="518" t="str">
        <f>IF(AND(_5="A-220-300",'2026'!$N$4="FO",'2026'!$N$2=CC385),'2026DATA'!$J$34,"")</f>
        <v/>
      </c>
      <c r="CD417" s="518" t="str">
        <f>IF(AND(_5="A-220-300",'2026'!$N$4="FO",'2026'!$N$2=CD385),'2026DATA'!$K$34,"")</f>
        <v/>
      </c>
      <c r="CE417" s="518" t="str">
        <f>IF(AND(_5="A-220-300",'2026'!$N$4="FO",'2026'!$N$2=CE385),'2026DATA'!$L$34,"")</f>
        <v/>
      </c>
      <c r="CF417" s="518" t="str">
        <f>IF(AND(_5="A-220-300",'2026'!$N$4="FO",'2026'!$N$2=CF385),'2026DATA'!$M$34,"")</f>
        <v/>
      </c>
      <c r="CG417" s="520" t="str">
        <f>IF(AND(_5="A-220-300",'2026'!$N$4="FO",'2026'!$N$2=CG385),'2026DATA'!$N$34,"")</f>
        <v/>
      </c>
      <c r="CH417" s="940"/>
      <c r="CI417" s="13" t="s">
        <v>62</v>
      </c>
      <c r="CJ417" s="518" t="str">
        <f>IF(AND(_6="A-220-300",'2026'!$N$4="FO",'2026'!$N$2=CJ385),'2026DATA'!$C$34,"")</f>
        <v/>
      </c>
      <c r="CK417" s="518" t="str">
        <f>IF(AND(_6="A-220-300",'2026'!$N$4="FO",'2026'!$N$2=CK385),'2026DATA'!$D$34,"")</f>
        <v/>
      </c>
      <c r="CL417" s="518" t="str">
        <f>IF(AND(_6="A-220-300",'2026'!$N$4="FO",'2026'!$N$2=CL385),'2026DATA'!$E$34,"")</f>
        <v/>
      </c>
      <c r="CM417" s="518" t="str">
        <f>IF(AND(_6="A-220-300",'2026'!$N$4="FO",'2026'!$N$2=CM385),'2026DATA'!$F$34,"")</f>
        <v/>
      </c>
      <c r="CN417" s="518" t="str">
        <f>IF(AND(_6="A-220-300",'2026'!$N$4="FO",'2026'!$N$2=CN385),'2026DATA'!$G$34,"")</f>
        <v/>
      </c>
      <c r="CO417" s="518" t="str">
        <f>IF(AND(_6="A-220-300",'2026'!$N$4="FO",'2026'!$N$2=CO385),'2026DATA'!$H$34,"")</f>
        <v/>
      </c>
      <c r="CP417" s="518" t="str">
        <f>IF(AND(_6="A-220-300",'2026'!$N$4="FO",'2026'!$N$2=CP385),'2026DATA'!$I$34,"")</f>
        <v/>
      </c>
      <c r="CQ417" s="518" t="str">
        <f>IF(AND(_6="A-220-300",'2026'!$N$4="FO",'2026'!$N$2=CQ385),'2026DATA'!$J$34,"")</f>
        <v/>
      </c>
      <c r="CR417" s="518" t="str">
        <f>IF(AND(_6="A-220-300",'2026'!$N$4="FO",'2026'!$N$2=CR385),'2026DATA'!$K$34,"")</f>
        <v/>
      </c>
      <c r="CS417" s="518" t="str">
        <f>IF(AND(_6="A-220-300",'2026'!$N$4="FO",'2026'!$N$2=CS385),'2026DATA'!$L$34,"")</f>
        <v/>
      </c>
      <c r="CT417" s="518" t="str">
        <f>IF(AND(_6="A-220-300",'2026'!$N$4="FO",'2026'!$N$2=CT385),'2026DATA'!$M$34,"")</f>
        <v/>
      </c>
      <c r="CU417" s="520" t="str">
        <f>IF(AND(_6="A-220-300",'2026'!$N$4="FO",'2026'!$N$2=CU385),'2026DATA'!$N$34,"")</f>
        <v/>
      </c>
    </row>
    <row r="418" spans="16:99" x14ac:dyDescent="0.25">
      <c r="P418" s="940" t="s">
        <v>52</v>
      </c>
      <c r="Q418" s="13" t="s">
        <v>61</v>
      </c>
      <c r="R418" s="518" t="str">
        <f>IF(AND(_1="A-220-100",'2026'!$N$4="CA",'2026'!$N$2=R385),'2026DATA'!$C$35,"")</f>
        <v/>
      </c>
      <c r="S418" s="518" t="str">
        <f>IF(AND(_1="A-220-100",'2026'!$N$4="CA",'2026'!$N$2=S385),'2026DATA'!$D$35,"")</f>
        <v/>
      </c>
      <c r="T418" s="518" t="str">
        <f>IF(AND(_1="A-220-100",'2026'!$N$4="CA",'2026'!$N$2=T385),'2026DATA'!$E$35,"")</f>
        <v/>
      </c>
      <c r="U418" s="518" t="str">
        <f>IF(AND(_1="A-220-100",'2026'!$N$4="CA",'2026'!$N$2=U385),'2026DATA'!$F$35,"")</f>
        <v/>
      </c>
      <c r="V418" s="518" t="str">
        <f>IF(AND(_1="A-220-100",'2026'!$N$4="CA",'2026'!$N$2=V385),'2026DATA'!$G$35,"")</f>
        <v/>
      </c>
      <c r="W418" s="518" t="str">
        <f>IF(AND(_1="A-220-100",'2026'!$N$4="CA",'2026'!$N$2=W385),'2026DATA'!$H$35,"")</f>
        <v/>
      </c>
      <c r="X418" s="518" t="str">
        <f>IF(AND(_1="A-220-100",'2026'!$N$4="CA",'2026'!$N$2=X385),'2026DATA'!$I$35,"")</f>
        <v/>
      </c>
      <c r="Y418" s="518" t="str">
        <f>IF(AND(_1="A-220-100",'2026'!$N$4="CA",'2026'!$N$2=Y385),'2026DATA'!$J$35,"")</f>
        <v/>
      </c>
      <c r="Z418" s="518" t="str">
        <f>IF(AND(_1="A-220-100",'2026'!$N$4="CA",'2026'!$N$2=Z385),'2026DATA'!$K$35,"")</f>
        <v/>
      </c>
      <c r="AA418" s="518" t="str">
        <f>IF(AND(_1="A-220-100",'2026'!$N$4="CA",'2026'!$N$2=AA385),'2026DATA'!$L$35,"")</f>
        <v/>
      </c>
      <c r="AB418" s="518" t="str">
        <f>IF(AND(_1="A-220-100",'2026'!$N$4="CA",'2026'!$N$2=AB385),'2026DATA'!$M$35,"")</f>
        <v/>
      </c>
      <c r="AC418" s="520" t="str">
        <f>IF(AND(_1="A-220-100",'2026'!$N$4="CA",'2026'!$N$2=AC385),'2026DATA'!$N$35,"")</f>
        <v/>
      </c>
      <c r="AD418" s="940" t="s">
        <v>52</v>
      </c>
      <c r="AE418" s="13" t="s">
        <v>61</v>
      </c>
      <c r="AF418" s="518" t="str">
        <f>IF(AND(_2="A-220-100",'2026'!$N$4="CA",'2026'!$N$2=AF385),'2026DATA'!$C$35,"")</f>
        <v/>
      </c>
      <c r="AG418" s="518" t="str">
        <f>IF(AND(_2="A-220-100",'2026'!$N$4="CA",'2026'!$N$2=AG385),'2026DATA'!$D$35,"")</f>
        <v/>
      </c>
      <c r="AH418" s="518" t="str">
        <f>IF(AND(_2="A-220-100",'2026'!$N$4="CA",'2026'!$N$2=AH385),'2026DATA'!$E$35,"")</f>
        <v/>
      </c>
      <c r="AI418" s="518" t="str">
        <f>IF(AND(_2="A-220-100",'2026'!$N$4="CA",'2026'!$N$2=AI385),'2026DATA'!$F$35,"")</f>
        <v/>
      </c>
      <c r="AJ418" s="518" t="str">
        <f>IF(AND(_2="A-220-100",'2026'!$N$4="CA",'2026'!$N$2=AJ385),'2026DATA'!$G$35,"")</f>
        <v/>
      </c>
      <c r="AK418" s="518" t="str">
        <f>IF(AND(_2="A-220-100",'2026'!$N$4="CA",'2026'!$N$2=AK385),'2026DATA'!$H$35,"")</f>
        <v/>
      </c>
      <c r="AL418" s="518" t="str">
        <f>IF(AND(_2="A-220-100",'2026'!$N$4="CA",'2026'!$N$2=AL385),'2026DATA'!$I$35,"")</f>
        <v/>
      </c>
      <c r="AM418" s="518" t="str">
        <f>IF(AND(_2="A-220-100",'2026'!$N$4="CA",'2026'!$N$2=AM385),'2026DATA'!$J$35,"")</f>
        <v/>
      </c>
      <c r="AN418" s="518" t="str">
        <f>IF(AND(_2="A-220-100",'2026'!$N$4="CA",'2026'!$N$2=AN385),'2026DATA'!$K$35,"")</f>
        <v/>
      </c>
      <c r="AO418" s="518" t="str">
        <f>IF(AND(_2="A-220-100",'2026'!$N$4="CA",'2026'!$N$2=AO385),'2026DATA'!$L$35,"")</f>
        <v/>
      </c>
      <c r="AP418" s="518" t="str">
        <f>IF(AND(_2="A-220-100",'2026'!$N$4="CA",'2026'!$N$2=AP385),'2026DATA'!$M$35,"")</f>
        <v/>
      </c>
      <c r="AQ418" s="520" t="str">
        <f>IF(AND(_2="A-220-100",'2026'!$N$4="CA",'2026'!$N$2=AQ385),'2026DATA'!$N$35,"")</f>
        <v/>
      </c>
      <c r="AR418" s="940" t="s">
        <v>52</v>
      </c>
      <c r="AS418" s="13" t="s">
        <v>61</v>
      </c>
      <c r="AT418" s="518" t="str">
        <f>IF(AND(_3="A-220-100",'2026'!$N$4="CA",'2026'!$N$2=AT385),'2026DATA'!$C$35,"")</f>
        <v/>
      </c>
      <c r="AU418" s="518" t="str">
        <f>IF(AND(_3="A-220-100",'2026'!$N$4="CA",'2026'!$N$2=AU385),'2026DATA'!$D$35,"")</f>
        <v/>
      </c>
      <c r="AV418" s="518" t="str">
        <f>IF(AND(_3="A-220-100",'2026'!$N$4="CA",'2026'!$N$2=AV385),'2026DATA'!$E$35,"")</f>
        <v/>
      </c>
      <c r="AW418" s="518" t="str">
        <f>IF(AND(_3="A-220-100",'2026'!$N$4="CA",'2026'!$N$2=AW385),'2026DATA'!$F$35,"")</f>
        <v/>
      </c>
      <c r="AX418" s="518" t="str">
        <f>IF(AND(_3="A-220-100",'2026'!$N$4="CA",'2026'!$N$2=AX385),'2026DATA'!$G$35,"")</f>
        <v/>
      </c>
      <c r="AY418" s="518" t="str">
        <f>IF(AND(_3="A-220-100",'2026'!$N$4="CA",'2026'!$N$2=AY385),'2026DATA'!$H$35,"")</f>
        <v/>
      </c>
      <c r="AZ418" s="518" t="str">
        <f>IF(AND(_3="A-220-100",'2026'!$N$4="CA",'2026'!$N$2=AZ385),'2026DATA'!$I$35,"")</f>
        <v/>
      </c>
      <c r="BA418" s="518" t="str">
        <f>IF(AND(_3="A-220-100",'2026'!$N$4="CA",'2026'!$N$2=BA385),'2026DATA'!$J$35,"")</f>
        <v/>
      </c>
      <c r="BB418" s="518" t="str">
        <f>IF(AND(_3="A-220-100",'2026'!$N$4="CA",'2026'!$N$2=BB385),'2026DATA'!$K$35,"")</f>
        <v/>
      </c>
      <c r="BC418" s="518" t="str">
        <f>IF(AND(_3="A-220-100",'2026'!$N$4="CA",'2026'!$N$2=BC385),'2026DATA'!$L$35,"")</f>
        <v/>
      </c>
      <c r="BD418" s="518" t="str">
        <f>IF(AND(_3="A-220-100",'2026'!$N$4="CA",'2026'!$N$2=BD385),'2026DATA'!$M$35,"")</f>
        <v/>
      </c>
      <c r="BE418" s="520" t="str">
        <f>IF(AND(_3="A-220-100",'2026'!$N$4="CA",'2026'!$N$2=BE385),'2026DATA'!$N$35,"")</f>
        <v/>
      </c>
      <c r="BF418" s="940" t="s">
        <v>52</v>
      </c>
      <c r="BG418" s="13" t="s">
        <v>61</v>
      </c>
      <c r="BH418" s="518" t="str">
        <f>IF(AND(_4="A-220-100",'2026'!$N$4="CA",'2026'!$N$2=BH385),'2026DATA'!$C$35,"")</f>
        <v/>
      </c>
      <c r="BI418" s="518" t="str">
        <f>IF(AND(_4="A-220-100",'2026'!$N$4="CA",'2026'!$N$2=BI385),'2026DATA'!$D$35,"")</f>
        <v/>
      </c>
      <c r="BJ418" s="518" t="str">
        <f>IF(AND(_4="A-220-100",'2026'!$N$4="CA",'2026'!$N$2=BJ385),'2026DATA'!$E$35,"")</f>
        <v/>
      </c>
      <c r="BK418" s="518" t="str">
        <f>IF(AND(_4="A-220-100",'2026'!$N$4="CA",'2026'!$N$2=BK385),'2026DATA'!$F$35,"")</f>
        <v/>
      </c>
      <c r="BL418" s="518" t="str">
        <f>IF(AND(_4="A-220-100",'2026'!$N$4="CA",'2026'!$N$2=BL385),'2026DATA'!$G$35,"")</f>
        <v/>
      </c>
      <c r="BM418" s="518" t="str">
        <f>IF(AND(_4="A-220-100",'2026'!$N$4="CA",'2026'!$N$2=BM385),'2026DATA'!$H$35,"")</f>
        <v/>
      </c>
      <c r="BN418" s="518" t="str">
        <f>IF(AND(_4="A-220-100",'2026'!$N$4="CA",'2026'!$N$2=BN385),'2026DATA'!$I$35,"")</f>
        <v/>
      </c>
      <c r="BO418" s="518" t="str">
        <f>IF(AND(_4="A-220-100",'2026'!$N$4="CA",'2026'!$N$2=BO385),'2026DATA'!$J$35,"")</f>
        <v/>
      </c>
      <c r="BP418" s="518" t="str">
        <f>IF(AND(_4="A-220-100",'2026'!$N$4="CA",'2026'!$N$2=BP385),'2026DATA'!$K$35,"")</f>
        <v/>
      </c>
      <c r="BQ418" s="518" t="str">
        <f>IF(AND(_4="A-220-100",'2026'!$N$4="CA",'2026'!$N$2=BQ385),'2026DATA'!$L$35,"")</f>
        <v/>
      </c>
      <c r="BR418" s="518" t="str">
        <f>IF(AND(_4="A-220-100",'2026'!$N$4="CA",'2026'!$N$2=BR385),'2026DATA'!$M$35,"")</f>
        <v/>
      </c>
      <c r="BS418" s="520" t="str">
        <f>IF(AND(_4="A-220-100",'2026'!$N$4="CA",'2026'!$N$2=BS385),'2026DATA'!$N$35,"")</f>
        <v/>
      </c>
      <c r="BT418" s="940" t="s">
        <v>52</v>
      </c>
      <c r="BU418" s="13" t="s">
        <v>61</v>
      </c>
      <c r="BV418" s="518" t="str">
        <f>IF(AND(_5="A-220-100",'2026'!$N$4="CA",'2026'!$N$2=BV385),'2026DATA'!$C$35,"")</f>
        <v/>
      </c>
      <c r="BW418" s="518" t="str">
        <f>IF(AND(_5="A-220-100",'2026'!$N$4="CA",'2026'!$N$2=BW385),'2026DATA'!$D$35,"")</f>
        <v/>
      </c>
      <c r="BX418" s="518" t="str">
        <f>IF(AND(_5="A-220-100",'2026'!$N$4="CA",'2026'!$N$2=BX385),'2026DATA'!$E$35,"")</f>
        <v/>
      </c>
      <c r="BY418" s="518" t="str">
        <f>IF(AND(_5="A-220-100",'2026'!$N$4="CA",'2026'!$N$2=BY385),'2026DATA'!$F$35,"")</f>
        <v/>
      </c>
      <c r="BZ418" s="518" t="str">
        <f>IF(AND(_5="A-220-100",'2026'!$N$4="CA",'2026'!$N$2=BZ385),'2026DATA'!$G$35,"")</f>
        <v/>
      </c>
      <c r="CA418" s="518" t="str">
        <f>IF(AND(_5="A-220-100",'2026'!$N$4="CA",'2026'!$N$2=CA385),'2026DATA'!$H$35,"")</f>
        <v/>
      </c>
      <c r="CB418" s="518" t="str">
        <f>IF(AND(_5="A-220-100",'2026'!$N$4="CA",'2026'!$N$2=CB385),'2026DATA'!$I$35,"")</f>
        <v/>
      </c>
      <c r="CC418" s="518" t="str">
        <f>IF(AND(_5="A-220-100",'2026'!$N$4="CA",'2026'!$N$2=CC385),'2026DATA'!$J$35,"")</f>
        <v/>
      </c>
      <c r="CD418" s="518" t="str">
        <f>IF(AND(_5="A-220-100",'2026'!$N$4="CA",'2026'!$N$2=CD385),'2026DATA'!$K$35,"")</f>
        <v/>
      </c>
      <c r="CE418" s="518" t="str">
        <f>IF(AND(_5="A-220-100",'2026'!$N$4="CA",'2026'!$N$2=CE385),'2026DATA'!$L$35,"")</f>
        <v/>
      </c>
      <c r="CF418" s="518" t="str">
        <f>IF(AND(_5="A-220-100",'2026'!$N$4="CA",'2026'!$N$2=CF385),'2026DATA'!$M$35,"")</f>
        <v/>
      </c>
      <c r="CG418" s="520" t="str">
        <f>IF(AND(_5="A-220-100",'2026'!$N$4="CA",'2026'!$N$2=CG385),'2026DATA'!$N$35,"")</f>
        <v/>
      </c>
      <c r="CH418" s="940" t="s">
        <v>52</v>
      </c>
      <c r="CI418" s="13" t="s">
        <v>61</v>
      </c>
      <c r="CJ418" s="518" t="str">
        <f>IF(AND(_6="A-220-100",'2026'!$N$4="CA",'2026'!$N$2=CJ385),'2026DATA'!$C$35,"")</f>
        <v/>
      </c>
      <c r="CK418" s="518" t="str">
        <f>IF(AND(_6="A-220-100",'2026'!$N$4="CA",'2026'!$N$2=CK385),'2026DATA'!$D$35,"")</f>
        <v/>
      </c>
      <c r="CL418" s="518" t="str">
        <f>IF(AND(_6="A-220-100",'2026'!$N$4="CA",'2026'!$N$2=CL385),'2026DATA'!$E$35,"")</f>
        <v/>
      </c>
      <c r="CM418" s="518" t="str">
        <f>IF(AND(_6="A-220-100",'2026'!$N$4="CA",'2026'!$N$2=CM385),'2026DATA'!$F$35,"")</f>
        <v/>
      </c>
      <c r="CN418" s="518" t="str">
        <f>IF(AND(_6="A-220-100",'2026'!$N$4="CA",'2026'!$N$2=CN385),'2026DATA'!$G$35,"")</f>
        <v/>
      </c>
      <c r="CO418" s="518" t="str">
        <f>IF(AND(_6="A-220-100",'2026'!$N$4="CA",'2026'!$N$2=CO385),'2026DATA'!$H$35,"")</f>
        <v/>
      </c>
      <c r="CP418" s="518" t="str">
        <f>IF(AND(_6="A-220-100",'2026'!$N$4="CA",'2026'!$N$2=CP385),'2026DATA'!$I$35,"")</f>
        <v/>
      </c>
      <c r="CQ418" s="518" t="str">
        <f>IF(AND(_6="A-220-100",'2026'!$N$4="CA",'2026'!$N$2=CQ385),'2026DATA'!$J$35,"")</f>
        <v/>
      </c>
      <c r="CR418" s="518" t="str">
        <f>IF(AND(_6="A-220-100",'2026'!$N$4="CA",'2026'!$N$2=CR385),'2026DATA'!$K$35,"")</f>
        <v/>
      </c>
      <c r="CS418" s="518" t="str">
        <f>IF(AND(_6="A-220-100",'2026'!$N$4="CA",'2026'!$N$2=CS385),'2026DATA'!$L$35,"")</f>
        <v/>
      </c>
      <c r="CT418" s="518" t="str">
        <f>IF(AND(_6="A-220-100",'2026'!$N$4="CA",'2026'!$N$2=CT385),'2026DATA'!$M$35,"")</f>
        <v/>
      </c>
      <c r="CU418" s="520" t="str">
        <f>IF(AND(_6="A-220-100",'2026'!$N$4="CA",'2026'!$N$2=CU385),'2026DATA'!$N$35,"")</f>
        <v/>
      </c>
    </row>
    <row r="419" spans="16:99" x14ac:dyDescent="0.25">
      <c r="P419" s="940"/>
      <c r="Q419" s="13" t="s">
        <v>62</v>
      </c>
      <c r="R419" s="518" t="str">
        <f>IF(AND(_1="A-220-100",'2026'!$N$4="FO",'2026'!$N$2=R385),'2026DATA'!$C$36,"")</f>
        <v/>
      </c>
      <c r="S419" s="518" t="str">
        <f>IF(AND(_1="A-220-100",'2026'!$N$4="FO",'2026'!$N$2=S385),'2026DATA'!$D$36,"")</f>
        <v/>
      </c>
      <c r="T419" s="518" t="str">
        <f>IF(AND(_1="A-220-100",'2026'!$N$4="FO",'2026'!$N$2=T385),'2026DATA'!$E$36,"")</f>
        <v/>
      </c>
      <c r="U419" s="518" t="str">
        <f>IF(AND(_1="A-220-100",'2026'!$N$4="FO",'2026'!$N$2=U385),'2026DATA'!$F$36,"")</f>
        <v/>
      </c>
      <c r="V419" s="518" t="str">
        <f>IF(AND(_1="A-220-100",'2026'!$N$4="FO",'2026'!$N$2=V385),'2026DATA'!$G$36,"")</f>
        <v/>
      </c>
      <c r="W419" s="518" t="str">
        <f>IF(AND(_1="A-220-100",'2026'!$N$4="FO",'2026'!$N$2=W385),'2026DATA'!$H$36,"")</f>
        <v/>
      </c>
      <c r="X419" s="518" t="str">
        <f>IF(AND(_1="A-220-100",'2026'!$N$4="FO",'2026'!$N$2=X385),'2026DATA'!$I$36,"")</f>
        <v/>
      </c>
      <c r="Y419" s="518" t="str">
        <f>IF(AND(_1="A-220-100",'2026'!$N$4="FO",'2026'!$N$2=Y385),'2026DATA'!$J$36,"")</f>
        <v/>
      </c>
      <c r="Z419" s="518" t="str">
        <f>IF(AND(_1="A-220-100",'2026'!$N$4="FO",'2026'!$N$2=Z385),'2026DATA'!$K$36,"")</f>
        <v/>
      </c>
      <c r="AA419" s="518" t="str">
        <f>IF(AND(_1="A-220-100",'2026'!$N$4="FO",'2026'!$N$2=AA385),'2026DATA'!$L$36,"")</f>
        <v/>
      </c>
      <c r="AB419" s="518" t="str">
        <f>IF(AND(_1="A-220-100",'2026'!$N$4="FO",'2026'!$N$2=AB385),'2026DATA'!$M$36,"")</f>
        <v/>
      </c>
      <c r="AC419" s="520" t="str">
        <f>IF(AND(_1="A-220-100",'2026'!$N$4="FO",'2026'!$N$2=AC385),'2026DATA'!$N$36,"")</f>
        <v/>
      </c>
      <c r="AD419" s="940"/>
      <c r="AE419" s="13" t="s">
        <v>62</v>
      </c>
      <c r="AF419" s="518" t="str">
        <f>IF(AND(_2="A-220-100",'2026'!$N$4="FO",'2026'!$N$2=AF385),'2026DATA'!$C$36,"")</f>
        <v/>
      </c>
      <c r="AG419" s="518" t="str">
        <f>IF(AND(_2="A-220-100",'2026'!$N$4="FO",'2026'!$N$2=AG385),'2026DATA'!$D$36,"")</f>
        <v/>
      </c>
      <c r="AH419" s="518" t="str">
        <f>IF(AND(_2="A-220-100",'2026'!$N$4="FO",'2026'!$N$2=AH385),'2026DATA'!$E$36,"")</f>
        <v/>
      </c>
      <c r="AI419" s="518" t="str">
        <f>IF(AND(_2="A-220-100",'2026'!$N$4="FO",'2026'!$N$2=AI385),'2026DATA'!$F$36,"")</f>
        <v/>
      </c>
      <c r="AJ419" s="518" t="str">
        <f>IF(AND(_2="A-220-100",'2026'!$N$4="FO",'2026'!$N$2=AJ385),'2026DATA'!$G$36,"")</f>
        <v/>
      </c>
      <c r="AK419" s="518" t="str">
        <f>IF(AND(_2="A-220-100",'2026'!$N$4="FO",'2026'!$N$2=AK385),'2026DATA'!$H$36,"")</f>
        <v/>
      </c>
      <c r="AL419" s="518" t="str">
        <f>IF(AND(_2="A-220-100",'2026'!$N$4="FO",'2026'!$N$2=AL385),'2026DATA'!$I$36,"")</f>
        <v/>
      </c>
      <c r="AM419" s="518" t="str">
        <f>IF(AND(_2="A-220-100",'2026'!$N$4="FO",'2026'!$N$2=AM385),'2026DATA'!$J$36,"")</f>
        <v/>
      </c>
      <c r="AN419" s="518" t="str">
        <f>IF(AND(_2="A-220-100",'2026'!$N$4="FO",'2026'!$N$2=AN385),'2026DATA'!$K$36,"")</f>
        <v/>
      </c>
      <c r="AO419" s="518" t="str">
        <f>IF(AND(_2="A-220-100",'2026'!$N$4="FO",'2026'!$N$2=AO385),'2026DATA'!$L$36,"")</f>
        <v/>
      </c>
      <c r="AP419" s="518" t="str">
        <f>IF(AND(_2="A-220-100",'2026'!$N$4="FO",'2026'!$N$2=AP385),'2026DATA'!$M$36,"")</f>
        <v/>
      </c>
      <c r="AQ419" s="520" t="str">
        <f>IF(AND(_2="A-220-100",'2026'!$N$4="FO",'2026'!$N$2=AQ385),'2026DATA'!$N$36,"")</f>
        <v/>
      </c>
      <c r="AR419" s="940"/>
      <c r="AS419" s="13" t="s">
        <v>62</v>
      </c>
      <c r="AT419" s="518" t="str">
        <f>IF(AND(_3="A-220-100",'2026'!$N$4="FO",'2026'!$N$2=AT385),'2026DATA'!$C$36,"")</f>
        <v/>
      </c>
      <c r="AU419" s="518" t="str">
        <f>IF(AND(_3="A-220-100",'2026'!$N$4="FO",'2026'!$N$2=AU385),'2026DATA'!$D$36,"")</f>
        <v/>
      </c>
      <c r="AV419" s="518" t="str">
        <f>IF(AND(_3="A-220-100",'2026'!$N$4="FO",'2026'!$N$2=AV385),'2026DATA'!$E$36,"")</f>
        <v/>
      </c>
      <c r="AW419" s="518" t="str">
        <f>IF(AND(_3="A-220-100",'2026'!$N$4="FO",'2026'!$N$2=AW385),'2026DATA'!$F$36,"")</f>
        <v/>
      </c>
      <c r="AX419" s="518" t="str">
        <f>IF(AND(_3="A-220-100",'2026'!$N$4="FO",'2026'!$N$2=AX385),'2026DATA'!$G$36,"")</f>
        <v/>
      </c>
      <c r="AY419" s="518" t="str">
        <f>IF(AND(_3="A-220-100",'2026'!$N$4="FO",'2026'!$N$2=AY385),'2026DATA'!$H$36,"")</f>
        <v/>
      </c>
      <c r="AZ419" s="518" t="str">
        <f>IF(AND(_3="A-220-100",'2026'!$N$4="FO",'2026'!$N$2=AZ385),'2026DATA'!$I$36,"")</f>
        <v/>
      </c>
      <c r="BA419" s="518" t="str">
        <f>IF(AND(_3="A-220-100",'2026'!$N$4="FO",'2026'!$N$2=BA385),'2026DATA'!$J$36,"")</f>
        <v/>
      </c>
      <c r="BB419" s="518" t="str">
        <f>IF(AND(_3="A-220-100",'2026'!$N$4="FO",'2026'!$N$2=BB385),'2026DATA'!$K$36,"")</f>
        <v/>
      </c>
      <c r="BC419" s="518" t="str">
        <f>IF(AND(_3="A-220-100",'2026'!$N$4="FO",'2026'!$N$2=BC385),'2026DATA'!$L$36,"")</f>
        <v/>
      </c>
      <c r="BD419" s="518" t="str">
        <f>IF(AND(_3="A-220-100",'2026'!$N$4="FO",'2026'!$N$2=BD385),'2026DATA'!$M$36,"")</f>
        <v/>
      </c>
      <c r="BE419" s="520" t="str">
        <f>IF(AND(_3="A-220-100",'2026'!$N$4="FO",'2026'!$N$2=BE385),'2026DATA'!$N$36,"")</f>
        <v/>
      </c>
      <c r="BF419" s="940"/>
      <c r="BG419" s="13" t="s">
        <v>62</v>
      </c>
      <c r="BH419" s="518" t="str">
        <f>IF(AND(_4="A-220-100",'2026'!$N$4="FO",'2026'!$N$2=BH385),'2026DATA'!$C$36,"")</f>
        <v/>
      </c>
      <c r="BI419" s="518" t="str">
        <f>IF(AND(_4="A-220-100",'2026'!$N$4="FO",'2026'!$N$2=BI385),'2026DATA'!$D$36,"")</f>
        <v/>
      </c>
      <c r="BJ419" s="518" t="str">
        <f>IF(AND(_4="A-220-100",'2026'!$N$4="FO",'2026'!$N$2=BJ385),'2026DATA'!$E$36,"")</f>
        <v/>
      </c>
      <c r="BK419" s="518" t="str">
        <f>IF(AND(_4="A-220-100",'2026'!$N$4="FO",'2026'!$N$2=BK385),'2026DATA'!$F$36,"")</f>
        <v/>
      </c>
      <c r="BL419" s="518" t="str">
        <f>IF(AND(_4="A-220-100",'2026'!$N$4="FO",'2026'!$N$2=BL385),'2026DATA'!$G$36,"")</f>
        <v/>
      </c>
      <c r="BM419" s="518" t="str">
        <f>IF(AND(_4="A-220-100",'2026'!$N$4="FO",'2026'!$N$2=BM385),'2026DATA'!$H$36,"")</f>
        <v/>
      </c>
      <c r="BN419" s="518" t="str">
        <f>IF(AND(_4="A-220-100",'2026'!$N$4="FO",'2026'!$N$2=BN385),'2026DATA'!$I$36,"")</f>
        <v/>
      </c>
      <c r="BO419" s="518" t="str">
        <f>IF(AND(_4="A-220-100",'2026'!$N$4="FO",'2026'!$N$2=BO385),'2026DATA'!$J$36,"")</f>
        <v/>
      </c>
      <c r="BP419" s="518" t="str">
        <f>IF(AND(_4="A-220-100",'2026'!$N$4="FO",'2026'!$N$2=BP385),'2026DATA'!$K$36,"")</f>
        <v/>
      </c>
      <c r="BQ419" s="518" t="str">
        <f>IF(AND(_4="A-220-100",'2026'!$N$4="FO",'2026'!$N$2=BQ385),'2026DATA'!$L$36,"")</f>
        <v/>
      </c>
      <c r="BR419" s="518" t="str">
        <f>IF(AND(_4="A-220-100",'2026'!$N$4="FO",'2026'!$N$2=BR385),'2026DATA'!$M$36,"")</f>
        <v/>
      </c>
      <c r="BS419" s="520" t="str">
        <f>IF(AND(_4="A-220-100",'2026'!$N$4="FO",'2026'!$N$2=BS385),'2026DATA'!$N$36,"")</f>
        <v/>
      </c>
      <c r="BT419" s="940"/>
      <c r="BU419" s="13" t="s">
        <v>62</v>
      </c>
      <c r="BV419" s="518" t="str">
        <f>IF(AND(_5="A-220-100",'2026'!$N$4="FO",'2026'!$N$2=BV385),'2026DATA'!$C$36,"")</f>
        <v/>
      </c>
      <c r="BW419" s="518" t="str">
        <f>IF(AND(_5="A-220-100",'2026'!$N$4="FO",'2026'!$N$2=BW385),'2026DATA'!$D$36,"")</f>
        <v/>
      </c>
      <c r="BX419" s="518" t="str">
        <f>IF(AND(_5="A-220-100",'2026'!$N$4="FO",'2026'!$N$2=BX385),'2026DATA'!$E$36,"")</f>
        <v/>
      </c>
      <c r="BY419" s="518" t="str">
        <f>IF(AND(_5="A-220-100",'2026'!$N$4="FO",'2026'!$N$2=BY385),'2026DATA'!$F$36,"")</f>
        <v/>
      </c>
      <c r="BZ419" s="518" t="str">
        <f>IF(AND(_5="A-220-100",'2026'!$N$4="FO",'2026'!$N$2=BZ385),'2026DATA'!$G$36,"")</f>
        <v/>
      </c>
      <c r="CA419" s="518" t="str">
        <f>IF(AND(_5="A-220-100",'2026'!$N$4="FO",'2026'!$N$2=CA385),'2026DATA'!$H$36,"")</f>
        <v/>
      </c>
      <c r="CB419" s="518" t="str">
        <f>IF(AND(_5="A-220-100",'2026'!$N$4="FO",'2026'!$N$2=CB385),'2026DATA'!$I$36,"")</f>
        <v/>
      </c>
      <c r="CC419" s="518" t="str">
        <f>IF(AND(_5="A-220-100",'2026'!$N$4="FO",'2026'!$N$2=CC385),'2026DATA'!$J$36,"")</f>
        <v/>
      </c>
      <c r="CD419" s="518" t="str">
        <f>IF(AND(_5="A-220-100",'2026'!$N$4="FO",'2026'!$N$2=CD385),'2026DATA'!$K$36,"")</f>
        <v/>
      </c>
      <c r="CE419" s="518" t="str">
        <f>IF(AND(_5="A-220-100",'2026'!$N$4="FO",'2026'!$N$2=CE385),'2026DATA'!$L$36,"")</f>
        <v/>
      </c>
      <c r="CF419" s="518" t="str">
        <f>IF(AND(_5="A-220-100",'2026'!$N$4="FO",'2026'!$N$2=CF385),'2026DATA'!$M$36,"")</f>
        <v/>
      </c>
      <c r="CG419" s="520" t="str">
        <f>IF(AND(_5="A-220-100",'2026'!$N$4="FO",'2026'!$N$2=CG385),'2026DATA'!$N$36,"")</f>
        <v/>
      </c>
      <c r="CH419" s="940"/>
      <c r="CI419" s="13" t="s">
        <v>62</v>
      </c>
      <c r="CJ419" s="518" t="str">
        <f>IF(AND(_6="A-220-100",'2026'!$N$4="FO",'2026'!$N$2=CJ385),'2026DATA'!$C$36,"")</f>
        <v/>
      </c>
      <c r="CK419" s="518" t="str">
        <f>IF(AND(_6="A-220-100",'2026'!$N$4="FO",'2026'!$N$2=CK385),'2026DATA'!$D$36,"")</f>
        <v/>
      </c>
      <c r="CL419" s="518" t="str">
        <f>IF(AND(_6="A-220-100",'2026'!$N$4="FO",'2026'!$N$2=CL385),'2026DATA'!$E$36,"")</f>
        <v/>
      </c>
      <c r="CM419" s="518" t="str">
        <f>IF(AND(_6="A-220-100",'2026'!$N$4="FO",'2026'!$N$2=CM385),'2026DATA'!$F$36,"")</f>
        <v/>
      </c>
      <c r="CN419" s="518" t="str">
        <f>IF(AND(_6="A-220-100",'2026'!$N$4="FO",'2026'!$N$2=CN385),'2026DATA'!$G$36,"")</f>
        <v/>
      </c>
      <c r="CO419" s="518" t="str">
        <f>IF(AND(_6="A-220-100",'2026'!$N$4="FO",'2026'!$N$2=CO385),'2026DATA'!$H$36,"")</f>
        <v/>
      </c>
      <c r="CP419" s="518" t="str">
        <f>IF(AND(_6="A-220-100",'2026'!$N$4="FO",'2026'!$N$2=CP385),'2026DATA'!$I$36,"")</f>
        <v/>
      </c>
      <c r="CQ419" s="518" t="str">
        <f>IF(AND(_6="A-220-100",'2026'!$N$4="FO",'2026'!$N$2=CQ385),'2026DATA'!$J$36,"")</f>
        <v/>
      </c>
      <c r="CR419" s="518" t="str">
        <f>IF(AND(_6="A-220-100",'2026'!$N$4="FO",'2026'!$N$2=CR385),'2026DATA'!$K$36,"")</f>
        <v/>
      </c>
      <c r="CS419" s="518" t="str">
        <f>IF(AND(_6="A-220-100",'2026'!$N$4="FO",'2026'!$N$2=CS385),'2026DATA'!$L$36,"")</f>
        <v/>
      </c>
      <c r="CT419" s="518" t="str">
        <f>IF(AND(_6="A-220-100",'2026'!$N$4="FO",'2026'!$N$2=CT385),'2026DATA'!$M$36,"")</f>
        <v/>
      </c>
      <c r="CU419" s="520" t="str">
        <f>IF(AND(_6="A-220-100",'2026'!$N$4="FO",'2026'!$N$2=CU385),'2026DATA'!$N$36,"")</f>
        <v/>
      </c>
    </row>
    <row r="420" spans="16:99" x14ac:dyDescent="0.25">
      <c r="P420" s="940" t="s">
        <v>53</v>
      </c>
      <c r="Q420" s="13" t="s">
        <v>61</v>
      </c>
      <c r="R420" s="518" t="str">
        <f>IF(AND(_1="B-717",'2026'!$N$4="CA",'2026'!$N$2=R385),'2026DATA'!$C$37,"")</f>
        <v/>
      </c>
      <c r="S420" s="518" t="str">
        <f>IF(AND(_1="B-717",'2026'!$N$4="CA",'2026'!$N$2=S385),'2026DATA'!$D$37,"")</f>
        <v/>
      </c>
      <c r="T420" s="518" t="str">
        <f>IF(AND(_1="B-717",'2026'!$N$4="CA",'2026'!$N$2=T385),'2026DATA'!$E$37,"")</f>
        <v/>
      </c>
      <c r="U420" s="518" t="str">
        <f>IF(AND(_1="B-717",'2026'!$N$4="CA",'2026'!$N$2=U385),'2026DATA'!$F$37,"")</f>
        <v/>
      </c>
      <c r="V420" s="518" t="str">
        <f>IF(AND(_1="B-717",'2026'!$N$4="CA",'2026'!$N$2=V385),'2026DATA'!$G$37,"")</f>
        <v/>
      </c>
      <c r="W420" s="518" t="str">
        <f>IF(AND(_1="B-717",'2026'!$N$4="CA",'2026'!$N$2=W385),'2026DATA'!$H$37,"")</f>
        <v/>
      </c>
      <c r="X420" s="518" t="str">
        <f>IF(AND(_1="B-717",'2026'!$N$4="CA",'2026'!$N$2=X385),'2026DATA'!$I$37,"")</f>
        <v/>
      </c>
      <c r="Y420" s="518" t="str">
        <f>IF(AND(_1="B-717",'2026'!$N$4="CA",'2026'!$N$2=Y385),'2026DATA'!$J$37,"")</f>
        <v/>
      </c>
      <c r="Z420" s="518" t="str">
        <f>IF(AND(_1="B-717",'2026'!$N$4="CA",'2026'!$N$2=Z385),'2026DATA'!$K$37,"")</f>
        <v/>
      </c>
      <c r="AA420" s="518" t="str">
        <f>IF(AND(_1="B-717",'2026'!$N$4="CA",'2026'!$N$2=AA385),'2026DATA'!$L$37,"")</f>
        <v/>
      </c>
      <c r="AB420" s="518" t="str">
        <f>IF(AND(_1="B-717",'2026'!$N$4="CA",'2026'!$N$2=AB385),'2026DATA'!$M$37,"")</f>
        <v/>
      </c>
      <c r="AC420" s="520" t="str">
        <f>IF(AND(_1="B-717",'2026'!$N$4="CA",'2026'!$N$2=AC385),'2026DATA'!$N$37,"")</f>
        <v/>
      </c>
      <c r="AD420" s="940" t="s">
        <v>53</v>
      </c>
      <c r="AE420" s="13" t="s">
        <v>61</v>
      </c>
      <c r="AF420" s="518" t="str">
        <f>IF(AND(_2="B-717",'2026'!$N$4="CA",'2026'!$N$2=AF385),'2026DATA'!$C$37,"")</f>
        <v/>
      </c>
      <c r="AG420" s="518" t="str">
        <f>IF(AND(_2="B-717",'2026'!$N$4="CA",'2026'!$N$2=AG385),'2026DATA'!$D$37,"")</f>
        <v/>
      </c>
      <c r="AH420" s="518" t="str">
        <f>IF(AND(_2="B-717",'2026'!$N$4="CA",'2026'!$N$2=AH385),'2026DATA'!$E$37,"")</f>
        <v/>
      </c>
      <c r="AI420" s="518" t="str">
        <f>IF(AND(_2="B-717",'2026'!$N$4="CA",'2026'!$N$2=AI385),'2026DATA'!$F$37,"")</f>
        <v/>
      </c>
      <c r="AJ420" s="518" t="str">
        <f>IF(AND(_2="B-717",'2026'!$N$4="CA",'2026'!$N$2=AJ385),'2026DATA'!$G$37,"")</f>
        <v/>
      </c>
      <c r="AK420" s="518" t="str">
        <f>IF(AND(_2="B-717",'2026'!$N$4="CA",'2026'!$N$2=AK385),'2026DATA'!$H$37,"")</f>
        <v/>
      </c>
      <c r="AL420" s="518" t="str">
        <f>IF(AND(_2="B-717",'2026'!$N$4="CA",'2026'!$N$2=AL385),'2026DATA'!$I$37,"")</f>
        <v/>
      </c>
      <c r="AM420" s="518" t="str">
        <f>IF(AND(_2="B-717",'2026'!$N$4="CA",'2026'!$N$2=AM385),'2026DATA'!$J$37,"")</f>
        <v/>
      </c>
      <c r="AN420" s="518" t="str">
        <f>IF(AND(_2="B-717",'2026'!$N$4="CA",'2026'!$N$2=AN385),'2026DATA'!$K$37,"")</f>
        <v/>
      </c>
      <c r="AO420" s="518" t="str">
        <f>IF(AND(_2="B-717",'2026'!$N$4="CA",'2026'!$N$2=AO385),'2026DATA'!$L$37,"")</f>
        <v/>
      </c>
      <c r="AP420" s="518" t="str">
        <f>IF(AND(_2="B-717",'2026'!$N$4="CA",'2026'!$N$2=AP385),'2026DATA'!$M$37,"")</f>
        <v/>
      </c>
      <c r="AQ420" s="520" t="str">
        <f>IF(AND(_2="B-717",'2026'!$N$4="CA",'2026'!$N$2=AQ385),'2026DATA'!$N$37,"")</f>
        <v/>
      </c>
      <c r="AR420" s="940" t="s">
        <v>53</v>
      </c>
      <c r="AS420" s="13" t="s">
        <v>61</v>
      </c>
      <c r="AT420" s="518" t="str">
        <f>IF(AND(_3="B-717",'2026'!$N$4="CA",'2026'!$N$2=AT385),'2026DATA'!$C$37,"")</f>
        <v/>
      </c>
      <c r="AU420" s="518" t="str">
        <f>IF(AND(_3="B-717",'2026'!$N$4="CA",'2026'!$N$2=AU385),'2026DATA'!$D$37,"")</f>
        <v/>
      </c>
      <c r="AV420" s="518" t="str">
        <f>IF(AND(_3="B-717",'2026'!$N$4="CA",'2026'!$N$2=AV385),'2026DATA'!$E$37,"")</f>
        <v/>
      </c>
      <c r="AW420" s="518" t="str">
        <f>IF(AND(_3="B-717",'2026'!$N$4="CA",'2026'!$N$2=AW385),'2026DATA'!$F$37,"")</f>
        <v/>
      </c>
      <c r="AX420" s="518" t="str">
        <f>IF(AND(_3="B-717",'2026'!$N$4="CA",'2026'!$N$2=AX385),'2026DATA'!$G$37,"")</f>
        <v/>
      </c>
      <c r="AY420" s="518" t="str">
        <f>IF(AND(_3="B-717",'2026'!$N$4="CA",'2026'!$N$2=AY385),'2026DATA'!$H$37,"")</f>
        <v/>
      </c>
      <c r="AZ420" s="518" t="str">
        <f>IF(AND(_3="B-717",'2026'!$N$4="CA",'2026'!$N$2=AZ385),'2026DATA'!$I$37,"")</f>
        <v/>
      </c>
      <c r="BA420" s="518" t="str">
        <f>IF(AND(_3="B-717",'2026'!$N$4="CA",'2026'!$N$2=BA385),'2026DATA'!$J$37,"")</f>
        <v/>
      </c>
      <c r="BB420" s="518" t="str">
        <f>IF(AND(_3="B-717",'2026'!$N$4="CA",'2026'!$N$2=BB385),'2026DATA'!$K$37,"")</f>
        <v/>
      </c>
      <c r="BC420" s="518" t="str">
        <f>IF(AND(_3="B-717",'2026'!$N$4="CA",'2026'!$N$2=BC385),'2026DATA'!$L$37,"")</f>
        <v/>
      </c>
      <c r="BD420" s="518" t="str">
        <f>IF(AND(_3="B-717",'2026'!$N$4="CA",'2026'!$N$2=BD385),'2026DATA'!$M$37,"")</f>
        <v/>
      </c>
      <c r="BE420" s="520" t="str">
        <f>IF(AND(_3="B-717",'2026'!$N$4="CA",'2026'!$N$2=BE385),'2026DATA'!$N$37,"")</f>
        <v/>
      </c>
      <c r="BF420" s="940" t="s">
        <v>53</v>
      </c>
      <c r="BG420" s="13" t="s">
        <v>61</v>
      </c>
      <c r="BH420" s="518" t="str">
        <f>IF(AND(_4="B-717",'2026'!$N$4="CA",'2026'!$N$2=BH385),'2026DATA'!$C$37,"")</f>
        <v/>
      </c>
      <c r="BI420" s="518" t="str">
        <f>IF(AND(_4="B-717",'2026'!$N$4="CA",'2026'!$N$2=BI385),'2026DATA'!$D$37,"")</f>
        <v/>
      </c>
      <c r="BJ420" s="518" t="str">
        <f>IF(AND(_4="B-717",'2026'!$N$4="CA",'2026'!$N$2=BJ385),'2026DATA'!$E$37,"")</f>
        <v/>
      </c>
      <c r="BK420" s="518" t="str">
        <f>IF(AND(_4="B-717",'2026'!$N$4="CA",'2026'!$N$2=BK385),'2026DATA'!$F$37,"")</f>
        <v/>
      </c>
      <c r="BL420" s="518" t="str">
        <f>IF(AND(_4="B-717",'2026'!$N$4="CA",'2026'!$N$2=BL385),'2026DATA'!$G$37,"")</f>
        <v/>
      </c>
      <c r="BM420" s="518" t="str">
        <f>IF(AND(_4="B-717",'2026'!$N$4="CA",'2026'!$N$2=BM385),'2026DATA'!$H$37,"")</f>
        <v/>
      </c>
      <c r="BN420" s="518" t="str">
        <f>IF(AND(_4="B-717",'2026'!$N$4="CA",'2026'!$N$2=BN385),'2026DATA'!$I$37,"")</f>
        <v/>
      </c>
      <c r="BO420" s="518" t="str">
        <f>IF(AND(_4="B-717",'2026'!$N$4="CA",'2026'!$N$2=BO385),'2026DATA'!$J$37,"")</f>
        <v/>
      </c>
      <c r="BP420" s="518" t="str">
        <f>IF(AND(_4="B-717",'2026'!$N$4="CA",'2026'!$N$2=BP385),'2026DATA'!$K$37,"")</f>
        <v/>
      </c>
      <c r="BQ420" s="518" t="str">
        <f>IF(AND(_4="B-717",'2026'!$N$4="CA",'2026'!$N$2=BQ385),'2026DATA'!$L$37,"")</f>
        <v/>
      </c>
      <c r="BR420" s="518" t="str">
        <f>IF(AND(_4="B-717",'2026'!$N$4="CA",'2026'!$N$2=BR385),'2026DATA'!$M$37,"")</f>
        <v/>
      </c>
      <c r="BS420" s="520" t="str">
        <f>IF(AND(_4="B-717",'2026'!$N$4="CA",'2026'!$N$2=BS385),'2026DATA'!$N$37,"")</f>
        <v/>
      </c>
      <c r="BT420" s="940" t="s">
        <v>53</v>
      </c>
      <c r="BU420" s="13" t="s">
        <v>61</v>
      </c>
      <c r="BV420" s="518" t="str">
        <f>IF(AND(_5="B-717",'2026'!$N$4="CA",'2026'!$N$2=BV385),'2026DATA'!$C$37,"")</f>
        <v/>
      </c>
      <c r="BW420" s="518" t="str">
        <f>IF(AND(_5="B-717",'2026'!$N$4="CA",'2026'!$N$2=BW385),'2026DATA'!$D$37,"")</f>
        <v/>
      </c>
      <c r="BX420" s="518" t="str">
        <f>IF(AND(_5="B-717",'2026'!$N$4="CA",'2026'!$N$2=BX385),'2026DATA'!$E$37,"")</f>
        <v/>
      </c>
      <c r="BY420" s="518" t="str">
        <f>IF(AND(_5="B-717",'2026'!$N$4="CA",'2026'!$N$2=BY385),'2026DATA'!$F$37,"")</f>
        <v/>
      </c>
      <c r="BZ420" s="518" t="str">
        <f>IF(AND(_5="B-717",'2026'!$N$4="CA",'2026'!$N$2=BZ385),'2026DATA'!$G$37,"")</f>
        <v/>
      </c>
      <c r="CA420" s="518" t="str">
        <f>IF(AND(_5="B-717",'2026'!$N$4="CA",'2026'!$N$2=CA385),'2026DATA'!$H$37,"")</f>
        <v/>
      </c>
      <c r="CB420" s="518" t="str">
        <f>IF(AND(_5="B-717",'2026'!$N$4="CA",'2026'!$N$2=CB385),'2026DATA'!$I$37,"")</f>
        <v/>
      </c>
      <c r="CC420" s="518" t="str">
        <f>IF(AND(_5="B-717",'2026'!$N$4="CA",'2026'!$N$2=CC385),'2026DATA'!$J$37,"")</f>
        <v/>
      </c>
      <c r="CD420" s="518" t="str">
        <f>IF(AND(_5="B-717",'2026'!$N$4="CA",'2026'!$N$2=CD385),'2026DATA'!$K$37,"")</f>
        <v/>
      </c>
      <c r="CE420" s="518" t="str">
        <f>IF(AND(_5="B-717",'2026'!$N$4="CA",'2026'!$N$2=CE385),'2026DATA'!$L$37,"")</f>
        <v/>
      </c>
      <c r="CF420" s="518" t="str">
        <f>IF(AND(_5="B-717",'2026'!$N$4="CA",'2026'!$N$2=CF385),'2026DATA'!$M$37,"")</f>
        <v/>
      </c>
      <c r="CG420" s="520" t="str">
        <f>IF(AND(_5="B-717",'2026'!$N$4="CA",'2026'!$N$2=CG385),'2026DATA'!$N$37,"")</f>
        <v/>
      </c>
      <c r="CH420" s="940" t="s">
        <v>53</v>
      </c>
      <c r="CI420" s="13" t="s">
        <v>61</v>
      </c>
      <c r="CJ420" s="518" t="str">
        <f>IF(AND(_6="B-717",'2026'!$N$4="CA",'2026'!$N$2=CJ385),'2026DATA'!$C$37,"")</f>
        <v/>
      </c>
      <c r="CK420" s="518" t="str">
        <f>IF(AND(_6="B-717",'2026'!$N$4="CA",'2026'!$N$2=CK385),'2026DATA'!$D$37,"")</f>
        <v/>
      </c>
      <c r="CL420" s="518" t="str">
        <f>IF(AND(_6="B-717",'2026'!$N$4="CA",'2026'!$N$2=CL385),'2026DATA'!$E$37,"")</f>
        <v/>
      </c>
      <c r="CM420" s="518" t="str">
        <f>IF(AND(_6="B-717",'2026'!$N$4="CA",'2026'!$N$2=CM385),'2026DATA'!$F$37,"")</f>
        <v/>
      </c>
      <c r="CN420" s="518" t="str">
        <f>IF(AND(_6="B-717",'2026'!$N$4="CA",'2026'!$N$2=CN385),'2026DATA'!$G$37,"")</f>
        <v/>
      </c>
      <c r="CO420" s="518" t="str">
        <f>IF(AND(_6="B-717",'2026'!$N$4="CA",'2026'!$N$2=CO385),'2026DATA'!$H$37,"")</f>
        <v/>
      </c>
      <c r="CP420" s="518" t="str">
        <f>IF(AND(_6="B-717",'2026'!$N$4="CA",'2026'!$N$2=CP385),'2026DATA'!$I$37,"")</f>
        <v/>
      </c>
      <c r="CQ420" s="518" t="str">
        <f>IF(AND(_6="B-717",'2026'!$N$4="CA",'2026'!$N$2=CQ385),'2026DATA'!$J$37,"")</f>
        <v/>
      </c>
      <c r="CR420" s="518" t="str">
        <f>IF(AND(_6="B-717",'2026'!$N$4="CA",'2026'!$N$2=CR385),'2026DATA'!$K$37,"")</f>
        <v/>
      </c>
      <c r="CS420" s="518" t="str">
        <f>IF(AND(_6="B-717",'2026'!$N$4="CA",'2026'!$N$2=CS385),'2026DATA'!$L$37,"")</f>
        <v/>
      </c>
      <c r="CT420" s="518" t="str">
        <f>IF(AND(_6="B-717",'2026'!$N$4="CA",'2026'!$N$2=CT385),'2026DATA'!$M$37,"")</f>
        <v/>
      </c>
      <c r="CU420" s="520" t="str">
        <f>IF(AND(_6="B-717",'2026'!$N$4="CA",'2026'!$N$2=CU385),'2026DATA'!$N$37,"")</f>
        <v/>
      </c>
    </row>
    <row r="421" spans="16:99" ht="15.75" thickBot="1" x14ac:dyDescent="0.3">
      <c r="P421" s="941"/>
      <c r="Q421" s="521" t="s">
        <v>62</v>
      </c>
      <c r="R421" s="518" t="str">
        <f>IF(AND(_1="B-717",'2026'!$N$4="FO",'2026'!$N$2=R385),'2026DATA'!$C$38,"")</f>
        <v/>
      </c>
      <c r="S421" s="518" t="str">
        <f>IF(AND(_1="B-717",'2026'!$N$4="FO",'2026'!$N$2=S385),'2026DATA'!$D$38,"")</f>
        <v/>
      </c>
      <c r="T421" s="518" t="str">
        <f>IF(AND(_1="B-717",'2026'!$N$4="FO",'2026'!$N$2=T385),'2026DATA'!$E$38,"")</f>
        <v/>
      </c>
      <c r="U421" s="518" t="str">
        <f>IF(AND(_1="B-717",'2026'!$N$4="FO",'2026'!$N$2=U385),'2026DATA'!$F$38,"")</f>
        <v/>
      </c>
      <c r="V421" s="518" t="str">
        <f>IF(AND(_1="B-717",'2026'!$N$4="FO",'2026'!$N$2=V385),'2026DATA'!$G$38,"")</f>
        <v/>
      </c>
      <c r="W421" s="518" t="str">
        <f>IF(AND(_1="B-717",'2026'!$N$4="FO",'2026'!$N$2=W385),'2026DATA'!$H$38,"")</f>
        <v/>
      </c>
      <c r="X421" s="518" t="str">
        <f>IF(AND(_1="B-717",'2026'!$N$4="FO",'2026'!$N$2=X385),'2026DATA'!$I$38,"")</f>
        <v/>
      </c>
      <c r="Y421" s="518" t="str">
        <f>IF(AND(_1="B-717",'2026'!$N$4="FO",'2026'!$N$2=Y385),'2026DATA'!$J$38,"")</f>
        <v/>
      </c>
      <c r="Z421" s="518" t="str">
        <f>IF(AND(_1="B-717",'2026'!$N$4="FO",'2026'!$N$2=Z385),'2026DATA'!$K$38,"")</f>
        <v/>
      </c>
      <c r="AA421" s="518" t="str">
        <f>IF(AND(_1="B-717",'2026'!$N$4="FO",'2026'!$N$2=AA385),'2026DATA'!$L$38,"")</f>
        <v/>
      </c>
      <c r="AB421" s="518" t="str">
        <f>IF(AND(_1="B-717",'2026'!$N$4="FO",'2026'!$N$2=AB385),'2026DATA'!$M$38,"")</f>
        <v/>
      </c>
      <c r="AC421" s="520" t="str">
        <f>IF(AND(_1="B-717",'2026'!$N$4="FO",'2026'!$N$2=AC385),'2026DATA'!$N$38,"")</f>
        <v/>
      </c>
      <c r="AD421" s="941"/>
      <c r="AE421" s="521" t="s">
        <v>62</v>
      </c>
      <c r="AF421" s="518" t="str">
        <f>IF(AND(_2="B-717",'2026'!$N$4="FO",'2026'!$N$2=AF385),'2026DATA'!$C$38,"")</f>
        <v/>
      </c>
      <c r="AG421" s="518" t="str">
        <f>IF(AND(_2="B-717",'2026'!$N$4="FO",'2026'!$N$2=AG385),'2026DATA'!$D$38,"")</f>
        <v/>
      </c>
      <c r="AH421" s="518" t="str">
        <f>IF(AND(_2="B-717",'2026'!$N$4="FO",'2026'!$N$2=AH385),'2026DATA'!$E$38,"")</f>
        <v/>
      </c>
      <c r="AI421" s="518" t="str">
        <f>IF(AND(_2="B-717",'2026'!$N$4="FO",'2026'!$N$2=AI385),'2026DATA'!$F$38,"")</f>
        <v/>
      </c>
      <c r="AJ421" s="518" t="str">
        <f>IF(AND(_2="B-717",'2026'!$N$4="FO",'2026'!$N$2=AJ385),'2026DATA'!$G$38,"")</f>
        <v/>
      </c>
      <c r="AK421" s="518" t="str">
        <f>IF(AND(_2="B-717",'2026'!$N$4="FO",'2026'!$N$2=AK385),'2026DATA'!$H$38,"")</f>
        <v/>
      </c>
      <c r="AL421" s="518" t="str">
        <f>IF(AND(_2="B-717",'2026'!$N$4="FO",'2026'!$N$2=AL385),'2026DATA'!$I$38,"")</f>
        <v/>
      </c>
      <c r="AM421" s="518" t="str">
        <f>IF(AND(_2="B-717",'2026'!$N$4="FO",'2026'!$N$2=AM385),'2026DATA'!$J$38,"")</f>
        <v/>
      </c>
      <c r="AN421" s="518" t="str">
        <f>IF(AND(_2="B-717",'2026'!$N$4="FO",'2026'!$N$2=AN385),'2026DATA'!$K$38,"")</f>
        <v/>
      </c>
      <c r="AO421" s="518" t="str">
        <f>IF(AND(_2="B-717",'2026'!$N$4="FO",'2026'!$N$2=AO385),'2026DATA'!$L$38,"")</f>
        <v/>
      </c>
      <c r="AP421" s="518" t="str">
        <f>IF(AND(_2="B-717",'2026'!$N$4="FO",'2026'!$N$2=AP385),'2026DATA'!$M$38,"")</f>
        <v/>
      </c>
      <c r="AQ421" s="520" t="str">
        <f>IF(AND(_2="B-717",'2026'!$N$4="FO",'2026'!$N$2=AQ385),'2026DATA'!$N$38,"")</f>
        <v/>
      </c>
      <c r="AR421" s="941"/>
      <c r="AS421" s="521" t="s">
        <v>62</v>
      </c>
      <c r="AT421" s="518" t="str">
        <f>IF(AND(_3="B-717",'2026'!$N$4="FO",'2026'!$N$2=AT385),'2026DATA'!$C$38,"")</f>
        <v/>
      </c>
      <c r="AU421" s="518" t="str">
        <f>IF(AND(_3="B-717",'2026'!$N$4="FO",'2026'!$N$2=AU385),'2026DATA'!$D$38,"")</f>
        <v/>
      </c>
      <c r="AV421" s="518" t="str">
        <f>IF(AND(_3="B-717",'2026'!$N$4="FO",'2026'!$N$2=AV385),'2026DATA'!$E$38,"")</f>
        <v/>
      </c>
      <c r="AW421" s="518" t="str">
        <f>IF(AND(_3="B-717",'2026'!$N$4="FO",'2026'!$N$2=AW385),'2026DATA'!$F$38,"")</f>
        <v/>
      </c>
      <c r="AX421" s="518" t="str">
        <f>IF(AND(_3="B-717",'2026'!$N$4="FO",'2026'!$N$2=AX385),'2026DATA'!$G$38,"")</f>
        <v/>
      </c>
      <c r="AY421" s="518" t="str">
        <f>IF(AND(_3="B-717",'2026'!$N$4="FO",'2026'!$N$2=AY385),'2026DATA'!$H$38,"")</f>
        <v/>
      </c>
      <c r="AZ421" s="518" t="str">
        <f>IF(AND(_3="B-717",'2026'!$N$4="FO",'2026'!$N$2=AZ385),'2026DATA'!$I$38,"")</f>
        <v/>
      </c>
      <c r="BA421" s="518" t="str">
        <f>IF(AND(_3="B-717",'2026'!$N$4="FO",'2026'!$N$2=BA385),'2026DATA'!$J$38,"")</f>
        <v/>
      </c>
      <c r="BB421" s="518" t="str">
        <f>IF(AND(_3="B-717",'2026'!$N$4="FO",'2026'!$N$2=BB385),'2026DATA'!$K$38,"")</f>
        <v/>
      </c>
      <c r="BC421" s="518" t="str">
        <f>IF(AND(_3="B-717",'2026'!$N$4="FO",'2026'!$N$2=BC385),'2026DATA'!$L$38,"")</f>
        <v/>
      </c>
      <c r="BD421" s="518" t="str">
        <f>IF(AND(_3="B-717",'2026'!$N$4="FO",'2026'!$N$2=BD385),'2026DATA'!$M$38,"")</f>
        <v/>
      </c>
      <c r="BE421" s="520" t="str">
        <f>IF(AND(_3="B-717",'2026'!$N$4="FO",'2026'!$N$2=BE385),'2026DATA'!$N$38,"")</f>
        <v/>
      </c>
      <c r="BF421" s="941"/>
      <c r="BG421" s="521" t="s">
        <v>62</v>
      </c>
      <c r="BH421" s="518" t="str">
        <f>IF(AND(_4="B-717",'2026'!$N$4="FO",'2026'!$N$2=BH385),'2026DATA'!$C$38,"")</f>
        <v/>
      </c>
      <c r="BI421" s="518" t="str">
        <f>IF(AND(_4="B-717",'2026'!$N$4="FO",'2026'!$N$2=BI385),'2026DATA'!$D$38,"")</f>
        <v/>
      </c>
      <c r="BJ421" s="518" t="str">
        <f>IF(AND(_4="B-717",'2026'!$N$4="FO",'2026'!$N$2=BJ385),'2026DATA'!$E$38,"")</f>
        <v/>
      </c>
      <c r="BK421" s="518" t="str">
        <f>IF(AND(_4="B-717",'2026'!$N$4="FO",'2026'!$N$2=BK385),'2026DATA'!$F$38,"")</f>
        <v/>
      </c>
      <c r="BL421" s="518" t="str">
        <f>IF(AND(_4="B-717",'2026'!$N$4="FO",'2026'!$N$2=BL385),'2026DATA'!$G$38,"")</f>
        <v/>
      </c>
      <c r="BM421" s="518" t="str">
        <f>IF(AND(_4="B-717",'2026'!$N$4="FO",'2026'!$N$2=BM385),'2026DATA'!$H$38,"")</f>
        <v/>
      </c>
      <c r="BN421" s="518" t="str">
        <f>IF(AND(_4="B-717",'2026'!$N$4="FO",'2026'!$N$2=BN385),'2026DATA'!$I$38,"")</f>
        <v/>
      </c>
      <c r="BO421" s="518" t="str">
        <f>IF(AND(_4="B-717",'2026'!$N$4="FO",'2026'!$N$2=BO385),'2026DATA'!$J$38,"")</f>
        <v/>
      </c>
      <c r="BP421" s="518" t="str">
        <f>IF(AND(_4="B-717",'2026'!$N$4="FO",'2026'!$N$2=BP385),'2026DATA'!$K$38,"")</f>
        <v/>
      </c>
      <c r="BQ421" s="518" t="str">
        <f>IF(AND(_4="B-717",'2026'!$N$4="FO",'2026'!$N$2=BQ385),'2026DATA'!$L$38,"")</f>
        <v/>
      </c>
      <c r="BR421" s="518" t="str">
        <f>IF(AND(_4="B-717",'2026'!$N$4="FO",'2026'!$N$2=BR385),'2026DATA'!$M$38,"")</f>
        <v/>
      </c>
      <c r="BS421" s="520" t="str">
        <f>IF(AND(_4="B-717",'2026'!$N$4="FO",'2026'!$N$2=BS385),'2026DATA'!$N$38,"")</f>
        <v/>
      </c>
      <c r="BT421" s="941"/>
      <c r="BU421" s="521" t="s">
        <v>62</v>
      </c>
      <c r="BV421" s="518" t="str">
        <f>IF(AND(_5="B-717",'2026'!$N$4="FO",'2026'!$N$2=BV385),'2026DATA'!$C$38,"")</f>
        <v/>
      </c>
      <c r="BW421" s="518" t="str">
        <f>IF(AND(_5="B-717",'2026'!$N$4="FO",'2026'!$N$2=BW385),'2026DATA'!$D$38,"")</f>
        <v/>
      </c>
      <c r="BX421" s="518" t="str">
        <f>IF(AND(_5="B-717",'2026'!$N$4="FO",'2026'!$N$2=BX385),'2026DATA'!$E$38,"")</f>
        <v/>
      </c>
      <c r="BY421" s="518" t="str">
        <f>IF(AND(_5="B-717",'2026'!$N$4="FO",'2026'!$N$2=BY385),'2026DATA'!$F$38,"")</f>
        <v/>
      </c>
      <c r="BZ421" s="518" t="str">
        <f>IF(AND(_5="B-717",'2026'!$N$4="FO",'2026'!$N$2=BZ385),'2026DATA'!$G$38,"")</f>
        <v/>
      </c>
      <c r="CA421" s="518" t="str">
        <f>IF(AND(_5="B-717",'2026'!$N$4="FO",'2026'!$N$2=CA385),'2026DATA'!$H$38,"")</f>
        <v/>
      </c>
      <c r="CB421" s="518" t="str">
        <f>IF(AND(_5="B-717",'2026'!$N$4="FO",'2026'!$N$2=CB385),'2026DATA'!$I$38,"")</f>
        <v/>
      </c>
      <c r="CC421" s="518" t="str">
        <f>IF(AND(_5="B-717",'2026'!$N$4="FO",'2026'!$N$2=CC385),'2026DATA'!$J$38,"")</f>
        <v/>
      </c>
      <c r="CD421" s="518" t="str">
        <f>IF(AND(_5="B-717",'2026'!$N$4="FO",'2026'!$N$2=CD385),'2026DATA'!$K$38,"")</f>
        <v/>
      </c>
      <c r="CE421" s="518" t="str">
        <f>IF(AND(_5="B-717",'2026'!$N$4="FO",'2026'!$N$2=CE385),'2026DATA'!$L$38,"")</f>
        <v/>
      </c>
      <c r="CF421" s="518" t="str">
        <f>IF(AND(_5="B-717",'2026'!$N$4="FO",'2026'!$N$2=CF385),'2026DATA'!$M$38,"")</f>
        <v/>
      </c>
      <c r="CG421" s="520" t="str">
        <f>IF(AND(_5="B-717",'2026'!$N$4="FO",'2026'!$N$2=CG385),'2026DATA'!$N$38,"")</f>
        <v/>
      </c>
      <c r="CH421" s="941"/>
      <c r="CI421" s="521" t="s">
        <v>62</v>
      </c>
      <c r="CJ421" s="518" t="str">
        <f>IF(AND(_6="B-717",'2026'!$N$4="FO",'2026'!$N$2=CJ385),'2026DATA'!$C$38,"")</f>
        <v/>
      </c>
      <c r="CK421" s="518" t="str">
        <f>IF(AND(_6="B-717",'2026'!$N$4="FO",'2026'!$N$2=CK385),'2026DATA'!$D$38,"")</f>
        <v/>
      </c>
      <c r="CL421" s="518" t="str">
        <f>IF(AND(_6="B-717",'2026'!$N$4="FO",'2026'!$N$2=CL385),'2026DATA'!$E$38,"")</f>
        <v/>
      </c>
      <c r="CM421" s="518" t="str">
        <f>IF(AND(_6="B-717",'2026'!$N$4="FO",'2026'!$N$2=CM385),'2026DATA'!$F$38,"")</f>
        <v/>
      </c>
      <c r="CN421" s="518" t="str">
        <f>IF(AND(_6="B-717",'2026'!$N$4="FO",'2026'!$N$2=CN385),'2026DATA'!$G$38,"")</f>
        <v/>
      </c>
      <c r="CO421" s="518" t="str">
        <f>IF(AND(_6="B-717",'2026'!$N$4="FO",'2026'!$N$2=CO385),'2026DATA'!$H$38,"")</f>
        <v/>
      </c>
      <c r="CP421" s="518" t="str">
        <f>IF(AND(_6="B-717",'2026'!$N$4="FO",'2026'!$N$2=CP385),'2026DATA'!$I$38,"")</f>
        <v/>
      </c>
      <c r="CQ421" s="518" t="str">
        <f>IF(AND(_6="B-717",'2026'!$N$4="FO",'2026'!$N$2=CQ385),'2026DATA'!$J$38,"")</f>
        <v/>
      </c>
      <c r="CR421" s="518" t="str">
        <f>IF(AND(_6="B-717",'2026'!$N$4="FO",'2026'!$N$2=CR385),'2026DATA'!$K$38,"")</f>
        <v/>
      </c>
      <c r="CS421" s="518" t="str">
        <f>IF(AND(_6="B-717",'2026'!$N$4="FO",'2026'!$N$2=CS385),'2026DATA'!$L$38,"")</f>
        <v/>
      </c>
      <c r="CT421" s="518" t="str">
        <f>IF(AND(_6="B-717",'2026'!$N$4="FO",'2026'!$N$2=CT385),'2026DATA'!$M$38,"")</f>
        <v/>
      </c>
      <c r="CU421" s="520" t="str">
        <f>IF(AND(_6="B-717",'2026'!$N$4="FO",'2026'!$N$2=CU385),'2026DATA'!$N$38,"")</f>
        <v/>
      </c>
    </row>
    <row r="422" spans="16:99" x14ac:dyDescent="0.25">
      <c r="P422" s="943" t="s">
        <v>128</v>
      </c>
      <c r="Q422" s="944"/>
      <c r="R422" s="944"/>
      <c r="S422" s="944"/>
      <c r="T422" s="944"/>
      <c r="U422" s="944"/>
      <c r="V422" s="944"/>
      <c r="W422" s="944"/>
      <c r="X422" s="944"/>
      <c r="Y422" s="944"/>
      <c r="Z422" s="944"/>
      <c r="AA422" s="944"/>
      <c r="AB422" s="944"/>
      <c r="AC422" s="945"/>
      <c r="AD422" s="943" t="s">
        <v>129</v>
      </c>
      <c r="AE422" s="944"/>
      <c r="AF422" s="944"/>
      <c r="AG422" s="944"/>
      <c r="AH422" s="944"/>
      <c r="AI422" s="944"/>
      <c r="AJ422" s="944"/>
      <c r="AK422" s="944"/>
      <c r="AL422" s="944"/>
      <c r="AM422" s="944"/>
      <c r="AN422" s="944"/>
      <c r="AO422" s="944"/>
      <c r="AP422" s="944"/>
      <c r="AQ422" s="945"/>
      <c r="AR422" s="943" t="s">
        <v>130</v>
      </c>
      <c r="AS422" s="944"/>
      <c r="AT422" s="944"/>
      <c r="AU422" s="944"/>
      <c r="AV422" s="944"/>
      <c r="AW422" s="944"/>
      <c r="AX422" s="944"/>
      <c r="AY422" s="944"/>
      <c r="AZ422" s="944"/>
      <c r="BA422" s="944"/>
      <c r="BB422" s="944"/>
      <c r="BC422" s="944"/>
      <c r="BD422" s="944"/>
      <c r="BE422" s="945"/>
      <c r="BF422" s="943" t="s">
        <v>131</v>
      </c>
      <c r="BG422" s="944"/>
      <c r="BH422" s="944"/>
      <c r="BI422" s="944"/>
      <c r="BJ422" s="944"/>
      <c r="BK422" s="944"/>
      <c r="BL422" s="944"/>
      <c r="BM422" s="944"/>
      <c r="BN422" s="944"/>
      <c r="BO422" s="944"/>
      <c r="BP422" s="944"/>
      <c r="BQ422" s="944"/>
      <c r="BR422" s="944"/>
      <c r="BS422" s="945"/>
      <c r="BT422" s="943" t="s">
        <v>132</v>
      </c>
      <c r="BU422" s="944"/>
      <c r="BV422" s="944"/>
      <c r="BW422" s="944"/>
      <c r="BX422" s="944"/>
      <c r="BY422" s="944"/>
      <c r="BZ422" s="944"/>
      <c r="CA422" s="944"/>
      <c r="CB422" s="944"/>
      <c r="CC422" s="944"/>
      <c r="CD422" s="944"/>
      <c r="CE422" s="944"/>
      <c r="CF422" s="944"/>
      <c r="CG422" s="945"/>
      <c r="CH422" s="943" t="s">
        <v>133</v>
      </c>
      <c r="CI422" s="944"/>
      <c r="CJ422" s="944"/>
      <c r="CK422" s="944"/>
      <c r="CL422" s="944"/>
      <c r="CM422" s="944"/>
      <c r="CN422" s="944"/>
      <c r="CO422" s="944"/>
      <c r="CP422" s="944"/>
      <c r="CQ422" s="944"/>
      <c r="CR422" s="944"/>
      <c r="CS422" s="944"/>
      <c r="CT422" s="944"/>
      <c r="CU422" s="945"/>
    </row>
    <row r="423" spans="16:99" x14ac:dyDescent="0.25">
      <c r="P423" s="573">
        <v>12</v>
      </c>
      <c r="Q423" s="573">
        <f>SUM(R424:AC459)</f>
        <v>0</v>
      </c>
      <c r="R423" s="3">
        <v>12</v>
      </c>
      <c r="S423" s="3">
        <v>11</v>
      </c>
      <c r="T423" s="3">
        <v>10</v>
      </c>
      <c r="U423" s="3">
        <v>9</v>
      </c>
      <c r="V423" s="3">
        <v>8</v>
      </c>
      <c r="W423" s="3">
        <v>7</v>
      </c>
      <c r="X423" s="3">
        <v>6</v>
      </c>
      <c r="Y423" s="3">
        <v>5</v>
      </c>
      <c r="Z423" s="3">
        <v>4</v>
      </c>
      <c r="AA423" s="3">
        <v>3</v>
      </c>
      <c r="AB423" s="3">
        <v>2</v>
      </c>
      <c r="AC423" s="519">
        <v>1</v>
      </c>
      <c r="AD423" s="573">
        <v>12</v>
      </c>
      <c r="AE423" s="573">
        <f>SUM(AF424:AQ459)</f>
        <v>0</v>
      </c>
      <c r="AF423" s="3">
        <v>12</v>
      </c>
      <c r="AG423" s="3">
        <v>11</v>
      </c>
      <c r="AH423" s="3">
        <v>10</v>
      </c>
      <c r="AI423" s="3">
        <v>9</v>
      </c>
      <c r="AJ423" s="3">
        <v>8</v>
      </c>
      <c r="AK423" s="3">
        <v>7</v>
      </c>
      <c r="AL423" s="3">
        <v>6</v>
      </c>
      <c r="AM423" s="3">
        <v>5</v>
      </c>
      <c r="AN423" s="3">
        <v>4</v>
      </c>
      <c r="AO423" s="3">
        <v>3</v>
      </c>
      <c r="AP423" s="3">
        <v>2</v>
      </c>
      <c r="AQ423" s="519">
        <v>1</v>
      </c>
      <c r="AR423" s="573">
        <v>12</v>
      </c>
      <c r="AS423" s="573">
        <f>SUM(AT424:BE459)</f>
        <v>0</v>
      </c>
      <c r="AT423" s="3">
        <v>12</v>
      </c>
      <c r="AU423" s="3">
        <v>11</v>
      </c>
      <c r="AV423" s="3">
        <v>10</v>
      </c>
      <c r="AW423" s="3">
        <v>9</v>
      </c>
      <c r="AX423" s="3">
        <v>8</v>
      </c>
      <c r="AY423" s="3">
        <v>7</v>
      </c>
      <c r="AZ423" s="3">
        <v>6</v>
      </c>
      <c r="BA423" s="3">
        <v>5</v>
      </c>
      <c r="BB423" s="3">
        <v>4</v>
      </c>
      <c r="BC423" s="3">
        <v>3</v>
      </c>
      <c r="BD423" s="3">
        <v>2</v>
      </c>
      <c r="BE423" s="519">
        <v>1</v>
      </c>
      <c r="BF423" s="573">
        <v>12</v>
      </c>
      <c r="BG423" s="573">
        <f>SUM(BH424:BS459)</f>
        <v>0</v>
      </c>
      <c r="BH423" s="3">
        <v>12</v>
      </c>
      <c r="BI423" s="3">
        <v>11</v>
      </c>
      <c r="BJ423" s="3">
        <v>10</v>
      </c>
      <c r="BK423" s="3">
        <v>9</v>
      </c>
      <c r="BL423" s="3">
        <v>8</v>
      </c>
      <c r="BM423" s="3">
        <v>7</v>
      </c>
      <c r="BN423" s="3">
        <v>6</v>
      </c>
      <c r="BO423" s="3">
        <v>5</v>
      </c>
      <c r="BP423" s="3">
        <v>4</v>
      </c>
      <c r="BQ423" s="3">
        <v>3</v>
      </c>
      <c r="BR423" s="3">
        <v>2</v>
      </c>
      <c r="BS423" s="519">
        <v>1</v>
      </c>
      <c r="BT423" s="573">
        <v>12</v>
      </c>
      <c r="BU423" s="573">
        <f>SUM(BV424:CG459)</f>
        <v>0</v>
      </c>
      <c r="BV423" s="3">
        <v>12</v>
      </c>
      <c r="BW423" s="3">
        <v>11</v>
      </c>
      <c r="BX423" s="3">
        <v>10</v>
      </c>
      <c r="BY423" s="3">
        <v>9</v>
      </c>
      <c r="BZ423" s="3">
        <v>8</v>
      </c>
      <c r="CA423" s="3">
        <v>7</v>
      </c>
      <c r="CB423" s="3">
        <v>6</v>
      </c>
      <c r="CC423" s="3">
        <v>5</v>
      </c>
      <c r="CD423" s="3">
        <v>4</v>
      </c>
      <c r="CE423" s="3">
        <v>3</v>
      </c>
      <c r="CF423" s="3">
        <v>2</v>
      </c>
      <c r="CG423" s="519">
        <v>1</v>
      </c>
      <c r="CH423" s="573">
        <v>12</v>
      </c>
      <c r="CI423" s="573">
        <f>SUM(CJ424:CU459)</f>
        <v>0</v>
      </c>
      <c r="CJ423" s="3">
        <v>12</v>
      </c>
      <c r="CK423" s="3">
        <v>11</v>
      </c>
      <c r="CL423" s="3">
        <v>10</v>
      </c>
      <c r="CM423" s="3">
        <v>9</v>
      </c>
      <c r="CN423" s="3">
        <v>8</v>
      </c>
      <c r="CO423" s="3">
        <v>7</v>
      </c>
      <c r="CP423" s="3">
        <v>6</v>
      </c>
      <c r="CQ423" s="3">
        <v>5</v>
      </c>
      <c r="CR423" s="3">
        <v>4</v>
      </c>
      <c r="CS423" s="3">
        <v>3</v>
      </c>
      <c r="CT423" s="3">
        <v>2</v>
      </c>
      <c r="CU423" s="519">
        <v>1</v>
      </c>
    </row>
    <row r="424" spans="16:99" x14ac:dyDescent="0.25">
      <c r="P424" s="940" t="s">
        <v>39</v>
      </c>
      <c r="Q424" s="13" t="s">
        <v>61</v>
      </c>
      <c r="R424" s="518" t="str">
        <f>IF(AND(_1="A-350",'2026'!$O$4="CA",'2026'!$O$2=R423),'2026DATA'!$C$3,"")</f>
        <v/>
      </c>
      <c r="S424" s="518" t="str">
        <f>IF(AND(_1="A-350",'2026'!$O$4="CA",'2026'!$O$2=S423),'2026DATA'!$D$3,"")</f>
        <v/>
      </c>
      <c r="T424" s="518" t="str">
        <f>IF(AND(_1="A-350",'2026'!$O$4="CA",'2026'!$O$2=T423),'2026DATA'!$E$3,"")</f>
        <v/>
      </c>
      <c r="U424" s="518" t="str">
        <f>IF(AND(_1="A-350",'2026'!$O$4="CA",'2026'!$O$2=U423),'2026DATA'!$F$3,"")</f>
        <v/>
      </c>
      <c r="V424" s="518" t="str">
        <f>IF(AND(_1="A-350",'2026'!$O$4="CA",'2026'!$O$2=V423),'2026DATA'!$G$3,"")</f>
        <v/>
      </c>
      <c r="W424" s="518" t="str">
        <f>IF(AND(_1="A-350",'2026'!$O$4="CA",'2026'!$O$2=W423),'2026DATA'!$H$3,"")</f>
        <v/>
      </c>
      <c r="X424" s="518" t="str">
        <f>IF(AND(_1="A-350",'2026'!$O$4="CA",'2026'!$O$2=X423),'2026DATA'!$I$3,"")</f>
        <v/>
      </c>
      <c r="Y424" s="518" t="str">
        <f>IF(AND(_1="A-350",'2026'!$O$4="CA",'2026'!$O$2=Y423),'2026DATA'!$J$3,"")</f>
        <v/>
      </c>
      <c r="Z424" s="518" t="str">
        <f>IF(AND(_1="A-350",'2026'!$O$4="CA",'2026'!$O$2=Z423),'2026DATA'!$K$3,"")</f>
        <v/>
      </c>
      <c r="AA424" s="518" t="str">
        <f>IF(AND(_1="A-350",'2026'!$O$4="CA",'2026'!$O$2=AA423),'2026DATA'!$L$3,"")</f>
        <v/>
      </c>
      <c r="AB424" s="518" t="str">
        <f>IF(AND(_1="A-350",'2026'!$O$4="CA",'2026'!$O$2=AB423),'2026DATA'!$M$3,"")</f>
        <v/>
      </c>
      <c r="AC424" s="520" t="str">
        <f>IF(AND(_1="A-350",'2026'!$O$4="CA",'2026'!$O$2=AC423),'2026DATA'!$N$3,"")</f>
        <v/>
      </c>
      <c r="AD424" s="940" t="s">
        <v>39</v>
      </c>
      <c r="AE424" s="13" t="s">
        <v>61</v>
      </c>
      <c r="AF424" s="518" t="str">
        <f>IF(AND(_2="A-350",'2026'!$O$4="CA",'2026'!$O$2=AF423),'2026DATA'!$C$3,"")</f>
        <v/>
      </c>
      <c r="AG424" s="518" t="str">
        <f>IF(AND(_2="A-350",'2026'!$O$4="CA",'2026'!$O$2=AG423),'2026DATA'!$D$3,"")</f>
        <v/>
      </c>
      <c r="AH424" s="518" t="str">
        <f>IF(AND(_2="A-350",'2026'!$O$4="CA",'2026'!$O$2=AH423),'2026DATA'!$E$3,"")</f>
        <v/>
      </c>
      <c r="AI424" s="518" t="str">
        <f>IF(AND(_2="A-350",'2026'!$O$4="CA",'2026'!$O$2=AI423),'2026DATA'!$F$3,"")</f>
        <v/>
      </c>
      <c r="AJ424" s="518" t="str">
        <f>IF(AND(_2="A-350",'2026'!$O$4="CA",'2026'!$O$2=AJ423),'2026DATA'!$G$3,"")</f>
        <v/>
      </c>
      <c r="AK424" s="518" t="str">
        <f>IF(AND(_2="A-350",'2026'!$O$4="CA",'2026'!$O$2=AK423),'2026DATA'!$H$3,"")</f>
        <v/>
      </c>
      <c r="AL424" s="518" t="str">
        <f>IF(AND(_2="A-350",'2026'!$O$4="CA",'2026'!$O$2=AL423),'2026DATA'!$I$3,"")</f>
        <v/>
      </c>
      <c r="AM424" s="518" t="str">
        <f>IF(AND(_2="A-350",'2026'!$O$4="CA",'2026'!$O$2=AM423),'2026DATA'!$J$3,"")</f>
        <v/>
      </c>
      <c r="AN424" s="518" t="str">
        <f>IF(AND(_2="A-350",'2026'!$O$4="CA",'2026'!$O$2=AN423),'2026DATA'!$K$3,"")</f>
        <v/>
      </c>
      <c r="AO424" s="518" t="str">
        <f>IF(AND(_2="A-350",'2026'!$O$4="CA",'2026'!$O$2=AO423),'2026DATA'!$L$3,"")</f>
        <v/>
      </c>
      <c r="AP424" s="518" t="str">
        <f>IF(AND(_2="A-350",'2026'!$O$4="CA",'2026'!$O$2=AP423),'2026DATA'!$M$3,"")</f>
        <v/>
      </c>
      <c r="AQ424" s="520" t="str">
        <f>IF(AND(_2="A-350",'2026'!$O$4="CA",'2026'!$O$2=AQ423),'2026DATA'!$N$3,"")</f>
        <v/>
      </c>
      <c r="AR424" s="940" t="s">
        <v>39</v>
      </c>
      <c r="AS424" s="13" t="s">
        <v>61</v>
      </c>
      <c r="AT424" s="518" t="str">
        <f>IF(AND(_3="A-350",'2026'!$O$4="CA",'2026'!$O$2=AT423),'2026DATA'!$C$3,"")</f>
        <v/>
      </c>
      <c r="AU424" s="518" t="str">
        <f>IF(AND(_3="A-350",'2026'!$O$4="CA",'2026'!$O$2=AU423),'2026DATA'!$D$3,"")</f>
        <v/>
      </c>
      <c r="AV424" s="518" t="str">
        <f>IF(AND(_3="A-350",'2026'!$O$4="CA",'2026'!$O$2=AV423),'2026DATA'!$E$3,"")</f>
        <v/>
      </c>
      <c r="AW424" s="518" t="str">
        <f>IF(AND(_3="A-350",'2026'!$O$4="CA",'2026'!$O$2=AW423),'2026DATA'!$F$3,"")</f>
        <v/>
      </c>
      <c r="AX424" s="518" t="str">
        <f>IF(AND(_3="A-350",'2026'!$O$4="CA",'2026'!$O$2=AX423),'2026DATA'!$G$3,"")</f>
        <v/>
      </c>
      <c r="AY424" s="518" t="str">
        <f>IF(AND(_3="A-350",'2026'!$O$4="CA",'2026'!$O$2=AY423),'2026DATA'!$H$3,"")</f>
        <v/>
      </c>
      <c r="AZ424" s="518" t="str">
        <f>IF(AND(_3="A-350",'2026'!$O$4="CA",'2026'!$O$2=AZ423),'2026DATA'!$I$3,"")</f>
        <v/>
      </c>
      <c r="BA424" s="518" t="str">
        <f>IF(AND(_3="A-350",'2026'!$O$4="CA",'2026'!$O$2=BA423),'2026DATA'!$J$3,"")</f>
        <v/>
      </c>
      <c r="BB424" s="518" t="str">
        <f>IF(AND(_3="A-350",'2026'!$O$4="CA",'2026'!$O$2=BB423),'2026DATA'!$K$3,"")</f>
        <v/>
      </c>
      <c r="BC424" s="518" t="str">
        <f>IF(AND(_3="A-350",'2026'!$O$4="CA",'2026'!$O$2=BC423),'2026DATA'!$L$3,"")</f>
        <v/>
      </c>
      <c r="BD424" s="518" t="str">
        <f>IF(AND(_3="A-350",'2026'!$O$4="CA",'2026'!$O$2=BD423),'2026DATA'!$M$3,"")</f>
        <v/>
      </c>
      <c r="BE424" s="520" t="str">
        <f>IF(AND(_3="A-350",'2026'!$O$4="CA",'2026'!$O$2=BE423),'2026DATA'!$N$3,"")</f>
        <v/>
      </c>
      <c r="BF424" s="940" t="s">
        <v>39</v>
      </c>
      <c r="BG424" s="13" t="s">
        <v>61</v>
      </c>
      <c r="BH424" s="518" t="str">
        <f>IF(AND(_4="A-350",'2026'!$O$4="CA",'2026'!$O$2=BH423),'2026DATA'!$C$3,"")</f>
        <v/>
      </c>
      <c r="BI424" s="518" t="str">
        <f>IF(AND(_4="A-350",'2026'!$O$4="CA",'2026'!$O$2=BI423),'2026DATA'!$D$3,"")</f>
        <v/>
      </c>
      <c r="BJ424" s="518" t="str">
        <f>IF(AND(_4="A-350",'2026'!$O$4="CA",'2026'!$O$2=BJ423),'2026DATA'!$E$3,"")</f>
        <v/>
      </c>
      <c r="BK424" s="518" t="str">
        <f>IF(AND(_4="A-350",'2026'!$O$4="CA",'2026'!$O$2=BK423),'2026DATA'!$F$3,"")</f>
        <v/>
      </c>
      <c r="BL424" s="518" t="str">
        <f>IF(AND(_4="A-350",'2026'!$O$4="CA",'2026'!$O$2=BL423),'2026DATA'!$G$3,"")</f>
        <v/>
      </c>
      <c r="BM424" s="518" t="str">
        <f>IF(AND(_4="A-350",'2026'!$O$4="CA",'2026'!$O$2=BM423),'2026DATA'!$H$3,"")</f>
        <v/>
      </c>
      <c r="BN424" s="518" t="str">
        <f>IF(AND(_4="A-350",'2026'!$O$4="CA",'2026'!$O$2=BN423),'2026DATA'!$I$3,"")</f>
        <v/>
      </c>
      <c r="BO424" s="518" t="str">
        <f>IF(AND(_4="A-350",'2026'!$O$4="CA",'2026'!$O$2=BO423),'2026DATA'!$J$3,"")</f>
        <v/>
      </c>
      <c r="BP424" s="518" t="str">
        <f>IF(AND(_4="A-350",'2026'!$O$4="CA",'2026'!$O$2=BP423),'2026DATA'!$K$3,"")</f>
        <v/>
      </c>
      <c r="BQ424" s="518" t="str">
        <f>IF(AND(_4="A-350",'2026'!$O$4="CA",'2026'!$O$2=BQ423),'2026DATA'!$L$3,"")</f>
        <v/>
      </c>
      <c r="BR424" s="518" t="str">
        <f>IF(AND(_4="A-350",'2026'!$O$4="CA",'2026'!$O$2=BR423),'2026DATA'!$M$3,"")</f>
        <v/>
      </c>
      <c r="BS424" s="520" t="str">
        <f>IF(AND(_4="A-350",'2026'!$O$4="CA",'2026'!$O$2=BS423),'2026DATA'!$N$3,"")</f>
        <v/>
      </c>
      <c r="BT424" s="940" t="s">
        <v>39</v>
      </c>
      <c r="BU424" s="13" t="s">
        <v>61</v>
      </c>
      <c r="BV424" s="518" t="str">
        <f>IF(AND(_5="A-350",'2026'!$O$4="CA",'2026'!$O$2=BV423),'2026DATA'!$C$3,"")</f>
        <v/>
      </c>
      <c r="BW424" s="518" t="str">
        <f>IF(AND(_5="A-350",'2026'!$O$4="CA",'2026'!$O$2=BW423),'2026DATA'!$D$3,"")</f>
        <v/>
      </c>
      <c r="BX424" s="518" t="str">
        <f>IF(AND(_5="A-350",'2026'!$O$4="CA",'2026'!$O$2=BX423),'2026DATA'!$E$3,"")</f>
        <v/>
      </c>
      <c r="BY424" s="518" t="str">
        <f>IF(AND(_5="A-350",'2026'!$O$4="CA",'2026'!$O$2=BY423),'2026DATA'!$F$3,"")</f>
        <v/>
      </c>
      <c r="BZ424" s="518" t="str">
        <f>IF(AND(_5="A-350",'2026'!$O$4="CA",'2026'!$O$2=BZ423),'2026DATA'!$G$3,"")</f>
        <v/>
      </c>
      <c r="CA424" s="518" t="str">
        <f>IF(AND(_5="A-350",'2026'!$O$4="CA",'2026'!$O$2=CA423),'2026DATA'!$H$3,"")</f>
        <v/>
      </c>
      <c r="CB424" s="518" t="str">
        <f>IF(AND(_5="A-350",'2026'!$O$4="CA",'2026'!$O$2=CB423),'2026DATA'!$I$3,"")</f>
        <v/>
      </c>
      <c r="CC424" s="518" t="str">
        <f>IF(AND(_5="A-350",'2026'!$O$4="CA",'2026'!$O$2=CC423),'2026DATA'!$J$3,"")</f>
        <v/>
      </c>
      <c r="CD424" s="518" t="str">
        <f>IF(AND(_5="A-350",'2026'!$O$4="CA",'2026'!$O$2=CD423),'2026DATA'!$K$3,"")</f>
        <v/>
      </c>
      <c r="CE424" s="518" t="str">
        <f>IF(AND(_5="A-350",'2026'!$O$4="CA",'2026'!$O$2=CE423),'2026DATA'!$L$3,"")</f>
        <v/>
      </c>
      <c r="CF424" s="518" t="str">
        <f>IF(AND(_5="A-350",'2026'!$O$4="CA",'2026'!$O$2=CF423),'2026DATA'!$M$3,"")</f>
        <v/>
      </c>
      <c r="CG424" s="520" t="str">
        <f>IF(AND(_5="A-350",'2026'!$O$4="CA",'2026'!$O$2=CG423),'2026DATA'!$N$3,"")</f>
        <v/>
      </c>
      <c r="CH424" s="940" t="s">
        <v>39</v>
      </c>
      <c r="CI424" s="13" t="s">
        <v>61</v>
      </c>
      <c r="CJ424" s="518" t="str">
        <f>IF(AND(_6="A-350",'2026'!$O$4="CA",'2026'!$O$2=CJ423),'2026DATA'!$C$3,"")</f>
        <v/>
      </c>
      <c r="CK424" s="518" t="str">
        <f>IF(AND(_6="A-350",'2026'!$O$4="CA",'2026'!$O$2=CK423),'2026DATA'!$D$3,"")</f>
        <v/>
      </c>
      <c r="CL424" s="518" t="str">
        <f>IF(AND(_6="A-350",'2026'!$O$4="CA",'2026'!$O$2=CL423),'2026DATA'!$E$3,"")</f>
        <v/>
      </c>
      <c r="CM424" s="518" t="str">
        <f>IF(AND(_6="A-350",'2026'!$O$4="CA",'2026'!$O$2=CM423),'2026DATA'!$F$3,"")</f>
        <v/>
      </c>
      <c r="CN424" s="518" t="str">
        <f>IF(AND(_6="A-350",'2026'!$O$4="CA",'2026'!$O$2=CN423),'2026DATA'!$G$3,"")</f>
        <v/>
      </c>
      <c r="CO424" s="518" t="str">
        <f>IF(AND(_6="A-350",'2026'!$O$4="CA",'2026'!$O$2=CO423),'2026DATA'!$H$3,"")</f>
        <v/>
      </c>
      <c r="CP424" s="518" t="str">
        <f>IF(AND(_6="A-350",'2026'!$O$4="CA",'2026'!$O$2=CP423),'2026DATA'!$I$3,"")</f>
        <v/>
      </c>
      <c r="CQ424" s="518" t="str">
        <f>IF(AND(_6="A-350",'2026'!$O$4="CA",'2026'!$O$2=CQ423),'2026DATA'!$J$3,"")</f>
        <v/>
      </c>
      <c r="CR424" s="518" t="str">
        <f>IF(AND(_6="A-350",'2026'!$O$4="CA",'2026'!$O$2=CR423),'2026DATA'!$K$3,"")</f>
        <v/>
      </c>
      <c r="CS424" s="518" t="str">
        <f>IF(AND(_6="A-350",'2026'!$O$4="CA",'2026'!$O$2=CS423),'2026DATA'!$L$3,"")</f>
        <v/>
      </c>
      <c r="CT424" s="518" t="str">
        <f>IF(AND(_6="A-350",'2026'!$O$4="CA",'2026'!$O$2=CT423),'2026DATA'!$M$3,"")</f>
        <v/>
      </c>
      <c r="CU424" s="520" t="str">
        <f>IF(AND(_6="A-350",'2026'!$O$4="CA",'2026'!$O$2=CU423),'2026DATA'!$N$3,"")</f>
        <v/>
      </c>
    </row>
    <row r="425" spans="16:99" x14ac:dyDescent="0.25">
      <c r="P425" s="940"/>
      <c r="Q425" s="13" t="s">
        <v>62</v>
      </c>
      <c r="R425" s="518" t="str">
        <f>IF(AND(_1="A-350",'2026'!$O$4="FO",'2026'!$O$2=R423),'2026DATA'!$C$4,"")</f>
        <v/>
      </c>
      <c r="S425" s="518" t="str">
        <f>IF(AND(_1="A-350",'2026'!$O$4="FO",'2026'!$O$2=S423),'2026DATA'!$D$4,"")</f>
        <v/>
      </c>
      <c r="T425" s="518" t="str">
        <f>IF(AND(_1="A-350",'2026'!$O$4="FO",'2026'!$O$2=T423),'2026DATA'!$E$4,"")</f>
        <v/>
      </c>
      <c r="U425" s="518" t="str">
        <f>IF(AND(_1="A-350",'2026'!$O$4="FO",'2026'!$O$2=U423),'2026DATA'!$F$4,"")</f>
        <v/>
      </c>
      <c r="V425" s="518" t="str">
        <f>IF(AND(_1="A-350",'2026'!$O$4="FO",'2026'!$O$2=V423),'2026DATA'!$G$4,"")</f>
        <v/>
      </c>
      <c r="W425" s="518" t="str">
        <f>IF(AND(_1="A-350",'2026'!$O$4="FO",'2026'!$O$2=W423),'2026DATA'!$H$4,"")</f>
        <v/>
      </c>
      <c r="X425" s="518" t="str">
        <f>IF(AND(_1="A-350",'2026'!$O$4="FO",'2026'!$O$2=X423),'2026DATA'!$I$4,"")</f>
        <v/>
      </c>
      <c r="Y425" s="518" t="str">
        <f>IF(AND(_1="A-350",'2026'!$O$4="FO",'2026'!$O$2=Y423),'2026DATA'!$J$4,"")</f>
        <v/>
      </c>
      <c r="Z425" s="518" t="str">
        <f>IF(AND(_1="A-350",'2026'!$O$4="FO",'2026'!$O$2=Z423),'2026DATA'!$K$4,"")</f>
        <v/>
      </c>
      <c r="AA425" s="518" t="str">
        <f>IF(AND(_1="A-350",'2026'!$O$4="FO",'2026'!$O$2=AA423),'2026DATA'!$L$4,"")</f>
        <v/>
      </c>
      <c r="AB425" s="518" t="str">
        <f>IF(AND(_1="A-350",'2026'!$O$4="FO",'2026'!$O$2=AB423),'2026DATA'!$M$4,"")</f>
        <v/>
      </c>
      <c r="AC425" s="520" t="str">
        <f>IF(AND(_1="A-350",'2026'!$O$4="FO",'2026'!$O$2=AC423),'2026DATA'!$N$4,"")</f>
        <v/>
      </c>
      <c r="AD425" s="940"/>
      <c r="AE425" s="13" t="s">
        <v>62</v>
      </c>
      <c r="AF425" s="518" t="str">
        <f>IF(AND(_2="A-350",'2026'!$O$4="FO",'2026'!$O$2=AF423),'2026DATA'!$C$4,"")</f>
        <v/>
      </c>
      <c r="AG425" s="518" t="str">
        <f>IF(AND(_2="A-350",'2026'!$O$4="FO",'2026'!$O$2=AG423),'2026DATA'!$D$4,"")</f>
        <v/>
      </c>
      <c r="AH425" s="518" t="str">
        <f>IF(AND(_2="A-350",'2026'!$O$4="FO",'2026'!$O$2=AH423),'2026DATA'!$E$4,"")</f>
        <v/>
      </c>
      <c r="AI425" s="518" t="str">
        <f>IF(AND(_2="A-350",'2026'!$O$4="FO",'2026'!$O$2=AI423),'2026DATA'!$F$4,"")</f>
        <v/>
      </c>
      <c r="AJ425" s="518" t="str">
        <f>IF(AND(_2="A-350",'2026'!$O$4="FO",'2026'!$O$2=AJ423),'2026DATA'!$G$4,"")</f>
        <v/>
      </c>
      <c r="AK425" s="518" t="str">
        <f>IF(AND(_2="A-350",'2026'!$O$4="FO",'2026'!$O$2=AK423),'2026DATA'!$H$4,"")</f>
        <v/>
      </c>
      <c r="AL425" s="518" t="str">
        <f>IF(AND(_2="A-350",'2026'!$O$4="FO",'2026'!$O$2=AL423),'2026DATA'!$I$4,"")</f>
        <v/>
      </c>
      <c r="AM425" s="518" t="str">
        <f>IF(AND(_2="A-350",'2026'!$O$4="FO",'2026'!$O$2=AM423),'2026DATA'!$J$4,"")</f>
        <v/>
      </c>
      <c r="AN425" s="518" t="str">
        <f>IF(AND(_2="A-350",'2026'!$O$4="FO",'2026'!$O$2=AN423),'2026DATA'!$K$4,"")</f>
        <v/>
      </c>
      <c r="AO425" s="518" t="str">
        <f>IF(AND(_2="A-350",'2026'!$O$4="FO",'2026'!$O$2=AO423),'2026DATA'!$L$4,"")</f>
        <v/>
      </c>
      <c r="AP425" s="518" t="str">
        <f>IF(AND(_2="A-350",'2026'!$O$4="FO",'2026'!$O$2=AP423),'2026DATA'!$M$4,"")</f>
        <v/>
      </c>
      <c r="AQ425" s="520" t="str">
        <f>IF(AND(_2="A-350",'2026'!$O$4="FO",'2026'!$O$2=AQ423),'2026DATA'!$N$4,"")</f>
        <v/>
      </c>
      <c r="AR425" s="940"/>
      <c r="AS425" s="13" t="s">
        <v>62</v>
      </c>
      <c r="AT425" s="518" t="str">
        <f>IF(AND(_3="A-350",'2026'!$O$4="FO",'2026'!$O$2=AT423),'2026DATA'!$C$4,"")</f>
        <v/>
      </c>
      <c r="AU425" s="518" t="str">
        <f>IF(AND(_3="A-350",'2026'!$O$4="FO",'2026'!$O$2=AU423),'2026DATA'!$D$4,"")</f>
        <v/>
      </c>
      <c r="AV425" s="518" t="str">
        <f>IF(AND(_3="A-350",'2026'!$O$4="FO",'2026'!$O$2=AV423),'2026DATA'!$E$4,"")</f>
        <v/>
      </c>
      <c r="AW425" s="518" t="str">
        <f>IF(AND(_3="A-350",'2026'!$O$4="FO",'2026'!$O$2=AW423),'2026DATA'!$F$4,"")</f>
        <v/>
      </c>
      <c r="AX425" s="518" t="str">
        <f>IF(AND(_3="A-350",'2026'!$O$4="FO",'2026'!$O$2=AX423),'2026DATA'!$G$4,"")</f>
        <v/>
      </c>
      <c r="AY425" s="518" t="str">
        <f>IF(AND(_3="A-350",'2026'!$O$4="FO",'2026'!$O$2=AY423),'2026DATA'!$H$4,"")</f>
        <v/>
      </c>
      <c r="AZ425" s="518" t="str">
        <f>IF(AND(_3="A-350",'2026'!$O$4="FO",'2026'!$O$2=AZ423),'2026DATA'!$I$4,"")</f>
        <v/>
      </c>
      <c r="BA425" s="518" t="str">
        <f>IF(AND(_3="A-350",'2026'!$O$4="FO",'2026'!$O$2=BA423),'2026DATA'!$J$4,"")</f>
        <v/>
      </c>
      <c r="BB425" s="518" t="str">
        <f>IF(AND(_3="A-350",'2026'!$O$4="FO",'2026'!$O$2=BB423),'2026DATA'!$K$4,"")</f>
        <v/>
      </c>
      <c r="BC425" s="518" t="str">
        <f>IF(AND(_3="A-350",'2026'!$O$4="FO",'2026'!$O$2=BC423),'2026DATA'!$L$4,"")</f>
        <v/>
      </c>
      <c r="BD425" s="518" t="str">
        <f>IF(AND(_3="A-350",'2026'!$O$4="FO",'2026'!$O$2=BD423),'2026DATA'!$M$4,"")</f>
        <v/>
      </c>
      <c r="BE425" s="520" t="str">
        <f>IF(AND(_3="A-350",'2026'!$O$4="FO",'2026'!$O$2=BE423),'2026DATA'!$N$4,"")</f>
        <v/>
      </c>
      <c r="BF425" s="940"/>
      <c r="BG425" s="13" t="s">
        <v>62</v>
      </c>
      <c r="BH425" s="518" t="str">
        <f>IF(AND(_4="A-350",'2026'!$O$4="FO",'2026'!$O$2=BH423),'2026DATA'!$C$4,"")</f>
        <v/>
      </c>
      <c r="BI425" s="518" t="str">
        <f>IF(AND(_4="A-350",'2026'!$O$4="FO",'2026'!$O$2=BI423),'2026DATA'!$D$4,"")</f>
        <v/>
      </c>
      <c r="BJ425" s="518" t="str">
        <f>IF(AND(_4="A-350",'2026'!$O$4="FO",'2026'!$O$2=BJ423),'2026DATA'!$E$4,"")</f>
        <v/>
      </c>
      <c r="BK425" s="518" t="str">
        <f>IF(AND(_4="A-350",'2026'!$O$4="FO",'2026'!$O$2=BK423),'2026DATA'!$F$4,"")</f>
        <v/>
      </c>
      <c r="BL425" s="518" t="str">
        <f>IF(AND(_4="A-350",'2026'!$O$4="FO",'2026'!$O$2=BL423),'2026DATA'!$G$4,"")</f>
        <v/>
      </c>
      <c r="BM425" s="518" t="str">
        <f>IF(AND(_4="A-350",'2026'!$O$4="FO",'2026'!$O$2=BM423),'2026DATA'!$H$4,"")</f>
        <v/>
      </c>
      <c r="BN425" s="518" t="str">
        <f>IF(AND(_4="A-350",'2026'!$O$4="FO",'2026'!$O$2=BN423),'2026DATA'!$I$4,"")</f>
        <v/>
      </c>
      <c r="BO425" s="518" t="str">
        <f>IF(AND(_4="A-350",'2026'!$O$4="FO",'2026'!$O$2=BO423),'2026DATA'!$J$4,"")</f>
        <v/>
      </c>
      <c r="BP425" s="518" t="str">
        <f>IF(AND(_4="A-350",'2026'!$O$4="FO",'2026'!$O$2=BP423),'2026DATA'!$K$4,"")</f>
        <v/>
      </c>
      <c r="BQ425" s="518" t="str">
        <f>IF(AND(_4="A-350",'2026'!$O$4="FO",'2026'!$O$2=BQ423),'2026DATA'!$L$4,"")</f>
        <v/>
      </c>
      <c r="BR425" s="518" t="str">
        <f>IF(AND(_4="A-350",'2026'!$O$4="FO",'2026'!$O$2=BR423),'2026DATA'!$M$4,"")</f>
        <v/>
      </c>
      <c r="BS425" s="520" t="str">
        <f>IF(AND(_4="A-350",'2026'!$O$4="FO",'2026'!$O$2=BS423),'2026DATA'!$N$4,"")</f>
        <v/>
      </c>
      <c r="BT425" s="940"/>
      <c r="BU425" s="13" t="s">
        <v>62</v>
      </c>
      <c r="BV425" s="518" t="str">
        <f>IF(AND(_5="A-350",'2026'!$O$4="FO",'2026'!$O$2=BV423),'2026DATA'!$C$4,"")</f>
        <v/>
      </c>
      <c r="BW425" s="518" t="str">
        <f>IF(AND(_5="A-350",'2026'!$O$4="FO",'2026'!$O$2=BW423),'2026DATA'!$D$4,"")</f>
        <v/>
      </c>
      <c r="BX425" s="518" t="str">
        <f>IF(AND(_5="A-350",'2026'!$O$4="FO",'2026'!$O$2=BX423),'2026DATA'!$E$4,"")</f>
        <v/>
      </c>
      <c r="BY425" s="518" t="str">
        <f>IF(AND(_5="A-350",'2026'!$O$4="FO",'2026'!$O$2=BY423),'2026DATA'!$F$4,"")</f>
        <v/>
      </c>
      <c r="BZ425" s="518" t="str">
        <f>IF(AND(_5="A-350",'2026'!$O$4="FO",'2026'!$O$2=BZ423),'2026DATA'!$G$4,"")</f>
        <v/>
      </c>
      <c r="CA425" s="518" t="str">
        <f>IF(AND(_5="A-350",'2026'!$O$4="FO",'2026'!$O$2=CA423),'2026DATA'!$H$4,"")</f>
        <v/>
      </c>
      <c r="CB425" s="518" t="str">
        <f>IF(AND(_5="A-350",'2026'!$O$4="FO",'2026'!$O$2=CB423),'2026DATA'!$I$4,"")</f>
        <v/>
      </c>
      <c r="CC425" s="518" t="str">
        <f>IF(AND(_5="A-350",'2026'!$O$4="FO",'2026'!$O$2=CC423),'2026DATA'!$J$4,"")</f>
        <v/>
      </c>
      <c r="CD425" s="518" t="str">
        <f>IF(AND(_5="A-350",'2026'!$O$4="FO",'2026'!$O$2=CD423),'2026DATA'!$K$4,"")</f>
        <v/>
      </c>
      <c r="CE425" s="518" t="str">
        <f>IF(AND(_5="A-350",'2026'!$O$4="FO",'2026'!$O$2=CE423),'2026DATA'!$L$4,"")</f>
        <v/>
      </c>
      <c r="CF425" s="518" t="str">
        <f>IF(AND(_5="A-350",'2026'!$O$4="FO",'2026'!$O$2=CF423),'2026DATA'!$M$4,"")</f>
        <v/>
      </c>
      <c r="CG425" s="520" t="str">
        <f>IF(AND(_5="A-350",'2026'!$O$4="FO",'2026'!$O$2=CG423),'2026DATA'!$N$4,"")</f>
        <v/>
      </c>
      <c r="CH425" s="940"/>
      <c r="CI425" s="13" t="s">
        <v>62</v>
      </c>
      <c r="CJ425" s="518" t="str">
        <f>IF(AND(_6="A-350",'2026'!$O$4="FO",'2026'!$O$2=CJ423),'2026DATA'!$C$4,"")</f>
        <v/>
      </c>
      <c r="CK425" s="518" t="str">
        <f>IF(AND(_6="A-350",'2026'!$O$4="FO",'2026'!$O$2=CK423),'2026DATA'!$D$4,"")</f>
        <v/>
      </c>
      <c r="CL425" s="518" t="str">
        <f>IF(AND(_6="A-350",'2026'!$O$4="FO",'2026'!$O$2=CL423),'2026DATA'!$E$4,"")</f>
        <v/>
      </c>
      <c r="CM425" s="518" t="str">
        <f>IF(AND(_6="A-350",'2026'!$O$4="FO",'2026'!$O$2=CM423),'2026DATA'!$F$4,"")</f>
        <v/>
      </c>
      <c r="CN425" s="518" t="str">
        <f>IF(AND(_6="A-350",'2026'!$O$4="FO",'2026'!$O$2=CN423),'2026DATA'!$G$4,"")</f>
        <v/>
      </c>
      <c r="CO425" s="518" t="str">
        <f>IF(AND(_6="A-350",'2026'!$O$4="FO",'2026'!$O$2=CO423),'2026DATA'!$H$4,"")</f>
        <v/>
      </c>
      <c r="CP425" s="518" t="str">
        <f>IF(AND(_6="A-350",'2026'!$O$4="FO",'2026'!$O$2=CP423),'2026DATA'!$I$4,"")</f>
        <v/>
      </c>
      <c r="CQ425" s="518" t="str">
        <f>IF(AND(_6="A-350",'2026'!$O$4="FO",'2026'!$O$2=CQ423),'2026DATA'!$J$4,"")</f>
        <v/>
      </c>
      <c r="CR425" s="518" t="str">
        <f>IF(AND(_6="A-350",'2026'!$O$4="FO",'2026'!$O$2=CR423),'2026DATA'!$K$4,"")</f>
        <v/>
      </c>
      <c r="CS425" s="518" t="str">
        <f>IF(AND(_6="A-350",'2026'!$O$4="FO",'2026'!$O$2=CS423),'2026DATA'!$L$4,"")</f>
        <v/>
      </c>
      <c r="CT425" s="518" t="str">
        <f>IF(AND(_6="A-350",'2026'!$O$4="FO",'2026'!$O$2=CT423),'2026DATA'!$M$4,"")</f>
        <v/>
      </c>
      <c r="CU425" s="520" t="str">
        <f>IF(AND(_6="A-350",'2026'!$O$4="FO",'2026'!$O$2=CU423),'2026DATA'!$N$4,"")</f>
        <v/>
      </c>
    </row>
    <row r="426" spans="16:99" x14ac:dyDescent="0.25">
      <c r="P426" s="940" t="s">
        <v>65</v>
      </c>
      <c r="Q426" s="13" t="s">
        <v>61</v>
      </c>
      <c r="R426" s="518" t="str">
        <f>IF(AND(_1="A-330-900",'2026'!$O$4="CA",'2026'!$O$2=R423),'2026DATA'!$C$5,"")</f>
        <v/>
      </c>
      <c r="S426" s="518" t="str">
        <f>IF(AND(_1="A-330-900",'2026'!$O$4="CA",'2026'!$O$2=S423),'2026DATA'!$D$5,"")</f>
        <v/>
      </c>
      <c r="T426" s="518" t="str">
        <f>IF(AND(_1="A-330-900",'2026'!$O$4="CA",'2026'!$O$2=T423),'2026DATA'!$E$5,"")</f>
        <v/>
      </c>
      <c r="U426" s="518" t="str">
        <f>IF(AND(_1="A-330-900",'2026'!$O$4="CA",'2026'!$O$2=U423),'2026DATA'!$F$5,"")</f>
        <v/>
      </c>
      <c r="V426" s="518" t="str">
        <f>IF(AND(_1="A-330-900",'2026'!$O$4="CA",'2026'!$O$2=V423),'2026DATA'!$G$5,"")</f>
        <v/>
      </c>
      <c r="W426" s="518" t="str">
        <f>IF(AND(_1="A-330-900",'2026'!$O$4="CA",'2026'!$O$2=W423),'2026DATA'!$H$5,"")</f>
        <v/>
      </c>
      <c r="X426" s="518" t="str">
        <f>IF(AND(_1="A-330-900",'2026'!$O$4="CA",'2026'!$O$2=X423),'2026DATA'!$I$5,"")</f>
        <v/>
      </c>
      <c r="Y426" s="518" t="str">
        <f>IF(AND(_1="A-330-900",'2026'!$O$4="CA",'2026'!$O$2=Y423),'2026DATA'!$J$5,"")</f>
        <v/>
      </c>
      <c r="Z426" s="518" t="str">
        <f>IF(AND(_1="A-330-900",'2026'!$O$4="CA",'2026'!$O$2=Z423),'2026DATA'!$K$5,"")</f>
        <v/>
      </c>
      <c r="AA426" s="518" t="str">
        <f>IF(AND(_1="A-330-900",'2026'!$O$4="CA",'2026'!$O$2=AA423),'2026DATA'!$L$5,"")</f>
        <v/>
      </c>
      <c r="AB426" s="518" t="str">
        <f>IF(AND(_1="A-330-900",'2026'!$O$4="CA",'2026'!$O$2=AB423),'2026DATA'!$M$5,"")</f>
        <v/>
      </c>
      <c r="AC426" s="520" t="str">
        <f>IF(AND(_1="A-330-900",'2026'!$O$4="CA",'2026'!$O$2=AC423),'2026DATA'!$N$5,"")</f>
        <v/>
      </c>
      <c r="AD426" s="940" t="s">
        <v>65</v>
      </c>
      <c r="AE426" s="13" t="s">
        <v>61</v>
      </c>
      <c r="AF426" s="518" t="str">
        <f>IF(AND(_2="A-330-900",'2026'!$O$4="CA",'2026'!$O$2=AF423),'2026DATA'!$C$5,"")</f>
        <v/>
      </c>
      <c r="AG426" s="518" t="str">
        <f>IF(AND(_2="A-330-900",'2026'!$O$4="CA",'2026'!$O$2=AG423),'2026DATA'!$D$5,"")</f>
        <v/>
      </c>
      <c r="AH426" s="518" t="str">
        <f>IF(AND(_2="A-330-900",'2026'!$O$4="CA",'2026'!$O$2=AH423),'2026DATA'!$E$5,"")</f>
        <v/>
      </c>
      <c r="AI426" s="518" t="str">
        <f>IF(AND(_2="A-330-900",'2026'!$O$4="CA",'2026'!$O$2=AI423),'2026DATA'!$F$5,"")</f>
        <v/>
      </c>
      <c r="AJ426" s="518" t="str">
        <f>IF(AND(_2="A-330-900",'2026'!$O$4="CA",'2026'!$O$2=AJ423),'2026DATA'!$G$5,"")</f>
        <v/>
      </c>
      <c r="AK426" s="518" t="str">
        <f>IF(AND(_2="A-330-900",'2026'!$O$4="CA",'2026'!$O$2=AK423),'2026DATA'!$H$5,"")</f>
        <v/>
      </c>
      <c r="AL426" s="518" t="str">
        <f>IF(AND(_2="A-330-900",'2026'!$O$4="CA",'2026'!$O$2=AL423),'2026DATA'!$I$5,"")</f>
        <v/>
      </c>
      <c r="AM426" s="518" t="str">
        <f>IF(AND(_2="A-330-900",'2026'!$O$4="CA",'2026'!$O$2=AM423),'2026DATA'!$J$5,"")</f>
        <v/>
      </c>
      <c r="AN426" s="518" t="str">
        <f>IF(AND(_2="A-330-900",'2026'!$O$4="CA",'2026'!$O$2=AN423),'2026DATA'!$K$5,"")</f>
        <v/>
      </c>
      <c r="AO426" s="518" t="str">
        <f>IF(AND(_2="A-330-900",'2026'!$O$4="CA",'2026'!$O$2=AO423),'2026DATA'!$L$5,"")</f>
        <v/>
      </c>
      <c r="AP426" s="518" t="str">
        <f>IF(AND(_2="A-330-900",'2026'!$O$4="CA",'2026'!$O$2=AP423),'2026DATA'!$M$5,"")</f>
        <v/>
      </c>
      <c r="AQ426" s="520" t="str">
        <f>IF(AND(_2="A-330-900",'2026'!$O$4="CA",'2026'!$O$2=AQ423),'2026DATA'!$N$5,"")</f>
        <v/>
      </c>
      <c r="AR426" s="940" t="s">
        <v>65</v>
      </c>
      <c r="AS426" s="13" t="s">
        <v>61</v>
      </c>
      <c r="AT426" s="518" t="str">
        <f>IF(AND(_3="A-330-900",'2026'!$O$4="CA",'2026'!$O$2=AT423),'2026DATA'!$C$5,"")</f>
        <v/>
      </c>
      <c r="AU426" s="518" t="str">
        <f>IF(AND(_3="A-330-900",'2026'!$O$4="CA",'2026'!$O$2=AU423),'2026DATA'!$D$5,"")</f>
        <v/>
      </c>
      <c r="AV426" s="518" t="str">
        <f>IF(AND(_3="A-330-900",'2026'!$O$4="CA",'2026'!$O$2=AV423),'2026DATA'!$E$5,"")</f>
        <v/>
      </c>
      <c r="AW426" s="518" t="str">
        <f>IF(AND(_3="A-330-900",'2026'!$O$4="CA",'2026'!$O$2=AW423),'2026DATA'!$F$5,"")</f>
        <v/>
      </c>
      <c r="AX426" s="518" t="str">
        <f>IF(AND(_3="A-330-900",'2026'!$O$4="CA",'2026'!$O$2=AX423),'2026DATA'!$G$5,"")</f>
        <v/>
      </c>
      <c r="AY426" s="518" t="str">
        <f>IF(AND(_3="A-330-900",'2026'!$O$4="CA",'2026'!$O$2=AY423),'2026DATA'!$H$5,"")</f>
        <v/>
      </c>
      <c r="AZ426" s="518" t="str">
        <f>IF(AND(_3="A-330-900",'2026'!$O$4="CA",'2026'!$O$2=AZ423),'2026DATA'!$I$5,"")</f>
        <v/>
      </c>
      <c r="BA426" s="518" t="str">
        <f>IF(AND(_3="A-330-900",'2026'!$O$4="CA",'2026'!$O$2=BA423),'2026DATA'!$J$5,"")</f>
        <v/>
      </c>
      <c r="BB426" s="518" t="str">
        <f>IF(AND(_3="A-330-900",'2026'!$O$4="CA",'2026'!$O$2=BB423),'2026DATA'!$K$5,"")</f>
        <v/>
      </c>
      <c r="BC426" s="518" t="str">
        <f>IF(AND(_3="A-330-900",'2026'!$O$4="CA",'2026'!$O$2=BC423),'2026DATA'!$L$5,"")</f>
        <v/>
      </c>
      <c r="BD426" s="518" t="str">
        <f>IF(AND(_3="A-330-900",'2026'!$O$4="CA",'2026'!$O$2=BD423),'2026DATA'!$M$5,"")</f>
        <v/>
      </c>
      <c r="BE426" s="520" t="str">
        <f>IF(AND(_3="A-330-900",'2026'!$O$4="CA",'2026'!$O$2=BE423),'2026DATA'!$N$5,"")</f>
        <v/>
      </c>
      <c r="BF426" s="940" t="s">
        <v>65</v>
      </c>
      <c r="BG426" s="13" t="s">
        <v>61</v>
      </c>
      <c r="BH426" s="518" t="str">
        <f>IF(AND(_4="A-330-900",'2026'!$O$4="CA",'2026'!$O$2=BH423),'2026DATA'!$C$5,"")</f>
        <v/>
      </c>
      <c r="BI426" s="518" t="str">
        <f>IF(AND(_4="A-330-900",'2026'!$O$4="CA",'2026'!$O$2=BI423),'2026DATA'!$D$5,"")</f>
        <v/>
      </c>
      <c r="BJ426" s="518" t="str">
        <f>IF(AND(_4="A-330-900",'2026'!$O$4="CA",'2026'!$O$2=BJ423),'2026DATA'!$E$5,"")</f>
        <v/>
      </c>
      <c r="BK426" s="518" t="str">
        <f>IF(AND(_4="A-330-900",'2026'!$O$4="CA",'2026'!$O$2=BK423),'2026DATA'!$F$5,"")</f>
        <v/>
      </c>
      <c r="BL426" s="518" t="str">
        <f>IF(AND(_4="A-330-900",'2026'!$O$4="CA",'2026'!$O$2=BL423),'2026DATA'!$G$5,"")</f>
        <v/>
      </c>
      <c r="BM426" s="518" t="str">
        <f>IF(AND(_4="A-330-900",'2026'!$O$4="CA",'2026'!$O$2=BM423),'2026DATA'!$H$5,"")</f>
        <v/>
      </c>
      <c r="BN426" s="518" t="str">
        <f>IF(AND(_4="A-330-900",'2026'!$O$4="CA",'2026'!$O$2=BN423),'2026DATA'!$I$5,"")</f>
        <v/>
      </c>
      <c r="BO426" s="518" t="str">
        <f>IF(AND(_4="A-330-900",'2026'!$O$4="CA",'2026'!$O$2=BO423),'2026DATA'!$J$5,"")</f>
        <v/>
      </c>
      <c r="BP426" s="518" t="str">
        <f>IF(AND(_4="A-330-900",'2026'!$O$4="CA",'2026'!$O$2=BP423),'2026DATA'!$K$5,"")</f>
        <v/>
      </c>
      <c r="BQ426" s="518" t="str">
        <f>IF(AND(_4="A-330-900",'2026'!$O$4="CA",'2026'!$O$2=BQ423),'2026DATA'!$L$5,"")</f>
        <v/>
      </c>
      <c r="BR426" s="518" t="str">
        <f>IF(AND(_4="A-330-900",'2026'!$O$4="CA",'2026'!$O$2=BR423),'2026DATA'!$M$5,"")</f>
        <v/>
      </c>
      <c r="BS426" s="520" t="str">
        <f>IF(AND(_4="A-330-900",'2026'!$O$4="CA",'2026'!$O$2=BS423),'2026DATA'!$N$5,"")</f>
        <v/>
      </c>
      <c r="BT426" s="940" t="s">
        <v>65</v>
      </c>
      <c r="BU426" s="13" t="s">
        <v>61</v>
      </c>
      <c r="BV426" s="518" t="str">
        <f>IF(AND(_5="A-330-900",'2026'!$O$4="CA",'2026'!$O$2=BV423),'2026DATA'!$C$5,"")</f>
        <v/>
      </c>
      <c r="BW426" s="518" t="str">
        <f>IF(AND(_5="A-330-900",'2026'!$O$4="CA",'2026'!$O$2=BW423),'2026DATA'!$D$5,"")</f>
        <v/>
      </c>
      <c r="BX426" s="518" t="str">
        <f>IF(AND(_5="A-330-900",'2026'!$O$4="CA",'2026'!$O$2=BX423),'2026DATA'!$E$5,"")</f>
        <v/>
      </c>
      <c r="BY426" s="518" t="str">
        <f>IF(AND(_5="A-330-900",'2026'!$O$4="CA",'2026'!$O$2=BY423),'2026DATA'!$F$5,"")</f>
        <v/>
      </c>
      <c r="BZ426" s="518" t="str">
        <f>IF(AND(_5="A-330-900",'2026'!$O$4="CA",'2026'!$O$2=BZ423),'2026DATA'!$G$5,"")</f>
        <v/>
      </c>
      <c r="CA426" s="518" t="str">
        <f>IF(AND(_5="A-330-900",'2026'!$O$4="CA",'2026'!$O$2=CA423),'2026DATA'!$H$5,"")</f>
        <v/>
      </c>
      <c r="CB426" s="518" t="str">
        <f>IF(AND(_5="A-330-900",'2026'!$O$4="CA",'2026'!$O$2=CB423),'2026DATA'!$I$5,"")</f>
        <v/>
      </c>
      <c r="CC426" s="518" t="str">
        <f>IF(AND(_5="A-330-900",'2026'!$O$4="CA",'2026'!$O$2=CC423),'2026DATA'!$J$5,"")</f>
        <v/>
      </c>
      <c r="CD426" s="518" t="str">
        <f>IF(AND(_5="A-330-900",'2026'!$O$4="CA",'2026'!$O$2=CD423),'2026DATA'!$K$5,"")</f>
        <v/>
      </c>
      <c r="CE426" s="518" t="str">
        <f>IF(AND(_5="A-330-900",'2026'!$O$4="CA",'2026'!$O$2=CE423),'2026DATA'!$L$5,"")</f>
        <v/>
      </c>
      <c r="CF426" s="518" t="str">
        <f>IF(AND(_5="A-330-900",'2026'!$O$4="CA",'2026'!$O$2=CF423),'2026DATA'!$M$5,"")</f>
        <v/>
      </c>
      <c r="CG426" s="520" t="str">
        <f>IF(AND(_5="A-330-900",'2026'!$O$4="CA",'2026'!$O$2=CG423),'2026DATA'!$N$5,"")</f>
        <v/>
      </c>
      <c r="CH426" s="940" t="s">
        <v>65</v>
      </c>
      <c r="CI426" s="13" t="s">
        <v>61</v>
      </c>
      <c r="CJ426" s="518" t="str">
        <f>IF(AND(_6="A-330-900",'2026'!$O$4="CA",'2026'!$O$2=CJ423),'2026DATA'!$C$5,"")</f>
        <v/>
      </c>
      <c r="CK426" s="518" t="str">
        <f>IF(AND(_6="A-330-900",'2026'!$O$4="CA",'2026'!$O$2=CK423),'2026DATA'!$D$5,"")</f>
        <v/>
      </c>
      <c r="CL426" s="518" t="str">
        <f>IF(AND(_6="A-330-900",'2026'!$O$4="CA",'2026'!$O$2=CL423),'2026DATA'!$E$5,"")</f>
        <v/>
      </c>
      <c r="CM426" s="518" t="str">
        <f>IF(AND(_6="A-330-900",'2026'!$O$4="CA",'2026'!$O$2=CM423),'2026DATA'!$F$5,"")</f>
        <v/>
      </c>
      <c r="CN426" s="518" t="str">
        <f>IF(AND(_6="A-330-900",'2026'!$O$4="CA",'2026'!$O$2=CN423),'2026DATA'!$G$5,"")</f>
        <v/>
      </c>
      <c r="CO426" s="518" t="str">
        <f>IF(AND(_6="A-330-900",'2026'!$O$4="CA",'2026'!$O$2=CO423),'2026DATA'!$H$5,"")</f>
        <v/>
      </c>
      <c r="CP426" s="518" t="str">
        <f>IF(AND(_6="A-330-900",'2026'!$O$4="CA",'2026'!$O$2=CP423),'2026DATA'!$I$5,"")</f>
        <v/>
      </c>
      <c r="CQ426" s="518" t="str">
        <f>IF(AND(_6="A-330-900",'2026'!$O$4="CA",'2026'!$O$2=CQ423),'2026DATA'!$J$5,"")</f>
        <v/>
      </c>
      <c r="CR426" s="518" t="str">
        <f>IF(AND(_6="A-330-900",'2026'!$O$4="CA",'2026'!$O$2=CR423),'2026DATA'!$K$5,"")</f>
        <v/>
      </c>
      <c r="CS426" s="518" t="str">
        <f>IF(AND(_6="A-330-900",'2026'!$O$4="CA",'2026'!$O$2=CS423),'2026DATA'!$L$5,"")</f>
        <v/>
      </c>
      <c r="CT426" s="518" t="str">
        <f>IF(AND(_6="A-330-900",'2026'!$O$4="CA",'2026'!$O$2=CT423),'2026DATA'!$M$5,"")</f>
        <v/>
      </c>
      <c r="CU426" s="520" t="str">
        <f>IF(AND(_6="A-330-900",'2026'!$O$4="CA",'2026'!$O$2=CU423),'2026DATA'!$N$5,"")</f>
        <v/>
      </c>
    </row>
    <row r="427" spans="16:99" x14ac:dyDescent="0.25">
      <c r="P427" s="940"/>
      <c r="Q427" s="13" t="s">
        <v>62</v>
      </c>
      <c r="R427" s="518" t="str">
        <f>IF(AND(_1="A-330-900",'2026'!$O$4="FO",'2026'!$O$2=R423),'2026DATA'!$C$6,"")</f>
        <v/>
      </c>
      <c r="S427" s="518" t="str">
        <f>IF(AND(_1="A-330-900",'2026'!$O$4="FO",'2026'!$O$2=S423),'2026DATA'!$D$6,"")</f>
        <v/>
      </c>
      <c r="T427" s="518" t="str">
        <f>IF(AND(_1="A-330-900",'2026'!$O$4="FO",'2026'!$O$2=T423),'2026DATA'!$E$6,"")</f>
        <v/>
      </c>
      <c r="U427" s="518" t="str">
        <f>IF(AND(_1="A-330-900",'2026'!$O$4="FO",'2026'!$O$2=U423),'2026DATA'!$F$6,"")</f>
        <v/>
      </c>
      <c r="V427" s="518" t="str">
        <f>IF(AND(_1="A-330-900",'2026'!$O$4="FO",'2026'!$O$2=V423),'2026DATA'!$G$6,"")</f>
        <v/>
      </c>
      <c r="W427" s="518" t="str">
        <f>IF(AND(_1="A-330-900",'2026'!$O$4="FO",'2026'!$O$2=W423),'2026DATA'!$H$6,"")</f>
        <v/>
      </c>
      <c r="X427" s="518" t="str">
        <f>IF(AND(_1="A-330-900",'2026'!$O$4="FO",'2026'!$O$2=X423),'2026DATA'!$I$6,"")</f>
        <v/>
      </c>
      <c r="Y427" s="518" t="str">
        <f>IF(AND(_1="A-330-900",'2026'!$O$4="FO",'2026'!$O$2=Y423),'2026DATA'!$J$6,"")</f>
        <v/>
      </c>
      <c r="Z427" s="518" t="str">
        <f>IF(AND(_1="A-330-900",'2026'!$O$4="FO",'2026'!$O$2=Z423),'2026DATA'!$K$6,"")</f>
        <v/>
      </c>
      <c r="AA427" s="518" t="str">
        <f>IF(AND(_1="A-330-900",'2026'!$O$4="FO",'2026'!$O$2=AA423),'2026DATA'!$L$6,"")</f>
        <v/>
      </c>
      <c r="AB427" s="518" t="str">
        <f>IF(AND(_1="A-330-900",'2026'!$O$4="FO",'2026'!$O$2=AB423),'2026DATA'!$M$6,"")</f>
        <v/>
      </c>
      <c r="AC427" s="520" t="str">
        <f>IF(AND(_1="A-330-900",'2026'!$O$4="FO",'2026'!$O$2=AC423),'2026DATA'!$N$6,"")</f>
        <v/>
      </c>
      <c r="AD427" s="940"/>
      <c r="AE427" s="13" t="s">
        <v>62</v>
      </c>
      <c r="AF427" s="518" t="str">
        <f>IF(AND(_2="A-330-900",'2026'!$O$4="FO",'2026'!$O$2=AF423),'2026DATA'!$C$6,"")</f>
        <v/>
      </c>
      <c r="AG427" s="518" t="str">
        <f>IF(AND(_2="A-330-900",'2026'!$O$4="FO",'2026'!$O$2=AG423),'2026DATA'!$D$6,"")</f>
        <v/>
      </c>
      <c r="AH427" s="518" t="str">
        <f>IF(AND(_2="A-330-900",'2026'!$O$4="FO",'2026'!$O$2=AH423),'2026DATA'!$E$6,"")</f>
        <v/>
      </c>
      <c r="AI427" s="518" t="str">
        <f>IF(AND(_2="A-330-900",'2026'!$O$4="FO",'2026'!$O$2=AI423),'2026DATA'!$F$6,"")</f>
        <v/>
      </c>
      <c r="AJ427" s="518" t="str">
        <f>IF(AND(_2="A-330-900",'2026'!$O$4="FO",'2026'!$O$2=AJ423),'2026DATA'!$G$6,"")</f>
        <v/>
      </c>
      <c r="AK427" s="518" t="str">
        <f>IF(AND(_2="A-330-900",'2026'!$O$4="FO",'2026'!$O$2=AK423),'2026DATA'!$H$6,"")</f>
        <v/>
      </c>
      <c r="AL427" s="518" t="str">
        <f>IF(AND(_2="A-330-900",'2026'!$O$4="FO",'2026'!$O$2=AL423),'2026DATA'!$I$6,"")</f>
        <v/>
      </c>
      <c r="AM427" s="518" t="str">
        <f>IF(AND(_2="A-330-900",'2026'!$O$4="FO",'2026'!$O$2=AM423),'2026DATA'!$J$6,"")</f>
        <v/>
      </c>
      <c r="AN427" s="518" t="str">
        <f>IF(AND(_2="A-330-900",'2026'!$O$4="FO",'2026'!$O$2=AN423),'2026DATA'!$K$6,"")</f>
        <v/>
      </c>
      <c r="AO427" s="518" t="str">
        <f>IF(AND(_2="A-330-900",'2026'!$O$4="FO",'2026'!$O$2=AO423),'2026DATA'!$L$6,"")</f>
        <v/>
      </c>
      <c r="AP427" s="518" t="str">
        <f>IF(AND(_2="A-330-900",'2026'!$O$4="FO",'2026'!$O$2=AP423),'2026DATA'!$M$6,"")</f>
        <v/>
      </c>
      <c r="AQ427" s="520" t="str">
        <f>IF(AND(_2="A-330-900",'2026'!$O$4="FO",'2026'!$O$2=AQ423),'2026DATA'!$N$6,"")</f>
        <v/>
      </c>
      <c r="AR427" s="940"/>
      <c r="AS427" s="13" t="s">
        <v>62</v>
      </c>
      <c r="AT427" s="518" t="str">
        <f>IF(AND(_3="A-330-900",'2026'!$O$4="FO",'2026'!$O$2=AT423),'2026DATA'!$C$6,"")</f>
        <v/>
      </c>
      <c r="AU427" s="518" t="str">
        <f>IF(AND(_3="A-330-900",'2026'!$O$4="FO",'2026'!$O$2=AU423),'2026DATA'!$D$6,"")</f>
        <v/>
      </c>
      <c r="AV427" s="518" t="str">
        <f>IF(AND(_3="A-330-900",'2026'!$O$4="FO",'2026'!$O$2=AV423),'2026DATA'!$E$6,"")</f>
        <v/>
      </c>
      <c r="AW427" s="518" t="str">
        <f>IF(AND(_3="A-330-900",'2026'!$O$4="FO",'2026'!$O$2=AW423),'2026DATA'!$F$6,"")</f>
        <v/>
      </c>
      <c r="AX427" s="518" t="str">
        <f>IF(AND(_3="A-330-900",'2026'!$O$4="FO",'2026'!$O$2=AX423),'2026DATA'!$G$6,"")</f>
        <v/>
      </c>
      <c r="AY427" s="518" t="str">
        <f>IF(AND(_3="A-330-900",'2026'!$O$4="FO",'2026'!$O$2=AY423),'2026DATA'!$H$6,"")</f>
        <v/>
      </c>
      <c r="AZ427" s="518" t="str">
        <f>IF(AND(_3="A-330-900",'2026'!$O$4="FO",'2026'!$O$2=AZ423),'2026DATA'!$I$6,"")</f>
        <v/>
      </c>
      <c r="BA427" s="518" t="str">
        <f>IF(AND(_3="A-330-900",'2026'!$O$4="FO",'2026'!$O$2=BA423),'2026DATA'!$J$6,"")</f>
        <v/>
      </c>
      <c r="BB427" s="518" t="str">
        <f>IF(AND(_3="A-330-900",'2026'!$O$4="FO",'2026'!$O$2=BB423),'2026DATA'!$K$6,"")</f>
        <v/>
      </c>
      <c r="BC427" s="518" t="str">
        <f>IF(AND(_3="A-330-900",'2026'!$O$4="FO",'2026'!$O$2=BC423),'2026DATA'!$L$6,"")</f>
        <v/>
      </c>
      <c r="BD427" s="518" t="str">
        <f>IF(AND(_3="A-330-900",'2026'!$O$4="FO",'2026'!$O$2=BD423),'2026DATA'!$M$6,"")</f>
        <v/>
      </c>
      <c r="BE427" s="520" t="str">
        <f>IF(AND(_3="A-330-900",'2026'!$O$4="FO",'2026'!$O$2=BE423),'2026DATA'!$N$6,"")</f>
        <v/>
      </c>
      <c r="BF427" s="940"/>
      <c r="BG427" s="13" t="s">
        <v>62</v>
      </c>
      <c r="BH427" s="518" t="str">
        <f>IF(AND(_4="A-330-900",'2026'!$O$4="FO",'2026'!$O$2=BH423),'2026DATA'!$C$6,"")</f>
        <v/>
      </c>
      <c r="BI427" s="518" t="str">
        <f>IF(AND(_4="A-330-900",'2026'!$O$4="FO",'2026'!$O$2=BI423),'2026DATA'!$D$6,"")</f>
        <v/>
      </c>
      <c r="BJ427" s="518" t="str">
        <f>IF(AND(_4="A-330-900",'2026'!$O$4="FO",'2026'!$O$2=BJ423),'2026DATA'!$E$6,"")</f>
        <v/>
      </c>
      <c r="BK427" s="518" t="str">
        <f>IF(AND(_4="A-330-900",'2026'!$O$4="FO",'2026'!$O$2=BK423),'2026DATA'!$F$6,"")</f>
        <v/>
      </c>
      <c r="BL427" s="518" t="str">
        <f>IF(AND(_4="A-330-900",'2026'!$O$4="FO",'2026'!$O$2=BL423),'2026DATA'!$G$6,"")</f>
        <v/>
      </c>
      <c r="BM427" s="518" t="str">
        <f>IF(AND(_4="A-330-900",'2026'!$O$4="FO",'2026'!$O$2=BM423),'2026DATA'!$H$6,"")</f>
        <v/>
      </c>
      <c r="BN427" s="518" t="str">
        <f>IF(AND(_4="A-330-900",'2026'!$O$4="FO",'2026'!$O$2=BN423),'2026DATA'!$I$6,"")</f>
        <v/>
      </c>
      <c r="BO427" s="518" t="str">
        <f>IF(AND(_4="A-330-900",'2026'!$O$4="FO",'2026'!$O$2=BO423),'2026DATA'!$J$6,"")</f>
        <v/>
      </c>
      <c r="BP427" s="518" t="str">
        <f>IF(AND(_4="A-330-900",'2026'!$O$4="FO",'2026'!$O$2=BP423),'2026DATA'!$K$6,"")</f>
        <v/>
      </c>
      <c r="BQ427" s="518" t="str">
        <f>IF(AND(_4="A-330-900",'2026'!$O$4="FO",'2026'!$O$2=BQ423),'2026DATA'!$L$6,"")</f>
        <v/>
      </c>
      <c r="BR427" s="518" t="str">
        <f>IF(AND(_4="A-330-900",'2026'!$O$4="FO",'2026'!$O$2=BR423),'2026DATA'!$M$6,"")</f>
        <v/>
      </c>
      <c r="BS427" s="520" t="str">
        <f>IF(AND(_4="A-330-900",'2026'!$O$4="FO",'2026'!$O$2=BS423),'2026DATA'!$N$6,"")</f>
        <v/>
      </c>
      <c r="BT427" s="940"/>
      <c r="BU427" s="13" t="s">
        <v>62</v>
      </c>
      <c r="BV427" s="518" t="str">
        <f>IF(AND(_5="A-330-900",'2026'!$O$4="FO",'2026'!$O$2=BV423),'2026DATA'!$C$6,"")</f>
        <v/>
      </c>
      <c r="BW427" s="518" t="str">
        <f>IF(AND(_5="A-330-900",'2026'!$O$4="FO",'2026'!$O$2=BW423),'2026DATA'!$D$6,"")</f>
        <v/>
      </c>
      <c r="BX427" s="518" t="str">
        <f>IF(AND(_5="A-330-900",'2026'!$O$4="FO",'2026'!$O$2=BX423),'2026DATA'!$E$6,"")</f>
        <v/>
      </c>
      <c r="BY427" s="518" t="str">
        <f>IF(AND(_5="A-330-900",'2026'!$O$4="FO",'2026'!$O$2=BY423),'2026DATA'!$F$6,"")</f>
        <v/>
      </c>
      <c r="BZ427" s="518" t="str">
        <f>IF(AND(_5="A-330-900",'2026'!$O$4="FO",'2026'!$O$2=BZ423),'2026DATA'!$G$6,"")</f>
        <v/>
      </c>
      <c r="CA427" s="518" t="str">
        <f>IF(AND(_5="A-330-900",'2026'!$O$4="FO",'2026'!$O$2=CA423),'2026DATA'!$H$6,"")</f>
        <v/>
      </c>
      <c r="CB427" s="518" t="str">
        <f>IF(AND(_5="A-330-900",'2026'!$O$4="FO",'2026'!$O$2=CB423),'2026DATA'!$I$6,"")</f>
        <v/>
      </c>
      <c r="CC427" s="518" t="str">
        <f>IF(AND(_5="A-330-900",'2026'!$O$4="FO",'2026'!$O$2=CC423),'2026DATA'!$J$6,"")</f>
        <v/>
      </c>
      <c r="CD427" s="518" t="str">
        <f>IF(AND(_5="A-330-900",'2026'!$O$4="FO",'2026'!$O$2=CD423),'2026DATA'!$K$6,"")</f>
        <v/>
      </c>
      <c r="CE427" s="518" t="str">
        <f>IF(AND(_5="A-330-900",'2026'!$O$4="FO",'2026'!$O$2=CE423),'2026DATA'!$L$6,"")</f>
        <v/>
      </c>
      <c r="CF427" s="518" t="str">
        <f>IF(AND(_5="A-330-900",'2026'!$O$4="FO",'2026'!$O$2=CF423),'2026DATA'!$M$6,"")</f>
        <v/>
      </c>
      <c r="CG427" s="520" t="str">
        <f>IF(AND(_5="A-330-900",'2026'!$O$4="FO",'2026'!$O$2=CG423),'2026DATA'!$N$6,"")</f>
        <v/>
      </c>
      <c r="CH427" s="940"/>
      <c r="CI427" s="13" t="s">
        <v>62</v>
      </c>
      <c r="CJ427" s="518" t="str">
        <f>IF(AND(_6="A-330-900",'2026'!$O$4="FO",'2026'!$O$2=CJ423),'2026DATA'!$C$6,"")</f>
        <v/>
      </c>
      <c r="CK427" s="518" t="str">
        <f>IF(AND(_6="A-330-900",'2026'!$O$4="FO",'2026'!$O$2=CK423),'2026DATA'!$D$6,"")</f>
        <v/>
      </c>
      <c r="CL427" s="518" t="str">
        <f>IF(AND(_6="A-330-900",'2026'!$O$4="FO",'2026'!$O$2=CL423),'2026DATA'!$E$6,"")</f>
        <v/>
      </c>
      <c r="CM427" s="518" t="str">
        <f>IF(AND(_6="A-330-900",'2026'!$O$4="FO",'2026'!$O$2=CM423),'2026DATA'!$F$6,"")</f>
        <v/>
      </c>
      <c r="CN427" s="518" t="str">
        <f>IF(AND(_6="A-330-900",'2026'!$O$4="FO",'2026'!$O$2=CN423),'2026DATA'!$G$6,"")</f>
        <v/>
      </c>
      <c r="CO427" s="518" t="str">
        <f>IF(AND(_6="A-330-900",'2026'!$O$4="FO",'2026'!$O$2=CO423),'2026DATA'!$H$6,"")</f>
        <v/>
      </c>
      <c r="CP427" s="518" t="str">
        <f>IF(AND(_6="A-330-900",'2026'!$O$4="FO",'2026'!$O$2=CP423),'2026DATA'!$I$6,"")</f>
        <v/>
      </c>
      <c r="CQ427" s="518" t="str">
        <f>IF(AND(_6="A-330-900",'2026'!$O$4="FO",'2026'!$O$2=CQ423),'2026DATA'!$J$6,"")</f>
        <v/>
      </c>
      <c r="CR427" s="518" t="str">
        <f>IF(AND(_6="A-330-900",'2026'!$O$4="FO",'2026'!$O$2=CR423),'2026DATA'!$K$6,"")</f>
        <v/>
      </c>
      <c r="CS427" s="518" t="str">
        <f>IF(AND(_6="A-330-900",'2026'!$O$4="FO",'2026'!$O$2=CS423),'2026DATA'!$L$6,"")</f>
        <v/>
      </c>
      <c r="CT427" s="518" t="str">
        <f>IF(AND(_6="A-330-900",'2026'!$O$4="FO",'2026'!$O$2=CT423),'2026DATA'!$M$6,"")</f>
        <v/>
      </c>
      <c r="CU427" s="520" t="str">
        <f>IF(AND(_6="A-330-900",'2026'!$O$4="FO",'2026'!$O$2=CU423),'2026DATA'!$N$6,"")</f>
        <v/>
      </c>
    </row>
    <row r="428" spans="16:99" x14ac:dyDescent="0.25">
      <c r="P428" s="940" t="s">
        <v>64</v>
      </c>
      <c r="Q428" s="13" t="s">
        <v>61</v>
      </c>
      <c r="R428" s="518" t="str">
        <f>IF(AND(_1="A-330-300",'2026'!$O$4="CA",'2026'!$O$2=R423),'2026DATA'!$C$7,"")</f>
        <v/>
      </c>
      <c r="S428" s="518" t="str">
        <f>IF(AND(_1="A-330-300",'2026'!$O$4="CA",'2026'!$O$2=S423),'2026DATA'!$D$7,"")</f>
        <v/>
      </c>
      <c r="T428" s="518" t="str">
        <f>IF(AND(_1="A-330-300",'2026'!$O$4="CA",'2026'!$O$2=T423),'2026DATA'!$E$7,"")</f>
        <v/>
      </c>
      <c r="U428" s="518" t="str">
        <f>IF(AND(_1="A-330-300",'2026'!$O$4="CA",'2026'!$O$2=U423),'2026DATA'!$F$7,"")</f>
        <v/>
      </c>
      <c r="V428" s="518" t="str">
        <f>IF(AND(_1="A-330-300",'2026'!$O$4="CA",'2026'!$O$2=V423),'2026DATA'!$G$7,"")</f>
        <v/>
      </c>
      <c r="W428" s="518" t="str">
        <f>IF(AND(_1="A-330-300",'2026'!$O$4="CA",'2026'!$O$2=W423),'2026DATA'!$H$7,"")</f>
        <v/>
      </c>
      <c r="X428" s="518" t="str">
        <f>IF(AND(_1="A-330-300",'2026'!$O$4="CA",'2026'!$O$2=X423),'2026DATA'!$I$7,"")</f>
        <v/>
      </c>
      <c r="Y428" s="518" t="str">
        <f>IF(AND(_1="A-330-300",'2026'!$O$4="CA",'2026'!$O$2=Y423),'2026DATA'!$J$7,"")</f>
        <v/>
      </c>
      <c r="Z428" s="518" t="str">
        <f>IF(AND(_1="A-330-300",'2026'!$O$4="CA",'2026'!$O$2=Z423),'2026DATA'!$K$7,"")</f>
        <v/>
      </c>
      <c r="AA428" s="518" t="str">
        <f>IF(AND(_1="A-330-300",'2026'!$O$4="CA",'2026'!$O$2=AA423),'2026DATA'!$L$7,"")</f>
        <v/>
      </c>
      <c r="AB428" s="518" t="str">
        <f>IF(AND(_1="A-330-300",'2026'!$O$4="CA",'2026'!$O$2=AB423),'2026DATA'!$M$7,"")</f>
        <v/>
      </c>
      <c r="AC428" s="520" t="str">
        <f>IF(AND(_1="A-330-300",'2026'!$O$4="CA",'2026'!$O$2=AC423),'2026DATA'!$N$7,"")</f>
        <v/>
      </c>
      <c r="AD428" s="940" t="s">
        <v>64</v>
      </c>
      <c r="AE428" s="13" t="s">
        <v>61</v>
      </c>
      <c r="AF428" s="518" t="str">
        <f>IF(AND(_2="A-330-300",'2026'!$O$4="CA",'2026'!$O$2=AF423),'2026DATA'!$C$7,"")</f>
        <v/>
      </c>
      <c r="AG428" s="518" t="str">
        <f>IF(AND(_2="A-330-300",'2026'!$O$4="CA",'2026'!$O$2=AG423),'2026DATA'!$D$7,"")</f>
        <v/>
      </c>
      <c r="AH428" s="518" t="str">
        <f>IF(AND(_2="A-330-300",'2026'!$O$4="CA",'2026'!$O$2=AH423),'2026DATA'!$E$7,"")</f>
        <v/>
      </c>
      <c r="AI428" s="518" t="str">
        <f>IF(AND(_2="A-330-300",'2026'!$O$4="CA",'2026'!$O$2=AI423),'2026DATA'!$F$7,"")</f>
        <v/>
      </c>
      <c r="AJ428" s="518" t="str">
        <f>IF(AND(_2="A-330-300",'2026'!$O$4="CA",'2026'!$O$2=AJ423),'2026DATA'!$G$7,"")</f>
        <v/>
      </c>
      <c r="AK428" s="518" t="str">
        <f>IF(AND(_2="A-330-300",'2026'!$O$4="CA",'2026'!$O$2=AK423),'2026DATA'!$H$7,"")</f>
        <v/>
      </c>
      <c r="AL428" s="518" t="str">
        <f>IF(AND(_2="A-330-300",'2026'!$O$4="CA",'2026'!$O$2=AL423),'2026DATA'!$I$7,"")</f>
        <v/>
      </c>
      <c r="AM428" s="518" t="str">
        <f>IF(AND(_2="A-330-300",'2026'!$O$4="CA",'2026'!$O$2=AM423),'2026DATA'!$J$7,"")</f>
        <v/>
      </c>
      <c r="AN428" s="518" t="str">
        <f>IF(AND(_2="A-330-300",'2026'!$O$4="CA",'2026'!$O$2=AN423),'2026DATA'!$K$7,"")</f>
        <v/>
      </c>
      <c r="AO428" s="518" t="str">
        <f>IF(AND(_2="A-330-300",'2026'!$O$4="CA",'2026'!$O$2=AO423),'2026DATA'!$L$7,"")</f>
        <v/>
      </c>
      <c r="AP428" s="518" t="str">
        <f>IF(AND(_2="A-330-300",'2026'!$O$4="CA",'2026'!$O$2=AP423),'2026DATA'!$M$7,"")</f>
        <v/>
      </c>
      <c r="AQ428" s="520" t="str">
        <f>IF(AND(_2="A-330-300",'2026'!$O$4="CA",'2026'!$O$2=AQ423),'2026DATA'!$N$7,"")</f>
        <v/>
      </c>
      <c r="AR428" s="940" t="s">
        <v>64</v>
      </c>
      <c r="AS428" s="13" t="s">
        <v>61</v>
      </c>
      <c r="AT428" s="518" t="str">
        <f>IF(AND(_3="A-330-300",'2026'!$O$4="CA",'2026'!$O$2=AT423),'2026DATA'!$C$7,"")</f>
        <v/>
      </c>
      <c r="AU428" s="518" t="str">
        <f>IF(AND(_3="A-330-300",'2026'!$O$4="CA",'2026'!$O$2=AU423),'2026DATA'!$D$7,"")</f>
        <v/>
      </c>
      <c r="AV428" s="518" t="str">
        <f>IF(AND(_3="A-330-300",'2026'!$O$4="CA",'2026'!$O$2=AV423),'2026DATA'!$E$7,"")</f>
        <v/>
      </c>
      <c r="AW428" s="518" t="str">
        <f>IF(AND(_3="A-330-300",'2026'!$O$4="CA",'2026'!$O$2=AW423),'2026DATA'!$F$7,"")</f>
        <v/>
      </c>
      <c r="AX428" s="518" t="str">
        <f>IF(AND(_3="A-330-300",'2026'!$O$4="CA",'2026'!$O$2=AX423),'2026DATA'!$G$7,"")</f>
        <v/>
      </c>
      <c r="AY428" s="518" t="str">
        <f>IF(AND(_3="A-330-300",'2026'!$O$4="CA",'2026'!$O$2=AY423),'2026DATA'!$H$7,"")</f>
        <v/>
      </c>
      <c r="AZ428" s="518" t="str">
        <f>IF(AND(_3="A-330-300",'2026'!$O$4="CA",'2026'!$O$2=AZ423),'2026DATA'!$I$7,"")</f>
        <v/>
      </c>
      <c r="BA428" s="518" t="str">
        <f>IF(AND(_3="A-330-300",'2026'!$O$4="CA",'2026'!$O$2=BA423),'2026DATA'!$J$7,"")</f>
        <v/>
      </c>
      <c r="BB428" s="518" t="str">
        <f>IF(AND(_3="A-330-300",'2026'!$O$4="CA",'2026'!$O$2=BB423),'2026DATA'!$K$7,"")</f>
        <v/>
      </c>
      <c r="BC428" s="518" t="str">
        <f>IF(AND(_3="A-330-300",'2026'!$O$4="CA",'2026'!$O$2=BC423),'2026DATA'!$L$7,"")</f>
        <v/>
      </c>
      <c r="BD428" s="518" t="str">
        <f>IF(AND(_3="A-330-300",'2026'!$O$4="CA",'2026'!$O$2=BD423),'2026DATA'!$M$7,"")</f>
        <v/>
      </c>
      <c r="BE428" s="520" t="str">
        <f>IF(AND(_3="A-330-300",'2026'!$O$4="CA",'2026'!$O$2=BE423),'2026DATA'!$N$7,"")</f>
        <v/>
      </c>
      <c r="BF428" s="940" t="s">
        <v>64</v>
      </c>
      <c r="BG428" s="13" t="s">
        <v>61</v>
      </c>
      <c r="BH428" s="518" t="str">
        <f>IF(AND(_4="A-330-300",'2026'!$O$4="CA",'2026'!$O$2=BH423),'2026DATA'!$C$7,"")</f>
        <v/>
      </c>
      <c r="BI428" s="518" t="str">
        <f>IF(AND(_4="A-330-300",'2026'!$O$4="CA",'2026'!$O$2=BI423),'2026DATA'!$D$7,"")</f>
        <v/>
      </c>
      <c r="BJ428" s="518" t="str">
        <f>IF(AND(_4="A-330-300",'2026'!$O$4="CA",'2026'!$O$2=BJ423),'2026DATA'!$E$7,"")</f>
        <v/>
      </c>
      <c r="BK428" s="518" t="str">
        <f>IF(AND(_4="A-330-300",'2026'!$O$4="CA",'2026'!$O$2=BK423),'2026DATA'!$F$7,"")</f>
        <v/>
      </c>
      <c r="BL428" s="518" t="str">
        <f>IF(AND(_4="A-330-300",'2026'!$O$4="CA",'2026'!$O$2=BL423),'2026DATA'!$G$7,"")</f>
        <v/>
      </c>
      <c r="BM428" s="518" t="str">
        <f>IF(AND(_4="A-330-300",'2026'!$O$4="CA",'2026'!$O$2=BM423),'2026DATA'!$H$7,"")</f>
        <v/>
      </c>
      <c r="BN428" s="518" t="str">
        <f>IF(AND(_4="A-330-300",'2026'!$O$4="CA",'2026'!$O$2=BN423),'2026DATA'!$I$7,"")</f>
        <v/>
      </c>
      <c r="BO428" s="518" t="str">
        <f>IF(AND(_4="A-330-300",'2026'!$O$4="CA",'2026'!$O$2=BO423),'2026DATA'!$J$7,"")</f>
        <v/>
      </c>
      <c r="BP428" s="518" t="str">
        <f>IF(AND(_4="A-330-300",'2026'!$O$4="CA",'2026'!$O$2=BP423),'2026DATA'!$K$7,"")</f>
        <v/>
      </c>
      <c r="BQ428" s="518" t="str">
        <f>IF(AND(_4="A-330-300",'2026'!$O$4="CA",'2026'!$O$2=BQ423),'2026DATA'!$L$7,"")</f>
        <v/>
      </c>
      <c r="BR428" s="518" t="str">
        <f>IF(AND(_4="A-330-300",'2026'!$O$4="CA",'2026'!$O$2=BR423),'2026DATA'!$M$7,"")</f>
        <v/>
      </c>
      <c r="BS428" s="520" t="str">
        <f>IF(AND(_4="A-330-300",'2026'!$O$4="CA",'2026'!$O$2=BS423),'2026DATA'!$N$7,"")</f>
        <v/>
      </c>
      <c r="BT428" s="940" t="s">
        <v>64</v>
      </c>
      <c r="BU428" s="13" t="s">
        <v>61</v>
      </c>
      <c r="BV428" s="518" t="str">
        <f>IF(AND(_5="A-330-300",'2026'!$O$4="CA",'2026'!$O$2=BV423),'2026DATA'!$C$7,"")</f>
        <v/>
      </c>
      <c r="BW428" s="518" t="str">
        <f>IF(AND(_5="A-330-300",'2026'!$O$4="CA",'2026'!$O$2=BW423),'2026DATA'!$D$7,"")</f>
        <v/>
      </c>
      <c r="BX428" s="518" t="str">
        <f>IF(AND(_5="A-330-300",'2026'!$O$4="CA",'2026'!$O$2=BX423),'2026DATA'!$E$7,"")</f>
        <v/>
      </c>
      <c r="BY428" s="518" t="str">
        <f>IF(AND(_5="A-330-300",'2026'!$O$4="CA",'2026'!$O$2=BY423),'2026DATA'!$F$7,"")</f>
        <v/>
      </c>
      <c r="BZ428" s="518" t="str">
        <f>IF(AND(_5="A-330-300",'2026'!$O$4="CA",'2026'!$O$2=BZ423),'2026DATA'!$G$7,"")</f>
        <v/>
      </c>
      <c r="CA428" s="518" t="str">
        <f>IF(AND(_5="A-330-300",'2026'!$O$4="CA",'2026'!$O$2=CA423),'2026DATA'!$H$7,"")</f>
        <v/>
      </c>
      <c r="CB428" s="518" t="str">
        <f>IF(AND(_5="A-330-300",'2026'!$O$4="CA",'2026'!$O$2=CB423),'2026DATA'!$I$7,"")</f>
        <v/>
      </c>
      <c r="CC428" s="518" t="str">
        <f>IF(AND(_5="A-330-300",'2026'!$O$4="CA",'2026'!$O$2=CC423),'2026DATA'!$J$7,"")</f>
        <v/>
      </c>
      <c r="CD428" s="518" t="str">
        <f>IF(AND(_5="A-330-300",'2026'!$O$4="CA",'2026'!$O$2=CD423),'2026DATA'!$K$7,"")</f>
        <v/>
      </c>
      <c r="CE428" s="518" t="str">
        <f>IF(AND(_5="A-330-300",'2026'!$O$4="CA",'2026'!$O$2=CE423),'2026DATA'!$L$7,"")</f>
        <v/>
      </c>
      <c r="CF428" s="518" t="str">
        <f>IF(AND(_5="A-330-300",'2026'!$O$4="CA",'2026'!$O$2=CF423),'2026DATA'!$M$7,"")</f>
        <v/>
      </c>
      <c r="CG428" s="520" t="str">
        <f>IF(AND(_5="A-330-300",'2026'!$O$4="CA",'2026'!$O$2=CG423),'2026DATA'!$N$7,"")</f>
        <v/>
      </c>
      <c r="CH428" s="940" t="s">
        <v>64</v>
      </c>
      <c r="CI428" s="13" t="s">
        <v>61</v>
      </c>
      <c r="CJ428" s="518" t="str">
        <f>IF(AND(_6="A-330-300",'2026'!$O$4="CA",'2026'!$O$2=CJ423),'2026DATA'!$C$7,"")</f>
        <v/>
      </c>
      <c r="CK428" s="518" t="str">
        <f>IF(AND(_6="A-330-300",'2026'!$O$4="CA",'2026'!$O$2=CK423),'2026DATA'!$D$7,"")</f>
        <v/>
      </c>
      <c r="CL428" s="518" t="str">
        <f>IF(AND(_6="A-330-300",'2026'!$O$4="CA",'2026'!$O$2=CL423),'2026DATA'!$E$7,"")</f>
        <v/>
      </c>
      <c r="CM428" s="518" t="str">
        <f>IF(AND(_6="A-330-300",'2026'!$O$4="CA",'2026'!$O$2=CM423),'2026DATA'!$F$7,"")</f>
        <v/>
      </c>
      <c r="CN428" s="518" t="str">
        <f>IF(AND(_6="A-330-300",'2026'!$O$4="CA",'2026'!$O$2=CN423),'2026DATA'!$G$7,"")</f>
        <v/>
      </c>
      <c r="CO428" s="518" t="str">
        <f>IF(AND(_6="A-330-300",'2026'!$O$4="CA",'2026'!$O$2=CO423),'2026DATA'!$H$7,"")</f>
        <v/>
      </c>
      <c r="CP428" s="518" t="str">
        <f>IF(AND(_6="A-330-300",'2026'!$O$4="CA",'2026'!$O$2=CP423),'2026DATA'!$I$7,"")</f>
        <v/>
      </c>
      <c r="CQ428" s="518" t="str">
        <f>IF(AND(_6="A-330-300",'2026'!$O$4="CA",'2026'!$O$2=CQ423),'2026DATA'!$J$7,"")</f>
        <v/>
      </c>
      <c r="CR428" s="518" t="str">
        <f>IF(AND(_6="A-330-300",'2026'!$O$4="CA",'2026'!$O$2=CR423),'2026DATA'!$K$7,"")</f>
        <v/>
      </c>
      <c r="CS428" s="518" t="str">
        <f>IF(AND(_6="A-330-300",'2026'!$O$4="CA",'2026'!$O$2=CS423),'2026DATA'!$L$7,"")</f>
        <v/>
      </c>
      <c r="CT428" s="518" t="str">
        <f>IF(AND(_6="A-330-300",'2026'!$O$4="CA",'2026'!$O$2=CT423),'2026DATA'!$M$7,"")</f>
        <v/>
      </c>
      <c r="CU428" s="520" t="str">
        <f>IF(AND(_6="A-330-300",'2026'!$O$4="CA",'2026'!$O$2=CU423),'2026DATA'!$N$7,"")</f>
        <v/>
      </c>
    </row>
    <row r="429" spans="16:99" x14ac:dyDescent="0.25">
      <c r="P429" s="940"/>
      <c r="Q429" s="13" t="s">
        <v>62</v>
      </c>
      <c r="R429" s="518" t="str">
        <f>IF(AND(_1="A-330-300",'2026'!$O$4="FO",'2026'!$O$2=R423),'2026DATA'!$C$8,"")</f>
        <v/>
      </c>
      <c r="S429" s="518" t="str">
        <f>IF(AND(_1="A-330-300",'2026'!$O$4="FO",'2026'!$O$2=S423),'2026DATA'!$D$8,"")</f>
        <v/>
      </c>
      <c r="T429" s="518" t="str">
        <f>IF(AND(_1="A-330-300",'2026'!$O$4="FO",'2026'!$O$2=T423),'2026DATA'!$E$8,"")</f>
        <v/>
      </c>
      <c r="U429" s="518" t="str">
        <f>IF(AND(_1="A-330-300",'2026'!$O$4="FO",'2026'!$O$2=U423),'2026DATA'!$F$8,"")</f>
        <v/>
      </c>
      <c r="V429" s="518" t="str">
        <f>IF(AND(_1="A-330-300",'2026'!$O$4="FO",'2026'!$O$2=V423),'2026DATA'!$G$8,"")</f>
        <v/>
      </c>
      <c r="W429" s="518" t="str">
        <f>IF(AND(_1="A-330-300",'2026'!$O$4="FO",'2026'!$O$2=W423),'2026DATA'!$H$8,"")</f>
        <v/>
      </c>
      <c r="X429" s="518" t="str">
        <f>IF(AND(_1="A-330-300",'2026'!$O$4="FO",'2026'!$O$2=X423),'2026DATA'!$I$8,"")</f>
        <v/>
      </c>
      <c r="Y429" s="518" t="str">
        <f>IF(AND(_1="A-330-300",'2026'!$O$4="FO",'2026'!$O$2=Y423),'2026DATA'!$J$8,"")</f>
        <v/>
      </c>
      <c r="Z429" s="518" t="str">
        <f>IF(AND(_1="A-330-300",'2026'!$O$4="FO",'2026'!$O$2=Z423),'2026DATA'!$K$8,"")</f>
        <v/>
      </c>
      <c r="AA429" s="518" t="str">
        <f>IF(AND(_1="A-330-300",'2026'!$O$4="FO",'2026'!$O$2=AA423),'2026DATA'!$L$8,"")</f>
        <v/>
      </c>
      <c r="AB429" s="518" t="str">
        <f>IF(AND(_1="A-330-300",'2026'!$O$4="FO",'2026'!$O$2=AB423),'2026DATA'!$M$8,"")</f>
        <v/>
      </c>
      <c r="AC429" s="520" t="str">
        <f>IF(AND(_1="A-330-300",'2026'!$O$4="FO",'2026'!$O$2=AC423),'2026DATA'!$N$8,"")</f>
        <v/>
      </c>
      <c r="AD429" s="940"/>
      <c r="AE429" s="13" t="s">
        <v>62</v>
      </c>
      <c r="AF429" s="518" t="str">
        <f>IF(AND(_2="A-330-300",'2026'!$O$4="FO",'2026'!$O$2=AF423),'2026DATA'!$C$8,"")</f>
        <v/>
      </c>
      <c r="AG429" s="518" t="str">
        <f>IF(AND(_2="A-330-300",'2026'!$O$4="FO",'2026'!$O$2=AG423),'2026DATA'!$D$8,"")</f>
        <v/>
      </c>
      <c r="AH429" s="518" t="str">
        <f>IF(AND(_2="A-330-300",'2026'!$O$4="FO",'2026'!$O$2=AH423),'2026DATA'!$E$8,"")</f>
        <v/>
      </c>
      <c r="AI429" s="518" t="str">
        <f>IF(AND(_2="A-330-300",'2026'!$O$4="FO",'2026'!$O$2=AI423),'2026DATA'!$F$8,"")</f>
        <v/>
      </c>
      <c r="AJ429" s="518" t="str">
        <f>IF(AND(_2="A-330-300",'2026'!$O$4="FO",'2026'!$O$2=AJ423),'2026DATA'!$G$8,"")</f>
        <v/>
      </c>
      <c r="AK429" s="518" t="str">
        <f>IF(AND(_2="A-330-300",'2026'!$O$4="FO",'2026'!$O$2=AK423),'2026DATA'!$H$8,"")</f>
        <v/>
      </c>
      <c r="AL429" s="518" t="str">
        <f>IF(AND(_2="A-330-300",'2026'!$O$4="FO",'2026'!$O$2=AL423),'2026DATA'!$I$8,"")</f>
        <v/>
      </c>
      <c r="AM429" s="518" t="str">
        <f>IF(AND(_2="A-330-300",'2026'!$O$4="FO",'2026'!$O$2=AM423),'2026DATA'!$J$8,"")</f>
        <v/>
      </c>
      <c r="AN429" s="518" t="str">
        <f>IF(AND(_2="A-330-300",'2026'!$O$4="FO",'2026'!$O$2=AN423),'2026DATA'!$K$8,"")</f>
        <v/>
      </c>
      <c r="AO429" s="518" t="str">
        <f>IF(AND(_2="A-330-300",'2026'!$O$4="FO",'2026'!$O$2=AO423),'2026DATA'!$L$8,"")</f>
        <v/>
      </c>
      <c r="AP429" s="518" t="str">
        <f>IF(AND(_2="A-330-300",'2026'!$O$4="FO",'2026'!$O$2=AP423),'2026DATA'!$M$8,"")</f>
        <v/>
      </c>
      <c r="AQ429" s="520" t="str">
        <f>IF(AND(_2="A-330-300",'2026'!$O$4="FO",'2026'!$O$2=AQ423),'2026DATA'!$N$8,"")</f>
        <v/>
      </c>
      <c r="AR429" s="940"/>
      <c r="AS429" s="13" t="s">
        <v>62</v>
      </c>
      <c r="AT429" s="518" t="str">
        <f>IF(AND(_3="A-330-300",'2026'!$O$4="FO",'2026'!$O$2=AT423),'2026DATA'!$C$8,"")</f>
        <v/>
      </c>
      <c r="AU429" s="518" t="str">
        <f>IF(AND(_3="A-330-300",'2026'!$O$4="FO",'2026'!$O$2=AU423),'2026DATA'!$D$8,"")</f>
        <v/>
      </c>
      <c r="AV429" s="518" t="str">
        <f>IF(AND(_3="A-330-300",'2026'!$O$4="FO",'2026'!$O$2=AV423),'2026DATA'!$E$8,"")</f>
        <v/>
      </c>
      <c r="AW429" s="518" t="str">
        <f>IF(AND(_3="A-330-300",'2026'!$O$4="FO",'2026'!$O$2=AW423),'2026DATA'!$F$8,"")</f>
        <v/>
      </c>
      <c r="AX429" s="518" t="str">
        <f>IF(AND(_3="A-330-300",'2026'!$O$4="FO",'2026'!$O$2=AX423),'2026DATA'!$G$8,"")</f>
        <v/>
      </c>
      <c r="AY429" s="518" t="str">
        <f>IF(AND(_3="A-330-300",'2026'!$O$4="FO",'2026'!$O$2=AY423),'2026DATA'!$H$8,"")</f>
        <v/>
      </c>
      <c r="AZ429" s="518" t="str">
        <f>IF(AND(_3="A-330-300",'2026'!$O$4="FO",'2026'!$O$2=AZ423),'2026DATA'!$I$8,"")</f>
        <v/>
      </c>
      <c r="BA429" s="518" t="str">
        <f>IF(AND(_3="A-330-300",'2026'!$O$4="FO",'2026'!$O$2=BA423),'2026DATA'!$J$8,"")</f>
        <v/>
      </c>
      <c r="BB429" s="518" t="str">
        <f>IF(AND(_3="A-330-300",'2026'!$O$4="FO",'2026'!$O$2=BB423),'2026DATA'!$K$8,"")</f>
        <v/>
      </c>
      <c r="BC429" s="518" t="str">
        <f>IF(AND(_3="A-330-300",'2026'!$O$4="FO",'2026'!$O$2=BC423),'2026DATA'!$L$8,"")</f>
        <v/>
      </c>
      <c r="BD429" s="518" t="str">
        <f>IF(AND(_3="A-330-300",'2026'!$O$4="FO",'2026'!$O$2=BD423),'2026DATA'!$M$8,"")</f>
        <v/>
      </c>
      <c r="BE429" s="520" t="str">
        <f>IF(AND(_3="A-330-300",'2026'!$O$4="FO",'2026'!$O$2=BE423),'2026DATA'!$N$8,"")</f>
        <v/>
      </c>
      <c r="BF429" s="940"/>
      <c r="BG429" s="13" t="s">
        <v>62</v>
      </c>
      <c r="BH429" s="518" t="str">
        <f>IF(AND(_4="A-330-300",'2026'!$O$4="FO",'2026'!$O$2=BH423),'2026DATA'!$C$8,"")</f>
        <v/>
      </c>
      <c r="BI429" s="518" t="str">
        <f>IF(AND(_4="A-330-300",'2026'!$O$4="FO",'2026'!$O$2=BI423),'2026DATA'!$D$8,"")</f>
        <v/>
      </c>
      <c r="BJ429" s="518" t="str">
        <f>IF(AND(_4="A-330-300",'2026'!$O$4="FO",'2026'!$O$2=BJ423),'2026DATA'!$E$8,"")</f>
        <v/>
      </c>
      <c r="BK429" s="518" t="str">
        <f>IF(AND(_4="A-330-300",'2026'!$O$4="FO",'2026'!$O$2=BK423),'2026DATA'!$F$8,"")</f>
        <v/>
      </c>
      <c r="BL429" s="518" t="str">
        <f>IF(AND(_4="A-330-300",'2026'!$O$4="FO",'2026'!$O$2=BL423),'2026DATA'!$G$8,"")</f>
        <v/>
      </c>
      <c r="BM429" s="518" t="str">
        <f>IF(AND(_4="A-330-300",'2026'!$O$4="FO",'2026'!$O$2=BM423),'2026DATA'!$H$8,"")</f>
        <v/>
      </c>
      <c r="BN429" s="518" t="str">
        <f>IF(AND(_4="A-330-300",'2026'!$O$4="FO",'2026'!$O$2=BN423),'2026DATA'!$I$8,"")</f>
        <v/>
      </c>
      <c r="BO429" s="518" t="str">
        <f>IF(AND(_4="A-330-300",'2026'!$O$4="FO",'2026'!$O$2=BO423),'2026DATA'!$J$8,"")</f>
        <v/>
      </c>
      <c r="BP429" s="518" t="str">
        <f>IF(AND(_4="A-330-300",'2026'!$O$4="FO",'2026'!$O$2=BP423),'2026DATA'!$K$8,"")</f>
        <v/>
      </c>
      <c r="BQ429" s="518" t="str">
        <f>IF(AND(_4="A-330-300",'2026'!$O$4="FO",'2026'!$O$2=BQ423),'2026DATA'!$L$8,"")</f>
        <v/>
      </c>
      <c r="BR429" s="518" t="str">
        <f>IF(AND(_4="A-330-300",'2026'!$O$4="FO",'2026'!$O$2=BR423),'2026DATA'!$M$8,"")</f>
        <v/>
      </c>
      <c r="BS429" s="520" t="str">
        <f>IF(AND(_4="A-330-300",'2026'!$O$4="FO",'2026'!$O$2=BS423),'2026DATA'!$N$8,"")</f>
        <v/>
      </c>
      <c r="BT429" s="940"/>
      <c r="BU429" s="13" t="s">
        <v>62</v>
      </c>
      <c r="BV429" s="518" t="str">
        <f>IF(AND(_5="A-330-300",'2026'!$O$4="FO",'2026'!$O$2=BV423),'2026DATA'!$C$8,"")</f>
        <v/>
      </c>
      <c r="BW429" s="518" t="str">
        <f>IF(AND(_5="A-330-300",'2026'!$O$4="FO",'2026'!$O$2=BW423),'2026DATA'!$D$8,"")</f>
        <v/>
      </c>
      <c r="BX429" s="518" t="str">
        <f>IF(AND(_5="A-330-300",'2026'!$O$4="FO",'2026'!$O$2=BX423),'2026DATA'!$E$8,"")</f>
        <v/>
      </c>
      <c r="BY429" s="518" t="str">
        <f>IF(AND(_5="A-330-300",'2026'!$O$4="FO",'2026'!$O$2=BY423),'2026DATA'!$F$8,"")</f>
        <v/>
      </c>
      <c r="BZ429" s="518" t="str">
        <f>IF(AND(_5="A-330-300",'2026'!$O$4="FO",'2026'!$O$2=BZ423),'2026DATA'!$G$8,"")</f>
        <v/>
      </c>
      <c r="CA429" s="518" t="str">
        <f>IF(AND(_5="A-330-300",'2026'!$O$4="FO",'2026'!$O$2=CA423),'2026DATA'!$H$8,"")</f>
        <v/>
      </c>
      <c r="CB429" s="518" t="str">
        <f>IF(AND(_5="A-330-300",'2026'!$O$4="FO",'2026'!$O$2=CB423),'2026DATA'!$I$8,"")</f>
        <v/>
      </c>
      <c r="CC429" s="518" t="str">
        <f>IF(AND(_5="A-330-300",'2026'!$O$4="FO",'2026'!$O$2=CC423),'2026DATA'!$J$8,"")</f>
        <v/>
      </c>
      <c r="CD429" s="518" t="str">
        <f>IF(AND(_5="A-330-300",'2026'!$O$4="FO",'2026'!$O$2=CD423),'2026DATA'!$K$8,"")</f>
        <v/>
      </c>
      <c r="CE429" s="518" t="str">
        <f>IF(AND(_5="A-330-300",'2026'!$O$4="FO",'2026'!$O$2=CE423),'2026DATA'!$L$8,"")</f>
        <v/>
      </c>
      <c r="CF429" s="518" t="str">
        <f>IF(AND(_5="A-330-300",'2026'!$O$4="FO",'2026'!$O$2=CF423),'2026DATA'!$M$8,"")</f>
        <v/>
      </c>
      <c r="CG429" s="520" t="str">
        <f>IF(AND(_5="A-330-300",'2026'!$O$4="FO",'2026'!$O$2=CG423),'2026DATA'!$N$8,"")</f>
        <v/>
      </c>
      <c r="CH429" s="940"/>
      <c r="CI429" s="13" t="s">
        <v>62</v>
      </c>
      <c r="CJ429" s="518" t="str">
        <f>IF(AND(_6="A-330-300",'2026'!$O$4="FO",'2026'!$O$2=CJ423),'2026DATA'!$C$8,"")</f>
        <v/>
      </c>
      <c r="CK429" s="518" t="str">
        <f>IF(AND(_6="A-330-300",'2026'!$O$4="FO",'2026'!$O$2=CK423),'2026DATA'!$D$8,"")</f>
        <v/>
      </c>
      <c r="CL429" s="518" t="str">
        <f>IF(AND(_6="A-330-300",'2026'!$O$4="FO",'2026'!$O$2=CL423),'2026DATA'!$E$8,"")</f>
        <v/>
      </c>
      <c r="CM429" s="518" t="str">
        <f>IF(AND(_6="A-330-300",'2026'!$O$4="FO",'2026'!$O$2=CM423),'2026DATA'!$F$8,"")</f>
        <v/>
      </c>
      <c r="CN429" s="518" t="str">
        <f>IF(AND(_6="A-330-300",'2026'!$O$4="FO",'2026'!$O$2=CN423),'2026DATA'!$G$8,"")</f>
        <v/>
      </c>
      <c r="CO429" s="518" t="str">
        <f>IF(AND(_6="A-330-300",'2026'!$O$4="FO",'2026'!$O$2=CO423),'2026DATA'!$H$8,"")</f>
        <v/>
      </c>
      <c r="CP429" s="518" t="str">
        <f>IF(AND(_6="A-330-300",'2026'!$O$4="FO",'2026'!$O$2=CP423),'2026DATA'!$I$8,"")</f>
        <v/>
      </c>
      <c r="CQ429" s="518" t="str">
        <f>IF(AND(_6="A-330-300",'2026'!$O$4="FO",'2026'!$O$2=CQ423),'2026DATA'!$J$8,"")</f>
        <v/>
      </c>
      <c r="CR429" s="518" t="str">
        <f>IF(AND(_6="A-330-300",'2026'!$O$4="FO",'2026'!$O$2=CR423),'2026DATA'!$K$8,"")</f>
        <v/>
      </c>
      <c r="CS429" s="518" t="str">
        <f>IF(AND(_6="A-330-300",'2026'!$O$4="FO",'2026'!$O$2=CS423),'2026DATA'!$L$8,"")</f>
        <v/>
      </c>
      <c r="CT429" s="518" t="str">
        <f>IF(AND(_6="A-330-300",'2026'!$O$4="FO",'2026'!$O$2=CT423),'2026DATA'!$M$8,"")</f>
        <v/>
      </c>
      <c r="CU429" s="520" t="str">
        <f>IF(AND(_6="A-330-300",'2026'!$O$4="FO",'2026'!$O$2=CU423),'2026DATA'!$N$8,"")</f>
        <v/>
      </c>
    </row>
    <row r="430" spans="16:99" x14ac:dyDescent="0.25">
      <c r="P430" s="940" t="s">
        <v>66</v>
      </c>
      <c r="Q430" s="13" t="s">
        <v>61</v>
      </c>
      <c r="R430" s="518" t="str">
        <f>IF(AND(_1="A-330-200",'2026'!$O$4="CA",'2026'!$O$2=R423),'2026DATA'!$C$9,"")</f>
        <v/>
      </c>
      <c r="S430" s="518" t="str">
        <f>IF(AND(_1="A-330-200",'2026'!$O$4="CA",'2026'!$O$2=S423),'2026DATA'!$D$9,"")</f>
        <v/>
      </c>
      <c r="T430" s="518" t="str">
        <f>IF(AND(_1="A-330-200",'2026'!$O$4="CA",'2026'!$O$2=T423),'2026DATA'!$E$9,"")</f>
        <v/>
      </c>
      <c r="U430" s="518" t="str">
        <f>IF(AND(_1="A-330-200",'2026'!$O$4="CA",'2026'!$O$2=U423),'2026DATA'!$F$9,"")</f>
        <v/>
      </c>
      <c r="V430" s="518" t="str">
        <f>IF(AND(_1="A-330-200",'2026'!$O$4="CA",'2026'!$O$2=V423),'2026DATA'!$G$9,"")</f>
        <v/>
      </c>
      <c r="W430" s="518" t="str">
        <f>IF(AND(_1="A-330-200",'2026'!$O$4="CA",'2026'!$O$2=W423),'2026DATA'!$H$9,"")</f>
        <v/>
      </c>
      <c r="X430" s="518" t="str">
        <f>IF(AND(_1="A-330-200",'2026'!$O$4="CA",'2026'!$O$2=X423),'2026DATA'!$I$9,"")</f>
        <v/>
      </c>
      <c r="Y430" s="518" t="str">
        <f>IF(AND(_1="A-330-200",'2026'!$O$4="CA",'2026'!$O$2=Y423),'2026DATA'!$J$9,"")</f>
        <v/>
      </c>
      <c r="Z430" s="518" t="str">
        <f>IF(AND(_1="A-330-200",'2026'!$O$4="CA",'2026'!$O$2=Z423),'2026DATA'!$K$9,"")</f>
        <v/>
      </c>
      <c r="AA430" s="518" t="str">
        <f>IF(AND(_1="A-330-200",'2026'!$O$4="CA",'2026'!$O$2=AA423),'2026DATA'!$L$9,"")</f>
        <v/>
      </c>
      <c r="AB430" s="518" t="str">
        <f>IF(AND(_1="A-330-200",'2026'!$O$4="CA",'2026'!$O$2=AB423),'2026DATA'!$M$9,"")</f>
        <v/>
      </c>
      <c r="AC430" s="520" t="str">
        <f>IF(AND(_1="A-330-200",'2026'!$O$4="CA",'2026'!$O$2=AC423),'2026DATA'!$N$9,"")</f>
        <v/>
      </c>
      <c r="AD430" s="940" t="s">
        <v>66</v>
      </c>
      <c r="AE430" s="13" t="s">
        <v>61</v>
      </c>
      <c r="AF430" s="518" t="str">
        <f>IF(AND(_2="A-330-200",'2026'!$O$4="CA",'2026'!$O$2=AF423),'2026DATA'!$C$9,"")</f>
        <v/>
      </c>
      <c r="AG430" s="518" t="str">
        <f>IF(AND(_2="A-330-200",'2026'!$O$4="CA",'2026'!$O$2=AG423),'2026DATA'!$D$9,"")</f>
        <v/>
      </c>
      <c r="AH430" s="518" t="str">
        <f>IF(AND(_2="A-330-200",'2026'!$O$4="CA",'2026'!$O$2=AH423),'2026DATA'!$E$9,"")</f>
        <v/>
      </c>
      <c r="AI430" s="518" t="str">
        <f>IF(AND(_2="A-330-200",'2026'!$O$4="CA",'2026'!$O$2=AI423),'2026DATA'!$F$9,"")</f>
        <v/>
      </c>
      <c r="AJ430" s="518" t="str">
        <f>IF(AND(_2="A-330-200",'2026'!$O$4="CA",'2026'!$O$2=AJ423),'2026DATA'!$G$9,"")</f>
        <v/>
      </c>
      <c r="AK430" s="518" t="str">
        <f>IF(AND(_2="A-330-200",'2026'!$O$4="CA",'2026'!$O$2=AK423),'2026DATA'!$H$9,"")</f>
        <v/>
      </c>
      <c r="AL430" s="518" t="str">
        <f>IF(AND(_2="A-330-200",'2026'!$O$4="CA",'2026'!$O$2=AL423),'2026DATA'!$I$9,"")</f>
        <v/>
      </c>
      <c r="AM430" s="518" t="str">
        <f>IF(AND(_2="A-330-200",'2026'!$O$4="CA",'2026'!$O$2=AM423),'2026DATA'!$J$9,"")</f>
        <v/>
      </c>
      <c r="AN430" s="518" t="str">
        <f>IF(AND(_2="A-330-200",'2026'!$O$4="CA",'2026'!$O$2=AN423),'2026DATA'!$K$9,"")</f>
        <v/>
      </c>
      <c r="AO430" s="518" t="str">
        <f>IF(AND(_2="A-330-200",'2026'!$O$4="CA",'2026'!$O$2=AO423),'2026DATA'!$L$9,"")</f>
        <v/>
      </c>
      <c r="AP430" s="518" t="str">
        <f>IF(AND(_2="A-330-200",'2026'!$O$4="CA",'2026'!$O$2=AP423),'2026DATA'!$M$9,"")</f>
        <v/>
      </c>
      <c r="AQ430" s="520" t="str">
        <f>IF(AND(_2="A-330-200",'2026'!$O$4="CA",'2026'!$O$2=AQ423),'2026DATA'!$N$9,"")</f>
        <v/>
      </c>
      <c r="AR430" s="940" t="s">
        <v>66</v>
      </c>
      <c r="AS430" s="13" t="s">
        <v>61</v>
      </c>
      <c r="AT430" s="518" t="str">
        <f>IF(AND(_3="A-330-200",'2026'!$O$4="CA",'2026'!$O$2=AT423),'2026DATA'!$C$9,"")</f>
        <v/>
      </c>
      <c r="AU430" s="518" t="str">
        <f>IF(AND(_3="A-330-200",'2026'!$O$4="CA",'2026'!$O$2=AU423),'2026DATA'!$D$9,"")</f>
        <v/>
      </c>
      <c r="AV430" s="518" t="str">
        <f>IF(AND(_3="A-330-200",'2026'!$O$4="CA",'2026'!$O$2=AV423),'2026DATA'!$E$9,"")</f>
        <v/>
      </c>
      <c r="AW430" s="518" t="str">
        <f>IF(AND(_3="A-330-200",'2026'!$O$4="CA",'2026'!$O$2=AW423),'2026DATA'!$F$9,"")</f>
        <v/>
      </c>
      <c r="AX430" s="518" t="str">
        <f>IF(AND(_3="A-330-200",'2026'!$O$4="CA",'2026'!$O$2=AX423),'2026DATA'!$G$9,"")</f>
        <v/>
      </c>
      <c r="AY430" s="518" t="str">
        <f>IF(AND(_3="A-330-200",'2026'!$O$4="CA",'2026'!$O$2=AY423),'2026DATA'!$H$9,"")</f>
        <v/>
      </c>
      <c r="AZ430" s="518" t="str">
        <f>IF(AND(_3="A-330-200",'2026'!$O$4="CA",'2026'!$O$2=AZ423),'2026DATA'!$I$9,"")</f>
        <v/>
      </c>
      <c r="BA430" s="518" t="str">
        <f>IF(AND(_3="A-330-200",'2026'!$O$4="CA",'2026'!$O$2=BA423),'2026DATA'!$J$9,"")</f>
        <v/>
      </c>
      <c r="BB430" s="518" t="str">
        <f>IF(AND(_3="A-330-200",'2026'!$O$4="CA",'2026'!$O$2=BB423),'2026DATA'!$K$9,"")</f>
        <v/>
      </c>
      <c r="BC430" s="518" t="str">
        <f>IF(AND(_3="A-330-200",'2026'!$O$4="CA",'2026'!$O$2=BC423),'2026DATA'!$L$9,"")</f>
        <v/>
      </c>
      <c r="BD430" s="518" t="str">
        <f>IF(AND(_3="A-330-200",'2026'!$O$4="CA",'2026'!$O$2=BD423),'2026DATA'!$M$9,"")</f>
        <v/>
      </c>
      <c r="BE430" s="520" t="str">
        <f>IF(AND(_3="A-330-200",'2026'!$O$4="CA",'2026'!$O$2=BE423),'2026DATA'!$N$9,"")</f>
        <v/>
      </c>
      <c r="BF430" s="940" t="s">
        <v>66</v>
      </c>
      <c r="BG430" s="13" t="s">
        <v>61</v>
      </c>
      <c r="BH430" s="518" t="str">
        <f>IF(AND(_4="A-330-200",'2026'!$O$4="CA",'2026'!$O$2=BH423),'2026DATA'!$C$9,"")</f>
        <v/>
      </c>
      <c r="BI430" s="518" t="str">
        <f>IF(AND(_4="A-330-200",'2026'!$O$4="CA",'2026'!$O$2=BI423),'2026DATA'!$D$9,"")</f>
        <v/>
      </c>
      <c r="BJ430" s="518" t="str">
        <f>IF(AND(_4="A-330-200",'2026'!$O$4="CA",'2026'!$O$2=BJ423),'2026DATA'!$E$9,"")</f>
        <v/>
      </c>
      <c r="BK430" s="518" t="str">
        <f>IF(AND(_4="A-330-200",'2026'!$O$4="CA",'2026'!$O$2=BK423),'2026DATA'!$F$9,"")</f>
        <v/>
      </c>
      <c r="BL430" s="518" t="str">
        <f>IF(AND(_4="A-330-200",'2026'!$O$4="CA",'2026'!$O$2=BL423),'2026DATA'!$G$9,"")</f>
        <v/>
      </c>
      <c r="BM430" s="518" t="str">
        <f>IF(AND(_4="A-330-200",'2026'!$O$4="CA",'2026'!$O$2=BM423),'2026DATA'!$H$9,"")</f>
        <v/>
      </c>
      <c r="BN430" s="518" t="str">
        <f>IF(AND(_4="A-330-200",'2026'!$O$4="CA",'2026'!$O$2=BN423),'2026DATA'!$I$9,"")</f>
        <v/>
      </c>
      <c r="BO430" s="518" t="str">
        <f>IF(AND(_4="A-330-200",'2026'!$O$4="CA",'2026'!$O$2=BO423),'2026DATA'!$J$9,"")</f>
        <v/>
      </c>
      <c r="BP430" s="518" t="str">
        <f>IF(AND(_4="A-330-200",'2026'!$O$4="CA",'2026'!$O$2=BP423),'2026DATA'!$K$9,"")</f>
        <v/>
      </c>
      <c r="BQ430" s="518" t="str">
        <f>IF(AND(_4="A-330-200",'2026'!$O$4="CA",'2026'!$O$2=BQ423),'2026DATA'!$L$9,"")</f>
        <v/>
      </c>
      <c r="BR430" s="518" t="str">
        <f>IF(AND(_4="A-330-200",'2026'!$O$4="CA",'2026'!$O$2=BR423),'2026DATA'!$M$9,"")</f>
        <v/>
      </c>
      <c r="BS430" s="520" t="str">
        <f>IF(AND(_4="A-330-200",'2026'!$O$4="CA",'2026'!$O$2=BS423),'2026DATA'!$N$9,"")</f>
        <v/>
      </c>
      <c r="BT430" s="940" t="s">
        <v>66</v>
      </c>
      <c r="BU430" s="13" t="s">
        <v>61</v>
      </c>
      <c r="BV430" s="518" t="str">
        <f>IF(AND(_5="A-330-200",'2026'!$O$4="CA",'2026'!$O$2=BV423),'2026DATA'!$C$9,"")</f>
        <v/>
      </c>
      <c r="BW430" s="518" t="str">
        <f>IF(AND(_5="A-330-200",'2026'!$O$4="CA",'2026'!$O$2=BW423),'2026DATA'!$D$9,"")</f>
        <v/>
      </c>
      <c r="BX430" s="518" t="str">
        <f>IF(AND(_5="A-330-200",'2026'!$O$4="CA",'2026'!$O$2=BX423),'2026DATA'!$E$9,"")</f>
        <v/>
      </c>
      <c r="BY430" s="518" t="str">
        <f>IF(AND(_5="A-330-200",'2026'!$O$4="CA",'2026'!$O$2=BY423),'2026DATA'!$F$9,"")</f>
        <v/>
      </c>
      <c r="BZ430" s="518" t="str">
        <f>IF(AND(_5="A-330-200",'2026'!$O$4="CA",'2026'!$O$2=BZ423),'2026DATA'!$G$9,"")</f>
        <v/>
      </c>
      <c r="CA430" s="518" t="str">
        <f>IF(AND(_5="A-330-200",'2026'!$O$4="CA",'2026'!$O$2=CA423),'2026DATA'!$H$9,"")</f>
        <v/>
      </c>
      <c r="CB430" s="518" t="str">
        <f>IF(AND(_5="A-330-200",'2026'!$O$4="CA",'2026'!$O$2=CB423),'2026DATA'!$I$9,"")</f>
        <v/>
      </c>
      <c r="CC430" s="518" t="str">
        <f>IF(AND(_5="A-330-200",'2026'!$O$4="CA",'2026'!$O$2=CC423),'2026DATA'!$J$9,"")</f>
        <v/>
      </c>
      <c r="CD430" s="518" t="str">
        <f>IF(AND(_5="A-330-200",'2026'!$O$4="CA",'2026'!$O$2=CD423),'2026DATA'!$K$9,"")</f>
        <v/>
      </c>
      <c r="CE430" s="518" t="str">
        <f>IF(AND(_5="A-330-200",'2026'!$O$4="CA",'2026'!$O$2=CE423),'2026DATA'!$L$9,"")</f>
        <v/>
      </c>
      <c r="CF430" s="518" t="str">
        <f>IF(AND(_5="A-330-200",'2026'!$O$4="CA",'2026'!$O$2=CF423),'2026DATA'!$M$9,"")</f>
        <v/>
      </c>
      <c r="CG430" s="520" t="str">
        <f>IF(AND(_5="A-330-200",'2026'!$O$4="CA",'2026'!$O$2=CG423),'2026DATA'!$N$9,"")</f>
        <v/>
      </c>
      <c r="CH430" s="940" t="s">
        <v>66</v>
      </c>
      <c r="CI430" s="13" t="s">
        <v>61</v>
      </c>
      <c r="CJ430" s="518" t="str">
        <f>IF(AND(_6="A-330-200",'2026'!$O$4="CA",'2026'!$O$2=CJ423),'2026DATA'!$C$9,"")</f>
        <v/>
      </c>
      <c r="CK430" s="518" t="str">
        <f>IF(AND(_6="A-330-200",'2026'!$O$4="CA",'2026'!$O$2=CK423),'2026DATA'!$D$9,"")</f>
        <v/>
      </c>
      <c r="CL430" s="518" t="str">
        <f>IF(AND(_6="A-330-200",'2026'!$O$4="CA",'2026'!$O$2=CL423),'2026DATA'!$E$9,"")</f>
        <v/>
      </c>
      <c r="CM430" s="518" t="str">
        <f>IF(AND(_6="A-330-200",'2026'!$O$4="CA",'2026'!$O$2=CM423),'2026DATA'!$F$9,"")</f>
        <v/>
      </c>
      <c r="CN430" s="518" t="str">
        <f>IF(AND(_6="A-330-200",'2026'!$O$4="CA",'2026'!$O$2=CN423),'2026DATA'!$G$9,"")</f>
        <v/>
      </c>
      <c r="CO430" s="518" t="str">
        <f>IF(AND(_6="A-330-200",'2026'!$O$4="CA",'2026'!$O$2=CO423),'2026DATA'!$H$9,"")</f>
        <v/>
      </c>
      <c r="CP430" s="518" t="str">
        <f>IF(AND(_6="A-330-200",'2026'!$O$4="CA",'2026'!$O$2=CP423),'2026DATA'!$I$9,"")</f>
        <v/>
      </c>
      <c r="CQ430" s="518" t="str">
        <f>IF(AND(_6="A-330-200",'2026'!$O$4="CA",'2026'!$O$2=CQ423),'2026DATA'!$J$9,"")</f>
        <v/>
      </c>
      <c r="CR430" s="518" t="str">
        <f>IF(AND(_6="A-330-200",'2026'!$O$4="CA",'2026'!$O$2=CR423),'2026DATA'!$K$9,"")</f>
        <v/>
      </c>
      <c r="CS430" s="518" t="str">
        <f>IF(AND(_6="A-330-200",'2026'!$O$4="CA",'2026'!$O$2=CS423),'2026DATA'!$L$9,"")</f>
        <v/>
      </c>
      <c r="CT430" s="518" t="str">
        <f>IF(AND(_6="A-330-200",'2026'!$O$4="CA",'2026'!$O$2=CT423),'2026DATA'!$M$9,"")</f>
        <v/>
      </c>
      <c r="CU430" s="520" t="str">
        <f>IF(AND(_6="A-330-200",'2026'!$O$4="CA",'2026'!$O$2=CU423),'2026DATA'!$N$9,"")</f>
        <v/>
      </c>
    </row>
    <row r="431" spans="16:99" x14ac:dyDescent="0.25">
      <c r="P431" s="940"/>
      <c r="Q431" s="13" t="s">
        <v>62</v>
      </c>
      <c r="R431" s="518" t="str">
        <f>IF(AND(_1="A-330-200",'2026'!$O$4="FO",'2026'!$O$2=R423),'2026DATA'!$C$10,"")</f>
        <v/>
      </c>
      <c r="S431" s="518" t="str">
        <f>IF(AND(_1="A-330-200",'2026'!$O$4="FO",'2026'!$O$2=S423),'2026DATA'!$D$10,"")</f>
        <v/>
      </c>
      <c r="T431" s="518" t="str">
        <f>IF(AND(_1="A-330-200",'2026'!$O$4="FO",'2026'!$O$2=T423),'2026DATA'!$E$10,"")</f>
        <v/>
      </c>
      <c r="U431" s="518" t="str">
        <f>IF(AND(_1="A-330-200",'2026'!$O$4="FO",'2026'!$O$2=U423),'2026DATA'!$F$10,"")</f>
        <v/>
      </c>
      <c r="V431" s="518" t="str">
        <f>IF(AND(_1="A-330-200",'2026'!$O$4="FO",'2026'!$O$2=V423),'2026DATA'!$G$10,"")</f>
        <v/>
      </c>
      <c r="W431" s="518" t="str">
        <f>IF(AND(_1="A-330-200",'2026'!$O$4="FO",'2026'!$O$2=W423),'2026DATA'!$H$10,"")</f>
        <v/>
      </c>
      <c r="X431" s="518" t="str">
        <f>IF(AND(_1="A-330-200",'2026'!$O$4="FO",'2026'!$O$2=X423),'2026DATA'!$I$10,"")</f>
        <v/>
      </c>
      <c r="Y431" s="518" t="str">
        <f>IF(AND(_1="A-330-200",'2026'!$O$4="FO",'2026'!$O$2=Y423),'2026DATA'!$J$10,"")</f>
        <v/>
      </c>
      <c r="Z431" s="518" t="str">
        <f>IF(AND(_1="A-330-200",'2026'!$O$4="FO",'2026'!$O$2=Z423),'2026DATA'!$K$10,"")</f>
        <v/>
      </c>
      <c r="AA431" s="518" t="str">
        <f>IF(AND(_1="A-330-200",'2026'!$O$4="FO",'2026'!$O$2=AA423),'2026DATA'!$L$10,"")</f>
        <v/>
      </c>
      <c r="AB431" s="518" t="str">
        <f>IF(AND(_1="A-330-200",'2026'!$O$4="FO",'2026'!$O$2=AB423),'2026DATA'!$M$10,"")</f>
        <v/>
      </c>
      <c r="AC431" s="520" t="str">
        <f>IF(AND(_1="A-330-200",'2026'!$O$4="FO",'2026'!$O$2=AC423),'2026DATA'!$N$10,"")</f>
        <v/>
      </c>
      <c r="AD431" s="940"/>
      <c r="AE431" s="13" t="s">
        <v>62</v>
      </c>
      <c r="AF431" s="518" t="str">
        <f>IF(AND(_2="A-330-200",'2026'!$O$4="FO",'2026'!$O$2=AF423),'2026DATA'!$C$10,"")</f>
        <v/>
      </c>
      <c r="AG431" s="518" t="str">
        <f>IF(AND(_2="A-330-200",'2026'!$O$4="FO",'2026'!$O$2=AG423),'2026DATA'!$D$10,"")</f>
        <v/>
      </c>
      <c r="AH431" s="518" t="str">
        <f>IF(AND(_2="A-330-200",'2026'!$O$4="FO",'2026'!$O$2=AH423),'2026DATA'!$E$10,"")</f>
        <v/>
      </c>
      <c r="AI431" s="518" t="str">
        <f>IF(AND(_2="A-330-200",'2026'!$O$4="FO",'2026'!$O$2=AI423),'2026DATA'!$F$10,"")</f>
        <v/>
      </c>
      <c r="AJ431" s="518" t="str">
        <f>IF(AND(_2="A-330-200",'2026'!$O$4="FO",'2026'!$O$2=AJ423),'2026DATA'!$G$10,"")</f>
        <v/>
      </c>
      <c r="AK431" s="518" t="str">
        <f>IF(AND(_2="A-330-200",'2026'!$O$4="FO",'2026'!$O$2=AK423),'2026DATA'!$H$10,"")</f>
        <v/>
      </c>
      <c r="AL431" s="518" t="str">
        <f>IF(AND(_2="A-330-200",'2026'!$O$4="FO",'2026'!$O$2=AL423),'2026DATA'!$I$10,"")</f>
        <v/>
      </c>
      <c r="AM431" s="518" t="str">
        <f>IF(AND(_2="A-330-200",'2026'!$O$4="FO",'2026'!$O$2=AM423),'2026DATA'!$J$10,"")</f>
        <v/>
      </c>
      <c r="AN431" s="518" t="str">
        <f>IF(AND(_2="A-330-200",'2026'!$O$4="FO",'2026'!$O$2=AN423),'2026DATA'!$K$10,"")</f>
        <v/>
      </c>
      <c r="AO431" s="518" t="str">
        <f>IF(AND(_2="A-330-200",'2026'!$O$4="FO",'2026'!$O$2=AO423),'2026DATA'!$L$10,"")</f>
        <v/>
      </c>
      <c r="AP431" s="518" t="str">
        <f>IF(AND(_2="A-330-200",'2026'!$O$4="FO",'2026'!$O$2=AP423),'2026DATA'!$M$10,"")</f>
        <v/>
      </c>
      <c r="AQ431" s="520" t="str">
        <f>IF(AND(_2="A-330-200",'2026'!$O$4="FO",'2026'!$O$2=AQ423),'2026DATA'!$N$10,"")</f>
        <v/>
      </c>
      <c r="AR431" s="940"/>
      <c r="AS431" s="13" t="s">
        <v>62</v>
      </c>
      <c r="AT431" s="518" t="str">
        <f>IF(AND(_3="A-330-200",'2026'!$O$4="FO",'2026'!$O$2=AT423),'2026DATA'!$C$10,"")</f>
        <v/>
      </c>
      <c r="AU431" s="518" t="str">
        <f>IF(AND(_3="A-330-200",'2026'!$O$4="FO",'2026'!$O$2=AU423),'2026DATA'!$D$10,"")</f>
        <v/>
      </c>
      <c r="AV431" s="518" t="str">
        <f>IF(AND(_3="A-330-200",'2026'!$O$4="FO",'2026'!$O$2=AV423),'2026DATA'!$E$10,"")</f>
        <v/>
      </c>
      <c r="AW431" s="518" t="str">
        <f>IF(AND(_3="A-330-200",'2026'!$O$4="FO",'2026'!$O$2=AW423),'2026DATA'!$F$10,"")</f>
        <v/>
      </c>
      <c r="AX431" s="518" t="str">
        <f>IF(AND(_3="A-330-200",'2026'!$O$4="FO",'2026'!$O$2=AX423),'2026DATA'!$G$10,"")</f>
        <v/>
      </c>
      <c r="AY431" s="518" t="str">
        <f>IF(AND(_3="A-330-200",'2026'!$O$4="FO",'2026'!$O$2=AY423),'2026DATA'!$H$10,"")</f>
        <v/>
      </c>
      <c r="AZ431" s="518" t="str">
        <f>IF(AND(_3="A-330-200",'2026'!$O$4="FO",'2026'!$O$2=AZ423),'2026DATA'!$I$10,"")</f>
        <v/>
      </c>
      <c r="BA431" s="518" t="str">
        <f>IF(AND(_3="A-330-200",'2026'!$O$4="FO",'2026'!$O$2=BA423),'2026DATA'!$J$10,"")</f>
        <v/>
      </c>
      <c r="BB431" s="518" t="str">
        <f>IF(AND(_3="A-330-200",'2026'!$O$4="FO",'2026'!$O$2=BB423),'2026DATA'!$K$10,"")</f>
        <v/>
      </c>
      <c r="BC431" s="518" t="str">
        <f>IF(AND(_3="A-330-200",'2026'!$O$4="FO",'2026'!$O$2=BC423),'2026DATA'!$L$10,"")</f>
        <v/>
      </c>
      <c r="BD431" s="518" t="str">
        <f>IF(AND(_3="A-330-200",'2026'!$O$4="FO",'2026'!$O$2=BD423),'2026DATA'!$M$10,"")</f>
        <v/>
      </c>
      <c r="BE431" s="520" t="str">
        <f>IF(AND(_3="A-330-200",'2026'!$O$4="FO",'2026'!$O$2=BE423),'2026DATA'!$N$10,"")</f>
        <v/>
      </c>
      <c r="BF431" s="940"/>
      <c r="BG431" s="13" t="s">
        <v>62</v>
      </c>
      <c r="BH431" s="518" t="str">
        <f>IF(AND(_4="A-330-200",'2026'!$O$4="FO",'2026'!$O$2=BH423),'2026DATA'!$C$10,"")</f>
        <v/>
      </c>
      <c r="BI431" s="518" t="str">
        <f>IF(AND(_4="A-330-200",'2026'!$O$4="FO",'2026'!$O$2=BI423),'2026DATA'!$D$10,"")</f>
        <v/>
      </c>
      <c r="BJ431" s="518" t="str">
        <f>IF(AND(_4="A-330-200",'2026'!$O$4="FO",'2026'!$O$2=BJ423),'2026DATA'!$E$10,"")</f>
        <v/>
      </c>
      <c r="BK431" s="518" t="str">
        <f>IF(AND(_4="A-330-200",'2026'!$O$4="FO",'2026'!$O$2=BK423),'2026DATA'!$F$10,"")</f>
        <v/>
      </c>
      <c r="BL431" s="518" t="str">
        <f>IF(AND(_4="A-330-200",'2026'!$O$4="FO",'2026'!$O$2=BL423),'2026DATA'!$G$10,"")</f>
        <v/>
      </c>
      <c r="BM431" s="518" t="str">
        <f>IF(AND(_4="A-330-200",'2026'!$O$4="FO",'2026'!$O$2=BM423),'2026DATA'!$H$10,"")</f>
        <v/>
      </c>
      <c r="BN431" s="518" t="str">
        <f>IF(AND(_4="A-330-200",'2026'!$O$4="FO",'2026'!$O$2=BN423),'2026DATA'!$I$10,"")</f>
        <v/>
      </c>
      <c r="BO431" s="518" t="str">
        <f>IF(AND(_4="A-330-200",'2026'!$O$4="FO",'2026'!$O$2=BO423),'2026DATA'!$J$10,"")</f>
        <v/>
      </c>
      <c r="BP431" s="518" t="str">
        <f>IF(AND(_4="A-330-200",'2026'!$O$4="FO",'2026'!$O$2=BP423),'2026DATA'!$K$10,"")</f>
        <v/>
      </c>
      <c r="BQ431" s="518" t="str">
        <f>IF(AND(_4="A-330-200",'2026'!$O$4="FO",'2026'!$O$2=BQ423),'2026DATA'!$L$10,"")</f>
        <v/>
      </c>
      <c r="BR431" s="518" t="str">
        <f>IF(AND(_4="A-330-200",'2026'!$O$4="FO",'2026'!$O$2=BR423),'2026DATA'!$M$10,"")</f>
        <v/>
      </c>
      <c r="BS431" s="520" t="str">
        <f>IF(AND(_4="A-330-200",'2026'!$O$4="FO",'2026'!$O$2=BS423),'2026DATA'!$N$10,"")</f>
        <v/>
      </c>
      <c r="BT431" s="940"/>
      <c r="BU431" s="13" t="s">
        <v>62</v>
      </c>
      <c r="BV431" s="518" t="str">
        <f>IF(AND(_5="A-330-200",'2026'!$O$4="FO",'2026'!$O$2=BV423),'2026DATA'!$C$10,"")</f>
        <v/>
      </c>
      <c r="BW431" s="518" t="str">
        <f>IF(AND(_5="A-330-200",'2026'!$O$4="FO",'2026'!$O$2=BW423),'2026DATA'!$D$10,"")</f>
        <v/>
      </c>
      <c r="BX431" s="518" t="str">
        <f>IF(AND(_5="A-330-200",'2026'!$O$4="FO",'2026'!$O$2=BX423),'2026DATA'!$E$10,"")</f>
        <v/>
      </c>
      <c r="BY431" s="518" t="str">
        <f>IF(AND(_5="A-330-200",'2026'!$O$4="FO",'2026'!$O$2=BY423),'2026DATA'!$F$10,"")</f>
        <v/>
      </c>
      <c r="BZ431" s="518" t="str">
        <f>IF(AND(_5="A-330-200",'2026'!$O$4="FO",'2026'!$O$2=BZ423),'2026DATA'!$G$10,"")</f>
        <v/>
      </c>
      <c r="CA431" s="518" t="str">
        <f>IF(AND(_5="A-330-200",'2026'!$O$4="FO",'2026'!$O$2=CA423),'2026DATA'!$H$10,"")</f>
        <v/>
      </c>
      <c r="CB431" s="518" t="str">
        <f>IF(AND(_5="A-330-200",'2026'!$O$4="FO",'2026'!$O$2=CB423),'2026DATA'!$I$10,"")</f>
        <v/>
      </c>
      <c r="CC431" s="518" t="str">
        <f>IF(AND(_5="A-330-200",'2026'!$O$4="FO",'2026'!$O$2=CC423),'2026DATA'!$J$10,"")</f>
        <v/>
      </c>
      <c r="CD431" s="518" t="str">
        <f>IF(AND(_5="A-330-200",'2026'!$O$4="FO",'2026'!$O$2=CD423),'2026DATA'!$K$10,"")</f>
        <v/>
      </c>
      <c r="CE431" s="518" t="str">
        <f>IF(AND(_5="A-330-200",'2026'!$O$4="FO",'2026'!$O$2=CE423),'2026DATA'!$L$10,"")</f>
        <v/>
      </c>
      <c r="CF431" s="518" t="str">
        <f>IF(AND(_5="A-330-200",'2026'!$O$4="FO",'2026'!$O$2=CF423),'2026DATA'!$M$10,"")</f>
        <v/>
      </c>
      <c r="CG431" s="520" t="str">
        <f>IF(AND(_5="A-330-200",'2026'!$O$4="FO",'2026'!$O$2=CG423),'2026DATA'!$N$10,"")</f>
        <v/>
      </c>
      <c r="CH431" s="940"/>
      <c r="CI431" s="13" t="s">
        <v>62</v>
      </c>
      <c r="CJ431" s="518" t="str">
        <f>IF(AND(_6="A-330-200",'2026'!$O$4="FO",'2026'!$O$2=CJ423),'2026DATA'!$C$10,"")</f>
        <v/>
      </c>
      <c r="CK431" s="518" t="str">
        <f>IF(AND(_6="A-330-200",'2026'!$O$4="FO",'2026'!$O$2=CK423),'2026DATA'!$D$10,"")</f>
        <v/>
      </c>
      <c r="CL431" s="518" t="str">
        <f>IF(AND(_6="A-330-200",'2026'!$O$4="FO",'2026'!$O$2=CL423),'2026DATA'!$E$10,"")</f>
        <v/>
      </c>
      <c r="CM431" s="518" t="str">
        <f>IF(AND(_6="A-330-200",'2026'!$O$4="FO",'2026'!$O$2=CM423),'2026DATA'!$F$10,"")</f>
        <v/>
      </c>
      <c r="CN431" s="518" t="str">
        <f>IF(AND(_6="A-330-200",'2026'!$O$4="FO",'2026'!$O$2=CN423),'2026DATA'!$G$10,"")</f>
        <v/>
      </c>
      <c r="CO431" s="518" t="str">
        <f>IF(AND(_6="A-330-200",'2026'!$O$4="FO",'2026'!$O$2=CO423),'2026DATA'!$H$10,"")</f>
        <v/>
      </c>
      <c r="CP431" s="518" t="str">
        <f>IF(AND(_6="A-330-200",'2026'!$O$4="FO",'2026'!$O$2=CP423),'2026DATA'!$I$10,"")</f>
        <v/>
      </c>
      <c r="CQ431" s="518" t="str">
        <f>IF(AND(_6="A-330-200",'2026'!$O$4="FO",'2026'!$O$2=CQ423),'2026DATA'!$J$10,"")</f>
        <v/>
      </c>
      <c r="CR431" s="518" t="str">
        <f>IF(AND(_6="A-330-200",'2026'!$O$4="FO",'2026'!$O$2=CR423),'2026DATA'!$K$10,"")</f>
        <v/>
      </c>
      <c r="CS431" s="518" t="str">
        <f>IF(AND(_6="A-330-200",'2026'!$O$4="FO",'2026'!$O$2=CS423),'2026DATA'!$L$10,"")</f>
        <v/>
      </c>
      <c r="CT431" s="518" t="str">
        <f>IF(AND(_6="A-330-200",'2026'!$O$4="FO",'2026'!$O$2=CT423),'2026DATA'!$M$10,"")</f>
        <v/>
      </c>
      <c r="CU431" s="520" t="str">
        <f>IF(AND(_6="A-330-200",'2026'!$O$4="FO",'2026'!$O$2=CU423),'2026DATA'!$N$10,"")</f>
        <v/>
      </c>
    </row>
    <row r="432" spans="16:99" x14ac:dyDescent="0.25">
      <c r="P432" s="940" t="s">
        <v>42</v>
      </c>
      <c r="Q432" s="13" t="s">
        <v>61</v>
      </c>
      <c r="R432" s="518" t="str">
        <f>IF(AND(_1="B-767-400ER",'2026'!$O$4="CA",'2026'!$O$2=R423),'2026DATA'!$C$11,"")</f>
        <v/>
      </c>
      <c r="S432" s="518" t="str">
        <f>IF(AND(_1="B-767-400ER",'2026'!$O$4="CA",'2026'!$O$2=S423),'2026DATA'!$D$11,"")</f>
        <v/>
      </c>
      <c r="T432" s="518" t="str">
        <f>IF(AND(_1="B-767-400ER",'2026'!$O$4="CA",'2026'!$O$2=T423),'2026DATA'!$E$11,"")</f>
        <v/>
      </c>
      <c r="U432" s="518" t="str">
        <f>IF(AND(_1="B-767-400ER",'2026'!$O$4="CA",'2026'!$O$2=U423),'2026DATA'!$F$11,"")</f>
        <v/>
      </c>
      <c r="V432" s="518" t="str">
        <f>IF(AND(_1="B-767-400ER",'2026'!$O$4="CA",'2026'!$O$2=V423),'2026DATA'!$G$11,"")</f>
        <v/>
      </c>
      <c r="W432" s="518" t="str">
        <f>IF(AND(_1="B-767-400ER",'2026'!$O$4="CA",'2026'!$O$2=W423),'2026DATA'!$H$11,"")</f>
        <v/>
      </c>
      <c r="X432" s="518" t="str">
        <f>IF(AND(_1="B-767-400ER",'2026'!$O$4="CA",'2026'!$O$2=X423),'2026DATA'!$I$11,"")</f>
        <v/>
      </c>
      <c r="Y432" s="518" t="str">
        <f>IF(AND(_1="B-767-400ER",'2026'!$O$4="CA",'2026'!$O$2=Y423),'2026DATA'!$J$11,"")</f>
        <v/>
      </c>
      <c r="Z432" s="518" t="str">
        <f>IF(AND(_1="B-767-400ER",'2026'!$O$4="CA",'2026'!$O$2=Z423),'2026DATA'!$K$11,"")</f>
        <v/>
      </c>
      <c r="AA432" s="518" t="str">
        <f>IF(AND(_1="B-767-400ER",'2026'!$O$4="CA",'2026'!$O$2=AA423),'2026DATA'!$L$11,"")</f>
        <v/>
      </c>
      <c r="AB432" s="518" t="str">
        <f>IF(AND(_1="B-767-400ER",'2026'!$O$4="CA",'2026'!$O$2=AB423),'2026DATA'!$M$11,"")</f>
        <v/>
      </c>
      <c r="AC432" s="520" t="str">
        <f>IF(AND(_1="B-767-400ER",'2026'!$O$4="CA",'2026'!$O$2=AC423),'2026DATA'!$N$11,"")</f>
        <v/>
      </c>
      <c r="AD432" s="940" t="s">
        <v>42</v>
      </c>
      <c r="AE432" s="13" t="s">
        <v>61</v>
      </c>
      <c r="AF432" s="518" t="str">
        <f>IF(AND(_2="B-767-400ER",'2026'!$O$4="CA",'2026'!$O$2=AF423),'2026DATA'!$C$11,"")</f>
        <v/>
      </c>
      <c r="AG432" s="518" t="str">
        <f>IF(AND(_2="B-767-400ER",'2026'!$O$4="CA",'2026'!$O$2=AG423),'2026DATA'!$D$11,"")</f>
        <v/>
      </c>
      <c r="AH432" s="518" t="str">
        <f>IF(AND(_2="B-767-400ER",'2026'!$O$4="CA",'2026'!$O$2=AH423),'2026DATA'!$E$11,"")</f>
        <v/>
      </c>
      <c r="AI432" s="518" t="str">
        <f>IF(AND(_2="B-767-400ER",'2026'!$O$4="CA",'2026'!$O$2=AI423),'2026DATA'!$F$11,"")</f>
        <v/>
      </c>
      <c r="AJ432" s="518" t="str">
        <f>IF(AND(_2="B-767-400ER",'2026'!$O$4="CA",'2026'!$O$2=AJ423),'2026DATA'!$G$11,"")</f>
        <v/>
      </c>
      <c r="AK432" s="518" t="str">
        <f>IF(AND(_2="B-767-400ER",'2026'!$O$4="CA",'2026'!$O$2=AK423),'2026DATA'!$H$11,"")</f>
        <v/>
      </c>
      <c r="AL432" s="518" t="str">
        <f>IF(AND(_2="B-767-400ER",'2026'!$O$4="CA",'2026'!$O$2=AL423),'2026DATA'!$I$11,"")</f>
        <v/>
      </c>
      <c r="AM432" s="518" t="str">
        <f>IF(AND(_2="B-767-400ER",'2026'!$O$4="CA",'2026'!$O$2=AM423),'2026DATA'!$J$11,"")</f>
        <v/>
      </c>
      <c r="AN432" s="518" t="str">
        <f>IF(AND(_2="B-767-400ER",'2026'!$O$4="CA",'2026'!$O$2=AN423),'2026DATA'!$K$11,"")</f>
        <v/>
      </c>
      <c r="AO432" s="518" t="str">
        <f>IF(AND(_2="B-767-400ER",'2026'!$O$4="CA",'2026'!$O$2=AO423),'2026DATA'!$L$11,"")</f>
        <v/>
      </c>
      <c r="AP432" s="518" t="str">
        <f>IF(AND(_2="B-767-400ER",'2026'!$O$4="CA",'2026'!$O$2=AP423),'2026DATA'!$M$11,"")</f>
        <v/>
      </c>
      <c r="AQ432" s="520" t="str">
        <f>IF(AND(_2="B-767-400ER",'2026'!$O$4="CA",'2026'!$O$2=AQ423),'2026DATA'!$N$11,"")</f>
        <v/>
      </c>
      <c r="AR432" s="940" t="s">
        <v>42</v>
      </c>
      <c r="AS432" s="13" t="s">
        <v>61</v>
      </c>
      <c r="AT432" s="518" t="str">
        <f>IF(AND(_3="B-767-400ER",'2026'!$O$4="CA",'2026'!$O$2=AT423),'2026DATA'!$C$11,"")</f>
        <v/>
      </c>
      <c r="AU432" s="518" t="str">
        <f>IF(AND(_3="B-767-400ER",'2026'!$O$4="CA",'2026'!$O$2=AU423),'2026DATA'!$D$11,"")</f>
        <v/>
      </c>
      <c r="AV432" s="518" t="str">
        <f>IF(AND(_3="B-767-400ER",'2026'!$O$4="CA",'2026'!$O$2=AV423),'2026DATA'!$E$11,"")</f>
        <v/>
      </c>
      <c r="AW432" s="518" t="str">
        <f>IF(AND(_3="B-767-400ER",'2026'!$O$4="CA",'2026'!$O$2=AW423),'2026DATA'!$F$11,"")</f>
        <v/>
      </c>
      <c r="AX432" s="518" t="str">
        <f>IF(AND(_3="B-767-400ER",'2026'!$O$4="CA",'2026'!$O$2=AX423),'2026DATA'!$G$11,"")</f>
        <v/>
      </c>
      <c r="AY432" s="518" t="str">
        <f>IF(AND(_3="B-767-400ER",'2026'!$O$4="CA",'2026'!$O$2=AY423),'2026DATA'!$H$11,"")</f>
        <v/>
      </c>
      <c r="AZ432" s="518" t="str">
        <f>IF(AND(_3="B-767-400ER",'2026'!$O$4="CA",'2026'!$O$2=AZ423),'2026DATA'!$I$11,"")</f>
        <v/>
      </c>
      <c r="BA432" s="518" t="str">
        <f>IF(AND(_3="B-767-400ER",'2026'!$O$4="CA",'2026'!$O$2=BA423),'2026DATA'!$J$11,"")</f>
        <v/>
      </c>
      <c r="BB432" s="518" t="str">
        <f>IF(AND(_3="B-767-400ER",'2026'!$O$4="CA",'2026'!$O$2=BB423),'2026DATA'!$K$11,"")</f>
        <v/>
      </c>
      <c r="BC432" s="518" t="str">
        <f>IF(AND(_3="B-767-400ER",'2026'!$O$4="CA",'2026'!$O$2=BC423),'2026DATA'!$L$11,"")</f>
        <v/>
      </c>
      <c r="BD432" s="518" t="str">
        <f>IF(AND(_3="B-767-400ER",'2026'!$O$4="CA",'2026'!$O$2=BD423),'2026DATA'!$M$11,"")</f>
        <v/>
      </c>
      <c r="BE432" s="520" t="str">
        <f>IF(AND(_3="B-767-400ER",'2026'!$O$4="CA",'2026'!$O$2=BE423),'2026DATA'!$N$11,"")</f>
        <v/>
      </c>
      <c r="BF432" s="940" t="s">
        <v>42</v>
      </c>
      <c r="BG432" s="13" t="s">
        <v>61</v>
      </c>
      <c r="BH432" s="518" t="str">
        <f>IF(AND(_4="B-767-400ER",'2026'!$O$4="CA",'2026'!$O$2=BH423),'2026DATA'!$C$11,"")</f>
        <v/>
      </c>
      <c r="BI432" s="518" t="str">
        <f>IF(AND(_4="B-767-400ER",'2026'!$O$4="CA",'2026'!$O$2=BI423),'2026DATA'!$D$11,"")</f>
        <v/>
      </c>
      <c r="BJ432" s="518" t="str">
        <f>IF(AND(_4="B-767-400ER",'2026'!$O$4="CA",'2026'!$O$2=BJ423),'2026DATA'!$E$11,"")</f>
        <v/>
      </c>
      <c r="BK432" s="518" t="str">
        <f>IF(AND(_4="B-767-400ER",'2026'!$O$4="CA",'2026'!$O$2=BK423),'2026DATA'!$F$11,"")</f>
        <v/>
      </c>
      <c r="BL432" s="518" t="str">
        <f>IF(AND(_4="B-767-400ER",'2026'!$O$4="CA",'2026'!$O$2=BL423),'2026DATA'!$G$11,"")</f>
        <v/>
      </c>
      <c r="BM432" s="518" t="str">
        <f>IF(AND(_4="B-767-400ER",'2026'!$O$4="CA",'2026'!$O$2=BM423),'2026DATA'!$H$11,"")</f>
        <v/>
      </c>
      <c r="BN432" s="518" t="str">
        <f>IF(AND(_4="B-767-400ER",'2026'!$O$4="CA",'2026'!$O$2=BN423),'2026DATA'!$I$11,"")</f>
        <v/>
      </c>
      <c r="BO432" s="518" t="str">
        <f>IF(AND(_4="B-767-400ER",'2026'!$O$4="CA",'2026'!$O$2=BO423),'2026DATA'!$J$11,"")</f>
        <v/>
      </c>
      <c r="BP432" s="518" t="str">
        <f>IF(AND(_4="B-767-400ER",'2026'!$O$4="CA",'2026'!$O$2=BP423),'2026DATA'!$K$11,"")</f>
        <v/>
      </c>
      <c r="BQ432" s="518" t="str">
        <f>IF(AND(_4="B-767-400ER",'2026'!$O$4="CA",'2026'!$O$2=BQ423),'2026DATA'!$L$11,"")</f>
        <v/>
      </c>
      <c r="BR432" s="518" t="str">
        <f>IF(AND(_4="B-767-400ER",'2026'!$O$4="CA",'2026'!$O$2=BR423),'2026DATA'!$M$11,"")</f>
        <v/>
      </c>
      <c r="BS432" s="520" t="str">
        <f>IF(AND(_4="B-767-400ER",'2026'!$O$4="CA",'2026'!$O$2=BS423),'2026DATA'!$N$11,"")</f>
        <v/>
      </c>
      <c r="BT432" s="940" t="s">
        <v>42</v>
      </c>
      <c r="BU432" s="13" t="s">
        <v>61</v>
      </c>
      <c r="BV432" s="518" t="str">
        <f>IF(AND(_5="B-767-400ER",'2026'!$O$4="CA",'2026'!$O$2=BV423),'2026DATA'!$C$11,"")</f>
        <v/>
      </c>
      <c r="BW432" s="518" t="str">
        <f>IF(AND(_5="B-767-400ER",'2026'!$O$4="CA",'2026'!$O$2=BW423),'2026DATA'!$D$11,"")</f>
        <v/>
      </c>
      <c r="BX432" s="518" t="str">
        <f>IF(AND(_5="B-767-400ER",'2026'!$O$4="CA",'2026'!$O$2=BX423),'2026DATA'!$E$11,"")</f>
        <v/>
      </c>
      <c r="BY432" s="518" t="str">
        <f>IF(AND(_5="B-767-400ER",'2026'!$O$4="CA",'2026'!$O$2=BY423),'2026DATA'!$F$11,"")</f>
        <v/>
      </c>
      <c r="BZ432" s="518" t="str">
        <f>IF(AND(_5="B-767-400ER",'2026'!$O$4="CA",'2026'!$O$2=BZ423),'2026DATA'!$G$11,"")</f>
        <v/>
      </c>
      <c r="CA432" s="518" t="str">
        <f>IF(AND(_5="B-767-400ER",'2026'!$O$4="CA",'2026'!$O$2=CA423),'2026DATA'!$H$11,"")</f>
        <v/>
      </c>
      <c r="CB432" s="518" t="str">
        <f>IF(AND(_5="B-767-400ER",'2026'!$O$4="CA",'2026'!$O$2=CB423),'2026DATA'!$I$11,"")</f>
        <v/>
      </c>
      <c r="CC432" s="518" t="str">
        <f>IF(AND(_5="B-767-400ER",'2026'!$O$4="CA",'2026'!$O$2=CC423),'2026DATA'!$J$11,"")</f>
        <v/>
      </c>
      <c r="CD432" s="518" t="str">
        <f>IF(AND(_5="B-767-400ER",'2026'!$O$4="CA",'2026'!$O$2=CD423),'2026DATA'!$K$11,"")</f>
        <v/>
      </c>
      <c r="CE432" s="518" t="str">
        <f>IF(AND(_5="B-767-400ER",'2026'!$O$4="CA",'2026'!$O$2=CE423),'2026DATA'!$L$11,"")</f>
        <v/>
      </c>
      <c r="CF432" s="518" t="str">
        <f>IF(AND(_5="B-767-400ER",'2026'!$O$4="CA",'2026'!$O$2=CF423),'2026DATA'!$M$11,"")</f>
        <v/>
      </c>
      <c r="CG432" s="520" t="str">
        <f>IF(AND(_5="B-767-400ER",'2026'!$O$4="CA",'2026'!$O$2=CG423),'2026DATA'!$N$11,"")</f>
        <v/>
      </c>
      <c r="CH432" s="940" t="s">
        <v>42</v>
      </c>
      <c r="CI432" s="13" t="s">
        <v>61</v>
      </c>
      <c r="CJ432" s="518" t="str">
        <f>IF(AND(_6="B-767-400ER",'2026'!$O$4="CA",'2026'!$O$2=CJ423),'2026DATA'!$C$11,"")</f>
        <v/>
      </c>
      <c r="CK432" s="518" t="str">
        <f>IF(AND(_6="B-767-400ER",'2026'!$O$4="CA",'2026'!$O$2=CK423),'2026DATA'!$D$11,"")</f>
        <v/>
      </c>
      <c r="CL432" s="518" t="str">
        <f>IF(AND(_6="B-767-400ER",'2026'!$O$4="CA",'2026'!$O$2=CL423),'2026DATA'!$E$11,"")</f>
        <v/>
      </c>
      <c r="CM432" s="518" t="str">
        <f>IF(AND(_6="B-767-400ER",'2026'!$O$4="CA",'2026'!$O$2=CM423),'2026DATA'!$F$11,"")</f>
        <v/>
      </c>
      <c r="CN432" s="518" t="str">
        <f>IF(AND(_6="B-767-400ER",'2026'!$O$4="CA",'2026'!$O$2=CN423),'2026DATA'!$G$11,"")</f>
        <v/>
      </c>
      <c r="CO432" s="518" t="str">
        <f>IF(AND(_6="B-767-400ER",'2026'!$O$4="CA",'2026'!$O$2=CO423),'2026DATA'!$H$11,"")</f>
        <v/>
      </c>
      <c r="CP432" s="518" t="str">
        <f>IF(AND(_6="B-767-400ER",'2026'!$O$4="CA",'2026'!$O$2=CP423),'2026DATA'!$I$11,"")</f>
        <v/>
      </c>
      <c r="CQ432" s="518" t="str">
        <f>IF(AND(_6="B-767-400ER",'2026'!$O$4="CA",'2026'!$O$2=CQ423),'2026DATA'!$J$11,"")</f>
        <v/>
      </c>
      <c r="CR432" s="518" t="str">
        <f>IF(AND(_6="B-767-400ER",'2026'!$O$4="CA",'2026'!$O$2=CR423),'2026DATA'!$K$11,"")</f>
        <v/>
      </c>
      <c r="CS432" s="518" t="str">
        <f>IF(AND(_6="B-767-400ER",'2026'!$O$4="CA",'2026'!$O$2=CS423),'2026DATA'!$L$11,"")</f>
        <v/>
      </c>
      <c r="CT432" s="518" t="str">
        <f>IF(AND(_6="B-767-400ER",'2026'!$O$4="CA",'2026'!$O$2=CT423),'2026DATA'!$M$11,"")</f>
        <v/>
      </c>
      <c r="CU432" s="520" t="str">
        <f>IF(AND(_6="B-767-400ER",'2026'!$O$4="CA",'2026'!$O$2=CU423),'2026DATA'!$N$11,"")</f>
        <v/>
      </c>
    </row>
    <row r="433" spans="16:99" x14ac:dyDescent="0.25">
      <c r="P433" s="940"/>
      <c r="Q433" s="13" t="s">
        <v>62</v>
      </c>
      <c r="R433" s="518" t="str">
        <f>IF(AND(_1="B-767-400ER",'2026'!$O$4="FO",'2026'!$O$2=R423),'2026DATA'!$C$12,"")</f>
        <v/>
      </c>
      <c r="S433" s="518" t="str">
        <f>IF(AND(_1="B-767-400ER",'2026'!$O$4="FO",'2026'!$O$2=S423),'2026DATA'!$D$12,"")</f>
        <v/>
      </c>
      <c r="T433" s="518" t="str">
        <f>IF(AND(_1="B-767-400ER",'2026'!$O$4="FO",'2026'!$O$2=T423),'2026DATA'!$E$12,"")</f>
        <v/>
      </c>
      <c r="U433" s="518" t="str">
        <f>IF(AND(_1="B-767-400ER",'2026'!$O$4="FO",'2026'!$O$2=U423),'2026DATA'!$F$12,"")</f>
        <v/>
      </c>
      <c r="V433" s="518" t="str">
        <f>IF(AND(_1="B-767-400ER",'2026'!$O$4="FO",'2026'!$O$2=V423),'2026DATA'!$G$12,"")</f>
        <v/>
      </c>
      <c r="W433" s="518" t="str">
        <f>IF(AND(_1="B-767-400ER",'2026'!$O$4="FO",'2026'!$O$2=W423),'2026DATA'!$H$12,"")</f>
        <v/>
      </c>
      <c r="X433" s="518" t="str">
        <f>IF(AND(_1="B-767-400ER",'2026'!$O$4="FO",'2026'!$O$2=X423),'2026DATA'!$I$12,"")</f>
        <v/>
      </c>
      <c r="Y433" s="518" t="str">
        <f>IF(AND(_1="B-767-400ER",'2026'!$O$4="FO",'2026'!$O$2=Y423),'2026DATA'!$J$12,"")</f>
        <v/>
      </c>
      <c r="Z433" s="518" t="str">
        <f>IF(AND(_1="B-767-400ER",'2026'!$O$4="FO",'2026'!$O$2=Z423),'2026DATA'!$K$12,"")</f>
        <v/>
      </c>
      <c r="AA433" s="518" t="str">
        <f>IF(AND(_1="B-767-400ER",'2026'!$O$4="FO",'2026'!$O$2=AA423),'2026DATA'!$L$12,"")</f>
        <v/>
      </c>
      <c r="AB433" s="518" t="str">
        <f>IF(AND(_1="B-767-400ER",'2026'!$O$4="FO",'2026'!$O$2=AB423),'2026DATA'!$M$12,"")</f>
        <v/>
      </c>
      <c r="AC433" s="520" t="str">
        <f>IF(AND(_1="B-767-400ER",'2026'!$O$4="FO",'2026'!$O$2=AC423),'2026DATA'!$N$12,"")</f>
        <v/>
      </c>
      <c r="AD433" s="940"/>
      <c r="AE433" s="13" t="s">
        <v>62</v>
      </c>
      <c r="AF433" s="518" t="str">
        <f>IF(AND(_2="B-767-400ER",'2026'!$O$4="FO",'2026'!$O$2=AF423),'2026DATA'!$C$12,"")</f>
        <v/>
      </c>
      <c r="AG433" s="518" t="str">
        <f>IF(AND(_2="B-767-400ER",'2026'!$O$4="FO",'2026'!$O$2=AG423),'2026DATA'!$D$12,"")</f>
        <v/>
      </c>
      <c r="AH433" s="518" t="str">
        <f>IF(AND(_2="B-767-400ER",'2026'!$O$4="FO",'2026'!$O$2=AH423),'2026DATA'!$E$12,"")</f>
        <v/>
      </c>
      <c r="AI433" s="518" t="str">
        <f>IF(AND(_2="B-767-400ER",'2026'!$O$4="FO",'2026'!$O$2=AI423),'2026DATA'!$F$12,"")</f>
        <v/>
      </c>
      <c r="AJ433" s="518" t="str">
        <f>IF(AND(_2="B-767-400ER",'2026'!$O$4="FO",'2026'!$O$2=AJ423),'2026DATA'!$G$12,"")</f>
        <v/>
      </c>
      <c r="AK433" s="518" t="str">
        <f>IF(AND(_2="B-767-400ER",'2026'!$O$4="FO",'2026'!$O$2=AK423),'2026DATA'!$H$12,"")</f>
        <v/>
      </c>
      <c r="AL433" s="518" t="str">
        <f>IF(AND(_2="B-767-400ER",'2026'!$O$4="FO",'2026'!$O$2=AL423),'2026DATA'!$I$12,"")</f>
        <v/>
      </c>
      <c r="AM433" s="518" t="str">
        <f>IF(AND(_2="B-767-400ER",'2026'!$O$4="FO",'2026'!$O$2=AM423),'2026DATA'!$J$12,"")</f>
        <v/>
      </c>
      <c r="AN433" s="518" t="str">
        <f>IF(AND(_2="B-767-400ER",'2026'!$O$4="FO",'2026'!$O$2=AN423),'2026DATA'!$K$12,"")</f>
        <v/>
      </c>
      <c r="AO433" s="518" t="str">
        <f>IF(AND(_2="B-767-400ER",'2026'!$O$4="FO",'2026'!$O$2=AO423),'2026DATA'!$L$12,"")</f>
        <v/>
      </c>
      <c r="AP433" s="518" t="str">
        <f>IF(AND(_2="B-767-400ER",'2026'!$O$4="FO",'2026'!$O$2=AP423),'2026DATA'!$M$12,"")</f>
        <v/>
      </c>
      <c r="AQ433" s="520" t="str">
        <f>IF(AND(_2="B-767-400ER",'2026'!$O$4="FO",'2026'!$O$2=AQ423),'2026DATA'!$N$12,"")</f>
        <v/>
      </c>
      <c r="AR433" s="940"/>
      <c r="AS433" s="13" t="s">
        <v>62</v>
      </c>
      <c r="AT433" s="518" t="str">
        <f>IF(AND(_3="B-767-400ER",'2026'!$O$4="FO",'2026'!$O$2=AT423),'2026DATA'!$C$12,"")</f>
        <v/>
      </c>
      <c r="AU433" s="518" t="str">
        <f>IF(AND(_3="B-767-400ER",'2026'!$O$4="FO",'2026'!$O$2=AU423),'2026DATA'!$D$12,"")</f>
        <v/>
      </c>
      <c r="AV433" s="518" t="str">
        <f>IF(AND(_3="B-767-400ER",'2026'!$O$4="FO",'2026'!$O$2=AV423),'2026DATA'!$E$12,"")</f>
        <v/>
      </c>
      <c r="AW433" s="518" t="str">
        <f>IF(AND(_3="B-767-400ER",'2026'!$O$4="FO",'2026'!$O$2=AW423),'2026DATA'!$F$12,"")</f>
        <v/>
      </c>
      <c r="AX433" s="518" t="str">
        <f>IF(AND(_3="B-767-400ER",'2026'!$O$4="FO",'2026'!$O$2=AX423),'2026DATA'!$G$12,"")</f>
        <v/>
      </c>
      <c r="AY433" s="518" t="str">
        <f>IF(AND(_3="B-767-400ER",'2026'!$O$4="FO",'2026'!$O$2=AY423),'2026DATA'!$H$12,"")</f>
        <v/>
      </c>
      <c r="AZ433" s="518" t="str">
        <f>IF(AND(_3="B-767-400ER",'2026'!$O$4="FO",'2026'!$O$2=AZ423),'2026DATA'!$I$12,"")</f>
        <v/>
      </c>
      <c r="BA433" s="518" t="str">
        <f>IF(AND(_3="B-767-400ER",'2026'!$O$4="FO",'2026'!$O$2=BA423),'2026DATA'!$J$12,"")</f>
        <v/>
      </c>
      <c r="BB433" s="518" t="str">
        <f>IF(AND(_3="B-767-400ER",'2026'!$O$4="FO",'2026'!$O$2=BB423),'2026DATA'!$K$12,"")</f>
        <v/>
      </c>
      <c r="BC433" s="518" t="str">
        <f>IF(AND(_3="B-767-400ER",'2026'!$O$4="FO",'2026'!$O$2=BC423),'2026DATA'!$L$12,"")</f>
        <v/>
      </c>
      <c r="BD433" s="518" t="str">
        <f>IF(AND(_3="B-767-400ER",'2026'!$O$4="FO",'2026'!$O$2=BD423),'2026DATA'!$M$12,"")</f>
        <v/>
      </c>
      <c r="BE433" s="520" t="str">
        <f>IF(AND(_3="B-767-400ER",'2026'!$O$4="FO",'2026'!$O$2=BE423),'2026DATA'!$N$12,"")</f>
        <v/>
      </c>
      <c r="BF433" s="940"/>
      <c r="BG433" s="13" t="s">
        <v>62</v>
      </c>
      <c r="BH433" s="518" t="str">
        <f>IF(AND(_4="B-767-400ER",'2026'!$O$4="FO",'2026'!$O$2=BH423),'2026DATA'!$C$12,"")</f>
        <v/>
      </c>
      <c r="BI433" s="518" t="str">
        <f>IF(AND(_4="B-767-400ER",'2026'!$O$4="FO",'2026'!$O$2=BI423),'2026DATA'!$D$12,"")</f>
        <v/>
      </c>
      <c r="BJ433" s="518" t="str">
        <f>IF(AND(_4="B-767-400ER",'2026'!$O$4="FO",'2026'!$O$2=BJ423),'2026DATA'!$E$12,"")</f>
        <v/>
      </c>
      <c r="BK433" s="518" t="str">
        <f>IF(AND(_4="B-767-400ER",'2026'!$O$4="FO",'2026'!$O$2=BK423),'2026DATA'!$F$12,"")</f>
        <v/>
      </c>
      <c r="BL433" s="518" t="str">
        <f>IF(AND(_4="B-767-400ER",'2026'!$O$4="FO",'2026'!$O$2=BL423),'2026DATA'!$G$12,"")</f>
        <v/>
      </c>
      <c r="BM433" s="518" t="str">
        <f>IF(AND(_4="B-767-400ER",'2026'!$O$4="FO",'2026'!$O$2=BM423),'2026DATA'!$H$12,"")</f>
        <v/>
      </c>
      <c r="BN433" s="518" t="str">
        <f>IF(AND(_4="B-767-400ER",'2026'!$O$4="FO",'2026'!$O$2=BN423),'2026DATA'!$I$12,"")</f>
        <v/>
      </c>
      <c r="BO433" s="518" t="str">
        <f>IF(AND(_4="B-767-400ER",'2026'!$O$4="FO",'2026'!$O$2=BO423),'2026DATA'!$J$12,"")</f>
        <v/>
      </c>
      <c r="BP433" s="518" t="str">
        <f>IF(AND(_4="B-767-400ER",'2026'!$O$4="FO",'2026'!$O$2=BP423),'2026DATA'!$K$12,"")</f>
        <v/>
      </c>
      <c r="BQ433" s="518" t="str">
        <f>IF(AND(_4="B-767-400ER",'2026'!$O$4="FO",'2026'!$O$2=BQ423),'2026DATA'!$L$12,"")</f>
        <v/>
      </c>
      <c r="BR433" s="518" t="str">
        <f>IF(AND(_4="B-767-400ER",'2026'!$O$4="FO",'2026'!$O$2=BR423),'2026DATA'!$M$12,"")</f>
        <v/>
      </c>
      <c r="BS433" s="520" t="str">
        <f>IF(AND(_4="B-767-400ER",'2026'!$O$4="FO",'2026'!$O$2=BS423),'2026DATA'!$N$12,"")</f>
        <v/>
      </c>
      <c r="BT433" s="940"/>
      <c r="BU433" s="13" t="s">
        <v>62</v>
      </c>
      <c r="BV433" s="518" t="str">
        <f>IF(AND(_5="B-767-400ER",'2026'!$O$4="FO",'2026'!$O$2=BV423),'2026DATA'!$C$12,"")</f>
        <v/>
      </c>
      <c r="BW433" s="518" t="str">
        <f>IF(AND(_5="B-767-400ER",'2026'!$O$4="FO",'2026'!$O$2=BW423),'2026DATA'!$D$12,"")</f>
        <v/>
      </c>
      <c r="BX433" s="518" t="str">
        <f>IF(AND(_5="B-767-400ER",'2026'!$O$4="FO",'2026'!$O$2=BX423),'2026DATA'!$E$12,"")</f>
        <v/>
      </c>
      <c r="BY433" s="518" t="str">
        <f>IF(AND(_5="B-767-400ER",'2026'!$O$4="FO",'2026'!$O$2=BY423),'2026DATA'!$F$12,"")</f>
        <v/>
      </c>
      <c r="BZ433" s="518" t="str">
        <f>IF(AND(_5="B-767-400ER",'2026'!$O$4="FO",'2026'!$O$2=BZ423),'2026DATA'!$G$12,"")</f>
        <v/>
      </c>
      <c r="CA433" s="518" t="str">
        <f>IF(AND(_5="B-767-400ER",'2026'!$O$4="FO",'2026'!$O$2=CA423),'2026DATA'!$H$12,"")</f>
        <v/>
      </c>
      <c r="CB433" s="518" t="str">
        <f>IF(AND(_5="B-767-400ER",'2026'!$O$4="FO",'2026'!$O$2=CB423),'2026DATA'!$I$12,"")</f>
        <v/>
      </c>
      <c r="CC433" s="518" t="str">
        <f>IF(AND(_5="B-767-400ER",'2026'!$O$4="FO",'2026'!$O$2=CC423),'2026DATA'!$J$12,"")</f>
        <v/>
      </c>
      <c r="CD433" s="518" t="str">
        <f>IF(AND(_5="B-767-400ER",'2026'!$O$4="FO",'2026'!$O$2=CD423),'2026DATA'!$K$12,"")</f>
        <v/>
      </c>
      <c r="CE433" s="518" t="str">
        <f>IF(AND(_5="B-767-400ER",'2026'!$O$4="FO",'2026'!$O$2=CE423),'2026DATA'!$L$12,"")</f>
        <v/>
      </c>
      <c r="CF433" s="518" t="str">
        <f>IF(AND(_5="B-767-400ER",'2026'!$O$4="FO",'2026'!$O$2=CF423),'2026DATA'!$M$12,"")</f>
        <v/>
      </c>
      <c r="CG433" s="520" t="str">
        <f>IF(AND(_5="B-767-400ER",'2026'!$O$4="FO",'2026'!$O$2=CG423),'2026DATA'!$N$12,"")</f>
        <v/>
      </c>
      <c r="CH433" s="940"/>
      <c r="CI433" s="13" t="s">
        <v>62</v>
      </c>
      <c r="CJ433" s="518" t="str">
        <f>IF(AND(_6="B-767-400ER",'2026'!$O$4="FO",'2026'!$O$2=CJ423),'2026DATA'!$C$12,"")</f>
        <v/>
      </c>
      <c r="CK433" s="518" t="str">
        <f>IF(AND(_6="B-767-400ER",'2026'!$O$4="FO",'2026'!$O$2=CK423),'2026DATA'!$D$12,"")</f>
        <v/>
      </c>
      <c r="CL433" s="518" t="str">
        <f>IF(AND(_6="B-767-400ER",'2026'!$O$4="FO",'2026'!$O$2=CL423),'2026DATA'!$E$12,"")</f>
        <v/>
      </c>
      <c r="CM433" s="518" t="str">
        <f>IF(AND(_6="B-767-400ER",'2026'!$O$4="FO",'2026'!$O$2=CM423),'2026DATA'!$F$12,"")</f>
        <v/>
      </c>
      <c r="CN433" s="518" t="str">
        <f>IF(AND(_6="B-767-400ER",'2026'!$O$4="FO",'2026'!$O$2=CN423),'2026DATA'!$G$12,"")</f>
        <v/>
      </c>
      <c r="CO433" s="518" t="str">
        <f>IF(AND(_6="B-767-400ER",'2026'!$O$4="FO",'2026'!$O$2=CO423),'2026DATA'!$H$12,"")</f>
        <v/>
      </c>
      <c r="CP433" s="518" t="str">
        <f>IF(AND(_6="B-767-400ER",'2026'!$O$4="FO",'2026'!$O$2=CP423),'2026DATA'!$I$12,"")</f>
        <v/>
      </c>
      <c r="CQ433" s="518" t="str">
        <f>IF(AND(_6="B-767-400ER",'2026'!$O$4="FO",'2026'!$O$2=CQ423),'2026DATA'!$J$12,"")</f>
        <v/>
      </c>
      <c r="CR433" s="518" t="str">
        <f>IF(AND(_6="B-767-400ER",'2026'!$O$4="FO",'2026'!$O$2=CR423),'2026DATA'!$K$12,"")</f>
        <v/>
      </c>
      <c r="CS433" s="518" t="str">
        <f>IF(AND(_6="B-767-400ER",'2026'!$O$4="FO",'2026'!$O$2=CS423),'2026DATA'!$L$12,"")</f>
        <v/>
      </c>
      <c r="CT433" s="518" t="str">
        <f>IF(AND(_6="B-767-400ER",'2026'!$O$4="FO",'2026'!$O$2=CT423),'2026DATA'!$M$12,"")</f>
        <v/>
      </c>
      <c r="CU433" s="520" t="str">
        <f>IF(AND(_6="B-767-400ER",'2026'!$O$4="FO",'2026'!$O$2=CU423),'2026DATA'!$N$12,"")</f>
        <v/>
      </c>
    </row>
    <row r="434" spans="16:99" x14ac:dyDescent="0.25">
      <c r="P434" s="940" t="s">
        <v>43</v>
      </c>
      <c r="Q434" s="13" t="s">
        <v>61</v>
      </c>
      <c r="R434" s="518" t="str">
        <f>IF(AND(_1="B-767-300ER",'2026'!$O$4="CA",'2026'!$O$2=R423),'2026DATA'!$C$13,"")</f>
        <v/>
      </c>
      <c r="S434" s="518" t="str">
        <f>IF(AND(_1="B-767-300ER",'2026'!$O$4="CA",'2026'!$O$2=S423),'2026DATA'!$D$13,"")</f>
        <v/>
      </c>
      <c r="T434" s="518" t="str">
        <f>IF(AND(_1="B-767-300ER",'2026'!$O$4="CA",'2026'!$O$2=T423),'2026DATA'!$E$13,"")</f>
        <v/>
      </c>
      <c r="U434" s="518" t="str">
        <f>IF(AND(_1="B-767-300ER",'2026'!$O$4="CA",'2026'!$O$2=U423),'2026DATA'!$F$13,"")</f>
        <v/>
      </c>
      <c r="V434" s="518" t="str">
        <f>IF(AND(_1="B-767-300ER",'2026'!$O$4="CA",'2026'!$O$2=V423),'2026DATA'!$G$13,"")</f>
        <v/>
      </c>
      <c r="W434" s="518" t="str">
        <f>IF(AND(_1="B-767-300ER",'2026'!$O$4="CA",'2026'!$O$2=W423),'2026DATA'!$H$13,"")</f>
        <v/>
      </c>
      <c r="X434" s="518" t="str">
        <f>IF(AND(_1="B-767-300ER",'2026'!$O$4="CA",'2026'!$O$2=X423),'2026DATA'!$I$13,"")</f>
        <v/>
      </c>
      <c r="Y434" s="518" t="str">
        <f>IF(AND(_1="B-767-300ER",'2026'!$O$4="CA",'2026'!$O$2=Y423),'2026DATA'!$J$13,"")</f>
        <v/>
      </c>
      <c r="Z434" s="518" t="str">
        <f>IF(AND(_1="B-767-300ER",'2026'!$O$4="CA",'2026'!$O$2=Z423),'2026DATA'!$K$13,"")</f>
        <v/>
      </c>
      <c r="AA434" s="518" t="str">
        <f>IF(AND(_1="B-767-300ER",'2026'!$O$4="CA",'2026'!$O$2=AA423),'2026DATA'!$L$13,"")</f>
        <v/>
      </c>
      <c r="AB434" s="518" t="str">
        <f>IF(AND(_1="B-767-300ER",'2026'!$O$4="CA",'2026'!$O$2=AB423),'2026DATA'!$M$13,"")</f>
        <v/>
      </c>
      <c r="AC434" s="520" t="str">
        <f>IF(AND(_1="B-767-300ER",'2026'!$O$4="CA",'2026'!$O$2=AC423),'2026DATA'!$N$13,"")</f>
        <v/>
      </c>
      <c r="AD434" s="940" t="s">
        <v>43</v>
      </c>
      <c r="AE434" s="13" t="s">
        <v>61</v>
      </c>
      <c r="AF434" s="518" t="str">
        <f>IF(AND(_2="B-767-300ER",'2026'!$O$4="CA",'2026'!$O$2=AF423),'2026DATA'!$C$13,"")</f>
        <v/>
      </c>
      <c r="AG434" s="518" t="str">
        <f>IF(AND(_2="B-767-300ER",'2026'!$O$4="CA",'2026'!$O$2=AG423),'2026DATA'!$D$13,"")</f>
        <v/>
      </c>
      <c r="AH434" s="518" t="str">
        <f>IF(AND(_2="B-767-300ER",'2026'!$O$4="CA",'2026'!$O$2=AH423),'2026DATA'!$E$13,"")</f>
        <v/>
      </c>
      <c r="AI434" s="518" t="str">
        <f>IF(AND(_2="B-767-300ER",'2026'!$O$4="CA",'2026'!$O$2=AI423),'2026DATA'!$F$13,"")</f>
        <v/>
      </c>
      <c r="AJ434" s="518" t="str">
        <f>IF(AND(_2="B-767-300ER",'2026'!$O$4="CA",'2026'!$O$2=AJ423),'2026DATA'!$G$13,"")</f>
        <v/>
      </c>
      <c r="AK434" s="518" t="str">
        <f>IF(AND(_2="B-767-300ER",'2026'!$O$4="CA",'2026'!$O$2=AK423),'2026DATA'!$H$13,"")</f>
        <v/>
      </c>
      <c r="AL434" s="518" t="str">
        <f>IF(AND(_2="B-767-300ER",'2026'!$O$4="CA",'2026'!$O$2=AL423),'2026DATA'!$I$13,"")</f>
        <v/>
      </c>
      <c r="AM434" s="518" t="str">
        <f>IF(AND(_2="B-767-300ER",'2026'!$O$4="CA",'2026'!$O$2=AM423),'2026DATA'!$J$13,"")</f>
        <v/>
      </c>
      <c r="AN434" s="518" t="str">
        <f>IF(AND(_2="B-767-300ER",'2026'!$O$4="CA",'2026'!$O$2=AN423),'2026DATA'!$K$13,"")</f>
        <v/>
      </c>
      <c r="AO434" s="518" t="str">
        <f>IF(AND(_2="B-767-300ER",'2026'!$O$4="CA",'2026'!$O$2=AO423),'2026DATA'!$L$13,"")</f>
        <v/>
      </c>
      <c r="AP434" s="518" t="str">
        <f>IF(AND(_2="B-767-300ER",'2026'!$O$4="CA",'2026'!$O$2=AP423),'2026DATA'!$M$13,"")</f>
        <v/>
      </c>
      <c r="AQ434" s="520" t="str">
        <f>IF(AND(_2="B-767-300ER",'2026'!$O$4="CA",'2026'!$O$2=AQ423),'2026DATA'!$N$13,"")</f>
        <v/>
      </c>
      <c r="AR434" s="940" t="s">
        <v>43</v>
      </c>
      <c r="AS434" s="13" t="s">
        <v>61</v>
      </c>
      <c r="AT434" s="518" t="str">
        <f>IF(AND(_3="B-767-300ER",'2026'!$O$4="CA",'2026'!$O$2=AT423),'2026DATA'!$C$13,"")</f>
        <v/>
      </c>
      <c r="AU434" s="518" t="str">
        <f>IF(AND(_3="B-767-300ER",'2026'!$O$4="CA",'2026'!$O$2=AU423),'2026DATA'!$D$13,"")</f>
        <v/>
      </c>
      <c r="AV434" s="518" t="str">
        <f>IF(AND(_3="B-767-300ER",'2026'!$O$4="CA",'2026'!$O$2=AV423),'2026DATA'!$E$13,"")</f>
        <v/>
      </c>
      <c r="AW434" s="518" t="str">
        <f>IF(AND(_3="B-767-300ER",'2026'!$O$4="CA",'2026'!$O$2=AW423),'2026DATA'!$F$13,"")</f>
        <v/>
      </c>
      <c r="AX434" s="518" t="str">
        <f>IF(AND(_3="B-767-300ER",'2026'!$O$4="CA",'2026'!$O$2=AX423),'2026DATA'!$G$13,"")</f>
        <v/>
      </c>
      <c r="AY434" s="518" t="str">
        <f>IF(AND(_3="B-767-300ER",'2026'!$O$4="CA",'2026'!$O$2=AY423),'2026DATA'!$H$13,"")</f>
        <v/>
      </c>
      <c r="AZ434" s="518" t="str">
        <f>IF(AND(_3="B-767-300ER",'2026'!$O$4="CA",'2026'!$O$2=AZ423),'2026DATA'!$I$13,"")</f>
        <v/>
      </c>
      <c r="BA434" s="518" t="str">
        <f>IF(AND(_3="B-767-300ER",'2026'!$O$4="CA",'2026'!$O$2=BA423),'2026DATA'!$J$13,"")</f>
        <v/>
      </c>
      <c r="BB434" s="518" t="str">
        <f>IF(AND(_3="B-767-300ER",'2026'!$O$4="CA",'2026'!$O$2=BB423),'2026DATA'!$K$13,"")</f>
        <v/>
      </c>
      <c r="BC434" s="518" t="str">
        <f>IF(AND(_3="B-767-300ER",'2026'!$O$4="CA",'2026'!$O$2=BC423),'2026DATA'!$L$13,"")</f>
        <v/>
      </c>
      <c r="BD434" s="518" t="str">
        <f>IF(AND(_3="B-767-300ER",'2026'!$O$4="CA",'2026'!$O$2=BD423),'2026DATA'!$M$13,"")</f>
        <v/>
      </c>
      <c r="BE434" s="520" t="str">
        <f>IF(AND(_3="B-767-300ER",'2026'!$O$4="CA",'2026'!$O$2=BE423),'2026DATA'!$N$13,"")</f>
        <v/>
      </c>
      <c r="BF434" s="940" t="s">
        <v>43</v>
      </c>
      <c r="BG434" s="13" t="s">
        <v>61</v>
      </c>
      <c r="BH434" s="518" t="str">
        <f>IF(AND(_4="B-767-300ER",'2026'!$O$4="CA",'2026'!$O$2=BH423),'2026DATA'!$C$13,"")</f>
        <v/>
      </c>
      <c r="BI434" s="518" t="str">
        <f>IF(AND(_4="B-767-300ER",'2026'!$O$4="CA",'2026'!$O$2=BI423),'2026DATA'!$D$13,"")</f>
        <v/>
      </c>
      <c r="BJ434" s="518" t="str">
        <f>IF(AND(_4="B-767-300ER",'2026'!$O$4="CA",'2026'!$O$2=BJ423),'2026DATA'!$E$13,"")</f>
        <v/>
      </c>
      <c r="BK434" s="518" t="str">
        <f>IF(AND(_4="B-767-300ER",'2026'!$O$4="CA",'2026'!$O$2=BK423),'2026DATA'!$F$13,"")</f>
        <v/>
      </c>
      <c r="BL434" s="518" t="str">
        <f>IF(AND(_4="B-767-300ER",'2026'!$O$4="CA",'2026'!$O$2=BL423),'2026DATA'!$G$13,"")</f>
        <v/>
      </c>
      <c r="BM434" s="518" t="str">
        <f>IF(AND(_4="B-767-300ER",'2026'!$O$4="CA",'2026'!$O$2=BM423),'2026DATA'!$H$13,"")</f>
        <v/>
      </c>
      <c r="BN434" s="518" t="str">
        <f>IF(AND(_4="B-767-300ER",'2026'!$O$4="CA",'2026'!$O$2=BN423),'2026DATA'!$I$13,"")</f>
        <v/>
      </c>
      <c r="BO434" s="518" t="str">
        <f>IF(AND(_4="B-767-300ER",'2026'!$O$4="CA",'2026'!$O$2=BO423),'2026DATA'!$J$13,"")</f>
        <v/>
      </c>
      <c r="BP434" s="518" t="str">
        <f>IF(AND(_4="B-767-300ER",'2026'!$O$4="CA",'2026'!$O$2=BP423),'2026DATA'!$K$13,"")</f>
        <v/>
      </c>
      <c r="BQ434" s="518" t="str">
        <f>IF(AND(_4="B-767-300ER",'2026'!$O$4="CA",'2026'!$O$2=BQ423),'2026DATA'!$L$13,"")</f>
        <v/>
      </c>
      <c r="BR434" s="518" t="str">
        <f>IF(AND(_4="B-767-300ER",'2026'!$O$4="CA",'2026'!$O$2=BR423),'2026DATA'!$M$13,"")</f>
        <v/>
      </c>
      <c r="BS434" s="520" t="str">
        <f>IF(AND(_4="B-767-300ER",'2026'!$O$4="CA",'2026'!$O$2=BS423),'2026DATA'!$N$13,"")</f>
        <v/>
      </c>
      <c r="BT434" s="940" t="s">
        <v>43</v>
      </c>
      <c r="BU434" s="13" t="s">
        <v>61</v>
      </c>
      <c r="BV434" s="518" t="str">
        <f>IF(AND(_5="B-767-300ER",'2026'!$O$4="CA",'2026'!$O$2=BV423),'2026DATA'!$C$13,"")</f>
        <v/>
      </c>
      <c r="BW434" s="518" t="str">
        <f>IF(AND(_5="B-767-300ER",'2026'!$O$4="CA",'2026'!$O$2=BW423),'2026DATA'!$D$13,"")</f>
        <v/>
      </c>
      <c r="BX434" s="518" t="str">
        <f>IF(AND(_5="B-767-300ER",'2026'!$O$4="CA",'2026'!$O$2=BX423),'2026DATA'!$E$13,"")</f>
        <v/>
      </c>
      <c r="BY434" s="518" t="str">
        <f>IF(AND(_5="B-767-300ER",'2026'!$O$4="CA",'2026'!$O$2=BY423),'2026DATA'!$F$13,"")</f>
        <v/>
      </c>
      <c r="BZ434" s="518" t="str">
        <f>IF(AND(_5="B-767-300ER",'2026'!$O$4="CA",'2026'!$O$2=BZ423),'2026DATA'!$G$13,"")</f>
        <v/>
      </c>
      <c r="CA434" s="518" t="str">
        <f>IF(AND(_5="B-767-300ER",'2026'!$O$4="CA",'2026'!$O$2=CA423),'2026DATA'!$H$13,"")</f>
        <v/>
      </c>
      <c r="CB434" s="518" t="str">
        <f>IF(AND(_5="B-767-300ER",'2026'!$O$4="CA",'2026'!$O$2=CB423),'2026DATA'!$I$13,"")</f>
        <v/>
      </c>
      <c r="CC434" s="518" t="str">
        <f>IF(AND(_5="B-767-300ER",'2026'!$O$4="CA",'2026'!$O$2=CC423),'2026DATA'!$J$13,"")</f>
        <v/>
      </c>
      <c r="CD434" s="518" t="str">
        <f>IF(AND(_5="B-767-300ER",'2026'!$O$4="CA",'2026'!$O$2=CD423),'2026DATA'!$K$13,"")</f>
        <v/>
      </c>
      <c r="CE434" s="518" t="str">
        <f>IF(AND(_5="B-767-300ER",'2026'!$O$4="CA",'2026'!$O$2=CE423),'2026DATA'!$L$13,"")</f>
        <v/>
      </c>
      <c r="CF434" s="518" t="str">
        <f>IF(AND(_5="B-767-300ER",'2026'!$O$4="CA",'2026'!$O$2=CF423),'2026DATA'!$M$13,"")</f>
        <v/>
      </c>
      <c r="CG434" s="520" t="str">
        <f>IF(AND(_5="B-767-300ER",'2026'!$O$4="CA",'2026'!$O$2=CG423),'2026DATA'!$N$13,"")</f>
        <v/>
      </c>
      <c r="CH434" s="940" t="s">
        <v>43</v>
      </c>
      <c r="CI434" s="13" t="s">
        <v>61</v>
      </c>
      <c r="CJ434" s="518" t="str">
        <f>IF(AND(_6="B-767-300ER",'2026'!$O$4="CA",'2026'!$O$2=CJ423),'2026DATA'!$C$13,"")</f>
        <v/>
      </c>
      <c r="CK434" s="518" t="str">
        <f>IF(AND(_6="B-767-300ER",'2026'!$O$4="CA",'2026'!$O$2=CK423),'2026DATA'!$D$13,"")</f>
        <v/>
      </c>
      <c r="CL434" s="518" t="str">
        <f>IF(AND(_6="B-767-300ER",'2026'!$O$4="CA",'2026'!$O$2=CL423),'2026DATA'!$E$13,"")</f>
        <v/>
      </c>
      <c r="CM434" s="518" t="str">
        <f>IF(AND(_6="B-767-300ER",'2026'!$O$4="CA",'2026'!$O$2=CM423),'2026DATA'!$F$13,"")</f>
        <v/>
      </c>
      <c r="CN434" s="518" t="str">
        <f>IF(AND(_6="B-767-300ER",'2026'!$O$4="CA",'2026'!$O$2=CN423),'2026DATA'!$G$13,"")</f>
        <v/>
      </c>
      <c r="CO434" s="518" t="str">
        <f>IF(AND(_6="B-767-300ER",'2026'!$O$4="CA",'2026'!$O$2=CO423),'2026DATA'!$H$13,"")</f>
        <v/>
      </c>
      <c r="CP434" s="518" t="str">
        <f>IF(AND(_6="B-767-300ER",'2026'!$O$4="CA",'2026'!$O$2=CP423),'2026DATA'!$I$13,"")</f>
        <v/>
      </c>
      <c r="CQ434" s="518" t="str">
        <f>IF(AND(_6="B-767-300ER",'2026'!$O$4="CA",'2026'!$O$2=CQ423),'2026DATA'!$J$13,"")</f>
        <v/>
      </c>
      <c r="CR434" s="518" t="str">
        <f>IF(AND(_6="B-767-300ER",'2026'!$O$4="CA",'2026'!$O$2=CR423),'2026DATA'!$K$13,"")</f>
        <v/>
      </c>
      <c r="CS434" s="518" t="str">
        <f>IF(AND(_6="B-767-300ER",'2026'!$O$4="CA",'2026'!$O$2=CS423),'2026DATA'!$L$13,"")</f>
        <v/>
      </c>
      <c r="CT434" s="518" t="str">
        <f>IF(AND(_6="B-767-300ER",'2026'!$O$4="CA",'2026'!$O$2=CT423),'2026DATA'!$M$13,"")</f>
        <v/>
      </c>
      <c r="CU434" s="520" t="str">
        <f>IF(AND(_6="B-767-300ER",'2026'!$O$4="CA",'2026'!$O$2=CU423),'2026DATA'!$N$13,"")</f>
        <v/>
      </c>
    </row>
    <row r="435" spans="16:99" x14ac:dyDescent="0.25">
      <c r="P435" s="940"/>
      <c r="Q435" s="13" t="s">
        <v>62</v>
      </c>
      <c r="R435" s="518" t="str">
        <f>IF(AND(_1="B-767-300ER",'2026'!$O$4="FO",'2026'!$O$2=R423),'2026DATA'!$C$14,"")</f>
        <v/>
      </c>
      <c r="S435" s="518" t="str">
        <f>IF(AND(_1="B-767-300ER",'2026'!$O$4="FO",'2026'!$O$2=S423),'2026DATA'!$D$14,"")</f>
        <v/>
      </c>
      <c r="T435" s="518" t="str">
        <f>IF(AND(_1="B-767-300ER",'2026'!$O$4="FO",'2026'!$O$2=T423),'2026DATA'!$E$14,"")</f>
        <v/>
      </c>
      <c r="U435" s="518" t="str">
        <f>IF(AND(_1="B-767-300ER",'2026'!$O$4="FO",'2026'!$O$2=U423),'2026DATA'!$F$14,"")</f>
        <v/>
      </c>
      <c r="V435" s="518" t="str">
        <f>IF(AND(_1="B-767-300ER",'2026'!$O$4="FO",'2026'!$O$2=V423),'2026DATA'!$G$14,"")</f>
        <v/>
      </c>
      <c r="W435" s="518" t="str">
        <f>IF(AND(_1="B-767-300ER",'2026'!$O$4="FO",'2026'!$O$2=W423),'2026DATA'!$H$14,"")</f>
        <v/>
      </c>
      <c r="X435" s="518" t="str">
        <f>IF(AND(_1="B-767-300ER",'2026'!$O$4="FO",'2026'!$O$2=X423),'2026DATA'!$I$14,"")</f>
        <v/>
      </c>
      <c r="Y435" s="518" t="str">
        <f>IF(AND(_1="B-767-300ER",'2026'!$O$4="FO",'2026'!$O$2=Y423),'2026DATA'!$J$14,"")</f>
        <v/>
      </c>
      <c r="Z435" s="518" t="str">
        <f>IF(AND(_1="B-767-300ER",'2026'!$O$4="FO",'2026'!$O$2=Z423),'2026DATA'!$K$14,"")</f>
        <v/>
      </c>
      <c r="AA435" s="518" t="str">
        <f>IF(AND(_1="B-767-300ER",'2026'!$O$4="FO",'2026'!$O$2=AA423),'2026DATA'!$L$14,"")</f>
        <v/>
      </c>
      <c r="AB435" s="518" t="str">
        <f>IF(AND(_1="B-767-300ER",'2026'!$O$4="FO",'2026'!$O$2=AB423),'2026DATA'!$M$14,"")</f>
        <v/>
      </c>
      <c r="AC435" s="520" t="str">
        <f>IF(AND(_1="B-767-300ER",'2026'!$O$4="FO",'2026'!$O$2=AC423),'2026DATA'!$N$14,"")</f>
        <v/>
      </c>
      <c r="AD435" s="940"/>
      <c r="AE435" s="13" t="s">
        <v>62</v>
      </c>
      <c r="AF435" s="518" t="str">
        <f>IF(AND(_2="B-767-300ER",'2026'!$O$4="FO",'2026'!$O$2=AF423),'2026DATA'!$C$14,"")</f>
        <v/>
      </c>
      <c r="AG435" s="518" t="str">
        <f>IF(AND(_2="B-767-300ER",'2026'!$O$4="FO",'2026'!$O$2=AG423),'2026DATA'!$D$14,"")</f>
        <v/>
      </c>
      <c r="AH435" s="518" t="str">
        <f>IF(AND(_2="B-767-300ER",'2026'!$O$4="FO",'2026'!$O$2=AH423),'2026DATA'!$E$14,"")</f>
        <v/>
      </c>
      <c r="AI435" s="518" t="str">
        <f>IF(AND(_2="B-767-300ER",'2026'!$O$4="FO",'2026'!$O$2=AI423),'2026DATA'!$F$14,"")</f>
        <v/>
      </c>
      <c r="AJ435" s="518" t="str">
        <f>IF(AND(_2="B-767-300ER",'2026'!$O$4="FO",'2026'!$O$2=AJ423),'2026DATA'!$G$14,"")</f>
        <v/>
      </c>
      <c r="AK435" s="518" t="str">
        <f>IF(AND(_2="B-767-300ER",'2026'!$O$4="FO",'2026'!$O$2=AK423),'2026DATA'!$H$14,"")</f>
        <v/>
      </c>
      <c r="AL435" s="518" t="str">
        <f>IF(AND(_2="B-767-300ER",'2026'!$O$4="FO",'2026'!$O$2=AL423),'2026DATA'!$I$14,"")</f>
        <v/>
      </c>
      <c r="AM435" s="518" t="str">
        <f>IF(AND(_2="B-767-300ER",'2026'!$O$4="FO",'2026'!$O$2=AM423),'2026DATA'!$J$14,"")</f>
        <v/>
      </c>
      <c r="AN435" s="518" t="str">
        <f>IF(AND(_2="B-767-300ER",'2026'!$O$4="FO",'2026'!$O$2=AN423),'2026DATA'!$K$14,"")</f>
        <v/>
      </c>
      <c r="AO435" s="518" t="str">
        <f>IF(AND(_2="B-767-300ER",'2026'!$O$4="FO",'2026'!$O$2=AO423),'2026DATA'!$L$14,"")</f>
        <v/>
      </c>
      <c r="AP435" s="518" t="str">
        <f>IF(AND(_2="B-767-300ER",'2026'!$O$4="FO",'2026'!$O$2=AP423),'2026DATA'!$M$14,"")</f>
        <v/>
      </c>
      <c r="AQ435" s="520" t="str">
        <f>IF(AND(_2="B-767-300ER",'2026'!$O$4="FO",'2026'!$O$2=AQ423),'2026DATA'!$N$14,"")</f>
        <v/>
      </c>
      <c r="AR435" s="940"/>
      <c r="AS435" s="13" t="s">
        <v>62</v>
      </c>
      <c r="AT435" s="518" t="str">
        <f>IF(AND(_3="B-767-300ER",'2026'!$O$4="FO",'2026'!$O$2=AT423),'2026DATA'!$C$14,"")</f>
        <v/>
      </c>
      <c r="AU435" s="518" t="str">
        <f>IF(AND(_3="B-767-300ER",'2026'!$O$4="FO",'2026'!$O$2=AU423),'2026DATA'!$D$14,"")</f>
        <v/>
      </c>
      <c r="AV435" s="518" t="str">
        <f>IF(AND(_3="B-767-300ER",'2026'!$O$4="FO",'2026'!$O$2=AV423),'2026DATA'!$E$14,"")</f>
        <v/>
      </c>
      <c r="AW435" s="518" t="str">
        <f>IF(AND(_3="B-767-300ER",'2026'!$O$4="FO",'2026'!$O$2=AW423),'2026DATA'!$F$14,"")</f>
        <v/>
      </c>
      <c r="AX435" s="518" t="str">
        <f>IF(AND(_3="B-767-300ER",'2026'!$O$4="FO",'2026'!$O$2=AX423),'2026DATA'!$G$14,"")</f>
        <v/>
      </c>
      <c r="AY435" s="518" t="str">
        <f>IF(AND(_3="B-767-300ER",'2026'!$O$4="FO",'2026'!$O$2=AY423),'2026DATA'!$H$14,"")</f>
        <v/>
      </c>
      <c r="AZ435" s="518" t="str">
        <f>IF(AND(_3="B-767-300ER",'2026'!$O$4="FO",'2026'!$O$2=AZ423),'2026DATA'!$I$14,"")</f>
        <v/>
      </c>
      <c r="BA435" s="518" t="str">
        <f>IF(AND(_3="B-767-300ER",'2026'!$O$4="FO",'2026'!$O$2=BA423),'2026DATA'!$J$14,"")</f>
        <v/>
      </c>
      <c r="BB435" s="518" t="str">
        <f>IF(AND(_3="B-767-300ER",'2026'!$O$4="FO",'2026'!$O$2=BB423),'2026DATA'!$K$14,"")</f>
        <v/>
      </c>
      <c r="BC435" s="518" t="str">
        <f>IF(AND(_3="B-767-300ER",'2026'!$O$4="FO",'2026'!$O$2=BC423),'2026DATA'!$L$14,"")</f>
        <v/>
      </c>
      <c r="BD435" s="518" t="str">
        <f>IF(AND(_3="B-767-300ER",'2026'!$O$4="FO",'2026'!$O$2=BD423),'2026DATA'!$M$14,"")</f>
        <v/>
      </c>
      <c r="BE435" s="520" t="str">
        <f>IF(AND(_3="B-767-300ER",'2026'!$O$4="FO",'2026'!$O$2=BE423),'2026DATA'!$N$14,"")</f>
        <v/>
      </c>
      <c r="BF435" s="940"/>
      <c r="BG435" s="13" t="s">
        <v>62</v>
      </c>
      <c r="BH435" s="518" t="str">
        <f>IF(AND(_4="B-767-300ER",'2026'!$O$4="FO",'2026'!$O$2=BH423),'2026DATA'!$C$14,"")</f>
        <v/>
      </c>
      <c r="BI435" s="518" t="str">
        <f>IF(AND(_4="B-767-300ER",'2026'!$O$4="FO",'2026'!$O$2=BI423),'2026DATA'!$D$14,"")</f>
        <v/>
      </c>
      <c r="BJ435" s="518" t="str">
        <f>IF(AND(_4="B-767-300ER",'2026'!$O$4="FO",'2026'!$O$2=BJ423),'2026DATA'!$E$14,"")</f>
        <v/>
      </c>
      <c r="BK435" s="518" t="str">
        <f>IF(AND(_4="B-767-300ER",'2026'!$O$4="FO",'2026'!$O$2=BK423),'2026DATA'!$F$14,"")</f>
        <v/>
      </c>
      <c r="BL435" s="518" t="str">
        <f>IF(AND(_4="B-767-300ER",'2026'!$O$4="FO",'2026'!$O$2=BL423),'2026DATA'!$G$14,"")</f>
        <v/>
      </c>
      <c r="BM435" s="518" t="str">
        <f>IF(AND(_4="B-767-300ER",'2026'!$O$4="FO",'2026'!$O$2=BM423),'2026DATA'!$H$14,"")</f>
        <v/>
      </c>
      <c r="BN435" s="518" t="str">
        <f>IF(AND(_4="B-767-300ER",'2026'!$O$4="FO",'2026'!$O$2=BN423),'2026DATA'!$I$14,"")</f>
        <v/>
      </c>
      <c r="BO435" s="518" t="str">
        <f>IF(AND(_4="B-767-300ER",'2026'!$O$4="FO",'2026'!$O$2=BO423),'2026DATA'!$J$14,"")</f>
        <v/>
      </c>
      <c r="BP435" s="518" t="str">
        <f>IF(AND(_4="B-767-300ER",'2026'!$O$4="FO",'2026'!$O$2=BP423),'2026DATA'!$K$14,"")</f>
        <v/>
      </c>
      <c r="BQ435" s="518" t="str">
        <f>IF(AND(_4="B-767-300ER",'2026'!$O$4="FO",'2026'!$O$2=BQ423),'2026DATA'!$L$14,"")</f>
        <v/>
      </c>
      <c r="BR435" s="518" t="str">
        <f>IF(AND(_4="B-767-300ER",'2026'!$O$4="FO",'2026'!$O$2=BR423),'2026DATA'!$M$14,"")</f>
        <v/>
      </c>
      <c r="BS435" s="520" t="str">
        <f>IF(AND(_4="B-767-300ER",'2026'!$O$4="FO",'2026'!$O$2=BS423),'2026DATA'!$N$14,"")</f>
        <v/>
      </c>
      <c r="BT435" s="940"/>
      <c r="BU435" s="13" t="s">
        <v>62</v>
      </c>
      <c r="BV435" s="518" t="str">
        <f>IF(AND(_5="B-767-300ER",'2026'!$O$4="FO",'2026'!$O$2=BV423),'2026DATA'!$C$14,"")</f>
        <v/>
      </c>
      <c r="BW435" s="518" t="str">
        <f>IF(AND(_5="B-767-300ER",'2026'!$O$4="FO",'2026'!$O$2=BW423),'2026DATA'!$D$14,"")</f>
        <v/>
      </c>
      <c r="BX435" s="518" t="str">
        <f>IF(AND(_5="B-767-300ER",'2026'!$O$4="FO",'2026'!$O$2=BX423),'2026DATA'!$E$14,"")</f>
        <v/>
      </c>
      <c r="BY435" s="518" t="str">
        <f>IF(AND(_5="B-767-300ER",'2026'!$O$4="FO",'2026'!$O$2=BY423),'2026DATA'!$F$14,"")</f>
        <v/>
      </c>
      <c r="BZ435" s="518" t="str">
        <f>IF(AND(_5="B-767-300ER",'2026'!$O$4="FO",'2026'!$O$2=BZ423),'2026DATA'!$G$14,"")</f>
        <v/>
      </c>
      <c r="CA435" s="518" t="str">
        <f>IF(AND(_5="B-767-300ER",'2026'!$O$4="FO",'2026'!$O$2=CA423),'2026DATA'!$H$14,"")</f>
        <v/>
      </c>
      <c r="CB435" s="518" t="str">
        <f>IF(AND(_5="B-767-300ER",'2026'!$O$4="FO",'2026'!$O$2=CB423),'2026DATA'!$I$14,"")</f>
        <v/>
      </c>
      <c r="CC435" s="518" t="str">
        <f>IF(AND(_5="B-767-300ER",'2026'!$O$4="FO",'2026'!$O$2=CC423),'2026DATA'!$J$14,"")</f>
        <v/>
      </c>
      <c r="CD435" s="518" t="str">
        <f>IF(AND(_5="B-767-300ER",'2026'!$O$4="FO",'2026'!$O$2=CD423),'2026DATA'!$K$14,"")</f>
        <v/>
      </c>
      <c r="CE435" s="518" t="str">
        <f>IF(AND(_5="B-767-300ER",'2026'!$O$4="FO",'2026'!$O$2=CE423),'2026DATA'!$L$14,"")</f>
        <v/>
      </c>
      <c r="CF435" s="518" t="str">
        <f>IF(AND(_5="B-767-300ER",'2026'!$O$4="FO",'2026'!$O$2=CF423),'2026DATA'!$M$14,"")</f>
        <v/>
      </c>
      <c r="CG435" s="520" t="str">
        <f>IF(AND(_5="B-767-300ER",'2026'!$O$4="FO",'2026'!$O$2=CG423),'2026DATA'!$N$14,"")</f>
        <v/>
      </c>
      <c r="CH435" s="940"/>
      <c r="CI435" s="13" t="s">
        <v>62</v>
      </c>
      <c r="CJ435" s="518" t="str">
        <f>IF(AND(_6="B-767-300ER",'2026'!$O$4="FO",'2026'!$O$2=CJ423),'2026DATA'!$C$14,"")</f>
        <v/>
      </c>
      <c r="CK435" s="518" t="str">
        <f>IF(AND(_6="B-767-300ER",'2026'!$O$4="FO",'2026'!$O$2=CK423),'2026DATA'!$D$14,"")</f>
        <v/>
      </c>
      <c r="CL435" s="518" t="str">
        <f>IF(AND(_6="B-767-300ER",'2026'!$O$4="FO",'2026'!$O$2=CL423),'2026DATA'!$E$14,"")</f>
        <v/>
      </c>
      <c r="CM435" s="518" t="str">
        <f>IF(AND(_6="B-767-300ER",'2026'!$O$4="FO",'2026'!$O$2=CM423),'2026DATA'!$F$14,"")</f>
        <v/>
      </c>
      <c r="CN435" s="518" t="str">
        <f>IF(AND(_6="B-767-300ER",'2026'!$O$4="FO",'2026'!$O$2=CN423),'2026DATA'!$G$14,"")</f>
        <v/>
      </c>
      <c r="CO435" s="518" t="str">
        <f>IF(AND(_6="B-767-300ER",'2026'!$O$4="FO",'2026'!$O$2=CO423),'2026DATA'!$H$14,"")</f>
        <v/>
      </c>
      <c r="CP435" s="518" t="str">
        <f>IF(AND(_6="B-767-300ER",'2026'!$O$4="FO",'2026'!$O$2=CP423),'2026DATA'!$I$14,"")</f>
        <v/>
      </c>
      <c r="CQ435" s="518" t="str">
        <f>IF(AND(_6="B-767-300ER",'2026'!$O$4="FO",'2026'!$O$2=CQ423),'2026DATA'!$J$14,"")</f>
        <v/>
      </c>
      <c r="CR435" s="518" t="str">
        <f>IF(AND(_6="B-767-300ER",'2026'!$O$4="FO",'2026'!$O$2=CR423),'2026DATA'!$K$14,"")</f>
        <v/>
      </c>
      <c r="CS435" s="518" t="str">
        <f>IF(AND(_6="B-767-300ER",'2026'!$O$4="FO",'2026'!$O$2=CS423),'2026DATA'!$L$14,"")</f>
        <v/>
      </c>
      <c r="CT435" s="518" t="str">
        <f>IF(AND(_6="B-767-300ER",'2026'!$O$4="FO",'2026'!$O$2=CT423),'2026DATA'!$M$14,"")</f>
        <v/>
      </c>
      <c r="CU435" s="520" t="str">
        <f>IF(AND(_6="B-767-300ER",'2026'!$O$4="FO",'2026'!$O$2=CU423),'2026DATA'!$N$14,"")</f>
        <v/>
      </c>
    </row>
    <row r="436" spans="16:99" x14ac:dyDescent="0.25">
      <c r="P436" s="940" t="s">
        <v>67</v>
      </c>
      <c r="Q436" s="13" t="s">
        <v>61</v>
      </c>
      <c r="R436" s="518" t="str">
        <f>IF(AND(_1="B-767-300",'2026'!$O$4="CA",'2026'!$O$2=R423),'2026DATA'!$C$15,"")</f>
        <v/>
      </c>
      <c r="S436" s="518" t="str">
        <f>IF(AND(_1="B-767-300",'2026'!$O$4="CA",'2026'!$O$2=S423),'2026DATA'!$D$15,"")</f>
        <v/>
      </c>
      <c r="T436" s="518" t="str">
        <f>IF(AND(_1="B-767-300",'2026'!$O$4="CA",'2026'!$O$2=T423),'2026DATA'!$E$15,"")</f>
        <v/>
      </c>
      <c r="U436" s="518" t="str">
        <f>IF(AND(_1="B-767-300",'2026'!$O$4="CA",'2026'!$O$2=U423),'2026DATA'!$F$15,"")</f>
        <v/>
      </c>
      <c r="V436" s="518" t="str">
        <f>IF(AND(_1="B-767-300",'2026'!$O$4="CA",'2026'!$O$2=V423),'2026DATA'!$G$15,"")</f>
        <v/>
      </c>
      <c r="W436" s="518" t="str">
        <f>IF(AND(_1="B-767-300",'2026'!$O$4="CA",'2026'!$O$2=W423),'2026DATA'!$H$15,"")</f>
        <v/>
      </c>
      <c r="X436" s="518" t="str">
        <f>IF(AND(_1="B-767-300",'2026'!$O$4="CA",'2026'!$O$2=X423),'2026DATA'!$I$15,"")</f>
        <v/>
      </c>
      <c r="Y436" s="518" t="str">
        <f>IF(AND(_1="B-767-300",'2026'!$O$4="CA",'2026'!$O$2=Y423),'2026DATA'!$J$15,"")</f>
        <v/>
      </c>
      <c r="Z436" s="518" t="str">
        <f>IF(AND(_1="B-767-300",'2026'!$O$4="CA",'2026'!$O$2=Z423),'2026DATA'!$K$15,"")</f>
        <v/>
      </c>
      <c r="AA436" s="518" t="str">
        <f>IF(AND(_1="B-767-300",'2026'!$O$4="CA",'2026'!$O$2=AA423),'2026DATA'!$L$15,"")</f>
        <v/>
      </c>
      <c r="AB436" s="518" t="str">
        <f>IF(AND(_1="B-767-300",'2026'!$O$4="CA",'2026'!$O$2=AB423),'2026DATA'!$M$15,"")</f>
        <v/>
      </c>
      <c r="AC436" s="520" t="str">
        <f>IF(AND(_1="B-767-300",'2026'!$O$4="CA",'2026'!$O$2=AC423),'2026DATA'!$N$15,"")</f>
        <v/>
      </c>
      <c r="AD436" s="940" t="s">
        <v>67</v>
      </c>
      <c r="AE436" s="13" t="s">
        <v>61</v>
      </c>
      <c r="AF436" s="518" t="str">
        <f>IF(AND(_2="B-767-300",'2026'!$O$4="CA",'2026'!$O$2=AF423),'2026DATA'!$C$15,"")</f>
        <v/>
      </c>
      <c r="AG436" s="518" t="str">
        <f>IF(AND(_2="B-767-300",'2026'!$O$4="CA",'2026'!$O$2=AG423),'2026DATA'!$D$15,"")</f>
        <v/>
      </c>
      <c r="AH436" s="518" t="str">
        <f>IF(AND(_2="B-767-300",'2026'!$O$4="CA",'2026'!$O$2=AH423),'2026DATA'!$E$15,"")</f>
        <v/>
      </c>
      <c r="AI436" s="518" t="str">
        <f>IF(AND(_2="B-767-300",'2026'!$O$4="CA",'2026'!$O$2=AI423),'2026DATA'!$F$15,"")</f>
        <v/>
      </c>
      <c r="AJ436" s="518" t="str">
        <f>IF(AND(_2="B-767-300",'2026'!$O$4="CA",'2026'!$O$2=AJ423),'2026DATA'!$G$15,"")</f>
        <v/>
      </c>
      <c r="AK436" s="518" t="str">
        <f>IF(AND(_2="B-767-300",'2026'!$O$4="CA",'2026'!$O$2=AK423),'2026DATA'!$H$15,"")</f>
        <v/>
      </c>
      <c r="AL436" s="518" t="str">
        <f>IF(AND(_2="B-767-300",'2026'!$O$4="CA",'2026'!$O$2=AL423),'2026DATA'!$I$15,"")</f>
        <v/>
      </c>
      <c r="AM436" s="518" t="str">
        <f>IF(AND(_2="B-767-300",'2026'!$O$4="CA",'2026'!$O$2=AM423),'2026DATA'!$J$15,"")</f>
        <v/>
      </c>
      <c r="AN436" s="518" t="str">
        <f>IF(AND(_2="B-767-300",'2026'!$O$4="CA",'2026'!$O$2=AN423),'2026DATA'!$K$15,"")</f>
        <v/>
      </c>
      <c r="AO436" s="518" t="str">
        <f>IF(AND(_2="B-767-300",'2026'!$O$4="CA",'2026'!$O$2=AO423),'2026DATA'!$L$15,"")</f>
        <v/>
      </c>
      <c r="AP436" s="518" t="str">
        <f>IF(AND(_2="B-767-300",'2026'!$O$4="CA",'2026'!$O$2=AP423),'2026DATA'!$M$15,"")</f>
        <v/>
      </c>
      <c r="AQ436" s="520" t="str">
        <f>IF(AND(_2="B-767-300",'2026'!$O$4="CA",'2026'!$O$2=AQ423),'2026DATA'!$N$15,"")</f>
        <v/>
      </c>
      <c r="AR436" s="940" t="s">
        <v>67</v>
      </c>
      <c r="AS436" s="13" t="s">
        <v>61</v>
      </c>
      <c r="AT436" s="518" t="str">
        <f>IF(AND(_3="B-767-300",'2026'!$O$4="CA",'2026'!$O$2=AT423),'2026DATA'!$C$15,"")</f>
        <v/>
      </c>
      <c r="AU436" s="518" t="str">
        <f>IF(AND(_3="B-767-300",'2026'!$O$4="CA",'2026'!$O$2=AU423),'2026DATA'!$D$15,"")</f>
        <v/>
      </c>
      <c r="AV436" s="518" t="str">
        <f>IF(AND(_3="B-767-300",'2026'!$O$4="CA",'2026'!$O$2=AV423),'2026DATA'!$E$15,"")</f>
        <v/>
      </c>
      <c r="AW436" s="518" t="str">
        <f>IF(AND(_3="B-767-300",'2026'!$O$4="CA",'2026'!$O$2=AW423),'2026DATA'!$F$15,"")</f>
        <v/>
      </c>
      <c r="AX436" s="518" t="str">
        <f>IF(AND(_3="B-767-300",'2026'!$O$4="CA",'2026'!$O$2=AX423),'2026DATA'!$G$15,"")</f>
        <v/>
      </c>
      <c r="AY436" s="518" t="str">
        <f>IF(AND(_3="B-767-300",'2026'!$O$4="CA",'2026'!$O$2=AY423),'2026DATA'!$H$15,"")</f>
        <v/>
      </c>
      <c r="AZ436" s="518" t="str">
        <f>IF(AND(_3="B-767-300",'2026'!$O$4="CA",'2026'!$O$2=AZ423),'2026DATA'!$I$15,"")</f>
        <v/>
      </c>
      <c r="BA436" s="518" t="str">
        <f>IF(AND(_3="B-767-300",'2026'!$O$4="CA",'2026'!$O$2=BA423),'2026DATA'!$J$15,"")</f>
        <v/>
      </c>
      <c r="BB436" s="518" t="str">
        <f>IF(AND(_3="B-767-300",'2026'!$O$4="CA",'2026'!$O$2=BB423),'2026DATA'!$K$15,"")</f>
        <v/>
      </c>
      <c r="BC436" s="518" t="str">
        <f>IF(AND(_3="B-767-300",'2026'!$O$4="CA",'2026'!$O$2=BC423),'2026DATA'!$L$15,"")</f>
        <v/>
      </c>
      <c r="BD436" s="518" t="str">
        <f>IF(AND(_3="B-767-300",'2026'!$O$4="CA",'2026'!$O$2=BD423),'2026DATA'!$M$15,"")</f>
        <v/>
      </c>
      <c r="BE436" s="520" t="str">
        <f>IF(AND(_3="B-767-300",'2026'!$O$4="CA",'2026'!$O$2=BE423),'2026DATA'!$N$15,"")</f>
        <v/>
      </c>
      <c r="BF436" s="940" t="s">
        <v>67</v>
      </c>
      <c r="BG436" s="13" t="s">
        <v>61</v>
      </c>
      <c r="BH436" s="518" t="str">
        <f>IF(AND(_4="B-767-300",'2026'!$O$4="CA",'2026'!$O$2=BH423),'2026DATA'!$C$15,"")</f>
        <v/>
      </c>
      <c r="BI436" s="518" t="str">
        <f>IF(AND(_4="B-767-300",'2026'!$O$4="CA",'2026'!$O$2=BI423),'2026DATA'!$D$15,"")</f>
        <v/>
      </c>
      <c r="BJ436" s="518" t="str">
        <f>IF(AND(_4="B-767-300",'2026'!$O$4="CA",'2026'!$O$2=BJ423),'2026DATA'!$E$15,"")</f>
        <v/>
      </c>
      <c r="BK436" s="518" t="str">
        <f>IF(AND(_4="B-767-300",'2026'!$O$4="CA",'2026'!$O$2=BK423),'2026DATA'!$F$15,"")</f>
        <v/>
      </c>
      <c r="BL436" s="518" t="str">
        <f>IF(AND(_4="B-767-300",'2026'!$O$4="CA",'2026'!$O$2=BL423),'2026DATA'!$G$15,"")</f>
        <v/>
      </c>
      <c r="BM436" s="518" t="str">
        <f>IF(AND(_4="B-767-300",'2026'!$O$4="CA",'2026'!$O$2=BM423),'2026DATA'!$H$15,"")</f>
        <v/>
      </c>
      <c r="BN436" s="518" t="str">
        <f>IF(AND(_4="B-767-300",'2026'!$O$4="CA",'2026'!$O$2=BN423),'2026DATA'!$I$15,"")</f>
        <v/>
      </c>
      <c r="BO436" s="518" t="str">
        <f>IF(AND(_4="B-767-300",'2026'!$O$4="CA",'2026'!$O$2=BO423),'2026DATA'!$J$15,"")</f>
        <v/>
      </c>
      <c r="BP436" s="518" t="str">
        <f>IF(AND(_4="B-767-300",'2026'!$O$4="CA",'2026'!$O$2=BP423),'2026DATA'!$K$15,"")</f>
        <v/>
      </c>
      <c r="BQ436" s="518" t="str">
        <f>IF(AND(_4="B-767-300",'2026'!$O$4="CA",'2026'!$O$2=BQ423),'2026DATA'!$L$15,"")</f>
        <v/>
      </c>
      <c r="BR436" s="518" t="str">
        <f>IF(AND(_4="B-767-300",'2026'!$O$4="CA",'2026'!$O$2=BR423),'2026DATA'!$M$15,"")</f>
        <v/>
      </c>
      <c r="BS436" s="520" t="str">
        <f>IF(AND(_4="B-767-300",'2026'!$O$4="CA",'2026'!$O$2=BS423),'2026DATA'!$N$15,"")</f>
        <v/>
      </c>
      <c r="BT436" s="940" t="s">
        <v>67</v>
      </c>
      <c r="BU436" s="13" t="s">
        <v>61</v>
      </c>
      <c r="BV436" s="518" t="str">
        <f>IF(AND(_5="B-767-300",'2026'!$O$4="CA",'2026'!$O$2=BV423),'2026DATA'!$C$15,"")</f>
        <v/>
      </c>
      <c r="BW436" s="518" t="str">
        <f>IF(AND(_5="B-767-300",'2026'!$O$4="CA",'2026'!$O$2=BW423),'2026DATA'!$D$15,"")</f>
        <v/>
      </c>
      <c r="BX436" s="518" t="str">
        <f>IF(AND(_5="B-767-300",'2026'!$O$4="CA",'2026'!$O$2=BX423),'2026DATA'!$E$15,"")</f>
        <v/>
      </c>
      <c r="BY436" s="518" t="str">
        <f>IF(AND(_5="B-767-300",'2026'!$O$4="CA",'2026'!$O$2=BY423),'2026DATA'!$F$15,"")</f>
        <v/>
      </c>
      <c r="BZ436" s="518" t="str">
        <f>IF(AND(_5="B-767-300",'2026'!$O$4="CA",'2026'!$O$2=BZ423),'2026DATA'!$G$15,"")</f>
        <v/>
      </c>
      <c r="CA436" s="518" t="str">
        <f>IF(AND(_5="B-767-300",'2026'!$O$4="CA",'2026'!$O$2=CA423),'2026DATA'!$H$15,"")</f>
        <v/>
      </c>
      <c r="CB436" s="518" t="str">
        <f>IF(AND(_5="B-767-300",'2026'!$O$4="CA",'2026'!$O$2=CB423),'2026DATA'!$I$15,"")</f>
        <v/>
      </c>
      <c r="CC436" s="518" t="str">
        <f>IF(AND(_5="B-767-300",'2026'!$O$4="CA",'2026'!$O$2=CC423),'2026DATA'!$J$15,"")</f>
        <v/>
      </c>
      <c r="CD436" s="518" t="str">
        <f>IF(AND(_5="B-767-300",'2026'!$O$4="CA",'2026'!$O$2=CD423),'2026DATA'!$K$15,"")</f>
        <v/>
      </c>
      <c r="CE436" s="518" t="str">
        <f>IF(AND(_5="B-767-300",'2026'!$O$4="CA",'2026'!$O$2=CE423),'2026DATA'!$L$15,"")</f>
        <v/>
      </c>
      <c r="CF436" s="518" t="str">
        <f>IF(AND(_5="B-767-300",'2026'!$O$4="CA",'2026'!$O$2=CF423),'2026DATA'!$M$15,"")</f>
        <v/>
      </c>
      <c r="CG436" s="520" t="str">
        <f>IF(AND(_5="B-767-300",'2026'!$O$4="CA",'2026'!$O$2=CG423),'2026DATA'!$N$15,"")</f>
        <v/>
      </c>
      <c r="CH436" s="940" t="s">
        <v>67</v>
      </c>
      <c r="CI436" s="13" t="s">
        <v>61</v>
      </c>
      <c r="CJ436" s="518" t="str">
        <f>IF(AND(_6="B-767-300",'2026'!$O$4="CA",'2026'!$O$2=CJ423),'2026DATA'!$C$15,"")</f>
        <v/>
      </c>
      <c r="CK436" s="518" t="str">
        <f>IF(AND(_6="B-767-300",'2026'!$O$4="CA",'2026'!$O$2=CK423),'2026DATA'!$D$15,"")</f>
        <v/>
      </c>
      <c r="CL436" s="518" t="str">
        <f>IF(AND(_6="B-767-300",'2026'!$O$4="CA",'2026'!$O$2=CL423),'2026DATA'!$E$15,"")</f>
        <v/>
      </c>
      <c r="CM436" s="518" t="str">
        <f>IF(AND(_6="B-767-300",'2026'!$O$4="CA",'2026'!$O$2=CM423),'2026DATA'!$F$15,"")</f>
        <v/>
      </c>
      <c r="CN436" s="518" t="str">
        <f>IF(AND(_6="B-767-300",'2026'!$O$4="CA",'2026'!$O$2=CN423),'2026DATA'!$G$15,"")</f>
        <v/>
      </c>
      <c r="CO436" s="518" t="str">
        <f>IF(AND(_6="B-767-300",'2026'!$O$4="CA",'2026'!$O$2=CO423),'2026DATA'!$H$15,"")</f>
        <v/>
      </c>
      <c r="CP436" s="518" t="str">
        <f>IF(AND(_6="B-767-300",'2026'!$O$4="CA",'2026'!$O$2=CP423),'2026DATA'!$I$15,"")</f>
        <v/>
      </c>
      <c r="CQ436" s="518" t="str">
        <f>IF(AND(_6="B-767-300",'2026'!$O$4="CA",'2026'!$O$2=CQ423),'2026DATA'!$J$15,"")</f>
        <v/>
      </c>
      <c r="CR436" s="518" t="str">
        <f>IF(AND(_6="B-767-300",'2026'!$O$4="CA",'2026'!$O$2=CR423),'2026DATA'!$K$15,"")</f>
        <v/>
      </c>
      <c r="CS436" s="518" t="str">
        <f>IF(AND(_6="B-767-300",'2026'!$O$4="CA",'2026'!$O$2=CS423),'2026DATA'!$L$15,"")</f>
        <v/>
      </c>
      <c r="CT436" s="518" t="str">
        <f>IF(AND(_6="B-767-300",'2026'!$O$4="CA",'2026'!$O$2=CT423),'2026DATA'!$M$15,"")</f>
        <v/>
      </c>
      <c r="CU436" s="520" t="str">
        <f>IF(AND(_6="B-767-300",'2026'!$O$4="CA",'2026'!$O$2=CU423),'2026DATA'!$N$15,"")</f>
        <v/>
      </c>
    </row>
    <row r="437" spans="16:99" x14ac:dyDescent="0.25">
      <c r="P437" s="940"/>
      <c r="Q437" s="13" t="s">
        <v>62</v>
      </c>
      <c r="R437" s="518" t="str">
        <f>IF(AND(_1="B-767-300",'2026'!$O$4="FO",'2026'!$O$2=R423),'2026DATA'!$C$16,"")</f>
        <v/>
      </c>
      <c r="S437" s="518" t="str">
        <f>IF(AND(_1="B-767-300",'2026'!$O$4="FO",'2026'!$O$2=S423),'2026DATA'!$D$16,"")</f>
        <v/>
      </c>
      <c r="T437" s="518" t="str">
        <f>IF(AND(_1="B-767-300",'2026'!$O$4="FO",'2026'!$O$2=T423),'2026DATA'!$E$16,"")</f>
        <v/>
      </c>
      <c r="U437" s="518" t="str">
        <f>IF(AND(_1="B-767-300",'2026'!$O$4="FO",'2026'!$O$2=U423),'2026DATA'!$F$16,"")</f>
        <v/>
      </c>
      <c r="V437" s="518" t="str">
        <f>IF(AND(_1="B-767-300",'2026'!$O$4="FO",'2026'!$O$2=V423),'2026DATA'!$G$16,"")</f>
        <v/>
      </c>
      <c r="W437" s="518" t="str">
        <f>IF(AND(_1="B-767-300",'2026'!$O$4="FO",'2026'!$O$2=W423),'2026DATA'!$H$16,"")</f>
        <v/>
      </c>
      <c r="X437" s="518" t="str">
        <f>IF(AND(_1="B-767-300",'2026'!$O$4="FO",'2026'!$O$2=X423),'2026DATA'!$I$16,"")</f>
        <v/>
      </c>
      <c r="Y437" s="518" t="str">
        <f>IF(AND(_1="B-767-300",'2026'!$O$4="FO",'2026'!$O$2=Y423),'2026DATA'!$J$16,"")</f>
        <v/>
      </c>
      <c r="Z437" s="518" t="str">
        <f>IF(AND(_1="B-767-300",'2026'!$O$4="FO",'2026'!$O$2=Z423),'2026DATA'!$K$16,"")</f>
        <v/>
      </c>
      <c r="AA437" s="518" t="str">
        <f>IF(AND(_1="B-767-300",'2026'!$O$4="FO",'2026'!$O$2=AA423),'2026DATA'!$L$16,"")</f>
        <v/>
      </c>
      <c r="AB437" s="518" t="str">
        <f>IF(AND(_1="B-767-300",'2026'!$O$4="FO",'2026'!$O$2=AB423),'2026DATA'!$M$16,"")</f>
        <v/>
      </c>
      <c r="AC437" s="520" t="str">
        <f>IF(AND(_1="B-767-300",'2026'!$O$4="FO",'2026'!$O$2=AC423),'2026DATA'!$N$16,"")</f>
        <v/>
      </c>
      <c r="AD437" s="940"/>
      <c r="AE437" s="13" t="s">
        <v>62</v>
      </c>
      <c r="AF437" s="518" t="str">
        <f>IF(AND(_2="B-767-300",'2026'!$O$4="FO",'2026'!$O$2=AF423),'2026DATA'!$C$16,"")</f>
        <v/>
      </c>
      <c r="AG437" s="518" t="str">
        <f>IF(AND(_2="B-767-300",'2026'!$O$4="FO",'2026'!$O$2=AG423),'2026DATA'!$D$16,"")</f>
        <v/>
      </c>
      <c r="AH437" s="518" t="str">
        <f>IF(AND(_2="B-767-300",'2026'!$O$4="FO",'2026'!$O$2=AH423),'2026DATA'!$E$16,"")</f>
        <v/>
      </c>
      <c r="AI437" s="518" t="str">
        <f>IF(AND(_2="B-767-300",'2026'!$O$4="FO",'2026'!$O$2=AI423),'2026DATA'!$F$16,"")</f>
        <v/>
      </c>
      <c r="AJ437" s="518" t="str">
        <f>IF(AND(_2="B-767-300",'2026'!$O$4="FO",'2026'!$O$2=AJ423),'2026DATA'!$G$16,"")</f>
        <v/>
      </c>
      <c r="AK437" s="518" t="str">
        <f>IF(AND(_2="B-767-300",'2026'!$O$4="FO",'2026'!$O$2=AK423),'2026DATA'!$H$16,"")</f>
        <v/>
      </c>
      <c r="AL437" s="518" t="str">
        <f>IF(AND(_2="B-767-300",'2026'!$O$4="FO",'2026'!$O$2=AL423),'2026DATA'!$I$16,"")</f>
        <v/>
      </c>
      <c r="AM437" s="518" t="str">
        <f>IF(AND(_2="B-767-300",'2026'!$O$4="FO",'2026'!$O$2=AM423),'2026DATA'!$J$16,"")</f>
        <v/>
      </c>
      <c r="AN437" s="518" t="str">
        <f>IF(AND(_2="B-767-300",'2026'!$O$4="FO",'2026'!$O$2=AN423),'2026DATA'!$K$16,"")</f>
        <v/>
      </c>
      <c r="AO437" s="518" t="str">
        <f>IF(AND(_2="B-767-300",'2026'!$O$4="FO",'2026'!$O$2=AO423),'2026DATA'!$L$16,"")</f>
        <v/>
      </c>
      <c r="AP437" s="518" t="str">
        <f>IF(AND(_2="B-767-300",'2026'!$O$4="FO",'2026'!$O$2=AP423),'2026DATA'!$M$16,"")</f>
        <v/>
      </c>
      <c r="AQ437" s="520" t="str">
        <f>IF(AND(_2="B-767-300",'2026'!$O$4="FO",'2026'!$O$2=AQ423),'2026DATA'!$N$16,"")</f>
        <v/>
      </c>
      <c r="AR437" s="940"/>
      <c r="AS437" s="13" t="s">
        <v>62</v>
      </c>
      <c r="AT437" s="518" t="str">
        <f>IF(AND(_3="B-767-300",'2026'!$O$4="FO",'2026'!$O$2=AT423),'2026DATA'!$C$16,"")</f>
        <v/>
      </c>
      <c r="AU437" s="518" t="str">
        <f>IF(AND(_3="B-767-300",'2026'!$O$4="FO",'2026'!$O$2=AU423),'2026DATA'!$D$16,"")</f>
        <v/>
      </c>
      <c r="AV437" s="518" t="str">
        <f>IF(AND(_3="B-767-300",'2026'!$O$4="FO",'2026'!$O$2=AV423),'2026DATA'!$E$16,"")</f>
        <v/>
      </c>
      <c r="AW437" s="518" t="str">
        <f>IF(AND(_3="B-767-300",'2026'!$O$4="FO",'2026'!$O$2=AW423),'2026DATA'!$F$16,"")</f>
        <v/>
      </c>
      <c r="AX437" s="518" t="str">
        <f>IF(AND(_3="B-767-300",'2026'!$O$4="FO",'2026'!$O$2=AX423),'2026DATA'!$G$16,"")</f>
        <v/>
      </c>
      <c r="AY437" s="518" t="str">
        <f>IF(AND(_3="B-767-300",'2026'!$O$4="FO",'2026'!$O$2=AY423),'2026DATA'!$H$16,"")</f>
        <v/>
      </c>
      <c r="AZ437" s="518" t="str">
        <f>IF(AND(_3="B-767-300",'2026'!$O$4="FO",'2026'!$O$2=AZ423),'2026DATA'!$I$16,"")</f>
        <v/>
      </c>
      <c r="BA437" s="518" t="str">
        <f>IF(AND(_3="B-767-300",'2026'!$O$4="FO",'2026'!$O$2=BA423),'2026DATA'!$J$16,"")</f>
        <v/>
      </c>
      <c r="BB437" s="518" t="str">
        <f>IF(AND(_3="B-767-300",'2026'!$O$4="FO",'2026'!$O$2=BB423),'2026DATA'!$K$16,"")</f>
        <v/>
      </c>
      <c r="BC437" s="518" t="str">
        <f>IF(AND(_3="B-767-300",'2026'!$O$4="FO",'2026'!$O$2=BC423),'2026DATA'!$L$16,"")</f>
        <v/>
      </c>
      <c r="BD437" s="518" t="str">
        <f>IF(AND(_3="B-767-300",'2026'!$O$4="FO",'2026'!$O$2=BD423),'2026DATA'!$M$16,"")</f>
        <v/>
      </c>
      <c r="BE437" s="520" t="str">
        <f>IF(AND(_3="B-767-300",'2026'!$O$4="FO",'2026'!$O$2=BE423),'2026DATA'!$N$16,"")</f>
        <v/>
      </c>
      <c r="BF437" s="940"/>
      <c r="BG437" s="13" t="s">
        <v>62</v>
      </c>
      <c r="BH437" s="518" t="str">
        <f>IF(AND(_4="B-767-300",'2026'!$O$4="FO",'2026'!$O$2=BH423),'2026DATA'!$C$16,"")</f>
        <v/>
      </c>
      <c r="BI437" s="518" t="str">
        <f>IF(AND(_4="B-767-300",'2026'!$O$4="FO",'2026'!$O$2=BI423),'2026DATA'!$D$16,"")</f>
        <v/>
      </c>
      <c r="BJ437" s="518" t="str">
        <f>IF(AND(_4="B-767-300",'2026'!$O$4="FO",'2026'!$O$2=BJ423),'2026DATA'!$E$16,"")</f>
        <v/>
      </c>
      <c r="BK437" s="518" t="str">
        <f>IF(AND(_4="B-767-300",'2026'!$O$4="FO",'2026'!$O$2=BK423),'2026DATA'!$F$16,"")</f>
        <v/>
      </c>
      <c r="BL437" s="518" t="str">
        <f>IF(AND(_4="B-767-300",'2026'!$O$4="FO",'2026'!$O$2=BL423),'2026DATA'!$G$16,"")</f>
        <v/>
      </c>
      <c r="BM437" s="518" t="str">
        <f>IF(AND(_4="B-767-300",'2026'!$O$4="FO",'2026'!$O$2=BM423),'2026DATA'!$H$16,"")</f>
        <v/>
      </c>
      <c r="BN437" s="518" t="str">
        <f>IF(AND(_4="B-767-300",'2026'!$O$4="FO",'2026'!$O$2=BN423),'2026DATA'!$I$16,"")</f>
        <v/>
      </c>
      <c r="BO437" s="518" t="str">
        <f>IF(AND(_4="B-767-300",'2026'!$O$4="FO",'2026'!$O$2=BO423),'2026DATA'!$J$16,"")</f>
        <v/>
      </c>
      <c r="BP437" s="518" t="str">
        <f>IF(AND(_4="B-767-300",'2026'!$O$4="FO",'2026'!$O$2=BP423),'2026DATA'!$K$16,"")</f>
        <v/>
      </c>
      <c r="BQ437" s="518" t="str">
        <f>IF(AND(_4="B-767-300",'2026'!$O$4="FO",'2026'!$O$2=BQ423),'2026DATA'!$L$16,"")</f>
        <v/>
      </c>
      <c r="BR437" s="518" t="str">
        <f>IF(AND(_4="B-767-300",'2026'!$O$4="FO",'2026'!$O$2=BR423),'2026DATA'!$M$16,"")</f>
        <v/>
      </c>
      <c r="BS437" s="520" t="str">
        <f>IF(AND(_4="B-767-300",'2026'!$O$4="FO",'2026'!$O$2=BS423),'2026DATA'!$N$16,"")</f>
        <v/>
      </c>
      <c r="BT437" s="940"/>
      <c r="BU437" s="13" t="s">
        <v>62</v>
      </c>
      <c r="BV437" s="518" t="str">
        <f>IF(AND(_5="B-767-300",'2026'!$O$4="FO",'2026'!$O$2=BV423),'2026DATA'!$C$16,"")</f>
        <v/>
      </c>
      <c r="BW437" s="518" t="str">
        <f>IF(AND(_5="B-767-300",'2026'!$O$4="FO",'2026'!$O$2=BW423),'2026DATA'!$D$16,"")</f>
        <v/>
      </c>
      <c r="BX437" s="518" t="str">
        <f>IF(AND(_5="B-767-300",'2026'!$O$4="FO",'2026'!$O$2=BX423),'2026DATA'!$E$16,"")</f>
        <v/>
      </c>
      <c r="BY437" s="518" t="str">
        <f>IF(AND(_5="B-767-300",'2026'!$O$4="FO",'2026'!$O$2=BY423),'2026DATA'!$F$16,"")</f>
        <v/>
      </c>
      <c r="BZ437" s="518" t="str">
        <f>IF(AND(_5="B-767-300",'2026'!$O$4="FO",'2026'!$O$2=BZ423),'2026DATA'!$G$16,"")</f>
        <v/>
      </c>
      <c r="CA437" s="518" t="str">
        <f>IF(AND(_5="B-767-300",'2026'!$O$4="FO",'2026'!$O$2=CA423),'2026DATA'!$H$16,"")</f>
        <v/>
      </c>
      <c r="CB437" s="518" t="str">
        <f>IF(AND(_5="B-767-300",'2026'!$O$4="FO",'2026'!$O$2=CB423),'2026DATA'!$I$16,"")</f>
        <v/>
      </c>
      <c r="CC437" s="518" t="str">
        <f>IF(AND(_5="B-767-300",'2026'!$O$4="FO",'2026'!$O$2=CC423),'2026DATA'!$J$16,"")</f>
        <v/>
      </c>
      <c r="CD437" s="518" t="str">
        <f>IF(AND(_5="B-767-300",'2026'!$O$4="FO",'2026'!$O$2=CD423),'2026DATA'!$K$16,"")</f>
        <v/>
      </c>
      <c r="CE437" s="518" t="str">
        <f>IF(AND(_5="B-767-300",'2026'!$O$4="FO",'2026'!$O$2=CE423),'2026DATA'!$L$16,"")</f>
        <v/>
      </c>
      <c r="CF437" s="518" t="str">
        <f>IF(AND(_5="B-767-300",'2026'!$O$4="FO",'2026'!$O$2=CF423),'2026DATA'!$M$16,"")</f>
        <v/>
      </c>
      <c r="CG437" s="520" t="str">
        <f>IF(AND(_5="B-767-300",'2026'!$O$4="FO",'2026'!$O$2=CG423),'2026DATA'!$N$16,"")</f>
        <v/>
      </c>
      <c r="CH437" s="940"/>
      <c r="CI437" s="13" t="s">
        <v>62</v>
      </c>
      <c r="CJ437" s="518" t="str">
        <f>IF(AND(_6="B-767-300",'2026'!$O$4="FO",'2026'!$O$2=CJ423),'2026DATA'!$C$16,"")</f>
        <v/>
      </c>
      <c r="CK437" s="518" t="str">
        <f>IF(AND(_6="B-767-300",'2026'!$O$4="FO",'2026'!$O$2=CK423),'2026DATA'!$D$16,"")</f>
        <v/>
      </c>
      <c r="CL437" s="518" t="str">
        <f>IF(AND(_6="B-767-300",'2026'!$O$4="FO",'2026'!$O$2=CL423),'2026DATA'!$E$16,"")</f>
        <v/>
      </c>
      <c r="CM437" s="518" t="str">
        <f>IF(AND(_6="B-767-300",'2026'!$O$4="FO",'2026'!$O$2=CM423),'2026DATA'!$F$16,"")</f>
        <v/>
      </c>
      <c r="CN437" s="518" t="str">
        <f>IF(AND(_6="B-767-300",'2026'!$O$4="FO",'2026'!$O$2=CN423),'2026DATA'!$G$16,"")</f>
        <v/>
      </c>
      <c r="CO437" s="518" t="str">
        <f>IF(AND(_6="B-767-300",'2026'!$O$4="FO",'2026'!$O$2=CO423),'2026DATA'!$H$16,"")</f>
        <v/>
      </c>
      <c r="CP437" s="518" t="str">
        <f>IF(AND(_6="B-767-300",'2026'!$O$4="FO",'2026'!$O$2=CP423),'2026DATA'!$I$16,"")</f>
        <v/>
      </c>
      <c r="CQ437" s="518" t="str">
        <f>IF(AND(_6="B-767-300",'2026'!$O$4="FO",'2026'!$O$2=CQ423),'2026DATA'!$J$16,"")</f>
        <v/>
      </c>
      <c r="CR437" s="518" t="str">
        <f>IF(AND(_6="B-767-300",'2026'!$O$4="FO",'2026'!$O$2=CR423),'2026DATA'!$K$16,"")</f>
        <v/>
      </c>
      <c r="CS437" s="518" t="str">
        <f>IF(AND(_6="B-767-300",'2026'!$O$4="FO",'2026'!$O$2=CS423),'2026DATA'!$L$16,"")</f>
        <v/>
      </c>
      <c r="CT437" s="518" t="str">
        <f>IF(AND(_6="B-767-300",'2026'!$O$4="FO",'2026'!$O$2=CT423),'2026DATA'!$M$16,"")</f>
        <v/>
      </c>
      <c r="CU437" s="520" t="str">
        <f>IF(AND(_6="B-767-300",'2026'!$O$4="FO",'2026'!$O$2=CU423),'2026DATA'!$N$16,"")</f>
        <v/>
      </c>
    </row>
    <row r="438" spans="16:99" x14ac:dyDescent="0.25">
      <c r="P438" s="940" t="s">
        <v>68</v>
      </c>
      <c r="Q438" s="13" t="s">
        <v>61</v>
      </c>
      <c r="R438" s="518" t="str">
        <f>IF(AND(_1="B-767-200",'2026'!$O$4="CA",'2026'!$O$2=R423),'2026DATA'!$C$17,"")</f>
        <v/>
      </c>
      <c r="S438" s="518" t="str">
        <f>IF(AND(_1="B-767-200",'2026'!$O$4="CA",'2026'!$O$2=S423),'2026DATA'!$D$17,"")</f>
        <v/>
      </c>
      <c r="T438" s="518" t="str">
        <f>IF(AND(_1="B-767-200",'2026'!$O$4="CA",'2026'!$O$2=T423),'2026DATA'!$E$17,"")</f>
        <v/>
      </c>
      <c r="U438" s="518" t="str">
        <f>IF(AND(_1="B-767-200",'2026'!$O$4="CA",'2026'!$O$2=U423),'2026DATA'!$F$17,"")</f>
        <v/>
      </c>
      <c r="V438" s="518" t="str">
        <f>IF(AND(_1="B-767-200",'2026'!$O$4="CA",'2026'!$O$2=V423),'2026DATA'!$G$17,"")</f>
        <v/>
      </c>
      <c r="W438" s="518" t="str">
        <f>IF(AND(_1="B-767-200",'2026'!$O$4="CA",'2026'!$O$2=W423),'2026DATA'!$H$17,"")</f>
        <v/>
      </c>
      <c r="X438" s="518" t="str">
        <f>IF(AND(_1="B-767-200",'2026'!$O$4="CA",'2026'!$O$2=X423),'2026DATA'!$I$17,"")</f>
        <v/>
      </c>
      <c r="Y438" s="518" t="str">
        <f>IF(AND(_1="B-767-200",'2026'!$O$4="CA",'2026'!$O$2=Y423),'2026DATA'!$J$17,"")</f>
        <v/>
      </c>
      <c r="Z438" s="518" t="str">
        <f>IF(AND(_1="B-767-200",'2026'!$O$4="CA",'2026'!$O$2=Z423),'2026DATA'!$K$17,"")</f>
        <v/>
      </c>
      <c r="AA438" s="518" t="str">
        <f>IF(AND(_1="B-767-200",'2026'!$O$4="CA",'2026'!$O$2=AA423),'2026DATA'!$L$17,"")</f>
        <v/>
      </c>
      <c r="AB438" s="518" t="str">
        <f>IF(AND(_1="B-767-200",'2026'!$O$4="CA",'2026'!$O$2=AB423),'2026DATA'!$M$17,"")</f>
        <v/>
      </c>
      <c r="AC438" s="520" t="str">
        <f>IF(AND(_1="B-767-200",'2026'!$O$4="CA",'2026'!$O$2=AC423),'2026DATA'!$N$17,"")</f>
        <v/>
      </c>
      <c r="AD438" s="940" t="s">
        <v>68</v>
      </c>
      <c r="AE438" s="13" t="s">
        <v>61</v>
      </c>
      <c r="AF438" s="518" t="str">
        <f>IF(AND(_2="B-767-200",'2026'!$O$4="CA",'2026'!$O$2=AF423),'2026DATA'!$C$17,"")</f>
        <v/>
      </c>
      <c r="AG438" s="518" t="str">
        <f>IF(AND(_2="B-767-200",'2026'!$O$4="CA",'2026'!$O$2=AG423),'2026DATA'!$D$17,"")</f>
        <v/>
      </c>
      <c r="AH438" s="518" t="str">
        <f>IF(AND(_2="B-767-200",'2026'!$O$4="CA",'2026'!$O$2=AH423),'2026DATA'!$E$17,"")</f>
        <v/>
      </c>
      <c r="AI438" s="518" t="str">
        <f>IF(AND(_2="B-767-200",'2026'!$O$4="CA",'2026'!$O$2=AI423),'2026DATA'!$F$17,"")</f>
        <v/>
      </c>
      <c r="AJ438" s="518" t="str">
        <f>IF(AND(_2="B-767-200",'2026'!$O$4="CA",'2026'!$O$2=AJ423),'2026DATA'!$G$17,"")</f>
        <v/>
      </c>
      <c r="AK438" s="518" t="str">
        <f>IF(AND(_2="B-767-200",'2026'!$O$4="CA",'2026'!$O$2=AK423),'2026DATA'!$H$17,"")</f>
        <v/>
      </c>
      <c r="AL438" s="518" t="str">
        <f>IF(AND(_2="B-767-200",'2026'!$O$4="CA",'2026'!$O$2=AL423),'2026DATA'!$I$17,"")</f>
        <v/>
      </c>
      <c r="AM438" s="518" t="str">
        <f>IF(AND(_2="B-767-200",'2026'!$O$4="CA",'2026'!$O$2=AM423),'2026DATA'!$J$17,"")</f>
        <v/>
      </c>
      <c r="AN438" s="518" t="str">
        <f>IF(AND(_2="B-767-200",'2026'!$O$4="CA",'2026'!$O$2=AN423),'2026DATA'!$K$17,"")</f>
        <v/>
      </c>
      <c r="AO438" s="518" t="str">
        <f>IF(AND(_2="B-767-200",'2026'!$O$4="CA",'2026'!$O$2=AO423),'2026DATA'!$L$17,"")</f>
        <v/>
      </c>
      <c r="AP438" s="518" t="str">
        <f>IF(AND(_2="B-767-200",'2026'!$O$4="CA",'2026'!$O$2=AP423),'2026DATA'!$M$17,"")</f>
        <v/>
      </c>
      <c r="AQ438" s="520" t="str">
        <f>IF(AND(_2="B-767-200",'2026'!$O$4="CA",'2026'!$O$2=AQ423),'2026DATA'!$N$17,"")</f>
        <v/>
      </c>
      <c r="AR438" s="940" t="s">
        <v>68</v>
      </c>
      <c r="AS438" s="13" t="s">
        <v>61</v>
      </c>
      <c r="AT438" s="518" t="str">
        <f>IF(AND(_3="B-767-200",'2026'!$O$4="CA",'2026'!$O$2=AT423),'2026DATA'!$C$17,"")</f>
        <v/>
      </c>
      <c r="AU438" s="518" t="str">
        <f>IF(AND(_3="B-767-200",'2026'!$O$4="CA",'2026'!$O$2=AU423),'2026DATA'!$D$17,"")</f>
        <v/>
      </c>
      <c r="AV438" s="518" t="str">
        <f>IF(AND(_3="B-767-200",'2026'!$O$4="CA",'2026'!$O$2=AV423),'2026DATA'!$E$17,"")</f>
        <v/>
      </c>
      <c r="AW438" s="518" t="str">
        <f>IF(AND(_3="B-767-200",'2026'!$O$4="CA",'2026'!$O$2=AW423),'2026DATA'!$F$17,"")</f>
        <v/>
      </c>
      <c r="AX438" s="518" t="str">
        <f>IF(AND(_3="B-767-200",'2026'!$O$4="CA",'2026'!$O$2=AX423),'2026DATA'!$G$17,"")</f>
        <v/>
      </c>
      <c r="AY438" s="518" t="str">
        <f>IF(AND(_3="B-767-200",'2026'!$O$4="CA",'2026'!$O$2=AY423),'2026DATA'!$H$17,"")</f>
        <v/>
      </c>
      <c r="AZ438" s="518" t="str">
        <f>IF(AND(_3="B-767-200",'2026'!$O$4="CA",'2026'!$O$2=AZ423),'2026DATA'!$I$17,"")</f>
        <v/>
      </c>
      <c r="BA438" s="518" t="str">
        <f>IF(AND(_3="B-767-200",'2026'!$O$4="CA",'2026'!$O$2=BA423),'2026DATA'!$J$17,"")</f>
        <v/>
      </c>
      <c r="BB438" s="518" t="str">
        <f>IF(AND(_3="B-767-200",'2026'!$O$4="CA",'2026'!$O$2=BB423),'2026DATA'!$K$17,"")</f>
        <v/>
      </c>
      <c r="BC438" s="518" t="str">
        <f>IF(AND(_3="B-767-200",'2026'!$O$4="CA",'2026'!$O$2=BC423),'2026DATA'!$L$17,"")</f>
        <v/>
      </c>
      <c r="BD438" s="518" t="str">
        <f>IF(AND(_3="B-767-200",'2026'!$O$4="CA",'2026'!$O$2=BD423),'2026DATA'!$M$17,"")</f>
        <v/>
      </c>
      <c r="BE438" s="520" t="str">
        <f>IF(AND(_3="B-767-200",'2026'!$O$4="CA",'2026'!$O$2=BE423),'2026DATA'!$N$17,"")</f>
        <v/>
      </c>
      <c r="BF438" s="940" t="s">
        <v>68</v>
      </c>
      <c r="BG438" s="13" t="s">
        <v>61</v>
      </c>
      <c r="BH438" s="518" t="str">
        <f>IF(AND(_4="B-767-200",'2026'!$O$4="CA",'2026'!$O$2=BH423),'2026DATA'!$C$17,"")</f>
        <v/>
      </c>
      <c r="BI438" s="518" t="str">
        <f>IF(AND(_4="B-767-200",'2026'!$O$4="CA",'2026'!$O$2=BI423),'2026DATA'!$D$17,"")</f>
        <v/>
      </c>
      <c r="BJ438" s="518" t="str">
        <f>IF(AND(_4="B-767-200",'2026'!$O$4="CA",'2026'!$O$2=BJ423),'2026DATA'!$E$17,"")</f>
        <v/>
      </c>
      <c r="BK438" s="518" t="str">
        <f>IF(AND(_4="B-767-200",'2026'!$O$4="CA",'2026'!$O$2=BK423),'2026DATA'!$F$17,"")</f>
        <v/>
      </c>
      <c r="BL438" s="518" t="str">
        <f>IF(AND(_4="B-767-200",'2026'!$O$4="CA",'2026'!$O$2=BL423),'2026DATA'!$G$17,"")</f>
        <v/>
      </c>
      <c r="BM438" s="518" t="str">
        <f>IF(AND(_4="B-767-200",'2026'!$O$4="CA",'2026'!$O$2=BM423),'2026DATA'!$H$17,"")</f>
        <v/>
      </c>
      <c r="BN438" s="518" t="str">
        <f>IF(AND(_4="B-767-200",'2026'!$O$4="CA",'2026'!$O$2=BN423),'2026DATA'!$I$17,"")</f>
        <v/>
      </c>
      <c r="BO438" s="518" t="str">
        <f>IF(AND(_4="B-767-200",'2026'!$O$4="CA",'2026'!$O$2=BO423),'2026DATA'!$J$17,"")</f>
        <v/>
      </c>
      <c r="BP438" s="518" t="str">
        <f>IF(AND(_4="B-767-200",'2026'!$O$4="CA",'2026'!$O$2=BP423),'2026DATA'!$K$17,"")</f>
        <v/>
      </c>
      <c r="BQ438" s="518" t="str">
        <f>IF(AND(_4="B-767-200",'2026'!$O$4="CA",'2026'!$O$2=BQ423),'2026DATA'!$L$17,"")</f>
        <v/>
      </c>
      <c r="BR438" s="518" t="str">
        <f>IF(AND(_4="B-767-200",'2026'!$O$4="CA",'2026'!$O$2=BR423),'2026DATA'!$M$17,"")</f>
        <v/>
      </c>
      <c r="BS438" s="520" t="str">
        <f>IF(AND(_4="B-767-200",'2026'!$O$4="CA",'2026'!$O$2=BS423),'2026DATA'!$N$17,"")</f>
        <v/>
      </c>
      <c r="BT438" s="940" t="s">
        <v>68</v>
      </c>
      <c r="BU438" s="13" t="s">
        <v>61</v>
      </c>
      <c r="BV438" s="518" t="str">
        <f>IF(AND(_5="B-767-200",'2026'!$O$4="CA",'2026'!$O$2=BV423),'2026DATA'!$C$17,"")</f>
        <v/>
      </c>
      <c r="BW438" s="518" t="str">
        <f>IF(AND(_5="B-767-200",'2026'!$O$4="CA",'2026'!$O$2=BW423),'2026DATA'!$D$17,"")</f>
        <v/>
      </c>
      <c r="BX438" s="518" t="str">
        <f>IF(AND(_5="B-767-200",'2026'!$O$4="CA",'2026'!$O$2=BX423),'2026DATA'!$E$17,"")</f>
        <v/>
      </c>
      <c r="BY438" s="518" t="str">
        <f>IF(AND(_5="B-767-200",'2026'!$O$4="CA",'2026'!$O$2=BY423),'2026DATA'!$F$17,"")</f>
        <v/>
      </c>
      <c r="BZ438" s="518" t="str">
        <f>IF(AND(_5="B-767-200",'2026'!$O$4="CA",'2026'!$O$2=BZ423),'2026DATA'!$G$17,"")</f>
        <v/>
      </c>
      <c r="CA438" s="518" t="str">
        <f>IF(AND(_5="B-767-200",'2026'!$O$4="CA",'2026'!$O$2=CA423),'2026DATA'!$H$17,"")</f>
        <v/>
      </c>
      <c r="CB438" s="518" t="str">
        <f>IF(AND(_5="B-767-200",'2026'!$O$4="CA",'2026'!$O$2=CB423),'2026DATA'!$I$17,"")</f>
        <v/>
      </c>
      <c r="CC438" s="518" t="str">
        <f>IF(AND(_5="B-767-200",'2026'!$O$4="CA",'2026'!$O$2=CC423),'2026DATA'!$J$17,"")</f>
        <v/>
      </c>
      <c r="CD438" s="518" t="str">
        <f>IF(AND(_5="B-767-200",'2026'!$O$4="CA",'2026'!$O$2=CD423),'2026DATA'!$K$17,"")</f>
        <v/>
      </c>
      <c r="CE438" s="518" t="str">
        <f>IF(AND(_5="B-767-200",'2026'!$O$4="CA",'2026'!$O$2=CE423),'2026DATA'!$L$17,"")</f>
        <v/>
      </c>
      <c r="CF438" s="518" t="str">
        <f>IF(AND(_5="B-767-200",'2026'!$O$4="CA",'2026'!$O$2=CF423),'2026DATA'!$M$17,"")</f>
        <v/>
      </c>
      <c r="CG438" s="520" t="str">
        <f>IF(AND(_5="B-767-200",'2026'!$O$4="CA",'2026'!$O$2=CG423),'2026DATA'!$N$17,"")</f>
        <v/>
      </c>
      <c r="CH438" s="940" t="s">
        <v>68</v>
      </c>
      <c r="CI438" s="13" t="s">
        <v>61</v>
      </c>
      <c r="CJ438" s="518" t="str">
        <f>IF(AND(_6="B-767-200",'2026'!$O$4="CA",'2026'!$O$2=CJ423),'2026DATA'!$C$17,"")</f>
        <v/>
      </c>
      <c r="CK438" s="518" t="str">
        <f>IF(AND(_6="B-767-200",'2026'!$O$4="CA",'2026'!$O$2=CK423),'2026DATA'!$D$17,"")</f>
        <v/>
      </c>
      <c r="CL438" s="518" t="str">
        <f>IF(AND(_6="B-767-200",'2026'!$O$4="CA",'2026'!$O$2=CL423),'2026DATA'!$E$17,"")</f>
        <v/>
      </c>
      <c r="CM438" s="518" t="str">
        <f>IF(AND(_6="B-767-200",'2026'!$O$4="CA",'2026'!$O$2=CM423),'2026DATA'!$F$17,"")</f>
        <v/>
      </c>
      <c r="CN438" s="518" t="str">
        <f>IF(AND(_6="B-767-200",'2026'!$O$4="CA",'2026'!$O$2=CN423),'2026DATA'!$G$17,"")</f>
        <v/>
      </c>
      <c r="CO438" s="518" t="str">
        <f>IF(AND(_6="B-767-200",'2026'!$O$4="CA",'2026'!$O$2=CO423),'2026DATA'!$H$17,"")</f>
        <v/>
      </c>
      <c r="CP438" s="518" t="str">
        <f>IF(AND(_6="B-767-200",'2026'!$O$4="CA",'2026'!$O$2=CP423),'2026DATA'!$I$17,"")</f>
        <v/>
      </c>
      <c r="CQ438" s="518" t="str">
        <f>IF(AND(_6="B-767-200",'2026'!$O$4="CA",'2026'!$O$2=CQ423),'2026DATA'!$J$17,"")</f>
        <v/>
      </c>
      <c r="CR438" s="518" t="str">
        <f>IF(AND(_6="B-767-200",'2026'!$O$4="CA",'2026'!$O$2=CR423),'2026DATA'!$K$17,"")</f>
        <v/>
      </c>
      <c r="CS438" s="518" t="str">
        <f>IF(AND(_6="B-767-200",'2026'!$O$4="CA",'2026'!$O$2=CS423),'2026DATA'!$L$17,"")</f>
        <v/>
      </c>
      <c r="CT438" s="518" t="str">
        <f>IF(AND(_6="B-767-200",'2026'!$O$4="CA",'2026'!$O$2=CT423),'2026DATA'!$M$17,"")</f>
        <v/>
      </c>
      <c r="CU438" s="520" t="str">
        <f>IF(AND(_6="B-767-200",'2026'!$O$4="CA",'2026'!$O$2=CU423),'2026DATA'!$N$17,"")</f>
        <v/>
      </c>
    </row>
    <row r="439" spans="16:99" x14ac:dyDescent="0.25">
      <c r="P439" s="940"/>
      <c r="Q439" s="13" t="s">
        <v>62</v>
      </c>
      <c r="R439" s="518" t="str">
        <f>IF(AND(_1="B-767-200",'2026'!$O$4="FO",'2026'!$O$2=R423),'2026DATA'!$C$18,"")</f>
        <v/>
      </c>
      <c r="S439" s="518" t="str">
        <f>IF(AND(_1="B-767-200",'2026'!$O$4="FO",'2026'!$O$2=S423),'2026DATA'!$D$18,"")</f>
        <v/>
      </c>
      <c r="T439" s="518" t="str">
        <f>IF(AND(_1="B-767-200",'2026'!$O$4="FO",'2026'!$O$2=T423),'2026DATA'!$E$18,"")</f>
        <v/>
      </c>
      <c r="U439" s="518" t="str">
        <f>IF(AND(_1="B-767-200",'2026'!$O$4="FO",'2026'!$O$2=U423),'2026DATA'!$F$18,"")</f>
        <v/>
      </c>
      <c r="V439" s="518" t="str">
        <f>IF(AND(_1="B-767-200",'2026'!$O$4="FO",'2026'!$O$2=V423),'2026DATA'!$G$18,"")</f>
        <v/>
      </c>
      <c r="W439" s="518" t="str">
        <f>IF(AND(_1="B-767-200",'2026'!$O$4="FO",'2026'!$O$2=W423),'2026DATA'!$H$18,"")</f>
        <v/>
      </c>
      <c r="X439" s="518" t="str">
        <f>IF(AND(_1="B-767-200",'2026'!$O$4="FO",'2026'!$O$2=X423),'2026DATA'!$I$18,"")</f>
        <v/>
      </c>
      <c r="Y439" s="518" t="str">
        <f>IF(AND(_1="B-767-200",'2026'!$O$4="FO",'2026'!$O$2=Y423),'2026DATA'!$J$18,"")</f>
        <v/>
      </c>
      <c r="Z439" s="518" t="str">
        <f>IF(AND(_1="B-767-200",'2026'!$O$4="FO",'2026'!$O$2=Z423),'2026DATA'!$K$18,"")</f>
        <v/>
      </c>
      <c r="AA439" s="518" t="str">
        <f>IF(AND(_1="B-767-200",'2026'!$O$4="FO",'2026'!$O$2=AA423),'2026DATA'!$L$18,"")</f>
        <v/>
      </c>
      <c r="AB439" s="518" t="str">
        <f>IF(AND(_1="B-767-200",'2026'!$O$4="FO",'2026'!$O$2=AB423),'2026DATA'!$M$18,"")</f>
        <v/>
      </c>
      <c r="AC439" s="520" t="str">
        <f>IF(AND(_1="B-767-200",'2026'!$O$4="FO",'2026'!$O$2=AC423),'2026DATA'!$N$18,"")</f>
        <v/>
      </c>
      <c r="AD439" s="940"/>
      <c r="AE439" s="13" t="s">
        <v>62</v>
      </c>
      <c r="AF439" s="518" t="str">
        <f>IF(AND(_2="B-767-200",'2026'!$O$4="FO",'2026'!$O$2=AF423),'2026DATA'!$C$18,"")</f>
        <v/>
      </c>
      <c r="AG439" s="518" t="str">
        <f>IF(AND(_2="B-767-200",'2026'!$O$4="FO",'2026'!$O$2=AG423),'2026DATA'!$D$18,"")</f>
        <v/>
      </c>
      <c r="AH439" s="518" t="str">
        <f>IF(AND(_2="B-767-200",'2026'!$O$4="FO",'2026'!$O$2=AH423),'2026DATA'!$E$18,"")</f>
        <v/>
      </c>
      <c r="AI439" s="518" t="str">
        <f>IF(AND(_2="B-767-200",'2026'!$O$4="FO",'2026'!$O$2=AI423),'2026DATA'!$F$18,"")</f>
        <v/>
      </c>
      <c r="AJ439" s="518" t="str">
        <f>IF(AND(_2="B-767-200",'2026'!$O$4="FO",'2026'!$O$2=AJ423),'2026DATA'!$G$18,"")</f>
        <v/>
      </c>
      <c r="AK439" s="518" t="str">
        <f>IF(AND(_2="B-767-200",'2026'!$O$4="FO",'2026'!$O$2=AK423),'2026DATA'!$H$18,"")</f>
        <v/>
      </c>
      <c r="AL439" s="518" t="str">
        <f>IF(AND(_2="B-767-200",'2026'!$O$4="FO",'2026'!$O$2=AL423),'2026DATA'!$I$18,"")</f>
        <v/>
      </c>
      <c r="AM439" s="518" t="str">
        <f>IF(AND(_2="B-767-200",'2026'!$O$4="FO",'2026'!$O$2=AM423),'2026DATA'!$J$18,"")</f>
        <v/>
      </c>
      <c r="AN439" s="518" t="str">
        <f>IF(AND(_2="B-767-200",'2026'!$O$4="FO",'2026'!$O$2=AN423),'2026DATA'!$K$18,"")</f>
        <v/>
      </c>
      <c r="AO439" s="518" t="str">
        <f>IF(AND(_2="B-767-200",'2026'!$O$4="FO",'2026'!$O$2=AO423),'2026DATA'!$L$18,"")</f>
        <v/>
      </c>
      <c r="AP439" s="518" t="str">
        <f>IF(AND(_2="B-767-200",'2026'!$O$4="FO",'2026'!$O$2=AP423),'2026DATA'!$M$18,"")</f>
        <v/>
      </c>
      <c r="AQ439" s="520" t="str">
        <f>IF(AND(_2="B-767-200",'2026'!$O$4="FO",'2026'!$O$2=AQ423),'2026DATA'!$N$18,"")</f>
        <v/>
      </c>
      <c r="AR439" s="940"/>
      <c r="AS439" s="13" t="s">
        <v>62</v>
      </c>
      <c r="AT439" s="518" t="str">
        <f>IF(AND(_3="B-767-200",'2026'!$O$4="FO",'2026'!$O$2=AT423),'2026DATA'!$C$18,"")</f>
        <v/>
      </c>
      <c r="AU439" s="518" t="str">
        <f>IF(AND(_3="B-767-200",'2026'!$O$4="FO",'2026'!$O$2=AU423),'2026DATA'!$D$18,"")</f>
        <v/>
      </c>
      <c r="AV439" s="518" t="str">
        <f>IF(AND(_3="B-767-200",'2026'!$O$4="FO",'2026'!$O$2=AV423),'2026DATA'!$E$18,"")</f>
        <v/>
      </c>
      <c r="AW439" s="518" t="str">
        <f>IF(AND(_3="B-767-200",'2026'!$O$4="FO",'2026'!$O$2=AW423),'2026DATA'!$F$18,"")</f>
        <v/>
      </c>
      <c r="AX439" s="518" t="str">
        <f>IF(AND(_3="B-767-200",'2026'!$O$4="FO",'2026'!$O$2=AX423),'2026DATA'!$G$18,"")</f>
        <v/>
      </c>
      <c r="AY439" s="518" t="str">
        <f>IF(AND(_3="B-767-200",'2026'!$O$4="FO",'2026'!$O$2=AY423),'2026DATA'!$H$18,"")</f>
        <v/>
      </c>
      <c r="AZ439" s="518" t="str">
        <f>IF(AND(_3="B-767-200",'2026'!$O$4="FO",'2026'!$O$2=AZ423),'2026DATA'!$I$18,"")</f>
        <v/>
      </c>
      <c r="BA439" s="518" t="str">
        <f>IF(AND(_3="B-767-200",'2026'!$O$4="FO",'2026'!$O$2=BA423),'2026DATA'!$J$18,"")</f>
        <v/>
      </c>
      <c r="BB439" s="518" t="str">
        <f>IF(AND(_3="B-767-200",'2026'!$O$4="FO",'2026'!$O$2=BB423),'2026DATA'!$K$18,"")</f>
        <v/>
      </c>
      <c r="BC439" s="518" t="str">
        <f>IF(AND(_3="B-767-200",'2026'!$O$4="FO",'2026'!$O$2=BC423),'2026DATA'!$L$18,"")</f>
        <v/>
      </c>
      <c r="BD439" s="518" t="str">
        <f>IF(AND(_3="B-767-200",'2026'!$O$4="FO",'2026'!$O$2=BD423),'2026DATA'!$M$18,"")</f>
        <v/>
      </c>
      <c r="BE439" s="520" t="str">
        <f>IF(AND(_3="B-767-200",'2026'!$O$4="FO",'2026'!$O$2=BE423),'2026DATA'!$N$18,"")</f>
        <v/>
      </c>
      <c r="BF439" s="940"/>
      <c r="BG439" s="13" t="s">
        <v>62</v>
      </c>
      <c r="BH439" s="518" t="str">
        <f>IF(AND(_4="B-767-200",'2026'!$O$4="FO",'2026'!$O$2=BH423),'2026DATA'!$C$18,"")</f>
        <v/>
      </c>
      <c r="BI439" s="518" t="str">
        <f>IF(AND(_4="B-767-200",'2026'!$O$4="FO",'2026'!$O$2=BI423),'2026DATA'!$D$18,"")</f>
        <v/>
      </c>
      <c r="BJ439" s="518" t="str">
        <f>IF(AND(_4="B-767-200",'2026'!$O$4="FO",'2026'!$O$2=BJ423),'2026DATA'!$E$18,"")</f>
        <v/>
      </c>
      <c r="BK439" s="518" t="str">
        <f>IF(AND(_4="B-767-200",'2026'!$O$4="FO",'2026'!$O$2=BK423),'2026DATA'!$F$18,"")</f>
        <v/>
      </c>
      <c r="BL439" s="518" t="str">
        <f>IF(AND(_4="B-767-200",'2026'!$O$4="FO",'2026'!$O$2=BL423),'2026DATA'!$G$18,"")</f>
        <v/>
      </c>
      <c r="BM439" s="518" t="str">
        <f>IF(AND(_4="B-767-200",'2026'!$O$4="FO",'2026'!$O$2=BM423),'2026DATA'!$H$18,"")</f>
        <v/>
      </c>
      <c r="BN439" s="518" t="str">
        <f>IF(AND(_4="B-767-200",'2026'!$O$4="FO",'2026'!$O$2=BN423),'2026DATA'!$I$18,"")</f>
        <v/>
      </c>
      <c r="BO439" s="518" t="str">
        <f>IF(AND(_4="B-767-200",'2026'!$O$4="FO",'2026'!$O$2=BO423),'2026DATA'!$J$18,"")</f>
        <v/>
      </c>
      <c r="BP439" s="518" t="str">
        <f>IF(AND(_4="B-767-200",'2026'!$O$4="FO",'2026'!$O$2=BP423),'2026DATA'!$K$18,"")</f>
        <v/>
      </c>
      <c r="BQ439" s="518" t="str">
        <f>IF(AND(_4="B-767-200",'2026'!$O$4="FO",'2026'!$O$2=BQ423),'2026DATA'!$L$18,"")</f>
        <v/>
      </c>
      <c r="BR439" s="518" t="str">
        <f>IF(AND(_4="B-767-200",'2026'!$O$4="FO",'2026'!$O$2=BR423),'2026DATA'!$M$18,"")</f>
        <v/>
      </c>
      <c r="BS439" s="520" t="str">
        <f>IF(AND(_4="B-767-200",'2026'!$O$4="FO",'2026'!$O$2=BS423),'2026DATA'!$N$18,"")</f>
        <v/>
      </c>
      <c r="BT439" s="940"/>
      <c r="BU439" s="13" t="s">
        <v>62</v>
      </c>
      <c r="BV439" s="518" t="str">
        <f>IF(AND(_5="B-767-200",'2026'!$O$4="FO",'2026'!$O$2=BV423),'2026DATA'!$C$18,"")</f>
        <v/>
      </c>
      <c r="BW439" s="518" t="str">
        <f>IF(AND(_5="B-767-200",'2026'!$O$4="FO",'2026'!$O$2=BW423),'2026DATA'!$D$18,"")</f>
        <v/>
      </c>
      <c r="BX439" s="518" t="str">
        <f>IF(AND(_5="B-767-200",'2026'!$O$4="FO",'2026'!$O$2=BX423),'2026DATA'!$E$18,"")</f>
        <v/>
      </c>
      <c r="BY439" s="518" t="str">
        <f>IF(AND(_5="B-767-200",'2026'!$O$4="FO",'2026'!$O$2=BY423),'2026DATA'!$F$18,"")</f>
        <v/>
      </c>
      <c r="BZ439" s="518" t="str">
        <f>IF(AND(_5="B-767-200",'2026'!$O$4="FO",'2026'!$O$2=BZ423),'2026DATA'!$G$18,"")</f>
        <v/>
      </c>
      <c r="CA439" s="518" t="str">
        <f>IF(AND(_5="B-767-200",'2026'!$O$4="FO",'2026'!$O$2=CA423),'2026DATA'!$H$18,"")</f>
        <v/>
      </c>
      <c r="CB439" s="518" t="str">
        <f>IF(AND(_5="B-767-200",'2026'!$O$4="FO",'2026'!$O$2=CB423),'2026DATA'!$I$18,"")</f>
        <v/>
      </c>
      <c r="CC439" s="518" t="str">
        <f>IF(AND(_5="B-767-200",'2026'!$O$4="FO",'2026'!$O$2=CC423),'2026DATA'!$J$18,"")</f>
        <v/>
      </c>
      <c r="CD439" s="518" t="str">
        <f>IF(AND(_5="B-767-200",'2026'!$O$4="FO",'2026'!$O$2=CD423),'2026DATA'!$K$18,"")</f>
        <v/>
      </c>
      <c r="CE439" s="518" t="str">
        <f>IF(AND(_5="B-767-200",'2026'!$O$4="FO",'2026'!$O$2=CE423),'2026DATA'!$L$18,"")</f>
        <v/>
      </c>
      <c r="CF439" s="518" t="str">
        <f>IF(AND(_5="B-767-200",'2026'!$O$4="FO",'2026'!$O$2=CF423),'2026DATA'!$M$18,"")</f>
        <v/>
      </c>
      <c r="CG439" s="520" t="str">
        <f>IF(AND(_5="B-767-200",'2026'!$O$4="FO",'2026'!$O$2=CG423),'2026DATA'!$N$18,"")</f>
        <v/>
      </c>
      <c r="CH439" s="940"/>
      <c r="CI439" s="13" t="s">
        <v>62</v>
      </c>
      <c r="CJ439" s="518" t="str">
        <f>IF(AND(_6="B-767-200",'2026'!$O$4="FO",'2026'!$O$2=CJ423),'2026DATA'!$C$18,"")</f>
        <v/>
      </c>
      <c r="CK439" s="518" t="str">
        <f>IF(AND(_6="B-767-200",'2026'!$O$4="FO",'2026'!$O$2=CK423),'2026DATA'!$D$18,"")</f>
        <v/>
      </c>
      <c r="CL439" s="518" t="str">
        <f>IF(AND(_6="B-767-200",'2026'!$O$4="FO",'2026'!$O$2=CL423),'2026DATA'!$E$18,"")</f>
        <v/>
      </c>
      <c r="CM439" s="518" t="str">
        <f>IF(AND(_6="B-767-200",'2026'!$O$4="FO",'2026'!$O$2=CM423),'2026DATA'!$F$18,"")</f>
        <v/>
      </c>
      <c r="CN439" s="518" t="str">
        <f>IF(AND(_6="B-767-200",'2026'!$O$4="FO",'2026'!$O$2=CN423),'2026DATA'!$G$18,"")</f>
        <v/>
      </c>
      <c r="CO439" s="518" t="str">
        <f>IF(AND(_6="B-767-200",'2026'!$O$4="FO",'2026'!$O$2=CO423),'2026DATA'!$H$18,"")</f>
        <v/>
      </c>
      <c r="CP439" s="518" t="str">
        <f>IF(AND(_6="B-767-200",'2026'!$O$4="FO",'2026'!$O$2=CP423),'2026DATA'!$I$18,"")</f>
        <v/>
      </c>
      <c r="CQ439" s="518" t="str">
        <f>IF(AND(_6="B-767-200",'2026'!$O$4="FO",'2026'!$O$2=CQ423),'2026DATA'!$J$18,"")</f>
        <v/>
      </c>
      <c r="CR439" s="518" t="str">
        <f>IF(AND(_6="B-767-200",'2026'!$O$4="FO",'2026'!$O$2=CR423),'2026DATA'!$K$18,"")</f>
        <v/>
      </c>
      <c r="CS439" s="518" t="str">
        <f>IF(AND(_6="B-767-200",'2026'!$O$4="FO",'2026'!$O$2=CS423),'2026DATA'!$L$18,"")</f>
        <v/>
      </c>
      <c r="CT439" s="518" t="str">
        <f>IF(AND(_6="B-767-200",'2026'!$O$4="FO",'2026'!$O$2=CT423),'2026DATA'!$M$18,"")</f>
        <v/>
      </c>
      <c r="CU439" s="520" t="str">
        <f>IF(AND(_6="B-767-200",'2026'!$O$4="FO",'2026'!$O$2=CU423),'2026DATA'!$N$18,"")</f>
        <v/>
      </c>
    </row>
    <row r="440" spans="16:99" x14ac:dyDescent="0.25">
      <c r="P440" s="940" t="s">
        <v>45</v>
      </c>
      <c r="Q440" s="13" t="s">
        <v>61</v>
      </c>
      <c r="R440" s="518" t="str">
        <f>IF(AND(_1="B-757",'2026'!$O$4="CA",'2026'!$O$2=R423),'2026DATA'!$C$19,"")</f>
        <v/>
      </c>
      <c r="S440" s="518" t="str">
        <f>IF(AND(_1="B-757",'2026'!$O$4="CA",'2026'!$O$2=S423),'2026DATA'!$D$19,"")</f>
        <v/>
      </c>
      <c r="T440" s="518" t="str">
        <f>IF(AND(_1="B-757",'2026'!$O$4="CA",'2026'!$O$2=T423),'2026DATA'!$E$19,"")</f>
        <v/>
      </c>
      <c r="U440" s="518" t="str">
        <f>IF(AND(_1="B-757",'2026'!$O$4="CA",'2026'!$O$2=U423),'2026DATA'!$F$19,"")</f>
        <v/>
      </c>
      <c r="V440" s="518" t="str">
        <f>IF(AND(_1="B-757",'2026'!$O$4="CA",'2026'!$O$2=V423),'2026DATA'!$G$19,"")</f>
        <v/>
      </c>
      <c r="W440" s="518" t="str">
        <f>IF(AND(_1="B-757",'2026'!$O$4="CA",'2026'!$O$2=W423),'2026DATA'!$H$19,"")</f>
        <v/>
      </c>
      <c r="X440" s="518" t="str">
        <f>IF(AND(_1="B-757",'2026'!$O$4="CA",'2026'!$O$2=X423),'2026DATA'!$I$19,"")</f>
        <v/>
      </c>
      <c r="Y440" s="518" t="str">
        <f>IF(AND(_1="B-757",'2026'!$O$4="CA",'2026'!$O$2=Y423),'2026DATA'!$J$19,"")</f>
        <v/>
      </c>
      <c r="Z440" s="518" t="str">
        <f>IF(AND(_1="B-757",'2026'!$O$4="CA",'2026'!$O$2=Z423),'2026DATA'!$K$19,"")</f>
        <v/>
      </c>
      <c r="AA440" s="518" t="str">
        <f>IF(AND(_1="B-757",'2026'!$O$4="CA",'2026'!$O$2=AA423),'2026DATA'!$L$19,"")</f>
        <v/>
      </c>
      <c r="AB440" s="518" t="str">
        <f>IF(AND(_1="B-757",'2026'!$O$4="CA",'2026'!$O$2=AB423),'2026DATA'!$M$19,"")</f>
        <v/>
      </c>
      <c r="AC440" s="520" t="str">
        <f>IF(AND(_1="B-757",'2026'!$O$4="CA",'2026'!$O$2=AC423),'2026DATA'!$N$19,"")</f>
        <v/>
      </c>
      <c r="AD440" s="940" t="s">
        <v>45</v>
      </c>
      <c r="AE440" s="13" t="s">
        <v>61</v>
      </c>
      <c r="AF440" s="518" t="str">
        <f>IF(AND(_2="B-757",'2026'!$O$4="CA",'2026'!$O$2=AF423),'2026DATA'!$C$19,"")</f>
        <v/>
      </c>
      <c r="AG440" s="518" t="str">
        <f>IF(AND(_2="B-757",'2026'!$O$4="CA",'2026'!$O$2=AG423),'2026DATA'!$D$19,"")</f>
        <v/>
      </c>
      <c r="AH440" s="518" t="str">
        <f>IF(AND(_2="B-757",'2026'!$O$4="CA",'2026'!$O$2=AH423),'2026DATA'!$E$19,"")</f>
        <v/>
      </c>
      <c r="AI440" s="518" t="str">
        <f>IF(AND(_2="B-757",'2026'!$O$4="CA",'2026'!$O$2=AI423),'2026DATA'!$F$19,"")</f>
        <v/>
      </c>
      <c r="AJ440" s="518" t="str">
        <f>IF(AND(_2="B-757",'2026'!$O$4="CA",'2026'!$O$2=AJ423),'2026DATA'!$G$19,"")</f>
        <v/>
      </c>
      <c r="AK440" s="518" t="str">
        <f>IF(AND(_2="B-757",'2026'!$O$4="CA",'2026'!$O$2=AK423),'2026DATA'!$H$19,"")</f>
        <v/>
      </c>
      <c r="AL440" s="518" t="str">
        <f>IF(AND(_2="B-757",'2026'!$O$4="CA",'2026'!$O$2=AL423),'2026DATA'!$I$19,"")</f>
        <v/>
      </c>
      <c r="AM440" s="518" t="str">
        <f>IF(AND(_2="B-757",'2026'!$O$4="CA",'2026'!$O$2=AM423),'2026DATA'!$J$19,"")</f>
        <v/>
      </c>
      <c r="AN440" s="518" t="str">
        <f>IF(AND(_2="B-757",'2026'!$O$4="CA",'2026'!$O$2=AN423),'2026DATA'!$K$19,"")</f>
        <v/>
      </c>
      <c r="AO440" s="518" t="str">
        <f>IF(AND(_2="B-757",'2026'!$O$4="CA",'2026'!$O$2=AO423),'2026DATA'!$L$19,"")</f>
        <v/>
      </c>
      <c r="AP440" s="518" t="str">
        <f>IF(AND(_2="B-757",'2026'!$O$4="CA",'2026'!$O$2=AP423),'2026DATA'!$M$19,"")</f>
        <v/>
      </c>
      <c r="AQ440" s="520" t="str">
        <f>IF(AND(_2="B-757",'2026'!$O$4="CA",'2026'!$O$2=AQ423),'2026DATA'!$N$19,"")</f>
        <v/>
      </c>
      <c r="AR440" s="940" t="s">
        <v>45</v>
      </c>
      <c r="AS440" s="13" t="s">
        <v>61</v>
      </c>
      <c r="AT440" s="518" t="str">
        <f>IF(AND(_3="B-757",'2026'!$O$4="CA",'2026'!$O$2=AT423),'2026DATA'!$C$19,"")</f>
        <v/>
      </c>
      <c r="AU440" s="518" t="str">
        <f>IF(AND(_3="B-757",'2026'!$O$4="CA",'2026'!$O$2=AU423),'2026DATA'!$D$19,"")</f>
        <v/>
      </c>
      <c r="AV440" s="518" t="str">
        <f>IF(AND(_3="B-757",'2026'!$O$4="CA",'2026'!$O$2=AV423),'2026DATA'!$E$19,"")</f>
        <v/>
      </c>
      <c r="AW440" s="518" t="str">
        <f>IF(AND(_3="B-757",'2026'!$O$4="CA",'2026'!$O$2=AW423),'2026DATA'!$F$19,"")</f>
        <v/>
      </c>
      <c r="AX440" s="518" t="str">
        <f>IF(AND(_3="B-757",'2026'!$O$4="CA",'2026'!$O$2=AX423),'2026DATA'!$G$19,"")</f>
        <v/>
      </c>
      <c r="AY440" s="518" t="str">
        <f>IF(AND(_3="B-757",'2026'!$O$4="CA",'2026'!$O$2=AY423),'2026DATA'!$H$19,"")</f>
        <v/>
      </c>
      <c r="AZ440" s="518" t="str">
        <f>IF(AND(_3="B-757",'2026'!$O$4="CA",'2026'!$O$2=AZ423),'2026DATA'!$I$19,"")</f>
        <v/>
      </c>
      <c r="BA440" s="518" t="str">
        <f>IF(AND(_3="B-757",'2026'!$O$4="CA",'2026'!$O$2=BA423),'2026DATA'!$J$19,"")</f>
        <v/>
      </c>
      <c r="BB440" s="518" t="str">
        <f>IF(AND(_3="B-757",'2026'!$O$4="CA",'2026'!$O$2=BB423),'2026DATA'!$K$19,"")</f>
        <v/>
      </c>
      <c r="BC440" s="518" t="str">
        <f>IF(AND(_3="B-757",'2026'!$O$4="CA",'2026'!$O$2=BC423),'2026DATA'!$L$19,"")</f>
        <v/>
      </c>
      <c r="BD440" s="518" t="str">
        <f>IF(AND(_3="B-757",'2026'!$O$4="CA",'2026'!$O$2=BD423),'2026DATA'!$M$19,"")</f>
        <v/>
      </c>
      <c r="BE440" s="520" t="str">
        <f>IF(AND(_3="B-757",'2026'!$O$4="CA",'2026'!$O$2=BE423),'2026DATA'!$N$19,"")</f>
        <v/>
      </c>
      <c r="BF440" s="940" t="s">
        <v>45</v>
      </c>
      <c r="BG440" s="13" t="s">
        <v>61</v>
      </c>
      <c r="BH440" s="518" t="str">
        <f>IF(AND(_4="B-757",'2026'!$O$4="CA",'2026'!$O$2=BH423),'2026DATA'!$C$19,"")</f>
        <v/>
      </c>
      <c r="BI440" s="518" t="str">
        <f>IF(AND(_4="B-757",'2026'!$O$4="CA",'2026'!$O$2=BI423),'2026DATA'!$D$19,"")</f>
        <v/>
      </c>
      <c r="BJ440" s="518" t="str">
        <f>IF(AND(_4="B-757",'2026'!$O$4="CA",'2026'!$O$2=BJ423),'2026DATA'!$E$19,"")</f>
        <v/>
      </c>
      <c r="BK440" s="518" t="str">
        <f>IF(AND(_4="B-757",'2026'!$O$4="CA",'2026'!$O$2=BK423),'2026DATA'!$F$19,"")</f>
        <v/>
      </c>
      <c r="BL440" s="518" t="str">
        <f>IF(AND(_4="B-757",'2026'!$O$4="CA",'2026'!$O$2=BL423),'2026DATA'!$G$19,"")</f>
        <v/>
      </c>
      <c r="BM440" s="518" t="str">
        <f>IF(AND(_4="B-757",'2026'!$O$4="CA",'2026'!$O$2=BM423),'2026DATA'!$H$19,"")</f>
        <v/>
      </c>
      <c r="BN440" s="518" t="str">
        <f>IF(AND(_4="B-757",'2026'!$O$4="CA",'2026'!$O$2=BN423),'2026DATA'!$I$19,"")</f>
        <v/>
      </c>
      <c r="BO440" s="518" t="str">
        <f>IF(AND(_4="B-757",'2026'!$O$4="CA",'2026'!$O$2=BO423),'2026DATA'!$J$19,"")</f>
        <v/>
      </c>
      <c r="BP440" s="518" t="str">
        <f>IF(AND(_4="B-757",'2026'!$O$4="CA",'2026'!$O$2=BP423),'2026DATA'!$K$19,"")</f>
        <v/>
      </c>
      <c r="BQ440" s="518" t="str">
        <f>IF(AND(_4="B-757",'2026'!$O$4="CA",'2026'!$O$2=BQ423),'2026DATA'!$L$19,"")</f>
        <v/>
      </c>
      <c r="BR440" s="518" t="str">
        <f>IF(AND(_4="B-757",'2026'!$O$4="CA",'2026'!$O$2=BR423),'2026DATA'!$M$19,"")</f>
        <v/>
      </c>
      <c r="BS440" s="520" t="str">
        <f>IF(AND(_4="B-757",'2026'!$O$4="CA",'2026'!$O$2=BS423),'2026DATA'!$N$19,"")</f>
        <v/>
      </c>
      <c r="BT440" s="940" t="s">
        <v>45</v>
      </c>
      <c r="BU440" s="13" t="s">
        <v>61</v>
      </c>
      <c r="BV440" s="518" t="str">
        <f>IF(AND(_5="B-757",'2026'!$O$4="CA",'2026'!$O$2=BV423),'2026DATA'!$C$19,"")</f>
        <v/>
      </c>
      <c r="BW440" s="518" t="str">
        <f>IF(AND(_5="B-757",'2026'!$O$4="CA",'2026'!$O$2=BW423),'2026DATA'!$D$19,"")</f>
        <v/>
      </c>
      <c r="BX440" s="518" t="str">
        <f>IF(AND(_5="B-757",'2026'!$O$4="CA",'2026'!$O$2=BX423),'2026DATA'!$E$19,"")</f>
        <v/>
      </c>
      <c r="BY440" s="518" t="str">
        <f>IF(AND(_5="B-757",'2026'!$O$4="CA",'2026'!$O$2=BY423),'2026DATA'!$F$19,"")</f>
        <v/>
      </c>
      <c r="BZ440" s="518" t="str">
        <f>IF(AND(_5="B-757",'2026'!$O$4="CA",'2026'!$O$2=BZ423),'2026DATA'!$G$19,"")</f>
        <v/>
      </c>
      <c r="CA440" s="518" t="str">
        <f>IF(AND(_5="B-757",'2026'!$O$4="CA",'2026'!$O$2=CA423),'2026DATA'!$H$19,"")</f>
        <v/>
      </c>
      <c r="CB440" s="518" t="str">
        <f>IF(AND(_5="B-757",'2026'!$O$4="CA",'2026'!$O$2=CB423),'2026DATA'!$I$19,"")</f>
        <v/>
      </c>
      <c r="CC440" s="518" t="str">
        <f>IF(AND(_5="B-757",'2026'!$O$4="CA",'2026'!$O$2=CC423),'2026DATA'!$J$19,"")</f>
        <v/>
      </c>
      <c r="CD440" s="518" t="str">
        <f>IF(AND(_5="B-757",'2026'!$O$4="CA",'2026'!$O$2=CD423),'2026DATA'!$K$19,"")</f>
        <v/>
      </c>
      <c r="CE440" s="518" t="str">
        <f>IF(AND(_5="B-757",'2026'!$O$4="CA",'2026'!$O$2=CE423),'2026DATA'!$L$19,"")</f>
        <v/>
      </c>
      <c r="CF440" s="518" t="str">
        <f>IF(AND(_5="B-757",'2026'!$O$4="CA",'2026'!$O$2=CF423),'2026DATA'!$M$19,"")</f>
        <v/>
      </c>
      <c r="CG440" s="520" t="str">
        <f>IF(AND(_5="B-757",'2026'!$O$4="CA",'2026'!$O$2=CG423),'2026DATA'!$N$19,"")</f>
        <v/>
      </c>
      <c r="CH440" s="940" t="s">
        <v>45</v>
      </c>
      <c r="CI440" s="13" t="s">
        <v>61</v>
      </c>
      <c r="CJ440" s="518" t="str">
        <f>IF(AND(_6="B-757",'2026'!$O$4="CA",'2026'!$O$2=CJ423),'2026DATA'!$C$19,"")</f>
        <v/>
      </c>
      <c r="CK440" s="518" t="str">
        <f>IF(AND(_6="B-757",'2026'!$O$4="CA",'2026'!$O$2=CK423),'2026DATA'!$D$19,"")</f>
        <v/>
      </c>
      <c r="CL440" s="518" t="str">
        <f>IF(AND(_6="B-757",'2026'!$O$4="CA",'2026'!$O$2=CL423),'2026DATA'!$E$19,"")</f>
        <v/>
      </c>
      <c r="CM440" s="518" t="str">
        <f>IF(AND(_6="B-757",'2026'!$O$4="CA",'2026'!$O$2=CM423),'2026DATA'!$F$19,"")</f>
        <v/>
      </c>
      <c r="CN440" s="518" t="str">
        <f>IF(AND(_6="B-757",'2026'!$O$4="CA",'2026'!$O$2=CN423),'2026DATA'!$G$19,"")</f>
        <v/>
      </c>
      <c r="CO440" s="518" t="str">
        <f>IF(AND(_6="B-757",'2026'!$O$4="CA",'2026'!$O$2=CO423),'2026DATA'!$H$19,"")</f>
        <v/>
      </c>
      <c r="CP440" s="518" t="str">
        <f>IF(AND(_6="B-757",'2026'!$O$4="CA",'2026'!$O$2=CP423),'2026DATA'!$I$19,"")</f>
        <v/>
      </c>
      <c r="CQ440" s="518" t="str">
        <f>IF(AND(_6="B-757",'2026'!$O$4="CA",'2026'!$O$2=CQ423),'2026DATA'!$J$19,"")</f>
        <v/>
      </c>
      <c r="CR440" s="518" t="str">
        <f>IF(AND(_6="B-757",'2026'!$O$4="CA",'2026'!$O$2=CR423),'2026DATA'!$K$19,"")</f>
        <v/>
      </c>
      <c r="CS440" s="518" t="str">
        <f>IF(AND(_6="B-757",'2026'!$O$4="CA",'2026'!$O$2=CS423),'2026DATA'!$L$19,"")</f>
        <v/>
      </c>
      <c r="CT440" s="518" t="str">
        <f>IF(AND(_6="B-757",'2026'!$O$4="CA",'2026'!$O$2=CT423),'2026DATA'!$M$19,"")</f>
        <v/>
      </c>
      <c r="CU440" s="520" t="str">
        <f>IF(AND(_6="B-757",'2026'!$O$4="CA",'2026'!$O$2=CU423),'2026DATA'!$N$19,"")</f>
        <v/>
      </c>
    </row>
    <row r="441" spans="16:99" x14ac:dyDescent="0.25">
      <c r="P441" s="940"/>
      <c r="Q441" s="13" t="s">
        <v>62</v>
      </c>
      <c r="R441" s="518" t="str">
        <f>IF(AND(_1="B-757",'2026'!$O$4="FO",'2026'!$O$2=R423),'2026DATA'!$C$20,"")</f>
        <v/>
      </c>
      <c r="S441" s="518" t="str">
        <f>IF(AND(_1="B-757",'2026'!$O$4="FO",'2026'!$O$2=S423),'2026DATA'!$D$20,"")</f>
        <v/>
      </c>
      <c r="T441" s="518" t="str">
        <f>IF(AND(_1="B-757",'2026'!$O$4="FO",'2026'!$O$2=T423),'2026DATA'!$E$20,"")</f>
        <v/>
      </c>
      <c r="U441" s="518" t="str">
        <f>IF(AND(_1="B-757",'2026'!$O$4="FO",'2026'!$O$2=U423),'2026DATA'!$F$20,"")</f>
        <v/>
      </c>
      <c r="V441" s="518" t="str">
        <f>IF(AND(_1="B-757",'2026'!$O$4="FO",'2026'!$O$2=V423),'2026DATA'!$G$20,"")</f>
        <v/>
      </c>
      <c r="W441" s="518" t="str">
        <f>IF(AND(_1="B-757",'2026'!$O$4="FO",'2026'!$O$2=W423),'2026DATA'!$H$20,"")</f>
        <v/>
      </c>
      <c r="X441" s="518" t="str">
        <f>IF(AND(_1="B-757",'2026'!$O$4="FO",'2026'!$O$2=X423),'2026DATA'!$I$20,"")</f>
        <v/>
      </c>
      <c r="Y441" s="518" t="str">
        <f>IF(AND(_1="B-757",'2026'!$O$4="FO",'2026'!$O$2=Y423),'2026DATA'!$J$20,"")</f>
        <v/>
      </c>
      <c r="Z441" s="518" t="str">
        <f>IF(AND(_1="B-757",'2026'!$O$4="FO",'2026'!$O$2=Z423),'2026DATA'!$K$20,"")</f>
        <v/>
      </c>
      <c r="AA441" s="518" t="str">
        <f>IF(AND(_1="B-757",'2026'!$O$4="FO",'2026'!$O$2=AA423),'2026DATA'!$L$20,"")</f>
        <v/>
      </c>
      <c r="AB441" s="518" t="str">
        <f>IF(AND(_1="B-757",'2026'!$O$4="FO",'2026'!$O$2=AB423),'2026DATA'!$M$20,"")</f>
        <v/>
      </c>
      <c r="AC441" s="520" t="str">
        <f>IF(AND(_1="B-757",'2026'!$O$4="FO",'2026'!$O$2=AC423),'2026DATA'!$N$20,"")</f>
        <v/>
      </c>
      <c r="AD441" s="940"/>
      <c r="AE441" s="13" t="s">
        <v>62</v>
      </c>
      <c r="AF441" s="518" t="str">
        <f>IF(AND(_2="B-757",'2026'!$O$4="FO",'2026'!$O$2=AF423),'2026DATA'!$C$20,"")</f>
        <v/>
      </c>
      <c r="AG441" s="518" t="str">
        <f>IF(AND(_2="B-757",'2026'!$O$4="FO",'2026'!$O$2=AG423),'2026DATA'!$D$20,"")</f>
        <v/>
      </c>
      <c r="AH441" s="518" t="str">
        <f>IF(AND(_2="B-757",'2026'!$O$4="FO",'2026'!$O$2=AH423),'2026DATA'!$E$20,"")</f>
        <v/>
      </c>
      <c r="AI441" s="518" t="str">
        <f>IF(AND(_2="B-757",'2026'!$O$4="FO",'2026'!$O$2=AI423),'2026DATA'!$F$20,"")</f>
        <v/>
      </c>
      <c r="AJ441" s="518" t="str">
        <f>IF(AND(_2="B-757",'2026'!$O$4="FO",'2026'!$O$2=AJ423),'2026DATA'!$G$20,"")</f>
        <v/>
      </c>
      <c r="AK441" s="518" t="str">
        <f>IF(AND(_2="B-757",'2026'!$O$4="FO",'2026'!$O$2=AK423),'2026DATA'!$H$20,"")</f>
        <v/>
      </c>
      <c r="AL441" s="518" t="str">
        <f>IF(AND(_2="B-757",'2026'!$O$4="FO",'2026'!$O$2=AL423),'2026DATA'!$I$20,"")</f>
        <v/>
      </c>
      <c r="AM441" s="518" t="str">
        <f>IF(AND(_2="B-757",'2026'!$O$4="FO",'2026'!$O$2=AM423),'2026DATA'!$J$20,"")</f>
        <v/>
      </c>
      <c r="AN441" s="518" t="str">
        <f>IF(AND(_2="B-757",'2026'!$O$4="FO",'2026'!$O$2=AN423),'2026DATA'!$K$20,"")</f>
        <v/>
      </c>
      <c r="AO441" s="518" t="str">
        <f>IF(AND(_2="B-757",'2026'!$O$4="FO",'2026'!$O$2=AO423),'2026DATA'!$L$20,"")</f>
        <v/>
      </c>
      <c r="AP441" s="518" t="str">
        <f>IF(AND(_2="B-757",'2026'!$O$4="FO",'2026'!$O$2=AP423),'2026DATA'!$M$20,"")</f>
        <v/>
      </c>
      <c r="AQ441" s="520" t="str">
        <f>IF(AND(_2="B-757",'2026'!$O$4="FO",'2026'!$O$2=AQ423),'2026DATA'!$N$20,"")</f>
        <v/>
      </c>
      <c r="AR441" s="940"/>
      <c r="AS441" s="13" t="s">
        <v>62</v>
      </c>
      <c r="AT441" s="518" t="str">
        <f>IF(AND(_3="B-757",'2026'!$O$4="FO",'2026'!$O$2=AT423),'2026DATA'!$C$20,"")</f>
        <v/>
      </c>
      <c r="AU441" s="518" t="str">
        <f>IF(AND(_3="B-757",'2026'!$O$4="FO",'2026'!$O$2=AU423),'2026DATA'!$D$20,"")</f>
        <v/>
      </c>
      <c r="AV441" s="518" t="str">
        <f>IF(AND(_3="B-757",'2026'!$O$4="FO",'2026'!$O$2=AV423),'2026DATA'!$E$20,"")</f>
        <v/>
      </c>
      <c r="AW441" s="518" t="str">
        <f>IF(AND(_3="B-757",'2026'!$O$4="FO",'2026'!$O$2=AW423),'2026DATA'!$F$20,"")</f>
        <v/>
      </c>
      <c r="AX441" s="518" t="str">
        <f>IF(AND(_3="B-757",'2026'!$O$4="FO",'2026'!$O$2=AX423),'2026DATA'!$G$20,"")</f>
        <v/>
      </c>
      <c r="AY441" s="518" t="str">
        <f>IF(AND(_3="B-757",'2026'!$O$4="FO",'2026'!$O$2=AY423),'2026DATA'!$H$20,"")</f>
        <v/>
      </c>
      <c r="AZ441" s="518" t="str">
        <f>IF(AND(_3="B-757",'2026'!$O$4="FO",'2026'!$O$2=AZ423),'2026DATA'!$I$20,"")</f>
        <v/>
      </c>
      <c r="BA441" s="518" t="str">
        <f>IF(AND(_3="B-757",'2026'!$O$4="FO",'2026'!$O$2=BA423),'2026DATA'!$J$20,"")</f>
        <v/>
      </c>
      <c r="BB441" s="518" t="str">
        <f>IF(AND(_3="B-757",'2026'!$O$4="FO",'2026'!$O$2=BB423),'2026DATA'!$K$20,"")</f>
        <v/>
      </c>
      <c r="BC441" s="518" t="str">
        <f>IF(AND(_3="B-757",'2026'!$O$4="FO",'2026'!$O$2=BC423),'2026DATA'!$L$20,"")</f>
        <v/>
      </c>
      <c r="BD441" s="518" t="str">
        <f>IF(AND(_3="B-757",'2026'!$O$4="FO",'2026'!$O$2=BD423),'2026DATA'!$M$20,"")</f>
        <v/>
      </c>
      <c r="BE441" s="520" t="str">
        <f>IF(AND(_3="B-757",'2026'!$O$4="FO",'2026'!$O$2=BE423),'2026DATA'!$N$20,"")</f>
        <v/>
      </c>
      <c r="BF441" s="940"/>
      <c r="BG441" s="13" t="s">
        <v>62</v>
      </c>
      <c r="BH441" s="518" t="str">
        <f>IF(AND(_4="B-757",'2026'!$O$4="FO",'2026'!$O$2=BH423),'2026DATA'!$C$20,"")</f>
        <v/>
      </c>
      <c r="BI441" s="518" t="str">
        <f>IF(AND(_4="B-757",'2026'!$O$4="FO",'2026'!$O$2=BI423),'2026DATA'!$D$20,"")</f>
        <v/>
      </c>
      <c r="BJ441" s="518" t="str">
        <f>IF(AND(_4="B-757",'2026'!$O$4="FO",'2026'!$O$2=BJ423),'2026DATA'!$E$20,"")</f>
        <v/>
      </c>
      <c r="BK441" s="518" t="str">
        <f>IF(AND(_4="B-757",'2026'!$O$4="FO",'2026'!$O$2=BK423),'2026DATA'!$F$20,"")</f>
        <v/>
      </c>
      <c r="BL441" s="518" t="str">
        <f>IF(AND(_4="B-757",'2026'!$O$4="FO",'2026'!$O$2=BL423),'2026DATA'!$G$20,"")</f>
        <v/>
      </c>
      <c r="BM441" s="518" t="str">
        <f>IF(AND(_4="B-757",'2026'!$O$4="FO",'2026'!$O$2=BM423),'2026DATA'!$H$20,"")</f>
        <v/>
      </c>
      <c r="BN441" s="518" t="str">
        <f>IF(AND(_4="B-757",'2026'!$O$4="FO",'2026'!$O$2=BN423),'2026DATA'!$I$20,"")</f>
        <v/>
      </c>
      <c r="BO441" s="518" t="str">
        <f>IF(AND(_4="B-757",'2026'!$O$4="FO",'2026'!$O$2=BO423),'2026DATA'!$J$20,"")</f>
        <v/>
      </c>
      <c r="BP441" s="518" t="str">
        <f>IF(AND(_4="B-757",'2026'!$O$4="FO",'2026'!$O$2=BP423),'2026DATA'!$K$20,"")</f>
        <v/>
      </c>
      <c r="BQ441" s="518" t="str">
        <f>IF(AND(_4="B-757",'2026'!$O$4="FO",'2026'!$O$2=BQ423),'2026DATA'!$L$20,"")</f>
        <v/>
      </c>
      <c r="BR441" s="518" t="str">
        <f>IF(AND(_4="B-757",'2026'!$O$4="FO",'2026'!$O$2=BR423),'2026DATA'!$M$20,"")</f>
        <v/>
      </c>
      <c r="BS441" s="520" t="str">
        <f>IF(AND(_4="B-757",'2026'!$O$4="FO",'2026'!$O$2=BS423),'2026DATA'!$N$20,"")</f>
        <v/>
      </c>
      <c r="BT441" s="940"/>
      <c r="BU441" s="13" t="s">
        <v>62</v>
      </c>
      <c r="BV441" s="518" t="str">
        <f>IF(AND(_5="B-757",'2026'!$O$4="FO",'2026'!$O$2=BV423),'2026DATA'!$C$20,"")</f>
        <v/>
      </c>
      <c r="BW441" s="518" t="str">
        <f>IF(AND(_5="B-757",'2026'!$O$4="FO",'2026'!$O$2=BW423),'2026DATA'!$D$20,"")</f>
        <v/>
      </c>
      <c r="BX441" s="518" t="str">
        <f>IF(AND(_5="B-757",'2026'!$O$4="FO",'2026'!$O$2=BX423),'2026DATA'!$E$20,"")</f>
        <v/>
      </c>
      <c r="BY441" s="518" t="str">
        <f>IF(AND(_5="B-757",'2026'!$O$4="FO",'2026'!$O$2=BY423),'2026DATA'!$F$20,"")</f>
        <v/>
      </c>
      <c r="BZ441" s="518" t="str">
        <f>IF(AND(_5="B-757",'2026'!$O$4="FO",'2026'!$O$2=BZ423),'2026DATA'!$G$20,"")</f>
        <v/>
      </c>
      <c r="CA441" s="518" t="str">
        <f>IF(AND(_5="B-757",'2026'!$O$4="FO",'2026'!$O$2=CA423),'2026DATA'!$H$20,"")</f>
        <v/>
      </c>
      <c r="CB441" s="518" t="str">
        <f>IF(AND(_5="B-757",'2026'!$O$4="FO",'2026'!$O$2=CB423),'2026DATA'!$I$20,"")</f>
        <v/>
      </c>
      <c r="CC441" s="518" t="str">
        <f>IF(AND(_5="B-757",'2026'!$O$4="FO",'2026'!$O$2=CC423),'2026DATA'!$J$20,"")</f>
        <v/>
      </c>
      <c r="CD441" s="518" t="str">
        <f>IF(AND(_5="B-757",'2026'!$O$4="FO",'2026'!$O$2=CD423),'2026DATA'!$K$20,"")</f>
        <v/>
      </c>
      <c r="CE441" s="518" t="str">
        <f>IF(AND(_5="B-757",'2026'!$O$4="FO",'2026'!$O$2=CE423),'2026DATA'!$L$20,"")</f>
        <v/>
      </c>
      <c r="CF441" s="518" t="str">
        <f>IF(AND(_5="B-757",'2026'!$O$4="FO",'2026'!$O$2=CF423),'2026DATA'!$M$20,"")</f>
        <v/>
      </c>
      <c r="CG441" s="520" t="str">
        <f>IF(AND(_5="B-757",'2026'!$O$4="FO",'2026'!$O$2=CG423),'2026DATA'!$N$20,"")</f>
        <v/>
      </c>
      <c r="CH441" s="940"/>
      <c r="CI441" s="13" t="s">
        <v>62</v>
      </c>
      <c r="CJ441" s="518" t="str">
        <f>IF(AND(_6="B-757",'2026'!$O$4="FO",'2026'!$O$2=CJ423),'2026DATA'!$C$20,"")</f>
        <v/>
      </c>
      <c r="CK441" s="518" t="str">
        <f>IF(AND(_6="B-757",'2026'!$O$4="FO",'2026'!$O$2=CK423),'2026DATA'!$D$20,"")</f>
        <v/>
      </c>
      <c r="CL441" s="518" t="str">
        <f>IF(AND(_6="B-757",'2026'!$O$4="FO",'2026'!$O$2=CL423),'2026DATA'!$E$20,"")</f>
        <v/>
      </c>
      <c r="CM441" s="518" t="str">
        <f>IF(AND(_6="B-757",'2026'!$O$4="FO",'2026'!$O$2=CM423),'2026DATA'!$F$20,"")</f>
        <v/>
      </c>
      <c r="CN441" s="518" t="str">
        <f>IF(AND(_6="B-757",'2026'!$O$4="FO",'2026'!$O$2=CN423),'2026DATA'!$G$20,"")</f>
        <v/>
      </c>
      <c r="CO441" s="518" t="str">
        <f>IF(AND(_6="B-757",'2026'!$O$4="FO",'2026'!$O$2=CO423),'2026DATA'!$H$20,"")</f>
        <v/>
      </c>
      <c r="CP441" s="518" t="str">
        <f>IF(AND(_6="B-757",'2026'!$O$4="FO",'2026'!$O$2=CP423),'2026DATA'!$I$20,"")</f>
        <v/>
      </c>
      <c r="CQ441" s="518" t="str">
        <f>IF(AND(_6="B-757",'2026'!$O$4="FO",'2026'!$O$2=CQ423),'2026DATA'!$J$20,"")</f>
        <v/>
      </c>
      <c r="CR441" s="518" t="str">
        <f>IF(AND(_6="B-757",'2026'!$O$4="FO",'2026'!$O$2=CR423),'2026DATA'!$K$20,"")</f>
        <v/>
      </c>
      <c r="CS441" s="518" t="str">
        <f>IF(AND(_6="B-757",'2026'!$O$4="FO",'2026'!$O$2=CS423),'2026DATA'!$L$20,"")</f>
        <v/>
      </c>
      <c r="CT441" s="518" t="str">
        <f>IF(AND(_6="B-757",'2026'!$O$4="FO",'2026'!$O$2=CT423),'2026DATA'!$M$20,"")</f>
        <v/>
      </c>
      <c r="CU441" s="520" t="str">
        <f>IF(AND(_6="B-757",'2026'!$O$4="FO",'2026'!$O$2=CU423),'2026DATA'!$N$20,"")</f>
        <v/>
      </c>
    </row>
    <row r="442" spans="16:99" x14ac:dyDescent="0.25">
      <c r="P442" s="940" t="s">
        <v>47</v>
      </c>
      <c r="Q442" s="13" t="s">
        <v>61</v>
      </c>
      <c r="R442" s="518" t="str">
        <f>IF(AND(_1="B-737-900",'2026'!$O$4="CA",'2026'!$O$2=R423),'2026DATA'!$C$21,"")</f>
        <v/>
      </c>
      <c r="S442" s="518" t="str">
        <f>IF(AND(_1="B-737-900",'2026'!$O$4="CA",'2026'!$O$2=S423),'2026DATA'!$D$21,"")</f>
        <v/>
      </c>
      <c r="T442" s="518" t="str">
        <f>IF(AND(_1="B-737-900",'2026'!$O$4="CA",'2026'!$O$2=T423),'2026DATA'!$E$21,"")</f>
        <v/>
      </c>
      <c r="U442" s="518" t="str">
        <f>IF(AND(_1="B-737-900",'2026'!$O$4="CA",'2026'!$O$2=U423),'2026DATA'!$F$21,"")</f>
        <v/>
      </c>
      <c r="V442" s="518" t="str">
        <f>IF(AND(_1="B-737-900",'2026'!$O$4="CA",'2026'!$O$2=V423),'2026DATA'!$G$21,"")</f>
        <v/>
      </c>
      <c r="W442" s="518" t="str">
        <f>IF(AND(_1="B-737-900",'2026'!$O$4="CA",'2026'!$O$2=W423),'2026DATA'!$H$21,"")</f>
        <v/>
      </c>
      <c r="X442" s="518" t="str">
        <f>IF(AND(_1="B-737-900",'2026'!$O$4="CA",'2026'!$O$2=X423),'2026DATA'!$I$21,"")</f>
        <v/>
      </c>
      <c r="Y442" s="518" t="str">
        <f>IF(AND(_1="B-737-900",'2026'!$O$4="CA",'2026'!$O$2=Y423),'2026DATA'!$J$21,"")</f>
        <v/>
      </c>
      <c r="Z442" s="518" t="str">
        <f>IF(AND(_1="B-737-900",'2026'!$O$4="CA",'2026'!$O$2=Z423),'2026DATA'!$K$21,"")</f>
        <v/>
      </c>
      <c r="AA442" s="518" t="str">
        <f>IF(AND(_1="B-737-900",'2026'!$O$4="CA",'2026'!$O$2=AA423),'2026DATA'!$L$21,"")</f>
        <v/>
      </c>
      <c r="AB442" s="518" t="str">
        <f>IF(AND(_1="B-737-900",'2026'!$O$4="CA",'2026'!$O$2=AB423),'2026DATA'!$M$21,"")</f>
        <v/>
      </c>
      <c r="AC442" s="520" t="str">
        <f>IF(AND(_1="B-737-900",'2026'!$O$4="CA",'2026'!$O$2=AC423),'2026DATA'!$N$21,"")</f>
        <v/>
      </c>
      <c r="AD442" s="940" t="s">
        <v>47</v>
      </c>
      <c r="AE442" s="13" t="s">
        <v>61</v>
      </c>
      <c r="AF442" s="518" t="str">
        <f>IF(AND(_2="B-737-900",'2026'!$O$4="CA",'2026'!$O$2=AF423),'2026DATA'!$C$21,"")</f>
        <v/>
      </c>
      <c r="AG442" s="518" t="str">
        <f>IF(AND(_2="B-737-900",'2026'!$O$4="CA",'2026'!$O$2=AG423),'2026DATA'!$D$21,"")</f>
        <v/>
      </c>
      <c r="AH442" s="518" t="str">
        <f>IF(AND(_2="B-737-900",'2026'!$O$4="CA",'2026'!$O$2=AH423),'2026DATA'!$E$21,"")</f>
        <v/>
      </c>
      <c r="AI442" s="518" t="str">
        <f>IF(AND(_2="B-737-900",'2026'!$O$4="CA",'2026'!$O$2=AI423),'2026DATA'!$F$21,"")</f>
        <v/>
      </c>
      <c r="AJ442" s="518" t="str">
        <f>IF(AND(_2="B-737-900",'2026'!$O$4="CA",'2026'!$O$2=AJ423),'2026DATA'!$G$21,"")</f>
        <v/>
      </c>
      <c r="AK442" s="518" t="str">
        <f>IF(AND(_2="B-737-900",'2026'!$O$4="CA",'2026'!$O$2=AK423),'2026DATA'!$H$21,"")</f>
        <v/>
      </c>
      <c r="AL442" s="518" t="str">
        <f>IF(AND(_2="B-737-900",'2026'!$O$4="CA",'2026'!$O$2=AL423),'2026DATA'!$I$21,"")</f>
        <v/>
      </c>
      <c r="AM442" s="518" t="str">
        <f>IF(AND(_2="B-737-900",'2026'!$O$4="CA",'2026'!$O$2=AM423),'2026DATA'!$J$21,"")</f>
        <v/>
      </c>
      <c r="AN442" s="518" t="str">
        <f>IF(AND(_2="B-737-900",'2026'!$O$4="CA",'2026'!$O$2=AN423),'2026DATA'!$K$21,"")</f>
        <v/>
      </c>
      <c r="AO442" s="518" t="str">
        <f>IF(AND(_2="B-737-900",'2026'!$O$4="CA",'2026'!$O$2=AO423),'2026DATA'!$L$21,"")</f>
        <v/>
      </c>
      <c r="AP442" s="518" t="str">
        <f>IF(AND(_2="B-737-900",'2026'!$O$4="CA",'2026'!$O$2=AP423),'2026DATA'!$M$21,"")</f>
        <v/>
      </c>
      <c r="AQ442" s="520" t="str">
        <f>IF(AND(_2="B-737-900",'2026'!$O$4="CA",'2026'!$O$2=AQ423),'2026DATA'!$N$21,"")</f>
        <v/>
      </c>
      <c r="AR442" s="940" t="s">
        <v>47</v>
      </c>
      <c r="AS442" s="13" t="s">
        <v>61</v>
      </c>
      <c r="AT442" s="518" t="str">
        <f>IF(AND(_3="B-737-900",'2026'!$O$4="CA",'2026'!$O$2=AT423),'2026DATA'!$C$21,"")</f>
        <v/>
      </c>
      <c r="AU442" s="518" t="str">
        <f>IF(AND(_3="B-737-900",'2026'!$O$4="CA",'2026'!$O$2=AU423),'2026DATA'!$D$21,"")</f>
        <v/>
      </c>
      <c r="AV442" s="518" t="str">
        <f>IF(AND(_3="B-737-900",'2026'!$O$4="CA",'2026'!$O$2=AV423),'2026DATA'!$E$21,"")</f>
        <v/>
      </c>
      <c r="AW442" s="518" t="str">
        <f>IF(AND(_3="B-737-900",'2026'!$O$4="CA",'2026'!$O$2=AW423),'2026DATA'!$F$21,"")</f>
        <v/>
      </c>
      <c r="AX442" s="518" t="str">
        <f>IF(AND(_3="B-737-900",'2026'!$O$4="CA",'2026'!$O$2=AX423),'2026DATA'!$G$21,"")</f>
        <v/>
      </c>
      <c r="AY442" s="518" t="str">
        <f>IF(AND(_3="B-737-900",'2026'!$O$4="CA",'2026'!$O$2=AY423),'2026DATA'!$H$21,"")</f>
        <v/>
      </c>
      <c r="AZ442" s="518" t="str">
        <f>IF(AND(_3="B-737-900",'2026'!$O$4="CA",'2026'!$O$2=AZ423),'2026DATA'!$I$21,"")</f>
        <v/>
      </c>
      <c r="BA442" s="518" t="str">
        <f>IF(AND(_3="B-737-900",'2026'!$O$4="CA",'2026'!$O$2=BA423),'2026DATA'!$J$21,"")</f>
        <v/>
      </c>
      <c r="BB442" s="518" t="str">
        <f>IF(AND(_3="B-737-900",'2026'!$O$4="CA",'2026'!$O$2=BB423),'2026DATA'!$K$21,"")</f>
        <v/>
      </c>
      <c r="BC442" s="518" t="str">
        <f>IF(AND(_3="B-737-900",'2026'!$O$4="CA",'2026'!$O$2=BC423),'2026DATA'!$L$21,"")</f>
        <v/>
      </c>
      <c r="BD442" s="518" t="str">
        <f>IF(AND(_3="B-737-900",'2026'!$O$4="CA",'2026'!$O$2=BD423),'2026DATA'!$M$21,"")</f>
        <v/>
      </c>
      <c r="BE442" s="520" t="str">
        <f>IF(AND(_3="B-737-900",'2026'!$O$4="CA",'2026'!$O$2=BE423),'2026DATA'!$N$21,"")</f>
        <v/>
      </c>
      <c r="BF442" s="940" t="s">
        <v>47</v>
      </c>
      <c r="BG442" s="13" t="s">
        <v>61</v>
      </c>
      <c r="BH442" s="518" t="str">
        <f>IF(AND(_4="B-737-900",'2026'!$O$4="CA",'2026'!$O$2=BH423),'2026DATA'!$C$21,"")</f>
        <v/>
      </c>
      <c r="BI442" s="518" t="str">
        <f>IF(AND(_4="B-737-900",'2026'!$O$4="CA",'2026'!$O$2=BI423),'2026DATA'!$D$21,"")</f>
        <v/>
      </c>
      <c r="BJ442" s="518" t="str">
        <f>IF(AND(_4="B-737-900",'2026'!$O$4="CA",'2026'!$O$2=BJ423),'2026DATA'!$E$21,"")</f>
        <v/>
      </c>
      <c r="BK442" s="518" t="str">
        <f>IF(AND(_4="B-737-900",'2026'!$O$4="CA",'2026'!$O$2=BK423),'2026DATA'!$F$21,"")</f>
        <v/>
      </c>
      <c r="BL442" s="518" t="str">
        <f>IF(AND(_4="B-737-900",'2026'!$O$4="CA",'2026'!$O$2=BL423),'2026DATA'!$G$21,"")</f>
        <v/>
      </c>
      <c r="BM442" s="518" t="str">
        <f>IF(AND(_4="B-737-900",'2026'!$O$4="CA",'2026'!$O$2=BM423),'2026DATA'!$H$21,"")</f>
        <v/>
      </c>
      <c r="BN442" s="518" t="str">
        <f>IF(AND(_4="B-737-900",'2026'!$O$4="CA",'2026'!$O$2=BN423),'2026DATA'!$I$21,"")</f>
        <v/>
      </c>
      <c r="BO442" s="518" t="str">
        <f>IF(AND(_4="B-737-900",'2026'!$O$4="CA",'2026'!$O$2=BO423),'2026DATA'!$J$21,"")</f>
        <v/>
      </c>
      <c r="BP442" s="518" t="str">
        <f>IF(AND(_4="B-737-900",'2026'!$O$4="CA",'2026'!$O$2=BP423),'2026DATA'!$K$21,"")</f>
        <v/>
      </c>
      <c r="BQ442" s="518" t="str">
        <f>IF(AND(_4="B-737-900",'2026'!$O$4="CA",'2026'!$O$2=BQ423),'2026DATA'!$L$21,"")</f>
        <v/>
      </c>
      <c r="BR442" s="518" t="str">
        <f>IF(AND(_4="B-737-900",'2026'!$O$4="CA",'2026'!$O$2=BR423),'2026DATA'!$M$21,"")</f>
        <v/>
      </c>
      <c r="BS442" s="520" t="str">
        <f>IF(AND(_4="B-737-900",'2026'!$O$4="CA",'2026'!$O$2=BS423),'2026DATA'!$N$21,"")</f>
        <v/>
      </c>
      <c r="BT442" s="940" t="s">
        <v>47</v>
      </c>
      <c r="BU442" s="13" t="s">
        <v>61</v>
      </c>
      <c r="BV442" s="518" t="str">
        <f>IF(AND(_5="B-737-900",'2026'!$O$4="CA",'2026'!$O$2=BV423),'2026DATA'!$C$21,"")</f>
        <v/>
      </c>
      <c r="BW442" s="518" t="str">
        <f>IF(AND(_5="B-737-900",'2026'!$O$4="CA",'2026'!$O$2=BW423),'2026DATA'!$D$21,"")</f>
        <v/>
      </c>
      <c r="BX442" s="518" t="str">
        <f>IF(AND(_5="B-737-900",'2026'!$O$4="CA",'2026'!$O$2=BX423),'2026DATA'!$E$21,"")</f>
        <v/>
      </c>
      <c r="BY442" s="518" t="str">
        <f>IF(AND(_5="B-737-900",'2026'!$O$4="CA",'2026'!$O$2=BY423),'2026DATA'!$F$21,"")</f>
        <v/>
      </c>
      <c r="BZ442" s="518" t="str">
        <f>IF(AND(_5="B-737-900",'2026'!$O$4="CA",'2026'!$O$2=BZ423),'2026DATA'!$G$21,"")</f>
        <v/>
      </c>
      <c r="CA442" s="518" t="str">
        <f>IF(AND(_5="B-737-900",'2026'!$O$4="CA",'2026'!$O$2=CA423),'2026DATA'!$H$21,"")</f>
        <v/>
      </c>
      <c r="CB442" s="518" t="str">
        <f>IF(AND(_5="B-737-900",'2026'!$O$4="CA",'2026'!$O$2=CB423),'2026DATA'!$I$21,"")</f>
        <v/>
      </c>
      <c r="CC442" s="518" t="str">
        <f>IF(AND(_5="B-737-900",'2026'!$O$4="CA",'2026'!$O$2=CC423),'2026DATA'!$J$21,"")</f>
        <v/>
      </c>
      <c r="CD442" s="518" t="str">
        <f>IF(AND(_5="B-737-900",'2026'!$O$4="CA",'2026'!$O$2=CD423),'2026DATA'!$K$21,"")</f>
        <v/>
      </c>
      <c r="CE442" s="518" t="str">
        <f>IF(AND(_5="B-737-900",'2026'!$O$4="CA",'2026'!$O$2=CE423),'2026DATA'!$L$21,"")</f>
        <v/>
      </c>
      <c r="CF442" s="518" t="str">
        <f>IF(AND(_5="B-737-900",'2026'!$O$4="CA",'2026'!$O$2=CF423),'2026DATA'!$M$21,"")</f>
        <v/>
      </c>
      <c r="CG442" s="520" t="str">
        <f>IF(AND(_5="B-737-900",'2026'!$O$4="CA",'2026'!$O$2=CG423),'2026DATA'!$N$21,"")</f>
        <v/>
      </c>
      <c r="CH442" s="940" t="s">
        <v>47</v>
      </c>
      <c r="CI442" s="13" t="s">
        <v>61</v>
      </c>
      <c r="CJ442" s="518" t="str">
        <f>IF(AND(_6="B-737-900",'2026'!$O$4="CA",'2026'!$O$2=CJ423),'2026DATA'!$C$21,"")</f>
        <v/>
      </c>
      <c r="CK442" s="518" t="str">
        <f>IF(AND(_6="B-737-900",'2026'!$O$4="CA",'2026'!$O$2=CK423),'2026DATA'!$D$21,"")</f>
        <v/>
      </c>
      <c r="CL442" s="518" t="str">
        <f>IF(AND(_6="B-737-900",'2026'!$O$4="CA",'2026'!$O$2=CL423),'2026DATA'!$E$21,"")</f>
        <v/>
      </c>
      <c r="CM442" s="518" t="str">
        <f>IF(AND(_6="B-737-900",'2026'!$O$4="CA",'2026'!$O$2=CM423),'2026DATA'!$F$21,"")</f>
        <v/>
      </c>
      <c r="CN442" s="518" t="str">
        <f>IF(AND(_6="B-737-900",'2026'!$O$4="CA",'2026'!$O$2=CN423),'2026DATA'!$G$21,"")</f>
        <v/>
      </c>
      <c r="CO442" s="518" t="str">
        <f>IF(AND(_6="B-737-900",'2026'!$O$4="CA",'2026'!$O$2=CO423),'2026DATA'!$H$21,"")</f>
        <v/>
      </c>
      <c r="CP442" s="518" t="str">
        <f>IF(AND(_6="B-737-900",'2026'!$O$4="CA",'2026'!$O$2=CP423),'2026DATA'!$I$21,"")</f>
        <v/>
      </c>
      <c r="CQ442" s="518" t="str">
        <f>IF(AND(_6="B-737-900",'2026'!$O$4="CA",'2026'!$O$2=CQ423),'2026DATA'!$J$21,"")</f>
        <v/>
      </c>
      <c r="CR442" s="518" t="str">
        <f>IF(AND(_6="B-737-900",'2026'!$O$4="CA",'2026'!$O$2=CR423),'2026DATA'!$K$21,"")</f>
        <v/>
      </c>
      <c r="CS442" s="518" t="str">
        <f>IF(AND(_6="B-737-900",'2026'!$O$4="CA",'2026'!$O$2=CS423),'2026DATA'!$L$21,"")</f>
        <v/>
      </c>
      <c r="CT442" s="518" t="str">
        <f>IF(AND(_6="B-737-900",'2026'!$O$4="CA",'2026'!$O$2=CT423),'2026DATA'!$M$21,"")</f>
        <v/>
      </c>
      <c r="CU442" s="520" t="str">
        <f>IF(AND(_6="B-737-900",'2026'!$O$4="CA",'2026'!$O$2=CU423),'2026DATA'!$N$21,"")</f>
        <v/>
      </c>
    </row>
    <row r="443" spans="16:99" x14ac:dyDescent="0.25">
      <c r="P443" s="940"/>
      <c r="Q443" s="13" t="s">
        <v>62</v>
      </c>
      <c r="R443" s="518" t="str">
        <f>IF(AND(_1="B-737-900",'2026'!$O$4="FO",'2026'!$O$2=R423),'2026DATA'!$C$22,"")</f>
        <v/>
      </c>
      <c r="S443" s="518" t="str">
        <f>IF(AND(_1="B-737-900",'2026'!$O$4="FO",'2026'!$O$2=S423),'2026DATA'!$D$22,"")</f>
        <v/>
      </c>
      <c r="T443" s="518" t="str">
        <f>IF(AND(_1="B-737-900",'2026'!$O$4="FO",'2026'!$O$2=T423),'2026DATA'!$E$22,"")</f>
        <v/>
      </c>
      <c r="U443" s="518" t="str">
        <f>IF(AND(_1="B-737-900",'2026'!$O$4="FO",'2026'!$O$2=U423),'2026DATA'!$F$22,"")</f>
        <v/>
      </c>
      <c r="V443" s="518" t="str">
        <f>IF(AND(_1="B-737-900",'2026'!$O$4="FO",'2026'!$O$2=V423),'2026DATA'!$G$22,"")</f>
        <v/>
      </c>
      <c r="W443" s="518" t="str">
        <f>IF(AND(_1="B-737-900",'2026'!$O$4="FO",'2026'!$O$2=W423),'2026DATA'!$H$22,"")</f>
        <v/>
      </c>
      <c r="X443" s="518" t="str">
        <f>IF(AND(_1="B-737-900",'2026'!$O$4="FO",'2026'!$O$2=X423),'2026DATA'!$I$22,"")</f>
        <v/>
      </c>
      <c r="Y443" s="518" t="str">
        <f>IF(AND(_1="B-737-900",'2026'!$O$4="FO",'2026'!$O$2=Y423),'2026DATA'!$J$22,"")</f>
        <v/>
      </c>
      <c r="Z443" s="518" t="str">
        <f>IF(AND(_1="B-737-900",'2026'!$O$4="FO",'2026'!$O$2=Z423),'2026DATA'!$K$22,"")</f>
        <v/>
      </c>
      <c r="AA443" s="518" t="str">
        <f>IF(AND(_1="B-737-900",'2026'!$O$4="FO",'2026'!$O$2=AA423),'2026DATA'!$L$22,"")</f>
        <v/>
      </c>
      <c r="AB443" s="518" t="str">
        <f>IF(AND(_1="B-737-900",'2026'!$O$4="FO",'2026'!$O$2=AB423),'2026DATA'!$M$22,"")</f>
        <v/>
      </c>
      <c r="AC443" s="520" t="str">
        <f>IF(AND(_1="B-737-900",'2026'!$O$4="FO",'2026'!$O$2=AC423),'2026DATA'!$N$22,"")</f>
        <v/>
      </c>
      <c r="AD443" s="940"/>
      <c r="AE443" s="13" t="s">
        <v>62</v>
      </c>
      <c r="AF443" s="518" t="str">
        <f>IF(AND(_2="B-737-900",'2026'!$O$4="FO",'2026'!$O$2=AF423),'2026DATA'!$C$22,"")</f>
        <v/>
      </c>
      <c r="AG443" s="518" t="str">
        <f>IF(AND(_2="B-737-900",'2026'!$O$4="FO",'2026'!$O$2=AG423),'2026DATA'!$D$22,"")</f>
        <v/>
      </c>
      <c r="AH443" s="518" t="str">
        <f>IF(AND(_2="B-737-900",'2026'!$O$4="FO",'2026'!$O$2=AH423),'2026DATA'!$E$22,"")</f>
        <v/>
      </c>
      <c r="AI443" s="518" t="str">
        <f>IF(AND(_2="B-737-900",'2026'!$O$4="FO",'2026'!$O$2=AI423),'2026DATA'!$F$22,"")</f>
        <v/>
      </c>
      <c r="AJ443" s="518" t="str">
        <f>IF(AND(_2="B-737-900",'2026'!$O$4="FO",'2026'!$O$2=AJ423),'2026DATA'!$G$22,"")</f>
        <v/>
      </c>
      <c r="AK443" s="518" t="str">
        <f>IF(AND(_2="B-737-900",'2026'!$O$4="FO",'2026'!$O$2=AK423),'2026DATA'!$H$22,"")</f>
        <v/>
      </c>
      <c r="AL443" s="518" t="str">
        <f>IF(AND(_2="B-737-900",'2026'!$O$4="FO",'2026'!$O$2=AL423),'2026DATA'!$I$22,"")</f>
        <v/>
      </c>
      <c r="AM443" s="518" t="str">
        <f>IF(AND(_2="B-737-900",'2026'!$O$4="FO",'2026'!$O$2=AM423),'2026DATA'!$J$22,"")</f>
        <v/>
      </c>
      <c r="AN443" s="518" t="str">
        <f>IF(AND(_2="B-737-900",'2026'!$O$4="FO",'2026'!$O$2=AN423),'2026DATA'!$K$22,"")</f>
        <v/>
      </c>
      <c r="AO443" s="518" t="str">
        <f>IF(AND(_2="B-737-900",'2026'!$O$4="FO",'2026'!$O$2=AO423),'2026DATA'!$L$22,"")</f>
        <v/>
      </c>
      <c r="AP443" s="518" t="str">
        <f>IF(AND(_2="B-737-900",'2026'!$O$4="FO",'2026'!$O$2=AP423),'2026DATA'!$M$22,"")</f>
        <v/>
      </c>
      <c r="AQ443" s="520" t="str">
        <f>IF(AND(_2="B-737-900",'2026'!$O$4="FO",'2026'!$O$2=AQ423),'2026DATA'!$N$22,"")</f>
        <v/>
      </c>
      <c r="AR443" s="940"/>
      <c r="AS443" s="13" t="s">
        <v>62</v>
      </c>
      <c r="AT443" s="518" t="str">
        <f>IF(AND(_3="B-737-900",'2026'!$O$4="FO",'2026'!$O$2=AT423),'2026DATA'!$C$22,"")</f>
        <v/>
      </c>
      <c r="AU443" s="518" t="str">
        <f>IF(AND(_3="B-737-900",'2026'!$O$4="FO",'2026'!$O$2=AU423),'2026DATA'!$D$22,"")</f>
        <v/>
      </c>
      <c r="AV443" s="518" t="str">
        <f>IF(AND(_3="B-737-900",'2026'!$O$4="FO",'2026'!$O$2=AV423),'2026DATA'!$E$22,"")</f>
        <v/>
      </c>
      <c r="AW443" s="518" t="str">
        <f>IF(AND(_3="B-737-900",'2026'!$O$4="FO",'2026'!$O$2=AW423),'2026DATA'!$F$22,"")</f>
        <v/>
      </c>
      <c r="AX443" s="518" t="str">
        <f>IF(AND(_3="B-737-900",'2026'!$O$4="FO",'2026'!$O$2=AX423),'2026DATA'!$G$22,"")</f>
        <v/>
      </c>
      <c r="AY443" s="518" t="str">
        <f>IF(AND(_3="B-737-900",'2026'!$O$4="FO",'2026'!$O$2=AY423),'2026DATA'!$H$22,"")</f>
        <v/>
      </c>
      <c r="AZ443" s="518" t="str">
        <f>IF(AND(_3="B-737-900",'2026'!$O$4="FO",'2026'!$O$2=AZ423),'2026DATA'!$I$22,"")</f>
        <v/>
      </c>
      <c r="BA443" s="518" t="str">
        <f>IF(AND(_3="B-737-900",'2026'!$O$4="FO",'2026'!$O$2=BA423),'2026DATA'!$J$22,"")</f>
        <v/>
      </c>
      <c r="BB443" s="518" t="str">
        <f>IF(AND(_3="B-737-900",'2026'!$O$4="FO",'2026'!$O$2=BB423),'2026DATA'!$K$22,"")</f>
        <v/>
      </c>
      <c r="BC443" s="518" t="str">
        <f>IF(AND(_3="B-737-900",'2026'!$O$4="FO",'2026'!$O$2=BC423),'2026DATA'!$L$22,"")</f>
        <v/>
      </c>
      <c r="BD443" s="518" t="str">
        <f>IF(AND(_3="B-737-900",'2026'!$O$4="FO",'2026'!$O$2=BD423),'2026DATA'!$M$22,"")</f>
        <v/>
      </c>
      <c r="BE443" s="520" t="str">
        <f>IF(AND(_3="B-737-900",'2026'!$O$4="FO",'2026'!$O$2=BE423),'2026DATA'!$N$22,"")</f>
        <v/>
      </c>
      <c r="BF443" s="940"/>
      <c r="BG443" s="13" t="s">
        <v>62</v>
      </c>
      <c r="BH443" s="518" t="str">
        <f>IF(AND(_4="B-737-900",'2026'!$O$4="FO",'2026'!$O$2=BH423),'2026DATA'!$C$22,"")</f>
        <v/>
      </c>
      <c r="BI443" s="518" t="str">
        <f>IF(AND(_4="B-737-900",'2026'!$O$4="FO",'2026'!$O$2=BI423),'2026DATA'!$D$22,"")</f>
        <v/>
      </c>
      <c r="BJ443" s="518" t="str">
        <f>IF(AND(_4="B-737-900",'2026'!$O$4="FO",'2026'!$O$2=BJ423),'2026DATA'!$E$22,"")</f>
        <v/>
      </c>
      <c r="BK443" s="518" t="str">
        <f>IF(AND(_4="B-737-900",'2026'!$O$4="FO",'2026'!$O$2=BK423),'2026DATA'!$F$22,"")</f>
        <v/>
      </c>
      <c r="BL443" s="518" t="str">
        <f>IF(AND(_4="B-737-900",'2026'!$O$4="FO",'2026'!$O$2=BL423),'2026DATA'!$G$22,"")</f>
        <v/>
      </c>
      <c r="BM443" s="518" t="str">
        <f>IF(AND(_4="B-737-900",'2026'!$O$4="FO",'2026'!$O$2=BM423),'2026DATA'!$H$22,"")</f>
        <v/>
      </c>
      <c r="BN443" s="518" t="str">
        <f>IF(AND(_4="B-737-900",'2026'!$O$4="FO",'2026'!$O$2=BN423),'2026DATA'!$I$22,"")</f>
        <v/>
      </c>
      <c r="BO443" s="518" t="str">
        <f>IF(AND(_4="B-737-900",'2026'!$O$4="FO",'2026'!$O$2=BO423),'2026DATA'!$J$22,"")</f>
        <v/>
      </c>
      <c r="BP443" s="518" t="str">
        <f>IF(AND(_4="B-737-900",'2026'!$O$4="FO",'2026'!$O$2=BP423),'2026DATA'!$K$22,"")</f>
        <v/>
      </c>
      <c r="BQ443" s="518" t="str">
        <f>IF(AND(_4="B-737-900",'2026'!$O$4="FO",'2026'!$O$2=BQ423),'2026DATA'!$L$22,"")</f>
        <v/>
      </c>
      <c r="BR443" s="518" t="str">
        <f>IF(AND(_4="B-737-900",'2026'!$O$4="FO",'2026'!$O$2=BR423),'2026DATA'!$M$22,"")</f>
        <v/>
      </c>
      <c r="BS443" s="520" t="str">
        <f>IF(AND(_4="B-737-900",'2026'!$O$4="FO",'2026'!$O$2=BS423),'2026DATA'!$N$22,"")</f>
        <v/>
      </c>
      <c r="BT443" s="940"/>
      <c r="BU443" s="13" t="s">
        <v>62</v>
      </c>
      <c r="BV443" s="518" t="str">
        <f>IF(AND(_5="B-737-900",'2026'!$O$4="FO",'2026'!$O$2=BV423),'2026DATA'!$C$22,"")</f>
        <v/>
      </c>
      <c r="BW443" s="518" t="str">
        <f>IF(AND(_5="B-737-900",'2026'!$O$4="FO",'2026'!$O$2=BW423),'2026DATA'!$D$22,"")</f>
        <v/>
      </c>
      <c r="BX443" s="518" t="str">
        <f>IF(AND(_5="B-737-900",'2026'!$O$4="FO",'2026'!$O$2=BX423),'2026DATA'!$E$22,"")</f>
        <v/>
      </c>
      <c r="BY443" s="518" t="str">
        <f>IF(AND(_5="B-737-900",'2026'!$O$4="FO",'2026'!$O$2=BY423),'2026DATA'!$F$22,"")</f>
        <v/>
      </c>
      <c r="BZ443" s="518" t="str">
        <f>IF(AND(_5="B-737-900",'2026'!$O$4="FO",'2026'!$O$2=BZ423),'2026DATA'!$G$22,"")</f>
        <v/>
      </c>
      <c r="CA443" s="518" t="str">
        <f>IF(AND(_5="B-737-900",'2026'!$O$4="FO",'2026'!$O$2=CA423),'2026DATA'!$H$22,"")</f>
        <v/>
      </c>
      <c r="CB443" s="518" t="str">
        <f>IF(AND(_5="B-737-900",'2026'!$O$4="FO",'2026'!$O$2=CB423),'2026DATA'!$I$22,"")</f>
        <v/>
      </c>
      <c r="CC443" s="518" t="str">
        <f>IF(AND(_5="B-737-900",'2026'!$O$4="FO",'2026'!$O$2=CC423),'2026DATA'!$J$22,"")</f>
        <v/>
      </c>
      <c r="CD443" s="518" t="str">
        <f>IF(AND(_5="B-737-900",'2026'!$O$4="FO",'2026'!$O$2=CD423),'2026DATA'!$K$22,"")</f>
        <v/>
      </c>
      <c r="CE443" s="518" t="str">
        <f>IF(AND(_5="B-737-900",'2026'!$O$4="FO",'2026'!$O$2=CE423),'2026DATA'!$L$22,"")</f>
        <v/>
      </c>
      <c r="CF443" s="518" t="str">
        <f>IF(AND(_5="B-737-900",'2026'!$O$4="FO",'2026'!$O$2=CF423),'2026DATA'!$M$22,"")</f>
        <v/>
      </c>
      <c r="CG443" s="520" t="str">
        <f>IF(AND(_5="B-737-900",'2026'!$O$4="FO",'2026'!$O$2=CG423),'2026DATA'!$N$22,"")</f>
        <v/>
      </c>
      <c r="CH443" s="940"/>
      <c r="CI443" s="13" t="s">
        <v>62</v>
      </c>
      <c r="CJ443" s="518" t="str">
        <f>IF(AND(_6="B-737-900",'2026'!$O$4="FO",'2026'!$O$2=CJ423),'2026DATA'!$C$22,"")</f>
        <v/>
      </c>
      <c r="CK443" s="518" t="str">
        <f>IF(AND(_6="B-737-900",'2026'!$O$4="FO",'2026'!$O$2=CK423),'2026DATA'!$D$22,"")</f>
        <v/>
      </c>
      <c r="CL443" s="518" t="str">
        <f>IF(AND(_6="B-737-900",'2026'!$O$4="FO",'2026'!$O$2=CL423),'2026DATA'!$E$22,"")</f>
        <v/>
      </c>
      <c r="CM443" s="518" t="str">
        <f>IF(AND(_6="B-737-900",'2026'!$O$4="FO",'2026'!$O$2=CM423),'2026DATA'!$F$22,"")</f>
        <v/>
      </c>
      <c r="CN443" s="518" t="str">
        <f>IF(AND(_6="B-737-900",'2026'!$O$4="FO",'2026'!$O$2=CN423),'2026DATA'!$G$22,"")</f>
        <v/>
      </c>
      <c r="CO443" s="518" t="str">
        <f>IF(AND(_6="B-737-900",'2026'!$O$4="FO",'2026'!$O$2=CO423),'2026DATA'!$H$22,"")</f>
        <v/>
      </c>
      <c r="CP443" s="518" t="str">
        <f>IF(AND(_6="B-737-900",'2026'!$O$4="FO",'2026'!$O$2=CP423),'2026DATA'!$I$22,"")</f>
        <v/>
      </c>
      <c r="CQ443" s="518" t="str">
        <f>IF(AND(_6="B-737-900",'2026'!$O$4="FO",'2026'!$O$2=CQ423),'2026DATA'!$J$22,"")</f>
        <v/>
      </c>
      <c r="CR443" s="518" t="str">
        <f>IF(AND(_6="B-737-900",'2026'!$O$4="FO",'2026'!$O$2=CR423),'2026DATA'!$K$22,"")</f>
        <v/>
      </c>
      <c r="CS443" s="518" t="str">
        <f>IF(AND(_6="B-737-900",'2026'!$O$4="FO",'2026'!$O$2=CS423),'2026DATA'!$L$22,"")</f>
        <v/>
      </c>
      <c r="CT443" s="518" t="str">
        <f>IF(AND(_6="B-737-900",'2026'!$O$4="FO",'2026'!$O$2=CT423),'2026DATA'!$M$22,"")</f>
        <v/>
      </c>
      <c r="CU443" s="520" t="str">
        <f>IF(AND(_6="B-737-900",'2026'!$O$4="FO",'2026'!$O$2=CU423),'2026DATA'!$N$22,"")</f>
        <v/>
      </c>
    </row>
    <row r="444" spans="16:99" x14ac:dyDescent="0.25">
      <c r="P444" s="940" t="s">
        <v>69</v>
      </c>
      <c r="Q444" s="13" t="s">
        <v>61</v>
      </c>
      <c r="R444" s="518" t="str">
        <f>IF(AND(_1="B-737-800",'2026'!$O$4="CA",'2026'!$O$2=R423),'2026DATA'!$C$23,"")</f>
        <v/>
      </c>
      <c r="S444" s="518" t="str">
        <f>IF(AND(_1="B-737-800",'2026'!$O$4="CA",'2026'!$O$2=S423),'2026DATA'!$D$23,"")</f>
        <v/>
      </c>
      <c r="T444" s="518" t="str">
        <f>IF(AND(_1="B-737-800",'2026'!$O$4="CA",'2026'!$O$2=T423),'2026DATA'!$E$23,"")</f>
        <v/>
      </c>
      <c r="U444" s="518" t="str">
        <f>IF(AND(_1="B-737-800",'2026'!$O$4="CA",'2026'!$O$2=U423),'2026DATA'!$F$23,"")</f>
        <v/>
      </c>
      <c r="V444" s="518" t="str">
        <f>IF(AND(_1="B-737-800",'2026'!$O$4="CA",'2026'!$O$2=V423),'2026DATA'!$G$23,"")</f>
        <v/>
      </c>
      <c r="W444" s="518" t="str">
        <f>IF(AND(_1="B-737-800",'2026'!$O$4="CA",'2026'!$O$2=W423),'2026DATA'!$H$23,"")</f>
        <v/>
      </c>
      <c r="X444" s="518" t="str">
        <f>IF(AND(_1="B-737-800",'2026'!$O$4="CA",'2026'!$O$2=X423),'2026DATA'!$I$23,"")</f>
        <v/>
      </c>
      <c r="Y444" s="518" t="str">
        <f>IF(AND(_1="B-737-800",'2026'!$O$4="CA",'2026'!$O$2=Y423),'2026DATA'!$J$23,"")</f>
        <v/>
      </c>
      <c r="Z444" s="518" t="str">
        <f>IF(AND(_1="B-737-800",'2026'!$O$4="CA",'2026'!$O$2=Z423),'2026DATA'!$K$23,"")</f>
        <v/>
      </c>
      <c r="AA444" s="518" t="str">
        <f>IF(AND(_1="B-737-800",'2026'!$O$4="CA",'2026'!$O$2=AA423),'2026DATA'!$L$23,"")</f>
        <v/>
      </c>
      <c r="AB444" s="518" t="str">
        <f>IF(AND(_1="B-737-800",'2026'!$O$4="CA",'2026'!$O$2=AB423),'2026DATA'!$M$23,"")</f>
        <v/>
      </c>
      <c r="AC444" s="520" t="str">
        <f>IF(AND(_1="B-737-800",'2026'!$O$4="CA",'2026'!$O$2=AC423),'2026DATA'!$N$23,"")</f>
        <v/>
      </c>
      <c r="AD444" s="940" t="s">
        <v>69</v>
      </c>
      <c r="AE444" s="13" t="s">
        <v>61</v>
      </c>
      <c r="AF444" s="518" t="str">
        <f>IF(AND(_2="B-737-800",'2026'!$O$4="CA",'2026'!$O$2=AF423),'2026DATA'!$C$23,"")</f>
        <v/>
      </c>
      <c r="AG444" s="518" t="str">
        <f>IF(AND(_2="B-737-800",'2026'!$O$4="CA",'2026'!$O$2=AG423),'2026DATA'!$D$23,"")</f>
        <v/>
      </c>
      <c r="AH444" s="518" t="str">
        <f>IF(AND(_2="B-737-800",'2026'!$O$4="CA",'2026'!$O$2=AH423),'2026DATA'!$E$23,"")</f>
        <v/>
      </c>
      <c r="AI444" s="518" t="str">
        <f>IF(AND(_2="B-737-800",'2026'!$O$4="CA",'2026'!$O$2=AI423),'2026DATA'!$F$23,"")</f>
        <v/>
      </c>
      <c r="AJ444" s="518" t="str">
        <f>IF(AND(_2="B-737-800",'2026'!$O$4="CA",'2026'!$O$2=AJ423),'2026DATA'!$G$23,"")</f>
        <v/>
      </c>
      <c r="AK444" s="518" t="str">
        <f>IF(AND(_2="B-737-800",'2026'!$O$4="CA",'2026'!$O$2=AK423),'2026DATA'!$H$23,"")</f>
        <v/>
      </c>
      <c r="AL444" s="518" t="str">
        <f>IF(AND(_2="B-737-800",'2026'!$O$4="CA",'2026'!$O$2=AL423),'2026DATA'!$I$23,"")</f>
        <v/>
      </c>
      <c r="AM444" s="518" t="str">
        <f>IF(AND(_2="B-737-800",'2026'!$O$4="CA",'2026'!$O$2=AM423),'2026DATA'!$J$23,"")</f>
        <v/>
      </c>
      <c r="AN444" s="518" t="str">
        <f>IF(AND(_2="B-737-800",'2026'!$O$4="CA",'2026'!$O$2=AN423),'2026DATA'!$K$23,"")</f>
        <v/>
      </c>
      <c r="AO444" s="518" t="str">
        <f>IF(AND(_2="B-737-800",'2026'!$O$4="CA",'2026'!$O$2=AO423),'2026DATA'!$L$23,"")</f>
        <v/>
      </c>
      <c r="AP444" s="518" t="str">
        <f>IF(AND(_2="B-737-800",'2026'!$O$4="CA",'2026'!$O$2=AP423),'2026DATA'!$M$23,"")</f>
        <v/>
      </c>
      <c r="AQ444" s="520" t="str">
        <f>IF(AND(_2="B-737-800",'2026'!$O$4="CA",'2026'!$O$2=AQ423),'2026DATA'!$N$23,"")</f>
        <v/>
      </c>
      <c r="AR444" s="940" t="s">
        <v>69</v>
      </c>
      <c r="AS444" s="13" t="s">
        <v>61</v>
      </c>
      <c r="AT444" s="518" t="str">
        <f>IF(AND(_3="B-737-800",'2026'!$O$4="CA",'2026'!$O$2=AT423),'2026DATA'!$C$23,"")</f>
        <v/>
      </c>
      <c r="AU444" s="518" t="str">
        <f>IF(AND(_3="B-737-800",'2026'!$O$4="CA",'2026'!$O$2=AU423),'2026DATA'!$D$23,"")</f>
        <v/>
      </c>
      <c r="AV444" s="518" t="str">
        <f>IF(AND(_3="B-737-800",'2026'!$O$4="CA",'2026'!$O$2=AV423),'2026DATA'!$E$23,"")</f>
        <v/>
      </c>
      <c r="AW444" s="518" t="str">
        <f>IF(AND(_3="B-737-800",'2026'!$O$4="CA",'2026'!$O$2=AW423),'2026DATA'!$F$23,"")</f>
        <v/>
      </c>
      <c r="AX444" s="518" t="str">
        <f>IF(AND(_3="B-737-800",'2026'!$O$4="CA",'2026'!$O$2=AX423),'2026DATA'!$G$23,"")</f>
        <v/>
      </c>
      <c r="AY444" s="518" t="str">
        <f>IF(AND(_3="B-737-800",'2026'!$O$4="CA",'2026'!$O$2=AY423),'2026DATA'!$H$23,"")</f>
        <v/>
      </c>
      <c r="AZ444" s="518" t="str">
        <f>IF(AND(_3="B-737-800",'2026'!$O$4="CA",'2026'!$O$2=AZ423),'2026DATA'!$I$23,"")</f>
        <v/>
      </c>
      <c r="BA444" s="518" t="str">
        <f>IF(AND(_3="B-737-800",'2026'!$O$4="CA",'2026'!$O$2=BA423),'2026DATA'!$J$23,"")</f>
        <v/>
      </c>
      <c r="BB444" s="518" t="str">
        <f>IF(AND(_3="B-737-800",'2026'!$O$4="CA",'2026'!$O$2=BB423),'2026DATA'!$K$23,"")</f>
        <v/>
      </c>
      <c r="BC444" s="518" t="str">
        <f>IF(AND(_3="B-737-800",'2026'!$O$4="CA",'2026'!$O$2=BC423),'2026DATA'!$L$23,"")</f>
        <v/>
      </c>
      <c r="BD444" s="518" t="str">
        <f>IF(AND(_3="B-737-800",'2026'!$O$4="CA",'2026'!$O$2=BD423),'2026DATA'!$M$23,"")</f>
        <v/>
      </c>
      <c r="BE444" s="520" t="str">
        <f>IF(AND(_3="B-737-800",'2026'!$O$4="CA",'2026'!$O$2=BE423),'2026DATA'!$N$23,"")</f>
        <v/>
      </c>
      <c r="BF444" s="940" t="s">
        <v>69</v>
      </c>
      <c r="BG444" s="13" t="s">
        <v>61</v>
      </c>
      <c r="BH444" s="518" t="str">
        <f>IF(AND(_4="B-737-800",'2026'!$O$4="CA",'2026'!$O$2=BH423),'2026DATA'!$C$23,"")</f>
        <v/>
      </c>
      <c r="BI444" s="518" t="str">
        <f>IF(AND(_4="B-737-800",'2026'!$O$4="CA",'2026'!$O$2=BI423),'2026DATA'!$D$23,"")</f>
        <v/>
      </c>
      <c r="BJ444" s="518" t="str">
        <f>IF(AND(_4="B-737-800",'2026'!$O$4="CA",'2026'!$O$2=BJ423),'2026DATA'!$E$23,"")</f>
        <v/>
      </c>
      <c r="BK444" s="518" t="str">
        <f>IF(AND(_4="B-737-800",'2026'!$O$4="CA",'2026'!$O$2=BK423),'2026DATA'!$F$23,"")</f>
        <v/>
      </c>
      <c r="BL444" s="518" t="str">
        <f>IF(AND(_4="B-737-800",'2026'!$O$4="CA",'2026'!$O$2=BL423),'2026DATA'!$G$23,"")</f>
        <v/>
      </c>
      <c r="BM444" s="518" t="str">
        <f>IF(AND(_4="B-737-800",'2026'!$O$4="CA",'2026'!$O$2=BM423),'2026DATA'!$H$23,"")</f>
        <v/>
      </c>
      <c r="BN444" s="518" t="str">
        <f>IF(AND(_4="B-737-800",'2026'!$O$4="CA",'2026'!$O$2=BN423),'2026DATA'!$I$23,"")</f>
        <v/>
      </c>
      <c r="BO444" s="518" t="str">
        <f>IF(AND(_4="B-737-800",'2026'!$O$4="CA",'2026'!$O$2=BO423),'2026DATA'!$J$23,"")</f>
        <v/>
      </c>
      <c r="BP444" s="518" t="str">
        <f>IF(AND(_4="B-737-800",'2026'!$O$4="CA",'2026'!$O$2=BP423),'2026DATA'!$K$23,"")</f>
        <v/>
      </c>
      <c r="BQ444" s="518" t="str">
        <f>IF(AND(_4="B-737-800",'2026'!$O$4="CA",'2026'!$O$2=BQ423),'2026DATA'!$L$23,"")</f>
        <v/>
      </c>
      <c r="BR444" s="518" t="str">
        <f>IF(AND(_4="B-737-800",'2026'!$O$4="CA",'2026'!$O$2=BR423),'2026DATA'!$M$23,"")</f>
        <v/>
      </c>
      <c r="BS444" s="520" t="str">
        <f>IF(AND(_4="B-737-800",'2026'!$O$4="CA",'2026'!$O$2=BS423),'2026DATA'!$N$23,"")</f>
        <v/>
      </c>
      <c r="BT444" s="940" t="s">
        <v>69</v>
      </c>
      <c r="BU444" s="13" t="s">
        <v>61</v>
      </c>
      <c r="BV444" s="518" t="str">
        <f>IF(AND(_5="B-737-800",'2026'!$O$4="CA",'2026'!$O$2=BV423),'2026DATA'!$C$23,"")</f>
        <v/>
      </c>
      <c r="BW444" s="518" t="str">
        <f>IF(AND(_5="B-737-800",'2026'!$O$4="CA",'2026'!$O$2=BW423),'2026DATA'!$D$23,"")</f>
        <v/>
      </c>
      <c r="BX444" s="518" t="str">
        <f>IF(AND(_5="B-737-800",'2026'!$O$4="CA",'2026'!$O$2=BX423),'2026DATA'!$E$23,"")</f>
        <v/>
      </c>
      <c r="BY444" s="518" t="str">
        <f>IF(AND(_5="B-737-800",'2026'!$O$4="CA",'2026'!$O$2=BY423),'2026DATA'!$F$23,"")</f>
        <v/>
      </c>
      <c r="BZ444" s="518" t="str">
        <f>IF(AND(_5="B-737-800",'2026'!$O$4="CA",'2026'!$O$2=BZ423),'2026DATA'!$G$23,"")</f>
        <v/>
      </c>
      <c r="CA444" s="518" t="str">
        <f>IF(AND(_5="B-737-800",'2026'!$O$4="CA",'2026'!$O$2=CA423),'2026DATA'!$H$23,"")</f>
        <v/>
      </c>
      <c r="CB444" s="518" t="str">
        <f>IF(AND(_5="B-737-800",'2026'!$O$4="CA",'2026'!$O$2=CB423),'2026DATA'!$I$23,"")</f>
        <v/>
      </c>
      <c r="CC444" s="518" t="str">
        <f>IF(AND(_5="B-737-800",'2026'!$O$4="CA",'2026'!$O$2=CC423),'2026DATA'!$J$23,"")</f>
        <v/>
      </c>
      <c r="CD444" s="518" t="str">
        <f>IF(AND(_5="B-737-800",'2026'!$O$4="CA",'2026'!$O$2=CD423),'2026DATA'!$K$23,"")</f>
        <v/>
      </c>
      <c r="CE444" s="518" t="str">
        <f>IF(AND(_5="B-737-800",'2026'!$O$4="CA",'2026'!$O$2=CE423),'2026DATA'!$L$23,"")</f>
        <v/>
      </c>
      <c r="CF444" s="518" t="str">
        <f>IF(AND(_5="B-737-800",'2026'!$O$4="CA",'2026'!$O$2=CF423),'2026DATA'!$M$23,"")</f>
        <v/>
      </c>
      <c r="CG444" s="520" t="str">
        <f>IF(AND(_5="B-737-800",'2026'!$O$4="CA",'2026'!$O$2=CG423),'2026DATA'!$N$23,"")</f>
        <v/>
      </c>
      <c r="CH444" s="940" t="s">
        <v>69</v>
      </c>
      <c r="CI444" s="13" t="s">
        <v>61</v>
      </c>
      <c r="CJ444" s="518" t="str">
        <f>IF(AND(_6="B-737-800",'2026'!$O$4="CA",'2026'!$O$2=CJ423),'2026DATA'!$C$23,"")</f>
        <v/>
      </c>
      <c r="CK444" s="518" t="str">
        <f>IF(AND(_6="B-737-800",'2026'!$O$4="CA",'2026'!$O$2=CK423),'2026DATA'!$D$23,"")</f>
        <v/>
      </c>
      <c r="CL444" s="518" t="str">
        <f>IF(AND(_6="B-737-800",'2026'!$O$4="CA",'2026'!$O$2=CL423),'2026DATA'!$E$23,"")</f>
        <v/>
      </c>
      <c r="CM444" s="518" t="str">
        <f>IF(AND(_6="B-737-800",'2026'!$O$4="CA",'2026'!$O$2=CM423),'2026DATA'!$F$23,"")</f>
        <v/>
      </c>
      <c r="CN444" s="518" t="str">
        <f>IF(AND(_6="B-737-800",'2026'!$O$4="CA",'2026'!$O$2=CN423),'2026DATA'!$G$23,"")</f>
        <v/>
      </c>
      <c r="CO444" s="518" t="str">
        <f>IF(AND(_6="B-737-800",'2026'!$O$4="CA",'2026'!$O$2=CO423),'2026DATA'!$H$23,"")</f>
        <v/>
      </c>
      <c r="CP444" s="518" t="str">
        <f>IF(AND(_6="B-737-800",'2026'!$O$4="CA",'2026'!$O$2=CP423),'2026DATA'!$I$23,"")</f>
        <v/>
      </c>
      <c r="CQ444" s="518" t="str">
        <f>IF(AND(_6="B-737-800",'2026'!$O$4="CA",'2026'!$O$2=CQ423),'2026DATA'!$J$23,"")</f>
        <v/>
      </c>
      <c r="CR444" s="518" t="str">
        <f>IF(AND(_6="B-737-800",'2026'!$O$4="CA",'2026'!$O$2=CR423),'2026DATA'!$K$23,"")</f>
        <v/>
      </c>
      <c r="CS444" s="518" t="str">
        <f>IF(AND(_6="B-737-800",'2026'!$O$4="CA",'2026'!$O$2=CS423),'2026DATA'!$L$23,"")</f>
        <v/>
      </c>
      <c r="CT444" s="518" t="str">
        <f>IF(AND(_6="B-737-800",'2026'!$O$4="CA",'2026'!$O$2=CT423),'2026DATA'!$M$23,"")</f>
        <v/>
      </c>
      <c r="CU444" s="520" t="str">
        <f>IF(AND(_6="B-737-800",'2026'!$O$4="CA",'2026'!$O$2=CU423),'2026DATA'!$N$23,"")</f>
        <v/>
      </c>
    </row>
    <row r="445" spans="16:99" x14ac:dyDescent="0.25">
      <c r="P445" s="940"/>
      <c r="Q445" s="13" t="s">
        <v>62</v>
      </c>
      <c r="R445" s="518" t="str">
        <f>IF(AND(_1="B-737-800",'2026'!$O$4="FO",'2026'!$O$2=R423),'2026DATA'!$C$24,"")</f>
        <v/>
      </c>
      <c r="S445" s="518" t="str">
        <f>IF(AND(_1="B-737-800",'2026'!$O$4="FO",'2026'!$O$2=S423),'2026DATA'!$D$24,"")</f>
        <v/>
      </c>
      <c r="T445" s="518" t="str">
        <f>IF(AND(_1="B-737-800",'2026'!$O$4="FO",'2026'!$O$2=T423),'2026DATA'!$E$24,"")</f>
        <v/>
      </c>
      <c r="U445" s="518" t="str">
        <f>IF(AND(_1="B-737-800",'2026'!$O$4="FO",'2026'!$O$2=U423),'2026DATA'!$F$24,"")</f>
        <v/>
      </c>
      <c r="V445" s="518" t="str">
        <f>IF(AND(_1="B-737-800",'2026'!$O$4="FO",'2026'!$O$2=V423),'2026DATA'!$G$24,"")</f>
        <v/>
      </c>
      <c r="W445" s="518" t="str">
        <f>IF(AND(_1="B-737-800",'2026'!$O$4="FO",'2026'!$O$2=W423),'2026DATA'!$H$24,"")</f>
        <v/>
      </c>
      <c r="X445" s="518" t="str">
        <f>IF(AND(_1="B-737-800",'2026'!$O$4="FO",'2026'!$O$2=X423),'2026DATA'!$I$24,"")</f>
        <v/>
      </c>
      <c r="Y445" s="518" t="str">
        <f>IF(AND(_1="B-737-800",'2026'!$O$4="FO",'2026'!$O$2=Y423),'2026DATA'!$J$24,"")</f>
        <v/>
      </c>
      <c r="Z445" s="518" t="str">
        <f>IF(AND(_1="B-737-800",'2026'!$O$4="FO",'2026'!$O$2=Z423),'2026DATA'!$K$24,"")</f>
        <v/>
      </c>
      <c r="AA445" s="518" t="str">
        <f>IF(AND(_1="B-737-800",'2026'!$O$4="FO",'2026'!$O$2=AA423),'2026DATA'!$L$24,"")</f>
        <v/>
      </c>
      <c r="AB445" s="518" t="str">
        <f>IF(AND(_1="B-737-800",'2026'!$O$4="FO",'2026'!$O$2=AB423),'2026DATA'!$M$24,"")</f>
        <v/>
      </c>
      <c r="AC445" s="520" t="str">
        <f>IF(AND(_1="B-737-800",'2026'!$O$4="FO",'2026'!$O$2=AC423),'2026DATA'!$N$24,"")</f>
        <v/>
      </c>
      <c r="AD445" s="940"/>
      <c r="AE445" s="13" t="s">
        <v>62</v>
      </c>
      <c r="AF445" s="518" t="str">
        <f>IF(AND(_2="B-737-800",'2026'!$O$4="FO",'2026'!$O$2=AF423),'2026DATA'!$C$24,"")</f>
        <v/>
      </c>
      <c r="AG445" s="518" t="str">
        <f>IF(AND(_2="B-737-800",'2026'!$O$4="FO",'2026'!$O$2=AG423),'2026DATA'!$D$24,"")</f>
        <v/>
      </c>
      <c r="AH445" s="518" t="str">
        <f>IF(AND(_2="B-737-800",'2026'!$O$4="FO",'2026'!$O$2=AH423),'2026DATA'!$E$24,"")</f>
        <v/>
      </c>
      <c r="AI445" s="518" t="str">
        <f>IF(AND(_2="B-737-800",'2026'!$O$4="FO",'2026'!$O$2=AI423),'2026DATA'!$F$24,"")</f>
        <v/>
      </c>
      <c r="AJ445" s="518" t="str">
        <f>IF(AND(_2="B-737-800",'2026'!$O$4="FO",'2026'!$O$2=AJ423),'2026DATA'!$G$24,"")</f>
        <v/>
      </c>
      <c r="AK445" s="518" t="str">
        <f>IF(AND(_2="B-737-800",'2026'!$O$4="FO",'2026'!$O$2=AK423),'2026DATA'!$H$24,"")</f>
        <v/>
      </c>
      <c r="AL445" s="518" t="str">
        <f>IF(AND(_2="B-737-800",'2026'!$O$4="FO",'2026'!$O$2=AL423),'2026DATA'!$I$24,"")</f>
        <v/>
      </c>
      <c r="AM445" s="518" t="str">
        <f>IF(AND(_2="B-737-800",'2026'!$O$4="FO",'2026'!$O$2=AM423),'2026DATA'!$J$24,"")</f>
        <v/>
      </c>
      <c r="AN445" s="518" t="str">
        <f>IF(AND(_2="B-737-800",'2026'!$O$4="FO",'2026'!$O$2=AN423),'2026DATA'!$K$24,"")</f>
        <v/>
      </c>
      <c r="AO445" s="518" t="str">
        <f>IF(AND(_2="B-737-800",'2026'!$O$4="FO",'2026'!$O$2=AO423),'2026DATA'!$L$24,"")</f>
        <v/>
      </c>
      <c r="AP445" s="518" t="str">
        <f>IF(AND(_2="B-737-800",'2026'!$O$4="FO",'2026'!$O$2=AP423),'2026DATA'!$M$24,"")</f>
        <v/>
      </c>
      <c r="AQ445" s="520" t="str">
        <f>IF(AND(_2="B-737-800",'2026'!$O$4="FO",'2026'!$O$2=AQ423),'2026DATA'!$N$24,"")</f>
        <v/>
      </c>
      <c r="AR445" s="940"/>
      <c r="AS445" s="13" t="s">
        <v>62</v>
      </c>
      <c r="AT445" s="518" t="str">
        <f>IF(AND(_3="B-737-800",'2026'!$O$4="FO",'2026'!$O$2=AT423),'2026DATA'!$C$24,"")</f>
        <v/>
      </c>
      <c r="AU445" s="518" t="str">
        <f>IF(AND(_3="B-737-800",'2026'!$O$4="FO",'2026'!$O$2=AU423),'2026DATA'!$D$24,"")</f>
        <v/>
      </c>
      <c r="AV445" s="518" t="str">
        <f>IF(AND(_3="B-737-800",'2026'!$O$4="FO",'2026'!$O$2=AV423),'2026DATA'!$E$24,"")</f>
        <v/>
      </c>
      <c r="AW445" s="518" t="str">
        <f>IF(AND(_3="B-737-800",'2026'!$O$4="FO",'2026'!$O$2=AW423),'2026DATA'!$F$24,"")</f>
        <v/>
      </c>
      <c r="AX445" s="518" t="str">
        <f>IF(AND(_3="B-737-800",'2026'!$O$4="FO",'2026'!$O$2=AX423),'2026DATA'!$G$24,"")</f>
        <v/>
      </c>
      <c r="AY445" s="518" t="str">
        <f>IF(AND(_3="B-737-800",'2026'!$O$4="FO",'2026'!$O$2=AY423),'2026DATA'!$H$24,"")</f>
        <v/>
      </c>
      <c r="AZ445" s="518" t="str">
        <f>IF(AND(_3="B-737-800",'2026'!$O$4="FO",'2026'!$O$2=AZ423),'2026DATA'!$I$24,"")</f>
        <v/>
      </c>
      <c r="BA445" s="518" t="str">
        <f>IF(AND(_3="B-737-800",'2026'!$O$4="FO",'2026'!$O$2=BA423),'2026DATA'!$J$24,"")</f>
        <v/>
      </c>
      <c r="BB445" s="518" t="str">
        <f>IF(AND(_3="B-737-800",'2026'!$O$4="FO",'2026'!$O$2=BB423),'2026DATA'!$K$24,"")</f>
        <v/>
      </c>
      <c r="BC445" s="518" t="str">
        <f>IF(AND(_3="B-737-800",'2026'!$O$4="FO",'2026'!$O$2=BC423),'2026DATA'!$L$24,"")</f>
        <v/>
      </c>
      <c r="BD445" s="518" t="str">
        <f>IF(AND(_3="B-737-800",'2026'!$O$4="FO",'2026'!$O$2=BD423),'2026DATA'!$M$24,"")</f>
        <v/>
      </c>
      <c r="BE445" s="520" t="str">
        <f>IF(AND(_3="B-737-800",'2026'!$O$4="FO",'2026'!$O$2=BE423),'2026DATA'!$N$24,"")</f>
        <v/>
      </c>
      <c r="BF445" s="940"/>
      <c r="BG445" s="13" t="s">
        <v>62</v>
      </c>
      <c r="BH445" s="518" t="str">
        <f>IF(AND(_4="B-737-800",'2026'!$O$4="FO",'2026'!$O$2=BH423),'2026DATA'!$C$24,"")</f>
        <v/>
      </c>
      <c r="BI445" s="518" t="str">
        <f>IF(AND(_4="B-737-800",'2026'!$O$4="FO",'2026'!$O$2=BI423),'2026DATA'!$D$24,"")</f>
        <v/>
      </c>
      <c r="BJ445" s="518" t="str">
        <f>IF(AND(_4="B-737-800",'2026'!$O$4="FO",'2026'!$O$2=BJ423),'2026DATA'!$E$24,"")</f>
        <v/>
      </c>
      <c r="BK445" s="518" t="str">
        <f>IF(AND(_4="B-737-800",'2026'!$O$4="FO",'2026'!$O$2=BK423),'2026DATA'!$F$24,"")</f>
        <v/>
      </c>
      <c r="BL445" s="518" t="str">
        <f>IF(AND(_4="B-737-800",'2026'!$O$4="FO",'2026'!$O$2=BL423),'2026DATA'!$G$24,"")</f>
        <v/>
      </c>
      <c r="BM445" s="518" t="str">
        <f>IF(AND(_4="B-737-800",'2026'!$O$4="FO",'2026'!$O$2=BM423),'2026DATA'!$H$24,"")</f>
        <v/>
      </c>
      <c r="BN445" s="518" t="str">
        <f>IF(AND(_4="B-737-800",'2026'!$O$4="FO",'2026'!$O$2=BN423),'2026DATA'!$I$24,"")</f>
        <v/>
      </c>
      <c r="BO445" s="518" t="str">
        <f>IF(AND(_4="B-737-800",'2026'!$O$4="FO",'2026'!$O$2=BO423),'2026DATA'!$J$24,"")</f>
        <v/>
      </c>
      <c r="BP445" s="518" t="str">
        <f>IF(AND(_4="B-737-800",'2026'!$O$4="FO",'2026'!$O$2=BP423),'2026DATA'!$K$24,"")</f>
        <v/>
      </c>
      <c r="BQ445" s="518" t="str">
        <f>IF(AND(_4="B-737-800",'2026'!$O$4="FO",'2026'!$O$2=BQ423),'2026DATA'!$L$24,"")</f>
        <v/>
      </c>
      <c r="BR445" s="518" t="str">
        <f>IF(AND(_4="B-737-800",'2026'!$O$4="FO",'2026'!$O$2=BR423),'2026DATA'!$M$24,"")</f>
        <v/>
      </c>
      <c r="BS445" s="520" t="str">
        <f>IF(AND(_4="B-737-800",'2026'!$O$4="FO",'2026'!$O$2=BS423),'2026DATA'!$N$24,"")</f>
        <v/>
      </c>
      <c r="BT445" s="940"/>
      <c r="BU445" s="13" t="s">
        <v>62</v>
      </c>
      <c r="BV445" s="518" t="str">
        <f>IF(AND(_5="B-737-800",'2026'!$O$4="FO",'2026'!$O$2=BV423),'2026DATA'!$C$24,"")</f>
        <v/>
      </c>
      <c r="BW445" s="518" t="str">
        <f>IF(AND(_5="B-737-800",'2026'!$O$4="FO",'2026'!$O$2=BW423),'2026DATA'!$D$24,"")</f>
        <v/>
      </c>
      <c r="BX445" s="518" t="str">
        <f>IF(AND(_5="B-737-800",'2026'!$O$4="FO",'2026'!$O$2=BX423),'2026DATA'!$E$24,"")</f>
        <v/>
      </c>
      <c r="BY445" s="518" t="str">
        <f>IF(AND(_5="B-737-800",'2026'!$O$4="FO",'2026'!$O$2=BY423),'2026DATA'!$F$24,"")</f>
        <v/>
      </c>
      <c r="BZ445" s="518" t="str">
        <f>IF(AND(_5="B-737-800",'2026'!$O$4="FO",'2026'!$O$2=BZ423),'2026DATA'!$G$24,"")</f>
        <v/>
      </c>
      <c r="CA445" s="518" t="str">
        <f>IF(AND(_5="B-737-800",'2026'!$O$4="FO",'2026'!$O$2=CA423),'2026DATA'!$H$24,"")</f>
        <v/>
      </c>
      <c r="CB445" s="518" t="str">
        <f>IF(AND(_5="B-737-800",'2026'!$O$4="FO",'2026'!$O$2=CB423),'2026DATA'!$I$24,"")</f>
        <v/>
      </c>
      <c r="CC445" s="518" t="str">
        <f>IF(AND(_5="B-737-800",'2026'!$O$4="FO",'2026'!$O$2=CC423),'2026DATA'!$J$24,"")</f>
        <v/>
      </c>
      <c r="CD445" s="518" t="str">
        <f>IF(AND(_5="B-737-800",'2026'!$O$4="FO",'2026'!$O$2=CD423),'2026DATA'!$K$24,"")</f>
        <v/>
      </c>
      <c r="CE445" s="518" t="str">
        <f>IF(AND(_5="B-737-800",'2026'!$O$4="FO",'2026'!$O$2=CE423),'2026DATA'!$L$24,"")</f>
        <v/>
      </c>
      <c r="CF445" s="518" t="str">
        <f>IF(AND(_5="B-737-800",'2026'!$O$4="FO",'2026'!$O$2=CF423),'2026DATA'!$M$24,"")</f>
        <v/>
      </c>
      <c r="CG445" s="520" t="str">
        <f>IF(AND(_5="B-737-800",'2026'!$O$4="FO",'2026'!$O$2=CG423),'2026DATA'!$N$24,"")</f>
        <v/>
      </c>
      <c r="CH445" s="940"/>
      <c r="CI445" s="13" t="s">
        <v>62</v>
      </c>
      <c r="CJ445" s="518" t="str">
        <f>IF(AND(_6="B-737-800",'2026'!$O$4="FO",'2026'!$O$2=CJ423),'2026DATA'!$C$24,"")</f>
        <v/>
      </c>
      <c r="CK445" s="518" t="str">
        <f>IF(AND(_6="B-737-800",'2026'!$O$4="FO",'2026'!$O$2=CK423),'2026DATA'!$D$24,"")</f>
        <v/>
      </c>
      <c r="CL445" s="518" t="str">
        <f>IF(AND(_6="B-737-800",'2026'!$O$4="FO",'2026'!$O$2=CL423),'2026DATA'!$E$24,"")</f>
        <v/>
      </c>
      <c r="CM445" s="518" t="str">
        <f>IF(AND(_6="B-737-800",'2026'!$O$4="FO",'2026'!$O$2=CM423),'2026DATA'!$F$24,"")</f>
        <v/>
      </c>
      <c r="CN445" s="518" t="str">
        <f>IF(AND(_6="B-737-800",'2026'!$O$4="FO",'2026'!$O$2=CN423),'2026DATA'!$G$24,"")</f>
        <v/>
      </c>
      <c r="CO445" s="518" t="str">
        <f>IF(AND(_6="B-737-800",'2026'!$O$4="FO",'2026'!$O$2=CO423),'2026DATA'!$H$24,"")</f>
        <v/>
      </c>
      <c r="CP445" s="518" t="str">
        <f>IF(AND(_6="B-737-800",'2026'!$O$4="FO",'2026'!$O$2=CP423),'2026DATA'!$I$24,"")</f>
        <v/>
      </c>
      <c r="CQ445" s="518" t="str">
        <f>IF(AND(_6="B-737-800",'2026'!$O$4="FO",'2026'!$O$2=CQ423),'2026DATA'!$J$24,"")</f>
        <v/>
      </c>
      <c r="CR445" s="518" t="str">
        <f>IF(AND(_6="B-737-800",'2026'!$O$4="FO",'2026'!$O$2=CR423),'2026DATA'!$K$24,"")</f>
        <v/>
      </c>
      <c r="CS445" s="518" t="str">
        <f>IF(AND(_6="B-737-800",'2026'!$O$4="FO",'2026'!$O$2=CS423),'2026DATA'!$L$24,"")</f>
        <v/>
      </c>
      <c r="CT445" s="518" t="str">
        <f>IF(AND(_6="B-737-800",'2026'!$O$4="FO",'2026'!$O$2=CT423),'2026DATA'!$M$24,"")</f>
        <v/>
      </c>
      <c r="CU445" s="520" t="str">
        <f>IF(AND(_6="B-737-800",'2026'!$O$4="FO",'2026'!$O$2=CU423),'2026DATA'!$N$24,"")</f>
        <v/>
      </c>
    </row>
    <row r="446" spans="16:99" x14ac:dyDescent="0.25">
      <c r="P446" s="940" t="s">
        <v>46</v>
      </c>
      <c r="Q446" s="13" t="s">
        <v>61</v>
      </c>
      <c r="R446" s="518" t="str">
        <f>IF(AND(_1="A-321N",'2026'!$O$4="CA",'2026'!$O$2=R423),'2026DATA'!$C$25,"")</f>
        <v/>
      </c>
      <c r="S446" s="518" t="str">
        <f>IF(AND(_1="A-321N",'2026'!$O$4="CA",'2026'!$O$2=S423),'2026DATA'!$D$25,"")</f>
        <v/>
      </c>
      <c r="T446" s="518" t="str">
        <f>IF(AND(_1="A-321N",'2026'!$O$4="CA",'2026'!$O$2=T423),'2026DATA'!$E$25,"")</f>
        <v/>
      </c>
      <c r="U446" s="518" t="str">
        <f>IF(AND(_1="A-321N",'2026'!$O$4="CA",'2026'!$O$2=U423),'2026DATA'!$F$25,"")</f>
        <v/>
      </c>
      <c r="V446" s="518" t="str">
        <f>IF(AND(_1="A-321N",'2026'!$O$4="CA",'2026'!$O$2=V423),'2026DATA'!$G$25,"")</f>
        <v/>
      </c>
      <c r="W446" s="518" t="str">
        <f>IF(AND(_1="A-321N",'2026'!$O$4="CA",'2026'!$O$2=W423),'2026DATA'!$H$25,"")</f>
        <v/>
      </c>
      <c r="X446" s="518" t="str">
        <f>IF(AND(_1="A-321N",'2026'!$O$4="CA",'2026'!$O$2=X423),'2026DATA'!$I$25,"")</f>
        <v/>
      </c>
      <c r="Y446" s="518" t="str">
        <f>IF(AND(_1="A-321N",'2026'!$O$4="CA",'2026'!$O$2=Y423),'2026DATA'!$J$25,"")</f>
        <v/>
      </c>
      <c r="Z446" s="518" t="str">
        <f>IF(AND(_1="A-321N",'2026'!$O$4="CA",'2026'!$O$2=Z423),'2026DATA'!$K$25,"")</f>
        <v/>
      </c>
      <c r="AA446" s="518" t="str">
        <f>IF(AND(_1="A-321N",'2026'!$O$4="CA",'2026'!$O$2=AA423),'2026DATA'!$L$25,"")</f>
        <v/>
      </c>
      <c r="AB446" s="518" t="str">
        <f>IF(AND(_1="A-321N",'2026'!$O$4="CA",'2026'!$O$2=AB423),'2026DATA'!$M$25,"")</f>
        <v/>
      </c>
      <c r="AC446" s="520" t="str">
        <f>IF(AND(_1="A-321N",'2026'!$O$4="CA",'2026'!$O$2=AC423),'2026DATA'!$N$25,"")</f>
        <v/>
      </c>
      <c r="AD446" s="940" t="s">
        <v>46</v>
      </c>
      <c r="AE446" s="13" t="s">
        <v>61</v>
      </c>
      <c r="AF446" s="518" t="str">
        <f>IF(AND(_2="A-321N",'2026'!$O$4="CA",'2026'!$O$2=AF423),'2026DATA'!$C$25,"")</f>
        <v/>
      </c>
      <c r="AG446" s="518" t="str">
        <f>IF(AND(_2="A-321N",'2026'!$O$4="CA",'2026'!$O$2=AG423),'2026DATA'!$D$25,"")</f>
        <v/>
      </c>
      <c r="AH446" s="518" t="str">
        <f>IF(AND(_2="A-321N",'2026'!$O$4="CA",'2026'!$O$2=AH423),'2026DATA'!$E$25,"")</f>
        <v/>
      </c>
      <c r="AI446" s="518" t="str">
        <f>IF(AND(_2="A-321N",'2026'!$O$4="CA",'2026'!$O$2=AI423),'2026DATA'!$F$25,"")</f>
        <v/>
      </c>
      <c r="AJ446" s="518" t="str">
        <f>IF(AND(_2="A-321N",'2026'!$O$4="CA",'2026'!$O$2=AJ423),'2026DATA'!$G$25,"")</f>
        <v/>
      </c>
      <c r="AK446" s="518" t="str">
        <f>IF(AND(_2="A-321N",'2026'!$O$4="CA",'2026'!$O$2=AK423),'2026DATA'!$H$25,"")</f>
        <v/>
      </c>
      <c r="AL446" s="518" t="str">
        <f>IF(AND(_2="A-321N",'2026'!$O$4="CA",'2026'!$O$2=AL423),'2026DATA'!$I$25,"")</f>
        <v/>
      </c>
      <c r="AM446" s="518" t="str">
        <f>IF(AND(_2="A-321N",'2026'!$O$4="CA",'2026'!$O$2=AM423),'2026DATA'!$J$25,"")</f>
        <v/>
      </c>
      <c r="AN446" s="518" t="str">
        <f>IF(AND(_2="A-321N",'2026'!$O$4="CA",'2026'!$O$2=AN423),'2026DATA'!$K$25,"")</f>
        <v/>
      </c>
      <c r="AO446" s="518" t="str">
        <f>IF(AND(_2="A-321N",'2026'!$O$4="CA",'2026'!$O$2=AO423),'2026DATA'!$L$25,"")</f>
        <v/>
      </c>
      <c r="AP446" s="518" t="str">
        <f>IF(AND(_2="A-321N",'2026'!$O$4="CA",'2026'!$O$2=AP423),'2026DATA'!$M$25,"")</f>
        <v/>
      </c>
      <c r="AQ446" s="520" t="str">
        <f>IF(AND(_2="A-321N",'2026'!$O$4="CA",'2026'!$O$2=AQ423),'2026DATA'!$N$25,"")</f>
        <v/>
      </c>
      <c r="AR446" s="940" t="s">
        <v>46</v>
      </c>
      <c r="AS446" s="13" t="s">
        <v>61</v>
      </c>
      <c r="AT446" s="518" t="str">
        <f>IF(AND(_3="A-321N",'2026'!$O$4="CA",'2026'!$O$2=AT423),'2026DATA'!$C$25,"")</f>
        <v/>
      </c>
      <c r="AU446" s="518" t="str">
        <f>IF(AND(_3="A-321N",'2026'!$O$4="CA",'2026'!$O$2=AU423),'2026DATA'!$D$25,"")</f>
        <v/>
      </c>
      <c r="AV446" s="518" t="str">
        <f>IF(AND(_3="A-321N",'2026'!$O$4="CA",'2026'!$O$2=AV423),'2026DATA'!$E$25,"")</f>
        <v/>
      </c>
      <c r="AW446" s="518" t="str">
        <f>IF(AND(_3="A-321N",'2026'!$O$4="CA",'2026'!$O$2=AW423),'2026DATA'!$F$25,"")</f>
        <v/>
      </c>
      <c r="AX446" s="518" t="str">
        <f>IF(AND(_3="A-321N",'2026'!$O$4="CA",'2026'!$O$2=AX423),'2026DATA'!$G$25,"")</f>
        <v/>
      </c>
      <c r="AY446" s="518" t="str">
        <f>IF(AND(_3="A-321N",'2026'!$O$4="CA",'2026'!$O$2=AY423),'2026DATA'!$H$25,"")</f>
        <v/>
      </c>
      <c r="AZ446" s="518" t="str">
        <f>IF(AND(_3="A-321N",'2026'!$O$4="CA",'2026'!$O$2=AZ423),'2026DATA'!$I$25,"")</f>
        <v/>
      </c>
      <c r="BA446" s="518" t="str">
        <f>IF(AND(_3="A-321N",'2026'!$O$4="CA",'2026'!$O$2=BA423),'2026DATA'!$J$25,"")</f>
        <v/>
      </c>
      <c r="BB446" s="518" t="str">
        <f>IF(AND(_3="A-321N",'2026'!$O$4="CA",'2026'!$O$2=BB423),'2026DATA'!$K$25,"")</f>
        <v/>
      </c>
      <c r="BC446" s="518" t="str">
        <f>IF(AND(_3="A-321N",'2026'!$O$4="CA",'2026'!$O$2=BC423),'2026DATA'!$L$25,"")</f>
        <v/>
      </c>
      <c r="BD446" s="518" t="str">
        <f>IF(AND(_3="A-321N",'2026'!$O$4="CA",'2026'!$O$2=BD423),'2026DATA'!$M$25,"")</f>
        <v/>
      </c>
      <c r="BE446" s="520" t="str">
        <f>IF(AND(_3="A-321N",'2026'!$O$4="CA",'2026'!$O$2=BE423),'2026DATA'!$N$25,"")</f>
        <v/>
      </c>
      <c r="BF446" s="940" t="s">
        <v>46</v>
      </c>
      <c r="BG446" s="13" t="s">
        <v>61</v>
      </c>
      <c r="BH446" s="518" t="str">
        <f>IF(AND(_4="A-321N",'2026'!$O$4="CA",'2026'!$O$2=BH423),'2026DATA'!$C$25,"")</f>
        <v/>
      </c>
      <c r="BI446" s="518" t="str">
        <f>IF(AND(_4="A-321N",'2026'!$O$4="CA",'2026'!$O$2=BI423),'2026DATA'!$D$25,"")</f>
        <v/>
      </c>
      <c r="BJ446" s="518" t="str">
        <f>IF(AND(_4="A-321N",'2026'!$O$4="CA",'2026'!$O$2=BJ423),'2026DATA'!$E$25,"")</f>
        <v/>
      </c>
      <c r="BK446" s="518" t="str">
        <f>IF(AND(_4="A-321N",'2026'!$O$4="CA",'2026'!$O$2=BK423),'2026DATA'!$F$25,"")</f>
        <v/>
      </c>
      <c r="BL446" s="518" t="str">
        <f>IF(AND(_4="A-321N",'2026'!$O$4="CA",'2026'!$O$2=BL423),'2026DATA'!$G$25,"")</f>
        <v/>
      </c>
      <c r="BM446" s="518" t="str">
        <f>IF(AND(_4="A-321N",'2026'!$O$4="CA",'2026'!$O$2=BM423),'2026DATA'!$H$25,"")</f>
        <v/>
      </c>
      <c r="BN446" s="518" t="str">
        <f>IF(AND(_4="A-321N",'2026'!$O$4="CA",'2026'!$O$2=BN423),'2026DATA'!$I$25,"")</f>
        <v/>
      </c>
      <c r="BO446" s="518" t="str">
        <f>IF(AND(_4="A-321N",'2026'!$O$4="CA",'2026'!$O$2=BO423),'2026DATA'!$J$25,"")</f>
        <v/>
      </c>
      <c r="BP446" s="518" t="str">
        <f>IF(AND(_4="A-321N",'2026'!$O$4="CA",'2026'!$O$2=BP423),'2026DATA'!$K$25,"")</f>
        <v/>
      </c>
      <c r="BQ446" s="518" t="str">
        <f>IF(AND(_4="A-321N",'2026'!$O$4="CA",'2026'!$O$2=BQ423),'2026DATA'!$L$25,"")</f>
        <v/>
      </c>
      <c r="BR446" s="518" t="str">
        <f>IF(AND(_4="A-321N",'2026'!$O$4="CA",'2026'!$O$2=BR423),'2026DATA'!$M$25,"")</f>
        <v/>
      </c>
      <c r="BS446" s="520" t="str">
        <f>IF(AND(_4="A-321N",'2026'!$O$4="CA",'2026'!$O$2=BS423),'2026DATA'!$N$25,"")</f>
        <v/>
      </c>
      <c r="BT446" s="940" t="s">
        <v>46</v>
      </c>
      <c r="BU446" s="13" t="s">
        <v>61</v>
      </c>
      <c r="BV446" s="518" t="str">
        <f>IF(AND(_5="A-321N",'2026'!$O$4="CA",'2026'!$O$2=BV423),'2026DATA'!$C$25,"")</f>
        <v/>
      </c>
      <c r="BW446" s="518" t="str">
        <f>IF(AND(_5="A-321N",'2026'!$O$4="CA",'2026'!$O$2=BW423),'2026DATA'!$D$25,"")</f>
        <v/>
      </c>
      <c r="BX446" s="518" t="str">
        <f>IF(AND(_5="A-321N",'2026'!$O$4="CA",'2026'!$O$2=BX423),'2026DATA'!$E$25,"")</f>
        <v/>
      </c>
      <c r="BY446" s="518" t="str">
        <f>IF(AND(_5="A-321N",'2026'!$O$4="CA",'2026'!$O$2=BY423),'2026DATA'!$F$25,"")</f>
        <v/>
      </c>
      <c r="BZ446" s="518" t="str">
        <f>IF(AND(_5="A-321N",'2026'!$O$4="CA",'2026'!$O$2=BZ423),'2026DATA'!$G$25,"")</f>
        <v/>
      </c>
      <c r="CA446" s="518" t="str">
        <f>IF(AND(_5="A-321N",'2026'!$O$4="CA",'2026'!$O$2=CA423),'2026DATA'!$H$25,"")</f>
        <v/>
      </c>
      <c r="CB446" s="518" t="str">
        <f>IF(AND(_5="A-321N",'2026'!$O$4="CA",'2026'!$O$2=CB423),'2026DATA'!$I$25,"")</f>
        <v/>
      </c>
      <c r="CC446" s="518" t="str">
        <f>IF(AND(_5="A-321N",'2026'!$O$4="CA",'2026'!$O$2=CC423),'2026DATA'!$J$25,"")</f>
        <v/>
      </c>
      <c r="CD446" s="518" t="str">
        <f>IF(AND(_5="A-321N",'2026'!$O$4="CA",'2026'!$O$2=CD423),'2026DATA'!$K$25,"")</f>
        <v/>
      </c>
      <c r="CE446" s="518" t="str">
        <f>IF(AND(_5="A-321N",'2026'!$O$4="CA",'2026'!$O$2=CE423),'2026DATA'!$L$25,"")</f>
        <v/>
      </c>
      <c r="CF446" s="518" t="str">
        <f>IF(AND(_5="A-321N",'2026'!$O$4="CA",'2026'!$O$2=CF423),'2026DATA'!$M$25,"")</f>
        <v/>
      </c>
      <c r="CG446" s="520" t="str">
        <f>IF(AND(_5="A-321N",'2026'!$O$4="CA",'2026'!$O$2=CG423),'2026DATA'!$N$25,"")</f>
        <v/>
      </c>
      <c r="CH446" s="940" t="s">
        <v>46</v>
      </c>
      <c r="CI446" s="13" t="s">
        <v>61</v>
      </c>
      <c r="CJ446" s="518" t="str">
        <f>IF(AND(_6="A-321N",'2026'!$O$4="CA",'2026'!$O$2=CJ423),'2026DATA'!$C$25,"")</f>
        <v/>
      </c>
      <c r="CK446" s="518" t="str">
        <f>IF(AND(_6="A-321N",'2026'!$O$4="CA",'2026'!$O$2=CK423),'2026DATA'!$D$25,"")</f>
        <v/>
      </c>
      <c r="CL446" s="518" t="str">
        <f>IF(AND(_6="A-321N",'2026'!$O$4="CA",'2026'!$O$2=CL423),'2026DATA'!$E$25,"")</f>
        <v/>
      </c>
      <c r="CM446" s="518" t="str">
        <f>IF(AND(_6="A-321N",'2026'!$O$4="CA",'2026'!$O$2=CM423),'2026DATA'!$F$25,"")</f>
        <v/>
      </c>
      <c r="CN446" s="518" t="str">
        <f>IF(AND(_6="A-321N",'2026'!$O$4="CA",'2026'!$O$2=CN423),'2026DATA'!$G$25,"")</f>
        <v/>
      </c>
      <c r="CO446" s="518" t="str">
        <f>IF(AND(_6="A-321N",'2026'!$O$4="CA",'2026'!$O$2=CO423),'2026DATA'!$H$25,"")</f>
        <v/>
      </c>
      <c r="CP446" s="518" t="str">
        <f>IF(AND(_6="A-321N",'2026'!$O$4="CA",'2026'!$O$2=CP423),'2026DATA'!$I$25,"")</f>
        <v/>
      </c>
      <c r="CQ446" s="518" t="str">
        <f>IF(AND(_6="A-321N",'2026'!$O$4="CA",'2026'!$O$2=CQ423),'2026DATA'!$J$25,"")</f>
        <v/>
      </c>
      <c r="CR446" s="518" t="str">
        <f>IF(AND(_6="A-321N",'2026'!$O$4="CA",'2026'!$O$2=CR423),'2026DATA'!$K$25,"")</f>
        <v/>
      </c>
      <c r="CS446" s="518" t="str">
        <f>IF(AND(_6="A-321N",'2026'!$O$4="CA",'2026'!$O$2=CS423),'2026DATA'!$L$25,"")</f>
        <v/>
      </c>
      <c r="CT446" s="518" t="str">
        <f>IF(AND(_6="A-321N",'2026'!$O$4="CA",'2026'!$O$2=CT423),'2026DATA'!$M$25,"")</f>
        <v/>
      </c>
      <c r="CU446" s="520" t="str">
        <f>IF(AND(_6="A-321N",'2026'!$O$4="CA",'2026'!$O$2=CU423),'2026DATA'!$N$25,"")</f>
        <v/>
      </c>
    </row>
    <row r="447" spans="16:99" x14ac:dyDescent="0.25">
      <c r="P447" s="940"/>
      <c r="Q447" s="13" t="s">
        <v>62</v>
      </c>
      <c r="R447" s="518" t="str">
        <f>IF(AND(_1="A-321N",'2026'!$O$4="FO",'2026'!$O$2=R423),'2026DATA'!$C$26,"")</f>
        <v/>
      </c>
      <c r="S447" s="518" t="str">
        <f>IF(AND(_1="A-321N",'2026'!$O$4="FO",'2026'!$O$2=S423),'2026DATA'!$D$26,"")</f>
        <v/>
      </c>
      <c r="T447" s="518" t="str">
        <f>IF(AND(_1="A-321N",'2026'!$O$4="FO",'2026'!$O$2=T423),'2026DATA'!$E$26,"")</f>
        <v/>
      </c>
      <c r="U447" s="518" t="str">
        <f>IF(AND(_1="A-321N",'2026'!$O$4="FO",'2026'!$O$2=U423),'2026DATA'!$F$26,"")</f>
        <v/>
      </c>
      <c r="V447" s="518" t="str">
        <f>IF(AND(_1="A-321N",'2026'!$O$4="FO",'2026'!$O$2=V423),'2026DATA'!$G$26,"")</f>
        <v/>
      </c>
      <c r="W447" s="518" t="str">
        <f>IF(AND(_1="A-321N",'2026'!$O$4="FO",'2026'!$O$2=W423),'2026DATA'!$H$26,"")</f>
        <v/>
      </c>
      <c r="X447" s="518" t="str">
        <f>IF(AND(_1="A-321N",'2026'!$O$4="FO",'2026'!$O$2=X423),'2026DATA'!$I$26,"")</f>
        <v/>
      </c>
      <c r="Y447" s="518" t="str">
        <f>IF(AND(_1="A-321N",'2026'!$O$4="FO",'2026'!$O$2=Y423),'2026DATA'!$J$26,"")</f>
        <v/>
      </c>
      <c r="Z447" s="518" t="str">
        <f>IF(AND(_1="A-321N",'2026'!$O$4="FO",'2026'!$O$2=Z423),'2026DATA'!$K$26,"")</f>
        <v/>
      </c>
      <c r="AA447" s="518" t="str">
        <f>IF(AND(_1="A-321N",'2026'!$O$4="FO",'2026'!$O$2=AA423),'2026DATA'!$L$26,"")</f>
        <v/>
      </c>
      <c r="AB447" s="518" t="str">
        <f>IF(AND(_1="A-321N",'2026'!$O$4="FO",'2026'!$O$2=AB423),'2026DATA'!$M$26,"")</f>
        <v/>
      </c>
      <c r="AC447" s="520" t="str">
        <f>IF(AND(_1="A-321N",'2026'!$O$4="FO",'2026'!$O$2=AC423),'2026DATA'!$N$26,"")</f>
        <v/>
      </c>
      <c r="AD447" s="940"/>
      <c r="AE447" s="13" t="s">
        <v>62</v>
      </c>
      <c r="AF447" s="518" t="str">
        <f>IF(AND(_2="A-321N",'2026'!$O$4="FO",'2026'!$O$2=AF423),'2026DATA'!$C$26,"")</f>
        <v/>
      </c>
      <c r="AG447" s="518" t="str">
        <f>IF(AND(_2="A-321N",'2026'!$O$4="FO",'2026'!$O$2=AG423),'2026DATA'!$D$26,"")</f>
        <v/>
      </c>
      <c r="AH447" s="518" t="str">
        <f>IF(AND(_2="A-321N",'2026'!$O$4="FO",'2026'!$O$2=AH423),'2026DATA'!$E$26,"")</f>
        <v/>
      </c>
      <c r="AI447" s="518" t="str">
        <f>IF(AND(_2="A-321N",'2026'!$O$4="FO",'2026'!$O$2=AI423),'2026DATA'!$F$26,"")</f>
        <v/>
      </c>
      <c r="AJ447" s="518" t="str">
        <f>IF(AND(_2="A-321N",'2026'!$O$4="FO",'2026'!$O$2=AJ423),'2026DATA'!$G$26,"")</f>
        <v/>
      </c>
      <c r="AK447" s="518" t="str">
        <f>IF(AND(_2="A-321N",'2026'!$O$4="FO",'2026'!$O$2=AK423),'2026DATA'!$H$26,"")</f>
        <v/>
      </c>
      <c r="AL447" s="518" t="str">
        <f>IF(AND(_2="A-321N",'2026'!$O$4="FO",'2026'!$O$2=AL423),'2026DATA'!$I$26,"")</f>
        <v/>
      </c>
      <c r="AM447" s="518" t="str">
        <f>IF(AND(_2="A-321N",'2026'!$O$4="FO",'2026'!$O$2=AM423),'2026DATA'!$J$26,"")</f>
        <v/>
      </c>
      <c r="AN447" s="518" t="str">
        <f>IF(AND(_2="A-321N",'2026'!$O$4="FO",'2026'!$O$2=AN423),'2026DATA'!$K$26,"")</f>
        <v/>
      </c>
      <c r="AO447" s="518" t="str">
        <f>IF(AND(_2="A-321N",'2026'!$O$4="FO",'2026'!$O$2=AO423),'2026DATA'!$L$26,"")</f>
        <v/>
      </c>
      <c r="AP447" s="518" t="str">
        <f>IF(AND(_2="A-321N",'2026'!$O$4="FO",'2026'!$O$2=AP423),'2026DATA'!$M$26,"")</f>
        <v/>
      </c>
      <c r="AQ447" s="520" t="str">
        <f>IF(AND(_2="A-321N",'2026'!$O$4="FO",'2026'!$O$2=AQ423),'2026DATA'!$N$26,"")</f>
        <v/>
      </c>
      <c r="AR447" s="940"/>
      <c r="AS447" s="13" t="s">
        <v>62</v>
      </c>
      <c r="AT447" s="518" t="str">
        <f>IF(AND(_3="A-321N",'2026'!$O$4="FO",'2026'!$O$2=AT423),'2026DATA'!$C$26,"")</f>
        <v/>
      </c>
      <c r="AU447" s="518" t="str">
        <f>IF(AND(_3="A-321N",'2026'!$O$4="FO",'2026'!$O$2=AU423),'2026DATA'!$D$26,"")</f>
        <v/>
      </c>
      <c r="AV447" s="518" t="str">
        <f>IF(AND(_3="A-321N",'2026'!$O$4="FO",'2026'!$O$2=AV423),'2026DATA'!$E$26,"")</f>
        <v/>
      </c>
      <c r="AW447" s="518" t="str">
        <f>IF(AND(_3="A-321N",'2026'!$O$4="FO",'2026'!$O$2=AW423),'2026DATA'!$F$26,"")</f>
        <v/>
      </c>
      <c r="AX447" s="518" t="str">
        <f>IF(AND(_3="A-321N",'2026'!$O$4="FO",'2026'!$O$2=AX423),'2026DATA'!$G$26,"")</f>
        <v/>
      </c>
      <c r="AY447" s="518" t="str">
        <f>IF(AND(_3="A-321N",'2026'!$O$4="FO",'2026'!$O$2=AY423),'2026DATA'!$H$26,"")</f>
        <v/>
      </c>
      <c r="AZ447" s="518" t="str">
        <f>IF(AND(_3="A-321N",'2026'!$O$4="FO",'2026'!$O$2=AZ423),'2026DATA'!$I$26,"")</f>
        <v/>
      </c>
      <c r="BA447" s="518" t="str">
        <f>IF(AND(_3="A-321N",'2026'!$O$4="FO",'2026'!$O$2=BA423),'2026DATA'!$J$26,"")</f>
        <v/>
      </c>
      <c r="BB447" s="518" t="str">
        <f>IF(AND(_3="A-321N",'2026'!$O$4="FO",'2026'!$O$2=BB423),'2026DATA'!$K$26,"")</f>
        <v/>
      </c>
      <c r="BC447" s="518" t="str">
        <f>IF(AND(_3="A-321N",'2026'!$O$4="FO",'2026'!$O$2=BC423),'2026DATA'!$L$26,"")</f>
        <v/>
      </c>
      <c r="BD447" s="518" t="str">
        <f>IF(AND(_3="A-321N",'2026'!$O$4="FO",'2026'!$O$2=BD423),'2026DATA'!$M$26,"")</f>
        <v/>
      </c>
      <c r="BE447" s="520" t="str">
        <f>IF(AND(_3="A-321N",'2026'!$O$4="FO",'2026'!$O$2=BE423),'2026DATA'!$N$26,"")</f>
        <v/>
      </c>
      <c r="BF447" s="940"/>
      <c r="BG447" s="13" t="s">
        <v>62</v>
      </c>
      <c r="BH447" s="518" t="str">
        <f>IF(AND(_4="A-321N",'2026'!$O$4="FO",'2026'!$O$2=BH423),'2026DATA'!$C$26,"")</f>
        <v/>
      </c>
      <c r="BI447" s="518" t="str">
        <f>IF(AND(_4="A-321N",'2026'!$O$4="FO",'2026'!$O$2=BI423),'2026DATA'!$D$26,"")</f>
        <v/>
      </c>
      <c r="BJ447" s="518" t="str">
        <f>IF(AND(_4="A-321N",'2026'!$O$4="FO",'2026'!$O$2=BJ423),'2026DATA'!$E$26,"")</f>
        <v/>
      </c>
      <c r="BK447" s="518" t="str">
        <f>IF(AND(_4="A-321N",'2026'!$O$4="FO",'2026'!$O$2=BK423),'2026DATA'!$F$26,"")</f>
        <v/>
      </c>
      <c r="BL447" s="518" t="str">
        <f>IF(AND(_4="A-321N",'2026'!$O$4="FO",'2026'!$O$2=BL423),'2026DATA'!$G$26,"")</f>
        <v/>
      </c>
      <c r="BM447" s="518" t="str">
        <f>IF(AND(_4="A-321N",'2026'!$O$4="FO",'2026'!$O$2=BM423),'2026DATA'!$H$26,"")</f>
        <v/>
      </c>
      <c r="BN447" s="518" t="str">
        <f>IF(AND(_4="A-321N",'2026'!$O$4="FO",'2026'!$O$2=BN423),'2026DATA'!$I$26,"")</f>
        <v/>
      </c>
      <c r="BO447" s="518" t="str">
        <f>IF(AND(_4="A-321N",'2026'!$O$4="FO",'2026'!$O$2=BO423),'2026DATA'!$J$26,"")</f>
        <v/>
      </c>
      <c r="BP447" s="518" t="str">
        <f>IF(AND(_4="A-321N",'2026'!$O$4="FO",'2026'!$O$2=BP423),'2026DATA'!$K$26,"")</f>
        <v/>
      </c>
      <c r="BQ447" s="518" t="str">
        <f>IF(AND(_4="A-321N",'2026'!$O$4="FO",'2026'!$O$2=BQ423),'2026DATA'!$L$26,"")</f>
        <v/>
      </c>
      <c r="BR447" s="518" t="str">
        <f>IF(AND(_4="A-321N",'2026'!$O$4="FO",'2026'!$O$2=BR423),'2026DATA'!$M$26,"")</f>
        <v/>
      </c>
      <c r="BS447" s="520" t="str">
        <f>IF(AND(_4="A-321N",'2026'!$O$4="FO",'2026'!$O$2=BS423),'2026DATA'!$N$26,"")</f>
        <v/>
      </c>
      <c r="BT447" s="940"/>
      <c r="BU447" s="13" t="s">
        <v>62</v>
      </c>
      <c r="BV447" s="518" t="str">
        <f>IF(AND(_5="A-321N",'2026'!$O$4="FO",'2026'!$O$2=BV423),'2026DATA'!$C$26,"")</f>
        <v/>
      </c>
      <c r="BW447" s="518" t="str">
        <f>IF(AND(_5="A-321N",'2026'!$O$4="FO",'2026'!$O$2=BW423),'2026DATA'!$D$26,"")</f>
        <v/>
      </c>
      <c r="BX447" s="518" t="str">
        <f>IF(AND(_5="A-321N",'2026'!$O$4="FO",'2026'!$O$2=BX423),'2026DATA'!$E$26,"")</f>
        <v/>
      </c>
      <c r="BY447" s="518" t="str">
        <f>IF(AND(_5="A-321N",'2026'!$O$4="FO",'2026'!$O$2=BY423),'2026DATA'!$F$26,"")</f>
        <v/>
      </c>
      <c r="BZ447" s="518" t="str">
        <f>IF(AND(_5="A-321N",'2026'!$O$4="FO",'2026'!$O$2=BZ423),'2026DATA'!$G$26,"")</f>
        <v/>
      </c>
      <c r="CA447" s="518" t="str">
        <f>IF(AND(_5="A-321N",'2026'!$O$4="FO",'2026'!$O$2=CA423),'2026DATA'!$H$26,"")</f>
        <v/>
      </c>
      <c r="CB447" s="518" t="str">
        <f>IF(AND(_5="A-321N",'2026'!$O$4="FO",'2026'!$O$2=CB423),'2026DATA'!$I$26,"")</f>
        <v/>
      </c>
      <c r="CC447" s="518" t="str">
        <f>IF(AND(_5="A-321N",'2026'!$O$4="FO",'2026'!$O$2=CC423),'2026DATA'!$J$26,"")</f>
        <v/>
      </c>
      <c r="CD447" s="518" t="str">
        <f>IF(AND(_5="A-321N",'2026'!$O$4="FO",'2026'!$O$2=CD423),'2026DATA'!$K$26,"")</f>
        <v/>
      </c>
      <c r="CE447" s="518" t="str">
        <f>IF(AND(_5="A-321N",'2026'!$O$4="FO",'2026'!$O$2=CE423),'2026DATA'!$L$26,"")</f>
        <v/>
      </c>
      <c r="CF447" s="518" t="str">
        <f>IF(AND(_5="A-321N",'2026'!$O$4="FO",'2026'!$O$2=CF423),'2026DATA'!$M$26,"")</f>
        <v/>
      </c>
      <c r="CG447" s="520" t="str">
        <f>IF(AND(_5="A-321N",'2026'!$O$4="FO",'2026'!$O$2=CG423),'2026DATA'!$N$26,"")</f>
        <v/>
      </c>
      <c r="CH447" s="940"/>
      <c r="CI447" s="13" t="s">
        <v>62</v>
      </c>
      <c r="CJ447" s="518" t="str">
        <f>IF(AND(_6="A-321N",'2026'!$O$4="FO",'2026'!$O$2=CJ423),'2026DATA'!$C$26,"")</f>
        <v/>
      </c>
      <c r="CK447" s="518" t="str">
        <f>IF(AND(_6="A-321N",'2026'!$O$4="FO",'2026'!$O$2=CK423),'2026DATA'!$D$26,"")</f>
        <v/>
      </c>
      <c r="CL447" s="518" t="str">
        <f>IF(AND(_6="A-321N",'2026'!$O$4="FO",'2026'!$O$2=CL423),'2026DATA'!$E$26,"")</f>
        <v/>
      </c>
      <c r="CM447" s="518" t="str">
        <f>IF(AND(_6="A-321N",'2026'!$O$4="FO",'2026'!$O$2=CM423),'2026DATA'!$F$26,"")</f>
        <v/>
      </c>
      <c r="CN447" s="518" t="str">
        <f>IF(AND(_6="A-321N",'2026'!$O$4="FO",'2026'!$O$2=CN423),'2026DATA'!$G$26,"")</f>
        <v/>
      </c>
      <c r="CO447" s="518" t="str">
        <f>IF(AND(_6="A-321N",'2026'!$O$4="FO",'2026'!$O$2=CO423),'2026DATA'!$H$26,"")</f>
        <v/>
      </c>
      <c r="CP447" s="518" t="str">
        <f>IF(AND(_6="A-321N",'2026'!$O$4="FO",'2026'!$O$2=CP423),'2026DATA'!$I$26,"")</f>
        <v/>
      </c>
      <c r="CQ447" s="518" t="str">
        <f>IF(AND(_6="A-321N",'2026'!$O$4="FO",'2026'!$O$2=CQ423),'2026DATA'!$J$26,"")</f>
        <v/>
      </c>
      <c r="CR447" s="518" t="str">
        <f>IF(AND(_6="A-321N",'2026'!$O$4="FO",'2026'!$O$2=CR423),'2026DATA'!$K$26,"")</f>
        <v/>
      </c>
      <c r="CS447" s="518" t="str">
        <f>IF(AND(_6="A-321N",'2026'!$O$4="FO",'2026'!$O$2=CS423),'2026DATA'!$L$26,"")</f>
        <v/>
      </c>
      <c r="CT447" s="518" t="str">
        <f>IF(AND(_6="A-321N",'2026'!$O$4="FO",'2026'!$O$2=CT423),'2026DATA'!$M$26,"")</f>
        <v/>
      </c>
      <c r="CU447" s="520" t="str">
        <f>IF(AND(_6="A-321N",'2026'!$O$4="FO",'2026'!$O$2=CU423),'2026DATA'!$N$26,"")</f>
        <v/>
      </c>
    </row>
    <row r="448" spans="16:99" x14ac:dyDescent="0.25">
      <c r="P448" s="940" t="s">
        <v>48</v>
      </c>
      <c r="Q448" s="13" t="s">
        <v>61</v>
      </c>
      <c r="R448" s="518" t="str">
        <f>IF(AND(_1="A-321",'2026'!$O$4="CA",'2026'!$O$2=R423),'2026DATA'!$C$27,"")</f>
        <v/>
      </c>
      <c r="S448" s="518" t="str">
        <f>IF(AND(_1="A-321",'2026'!$O$4="CA",'2026'!$O$2=S423),'2026DATA'!$D$27,"")</f>
        <v/>
      </c>
      <c r="T448" s="518" t="str">
        <f>IF(AND(_1="A-321",'2026'!$O$4="CA",'2026'!$O$2=T423),'2026DATA'!$E$27,"")</f>
        <v/>
      </c>
      <c r="U448" s="518" t="str">
        <f>IF(AND(_1="A-321",'2026'!$O$4="CA",'2026'!$O$2=U423),'2026DATA'!$F$27,"")</f>
        <v/>
      </c>
      <c r="V448" s="518" t="str">
        <f>IF(AND(_1="A-321",'2026'!$O$4="CA",'2026'!$O$2=V423),'2026DATA'!$G$27,"")</f>
        <v/>
      </c>
      <c r="W448" s="518" t="str">
        <f>IF(AND(_1="A-321",'2026'!$O$4="CA",'2026'!$O$2=W423),'2026DATA'!$H$27,"")</f>
        <v/>
      </c>
      <c r="X448" s="518" t="str">
        <f>IF(AND(_1="A-321",'2026'!$O$4="CA",'2026'!$O$2=X423),'2026DATA'!$I$27,"")</f>
        <v/>
      </c>
      <c r="Y448" s="518" t="str">
        <f>IF(AND(_1="A-321",'2026'!$O$4="CA",'2026'!$O$2=Y423),'2026DATA'!$J$27,"")</f>
        <v/>
      </c>
      <c r="Z448" s="518" t="str">
        <f>IF(AND(_1="A-321",'2026'!$O$4="CA",'2026'!$O$2=Z423),'2026DATA'!$K$27,"")</f>
        <v/>
      </c>
      <c r="AA448" s="518" t="str">
        <f>IF(AND(_1="A-321",'2026'!$O$4="CA",'2026'!$O$2=AA423),'2026DATA'!$L$27,"")</f>
        <v/>
      </c>
      <c r="AB448" s="518" t="str">
        <f>IF(AND(_1="A-321",'2026'!$O$4="CA",'2026'!$O$2=AB423),'2026DATA'!$M$27,"")</f>
        <v/>
      </c>
      <c r="AC448" s="520" t="str">
        <f>IF(AND(_1="A-321",'2026'!$O$4="CA",'2026'!$O$2=AC423),'2026DATA'!$N$27,"")</f>
        <v/>
      </c>
      <c r="AD448" s="940" t="s">
        <v>48</v>
      </c>
      <c r="AE448" s="13" t="s">
        <v>61</v>
      </c>
      <c r="AF448" s="518" t="str">
        <f>IF(AND(_2="A-321",'2026'!$O$4="CA",'2026'!$O$2=AF423),'2026DATA'!$C$27,"")</f>
        <v/>
      </c>
      <c r="AG448" s="518" t="str">
        <f>IF(AND(_2="A-321",'2026'!$O$4="CA",'2026'!$O$2=AG423),'2026DATA'!$D$27,"")</f>
        <v/>
      </c>
      <c r="AH448" s="518" t="str">
        <f>IF(AND(_2="A-321",'2026'!$O$4="CA",'2026'!$O$2=AH423),'2026DATA'!$E$27,"")</f>
        <v/>
      </c>
      <c r="AI448" s="518" t="str">
        <f>IF(AND(_2="A-321",'2026'!$O$4="CA",'2026'!$O$2=AI423),'2026DATA'!$F$27,"")</f>
        <v/>
      </c>
      <c r="AJ448" s="518" t="str">
        <f>IF(AND(_2="A-321",'2026'!$O$4="CA",'2026'!$O$2=AJ423),'2026DATA'!$G$27,"")</f>
        <v/>
      </c>
      <c r="AK448" s="518" t="str">
        <f>IF(AND(_2="A-321",'2026'!$O$4="CA",'2026'!$O$2=AK423),'2026DATA'!$H$27,"")</f>
        <v/>
      </c>
      <c r="AL448" s="518" t="str">
        <f>IF(AND(_2="A-321",'2026'!$O$4="CA",'2026'!$O$2=AL423),'2026DATA'!$I$27,"")</f>
        <v/>
      </c>
      <c r="AM448" s="518" t="str">
        <f>IF(AND(_2="A-321",'2026'!$O$4="CA",'2026'!$O$2=AM423),'2026DATA'!$J$27,"")</f>
        <v/>
      </c>
      <c r="AN448" s="518" t="str">
        <f>IF(AND(_2="A-321",'2026'!$O$4="CA",'2026'!$O$2=AN423),'2026DATA'!$K$27,"")</f>
        <v/>
      </c>
      <c r="AO448" s="518" t="str">
        <f>IF(AND(_2="A-321",'2026'!$O$4="CA",'2026'!$O$2=AO423),'2026DATA'!$L$27,"")</f>
        <v/>
      </c>
      <c r="AP448" s="518" t="str">
        <f>IF(AND(_2="A-321",'2026'!$O$4="CA",'2026'!$O$2=AP423),'2026DATA'!$M$27,"")</f>
        <v/>
      </c>
      <c r="AQ448" s="520" t="str">
        <f>IF(AND(_2="A-321",'2026'!$O$4="CA",'2026'!$O$2=AQ423),'2026DATA'!$N$27,"")</f>
        <v/>
      </c>
      <c r="AR448" s="940" t="s">
        <v>48</v>
      </c>
      <c r="AS448" s="13" t="s">
        <v>61</v>
      </c>
      <c r="AT448" s="518" t="str">
        <f>IF(AND(_3="A-321",'2026'!$O$4="CA",'2026'!$O$2=AT423),'2026DATA'!$C$27,"")</f>
        <v/>
      </c>
      <c r="AU448" s="518" t="str">
        <f>IF(AND(_3="A-321",'2026'!$O$4="CA",'2026'!$O$2=AU423),'2026DATA'!$D$27,"")</f>
        <v/>
      </c>
      <c r="AV448" s="518" t="str">
        <f>IF(AND(_3="A-321",'2026'!$O$4="CA",'2026'!$O$2=AV423),'2026DATA'!$E$27,"")</f>
        <v/>
      </c>
      <c r="AW448" s="518" t="str">
        <f>IF(AND(_3="A-321",'2026'!$O$4="CA",'2026'!$O$2=AW423),'2026DATA'!$F$27,"")</f>
        <v/>
      </c>
      <c r="AX448" s="518" t="str">
        <f>IF(AND(_3="A-321",'2026'!$O$4="CA",'2026'!$O$2=AX423),'2026DATA'!$G$27,"")</f>
        <v/>
      </c>
      <c r="AY448" s="518" t="str">
        <f>IF(AND(_3="A-321",'2026'!$O$4="CA",'2026'!$O$2=AY423),'2026DATA'!$H$27,"")</f>
        <v/>
      </c>
      <c r="AZ448" s="518" t="str">
        <f>IF(AND(_3="A-321",'2026'!$O$4="CA",'2026'!$O$2=AZ423),'2026DATA'!$I$27,"")</f>
        <v/>
      </c>
      <c r="BA448" s="518" t="str">
        <f>IF(AND(_3="A-321",'2026'!$O$4="CA",'2026'!$O$2=BA423),'2026DATA'!$J$27,"")</f>
        <v/>
      </c>
      <c r="BB448" s="518" t="str">
        <f>IF(AND(_3="A-321",'2026'!$O$4="CA",'2026'!$O$2=BB423),'2026DATA'!$K$27,"")</f>
        <v/>
      </c>
      <c r="BC448" s="518" t="str">
        <f>IF(AND(_3="A-321",'2026'!$O$4="CA",'2026'!$O$2=BC423),'2026DATA'!$L$27,"")</f>
        <v/>
      </c>
      <c r="BD448" s="518" t="str">
        <f>IF(AND(_3="A-321",'2026'!$O$4="CA",'2026'!$O$2=BD423),'2026DATA'!$M$27,"")</f>
        <v/>
      </c>
      <c r="BE448" s="520" t="str">
        <f>IF(AND(_3="A-321",'2026'!$O$4="CA",'2026'!$O$2=BE423),'2026DATA'!$N$27,"")</f>
        <v/>
      </c>
      <c r="BF448" s="940" t="s">
        <v>48</v>
      </c>
      <c r="BG448" s="13" t="s">
        <v>61</v>
      </c>
      <c r="BH448" s="518" t="str">
        <f>IF(AND(_4="A-321",'2026'!$O$4="CA",'2026'!$O$2=BH423),'2026DATA'!$C$27,"")</f>
        <v/>
      </c>
      <c r="BI448" s="518" t="str">
        <f>IF(AND(_4="A-321",'2026'!$O$4="CA",'2026'!$O$2=BI423),'2026DATA'!$D$27,"")</f>
        <v/>
      </c>
      <c r="BJ448" s="518" t="str">
        <f>IF(AND(_4="A-321",'2026'!$O$4="CA",'2026'!$O$2=BJ423),'2026DATA'!$E$27,"")</f>
        <v/>
      </c>
      <c r="BK448" s="518" t="str">
        <f>IF(AND(_4="A-321",'2026'!$O$4="CA",'2026'!$O$2=BK423),'2026DATA'!$F$27,"")</f>
        <v/>
      </c>
      <c r="BL448" s="518" t="str">
        <f>IF(AND(_4="A-321",'2026'!$O$4="CA",'2026'!$O$2=BL423),'2026DATA'!$G$27,"")</f>
        <v/>
      </c>
      <c r="BM448" s="518" t="str">
        <f>IF(AND(_4="A-321",'2026'!$O$4="CA",'2026'!$O$2=BM423),'2026DATA'!$H$27,"")</f>
        <v/>
      </c>
      <c r="BN448" s="518" t="str">
        <f>IF(AND(_4="A-321",'2026'!$O$4="CA",'2026'!$O$2=BN423),'2026DATA'!$I$27,"")</f>
        <v/>
      </c>
      <c r="BO448" s="518" t="str">
        <f>IF(AND(_4="A-321",'2026'!$O$4="CA",'2026'!$O$2=BO423),'2026DATA'!$J$27,"")</f>
        <v/>
      </c>
      <c r="BP448" s="518" t="str">
        <f>IF(AND(_4="A-321",'2026'!$O$4="CA",'2026'!$O$2=BP423),'2026DATA'!$K$27,"")</f>
        <v/>
      </c>
      <c r="BQ448" s="518" t="str">
        <f>IF(AND(_4="A-321",'2026'!$O$4="CA",'2026'!$O$2=BQ423),'2026DATA'!$L$27,"")</f>
        <v/>
      </c>
      <c r="BR448" s="518" t="str">
        <f>IF(AND(_4="A-321",'2026'!$O$4="CA",'2026'!$O$2=BR423),'2026DATA'!$M$27,"")</f>
        <v/>
      </c>
      <c r="BS448" s="520" t="str">
        <f>IF(AND(_4="A-321",'2026'!$O$4="CA",'2026'!$O$2=BS423),'2026DATA'!$N$27,"")</f>
        <v/>
      </c>
      <c r="BT448" s="940" t="s">
        <v>48</v>
      </c>
      <c r="BU448" s="13" t="s">
        <v>61</v>
      </c>
      <c r="BV448" s="518" t="str">
        <f>IF(AND(_5="A-321",'2026'!$O$4="CA",'2026'!$O$2=BV423),'2026DATA'!$C$27,"")</f>
        <v/>
      </c>
      <c r="BW448" s="518" t="str">
        <f>IF(AND(_5="A-321",'2026'!$O$4="CA",'2026'!$O$2=BW423),'2026DATA'!$D$27,"")</f>
        <v/>
      </c>
      <c r="BX448" s="518" t="str">
        <f>IF(AND(_5="A-321",'2026'!$O$4="CA",'2026'!$O$2=BX423),'2026DATA'!$E$27,"")</f>
        <v/>
      </c>
      <c r="BY448" s="518" t="str">
        <f>IF(AND(_5="A-321",'2026'!$O$4="CA",'2026'!$O$2=BY423),'2026DATA'!$F$27,"")</f>
        <v/>
      </c>
      <c r="BZ448" s="518" t="str">
        <f>IF(AND(_5="A-321",'2026'!$O$4="CA",'2026'!$O$2=BZ423),'2026DATA'!$G$27,"")</f>
        <v/>
      </c>
      <c r="CA448" s="518" t="str">
        <f>IF(AND(_5="A-321",'2026'!$O$4="CA",'2026'!$O$2=CA423),'2026DATA'!$H$27,"")</f>
        <v/>
      </c>
      <c r="CB448" s="518" t="str">
        <f>IF(AND(_5="A-321",'2026'!$O$4="CA",'2026'!$O$2=CB423),'2026DATA'!$I$27,"")</f>
        <v/>
      </c>
      <c r="CC448" s="518" t="str">
        <f>IF(AND(_5="A-321",'2026'!$O$4="CA",'2026'!$O$2=CC423),'2026DATA'!$J$27,"")</f>
        <v/>
      </c>
      <c r="CD448" s="518" t="str">
        <f>IF(AND(_5="A-321",'2026'!$O$4="CA",'2026'!$O$2=CD423),'2026DATA'!$K$27,"")</f>
        <v/>
      </c>
      <c r="CE448" s="518" t="str">
        <f>IF(AND(_5="A-321",'2026'!$O$4="CA",'2026'!$O$2=CE423),'2026DATA'!$L$27,"")</f>
        <v/>
      </c>
      <c r="CF448" s="518" t="str">
        <f>IF(AND(_5="A-321",'2026'!$O$4="CA",'2026'!$O$2=CF423),'2026DATA'!$M$27,"")</f>
        <v/>
      </c>
      <c r="CG448" s="520" t="str">
        <f>IF(AND(_5="A-321",'2026'!$O$4="CA",'2026'!$O$2=CG423),'2026DATA'!$N$27,"")</f>
        <v/>
      </c>
      <c r="CH448" s="940" t="s">
        <v>48</v>
      </c>
      <c r="CI448" s="13" t="s">
        <v>61</v>
      </c>
      <c r="CJ448" s="518" t="str">
        <f>IF(AND(_6="A-321",'2026'!$O$4="CA",'2026'!$O$2=CJ423),'2026DATA'!$C$27,"")</f>
        <v/>
      </c>
      <c r="CK448" s="518" t="str">
        <f>IF(AND(_6="A-321",'2026'!$O$4="CA",'2026'!$O$2=CK423),'2026DATA'!$D$27,"")</f>
        <v/>
      </c>
      <c r="CL448" s="518" t="str">
        <f>IF(AND(_6="A-321",'2026'!$O$4="CA",'2026'!$O$2=CL423),'2026DATA'!$E$27,"")</f>
        <v/>
      </c>
      <c r="CM448" s="518" t="str">
        <f>IF(AND(_6="A-321",'2026'!$O$4="CA",'2026'!$O$2=CM423),'2026DATA'!$F$27,"")</f>
        <v/>
      </c>
      <c r="CN448" s="518" t="str">
        <f>IF(AND(_6="A-321",'2026'!$O$4="CA",'2026'!$O$2=CN423),'2026DATA'!$G$27,"")</f>
        <v/>
      </c>
      <c r="CO448" s="518" t="str">
        <f>IF(AND(_6="A-321",'2026'!$O$4="CA",'2026'!$O$2=CO423),'2026DATA'!$H$27,"")</f>
        <v/>
      </c>
      <c r="CP448" s="518" t="str">
        <f>IF(AND(_6="A-321",'2026'!$O$4="CA",'2026'!$O$2=CP423),'2026DATA'!$I$27,"")</f>
        <v/>
      </c>
      <c r="CQ448" s="518" t="str">
        <f>IF(AND(_6="A-321",'2026'!$O$4="CA",'2026'!$O$2=CQ423),'2026DATA'!$J$27,"")</f>
        <v/>
      </c>
      <c r="CR448" s="518" t="str">
        <f>IF(AND(_6="A-321",'2026'!$O$4="CA",'2026'!$O$2=CR423),'2026DATA'!$K$27,"")</f>
        <v/>
      </c>
      <c r="CS448" s="518" t="str">
        <f>IF(AND(_6="A-321",'2026'!$O$4="CA",'2026'!$O$2=CS423),'2026DATA'!$L$27,"")</f>
        <v/>
      </c>
      <c r="CT448" s="518" t="str">
        <f>IF(AND(_6="A-321",'2026'!$O$4="CA",'2026'!$O$2=CT423),'2026DATA'!$M$27,"")</f>
        <v/>
      </c>
      <c r="CU448" s="520" t="str">
        <f>IF(AND(_6="A-321",'2026'!$O$4="CA",'2026'!$O$2=CU423),'2026DATA'!$N$27,"")</f>
        <v/>
      </c>
    </row>
    <row r="449" spans="16:99" x14ac:dyDescent="0.25">
      <c r="P449" s="940"/>
      <c r="Q449" s="13" t="s">
        <v>62</v>
      </c>
      <c r="R449" s="518" t="str">
        <f>IF(AND(_1="A-321",'2026'!$O$4="FO",'2026'!$O$2=R423),'2026DATA'!$C$28,"")</f>
        <v/>
      </c>
      <c r="S449" s="518" t="str">
        <f>IF(AND(_1="A-321",'2026'!$O$4="FO",'2026'!$O$2=S423),'2026DATA'!$D$28,"")</f>
        <v/>
      </c>
      <c r="T449" s="518" t="str">
        <f>IF(AND(_1="A-321",'2026'!$O$4="FO",'2026'!$O$2=T423),'2026DATA'!$E$28,"")</f>
        <v/>
      </c>
      <c r="U449" s="518" t="str">
        <f>IF(AND(_1="A-321",'2026'!$O$4="FO",'2026'!$O$2=U423),'2026DATA'!$F$28,"")</f>
        <v/>
      </c>
      <c r="V449" s="518" t="str">
        <f>IF(AND(_1="A-321",'2026'!$O$4="FO",'2026'!$O$2=V423),'2026DATA'!$G$28,"")</f>
        <v/>
      </c>
      <c r="W449" s="518" t="str">
        <f>IF(AND(_1="A-321",'2026'!$O$4="FO",'2026'!$O$2=W423),'2026DATA'!$H$28,"")</f>
        <v/>
      </c>
      <c r="X449" s="518" t="str">
        <f>IF(AND(_1="A-321",'2026'!$O$4="FO",'2026'!$O$2=X423),'2026DATA'!$I$28,"")</f>
        <v/>
      </c>
      <c r="Y449" s="518" t="str">
        <f>IF(AND(_1="A-321",'2026'!$O$4="FO",'2026'!$O$2=Y423),'2026DATA'!$J$28,"")</f>
        <v/>
      </c>
      <c r="Z449" s="518" t="str">
        <f>IF(AND(_1="A-321",'2026'!$O$4="FO",'2026'!$O$2=Z423),'2026DATA'!$K$28,"")</f>
        <v/>
      </c>
      <c r="AA449" s="518" t="str">
        <f>IF(AND(_1="A-321",'2026'!$O$4="FO",'2026'!$O$2=AA423),'2026DATA'!$L$28,"")</f>
        <v/>
      </c>
      <c r="AB449" s="518" t="str">
        <f>IF(AND(_1="A-321",'2026'!$O$4="FO",'2026'!$O$2=AB423),'2026DATA'!$M$28,"")</f>
        <v/>
      </c>
      <c r="AC449" s="520" t="str">
        <f>IF(AND(_1="A-321",'2026'!$O$4="FO",'2026'!$O$2=AC423),'2026DATA'!$N$28,"")</f>
        <v/>
      </c>
      <c r="AD449" s="940"/>
      <c r="AE449" s="13" t="s">
        <v>62</v>
      </c>
      <c r="AF449" s="518" t="str">
        <f>IF(AND(_2="A-321",'2026'!$O$4="FO",'2026'!$O$2=AF423),'2026DATA'!$C$28,"")</f>
        <v/>
      </c>
      <c r="AG449" s="518" t="str">
        <f>IF(AND(_2="A-321",'2026'!$O$4="FO",'2026'!$O$2=AG423),'2026DATA'!$D$28,"")</f>
        <v/>
      </c>
      <c r="AH449" s="518" t="str">
        <f>IF(AND(_2="A-321",'2026'!$O$4="FO",'2026'!$O$2=AH423),'2026DATA'!$E$28,"")</f>
        <v/>
      </c>
      <c r="AI449" s="518" t="str">
        <f>IF(AND(_2="A-321",'2026'!$O$4="FO",'2026'!$O$2=AI423),'2026DATA'!$F$28,"")</f>
        <v/>
      </c>
      <c r="AJ449" s="518" t="str">
        <f>IF(AND(_2="A-321",'2026'!$O$4="FO",'2026'!$O$2=AJ423),'2026DATA'!$G$28,"")</f>
        <v/>
      </c>
      <c r="AK449" s="518" t="str">
        <f>IF(AND(_2="A-321",'2026'!$O$4="FO",'2026'!$O$2=AK423),'2026DATA'!$H$28,"")</f>
        <v/>
      </c>
      <c r="AL449" s="518" t="str">
        <f>IF(AND(_2="A-321",'2026'!$O$4="FO",'2026'!$O$2=AL423),'2026DATA'!$I$28,"")</f>
        <v/>
      </c>
      <c r="AM449" s="518" t="str">
        <f>IF(AND(_2="A-321",'2026'!$O$4="FO",'2026'!$O$2=AM423),'2026DATA'!$J$28,"")</f>
        <v/>
      </c>
      <c r="AN449" s="518" t="str">
        <f>IF(AND(_2="A-321",'2026'!$O$4="FO",'2026'!$O$2=AN423),'2026DATA'!$K$28,"")</f>
        <v/>
      </c>
      <c r="AO449" s="518" t="str">
        <f>IF(AND(_2="A-321",'2026'!$O$4="FO",'2026'!$O$2=AO423),'2026DATA'!$L$28,"")</f>
        <v/>
      </c>
      <c r="AP449" s="518" t="str">
        <f>IF(AND(_2="A-321",'2026'!$O$4="FO",'2026'!$O$2=AP423),'2026DATA'!$M$28,"")</f>
        <v/>
      </c>
      <c r="AQ449" s="520" t="str">
        <f>IF(AND(_2="A-321",'2026'!$O$4="FO",'2026'!$O$2=AQ423),'2026DATA'!$N$28,"")</f>
        <v/>
      </c>
      <c r="AR449" s="940"/>
      <c r="AS449" s="13" t="s">
        <v>62</v>
      </c>
      <c r="AT449" s="518" t="str">
        <f>IF(AND(_3="A-321",'2026'!$O$4="FO",'2026'!$O$2=AT423),'2026DATA'!$C$28,"")</f>
        <v/>
      </c>
      <c r="AU449" s="518" t="str">
        <f>IF(AND(_3="A-321",'2026'!$O$4="FO",'2026'!$O$2=AU423),'2026DATA'!$D$28,"")</f>
        <v/>
      </c>
      <c r="AV449" s="518" t="str">
        <f>IF(AND(_3="A-321",'2026'!$O$4="FO",'2026'!$O$2=AV423),'2026DATA'!$E$28,"")</f>
        <v/>
      </c>
      <c r="AW449" s="518" t="str">
        <f>IF(AND(_3="A-321",'2026'!$O$4="FO",'2026'!$O$2=AW423),'2026DATA'!$F$28,"")</f>
        <v/>
      </c>
      <c r="AX449" s="518" t="str">
        <f>IF(AND(_3="A-321",'2026'!$O$4="FO",'2026'!$O$2=AX423),'2026DATA'!$G$28,"")</f>
        <v/>
      </c>
      <c r="AY449" s="518" t="str">
        <f>IF(AND(_3="A-321",'2026'!$O$4="FO",'2026'!$O$2=AY423),'2026DATA'!$H$28,"")</f>
        <v/>
      </c>
      <c r="AZ449" s="518" t="str">
        <f>IF(AND(_3="A-321",'2026'!$O$4="FO",'2026'!$O$2=AZ423),'2026DATA'!$I$28,"")</f>
        <v/>
      </c>
      <c r="BA449" s="518" t="str">
        <f>IF(AND(_3="A-321",'2026'!$O$4="FO",'2026'!$O$2=BA423),'2026DATA'!$J$28,"")</f>
        <v/>
      </c>
      <c r="BB449" s="518" t="str">
        <f>IF(AND(_3="A-321",'2026'!$O$4="FO",'2026'!$O$2=BB423),'2026DATA'!$K$28,"")</f>
        <v/>
      </c>
      <c r="BC449" s="518" t="str">
        <f>IF(AND(_3="A-321",'2026'!$O$4="FO",'2026'!$O$2=BC423),'2026DATA'!$L$28,"")</f>
        <v/>
      </c>
      <c r="BD449" s="518" t="str">
        <f>IF(AND(_3="A-321",'2026'!$O$4="FO",'2026'!$O$2=BD423),'2026DATA'!$M$28,"")</f>
        <v/>
      </c>
      <c r="BE449" s="520" t="str">
        <f>IF(AND(_3="A-321",'2026'!$O$4="FO",'2026'!$O$2=BE423),'2026DATA'!$N$28,"")</f>
        <v/>
      </c>
      <c r="BF449" s="940"/>
      <c r="BG449" s="13" t="s">
        <v>62</v>
      </c>
      <c r="BH449" s="518" t="str">
        <f>IF(AND(_4="A-321",'2026'!$O$4="FO",'2026'!$O$2=BH423),'2026DATA'!$C$28,"")</f>
        <v/>
      </c>
      <c r="BI449" s="518" t="str">
        <f>IF(AND(_4="A-321",'2026'!$O$4="FO",'2026'!$O$2=BI423),'2026DATA'!$D$28,"")</f>
        <v/>
      </c>
      <c r="BJ449" s="518" t="str">
        <f>IF(AND(_4="A-321",'2026'!$O$4="FO",'2026'!$O$2=BJ423),'2026DATA'!$E$28,"")</f>
        <v/>
      </c>
      <c r="BK449" s="518" t="str">
        <f>IF(AND(_4="A-321",'2026'!$O$4="FO",'2026'!$O$2=BK423),'2026DATA'!$F$28,"")</f>
        <v/>
      </c>
      <c r="BL449" s="518" t="str">
        <f>IF(AND(_4="A-321",'2026'!$O$4="FO",'2026'!$O$2=BL423),'2026DATA'!$G$28,"")</f>
        <v/>
      </c>
      <c r="BM449" s="518" t="str">
        <f>IF(AND(_4="A-321",'2026'!$O$4="FO",'2026'!$O$2=BM423),'2026DATA'!$H$28,"")</f>
        <v/>
      </c>
      <c r="BN449" s="518" t="str">
        <f>IF(AND(_4="A-321",'2026'!$O$4="FO",'2026'!$O$2=BN423),'2026DATA'!$I$28,"")</f>
        <v/>
      </c>
      <c r="BO449" s="518" t="str">
        <f>IF(AND(_4="A-321",'2026'!$O$4="FO",'2026'!$O$2=BO423),'2026DATA'!$J$28,"")</f>
        <v/>
      </c>
      <c r="BP449" s="518" t="str">
        <f>IF(AND(_4="A-321",'2026'!$O$4="FO",'2026'!$O$2=BP423),'2026DATA'!$K$28,"")</f>
        <v/>
      </c>
      <c r="BQ449" s="518" t="str">
        <f>IF(AND(_4="A-321",'2026'!$O$4="FO",'2026'!$O$2=BQ423),'2026DATA'!$L$28,"")</f>
        <v/>
      </c>
      <c r="BR449" s="518" t="str">
        <f>IF(AND(_4="A-321",'2026'!$O$4="FO",'2026'!$O$2=BR423),'2026DATA'!$M$28,"")</f>
        <v/>
      </c>
      <c r="BS449" s="520" t="str">
        <f>IF(AND(_4="A-321",'2026'!$O$4="FO",'2026'!$O$2=BS423),'2026DATA'!$N$28,"")</f>
        <v/>
      </c>
      <c r="BT449" s="940"/>
      <c r="BU449" s="13" t="s">
        <v>62</v>
      </c>
      <c r="BV449" s="518" t="str">
        <f>IF(AND(_5="A-321",'2026'!$O$4="FO",'2026'!$O$2=BV423),'2026DATA'!$C$28,"")</f>
        <v/>
      </c>
      <c r="BW449" s="518" t="str">
        <f>IF(AND(_5="A-321",'2026'!$O$4="FO",'2026'!$O$2=BW423),'2026DATA'!$D$28,"")</f>
        <v/>
      </c>
      <c r="BX449" s="518" t="str">
        <f>IF(AND(_5="A-321",'2026'!$O$4="FO",'2026'!$O$2=BX423),'2026DATA'!$E$28,"")</f>
        <v/>
      </c>
      <c r="BY449" s="518" t="str">
        <f>IF(AND(_5="A-321",'2026'!$O$4="FO",'2026'!$O$2=BY423),'2026DATA'!$F$28,"")</f>
        <v/>
      </c>
      <c r="BZ449" s="518" t="str">
        <f>IF(AND(_5="A-321",'2026'!$O$4="FO",'2026'!$O$2=BZ423),'2026DATA'!$G$28,"")</f>
        <v/>
      </c>
      <c r="CA449" s="518" t="str">
        <f>IF(AND(_5="A-321",'2026'!$O$4="FO",'2026'!$O$2=CA423),'2026DATA'!$H$28,"")</f>
        <v/>
      </c>
      <c r="CB449" s="518" t="str">
        <f>IF(AND(_5="A-321",'2026'!$O$4="FO",'2026'!$O$2=CB423),'2026DATA'!$I$28,"")</f>
        <v/>
      </c>
      <c r="CC449" s="518" t="str">
        <f>IF(AND(_5="A-321",'2026'!$O$4="FO",'2026'!$O$2=CC423),'2026DATA'!$J$28,"")</f>
        <v/>
      </c>
      <c r="CD449" s="518" t="str">
        <f>IF(AND(_5="A-321",'2026'!$O$4="FO",'2026'!$O$2=CD423),'2026DATA'!$K$28,"")</f>
        <v/>
      </c>
      <c r="CE449" s="518" t="str">
        <f>IF(AND(_5="A-321",'2026'!$O$4="FO",'2026'!$O$2=CE423),'2026DATA'!$L$28,"")</f>
        <v/>
      </c>
      <c r="CF449" s="518" t="str">
        <f>IF(AND(_5="A-321",'2026'!$O$4="FO",'2026'!$O$2=CF423),'2026DATA'!$M$28,"")</f>
        <v/>
      </c>
      <c r="CG449" s="520" t="str">
        <f>IF(AND(_5="A-321",'2026'!$O$4="FO",'2026'!$O$2=CG423),'2026DATA'!$N$28,"")</f>
        <v/>
      </c>
      <c r="CH449" s="940"/>
      <c r="CI449" s="13" t="s">
        <v>62</v>
      </c>
      <c r="CJ449" s="518" t="str">
        <f>IF(AND(_6="A-321",'2026'!$O$4="FO",'2026'!$O$2=CJ423),'2026DATA'!$C$28,"")</f>
        <v/>
      </c>
      <c r="CK449" s="518" t="str">
        <f>IF(AND(_6="A-321",'2026'!$O$4="FO",'2026'!$O$2=CK423),'2026DATA'!$D$28,"")</f>
        <v/>
      </c>
      <c r="CL449" s="518" t="str">
        <f>IF(AND(_6="A-321",'2026'!$O$4="FO",'2026'!$O$2=CL423),'2026DATA'!$E$28,"")</f>
        <v/>
      </c>
      <c r="CM449" s="518" t="str">
        <f>IF(AND(_6="A-321",'2026'!$O$4="FO",'2026'!$O$2=CM423),'2026DATA'!$F$28,"")</f>
        <v/>
      </c>
      <c r="CN449" s="518" t="str">
        <f>IF(AND(_6="A-321",'2026'!$O$4="FO",'2026'!$O$2=CN423),'2026DATA'!$G$28,"")</f>
        <v/>
      </c>
      <c r="CO449" s="518" t="str">
        <f>IF(AND(_6="A-321",'2026'!$O$4="FO",'2026'!$O$2=CO423),'2026DATA'!$H$28,"")</f>
        <v/>
      </c>
      <c r="CP449" s="518" t="str">
        <f>IF(AND(_6="A-321",'2026'!$O$4="FO",'2026'!$O$2=CP423),'2026DATA'!$I$28,"")</f>
        <v/>
      </c>
      <c r="CQ449" s="518" t="str">
        <f>IF(AND(_6="A-321",'2026'!$O$4="FO",'2026'!$O$2=CQ423),'2026DATA'!$J$28,"")</f>
        <v/>
      </c>
      <c r="CR449" s="518" t="str">
        <f>IF(AND(_6="A-321",'2026'!$O$4="FO",'2026'!$O$2=CR423),'2026DATA'!$K$28,"")</f>
        <v/>
      </c>
      <c r="CS449" s="518" t="str">
        <f>IF(AND(_6="A-321",'2026'!$O$4="FO",'2026'!$O$2=CS423),'2026DATA'!$L$28,"")</f>
        <v/>
      </c>
      <c r="CT449" s="518" t="str">
        <f>IF(AND(_6="A-321",'2026'!$O$4="FO",'2026'!$O$2=CT423),'2026DATA'!$M$28,"")</f>
        <v/>
      </c>
      <c r="CU449" s="520" t="str">
        <f>IF(AND(_6="A-321",'2026'!$O$4="FO",'2026'!$O$2=CU423),'2026DATA'!$N$28,"")</f>
        <v/>
      </c>
    </row>
    <row r="450" spans="16:99" x14ac:dyDescent="0.25">
      <c r="P450" s="940" t="s">
        <v>70</v>
      </c>
      <c r="Q450" s="13" t="s">
        <v>61</v>
      </c>
      <c r="R450" s="518" t="str">
        <f>IF(AND(_1="A-320",'2026'!$O$4="CA",'2026'!$O$2=R423),'2026DATA'!$C$29,"")</f>
        <v/>
      </c>
      <c r="S450" s="518" t="str">
        <f>IF(AND(_1="A-320",'2026'!$O$4="CA",'2026'!$O$2=S423),'2026DATA'!$D$29,"")</f>
        <v/>
      </c>
      <c r="T450" s="518" t="str">
        <f>IF(AND(_1="A-320",'2026'!$O$4="CA",'2026'!$O$2=T423),'2026DATA'!$E$29,"")</f>
        <v/>
      </c>
      <c r="U450" s="518" t="str">
        <f>IF(AND(_1="A-320",'2026'!$O$4="CA",'2026'!$O$2=U423),'2026DATA'!$F$29,"")</f>
        <v/>
      </c>
      <c r="V450" s="518" t="str">
        <f>IF(AND(_1="A-320",'2026'!$O$4="CA",'2026'!$O$2=V423),'2026DATA'!$G$29,"")</f>
        <v/>
      </c>
      <c r="W450" s="518" t="str">
        <f>IF(AND(_1="A-320",'2026'!$O$4="CA",'2026'!$O$2=W423),'2026DATA'!$H$29,"")</f>
        <v/>
      </c>
      <c r="X450" s="518" t="str">
        <f>IF(AND(_1="A-320",'2026'!$O$4="CA",'2026'!$O$2=X423),'2026DATA'!$I$29,"")</f>
        <v/>
      </c>
      <c r="Y450" s="518" t="str">
        <f>IF(AND(_1="A-320",'2026'!$O$4="CA",'2026'!$O$2=Y423),'2026DATA'!$J$29,"")</f>
        <v/>
      </c>
      <c r="Z450" s="518" t="str">
        <f>IF(AND(_1="A-320",'2026'!$O$4="CA",'2026'!$O$2=Z423),'2026DATA'!$K$29,"")</f>
        <v/>
      </c>
      <c r="AA450" s="518" t="str">
        <f>IF(AND(_1="A-320",'2026'!$O$4="CA",'2026'!$O$2=AA423),'2026DATA'!$L$29,"")</f>
        <v/>
      </c>
      <c r="AB450" s="518" t="str">
        <f>IF(AND(_1="A-320",'2026'!$O$4="CA",'2026'!$O$2=AB423),'2026DATA'!$M$29,"")</f>
        <v/>
      </c>
      <c r="AC450" s="520" t="str">
        <f>IF(AND(_1="A-320",'2026'!$O$4="CA",'2026'!$O$2=AC423),'2026DATA'!$N$29,"")</f>
        <v/>
      </c>
      <c r="AD450" s="940" t="s">
        <v>70</v>
      </c>
      <c r="AE450" s="13" t="s">
        <v>61</v>
      </c>
      <c r="AF450" s="518" t="str">
        <f>IF(AND(_2="A-320",'2026'!$O$4="CA",'2026'!$O$2=AF423),'2026DATA'!$C$29,"")</f>
        <v/>
      </c>
      <c r="AG450" s="518" t="str">
        <f>IF(AND(_2="A-320",'2026'!$O$4="CA",'2026'!$O$2=AG423),'2026DATA'!$D$29,"")</f>
        <v/>
      </c>
      <c r="AH450" s="518" t="str">
        <f>IF(AND(_2="A-320",'2026'!$O$4="CA",'2026'!$O$2=AH423),'2026DATA'!$E$29,"")</f>
        <v/>
      </c>
      <c r="AI450" s="518" t="str">
        <f>IF(AND(_2="A-320",'2026'!$O$4="CA",'2026'!$O$2=AI423),'2026DATA'!$F$29,"")</f>
        <v/>
      </c>
      <c r="AJ450" s="518" t="str">
        <f>IF(AND(_2="A-320",'2026'!$O$4="CA",'2026'!$O$2=AJ423),'2026DATA'!$G$29,"")</f>
        <v/>
      </c>
      <c r="AK450" s="518" t="str">
        <f>IF(AND(_2="A-320",'2026'!$O$4="CA",'2026'!$O$2=AK423),'2026DATA'!$H$29,"")</f>
        <v/>
      </c>
      <c r="AL450" s="518" t="str">
        <f>IF(AND(_2="A-320",'2026'!$O$4="CA",'2026'!$O$2=AL423),'2026DATA'!$I$29,"")</f>
        <v/>
      </c>
      <c r="AM450" s="518" t="str">
        <f>IF(AND(_2="A-320",'2026'!$O$4="CA",'2026'!$O$2=AM423),'2026DATA'!$J$29,"")</f>
        <v/>
      </c>
      <c r="AN450" s="518" t="str">
        <f>IF(AND(_2="A-320",'2026'!$O$4="CA",'2026'!$O$2=AN423),'2026DATA'!$K$29,"")</f>
        <v/>
      </c>
      <c r="AO450" s="518" t="str">
        <f>IF(AND(_2="A-320",'2026'!$O$4="CA",'2026'!$O$2=AO423),'2026DATA'!$L$29,"")</f>
        <v/>
      </c>
      <c r="AP450" s="518" t="str">
        <f>IF(AND(_2="A-320",'2026'!$O$4="CA",'2026'!$O$2=AP423),'2026DATA'!$M$29,"")</f>
        <v/>
      </c>
      <c r="AQ450" s="520" t="str">
        <f>IF(AND(_2="A-320",'2026'!$O$4="CA",'2026'!$O$2=AQ423),'2026DATA'!$N$29,"")</f>
        <v/>
      </c>
      <c r="AR450" s="940" t="s">
        <v>70</v>
      </c>
      <c r="AS450" s="13" t="s">
        <v>61</v>
      </c>
      <c r="AT450" s="518" t="str">
        <f>IF(AND(_3="A-320",'2026'!$O$4="CA",'2026'!$O$2=AT423),'2026DATA'!$C$29,"")</f>
        <v/>
      </c>
      <c r="AU450" s="518" t="str">
        <f>IF(AND(_3="A-320",'2026'!$O$4="CA",'2026'!$O$2=AU423),'2026DATA'!$D$29,"")</f>
        <v/>
      </c>
      <c r="AV450" s="518" t="str">
        <f>IF(AND(_3="A-320",'2026'!$O$4="CA",'2026'!$O$2=AV423),'2026DATA'!$E$29,"")</f>
        <v/>
      </c>
      <c r="AW450" s="518" t="str">
        <f>IF(AND(_3="A-320",'2026'!$O$4="CA",'2026'!$O$2=AW423),'2026DATA'!$F$29,"")</f>
        <v/>
      </c>
      <c r="AX450" s="518" t="str">
        <f>IF(AND(_3="A-320",'2026'!$O$4="CA",'2026'!$O$2=AX423),'2026DATA'!$G$29,"")</f>
        <v/>
      </c>
      <c r="AY450" s="518" t="str">
        <f>IF(AND(_3="A-320",'2026'!$O$4="CA",'2026'!$O$2=AY423),'2026DATA'!$H$29,"")</f>
        <v/>
      </c>
      <c r="AZ450" s="518" t="str">
        <f>IF(AND(_3="A-320",'2026'!$O$4="CA",'2026'!$O$2=AZ423),'2026DATA'!$I$29,"")</f>
        <v/>
      </c>
      <c r="BA450" s="518" t="str">
        <f>IF(AND(_3="A-320",'2026'!$O$4="CA",'2026'!$O$2=BA423),'2026DATA'!$J$29,"")</f>
        <v/>
      </c>
      <c r="BB450" s="518" t="str">
        <f>IF(AND(_3="A-320",'2026'!$O$4="CA",'2026'!$O$2=BB423),'2026DATA'!$K$29,"")</f>
        <v/>
      </c>
      <c r="BC450" s="518" t="str">
        <f>IF(AND(_3="A-320",'2026'!$O$4="CA",'2026'!$O$2=BC423),'2026DATA'!$L$29,"")</f>
        <v/>
      </c>
      <c r="BD450" s="518" t="str">
        <f>IF(AND(_3="A-320",'2026'!$O$4="CA",'2026'!$O$2=BD423),'2026DATA'!$M$29,"")</f>
        <v/>
      </c>
      <c r="BE450" s="520" t="str">
        <f>IF(AND(_3="A-320",'2026'!$O$4="CA",'2026'!$O$2=BE423),'2026DATA'!$N$29,"")</f>
        <v/>
      </c>
      <c r="BF450" s="940" t="s">
        <v>70</v>
      </c>
      <c r="BG450" s="13" t="s">
        <v>61</v>
      </c>
      <c r="BH450" s="518" t="str">
        <f>IF(AND(_4="A-320",'2026'!$O$4="CA",'2026'!$O$2=BH423),'2026DATA'!$C$29,"")</f>
        <v/>
      </c>
      <c r="BI450" s="518" t="str">
        <f>IF(AND(_4="A-320",'2026'!$O$4="CA",'2026'!$O$2=BI423),'2026DATA'!$D$29,"")</f>
        <v/>
      </c>
      <c r="BJ450" s="518" t="str">
        <f>IF(AND(_4="A-320",'2026'!$O$4="CA",'2026'!$O$2=BJ423),'2026DATA'!$E$29,"")</f>
        <v/>
      </c>
      <c r="BK450" s="518" t="str">
        <f>IF(AND(_4="A-320",'2026'!$O$4="CA",'2026'!$O$2=BK423),'2026DATA'!$F$29,"")</f>
        <v/>
      </c>
      <c r="BL450" s="518" t="str">
        <f>IF(AND(_4="A-320",'2026'!$O$4="CA",'2026'!$O$2=BL423),'2026DATA'!$G$29,"")</f>
        <v/>
      </c>
      <c r="BM450" s="518" t="str">
        <f>IF(AND(_4="A-320",'2026'!$O$4="CA",'2026'!$O$2=BM423),'2026DATA'!$H$29,"")</f>
        <v/>
      </c>
      <c r="BN450" s="518" t="str">
        <f>IF(AND(_4="A-320",'2026'!$O$4="CA",'2026'!$O$2=BN423),'2026DATA'!$I$29,"")</f>
        <v/>
      </c>
      <c r="BO450" s="518" t="str">
        <f>IF(AND(_4="A-320",'2026'!$O$4="CA",'2026'!$O$2=BO423),'2026DATA'!$J$29,"")</f>
        <v/>
      </c>
      <c r="BP450" s="518" t="str">
        <f>IF(AND(_4="A-320",'2026'!$O$4="CA",'2026'!$O$2=BP423),'2026DATA'!$K$29,"")</f>
        <v/>
      </c>
      <c r="BQ450" s="518" t="str">
        <f>IF(AND(_4="A-320",'2026'!$O$4="CA",'2026'!$O$2=BQ423),'2026DATA'!$L$29,"")</f>
        <v/>
      </c>
      <c r="BR450" s="518" t="str">
        <f>IF(AND(_4="A-320",'2026'!$O$4="CA",'2026'!$O$2=BR423),'2026DATA'!$M$29,"")</f>
        <v/>
      </c>
      <c r="BS450" s="520" t="str">
        <f>IF(AND(_4="A-320",'2026'!$O$4="CA",'2026'!$O$2=BS423),'2026DATA'!$N$29,"")</f>
        <v/>
      </c>
      <c r="BT450" s="940" t="s">
        <v>70</v>
      </c>
      <c r="BU450" s="13" t="s">
        <v>61</v>
      </c>
      <c r="BV450" s="518" t="str">
        <f>IF(AND(_5="A-320",'2026'!$O$4="CA",'2026'!$O$2=BV423),'2026DATA'!$C$29,"")</f>
        <v/>
      </c>
      <c r="BW450" s="518" t="str">
        <f>IF(AND(_5="A-320",'2026'!$O$4="CA",'2026'!$O$2=BW423),'2026DATA'!$D$29,"")</f>
        <v/>
      </c>
      <c r="BX450" s="518" t="str">
        <f>IF(AND(_5="A-320",'2026'!$O$4="CA",'2026'!$O$2=BX423),'2026DATA'!$E$29,"")</f>
        <v/>
      </c>
      <c r="BY450" s="518" t="str">
        <f>IF(AND(_5="A-320",'2026'!$O$4="CA",'2026'!$O$2=BY423),'2026DATA'!$F$29,"")</f>
        <v/>
      </c>
      <c r="BZ450" s="518" t="str">
        <f>IF(AND(_5="A-320",'2026'!$O$4="CA",'2026'!$O$2=BZ423),'2026DATA'!$G$29,"")</f>
        <v/>
      </c>
      <c r="CA450" s="518" t="str">
        <f>IF(AND(_5="A-320",'2026'!$O$4="CA",'2026'!$O$2=CA423),'2026DATA'!$H$29,"")</f>
        <v/>
      </c>
      <c r="CB450" s="518" t="str">
        <f>IF(AND(_5="A-320",'2026'!$O$4="CA",'2026'!$O$2=CB423),'2026DATA'!$I$29,"")</f>
        <v/>
      </c>
      <c r="CC450" s="518" t="str">
        <f>IF(AND(_5="A-320",'2026'!$O$4="CA",'2026'!$O$2=CC423),'2026DATA'!$J$29,"")</f>
        <v/>
      </c>
      <c r="CD450" s="518" t="str">
        <f>IF(AND(_5="A-320",'2026'!$O$4="CA",'2026'!$O$2=CD423),'2026DATA'!$K$29,"")</f>
        <v/>
      </c>
      <c r="CE450" s="518" t="str">
        <f>IF(AND(_5="A-320",'2026'!$O$4="CA",'2026'!$O$2=CE423),'2026DATA'!$L$29,"")</f>
        <v/>
      </c>
      <c r="CF450" s="518" t="str">
        <f>IF(AND(_5="A-320",'2026'!$O$4="CA",'2026'!$O$2=CF423),'2026DATA'!$M$29,"")</f>
        <v/>
      </c>
      <c r="CG450" s="520" t="str">
        <f>IF(AND(_5="A-320",'2026'!$O$4="CA",'2026'!$O$2=CG423),'2026DATA'!$N$29,"")</f>
        <v/>
      </c>
      <c r="CH450" s="940" t="s">
        <v>70</v>
      </c>
      <c r="CI450" s="13" t="s">
        <v>61</v>
      </c>
      <c r="CJ450" s="518" t="str">
        <f>IF(AND(_6="A-320",'2026'!$O$4="CA",'2026'!$O$2=CJ423),'2026DATA'!$C$29,"")</f>
        <v/>
      </c>
      <c r="CK450" s="518" t="str">
        <f>IF(AND(_6="A-320",'2026'!$O$4="CA",'2026'!$O$2=CK423),'2026DATA'!$D$29,"")</f>
        <v/>
      </c>
      <c r="CL450" s="518" t="str">
        <f>IF(AND(_6="A-320",'2026'!$O$4="CA",'2026'!$O$2=CL423),'2026DATA'!$E$29,"")</f>
        <v/>
      </c>
      <c r="CM450" s="518" t="str">
        <f>IF(AND(_6="A-320",'2026'!$O$4="CA",'2026'!$O$2=CM423),'2026DATA'!$F$29,"")</f>
        <v/>
      </c>
      <c r="CN450" s="518" t="str">
        <f>IF(AND(_6="A-320",'2026'!$O$4="CA",'2026'!$O$2=CN423),'2026DATA'!$G$29,"")</f>
        <v/>
      </c>
      <c r="CO450" s="518" t="str">
        <f>IF(AND(_6="A-320",'2026'!$O$4="CA",'2026'!$O$2=CO423),'2026DATA'!$H$29,"")</f>
        <v/>
      </c>
      <c r="CP450" s="518" t="str">
        <f>IF(AND(_6="A-320",'2026'!$O$4="CA",'2026'!$O$2=CP423),'2026DATA'!$I$29,"")</f>
        <v/>
      </c>
      <c r="CQ450" s="518" t="str">
        <f>IF(AND(_6="A-320",'2026'!$O$4="CA",'2026'!$O$2=CQ423),'2026DATA'!$J$29,"")</f>
        <v/>
      </c>
      <c r="CR450" s="518" t="str">
        <f>IF(AND(_6="A-320",'2026'!$O$4="CA",'2026'!$O$2=CR423),'2026DATA'!$K$29,"")</f>
        <v/>
      </c>
      <c r="CS450" s="518" t="str">
        <f>IF(AND(_6="A-320",'2026'!$O$4="CA",'2026'!$O$2=CS423),'2026DATA'!$L$29,"")</f>
        <v/>
      </c>
      <c r="CT450" s="518" t="str">
        <f>IF(AND(_6="A-320",'2026'!$O$4="CA",'2026'!$O$2=CT423),'2026DATA'!$M$29,"")</f>
        <v/>
      </c>
      <c r="CU450" s="520" t="str">
        <f>IF(AND(_6="A-320",'2026'!$O$4="CA",'2026'!$O$2=CU423),'2026DATA'!$N$29,"")</f>
        <v/>
      </c>
    </row>
    <row r="451" spans="16:99" x14ac:dyDescent="0.25">
      <c r="P451" s="940"/>
      <c r="Q451" s="13" t="s">
        <v>62</v>
      </c>
      <c r="R451" s="518" t="str">
        <f>IF(AND(_1="A-320",'2026'!$O$4="FO",'2026'!$O$2=R423),'2026DATA'!$C$30,"")</f>
        <v/>
      </c>
      <c r="S451" s="518" t="str">
        <f>IF(AND(_1="A-320",'2026'!$O$4="FO",'2026'!$O$2=S423),'2026DATA'!$D$30,"")</f>
        <v/>
      </c>
      <c r="T451" s="518" t="str">
        <f>IF(AND(_1="A-320",'2026'!$O$4="FO",'2026'!$O$2=T423),'2026DATA'!$E$30,"")</f>
        <v/>
      </c>
      <c r="U451" s="518" t="str">
        <f>IF(AND(_1="A-320",'2026'!$O$4="FO",'2026'!$O$2=U423),'2026DATA'!$F$30,"")</f>
        <v/>
      </c>
      <c r="V451" s="518" t="str">
        <f>IF(AND(_1="A-320",'2026'!$O$4="FO",'2026'!$O$2=V423),'2026DATA'!$G$30,"")</f>
        <v/>
      </c>
      <c r="W451" s="518" t="str">
        <f>IF(AND(_1="A-320",'2026'!$O$4="FO",'2026'!$O$2=W423),'2026DATA'!$H$30,"")</f>
        <v/>
      </c>
      <c r="X451" s="518" t="str">
        <f>IF(AND(_1="A-320",'2026'!$O$4="FO",'2026'!$O$2=X423),'2026DATA'!$I$30,"")</f>
        <v/>
      </c>
      <c r="Y451" s="518" t="str">
        <f>IF(AND(_1="A-320",'2026'!$O$4="FO",'2026'!$O$2=Y423),'2026DATA'!$J$30,"")</f>
        <v/>
      </c>
      <c r="Z451" s="518" t="str">
        <f>IF(AND(_1="A-320",'2026'!$O$4="FO",'2026'!$O$2=Z423),'2026DATA'!$K$30,"")</f>
        <v/>
      </c>
      <c r="AA451" s="518" t="str">
        <f>IF(AND(_1="A-320",'2026'!$O$4="FO",'2026'!$O$2=AA423),'2026DATA'!$L$30,"")</f>
        <v/>
      </c>
      <c r="AB451" s="518" t="str">
        <f>IF(AND(_1="A-320",'2026'!$O$4="FO",'2026'!$O$2=AB423),'2026DATA'!$M$30,"")</f>
        <v/>
      </c>
      <c r="AC451" s="520" t="str">
        <f>IF(AND(_1="A-320",'2026'!$O$4="FO",'2026'!$O$2=AC423),'2026DATA'!$N$30,"")</f>
        <v/>
      </c>
      <c r="AD451" s="940"/>
      <c r="AE451" s="13" t="s">
        <v>62</v>
      </c>
      <c r="AF451" s="518" t="str">
        <f>IF(AND(_2="A-320",'2026'!$O$4="FO",'2026'!$O$2=AF423),'2026DATA'!$C$30,"")</f>
        <v/>
      </c>
      <c r="AG451" s="518" t="str">
        <f>IF(AND(_2="A-320",'2026'!$O$4="FO",'2026'!$O$2=AG423),'2026DATA'!$D$30,"")</f>
        <v/>
      </c>
      <c r="AH451" s="518" t="str">
        <f>IF(AND(_2="A-320",'2026'!$O$4="FO",'2026'!$O$2=AH423),'2026DATA'!$E$30,"")</f>
        <v/>
      </c>
      <c r="AI451" s="518" t="str">
        <f>IF(AND(_2="A-320",'2026'!$O$4="FO",'2026'!$O$2=AI423),'2026DATA'!$F$30,"")</f>
        <v/>
      </c>
      <c r="AJ451" s="518" t="str">
        <f>IF(AND(_2="A-320",'2026'!$O$4="FO",'2026'!$O$2=AJ423),'2026DATA'!$G$30,"")</f>
        <v/>
      </c>
      <c r="AK451" s="518" t="str">
        <f>IF(AND(_2="A-320",'2026'!$O$4="FO",'2026'!$O$2=AK423),'2026DATA'!$H$30,"")</f>
        <v/>
      </c>
      <c r="AL451" s="518" t="str">
        <f>IF(AND(_2="A-320",'2026'!$O$4="FO",'2026'!$O$2=AL423),'2026DATA'!$I$30,"")</f>
        <v/>
      </c>
      <c r="AM451" s="518" t="str">
        <f>IF(AND(_2="A-320",'2026'!$O$4="FO",'2026'!$O$2=AM423),'2026DATA'!$J$30,"")</f>
        <v/>
      </c>
      <c r="AN451" s="518" t="str">
        <f>IF(AND(_2="A-320",'2026'!$O$4="FO",'2026'!$O$2=AN423),'2026DATA'!$K$30,"")</f>
        <v/>
      </c>
      <c r="AO451" s="518" t="str">
        <f>IF(AND(_2="A-320",'2026'!$O$4="FO",'2026'!$O$2=AO423),'2026DATA'!$L$30,"")</f>
        <v/>
      </c>
      <c r="AP451" s="518" t="str">
        <f>IF(AND(_2="A-320",'2026'!$O$4="FO",'2026'!$O$2=AP423),'2026DATA'!$M$30,"")</f>
        <v/>
      </c>
      <c r="AQ451" s="520" t="str">
        <f>IF(AND(_2="A-320",'2026'!$O$4="FO",'2026'!$O$2=AQ423),'2026DATA'!$N$30,"")</f>
        <v/>
      </c>
      <c r="AR451" s="940"/>
      <c r="AS451" s="13" t="s">
        <v>62</v>
      </c>
      <c r="AT451" s="518" t="str">
        <f>IF(AND(_3="A-320",'2026'!$O$4="FO",'2026'!$O$2=AT423),'2026DATA'!$C$30,"")</f>
        <v/>
      </c>
      <c r="AU451" s="518" t="str">
        <f>IF(AND(_3="A-320",'2026'!$O$4="FO",'2026'!$O$2=AU423),'2026DATA'!$D$30,"")</f>
        <v/>
      </c>
      <c r="AV451" s="518" t="str">
        <f>IF(AND(_3="A-320",'2026'!$O$4="FO",'2026'!$O$2=AV423),'2026DATA'!$E$30,"")</f>
        <v/>
      </c>
      <c r="AW451" s="518" t="str">
        <f>IF(AND(_3="A-320",'2026'!$O$4="FO",'2026'!$O$2=AW423),'2026DATA'!$F$30,"")</f>
        <v/>
      </c>
      <c r="AX451" s="518" t="str">
        <f>IF(AND(_3="A-320",'2026'!$O$4="FO",'2026'!$O$2=AX423),'2026DATA'!$G$30,"")</f>
        <v/>
      </c>
      <c r="AY451" s="518" t="str">
        <f>IF(AND(_3="A-320",'2026'!$O$4="FO",'2026'!$O$2=AY423),'2026DATA'!$H$30,"")</f>
        <v/>
      </c>
      <c r="AZ451" s="518" t="str">
        <f>IF(AND(_3="A-320",'2026'!$O$4="FO",'2026'!$O$2=AZ423),'2026DATA'!$I$30,"")</f>
        <v/>
      </c>
      <c r="BA451" s="518" t="str">
        <f>IF(AND(_3="A-320",'2026'!$O$4="FO",'2026'!$O$2=BA423),'2026DATA'!$J$30,"")</f>
        <v/>
      </c>
      <c r="BB451" s="518" t="str">
        <f>IF(AND(_3="A-320",'2026'!$O$4="FO",'2026'!$O$2=BB423),'2026DATA'!$K$30,"")</f>
        <v/>
      </c>
      <c r="BC451" s="518" t="str">
        <f>IF(AND(_3="A-320",'2026'!$O$4="FO",'2026'!$O$2=BC423),'2026DATA'!$L$30,"")</f>
        <v/>
      </c>
      <c r="BD451" s="518" t="str">
        <f>IF(AND(_3="A-320",'2026'!$O$4="FO",'2026'!$O$2=BD423),'2026DATA'!$M$30,"")</f>
        <v/>
      </c>
      <c r="BE451" s="520" t="str">
        <f>IF(AND(_3="A-320",'2026'!$O$4="FO",'2026'!$O$2=BE423),'2026DATA'!$N$30,"")</f>
        <v/>
      </c>
      <c r="BF451" s="940"/>
      <c r="BG451" s="13" t="s">
        <v>62</v>
      </c>
      <c r="BH451" s="518" t="str">
        <f>IF(AND(_4="A-320",'2026'!$O$4="FO",'2026'!$O$2=BH423),'2026DATA'!$C$30,"")</f>
        <v/>
      </c>
      <c r="BI451" s="518" t="str">
        <f>IF(AND(_4="A-320",'2026'!$O$4="FO",'2026'!$O$2=BI423),'2026DATA'!$D$30,"")</f>
        <v/>
      </c>
      <c r="BJ451" s="518" t="str">
        <f>IF(AND(_4="A-320",'2026'!$O$4="FO",'2026'!$O$2=BJ423),'2026DATA'!$E$30,"")</f>
        <v/>
      </c>
      <c r="BK451" s="518" t="str">
        <f>IF(AND(_4="A-320",'2026'!$O$4="FO",'2026'!$O$2=BK423),'2026DATA'!$F$30,"")</f>
        <v/>
      </c>
      <c r="BL451" s="518" t="str">
        <f>IF(AND(_4="A-320",'2026'!$O$4="FO",'2026'!$O$2=BL423),'2026DATA'!$G$30,"")</f>
        <v/>
      </c>
      <c r="BM451" s="518" t="str">
        <f>IF(AND(_4="A-320",'2026'!$O$4="FO",'2026'!$O$2=BM423),'2026DATA'!$H$30,"")</f>
        <v/>
      </c>
      <c r="BN451" s="518" t="str">
        <f>IF(AND(_4="A-320",'2026'!$O$4="FO",'2026'!$O$2=BN423),'2026DATA'!$I$30,"")</f>
        <v/>
      </c>
      <c r="BO451" s="518" t="str">
        <f>IF(AND(_4="A-320",'2026'!$O$4="FO",'2026'!$O$2=BO423),'2026DATA'!$J$30,"")</f>
        <v/>
      </c>
      <c r="BP451" s="518" t="str">
        <f>IF(AND(_4="A-320",'2026'!$O$4="FO",'2026'!$O$2=BP423),'2026DATA'!$K$30,"")</f>
        <v/>
      </c>
      <c r="BQ451" s="518" t="str">
        <f>IF(AND(_4="A-320",'2026'!$O$4="FO",'2026'!$O$2=BQ423),'2026DATA'!$L$30,"")</f>
        <v/>
      </c>
      <c r="BR451" s="518" t="str">
        <f>IF(AND(_4="A-320",'2026'!$O$4="FO",'2026'!$O$2=BR423),'2026DATA'!$M$30,"")</f>
        <v/>
      </c>
      <c r="BS451" s="520" t="str">
        <f>IF(AND(_4="A-320",'2026'!$O$4="FO",'2026'!$O$2=BS423),'2026DATA'!$N$30,"")</f>
        <v/>
      </c>
      <c r="BT451" s="940"/>
      <c r="BU451" s="13" t="s">
        <v>62</v>
      </c>
      <c r="BV451" s="518" t="str">
        <f>IF(AND(_5="A-320",'2026'!$O$4="FO",'2026'!$O$2=BV423),'2026DATA'!$C$30,"")</f>
        <v/>
      </c>
      <c r="BW451" s="518" t="str">
        <f>IF(AND(_5="A-320",'2026'!$O$4="FO",'2026'!$O$2=BW423),'2026DATA'!$D$30,"")</f>
        <v/>
      </c>
      <c r="BX451" s="518" t="str">
        <f>IF(AND(_5="A-320",'2026'!$O$4="FO",'2026'!$O$2=BX423),'2026DATA'!$E$30,"")</f>
        <v/>
      </c>
      <c r="BY451" s="518" t="str">
        <f>IF(AND(_5="A-320",'2026'!$O$4="FO",'2026'!$O$2=BY423),'2026DATA'!$F$30,"")</f>
        <v/>
      </c>
      <c r="BZ451" s="518" t="str">
        <f>IF(AND(_5="A-320",'2026'!$O$4="FO",'2026'!$O$2=BZ423),'2026DATA'!$G$30,"")</f>
        <v/>
      </c>
      <c r="CA451" s="518" t="str">
        <f>IF(AND(_5="A-320",'2026'!$O$4="FO",'2026'!$O$2=CA423),'2026DATA'!$H$30,"")</f>
        <v/>
      </c>
      <c r="CB451" s="518" t="str">
        <f>IF(AND(_5="A-320",'2026'!$O$4="FO",'2026'!$O$2=CB423),'2026DATA'!$I$30,"")</f>
        <v/>
      </c>
      <c r="CC451" s="518" t="str">
        <f>IF(AND(_5="A-320",'2026'!$O$4="FO",'2026'!$O$2=CC423),'2026DATA'!$J$30,"")</f>
        <v/>
      </c>
      <c r="CD451" s="518" t="str">
        <f>IF(AND(_5="A-320",'2026'!$O$4="FO",'2026'!$O$2=CD423),'2026DATA'!$K$30,"")</f>
        <v/>
      </c>
      <c r="CE451" s="518" t="str">
        <f>IF(AND(_5="A-320",'2026'!$O$4="FO",'2026'!$O$2=CE423),'2026DATA'!$L$30,"")</f>
        <v/>
      </c>
      <c r="CF451" s="518" t="str">
        <f>IF(AND(_5="A-320",'2026'!$O$4="FO",'2026'!$O$2=CF423),'2026DATA'!$M$30,"")</f>
        <v/>
      </c>
      <c r="CG451" s="520" t="str">
        <f>IF(AND(_5="A-320",'2026'!$O$4="FO",'2026'!$O$2=CG423),'2026DATA'!$N$30,"")</f>
        <v/>
      </c>
      <c r="CH451" s="940"/>
      <c r="CI451" s="13" t="s">
        <v>62</v>
      </c>
      <c r="CJ451" s="518" t="str">
        <f>IF(AND(_6="A-320",'2026'!$O$4="FO",'2026'!$O$2=CJ423),'2026DATA'!$C$30,"")</f>
        <v/>
      </c>
      <c r="CK451" s="518" t="str">
        <f>IF(AND(_6="A-320",'2026'!$O$4="FO",'2026'!$O$2=CK423),'2026DATA'!$D$30,"")</f>
        <v/>
      </c>
      <c r="CL451" s="518" t="str">
        <f>IF(AND(_6="A-320",'2026'!$O$4="FO",'2026'!$O$2=CL423),'2026DATA'!$E$30,"")</f>
        <v/>
      </c>
      <c r="CM451" s="518" t="str">
        <f>IF(AND(_6="A-320",'2026'!$O$4="FO",'2026'!$O$2=CM423),'2026DATA'!$F$30,"")</f>
        <v/>
      </c>
      <c r="CN451" s="518" t="str">
        <f>IF(AND(_6="A-320",'2026'!$O$4="FO",'2026'!$O$2=CN423),'2026DATA'!$G$30,"")</f>
        <v/>
      </c>
      <c r="CO451" s="518" t="str">
        <f>IF(AND(_6="A-320",'2026'!$O$4="FO",'2026'!$O$2=CO423),'2026DATA'!$H$30,"")</f>
        <v/>
      </c>
      <c r="CP451" s="518" t="str">
        <f>IF(AND(_6="A-320",'2026'!$O$4="FO",'2026'!$O$2=CP423),'2026DATA'!$I$30,"")</f>
        <v/>
      </c>
      <c r="CQ451" s="518" t="str">
        <f>IF(AND(_6="A-320",'2026'!$O$4="FO",'2026'!$O$2=CQ423),'2026DATA'!$J$30,"")</f>
        <v/>
      </c>
      <c r="CR451" s="518" t="str">
        <f>IF(AND(_6="A-320",'2026'!$O$4="FO",'2026'!$O$2=CR423),'2026DATA'!$K$30,"")</f>
        <v/>
      </c>
      <c r="CS451" s="518" t="str">
        <f>IF(AND(_6="A-320",'2026'!$O$4="FO",'2026'!$O$2=CS423),'2026DATA'!$L$30,"")</f>
        <v/>
      </c>
      <c r="CT451" s="518" t="str">
        <f>IF(AND(_6="A-320",'2026'!$O$4="FO",'2026'!$O$2=CT423),'2026DATA'!$M$30,"")</f>
        <v/>
      </c>
      <c r="CU451" s="520" t="str">
        <f>IF(AND(_6="A-320",'2026'!$O$4="FO",'2026'!$O$2=CU423),'2026DATA'!$N$30,"")</f>
        <v/>
      </c>
    </row>
    <row r="452" spans="16:99" x14ac:dyDescent="0.25">
      <c r="P452" s="940" t="s">
        <v>71</v>
      </c>
      <c r="Q452" s="13" t="s">
        <v>61</v>
      </c>
      <c r="R452" s="518" t="str">
        <f>IF(AND(_1="A-319",'2026'!$O$4="CA",'2026'!$O$2=R423),'2026DATA'!$C$31,"")</f>
        <v/>
      </c>
      <c r="S452" s="518" t="str">
        <f>IF(AND(_1="A-319",'2026'!$O$4="CA",'2026'!$O$2=S423),'2026DATA'!$D$31,"")</f>
        <v/>
      </c>
      <c r="T452" s="518" t="str">
        <f>IF(AND(_1="A-319",'2026'!$O$4="CA",'2026'!$O$2=T423),'2026DATA'!$E$31,"")</f>
        <v/>
      </c>
      <c r="U452" s="518" t="str">
        <f>IF(AND(_1="A-319",'2026'!$O$4="CA",'2026'!$O$2=U423),'2026DATA'!$F$31,"")</f>
        <v/>
      </c>
      <c r="V452" s="518" t="str">
        <f>IF(AND(_1="A-319",'2026'!$O$4="CA",'2026'!$O$2=V423),'2026DATA'!$G$31,"")</f>
        <v/>
      </c>
      <c r="W452" s="518" t="str">
        <f>IF(AND(_1="A-319",'2026'!$O$4="CA",'2026'!$O$2=W423),'2026DATA'!$H$31,"")</f>
        <v/>
      </c>
      <c r="X452" s="518" t="str">
        <f>IF(AND(_1="A-319",'2026'!$O$4="CA",'2026'!$O$2=X423),'2026DATA'!$I$31,"")</f>
        <v/>
      </c>
      <c r="Y452" s="518" t="str">
        <f>IF(AND(_1="A-319",'2026'!$O$4="CA",'2026'!$O$2=Y423),'2026DATA'!$J$31,"")</f>
        <v/>
      </c>
      <c r="Z452" s="518" t="str">
        <f>IF(AND(_1="A-319",'2026'!$O$4="CA",'2026'!$O$2=Z423),'2026DATA'!$K$31,"")</f>
        <v/>
      </c>
      <c r="AA452" s="518" t="str">
        <f>IF(AND(_1="A-319",'2026'!$O$4="CA",'2026'!$O$2=AA423),'2026DATA'!$L$31,"")</f>
        <v/>
      </c>
      <c r="AB452" s="518" t="str">
        <f>IF(AND(_1="A-319",'2026'!$O$4="CA",'2026'!$O$2=AB423),'2026DATA'!$M$31,"")</f>
        <v/>
      </c>
      <c r="AC452" s="520" t="str">
        <f>IF(AND(_1="A-319",'2026'!$O$4="CA",'2026'!$O$2=AC423),'2026DATA'!$N$31,"")</f>
        <v/>
      </c>
      <c r="AD452" s="940" t="s">
        <v>71</v>
      </c>
      <c r="AE452" s="13" t="s">
        <v>61</v>
      </c>
      <c r="AF452" s="518" t="str">
        <f>IF(AND(_2="A-319",'2026'!$O$4="CA",'2026'!$O$2=AF423),'2026DATA'!$C$31,"")</f>
        <v/>
      </c>
      <c r="AG452" s="518" t="str">
        <f>IF(AND(_2="A-319",'2026'!$O$4="CA",'2026'!$O$2=AG423),'2026DATA'!$D$31,"")</f>
        <v/>
      </c>
      <c r="AH452" s="518" t="str">
        <f>IF(AND(_2="A-319",'2026'!$O$4="CA",'2026'!$O$2=AH423),'2026DATA'!$E$31,"")</f>
        <v/>
      </c>
      <c r="AI452" s="518" t="str">
        <f>IF(AND(_2="A-319",'2026'!$O$4="CA",'2026'!$O$2=AI423),'2026DATA'!$F$31,"")</f>
        <v/>
      </c>
      <c r="AJ452" s="518" t="str">
        <f>IF(AND(_2="A-319",'2026'!$O$4="CA",'2026'!$O$2=AJ423),'2026DATA'!$G$31,"")</f>
        <v/>
      </c>
      <c r="AK452" s="518" t="str">
        <f>IF(AND(_2="A-319",'2026'!$O$4="CA",'2026'!$O$2=AK423),'2026DATA'!$H$31,"")</f>
        <v/>
      </c>
      <c r="AL452" s="518" t="str">
        <f>IF(AND(_2="A-319",'2026'!$O$4="CA",'2026'!$O$2=AL423),'2026DATA'!$I$31,"")</f>
        <v/>
      </c>
      <c r="AM452" s="518" t="str">
        <f>IF(AND(_2="A-319",'2026'!$O$4="CA",'2026'!$O$2=AM423),'2026DATA'!$J$31,"")</f>
        <v/>
      </c>
      <c r="AN452" s="518" t="str">
        <f>IF(AND(_2="A-319",'2026'!$O$4="CA",'2026'!$O$2=AN423),'2026DATA'!$K$31,"")</f>
        <v/>
      </c>
      <c r="AO452" s="518" t="str">
        <f>IF(AND(_2="A-319",'2026'!$O$4="CA",'2026'!$O$2=AO423),'2026DATA'!$L$31,"")</f>
        <v/>
      </c>
      <c r="AP452" s="518" t="str">
        <f>IF(AND(_2="A-319",'2026'!$O$4="CA",'2026'!$O$2=AP423),'2026DATA'!$M$31,"")</f>
        <v/>
      </c>
      <c r="AQ452" s="520" t="str">
        <f>IF(AND(_2="A-319",'2026'!$O$4="CA",'2026'!$O$2=AQ423),'2026DATA'!$N$31,"")</f>
        <v/>
      </c>
      <c r="AR452" s="940" t="s">
        <v>71</v>
      </c>
      <c r="AS452" s="13" t="s">
        <v>61</v>
      </c>
      <c r="AT452" s="518" t="str">
        <f>IF(AND(_3="A-319",'2026'!$O$4="CA",'2026'!$O$2=AT423),'2026DATA'!$C$31,"")</f>
        <v/>
      </c>
      <c r="AU452" s="518" t="str">
        <f>IF(AND(_3="A-319",'2026'!$O$4="CA",'2026'!$O$2=AU423),'2026DATA'!$D$31,"")</f>
        <v/>
      </c>
      <c r="AV452" s="518" t="str">
        <f>IF(AND(_3="A-319",'2026'!$O$4="CA",'2026'!$O$2=AV423),'2026DATA'!$E$31,"")</f>
        <v/>
      </c>
      <c r="AW452" s="518" t="str">
        <f>IF(AND(_3="A-319",'2026'!$O$4="CA",'2026'!$O$2=AW423),'2026DATA'!$F$31,"")</f>
        <v/>
      </c>
      <c r="AX452" s="518" t="str">
        <f>IF(AND(_3="A-319",'2026'!$O$4="CA",'2026'!$O$2=AX423),'2026DATA'!$G$31,"")</f>
        <v/>
      </c>
      <c r="AY452" s="518" t="str">
        <f>IF(AND(_3="A-319",'2026'!$O$4="CA",'2026'!$O$2=AY423),'2026DATA'!$H$31,"")</f>
        <v/>
      </c>
      <c r="AZ452" s="518" t="str">
        <f>IF(AND(_3="A-319",'2026'!$O$4="CA",'2026'!$O$2=AZ423),'2026DATA'!$I$31,"")</f>
        <v/>
      </c>
      <c r="BA452" s="518" t="str">
        <f>IF(AND(_3="A-319",'2026'!$O$4="CA",'2026'!$O$2=BA423),'2026DATA'!$J$31,"")</f>
        <v/>
      </c>
      <c r="BB452" s="518" t="str">
        <f>IF(AND(_3="A-319",'2026'!$O$4="CA",'2026'!$O$2=BB423),'2026DATA'!$K$31,"")</f>
        <v/>
      </c>
      <c r="BC452" s="518" t="str">
        <f>IF(AND(_3="A-319",'2026'!$O$4="CA",'2026'!$O$2=BC423),'2026DATA'!$L$31,"")</f>
        <v/>
      </c>
      <c r="BD452" s="518" t="str">
        <f>IF(AND(_3="A-319",'2026'!$O$4="CA",'2026'!$O$2=BD423),'2026DATA'!$M$31,"")</f>
        <v/>
      </c>
      <c r="BE452" s="520" t="str">
        <f>IF(AND(_3="A-319",'2026'!$O$4="CA",'2026'!$O$2=BE423),'2026DATA'!$N$31,"")</f>
        <v/>
      </c>
      <c r="BF452" s="940" t="s">
        <v>71</v>
      </c>
      <c r="BG452" s="13" t="s">
        <v>61</v>
      </c>
      <c r="BH452" s="518" t="str">
        <f>IF(AND(_4="A-319",'2026'!$O$4="CA",'2026'!$O$2=BH423),'2026DATA'!$C$31,"")</f>
        <v/>
      </c>
      <c r="BI452" s="518" t="str">
        <f>IF(AND(_4="A-319",'2026'!$O$4="CA",'2026'!$O$2=BI423),'2026DATA'!$D$31,"")</f>
        <v/>
      </c>
      <c r="BJ452" s="518" t="str">
        <f>IF(AND(_4="A-319",'2026'!$O$4="CA",'2026'!$O$2=BJ423),'2026DATA'!$E$31,"")</f>
        <v/>
      </c>
      <c r="BK452" s="518" t="str">
        <f>IF(AND(_4="A-319",'2026'!$O$4="CA",'2026'!$O$2=BK423),'2026DATA'!$F$31,"")</f>
        <v/>
      </c>
      <c r="BL452" s="518" t="str">
        <f>IF(AND(_4="A-319",'2026'!$O$4="CA",'2026'!$O$2=BL423),'2026DATA'!$G$31,"")</f>
        <v/>
      </c>
      <c r="BM452" s="518" t="str">
        <f>IF(AND(_4="A-319",'2026'!$O$4="CA",'2026'!$O$2=BM423),'2026DATA'!$H$31,"")</f>
        <v/>
      </c>
      <c r="BN452" s="518" t="str">
        <f>IF(AND(_4="A-319",'2026'!$O$4="CA",'2026'!$O$2=BN423),'2026DATA'!$I$31,"")</f>
        <v/>
      </c>
      <c r="BO452" s="518" t="str">
        <f>IF(AND(_4="A-319",'2026'!$O$4="CA",'2026'!$O$2=BO423),'2026DATA'!$J$31,"")</f>
        <v/>
      </c>
      <c r="BP452" s="518" t="str">
        <f>IF(AND(_4="A-319",'2026'!$O$4="CA",'2026'!$O$2=BP423),'2026DATA'!$K$31,"")</f>
        <v/>
      </c>
      <c r="BQ452" s="518" t="str">
        <f>IF(AND(_4="A-319",'2026'!$O$4="CA",'2026'!$O$2=BQ423),'2026DATA'!$L$31,"")</f>
        <v/>
      </c>
      <c r="BR452" s="518" t="str">
        <f>IF(AND(_4="A-319",'2026'!$O$4="CA",'2026'!$O$2=BR423),'2026DATA'!$M$31,"")</f>
        <v/>
      </c>
      <c r="BS452" s="520" t="str">
        <f>IF(AND(_4="A-319",'2026'!$O$4="CA",'2026'!$O$2=BS423),'2026DATA'!$N$31,"")</f>
        <v/>
      </c>
      <c r="BT452" s="940" t="s">
        <v>71</v>
      </c>
      <c r="BU452" s="13" t="s">
        <v>61</v>
      </c>
      <c r="BV452" s="518" t="str">
        <f>IF(AND(_5="A-319",'2026'!$O$4="CA",'2026'!$O$2=BV423),'2026DATA'!$C$31,"")</f>
        <v/>
      </c>
      <c r="BW452" s="518" t="str">
        <f>IF(AND(_5="A-319",'2026'!$O$4="CA",'2026'!$O$2=BW423),'2026DATA'!$D$31,"")</f>
        <v/>
      </c>
      <c r="BX452" s="518" t="str">
        <f>IF(AND(_5="A-319",'2026'!$O$4="CA",'2026'!$O$2=BX423),'2026DATA'!$E$31,"")</f>
        <v/>
      </c>
      <c r="BY452" s="518" t="str">
        <f>IF(AND(_5="A-319",'2026'!$O$4="CA",'2026'!$O$2=BY423),'2026DATA'!$F$31,"")</f>
        <v/>
      </c>
      <c r="BZ452" s="518" t="str">
        <f>IF(AND(_5="A-319",'2026'!$O$4="CA",'2026'!$O$2=BZ423),'2026DATA'!$G$31,"")</f>
        <v/>
      </c>
      <c r="CA452" s="518" t="str">
        <f>IF(AND(_5="A-319",'2026'!$O$4="CA",'2026'!$O$2=CA423),'2026DATA'!$H$31,"")</f>
        <v/>
      </c>
      <c r="CB452" s="518" t="str">
        <f>IF(AND(_5="A-319",'2026'!$O$4="CA",'2026'!$O$2=CB423),'2026DATA'!$I$31,"")</f>
        <v/>
      </c>
      <c r="CC452" s="518" t="str">
        <f>IF(AND(_5="A-319",'2026'!$O$4="CA",'2026'!$O$2=CC423),'2026DATA'!$J$31,"")</f>
        <v/>
      </c>
      <c r="CD452" s="518" t="str">
        <f>IF(AND(_5="A-319",'2026'!$O$4="CA",'2026'!$O$2=CD423),'2026DATA'!$K$31,"")</f>
        <v/>
      </c>
      <c r="CE452" s="518" t="str">
        <f>IF(AND(_5="A-319",'2026'!$O$4="CA",'2026'!$O$2=CE423),'2026DATA'!$L$31,"")</f>
        <v/>
      </c>
      <c r="CF452" s="518" t="str">
        <f>IF(AND(_5="A-319",'2026'!$O$4="CA",'2026'!$O$2=CF423),'2026DATA'!$M$31,"")</f>
        <v/>
      </c>
      <c r="CG452" s="520" t="str">
        <f>IF(AND(_5="A-319",'2026'!$O$4="CA",'2026'!$O$2=CG423),'2026DATA'!$N$31,"")</f>
        <v/>
      </c>
      <c r="CH452" s="940" t="s">
        <v>71</v>
      </c>
      <c r="CI452" s="13" t="s">
        <v>61</v>
      </c>
      <c r="CJ452" s="518" t="str">
        <f>IF(AND(_6="A-319",'2026'!$O$4="CA",'2026'!$O$2=CJ423),'2026DATA'!$C$31,"")</f>
        <v/>
      </c>
      <c r="CK452" s="518" t="str">
        <f>IF(AND(_6="A-319",'2026'!$O$4="CA",'2026'!$O$2=CK423),'2026DATA'!$D$31,"")</f>
        <v/>
      </c>
      <c r="CL452" s="518" t="str">
        <f>IF(AND(_6="A-319",'2026'!$O$4="CA",'2026'!$O$2=CL423),'2026DATA'!$E$31,"")</f>
        <v/>
      </c>
      <c r="CM452" s="518" t="str">
        <f>IF(AND(_6="A-319",'2026'!$O$4="CA",'2026'!$O$2=CM423),'2026DATA'!$F$31,"")</f>
        <v/>
      </c>
      <c r="CN452" s="518" t="str">
        <f>IF(AND(_6="A-319",'2026'!$O$4="CA",'2026'!$O$2=CN423),'2026DATA'!$G$31,"")</f>
        <v/>
      </c>
      <c r="CO452" s="518" t="str">
        <f>IF(AND(_6="A-319",'2026'!$O$4="CA",'2026'!$O$2=CO423),'2026DATA'!$H$31,"")</f>
        <v/>
      </c>
      <c r="CP452" s="518" t="str">
        <f>IF(AND(_6="A-319",'2026'!$O$4="CA",'2026'!$O$2=CP423),'2026DATA'!$I$31,"")</f>
        <v/>
      </c>
      <c r="CQ452" s="518" t="str">
        <f>IF(AND(_6="A-319",'2026'!$O$4="CA",'2026'!$O$2=CQ423),'2026DATA'!$J$31,"")</f>
        <v/>
      </c>
      <c r="CR452" s="518" t="str">
        <f>IF(AND(_6="A-319",'2026'!$O$4="CA",'2026'!$O$2=CR423),'2026DATA'!$K$31,"")</f>
        <v/>
      </c>
      <c r="CS452" s="518" t="str">
        <f>IF(AND(_6="A-319",'2026'!$O$4="CA",'2026'!$O$2=CS423),'2026DATA'!$L$31,"")</f>
        <v/>
      </c>
      <c r="CT452" s="518" t="str">
        <f>IF(AND(_6="A-319",'2026'!$O$4="CA",'2026'!$O$2=CT423),'2026DATA'!$M$31,"")</f>
        <v/>
      </c>
      <c r="CU452" s="520" t="str">
        <f>IF(AND(_6="A-319",'2026'!$O$4="CA",'2026'!$O$2=CU423),'2026DATA'!$N$31,"")</f>
        <v/>
      </c>
    </row>
    <row r="453" spans="16:99" x14ac:dyDescent="0.25">
      <c r="P453" s="940"/>
      <c r="Q453" s="13" t="s">
        <v>62</v>
      </c>
      <c r="R453" s="518" t="str">
        <f>IF(AND(_1="A-319",'2026'!$O$4="FO",'2026'!$O$2=R423),'2026DATA'!$C$32,"")</f>
        <v/>
      </c>
      <c r="S453" s="518" t="str">
        <f>IF(AND(_1="A-319",'2026'!$O$4="FO",'2026'!$O$2=S423),'2026DATA'!$D$32,"")</f>
        <v/>
      </c>
      <c r="T453" s="518" t="str">
        <f>IF(AND(_1="A-319",'2026'!$O$4="FO",'2026'!$O$2=T423),'2026DATA'!$E$32,"")</f>
        <v/>
      </c>
      <c r="U453" s="518" t="str">
        <f>IF(AND(_1="A-319",'2026'!$O$4="FO",'2026'!$O$2=U423),'2026DATA'!$F$32,"")</f>
        <v/>
      </c>
      <c r="V453" s="518" t="str">
        <f>IF(AND(_1="A-319",'2026'!$O$4="FO",'2026'!$O$2=V423),'2026DATA'!$G$32,"")</f>
        <v/>
      </c>
      <c r="W453" s="518" t="str">
        <f>IF(AND(_1="A-319",'2026'!$O$4="FO",'2026'!$O$2=W423),'2026DATA'!$H$32,"")</f>
        <v/>
      </c>
      <c r="X453" s="518" t="str">
        <f>IF(AND(_1="A-319",'2026'!$O$4="FO",'2026'!$O$2=X423),'2026DATA'!$I$32,"")</f>
        <v/>
      </c>
      <c r="Y453" s="518" t="str">
        <f>IF(AND(_1="A-319",'2026'!$O$4="FO",'2026'!$O$2=Y423),'2026DATA'!$J$32,"")</f>
        <v/>
      </c>
      <c r="Z453" s="518" t="str">
        <f>IF(AND(_1="A-319",'2026'!$O$4="FO",'2026'!$O$2=Z423),'2026DATA'!$K$32,"")</f>
        <v/>
      </c>
      <c r="AA453" s="518" t="str">
        <f>IF(AND(_1="A-319",'2026'!$O$4="FO",'2026'!$O$2=AA423),'2026DATA'!$L$32,"")</f>
        <v/>
      </c>
      <c r="AB453" s="518" t="str">
        <f>IF(AND(_1="A-319",'2026'!$O$4="FO",'2026'!$O$2=AB423),'2026DATA'!$M$32,"")</f>
        <v/>
      </c>
      <c r="AC453" s="520" t="str">
        <f>IF(AND(_1="A-319",'2026'!$O$4="FO",'2026'!$O$2=AC423),'2026DATA'!$N$32,"")</f>
        <v/>
      </c>
      <c r="AD453" s="940"/>
      <c r="AE453" s="13" t="s">
        <v>62</v>
      </c>
      <c r="AF453" s="518" t="str">
        <f>IF(AND(_2="A-319",'2026'!$O$4="FO",'2026'!$O$2=AF423),'2026DATA'!$C$32,"")</f>
        <v/>
      </c>
      <c r="AG453" s="518" t="str">
        <f>IF(AND(_2="A-319",'2026'!$O$4="FO",'2026'!$O$2=AG423),'2026DATA'!$D$32,"")</f>
        <v/>
      </c>
      <c r="AH453" s="518" t="str">
        <f>IF(AND(_2="A-319",'2026'!$O$4="FO",'2026'!$O$2=AH423),'2026DATA'!$E$32,"")</f>
        <v/>
      </c>
      <c r="AI453" s="518" t="str">
        <f>IF(AND(_2="A-319",'2026'!$O$4="FO",'2026'!$O$2=AI423),'2026DATA'!$F$32,"")</f>
        <v/>
      </c>
      <c r="AJ453" s="518" t="str">
        <f>IF(AND(_2="A-319",'2026'!$O$4="FO",'2026'!$O$2=AJ423),'2026DATA'!$G$32,"")</f>
        <v/>
      </c>
      <c r="AK453" s="518" t="str">
        <f>IF(AND(_2="A-319",'2026'!$O$4="FO",'2026'!$O$2=AK423),'2026DATA'!$H$32,"")</f>
        <v/>
      </c>
      <c r="AL453" s="518" t="str">
        <f>IF(AND(_2="A-319",'2026'!$O$4="FO",'2026'!$O$2=AL423),'2026DATA'!$I$32,"")</f>
        <v/>
      </c>
      <c r="AM453" s="518" t="str">
        <f>IF(AND(_2="A-319",'2026'!$O$4="FO",'2026'!$O$2=AM423),'2026DATA'!$J$32,"")</f>
        <v/>
      </c>
      <c r="AN453" s="518" t="str">
        <f>IF(AND(_2="A-319",'2026'!$O$4="FO",'2026'!$O$2=AN423),'2026DATA'!$K$32,"")</f>
        <v/>
      </c>
      <c r="AO453" s="518" t="str">
        <f>IF(AND(_2="A-319",'2026'!$O$4="FO",'2026'!$O$2=AO423),'2026DATA'!$L$32,"")</f>
        <v/>
      </c>
      <c r="AP453" s="518" t="str">
        <f>IF(AND(_2="A-319",'2026'!$O$4="FO",'2026'!$O$2=AP423),'2026DATA'!$M$32,"")</f>
        <v/>
      </c>
      <c r="AQ453" s="520" t="str">
        <f>IF(AND(_2="A-319",'2026'!$O$4="FO",'2026'!$O$2=AQ423),'2026DATA'!$N$32,"")</f>
        <v/>
      </c>
      <c r="AR453" s="940"/>
      <c r="AS453" s="13" t="s">
        <v>62</v>
      </c>
      <c r="AT453" s="518" t="str">
        <f>IF(AND(_3="A-319",'2026'!$O$4="FO",'2026'!$O$2=AT423),'2026DATA'!$C$32,"")</f>
        <v/>
      </c>
      <c r="AU453" s="518" t="str">
        <f>IF(AND(_3="A-319",'2026'!$O$4="FO",'2026'!$O$2=AU423),'2026DATA'!$D$32,"")</f>
        <v/>
      </c>
      <c r="AV453" s="518" t="str">
        <f>IF(AND(_3="A-319",'2026'!$O$4="FO",'2026'!$O$2=AV423),'2026DATA'!$E$32,"")</f>
        <v/>
      </c>
      <c r="AW453" s="518" t="str">
        <f>IF(AND(_3="A-319",'2026'!$O$4="FO",'2026'!$O$2=AW423),'2026DATA'!$F$32,"")</f>
        <v/>
      </c>
      <c r="AX453" s="518" t="str">
        <f>IF(AND(_3="A-319",'2026'!$O$4="FO",'2026'!$O$2=AX423),'2026DATA'!$G$32,"")</f>
        <v/>
      </c>
      <c r="AY453" s="518" t="str">
        <f>IF(AND(_3="A-319",'2026'!$O$4="FO",'2026'!$O$2=AY423),'2026DATA'!$H$32,"")</f>
        <v/>
      </c>
      <c r="AZ453" s="518" t="str">
        <f>IF(AND(_3="A-319",'2026'!$O$4="FO",'2026'!$O$2=AZ423),'2026DATA'!$I$32,"")</f>
        <v/>
      </c>
      <c r="BA453" s="518" t="str">
        <f>IF(AND(_3="A-319",'2026'!$O$4="FO",'2026'!$O$2=BA423),'2026DATA'!$J$32,"")</f>
        <v/>
      </c>
      <c r="BB453" s="518" t="str">
        <f>IF(AND(_3="A-319",'2026'!$O$4="FO",'2026'!$O$2=BB423),'2026DATA'!$K$32,"")</f>
        <v/>
      </c>
      <c r="BC453" s="518" t="str">
        <f>IF(AND(_3="A-319",'2026'!$O$4="FO",'2026'!$O$2=BC423),'2026DATA'!$L$32,"")</f>
        <v/>
      </c>
      <c r="BD453" s="518" t="str">
        <f>IF(AND(_3="A-319",'2026'!$O$4="FO",'2026'!$O$2=BD423),'2026DATA'!$M$32,"")</f>
        <v/>
      </c>
      <c r="BE453" s="520" t="str">
        <f>IF(AND(_3="A-319",'2026'!$O$4="FO",'2026'!$O$2=BE423),'2026DATA'!$N$32,"")</f>
        <v/>
      </c>
      <c r="BF453" s="940"/>
      <c r="BG453" s="13" t="s">
        <v>62</v>
      </c>
      <c r="BH453" s="518" t="str">
        <f>IF(AND(_4="A-319",'2026'!$O$4="FO",'2026'!$O$2=BH423),'2026DATA'!$C$32,"")</f>
        <v/>
      </c>
      <c r="BI453" s="518" t="str">
        <f>IF(AND(_4="A-319",'2026'!$O$4="FO",'2026'!$O$2=BI423),'2026DATA'!$D$32,"")</f>
        <v/>
      </c>
      <c r="BJ453" s="518" t="str">
        <f>IF(AND(_4="A-319",'2026'!$O$4="FO",'2026'!$O$2=BJ423),'2026DATA'!$E$32,"")</f>
        <v/>
      </c>
      <c r="BK453" s="518" t="str">
        <f>IF(AND(_4="A-319",'2026'!$O$4="FO",'2026'!$O$2=BK423),'2026DATA'!$F$32,"")</f>
        <v/>
      </c>
      <c r="BL453" s="518" t="str">
        <f>IF(AND(_4="A-319",'2026'!$O$4="FO",'2026'!$O$2=BL423),'2026DATA'!$G$32,"")</f>
        <v/>
      </c>
      <c r="BM453" s="518" t="str">
        <f>IF(AND(_4="A-319",'2026'!$O$4="FO",'2026'!$O$2=BM423),'2026DATA'!$H$32,"")</f>
        <v/>
      </c>
      <c r="BN453" s="518" t="str">
        <f>IF(AND(_4="A-319",'2026'!$O$4="FO",'2026'!$O$2=BN423),'2026DATA'!$I$32,"")</f>
        <v/>
      </c>
      <c r="BO453" s="518" t="str">
        <f>IF(AND(_4="A-319",'2026'!$O$4="FO",'2026'!$O$2=BO423),'2026DATA'!$J$32,"")</f>
        <v/>
      </c>
      <c r="BP453" s="518" t="str">
        <f>IF(AND(_4="A-319",'2026'!$O$4="FO",'2026'!$O$2=BP423),'2026DATA'!$K$32,"")</f>
        <v/>
      </c>
      <c r="BQ453" s="518" t="str">
        <f>IF(AND(_4="A-319",'2026'!$O$4="FO",'2026'!$O$2=BQ423),'2026DATA'!$L$32,"")</f>
        <v/>
      </c>
      <c r="BR453" s="518" t="str">
        <f>IF(AND(_4="A-319",'2026'!$O$4="FO",'2026'!$O$2=BR423),'2026DATA'!$M$32,"")</f>
        <v/>
      </c>
      <c r="BS453" s="520" t="str">
        <f>IF(AND(_4="A-319",'2026'!$O$4="FO",'2026'!$O$2=BS423),'2026DATA'!$N$32,"")</f>
        <v/>
      </c>
      <c r="BT453" s="940"/>
      <c r="BU453" s="13" t="s">
        <v>62</v>
      </c>
      <c r="BV453" s="518" t="str">
        <f>IF(AND(_5="A-319",'2026'!$O$4="FO",'2026'!$O$2=BV423),'2026DATA'!$C$32,"")</f>
        <v/>
      </c>
      <c r="BW453" s="518" t="str">
        <f>IF(AND(_5="A-319",'2026'!$O$4="FO",'2026'!$O$2=BW423),'2026DATA'!$D$32,"")</f>
        <v/>
      </c>
      <c r="BX453" s="518" t="str">
        <f>IF(AND(_5="A-319",'2026'!$O$4="FO",'2026'!$O$2=BX423),'2026DATA'!$E$32,"")</f>
        <v/>
      </c>
      <c r="BY453" s="518" t="str">
        <f>IF(AND(_5="A-319",'2026'!$O$4="FO",'2026'!$O$2=BY423),'2026DATA'!$F$32,"")</f>
        <v/>
      </c>
      <c r="BZ453" s="518" t="str">
        <f>IF(AND(_5="A-319",'2026'!$O$4="FO",'2026'!$O$2=BZ423),'2026DATA'!$G$32,"")</f>
        <v/>
      </c>
      <c r="CA453" s="518" t="str">
        <f>IF(AND(_5="A-319",'2026'!$O$4="FO",'2026'!$O$2=CA423),'2026DATA'!$H$32,"")</f>
        <v/>
      </c>
      <c r="CB453" s="518" t="str">
        <f>IF(AND(_5="A-319",'2026'!$O$4="FO",'2026'!$O$2=CB423),'2026DATA'!$I$32,"")</f>
        <v/>
      </c>
      <c r="CC453" s="518" t="str">
        <f>IF(AND(_5="A-319",'2026'!$O$4="FO",'2026'!$O$2=CC423),'2026DATA'!$J$32,"")</f>
        <v/>
      </c>
      <c r="CD453" s="518" t="str">
        <f>IF(AND(_5="A-319",'2026'!$O$4="FO",'2026'!$O$2=CD423),'2026DATA'!$K$32,"")</f>
        <v/>
      </c>
      <c r="CE453" s="518" t="str">
        <f>IF(AND(_5="A-319",'2026'!$O$4="FO",'2026'!$O$2=CE423),'2026DATA'!$L$32,"")</f>
        <v/>
      </c>
      <c r="CF453" s="518" t="str">
        <f>IF(AND(_5="A-319",'2026'!$O$4="FO",'2026'!$O$2=CF423),'2026DATA'!$M$32,"")</f>
        <v/>
      </c>
      <c r="CG453" s="520" t="str">
        <f>IF(AND(_5="A-319",'2026'!$O$4="FO",'2026'!$O$2=CG423),'2026DATA'!$N$32,"")</f>
        <v/>
      </c>
      <c r="CH453" s="940"/>
      <c r="CI453" s="13" t="s">
        <v>62</v>
      </c>
      <c r="CJ453" s="518" t="str">
        <f>IF(AND(_6="A-319",'2026'!$O$4="FO",'2026'!$O$2=CJ423),'2026DATA'!$C$32,"")</f>
        <v/>
      </c>
      <c r="CK453" s="518" t="str">
        <f>IF(AND(_6="A-319",'2026'!$O$4="FO",'2026'!$O$2=CK423),'2026DATA'!$D$32,"")</f>
        <v/>
      </c>
      <c r="CL453" s="518" t="str">
        <f>IF(AND(_6="A-319",'2026'!$O$4="FO",'2026'!$O$2=CL423),'2026DATA'!$E$32,"")</f>
        <v/>
      </c>
      <c r="CM453" s="518" t="str">
        <f>IF(AND(_6="A-319",'2026'!$O$4="FO",'2026'!$O$2=CM423),'2026DATA'!$F$32,"")</f>
        <v/>
      </c>
      <c r="CN453" s="518" t="str">
        <f>IF(AND(_6="A-319",'2026'!$O$4="FO",'2026'!$O$2=CN423),'2026DATA'!$G$32,"")</f>
        <v/>
      </c>
      <c r="CO453" s="518" t="str">
        <f>IF(AND(_6="A-319",'2026'!$O$4="FO",'2026'!$O$2=CO423),'2026DATA'!$H$32,"")</f>
        <v/>
      </c>
      <c r="CP453" s="518" t="str">
        <f>IF(AND(_6="A-319",'2026'!$O$4="FO",'2026'!$O$2=CP423),'2026DATA'!$I$32,"")</f>
        <v/>
      </c>
      <c r="CQ453" s="518" t="str">
        <f>IF(AND(_6="A-319",'2026'!$O$4="FO",'2026'!$O$2=CQ423),'2026DATA'!$J$32,"")</f>
        <v/>
      </c>
      <c r="CR453" s="518" t="str">
        <f>IF(AND(_6="A-319",'2026'!$O$4="FO",'2026'!$O$2=CR423),'2026DATA'!$K$32,"")</f>
        <v/>
      </c>
      <c r="CS453" s="518" t="str">
        <f>IF(AND(_6="A-319",'2026'!$O$4="FO",'2026'!$O$2=CS423),'2026DATA'!$L$32,"")</f>
        <v/>
      </c>
      <c r="CT453" s="518" t="str">
        <f>IF(AND(_6="A-319",'2026'!$O$4="FO",'2026'!$O$2=CT423),'2026DATA'!$M$32,"")</f>
        <v/>
      </c>
      <c r="CU453" s="520" t="str">
        <f>IF(AND(_6="A-319",'2026'!$O$4="FO",'2026'!$O$2=CU423),'2026DATA'!$N$32,"")</f>
        <v/>
      </c>
    </row>
    <row r="454" spans="16:99" x14ac:dyDescent="0.25">
      <c r="P454" s="940" t="s">
        <v>51</v>
      </c>
      <c r="Q454" s="13" t="s">
        <v>61</v>
      </c>
      <c r="R454" s="518" t="str">
        <f>IF(AND(_1="A-220-300",'2026'!$O$4="CA",'2026'!$O$2=R423),'2026DATA'!$C$33,"")</f>
        <v/>
      </c>
      <c r="S454" s="518" t="str">
        <f>IF(AND(_1="A-220-300",'2026'!$O$4="CA",'2026'!$O$2=S423),'2026DATA'!$D$33,"")</f>
        <v/>
      </c>
      <c r="T454" s="518" t="str">
        <f>IF(AND(_1="A-220-300",'2026'!$O$4="CA",'2026'!$O$2=T423),'2026DATA'!$E$33,"")</f>
        <v/>
      </c>
      <c r="U454" s="518" t="str">
        <f>IF(AND(_1="A-220-300",'2026'!$O$4="CA",'2026'!$O$2=U423),'2026DATA'!$F$33,"")</f>
        <v/>
      </c>
      <c r="V454" s="518" t="str">
        <f>IF(AND(_1="A-220-300",'2026'!$O$4="CA",'2026'!$O$2=V423),'2026DATA'!$G$33,"")</f>
        <v/>
      </c>
      <c r="W454" s="518" t="str">
        <f>IF(AND(_1="A-220-300",'2026'!$O$4="CA",'2026'!$O$2=W423),'2026DATA'!$H$33,"")</f>
        <v/>
      </c>
      <c r="X454" s="518" t="str">
        <f>IF(AND(_1="A-220-300",'2026'!$O$4="CA",'2026'!$O$2=X423),'2026DATA'!$I$33,"")</f>
        <v/>
      </c>
      <c r="Y454" s="518" t="str">
        <f>IF(AND(_1="A-220-300",'2026'!$O$4="CA",'2026'!$O$2=Y423),'2026DATA'!$J$33,"")</f>
        <v/>
      </c>
      <c r="Z454" s="518" t="str">
        <f>IF(AND(_1="A-220-300",'2026'!$O$4="CA",'2026'!$O$2=Z423),'2026DATA'!$K$33,"")</f>
        <v/>
      </c>
      <c r="AA454" s="518" t="str">
        <f>IF(AND(_1="A-220-300",'2026'!$O$4="CA",'2026'!$O$2=AA423),'2026DATA'!$L$33,"")</f>
        <v/>
      </c>
      <c r="AB454" s="518" t="str">
        <f>IF(AND(_1="A-220-300",'2026'!$O$4="CA",'2026'!$O$2=AB423),'2026DATA'!$M$33,"")</f>
        <v/>
      </c>
      <c r="AC454" s="520" t="str">
        <f>IF(AND(_1="A-220-300",'2026'!$O$4="CA",'2026'!$O$2=AC423),'2026DATA'!$N$33,"")</f>
        <v/>
      </c>
      <c r="AD454" s="940" t="s">
        <v>51</v>
      </c>
      <c r="AE454" s="13" t="s">
        <v>61</v>
      </c>
      <c r="AF454" s="518" t="str">
        <f>IF(AND(_2="A-220-300",'2026'!$O$4="CA",'2026'!$O$2=AF423),'2026DATA'!$C$33,"")</f>
        <v/>
      </c>
      <c r="AG454" s="518" t="str">
        <f>IF(AND(_2="A-220-300",'2026'!$O$4="CA",'2026'!$O$2=AG423),'2026DATA'!$D$33,"")</f>
        <v/>
      </c>
      <c r="AH454" s="518" t="str">
        <f>IF(AND(_2="A-220-300",'2026'!$O$4="CA",'2026'!$O$2=AH423),'2026DATA'!$E$33,"")</f>
        <v/>
      </c>
      <c r="AI454" s="518" t="str">
        <f>IF(AND(_2="A-220-300",'2026'!$O$4="CA",'2026'!$O$2=AI423),'2026DATA'!$F$33,"")</f>
        <v/>
      </c>
      <c r="AJ454" s="518" t="str">
        <f>IF(AND(_2="A-220-300",'2026'!$O$4="CA",'2026'!$O$2=AJ423),'2026DATA'!$G$33,"")</f>
        <v/>
      </c>
      <c r="AK454" s="518" t="str">
        <f>IF(AND(_2="A-220-300",'2026'!$O$4="CA",'2026'!$O$2=AK423),'2026DATA'!$H$33,"")</f>
        <v/>
      </c>
      <c r="AL454" s="518" t="str">
        <f>IF(AND(_2="A-220-300",'2026'!$O$4="CA",'2026'!$O$2=AL423),'2026DATA'!$I$33,"")</f>
        <v/>
      </c>
      <c r="AM454" s="518" t="str">
        <f>IF(AND(_2="A-220-300",'2026'!$O$4="CA",'2026'!$O$2=AM423),'2026DATA'!$J$33,"")</f>
        <v/>
      </c>
      <c r="AN454" s="518" t="str">
        <f>IF(AND(_2="A-220-300",'2026'!$O$4="CA",'2026'!$O$2=AN423),'2026DATA'!$K$33,"")</f>
        <v/>
      </c>
      <c r="AO454" s="518" t="str">
        <f>IF(AND(_2="A-220-300",'2026'!$O$4="CA",'2026'!$O$2=AO423),'2026DATA'!$L$33,"")</f>
        <v/>
      </c>
      <c r="AP454" s="518" t="str">
        <f>IF(AND(_2="A-220-300",'2026'!$O$4="CA",'2026'!$O$2=AP423),'2026DATA'!$M$33,"")</f>
        <v/>
      </c>
      <c r="AQ454" s="520" t="str">
        <f>IF(AND(_2="A-220-300",'2026'!$O$4="CA",'2026'!$O$2=AQ423),'2026DATA'!$N$33,"")</f>
        <v/>
      </c>
      <c r="AR454" s="940" t="s">
        <v>51</v>
      </c>
      <c r="AS454" s="13" t="s">
        <v>61</v>
      </c>
      <c r="AT454" s="518" t="str">
        <f>IF(AND(_3="A-220-300",'2026'!$O$4="CA",'2026'!$O$2=AT423),'2026DATA'!$C$33,"")</f>
        <v/>
      </c>
      <c r="AU454" s="518" t="str">
        <f>IF(AND(_3="A-220-300",'2026'!$O$4="CA",'2026'!$O$2=AU423),'2026DATA'!$D$33,"")</f>
        <v/>
      </c>
      <c r="AV454" s="518" t="str">
        <f>IF(AND(_3="A-220-300",'2026'!$O$4="CA",'2026'!$O$2=AV423),'2026DATA'!$E$33,"")</f>
        <v/>
      </c>
      <c r="AW454" s="518" t="str">
        <f>IF(AND(_3="A-220-300",'2026'!$O$4="CA",'2026'!$O$2=AW423),'2026DATA'!$F$33,"")</f>
        <v/>
      </c>
      <c r="AX454" s="518" t="str">
        <f>IF(AND(_3="A-220-300",'2026'!$O$4="CA",'2026'!$O$2=AX423),'2026DATA'!$G$33,"")</f>
        <v/>
      </c>
      <c r="AY454" s="518" t="str">
        <f>IF(AND(_3="A-220-300",'2026'!$O$4="CA",'2026'!$O$2=AY423),'2026DATA'!$H$33,"")</f>
        <v/>
      </c>
      <c r="AZ454" s="518" t="str">
        <f>IF(AND(_3="A-220-300",'2026'!$O$4="CA",'2026'!$O$2=AZ423),'2026DATA'!$I$33,"")</f>
        <v/>
      </c>
      <c r="BA454" s="518" t="str">
        <f>IF(AND(_3="A-220-300",'2026'!$O$4="CA",'2026'!$O$2=BA423),'2026DATA'!$J$33,"")</f>
        <v/>
      </c>
      <c r="BB454" s="518" t="str">
        <f>IF(AND(_3="A-220-300",'2026'!$O$4="CA",'2026'!$O$2=BB423),'2026DATA'!$K$33,"")</f>
        <v/>
      </c>
      <c r="BC454" s="518" t="str">
        <f>IF(AND(_3="A-220-300",'2026'!$O$4="CA",'2026'!$O$2=BC423),'2026DATA'!$L$33,"")</f>
        <v/>
      </c>
      <c r="BD454" s="518" t="str">
        <f>IF(AND(_3="A-220-300",'2026'!$O$4="CA",'2026'!$O$2=BD423),'2026DATA'!$M$33,"")</f>
        <v/>
      </c>
      <c r="BE454" s="520" t="str">
        <f>IF(AND(_3="A-220-300",'2026'!$O$4="CA",'2026'!$O$2=BE423),'2026DATA'!$N$33,"")</f>
        <v/>
      </c>
      <c r="BF454" s="940" t="s">
        <v>51</v>
      </c>
      <c r="BG454" s="13" t="s">
        <v>61</v>
      </c>
      <c r="BH454" s="518" t="str">
        <f>IF(AND(_4="A-220-300",'2026'!$O$4="CA",'2026'!$O$2=BH423),'2026DATA'!$C$33,"")</f>
        <v/>
      </c>
      <c r="BI454" s="518" t="str">
        <f>IF(AND(_4="A-220-300",'2026'!$O$4="CA",'2026'!$O$2=BI423),'2026DATA'!$D$33,"")</f>
        <v/>
      </c>
      <c r="BJ454" s="518" t="str">
        <f>IF(AND(_4="A-220-300",'2026'!$O$4="CA",'2026'!$O$2=BJ423),'2026DATA'!$E$33,"")</f>
        <v/>
      </c>
      <c r="BK454" s="518" t="str">
        <f>IF(AND(_4="A-220-300",'2026'!$O$4="CA",'2026'!$O$2=BK423),'2026DATA'!$F$33,"")</f>
        <v/>
      </c>
      <c r="BL454" s="518" t="str">
        <f>IF(AND(_4="A-220-300",'2026'!$O$4="CA",'2026'!$O$2=BL423),'2026DATA'!$G$33,"")</f>
        <v/>
      </c>
      <c r="BM454" s="518" t="str">
        <f>IF(AND(_4="A-220-300",'2026'!$O$4="CA",'2026'!$O$2=BM423),'2026DATA'!$H$33,"")</f>
        <v/>
      </c>
      <c r="BN454" s="518" t="str">
        <f>IF(AND(_4="A-220-300",'2026'!$O$4="CA",'2026'!$O$2=BN423),'2026DATA'!$I$33,"")</f>
        <v/>
      </c>
      <c r="BO454" s="518" t="str">
        <f>IF(AND(_4="A-220-300",'2026'!$O$4="CA",'2026'!$O$2=BO423),'2026DATA'!$J$33,"")</f>
        <v/>
      </c>
      <c r="BP454" s="518" t="str">
        <f>IF(AND(_4="A-220-300",'2026'!$O$4="CA",'2026'!$O$2=BP423),'2026DATA'!$K$33,"")</f>
        <v/>
      </c>
      <c r="BQ454" s="518" t="str">
        <f>IF(AND(_4="A-220-300",'2026'!$O$4="CA",'2026'!$O$2=BQ423),'2026DATA'!$L$33,"")</f>
        <v/>
      </c>
      <c r="BR454" s="518" t="str">
        <f>IF(AND(_4="A-220-300",'2026'!$O$4="CA",'2026'!$O$2=BR423),'2026DATA'!$M$33,"")</f>
        <v/>
      </c>
      <c r="BS454" s="520" t="str">
        <f>IF(AND(_4="A-220-300",'2026'!$O$4="CA",'2026'!$O$2=BS423),'2026DATA'!$N$33,"")</f>
        <v/>
      </c>
      <c r="BT454" s="940" t="s">
        <v>51</v>
      </c>
      <c r="BU454" s="13" t="s">
        <v>61</v>
      </c>
      <c r="BV454" s="518" t="str">
        <f>IF(AND(_5="A-220-300",'2026'!$O$4="CA",'2026'!$O$2=BV423),'2026DATA'!$C$33,"")</f>
        <v/>
      </c>
      <c r="BW454" s="518" t="str">
        <f>IF(AND(_5="A-220-300",'2026'!$O$4="CA",'2026'!$O$2=BW423),'2026DATA'!$D$33,"")</f>
        <v/>
      </c>
      <c r="BX454" s="518" t="str">
        <f>IF(AND(_5="A-220-300",'2026'!$O$4="CA",'2026'!$O$2=BX423),'2026DATA'!$E$33,"")</f>
        <v/>
      </c>
      <c r="BY454" s="518" t="str">
        <f>IF(AND(_5="A-220-300",'2026'!$O$4="CA",'2026'!$O$2=BY423),'2026DATA'!$F$33,"")</f>
        <v/>
      </c>
      <c r="BZ454" s="518" t="str">
        <f>IF(AND(_5="A-220-300",'2026'!$O$4="CA",'2026'!$O$2=BZ423),'2026DATA'!$G$33,"")</f>
        <v/>
      </c>
      <c r="CA454" s="518" t="str">
        <f>IF(AND(_5="A-220-300",'2026'!$O$4="CA",'2026'!$O$2=CA423),'2026DATA'!$H$33,"")</f>
        <v/>
      </c>
      <c r="CB454" s="518" t="str">
        <f>IF(AND(_5="A-220-300",'2026'!$O$4="CA",'2026'!$O$2=CB423),'2026DATA'!$I$33,"")</f>
        <v/>
      </c>
      <c r="CC454" s="518" t="str">
        <f>IF(AND(_5="A-220-300",'2026'!$O$4="CA",'2026'!$O$2=CC423),'2026DATA'!$J$33,"")</f>
        <v/>
      </c>
      <c r="CD454" s="518" t="str">
        <f>IF(AND(_5="A-220-300",'2026'!$O$4="CA",'2026'!$O$2=CD423),'2026DATA'!$K$33,"")</f>
        <v/>
      </c>
      <c r="CE454" s="518" t="str">
        <f>IF(AND(_5="A-220-300",'2026'!$O$4="CA",'2026'!$O$2=CE423),'2026DATA'!$L$33,"")</f>
        <v/>
      </c>
      <c r="CF454" s="518" t="str">
        <f>IF(AND(_5="A-220-300",'2026'!$O$4="CA",'2026'!$O$2=CF423),'2026DATA'!$M$33,"")</f>
        <v/>
      </c>
      <c r="CG454" s="520" t="str">
        <f>IF(AND(_5="A-220-300",'2026'!$O$4="CA",'2026'!$O$2=CG423),'2026DATA'!$N$33,"")</f>
        <v/>
      </c>
      <c r="CH454" s="940" t="s">
        <v>51</v>
      </c>
      <c r="CI454" s="13" t="s">
        <v>61</v>
      </c>
      <c r="CJ454" s="518" t="str">
        <f>IF(AND(_6="A-220-300",'2026'!$O$4="CA",'2026'!$O$2=CJ423),'2026DATA'!$C$33,"")</f>
        <v/>
      </c>
      <c r="CK454" s="518" t="str">
        <f>IF(AND(_6="A-220-300",'2026'!$O$4="CA",'2026'!$O$2=CK423),'2026DATA'!$D$33,"")</f>
        <v/>
      </c>
      <c r="CL454" s="518" t="str">
        <f>IF(AND(_6="A-220-300",'2026'!$O$4="CA",'2026'!$O$2=CL423),'2026DATA'!$E$33,"")</f>
        <v/>
      </c>
      <c r="CM454" s="518" t="str">
        <f>IF(AND(_6="A-220-300",'2026'!$O$4="CA",'2026'!$O$2=CM423),'2026DATA'!$F$33,"")</f>
        <v/>
      </c>
      <c r="CN454" s="518" t="str">
        <f>IF(AND(_6="A-220-300",'2026'!$O$4="CA",'2026'!$O$2=CN423),'2026DATA'!$G$33,"")</f>
        <v/>
      </c>
      <c r="CO454" s="518" t="str">
        <f>IF(AND(_6="A-220-300",'2026'!$O$4="CA",'2026'!$O$2=CO423),'2026DATA'!$H$33,"")</f>
        <v/>
      </c>
      <c r="CP454" s="518" t="str">
        <f>IF(AND(_6="A-220-300",'2026'!$O$4="CA",'2026'!$O$2=CP423),'2026DATA'!$I$33,"")</f>
        <v/>
      </c>
      <c r="CQ454" s="518" t="str">
        <f>IF(AND(_6="A-220-300",'2026'!$O$4="CA",'2026'!$O$2=CQ423),'2026DATA'!$J$33,"")</f>
        <v/>
      </c>
      <c r="CR454" s="518" t="str">
        <f>IF(AND(_6="A-220-300",'2026'!$O$4="CA",'2026'!$O$2=CR423),'2026DATA'!$K$33,"")</f>
        <v/>
      </c>
      <c r="CS454" s="518" t="str">
        <f>IF(AND(_6="A-220-300",'2026'!$O$4="CA",'2026'!$O$2=CS423),'2026DATA'!$L$33,"")</f>
        <v/>
      </c>
      <c r="CT454" s="518" t="str">
        <f>IF(AND(_6="A-220-300",'2026'!$O$4="CA",'2026'!$O$2=CT423),'2026DATA'!$M$33,"")</f>
        <v/>
      </c>
      <c r="CU454" s="520" t="str">
        <f>IF(AND(_6="A-220-300",'2026'!$O$4="CA",'2026'!$O$2=CU423),'2026DATA'!$N$33,"")</f>
        <v/>
      </c>
    </row>
    <row r="455" spans="16:99" x14ac:dyDescent="0.25">
      <c r="P455" s="940"/>
      <c r="Q455" s="13" t="s">
        <v>62</v>
      </c>
      <c r="R455" s="518" t="str">
        <f>IF(AND(_1="A-220-300",'2026'!$O$4="FO",'2026'!$O$2=R423),'2026DATA'!$C$34,"")</f>
        <v/>
      </c>
      <c r="S455" s="518" t="str">
        <f>IF(AND(_1="A-220-300",'2026'!$O$4="FO",'2026'!$O$2=S423),'2026DATA'!$D$34,"")</f>
        <v/>
      </c>
      <c r="T455" s="518" t="str">
        <f>IF(AND(_1="A-220-300",'2026'!$O$4="FO",'2026'!$O$2=T423),'2026DATA'!$E$34,"")</f>
        <v/>
      </c>
      <c r="U455" s="518" t="str">
        <f>IF(AND(_1="A-220-300",'2026'!$O$4="FO",'2026'!$O$2=U423),'2026DATA'!$F$34,"")</f>
        <v/>
      </c>
      <c r="V455" s="518" t="str">
        <f>IF(AND(_1="A-220-300",'2026'!$O$4="FO",'2026'!$O$2=V423),'2026DATA'!$G$34,"")</f>
        <v/>
      </c>
      <c r="W455" s="518" t="str">
        <f>IF(AND(_1="A-220-300",'2026'!$O$4="FO",'2026'!$O$2=W423),'2026DATA'!$H$34,"")</f>
        <v/>
      </c>
      <c r="X455" s="518" t="str">
        <f>IF(AND(_1="A-220-300",'2026'!$O$4="FO",'2026'!$O$2=X423),'2026DATA'!$I$34,"")</f>
        <v/>
      </c>
      <c r="Y455" s="518" t="str">
        <f>IF(AND(_1="A-220-300",'2026'!$O$4="FO",'2026'!$O$2=Y423),'2026DATA'!$J$34,"")</f>
        <v/>
      </c>
      <c r="Z455" s="518" t="str">
        <f>IF(AND(_1="A-220-300",'2026'!$O$4="FO",'2026'!$O$2=Z423),'2026DATA'!$K$34,"")</f>
        <v/>
      </c>
      <c r="AA455" s="518" t="str">
        <f>IF(AND(_1="A-220-300",'2026'!$O$4="FO",'2026'!$O$2=AA423),'2026DATA'!$L$34,"")</f>
        <v/>
      </c>
      <c r="AB455" s="518" t="str">
        <f>IF(AND(_1="A-220-300",'2026'!$O$4="FO",'2026'!$O$2=AB423),'2026DATA'!$M$34,"")</f>
        <v/>
      </c>
      <c r="AC455" s="520" t="str">
        <f>IF(AND(_1="A-220-300",'2026'!$O$4="FO",'2026'!$O$2=AC423),'2026DATA'!$N$34,"")</f>
        <v/>
      </c>
      <c r="AD455" s="940"/>
      <c r="AE455" s="13" t="s">
        <v>62</v>
      </c>
      <c r="AF455" s="518" t="str">
        <f>IF(AND(_2="A-220-300",'2026'!$O$4="FO",'2026'!$O$2=AF423),'2026DATA'!$C$34,"")</f>
        <v/>
      </c>
      <c r="AG455" s="518" t="str">
        <f>IF(AND(_2="A-220-300",'2026'!$O$4="FO",'2026'!$O$2=AG423),'2026DATA'!$D$34,"")</f>
        <v/>
      </c>
      <c r="AH455" s="518" t="str">
        <f>IF(AND(_2="A-220-300",'2026'!$O$4="FO",'2026'!$O$2=AH423),'2026DATA'!$E$34,"")</f>
        <v/>
      </c>
      <c r="AI455" s="518" t="str">
        <f>IF(AND(_2="A-220-300",'2026'!$O$4="FO",'2026'!$O$2=AI423),'2026DATA'!$F$34,"")</f>
        <v/>
      </c>
      <c r="AJ455" s="518" t="str">
        <f>IF(AND(_2="A-220-300",'2026'!$O$4="FO",'2026'!$O$2=AJ423),'2026DATA'!$G$34,"")</f>
        <v/>
      </c>
      <c r="AK455" s="518" t="str">
        <f>IF(AND(_2="A-220-300",'2026'!$O$4="FO",'2026'!$O$2=AK423),'2026DATA'!$H$34,"")</f>
        <v/>
      </c>
      <c r="AL455" s="518" t="str">
        <f>IF(AND(_2="A-220-300",'2026'!$O$4="FO",'2026'!$O$2=AL423),'2026DATA'!$I$34,"")</f>
        <v/>
      </c>
      <c r="AM455" s="518" t="str">
        <f>IF(AND(_2="A-220-300",'2026'!$O$4="FO",'2026'!$O$2=AM423),'2026DATA'!$J$34,"")</f>
        <v/>
      </c>
      <c r="AN455" s="518" t="str">
        <f>IF(AND(_2="A-220-300",'2026'!$O$4="FO",'2026'!$O$2=AN423),'2026DATA'!$K$34,"")</f>
        <v/>
      </c>
      <c r="AO455" s="518" t="str">
        <f>IF(AND(_2="A-220-300",'2026'!$O$4="FO",'2026'!$O$2=AO423),'2026DATA'!$L$34,"")</f>
        <v/>
      </c>
      <c r="AP455" s="518" t="str">
        <f>IF(AND(_2="A-220-300",'2026'!$O$4="FO",'2026'!$O$2=AP423),'2026DATA'!$M$34,"")</f>
        <v/>
      </c>
      <c r="AQ455" s="520" t="str">
        <f>IF(AND(_2="A-220-300",'2026'!$O$4="FO",'2026'!$O$2=AQ423),'2026DATA'!$N$34,"")</f>
        <v/>
      </c>
      <c r="AR455" s="940"/>
      <c r="AS455" s="13" t="s">
        <v>62</v>
      </c>
      <c r="AT455" s="518" t="str">
        <f>IF(AND(_3="A-220-300",'2026'!$O$4="FO",'2026'!$O$2=AT423),'2026DATA'!$C$34,"")</f>
        <v/>
      </c>
      <c r="AU455" s="518" t="str">
        <f>IF(AND(_3="A-220-300",'2026'!$O$4="FO",'2026'!$O$2=AU423),'2026DATA'!$D$34,"")</f>
        <v/>
      </c>
      <c r="AV455" s="518" t="str">
        <f>IF(AND(_3="A-220-300",'2026'!$O$4="FO",'2026'!$O$2=AV423),'2026DATA'!$E$34,"")</f>
        <v/>
      </c>
      <c r="AW455" s="518" t="str">
        <f>IF(AND(_3="A-220-300",'2026'!$O$4="FO",'2026'!$O$2=AW423),'2026DATA'!$F$34,"")</f>
        <v/>
      </c>
      <c r="AX455" s="518" t="str">
        <f>IF(AND(_3="A-220-300",'2026'!$O$4="FO",'2026'!$O$2=AX423),'2026DATA'!$G$34,"")</f>
        <v/>
      </c>
      <c r="AY455" s="518" t="str">
        <f>IF(AND(_3="A-220-300",'2026'!$O$4="FO",'2026'!$O$2=AY423),'2026DATA'!$H$34,"")</f>
        <v/>
      </c>
      <c r="AZ455" s="518" t="str">
        <f>IF(AND(_3="A-220-300",'2026'!$O$4="FO",'2026'!$O$2=AZ423),'2026DATA'!$I$34,"")</f>
        <v/>
      </c>
      <c r="BA455" s="518" t="str">
        <f>IF(AND(_3="A-220-300",'2026'!$O$4="FO",'2026'!$O$2=BA423),'2026DATA'!$J$34,"")</f>
        <v/>
      </c>
      <c r="BB455" s="518" t="str">
        <f>IF(AND(_3="A-220-300",'2026'!$O$4="FO",'2026'!$O$2=BB423),'2026DATA'!$K$34,"")</f>
        <v/>
      </c>
      <c r="BC455" s="518" t="str">
        <f>IF(AND(_3="A-220-300",'2026'!$O$4="FO",'2026'!$O$2=BC423),'2026DATA'!$L$34,"")</f>
        <v/>
      </c>
      <c r="BD455" s="518" t="str">
        <f>IF(AND(_3="A-220-300",'2026'!$O$4="FO",'2026'!$O$2=BD423),'2026DATA'!$M$34,"")</f>
        <v/>
      </c>
      <c r="BE455" s="520" t="str">
        <f>IF(AND(_3="A-220-300",'2026'!$O$4="FO",'2026'!$O$2=BE423),'2026DATA'!$N$34,"")</f>
        <v/>
      </c>
      <c r="BF455" s="940"/>
      <c r="BG455" s="13" t="s">
        <v>62</v>
      </c>
      <c r="BH455" s="518" t="str">
        <f>IF(AND(_4="A-220-300",'2026'!$O$4="FO",'2026'!$O$2=BH423),'2026DATA'!$C$34,"")</f>
        <v/>
      </c>
      <c r="BI455" s="518" t="str">
        <f>IF(AND(_4="A-220-300",'2026'!$O$4="FO",'2026'!$O$2=BI423),'2026DATA'!$D$34,"")</f>
        <v/>
      </c>
      <c r="BJ455" s="518" t="str">
        <f>IF(AND(_4="A-220-300",'2026'!$O$4="FO",'2026'!$O$2=BJ423),'2026DATA'!$E$34,"")</f>
        <v/>
      </c>
      <c r="BK455" s="518" t="str">
        <f>IF(AND(_4="A-220-300",'2026'!$O$4="FO",'2026'!$O$2=BK423),'2026DATA'!$F$34,"")</f>
        <v/>
      </c>
      <c r="BL455" s="518" t="str">
        <f>IF(AND(_4="A-220-300",'2026'!$O$4="FO",'2026'!$O$2=BL423),'2026DATA'!$G$34,"")</f>
        <v/>
      </c>
      <c r="BM455" s="518" t="str">
        <f>IF(AND(_4="A-220-300",'2026'!$O$4="FO",'2026'!$O$2=BM423),'2026DATA'!$H$34,"")</f>
        <v/>
      </c>
      <c r="BN455" s="518" t="str">
        <f>IF(AND(_4="A-220-300",'2026'!$O$4="FO",'2026'!$O$2=BN423),'2026DATA'!$I$34,"")</f>
        <v/>
      </c>
      <c r="BO455" s="518" t="str">
        <f>IF(AND(_4="A-220-300",'2026'!$O$4="FO",'2026'!$O$2=BO423),'2026DATA'!$J$34,"")</f>
        <v/>
      </c>
      <c r="BP455" s="518" t="str">
        <f>IF(AND(_4="A-220-300",'2026'!$O$4="FO",'2026'!$O$2=BP423),'2026DATA'!$K$34,"")</f>
        <v/>
      </c>
      <c r="BQ455" s="518" t="str">
        <f>IF(AND(_4="A-220-300",'2026'!$O$4="FO",'2026'!$O$2=BQ423),'2026DATA'!$L$34,"")</f>
        <v/>
      </c>
      <c r="BR455" s="518" t="str">
        <f>IF(AND(_4="A-220-300",'2026'!$O$4="FO",'2026'!$O$2=BR423),'2026DATA'!$M$34,"")</f>
        <v/>
      </c>
      <c r="BS455" s="520" t="str">
        <f>IF(AND(_4="A-220-300",'2026'!$O$4="FO",'2026'!$O$2=BS423),'2026DATA'!$N$34,"")</f>
        <v/>
      </c>
      <c r="BT455" s="940"/>
      <c r="BU455" s="13" t="s">
        <v>62</v>
      </c>
      <c r="BV455" s="518" t="str">
        <f>IF(AND(_5="A-220-300",'2026'!$O$4="FO",'2026'!$O$2=BV423),'2026DATA'!$C$34,"")</f>
        <v/>
      </c>
      <c r="BW455" s="518" t="str">
        <f>IF(AND(_5="A-220-300",'2026'!$O$4="FO",'2026'!$O$2=BW423),'2026DATA'!$D$34,"")</f>
        <v/>
      </c>
      <c r="BX455" s="518" t="str">
        <f>IF(AND(_5="A-220-300",'2026'!$O$4="FO",'2026'!$O$2=BX423),'2026DATA'!$E$34,"")</f>
        <v/>
      </c>
      <c r="BY455" s="518" t="str">
        <f>IF(AND(_5="A-220-300",'2026'!$O$4="FO",'2026'!$O$2=BY423),'2026DATA'!$F$34,"")</f>
        <v/>
      </c>
      <c r="BZ455" s="518" t="str">
        <f>IF(AND(_5="A-220-300",'2026'!$O$4="FO",'2026'!$O$2=BZ423),'2026DATA'!$G$34,"")</f>
        <v/>
      </c>
      <c r="CA455" s="518" t="str">
        <f>IF(AND(_5="A-220-300",'2026'!$O$4="FO",'2026'!$O$2=CA423),'2026DATA'!$H$34,"")</f>
        <v/>
      </c>
      <c r="CB455" s="518" t="str">
        <f>IF(AND(_5="A-220-300",'2026'!$O$4="FO",'2026'!$O$2=CB423),'2026DATA'!$I$34,"")</f>
        <v/>
      </c>
      <c r="CC455" s="518" t="str">
        <f>IF(AND(_5="A-220-300",'2026'!$O$4="FO",'2026'!$O$2=CC423),'2026DATA'!$J$34,"")</f>
        <v/>
      </c>
      <c r="CD455" s="518" t="str">
        <f>IF(AND(_5="A-220-300",'2026'!$O$4="FO",'2026'!$O$2=CD423),'2026DATA'!$K$34,"")</f>
        <v/>
      </c>
      <c r="CE455" s="518" t="str">
        <f>IF(AND(_5="A-220-300",'2026'!$O$4="FO",'2026'!$O$2=CE423),'2026DATA'!$L$34,"")</f>
        <v/>
      </c>
      <c r="CF455" s="518" t="str">
        <f>IF(AND(_5="A-220-300",'2026'!$O$4="FO",'2026'!$O$2=CF423),'2026DATA'!$M$34,"")</f>
        <v/>
      </c>
      <c r="CG455" s="520" t="str">
        <f>IF(AND(_5="A-220-300",'2026'!$O$4="FO",'2026'!$O$2=CG423),'2026DATA'!$N$34,"")</f>
        <v/>
      </c>
      <c r="CH455" s="940"/>
      <c r="CI455" s="13" t="s">
        <v>62</v>
      </c>
      <c r="CJ455" s="518" t="str">
        <f>IF(AND(_6="A-220-300",'2026'!$O$4="FO",'2026'!$O$2=CJ423),'2026DATA'!$C$34,"")</f>
        <v/>
      </c>
      <c r="CK455" s="518" t="str">
        <f>IF(AND(_6="A-220-300",'2026'!$O$4="FO",'2026'!$O$2=CK423),'2026DATA'!$D$34,"")</f>
        <v/>
      </c>
      <c r="CL455" s="518" t="str">
        <f>IF(AND(_6="A-220-300",'2026'!$O$4="FO",'2026'!$O$2=CL423),'2026DATA'!$E$34,"")</f>
        <v/>
      </c>
      <c r="CM455" s="518" t="str">
        <f>IF(AND(_6="A-220-300",'2026'!$O$4="FO",'2026'!$O$2=CM423),'2026DATA'!$F$34,"")</f>
        <v/>
      </c>
      <c r="CN455" s="518" t="str">
        <f>IF(AND(_6="A-220-300",'2026'!$O$4="FO",'2026'!$O$2=CN423),'2026DATA'!$G$34,"")</f>
        <v/>
      </c>
      <c r="CO455" s="518" t="str">
        <f>IF(AND(_6="A-220-300",'2026'!$O$4="FO",'2026'!$O$2=CO423),'2026DATA'!$H$34,"")</f>
        <v/>
      </c>
      <c r="CP455" s="518" t="str">
        <f>IF(AND(_6="A-220-300",'2026'!$O$4="FO",'2026'!$O$2=CP423),'2026DATA'!$I$34,"")</f>
        <v/>
      </c>
      <c r="CQ455" s="518" t="str">
        <f>IF(AND(_6="A-220-300",'2026'!$O$4="FO",'2026'!$O$2=CQ423),'2026DATA'!$J$34,"")</f>
        <v/>
      </c>
      <c r="CR455" s="518" t="str">
        <f>IF(AND(_6="A-220-300",'2026'!$O$4="FO",'2026'!$O$2=CR423),'2026DATA'!$K$34,"")</f>
        <v/>
      </c>
      <c r="CS455" s="518" t="str">
        <f>IF(AND(_6="A-220-300",'2026'!$O$4="FO",'2026'!$O$2=CS423),'2026DATA'!$L$34,"")</f>
        <v/>
      </c>
      <c r="CT455" s="518" t="str">
        <f>IF(AND(_6="A-220-300",'2026'!$O$4="FO",'2026'!$O$2=CT423),'2026DATA'!$M$34,"")</f>
        <v/>
      </c>
      <c r="CU455" s="520" t="str">
        <f>IF(AND(_6="A-220-300",'2026'!$O$4="FO",'2026'!$O$2=CU423),'2026DATA'!$N$34,"")</f>
        <v/>
      </c>
    </row>
    <row r="456" spans="16:99" x14ac:dyDescent="0.25">
      <c r="P456" s="940" t="s">
        <v>52</v>
      </c>
      <c r="Q456" s="13" t="s">
        <v>61</v>
      </c>
      <c r="R456" s="518" t="str">
        <f>IF(AND(_1="A-220-100",'2026'!$O$4="CA",'2026'!$O$2=R423),'2026DATA'!$C$35,"")</f>
        <v/>
      </c>
      <c r="S456" s="518" t="str">
        <f>IF(AND(_1="A-220-100",'2026'!$O$4="CA",'2026'!$O$2=S423),'2026DATA'!$D$35,"")</f>
        <v/>
      </c>
      <c r="T456" s="518" t="str">
        <f>IF(AND(_1="A-220-100",'2026'!$O$4="CA",'2026'!$O$2=T423),'2026DATA'!$E$35,"")</f>
        <v/>
      </c>
      <c r="U456" s="518" t="str">
        <f>IF(AND(_1="A-220-100",'2026'!$O$4="CA",'2026'!$O$2=U423),'2026DATA'!$F$35,"")</f>
        <v/>
      </c>
      <c r="V456" s="518" t="str">
        <f>IF(AND(_1="A-220-100",'2026'!$O$4="CA",'2026'!$O$2=V423),'2026DATA'!$G$35,"")</f>
        <v/>
      </c>
      <c r="W456" s="518" t="str">
        <f>IF(AND(_1="A-220-100",'2026'!$O$4="CA",'2026'!$O$2=W423),'2026DATA'!$H$35,"")</f>
        <v/>
      </c>
      <c r="X456" s="518" t="str">
        <f>IF(AND(_1="A-220-100",'2026'!$O$4="CA",'2026'!$O$2=X423),'2026DATA'!$I$35,"")</f>
        <v/>
      </c>
      <c r="Y456" s="518" t="str">
        <f>IF(AND(_1="A-220-100",'2026'!$O$4="CA",'2026'!$O$2=Y423),'2026DATA'!$J$35,"")</f>
        <v/>
      </c>
      <c r="Z456" s="518" t="str">
        <f>IF(AND(_1="A-220-100",'2026'!$O$4="CA",'2026'!$O$2=Z423),'2026DATA'!$K$35,"")</f>
        <v/>
      </c>
      <c r="AA456" s="518" t="str">
        <f>IF(AND(_1="A-220-100",'2026'!$O$4="CA",'2026'!$O$2=AA423),'2026DATA'!$L$35,"")</f>
        <v/>
      </c>
      <c r="AB456" s="518" t="str">
        <f>IF(AND(_1="A-220-100",'2026'!$O$4="CA",'2026'!$O$2=AB423),'2026DATA'!$M$35,"")</f>
        <v/>
      </c>
      <c r="AC456" s="520" t="str">
        <f>IF(AND(_1="A-220-100",'2026'!$O$4="CA",'2026'!$O$2=AC423),'2026DATA'!$N$35,"")</f>
        <v/>
      </c>
      <c r="AD456" s="940" t="s">
        <v>52</v>
      </c>
      <c r="AE456" s="13" t="s">
        <v>61</v>
      </c>
      <c r="AF456" s="518" t="str">
        <f>IF(AND(_2="A-220-100",'2026'!$O$4="CA",'2026'!$O$2=AF423),'2026DATA'!$C$35,"")</f>
        <v/>
      </c>
      <c r="AG456" s="518" t="str">
        <f>IF(AND(_2="A-220-100",'2026'!$O$4="CA",'2026'!$O$2=AG423),'2026DATA'!$D$35,"")</f>
        <v/>
      </c>
      <c r="AH456" s="518" t="str">
        <f>IF(AND(_2="A-220-100",'2026'!$O$4="CA",'2026'!$O$2=AH423),'2026DATA'!$E$35,"")</f>
        <v/>
      </c>
      <c r="AI456" s="518" t="str">
        <f>IF(AND(_2="A-220-100",'2026'!$O$4="CA",'2026'!$O$2=AI423),'2026DATA'!$F$35,"")</f>
        <v/>
      </c>
      <c r="AJ456" s="518" t="str">
        <f>IF(AND(_2="A-220-100",'2026'!$O$4="CA",'2026'!$O$2=AJ423),'2026DATA'!$G$35,"")</f>
        <v/>
      </c>
      <c r="AK456" s="518" t="str">
        <f>IF(AND(_2="A-220-100",'2026'!$O$4="CA",'2026'!$O$2=AK423),'2026DATA'!$H$35,"")</f>
        <v/>
      </c>
      <c r="AL456" s="518" t="str">
        <f>IF(AND(_2="A-220-100",'2026'!$O$4="CA",'2026'!$O$2=AL423),'2026DATA'!$I$35,"")</f>
        <v/>
      </c>
      <c r="AM456" s="518" t="str">
        <f>IF(AND(_2="A-220-100",'2026'!$O$4="CA",'2026'!$O$2=AM423),'2026DATA'!$J$35,"")</f>
        <v/>
      </c>
      <c r="AN456" s="518" t="str">
        <f>IF(AND(_2="A-220-100",'2026'!$O$4="CA",'2026'!$O$2=AN423),'2026DATA'!$K$35,"")</f>
        <v/>
      </c>
      <c r="AO456" s="518" t="str">
        <f>IF(AND(_2="A-220-100",'2026'!$O$4="CA",'2026'!$O$2=AO423),'2026DATA'!$L$35,"")</f>
        <v/>
      </c>
      <c r="AP456" s="518" t="str">
        <f>IF(AND(_2="A-220-100",'2026'!$O$4="CA",'2026'!$O$2=AP423),'2026DATA'!$M$35,"")</f>
        <v/>
      </c>
      <c r="AQ456" s="520" t="str">
        <f>IF(AND(_2="A-220-100",'2026'!$O$4="CA",'2026'!$O$2=AQ423),'2026DATA'!$N$35,"")</f>
        <v/>
      </c>
      <c r="AR456" s="940" t="s">
        <v>52</v>
      </c>
      <c r="AS456" s="13" t="s">
        <v>61</v>
      </c>
      <c r="AT456" s="518" t="str">
        <f>IF(AND(_3="A-220-100",'2026'!$O$4="CA",'2026'!$O$2=AT423),'2026DATA'!$C$35,"")</f>
        <v/>
      </c>
      <c r="AU456" s="518" t="str">
        <f>IF(AND(_3="A-220-100",'2026'!$O$4="CA",'2026'!$O$2=AU423),'2026DATA'!$D$35,"")</f>
        <v/>
      </c>
      <c r="AV456" s="518" t="str">
        <f>IF(AND(_3="A-220-100",'2026'!$O$4="CA",'2026'!$O$2=AV423),'2026DATA'!$E$35,"")</f>
        <v/>
      </c>
      <c r="AW456" s="518" t="str">
        <f>IF(AND(_3="A-220-100",'2026'!$O$4="CA",'2026'!$O$2=AW423),'2026DATA'!$F$35,"")</f>
        <v/>
      </c>
      <c r="AX456" s="518" t="str">
        <f>IF(AND(_3="A-220-100",'2026'!$O$4="CA",'2026'!$O$2=AX423),'2026DATA'!$G$35,"")</f>
        <v/>
      </c>
      <c r="AY456" s="518" t="str">
        <f>IF(AND(_3="A-220-100",'2026'!$O$4="CA",'2026'!$O$2=AY423),'2026DATA'!$H$35,"")</f>
        <v/>
      </c>
      <c r="AZ456" s="518" t="str">
        <f>IF(AND(_3="A-220-100",'2026'!$O$4="CA",'2026'!$O$2=AZ423),'2026DATA'!$I$35,"")</f>
        <v/>
      </c>
      <c r="BA456" s="518" t="str">
        <f>IF(AND(_3="A-220-100",'2026'!$O$4="CA",'2026'!$O$2=BA423),'2026DATA'!$J$35,"")</f>
        <v/>
      </c>
      <c r="BB456" s="518" t="str">
        <f>IF(AND(_3="A-220-100",'2026'!$O$4="CA",'2026'!$O$2=BB423),'2026DATA'!$K$35,"")</f>
        <v/>
      </c>
      <c r="BC456" s="518" t="str">
        <f>IF(AND(_3="A-220-100",'2026'!$O$4="CA",'2026'!$O$2=BC423),'2026DATA'!$L$35,"")</f>
        <v/>
      </c>
      <c r="BD456" s="518" t="str">
        <f>IF(AND(_3="A-220-100",'2026'!$O$4="CA",'2026'!$O$2=BD423),'2026DATA'!$M$35,"")</f>
        <v/>
      </c>
      <c r="BE456" s="520" t="str">
        <f>IF(AND(_3="A-220-100",'2026'!$O$4="CA",'2026'!$O$2=BE423),'2026DATA'!$N$35,"")</f>
        <v/>
      </c>
      <c r="BF456" s="940" t="s">
        <v>52</v>
      </c>
      <c r="BG456" s="13" t="s">
        <v>61</v>
      </c>
      <c r="BH456" s="518" t="str">
        <f>IF(AND(_4="A-220-100",'2026'!$O$4="CA",'2026'!$O$2=BH423),'2026DATA'!$C$35,"")</f>
        <v/>
      </c>
      <c r="BI456" s="518" t="str">
        <f>IF(AND(_4="A-220-100",'2026'!$O$4="CA",'2026'!$O$2=BI423),'2026DATA'!$D$35,"")</f>
        <v/>
      </c>
      <c r="BJ456" s="518" t="str">
        <f>IF(AND(_4="A-220-100",'2026'!$O$4="CA",'2026'!$O$2=BJ423),'2026DATA'!$E$35,"")</f>
        <v/>
      </c>
      <c r="BK456" s="518" t="str">
        <f>IF(AND(_4="A-220-100",'2026'!$O$4="CA",'2026'!$O$2=BK423),'2026DATA'!$F$35,"")</f>
        <v/>
      </c>
      <c r="BL456" s="518" t="str">
        <f>IF(AND(_4="A-220-100",'2026'!$O$4="CA",'2026'!$O$2=BL423),'2026DATA'!$G$35,"")</f>
        <v/>
      </c>
      <c r="BM456" s="518" t="str">
        <f>IF(AND(_4="A-220-100",'2026'!$O$4="CA",'2026'!$O$2=BM423),'2026DATA'!$H$35,"")</f>
        <v/>
      </c>
      <c r="BN456" s="518" t="str">
        <f>IF(AND(_4="A-220-100",'2026'!$O$4="CA",'2026'!$O$2=BN423),'2026DATA'!$I$35,"")</f>
        <v/>
      </c>
      <c r="BO456" s="518" t="str">
        <f>IF(AND(_4="A-220-100",'2026'!$O$4="CA",'2026'!$O$2=BO423),'2026DATA'!$J$35,"")</f>
        <v/>
      </c>
      <c r="BP456" s="518" t="str">
        <f>IF(AND(_4="A-220-100",'2026'!$O$4="CA",'2026'!$O$2=BP423),'2026DATA'!$K$35,"")</f>
        <v/>
      </c>
      <c r="BQ456" s="518" t="str">
        <f>IF(AND(_4="A-220-100",'2026'!$O$4="CA",'2026'!$O$2=BQ423),'2026DATA'!$L$35,"")</f>
        <v/>
      </c>
      <c r="BR456" s="518" t="str">
        <f>IF(AND(_4="A-220-100",'2026'!$O$4="CA",'2026'!$O$2=BR423),'2026DATA'!$M$35,"")</f>
        <v/>
      </c>
      <c r="BS456" s="520" t="str">
        <f>IF(AND(_4="A-220-100",'2026'!$O$4="CA",'2026'!$O$2=BS423),'2026DATA'!$N$35,"")</f>
        <v/>
      </c>
      <c r="BT456" s="940" t="s">
        <v>52</v>
      </c>
      <c r="BU456" s="13" t="s">
        <v>61</v>
      </c>
      <c r="BV456" s="518" t="str">
        <f>IF(AND(_5="A-220-100",'2026'!$O$4="CA",'2026'!$O$2=BV423),'2026DATA'!$C$35,"")</f>
        <v/>
      </c>
      <c r="BW456" s="518" t="str">
        <f>IF(AND(_5="A-220-100",'2026'!$O$4="CA",'2026'!$O$2=BW423),'2026DATA'!$D$35,"")</f>
        <v/>
      </c>
      <c r="BX456" s="518" t="str">
        <f>IF(AND(_5="A-220-100",'2026'!$O$4="CA",'2026'!$O$2=BX423),'2026DATA'!$E$35,"")</f>
        <v/>
      </c>
      <c r="BY456" s="518" t="str">
        <f>IF(AND(_5="A-220-100",'2026'!$O$4="CA",'2026'!$O$2=BY423),'2026DATA'!$F$35,"")</f>
        <v/>
      </c>
      <c r="BZ456" s="518" t="str">
        <f>IF(AND(_5="A-220-100",'2026'!$O$4="CA",'2026'!$O$2=BZ423),'2026DATA'!$G$35,"")</f>
        <v/>
      </c>
      <c r="CA456" s="518" t="str">
        <f>IF(AND(_5="A-220-100",'2026'!$O$4="CA",'2026'!$O$2=CA423),'2026DATA'!$H$35,"")</f>
        <v/>
      </c>
      <c r="CB456" s="518" t="str">
        <f>IF(AND(_5="A-220-100",'2026'!$O$4="CA",'2026'!$O$2=CB423),'2026DATA'!$I$35,"")</f>
        <v/>
      </c>
      <c r="CC456" s="518" t="str">
        <f>IF(AND(_5="A-220-100",'2026'!$O$4="CA",'2026'!$O$2=CC423),'2026DATA'!$J$35,"")</f>
        <v/>
      </c>
      <c r="CD456" s="518" t="str">
        <f>IF(AND(_5="A-220-100",'2026'!$O$4="CA",'2026'!$O$2=CD423),'2026DATA'!$K$35,"")</f>
        <v/>
      </c>
      <c r="CE456" s="518" t="str">
        <f>IF(AND(_5="A-220-100",'2026'!$O$4="CA",'2026'!$O$2=CE423),'2026DATA'!$L$35,"")</f>
        <v/>
      </c>
      <c r="CF456" s="518" t="str">
        <f>IF(AND(_5="A-220-100",'2026'!$O$4="CA",'2026'!$O$2=CF423),'2026DATA'!$M$35,"")</f>
        <v/>
      </c>
      <c r="CG456" s="520" t="str">
        <f>IF(AND(_5="A-220-100",'2026'!$O$4="CA",'2026'!$O$2=CG423),'2026DATA'!$N$35,"")</f>
        <v/>
      </c>
      <c r="CH456" s="940" t="s">
        <v>52</v>
      </c>
      <c r="CI456" s="13" t="s">
        <v>61</v>
      </c>
      <c r="CJ456" s="518" t="str">
        <f>IF(AND(_6="A-220-100",'2026'!$O$4="CA",'2026'!$O$2=CJ423),'2026DATA'!$C$35,"")</f>
        <v/>
      </c>
      <c r="CK456" s="518" t="str">
        <f>IF(AND(_6="A-220-100",'2026'!$O$4="CA",'2026'!$O$2=CK423),'2026DATA'!$D$35,"")</f>
        <v/>
      </c>
      <c r="CL456" s="518" t="str">
        <f>IF(AND(_6="A-220-100",'2026'!$O$4="CA",'2026'!$O$2=CL423),'2026DATA'!$E$35,"")</f>
        <v/>
      </c>
      <c r="CM456" s="518" t="str">
        <f>IF(AND(_6="A-220-100",'2026'!$O$4="CA",'2026'!$O$2=CM423),'2026DATA'!$F$35,"")</f>
        <v/>
      </c>
      <c r="CN456" s="518" t="str">
        <f>IF(AND(_6="A-220-100",'2026'!$O$4="CA",'2026'!$O$2=CN423),'2026DATA'!$G$35,"")</f>
        <v/>
      </c>
      <c r="CO456" s="518" t="str">
        <f>IF(AND(_6="A-220-100",'2026'!$O$4="CA",'2026'!$O$2=CO423),'2026DATA'!$H$35,"")</f>
        <v/>
      </c>
      <c r="CP456" s="518" t="str">
        <f>IF(AND(_6="A-220-100",'2026'!$O$4="CA",'2026'!$O$2=CP423),'2026DATA'!$I$35,"")</f>
        <v/>
      </c>
      <c r="CQ456" s="518" t="str">
        <f>IF(AND(_6="A-220-100",'2026'!$O$4="CA",'2026'!$O$2=CQ423),'2026DATA'!$J$35,"")</f>
        <v/>
      </c>
      <c r="CR456" s="518" t="str">
        <f>IF(AND(_6="A-220-100",'2026'!$O$4="CA",'2026'!$O$2=CR423),'2026DATA'!$K$35,"")</f>
        <v/>
      </c>
      <c r="CS456" s="518" t="str">
        <f>IF(AND(_6="A-220-100",'2026'!$O$4="CA",'2026'!$O$2=CS423),'2026DATA'!$L$35,"")</f>
        <v/>
      </c>
      <c r="CT456" s="518" t="str">
        <f>IF(AND(_6="A-220-100",'2026'!$O$4="CA",'2026'!$O$2=CT423),'2026DATA'!$M$35,"")</f>
        <v/>
      </c>
      <c r="CU456" s="520" t="str">
        <f>IF(AND(_6="A-220-100",'2026'!$O$4="CA",'2026'!$O$2=CU423),'2026DATA'!$N$35,"")</f>
        <v/>
      </c>
    </row>
    <row r="457" spans="16:99" x14ac:dyDescent="0.25">
      <c r="P457" s="940"/>
      <c r="Q457" s="13" t="s">
        <v>62</v>
      </c>
      <c r="R457" s="518" t="str">
        <f>IF(AND(_1="A-220-100",'2026'!$O$4="FO",'2026'!$O$2=R423),'2026DATA'!$C$36,"")</f>
        <v/>
      </c>
      <c r="S457" s="518" t="str">
        <f>IF(AND(_1="A-220-100",'2026'!$O$4="FO",'2026'!$O$2=S423),'2026DATA'!$D$36,"")</f>
        <v/>
      </c>
      <c r="T457" s="518" t="str">
        <f>IF(AND(_1="A-220-100",'2026'!$O$4="FO",'2026'!$O$2=T423),'2026DATA'!$E$36,"")</f>
        <v/>
      </c>
      <c r="U457" s="518" t="str">
        <f>IF(AND(_1="A-220-100",'2026'!$O$4="FO",'2026'!$O$2=U423),'2026DATA'!$F$36,"")</f>
        <v/>
      </c>
      <c r="V457" s="518" t="str">
        <f>IF(AND(_1="A-220-100",'2026'!$O$4="FO",'2026'!$O$2=V423),'2026DATA'!$G$36,"")</f>
        <v/>
      </c>
      <c r="W457" s="518" t="str">
        <f>IF(AND(_1="A-220-100",'2026'!$O$4="FO",'2026'!$O$2=W423),'2026DATA'!$H$36,"")</f>
        <v/>
      </c>
      <c r="X457" s="518" t="str">
        <f>IF(AND(_1="A-220-100",'2026'!$O$4="FO",'2026'!$O$2=X423),'2026DATA'!$I$36,"")</f>
        <v/>
      </c>
      <c r="Y457" s="518" t="str">
        <f>IF(AND(_1="A-220-100",'2026'!$O$4="FO",'2026'!$O$2=Y423),'2026DATA'!$J$36,"")</f>
        <v/>
      </c>
      <c r="Z457" s="518" t="str">
        <f>IF(AND(_1="A-220-100",'2026'!$O$4="FO",'2026'!$O$2=Z423),'2026DATA'!$K$36,"")</f>
        <v/>
      </c>
      <c r="AA457" s="518" t="str">
        <f>IF(AND(_1="A-220-100",'2026'!$O$4="FO",'2026'!$O$2=AA423),'2026DATA'!$L$36,"")</f>
        <v/>
      </c>
      <c r="AB457" s="518" t="str">
        <f>IF(AND(_1="A-220-100",'2026'!$O$4="FO",'2026'!$O$2=AB423),'2026DATA'!$M$36,"")</f>
        <v/>
      </c>
      <c r="AC457" s="520" t="str">
        <f>IF(AND(_1="A-220-100",'2026'!$O$4="FO",'2026'!$O$2=AC423),'2026DATA'!$N$36,"")</f>
        <v/>
      </c>
      <c r="AD457" s="940"/>
      <c r="AE457" s="13" t="s">
        <v>62</v>
      </c>
      <c r="AF457" s="518" t="str">
        <f>IF(AND(_2="A-220-100",'2026'!$O$4="FO",'2026'!$O$2=AF423),'2026DATA'!$C$36,"")</f>
        <v/>
      </c>
      <c r="AG457" s="518" t="str">
        <f>IF(AND(_2="A-220-100",'2026'!$O$4="FO",'2026'!$O$2=AG423),'2026DATA'!$D$36,"")</f>
        <v/>
      </c>
      <c r="AH457" s="518" t="str">
        <f>IF(AND(_2="A-220-100",'2026'!$O$4="FO",'2026'!$O$2=AH423),'2026DATA'!$E$36,"")</f>
        <v/>
      </c>
      <c r="AI457" s="518" t="str">
        <f>IF(AND(_2="A-220-100",'2026'!$O$4="FO",'2026'!$O$2=AI423),'2026DATA'!$F$36,"")</f>
        <v/>
      </c>
      <c r="AJ457" s="518" t="str">
        <f>IF(AND(_2="A-220-100",'2026'!$O$4="FO",'2026'!$O$2=AJ423),'2026DATA'!$G$36,"")</f>
        <v/>
      </c>
      <c r="AK457" s="518" t="str">
        <f>IF(AND(_2="A-220-100",'2026'!$O$4="FO",'2026'!$O$2=AK423),'2026DATA'!$H$36,"")</f>
        <v/>
      </c>
      <c r="AL457" s="518" t="str">
        <f>IF(AND(_2="A-220-100",'2026'!$O$4="FO",'2026'!$O$2=AL423),'2026DATA'!$I$36,"")</f>
        <v/>
      </c>
      <c r="AM457" s="518" t="str">
        <f>IF(AND(_2="A-220-100",'2026'!$O$4="FO",'2026'!$O$2=AM423),'2026DATA'!$J$36,"")</f>
        <v/>
      </c>
      <c r="AN457" s="518" t="str">
        <f>IF(AND(_2="A-220-100",'2026'!$O$4="FO",'2026'!$O$2=AN423),'2026DATA'!$K$36,"")</f>
        <v/>
      </c>
      <c r="AO457" s="518" t="str">
        <f>IF(AND(_2="A-220-100",'2026'!$O$4="FO",'2026'!$O$2=AO423),'2026DATA'!$L$36,"")</f>
        <v/>
      </c>
      <c r="AP457" s="518" t="str">
        <f>IF(AND(_2="A-220-100",'2026'!$O$4="FO",'2026'!$O$2=AP423),'2026DATA'!$M$36,"")</f>
        <v/>
      </c>
      <c r="AQ457" s="520" t="str">
        <f>IF(AND(_2="A-220-100",'2026'!$O$4="FO",'2026'!$O$2=AQ423),'2026DATA'!$N$36,"")</f>
        <v/>
      </c>
      <c r="AR457" s="940"/>
      <c r="AS457" s="13" t="s">
        <v>62</v>
      </c>
      <c r="AT457" s="518" t="str">
        <f>IF(AND(_3="A-220-100",'2026'!$O$4="FO",'2026'!$O$2=AT423),'2026DATA'!$C$36,"")</f>
        <v/>
      </c>
      <c r="AU457" s="518" t="str">
        <f>IF(AND(_3="A-220-100",'2026'!$O$4="FO",'2026'!$O$2=AU423),'2026DATA'!$D$36,"")</f>
        <v/>
      </c>
      <c r="AV457" s="518" t="str">
        <f>IF(AND(_3="A-220-100",'2026'!$O$4="FO",'2026'!$O$2=AV423),'2026DATA'!$E$36,"")</f>
        <v/>
      </c>
      <c r="AW457" s="518" t="str">
        <f>IF(AND(_3="A-220-100",'2026'!$O$4="FO",'2026'!$O$2=AW423),'2026DATA'!$F$36,"")</f>
        <v/>
      </c>
      <c r="AX457" s="518" t="str">
        <f>IF(AND(_3="A-220-100",'2026'!$O$4="FO",'2026'!$O$2=AX423),'2026DATA'!$G$36,"")</f>
        <v/>
      </c>
      <c r="AY457" s="518" t="str">
        <f>IF(AND(_3="A-220-100",'2026'!$O$4="FO",'2026'!$O$2=AY423),'2026DATA'!$H$36,"")</f>
        <v/>
      </c>
      <c r="AZ457" s="518" t="str">
        <f>IF(AND(_3="A-220-100",'2026'!$O$4="FO",'2026'!$O$2=AZ423),'2026DATA'!$I$36,"")</f>
        <v/>
      </c>
      <c r="BA457" s="518" t="str">
        <f>IF(AND(_3="A-220-100",'2026'!$O$4="FO",'2026'!$O$2=BA423),'2026DATA'!$J$36,"")</f>
        <v/>
      </c>
      <c r="BB457" s="518" t="str">
        <f>IF(AND(_3="A-220-100",'2026'!$O$4="FO",'2026'!$O$2=BB423),'2026DATA'!$K$36,"")</f>
        <v/>
      </c>
      <c r="BC457" s="518" t="str">
        <f>IF(AND(_3="A-220-100",'2026'!$O$4="FO",'2026'!$O$2=BC423),'2026DATA'!$L$36,"")</f>
        <v/>
      </c>
      <c r="BD457" s="518" t="str">
        <f>IF(AND(_3="A-220-100",'2026'!$O$4="FO",'2026'!$O$2=BD423),'2026DATA'!$M$36,"")</f>
        <v/>
      </c>
      <c r="BE457" s="520" t="str">
        <f>IF(AND(_3="A-220-100",'2026'!$O$4="FO",'2026'!$O$2=BE423),'2026DATA'!$N$36,"")</f>
        <v/>
      </c>
      <c r="BF457" s="940"/>
      <c r="BG457" s="13" t="s">
        <v>62</v>
      </c>
      <c r="BH457" s="518" t="str">
        <f>IF(AND(_4="A-220-100",'2026'!$O$4="FO",'2026'!$O$2=BH423),'2026DATA'!$C$36,"")</f>
        <v/>
      </c>
      <c r="BI457" s="518" t="str">
        <f>IF(AND(_4="A-220-100",'2026'!$O$4="FO",'2026'!$O$2=BI423),'2026DATA'!$D$36,"")</f>
        <v/>
      </c>
      <c r="BJ457" s="518" t="str">
        <f>IF(AND(_4="A-220-100",'2026'!$O$4="FO",'2026'!$O$2=BJ423),'2026DATA'!$E$36,"")</f>
        <v/>
      </c>
      <c r="BK457" s="518" t="str">
        <f>IF(AND(_4="A-220-100",'2026'!$O$4="FO",'2026'!$O$2=BK423),'2026DATA'!$F$36,"")</f>
        <v/>
      </c>
      <c r="BL457" s="518" t="str">
        <f>IF(AND(_4="A-220-100",'2026'!$O$4="FO",'2026'!$O$2=BL423),'2026DATA'!$G$36,"")</f>
        <v/>
      </c>
      <c r="BM457" s="518" t="str">
        <f>IF(AND(_4="A-220-100",'2026'!$O$4="FO",'2026'!$O$2=BM423),'2026DATA'!$H$36,"")</f>
        <v/>
      </c>
      <c r="BN457" s="518" t="str">
        <f>IF(AND(_4="A-220-100",'2026'!$O$4="FO",'2026'!$O$2=BN423),'2026DATA'!$I$36,"")</f>
        <v/>
      </c>
      <c r="BO457" s="518" t="str">
        <f>IF(AND(_4="A-220-100",'2026'!$O$4="FO",'2026'!$O$2=BO423),'2026DATA'!$J$36,"")</f>
        <v/>
      </c>
      <c r="BP457" s="518" t="str">
        <f>IF(AND(_4="A-220-100",'2026'!$O$4="FO",'2026'!$O$2=BP423),'2026DATA'!$K$36,"")</f>
        <v/>
      </c>
      <c r="BQ457" s="518" t="str">
        <f>IF(AND(_4="A-220-100",'2026'!$O$4="FO",'2026'!$O$2=BQ423),'2026DATA'!$L$36,"")</f>
        <v/>
      </c>
      <c r="BR457" s="518" t="str">
        <f>IF(AND(_4="A-220-100",'2026'!$O$4="FO",'2026'!$O$2=BR423),'2026DATA'!$M$36,"")</f>
        <v/>
      </c>
      <c r="BS457" s="520" t="str">
        <f>IF(AND(_4="A-220-100",'2026'!$O$4="FO",'2026'!$O$2=BS423),'2026DATA'!$N$36,"")</f>
        <v/>
      </c>
      <c r="BT457" s="940"/>
      <c r="BU457" s="13" t="s">
        <v>62</v>
      </c>
      <c r="BV457" s="518" t="str">
        <f>IF(AND(_5="A-220-100",'2026'!$O$4="FO",'2026'!$O$2=BV423),'2026DATA'!$C$36,"")</f>
        <v/>
      </c>
      <c r="BW457" s="518" t="str">
        <f>IF(AND(_5="A-220-100",'2026'!$O$4="FO",'2026'!$O$2=BW423),'2026DATA'!$D$36,"")</f>
        <v/>
      </c>
      <c r="BX457" s="518" t="str">
        <f>IF(AND(_5="A-220-100",'2026'!$O$4="FO",'2026'!$O$2=BX423),'2026DATA'!$E$36,"")</f>
        <v/>
      </c>
      <c r="BY457" s="518" t="str">
        <f>IF(AND(_5="A-220-100",'2026'!$O$4="FO",'2026'!$O$2=BY423),'2026DATA'!$F$36,"")</f>
        <v/>
      </c>
      <c r="BZ457" s="518" t="str">
        <f>IF(AND(_5="A-220-100",'2026'!$O$4="FO",'2026'!$O$2=BZ423),'2026DATA'!$G$36,"")</f>
        <v/>
      </c>
      <c r="CA457" s="518" t="str">
        <f>IF(AND(_5="A-220-100",'2026'!$O$4="FO",'2026'!$O$2=CA423),'2026DATA'!$H$36,"")</f>
        <v/>
      </c>
      <c r="CB457" s="518" t="str">
        <f>IF(AND(_5="A-220-100",'2026'!$O$4="FO",'2026'!$O$2=CB423),'2026DATA'!$I$36,"")</f>
        <v/>
      </c>
      <c r="CC457" s="518" t="str">
        <f>IF(AND(_5="A-220-100",'2026'!$O$4="FO",'2026'!$O$2=CC423),'2026DATA'!$J$36,"")</f>
        <v/>
      </c>
      <c r="CD457" s="518" t="str">
        <f>IF(AND(_5="A-220-100",'2026'!$O$4="FO",'2026'!$O$2=CD423),'2026DATA'!$K$36,"")</f>
        <v/>
      </c>
      <c r="CE457" s="518" t="str">
        <f>IF(AND(_5="A-220-100",'2026'!$O$4="FO",'2026'!$O$2=CE423),'2026DATA'!$L$36,"")</f>
        <v/>
      </c>
      <c r="CF457" s="518" t="str">
        <f>IF(AND(_5="A-220-100",'2026'!$O$4="FO",'2026'!$O$2=CF423),'2026DATA'!$M$36,"")</f>
        <v/>
      </c>
      <c r="CG457" s="520" t="str">
        <f>IF(AND(_5="A-220-100",'2026'!$O$4="FO",'2026'!$O$2=CG423),'2026DATA'!$N$36,"")</f>
        <v/>
      </c>
      <c r="CH457" s="940"/>
      <c r="CI457" s="13" t="s">
        <v>62</v>
      </c>
      <c r="CJ457" s="518" t="str">
        <f>IF(AND(_6="A-220-100",'2026'!$O$4="FO",'2026'!$O$2=CJ423),'2026DATA'!$C$36,"")</f>
        <v/>
      </c>
      <c r="CK457" s="518" t="str">
        <f>IF(AND(_6="A-220-100",'2026'!$O$4="FO",'2026'!$O$2=CK423),'2026DATA'!$D$36,"")</f>
        <v/>
      </c>
      <c r="CL457" s="518" t="str">
        <f>IF(AND(_6="A-220-100",'2026'!$O$4="FO",'2026'!$O$2=CL423),'2026DATA'!$E$36,"")</f>
        <v/>
      </c>
      <c r="CM457" s="518" t="str">
        <f>IF(AND(_6="A-220-100",'2026'!$O$4="FO",'2026'!$O$2=CM423),'2026DATA'!$F$36,"")</f>
        <v/>
      </c>
      <c r="CN457" s="518" t="str">
        <f>IF(AND(_6="A-220-100",'2026'!$O$4="FO",'2026'!$O$2=CN423),'2026DATA'!$G$36,"")</f>
        <v/>
      </c>
      <c r="CO457" s="518" t="str">
        <f>IF(AND(_6="A-220-100",'2026'!$O$4="FO",'2026'!$O$2=CO423),'2026DATA'!$H$36,"")</f>
        <v/>
      </c>
      <c r="CP457" s="518" t="str">
        <f>IF(AND(_6="A-220-100",'2026'!$O$4="FO",'2026'!$O$2=CP423),'2026DATA'!$I$36,"")</f>
        <v/>
      </c>
      <c r="CQ457" s="518" t="str">
        <f>IF(AND(_6="A-220-100",'2026'!$O$4="FO",'2026'!$O$2=CQ423),'2026DATA'!$J$36,"")</f>
        <v/>
      </c>
      <c r="CR457" s="518" t="str">
        <f>IF(AND(_6="A-220-100",'2026'!$O$4="FO",'2026'!$O$2=CR423),'2026DATA'!$K$36,"")</f>
        <v/>
      </c>
      <c r="CS457" s="518" t="str">
        <f>IF(AND(_6="A-220-100",'2026'!$O$4="FO",'2026'!$O$2=CS423),'2026DATA'!$L$36,"")</f>
        <v/>
      </c>
      <c r="CT457" s="518" t="str">
        <f>IF(AND(_6="A-220-100",'2026'!$O$4="FO",'2026'!$O$2=CT423),'2026DATA'!$M$36,"")</f>
        <v/>
      </c>
      <c r="CU457" s="520" t="str">
        <f>IF(AND(_6="A-220-100",'2026'!$O$4="FO",'2026'!$O$2=CU423),'2026DATA'!$N$36,"")</f>
        <v/>
      </c>
    </row>
    <row r="458" spans="16:99" x14ac:dyDescent="0.25">
      <c r="P458" s="940" t="s">
        <v>53</v>
      </c>
      <c r="Q458" s="13" t="s">
        <v>61</v>
      </c>
      <c r="R458" s="518" t="str">
        <f>IF(AND(_1="B-717",'2026'!$O$4="CA",'2026'!$O$2=R423),'2026DATA'!$C$37,"")</f>
        <v/>
      </c>
      <c r="S458" s="518" t="str">
        <f>IF(AND(_1="B-717",'2026'!$O$4="CA",'2026'!$O$2=S423),'2026DATA'!$D$37,"")</f>
        <v/>
      </c>
      <c r="T458" s="518" t="str">
        <f>IF(AND(_1="B-717",'2026'!$O$4="CA",'2026'!$O$2=T423),'2026DATA'!$E$37,"")</f>
        <v/>
      </c>
      <c r="U458" s="518" t="str">
        <f>IF(AND(_1="B-717",'2026'!$O$4="CA",'2026'!$O$2=U423),'2026DATA'!$F$37,"")</f>
        <v/>
      </c>
      <c r="V458" s="518" t="str">
        <f>IF(AND(_1="B-717",'2026'!$O$4="CA",'2026'!$O$2=V423),'2026DATA'!$G$37,"")</f>
        <v/>
      </c>
      <c r="W458" s="518" t="str">
        <f>IF(AND(_1="B-717",'2026'!$O$4="CA",'2026'!$O$2=W423),'2026DATA'!$H$37,"")</f>
        <v/>
      </c>
      <c r="X458" s="518" t="str">
        <f>IF(AND(_1="B-717",'2026'!$O$4="CA",'2026'!$O$2=X423),'2026DATA'!$I$37,"")</f>
        <v/>
      </c>
      <c r="Y458" s="518" t="str">
        <f>IF(AND(_1="B-717",'2026'!$O$4="CA",'2026'!$O$2=Y423),'2026DATA'!$J$37,"")</f>
        <v/>
      </c>
      <c r="Z458" s="518" t="str">
        <f>IF(AND(_1="B-717",'2026'!$O$4="CA",'2026'!$O$2=Z423),'2026DATA'!$K$37,"")</f>
        <v/>
      </c>
      <c r="AA458" s="518" t="str">
        <f>IF(AND(_1="B-717",'2026'!$O$4="CA",'2026'!$O$2=AA423),'2026DATA'!$L$37,"")</f>
        <v/>
      </c>
      <c r="AB458" s="518" t="str">
        <f>IF(AND(_1="B-717",'2026'!$O$4="CA",'2026'!$O$2=AB423),'2026DATA'!$M$37,"")</f>
        <v/>
      </c>
      <c r="AC458" s="520" t="str">
        <f>IF(AND(_1="B-717",'2026'!$O$4="CA",'2026'!$O$2=AC423),'2026DATA'!$N$37,"")</f>
        <v/>
      </c>
      <c r="AD458" s="940" t="s">
        <v>53</v>
      </c>
      <c r="AE458" s="13" t="s">
        <v>61</v>
      </c>
      <c r="AF458" s="518" t="str">
        <f>IF(AND(_2="B-717",'2026'!$O$4="CA",'2026'!$O$2=AF423),'2026DATA'!$C$37,"")</f>
        <v/>
      </c>
      <c r="AG458" s="518" t="str">
        <f>IF(AND(_2="B-717",'2026'!$O$4="CA",'2026'!$O$2=AG423),'2026DATA'!$D$37,"")</f>
        <v/>
      </c>
      <c r="AH458" s="518" t="str">
        <f>IF(AND(_2="B-717",'2026'!$O$4="CA",'2026'!$O$2=AH423),'2026DATA'!$E$37,"")</f>
        <v/>
      </c>
      <c r="AI458" s="518" t="str">
        <f>IF(AND(_2="B-717",'2026'!$O$4="CA",'2026'!$O$2=AI423),'2026DATA'!$F$37,"")</f>
        <v/>
      </c>
      <c r="AJ458" s="518" t="str">
        <f>IF(AND(_2="B-717",'2026'!$O$4="CA",'2026'!$O$2=AJ423),'2026DATA'!$G$37,"")</f>
        <v/>
      </c>
      <c r="AK458" s="518" t="str">
        <f>IF(AND(_2="B-717",'2026'!$O$4="CA",'2026'!$O$2=AK423),'2026DATA'!$H$37,"")</f>
        <v/>
      </c>
      <c r="AL458" s="518" t="str">
        <f>IF(AND(_2="B-717",'2026'!$O$4="CA",'2026'!$O$2=AL423),'2026DATA'!$I$37,"")</f>
        <v/>
      </c>
      <c r="AM458" s="518" t="str">
        <f>IF(AND(_2="B-717",'2026'!$O$4="CA",'2026'!$O$2=AM423),'2026DATA'!$J$37,"")</f>
        <v/>
      </c>
      <c r="AN458" s="518" t="str">
        <f>IF(AND(_2="B-717",'2026'!$O$4="CA",'2026'!$O$2=AN423),'2026DATA'!$K$37,"")</f>
        <v/>
      </c>
      <c r="AO458" s="518" t="str">
        <f>IF(AND(_2="B-717",'2026'!$O$4="CA",'2026'!$O$2=AO423),'2026DATA'!$L$37,"")</f>
        <v/>
      </c>
      <c r="AP458" s="518" t="str">
        <f>IF(AND(_2="B-717",'2026'!$O$4="CA",'2026'!$O$2=AP423),'2026DATA'!$M$37,"")</f>
        <v/>
      </c>
      <c r="AQ458" s="520" t="str">
        <f>IF(AND(_2="B-717",'2026'!$O$4="CA",'2026'!$O$2=AQ423),'2026DATA'!$N$37,"")</f>
        <v/>
      </c>
      <c r="AR458" s="940" t="s">
        <v>53</v>
      </c>
      <c r="AS458" s="13" t="s">
        <v>61</v>
      </c>
      <c r="AT458" s="518" t="str">
        <f>IF(AND(_3="B-717",'2026'!$O$4="CA",'2026'!$O$2=AT423),'2026DATA'!$C$37,"")</f>
        <v/>
      </c>
      <c r="AU458" s="518" t="str">
        <f>IF(AND(_3="B-717",'2026'!$O$4="CA",'2026'!$O$2=AU423),'2026DATA'!$D$37,"")</f>
        <v/>
      </c>
      <c r="AV458" s="518" t="str">
        <f>IF(AND(_3="B-717",'2026'!$O$4="CA",'2026'!$O$2=AV423),'2026DATA'!$E$37,"")</f>
        <v/>
      </c>
      <c r="AW458" s="518" t="str">
        <f>IF(AND(_3="B-717",'2026'!$O$4="CA",'2026'!$O$2=AW423),'2026DATA'!$F$37,"")</f>
        <v/>
      </c>
      <c r="AX458" s="518" t="str">
        <f>IF(AND(_3="B-717",'2026'!$O$4="CA",'2026'!$O$2=AX423),'2026DATA'!$G$37,"")</f>
        <v/>
      </c>
      <c r="AY458" s="518" t="str">
        <f>IF(AND(_3="B-717",'2026'!$O$4="CA",'2026'!$O$2=AY423),'2026DATA'!$H$37,"")</f>
        <v/>
      </c>
      <c r="AZ458" s="518" t="str">
        <f>IF(AND(_3="B-717",'2026'!$O$4="CA",'2026'!$O$2=AZ423),'2026DATA'!$I$37,"")</f>
        <v/>
      </c>
      <c r="BA458" s="518" t="str">
        <f>IF(AND(_3="B-717",'2026'!$O$4="CA",'2026'!$O$2=BA423),'2026DATA'!$J$37,"")</f>
        <v/>
      </c>
      <c r="BB458" s="518" t="str">
        <f>IF(AND(_3="B-717",'2026'!$O$4="CA",'2026'!$O$2=BB423),'2026DATA'!$K$37,"")</f>
        <v/>
      </c>
      <c r="BC458" s="518" t="str">
        <f>IF(AND(_3="B-717",'2026'!$O$4="CA",'2026'!$O$2=BC423),'2026DATA'!$L$37,"")</f>
        <v/>
      </c>
      <c r="BD458" s="518" t="str">
        <f>IF(AND(_3="B-717",'2026'!$O$4="CA",'2026'!$O$2=BD423),'2026DATA'!$M$37,"")</f>
        <v/>
      </c>
      <c r="BE458" s="520" t="str">
        <f>IF(AND(_3="B-717",'2026'!$O$4="CA",'2026'!$O$2=BE423),'2026DATA'!$N$37,"")</f>
        <v/>
      </c>
      <c r="BF458" s="940" t="s">
        <v>53</v>
      </c>
      <c r="BG458" s="13" t="s">
        <v>61</v>
      </c>
      <c r="BH458" s="518" t="str">
        <f>IF(AND(_4="B-717",'2026'!$O$4="CA",'2026'!$O$2=BH423),'2026DATA'!$C$37,"")</f>
        <v/>
      </c>
      <c r="BI458" s="518" t="str">
        <f>IF(AND(_4="B-717",'2026'!$O$4="CA",'2026'!$O$2=BI423),'2026DATA'!$D$37,"")</f>
        <v/>
      </c>
      <c r="BJ458" s="518" t="str">
        <f>IF(AND(_4="B-717",'2026'!$O$4="CA",'2026'!$O$2=BJ423),'2026DATA'!$E$37,"")</f>
        <v/>
      </c>
      <c r="BK458" s="518" t="str">
        <f>IF(AND(_4="B-717",'2026'!$O$4="CA",'2026'!$O$2=BK423),'2026DATA'!$F$37,"")</f>
        <v/>
      </c>
      <c r="BL458" s="518" t="str">
        <f>IF(AND(_4="B-717",'2026'!$O$4="CA",'2026'!$O$2=BL423),'2026DATA'!$G$37,"")</f>
        <v/>
      </c>
      <c r="BM458" s="518" t="str">
        <f>IF(AND(_4="B-717",'2026'!$O$4="CA",'2026'!$O$2=BM423),'2026DATA'!$H$37,"")</f>
        <v/>
      </c>
      <c r="BN458" s="518" t="str">
        <f>IF(AND(_4="B-717",'2026'!$O$4="CA",'2026'!$O$2=BN423),'2026DATA'!$I$37,"")</f>
        <v/>
      </c>
      <c r="BO458" s="518" t="str">
        <f>IF(AND(_4="B-717",'2026'!$O$4="CA",'2026'!$O$2=BO423),'2026DATA'!$J$37,"")</f>
        <v/>
      </c>
      <c r="BP458" s="518" t="str">
        <f>IF(AND(_4="B-717",'2026'!$O$4="CA",'2026'!$O$2=BP423),'2026DATA'!$K$37,"")</f>
        <v/>
      </c>
      <c r="BQ458" s="518" t="str">
        <f>IF(AND(_4="B-717",'2026'!$O$4="CA",'2026'!$O$2=BQ423),'2026DATA'!$L$37,"")</f>
        <v/>
      </c>
      <c r="BR458" s="518" t="str">
        <f>IF(AND(_4="B-717",'2026'!$O$4="CA",'2026'!$O$2=BR423),'2026DATA'!$M$37,"")</f>
        <v/>
      </c>
      <c r="BS458" s="520" t="str">
        <f>IF(AND(_4="B-717",'2026'!$O$4="CA",'2026'!$O$2=BS423),'2026DATA'!$N$37,"")</f>
        <v/>
      </c>
      <c r="BT458" s="940" t="s">
        <v>53</v>
      </c>
      <c r="BU458" s="13" t="s">
        <v>61</v>
      </c>
      <c r="BV458" s="518" t="str">
        <f>IF(AND(_5="B-717",'2026'!$O$4="CA",'2026'!$O$2=BV423),'2026DATA'!$C$37,"")</f>
        <v/>
      </c>
      <c r="BW458" s="518" t="str">
        <f>IF(AND(_5="B-717",'2026'!$O$4="CA",'2026'!$O$2=BW423),'2026DATA'!$D$37,"")</f>
        <v/>
      </c>
      <c r="BX458" s="518" t="str">
        <f>IF(AND(_5="B-717",'2026'!$O$4="CA",'2026'!$O$2=BX423),'2026DATA'!$E$37,"")</f>
        <v/>
      </c>
      <c r="BY458" s="518" t="str">
        <f>IF(AND(_5="B-717",'2026'!$O$4="CA",'2026'!$O$2=BY423),'2026DATA'!$F$37,"")</f>
        <v/>
      </c>
      <c r="BZ458" s="518" t="str">
        <f>IF(AND(_5="B-717",'2026'!$O$4="CA",'2026'!$O$2=BZ423),'2026DATA'!$G$37,"")</f>
        <v/>
      </c>
      <c r="CA458" s="518" t="str">
        <f>IF(AND(_5="B-717",'2026'!$O$4="CA",'2026'!$O$2=CA423),'2026DATA'!$H$37,"")</f>
        <v/>
      </c>
      <c r="CB458" s="518" t="str">
        <f>IF(AND(_5="B-717",'2026'!$O$4="CA",'2026'!$O$2=CB423),'2026DATA'!$I$37,"")</f>
        <v/>
      </c>
      <c r="CC458" s="518" t="str">
        <f>IF(AND(_5="B-717",'2026'!$O$4="CA",'2026'!$O$2=CC423),'2026DATA'!$J$37,"")</f>
        <v/>
      </c>
      <c r="CD458" s="518" t="str">
        <f>IF(AND(_5="B-717",'2026'!$O$4="CA",'2026'!$O$2=CD423),'2026DATA'!$K$37,"")</f>
        <v/>
      </c>
      <c r="CE458" s="518" t="str">
        <f>IF(AND(_5="B-717",'2026'!$O$4="CA",'2026'!$O$2=CE423),'2026DATA'!$L$37,"")</f>
        <v/>
      </c>
      <c r="CF458" s="518" t="str">
        <f>IF(AND(_5="B-717",'2026'!$O$4="CA",'2026'!$O$2=CF423),'2026DATA'!$M$37,"")</f>
        <v/>
      </c>
      <c r="CG458" s="520" t="str">
        <f>IF(AND(_5="B-717",'2026'!$O$4="CA",'2026'!$O$2=CG423),'2026DATA'!$N$37,"")</f>
        <v/>
      </c>
      <c r="CH458" s="940" t="s">
        <v>53</v>
      </c>
      <c r="CI458" s="13" t="s">
        <v>61</v>
      </c>
      <c r="CJ458" s="518" t="str">
        <f>IF(AND(_6="B-717",'2026'!$O$4="CA",'2026'!$O$2=CJ423),'2026DATA'!$C$37,"")</f>
        <v/>
      </c>
      <c r="CK458" s="518" t="str">
        <f>IF(AND(_6="B-717",'2026'!$O$4="CA",'2026'!$O$2=CK423),'2026DATA'!$D$37,"")</f>
        <v/>
      </c>
      <c r="CL458" s="518" t="str">
        <f>IF(AND(_6="B-717",'2026'!$O$4="CA",'2026'!$O$2=CL423),'2026DATA'!$E$37,"")</f>
        <v/>
      </c>
      <c r="CM458" s="518" t="str">
        <f>IF(AND(_6="B-717",'2026'!$O$4="CA",'2026'!$O$2=CM423),'2026DATA'!$F$37,"")</f>
        <v/>
      </c>
      <c r="CN458" s="518" t="str">
        <f>IF(AND(_6="B-717",'2026'!$O$4="CA",'2026'!$O$2=CN423),'2026DATA'!$G$37,"")</f>
        <v/>
      </c>
      <c r="CO458" s="518" t="str">
        <f>IF(AND(_6="B-717",'2026'!$O$4="CA",'2026'!$O$2=CO423),'2026DATA'!$H$37,"")</f>
        <v/>
      </c>
      <c r="CP458" s="518" t="str">
        <f>IF(AND(_6="B-717",'2026'!$O$4="CA",'2026'!$O$2=CP423),'2026DATA'!$I$37,"")</f>
        <v/>
      </c>
      <c r="CQ458" s="518" t="str">
        <f>IF(AND(_6="B-717",'2026'!$O$4="CA",'2026'!$O$2=CQ423),'2026DATA'!$J$37,"")</f>
        <v/>
      </c>
      <c r="CR458" s="518" t="str">
        <f>IF(AND(_6="B-717",'2026'!$O$4="CA",'2026'!$O$2=CR423),'2026DATA'!$K$37,"")</f>
        <v/>
      </c>
      <c r="CS458" s="518" t="str">
        <f>IF(AND(_6="B-717",'2026'!$O$4="CA",'2026'!$O$2=CS423),'2026DATA'!$L$37,"")</f>
        <v/>
      </c>
      <c r="CT458" s="518" t="str">
        <f>IF(AND(_6="B-717",'2026'!$O$4="CA",'2026'!$O$2=CT423),'2026DATA'!$M$37,"")</f>
        <v/>
      </c>
      <c r="CU458" s="520" t="str">
        <f>IF(AND(_6="B-717",'2026'!$O$4="CA",'2026'!$O$2=CU423),'2026DATA'!$N$37,"")</f>
        <v/>
      </c>
    </row>
    <row r="459" spans="16:99" ht="15.75" thickBot="1" x14ac:dyDescent="0.3">
      <c r="P459" s="941"/>
      <c r="Q459" s="521" t="s">
        <v>62</v>
      </c>
      <c r="R459" s="522" t="str">
        <f>IF(AND(_1="B-717",'2026'!$O$4="FO",'2026'!$O$2=R423),'2026DATA'!$C$38,"")</f>
        <v/>
      </c>
      <c r="S459" s="522" t="str">
        <f>IF(AND(_1="B-717",'2026'!$O$4="FO",'2026'!$O$2=S423),'2026DATA'!$D$38,"")</f>
        <v/>
      </c>
      <c r="T459" s="522" t="str">
        <f>IF(AND(_1="B-717",'2026'!$O$4="FO",'2026'!$O$2=T423),'2026DATA'!$E$38,"")</f>
        <v/>
      </c>
      <c r="U459" s="522" t="str">
        <f>IF(AND(_1="B-717",'2026'!$O$4="FO",'2026'!$O$2=U423),'2026DATA'!$F$38,"")</f>
        <v/>
      </c>
      <c r="V459" s="522" t="str">
        <f>IF(AND(_1="B-717",'2026'!$O$4="FO",'2026'!$O$2=V423),'2026DATA'!$G$38,"")</f>
        <v/>
      </c>
      <c r="W459" s="522" t="str">
        <f>IF(AND(_1="B-717",'2026'!$O$4="FO",'2026'!$O$2=W423),'2026DATA'!$H$38,"")</f>
        <v/>
      </c>
      <c r="X459" s="522" t="str">
        <f>IF(AND(_1="B-717",'2026'!$O$4="FO",'2026'!$O$2=X423),'2026DATA'!$I$38,"")</f>
        <v/>
      </c>
      <c r="Y459" s="522" t="str">
        <f>IF(AND(_1="B-717",'2026'!$O$4="FO",'2026'!$O$2=Y423),'2026DATA'!$J$38,"")</f>
        <v/>
      </c>
      <c r="Z459" s="522" t="str">
        <f>IF(AND(_1="B-717",'2026'!$O$4="FO",'2026'!$O$2=Z423),'2026DATA'!$K$38,"")</f>
        <v/>
      </c>
      <c r="AA459" s="522" t="str">
        <f>IF(AND(_1="B-717",'2026'!$O$4="FO",'2026'!$O$2=AA423),'2026DATA'!$L$38,"")</f>
        <v/>
      </c>
      <c r="AB459" s="522" t="str">
        <f>IF(AND(_1="B-717",'2026'!$O$4="FO",'2026'!$O$2=AB423),'2026DATA'!$M$38,"")</f>
        <v/>
      </c>
      <c r="AC459" s="523" t="str">
        <f>IF(AND(_1="B-717",'2026'!$O$4="FO",'2026'!$O$2=AC423),'2026DATA'!$N$38,"")</f>
        <v/>
      </c>
      <c r="AD459" s="941"/>
      <c r="AE459" s="521" t="s">
        <v>62</v>
      </c>
      <c r="AF459" s="522" t="str">
        <f>IF(AND(_2="B-717",'2026'!$O$4="FO",'2026'!$O$2=AF423),'2026DATA'!$C$38,"")</f>
        <v/>
      </c>
      <c r="AG459" s="522" t="str">
        <f>IF(AND(_2="B-717",'2026'!$O$4="FO",'2026'!$O$2=AG423),'2026DATA'!$D$38,"")</f>
        <v/>
      </c>
      <c r="AH459" s="522" t="str">
        <f>IF(AND(_2="B-717",'2026'!$O$4="FO",'2026'!$O$2=AH423),'2026DATA'!$E$38,"")</f>
        <v/>
      </c>
      <c r="AI459" s="522" t="str">
        <f>IF(AND(_2="B-717",'2026'!$O$4="FO",'2026'!$O$2=AI423),'2026DATA'!$F$38,"")</f>
        <v/>
      </c>
      <c r="AJ459" s="522" t="str">
        <f>IF(AND(_2="B-717",'2026'!$O$4="FO",'2026'!$O$2=AJ423),'2026DATA'!$G$38,"")</f>
        <v/>
      </c>
      <c r="AK459" s="522" t="str">
        <f>IF(AND(_2="B-717",'2026'!$O$4="FO",'2026'!$O$2=AK423),'2026DATA'!$H$38,"")</f>
        <v/>
      </c>
      <c r="AL459" s="522" t="str">
        <f>IF(AND(_2="B-717",'2026'!$O$4="FO",'2026'!$O$2=AL423),'2026DATA'!$I$38,"")</f>
        <v/>
      </c>
      <c r="AM459" s="522" t="str">
        <f>IF(AND(_2="B-717",'2026'!$O$4="FO",'2026'!$O$2=AM423),'2026DATA'!$J$38,"")</f>
        <v/>
      </c>
      <c r="AN459" s="522" t="str">
        <f>IF(AND(_2="B-717",'2026'!$O$4="FO",'2026'!$O$2=AN423),'2026DATA'!$K$38,"")</f>
        <v/>
      </c>
      <c r="AO459" s="522" t="str">
        <f>IF(AND(_2="B-717",'2026'!$O$4="FO",'2026'!$O$2=AO423),'2026DATA'!$L$38,"")</f>
        <v/>
      </c>
      <c r="AP459" s="522" t="str">
        <f>IF(AND(_2="B-717",'2026'!$O$4="FO",'2026'!$O$2=AP423),'2026DATA'!$M$38,"")</f>
        <v/>
      </c>
      <c r="AQ459" s="523" t="str">
        <f>IF(AND(_2="B-717",'2026'!$O$4="FO",'2026'!$O$2=AQ423),'2026DATA'!$N$38,"")</f>
        <v/>
      </c>
      <c r="AR459" s="941"/>
      <c r="AS459" s="521" t="s">
        <v>62</v>
      </c>
      <c r="AT459" s="522" t="str">
        <f>IF(AND(_3="B-717",'2026'!$O$4="FO",'2026'!$O$2=AT423),'2026DATA'!$C$38,"")</f>
        <v/>
      </c>
      <c r="AU459" s="522" t="str">
        <f>IF(AND(_3="B-717",'2026'!$O$4="FO",'2026'!$O$2=AU423),'2026DATA'!$D$38,"")</f>
        <v/>
      </c>
      <c r="AV459" s="522" t="str">
        <f>IF(AND(_3="B-717",'2026'!$O$4="FO",'2026'!$O$2=AV423),'2026DATA'!$E$38,"")</f>
        <v/>
      </c>
      <c r="AW459" s="522" t="str">
        <f>IF(AND(_3="B-717",'2026'!$O$4="FO",'2026'!$O$2=AW423),'2026DATA'!$F$38,"")</f>
        <v/>
      </c>
      <c r="AX459" s="522" t="str">
        <f>IF(AND(_3="B-717",'2026'!$O$4="FO",'2026'!$O$2=AX423),'2026DATA'!$G$38,"")</f>
        <v/>
      </c>
      <c r="AY459" s="522" t="str">
        <f>IF(AND(_3="B-717",'2026'!$O$4="FO",'2026'!$O$2=AY423),'2026DATA'!$H$38,"")</f>
        <v/>
      </c>
      <c r="AZ459" s="522" t="str">
        <f>IF(AND(_3="B-717",'2026'!$O$4="FO",'2026'!$O$2=AZ423),'2026DATA'!$I$38,"")</f>
        <v/>
      </c>
      <c r="BA459" s="522" t="str">
        <f>IF(AND(_3="B-717",'2026'!$O$4="FO",'2026'!$O$2=BA423),'2026DATA'!$J$38,"")</f>
        <v/>
      </c>
      <c r="BB459" s="522" t="str">
        <f>IF(AND(_3="B-717",'2026'!$O$4="FO",'2026'!$O$2=BB423),'2026DATA'!$K$38,"")</f>
        <v/>
      </c>
      <c r="BC459" s="522" t="str">
        <f>IF(AND(_3="B-717",'2026'!$O$4="FO",'2026'!$O$2=BC423),'2026DATA'!$L$38,"")</f>
        <v/>
      </c>
      <c r="BD459" s="522" t="str">
        <f>IF(AND(_3="B-717",'2026'!$O$4="FO",'2026'!$O$2=BD423),'2026DATA'!$M$38,"")</f>
        <v/>
      </c>
      <c r="BE459" s="523" t="str">
        <f>IF(AND(_3="B-717",'2026'!$O$4="FO",'2026'!$O$2=BE423),'2026DATA'!$N$38,"")</f>
        <v/>
      </c>
      <c r="BF459" s="941"/>
      <c r="BG459" s="521" t="s">
        <v>62</v>
      </c>
      <c r="BH459" s="522" t="str">
        <f>IF(AND(_4="B-717",'2026'!$O$4="FO",'2026'!$O$2=BH423),'2026DATA'!$C$38,"")</f>
        <v/>
      </c>
      <c r="BI459" s="522" t="str">
        <f>IF(AND(_4="B-717",'2026'!$O$4="FO",'2026'!$O$2=BI423),'2026DATA'!$D$38,"")</f>
        <v/>
      </c>
      <c r="BJ459" s="522" t="str">
        <f>IF(AND(_4="B-717",'2026'!$O$4="FO",'2026'!$O$2=BJ423),'2026DATA'!$E$38,"")</f>
        <v/>
      </c>
      <c r="BK459" s="522" t="str">
        <f>IF(AND(_4="B-717",'2026'!$O$4="FO",'2026'!$O$2=BK423),'2026DATA'!$F$38,"")</f>
        <v/>
      </c>
      <c r="BL459" s="522" t="str">
        <f>IF(AND(_4="B-717",'2026'!$O$4="FO",'2026'!$O$2=BL423),'2026DATA'!$G$38,"")</f>
        <v/>
      </c>
      <c r="BM459" s="522" t="str">
        <f>IF(AND(_4="B-717",'2026'!$O$4="FO",'2026'!$O$2=BM423),'2026DATA'!$H$38,"")</f>
        <v/>
      </c>
      <c r="BN459" s="522" t="str">
        <f>IF(AND(_4="B-717",'2026'!$O$4="FO",'2026'!$O$2=BN423),'2026DATA'!$I$38,"")</f>
        <v/>
      </c>
      <c r="BO459" s="522" t="str">
        <f>IF(AND(_4="B-717",'2026'!$O$4="FO",'2026'!$O$2=BO423),'2026DATA'!$J$38,"")</f>
        <v/>
      </c>
      <c r="BP459" s="522" t="str">
        <f>IF(AND(_4="B-717",'2026'!$O$4="FO",'2026'!$O$2=BP423),'2026DATA'!$K$38,"")</f>
        <v/>
      </c>
      <c r="BQ459" s="522" t="str">
        <f>IF(AND(_4="B-717",'2026'!$O$4="FO",'2026'!$O$2=BQ423),'2026DATA'!$L$38,"")</f>
        <v/>
      </c>
      <c r="BR459" s="522" t="str">
        <f>IF(AND(_4="B-717",'2026'!$O$4="FO",'2026'!$O$2=BR423),'2026DATA'!$M$38,"")</f>
        <v/>
      </c>
      <c r="BS459" s="523" t="str">
        <f>IF(AND(_4="B-717",'2026'!$O$4="FO",'2026'!$O$2=BS423),'2026DATA'!$N$38,"")</f>
        <v/>
      </c>
      <c r="BT459" s="941"/>
      <c r="BU459" s="521" t="s">
        <v>62</v>
      </c>
      <c r="BV459" s="522" t="str">
        <f>IF(AND(_5="B-717",'2026'!$O$4="FO",'2026'!$O$2=BV423),'2026DATA'!$C$38,"")</f>
        <v/>
      </c>
      <c r="BW459" s="522" t="str">
        <f>IF(AND(_5="B-717",'2026'!$O$4="FO",'2026'!$O$2=BW423),'2026DATA'!$D$38,"")</f>
        <v/>
      </c>
      <c r="BX459" s="522" t="str">
        <f>IF(AND(_5="B-717",'2026'!$O$4="FO",'2026'!$O$2=BX423),'2026DATA'!$E$38,"")</f>
        <v/>
      </c>
      <c r="BY459" s="522" t="str">
        <f>IF(AND(_5="B-717",'2026'!$O$4="FO",'2026'!$O$2=BY423),'2026DATA'!$F$38,"")</f>
        <v/>
      </c>
      <c r="BZ459" s="522" t="str">
        <f>IF(AND(_5="B-717",'2026'!$O$4="FO",'2026'!$O$2=BZ423),'2026DATA'!$G$38,"")</f>
        <v/>
      </c>
      <c r="CA459" s="522" t="str">
        <f>IF(AND(_5="B-717",'2026'!$O$4="FO",'2026'!$O$2=CA423),'2026DATA'!$H$38,"")</f>
        <v/>
      </c>
      <c r="CB459" s="522" t="str">
        <f>IF(AND(_5="B-717",'2026'!$O$4="FO",'2026'!$O$2=CB423),'2026DATA'!$I$38,"")</f>
        <v/>
      </c>
      <c r="CC459" s="522" t="str">
        <f>IF(AND(_5="B-717",'2026'!$O$4="FO",'2026'!$O$2=CC423),'2026DATA'!$J$38,"")</f>
        <v/>
      </c>
      <c r="CD459" s="522" t="str">
        <f>IF(AND(_5="B-717",'2026'!$O$4="FO",'2026'!$O$2=CD423),'2026DATA'!$K$38,"")</f>
        <v/>
      </c>
      <c r="CE459" s="522" t="str">
        <f>IF(AND(_5="B-717",'2026'!$O$4="FO",'2026'!$O$2=CE423),'2026DATA'!$L$38,"")</f>
        <v/>
      </c>
      <c r="CF459" s="522" t="str">
        <f>IF(AND(_5="B-717",'2026'!$O$4="FO",'2026'!$O$2=CF423),'2026DATA'!$M$38,"")</f>
        <v/>
      </c>
      <c r="CG459" s="523" t="str">
        <f>IF(AND(_5="B-717",'2026'!$O$4="FO",'2026'!$O$2=CG423),'2026DATA'!$N$38,"")</f>
        <v/>
      </c>
      <c r="CH459" s="941"/>
      <c r="CI459" s="521" t="s">
        <v>62</v>
      </c>
      <c r="CJ459" s="522" t="str">
        <f>IF(AND(_6="B-717",'2026'!$O$4="FO",'2026'!$O$2=CJ423),'2026DATA'!$C$38,"")</f>
        <v/>
      </c>
      <c r="CK459" s="522" t="str">
        <f>IF(AND(_6="B-717",'2026'!$O$4="FO",'2026'!$O$2=CK423),'2026DATA'!$D$38,"")</f>
        <v/>
      </c>
      <c r="CL459" s="522" t="str">
        <f>IF(AND(_6="B-717",'2026'!$O$4="FO",'2026'!$O$2=CL423),'2026DATA'!$E$38,"")</f>
        <v/>
      </c>
      <c r="CM459" s="522" t="str">
        <f>IF(AND(_6="B-717",'2026'!$O$4="FO",'2026'!$O$2=CM423),'2026DATA'!$F$38,"")</f>
        <v/>
      </c>
      <c r="CN459" s="522" t="str">
        <f>IF(AND(_6="B-717",'2026'!$O$4="FO",'2026'!$O$2=CN423),'2026DATA'!$G$38,"")</f>
        <v/>
      </c>
      <c r="CO459" s="522" t="str">
        <f>IF(AND(_6="B-717",'2026'!$O$4="FO",'2026'!$O$2=CO423),'2026DATA'!$H$38,"")</f>
        <v/>
      </c>
      <c r="CP459" s="522" t="str">
        <f>IF(AND(_6="B-717",'2026'!$O$4="FO",'2026'!$O$2=CP423),'2026DATA'!$I$38,"")</f>
        <v/>
      </c>
      <c r="CQ459" s="522" t="str">
        <f>IF(AND(_6="B-717",'2026'!$O$4="FO",'2026'!$O$2=CQ423),'2026DATA'!$J$38,"")</f>
        <v/>
      </c>
      <c r="CR459" s="522" t="str">
        <f>IF(AND(_6="B-717",'2026'!$O$4="FO",'2026'!$O$2=CR423),'2026DATA'!$K$38,"")</f>
        <v/>
      </c>
      <c r="CS459" s="522" t="str">
        <f>IF(AND(_6="B-717",'2026'!$O$4="FO",'2026'!$O$2=CS423),'2026DATA'!$L$38,"")</f>
        <v/>
      </c>
      <c r="CT459" s="522" t="str">
        <f>IF(AND(_6="B-717",'2026'!$O$4="FO",'2026'!$O$2=CT423),'2026DATA'!$M$38,"")</f>
        <v/>
      </c>
      <c r="CU459" s="523" t="str">
        <f>IF(AND(_6="B-717",'2026'!$O$4="FO",'2026'!$O$2=CU423),'2026DATA'!$N$38,"")</f>
        <v/>
      </c>
    </row>
  </sheetData>
  <sheetProtection algorithmName="SHA-512" hashValue="Ncglxs0IprkfHlhkmyryGtUBURr8sKGBfDk++tmoCdxI8/VSQB4M8aj4NsR9CfjC06qoDl2Mnwh7EliqjayATA==" saltValue="VdptL5Otn5JmcEmaoQspOQ==" spinCount="100000" sheet="1" objects="1" scenarios="1" selectLockedCells="1" selectUnlockedCells="1"/>
  <mergeCells count="1399">
    <mergeCell ref="P434:P435"/>
    <mergeCell ref="P442:P443"/>
    <mergeCell ref="P444:P445"/>
    <mergeCell ref="P446:P447"/>
    <mergeCell ref="P436:P437"/>
    <mergeCell ref="P438:P439"/>
    <mergeCell ref="P440:P441"/>
    <mergeCell ref="P454:P455"/>
    <mergeCell ref="P456:P457"/>
    <mergeCell ref="P458:P459"/>
    <mergeCell ref="P448:P449"/>
    <mergeCell ref="P450:P451"/>
    <mergeCell ref="P452:P453"/>
    <mergeCell ref="P368:P369"/>
    <mergeCell ref="P370:P371"/>
    <mergeCell ref="P372:P373"/>
    <mergeCell ref="P362:P363"/>
    <mergeCell ref="P364:P365"/>
    <mergeCell ref="P366:P367"/>
    <mergeCell ref="P380:P381"/>
    <mergeCell ref="P382:P383"/>
    <mergeCell ref="P374:P375"/>
    <mergeCell ref="P376:P377"/>
    <mergeCell ref="P378:P379"/>
    <mergeCell ref="P392:P393"/>
    <mergeCell ref="P386:P387"/>
    <mergeCell ref="P388:P389"/>
    <mergeCell ref="P390:P391"/>
    <mergeCell ref="P394:P395"/>
    <mergeCell ref="P398:P399"/>
    <mergeCell ref="P282:P283"/>
    <mergeCell ref="P284:P285"/>
    <mergeCell ref="P286:P287"/>
    <mergeCell ref="P280:P281"/>
    <mergeCell ref="P278:P279"/>
    <mergeCell ref="P294:P295"/>
    <mergeCell ref="P296:P297"/>
    <mergeCell ref="P298:P299"/>
    <mergeCell ref="P288:P289"/>
    <mergeCell ref="P290:P291"/>
    <mergeCell ref="P292:P293"/>
    <mergeCell ref="P306:P307"/>
    <mergeCell ref="P310:P311"/>
    <mergeCell ref="P300:P301"/>
    <mergeCell ref="P302:P303"/>
    <mergeCell ref="P304:P305"/>
    <mergeCell ref="P312:P313"/>
    <mergeCell ref="P208:P209"/>
    <mergeCell ref="P210:P211"/>
    <mergeCell ref="P212:P213"/>
    <mergeCell ref="P202:P203"/>
    <mergeCell ref="P204:P205"/>
    <mergeCell ref="P206:P207"/>
    <mergeCell ref="P220:P221"/>
    <mergeCell ref="P222:P223"/>
    <mergeCell ref="P224:P225"/>
    <mergeCell ref="P214:P215"/>
    <mergeCell ref="P216:P217"/>
    <mergeCell ref="P218:P219"/>
    <mergeCell ref="P234:P235"/>
    <mergeCell ref="P236:P237"/>
    <mergeCell ref="P226:P227"/>
    <mergeCell ref="P228:P229"/>
    <mergeCell ref="P230:P231"/>
    <mergeCell ref="P126:P127"/>
    <mergeCell ref="P118:AC118"/>
    <mergeCell ref="P122:P123"/>
    <mergeCell ref="P134:P135"/>
    <mergeCell ref="P136:P137"/>
    <mergeCell ref="P138:P139"/>
    <mergeCell ref="P128:P129"/>
    <mergeCell ref="P130:P131"/>
    <mergeCell ref="P132:P133"/>
    <mergeCell ref="P146:P147"/>
    <mergeCell ref="P148:P149"/>
    <mergeCell ref="P150:P151"/>
    <mergeCell ref="P140:P141"/>
    <mergeCell ref="P142:P143"/>
    <mergeCell ref="P144:P145"/>
    <mergeCell ref="P158:P159"/>
    <mergeCell ref="P152:P153"/>
    <mergeCell ref="P154:P155"/>
    <mergeCell ref="P72:P73"/>
    <mergeCell ref="P74:P75"/>
    <mergeCell ref="P76:P77"/>
    <mergeCell ref="P66:P67"/>
    <mergeCell ref="P68:P69"/>
    <mergeCell ref="P70:P71"/>
    <mergeCell ref="P78:P79"/>
    <mergeCell ref="P82:P83"/>
    <mergeCell ref="P86:P87"/>
    <mergeCell ref="P90:P91"/>
    <mergeCell ref="P94:P95"/>
    <mergeCell ref="P98:P99"/>
    <mergeCell ref="P102:P103"/>
    <mergeCell ref="P106:P107"/>
    <mergeCell ref="P110:P111"/>
    <mergeCell ref="P114:P115"/>
    <mergeCell ref="P124:P125"/>
    <mergeCell ref="A35:A36"/>
    <mergeCell ref="A37:A38"/>
    <mergeCell ref="A29:A30"/>
    <mergeCell ref="A31:A32"/>
    <mergeCell ref="A33:A34"/>
    <mergeCell ref="P30:P31"/>
    <mergeCell ref="P34:P35"/>
    <mergeCell ref="P38:P39"/>
    <mergeCell ref="P48:P49"/>
    <mergeCell ref="P50:P51"/>
    <mergeCell ref="P52:P53"/>
    <mergeCell ref="P46:P47"/>
    <mergeCell ref="P42:AC42"/>
    <mergeCell ref="P60:P61"/>
    <mergeCell ref="P62:P63"/>
    <mergeCell ref="P64:P65"/>
    <mergeCell ref="P54:P55"/>
    <mergeCell ref="P56:P57"/>
    <mergeCell ref="P58:P59"/>
    <mergeCell ref="A11:A12"/>
    <mergeCell ref="A13:A14"/>
    <mergeCell ref="A15:A16"/>
    <mergeCell ref="A7:A8"/>
    <mergeCell ref="A9:A10"/>
    <mergeCell ref="A5:A6"/>
    <mergeCell ref="P6:P7"/>
    <mergeCell ref="P10:P11"/>
    <mergeCell ref="P14:P15"/>
    <mergeCell ref="A23:A24"/>
    <mergeCell ref="A25:A26"/>
    <mergeCell ref="A27:A28"/>
    <mergeCell ref="A17:A18"/>
    <mergeCell ref="A19:A20"/>
    <mergeCell ref="A21:A22"/>
    <mergeCell ref="P18:P19"/>
    <mergeCell ref="P22:P23"/>
    <mergeCell ref="P26:P27"/>
    <mergeCell ref="AD6:AD7"/>
    <mergeCell ref="AR6:AR7"/>
    <mergeCell ref="BF6:BF7"/>
    <mergeCell ref="BT6:BT7"/>
    <mergeCell ref="CH6:CH7"/>
    <mergeCell ref="P8:P9"/>
    <mergeCell ref="AD8:AD9"/>
    <mergeCell ref="AR8:AR9"/>
    <mergeCell ref="BF8:BF9"/>
    <mergeCell ref="BT8:BT9"/>
    <mergeCell ref="CH8:CH9"/>
    <mergeCell ref="A1:N1"/>
    <mergeCell ref="P1:AC1"/>
    <mergeCell ref="AD1:AQ1"/>
    <mergeCell ref="AR1:BE1"/>
    <mergeCell ref="BF1:BS1"/>
    <mergeCell ref="BT1:CG1"/>
    <mergeCell ref="CH1:CU1"/>
    <mergeCell ref="P2:Q3"/>
    <mergeCell ref="AD2:AE3"/>
    <mergeCell ref="AR2:AS3"/>
    <mergeCell ref="BF2:BG3"/>
    <mergeCell ref="BT2:BU3"/>
    <mergeCell ref="CH2:CI3"/>
    <mergeCell ref="A3:A4"/>
    <mergeCell ref="P4:AC4"/>
    <mergeCell ref="AD4:AQ4"/>
    <mergeCell ref="AR4:BE4"/>
    <mergeCell ref="BF4:BS4"/>
    <mergeCell ref="BT4:CG4"/>
    <mergeCell ref="CH4:CU4"/>
    <mergeCell ref="AD14:AD15"/>
    <mergeCell ref="AR14:AR15"/>
    <mergeCell ref="BF14:BF15"/>
    <mergeCell ref="BT14:BT15"/>
    <mergeCell ref="CH14:CH15"/>
    <mergeCell ref="P16:P17"/>
    <mergeCell ref="AD16:AD17"/>
    <mergeCell ref="AR16:AR17"/>
    <mergeCell ref="BF16:BF17"/>
    <mergeCell ref="BT16:BT17"/>
    <mergeCell ref="CH16:CH17"/>
    <mergeCell ref="AD10:AD11"/>
    <mergeCell ref="AR10:AR11"/>
    <mergeCell ref="BF10:BF11"/>
    <mergeCell ref="BT10:BT11"/>
    <mergeCell ref="CH10:CH11"/>
    <mergeCell ref="P12:P13"/>
    <mergeCell ref="AD12:AD13"/>
    <mergeCell ref="AR12:AR13"/>
    <mergeCell ref="BF12:BF13"/>
    <mergeCell ref="BT12:BT13"/>
    <mergeCell ref="CH12:CH13"/>
    <mergeCell ref="AD22:AD23"/>
    <mergeCell ref="AR22:AR23"/>
    <mergeCell ref="BF22:BF23"/>
    <mergeCell ref="BT22:BT23"/>
    <mergeCell ref="CH22:CH23"/>
    <mergeCell ref="P24:P25"/>
    <mergeCell ref="AD24:AD25"/>
    <mergeCell ref="AR24:AR25"/>
    <mergeCell ref="BF24:BF25"/>
    <mergeCell ref="BT24:BT25"/>
    <mergeCell ref="CH24:CH25"/>
    <mergeCell ref="AD18:AD19"/>
    <mergeCell ref="AR18:AR19"/>
    <mergeCell ref="BF18:BF19"/>
    <mergeCell ref="BT18:BT19"/>
    <mergeCell ref="CH18:CH19"/>
    <mergeCell ref="P20:P21"/>
    <mergeCell ref="AD20:AD21"/>
    <mergeCell ref="AR20:AR21"/>
    <mergeCell ref="BF20:BF21"/>
    <mergeCell ref="BT20:BT21"/>
    <mergeCell ref="CH20:CH21"/>
    <mergeCell ref="AD30:AD31"/>
    <mergeCell ref="AR30:AR31"/>
    <mergeCell ref="BF30:BF31"/>
    <mergeCell ref="BT30:BT31"/>
    <mergeCell ref="CH30:CH31"/>
    <mergeCell ref="P32:P33"/>
    <mergeCell ref="AD32:AD33"/>
    <mergeCell ref="AR32:AR33"/>
    <mergeCell ref="BF32:BF33"/>
    <mergeCell ref="BT32:BT33"/>
    <mergeCell ref="CH32:CH33"/>
    <mergeCell ref="AD26:AD27"/>
    <mergeCell ref="AR26:AR27"/>
    <mergeCell ref="BF26:BF27"/>
    <mergeCell ref="BT26:BT27"/>
    <mergeCell ref="CH26:CH27"/>
    <mergeCell ref="P28:P29"/>
    <mergeCell ref="AD28:AD29"/>
    <mergeCell ref="AR28:AR29"/>
    <mergeCell ref="BF28:BF29"/>
    <mergeCell ref="BT28:BT29"/>
    <mergeCell ref="CH28:CH29"/>
    <mergeCell ref="AD38:AD39"/>
    <mergeCell ref="AR38:AR39"/>
    <mergeCell ref="BF38:BF39"/>
    <mergeCell ref="BT38:BT39"/>
    <mergeCell ref="CH38:CH39"/>
    <mergeCell ref="P40:P41"/>
    <mergeCell ref="AD40:AD41"/>
    <mergeCell ref="AR40:AR41"/>
    <mergeCell ref="BF40:BF41"/>
    <mergeCell ref="BT40:BT41"/>
    <mergeCell ref="CH40:CH41"/>
    <mergeCell ref="AD34:AD35"/>
    <mergeCell ref="AR34:AR35"/>
    <mergeCell ref="BF34:BF35"/>
    <mergeCell ref="BT34:BT35"/>
    <mergeCell ref="CH34:CH35"/>
    <mergeCell ref="P36:P37"/>
    <mergeCell ref="AD36:AD37"/>
    <mergeCell ref="AR36:AR37"/>
    <mergeCell ref="BF36:BF37"/>
    <mergeCell ref="BT36:BT37"/>
    <mergeCell ref="CH36:CH37"/>
    <mergeCell ref="AD46:AD47"/>
    <mergeCell ref="AR46:AR47"/>
    <mergeCell ref="BF46:BF47"/>
    <mergeCell ref="BT46:BT47"/>
    <mergeCell ref="CH46:CH47"/>
    <mergeCell ref="AD48:AD49"/>
    <mergeCell ref="AR48:AR49"/>
    <mergeCell ref="BF48:BF49"/>
    <mergeCell ref="BT48:BT49"/>
    <mergeCell ref="CH48:CH49"/>
    <mergeCell ref="AD42:AQ42"/>
    <mergeCell ref="AR42:BE42"/>
    <mergeCell ref="BF42:BS42"/>
    <mergeCell ref="BT42:CG42"/>
    <mergeCell ref="CH42:CU42"/>
    <mergeCell ref="P44:P45"/>
    <mergeCell ref="AD44:AD45"/>
    <mergeCell ref="AR44:AR45"/>
    <mergeCell ref="BF44:BF45"/>
    <mergeCell ref="BT44:BT45"/>
    <mergeCell ref="CH44:CH45"/>
    <mergeCell ref="AD54:AD55"/>
    <mergeCell ref="AR54:AR55"/>
    <mergeCell ref="BF54:BF55"/>
    <mergeCell ref="BT54:BT55"/>
    <mergeCell ref="CH54:CH55"/>
    <mergeCell ref="AD56:AD57"/>
    <mergeCell ref="AR56:AR57"/>
    <mergeCell ref="BF56:BF57"/>
    <mergeCell ref="BT56:BT57"/>
    <mergeCell ref="CH56:CH57"/>
    <mergeCell ref="AD50:AD51"/>
    <mergeCell ref="AR50:AR51"/>
    <mergeCell ref="BF50:BF51"/>
    <mergeCell ref="BT50:BT51"/>
    <mergeCell ref="CH50:CH51"/>
    <mergeCell ref="AD52:AD53"/>
    <mergeCell ref="AR52:AR53"/>
    <mergeCell ref="BF52:BF53"/>
    <mergeCell ref="BT52:BT53"/>
    <mergeCell ref="CH52:CH53"/>
    <mergeCell ref="AD62:AD63"/>
    <mergeCell ref="AR62:AR63"/>
    <mergeCell ref="BF62:BF63"/>
    <mergeCell ref="BT62:BT63"/>
    <mergeCell ref="CH62:CH63"/>
    <mergeCell ref="AD64:AD65"/>
    <mergeCell ref="AR64:AR65"/>
    <mergeCell ref="BF64:BF65"/>
    <mergeCell ref="BT64:BT65"/>
    <mergeCell ref="CH64:CH65"/>
    <mergeCell ref="AD58:AD59"/>
    <mergeCell ref="AR58:AR59"/>
    <mergeCell ref="BF58:BF59"/>
    <mergeCell ref="BT58:BT59"/>
    <mergeCell ref="CH58:CH59"/>
    <mergeCell ref="AD60:AD61"/>
    <mergeCell ref="AR60:AR61"/>
    <mergeCell ref="BF60:BF61"/>
    <mergeCell ref="BT60:BT61"/>
    <mergeCell ref="CH60:CH61"/>
    <mergeCell ref="AD70:AD71"/>
    <mergeCell ref="AR70:AR71"/>
    <mergeCell ref="BF70:BF71"/>
    <mergeCell ref="BT70:BT71"/>
    <mergeCell ref="CH70:CH71"/>
    <mergeCell ref="AD72:AD73"/>
    <mergeCell ref="AR72:AR73"/>
    <mergeCell ref="BF72:BF73"/>
    <mergeCell ref="BT72:BT73"/>
    <mergeCell ref="CH72:CH73"/>
    <mergeCell ref="AD66:AD67"/>
    <mergeCell ref="AR66:AR67"/>
    <mergeCell ref="BF66:BF67"/>
    <mergeCell ref="BT66:BT67"/>
    <mergeCell ref="CH66:CH67"/>
    <mergeCell ref="AD68:AD69"/>
    <mergeCell ref="AR68:AR69"/>
    <mergeCell ref="BF68:BF69"/>
    <mergeCell ref="BT68:BT69"/>
    <mergeCell ref="CH68:CH69"/>
    <mergeCell ref="AD78:AD79"/>
    <mergeCell ref="AR78:AR79"/>
    <mergeCell ref="BF78:BF79"/>
    <mergeCell ref="BT78:BT79"/>
    <mergeCell ref="CH78:CH79"/>
    <mergeCell ref="P80:AC80"/>
    <mergeCell ref="AD80:AQ80"/>
    <mergeCell ref="AR80:BE80"/>
    <mergeCell ref="BF80:BS80"/>
    <mergeCell ref="BT80:CG80"/>
    <mergeCell ref="CH80:CU80"/>
    <mergeCell ref="AD74:AD75"/>
    <mergeCell ref="AR74:AR75"/>
    <mergeCell ref="BF74:BF75"/>
    <mergeCell ref="BT74:BT75"/>
    <mergeCell ref="CH74:CH75"/>
    <mergeCell ref="AD76:AD77"/>
    <mergeCell ref="AR76:AR77"/>
    <mergeCell ref="BF76:BF77"/>
    <mergeCell ref="BT76:BT77"/>
    <mergeCell ref="CH76:CH77"/>
    <mergeCell ref="AD86:AD87"/>
    <mergeCell ref="AR86:AR87"/>
    <mergeCell ref="BF86:BF87"/>
    <mergeCell ref="BT86:BT87"/>
    <mergeCell ref="CH86:CH87"/>
    <mergeCell ref="P88:P89"/>
    <mergeCell ref="AD88:AD89"/>
    <mergeCell ref="AR88:AR89"/>
    <mergeCell ref="BF88:BF89"/>
    <mergeCell ref="BT88:BT89"/>
    <mergeCell ref="CH88:CH89"/>
    <mergeCell ref="AD82:AD83"/>
    <mergeCell ref="AR82:AR83"/>
    <mergeCell ref="BF82:BF83"/>
    <mergeCell ref="BT82:BT83"/>
    <mergeCell ref="CH82:CH83"/>
    <mergeCell ref="P84:P85"/>
    <mergeCell ref="AD84:AD85"/>
    <mergeCell ref="AR84:AR85"/>
    <mergeCell ref="BF84:BF85"/>
    <mergeCell ref="BT84:BT85"/>
    <mergeCell ref="CH84:CH85"/>
    <mergeCell ref="AD94:AD95"/>
    <mergeCell ref="AR94:AR95"/>
    <mergeCell ref="BF94:BF95"/>
    <mergeCell ref="BT94:BT95"/>
    <mergeCell ref="CH94:CH95"/>
    <mergeCell ref="P96:P97"/>
    <mergeCell ref="AD96:AD97"/>
    <mergeCell ref="AR96:AR97"/>
    <mergeCell ref="BF96:BF97"/>
    <mergeCell ref="BT96:BT97"/>
    <mergeCell ref="CH96:CH97"/>
    <mergeCell ref="AD90:AD91"/>
    <mergeCell ref="AR90:AR91"/>
    <mergeCell ref="BF90:BF91"/>
    <mergeCell ref="BT90:BT91"/>
    <mergeCell ref="CH90:CH91"/>
    <mergeCell ref="P92:P93"/>
    <mergeCell ref="AD92:AD93"/>
    <mergeCell ref="AR92:AR93"/>
    <mergeCell ref="BF92:BF93"/>
    <mergeCell ref="BT92:BT93"/>
    <mergeCell ref="CH92:CH93"/>
    <mergeCell ref="AD102:AD103"/>
    <mergeCell ref="AR102:AR103"/>
    <mergeCell ref="BF102:BF103"/>
    <mergeCell ref="BT102:BT103"/>
    <mergeCell ref="CH102:CH103"/>
    <mergeCell ref="P104:P105"/>
    <mergeCell ref="AD104:AD105"/>
    <mergeCell ref="AR104:AR105"/>
    <mergeCell ref="BF104:BF105"/>
    <mergeCell ref="BT104:BT105"/>
    <mergeCell ref="CH104:CH105"/>
    <mergeCell ref="AD98:AD99"/>
    <mergeCell ref="AR98:AR99"/>
    <mergeCell ref="BF98:BF99"/>
    <mergeCell ref="BT98:BT99"/>
    <mergeCell ref="CH98:CH99"/>
    <mergeCell ref="P100:P101"/>
    <mergeCell ref="AD100:AD101"/>
    <mergeCell ref="AR100:AR101"/>
    <mergeCell ref="BF100:BF101"/>
    <mergeCell ref="BT100:BT101"/>
    <mergeCell ref="CH100:CH101"/>
    <mergeCell ref="AD110:AD111"/>
    <mergeCell ref="AR110:AR111"/>
    <mergeCell ref="BF110:BF111"/>
    <mergeCell ref="BT110:BT111"/>
    <mergeCell ref="CH110:CH111"/>
    <mergeCell ref="P112:P113"/>
    <mergeCell ref="AD112:AD113"/>
    <mergeCell ref="AR112:AR113"/>
    <mergeCell ref="BF112:BF113"/>
    <mergeCell ref="BT112:BT113"/>
    <mergeCell ref="CH112:CH113"/>
    <mergeCell ref="AD106:AD107"/>
    <mergeCell ref="AR106:AR107"/>
    <mergeCell ref="BF106:BF107"/>
    <mergeCell ref="BT106:BT107"/>
    <mergeCell ref="CH106:CH107"/>
    <mergeCell ref="P108:P109"/>
    <mergeCell ref="AD108:AD109"/>
    <mergeCell ref="AR108:AR109"/>
    <mergeCell ref="BF108:BF109"/>
    <mergeCell ref="BT108:BT109"/>
    <mergeCell ref="CH108:CH109"/>
    <mergeCell ref="AD118:AQ118"/>
    <mergeCell ref="AR118:BE118"/>
    <mergeCell ref="BF118:BS118"/>
    <mergeCell ref="BT118:CG118"/>
    <mergeCell ref="CH118:CU118"/>
    <mergeCell ref="P120:P121"/>
    <mergeCell ref="AD120:AD121"/>
    <mergeCell ref="AR120:AR121"/>
    <mergeCell ref="BF120:BF121"/>
    <mergeCell ref="BT120:BT121"/>
    <mergeCell ref="CH120:CH121"/>
    <mergeCell ref="AD114:AD115"/>
    <mergeCell ref="AR114:AR115"/>
    <mergeCell ref="BF114:BF115"/>
    <mergeCell ref="BT114:BT115"/>
    <mergeCell ref="CH114:CH115"/>
    <mergeCell ref="P116:P117"/>
    <mergeCell ref="AD116:AD117"/>
    <mergeCell ref="AR116:AR117"/>
    <mergeCell ref="BF116:BF117"/>
    <mergeCell ref="BT116:BT117"/>
    <mergeCell ref="CH116:CH117"/>
    <mergeCell ref="AD126:AD127"/>
    <mergeCell ref="AR126:AR127"/>
    <mergeCell ref="BF126:BF127"/>
    <mergeCell ref="BT126:BT127"/>
    <mergeCell ref="CH126:CH127"/>
    <mergeCell ref="AD128:AD129"/>
    <mergeCell ref="AR128:AR129"/>
    <mergeCell ref="BF128:BF129"/>
    <mergeCell ref="BT128:BT129"/>
    <mergeCell ref="CH128:CH129"/>
    <mergeCell ref="AD122:AD123"/>
    <mergeCell ref="AR122:AR123"/>
    <mergeCell ref="BF122:BF123"/>
    <mergeCell ref="BT122:BT123"/>
    <mergeCell ref="CH122:CH123"/>
    <mergeCell ref="AD124:AD125"/>
    <mergeCell ref="AR124:AR125"/>
    <mergeCell ref="BF124:BF125"/>
    <mergeCell ref="BT124:BT125"/>
    <mergeCell ref="CH124:CH125"/>
    <mergeCell ref="AD134:AD135"/>
    <mergeCell ref="AR134:AR135"/>
    <mergeCell ref="BF134:BF135"/>
    <mergeCell ref="BT134:BT135"/>
    <mergeCell ref="CH134:CH135"/>
    <mergeCell ref="AD136:AD137"/>
    <mergeCell ref="AR136:AR137"/>
    <mergeCell ref="BF136:BF137"/>
    <mergeCell ref="BT136:BT137"/>
    <mergeCell ref="CH136:CH137"/>
    <mergeCell ref="AD130:AD131"/>
    <mergeCell ref="AR130:AR131"/>
    <mergeCell ref="BF130:BF131"/>
    <mergeCell ref="BT130:BT131"/>
    <mergeCell ref="CH130:CH131"/>
    <mergeCell ref="AD132:AD133"/>
    <mergeCell ref="AR132:AR133"/>
    <mergeCell ref="BF132:BF133"/>
    <mergeCell ref="BT132:BT133"/>
    <mergeCell ref="CH132:CH133"/>
    <mergeCell ref="AD142:AD143"/>
    <mergeCell ref="AR142:AR143"/>
    <mergeCell ref="BF142:BF143"/>
    <mergeCell ref="BT142:BT143"/>
    <mergeCell ref="CH142:CH143"/>
    <mergeCell ref="AD144:AD145"/>
    <mergeCell ref="AR144:AR145"/>
    <mergeCell ref="BF144:BF145"/>
    <mergeCell ref="BT144:BT145"/>
    <mergeCell ref="CH144:CH145"/>
    <mergeCell ref="AD138:AD139"/>
    <mergeCell ref="AR138:AR139"/>
    <mergeCell ref="BF138:BF139"/>
    <mergeCell ref="BT138:BT139"/>
    <mergeCell ref="CH138:CH139"/>
    <mergeCell ref="AD140:AD141"/>
    <mergeCell ref="AR140:AR141"/>
    <mergeCell ref="BF140:BF141"/>
    <mergeCell ref="BT140:BT141"/>
    <mergeCell ref="CH140:CH141"/>
    <mergeCell ref="AD150:AD151"/>
    <mergeCell ref="AR150:AR151"/>
    <mergeCell ref="BF150:BF151"/>
    <mergeCell ref="BT150:BT151"/>
    <mergeCell ref="CH150:CH151"/>
    <mergeCell ref="AD152:AD153"/>
    <mergeCell ref="AR152:AR153"/>
    <mergeCell ref="BF152:BF153"/>
    <mergeCell ref="BT152:BT153"/>
    <mergeCell ref="CH152:CH153"/>
    <mergeCell ref="AD146:AD147"/>
    <mergeCell ref="AR146:AR147"/>
    <mergeCell ref="BF146:BF147"/>
    <mergeCell ref="BT146:BT147"/>
    <mergeCell ref="CH146:CH147"/>
    <mergeCell ref="AD148:AD149"/>
    <mergeCell ref="AR148:AR149"/>
    <mergeCell ref="BF148:BF149"/>
    <mergeCell ref="BT148:BT149"/>
    <mergeCell ref="CH148:CH149"/>
    <mergeCell ref="AD158:AD159"/>
    <mergeCell ref="AR158:AR159"/>
    <mergeCell ref="BF158:BF159"/>
    <mergeCell ref="BT158:BT159"/>
    <mergeCell ref="CH158:CH159"/>
    <mergeCell ref="P160:P161"/>
    <mergeCell ref="AD160:AD161"/>
    <mergeCell ref="AR160:AR161"/>
    <mergeCell ref="BF160:BF161"/>
    <mergeCell ref="BT160:BT161"/>
    <mergeCell ref="CH160:CH161"/>
    <mergeCell ref="AD154:AD155"/>
    <mergeCell ref="AR154:AR155"/>
    <mergeCell ref="BF154:BF155"/>
    <mergeCell ref="BT154:BT155"/>
    <mergeCell ref="CH154:CH155"/>
    <mergeCell ref="P156:AC156"/>
    <mergeCell ref="AD156:AQ156"/>
    <mergeCell ref="AR156:BE156"/>
    <mergeCell ref="BF156:BS156"/>
    <mergeCell ref="BT156:CG156"/>
    <mergeCell ref="CH156:CU156"/>
    <mergeCell ref="AD166:AD167"/>
    <mergeCell ref="AR166:AR167"/>
    <mergeCell ref="BF166:BF167"/>
    <mergeCell ref="BT166:BT167"/>
    <mergeCell ref="CH166:CH167"/>
    <mergeCell ref="P168:P169"/>
    <mergeCell ref="AD168:AD169"/>
    <mergeCell ref="AR168:AR169"/>
    <mergeCell ref="BF168:BF169"/>
    <mergeCell ref="BT168:BT169"/>
    <mergeCell ref="CH168:CH169"/>
    <mergeCell ref="AD162:AD163"/>
    <mergeCell ref="AR162:AR163"/>
    <mergeCell ref="BF162:BF163"/>
    <mergeCell ref="BT162:BT163"/>
    <mergeCell ref="CH162:CH163"/>
    <mergeCell ref="P164:P165"/>
    <mergeCell ref="AD164:AD165"/>
    <mergeCell ref="AR164:AR165"/>
    <mergeCell ref="BF164:BF165"/>
    <mergeCell ref="BT164:BT165"/>
    <mergeCell ref="CH164:CH165"/>
    <mergeCell ref="P162:P163"/>
    <mergeCell ref="P166:P167"/>
    <mergeCell ref="AD174:AD175"/>
    <mergeCell ref="AR174:AR175"/>
    <mergeCell ref="BF174:BF175"/>
    <mergeCell ref="BT174:BT175"/>
    <mergeCell ref="CH174:CH175"/>
    <mergeCell ref="P176:P177"/>
    <mergeCell ref="AD176:AD177"/>
    <mergeCell ref="AR176:AR177"/>
    <mergeCell ref="BF176:BF177"/>
    <mergeCell ref="BT176:BT177"/>
    <mergeCell ref="CH176:CH177"/>
    <mergeCell ref="AD170:AD171"/>
    <mergeCell ref="AR170:AR171"/>
    <mergeCell ref="BF170:BF171"/>
    <mergeCell ref="BT170:BT171"/>
    <mergeCell ref="CH170:CH171"/>
    <mergeCell ref="P172:P173"/>
    <mergeCell ref="AD172:AD173"/>
    <mergeCell ref="AR172:AR173"/>
    <mergeCell ref="BF172:BF173"/>
    <mergeCell ref="BT172:BT173"/>
    <mergeCell ref="CH172:CH173"/>
    <mergeCell ref="P170:P171"/>
    <mergeCell ref="P174:P175"/>
    <mergeCell ref="AD182:AD183"/>
    <mergeCell ref="AR182:AR183"/>
    <mergeCell ref="BF182:BF183"/>
    <mergeCell ref="BT182:BT183"/>
    <mergeCell ref="CH182:CH183"/>
    <mergeCell ref="P184:P185"/>
    <mergeCell ref="AD184:AD185"/>
    <mergeCell ref="AR184:AR185"/>
    <mergeCell ref="BF184:BF185"/>
    <mergeCell ref="BT184:BT185"/>
    <mergeCell ref="CH184:CH185"/>
    <mergeCell ref="AD178:AD179"/>
    <mergeCell ref="AR178:AR179"/>
    <mergeCell ref="BF178:BF179"/>
    <mergeCell ref="BT178:BT179"/>
    <mergeCell ref="CH178:CH179"/>
    <mergeCell ref="P180:P181"/>
    <mergeCell ref="AD180:AD181"/>
    <mergeCell ref="AR180:AR181"/>
    <mergeCell ref="BF180:BF181"/>
    <mergeCell ref="BT180:BT181"/>
    <mergeCell ref="CH180:CH181"/>
    <mergeCell ref="P178:P179"/>
    <mergeCell ref="P182:P183"/>
    <mergeCell ref="AD190:AD191"/>
    <mergeCell ref="AR190:AR191"/>
    <mergeCell ref="BF190:BF191"/>
    <mergeCell ref="BT190:BT191"/>
    <mergeCell ref="CH190:CH191"/>
    <mergeCell ref="P192:P193"/>
    <mergeCell ref="AD192:AD193"/>
    <mergeCell ref="AR192:AR193"/>
    <mergeCell ref="BF192:BF193"/>
    <mergeCell ref="BT192:BT193"/>
    <mergeCell ref="CH192:CH193"/>
    <mergeCell ref="AD186:AD187"/>
    <mergeCell ref="AR186:AR187"/>
    <mergeCell ref="BF186:BF187"/>
    <mergeCell ref="BT186:BT187"/>
    <mergeCell ref="CH186:CH187"/>
    <mergeCell ref="P188:P189"/>
    <mergeCell ref="AD188:AD189"/>
    <mergeCell ref="AR188:AR189"/>
    <mergeCell ref="BF188:BF189"/>
    <mergeCell ref="BT188:BT189"/>
    <mergeCell ref="CH188:CH189"/>
    <mergeCell ref="P186:P187"/>
    <mergeCell ref="P190:P191"/>
    <mergeCell ref="AD198:AD199"/>
    <mergeCell ref="AR198:AR199"/>
    <mergeCell ref="BF198:BF199"/>
    <mergeCell ref="BT198:BT199"/>
    <mergeCell ref="CH198:CH199"/>
    <mergeCell ref="P200:P201"/>
    <mergeCell ref="AD200:AD201"/>
    <mergeCell ref="AR200:AR201"/>
    <mergeCell ref="BF200:BF201"/>
    <mergeCell ref="BT200:BT201"/>
    <mergeCell ref="CH200:CH201"/>
    <mergeCell ref="AD194:AQ194"/>
    <mergeCell ref="AR194:BE194"/>
    <mergeCell ref="BF194:BS194"/>
    <mergeCell ref="BT194:CG194"/>
    <mergeCell ref="CH194:CU194"/>
    <mergeCell ref="P196:P197"/>
    <mergeCell ref="AD196:AD197"/>
    <mergeCell ref="AR196:AR197"/>
    <mergeCell ref="BF196:BF197"/>
    <mergeCell ref="BT196:BT197"/>
    <mergeCell ref="CH196:CH197"/>
    <mergeCell ref="P194:AC194"/>
    <mergeCell ref="P198:P199"/>
    <mergeCell ref="AD206:AD207"/>
    <mergeCell ref="AR206:AR207"/>
    <mergeCell ref="BF206:BF207"/>
    <mergeCell ref="BT206:BT207"/>
    <mergeCell ref="CH206:CH207"/>
    <mergeCell ref="AD208:AD209"/>
    <mergeCell ref="AR208:AR209"/>
    <mergeCell ref="BF208:BF209"/>
    <mergeCell ref="BT208:BT209"/>
    <mergeCell ref="CH208:CH209"/>
    <mergeCell ref="AD202:AD203"/>
    <mergeCell ref="AR202:AR203"/>
    <mergeCell ref="BF202:BF203"/>
    <mergeCell ref="BT202:BT203"/>
    <mergeCell ref="CH202:CH203"/>
    <mergeCell ref="AD204:AD205"/>
    <mergeCell ref="AR204:AR205"/>
    <mergeCell ref="BF204:BF205"/>
    <mergeCell ref="BT204:BT205"/>
    <mergeCell ref="CH204:CH205"/>
    <mergeCell ref="AD214:AD215"/>
    <mergeCell ref="AR214:AR215"/>
    <mergeCell ref="BF214:BF215"/>
    <mergeCell ref="BT214:BT215"/>
    <mergeCell ref="CH214:CH215"/>
    <mergeCell ref="AD216:AD217"/>
    <mergeCell ref="AR216:AR217"/>
    <mergeCell ref="BF216:BF217"/>
    <mergeCell ref="BT216:BT217"/>
    <mergeCell ref="CH216:CH217"/>
    <mergeCell ref="AD210:AD211"/>
    <mergeCell ref="AR210:AR211"/>
    <mergeCell ref="BF210:BF211"/>
    <mergeCell ref="BT210:BT211"/>
    <mergeCell ref="CH210:CH211"/>
    <mergeCell ref="AD212:AD213"/>
    <mergeCell ref="AR212:AR213"/>
    <mergeCell ref="BF212:BF213"/>
    <mergeCell ref="BT212:BT213"/>
    <mergeCell ref="CH212:CH213"/>
    <mergeCell ref="AD222:AD223"/>
    <mergeCell ref="AR222:AR223"/>
    <mergeCell ref="BF222:BF223"/>
    <mergeCell ref="BT222:BT223"/>
    <mergeCell ref="CH222:CH223"/>
    <mergeCell ref="AD224:AD225"/>
    <mergeCell ref="AR224:AR225"/>
    <mergeCell ref="BF224:BF225"/>
    <mergeCell ref="BT224:BT225"/>
    <mergeCell ref="CH224:CH225"/>
    <mergeCell ref="AD218:AD219"/>
    <mergeCell ref="AR218:AR219"/>
    <mergeCell ref="BF218:BF219"/>
    <mergeCell ref="BT218:BT219"/>
    <mergeCell ref="CH218:CH219"/>
    <mergeCell ref="AD220:AD221"/>
    <mergeCell ref="AR220:AR221"/>
    <mergeCell ref="BF220:BF221"/>
    <mergeCell ref="BT220:BT221"/>
    <mergeCell ref="CH220:CH221"/>
    <mergeCell ref="AD230:AD231"/>
    <mergeCell ref="AR230:AR231"/>
    <mergeCell ref="BF230:BF231"/>
    <mergeCell ref="BT230:BT231"/>
    <mergeCell ref="CH230:CH231"/>
    <mergeCell ref="P232:AC232"/>
    <mergeCell ref="AD232:AQ232"/>
    <mergeCell ref="AR232:BE232"/>
    <mergeCell ref="BF232:BS232"/>
    <mergeCell ref="BT232:CG232"/>
    <mergeCell ref="CH232:CU232"/>
    <mergeCell ref="AD226:AD227"/>
    <mergeCell ref="AR226:AR227"/>
    <mergeCell ref="BF226:BF227"/>
    <mergeCell ref="BT226:BT227"/>
    <mergeCell ref="CH226:CH227"/>
    <mergeCell ref="AD228:AD229"/>
    <mergeCell ref="AR228:AR229"/>
    <mergeCell ref="BF228:BF229"/>
    <mergeCell ref="BT228:BT229"/>
    <mergeCell ref="CH228:CH229"/>
    <mergeCell ref="AD238:AD239"/>
    <mergeCell ref="AR238:AR239"/>
    <mergeCell ref="BF238:BF239"/>
    <mergeCell ref="BT238:BT239"/>
    <mergeCell ref="CH238:CH239"/>
    <mergeCell ref="P240:P241"/>
    <mergeCell ref="AD240:AD241"/>
    <mergeCell ref="AR240:AR241"/>
    <mergeCell ref="BF240:BF241"/>
    <mergeCell ref="BT240:BT241"/>
    <mergeCell ref="CH240:CH241"/>
    <mergeCell ref="AD234:AD235"/>
    <mergeCell ref="AR234:AR235"/>
    <mergeCell ref="BF234:BF235"/>
    <mergeCell ref="BT234:BT235"/>
    <mergeCell ref="CH234:CH235"/>
    <mergeCell ref="AD236:AD237"/>
    <mergeCell ref="AR236:AR237"/>
    <mergeCell ref="BF236:BF237"/>
    <mergeCell ref="BT236:BT237"/>
    <mergeCell ref="CH236:CH237"/>
    <mergeCell ref="P238:P239"/>
    <mergeCell ref="AD246:AD247"/>
    <mergeCell ref="AR246:AR247"/>
    <mergeCell ref="BF246:BF247"/>
    <mergeCell ref="BT246:BT247"/>
    <mergeCell ref="CH246:CH247"/>
    <mergeCell ref="P248:P249"/>
    <mergeCell ref="AD248:AD249"/>
    <mergeCell ref="AR248:AR249"/>
    <mergeCell ref="BF248:BF249"/>
    <mergeCell ref="BT248:BT249"/>
    <mergeCell ref="CH248:CH249"/>
    <mergeCell ref="AD242:AD243"/>
    <mergeCell ref="AR242:AR243"/>
    <mergeCell ref="BF242:BF243"/>
    <mergeCell ref="BT242:BT243"/>
    <mergeCell ref="CH242:CH243"/>
    <mergeCell ref="P244:P245"/>
    <mergeCell ref="AD244:AD245"/>
    <mergeCell ref="AR244:AR245"/>
    <mergeCell ref="BF244:BF245"/>
    <mergeCell ref="BT244:BT245"/>
    <mergeCell ref="CH244:CH245"/>
    <mergeCell ref="P242:P243"/>
    <mergeCell ref="P246:P247"/>
    <mergeCell ref="AD254:AD255"/>
    <mergeCell ref="AR254:AR255"/>
    <mergeCell ref="BF254:BF255"/>
    <mergeCell ref="BT254:BT255"/>
    <mergeCell ref="CH254:CH255"/>
    <mergeCell ref="P256:P257"/>
    <mergeCell ref="AD256:AD257"/>
    <mergeCell ref="AR256:AR257"/>
    <mergeCell ref="BF256:BF257"/>
    <mergeCell ref="BT256:BT257"/>
    <mergeCell ref="CH256:CH257"/>
    <mergeCell ref="AD250:AD251"/>
    <mergeCell ref="AR250:AR251"/>
    <mergeCell ref="BF250:BF251"/>
    <mergeCell ref="BT250:BT251"/>
    <mergeCell ref="CH250:CH251"/>
    <mergeCell ref="P252:P253"/>
    <mergeCell ref="AD252:AD253"/>
    <mergeCell ref="AR252:AR253"/>
    <mergeCell ref="BF252:BF253"/>
    <mergeCell ref="BT252:BT253"/>
    <mergeCell ref="CH252:CH253"/>
    <mergeCell ref="P250:P251"/>
    <mergeCell ref="P254:P255"/>
    <mergeCell ref="AD262:AD263"/>
    <mergeCell ref="AR262:AR263"/>
    <mergeCell ref="BF262:BF263"/>
    <mergeCell ref="BT262:BT263"/>
    <mergeCell ref="CH262:CH263"/>
    <mergeCell ref="P264:P265"/>
    <mergeCell ref="AD264:AD265"/>
    <mergeCell ref="AR264:AR265"/>
    <mergeCell ref="BF264:BF265"/>
    <mergeCell ref="BT264:BT265"/>
    <mergeCell ref="CH264:CH265"/>
    <mergeCell ref="AD258:AD259"/>
    <mergeCell ref="AR258:AR259"/>
    <mergeCell ref="BF258:BF259"/>
    <mergeCell ref="BT258:BT259"/>
    <mergeCell ref="CH258:CH259"/>
    <mergeCell ref="P260:P261"/>
    <mergeCell ref="AD260:AD261"/>
    <mergeCell ref="AR260:AR261"/>
    <mergeCell ref="BF260:BF261"/>
    <mergeCell ref="BT260:BT261"/>
    <mergeCell ref="CH260:CH261"/>
    <mergeCell ref="P258:P259"/>
    <mergeCell ref="P262:P263"/>
    <mergeCell ref="AD270:AQ270"/>
    <mergeCell ref="AR270:BE270"/>
    <mergeCell ref="BF270:BS270"/>
    <mergeCell ref="BT270:CG270"/>
    <mergeCell ref="CH270:CU270"/>
    <mergeCell ref="P272:P273"/>
    <mergeCell ref="AD272:AD273"/>
    <mergeCell ref="AR272:AR273"/>
    <mergeCell ref="BF272:BF273"/>
    <mergeCell ref="BT272:BT273"/>
    <mergeCell ref="CH272:CH273"/>
    <mergeCell ref="AD266:AD267"/>
    <mergeCell ref="AR266:AR267"/>
    <mergeCell ref="BF266:BF267"/>
    <mergeCell ref="BT266:BT267"/>
    <mergeCell ref="CH266:CH267"/>
    <mergeCell ref="P268:P269"/>
    <mergeCell ref="AD268:AD269"/>
    <mergeCell ref="AR268:AR269"/>
    <mergeCell ref="BF268:BF269"/>
    <mergeCell ref="BT268:BT269"/>
    <mergeCell ref="CH268:CH269"/>
    <mergeCell ref="P266:P267"/>
    <mergeCell ref="P270:AC270"/>
    <mergeCell ref="AD278:AD279"/>
    <mergeCell ref="AR278:AR279"/>
    <mergeCell ref="BF278:BF279"/>
    <mergeCell ref="BT278:BT279"/>
    <mergeCell ref="CH278:CH279"/>
    <mergeCell ref="AD280:AD281"/>
    <mergeCell ref="AR280:AR281"/>
    <mergeCell ref="BF280:BF281"/>
    <mergeCell ref="BT280:BT281"/>
    <mergeCell ref="CH280:CH281"/>
    <mergeCell ref="AD274:AD275"/>
    <mergeCell ref="AR274:AR275"/>
    <mergeCell ref="BF274:BF275"/>
    <mergeCell ref="BT274:BT275"/>
    <mergeCell ref="CH274:CH275"/>
    <mergeCell ref="P276:P277"/>
    <mergeCell ref="AD276:AD277"/>
    <mergeCell ref="AR276:AR277"/>
    <mergeCell ref="BF276:BF277"/>
    <mergeCell ref="BT276:BT277"/>
    <mergeCell ref="CH276:CH277"/>
    <mergeCell ref="P274:P275"/>
    <mergeCell ref="AD286:AD287"/>
    <mergeCell ref="AR286:AR287"/>
    <mergeCell ref="BF286:BF287"/>
    <mergeCell ref="BT286:BT287"/>
    <mergeCell ref="CH286:CH287"/>
    <mergeCell ref="AD288:AD289"/>
    <mergeCell ref="AR288:AR289"/>
    <mergeCell ref="BF288:BF289"/>
    <mergeCell ref="BT288:BT289"/>
    <mergeCell ref="CH288:CH289"/>
    <mergeCell ref="AD282:AD283"/>
    <mergeCell ref="AR282:AR283"/>
    <mergeCell ref="BF282:BF283"/>
    <mergeCell ref="BT282:BT283"/>
    <mergeCell ref="CH282:CH283"/>
    <mergeCell ref="AD284:AD285"/>
    <mergeCell ref="AR284:AR285"/>
    <mergeCell ref="BF284:BF285"/>
    <mergeCell ref="BT284:BT285"/>
    <mergeCell ref="CH284:CH285"/>
    <mergeCell ref="AD294:AD295"/>
    <mergeCell ref="AR294:AR295"/>
    <mergeCell ref="BF294:BF295"/>
    <mergeCell ref="BT294:BT295"/>
    <mergeCell ref="CH294:CH295"/>
    <mergeCell ref="AD296:AD297"/>
    <mergeCell ref="AR296:AR297"/>
    <mergeCell ref="BF296:BF297"/>
    <mergeCell ref="BT296:BT297"/>
    <mergeCell ref="CH296:CH297"/>
    <mergeCell ref="AD290:AD291"/>
    <mergeCell ref="AR290:AR291"/>
    <mergeCell ref="BF290:BF291"/>
    <mergeCell ref="BT290:BT291"/>
    <mergeCell ref="CH290:CH291"/>
    <mergeCell ref="AD292:AD293"/>
    <mergeCell ref="AR292:AR293"/>
    <mergeCell ref="BF292:BF293"/>
    <mergeCell ref="BT292:BT293"/>
    <mergeCell ref="CH292:CH293"/>
    <mergeCell ref="AD302:AD303"/>
    <mergeCell ref="AR302:AR303"/>
    <mergeCell ref="BF302:BF303"/>
    <mergeCell ref="BT302:BT303"/>
    <mergeCell ref="CH302:CH303"/>
    <mergeCell ref="AD304:AD305"/>
    <mergeCell ref="AR304:AR305"/>
    <mergeCell ref="BF304:BF305"/>
    <mergeCell ref="BT304:BT305"/>
    <mergeCell ref="CH304:CH305"/>
    <mergeCell ref="AD298:AD299"/>
    <mergeCell ref="AR298:AR299"/>
    <mergeCell ref="BF298:BF299"/>
    <mergeCell ref="BT298:BT299"/>
    <mergeCell ref="CH298:CH299"/>
    <mergeCell ref="AD300:AD301"/>
    <mergeCell ref="AR300:AR301"/>
    <mergeCell ref="BF300:BF301"/>
    <mergeCell ref="BT300:BT301"/>
    <mergeCell ref="CH300:CH301"/>
    <mergeCell ref="AD310:AD311"/>
    <mergeCell ref="AR310:AR311"/>
    <mergeCell ref="BF310:BF311"/>
    <mergeCell ref="BT310:BT311"/>
    <mergeCell ref="CH310:CH311"/>
    <mergeCell ref="AD312:AD313"/>
    <mergeCell ref="AR312:AR313"/>
    <mergeCell ref="BF312:BF313"/>
    <mergeCell ref="BT312:BT313"/>
    <mergeCell ref="CH312:CH313"/>
    <mergeCell ref="AD306:AD307"/>
    <mergeCell ref="AR306:AR307"/>
    <mergeCell ref="BF306:BF307"/>
    <mergeCell ref="BT306:BT307"/>
    <mergeCell ref="CH306:CH307"/>
    <mergeCell ref="P308:AC308"/>
    <mergeCell ref="AD308:AQ308"/>
    <mergeCell ref="AR308:BE308"/>
    <mergeCell ref="BF308:BS308"/>
    <mergeCell ref="BT308:CG308"/>
    <mergeCell ref="CH308:CU308"/>
    <mergeCell ref="AD318:AD319"/>
    <mergeCell ref="AR318:AR319"/>
    <mergeCell ref="BF318:BF319"/>
    <mergeCell ref="BT318:BT319"/>
    <mergeCell ref="CH318:CH319"/>
    <mergeCell ref="P320:P321"/>
    <mergeCell ref="AD320:AD321"/>
    <mergeCell ref="AR320:AR321"/>
    <mergeCell ref="BF320:BF321"/>
    <mergeCell ref="BT320:BT321"/>
    <mergeCell ref="CH320:CH321"/>
    <mergeCell ref="AD314:AD315"/>
    <mergeCell ref="AR314:AR315"/>
    <mergeCell ref="BF314:BF315"/>
    <mergeCell ref="BT314:BT315"/>
    <mergeCell ref="CH314:CH315"/>
    <mergeCell ref="P316:P317"/>
    <mergeCell ref="AD316:AD317"/>
    <mergeCell ref="AR316:AR317"/>
    <mergeCell ref="BF316:BF317"/>
    <mergeCell ref="BT316:BT317"/>
    <mergeCell ref="CH316:CH317"/>
    <mergeCell ref="P314:P315"/>
    <mergeCell ref="P318:P319"/>
    <mergeCell ref="AD326:AD327"/>
    <mergeCell ref="AR326:AR327"/>
    <mergeCell ref="BF326:BF327"/>
    <mergeCell ref="BT326:BT327"/>
    <mergeCell ref="CH326:CH327"/>
    <mergeCell ref="P328:P329"/>
    <mergeCell ref="AD328:AD329"/>
    <mergeCell ref="AR328:AR329"/>
    <mergeCell ref="BF328:BF329"/>
    <mergeCell ref="BT328:BT329"/>
    <mergeCell ref="CH328:CH329"/>
    <mergeCell ref="AD322:AD323"/>
    <mergeCell ref="AR322:AR323"/>
    <mergeCell ref="BF322:BF323"/>
    <mergeCell ref="BT322:BT323"/>
    <mergeCell ref="CH322:CH323"/>
    <mergeCell ref="P324:P325"/>
    <mergeCell ref="AD324:AD325"/>
    <mergeCell ref="AR324:AR325"/>
    <mergeCell ref="BF324:BF325"/>
    <mergeCell ref="BT324:BT325"/>
    <mergeCell ref="CH324:CH325"/>
    <mergeCell ref="P322:P323"/>
    <mergeCell ref="P326:P327"/>
    <mergeCell ref="AD334:AD335"/>
    <mergeCell ref="AR334:AR335"/>
    <mergeCell ref="BF334:BF335"/>
    <mergeCell ref="BT334:BT335"/>
    <mergeCell ref="CH334:CH335"/>
    <mergeCell ref="P336:P337"/>
    <mergeCell ref="AD336:AD337"/>
    <mergeCell ref="AR336:AR337"/>
    <mergeCell ref="BF336:BF337"/>
    <mergeCell ref="BT336:BT337"/>
    <mergeCell ref="CH336:CH337"/>
    <mergeCell ref="AD330:AD331"/>
    <mergeCell ref="AR330:AR331"/>
    <mergeCell ref="BF330:BF331"/>
    <mergeCell ref="BT330:BT331"/>
    <mergeCell ref="CH330:CH331"/>
    <mergeCell ref="P332:P333"/>
    <mergeCell ref="AD332:AD333"/>
    <mergeCell ref="AR332:AR333"/>
    <mergeCell ref="BF332:BF333"/>
    <mergeCell ref="BT332:BT333"/>
    <mergeCell ref="CH332:CH333"/>
    <mergeCell ref="P330:P331"/>
    <mergeCell ref="P334:P335"/>
    <mergeCell ref="AD342:AD343"/>
    <mergeCell ref="AR342:AR343"/>
    <mergeCell ref="BF342:BF343"/>
    <mergeCell ref="BT342:BT343"/>
    <mergeCell ref="CH342:CH343"/>
    <mergeCell ref="P344:P345"/>
    <mergeCell ref="AD344:AD345"/>
    <mergeCell ref="AR344:AR345"/>
    <mergeCell ref="BF344:BF345"/>
    <mergeCell ref="BT344:BT345"/>
    <mergeCell ref="CH344:CH345"/>
    <mergeCell ref="AD338:AD339"/>
    <mergeCell ref="AR338:AR339"/>
    <mergeCell ref="BF338:BF339"/>
    <mergeCell ref="BT338:BT339"/>
    <mergeCell ref="CH338:CH339"/>
    <mergeCell ref="P340:P341"/>
    <mergeCell ref="AD340:AD341"/>
    <mergeCell ref="AR340:AR341"/>
    <mergeCell ref="BF340:BF341"/>
    <mergeCell ref="BT340:BT341"/>
    <mergeCell ref="CH340:CH341"/>
    <mergeCell ref="P338:P339"/>
    <mergeCell ref="P342:P343"/>
    <mergeCell ref="AD350:AD351"/>
    <mergeCell ref="AR350:AR351"/>
    <mergeCell ref="BF350:BF351"/>
    <mergeCell ref="BT350:BT351"/>
    <mergeCell ref="CH350:CH351"/>
    <mergeCell ref="P352:P353"/>
    <mergeCell ref="AD352:AD353"/>
    <mergeCell ref="AR352:AR353"/>
    <mergeCell ref="BF352:BF353"/>
    <mergeCell ref="BT352:BT353"/>
    <mergeCell ref="CH352:CH353"/>
    <mergeCell ref="AD346:AQ346"/>
    <mergeCell ref="AR346:BE346"/>
    <mergeCell ref="BF346:BS346"/>
    <mergeCell ref="BT346:CG346"/>
    <mergeCell ref="CH346:CU346"/>
    <mergeCell ref="P348:P349"/>
    <mergeCell ref="AD348:AD349"/>
    <mergeCell ref="AR348:AR349"/>
    <mergeCell ref="BF348:BF349"/>
    <mergeCell ref="BT348:BT349"/>
    <mergeCell ref="CH348:CH349"/>
    <mergeCell ref="P346:AC346"/>
    <mergeCell ref="P350:P351"/>
    <mergeCell ref="AD358:AD359"/>
    <mergeCell ref="AR358:AR359"/>
    <mergeCell ref="BF358:BF359"/>
    <mergeCell ref="BT358:BT359"/>
    <mergeCell ref="CH358:CH359"/>
    <mergeCell ref="AD360:AD361"/>
    <mergeCell ref="AR360:AR361"/>
    <mergeCell ref="BF360:BF361"/>
    <mergeCell ref="BT360:BT361"/>
    <mergeCell ref="CH360:CH361"/>
    <mergeCell ref="AD354:AD355"/>
    <mergeCell ref="AR354:AR355"/>
    <mergeCell ref="BF354:BF355"/>
    <mergeCell ref="BT354:BT355"/>
    <mergeCell ref="CH354:CH355"/>
    <mergeCell ref="P356:P357"/>
    <mergeCell ref="AD356:AD357"/>
    <mergeCell ref="AR356:AR357"/>
    <mergeCell ref="BF356:BF357"/>
    <mergeCell ref="BT356:BT357"/>
    <mergeCell ref="CH356:CH357"/>
    <mergeCell ref="P358:P359"/>
    <mergeCell ref="P360:P361"/>
    <mergeCell ref="P354:P355"/>
    <mergeCell ref="AD366:AD367"/>
    <mergeCell ref="AR366:AR367"/>
    <mergeCell ref="BF366:BF367"/>
    <mergeCell ref="BT366:BT367"/>
    <mergeCell ref="CH366:CH367"/>
    <mergeCell ref="AD368:AD369"/>
    <mergeCell ref="AR368:AR369"/>
    <mergeCell ref="BF368:BF369"/>
    <mergeCell ref="BT368:BT369"/>
    <mergeCell ref="CH368:CH369"/>
    <mergeCell ref="AD362:AD363"/>
    <mergeCell ref="AR362:AR363"/>
    <mergeCell ref="BF362:BF363"/>
    <mergeCell ref="BT362:BT363"/>
    <mergeCell ref="CH362:CH363"/>
    <mergeCell ref="AD364:AD365"/>
    <mergeCell ref="AR364:AR365"/>
    <mergeCell ref="BF364:BF365"/>
    <mergeCell ref="BT364:BT365"/>
    <mergeCell ref="CH364:CH365"/>
    <mergeCell ref="AD374:AD375"/>
    <mergeCell ref="AR374:AR375"/>
    <mergeCell ref="BF374:BF375"/>
    <mergeCell ref="BT374:BT375"/>
    <mergeCell ref="CH374:CH375"/>
    <mergeCell ref="AD376:AD377"/>
    <mergeCell ref="AR376:AR377"/>
    <mergeCell ref="BF376:BF377"/>
    <mergeCell ref="BT376:BT377"/>
    <mergeCell ref="CH376:CH377"/>
    <mergeCell ref="AD370:AD371"/>
    <mergeCell ref="AR370:AR371"/>
    <mergeCell ref="BF370:BF371"/>
    <mergeCell ref="BT370:BT371"/>
    <mergeCell ref="CH370:CH371"/>
    <mergeCell ref="AD372:AD373"/>
    <mergeCell ref="AR372:AR373"/>
    <mergeCell ref="BF372:BF373"/>
    <mergeCell ref="BT372:BT373"/>
    <mergeCell ref="CH372:CH373"/>
    <mergeCell ref="AD382:AD383"/>
    <mergeCell ref="AR382:AR383"/>
    <mergeCell ref="BF382:BF383"/>
    <mergeCell ref="BT382:BT383"/>
    <mergeCell ref="CH382:CH383"/>
    <mergeCell ref="P384:AC384"/>
    <mergeCell ref="AD384:AQ384"/>
    <mergeCell ref="AR384:BE384"/>
    <mergeCell ref="BF384:BS384"/>
    <mergeCell ref="BT384:CG384"/>
    <mergeCell ref="CH384:CU384"/>
    <mergeCell ref="AD378:AD379"/>
    <mergeCell ref="AR378:AR379"/>
    <mergeCell ref="BF378:BF379"/>
    <mergeCell ref="BT378:BT379"/>
    <mergeCell ref="CH378:CH379"/>
    <mergeCell ref="AD380:AD381"/>
    <mergeCell ref="AR380:AR381"/>
    <mergeCell ref="BF380:BF381"/>
    <mergeCell ref="BT380:BT381"/>
    <mergeCell ref="CH380:CH381"/>
    <mergeCell ref="AD390:AD391"/>
    <mergeCell ref="AR390:AR391"/>
    <mergeCell ref="BF390:BF391"/>
    <mergeCell ref="BT390:BT391"/>
    <mergeCell ref="CH390:CH391"/>
    <mergeCell ref="AD392:AD393"/>
    <mergeCell ref="AR392:AR393"/>
    <mergeCell ref="BF392:BF393"/>
    <mergeCell ref="BT392:BT393"/>
    <mergeCell ref="CH392:CH393"/>
    <mergeCell ref="AD386:AD387"/>
    <mergeCell ref="AR386:AR387"/>
    <mergeCell ref="BF386:BF387"/>
    <mergeCell ref="BT386:BT387"/>
    <mergeCell ref="CH386:CH387"/>
    <mergeCell ref="AD388:AD389"/>
    <mergeCell ref="AR388:AR389"/>
    <mergeCell ref="BF388:BF389"/>
    <mergeCell ref="BT388:BT389"/>
    <mergeCell ref="CH388:CH389"/>
    <mergeCell ref="AD398:AD399"/>
    <mergeCell ref="AR398:AR399"/>
    <mergeCell ref="BF398:BF399"/>
    <mergeCell ref="BT398:BT399"/>
    <mergeCell ref="CH398:CH399"/>
    <mergeCell ref="P400:P401"/>
    <mergeCell ref="AD400:AD401"/>
    <mergeCell ref="AR400:AR401"/>
    <mergeCell ref="BF400:BF401"/>
    <mergeCell ref="BT400:BT401"/>
    <mergeCell ref="CH400:CH401"/>
    <mergeCell ref="AD394:AD395"/>
    <mergeCell ref="AR394:AR395"/>
    <mergeCell ref="BF394:BF395"/>
    <mergeCell ref="BT394:BT395"/>
    <mergeCell ref="CH394:CH395"/>
    <mergeCell ref="P396:P397"/>
    <mergeCell ref="AD396:AD397"/>
    <mergeCell ref="AR396:AR397"/>
    <mergeCell ref="BF396:BF397"/>
    <mergeCell ref="BT396:BT397"/>
    <mergeCell ref="CH396:CH397"/>
    <mergeCell ref="AD406:AD407"/>
    <mergeCell ref="AR406:AR407"/>
    <mergeCell ref="BF406:BF407"/>
    <mergeCell ref="BT406:BT407"/>
    <mergeCell ref="CH406:CH407"/>
    <mergeCell ref="P408:P409"/>
    <mergeCell ref="AD408:AD409"/>
    <mergeCell ref="AR408:AR409"/>
    <mergeCell ref="BF408:BF409"/>
    <mergeCell ref="BT408:BT409"/>
    <mergeCell ref="CH408:CH409"/>
    <mergeCell ref="AD402:AD403"/>
    <mergeCell ref="AR402:AR403"/>
    <mergeCell ref="BF402:BF403"/>
    <mergeCell ref="BT402:BT403"/>
    <mergeCell ref="CH402:CH403"/>
    <mergeCell ref="P404:P405"/>
    <mergeCell ref="AD404:AD405"/>
    <mergeCell ref="AR404:AR405"/>
    <mergeCell ref="BF404:BF405"/>
    <mergeCell ref="BT404:BT405"/>
    <mergeCell ref="CH404:CH405"/>
    <mergeCell ref="P402:P403"/>
    <mergeCell ref="P406:P407"/>
    <mergeCell ref="AD414:AD415"/>
    <mergeCell ref="AR414:AR415"/>
    <mergeCell ref="BF414:BF415"/>
    <mergeCell ref="BT414:BT415"/>
    <mergeCell ref="CH414:CH415"/>
    <mergeCell ref="P416:P417"/>
    <mergeCell ref="AD416:AD417"/>
    <mergeCell ref="AR416:AR417"/>
    <mergeCell ref="BF416:BF417"/>
    <mergeCell ref="BT416:BT417"/>
    <mergeCell ref="CH416:CH417"/>
    <mergeCell ref="AD410:AD411"/>
    <mergeCell ref="AR410:AR411"/>
    <mergeCell ref="BF410:BF411"/>
    <mergeCell ref="BT410:BT411"/>
    <mergeCell ref="CH410:CH411"/>
    <mergeCell ref="P412:P413"/>
    <mergeCell ref="AD412:AD413"/>
    <mergeCell ref="AR412:AR413"/>
    <mergeCell ref="BF412:BF413"/>
    <mergeCell ref="BT412:BT413"/>
    <mergeCell ref="CH412:CH413"/>
    <mergeCell ref="P410:P411"/>
    <mergeCell ref="P414:P415"/>
    <mergeCell ref="AD422:AQ422"/>
    <mergeCell ref="AR422:BE422"/>
    <mergeCell ref="BF422:BS422"/>
    <mergeCell ref="BT422:CG422"/>
    <mergeCell ref="CH422:CU422"/>
    <mergeCell ref="P424:P425"/>
    <mergeCell ref="AD424:AD425"/>
    <mergeCell ref="AR424:AR425"/>
    <mergeCell ref="BF424:BF425"/>
    <mergeCell ref="BT424:BT425"/>
    <mergeCell ref="CH424:CH425"/>
    <mergeCell ref="AD418:AD419"/>
    <mergeCell ref="AR418:AR419"/>
    <mergeCell ref="BF418:BF419"/>
    <mergeCell ref="BT418:BT419"/>
    <mergeCell ref="CH418:CH419"/>
    <mergeCell ref="P420:P421"/>
    <mergeCell ref="AD420:AD421"/>
    <mergeCell ref="AR420:AR421"/>
    <mergeCell ref="BF420:BF421"/>
    <mergeCell ref="BT420:BT421"/>
    <mergeCell ref="CH420:CH421"/>
    <mergeCell ref="P418:P419"/>
    <mergeCell ref="P422:AC422"/>
    <mergeCell ref="AD430:AD431"/>
    <mergeCell ref="AR430:AR431"/>
    <mergeCell ref="BF430:BF431"/>
    <mergeCell ref="BT430:BT431"/>
    <mergeCell ref="CH430:CH431"/>
    <mergeCell ref="P432:P433"/>
    <mergeCell ref="AD432:AD433"/>
    <mergeCell ref="AR432:AR433"/>
    <mergeCell ref="BF432:BF433"/>
    <mergeCell ref="BT432:BT433"/>
    <mergeCell ref="CH432:CH433"/>
    <mergeCell ref="AD426:AD427"/>
    <mergeCell ref="AR426:AR427"/>
    <mergeCell ref="BF426:BF427"/>
    <mergeCell ref="BT426:BT427"/>
    <mergeCell ref="CH426:CH427"/>
    <mergeCell ref="P428:P429"/>
    <mergeCell ref="AD428:AD429"/>
    <mergeCell ref="AR428:AR429"/>
    <mergeCell ref="BF428:BF429"/>
    <mergeCell ref="BT428:BT429"/>
    <mergeCell ref="CH428:CH429"/>
    <mergeCell ref="P426:P427"/>
    <mergeCell ref="P430:P431"/>
    <mergeCell ref="AD438:AD439"/>
    <mergeCell ref="AR438:AR439"/>
    <mergeCell ref="BF438:BF439"/>
    <mergeCell ref="BT438:BT439"/>
    <mergeCell ref="CH438:CH439"/>
    <mergeCell ref="AD440:AD441"/>
    <mergeCell ref="AR440:AR441"/>
    <mergeCell ref="BF440:BF441"/>
    <mergeCell ref="BT440:BT441"/>
    <mergeCell ref="CH440:CH441"/>
    <mergeCell ref="AD434:AD435"/>
    <mergeCell ref="AR434:AR435"/>
    <mergeCell ref="BF434:BF435"/>
    <mergeCell ref="BT434:BT435"/>
    <mergeCell ref="CH434:CH435"/>
    <mergeCell ref="AD436:AD437"/>
    <mergeCell ref="AR436:AR437"/>
    <mergeCell ref="BF436:BF437"/>
    <mergeCell ref="BT436:BT437"/>
    <mergeCell ref="CH436:CH437"/>
    <mergeCell ref="AD446:AD447"/>
    <mergeCell ref="AR446:AR447"/>
    <mergeCell ref="BF446:BF447"/>
    <mergeCell ref="BT446:BT447"/>
    <mergeCell ref="CH446:CH447"/>
    <mergeCell ref="AD448:AD449"/>
    <mergeCell ref="AR448:AR449"/>
    <mergeCell ref="BF448:BF449"/>
    <mergeCell ref="BT448:BT449"/>
    <mergeCell ref="CH448:CH449"/>
    <mergeCell ref="AD442:AD443"/>
    <mergeCell ref="AR442:AR443"/>
    <mergeCell ref="BF442:BF443"/>
    <mergeCell ref="BT442:BT443"/>
    <mergeCell ref="CH442:CH443"/>
    <mergeCell ref="AD444:AD445"/>
    <mergeCell ref="AR444:AR445"/>
    <mergeCell ref="BF444:BF445"/>
    <mergeCell ref="BT444:BT445"/>
    <mergeCell ref="CH444:CH445"/>
    <mergeCell ref="AD458:AD459"/>
    <mergeCell ref="AR458:AR459"/>
    <mergeCell ref="BF458:BF459"/>
    <mergeCell ref="BT458:BT459"/>
    <mergeCell ref="CH458:CH459"/>
    <mergeCell ref="AD454:AD455"/>
    <mergeCell ref="AR454:AR455"/>
    <mergeCell ref="BF454:BF455"/>
    <mergeCell ref="BT454:BT455"/>
    <mergeCell ref="CH454:CH455"/>
    <mergeCell ref="AD456:AD457"/>
    <mergeCell ref="AR456:AR457"/>
    <mergeCell ref="BF456:BF457"/>
    <mergeCell ref="BT456:BT457"/>
    <mergeCell ref="CH456:CH457"/>
    <mergeCell ref="AD450:AD451"/>
    <mergeCell ref="AR450:AR451"/>
    <mergeCell ref="BF450:BF451"/>
    <mergeCell ref="BT450:BT451"/>
    <mergeCell ref="CH450:CH451"/>
    <mergeCell ref="AD452:AD453"/>
    <mergeCell ref="AR452:AR453"/>
    <mergeCell ref="BF452:BF453"/>
    <mergeCell ref="BT452:BT453"/>
    <mergeCell ref="CH452:CH45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26791-4385-4B2A-870B-F134BAA698E2}">
  <dimension ref="A1"/>
  <sheetViews>
    <sheetView showGridLines="0" showRowColHeaders="0" workbookViewId="0">
      <selection activeCell="D4" sqref="D4"/>
    </sheetView>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01086-7E80-4E19-A5FF-524B22850270}">
  <dimension ref="A1"/>
  <sheetViews>
    <sheetView showGridLines="0" showRowColHeaders="0" workbookViewId="0">
      <selection activeCell="D4" sqref="D4"/>
    </sheetView>
  </sheetViews>
  <sheetFormatPr defaultRowHeight="15"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A9DBF-B8F5-4C0B-80AC-C80D6C1FB296}">
  <dimension ref="A1"/>
  <sheetViews>
    <sheetView showGridLines="0" showRowColHeaders="0" workbookViewId="0">
      <selection activeCell="D4" sqref="D4"/>
    </sheetView>
  </sheetViews>
  <sheetFormatPr defaultRowHeight="15" x14ac:dyDescent="0.2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3EFBF-E6C4-497A-9015-E87A62CD016F}">
  <dimension ref="A1"/>
  <sheetViews>
    <sheetView showGridLines="0" showRowColHeaders="0" workbookViewId="0">
      <selection activeCell="D4" sqref="D4"/>
    </sheetView>
  </sheetViews>
  <sheetFormatPr defaultRowHeight="15"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9F0B1-DEBA-4C2E-9747-16E3F5564564}">
  <dimension ref="A1:BJ37"/>
  <sheetViews>
    <sheetView topLeftCell="J1" workbookViewId="0">
      <selection activeCell="AY2" sqref="AY2:BJ37"/>
    </sheetView>
  </sheetViews>
  <sheetFormatPr defaultColWidth="6.7109375" defaultRowHeight="15" x14ac:dyDescent="0.25"/>
  <sheetData>
    <row r="1" spans="1:62" ht="15.75" thickBot="1" x14ac:dyDescent="0.3">
      <c r="A1" s="479"/>
      <c r="B1" s="480"/>
      <c r="C1" s="991" t="s">
        <v>95</v>
      </c>
      <c r="D1" s="992"/>
      <c r="E1" s="992"/>
      <c r="F1" s="992"/>
      <c r="G1" s="992"/>
      <c r="H1" s="992"/>
      <c r="I1" s="992"/>
      <c r="J1" s="992"/>
      <c r="K1" s="992"/>
      <c r="L1" s="992"/>
      <c r="M1" s="992"/>
      <c r="N1" s="993"/>
      <c r="O1" s="994" t="s">
        <v>96</v>
      </c>
      <c r="P1" s="995"/>
      <c r="Q1" s="995"/>
      <c r="R1" s="995"/>
      <c r="S1" s="995"/>
      <c r="T1" s="995"/>
      <c r="U1" s="995"/>
      <c r="V1" s="995"/>
      <c r="W1" s="995"/>
      <c r="X1" s="995"/>
      <c r="Y1" s="995"/>
      <c r="Z1" s="996"/>
      <c r="AA1" s="997">
        <v>2024</v>
      </c>
      <c r="AB1" s="998"/>
      <c r="AC1" s="998"/>
      <c r="AD1" s="998"/>
      <c r="AE1" s="998"/>
      <c r="AF1" s="998"/>
      <c r="AG1" s="998"/>
      <c r="AH1" s="998"/>
      <c r="AI1" s="998"/>
      <c r="AJ1" s="998"/>
      <c r="AK1" s="998"/>
      <c r="AL1" s="999"/>
      <c r="AM1" s="1000">
        <v>2025</v>
      </c>
      <c r="AN1" s="1001"/>
      <c r="AO1" s="1001"/>
      <c r="AP1" s="1001"/>
      <c r="AQ1" s="1001"/>
      <c r="AR1" s="1001"/>
      <c r="AS1" s="1001"/>
      <c r="AT1" s="1001"/>
      <c r="AU1" s="1001"/>
      <c r="AV1" s="1001"/>
      <c r="AW1" s="1001"/>
      <c r="AX1" s="1002"/>
      <c r="AY1" s="1003">
        <v>2026</v>
      </c>
      <c r="AZ1" s="1004"/>
      <c r="BA1" s="1004"/>
      <c r="BB1" s="1004"/>
      <c r="BC1" s="1004"/>
      <c r="BD1" s="1004"/>
      <c r="BE1" s="1004"/>
      <c r="BF1" s="1004"/>
      <c r="BG1" s="1004"/>
      <c r="BH1" s="1004"/>
      <c r="BI1" s="1004"/>
      <c r="BJ1" s="1005"/>
    </row>
    <row r="2" spans="1:62" x14ac:dyDescent="0.25">
      <c r="A2" s="988" t="s">
        <v>39</v>
      </c>
      <c r="B2" s="488" t="s">
        <v>61</v>
      </c>
      <c r="C2" s="481">
        <v>417.54</v>
      </c>
      <c r="D2" s="471">
        <v>414.4</v>
      </c>
      <c r="E2" s="471">
        <v>411.28</v>
      </c>
      <c r="F2" s="471">
        <v>408.16</v>
      </c>
      <c r="G2" s="471">
        <v>405.02</v>
      </c>
      <c r="H2" s="471">
        <v>401.92</v>
      </c>
      <c r="I2" s="471">
        <v>398.78</v>
      </c>
      <c r="J2" s="471">
        <v>395.68</v>
      </c>
      <c r="K2" s="471">
        <v>392.52</v>
      </c>
      <c r="L2" s="471">
        <v>389.39</v>
      </c>
      <c r="M2" s="471">
        <v>386.23</v>
      </c>
      <c r="N2" s="482">
        <v>383.12</v>
      </c>
      <c r="O2" s="489">
        <v>425.94</v>
      </c>
      <c r="P2" s="472">
        <v>422.74</v>
      </c>
      <c r="Q2" s="472">
        <v>419.55</v>
      </c>
      <c r="R2" s="472">
        <v>416.37</v>
      </c>
      <c r="S2" s="472">
        <v>413.17</v>
      </c>
      <c r="T2" s="472">
        <v>410.01</v>
      </c>
      <c r="U2" s="472">
        <v>406.8</v>
      </c>
      <c r="V2" s="472">
        <v>403.64</v>
      </c>
      <c r="W2" s="472">
        <v>400.42</v>
      </c>
      <c r="X2" s="472">
        <v>397.22</v>
      </c>
      <c r="Y2" s="472">
        <v>394</v>
      </c>
      <c r="Z2" s="490">
        <v>390.83</v>
      </c>
      <c r="AA2" s="494">
        <v>447.24</v>
      </c>
      <c r="AB2" s="473">
        <v>443.87</v>
      </c>
      <c r="AC2" s="473">
        <v>440.53</v>
      </c>
      <c r="AD2" s="473">
        <v>437.19</v>
      </c>
      <c r="AE2" s="473">
        <v>433.83</v>
      </c>
      <c r="AF2" s="473">
        <v>430.51</v>
      </c>
      <c r="AG2" s="473">
        <v>427.14</v>
      </c>
      <c r="AH2" s="473">
        <v>423.82</v>
      </c>
      <c r="AI2" s="473">
        <v>420.44</v>
      </c>
      <c r="AJ2" s="473">
        <v>417.09</v>
      </c>
      <c r="AK2" s="473">
        <v>413.7</v>
      </c>
      <c r="AL2" s="495">
        <v>410.37</v>
      </c>
      <c r="AM2" s="499">
        <v>465.13</v>
      </c>
      <c r="AN2" s="474">
        <v>461.62</v>
      </c>
      <c r="AO2" s="474">
        <v>458.15</v>
      </c>
      <c r="AP2" s="474">
        <v>454.68</v>
      </c>
      <c r="AQ2" s="474">
        <v>451.18</v>
      </c>
      <c r="AR2" s="474">
        <v>447.73</v>
      </c>
      <c r="AS2" s="474">
        <v>444.23</v>
      </c>
      <c r="AT2" s="474">
        <v>440.77</v>
      </c>
      <c r="AU2" s="474">
        <v>437.26</v>
      </c>
      <c r="AV2" s="474">
        <v>433.76</v>
      </c>
      <c r="AW2" s="474">
        <v>430.24</v>
      </c>
      <c r="AX2" s="500">
        <v>426.79</v>
      </c>
      <c r="AY2" s="506">
        <v>483.74</v>
      </c>
      <c r="AZ2" s="475">
        <v>480.09</v>
      </c>
      <c r="BA2" s="475">
        <v>476.47</v>
      </c>
      <c r="BB2" s="475">
        <v>472.87</v>
      </c>
      <c r="BC2" s="475">
        <v>469.22</v>
      </c>
      <c r="BD2" s="475">
        <v>465.64</v>
      </c>
      <c r="BE2" s="475">
        <v>462</v>
      </c>
      <c r="BF2" s="475">
        <v>458.4</v>
      </c>
      <c r="BG2" s="475">
        <v>454.76</v>
      </c>
      <c r="BH2" s="475">
        <v>451.12</v>
      </c>
      <c r="BI2" s="475">
        <v>447.45</v>
      </c>
      <c r="BJ2" s="507">
        <v>443.85</v>
      </c>
    </row>
    <row r="3" spans="1:62" x14ac:dyDescent="0.25">
      <c r="A3" s="989"/>
      <c r="B3" s="78" t="s">
        <v>62</v>
      </c>
      <c r="C3" s="481">
        <v>285.22000000000003</v>
      </c>
      <c r="D3" s="471">
        <v>282.62</v>
      </c>
      <c r="E3" s="471">
        <v>280.11</v>
      </c>
      <c r="F3" s="471">
        <v>276.36</v>
      </c>
      <c r="G3" s="471">
        <v>273.38</v>
      </c>
      <c r="H3" s="471">
        <v>267.25</v>
      </c>
      <c r="I3" s="471">
        <v>260.02</v>
      </c>
      <c r="J3" s="471">
        <v>253.59</v>
      </c>
      <c r="K3" s="471">
        <v>247.68</v>
      </c>
      <c r="L3" s="471">
        <v>241.82</v>
      </c>
      <c r="M3" s="471">
        <v>206.65</v>
      </c>
      <c r="N3" s="483">
        <v>108.34</v>
      </c>
      <c r="O3" s="489">
        <v>290.95999999999998</v>
      </c>
      <c r="P3" s="472">
        <v>288.31</v>
      </c>
      <c r="Q3" s="472">
        <v>285.75</v>
      </c>
      <c r="R3" s="472">
        <v>281.92</v>
      </c>
      <c r="S3" s="472">
        <v>278.88</v>
      </c>
      <c r="T3" s="472">
        <v>272.63</v>
      </c>
      <c r="U3" s="472">
        <v>265.25</v>
      </c>
      <c r="V3" s="472">
        <v>258.69</v>
      </c>
      <c r="W3" s="472">
        <v>252.66</v>
      </c>
      <c r="X3" s="472">
        <v>246.68</v>
      </c>
      <c r="Y3" s="472">
        <v>210.81</v>
      </c>
      <c r="Z3" s="490">
        <v>110.52</v>
      </c>
      <c r="AA3" s="494">
        <v>305.5</v>
      </c>
      <c r="AB3" s="473">
        <v>302.72000000000003</v>
      </c>
      <c r="AC3" s="473">
        <v>300.04000000000002</v>
      </c>
      <c r="AD3" s="473">
        <v>296.02</v>
      </c>
      <c r="AE3" s="473">
        <v>292.82</v>
      </c>
      <c r="AF3" s="473">
        <v>286.26</v>
      </c>
      <c r="AG3" s="473">
        <v>278.51</v>
      </c>
      <c r="AH3" s="473">
        <v>271.63</v>
      </c>
      <c r="AI3" s="473">
        <v>265.29000000000002</v>
      </c>
      <c r="AJ3" s="473">
        <v>259.02</v>
      </c>
      <c r="AK3" s="473">
        <v>221.35</v>
      </c>
      <c r="AL3" s="495">
        <v>116.05</v>
      </c>
      <c r="AM3" s="501">
        <v>317.73</v>
      </c>
      <c r="AN3" s="477">
        <v>314.83</v>
      </c>
      <c r="AO3" s="477">
        <v>312.02999999999997</v>
      </c>
      <c r="AP3" s="477">
        <v>307.86</v>
      </c>
      <c r="AQ3" s="477">
        <v>304.54000000000002</v>
      </c>
      <c r="AR3" s="477">
        <v>297.7</v>
      </c>
      <c r="AS3" s="477">
        <v>289.64999999999998</v>
      </c>
      <c r="AT3" s="477">
        <v>282.49</v>
      </c>
      <c r="AU3" s="477">
        <v>275.89999999999998</v>
      </c>
      <c r="AV3" s="477">
        <v>269.38</v>
      </c>
      <c r="AW3" s="477">
        <v>230.2</v>
      </c>
      <c r="AX3" s="502">
        <v>120.69</v>
      </c>
      <c r="AY3" s="506">
        <v>330.44</v>
      </c>
      <c r="AZ3" s="475">
        <v>327.42</v>
      </c>
      <c r="BA3" s="475">
        <v>324.52</v>
      </c>
      <c r="BB3" s="475">
        <v>320.17</v>
      </c>
      <c r="BC3" s="475">
        <v>316.72000000000003</v>
      </c>
      <c r="BD3" s="475">
        <v>309.61</v>
      </c>
      <c r="BE3" s="475">
        <v>301.24</v>
      </c>
      <c r="BF3" s="475">
        <v>293.79000000000002</v>
      </c>
      <c r="BG3" s="475">
        <v>286.94</v>
      </c>
      <c r="BH3" s="475">
        <v>280.14999999999998</v>
      </c>
      <c r="BI3" s="475">
        <v>239.41</v>
      </c>
      <c r="BJ3" s="507">
        <v>125.52</v>
      </c>
    </row>
    <row r="4" spans="1:62" x14ac:dyDescent="0.25">
      <c r="A4" s="989" t="s">
        <v>65</v>
      </c>
      <c r="B4" s="78" t="s">
        <v>61</v>
      </c>
      <c r="C4" s="481">
        <v>417.54</v>
      </c>
      <c r="D4" s="471">
        <v>414.4</v>
      </c>
      <c r="E4" s="471">
        <v>411.28</v>
      </c>
      <c r="F4" s="471">
        <v>408.16</v>
      </c>
      <c r="G4" s="471">
        <v>405.02</v>
      </c>
      <c r="H4" s="471">
        <v>401.92</v>
      </c>
      <c r="I4" s="471">
        <v>398.78</v>
      </c>
      <c r="J4" s="471">
        <v>395.68</v>
      </c>
      <c r="K4" s="471">
        <v>392.52</v>
      </c>
      <c r="L4" s="471">
        <v>389.39</v>
      </c>
      <c r="M4" s="471">
        <v>386.23</v>
      </c>
      <c r="N4" s="482">
        <v>383.12</v>
      </c>
      <c r="O4" s="489">
        <v>425.94</v>
      </c>
      <c r="P4" s="472">
        <v>422.74</v>
      </c>
      <c r="Q4" s="472">
        <v>419.55</v>
      </c>
      <c r="R4" s="472">
        <v>416.37</v>
      </c>
      <c r="S4" s="472">
        <v>413.17</v>
      </c>
      <c r="T4" s="472">
        <v>410.01</v>
      </c>
      <c r="U4" s="472">
        <v>406.8</v>
      </c>
      <c r="V4" s="472">
        <v>403.64</v>
      </c>
      <c r="W4" s="472">
        <v>400.42</v>
      </c>
      <c r="X4" s="472">
        <v>397.22</v>
      </c>
      <c r="Y4" s="472">
        <v>394</v>
      </c>
      <c r="Z4" s="490">
        <v>390.83</v>
      </c>
      <c r="AA4" s="494">
        <v>447.24</v>
      </c>
      <c r="AB4" s="473">
        <v>443.87</v>
      </c>
      <c r="AC4" s="473">
        <v>440.53</v>
      </c>
      <c r="AD4" s="473">
        <v>437.19</v>
      </c>
      <c r="AE4" s="473">
        <v>433.83</v>
      </c>
      <c r="AF4" s="473">
        <v>430.51</v>
      </c>
      <c r="AG4" s="473">
        <v>427.14</v>
      </c>
      <c r="AH4" s="473">
        <v>423.82</v>
      </c>
      <c r="AI4" s="473">
        <v>420.44</v>
      </c>
      <c r="AJ4" s="473">
        <v>417.09</v>
      </c>
      <c r="AK4" s="473">
        <v>413.7</v>
      </c>
      <c r="AL4" s="495">
        <v>410.37</v>
      </c>
      <c r="AM4" s="499">
        <v>465.13</v>
      </c>
      <c r="AN4" s="474">
        <v>461.62</v>
      </c>
      <c r="AO4" s="474">
        <v>458.15</v>
      </c>
      <c r="AP4" s="474">
        <v>454.68</v>
      </c>
      <c r="AQ4" s="474">
        <v>451.18</v>
      </c>
      <c r="AR4" s="474">
        <v>447.73</v>
      </c>
      <c r="AS4" s="474">
        <v>444.23</v>
      </c>
      <c r="AT4" s="474">
        <v>440.77</v>
      </c>
      <c r="AU4" s="474">
        <v>437.26</v>
      </c>
      <c r="AV4" s="474">
        <v>433.76</v>
      </c>
      <c r="AW4" s="474">
        <v>430.24</v>
      </c>
      <c r="AX4" s="500">
        <v>426.79</v>
      </c>
      <c r="AY4" s="506">
        <v>483.74</v>
      </c>
      <c r="AZ4" s="475">
        <v>480.09</v>
      </c>
      <c r="BA4" s="475">
        <v>476.47</v>
      </c>
      <c r="BB4" s="475">
        <v>472.87</v>
      </c>
      <c r="BC4" s="475">
        <v>469.22</v>
      </c>
      <c r="BD4" s="475">
        <v>465.64</v>
      </c>
      <c r="BE4" s="475">
        <v>462</v>
      </c>
      <c r="BF4" s="475">
        <v>458.4</v>
      </c>
      <c r="BG4" s="475">
        <v>454.76</v>
      </c>
      <c r="BH4" s="475">
        <v>451.12</v>
      </c>
      <c r="BI4" s="475">
        <v>447.45</v>
      </c>
      <c r="BJ4" s="507">
        <v>443.85</v>
      </c>
    </row>
    <row r="5" spans="1:62" x14ac:dyDescent="0.25">
      <c r="A5" s="989"/>
      <c r="B5" s="78" t="s">
        <v>62</v>
      </c>
      <c r="C5" s="481">
        <v>285.22000000000003</v>
      </c>
      <c r="D5" s="471">
        <v>282.62</v>
      </c>
      <c r="E5" s="471">
        <v>280.11</v>
      </c>
      <c r="F5" s="471">
        <v>276.36</v>
      </c>
      <c r="G5" s="471">
        <v>273.38</v>
      </c>
      <c r="H5" s="471">
        <v>267.25</v>
      </c>
      <c r="I5" s="471">
        <v>260.02</v>
      </c>
      <c r="J5" s="471">
        <v>253.59</v>
      </c>
      <c r="K5" s="471">
        <v>247.68</v>
      </c>
      <c r="L5" s="471">
        <v>241.82</v>
      </c>
      <c r="M5" s="471">
        <v>206.65</v>
      </c>
      <c r="N5" s="483">
        <v>108.34</v>
      </c>
      <c r="O5" s="489">
        <v>290.95999999999998</v>
      </c>
      <c r="P5" s="472">
        <v>288.31</v>
      </c>
      <c r="Q5" s="472">
        <v>285.75</v>
      </c>
      <c r="R5" s="472">
        <v>281.92</v>
      </c>
      <c r="S5" s="472">
        <v>278.88</v>
      </c>
      <c r="T5" s="472">
        <v>272.63</v>
      </c>
      <c r="U5" s="472">
        <v>265.25</v>
      </c>
      <c r="V5" s="472">
        <v>258.69</v>
      </c>
      <c r="W5" s="472">
        <v>252.66</v>
      </c>
      <c r="X5" s="472">
        <v>246.68</v>
      </c>
      <c r="Y5" s="472">
        <v>210.81</v>
      </c>
      <c r="Z5" s="490">
        <v>110.52</v>
      </c>
      <c r="AA5" s="494">
        <v>305.5</v>
      </c>
      <c r="AB5" s="473">
        <v>302.72000000000003</v>
      </c>
      <c r="AC5" s="473">
        <v>300.04000000000002</v>
      </c>
      <c r="AD5" s="473">
        <v>296.02</v>
      </c>
      <c r="AE5" s="473">
        <v>292.82</v>
      </c>
      <c r="AF5" s="473">
        <v>286.26</v>
      </c>
      <c r="AG5" s="473">
        <v>278.51</v>
      </c>
      <c r="AH5" s="473">
        <v>271.63</v>
      </c>
      <c r="AI5" s="473">
        <v>265.29000000000002</v>
      </c>
      <c r="AJ5" s="473">
        <v>259.02</v>
      </c>
      <c r="AK5" s="473">
        <v>221.35</v>
      </c>
      <c r="AL5" s="495">
        <v>116.05</v>
      </c>
      <c r="AM5" s="501">
        <v>317.73</v>
      </c>
      <c r="AN5" s="477">
        <v>314.83</v>
      </c>
      <c r="AO5" s="477">
        <v>312.02999999999997</v>
      </c>
      <c r="AP5" s="477">
        <v>307.86</v>
      </c>
      <c r="AQ5" s="477">
        <v>304.54000000000002</v>
      </c>
      <c r="AR5" s="477">
        <v>297.7</v>
      </c>
      <c r="AS5" s="477">
        <v>289.64999999999998</v>
      </c>
      <c r="AT5" s="477">
        <v>282.49</v>
      </c>
      <c r="AU5" s="477">
        <v>275.89999999999998</v>
      </c>
      <c r="AV5" s="477">
        <v>269.38</v>
      </c>
      <c r="AW5" s="477">
        <v>230.2</v>
      </c>
      <c r="AX5" s="502">
        <v>120.69</v>
      </c>
      <c r="AY5" s="506">
        <v>330.44</v>
      </c>
      <c r="AZ5" s="475">
        <v>327.42</v>
      </c>
      <c r="BA5" s="475">
        <v>324.52</v>
      </c>
      <c r="BB5" s="475">
        <v>320.17</v>
      </c>
      <c r="BC5" s="475">
        <v>316.72000000000003</v>
      </c>
      <c r="BD5" s="475">
        <v>309.61</v>
      </c>
      <c r="BE5" s="475">
        <v>301.24</v>
      </c>
      <c r="BF5" s="475">
        <v>293.79000000000002</v>
      </c>
      <c r="BG5" s="475">
        <v>286.94</v>
      </c>
      <c r="BH5" s="475">
        <v>280.14999999999998</v>
      </c>
      <c r="BI5" s="475">
        <v>239.41</v>
      </c>
      <c r="BJ5" s="507">
        <v>125.52</v>
      </c>
    </row>
    <row r="6" spans="1:62" x14ac:dyDescent="0.25">
      <c r="A6" s="989" t="s">
        <v>64</v>
      </c>
      <c r="B6" s="78" t="s">
        <v>61</v>
      </c>
      <c r="C6" s="481">
        <v>417.54</v>
      </c>
      <c r="D6" s="471">
        <v>414.4</v>
      </c>
      <c r="E6" s="471">
        <v>411.28</v>
      </c>
      <c r="F6" s="471">
        <v>408.16</v>
      </c>
      <c r="G6" s="471">
        <v>405.02</v>
      </c>
      <c r="H6" s="471">
        <v>401.92</v>
      </c>
      <c r="I6" s="471">
        <v>398.78</v>
      </c>
      <c r="J6" s="471">
        <v>395.68</v>
      </c>
      <c r="K6" s="471">
        <v>392.52</v>
      </c>
      <c r="L6" s="471">
        <v>389.39</v>
      </c>
      <c r="M6" s="471">
        <v>386.23</v>
      </c>
      <c r="N6" s="482">
        <v>383.12</v>
      </c>
      <c r="O6" s="489">
        <v>425.94</v>
      </c>
      <c r="P6" s="472">
        <v>422.74</v>
      </c>
      <c r="Q6" s="472">
        <v>419.55</v>
      </c>
      <c r="R6" s="472">
        <v>416.37</v>
      </c>
      <c r="S6" s="472">
        <v>413.17</v>
      </c>
      <c r="T6" s="472">
        <v>410.01</v>
      </c>
      <c r="U6" s="472">
        <v>406.8</v>
      </c>
      <c r="V6" s="472">
        <v>403.64</v>
      </c>
      <c r="W6" s="472">
        <v>400.42</v>
      </c>
      <c r="X6" s="472">
        <v>397.22</v>
      </c>
      <c r="Y6" s="472">
        <v>394</v>
      </c>
      <c r="Z6" s="490">
        <v>390.83</v>
      </c>
      <c r="AA6" s="494">
        <v>447.24</v>
      </c>
      <c r="AB6" s="473">
        <v>443.87</v>
      </c>
      <c r="AC6" s="473">
        <v>440.53</v>
      </c>
      <c r="AD6" s="473">
        <v>437.19</v>
      </c>
      <c r="AE6" s="473">
        <v>433.83</v>
      </c>
      <c r="AF6" s="473">
        <v>430.51</v>
      </c>
      <c r="AG6" s="473">
        <v>427.14</v>
      </c>
      <c r="AH6" s="473">
        <v>423.82</v>
      </c>
      <c r="AI6" s="473">
        <v>420.44</v>
      </c>
      <c r="AJ6" s="473">
        <v>417.09</v>
      </c>
      <c r="AK6" s="473">
        <v>413.7</v>
      </c>
      <c r="AL6" s="495">
        <v>410.37</v>
      </c>
      <c r="AM6" s="499">
        <v>465.13</v>
      </c>
      <c r="AN6" s="474">
        <v>461.62</v>
      </c>
      <c r="AO6" s="474">
        <v>458.15</v>
      </c>
      <c r="AP6" s="474">
        <v>454.68</v>
      </c>
      <c r="AQ6" s="474">
        <v>451.18</v>
      </c>
      <c r="AR6" s="474">
        <v>447.73</v>
      </c>
      <c r="AS6" s="474">
        <v>444.23</v>
      </c>
      <c r="AT6" s="474">
        <v>440.77</v>
      </c>
      <c r="AU6" s="474">
        <v>437.26</v>
      </c>
      <c r="AV6" s="474">
        <v>433.76</v>
      </c>
      <c r="AW6" s="474">
        <v>430.24</v>
      </c>
      <c r="AX6" s="500">
        <v>426.79</v>
      </c>
      <c r="AY6" s="506">
        <v>483.74</v>
      </c>
      <c r="AZ6" s="475">
        <v>480.09</v>
      </c>
      <c r="BA6" s="475">
        <v>476.47</v>
      </c>
      <c r="BB6" s="475">
        <v>472.87</v>
      </c>
      <c r="BC6" s="475">
        <v>469.22</v>
      </c>
      <c r="BD6" s="475">
        <v>465.64</v>
      </c>
      <c r="BE6" s="475">
        <v>462</v>
      </c>
      <c r="BF6" s="475">
        <v>458.4</v>
      </c>
      <c r="BG6" s="475">
        <v>454.76</v>
      </c>
      <c r="BH6" s="475">
        <v>451.12</v>
      </c>
      <c r="BI6" s="475">
        <v>447.45</v>
      </c>
      <c r="BJ6" s="507">
        <v>443.85</v>
      </c>
    </row>
    <row r="7" spans="1:62" x14ac:dyDescent="0.25">
      <c r="A7" s="989"/>
      <c r="B7" s="78" t="s">
        <v>62</v>
      </c>
      <c r="C7" s="481">
        <v>285.22000000000003</v>
      </c>
      <c r="D7" s="471">
        <v>282.62</v>
      </c>
      <c r="E7" s="471">
        <v>280.11</v>
      </c>
      <c r="F7" s="471">
        <v>276.36</v>
      </c>
      <c r="G7" s="471">
        <v>273.38</v>
      </c>
      <c r="H7" s="471">
        <v>267.25</v>
      </c>
      <c r="I7" s="471">
        <v>260.02</v>
      </c>
      <c r="J7" s="471">
        <v>253.59</v>
      </c>
      <c r="K7" s="471">
        <v>247.68</v>
      </c>
      <c r="L7" s="471">
        <v>241.82</v>
      </c>
      <c r="M7" s="471">
        <v>206.65</v>
      </c>
      <c r="N7" s="483">
        <v>108.34</v>
      </c>
      <c r="O7" s="489">
        <v>290.95999999999998</v>
      </c>
      <c r="P7" s="472">
        <v>288.31</v>
      </c>
      <c r="Q7" s="472">
        <v>285.75</v>
      </c>
      <c r="R7" s="472">
        <v>281.92</v>
      </c>
      <c r="S7" s="472">
        <v>278.88</v>
      </c>
      <c r="T7" s="472">
        <v>272.63</v>
      </c>
      <c r="U7" s="472">
        <v>265.25</v>
      </c>
      <c r="V7" s="472">
        <v>258.69</v>
      </c>
      <c r="W7" s="472">
        <v>252.66</v>
      </c>
      <c r="X7" s="472">
        <v>246.68</v>
      </c>
      <c r="Y7" s="472">
        <v>210.81</v>
      </c>
      <c r="Z7" s="490">
        <v>110.52</v>
      </c>
      <c r="AA7" s="494">
        <v>305.5</v>
      </c>
      <c r="AB7" s="473">
        <v>302.72000000000003</v>
      </c>
      <c r="AC7" s="473">
        <v>300.04000000000002</v>
      </c>
      <c r="AD7" s="473">
        <v>296.02</v>
      </c>
      <c r="AE7" s="473">
        <v>292.82</v>
      </c>
      <c r="AF7" s="473">
        <v>286.26</v>
      </c>
      <c r="AG7" s="473">
        <v>278.51</v>
      </c>
      <c r="AH7" s="473">
        <v>271.63</v>
      </c>
      <c r="AI7" s="473">
        <v>265.29000000000002</v>
      </c>
      <c r="AJ7" s="473">
        <v>259.02</v>
      </c>
      <c r="AK7" s="473">
        <v>221.35</v>
      </c>
      <c r="AL7" s="495">
        <v>116.05</v>
      </c>
      <c r="AM7" s="501">
        <v>317.73</v>
      </c>
      <c r="AN7" s="477">
        <v>314.83</v>
      </c>
      <c r="AO7" s="477">
        <v>312.02999999999997</v>
      </c>
      <c r="AP7" s="477">
        <v>307.86</v>
      </c>
      <c r="AQ7" s="477">
        <v>304.54000000000002</v>
      </c>
      <c r="AR7" s="477">
        <v>297.7</v>
      </c>
      <c r="AS7" s="477">
        <v>289.64999999999998</v>
      </c>
      <c r="AT7" s="477">
        <v>282.49</v>
      </c>
      <c r="AU7" s="477">
        <v>275.89999999999998</v>
      </c>
      <c r="AV7" s="477">
        <v>269.38</v>
      </c>
      <c r="AW7" s="477">
        <v>230.2</v>
      </c>
      <c r="AX7" s="502">
        <v>120.69</v>
      </c>
      <c r="AY7" s="506">
        <v>330.44</v>
      </c>
      <c r="AZ7" s="475">
        <v>327.42</v>
      </c>
      <c r="BA7" s="475">
        <v>324.52</v>
      </c>
      <c r="BB7" s="475">
        <v>320.17</v>
      </c>
      <c r="BC7" s="475">
        <v>316.72000000000003</v>
      </c>
      <c r="BD7" s="475">
        <v>309.61</v>
      </c>
      <c r="BE7" s="475">
        <v>301.24</v>
      </c>
      <c r="BF7" s="475">
        <v>293.79000000000002</v>
      </c>
      <c r="BG7" s="475">
        <v>286.94</v>
      </c>
      <c r="BH7" s="475">
        <v>280.14999999999998</v>
      </c>
      <c r="BI7" s="475">
        <v>239.41</v>
      </c>
      <c r="BJ7" s="507">
        <v>125.52</v>
      </c>
    </row>
    <row r="8" spans="1:62" x14ac:dyDescent="0.25">
      <c r="A8" s="989" t="s">
        <v>66</v>
      </c>
      <c r="B8" s="78" t="s">
        <v>61</v>
      </c>
      <c r="C8" s="481">
        <v>417.54</v>
      </c>
      <c r="D8" s="471">
        <v>414.4</v>
      </c>
      <c r="E8" s="471">
        <v>411.28</v>
      </c>
      <c r="F8" s="471">
        <v>408.16</v>
      </c>
      <c r="G8" s="471">
        <v>405.02</v>
      </c>
      <c r="H8" s="471">
        <v>401.92</v>
      </c>
      <c r="I8" s="471">
        <v>398.78</v>
      </c>
      <c r="J8" s="471">
        <v>395.68</v>
      </c>
      <c r="K8" s="471">
        <v>392.52</v>
      </c>
      <c r="L8" s="471">
        <v>389.39</v>
      </c>
      <c r="M8" s="471">
        <v>386.23</v>
      </c>
      <c r="N8" s="482">
        <v>383.12</v>
      </c>
      <c r="O8" s="489">
        <v>425.94</v>
      </c>
      <c r="P8" s="472">
        <v>422.74</v>
      </c>
      <c r="Q8" s="472">
        <v>419.55</v>
      </c>
      <c r="R8" s="472">
        <v>416.37</v>
      </c>
      <c r="S8" s="472">
        <v>413.17</v>
      </c>
      <c r="T8" s="472">
        <v>410.01</v>
      </c>
      <c r="U8" s="472">
        <v>406.8</v>
      </c>
      <c r="V8" s="472">
        <v>403.64</v>
      </c>
      <c r="W8" s="472">
        <v>400.42</v>
      </c>
      <c r="X8" s="472">
        <v>397.22</v>
      </c>
      <c r="Y8" s="472">
        <v>394</v>
      </c>
      <c r="Z8" s="490">
        <v>390.83</v>
      </c>
      <c r="AA8" s="494">
        <v>447.24</v>
      </c>
      <c r="AB8" s="473">
        <v>443.87</v>
      </c>
      <c r="AC8" s="473">
        <v>440.53</v>
      </c>
      <c r="AD8" s="473">
        <v>437.19</v>
      </c>
      <c r="AE8" s="473">
        <v>433.83</v>
      </c>
      <c r="AF8" s="473">
        <v>430.51</v>
      </c>
      <c r="AG8" s="473">
        <v>427.14</v>
      </c>
      <c r="AH8" s="473">
        <v>423.82</v>
      </c>
      <c r="AI8" s="473">
        <v>420.44</v>
      </c>
      <c r="AJ8" s="473">
        <v>417.09</v>
      </c>
      <c r="AK8" s="473">
        <v>413.7</v>
      </c>
      <c r="AL8" s="495">
        <v>410.37</v>
      </c>
      <c r="AM8" s="499">
        <v>465.13</v>
      </c>
      <c r="AN8" s="474">
        <v>461.62</v>
      </c>
      <c r="AO8" s="474">
        <v>458.15</v>
      </c>
      <c r="AP8" s="474">
        <v>454.68</v>
      </c>
      <c r="AQ8" s="474">
        <v>451.18</v>
      </c>
      <c r="AR8" s="474">
        <v>447.73</v>
      </c>
      <c r="AS8" s="474">
        <v>444.23</v>
      </c>
      <c r="AT8" s="474">
        <v>440.77</v>
      </c>
      <c r="AU8" s="474">
        <v>437.26</v>
      </c>
      <c r="AV8" s="474">
        <v>433.76</v>
      </c>
      <c r="AW8" s="474">
        <v>430.24</v>
      </c>
      <c r="AX8" s="500">
        <v>426.79</v>
      </c>
      <c r="AY8" s="506">
        <v>483.74</v>
      </c>
      <c r="AZ8" s="475">
        <v>480.09</v>
      </c>
      <c r="BA8" s="475">
        <v>476.47</v>
      </c>
      <c r="BB8" s="475">
        <v>472.87</v>
      </c>
      <c r="BC8" s="475">
        <v>469.22</v>
      </c>
      <c r="BD8" s="475">
        <v>465.64</v>
      </c>
      <c r="BE8" s="475">
        <v>462</v>
      </c>
      <c r="BF8" s="475">
        <v>458.4</v>
      </c>
      <c r="BG8" s="475">
        <v>454.76</v>
      </c>
      <c r="BH8" s="475">
        <v>451.12</v>
      </c>
      <c r="BI8" s="475">
        <v>447.45</v>
      </c>
      <c r="BJ8" s="507">
        <v>443.85</v>
      </c>
    </row>
    <row r="9" spans="1:62" x14ac:dyDescent="0.25">
      <c r="A9" s="989"/>
      <c r="B9" s="78" t="s">
        <v>62</v>
      </c>
      <c r="C9" s="481">
        <v>285.22000000000003</v>
      </c>
      <c r="D9" s="471">
        <v>282.62</v>
      </c>
      <c r="E9" s="471">
        <v>280.11</v>
      </c>
      <c r="F9" s="471">
        <v>276.36</v>
      </c>
      <c r="G9" s="471">
        <v>273.38</v>
      </c>
      <c r="H9" s="471">
        <v>267.25</v>
      </c>
      <c r="I9" s="471">
        <v>260.02</v>
      </c>
      <c r="J9" s="471">
        <v>253.59</v>
      </c>
      <c r="K9" s="471">
        <v>247.68</v>
      </c>
      <c r="L9" s="471">
        <v>241.82</v>
      </c>
      <c r="M9" s="471">
        <v>206.65</v>
      </c>
      <c r="N9" s="483">
        <v>108.34</v>
      </c>
      <c r="O9" s="489">
        <v>290.95999999999998</v>
      </c>
      <c r="P9" s="472">
        <v>288.31</v>
      </c>
      <c r="Q9" s="472">
        <v>285.75</v>
      </c>
      <c r="R9" s="472">
        <v>281.92</v>
      </c>
      <c r="S9" s="472">
        <v>278.88</v>
      </c>
      <c r="T9" s="472">
        <v>272.63</v>
      </c>
      <c r="U9" s="472">
        <v>265.25</v>
      </c>
      <c r="V9" s="472">
        <v>258.69</v>
      </c>
      <c r="W9" s="472">
        <v>252.66</v>
      </c>
      <c r="X9" s="472">
        <v>246.68</v>
      </c>
      <c r="Y9" s="472">
        <v>210.81</v>
      </c>
      <c r="Z9" s="490">
        <v>110.52</v>
      </c>
      <c r="AA9" s="494">
        <v>305.5</v>
      </c>
      <c r="AB9" s="473">
        <v>302.72000000000003</v>
      </c>
      <c r="AC9" s="473">
        <v>300.04000000000002</v>
      </c>
      <c r="AD9" s="473">
        <v>296.02</v>
      </c>
      <c r="AE9" s="473">
        <v>292.82</v>
      </c>
      <c r="AF9" s="473">
        <v>286.26</v>
      </c>
      <c r="AG9" s="473">
        <v>278.51</v>
      </c>
      <c r="AH9" s="473">
        <v>271.63</v>
      </c>
      <c r="AI9" s="473">
        <v>265.29000000000002</v>
      </c>
      <c r="AJ9" s="473">
        <v>259.02</v>
      </c>
      <c r="AK9" s="473">
        <v>221.35</v>
      </c>
      <c r="AL9" s="495">
        <v>116.05</v>
      </c>
      <c r="AM9" s="501">
        <v>317.73</v>
      </c>
      <c r="AN9" s="477">
        <v>314.83</v>
      </c>
      <c r="AO9" s="477">
        <v>312.02999999999997</v>
      </c>
      <c r="AP9" s="477">
        <v>307.86</v>
      </c>
      <c r="AQ9" s="477">
        <v>304.54000000000002</v>
      </c>
      <c r="AR9" s="477">
        <v>297.7</v>
      </c>
      <c r="AS9" s="477">
        <v>289.64999999999998</v>
      </c>
      <c r="AT9" s="477">
        <v>282.49</v>
      </c>
      <c r="AU9" s="477">
        <v>275.89999999999998</v>
      </c>
      <c r="AV9" s="477">
        <v>269.38</v>
      </c>
      <c r="AW9" s="477">
        <v>230.2</v>
      </c>
      <c r="AX9" s="502">
        <v>120.69</v>
      </c>
      <c r="AY9" s="506">
        <v>330.44</v>
      </c>
      <c r="AZ9" s="475">
        <v>327.42</v>
      </c>
      <c r="BA9" s="475">
        <v>324.52</v>
      </c>
      <c r="BB9" s="475">
        <v>320.17</v>
      </c>
      <c r="BC9" s="475">
        <v>316.72000000000003</v>
      </c>
      <c r="BD9" s="475">
        <v>309.61</v>
      </c>
      <c r="BE9" s="475">
        <v>301.24</v>
      </c>
      <c r="BF9" s="475">
        <v>293.79000000000002</v>
      </c>
      <c r="BG9" s="475">
        <v>286.94</v>
      </c>
      <c r="BH9" s="475">
        <v>280.14999999999998</v>
      </c>
      <c r="BI9" s="475">
        <v>239.41</v>
      </c>
      <c r="BJ9" s="507">
        <v>125.52</v>
      </c>
    </row>
    <row r="10" spans="1:62" x14ac:dyDescent="0.25">
      <c r="A10" s="989" t="s">
        <v>42</v>
      </c>
      <c r="B10" s="78" t="s">
        <v>61</v>
      </c>
      <c r="C10" s="481">
        <v>417.54</v>
      </c>
      <c r="D10" s="471">
        <v>414.4</v>
      </c>
      <c r="E10" s="471">
        <v>411.28</v>
      </c>
      <c r="F10" s="471">
        <v>408.16</v>
      </c>
      <c r="G10" s="471">
        <v>405.02</v>
      </c>
      <c r="H10" s="471">
        <v>401.92</v>
      </c>
      <c r="I10" s="471">
        <v>398.78</v>
      </c>
      <c r="J10" s="471">
        <v>395.68</v>
      </c>
      <c r="K10" s="471">
        <v>392.52</v>
      </c>
      <c r="L10" s="471">
        <v>389.39</v>
      </c>
      <c r="M10" s="471">
        <v>386.23</v>
      </c>
      <c r="N10" s="482">
        <v>383.12</v>
      </c>
      <c r="O10" s="489">
        <v>425.94</v>
      </c>
      <c r="P10" s="472">
        <v>422.74</v>
      </c>
      <c r="Q10" s="472">
        <v>419.55</v>
      </c>
      <c r="R10" s="472">
        <v>416.37</v>
      </c>
      <c r="S10" s="472">
        <v>413.17</v>
      </c>
      <c r="T10" s="472">
        <v>410.01</v>
      </c>
      <c r="U10" s="472">
        <v>406.8</v>
      </c>
      <c r="V10" s="472">
        <v>403.64</v>
      </c>
      <c r="W10" s="472">
        <v>400.42</v>
      </c>
      <c r="X10" s="472">
        <v>397.22</v>
      </c>
      <c r="Y10" s="472">
        <v>394</v>
      </c>
      <c r="Z10" s="490">
        <v>390.83</v>
      </c>
      <c r="AA10" s="494">
        <v>447.24</v>
      </c>
      <c r="AB10" s="473">
        <v>443.87</v>
      </c>
      <c r="AC10" s="473">
        <v>440.53</v>
      </c>
      <c r="AD10" s="473">
        <v>437.19</v>
      </c>
      <c r="AE10" s="473">
        <v>433.83</v>
      </c>
      <c r="AF10" s="473">
        <v>430.51</v>
      </c>
      <c r="AG10" s="473">
        <v>427.14</v>
      </c>
      <c r="AH10" s="473">
        <v>423.82</v>
      </c>
      <c r="AI10" s="473">
        <v>420.44</v>
      </c>
      <c r="AJ10" s="473">
        <v>417.09</v>
      </c>
      <c r="AK10" s="473">
        <v>413.7</v>
      </c>
      <c r="AL10" s="495">
        <v>410.37</v>
      </c>
      <c r="AM10" s="499">
        <v>465.13</v>
      </c>
      <c r="AN10" s="474">
        <v>461.62</v>
      </c>
      <c r="AO10" s="474">
        <v>458.15</v>
      </c>
      <c r="AP10" s="474">
        <v>454.68</v>
      </c>
      <c r="AQ10" s="474">
        <v>451.18</v>
      </c>
      <c r="AR10" s="474">
        <v>447.73</v>
      </c>
      <c r="AS10" s="474">
        <v>444.23</v>
      </c>
      <c r="AT10" s="474">
        <v>440.77</v>
      </c>
      <c r="AU10" s="474">
        <v>437.26</v>
      </c>
      <c r="AV10" s="474">
        <v>433.76</v>
      </c>
      <c r="AW10" s="474">
        <v>430.24</v>
      </c>
      <c r="AX10" s="500">
        <v>426.79</v>
      </c>
      <c r="AY10" s="506">
        <v>483.74</v>
      </c>
      <c r="AZ10" s="475">
        <v>480.09</v>
      </c>
      <c r="BA10" s="475">
        <v>476.47</v>
      </c>
      <c r="BB10" s="475">
        <v>472.87</v>
      </c>
      <c r="BC10" s="475">
        <v>469.22</v>
      </c>
      <c r="BD10" s="475">
        <v>465.64</v>
      </c>
      <c r="BE10" s="475">
        <v>462</v>
      </c>
      <c r="BF10" s="475">
        <v>458.4</v>
      </c>
      <c r="BG10" s="475">
        <v>454.76</v>
      </c>
      <c r="BH10" s="475">
        <v>451.12</v>
      </c>
      <c r="BI10" s="475">
        <v>447.45</v>
      </c>
      <c r="BJ10" s="507">
        <v>443.85</v>
      </c>
    </row>
    <row r="11" spans="1:62" x14ac:dyDescent="0.25">
      <c r="A11" s="989"/>
      <c r="B11" s="78" t="s">
        <v>62</v>
      </c>
      <c r="C11" s="481">
        <v>285.22000000000003</v>
      </c>
      <c r="D11" s="471">
        <v>282.62</v>
      </c>
      <c r="E11" s="471">
        <v>280.11</v>
      </c>
      <c r="F11" s="471">
        <v>276.36</v>
      </c>
      <c r="G11" s="471">
        <v>273.38</v>
      </c>
      <c r="H11" s="471">
        <v>267.25</v>
      </c>
      <c r="I11" s="471">
        <v>260.02</v>
      </c>
      <c r="J11" s="471">
        <v>253.59</v>
      </c>
      <c r="K11" s="471">
        <v>247.68</v>
      </c>
      <c r="L11" s="471">
        <v>241.82</v>
      </c>
      <c r="M11" s="471">
        <v>206.65</v>
      </c>
      <c r="N11" s="483">
        <v>108.34</v>
      </c>
      <c r="O11" s="489">
        <v>290.95999999999998</v>
      </c>
      <c r="P11" s="472">
        <v>288.31</v>
      </c>
      <c r="Q11" s="472">
        <v>285.75</v>
      </c>
      <c r="R11" s="472">
        <v>281.92</v>
      </c>
      <c r="S11" s="472">
        <v>278.88</v>
      </c>
      <c r="T11" s="472">
        <v>272.63</v>
      </c>
      <c r="U11" s="472">
        <v>265.25</v>
      </c>
      <c r="V11" s="472">
        <v>258.69</v>
      </c>
      <c r="W11" s="472">
        <v>252.66</v>
      </c>
      <c r="X11" s="472">
        <v>246.68</v>
      </c>
      <c r="Y11" s="472">
        <v>210.81</v>
      </c>
      <c r="Z11" s="490">
        <v>110.52</v>
      </c>
      <c r="AA11" s="494">
        <v>305.5</v>
      </c>
      <c r="AB11" s="473">
        <v>302.72000000000003</v>
      </c>
      <c r="AC11" s="473">
        <v>300.04000000000002</v>
      </c>
      <c r="AD11" s="473">
        <v>296.02</v>
      </c>
      <c r="AE11" s="473">
        <v>292.82</v>
      </c>
      <c r="AF11" s="473">
        <v>286.26</v>
      </c>
      <c r="AG11" s="473">
        <v>278.51</v>
      </c>
      <c r="AH11" s="473">
        <v>271.63</v>
      </c>
      <c r="AI11" s="473">
        <v>265.29000000000002</v>
      </c>
      <c r="AJ11" s="473">
        <v>259.02</v>
      </c>
      <c r="AK11" s="473">
        <v>221.35</v>
      </c>
      <c r="AL11" s="495">
        <v>116.05</v>
      </c>
      <c r="AM11" s="501">
        <v>317.73</v>
      </c>
      <c r="AN11" s="477">
        <v>314.83</v>
      </c>
      <c r="AO11" s="477">
        <v>312.02999999999997</v>
      </c>
      <c r="AP11" s="477">
        <v>307.86</v>
      </c>
      <c r="AQ11" s="477">
        <v>304.54000000000002</v>
      </c>
      <c r="AR11" s="477">
        <v>297.7</v>
      </c>
      <c r="AS11" s="477">
        <v>289.64999999999998</v>
      </c>
      <c r="AT11" s="477">
        <v>282.49</v>
      </c>
      <c r="AU11" s="477">
        <v>275.89999999999998</v>
      </c>
      <c r="AV11" s="477">
        <v>269.38</v>
      </c>
      <c r="AW11" s="477">
        <v>230.2</v>
      </c>
      <c r="AX11" s="502">
        <v>120.69</v>
      </c>
      <c r="AY11" s="506">
        <v>330.44</v>
      </c>
      <c r="AZ11" s="475">
        <v>327.42</v>
      </c>
      <c r="BA11" s="475">
        <v>324.52</v>
      </c>
      <c r="BB11" s="475">
        <v>320.17</v>
      </c>
      <c r="BC11" s="475">
        <v>316.72000000000003</v>
      </c>
      <c r="BD11" s="475">
        <v>309.61</v>
      </c>
      <c r="BE11" s="475">
        <v>301.24</v>
      </c>
      <c r="BF11" s="475">
        <v>293.79000000000002</v>
      </c>
      <c r="BG11" s="475">
        <v>286.94</v>
      </c>
      <c r="BH11" s="475">
        <v>280.14999999999998</v>
      </c>
      <c r="BI11" s="475">
        <v>239.41</v>
      </c>
      <c r="BJ11" s="507">
        <v>125.52</v>
      </c>
    </row>
    <row r="12" spans="1:62" x14ac:dyDescent="0.25">
      <c r="A12" s="989" t="s">
        <v>43</v>
      </c>
      <c r="B12" s="78" t="s">
        <v>61</v>
      </c>
      <c r="C12" s="481">
        <v>349.5</v>
      </c>
      <c r="D12" s="471">
        <v>345.93</v>
      </c>
      <c r="E12" s="471">
        <v>342.25</v>
      </c>
      <c r="F12" s="471">
        <v>338.61</v>
      </c>
      <c r="G12" s="471">
        <v>336.22</v>
      </c>
      <c r="H12" s="471">
        <v>333.46</v>
      </c>
      <c r="I12" s="471">
        <v>331.01</v>
      </c>
      <c r="J12" s="471">
        <v>328.45</v>
      </c>
      <c r="K12" s="471">
        <v>325.68</v>
      </c>
      <c r="L12" s="471">
        <v>323.06</v>
      </c>
      <c r="M12" s="471">
        <v>320.45999999999998</v>
      </c>
      <c r="N12" s="482">
        <v>317.76</v>
      </c>
      <c r="O12" s="489">
        <v>356.53</v>
      </c>
      <c r="P12" s="472">
        <v>352.89</v>
      </c>
      <c r="Q12" s="472">
        <v>349.14</v>
      </c>
      <c r="R12" s="472">
        <v>345.42</v>
      </c>
      <c r="S12" s="472">
        <v>342.98</v>
      </c>
      <c r="T12" s="472">
        <v>340.17</v>
      </c>
      <c r="U12" s="472">
        <v>337.67</v>
      </c>
      <c r="V12" s="472">
        <v>335.06</v>
      </c>
      <c r="W12" s="472">
        <v>332.23</v>
      </c>
      <c r="X12" s="472">
        <v>329.56</v>
      </c>
      <c r="Y12" s="472">
        <v>326.91000000000003</v>
      </c>
      <c r="Z12" s="490">
        <v>324.14999999999998</v>
      </c>
      <c r="AA12" s="494">
        <v>374.36</v>
      </c>
      <c r="AB12" s="473">
        <v>370.54</v>
      </c>
      <c r="AC12" s="473">
        <v>366.59</v>
      </c>
      <c r="AD12" s="473">
        <v>362.69</v>
      </c>
      <c r="AE12" s="473">
        <v>360.13</v>
      </c>
      <c r="AF12" s="473">
        <v>357.17</v>
      </c>
      <c r="AG12" s="473">
        <v>354.55</v>
      </c>
      <c r="AH12" s="473">
        <v>351.81</v>
      </c>
      <c r="AI12" s="473">
        <v>348.84</v>
      </c>
      <c r="AJ12" s="473">
        <v>346.03</v>
      </c>
      <c r="AK12" s="473">
        <v>343.25</v>
      </c>
      <c r="AL12" s="495">
        <v>340.36</v>
      </c>
      <c r="AM12" s="499">
        <v>389.34</v>
      </c>
      <c r="AN12" s="474">
        <v>385.36</v>
      </c>
      <c r="AO12" s="474">
        <v>381.25</v>
      </c>
      <c r="AP12" s="474">
        <v>377.2</v>
      </c>
      <c r="AQ12" s="474">
        <v>374.54</v>
      </c>
      <c r="AR12" s="474">
        <v>371.47</v>
      </c>
      <c r="AS12" s="474">
        <v>368.73</v>
      </c>
      <c r="AT12" s="474">
        <v>365.88</v>
      </c>
      <c r="AU12" s="474">
        <v>362.79</v>
      </c>
      <c r="AV12" s="474">
        <v>359.88</v>
      </c>
      <c r="AW12" s="474">
        <v>356.98</v>
      </c>
      <c r="AX12" s="500">
        <v>353.98</v>
      </c>
      <c r="AY12" s="506">
        <v>404.92</v>
      </c>
      <c r="AZ12" s="475">
        <v>400.77</v>
      </c>
      <c r="BA12" s="475">
        <v>396.5</v>
      </c>
      <c r="BB12" s="475">
        <v>392.29</v>
      </c>
      <c r="BC12" s="475">
        <v>389.52</v>
      </c>
      <c r="BD12" s="475">
        <v>386.33</v>
      </c>
      <c r="BE12" s="475">
        <v>383.48</v>
      </c>
      <c r="BF12" s="475">
        <v>380.51</v>
      </c>
      <c r="BG12" s="475">
        <v>377.31</v>
      </c>
      <c r="BH12" s="475">
        <v>374.27</v>
      </c>
      <c r="BI12" s="475">
        <v>371.26</v>
      </c>
      <c r="BJ12" s="507">
        <v>368.14</v>
      </c>
    </row>
    <row r="13" spans="1:62" x14ac:dyDescent="0.25">
      <c r="A13" s="989"/>
      <c r="B13" s="78" t="s">
        <v>62</v>
      </c>
      <c r="C13" s="481">
        <v>238.71</v>
      </c>
      <c r="D13" s="471">
        <v>235.93</v>
      </c>
      <c r="E13" s="471">
        <v>233.07</v>
      </c>
      <c r="F13" s="471">
        <v>229.26</v>
      </c>
      <c r="G13" s="471">
        <v>226.96</v>
      </c>
      <c r="H13" s="471">
        <v>221.76</v>
      </c>
      <c r="I13" s="471">
        <v>215.81</v>
      </c>
      <c r="J13" s="471">
        <v>210.54</v>
      </c>
      <c r="K13" s="471">
        <v>205.51</v>
      </c>
      <c r="L13" s="471">
        <v>200.62</v>
      </c>
      <c r="M13" s="471">
        <v>171.44</v>
      </c>
      <c r="N13" s="482">
        <v>108.34</v>
      </c>
      <c r="O13" s="489">
        <v>243.51</v>
      </c>
      <c r="P13" s="472">
        <v>240.68</v>
      </c>
      <c r="Q13" s="472">
        <v>237.76</v>
      </c>
      <c r="R13" s="472">
        <v>233.87</v>
      </c>
      <c r="S13" s="472">
        <v>231.53</v>
      </c>
      <c r="T13" s="472">
        <v>226.22</v>
      </c>
      <c r="U13" s="472">
        <v>220.15</v>
      </c>
      <c r="V13" s="472">
        <v>214.78</v>
      </c>
      <c r="W13" s="472">
        <v>209.64</v>
      </c>
      <c r="X13" s="472">
        <v>204.66</v>
      </c>
      <c r="Y13" s="472">
        <v>174.89</v>
      </c>
      <c r="Z13" s="490">
        <v>110.52</v>
      </c>
      <c r="AA13" s="494">
        <v>255.69</v>
      </c>
      <c r="AB13" s="473">
        <v>252.71</v>
      </c>
      <c r="AC13" s="473">
        <v>249.64</v>
      </c>
      <c r="AD13" s="473">
        <v>245.56</v>
      </c>
      <c r="AE13" s="473">
        <v>243.1</v>
      </c>
      <c r="AF13" s="473">
        <v>237.53</v>
      </c>
      <c r="AG13" s="473">
        <v>231.16</v>
      </c>
      <c r="AH13" s="473">
        <v>225.52</v>
      </c>
      <c r="AI13" s="473">
        <v>220.13</v>
      </c>
      <c r="AJ13" s="473">
        <v>214.89</v>
      </c>
      <c r="AK13" s="473">
        <v>183.63</v>
      </c>
      <c r="AL13" s="495">
        <v>116.05</v>
      </c>
      <c r="AM13" s="501">
        <v>265.92</v>
      </c>
      <c r="AN13" s="477">
        <v>262.82</v>
      </c>
      <c r="AO13" s="477">
        <v>259.63</v>
      </c>
      <c r="AP13" s="477">
        <v>255.39</v>
      </c>
      <c r="AQ13" s="477">
        <v>252.83</v>
      </c>
      <c r="AR13" s="477">
        <v>247.03</v>
      </c>
      <c r="AS13" s="477">
        <v>240.4</v>
      </c>
      <c r="AT13" s="477">
        <v>234.54</v>
      </c>
      <c r="AU13" s="477">
        <v>228.93</v>
      </c>
      <c r="AV13" s="477">
        <v>223.49</v>
      </c>
      <c r="AW13" s="477">
        <v>190.98</v>
      </c>
      <c r="AX13" s="502">
        <v>120.69</v>
      </c>
      <c r="AY13" s="506">
        <v>276.56</v>
      </c>
      <c r="AZ13" s="475">
        <v>273.33999999999997</v>
      </c>
      <c r="BA13" s="478" t="s">
        <v>94</v>
      </c>
      <c r="BB13" s="475">
        <v>265.60000000000002</v>
      </c>
      <c r="BC13" s="475">
        <v>262.94</v>
      </c>
      <c r="BD13" s="475">
        <v>256.92</v>
      </c>
      <c r="BE13" s="475">
        <v>250.02</v>
      </c>
      <c r="BF13" s="475">
        <v>243.92</v>
      </c>
      <c r="BG13" s="475">
        <v>238.1</v>
      </c>
      <c r="BH13" s="475">
        <v>232.42</v>
      </c>
      <c r="BI13" s="475">
        <v>198.62</v>
      </c>
      <c r="BJ13" s="507">
        <v>125.52</v>
      </c>
    </row>
    <row r="14" spans="1:62" x14ac:dyDescent="0.25">
      <c r="A14" s="989" t="s">
        <v>67</v>
      </c>
      <c r="B14" s="78" t="s">
        <v>61</v>
      </c>
      <c r="C14" s="481">
        <v>349.5</v>
      </c>
      <c r="D14" s="471">
        <v>345.93</v>
      </c>
      <c r="E14" s="471">
        <v>342.25</v>
      </c>
      <c r="F14" s="471">
        <v>338.61</v>
      </c>
      <c r="G14" s="471">
        <v>336.22</v>
      </c>
      <c r="H14" s="471">
        <v>333.46</v>
      </c>
      <c r="I14" s="471">
        <v>331.01</v>
      </c>
      <c r="J14" s="471">
        <v>328.45</v>
      </c>
      <c r="K14" s="471">
        <v>325.68</v>
      </c>
      <c r="L14" s="471">
        <v>323.06</v>
      </c>
      <c r="M14" s="471">
        <v>320.45999999999998</v>
      </c>
      <c r="N14" s="482">
        <v>317.76</v>
      </c>
      <c r="O14" s="489">
        <v>356.53</v>
      </c>
      <c r="P14" s="472">
        <v>352.89</v>
      </c>
      <c r="Q14" s="472">
        <v>349.14</v>
      </c>
      <c r="R14" s="472">
        <v>345.42</v>
      </c>
      <c r="S14" s="472">
        <v>342.98</v>
      </c>
      <c r="T14" s="472">
        <v>340.17</v>
      </c>
      <c r="U14" s="472">
        <v>337.67</v>
      </c>
      <c r="V14" s="472">
        <v>335.06</v>
      </c>
      <c r="W14" s="472">
        <v>332.23</v>
      </c>
      <c r="X14" s="472">
        <v>329.56</v>
      </c>
      <c r="Y14" s="472">
        <v>326.91000000000003</v>
      </c>
      <c r="Z14" s="490">
        <v>324.14999999999998</v>
      </c>
      <c r="AA14" s="494">
        <v>374.36</v>
      </c>
      <c r="AB14" s="473">
        <v>370.54</v>
      </c>
      <c r="AC14" s="473">
        <v>366.59</v>
      </c>
      <c r="AD14" s="473">
        <v>362.69</v>
      </c>
      <c r="AE14" s="473">
        <v>360.13</v>
      </c>
      <c r="AF14" s="473">
        <v>357.17</v>
      </c>
      <c r="AG14" s="473">
        <v>354.55</v>
      </c>
      <c r="AH14" s="473">
        <v>351.81</v>
      </c>
      <c r="AI14" s="473">
        <v>348.84</v>
      </c>
      <c r="AJ14" s="473">
        <v>346.03</v>
      </c>
      <c r="AK14" s="473">
        <v>343.25</v>
      </c>
      <c r="AL14" s="495">
        <v>340.36</v>
      </c>
      <c r="AM14" s="499">
        <v>389.34</v>
      </c>
      <c r="AN14" s="474">
        <v>385.36</v>
      </c>
      <c r="AO14" s="474">
        <v>381.25</v>
      </c>
      <c r="AP14" s="474">
        <v>377.2</v>
      </c>
      <c r="AQ14" s="474">
        <v>374.54</v>
      </c>
      <c r="AR14" s="474">
        <v>371.47</v>
      </c>
      <c r="AS14" s="474">
        <v>368.73</v>
      </c>
      <c r="AT14" s="474">
        <v>365.88</v>
      </c>
      <c r="AU14" s="474">
        <v>362.79</v>
      </c>
      <c r="AV14" s="474">
        <v>359.88</v>
      </c>
      <c r="AW14" s="474">
        <v>356.98</v>
      </c>
      <c r="AX14" s="500">
        <v>353.98</v>
      </c>
      <c r="AY14" s="506">
        <v>404.92</v>
      </c>
      <c r="AZ14" s="475">
        <v>400.77</v>
      </c>
      <c r="BA14" s="475">
        <v>396.5</v>
      </c>
      <c r="BB14" s="475">
        <v>392.29</v>
      </c>
      <c r="BC14" s="475">
        <v>389.52</v>
      </c>
      <c r="BD14" s="475">
        <v>386.33</v>
      </c>
      <c r="BE14" s="475">
        <v>383.48</v>
      </c>
      <c r="BF14" s="475">
        <v>380.51</v>
      </c>
      <c r="BG14" s="475">
        <v>377.31</v>
      </c>
      <c r="BH14" s="475">
        <v>374.27</v>
      </c>
      <c r="BI14" s="475">
        <v>371.26</v>
      </c>
      <c r="BJ14" s="507">
        <v>368.14</v>
      </c>
    </row>
    <row r="15" spans="1:62" x14ac:dyDescent="0.25">
      <c r="A15" s="989"/>
      <c r="B15" s="78" t="s">
        <v>62</v>
      </c>
      <c r="C15" s="481">
        <v>238.71</v>
      </c>
      <c r="D15" s="471">
        <v>235.93</v>
      </c>
      <c r="E15" s="471">
        <v>233.07</v>
      </c>
      <c r="F15" s="471">
        <v>229.26</v>
      </c>
      <c r="G15" s="471">
        <v>226.96</v>
      </c>
      <c r="H15" s="471">
        <v>221.76</v>
      </c>
      <c r="I15" s="471">
        <v>215.81</v>
      </c>
      <c r="J15" s="471">
        <v>210.54</v>
      </c>
      <c r="K15" s="471">
        <v>205.51</v>
      </c>
      <c r="L15" s="471">
        <v>200.62</v>
      </c>
      <c r="M15" s="476">
        <v>171.44</v>
      </c>
      <c r="N15" s="483">
        <v>108.34</v>
      </c>
      <c r="O15" s="489">
        <v>243.51</v>
      </c>
      <c r="P15" s="472">
        <v>240.68</v>
      </c>
      <c r="Q15" s="472">
        <v>237.76</v>
      </c>
      <c r="R15" s="472">
        <v>233.87</v>
      </c>
      <c r="S15" s="472">
        <v>231.53</v>
      </c>
      <c r="T15" s="472">
        <v>226.22</v>
      </c>
      <c r="U15" s="472">
        <v>220.15</v>
      </c>
      <c r="V15" s="472">
        <v>214.78</v>
      </c>
      <c r="W15" s="472">
        <v>209.64</v>
      </c>
      <c r="X15" s="472">
        <v>204.66</v>
      </c>
      <c r="Y15" s="472">
        <v>174.89</v>
      </c>
      <c r="Z15" s="490">
        <v>110.52</v>
      </c>
      <c r="AA15" s="494">
        <v>255.69</v>
      </c>
      <c r="AB15" s="473">
        <v>252.71</v>
      </c>
      <c r="AC15" s="473">
        <v>249.64</v>
      </c>
      <c r="AD15" s="473">
        <v>245.56</v>
      </c>
      <c r="AE15" s="473">
        <v>243.1</v>
      </c>
      <c r="AF15" s="473">
        <v>237.53</v>
      </c>
      <c r="AG15" s="473">
        <v>231.16</v>
      </c>
      <c r="AH15" s="473">
        <v>225.52</v>
      </c>
      <c r="AI15" s="473">
        <v>220.13</v>
      </c>
      <c r="AJ15" s="473">
        <v>214.89</v>
      </c>
      <c r="AK15" s="473">
        <v>183.63</v>
      </c>
      <c r="AL15" s="495">
        <v>116.05</v>
      </c>
      <c r="AM15" s="501">
        <v>265.92</v>
      </c>
      <c r="AN15" s="477">
        <v>262.82</v>
      </c>
      <c r="AO15" s="477">
        <v>259.63</v>
      </c>
      <c r="AP15" s="477">
        <v>255.39</v>
      </c>
      <c r="AQ15" s="477">
        <v>252.83</v>
      </c>
      <c r="AR15" s="477">
        <v>247.03</v>
      </c>
      <c r="AS15" s="477">
        <v>240.4</v>
      </c>
      <c r="AT15" s="477">
        <v>234.54</v>
      </c>
      <c r="AU15" s="477">
        <v>228.93</v>
      </c>
      <c r="AV15" s="477">
        <v>223.49</v>
      </c>
      <c r="AW15" s="477">
        <v>190.98</v>
      </c>
      <c r="AX15" s="502">
        <v>120.69</v>
      </c>
      <c r="AY15" s="506">
        <v>276.56</v>
      </c>
      <c r="AZ15" s="475">
        <v>273.33999999999997</v>
      </c>
      <c r="BA15" s="478" t="s">
        <v>94</v>
      </c>
      <c r="BB15" s="475">
        <v>265.60000000000002</v>
      </c>
      <c r="BC15" s="475">
        <v>262.94</v>
      </c>
      <c r="BD15" s="475">
        <v>256.92</v>
      </c>
      <c r="BE15" s="475">
        <v>250.02</v>
      </c>
      <c r="BF15" s="475">
        <v>243.92</v>
      </c>
      <c r="BG15" s="475">
        <v>238.1</v>
      </c>
      <c r="BH15" s="475">
        <v>232.42</v>
      </c>
      <c r="BI15" s="475">
        <v>198.62</v>
      </c>
      <c r="BJ15" s="507">
        <v>125.52</v>
      </c>
    </row>
    <row r="16" spans="1:62" x14ac:dyDescent="0.25">
      <c r="A16" s="989" t="s">
        <v>68</v>
      </c>
      <c r="B16" s="78" t="s">
        <v>61</v>
      </c>
      <c r="C16" s="481">
        <v>349.5</v>
      </c>
      <c r="D16" s="471">
        <v>345.93</v>
      </c>
      <c r="E16" s="471">
        <v>342.25</v>
      </c>
      <c r="F16" s="471">
        <v>338.61</v>
      </c>
      <c r="G16" s="471">
        <v>336.22</v>
      </c>
      <c r="H16" s="471">
        <v>333.46</v>
      </c>
      <c r="I16" s="471">
        <v>331.01</v>
      </c>
      <c r="J16" s="471">
        <v>328.45</v>
      </c>
      <c r="K16" s="471">
        <v>325.68</v>
      </c>
      <c r="L16" s="471">
        <v>323.06</v>
      </c>
      <c r="M16" s="471">
        <v>320.45999999999998</v>
      </c>
      <c r="N16" s="482">
        <v>317.76</v>
      </c>
      <c r="O16" s="489">
        <v>356.53</v>
      </c>
      <c r="P16" s="472">
        <v>352.89</v>
      </c>
      <c r="Q16" s="472">
        <v>349.14</v>
      </c>
      <c r="R16" s="472">
        <v>345.42</v>
      </c>
      <c r="S16" s="472">
        <v>342.98</v>
      </c>
      <c r="T16" s="472">
        <v>340.17</v>
      </c>
      <c r="U16" s="472">
        <v>337.67</v>
      </c>
      <c r="V16" s="472">
        <v>335.06</v>
      </c>
      <c r="W16" s="472">
        <v>332.23</v>
      </c>
      <c r="X16" s="472">
        <v>329.56</v>
      </c>
      <c r="Y16" s="472">
        <v>326.91000000000003</v>
      </c>
      <c r="Z16" s="490">
        <v>324.14999999999998</v>
      </c>
      <c r="AA16" s="494">
        <v>374.36</v>
      </c>
      <c r="AB16" s="473">
        <v>370.54</v>
      </c>
      <c r="AC16" s="473">
        <v>366.59</v>
      </c>
      <c r="AD16" s="473">
        <v>362.69</v>
      </c>
      <c r="AE16" s="473">
        <v>360.13</v>
      </c>
      <c r="AF16" s="473">
        <v>357.17</v>
      </c>
      <c r="AG16" s="473">
        <v>354.55</v>
      </c>
      <c r="AH16" s="473">
        <v>351.81</v>
      </c>
      <c r="AI16" s="473">
        <v>348.84</v>
      </c>
      <c r="AJ16" s="473">
        <v>346.03</v>
      </c>
      <c r="AK16" s="473">
        <v>343.25</v>
      </c>
      <c r="AL16" s="495">
        <v>340.36</v>
      </c>
      <c r="AM16" s="499">
        <v>389.34</v>
      </c>
      <c r="AN16" s="474">
        <v>385.36</v>
      </c>
      <c r="AO16" s="474">
        <v>381.25</v>
      </c>
      <c r="AP16" s="474">
        <v>377.2</v>
      </c>
      <c r="AQ16" s="474">
        <v>374.54</v>
      </c>
      <c r="AR16" s="474">
        <v>371.47</v>
      </c>
      <c r="AS16" s="474">
        <v>368.73</v>
      </c>
      <c r="AT16" s="474">
        <v>365.88</v>
      </c>
      <c r="AU16" s="474">
        <v>362.79</v>
      </c>
      <c r="AV16" s="474">
        <v>359.88</v>
      </c>
      <c r="AW16" s="474">
        <v>356.98</v>
      </c>
      <c r="AX16" s="500">
        <v>353.98</v>
      </c>
      <c r="AY16" s="506">
        <v>404.92</v>
      </c>
      <c r="AZ16" s="475">
        <v>400.77</v>
      </c>
      <c r="BA16" s="475">
        <v>396.5</v>
      </c>
      <c r="BB16" s="475">
        <v>392.29</v>
      </c>
      <c r="BC16" s="475">
        <v>389.52</v>
      </c>
      <c r="BD16" s="475">
        <v>386.33</v>
      </c>
      <c r="BE16" s="475">
        <v>383.48</v>
      </c>
      <c r="BF16" s="475">
        <v>380.51</v>
      </c>
      <c r="BG16" s="475">
        <v>377.31</v>
      </c>
      <c r="BH16" s="475">
        <v>374.27</v>
      </c>
      <c r="BI16" s="475">
        <v>371.26</v>
      </c>
      <c r="BJ16" s="507">
        <v>368.14</v>
      </c>
    </row>
    <row r="17" spans="1:62" x14ac:dyDescent="0.25">
      <c r="A17" s="989"/>
      <c r="B17" s="78" t="s">
        <v>62</v>
      </c>
      <c r="C17" s="481">
        <v>238.71</v>
      </c>
      <c r="D17" s="471">
        <v>235.93</v>
      </c>
      <c r="E17" s="471">
        <v>233.07</v>
      </c>
      <c r="F17" s="471">
        <v>229.26</v>
      </c>
      <c r="G17" s="471">
        <v>226.96</v>
      </c>
      <c r="H17" s="471">
        <v>221.76</v>
      </c>
      <c r="I17" s="471">
        <v>215.81</v>
      </c>
      <c r="J17" s="471">
        <v>210.54</v>
      </c>
      <c r="K17" s="471">
        <v>205.51</v>
      </c>
      <c r="L17" s="471">
        <v>200.62</v>
      </c>
      <c r="M17" s="476">
        <v>171.44</v>
      </c>
      <c r="N17" s="483">
        <v>108.34</v>
      </c>
      <c r="O17" s="489">
        <v>243.51</v>
      </c>
      <c r="P17" s="472">
        <v>240.68</v>
      </c>
      <c r="Q17" s="472">
        <v>237.76</v>
      </c>
      <c r="R17" s="472">
        <v>233.87</v>
      </c>
      <c r="S17" s="472">
        <v>231.53</v>
      </c>
      <c r="T17" s="472">
        <v>226.22</v>
      </c>
      <c r="U17" s="472">
        <v>220.15</v>
      </c>
      <c r="V17" s="472">
        <v>214.78</v>
      </c>
      <c r="W17" s="472">
        <v>209.64</v>
      </c>
      <c r="X17" s="472">
        <v>204.66</v>
      </c>
      <c r="Y17" s="472">
        <v>174.89</v>
      </c>
      <c r="Z17" s="490">
        <v>110.52</v>
      </c>
      <c r="AA17" s="494">
        <v>255.69</v>
      </c>
      <c r="AB17" s="473">
        <v>252.71</v>
      </c>
      <c r="AC17" s="473">
        <v>249.64</v>
      </c>
      <c r="AD17" s="473">
        <v>245.56</v>
      </c>
      <c r="AE17" s="473">
        <v>243.1</v>
      </c>
      <c r="AF17" s="473">
        <v>237.53</v>
      </c>
      <c r="AG17" s="473">
        <v>231.16</v>
      </c>
      <c r="AH17" s="473">
        <v>225.52</v>
      </c>
      <c r="AI17" s="473">
        <v>220.13</v>
      </c>
      <c r="AJ17" s="473">
        <v>214.89</v>
      </c>
      <c r="AK17" s="473">
        <v>183.63</v>
      </c>
      <c r="AL17" s="495">
        <v>116.05</v>
      </c>
      <c r="AM17" s="501">
        <v>265.92</v>
      </c>
      <c r="AN17" s="477">
        <v>262.82</v>
      </c>
      <c r="AO17" s="477">
        <v>259.63</v>
      </c>
      <c r="AP17" s="477">
        <v>255.39</v>
      </c>
      <c r="AQ17" s="477">
        <v>252.83</v>
      </c>
      <c r="AR17" s="477">
        <v>247.03</v>
      </c>
      <c r="AS17" s="477">
        <v>240.4</v>
      </c>
      <c r="AT17" s="477">
        <v>234.54</v>
      </c>
      <c r="AU17" s="477">
        <v>228.93</v>
      </c>
      <c r="AV17" s="477">
        <v>223.49</v>
      </c>
      <c r="AW17" s="477">
        <v>190.98</v>
      </c>
      <c r="AX17" s="502">
        <v>120.69</v>
      </c>
      <c r="AY17" s="506">
        <v>276.56</v>
      </c>
      <c r="AZ17" s="475">
        <v>273.33999999999997</v>
      </c>
      <c r="BA17" s="478" t="s">
        <v>94</v>
      </c>
      <c r="BB17" s="475">
        <v>265.60000000000002</v>
      </c>
      <c r="BC17" s="475">
        <v>262.94</v>
      </c>
      <c r="BD17" s="475">
        <v>256.92</v>
      </c>
      <c r="BE17" s="475">
        <v>250.02</v>
      </c>
      <c r="BF17" s="475">
        <v>243.92</v>
      </c>
      <c r="BG17" s="475">
        <v>238.1</v>
      </c>
      <c r="BH17" s="475">
        <v>232.42</v>
      </c>
      <c r="BI17" s="475">
        <v>198.62</v>
      </c>
      <c r="BJ17" s="507">
        <v>125.52</v>
      </c>
    </row>
    <row r="18" spans="1:62" x14ac:dyDescent="0.25">
      <c r="A18" s="989" t="s">
        <v>45</v>
      </c>
      <c r="B18" s="78" t="s">
        <v>61</v>
      </c>
      <c r="C18" s="481">
        <v>349.5</v>
      </c>
      <c r="D18" s="471">
        <v>345.93</v>
      </c>
      <c r="E18" s="471">
        <v>342.25</v>
      </c>
      <c r="F18" s="471">
        <v>338.61</v>
      </c>
      <c r="G18" s="471">
        <v>336.22</v>
      </c>
      <c r="H18" s="471">
        <v>333.46</v>
      </c>
      <c r="I18" s="471">
        <v>331.01</v>
      </c>
      <c r="J18" s="471">
        <v>328.45</v>
      </c>
      <c r="K18" s="471">
        <v>325.68</v>
      </c>
      <c r="L18" s="471">
        <v>323.06</v>
      </c>
      <c r="M18" s="471">
        <v>320.45999999999998</v>
      </c>
      <c r="N18" s="482">
        <v>317.76</v>
      </c>
      <c r="O18" s="489">
        <v>356.53</v>
      </c>
      <c r="P18" s="472">
        <v>352.89</v>
      </c>
      <c r="Q18" s="472">
        <v>349.14</v>
      </c>
      <c r="R18" s="472">
        <v>345.42</v>
      </c>
      <c r="S18" s="472">
        <v>342.98</v>
      </c>
      <c r="T18" s="472">
        <v>340.17</v>
      </c>
      <c r="U18" s="472">
        <v>337.67</v>
      </c>
      <c r="V18" s="472">
        <v>335.06</v>
      </c>
      <c r="W18" s="472">
        <v>332.23</v>
      </c>
      <c r="X18" s="472">
        <v>329.56</v>
      </c>
      <c r="Y18" s="472">
        <v>326.91000000000003</v>
      </c>
      <c r="Z18" s="490">
        <v>324.14999999999998</v>
      </c>
      <c r="AA18" s="494">
        <v>374.36</v>
      </c>
      <c r="AB18" s="473">
        <v>370.54</v>
      </c>
      <c r="AC18" s="473">
        <v>366.59</v>
      </c>
      <c r="AD18" s="473">
        <v>362.69</v>
      </c>
      <c r="AE18" s="473">
        <v>360.13</v>
      </c>
      <c r="AF18" s="473">
        <v>357.17</v>
      </c>
      <c r="AG18" s="473">
        <v>354.55</v>
      </c>
      <c r="AH18" s="473">
        <v>351.81</v>
      </c>
      <c r="AI18" s="473">
        <v>348.84</v>
      </c>
      <c r="AJ18" s="473">
        <v>346.03</v>
      </c>
      <c r="AK18" s="473">
        <v>343.25</v>
      </c>
      <c r="AL18" s="495">
        <v>340.36</v>
      </c>
      <c r="AM18" s="499">
        <v>389.34</v>
      </c>
      <c r="AN18" s="474">
        <v>385.36</v>
      </c>
      <c r="AO18" s="474">
        <v>381.25</v>
      </c>
      <c r="AP18" s="474">
        <v>377.2</v>
      </c>
      <c r="AQ18" s="474">
        <v>374.54</v>
      </c>
      <c r="AR18" s="474">
        <v>371.47</v>
      </c>
      <c r="AS18" s="474">
        <v>368.73</v>
      </c>
      <c r="AT18" s="474">
        <v>365.88</v>
      </c>
      <c r="AU18" s="474">
        <v>362.79</v>
      </c>
      <c r="AV18" s="474">
        <v>359.88</v>
      </c>
      <c r="AW18" s="474">
        <v>356.98</v>
      </c>
      <c r="AX18" s="500">
        <v>353.98</v>
      </c>
      <c r="AY18" s="506">
        <v>404.92</v>
      </c>
      <c r="AZ18" s="475">
        <v>400.77</v>
      </c>
      <c r="BA18" s="475">
        <v>396.5</v>
      </c>
      <c r="BB18" s="475">
        <v>392.29</v>
      </c>
      <c r="BC18" s="475">
        <v>389.52</v>
      </c>
      <c r="BD18" s="475">
        <v>386.33</v>
      </c>
      <c r="BE18" s="475">
        <v>383.48</v>
      </c>
      <c r="BF18" s="475">
        <v>380.51</v>
      </c>
      <c r="BG18" s="475">
        <v>377.31</v>
      </c>
      <c r="BH18" s="475">
        <v>374.27</v>
      </c>
      <c r="BI18" s="475">
        <v>371.26</v>
      </c>
      <c r="BJ18" s="507">
        <v>368.14</v>
      </c>
    </row>
    <row r="19" spans="1:62" x14ac:dyDescent="0.25">
      <c r="A19" s="989"/>
      <c r="B19" s="78" t="s">
        <v>62</v>
      </c>
      <c r="C19" s="481">
        <v>238.71</v>
      </c>
      <c r="D19" s="471">
        <v>235.93</v>
      </c>
      <c r="E19" s="471">
        <v>233.07</v>
      </c>
      <c r="F19" s="471">
        <v>229.26</v>
      </c>
      <c r="G19" s="471">
        <v>226.96</v>
      </c>
      <c r="H19" s="471">
        <v>221.76</v>
      </c>
      <c r="I19" s="471">
        <v>215.81</v>
      </c>
      <c r="J19" s="471">
        <v>210.54</v>
      </c>
      <c r="K19" s="471">
        <v>205.51</v>
      </c>
      <c r="L19" s="471">
        <v>200.62</v>
      </c>
      <c r="M19" s="476">
        <v>171.44</v>
      </c>
      <c r="N19" s="483">
        <v>108.34</v>
      </c>
      <c r="O19" s="489">
        <v>243.51</v>
      </c>
      <c r="P19" s="472">
        <v>240.68</v>
      </c>
      <c r="Q19" s="472">
        <v>237.76</v>
      </c>
      <c r="R19" s="472">
        <v>233.87</v>
      </c>
      <c r="S19" s="472">
        <v>231.53</v>
      </c>
      <c r="T19" s="472">
        <v>226.22</v>
      </c>
      <c r="U19" s="472">
        <v>220.15</v>
      </c>
      <c r="V19" s="472">
        <v>214.78</v>
      </c>
      <c r="W19" s="472">
        <v>209.64</v>
      </c>
      <c r="X19" s="472">
        <v>204.66</v>
      </c>
      <c r="Y19" s="472">
        <v>174.89</v>
      </c>
      <c r="Z19" s="490">
        <v>110.52</v>
      </c>
      <c r="AA19" s="494">
        <v>255.69</v>
      </c>
      <c r="AB19" s="473">
        <v>252.71</v>
      </c>
      <c r="AC19" s="473">
        <v>249.64</v>
      </c>
      <c r="AD19" s="473">
        <v>245.56</v>
      </c>
      <c r="AE19" s="473">
        <v>243.1</v>
      </c>
      <c r="AF19" s="473">
        <v>237.53</v>
      </c>
      <c r="AG19" s="473">
        <v>231.16</v>
      </c>
      <c r="AH19" s="473">
        <v>225.52</v>
      </c>
      <c r="AI19" s="473">
        <v>220.13</v>
      </c>
      <c r="AJ19" s="473">
        <v>214.89</v>
      </c>
      <c r="AK19" s="473">
        <v>183.63</v>
      </c>
      <c r="AL19" s="495">
        <v>116.05</v>
      </c>
      <c r="AM19" s="501">
        <v>265.92</v>
      </c>
      <c r="AN19" s="477">
        <v>262.82</v>
      </c>
      <c r="AO19" s="477">
        <v>259.63</v>
      </c>
      <c r="AP19" s="477">
        <v>255.39</v>
      </c>
      <c r="AQ19" s="477">
        <v>252.83</v>
      </c>
      <c r="AR19" s="477">
        <v>247.03</v>
      </c>
      <c r="AS19" s="477">
        <v>240.4</v>
      </c>
      <c r="AT19" s="477">
        <v>234.54</v>
      </c>
      <c r="AU19" s="477">
        <v>228.93</v>
      </c>
      <c r="AV19" s="477">
        <v>223.49</v>
      </c>
      <c r="AW19" s="477">
        <v>190.98</v>
      </c>
      <c r="AX19" s="502">
        <v>120.69</v>
      </c>
      <c r="AY19" s="506">
        <v>276.56</v>
      </c>
      <c r="AZ19" s="475">
        <v>273.33999999999997</v>
      </c>
      <c r="BA19" s="475">
        <v>270.01</v>
      </c>
      <c r="BB19" s="475">
        <v>265.60000000000002</v>
      </c>
      <c r="BC19" s="475">
        <v>262.94</v>
      </c>
      <c r="BD19" s="475">
        <v>256.92</v>
      </c>
      <c r="BE19" s="475">
        <v>250.02</v>
      </c>
      <c r="BF19" s="475">
        <v>243.92</v>
      </c>
      <c r="BG19" s="475">
        <v>238.1</v>
      </c>
      <c r="BH19" s="475">
        <v>232.42</v>
      </c>
      <c r="BI19" s="475">
        <v>198.62</v>
      </c>
      <c r="BJ19" s="507">
        <v>125.52</v>
      </c>
    </row>
    <row r="20" spans="1:62" x14ac:dyDescent="0.25">
      <c r="A20" s="989" t="s">
        <v>47</v>
      </c>
      <c r="B20" s="78" t="s">
        <v>61</v>
      </c>
      <c r="C20" s="481">
        <v>336.89</v>
      </c>
      <c r="D20" s="471">
        <v>334.29</v>
      </c>
      <c r="E20" s="471">
        <v>331.69</v>
      </c>
      <c r="F20" s="471">
        <v>329.24</v>
      </c>
      <c r="G20" s="471">
        <v>326.64</v>
      </c>
      <c r="H20" s="471">
        <v>324.10000000000002</v>
      </c>
      <c r="I20" s="471">
        <v>321.57</v>
      </c>
      <c r="J20" s="471">
        <v>319.02</v>
      </c>
      <c r="K20" s="471">
        <v>316.45</v>
      </c>
      <c r="L20" s="471">
        <v>313.89999999999998</v>
      </c>
      <c r="M20" s="471">
        <v>311.45999999999998</v>
      </c>
      <c r="N20" s="482">
        <v>309.02999999999997</v>
      </c>
      <c r="O20" s="489">
        <v>343.67</v>
      </c>
      <c r="P20" s="472">
        <v>341.02</v>
      </c>
      <c r="Q20" s="472">
        <v>338.36</v>
      </c>
      <c r="R20" s="472">
        <v>335.86</v>
      </c>
      <c r="S20" s="472">
        <v>333.21</v>
      </c>
      <c r="T20" s="472">
        <v>330.62</v>
      </c>
      <c r="U20" s="472">
        <v>328.04</v>
      </c>
      <c r="V20" s="472">
        <v>325.44</v>
      </c>
      <c r="W20" s="472">
        <v>322.82</v>
      </c>
      <c r="X20" s="472">
        <v>320.20999999999998</v>
      </c>
      <c r="Y20" s="472">
        <v>317.73</v>
      </c>
      <c r="Z20" s="490">
        <v>315.25</v>
      </c>
      <c r="AA20" s="494">
        <v>360.85</v>
      </c>
      <c r="AB20" s="473">
        <v>358.06</v>
      </c>
      <c r="AC20" s="473">
        <v>355.28</v>
      </c>
      <c r="AD20" s="473">
        <v>352.65</v>
      </c>
      <c r="AE20" s="473">
        <v>349.87</v>
      </c>
      <c r="AF20" s="473">
        <v>347.16</v>
      </c>
      <c r="AG20" s="473">
        <v>344.44</v>
      </c>
      <c r="AH20" s="473">
        <v>341.71</v>
      </c>
      <c r="AI20" s="473">
        <v>338.95</v>
      </c>
      <c r="AJ20" s="473">
        <v>336.23</v>
      </c>
      <c r="AK20" s="473">
        <v>333.61</v>
      </c>
      <c r="AL20" s="495">
        <v>331.01</v>
      </c>
      <c r="AM20" s="499">
        <v>375.28</v>
      </c>
      <c r="AN20" s="474">
        <v>372.38</v>
      </c>
      <c r="AO20" s="474">
        <v>369.49</v>
      </c>
      <c r="AP20" s="474">
        <v>366.76</v>
      </c>
      <c r="AQ20" s="474">
        <v>363.87</v>
      </c>
      <c r="AR20" s="474">
        <v>361.04</v>
      </c>
      <c r="AS20" s="474">
        <v>358.22</v>
      </c>
      <c r="AT20" s="474">
        <v>355.38</v>
      </c>
      <c r="AU20" s="474">
        <v>352.51</v>
      </c>
      <c r="AV20" s="474">
        <v>349.68</v>
      </c>
      <c r="AW20" s="474">
        <v>346.95</v>
      </c>
      <c r="AX20" s="500">
        <v>344.25</v>
      </c>
      <c r="AY20" s="506">
        <v>390.3</v>
      </c>
      <c r="AZ20" s="475">
        <v>387.28</v>
      </c>
      <c r="BA20" s="475">
        <v>384.27</v>
      </c>
      <c r="BB20" s="475">
        <v>381.43</v>
      </c>
      <c r="BC20" s="475">
        <v>378.42</v>
      </c>
      <c r="BD20" s="475">
        <v>375.48</v>
      </c>
      <c r="BE20" s="475">
        <v>372.56</v>
      </c>
      <c r="BF20" s="475">
        <v>369.59</v>
      </c>
      <c r="BG20" s="475">
        <v>366.61</v>
      </c>
      <c r="BH20" s="475">
        <v>363.66</v>
      </c>
      <c r="BI20" s="475">
        <v>360.83</v>
      </c>
      <c r="BJ20" s="507">
        <v>358.02</v>
      </c>
    </row>
    <row r="21" spans="1:62" x14ac:dyDescent="0.25">
      <c r="A21" s="989"/>
      <c r="B21" s="78" t="s">
        <v>62</v>
      </c>
      <c r="C21" s="481">
        <v>230.1</v>
      </c>
      <c r="D21" s="471">
        <v>227.98</v>
      </c>
      <c r="E21" s="471">
        <v>225.91</v>
      </c>
      <c r="F21" s="471">
        <v>222.88</v>
      </c>
      <c r="G21" s="471">
        <v>220.51</v>
      </c>
      <c r="H21" s="471">
        <v>215.54</v>
      </c>
      <c r="I21" s="471">
        <v>209.67</v>
      </c>
      <c r="J21" s="471">
        <v>204.47</v>
      </c>
      <c r="K21" s="476">
        <v>199.67</v>
      </c>
      <c r="L21" s="471">
        <v>194.95</v>
      </c>
      <c r="M21" s="476">
        <v>166.6</v>
      </c>
      <c r="N21" s="483">
        <v>108.34</v>
      </c>
      <c r="O21" s="489">
        <v>234.73</v>
      </c>
      <c r="P21" s="472">
        <v>232.57</v>
      </c>
      <c r="Q21" s="472">
        <v>230.45</v>
      </c>
      <c r="R21" s="472">
        <v>227.36</v>
      </c>
      <c r="S21" s="472">
        <v>224.95</v>
      </c>
      <c r="T21" s="472">
        <v>219.88</v>
      </c>
      <c r="U21" s="472">
        <v>213.89</v>
      </c>
      <c r="V21" s="472">
        <v>208.58</v>
      </c>
      <c r="W21" s="472">
        <v>203.69</v>
      </c>
      <c r="X21" s="472">
        <v>198.87</v>
      </c>
      <c r="Y21" s="472">
        <v>169.95</v>
      </c>
      <c r="Z21" s="490">
        <v>110.52</v>
      </c>
      <c r="AA21" s="494">
        <v>246.47</v>
      </c>
      <c r="AB21" s="473">
        <v>244.2</v>
      </c>
      <c r="AC21" s="473">
        <v>241.98</v>
      </c>
      <c r="AD21" s="473">
        <v>238.73</v>
      </c>
      <c r="AE21" s="473">
        <v>236.2</v>
      </c>
      <c r="AF21" s="473">
        <v>230.87</v>
      </c>
      <c r="AG21" s="473">
        <v>224.58</v>
      </c>
      <c r="AH21" s="473">
        <v>219.01</v>
      </c>
      <c r="AI21" s="473">
        <v>213.87</v>
      </c>
      <c r="AJ21" s="473">
        <v>208.82</v>
      </c>
      <c r="AK21" s="473">
        <v>178.45</v>
      </c>
      <c r="AL21" s="495">
        <v>116.05</v>
      </c>
      <c r="AM21" s="501">
        <v>256.33</v>
      </c>
      <c r="AN21" s="477">
        <v>253.97</v>
      </c>
      <c r="AO21" s="477">
        <v>251.66</v>
      </c>
      <c r="AP21" s="477">
        <v>248.28</v>
      </c>
      <c r="AQ21" s="477">
        <v>245.64</v>
      </c>
      <c r="AR21" s="477">
        <v>240.11</v>
      </c>
      <c r="AS21" s="477">
        <v>233.57</v>
      </c>
      <c r="AT21" s="477">
        <v>227.77</v>
      </c>
      <c r="AU21" s="477">
        <v>222.43</v>
      </c>
      <c r="AV21" s="477">
        <v>217.17</v>
      </c>
      <c r="AW21" s="477">
        <v>185.59</v>
      </c>
      <c r="AX21" s="502">
        <v>120.69</v>
      </c>
      <c r="AY21" s="506">
        <v>266.58</v>
      </c>
      <c r="AZ21" s="475">
        <v>264.13</v>
      </c>
      <c r="BA21" s="475">
        <v>261.73</v>
      </c>
      <c r="BB21" s="475">
        <v>258.20999999999998</v>
      </c>
      <c r="BC21" s="475">
        <v>255.47</v>
      </c>
      <c r="BD21" s="475">
        <v>249.7</v>
      </c>
      <c r="BE21" s="475">
        <v>242.91</v>
      </c>
      <c r="BF21" s="475">
        <v>236.88</v>
      </c>
      <c r="BG21" s="475">
        <v>231.32</v>
      </c>
      <c r="BH21" s="475">
        <v>225.86</v>
      </c>
      <c r="BI21" s="475">
        <v>193.02</v>
      </c>
      <c r="BJ21" s="507">
        <v>125.52</v>
      </c>
    </row>
    <row r="22" spans="1:62" x14ac:dyDescent="0.25">
      <c r="A22" s="989" t="s">
        <v>69</v>
      </c>
      <c r="B22" s="78" t="s">
        <v>61</v>
      </c>
      <c r="C22" s="481">
        <v>335.13</v>
      </c>
      <c r="D22" s="471">
        <v>332.67</v>
      </c>
      <c r="E22" s="471">
        <v>330.13</v>
      </c>
      <c r="F22" s="471">
        <v>327.64999999999998</v>
      </c>
      <c r="G22" s="471">
        <v>325.11</v>
      </c>
      <c r="H22" s="471">
        <v>322.58999999999997</v>
      </c>
      <c r="I22" s="471">
        <v>320.10000000000002</v>
      </c>
      <c r="J22" s="471">
        <v>317.60000000000002</v>
      </c>
      <c r="K22" s="471">
        <v>315.06</v>
      </c>
      <c r="L22" s="471">
        <v>312.52</v>
      </c>
      <c r="M22" s="471">
        <v>310.08999999999997</v>
      </c>
      <c r="N22" s="482">
        <v>307.69</v>
      </c>
      <c r="O22" s="489">
        <v>341.87</v>
      </c>
      <c r="P22" s="472">
        <v>339.36</v>
      </c>
      <c r="Q22" s="472">
        <v>336.77</v>
      </c>
      <c r="R22" s="472">
        <v>334.24</v>
      </c>
      <c r="S22" s="472">
        <v>331.65</v>
      </c>
      <c r="T22" s="472">
        <v>329.08</v>
      </c>
      <c r="U22" s="472">
        <v>326.54000000000002</v>
      </c>
      <c r="V22" s="472">
        <v>323.99</v>
      </c>
      <c r="W22" s="472">
        <v>321.39999999999998</v>
      </c>
      <c r="X22" s="472">
        <v>318.81</v>
      </c>
      <c r="Y22" s="472">
        <v>316.33</v>
      </c>
      <c r="Z22" s="490">
        <v>313.88</v>
      </c>
      <c r="AA22" s="494">
        <v>358.97</v>
      </c>
      <c r="AB22" s="473">
        <v>356.33</v>
      </c>
      <c r="AC22" s="473">
        <v>353.61</v>
      </c>
      <c r="AD22" s="473">
        <v>350.95</v>
      </c>
      <c r="AE22" s="473">
        <v>348.24</v>
      </c>
      <c r="AF22" s="473">
        <v>345.53</v>
      </c>
      <c r="AG22" s="473">
        <v>342.87</v>
      </c>
      <c r="AH22" s="473">
        <v>340.19</v>
      </c>
      <c r="AI22" s="473">
        <v>337.47</v>
      </c>
      <c r="AJ22" s="473">
        <v>334.75</v>
      </c>
      <c r="AK22" s="473">
        <v>332.14</v>
      </c>
      <c r="AL22" s="495">
        <v>329.57</v>
      </c>
      <c r="AM22" s="499">
        <v>373.33</v>
      </c>
      <c r="AN22" s="474">
        <v>370.58</v>
      </c>
      <c r="AO22" s="474">
        <v>367.76</v>
      </c>
      <c r="AP22" s="474">
        <v>364.99</v>
      </c>
      <c r="AQ22" s="474">
        <v>362.16</v>
      </c>
      <c r="AR22" s="474">
        <v>359.36</v>
      </c>
      <c r="AS22" s="474">
        <v>356.58</v>
      </c>
      <c r="AT22" s="474">
        <v>353.8</v>
      </c>
      <c r="AU22" s="474">
        <v>350.96</v>
      </c>
      <c r="AV22" s="474">
        <v>348.15</v>
      </c>
      <c r="AW22" s="474">
        <v>345.42</v>
      </c>
      <c r="AX22" s="500">
        <v>342.75</v>
      </c>
      <c r="AY22" s="506">
        <v>388.27</v>
      </c>
      <c r="AZ22" s="475">
        <v>385.4</v>
      </c>
      <c r="BA22" s="475">
        <v>382.47</v>
      </c>
      <c r="BB22" s="475">
        <v>379.59</v>
      </c>
      <c r="BC22" s="475">
        <v>376.65</v>
      </c>
      <c r="BD22" s="475">
        <v>373.73</v>
      </c>
      <c r="BE22" s="475">
        <v>370.84</v>
      </c>
      <c r="BF22" s="475">
        <v>367.95</v>
      </c>
      <c r="BG22" s="475">
        <v>365</v>
      </c>
      <c r="BH22" s="475">
        <v>362.07</v>
      </c>
      <c r="BI22" s="475">
        <v>359.23</v>
      </c>
      <c r="BJ22" s="507">
        <v>356.46</v>
      </c>
    </row>
    <row r="23" spans="1:62" x14ac:dyDescent="0.25">
      <c r="A23" s="989"/>
      <c r="B23" s="78" t="s">
        <v>62</v>
      </c>
      <c r="C23" s="481">
        <v>228.9</v>
      </c>
      <c r="D23" s="471">
        <v>226.87</v>
      </c>
      <c r="E23" s="471">
        <v>224.8</v>
      </c>
      <c r="F23" s="471">
        <v>221.8</v>
      </c>
      <c r="G23" s="471">
        <v>219.46</v>
      </c>
      <c r="H23" s="471">
        <v>214.5</v>
      </c>
      <c r="I23" s="471">
        <v>208.68</v>
      </c>
      <c r="J23" s="471">
        <v>203.59</v>
      </c>
      <c r="K23" s="476">
        <v>198.81</v>
      </c>
      <c r="L23" s="471">
        <v>194.09</v>
      </c>
      <c r="M23" s="476">
        <v>165.91</v>
      </c>
      <c r="N23" s="482">
        <v>108.34</v>
      </c>
      <c r="O23" s="489">
        <v>233.5</v>
      </c>
      <c r="P23" s="472">
        <v>231.43</v>
      </c>
      <c r="Q23" s="472">
        <v>229.32</v>
      </c>
      <c r="R23" s="472">
        <v>226.26</v>
      </c>
      <c r="S23" s="472">
        <v>223.88</v>
      </c>
      <c r="T23" s="472">
        <v>218.82</v>
      </c>
      <c r="U23" s="472">
        <v>212.88</v>
      </c>
      <c r="V23" s="472">
        <v>207.69</v>
      </c>
      <c r="W23" s="472">
        <v>202.81</v>
      </c>
      <c r="X23" s="472">
        <v>197.99</v>
      </c>
      <c r="Y23" s="472">
        <v>169.25</v>
      </c>
      <c r="Z23" s="490">
        <v>110.52</v>
      </c>
      <c r="AA23" s="494">
        <v>245.19</v>
      </c>
      <c r="AB23" s="473">
        <v>243</v>
      </c>
      <c r="AC23" s="473">
        <v>240.79</v>
      </c>
      <c r="AD23" s="473">
        <v>237.58</v>
      </c>
      <c r="AE23" s="473">
        <v>235.07</v>
      </c>
      <c r="AF23" s="473">
        <v>229.76</v>
      </c>
      <c r="AG23" s="473">
        <v>223.52</v>
      </c>
      <c r="AH23" s="473">
        <v>218.07</v>
      </c>
      <c r="AI23" s="473">
        <v>212.95</v>
      </c>
      <c r="AJ23" s="473">
        <v>207.89</v>
      </c>
      <c r="AK23" s="473">
        <v>177.71</v>
      </c>
      <c r="AL23" s="495">
        <v>116.05</v>
      </c>
      <c r="AM23" s="501">
        <v>254.99</v>
      </c>
      <c r="AN23" s="477">
        <v>252.72</v>
      </c>
      <c r="AO23" s="477">
        <v>250.42</v>
      </c>
      <c r="AP23" s="477">
        <v>247.08</v>
      </c>
      <c r="AQ23" s="477">
        <v>244.47</v>
      </c>
      <c r="AR23" s="477">
        <v>238.95</v>
      </c>
      <c r="AS23" s="477">
        <v>232.45</v>
      </c>
      <c r="AT23" s="477">
        <v>226.79</v>
      </c>
      <c r="AU23" s="477">
        <v>221.47</v>
      </c>
      <c r="AV23" s="477">
        <v>216.2</v>
      </c>
      <c r="AW23" s="477">
        <v>184.82</v>
      </c>
      <c r="AX23" s="502">
        <v>120.69</v>
      </c>
      <c r="AY23" s="506">
        <v>265.19</v>
      </c>
      <c r="AZ23" s="475">
        <v>262.83</v>
      </c>
      <c r="BA23" s="475">
        <v>260.44</v>
      </c>
      <c r="BB23" s="475">
        <v>256.97000000000003</v>
      </c>
      <c r="BC23" s="475">
        <v>254.25</v>
      </c>
      <c r="BD23" s="475">
        <v>248.51</v>
      </c>
      <c r="BE23" s="475">
        <v>241.75</v>
      </c>
      <c r="BF23" s="475">
        <v>235.86</v>
      </c>
      <c r="BG23" s="475">
        <v>230.32</v>
      </c>
      <c r="BH23" s="475">
        <v>224.85</v>
      </c>
      <c r="BI23" s="475">
        <v>192.22</v>
      </c>
      <c r="BJ23" s="507">
        <v>125.52</v>
      </c>
    </row>
    <row r="24" spans="1:62" x14ac:dyDescent="0.25">
      <c r="A24" s="989" t="s">
        <v>46</v>
      </c>
      <c r="B24" s="78" t="s">
        <v>61</v>
      </c>
      <c r="C24" s="481">
        <v>349.5</v>
      </c>
      <c r="D24" s="471">
        <v>345.93</v>
      </c>
      <c r="E24" s="471">
        <v>342.25</v>
      </c>
      <c r="F24" s="471">
        <v>338.61</v>
      </c>
      <c r="G24" s="471">
        <v>336.22</v>
      </c>
      <c r="H24" s="471">
        <v>333.46</v>
      </c>
      <c r="I24" s="471">
        <v>331.01</v>
      </c>
      <c r="J24" s="471">
        <v>328.45</v>
      </c>
      <c r="K24" s="471">
        <v>325.68</v>
      </c>
      <c r="L24" s="471">
        <v>323.06</v>
      </c>
      <c r="M24" s="471">
        <v>320.45999999999998</v>
      </c>
      <c r="N24" s="482">
        <v>317.76</v>
      </c>
      <c r="O24" s="489">
        <v>356.53</v>
      </c>
      <c r="P24" s="472">
        <v>352.89</v>
      </c>
      <c r="Q24" s="472">
        <v>349.14</v>
      </c>
      <c r="R24" s="472">
        <v>345.42</v>
      </c>
      <c r="S24" s="472">
        <v>342.98</v>
      </c>
      <c r="T24" s="472">
        <v>340.17</v>
      </c>
      <c r="U24" s="472">
        <v>337.67</v>
      </c>
      <c r="V24" s="472">
        <v>335.06</v>
      </c>
      <c r="W24" s="472">
        <v>332.23</v>
      </c>
      <c r="X24" s="472">
        <v>329.56</v>
      </c>
      <c r="Y24" s="472">
        <v>326.91000000000003</v>
      </c>
      <c r="Z24" s="490">
        <v>324.14999999999998</v>
      </c>
      <c r="AA24" s="494">
        <v>374.36</v>
      </c>
      <c r="AB24" s="473">
        <v>370.54</v>
      </c>
      <c r="AC24" s="473">
        <v>366.59</v>
      </c>
      <c r="AD24" s="473">
        <v>362.69</v>
      </c>
      <c r="AE24" s="473">
        <v>360.13</v>
      </c>
      <c r="AF24" s="473">
        <v>357.17</v>
      </c>
      <c r="AG24" s="473">
        <v>354.55</v>
      </c>
      <c r="AH24" s="473">
        <v>351.81</v>
      </c>
      <c r="AI24" s="473">
        <v>348.84</v>
      </c>
      <c r="AJ24" s="473">
        <v>346.03</v>
      </c>
      <c r="AK24" s="473">
        <v>343.25</v>
      </c>
      <c r="AL24" s="495">
        <v>340.36</v>
      </c>
      <c r="AM24" s="499">
        <v>389.34</v>
      </c>
      <c r="AN24" s="474">
        <v>385.36</v>
      </c>
      <c r="AO24" s="474">
        <v>381.25</v>
      </c>
      <c r="AP24" s="474">
        <v>377.2</v>
      </c>
      <c r="AQ24" s="474">
        <v>374.54</v>
      </c>
      <c r="AR24" s="474">
        <v>371.47</v>
      </c>
      <c r="AS24" s="474">
        <v>368.73</v>
      </c>
      <c r="AT24" s="474">
        <v>365.88</v>
      </c>
      <c r="AU24" s="474">
        <v>362.79</v>
      </c>
      <c r="AV24" s="474">
        <v>359.88</v>
      </c>
      <c r="AW24" s="474">
        <v>356.98</v>
      </c>
      <c r="AX24" s="500">
        <v>353.98</v>
      </c>
      <c r="AY24" s="506">
        <v>404.92</v>
      </c>
      <c r="AZ24" s="475">
        <v>400.77</v>
      </c>
      <c r="BA24" s="475">
        <v>396.5</v>
      </c>
      <c r="BB24" s="475">
        <v>392.29</v>
      </c>
      <c r="BC24" s="475">
        <v>389.52</v>
      </c>
      <c r="BD24" s="475">
        <v>386.33</v>
      </c>
      <c r="BE24" s="475">
        <v>383.48</v>
      </c>
      <c r="BF24" s="475">
        <v>380.51</v>
      </c>
      <c r="BG24" s="475">
        <v>377.31</v>
      </c>
      <c r="BH24" s="475">
        <v>374.27</v>
      </c>
      <c r="BI24" s="475">
        <v>371.26</v>
      </c>
      <c r="BJ24" s="507">
        <v>368.14</v>
      </c>
    </row>
    <row r="25" spans="1:62" x14ac:dyDescent="0.25">
      <c r="A25" s="989"/>
      <c r="B25" s="78" t="s">
        <v>62</v>
      </c>
      <c r="C25" s="481">
        <v>238.71</v>
      </c>
      <c r="D25" s="471">
        <v>235.93</v>
      </c>
      <c r="E25" s="471">
        <v>233.07</v>
      </c>
      <c r="F25" s="471">
        <v>229.26</v>
      </c>
      <c r="G25" s="471">
        <v>226.96</v>
      </c>
      <c r="H25" s="471">
        <v>221.76</v>
      </c>
      <c r="I25" s="471">
        <v>215.81</v>
      </c>
      <c r="J25" s="471">
        <v>210.54</v>
      </c>
      <c r="K25" s="471">
        <v>205.51</v>
      </c>
      <c r="L25" s="471">
        <v>200.62</v>
      </c>
      <c r="M25" s="476">
        <v>171.44</v>
      </c>
      <c r="N25" s="483">
        <v>108.34</v>
      </c>
      <c r="O25" s="489">
        <v>243.51</v>
      </c>
      <c r="P25" s="472">
        <v>240.68</v>
      </c>
      <c r="Q25" s="472">
        <v>237.76</v>
      </c>
      <c r="R25" s="472">
        <v>233.87</v>
      </c>
      <c r="S25" s="472">
        <v>231.53</v>
      </c>
      <c r="T25" s="472">
        <v>226.22</v>
      </c>
      <c r="U25" s="472">
        <v>220.15</v>
      </c>
      <c r="V25" s="472">
        <v>214.78</v>
      </c>
      <c r="W25" s="472">
        <v>209.64</v>
      </c>
      <c r="X25" s="472">
        <v>204.66</v>
      </c>
      <c r="Y25" s="472">
        <v>174.89</v>
      </c>
      <c r="Z25" s="490">
        <v>110.52</v>
      </c>
      <c r="AA25" s="494">
        <v>255.69</v>
      </c>
      <c r="AB25" s="473">
        <v>252.71</v>
      </c>
      <c r="AC25" s="473">
        <v>249.64</v>
      </c>
      <c r="AD25" s="473">
        <v>245.56</v>
      </c>
      <c r="AE25" s="473">
        <v>243.1</v>
      </c>
      <c r="AF25" s="473">
        <v>237.53</v>
      </c>
      <c r="AG25" s="473">
        <v>231.16</v>
      </c>
      <c r="AH25" s="473">
        <v>225.52</v>
      </c>
      <c r="AI25" s="473">
        <v>220.13</v>
      </c>
      <c r="AJ25" s="473">
        <v>214.89</v>
      </c>
      <c r="AK25" s="473">
        <v>183.63</v>
      </c>
      <c r="AL25" s="495">
        <v>116.05</v>
      </c>
      <c r="AM25" s="501">
        <v>265.92</v>
      </c>
      <c r="AN25" s="477">
        <v>262.82</v>
      </c>
      <c r="AO25" s="477">
        <v>259.63</v>
      </c>
      <c r="AP25" s="477">
        <v>255.39</v>
      </c>
      <c r="AQ25" s="477">
        <v>252.83</v>
      </c>
      <c r="AR25" s="477">
        <v>247.03</v>
      </c>
      <c r="AS25" s="477">
        <v>240.4</v>
      </c>
      <c r="AT25" s="477">
        <v>234.54</v>
      </c>
      <c r="AU25" s="477">
        <v>228.93</v>
      </c>
      <c r="AV25" s="477">
        <v>223.49</v>
      </c>
      <c r="AW25" s="477">
        <v>190.98</v>
      </c>
      <c r="AX25" s="502">
        <v>120.69</v>
      </c>
      <c r="AY25" s="506">
        <v>276.56</v>
      </c>
      <c r="AZ25" s="475">
        <v>273.33999999999997</v>
      </c>
      <c r="BA25" s="475">
        <v>270.01</v>
      </c>
      <c r="BB25" s="475">
        <v>265.60000000000002</v>
      </c>
      <c r="BC25" s="475">
        <v>262.94</v>
      </c>
      <c r="BD25" s="475">
        <v>256.92</v>
      </c>
      <c r="BE25" s="475">
        <v>250.02</v>
      </c>
      <c r="BF25" s="475">
        <v>243.92</v>
      </c>
      <c r="BG25" s="475">
        <v>238.1</v>
      </c>
      <c r="BH25" s="475">
        <v>232.42</v>
      </c>
      <c r="BI25" s="475">
        <v>198.62</v>
      </c>
      <c r="BJ25" s="507">
        <v>125.52</v>
      </c>
    </row>
    <row r="26" spans="1:62" x14ac:dyDescent="0.25">
      <c r="A26" s="989" t="s">
        <v>48</v>
      </c>
      <c r="B26" s="78" t="s">
        <v>61</v>
      </c>
      <c r="C26" s="481">
        <v>336.89</v>
      </c>
      <c r="D26" s="471">
        <v>334.29</v>
      </c>
      <c r="E26" s="471">
        <v>331.69</v>
      </c>
      <c r="F26" s="471">
        <v>329.24</v>
      </c>
      <c r="G26" s="471">
        <v>326.64</v>
      </c>
      <c r="H26" s="471">
        <v>324.10000000000002</v>
      </c>
      <c r="I26" s="471">
        <v>321.57</v>
      </c>
      <c r="J26" s="471">
        <v>319.02</v>
      </c>
      <c r="K26" s="471">
        <v>316.45</v>
      </c>
      <c r="L26" s="471">
        <v>313.89999999999998</v>
      </c>
      <c r="M26" s="471">
        <v>311.45999999999998</v>
      </c>
      <c r="N26" s="482">
        <v>309.02999999999997</v>
      </c>
      <c r="O26" s="489">
        <v>343.67</v>
      </c>
      <c r="P26" s="472">
        <v>341.02</v>
      </c>
      <c r="Q26" s="472">
        <v>338.36</v>
      </c>
      <c r="R26" s="472">
        <v>335.86</v>
      </c>
      <c r="S26" s="472">
        <v>333.21</v>
      </c>
      <c r="T26" s="472">
        <v>330.62</v>
      </c>
      <c r="U26" s="472">
        <v>328.04</v>
      </c>
      <c r="V26" s="472">
        <v>325.44</v>
      </c>
      <c r="W26" s="472">
        <v>322.82</v>
      </c>
      <c r="X26" s="472">
        <v>320.20999999999998</v>
      </c>
      <c r="Y26" s="472">
        <v>317.73</v>
      </c>
      <c r="Z26" s="490">
        <v>315.25</v>
      </c>
      <c r="AA26" s="494">
        <v>360.85</v>
      </c>
      <c r="AB26" s="473">
        <v>358.06</v>
      </c>
      <c r="AC26" s="473">
        <v>355.28</v>
      </c>
      <c r="AD26" s="473">
        <v>352.65</v>
      </c>
      <c r="AE26" s="473">
        <v>349.87</v>
      </c>
      <c r="AF26" s="473">
        <v>347.16</v>
      </c>
      <c r="AG26" s="473">
        <v>344.44</v>
      </c>
      <c r="AH26" s="473">
        <v>341.71</v>
      </c>
      <c r="AI26" s="473">
        <v>338.95</v>
      </c>
      <c r="AJ26" s="473">
        <v>336.23</v>
      </c>
      <c r="AK26" s="473">
        <v>333.61</v>
      </c>
      <c r="AL26" s="495">
        <v>331.01</v>
      </c>
      <c r="AM26" s="499">
        <v>375.28</v>
      </c>
      <c r="AN26" s="474">
        <v>372.38</v>
      </c>
      <c r="AO26" s="474">
        <v>369.49</v>
      </c>
      <c r="AP26" s="474">
        <v>366.76</v>
      </c>
      <c r="AQ26" s="474">
        <v>363.87</v>
      </c>
      <c r="AR26" s="474">
        <v>361.04</v>
      </c>
      <c r="AS26" s="474">
        <v>358.22</v>
      </c>
      <c r="AT26" s="474">
        <v>355.38</v>
      </c>
      <c r="AU26" s="474">
        <v>352.51</v>
      </c>
      <c r="AV26" s="474">
        <v>349.68</v>
      </c>
      <c r="AW26" s="474">
        <v>346.95</v>
      </c>
      <c r="AX26" s="500">
        <v>344.25</v>
      </c>
      <c r="AY26" s="506">
        <v>390.3</v>
      </c>
      <c r="AZ26" s="475">
        <v>387.28</v>
      </c>
      <c r="BA26" s="475">
        <v>384.27</v>
      </c>
      <c r="BB26" s="475">
        <v>381.43</v>
      </c>
      <c r="BC26" s="475">
        <v>378.42</v>
      </c>
      <c r="BD26" s="475">
        <v>375.48</v>
      </c>
      <c r="BE26" s="475">
        <v>372.56</v>
      </c>
      <c r="BF26" s="475">
        <v>369.59</v>
      </c>
      <c r="BG26" s="475">
        <v>366.61</v>
      </c>
      <c r="BH26" s="475">
        <v>363.66</v>
      </c>
      <c r="BI26" s="475">
        <v>360.83</v>
      </c>
      <c r="BJ26" s="507">
        <v>358.02</v>
      </c>
    </row>
    <row r="27" spans="1:62" x14ac:dyDescent="0.25">
      <c r="A27" s="989"/>
      <c r="B27" s="78" t="s">
        <v>62</v>
      </c>
      <c r="C27" s="481">
        <v>230.1</v>
      </c>
      <c r="D27" s="471">
        <v>227.98</v>
      </c>
      <c r="E27" s="471">
        <v>225.91</v>
      </c>
      <c r="F27" s="471">
        <v>222.88</v>
      </c>
      <c r="G27" s="471">
        <v>220.51</v>
      </c>
      <c r="H27" s="471">
        <v>215.54</v>
      </c>
      <c r="I27" s="471">
        <v>209.67</v>
      </c>
      <c r="J27" s="471">
        <v>204.47</v>
      </c>
      <c r="K27" s="476">
        <v>199.67</v>
      </c>
      <c r="L27" s="471">
        <v>194.95</v>
      </c>
      <c r="M27" s="476">
        <v>166.6</v>
      </c>
      <c r="N27" s="483">
        <v>108.34</v>
      </c>
      <c r="O27" s="489">
        <v>234.73</v>
      </c>
      <c r="P27" s="472">
        <v>232.57</v>
      </c>
      <c r="Q27" s="472">
        <v>230.45</v>
      </c>
      <c r="R27" s="472">
        <v>227.36</v>
      </c>
      <c r="S27" s="472">
        <v>224.95</v>
      </c>
      <c r="T27" s="472">
        <v>219.88</v>
      </c>
      <c r="U27" s="472">
        <v>213.89</v>
      </c>
      <c r="V27" s="472">
        <v>208.58</v>
      </c>
      <c r="W27" s="472">
        <v>203.69</v>
      </c>
      <c r="X27" s="472">
        <v>198.87</v>
      </c>
      <c r="Y27" s="472">
        <v>169.95</v>
      </c>
      <c r="Z27" s="490">
        <v>110.52</v>
      </c>
      <c r="AA27" s="494">
        <v>246.47</v>
      </c>
      <c r="AB27" s="473">
        <v>244.2</v>
      </c>
      <c r="AC27" s="473">
        <v>241.98</v>
      </c>
      <c r="AD27" s="473">
        <v>238.73</v>
      </c>
      <c r="AE27" s="473">
        <v>236.2</v>
      </c>
      <c r="AF27" s="473">
        <v>230.87</v>
      </c>
      <c r="AG27" s="473">
        <v>224.58</v>
      </c>
      <c r="AH27" s="473">
        <v>219.01</v>
      </c>
      <c r="AI27" s="473">
        <v>213.87</v>
      </c>
      <c r="AJ27" s="473">
        <v>208.82</v>
      </c>
      <c r="AK27" s="473">
        <v>178.45</v>
      </c>
      <c r="AL27" s="495">
        <v>116.05</v>
      </c>
      <c r="AM27" s="501">
        <v>256.33</v>
      </c>
      <c r="AN27" s="477">
        <v>253.97</v>
      </c>
      <c r="AO27" s="477">
        <v>251.66</v>
      </c>
      <c r="AP27" s="477">
        <v>248.28</v>
      </c>
      <c r="AQ27" s="477">
        <v>245.64</v>
      </c>
      <c r="AR27" s="477">
        <v>240.11</v>
      </c>
      <c r="AS27" s="477">
        <v>233.57</v>
      </c>
      <c r="AT27" s="477">
        <v>227.77</v>
      </c>
      <c r="AU27" s="477">
        <v>222.43</v>
      </c>
      <c r="AV27" s="477">
        <v>217.17</v>
      </c>
      <c r="AW27" s="477">
        <v>185.59</v>
      </c>
      <c r="AX27" s="502">
        <v>120.69</v>
      </c>
      <c r="AY27" s="506">
        <v>266.58</v>
      </c>
      <c r="AZ27" s="475">
        <v>264.13</v>
      </c>
      <c r="BA27" s="475">
        <v>261.73</v>
      </c>
      <c r="BB27" s="475">
        <v>258.20999999999998</v>
      </c>
      <c r="BC27" s="475">
        <v>255.47</v>
      </c>
      <c r="BD27" s="475">
        <v>249.7</v>
      </c>
      <c r="BE27" s="475">
        <v>242.91</v>
      </c>
      <c r="BF27" s="475">
        <v>236.88</v>
      </c>
      <c r="BG27" s="475">
        <v>231.32</v>
      </c>
      <c r="BH27" s="475">
        <v>225.86</v>
      </c>
      <c r="BI27" s="475">
        <v>193.02</v>
      </c>
      <c r="BJ27" s="507">
        <v>125.52</v>
      </c>
    </row>
    <row r="28" spans="1:62" x14ac:dyDescent="0.25">
      <c r="A28" s="989" t="s">
        <v>70</v>
      </c>
      <c r="B28" s="78" t="s">
        <v>61</v>
      </c>
      <c r="C28" s="481">
        <v>335.13</v>
      </c>
      <c r="D28" s="471">
        <v>332.67</v>
      </c>
      <c r="E28" s="471">
        <v>330.13</v>
      </c>
      <c r="F28" s="471">
        <v>327.64999999999998</v>
      </c>
      <c r="G28" s="471">
        <v>325.11</v>
      </c>
      <c r="H28" s="471">
        <v>322.58999999999997</v>
      </c>
      <c r="I28" s="471">
        <v>320.10000000000002</v>
      </c>
      <c r="J28" s="471">
        <v>317.60000000000002</v>
      </c>
      <c r="K28" s="471">
        <v>315.06</v>
      </c>
      <c r="L28" s="471">
        <v>312.52</v>
      </c>
      <c r="M28" s="471">
        <v>310.08999999999997</v>
      </c>
      <c r="N28" s="482">
        <v>307.69</v>
      </c>
      <c r="O28" s="489">
        <v>341.87</v>
      </c>
      <c r="P28" s="472">
        <v>339.36</v>
      </c>
      <c r="Q28" s="472">
        <v>336.77</v>
      </c>
      <c r="R28" s="472">
        <v>334.24</v>
      </c>
      <c r="S28" s="472">
        <v>331.65</v>
      </c>
      <c r="T28" s="472">
        <v>329.08</v>
      </c>
      <c r="U28" s="472">
        <v>326.54000000000002</v>
      </c>
      <c r="V28" s="472">
        <v>323.99</v>
      </c>
      <c r="W28" s="472">
        <v>321.39999999999998</v>
      </c>
      <c r="X28" s="472">
        <v>318.81</v>
      </c>
      <c r="Y28" s="472">
        <v>316.33</v>
      </c>
      <c r="Z28" s="490">
        <v>313.88</v>
      </c>
      <c r="AA28" s="494">
        <v>358.97</v>
      </c>
      <c r="AB28" s="473">
        <v>356.33</v>
      </c>
      <c r="AC28" s="473">
        <v>353.61</v>
      </c>
      <c r="AD28" s="473">
        <v>350.95</v>
      </c>
      <c r="AE28" s="473">
        <v>348.24</v>
      </c>
      <c r="AF28" s="473">
        <v>345.53</v>
      </c>
      <c r="AG28" s="473">
        <v>342.87</v>
      </c>
      <c r="AH28" s="473">
        <v>340.19</v>
      </c>
      <c r="AI28" s="473">
        <v>337.47</v>
      </c>
      <c r="AJ28" s="473">
        <v>334.75</v>
      </c>
      <c r="AK28" s="473">
        <v>332.14</v>
      </c>
      <c r="AL28" s="495">
        <v>329.57</v>
      </c>
      <c r="AM28" s="499">
        <v>373.33</v>
      </c>
      <c r="AN28" s="474">
        <v>370.58</v>
      </c>
      <c r="AO28" s="474">
        <v>367.76</v>
      </c>
      <c r="AP28" s="474">
        <v>364.99</v>
      </c>
      <c r="AQ28" s="474">
        <v>362.16</v>
      </c>
      <c r="AR28" s="474">
        <v>359.36</v>
      </c>
      <c r="AS28" s="474">
        <v>356.58</v>
      </c>
      <c r="AT28" s="474">
        <v>353.8</v>
      </c>
      <c r="AU28" s="474">
        <v>350.96</v>
      </c>
      <c r="AV28" s="474">
        <v>348.15</v>
      </c>
      <c r="AW28" s="474">
        <v>345.42</v>
      </c>
      <c r="AX28" s="500">
        <v>342.75</v>
      </c>
      <c r="AY28" s="506">
        <v>388.27</v>
      </c>
      <c r="AZ28" s="475">
        <v>385.4</v>
      </c>
      <c r="BA28" s="475">
        <v>382.47</v>
      </c>
      <c r="BB28" s="475">
        <v>379.59</v>
      </c>
      <c r="BC28" s="475">
        <v>376.65</v>
      </c>
      <c r="BD28" s="475">
        <v>373.73</v>
      </c>
      <c r="BE28" s="475">
        <v>370.84</v>
      </c>
      <c r="BF28" s="475">
        <v>367.95</v>
      </c>
      <c r="BG28" s="475">
        <v>365</v>
      </c>
      <c r="BH28" s="475">
        <v>362.07</v>
      </c>
      <c r="BI28" s="475">
        <v>359.23</v>
      </c>
      <c r="BJ28" s="507">
        <v>356.46</v>
      </c>
    </row>
    <row r="29" spans="1:62" x14ac:dyDescent="0.25">
      <c r="A29" s="989"/>
      <c r="B29" s="78" t="s">
        <v>62</v>
      </c>
      <c r="C29" s="481">
        <v>228.9</v>
      </c>
      <c r="D29" s="471">
        <v>226.87</v>
      </c>
      <c r="E29" s="471">
        <v>224.8</v>
      </c>
      <c r="F29" s="471">
        <v>221.8</v>
      </c>
      <c r="G29" s="471">
        <v>219.46</v>
      </c>
      <c r="H29" s="471">
        <v>214.5</v>
      </c>
      <c r="I29" s="471">
        <v>208.68</v>
      </c>
      <c r="J29" s="471">
        <v>203.59</v>
      </c>
      <c r="K29" s="476">
        <v>198.81</v>
      </c>
      <c r="L29" s="471">
        <v>194.09</v>
      </c>
      <c r="M29" s="476">
        <v>165.91</v>
      </c>
      <c r="N29" s="483">
        <v>108.34</v>
      </c>
      <c r="O29" s="489">
        <v>233.5</v>
      </c>
      <c r="P29" s="472">
        <v>231.43</v>
      </c>
      <c r="Q29" s="472">
        <v>229.32</v>
      </c>
      <c r="R29" s="472">
        <v>226.26</v>
      </c>
      <c r="S29" s="472">
        <v>223.88</v>
      </c>
      <c r="T29" s="472">
        <v>218.82</v>
      </c>
      <c r="U29" s="472">
        <v>212.88</v>
      </c>
      <c r="V29" s="472">
        <v>207.69</v>
      </c>
      <c r="W29" s="472">
        <v>202.81</v>
      </c>
      <c r="X29" s="472">
        <v>197.99</v>
      </c>
      <c r="Y29" s="472">
        <v>169.25</v>
      </c>
      <c r="Z29" s="490">
        <v>110.52</v>
      </c>
      <c r="AA29" s="494">
        <v>245.19</v>
      </c>
      <c r="AB29" s="473">
        <v>243</v>
      </c>
      <c r="AC29" s="473">
        <v>240.79</v>
      </c>
      <c r="AD29" s="473">
        <v>237.58</v>
      </c>
      <c r="AE29" s="473">
        <v>235.07</v>
      </c>
      <c r="AF29" s="473">
        <v>229.76</v>
      </c>
      <c r="AG29" s="473">
        <v>223.52</v>
      </c>
      <c r="AH29" s="473">
        <v>218.07</v>
      </c>
      <c r="AI29" s="473">
        <v>212.95</v>
      </c>
      <c r="AJ29" s="473">
        <v>207.89</v>
      </c>
      <c r="AK29" s="473">
        <v>177.71</v>
      </c>
      <c r="AL29" s="495">
        <v>116.05</v>
      </c>
      <c r="AM29" s="501">
        <v>254.99</v>
      </c>
      <c r="AN29" s="477">
        <v>252.72</v>
      </c>
      <c r="AO29" s="477">
        <v>250.42</v>
      </c>
      <c r="AP29" s="477">
        <v>247.08</v>
      </c>
      <c r="AQ29" s="477">
        <v>244.47</v>
      </c>
      <c r="AR29" s="477">
        <v>238.95</v>
      </c>
      <c r="AS29" s="477">
        <v>232.45</v>
      </c>
      <c r="AT29" s="477">
        <v>226.79</v>
      </c>
      <c r="AU29" s="477">
        <v>221.47</v>
      </c>
      <c r="AV29" s="477">
        <v>216.2</v>
      </c>
      <c r="AW29" s="477">
        <v>184.82</v>
      </c>
      <c r="AX29" s="502">
        <v>120.69</v>
      </c>
      <c r="AY29" s="506">
        <v>265.19</v>
      </c>
      <c r="AZ29" s="475">
        <v>262.83</v>
      </c>
      <c r="BA29" s="475">
        <v>260.44</v>
      </c>
      <c r="BB29" s="475">
        <v>256.97000000000003</v>
      </c>
      <c r="BC29" s="475">
        <v>254.25</v>
      </c>
      <c r="BD29" s="475">
        <v>248.51</v>
      </c>
      <c r="BE29" s="475">
        <v>241.75</v>
      </c>
      <c r="BF29" s="475">
        <v>235.86</v>
      </c>
      <c r="BG29" s="475">
        <v>230.32</v>
      </c>
      <c r="BH29" s="475">
        <v>224.85</v>
      </c>
      <c r="BI29" s="475">
        <v>192.22</v>
      </c>
      <c r="BJ29" s="507">
        <v>125.52</v>
      </c>
    </row>
    <row r="30" spans="1:62" x14ac:dyDescent="0.25">
      <c r="A30" s="989" t="s">
        <v>71</v>
      </c>
      <c r="B30" s="78" t="s">
        <v>61</v>
      </c>
      <c r="C30" s="481">
        <v>335.13</v>
      </c>
      <c r="D30" s="471">
        <v>332.67</v>
      </c>
      <c r="E30" s="471">
        <v>330.13</v>
      </c>
      <c r="F30" s="471">
        <v>327.64999999999998</v>
      </c>
      <c r="G30" s="471">
        <v>325.11</v>
      </c>
      <c r="H30" s="471">
        <v>322.58999999999997</v>
      </c>
      <c r="I30" s="471">
        <v>320.10000000000002</v>
      </c>
      <c r="J30" s="471">
        <v>317.60000000000002</v>
      </c>
      <c r="K30" s="471">
        <v>315.06</v>
      </c>
      <c r="L30" s="471">
        <v>312.52</v>
      </c>
      <c r="M30" s="471">
        <v>310.08999999999997</v>
      </c>
      <c r="N30" s="482">
        <v>307.69</v>
      </c>
      <c r="O30" s="489">
        <v>341.87</v>
      </c>
      <c r="P30" s="472">
        <v>339.36</v>
      </c>
      <c r="Q30" s="472">
        <v>336.77</v>
      </c>
      <c r="R30" s="472">
        <v>334.24</v>
      </c>
      <c r="S30" s="472">
        <v>331.65</v>
      </c>
      <c r="T30" s="472">
        <v>329.08</v>
      </c>
      <c r="U30" s="472">
        <v>326.54000000000002</v>
      </c>
      <c r="V30" s="472">
        <v>323.99</v>
      </c>
      <c r="W30" s="472">
        <v>321.39999999999998</v>
      </c>
      <c r="X30" s="472">
        <v>318.81</v>
      </c>
      <c r="Y30" s="472">
        <v>316.33</v>
      </c>
      <c r="Z30" s="490">
        <v>313.88</v>
      </c>
      <c r="AA30" s="494">
        <v>358.97</v>
      </c>
      <c r="AB30" s="473">
        <v>356.33</v>
      </c>
      <c r="AC30" s="473">
        <v>353.61</v>
      </c>
      <c r="AD30" s="473">
        <v>350.95</v>
      </c>
      <c r="AE30" s="473">
        <v>348.24</v>
      </c>
      <c r="AF30" s="473">
        <v>345.53</v>
      </c>
      <c r="AG30" s="473">
        <v>342.87</v>
      </c>
      <c r="AH30" s="473">
        <v>340.19</v>
      </c>
      <c r="AI30" s="473">
        <v>337.47</v>
      </c>
      <c r="AJ30" s="473">
        <v>334.75</v>
      </c>
      <c r="AK30" s="473">
        <v>332.14</v>
      </c>
      <c r="AL30" s="495">
        <v>329.57</v>
      </c>
      <c r="AM30" s="499">
        <v>373.33</v>
      </c>
      <c r="AN30" s="474">
        <v>370.58</v>
      </c>
      <c r="AO30" s="474">
        <v>367.76</v>
      </c>
      <c r="AP30" s="474">
        <v>364.99</v>
      </c>
      <c r="AQ30" s="474">
        <v>362.16</v>
      </c>
      <c r="AR30" s="474">
        <v>359.36</v>
      </c>
      <c r="AS30" s="474">
        <v>356.58</v>
      </c>
      <c r="AT30" s="474">
        <v>353.8</v>
      </c>
      <c r="AU30" s="474">
        <v>350.96</v>
      </c>
      <c r="AV30" s="474">
        <v>348.15</v>
      </c>
      <c r="AW30" s="474">
        <v>345.42</v>
      </c>
      <c r="AX30" s="500">
        <v>342.75</v>
      </c>
      <c r="AY30" s="506">
        <v>388.27</v>
      </c>
      <c r="AZ30" s="475">
        <v>385.4</v>
      </c>
      <c r="BA30" s="475">
        <v>382.47</v>
      </c>
      <c r="BB30" s="475">
        <v>379.59</v>
      </c>
      <c r="BC30" s="475">
        <v>376.65</v>
      </c>
      <c r="BD30" s="475">
        <v>373.73</v>
      </c>
      <c r="BE30" s="475">
        <v>370.84</v>
      </c>
      <c r="BF30" s="475">
        <v>367.95</v>
      </c>
      <c r="BG30" s="475">
        <v>365</v>
      </c>
      <c r="BH30" s="475">
        <v>362.07</v>
      </c>
      <c r="BI30" s="475">
        <v>359.23</v>
      </c>
      <c r="BJ30" s="507">
        <v>356.46</v>
      </c>
    </row>
    <row r="31" spans="1:62" x14ac:dyDescent="0.25">
      <c r="A31" s="989"/>
      <c r="B31" s="78" t="s">
        <v>62</v>
      </c>
      <c r="C31" s="481">
        <v>228.9</v>
      </c>
      <c r="D31" s="471">
        <v>226.87</v>
      </c>
      <c r="E31" s="471">
        <v>224.8</v>
      </c>
      <c r="F31" s="471">
        <v>221.8</v>
      </c>
      <c r="G31" s="471">
        <v>219.46</v>
      </c>
      <c r="H31" s="471">
        <v>214.5</v>
      </c>
      <c r="I31" s="471">
        <v>208.68</v>
      </c>
      <c r="J31" s="471">
        <v>203.59</v>
      </c>
      <c r="K31" s="476">
        <v>198.81</v>
      </c>
      <c r="L31" s="471">
        <v>194.09</v>
      </c>
      <c r="M31" s="476">
        <v>165.91</v>
      </c>
      <c r="N31" s="483">
        <v>108.34</v>
      </c>
      <c r="O31" s="489">
        <v>233.5</v>
      </c>
      <c r="P31" s="472">
        <v>231.43</v>
      </c>
      <c r="Q31" s="472">
        <v>229.32</v>
      </c>
      <c r="R31" s="472">
        <v>226.26</v>
      </c>
      <c r="S31" s="472">
        <v>223.88</v>
      </c>
      <c r="T31" s="472">
        <v>218.82</v>
      </c>
      <c r="U31" s="472">
        <v>212.88</v>
      </c>
      <c r="V31" s="472">
        <v>207.69</v>
      </c>
      <c r="W31" s="472">
        <v>202.81</v>
      </c>
      <c r="X31" s="472">
        <v>197.99</v>
      </c>
      <c r="Y31" s="472">
        <v>169.25</v>
      </c>
      <c r="Z31" s="490">
        <v>110.52</v>
      </c>
      <c r="AA31" s="494">
        <v>245.19</v>
      </c>
      <c r="AB31" s="473">
        <v>243</v>
      </c>
      <c r="AC31" s="473">
        <v>240.79</v>
      </c>
      <c r="AD31" s="473">
        <v>237.58</v>
      </c>
      <c r="AE31" s="473">
        <v>235.07</v>
      </c>
      <c r="AF31" s="473">
        <v>229.76</v>
      </c>
      <c r="AG31" s="473">
        <v>223.52</v>
      </c>
      <c r="AH31" s="473">
        <v>218.07</v>
      </c>
      <c r="AI31" s="473">
        <v>212.95</v>
      </c>
      <c r="AJ31" s="473">
        <v>207.89</v>
      </c>
      <c r="AK31" s="473">
        <v>177.71</v>
      </c>
      <c r="AL31" s="495">
        <v>116.05</v>
      </c>
      <c r="AM31" s="501">
        <v>254.99</v>
      </c>
      <c r="AN31" s="477">
        <v>252.72</v>
      </c>
      <c r="AO31" s="477">
        <v>250.42</v>
      </c>
      <c r="AP31" s="477">
        <v>247.08</v>
      </c>
      <c r="AQ31" s="477">
        <v>244.47</v>
      </c>
      <c r="AR31" s="477">
        <v>238.95</v>
      </c>
      <c r="AS31" s="477">
        <v>232.45</v>
      </c>
      <c r="AT31" s="477">
        <v>226.79</v>
      </c>
      <c r="AU31" s="477">
        <v>221.47</v>
      </c>
      <c r="AV31" s="477">
        <v>216.2</v>
      </c>
      <c r="AW31" s="477">
        <v>184.82</v>
      </c>
      <c r="AX31" s="502">
        <v>120.69</v>
      </c>
      <c r="AY31" s="506">
        <v>265.19</v>
      </c>
      <c r="AZ31" s="475">
        <v>262.83</v>
      </c>
      <c r="BA31" s="475">
        <v>260.44</v>
      </c>
      <c r="BB31" s="475">
        <v>256.97000000000003</v>
      </c>
      <c r="BC31" s="475">
        <v>254.25</v>
      </c>
      <c r="BD31" s="475">
        <v>248.51</v>
      </c>
      <c r="BE31" s="475">
        <v>241.75</v>
      </c>
      <c r="BF31" s="475">
        <v>235.86</v>
      </c>
      <c r="BG31" s="475">
        <v>230.32</v>
      </c>
      <c r="BH31" s="475">
        <v>224.85</v>
      </c>
      <c r="BI31" s="475">
        <v>192.22</v>
      </c>
      <c r="BJ31" s="507">
        <v>125.52</v>
      </c>
    </row>
    <row r="32" spans="1:62" x14ac:dyDescent="0.25">
      <c r="A32" s="989" t="s">
        <v>51</v>
      </c>
      <c r="B32" s="78" t="s">
        <v>61</v>
      </c>
      <c r="C32" s="481">
        <v>323.39</v>
      </c>
      <c r="D32" s="471">
        <v>320.94</v>
      </c>
      <c r="E32" s="471">
        <v>318.47000000000003</v>
      </c>
      <c r="F32" s="471">
        <v>316.02</v>
      </c>
      <c r="G32" s="471">
        <v>313.60000000000002</v>
      </c>
      <c r="H32" s="471">
        <v>311.17</v>
      </c>
      <c r="I32" s="471">
        <v>308.74</v>
      </c>
      <c r="J32" s="471">
        <v>306.27</v>
      </c>
      <c r="K32" s="471">
        <v>303.81</v>
      </c>
      <c r="L32" s="471">
        <v>301.37</v>
      </c>
      <c r="M32" s="471">
        <v>298.95999999999998</v>
      </c>
      <c r="N32" s="482">
        <v>296.51</v>
      </c>
      <c r="O32" s="489">
        <v>329.9</v>
      </c>
      <c r="P32" s="472">
        <v>327.39999999999998</v>
      </c>
      <c r="Q32" s="472">
        <v>324.88</v>
      </c>
      <c r="R32" s="472">
        <v>322.38</v>
      </c>
      <c r="S32" s="472">
        <v>319.91000000000003</v>
      </c>
      <c r="T32" s="472">
        <v>317.43</v>
      </c>
      <c r="U32" s="472">
        <v>314.95</v>
      </c>
      <c r="V32" s="472">
        <v>312.43</v>
      </c>
      <c r="W32" s="472">
        <v>309.92</v>
      </c>
      <c r="X32" s="472">
        <v>307.43</v>
      </c>
      <c r="Y32" s="472">
        <v>304.97000000000003</v>
      </c>
      <c r="Z32" s="490">
        <v>302.48</v>
      </c>
      <c r="AA32" s="494">
        <v>346.39</v>
      </c>
      <c r="AB32" s="473">
        <v>343.77</v>
      </c>
      <c r="AC32" s="473">
        <v>341.12</v>
      </c>
      <c r="AD32" s="473">
        <v>338.5</v>
      </c>
      <c r="AE32" s="473">
        <v>335.9</v>
      </c>
      <c r="AF32" s="473">
        <v>333.3</v>
      </c>
      <c r="AG32" s="473">
        <v>330.7</v>
      </c>
      <c r="AH32" s="473">
        <v>328.05</v>
      </c>
      <c r="AI32" s="473">
        <v>325.42</v>
      </c>
      <c r="AJ32" s="473">
        <v>322.81</v>
      </c>
      <c r="AK32" s="473">
        <v>320.23</v>
      </c>
      <c r="AL32" s="495">
        <v>317.60000000000002</v>
      </c>
      <c r="AM32" s="499">
        <v>360.24</v>
      </c>
      <c r="AN32" s="474">
        <v>357.52</v>
      </c>
      <c r="AO32" s="474">
        <v>354.77</v>
      </c>
      <c r="AP32" s="474">
        <v>352.03</v>
      </c>
      <c r="AQ32" s="474">
        <v>349.34</v>
      </c>
      <c r="AR32" s="474">
        <v>346.64</v>
      </c>
      <c r="AS32" s="474">
        <v>343.93</v>
      </c>
      <c r="AT32" s="474">
        <v>341.17</v>
      </c>
      <c r="AU32" s="474">
        <v>338.43</v>
      </c>
      <c r="AV32" s="474">
        <v>335.72</v>
      </c>
      <c r="AW32" s="474">
        <v>333.04</v>
      </c>
      <c r="AX32" s="500">
        <v>330.3</v>
      </c>
      <c r="AY32" s="506">
        <v>374.66</v>
      </c>
      <c r="AZ32" s="475">
        <v>371.82</v>
      </c>
      <c r="BA32" s="475">
        <v>368.96</v>
      </c>
      <c r="BB32" s="475">
        <v>366.11</v>
      </c>
      <c r="BC32" s="475">
        <v>363.31</v>
      </c>
      <c r="BD32" s="475">
        <v>360.5</v>
      </c>
      <c r="BE32" s="475">
        <v>357.69</v>
      </c>
      <c r="BF32" s="475">
        <v>354.82</v>
      </c>
      <c r="BG32" s="475">
        <v>351.97</v>
      </c>
      <c r="BH32" s="475">
        <v>349.15</v>
      </c>
      <c r="BI32" s="475">
        <v>346.36</v>
      </c>
      <c r="BJ32" s="507">
        <v>343.51</v>
      </c>
    </row>
    <row r="33" spans="1:62" x14ac:dyDescent="0.25">
      <c r="A33" s="989"/>
      <c r="B33" s="78" t="s">
        <v>62</v>
      </c>
      <c r="C33" s="481">
        <v>220.88</v>
      </c>
      <c r="D33" s="471">
        <v>218.89</v>
      </c>
      <c r="E33" s="471">
        <v>216.9</v>
      </c>
      <c r="F33" s="471">
        <v>213.97</v>
      </c>
      <c r="G33" s="471">
        <v>211.68</v>
      </c>
      <c r="H33" s="471">
        <v>206.91</v>
      </c>
      <c r="I33" s="471">
        <v>201.28</v>
      </c>
      <c r="J33" s="476">
        <v>196.32</v>
      </c>
      <c r="K33" s="476">
        <v>191.7</v>
      </c>
      <c r="L33" s="471">
        <v>187.17</v>
      </c>
      <c r="M33" s="476">
        <v>159.94999999999999</v>
      </c>
      <c r="N33" s="483">
        <v>108.34</v>
      </c>
      <c r="O33" s="489">
        <v>225.32</v>
      </c>
      <c r="P33" s="472">
        <v>223.29</v>
      </c>
      <c r="Q33" s="472">
        <v>221.26</v>
      </c>
      <c r="R33" s="472">
        <v>218.27</v>
      </c>
      <c r="S33" s="472">
        <v>215.94</v>
      </c>
      <c r="T33" s="472">
        <v>211.07</v>
      </c>
      <c r="U33" s="472">
        <v>205.33</v>
      </c>
      <c r="V33" s="472">
        <v>200.27</v>
      </c>
      <c r="W33" s="472">
        <v>195.56</v>
      </c>
      <c r="X33" s="472">
        <v>190.94</v>
      </c>
      <c r="Y33" s="472">
        <v>163.16999999999999</v>
      </c>
      <c r="Z33" s="490">
        <v>110.52</v>
      </c>
      <c r="AA33" s="494">
        <v>236.59</v>
      </c>
      <c r="AB33" s="473">
        <v>234.45</v>
      </c>
      <c r="AC33" s="473">
        <v>232.33</v>
      </c>
      <c r="AD33" s="473">
        <v>229.19</v>
      </c>
      <c r="AE33" s="473">
        <v>226.73</v>
      </c>
      <c r="AF33" s="473">
        <v>221.63</v>
      </c>
      <c r="AG33" s="473">
        <v>215.59</v>
      </c>
      <c r="AH33" s="473">
        <v>210.29</v>
      </c>
      <c r="AI33" s="473">
        <v>205.34</v>
      </c>
      <c r="AJ33" s="473">
        <v>200.48</v>
      </c>
      <c r="AK33" s="473">
        <v>171.33</v>
      </c>
      <c r="AL33" s="495">
        <v>116.05</v>
      </c>
      <c r="AM33" s="501">
        <v>246.05</v>
      </c>
      <c r="AN33" s="477">
        <v>243.83</v>
      </c>
      <c r="AO33" s="477">
        <v>241.63</v>
      </c>
      <c r="AP33" s="477">
        <v>238.36</v>
      </c>
      <c r="AQ33" s="477">
        <v>235.8</v>
      </c>
      <c r="AR33" s="477">
        <v>230.5</v>
      </c>
      <c r="AS33" s="477">
        <v>224.21</v>
      </c>
      <c r="AT33" s="477">
        <v>218.7</v>
      </c>
      <c r="AU33" s="477">
        <v>213.55</v>
      </c>
      <c r="AV33" s="477">
        <v>208.5</v>
      </c>
      <c r="AW33" s="477">
        <v>178.18</v>
      </c>
      <c r="AX33" s="502">
        <v>120.69</v>
      </c>
      <c r="AY33" s="506">
        <v>255.9</v>
      </c>
      <c r="AZ33" s="475">
        <v>253.58</v>
      </c>
      <c r="BA33" s="475">
        <v>251.29</v>
      </c>
      <c r="BB33" s="475">
        <v>247.9</v>
      </c>
      <c r="BC33" s="475">
        <v>245.24</v>
      </c>
      <c r="BD33" s="475">
        <v>239.72</v>
      </c>
      <c r="BE33" s="475">
        <v>233.18</v>
      </c>
      <c r="BF33" s="475">
        <v>227.46</v>
      </c>
      <c r="BG33" s="475">
        <v>222.09</v>
      </c>
      <c r="BH33" s="475">
        <v>216.85</v>
      </c>
      <c r="BI33" s="475">
        <v>185.31</v>
      </c>
      <c r="BJ33" s="507">
        <v>125.52</v>
      </c>
    </row>
    <row r="34" spans="1:62" x14ac:dyDescent="0.25">
      <c r="A34" s="989" t="s">
        <v>52</v>
      </c>
      <c r="B34" s="78" t="s">
        <v>61</v>
      </c>
      <c r="C34" s="481">
        <v>310.14999999999998</v>
      </c>
      <c r="D34" s="471">
        <v>307.8</v>
      </c>
      <c r="E34" s="471">
        <v>305.43</v>
      </c>
      <c r="F34" s="471">
        <v>303.08</v>
      </c>
      <c r="G34" s="471">
        <v>300.76</v>
      </c>
      <c r="H34" s="471">
        <v>298.42</v>
      </c>
      <c r="I34" s="471">
        <v>296.10000000000002</v>
      </c>
      <c r="J34" s="471">
        <v>293.73</v>
      </c>
      <c r="K34" s="471">
        <v>291.38</v>
      </c>
      <c r="L34" s="471">
        <v>289.02999999999997</v>
      </c>
      <c r="M34" s="471">
        <v>286.73</v>
      </c>
      <c r="N34" s="482">
        <v>284.37</v>
      </c>
      <c r="O34" s="489">
        <v>316.39</v>
      </c>
      <c r="P34" s="472">
        <v>313.99</v>
      </c>
      <c r="Q34" s="472">
        <v>311.57</v>
      </c>
      <c r="R34" s="472">
        <v>309.18</v>
      </c>
      <c r="S34" s="472">
        <v>306.81</v>
      </c>
      <c r="T34" s="472">
        <v>304.42</v>
      </c>
      <c r="U34" s="472">
        <v>302.06</v>
      </c>
      <c r="V34" s="472">
        <v>299.64</v>
      </c>
      <c r="W34" s="472">
        <v>297.24</v>
      </c>
      <c r="X34" s="472">
        <v>294.83999999999997</v>
      </c>
      <c r="Y34" s="472">
        <v>292.5</v>
      </c>
      <c r="Z34" s="490">
        <v>290.08999999999997</v>
      </c>
      <c r="AA34" s="494">
        <v>332.21</v>
      </c>
      <c r="AB34" s="473">
        <v>329.69</v>
      </c>
      <c r="AC34" s="473">
        <v>327.14999999999998</v>
      </c>
      <c r="AD34" s="473">
        <v>324.63</v>
      </c>
      <c r="AE34" s="473">
        <v>322.14999999999998</v>
      </c>
      <c r="AF34" s="473">
        <v>319.64</v>
      </c>
      <c r="AG34" s="473">
        <v>317.16000000000003</v>
      </c>
      <c r="AH34" s="473">
        <v>314.62</v>
      </c>
      <c r="AI34" s="473">
        <v>312.11</v>
      </c>
      <c r="AJ34" s="473">
        <v>309.58999999999997</v>
      </c>
      <c r="AK34" s="473">
        <v>307.13</v>
      </c>
      <c r="AL34" s="495">
        <v>304.60000000000002</v>
      </c>
      <c r="AM34" s="499">
        <v>345.5</v>
      </c>
      <c r="AN34" s="474">
        <v>342.88</v>
      </c>
      <c r="AO34" s="474">
        <v>340.24</v>
      </c>
      <c r="AP34" s="474">
        <v>337.62</v>
      </c>
      <c r="AQ34" s="474">
        <v>335.04</v>
      </c>
      <c r="AR34" s="474">
        <v>332.43</v>
      </c>
      <c r="AS34" s="474">
        <v>329.86</v>
      </c>
      <c r="AT34" s="474">
        <v>327.20999999999998</v>
      </c>
      <c r="AU34" s="474">
        <v>324.58999999999997</v>
      </c>
      <c r="AV34" s="474">
        <v>321.97000000000003</v>
      </c>
      <c r="AW34" s="474">
        <v>319.41000000000003</v>
      </c>
      <c r="AX34" s="500">
        <v>316.77999999999997</v>
      </c>
      <c r="AY34" s="506">
        <v>359.33</v>
      </c>
      <c r="AZ34" s="475">
        <v>356.59</v>
      </c>
      <c r="BA34" s="475">
        <v>353.85</v>
      </c>
      <c r="BB34" s="475">
        <v>351.12</v>
      </c>
      <c r="BC34" s="475">
        <v>348.44</v>
      </c>
      <c r="BD34" s="475">
        <v>345.72</v>
      </c>
      <c r="BE34" s="475">
        <v>343.05</v>
      </c>
      <c r="BF34" s="475">
        <v>340.3</v>
      </c>
      <c r="BG34" s="475">
        <v>337.58</v>
      </c>
      <c r="BH34" s="475">
        <v>334.84</v>
      </c>
      <c r="BI34" s="475">
        <v>332.18</v>
      </c>
      <c r="BJ34" s="507">
        <v>329.45</v>
      </c>
    </row>
    <row r="35" spans="1:62" x14ac:dyDescent="0.25">
      <c r="A35" s="989"/>
      <c r="B35" s="78" t="s">
        <v>62</v>
      </c>
      <c r="C35" s="481">
        <v>211.83</v>
      </c>
      <c r="D35" s="471">
        <v>209.92</v>
      </c>
      <c r="E35" s="471">
        <v>208.01</v>
      </c>
      <c r="F35" s="471">
        <v>205.2</v>
      </c>
      <c r="G35" s="471">
        <v>203.01</v>
      </c>
      <c r="H35" s="476">
        <v>198.44</v>
      </c>
      <c r="I35" s="476">
        <v>193.04</v>
      </c>
      <c r="J35" s="476">
        <v>188.27</v>
      </c>
      <c r="K35" s="476">
        <v>183.84</v>
      </c>
      <c r="L35" s="471">
        <v>179.5</v>
      </c>
      <c r="M35" s="471">
        <v>153.4</v>
      </c>
      <c r="N35" s="483">
        <v>108.34</v>
      </c>
      <c r="O35" s="489">
        <v>216.09</v>
      </c>
      <c r="P35" s="472">
        <v>214.14</v>
      </c>
      <c r="Q35" s="472">
        <v>212.19</v>
      </c>
      <c r="R35" s="472">
        <v>209.33</v>
      </c>
      <c r="S35" s="472">
        <v>207.09</v>
      </c>
      <c r="T35" s="472">
        <v>202.43</v>
      </c>
      <c r="U35" s="472">
        <v>196.92</v>
      </c>
      <c r="V35" s="472">
        <v>192.06</v>
      </c>
      <c r="W35" s="472">
        <v>187.54</v>
      </c>
      <c r="X35" s="472">
        <v>183.11</v>
      </c>
      <c r="Y35" s="472">
        <v>156.49</v>
      </c>
      <c r="Z35" s="490">
        <v>110.52</v>
      </c>
      <c r="AA35" s="494">
        <v>226.89</v>
      </c>
      <c r="AB35" s="473">
        <v>224.85</v>
      </c>
      <c r="AC35" s="473">
        <v>222.8</v>
      </c>
      <c r="AD35" s="473">
        <v>219.79</v>
      </c>
      <c r="AE35" s="473">
        <v>217.45</v>
      </c>
      <c r="AF35" s="473">
        <v>212.55</v>
      </c>
      <c r="AG35" s="473">
        <v>206.77</v>
      </c>
      <c r="AH35" s="473">
        <v>201.66</v>
      </c>
      <c r="AI35" s="473">
        <v>196.91</v>
      </c>
      <c r="AJ35" s="473">
        <v>192.27</v>
      </c>
      <c r="AK35" s="473">
        <v>164.31</v>
      </c>
      <c r="AL35" s="495">
        <v>116.05</v>
      </c>
      <c r="AM35" s="501">
        <v>235.97</v>
      </c>
      <c r="AN35" s="477">
        <v>233.85</v>
      </c>
      <c r="AO35" s="477">
        <v>231.72</v>
      </c>
      <c r="AP35" s="477">
        <v>228.59</v>
      </c>
      <c r="AQ35" s="477">
        <v>226.15</v>
      </c>
      <c r="AR35" s="477">
        <v>221.05</v>
      </c>
      <c r="AS35" s="477">
        <v>215.04</v>
      </c>
      <c r="AT35" s="477">
        <v>209.73</v>
      </c>
      <c r="AU35" s="477">
        <v>204.79</v>
      </c>
      <c r="AV35" s="477">
        <v>199.96</v>
      </c>
      <c r="AW35" s="477">
        <v>170.88</v>
      </c>
      <c r="AX35" s="502">
        <v>120.69</v>
      </c>
      <c r="AY35" s="506">
        <v>245.41</v>
      </c>
      <c r="AZ35" s="475">
        <v>243.21</v>
      </c>
      <c r="BA35" s="475">
        <v>240.99</v>
      </c>
      <c r="BB35" s="475">
        <v>237.73</v>
      </c>
      <c r="BC35" s="475">
        <v>235.2</v>
      </c>
      <c r="BD35" s="475">
        <v>229.89</v>
      </c>
      <c r="BE35" s="475">
        <v>223.64</v>
      </c>
      <c r="BF35" s="475">
        <v>218.11</v>
      </c>
      <c r="BG35" s="475">
        <v>212.98</v>
      </c>
      <c r="BH35" s="475">
        <v>207.96</v>
      </c>
      <c r="BI35" s="475">
        <v>177.71</v>
      </c>
      <c r="BJ35" s="507">
        <v>125.52</v>
      </c>
    </row>
    <row r="36" spans="1:62" x14ac:dyDescent="0.25">
      <c r="A36" s="989" t="s">
        <v>53</v>
      </c>
      <c r="B36" s="78" t="s">
        <v>61</v>
      </c>
      <c r="C36" s="481">
        <v>301.57</v>
      </c>
      <c r="D36" s="471">
        <v>299.39999999999998</v>
      </c>
      <c r="E36" s="471">
        <v>297.08</v>
      </c>
      <c r="F36" s="471">
        <v>294.77999999999997</v>
      </c>
      <c r="G36" s="471">
        <v>292.51</v>
      </c>
      <c r="H36" s="471">
        <v>290.24</v>
      </c>
      <c r="I36" s="471">
        <v>288.05</v>
      </c>
      <c r="J36" s="471">
        <v>285.69</v>
      </c>
      <c r="K36" s="471">
        <v>283.51</v>
      </c>
      <c r="L36" s="471">
        <v>281.23</v>
      </c>
      <c r="M36" s="471">
        <v>278.94</v>
      </c>
      <c r="N36" s="482">
        <v>276.89999999999998</v>
      </c>
      <c r="O36" s="489">
        <v>307.64</v>
      </c>
      <c r="P36" s="472">
        <v>305.42</v>
      </c>
      <c r="Q36" s="472">
        <v>303.06</v>
      </c>
      <c r="R36" s="472">
        <v>300.70999999999998</v>
      </c>
      <c r="S36" s="472">
        <v>298.39</v>
      </c>
      <c r="T36" s="472">
        <v>296.08</v>
      </c>
      <c r="U36" s="472">
        <v>293.83999999999997</v>
      </c>
      <c r="V36" s="472">
        <v>291.44</v>
      </c>
      <c r="W36" s="472">
        <v>289.20999999999998</v>
      </c>
      <c r="X36" s="472">
        <v>286.89</v>
      </c>
      <c r="Y36" s="472">
        <v>284.55</v>
      </c>
      <c r="Z36" s="490">
        <v>282.47000000000003</v>
      </c>
      <c r="AA36" s="494">
        <v>323.02</v>
      </c>
      <c r="AB36" s="473">
        <v>320.69</v>
      </c>
      <c r="AC36" s="473">
        <v>318.20999999999998</v>
      </c>
      <c r="AD36" s="473">
        <v>315.75</v>
      </c>
      <c r="AE36" s="473">
        <v>313.32</v>
      </c>
      <c r="AF36" s="473">
        <v>310.88</v>
      </c>
      <c r="AG36" s="473">
        <v>308.52999999999997</v>
      </c>
      <c r="AH36" s="473">
        <v>306</v>
      </c>
      <c r="AI36" s="473">
        <v>303.68</v>
      </c>
      <c r="AJ36" s="473">
        <v>301.23</v>
      </c>
      <c r="AK36" s="473">
        <v>298.77999999999997</v>
      </c>
      <c r="AL36" s="495">
        <v>296.60000000000002</v>
      </c>
      <c r="AM36" s="499">
        <v>335.95</v>
      </c>
      <c r="AN36" s="474">
        <v>333.52</v>
      </c>
      <c r="AO36" s="474">
        <v>330.94</v>
      </c>
      <c r="AP36" s="474">
        <v>328.38</v>
      </c>
      <c r="AQ36" s="474">
        <v>325.86</v>
      </c>
      <c r="AR36" s="474">
        <v>323.32</v>
      </c>
      <c r="AS36" s="474">
        <v>320.88</v>
      </c>
      <c r="AT36" s="474">
        <v>318.25</v>
      </c>
      <c r="AU36" s="474">
        <v>315.83</v>
      </c>
      <c r="AV36" s="474">
        <v>313.27999999999997</v>
      </c>
      <c r="AW36" s="474">
        <v>310.74</v>
      </c>
      <c r="AX36" s="500">
        <v>308.45999999999998</v>
      </c>
      <c r="AY36" s="506">
        <v>349.38</v>
      </c>
      <c r="AZ36" s="475">
        <v>346.86</v>
      </c>
      <c r="BA36" s="475">
        <v>344.18</v>
      </c>
      <c r="BB36" s="475">
        <v>341.52</v>
      </c>
      <c r="BC36" s="475">
        <v>338.89</v>
      </c>
      <c r="BD36" s="475">
        <v>336.25</v>
      </c>
      <c r="BE36" s="475">
        <v>333.71</v>
      </c>
      <c r="BF36" s="475">
        <v>330.98</v>
      </c>
      <c r="BG36" s="475">
        <v>328.46</v>
      </c>
      <c r="BH36" s="475">
        <v>325.81</v>
      </c>
      <c r="BI36" s="475">
        <v>323.16000000000003</v>
      </c>
      <c r="BJ36" s="507">
        <v>320.81</v>
      </c>
    </row>
    <row r="37" spans="1:62" ht="15.75" thickBot="1" x14ac:dyDescent="0.3">
      <c r="A37" s="990"/>
      <c r="B37" s="79" t="s">
        <v>62</v>
      </c>
      <c r="C37" s="484">
        <v>205.96</v>
      </c>
      <c r="D37" s="485">
        <v>204.23</v>
      </c>
      <c r="E37" s="485">
        <v>202.3</v>
      </c>
      <c r="F37" s="486">
        <v>199.56</v>
      </c>
      <c r="G37" s="486">
        <v>197.47</v>
      </c>
      <c r="H37" s="486">
        <v>193</v>
      </c>
      <c r="I37" s="486">
        <v>187.8</v>
      </c>
      <c r="J37" s="486">
        <v>183.11</v>
      </c>
      <c r="K37" s="486">
        <v>178.89</v>
      </c>
      <c r="L37" s="485">
        <v>174.63</v>
      </c>
      <c r="M37" s="486">
        <v>149.21</v>
      </c>
      <c r="N37" s="487">
        <v>108.34</v>
      </c>
      <c r="O37" s="491">
        <v>210.1</v>
      </c>
      <c r="P37" s="492">
        <v>208.34</v>
      </c>
      <c r="Q37" s="492">
        <v>206.37</v>
      </c>
      <c r="R37" s="492">
        <v>203.57</v>
      </c>
      <c r="S37" s="492">
        <v>201.44</v>
      </c>
      <c r="T37" s="492">
        <v>196.88</v>
      </c>
      <c r="U37" s="492">
        <v>191.58</v>
      </c>
      <c r="V37" s="492">
        <v>186.79</v>
      </c>
      <c r="W37" s="492">
        <v>182.49</v>
      </c>
      <c r="X37" s="492">
        <v>178.14</v>
      </c>
      <c r="Y37" s="492">
        <v>152.21</v>
      </c>
      <c r="Z37" s="493">
        <v>110.52</v>
      </c>
      <c r="AA37" s="496">
        <v>220.61</v>
      </c>
      <c r="AB37" s="497">
        <v>218.75</v>
      </c>
      <c r="AC37" s="497">
        <v>216.69</v>
      </c>
      <c r="AD37" s="497">
        <v>213.76</v>
      </c>
      <c r="AE37" s="497">
        <v>211.51</v>
      </c>
      <c r="AF37" s="497">
        <v>206.73</v>
      </c>
      <c r="AG37" s="497">
        <v>201.16</v>
      </c>
      <c r="AH37" s="497">
        <v>196.14</v>
      </c>
      <c r="AI37" s="497">
        <v>191.61</v>
      </c>
      <c r="AJ37" s="497">
        <v>187.05</v>
      </c>
      <c r="AK37" s="497">
        <v>159.82</v>
      </c>
      <c r="AL37" s="498">
        <v>116.05</v>
      </c>
      <c r="AM37" s="503">
        <v>229.43</v>
      </c>
      <c r="AN37" s="504">
        <v>227.51</v>
      </c>
      <c r="AO37" s="504">
        <v>225.36</v>
      </c>
      <c r="AP37" s="504">
        <v>222.3</v>
      </c>
      <c r="AQ37" s="504">
        <v>219.97</v>
      </c>
      <c r="AR37" s="504">
        <v>215</v>
      </c>
      <c r="AS37" s="504">
        <v>209.21</v>
      </c>
      <c r="AT37" s="504">
        <v>203.98</v>
      </c>
      <c r="AU37" s="504">
        <v>199.27</v>
      </c>
      <c r="AV37" s="504">
        <v>194.53</v>
      </c>
      <c r="AW37" s="504">
        <v>166.22</v>
      </c>
      <c r="AX37" s="505">
        <v>120.69</v>
      </c>
      <c r="AY37" s="508">
        <v>238.62</v>
      </c>
      <c r="AZ37" s="509">
        <v>236.61</v>
      </c>
      <c r="BA37" s="509">
        <v>234.38</v>
      </c>
      <c r="BB37" s="509">
        <v>231.2</v>
      </c>
      <c r="BC37" s="509">
        <v>228.77</v>
      </c>
      <c r="BD37" s="509">
        <v>223.6</v>
      </c>
      <c r="BE37" s="509">
        <v>217.57</v>
      </c>
      <c r="BF37" s="509">
        <v>212.14</v>
      </c>
      <c r="BG37" s="509">
        <v>207.24</v>
      </c>
      <c r="BH37" s="509">
        <v>202.31</v>
      </c>
      <c r="BI37" s="509">
        <v>172.87</v>
      </c>
      <c r="BJ37" s="510">
        <v>125.52</v>
      </c>
    </row>
  </sheetData>
  <sheetProtection algorithmName="SHA-512" hashValue="sCU3s3lL5dHgLWzrX/MVZQD5BNnE941z5jrTYBU7EuEq3eN495Y55gs4hLC4PdBDjvT/Cgf4ndF/LchRg6WOrg==" saltValue="ne/f0kPhuo2GSWXvubaJ7g==" spinCount="100000" sheet="1" objects="1" scenarios="1" selectLockedCells="1" selectUnlockedCells="1"/>
  <mergeCells count="23">
    <mergeCell ref="C1:N1"/>
    <mergeCell ref="O1:Z1"/>
    <mergeCell ref="AA1:AL1"/>
    <mergeCell ref="AM1:AX1"/>
    <mergeCell ref="AY1:BJ1"/>
    <mergeCell ref="A30:A31"/>
    <mergeCell ref="A32:A33"/>
    <mergeCell ref="A34:A35"/>
    <mergeCell ref="A36:A37"/>
    <mergeCell ref="A10:A11"/>
    <mergeCell ref="A12:A13"/>
    <mergeCell ref="A22:A23"/>
    <mergeCell ref="A24:A25"/>
    <mergeCell ref="A26:A27"/>
    <mergeCell ref="A14:A15"/>
    <mergeCell ref="A16:A17"/>
    <mergeCell ref="A18:A19"/>
    <mergeCell ref="A20:A21"/>
    <mergeCell ref="A2:A3"/>
    <mergeCell ref="A4:A5"/>
    <mergeCell ref="A6:A7"/>
    <mergeCell ref="A8:A9"/>
    <mergeCell ref="A28:A2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E9307-8A3D-45E9-BF82-60C71AB7C6AF}">
  <dimension ref="A1:BK70"/>
  <sheetViews>
    <sheetView zoomScale="80" zoomScaleNormal="80" workbookViewId="0">
      <selection activeCell="G47" sqref="G47"/>
    </sheetView>
  </sheetViews>
  <sheetFormatPr defaultRowHeight="15" x14ac:dyDescent="0.25"/>
  <cols>
    <col min="1" max="1" width="6.5703125" bestFit="1" customWidth="1"/>
    <col min="2" max="2" width="8.42578125" bestFit="1" customWidth="1"/>
    <col min="3" max="3" width="18.85546875" bestFit="1" customWidth="1"/>
    <col min="4" max="63" width="6.7109375" customWidth="1"/>
  </cols>
  <sheetData>
    <row r="1" spans="1:63" ht="34.5" thickBot="1" x14ac:dyDescent="0.3">
      <c r="A1" s="1008" t="s">
        <v>79</v>
      </c>
      <c r="B1" s="1009"/>
      <c r="C1" s="1009"/>
      <c r="D1" s="1009"/>
      <c r="E1" s="1009"/>
      <c r="F1" s="1009"/>
      <c r="G1" s="1009"/>
      <c r="H1" s="1009"/>
      <c r="I1" s="1009"/>
      <c r="J1" s="1009"/>
      <c r="K1" s="1009"/>
      <c r="L1" s="1009"/>
      <c r="M1" s="1009"/>
      <c r="N1" s="1009"/>
      <c r="O1" s="1009"/>
      <c r="P1" s="1009"/>
      <c r="Q1" s="1009"/>
      <c r="R1" s="1009"/>
      <c r="S1" s="1009"/>
      <c r="T1" s="1009"/>
      <c r="U1" s="1009"/>
      <c r="V1" s="1009"/>
      <c r="W1" s="1009"/>
      <c r="X1" s="1009"/>
      <c r="Y1" s="1009"/>
      <c r="Z1" s="1009"/>
      <c r="AA1" s="1009"/>
      <c r="AB1" s="1009"/>
      <c r="AC1" s="1009"/>
      <c r="AD1" s="1009"/>
      <c r="AE1" s="1009"/>
      <c r="AF1" s="1009"/>
      <c r="AG1" s="1009"/>
      <c r="AH1" s="1009"/>
      <c r="AI1" s="1009"/>
      <c r="AJ1" s="1009"/>
      <c r="AK1" s="1009"/>
      <c r="AL1" s="1009"/>
      <c r="AM1" s="1009"/>
      <c r="AN1" s="1009"/>
      <c r="AO1" s="1009"/>
      <c r="AP1" s="1009"/>
      <c r="AQ1" s="1009"/>
      <c r="AR1" s="1009"/>
      <c r="AS1" s="1009"/>
      <c r="AT1" s="1009"/>
      <c r="AU1" s="1009"/>
      <c r="AV1" s="1009"/>
      <c r="AW1" s="1009"/>
      <c r="AX1" s="1009"/>
      <c r="AY1" s="1009"/>
      <c r="AZ1" s="1009"/>
      <c r="BA1" s="1009"/>
      <c r="BB1" s="1009"/>
      <c r="BC1" s="1009"/>
      <c r="BD1" s="1009"/>
      <c r="BE1" s="1009"/>
      <c r="BF1" s="1009"/>
      <c r="BG1" s="1009"/>
      <c r="BH1" s="1009"/>
      <c r="BI1" s="1009"/>
      <c r="BJ1" s="1009"/>
      <c r="BK1" s="1010"/>
    </row>
    <row r="2" spans="1:63" ht="15.75" thickBot="1" x14ac:dyDescent="0.3">
      <c r="A2" s="1006" t="s">
        <v>60</v>
      </c>
      <c r="B2" s="1007"/>
      <c r="C2" s="1007"/>
      <c r="D2" s="991" t="s">
        <v>168</v>
      </c>
      <c r="E2" s="992"/>
      <c r="F2" s="992"/>
      <c r="G2" s="992"/>
      <c r="H2" s="992"/>
      <c r="I2" s="992"/>
      <c r="J2" s="992"/>
      <c r="K2" s="992"/>
      <c r="L2" s="992"/>
      <c r="M2" s="992"/>
      <c r="N2" s="992"/>
      <c r="O2" s="993"/>
      <c r="P2" s="994" t="s">
        <v>96</v>
      </c>
      <c r="Q2" s="995"/>
      <c r="R2" s="995"/>
      <c r="S2" s="995"/>
      <c r="T2" s="995"/>
      <c r="U2" s="995"/>
      <c r="V2" s="995"/>
      <c r="W2" s="995"/>
      <c r="X2" s="995"/>
      <c r="Y2" s="995"/>
      <c r="Z2" s="995"/>
      <c r="AA2" s="996"/>
      <c r="AB2" s="997">
        <v>2024</v>
      </c>
      <c r="AC2" s="998"/>
      <c r="AD2" s="998"/>
      <c r="AE2" s="998"/>
      <c r="AF2" s="998"/>
      <c r="AG2" s="998"/>
      <c r="AH2" s="998"/>
      <c r="AI2" s="998"/>
      <c r="AJ2" s="998"/>
      <c r="AK2" s="998"/>
      <c r="AL2" s="998"/>
      <c r="AM2" s="999"/>
      <c r="AN2" s="1000">
        <v>2025</v>
      </c>
      <c r="AO2" s="1001"/>
      <c r="AP2" s="1001"/>
      <c r="AQ2" s="1001"/>
      <c r="AR2" s="1001"/>
      <c r="AS2" s="1001"/>
      <c r="AT2" s="1001"/>
      <c r="AU2" s="1001"/>
      <c r="AV2" s="1001"/>
      <c r="AW2" s="1001"/>
      <c r="AX2" s="1001"/>
      <c r="AY2" s="1002"/>
      <c r="AZ2" s="1003">
        <v>2026</v>
      </c>
      <c r="BA2" s="1004"/>
      <c r="BB2" s="1004"/>
      <c r="BC2" s="1004"/>
      <c r="BD2" s="1004"/>
      <c r="BE2" s="1004"/>
      <c r="BF2" s="1004"/>
      <c r="BG2" s="1004"/>
      <c r="BH2" s="1004"/>
      <c r="BI2" s="1004"/>
      <c r="BJ2" s="1004"/>
      <c r="BK2" s="1005"/>
    </row>
    <row r="3" spans="1:63" ht="15.75" thickBot="1" x14ac:dyDescent="0.3">
      <c r="A3" s="1006" t="s">
        <v>75</v>
      </c>
      <c r="B3" s="1007"/>
      <c r="C3" s="1007"/>
      <c r="D3" s="69">
        <v>12</v>
      </c>
      <c r="E3" s="70">
        <v>11</v>
      </c>
      <c r="F3" s="70">
        <v>10</v>
      </c>
      <c r="G3" s="70">
        <v>9</v>
      </c>
      <c r="H3" s="70">
        <v>8</v>
      </c>
      <c r="I3" s="70">
        <v>7</v>
      </c>
      <c r="J3" s="70">
        <v>6</v>
      </c>
      <c r="K3" s="70">
        <v>5</v>
      </c>
      <c r="L3" s="70">
        <v>4</v>
      </c>
      <c r="M3" s="70">
        <v>3</v>
      </c>
      <c r="N3" s="70">
        <v>2</v>
      </c>
      <c r="O3" s="71">
        <v>1</v>
      </c>
      <c r="P3" s="91">
        <v>12</v>
      </c>
      <c r="Q3" s="92">
        <v>11</v>
      </c>
      <c r="R3" s="92">
        <v>10</v>
      </c>
      <c r="S3" s="92">
        <v>9</v>
      </c>
      <c r="T3" s="92">
        <v>8</v>
      </c>
      <c r="U3" s="92">
        <v>7</v>
      </c>
      <c r="V3" s="92">
        <v>6</v>
      </c>
      <c r="W3" s="92">
        <v>5</v>
      </c>
      <c r="X3" s="92">
        <v>4</v>
      </c>
      <c r="Y3" s="92">
        <v>3</v>
      </c>
      <c r="Z3" s="92">
        <v>2</v>
      </c>
      <c r="AA3" s="93">
        <v>1</v>
      </c>
      <c r="AB3" s="80">
        <v>12</v>
      </c>
      <c r="AC3" s="72">
        <v>11</v>
      </c>
      <c r="AD3" s="72">
        <v>10</v>
      </c>
      <c r="AE3" s="72">
        <v>9</v>
      </c>
      <c r="AF3" s="72">
        <v>8</v>
      </c>
      <c r="AG3" s="72">
        <v>7</v>
      </c>
      <c r="AH3" s="72">
        <v>6</v>
      </c>
      <c r="AI3" s="72">
        <v>5</v>
      </c>
      <c r="AJ3" s="72">
        <v>4</v>
      </c>
      <c r="AK3" s="72">
        <v>3</v>
      </c>
      <c r="AL3" s="72">
        <v>2</v>
      </c>
      <c r="AM3" s="81">
        <v>1</v>
      </c>
      <c r="AN3" s="73">
        <v>12</v>
      </c>
      <c r="AO3" s="74">
        <v>11</v>
      </c>
      <c r="AP3" s="74">
        <v>10</v>
      </c>
      <c r="AQ3" s="74">
        <v>9</v>
      </c>
      <c r="AR3" s="74">
        <v>8</v>
      </c>
      <c r="AS3" s="74">
        <v>7</v>
      </c>
      <c r="AT3" s="74">
        <v>6</v>
      </c>
      <c r="AU3" s="74">
        <v>5</v>
      </c>
      <c r="AV3" s="74">
        <v>4</v>
      </c>
      <c r="AW3" s="74">
        <v>3</v>
      </c>
      <c r="AX3" s="74">
        <v>2</v>
      </c>
      <c r="AY3" s="75">
        <v>1</v>
      </c>
      <c r="AZ3" s="82">
        <v>12</v>
      </c>
      <c r="BA3" s="76">
        <v>11</v>
      </c>
      <c r="BB3" s="76">
        <v>10</v>
      </c>
      <c r="BC3" s="76">
        <v>9</v>
      </c>
      <c r="BD3" s="76">
        <v>8</v>
      </c>
      <c r="BE3" s="76">
        <v>7</v>
      </c>
      <c r="BF3" s="76">
        <v>6</v>
      </c>
      <c r="BG3" s="76">
        <v>5</v>
      </c>
      <c r="BH3" s="76">
        <v>4</v>
      </c>
      <c r="BI3" s="76">
        <v>3</v>
      </c>
      <c r="BJ3" s="76">
        <v>2</v>
      </c>
      <c r="BK3" s="77">
        <v>1</v>
      </c>
    </row>
    <row r="4" spans="1:63" ht="15.75" thickBot="1" x14ac:dyDescent="0.3">
      <c r="A4" s="1013" t="s">
        <v>61</v>
      </c>
      <c r="B4" s="87">
        <v>350</v>
      </c>
      <c r="C4" s="50" t="s">
        <v>39</v>
      </c>
      <c r="D4" s="400">
        <v>417.54</v>
      </c>
      <c r="E4" s="94">
        <v>414.4</v>
      </c>
      <c r="F4" s="94">
        <v>411.28</v>
      </c>
      <c r="G4" s="94">
        <v>408.16</v>
      </c>
      <c r="H4" s="94">
        <v>405.02</v>
      </c>
      <c r="I4" s="94">
        <v>401.92</v>
      </c>
      <c r="J4" s="94">
        <v>398.78</v>
      </c>
      <c r="K4" s="94">
        <v>395.68</v>
      </c>
      <c r="L4" s="94">
        <v>392.52</v>
      </c>
      <c r="M4" s="94">
        <v>389.39</v>
      </c>
      <c r="N4" s="94">
        <v>386.23</v>
      </c>
      <c r="O4" s="401">
        <v>383.12</v>
      </c>
      <c r="P4" s="402">
        <v>425.94</v>
      </c>
      <c r="Q4" s="403">
        <v>422.74</v>
      </c>
      <c r="R4" s="404">
        <v>419.55</v>
      </c>
      <c r="S4" s="405">
        <v>416.37</v>
      </c>
      <c r="T4" s="406">
        <v>413.17</v>
      </c>
      <c r="U4" s="407">
        <v>410.01</v>
      </c>
      <c r="V4" s="406">
        <v>406.8</v>
      </c>
      <c r="W4" s="407">
        <v>403.64</v>
      </c>
      <c r="X4" s="405">
        <v>400.42</v>
      </c>
      <c r="Y4" s="406">
        <v>397.22</v>
      </c>
      <c r="Z4" s="407">
        <v>394</v>
      </c>
      <c r="AA4" s="408">
        <v>390.83</v>
      </c>
      <c r="AB4" s="102">
        <v>447.24</v>
      </c>
      <c r="AC4" s="103">
        <v>443.87</v>
      </c>
      <c r="AD4" s="103">
        <v>440.53</v>
      </c>
      <c r="AE4" s="103">
        <v>437.19</v>
      </c>
      <c r="AF4" s="103">
        <v>433.83</v>
      </c>
      <c r="AG4" s="103">
        <v>430.51</v>
      </c>
      <c r="AH4" s="104">
        <v>427.14</v>
      </c>
      <c r="AI4" s="105">
        <v>423.82</v>
      </c>
      <c r="AJ4" s="103">
        <v>420.44</v>
      </c>
      <c r="AK4" s="103">
        <v>417.09</v>
      </c>
      <c r="AL4" s="103">
        <v>413.7</v>
      </c>
      <c r="AM4" s="106">
        <v>410.37</v>
      </c>
      <c r="AN4" s="409">
        <v>465.13</v>
      </c>
      <c r="AO4" s="410">
        <v>461.62</v>
      </c>
      <c r="AP4" s="410">
        <v>458.15</v>
      </c>
      <c r="AQ4" s="410">
        <v>454.68</v>
      </c>
      <c r="AR4" s="410">
        <v>451.18</v>
      </c>
      <c r="AS4" s="410">
        <v>447.73</v>
      </c>
      <c r="AT4" s="411">
        <v>444.23</v>
      </c>
      <c r="AU4" s="412">
        <v>440.77</v>
      </c>
      <c r="AV4" s="410">
        <v>437.26</v>
      </c>
      <c r="AW4" s="410">
        <v>433.76</v>
      </c>
      <c r="AX4" s="410">
        <v>430.24</v>
      </c>
      <c r="AY4" s="413">
        <v>426.79</v>
      </c>
      <c r="AZ4" s="414">
        <v>483.74</v>
      </c>
      <c r="BA4" s="415">
        <v>480.09</v>
      </c>
      <c r="BB4" s="415">
        <v>476.47</v>
      </c>
      <c r="BC4" s="415">
        <v>472.87</v>
      </c>
      <c r="BD4" s="415">
        <v>469.22</v>
      </c>
      <c r="BE4" s="415">
        <v>465.64</v>
      </c>
      <c r="BF4" s="416">
        <v>462</v>
      </c>
      <c r="BG4" s="417">
        <v>458.4</v>
      </c>
      <c r="BH4" s="415">
        <v>454.76</v>
      </c>
      <c r="BI4" s="415">
        <v>451.12</v>
      </c>
      <c r="BJ4" s="415">
        <v>447.45</v>
      </c>
      <c r="BK4" s="418">
        <v>443.85</v>
      </c>
    </row>
    <row r="5" spans="1:63" ht="15.75" thickBot="1" x14ac:dyDescent="0.3">
      <c r="A5" s="1013"/>
      <c r="B5" s="53">
        <v>330</v>
      </c>
      <c r="C5" s="22" t="s">
        <v>41</v>
      </c>
      <c r="D5" s="419">
        <v>417.54</v>
      </c>
      <c r="E5" s="117">
        <v>414.4</v>
      </c>
      <c r="F5" s="117">
        <v>411.28</v>
      </c>
      <c r="G5" s="117">
        <v>408.16</v>
      </c>
      <c r="H5" s="117">
        <v>405.02</v>
      </c>
      <c r="I5" s="117">
        <v>401.92</v>
      </c>
      <c r="J5" s="117">
        <v>398.78</v>
      </c>
      <c r="K5" s="117">
        <v>395.68</v>
      </c>
      <c r="L5" s="117">
        <v>392.52</v>
      </c>
      <c r="M5" s="117">
        <v>389.39</v>
      </c>
      <c r="N5" s="117">
        <v>386.23</v>
      </c>
      <c r="O5" s="420">
        <v>383.12</v>
      </c>
      <c r="P5" s="118">
        <v>425.94</v>
      </c>
      <c r="Q5" s="119">
        <v>422.74</v>
      </c>
      <c r="R5" s="120">
        <v>419.55</v>
      </c>
      <c r="S5" s="121">
        <v>416.37</v>
      </c>
      <c r="T5" s="122">
        <v>413.17</v>
      </c>
      <c r="U5" s="123">
        <v>410.01</v>
      </c>
      <c r="V5" s="122">
        <v>406.8</v>
      </c>
      <c r="W5" s="123">
        <v>403.64</v>
      </c>
      <c r="X5" s="121">
        <v>400.42</v>
      </c>
      <c r="Y5" s="122">
        <v>397.22</v>
      </c>
      <c r="Z5" s="123">
        <v>394</v>
      </c>
      <c r="AA5" s="124">
        <v>390.83</v>
      </c>
      <c r="AB5" s="157">
        <v>447.24</v>
      </c>
      <c r="AC5" s="158">
        <v>443.87</v>
      </c>
      <c r="AD5" s="158">
        <v>440.53</v>
      </c>
      <c r="AE5" s="158">
        <v>437.19</v>
      </c>
      <c r="AF5" s="158">
        <v>433.83</v>
      </c>
      <c r="AG5" s="158">
        <v>430.51</v>
      </c>
      <c r="AH5" s="159">
        <v>427.14</v>
      </c>
      <c r="AI5" s="160">
        <v>423.82</v>
      </c>
      <c r="AJ5" s="158">
        <v>420.44</v>
      </c>
      <c r="AK5" s="158">
        <v>417.09</v>
      </c>
      <c r="AL5" s="158">
        <v>413.7</v>
      </c>
      <c r="AM5" s="161">
        <v>410.37</v>
      </c>
      <c r="AN5" s="130">
        <v>465.13</v>
      </c>
      <c r="AO5" s="131">
        <v>461.62</v>
      </c>
      <c r="AP5" s="131">
        <v>458.15</v>
      </c>
      <c r="AQ5" s="131">
        <v>454.68</v>
      </c>
      <c r="AR5" s="131">
        <v>451.18</v>
      </c>
      <c r="AS5" s="131">
        <v>447.73</v>
      </c>
      <c r="AT5" s="132">
        <v>444.23</v>
      </c>
      <c r="AU5" s="133">
        <v>440.77</v>
      </c>
      <c r="AV5" s="131">
        <v>437.26</v>
      </c>
      <c r="AW5" s="131">
        <v>433.76</v>
      </c>
      <c r="AX5" s="131">
        <v>430.24</v>
      </c>
      <c r="AY5" s="134">
        <v>426.79</v>
      </c>
      <c r="AZ5" s="135">
        <v>483.74</v>
      </c>
      <c r="BA5" s="136">
        <v>480.09</v>
      </c>
      <c r="BB5" s="136">
        <v>476.47</v>
      </c>
      <c r="BC5" s="136">
        <v>472.87</v>
      </c>
      <c r="BD5" s="136">
        <v>469.22</v>
      </c>
      <c r="BE5" s="136">
        <v>465.64</v>
      </c>
      <c r="BF5" s="137">
        <v>462</v>
      </c>
      <c r="BG5" s="138">
        <v>458.4</v>
      </c>
      <c r="BH5" s="136">
        <v>454.76</v>
      </c>
      <c r="BI5" s="136">
        <v>451.12</v>
      </c>
      <c r="BJ5" s="136">
        <v>447.45</v>
      </c>
      <c r="BK5" s="139">
        <v>443.85</v>
      </c>
    </row>
    <row r="6" spans="1:63" ht="15.75" thickBot="1" x14ac:dyDescent="0.3">
      <c r="A6" s="1013"/>
      <c r="B6" s="53" t="s">
        <v>63</v>
      </c>
      <c r="C6" s="22" t="s">
        <v>42</v>
      </c>
      <c r="D6" s="419">
        <v>417.54</v>
      </c>
      <c r="E6" s="117">
        <v>414.4</v>
      </c>
      <c r="F6" s="117">
        <v>411.28</v>
      </c>
      <c r="G6" s="117">
        <v>408.16</v>
      </c>
      <c r="H6" s="117">
        <v>405.02</v>
      </c>
      <c r="I6" s="117">
        <v>401.92</v>
      </c>
      <c r="J6" s="117">
        <v>398.78</v>
      </c>
      <c r="K6" s="117">
        <v>395.68</v>
      </c>
      <c r="L6" s="117">
        <v>392.52</v>
      </c>
      <c r="M6" s="117">
        <v>389.39</v>
      </c>
      <c r="N6" s="117">
        <v>386.23</v>
      </c>
      <c r="O6" s="420">
        <v>383.12</v>
      </c>
      <c r="P6" s="140">
        <v>425.94</v>
      </c>
      <c r="Q6" s="141">
        <v>422.74</v>
      </c>
      <c r="R6" s="142">
        <v>419.55</v>
      </c>
      <c r="S6" s="143">
        <v>416.37</v>
      </c>
      <c r="T6" s="144">
        <v>413.17</v>
      </c>
      <c r="U6" s="145">
        <v>410.01</v>
      </c>
      <c r="V6" s="144">
        <v>406.8</v>
      </c>
      <c r="W6" s="145">
        <v>403.64</v>
      </c>
      <c r="X6" s="143">
        <v>400.42</v>
      </c>
      <c r="Y6" s="144">
        <v>397.22</v>
      </c>
      <c r="Z6" s="145">
        <v>394</v>
      </c>
      <c r="AA6" s="146">
        <v>390.83</v>
      </c>
      <c r="AB6" s="162">
        <v>447.24</v>
      </c>
      <c r="AC6" s="163">
        <v>443.87</v>
      </c>
      <c r="AD6" s="163">
        <v>440.53</v>
      </c>
      <c r="AE6" s="163">
        <v>437.19</v>
      </c>
      <c r="AF6" s="163">
        <v>433.83</v>
      </c>
      <c r="AG6" s="163">
        <v>430.51</v>
      </c>
      <c r="AH6" s="164">
        <v>427.14</v>
      </c>
      <c r="AI6" s="165">
        <v>423.82</v>
      </c>
      <c r="AJ6" s="163">
        <v>420.44</v>
      </c>
      <c r="AK6" s="163">
        <v>417.09</v>
      </c>
      <c r="AL6" s="163">
        <v>413.7</v>
      </c>
      <c r="AM6" s="166">
        <v>410.37</v>
      </c>
      <c r="AN6" s="147">
        <v>465.13</v>
      </c>
      <c r="AO6" s="148">
        <v>461.62</v>
      </c>
      <c r="AP6" s="148">
        <v>458.15</v>
      </c>
      <c r="AQ6" s="148">
        <v>454.68</v>
      </c>
      <c r="AR6" s="148">
        <v>451.18</v>
      </c>
      <c r="AS6" s="148">
        <v>447.73</v>
      </c>
      <c r="AT6" s="149">
        <v>444.23</v>
      </c>
      <c r="AU6" s="150">
        <v>440.77</v>
      </c>
      <c r="AV6" s="148">
        <v>437.26</v>
      </c>
      <c r="AW6" s="148">
        <v>433.76</v>
      </c>
      <c r="AX6" s="148">
        <v>430.24</v>
      </c>
      <c r="AY6" s="151">
        <v>426.79</v>
      </c>
      <c r="AZ6" s="152">
        <v>483.74</v>
      </c>
      <c r="BA6" s="153">
        <v>480.09</v>
      </c>
      <c r="BB6" s="153">
        <v>476.47</v>
      </c>
      <c r="BC6" s="153">
        <v>472.87</v>
      </c>
      <c r="BD6" s="153">
        <v>469.22</v>
      </c>
      <c r="BE6" s="153">
        <v>465.64</v>
      </c>
      <c r="BF6" s="154">
        <v>462</v>
      </c>
      <c r="BG6" s="155">
        <v>458.4</v>
      </c>
      <c r="BH6" s="153">
        <v>454.76</v>
      </c>
      <c r="BI6" s="153">
        <v>451.12</v>
      </c>
      <c r="BJ6" s="153">
        <v>447.45</v>
      </c>
      <c r="BK6" s="156">
        <v>443.85</v>
      </c>
    </row>
    <row r="7" spans="1:63" x14ac:dyDescent="0.25">
      <c r="A7" s="1013"/>
      <c r="B7" s="1015">
        <v>757</v>
      </c>
      <c r="C7" s="22" t="s">
        <v>43</v>
      </c>
      <c r="D7" s="419">
        <v>349.5</v>
      </c>
      <c r="E7" s="117">
        <v>345.93</v>
      </c>
      <c r="F7" s="117">
        <v>342.25</v>
      </c>
      <c r="G7" s="117">
        <v>338.61</v>
      </c>
      <c r="H7" s="117">
        <v>336.22</v>
      </c>
      <c r="I7" s="117">
        <v>333.46</v>
      </c>
      <c r="J7" s="117">
        <v>331.01</v>
      </c>
      <c r="K7" s="117">
        <v>328.45</v>
      </c>
      <c r="L7" s="117">
        <v>325.68</v>
      </c>
      <c r="M7" s="117">
        <v>323.06</v>
      </c>
      <c r="N7" s="117">
        <v>320.45999999999998</v>
      </c>
      <c r="O7" s="420">
        <v>317.76</v>
      </c>
      <c r="P7" s="118">
        <v>356.53</v>
      </c>
      <c r="Q7" s="119">
        <v>352.89</v>
      </c>
      <c r="R7" s="120">
        <v>349.14</v>
      </c>
      <c r="S7" s="121">
        <v>345.42</v>
      </c>
      <c r="T7" s="122">
        <v>342.98</v>
      </c>
      <c r="U7" s="123">
        <v>340.17</v>
      </c>
      <c r="V7" s="122">
        <v>337.67</v>
      </c>
      <c r="W7" s="123">
        <v>335.06</v>
      </c>
      <c r="X7" s="121">
        <v>332.23</v>
      </c>
      <c r="Y7" s="122">
        <v>329.56</v>
      </c>
      <c r="Z7" s="123">
        <v>326.91000000000003</v>
      </c>
      <c r="AA7" s="124">
        <v>324.14999999999998</v>
      </c>
      <c r="AB7" s="125">
        <v>374.36</v>
      </c>
      <c r="AC7" s="126">
        <v>370.54</v>
      </c>
      <c r="AD7" s="126">
        <v>366.59</v>
      </c>
      <c r="AE7" s="126">
        <v>362.69</v>
      </c>
      <c r="AF7" s="126">
        <v>360.13</v>
      </c>
      <c r="AG7" s="126">
        <v>357.17</v>
      </c>
      <c r="AH7" s="127">
        <v>354.55</v>
      </c>
      <c r="AI7" s="128">
        <v>351.81</v>
      </c>
      <c r="AJ7" s="126">
        <v>348.84</v>
      </c>
      <c r="AK7" s="126">
        <v>346.03</v>
      </c>
      <c r="AL7" s="126">
        <v>343.25</v>
      </c>
      <c r="AM7" s="129">
        <v>340.36</v>
      </c>
      <c r="AN7" s="130">
        <v>389.34</v>
      </c>
      <c r="AO7" s="131">
        <v>385.36</v>
      </c>
      <c r="AP7" s="131">
        <v>381.25</v>
      </c>
      <c r="AQ7" s="131">
        <v>377.2</v>
      </c>
      <c r="AR7" s="131">
        <v>374.54</v>
      </c>
      <c r="AS7" s="131">
        <v>371.47</v>
      </c>
      <c r="AT7" s="132">
        <v>368.73</v>
      </c>
      <c r="AU7" s="133">
        <v>365.88</v>
      </c>
      <c r="AV7" s="131">
        <v>362.79</v>
      </c>
      <c r="AW7" s="131">
        <v>359.88</v>
      </c>
      <c r="AX7" s="131">
        <v>356.98</v>
      </c>
      <c r="AY7" s="134">
        <v>353.98</v>
      </c>
      <c r="AZ7" s="135">
        <v>404.92</v>
      </c>
      <c r="BA7" s="136">
        <v>400.77</v>
      </c>
      <c r="BB7" s="136">
        <v>396.5</v>
      </c>
      <c r="BC7" s="136">
        <v>392.29</v>
      </c>
      <c r="BD7" s="136">
        <v>389.52</v>
      </c>
      <c r="BE7" s="136">
        <v>386.33</v>
      </c>
      <c r="BF7" s="137">
        <v>383.48</v>
      </c>
      <c r="BG7" s="138">
        <v>380.51</v>
      </c>
      <c r="BH7" s="136">
        <v>377.31</v>
      </c>
      <c r="BI7" s="136">
        <v>374.27</v>
      </c>
      <c r="BJ7" s="136">
        <v>371.26</v>
      </c>
      <c r="BK7" s="139">
        <v>368.14</v>
      </c>
    </row>
    <row r="8" spans="1:63" x14ac:dyDescent="0.25">
      <c r="A8" s="1013"/>
      <c r="B8" s="1013"/>
      <c r="C8" s="22" t="s">
        <v>44</v>
      </c>
      <c r="D8" s="419">
        <v>349.5</v>
      </c>
      <c r="E8" s="117">
        <v>345.93</v>
      </c>
      <c r="F8" s="117">
        <v>342.25</v>
      </c>
      <c r="G8" s="117">
        <v>338.61</v>
      </c>
      <c r="H8" s="117">
        <v>336.22</v>
      </c>
      <c r="I8" s="117">
        <v>333.46</v>
      </c>
      <c r="J8" s="117">
        <v>331.01</v>
      </c>
      <c r="K8" s="117">
        <v>328.45</v>
      </c>
      <c r="L8" s="117">
        <v>325.68</v>
      </c>
      <c r="M8" s="117">
        <v>323.06</v>
      </c>
      <c r="N8" s="117">
        <v>320.45999999999998</v>
      </c>
      <c r="O8" s="420">
        <v>317.76</v>
      </c>
      <c r="P8" s="140">
        <v>356.53</v>
      </c>
      <c r="Q8" s="141">
        <v>352.89</v>
      </c>
      <c r="R8" s="142">
        <v>349.14</v>
      </c>
      <c r="S8" s="143">
        <v>345.42</v>
      </c>
      <c r="T8" s="144">
        <v>342.98</v>
      </c>
      <c r="U8" s="145">
        <v>340.17</v>
      </c>
      <c r="V8" s="144">
        <v>337.67</v>
      </c>
      <c r="W8" s="145">
        <v>335.06</v>
      </c>
      <c r="X8" s="143">
        <v>332.23</v>
      </c>
      <c r="Y8" s="144">
        <v>329.56</v>
      </c>
      <c r="Z8" s="145">
        <v>326.91000000000003</v>
      </c>
      <c r="AA8" s="146">
        <v>324.14999999999998</v>
      </c>
      <c r="AB8" s="125">
        <v>374.36</v>
      </c>
      <c r="AC8" s="126">
        <v>370.54</v>
      </c>
      <c r="AD8" s="126">
        <v>366.59</v>
      </c>
      <c r="AE8" s="126">
        <v>362.69</v>
      </c>
      <c r="AF8" s="126">
        <v>360.13</v>
      </c>
      <c r="AG8" s="126">
        <v>357.17</v>
      </c>
      <c r="AH8" s="127">
        <v>354.55</v>
      </c>
      <c r="AI8" s="128">
        <v>351.81</v>
      </c>
      <c r="AJ8" s="126">
        <v>348.84</v>
      </c>
      <c r="AK8" s="126">
        <v>346.03</v>
      </c>
      <c r="AL8" s="126">
        <v>343.25</v>
      </c>
      <c r="AM8" s="129">
        <v>340.36</v>
      </c>
      <c r="AN8" s="167">
        <v>389.34</v>
      </c>
      <c r="AO8" s="168">
        <v>385.36</v>
      </c>
      <c r="AP8" s="168">
        <v>381.25</v>
      </c>
      <c r="AQ8" s="168">
        <v>377.2</v>
      </c>
      <c r="AR8" s="168">
        <v>374.54</v>
      </c>
      <c r="AS8" s="168">
        <v>371.47</v>
      </c>
      <c r="AT8" s="169">
        <v>368.73</v>
      </c>
      <c r="AU8" s="170">
        <v>365.88</v>
      </c>
      <c r="AV8" s="168">
        <v>362.79</v>
      </c>
      <c r="AW8" s="168">
        <v>359.88</v>
      </c>
      <c r="AX8" s="168">
        <v>356.98</v>
      </c>
      <c r="AY8" s="171">
        <v>353.98</v>
      </c>
      <c r="AZ8" s="172">
        <v>404.92</v>
      </c>
      <c r="BA8" s="173">
        <v>400.77</v>
      </c>
      <c r="BB8" s="173">
        <v>396.5</v>
      </c>
      <c r="BC8" s="173">
        <v>392.29</v>
      </c>
      <c r="BD8" s="173">
        <v>389.52</v>
      </c>
      <c r="BE8" s="173">
        <v>386.33</v>
      </c>
      <c r="BF8" s="174">
        <v>383.48</v>
      </c>
      <c r="BG8" s="175">
        <v>380.51</v>
      </c>
      <c r="BH8" s="173">
        <v>377.31</v>
      </c>
      <c r="BI8" s="173">
        <v>374.27</v>
      </c>
      <c r="BJ8" s="173">
        <v>371.26</v>
      </c>
      <c r="BK8" s="176">
        <v>368.14</v>
      </c>
    </row>
    <row r="9" spans="1:63" ht="15.75" thickBot="1" x14ac:dyDescent="0.3">
      <c r="A9" s="1013"/>
      <c r="B9" s="1016"/>
      <c r="C9" s="22" t="s">
        <v>45</v>
      </c>
      <c r="D9" s="419">
        <v>349.5</v>
      </c>
      <c r="E9" s="117">
        <v>345.93</v>
      </c>
      <c r="F9" s="117">
        <v>342.25</v>
      </c>
      <c r="G9" s="117">
        <v>338.61</v>
      </c>
      <c r="H9" s="117">
        <v>336.22</v>
      </c>
      <c r="I9" s="117">
        <v>333.46</v>
      </c>
      <c r="J9" s="117">
        <v>331.01</v>
      </c>
      <c r="K9" s="117">
        <v>328.45</v>
      </c>
      <c r="L9" s="117">
        <v>325.68</v>
      </c>
      <c r="M9" s="117">
        <v>323.06</v>
      </c>
      <c r="N9" s="117">
        <v>320.45999999999998</v>
      </c>
      <c r="O9" s="420">
        <v>317.76</v>
      </c>
      <c r="P9" s="118">
        <v>356.53</v>
      </c>
      <c r="Q9" s="119">
        <v>352.89</v>
      </c>
      <c r="R9" s="120">
        <v>349.14</v>
      </c>
      <c r="S9" s="121">
        <v>345.42</v>
      </c>
      <c r="T9" s="122">
        <v>342.98</v>
      </c>
      <c r="U9" s="123">
        <v>340.17</v>
      </c>
      <c r="V9" s="122">
        <v>337.67</v>
      </c>
      <c r="W9" s="123">
        <v>335.06</v>
      </c>
      <c r="X9" s="121">
        <v>332.23</v>
      </c>
      <c r="Y9" s="122">
        <v>329.56</v>
      </c>
      <c r="Z9" s="123">
        <v>326.91000000000003</v>
      </c>
      <c r="AA9" s="124">
        <v>324.14999999999998</v>
      </c>
      <c r="AB9" s="125">
        <v>374.36</v>
      </c>
      <c r="AC9" s="126">
        <v>370.54</v>
      </c>
      <c r="AD9" s="126">
        <v>366.59</v>
      </c>
      <c r="AE9" s="126">
        <v>362.69</v>
      </c>
      <c r="AF9" s="126">
        <v>360.13</v>
      </c>
      <c r="AG9" s="126">
        <v>357.17</v>
      </c>
      <c r="AH9" s="127">
        <v>354.55</v>
      </c>
      <c r="AI9" s="128">
        <v>351.81</v>
      </c>
      <c r="AJ9" s="126">
        <v>348.84</v>
      </c>
      <c r="AK9" s="126">
        <v>346.03</v>
      </c>
      <c r="AL9" s="126">
        <v>343.25</v>
      </c>
      <c r="AM9" s="129">
        <v>340.36</v>
      </c>
      <c r="AN9" s="177">
        <v>389.34</v>
      </c>
      <c r="AO9" s="178">
        <v>385.36</v>
      </c>
      <c r="AP9" s="178">
        <v>381.25</v>
      </c>
      <c r="AQ9" s="178">
        <v>377.2</v>
      </c>
      <c r="AR9" s="178">
        <v>374.54</v>
      </c>
      <c r="AS9" s="178">
        <v>371.47</v>
      </c>
      <c r="AT9" s="179">
        <v>368.73</v>
      </c>
      <c r="AU9" s="180">
        <v>365.88</v>
      </c>
      <c r="AV9" s="178">
        <v>362.79</v>
      </c>
      <c r="AW9" s="178">
        <v>359.88</v>
      </c>
      <c r="AX9" s="178">
        <v>356.98</v>
      </c>
      <c r="AY9" s="181">
        <v>353.98</v>
      </c>
      <c r="AZ9" s="182">
        <v>404.92</v>
      </c>
      <c r="BA9" s="183">
        <v>400.77</v>
      </c>
      <c r="BB9" s="183">
        <v>396.5</v>
      </c>
      <c r="BC9" s="183">
        <v>392.29</v>
      </c>
      <c r="BD9" s="183">
        <v>389.52</v>
      </c>
      <c r="BE9" s="183">
        <v>386.33</v>
      </c>
      <c r="BF9" s="184">
        <v>383.48</v>
      </c>
      <c r="BG9" s="185">
        <v>380.51</v>
      </c>
      <c r="BH9" s="183">
        <v>377.31</v>
      </c>
      <c r="BI9" s="183">
        <v>374.27</v>
      </c>
      <c r="BJ9" s="183">
        <v>371.26</v>
      </c>
      <c r="BK9" s="186">
        <v>368.14</v>
      </c>
    </row>
    <row r="10" spans="1:63" x14ac:dyDescent="0.25">
      <c r="A10" s="1013"/>
      <c r="B10" s="1015">
        <v>737</v>
      </c>
      <c r="C10" s="22" t="s">
        <v>47</v>
      </c>
      <c r="D10" s="419">
        <v>336.89</v>
      </c>
      <c r="E10" s="117">
        <v>334.29</v>
      </c>
      <c r="F10" s="117">
        <v>331.69</v>
      </c>
      <c r="G10" s="117">
        <v>329.24</v>
      </c>
      <c r="H10" s="117">
        <v>326.64</v>
      </c>
      <c r="I10" s="117">
        <v>324.10000000000002</v>
      </c>
      <c r="J10" s="117">
        <v>321.57</v>
      </c>
      <c r="K10" s="117">
        <v>319.02</v>
      </c>
      <c r="L10" s="117">
        <v>316.45</v>
      </c>
      <c r="M10" s="117">
        <v>313.89999999999998</v>
      </c>
      <c r="N10" s="117">
        <v>311.45999999999998</v>
      </c>
      <c r="O10" s="420">
        <v>309.02999999999997</v>
      </c>
      <c r="P10" s="118">
        <v>343.67</v>
      </c>
      <c r="Q10" s="119">
        <v>341.02</v>
      </c>
      <c r="R10" s="120">
        <v>338.36</v>
      </c>
      <c r="S10" s="121">
        <v>335.86</v>
      </c>
      <c r="T10" s="122">
        <v>333.21</v>
      </c>
      <c r="U10" s="123">
        <v>330.62</v>
      </c>
      <c r="V10" s="122">
        <v>328.04</v>
      </c>
      <c r="W10" s="123">
        <v>325.44</v>
      </c>
      <c r="X10" s="121">
        <v>322.82</v>
      </c>
      <c r="Y10" s="122">
        <v>320.20999999999998</v>
      </c>
      <c r="Z10" s="123">
        <v>317.73</v>
      </c>
      <c r="AA10" s="124">
        <v>315.25</v>
      </c>
      <c r="AB10" s="125">
        <v>360.85</v>
      </c>
      <c r="AC10" s="126">
        <v>358.06</v>
      </c>
      <c r="AD10" s="126">
        <v>355.28</v>
      </c>
      <c r="AE10" s="126">
        <v>352.65</v>
      </c>
      <c r="AF10" s="126">
        <v>349.87</v>
      </c>
      <c r="AG10" s="126">
        <v>347.16</v>
      </c>
      <c r="AH10" s="127">
        <v>344.44</v>
      </c>
      <c r="AI10" s="128">
        <v>341.71</v>
      </c>
      <c r="AJ10" s="126">
        <v>338.95</v>
      </c>
      <c r="AK10" s="126">
        <v>336.23</v>
      </c>
      <c r="AL10" s="126">
        <v>333.61</v>
      </c>
      <c r="AM10" s="129">
        <v>331.01</v>
      </c>
      <c r="AN10" s="130">
        <v>375.28</v>
      </c>
      <c r="AO10" s="131">
        <v>372.38</v>
      </c>
      <c r="AP10" s="131">
        <v>369.49</v>
      </c>
      <c r="AQ10" s="131">
        <v>366.76</v>
      </c>
      <c r="AR10" s="131">
        <v>363.87</v>
      </c>
      <c r="AS10" s="131">
        <v>361.04</v>
      </c>
      <c r="AT10" s="132">
        <v>358.22</v>
      </c>
      <c r="AU10" s="133">
        <v>355.38</v>
      </c>
      <c r="AV10" s="131">
        <v>352.51</v>
      </c>
      <c r="AW10" s="131">
        <v>349.68</v>
      </c>
      <c r="AX10" s="131">
        <v>346.95</v>
      </c>
      <c r="AY10" s="134">
        <v>344.25</v>
      </c>
      <c r="AZ10" s="135">
        <v>390.3</v>
      </c>
      <c r="BA10" s="136">
        <v>387.28</v>
      </c>
      <c r="BB10" s="136">
        <v>384.27</v>
      </c>
      <c r="BC10" s="136">
        <v>381.43</v>
      </c>
      <c r="BD10" s="136">
        <v>378.42</v>
      </c>
      <c r="BE10" s="136">
        <v>375.48</v>
      </c>
      <c r="BF10" s="137">
        <v>372.56</v>
      </c>
      <c r="BG10" s="138">
        <v>369.59</v>
      </c>
      <c r="BH10" s="136">
        <v>366.61</v>
      </c>
      <c r="BI10" s="136">
        <v>363.66</v>
      </c>
      <c r="BJ10" s="136">
        <v>360.83</v>
      </c>
      <c r="BK10" s="139">
        <v>358.02</v>
      </c>
    </row>
    <row r="11" spans="1:63" ht="15.75" thickBot="1" x14ac:dyDescent="0.3">
      <c r="A11" s="1013"/>
      <c r="B11" s="1016"/>
      <c r="C11" s="22" t="s">
        <v>69</v>
      </c>
      <c r="D11" s="419">
        <v>335.13</v>
      </c>
      <c r="E11" s="117">
        <v>332.67</v>
      </c>
      <c r="F11" s="117">
        <v>330.13</v>
      </c>
      <c r="G11" s="117">
        <v>327.64999999999998</v>
      </c>
      <c r="H11" s="117">
        <v>325.11</v>
      </c>
      <c r="I11" s="117">
        <v>322.58999999999997</v>
      </c>
      <c r="J11" s="117">
        <v>320.10000000000002</v>
      </c>
      <c r="K11" s="117">
        <v>317.60000000000002</v>
      </c>
      <c r="L11" s="117">
        <v>315.06</v>
      </c>
      <c r="M11" s="117">
        <v>312.52</v>
      </c>
      <c r="N11" s="117">
        <v>310.08999999999997</v>
      </c>
      <c r="O11" s="420">
        <v>307.69</v>
      </c>
      <c r="P11" s="118">
        <v>341.87</v>
      </c>
      <c r="Q11" s="119">
        <v>339.36</v>
      </c>
      <c r="R11" s="120">
        <v>336.77</v>
      </c>
      <c r="S11" s="121">
        <v>334.24</v>
      </c>
      <c r="T11" s="122">
        <v>331.65</v>
      </c>
      <c r="U11" s="123">
        <v>329.08</v>
      </c>
      <c r="V11" s="122">
        <v>326.54000000000002</v>
      </c>
      <c r="W11" s="123">
        <v>323.99</v>
      </c>
      <c r="X11" s="121">
        <v>321.39999999999998</v>
      </c>
      <c r="Y11" s="122">
        <v>318.81</v>
      </c>
      <c r="Z11" s="123">
        <v>316.33</v>
      </c>
      <c r="AA11" s="124">
        <v>313.88</v>
      </c>
      <c r="AB11" s="157">
        <v>358.97</v>
      </c>
      <c r="AC11" s="158">
        <v>356.33</v>
      </c>
      <c r="AD11" s="158">
        <v>353.61</v>
      </c>
      <c r="AE11" s="158">
        <v>350.95</v>
      </c>
      <c r="AF11" s="158">
        <v>348.24</v>
      </c>
      <c r="AG11" s="158">
        <v>345.53</v>
      </c>
      <c r="AH11" s="159">
        <v>342.87</v>
      </c>
      <c r="AI11" s="160">
        <v>340.19</v>
      </c>
      <c r="AJ11" s="158">
        <v>337.47</v>
      </c>
      <c r="AK11" s="158">
        <v>334.75</v>
      </c>
      <c r="AL11" s="158">
        <v>332.14</v>
      </c>
      <c r="AM11" s="161">
        <v>329.57</v>
      </c>
      <c r="AN11" s="177">
        <v>373.33</v>
      </c>
      <c r="AO11" s="178">
        <v>370.58</v>
      </c>
      <c r="AP11" s="178">
        <v>367.76</v>
      </c>
      <c r="AQ11" s="178">
        <v>364.99</v>
      </c>
      <c r="AR11" s="178">
        <v>362.16</v>
      </c>
      <c r="AS11" s="178">
        <v>359.36</v>
      </c>
      <c r="AT11" s="179">
        <v>356.58</v>
      </c>
      <c r="AU11" s="180">
        <v>353.8</v>
      </c>
      <c r="AV11" s="178">
        <v>350.96</v>
      </c>
      <c r="AW11" s="178">
        <v>348.15</v>
      </c>
      <c r="AX11" s="178">
        <v>345.42</v>
      </c>
      <c r="AY11" s="181">
        <v>342.75</v>
      </c>
      <c r="AZ11" s="182">
        <v>388.27</v>
      </c>
      <c r="BA11" s="183">
        <v>385.4</v>
      </c>
      <c r="BB11" s="183">
        <v>382.47</v>
      </c>
      <c r="BC11" s="183">
        <v>379.59</v>
      </c>
      <c r="BD11" s="183">
        <v>376.65</v>
      </c>
      <c r="BE11" s="183">
        <v>373.73</v>
      </c>
      <c r="BF11" s="184">
        <v>370.84</v>
      </c>
      <c r="BG11" s="185">
        <v>367.95</v>
      </c>
      <c r="BH11" s="183">
        <v>365</v>
      </c>
      <c r="BI11" s="183">
        <v>362.07</v>
      </c>
      <c r="BJ11" s="183">
        <v>359.23</v>
      </c>
      <c r="BK11" s="186">
        <v>356.46</v>
      </c>
    </row>
    <row r="12" spans="1:63" x14ac:dyDescent="0.25">
      <c r="A12" s="1013"/>
      <c r="B12" s="1015">
        <v>320</v>
      </c>
      <c r="C12" s="22" t="s">
        <v>46</v>
      </c>
      <c r="D12" s="419">
        <v>349.5</v>
      </c>
      <c r="E12" s="117">
        <v>345.93</v>
      </c>
      <c r="F12" s="117">
        <v>342.25</v>
      </c>
      <c r="G12" s="117">
        <v>338.61</v>
      </c>
      <c r="H12" s="117">
        <v>336.22</v>
      </c>
      <c r="I12" s="117">
        <v>333.46</v>
      </c>
      <c r="J12" s="117">
        <v>331.01</v>
      </c>
      <c r="K12" s="117">
        <v>328.45</v>
      </c>
      <c r="L12" s="117">
        <v>325.68</v>
      </c>
      <c r="M12" s="117">
        <v>323.06</v>
      </c>
      <c r="N12" s="117">
        <v>320.45999999999998</v>
      </c>
      <c r="O12" s="420">
        <v>317.76</v>
      </c>
      <c r="P12" s="140">
        <v>356.53</v>
      </c>
      <c r="Q12" s="141">
        <v>352.89</v>
      </c>
      <c r="R12" s="142">
        <v>349.14</v>
      </c>
      <c r="S12" s="143">
        <v>345.42</v>
      </c>
      <c r="T12" s="144">
        <v>342.98</v>
      </c>
      <c r="U12" s="145">
        <v>340.17</v>
      </c>
      <c r="V12" s="144">
        <v>337.67</v>
      </c>
      <c r="W12" s="145">
        <v>335.06</v>
      </c>
      <c r="X12" s="143">
        <v>332.23</v>
      </c>
      <c r="Y12" s="144">
        <v>329.56</v>
      </c>
      <c r="Z12" s="145">
        <v>326.91000000000003</v>
      </c>
      <c r="AA12" s="146">
        <v>324.14999999999998</v>
      </c>
      <c r="AB12" s="125">
        <v>374.36</v>
      </c>
      <c r="AC12" s="126">
        <v>370.54</v>
      </c>
      <c r="AD12" s="126">
        <v>366.59</v>
      </c>
      <c r="AE12" s="126">
        <v>362.69</v>
      </c>
      <c r="AF12" s="126">
        <v>360.13</v>
      </c>
      <c r="AG12" s="126">
        <v>357.17</v>
      </c>
      <c r="AH12" s="127">
        <v>354.55</v>
      </c>
      <c r="AI12" s="128">
        <v>351.81</v>
      </c>
      <c r="AJ12" s="126">
        <v>348.84</v>
      </c>
      <c r="AK12" s="126">
        <v>346.03</v>
      </c>
      <c r="AL12" s="126">
        <v>343.25</v>
      </c>
      <c r="AM12" s="129">
        <v>340.36</v>
      </c>
      <c r="AN12" s="147">
        <v>389.34</v>
      </c>
      <c r="AO12" s="148">
        <v>385.36</v>
      </c>
      <c r="AP12" s="148">
        <v>381.25</v>
      </c>
      <c r="AQ12" s="148">
        <v>377.2</v>
      </c>
      <c r="AR12" s="148">
        <v>374.54</v>
      </c>
      <c r="AS12" s="148">
        <v>371.47</v>
      </c>
      <c r="AT12" s="149">
        <v>368.73</v>
      </c>
      <c r="AU12" s="150">
        <v>365.88</v>
      </c>
      <c r="AV12" s="148">
        <v>362.79</v>
      </c>
      <c r="AW12" s="148">
        <v>359.88</v>
      </c>
      <c r="AX12" s="148">
        <v>356.98</v>
      </c>
      <c r="AY12" s="151">
        <v>353.98</v>
      </c>
      <c r="AZ12" s="152">
        <v>404.92</v>
      </c>
      <c r="BA12" s="153">
        <v>400.77</v>
      </c>
      <c r="BB12" s="153">
        <v>396.5</v>
      </c>
      <c r="BC12" s="153">
        <v>392.29</v>
      </c>
      <c r="BD12" s="153">
        <v>389.52</v>
      </c>
      <c r="BE12" s="153">
        <v>386.33</v>
      </c>
      <c r="BF12" s="154">
        <v>383.48</v>
      </c>
      <c r="BG12" s="155">
        <v>380.51</v>
      </c>
      <c r="BH12" s="153">
        <v>377.31</v>
      </c>
      <c r="BI12" s="153">
        <v>374.27</v>
      </c>
      <c r="BJ12" s="153">
        <v>371.26</v>
      </c>
      <c r="BK12" s="156">
        <v>368.14</v>
      </c>
    </row>
    <row r="13" spans="1:63" x14ac:dyDescent="0.25">
      <c r="A13" s="1013"/>
      <c r="B13" s="1013"/>
      <c r="C13" s="22" t="s">
        <v>48</v>
      </c>
      <c r="D13" s="419">
        <v>336.89</v>
      </c>
      <c r="E13" s="117">
        <v>334.29</v>
      </c>
      <c r="F13" s="117">
        <v>331.69</v>
      </c>
      <c r="G13" s="117">
        <v>329.24</v>
      </c>
      <c r="H13" s="117">
        <v>326.64</v>
      </c>
      <c r="I13" s="117">
        <v>324.10000000000002</v>
      </c>
      <c r="J13" s="117">
        <v>321.57</v>
      </c>
      <c r="K13" s="117">
        <v>319.02</v>
      </c>
      <c r="L13" s="117">
        <v>316.45</v>
      </c>
      <c r="M13" s="117">
        <v>313.89999999999998</v>
      </c>
      <c r="N13" s="117">
        <v>311.45999999999998</v>
      </c>
      <c r="O13" s="420">
        <v>309.02999999999997</v>
      </c>
      <c r="P13" s="140">
        <v>343.67</v>
      </c>
      <c r="Q13" s="141">
        <v>341.02</v>
      </c>
      <c r="R13" s="142">
        <v>338.36</v>
      </c>
      <c r="S13" s="143">
        <v>335.86</v>
      </c>
      <c r="T13" s="144">
        <v>333.21</v>
      </c>
      <c r="U13" s="145">
        <v>330.62</v>
      </c>
      <c r="V13" s="144">
        <v>328.04</v>
      </c>
      <c r="W13" s="145">
        <v>325.44</v>
      </c>
      <c r="X13" s="143">
        <v>322.82</v>
      </c>
      <c r="Y13" s="144">
        <v>320.20999999999998</v>
      </c>
      <c r="Z13" s="145">
        <v>317.73</v>
      </c>
      <c r="AA13" s="146">
        <v>315.25</v>
      </c>
      <c r="AB13" s="125">
        <v>360.85</v>
      </c>
      <c r="AC13" s="126">
        <v>358.06</v>
      </c>
      <c r="AD13" s="126">
        <v>355.28</v>
      </c>
      <c r="AE13" s="126">
        <v>352.65</v>
      </c>
      <c r="AF13" s="126">
        <v>349.87</v>
      </c>
      <c r="AG13" s="126">
        <v>347.16</v>
      </c>
      <c r="AH13" s="127">
        <v>344.44</v>
      </c>
      <c r="AI13" s="128">
        <v>341.71</v>
      </c>
      <c r="AJ13" s="126">
        <v>338.95</v>
      </c>
      <c r="AK13" s="126">
        <v>336.23</v>
      </c>
      <c r="AL13" s="126">
        <v>333.61</v>
      </c>
      <c r="AM13" s="129">
        <v>331.01</v>
      </c>
      <c r="AN13" s="167">
        <v>375.28</v>
      </c>
      <c r="AO13" s="168">
        <v>372.38</v>
      </c>
      <c r="AP13" s="168">
        <v>369.49</v>
      </c>
      <c r="AQ13" s="168">
        <v>366.76</v>
      </c>
      <c r="AR13" s="168">
        <v>363.87</v>
      </c>
      <c r="AS13" s="168">
        <v>361.04</v>
      </c>
      <c r="AT13" s="169">
        <v>358.22</v>
      </c>
      <c r="AU13" s="170">
        <v>355.38</v>
      </c>
      <c r="AV13" s="168">
        <v>352.51</v>
      </c>
      <c r="AW13" s="168">
        <v>349.68</v>
      </c>
      <c r="AX13" s="168">
        <v>346.95</v>
      </c>
      <c r="AY13" s="171">
        <v>344.25</v>
      </c>
      <c r="AZ13" s="172">
        <v>390.3</v>
      </c>
      <c r="BA13" s="173">
        <v>387.28</v>
      </c>
      <c r="BB13" s="173">
        <v>384.27</v>
      </c>
      <c r="BC13" s="173">
        <v>381.43</v>
      </c>
      <c r="BD13" s="173">
        <v>378.42</v>
      </c>
      <c r="BE13" s="173">
        <v>375.48</v>
      </c>
      <c r="BF13" s="174">
        <v>372.56</v>
      </c>
      <c r="BG13" s="175">
        <v>369.59</v>
      </c>
      <c r="BH13" s="173">
        <v>366.61</v>
      </c>
      <c r="BI13" s="173">
        <v>363.66</v>
      </c>
      <c r="BJ13" s="173">
        <v>360.83</v>
      </c>
      <c r="BK13" s="176">
        <v>358.02</v>
      </c>
    </row>
    <row r="14" spans="1:63" ht="15.75" thickBot="1" x14ac:dyDescent="0.3">
      <c r="A14" s="1013"/>
      <c r="B14" s="1016"/>
      <c r="C14" s="22" t="s">
        <v>50</v>
      </c>
      <c r="D14" s="419">
        <v>335.13</v>
      </c>
      <c r="E14" s="117">
        <v>332.67</v>
      </c>
      <c r="F14" s="117">
        <v>330.13</v>
      </c>
      <c r="G14" s="117">
        <v>327.64999999999998</v>
      </c>
      <c r="H14" s="117">
        <v>325.11</v>
      </c>
      <c r="I14" s="117">
        <v>322.58999999999997</v>
      </c>
      <c r="J14" s="117">
        <v>320.10000000000002</v>
      </c>
      <c r="K14" s="117">
        <v>317.60000000000002</v>
      </c>
      <c r="L14" s="117">
        <v>315.06</v>
      </c>
      <c r="M14" s="117">
        <v>312.52</v>
      </c>
      <c r="N14" s="117">
        <v>310.08999999999997</v>
      </c>
      <c r="O14" s="420">
        <v>307.69</v>
      </c>
      <c r="P14" s="140">
        <v>341.87</v>
      </c>
      <c r="Q14" s="141">
        <v>339.36</v>
      </c>
      <c r="R14" s="142">
        <v>336.77</v>
      </c>
      <c r="S14" s="143">
        <v>334.24</v>
      </c>
      <c r="T14" s="144">
        <v>331.65</v>
      </c>
      <c r="U14" s="145">
        <v>329.08</v>
      </c>
      <c r="V14" s="144">
        <v>326.54000000000002</v>
      </c>
      <c r="W14" s="145">
        <v>323.99</v>
      </c>
      <c r="X14" s="143">
        <v>321.39999999999998</v>
      </c>
      <c r="Y14" s="144">
        <v>318.81</v>
      </c>
      <c r="Z14" s="145">
        <v>316.33</v>
      </c>
      <c r="AA14" s="146">
        <v>313.88</v>
      </c>
      <c r="AB14" s="162">
        <v>358.97</v>
      </c>
      <c r="AC14" s="163">
        <v>356.33</v>
      </c>
      <c r="AD14" s="163">
        <v>353.61</v>
      </c>
      <c r="AE14" s="163">
        <v>350.95</v>
      </c>
      <c r="AF14" s="163">
        <v>348.24</v>
      </c>
      <c r="AG14" s="163">
        <v>345.53</v>
      </c>
      <c r="AH14" s="164">
        <v>342.87</v>
      </c>
      <c r="AI14" s="165">
        <v>340.19</v>
      </c>
      <c r="AJ14" s="163">
        <v>337.47</v>
      </c>
      <c r="AK14" s="163">
        <v>334.75</v>
      </c>
      <c r="AL14" s="163">
        <v>332.14</v>
      </c>
      <c r="AM14" s="166">
        <v>329.57</v>
      </c>
      <c r="AN14" s="147">
        <v>373.33</v>
      </c>
      <c r="AO14" s="148">
        <v>370.58</v>
      </c>
      <c r="AP14" s="148">
        <v>367.76</v>
      </c>
      <c r="AQ14" s="148">
        <v>364.99</v>
      </c>
      <c r="AR14" s="148">
        <v>362.16</v>
      </c>
      <c r="AS14" s="148">
        <v>359.36</v>
      </c>
      <c r="AT14" s="149">
        <v>356.58</v>
      </c>
      <c r="AU14" s="150">
        <v>353.8</v>
      </c>
      <c r="AV14" s="148">
        <v>350.96</v>
      </c>
      <c r="AW14" s="148">
        <v>348.15</v>
      </c>
      <c r="AX14" s="148">
        <v>345.42</v>
      </c>
      <c r="AY14" s="151">
        <v>342.75</v>
      </c>
      <c r="AZ14" s="152">
        <v>388.27</v>
      </c>
      <c r="BA14" s="153">
        <v>385.4</v>
      </c>
      <c r="BB14" s="153">
        <v>382.47</v>
      </c>
      <c r="BC14" s="153">
        <v>379.59</v>
      </c>
      <c r="BD14" s="153">
        <v>376.65</v>
      </c>
      <c r="BE14" s="153">
        <v>373.73</v>
      </c>
      <c r="BF14" s="154">
        <v>370.84</v>
      </c>
      <c r="BG14" s="155">
        <v>367.95</v>
      </c>
      <c r="BH14" s="153">
        <v>365</v>
      </c>
      <c r="BI14" s="153">
        <v>362.07</v>
      </c>
      <c r="BJ14" s="153">
        <v>359.23</v>
      </c>
      <c r="BK14" s="156">
        <v>356.46</v>
      </c>
    </row>
    <row r="15" spans="1:63" x14ac:dyDescent="0.25">
      <c r="A15" s="1013"/>
      <c r="B15" s="1015">
        <v>220</v>
      </c>
      <c r="C15" s="22" t="s">
        <v>51</v>
      </c>
      <c r="D15" s="419">
        <v>323.39</v>
      </c>
      <c r="E15" s="117">
        <v>320.94</v>
      </c>
      <c r="F15" s="117">
        <v>318.47000000000003</v>
      </c>
      <c r="G15" s="117">
        <v>316.02</v>
      </c>
      <c r="H15" s="117">
        <v>313.60000000000002</v>
      </c>
      <c r="I15" s="117">
        <v>311.17</v>
      </c>
      <c r="J15" s="117">
        <v>308.74</v>
      </c>
      <c r="K15" s="117">
        <v>306.27</v>
      </c>
      <c r="L15" s="117">
        <v>303.81</v>
      </c>
      <c r="M15" s="117">
        <v>301.37</v>
      </c>
      <c r="N15" s="117">
        <v>298.95999999999998</v>
      </c>
      <c r="O15" s="420">
        <v>296.51</v>
      </c>
      <c r="P15" s="118">
        <v>329.9</v>
      </c>
      <c r="Q15" s="119">
        <v>327.39999999999998</v>
      </c>
      <c r="R15" s="120">
        <v>324.88</v>
      </c>
      <c r="S15" s="121">
        <v>322.38</v>
      </c>
      <c r="T15" s="122">
        <v>319.91000000000003</v>
      </c>
      <c r="U15" s="123">
        <v>317.43</v>
      </c>
      <c r="V15" s="122">
        <v>314.95</v>
      </c>
      <c r="W15" s="123">
        <v>312.43</v>
      </c>
      <c r="X15" s="121">
        <v>309.92</v>
      </c>
      <c r="Y15" s="122">
        <v>307.43</v>
      </c>
      <c r="Z15" s="123">
        <v>304.97000000000003</v>
      </c>
      <c r="AA15" s="124">
        <v>302.48</v>
      </c>
      <c r="AB15" s="125">
        <v>346.39</v>
      </c>
      <c r="AC15" s="126">
        <v>343.77</v>
      </c>
      <c r="AD15" s="126">
        <v>341.12</v>
      </c>
      <c r="AE15" s="126">
        <v>338.5</v>
      </c>
      <c r="AF15" s="126">
        <v>335.9</v>
      </c>
      <c r="AG15" s="126">
        <v>333.3</v>
      </c>
      <c r="AH15" s="127">
        <v>330.7</v>
      </c>
      <c r="AI15" s="128">
        <v>328.05</v>
      </c>
      <c r="AJ15" s="126">
        <v>325.42</v>
      </c>
      <c r="AK15" s="126">
        <v>322.81</v>
      </c>
      <c r="AL15" s="126">
        <v>320.23</v>
      </c>
      <c r="AM15" s="129">
        <v>317.60000000000002</v>
      </c>
      <c r="AN15" s="130">
        <v>360.24</v>
      </c>
      <c r="AO15" s="131">
        <v>357.52</v>
      </c>
      <c r="AP15" s="131">
        <v>354.77</v>
      </c>
      <c r="AQ15" s="131">
        <v>352.03</v>
      </c>
      <c r="AR15" s="131">
        <v>349.34</v>
      </c>
      <c r="AS15" s="131">
        <v>346.64</v>
      </c>
      <c r="AT15" s="132">
        <v>343.93</v>
      </c>
      <c r="AU15" s="133">
        <v>341.17</v>
      </c>
      <c r="AV15" s="131">
        <v>338.43</v>
      </c>
      <c r="AW15" s="131">
        <v>335.72</v>
      </c>
      <c r="AX15" s="131">
        <v>333.04</v>
      </c>
      <c r="AY15" s="134">
        <v>330.3</v>
      </c>
      <c r="AZ15" s="135">
        <v>374.66</v>
      </c>
      <c r="BA15" s="136">
        <v>371.82</v>
      </c>
      <c r="BB15" s="136">
        <v>368.96</v>
      </c>
      <c r="BC15" s="136">
        <v>366.11</v>
      </c>
      <c r="BD15" s="136">
        <v>363.31</v>
      </c>
      <c r="BE15" s="136">
        <v>360.5</v>
      </c>
      <c r="BF15" s="137">
        <v>357.69</v>
      </c>
      <c r="BG15" s="138">
        <v>354.82</v>
      </c>
      <c r="BH15" s="136">
        <v>351.97</v>
      </c>
      <c r="BI15" s="136">
        <v>349.15</v>
      </c>
      <c r="BJ15" s="136">
        <v>346.36</v>
      </c>
      <c r="BK15" s="139">
        <v>343.51</v>
      </c>
    </row>
    <row r="16" spans="1:63" ht="15.75" thickBot="1" x14ac:dyDescent="0.3">
      <c r="A16" s="1013"/>
      <c r="B16" s="1016"/>
      <c r="C16" s="22" t="s">
        <v>52</v>
      </c>
      <c r="D16" s="419">
        <v>310.14999999999998</v>
      </c>
      <c r="E16" s="117">
        <v>307.8</v>
      </c>
      <c r="F16" s="117">
        <v>305.43</v>
      </c>
      <c r="G16" s="117">
        <v>303.08</v>
      </c>
      <c r="H16" s="117">
        <v>300.76</v>
      </c>
      <c r="I16" s="117">
        <v>298.42</v>
      </c>
      <c r="J16" s="117">
        <v>296.10000000000002</v>
      </c>
      <c r="K16" s="117">
        <v>293.73</v>
      </c>
      <c r="L16" s="117">
        <v>291.38</v>
      </c>
      <c r="M16" s="117">
        <v>289.02999999999997</v>
      </c>
      <c r="N16" s="117">
        <v>286.73</v>
      </c>
      <c r="O16" s="420">
        <v>284.37</v>
      </c>
      <c r="P16" s="187">
        <v>316.39</v>
      </c>
      <c r="Q16" s="188">
        <v>313.99</v>
      </c>
      <c r="R16" s="189">
        <v>311.57</v>
      </c>
      <c r="S16" s="190">
        <v>309.18</v>
      </c>
      <c r="T16" s="191">
        <v>306.81</v>
      </c>
      <c r="U16" s="192">
        <v>304.42</v>
      </c>
      <c r="V16" s="191">
        <v>302.06</v>
      </c>
      <c r="W16" s="192">
        <v>299.64</v>
      </c>
      <c r="X16" s="190">
        <v>297.24</v>
      </c>
      <c r="Y16" s="191">
        <v>294.83999999999997</v>
      </c>
      <c r="Z16" s="192">
        <v>292.5</v>
      </c>
      <c r="AA16" s="193">
        <v>290.08999999999997</v>
      </c>
      <c r="AB16" s="125">
        <v>332.21</v>
      </c>
      <c r="AC16" s="126">
        <v>329.69</v>
      </c>
      <c r="AD16" s="126">
        <v>327.14999999999998</v>
      </c>
      <c r="AE16" s="126">
        <v>324.63</v>
      </c>
      <c r="AF16" s="126">
        <v>322.14999999999998</v>
      </c>
      <c r="AG16" s="126">
        <v>319.64</v>
      </c>
      <c r="AH16" s="127">
        <v>317.16000000000003</v>
      </c>
      <c r="AI16" s="128">
        <v>314.62</v>
      </c>
      <c r="AJ16" s="126">
        <v>312.11</v>
      </c>
      <c r="AK16" s="126">
        <v>309.58999999999997</v>
      </c>
      <c r="AL16" s="126">
        <v>307.13</v>
      </c>
      <c r="AM16" s="129">
        <v>304.60000000000002</v>
      </c>
      <c r="AN16" s="167">
        <v>345.5</v>
      </c>
      <c r="AO16" s="168">
        <v>342.88</v>
      </c>
      <c r="AP16" s="168">
        <v>340.24</v>
      </c>
      <c r="AQ16" s="168">
        <v>337.62</v>
      </c>
      <c r="AR16" s="168">
        <v>335.04</v>
      </c>
      <c r="AS16" s="168">
        <v>332.43</v>
      </c>
      <c r="AT16" s="169">
        <v>329.86</v>
      </c>
      <c r="AU16" s="170">
        <v>327.20999999999998</v>
      </c>
      <c r="AV16" s="168">
        <v>324.58999999999997</v>
      </c>
      <c r="AW16" s="168">
        <v>321.97000000000003</v>
      </c>
      <c r="AX16" s="168">
        <v>319.41000000000003</v>
      </c>
      <c r="AY16" s="171">
        <v>316.77999999999997</v>
      </c>
      <c r="AZ16" s="152">
        <v>359.33</v>
      </c>
      <c r="BA16" s="153">
        <v>356.59</v>
      </c>
      <c r="BB16" s="153">
        <v>353.85</v>
      </c>
      <c r="BC16" s="153">
        <v>351.12</v>
      </c>
      <c r="BD16" s="153">
        <v>348.44</v>
      </c>
      <c r="BE16" s="153">
        <v>345.72</v>
      </c>
      <c r="BF16" s="154">
        <v>343.05</v>
      </c>
      <c r="BG16" s="155">
        <v>340.3</v>
      </c>
      <c r="BH16" s="153">
        <v>337.58</v>
      </c>
      <c r="BI16" s="153">
        <v>334.84</v>
      </c>
      <c r="BJ16" s="153">
        <v>332.18</v>
      </c>
      <c r="BK16" s="156">
        <v>329.45</v>
      </c>
    </row>
    <row r="17" spans="1:63" ht="15.75" thickBot="1" x14ac:dyDescent="0.3">
      <c r="A17" s="1013"/>
      <c r="B17" s="88">
        <v>717</v>
      </c>
      <c r="C17" s="24" t="s">
        <v>53</v>
      </c>
      <c r="D17" s="421">
        <v>301.57</v>
      </c>
      <c r="E17" s="201">
        <v>299.39999999999998</v>
      </c>
      <c r="F17" s="201">
        <v>297.08</v>
      </c>
      <c r="G17" s="201">
        <v>294.77999999999997</v>
      </c>
      <c r="H17" s="201">
        <v>292.51</v>
      </c>
      <c r="I17" s="201">
        <v>290.24</v>
      </c>
      <c r="J17" s="201">
        <v>288.05</v>
      </c>
      <c r="K17" s="201">
        <v>285.69</v>
      </c>
      <c r="L17" s="201">
        <v>283.51</v>
      </c>
      <c r="M17" s="201">
        <v>281.23</v>
      </c>
      <c r="N17" s="201">
        <v>278.94</v>
      </c>
      <c r="O17" s="422">
        <v>276.89999999999998</v>
      </c>
      <c r="P17" s="423">
        <v>307.64</v>
      </c>
      <c r="Q17" s="424">
        <v>305.42</v>
      </c>
      <c r="R17" s="425">
        <v>303.06</v>
      </c>
      <c r="S17" s="426">
        <v>300.70999999999998</v>
      </c>
      <c r="T17" s="427">
        <v>298.39</v>
      </c>
      <c r="U17" s="428">
        <v>296.08</v>
      </c>
      <c r="V17" s="427">
        <v>293.83999999999997</v>
      </c>
      <c r="W17" s="428">
        <v>291.44</v>
      </c>
      <c r="X17" s="426">
        <v>289.20999999999998</v>
      </c>
      <c r="Y17" s="427">
        <v>286.89</v>
      </c>
      <c r="Z17" s="428">
        <v>284.55</v>
      </c>
      <c r="AA17" s="429">
        <v>282.47000000000003</v>
      </c>
      <c r="AB17" s="209">
        <v>323.02</v>
      </c>
      <c r="AC17" s="210">
        <v>320.69</v>
      </c>
      <c r="AD17" s="210">
        <v>318.20999999999998</v>
      </c>
      <c r="AE17" s="210">
        <v>315.75</v>
      </c>
      <c r="AF17" s="210">
        <v>313.32</v>
      </c>
      <c r="AG17" s="210">
        <v>310.88</v>
      </c>
      <c r="AH17" s="211">
        <v>308.52999999999997</v>
      </c>
      <c r="AI17" s="212">
        <v>306</v>
      </c>
      <c r="AJ17" s="210">
        <v>303.68</v>
      </c>
      <c r="AK17" s="210">
        <v>301.23</v>
      </c>
      <c r="AL17" s="210">
        <v>298.77999999999997</v>
      </c>
      <c r="AM17" s="213">
        <v>296.60000000000002</v>
      </c>
      <c r="AN17" s="430">
        <v>335.95</v>
      </c>
      <c r="AO17" s="431">
        <v>333.52</v>
      </c>
      <c r="AP17" s="431">
        <v>330.94</v>
      </c>
      <c r="AQ17" s="431">
        <v>328.38</v>
      </c>
      <c r="AR17" s="431">
        <v>325.86</v>
      </c>
      <c r="AS17" s="431">
        <v>323.32</v>
      </c>
      <c r="AT17" s="432">
        <v>320.88</v>
      </c>
      <c r="AU17" s="433">
        <v>318.25</v>
      </c>
      <c r="AV17" s="431">
        <v>315.83</v>
      </c>
      <c r="AW17" s="431">
        <v>313.27999999999997</v>
      </c>
      <c r="AX17" s="431">
        <v>310.74</v>
      </c>
      <c r="AY17" s="434">
        <v>308.45999999999998</v>
      </c>
      <c r="AZ17" s="219">
        <v>349.38</v>
      </c>
      <c r="BA17" s="220">
        <v>346.86</v>
      </c>
      <c r="BB17" s="220">
        <v>344.18</v>
      </c>
      <c r="BC17" s="220">
        <v>341.52</v>
      </c>
      <c r="BD17" s="220">
        <v>338.89</v>
      </c>
      <c r="BE17" s="220">
        <v>336.25</v>
      </c>
      <c r="BF17" s="221">
        <v>333.71</v>
      </c>
      <c r="BG17" s="222">
        <v>330.98</v>
      </c>
      <c r="BH17" s="220">
        <v>328.46</v>
      </c>
      <c r="BI17" s="220">
        <v>325.81</v>
      </c>
      <c r="BJ17" s="220">
        <v>323.16000000000003</v>
      </c>
      <c r="BK17" s="223">
        <v>320.81</v>
      </c>
    </row>
    <row r="18" spans="1:63" ht="15.75" thickBot="1" x14ac:dyDescent="0.3">
      <c r="A18" s="1011" t="s">
        <v>62</v>
      </c>
      <c r="B18" s="54">
        <v>350</v>
      </c>
      <c r="C18" s="51" t="s">
        <v>39</v>
      </c>
      <c r="D18" s="435">
        <v>285.22000000000003</v>
      </c>
      <c r="E18" s="436">
        <v>282.62</v>
      </c>
      <c r="F18" s="436">
        <v>280.11</v>
      </c>
      <c r="G18" s="436">
        <v>276.36</v>
      </c>
      <c r="H18" s="436">
        <v>273.38</v>
      </c>
      <c r="I18" s="436">
        <v>267.25</v>
      </c>
      <c r="J18" s="436">
        <v>260.02</v>
      </c>
      <c r="K18" s="436">
        <v>253.59</v>
      </c>
      <c r="L18" s="436">
        <v>247.68</v>
      </c>
      <c r="M18" s="436">
        <v>241.82</v>
      </c>
      <c r="N18" s="436">
        <v>206.65</v>
      </c>
      <c r="O18" s="437">
        <v>108.34</v>
      </c>
      <c r="P18" s="225">
        <v>290.95999999999998</v>
      </c>
      <c r="Q18" s="226">
        <v>288.31</v>
      </c>
      <c r="R18" s="226">
        <v>285.75</v>
      </c>
      <c r="S18" s="227">
        <v>281.92</v>
      </c>
      <c r="T18" s="228">
        <v>278.88</v>
      </c>
      <c r="U18" s="229">
        <v>272.63</v>
      </c>
      <c r="V18" s="230">
        <v>265.25</v>
      </c>
      <c r="W18" s="231">
        <v>258.69</v>
      </c>
      <c r="X18" s="232">
        <v>252.66</v>
      </c>
      <c r="Y18" s="226">
        <v>246.68</v>
      </c>
      <c r="Z18" s="226">
        <v>210.81</v>
      </c>
      <c r="AA18" s="233">
        <v>110.52</v>
      </c>
      <c r="AB18" s="438">
        <v>305.5</v>
      </c>
      <c r="AC18" s="439">
        <v>302.72000000000003</v>
      </c>
      <c r="AD18" s="440">
        <v>300.04000000000002</v>
      </c>
      <c r="AE18" s="441">
        <v>296.02</v>
      </c>
      <c r="AF18" s="442">
        <v>292.82</v>
      </c>
      <c r="AG18" s="443">
        <v>286.26</v>
      </c>
      <c r="AH18" s="439">
        <v>278.51</v>
      </c>
      <c r="AI18" s="440">
        <v>271.63</v>
      </c>
      <c r="AJ18" s="441">
        <v>265.29000000000002</v>
      </c>
      <c r="AK18" s="441">
        <v>259.02</v>
      </c>
      <c r="AL18" s="441">
        <v>221.35</v>
      </c>
      <c r="AM18" s="444">
        <v>116.05</v>
      </c>
      <c r="AN18" s="241">
        <v>317.73</v>
      </c>
      <c r="AO18" s="242">
        <v>314.83</v>
      </c>
      <c r="AP18" s="243">
        <v>312.02999999999997</v>
      </c>
      <c r="AQ18" s="244">
        <v>307.86</v>
      </c>
      <c r="AR18" s="243">
        <v>304.54000000000002</v>
      </c>
      <c r="AS18" s="244">
        <v>297.7</v>
      </c>
      <c r="AT18" s="245">
        <v>289.64999999999998</v>
      </c>
      <c r="AU18" s="246">
        <v>282.49</v>
      </c>
      <c r="AV18" s="247">
        <v>275.89999999999998</v>
      </c>
      <c r="AW18" s="242">
        <v>269.38</v>
      </c>
      <c r="AX18" s="243">
        <v>230.2</v>
      </c>
      <c r="AY18" s="248">
        <v>120.69</v>
      </c>
      <c r="AZ18" s="249">
        <v>330.44</v>
      </c>
      <c r="BA18" s="250">
        <v>327.42</v>
      </c>
      <c r="BB18" s="251">
        <v>324.52</v>
      </c>
      <c r="BC18" s="252">
        <v>320.17</v>
      </c>
      <c r="BD18" s="252">
        <v>316.72000000000003</v>
      </c>
      <c r="BE18" s="252">
        <v>309.61</v>
      </c>
      <c r="BF18" s="253">
        <v>301.24</v>
      </c>
      <c r="BG18" s="254">
        <v>293.79000000000002</v>
      </c>
      <c r="BH18" s="252">
        <v>286.94</v>
      </c>
      <c r="BI18" s="252">
        <v>280.14999999999998</v>
      </c>
      <c r="BJ18" s="252">
        <v>239.41</v>
      </c>
      <c r="BK18" s="255">
        <v>125.52</v>
      </c>
    </row>
    <row r="19" spans="1:63" ht="15.75" thickBot="1" x14ac:dyDescent="0.3">
      <c r="A19" s="1014"/>
      <c r="B19" s="54">
        <v>330</v>
      </c>
      <c r="C19" s="22" t="s">
        <v>41</v>
      </c>
      <c r="D19" s="419">
        <v>285.22000000000003</v>
      </c>
      <c r="E19" s="117">
        <v>282.62</v>
      </c>
      <c r="F19" s="117">
        <v>280.11</v>
      </c>
      <c r="G19" s="117">
        <v>276.36</v>
      </c>
      <c r="H19" s="117">
        <v>273.38</v>
      </c>
      <c r="I19" s="117">
        <v>267.25</v>
      </c>
      <c r="J19" s="117">
        <v>260.02</v>
      </c>
      <c r="K19" s="117">
        <v>253.59</v>
      </c>
      <c r="L19" s="117">
        <v>247.68</v>
      </c>
      <c r="M19" s="117">
        <v>241.82</v>
      </c>
      <c r="N19" s="117">
        <v>206.65</v>
      </c>
      <c r="O19" s="445">
        <v>108.34</v>
      </c>
      <c r="P19" s="316">
        <v>290.95999999999998</v>
      </c>
      <c r="Q19" s="317">
        <v>288.31</v>
      </c>
      <c r="R19" s="317">
        <v>285.75</v>
      </c>
      <c r="S19" s="318">
        <v>281.92</v>
      </c>
      <c r="T19" s="319">
        <v>278.88</v>
      </c>
      <c r="U19" s="320">
        <v>272.63</v>
      </c>
      <c r="V19" s="321">
        <v>265.25</v>
      </c>
      <c r="W19" s="322">
        <v>258.69</v>
      </c>
      <c r="X19" s="323">
        <v>252.66</v>
      </c>
      <c r="Y19" s="317">
        <v>246.68</v>
      </c>
      <c r="Z19" s="317">
        <v>210.81</v>
      </c>
      <c r="AA19" s="324">
        <v>110.52</v>
      </c>
      <c r="AB19" s="267">
        <v>305.5</v>
      </c>
      <c r="AC19" s="268">
        <v>302.72000000000003</v>
      </c>
      <c r="AD19" s="269">
        <v>300.04000000000002</v>
      </c>
      <c r="AE19" s="270">
        <v>296.02</v>
      </c>
      <c r="AF19" s="271">
        <v>292.82</v>
      </c>
      <c r="AG19" s="272">
        <v>286.26</v>
      </c>
      <c r="AH19" s="268">
        <v>278.51</v>
      </c>
      <c r="AI19" s="269">
        <v>271.63</v>
      </c>
      <c r="AJ19" s="270">
        <v>265.29000000000002</v>
      </c>
      <c r="AK19" s="270">
        <v>259.02</v>
      </c>
      <c r="AL19" s="270">
        <v>221.35</v>
      </c>
      <c r="AM19" s="273">
        <v>116.05</v>
      </c>
      <c r="AN19" s="325">
        <v>317.73</v>
      </c>
      <c r="AO19" s="326">
        <v>314.83</v>
      </c>
      <c r="AP19" s="327">
        <v>312.02999999999997</v>
      </c>
      <c r="AQ19" s="328">
        <v>307.86</v>
      </c>
      <c r="AR19" s="327">
        <v>304.54000000000002</v>
      </c>
      <c r="AS19" s="328">
        <v>297.7</v>
      </c>
      <c r="AT19" s="329">
        <v>289.64999999999998</v>
      </c>
      <c r="AU19" s="330">
        <v>282.49</v>
      </c>
      <c r="AV19" s="331">
        <v>275.89999999999998</v>
      </c>
      <c r="AW19" s="326">
        <v>269.38</v>
      </c>
      <c r="AX19" s="327">
        <v>230.2</v>
      </c>
      <c r="AY19" s="332">
        <v>120.69</v>
      </c>
      <c r="AZ19" s="282">
        <v>330.44</v>
      </c>
      <c r="BA19" s="283">
        <v>327.42</v>
      </c>
      <c r="BB19" s="284">
        <v>324.52</v>
      </c>
      <c r="BC19" s="285">
        <v>320.17</v>
      </c>
      <c r="BD19" s="285">
        <v>316.72000000000003</v>
      </c>
      <c r="BE19" s="285">
        <v>309.61</v>
      </c>
      <c r="BF19" s="286">
        <v>301.24</v>
      </c>
      <c r="BG19" s="287">
        <v>293.79000000000002</v>
      </c>
      <c r="BH19" s="285">
        <v>286.94</v>
      </c>
      <c r="BI19" s="285">
        <v>280.14999999999998</v>
      </c>
      <c r="BJ19" s="285">
        <v>239.41</v>
      </c>
      <c r="BK19" s="288">
        <v>125.52</v>
      </c>
    </row>
    <row r="20" spans="1:63" ht="15.75" thickBot="1" x14ac:dyDescent="0.3">
      <c r="A20" s="1014"/>
      <c r="B20" s="54" t="s">
        <v>63</v>
      </c>
      <c r="C20" s="22" t="s">
        <v>42</v>
      </c>
      <c r="D20" s="419">
        <v>285.22000000000003</v>
      </c>
      <c r="E20" s="117">
        <v>282.62</v>
      </c>
      <c r="F20" s="117">
        <v>280.11</v>
      </c>
      <c r="G20" s="117">
        <v>276.36</v>
      </c>
      <c r="H20" s="117">
        <v>273.38</v>
      </c>
      <c r="I20" s="117">
        <v>267.25</v>
      </c>
      <c r="J20" s="117">
        <v>260.02</v>
      </c>
      <c r="K20" s="117">
        <v>253.59</v>
      </c>
      <c r="L20" s="117">
        <v>247.68</v>
      </c>
      <c r="M20" s="117">
        <v>241.82</v>
      </c>
      <c r="N20" s="117">
        <v>206.65</v>
      </c>
      <c r="O20" s="445">
        <v>108.34</v>
      </c>
      <c r="P20" s="258">
        <v>290.95999999999998</v>
      </c>
      <c r="Q20" s="259">
        <v>288.31</v>
      </c>
      <c r="R20" s="259">
        <v>285.75</v>
      </c>
      <c r="S20" s="260">
        <v>281.92</v>
      </c>
      <c r="T20" s="261">
        <v>278.88</v>
      </c>
      <c r="U20" s="262">
        <v>272.63</v>
      </c>
      <c r="V20" s="263">
        <v>265.25</v>
      </c>
      <c r="W20" s="264">
        <v>258.69</v>
      </c>
      <c r="X20" s="265">
        <v>252.66</v>
      </c>
      <c r="Y20" s="259">
        <v>246.68</v>
      </c>
      <c r="Z20" s="259">
        <v>210.81</v>
      </c>
      <c r="AA20" s="266">
        <v>110.52</v>
      </c>
      <c r="AB20" s="300">
        <v>305.5</v>
      </c>
      <c r="AC20" s="301">
        <v>302.72000000000003</v>
      </c>
      <c r="AD20" s="302">
        <v>300.04000000000002</v>
      </c>
      <c r="AE20" s="303">
        <v>296.02</v>
      </c>
      <c r="AF20" s="304">
        <v>292.82</v>
      </c>
      <c r="AG20" s="305">
        <v>286.26</v>
      </c>
      <c r="AH20" s="301">
        <v>278.51</v>
      </c>
      <c r="AI20" s="302">
        <v>271.63</v>
      </c>
      <c r="AJ20" s="303">
        <v>265.29000000000002</v>
      </c>
      <c r="AK20" s="303">
        <v>259.02</v>
      </c>
      <c r="AL20" s="303">
        <v>221.35</v>
      </c>
      <c r="AM20" s="306">
        <v>116.05</v>
      </c>
      <c r="AN20" s="274">
        <v>317.73</v>
      </c>
      <c r="AO20" s="275">
        <v>314.83</v>
      </c>
      <c r="AP20" s="276">
        <v>312.02999999999997</v>
      </c>
      <c r="AQ20" s="277">
        <v>307.86</v>
      </c>
      <c r="AR20" s="276">
        <v>304.54000000000002</v>
      </c>
      <c r="AS20" s="277">
        <v>297.7</v>
      </c>
      <c r="AT20" s="278">
        <v>289.64999999999998</v>
      </c>
      <c r="AU20" s="279">
        <v>282.49</v>
      </c>
      <c r="AV20" s="280">
        <v>275.89999999999998</v>
      </c>
      <c r="AW20" s="275">
        <v>269.38</v>
      </c>
      <c r="AX20" s="276">
        <v>230.2</v>
      </c>
      <c r="AY20" s="281">
        <v>120.69</v>
      </c>
      <c r="AZ20" s="282">
        <v>330.44</v>
      </c>
      <c r="BA20" s="283">
        <v>327.42</v>
      </c>
      <c r="BB20" s="284">
        <v>324.52</v>
      </c>
      <c r="BC20" s="285">
        <v>320.17</v>
      </c>
      <c r="BD20" s="285">
        <v>316.72000000000003</v>
      </c>
      <c r="BE20" s="285">
        <v>309.61</v>
      </c>
      <c r="BF20" s="286">
        <v>301.24</v>
      </c>
      <c r="BG20" s="287">
        <v>293.79000000000002</v>
      </c>
      <c r="BH20" s="285">
        <v>286.94</v>
      </c>
      <c r="BI20" s="285">
        <v>280.14999999999998</v>
      </c>
      <c r="BJ20" s="285">
        <v>239.41</v>
      </c>
      <c r="BK20" s="288">
        <v>125.52</v>
      </c>
    </row>
    <row r="21" spans="1:63" x14ac:dyDescent="0.25">
      <c r="A21" s="1014"/>
      <c r="B21" s="1011">
        <v>757</v>
      </c>
      <c r="C21" s="22" t="s">
        <v>43</v>
      </c>
      <c r="D21" s="446">
        <v>238.71</v>
      </c>
      <c r="E21" s="256">
        <v>235.93</v>
      </c>
      <c r="F21" s="256">
        <v>233.07</v>
      </c>
      <c r="G21" s="256">
        <v>229.26</v>
      </c>
      <c r="H21" s="256">
        <v>226.96</v>
      </c>
      <c r="I21" s="256">
        <v>221.76</v>
      </c>
      <c r="J21" s="256">
        <v>215.81</v>
      </c>
      <c r="K21" s="256">
        <v>210.54</v>
      </c>
      <c r="L21" s="256">
        <v>205.51</v>
      </c>
      <c r="M21" s="256">
        <v>200.62</v>
      </c>
      <c r="N21" s="256">
        <v>171.44</v>
      </c>
      <c r="O21" s="447">
        <v>108.34</v>
      </c>
      <c r="P21" s="258">
        <v>243.51</v>
      </c>
      <c r="Q21" s="259">
        <v>240.68</v>
      </c>
      <c r="R21" s="259">
        <v>237.76</v>
      </c>
      <c r="S21" s="260">
        <v>233.87</v>
      </c>
      <c r="T21" s="261">
        <v>231.53</v>
      </c>
      <c r="U21" s="333">
        <v>226.22</v>
      </c>
      <c r="V21" s="334">
        <v>220.15</v>
      </c>
      <c r="W21" s="264">
        <v>214.78</v>
      </c>
      <c r="X21" s="265">
        <v>209.64</v>
      </c>
      <c r="Y21" s="259">
        <v>204.66</v>
      </c>
      <c r="Z21" s="259">
        <v>174.89</v>
      </c>
      <c r="AA21" s="266">
        <v>110.52</v>
      </c>
      <c r="AB21" s="267">
        <v>255.69</v>
      </c>
      <c r="AC21" s="268">
        <v>252.71</v>
      </c>
      <c r="AD21" s="269">
        <v>249.64</v>
      </c>
      <c r="AE21" s="270">
        <v>245.56</v>
      </c>
      <c r="AF21" s="271">
        <v>243.1</v>
      </c>
      <c r="AG21" s="272">
        <v>237.53</v>
      </c>
      <c r="AH21" s="268">
        <v>231.16</v>
      </c>
      <c r="AI21" s="269">
        <v>225.52</v>
      </c>
      <c r="AJ21" s="270">
        <v>220.13</v>
      </c>
      <c r="AK21" s="270">
        <v>214.89</v>
      </c>
      <c r="AL21" s="270">
        <v>183.63</v>
      </c>
      <c r="AM21" s="273">
        <v>116.05</v>
      </c>
      <c r="AN21" s="274">
        <v>265.92</v>
      </c>
      <c r="AO21" s="275">
        <v>262.82</v>
      </c>
      <c r="AP21" s="276">
        <v>259.63</v>
      </c>
      <c r="AQ21" s="277">
        <v>255.39</v>
      </c>
      <c r="AR21" s="276">
        <v>252.83</v>
      </c>
      <c r="AS21" s="277">
        <v>247.03</v>
      </c>
      <c r="AT21" s="278">
        <v>240.4</v>
      </c>
      <c r="AU21" s="279">
        <v>234.54</v>
      </c>
      <c r="AV21" s="280">
        <v>228.93</v>
      </c>
      <c r="AW21" s="275">
        <v>223.49</v>
      </c>
      <c r="AX21" s="276">
        <v>190.98</v>
      </c>
      <c r="AY21" s="281">
        <v>120.69</v>
      </c>
      <c r="AZ21" s="282">
        <v>276.56</v>
      </c>
      <c r="BA21" s="283">
        <v>273.33999999999997</v>
      </c>
      <c r="BB21" s="335" t="s">
        <v>94</v>
      </c>
      <c r="BC21" s="285">
        <v>265.60000000000002</v>
      </c>
      <c r="BD21" s="285">
        <v>262.94</v>
      </c>
      <c r="BE21" s="285">
        <v>256.92</v>
      </c>
      <c r="BF21" s="286">
        <v>250.02</v>
      </c>
      <c r="BG21" s="287">
        <v>243.92</v>
      </c>
      <c r="BH21" s="285">
        <v>238.1</v>
      </c>
      <c r="BI21" s="285">
        <v>232.42</v>
      </c>
      <c r="BJ21" s="285">
        <v>198.62</v>
      </c>
      <c r="BK21" s="288">
        <v>125.52</v>
      </c>
    </row>
    <row r="22" spans="1:63" x14ac:dyDescent="0.25">
      <c r="A22" s="1014"/>
      <c r="B22" s="1014"/>
      <c r="C22" s="22" t="s">
        <v>44</v>
      </c>
      <c r="D22" s="448">
        <v>238.71</v>
      </c>
      <c r="E22" s="289">
        <v>235.93</v>
      </c>
      <c r="F22" s="289">
        <v>233.07</v>
      </c>
      <c r="G22" s="289">
        <v>229.26</v>
      </c>
      <c r="H22" s="289">
        <v>226.96</v>
      </c>
      <c r="I22" s="289">
        <v>221.76</v>
      </c>
      <c r="J22" s="289">
        <v>215.81</v>
      </c>
      <c r="K22" s="289">
        <v>210.54</v>
      </c>
      <c r="L22" s="289">
        <v>205.51</v>
      </c>
      <c r="M22" s="289">
        <v>200.62</v>
      </c>
      <c r="N22" s="290">
        <v>171.44</v>
      </c>
      <c r="O22" s="449">
        <v>108.34</v>
      </c>
      <c r="P22" s="291">
        <v>243.51</v>
      </c>
      <c r="Q22" s="292">
        <v>240.68</v>
      </c>
      <c r="R22" s="292">
        <v>237.76</v>
      </c>
      <c r="S22" s="293">
        <v>233.87</v>
      </c>
      <c r="T22" s="336">
        <v>231.53</v>
      </c>
      <c r="U22" s="337">
        <v>226.22</v>
      </c>
      <c r="V22" s="338">
        <v>220.15</v>
      </c>
      <c r="W22" s="339">
        <v>214.78</v>
      </c>
      <c r="X22" s="340">
        <v>209.64</v>
      </c>
      <c r="Y22" s="121">
        <v>204.66</v>
      </c>
      <c r="Z22" s="121">
        <v>174.89</v>
      </c>
      <c r="AA22" s="124">
        <v>110.52</v>
      </c>
      <c r="AB22" s="300">
        <v>255.69</v>
      </c>
      <c r="AC22" s="301">
        <v>252.71</v>
      </c>
      <c r="AD22" s="302">
        <v>249.64</v>
      </c>
      <c r="AE22" s="303">
        <v>245.56</v>
      </c>
      <c r="AF22" s="304">
        <v>243.1</v>
      </c>
      <c r="AG22" s="305">
        <v>237.53</v>
      </c>
      <c r="AH22" s="301">
        <v>231.16</v>
      </c>
      <c r="AI22" s="302">
        <v>225.52</v>
      </c>
      <c r="AJ22" s="303">
        <v>220.13</v>
      </c>
      <c r="AK22" s="303">
        <v>214.89</v>
      </c>
      <c r="AL22" s="303">
        <v>183.63</v>
      </c>
      <c r="AM22" s="306">
        <v>116.05</v>
      </c>
      <c r="AN22" s="274">
        <v>265.92</v>
      </c>
      <c r="AO22" s="275">
        <v>262.82</v>
      </c>
      <c r="AP22" s="276">
        <v>259.63</v>
      </c>
      <c r="AQ22" s="277">
        <v>255.39</v>
      </c>
      <c r="AR22" s="276">
        <v>252.83</v>
      </c>
      <c r="AS22" s="277">
        <v>247.03</v>
      </c>
      <c r="AT22" s="278">
        <v>240.4</v>
      </c>
      <c r="AU22" s="279">
        <v>234.54</v>
      </c>
      <c r="AV22" s="280">
        <v>228.93</v>
      </c>
      <c r="AW22" s="275">
        <v>223.49</v>
      </c>
      <c r="AX22" s="276">
        <v>190.98</v>
      </c>
      <c r="AY22" s="281">
        <v>120.69</v>
      </c>
      <c r="AZ22" s="282">
        <v>276.56</v>
      </c>
      <c r="BA22" s="283">
        <v>273.33999999999997</v>
      </c>
      <c r="BB22" s="335" t="s">
        <v>94</v>
      </c>
      <c r="BC22" s="285">
        <v>265.60000000000002</v>
      </c>
      <c r="BD22" s="285">
        <v>262.94</v>
      </c>
      <c r="BE22" s="285">
        <v>256.92</v>
      </c>
      <c r="BF22" s="286">
        <v>250.02</v>
      </c>
      <c r="BG22" s="287">
        <v>243.92</v>
      </c>
      <c r="BH22" s="285">
        <v>238.1</v>
      </c>
      <c r="BI22" s="285">
        <v>232.42</v>
      </c>
      <c r="BJ22" s="285">
        <v>198.62</v>
      </c>
      <c r="BK22" s="288">
        <v>125.52</v>
      </c>
    </row>
    <row r="23" spans="1:63" ht="15.75" thickBot="1" x14ac:dyDescent="0.3">
      <c r="A23" s="1014"/>
      <c r="B23" s="1012"/>
      <c r="C23" s="22" t="s">
        <v>45</v>
      </c>
      <c r="D23" s="419">
        <v>238.71</v>
      </c>
      <c r="E23" s="117">
        <v>235.93</v>
      </c>
      <c r="F23" s="117">
        <v>233.07</v>
      </c>
      <c r="G23" s="117">
        <v>229.26</v>
      </c>
      <c r="H23" s="117">
        <v>226.96</v>
      </c>
      <c r="I23" s="117">
        <v>221.76</v>
      </c>
      <c r="J23" s="117">
        <v>215.81</v>
      </c>
      <c r="K23" s="117">
        <v>210.54</v>
      </c>
      <c r="L23" s="117">
        <v>205.51</v>
      </c>
      <c r="M23" s="117">
        <v>200.62</v>
      </c>
      <c r="N23" s="315">
        <v>171.44</v>
      </c>
      <c r="O23" s="445">
        <v>108.34</v>
      </c>
      <c r="P23" s="316">
        <v>243.51</v>
      </c>
      <c r="Q23" s="317">
        <v>240.68</v>
      </c>
      <c r="R23" s="317">
        <v>237.76</v>
      </c>
      <c r="S23" s="318">
        <v>233.87</v>
      </c>
      <c r="T23" s="341">
        <v>231.53</v>
      </c>
      <c r="U23" s="342">
        <v>226.22</v>
      </c>
      <c r="V23" s="343">
        <v>220.15</v>
      </c>
      <c r="W23" s="344">
        <v>214.78</v>
      </c>
      <c r="X23" s="345">
        <v>209.64</v>
      </c>
      <c r="Y23" s="143">
        <v>204.66</v>
      </c>
      <c r="Z23" s="143">
        <v>174.89</v>
      </c>
      <c r="AA23" s="146">
        <v>110.52</v>
      </c>
      <c r="AB23" s="267">
        <v>255.69</v>
      </c>
      <c r="AC23" s="268">
        <v>252.71</v>
      </c>
      <c r="AD23" s="269">
        <v>249.64</v>
      </c>
      <c r="AE23" s="270">
        <v>245.56</v>
      </c>
      <c r="AF23" s="271">
        <v>243.1</v>
      </c>
      <c r="AG23" s="272">
        <v>237.53</v>
      </c>
      <c r="AH23" s="268">
        <v>231.16</v>
      </c>
      <c r="AI23" s="269">
        <v>225.52</v>
      </c>
      <c r="AJ23" s="270">
        <v>220.13</v>
      </c>
      <c r="AK23" s="270">
        <v>214.89</v>
      </c>
      <c r="AL23" s="270">
        <v>183.63</v>
      </c>
      <c r="AM23" s="273">
        <v>116.05</v>
      </c>
      <c r="AN23" s="274">
        <v>265.92</v>
      </c>
      <c r="AO23" s="275">
        <v>262.82</v>
      </c>
      <c r="AP23" s="276">
        <v>259.63</v>
      </c>
      <c r="AQ23" s="277">
        <v>255.39</v>
      </c>
      <c r="AR23" s="276">
        <v>252.83</v>
      </c>
      <c r="AS23" s="277">
        <v>247.03</v>
      </c>
      <c r="AT23" s="278">
        <v>240.4</v>
      </c>
      <c r="AU23" s="279">
        <v>234.54</v>
      </c>
      <c r="AV23" s="280">
        <v>228.93</v>
      </c>
      <c r="AW23" s="275">
        <v>223.49</v>
      </c>
      <c r="AX23" s="276">
        <v>190.98</v>
      </c>
      <c r="AY23" s="281">
        <v>120.69</v>
      </c>
      <c r="AZ23" s="346">
        <v>276.56</v>
      </c>
      <c r="BA23" s="347">
        <v>273.33999999999997</v>
      </c>
      <c r="BB23" s="348">
        <v>270.01</v>
      </c>
      <c r="BC23" s="349">
        <v>265.60000000000002</v>
      </c>
      <c r="BD23" s="349">
        <v>262.94</v>
      </c>
      <c r="BE23" s="349">
        <v>256.92</v>
      </c>
      <c r="BF23" s="350">
        <v>250.02</v>
      </c>
      <c r="BG23" s="351">
        <v>243.92</v>
      </c>
      <c r="BH23" s="349">
        <v>238.1</v>
      </c>
      <c r="BI23" s="349">
        <v>232.42</v>
      </c>
      <c r="BJ23" s="349">
        <v>198.62</v>
      </c>
      <c r="BK23" s="352">
        <v>125.52</v>
      </c>
    </row>
    <row r="24" spans="1:63" x14ac:dyDescent="0.25">
      <c r="A24" s="1014"/>
      <c r="B24" s="1011">
        <v>737</v>
      </c>
      <c r="C24" s="22" t="s">
        <v>47</v>
      </c>
      <c r="D24" s="446">
        <v>230.1</v>
      </c>
      <c r="E24" s="256">
        <v>227.98</v>
      </c>
      <c r="F24" s="256">
        <v>225.91</v>
      </c>
      <c r="G24" s="256">
        <v>222.88</v>
      </c>
      <c r="H24" s="256">
        <v>220.51</v>
      </c>
      <c r="I24" s="256">
        <v>215.54</v>
      </c>
      <c r="J24" s="256">
        <v>209.67</v>
      </c>
      <c r="K24" s="256">
        <v>204.47</v>
      </c>
      <c r="L24" s="257">
        <v>199.67</v>
      </c>
      <c r="M24" s="256">
        <v>194.95</v>
      </c>
      <c r="N24" s="257">
        <v>166.6</v>
      </c>
      <c r="O24" s="450">
        <v>108.34</v>
      </c>
      <c r="P24" s="258">
        <v>234.73</v>
      </c>
      <c r="Q24" s="259">
        <v>232.57</v>
      </c>
      <c r="R24" s="259">
        <v>230.45</v>
      </c>
      <c r="S24" s="260">
        <v>227.36</v>
      </c>
      <c r="T24" s="261">
        <v>224.95</v>
      </c>
      <c r="U24" s="353">
        <v>219.88</v>
      </c>
      <c r="V24" s="259">
        <v>213.89</v>
      </c>
      <c r="W24" s="264">
        <v>208.58</v>
      </c>
      <c r="X24" s="265">
        <v>203.69</v>
      </c>
      <c r="Y24" s="259">
        <v>198.87</v>
      </c>
      <c r="Z24" s="259">
        <v>169.95</v>
      </c>
      <c r="AA24" s="266">
        <v>110.52</v>
      </c>
      <c r="AB24" s="267">
        <v>246.47</v>
      </c>
      <c r="AC24" s="268">
        <v>244.2</v>
      </c>
      <c r="AD24" s="269">
        <v>241.98</v>
      </c>
      <c r="AE24" s="270">
        <v>238.73</v>
      </c>
      <c r="AF24" s="271">
        <v>236.2</v>
      </c>
      <c r="AG24" s="272">
        <v>230.87</v>
      </c>
      <c r="AH24" s="268">
        <v>224.58</v>
      </c>
      <c r="AI24" s="269">
        <v>219.01</v>
      </c>
      <c r="AJ24" s="270">
        <v>213.87</v>
      </c>
      <c r="AK24" s="270">
        <v>208.82</v>
      </c>
      <c r="AL24" s="270">
        <v>178.45</v>
      </c>
      <c r="AM24" s="273">
        <v>116.05</v>
      </c>
      <c r="AN24" s="274">
        <v>256.33</v>
      </c>
      <c r="AO24" s="275">
        <v>253.97</v>
      </c>
      <c r="AP24" s="276">
        <v>251.66</v>
      </c>
      <c r="AQ24" s="277">
        <v>248.28</v>
      </c>
      <c r="AR24" s="276">
        <v>245.64</v>
      </c>
      <c r="AS24" s="277">
        <v>240.11</v>
      </c>
      <c r="AT24" s="278">
        <v>233.57</v>
      </c>
      <c r="AU24" s="279">
        <v>227.77</v>
      </c>
      <c r="AV24" s="280">
        <v>222.43</v>
      </c>
      <c r="AW24" s="275">
        <v>217.17</v>
      </c>
      <c r="AX24" s="276">
        <v>185.59</v>
      </c>
      <c r="AY24" s="281">
        <v>120.69</v>
      </c>
      <c r="AZ24" s="282">
        <v>266.58</v>
      </c>
      <c r="BA24" s="283">
        <v>264.13</v>
      </c>
      <c r="BB24" s="284">
        <v>261.73</v>
      </c>
      <c r="BC24" s="285">
        <v>258.20999999999998</v>
      </c>
      <c r="BD24" s="285">
        <v>255.47</v>
      </c>
      <c r="BE24" s="285">
        <v>249.7</v>
      </c>
      <c r="BF24" s="286">
        <v>242.91</v>
      </c>
      <c r="BG24" s="287">
        <v>236.88</v>
      </c>
      <c r="BH24" s="285">
        <v>231.32</v>
      </c>
      <c r="BI24" s="285">
        <v>225.86</v>
      </c>
      <c r="BJ24" s="285">
        <v>193.02</v>
      </c>
      <c r="BK24" s="288">
        <v>125.52</v>
      </c>
    </row>
    <row r="25" spans="1:63" ht="15.75" thickBot="1" x14ac:dyDescent="0.3">
      <c r="A25" s="1014"/>
      <c r="B25" s="1012"/>
      <c r="C25" s="22" t="s">
        <v>69</v>
      </c>
      <c r="D25" s="419">
        <v>228.9</v>
      </c>
      <c r="E25" s="117">
        <v>226.87</v>
      </c>
      <c r="F25" s="117">
        <v>224.8</v>
      </c>
      <c r="G25" s="117">
        <v>221.8</v>
      </c>
      <c r="H25" s="117">
        <v>219.46</v>
      </c>
      <c r="I25" s="117">
        <v>214.5</v>
      </c>
      <c r="J25" s="117">
        <v>208.68</v>
      </c>
      <c r="K25" s="117">
        <v>203.59</v>
      </c>
      <c r="L25" s="315">
        <v>198.81</v>
      </c>
      <c r="M25" s="117">
        <v>194.09</v>
      </c>
      <c r="N25" s="315">
        <v>165.91</v>
      </c>
      <c r="O25" s="420">
        <v>108.34</v>
      </c>
      <c r="P25" s="316">
        <v>233.5</v>
      </c>
      <c r="Q25" s="317">
        <v>231.43</v>
      </c>
      <c r="R25" s="317">
        <v>229.32</v>
      </c>
      <c r="S25" s="318">
        <v>226.26</v>
      </c>
      <c r="T25" s="319">
        <v>223.88</v>
      </c>
      <c r="U25" s="362">
        <v>218.82</v>
      </c>
      <c r="V25" s="317">
        <v>212.88</v>
      </c>
      <c r="W25" s="322">
        <v>207.69</v>
      </c>
      <c r="X25" s="323">
        <v>202.81</v>
      </c>
      <c r="Y25" s="317">
        <v>197.99</v>
      </c>
      <c r="Z25" s="317">
        <v>169.25</v>
      </c>
      <c r="AA25" s="324">
        <v>110.52</v>
      </c>
      <c r="AB25" s="267">
        <v>245.19</v>
      </c>
      <c r="AC25" s="268">
        <v>243</v>
      </c>
      <c r="AD25" s="269">
        <v>240.79</v>
      </c>
      <c r="AE25" s="270">
        <v>237.58</v>
      </c>
      <c r="AF25" s="271">
        <v>235.07</v>
      </c>
      <c r="AG25" s="272">
        <v>229.76</v>
      </c>
      <c r="AH25" s="268">
        <v>223.52</v>
      </c>
      <c r="AI25" s="269">
        <v>218.07</v>
      </c>
      <c r="AJ25" s="270">
        <v>212.95</v>
      </c>
      <c r="AK25" s="270">
        <v>207.89</v>
      </c>
      <c r="AL25" s="270">
        <v>177.71</v>
      </c>
      <c r="AM25" s="273">
        <v>116.05</v>
      </c>
      <c r="AN25" s="325">
        <v>254.99</v>
      </c>
      <c r="AO25" s="326">
        <v>252.72</v>
      </c>
      <c r="AP25" s="327">
        <v>250.42</v>
      </c>
      <c r="AQ25" s="328">
        <v>247.08</v>
      </c>
      <c r="AR25" s="327">
        <v>244.47</v>
      </c>
      <c r="AS25" s="328">
        <v>238.95</v>
      </c>
      <c r="AT25" s="329">
        <v>232.45</v>
      </c>
      <c r="AU25" s="330">
        <v>226.79</v>
      </c>
      <c r="AV25" s="331">
        <v>221.47</v>
      </c>
      <c r="AW25" s="326">
        <v>216.2</v>
      </c>
      <c r="AX25" s="327">
        <v>184.82</v>
      </c>
      <c r="AY25" s="332">
        <v>120.69</v>
      </c>
      <c r="AZ25" s="282">
        <v>265.19</v>
      </c>
      <c r="BA25" s="283">
        <v>262.83</v>
      </c>
      <c r="BB25" s="284">
        <v>260.44</v>
      </c>
      <c r="BC25" s="285">
        <v>256.97000000000003</v>
      </c>
      <c r="BD25" s="285">
        <v>254.25</v>
      </c>
      <c r="BE25" s="285">
        <v>248.51</v>
      </c>
      <c r="BF25" s="286">
        <v>241.75</v>
      </c>
      <c r="BG25" s="287">
        <v>235.86</v>
      </c>
      <c r="BH25" s="285">
        <v>230.32</v>
      </c>
      <c r="BI25" s="285">
        <v>224.85</v>
      </c>
      <c r="BJ25" s="285">
        <v>192.22</v>
      </c>
      <c r="BK25" s="288">
        <v>125.52</v>
      </c>
    </row>
    <row r="26" spans="1:63" x14ac:dyDescent="0.25">
      <c r="A26" s="1014"/>
      <c r="B26" s="1011">
        <v>320</v>
      </c>
      <c r="C26" s="22" t="s">
        <v>46</v>
      </c>
      <c r="D26" s="419">
        <v>238.71</v>
      </c>
      <c r="E26" s="117">
        <v>235.93</v>
      </c>
      <c r="F26" s="117">
        <v>233.07</v>
      </c>
      <c r="G26" s="117">
        <v>229.26</v>
      </c>
      <c r="H26" s="117">
        <v>226.96</v>
      </c>
      <c r="I26" s="117">
        <v>221.76</v>
      </c>
      <c r="J26" s="117">
        <v>215.81</v>
      </c>
      <c r="K26" s="117">
        <v>210.54</v>
      </c>
      <c r="L26" s="117">
        <v>205.51</v>
      </c>
      <c r="M26" s="117">
        <v>200.62</v>
      </c>
      <c r="N26" s="315">
        <v>171.44</v>
      </c>
      <c r="O26" s="445">
        <v>108.34</v>
      </c>
      <c r="P26" s="258">
        <v>243.51</v>
      </c>
      <c r="Q26" s="259">
        <v>240.68</v>
      </c>
      <c r="R26" s="259">
        <v>237.76</v>
      </c>
      <c r="S26" s="260">
        <v>233.87</v>
      </c>
      <c r="T26" s="261">
        <v>231.53</v>
      </c>
      <c r="U26" s="353">
        <v>226.22</v>
      </c>
      <c r="V26" s="259">
        <v>220.15</v>
      </c>
      <c r="W26" s="264">
        <v>214.78</v>
      </c>
      <c r="X26" s="265">
        <v>209.64</v>
      </c>
      <c r="Y26" s="259">
        <v>204.66</v>
      </c>
      <c r="Z26" s="259">
        <v>174.89</v>
      </c>
      <c r="AA26" s="266">
        <v>110.52</v>
      </c>
      <c r="AB26" s="300">
        <v>255.69</v>
      </c>
      <c r="AC26" s="301">
        <v>252.71</v>
      </c>
      <c r="AD26" s="302">
        <v>249.64</v>
      </c>
      <c r="AE26" s="303">
        <v>245.56</v>
      </c>
      <c r="AF26" s="304">
        <v>243.1</v>
      </c>
      <c r="AG26" s="305">
        <v>237.53</v>
      </c>
      <c r="AH26" s="301">
        <v>231.16</v>
      </c>
      <c r="AI26" s="302">
        <v>225.52</v>
      </c>
      <c r="AJ26" s="303">
        <v>220.13</v>
      </c>
      <c r="AK26" s="303">
        <v>214.89</v>
      </c>
      <c r="AL26" s="303">
        <v>183.63</v>
      </c>
      <c r="AM26" s="306">
        <v>116.05</v>
      </c>
      <c r="AN26" s="274">
        <v>265.92</v>
      </c>
      <c r="AO26" s="275">
        <v>262.82</v>
      </c>
      <c r="AP26" s="276">
        <v>259.63</v>
      </c>
      <c r="AQ26" s="277">
        <v>255.39</v>
      </c>
      <c r="AR26" s="276">
        <v>252.83</v>
      </c>
      <c r="AS26" s="277">
        <v>247.03</v>
      </c>
      <c r="AT26" s="278">
        <v>240.4</v>
      </c>
      <c r="AU26" s="279">
        <v>234.54</v>
      </c>
      <c r="AV26" s="280">
        <v>228.93</v>
      </c>
      <c r="AW26" s="275">
        <v>223.49</v>
      </c>
      <c r="AX26" s="276">
        <v>190.98</v>
      </c>
      <c r="AY26" s="281">
        <v>120.69</v>
      </c>
      <c r="AZ26" s="354">
        <v>276.56</v>
      </c>
      <c r="BA26" s="355">
        <v>273.33999999999997</v>
      </c>
      <c r="BB26" s="356">
        <v>270.01</v>
      </c>
      <c r="BC26" s="357">
        <v>265.60000000000002</v>
      </c>
      <c r="BD26" s="357">
        <v>262.94</v>
      </c>
      <c r="BE26" s="357">
        <v>256.92</v>
      </c>
      <c r="BF26" s="358">
        <v>250.02</v>
      </c>
      <c r="BG26" s="359">
        <v>243.92</v>
      </c>
      <c r="BH26" s="357">
        <v>238.1</v>
      </c>
      <c r="BI26" s="357">
        <v>232.42</v>
      </c>
      <c r="BJ26" s="357">
        <v>198.62</v>
      </c>
      <c r="BK26" s="360">
        <v>125.52</v>
      </c>
    </row>
    <row r="27" spans="1:63" x14ac:dyDescent="0.25">
      <c r="A27" s="1014"/>
      <c r="B27" s="1014"/>
      <c r="C27" s="22" t="s">
        <v>48</v>
      </c>
      <c r="D27" s="448">
        <v>230.1</v>
      </c>
      <c r="E27" s="289">
        <v>227.98</v>
      </c>
      <c r="F27" s="289">
        <v>225.91</v>
      </c>
      <c r="G27" s="289">
        <v>222.88</v>
      </c>
      <c r="H27" s="289">
        <v>220.51</v>
      </c>
      <c r="I27" s="289">
        <v>215.54</v>
      </c>
      <c r="J27" s="289">
        <v>209.67</v>
      </c>
      <c r="K27" s="289">
        <v>204.47</v>
      </c>
      <c r="L27" s="290">
        <v>199.67</v>
      </c>
      <c r="M27" s="289">
        <v>194.95</v>
      </c>
      <c r="N27" s="290">
        <v>166.6</v>
      </c>
      <c r="O27" s="449">
        <v>108.34</v>
      </c>
      <c r="P27" s="291">
        <v>234.73</v>
      </c>
      <c r="Q27" s="292">
        <v>232.57</v>
      </c>
      <c r="R27" s="292">
        <v>230.45</v>
      </c>
      <c r="S27" s="293">
        <v>227.36</v>
      </c>
      <c r="T27" s="294">
        <v>224.95</v>
      </c>
      <c r="U27" s="361">
        <v>219.88</v>
      </c>
      <c r="V27" s="292">
        <v>213.89</v>
      </c>
      <c r="W27" s="297">
        <v>208.58</v>
      </c>
      <c r="X27" s="298">
        <v>203.69</v>
      </c>
      <c r="Y27" s="292">
        <v>198.87</v>
      </c>
      <c r="Z27" s="292">
        <v>169.95</v>
      </c>
      <c r="AA27" s="299">
        <v>110.52</v>
      </c>
      <c r="AB27" s="300">
        <v>246.47</v>
      </c>
      <c r="AC27" s="301">
        <v>244.2</v>
      </c>
      <c r="AD27" s="302">
        <v>241.98</v>
      </c>
      <c r="AE27" s="303">
        <v>238.73</v>
      </c>
      <c r="AF27" s="304">
        <v>236.2</v>
      </c>
      <c r="AG27" s="305">
        <v>230.87</v>
      </c>
      <c r="AH27" s="301">
        <v>224.58</v>
      </c>
      <c r="AI27" s="302">
        <v>219.01</v>
      </c>
      <c r="AJ27" s="303">
        <v>213.87</v>
      </c>
      <c r="AK27" s="303">
        <v>208.82</v>
      </c>
      <c r="AL27" s="303">
        <v>178.45</v>
      </c>
      <c r="AM27" s="306">
        <v>116.05</v>
      </c>
      <c r="AN27" s="307">
        <v>256.33</v>
      </c>
      <c r="AO27" s="308">
        <v>253.97</v>
      </c>
      <c r="AP27" s="309">
        <v>251.66</v>
      </c>
      <c r="AQ27" s="310">
        <v>248.28</v>
      </c>
      <c r="AR27" s="309">
        <v>245.64</v>
      </c>
      <c r="AS27" s="310">
        <v>240.11</v>
      </c>
      <c r="AT27" s="311">
        <v>233.57</v>
      </c>
      <c r="AU27" s="312">
        <v>227.77</v>
      </c>
      <c r="AV27" s="313">
        <v>222.43</v>
      </c>
      <c r="AW27" s="308">
        <v>217.17</v>
      </c>
      <c r="AX27" s="309">
        <v>185.59</v>
      </c>
      <c r="AY27" s="314">
        <v>120.69</v>
      </c>
      <c r="AZ27" s="282">
        <v>266.58</v>
      </c>
      <c r="BA27" s="283">
        <v>264.13</v>
      </c>
      <c r="BB27" s="284">
        <v>261.73</v>
      </c>
      <c r="BC27" s="285">
        <v>258.20999999999998</v>
      </c>
      <c r="BD27" s="285">
        <v>255.47</v>
      </c>
      <c r="BE27" s="285">
        <v>249.7</v>
      </c>
      <c r="BF27" s="286">
        <v>242.91</v>
      </c>
      <c r="BG27" s="287">
        <v>236.88</v>
      </c>
      <c r="BH27" s="285">
        <v>231.32</v>
      </c>
      <c r="BI27" s="285">
        <v>225.86</v>
      </c>
      <c r="BJ27" s="285">
        <v>193.02</v>
      </c>
      <c r="BK27" s="288">
        <v>125.52</v>
      </c>
    </row>
    <row r="28" spans="1:63" ht="15.75" thickBot="1" x14ac:dyDescent="0.3">
      <c r="A28" s="1014"/>
      <c r="B28" s="1012"/>
      <c r="C28" s="22" t="s">
        <v>50</v>
      </c>
      <c r="D28" s="419">
        <v>228.9</v>
      </c>
      <c r="E28" s="117">
        <v>226.87</v>
      </c>
      <c r="F28" s="117">
        <v>224.8</v>
      </c>
      <c r="G28" s="117">
        <v>221.8</v>
      </c>
      <c r="H28" s="117">
        <v>219.46</v>
      </c>
      <c r="I28" s="117">
        <v>214.5</v>
      </c>
      <c r="J28" s="117">
        <v>208.68</v>
      </c>
      <c r="K28" s="117">
        <v>203.59</v>
      </c>
      <c r="L28" s="315">
        <v>198.81</v>
      </c>
      <c r="M28" s="117">
        <v>194.09</v>
      </c>
      <c r="N28" s="315">
        <v>165.91</v>
      </c>
      <c r="O28" s="445">
        <v>108.34</v>
      </c>
      <c r="P28" s="258">
        <v>233.5</v>
      </c>
      <c r="Q28" s="259">
        <v>231.43</v>
      </c>
      <c r="R28" s="259">
        <v>229.32</v>
      </c>
      <c r="S28" s="260">
        <v>226.26</v>
      </c>
      <c r="T28" s="261">
        <v>223.88</v>
      </c>
      <c r="U28" s="353">
        <v>218.82</v>
      </c>
      <c r="V28" s="259">
        <v>212.88</v>
      </c>
      <c r="W28" s="264">
        <v>207.69</v>
      </c>
      <c r="X28" s="265">
        <v>202.81</v>
      </c>
      <c r="Y28" s="259">
        <v>197.99</v>
      </c>
      <c r="Z28" s="259">
        <v>169.25</v>
      </c>
      <c r="AA28" s="266">
        <v>110.52</v>
      </c>
      <c r="AB28" s="300">
        <v>245.19</v>
      </c>
      <c r="AC28" s="301">
        <v>243</v>
      </c>
      <c r="AD28" s="302">
        <v>240.79</v>
      </c>
      <c r="AE28" s="303">
        <v>237.58</v>
      </c>
      <c r="AF28" s="304">
        <v>235.07</v>
      </c>
      <c r="AG28" s="305">
        <v>229.76</v>
      </c>
      <c r="AH28" s="301">
        <v>223.52</v>
      </c>
      <c r="AI28" s="302">
        <v>218.07</v>
      </c>
      <c r="AJ28" s="303">
        <v>212.95</v>
      </c>
      <c r="AK28" s="303">
        <v>207.89</v>
      </c>
      <c r="AL28" s="303">
        <v>177.71</v>
      </c>
      <c r="AM28" s="306">
        <v>116.05</v>
      </c>
      <c r="AN28" s="274">
        <v>254.99</v>
      </c>
      <c r="AO28" s="275">
        <v>252.72</v>
      </c>
      <c r="AP28" s="276">
        <v>250.42</v>
      </c>
      <c r="AQ28" s="277">
        <v>247.08</v>
      </c>
      <c r="AR28" s="276">
        <v>244.47</v>
      </c>
      <c r="AS28" s="277">
        <v>238.95</v>
      </c>
      <c r="AT28" s="278">
        <v>232.45</v>
      </c>
      <c r="AU28" s="279">
        <v>226.79</v>
      </c>
      <c r="AV28" s="280">
        <v>221.47</v>
      </c>
      <c r="AW28" s="275">
        <v>216.2</v>
      </c>
      <c r="AX28" s="276">
        <v>184.82</v>
      </c>
      <c r="AY28" s="281">
        <v>120.69</v>
      </c>
      <c r="AZ28" s="282">
        <v>265.19</v>
      </c>
      <c r="BA28" s="283">
        <v>262.83</v>
      </c>
      <c r="BB28" s="284">
        <v>260.44</v>
      </c>
      <c r="BC28" s="285">
        <v>256.97000000000003</v>
      </c>
      <c r="BD28" s="285">
        <v>254.25</v>
      </c>
      <c r="BE28" s="285">
        <v>248.51</v>
      </c>
      <c r="BF28" s="286">
        <v>241.75</v>
      </c>
      <c r="BG28" s="287">
        <v>235.86</v>
      </c>
      <c r="BH28" s="285">
        <v>230.32</v>
      </c>
      <c r="BI28" s="285">
        <v>224.85</v>
      </c>
      <c r="BJ28" s="285">
        <v>192.22</v>
      </c>
      <c r="BK28" s="288">
        <v>125.52</v>
      </c>
    </row>
    <row r="29" spans="1:63" x14ac:dyDescent="0.25">
      <c r="A29" s="1014"/>
      <c r="B29" s="1011">
        <v>220</v>
      </c>
      <c r="C29" s="22" t="s">
        <v>51</v>
      </c>
      <c r="D29" s="446">
        <v>220.88</v>
      </c>
      <c r="E29" s="256">
        <v>218.89</v>
      </c>
      <c r="F29" s="256">
        <v>216.9</v>
      </c>
      <c r="G29" s="256">
        <v>213.97</v>
      </c>
      <c r="H29" s="256">
        <v>211.68</v>
      </c>
      <c r="I29" s="256">
        <v>206.91</v>
      </c>
      <c r="J29" s="256">
        <v>201.28</v>
      </c>
      <c r="K29" s="257">
        <v>196.32</v>
      </c>
      <c r="L29" s="257">
        <v>191.7</v>
      </c>
      <c r="M29" s="256">
        <v>187.17</v>
      </c>
      <c r="N29" s="257">
        <v>159.94999999999999</v>
      </c>
      <c r="O29" s="450">
        <v>108.34</v>
      </c>
      <c r="P29" s="258">
        <v>225.32</v>
      </c>
      <c r="Q29" s="259">
        <v>223.29</v>
      </c>
      <c r="R29" s="259">
        <v>221.26</v>
      </c>
      <c r="S29" s="260">
        <v>218.27</v>
      </c>
      <c r="T29" s="261">
        <v>215.94</v>
      </c>
      <c r="U29" s="353">
        <v>211.07</v>
      </c>
      <c r="V29" s="259">
        <v>205.33</v>
      </c>
      <c r="W29" s="264">
        <v>200.27</v>
      </c>
      <c r="X29" s="265">
        <v>195.56</v>
      </c>
      <c r="Y29" s="259">
        <v>190.94</v>
      </c>
      <c r="Z29" s="259">
        <v>163.16999999999999</v>
      </c>
      <c r="AA29" s="266">
        <v>110.52</v>
      </c>
      <c r="AB29" s="267">
        <v>236.59</v>
      </c>
      <c r="AC29" s="268">
        <v>234.45</v>
      </c>
      <c r="AD29" s="269">
        <v>232.33</v>
      </c>
      <c r="AE29" s="270">
        <v>229.19</v>
      </c>
      <c r="AF29" s="271">
        <v>226.73</v>
      </c>
      <c r="AG29" s="272">
        <v>221.63</v>
      </c>
      <c r="AH29" s="268">
        <v>215.59</v>
      </c>
      <c r="AI29" s="269">
        <v>210.29</v>
      </c>
      <c r="AJ29" s="270">
        <v>205.34</v>
      </c>
      <c r="AK29" s="270">
        <v>200.48</v>
      </c>
      <c r="AL29" s="270">
        <v>171.33</v>
      </c>
      <c r="AM29" s="273">
        <v>116.05</v>
      </c>
      <c r="AN29" s="274">
        <v>246.05</v>
      </c>
      <c r="AO29" s="275">
        <v>243.83</v>
      </c>
      <c r="AP29" s="276">
        <v>241.63</v>
      </c>
      <c r="AQ29" s="277">
        <v>238.36</v>
      </c>
      <c r="AR29" s="276">
        <v>235.8</v>
      </c>
      <c r="AS29" s="277">
        <v>230.5</v>
      </c>
      <c r="AT29" s="278">
        <v>224.21</v>
      </c>
      <c r="AU29" s="279">
        <v>218.7</v>
      </c>
      <c r="AV29" s="280">
        <v>213.55</v>
      </c>
      <c r="AW29" s="275">
        <v>208.5</v>
      </c>
      <c r="AX29" s="276">
        <v>178.18</v>
      </c>
      <c r="AY29" s="281">
        <v>120.69</v>
      </c>
      <c r="AZ29" s="282">
        <v>255.9</v>
      </c>
      <c r="BA29" s="283">
        <v>253.58</v>
      </c>
      <c r="BB29" s="284">
        <v>251.29</v>
      </c>
      <c r="BC29" s="285">
        <v>247.9</v>
      </c>
      <c r="BD29" s="285">
        <v>245.24</v>
      </c>
      <c r="BE29" s="285">
        <v>239.72</v>
      </c>
      <c r="BF29" s="286">
        <v>233.18</v>
      </c>
      <c r="BG29" s="287">
        <v>227.46</v>
      </c>
      <c r="BH29" s="285">
        <v>222.09</v>
      </c>
      <c r="BI29" s="285">
        <v>216.85</v>
      </c>
      <c r="BJ29" s="285">
        <v>185.31</v>
      </c>
      <c r="BK29" s="288">
        <v>125.52</v>
      </c>
    </row>
    <row r="30" spans="1:63" ht="15.75" thickBot="1" x14ac:dyDescent="0.3">
      <c r="A30" s="1014"/>
      <c r="B30" s="1012"/>
      <c r="C30" s="22" t="s">
        <v>52</v>
      </c>
      <c r="D30" s="448">
        <v>211.83</v>
      </c>
      <c r="E30" s="289">
        <v>209.92</v>
      </c>
      <c r="F30" s="289">
        <v>208.01</v>
      </c>
      <c r="G30" s="289">
        <v>205.2</v>
      </c>
      <c r="H30" s="289">
        <v>203.01</v>
      </c>
      <c r="I30" s="290">
        <v>198.44</v>
      </c>
      <c r="J30" s="290">
        <v>193.04</v>
      </c>
      <c r="K30" s="290">
        <v>188.27</v>
      </c>
      <c r="L30" s="290">
        <v>183.84</v>
      </c>
      <c r="M30" s="289">
        <v>179.5</v>
      </c>
      <c r="N30" s="289">
        <v>153.4</v>
      </c>
      <c r="O30" s="449">
        <v>108.34</v>
      </c>
      <c r="P30" s="291">
        <v>216.09</v>
      </c>
      <c r="Q30" s="292">
        <v>214.14</v>
      </c>
      <c r="R30" s="292">
        <v>212.19</v>
      </c>
      <c r="S30" s="293">
        <v>209.33</v>
      </c>
      <c r="T30" s="294">
        <v>207.09</v>
      </c>
      <c r="U30" s="361">
        <v>202.43</v>
      </c>
      <c r="V30" s="292">
        <v>196.92</v>
      </c>
      <c r="W30" s="297">
        <v>192.06</v>
      </c>
      <c r="X30" s="298">
        <v>187.54</v>
      </c>
      <c r="Y30" s="292">
        <v>183.11</v>
      </c>
      <c r="Z30" s="292">
        <v>156.49</v>
      </c>
      <c r="AA30" s="299">
        <v>110.52</v>
      </c>
      <c r="AB30" s="300">
        <v>226.89</v>
      </c>
      <c r="AC30" s="301">
        <v>224.85</v>
      </c>
      <c r="AD30" s="302">
        <v>222.8</v>
      </c>
      <c r="AE30" s="303">
        <v>219.79</v>
      </c>
      <c r="AF30" s="304">
        <v>217.45</v>
      </c>
      <c r="AG30" s="305">
        <v>212.55</v>
      </c>
      <c r="AH30" s="301">
        <v>206.77</v>
      </c>
      <c r="AI30" s="302">
        <v>201.66</v>
      </c>
      <c r="AJ30" s="303">
        <v>196.91</v>
      </c>
      <c r="AK30" s="303">
        <v>192.27</v>
      </c>
      <c r="AL30" s="303">
        <v>164.31</v>
      </c>
      <c r="AM30" s="306">
        <v>116.05</v>
      </c>
      <c r="AN30" s="307">
        <v>235.97</v>
      </c>
      <c r="AO30" s="308">
        <v>233.85</v>
      </c>
      <c r="AP30" s="309">
        <v>231.72</v>
      </c>
      <c r="AQ30" s="310">
        <v>228.59</v>
      </c>
      <c r="AR30" s="309">
        <v>226.15</v>
      </c>
      <c r="AS30" s="310">
        <v>221.05</v>
      </c>
      <c r="AT30" s="311">
        <v>215.04</v>
      </c>
      <c r="AU30" s="312">
        <v>209.73</v>
      </c>
      <c r="AV30" s="313">
        <v>204.79</v>
      </c>
      <c r="AW30" s="308">
        <v>199.96</v>
      </c>
      <c r="AX30" s="309">
        <v>170.88</v>
      </c>
      <c r="AY30" s="314">
        <v>120.69</v>
      </c>
      <c r="AZ30" s="282">
        <v>245.41</v>
      </c>
      <c r="BA30" s="283">
        <v>243.21</v>
      </c>
      <c r="BB30" s="284">
        <v>240.99</v>
      </c>
      <c r="BC30" s="285">
        <v>237.73</v>
      </c>
      <c r="BD30" s="285">
        <v>235.2</v>
      </c>
      <c r="BE30" s="285">
        <v>229.89</v>
      </c>
      <c r="BF30" s="286">
        <v>223.64</v>
      </c>
      <c r="BG30" s="287">
        <v>218.11</v>
      </c>
      <c r="BH30" s="285">
        <v>212.98</v>
      </c>
      <c r="BI30" s="285">
        <v>207.96</v>
      </c>
      <c r="BJ30" s="285">
        <v>177.71</v>
      </c>
      <c r="BK30" s="288">
        <v>125.52</v>
      </c>
    </row>
    <row r="31" spans="1:63" ht="15.75" thickBot="1" x14ac:dyDescent="0.3">
      <c r="A31" s="1012"/>
      <c r="B31" s="52">
        <v>717</v>
      </c>
      <c r="C31" s="23" t="s">
        <v>53</v>
      </c>
      <c r="D31" s="451">
        <v>205.96</v>
      </c>
      <c r="E31" s="366">
        <v>204.23</v>
      </c>
      <c r="F31" s="366">
        <v>202.3</v>
      </c>
      <c r="G31" s="365">
        <v>199.56</v>
      </c>
      <c r="H31" s="365">
        <v>197.47</v>
      </c>
      <c r="I31" s="365">
        <v>193</v>
      </c>
      <c r="J31" s="365">
        <v>187.8</v>
      </c>
      <c r="K31" s="365">
        <v>183.11</v>
      </c>
      <c r="L31" s="365">
        <v>178.89</v>
      </c>
      <c r="M31" s="366">
        <v>174.63</v>
      </c>
      <c r="N31" s="365">
        <v>149.21</v>
      </c>
      <c r="O31" s="452">
        <v>108.34</v>
      </c>
      <c r="P31" s="453">
        <v>210.1</v>
      </c>
      <c r="Q31" s="454">
        <v>208.34</v>
      </c>
      <c r="R31" s="454">
        <v>206.37</v>
      </c>
      <c r="S31" s="455">
        <v>203.57</v>
      </c>
      <c r="T31" s="456">
        <v>201.44</v>
      </c>
      <c r="U31" s="457">
        <v>196.88</v>
      </c>
      <c r="V31" s="454">
        <v>191.58</v>
      </c>
      <c r="W31" s="458">
        <v>186.79</v>
      </c>
      <c r="X31" s="459">
        <v>182.49</v>
      </c>
      <c r="Y31" s="454">
        <v>178.14</v>
      </c>
      <c r="Z31" s="454">
        <v>152.21</v>
      </c>
      <c r="AA31" s="460">
        <v>110.52</v>
      </c>
      <c r="AB31" s="376">
        <v>220.61</v>
      </c>
      <c r="AC31" s="377">
        <v>218.75</v>
      </c>
      <c r="AD31" s="378">
        <v>216.69</v>
      </c>
      <c r="AE31" s="379">
        <v>213.76</v>
      </c>
      <c r="AF31" s="380">
        <v>211.51</v>
      </c>
      <c r="AG31" s="381">
        <v>206.73</v>
      </c>
      <c r="AH31" s="377">
        <v>201.16</v>
      </c>
      <c r="AI31" s="378">
        <v>196.14</v>
      </c>
      <c r="AJ31" s="379">
        <v>191.61</v>
      </c>
      <c r="AK31" s="379">
        <v>187.05</v>
      </c>
      <c r="AL31" s="379">
        <v>159.82</v>
      </c>
      <c r="AM31" s="382">
        <v>116.05</v>
      </c>
      <c r="AN31" s="461">
        <v>229.43</v>
      </c>
      <c r="AO31" s="462">
        <v>227.51</v>
      </c>
      <c r="AP31" s="463">
        <v>225.36</v>
      </c>
      <c r="AQ31" s="464">
        <v>222.3</v>
      </c>
      <c r="AR31" s="463">
        <v>219.97</v>
      </c>
      <c r="AS31" s="464">
        <v>215</v>
      </c>
      <c r="AT31" s="465">
        <v>209.21</v>
      </c>
      <c r="AU31" s="466">
        <v>203.98</v>
      </c>
      <c r="AV31" s="467">
        <v>199.27</v>
      </c>
      <c r="AW31" s="462">
        <v>194.53</v>
      </c>
      <c r="AX31" s="463">
        <v>166.22</v>
      </c>
      <c r="AY31" s="468">
        <v>120.69</v>
      </c>
      <c r="AZ31" s="469">
        <v>238.62</v>
      </c>
      <c r="BA31" s="393">
        <v>236.61</v>
      </c>
      <c r="BB31" s="394">
        <v>234.38</v>
      </c>
      <c r="BC31" s="395">
        <v>231.2</v>
      </c>
      <c r="BD31" s="395">
        <v>228.77</v>
      </c>
      <c r="BE31" s="395">
        <v>223.6</v>
      </c>
      <c r="BF31" s="470">
        <v>217.57</v>
      </c>
      <c r="BG31" s="398">
        <v>212.14</v>
      </c>
      <c r="BH31" s="395">
        <v>207.24</v>
      </c>
      <c r="BI31" s="395">
        <v>202.31</v>
      </c>
      <c r="BJ31" s="395">
        <v>172.87</v>
      </c>
      <c r="BK31" s="399">
        <v>125.52</v>
      </c>
    </row>
    <row r="32" spans="1:63" ht="34.5" thickBot="1" x14ac:dyDescent="0.3">
      <c r="A32" s="1008" t="s">
        <v>74</v>
      </c>
      <c r="B32" s="1009"/>
      <c r="C32" s="1009"/>
      <c r="D32" s="1009"/>
      <c r="E32" s="1009"/>
      <c r="F32" s="1009"/>
      <c r="G32" s="1009"/>
      <c r="H32" s="1009"/>
      <c r="I32" s="1009"/>
      <c r="J32" s="1009"/>
      <c r="K32" s="1009"/>
      <c r="L32" s="1009"/>
      <c r="M32" s="1009"/>
      <c r="N32" s="1009"/>
      <c r="O32" s="1009"/>
      <c r="P32" s="1009"/>
      <c r="Q32" s="1009"/>
      <c r="R32" s="1009"/>
      <c r="S32" s="1009"/>
      <c r="T32" s="1009"/>
      <c r="U32" s="1009"/>
      <c r="V32" s="1009"/>
      <c r="W32" s="1009"/>
      <c r="X32" s="1009"/>
      <c r="Y32" s="1009"/>
      <c r="Z32" s="1009"/>
      <c r="AA32" s="1009"/>
      <c r="AB32" s="1009"/>
      <c r="AC32" s="1009"/>
      <c r="AD32" s="1009"/>
      <c r="AE32" s="1009"/>
      <c r="AF32" s="1009"/>
      <c r="AG32" s="1009"/>
      <c r="AH32" s="1009"/>
      <c r="AI32" s="1009"/>
      <c r="AJ32" s="1009"/>
      <c r="AK32" s="1009"/>
      <c r="AL32" s="1009"/>
      <c r="AM32" s="1009"/>
      <c r="AN32" s="1009"/>
      <c r="AO32" s="1009"/>
      <c r="AP32" s="1009"/>
      <c r="AQ32" s="1009"/>
      <c r="AR32" s="1009"/>
      <c r="AS32" s="1009"/>
      <c r="AT32" s="1009"/>
      <c r="AU32" s="1009"/>
      <c r="AV32" s="1009"/>
      <c r="AW32" s="1009"/>
      <c r="AX32" s="1009"/>
      <c r="AY32" s="1009"/>
      <c r="AZ32" s="1009"/>
      <c r="BA32" s="1009"/>
      <c r="BB32" s="1009"/>
      <c r="BC32" s="1009"/>
      <c r="BD32" s="1009"/>
      <c r="BE32" s="1009"/>
      <c r="BF32" s="1009"/>
      <c r="BG32" s="1009"/>
      <c r="BH32" s="1009"/>
      <c r="BI32" s="1009"/>
      <c r="BJ32" s="1009"/>
      <c r="BK32" s="1010"/>
    </row>
    <row r="33" spans="1:63" ht="15.75" thickBot="1" x14ac:dyDescent="0.3">
      <c r="A33" s="1006" t="s">
        <v>60</v>
      </c>
      <c r="B33" s="1007"/>
      <c r="C33" s="1023"/>
      <c r="D33" s="992" t="s">
        <v>168</v>
      </c>
      <c r="E33" s="992"/>
      <c r="F33" s="992"/>
      <c r="G33" s="992"/>
      <c r="H33" s="992"/>
      <c r="I33" s="992"/>
      <c r="J33" s="992"/>
      <c r="K33" s="992"/>
      <c r="L33" s="992"/>
      <c r="M33" s="992"/>
      <c r="N33" s="992"/>
      <c r="O33" s="993"/>
      <c r="P33" s="994" t="s">
        <v>96</v>
      </c>
      <c r="Q33" s="995"/>
      <c r="R33" s="995"/>
      <c r="S33" s="995"/>
      <c r="T33" s="995"/>
      <c r="U33" s="995"/>
      <c r="V33" s="995"/>
      <c r="W33" s="995"/>
      <c r="X33" s="995"/>
      <c r="Y33" s="995"/>
      <c r="Z33" s="995"/>
      <c r="AA33" s="996"/>
      <c r="AB33" s="997">
        <v>2024</v>
      </c>
      <c r="AC33" s="998"/>
      <c r="AD33" s="998"/>
      <c r="AE33" s="998"/>
      <c r="AF33" s="998"/>
      <c r="AG33" s="998"/>
      <c r="AH33" s="998"/>
      <c r="AI33" s="998"/>
      <c r="AJ33" s="998"/>
      <c r="AK33" s="998"/>
      <c r="AL33" s="998"/>
      <c r="AM33" s="999"/>
      <c r="AN33" s="1000">
        <v>2025</v>
      </c>
      <c r="AO33" s="1001"/>
      <c r="AP33" s="1001"/>
      <c r="AQ33" s="1001"/>
      <c r="AR33" s="1001"/>
      <c r="AS33" s="1001"/>
      <c r="AT33" s="1001"/>
      <c r="AU33" s="1001"/>
      <c r="AV33" s="1001"/>
      <c r="AW33" s="1001"/>
      <c r="AX33" s="1001"/>
      <c r="AY33" s="1002"/>
      <c r="AZ33" s="1003">
        <v>2026</v>
      </c>
      <c r="BA33" s="1004"/>
      <c r="BB33" s="1004"/>
      <c r="BC33" s="1004"/>
      <c r="BD33" s="1004"/>
      <c r="BE33" s="1004"/>
      <c r="BF33" s="1004"/>
      <c r="BG33" s="1004"/>
      <c r="BH33" s="1004"/>
      <c r="BI33" s="1004"/>
      <c r="BJ33" s="1004"/>
      <c r="BK33" s="1005"/>
    </row>
    <row r="34" spans="1:63" ht="15.75" thickBot="1" x14ac:dyDescent="0.3">
      <c r="A34" s="1006" t="s">
        <v>75</v>
      </c>
      <c r="B34" s="1007"/>
      <c r="C34" s="1023"/>
      <c r="D34" s="701">
        <v>12</v>
      </c>
      <c r="E34" s="70">
        <v>11</v>
      </c>
      <c r="F34" s="70">
        <v>10</v>
      </c>
      <c r="G34" s="70">
        <v>9</v>
      </c>
      <c r="H34" s="70">
        <v>8</v>
      </c>
      <c r="I34" s="70">
        <v>7</v>
      </c>
      <c r="J34" s="70">
        <v>6</v>
      </c>
      <c r="K34" s="70">
        <v>5</v>
      </c>
      <c r="L34" s="70">
        <v>4</v>
      </c>
      <c r="M34" s="70">
        <v>3</v>
      </c>
      <c r="N34" s="70">
        <v>2</v>
      </c>
      <c r="O34" s="90">
        <v>1</v>
      </c>
      <c r="P34" s="91">
        <v>12</v>
      </c>
      <c r="Q34" s="92">
        <v>11</v>
      </c>
      <c r="R34" s="92">
        <v>10</v>
      </c>
      <c r="S34" s="92">
        <v>9</v>
      </c>
      <c r="T34" s="92">
        <v>8</v>
      </c>
      <c r="U34" s="92">
        <v>7</v>
      </c>
      <c r="V34" s="92">
        <v>6</v>
      </c>
      <c r="W34" s="92">
        <v>5</v>
      </c>
      <c r="X34" s="92">
        <v>4</v>
      </c>
      <c r="Y34" s="92">
        <v>3</v>
      </c>
      <c r="Z34" s="92">
        <v>2</v>
      </c>
      <c r="AA34" s="93">
        <v>1</v>
      </c>
      <c r="AB34" s="80">
        <v>12</v>
      </c>
      <c r="AC34" s="72">
        <v>11</v>
      </c>
      <c r="AD34" s="72">
        <v>10</v>
      </c>
      <c r="AE34" s="72">
        <v>9</v>
      </c>
      <c r="AF34" s="72">
        <v>8</v>
      </c>
      <c r="AG34" s="72">
        <v>7</v>
      </c>
      <c r="AH34" s="72">
        <v>6</v>
      </c>
      <c r="AI34" s="72">
        <v>5</v>
      </c>
      <c r="AJ34" s="72">
        <v>4</v>
      </c>
      <c r="AK34" s="72">
        <v>3</v>
      </c>
      <c r="AL34" s="72">
        <v>2</v>
      </c>
      <c r="AM34" s="81">
        <v>1</v>
      </c>
      <c r="AN34" s="73">
        <v>12</v>
      </c>
      <c r="AO34" s="74">
        <v>11</v>
      </c>
      <c r="AP34" s="74">
        <v>10</v>
      </c>
      <c r="AQ34" s="74">
        <v>9</v>
      </c>
      <c r="AR34" s="74">
        <v>8</v>
      </c>
      <c r="AS34" s="74">
        <v>7</v>
      </c>
      <c r="AT34" s="74">
        <v>6</v>
      </c>
      <c r="AU34" s="74">
        <v>5</v>
      </c>
      <c r="AV34" s="74">
        <v>4</v>
      </c>
      <c r="AW34" s="74">
        <v>3</v>
      </c>
      <c r="AX34" s="74">
        <v>2</v>
      </c>
      <c r="AY34" s="75">
        <v>1</v>
      </c>
      <c r="AZ34" s="82">
        <v>12</v>
      </c>
      <c r="BA34" s="76">
        <v>11</v>
      </c>
      <c r="BB34" s="76">
        <v>10</v>
      </c>
      <c r="BC34" s="76">
        <v>9</v>
      </c>
      <c r="BD34" s="76">
        <v>8</v>
      </c>
      <c r="BE34" s="76">
        <v>7</v>
      </c>
      <c r="BF34" s="76">
        <v>6</v>
      </c>
      <c r="BG34" s="76">
        <v>5</v>
      </c>
      <c r="BH34" s="76">
        <v>4</v>
      </c>
      <c r="BI34" s="76">
        <v>3</v>
      </c>
      <c r="BJ34" s="76">
        <v>2</v>
      </c>
      <c r="BK34" s="77">
        <v>1</v>
      </c>
    </row>
    <row r="35" spans="1:63" x14ac:dyDescent="0.25">
      <c r="A35" s="1024" t="s">
        <v>61</v>
      </c>
      <c r="B35" s="1025"/>
      <c r="C35" s="725" t="s">
        <v>38</v>
      </c>
      <c r="D35" s="702">
        <v>417.54</v>
      </c>
      <c r="E35" s="94">
        <v>414.4</v>
      </c>
      <c r="F35" s="94">
        <v>411.28</v>
      </c>
      <c r="G35" s="94">
        <v>408.16</v>
      </c>
      <c r="H35" s="94">
        <v>405.02</v>
      </c>
      <c r="I35" s="94">
        <v>401.92</v>
      </c>
      <c r="J35" s="94">
        <v>398.78</v>
      </c>
      <c r="K35" s="94">
        <v>395.68</v>
      </c>
      <c r="L35" s="94">
        <v>392.52</v>
      </c>
      <c r="M35" s="94">
        <v>389.39</v>
      </c>
      <c r="N35" s="94">
        <v>386.23</v>
      </c>
      <c r="O35" s="94">
        <v>383.12</v>
      </c>
      <c r="P35" s="95">
        <v>425.94</v>
      </c>
      <c r="Q35" s="96">
        <v>422.74</v>
      </c>
      <c r="R35" s="97">
        <v>419.55</v>
      </c>
      <c r="S35" s="98">
        <v>416.37</v>
      </c>
      <c r="T35" s="99">
        <v>413.17</v>
      </c>
      <c r="U35" s="100">
        <v>410.01</v>
      </c>
      <c r="V35" s="99">
        <v>406.8</v>
      </c>
      <c r="W35" s="100">
        <v>403.64</v>
      </c>
      <c r="X35" s="98">
        <v>400.42</v>
      </c>
      <c r="Y35" s="99">
        <v>397.22</v>
      </c>
      <c r="Z35" s="100">
        <v>394</v>
      </c>
      <c r="AA35" s="101">
        <v>390.83</v>
      </c>
      <c r="AB35" s="102">
        <v>447.24</v>
      </c>
      <c r="AC35" s="103">
        <v>443.87</v>
      </c>
      <c r="AD35" s="103">
        <v>440.53</v>
      </c>
      <c r="AE35" s="103">
        <v>437.19</v>
      </c>
      <c r="AF35" s="103">
        <v>433.83</v>
      </c>
      <c r="AG35" s="103">
        <v>430.51</v>
      </c>
      <c r="AH35" s="104">
        <v>427.14</v>
      </c>
      <c r="AI35" s="105">
        <v>423.82</v>
      </c>
      <c r="AJ35" s="103">
        <v>420.44</v>
      </c>
      <c r="AK35" s="103">
        <v>417.09</v>
      </c>
      <c r="AL35" s="103">
        <v>413.7</v>
      </c>
      <c r="AM35" s="106">
        <v>410.37</v>
      </c>
      <c r="AN35" s="107">
        <v>465.13</v>
      </c>
      <c r="AO35" s="108">
        <v>461.62</v>
      </c>
      <c r="AP35" s="108">
        <v>458.15</v>
      </c>
      <c r="AQ35" s="108">
        <v>454.68</v>
      </c>
      <c r="AR35" s="108">
        <v>451.18</v>
      </c>
      <c r="AS35" s="108">
        <v>447.73</v>
      </c>
      <c r="AT35" s="109">
        <v>444.23</v>
      </c>
      <c r="AU35" s="110">
        <v>440.77</v>
      </c>
      <c r="AV35" s="108">
        <v>437.26</v>
      </c>
      <c r="AW35" s="108">
        <v>433.76</v>
      </c>
      <c r="AX35" s="108">
        <v>430.24</v>
      </c>
      <c r="AY35" s="111">
        <v>426.79</v>
      </c>
      <c r="AZ35" s="112">
        <v>483.74</v>
      </c>
      <c r="BA35" s="113">
        <v>480.09</v>
      </c>
      <c r="BB35" s="113">
        <v>476.47</v>
      </c>
      <c r="BC35" s="113">
        <v>472.87</v>
      </c>
      <c r="BD35" s="113">
        <v>469.22</v>
      </c>
      <c r="BE35" s="113">
        <v>465.64</v>
      </c>
      <c r="BF35" s="114">
        <v>462</v>
      </c>
      <c r="BG35" s="115">
        <v>458.4</v>
      </c>
      <c r="BH35" s="113">
        <v>454.76</v>
      </c>
      <c r="BI35" s="113">
        <v>451.12</v>
      </c>
      <c r="BJ35" s="113">
        <v>447.45</v>
      </c>
      <c r="BK35" s="116">
        <v>443.85</v>
      </c>
    </row>
    <row r="36" spans="1:63" x14ac:dyDescent="0.25">
      <c r="A36" s="1026"/>
      <c r="B36" s="1027"/>
      <c r="C36" s="726" t="s">
        <v>39</v>
      </c>
      <c r="D36" s="703">
        <v>417.54</v>
      </c>
      <c r="E36" s="117">
        <v>414.4</v>
      </c>
      <c r="F36" s="117">
        <v>411.28</v>
      </c>
      <c r="G36" s="117">
        <v>408.16</v>
      </c>
      <c r="H36" s="117">
        <v>405.02</v>
      </c>
      <c r="I36" s="117">
        <v>401.92</v>
      </c>
      <c r="J36" s="117">
        <v>398.78</v>
      </c>
      <c r="K36" s="117">
        <v>395.68</v>
      </c>
      <c r="L36" s="117">
        <v>392.52</v>
      </c>
      <c r="M36" s="117">
        <v>389.39</v>
      </c>
      <c r="N36" s="117">
        <v>386.23</v>
      </c>
      <c r="O36" s="117">
        <v>383.12</v>
      </c>
      <c r="P36" s="118">
        <v>425.94</v>
      </c>
      <c r="Q36" s="119">
        <v>422.74</v>
      </c>
      <c r="R36" s="120">
        <v>419.55</v>
      </c>
      <c r="S36" s="121">
        <v>416.37</v>
      </c>
      <c r="T36" s="122">
        <v>413.17</v>
      </c>
      <c r="U36" s="123">
        <v>410.01</v>
      </c>
      <c r="V36" s="122">
        <v>406.8</v>
      </c>
      <c r="W36" s="123">
        <v>403.64</v>
      </c>
      <c r="X36" s="121">
        <v>400.42</v>
      </c>
      <c r="Y36" s="122">
        <v>397.22</v>
      </c>
      <c r="Z36" s="123">
        <v>394</v>
      </c>
      <c r="AA36" s="124">
        <v>390.83</v>
      </c>
      <c r="AB36" s="125">
        <v>447.24</v>
      </c>
      <c r="AC36" s="126">
        <v>443.87</v>
      </c>
      <c r="AD36" s="126">
        <v>440.53</v>
      </c>
      <c r="AE36" s="126">
        <v>437.19</v>
      </c>
      <c r="AF36" s="126">
        <v>433.83</v>
      </c>
      <c r="AG36" s="126">
        <v>430.51</v>
      </c>
      <c r="AH36" s="127">
        <v>427.14</v>
      </c>
      <c r="AI36" s="128">
        <v>423.82</v>
      </c>
      <c r="AJ36" s="126">
        <v>420.44</v>
      </c>
      <c r="AK36" s="126">
        <v>417.09</v>
      </c>
      <c r="AL36" s="126">
        <v>413.7</v>
      </c>
      <c r="AM36" s="129">
        <v>410.37</v>
      </c>
      <c r="AN36" s="130">
        <v>465.13</v>
      </c>
      <c r="AO36" s="131">
        <v>461.62</v>
      </c>
      <c r="AP36" s="131">
        <v>458.15</v>
      </c>
      <c r="AQ36" s="131">
        <v>454.68</v>
      </c>
      <c r="AR36" s="131">
        <v>451.18</v>
      </c>
      <c r="AS36" s="131">
        <v>447.73</v>
      </c>
      <c r="AT36" s="132">
        <v>444.23</v>
      </c>
      <c r="AU36" s="133">
        <v>440.77</v>
      </c>
      <c r="AV36" s="131">
        <v>437.26</v>
      </c>
      <c r="AW36" s="131">
        <v>433.76</v>
      </c>
      <c r="AX36" s="131">
        <v>430.24</v>
      </c>
      <c r="AY36" s="134">
        <v>426.79</v>
      </c>
      <c r="AZ36" s="135">
        <v>483.74</v>
      </c>
      <c r="BA36" s="136">
        <v>480.09</v>
      </c>
      <c r="BB36" s="136">
        <v>476.47</v>
      </c>
      <c r="BC36" s="136">
        <v>472.87</v>
      </c>
      <c r="BD36" s="136">
        <v>469.22</v>
      </c>
      <c r="BE36" s="136">
        <v>465.64</v>
      </c>
      <c r="BF36" s="137">
        <v>462</v>
      </c>
      <c r="BG36" s="138">
        <v>458.4</v>
      </c>
      <c r="BH36" s="136">
        <v>454.76</v>
      </c>
      <c r="BI36" s="136">
        <v>451.12</v>
      </c>
      <c r="BJ36" s="136">
        <v>447.45</v>
      </c>
      <c r="BK36" s="139">
        <v>443.85</v>
      </c>
    </row>
    <row r="37" spans="1:63" x14ac:dyDescent="0.25">
      <c r="A37" s="1026"/>
      <c r="B37" s="1027"/>
      <c r="C37" s="726" t="s">
        <v>40</v>
      </c>
      <c r="D37" s="703">
        <v>417.54</v>
      </c>
      <c r="E37" s="117">
        <v>414.4</v>
      </c>
      <c r="F37" s="117">
        <v>411.28</v>
      </c>
      <c r="G37" s="117">
        <v>408.16</v>
      </c>
      <c r="H37" s="117">
        <v>405.02</v>
      </c>
      <c r="I37" s="117">
        <v>401.92</v>
      </c>
      <c r="J37" s="117">
        <v>398.78</v>
      </c>
      <c r="K37" s="117">
        <v>395.68</v>
      </c>
      <c r="L37" s="117">
        <v>392.52</v>
      </c>
      <c r="M37" s="117">
        <v>389.39</v>
      </c>
      <c r="N37" s="117">
        <v>386.23</v>
      </c>
      <c r="O37" s="117">
        <v>383.12</v>
      </c>
      <c r="P37" s="140">
        <v>425.94</v>
      </c>
      <c r="Q37" s="141">
        <v>422.74</v>
      </c>
      <c r="R37" s="142">
        <v>419.55</v>
      </c>
      <c r="S37" s="143">
        <v>416.37</v>
      </c>
      <c r="T37" s="144">
        <v>413.17</v>
      </c>
      <c r="U37" s="145">
        <v>410.01</v>
      </c>
      <c r="V37" s="144">
        <v>406.8</v>
      </c>
      <c r="W37" s="145">
        <v>403.64</v>
      </c>
      <c r="X37" s="143">
        <v>400.42</v>
      </c>
      <c r="Y37" s="144">
        <v>397.22</v>
      </c>
      <c r="Z37" s="145">
        <v>394</v>
      </c>
      <c r="AA37" s="146">
        <v>390.83</v>
      </c>
      <c r="AB37" s="125">
        <v>447.24</v>
      </c>
      <c r="AC37" s="126">
        <v>443.87</v>
      </c>
      <c r="AD37" s="126">
        <v>440.53</v>
      </c>
      <c r="AE37" s="126">
        <v>437.19</v>
      </c>
      <c r="AF37" s="126">
        <v>433.83</v>
      </c>
      <c r="AG37" s="126">
        <v>430.51</v>
      </c>
      <c r="AH37" s="127">
        <v>427.14</v>
      </c>
      <c r="AI37" s="128">
        <v>423.82</v>
      </c>
      <c r="AJ37" s="126">
        <v>420.44</v>
      </c>
      <c r="AK37" s="126">
        <v>417.09</v>
      </c>
      <c r="AL37" s="126">
        <v>413.7</v>
      </c>
      <c r="AM37" s="129">
        <v>410.37</v>
      </c>
      <c r="AN37" s="147">
        <v>465.13</v>
      </c>
      <c r="AO37" s="148">
        <v>461.62</v>
      </c>
      <c r="AP37" s="148">
        <v>458.15</v>
      </c>
      <c r="AQ37" s="148">
        <v>454.68</v>
      </c>
      <c r="AR37" s="148">
        <v>451.18</v>
      </c>
      <c r="AS37" s="148">
        <v>447.73</v>
      </c>
      <c r="AT37" s="149">
        <v>444.23</v>
      </c>
      <c r="AU37" s="150">
        <v>440.77</v>
      </c>
      <c r="AV37" s="148">
        <v>437.26</v>
      </c>
      <c r="AW37" s="148">
        <v>433.76</v>
      </c>
      <c r="AX37" s="148">
        <v>430.24</v>
      </c>
      <c r="AY37" s="151">
        <v>426.79</v>
      </c>
      <c r="AZ37" s="152">
        <v>483.74</v>
      </c>
      <c r="BA37" s="153">
        <v>480.09</v>
      </c>
      <c r="BB37" s="153">
        <v>476.47</v>
      </c>
      <c r="BC37" s="153">
        <v>472.87</v>
      </c>
      <c r="BD37" s="153">
        <v>469.22</v>
      </c>
      <c r="BE37" s="153">
        <v>465.64</v>
      </c>
      <c r="BF37" s="154">
        <v>462</v>
      </c>
      <c r="BG37" s="155">
        <v>458.4</v>
      </c>
      <c r="BH37" s="153">
        <v>454.76</v>
      </c>
      <c r="BI37" s="153">
        <v>451.12</v>
      </c>
      <c r="BJ37" s="153">
        <v>447.45</v>
      </c>
      <c r="BK37" s="156">
        <v>443.85</v>
      </c>
    </row>
    <row r="38" spans="1:63" x14ac:dyDescent="0.25">
      <c r="A38" s="1026"/>
      <c r="B38" s="1027"/>
      <c r="C38" s="726" t="s">
        <v>41</v>
      </c>
      <c r="D38" s="703">
        <v>417.54</v>
      </c>
      <c r="E38" s="117">
        <v>414.4</v>
      </c>
      <c r="F38" s="117">
        <v>411.28</v>
      </c>
      <c r="G38" s="117">
        <v>408.16</v>
      </c>
      <c r="H38" s="117">
        <v>405.02</v>
      </c>
      <c r="I38" s="117">
        <v>401.92</v>
      </c>
      <c r="J38" s="117">
        <v>398.78</v>
      </c>
      <c r="K38" s="117">
        <v>395.68</v>
      </c>
      <c r="L38" s="117">
        <v>392.52</v>
      </c>
      <c r="M38" s="117">
        <v>389.39</v>
      </c>
      <c r="N38" s="117">
        <v>386.23</v>
      </c>
      <c r="O38" s="117">
        <v>383.12</v>
      </c>
      <c r="P38" s="118">
        <v>425.94</v>
      </c>
      <c r="Q38" s="119">
        <v>422.74</v>
      </c>
      <c r="R38" s="120">
        <v>419.55</v>
      </c>
      <c r="S38" s="121">
        <v>416.37</v>
      </c>
      <c r="T38" s="122">
        <v>413.17</v>
      </c>
      <c r="U38" s="123">
        <v>410.01</v>
      </c>
      <c r="V38" s="122">
        <v>406.8</v>
      </c>
      <c r="W38" s="123">
        <v>403.64</v>
      </c>
      <c r="X38" s="121">
        <v>400.42</v>
      </c>
      <c r="Y38" s="122">
        <v>397.22</v>
      </c>
      <c r="Z38" s="123">
        <v>394</v>
      </c>
      <c r="AA38" s="124">
        <v>390.83</v>
      </c>
      <c r="AB38" s="157">
        <v>447.24</v>
      </c>
      <c r="AC38" s="158">
        <v>443.87</v>
      </c>
      <c r="AD38" s="158">
        <v>440.53</v>
      </c>
      <c r="AE38" s="158">
        <v>437.19</v>
      </c>
      <c r="AF38" s="158">
        <v>433.83</v>
      </c>
      <c r="AG38" s="158">
        <v>430.51</v>
      </c>
      <c r="AH38" s="159">
        <v>427.14</v>
      </c>
      <c r="AI38" s="160">
        <v>423.82</v>
      </c>
      <c r="AJ38" s="158">
        <v>420.44</v>
      </c>
      <c r="AK38" s="158">
        <v>417.09</v>
      </c>
      <c r="AL38" s="158">
        <v>413.7</v>
      </c>
      <c r="AM38" s="161">
        <v>410.37</v>
      </c>
      <c r="AN38" s="130">
        <v>465.13</v>
      </c>
      <c r="AO38" s="131">
        <v>461.62</v>
      </c>
      <c r="AP38" s="131">
        <v>458.15</v>
      </c>
      <c r="AQ38" s="131">
        <v>454.68</v>
      </c>
      <c r="AR38" s="131">
        <v>451.18</v>
      </c>
      <c r="AS38" s="131">
        <v>447.73</v>
      </c>
      <c r="AT38" s="132">
        <v>444.23</v>
      </c>
      <c r="AU38" s="133">
        <v>440.77</v>
      </c>
      <c r="AV38" s="131">
        <v>437.26</v>
      </c>
      <c r="AW38" s="131">
        <v>433.76</v>
      </c>
      <c r="AX38" s="131">
        <v>430.24</v>
      </c>
      <c r="AY38" s="134">
        <v>426.79</v>
      </c>
      <c r="AZ38" s="135">
        <v>483.74</v>
      </c>
      <c r="BA38" s="136">
        <v>480.09</v>
      </c>
      <c r="BB38" s="136">
        <v>476.47</v>
      </c>
      <c r="BC38" s="136">
        <v>472.87</v>
      </c>
      <c r="BD38" s="136">
        <v>469.22</v>
      </c>
      <c r="BE38" s="136">
        <v>465.64</v>
      </c>
      <c r="BF38" s="137">
        <v>462</v>
      </c>
      <c r="BG38" s="138">
        <v>458.4</v>
      </c>
      <c r="BH38" s="136">
        <v>454.76</v>
      </c>
      <c r="BI38" s="136">
        <v>451.12</v>
      </c>
      <c r="BJ38" s="136">
        <v>447.45</v>
      </c>
      <c r="BK38" s="139">
        <v>443.85</v>
      </c>
    </row>
    <row r="39" spans="1:63" x14ac:dyDescent="0.25">
      <c r="A39" s="1026"/>
      <c r="B39" s="1027"/>
      <c r="C39" s="726" t="s">
        <v>42</v>
      </c>
      <c r="D39" s="703">
        <v>417.54</v>
      </c>
      <c r="E39" s="117">
        <v>414.4</v>
      </c>
      <c r="F39" s="117">
        <v>411.28</v>
      </c>
      <c r="G39" s="117">
        <v>408.16</v>
      </c>
      <c r="H39" s="117">
        <v>405.02</v>
      </c>
      <c r="I39" s="117">
        <v>401.92</v>
      </c>
      <c r="J39" s="117">
        <v>398.78</v>
      </c>
      <c r="K39" s="117">
        <v>395.68</v>
      </c>
      <c r="L39" s="117">
        <v>392.52</v>
      </c>
      <c r="M39" s="117">
        <v>389.39</v>
      </c>
      <c r="N39" s="117">
        <v>386.23</v>
      </c>
      <c r="O39" s="117">
        <v>383.12</v>
      </c>
      <c r="P39" s="140">
        <v>425.94</v>
      </c>
      <c r="Q39" s="141">
        <v>422.74</v>
      </c>
      <c r="R39" s="142">
        <v>419.55</v>
      </c>
      <c r="S39" s="143">
        <v>416.37</v>
      </c>
      <c r="T39" s="144">
        <v>413.17</v>
      </c>
      <c r="U39" s="145">
        <v>410.01</v>
      </c>
      <c r="V39" s="144">
        <v>406.8</v>
      </c>
      <c r="W39" s="145">
        <v>403.64</v>
      </c>
      <c r="X39" s="143">
        <v>400.42</v>
      </c>
      <c r="Y39" s="144">
        <v>397.22</v>
      </c>
      <c r="Z39" s="145">
        <v>394</v>
      </c>
      <c r="AA39" s="146">
        <v>390.83</v>
      </c>
      <c r="AB39" s="162">
        <v>447.24</v>
      </c>
      <c r="AC39" s="163">
        <v>443.87</v>
      </c>
      <c r="AD39" s="163">
        <v>440.53</v>
      </c>
      <c r="AE39" s="163">
        <v>437.19</v>
      </c>
      <c r="AF39" s="163">
        <v>433.83</v>
      </c>
      <c r="AG39" s="163">
        <v>430.51</v>
      </c>
      <c r="AH39" s="164">
        <v>427.14</v>
      </c>
      <c r="AI39" s="165">
        <v>423.82</v>
      </c>
      <c r="AJ39" s="163">
        <v>420.44</v>
      </c>
      <c r="AK39" s="163">
        <v>417.09</v>
      </c>
      <c r="AL39" s="163">
        <v>413.7</v>
      </c>
      <c r="AM39" s="166">
        <v>410.37</v>
      </c>
      <c r="AN39" s="147">
        <v>465.13</v>
      </c>
      <c r="AO39" s="148">
        <v>461.62</v>
      </c>
      <c r="AP39" s="148">
        <v>458.15</v>
      </c>
      <c r="AQ39" s="148">
        <v>454.68</v>
      </c>
      <c r="AR39" s="148">
        <v>451.18</v>
      </c>
      <c r="AS39" s="148">
        <v>447.73</v>
      </c>
      <c r="AT39" s="149">
        <v>444.23</v>
      </c>
      <c r="AU39" s="150">
        <v>440.77</v>
      </c>
      <c r="AV39" s="148">
        <v>437.26</v>
      </c>
      <c r="AW39" s="148">
        <v>433.76</v>
      </c>
      <c r="AX39" s="148">
        <v>430.24</v>
      </c>
      <c r="AY39" s="151">
        <v>426.79</v>
      </c>
      <c r="AZ39" s="152">
        <v>483.74</v>
      </c>
      <c r="BA39" s="153">
        <v>480.09</v>
      </c>
      <c r="BB39" s="153">
        <v>476.47</v>
      </c>
      <c r="BC39" s="153">
        <v>472.87</v>
      </c>
      <c r="BD39" s="153">
        <v>469.22</v>
      </c>
      <c r="BE39" s="153">
        <v>465.64</v>
      </c>
      <c r="BF39" s="154">
        <v>462</v>
      </c>
      <c r="BG39" s="155">
        <v>458.4</v>
      </c>
      <c r="BH39" s="153">
        <v>454.76</v>
      </c>
      <c r="BI39" s="153">
        <v>451.12</v>
      </c>
      <c r="BJ39" s="153">
        <v>447.45</v>
      </c>
      <c r="BK39" s="156">
        <v>443.85</v>
      </c>
    </row>
    <row r="40" spans="1:63" x14ac:dyDescent="0.25">
      <c r="A40" s="1026"/>
      <c r="B40" s="1027"/>
      <c r="C40" s="726" t="s">
        <v>43</v>
      </c>
      <c r="D40" s="703">
        <v>349.5</v>
      </c>
      <c r="E40" s="117">
        <v>345.93</v>
      </c>
      <c r="F40" s="117">
        <v>342.25</v>
      </c>
      <c r="G40" s="117">
        <v>338.61</v>
      </c>
      <c r="H40" s="117">
        <v>336.22</v>
      </c>
      <c r="I40" s="117">
        <v>333.46</v>
      </c>
      <c r="J40" s="117">
        <v>331.01</v>
      </c>
      <c r="K40" s="117">
        <v>328.45</v>
      </c>
      <c r="L40" s="117">
        <v>325.68</v>
      </c>
      <c r="M40" s="117">
        <v>323.06</v>
      </c>
      <c r="N40" s="117">
        <v>320.45999999999998</v>
      </c>
      <c r="O40" s="117">
        <v>317.76</v>
      </c>
      <c r="P40" s="118">
        <v>356.53</v>
      </c>
      <c r="Q40" s="119">
        <v>352.89</v>
      </c>
      <c r="R40" s="120">
        <v>349.14</v>
      </c>
      <c r="S40" s="121">
        <v>345.42</v>
      </c>
      <c r="T40" s="122">
        <v>342.98</v>
      </c>
      <c r="U40" s="123">
        <v>340.17</v>
      </c>
      <c r="V40" s="122">
        <v>337.67</v>
      </c>
      <c r="W40" s="123">
        <v>335.06</v>
      </c>
      <c r="X40" s="121">
        <v>332.23</v>
      </c>
      <c r="Y40" s="122">
        <v>329.56</v>
      </c>
      <c r="Z40" s="123">
        <v>326.91000000000003</v>
      </c>
      <c r="AA40" s="124">
        <v>324.14999999999998</v>
      </c>
      <c r="AB40" s="125">
        <v>374.36</v>
      </c>
      <c r="AC40" s="126">
        <v>370.54</v>
      </c>
      <c r="AD40" s="126">
        <v>366.59</v>
      </c>
      <c r="AE40" s="126">
        <v>362.69</v>
      </c>
      <c r="AF40" s="126">
        <v>360.13</v>
      </c>
      <c r="AG40" s="126">
        <v>357.17</v>
      </c>
      <c r="AH40" s="127">
        <v>354.55</v>
      </c>
      <c r="AI40" s="128">
        <v>351.81</v>
      </c>
      <c r="AJ40" s="126">
        <v>348.84</v>
      </c>
      <c r="AK40" s="126">
        <v>346.03</v>
      </c>
      <c r="AL40" s="126">
        <v>343.25</v>
      </c>
      <c r="AM40" s="129">
        <v>340.36</v>
      </c>
      <c r="AN40" s="130">
        <v>389.34</v>
      </c>
      <c r="AO40" s="131">
        <v>385.36</v>
      </c>
      <c r="AP40" s="131">
        <v>381.25</v>
      </c>
      <c r="AQ40" s="131">
        <v>377.2</v>
      </c>
      <c r="AR40" s="131">
        <v>374.54</v>
      </c>
      <c r="AS40" s="131">
        <v>371.47</v>
      </c>
      <c r="AT40" s="132">
        <v>368.73</v>
      </c>
      <c r="AU40" s="133">
        <v>365.88</v>
      </c>
      <c r="AV40" s="131">
        <v>362.79</v>
      </c>
      <c r="AW40" s="131">
        <v>359.88</v>
      </c>
      <c r="AX40" s="131">
        <v>356.98</v>
      </c>
      <c r="AY40" s="134">
        <v>353.98</v>
      </c>
      <c r="AZ40" s="135">
        <v>404.92</v>
      </c>
      <c r="BA40" s="136">
        <v>400.77</v>
      </c>
      <c r="BB40" s="136">
        <v>396.5</v>
      </c>
      <c r="BC40" s="136">
        <v>392.29</v>
      </c>
      <c r="BD40" s="136">
        <v>389.52</v>
      </c>
      <c r="BE40" s="136">
        <v>386.33</v>
      </c>
      <c r="BF40" s="137">
        <v>383.48</v>
      </c>
      <c r="BG40" s="138">
        <v>380.51</v>
      </c>
      <c r="BH40" s="136">
        <v>377.31</v>
      </c>
      <c r="BI40" s="136">
        <v>374.27</v>
      </c>
      <c r="BJ40" s="136">
        <v>371.26</v>
      </c>
      <c r="BK40" s="139">
        <v>368.14</v>
      </c>
    </row>
    <row r="41" spans="1:63" x14ac:dyDescent="0.25">
      <c r="A41" s="1026"/>
      <c r="B41" s="1027"/>
      <c r="C41" s="726" t="s">
        <v>44</v>
      </c>
      <c r="D41" s="703">
        <v>349.5</v>
      </c>
      <c r="E41" s="117">
        <v>345.93</v>
      </c>
      <c r="F41" s="117">
        <v>342.25</v>
      </c>
      <c r="G41" s="117">
        <v>338.61</v>
      </c>
      <c r="H41" s="117">
        <v>336.22</v>
      </c>
      <c r="I41" s="117">
        <v>333.46</v>
      </c>
      <c r="J41" s="117">
        <v>331.01</v>
      </c>
      <c r="K41" s="117">
        <v>328.45</v>
      </c>
      <c r="L41" s="117">
        <v>325.68</v>
      </c>
      <c r="M41" s="117">
        <v>323.06</v>
      </c>
      <c r="N41" s="117">
        <v>320.45999999999998</v>
      </c>
      <c r="O41" s="117">
        <v>317.76</v>
      </c>
      <c r="P41" s="140">
        <v>356.53</v>
      </c>
      <c r="Q41" s="141">
        <v>352.89</v>
      </c>
      <c r="R41" s="142">
        <v>349.14</v>
      </c>
      <c r="S41" s="143">
        <v>345.42</v>
      </c>
      <c r="T41" s="144">
        <v>342.98</v>
      </c>
      <c r="U41" s="145">
        <v>340.17</v>
      </c>
      <c r="V41" s="144">
        <v>337.67</v>
      </c>
      <c r="W41" s="145">
        <v>335.06</v>
      </c>
      <c r="X41" s="143">
        <v>332.23</v>
      </c>
      <c r="Y41" s="144">
        <v>329.56</v>
      </c>
      <c r="Z41" s="145">
        <v>326.91000000000003</v>
      </c>
      <c r="AA41" s="146">
        <v>324.14999999999998</v>
      </c>
      <c r="AB41" s="125">
        <v>374.36</v>
      </c>
      <c r="AC41" s="126">
        <v>370.54</v>
      </c>
      <c r="AD41" s="126">
        <v>366.59</v>
      </c>
      <c r="AE41" s="126">
        <v>362.69</v>
      </c>
      <c r="AF41" s="126">
        <v>360.13</v>
      </c>
      <c r="AG41" s="126">
        <v>357.17</v>
      </c>
      <c r="AH41" s="127">
        <v>354.55</v>
      </c>
      <c r="AI41" s="128">
        <v>351.81</v>
      </c>
      <c r="AJ41" s="126">
        <v>348.84</v>
      </c>
      <c r="AK41" s="126">
        <v>346.03</v>
      </c>
      <c r="AL41" s="126">
        <v>343.25</v>
      </c>
      <c r="AM41" s="129">
        <v>340.36</v>
      </c>
      <c r="AN41" s="167">
        <v>389.34</v>
      </c>
      <c r="AO41" s="168">
        <v>385.36</v>
      </c>
      <c r="AP41" s="168">
        <v>381.25</v>
      </c>
      <c r="AQ41" s="168">
        <v>377.2</v>
      </c>
      <c r="AR41" s="168">
        <v>374.54</v>
      </c>
      <c r="AS41" s="168">
        <v>371.47</v>
      </c>
      <c r="AT41" s="169">
        <v>368.73</v>
      </c>
      <c r="AU41" s="170">
        <v>365.88</v>
      </c>
      <c r="AV41" s="168">
        <v>362.79</v>
      </c>
      <c r="AW41" s="168">
        <v>359.88</v>
      </c>
      <c r="AX41" s="168">
        <v>356.98</v>
      </c>
      <c r="AY41" s="171">
        <v>353.98</v>
      </c>
      <c r="AZ41" s="172">
        <v>404.92</v>
      </c>
      <c r="BA41" s="173">
        <v>400.77</v>
      </c>
      <c r="BB41" s="173">
        <v>396.5</v>
      </c>
      <c r="BC41" s="173">
        <v>392.29</v>
      </c>
      <c r="BD41" s="173">
        <v>389.52</v>
      </c>
      <c r="BE41" s="173">
        <v>386.33</v>
      </c>
      <c r="BF41" s="174">
        <v>383.48</v>
      </c>
      <c r="BG41" s="175">
        <v>380.51</v>
      </c>
      <c r="BH41" s="173">
        <v>377.31</v>
      </c>
      <c r="BI41" s="173">
        <v>374.27</v>
      </c>
      <c r="BJ41" s="173">
        <v>371.26</v>
      </c>
      <c r="BK41" s="176">
        <v>368.14</v>
      </c>
    </row>
    <row r="42" spans="1:63" x14ac:dyDescent="0.25">
      <c r="A42" s="1026"/>
      <c r="B42" s="1027"/>
      <c r="C42" s="726" t="s">
        <v>45</v>
      </c>
      <c r="D42" s="703">
        <v>349.5</v>
      </c>
      <c r="E42" s="117">
        <v>345.93</v>
      </c>
      <c r="F42" s="117">
        <v>342.25</v>
      </c>
      <c r="G42" s="117">
        <v>338.61</v>
      </c>
      <c r="H42" s="117">
        <v>336.22</v>
      </c>
      <c r="I42" s="117">
        <v>333.46</v>
      </c>
      <c r="J42" s="117">
        <v>331.01</v>
      </c>
      <c r="K42" s="117">
        <v>328.45</v>
      </c>
      <c r="L42" s="117">
        <v>325.68</v>
      </c>
      <c r="M42" s="117">
        <v>323.06</v>
      </c>
      <c r="N42" s="117">
        <v>320.45999999999998</v>
      </c>
      <c r="O42" s="117">
        <v>317.76</v>
      </c>
      <c r="P42" s="118">
        <v>356.53</v>
      </c>
      <c r="Q42" s="119">
        <v>352.89</v>
      </c>
      <c r="R42" s="120">
        <v>349.14</v>
      </c>
      <c r="S42" s="121">
        <v>345.42</v>
      </c>
      <c r="T42" s="122">
        <v>342.98</v>
      </c>
      <c r="U42" s="123">
        <v>340.17</v>
      </c>
      <c r="V42" s="122">
        <v>337.67</v>
      </c>
      <c r="W42" s="123">
        <v>335.06</v>
      </c>
      <c r="X42" s="121">
        <v>332.23</v>
      </c>
      <c r="Y42" s="122">
        <v>329.56</v>
      </c>
      <c r="Z42" s="123">
        <v>326.91000000000003</v>
      </c>
      <c r="AA42" s="124">
        <v>324.14999999999998</v>
      </c>
      <c r="AB42" s="125">
        <v>374.36</v>
      </c>
      <c r="AC42" s="126">
        <v>370.54</v>
      </c>
      <c r="AD42" s="126">
        <v>366.59</v>
      </c>
      <c r="AE42" s="126">
        <v>362.69</v>
      </c>
      <c r="AF42" s="126">
        <v>360.13</v>
      </c>
      <c r="AG42" s="126">
        <v>357.17</v>
      </c>
      <c r="AH42" s="127">
        <v>354.55</v>
      </c>
      <c r="AI42" s="128">
        <v>351.81</v>
      </c>
      <c r="AJ42" s="126">
        <v>348.84</v>
      </c>
      <c r="AK42" s="126">
        <v>346.03</v>
      </c>
      <c r="AL42" s="126">
        <v>343.25</v>
      </c>
      <c r="AM42" s="129">
        <v>340.36</v>
      </c>
      <c r="AN42" s="177">
        <v>389.34</v>
      </c>
      <c r="AO42" s="178">
        <v>385.36</v>
      </c>
      <c r="AP42" s="178">
        <v>381.25</v>
      </c>
      <c r="AQ42" s="178">
        <v>377.2</v>
      </c>
      <c r="AR42" s="178">
        <v>374.54</v>
      </c>
      <c r="AS42" s="178">
        <v>371.47</v>
      </c>
      <c r="AT42" s="179">
        <v>368.73</v>
      </c>
      <c r="AU42" s="180">
        <v>365.88</v>
      </c>
      <c r="AV42" s="178">
        <v>362.79</v>
      </c>
      <c r="AW42" s="178">
        <v>359.88</v>
      </c>
      <c r="AX42" s="178">
        <v>356.98</v>
      </c>
      <c r="AY42" s="181">
        <v>353.98</v>
      </c>
      <c r="AZ42" s="182">
        <v>404.92</v>
      </c>
      <c r="BA42" s="183">
        <v>400.77</v>
      </c>
      <c r="BB42" s="183">
        <v>396.5</v>
      </c>
      <c r="BC42" s="183">
        <v>392.29</v>
      </c>
      <c r="BD42" s="183">
        <v>389.52</v>
      </c>
      <c r="BE42" s="183">
        <v>386.33</v>
      </c>
      <c r="BF42" s="184">
        <v>383.48</v>
      </c>
      <c r="BG42" s="185">
        <v>380.51</v>
      </c>
      <c r="BH42" s="183">
        <v>377.31</v>
      </c>
      <c r="BI42" s="183">
        <v>374.27</v>
      </c>
      <c r="BJ42" s="183">
        <v>371.26</v>
      </c>
      <c r="BK42" s="186">
        <v>368.14</v>
      </c>
    </row>
    <row r="43" spans="1:63" x14ac:dyDescent="0.25">
      <c r="A43" s="1026"/>
      <c r="B43" s="1027"/>
      <c r="C43" s="726" t="s">
        <v>46</v>
      </c>
      <c r="D43" s="703">
        <v>349.5</v>
      </c>
      <c r="E43" s="117">
        <v>345.93</v>
      </c>
      <c r="F43" s="117">
        <v>342.25</v>
      </c>
      <c r="G43" s="117">
        <v>338.61</v>
      </c>
      <c r="H43" s="117">
        <v>336.22</v>
      </c>
      <c r="I43" s="117">
        <v>333.46</v>
      </c>
      <c r="J43" s="117">
        <v>331.01</v>
      </c>
      <c r="K43" s="117">
        <v>328.45</v>
      </c>
      <c r="L43" s="117">
        <v>325.68</v>
      </c>
      <c r="M43" s="117">
        <v>323.06</v>
      </c>
      <c r="N43" s="117">
        <v>320.45999999999998</v>
      </c>
      <c r="O43" s="117">
        <v>317.76</v>
      </c>
      <c r="P43" s="140">
        <v>356.53</v>
      </c>
      <c r="Q43" s="141">
        <v>352.89</v>
      </c>
      <c r="R43" s="142">
        <v>349.14</v>
      </c>
      <c r="S43" s="143">
        <v>345.42</v>
      </c>
      <c r="T43" s="144">
        <v>342.98</v>
      </c>
      <c r="U43" s="145">
        <v>340.17</v>
      </c>
      <c r="V43" s="144">
        <v>337.67</v>
      </c>
      <c r="W43" s="145">
        <v>335.06</v>
      </c>
      <c r="X43" s="143">
        <v>332.23</v>
      </c>
      <c r="Y43" s="144">
        <v>329.56</v>
      </c>
      <c r="Z43" s="145">
        <v>326.91000000000003</v>
      </c>
      <c r="AA43" s="146">
        <v>324.14999999999998</v>
      </c>
      <c r="AB43" s="125">
        <v>374.36</v>
      </c>
      <c r="AC43" s="126">
        <v>370.54</v>
      </c>
      <c r="AD43" s="126">
        <v>366.59</v>
      </c>
      <c r="AE43" s="126">
        <v>362.69</v>
      </c>
      <c r="AF43" s="126">
        <v>360.13</v>
      </c>
      <c r="AG43" s="126">
        <v>357.17</v>
      </c>
      <c r="AH43" s="127">
        <v>354.55</v>
      </c>
      <c r="AI43" s="128">
        <v>351.81</v>
      </c>
      <c r="AJ43" s="126">
        <v>348.84</v>
      </c>
      <c r="AK43" s="126">
        <v>346.03</v>
      </c>
      <c r="AL43" s="126">
        <v>343.25</v>
      </c>
      <c r="AM43" s="129">
        <v>340.36</v>
      </c>
      <c r="AN43" s="147">
        <v>389.34</v>
      </c>
      <c r="AO43" s="148">
        <v>385.36</v>
      </c>
      <c r="AP43" s="148">
        <v>381.25</v>
      </c>
      <c r="AQ43" s="148">
        <v>377.2</v>
      </c>
      <c r="AR43" s="148">
        <v>374.54</v>
      </c>
      <c r="AS43" s="148">
        <v>371.47</v>
      </c>
      <c r="AT43" s="149">
        <v>368.73</v>
      </c>
      <c r="AU43" s="150">
        <v>365.88</v>
      </c>
      <c r="AV43" s="148">
        <v>362.79</v>
      </c>
      <c r="AW43" s="148">
        <v>359.88</v>
      </c>
      <c r="AX43" s="148">
        <v>356.98</v>
      </c>
      <c r="AY43" s="151">
        <v>353.98</v>
      </c>
      <c r="AZ43" s="152">
        <v>404.92</v>
      </c>
      <c r="BA43" s="153">
        <v>400.77</v>
      </c>
      <c r="BB43" s="153">
        <v>396.5</v>
      </c>
      <c r="BC43" s="153">
        <v>392.29</v>
      </c>
      <c r="BD43" s="153">
        <v>389.52</v>
      </c>
      <c r="BE43" s="153">
        <v>386.33</v>
      </c>
      <c r="BF43" s="154">
        <v>383.48</v>
      </c>
      <c r="BG43" s="155">
        <v>380.51</v>
      </c>
      <c r="BH43" s="153">
        <v>377.31</v>
      </c>
      <c r="BI43" s="153">
        <v>374.27</v>
      </c>
      <c r="BJ43" s="153">
        <v>371.26</v>
      </c>
      <c r="BK43" s="156">
        <v>368.14</v>
      </c>
    </row>
    <row r="44" spans="1:63" x14ac:dyDescent="0.25">
      <c r="A44" s="1026"/>
      <c r="B44" s="1027"/>
      <c r="C44" s="726" t="s">
        <v>47</v>
      </c>
      <c r="D44" s="703">
        <v>336.89</v>
      </c>
      <c r="E44" s="117">
        <v>334.29</v>
      </c>
      <c r="F44" s="117">
        <v>331.69</v>
      </c>
      <c r="G44" s="117">
        <v>329.24</v>
      </c>
      <c r="H44" s="117">
        <v>326.64</v>
      </c>
      <c r="I44" s="117">
        <v>324.10000000000002</v>
      </c>
      <c r="J44" s="117">
        <v>321.57</v>
      </c>
      <c r="K44" s="117">
        <v>319.02</v>
      </c>
      <c r="L44" s="117">
        <v>316.45</v>
      </c>
      <c r="M44" s="117">
        <v>313.89999999999998</v>
      </c>
      <c r="N44" s="117">
        <v>311.45999999999998</v>
      </c>
      <c r="O44" s="117">
        <v>309.02999999999997</v>
      </c>
      <c r="P44" s="118">
        <v>343.67</v>
      </c>
      <c r="Q44" s="119">
        <v>341.02</v>
      </c>
      <c r="R44" s="120">
        <v>338.36</v>
      </c>
      <c r="S44" s="121">
        <v>335.86</v>
      </c>
      <c r="T44" s="122">
        <v>333.21</v>
      </c>
      <c r="U44" s="123">
        <v>330.62</v>
      </c>
      <c r="V44" s="122">
        <v>328.04</v>
      </c>
      <c r="W44" s="123">
        <v>325.44</v>
      </c>
      <c r="X44" s="121">
        <v>322.82</v>
      </c>
      <c r="Y44" s="122">
        <v>320.20999999999998</v>
      </c>
      <c r="Z44" s="123">
        <v>317.73</v>
      </c>
      <c r="AA44" s="124">
        <v>315.25</v>
      </c>
      <c r="AB44" s="125">
        <v>360.85</v>
      </c>
      <c r="AC44" s="126">
        <v>358.06</v>
      </c>
      <c r="AD44" s="126">
        <v>355.28</v>
      </c>
      <c r="AE44" s="126">
        <v>352.65</v>
      </c>
      <c r="AF44" s="126">
        <v>349.87</v>
      </c>
      <c r="AG44" s="126">
        <v>347.16</v>
      </c>
      <c r="AH44" s="127">
        <v>344.44</v>
      </c>
      <c r="AI44" s="128">
        <v>341.71</v>
      </c>
      <c r="AJ44" s="126">
        <v>338.95</v>
      </c>
      <c r="AK44" s="126">
        <v>336.23</v>
      </c>
      <c r="AL44" s="126">
        <v>333.61</v>
      </c>
      <c r="AM44" s="129">
        <v>331.01</v>
      </c>
      <c r="AN44" s="130">
        <v>375.28</v>
      </c>
      <c r="AO44" s="131">
        <v>372.38</v>
      </c>
      <c r="AP44" s="131">
        <v>369.49</v>
      </c>
      <c r="AQ44" s="131">
        <v>366.76</v>
      </c>
      <c r="AR44" s="131">
        <v>363.87</v>
      </c>
      <c r="AS44" s="131">
        <v>361.04</v>
      </c>
      <c r="AT44" s="132">
        <v>358.22</v>
      </c>
      <c r="AU44" s="133">
        <v>355.38</v>
      </c>
      <c r="AV44" s="131">
        <v>352.51</v>
      </c>
      <c r="AW44" s="131">
        <v>349.68</v>
      </c>
      <c r="AX44" s="131">
        <v>346.95</v>
      </c>
      <c r="AY44" s="134">
        <v>344.25</v>
      </c>
      <c r="AZ44" s="135">
        <v>390.3</v>
      </c>
      <c r="BA44" s="136">
        <v>387.28</v>
      </c>
      <c r="BB44" s="136">
        <v>384.27</v>
      </c>
      <c r="BC44" s="136">
        <v>381.43</v>
      </c>
      <c r="BD44" s="136">
        <v>378.42</v>
      </c>
      <c r="BE44" s="136">
        <v>375.48</v>
      </c>
      <c r="BF44" s="137">
        <v>372.56</v>
      </c>
      <c r="BG44" s="138">
        <v>369.59</v>
      </c>
      <c r="BH44" s="136">
        <v>366.61</v>
      </c>
      <c r="BI44" s="136">
        <v>363.66</v>
      </c>
      <c r="BJ44" s="136">
        <v>360.83</v>
      </c>
      <c r="BK44" s="139">
        <v>358.02</v>
      </c>
    </row>
    <row r="45" spans="1:63" x14ac:dyDescent="0.25">
      <c r="A45" s="1026"/>
      <c r="B45" s="1027"/>
      <c r="C45" s="726" t="s">
        <v>48</v>
      </c>
      <c r="D45" s="703">
        <v>336.89</v>
      </c>
      <c r="E45" s="117">
        <v>334.29</v>
      </c>
      <c r="F45" s="117">
        <v>331.69</v>
      </c>
      <c r="G45" s="117">
        <v>329.24</v>
      </c>
      <c r="H45" s="117">
        <v>326.64</v>
      </c>
      <c r="I45" s="117">
        <v>324.10000000000002</v>
      </c>
      <c r="J45" s="117">
        <v>321.57</v>
      </c>
      <c r="K45" s="117">
        <v>319.02</v>
      </c>
      <c r="L45" s="117">
        <v>316.45</v>
      </c>
      <c r="M45" s="117">
        <v>313.89999999999998</v>
      </c>
      <c r="N45" s="117">
        <v>311.45999999999998</v>
      </c>
      <c r="O45" s="117">
        <v>309.02999999999997</v>
      </c>
      <c r="P45" s="140">
        <v>343.67</v>
      </c>
      <c r="Q45" s="141">
        <v>341.02</v>
      </c>
      <c r="R45" s="142">
        <v>338.36</v>
      </c>
      <c r="S45" s="143">
        <v>335.86</v>
      </c>
      <c r="T45" s="144">
        <v>333.21</v>
      </c>
      <c r="U45" s="145">
        <v>330.62</v>
      </c>
      <c r="V45" s="144">
        <v>328.04</v>
      </c>
      <c r="W45" s="145">
        <v>325.44</v>
      </c>
      <c r="X45" s="143">
        <v>322.82</v>
      </c>
      <c r="Y45" s="144">
        <v>320.20999999999998</v>
      </c>
      <c r="Z45" s="145">
        <v>317.73</v>
      </c>
      <c r="AA45" s="146">
        <v>315.25</v>
      </c>
      <c r="AB45" s="125">
        <v>360.85</v>
      </c>
      <c r="AC45" s="126">
        <v>358.06</v>
      </c>
      <c r="AD45" s="126">
        <v>355.28</v>
      </c>
      <c r="AE45" s="126">
        <v>352.65</v>
      </c>
      <c r="AF45" s="126">
        <v>349.87</v>
      </c>
      <c r="AG45" s="126">
        <v>347.16</v>
      </c>
      <c r="AH45" s="127">
        <v>344.44</v>
      </c>
      <c r="AI45" s="128">
        <v>341.71</v>
      </c>
      <c r="AJ45" s="126">
        <v>338.95</v>
      </c>
      <c r="AK45" s="126">
        <v>336.23</v>
      </c>
      <c r="AL45" s="126">
        <v>333.61</v>
      </c>
      <c r="AM45" s="129">
        <v>331.01</v>
      </c>
      <c r="AN45" s="167">
        <v>375.28</v>
      </c>
      <c r="AO45" s="168">
        <v>372.38</v>
      </c>
      <c r="AP45" s="168">
        <v>369.49</v>
      </c>
      <c r="AQ45" s="168">
        <v>366.76</v>
      </c>
      <c r="AR45" s="168">
        <v>363.87</v>
      </c>
      <c r="AS45" s="168">
        <v>361.04</v>
      </c>
      <c r="AT45" s="169">
        <v>358.22</v>
      </c>
      <c r="AU45" s="170">
        <v>355.38</v>
      </c>
      <c r="AV45" s="168">
        <v>352.51</v>
      </c>
      <c r="AW45" s="168">
        <v>349.68</v>
      </c>
      <c r="AX45" s="168">
        <v>346.95</v>
      </c>
      <c r="AY45" s="171">
        <v>344.25</v>
      </c>
      <c r="AZ45" s="172">
        <v>390.3</v>
      </c>
      <c r="BA45" s="173">
        <v>387.28</v>
      </c>
      <c r="BB45" s="173">
        <v>384.27</v>
      </c>
      <c r="BC45" s="173">
        <v>381.43</v>
      </c>
      <c r="BD45" s="173">
        <v>378.42</v>
      </c>
      <c r="BE45" s="173">
        <v>375.48</v>
      </c>
      <c r="BF45" s="174">
        <v>372.56</v>
      </c>
      <c r="BG45" s="175">
        <v>369.59</v>
      </c>
      <c r="BH45" s="173">
        <v>366.61</v>
      </c>
      <c r="BI45" s="173">
        <v>363.66</v>
      </c>
      <c r="BJ45" s="173">
        <v>360.83</v>
      </c>
      <c r="BK45" s="176">
        <v>358.02</v>
      </c>
    </row>
    <row r="46" spans="1:63" x14ac:dyDescent="0.25">
      <c r="A46" s="1026"/>
      <c r="B46" s="1027"/>
      <c r="C46" s="726" t="s">
        <v>49</v>
      </c>
      <c r="D46" s="703">
        <v>335.13</v>
      </c>
      <c r="E46" s="117">
        <v>332.67</v>
      </c>
      <c r="F46" s="117">
        <v>330.13</v>
      </c>
      <c r="G46" s="117">
        <v>327.64999999999998</v>
      </c>
      <c r="H46" s="117">
        <v>325.11</v>
      </c>
      <c r="I46" s="117">
        <v>322.58999999999997</v>
      </c>
      <c r="J46" s="117">
        <v>320.10000000000002</v>
      </c>
      <c r="K46" s="117">
        <v>317.60000000000002</v>
      </c>
      <c r="L46" s="117">
        <v>315.06</v>
      </c>
      <c r="M46" s="117">
        <v>312.52</v>
      </c>
      <c r="N46" s="117">
        <v>310.08999999999997</v>
      </c>
      <c r="O46" s="117">
        <v>307.69</v>
      </c>
      <c r="P46" s="118">
        <v>341.87</v>
      </c>
      <c r="Q46" s="119">
        <v>339.36</v>
      </c>
      <c r="R46" s="120">
        <v>336.77</v>
      </c>
      <c r="S46" s="121">
        <v>334.24</v>
      </c>
      <c r="T46" s="122">
        <v>331.65</v>
      </c>
      <c r="U46" s="123">
        <v>329.08</v>
      </c>
      <c r="V46" s="122">
        <v>326.54000000000002</v>
      </c>
      <c r="W46" s="123">
        <v>323.99</v>
      </c>
      <c r="X46" s="121">
        <v>321.39999999999998</v>
      </c>
      <c r="Y46" s="122">
        <v>318.81</v>
      </c>
      <c r="Z46" s="123">
        <v>316.33</v>
      </c>
      <c r="AA46" s="124">
        <v>313.88</v>
      </c>
      <c r="AB46" s="157">
        <v>358.97</v>
      </c>
      <c r="AC46" s="158">
        <v>356.33</v>
      </c>
      <c r="AD46" s="158">
        <v>353.61</v>
      </c>
      <c r="AE46" s="158">
        <v>350.95</v>
      </c>
      <c r="AF46" s="158">
        <v>348.24</v>
      </c>
      <c r="AG46" s="158">
        <v>345.53</v>
      </c>
      <c r="AH46" s="159">
        <v>342.87</v>
      </c>
      <c r="AI46" s="160">
        <v>340.19</v>
      </c>
      <c r="AJ46" s="158">
        <v>337.47</v>
      </c>
      <c r="AK46" s="158">
        <v>334.75</v>
      </c>
      <c r="AL46" s="158">
        <v>332.14</v>
      </c>
      <c r="AM46" s="161">
        <v>329.57</v>
      </c>
      <c r="AN46" s="177">
        <v>373.33</v>
      </c>
      <c r="AO46" s="178">
        <v>370.58</v>
      </c>
      <c r="AP46" s="178">
        <v>367.76</v>
      </c>
      <c r="AQ46" s="178">
        <v>364.99</v>
      </c>
      <c r="AR46" s="178">
        <v>362.16</v>
      </c>
      <c r="AS46" s="178">
        <v>359.36</v>
      </c>
      <c r="AT46" s="179">
        <v>356.58</v>
      </c>
      <c r="AU46" s="180">
        <v>353.8</v>
      </c>
      <c r="AV46" s="178">
        <v>350.96</v>
      </c>
      <c r="AW46" s="178">
        <v>348.15</v>
      </c>
      <c r="AX46" s="178">
        <v>345.42</v>
      </c>
      <c r="AY46" s="181">
        <v>342.75</v>
      </c>
      <c r="AZ46" s="182">
        <v>388.27</v>
      </c>
      <c r="BA46" s="183">
        <v>385.4</v>
      </c>
      <c r="BB46" s="183">
        <v>382.47</v>
      </c>
      <c r="BC46" s="183">
        <v>379.59</v>
      </c>
      <c r="BD46" s="183">
        <v>376.65</v>
      </c>
      <c r="BE46" s="183">
        <v>373.73</v>
      </c>
      <c r="BF46" s="184">
        <v>370.84</v>
      </c>
      <c r="BG46" s="185">
        <v>367.95</v>
      </c>
      <c r="BH46" s="183">
        <v>365</v>
      </c>
      <c r="BI46" s="183">
        <v>362.07</v>
      </c>
      <c r="BJ46" s="183">
        <v>359.23</v>
      </c>
      <c r="BK46" s="186">
        <v>356.46</v>
      </c>
    </row>
    <row r="47" spans="1:63" x14ac:dyDescent="0.25">
      <c r="A47" s="1026"/>
      <c r="B47" s="1027"/>
      <c r="C47" s="726" t="s">
        <v>50</v>
      </c>
      <c r="D47" s="703">
        <v>335.13</v>
      </c>
      <c r="E47" s="117">
        <v>332.67</v>
      </c>
      <c r="F47" s="117">
        <v>330.13</v>
      </c>
      <c r="G47" s="117">
        <v>327.64999999999998</v>
      </c>
      <c r="H47" s="117">
        <v>325.11</v>
      </c>
      <c r="I47" s="117">
        <v>322.58999999999997</v>
      </c>
      <c r="J47" s="117">
        <v>320.10000000000002</v>
      </c>
      <c r="K47" s="117">
        <v>317.60000000000002</v>
      </c>
      <c r="L47" s="117">
        <v>315.06</v>
      </c>
      <c r="M47" s="117">
        <v>312.52</v>
      </c>
      <c r="N47" s="117">
        <v>310.08999999999997</v>
      </c>
      <c r="O47" s="117">
        <v>307.69</v>
      </c>
      <c r="P47" s="140">
        <v>341.87</v>
      </c>
      <c r="Q47" s="141">
        <v>339.36</v>
      </c>
      <c r="R47" s="142">
        <v>336.77</v>
      </c>
      <c r="S47" s="143">
        <v>334.24</v>
      </c>
      <c r="T47" s="144">
        <v>331.65</v>
      </c>
      <c r="U47" s="145">
        <v>329.08</v>
      </c>
      <c r="V47" s="144">
        <v>326.54000000000002</v>
      </c>
      <c r="W47" s="145">
        <v>323.99</v>
      </c>
      <c r="X47" s="143">
        <v>321.39999999999998</v>
      </c>
      <c r="Y47" s="144">
        <v>318.81</v>
      </c>
      <c r="Z47" s="145">
        <v>316.33</v>
      </c>
      <c r="AA47" s="146">
        <v>313.88</v>
      </c>
      <c r="AB47" s="162">
        <v>358.97</v>
      </c>
      <c r="AC47" s="163">
        <v>356.33</v>
      </c>
      <c r="AD47" s="163">
        <v>353.61</v>
      </c>
      <c r="AE47" s="163">
        <v>350.95</v>
      </c>
      <c r="AF47" s="163">
        <v>348.24</v>
      </c>
      <c r="AG47" s="163">
        <v>345.53</v>
      </c>
      <c r="AH47" s="164">
        <v>342.87</v>
      </c>
      <c r="AI47" s="165">
        <v>340.19</v>
      </c>
      <c r="AJ47" s="163">
        <v>337.47</v>
      </c>
      <c r="AK47" s="163">
        <v>334.75</v>
      </c>
      <c r="AL47" s="163">
        <v>332.14</v>
      </c>
      <c r="AM47" s="166">
        <v>329.57</v>
      </c>
      <c r="AN47" s="147">
        <v>373.33</v>
      </c>
      <c r="AO47" s="148">
        <v>370.58</v>
      </c>
      <c r="AP47" s="148">
        <v>367.76</v>
      </c>
      <c r="AQ47" s="148">
        <v>364.99</v>
      </c>
      <c r="AR47" s="148">
        <v>362.16</v>
      </c>
      <c r="AS47" s="148">
        <v>359.36</v>
      </c>
      <c r="AT47" s="149">
        <v>356.58</v>
      </c>
      <c r="AU47" s="150">
        <v>353.8</v>
      </c>
      <c r="AV47" s="148">
        <v>350.96</v>
      </c>
      <c r="AW47" s="148">
        <v>348.15</v>
      </c>
      <c r="AX47" s="148">
        <v>345.42</v>
      </c>
      <c r="AY47" s="151">
        <v>342.75</v>
      </c>
      <c r="AZ47" s="152">
        <v>388.27</v>
      </c>
      <c r="BA47" s="153">
        <v>385.4</v>
      </c>
      <c r="BB47" s="153">
        <v>382.47</v>
      </c>
      <c r="BC47" s="153">
        <v>379.59</v>
      </c>
      <c r="BD47" s="153">
        <v>376.65</v>
      </c>
      <c r="BE47" s="153">
        <v>373.73</v>
      </c>
      <c r="BF47" s="154">
        <v>370.84</v>
      </c>
      <c r="BG47" s="155">
        <v>367.95</v>
      </c>
      <c r="BH47" s="153">
        <v>365</v>
      </c>
      <c r="BI47" s="153">
        <v>362.07</v>
      </c>
      <c r="BJ47" s="153">
        <v>359.23</v>
      </c>
      <c r="BK47" s="156">
        <v>356.46</v>
      </c>
    </row>
    <row r="48" spans="1:63" x14ac:dyDescent="0.25">
      <c r="A48" s="1026"/>
      <c r="B48" s="1027"/>
      <c r="C48" s="726" t="s">
        <v>51</v>
      </c>
      <c r="D48" s="703">
        <v>323.39</v>
      </c>
      <c r="E48" s="117">
        <v>320.94</v>
      </c>
      <c r="F48" s="117">
        <v>318.47000000000003</v>
      </c>
      <c r="G48" s="117">
        <v>316.02</v>
      </c>
      <c r="H48" s="117">
        <v>313.60000000000002</v>
      </c>
      <c r="I48" s="117">
        <v>311.17</v>
      </c>
      <c r="J48" s="117">
        <v>308.74</v>
      </c>
      <c r="K48" s="117">
        <v>306.27</v>
      </c>
      <c r="L48" s="117">
        <v>303.81</v>
      </c>
      <c r="M48" s="117">
        <v>301.37</v>
      </c>
      <c r="N48" s="117">
        <v>298.95999999999998</v>
      </c>
      <c r="O48" s="117">
        <v>296.51</v>
      </c>
      <c r="P48" s="118">
        <v>329.9</v>
      </c>
      <c r="Q48" s="119">
        <v>327.39999999999998</v>
      </c>
      <c r="R48" s="120">
        <v>324.88</v>
      </c>
      <c r="S48" s="121">
        <v>322.38</v>
      </c>
      <c r="T48" s="122">
        <v>319.91000000000003</v>
      </c>
      <c r="U48" s="123">
        <v>317.43</v>
      </c>
      <c r="V48" s="122">
        <v>314.95</v>
      </c>
      <c r="W48" s="123">
        <v>312.43</v>
      </c>
      <c r="X48" s="121">
        <v>309.92</v>
      </c>
      <c r="Y48" s="122">
        <v>307.43</v>
      </c>
      <c r="Z48" s="123">
        <v>304.97000000000003</v>
      </c>
      <c r="AA48" s="124">
        <v>302.48</v>
      </c>
      <c r="AB48" s="125">
        <v>346.39</v>
      </c>
      <c r="AC48" s="126">
        <v>343.77</v>
      </c>
      <c r="AD48" s="126">
        <v>341.12</v>
      </c>
      <c r="AE48" s="126">
        <v>338.5</v>
      </c>
      <c r="AF48" s="126">
        <v>335.9</v>
      </c>
      <c r="AG48" s="126">
        <v>333.3</v>
      </c>
      <c r="AH48" s="127">
        <v>330.7</v>
      </c>
      <c r="AI48" s="128">
        <v>328.05</v>
      </c>
      <c r="AJ48" s="126">
        <v>325.42</v>
      </c>
      <c r="AK48" s="126">
        <v>322.81</v>
      </c>
      <c r="AL48" s="126">
        <v>320.23</v>
      </c>
      <c r="AM48" s="129">
        <v>317.60000000000002</v>
      </c>
      <c r="AN48" s="130">
        <v>360.24</v>
      </c>
      <c r="AO48" s="131">
        <v>357.52</v>
      </c>
      <c r="AP48" s="131">
        <v>354.77</v>
      </c>
      <c r="AQ48" s="131">
        <v>352.03</v>
      </c>
      <c r="AR48" s="131">
        <v>349.34</v>
      </c>
      <c r="AS48" s="131">
        <v>346.64</v>
      </c>
      <c r="AT48" s="132">
        <v>343.93</v>
      </c>
      <c r="AU48" s="133">
        <v>341.17</v>
      </c>
      <c r="AV48" s="131">
        <v>338.43</v>
      </c>
      <c r="AW48" s="131">
        <v>335.72</v>
      </c>
      <c r="AX48" s="131">
        <v>333.04</v>
      </c>
      <c r="AY48" s="134">
        <v>330.3</v>
      </c>
      <c r="AZ48" s="135">
        <v>374.66</v>
      </c>
      <c r="BA48" s="136">
        <v>371.82</v>
      </c>
      <c r="BB48" s="136">
        <v>368.96</v>
      </c>
      <c r="BC48" s="136">
        <v>366.11</v>
      </c>
      <c r="BD48" s="136">
        <v>363.31</v>
      </c>
      <c r="BE48" s="136">
        <v>360.5</v>
      </c>
      <c r="BF48" s="137">
        <v>357.69</v>
      </c>
      <c r="BG48" s="138">
        <v>354.82</v>
      </c>
      <c r="BH48" s="136">
        <v>351.97</v>
      </c>
      <c r="BI48" s="136">
        <v>349.15</v>
      </c>
      <c r="BJ48" s="136">
        <v>346.36</v>
      </c>
      <c r="BK48" s="139">
        <v>343.51</v>
      </c>
    </row>
    <row r="49" spans="1:63" x14ac:dyDescent="0.25">
      <c r="A49" s="1026"/>
      <c r="B49" s="1027"/>
      <c r="C49" s="726" t="s">
        <v>52</v>
      </c>
      <c r="D49" s="703">
        <v>310.14999999999998</v>
      </c>
      <c r="E49" s="117">
        <v>307.8</v>
      </c>
      <c r="F49" s="117">
        <v>305.43</v>
      </c>
      <c r="G49" s="117">
        <v>303.08</v>
      </c>
      <c r="H49" s="117">
        <v>300.76</v>
      </c>
      <c r="I49" s="117">
        <v>298.42</v>
      </c>
      <c r="J49" s="117">
        <v>296.10000000000002</v>
      </c>
      <c r="K49" s="117">
        <v>293.73</v>
      </c>
      <c r="L49" s="117">
        <v>291.38</v>
      </c>
      <c r="M49" s="117">
        <v>289.02999999999997</v>
      </c>
      <c r="N49" s="117">
        <v>286.73</v>
      </c>
      <c r="O49" s="117">
        <v>284.37</v>
      </c>
      <c r="P49" s="187">
        <v>316.39</v>
      </c>
      <c r="Q49" s="188">
        <v>313.99</v>
      </c>
      <c r="R49" s="189">
        <v>311.57</v>
      </c>
      <c r="S49" s="190">
        <v>309.18</v>
      </c>
      <c r="T49" s="191">
        <v>306.81</v>
      </c>
      <c r="U49" s="192">
        <v>304.42</v>
      </c>
      <c r="V49" s="191">
        <v>302.06</v>
      </c>
      <c r="W49" s="192">
        <v>299.64</v>
      </c>
      <c r="X49" s="190">
        <v>297.24</v>
      </c>
      <c r="Y49" s="191">
        <v>294.83999999999997</v>
      </c>
      <c r="Z49" s="192">
        <v>292.5</v>
      </c>
      <c r="AA49" s="193">
        <v>290.08999999999997</v>
      </c>
      <c r="AB49" s="125">
        <v>332.21</v>
      </c>
      <c r="AC49" s="126">
        <v>329.69</v>
      </c>
      <c r="AD49" s="126">
        <v>327.14999999999998</v>
      </c>
      <c r="AE49" s="126">
        <v>324.63</v>
      </c>
      <c r="AF49" s="126">
        <v>322.14999999999998</v>
      </c>
      <c r="AG49" s="126">
        <v>319.64</v>
      </c>
      <c r="AH49" s="127">
        <v>317.16000000000003</v>
      </c>
      <c r="AI49" s="128">
        <v>314.62</v>
      </c>
      <c r="AJ49" s="126">
        <v>312.11</v>
      </c>
      <c r="AK49" s="126">
        <v>309.58999999999997</v>
      </c>
      <c r="AL49" s="126">
        <v>307.13</v>
      </c>
      <c r="AM49" s="129">
        <v>304.60000000000002</v>
      </c>
      <c r="AN49" s="167">
        <v>345.5</v>
      </c>
      <c r="AO49" s="168">
        <v>342.88</v>
      </c>
      <c r="AP49" s="168">
        <v>340.24</v>
      </c>
      <c r="AQ49" s="168">
        <v>337.62</v>
      </c>
      <c r="AR49" s="168">
        <v>335.04</v>
      </c>
      <c r="AS49" s="168">
        <v>332.43</v>
      </c>
      <c r="AT49" s="169">
        <v>329.86</v>
      </c>
      <c r="AU49" s="170">
        <v>327.20999999999998</v>
      </c>
      <c r="AV49" s="168">
        <v>324.58999999999997</v>
      </c>
      <c r="AW49" s="168">
        <v>321.97000000000003</v>
      </c>
      <c r="AX49" s="168">
        <v>319.41000000000003</v>
      </c>
      <c r="AY49" s="171">
        <v>316.77999999999997</v>
      </c>
      <c r="AZ49" s="152">
        <v>359.33</v>
      </c>
      <c r="BA49" s="153">
        <v>356.59</v>
      </c>
      <c r="BB49" s="153">
        <v>353.85</v>
      </c>
      <c r="BC49" s="153">
        <v>351.12</v>
      </c>
      <c r="BD49" s="153">
        <v>348.44</v>
      </c>
      <c r="BE49" s="153">
        <v>345.72</v>
      </c>
      <c r="BF49" s="154">
        <v>343.05</v>
      </c>
      <c r="BG49" s="155">
        <v>340.3</v>
      </c>
      <c r="BH49" s="153">
        <v>337.58</v>
      </c>
      <c r="BI49" s="153">
        <v>334.84</v>
      </c>
      <c r="BJ49" s="153">
        <v>332.18</v>
      </c>
      <c r="BK49" s="156">
        <v>329.45</v>
      </c>
    </row>
    <row r="50" spans="1:63" x14ac:dyDescent="0.25">
      <c r="A50" s="1026"/>
      <c r="B50" s="1027"/>
      <c r="C50" s="726" t="s">
        <v>53</v>
      </c>
      <c r="D50" s="703">
        <v>301.57</v>
      </c>
      <c r="E50" s="117">
        <v>299.39999999999998</v>
      </c>
      <c r="F50" s="117">
        <v>297.08</v>
      </c>
      <c r="G50" s="117">
        <v>294.77999999999997</v>
      </c>
      <c r="H50" s="117">
        <v>292.51</v>
      </c>
      <c r="I50" s="117">
        <v>290.24</v>
      </c>
      <c r="J50" s="117">
        <v>288.05</v>
      </c>
      <c r="K50" s="117">
        <v>285.69</v>
      </c>
      <c r="L50" s="117">
        <v>283.51</v>
      </c>
      <c r="M50" s="117">
        <v>281.23</v>
      </c>
      <c r="N50" s="117">
        <v>278.94</v>
      </c>
      <c r="O50" s="117">
        <v>276.89999999999998</v>
      </c>
      <c r="P50" s="194">
        <v>307.64</v>
      </c>
      <c r="Q50" s="195">
        <v>305.42</v>
      </c>
      <c r="R50" s="196">
        <v>303.06</v>
      </c>
      <c r="S50" s="197">
        <v>300.70999999999998</v>
      </c>
      <c r="T50" s="198">
        <v>298.39</v>
      </c>
      <c r="U50" s="199">
        <v>296.08</v>
      </c>
      <c r="V50" s="198">
        <v>293.83999999999997</v>
      </c>
      <c r="W50" s="199">
        <v>291.44</v>
      </c>
      <c r="X50" s="197">
        <v>289.20999999999998</v>
      </c>
      <c r="Y50" s="198">
        <v>286.89</v>
      </c>
      <c r="Z50" s="199">
        <v>284.55</v>
      </c>
      <c r="AA50" s="200">
        <v>282.47000000000003</v>
      </c>
      <c r="AB50" s="125">
        <v>323.02</v>
      </c>
      <c r="AC50" s="126">
        <v>320.69</v>
      </c>
      <c r="AD50" s="126">
        <v>318.20999999999998</v>
      </c>
      <c r="AE50" s="126">
        <v>315.75</v>
      </c>
      <c r="AF50" s="126">
        <v>313.32</v>
      </c>
      <c r="AG50" s="126">
        <v>310.88</v>
      </c>
      <c r="AH50" s="127">
        <v>308.52999999999997</v>
      </c>
      <c r="AI50" s="128">
        <v>306</v>
      </c>
      <c r="AJ50" s="126">
        <v>303.68</v>
      </c>
      <c r="AK50" s="126">
        <v>301.23</v>
      </c>
      <c r="AL50" s="126">
        <v>298.77999999999997</v>
      </c>
      <c r="AM50" s="129">
        <v>296.60000000000002</v>
      </c>
      <c r="AN50" s="177">
        <v>335.95</v>
      </c>
      <c r="AO50" s="178">
        <v>333.52</v>
      </c>
      <c r="AP50" s="178">
        <v>330.94</v>
      </c>
      <c r="AQ50" s="178">
        <v>328.38</v>
      </c>
      <c r="AR50" s="178">
        <v>325.86</v>
      </c>
      <c r="AS50" s="178">
        <v>323.32</v>
      </c>
      <c r="AT50" s="179">
        <v>320.88</v>
      </c>
      <c r="AU50" s="180">
        <v>318.25</v>
      </c>
      <c r="AV50" s="178">
        <v>315.83</v>
      </c>
      <c r="AW50" s="178">
        <v>313.27999999999997</v>
      </c>
      <c r="AX50" s="178">
        <v>310.74</v>
      </c>
      <c r="AY50" s="181">
        <v>308.45999999999998</v>
      </c>
      <c r="AZ50" s="135">
        <v>349.38</v>
      </c>
      <c r="BA50" s="136">
        <v>346.86</v>
      </c>
      <c r="BB50" s="136">
        <v>344.18</v>
      </c>
      <c r="BC50" s="136">
        <v>341.52</v>
      </c>
      <c r="BD50" s="136">
        <v>338.89</v>
      </c>
      <c r="BE50" s="136">
        <v>336.25</v>
      </c>
      <c r="BF50" s="137">
        <v>333.71</v>
      </c>
      <c r="BG50" s="138">
        <v>330.98</v>
      </c>
      <c r="BH50" s="136">
        <v>328.46</v>
      </c>
      <c r="BI50" s="136">
        <v>325.81</v>
      </c>
      <c r="BJ50" s="136">
        <v>323.16000000000003</v>
      </c>
      <c r="BK50" s="139">
        <v>320.81</v>
      </c>
    </row>
    <row r="51" spans="1:63" x14ac:dyDescent="0.25">
      <c r="A51" s="1026"/>
      <c r="B51" s="1027"/>
      <c r="C51" s="726" t="s">
        <v>54</v>
      </c>
      <c r="D51" s="703">
        <v>253.19</v>
      </c>
      <c r="E51" s="117">
        <v>251.34</v>
      </c>
      <c r="F51" s="117">
        <v>249.39</v>
      </c>
      <c r="G51" s="117">
        <v>247.48</v>
      </c>
      <c r="H51" s="117">
        <v>245.57</v>
      </c>
      <c r="I51" s="117">
        <v>243.66</v>
      </c>
      <c r="J51" s="117">
        <v>241.81</v>
      </c>
      <c r="K51" s="117">
        <v>239.86</v>
      </c>
      <c r="L51" s="117">
        <v>238.05</v>
      </c>
      <c r="M51" s="117">
        <v>236.09</v>
      </c>
      <c r="N51" s="117">
        <v>234.17</v>
      </c>
      <c r="O51" s="117">
        <v>232.45</v>
      </c>
      <c r="P51" s="140">
        <v>258.27999999999997</v>
      </c>
      <c r="Q51" s="141">
        <v>256.39999999999998</v>
      </c>
      <c r="R51" s="142">
        <v>254.41</v>
      </c>
      <c r="S51" s="143">
        <v>252.46</v>
      </c>
      <c r="T51" s="144">
        <v>250.51</v>
      </c>
      <c r="U51" s="145">
        <v>248.56</v>
      </c>
      <c r="V51" s="144">
        <v>246.67</v>
      </c>
      <c r="W51" s="145">
        <v>244.69</v>
      </c>
      <c r="X51" s="143">
        <v>242.84</v>
      </c>
      <c r="Y51" s="144">
        <v>240.84</v>
      </c>
      <c r="Z51" s="145">
        <v>238.88</v>
      </c>
      <c r="AA51" s="146">
        <v>237.13</v>
      </c>
      <c r="AB51" s="125">
        <v>271.2</v>
      </c>
      <c r="AC51" s="126">
        <v>269.22000000000003</v>
      </c>
      <c r="AD51" s="126">
        <v>267.13</v>
      </c>
      <c r="AE51" s="126">
        <v>265.08</v>
      </c>
      <c r="AF51" s="126">
        <v>263.04000000000002</v>
      </c>
      <c r="AG51" s="126">
        <v>260.99</v>
      </c>
      <c r="AH51" s="127">
        <v>259.01</v>
      </c>
      <c r="AI51" s="128">
        <v>256.92</v>
      </c>
      <c r="AJ51" s="126">
        <v>254.98</v>
      </c>
      <c r="AK51" s="126">
        <v>252.88</v>
      </c>
      <c r="AL51" s="126">
        <v>250.83</v>
      </c>
      <c r="AM51" s="129">
        <v>248.98</v>
      </c>
      <c r="AN51" s="147">
        <v>282.04000000000002</v>
      </c>
      <c r="AO51" s="148">
        <v>279.99</v>
      </c>
      <c r="AP51" s="148">
        <v>277.81</v>
      </c>
      <c r="AQ51" s="148">
        <v>275.68</v>
      </c>
      <c r="AR51" s="148">
        <v>273.55</v>
      </c>
      <c r="AS51" s="148">
        <v>271.42</v>
      </c>
      <c r="AT51" s="149">
        <v>269.37</v>
      </c>
      <c r="AU51" s="150">
        <v>267.19</v>
      </c>
      <c r="AV51" s="148">
        <v>265.18</v>
      </c>
      <c r="AW51" s="148">
        <v>263</v>
      </c>
      <c r="AX51" s="148">
        <v>260.86</v>
      </c>
      <c r="AY51" s="151">
        <v>258.94</v>
      </c>
      <c r="AZ51" s="152">
        <v>293.32</v>
      </c>
      <c r="BA51" s="153">
        <v>291.19</v>
      </c>
      <c r="BB51" s="153">
        <v>288.92</v>
      </c>
      <c r="BC51" s="153">
        <v>286.7</v>
      </c>
      <c r="BD51" s="153">
        <v>284.5</v>
      </c>
      <c r="BE51" s="153">
        <v>282.27999999999997</v>
      </c>
      <c r="BF51" s="154">
        <v>280.14</v>
      </c>
      <c r="BG51" s="155">
        <v>277.88</v>
      </c>
      <c r="BH51" s="153">
        <v>275.79000000000002</v>
      </c>
      <c r="BI51" s="153">
        <v>273.51</v>
      </c>
      <c r="BJ51" s="153">
        <v>271.3</v>
      </c>
      <c r="BK51" s="156">
        <v>269.29000000000002</v>
      </c>
    </row>
    <row r="52" spans="1:63" ht="15.75" thickBot="1" x14ac:dyDescent="0.3">
      <c r="A52" s="1028"/>
      <c r="B52" s="1029"/>
      <c r="C52" s="727" t="s">
        <v>55</v>
      </c>
      <c r="D52" s="704">
        <v>215.41</v>
      </c>
      <c r="E52" s="201">
        <v>213.82</v>
      </c>
      <c r="F52" s="201">
        <v>212.19</v>
      </c>
      <c r="G52" s="201">
        <v>210.54</v>
      </c>
      <c r="H52" s="201">
        <v>208.93</v>
      </c>
      <c r="I52" s="201">
        <v>207.3</v>
      </c>
      <c r="J52" s="201">
        <v>205.69</v>
      </c>
      <c r="K52" s="201">
        <v>204.05</v>
      </c>
      <c r="L52" s="201">
        <v>202.51</v>
      </c>
      <c r="M52" s="201">
        <v>200.9</v>
      </c>
      <c r="N52" s="201">
        <v>199.23</v>
      </c>
      <c r="O52" s="201">
        <v>197.76</v>
      </c>
      <c r="P52" s="202">
        <v>219.74</v>
      </c>
      <c r="Q52" s="203">
        <v>218.12</v>
      </c>
      <c r="R52" s="204">
        <v>216.46</v>
      </c>
      <c r="S52" s="205">
        <v>214.78</v>
      </c>
      <c r="T52" s="206">
        <v>213.13</v>
      </c>
      <c r="U52" s="207">
        <v>211.47</v>
      </c>
      <c r="V52" s="206">
        <v>209.83</v>
      </c>
      <c r="W52" s="207">
        <v>208.16</v>
      </c>
      <c r="X52" s="205">
        <v>206.58</v>
      </c>
      <c r="Y52" s="206">
        <v>204.94</v>
      </c>
      <c r="Z52" s="207">
        <v>203.24</v>
      </c>
      <c r="AA52" s="208">
        <v>201.74</v>
      </c>
      <c r="AB52" s="209">
        <v>230.73</v>
      </c>
      <c r="AC52" s="210">
        <v>229.03</v>
      </c>
      <c r="AD52" s="210">
        <v>227.28</v>
      </c>
      <c r="AE52" s="210">
        <v>225.52</v>
      </c>
      <c r="AF52" s="210">
        <v>223.79</v>
      </c>
      <c r="AG52" s="210">
        <v>222.05</v>
      </c>
      <c r="AH52" s="211">
        <v>220.31</v>
      </c>
      <c r="AI52" s="212">
        <v>218.56</v>
      </c>
      <c r="AJ52" s="210">
        <v>216.92</v>
      </c>
      <c r="AK52" s="210">
        <v>215.19</v>
      </c>
      <c r="AL52" s="210">
        <v>213.4</v>
      </c>
      <c r="AM52" s="213">
        <v>211.83</v>
      </c>
      <c r="AN52" s="214">
        <v>239.96</v>
      </c>
      <c r="AO52" s="215">
        <v>238.19</v>
      </c>
      <c r="AP52" s="215">
        <v>236.37</v>
      </c>
      <c r="AQ52" s="215">
        <v>234.54</v>
      </c>
      <c r="AR52" s="215">
        <v>232.75</v>
      </c>
      <c r="AS52" s="215">
        <v>230.93</v>
      </c>
      <c r="AT52" s="216">
        <v>229.13</v>
      </c>
      <c r="AU52" s="217">
        <v>227.3</v>
      </c>
      <c r="AV52" s="215">
        <v>225.6</v>
      </c>
      <c r="AW52" s="215">
        <v>223.8</v>
      </c>
      <c r="AX52" s="215">
        <v>221.94</v>
      </c>
      <c r="AY52" s="218">
        <v>220.3</v>
      </c>
      <c r="AZ52" s="219">
        <v>249.56</v>
      </c>
      <c r="BA52" s="220">
        <v>247.72</v>
      </c>
      <c r="BB52" s="220">
        <v>245.83</v>
      </c>
      <c r="BC52" s="220">
        <v>243.92</v>
      </c>
      <c r="BD52" s="220">
        <v>242.06</v>
      </c>
      <c r="BE52" s="220">
        <v>240.18</v>
      </c>
      <c r="BF52" s="221">
        <v>238.29</v>
      </c>
      <c r="BG52" s="222">
        <v>236.39</v>
      </c>
      <c r="BH52" s="220">
        <v>234.63</v>
      </c>
      <c r="BI52" s="220">
        <v>232.76</v>
      </c>
      <c r="BJ52" s="220">
        <v>230.81</v>
      </c>
      <c r="BK52" s="223">
        <v>229.12</v>
      </c>
    </row>
    <row r="53" spans="1:63" x14ac:dyDescent="0.25">
      <c r="A53" s="1017" t="s">
        <v>62</v>
      </c>
      <c r="B53" s="1018"/>
      <c r="C53" s="728" t="s">
        <v>38</v>
      </c>
      <c r="D53" s="705">
        <v>285.22000000000003</v>
      </c>
      <c r="E53" s="224">
        <v>282.62</v>
      </c>
      <c r="F53" s="224">
        <v>280.11</v>
      </c>
      <c r="G53" s="224">
        <v>276.36</v>
      </c>
      <c r="H53" s="224">
        <v>273.38</v>
      </c>
      <c r="I53" s="224">
        <v>267.25</v>
      </c>
      <c r="J53" s="224">
        <v>260.02</v>
      </c>
      <c r="K53" s="224">
        <v>253.59</v>
      </c>
      <c r="L53" s="224">
        <v>247.68</v>
      </c>
      <c r="M53" s="224">
        <v>241.82</v>
      </c>
      <c r="N53" s="224">
        <v>206.65</v>
      </c>
      <c r="O53" s="224">
        <v>108.34</v>
      </c>
      <c r="P53" s="225">
        <v>290.95999999999998</v>
      </c>
      <c r="Q53" s="226">
        <v>288.31</v>
      </c>
      <c r="R53" s="226">
        <v>285.75</v>
      </c>
      <c r="S53" s="227">
        <v>281.92</v>
      </c>
      <c r="T53" s="228">
        <v>278.88</v>
      </c>
      <c r="U53" s="229">
        <v>272.63</v>
      </c>
      <c r="V53" s="230">
        <v>265.25</v>
      </c>
      <c r="W53" s="231">
        <v>258.69</v>
      </c>
      <c r="X53" s="232">
        <v>252.66</v>
      </c>
      <c r="Y53" s="226">
        <v>246.68</v>
      </c>
      <c r="Z53" s="226">
        <v>210.81</v>
      </c>
      <c r="AA53" s="233">
        <v>110.52</v>
      </c>
      <c r="AB53" s="234">
        <v>305.5</v>
      </c>
      <c r="AC53" s="235">
        <v>302.72000000000003</v>
      </c>
      <c r="AD53" s="236">
        <v>300.04000000000002</v>
      </c>
      <c r="AE53" s="237">
        <v>296.02</v>
      </c>
      <c r="AF53" s="238">
        <v>292.82</v>
      </c>
      <c r="AG53" s="239">
        <v>286.26</v>
      </c>
      <c r="AH53" s="235">
        <v>278.51</v>
      </c>
      <c r="AI53" s="236">
        <v>271.63</v>
      </c>
      <c r="AJ53" s="237">
        <v>265.29000000000002</v>
      </c>
      <c r="AK53" s="237">
        <v>259.02</v>
      </c>
      <c r="AL53" s="237">
        <v>221.35</v>
      </c>
      <c r="AM53" s="240">
        <v>116.05</v>
      </c>
      <c r="AN53" s="241">
        <v>317.73</v>
      </c>
      <c r="AO53" s="242">
        <v>314.83</v>
      </c>
      <c r="AP53" s="243">
        <v>312.02999999999997</v>
      </c>
      <c r="AQ53" s="244">
        <v>307.86</v>
      </c>
      <c r="AR53" s="243">
        <v>304.54000000000002</v>
      </c>
      <c r="AS53" s="244">
        <v>297.7</v>
      </c>
      <c r="AT53" s="245">
        <v>289.64999999999998</v>
      </c>
      <c r="AU53" s="246">
        <v>282.49</v>
      </c>
      <c r="AV53" s="247">
        <v>275.89999999999998</v>
      </c>
      <c r="AW53" s="242">
        <v>269.38</v>
      </c>
      <c r="AX53" s="243">
        <v>230.2</v>
      </c>
      <c r="AY53" s="248">
        <v>120.69</v>
      </c>
      <c r="AZ53" s="249">
        <v>330.44</v>
      </c>
      <c r="BA53" s="250">
        <v>327.42</v>
      </c>
      <c r="BB53" s="251">
        <v>324.52</v>
      </c>
      <c r="BC53" s="252">
        <v>320.17</v>
      </c>
      <c r="BD53" s="252">
        <v>316.72000000000003</v>
      </c>
      <c r="BE53" s="252">
        <v>309.61</v>
      </c>
      <c r="BF53" s="253">
        <v>301.24</v>
      </c>
      <c r="BG53" s="254">
        <v>293.79000000000002</v>
      </c>
      <c r="BH53" s="252">
        <v>286.94</v>
      </c>
      <c r="BI53" s="252">
        <v>280.14999999999998</v>
      </c>
      <c r="BJ53" s="252">
        <v>239.41</v>
      </c>
      <c r="BK53" s="255">
        <v>125.52</v>
      </c>
    </row>
    <row r="54" spans="1:63" x14ac:dyDescent="0.25">
      <c r="A54" s="1019"/>
      <c r="B54" s="1020"/>
      <c r="C54" s="726" t="s">
        <v>39</v>
      </c>
      <c r="D54" s="706">
        <v>285.22000000000003</v>
      </c>
      <c r="E54" s="256">
        <v>282.62</v>
      </c>
      <c r="F54" s="256">
        <v>280.11</v>
      </c>
      <c r="G54" s="256">
        <v>276.36</v>
      </c>
      <c r="H54" s="256">
        <v>273.38</v>
      </c>
      <c r="I54" s="256">
        <v>267.25</v>
      </c>
      <c r="J54" s="256">
        <v>260.02</v>
      </c>
      <c r="K54" s="256">
        <v>253.59</v>
      </c>
      <c r="L54" s="256">
        <v>247.68</v>
      </c>
      <c r="M54" s="256">
        <v>241.82</v>
      </c>
      <c r="N54" s="256">
        <v>206.65</v>
      </c>
      <c r="O54" s="257">
        <v>108.34</v>
      </c>
      <c r="P54" s="258">
        <v>290.95999999999998</v>
      </c>
      <c r="Q54" s="259">
        <v>288.31</v>
      </c>
      <c r="R54" s="259">
        <v>285.75</v>
      </c>
      <c r="S54" s="260">
        <v>281.92</v>
      </c>
      <c r="T54" s="261">
        <v>278.88</v>
      </c>
      <c r="U54" s="262">
        <v>272.63</v>
      </c>
      <c r="V54" s="263">
        <v>265.25</v>
      </c>
      <c r="W54" s="264">
        <v>258.69</v>
      </c>
      <c r="X54" s="265">
        <v>252.66</v>
      </c>
      <c r="Y54" s="259">
        <v>246.68</v>
      </c>
      <c r="Z54" s="259">
        <v>210.81</v>
      </c>
      <c r="AA54" s="266">
        <v>110.52</v>
      </c>
      <c r="AB54" s="267">
        <v>305.5</v>
      </c>
      <c r="AC54" s="268">
        <v>302.72000000000003</v>
      </c>
      <c r="AD54" s="269">
        <v>300.04000000000002</v>
      </c>
      <c r="AE54" s="270">
        <v>296.02</v>
      </c>
      <c r="AF54" s="271">
        <v>292.82</v>
      </c>
      <c r="AG54" s="272">
        <v>286.26</v>
      </c>
      <c r="AH54" s="268">
        <v>278.51</v>
      </c>
      <c r="AI54" s="269">
        <v>271.63</v>
      </c>
      <c r="AJ54" s="270">
        <v>265.29000000000002</v>
      </c>
      <c r="AK54" s="270">
        <v>259.02</v>
      </c>
      <c r="AL54" s="270">
        <v>221.35</v>
      </c>
      <c r="AM54" s="273">
        <v>116.05</v>
      </c>
      <c r="AN54" s="274">
        <v>317.73</v>
      </c>
      <c r="AO54" s="275">
        <v>314.83</v>
      </c>
      <c r="AP54" s="276">
        <v>312.02999999999997</v>
      </c>
      <c r="AQ54" s="277">
        <v>307.86</v>
      </c>
      <c r="AR54" s="276">
        <v>304.54000000000002</v>
      </c>
      <c r="AS54" s="277">
        <v>297.7</v>
      </c>
      <c r="AT54" s="278">
        <v>289.64999999999998</v>
      </c>
      <c r="AU54" s="279">
        <v>282.49</v>
      </c>
      <c r="AV54" s="280">
        <v>275.89999999999998</v>
      </c>
      <c r="AW54" s="275">
        <v>269.38</v>
      </c>
      <c r="AX54" s="276">
        <v>230.2</v>
      </c>
      <c r="AY54" s="281">
        <v>120.69</v>
      </c>
      <c r="AZ54" s="282">
        <v>330.44</v>
      </c>
      <c r="BA54" s="283">
        <v>327.42</v>
      </c>
      <c r="BB54" s="284">
        <v>324.52</v>
      </c>
      <c r="BC54" s="285">
        <v>320.17</v>
      </c>
      <c r="BD54" s="285">
        <v>316.72000000000003</v>
      </c>
      <c r="BE54" s="285">
        <v>309.61</v>
      </c>
      <c r="BF54" s="286">
        <v>301.24</v>
      </c>
      <c r="BG54" s="287">
        <v>293.79000000000002</v>
      </c>
      <c r="BH54" s="285">
        <v>286.94</v>
      </c>
      <c r="BI54" s="285">
        <v>280.14999999999998</v>
      </c>
      <c r="BJ54" s="285">
        <v>239.41</v>
      </c>
      <c r="BK54" s="288">
        <v>125.52</v>
      </c>
    </row>
    <row r="55" spans="1:63" x14ac:dyDescent="0.25">
      <c r="A55" s="1019"/>
      <c r="B55" s="1020"/>
      <c r="C55" s="726" t="s">
        <v>40</v>
      </c>
      <c r="D55" s="707">
        <v>285.22000000000003</v>
      </c>
      <c r="E55" s="289">
        <v>282.62</v>
      </c>
      <c r="F55" s="289">
        <v>280.11</v>
      </c>
      <c r="G55" s="289">
        <v>276.36</v>
      </c>
      <c r="H55" s="289">
        <v>273.38</v>
      </c>
      <c r="I55" s="289">
        <v>267.25</v>
      </c>
      <c r="J55" s="289">
        <v>260.02</v>
      </c>
      <c r="K55" s="289">
        <v>253.59</v>
      </c>
      <c r="L55" s="289">
        <v>247.68</v>
      </c>
      <c r="M55" s="289">
        <v>241.82</v>
      </c>
      <c r="N55" s="289">
        <v>206.65</v>
      </c>
      <c r="O55" s="290">
        <v>108.34</v>
      </c>
      <c r="P55" s="291">
        <v>290.95999999999998</v>
      </c>
      <c r="Q55" s="292">
        <v>288.31</v>
      </c>
      <c r="R55" s="292">
        <v>285.75</v>
      </c>
      <c r="S55" s="293">
        <v>281.92</v>
      </c>
      <c r="T55" s="294">
        <v>278.88</v>
      </c>
      <c r="U55" s="295">
        <v>272.63</v>
      </c>
      <c r="V55" s="296">
        <v>265.25</v>
      </c>
      <c r="W55" s="297">
        <v>258.69</v>
      </c>
      <c r="X55" s="298">
        <v>252.66</v>
      </c>
      <c r="Y55" s="292">
        <v>246.68</v>
      </c>
      <c r="Z55" s="292">
        <v>210.81</v>
      </c>
      <c r="AA55" s="299">
        <v>110.52</v>
      </c>
      <c r="AB55" s="300">
        <v>305.5</v>
      </c>
      <c r="AC55" s="301">
        <v>302.72000000000003</v>
      </c>
      <c r="AD55" s="302">
        <v>300.04000000000002</v>
      </c>
      <c r="AE55" s="303">
        <v>296.02</v>
      </c>
      <c r="AF55" s="304">
        <v>292.82</v>
      </c>
      <c r="AG55" s="305">
        <v>286.26</v>
      </c>
      <c r="AH55" s="301">
        <v>278.51</v>
      </c>
      <c r="AI55" s="302">
        <v>271.63</v>
      </c>
      <c r="AJ55" s="303">
        <v>265.29000000000002</v>
      </c>
      <c r="AK55" s="303">
        <v>259.02</v>
      </c>
      <c r="AL55" s="303">
        <v>221.35</v>
      </c>
      <c r="AM55" s="306">
        <v>116.05</v>
      </c>
      <c r="AN55" s="307">
        <v>317.73</v>
      </c>
      <c r="AO55" s="308">
        <v>314.83</v>
      </c>
      <c r="AP55" s="309">
        <v>312.02999999999997</v>
      </c>
      <c r="AQ55" s="310">
        <v>307.86</v>
      </c>
      <c r="AR55" s="309">
        <v>304.54000000000002</v>
      </c>
      <c r="AS55" s="310">
        <v>297.7</v>
      </c>
      <c r="AT55" s="311">
        <v>289.64999999999998</v>
      </c>
      <c r="AU55" s="312">
        <v>282.49</v>
      </c>
      <c r="AV55" s="313">
        <v>275.89999999999998</v>
      </c>
      <c r="AW55" s="308">
        <v>269.38</v>
      </c>
      <c r="AX55" s="309">
        <v>230.2</v>
      </c>
      <c r="AY55" s="314">
        <v>120.69</v>
      </c>
      <c r="AZ55" s="282">
        <v>330.44</v>
      </c>
      <c r="BA55" s="283">
        <v>327.42</v>
      </c>
      <c r="BB55" s="284">
        <v>324.52</v>
      </c>
      <c r="BC55" s="285">
        <v>320.17</v>
      </c>
      <c r="BD55" s="285">
        <v>316.72000000000003</v>
      </c>
      <c r="BE55" s="285">
        <v>309.61</v>
      </c>
      <c r="BF55" s="286">
        <v>301.24</v>
      </c>
      <c r="BG55" s="287">
        <v>293.79000000000002</v>
      </c>
      <c r="BH55" s="285">
        <v>286.94</v>
      </c>
      <c r="BI55" s="285">
        <v>280.14999999999998</v>
      </c>
      <c r="BJ55" s="285">
        <v>239.41</v>
      </c>
      <c r="BK55" s="288">
        <v>125.52</v>
      </c>
    </row>
    <row r="56" spans="1:63" x14ac:dyDescent="0.25">
      <c r="A56" s="1019"/>
      <c r="B56" s="1020"/>
      <c r="C56" s="726" t="s">
        <v>41</v>
      </c>
      <c r="D56" s="703">
        <v>285.22000000000003</v>
      </c>
      <c r="E56" s="117">
        <v>282.62</v>
      </c>
      <c r="F56" s="117">
        <v>280.11</v>
      </c>
      <c r="G56" s="117">
        <v>276.36</v>
      </c>
      <c r="H56" s="117">
        <v>273.38</v>
      </c>
      <c r="I56" s="117">
        <v>267.25</v>
      </c>
      <c r="J56" s="117">
        <v>260.02</v>
      </c>
      <c r="K56" s="117">
        <v>253.59</v>
      </c>
      <c r="L56" s="117">
        <v>247.68</v>
      </c>
      <c r="M56" s="117">
        <v>241.82</v>
      </c>
      <c r="N56" s="117">
        <v>206.65</v>
      </c>
      <c r="O56" s="315">
        <v>108.34</v>
      </c>
      <c r="P56" s="316">
        <v>290.95999999999998</v>
      </c>
      <c r="Q56" s="317">
        <v>288.31</v>
      </c>
      <c r="R56" s="317">
        <v>285.75</v>
      </c>
      <c r="S56" s="318">
        <v>281.92</v>
      </c>
      <c r="T56" s="319">
        <v>278.88</v>
      </c>
      <c r="U56" s="320">
        <v>272.63</v>
      </c>
      <c r="V56" s="321">
        <v>265.25</v>
      </c>
      <c r="W56" s="322">
        <v>258.69</v>
      </c>
      <c r="X56" s="323">
        <v>252.66</v>
      </c>
      <c r="Y56" s="317">
        <v>246.68</v>
      </c>
      <c r="Z56" s="317">
        <v>210.81</v>
      </c>
      <c r="AA56" s="324">
        <v>110.52</v>
      </c>
      <c r="AB56" s="267">
        <v>305.5</v>
      </c>
      <c r="AC56" s="268">
        <v>302.72000000000003</v>
      </c>
      <c r="AD56" s="269">
        <v>300.04000000000002</v>
      </c>
      <c r="AE56" s="270">
        <v>296.02</v>
      </c>
      <c r="AF56" s="271">
        <v>292.82</v>
      </c>
      <c r="AG56" s="272">
        <v>286.26</v>
      </c>
      <c r="AH56" s="268">
        <v>278.51</v>
      </c>
      <c r="AI56" s="269">
        <v>271.63</v>
      </c>
      <c r="AJ56" s="270">
        <v>265.29000000000002</v>
      </c>
      <c r="AK56" s="270">
        <v>259.02</v>
      </c>
      <c r="AL56" s="270">
        <v>221.35</v>
      </c>
      <c r="AM56" s="273">
        <v>116.05</v>
      </c>
      <c r="AN56" s="325">
        <v>317.73</v>
      </c>
      <c r="AO56" s="326">
        <v>314.83</v>
      </c>
      <c r="AP56" s="327">
        <v>312.02999999999997</v>
      </c>
      <c r="AQ56" s="328">
        <v>307.86</v>
      </c>
      <c r="AR56" s="327">
        <v>304.54000000000002</v>
      </c>
      <c r="AS56" s="328">
        <v>297.7</v>
      </c>
      <c r="AT56" s="329">
        <v>289.64999999999998</v>
      </c>
      <c r="AU56" s="330">
        <v>282.49</v>
      </c>
      <c r="AV56" s="331">
        <v>275.89999999999998</v>
      </c>
      <c r="AW56" s="326">
        <v>269.38</v>
      </c>
      <c r="AX56" s="327">
        <v>230.2</v>
      </c>
      <c r="AY56" s="332">
        <v>120.69</v>
      </c>
      <c r="AZ56" s="282">
        <v>330.44</v>
      </c>
      <c r="BA56" s="283">
        <v>327.42</v>
      </c>
      <c r="BB56" s="284">
        <v>324.52</v>
      </c>
      <c r="BC56" s="285">
        <v>320.17</v>
      </c>
      <c r="BD56" s="285">
        <v>316.72000000000003</v>
      </c>
      <c r="BE56" s="285">
        <v>309.61</v>
      </c>
      <c r="BF56" s="286">
        <v>301.24</v>
      </c>
      <c r="BG56" s="287">
        <v>293.79000000000002</v>
      </c>
      <c r="BH56" s="285">
        <v>286.94</v>
      </c>
      <c r="BI56" s="285">
        <v>280.14999999999998</v>
      </c>
      <c r="BJ56" s="285">
        <v>239.41</v>
      </c>
      <c r="BK56" s="288">
        <v>125.52</v>
      </c>
    </row>
    <row r="57" spans="1:63" x14ac:dyDescent="0.25">
      <c r="A57" s="1019"/>
      <c r="B57" s="1020"/>
      <c r="C57" s="726" t="s">
        <v>42</v>
      </c>
      <c r="D57" s="703">
        <v>285.22000000000003</v>
      </c>
      <c r="E57" s="117">
        <v>282.62</v>
      </c>
      <c r="F57" s="117">
        <v>280.11</v>
      </c>
      <c r="G57" s="117">
        <v>276.36</v>
      </c>
      <c r="H57" s="117">
        <v>273.38</v>
      </c>
      <c r="I57" s="117">
        <v>267.25</v>
      </c>
      <c r="J57" s="117">
        <v>260.02</v>
      </c>
      <c r="K57" s="117">
        <v>253.59</v>
      </c>
      <c r="L57" s="117">
        <v>247.68</v>
      </c>
      <c r="M57" s="117">
        <v>241.82</v>
      </c>
      <c r="N57" s="117">
        <v>206.65</v>
      </c>
      <c r="O57" s="315">
        <v>108.34</v>
      </c>
      <c r="P57" s="258">
        <v>290.95999999999998</v>
      </c>
      <c r="Q57" s="259">
        <v>288.31</v>
      </c>
      <c r="R57" s="259">
        <v>285.75</v>
      </c>
      <c r="S57" s="260">
        <v>281.92</v>
      </c>
      <c r="T57" s="261">
        <v>278.88</v>
      </c>
      <c r="U57" s="262">
        <v>272.63</v>
      </c>
      <c r="V57" s="263">
        <v>265.25</v>
      </c>
      <c r="W57" s="264">
        <v>258.69</v>
      </c>
      <c r="X57" s="265">
        <v>252.66</v>
      </c>
      <c r="Y57" s="259">
        <v>246.68</v>
      </c>
      <c r="Z57" s="259">
        <v>210.81</v>
      </c>
      <c r="AA57" s="266">
        <v>110.52</v>
      </c>
      <c r="AB57" s="300">
        <v>305.5</v>
      </c>
      <c r="AC57" s="301">
        <v>302.72000000000003</v>
      </c>
      <c r="AD57" s="302">
        <v>300.04000000000002</v>
      </c>
      <c r="AE57" s="303">
        <v>296.02</v>
      </c>
      <c r="AF57" s="304">
        <v>292.82</v>
      </c>
      <c r="AG57" s="305">
        <v>286.26</v>
      </c>
      <c r="AH57" s="301">
        <v>278.51</v>
      </c>
      <c r="AI57" s="302">
        <v>271.63</v>
      </c>
      <c r="AJ57" s="303">
        <v>265.29000000000002</v>
      </c>
      <c r="AK57" s="303">
        <v>259.02</v>
      </c>
      <c r="AL57" s="303">
        <v>221.35</v>
      </c>
      <c r="AM57" s="306">
        <v>116.05</v>
      </c>
      <c r="AN57" s="274">
        <v>317.73</v>
      </c>
      <c r="AO57" s="275">
        <v>314.83</v>
      </c>
      <c r="AP57" s="276">
        <v>312.02999999999997</v>
      </c>
      <c r="AQ57" s="277">
        <v>307.86</v>
      </c>
      <c r="AR57" s="276">
        <v>304.54000000000002</v>
      </c>
      <c r="AS57" s="277">
        <v>297.7</v>
      </c>
      <c r="AT57" s="278">
        <v>289.64999999999998</v>
      </c>
      <c r="AU57" s="279">
        <v>282.49</v>
      </c>
      <c r="AV57" s="280">
        <v>275.89999999999998</v>
      </c>
      <c r="AW57" s="275">
        <v>269.38</v>
      </c>
      <c r="AX57" s="276">
        <v>230.2</v>
      </c>
      <c r="AY57" s="281">
        <v>120.69</v>
      </c>
      <c r="AZ57" s="282">
        <v>330.44</v>
      </c>
      <c r="BA57" s="283">
        <v>327.42</v>
      </c>
      <c r="BB57" s="284">
        <v>324.52</v>
      </c>
      <c r="BC57" s="285">
        <v>320.17</v>
      </c>
      <c r="BD57" s="285">
        <v>316.72000000000003</v>
      </c>
      <c r="BE57" s="285">
        <v>309.61</v>
      </c>
      <c r="BF57" s="286">
        <v>301.24</v>
      </c>
      <c r="BG57" s="287">
        <v>293.79000000000002</v>
      </c>
      <c r="BH57" s="285">
        <v>286.94</v>
      </c>
      <c r="BI57" s="285">
        <v>280.14999999999998</v>
      </c>
      <c r="BJ57" s="285">
        <v>239.41</v>
      </c>
      <c r="BK57" s="288">
        <v>125.52</v>
      </c>
    </row>
    <row r="58" spans="1:63" x14ac:dyDescent="0.25">
      <c r="A58" s="1019"/>
      <c r="B58" s="1020"/>
      <c r="C58" s="726" t="s">
        <v>43</v>
      </c>
      <c r="D58" s="706">
        <v>238.71</v>
      </c>
      <c r="E58" s="256">
        <v>235.93</v>
      </c>
      <c r="F58" s="256">
        <v>233.07</v>
      </c>
      <c r="G58" s="256">
        <v>229.26</v>
      </c>
      <c r="H58" s="256">
        <v>226.96</v>
      </c>
      <c r="I58" s="256">
        <v>221.76</v>
      </c>
      <c r="J58" s="256">
        <v>215.81</v>
      </c>
      <c r="K58" s="256">
        <v>210.54</v>
      </c>
      <c r="L58" s="256">
        <v>205.51</v>
      </c>
      <c r="M58" s="256">
        <v>200.62</v>
      </c>
      <c r="N58" s="256">
        <v>171.44</v>
      </c>
      <c r="O58" s="256">
        <v>108.34</v>
      </c>
      <c r="P58" s="258">
        <v>243.51</v>
      </c>
      <c r="Q58" s="259">
        <v>240.68</v>
      </c>
      <c r="R58" s="259">
        <v>237.76</v>
      </c>
      <c r="S58" s="260">
        <v>233.87</v>
      </c>
      <c r="T58" s="261">
        <v>231.53</v>
      </c>
      <c r="U58" s="333">
        <v>226.22</v>
      </c>
      <c r="V58" s="334">
        <v>220.15</v>
      </c>
      <c r="W58" s="264">
        <v>214.78</v>
      </c>
      <c r="X58" s="265">
        <v>209.64</v>
      </c>
      <c r="Y58" s="259">
        <v>204.66</v>
      </c>
      <c r="Z58" s="259">
        <v>174.89</v>
      </c>
      <c r="AA58" s="266">
        <v>110.52</v>
      </c>
      <c r="AB58" s="267">
        <v>255.69</v>
      </c>
      <c r="AC58" s="268">
        <v>252.71</v>
      </c>
      <c r="AD58" s="269">
        <v>249.64</v>
      </c>
      <c r="AE58" s="270">
        <v>245.56</v>
      </c>
      <c r="AF58" s="271">
        <v>243.1</v>
      </c>
      <c r="AG58" s="272">
        <v>237.53</v>
      </c>
      <c r="AH58" s="268">
        <v>231.16</v>
      </c>
      <c r="AI58" s="269">
        <v>225.52</v>
      </c>
      <c r="AJ58" s="270">
        <v>220.13</v>
      </c>
      <c r="AK58" s="270">
        <v>214.89</v>
      </c>
      <c r="AL58" s="270">
        <v>183.63</v>
      </c>
      <c r="AM58" s="273">
        <v>116.05</v>
      </c>
      <c r="AN58" s="274">
        <v>265.92</v>
      </c>
      <c r="AO58" s="275">
        <v>262.82</v>
      </c>
      <c r="AP58" s="276">
        <v>259.63</v>
      </c>
      <c r="AQ58" s="277">
        <v>255.39</v>
      </c>
      <c r="AR58" s="276">
        <v>252.83</v>
      </c>
      <c r="AS58" s="277">
        <v>247.03</v>
      </c>
      <c r="AT58" s="278">
        <v>240.4</v>
      </c>
      <c r="AU58" s="279">
        <v>234.54</v>
      </c>
      <c r="AV58" s="280">
        <v>228.93</v>
      </c>
      <c r="AW58" s="275">
        <v>223.49</v>
      </c>
      <c r="AX58" s="276">
        <v>190.98</v>
      </c>
      <c r="AY58" s="281">
        <v>120.69</v>
      </c>
      <c r="AZ58" s="282">
        <v>276.56</v>
      </c>
      <c r="BA58" s="283">
        <v>273.33999999999997</v>
      </c>
      <c r="BB58" s="335" t="s">
        <v>94</v>
      </c>
      <c r="BC58" s="285">
        <v>265.60000000000002</v>
      </c>
      <c r="BD58" s="285">
        <v>262.94</v>
      </c>
      <c r="BE58" s="285">
        <v>256.92</v>
      </c>
      <c r="BF58" s="286">
        <v>250.02</v>
      </c>
      <c r="BG58" s="287">
        <v>243.92</v>
      </c>
      <c r="BH58" s="285">
        <v>238.1</v>
      </c>
      <c r="BI58" s="285">
        <v>232.42</v>
      </c>
      <c r="BJ58" s="285">
        <v>198.62</v>
      </c>
      <c r="BK58" s="288">
        <v>125.52</v>
      </c>
    </row>
    <row r="59" spans="1:63" x14ac:dyDescent="0.25">
      <c r="A59" s="1019"/>
      <c r="B59" s="1020"/>
      <c r="C59" s="726" t="s">
        <v>44</v>
      </c>
      <c r="D59" s="707">
        <v>238.71</v>
      </c>
      <c r="E59" s="289">
        <v>235.93</v>
      </c>
      <c r="F59" s="289">
        <v>233.07</v>
      </c>
      <c r="G59" s="289">
        <v>229.26</v>
      </c>
      <c r="H59" s="289">
        <v>226.96</v>
      </c>
      <c r="I59" s="289">
        <v>221.76</v>
      </c>
      <c r="J59" s="289">
        <v>215.81</v>
      </c>
      <c r="K59" s="289">
        <v>210.54</v>
      </c>
      <c r="L59" s="289">
        <v>205.51</v>
      </c>
      <c r="M59" s="289">
        <v>200.62</v>
      </c>
      <c r="N59" s="290">
        <v>171.44</v>
      </c>
      <c r="O59" s="290">
        <v>108.34</v>
      </c>
      <c r="P59" s="291">
        <v>243.51</v>
      </c>
      <c r="Q59" s="292">
        <v>240.68</v>
      </c>
      <c r="R59" s="292">
        <v>237.76</v>
      </c>
      <c r="S59" s="293">
        <v>233.87</v>
      </c>
      <c r="T59" s="336">
        <v>231.53</v>
      </c>
      <c r="U59" s="337">
        <v>226.22</v>
      </c>
      <c r="V59" s="338">
        <v>220.15</v>
      </c>
      <c r="W59" s="339">
        <v>214.78</v>
      </c>
      <c r="X59" s="340">
        <v>209.64</v>
      </c>
      <c r="Y59" s="121">
        <v>204.66</v>
      </c>
      <c r="Z59" s="121">
        <v>174.89</v>
      </c>
      <c r="AA59" s="124">
        <v>110.52</v>
      </c>
      <c r="AB59" s="300">
        <v>255.69</v>
      </c>
      <c r="AC59" s="301">
        <v>252.71</v>
      </c>
      <c r="AD59" s="302">
        <v>249.64</v>
      </c>
      <c r="AE59" s="303">
        <v>245.56</v>
      </c>
      <c r="AF59" s="304">
        <v>243.1</v>
      </c>
      <c r="AG59" s="305">
        <v>237.53</v>
      </c>
      <c r="AH59" s="301">
        <v>231.16</v>
      </c>
      <c r="AI59" s="302">
        <v>225.52</v>
      </c>
      <c r="AJ59" s="303">
        <v>220.13</v>
      </c>
      <c r="AK59" s="303">
        <v>214.89</v>
      </c>
      <c r="AL59" s="303">
        <v>183.63</v>
      </c>
      <c r="AM59" s="306">
        <v>116.05</v>
      </c>
      <c r="AN59" s="274">
        <v>265.92</v>
      </c>
      <c r="AO59" s="275">
        <v>262.82</v>
      </c>
      <c r="AP59" s="276">
        <v>259.63</v>
      </c>
      <c r="AQ59" s="277">
        <v>255.39</v>
      </c>
      <c r="AR59" s="276">
        <v>252.83</v>
      </c>
      <c r="AS59" s="277">
        <v>247.03</v>
      </c>
      <c r="AT59" s="278">
        <v>240.4</v>
      </c>
      <c r="AU59" s="279">
        <v>234.54</v>
      </c>
      <c r="AV59" s="280">
        <v>228.93</v>
      </c>
      <c r="AW59" s="275">
        <v>223.49</v>
      </c>
      <c r="AX59" s="276">
        <v>190.98</v>
      </c>
      <c r="AY59" s="281">
        <v>120.69</v>
      </c>
      <c r="AZ59" s="282">
        <v>276.56</v>
      </c>
      <c r="BA59" s="283">
        <v>273.33999999999997</v>
      </c>
      <c r="BB59" s="335" t="s">
        <v>94</v>
      </c>
      <c r="BC59" s="285">
        <v>265.60000000000002</v>
      </c>
      <c r="BD59" s="285">
        <v>262.94</v>
      </c>
      <c r="BE59" s="285">
        <v>256.92</v>
      </c>
      <c r="BF59" s="286">
        <v>250.02</v>
      </c>
      <c r="BG59" s="287">
        <v>243.92</v>
      </c>
      <c r="BH59" s="285">
        <v>238.1</v>
      </c>
      <c r="BI59" s="285">
        <v>232.42</v>
      </c>
      <c r="BJ59" s="285">
        <v>198.62</v>
      </c>
      <c r="BK59" s="288">
        <v>125.52</v>
      </c>
    </row>
    <row r="60" spans="1:63" x14ac:dyDescent="0.25">
      <c r="A60" s="1019"/>
      <c r="B60" s="1020"/>
      <c r="C60" s="726" t="s">
        <v>45</v>
      </c>
      <c r="D60" s="703">
        <v>238.71</v>
      </c>
      <c r="E60" s="117">
        <v>235.93</v>
      </c>
      <c r="F60" s="117">
        <v>233.07</v>
      </c>
      <c r="G60" s="117">
        <v>229.26</v>
      </c>
      <c r="H60" s="117">
        <v>226.96</v>
      </c>
      <c r="I60" s="117">
        <v>221.76</v>
      </c>
      <c r="J60" s="117">
        <v>215.81</v>
      </c>
      <c r="K60" s="117">
        <v>210.54</v>
      </c>
      <c r="L60" s="117">
        <v>205.51</v>
      </c>
      <c r="M60" s="117">
        <v>200.62</v>
      </c>
      <c r="N60" s="315">
        <v>171.44</v>
      </c>
      <c r="O60" s="315">
        <v>108.34</v>
      </c>
      <c r="P60" s="316">
        <v>243.51</v>
      </c>
      <c r="Q60" s="317">
        <v>240.68</v>
      </c>
      <c r="R60" s="317">
        <v>237.76</v>
      </c>
      <c r="S60" s="318">
        <v>233.87</v>
      </c>
      <c r="T60" s="341">
        <v>231.53</v>
      </c>
      <c r="U60" s="342">
        <v>226.22</v>
      </c>
      <c r="V60" s="343">
        <v>220.15</v>
      </c>
      <c r="W60" s="344">
        <v>214.78</v>
      </c>
      <c r="X60" s="345">
        <v>209.64</v>
      </c>
      <c r="Y60" s="143">
        <v>204.66</v>
      </c>
      <c r="Z60" s="143">
        <v>174.89</v>
      </c>
      <c r="AA60" s="146">
        <v>110.52</v>
      </c>
      <c r="AB60" s="267">
        <v>255.69</v>
      </c>
      <c r="AC60" s="268">
        <v>252.71</v>
      </c>
      <c r="AD60" s="269">
        <v>249.64</v>
      </c>
      <c r="AE60" s="270">
        <v>245.56</v>
      </c>
      <c r="AF60" s="271">
        <v>243.1</v>
      </c>
      <c r="AG60" s="272">
        <v>237.53</v>
      </c>
      <c r="AH60" s="268">
        <v>231.16</v>
      </c>
      <c r="AI60" s="269">
        <v>225.52</v>
      </c>
      <c r="AJ60" s="270">
        <v>220.13</v>
      </c>
      <c r="AK60" s="270">
        <v>214.89</v>
      </c>
      <c r="AL60" s="270">
        <v>183.63</v>
      </c>
      <c r="AM60" s="273">
        <v>116.05</v>
      </c>
      <c r="AN60" s="274">
        <v>265.92</v>
      </c>
      <c r="AO60" s="275">
        <v>262.82</v>
      </c>
      <c r="AP60" s="276">
        <v>259.63</v>
      </c>
      <c r="AQ60" s="277">
        <v>255.39</v>
      </c>
      <c r="AR60" s="276">
        <v>252.83</v>
      </c>
      <c r="AS60" s="277">
        <v>247.03</v>
      </c>
      <c r="AT60" s="278">
        <v>240.4</v>
      </c>
      <c r="AU60" s="279">
        <v>234.54</v>
      </c>
      <c r="AV60" s="280">
        <v>228.93</v>
      </c>
      <c r="AW60" s="275">
        <v>223.49</v>
      </c>
      <c r="AX60" s="276">
        <v>190.98</v>
      </c>
      <c r="AY60" s="281">
        <v>120.69</v>
      </c>
      <c r="AZ60" s="346">
        <v>276.56</v>
      </c>
      <c r="BA60" s="347">
        <v>273.33999999999997</v>
      </c>
      <c r="BB60" s="348">
        <v>270.01</v>
      </c>
      <c r="BC60" s="349">
        <v>265.60000000000002</v>
      </c>
      <c r="BD60" s="349">
        <v>262.94</v>
      </c>
      <c r="BE60" s="349">
        <v>256.92</v>
      </c>
      <c r="BF60" s="350">
        <v>250.02</v>
      </c>
      <c r="BG60" s="351">
        <v>243.92</v>
      </c>
      <c r="BH60" s="349">
        <v>238.1</v>
      </c>
      <c r="BI60" s="349">
        <v>232.42</v>
      </c>
      <c r="BJ60" s="349">
        <v>198.62</v>
      </c>
      <c r="BK60" s="352">
        <v>125.52</v>
      </c>
    </row>
    <row r="61" spans="1:63" x14ac:dyDescent="0.25">
      <c r="A61" s="1019"/>
      <c r="B61" s="1020"/>
      <c r="C61" s="726" t="s">
        <v>46</v>
      </c>
      <c r="D61" s="703">
        <v>238.71</v>
      </c>
      <c r="E61" s="117">
        <v>235.93</v>
      </c>
      <c r="F61" s="117">
        <v>233.07</v>
      </c>
      <c r="G61" s="117">
        <v>229.26</v>
      </c>
      <c r="H61" s="117">
        <v>226.96</v>
      </c>
      <c r="I61" s="117">
        <v>221.76</v>
      </c>
      <c r="J61" s="117">
        <v>215.81</v>
      </c>
      <c r="K61" s="117">
        <v>210.54</v>
      </c>
      <c r="L61" s="117">
        <v>205.51</v>
      </c>
      <c r="M61" s="117">
        <v>200.62</v>
      </c>
      <c r="N61" s="315">
        <v>171.44</v>
      </c>
      <c r="O61" s="315">
        <v>108.34</v>
      </c>
      <c r="P61" s="258">
        <v>243.51</v>
      </c>
      <c r="Q61" s="259">
        <v>240.68</v>
      </c>
      <c r="R61" s="259">
        <v>237.76</v>
      </c>
      <c r="S61" s="260">
        <v>233.87</v>
      </c>
      <c r="T61" s="261">
        <v>231.53</v>
      </c>
      <c r="U61" s="353">
        <v>226.22</v>
      </c>
      <c r="V61" s="259">
        <v>220.15</v>
      </c>
      <c r="W61" s="264">
        <v>214.78</v>
      </c>
      <c r="X61" s="265">
        <v>209.64</v>
      </c>
      <c r="Y61" s="259">
        <v>204.66</v>
      </c>
      <c r="Z61" s="259">
        <v>174.89</v>
      </c>
      <c r="AA61" s="266">
        <v>110.52</v>
      </c>
      <c r="AB61" s="300">
        <v>255.69</v>
      </c>
      <c r="AC61" s="301">
        <v>252.71</v>
      </c>
      <c r="AD61" s="302">
        <v>249.64</v>
      </c>
      <c r="AE61" s="303">
        <v>245.56</v>
      </c>
      <c r="AF61" s="304">
        <v>243.1</v>
      </c>
      <c r="AG61" s="305">
        <v>237.53</v>
      </c>
      <c r="AH61" s="301">
        <v>231.16</v>
      </c>
      <c r="AI61" s="302">
        <v>225.52</v>
      </c>
      <c r="AJ61" s="303">
        <v>220.13</v>
      </c>
      <c r="AK61" s="303">
        <v>214.89</v>
      </c>
      <c r="AL61" s="303">
        <v>183.63</v>
      </c>
      <c r="AM61" s="306">
        <v>116.05</v>
      </c>
      <c r="AN61" s="274">
        <v>265.92</v>
      </c>
      <c r="AO61" s="275">
        <v>262.82</v>
      </c>
      <c r="AP61" s="276">
        <v>259.63</v>
      </c>
      <c r="AQ61" s="277">
        <v>255.39</v>
      </c>
      <c r="AR61" s="276">
        <v>252.83</v>
      </c>
      <c r="AS61" s="277">
        <v>247.03</v>
      </c>
      <c r="AT61" s="278">
        <v>240.4</v>
      </c>
      <c r="AU61" s="279">
        <v>234.54</v>
      </c>
      <c r="AV61" s="280">
        <v>228.93</v>
      </c>
      <c r="AW61" s="275">
        <v>223.49</v>
      </c>
      <c r="AX61" s="276">
        <v>190.98</v>
      </c>
      <c r="AY61" s="281">
        <v>120.69</v>
      </c>
      <c r="AZ61" s="354">
        <v>276.56</v>
      </c>
      <c r="BA61" s="355">
        <v>273.33999999999997</v>
      </c>
      <c r="BB61" s="356">
        <v>270.01</v>
      </c>
      <c r="BC61" s="357">
        <v>265.60000000000002</v>
      </c>
      <c r="BD61" s="357">
        <v>262.94</v>
      </c>
      <c r="BE61" s="357">
        <v>256.92</v>
      </c>
      <c r="BF61" s="358">
        <v>250.02</v>
      </c>
      <c r="BG61" s="359">
        <v>243.92</v>
      </c>
      <c r="BH61" s="357">
        <v>238.1</v>
      </c>
      <c r="BI61" s="357">
        <v>232.42</v>
      </c>
      <c r="BJ61" s="357">
        <v>198.62</v>
      </c>
      <c r="BK61" s="360">
        <v>125.52</v>
      </c>
    </row>
    <row r="62" spans="1:63" x14ac:dyDescent="0.25">
      <c r="A62" s="1019"/>
      <c r="B62" s="1020"/>
      <c r="C62" s="726" t="s">
        <v>47</v>
      </c>
      <c r="D62" s="706">
        <v>230.1</v>
      </c>
      <c r="E62" s="256">
        <v>227.98</v>
      </c>
      <c r="F62" s="256">
        <v>225.91</v>
      </c>
      <c r="G62" s="256">
        <v>222.88</v>
      </c>
      <c r="H62" s="256">
        <v>220.51</v>
      </c>
      <c r="I62" s="256">
        <v>215.54</v>
      </c>
      <c r="J62" s="256">
        <v>209.67</v>
      </c>
      <c r="K62" s="256">
        <v>204.47</v>
      </c>
      <c r="L62" s="257">
        <v>199.67</v>
      </c>
      <c r="M62" s="256">
        <v>194.95</v>
      </c>
      <c r="N62" s="257">
        <v>166.6</v>
      </c>
      <c r="O62" s="257">
        <v>108.34</v>
      </c>
      <c r="P62" s="258">
        <v>234.73</v>
      </c>
      <c r="Q62" s="259">
        <v>232.57</v>
      </c>
      <c r="R62" s="259">
        <v>230.45</v>
      </c>
      <c r="S62" s="260">
        <v>227.36</v>
      </c>
      <c r="T62" s="261">
        <v>224.95</v>
      </c>
      <c r="U62" s="353">
        <v>219.88</v>
      </c>
      <c r="V62" s="259">
        <v>213.89</v>
      </c>
      <c r="W62" s="264">
        <v>208.58</v>
      </c>
      <c r="X62" s="265">
        <v>203.69</v>
      </c>
      <c r="Y62" s="259">
        <v>198.87</v>
      </c>
      <c r="Z62" s="259">
        <v>169.95</v>
      </c>
      <c r="AA62" s="266">
        <v>110.52</v>
      </c>
      <c r="AB62" s="267">
        <v>246.47</v>
      </c>
      <c r="AC62" s="268">
        <v>244.2</v>
      </c>
      <c r="AD62" s="269">
        <v>241.98</v>
      </c>
      <c r="AE62" s="270">
        <v>238.73</v>
      </c>
      <c r="AF62" s="271">
        <v>236.2</v>
      </c>
      <c r="AG62" s="272">
        <v>230.87</v>
      </c>
      <c r="AH62" s="268">
        <v>224.58</v>
      </c>
      <c r="AI62" s="269">
        <v>219.01</v>
      </c>
      <c r="AJ62" s="270">
        <v>213.87</v>
      </c>
      <c r="AK62" s="270">
        <v>208.82</v>
      </c>
      <c r="AL62" s="270">
        <v>178.45</v>
      </c>
      <c r="AM62" s="273">
        <v>116.05</v>
      </c>
      <c r="AN62" s="274">
        <v>256.33</v>
      </c>
      <c r="AO62" s="275">
        <v>253.97</v>
      </c>
      <c r="AP62" s="276">
        <v>251.66</v>
      </c>
      <c r="AQ62" s="277">
        <v>248.28</v>
      </c>
      <c r="AR62" s="276">
        <v>245.64</v>
      </c>
      <c r="AS62" s="277">
        <v>240.11</v>
      </c>
      <c r="AT62" s="278">
        <v>233.57</v>
      </c>
      <c r="AU62" s="279">
        <v>227.77</v>
      </c>
      <c r="AV62" s="280">
        <v>222.43</v>
      </c>
      <c r="AW62" s="275">
        <v>217.17</v>
      </c>
      <c r="AX62" s="276">
        <v>185.59</v>
      </c>
      <c r="AY62" s="281">
        <v>120.69</v>
      </c>
      <c r="AZ62" s="282">
        <v>266.58</v>
      </c>
      <c r="BA62" s="283">
        <v>264.13</v>
      </c>
      <c r="BB62" s="284">
        <v>261.73</v>
      </c>
      <c r="BC62" s="285">
        <v>258.20999999999998</v>
      </c>
      <c r="BD62" s="285">
        <v>255.47</v>
      </c>
      <c r="BE62" s="285">
        <v>249.7</v>
      </c>
      <c r="BF62" s="286">
        <v>242.91</v>
      </c>
      <c r="BG62" s="287">
        <v>236.88</v>
      </c>
      <c r="BH62" s="285">
        <v>231.32</v>
      </c>
      <c r="BI62" s="285">
        <v>225.86</v>
      </c>
      <c r="BJ62" s="285">
        <v>193.02</v>
      </c>
      <c r="BK62" s="288">
        <v>125.52</v>
      </c>
    </row>
    <row r="63" spans="1:63" x14ac:dyDescent="0.25">
      <c r="A63" s="1019"/>
      <c r="B63" s="1020"/>
      <c r="C63" s="726" t="s">
        <v>48</v>
      </c>
      <c r="D63" s="707">
        <v>230.1</v>
      </c>
      <c r="E63" s="289">
        <v>227.98</v>
      </c>
      <c r="F63" s="289">
        <v>225.91</v>
      </c>
      <c r="G63" s="289">
        <v>222.88</v>
      </c>
      <c r="H63" s="289">
        <v>220.51</v>
      </c>
      <c r="I63" s="289">
        <v>215.54</v>
      </c>
      <c r="J63" s="289">
        <v>209.67</v>
      </c>
      <c r="K63" s="289">
        <v>204.47</v>
      </c>
      <c r="L63" s="290">
        <v>199.67</v>
      </c>
      <c r="M63" s="289">
        <v>194.95</v>
      </c>
      <c r="N63" s="290">
        <v>166.6</v>
      </c>
      <c r="O63" s="290">
        <v>108.34</v>
      </c>
      <c r="P63" s="291">
        <v>234.73</v>
      </c>
      <c r="Q63" s="292">
        <v>232.57</v>
      </c>
      <c r="R63" s="292">
        <v>230.45</v>
      </c>
      <c r="S63" s="293">
        <v>227.36</v>
      </c>
      <c r="T63" s="294">
        <v>224.95</v>
      </c>
      <c r="U63" s="361">
        <v>219.88</v>
      </c>
      <c r="V63" s="292">
        <v>213.89</v>
      </c>
      <c r="W63" s="297">
        <v>208.58</v>
      </c>
      <c r="X63" s="298">
        <v>203.69</v>
      </c>
      <c r="Y63" s="292">
        <v>198.87</v>
      </c>
      <c r="Z63" s="292">
        <v>169.95</v>
      </c>
      <c r="AA63" s="299">
        <v>110.52</v>
      </c>
      <c r="AB63" s="300">
        <v>246.47</v>
      </c>
      <c r="AC63" s="301">
        <v>244.2</v>
      </c>
      <c r="AD63" s="302">
        <v>241.98</v>
      </c>
      <c r="AE63" s="303">
        <v>238.73</v>
      </c>
      <c r="AF63" s="304">
        <v>236.2</v>
      </c>
      <c r="AG63" s="305">
        <v>230.87</v>
      </c>
      <c r="AH63" s="301">
        <v>224.58</v>
      </c>
      <c r="AI63" s="302">
        <v>219.01</v>
      </c>
      <c r="AJ63" s="303">
        <v>213.87</v>
      </c>
      <c r="AK63" s="303">
        <v>208.82</v>
      </c>
      <c r="AL63" s="303">
        <v>178.45</v>
      </c>
      <c r="AM63" s="306">
        <v>116.05</v>
      </c>
      <c r="AN63" s="307">
        <v>256.33</v>
      </c>
      <c r="AO63" s="308">
        <v>253.97</v>
      </c>
      <c r="AP63" s="309">
        <v>251.66</v>
      </c>
      <c r="AQ63" s="310">
        <v>248.28</v>
      </c>
      <c r="AR63" s="309">
        <v>245.64</v>
      </c>
      <c r="AS63" s="310">
        <v>240.11</v>
      </c>
      <c r="AT63" s="311">
        <v>233.57</v>
      </c>
      <c r="AU63" s="312">
        <v>227.77</v>
      </c>
      <c r="AV63" s="313">
        <v>222.43</v>
      </c>
      <c r="AW63" s="308">
        <v>217.17</v>
      </c>
      <c r="AX63" s="309">
        <v>185.59</v>
      </c>
      <c r="AY63" s="314">
        <v>120.69</v>
      </c>
      <c r="AZ63" s="282">
        <v>266.58</v>
      </c>
      <c r="BA63" s="283">
        <v>264.13</v>
      </c>
      <c r="BB63" s="284">
        <v>261.73</v>
      </c>
      <c r="BC63" s="285">
        <v>258.20999999999998</v>
      </c>
      <c r="BD63" s="285">
        <v>255.47</v>
      </c>
      <c r="BE63" s="285">
        <v>249.7</v>
      </c>
      <c r="BF63" s="286">
        <v>242.91</v>
      </c>
      <c r="BG63" s="287">
        <v>236.88</v>
      </c>
      <c r="BH63" s="285">
        <v>231.32</v>
      </c>
      <c r="BI63" s="285">
        <v>225.86</v>
      </c>
      <c r="BJ63" s="285">
        <v>193.02</v>
      </c>
      <c r="BK63" s="288">
        <v>125.52</v>
      </c>
    </row>
    <row r="64" spans="1:63" x14ac:dyDescent="0.25">
      <c r="A64" s="1019"/>
      <c r="B64" s="1020"/>
      <c r="C64" s="726" t="s">
        <v>49</v>
      </c>
      <c r="D64" s="703">
        <v>228.9</v>
      </c>
      <c r="E64" s="117">
        <v>226.87</v>
      </c>
      <c r="F64" s="117">
        <v>224.8</v>
      </c>
      <c r="G64" s="117">
        <v>221.8</v>
      </c>
      <c r="H64" s="117">
        <v>219.46</v>
      </c>
      <c r="I64" s="117">
        <v>214.5</v>
      </c>
      <c r="J64" s="117">
        <v>208.68</v>
      </c>
      <c r="K64" s="117">
        <v>203.59</v>
      </c>
      <c r="L64" s="315">
        <v>198.81</v>
      </c>
      <c r="M64" s="117">
        <v>194.09</v>
      </c>
      <c r="N64" s="315">
        <v>165.91</v>
      </c>
      <c r="O64" s="117">
        <v>108.34</v>
      </c>
      <c r="P64" s="316">
        <v>233.5</v>
      </c>
      <c r="Q64" s="317">
        <v>231.43</v>
      </c>
      <c r="R64" s="317">
        <v>229.32</v>
      </c>
      <c r="S64" s="318">
        <v>226.26</v>
      </c>
      <c r="T64" s="319">
        <v>223.88</v>
      </c>
      <c r="U64" s="362">
        <v>218.82</v>
      </c>
      <c r="V64" s="317">
        <v>212.88</v>
      </c>
      <c r="W64" s="322">
        <v>207.69</v>
      </c>
      <c r="X64" s="323">
        <v>202.81</v>
      </c>
      <c r="Y64" s="317">
        <v>197.99</v>
      </c>
      <c r="Z64" s="317">
        <v>169.25</v>
      </c>
      <c r="AA64" s="324">
        <v>110.52</v>
      </c>
      <c r="AB64" s="267">
        <v>245.19</v>
      </c>
      <c r="AC64" s="268">
        <v>243</v>
      </c>
      <c r="AD64" s="269">
        <v>240.79</v>
      </c>
      <c r="AE64" s="270">
        <v>237.58</v>
      </c>
      <c r="AF64" s="271">
        <v>235.07</v>
      </c>
      <c r="AG64" s="272">
        <v>229.76</v>
      </c>
      <c r="AH64" s="268">
        <v>223.52</v>
      </c>
      <c r="AI64" s="269">
        <v>218.07</v>
      </c>
      <c r="AJ64" s="270">
        <v>212.95</v>
      </c>
      <c r="AK64" s="270">
        <v>207.89</v>
      </c>
      <c r="AL64" s="270">
        <v>177.71</v>
      </c>
      <c r="AM64" s="273">
        <v>116.05</v>
      </c>
      <c r="AN64" s="325">
        <v>254.99</v>
      </c>
      <c r="AO64" s="326">
        <v>252.72</v>
      </c>
      <c r="AP64" s="327">
        <v>250.42</v>
      </c>
      <c r="AQ64" s="328">
        <v>247.08</v>
      </c>
      <c r="AR64" s="327">
        <v>244.47</v>
      </c>
      <c r="AS64" s="328">
        <v>238.95</v>
      </c>
      <c r="AT64" s="329">
        <v>232.45</v>
      </c>
      <c r="AU64" s="330">
        <v>226.79</v>
      </c>
      <c r="AV64" s="331">
        <v>221.47</v>
      </c>
      <c r="AW64" s="326">
        <v>216.2</v>
      </c>
      <c r="AX64" s="327">
        <v>184.82</v>
      </c>
      <c r="AY64" s="332">
        <v>120.69</v>
      </c>
      <c r="AZ64" s="282">
        <v>265.19</v>
      </c>
      <c r="BA64" s="283">
        <v>262.83</v>
      </c>
      <c r="BB64" s="284">
        <v>260.44</v>
      </c>
      <c r="BC64" s="285">
        <v>256.97000000000003</v>
      </c>
      <c r="BD64" s="285">
        <v>254.25</v>
      </c>
      <c r="BE64" s="285">
        <v>248.51</v>
      </c>
      <c r="BF64" s="286">
        <v>241.75</v>
      </c>
      <c r="BG64" s="287">
        <v>235.86</v>
      </c>
      <c r="BH64" s="285">
        <v>230.32</v>
      </c>
      <c r="BI64" s="285">
        <v>224.85</v>
      </c>
      <c r="BJ64" s="285">
        <v>192.22</v>
      </c>
      <c r="BK64" s="288">
        <v>125.52</v>
      </c>
    </row>
    <row r="65" spans="1:63" x14ac:dyDescent="0.25">
      <c r="A65" s="1019"/>
      <c r="B65" s="1020"/>
      <c r="C65" s="726" t="s">
        <v>50</v>
      </c>
      <c r="D65" s="703">
        <v>228.9</v>
      </c>
      <c r="E65" s="117">
        <v>226.87</v>
      </c>
      <c r="F65" s="117">
        <v>224.8</v>
      </c>
      <c r="G65" s="117">
        <v>221.8</v>
      </c>
      <c r="H65" s="117">
        <v>219.46</v>
      </c>
      <c r="I65" s="117">
        <v>214.5</v>
      </c>
      <c r="J65" s="117">
        <v>208.68</v>
      </c>
      <c r="K65" s="117">
        <v>203.59</v>
      </c>
      <c r="L65" s="315">
        <v>198.81</v>
      </c>
      <c r="M65" s="117">
        <v>194.09</v>
      </c>
      <c r="N65" s="315">
        <v>165.91</v>
      </c>
      <c r="O65" s="315">
        <v>108.34</v>
      </c>
      <c r="P65" s="258">
        <v>233.5</v>
      </c>
      <c r="Q65" s="259">
        <v>231.43</v>
      </c>
      <c r="R65" s="259">
        <v>229.32</v>
      </c>
      <c r="S65" s="260">
        <v>226.26</v>
      </c>
      <c r="T65" s="261">
        <v>223.88</v>
      </c>
      <c r="U65" s="353">
        <v>218.82</v>
      </c>
      <c r="V65" s="259">
        <v>212.88</v>
      </c>
      <c r="W65" s="264">
        <v>207.69</v>
      </c>
      <c r="X65" s="265">
        <v>202.81</v>
      </c>
      <c r="Y65" s="259">
        <v>197.99</v>
      </c>
      <c r="Z65" s="259">
        <v>169.25</v>
      </c>
      <c r="AA65" s="266">
        <v>110.52</v>
      </c>
      <c r="AB65" s="300">
        <v>245.19</v>
      </c>
      <c r="AC65" s="301">
        <v>243</v>
      </c>
      <c r="AD65" s="302">
        <v>240.79</v>
      </c>
      <c r="AE65" s="303">
        <v>237.58</v>
      </c>
      <c r="AF65" s="304">
        <v>235.07</v>
      </c>
      <c r="AG65" s="305">
        <v>229.76</v>
      </c>
      <c r="AH65" s="301">
        <v>223.52</v>
      </c>
      <c r="AI65" s="302">
        <v>218.07</v>
      </c>
      <c r="AJ65" s="303">
        <v>212.95</v>
      </c>
      <c r="AK65" s="303">
        <v>207.89</v>
      </c>
      <c r="AL65" s="303">
        <v>177.71</v>
      </c>
      <c r="AM65" s="306">
        <v>116.05</v>
      </c>
      <c r="AN65" s="274">
        <v>254.99</v>
      </c>
      <c r="AO65" s="275">
        <v>252.72</v>
      </c>
      <c r="AP65" s="276">
        <v>250.42</v>
      </c>
      <c r="AQ65" s="277">
        <v>247.08</v>
      </c>
      <c r="AR65" s="276">
        <v>244.47</v>
      </c>
      <c r="AS65" s="277">
        <v>238.95</v>
      </c>
      <c r="AT65" s="278">
        <v>232.45</v>
      </c>
      <c r="AU65" s="279">
        <v>226.79</v>
      </c>
      <c r="AV65" s="280">
        <v>221.47</v>
      </c>
      <c r="AW65" s="275">
        <v>216.2</v>
      </c>
      <c r="AX65" s="276">
        <v>184.82</v>
      </c>
      <c r="AY65" s="281">
        <v>120.69</v>
      </c>
      <c r="AZ65" s="282">
        <v>265.19</v>
      </c>
      <c r="BA65" s="283">
        <v>262.83</v>
      </c>
      <c r="BB65" s="284">
        <v>260.44</v>
      </c>
      <c r="BC65" s="285">
        <v>256.97000000000003</v>
      </c>
      <c r="BD65" s="285">
        <v>254.25</v>
      </c>
      <c r="BE65" s="285">
        <v>248.51</v>
      </c>
      <c r="BF65" s="286">
        <v>241.75</v>
      </c>
      <c r="BG65" s="287">
        <v>235.86</v>
      </c>
      <c r="BH65" s="285">
        <v>230.32</v>
      </c>
      <c r="BI65" s="285">
        <v>224.85</v>
      </c>
      <c r="BJ65" s="285">
        <v>192.22</v>
      </c>
      <c r="BK65" s="288">
        <v>125.52</v>
      </c>
    </row>
    <row r="66" spans="1:63" x14ac:dyDescent="0.25">
      <c r="A66" s="1019"/>
      <c r="B66" s="1020"/>
      <c r="C66" s="726" t="s">
        <v>51</v>
      </c>
      <c r="D66" s="706">
        <v>220.88</v>
      </c>
      <c r="E66" s="256">
        <v>218.89</v>
      </c>
      <c r="F66" s="256">
        <v>216.9</v>
      </c>
      <c r="G66" s="256">
        <v>213.97</v>
      </c>
      <c r="H66" s="256">
        <v>211.68</v>
      </c>
      <c r="I66" s="256">
        <v>206.91</v>
      </c>
      <c r="J66" s="256">
        <v>201.28</v>
      </c>
      <c r="K66" s="257">
        <v>196.32</v>
      </c>
      <c r="L66" s="257">
        <v>191.7</v>
      </c>
      <c r="M66" s="256">
        <v>187.17</v>
      </c>
      <c r="N66" s="257">
        <v>159.94999999999999</v>
      </c>
      <c r="O66" s="257">
        <v>108.34</v>
      </c>
      <c r="P66" s="258">
        <v>225.32</v>
      </c>
      <c r="Q66" s="259">
        <v>223.29</v>
      </c>
      <c r="R66" s="259">
        <v>221.26</v>
      </c>
      <c r="S66" s="260">
        <v>218.27</v>
      </c>
      <c r="T66" s="261">
        <v>215.94</v>
      </c>
      <c r="U66" s="353">
        <v>211.07</v>
      </c>
      <c r="V66" s="259">
        <v>205.33</v>
      </c>
      <c r="W66" s="264">
        <v>200.27</v>
      </c>
      <c r="X66" s="265">
        <v>195.56</v>
      </c>
      <c r="Y66" s="259">
        <v>190.94</v>
      </c>
      <c r="Z66" s="259">
        <v>163.16999999999999</v>
      </c>
      <c r="AA66" s="266">
        <v>110.52</v>
      </c>
      <c r="AB66" s="267">
        <v>236.59</v>
      </c>
      <c r="AC66" s="268">
        <v>234.45</v>
      </c>
      <c r="AD66" s="269">
        <v>232.33</v>
      </c>
      <c r="AE66" s="270">
        <v>229.19</v>
      </c>
      <c r="AF66" s="271">
        <v>226.73</v>
      </c>
      <c r="AG66" s="272">
        <v>221.63</v>
      </c>
      <c r="AH66" s="268">
        <v>215.59</v>
      </c>
      <c r="AI66" s="269">
        <v>210.29</v>
      </c>
      <c r="AJ66" s="270">
        <v>205.34</v>
      </c>
      <c r="AK66" s="270">
        <v>200.48</v>
      </c>
      <c r="AL66" s="270">
        <v>171.33</v>
      </c>
      <c r="AM66" s="273">
        <v>116.05</v>
      </c>
      <c r="AN66" s="274">
        <v>246.05</v>
      </c>
      <c r="AO66" s="275">
        <v>243.83</v>
      </c>
      <c r="AP66" s="276">
        <v>241.63</v>
      </c>
      <c r="AQ66" s="277">
        <v>238.36</v>
      </c>
      <c r="AR66" s="276">
        <v>235.8</v>
      </c>
      <c r="AS66" s="277">
        <v>230.5</v>
      </c>
      <c r="AT66" s="278">
        <v>224.21</v>
      </c>
      <c r="AU66" s="279">
        <v>218.7</v>
      </c>
      <c r="AV66" s="280">
        <v>213.55</v>
      </c>
      <c r="AW66" s="275">
        <v>208.5</v>
      </c>
      <c r="AX66" s="276">
        <v>178.18</v>
      </c>
      <c r="AY66" s="281">
        <v>120.69</v>
      </c>
      <c r="AZ66" s="282">
        <v>255.9</v>
      </c>
      <c r="BA66" s="283">
        <v>253.58</v>
      </c>
      <c r="BB66" s="284">
        <v>251.29</v>
      </c>
      <c r="BC66" s="285">
        <v>247.9</v>
      </c>
      <c r="BD66" s="285">
        <v>245.24</v>
      </c>
      <c r="BE66" s="285">
        <v>239.72</v>
      </c>
      <c r="BF66" s="286">
        <v>233.18</v>
      </c>
      <c r="BG66" s="287">
        <v>227.46</v>
      </c>
      <c r="BH66" s="285">
        <v>222.09</v>
      </c>
      <c r="BI66" s="285">
        <v>216.85</v>
      </c>
      <c r="BJ66" s="285">
        <v>185.31</v>
      </c>
      <c r="BK66" s="288">
        <v>125.52</v>
      </c>
    </row>
    <row r="67" spans="1:63" x14ac:dyDescent="0.25">
      <c r="A67" s="1019"/>
      <c r="B67" s="1020"/>
      <c r="C67" s="726" t="s">
        <v>52</v>
      </c>
      <c r="D67" s="707">
        <v>211.83</v>
      </c>
      <c r="E67" s="289">
        <v>209.92</v>
      </c>
      <c r="F67" s="289">
        <v>208.01</v>
      </c>
      <c r="G67" s="289">
        <v>205.2</v>
      </c>
      <c r="H67" s="289">
        <v>203.01</v>
      </c>
      <c r="I67" s="290">
        <v>198.44</v>
      </c>
      <c r="J67" s="290">
        <v>193.04</v>
      </c>
      <c r="K67" s="290">
        <v>188.27</v>
      </c>
      <c r="L67" s="290">
        <v>183.84</v>
      </c>
      <c r="M67" s="289">
        <v>179.5</v>
      </c>
      <c r="N67" s="289">
        <v>153.4</v>
      </c>
      <c r="O67" s="290">
        <v>108.34</v>
      </c>
      <c r="P67" s="291">
        <v>216.09</v>
      </c>
      <c r="Q67" s="292">
        <v>214.14</v>
      </c>
      <c r="R67" s="292">
        <v>212.19</v>
      </c>
      <c r="S67" s="293">
        <v>209.33</v>
      </c>
      <c r="T67" s="294">
        <v>207.09</v>
      </c>
      <c r="U67" s="361">
        <v>202.43</v>
      </c>
      <c r="V67" s="292">
        <v>196.92</v>
      </c>
      <c r="W67" s="297">
        <v>192.06</v>
      </c>
      <c r="X67" s="298">
        <v>187.54</v>
      </c>
      <c r="Y67" s="292">
        <v>183.11</v>
      </c>
      <c r="Z67" s="292">
        <v>156.49</v>
      </c>
      <c r="AA67" s="299">
        <v>110.52</v>
      </c>
      <c r="AB67" s="300">
        <v>226.89</v>
      </c>
      <c r="AC67" s="301">
        <v>224.85</v>
      </c>
      <c r="AD67" s="302">
        <v>222.8</v>
      </c>
      <c r="AE67" s="303">
        <v>219.79</v>
      </c>
      <c r="AF67" s="304">
        <v>217.45</v>
      </c>
      <c r="AG67" s="305">
        <v>212.55</v>
      </c>
      <c r="AH67" s="301">
        <v>206.77</v>
      </c>
      <c r="AI67" s="302">
        <v>201.66</v>
      </c>
      <c r="AJ67" s="303">
        <v>196.91</v>
      </c>
      <c r="AK67" s="303">
        <v>192.27</v>
      </c>
      <c r="AL67" s="303">
        <v>164.31</v>
      </c>
      <c r="AM67" s="306">
        <v>116.05</v>
      </c>
      <c r="AN67" s="307">
        <v>235.97</v>
      </c>
      <c r="AO67" s="308">
        <v>233.85</v>
      </c>
      <c r="AP67" s="309">
        <v>231.72</v>
      </c>
      <c r="AQ67" s="310">
        <v>228.59</v>
      </c>
      <c r="AR67" s="309">
        <v>226.15</v>
      </c>
      <c r="AS67" s="310">
        <v>221.05</v>
      </c>
      <c r="AT67" s="311">
        <v>215.04</v>
      </c>
      <c r="AU67" s="312">
        <v>209.73</v>
      </c>
      <c r="AV67" s="313">
        <v>204.79</v>
      </c>
      <c r="AW67" s="308">
        <v>199.96</v>
      </c>
      <c r="AX67" s="309">
        <v>170.88</v>
      </c>
      <c r="AY67" s="314">
        <v>120.69</v>
      </c>
      <c r="AZ67" s="282">
        <v>245.41</v>
      </c>
      <c r="BA67" s="283">
        <v>243.21</v>
      </c>
      <c r="BB67" s="284">
        <v>240.99</v>
      </c>
      <c r="BC67" s="285">
        <v>237.73</v>
      </c>
      <c r="BD67" s="285">
        <v>235.2</v>
      </c>
      <c r="BE67" s="285">
        <v>229.89</v>
      </c>
      <c r="BF67" s="286">
        <v>223.64</v>
      </c>
      <c r="BG67" s="287">
        <v>218.11</v>
      </c>
      <c r="BH67" s="285">
        <v>212.98</v>
      </c>
      <c r="BI67" s="285">
        <v>207.96</v>
      </c>
      <c r="BJ67" s="285">
        <v>177.71</v>
      </c>
      <c r="BK67" s="288">
        <v>125.52</v>
      </c>
    </row>
    <row r="68" spans="1:63" x14ac:dyDescent="0.25">
      <c r="A68" s="1019"/>
      <c r="B68" s="1020"/>
      <c r="C68" s="726" t="s">
        <v>53</v>
      </c>
      <c r="D68" s="703">
        <v>205.96</v>
      </c>
      <c r="E68" s="117">
        <v>204.23</v>
      </c>
      <c r="F68" s="117">
        <v>202.3</v>
      </c>
      <c r="G68" s="315">
        <v>199.56</v>
      </c>
      <c r="H68" s="315">
        <v>197.47</v>
      </c>
      <c r="I68" s="315">
        <v>193</v>
      </c>
      <c r="J68" s="315">
        <v>187.8</v>
      </c>
      <c r="K68" s="315">
        <v>183.11</v>
      </c>
      <c r="L68" s="315">
        <v>178.89</v>
      </c>
      <c r="M68" s="117">
        <v>174.63</v>
      </c>
      <c r="N68" s="315">
        <v>149.21</v>
      </c>
      <c r="O68" s="315">
        <v>108.34</v>
      </c>
      <c r="P68" s="316">
        <v>210.1</v>
      </c>
      <c r="Q68" s="317">
        <v>208.34</v>
      </c>
      <c r="R68" s="317">
        <v>206.37</v>
      </c>
      <c r="S68" s="318">
        <v>203.57</v>
      </c>
      <c r="T68" s="319">
        <v>201.44</v>
      </c>
      <c r="U68" s="362">
        <v>196.88</v>
      </c>
      <c r="V68" s="317">
        <v>191.58</v>
      </c>
      <c r="W68" s="322">
        <v>186.79</v>
      </c>
      <c r="X68" s="323">
        <v>182.49</v>
      </c>
      <c r="Y68" s="317">
        <v>178.14</v>
      </c>
      <c r="Z68" s="317">
        <v>152.21</v>
      </c>
      <c r="AA68" s="324">
        <v>110.52</v>
      </c>
      <c r="AB68" s="267">
        <v>220.61</v>
      </c>
      <c r="AC68" s="268">
        <v>218.75</v>
      </c>
      <c r="AD68" s="269">
        <v>216.69</v>
      </c>
      <c r="AE68" s="270">
        <v>213.76</v>
      </c>
      <c r="AF68" s="271">
        <v>211.51</v>
      </c>
      <c r="AG68" s="272">
        <v>206.73</v>
      </c>
      <c r="AH68" s="268">
        <v>201.16</v>
      </c>
      <c r="AI68" s="269">
        <v>196.14</v>
      </c>
      <c r="AJ68" s="270">
        <v>191.61</v>
      </c>
      <c r="AK68" s="270">
        <v>187.05</v>
      </c>
      <c r="AL68" s="270">
        <v>159.82</v>
      </c>
      <c r="AM68" s="273">
        <v>116.05</v>
      </c>
      <c r="AN68" s="325">
        <v>229.43</v>
      </c>
      <c r="AO68" s="326">
        <v>227.51</v>
      </c>
      <c r="AP68" s="327">
        <v>225.36</v>
      </c>
      <c r="AQ68" s="328">
        <v>222.3</v>
      </c>
      <c r="AR68" s="327">
        <v>219.97</v>
      </c>
      <c r="AS68" s="328">
        <v>215</v>
      </c>
      <c r="AT68" s="329">
        <v>209.21</v>
      </c>
      <c r="AU68" s="330">
        <v>203.98</v>
      </c>
      <c r="AV68" s="331">
        <v>199.27</v>
      </c>
      <c r="AW68" s="326">
        <v>194.53</v>
      </c>
      <c r="AX68" s="327">
        <v>166.22</v>
      </c>
      <c r="AY68" s="332">
        <v>120.69</v>
      </c>
      <c r="AZ68" s="282">
        <v>238.62</v>
      </c>
      <c r="BA68" s="283">
        <v>236.61</v>
      </c>
      <c r="BB68" s="284">
        <v>234.38</v>
      </c>
      <c r="BC68" s="285">
        <v>231.2</v>
      </c>
      <c r="BD68" s="285">
        <v>228.77</v>
      </c>
      <c r="BE68" s="285">
        <v>223.6</v>
      </c>
      <c r="BF68" s="286">
        <v>217.57</v>
      </c>
      <c r="BG68" s="287">
        <v>212.14</v>
      </c>
      <c r="BH68" s="285">
        <v>207.24</v>
      </c>
      <c r="BI68" s="285">
        <v>202.31</v>
      </c>
      <c r="BJ68" s="285">
        <v>172.87</v>
      </c>
      <c r="BK68" s="288">
        <v>125.52</v>
      </c>
    </row>
    <row r="69" spans="1:63" x14ac:dyDescent="0.25">
      <c r="A69" s="1019"/>
      <c r="B69" s="1020"/>
      <c r="C69" s="726" t="s">
        <v>54</v>
      </c>
      <c r="D69" s="708">
        <v>172.95</v>
      </c>
      <c r="E69" s="117">
        <v>171.42</v>
      </c>
      <c r="F69" s="315">
        <v>169.84</v>
      </c>
      <c r="G69" s="315">
        <v>167.55</v>
      </c>
      <c r="H69" s="315">
        <v>165.77</v>
      </c>
      <c r="I69" s="315">
        <v>162.03</v>
      </c>
      <c r="J69" s="315">
        <v>157.66</v>
      </c>
      <c r="K69" s="117">
        <v>153.77000000000001</v>
      </c>
      <c r="L69" s="315">
        <v>150.19</v>
      </c>
      <c r="M69" s="117">
        <v>146.62</v>
      </c>
      <c r="N69" s="315">
        <v>125.29</v>
      </c>
      <c r="O69" s="315">
        <v>108.34</v>
      </c>
      <c r="P69" s="258">
        <v>176.43</v>
      </c>
      <c r="Q69" s="259">
        <v>174.87</v>
      </c>
      <c r="R69" s="259">
        <v>173.26</v>
      </c>
      <c r="S69" s="260">
        <v>170.92</v>
      </c>
      <c r="T69" s="261">
        <v>169.1</v>
      </c>
      <c r="U69" s="353">
        <v>165.29</v>
      </c>
      <c r="V69" s="259">
        <v>160.83000000000001</v>
      </c>
      <c r="W69" s="264">
        <v>156.86000000000001</v>
      </c>
      <c r="X69" s="265">
        <v>153.21</v>
      </c>
      <c r="Y69" s="259">
        <v>149.57</v>
      </c>
      <c r="Z69" s="259">
        <v>127.81</v>
      </c>
      <c r="AA69" s="266">
        <v>110.52</v>
      </c>
      <c r="AB69" s="300">
        <v>185.25</v>
      </c>
      <c r="AC69" s="301">
        <v>183.61</v>
      </c>
      <c r="AD69" s="302">
        <v>181.92</v>
      </c>
      <c r="AE69" s="303">
        <v>179.47</v>
      </c>
      <c r="AF69" s="304">
        <v>177.56</v>
      </c>
      <c r="AG69" s="305">
        <v>173.55</v>
      </c>
      <c r="AH69" s="301">
        <v>168.87</v>
      </c>
      <c r="AI69" s="302">
        <v>164.71</v>
      </c>
      <c r="AJ69" s="303">
        <v>160.87</v>
      </c>
      <c r="AK69" s="303">
        <v>157.05000000000001</v>
      </c>
      <c r="AL69" s="303">
        <v>134.19999999999999</v>
      </c>
      <c r="AM69" s="306">
        <v>116.05</v>
      </c>
      <c r="AN69" s="274">
        <v>192.66</v>
      </c>
      <c r="AO69" s="275">
        <v>190.96</v>
      </c>
      <c r="AP69" s="276">
        <v>189.19</v>
      </c>
      <c r="AQ69" s="277">
        <v>186.65</v>
      </c>
      <c r="AR69" s="276">
        <v>184.66</v>
      </c>
      <c r="AS69" s="277">
        <v>180.5</v>
      </c>
      <c r="AT69" s="278">
        <v>175.62</v>
      </c>
      <c r="AU69" s="279">
        <v>171.3</v>
      </c>
      <c r="AV69" s="280">
        <v>167.31</v>
      </c>
      <c r="AW69" s="275">
        <v>163.33000000000001</v>
      </c>
      <c r="AX69" s="276">
        <v>139.56</v>
      </c>
      <c r="AY69" s="281">
        <v>120.69</v>
      </c>
      <c r="AZ69" s="282">
        <v>200.36</v>
      </c>
      <c r="BA69" s="283">
        <v>198.6</v>
      </c>
      <c r="BB69" s="363">
        <v>196.76</v>
      </c>
      <c r="BC69" s="285">
        <v>194.12</v>
      </c>
      <c r="BD69" s="285">
        <v>192.05</v>
      </c>
      <c r="BE69" s="285">
        <v>187.72</v>
      </c>
      <c r="BF69" s="364">
        <v>182.65</v>
      </c>
      <c r="BG69" s="287">
        <v>178.15</v>
      </c>
      <c r="BH69" s="285">
        <v>174</v>
      </c>
      <c r="BI69" s="285">
        <v>169.86</v>
      </c>
      <c r="BJ69" s="285">
        <v>145.13999999999999</v>
      </c>
      <c r="BK69" s="288">
        <v>125.52</v>
      </c>
    </row>
    <row r="70" spans="1:63" ht="15.75" thickBot="1" x14ac:dyDescent="0.3">
      <c r="A70" s="1021"/>
      <c r="B70" s="1022"/>
      <c r="C70" s="729" t="s">
        <v>55</v>
      </c>
      <c r="D70" s="709">
        <v>147.1</v>
      </c>
      <c r="E70" s="366">
        <v>145.84</v>
      </c>
      <c r="F70" s="365">
        <v>144.47999999999999</v>
      </c>
      <c r="G70" s="366">
        <v>142.53</v>
      </c>
      <c r="H70" s="366">
        <v>141.03</v>
      </c>
      <c r="I70" s="366">
        <v>137.85</v>
      </c>
      <c r="J70" s="365">
        <v>134.11000000000001</v>
      </c>
      <c r="K70" s="366">
        <v>130.80000000000001</v>
      </c>
      <c r="L70" s="365">
        <v>127.76</v>
      </c>
      <c r="M70" s="366">
        <v>124.73</v>
      </c>
      <c r="N70" s="366">
        <v>108.34</v>
      </c>
      <c r="O70" s="366">
        <v>108.34</v>
      </c>
      <c r="P70" s="367">
        <v>150.06</v>
      </c>
      <c r="Q70" s="368">
        <v>148.77000000000001</v>
      </c>
      <c r="R70" s="369">
        <v>147.38999999999999</v>
      </c>
      <c r="S70" s="370">
        <v>145.4</v>
      </c>
      <c r="T70" s="371">
        <v>143.87</v>
      </c>
      <c r="U70" s="372">
        <v>140.62</v>
      </c>
      <c r="V70" s="369">
        <v>136.81</v>
      </c>
      <c r="W70" s="373">
        <v>133.43</v>
      </c>
      <c r="X70" s="374">
        <v>130.33000000000001</v>
      </c>
      <c r="Y70" s="369">
        <v>127.24</v>
      </c>
      <c r="Z70" s="369">
        <v>110.52</v>
      </c>
      <c r="AA70" s="375">
        <v>110.52</v>
      </c>
      <c r="AB70" s="376">
        <v>157.57</v>
      </c>
      <c r="AC70" s="377">
        <v>156.21</v>
      </c>
      <c r="AD70" s="378">
        <v>154.75</v>
      </c>
      <c r="AE70" s="379">
        <v>152.66999999999999</v>
      </c>
      <c r="AF70" s="380">
        <v>151.06</v>
      </c>
      <c r="AG70" s="381">
        <v>147.65</v>
      </c>
      <c r="AH70" s="377">
        <v>143.65</v>
      </c>
      <c r="AI70" s="378">
        <v>140.1</v>
      </c>
      <c r="AJ70" s="379">
        <v>136.85</v>
      </c>
      <c r="AK70" s="379">
        <v>133.6</v>
      </c>
      <c r="AL70" s="379">
        <v>116.05</v>
      </c>
      <c r="AM70" s="382">
        <v>116.05</v>
      </c>
      <c r="AN70" s="383">
        <v>163.87</v>
      </c>
      <c r="AO70" s="384">
        <v>162.46</v>
      </c>
      <c r="AP70" s="385">
        <v>160.94</v>
      </c>
      <c r="AQ70" s="386">
        <v>158.78</v>
      </c>
      <c r="AR70" s="385">
        <v>157.1</v>
      </c>
      <c r="AS70" s="386">
        <v>153.56</v>
      </c>
      <c r="AT70" s="387">
        <v>149.4</v>
      </c>
      <c r="AU70" s="388">
        <v>145.69999999999999</v>
      </c>
      <c r="AV70" s="389">
        <v>142.33000000000001</v>
      </c>
      <c r="AW70" s="390">
        <v>138.94999999999999</v>
      </c>
      <c r="AX70" s="385">
        <v>120.69</v>
      </c>
      <c r="AY70" s="391">
        <v>120.69</v>
      </c>
      <c r="AZ70" s="392">
        <v>170.43</v>
      </c>
      <c r="BA70" s="393">
        <v>168.96</v>
      </c>
      <c r="BB70" s="394">
        <v>167.38</v>
      </c>
      <c r="BC70" s="395">
        <v>165.14</v>
      </c>
      <c r="BD70" s="396">
        <v>163.38</v>
      </c>
      <c r="BE70" s="395">
        <v>159.69999999999999</v>
      </c>
      <c r="BF70" s="397">
        <v>155.37</v>
      </c>
      <c r="BG70" s="398">
        <v>151.53</v>
      </c>
      <c r="BH70" s="395">
        <v>148.02000000000001</v>
      </c>
      <c r="BI70" s="395">
        <v>144.51</v>
      </c>
      <c r="BJ70" s="395">
        <v>125.52</v>
      </c>
      <c r="BK70" s="399">
        <v>125.52</v>
      </c>
    </row>
  </sheetData>
  <sheetProtection sheet="1" objects="1" scenarios="1" selectLockedCells="1" selectUnlockedCells="1"/>
  <mergeCells count="28">
    <mergeCell ref="B26:B28"/>
    <mergeCell ref="AZ33:BK33"/>
    <mergeCell ref="A33:C33"/>
    <mergeCell ref="A35:B52"/>
    <mergeCell ref="B29:B30"/>
    <mergeCell ref="A53:B70"/>
    <mergeCell ref="A32:BK32"/>
    <mergeCell ref="A34:C34"/>
    <mergeCell ref="D33:O33"/>
    <mergeCell ref="P33:AA33"/>
    <mergeCell ref="AB33:AM33"/>
    <mergeCell ref="AN33:AY33"/>
    <mergeCell ref="A2:C2"/>
    <mergeCell ref="A1:BK1"/>
    <mergeCell ref="A3:C3"/>
    <mergeCell ref="D2:O2"/>
    <mergeCell ref="B24:B25"/>
    <mergeCell ref="A4:A17"/>
    <mergeCell ref="B21:B23"/>
    <mergeCell ref="B7:B9"/>
    <mergeCell ref="B10:B11"/>
    <mergeCell ref="P2:AA2"/>
    <mergeCell ref="AB2:AM2"/>
    <mergeCell ref="AN2:AY2"/>
    <mergeCell ref="AZ2:BK2"/>
    <mergeCell ref="A18:A31"/>
    <mergeCell ref="B12:B14"/>
    <mergeCell ref="B15:B1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C96BA-B95A-47D8-83E3-BE994FC727C0}">
  <dimension ref="A1:V53"/>
  <sheetViews>
    <sheetView zoomScaleNormal="100" workbookViewId="0">
      <selection activeCell="C1" sqref="C1"/>
    </sheetView>
  </sheetViews>
  <sheetFormatPr defaultColWidth="7.42578125" defaultRowHeight="15" x14ac:dyDescent="0.25"/>
  <cols>
    <col min="1" max="1" width="18.140625" customWidth="1"/>
    <col min="2" max="2" width="7.7109375" bestFit="1" customWidth="1"/>
    <col min="3" max="3" width="55" style="64" customWidth="1"/>
    <col min="8" max="8" width="19.5703125" customWidth="1"/>
    <col min="9" max="9" width="9.42578125" style="64" bestFit="1" customWidth="1"/>
    <col min="10" max="10" width="10.28515625" style="64" bestFit="1" customWidth="1"/>
    <col min="11" max="11" width="7.7109375" style="64" bestFit="1" customWidth="1"/>
    <col min="12" max="12" width="6" style="64" bestFit="1" customWidth="1"/>
    <col min="13" max="13" width="5.28515625" style="64" bestFit="1" customWidth="1"/>
    <col min="14" max="14" width="5.5703125" style="64" bestFit="1" customWidth="1"/>
    <col min="15" max="15" width="5.140625" style="64" bestFit="1" customWidth="1"/>
    <col min="16" max="16" width="8.5703125" style="64" bestFit="1" customWidth="1"/>
    <col min="17" max="17" width="11.28515625" style="64" bestFit="1" customWidth="1"/>
    <col min="18" max="18" width="9.28515625" style="64" bestFit="1" customWidth="1"/>
    <col min="19" max="19" width="11.28515625" style="64" bestFit="1" customWidth="1"/>
    <col min="20" max="20" width="10.5703125" style="64" bestFit="1" customWidth="1"/>
    <col min="21" max="21" width="9.42578125" style="64" bestFit="1" customWidth="1"/>
    <col min="22" max="22" width="7.42578125" style="64"/>
  </cols>
  <sheetData>
    <row r="1" spans="1:22" x14ac:dyDescent="0.25">
      <c r="A1" s="13"/>
      <c r="C1" s="3" t="s">
        <v>111</v>
      </c>
      <c r="D1" s="13">
        <v>1</v>
      </c>
      <c r="E1" s="13"/>
    </row>
    <row r="2" spans="1:22" s="1" customFormat="1" x14ac:dyDescent="0.25">
      <c r="A2" s="3" t="s">
        <v>61</v>
      </c>
      <c r="B2" s="730">
        <v>350</v>
      </c>
      <c r="C2" s="3" t="s">
        <v>39</v>
      </c>
      <c r="D2" s="13">
        <v>2</v>
      </c>
      <c r="E2" s="13" t="s">
        <v>72</v>
      </c>
      <c r="F2"/>
      <c r="I2" s="65" t="s">
        <v>82</v>
      </c>
      <c r="J2" s="65" t="s">
        <v>83</v>
      </c>
      <c r="K2" s="65" t="s">
        <v>84</v>
      </c>
      <c r="L2" s="65" t="s">
        <v>85</v>
      </c>
      <c r="M2" s="65" t="s">
        <v>86</v>
      </c>
      <c r="N2" s="65" t="s">
        <v>87</v>
      </c>
      <c r="O2" s="65" t="s">
        <v>88</v>
      </c>
      <c r="P2" s="65" t="s">
        <v>89</v>
      </c>
      <c r="Q2" s="65" t="s">
        <v>90</v>
      </c>
      <c r="R2" s="65" t="s">
        <v>91</v>
      </c>
      <c r="S2" s="65" t="s">
        <v>92</v>
      </c>
      <c r="T2" s="65" t="s">
        <v>93</v>
      </c>
      <c r="U2" s="65" t="s">
        <v>153</v>
      </c>
      <c r="V2" s="65" t="s">
        <v>5</v>
      </c>
    </row>
    <row r="3" spans="1:22" s="21" customFormat="1" x14ac:dyDescent="0.25">
      <c r="A3" s="3" t="s">
        <v>62</v>
      </c>
      <c r="B3" s="730">
        <v>330</v>
      </c>
      <c r="C3" s="3" t="s">
        <v>65</v>
      </c>
      <c r="D3" s="13">
        <v>3</v>
      </c>
      <c r="E3" s="13" t="s">
        <v>73</v>
      </c>
      <c r="F3"/>
      <c r="I3" s="65"/>
      <c r="J3" s="65"/>
      <c r="K3" s="65"/>
      <c r="L3" s="65"/>
      <c r="M3" s="65"/>
      <c r="N3" s="65"/>
      <c r="O3" s="65"/>
      <c r="P3" s="65"/>
      <c r="Q3" s="65"/>
      <c r="R3" s="65"/>
      <c r="S3" s="65"/>
      <c r="T3" s="65"/>
      <c r="U3" s="65"/>
      <c r="V3" s="65"/>
    </row>
    <row r="4" spans="1:22" x14ac:dyDescent="0.25">
      <c r="B4" s="514" t="s">
        <v>63</v>
      </c>
      <c r="C4" s="3" t="s">
        <v>64</v>
      </c>
      <c r="D4" s="13">
        <v>4</v>
      </c>
      <c r="E4" s="64"/>
    </row>
    <row r="5" spans="1:22" x14ac:dyDescent="0.25">
      <c r="B5" s="514">
        <v>757</v>
      </c>
      <c r="C5" s="3" t="s">
        <v>66</v>
      </c>
      <c r="D5" s="13">
        <v>5</v>
      </c>
      <c r="E5" s="64"/>
    </row>
    <row r="6" spans="1:22" x14ac:dyDescent="0.25">
      <c r="B6" s="514">
        <v>737</v>
      </c>
      <c r="C6" s="3" t="s">
        <v>42</v>
      </c>
      <c r="D6" s="13">
        <v>6</v>
      </c>
      <c r="E6" s="64"/>
    </row>
    <row r="7" spans="1:22" x14ac:dyDescent="0.25">
      <c r="B7" s="514">
        <v>320</v>
      </c>
      <c r="C7" s="3" t="s">
        <v>43</v>
      </c>
      <c r="D7" s="13">
        <v>7</v>
      </c>
      <c r="E7" s="64"/>
    </row>
    <row r="8" spans="1:22" x14ac:dyDescent="0.25">
      <c r="B8" s="514">
        <v>220</v>
      </c>
      <c r="C8" s="3" t="s">
        <v>67</v>
      </c>
      <c r="D8" s="13">
        <v>8</v>
      </c>
      <c r="E8" s="64"/>
    </row>
    <row r="9" spans="1:22" x14ac:dyDescent="0.25">
      <c r="B9" s="514">
        <v>717</v>
      </c>
      <c r="C9" s="3" t="s">
        <v>68</v>
      </c>
      <c r="D9" s="13">
        <v>9</v>
      </c>
      <c r="E9" s="64"/>
    </row>
    <row r="10" spans="1:22" x14ac:dyDescent="0.25">
      <c r="C10" s="3" t="s">
        <v>45</v>
      </c>
      <c r="D10" s="13">
        <v>10</v>
      </c>
      <c r="E10" s="64"/>
    </row>
    <row r="11" spans="1:22" x14ac:dyDescent="0.25">
      <c r="C11" s="3" t="s">
        <v>47</v>
      </c>
      <c r="D11" s="13">
        <v>11</v>
      </c>
      <c r="E11" s="64"/>
      <c r="H11" t="s">
        <v>167</v>
      </c>
      <c r="I11" s="64">
        <v>12</v>
      </c>
      <c r="J11" s="64">
        <v>11</v>
      </c>
      <c r="K11" s="64">
        <v>10</v>
      </c>
      <c r="L11" s="64">
        <v>9</v>
      </c>
      <c r="M11" s="64">
        <v>8</v>
      </c>
      <c r="N11" s="64">
        <v>7</v>
      </c>
      <c r="O11" s="64">
        <v>6</v>
      </c>
      <c r="P11" s="64">
        <v>5</v>
      </c>
      <c r="Q11" s="64">
        <v>4</v>
      </c>
      <c r="R11" s="64">
        <v>3</v>
      </c>
      <c r="S11" s="64">
        <v>2</v>
      </c>
      <c r="T11" s="64">
        <v>1</v>
      </c>
    </row>
    <row r="12" spans="1:22" x14ac:dyDescent="0.25">
      <c r="C12" s="3" t="s">
        <v>69</v>
      </c>
      <c r="D12" s="13">
        <v>12</v>
      </c>
      <c r="E12" s="64"/>
      <c r="H12" s="64"/>
      <c r="J12"/>
      <c r="K12"/>
      <c r="L12"/>
      <c r="M12"/>
      <c r="N12"/>
      <c r="O12"/>
      <c r="P12"/>
      <c r="Q12"/>
      <c r="R12"/>
      <c r="S12"/>
      <c r="T12"/>
      <c r="U12"/>
      <c r="V12"/>
    </row>
    <row r="13" spans="1:22" x14ac:dyDescent="0.25">
      <c r="C13" s="3" t="s">
        <v>46</v>
      </c>
      <c r="D13" s="64"/>
      <c r="E13" s="64"/>
      <c r="H13" t="s">
        <v>38</v>
      </c>
      <c r="I13" s="64">
        <v>353.85</v>
      </c>
      <c r="J13" s="64">
        <v>351.19</v>
      </c>
      <c r="K13" s="64">
        <v>348.54</v>
      </c>
      <c r="L13" s="64">
        <v>345.9</v>
      </c>
      <c r="M13" s="64">
        <v>343.24</v>
      </c>
      <c r="N13" s="64">
        <v>340.61</v>
      </c>
      <c r="O13" s="64">
        <v>337.95</v>
      </c>
      <c r="P13" s="64">
        <v>335.32</v>
      </c>
      <c r="Q13" s="64">
        <v>332.64</v>
      </c>
      <c r="R13" s="64">
        <v>329.99</v>
      </c>
      <c r="S13" s="64">
        <v>327.31</v>
      </c>
      <c r="T13" s="64">
        <v>324.68</v>
      </c>
    </row>
    <row r="14" spans="1:22" x14ac:dyDescent="0.25">
      <c r="C14" s="3" t="s">
        <v>48</v>
      </c>
      <c r="D14" s="64"/>
      <c r="E14" s="64"/>
      <c r="H14" t="s">
        <v>39</v>
      </c>
      <c r="I14" s="64">
        <v>353.85</v>
      </c>
      <c r="J14" s="64">
        <v>351.19</v>
      </c>
      <c r="K14" s="64">
        <v>348.54</v>
      </c>
      <c r="L14" s="64">
        <v>345.9</v>
      </c>
      <c r="M14" s="64">
        <v>343.24</v>
      </c>
      <c r="N14" s="64">
        <v>340.61</v>
      </c>
      <c r="O14" s="64">
        <v>337.95</v>
      </c>
      <c r="P14" s="64">
        <v>335.32</v>
      </c>
      <c r="Q14" s="64">
        <v>332.64</v>
      </c>
      <c r="R14" s="64">
        <v>329.99</v>
      </c>
      <c r="S14" s="64">
        <v>327.31</v>
      </c>
      <c r="T14" s="64">
        <v>324.68</v>
      </c>
    </row>
    <row r="15" spans="1:22" x14ac:dyDescent="0.25">
      <c r="C15" s="3" t="s">
        <v>70</v>
      </c>
      <c r="D15" s="64"/>
      <c r="E15" s="64"/>
      <c r="H15" t="s">
        <v>40</v>
      </c>
      <c r="I15" s="64">
        <v>338.99</v>
      </c>
      <c r="J15" s="64">
        <v>336.43</v>
      </c>
      <c r="K15" s="64">
        <v>333.86</v>
      </c>
      <c r="L15" s="64">
        <v>331.3</v>
      </c>
      <c r="M15" s="64">
        <v>328.75</v>
      </c>
      <c r="N15" s="64">
        <v>326.14999999999998</v>
      </c>
      <c r="O15" s="64">
        <v>323.62</v>
      </c>
      <c r="P15" s="64">
        <v>321.05</v>
      </c>
      <c r="Q15" s="64">
        <v>318.48</v>
      </c>
      <c r="R15" s="64">
        <v>315.93</v>
      </c>
      <c r="S15" s="64">
        <v>313.36</v>
      </c>
      <c r="T15" s="64">
        <v>310.79000000000002</v>
      </c>
    </row>
    <row r="16" spans="1:22" x14ac:dyDescent="0.25">
      <c r="C16" s="3" t="s">
        <v>71</v>
      </c>
      <c r="D16" s="64"/>
      <c r="E16" s="64"/>
      <c r="H16" t="s">
        <v>65</v>
      </c>
      <c r="I16" s="64">
        <v>338.99</v>
      </c>
      <c r="J16" s="64">
        <v>336.43</v>
      </c>
      <c r="K16" s="64">
        <v>333.86</v>
      </c>
      <c r="L16" s="64">
        <v>331.3</v>
      </c>
      <c r="M16" s="64">
        <v>328.75</v>
      </c>
      <c r="N16" s="64">
        <v>326.14999999999998</v>
      </c>
      <c r="O16" s="64">
        <v>323.62</v>
      </c>
      <c r="P16" s="64">
        <v>321.05</v>
      </c>
      <c r="Q16" s="64">
        <v>318.48</v>
      </c>
      <c r="R16" s="64">
        <v>315.93</v>
      </c>
      <c r="S16" s="64">
        <v>313.36</v>
      </c>
      <c r="T16" s="64">
        <v>310.79000000000002</v>
      </c>
    </row>
    <row r="17" spans="1:20" x14ac:dyDescent="0.25">
      <c r="C17" s="3" t="s">
        <v>51</v>
      </c>
      <c r="D17" s="64"/>
      <c r="E17" s="64"/>
      <c r="H17" t="s">
        <v>162</v>
      </c>
      <c r="I17" s="64">
        <v>334.25</v>
      </c>
      <c r="J17" s="64">
        <v>331.75</v>
      </c>
      <c r="K17" s="64">
        <v>329.23</v>
      </c>
      <c r="L17" s="64">
        <v>326.73</v>
      </c>
      <c r="M17" s="64">
        <v>324.24</v>
      </c>
      <c r="N17" s="64">
        <v>321.70999999999998</v>
      </c>
      <c r="O17" s="64">
        <v>319.2</v>
      </c>
      <c r="P17" s="64">
        <v>316.68</v>
      </c>
      <c r="Q17" s="64">
        <v>314.2</v>
      </c>
      <c r="R17" s="64">
        <v>311.68</v>
      </c>
      <c r="S17" s="64">
        <v>309.19</v>
      </c>
      <c r="T17" s="64">
        <v>306.7</v>
      </c>
    </row>
    <row r="18" spans="1:20" x14ac:dyDescent="0.25">
      <c r="C18" s="3" t="s">
        <v>52</v>
      </c>
      <c r="D18" s="64"/>
      <c r="E18" s="64"/>
      <c r="H18" t="s">
        <v>42</v>
      </c>
      <c r="I18" s="64">
        <v>334.25</v>
      </c>
      <c r="J18" s="64">
        <v>331.75</v>
      </c>
      <c r="K18" s="64">
        <v>329.23</v>
      </c>
      <c r="L18" s="64">
        <v>326.73</v>
      </c>
      <c r="M18" s="64">
        <v>324.24</v>
      </c>
      <c r="N18" s="64">
        <v>321.70999999999998</v>
      </c>
      <c r="O18" s="64">
        <v>319.2</v>
      </c>
      <c r="P18" s="64">
        <v>316.68</v>
      </c>
      <c r="Q18" s="64">
        <v>314.2</v>
      </c>
      <c r="R18" s="64">
        <v>311.68</v>
      </c>
      <c r="S18" s="64">
        <v>309.19</v>
      </c>
      <c r="T18" s="64">
        <v>306.7</v>
      </c>
    </row>
    <row r="19" spans="1:20" x14ac:dyDescent="0.25">
      <c r="C19" s="3" t="s">
        <v>53</v>
      </c>
      <c r="H19" t="s">
        <v>43</v>
      </c>
      <c r="I19" s="64">
        <v>296.19</v>
      </c>
      <c r="J19" s="64">
        <v>293.16000000000003</v>
      </c>
      <c r="K19" s="64">
        <v>290.04000000000002</v>
      </c>
      <c r="L19" s="64">
        <v>286.95999999999998</v>
      </c>
      <c r="M19" s="64">
        <v>284.93</v>
      </c>
      <c r="N19" s="64">
        <v>282.58999999999997</v>
      </c>
      <c r="O19" s="64">
        <v>280.52</v>
      </c>
      <c r="P19" s="64">
        <v>278.35000000000002</v>
      </c>
      <c r="Q19" s="64">
        <v>276</v>
      </c>
      <c r="R19" s="64">
        <v>273.77999999999997</v>
      </c>
      <c r="S19" s="64">
        <v>271.58</v>
      </c>
      <c r="T19" s="64">
        <v>269.29000000000002</v>
      </c>
    </row>
    <row r="20" spans="1:20" x14ac:dyDescent="0.25">
      <c r="H20" t="s">
        <v>44</v>
      </c>
      <c r="I20" s="64">
        <v>296.19</v>
      </c>
      <c r="J20" s="64">
        <v>293.16000000000003</v>
      </c>
      <c r="K20" s="64">
        <v>290.04000000000002</v>
      </c>
      <c r="L20" s="64">
        <v>286.95999999999998</v>
      </c>
      <c r="M20" s="64">
        <v>284.93</v>
      </c>
      <c r="N20" s="64">
        <v>282.58999999999997</v>
      </c>
      <c r="O20" s="64">
        <v>280.52</v>
      </c>
      <c r="P20" s="64">
        <v>278.35000000000002</v>
      </c>
      <c r="Q20" s="64">
        <v>276</v>
      </c>
      <c r="R20" s="64">
        <v>273.77999999999997</v>
      </c>
      <c r="S20" s="64">
        <v>271.58</v>
      </c>
      <c r="T20" s="64">
        <v>269.29000000000002</v>
      </c>
    </row>
    <row r="21" spans="1:20" x14ac:dyDescent="0.25">
      <c r="A21" s="1030" t="s">
        <v>149</v>
      </c>
      <c r="B21" s="1030"/>
      <c r="H21" t="s">
        <v>45</v>
      </c>
      <c r="I21" s="64">
        <v>296.19</v>
      </c>
      <c r="J21" s="64">
        <v>293.16000000000003</v>
      </c>
      <c r="K21" s="64">
        <v>290.04000000000002</v>
      </c>
      <c r="L21" s="64">
        <v>286.95999999999998</v>
      </c>
      <c r="M21" s="64">
        <v>284.93</v>
      </c>
      <c r="N21" s="64">
        <v>282.58999999999997</v>
      </c>
      <c r="O21" s="64">
        <v>280.52</v>
      </c>
      <c r="P21" s="64">
        <v>278.35000000000002</v>
      </c>
      <c r="Q21" s="64">
        <v>276</v>
      </c>
      <c r="R21" s="64">
        <v>273.77999999999997</v>
      </c>
      <c r="S21" s="64">
        <v>271.58</v>
      </c>
      <c r="T21" s="64">
        <v>269.29000000000002</v>
      </c>
    </row>
    <row r="22" spans="1:20" x14ac:dyDescent="0.25">
      <c r="A22" s="13" t="s">
        <v>61</v>
      </c>
      <c r="B22" s="672">
        <v>6.5</v>
      </c>
      <c r="H22" t="s">
        <v>47</v>
      </c>
      <c r="I22" s="64">
        <v>285.5</v>
      </c>
      <c r="J22" s="64">
        <v>283.3</v>
      </c>
      <c r="K22" s="64">
        <v>281.08999999999997</v>
      </c>
      <c r="L22" s="64">
        <v>279.02</v>
      </c>
      <c r="M22" s="64">
        <v>276.81</v>
      </c>
      <c r="N22" s="64">
        <v>274.66000000000003</v>
      </c>
      <c r="O22" s="64">
        <v>272.52</v>
      </c>
      <c r="P22" s="64">
        <v>270.36</v>
      </c>
      <c r="Q22" s="64">
        <v>268.18</v>
      </c>
      <c r="R22" s="64">
        <v>266.02</v>
      </c>
      <c r="S22" s="64">
        <v>263.95</v>
      </c>
      <c r="T22" s="64">
        <v>261.89</v>
      </c>
    </row>
    <row r="23" spans="1:20" x14ac:dyDescent="0.25">
      <c r="A23" s="13" t="s">
        <v>62</v>
      </c>
      <c r="B23" s="672">
        <v>4.5</v>
      </c>
      <c r="H23" t="s">
        <v>48</v>
      </c>
      <c r="I23" s="64">
        <v>285.5</v>
      </c>
      <c r="J23" s="64">
        <v>283.3</v>
      </c>
      <c r="K23" s="64">
        <v>281.08999999999997</v>
      </c>
      <c r="L23" s="64">
        <v>279.02</v>
      </c>
      <c r="M23" s="64">
        <v>276.81</v>
      </c>
      <c r="N23" s="64">
        <v>274.66000000000003</v>
      </c>
      <c r="O23" s="64">
        <v>272.52</v>
      </c>
      <c r="P23" s="64">
        <v>270.36</v>
      </c>
      <c r="Q23" s="64">
        <v>268.18</v>
      </c>
      <c r="R23" s="64">
        <v>266.02</v>
      </c>
      <c r="S23" s="64">
        <v>263.95</v>
      </c>
      <c r="T23" s="64">
        <v>261.89</v>
      </c>
    </row>
    <row r="24" spans="1:20" x14ac:dyDescent="0.25">
      <c r="H24" t="s">
        <v>49</v>
      </c>
      <c r="I24" s="64">
        <v>284.01</v>
      </c>
      <c r="J24" s="64">
        <v>281.92</v>
      </c>
      <c r="K24" s="64">
        <v>279.77</v>
      </c>
      <c r="L24" s="64">
        <v>277.67</v>
      </c>
      <c r="M24" s="64">
        <v>275.52</v>
      </c>
      <c r="N24" s="64">
        <v>273.38</v>
      </c>
      <c r="O24" s="64">
        <v>271.27</v>
      </c>
      <c r="P24" s="64">
        <v>269.14999999999998</v>
      </c>
      <c r="Q24" s="64">
        <v>267</v>
      </c>
      <c r="R24" s="64">
        <v>264.85000000000002</v>
      </c>
      <c r="S24" s="64">
        <v>262.79000000000002</v>
      </c>
      <c r="T24" s="64">
        <v>260.75</v>
      </c>
    </row>
    <row r="25" spans="1:20" x14ac:dyDescent="0.25">
      <c r="H25" t="s">
        <v>50</v>
      </c>
      <c r="I25" s="64">
        <v>274.06</v>
      </c>
      <c r="J25" s="64">
        <v>271.98</v>
      </c>
      <c r="K25" s="64">
        <v>269.89</v>
      </c>
      <c r="L25" s="64">
        <v>267.81</v>
      </c>
      <c r="M25" s="64">
        <v>265.76</v>
      </c>
      <c r="N25" s="64">
        <v>263.7</v>
      </c>
      <c r="O25" s="64">
        <v>261.64</v>
      </c>
      <c r="P25" s="64">
        <v>259.55</v>
      </c>
      <c r="Q25" s="64">
        <v>257.47000000000003</v>
      </c>
      <c r="R25" s="64">
        <v>255.4</v>
      </c>
      <c r="S25" s="64">
        <v>253.36</v>
      </c>
      <c r="T25" s="64">
        <v>251.28</v>
      </c>
    </row>
    <row r="26" spans="1:20" x14ac:dyDescent="0.25">
      <c r="H26" t="s">
        <v>163</v>
      </c>
      <c r="I26" s="64">
        <v>269.14999999999998</v>
      </c>
      <c r="J26" s="64">
        <v>266.18</v>
      </c>
      <c r="K26" s="64">
        <v>263.26</v>
      </c>
      <c r="L26" s="64">
        <v>260.27</v>
      </c>
      <c r="M26" s="64">
        <v>258.3</v>
      </c>
      <c r="N26" s="64">
        <v>256.12</v>
      </c>
      <c r="O26" s="64">
        <v>254.04</v>
      </c>
      <c r="P26" s="64">
        <v>252</v>
      </c>
      <c r="Q26" s="64">
        <v>249.7</v>
      </c>
      <c r="R26" s="64">
        <v>247.6</v>
      </c>
      <c r="S26" s="64">
        <v>245.45</v>
      </c>
      <c r="T26" s="64">
        <v>243.22</v>
      </c>
    </row>
    <row r="27" spans="1:20" x14ac:dyDescent="0.25">
      <c r="H27" t="s">
        <v>164</v>
      </c>
      <c r="I27" s="64">
        <v>269.14999999999998</v>
      </c>
      <c r="J27" s="64">
        <v>266.18</v>
      </c>
      <c r="K27" s="64">
        <v>263.26</v>
      </c>
      <c r="L27" s="64">
        <v>260.27</v>
      </c>
      <c r="M27" s="64">
        <v>258.3</v>
      </c>
      <c r="N27" s="64">
        <v>256.12</v>
      </c>
      <c r="O27" s="64">
        <v>254.04</v>
      </c>
      <c r="P27" s="64">
        <v>252</v>
      </c>
      <c r="Q27" s="64">
        <v>249.7</v>
      </c>
      <c r="R27" s="64">
        <v>247.6</v>
      </c>
      <c r="S27" s="64">
        <v>245.45</v>
      </c>
      <c r="T27" s="64">
        <v>243.22</v>
      </c>
    </row>
    <row r="28" spans="1:20" x14ac:dyDescent="0.25">
      <c r="H28" t="s">
        <v>165</v>
      </c>
      <c r="I28" s="64">
        <v>262.83999999999997</v>
      </c>
      <c r="J28" s="64">
        <v>259.94</v>
      </c>
      <c r="K28" s="64">
        <v>257.08</v>
      </c>
      <c r="L28" s="64">
        <v>254.17</v>
      </c>
      <c r="M28" s="64">
        <v>252.25</v>
      </c>
      <c r="N28" s="64">
        <v>250.13</v>
      </c>
      <c r="O28" s="64">
        <v>248.09</v>
      </c>
      <c r="P28" s="64">
        <v>246.1</v>
      </c>
      <c r="Q28" s="64">
        <v>243.85</v>
      </c>
      <c r="R28" s="64">
        <v>241.8</v>
      </c>
      <c r="S28" s="64">
        <v>239.7</v>
      </c>
      <c r="T28" s="64">
        <v>237.53</v>
      </c>
    </row>
    <row r="29" spans="1:20" x14ac:dyDescent="0.25">
      <c r="H29" t="s">
        <v>53</v>
      </c>
      <c r="I29" s="64">
        <v>255.57</v>
      </c>
      <c r="J29" s="64">
        <v>253.73</v>
      </c>
      <c r="K29" s="64">
        <v>251.76</v>
      </c>
      <c r="L29" s="64">
        <v>249.81</v>
      </c>
      <c r="M29" s="64">
        <v>247.89</v>
      </c>
      <c r="N29" s="64">
        <v>245.97</v>
      </c>
      <c r="O29" s="64">
        <v>244.11</v>
      </c>
      <c r="P29" s="64">
        <v>242.11</v>
      </c>
      <c r="Q29" s="64">
        <v>240.26</v>
      </c>
      <c r="R29" s="64">
        <v>238.33</v>
      </c>
      <c r="S29" s="64">
        <v>236.39</v>
      </c>
      <c r="T29" s="64">
        <v>234.66</v>
      </c>
    </row>
    <row r="30" spans="1:20" x14ac:dyDescent="0.25">
      <c r="H30" t="s">
        <v>54</v>
      </c>
      <c r="I30" s="64">
        <v>214.57</v>
      </c>
      <c r="J30" s="64">
        <v>213</v>
      </c>
      <c r="K30" s="64">
        <v>211.35</v>
      </c>
      <c r="L30" s="64">
        <v>209.73</v>
      </c>
      <c r="M30" s="64">
        <v>208.11</v>
      </c>
      <c r="N30" s="64">
        <v>206.49</v>
      </c>
      <c r="O30" s="64">
        <v>204.92</v>
      </c>
      <c r="P30" s="64">
        <v>203.27</v>
      </c>
      <c r="Q30" s="64">
        <v>201.74</v>
      </c>
      <c r="R30" s="64">
        <v>200.08</v>
      </c>
      <c r="S30" s="64">
        <v>198.45</v>
      </c>
      <c r="T30" s="64">
        <v>196.99</v>
      </c>
    </row>
    <row r="31" spans="1:20" x14ac:dyDescent="0.25">
      <c r="H31" t="s">
        <v>55</v>
      </c>
      <c r="I31" s="64">
        <v>182.55</v>
      </c>
      <c r="J31" s="64">
        <v>181.2</v>
      </c>
      <c r="K31" s="64">
        <v>179.82</v>
      </c>
      <c r="L31" s="64">
        <v>178.42</v>
      </c>
      <c r="M31" s="64">
        <v>177.06</v>
      </c>
      <c r="N31" s="64">
        <v>175.68</v>
      </c>
      <c r="O31" s="64">
        <v>174.31</v>
      </c>
      <c r="P31" s="64">
        <v>172.92</v>
      </c>
      <c r="Q31" s="64">
        <v>171.62</v>
      </c>
      <c r="R31" s="64">
        <v>170.25</v>
      </c>
      <c r="S31" s="64">
        <v>168.84</v>
      </c>
      <c r="T31" s="64">
        <v>167.59</v>
      </c>
    </row>
    <row r="33" spans="8:22" x14ac:dyDescent="0.25">
      <c r="H33" t="s">
        <v>166</v>
      </c>
      <c r="I33" s="64">
        <v>12</v>
      </c>
      <c r="J33" s="64">
        <v>11</v>
      </c>
      <c r="K33" s="64">
        <v>10</v>
      </c>
      <c r="L33" s="64">
        <v>9</v>
      </c>
      <c r="M33" s="64">
        <v>8</v>
      </c>
      <c r="N33" s="64">
        <v>7</v>
      </c>
      <c r="O33" s="64">
        <v>6</v>
      </c>
      <c r="P33" s="64">
        <v>5</v>
      </c>
      <c r="Q33" s="64">
        <v>4</v>
      </c>
      <c r="R33" s="64">
        <v>3</v>
      </c>
      <c r="S33" s="64">
        <v>2</v>
      </c>
      <c r="T33" s="64">
        <v>1</v>
      </c>
    </row>
    <row r="34" spans="8:22" x14ac:dyDescent="0.25">
      <c r="H34" s="64"/>
      <c r="J34"/>
      <c r="K34"/>
      <c r="L34"/>
      <c r="M34"/>
      <c r="N34"/>
      <c r="O34"/>
      <c r="P34"/>
      <c r="Q34"/>
      <c r="R34"/>
      <c r="S34"/>
      <c r="T34"/>
      <c r="U34"/>
      <c r="V34"/>
    </row>
    <row r="35" spans="8:22" x14ac:dyDescent="0.25">
      <c r="H35" t="s">
        <v>38</v>
      </c>
      <c r="I35" s="64">
        <v>241.71</v>
      </c>
      <c r="J35" s="64">
        <v>239.51</v>
      </c>
      <c r="K35" s="64">
        <v>237.38</v>
      </c>
      <c r="L35" s="64">
        <v>234.2</v>
      </c>
      <c r="M35" s="64">
        <v>231.68</v>
      </c>
      <c r="N35" s="64">
        <v>226.48</v>
      </c>
      <c r="O35" s="64">
        <v>220.36</v>
      </c>
      <c r="P35" s="64">
        <v>214.91</v>
      </c>
      <c r="Q35" s="64">
        <v>209.9</v>
      </c>
      <c r="R35" s="64">
        <v>204.93</v>
      </c>
      <c r="S35" s="64">
        <v>175.13</v>
      </c>
      <c r="T35" s="64">
        <v>91.81</v>
      </c>
    </row>
    <row r="36" spans="8:22" x14ac:dyDescent="0.25">
      <c r="H36" t="s">
        <v>39</v>
      </c>
      <c r="I36" s="64">
        <v>241.71</v>
      </c>
      <c r="J36" s="64">
        <v>239.51</v>
      </c>
      <c r="K36" s="64">
        <v>237.38</v>
      </c>
      <c r="L36" s="64">
        <v>234.2</v>
      </c>
      <c r="M36" s="64">
        <v>231.68</v>
      </c>
      <c r="N36" s="64">
        <v>226.48</v>
      </c>
      <c r="O36" s="64">
        <v>220.36</v>
      </c>
      <c r="P36" s="64">
        <v>214.91</v>
      </c>
      <c r="Q36" s="64">
        <v>209.9</v>
      </c>
      <c r="R36" s="64">
        <v>204.93</v>
      </c>
      <c r="S36" s="64">
        <v>175.13</v>
      </c>
      <c r="T36" s="64">
        <v>91.81</v>
      </c>
    </row>
    <row r="37" spans="8:22" x14ac:dyDescent="0.25">
      <c r="H37" t="s">
        <v>40</v>
      </c>
      <c r="I37" s="64">
        <v>231.54</v>
      </c>
      <c r="J37" s="64">
        <v>229.46</v>
      </c>
      <c r="K37" s="64">
        <v>227.35</v>
      </c>
      <c r="L37" s="64">
        <v>224.29</v>
      </c>
      <c r="M37" s="64">
        <v>221.88</v>
      </c>
      <c r="N37" s="64">
        <v>216.89</v>
      </c>
      <c r="O37" s="64">
        <v>211</v>
      </c>
      <c r="P37" s="64">
        <v>205.78</v>
      </c>
      <c r="Q37" s="64">
        <v>200.95</v>
      </c>
      <c r="R37" s="64">
        <v>196.16</v>
      </c>
      <c r="S37" s="64">
        <v>167.65</v>
      </c>
      <c r="T37" s="64">
        <v>91.81</v>
      </c>
    </row>
    <row r="38" spans="8:22" x14ac:dyDescent="0.25">
      <c r="H38" t="s">
        <v>65</v>
      </c>
      <c r="I38" s="64">
        <v>231.54</v>
      </c>
      <c r="J38" s="64">
        <v>229.46</v>
      </c>
      <c r="K38" s="64">
        <v>227.35</v>
      </c>
      <c r="L38" s="64">
        <v>224.29</v>
      </c>
      <c r="M38" s="64">
        <v>221.88</v>
      </c>
      <c r="N38" s="64">
        <v>216.89</v>
      </c>
      <c r="O38" s="64">
        <v>211</v>
      </c>
      <c r="P38" s="64">
        <v>205.78</v>
      </c>
      <c r="Q38" s="64">
        <v>200.95</v>
      </c>
      <c r="R38" s="64">
        <v>196.16</v>
      </c>
      <c r="S38" s="64">
        <v>167.65</v>
      </c>
      <c r="T38" s="64">
        <v>91.81</v>
      </c>
    </row>
    <row r="39" spans="8:22" x14ac:dyDescent="0.25">
      <c r="H39" t="s">
        <v>162</v>
      </c>
      <c r="I39" s="64">
        <v>228.29</v>
      </c>
      <c r="J39" s="64">
        <v>226.25</v>
      </c>
      <c r="K39" s="64">
        <v>224.2</v>
      </c>
      <c r="L39" s="64">
        <v>221.17</v>
      </c>
      <c r="M39" s="64">
        <v>218.87</v>
      </c>
      <c r="N39" s="64">
        <v>213.93</v>
      </c>
      <c r="O39" s="64">
        <v>208.1</v>
      </c>
      <c r="P39" s="64">
        <v>203.01</v>
      </c>
      <c r="Q39" s="64">
        <v>198.24</v>
      </c>
      <c r="R39" s="64">
        <v>193.56</v>
      </c>
      <c r="S39" s="64">
        <v>165.4</v>
      </c>
      <c r="T39" s="64">
        <v>91.81</v>
      </c>
    </row>
    <row r="40" spans="8:22" x14ac:dyDescent="0.25">
      <c r="H40" t="s">
        <v>42</v>
      </c>
      <c r="I40" s="64">
        <v>228.29</v>
      </c>
      <c r="J40" s="64">
        <v>226.25</v>
      </c>
      <c r="K40" s="64">
        <v>224.2</v>
      </c>
      <c r="L40" s="64">
        <v>221.17</v>
      </c>
      <c r="M40" s="64">
        <v>218.87</v>
      </c>
      <c r="N40" s="64">
        <v>213.93</v>
      </c>
      <c r="O40" s="64">
        <v>208.1</v>
      </c>
      <c r="P40" s="64">
        <v>203.01</v>
      </c>
      <c r="Q40" s="64">
        <v>198.24</v>
      </c>
      <c r="R40" s="64">
        <v>193.56</v>
      </c>
      <c r="S40" s="64">
        <v>165.4</v>
      </c>
      <c r="T40" s="64">
        <v>91.81</v>
      </c>
    </row>
    <row r="41" spans="8:22" x14ac:dyDescent="0.25">
      <c r="H41" t="s">
        <v>43</v>
      </c>
      <c r="I41" s="64">
        <v>202.3</v>
      </c>
      <c r="J41" s="64">
        <v>199.94</v>
      </c>
      <c r="K41" s="64">
        <v>197.52</v>
      </c>
      <c r="L41" s="64">
        <v>194.29</v>
      </c>
      <c r="M41" s="64">
        <v>192.34</v>
      </c>
      <c r="N41" s="64">
        <v>187.93</v>
      </c>
      <c r="O41" s="64">
        <v>182.89</v>
      </c>
      <c r="P41" s="64">
        <v>178.42</v>
      </c>
      <c r="Q41" s="64">
        <v>174.16</v>
      </c>
      <c r="R41" s="64">
        <v>170.02</v>
      </c>
      <c r="S41" s="64">
        <v>145.29</v>
      </c>
      <c r="T41" s="64">
        <v>91.81</v>
      </c>
    </row>
    <row r="42" spans="8:22" x14ac:dyDescent="0.25">
      <c r="H42" t="s">
        <v>44</v>
      </c>
      <c r="I42" s="64">
        <v>202.3</v>
      </c>
      <c r="J42" s="64">
        <v>199.94</v>
      </c>
      <c r="K42" s="64">
        <v>197.52</v>
      </c>
      <c r="L42" s="64">
        <v>194.29</v>
      </c>
      <c r="M42" s="64">
        <v>192.34</v>
      </c>
      <c r="N42" s="64">
        <v>187.93</v>
      </c>
      <c r="O42" s="64">
        <v>182.89</v>
      </c>
      <c r="P42" s="64">
        <v>178.42</v>
      </c>
      <c r="Q42" s="64">
        <v>174.16</v>
      </c>
      <c r="R42" s="64">
        <v>170.02</v>
      </c>
      <c r="S42" s="64">
        <v>145.29</v>
      </c>
      <c r="T42" s="64">
        <v>91.81</v>
      </c>
    </row>
    <row r="43" spans="8:22" x14ac:dyDescent="0.25">
      <c r="H43" t="s">
        <v>45</v>
      </c>
      <c r="I43" s="64">
        <v>202.3</v>
      </c>
      <c r="J43" s="64">
        <v>199.94</v>
      </c>
      <c r="K43" s="64">
        <v>197.52</v>
      </c>
      <c r="L43" s="64">
        <v>194.29</v>
      </c>
      <c r="M43" s="64">
        <v>192.34</v>
      </c>
      <c r="N43" s="64">
        <v>187.93</v>
      </c>
      <c r="O43" s="64">
        <v>182.89</v>
      </c>
      <c r="P43" s="64">
        <v>178.42</v>
      </c>
      <c r="Q43" s="64">
        <v>174.16</v>
      </c>
      <c r="R43" s="64">
        <v>170.02</v>
      </c>
      <c r="S43" s="64">
        <v>145.29</v>
      </c>
      <c r="T43" s="64">
        <v>91.81</v>
      </c>
    </row>
    <row r="44" spans="8:22" x14ac:dyDescent="0.25">
      <c r="H44" t="s">
        <v>47</v>
      </c>
      <c r="I44" s="64">
        <v>195</v>
      </c>
      <c r="J44" s="64">
        <v>193.2</v>
      </c>
      <c r="K44" s="64">
        <v>191.45</v>
      </c>
      <c r="L44" s="64">
        <v>188.88</v>
      </c>
      <c r="M44" s="64">
        <v>186.87</v>
      </c>
      <c r="N44" s="64">
        <v>182.66</v>
      </c>
      <c r="O44" s="64">
        <v>177.69</v>
      </c>
      <c r="P44" s="64">
        <v>173.28</v>
      </c>
      <c r="Q44" s="64">
        <v>169.21</v>
      </c>
      <c r="R44" s="64">
        <v>165.21</v>
      </c>
      <c r="S44" s="64">
        <v>141.19</v>
      </c>
      <c r="T44" s="64">
        <v>91.81</v>
      </c>
    </row>
    <row r="45" spans="8:22" x14ac:dyDescent="0.25">
      <c r="H45" t="s">
        <v>48</v>
      </c>
      <c r="I45" s="64">
        <v>195</v>
      </c>
      <c r="J45" s="64">
        <v>193.2</v>
      </c>
      <c r="K45" s="64">
        <v>191.45</v>
      </c>
      <c r="L45" s="64">
        <v>188.88</v>
      </c>
      <c r="M45" s="64">
        <v>186.87</v>
      </c>
      <c r="N45" s="64">
        <v>182.66</v>
      </c>
      <c r="O45" s="64">
        <v>177.69</v>
      </c>
      <c r="P45" s="64">
        <v>173.28</v>
      </c>
      <c r="Q45" s="64">
        <v>169.21</v>
      </c>
      <c r="R45" s="64">
        <v>165.21</v>
      </c>
      <c r="S45" s="64">
        <v>141.19</v>
      </c>
      <c r="T45" s="64">
        <v>91.81</v>
      </c>
    </row>
    <row r="46" spans="8:22" x14ac:dyDescent="0.25">
      <c r="H46" t="s">
        <v>49</v>
      </c>
      <c r="I46" s="64">
        <v>193.98</v>
      </c>
      <c r="J46" s="64">
        <v>192.26</v>
      </c>
      <c r="K46" s="64">
        <v>190.51</v>
      </c>
      <c r="L46" s="64">
        <v>187.97</v>
      </c>
      <c r="M46" s="64">
        <v>185.98</v>
      </c>
      <c r="N46" s="64">
        <v>181.78</v>
      </c>
      <c r="O46" s="64">
        <v>176.85</v>
      </c>
      <c r="P46" s="64">
        <v>172.53</v>
      </c>
      <c r="Q46" s="64">
        <v>168.48</v>
      </c>
      <c r="R46" s="64">
        <v>164.48</v>
      </c>
      <c r="S46" s="64">
        <v>140.6</v>
      </c>
      <c r="T46" s="64">
        <v>91.81</v>
      </c>
    </row>
    <row r="47" spans="8:22" x14ac:dyDescent="0.25">
      <c r="H47" t="s">
        <v>50</v>
      </c>
      <c r="I47" s="64">
        <v>187.19</v>
      </c>
      <c r="J47" s="64">
        <v>185.5</v>
      </c>
      <c r="K47" s="64">
        <v>183.81</v>
      </c>
      <c r="L47" s="64">
        <v>181.33</v>
      </c>
      <c r="M47" s="64">
        <v>179.39</v>
      </c>
      <c r="N47" s="64">
        <v>175.35</v>
      </c>
      <c r="O47" s="64">
        <v>170.58</v>
      </c>
      <c r="P47" s="64">
        <v>166.37</v>
      </c>
      <c r="Q47" s="64">
        <v>162.46</v>
      </c>
      <c r="R47" s="64">
        <v>158.62</v>
      </c>
      <c r="S47" s="64">
        <v>135.55000000000001</v>
      </c>
      <c r="T47" s="64">
        <v>91.81</v>
      </c>
    </row>
    <row r="48" spans="8:22" x14ac:dyDescent="0.25">
      <c r="H48" t="s">
        <v>163</v>
      </c>
      <c r="I48" s="64">
        <v>183.84</v>
      </c>
      <c r="J48" s="64">
        <v>181.54</v>
      </c>
      <c r="K48" s="64">
        <v>179.24</v>
      </c>
      <c r="L48" s="64">
        <v>176.23</v>
      </c>
      <c r="M48" s="64">
        <v>174.36</v>
      </c>
      <c r="N48" s="64">
        <v>170.34</v>
      </c>
      <c r="O48" s="64">
        <v>165.64</v>
      </c>
      <c r="P48" s="64">
        <v>161.51</v>
      </c>
      <c r="Q48" s="64">
        <v>157.57</v>
      </c>
      <c r="R48" s="64">
        <v>153.76</v>
      </c>
      <c r="S48" s="64">
        <v>131.33000000000001</v>
      </c>
      <c r="T48" s="64">
        <v>91.81</v>
      </c>
    </row>
    <row r="49" spans="8:20" x14ac:dyDescent="0.25">
      <c r="H49" t="s">
        <v>164</v>
      </c>
      <c r="I49" s="64">
        <v>183.84</v>
      </c>
      <c r="J49" s="64">
        <v>181.54</v>
      </c>
      <c r="K49" s="64">
        <v>179.24</v>
      </c>
      <c r="L49" s="64">
        <v>176.23</v>
      </c>
      <c r="M49" s="64">
        <v>174.36</v>
      </c>
      <c r="N49" s="64">
        <v>170.34</v>
      </c>
      <c r="O49" s="64">
        <v>165.64</v>
      </c>
      <c r="P49" s="64">
        <v>161.51</v>
      </c>
      <c r="Q49" s="64">
        <v>157.57</v>
      </c>
      <c r="R49" s="64">
        <v>153.76</v>
      </c>
      <c r="S49" s="64">
        <v>131.33000000000001</v>
      </c>
      <c r="T49" s="64">
        <v>91.81</v>
      </c>
    </row>
    <row r="50" spans="8:20" x14ac:dyDescent="0.25">
      <c r="H50" t="s">
        <v>165</v>
      </c>
      <c r="I50" s="64">
        <v>179.52</v>
      </c>
      <c r="J50" s="64">
        <v>177.29</v>
      </c>
      <c r="K50" s="64">
        <v>175.04</v>
      </c>
      <c r="L50" s="64">
        <v>172.09</v>
      </c>
      <c r="M50" s="64">
        <v>170.27</v>
      </c>
      <c r="N50" s="64">
        <v>166.35</v>
      </c>
      <c r="O50" s="64">
        <v>161.76</v>
      </c>
      <c r="P50" s="64">
        <v>157.74</v>
      </c>
      <c r="Q50" s="64">
        <v>153.88</v>
      </c>
      <c r="R50" s="64">
        <v>150.16</v>
      </c>
      <c r="S50" s="64">
        <v>128.25</v>
      </c>
      <c r="T50" s="64">
        <v>91.81</v>
      </c>
    </row>
    <row r="51" spans="8:20" x14ac:dyDescent="0.25">
      <c r="H51" t="s">
        <v>53</v>
      </c>
      <c r="I51" s="64">
        <v>174.54</v>
      </c>
      <c r="J51" s="64">
        <v>173.08</v>
      </c>
      <c r="K51" s="64">
        <v>171.44</v>
      </c>
      <c r="L51" s="64">
        <v>169.12</v>
      </c>
      <c r="M51" s="64">
        <v>167.35</v>
      </c>
      <c r="N51" s="64">
        <v>163.56</v>
      </c>
      <c r="O51" s="64">
        <v>159.15</v>
      </c>
      <c r="P51" s="64">
        <v>155.18</v>
      </c>
      <c r="Q51" s="64">
        <v>151.6</v>
      </c>
      <c r="R51" s="64">
        <v>147.99</v>
      </c>
      <c r="S51" s="64">
        <v>126.45</v>
      </c>
      <c r="T51" s="64">
        <v>91.81</v>
      </c>
    </row>
    <row r="52" spans="8:20" x14ac:dyDescent="0.25">
      <c r="H52" t="s">
        <v>54</v>
      </c>
      <c r="I52" s="64">
        <v>146.57</v>
      </c>
      <c r="J52" s="64">
        <v>145.27000000000001</v>
      </c>
      <c r="K52" s="64">
        <v>143.93</v>
      </c>
      <c r="L52" s="64">
        <v>141.99</v>
      </c>
      <c r="M52" s="64">
        <v>140.47999999999999</v>
      </c>
      <c r="N52" s="64">
        <v>137.31</v>
      </c>
      <c r="O52" s="64">
        <v>133.61000000000001</v>
      </c>
      <c r="P52" s="64">
        <v>130.31</v>
      </c>
      <c r="Q52" s="64">
        <v>127.28</v>
      </c>
      <c r="R52" s="64">
        <v>124.25</v>
      </c>
      <c r="S52" s="64">
        <v>106.18</v>
      </c>
      <c r="T52" s="64">
        <v>91.81</v>
      </c>
    </row>
    <row r="53" spans="8:20" x14ac:dyDescent="0.25">
      <c r="H53" t="s">
        <v>55</v>
      </c>
      <c r="I53" s="64">
        <v>124.66</v>
      </c>
      <c r="J53" s="64">
        <v>123.59</v>
      </c>
      <c r="K53" s="64">
        <v>122.44</v>
      </c>
      <c r="L53" s="64">
        <v>120.79</v>
      </c>
      <c r="M53" s="64">
        <v>119.52</v>
      </c>
      <c r="N53" s="64">
        <v>116.82</v>
      </c>
      <c r="O53" s="64">
        <v>113.65</v>
      </c>
      <c r="P53" s="64">
        <v>110.85</v>
      </c>
      <c r="Q53" s="64">
        <v>108.27</v>
      </c>
      <c r="R53" s="64">
        <v>105.7</v>
      </c>
      <c r="S53" s="64">
        <v>91.81</v>
      </c>
      <c r="T53" s="64">
        <v>91.81</v>
      </c>
    </row>
  </sheetData>
  <sheetProtection algorithmName="SHA-512" hashValue="PtyL0Ck24RpelrLWwnabwThku/Y7P5/f91SWRMCoMM66XLfStX4aBPc+u2vC8LF5wGv2UY8DxwjS3ocxfLq3BQ==" saltValue="BW4Ydn2pSw7VIN+EIpG0pg==" spinCount="100000" sheet="1" objects="1" scenarios="1" selectLockedCells="1" selectUnlockedCells="1"/>
  <mergeCells count="1">
    <mergeCell ref="A21:B21"/>
  </mergeCells>
  <phoneticPr fontId="10"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8CB1A7B-1EBF-46C7-AA2B-0313FF48465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28</vt:i4>
      </vt:variant>
    </vt:vector>
  </HeadingPairs>
  <TitlesOfParts>
    <vt:vector size="46" baseType="lpstr">
      <vt:lpstr>WELCOME</vt:lpstr>
      <vt:lpstr>2023</vt:lpstr>
      <vt:lpstr>2023DATA</vt:lpstr>
      <vt:lpstr>2023DATA2</vt:lpstr>
      <vt:lpstr>2023DATA3</vt:lpstr>
      <vt:lpstr>2024</vt:lpstr>
      <vt:lpstr>2025</vt:lpstr>
      <vt:lpstr>2026</vt:lpstr>
      <vt:lpstr>2024DATA</vt:lpstr>
      <vt:lpstr>2025DATA</vt:lpstr>
      <vt:lpstr>2026DATA</vt:lpstr>
      <vt:lpstr>CASH EARNINGS</vt:lpstr>
      <vt:lpstr>PAS VS PS</vt:lpstr>
      <vt:lpstr>AVG PAY PER DAY</vt:lpstr>
      <vt:lpstr>BLOCK FLT TIME</vt:lpstr>
      <vt:lpstr>PAY DATA</vt:lpstr>
      <vt:lpstr>Pay Scales</vt:lpstr>
      <vt:lpstr>DATA</vt:lpstr>
      <vt:lpstr>_1</vt:lpstr>
      <vt:lpstr>_2</vt:lpstr>
      <vt:lpstr>_2023</vt:lpstr>
      <vt:lpstr>_2023_10</vt:lpstr>
      <vt:lpstr>_2023_11</vt:lpstr>
      <vt:lpstr>_2023_12</vt:lpstr>
      <vt:lpstr>_3</vt:lpstr>
      <vt:lpstr>_4</vt:lpstr>
      <vt:lpstr>_5</vt:lpstr>
      <vt:lpstr>_6</vt:lpstr>
      <vt:lpstr>_A</vt:lpstr>
      <vt:lpstr>_A1</vt:lpstr>
      <vt:lpstr>_A2</vt:lpstr>
      <vt:lpstr>_A3</vt:lpstr>
      <vt:lpstr>_A4</vt:lpstr>
      <vt:lpstr>_A5</vt:lpstr>
      <vt:lpstr>_A6</vt:lpstr>
      <vt:lpstr>_AC1</vt:lpstr>
      <vt:lpstr>_AC2</vt:lpstr>
      <vt:lpstr>_AC3</vt:lpstr>
      <vt:lpstr>_AC4</vt:lpstr>
      <vt:lpstr>_AC5</vt:lpstr>
      <vt:lpstr>_AC6</vt:lpstr>
      <vt:lpstr>_B</vt:lpstr>
      <vt:lpstr>_C</vt:lpstr>
      <vt:lpstr>_D</vt:lpstr>
      <vt:lpstr>_E</vt:lpstr>
      <vt:lpstr>_F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McClellan</dc:creator>
  <cp:lastModifiedBy>Michael McClellan</cp:lastModifiedBy>
  <cp:lastPrinted>2023-06-27T23:06:45Z</cp:lastPrinted>
  <dcterms:created xsi:type="dcterms:W3CDTF">2023-06-12T21:08:48Z</dcterms:created>
  <dcterms:modified xsi:type="dcterms:W3CDTF">2024-04-09T15:39:40Z</dcterms:modified>
</cp:coreProperties>
</file>